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hidePivotFieldList="1" defaultThemeVersion="124226"/>
  <mc:AlternateContent xmlns:mc="http://schemas.openxmlformats.org/markup-compatibility/2006">
    <mc:Choice Requires="x15">
      <x15ac:absPath xmlns:x15ac="http://schemas.microsoft.com/office/spreadsheetml/2010/11/ac" url="C:\Users\RIZKY WIDYANTORO\Downloads\"/>
    </mc:Choice>
  </mc:AlternateContent>
  <xr:revisionPtr revIDLastSave="0" documentId="13_ncr:1_{C0DB2047-5815-4BFB-B450-7E34F37DB0DF}" xr6:coauthVersionLast="47" xr6:coauthVersionMax="47" xr10:uidLastSave="{00000000-0000-0000-0000-000000000000}"/>
  <bookViews>
    <workbookView xWindow="9510" yWindow="0" windowWidth="9780" windowHeight="10170" tabRatio="847" firstSheet="2" activeTab="2" xr2:uid="{00000000-000D-0000-FFFF-FFFF00000000}"/>
  </bookViews>
  <sheets>
    <sheet name="DAFTAR ISI" sheetId="24" r:id="rId1"/>
    <sheet name="PROGRAM" sheetId="65" r:id="rId2"/>
    <sheet name="P &amp; NP" sheetId="2" r:id="rId3"/>
    <sheet name="P NP TW" sheetId="39" r:id="rId4"/>
    <sheet name="P NP BLN" sheetId="61" r:id="rId5"/>
    <sheet name="PER KOMODITAS PER TW" sheetId="62" r:id="rId6"/>
    <sheet name="1.1 RINGKASAN" sheetId="66" r:id="rId7"/>
    <sheet name="1.2 PROD SUBSEK" sheetId="5" r:id="rId8"/>
    <sheet name="USAHA per TW" sheetId="6" r:id="rId9"/>
    <sheet name="MENURUT TRIWULAN" sheetId="26" r:id="rId10"/>
    <sheet name="per IKAN per WADAH per THN" sheetId="7" r:id="rId11"/>
    <sheet name="TBK SEDERHANA" sheetId="67" r:id="rId12"/>
    <sheet name="LAUT" sheetId="59" r:id="rId13"/>
    <sheet name="TAMBAK" sheetId="45" r:id="rId14"/>
    <sheet name="KOLAM" sheetId="49" r:id="rId15"/>
    <sheet name="MINAPADI" sheetId="52" r:id="rId16"/>
    <sheet name="KARAMBA" sheetId="56" r:id="rId17"/>
    <sheet name="JAPUNG" sheetId="41" r:id="rId18"/>
    <sheet name="P NP LAUT IKAN" sheetId="58" r:id="rId19"/>
    <sheet name="P NP LAUT KAB" sheetId="57" r:id="rId20"/>
    <sheet name="P NP TAMBAK IKAN" sheetId="43" r:id="rId21"/>
    <sheet name="P NP TAMBAK KAB" sheetId="44" r:id="rId22"/>
    <sheet name="P NP TBK SEDERHANA IKAN" sheetId="70" r:id="rId23"/>
    <sheet name="P NP TBK SEDERHANA KAB" sheetId="71" r:id="rId24"/>
    <sheet name="P NP KOLAM IKAN" sheetId="46" r:id="rId25"/>
    <sheet name="P NP KOLAM KAB" sheetId="47" r:id="rId26"/>
    <sheet name="P NP KARAMBA IKAN" sheetId="55" r:id="rId27"/>
    <sheet name="P NP KARAMBA KAB" sheetId="54" r:id="rId28"/>
    <sheet name="P NP MINAPADI IKAN" sheetId="50" r:id="rId29"/>
    <sheet name="P NP MINAPADI KAB" sheetId="51" r:id="rId30"/>
    <sheet name="P NP JAPUNG IKAN" sheetId="40" r:id="rId31"/>
    <sheet name="P NP JAPUNG KAB" sheetId="42" r:id="rId32"/>
    <sheet name="P&amp;NP per BLN per KAB" sheetId="35" r:id="rId33"/>
    <sheet name="per KAB per WADAH per TW" sheetId="25" r:id="rId34"/>
    <sheet name="RTP" sheetId="8" r:id="rId35"/>
  </sheets>
  <definedNames>
    <definedName name="_xlnm._FilterDatabase" localSheetId="2" hidden="1">'P &amp; NP'!$A$12:$AMC$469</definedName>
    <definedName name="_xlnm._FilterDatabase" localSheetId="33" hidden="1">'per KAB per WADAH per TW'!$A$8:$R$160</definedName>
    <definedName name="_Regression_Int" localSheetId="17" hidden="1">1</definedName>
    <definedName name="_Regression_Int" localSheetId="16" hidden="1">1</definedName>
    <definedName name="_Regression_Int" localSheetId="14" hidden="1">1</definedName>
    <definedName name="_Regression_Int" localSheetId="12" hidden="1">1</definedName>
    <definedName name="_Regression_Int" localSheetId="15" hidden="1">1</definedName>
    <definedName name="_Regression_Int" localSheetId="13" hidden="1">1</definedName>
    <definedName name="_Regression_Int" localSheetId="11" hidden="1">1</definedName>
    <definedName name="IKAN">'P NP MINAPADI KAB'!$D$1:$BY$1</definedName>
    <definedName name="KAB">'P NP MINAPADI KAB'!$A$6:$BY$43</definedName>
    <definedName name="KABUPATEN">'P NP MINAPADI KAB'!$A$5:$BY$43</definedName>
    <definedName name="_xlnm.Print_Area" localSheetId="17">JAPUNG!$A$1:$V$96</definedName>
    <definedName name="_xlnm.Print_Area" localSheetId="16">KARAMBA!$A$1:$Q$98</definedName>
    <definedName name="_xlnm.Print_Area" localSheetId="14">KOLAM!$A$1:$Z$96</definedName>
    <definedName name="_xlnm.Print_Area" localSheetId="12">LAUT!$A$1:$T$96</definedName>
    <definedName name="_xlnm.Print_Area" localSheetId="9">'MENURUT TRIWULAN'!$A$1:$H$93</definedName>
    <definedName name="_xlnm.Print_Area" localSheetId="15">MINAPADI!$B$1:$AA$123</definedName>
    <definedName name="_xlnm.Print_Area" localSheetId="10">'per IKAN per WADAH per THN'!$A$1:$J$91</definedName>
    <definedName name="_xlnm.Print_Area" localSheetId="13">TAMBAK!$A$1:$AA$96</definedName>
    <definedName name="_xlnm.Print_Area" localSheetId="11">'TBK SEDERHANA'!$A$1:$AB$96</definedName>
    <definedName name="_xlnm.Print_Area" localSheetId="8">'USAHA per TW'!$A$1:$G$38</definedName>
    <definedName name="Print_Area_MI" localSheetId="16">KARAMBA!$B$1:$Q$96</definedName>
    <definedName name="Print_Area_MI" localSheetId="14">KOLAM!$B$1:$T$95</definedName>
    <definedName name="Print_Area_MI" localSheetId="12">LAUT!$B$1:$T$95</definedName>
    <definedName name="Print_Area_MI" localSheetId="15">MINAPADI!$B$1:$Q$63</definedName>
    <definedName name="Print_Area_MI" localSheetId="13">TAMBAK!$B$1:$U$95</definedName>
    <definedName name="Print_Area_MI" localSheetId="11">'TBK SEDERHANA'!$B$1:$V$95</definedName>
    <definedName name="Print_Area_MI">JAPUNG!$B$1:$V$95</definedName>
    <definedName name="_xlnm.Print_Titles" localSheetId="17">JAPUNG!$A:$A</definedName>
    <definedName name="_xlnm.Print_Titles" localSheetId="16">KARAMBA!$A:$A</definedName>
    <definedName name="_xlnm.Print_Titles" localSheetId="14">KOLAM!$A:$A</definedName>
    <definedName name="_xlnm.Print_Titles" localSheetId="12">LAUT!$A:$A</definedName>
    <definedName name="_xlnm.Print_Titles" localSheetId="13">TAMBAK!$A:$A</definedName>
    <definedName name="_xlnm.Print_Titles" localSheetId="11">'TBK SEDERHANA'!$A:$A</definedName>
    <definedName name="Print_Titles_MI" localSheetId="17">JAPUNG!$A:$A</definedName>
    <definedName name="Print_Titles_MI" localSheetId="16">KARAMBA!$A:$A</definedName>
    <definedName name="Print_Titles_MI" localSheetId="14">KOLAM!$A:$A</definedName>
    <definedName name="Print_Titles_MI" localSheetId="12">LAUT!$A:$A</definedName>
    <definedName name="Print_Titles_MI" localSheetId="13">TAMBAK!$A:$A</definedName>
    <definedName name="Print_Titles_MI" localSheetId="11">'TBK SEDERHANA'!$A:$A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R19" i="2" l="1"/>
  <c r="RF412" i="2"/>
  <c r="RF407" i="2"/>
  <c r="RF374" i="2"/>
  <c r="RF369" i="2"/>
  <c r="RF336" i="2"/>
  <c r="RF331" i="2"/>
  <c r="RF222" i="2"/>
  <c r="RF217" i="2"/>
  <c r="RF450" i="2"/>
  <c r="RF445" i="2"/>
  <c r="RF298" i="2"/>
  <c r="RF293" i="2"/>
  <c r="RF184" i="2"/>
  <c r="RF182" i="2"/>
  <c r="RF179" i="2"/>
  <c r="RF260" i="2"/>
  <c r="RF258" i="2"/>
  <c r="RF255" i="2"/>
  <c r="MX450" i="2"/>
  <c r="MT437" i="2"/>
  <c r="MT440" i="2"/>
  <c r="MT458" i="2"/>
  <c r="MT464" i="2"/>
  <c r="MT439" i="2"/>
  <c r="RF146" i="2"/>
  <c r="RF144" i="2"/>
  <c r="RF141" i="2"/>
  <c r="RF108" i="2"/>
  <c r="RF106" i="2"/>
  <c r="RF103" i="2"/>
  <c r="RF70" i="2"/>
  <c r="RF68" i="2"/>
  <c r="RF65" i="2"/>
  <c r="RF32" i="2"/>
  <c r="RF30" i="2"/>
  <c r="RF27" i="2"/>
  <c r="MX412" i="2"/>
  <c r="MT420" i="2"/>
  <c r="MT394" i="2"/>
  <c r="MT426" i="2"/>
  <c r="MX374" i="2"/>
  <c r="MT46" i="2"/>
  <c r="AN241" i="2"/>
  <c r="UT171" i="2" l="1"/>
  <c r="AE486" i="2" l="1"/>
  <c r="E9" i="40" s="1"/>
  <c r="AF486" i="2"/>
  <c r="F9" i="40" s="1"/>
  <c r="AE487" i="2"/>
  <c r="E10" i="40" s="1"/>
  <c r="AF487" i="2"/>
  <c r="F10" i="40" s="1"/>
  <c r="AE488" i="2"/>
  <c r="E11" i="40" s="1"/>
  <c r="AF488" i="2"/>
  <c r="F11" i="40" s="1"/>
  <c r="AE489" i="2"/>
  <c r="E12" i="40" s="1"/>
  <c r="AF489" i="2"/>
  <c r="F12" i="40" s="1"/>
  <c r="AE490" i="2"/>
  <c r="E13" i="40" s="1"/>
  <c r="AF490" i="2"/>
  <c r="F13" i="40" s="1"/>
  <c r="AE491" i="2"/>
  <c r="E14" i="40" s="1"/>
  <c r="AF491" i="2"/>
  <c r="F14" i="40" s="1"/>
  <c r="AE492" i="2"/>
  <c r="E15" i="40" s="1"/>
  <c r="AF492" i="2"/>
  <c r="F15" i="40" s="1"/>
  <c r="AE493" i="2"/>
  <c r="E16" i="40" s="1"/>
  <c r="AF493" i="2"/>
  <c r="F16" i="40" s="1"/>
  <c r="AE494" i="2"/>
  <c r="E17" i="40" s="1"/>
  <c r="AF494" i="2"/>
  <c r="F17" i="40" s="1"/>
  <c r="AE495" i="2"/>
  <c r="E18" i="40" s="1"/>
  <c r="AF495" i="2"/>
  <c r="F18" i="40" s="1"/>
  <c r="AE496" i="2"/>
  <c r="E19" i="40" s="1"/>
  <c r="AF496" i="2"/>
  <c r="F19" i="40" s="1"/>
  <c r="AE497" i="2"/>
  <c r="E20" i="40" s="1"/>
  <c r="AF497" i="2"/>
  <c r="F20" i="40" s="1"/>
  <c r="AE498" i="2"/>
  <c r="E21" i="40" s="1"/>
  <c r="AF498" i="2"/>
  <c r="F21" i="40" s="1"/>
  <c r="AE499" i="2"/>
  <c r="E22" i="40" s="1"/>
  <c r="AF499" i="2"/>
  <c r="F22" i="40" s="1"/>
  <c r="AE500" i="2"/>
  <c r="E23" i="40" s="1"/>
  <c r="AF500" i="2"/>
  <c r="F23" i="40" s="1"/>
  <c r="AE501" i="2"/>
  <c r="E24" i="40" s="1"/>
  <c r="AF501" i="2"/>
  <c r="F24" i="40" s="1"/>
  <c r="AE502" i="2"/>
  <c r="E25" i="40" s="1"/>
  <c r="AF502" i="2"/>
  <c r="F25" i="40" s="1"/>
  <c r="AE503" i="2"/>
  <c r="E26" i="40" s="1"/>
  <c r="AF503" i="2"/>
  <c r="F26" i="40" s="1"/>
  <c r="AE504" i="2"/>
  <c r="E27" i="40" s="1"/>
  <c r="AF504" i="2"/>
  <c r="F27" i="40" s="1"/>
  <c r="AE505" i="2"/>
  <c r="E28" i="40" s="1"/>
  <c r="AF505" i="2"/>
  <c r="F28" i="40" s="1"/>
  <c r="AE506" i="2"/>
  <c r="E29" i="40" s="1"/>
  <c r="AF506" i="2"/>
  <c r="F29" i="40" s="1"/>
  <c r="AE507" i="2"/>
  <c r="E30" i="40" s="1"/>
  <c r="AF507" i="2"/>
  <c r="F30" i="40" s="1"/>
  <c r="AE508" i="2"/>
  <c r="E31" i="40" s="1"/>
  <c r="AF508" i="2"/>
  <c r="F31" i="40" s="1"/>
  <c r="AE509" i="2"/>
  <c r="E32" i="40" s="1"/>
  <c r="AF509" i="2"/>
  <c r="F32" i="40" s="1"/>
  <c r="AE510" i="2"/>
  <c r="E33" i="40" s="1"/>
  <c r="AF510" i="2"/>
  <c r="F33" i="40" s="1"/>
  <c r="AE511" i="2"/>
  <c r="E34" i="40" s="1"/>
  <c r="AF511" i="2"/>
  <c r="F34" i="40" s="1"/>
  <c r="AE512" i="2"/>
  <c r="E35" i="40" s="1"/>
  <c r="AF512" i="2"/>
  <c r="F35" i="40" s="1"/>
  <c r="AE513" i="2"/>
  <c r="E36" i="40" s="1"/>
  <c r="AF513" i="2"/>
  <c r="F36" i="40" s="1"/>
  <c r="AE514" i="2"/>
  <c r="E37" i="40" s="1"/>
  <c r="AF514" i="2"/>
  <c r="F37" i="40" s="1"/>
  <c r="AE515" i="2"/>
  <c r="E38" i="40" s="1"/>
  <c r="AF515" i="2"/>
  <c r="F38" i="40" s="1"/>
  <c r="AE516" i="2"/>
  <c r="E39" i="40" s="1"/>
  <c r="AF516" i="2"/>
  <c r="F39" i="40" s="1"/>
  <c r="AE517" i="2"/>
  <c r="E40" i="40" s="1"/>
  <c r="AF517" i="2"/>
  <c r="F40" i="40" s="1"/>
  <c r="AE518" i="2"/>
  <c r="E41" i="40" s="1"/>
  <c r="AF518" i="2"/>
  <c r="F41" i="40" s="1"/>
  <c r="AE519" i="2"/>
  <c r="E42" i="40" s="1"/>
  <c r="AF519" i="2"/>
  <c r="F42" i="40" s="1"/>
  <c r="AE520" i="2"/>
  <c r="E43" i="40" s="1"/>
  <c r="AF520" i="2"/>
  <c r="F43" i="40" s="1"/>
  <c r="AE521" i="2"/>
  <c r="E44" i="40" s="1"/>
  <c r="AF521" i="2"/>
  <c r="F44" i="40" s="1"/>
  <c r="AF485" i="2"/>
  <c r="AE485" i="2"/>
  <c r="TU486" i="2"/>
  <c r="BQ9" i="55" s="1"/>
  <c r="TV486" i="2"/>
  <c r="BR9" i="55" s="1"/>
  <c r="TU487" i="2"/>
  <c r="BQ10" i="55" s="1"/>
  <c r="TV487" i="2"/>
  <c r="BR10" i="55" s="1"/>
  <c r="TU488" i="2"/>
  <c r="BQ11" i="55" s="1"/>
  <c r="TV488" i="2"/>
  <c r="BR11" i="55" s="1"/>
  <c r="TU489" i="2"/>
  <c r="BQ12" i="55" s="1"/>
  <c r="TV489" i="2"/>
  <c r="BR12" i="55" s="1"/>
  <c r="TU490" i="2"/>
  <c r="BQ13" i="55" s="1"/>
  <c r="TV490" i="2"/>
  <c r="BR13" i="55" s="1"/>
  <c r="TU491" i="2"/>
  <c r="BQ14" i="55" s="1"/>
  <c r="TV491" i="2"/>
  <c r="BR14" i="55" s="1"/>
  <c r="TU492" i="2"/>
  <c r="BQ15" i="55" s="1"/>
  <c r="TV492" i="2"/>
  <c r="BR15" i="55" s="1"/>
  <c r="TU493" i="2"/>
  <c r="BQ16" i="55" s="1"/>
  <c r="TV493" i="2"/>
  <c r="BR16" i="55" s="1"/>
  <c r="TU494" i="2"/>
  <c r="BQ17" i="55" s="1"/>
  <c r="TV494" i="2"/>
  <c r="BR17" i="55" s="1"/>
  <c r="TU495" i="2"/>
  <c r="BQ18" i="55" s="1"/>
  <c r="TV495" i="2"/>
  <c r="BR18" i="55" s="1"/>
  <c r="TU496" i="2"/>
  <c r="BQ19" i="55" s="1"/>
  <c r="TV496" i="2"/>
  <c r="BR19" i="55" s="1"/>
  <c r="TU497" i="2"/>
  <c r="BQ20" i="55" s="1"/>
  <c r="TV497" i="2"/>
  <c r="BR20" i="55" s="1"/>
  <c r="TU498" i="2"/>
  <c r="BQ21" i="55" s="1"/>
  <c r="TV498" i="2"/>
  <c r="BR21" i="55" s="1"/>
  <c r="TU499" i="2"/>
  <c r="BQ22" i="55" s="1"/>
  <c r="TV499" i="2"/>
  <c r="BR22" i="55" s="1"/>
  <c r="TU500" i="2"/>
  <c r="BQ23" i="55" s="1"/>
  <c r="TV500" i="2"/>
  <c r="BR23" i="55" s="1"/>
  <c r="TU501" i="2"/>
  <c r="BQ24" i="55" s="1"/>
  <c r="TV501" i="2"/>
  <c r="BR24" i="55" s="1"/>
  <c r="TU502" i="2"/>
  <c r="BQ25" i="55" s="1"/>
  <c r="TV502" i="2"/>
  <c r="BR25" i="55" s="1"/>
  <c r="TU503" i="2"/>
  <c r="BQ26" i="55" s="1"/>
  <c r="TV503" i="2"/>
  <c r="BR26" i="55" s="1"/>
  <c r="TU504" i="2"/>
  <c r="BQ27" i="55" s="1"/>
  <c r="TV504" i="2"/>
  <c r="BR27" i="55" s="1"/>
  <c r="TU505" i="2"/>
  <c r="BQ28" i="55" s="1"/>
  <c r="TV505" i="2"/>
  <c r="BR28" i="55" s="1"/>
  <c r="TU506" i="2"/>
  <c r="BQ29" i="55" s="1"/>
  <c r="TV506" i="2"/>
  <c r="BR29" i="55" s="1"/>
  <c r="TU507" i="2"/>
  <c r="BQ30" i="55" s="1"/>
  <c r="TV507" i="2"/>
  <c r="BR30" i="55" s="1"/>
  <c r="TU508" i="2"/>
  <c r="BQ31" i="55" s="1"/>
  <c r="TV508" i="2"/>
  <c r="BR31" i="55" s="1"/>
  <c r="TU509" i="2"/>
  <c r="BQ32" i="55" s="1"/>
  <c r="TV509" i="2"/>
  <c r="BR32" i="55" s="1"/>
  <c r="TU510" i="2"/>
  <c r="BQ33" i="55" s="1"/>
  <c r="TV510" i="2"/>
  <c r="BR33" i="55" s="1"/>
  <c r="TU511" i="2"/>
  <c r="BQ34" i="55" s="1"/>
  <c r="TV511" i="2"/>
  <c r="BR34" i="55" s="1"/>
  <c r="TU512" i="2"/>
  <c r="BQ35" i="55" s="1"/>
  <c r="TV512" i="2"/>
  <c r="BR35" i="55" s="1"/>
  <c r="TU513" i="2"/>
  <c r="BQ36" i="55" s="1"/>
  <c r="TV513" i="2"/>
  <c r="BR36" i="55" s="1"/>
  <c r="TU514" i="2"/>
  <c r="BQ37" i="55" s="1"/>
  <c r="TV514" i="2"/>
  <c r="BR37" i="55" s="1"/>
  <c r="TU515" i="2"/>
  <c r="BQ38" i="55" s="1"/>
  <c r="TV515" i="2"/>
  <c r="BR38" i="55" s="1"/>
  <c r="TU516" i="2"/>
  <c r="BQ39" i="55" s="1"/>
  <c r="TV516" i="2"/>
  <c r="BR39" i="55" s="1"/>
  <c r="TU517" i="2"/>
  <c r="BQ40" i="55" s="1"/>
  <c r="TV517" i="2"/>
  <c r="BR40" i="55" s="1"/>
  <c r="TU518" i="2"/>
  <c r="BQ41" i="55" s="1"/>
  <c r="TV518" i="2"/>
  <c r="BR41" i="55" s="1"/>
  <c r="TU519" i="2"/>
  <c r="BQ42" i="55" s="1"/>
  <c r="TV519" i="2"/>
  <c r="BR42" i="55" s="1"/>
  <c r="TU520" i="2"/>
  <c r="BQ43" i="55" s="1"/>
  <c r="TV520" i="2"/>
  <c r="BR43" i="55" s="1"/>
  <c r="TU521" i="2"/>
  <c r="BQ44" i="55" s="1"/>
  <c r="TV521" i="2"/>
  <c r="BR44" i="55" s="1"/>
  <c r="J59" i="49" l="1"/>
  <c r="J60" i="49"/>
  <c r="J61" i="49"/>
  <c r="J62" i="49"/>
  <c r="J63" i="49"/>
  <c r="J64" i="49"/>
  <c r="J65" i="49"/>
  <c r="J66" i="49"/>
  <c r="J67" i="49"/>
  <c r="J68" i="49"/>
  <c r="J69" i="49"/>
  <c r="J70" i="49"/>
  <c r="J71" i="49"/>
  <c r="J72" i="49"/>
  <c r="J73" i="49"/>
  <c r="J74" i="49"/>
  <c r="J75" i="49"/>
  <c r="J76" i="49"/>
  <c r="J77" i="49"/>
  <c r="J78" i="49"/>
  <c r="J79" i="49"/>
  <c r="J80" i="49"/>
  <c r="J81" i="49"/>
  <c r="J82" i="49"/>
  <c r="J83" i="49"/>
  <c r="J84" i="49"/>
  <c r="J85" i="49"/>
  <c r="J86" i="49"/>
  <c r="J87" i="49"/>
  <c r="J88" i="49"/>
  <c r="J89" i="49"/>
  <c r="J90" i="49"/>
  <c r="J91" i="49"/>
  <c r="J92" i="49"/>
  <c r="J93" i="49"/>
  <c r="J94" i="49"/>
  <c r="J95" i="49"/>
  <c r="J58" i="49"/>
  <c r="J11" i="49"/>
  <c r="J12" i="49"/>
  <c r="J13" i="49"/>
  <c r="J14" i="49"/>
  <c r="J15" i="49"/>
  <c r="J16" i="49"/>
  <c r="J17" i="49"/>
  <c r="J18" i="49"/>
  <c r="J19" i="49"/>
  <c r="J20" i="49"/>
  <c r="J21" i="49"/>
  <c r="J22" i="49"/>
  <c r="J23" i="49"/>
  <c r="J24" i="49"/>
  <c r="J25" i="49"/>
  <c r="J26" i="49"/>
  <c r="J27" i="49"/>
  <c r="J28" i="49"/>
  <c r="J29" i="49"/>
  <c r="J30" i="49"/>
  <c r="J31" i="49"/>
  <c r="J32" i="49"/>
  <c r="J33" i="49"/>
  <c r="J34" i="49"/>
  <c r="J35" i="49"/>
  <c r="J36" i="49"/>
  <c r="J37" i="49"/>
  <c r="J38" i="49"/>
  <c r="J39" i="49"/>
  <c r="J40" i="49"/>
  <c r="J41" i="49"/>
  <c r="J42" i="49"/>
  <c r="J43" i="49"/>
  <c r="J44" i="49"/>
  <c r="J45" i="49"/>
  <c r="J46" i="49"/>
  <c r="J47" i="49"/>
  <c r="J10" i="49"/>
  <c r="N61" i="62" l="1"/>
  <c r="M61" i="62"/>
  <c r="N59" i="62"/>
  <c r="M59" i="62"/>
  <c r="N58" i="62"/>
  <c r="M58" i="62"/>
  <c r="N54" i="62"/>
  <c r="M54" i="62"/>
  <c r="N51" i="62"/>
  <c r="M51" i="62"/>
  <c r="N50" i="62"/>
  <c r="M50" i="62"/>
  <c r="N49" i="62"/>
  <c r="M49" i="62"/>
  <c r="N47" i="62"/>
  <c r="M47" i="62"/>
  <c r="N46" i="62"/>
  <c r="M46" i="62"/>
  <c r="N45" i="62"/>
  <c r="M45" i="62"/>
  <c r="N44" i="62"/>
  <c r="M44" i="62"/>
  <c r="N2" i="62"/>
  <c r="M2" i="62"/>
  <c r="CS129" i="2"/>
  <c r="CT129" i="2"/>
  <c r="CS130" i="2"/>
  <c r="CT130" i="2"/>
  <c r="CS131" i="2"/>
  <c r="CT131" i="2"/>
  <c r="CS132" i="2"/>
  <c r="CT132" i="2"/>
  <c r="CS133" i="2"/>
  <c r="CT133" i="2"/>
  <c r="CS134" i="2"/>
  <c r="CT134" i="2"/>
  <c r="CS135" i="2"/>
  <c r="CT135" i="2"/>
  <c r="CS136" i="2"/>
  <c r="CT136" i="2"/>
  <c r="CS137" i="2"/>
  <c r="CT137" i="2"/>
  <c r="CS138" i="2"/>
  <c r="CT138" i="2"/>
  <c r="CS139" i="2"/>
  <c r="CT139" i="2"/>
  <c r="CS140" i="2"/>
  <c r="CT140" i="2"/>
  <c r="CS141" i="2"/>
  <c r="CT141" i="2"/>
  <c r="CS142" i="2"/>
  <c r="CT142" i="2"/>
  <c r="CS143" i="2"/>
  <c r="CT143" i="2"/>
  <c r="CS144" i="2"/>
  <c r="CT144" i="2"/>
  <c r="CS145" i="2"/>
  <c r="CT145" i="2"/>
  <c r="CS146" i="2"/>
  <c r="CT146" i="2"/>
  <c r="CS147" i="2"/>
  <c r="CT147" i="2"/>
  <c r="CS148" i="2"/>
  <c r="CT148" i="2"/>
  <c r="CS149" i="2"/>
  <c r="CT149" i="2"/>
  <c r="CS150" i="2"/>
  <c r="CT150" i="2"/>
  <c r="CS151" i="2"/>
  <c r="CT151" i="2"/>
  <c r="CS152" i="2"/>
  <c r="CT152" i="2"/>
  <c r="CS153" i="2"/>
  <c r="CT153" i="2"/>
  <c r="CS154" i="2"/>
  <c r="CT154" i="2"/>
  <c r="CS155" i="2"/>
  <c r="CT155" i="2"/>
  <c r="CS156" i="2"/>
  <c r="CT156" i="2"/>
  <c r="CS157" i="2"/>
  <c r="CT157" i="2"/>
  <c r="CS158" i="2"/>
  <c r="CT158" i="2"/>
  <c r="CS159" i="2"/>
  <c r="CT159" i="2"/>
  <c r="CS160" i="2"/>
  <c r="CT160" i="2"/>
  <c r="CS161" i="2"/>
  <c r="CT161" i="2"/>
  <c r="CS162" i="2"/>
  <c r="CT162" i="2"/>
  <c r="CS163" i="2"/>
  <c r="CT163" i="2"/>
  <c r="CS164" i="2"/>
  <c r="CT164" i="2"/>
  <c r="CS167" i="2"/>
  <c r="CT167" i="2"/>
  <c r="CS168" i="2"/>
  <c r="CT168" i="2"/>
  <c r="CS169" i="2"/>
  <c r="CT169" i="2"/>
  <c r="CS170" i="2"/>
  <c r="CT170" i="2"/>
  <c r="CS171" i="2"/>
  <c r="CT171" i="2"/>
  <c r="CS172" i="2"/>
  <c r="CT172" i="2"/>
  <c r="CS173" i="2"/>
  <c r="CT173" i="2"/>
  <c r="CS174" i="2"/>
  <c r="CT174" i="2"/>
  <c r="CS175" i="2"/>
  <c r="CT175" i="2"/>
  <c r="CS176" i="2"/>
  <c r="CT176" i="2"/>
  <c r="CS177" i="2"/>
  <c r="CT177" i="2"/>
  <c r="CS178" i="2"/>
  <c r="CT178" i="2"/>
  <c r="CS179" i="2"/>
  <c r="CT179" i="2"/>
  <c r="CS180" i="2"/>
  <c r="CT180" i="2"/>
  <c r="CS181" i="2"/>
  <c r="CT181" i="2"/>
  <c r="CS182" i="2"/>
  <c r="CT182" i="2"/>
  <c r="CS183" i="2"/>
  <c r="CT183" i="2"/>
  <c r="CS184" i="2"/>
  <c r="CT184" i="2"/>
  <c r="CS185" i="2"/>
  <c r="CT185" i="2"/>
  <c r="CS186" i="2"/>
  <c r="CT186" i="2"/>
  <c r="CS187" i="2"/>
  <c r="CT187" i="2"/>
  <c r="CS188" i="2"/>
  <c r="CT188" i="2"/>
  <c r="CS189" i="2"/>
  <c r="CT189" i="2"/>
  <c r="CS190" i="2"/>
  <c r="CT190" i="2"/>
  <c r="CS191" i="2"/>
  <c r="CT191" i="2"/>
  <c r="CS192" i="2"/>
  <c r="CT192" i="2"/>
  <c r="CS193" i="2"/>
  <c r="CT193" i="2"/>
  <c r="CS194" i="2"/>
  <c r="CT194" i="2"/>
  <c r="CS195" i="2"/>
  <c r="CT195" i="2"/>
  <c r="CS196" i="2"/>
  <c r="CT196" i="2"/>
  <c r="CS197" i="2"/>
  <c r="CT197" i="2"/>
  <c r="CS198" i="2"/>
  <c r="CT198" i="2"/>
  <c r="CS199" i="2"/>
  <c r="CT199" i="2"/>
  <c r="CS200" i="2"/>
  <c r="CT200" i="2"/>
  <c r="CS201" i="2"/>
  <c r="CT201" i="2"/>
  <c r="CS202" i="2"/>
  <c r="CT202" i="2"/>
  <c r="CS205" i="2"/>
  <c r="CT205" i="2"/>
  <c r="CS206" i="2"/>
  <c r="CT206" i="2"/>
  <c r="CS207" i="2"/>
  <c r="CT207" i="2"/>
  <c r="CS208" i="2"/>
  <c r="CT208" i="2"/>
  <c r="CS209" i="2"/>
  <c r="CT209" i="2"/>
  <c r="CS210" i="2"/>
  <c r="CT210" i="2"/>
  <c r="CS211" i="2"/>
  <c r="CT211" i="2"/>
  <c r="CS212" i="2"/>
  <c r="CT212" i="2"/>
  <c r="CS213" i="2"/>
  <c r="CT213" i="2"/>
  <c r="CS214" i="2"/>
  <c r="CT214" i="2"/>
  <c r="CS215" i="2"/>
  <c r="CT215" i="2"/>
  <c r="CS216" i="2"/>
  <c r="CT216" i="2"/>
  <c r="CS217" i="2"/>
  <c r="CT217" i="2"/>
  <c r="CS218" i="2"/>
  <c r="CT218" i="2"/>
  <c r="CS219" i="2"/>
  <c r="CT219" i="2"/>
  <c r="CS220" i="2"/>
  <c r="CT220" i="2"/>
  <c r="CS221" i="2"/>
  <c r="CT221" i="2"/>
  <c r="CS222" i="2"/>
  <c r="CT222" i="2"/>
  <c r="CS223" i="2"/>
  <c r="CT223" i="2"/>
  <c r="CS224" i="2"/>
  <c r="CT224" i="2"/>
  <c r="CS225" i="2"/>
  <c r="CT225" i="2"/>
  <c r="CS226" i="2"/>
  <c r="CT226" i="2"/>
  <c r="CS227" i="2"/>
  <c r="CT227" i="2"/>
  <c r="CS228" i="2"/>
  <c r="CT228" i="2"/>
  <c r="CS229" i="2"/>
  <c r="CT229" i="2"/>
  <c r="CS230" i="2"/>
  <c r="CT230" i="2"/>
  <c r="CS231" i="2"/>
  <c r="CT231" i="2"/>
  <c r="CS232" i="2"/>
  <c r="CT232" i="2"/>
  <c r="CS233" i="2"/>
  <c r="CT233" i="2"/>
  <c r="CS234" i="2"/>
  <c r="CT234" i="2"/>
  <c r="CS235" i="2"/>
  <c r="CT235" i="2"/>
  <c r="CS236" i="2"/>
  <c r="CT236" i="2"/>
  <c r="CS237" i="2"/>
  <c r="CT237" i="2"/>
  <c r="CS238" i="2"/>
  <c r="CT238" i="2"/>
  <c r="CS239" i="2"/>
  <c r="CT239" i="2"/>
  <c r="CS240" i="2"/>
  <c r="CT240" i="2"/>
  <c r="CS242" i="2"/>
  <c r="CT242" i="2"/>
  <c r="CS243" i="2"/>
  <c r="CT243" i="2"/>
  <c r="CS244" i="2"/>
  <c r="CT244" i="2"/>
  <c r="CS245" i="2"/>
  <c r="CT245" i="2"/>
  <c r="CS246" i="2"/>
  <c r="CT246" i="2"/>
  <c r="CS247" i="2"/>
  <c r="CT247" i="2"/>
  <c r="CS248" i="2"/>
  <c r="CT248" i="2"/>
  <c r="CS249" i="2"/>
  <c r="CT249" i="2"/>
  <c r="CS250" i="2"/>
  <c r="CT250" i="2"/>
  <c r="CS251" i="2"/>
  <c r="CT251" i="2"/>
  <c r="CS252" i="2"/>
  <c r="CT252" i="2"/>
  <c r="CS253" i="2"/>
  <c r="CT253" i="2"/>
  <c r="CS254" i="2"/>
  <c r="CT254" i="2"/>
  <c r="CS255" i="2"/>
  <c r="CT255" i="2"/>
  <c r="CS256" i="2"/>
  <c r="CT256" i="2"/>
  <c r="CS257" i="2"/>
  <c r="CT257" i="2"/>
  <c r="CS258" i="2"/>
  <c r="CT258" i="2"/>
  <c r="CS259" i="2"/>
  <c r="CT259" i="2"/>
  <c r="CS260" i="2"/>
  <c r="CT260" i="2"/>
  <c r="CS261" i="2"/>
  <c r="CT261" i="2"/>
  <c r="CS262" i="2"/>
  <c r="CT262" i="2"/>
  <c r="CS263" i="2"/>
  <c r="CT263" i="2"/>
  <c r="CS264" i="2"/>
  <c r="CT264" i="2"/>
  <c r="CS265" i="2"/>
  <c r="CT265" i="2"/>
  <c r="CS266" i="2"/>
  <c r="CT266" i="2"/>
  <c r="CS267" i="2"/>
  <c r="CT267" i="2"/>
  <c r="CS268" i="2"/>
  <c r="CT268" i="2"/>
  <c r="CS269" i="2"/>
  <c r="CT269" i="2"/>
  <c r="CS270" i="2"/>
  <c r="CT270" i="2"/>
  <c r="CS271" i="2"/>
  <c r="CT271" i="2"/>
  <c r="CS272" i="2"/>
  <c r="CT272" i="2"/>
  <c r="CS273" i="2"/>
  <c r="CT273" i="2"/>
  <c r="CS274" i="2"/>
  <c r="CT274" i="2"/>
  <c r="CS275" i="2"/>
  <c r="CT275" i="2"/>
  <c r="CS276" i="2"/>
  <c r="CT276" i="2"/>
  <c r="CS277" i="2"/>
  <c r="CT277" i="2"/>
  <c r="CS278" i="2"/>
  <c r="CT278" i="2"/>
  <c r="CS280" i="2"/>
  <c r="CT280" i="2"/>
  <c r="CS281" i="2"/>
  <c r="CT281" i="2"/>
  <c r="CS282" i="2"/>
  <c r="CT282" i="2"/>
  <c r="CS283" i="2"/>
  <c r="CT283" i="2"/>
  <c r="CS284" i="2"/>
  <c r="CT284" i="2"/>
  <c r="CS285" i="2"/>
  <c r="CT285" i="2"/>
  <c r="CS286" i="2"/>
  <c r="CT286" i="2"/>
  <c r="CS287" i="2"/>
  <c r="CT287" i="2"/>
  <c r="CS288" i="2"/>
  <c r="CT288" i="2"/>
  <c r="CS289" i="2"/>
  <c r="CT289" i="2"/>
  <c r="CS290" i="2"/>
  <c r="CT290" i="2"/>
  <c r="CS291" i="2"/>
  <c r="CT291" i="2"/>
  <c r="CS292" i="2"/>
  <c r="CT292" i="2"/>
  <c r="CS293" i="2"/>
  <c r="CT293" i="2"/>
  <c r="CS294" i="2"/>
  <c r="CT294" i="2"/>
  <c r="CS295" i="2"/>
  <c r="CT295" i="2"/>
  <c r="CS296" i="2"/>
  <c r="CT296" i="2"/>
  <c r="CS297" i="2"/>
  <c r="CT297" i="2"/>
  <c r="CS298" i="2"/>
  <c r="CT298" i="2"/>
  <c r="CS299" i="2"/>
  <c r="CT299" i="2"/>
  <c r="CS300" i="2"/>
  <c r="CT300" i="2"/>
  <c r="CS301" i="2"/>
  <c r="CT301" i="2"/>
  <c r="CS302" i="2"/>
  <c r="CT302" i="2"/>
  <c r="CS303" i="2"/>
  <c r="CT303" i="2"/>
  <c r="CS304" i="2"/>
  <c r="CT304" i="2"/>
  <c r="CS305" i="2"/>
  <c r="CT305" i="2"/>
  <c r="CS306" i="2"/>
  <c r="CT306" i="2"/>
  <c r="CS307" i="2"/>
  <c r="CT307" i="2"/>
  <c r="CS308" i="2"/>
  <c r="CT308" i="2"/>
  <c r="CS309" i="2"/>
  <c r="CT309" i="2"/>
  <c r="CS310" i="2"/>
  <c r="CT310" i="2"/>
  <c r="CS311" i="2"/>
  <c r="CT311" i="2"/>
  <c r="CS312" i="2"/>
  <c r="CT312" i="2"/>
  <c r="CS313" i="2"/>
  <c r="CT313" i="2"/>
  <c r="CS314" i="2"/>
  <c r="CT314" i="2"/>
  <c r="CS315" i="2"/>
  <c r="CT315" i="2"/>
  <c r="CS316" i="2"/>
  <c r="CT316" i="2"/>
  <c r="CS318" i="2"/>
  <c r="CT318" i="2"/>
  <c r="CS319" i="2"/>
  <c r="CT319" i="2"/>
  <c r="CS320" i="2"/>
  <c r="CT320" i="2"/>
  <c r="CS321" i="2"/>
  <c r="CT321" i="2"/>
  <c r="CS322" i="2"/>
  <c r="CT322" i="2"/>
  <c r="CS323" i="2"/>
  <c r="CT323" i="2"/>
  <c r="CS324" i="2"/>
  <c r="CT324" i="2"/>
  <c r="CS325" i="2"/>
  <c r="CT325" i="2"/>
  <c r="CS326" i="2"/>
  <c r="CT326" i="2"/>
  <c r="CS327" i="2"/>
  <c r="CT327" i="2"/>
  <c r="CS328" i="2"/>
  <c r="CT328" i="2"/>
  <c r="CS329" i="2"/>
  <c r="CT329" i="2"/>
  <c r="CS330" i="2"/>
  <c r="CT330" i="2"/>
  <c r="CS331" i="2"/>
  <c r="CT331" i="2"/>
  <c r="CS332" i="2"/>
  <c r="CT332" i="2"/>
  <c r="CS333" i="2"/>
  <c r="CT333" i="2"/>
  <c r="CS334" i="2"/>
  <c r="CT334" i="2"/>
  <c r="CS335" i="2"/>
  <c r="CT335" i="2"/>
  <c r="CS336" i="2"/>
  <c r="CT336" i="2"/>
  <c r="CS337" i="2"/>
  <c r="CT337" i="2"/>
  <c r="CS338" i="2"/>
  <c r="CT338" i="2"/>
  <c r="CS339" i="2"/>
  <c r="CT339" i="2"/>
  <c r="CS340" i="2"/>
  <c r="CT340" i="2"/>
  <c r="CS341" i="2"/>
  <c r="CT341" i="2"/>
  <c r="CS342" i="2"/>
  <c r="CT342" i="2"/>
  <c r="CS343" i="2"/>
  <c r="CT343" i="2"/>
  <c r="CS344" i="2"/>
  <c r="CT344" i="2"/>
  <c r="CS345" i="2"/>
  <c r="CT345" i="2"/>
  <c r="CS346" i="2"/>
  <c r="CT346" i="2"/>
  <c r="CS347" i="2"/>
  <c r="CT347" i="2"/>
  <c r="CS348" i="2"/>
  <c r="CT348" i="2"/>
  <c r="CS349" i="2"/>
  <c r="CT349" i="2"/>
  <c r="CS350" i="2"/>
  <c r="CT350" i="2"/>
  <c r="CS351" i="2"/>
  <c r="CT351" i="2"/>
  <c r="CS352" i="2"/>
  <c r="CT352" i="2"/>
  <c r="CS353" i="2"/>
  <c r="CT353" i="2"/>
  <c r="CS354" i="2"/>
  <c r="CT354" i="2"/>
  <c r="CS356" i="2"/>
  <c r="CT356" i="2"/>
  <c r="CS357" i="2"/>
  <c r="CT357" i="2"/>
  <c r="CS358" i="2"/>
  <c r="CT358" i="2"/>
  <c r="CS359" i="2"/>
  <c r="CT359" i="2"/>
  <c r="CS360" i="2"/>
  <c r="CT360" i="2"/>
  <c r="CS361" i="2"/>
  <c r="CT361" i="2"/>
  <c r="CS362" i="2"/>
  <c r="CT362" i="2"/>
  <c r="CS363" i="2"/>
  <c r="CT363" i="2"/>
  <c r="CS364" i="2"/>
  <c r="CT364" i="2"/>
  <c r="CS365" i="2"/>
  <c r="CT365" i="2"/>
  <c r="CS366" i="2"/>
  <c r="CT366" i="2"/>
  <c r="CS367" i="2"/>
  <c r="CT367" i="2"/>
  <c r="CS368" i="2"/>
  <c r="CT368" i="2"/>
  <c r="CS369" i="2"/>
  <c r="CT369" i="2"/>
  <c r="CS370" i="2"/>
  <c r="CT370" i="2"/>
  <c r="CS371" i="2"/>
  <c r="CT371" i="2"/>
  <c r="CS372" i="2"/>
  <c r="CT372" i="2"/>
  <c r="CS373" i="2"/>
  <c r="CT373" i="2"/>
  <c r="CS374" i="2"/>
  <c r="CT374" i="2"/>
  <c r="CS375" i="2"/>
  <c r="CT375" i="2"/>
  <c r="CS376" i="2"/>
  <c r="CT376" i="2"/>
  <c r="CS377" i="2"/>
  <c r="CT377" i="2"/>
  <c r="CS378" i="2"/>
  <c r="CT378" i="2"/>
  <c r="CS379" i="2"/>
  <c r="CT379" i="2"/>
  <c r="CS380" i="2"/>
  <c r="CT380" i="2"/>
  <c r="CS381" i="2"/>
  <c r="CT381" i="2"/>
  <c r="CS382" i="2"/>
  <c r="CT382" i="2"/>
  <c r="CS383" i="2"/>
  <c r="CT383" i="2"/>
  <c r="CS384" i="2"/>
  <c r="CT384" i="2"/>
  <c r="CS385" i="2"/>
  <c r="CT385" i="2"/>
  <c r="CS386" i="2"/>
  <c r="CT386" i="2"/>
  <c r="CS387" i="2"/>
  <c r="CT387" i="2"/>
  <c r="CS388" i="2"/>
  <c r="CT388" i="2"/>
  <c r="CS389" i="2"/>
  <c r="CT389" i="2"/>
  <c r="CS390" i="2"/>
  <c r="CT390" i="2"/>
  <c r="CS391" i="2"/>
  <c r="CT391" i="2"/>
  <c r="CS392" i="2"/>
  <c r="CT392" i="2"/>
  <c r="CS394" i="2"/>
  <c r="CT394" i="2"/>
  <c r="CS395" i="2"/>
  <c r="CT395" i="2"/>
  <c r="CS396" i="2"/>
  <c r="CT396" i="2"/>
  <c r="CS397" i="2"/>
  <c r="CT397" i="2"/>
  <c r="CS398" i="2"/>
  <c r="CT398" i="2"/>
  <c r="CS399" i="2"/>
  <c r="CT399" i="2"/>
  <c r="CS400" i="2"/>
  <c r="CT400" i="2"/>
  <c r="CS401" i="2"/>
  <c r="CT401" i="2"/>
  <c r="CS402" i="2"/>
  <c r="CT402" i="2"/>
  <c r="CS403" i="2"/>
  <c r="CT403" i="2"/>
  <c r="CS404" i="2"/>
  <c r="CT404" i="2"/>
  <c r="CS405" i="2"/>
  <c r="CT405" i="2"/>
  <c r="CS406" i="2"/>
  <c r="CT406" i="2"/>
  <c r="CS407" i="2"/>
  <c r="CT407" i="2"/>
  <c r="CS408" i="2"/>
  <c r="CT408" i="2"/>
  <c r="CS409" i="2"/>
  <c r="CT409" i="2"/>
  <c r="CS410" i="2"/>
  <c r="CT410" i="2"/>
  <c r="CS411" i="2"/>
  <c r="CT411" i="2"/>
  <c r="CS412" i="2"/>
  <c r="CT412" i="2"/>
  <c r="CS413" i="2"/>
  <c r="CT413" i="2"/>
  <c r="CS414" i="2"/>
  <c r="CT414" i="2"/>
  <c r="CS415" i="2"/>
  <c r="CT415" i="2"/>
  <c r="CS416" i="2"/>
  <c r="CT416" i="2"/>
  <c r="CS417" i="2"/>
  <c r="CT417" i="2"/>
  <c r="CS418" i="2"/>
  <c r="CT418" i="2"/>
  <c r="CS419" i="2"/>
  <c r="CT419" i="2"/>
  <c r="CS420" i="2"/>
  <c r="CT420" i="2"/>
  <c r="CS421" i="2"/>
  <c r="CT421" i="2"/>
  <c r="CS422" i="2"/>
  <c r="CT422" i="2"/>
  <c r="CS423" i="2"/>
  <c r="CT423" i="2"/>
  <c r="CS424" i="2"/>
  <c r="CT424" i="2"/>
  <c r="CS425" i="2"/>
  <c r="CT425" i="2"/>
  <c r="CS426" i="2"/>
  <c r="CT426" i="2"/>
  <c r="CS427" i="2"/>
  <c r="CT427" i="2"/>
  <c r="CS428" i="2"/>
  <c r="CT428" i="2"/>
  <c r="CS429" i="2"/>
  <c r="CT429" i="2"/>
  <c r="CS430" i="2"/>
  <c r="CT430" i="2"/>
  <c r="CS432" i="2"/>
  <c r="CT432" i="2"/>
  <c r="CS433" i="2"/>
  <c r="CT433" i="2"/>
  <c r="CS434" i="2"/>
  <c r="CT434" i="2"/>
  <c r="CS435" i="2"/>
  <c r="CT435" i="2"/>
  <c r="CS436" i="2"/>
  <c r="CT436" i="2"/>
  <c r="CS437" i="2"/>
  <c r="CT437" i="2"/>
  <c r="CS438" i="2"/>
  <c r="CT438" i="2"/>
  <c r="CS439" i="2"/>
  <c r="CT439" i="2"/>
  <c r="CS440" i="2"/>
  <c r="CT440" i="2"/>
  <c r="CS441" i="2"/>
  <c r="CT441" i="2"/>
  <c r="CS442" i="2"/>
  <c r="CT442" i="2"/>
  <c r="CS443" i="2"/>
  <c r="CT443" i="2"/>
  <c r="CS444" i="2"/>
  <c r="CT444" i="2"/>
  <c r="CS445" i="2"/>
  <c r="CT445" i="2"/>
  <c r="CS446" i="2"/>
  <c r="CT446" i="2"/>
  <c r="CS447" i="2"/>
  <c r="CT447" i="2"/>
  <c r="CS448" i="2"/>
  <c r="CT448" i="2"/>
  <c r="CS449" i="2"/>
  <c r="CT449" i="2"/>
  <c r="CS450" i="2"/>
  <c r="CT450" i="2"/>
  <c r="CS451" i="2"/>
  <c r="CT451" i="2"/>
  <c r="CS452" i="2"/>
  <c r="CT452" i="2"/>
  <c r="CS453" i="2"/>
  <c r="CT453" i="2"/>
  <c r="CS454" i="2"/>
  <c r="CT454" i="2"/>
  <c r="CS455" i="2"/>
  <c r="CT455" i="2"/>
  <c r="CS456" i="2"/>
  <c r="CT456" i="2"/>
  <c r="CS457" i="2"/>
  <c r="CT457" i="2"/>
  <c r="CS458" i="2"/>
  <c r="CT458" i="2"/>
  <c r="CS459" i="2"/>
  <c r="CT459" i="2"/>
  <c r="CS460" i="2"/>
  <c r="CT460" i="2"/>
  <c r="CS461" i="2"/>
  <c r="CT461" i="2"/>
  <c r="CS462" i="2"/>
  <c r="CT462" i="2"/>
  <c r="CS463" i="2"/>
  <c r="CT463" i="2"/>
  <c r="CS464" i="2"/>
  <c r="CT464" i="2"/>
  <c r="CS465" i="2"/>
  <c r="CT465" i="2"/>
  <c r="CS466" i="2"/>
  <c r="CT466" i="2"/>
  <c r="CS467" i="2"/>
  <c r="CT467" i="2"/>
  <c r="CS468" i="2"/>
  <c r="CT468" i="2"/>
  <c r="CT317" i="2" l="1"/>
  <c r="CS317" i="2"/>
  <c r="CT279" i="2"/>
  <c r="CS279" i="2"/>
  <c r="CT431" i="2"/>
  <c r="CS431" i="2"/>
  <c r="CS393" i="2"/>
  <c r="CT393" i="2"/>
  <c r="CS355" i="2"/>
  <c r="CT355" i="2"/>
  <c r="CT241" i="2"/>
  <c r="CS241" i="2"/>
  <c r="MT373" i="2" l="1"/>
  <c r="UW498" i="2"/>
  <c r="UX498" i="2"/>
  <c r="UU498" i="2"/>
  <c r="UV498" i="2"/>
  <c r="MN431" i="2"/>
  <c r="MM431" i="2"/>
  <c r="ML431" i="2"/>
  <c r="MK431" i="2"/>
  <c r="MJ431" i="2"/>
  <c r="MI431" i="2"/>
  <c r="MH431" i="2"/>
  <c r="MG431" i="2"/>
  <c r="MF431" i="2"/>
  <c r="ME431" i="2"/>
  <c r="MD431" i="2"/>
  <c r="MC431" i="2"/>
  <c r="MB431" i="2"/>
  <c r="MA431" i="2"/>
  <c r="MN393" i="2"/>
  <c r="MM393" i="2"/>
  <c r="ML393" i="2"/>
  <c r="MK393" i="2"/>
  <c r="MJ393" i="2"/>
  <c r="MI393" i="2"/>
  <c r="MH393" i="2"/>
  <c r="MG393" i="2"/>
  <c r="MF393" i="2"/>
  <c r="ME393" i="2"/>
  <c r="MD393" i="2"/>
  <c r="MC393" i="2"/>
  <c r="MB393" i="2"/>
  <c r="MA393" i="2"/>
  <c r="MB355" i="2"/>
  <c r="MC355" i="2"/>
  <c r="MD355" i="2"/>
  <c r="ME355" i="2"/>
  <c r="MF355" i="2"/>
  <c r="MG355" i="2"/>
  <c r="MH355" i="2"/>
  <c r="MI355" i="2"/>
  <c r="MJ355" i="2"/>
  <c r="MK355" i="2"/>
  <c r="ML355" i="2"/>
  <c r="MM355" i="2"/>
  <c r="MN355" i="2"/>
  <c r="MA355" i="2"/>
  <c r="MA10" i="2" l="1"/>
  <c r="MA486" i="2"/>
  <c r="MB486" i="2"/>
  <c r="MC486" i="2"/>
  <c r="MD486" i="2"/>
  <c r="ME486" i="2"/>
  <c r="MF486" i="2"/>
  <c r="MG486" i="2"/>
  <c r="MH486" i="2"/>
  <c r="MI486" i="2"/>
  <c r="MJ486" i="2"/>
  <c r="MK486" i="2"/>
  <c r="ML486" i="2"/>
  <c r="MM486" i="2"/>
  <c r="MN486" i="2"/>
  <c r="MA487" i="2"/>
  <c r="MB487" i="2"/>
  <c r="MC487" i="2"/>
  <c r="MD487" i="2"/>
  <c r="ME487" i="2"/>
  <c r="MF487" i="2"/>
  <c r="MG487" i="2"/>
  <c r="MH487" i="2"/>
  <c r="MI487" i="2"/>
  <c r="MJ487" i="2"/>
  <c r="MK487" i="2"/>
  <c r="ML487" i="2"/>
  <c r="MM487" i="2"/>
  <c r="MN487" i="2"/>
  <c r="MA488" i="2"/>
  <c r="MB488" i="2"/>
  <c r="MC488" i="2"/>
  <c r="MD488" i="2"/>
  <c r="ME488" i="2"/>
  <c r="MF488" i="2"/>
  <c r="MG488" i="2"/>
  <c r="MH488" i="2"/>
  <c r="MI488" i="2"/>
  <c r="MJ488" i="2"/>
  <c r="MK488" i="2"/>
  <c r="ML488" i="2"/>
  <c r="MM488" i="2"/>
  <c r="MN488" i="2"/>
  <c r="MA489" i="2"/>
  <c r="MB489" i="2"/>
  <c r="MC489" i="2"/>
  <c r="MD489" i="2"/>
  <c r="ME489" i="2"/>
  <c r="MF489" i="2"/>
  <c r="MG489" i="2"/>
  <c r="MH489" i="2"/>
  <c r="MI489" i="2"/>
  <c r="MJ489" i="2"/>
  <c r="MK489" i="2"/>
  <c r="ML489" i="2"/>
  <c r="MM489" i="2"/>
  <c r="MN489" i="2"/>
  <c r="MA490" i="2"/>
  <c r="MB490" i="2"/>
  <c r="MC490" i="2"/>
  <c r="MD490" i="2"/>
  <c r="ME490" i="2"/>
  <c r="MF490" i="2"/>
  <c r="MG490" i="2"/>
  <c r="MH490" i="2"/>
  <c r="MI490" i="2"/>
  <c r="MJ490" i="2"/>
  <c r="MK490" i="2"/>
  <c r="ML490" i="2"/>
  <c r="MM490" i="2"/>
  <c r="MN490" i="2"/>
  <c r="MA491" i="2"/>
  <c r="MB491" i="2"/>
  <c r="MC491" i="2"/>
  <c r="MD491" i="2"/>
  <c r="ME491" i="2"/>
  <c r="MF491" i="2"/>
  <c r="MH491" i="2"/>
  <c r="MI491" i="2"/>
  <c r="MJ491" i="2"/>
  <c r="MK491" i="2"/>
  <c r="ML491" i="2"/>
  <c r="MM491" i="2"/>
  <c r="MN491" i="2"/>
  <c r="MA492" i="2"/>
  <c r="MB492" i="2"/>
  <c r="MC492" i="2"/>
  <c r="MD492" i="2"/>
  <c r="ME492" i="2"/>
  <c r="MF492" i="2"/>
  <c r="MG492" i="2"/>
  <c r="MH492" i="2"/>
  <c r="MI492" i="2"/>
  <c r="MJ492" i="2"/>
  <c r="MK492" i="2"/>
  <c r="ML492" i="2"/>
  <c r="MM492" i="2"/>
  <c r="MN492" i="2"/>
  <c r="MA493" i="2"/>
  <c r="MB493" i="2"/>
  <c r="MC493" i="2"/>
  <c r="MD493" i="2"/>
  <c r="ME493" i="2"/>
  <c r="MF493" i="2"/>
  <c r="MG493" i="2"/>
  <c r="MH493" i="2"/>
  <c r="MI493" i="2"/>
  <c r="MJ493" i="2"/>
  <c r="MK493" i="2"/>
  <c r="ML493" i="2"/>
  <c r="MM493" i="2"/>
  <c r="MN493" i="2"/>
  <c r="MA494" i="2"/>
  <c r="MB494" i="2"/>
  <c r="MC494" i="2"/>
  <c r="MD494" i="2"/>
  <c r="ME494" i="2"/>
  <c r="MF494" i="2"/>
  <c r="MG494" i="2"/>
  <c r="MH494" i="2"/>
  <c r="MI494" i="2"/>
  <c r="MJ494" i="2"/>
  <c r="MK494" i="2"/>
  <c r="ML494" i="2"/>
  <c r="MM494" i="2"/>
  <c r="MN494" i="2"/>
  <c r="MA495" i="2"/>
  <c r="MB495" i="2"/>
  <c r="MC495" i="2"/>
  <c r="MD495" i="2"/>
  <c r="ME495" i="2"/>
  <c r="MF495" i="2"/>
  <c r="MG495" i="2"/>
  <c r="MH495" i="2"/>
  <c r="MI495" i="2"/>
  <c r="MJ495" i="2"/>
  <c r="MK495" i="2"/>
  <c r="ML495" i="2"/>
  <c r="MM495" i="2"/>
  <c r="MN495" i="2"/>
  <c r="MA496" i="2"/>
  <c r="MB496" i="2"/>
  <c r="MC496" i="2"/>
  <c r="MD496" i="2"/>
  <c r="ME496" i="2"/>
  <c r="MF496" i="2"/>
  <c r="MG496" i="2"/>
  <c r="MH496" i="2"/>
  <c r="MI496" i="2"/>
  <c r="MJ496" i="2"/>
  <c r="MK496" i="2"/>
  <c r="ML496" i="2"/>
  <c r="MM496" i="2"/>
  <c r="MN496" i="2"/>
  <c r="MA497" i="2"/>
  <c r="MB497" i="2"/>
  <c r="MC497" i="2"/>
  <c r="MD497" i="2"/>
  <c r="ME497" i="2"/>
  <c r="MF497" i="2"/>
  <c r="MG497" i="2"/>
  <c r="MH497" i="2"/>
  <c r="MI497" i="2"/>
  <c r="MJ497" i="2"/>
  <c r="MK497" i="2"/>
  <c r="ML497" i="2"/>
  <c r="MM497" i="2"/>
  <c r="MN497" i="2"/>
  <c r="MA498" i="2"/>
  <c r="MB498" i="2"/>
  <c r="MC498" i="2"/>
  <c r="MD498" i="2"/>
  <c r="ME498" i="2"/>
  <c r="MF498" i="2"/>
  <c r="MG498" i="2"/>
  <c r="MH498" i="2"/>
  <c r="MI498" i="2"/>
  <c r="MJ498" i="2"/>
  <c r="MK498" i="2"/>
  <c r="ML498" i="2"/>
  <c r="MM498" i="2"/>
  <c r="MN498" i="2"/>
  <c r="MA499" i="2"/>
  <c r="MB499" i="2"/>
  <c r="MC499" i="2"/>
  <c r="MD499" i="2"/>
  <c r="ME499" i="2"/>
  <c r="MF499" i="2"/>
  <c r="MG499" i="2"/>
  <c r="MH499" i="2"/>
  <c r="MI499" i="2"/>
  <c r="MJ499" i="2"/>
  <c r="MK499" i="2"/>
  <c r="ML499" i="2"/>
  <c r="MM499" i="2"/>
  <c r="MN499" i="2"/>
  <c r="MA500" i="2"/>
  <c r="MB500" i="2"/>
  <c r="MC500" i="2"/>
  <c r="MD500" i="2"/>
  <c r="ME500" i="2"/>
  <c r="MF500" i="2"/>
  <c r="MG500" i="2"/>
  <c r="MH500" i="2"/>
  <c r="MI500" i="2"/>
  <c r="MJ500" i="2"/>
  <c r="MK500" i="2"/>
  <c r="ML500" i="2"/>
  <c r="MM500" i="2"/>
  <c r="MN500" i="2"/>
  <c r="MA501" i="2"/>
  <c r="MB501" i="2"/>
  <c r="MC501" i="2"/>
  <c r="MD501" i="2"/>
  <c r="ME501" i="2"/>
  <c r="MF501" i="2"/>
  <c r="MG501" i="2"/>
  <c r="MH501" i="2"/>
  <c r="MI501" i="2"/>
  <c r="MJ501" i="2"/>
  <c r="MK501" i="2"/>
  <c r="ML501" i="2"/>
  <c r="MM501" i="2"/>
  <c r="MN501" i="2"/>
  <c r="MA502" i="2"/>
  <c r="MB502" i="2"/>
  <c r="MD502" i="2"/>
  <c r="ME502" i="2"/>
  <c r="MF502" i="2"/>
  <c r="MG502" i="2"/>
  <c r="MH502" i="2"/>
  <c r="MI502" i="2"/>
  <c r="MJ502" i="2"/>
  <c r="MK502" i="2"/>
  <c r="ML502" i="2"/>
  <c r="MM502" i="2"/>
  <c r="MN502" i="2"/>
  <c r="MA503" i="2"/>
  <c r="MB503" i="2"/>
  <c r="MC503" i="2"/>
  <c r="MD503" i="2"/>
  <c r="ME503" i="2"/>
  <c r="MF503" i="2"/>
  <c r="MG503" i="2"/>
  <c r="MH503" i="2"/>
  <c r="MI503" i="2"/>
  <c r="MJ503" i="2"/>
  <c r="MK503" i="2"/>
  <c r="ML503" i="2"/>
  <c r="MM503" i="2"/>
  <c r="MN503" i="2"/>
  <c r="MA504" i="2"/>
  <c r="MB504" i="2"/>
  <c r="MC504" i="2"/>
  <c r="MD504" i="2"/>
  <c r="ME504" i="2"/>
  <c r="MF504" i="2"/>
  <c r="MG504" i="2"/>
  <c r="MH504" i="2"/>
  <c r="MI504" i="2"/>
  <c r="MJ504" i="2"/>
  <c r="MK504" i="2"/>
  <c r="ML504" i="2"/>
  <c r="MM504" i="2"/>
  <c r="MN504" i="2"/>
  <c r="MA505" i="2"/>
  <c r="MB505" i="2"/>
  <c r="MC505" i="2"/>
  <c r="MD505" i="2"/>
  <c r="ME505" i="2"/>
  <c r="MF505" i="2"/>
  <c r="MG505" i="2"/>
  <c r="MH505" i="2"/>
  <c r="MI505" i="2"/>
  <c r="MJ505" i="2"/>
  <c r="MK505" i="2"/>
  <c r="ML505" i="2"/>
  <c r="MM505" i="2"/>
  <c r="MN505" i="2"/>
  <c r="MA506" i="2"/>
  <c r="MB506" i="2"/>
  <c r="MC506" i="2"/>
  <c r="MD506" i="2"/>
  <c r="ME506" i="2"/>
  <c r="MF506" i="2"/>
  <c r="MG506" i="2"/>
  <c r="MH506" i="2"/>
  <c r="MI506" i="2"/>
  <c r="MJ506" i="2"/>
  <c r="MK506" i="2"/>
  <c r="ML506" i="2"/>
  <c r="MM506" i="2"/>
  <c r="MN506" i="2"/>
  <c r="MA507" i="2"/>
  <c r="MB507" i="2"/>
  <c r="MC507" i="2"/>
  <c r="MD507" i="2"/>
  <c r="ME507" i="2"/>
  <c r="MF507" i="2"/>
  <c r="MG507" i="2"/>
  <c r="MH507" i="2"/>
  <c r="MI507" i="2"/>
  <c r="MJ507" i="2"/>
  <c r="MK507" i="2"/>
  <c r="ML507" i="2"/>
  <c r="MM507" i="2"/>
  <c r="MN507" i="2"/>
  <c r="MA508" i="2"/>
  <c r="MB508" i="2"/>
  <c r="MC508" i="2"/>
  <c r="MD508" i="2"/>
  <c r="ME508" i="2"/>
  <c r="MF508" i="2"/>
  <c r="MG508" i="2"/>
  <c r="MH508" i="2"/>
  <c r="MI508" i="2"/>
  <c r="MJ508" i="2"/>
  <c r="MK508" i="2"/>
  <c r="ML508" i="2"/>
  <c r="MM508" i="2"/>
  <c r="MN508" i="2"/>
  <c r="MA509" i="2"/>
  <c r="MB509" i="2"/>
  <c r="MC509" i="2"/>
  <c r="MD509" i="2"/>
  <c r="ME509" i="2"/>
  <c r="MF509" i="2"/>
  <c r="MG509" i="2"/>
  <c r="MH509" i="2"/>
  <c r="MI509" i="2"/>
  <c r="MJ509" i="2"/>
  <c r="MK509" i="2"/>
  <c r="ML509" i="2"/>
  <c r="MM509" i="2"/>
  <c r="MN509" i="2"/>
  <c r="MA510" i="2"/>
  <c r="MB510" i="2"/>
  <c r="MD510" i="2"/>
  <c r="ME510" i="2"/>
  <c r="MF510" i="2"/>
  <c r="MG510" i="2"/>
  <c r="MH510" i="2"/>
  <c r="MI510" i="2"/>
  <c r="MJ510" i="2"/>
  <c r="MK510" i="2"/>
  <c r="ML510" i="2"/>
  <c r="MM510" i="2"/>
  <c r="MN510" i="2"/>
  <c r="MA511" i="2"/>
  <c r="MB511" i="2"/>
  <c r="MC511" i="2"/>
  <c r="MD511" i="2"/>
  <c r="ME511" i="2"/>
  <c r="MF511" i="2"/>
  <c r="MG511" i="2"/>
  <c r="MH511" i="2"/>
  <c r="MI511" i="2"/>
  <c r="MJ511" i="2"/>
  <c r="MK511" i="2"/>
  <c r="ML511" i="2"/>
  <c r="MM511" i="2"/>
  <c r="MN511" i="2"/>
  <c r="MA512" i="2"/>
  <c r="MB512" i="2"/>
  <c r="MC512" i="2"/>
  <c r="MD512" i="2"/>
  <c r="ME512" i="2"/>
  <c r="MF512" i="2"/>
  <c r="MG512" i="2"/>
  <c r="MH512" i="2"/>
  <c r="MI512" i="2"/>
  <c r="MJ512" i="2"/>
  <c r="MK512" i="2"/>
  <c r="ML512" i="2"/>
  <c r="MM512" i="2"/>
  <c r="MN512" i="2"/>
  <c r="MA513" i="2"/>
  <c r="MB513" i="2"/>
  <c r="MC513" i="2"/>
  <c r="MD513" i="2"/>
  <c r="ME513" i="2"/>
  <c r="MF513" i="2"/>
  <c r="MG513" i="2"/>
  <c r="MH513" i="2"/>
  <c r="MI513" i="2"/>
  <c r="MJ513" i="2"/>
  <c r="MK513" i="2"/>
  <c r="ML513" i="2"/>
  <c r="MM513" i="2"/>
  <c r="MN513" i="2"/>
  <c r="MA514" i="2"/>
  <c r="MB514" i="2"/>
  <c r="MC514" i="2"/>
  <c r="MD514" i="2"/>
  <c r="ME514" i="2"/>
  <c r="MF514" i="2"/>
  <c r="MG514" i="2"/>
  <c r="MH514" i="2"/>
  <c r="MI514" i="2"/>
  <c r="AS37" i="50" s="1"/>
  <c r="MJ514" i="2"/>
  <c r="AT37" i="50" s="1"/>
  <c r="MK514" i="2"/>
  <c r="ML514" i="2"/>
  <c r="MM514" i="2"/>
  <c r="MN514" i="2"/>
  <c r="MA515" i="2"/>
  <c r="MB515" i="2"/>
  <c r="MC515" i="2"/>
  <c r="MD515" i="2"/>
  <c r="ME515" i="2"/>
  <c r="MF515" i="2"/>
  <c r="MG515" i="2"/>
  <c r="MH515" i="2"/>
  <c r="MI515" i="2"/>
  <c r="AS38" i="50" s="1"/>
  <c r="MJ515" i="2"/>
  <c r="AT38" i="50" s="1"/>
  <c r="MK515" i="2"/>
  <c r="ML515" i="2"/>
  <c r="MM515" i="2"/>
  <c r="MN515" i="2"/>
  <c r="MA516" i="2"/>
  <c r="MB516" i="2"/>
  <c r="MC516" i="2"/>
  <c r="MD516" i="2"/>
  <c r="ME516" i="2"/>
  <c r="MF516" i="2"/>
  <c r="MG516" i="2"/>
  <c r="MH516" i="2"/>
  <c r="MI516" i="2"/>
  <c r="AS39" i="50" s="1"/>
  <c r="MJ516" i="2"/>
  <c r="AT39" i="50" s="1"/>
  <c r="MK516" i="2"/>
  <c r="ML516" i="2"/>
  <c r="MM516" i="2"/>
  <c r="MN516" i="2"/>
  <c r="MA517" i="2"/>
  <c r="MB517" i="2"/>
  <c r="MC517" i="2"/>
  <c r="MD517" i="2"/>
  <c r="ME517" i="2"/>
  <c r="MF517" i="2"/>
  <c r="MG517" i="2"/>
  <c r="MH517" i="2"/>
  <c r="MI517" i="2"/>
  <c r="AS40" i="50" s="1"/>
  <c r="MJ517" i="2"/>
  <c r="AT40" i="50" s="1"/>
  <c r="MK517" i="2"/>
  <c r="ML517" i="2"/>
  <c r="MM517" i="2"/>
  <c r="MN517" i="2"/>
  <c r="MA518" i="2"/>
  <c r="MB518" i="2"/>
  <c r="MC518" i="2"/>
  <c r="MD518" i="2"/>
  <c r="ME518" i="2"/>
  <c r="MF518" i="2"/>
  <c r="MG518" i="2"/>
  <c r="MH518" i="2"/>
  <c r="MI518" i="2"/>
  <c r="AS41" i="50" s="1"/>
  <c r="MJ518" i="2"/>
  <c r="AT41" i="50" s="1"/>
  <c r="MK518" i="2"/>
  <c r="ML518" i="2"/>
  <c r="MM518" i="2"/>
  <c r="MN518" i="2"/>
  <c r="MA519" i="2"/>
  <c r="MB519" i="2"/>
  <c r="MC519" i="2"/>
  <c r="MD519" i="2"/>
  <c r="ME519" i="2"/>
  <c r="MF519" i="2"/>
  <c r="MG519" i="2"/>
  <c r="MH519" i="2"/>
  <c r="MI519" i="2"/>
  <c r="AS42" i="50" s="1"/>
  <c r="MJ519" i="2"/>
  <c r="AT42" i="50" s="1"/>
  <c r="MK519" i="2"/>
  <c r="ML519" i="2"/>
  <c r="MM519" i="2"/>
  <c r="MN519" i="2"/>
  <c r="MA520" i="2"/>
  <c r="MB520" i="2"/>
  <c r="MC520" i="2"/>
  <c r="MD520" i="2"/>
  <c r="ME520" i="2"/>
  <c r="MF520" i="2"/>
  <c r="MG520" i="2"/>
  <c r="MH520" i="2"/>
  <c r="MI520" i="2"/>
  <c r="AS43" i="50" s="1"/>
  <c r="MJ520" i="2"/>
  <c r="AT43" i="50" s="1"/>
  <c r="MK520" i="2"/>
  <c r="ML520" i="2"/>
  <c r="MM520" i="2"/>
  <c r="MN520" i="2"/>
  <c r="MA521" i="2"/>
  <c r="MB521" i="2"/>
  <c r="MC521" i="2"/>
  <c r="MD521" i="2"/>
  <c r="ME521" i="2"/>
  <c r="MF521" i="2"/>
  <c r="MG521" i="2"/>
  <c r="MH521" i="2"/>
  <c r="MI521" i="2"/>
  <c r="AS44" i="50" s="1"/>
  <c r="MJ521" i="2"/>
  <c r="AT44" i="50" s="1"/>
  <c r="MK521" i="2"/>
  <c r="ML521" i="2"/>
  <c r="MM521" i="2"/>
  <c r="MN521" i="2"/>
  <c r="MB485" i="2"/>
  <c r="MC485" i="2"/>
  <c r="MD485" i="2"/>
  <c r="ME485" i="2"/>
  <c r="MF485" i="2"/>
  <c r="MG485" i="2"/>
  <c r="MH485" i="2"/>
  <c r="MI485" i="2"/>
  <c r="MJ485" i="2"/>
  <c r="MK485" i="2"/>
  <c r="ML485" i="2"/>
  <c r="MM485" i="2"/>
  <c r="MN485" i="2"/>
  <c r="MA485" i="2"/>
  <c r="WJ521" i="2"/>
  <c r="WI521" i="2"/>
  <c r="WH521" i="2"/>
  <c r="WG521" i="2"/>
  <c r="WF521" i="2"/>
  <c r="BZ44" i="50" s="1"/>
  <c r="WE521" i="2"/>
  <c r="BY44" i="50" s="1"/>
  <c r="WD521" i="2"/>
  <c r="WC521" i="2"/>
  <c r="WB521" i="2"/>
  <c r="WA521" i="2"/>
  <c r="VZ521" i="2"/>
  <c r="VY521" i="2"/>
  <c r="VX521" i="2"/>
  <c r="VW521" i="2"/>
  <c r="WJ520" i="2"/>
  <c r="WI520" i="2"/>
  <c r="WH520" i="2"/>
  <c r="WG520" i="2"/>
  <c r="WF520" i="2"/>
  <c r="BZ43" i="50" s="1"/>
  <c r="WE520" i="2"/>
  <c r="BY43" i="50" s="1"/>
  <c r="WD520" i="2"/>
  <c r="WC520" i="2"/>
  <c r="WB520" i="2"/>
  <c r="WA520" i="2"/>
  <c r="VZ520" i="2"/>
  <c r="VY520" i="2"/>
  <c r="VX520" i="2"/>
  <c r="VW520" i="2"/>
  <c r="WJ519" i="2"/>
  <c r="WI519" i="2"/>
  <c r="WH519" i="2"/>
  <c r="WG519" i="2"/>
  <c r="WF519" i="2"/>
  <c r="BZ42" i="50" s="1"/>
  <c r="WE519" i="2"/>
  <c r="BY42" i="50" s="1"/>
  <c r="WD519" i="2"/>
  <c r="WC519" i="2"/>
  <c r="WB519" i="2"/>
  <c r="WA519" i="2"/>
  <c r="VZ519" i="2"/>
  <c r="VY519" i="2"/>
  <c r="VX519" i="2"/>
  <c r="VW519" i="2"/>
  <c r="WJ518" i="2"/>
  <c r="WI518" i="2"/>
  <c r="WH518" i="2"/>
  <c r="WG518" i="2"/>
  <c r="WF518" i="2"/>
  <c r="BZ41" i="50" s="1"/>
  <c r="WE518" i="2"/>
  <c r="BY41" i="50" s="1"/>
  <c r="WD518" i="2"/>
  <c r="WC518" i="2"/>
  <c r="WB518" i="2"/>
  <c r="WA518" i="2"/>
  <c r="VZ518" i="2"/>
  <c r="VY518" i="2"/>
  <c r="VX518" i="2"/>
  <c r="VW518" i="2"/>
  <c r="WJ517" i="2"/>
  <c r="WI517" i="2"/>
  <c r="WH517" i="2"/>
  <c r="WG517" i="2"/>
  <c r="WF517" i="2"/>
  <c r="BZ40" i="50" s="1"/>
  <c r="WE517" i="2"/>
  <c r="BY40" i="50" s="1"/>
  <c r="WD517" i="2"/>
  <c r="WC517" i="2"/>
  <c r="WB517" i="2"/>
  <c r="WA517" i="2"/>
  <c r="VZ517" i="2"/>
  <c r="VY517" i="2"/>
  <c r="VX517" i="2"/>
  <c r="VW517" i="2"/>
  <c r="WJ516" i="2"/>
  <c r="WI516" i="2"/>
  <c r="WH516" i="2"/>
  <c r="WG516" i="2"/>
  <c r="WF516" i="2"/>
  <c r="BZ39" i="50" s="1"/>
  <c r="WE516" i="2"/>
  <c r="BY39" i="50" s="1"/>
  <c r="WD516" i="2"/>
  <c r="WC516" i="2"/>
  <c r="WB516" i="2"/>
  <c r="WA516" i="2"/>
  <c r="VZ516" i="2"/>
  <c r="VY516" i="2"/>
  <c r="VX516" i="2"/>
  <c r="VW516" i="2"/>
  <c r="WJ515" i="2"/>
  <c r="WI515" i="2"/>
  <c r="WH515" i="2"/>
  <c r="WG515" i="2"/>
  <c r="WF515" i="2"/>
  <c r="BZ38" i="50" s="1"/>
  <c r="WE515" i="2"/>
  <c r="BY38" i="50" s="1"/>
  <c r="WD515" i="2"/>
  <c r="WC515" i="2"/>
  <c r="WB515" i="2"/>
  <c r="WA515" i="2"/>
  <c r="VZ515" i="2"/>
  <c r="VY515" i="2"/>
  <c r="VX515" i="2"/>
  <c r="VW515" i="2"/>
  <c r="WJ514" i="2"/>
  <c r="WI514" i="2"/>
  <c r="WH514" i="2"/>
  <c r="WG514" i="2"/>
  <c r="WF514" i="2"/>
  <c r="BZ37" i="50" s="1"/>
  <c r="WE514" i="2"/>
  <c r="BY37" i="50" s="1"/>
  <c r="WD514" i="2"/>
  <c r="WC514" i="2"/>
  <c r="WB514" i="2"/>
  <c r="WA514" i="2"/>
  <c r="VZ514" i="2"/>
  <c r="VY514" i="2"/>
  <c r="VX514" i="2"/>
  <c r="VW514" i="2"/>
  <c r="WJ513" i="2"/>
  <c r="WI513" i="2"/>
  <c r="WH513" i="2"/>
  <c r="WG513" i="2"/>
  <c r="WF513" i="2"/>
  <c r="WE513" i="2"/>
  <c r="WD513" i="2"/>
  <c r="WC513" i="2"/>
  <c r="WB513" i="2"/>
  <c r="WA513" i="2"/>
  <c r="VZ513" i="2"/>
  <c r="VY513" i="2"/>
  <c r="VX513" i="2"/>
  <c r="VW513" i="2"/>
  <c r="WJ512" i="2"/>
  <c r="WI512" i="2"/>
  <c r="WH512" i="2"/>
  <c r="WG512" i="2"/>
  <c r="WF512" i="2"/>
  <c r="WE512" i="2"/>
  <c r="WD512" i="2"/>
  <c r="WC512" i="2"/>
  <c r="WB512" i="2"/>
  <c r="WA512" i="2"/>
  <c r="VZ512" i="2"/>
  <c r="VY512" i="2"/>
  <c r="VX512" i="2"/>
  <c r="VW512" i="2"/>
  <c r="WJ511" i="2"/>
  <c r="WI511" i="2"/>
  <c r="WH511" i="2"/>
  <c r="WG511" i="2"/>
  <c r="WF511" i="2"/>
  <c r="WE511" i="2"/>
  <c r="WD511" i="2"/>
  <c r="WC511" i="2"/>
  <c r="WB511" i="2"/>
  <c r="WA511" i="2"/>
  <c r="VZ511" i="2"/>
  <c r="VY511" i="2"/>
  <c r="VX511" i="2"/>
  <c r="VW511" i="2"/>
  <c r="WJ510" i="2"/>
  <c r="WI510" i="2"/>
  <c r="WH510" i="2"/>
  <c r="WG510" i="2"/>
  <c r="WF510" i="2"/>
  <c r="WE510" i="2"/>
  <c r="WD510" i="2"/>
  <c r="WC510" i="2"/>
  <c r="WB510" i="2"/>
  <c r="WA510" i="2"/>
  <c r="VX510" i="2"/>
  <c r="VW510" i="2"/>
  <c r="WJ509" i="2"/>
  <c r="WI509" i="2"/>
  <c r="WH509" i="2"/>
  <c r="WG509" i="2"/>
  <c r="WF509" i="2"/>
  <c r="WE509" i="2"/>
  <c r="WD509" i="2"/>
  <c r="WC509" i="2"/>
  <c r="WB509" i="2"/>
  <c r="WA509" i="2"/>
  <c r="VZ509" i="2"/>
  <c r="VY509" i="2"/>
  <c r="VX509" i="2"/>
  <c r="VW509" i="2"/>
  <c r="WJ508" i="2"/>
  <c r="WI508" i="2"/>
  <c r="WH508" i="2"/>
  <c r="WG508" i="2"/>
  <c r="WF508" i="2"/>
  <c r="WE508" i="2"/>
  <c r="WD508" i="2"/>
  <c r="WC508" i="2"/>
  <c r="WB508" i="2"/>
  <c r="WA508" i="2"/>
  <c r="VZ508" i="2"/>
  <c r="VY508" i="2"/>
  <c r="VX508" i="2"/>
  <c r="VW508" i="2"/>
  <c r="WJ507" i="2"/>
  <c r="WI507" i="2"/>
  <c r="WH507" i="2"/>
  <c r="WG507" i="2"/>
  <c r="WF507" i="2"/>
  <c r="WE507" i="2"/>
  <c r="WD507" i="2"/>
  <c r="WC507" i="2"/>
  <c r="WB507" i="2"/>
  <c r="WA507" i="2"/>
  <c r="VZ507" i="2"/>
  <c r="VY507" i="2"/>
  <c r="VX507" i="2"/>
  <c r="VW507" i="2"/>
  <c r="WJ506" i="2"/>
  <c r="WI506" i="2"/>
  <c r="WH506" i="2"/>
  <c r="WG506" i="2"/>
  <c r="WF506" i="2"/>
  <c r="WE506" i="2"/>
  <c r="WD506" i="2"/>
  <c r="WC506" i="2"/>
  <c r="WB506" i="2"/>
  <c r="WA506" i="2"/>
  <c r="VZ506" i="2"/>
  <c r="VY506" i="2"/>
  <c r="VX506" i="2"/>
  <c r="VW506" i="2"/>
  <c r="WJ505" i="2"/>
  <c r="WI505" i="2"/>
  <c r="WH505" i="2"/>
  <c r="WG505" i="2"/>
  <c r="WF505" i="2"/>
  <c r="WE505" i="2"/>
  <c r="WD505" i="2"/>
  <c r="WC505" i="2"/>
  <c r="WB505" i="2"/>
  <c r="WA505" i="2"/>
  <c r="VZ505" i="2"/>
  <c r="VY505" i="2"/>
  <c r="VX505" i="2"/>
  <c r="VW505" i="2"/>
  <c r="WJ504" i="2"/>
  <c r="WI504" i="2"/>
  <c r="WH504" i="2"/>
  <c r="WG504" i="2"/>
  <c r="WF504" i="2"/>
  <c r="WE504" i="2"/>
  <c r="WD504" i="2"/>
  <c r="WC504" i="2"/>
  <c r="WB504" i="2"/>
  <c r="WA504" i="2"/>
  <c r="VZ504" i="2"/>
  <c r="VY504" i="2"/>
  <c r="VX504" i="2"/>
  <c r="VW504" i="2"/>
  <c r="WJ503" i="2"/>
  <c r="WI503" i="2"/>
  <c r="WH503" i="2"/>
  <c r="WG503" i="2"/>
  <c r="WF503" i="2"/>
  <c r="WE503" i="2"/>
  <c r="WD503" i="2"/>
  <c r="WC503" i="2"/>
  <c r="WB503" i="2"/>
  <c r="WA503" i="2"/>
  <c r="VZ503" i="2"/>
  <c r="VY503" i="2"/>
  <c r="VX503" i="2"/>
  <c r="VW503" i="2"/>
  <c r="WJ502" i="2"/>
  <c r="WI502" i="2"/>
  <c r="WH502" i="2"/>
  <c r="WG502" i="2"/>
  <c r="WF502" i="2"/>
  <c r="WE502" i="2"/>
  <c r="WD502" i="2"/>
  <c r="WC502" i="2"/>
  <c r="WB502" i="2"/>
  <c r="WA502" i="2"/>
  <c r="VZ502" i="2"/>
  <c r="VY502" i="2"/>
  <c r="VX502" i="2"/>
  <c r="VW502" i="2"/>
  <c r="WJ501" i="2"/>
  <c r="WI501" i="2"/>
  <c r="WH501" i="2"/>
  <c r="WG501" i="2"/>
  <c r="WF501" i="2"/>
  <c r="WE501" i="2"/>
  <c r="WD501" i="2"/>
  <c r="WC501" i="2"/>
  <c r="WB501" i="2"/>
  <c r="WA501" i="2"/>
  <c r="VZ501" i="2"/>
  <c r="VY501" i="2"/>
  <c r="VX501" i="2"/>
  <c r="VW501" i="2"/>
  <c r="WJ500" i="2"/>
  <c r="WI500" i="2"/>
  <c r="WH500" i="2"/>
  <c r="WG500" i="2"/>
  <c r="WF500" i="2"/>
  <c r="WE500" i="2"/>
  <c r="WD500" i="2"/>
  <c r="WC500" i="2"/>
  <c r="WB500" i="2"/>
  <c r="WA500" i="2"/>
  <c r="VZ500" i="2"/>
  <c r="VY500" i="2"/>
  <c r="VX500" i="2"/>
  <c r="VW500" i="2"/>
  <c r="WJ499" i="2"/>
  <c r="WI499" i="2"/>
  <c r="WH499" i="2"/>
  <c r="WG499" i="2"/>
  <c r="WF499" i="2"/>
  <c r="WE499" i="2"/>
  <c r="WD499" i="2"/>
  <c r="WC499" i="2"/>
  <c r="WB499" i="2"/>
  <c r="WA499" i="2"/>
  <c r="VZ499" i="2"/>
  <c r="VY499" i="2"/>
  <c r="VX499" i="2"/>
  <c r="VW499" i="2"/>
  <c r="WJ498" i="2"/>
  <c r="WI498" i="2"/>
  <c r="WH498" i="2"/>
  <c r="WG498" i="2"/>
  <c r="WF498" i="2"/>
  <c r="WE498" i="2"/>
  <c r="WD498" i="2"/>
  <c r="WC498" i="2"/>
  <c r="WB498" i="2"/>
  <c r="WA498" i="2"/>
  <c r="VZ498" i="2"/>
  <c r="VY498" i="2"/>
  <c r="VX498" i="2"/>
  <c r="VW498" i="2"/>
  <c r="WJ497" i="2"/>
  <c r="WI497" i="2"/>
  <c r="WH497" i="2"/>
  <c r="WG497" i="2"/>
  <c r="WF497" i="2"/>
  <c r="WE497" i="2"/>
  <c r="WD497" i="2"/>
  <c r="WC497" i="2"/>
  <c r="WB497" i="2"/>
  <c r="WA497" i="2"/>
  <c r="VZ497" i="2"/>
  <c r="VY497" i="2"/>
  <c r="VX497" i="2"/>
  <c r="VW497" i="2"/>
  <c r="WJ496" i="2"/>
  <c r="WI496" i="2"/>
  <c r="WH496" i="2"/>
  <c r="WG496" i="2"/>
  <c r="WF496" i="2"/>
  <c r="WE496" i="2"/>
  <c r="WD496" i="2"/>
  <c r="WC496" i="2"/>
  <c r="WB496" i="2"/>
  <c r="WA496" i="2"/>
  <c r="VZ496" i="2"/>
  <c r="VY496" i="2"/>
  <c r="VX496" i="2"/>
  <c r="VW496" i="2"/>
  <c r="WJ495" i="2"/>
  <c r="WI495" i="2"/>
  <c r="WH495" i="2"/>
  <c r="WG495" i="2"/>
  <c r="WF495" i="2"/>
  <c r="WE495" i="2"/>
  <c r="WD495" i="2"/>
  <c r="WC495" i="2"/>
  <c r="WB495" i="2"/>
  <c r="WA495" i="2"/>
  <c r="VZ495" i="2"/>
  <c r="VY495" i="2"/>
  <c r="VX495" i="2"/>
  <c r="VW495" i="2"/>
  <c r="WJ494" i="2"/>
  <c r="WI494" i="2"/>
  <c r="WH494" i="2"/>
  <c r="WG494" i="2"/>
  <c r="WF494" i="2"/>
  <c r="WE494" i="2"/>
  <c r="WD494" i="2"/>
  <c r="WC494" i="2"/>
  <c r="WB494" i="2"/>
  <c r="WA494" i="2"/>
  <c r="VZ494" i="2"/>
  <c r="VY494" i="2"/>
  <c r="VX494" i="2"/>
  <c r="VW494" i="2"/>
  <c r="WJ493" i="2"/>
  <c r="WI493" i="2"/>
  <c r="WH493" i="2"/>
  <c r="WG493" i="2"/>
  <c r="WF493" i="2"/>
  <c r="WE493" i="2"/>
  <c r="WD493" i="2"/>
  <c r="WC493" i="2"/>
  <c r="WB493" i="2"/>
  <c r="WA493" i="2"/>
  <c r="VZ493" i="2"/>
  <c r="VY493" i="2"/>
  <c r="VX493" i="2"/>
  <c r="VW493" i="2"/>
  <c r="WJ492" i="2"/>
  <c r="WI492" i="2"/>
  <c r="WH492" i="2"/>
  <c r="WG492" i="2"/>
  <c r="WF492" i="2"/>
  <c r="WE492" i="2"/>
  <c r="WD492" i="2"/>
  <c r="WC492" i="2"/>
  <c r="WB492" i="2"/>
  <c r="WA492" i="2"/>
  <c r="VZ492" i="2"/>
  <c r="VY492" i="2"/>
  <c r="VX492" i="2"/>
  <c r="VW492" i="2"/>
  <c r="WJ491" i="2"/>
  <c r="WI491" i="2"/>
  <c r="WH491" i="2"/>
  <c r="WG491" i="2"/>
  <c r="WF491" i="2"/>
  <c r="WE491" i="2"/>
  <c r="WD491" i="2"/>
  <c r="WC491" i="2"/>
  <c r="WB491" i="2"/>
  <c r="WA491" i="2"/>
  <c r="VZ491" i="2"/>
  <c r="VY491" i="2"/>
  <c r="VX491" i="2"/>
  <c r="VW491" i="2"/>
  <c r="WJ490" i="2"/>
  <c r="WI490" i="2"/>
  <c r="WH490" i="2"/>
  <c r="WG490" i="2"/>
  <c r="WF490" i="2"/>
  <c r="WE490" i="2"/>
  <c r="WD490" i="2"/>
  <c r="WC490" i="2"/>
  <c r="WB490" i="2"/>
  <c r="WA490" i="2"/>
  <c r="VZ490" i="2"/>
  <c r="VY490" i="2"/>
  <c r="VX490" i="2"/>
  <c r="VW490" i="2"/>
  <c r="WJ489" i="2"/>
  <c r="WI489" i="2"/>
  <c r="WH489" i="2"/>
  <c r="WG489" i="2"/>
  <c r="WF489" i="2"/>
  <c r="WE489" i="2"/>
  <c r="WD489" i="2"/>
  <c r="WC489" i="2"/>
  <c r="WB489" i="2"/>
  <c r="WA489" i="2"/>
  <c r="VZ489" i="2"/>
  <c r="VY489" i="2"/>
  <c r="VX489" i="2"/>
  <c r="VW489" i="2"/>
  <c r="WJ488" i="2"/>
  <c r="WI488" i="2"/>
  <c r="WH488" i="2"/>
  <c r="WG488" i="2"/>
  <c r="WF488" i="2"/>
  <c r="WE488" i="2"/>
  <c r="WD488" i="2"/>
  <c r="WC488" i="2"/>
  <c r="WB488" i="2"/>
  <c r="WA488" i="2"/>
  <c r="VZ488" i="2"/>
  <c r="VY488" i="2"/>
  <c r="VX488" i="2"/>
  <c r="VW488" i="2"/>
  <c r="WJ487" i="2"/>
  <c r="WI487" i="2"/>
  <c r="WH487" i="2"/>
  <c r="WG487" i="2"/>
  <c r="WF487" i="2"/>
  <c r="WE487" i="2"/>
  <c r="WD487" i="2"/>
  <c r="WC487" i="2"/>
  <c r="WB487" i="2"/>
  <c r="WA487" i="2"/>
  <c r="VZ487" i="2"/>
  <c r="VY487" i="2"/>
  <c r="VX487" i="2"/>
  <c r="VW487" i="2"/>
  <c r="WJ486" i="2"/>
  <c r="WI486" i="2"/>
  <c r="WH486" i="2"/>
  <c r="WG486" i="2"/>
  <c r="WF486" i="2"/>
  <c r="WE486" i="2"/>
  <c r="WD486" i="2"/>
  <c r="WC486" i="2"/>
  <c r="WB486" i="2"/>
  <c r="WA486" i="2"/>
  <c r="VZ486" i="2"/>
  <c r="VY486" i="2"/>
  <c r="VX486" i="2"/>
  <c r="VW486" i="2"/>
  <c r="WJ485" i="2"/>
  <c r="WI485" i="2"/>
  <c r="WH485" i="2"/>
  <c r="WG485" i="2"/>
  <c r="WF485" i="2"/>
  <c r="WE485" i="2"/>
  <c r="WD485" i="2"/>
  <c r="WC485" i="2"/>
  <c r="WB485" i="2"/>
  <c r="WA485" i="2"/>
  <c r="VZ485" i="2"/>
  <c r="VY485" i="2"/>
  <c r="VX485" i="2"/>
  <c r="VW485" i="2"/>
  <c r="VT521" i="2"/>
  <c r="VS521" i="2"/>
  <c r="VR521" i="2"/>
  <c r="VQ521" i="2"/>
  <c r="VP521" i="2"/>
  <c r="BX44" i="50" s="1"/>
  <c r="VO521" i="2"/>
  <c r="BW44" i="50" s="1"/>
  <c r="VN521" i="2"/>
  <c r="VM521" i="2"/>
  <c r="VL521" i="2"/>
  <c r="VK521" i="2"/>
  <c r="VJ521" i="2"/>
  <c r="VI521" i="2"/>
  <c r="VH521" i="2"/>
  <c r="VG521" i="2"/>
  <c r="VT520" i="2"/>
  <c r="VS520" i="2"/>
  <c r="VR520" i="2"/>
  <c r="VQ520" i="2"/>
  <c r="VP520" i="2"/>
  <c r="BX43" i="50" s="1"/>
  <c r="VO520" i="2"/>
  <c r="BW43" i="50" s="1"/>
  <c r="VN520" i="2"/>
  <c r="VM520" i="2"/>
  <c r="VL520" i="2"/>
  <c r="VK520" i="2"/>
  <c r="VJ520" i="2"/>
  <c r="VI520" i="2"/>
  <c r="VH520" i="2"/>
  <c r="VG520" i="2"/>
  <c r="VT519" i="2"/>
  <c r="VS519" i="2"/>
  <c r="VR519" i="2"/>
  <c r="VQ519" i="2"/>
  <c r="VP519" i="2"/>
  <c r="BX42" i="50" s="1"/>
  <c r="VO519" i="2"/>
  <c r="BW42" i="50" s="1"/>
  <c r="VN519" i="2"/>
  <c r="VM519" i="2"/>
  <c r="VL519" i="2"/>
  <c r="VK519" i="2"/>
  <c r="VJ519" i="2"/>
  <c r="VI519" i="2"/>
  <c r="VH519" i="2"/>
  <c r="VG519" i="2"/>
  <c r="VT518" i="2"/>
  <c r="VS518" i="2"/>
  <c r="VR518" i="2"/>
  <c r="VQ518" i="2"/>
  <c r="VP518" i="2"/>
  <c r="BX41" i="50" s="1"/>
  <c r="VO518" i="2"/>
  <c r="BW41" i="50" s="1"/>
  <c r="VN518" i="2"/>
  <c r="VM518" i="2"/>
  <c r="VL518" i="2"/>
  <c r="VK518" i="2"/>
  <c r="VJ518" i="2"/>
  <c r="VI518" i="2"/>
  <c r="VH518" i="2"/>
  <c r="VG518" i="2"/>
  <c r="VT517" i="2"/>
  <c r="VS517" i="2"/>
  <c r="VR517" i="2"/>
  <c r="VQ517" i="2"/>
  <c r="VP517" i="2"/>
  <c r="BX40" i="50" s="1"/>
  <c r="VO517" i="2"/>
  <c r="BW40" i="50" s="1"/>
  <c r="VN517" i="2"/>
  <c r="VM517" i="2"/>
  <c r="VL517" i="2"/>
  <c r="VK517" i="2"/>
  <c r="VJ517" i="2"/>
  <c r="VI517" i="2"/>
  <c r="VH517" i="2"/>
  <c r="VG517" i="2"/>
  <c r="VT516" i="2"/>
  <c r="VS516" i="2"/>
  <c r="VR516" i="2"/>
  <c r="VQ516" i="2"/>
  <c r="VP516" i="2"/>
  <c r="BX39" i="50" s="1"/>
  <c r="VO516" i="2"/>
  <c r="BW39" i="50" s="1"/>
  <c r="VN516" i="2"/>
  <c r="VM516" i="2"/>
  <c r="VL516" i="2"/>
  <c r="VK516" i="2"/>
  <c r="VJ516" i="2"/>
  <c r="VI516" i="2"/>
  <c r="VH516" i="2"/>
  <c r="VG516" i="2"/>
  <c r="VT515" i="2"/>
  <c r="VS515" i="2"/>
  <c r="VR515" i="2"/>
  <c r="VQ515" i="2"/>
  <c r="VP515" i="2"/>
  <c r="BX38" i="50" s="1"/>
  <c r="VO515" i="2"/>
  <c r="BW38" i="50" s="1"/>
  <c r="VN515" i="2"/>
  <c r="VM515" i="2"/>
  <c r="VL515" i="2"/>
  <c r="VK515" i="2"/>
  <c r="VJ515" i="2"/>
  <c r="VI515" i="2"/>
  <c r="VH515" i="2"/>
  <c r="VG515" i="2"/>
  <c r="VT514" i="2"/>
  <c r="VS514" i="2"/>
  <c r="VR514" i="2"/>
  <c r="VQ514" i="2"/>
  <c r="VP514" i="2"/>
  <c r="BX37" i="50" s="1"/>
  <c r="VO514" i="2"/>
  <c r="BW37" i="50" s="1"/>
  <c r="VN514" i="2"/>
  <c r="VM514" i="2"/>
  <c r="VL514" i="2"/>
  <c r="VK514" i="2"/>
  <c r="VJ514" i="2"/>
  <c r="VI514" i="2"/>
  <c r="VH514" i="2"/>
  <c r="VG514" i="2"/>
  <c r="VT513" i="2"/>
  <c r="VS513" i="2"/>
  <c r="VR513" i="2"/>
  <c r="VQ513" i="2"/>
  <c r="VP513" i="2"/>
  <c r="VO513" i="2"/>
  <c r="VN513" i="2"/>
  <c r="VM513" i="2"/>
  <c r="VL513" i="2"/>
  <c r="VK513" i="2"/>
  <c r="VJ513" i="2"/>
  <c r="VI513" i="2"/>
  <c r="VH513" i="2"/>
  <c r="VG513" i="2"/>
  <c r="VT512" i="2"/>
  <c r="VS512" i="2"/>
  <c r="VR512" i="2"/>
  <c r="VQ512" i="2"/>
  <c r="VP512" i="2"/>
  <c r="VO512" i="2"/>
  <c r="VN512" i="2"/>
  <c r="VM512" i="2"/>
  <c r="VL512" i="2"/>
  <c r="VK512" i="2"/>
  <c r="VJ512" i="2"/>
  <c r="VI512" i="2"/>
  <c r="VH512" i="2"/>
  <c r="VG512" i="2"/>
  <c r="VT511" i="2"/>
  <c r="VS511" i="2"/>
  <c r="VR511" i="2"/>
  <c r="VQ511" i="2"/>
  <c r="VP511" i="2"/>
  <c r="VO511" i="2"/>
  <c r="VN511" i="2"/>
  <c r="VM511" i="2"/>
  <c r="VL511" i="2"/>
  <c r="VK511" i="2"/>
  <c r="VJ511" i="2"/>
  <c r="VI511" i="2"/>
  <c r="VH511" i="2"/>
  <c r="VG511" i="2"/>
  <c r="VT510" i="2"/>
  <c r="VS510" i="2"/>
  <c r="VR510" i="2"/>
  <c r="VQ510" i="2"/>
  <c r="VP510" i="2"/>
  <c r="VO510" i="2"/>
  <c r="VN510" i="2"/>
  <c r="VM510" i="2"/>
  <c r="VL510" i="2"/>
  <c r="VK510" i="2"/>
  <c r="VJ510" i="2"/>
  <c r="VI510" i="2"/>
  <c r="VH510" i="2"/>
  <c r="VG510" i="2"/>
  <c r="VT509" i="2"/>
  <c r="VS509" i="2"/>
  <c r="VR509" i="2"/>
  <c r="VQ509" i="2"/>
  <c r="VP509" i="2"/>
  <c r="VO509" i="2"/>
  <c r="VN509" i="2"/>
  <c r="VM509" i="2"/>
  <c r="VL509" i="2"/>
  <c r="VK509" i="2"/>
  <c r="VJ509" i="2"/>
  <c r="VI509" i="2"/>
  <c r="VH509" i="2"/>
  <c r="VG509" i="2"/>
  <c r="VT508" i="2"/>
  <c r="VS508" i="2"/>
  <c r="VR508" i="2"/>
  <c r="VQ508" i="2"/>
  <c r="VP508" i="2"/>
  <c r="VO508" i="2"/>
  <c r="VN508" i="2"/>
  <c r="VM508" i="2"/>
  <c r="VL508" i="2"/>
  <c r="VK508" i="2"/>
  <c r="VJ508" i="2"/>
  <c r="VI508" i="2"/>
  <c r="VH508" i="2"/>
  <c r="VG508" i="2"/>
  <c r="VT507" i="2"/>
  <c r="VS507" i="2"/>
  <c r="VR507" i="2"/>
  <c r="VQ507" i="2"/>
  <c r="VP507" i="2"/>
  <c r="VO507" i="2"/>
  <c r="VN507" i="2"/>
  <c r="VM507" i="2"/>
  <c r="VL507" i="2"/>
  <c r="VK507" i="2"/>
  <c r="VJ507" i="2"/>
  <c r="VI507" i="2"/>
  <c r="VH507" i="2"/>
  <c r="VG507" i="2"/>
  <c r="VT506" i="2"/>
  <c r="VS506" i="2"/>
  <c r="VR506" i="2"/>
  <c r="VQ506" i="2"/>
  <c r="VP506" i="2"/>
  <c r="VO506" i="2"/>
  <c r="VN506" i="2"/>
  <c r="VM506" i="2"/>
  <c r="VL506" i="2"/>
  <c r="VK506" i="2"/>
  <c r="VJ506" i="2"/>
  <c r="VI506" i="2"/>
  <c r="VH506" i="2"/>
  <c r="VG506" i="2"/>
  <c r="VT505" i="2"/>
  <c r="VS505" i="2"/>
  <c r="VR505" i="2"/>
  <c r="VQ505" i="2"/>
  <c r="VP505" i="2"/>
  <c r="VO505" i="2"/>
  <c r="VN505" i="2"/>
  <c r="VM505" i="2"/>
  <c r="VL505" i="2"/>
  <c r="VK505" i="2"/>
  <c r="VJ505" i="2"/>
  <c r="VI505" i="2"/>
  <c r="VH505" i="2"/>
  <c r="VG505" i="2"/>
  <c r="VT504" i="2"/>
  <c r="VS504" i="2"/>
  <c r="VR504" i="2"/>
  <c r="VQ504" i="2"/>
  <c r="VP504" i="2"/>
  <c r="VO504" i="2"/>
  <c r="VN504" i="2"/>
  <c r="VM504" i="2"/>
  <c r="VL504" i="2"/>
  <c r="VK504" i="2"/>
  <c r="VJ504" i="2"/>
  <c r="VI504" i="2"/>
  <c r="VH504" i="2"/>
  <c r="VG504" i="2"/>
  <c r="VT503" i="2"/>
  <c r="VS503" i="2"/>
  <c r="VR503" i="2"/>
  <c r="VQ503" i="2"/>
  <c r="VP503" i="2"/>
  <c r="VO503" i="2"/>
  <c r="VN503" i="2"/>
  <c r="VM503" i="2"/>
  <c r="VL503" i="2"/>
  <c r="VK503" i="2"/>
  <c r="VJ503" i="2"/>
  <c r="VI503" i="2"/>
  <c r="VH503" i="2"/>
  <c r="VG503" i="2"/>
  <c r="VT502" i="2"/>
  <c r="VS502" i="2"/>
  <c r="VR502" i="2"/>
  <c r="VQ502" i="2"/>
  <c r="VP502" i="2"/>
  <c r="VO502" i="2"/>
  <c r="VN502" i="2"/>
  <c r="VM502" i="2"/>
  <c r="VL502" i="2"/>
  <c r="VK502" i="2"/>
  <c r="VJ502" i="2"/>
  <c r="VI502" i="2"/>
  <c r="VH502" i="2"/>
  <c r="VG502" i="2"/>
  <c r="VT501" i="2"/>
  <c r="VS501" i="2"/>
  <c r="VR501" i="2"/>
  <c r="VQ501" i="2"/>
  <c r="VP501" i="2"/>
  <c r="VO501" i="2"/>
  <c r="VN501" i="2"/>
  <c r="VM501" i="2"/>
  <c r="VL501" i="2"/>
  <c r="VK501" i="2"/>
  <c r="VJ501" i="2"/>
  <c r="VI501" i="2"/>
  <c r="VH501" i="2"/>
  <c r="VG501" i="2"/>
  <c r="VT500" i="2"/>
  <c r="VS500" i="2"/>
  <c r="VR500" i="2"/>
  <c r="VQ500" i="2"/>
  <c r="VP500" i="2"/>
  <c r="VO500" i="2"/>
  <c r="VN500" i="2"/>
  <c r="VM500" i="2"/>
  <c r="VL500" i="2"/>
  <c r="VK500" i="2"/>
  <c r="VJ500" i="2"/>
  <c r="VI500" i="2"/>
  <c r="VH500" i="2"/>
  <c r="VG500" i="2"/>
  <c r="VT499" i="2"/>
  <c r="VS499" i="2"/>
  <c r="VR499" i="2"/>
  <c r="VQ499" i="2"/>
  <c r="VP499" i="2"/>
  <c r="VO499" i="2"/>
  <c r="VN499" i="2"/>
  <c r="VM499" i="2"/>
  <c r="VL499" i="2"/>
  <c r="VK499" i="2"/>
  <c r="VJ499" i="2"/>
  <c r="VI499" i="2"/>
  <c r="VH499" i="2"/>
  <c r="VG499" i="2"/>
  <c r="VT498" i="2"/>
  <c r="VS498" i="2"/>
  <c r="VR498" i="2"/>
  <c r="VQ498" i="2"/>
  <c r="VP498" i="2"/>
  <c r="VO498" i="2"/>
  <c r="VN498" i="2"/>
  <c r="VM498" i="2"/>
  <c r="VL498" i="2"/>
  <c r="VK498" i="2"/>
  <c r="VJ498" i="2"/>
  <c r="VI498" i="2"/>
  <c r="VH498" i="2"/>
  <c r="VG498" i="2"/>
  <c r="VT497" i="2"/>
  <c r="VS497" i="2"/>
  <c r="VR497" i="2"/>
  <c r="VQ497" i="2"/>
  <c r="VP497" i="2"/>
  <c r="VO497" i="2"/>
  <c r="VN497" i="2"/>
  <c r="VM497" i="2"/>
  <c r="VL497" i="2"/>
  <c r="VK497" i="2"/>
  <c r="VJ497" i="2"/>
  <c r="VI497" i="2"/>
  <c r="VH497" i="2"/>
  <c r="VG497" i="2"/>
  <c r="VT496" i="2"/>
  <c r="VS496" i="2"/>
  <c r="VR496" i="2"/>
  <c r="VQ496" i="2"/>
  <c r="VP496" i="2"/>
  <c r="VO496" i="2"/>
  <c r="VN496" i="2"/>
  <c r="VM496" i="2"/>
  <c r="VL496" i="2"/>
  <c r="VK496" i="2"/>
  <c r="VJ496" i="2"/>
  <c r="VI496" i="2"/>
  <c r="VH496" i="2"/>
  <c r="VG496" i="2"/>
  <c r="VT495" i="2"/>
  <c r="VS495" i="2"/>
  <c r="VR495" i="2"/>
  <c r="VQ495" i="2"/>
  <c r="VP495" i="2"/>
  <c r="VO495" i="2"/>
  <c r="VN495" i="2"/>
  <c r="VM495" i="2"/>
  <c r="VL495" i="2"/>
  <c r="VK495" i="2"/>
  <c r="VJ495" i="2"/>
  <c r="VI495" i="2"/>
  <c r="VH495" i="2"/>
  <c r="VG495" i="2"/>
  <c r="VT494" i="2"/>
  <c r="VS494" i="2"/>
  <c r="VR494" i="2"/>
  <c r="VQ494" i="2"/>
  <c r="VP494" i="2"/>
  <c r="VO494" i="2"/>
  <c r="VN494" i="2"/>
  <c r="VM494" i="2"/>
  <c r="VL494" i="2"/>
  <c r="VK494" i="2"/>
  <c r="VJ494" i="2"/>
  <c r="VI494" i="2"/>
  <c r="VH494" i="2"/>
  <c r="VG494" i="2"/>
  <c r="VT493" i="2"/>
  <c r="VS493" i="2"/>
  <c r="VR493" i="2"/>
  <c r="VQ493" i="2"/>
  <c r="VP493" i="2"/>
  <c r="VO493" i="2"/>
  <c r="VN493" i="2"/>
  <c r="VM493" i="2"/>
  <c r="VL493" i="2"/>
  <c r="VK493" i="2"/>
  <c r="VJ493" i="2"/>
  <c r="VI493" i="2"/>
  <c r="VH493" i="2"/>
  <c r="VG493" i="2"/>
  <c r="VT492" i="2"/>
  <c r="VS492" i="2"/>
  <c r="VR492" i="2"/>
  <c r="VQ492" i="2"/>
  <c r="VP492" i="2"/>
  <c r="VO492" i="2"/>
  <c r="VN492" i="2"/>
  <c r="VM492" i="2"/>
  <c r="VL492" i="2"/>
  <c r="VK492" i="2"/>
  <c r="VJ492" i="2"/>
  <c r="VI492" i="2"/>
  <c r="VH492" i="2"/>
  <c r="VG492" i="2"/>
  <c r="VT491" i="2"/>
  <c r="VS491" i="2"/>
  <c r="VR491" i="2"/>
  <c r="VQ491" i="2"/>
  <c r="VP491" i="2"/>
  <c r="VO491" i="2"/>
  <c r="VN491" i="2"/>
  <c r="VM491" i="2"/>
  <c r="VL491" i="2"/>
  <c r="VK491" i="2"/>
  <c r="VJ491" i="2"/>
  <c r="VI491" i="2"/>
  <c r="VH491" i="2"/>
  <c r="VG491" i="2"/>
  <c r="VT490" i="2"/>
  <c r="VS490" i="2"/>
  <c r="VR490" i="2"/>
  <c r="VQ490" i="2"/>
  <c r="VP490" i="2"/>
  <c r="VO490" i="2"/>
  <c r="VN490" i="2"/>
  <c r="VM490" i="2"/>
  <c r="VL490" i="2"/>
  <c r="VK490" i="2"/>
  <c r="VJ490" i="2"/>
  <c r="VI490" i="2"/>
  <c r="VH490" i="2"/>
  <c r="VG490" i="2"/>
  <c r="VT489" i="2"/>
  <c r="VS489" i="2"/>
  <c r="VR489" i="2"/>
  <c r="VQ489" i="2"/>
  <c r="VP489" i="2"/>
  <c r="VO489" i="2"/>
  <c r="VN489" i="2"/>
  <c r="VM489" i="2"/>
  <c r="VL489" i="2"/>
  <c r="VK489" i="2"/>
  <c r="VJ489" i="2"/>
  <c r="VI489" i="2"/>
  <c r="VH489" i="2"/>
  <c r="VG489" i="2"/>
  <c r="VT488" i="2"/>
  <c r="VS488" i="2"/>
  <c r="VR488" i="2"/>
  <c r="VQ488" i="2"/>
  <c r="VP488" i="2"/>
  <c r="VO488" i="2"/>
  <c r="VN488" i="2"/>
  <c r="VM488" i="2"/>
  <c r="VL488" i="2"/>
  <c r="VK488" i="2"/>
  <c r="VJ488" i="2"/>
  <c r="VI488" i="2"/>
  <c r="VH488" i="2"/>
  <c r="VG488" i="2"/>
  <c r="VT487" i="2"/>
  <c r="VS487" i="2"/>
  <c r="VR487" i="2"/>
  <c r="VQ487" i="2"/>
  <c r="VP487" i="2"/>
  <c r="VO487" i="2"/>
  <c r="VN487" i="2"/>
  <c r="VM487" i="2"/>
  <c r="VL487" i="2"/>
  <c r="VK487" i="2"/>
  <c r="VJ487" i="2"/>
  <c r="VI487" i="2"/>
  <c r="VH487" i="2"/>
  <c r="VG487" i="2"/>
  <c r="VT486" i="2"/>
  <c r="VS486" i="2"/>
  <c r="VR486" i="2"/>
  <c r="VQ486" i="2"/>
  <c r="VP486" i="2"/>
  <c r="VO486" i="2"/>
  <c r="VN486" i="2"/>
  <c r="VM486" i="2"/>
  <c r="VL486" i="2"/>
  <c r="VK486" i="2"/>
  <c r="VJ486" i="2"/>
  <c r="VI486" i="2"/>
  <c r="VH486" i="2"/>
  <c r="VG486" i="2"/>
  <c r="VT485" i="2"/>
  <c r="VS485" i="2"/>
  <c r="VR485" i="2"/>
  <c r="VQ485" i="2"/>
  <c r="VP485" i="2"/>
  <c r="VO485" i="2"/>
  <c r="VN485" i="2"/>
  <c r="VM485" i="2"/>
  <c r="VL485" i="2"/>
  <c r="VK485" i="2"/>
  <c r="VJ485" i="2"/>
  <c r="VI485" i="2"/>
  <c r="VH485" i="2"/>
  <c r="VG485" i="2"/>
  <c r="VD521" i="2"/>
  <c r="VC521" i="2"/>
  <c r="VB521" i="2"/>
  <c r="VA521" i="2"/>
  <c r="UZ521" i="2"/>
  <c r="BV44" i="50" s="1"/>
  <c r="UY521" i="2"/>
  <c r="BU44" i="50" s="1"/>
  <c r="UX521" i="2"/>
  <c r="UW521" i="2"/>
  <c r="UV521" i="2"/>
  <c r="UU521" i="2"/>
  <c r="UT521" i="2"/>
  <c r="US521" i="2"/>
  <c r="UR521" i="2"/>
  <c r="UQ521" i="2"/>
  <c r="VD520" i="2"/>
  <c r="VC520" i="2"/>
  <c r="VB520" i="2"/>
  <c r="VA520" i="2"/>
  <c r="UZ520" i="2"/>
  <c r="BV43" i="50" s="1"/>
  <c r="UY520" i="2"/>
  <c r="BU43" i="50" s="1"/>
  <c r="UX520" i="2"/>
  <c r="UW520" i="2"/>
  <c r="UV520" i="2"/>
  <c r="UU520" i="2"/>
  <c r="UT520" i="2"/>
  <c r="US520" i="2"/>
  <c r="UR520" i="2"/>
  <c r="UQ520" i="2"/>
  <c r="VD519" i="2"/>
  <c r="VC519" i="2"/>
  <c r="VB519" i="2"/>
  <c r="VA519" i="2"/>
  <c r="UZ519" i="2"/>
  <c r="BV42" i="50" s="1"/>
  <c r="UY519" i="2"/>
  <c r="BU42" i="50" s="1"/>
  <c r="UX519" i="2"/>
  <c r="UW519" i="2"/>
  <c r="UV519" i="2"/>
  <c r="UU519" i="2"/>
  <c r="UT519" i="2"/>
  <c r="US519" i="2"/>
  <c r="UR519" i="2"/>
  <c r="UQ519" i="2"/>
  <c r="VD518" i="2"/>
  <c r="VC518" i="2"/>
  <c r="VB518" i="2"/>
  <c r="VA518" i="2"/>
  <c r="UZ518" i="2"/>
  <c r="BV41" i="50" s="1"/>
  <c r="UY518" i="2"/>
  <c r="BU41" i="50" s="1"/>
  <c r="UX518" i="2"/>
  <c r="UW518" i="2"/>
  <c r="UV518" i="2"/>
  <c r="UU518" i="2"/>
  <c r="UT518" i="2"/>
  <c r="US518" i="2"/>
  <c r="UR518" i="2"/>
  <c r="UQ518" i="2"/>
  <c r="VD517" i="2"/>
  <c r="VC517" i="2"/>
  <c r="VB517" i="2"/>
  <c r="VA517" i="2"/>
  <c r="UZ517" i="2"/>
  <c r="BV40" i="50" s="1"/>
  <c r="UY517" i="2"/>
  <c r="BU40" i="50" s="1"/>
  <c r="UX517" i="2"/>
  <c r="UW517" i="2"/>
  <c r="UV517" i="2"/>
  <c r="UU517" i="2"/>
  <c r="UT517" i="2"/>
  <c r="US517" i="2"/>
  <c r="UR517" i="2"/>
  <c r="UQ517" i="2"/>
  <c r="VD516" i="2"/>
  <c r="VC516" i="2"/>
  <c r="VB516" i="2"/>
  <c r="VA516" i="2"/>
  <c r="UZ516" i="2"/>
  <c r="BV39" i="50" s="1"/>
  <c r="UY516" i="2"/>
  <c r="BU39" i="50" s="1"/>
  <c r="UX516" i="2"/>
  <c r="UW516" i="2"/>
  <c r="UV516" i="2"/>
  <c r="UU516" i="2"/>
  <c r="UT516" i="2"/>
  <c r="US516" i="2"/>
  <c r="UR516" i="2"/>
  <c r="UQ516" i="2"/>
  <c r="VD515" i="2"/>
  <c r="VC515" i="2"/>
  <c r="VB515" i="2"/>
  <c r="VA515" i="2"/>
  <c r="UZ515" i="2"/>
  <c r="BV38" i="50" s="1"/>
  <c r="UY515" i="2"/>
  <c r="BU38" i="50" s="1"/>
  <c r="UX515" i="2"/>
  <c r="UW515" i="2"/>
  <c r="UV515" i="2"/>
  <c r="UU515" i="2"/>
  <c r="UT515" i="2"/>
  <c r="US515" i="2"/>
  <c r="UR515" i="2"/>
  <c r="UQ515" i="2"/>
  <c r="VD514" i="2"/>
  <c r="VC514" i="2"/>
  <c r="VB514" i="2"/>
  <c r="VA514" i="2"/>
  <c r="UZ514" i="2"/>
  <c r="BV37" i="50" s="1"/>
  <c r="UY514" i="2"/>
  <c r="BU37" i="50" s="1"/>
  <c r="UX514" i="2"/>
  <c r="UW514" i="2"/>
  <c r="UV514" i="2"/>
  <c r="UU514" i="2"/>
  <c r="UT514" i="2"/>
  <c r="US514" i="2"/>
  <c r="UR514" i="2"/>
  <c r="UQ514" i="2"/>
  <c r="VD513" i="2"/>
  <c r="VC513" i="2"/>
  <c r="VB513" i="2"/>
  <c r="VA513" i="2"/>
  <c r="UZ513" i="2"/>
  <c r="UY513" i="2"/>
  <c r="UX513" i="2"/>
  <c r="UW513" i="2"/>
  <c r="UV513" i="2"/>
  <c r="UU513" i="2"/>
  <c r="UT513" i="2"/>
  <c r="US513" i="2"/>
  <c r="UR513" i="2"/>
  <c r="UQ513" i="2"/>
  <c r="VD512" i="2"/>
  <c r="VC512" i="2"/>
  <c r="VB512" i="2"/>
  <c r="VA512" i="2"/>
  <c r="UZ512" i="2"/>
  <c r="UY512" i="2"/>
  <c r="UX512" i="2"/>
  <c r="UW512" i="2"/>
  <c r="UV512" i="2"/>
  <c r="UU512" i="2"/>
  <c r="UT512" i="2"/>
  <c r="US512" i="2"/>
  <c r="UR512" i="2"/>
  <c r="UQ512" i="2"/>
  <c r="VD511" i="2"/>
  <c r="VC511" i="2"/>
  <c r="VB511" i="2"/>
  <c r="VA511" i="2"/>
  <c r="UZ511" i="2"/>
  <c r="UY511" i="2"/>
  <c r="UX511" i="2"/>
  <c r="UW511" i="2"/>
  <c r="UV511" i="2"/>
  <c r="UU511" i="2"/>
  <c r="UT511" i="2"/>
  <c r="US511" i="2"/>
  <c r="UR511" i="2"/>
  <c r="UQ511" i="2"/>
  <c r="VD510" i="2"/>
  <c r="VC510" i="2"/>
  <c r="VB510" i="2"/>
  <c r="VA510" i="2"/>
  <c r="UZ510" i="2"/>
  <c r="UY510" i="2"/>
  <c r="UX510" i="2"/>
  <c r="UW510" i="2"/>
  <c r="UV510" i="2"/>
  <c r="UU510" i="2"/>
  <c r="UT510" i="2"/>
  <c r="US510" i="2"/>
  <c r="UR510" i="2"/>
  <c r="UQ510" i="2"/>
  <c r="VD509" i="2"/>
  <c r="VC509" i="2"/>
  <c r="VB509" i="2"/>
  <c r="VA509" i="2"/>
  <c r="UZ509" i="2"/>
  <c r="UY509" i="2"/>
  <c r="UX509" i="2"/>
  <c r="UW509" i="2"/>
  <c r="UV509" i="2"/>
  <c r="UU509" i="2"/>
  <c r="UT509" i="2"/>
  <c r="US509" i="2"/>
  <c r="UR509" i="2"/>
  <c r="UQ509" i="2"/>
  <c r="VD508" i="2"/>
  <c r="VC508" i="2"/>
  <c r="VB508" i="2"/>
  <c r="VA508" i="2"/>
  <c r="UZ508" i="2"/>
  <c r="UY508" i="2"/>
  <c r="UX508" i="2"/>
  <c r="UW508" i="2"/>
  <c r="UV508" i="2"/>
  <c r="UU508" i="2"/>
  <c r="UT508" i="2"/>
  <c r="US508" i="2"/>
  <c r="UR508" i="2"/>
  <c r="UQ508" i="2"/>
  <c r="VD507" i="2"/>
  <c r="VC507" i="2"/>
  <c r="VB507" i="2"/>
  <c r="VA507" i="2"/>
  <c r="UZ507" i="2"/>
  <c r="UY507" i="2"/>
  <c r="UX507" i="2"/>
  <c r="UW507" i="2"/>
  <c r="UV507" i="2"/>
  <c r="UU507" i="2"/>
  <c r="UT507" i="2"/>
  <c r="US507" i="2"/>
  <c r="UR507" i="2"/>
  <c r="UQ507" i="2"/>
  <c r="VD506" i="2"/>
  <c r="VC506" i="2"/>
  <c r="VB506" i="2"/>
  <c r="VA506" i="2"/>
  <c r="UZ506" i="2"/>
  <c r="UY506" i="2"/>
  <c r="UX506" i="2"/>
  <c r="UW506" i="2"/>
  <c r="UV506" i="2"/>
  <c r="UU506" i="2"/>
  <c r="UT506" i="2"/>
  <c r="US506" i="2"/>
  <c r="UR506" i="2"/>
  <c r="UQ506" i="2"/>
  <c r="VD505" i="2"/>
  <c r="VC505" i="2"/>
  <c r="VB505" i="2"/>
  <c r="VA505" i="2"/>
  <c r="UZ505" i="2"/>
  <c r="UY505" i="2"/>
  <c r="UX505" i="2"/>
  <c r="UW505" i="2"/>
  <c r="UV505" i="2"/>
  <c r="UU505" i="2"/>
  <c r="UT505" i="2"/>
  <c r="US505" i="2"/>
  <c r="UR505" i="2"/>
  <c r="UQ505" i="2"/>
  <c r="VD504" i="2"/>
  <c r="VC504" i="2"/>
  <c r="VB504" i="2"/>
  <c r="VA504" i="2"/>
  <c r="UZ504" i="2"/>
  <c r="UY504" i="2"/>
  <c r="UX504" i="2"/>
  <c r="UW504" i="2"/>
  <c r="UV504" i="2"/>
  <c r="UU504" i="2"/>
  <c r="UT504" i="2"/>
  <c r="US504" i="2"/>
  <c r="UR504" i="2"/>
  <c r="UQ504" i="2"/>
  <c r="VD503" i="2"/>
  <c r="VC503" i="2"/>
  <c r="VB503" i="2"/>
  <c r="VA503" i="2"/>
  <c r="UZ503" i="2"/>
  <c r="UY503" i="2"/>
  <c r="UX503" i="2"/>
  <c r="UW503" i="2"/>
  <c r="UV503" i="2"/>
  <c r="UU503" i="2"/>
  <c r="UT503" i="2"/>
  <c r="US503" i="2"/>
  <c r="UR503" i="2"/>
  <c r="UQ503" i="2"/>
  <c r="VD502" i="2"/>
  <c r="VC502" i="2"/>
  <c r="VB502" i="2"/>
  <c r="VA502" i="2"/>
  <c r="UZ502" i="2"/>
  <c r="UY502" i="2"/>
  <c r="UX502" i="2"/>
  <c r="UW502" i="2"/>
  <c r="UV502" i="2"/>
  <c r="UU502" i="2"/>
  <c r="UT502" i="2"/>
  <c r="US502" i="2"/>
  <c r="UR502" i="2"/>
  <c r="UQ502" i="2"/>
  <c r="VD501" i="2"/>
  <c r="VC501" i="2"/>
  <c r="VB501" i="2"/>
  <c r="VA501" i="2"/>
  <c r="UZ501" i="2"/>
  <c r="UY501" i="2"/>
  <c r="UX501" i="2"/>
  <c r="UW501" i="2"/>
  <c r="UV501" i="2"/>
  <c r="UU501" i="2"/>
  <c r="UT501" i="2"/>
  <c r="US501" i="2"/>
  <c r="UR501" i="2"/>
  <c r="UQ501" i="2"/>
  <c r="VD500" i="2"/>
  <c r="VC500" i="2"/>
  <c r="VB500" i="2"/>
  <c r="VA500" i="2"/>
  <c r="UZ500" i="2"/>
  <c r="UY500" i="2"/>
  <c r="UX500" i="2"/>
  <c r="UW500" i="2"/>
  <c r="UV500" i="2"/>
  <c r="UU500" i="2"/>
  <c r="UT500" i="2"/>
  <c r="US500" i="2"/>
  <c r="UR500" i="2"/>
  <c r="UQ500" i="2"/>
  <c r="VD499" i="2"/>
  <c r="VC499" i="2"/>
  <c r="VB499" i="2"/>
  <c r="VA499" i="2"/>
  <c r="UZ499" i="2"/>
  <c r="UY499" i="2"/>
  <c r="UX499" i="2"/>
  <c r="UW499" i="2"/>
  <c r="UV499" i="2"/>
  <c r="UU499" i="2"/>
  <c r="UT499" i="2"/>
  <c r="US499" i="2"/>
  <c r="UR499" i="2"/>
  <c r="UQ499" i="2"/>
  <c r="VD498" i="2"/>
  <c r="VC498" i="2"/>
  <c r="VB498" i="2"/>
  <c r="VA498" i="2"/>
  <c r="UZ498" i="2"/>
  <c r="UY498" i="2"/>
  <c r="UT498" i="2"/>
  <c r="US498" i="2"/>
  <c r="UR498" i="2"/>
  <c r="UQ498" i="2"/>
  <c r="VD497" i="2"/>
  <c r="VC497" i="2"/>
  <c r="VB497" i="2"/>
  <c r="VA497" i="2"/>
  <c r="UZ497" i="2"/>
  <c r="UY497" i="2"/>
  <c r="UX497" i="2"/>
  <c r="UW497" i="2"/>
  <c r="UV497" i="2"/>
  <c r="UU497" i="2"/>
  <c r="UT497" i="2"/>
  <c r="US497" i="2"/>
  <c r="UR497" i="2"/>
  <c r="UQ497" i="2"/>
  <c r="VD496" i="2"/>
  <c r="VC496" i="2"/>
  <c r="VB496" i="2"/>
  <c r="VA496" i="2"/>
  <c r="UZ496" i="2"/>
  <c r="UY496" i="2"/>
  <c r="UX496" i="2"/>
  <c r="UW496" i="2"/>
  <c r="UV496" i="2"/>
  <c r="UU496" i="2"/>
  <c r="UT496" i="2"/>
  <c r="US496" i="2"/>
  <c r="UR496" i="2"/>
  <c r="UQ496" i="2"/>
  <c r="VD495" i="2"/>
  <c r="VC495" i="2"/>
  <c r="VB495" i="2"/>
  <c r="VA495" i="2"/>
  <c r="UZ495" i="2"/>
  <c r="UY495" i="2"/>
  <c r="UX495" i="2"/>
  <c r="UW495" i="2"/>
  <c r="UV495" i="2"/>
  <c r="UU495" i="2"/>
  <c r="UT495" i="2"/>
  <c r="US495" i="2"/>
  <c r="UR495" i="2"/>
  <c r="UQ495" i="2"/>
  <c r="VD494" i="2"/>
  <c r="VC494" i="2"/>
  <c r="VB494" i="2"/>
  <c r="VA494" i="2"/>
  <c r="UZ494" i="2"/>
  <c r="UY494" i="2"/>
  <c r="UX494" i="2"/>
  <c r="UW494" i="2"/>
  <c r="UV494" i="2"/>
  <c r="UU494" i="2"/>
  <c r="UT494" i="2"/>
  <c r="US494" i="2"/>
  <c r="UR494" i="2"/>
  <c r="UQ494" i="2"/>
  <c r="VD493" i="2"/>
  <c r="VC493" i="2"/>
  <c r="VB493" i="2"/>
  <c r="VA493" i="2"/>
  <c r="UZ493" i="2"/>
  <c r="UY493" i="2"/>
  <c r="UX493" i="2"/>
  <c r="UW493" i="2"/>
  <c r="UV493" i="2"/>
  <c r="UU493" i="2"/>
  <c r="UT493" i="2"/>
  <c r="US493" i="2"/>
  <c r="UR493" i="2"/>
  <c r="UQ493" i="2"/>
  <c r="VD492" i="2"/>
  <c r="VC492" i="2"/>
  <c r="VB492" i="2"/>
  <c r="VA492" i="2"/>
  <c r="UZ492" i="2"/>
  <c r="UY492" i="2"/>
  <c r="UX492" i="2"/>
  <c r="UW492" i="2"/>
  <c r="UV492" i="2"/>
  <c r="UU492" i="2"/>
  <c r="UT492" i="2"/>
  <c r="US492" i="2"/>
  <c r="UR492" i="2"/>
  <c r="UQ492" i="2"/>
  <c r="VD491" i="2"/>
  <c r="VC491" i="2"/>
  <c r="VB491" i="2"/>
  <c r="VA491" i="2"/>
  <c r="UZ491" i="2"/>
  <c r="UY491" i="2"/>
  <c r="UX491" i="2"/>
  <c r="UW491" i="2"/>
  <c r="UV491" i="2"/>
  <c r="UU491" i="2"/>
  <c r="UT491" i="2"/>
  <c r="US491" i="2"/>
  <c r="UR491" i="2"/>
  <c r="UQ491" i="2"/>
  <c r="VD490" i="2"/>
  <c r="VC490" i="2"/>
  <c r="VB490" i="2"/>
  <c r="VA490" i="2"/>
  <c r="UZ490" i="2"/>
  <c r="UY490" i="2"/>
  <c r="UX490" i="2"/>
  <c r="UW490" i="2"/>
  <c r="UV490" i="2"/>
  <c r="UU490" i="2"/>
  <c r="UT490" i="2"/>
  <c r="US490" i="2"/>
  <c r="UR490" i="2"/>
  <c r="UQ490" i="2"/>
  <c r="VD489" i="2"/>
  <c r="VC489" i="2"/>
  <c r="VB489" i="2"/>
  <c r="VA489" i="2"/>
  <c r="UZ489" i="2"/>
  <c r="UY489" i="2"/>
  <c r="UX489" i="2"/>
  <c r="UW489" i="2"/>
  <c r="UV489" i="2"/>
  <c r="UU489" i="2"/>
  <c r="UT489" i="2"/>
  <c r="US489" i="2"/>
  <c r="UR489" i="2"/>
  <c r="UQ489" i="2"/>
  <c r="VD488" i="2"/>
  <c r="VC488" i="2"/>
  <c r="VB488" i="2"/>
  <c r="VA488" i="2"/>
  <c r="UZ488" i="2"/>
  <c r="UY488" i="2"/>
  <c r="UX488" i="2"/>
  <c r="UW488" i="2"/>
  <c r="UV488" i="2"/>
  <c r="UU488" i="2"/>
  <c r="UT488" i="2"/>
  <c r="US488" i="2"/>
  <c r="UR488" i="2"/>
  <c r="UQ488" i="2"/>
  <c r="VD487" i="2"/>
  <c r="VC487" i="2"/>
  <c r="VB487" i="2"/>
  <c r="VA487" i="2"/>
  <c r="UZ487" i="2"/>
  <c r="UY487" i="2"/>
  <c r="UX487" i="2"/>
  <c r="UW487" i="2"/>
  <c r="UV487" i="2"/>
  <c r="UU487" i="2"/>
  <c r="UT487" i="2"/>
  <c r="US487" i="2"/>
  <c r="UR487" i="2"/>
  <c r="UQ487" i="2"/>
  <c r="VD486" i="2"/>
  <c r="VC486" i="2"/>
  <c r="VB486" i="2"/>
  <c r="VA486" i="2"/>
  <c r="UZ486" i="2"/>
  <c r="UY486" i="2"/>
  <c r="UX486" i="2"/>
  <c r="UW486" i="2"/>
  <c r="UV486" i="2"/>
  <c r="UU486" i="2"/>
  <c r="UT486" i="2"/>
  <c r="US486" i="2"/>
  <c r="UR486" i="2"/>
  <c r="UQ486" i="2"/>
  <c r="VD485" i="2"/>
  <c r="VC485" i="2"/>
  <c r="VB485" i="2"/>
  <c r="VA485" i="2"/>
  <c r="UZ485" i="2"/>
  <c r="UY485" i="2"/>
  <c r="UX485" i="2"/>
  <c r="UW485" i="2"/>
  <c r="UV485" i="2"/>
  <c r="UU485" i="2"/>
  <c r="UT485" i="2"/>
  <c r="US485" i="2"/>
  <c r="UR485" i="2"/>
  <c r="UQ485" i="2"/>
  <c r="UN521" i="2"/>
  <c r="UM521" i="2"/>
  <c r="UL521" i="2"/>
  <c r="UK521" i="2"/>
  <c r="UJ521" i="2"/>
  <c r="BT44" i="50" s="1"/>
  <c r="UI521" i="2"/>
  <c r="BS44" i="50" s="1"/>
  <c r="UH521" i="2"/>
  <c r="UG521" i="2"/>
  <c r="UF521" i="2"/>
  <c r="UE521" i="2"/>
  <c r="UD521" i="2"/>
  <c r="UC521" i="2"/>
  <c r="UB521" i="2"/>
  <c r="UA521" i="2"/>
  <c r="UN520" i="2"/>
  <c r="UM520" i="2"/>
  <c r="UL520" i="2"/>
  <c r="UK520" i="2"/>
  <c r="UJ520" i="2"/>
  <c r="BT43" i="50" s="1"/>
  <c r="UI520" i="2"/>
  <c r="BS43" i="50" s="1"/>
  <c r="UH520" i="2"/>
  <c r="UG520" i="2"/>
  <c r="UF520" i="2"/>
  <c r="UE520" i="2"/>
  <c r="UD520" i="2"/>
  <c r="UC520" i="2"/>
  <c r="UB520" i="2"/>
  <c r="UA520" i="2"/>
  <c r="UN519" i="2"/>
  <c r="UM519" i="2"/>
  <c r="UL519" i="2"/>
  <c r="UK519" i="2"/>
  <c r="UJ519" i="2"/>
  <c r="BT42" i="50" s="1"/>
  <c r="UI519" i="2"/>
  <c r="BS42" i="50" s="1"/>
  <c r="UH519" i="2"/>
  <c r="UG519" i="2"/>
  <c r="UF519" i="2"/>
  <c r="UE519" i="2"/>
  <c r="UD519" i="2"/>
  <c r="UC519" i="2"/>
  <c r="UB519" i="2"/>
  <c r="UA519" i="2"/>
  <c r="UN518" i="2"/>
  <c r="UM518" i="2"/>
  <c r="UL518" i="2"/>
  <c r="UK518" i="2"/>
  <c r="UJ518" i="2"/>
  <c r="BT41" i="50" s="1"/>
  <c r="UI518" i="2"/>
  <c r="BS41" i="50" s="1"/>
  <c r="UH518" i="2"/>
  <c r="UG518" i="2"/>
  <c r="UF518" i="2"/>
  <c r="UE518" i="2"/>
  <c r="UD518" i="2"/>
  <c r="UC518" i="2"/>
  <c r="UB518" i="2"/>
  <c r="UA518" i="2"/>
  <c r="UN517" i="2"/>
  <c r="UM517" i="2"/>
  <c r="UL517" i="2"/>
  <c r="UK517" i="2"/>
  <c r="UJ517" i="2"/>
  <c r="BT40" i="50" s="1"/>
  <c r="UI517" i="2"/>
  <c r="BS40" i="50" s="1"/>
  <c r="UH517" i="2"/>
  <c r="UG517" i="2"/>
  <c r="UF517" i="2"/>
  <c r="UE517" i="2"/>
  <c r="UD517" i="2"/>
  <c r="UC517" i="2"/>
  <c r="UB517" i="2"/>
  <c r="UA517" i="2"/>
  <c r="UN516" i="2"/>
  <c r="UM516" i="2"/>
  <c r="UL516" i="2"/>
  <c r="UK516" i="2"/>
  <c r="UJ516" i="2"/>
  <c r="BT39" i="50" s="1"/>
  <c r="UI516" i="2"/>
  <c r="BS39" i="50" s="1"/>
  <c r="UH516" i="2"/>
  <c r="UG516" i="2"/>
  <c r="UF516" i="2"/>
  <c r="UE516" i="2"/>
  <c r="UD516" i="2"/>
  <c r="UC516" i="2"/>
  <c r="UB516" i="2"/>
  <c r="UA516" i="2"/>
  <c r="UN515" i="2"/>
  <c r="UM515" i="2"/>
  <c r="UL515" i="2"/>
  <c r="UK515" i="2"/>
  <c r="UJ515" i="2"/>
  <c r="BT38" i="50" s="1"/>
  <c r="UI515" i="2"/>
  <c r="BS38" i="50" s="1"/>
  <c r="UH515" i="2"/>
  <c r="UG515" i="2"/>
  <c r="UF515" i="2"/>
  <c r="UE515" i="2"/>
  <c r="UD515" i="2"/>
  <c r="UC515" i="2"/>
  <c r="UB515" i="2"/>
  <c r="UA515" i="2"/>
  <c r="UN514" i="2"/>
  <c r="UM514" i="2"/>
  <c r="UL514" i="2"/>
  <c r="UK514" i="2"/>
  <c r="UJ514" i="2"/>
  <c r="BT37" i="50" s="1"/>
  <c r="UI514" i="2"/>
  <c r="BS37" i="50" s="1"/>
  <c r="UH514" i="2"/>
  <c r="UG514" i="2"/>
  <c r="UF514" i="2"/>
  <c r="UE514" i="2"/>
  <c r="UD514" i="2"/>
  <c r="UC514" i="2"/>
  <c r="UB514" i="2"/>
  <c r="UA514" i="2"/>
  <c r="UN513" i="2"/>
  <c r="UM513" i="2"/>
  <c r="UL513" i="2"/>
  <c r="UK513" i="2"/>
  <c r="UJ513" i="2"/>
  <c r="UI513" i="2"/>
  <c r="UH513" i="2"/>
  <c r="UG513" i="2"/>
  <c r="UF513" i="2"/>
  <c r="UE513" i="2"/>
  <c r="UD513" i="2"/>
  <c r="UC513" i="2"/>
  <c r="UB513" i="2"/>
  <c r="UA513" i="2"/>
  <c r="UN512" i="2"/>
  <c r="UM512" i="2"/>
  <c r="UL512" i="2"/>
  <c r="UK512" i="2"/>
  <c r="UJ512" i="2"/>
  <c r="UI512" i="2"/>
  <c r="UH512" i="2"/>
  <c r="UG512" i="2"/>
  <c r="UF512" i="2"/>
  <c r="UE512" i="2"/>
  <c r="UD512" i="2"/>
  <c r="UC512" i="2"/>
  <c r="UB512" i="2"/>
  <c r="UA512" i="2"/>
  <c r="UN511" i="2"/>
  <c r="UM511" i="2"/>
  <c r="UL511" i="2"/>
  <c r="UK511" i="2"/>
  <c r="UJ511" i="2"/>
  <c r="UI511" i="2"/>
  <c r="UH511" i="2"/>
  <c r="UG511" i="2"/>
  <c r="UF511" i="2"/>
  <c r="UE511" i="2"/>
  <c r="UD511" i="2"/>
  <c r="UC511" i="2"/>
  <c r="UB511" i="2"/>
  <c r="UA511" i="2"/>
  <c r="UN510" i="2"/>
  <c r="UM510" i="2"/>
  <c r="UL510" i="2"/>
  <c r="UK510" i="2"/>
  <c r="UJ510" i="2"/>
  <c r="UI510" i="2"/>
  <c r="UH510" i="2"/>
  <c r="UG510" i="2"/>
  <c r="UF510" i="2"/>
  <c r="UE510" i="2"/>
  <c r="UD510" i="2"/>
  <c r="UC510" i="2"/>
  <c r="UB510" i="2"/>
  <c r="UA510" i="2"/>
  <c r="UN509" i="2"/>
  <c r="UM509" i="2"/>
  <c r="UL509" i="2"/>
  <c r="UK509" i="2"/>
  <c r="UJ509" i="2"/>
  <c r="UI509" i="2"/>
  <c r="UH509" i="2"/>
  <c r="UG509" i="2"/>
  <c r="UF509" i="2"/>
  <c r="UE509" i="2"/>
  <c r="UD509" i="2"/>
  <c r="UC509" i="2"/>
  <c r="UB509" i="2"/>
  <c r="UA509" i="2"/>
  <c r="UN508" i="2"/>
  <c r="UM508" i="2"/>
  <c r="UL508" i="2"/>
  <c r="UK508" i="2"/>
  <c r="UJ508" i="2"/>
  <c r="UI508" i="2"/>
  <c r="UH508" i="2"/>
  <c r="UG508" i="2"/>
  <c r="UF508" i="2"/>
  <c r="UE508" i="2"/>
  <c r="UD508" i="2"/>
  <c r="UC508" i="2"/>
  <c r="UB508" i="2"/>
  <c r="UA508" i="2"/>
  <c r="UN507" i="2"/>
  <c r="UM507" i="2"/>
  <c r="UL507" i="2"/>
  <c r="UK507" i="2"/>
  <c r="UJ507" i="2"/>
  <c r="UI507" i="2"/>
  <c r="UH507" i="2"/>
  <c r="UG507" i="2"/>
  <c r="UF507" i="2"/>
  <c r="UE507" i="2"/>
  <c r="UD507" i="2"/>
  <c r="UC507" i="2"/>
  <c r="UB507" i="2"/>
  <c r="UA507" i="2"/>
  <c r="UN506" i="2"/>
  <c r="UM506" i="2"/>
  <c r="UL506" i="2"/>
  <c r="UK506" i="2"/>
  <c r="UJ506" i="2"/>
  <c r="UI506" i="2"/>
  <c r="UH506" i="2"/>
  <c r="UG506" i="2"/>
  <c r="UF506" i="2"/>
  <c r="UE506" i="2"/>
  <c r="UD506" i="2"/>
  <c r="UC506" i="2"/>
  <c r="UB506" i="2"/>
  <c r="UA506" i="2"/>
  <c r="UN505" i="2"/>
  <c r="UM505" i="2"/>
  <c r="UL505" i="2"/>
  <c r="UK505" i="2"/>
  <c r="UJ505" i="2"/>
  <c r="UI505" i="2"/>
  <c r="UH505" i="2"/>
  <c r="UG505" i="2"/>
  <c r="UF505" i="2"/>
  <c r="UE505" i="2"/>
  <c r="UD505" i="2"/>
  <c r="UC505" i="2"/>
  <c r="UB505" i="2"/>
  <c r="UA505" i="2"/>
  <c r="UN504" i="2"/>
  <c r="UM504" i="2"/>
  <c r="UL504" i="2"/>
  <c r="UK504" i="2"/>
  <c r="UJ504" i="2"/>
  <c r="UI504" i="2"/>
  <c r="UH504" i="2"/>
  <c r="UG504" i="2"/>
  <c r="UF504" i="2"/>
  <c r="UE504" i="2"/>
  <c r="UD504" i="2"/>
  <c r="UC504" i="2"/>
  <c r="UB504" i="2"/>
  <c r="UA504" i="2"/>
  <c r="UN503" i="2"/>
  <c r="UM503" i="2"/>
  <c r="UL503" i="2"/>
  <c r="UK503" i="2"/>
  <c r="UJ503" i="2"/>
  <c r="UI503" i="2"/>
  <c r="UH503" i="2"/>
  <c r="UG503" i="2"/>
  <c r="UF503" i="2"/>
  <c r="UE503" i="2"/>
  <c r="UD503" i="2"/>
  <c r="UC503" i="2"/>
  <c r="UB503" i="2"/>
  <c r="UA503" i="2"/>
  <c r="UN502" i="2"/>
  <c r="UM502" i="2"/>
  <c r="UL502" i="2"/>
  <c r="UK502" i="2"/>
  <c r="UJ502" i="2"/>
  <c r="UI502" i="2"/>
  <c r="UH502" i="2"/>
  <c r="UG502" i="2"/>
  <c r="UF502" i="2"/>
  <c r="UE502" i="2"/>
  <c r="UD502" i="2"/>
  <c r="UC502" i="2"/>
  <c r="UB502" i="2"/>
  <c r="UA502" i="2"/>
  <c r="UN501" i="2"/>
  <c r="UM501" i="2"/>
  <c r="UL501" i="2"/>
  <c r="UK501" i="2"/>
  <c r="UJ501" i="2"/>
  <c r="UI501" i="2"/>
  <c r="UH501" i="2"/>
  <c r="UG501" i="2"/>
  <c r="UF501" i="2"/>
  <c r="UE501" i="2"/>
  <c r="UD501" i="2"/>
  <c r="UC501" i="2"/>
  <c r="UB501" i="2"/>
  <c r="UA501" i="2"/>
  <c r="UN500" i="2"/>
  <c r="UM500" i="2"/>
  <c r="UL500" i="2"/>
  <c r="UK500" i="2"/>
  <c r="UJ500" i="2"/>
  <c r="UI500" i="2"/>
  <c r="UH500" i="2"/>
  <c r="UG500" i="2"/>
  <c r="UF500" i="2"/>
  <c r="UE500" i="2"/>
  <c r="UD500" i="2"/>
  <c r="UC500" i="2"/>
  <c r="UB500" i="2"/>
  <c r="UA500" i="2"/>
  <c r="UN499" i="2"/>
  <c r="UM499" i="2"/>
  <c r="UL499" i="2"/>
  <c r="UK499" i="2"/>
  <c r="UJ499" i="2"/>
  <c r="UI499" i="2"/>
  <c r="UH499" i="2"/>
  <c r="UG499" i="2"/>
  <c r="UF499" i="2"/>
  <c r="UE499" i="2"/>
  <c r="UD499" i="2"/>
  <c r="UC499" i="2"/>
  <c r="UB499" i="2"/>
  <c r="UA499" i="2"/>
  <c r="UN498" i="2"/>
  <c r="UM498" i="2"/>
  <c r="UL498" i="2"/>
  <c r="UK498" i="2"/>
  <c r="UJ498" i="2"/>
  <c r="UI498" i="2"/>
  <c r="UH498" i="2"/>
  <c r="UG498" i="2"/>
  <c r="UF498" i="2"/>
  <c r="UE498" i="2"/>
  <c r="UD498" i="2"/>
  <c r="UC498" i="2"/>
  <c r="UB498" i="2"/>
  <c r="UA498" i="2"/>
  <c r="UN497" i="2"/>
  <c r="UM497" i="2"/>
  <c r="UL497" i="2"/>
  <c r="UK497" i="2"/>
  <c r="UJ497" i="2"/>
  <c r="UI497" i="2"/>
  <c r="UH497" i="2"/>
  <c r="UG497" i="2"/>
  <c r="UF497" i="2"/>
  <c r="UE497" i="2"/>
  <c r="UD497" i="2"/>
  <c r="UC497" i="2"/>
  <c r="UB497" i="2"/>
  <c r="UA497" i="2"/>
  <c r="UN496" i="2"/>
  <c r="UM496" i="2"/>
  <c r="UL496" i="2"/>
  <c r="UK496" i="2"/>
  <c r="UJ496" i="2"/>
  <c r="UI496" i="2"/>
  <c r="UH496" i="2"/>
  <c r="UG496" i="2"/>
  <c r="UF496" i="2"/>
  <c r="UE496" i="2"/>
  <c r="UD496" i="2"/>
  <c r="UC496" i="2"/>
  <c r="UB496" i="2"/>
  <c r="UA496" i="2"/>
  <c r="UN495" i="2"/>
  <c r="UM495" i="2"/>
  <c r="UL495" i="2"/>
  <c r="UK495" i="2"/>
  <c r="UJ495" i="2"/>
  <c r="UI495" i="2"/>
  <c r="UH495" i="2"/>
  <c r="UG495" i="2"/>
  <c r="UF495" i="2"/>
  <c r="UE495" i="2"/>
  <c r="UD495" i="2"/>
  <c r="UC495" i="2"/>
  <c r="UB495" i="2"/>
  <c r="UA495" i="2"/>
  <c r="UN494" i="2"/>
  <c r="UM494" i="2"/>
  <c r="UL494" i="2"/>
  <c r="UK494" i="2"/>
  <c r="UJ494" i="2"/>
  <c r="UI494" i="2"/>
  <c r="UH494" i="2"/>
  <c r="UG494" i="2"/>
  <c r="UF494" i="2"/>
  <c r="UE494" i="2"/>
  <c r="UD494" i="2"/>
  <c r="UC494" i="2"/>
  <c r="UB494" i="2"/>
  <c r="UA494" i="2"/>
  <c r="UN493" i="2"/>
  <c r="UM493" i="2"/>
  <c r="UL493" i="2"/>
  <c r="UK493" i="2"/>
  <c r="UJ493" i="2"/>
  <c r="UI493" i="2"/>
  <c r="UH493" i="2"/>
  <c r="UG493" i="2"/>
  <c r="UF493" i="2"/>
  <c r="UE493" i="2"/>
  <c r="UD493" i="2"/>
  <c r="UC493" i="2"/>
  <c r="UB493" i="2"/>
  <c r="UA493" i="2"/>
  <c r="UN492" i="2"/>
  <c r="UM492" i="2"/>
  <c r="UL492" i="2"/>
  <c r="UK492" i="2"/>
  <c r="UJ492" i="2"/>
  <c r="UI492" i="2"/>
  <c r="UH492" i="2"/>
  <c r="UG492" i="2"/>
  <c r="UF492" i="2"/>
  <c r="UE492" i="2"/>
  <c r="UD492" i="2"/>
  <c r="UC492" i="2"/>
  <c r="UB492" i="2"/>
  <c r="UA492" i="2"/>
  <c r="UN491" i="2"/>
  <c r="UM491" i="2"/>
  <c r="UL491" i="2"/>
  <c r="UK491" i="2"/>
  <c r="UJ491" i="2"/>
  <c r="UI491" i="2"/>
  <c r="UH491" i="2"/>
  <c r="UG491" i="2"/>
  <c r="UF491" i="2"/>
  <c r="UE491" i="2"/>
  <c r="UD491" i="2"/>
  <c r="UC491" i="2"/>
  <c r="UB491" i="2"/>
  <c r="UA491" i="2"/>
  <c r="UN490" i="2"/>
  <c r="UM490" i="2"/>
  <c r="UL490" i="2"/>
  <c r="UK490" i="2"/>
  <c r="UJ490" i="2"/>
  <c r="UI490" i="2"/>
  <c r="UH490" i="2"/>
  <c r="UG490" i="2"/>
  <c r="UF490" i="2"/>
  <c r="UE490" i="2"/>
  <c r="UD490" i="2"/>
  <c r="UC490" i="2"/>
  <c r="UB490" i="2"/>
  <c r="UA490" i="2"/>
  <c r="UN489" i="2"/>
  <c r="UM489" i="2"/>
  <c r="UL489" i="2"/>
  <c r="UK489" i="2"/>
  <c r="UJ489" i="2"/>
  <c r="UI489" i="2"/>
  <c r="UH489" i="2"/>
  <c r="UG489" i="2"/>
  <c r="UF489" i="2"/>
  <c r="UE489" i="2"/>
  <c r="UD489" i="2"/>
  <c r="UC489" i="2"/>
  <c r="UB489" i="2"/>
  <c r="UA489" i="2"/>
  <c r="UN488" i="2"/>
  <c r="UM488" i="2"/>
  <c r="UL488" i="2"/>
  <c r="UK488" i="2"/>
  <c r="UJ488" i="2"/>
  <c r="UI488" i="2"/>
  <c r="UH488" i="2"/>
  <c r="UG488" i="2"/>
  <c r="UF488" i="2"/>
  <c r="UE488" i="2"/>
  <c r="UD488" i="2"/>
  <c r="UC488" i="2"/>
  <c r="UB488" i="2"/>
  <c r="UA488" i="2"/>
  <c r="UN487" i="2"/>
  <c r="UM487" i="2"/>
  <c r="UL487" i="2"/>
  <c r="UK487" i="2"/>
  <c r="UJ487" i="2"/>
  <c r="UI487" i="2"/>
  <c r="UH487" i="2"/>
  <c r="UG487" i="2"/>
  <c r="UF487" i="2"/>
  <c r="UE487" i="2"/>
  <c r="UD487" i="2"/>
  <c r="UC487" i="2"/>
  <c r="UB487" i="2"/>
  <c r="UA487" i="2"/>
  <c r="UN486" i="2"/>
  <c r="UM486" i="2"/>
  <c r="UL486" i="2"/>
  <c r="UK486" i="2"/>
  <c r="UJ486" i="2"/>
  <c r="UI486" i="2"/>
  <c r="UH486" i="2"/>
  <c r="UG486" i="2"/>
  <c r="UF486" i="2"/>
  <c r="UE486" i="2"/>
  <c r="UD486" i="2"/>
  <c r="UC486" i="2"/>
  <c r="UB486" i="2"/>
  <c r="UA486" i="2"/>
  <c r="UN485" i="2"/>
  <c r="UM485" i="2"/>
  <c r="UL485" i="2"/>
  <c r="UK485" i="2"/>
  <c r="UJ485" i="2"/>
  <c r="UI485" i="2"/>
  <c r="UH485" i="2"/>
  <c r="UG485" i="2"/>
  <c r="UF485" i="2"/>
  <c r="UE485" i="2"/>
  <c r="UD485" i="2"/>
  <c r="UC485" i="2"/>
  <c r="UB485" i="2"/>
  <c r="UA485" i="2"/>
  <c r="TX521" i="2"/>
  <c r="TW521" i="2"/>
  <c r="TT521" i="2"/>
  <c r="BR44" i="50" s="1"/>
  <c r="TS521" i="2"/>
  <c r="BQ44" i="50" s="1"/>
  <c r="TR521" i="2"/>
  <c r="TQ521" i="2"/>
  <c r="TP521" i="2"/>
  <c r="TO521" i="2"/>
  <c r="TN521" i="2"/>
  <c r="TM521" i="2"/>
  <c r="TL521" i="2"/>
  <c r="TK521" i="2"/>
  <c r="TX520" i="2"/>
  <c r="TW520" i="2"/>
  <c r="TT520" i="2"/>
  <c r="BR43" i="50" s="1"/>
  <c r="TS520" i="2"/>
  <c r="BQ43" i="50" s="1"/>
  <c r="TR520" i="2"/>
  <c r="TQ520" i="2"/>
  <c r="TP520" i="2"/>
  <c r="TO520" i="2"/>
  <c r="TN520" i="2"/>
  <c r="TM520" i="2"/>
  <c r="TL520" i="2"/>
  <c r="TK520" i="2"/>
  <c r="TX519" i="2"/>
  <c r="TW519" i="2"/>
  <c r="TT519" i="2"/>
  <c r="BR42" i="50" s="1"/>
  <c r="TS519" i="2"/>
  <c r="BQ42" i="50" s="1"/>
  <c r="TR519" i="2"/>
  <c r="TQ519" i="2"/>
  <c r="TP519" i="2"/>
  <c r="TO519" i="2"/>
  <c r="TN519" i="2"/>
  <c r="TM519" i="2"/>
  <c r="TL519" i="2"/>
  <c r="TK519" i="2"/>
  <c r="TX518" i="2"/>
  <c r="TW518" i="2"/>
  <c r="TT518" i="2"/>
  <c r="BR41" i="50" s="1"/>
  <c r="TS518" i="2"/>
  <c r="BQ41" i="50" s="1"/>
  <c r="TR518" i="2"/>
  <c r="TQ518" i="2"/>
  <c r="TP518" i="2"/>
  <c r="TO518" i="2"/>
  <c r="TN518" i="2"/>
  <c r="TM518" i="2"/>
  <c r="TL518" i="2"/>
  <c r="TK518" i="2"/>
  <c r="TX517" i="2"/>
  <c r="TW517" i="2"/>
  <c r="TT517" i="2"/>
  <c r="BR40" i="50" s="1"/>
  <c r="TS517" i="2"/>
  <c r="BQ40" i="50" s="1"/>
  <c r="TR517" i="2"/>
  <c r="TQ517" i="2"/>
  <c r="TP517" i="2"/>
  <c r="TO517" i="2"/>
  <c r="TN517" i="2"/>
  <c r="TM517" i="2"/>
  <c r="TL517" i="2"/>
  <c r="TK517" i="2"/>
  <c r="TX516" i="2"/>
  <c r="TW516" i="2"/>
  <c r="TT516" i="2"/>
  <c r="BR39" i="50" s="1"/>
  <c r="TS516" i="2"/>
  <c r="BQ39" i="50" s="1"/>
  <c r="TR516" i="2"/>
  <c r="TQ516" i="2"/>
  <c r="TP516" i="2"/>
  <c r="TO516" i="2"/>
  <c r="TN516" i="2"/>
  <c r="TM516" i="2"/>
  <c r="TL516" i="2"/>
  <c r="TK516" i="2"/>
  <c r="TX515" i="2"/>
  <c r="TW515" i="2"/>
  <c r="TT515" i="2"/>
  <c r="BR38" i="50" s="1"/>
  <c r="TS515" i="2"/>
  <c r="BQ38" i="50" s="1"/>
  <c r="TR515" i="2"/>
  <c r="TQ515" i="2"/>
  <c r="TP515" i="2"/>
  <c r="TO515" i="2"/>
  <c r="TN515" i="2"/>
  <c r="TM515" i="2"/>
  <c r="TL515" i="2"/>
  <c r="TK515" i="2"/>
  <c r="TX514" i="2"/>
  <c r="TW514" i="2"/>
  <c r="TT514" i="2"/>
  <c r="BR37" i="50" s="1"/>
  <c r="TS514" i="2"/>
  <c r="BQ37" i="50" s="1"/>
  <c r="TR514" i="2"/>
  <c r="TQ514" i="2"/>
  <c r="TP514" i="2"/>
  <c r="TO514" i="2"/>
  <c r="TN514" i="2"/>
  <c r="TM514" i="2"/>
  <c r="TL514" i="2"/>
  <c r="TK514" i="2"/>
  <c r="TX513" i="2"/>
  <c r="TW513" i="2"/>
  <c r="TT513" i="2"/>
  <c r="TS513" i="2"/>
  <c r="TR513" i="2"/>
  <c r="TQ513" i="2"/>
  <c r="TP513" i="2"/>
  <c r="TO513" i="2"/>
  <c r="TN513" i="2"/>
  <c r="TM513" i="2"/>
  <c r="TL513" i="2"/>
  <c r="TK513" i="2"/>
  <c r="TX512" i="2"/>
  <c r="TW512" i="2"/>
  <c r="TT512" i="2"/>
  <c r="TS512" i="2"/>
  <c r="TR512" i="2"/>
  <c r="TQ512" i="2"/>
  <c r="TP512" i="2"/>
  <c r="TO512" i="2"/>
  <c r="TN512" i="2"/>
  <c r="TM512" i="2"/>
  <c r="TL512" i="2"/>
  <c r="TK512" i="2"/>
  <c r="TX511" i="2"/>
  <c r="TW511" i="2"/>
  <c r="TT511" i="2"/>
  <c r="TS511" i="2"/>
  <c r="TR511" i="2"/>
  <c r="TQ511" i="2"/>
  <c r="TP511" i="2"/>
  <c r="TO511" i="2"/>
  <c r="TN511" i="2"/>
  <c r="TM511" i="2"/>
  <c r="TL511" i="2"/>
  <c r="TK511" i="2"/>
  <c r="TX510" i="2"/>
  <c r="TW510" i="2"/>
  <c r="TT510" i="2"/>
  <c r="TS510" i="2"/>
  <c r="TR510" i="2"/>
  <c r="TQ510" i="2"/>
  <c r="TP510" i="2"/>
  <c r="TO510" i="2"/>
  <c r="TN510" i="2"/>
  <c r="TM510" i="2"/>
  <c r="TL510" i="2"/>
  <c r="TK510" i="2"/>
  <c r="TX509" i="2"/>
  <c r="TW509" i="2"/>
  <c r="TT509" i="2"/>
  <c r="TS509" i="2"/>
  <c r="TR509" i="2"/>
  <c r="TQ509" i="2"/>
  <c r="TP509" i="2"/>
  <c r="TO509" i="2"/>
  <c r="TN509" i="2"/>
  <c r="TM509" i="2"/>
  <c r="TL509" i="2"/>
  <c r="TK509" i="2"/>
  <c r="TX508" i="2"/>
  <c r="TW508" i="2"/>
  <c r="TT508" i="2"/>
  <c r="TS508" i="2"/>
  <c r="TR508" i="2"/>
  <c r="TQ508" i="2"/>
  <c r="TP508" i="2"/>
  <c r="TO508" i="2"/>
  <c r="TN508" i="2"/>
  <c r="TM508" i="2"/>
  <c r="TL508" i="2"/>
  <c r="TK508" i="2"/>
  <c r="TX507" i="2"/>
  <c r="TW507" i="2"/>
  <c r="TT507" i="2"/>
  <c r="TS507" i="2"/>
  <c r="TR507" i="2"/>
  <c r="TQ507" i="2"/>
  <c r="TP507" i="2"/>
  <c r="TO507" i="2"/>
  <c r="TN507" i="2"/>
  <c r="TM507" i="2"/>
  <c r="TL507" i="2"/>
  <c r="TK507" i="2"/>
  <c r="TX506" i="2"/>
  <c r="TW506" i="2"/>
  <c r="TT506" i="2"/>
  <c r="TS506" i="2"/>
  <c r="TR506" i="2"/>
  <c r="TQ506" i="2"/>
  <c r="TP506" i="2"/>
  <c r="TO506" i="2"/>
  <c r="TN506" i="2"/>
  <c r="TM506" i="2"/>
  <c r="TL506" i="2"/>
  <c r="TK506" i="2"/>
  <c r="TX505" i="2"/>
  <c r="TW505" i="2"/>
  <c r="TT505" i="2"/>
  <c r="TS505" i="2"/>
  <c r="TR505" i="2"/>
  <c r="TQ505" i="2"/>
  <c r="TP505" i="2"/>
  <c r="TO505" i="2"/>
  <c r="TN505" i="2"/>
  <c r="TM505" i="2"/>
  <c r="TL505" i="2"/>
  <c r="TK505" i="2"/>
  <c r="TX504" i="2"/>
  <c r="TW504" i="2"/>
  <c r="TT504" i="2"/>
  <c r="TS504" i="2"/>
  <c r="TR504" i="2"/>
  <c r="TQ504" i="2"/>
  <c r="TP504" i="2"/>
  <c r="TO504" i="2"/>
  <c r="TN504" i="2"/>
  <c r="TM504" i="2"/>
  <c r="TL504" i="2"/>
  <c r="TK504" i="2"/>
  <c r="TX503" i="2"/>
  <c r="TW503" i="2"/>
  <c r="TT503" i="2"/>
  <c r="TS503" i="2"/>
  <c r="TR503" i="2"/>
  <c r="TQ503" i="2"/>
  <c r="TP503" i="2"/>
  <c r="TO503" i="2"/>
  <c r="TN503" i="2"/>
  <c r="TM503" i="2"/>
  <c r="TL503" i="2"/>
  <c r="TK503" i="2"/>
  <c r="TX502" i="2"/>
  <c r="TW502" i="2"/>
  <c r="TT502" i="2"/>
  <c r="TS502" i="2"/>
  <c r="TR502" i="2"/>
  <c r="TQ502" i="2"/>
  <c r="TP502" i="2"/>
  <c r="TO502" i="2"/>
  <c r="TN502" i="2"/>
  <c r="TM502" i="2"/>
  <c r="TL502" i="2"/>
  <c r="TK502" i="2"/>
  <c r="TX501" i="2"/>
  <c r="TW501" i="2"/>
  <c r="TT501" i="2"/>
  <c r="TS501" i="2"/>
  <c r="TR501" i="2"/>
  <c r="TQ501" i="2"/>
  <c r="TP501" i="2"/>
  <c r="TO501" i="2"/>
  <c r="TN501" i="2"/>
  <c r="TM501" i="2"/>
  <c r="TL501" i="2"/>
  <c r="TK501" i="2"/>
  <c r="TX500" i="2"/>
  <c r="TW500" i="2"/>
  <c r="TT500" i="2"/>
  <c r="TS500" i="2"/>
  <c r="TR500" i="2"/>
  <c r="TQ500" i="2"/>
  <c r="TP500" i="2"/>
  <c r="TO500" i="2"/>
  <c r="TN500" i="2"/>
  <c r="TM500" i="2"/>
  <c r="TL500" i="2"/>
  <c r="TK500" i="2"/>
  <c r="TX499" i="2"/>
  <c r="TW499" i="2"/>
  <c r="TT499" i="2"/>
  <c r="TS499" i="2"/>
  <c r="TR499" i="2"/>
  <c r="TQ499" i="2"/>
  <c r="TP499" i="2"/>
  <c r="TO499" i="2"/>
  <c r="TN499" i="2"/>
  <c r="TM499" i="2"/>
  <c r="TL499" i="2"/>
  <c r="TK499" i="2"/>
  <c r="TX498" i="2"/>
  <c r="TW498" i="2"/>
  <c r="TT498" i="2"/>
  <c r="TS498" i="2"/>
  <c r="TR498" i="2"/>
  <c r="TQ498" i="2"/>
  <c r="TP498" i="2"/>
  <c r="TO498" i="2"/>
  <c r="TN498" i="2"/>
  <c r="TM498" i="2"/>
  <c r="TL498" i="2"/>
  <c r="TK498" i="2"/>
  <c r="TX497" i="2"/>
  <c r="TW497" i="2"/>
  <c r="TT497" i="2"/>
  <c r="TS497" i="2"/>
  <c r="TR497" i="2"/>
  <c r="TQ497" i="2"/>
  <c r="TP497" i="2"/>
  <c r="TO497" i="2"/>
  <c r="TN497" i="2"/>
  <c r="TM497" i="2"/>
  <c r="TL497" i="2"/>
  <c r="TK497" i="2"/>
  <c r="TX496" i="2"/>
  <c r="TW496" i="2"/>
  <c r="TT496" i="2"/>
  <c r="TS496" i="2"/>
  <c r="TR496" i="2"/>
  <c r="TQ496" i="2"/>
  <c r="TP496" i="2"/>
  <c r="TO496" i="2"/>
  <c r="TN496" i="2"/>
  <c r="TM496" i="2"/>
  <c r="TL496" i="2"/>
  <c r="TK496" i="2"/>
  <c r="TX495" i="2"/>
  <c r="TW495" i="2"/>
  <c r="TT495" i="2"/>
  <c r="TS495" i="2"/>
  <c r="TR495" i="2"/>
  <c r="TQ495" i="2"/>
  <c r="TP495" i="2"/>
  <c r="TO495" i="2"/>
  <c r="TN495" i="2"/>
  <c r="TM495" i="2"/>
  <c r="TL495" i="2"/>
  <c r="TK495" i="2"/>
  <c r="TX494" i="2"/>
  <c r="TW494" i="2"/>
  <c r="TT494" i="2"/>
  <c r="TS494" i="2"/>
  <c r="TR494" i="2"/>
  <c r="TQ494" i="2"/>
  <c r="TP494" i="2"/>
  <c r="TO494" i="2"/>
  <c r="TN494" i="2"/>
  <c r="TM494" i="2"/>
  <c r="TL494" i="2"/>
  <c r="TK494" i="2"/>
  <c r="TX493" i="2"/>
  <c r="TW493" i="2"/>
  <c r="TT493" i="2"/>
  <c r="TS493" i="2"/>
  <c r="TR493" i="2"/>
  <c r="TQ493" i="2"/>
  <c r="TP493" i="2"/>
  <c r="TO493" i="2"/>
  <c r="TN493" i="2"/>
  <c r="TM493" i="2"/>
  <c r="TL493" i="2"/>
  <c r="TK493" i="2"/>
  <c r="TX492" i="2"/>
  <c r="TW492" i="2"/>
  <c r="TT492" i="2"/>
  <c r="TS492" i="2"/>
  <c r="TR492" i="2"/>
  <c r="TQ492" i="2"/>
  <c r="TP492" i="2"/>
  <c r="TO492" i="2"/>
  <c r="TN492" i="2"/>
  <c r="TM492" i="2"/>
  <c r="TL492" i="2"/>
  <c r="TK492" i="2"/>
  <c r="TX491" i="2"/>
  <c r="TW491" i="2"/>
  <c r="TT491" i="2"/>
  <c r="TS491" i="2"/>
  <c r="TR491" i="2"/>
  <c r="TQ491" i="2"/>
  <c r="TP491" i="2"/>
  <c r="TO491" i="2"/>
  <c r="TN491" i="2"/>
  <c r="TM491" i="2"/>
  <c r="TL491" i="2"/>
  <c r="TK491" i="2"/>
  <c r="TX490" i="2"/>
  <c r="TW490" i="2"/>
  <c r="TT490" i="2"/>
  <c r="TS490" i="2"/>
  <c r="TR490" i="2"/>
  <c r="TQ490" i="2"/>
  <c r="TP490" i="2"/>
  <c r="TO490" i="2"/>
  <c r="TN490" i="2"/>
  <c r="TM490" i="2"/>
  <c r="TL490" i="2"/>
  <c r="TK490" i="2"/>
  <c r="TX489" i="2"/>
  <c r="TW489" i="2"/>
  <c r="TT489" i="2"/>
  <c r="TS489" i="2"/>
  <c r="TR489" i="2"/>
  <c r="TQ489" i="2"/>
  <c r="TP489" i="2"/>
  <c r="TO489" i="2"/>
  <c r="TN489" i="2"/>
  <c r="TM489" i="2"/>
  <c r="TL489" i="2"/>
  <c r="TK489" i="2"/>
  <c r="TX488" i="2"/>
  <c r="TW488" i="2"/>
  <c r="TT488" i="2"/>
  <c r="TS488" i="2"/>
  <c r="TR488" i="2"/>
  <c r="TQ488" i="2"/>
  <c r="TP488" i="2"/>
  <c r="TO488" i="2"/>
  <c r="TN488" i="2"/>
  <c r="TM488" i="2"/>
  <c r="TL488" i="2"/>
  <c r="TK488" i="2"/>
  <c r="TX487" i="2"/>
  <c r="TW487" i="2"/>
  <c r="TT487" i="2"/>
  <c r="TS487" i="2"/>
  <c r="TR487" i="2"/>
  <c r="TQ487" i="2"/>
  <c r="TP487" i="2"/>
  <c r="TO487" i="2"/>
  <c r="TN487" i="2"/>
  <c r="TM487" i="2"/>
  <c r="TL487" i="2"/>
  <c r="TK487" i="2"/>
  <c r="TX486" i="2"/>
  <c r="TW486" i="2"/>
  <c r="TT486" i="2"/>
  <c r="TS486" i="2"/>
  <c r="TR486" i="2"/>
  <c r="TQ486" i="2"/>
  <c r="TP486" i="2"/>
  <c r="TO486" i="2"/>
  <c r="TN486" i="2"/>
  <c r="TM486" i="2"/>
  <c r="TL486" i="2"/>
  <c r="TK486" i="2"/>
  <c r="TX485" i="2"/>
  <c r="TW485" i="2"/>
  <c r="TV485" i="2"/>
  <c r="BR8" i="55" s="1"/>
  <c r="TU485" i="2"/>
  <c r="BQ8" i="55" s="1"/>
  <c r="TT485" i="2"/>
  <c r="TS485" i="2"/>
  <c r="TR485" i="2"/>
  <c r="TQ485" i="2"/>
  <c r="TP485" i="2"/>
  <c r="TO485" i="2"/>
  <c r="TN485" i="2"/>
  <c r="TM485" i="2"/>
  <c r="TL485" i="2"/>
  <c r="TK485" i="2"/>
  <c r="TH521" i="2"/>
  <c r="TG521" i="2"/>
  <c r="TF521" i="2"/>
  <c r="TE521" i="2"/>
  <c r="TD521" i="2"/>
  <c r="BP44" i="50" s="1"/>
  <c r="TC521" i="2"/>
  <c r="BO44" i="50" s="1"/>
  <c r="TB521" i="2"/>
  <c r="TA521" i="2"/>
  <c r="SZ521" i="2"/>
  <c r="SY521" i="2"/>
  <c r="SX521" i="2"/>
  <c r="SW521" i="2"/>
  <c r="SV521" i="2"/>
  <c r="SU521" i="2"/>
  <c r="TH520" i="2"/>
  <c r="TG520" i="2"/>
  <c r="TF520" i="2"/>
  <c r="TE520" i="2"/>
  <c r="TD520" i="2"/>
  <c r="BP43" i="50" s="1"/>
  <c r="TC520" i="2"/>
  <c r="BO43" i="50" s="1"/>
  <c r="TB520" i="2"/>
  <c r="TA520" i="2"/>
  <c r="SZ520" i="2"/>
  <c r="SY520" i="2"/>
  <c r="SX520" i="2"/>
  <c r="SW520" i="2"/>
  <c r="SV520" i="2"/>
  <c r="SU520" i="2"/>
  <c r="TH519" i="2"/>
  <c r="TG519" i="2"/>
  <c r="TF519" i="2"/>
  <c r="TE519" i="2"/>
  <c r="TD519" i="2"/>
  <c r="BP42" i="50" s="1"/>
  <c r="TC519" i="2"/>
  <c r="BO42" i="50" s="1"/>
  <c r="TB519" i="2"/>
  <c r="TA519" i="2"/>
  <c r="SZ519" i="2"/>
  <c r="SY519" i="2"/>
  <c r="SX519" i="2"/>
  <c r="SW519" i="2"/>
  <c r="SV519" i="2"/>
  <c r="SU519" i="2"/>
  <c r="TH518" i="2"/>
  <c r="TG518" i="2"/>
  <c r="TF518" i="2"/>
  <c r="TE518" i="2"/>
  <c r="TD518" i="2"/>
  <c r="BP41" i="50" s="1"/>
  <c r="TC518" i="2"/>
  <c r="BO41" i="50" s="1"/>
  <c r="TB518" i="2"/>
  <c r="TA518" i="2"/>
  <c r="SZ518" i="2"/>
  <c r="SY518" i="2"/>
  <c r="SX518" i="2"/>
  <c r="SW518" i="2"/>
  <c r="SV518" i="2"/>
  <c r="SU518" i="2"/>
  <c r="TH517" i="2"/>
  <c r="TG517" i="2"/>
  <c r="TF517" i="2"/>
  <c r="TE517" i="2"/>
  <c r="TD517" i="2"/>
  <c r="BP40" i="50" s="1"/>
  <c r="TC517" i="2"/>
  <c r="BO40" i="50" s="1"/>
  <c r="TB517" i="2"/>
  <c r="TA517" i="2"/>
  <c r="SZ517" i="2"/>
  <c r="SY517" i="2"/>
  <c r="SX517" i="2"/>
  <c r="SW517" i="2"/>
  <c r="SV517" i="2"/>
  <c r="SU517" i="2"/>
  <c r="TH516" i="2"/>
  <c r="TG516" i="2"/>
  <c r="TF516" i="2"/>
  <c r="TE516" i="2"/>
  <c r="TD516" i="2"/>
  <c r="BP39" i="50" s="1"/>
  <c r="TC516" i="2"/>
  <c r="BO39" i="50" s="1"/>
  <c r="TB516" i="2"/>
  <c r="TA516" i="2"/>
  <c r="SZ516" i="2"/>
  <c r="SY516" i="2"/>
  <c r="SX516" i="2"/>
  <c r="SW516" i="2"/>
  <c r="SV516" i="2"/>
  <c r="SU516" i="2"/>
  <c r="TH515" i="2"/>
  <c r="TG515" i="2"/>
  <c r="TF515" i="2"/>
  <c r="TE515" i="2"/>
  <c r="TD515" i="2"/>
  <c r="BP38" i="50" s="1"/>
  <c r="TC515" i="2"/>
  <c r="BO38" i="50" s="1"/>
  <c r="TB515" i="2"/>
  <c r="TA515" i="2"/>
  <c r="SZ515" i="2"/>
  <c r="SY515" i="2"/>
  <c r="SX515" i="2"/>
  <c r="SW515" i="2"/>
  <c r="SV515" i="2"/>
  <c r="SU515" i="2"/>
  <c r="TH514" i="2"/>
  <c r="TG514" i="2"/>
  <c r="TF514" i="2"/>
  <c r="TE514" i="2"/>
  <c r="TD514" i="2"/>
  <c r="BP37" i="50" s="1"/>
  <c r="TC514" i="2"/>
  <c r="BO37" i="50" s="1"/>
  <c r="TB514" i="2"/>
  <c r="TA514" i="2"/>
  <c r="SZ514" i="2"/>
  <c r="SY514" i="2"/>
  <c r="SX514" i="2"/>
  <c r="SW514" i="2"/>
  <c r="SV514" i="2"/>
  <c r="SU514" i="2"/>
  <c r="TH513" i="2"/>
  <c r="TG513" i="2"/>
  <c r="TF513" i="2"/>
  <c r="TE513" i="2"/>
  <c r="TD513" i="2"/>
  <c r="TC513" i="2"/>
  <c r="TB513" i="2"/>
  <c r="TA513" i="2"/>
  <c r="SZ513" i="2"/>
  <c r="SY513" i="2"/>
  <c r="SX513" i="2"/>
  <c r="SW513" i="2"/>
  <c r="SV513" i="2"/>
  <c r="SU513" i="2"/>
  <c r="TH512" i="2"/>
  <c r="TG512" i="2"/>
  <c r="TF512" i="2"/>
  <c r="TE512" i="2"/>
  <c r="TD512" i="2"/>
  <c r="TC512" i="2"/>
  <c r="TB512" i="2"/>
  <c r="TA512" i="2"/>
  <c r="SZ512" i="2"/>
  <c r="SY512" i="2"/>
  <c r="SX512" i="2"/>
  <c r="SW512" i="2"/>
  <c r="SV512" i="2"/>
  <c r="SU512" i="2"/>
  <c r="TH511" i="2"/>
  <c r="TG511" i="2"/>
  <c r="TF511" i="2"/>
  <c r="TE511" i="2"/>
  <c r="TD511" i="2"/>
  <c r="TC511" i="2"/>
  <c r="TB511" i="2"/>
  <c r="TA511" i="2"/>
  <c r="SZ511" i="2"/>
  <c r="SY511" i="2"/>
  <c r="SX511" i="2"/>
  <c r="SW511" i="2"/>
  <c r="SV511" i="2"/>
  <c r="SU511" i="2"/>
  <c r="TH510" i="2"/>
  <c r="TG510" i="2"/>
  <c r="TF510" i="2"/>
  <c r="TE510" i="2"/>
  <c r="TD510" i="2"/>
  <c r="TC510" i="2"/>
  <c r="TB510" i="2"/>
  <c r="TA510" i="2"/>
  <c r="SZ510" i="2"/>
  <c r="SY510" i="2"/>
  <c r="SX510" i="2"/>
  <c r="SW510" i="2"/>
  <c r="SV510" i="2"/>
  <c r="SU510" i="2"/>
  <c r="TH509" i="2"/>
  <c r="TG509" i="2"/>
  <c r="TF509" i="2"/>
  <c r="TE509" i="2"/>
  <c r="TD509" i="2"/>
  <c r="TC509" i="2"/>
  <c r="TB509" i="2"/>
  <c r="TA509" i="2"/>
  <c r="SZ509" i="2"/>
  <c r="SY509" i="2"/>
  <c r="SX509" i="2"/>
  <c r="SW509" i="2"/>
  <c r="SV509" i="2"/>
  <c r="SU509" i="2"/>
  <c r="TH508" i="2"/>
  <c r="TG508" i="2"/>
  <c r="TF508" i="2"/>
  <c r="TE508" i="2"/>
  <c r="TD508" i="2"/>
  <c r="TC508" i="2"/>
  <c r="TB508" i="2"/>
  <c r="TA508" i="2"/>
  <c r="SZ508" i="2"/>
  <c r="SY508" i="2"/>
  <c r="SX508" i="2"/>
  <c r="SW508" i="2"/>
  <c r="SV508" i="2"/>
  <c r="SU508" i="2"/>
  <c r="TH507" i="2"/>
  <c r="TG507" i="2"/>
  <c r="TF507" i="2"/>
  <c r="TE507" i="2"/>
  <c r="TD507" i="2"/>
  <c r="TC507" i="2"/>
  <c r="TB507" i="2"/>
  <c r="TA507" i="2"/>
  <c r="SZ507" i="2"/>
  <c r="SY507" i="2"/>
  <c r="SX507" i="2"/>
  <c r="SW507" i="2"/>
  <c r="SV507" i="2"/>
  <c r="SU507" i="2"/>
  <c r="TH506" i="2"/>
  <c r="TG506" i="2"/>
  <c r="TF506" i="2"/>
  <c r="TE506" i="2"/>
  <c r="TD506" i="2"/>
  <c r="TC506" i="2"/>
  <c r="TB506" i="2"/>
  <c r="TA506" i="2"/>
  <c r="SZ506" i="2"/>
  <c r="SY506" i="2"/>
  <c r="SX506" i="2"/>
  <c r="SW506" i="2"/>
  <c r="SV506" i="2"/>
  <c r="SU506" i="2"/>
  <c r="TH505" i="2"/>
  <c r="TG505" i="2"/>
  <c r="TF505" i="2"/>
  <c r="TE505" i="2"/>
  <c r="TD505" i="2"/>
  <c r="TC505" i="2"/>
  <c r="TB505" i="2"/>
  <c r="TA505" i="2"/>
  <c r="SZ505" i="2"/>
  <c r="SY505" i="2"/>
  <c r="SX505" i="2"/>
  <c r="SW505" i="2"/>
  <c r="SV505" i="2"/>
  <c r="SU505" i="2"/>
  <c r="TH504" i="2"/>
  <c r="TG504" i="2"/>
  <c r="TF504" i="2"/>
  <c r="TE504" i="2"/>
  <c r="TD504" i="2"/>
  <c r="TC504" i="2"/>
  <c r="TB504" i="2"/>
  <c r="TA504" i="2"/>
  <c r="SZ504" i="2"/>
  <c r="SY504" i="2"/>
  <c r="SX504" i="2"/>
  <c r="SW504" i="2"/>
  <c r="SV504" i="2"/>
  <c r="SU504" i="2"/>
  <c r="TH503" i="2"/>
  <c r="TG503" i="2"/>
  <c r="TF503" i="2"/>
  <c r="TE503" i="2"/>
  <c r="TD503" i="2"/>
  <c r="TC503" i="2"/>
  <c r="TB503" i="2"/>
  <c r="TA503" i="2"/>
  <c r="SZ503" i="2"/>
  <c r="SY503" i="2"/>
  <c r="SX503" i="2"/>
  <c r="SW503" i="2"/>
  <c r="SV503" i="2"/>
  <c r="SU503" i="2"/>
  <c r="TH502" i="2"/>
  <c r="TG502" i="2"/>
  <c r="TF502" i="2"/>
  <c r="TE502" i="2"/>
  <c r="TD502" i="2"/>
  <c r="TC502" i="2"/>
  <c r="TB502" i="2"/>
  <c r="TA502" i="2"/>
  <c r="SZ502" i="2"/>
  <c r="SY502" i="2"/>
  <c r="SX502" i="2"/>
  <c r="SW502" i="2"/>
  <c r="SV502" i="2"/>
  <c r="SU502" i="2"/>
  <c r="TH501" i="2"/>
  <c r="TG501" i="2"/>
  <c r="TF501" i="2"/>
  <c r="TE501" i="2"/>
  <c r="TD501" i="2"/>
  <c r="TC501" i="2"/>
  <c r="TB501" i="2"/>
  <c r="TA501" i="2"/>
  <c r="SZ501" i="2"/>
  <c r="SY501" i="2"/>
  <c r="SX501" i="2"/>
  <c r="SW501" i="2"/>
  <c r="SV501" i="2"/>
  <c r="SU501" i="2"/>
  <c r="TH500" i="2"/>
  <c r="TG500" i="2"/>
  <c r="TF500" i="2"/>
  <c r="TE500" i="2"/>
  <c r="TD500" i="2"/>
  <c r="TC500" i="2"/>
  <c r="TB500" i="2"/>
  <c r="TA500" i="2"/>
  <c r="SZ500" i="2"/>
  <c r="SY500" i="2"/>
  <c r="SX500" i="2"/>
  <c r="SW500" i="2"/>
  <c r="SV500" i="2"/>
  <c r="SU500" i="2"/>
  <c r="TH499" i="2"/>
  <c r="TG499" i="2"/>
  <c r="TF499" i="2"/>
  <c r="TE499" i="2"/>
  <c r="TD499" i="2"/>
  <c r="TC499" i="2"/>
  <c r="TB499" i="2"/>
  <c r="TA499" i="2"/>
  <c r="SZ499" i="2"/>
  <c r="SY499" i="2"/>
  <c r="SX499" i="2"/>
  <c r="SW499" i="2"/>
  <c r="SV499" i="2"/>
  <c r="SU499" i="2"/>
  <c r="TH498" i="2"/>
  <c r="TG498" i="2"/>
  <c r="TF498" i="2"/>
  <c r="TE498" i="2"/>
  <c r="TD498" i="2"/>
  <c r="TC498" i="2"/>
  <c r="TB498" i="2"/>
  <c r="TA498" i="2"/>
  <c r="SZ498" i="2"/>
  <c r="SY498" i="2"/>
  <c r="SX498" i="2"/>
  <c r="SW498" i="2"/>
  <c r="SV498" i="2"/>
  <c r="SU498" i="2"/>
  <c r="TH497" i="2"/>
  <c r="TG497" i="2"/>
  <c r="TF497" i="2"/>
  <c r="TE497" i="2"/>
  <c r="TD497" i="2"/>
  <c r="TC497" i="2"/>
  <c r="TB497" i="2"/>
  <c r="TA497" i="2"/>
  <c r="SZ497" i="2"/>
  <c r="SY497" i="2"/>
  <c r="SX497" i="2"/>
  <c r="SW497" i="2"/>
  <c r="SV497" i="2"/>
  <c r="SU497" i="2"/>
  <c r="TH496" i="2"/>
  <c r="TG496" i="2"/>
  <c r="TF496" i="2"/>
  <c r="TE496" i="2"/>
  <c r="TD496" i="2"/>
  <c r="TC496" i="2"/>
  <c r="TB496" i="2"/>
  <c r="TA496" i="2"/>
  <c r="SZ496" i="2"/>
  <c r="SY496" i="2"/>
  <c r="SX496" i="2"/>
  <c r="SW496" i="2"/>
  <c r="SV496" i="2"/>
  <c r="SU496" i="2"/>
  <c r="TH495" i="2"/>
  <c r="TG495" i="2"/>
  <c r="TF495" i="2"/>
  <c r="TE495" i="2"/>
  <c r="TD495" i="2"/>
  <c r="TC495" i="2"/>
  <c r="TB495" i="2"/>
  <c r="TA495" i="2"/>
  <c r="SZ495" i="2"/>
  <c r="SY495" i="2"/>
  <c r="SX495" i="2"/>
  <c r="SW495" i="2"/>
  <c r="SV495" i="2"/>
  <c r="SU495" i="2"/>
  <c r="TH494" i="2"/>
  <c r="TG494" i="2"/>
  <c r="TF494" i="2"/>
  <c r="TE494" i="2"/>
  <c r="TD494" i="2"/>
  <c r="TC494" i="2"/>
  <c r="TB494" i="2"/>
  <c r="TA494" i="2"/>
  <c r="SZ494" i="2"/>
  <c r="SY494" i="2"/>
  <c r="SX494" i="2"/>
  <c r="SW494" i="2"/>
  <c r="SV494" i="2"/>
  <c r="SU494" i="2"/>
  <c r="TH493" i="2"/>
  <c r="TG493" i="2"/>
  <c r="TF493" i="2"/>
  <c r="TE493" i="2"/>
  <c r="TD493" i="2"/>
  <c r="TC493" i="2"/>
  <c r="TB493" i="2"/>
  <c r="TA493" i="2"/>
  <c r="SZ493" i="2"/>
  <c r="SY493" i="2"/>
  <c r="SX493" i="2"/>
  <c r="SW493" i="2"/>
  <c r="SV493" i="2"/>
  <c r="SU493" i="2"/>
  <c r="TH492" i="2"/>
  <c r="TG492" i="2"/>
  <c r="TF492" i="2"/>
  <c r="TE492" i="2"/>
  <c r="TD492" i="2"/>
  <c r="TC492" i="2"/>
  <c r="TB492" i="2"/>
  <c r="TA492" i="2"/>
  <c r="SZ492" i="2"/>
  <c r="SY492" i="2"/>
  <c r="SX492" i="2"/>
  <c r="SW492" i="2"/>
  <c r="SV492" i="2"/>
  <c r="SU492" i="2"/>
  <c r="TH491" i="2"/>
  <c r="TG491" i="2"/>
  <c r="TF491" i="2"/>
  <c r="TE491" i="2"/>
  <c r="TD491" i="2"/>
  <c r="TC491" i="2"/>
  <c r="TB491" i="2"/>
  <c r="TA491" i="2"/>
  <c r="SZ491" i="2"/>
  <c r="SY491" i="2"/>
  <c r="SX491" i="2"/>
  <c r="SW491" i="2"/>
  <c r="SV491" i="2"/>
  <c r="SU491" i="2"/>
  <c r="TH490" i="2"/>
  <c r="TG490" i="2"/>
  <c r="TF490" i="2"/>
  <c r="TE490" i="2"/>
  <c r="TD490" i="2"/>
  <c r="TC490" i="2"/>
  <c r="TB490" i="2"/>
  <c r="TA490" i="2"/>
  <c r="SZ490" i="2"/>
  <c r="SY490" i="2"/>
  <c r="SX490" i="2"/>
  <c r="SW490" i="2"/>
  <c r="SV490" i="2"/>
  <c r="SU490" i="2"/>
  <c r="TH489" i="2"/>
  <c r="TG489" i="2"/>
  <c r="TF489" i="2"/>
  <c r="TE489" i="2"/>
  <c r="TD489" i="2"/>
  <c r="TC489" i="2"/>
  <c r="TB489" i="2"/>
  <c r="TA489" i="2"/>
  <c r="SZ489" i="2"/>
  <c r="SY489" i="2"/>
  <c r="SX489" i="2"/>
  <c r="SW489" i="2"/>
  <c r="SV489" i="2"/>
  <c r="SU489" i="2"/>
  <c r="TH488" i="2"/>
  <c r="TG488" i="2"/>
  <c r="TF488" i="2"/>
  <c r="TE488" i="2"/>
  <c r="TD488" i="2"/>
  <c r="TC488" i="2"/>
  <c r="TB488" i="2"/>
  <c r="TA488" i="2"/>
  <c r="SZ488" i="2"/>
  <c r="SY488" i="2"/>
  <c r="SX488" i="2"/>
  <c r="SW488" i="2"/>
  <c r="SV488" i="2"/>
  <c r="SU488" i="2"/>
  <c r="TH487" i="2"/>
  <c r="TG487" i="2"/>
  <c r="TF487" i="2"/>
  <c r="TE487" i="2"/>
  <c r="TD487" i="2"/>
  <c r="TC487" i="2"/>
  <c r="TB487" i="2"/>
  <c r="TA487" i="2"/>
  <c r="SZ487" i="2"/>
  <c r="SY487" i="2"/>
  <c r="SX487" i="2"/>
  <c r="SW487" i="2"/>
  <c r="SV487" i="2"/>
  <c r="SU487" i="2"/>
  <c r="TH486" i="2"/>
  <c r="TG486" i="2"/>
  <c r="TF486" i="2"/>
  <c r="TE486" i="2"/>
  <c r="TD486" i="2"/>
  <c r="TC486" i="2"/>
  <c r="TB486" i="2"/>
  <c r="TA486" i="2"/>
  <c r="SZ486" i="2"/>
  <c r="SY486" i="2"/>
  <c r="SX486" i="2"/>
  <c r="SW486" i="2"/>
  <c r="SV486" i="2"/>
  <c r="SU486" i="2"/>
  <c r="TH485" i="2"/>
  <c r="TG485" i="2"/>
  <c r="TF485" i="2"/>
  <c r="TE485" i="2"/>
  <c r="TD485" i="2"/>
  <c r="TC485" i="2"/>
  <c r="TB485" i="2"/>
  <c r="TA485" i="2"/>
  <c r="SZ485" i="2"/>
  <c r="SY485" i="2"/>
  <c r="SX485" i="2"/>
  <c r="SW485" i="2"/>
  <c r="SV485" i="2"/>
  <c r="SU485" i="2"/>
  <c r="SR521" i="2"/>
  <c r="SQ521" i="2"/>
  <c r="SP521" i="2"/>
  <c r="SO521" i="2"/>
  <c r="SN521" i="2"/>
  <c r="BN44" i="50" s="1"/>
  <c r="SM521" i="2"/>
  <c r="BM44" i="50" s="1"/>
  <c r="SL521" i="2"/>
  <c r="SK521" i="2"/>
  <c r="SJ521" i="2"/>
  <c r="SI521" i="2"/>
  <c r="SH521" i="2"/>
  <c r="SG521" i="2"/>
  <c r="SF521" i="2"/>
  <c r="SE521" i="2"/>
  <c r="SR520" i="2"/>
  <c r="SQ520" i="2"/>
  <c r="SP520" i="2"/>
  <c r="SO520" i="2"/>
  <c r="SN520" i="2"/>
  <c r="BN43" i="50" s="1"/>
  <c r="SM520" i="2"/>
  <c r="BM43" i="50" s="1"/>
  <c r="SL520" i="2"/>
  <c r="SK520" i="2"/>
  <c r="SJ520" i="2"/>
  <c r="SI520" i="2"/>
  <c r="SH520" i="2"/>
  <c r="SG520" i="2"/>
  <c r="SF520" i="2"/>
  <c r="SE520" i="2"/>
  <c r="SR519" i="2"/>
  <c r="SQ519" i="2"/>
  <c r="SP519" i="2"/>
  <c r="SO519" i="2"/>
  <c r="SN519" i="2"/>
  <c r="BN42" i="50" s="1"/>
  <c r="SM519" i="2"/>
  <c r="BM42" i="50" s="1"/>
  <c r="SL519" i="2"/>
  <c r="SK519" i="2"/>
  <c r="SJ519" i="2"/>
  <c r="SI519" i="2"/>
  <c r="SH519" i="2"/>
  <c r="SG519" i="2"/>
  <c r="SF519" i="2"/>
  <c r="SE519" i="2"/>
  <c r="SR518" i="2"/>
  <c r="SQ518" i="2"/>
  <c r="SP518" i="2"/>
  <c r="SO518" i="2"/>
  <c r="SN518" i="2"/>
  <c r="BN41" i="50" s="1"/>
  <c r="SM518" i="2"/>
  <c r="BM41" i="50" s="1"/>
  <c r="SL518" i="2"/>
  <c r="SK518" i="2"/>
  <c r="SJ518" i="2"/>
  <c r="SI518" i="2"/>
  <c r="SH518" i="2"/>
  <c r="SG518" i="2"/>
  <c r="SF518" i="2"/>
  <c r="SE518" i="2"/>
  <c r="SR517" i="2"/>
  <c r="SQ517" i="2"/>
  <c r="SP517" i="2"/>
  <c r="SO517" i="2"/>
  <c r="SN517" i="2"/>
  <c r="BN40" i="50" s="1"/>
  <c r="SM517" i="2"/>
  <c r="BM40" i="50" s="1"/>
  <c r="SL517" i="2"/>
  <c r="SK517" i="2"/>
  <c r="SJ517" i="2"/>
  <c r="SI517" i="2"/>
  <c r="SH517" i="2"/>
  <c r="SG517" i="2"/>
  <c r="SF517" i="2"/>
  <c r="SE517" i="2"/>
  <c r="SR516" i="2"/>
  <c r="SQ516" i="2"/>
  <c r="SP516" i="2"/>
  <c r="SO516" i="2"/>
  <c r="SN516" i="2"/>
  <c r="BN39" i="50" s="1"/>
  <c r="SM516" i="2"/>
  <c r="BM39" i="50" s="1"/>
  <c r="SL516" i="2"/>
  <c r="SK516" i="2"/>
  <c r="SJ516" i="2"/>
  <c r="SI516" i="2"/>
  <c r="SH516" i="2"/>
  <c r="SG516" i="2"/>
  <c r="SF516" i="2"/>
  <c r="SE516" i="2"/>
  <c r="SR515" i="2"/>
  <c r="SQ515" i="2"/>
  <c r="SP515" i="2"/>
  <c r="SO515" i="2"/>
  <c r="SN515" i="2"/>
  <c r="BN38" i="50" s="1"/>
  <c r="SM515" i="2"/>
  <c r="BM38" i="50" s="1"/>
  <c r="SL515" i="2"/>
  <c r="SK515" i="2"/>
  <c r="SJ515" i="2"/>
  <c r="SI515" i="2"/>
  <c r="SH515" i="2"/>
  <c r="SG515" i="2"/>
  <c r="SF515" i="2"/>
  <c r="SE515" i="2"/>
  <c r="SR514" i="2"/>
  <c r="SQ514" i="2"/>
  <c r="SP514" i="2"/>
  <c r="SO514" i="2"/>
  <c r="SN514" i="2"/>
  <c r="BN37" i="50" s="1"/>
  <c r="SM514" i="2"/>
  <c r="BM37" i="50" s="1"/>
  <c r="SL514" i="2"/>
  <c r="SK514" i="2"/>
  <c r="SJ514" i="2"/>
  <c r="SI514" i="2"/>
  <c r="SH514" i="2"/>
  <c r="SG514" i="2"/>
  <c r="SF514" i="2"/>
  <c r="SE514" i="2"/>
  <c r="SR513" i="2"/>
  <c r="SQ513" i="2"/>
  <c r="SP513" i="2"/>
  <c r="SO513" i="2"/>
  <c r="SN513" i="2"/>
  <c r="SM513" i="2"/>
  <c r="SL513" i="2"/>
  <c r="SK513" i="2"/>
  <c r="SJ513" i="2"/>
  <c r="SI513" i="2"/>
  <c r="SH513" i="2"/>
  <c r="SG513" i="2"/>
  <c r="SF513" i="2"/>
  <c r="SE513" i="2"/>
  <c r="SR512" i="2"/>
  <c r="SQ512" i="2"/>
  <c r="SP512" i="2"/>
  <c r="SO512" i="2"/>
  <c r="SN512" i="2"/>
  <c r="SM512" i="2"/>
  <c r="SL512" i="2"/>
  <c r="SK512" i="2"/>
  <c r="SJ512" i="2"/>
  <c r="SI512" i="2"/>
  <c r="SH512" i="2"/>
  <c r="SG512" i="2"/>
  <c r="SF512" i="2"/>
  <c r="SE512" i="2"/>
  <c r="SR511" i="2"/>
  <c r="SQ511" i="2"/>
  <c r="SP511" i="2"/>
  <c r="SO511" i="2"/>
  <c r="SN511" i="2"/>
  <c r="SM511" i="2"/>
  <c r="SL511" i="2"/>
  <c r="SK511" i="2"/>
  <c r="SJ511" i="2"/>
  <c r="SI511" i="2"/>
  <c r="SH511" i="2"/>
  <c r="SG511" i="2"/>
  <c r="SF511" i="2"/>
  <c r="SE511" i="2"/>
  <c r="SR510" i="2"/>
  <c r="SQ510" i="2"/>
  <c r="SP510" i="2"/>
  <c r="SO510" i="2"/>
  <c r="SN510" i="2"/>
  <c r="SM510" i="2"/>
  <c r="SL510" i="2"/>
  <c r="SK510" i="2"/>
  <c r="SJ510" i="2"/>
  <c r="SI510" i="2"/>
  <c r="SH510" i="2"/>
  <c r="SG510" i="2"/>
  <c r="SF510" i="2"/>
  <c r="SE510" i="2"/>
  <c r="SR509" i="2"/>
  <c r="SQ509" i="2"/>
  <c r="SP509" i="2"/>
  <c r="SO509" i="2"/>
  <c r="SN509" i="2"/>
  <c r="SM509" i="2"/>
  <c r="SL509" i="2"/>
  <c r="SK509" i="2"/>
  <c r="SJ509" i="2"/>
  <c r="SI509" i="2"/>
  <c r="SH509" i="2"/>
  <c r="SG509" i="2"/>
  <c r="SF509" i="2"/>
  <c r="SE509" i="2"/>
  <c r="SR508" i="2"/>
  <c r="SQ508" i="2"/>
  <c r="SP508" i="2"/>
  <c r="SO508" i="2"/>
  <c r="SN508" i="2"/>
  <c r="SM508" i="2"/>
  <c r="SL508" i="2"/>
  <c r="SK508" i="2"/>
  <c r="SJ508" i="2"/>
  <c r="SI508" i="2"/>
  <c r="SH508" i="2"/>
  <c r="SG508" i="2"/>
  <c r="SF508" i="2"/>
  <c r="SE508" i="2"/>
  <c r="SR507" i="2"/>
  <c r="SQ507" i="2"/>
  <c r="SP507" i="2"/>
  <c r="SO507" i="2"/>
  <c r="SN507" i="2"/>
  <c r="SM507" i="2"/>
  <c r="SL507" i="2"/>
  <c r="SK507" i="2"/>
  <c r="SJ507" i="2"/>
  <c r="SI507" i="2"/>
  <c r="SH507" i="2"/>
  <c r="SG507" i="2"/>
  <c r="SF507" i="2"/>
  <c r="SE507" i="2"/>
  <c r="SR506" i="2"/>
  <c r="SQ506" i="2"/>
  <c r="SP506" i="2"/>
  <c r="SO506" i="2"/>
  <c r="SN506" i="2"/>
  <c r="SM506" i="2"/>
  <c r="SL506" i="2"/>
  <c r="SK506" i="2"/>
  <c r="SJ506" i="2"/>
  <c r="SI506" i="2"/>
  <c r="SH506" i="2"/>
  <c r="SG506" i="2"/>
  <c r="SF506" i="2"/>
  <c r="SE506" i="2"/>
  <c r="SR505" i="2"/>
  <c r="SQ505" i="2"/>
  <c r="SP505" i="2"/>
  <c r="SO505" i="2"/>
  <c r="SN505" i="2"/>
  <c r="SM505" i="2"/>
  <c r="SL505" i="2"/>
  <c r="SK505" i="2"/>
  <c r="SJ505" i="2"/>
  <c r="SI505" i="2"/>
  <c r="SH505" i="2"/>
  <c r="SG505" i="2"/>
  <c r="SF505" i="2"/>
  <c r="SE505" i="2"/>
  <c r="SR504" i="2"/>
  <c r="SQ504" i="2"/>
  <c r="SP504" i="2"/>
  <c r="SO504" i="2"/>
  <c r="SN504" i="2"/>
  <c r="SM504" i="2"/>
  <c r="SL504" i="2"/>
  <c r="SK504" i="2"/>
  <c r="SJ504" i="2"/>
  <c r="SI504" i="2"/>
  <c r="SH504" i="2"/>
  <c r="SG504" i="2"/>
  <c r="SF504" i="2"/>
  <c r="SE504" i="2"/>
  <c r="SR503" i="2"/>
  <c r="SQ503" i="2"/>
  <c r="SP503" i="2"/>
  <c r="SO503" i="2"/>
  <c r="SN503" i="2"/>
  <c r="SM503" i="2"/>
  <c r="SL503" i="2"/>
  <c r="SK503" i="2"/>
  <c r="SJ503" i="2"/>
  <c r="SI503" i="2"/>
  <c r="SH503" i="2"/>
  <c r="SG503" i="2"/>
  <c r="SF503" i="2"/>
  <c r="SE503" i="2"/>
  <c r="SR502" i="2"/>
  <c r="SQ502" i="2"/>
  <c r="SP502" i="2"/>
  <c r="SO502" i="2"/>
  <c r="SN502" i="2"/>
  <c r="SM502" i="2"/>
  <c r="SL502" i="2"/>
  <c r="SK502" i="2"/>
  <c r="SJ502" i="2"/>
  <c r="SI502" i="2"/>
  <c r="SH502" i="2"/>
  <c r="SG502" i="2"/>
  <c r="SF502" i="2"/>
  <c r="SE502" i="2"/>
  <c r="SR501" i="2"/>
  <c r="SQ501" i="2"/>
  <c r="SP501" i="2"/>
  <c r="SO501" i="2"/>
  <c r="SN501" i="2"/>
  <c r="SM501" i="2"/>
  <c r="SL501" i="2"/>
  <c r="SK501" i="2"/>
  <c r="SJ501" i="2"/>
  <c r="SI501" i="2"/>
  <c r="SH501" i="2"/>
  <c r="SG501" i="2"/>
  <c r="SF501" i="2"/>
  <c r="SE501" i="2"/>
  <c r="SR500" i="2"/>
  <c r="SQ500" i="2"/>
  <c r="SP500" i="2"/>
  <c r="SO500" i="2"/>
  <c r="SN500" i="2"/>
  <c r="SM500" i="2"/>
  <c r="SL500" i="2"/>
  <c r="SK500" i="2"/>
  <c r="SJ500" i="2"/>
  <c r="SI500" i="2"/>
  <c r="SH500" i="2"/>
  <c r="SG500" i="2"/>
  <c r="SF500" i="2"/>
  <c r="SE500" i="2"/>
  <c r="SR499" i="2"/>
  <c r="SQ499" i="2"/>
  <c r="SP499" i="2"/>
  <c r="SO499" i="2"/>
  <c r="SN499" i="2"/>
  <c r="SM499" i="2"/>
  <c r="SL499" i="2"/>
  <c r="SK499" i="2"/>
  <c r="SJ499" i="2"/>
  <c r="SI499" i="2"/>
  <c r="SH499" i="2"/>
  <c r="SG499" i="2"/>
  <c r="SF499" i="2"/>
  <c r="SE499" i="2"/>
  <c r="SR498" i="2"/>
  <c r="SQ498" i="2"/>
  <c r="SP498" i="2"/>
  <c r="SO498" i="2"/>
  <c r="SN498" i="2"/>
  <c r="SM498" i="2"/>
  <c r="SL498" i="2"/>
  <c r="SK498" i="2"/>
  <c r="SJ498" i="2"/>
  <c r="SI498" i="2"/>
  <c r="SH498" i="2"/>
  <c r="SG498" i="2"/>
  <c r="SF498" i="2"/>
  <c r="SE498" i="2"/>
  <c r="SR497" i="2"/>
  <c r="SQ497" i="2"/>
  <c r="SP497" i="2"/>
  <c r="SO497" i="2"/>
  <c r="SN497" i="2"/>
  <c r="SM497" i="2"/>
  <c r="SL497" i="2"/>
  <c r="SK497" i="2"/>
  <c r="SJ497" i="2"/>
  <c r="SI497" i="2"/>
  <c r="SH497" i="2"/>
  <c r="SG497" i="2"/>
  <c r="SF497" i="2"/>
  <c r="SE497" i="2"/>
  <c r="SR496" i="2"/>
  <c r="SQ496" i="2"/>
  <c r="SP496" i="2"/>
  <c r="SO496" i="2"/>
  <c r="SN496" i="2"/>
  <c r="SM496" i="2"/>
  <c r="SL496" i="2"/>
  <c r="SK496" i="2"/>
  <c r="SJ496" i="2"/>
  <c r="SI496" i="2"/>
  <c r="SH496" i="2"/>
  <c r="SG496" i="2"/>
  <c r="SF496" i="2"/>
  <c r="SE496" i="2"/>
  <c r="SR495" i="2"/>
  <c r="SQ495" i="2"/>
  <c r="SP495" i="2"/>
  <c r="SO495" i="2"/>
  <c r="SN495" i="2"/>
  <c r="SM495" i="2"/>
  <c r="SL495" i="2"/>
  <c r="SK495" i="2"/>
  <c r="SJ495" i="2"/>
  <c r="SI495" i="2"/>
  <c r="SH495" i="2"/>
  <c r="SG495" i="2"/>
  <c r="SF495" i="2"/>
  <c r="SE495" i="2"/>
  <c r="SR494" i="2"/>
  <c r="SQ494" i="2"/>
  <c r="SP494" i="2"/>
  <c r="SO494" i="2"/>
  <c r="SN494" i="2"/>
  <c r="SM494" i="2"/>
  <c r="SL494" i="2"/>
  <c r="SK494" i="2"/>
  <c r="SJ494" i="2"/>
  <c r="SI494" i="2"/>
  <c r="SH494" i="2"/>
  <c r="SG494" i="2"/>
  <c r="SF494" i="2"/>
  <c r="SE494" i="2"/>
  <c r="SR493" i="2"/>
  <c r="SQ493" i="2"/>
  <c r="SP493" i="2"/>
  <c r="SO493" i="2"/>
  <c r="SN493" i="2"/>
  <c r="SM493" i="2"/>
  <c r="SL493" i="2"/>
  <c r="SK493" i="2"/>
  <c r="SJ493" i="2"/>
  <c r="SI493" i="2"/>
  <c r="SH493" i="2"/>
  <c r="SG493" i="2"/>
  <c r="SF493" i="2"/>
  <c r="SE493" i="2"/>
  <c r="SR492" i="2"/>
  <c r="SQ492" i="2"/>
  <c r="SP492" i="2"/>
  <c r="SO492" i="2"/>
  <c r="SN492" i="2"/>
  <c r="SM492" i="2"/>
  <c r="SL492" i="2"/>
  <c r="SK492" i="2"/>
  <c r="SJ492" i="2"/>
  <c r="SI492" i="2"/>
  <c r="SH492" i="2"/>
  <c r="SG492" i="2"/>
  <c r="SF492" i="2"/>
  <c r="SE492" i="2"/>
  <c r="SR491" i="2"/>
  <c r="SQ491" i="2"/>
  <c r="SP491" i="2"/>
  <c r="SO491" i="2"/>
  <c r="SN491" i="2"/>
  <c r="SM491" i="2"/>
  <c r="SL491" i="2"/>
  <c r="SK491" i="2"/>
  <c r="SJ491" i="2"/>
  <c r="SI491" i="2"/>
  <c r="SH491" i="2"/>
  <c r="SG491" i="2"/>
  <c r="SF491" i="2"/>
  <c r="SE491" i="2"/>
  <c r="SR490" i="2"/>
  <c r="SQ490" i="2"/>
  <c r="SP490" i="2"/>
  <c r="SO490" i="2"/>
  <c r="SN490" i="2"/>
  <c r="SM490" i="2"/>
  <c r="SL490" i="2"/>
  <c r="SK490" i="2"/>
  <c r="SJ490" i="2"/>
  <c r="SI490" i="2"/>
  <c r="SH490" i="2"/>
  <c r="SG490" i="2"/>
  <c r="SF490" i="2"/>
  <c r="SE490" i="2"/>
  <c r="SR489" i="2"/>
  <c r="SQ489" i="2"/>
  <c r="SP489" i="2"/>
  <c r="SO489" i="2"/>
  <c r="SN489" i="2"/>
  <c r="SM489" i="2"/>
  <c r="SL489" i="2"/>
  <c r="SK489" i="2"/>
  <c r="SJ489" i="2"/>
  <c r="SI489" i="2"/>
  <c r="SH489" i="2"/>
  <c r="SG489" i="2"/>
  <c r="SF489" i="2"/>
  <c r="SE489" i="2"/>
  <c r="SR488" i="2"/>
  <c r="SQ488" i="2"/>
  <c r="SP488" i="2"/>
  <c r="SO488" i="2"/>
  <c r="SN488" i="2"/>
  <c r="SM488" i="2"/>
  <c r="SL488" i="2"/>
  <c r="SK488" i="2"/>
  <c r="SJ488" i="2"/>
  <c r="SI488" i="2"/>
  <c r="SH488" i="2"/>
  <c r="SG488" i="2"/>
  <c r="SF488" i="2"/>
  <c r="SE488" i="2"/>
  <c r="SR487" i="2"/>
  <c r="SQ487" i="2"/>
  <c r="SP487" i="2"/>
  <c r="SO487" i="2"/>
  <c r="SN487" i="2"/>
  <c r="SM487" i="2"/>
  <c r="SL487" i="2"/>
  <c r="SK487" i="2"/>
  <c r="SJ487" i="2"/>
  <c r="SI487" i="2"/>
  <c r="SH487" i="2"/>
  <c r="SG487" i="2"/>
  <c r="SF487" i="2"/>
  <c r="SE487" i="2"/>
  <c r="SR486" i="2"/>
  <c r="SQ486" i="2"/>
  <c r="SP486" i="2"/>
  <c r="SO486" i="2"/>
  <c r="SN486" i="2"/>
  <c r="SM486" i="2"/>
  <c r="SL486" i="2"/>
  <c r="SK486" i="2"/>
  <c r="SJ486" i="2"/>
  <c r="SI486" i="2"/>
  <c r="SH486" i="2"/>
  <c r="SG486" i="2"/>
  <c r="SF486" i="2"/>
  <c r="SE486" i="2"/>
  <c r="SR485" i="2"/>
  <c r="SQ485" i="2"/>
  <c r="SP485" i="2"/>
  <c r="SO485" i="2"/>
  <c r="SN485" i="2"/>
  <c r="SM485" i="2"/>
  <c r="SL485" i="2"/>
  <c r="SK485" i="2"/>
  <c r="SJ485" i="2"/>
  <c r="SI485" i="2"/>
  <c r="SH485" i="2"/>
  <c r="SG485" i="2"/>
  <c r="SF485" i="2"/>
  <c r="SE485" i="2"/>
  <c r="SB521" i="2"/>
  <c r="SA521" i="2"/>
  <c r="RZ521" i="2"/>
  <c r="RY521" i="2"/>
  <c r="RX521" i="2"/>
  <c r="BL44" i="50" s="1"/>
  <c r="RW521" i="2"/>
  <c r="BK44" i="50" s="1"/>
  <c r="RV521" i="2"/>
  <c r="RU521" i="2"/>
  <c r="RT521" i="2"/>
  <c r="RS521" i="2"/>
  <c r="RR521" i="2"/>
  <c r="RQ521" i="2"/>
  <c r="RP521" i="2"/>
  <c r="RO521" i="2"/>
  <c r="SB520" i="2"/>
  <c r="SA520" i="2"/>
  <c r="RZ520" i="2"/>
  <c r="RY520" i="2"/>
  <c r="RX520" i="2"/>
  <c r="BL43" i="50" s="1"/>
  <c r="RW520" i="2"/>
  <c r="BK43" i="50" s="1"/>
  <c r="RV520" i="2"/>
  <c r="RU520" i="2"/>
  <c r="RT520" i="2"/>
  <c r="RS520" i="2"/>
  <c r="RR520" i="2"/>
  <c r="RQ520" i="2"/>
  <c r="RP520" i="2"/>
  <c r="RO520" i="2"/>
  <c r="SB519" i="2"/>
  <c r="SA519" i="2"/>
  <c r="RZ519" i="2"/>
  <c r="RY519" i="2"/>
  <c r="RX519" i="2"/>
  <c r="BL42" i="50" s="1"/>
  <c r="RW519" i="2"/>
  <c r="BK42" i="50" s="1"/>
  <c r="RV519" i="2"/>
  <c r="RU519" i="2"/>
  <c r="RT519" i="2"/>
  <c r="RS519" i="2"/>
  <c r="RR519" i="2"/>
  <c r="RQ519" i="2"/>
  <c r="RP519" i="2"/>
  <c r="RO519" i="2"/>
  <c r="SB518" i="2"/>
  <c r="SA518" i="2"/>
  <c r="RZ518" i="2"/>
  <c r="RY518" i="2"/>
  <c r="RX518" i="2"/>
  <c r="BL41" i="50" s="1"/>
  <c r="RW518" i="2"/>
  <c r="BK41" i="50" s="1"/>
  <c r="RV518" i="2"/>
  <c r="RU518" i="2"/>
  <c r="RT518" i="2"/>
  <c r="RS518" i="2"/>
  <c r="RR518" i="2"/>
  <c r="RQ518" i="2"/>
  <c r="RP518" i="2"/>
  <c r="RO518" i="2"/>
  <c r="SB517" i="2"/>
  <c r="SA517" i="2"/>
  <c r="RZ517" i="2"/>
  <c r="RY517" i="2"/>
  <c r="RX517" i="2"/>
  <c r="BL40" i="50" s="1"/>
  <c r="RW517" i="2"/>
  <c r="BK40" i="50" s="1"/>
  <c r="RV517" i="2"/>
  <c r="RU517" i="2"/>
  <c r="RT517" i="2"/>
  <c r="RS517" i="2"/>
  <c r="RR517" i="2"/>
  <c r="RQ517" i="2"/>
  <c r="RP517" i="2"/>
  <c r="RO517" i="2"/>
  <c r="SB516" i="2"/>
  <c r="SA516" i="2"/>
  <c r="RZ516" i="2"/>
  <c r="RY516" i="2"/>
  <c r="RX516" i="2"/>
  <c r="BL39" i="50" s="1"/>
  <c r="RW516" i="2"/>
  <c r="BK39" i="50" s="1"/>
  <c r="RV516" i="2"/>
  <c r="RU516" i="2"/>
  <c r="RT516" i="2"/>
  <c r="RS516" i="2"/>
  <c r="RR516" i="2"/>
  <c r="RQ516" i="2"/>
  <c r="RP516" i="2"/>
  <c r="RO516" i="2"/>
  <c r="SB515" i="2"/>
  <c r="SA515" i="2"/>
  <c r="RZ515" i="2"/>
  <c r="RY515" i="2"/>
  <c r="RX515" i="2"/>
  <c r="BL38" i="50" s="1"/>
  <c r="RW515" i="2"/>
  <c r="BK38" i="50" s="1"/>
  <c r="RV515" i="2"/>
  <c r="RU515" i="2"/>
  <c r="RT515" i="2"/>
  <c r="RS515" i="2"/>
  <c r="RR515" i="2"/>
  <c r="RQ515" i="2"/>
  <c r="RP515" i="2"/>
  <c r="RO515" i="2"/>
  <c r="SB514" i="2"/>
  <c r="SA514" i="2"/>
  <c r="RZ514" i="2"/>
  <c r="RY514" i="2"/>
  <c r="RX514" i="2"/>
  <c r="BL37" i="50" s="1"/>
  <c r="RW514" i="2"/>
  <c r="BK37" i="50" s="1"/>
  <c r="RV514" i="2"/>
  <c r="RU514" i="2"/>
  <c r="RT514" i="2"/>
  <c r="RS514" i="2"/>
  <c r="RR514" i="2"/>
  <c r="RQ514" i="2"/>
  <c r="RP514" i="2"/>
  <c r="RO514" i="2"/>
  <c r="SB513" i="2"/>
  <c r="SA513" i="2"/>
  <c r="RZ513" i="2"/>
  <c r="RY513" i="2"/>
  <c r="RX513" i="2"/>
  <c r="RW513" i="2"/>
  <c r="RV513" i="2"/>
  <c r="RU513" i="2"/>
  <c r="RT513" i="2"/>
  <c r="RS513" i="2"/>
  <c r="RR513" i="2"/>
  <c r="RQ513" i="2"/>
  <c r="RP513" i="2"/>
  <c r="RO513" i="2"/>
  <c r="SB512" i="2"/>
  <c r="SA512" i="2"/>
  <c r="RZ512" i="2"/>
  <c r="RY512" i="2"/>
  <c r="RX512" i="2"/>
  <c r="RW512" i="2"/>
  <c r="RV512" i="2"/>
  <c r="RU512" i="2"/>
  <c r="RT512" i="2"/>
  <c r="RS512" i="2"/>
  <c r="RR512" i="2"/>
  <c r="RQ512" i="2"/>
  <c r="RP512" i="2"/>
  <c r="RO512" i="2"/>
  <c r="SB511" i="2"/>
  <c r="SA511" i="2"/>
  <c r="RZ511" i="2"/>
  <c r="RY511" i="2"/>
  <c r="RX511" i="2"/>
  <c r="RW511" i="2"/>
  <c r="RV511" i="2"/>
  <c r="RU511" i="2"/>
  <c r="RT511" i="2"/>
  <c r="RS511" i="2"/>
  <c r="RR511" i="2"/>
  <c r="RQ511" i="2"/>
  <c r="RP511" i="2"/>
  <c r="RO511" i="2"/>
  <c r="SB510" i="2"/>
  <c r="SA510" i="2"/>
  <c r="RZ510" i="2"/>
  <c r="RY510" i="2"/>
  <c r="RX510" i="2"/>
  <c r="RW510" i="2"/>
  <c r="RV510" i="2"/>
  <c r="RU510" i="2"/>
  <c r="RT510" i="2"/>
  <c r="RS510" i="2"/>
  <c r="RR510" i="2"/>
  <c r="RQ510" i="2"/>
  <c r="RP510" i="2"/>
  <c r="RO510" i="2"/>
  <c r="SB509" i="2"/>
  <c r="SA509" i="2"/>
  <c r="RZ509" i="2"/>
  <c r="RY509" i="2"/>
  <c r="RX509" i="2"/>
  <c r="RW509" i="2"/>
  <c r="RV509" i="2"/>
  <c r="RU509" i="2"/>
  <c r="RT509" i="2"/>
  <c r="RS509" i="2"/>
  <c r="RR509" i="2"/>
  <c r="RQ509" i="2"/>
  <c r="RP509" i="2"/>
  <c r="RO509" i="2"/>
  <c r="SB508" i="2"/>
  <c r="SA508" i="2"/>
  <c r="RZ508" i="2"/>
  <c r="RY508" i="2"/>
  <c r="RX508" i="2"/>
  <c r="RW508" i="2"/>
  <c r="RV508" i="2"/>
  <c r="RU508" i="2"/>
  <c r="RT508" i="2"/>
  <c r="RS508" i="2"/>
  <c r="RR508" i="2"/>
  <c r="RQ508" i="2"/>
  <c r="RP508" i="2"/>
  <c r="RO508" i="2"/>
  <c r="SB507" i="2"/>
  <c r="SA507" i="2"/>
  <c r="RZ507" i="2"/>
  <c r="RY507" i="2"/>
  <c r="RX507" i="2"/>
  <c r="RW507" i="2"/>
  <c r="RV507" i="2"/>
  <c r="RU507" i="2"/>
  <c r="RT507" i="2"/>
  <c r="RS507" i="2"/>
  <c r="RR507" i="2"/>
  <c r="RQ507" i="2"/>
  <c r="RP507" i="2"/>
  <c r="RO507" i="2"/>
  <c r="SB506" i="2"/>
  <c r="SA506" i="2"/>
  <c r="RZ506" i="2"/>
  <c r="RY506" i="2"/>
  <c r="RX506" i="2"/>
  <c r="RW506" i="2"/>
  <c r="RV506" i="2"/>
  <c r="RU506" i="2"/>
  <c r="RT506" i="2"/>
  <c r="RS506" i="2"/>
  <c r="RR506" i="2"/>
  <c r="RQ506" i="2"/>
  <c r="RP506" i="2"/>
  <c r="RO506" i="2"/>
  <c r="SB505" i="2"/>
  <c r="SA505" i="2"/>
  <c r="RZ505" i="2"/>
  <c r="RY505" i="2"/>
  <c r="RX505" i="2"/>
  <c r="RW505" i="2"/>
  <c r="RV505" i="2"/>
  <c r="RU505" i="2"/>
  <c r="RT505" i="2"/>
  <c r="RS505" i="2"/>
  <c r="RR505" i="2"/>
  <c r="RQ505" i="2"/>
  <c r="RP505" i="2"/>
  <c r="RO505" i="2"/>
  <c r="SB504" i="2"/>
  <c r="SA504" i="2"/>
  <c r="RZ504" i="2"/>
  <c r="RY504" i="2"/>
  <c r="RX504" i="2"/>
  <c r="RW504" i="2"/>
  <c r="RV504" i="2"/>
  <c r="RU504" i="2"/>
  <c r="RT504" i="2"/>
  <c r="RS504" i="2"/>
  <c r="RR504" i="2"/>
  <c r="RQ504" i="2"/>
  <c r="RP504" i="2"/>
  <c r="RO504" i="2"/>
  <c r="SB503" i="2"/>
  <c r="SA503" i="2"/>
  <c r="RZ503" i="2"/>
  <c r="RY503" i="2"/>
  <c r="RX503" i="2"/>
  <c r="RW503" i="2"/>
  <c r="RV503" i="2"/>
  <c r="RU503" i="2"/>
  <c r="RT503" i="2"/>
  <c r="RS503" i="2"/>
  <c r="RR503" i="2"/>
  <c r="RQ503" i="2"/>
  <c r="RP503" i="2"/>
  <c r="RO503" i="2"/>
  <c r="SB502" i="2"/>
  <c r="SA502" i="2"/>
  <c r="RZ502" i="2"/>
  <c r="RY502" i="2"/>
  <c r="RX502" i="2"/>
  <c r="RW502" i="2"/>
  <c r="RV502" i="2"/>
  <c r="RU502" i="2"/>
  <c r="RT502" i="2"/>
  <c r="RS502" i="2"/>
  <c r="RR502" i="2"/>
  <c r="RQ502" i="2"/>
  <c r="RP502" i="2"/>
  <c r="RO502" i="2"/>
  <c r="SB501" i="2"/>
  <c r="SA501" i="2"/>
  <c r="RZ501" i="2"/>
  <c r="RY501" i="2"/>
  <c r="RX501" i="2"/>
  <c r="RW501" i="2"/>
  <c r="RV501" i="2"/>
  <c r="RU501" i="2"/>
  <c r="RT501" i="2"/>
  <c r="RS501" i="2"/>
  <c r="RR501" i="2"/>
  <c r="RQ501" i="2"/>
  <c r="RP501" i="2"/>
  <c r="RO501" i="2"/>
  <c r="SB500" i="2"/>
  <c r="SA500" i="2"/>
  <c r="RZ500" i="2"/>
  <c r="RY500" i="2"/>
  <c r="RX500" i="2"/>
  <c r="RW500" i="2"/>
  <c r="RV500" i="2"/>
  <c r="RU500" i="2"/>
  <c r="RT500" i="2"/>
  <c r="RS500" i="2"/>
  <c r="RR500" i="2"/>
  <c r="RQ500" i="2"/>
  <c r="RP500" i="2"/>
  <c r="RO500" i="2"/>
  <c r="SB499" i="2"/>
  <c r="SA499" i="2"/>
  <c r="RZ499" i="2"/>
  <c r="RY499" i="2"/>
  <c r="RX499" i="2"/>
  <c r="RW499" i="2"/>
  <c r="RV499" i="2"/>
  <c r="RU499" i="2"/>
  <c r="RT499" i="2"/>
  <c r="RS499" i="2"/>
  <c r="RR499" i="2"/>
  <c r="RQ499" i="2"/>
  <c r="RP499" i="2"/>
  <c r="RO499" i="2"/>
  <c r="SB498" i="2"/>
  <c r="SA498" i="2"/>
  <c r="RZ498" i="2"/>
  <c r="RY498" i="2"/>
  <c r="RX498" i="2"/>
  <c r="RW498" i="2"/>
  <c r="RV498" i="2"/>
  <c r="RU498" i="2"/>
  <c r="RT498" i="2"/>
  <c r="RS498" i="2"/>
  <c r="RR498" i="2"/>
  <c r="RQ498" i="2"/>
  <c r="RP498" i="2"/>
  <c r="RO498" i="2"/>
  <c r="SB497" i="2"/>
  <c r="SA497" i="2"/>
  <c r="RZ497" i="2"/>
  <c r="RY497" i="2"/>
  <c r="RX497" i="2"/>
  <c r="RW497" i="2"/>
  <c r="RV497" i="2"/>
  <c r="RU497" i="2"/>
  <c r="RT497" i="2"/>
  <c r="RS497" i="2"/>
  <c r="RR497" i="2"/>
  <c r="RQ497" i="2"/>
  <c r="RP497" i="2"/>
  <c r="RO497" i="2"/>
  <c r="SB496" i="2"/>
  <c r="SA496" i="2"/>
  <c r="RZ496" i="2"/>
  <c r="RY496" i="2"/>
  <c r="RX496" i="2"/>
  <c r="RW496" i="2"/>
  <c r="RV496" i="2"/>
  <c r="RU496" i="2"/>
  <c r="RT496" i="2"/>
  <c r="RS496" i="2"/>
  <c r="RR496" i="2"/>
  <c r="RQ496" i="2"/>
  <c r="RP496" i="2"/>
  <c r="RO496" i="2"/>
  <c r="SB495" i="2"/>
  <c r="SA495" i="2"/>
  <c r="RZ495" i="2"/>
  <c r="RY495" i="2"/>
  <c r="RX495" i="2"/>
  <c r="RW495" i="2"/>
  <c r="RV495" i="2"/>
  <c r="RU495" i="2"/>
  <c r="RT495" i="2"/>
  <c r="RS495" i="2"/>
  <c r="RR495" i="2"/>
  <c r="RQ495" i="2"/>
  <c r="RP495" i="2"/>
  <c r="RO495" i="2"/>
  <c r="SB494" i="2"/>
  <c r="SA494" i="2"/>
  <c r="RZ494" i="2"/>
  <c r="RY494" i="2"/>
  <c r="RX494" i="2"/>
  <c r="RW494" i="2"/>
  <c r="RV494" i="2"/>
  <c r="RU494" i="2"/>
  <c r="RT494" i="2"/>
  <c r="RS494" i="2"/>
  <c r="RR494" i="2"/>
  <c r="RQ494" i="2"/>
  <c r="RP494" i="2"/>
  <c r="RO494" i="2"/>
  <c r="SB493" i="2"/>
  <c r="SA493" i="2"/>
  <c r="RZ493" i="2"/>
  <c r="RY493" i="2"/>
  <c r="RX493" i="2"/>
  <c r="RW493" i="2"/>
  <c r="RV493" i="2"/>
  <c r="RU493" i="2"/>
  <c r="RT493" i="2"/>
  <c r="RS493" i="2"/>
  <c r="RR493" i="2"/>
  <c r="RQ493" i="2"/>
  <c r="RP493" i="2"/>
  <c r="RO493" i="2"/>
  <c r="SB492" i="2"/>
  <c r="SA492" i="2"/>
  <c r="RZ492" i="2"/>
  <c r="RY492" i="2"/>
  <c r="RX492" i="2"/>
  <c r="RW492" i="2"/>
  <c r="RV492" i="2"/>
  <c r="RU492" i="2"/>
  <c r="RT492" i="2"/>
  <c r="RS492" i="2"/>
  <c r="RR492" i="2"/>
  <c r="RQ492" i="2"/>
  <c r="RP492" i="2"/>
  <c r="RO492" i="2"/>
  <c r="SB491" i="2"/>
  <c r="SA491" i="2"/>
  <c r="RZ491" i="2"/>
  <c r="RY491" i="2"/>
  <c r="RX491" i="2"/>
  <c r="RW491" i="2"/>
  <c r="RV491" i="2"/>
  <c r="RU491" i="2"/>
  <c r="RT491" i="2"/>
  <c r="RS491" i="2"/>
  <c r="RR491" i="2"/>
  <c r="RQ491" i="2"/>
  <c r="RP491" i="2"/>
  <c r="RO491" i="2"/>
  <c r="SB490" i="2"/>
  <c r="SA490" i="2"/>
  <c r="RZ490" i="2"/>
  <c r="RY490" i="2"/>
  <c r="RX490" i="2"/>
  <c r="RW490" i="2"/>
  <c r="RV490" i="2"/>
  <c r="RU490" i="2"/>
  <c r="RT490" i="2"/>
  <c r="RS490" i="2"/>
  <c r="RR490" i="2"/>
  <c r="RQ490" i="2"/>
  <c r="RP490" i="2"/>
  <c r="RO490" i="2"/>
  <c r="SB489" i="2"/>
  <c r="SA489" i="2"/>
  <c r="RZ489" i="2"/>
  <c r="RY489" i="2"/>
  <c r="RX489" i="2"/>
  <c r="RW489" i="2"/>
  <c r="RV489" i="2"/>
  <c r="RU489" i="2"/>
  <c r="RT489" i="2"/>
  <c r="RS489" i="2"/>
  <c r="RR489" i="2"/>
  <c r="RQ489" i="2"/>
  <c r="RP489" i="2"/>
  <c r="RO489" i="2"/>
  <c r="SB488" i="2"/>
  <c r="SA488" i="2"/>
  <c r="RZ488" i="2"/>
  <c r="RY488" i="2"/>
  <c r="RX488" i="2"/>
  <c r="RW488" i="2"/>
  <c r="RV488" i="2"/>
  <c r="RU488" i="2"/>
  <c r="RT488" i="2"/>
  <c r="RS488" i="2"/>
  <c r="RR488" i="2"/>
  <c r="RQ488" i="2"/>
  <c r="RP488" i="2"/>
  <c r="RO488" i="2"/>
  <c r="SB487" i="2"/>
  <c r="SA487" i="2"/>
  <c r="RZ487" i="2"/>
  <c r="RY487" i="2"/>
  <c r="RX487" i="2"/>
  <c r="RW487" i="2"/>
  <c r="RV487" i="2"/>
  <c r="RU487" i="2"/>
  <c r="RT487" i="2"/>
  <c r="RS487" i="2"/>
  <c r="RR487" i="2"/>
  <c r="RQ487" i="2"/>
  <c r="RP487" i="2"/>
  <c r="RO487" i="2"/>
  <c r="SB486" i="2"/>
  <c r="SA486" i="2"/>
  <c r="RZ486" i="2"/>
  <c r="RY486" i="2"/>
  <c r="RX486" i="2"/>
  <c r="RW486" i="2"/>
  <c r="RV486" i="2"/>
  <c r="RU486" i="2"/>
  <c r="RT486" i="2"/>
  <c r="RS486" i="2"/>
  <c r="RR486" i="2"/>
  <c r="RQ486" i="2"/>
  <c r="RP486" i="2"/>
  <c r="RO486" i="2"/>
  <c r="SB485" i="2"/>
  <c r="SA485" i="2"/>
  <c r="RZ485" i="2"/>
  <c r="RY485" i="2"/>
  <c r="RX485" i="2"/>
  <c r="RW485" i="2"/>
  <c r="RV485" i="2"/>
  <c r="RU485" i="2"/>
  <c r="RT485" i="2"/>
  <c r="RS485" i="2"/>
  <c r="RR485" i="2"/>
  <c r="RQ485" i="2"/>
  <c r="RP485" i="2"/>
  <c r="RO485" i="2"/>
  <c r="RL521" i="2"/>
  <c r="RK521" i="2"/>
  <c r="RJ521" i="2"/>
  <c r="RI521" i="2"/>
  <c r="RH521" i="2"/>
  <c r="BJ44" i="50" s="1"/>
  <c r="RG521" i="2"/>
  <c r="BI44" i="50" s="1"/>
  <c r="RF521" i="2"/>
  <c r="RE521" i="2"/>
  <c r="RD521" i="2"/>
  <c r="RC521" i="2"/>
  <c r="RB521" i="2"/>
  <c r="RA521" i="2"/>
  <c r="QZ521" i="2"/>
  <c r="QY521" i="2"/>
  <c r="RL520" i="2"/>
  <c r="RK520" i="2"/>
  <c r="RJ520" i="2"/>
  <c r="RI520" i="2"/>
  <c r="RH520" i="2"/>
  <c r="BJ43" i="50" s="1"/>
  <c r="RG520" i="2"/>
  <c r="BI43" i="50" s="1"/>
  <c r="RF520" i="2"/>
  <c r="RE520" i="2"/>
  <c r="RD520" i="2"/>
  <c r="RC520" i="2"/>
  <c r="RB520" i="2"/>
  <c r="RA520" i="2"/>
  <c r="QZ520" i="2"/>
  <c r="QY520" i="2"/>
  <c r="RL519" i="2"/>
  <c r="RK519" i="2"/>
  <c r="RJ519" i="2"/>
  <c r="RI519" i="2"/>
  <c r="RH519" i="2"/>
  <c r="BJ42" i="50" s="1"/>
  <c r="RG519" i="2"/>
  <c r="BI42" i="50" s="1"/>
  <c r="RF519" i="2"/>
  <c r="RE519" i="2"/>
  <c r="RD519" i="2"/>
  <c r="RC519" i="2"/>
  <c r="RB519" i="2"/>
  <c r="RA519" i="2"/>
  <c r="QZ519" i="2"/>
  <c r="QY519" i="2"/>
  <c r="RL518" i="2"/>
  <c r="RK518" i="2"/>
  <c r="RJ518" i="2"/>
  <c r="RI518" i="2"/>
  <c r="RH518" i="2"/>
  <c r="BJ41" i="50" s="1"/>
  <c r="RG518" i="2"/>
  <c r="BI41" i="50" s="1"/>
  <c r="RF518" i="2"/>
  <c r="RE518" i="2"/>
  <c r="RD518" i="2"/>
  <c r="RC518" i="2"/>
  <c r="RB518" i="2"/>
  <c r="RA518" i="2"/>
  <c r="QZ518" i="2"/>
  <c r="QY518" i="2"/>
  <c r="RL517" i="2"/>
  <c r="RK517" i="2"/>
  <c r="RJ517" i="2"/>
  <c r="RI517" i="2"/>
  <c r="RH517" i="2"/>
  <c r="BJ40" i="50" s="1"/>
  <c r="RG517" i="2"/>
  <c r="BI40" i="50" s="1"/>
  <c r="RF517" i="2"/>
  <c r="RE517" i="2"/>
  <c r="RD517" i="2"/>
  <c r="RC517" i="2"/>
  <c r="RB517" i="2"/>
  <c r="RA517" i="2"/>
  <c r="QZ517" i="2"/>
  <c r="QY517" i="2"/>
  <c r="RL516" i="2"/>
  <c r="RK516" i="2"/>
  <c r="RJ516" i="2"/>
  <c r="RI516" i="2"/>
  <c r="RH516" i="2"/>
  <c r="BJ39" i="50" s="1"/>
  <c r="RG516" i="2"/>
  <c r="BI39" i="50" s="1"/>
  <c r="RF516" i="2"/>
  <c r="RE516" i="2"/>
  <c r="RD516" i="2"/>
  <c r="RC516" i="2"/>
  <c r="RB516" i="2"/>
  <c r="RA516" i="2"/>
  <c r="QZ516" i="2"/>
  <c r="QY516" i="2"/>
  <c r="RL515" i="2"/>
  <c r="RK515" i="2"/>
  <c r="RJ515" i="2"/>
  <c r="RI515" i="2"/>
  <c r="RH515" i="2"/>
  <c r="BJ38" i="50" s="1"/>
  <c r="RG515" i="2"/>
  <c r="BI38" i="50" s="1"/>
  <c r="RF515" i="2"/>
  <c r="RE515" i="2"/>
  <c r="RD515" i="2"/>
  <c r="RC515" i="2"/>
  <c r="RB515" i="2"/>
  <c r="RA515" i="2"/>
  <c r="QZ515" i="2"/>
  <c r="QY515" i="2"/>
  <c r="RL514" i="2"/>
  <c r="RK514" i="2"/>
  <c r="RJ514" i="2"/>
  <c r="RI514" i="2"/>
  <c r="RH514" i="2"/>
  <c r="BJ37" i="50" s="1"/>
  <c r="RG514" i="2"/>
  <c r="BI37" i="50" s="1"/>
  <c r="RF514" i="2"/>
  <c r="RE514" i="2"/>
  <c r="RD514" i="2"/>
  <c r="RC514" i="2"/>
  <c r="RB514" i="2"/>
  <c r="RA514" i="2"/>
  <c r="QZ514" i="2"/>
  <c r="QY514" i="2"/>
  <c r="RL513" i="2"/>
  <c r="RK513" i="2"/>
  <c r="RJ513" i="2"/>
  <c r="RI513" i="2"/>
  <c r="RH513" i="2"/>
  <c r="RG513" i="2"/>
  <c r="RF513" i="2"/>
  <c r="RE513" i="2"/>
  <c r="RD513" i="2"/>
  <c r="RC513" i="2"/>
  <c r="RB513" i="2"/>
  <c r="RA513" i="2"/>
  <c r="QZ513" i="2"/>
  <c r="QY513" i="2"/>
  <c r="RL512" i="2"/>
  <c r="RK512" i="2"/>
  <c r="RJ512" i="2"/>
  <c r="RI512" i="2"/>
  <c r="RH512" i="2"/>
  <c r="RG512" i="2"/>
  <c r="RF512" i="2"/>
  <c r="RE512" i="2"/>
  <c r="RD512" i="2"/>
  <c r="RC512" i="2"/>
  <c r="RB512" i="2"/>
  <c r="RA512" i="2"/>
  <c r="QZ512" i="2"/>
  <c r="QY512" i="2"/>
  <c r="RL511" i="2"/>
  <c r="RK511" i="2"/>
  <c r="RJ511" i="2"/>
  <c r="RI511" i="2"/>
  <c r="RH511" i="2"/>
  <c r="RG511" i="2"/>
  <c r="RF511" i="2"/>
  <c r="RE511" i="2"/>
  <c r="RD511" i="2"/>
  <c r="RC511" i="2"/>
  <c r="RB511" i="2"/>
  <c r="RA511" i="2"/>
  <c r="QZ511" i="2"/>
  <c r="QY511" i="2"/>
  <c r="RL510" i="2"/>
  <c r="RK510" i="2"/>
  <c r="RJ510" i="2"/>
  <c r="RI510" i="2"/>
  <c r="RH510" i="2"/>
  <c r="RG510" i="2"/>
  <c r="RF510" i="2"/>
  <c r="RE510" i="2"/>
  <c r="RD510" i="2"/>
  <c r="RC510" i="2"/>
  <c r="RB510" i="2"/>
  <c r="RA510" i="2"/>
  <c r="QZ510" i="2"/>
  <c r="QY510" i="2"/>
  <c r="RL509" i="2"/>
  <c r="RK509" i="2"/>
  <c r="RJ509" i="2"/>
  <c r="RI509" i="2"/>
  <c r="RH509" i="2"/>
  <c r="RG509" i="2"/>
  <c r="RF509" i="2"/>
  <c r="RE509" i="2"/>
  <c r="RD509" i="2"/>
  <c r="RC509" i="2"/>
  <c r="RB509" i="2"/>
  <c r="RA509" i="2"/>
  <c r="QZ509" i="2"/>
  <c r="QY509" i="2"/>
  <c r="RL508" i="2"/>
  <c r="RK508" i="2"/>
  <c r="RJ508" i="2"/>
  <c r="RI508" i="2"/>
  <c r="RH508" i="2"/>
  <c r="RG508" i="2"/>
  <c r="RF508" i="2"/>
  <c r="RE508" i="2"/>
  <c r="RD508" i="2"/>
  <c r="RC508" i="2"/>
  <c r="RB508" i="2"/>
  <c r="RA508" i="2"/>
  <c r="QZ508" i="2"/>
  <c r="QY508" i="2"/>
  <c r="RL507" i="2"/>
  <c r="RK507" i="2"/>
  <c r="RJ507" i="2"/>
  <c r="RI507" i="2"/>
  <c r="RH507" i="2"/>
  <c r="RG507" i="2"/>
  <c r="RF507" i="2"/>
  <c r="RE507" i="2"/>
  <c r="RD507" i="2"/>
  <c r="RC507" i="2"/>
  <c r="RB507" i="2"/>
  <c r="RA507" i="2"/>
  <c r="QZ507" i="2"/>
  <c r="QY507" i="2"/>
  <c r="RL506" i="2"/>
  <c r="RK506" i="2"/>
  <c r="RJ506" i="2"/>
  <c r="RI506" i="2"/>
  <c r="RH506" i="2"/>
  <c r="RG506" i="2"/>
  <c r="RF506" i="2"/>
  <c r="RE506" i="2"/>
  <c r="RD506" i="2"/>
  <c r="RC506" i="2"/>
  <c r="RB506" i="2"/>
  <c r="RA506" i="2"/>
  <c r="QZ506" i="2"/>
  <c r="QY506" i="2"/>
  <c r="RL505" i="2"/>
  <c r="RK505" i="2"/>
  <c r="RJ505" i="2"/>
  <c r="RI505" i="2"/>
  <c r="RH505" i="2"/>
  <c r="RG505" i="2"/>
  <c r="RF505" i="2"/>
  <c r="RE505" i="2"/>
  <c r="RD505" i="2"/>
  <c r="RC505" i="2"/>
  <c r="RB505" i="2"/>
  <c r="RA505" i="2"/>
  <c r="QZ505" i="2"/>
  <c r="QY505" i="2"/>
  <c r="RL504" i="2"/>
  <c r="RK504" i="2"/>
  <c r="RJ504" i="2"/>
  <c r="RI504" i="2"/>
  <c r="RH504" i="2"/>
  <c r="RG504" i="2"/>
  <c r="RF504" i="2"/>
  <c r="RE504" i="2"/>
  <c r="RD504" i="2"/>
  <c r="RC504" i="2"/>
  <c r="RB504" i="2"/>
  <c r="RA504" i="2"/>
  <c r="QZ504" i="2"/>
  <c r="QY504" i="2"/>
  <c r="RL503" i="2"/>
  <c r="RK503" i="2"/>
  <c r="RJ503" i="2"/>
  <c r="RI503" i="2"/>
  <c r="RH503" i="2"/>
  <c r="RG503" i="2"/>
  <c r="RF503" i="2"/>
  <c r="RE503" i="2"/>
  <c r="RD503" i="2"/>
  <c r="RC503" i="2"/>
  <c r="RB503" i="2"/>
  <c r="RA503" i="2"/>
  <c r="QZ503" i="2"/>
  <c r="QY503" i="2"/>
  <c r="RL502" i="2"/>
  <c r="RK502" i="2"/>
  <c r="RJ502" i="2"/>
  <c r="RI502" i="2"/>
  <c r="RH502" i="2"/>
  <c r="RG502" i="2"/>
  <c r="RF502" i="2"/>
  <c r="RE502" i="2"/>
  <c r="RD502" i="2"/>
  <c r="RC502" i="2"/>
  <c r="RB502" i="2"/>
  <c r="RA502" i="2"/>
  <c r="QZ502" i="2"/>
  <c r="QY502" i="2"/>
  <c r="RL501" i="2"/>
  <c r="RK501" i="2"/>
  <c r="RJ501" i="2"/>
  <c r="RI501" i="2"/>
  <c r="RH501" i="2"/>
  <c r="RG501" i="2"/>
  <c r="RF501" i="2"/>
  <c r="RE501" i="2"/>
  <c r="RD501" i="2"/>
  <c r="RC501" i="2"/>
  <c r="RB501" i="2"/>
  <c r="RA501" i="2"/>
  <c r="QZ501" i="2"/>
  <c r="QY501" i="2"/>
  <c r="RL500" i="2"/>
  <c r="RK500" i="2"/>
  <c r="RJ500" i="2"/>
  <c r="RI500" i="2"/>
  <c r="RH500" i="2"/>
  <c r="RG500" i="2"/>
  <c r="RF500" i="2"/>
  <c r="RE500" i="2"/>
  <c r="RD500" i="2"/>
  <c r="RC500" i="2"/>
  <c r="RB500" i="2"/>
  <c r="RA500" i="2"/>
  <c r="QZ500" i="2"/>
  <c r="QY500" i="2"/>
  <c r="RL499" i="2"/>
  <c r="RK499" i="2"/>
  <c r="RJ499" i="2"/>
  <c r="RI499" i="2"/>
  <c r="RH499" i="2"/>
  <c r="RG499" i="2"/>
  <c r="RF499" i="2"/>
  <c r="RE499" i="2"/>
  <c r="RD499" i="2"/>
  <c r="RC499" i="2"/>
  <c r="RB499" i="2"/>
  <c r="RA499" i="2"/>
  <c r="QZ499" i="2"/>
  <c r="QY499" i="2"/>
  <c r="RL498" i="2"/>
  <c r="RK498" i="2"/>
  <c r="RJ498" i="2"/>
  <c r="RI498" i="2"/>
  <c r="RH498" i="2"/>
  <c r="RG498" i="2"/>
  <c r="RF498" i="2"/>
  <c r="RE498" i="2"/>
  <c r="RD498" i="2"/>
  <c r="RC498" i="2"/>
  <c r="RB498" i="2"/>
  <c r="RA498" i="2"/>
  <c r="QZ498" i="2"/>
  <c r="QY498" i="2"/>
  <c r="RL497" i="2"/>
  <c r="RK497" i="2"/>
  <c r="RJ497" i="2"/>
  <c r="RI497" i="2"/>
  <c r="RH497" i="2"/>
  <c r="RG497" i="2"/>
  <c r="RF497" i="2"/>
  <c r="RE497" i="2"/>
  <c r="RD497" i="2"/>
  <c r="RC497" i="2"/>
  <c r="RB497" i="2"/>
  <c r="RA497" i="2"/>
  <c r="QZ497" i="2"/>
  <c r="QY497" i="2"/>
  <c r="RL496" i="2"/>
  <c r="RK496" i="2"/>
  <c r="RJ496" i="2"/>
  <c r="RI496" i="2"/>
  <c r="RH496" i="2"/>
  <c r="RG496" i="2"/>
  <c r="RF496" i="2"/>
  <c r="RE496" i="2"/>
  <c r="RD496" i="2"/>
  <c r="RC496" i="2"/>
  <c r="RB496" i="2"/>
  <c r="RA496" i="2"/>
  <c r="QZ496" i="2"/>
  <c r="QY496" i="2"/>
  <c r="RL495" i="2"/>
  <c r="RK495" i="2"/>
  <c r="RJ495" i="2"/>
  <c r="RI495" i="2"/>
  <c r="RH495" i="2"/>
  <c r="RG495" i="2"/>
  <c r="RF495" i="2"/>
  <c r="RE495" i="2"/>
  <c r="RD495" i="2"/>
  <c r="RC495" i="2"/>
  <c r="RB495" i="2"/>
  <c r="RA495" i="2"/>
  <c r="QZ495" i="2"/>
  <c r="QY495" i="2"/>
  <c r="RL494" i="2"/>
  <c r="RK494" i="2"/>
  <c r="RJ494" i="2"/>
  <c r="RI494" i="2"/>
  <c r="RH494" i="2"/>
  <c r="RG494" i="2"/>
  <c r="RF494" i="2"/>
  <c r="RE494" i="2"/>
  <c r="RD494" i="2"/>
  <c r="RC494" i="2"/>
  <c r="RB494" i="2"/>
  <c r="RA494" i="2"/>
  <c r="QZ494" i="2"/>
  <c r="QY494" i="2"/>
  <c r="RL493" i="2"/>
  <c r="RK493" i="2"/>
  <c r="RJ493" i="2"/>
  <c r="RI493" i="2"/>
  <c r="RH493" i="2"/>
  <c r="RG493" i="2"/>
  <c r="RF493" i="2"/>
  <c r="RE493" i="2"/>
  <c r="RD493" i="2"/>
  <c r="RC493" i="2"/>
  <c r="RB493" i="2"/>
  <c r="RA493" i="2"/>
  <c r="QZ493" i="2"/>
  <c r="QY493" i="2"/>
  <c r="RL492" i="2"/>
  <c r="RK492" i="2"/>
  <c r="RJ492" i="2"/>
  <c r="RI492" i="2"/>
  <c r="RH492" i="2"/>
  <c r="RG492" i="2"/>
  <c r="RF492" i="2"/>
  <c r="RE492" i="2"/>
  <c r="RD492" i="2"/>
  <c r="RC492" i="2"/>
  <c r="RB492" i="2"/>
  <c r="RA492" i="2"/>
  <c r="QZ492" i="2"/>
  <c r="QY492" i="2"/>
  <c r="RL491" i="2"/>
  <c r="RK491" i="2"/>
  <c r="RJ491" i="2"/>
  <c r="RI491" i="2"/>
  <c r="RH491" i="2"/>
  <c r="RG491" i="2"/>
  <c r="RF491" i="2"/>
  <c r="RE491" i="2"/>
  <c r="RD491" i="2"/>
  <c r="RC491" i="2"/>
  <c r="RB491" i="2"/>
  <c r="RA491" i="2"/>
  <c r="QZ491" i="2"/>
  <c r="QY491" i="2"/>
  <c r="RL490" i="2"/>
  <c r="RK490" i="2"/>
  <c r="RJ490" i="2"/>
  <c r="RI490" i="2"/>
  <c r="RH490" i="2"/>
  <c r="RG490" i="2"/>
  <c r="RF490" i="2"/>
  <c r="RE490" i="2"/>
  <c r="RD490" i="2"/>
  <c r="RC490" i="2"/>
  <c r="RB490" i="2"/>
  <c r="RA490" i="2"/>
  <c r="QZ490" i="2"/>
  <c r="QY490" i="2"/>
  <c r="RL489" i="2"/>
  <c r="RK489" i="2"/>
  <c r="RJ489" i="2"/>
  <c r="RI489" i="2"/>
  <c r="RH489" i="2"/>
  <c r="RG489" i="2"/>
  <c r="RF489" i="2"/>
  <c r="RE489" i="2"/>
  <c r="RD489" i="2"/>
  <c r="RC489" i="2"/>
  <c r="RB489" i="2"/>
  <c r="RA489" i="2"/>
  <c r="QZ489" i="2"/>
  <c r="QY489" i="2"/>
  <c r="RL488" i="2"/>
  <c r="RK488" i="2"/>
  <c r="RJ488" i="2"/>
  <c r="RI488" i="2"/>
  <c r="RH488" i="2"/>
  <c r="RG488" i="2"/>
  <c r="RF488" i="2"/>
  <c r="RE488" i="2"/>
  <c r="RD488" i="2"/>
  <c r="RC488" i="2"/>
  <c r="RB488" i="2"/>
  <c r="RA488" i="2"/>
  <c r="QZ488" i="2"/>
  <c r="QY488" i="2"/>
  <c r="RL487" i="2"/>
  <c r="RK487" i="2"/>
  <c r="RJ487" i="2"/>
  <c r="RI487" i="2"/>
  <c r="RH487" i="2"/>
  <c r="RG487" i="2"/>
  <c r="RF487" i="2"/>
  <c r="RE487" i="2"/>
  <c r="RD487" i="2"/>
  <c r="RC487" i="2"/>
  <c r="RB487" i="2"/>
  <c r="RA487" i="2"/>
  <c r="QZ487" i="2"/>
  <c r="QY487" i="2"/>
  <c r="RL486" i="2"/>
  <c r="RK486" i="2"/>
  <c r="RJ486" i="2"/>
  <c r="RI486" i="2"/>
  <c r="RH486" i="2"/>
  <c r="RG486" i="2"/>
  <c r="RF486" i="2"/>
  <c r="RE486" i="2"/>
  <c r="RD486" i="2"/>
  <c r="RC486" i="2"/>
  <c r="RB486" i="2"/>
  <c r="RA486" i="2"/>
  <c r="QZ486" i="2"/>
  <c r="QY486" i="2"/>
  <c r="RL485" i="2"/>
  <c r="RK485" i="2"/>
  <c r="RJ485" i="2"/>
  <c r="RI485" i="2"/>
  <c r="RH485" i="2"/>
  <c r="RG485" i="2"/>
  <c r="RF485" i="2"/>
  <c r="RE485" i="2"/>
  <c r="RD485" i="2"/>
  <c r="RC485" i="2"/>
  <c r="RB485" i="2"/>
  <c r="RA485" i="2"/>
  <c r="QZ485" i="2"/>
  <c r="QY485" i="2"/>
  <c r="QV521" i="2"/>
  <c r="QU521" i="2"/>
  <c r="QT521" i="2"/>
  <c r="QS521" i="2"/>
  <c r="QR521" i="2"/>
  <c r="BH44" i="50" s="1"/>
  <c r="QQ521" i="2"/>
  <c r="BG44" i="50" s="1"/>
  <c r="QP521" i="2"/>
  <c r="QO521" i="2"/>
  <c r="QN521" i="2"/>
  <c r="QM521" i="2"/>
  <c r="QL521" i="2"/>
  <c r="QK521" i="2"/>
  <c r="QJ521" i="2"/>
  <c r="QI521" i="2"/>
  <c r="QV520" i="2"/>
  <c r="QU520" i="2"/>
  <c r="QT520" i="2"/>
  <c r="QS520" i="2"/>
  <c r="QR520" i="2"/>
  <c r="BH43" i="50" s="1"/>
  <c r="QQ520" i="2"/>
  <c r="BG43" i="50" s="1"/>
  <c r="QP520" i="2"/>
  <c r="QO520" i="2"/>
  <c r="QN520" i="2"/>
  <c r="QM520" i="2"/>
  <c r="QL520" i="2"/>
  <c r="QK520" i="2"/>
  <c r="QJ520" i="2"/>
  <c r="QI520" i="2"/>
  <c r="QV519" i="2"/>
  <c r="QU519" i="2"/>
  <c r="QT519" i="2"/>
  <c r="QS519" i="2"/>
  <c r="QR519" i="2"/>
  <c r="BH42" i="50" s="1"/>
  <c r="QQ519" i="2"/>
  <c r="BG42" i="50" s="1"/>
  <c r="QP519" i="2"/>
  <c r="QO519" i="2"/>
  <c r="QN519" i="2"/>
  <c r="QM519" i="2"/>
  <c r="QL519" i="2"/>
  <c r="QK519" i="2"/>
  <c r="QJ519" i="2"/>
  <c r="QI519" i="2"/>
  <c r="QV518" i="2"/>
  <c r="QU518" i="2"/>
  <c r="QT518" i="2"/>
  <c r="QS518" i="2"/>
  <c r="QR518" i="2"/>
  <c r="BH41" i="50" s="1"/>
  <c r="QQ518" i="2"/>
  <c r="BG41" i="50" s="1"/>
  <c r="QP518" i="2"/>
  <c r="QO518" i="2"/>
  <c r="QN518" i="2"/>
  <c r="QM518" i="2"/>
  <c r="QL518" i="2"/>
  <c r="QK518" i="2"/>
  <c r="QJ518" i="2"/>
  <c r="QI518" i="2"/>
  <c r="QV517" i="2"/>
  <c r="QU517" i="2"/>
  <c r="QT517" i="2"/>
  <c r="QS517" i="2"/>
  <c r="QR517" i="2"/>
  <c r="BH40" i="50" s="1"/>
  <c r="QQ517" i="2"/>
  <c r="BG40" i="50" s="1"/>
  <c r="QP517" i="2"/>
  <c r="QO517" i="2"/>
  <c r="QN517" i="2"/>
  <c r="QM517" i="2"/>
  <c r="QL517" i="2"/>
  <c r="QK517" i="2"/>
  <c r="QJ517" i="2"/>
  <c r="QI517" i="2"/>
  <c r="QV516" i="2"/>
  <c r="QU516" i="2"/>
  <c r="QT516" i="2"/>
  <c r="QS516" i="2"/>
  <c r="QR516" i="2"/>
  <c r="BH39" i="50" s="1"/>
  <c r="QQ516" i="2"/>
  <c r="BG39" i="50" s="1"/>
  <c r="QP516" i="2"/>
  <c r="QO516" i="2"/>
  <c r="QN516" i="2"/>
  <c r="QM516" i="2"/>
  <c r="QL516" i="2"/>
  <c r="QK516" i="2"/>
  <c r="QJ516" i="2"/>
  <c r="QI516" i="2"/>
  <c r="QV515" i="2"/>
  <c r="QU515" i="2"/>
  <c r="QT515" i="2"/>
  <c r="QS515" i="2"/>
  <c r="QR515" i="2"/>
  <c r="BH38" i="50" s="1"/>
  <c r="QQ515" i="2"/>
  <c r="BG38" i="50" s="1"/>
  <c r="QP515" i="2"/>
  <c r="QO515" i="2"/>
  <c r="QN515" i="2"/>
  <c r="QM515" i="2"/>
  <c r="QL515" i="2"/>
  <c r="QK515" i="2"/>
  <c r="QJ515" i="2"/>
  <c r="QI515" i="2"/>
  <c r="QV514" i="2"/>
  <c r="QU514" i="2"/>
  <c r="QT514" i="2"/>
  <c r="QS514" i="2"/>
  <c r="QR514" i="2"/>
  <c r="BH37" i="50" s="1"/>
  <c r="QQ514" i="2"/>
  <c r="BG37" i="50" s="1"/>
  <c r="QP514" i="2"/>
  <c r="QO514" i="2"/>
  <c r="QN514" i="2"/>
  <c r="QM514" i="2"/>
  <c r="QL514" i="2"/>
  <c r="QK514" i="2"/>
  <c r="QJ514" i="2"/>
  <c r="QI514" i="2"/>
  <c r="QV513" i="2"/>
  <c r="QU513" i="2"/>
  <c r="QT513" i="2"/>
  <c r="QS513" i="2"/>
  <c r="QR513" i="2"/>
  <c r="QQ513" i="2"/>
  <c r="QP513" i="2"/>
  <c r="QO513" i="2"/>
  <c r="QN513" i="2"/>
  <c r="QM513" i="2"/>
  <c r="QL513" i="2"/>
  <c r="QK513" i="2"/>
  <c r="QJ513" i="2"/>
  <c r="QI513" i="2"/>
  <c r="QV512" i="2"/>
  <c r="QU512" i="2"/>
  <c r="QT512" i="2"/>
  <c r="QS512" i="2"/>
  <c r="QR512" i="2"/>
  <c r="QQ512" i="2"/>
  <c r="QP512" i="2"/>
  <c r="QO512" i="2"/>
  <c r="QN512" i="2"/>
  <c r="QM512" i="2"/>
  <c r="QL512" i="2"/>
  <c r="QK512" i="2"/>
  <c r="QJ512" i="2"/>
  <c r="QI512" i="2"/>
  <c r="QV511" i="2"/>
  <c r="QU511" i="2"/>
  <c r="QT511" i="2"/>
  <c r="QS511" i="2"/>
  <c r="QR511" i="2"/>
  <c r="QQ511" i="2"/>
  <c r="QP511" i="2"/>
  <c r="QO511" i="2"/>
  <c r="QN511" i="2"/>
  <c r="QM511" i="2"/>
  <c r="QL511" i="2"/>
  <c r="QK511" i="2"/>
  <c r="QJ511" i="2"/>
  <c r="QI511" i="2"/>
  <c r="QV510" i="2"/>
  <c r="QU510" i="2"/>
  <c r="QT510" i="2"/>
  <c r="QS510" i="2"/>
  <c r="QR510" i="2"/>
  <c r="QQ510" i="2"/>
  <c r="QP510" i="2"/>
  <c r="QO510" i="2"/>
  <c r="QN510" i="2"/>
  <c r="QM510" i="2"/>
  <c r="QL510" i="2"/>
  <c r="QK510" i="2"/>
  <c r="QJ510" i="2"/>
  <c r="QI510" i="2"/>
  <c r="QV509" i="2"/>
  <c r="QU509" i="2"/>
  <c r="QT509" i="2"/>
  <c r="QS509" i="2"/>
  <c r="QR509" i="2"/>
  <c r="QQ509" i="2"/>
  <c r="QP509" i="2"/>
  <c r="QO509" i="2"/>
  <c r="QN509" i="2"/>
  <c r="QM509" i="2"/>
  <c r="QL509" i="2"/>
  <c r="QK509" i="2"/>
  <c r="QJ509" i="2"/>
  <c r="QI509" i="2"/>
  <c r="QV508" i="2"/>
  <c r="QU508" i="2"/>
  <c r="QT508" i="2"/>
  <c r="QS508" i="2"/>
  <c r="QR508" i="2"/>
  <c r="QQ508" i="2"/>
  <c r="QP508" i="2"/>
  <c r="QO508" i="2"/>
  <c r="QN508" i="2"/>
  <c r="QM508" i="2"/>
  <c r="QL508" i="2"/>
  <c r="QK508" i="2"/>
  <c r="QJ508" i="2"/>
  <c r="QI508" i="2"/>
  <c r="QV507" i="2"/>
  <c r="QU507" i="2"/>
  <c r="QT507" i="2"/>
  <c r="QS507" i="2"/>
  <c r="QR507" i="2"/>
  <c r="QQ507" i="2"/>
  <c r="QP507" i="2"/>
  <c r="QO507" i="2"/>
  <c r="QN507" i="2"/>
  <c r="QM507" i="2"/>
  <c r="QL507" i="2"/>
  <c r="QK507" i="2"/>
  <c r="QJ507" i="2"/>
  <c r="QI507" i="2"/>
  <c r="QV506" i="2"/>
  <c r="QU506" i="2"/>
  <c r="QT506" i="2"/>
  <c r="QS506" i="2"/>
  <c r="QR506" i="2"/>
  <c r="QQ506" i="2"/>
  <c r="QP506" i="2"/>
  <c r="QO506" i="2"/>
  <c r="QN506" i="2"/>
  <c r="QM506" i="2"/>
  <c r="QL506" i="2"/>
  <c r="QK506" i="2"/>
  <c r="QJ506" i="2"/>
  <c r="QI506" i="2"/>
  <c r="QV505" i="2"/>
  <c r="QU505" i="2"/>
  <c r="QT505" i="2"/>
  <c r="QS505" i="2"/>
  <c r="QR505" i="2"/>
  <c r="QQ505" i="2"/>
  <c r="QP505" i="2"/>
  <c r="QO505" i="2"/>
  <c r="QN505" i="2"/>
  <c r="QM505" i="2"/>
  <c r="QL505" i="2"/>
  <c r="QK505" i="2"/>
  <c r="QJ505" i="2"/>
  <c r="QI505" i="2"/>
  <c r="QV504" i="2"/>
  <c r="QU504" i="2"/>
  <c r="QT504" i="2"/>
  <c r="QS504" i="2"/>
  <c r="QR504" i="2"/>
  <c r="QQ504" i="2"/>
  <c r="QP504" i="2"/>
  <c r="QO504" i="2"/>
  <c r="QN504" i="2"/>
  <c r="QM504" i="2"/>
  <c r="QL504" i="2"/>
  <c r="QK504" i="2"/>
  <c r="QJ504" i="2"/>
  <c r="QI504" i="2"/>
  <c r="QV503" i="2"/>
  <c r="QU503" i="2"/>
  <c r="QT503" i="2"/>
  <c r="QS503" i="2"/>
  <c r="QR503" i="2"/>
  <c r="QQ503" i="2"/>
  <c r="QP503" i="2"/>
  <c r="QO503" i="2"/>
  <c r="QN503" i="2"/>
  <c r="QM503" i="2"/>
  <c r="QL503" i="2"/>
  <c r="QK503" i="2"/>
  <c r="QJ503" i="2"/>
  <c r="QI503" i="2"/>
  <c r="QV502" i="2"/>
  <c r="QU502" i="2"/>
  <c r="QT502" i="2"/>
  <c r="QS502" i="2"/>
  <c r="QR502" i="2"/>
  <c r="QQ502" i="2"/>
  <c r="QP502" i="2"/>
  <c r="QO502" i="2"/>
  <c r="QN502" i="2"/>
  <c r="QM502" i="2"/>
  <c r="QL502" i="2"/>
  <c r="QK502" i="2"/>
  <c r="QJ502" i="2"/>
  <c r="QI502" i="2"/>
  <c r="QV501" i="2"/>
  <c r="QU501" i="2"/>
  <c r="QT501" i="2"/>
  <c r="QS501" i="2"/>
  <c r="QR501" i="2"/>
  <c r="QQ501" i="2"/>
  <c r="QP501" i="2"/>
  <c r="QO501" i="2"/>
  <c r="QN501" i="2"/>
  <c r="QM501" i="2"/>
  <c r="QL501" i="2"/>
  <c r="QK501" i="2"/>
  <c r="QJ501" i="2"/>
  <c r="QI501" i="2"/>
  <c r="QV500" i="2"/>
  <c r="QU500" i="2"/>
  <c r="QT500" i="2"/>
  <c r="QS500" i="2"/>
  <c r="QR500" i="2"/>
  <c r="QQ500" i="2"/>
  <c r="QP500" i="2"/>
  <c r="QO500" i="2"/>
  <c r="QN500" i="2"/>
  <c r="QM500" i="2"/>
  <c r="QL500" i="2"/>
  <c r="QK500" i="2"/>
  <c r="QJ500" i="2"/>
  <c r="QI500" i="2"/>
  <c r="QV499" i="2"/>
  <c r="QU499" i="2"/>
  <c r="QT499" i="2"/>
  <c r="QS499" i="2"/>
  <c r="QR499" i="2"/>
  <c r="QQ499" i="2"/>
  <c r="QP499" i="2"/>
  <c r="QO499" i="2"/>
  <c r="QN499" i="2"/>
  <c r="QM499" i="2"/>
  <c r="QL499" i="2"/>
  <c r="QK499" i="2"/>
  <c r="QJ499" i="2"/>
  <c r="QI499" i="2"/>
  <c r="QV498" i="2"/>
  <c r="QU498" i="2"/>
  <c r="QT498" i="2"/>
  <c r="QS498" i="2"/>
  <c r="QR498" i="2"/>
  <c r="QQ498" i="2"/>
  <c r="QP498" i="2"/>
  <c r="QO498" i="2"/>
  <c r="QN498" i="2"/>
  <c r="QM498" i="2"/>
  <c r="QL498" i="2"/>
  <c r="QK498" i="2"/>
  <c r="QJ498" i="2"/>
  <c r="QI498" i="2"/>
  <c r="QV497" i="2"/>
  <c r="QU497" i="2"/>
  <c r="QT497" i="2"/>
  <c r="QS497" i="2"/>
  <c r="QR497" i="2"/>
  <c r="QQ497" i="2"/>
  <c r="QP497" i="2"/>
  <c r="QO497" i="2"/>
  <c r="QN497" i="2"/>
  <c r="QM497" i="2"/>
  <c r="QL497" i="2"/>
  <c r="QK497" i="2"/>
  <c r="QJ497" i="2"/>
  <c r="QI497" i="2"/>
  <c r="QV496" i="2"/>
  <c r="QU496" i="2"/>
  <c r="QT496" i="2"/>
  <c r="QS496" i="2"/>
  <c r="QR496" i="2"/>
  <c r="QQ496" i="2"/>
  <c r="QP496" i="2"/>
  <c r="QO496" i="2"/>
  <c r="QN496" i="2"/>
  <c r="QM496" i="2"/>
  <c r="QL496" i="2"/>
  <c r="QK496" i="2"/>
  <c r="QJ496" i="2"/>
  <c r="QI496" i="2"/>
  <c r="QV495" i="2"/>
  <c r="QU495" i="2"/>
  <c r="QT495" i="2"/>
  <c r="QS495" i="2"/>
  <c r="QR495" i="2"/>
  <c r="QQ495" i="2"/>
  <c r="QP495" i="2"/>
  <c r="QO495" i="2"/>
  <c r="QN495" i="2"/>
  <c r="QM495" i="2"/>
  <c r="QL495" i="2"/>
  <c r="QK495" i="2"/>
  <c r="QJ495" i="2"/>
  <c r="QI495" i="2"/>
  <c r="QV494" i="2"/>
  <c r="QU494" i="2"/>
  <c r="QT494" i="2"/>
  <c r="QS494" i="2"/>
  <c r="QR494" i="2"/>
  <c r="QQ494" i="2"/>
  <c r="QP494" i="2"/>
  <c r="QO494" i="2"/>
  <c r="QN494" i="2"/>
  <c r="QM494" i="2"/>
  <c r="QL494" i="2"/>
  <c r="QK494" i="2"/>
  <c r="QJ494" i="2"/>
  <c r="QI494" i="2"/>
  <c r="QV493" i="2"/>
  <c r="QU493" i="2"/>
  <c r="QT493" i="2"/>
  <c r="QS493" i="2"/>
  <c r="QR493" i="2"/>
  <c r="QQ493" i="2"/>
  <c r="QP493" i="2"/>
  <c r="QO493" i="2"/>
  <c r="QN493" i="2"/>
  <c r="QM493" i="2"/>
  <c r="QL493" i="2"/>
  <c r="QK493" i="2"/>
  <c r="QJ493" i="2"/>
  <c r="QI493" i="2"/>
  <c r="QV492" i="2"/>
  <c r="QU492" i="2"/>
  <c r="QT492" i="2"/>
  <c r="QS492" i="2"/>
  <c r="QR492" i="2"/>
  <c r="QQ492" i="2"/>
  <c r="QP492" i="2"/>
  <c r="QO492" i="2"/>
  <c r="QN492" i="2"/>
  <c r="QM492" i="2"/>
  <c r="QL492" i="2"/>
  <c r="QK492" i="2"/>
  <c r="QJ492" i="2"/>
  <c r="QI492" i="2"/>
  <c r="QV491" i="2"/>
  <c r="QU491" i="2"/>
  <c r="QT491" i="2"/>
  <c r="QS491" i="2"/>
  <c r="QR491" i="2"/>
  <c r="QQ491" i="2"/>
  <c r="QP491" i="2"/>
  <c r="QO491" i="2"/>
  <c r="QN491" i="2"/>
  <c r="QM491" i="2"/>
  <c r="QL491" i="2"/>
  <c r="QK491" i="2"/>
  <c r="QJ491" i="2"/>
  <c r="QI491" i="2"/>
  <c r="QV490" i="2"/>
  <c r="QU490" i="2"/>
  <c r="QT490" i="2"/>
  <c r="QS490" i="2"/>
  <c r="QR490" i="2"/>
  <c r="QQ490" i="2"/>
  <c r="QP490" i="2"/>
  <c r="QO490" i="2"/>
  <c r="QN490" i="2"/>
  <c r="QM490" i="2"/>
  <c r="QL490" i="2"/>
  <c r="QK490" i="2"/>
  <c r="QJ490" i="2"/>
  <c r="QI490" i="2"/>
  <c r="QV489" i="2"/>
  <c r="QU489" i="2"/>
  <c r="QT489" i="2"/>
  <c r="QS489" i="2"/>
  <c r="QR489" i="2"/>
  <c r="QQ489" i="2"/>
  <c r="QP489" i="2"/>
  <c r="QO489" i="2"/>
  <c r="QN489" i="2"/>
  <c r="QM489" i="2"/>
  <c r="QL489" i="2"/>
  <c r="QK489" i="2"/>
  <c r="QJ489" i="2"/>
  <c r="QI489" i="2"/>
  <c r="QV488" i="2"/>
  <c r="QU488" i="2"/>
  <c r="QT488" i="2"/>
  <c r="QS488" i="2"/>
  <c r="QR488" i="2"/>
  <c r="QQ488" i="2"/>
  <c r="QP488" i="2"/>
  <c r="QO488" i="2"/>
  <c r="QN488" i="2"/>
  <c r="QM488" i="2"/>
  <c r="QL488" i="2"/>
  <c r="QK488" i="2"/>
  <c r="QJ488" i="2"/>
  <c r="QI488" i="2"/>
  <c r="QV487" i="2"/>
  <c r="QU487" i="2"/>
  <c r="QT487" i="2"/>
  <c r="QS487" i="2"/>
  <c r="QR487" i="2"/>
  <c r="QQ487" i="2"/>
  <c r="QP487" i="2"/>
  <c r="QO487" i="2"/>
  <c r="QN487" i="2"/>
  <c r="QM487" i="2"/>
  <c r="QL487" i="2"/>
  <c r="QK487" i="2"/>
  <c r="QJ487" i="2"/>
  <c r="QI487" i="2"/>
  <c r="QV486" i="2"/>
  <c r="QU486" i="2"/>
  <c r="QT486" i="2"/>
  <c r="QS486" i="2"/>
  <c r="QR486" i="2"/>
  <c r="QQ486" i="2"/>
  <c r="QP486" i="2"/>
  <c r="QO486" i="2"/>
  <c r="QN486" i="2"/>
  <c r="QM486" i="2"/>
  <c r="QL486" i="2"/>
  <c r="QK486" i="2"/>
  <c r="QJ486" i="2"/>
  <c r="QI486" i="2"/>
  <c r="QV485" i="2"/>
  <c r="QU485" i="2"/>
  <c r="QT485" i="2"/>
  <c r="QS485" i="2"/>
  <c r="QR485" i="2"/>
  <c r="QQ485" i="2"/>
  <c r="QP485" i="2"/>
  <c r="QO485" i="2"/>
  <c r="QN485" i="2"/>
  <c r="QM485" i="2"/>
  <c r="QL485" i="2"/>
  <c r="QK485" i="2"/>
  <c r="QJ485" i="2"/>
  <c r="QI485" i="2"/>
  <c r="QF521" i="2"/>
  <c r="QE521" i="2"/>
  <c r="QD521" i="2"/>
  <c r="BF44" i="55" s="1"/>
  <c r="QC521" i="2"/>
  <c r="BE44" i="55" s="1"/>
  <c r="QB521" i="2"/>
  <c r="BF44" i="50" s="1"/>
  <c r="QA521" i="2"/>
  <c r="BE44" i="50" s="1"/>
  <c r="PZ521" i="2"/>
  <c r="PY521" i="2"/>
  <c r="PX521" i="2"/>
  <c r="PW521" i="2"/>
  <c r="PV521" i="2"/>
  <c r="PU521" i="2"/>
  <c r="PT521" i="2"/>
  <c r="PS521" i="2"/>
  <c r="QF520" i="2"/>
  <c r="QE520" i="2"/>
  <c r="QD520" i="2"/>
  <c r="BF43" i="55" s="1"/>
  <c r="QC520" i="2"/>
  <c r="BE43" i="55" s="1"/>
  <c r="QB520" i="2"/>
  <c r="BF43" i="50" s="1"/>
  <c r="QA520" i="2"/>
  <c r="BE43" i="50" s="1"/>
  <c r="PZ520" i="2"/>
  <c r="PY520" i="2"/>
  <c r="PX520" i="2"/>
  <c r="PW520" i="2"/>
  <c r="PV520" i="2"/>
  <c r="PU520" i="2"/>
  <c r="PT520" i="2"/>
  <c r="PS520" i="2"/>
  <c r="QF519" i="2"/>
  <c r="QE519" i="2"/>
  <c r="QD519" i="2"/>
  <c r="BF42" i="55" s="1"/>
  <c r="QC519" i="2"/>
  <c r="BE42" i="55" s="1"/>
  <c r="QB519" i="2"/>
  <c r="BF42" i="50" s="1"/>
  <c r="QA519" i="2"/>
  <c r="BE42" i="50" s="1"/>
  <c r="PZ519" i="2"/>
  <c r="PY519" i="2"/>
  <c r="PX519" i="2"/>
  <c r="PW519" i="2"/>
  <c r="PV519" i="2"/>
  <c r="PU519" i="2"/>
  <c r="PT519" i="2"/>
  <c r="PS519" i="2"/>
  <c r="QF518" i="2"/>
  <c r="QE518" i="2"/>
  <c r="QD518" i="2"/>
  <c r="BF41" i="55" s="1"/>
  <c r="QC518" i="2"/>
  <c r="BE41" i="55" s="1"/>
  <c r="QB518" i="2"/>
  <c r="BF41" i="50" s="1"/>
  <c r="QA518" i="2"/>
  <c r="BE41" i="50" s="1"/>
  <c r="PZ518" i="2"/>
  <c r="PY518" i="2"/>
  <c r="PX518" i="2"/>
  <c r="PW518" i="2"/>
  <c r="PV518" i="2"/>
  <c r="PU518" i="2"/>
  <c r="PT518" i="2"/>
  <c r="PS518" i="2"/>
  <c r="QF517" i="2"/>
  <c r="QE517" i="2"/>
  <c r="QD517" i="2"/>
  <c r="BF40" i="55" s="1"/>
  <c r="QC517" i="2"/>
  <c r="BE40" i="55" s="1"/>
  <c r="QB517" i="2"/>
  <c r="BF40" i="50" s="1"/>
  <c r="QA517" i="2"/>
  <c r="BE40" i="50" s="1"/>
  <c r="PZ517" i="2"/>
  <c r="PY517" i="2"/>
  <c r="PX517" i="2"/>
  <c r="PW517" i="2"/>
  <c r="PV517" i="2"/>
  <c r="PU517" i="2"/>
  <c r="PT517" i="2"/>
  <c r="PS517" i="2"/>
  <c r="QF516" i="2"/>
  <c r="QE516" i="2"/>
  <c r="QD516" i="2"/>
  <c r="BF39" i="55" s="1"/>
  <c r="QC516" i="2"/>
  <c r="BE39" i="55" s="1"/>
  <c r="QB516" i="2"/>
  <c r="BF39" i="50" s="1"/>
  <c r="QA516" i="2"/>
  <c r="BE39" i="50" s="1"/>
  <c r="PZ516" i="2"/>
  <c r="PY516" i="2"/>
  <c r="PX516" i="2"/>
  <c r="PW516" i="2"/>
  <c r="PV516" i="2"/>
  <c r="PU516" i="2"/>
  <c r="PT516" i="2"/>
  <c r="PS516" i="2"/>
  <c r="QF515" i="2"/>
  <c r="QE515" i="2"/>
  <c r="QD515" i="2"/>
  <c r="BF38" i="55" s="1"/>
  <c r="QC515" i="2"/>
  <c r="BE38" i="55" s="1"/>
  <c r="QB515" i="2"/>
  <c r="BF38" i="50" s="1"/>
  <c r="QA515" i="2"/>
  <c r="BE38" i="50" s="1"/>
  <c r="PZ515" i="2"/>
  <c r="PY515" i="2"/>
  <c r="PX515" i="2"/>
  <c r="PW515" i="2"/>
  <c r="PV515" i="2"/>
  <c r="PU515" i="2"/>
  <c r="PT515" i="2"/>
  <c r="PS515" i="2"/>
  <c r="QF514" i="2"/>
  <c r="QE514" i="2"/>
  <c r="QD514" i="2"/>
  <c r="BF37" i="55" s="1"/>
  <c r="QC514" i="2"/>
  <c r="BE37" i="55" s="1"/>
  <c r="QB514" i="2"/>
  <c r="BF37" i="50" s="1"/>
  <c r="QA514" i="2"/>
  <c r="BE37" i="50" s="1"/>
  <c r="PZ514" i="2"/>
  <c r="PY514" i="2"/>
  <c r="PX514" i="2"/>
  <c r="PW514" i="2"/>
  <c r="PV514" i="2"/>
  <c r="PU514" i="2"/>
  <c r="PT514" i="2"/>
  <c r="PS514" i="2"/>
  <c r="QF513" i="2"/>
  <c r="QE513" i="2"/>
  <c r="QD513" i="2"/>
  <c r="BF36" i="55" s="1"/>
  <c r="QC513" i="2"/>
  <c r="BE36" i="55" s="1"/>
  <c r="QB513" i="2"/>
  <c r="BF36" i="50" s="1"/>
  <c r="QA513" i="2"/>
  <c r="BE36" i="50" s="1"/>
  <c r="PZ513" i="2"/>
  <c r="PY513" i="2"/>
  <c r="PX513" i="2"/>
  <c r="PW513" i="2"/>
  <c r="PV513" i="2"/>
  <c r="PU513" i="2"/>
  <c r="PT513" i="2"/>
  <c r="PS513" i="2"/>
  <c r="QF512" i="2"/>
  <c r="QE512" i="2"/>
  <c r="QD512" i="2"/>
  <c r="BF35" i="55" s="1"/>
  <c r="QC512" i="2"/>
  <c r="BE35" i="55" s="1"/>
  <c r="QB512" i="2"/>
  <c r="BF35" i="50" s="1"/>
  <c r="QA512" i="2"/>
  <c r="BE35" i="50" s="1"/>
  <c r="PZ512" i="2"/>
  <c r="PY512" i="2"/>
  <c r="PX512" i="2"/>
  <c r="PW512" i="2"/>
  <c r="PV512" i="2"/>
  <c r="PU512" i="2"/>
  <c r="PT512" i="2"/>
  <c r="PS512" i="2"/>
  <c r="QF511" i="2"/>
  <c r="QE511" i="2"/>
  <c r="QD511" i="2"/>
  <c r="BF34" i="55" s="1"/>
  <c r="QC511" i="2"/>
  <c r="BE34" i="55" s="1"/>
  <c r="QB511" i="2"/>
  <c r="BF34" i="50" s="1"/>
  <c r="QA511" i="2"/>
  <c r="BE34" i="50" s="1"/>
  <c r="PZ511" i="2"/>
  <c r="PY511" i="2"/>
  <c r="PX511" i="2"/>
  <c r="PW511" i="2"/>
  <c r="PV511" i="2"/>
  <c r="PU511" i="2"/>
  <c r="PT511" i="2"/>
  <c r="PS511" i="2"/>
  <c r="QF510" i="2"/>
  <c r="QE510" i="2"/>
  <c r="QD510" i="2"/>
  <c r="BF33" i="55" s="1"/>
  <c r="QC510" i="2"/>
  <c r="BE33" i="55" s="1"/>
  <c r="QB510" i="2"/>
  <c r="BF33" i="50" s="1"/>
  <c r="QA510" i="2"/>
  <c r="BE33" i="50" s="1"/>
  <c r="PZ510" i="2"/>
  <c r="PY510" i="2"/>
  <c r="PX510" i="2"/>
  <c r="PW510" i="2"/>
  <c r="PV510" i="2"/>
  <c r="PU510" i="2"/>
  <c r="PT510" i="2"/>
  <c r="PS510" i="2"/>
  <c r="QF509" i="2"/>
  <c r="QE509" i="2"/>
  <c r="QD509" i="2"/>
  <c r="BF32" i="55" s="1"/>
  <c r="QC509" i="2"/>
  <c r="BE32" i="55" s="1"/>
  <c r="QB509" i="2"/>
  <c r="BF32" i="50" s="1"/>
  <c r="QA509" i="2"/>
  <c r="BE32" i="50" s="1"/>
  <c r="PZ509" i="2"/>
  <c r="PY509" i="2"/>
  <c r="PX509" i="2"/>
  <c r="PW509" i="2"/>
  <c r="PV509" i="2"/>
  <c r="PU509" i="2"/>
  <c r="PT509" i="2"/>
  <c r="PS509" i="2"/>
  <c r="QF508" i="2"/>
  <c r="QE508" i="2"/>
  <c r="QD508" i="2"/>
  <c r="BF31" i="55" s="1"/>
  <c r="QC508" i="2"/>
  <c r="BE31" i="55" s="1"/>
  <c r="QB508" i="2"/>
  <c r="BF31" i="50" s="1"/>
  <c r="QA508" i="2"/>
  <c r="BE31" i="50" s="1"/>
  <c r="PZ508" i="2"/>
  <c r="PY508" i="2"/>
  <c r="PX508" i="2"/>
  <c r="PW508" i="2"/>
  <c r="PV508" i="2"/>
  <c r="PU508" i="2"/>
  <c r="PT508" i="2"/>
  <c r="PS508" i="2"/>
  <c r="QF507" i="2"/>
  <c r="QE507" i="2"/>
  <c r="QD507" i="2"/>
  <c r="BF30" i="55" s="1"/>
  <c r="QC507" i="2"/>
  <c r="BE30" i="55" s="1"/>
  <c r="QB507" i="2"/>
  <c r="BF30" i="50" s="1"/>
  <c r="QA507" i="2"/>
  <c r="BE30" i="50" s="1"/>
  <c r="PZ507" i="2"/>
  <c r="PY507" i="2"/>
  <c r="PX507" i="2"/>
  <c r="PW507" i="2"/>
  <c r="PV507" i="2"/>
  <c r="PU507" i="2"/>
  <c r="PT507" i="2"/>
  <c r="PS507" i="2"/>
  <c r="QF506" i="2"/>
  <c r="QE506" i="2"/>
  <c r="QD506" i="2"/>
  <c r="BF29" i="55" s="1"/>
  <c r="QC506" i="2"/>
  <c r="BE29" i="55" s="1"/>
  <c r="QB506" i="2"/>
  <c r="BF29" i="50" s="1"/>
  <c r="QA506" i="2"/>
  <c r="BE29" i="50" s="1"/>
  <c r="PZ506" i="2"/>
  <c r="PY506" i="2"/>
  <c r="PX506" i="2"/>
  <c r="PW506" i="2"/>
  <c r="PV506" i="2"/>
  <c r="PU506" i="2"/>
  <c r="PT506" i="2"/>
  <c r="PS506" i="2"/>
  <c r="QF505" i="2"/>
  <c r="QE505" i="2"/>
  <c r="QD505" i="2"/>
  <c r="BF28" i="55" s="1"/>
  <c r="QC505" i="2"/>
  <c r="BE28" i="55" s="1"/>
  <c r="QB505" i="2"/>
  <c r="BF28" i="50" s="1"/>
  <c r="QA505" i="2"/>
  <c r="BE28" i="50" s="1"/>
  <c r="PZ505" i="2"/>
  <c r="PY505" i="2"/>
  <c r="PX505" i="2"/>
  <c r="PW505" i="2"/>
  <c r="PV505" i="2"/>
  <c r="PU505" i="2"/>
  <c r="PT505" i="2"/>
  <c r="PS505" i="2"/>
  <c r="QF504" i="2"/>
  <c r="QE504" i="2"/>
  <c r="QD504" i="2"/>
  <c r="BF27" i="55" s="1"/>
  <c r="QC504" i="2"/>
  <c r="BE27" i="55" s="1"/>
  <c r="QB504" i="2"/>
  <c r="BF27" i="50" s="1"/>
  <c r="QA504" i="2"/>
  <c r="BE27" i="50" s="1"/>
  <c r="PZ504" i="2"/>
  <c r="PY504" i="2"/>
  <c r="PX504" i="2"/>
  <c r="PW504" i="2"/>
  <c r="PV504" i="2"/>
  <c r="PU504" i="2"/>
  <c r="PT504" i="2"/>
  <c r="PS504" i="2"/>
  <c r="QF503" i="2"/>
  <c r="QE503" i="2"/>
  <c r="QD503" i="2"/>
  <c r="BF26" i="55" s="1"/>
  <c r="QC503" i="2"/>
  <c r="BE26" i="55" s="1"/>
  <c r="QB503" i="2"/>
  <c r="BF26" i="50" s="1"/>
  <c r="QA503" i="2"/>
  <c r="BE26" i="50" s="1"/>
  <c r="PZ503" i="2"/>
  <c r="PY503" i="2"/>
  <c r="PX503" i="2"/>
  <c r="PW503" i="2"/>
  <c r="PV503" i="2"/>
  <c r="PU503" i="2"/>
  <c r="PT503" i="2"/>
  <c r="PS503" i="2"/>
  <c r="QF502" i="2"/>
  <c r="QE502" i="2"/>
  <c r="QD502" i="2"/>
  <c r="BF25" i="55" s="1"/>
  <c r="QC502" i="2"/>
  <c r="BE25" i="55" s="1"/>
  <c r="QB502" i="2"/>
  <c r="BF25" i="50" s="1"/>
  <c r="QA502" i="2"/>
  <c r="BE25" i="50" s="1"/>
  <c r="PZ502" i="2"/>
  <c r="PY502" i="2"/>
  <c r="PX502" i="2"/>
  <c r="PW502" i="2"/>
  <c r="PV502" i="2"/>
  <c r="PU502" i="2"/>
  <c r="PT502" i="2"/>
  <c r="PS502" i="2"/>
  <c r="QF501" i="2"/>
  <c r="QE501" i="2"/>
  <c r="QD501" i="2"/>
  <c r="BF24" i="55" s="1"/>
  <c r="QC501" i="2"/>
  <c r="BE24" i="55" s="1"/>
  <c r="QB501" i="2"/>
  <c r="BF24" i="50" s="1"/>
  <c r="QA501" i="2"/>
  <c r="BE24" i="50" s="1"/>
  <c r="PZ501" i="2"/>
  <c r="PY501" i="2"/>
  <c r="PX501" i="2"/>
  <c r="PW501" i="2"/>
  <c r="PV501" i="2"/>
  <c r="PU501" i="2"/>
  <c r="PT501" i="2"/>
  <c r="PS501" i="2"/>
  <c r="QF500" i="2"/>
  <c r="QE500" i="2"/>
  <c r="QD500" i="2"/>
  <c r="BF23" i="55" s="1"/>
  <c r="QC500" i="2"/>
  <c r="BE23" i="55" s="1"/>
  <c r="QB500" i="2"/>
  <c r="BF23" i="50" s="1"/>
  <c r="QA500" i="2"/>
  <c r="BE23" i="50" s="1"/>
  <c r="PZ500" i="2"/>
  <c r="PY500" i="2"/>
  <c r="PX500" i="2"/>
  <c r="PW500" i="2"/>
  <c r="PV500" i="2"/>
  <c r="PU500" i="2"/>
  <c r="PT500" i="2"/>
  <c r="PS500" i="2"/>
  <c r="QF499" i="2"/>
  <c r="QE499" i="2"/>
  <c r="QD499" i="2"/>
  <c r="BF22" i="55" s="1"/>
  <c r="QC499" i="2"/>
  <c r="BE22" i="55" s="1"/>
  <c r="QB499" i="2"/>
  <c r="BF22" i="50" s="1"/>
  <c r="QA499" i="2"/>
  <c r="BE22" i="50" s="1"/>
  <c r="PZ499" i="2"/>
  <c r="PY499" i="2"/>
  <c r="PX499" i="2"/>
  <c r="PW499" i="2"/>
  <c r="PV499" i="2"/>
  <c r="PU499" i="2"/>
  <c r="PT499" i="2"/>
  <c r="PS499" i="2"/>
  <c r="QF498" i="2"/>
  <c r="QE498" i="2"/>
  <c r="QD498" i="2"/>
  <c r="BF21" i="55" s="1"/>
  <c r="QC498" i="2"/>
  <c r="BE21" i="55" s="1"/>
  <c r="QB498" i="2"/>
  <c r="BF21" i="50" s="1"/>
  <c r="QA498" i="2"/>
  <c r="BE21" i="50" s="1"/>
  <c r="PZ498" i="2"/>
  <c r="PY498" i="2"/>
  <c r="PX498" i="2"/>
  <c r="PW498" i="2"/>
  <c r="PV498" i="2"/>
  <c r="PU498" i="2"/>
  <c r="PT498" i="2"/>
  <c r="PS498" i="2"/>
  <c r="QF497" i="2"/>
  <c r="QE497" i="2"/>
  <c r="QD497" i="2"/>
  <c r="BF20" i="55" s="1"/>
  <c r="QC497" i="2"/>
  <c r="BE20" i="55" s="1"/>
  <c r="QB497" i="2"/>
  <c r="BF20" i="50" s="1"/>
  <c r="QA497" i="2"/>
  <c r="BE20" i="50" s="1"/>
  <c r="PZ497" i="2"/>
  <c r="PY497" i="2"/>
  <c r="PX497" i="2"/>
  <c r="PW497" i="2"/>
  <c r="PV497" i="2"/>
  <c r="PU497" i="2"/>
  <c r="PT497" i="2"/>
  <c r="PS497" i="2"/>
  <c r="QF496" i="2"/>
  <c r="QE496" i="2"/>
  <c r="QD496" i="2"/>
  <c r="BF19" i="55" s="1"/>
  <c r="QC496" i="2"/>
  <c r="BE19" i="55" s="1"/>
  <c r="QB496" i="2"/>
  <c r="BF19" i="50" s="1"/>
  <c r="QA496" i="2"/>
  <c r="BE19" i="50" s="1"/>
  <c r="PZ496" i="2"/>
  <c r="PY496" i="2"/>
  <c r="PX496" i="2"/>
  <c r="PW496" i="2"/>
  <c r="PV496" i="2"/>
  <c r="PU496" i="2"/>
  <c r="PT496" i="2"/>
  <c r="PS496" i="2"/>
  <c r="QF495" i="2"/>
  <c r="QE495" i="2"/>
  <c r="QD495" i="2"/>
  <c r="BF18" i="55" s="1"/>
  <c r="QC495" i="2"/>
  <c r="BE18" i="55" s="1"/>
  <c r="QB495" i="2"/>
  <c r="BF18" i="50" s="1"/>
  <c r="QA495" i="2"/>
  <c r="BE18" i="50" s="1"/>
  <c r="PZ495" i="2"/>
  <c r="PY495" i="2"/>
  <c r="PX495" i="2"/>
  <c r="PW495" i="2"/>
  <c r="PV495" i="2"/>
  <c r="PU495" i="2"/>
  <c r="PT495" i="2"/>
  <c r="PS495" i="2"/>
  <c r="QF494" i="2"/>
  <c r="QE494" i="2"/>
  <c r="QD494" i="2"/>
  <c r="BF17" i="55" s="1"/>
  <c r="QC494" i="2"/>
  <c r="BE17" i="55" s="1"/>
  <c r="QB494" i="2"/>
  <c r="BF17" i="50" s="1"/>
  <c r="QA494" i="2"/>
  <c r="BE17" i="50" s="1"/>
  <c r="PZ494" i="2"/>
  <c r="PY494" i="2"/>
  <c r="PX494" i="2"/>
  <c r="PW494" i="2"/>
  <c r="PV494" i="2"/>
  <c r="PU494" i="2"/>
  <c r="PT494" i="2"/>
  <c r="PS494" i="2"/>
  <c r="QF493" i="2"/>
  <c r="QE493" i="2"/>
  <c r="QD493" i="2"/>
  <c r="BF16" i="55" s="1"/>
  <c r="QC493" i="2"/>
  <c r="BE16" i="55" s="1"/>
  <c r="QB493" i="2"/>
  <c r="BF16" i="50" s="1"/>
  <c r="QA493" i="2"/>
  <c r="BE16" i="50" s="1"/>
  <c r="PZ493" i="2"/>
  <c r="PY493" i="2"/>
  <c r="PX493" i="2"/>
  <c r="PW493" i="2"/>
  <c r="PV493" i="2"/>
  <c r="PU493" i="2"/>
  <c r="PT493" i="2"/>
  <c r="PS493" i="2"/>
  <c r="QF492" i="2"/>
  <c r="QE492" i="2"/>
  <c r="QD492" i="2"/>
  <c r="BF15" i="55" s="1"/>
  <c r="QC492" i="2"/>
  <c r="BE15" i="55" s="1"/>
  <c r="QB492" i="2"/>
  <c r="BF15" i="50" s="1"/>
  <c r="QA492" i="2"/>
  <c r="BE15" i="50" s="1"/>
  <c r="PZ492" i="2"/>
  <c r="PY492" i="2"/>
  <c r="PX492" i="2"/>
  <c r="PW492" i="2"/>
  <c r="PV492" i="2"/>
  <c r="PU492" i="2"/>
  <c r="PT492" i="2"/>
  <c r="PS492" i="2"/>
  <c r="QF491" i="2"/>
  <c r="QE491" i="2"/>
  <c r="QD491" i="2"/>
  <c r="BF14" i="55" s="1"/>
  <c r="QC491" i="2"/>
  <c r="BE14" i="55" s="1"/>
  <c r="QB491" i="2"/>
  <c r="BF14" i="50" s="1"/>
  <c r="QA491" i="2"/>
  <c r="BE14" i="50" s="1"/>
  <c r="PZ491" i="2"/>
  <c r="PY491" i="2"/>
  <c r="PX491" i="2"/>
  <c r="PW491" i="2"/>
  <c r="PV491" i="2"/>
  <c r="PU491" i="2"/>
  <c r="PT491" i="2"/>
  <c r="PS491" i="2"/>
  <c r="QF490" i="2"/>
  <c r="QE490" i="2"/>
  <c r="QD490" i="2"/>
  <c r="BF13" i="55" s="1"/>
  <c r="QC490" i="2"/>
  <c r="BE13" i="55" s="1"/>
  <c r="QB490" i="2"/>
  <c r="BF13" i="50" s="1"/>
  <c r="QA490" i="2"/>
  <c r="BE13" i="50" s="1"/>
  <c r="PZ490" i="2"/>
  <c r="PY490" i="2"/>
  <c r="PX490" i="2"/>
  <c r="PW490" i="2"/>
  <c r="PV490" i="2"/>
  <c r="PU490" i="2"/>
  <c r="PT490" i="2"/>
  <c r="PS490" i="2"/>
  <c r="QF489" i="2"/>
  <c r="QE489" i="2"/>
  <c r="QD489" i="2"/>
  <c r="BF12" i="55" s="1"/>
  <c r="QC489" i="2"/>
  <c r="BE12" i="55" s="1"/>
  <c r="QB489" i="2"/>
  <c r="BF12" i="50" s="1"/>
  <c r="QA489" i="2"/>
  <c r="BE12" i="50" s="1"/>
  <c r="PZ489" i="2"/>
  <c r="PY489" i="2"/>
  <c r="PX489" i="2"/>
  <c r="PW489" i="2"/>
  <c r="PV489" i="2"/>
  <c r="PU489" i="2"/>
  <c r="PT489" i="2"/>
  <c r="PS489" i="2"/>
  <c r="QF488" i="2"/>
  <c r="QE488" i="2"/>
  <c r="QD488" i="2"/>
  <c r="BF11" i="55" s="1"/>
  <c r="QC488" i="2"/>
  <c r="BE11" i="55" s="1"/>
  <c r="QB488" i="2"/>
  <c r="BF11" i="50" s="1"/>
  <c r="QA488" i="2"/>
  <c r="BE11" i="50" s="1"/>
  <c r="PZ488" i="2"/>
  <c r="PY488" i="2"/>
  <c r="PX488" i="2"/>
  <c r="PW488" i="2"/>
  <c r="PV488" i="2"/>
  <c r="PU488" i="2"/>
  <c r="PT488" i="2"/>
  <c r="PS488" i="2"/>
  <c r="QF487" i="2"/>
  <c r="QE487" i="2"/>
  <c r="QD487" i="2"/>
  <c r="BF10" i="55" s="1"/>
  <c r="QC487" i="2"/>
  <c r="BE10" i="55" s="1"/>
  <c r="QB487" i="2"/>
  <c r="BF10" i="50" s="1"/>
  <c r="QA487" i="2"/>
  <c r="BE10" i="50" s="1"/>
  <c r="PZ487" i="2"/>
  <c r="PY487" i="2"/>
  <c r="PX487" i="2"/>
  <c r="PW487" i="2"/>
  <c r="PV487" i="2"/>
  <c r="PU487" i="2"/>
  <c r="PT487" i="2"/>
  <c r="PS487" i="2"/>
  <c r="QF486" i="2"/>
  <c r="QE486" i="2"/>
  <c r="QD486" i="2"/>
  <c r="BF9" i="55" s="1"/>
  <c r="QC486" i="2"/>
  <c r="BE9" i="55" s="1"/>
  <c r="QB486" i="2"/>
  <c r="BF9" i="50" s="1"/>
  <c r="QA486" i="2"/>
  <c r="BE9" i="50" s="1"/>
  <c r="PZ486" i="2"/>
  <c r="PY486" i="2"/>
  <c r="PX486" i="2"/>
  <c r="PW486" i="2"/>
  <c r="PV486" i="2"/>
  <c r="PU486" i="2"/>
  <c r="PT486" i="2"/>
  <c r="PS486" i="2"/>
  <c r="QF485" i="2"/>
  <c r="QE485" i="2"/>
  <c r="QD485" i="2"/>
  <c r="BF8" i="55" s="1"/>
  <c r="QC485" i="2"/>
  <c r="BE8" i="55" s="1"/>
  <c r="QB485" i="2"/>
  <c r="BF8" i="50" s="1"/>
  <c r="QA485" i="2"/>
  <c r="BE8" i="50" s="1"/>
  <c r="PZ485" i="2"/>
  <c r="PY485" i="2"/>
  <c r="PX485" i="2"/>
  <c r="PW485" i="2"/>
  <c r="PV485" i="2"/>
  <c r="PU485" i="2"/>
  <c r="PT485" i="2"/>
  <c r="PS485" i="2"/>
  <c r="PP521" i="2"/>
  <c r="PO521" i="2"/>
  <c r="PN521" i="2"/>
  <c r="PM521" i="2"/>
  <c r="PL521" i="2"/>
  <c r="BD44" i="50" s="1"/>
  <c r="PK521" i="2"/>
  <c r="BC44" i="50" s="1"/>
  <c r="PJ521" i="2"/>
  <c r="PI521" i="2"/>
  <c r="PH521" i="2"/>
  <c r="PG521" i="2"/>
  <c r="PF521" i="2"/>
  <c r="PE521" i="2"/>
  <c r="PD521" i="2"/>
  <c r="PC521" i="2"/>
  <c r="PP520" i="2"/>
  <c r="PO520" i="2"/>
  <c r="PN520" i="2"/>
  <c r="PM520" i="2"/>
  <c r="PL520" i="2"/>
  <c r="BD43" i="50" s="1"/>
  <c r="PK520" i="2"/>
  <c r="BC43" i="50" s="1"/>
  <c r="PJ520" i="2"/>
  <c r="PI520" i="2"/>
  <c r="PH520" i="2"/>
  <c r="PG520" i="2"/>
  <c r="PF520" i="2"/>
  <c r="PE520" i="2"/>
  <c r="PD520" i="2"/>
  <c r="PC520" i="2"/>
  <c r="PP519" i="2"/>
  <c r="PO519" i="2"/>
  <c r="PN519" i="2"/>
  <c r="PM519" i="2"/>
  <c r="PL519" i="2"/>
  <c r="BD42" i="50" s="1"/>
  <c r="PK519" i="2"/>
  <c r="BC42" i="50" s="1"/>
  <c r="PJ519" i="2"/>
  <c r="PI519" i="2"/>
  <c r="PH519" i="2"/>
  <c r="PG519" i="2"/>
  <c r="PF519" i="2"/>
  <c r="PE519" i="2"/>
  <c r="PD519" i="2"/>
  <c r="PC519" i="2"/>
  <c r="PP518" i="2"/>
  <c r="PO518" i="2"/>
  <c r="PN518" i="2"/>
  <c r="PM518" i="2"/>
  <c r="PL518" i="2"/>
  <c r="BD41" i="50" s="1"/>
  <c r="PK518" i="2"/>
  <c r="BC41" i="50" s="1"/>
  <c r="PJ518" i="2"/>
  <c r="PI518" i="2"/>
  <c r="PH518" i="2"/>
  <c r="PG518" i="2"/>
  <c r="PF518" i="2"/>
  <c r="PE518" i="2"/>
  <c r="PD518" i="2"/>
  <c r="PC518" i="2"/>
  <c r="PP517" i="2"/>
  <c r="PO517" i="2"/>
  <c r="PN517" i="2"/>
  <c r="PM517" i="2"/>
  <c r="PL517" i="2"/>
  <c r="BD40" i="50" s="1"/>
  <c r="PK517" i="2"/>
  <c r="BC40" i="50" s="1"/>
  <c r="PJ517" i="2"/>
  <c r="PI517" i="2"/>
  <c r="PH517" i="2"/>
  <c r="PG517" i="2"/>
  <c r="PF517" i="2"/>
  <c r="PE517" i="2"/>
  <c r="PD517" i="2"/>
  <c r="PC517" i="2"/>
  <c r="PP516" i="2"/>
  <c r="PO516" i="2"/>
  <c r="PN516" i="2"/>
  <c r="PM516" i="2"/>
  <c r="PL516" i="2"/>
  <c r="BD39" i="50" s="1"/>
  <c r="PK516" i="2"/>
  <c r="BC39" i="50" s="1"/>
  <c r="PJ516" i="2"/>
  <c r="PI516" i="2"/>
  <c r="PH516" i="2"/>
  <c r="PG516" i="2"/>
  <c r="PF516" i="2"/>
  <c r="PE516" i="2"/>
  <c r="PD516" i="2"/>
  <c r="PC516" i="2"/>
  <c r="PP515" i="2"/>
  <c r="PO515" i="2"/>
  <c r="PN515" i="2"/>
  <c r="PM515" i="2"/>
  <c r="PL515" i="2"/>
  <c r="BD38" i="50" s="1"/>
  <c r="PK515" i="2"/>
  <c r="BC38" i="50" s="1"/>
  <c r="PJ515" i="2"/>
  <c r="PI515" i="2"/>
  <c r="PH515" i="2"/>
  <c r="PG515" i="2"/>
  <c r="PF515" i="2"/>
  <c r="PE515" i="2"/>
  <c r="PD515" i="2"/>
  <c r="PC515" i="2"/>
  <c r="PP514" i="2"/>
  <c r="PO514" i="2"/>
  <c r="PN514" i="2"/>
  <c r="PM514" i="2"/>
  <c r="PL514" i="2"/>
  <c r="BD37" i="50" s="1"/>
  <c r="PK514" i="2"/>
  <c r="BC37" i="50" s="1"/>
  <c r="PJ514" i="2"/>
  <c r="PI514" i="2"/>
  <c r="PH514" i="2"/>
  <c r="PG514" i="2"/>
  <c r="PF514" i="2"/>
  <c r="PE514" i="2"/>
  <c r="PD514" i="2"/>
  <c r="PC514" i="2"/>
  <c r="PP513" i="2"/>
  <c r="PO513" i="2"/>
  <c r="PN513" i="2"/>
  <c r="PM513" i="2"/>
  <c r="PL513" i="2"/>
  <c r="PK513" i="2"/>
  <c r="PJ513" i="2"/>
  <c r="PI513" i="2"/>
  <c r="PH513" i="2"/>
  <c r="PG513" i="2"/>
  <c r="PF513" i="2"/>
  <c r="PE513" i="2"/>
  <c r="PD513" i="2"/>
  <c r="PC513" i="2"/>
  <c r="PP512" i="2"/>
  <c r="PO512" i="2"/>
  <c r="PN512" i="2"/>
  <c r="PM512" i="2"/>
  <c r="PL512" i="2"/>
  <c r="PK512" i="2"/>
  <c r="PJ512" i="2"/>
  <c r="PI512" i="2"/>
  <c r="PH512" i="2"/>
  <c r="PG512" i="2"/>
  <c r="PF512" i="2"/>
  <c r="PE512" i="2"/>
  <c r="PD512" i="2"/>
  <c r="PC512" i="2"/>
  <c r="PP511" i="2"/>
  <c r="PO511" i="2"/>
  <c r="PN511" i="2"/>
  <c r="PM511" i="2"/>
  <c r="PL511" i="2"/>
  <c r="PK511" i="2"/>
  <c r="PJ511" i="2"/>
  <c r="PI511" i="2"/>
  <c r="PH511" i="2"/>
  <c r="PG511" i="2"/>
  <c r="PF511" i="2"/>
  <c r="PE511" i="2"/>
  <c r="PD511" i="2"/>
  <c r="PC511" i="2"/>
  <c r="PP510" i="2"/>
  <c r="PO510" i="2"/>
  <c r="PN510" i="2"/>
  <c r="PM510" i="2"/>
  <c r="PL510" i="2"/>
  <c r="PK510" i="2"/>
  <c r="PJ510" i="2"/>
  <c r="PI510" i="2"/>
  <c r="PH510" i="2"/>
  <c r="PG510" i="2"/>
  <c r="PF510" i="2"/>
  <c r="PE510" i="2"/>
  <c r="PD510" i="2"/>
  <c r="PC510" i="2"/>
  <c r="PP509" i="2"/>
  <c r="PO509" i="2"/>
  <c r="PN509" i="2"/>
  <c r="PM509" i="2"/>
  <c r="PL509" i="2"/>
  <c r="PK509" i="2"/>
  <c r="PJ509" i="2"/>
  <c r="PI509" i="2"/>
  <c r="PH509" i="2"/>
  <c r="PG509" i="2"/>
  <c r="PF509" i="2"/>
  <c r="PE509" i="2"/>
  <c r="PD509" i="2"/>
  <c r="PC509" i="2"/>
  <c r="PP508" i="2"/>
  <c r="PO508" i="2"/>
  <c r="PN508" i="2"/>
  <c r="PM508" i="2"/>
  <c r="PL508" i="2"/>
  <c r="PK508" i="2"/>
  <c r="PJ508" i="2"/>
  <c r="PI508" i="2"/>
  <c r="PH508" i="2"/>
  <c r="PG508" i="2"/>
  <c r="PF508" i="2"/>
  <c r="PE508" i="2"/>
  <c r="PD508" i="2"/>
  <c r="PC508" i="2"/>
  <c r="PP507" i="2"/>
  <c r="PO507" i="2"/>
  <c r="PN507" i="2"/>
  <c r="PM507" i="2"/>
  <c r="PL507" i="2"/>
  <c r="PK507" i="2"/>
  <c r="PJ507" i="2"/>
  <c r="PI507" i="2"/>
  <c r="PH507" i="2"/>
  <c r="PG507" i="2"/>
  <c r="PF507" i="2"/>
  <c r="PE507" i="2"/>
  <c r="PD507" i="2"/>
  <c r="PC507" i="2"/>
  <c r="PP506" i="2"/>
  <c r="PO506" i="2"/>
  <c r="PN506" i="2"/>
  <c r="PM506" i="2"/>
  <c r="PL506" i="2"/>
  <c r="PK506" i="2"/>
  <c r="PJ506" i="2"/>
  <c r="PI506" i="2"/>
  <c r="PH506" i="2"/>
  <c r="PG506" i="2"/>
  <c r="PF506" i="2"/>
  <c r="PE506" i="2"/>
  <c r="PD506" i="2"/>
  <c r="PC506" i="2"/>
  <c r="PP505" i="2"/>
  <c r="PO505" i="2"/>
  <c r="PN505" i="2"/>
  <c r="PM505" i="2"/>
  <c r="PL505" i="2"/>
  <c r="PK505" i="2"/>
  <c r="PJ505" i="2"/>
  <c r="PI505" i="2"/>
  <c r="PH505" i="2"/>
  <c r="PG505" i="2"/>
  <c r="PF505" i="2"/>
  <c r="PE505" i="2"/>
  <c r="PD505" i="2"/>
  <c r="PC505" i="2"/>
  <c r="PP504" i="2"/>
  <c r="PO504" i="2"/>
  <c r="PN504" i="2"/>
  <c r="PM504" i="2"/>
  <c r="PL504" i="2"/>
  <c r="PK504" i="2"/>
  <c r="PJ504" i="2"/>
  <c r="PI504" i="2"/>
  <c r="PH504" i="2"/>
  <c r="PG504" i="2"/>
  <c r="PF504" i="2"/>
  <c r="PE504" i="2"/>
  <c r="PD504" i="2"/>
  <c r="PC504" i="2"/>
  <c r="PP503" i="2"/>
  <c r="PO503" i="2"/>
  <c r="PN503" i="2"/>
  <c r="PM503" i="2"/>
  <c r="PL503" i="2"/>
  <c r="PK503" i="2"/>
  <c r="PJ503" i="2"/>
  <c r="PI503" i="2"/>
  <c r="PH503" i="2"/>
  <c r="PG503" i="2"/>
  <c r="PF503" i="2"/>
  <c r="PE503" i="2"/>
  <c r="PD503" i="2"/>
  <c r="PC503" i="2"/>
  <c r="PP502" i="2"/>
  <c r="PO502" i="2"/>
  <c r="PN502" i="2"/>
  <c r="PM502" i="2"/>
  <c r="PL502" i="2"/>
  <c r="PK502" i="2"/>
  <c r="PJ502" i="2"/>
  <c r="PI502" i="2"/>
  <c r="PH502" i="2"/>
  <c r="PG502" i="2"/>
  <c r="PF502" i="2"/>
  <c r="PE502" i="2"/>
  <c r="PD502" i="2"/>
  <c r="PC502" i="2"/>
  <c r="PP501" i="2"/>
  <c r="PO501" i="2"/>
  <c r="PN501" i="2"/>
  <c r="PM501" i="2"/>
  <c r="PL501" i="2"/>
  <c r="PK501" i="2"/>
  <c r="PJ501" i="2"/>
  <c r="PI501" i="2"/>
  <c r="PH501" i="2"/>
  <c r="PG501" i="2"/>
  <c r="PF501" i="2"/>
  <c r="PE501" i="2"/>
  <c r="PD501" i="2"/>
  <c r="PC501" i="2"/>
  <c r="PP500" i="2"/>
  <c r="PO500" i="2"/>
  <c r="PN500" i="2"/>
  <c r="PM500" i="2"/>
  <c r="PL500" i="2"/>
  <c r="PK500" i="2"/>
  <c r="PJ500" i="2"/>
  <c r="PI500" i="2"/>
  <c r="PH500" i="2"/>
  <c r="PG500" i="2"/>
  <c r="PF500" i="2"/>
  <c r="PE500" i="2"/>
  <c r="PD500" i="2"/>
  <c r="PC500" i="2"/>
  <c r="PP499" i="2"/>
  <c r="PO499" i="2"/>
  <c r="PN499" i="2"/>
  <c r="PM499" i="2"/>
  <c r="PL499" i="2"/>
  <c r="PK499" i="2"/>
  <c r="PJ499" i="2"/>
  <c r="PI499" i="2"/>
  <c r="PH499" i="2"/>
  <c r="PG499" i="2"/>
  <c r="PF499" i="2"/>
  <c r="PE499" i="2"/>
  <c r="PD499" i="2"/>
  <c r="PC499" i="2"/>
  <c r="PP498" i="2"/>
  <c r="PO498" i="2"/>
  <c r="PN498" i="2"/>
  <c r="PM498" i="2"/>
  <c r="PL498" i="2"/>
  <c r="PK498" i="2"/>
  <c r="PJ498" i="2"/>
  <c r="PI498" i="2"/>
  <c r="PH498" i="2"/>
  <c r="PG498" i="2"/>
  <c r="PF498" i="2"/>
  <c r="PE498" i="2"/>
  <c r="PD498" i="2"/>
  <c r="PC498" i="2"/>
  <c r="PP497" i="2"/>
  <c r="PO497" i="2"/>
  <c r="PN497" i="2"/>
  <c r="PM497" i="2"/>
  <c r="PL497" i="2"/>
  <c r="PK497" i="2"/>
  <c r="PJ497" i="2"/>
  <c r="PI497" i="2"/>
  <c r="PH497" i="2"/>
  <c r="PG497" i="2"/>
  <c r="PF497" i="2"/>
  <c r="PE497" i="2"/>
  <c r="PD497" i="2"/>
  <c r="PC497" i="2"/>
  <c r="PP496" i="2"/>
  <c r="PO496" i="2"/>
  <c r="PN496" i="2"/>
  <c r="PM496" i="2"/>
  <c r="PL496" i="2"/>
  <c r="PK496" i="2"/>
  <c r="PJ496" i="2"/>
  <c r="PI496" i="2"/>
  <c r="PH496" i="2"/>
  <c r="PG496" i="2"/>
  <c r="PF496" i="2"/>
  <c r="PE496" i="2"/>
  <c r="PD496" i="2"/>
  <c r="PC496" i="2"/>
  <c r="PP495" i="2"/>
  <c r="PO495" i="2"/>
  <c r="PN495" i="2"/>
  <c r="PM495" i="2"/>
  <c r="PL495" i="2"/>
  <c r="PK495" i="2"/>
  <c r="PJ495" i="2"/>
  <c r="PI495" i="2"/>
  <c r="PH495" i="2"/>
  <c r="PG495" i="2"/>
  <c r="PF495" i="2"/>
  <c r="PE495" i="2"/>
  <c r="PD495" i="2"/>
  <c r="PC495" i="2"/>
  <c r="PP494" i="2"/>
  <c r="PO494" i="2"/>
  <c r="PN494" i="2"/>
  <c r="PM494" i="2"/>
  <c r="PL494" i="2"/>
  <c r="PK494" i="2"/>
  <c r="PJ494" i="2"/>
  <c r="PI494" i="2"/>
  <c r="PH494" i="2"/>
  <c r="PG494" i="2"/>
  <c r="PF494" i="2"/>
  <c r="PE494" i="2"/>
  <c r="PD494" i="2"/>
  <c r="PC494" i="2"/>
  <c r="PP493" i="2"/>
  <c r="PO493" i="2"/>
  <c r="PN493" i="2"/>
  <c r="PM493" i="2"/>
  <c r="PL493" i="2"/>
  <c r="PK493" i="2"/>
  <c r="PJ493" i="2"/>
  <c r="PI493" i="2"/>
  <c r="PH493" i="2"/>
  <c r="PG493" i="2"/>
  <c r="PF493" i="2"/>
  <c r="PE493" i="2"/>
  <c r="PD493" i="2"/>
  <c r="PC493" i="2"/>
  <c r="PP492" i="2"/>
  <c r="PO492" i="2"/>
  <c r="PN492" i="2"/>
  <c r="PM492" i="2"/>
  <c r="PL492" i="2"/>
  <c r="PK492" i="2"/>
  <c r="PJ492" i="2"/>
  <c r="PI492" i="2"/>
  <c r="PH492" i="2"/>
  <c r="PG492" i="2"/>
  <c r="PF492" i="2"/>
  <c r="PE492" i="2"/>
  <c r="PD492" i="2"/>
  <c r="PC492" i="2"/>
  <c r="PP491" i="2"/>
  <c r="PO491" i="2"/>
  <c r="PN491" i="2"/>
  <c r="PM491" i="2"/>
  <c r="PL491" i="2"/>
  <c r="PK491" i="2"/>
  <c r="PJ491" i="2"/>
  <c r="PI491" i="2"/>
  <c r="PH491" i="2"/>
  <c r="PG491" i="2"/>
  <c r="PF491" i="2"/>
  <c r="PE491" i="2"/>
  <c r="PD491" i="2"/>
  <c r="PC491" i="2"/>
  <c r="PP490" i="2"/>
  <c r="PO490" i="2"/>
  <c r="PN490" i="2"/>
  <c r="PM490" i="2"/>
  <c r="PL490" i="2"/>
  <c r="PK490" i="2"/>
  <c r="PJ490" i="2"/>
  <c r="PI490" i="2"/>
  <c r="PH490" i="2"/>
  <c r="PG490" i="2"/>
  <c r="PF490" i="2"/>
  <c r="PE490" i="2"/>
  <c r="PD490" i="2"/>
  <c r="PC490" i="2"/>
  <c r="PP489" i="2"/>
  <c r="PO489" i="2"/>
  <c r="PN489" i="2"/>
  <c r="PM489" i="2"/>
  <c r="PL489" i="2"/>
  <c r="PK489" i="2"/>
  <c r="PJ489" i="2"/>
  <c r="PI489" i="2"/>
  <c r="PH489" i="2"/>
  <c r="PG489" i="2"/>
  <c r="PF489" i="2"/>
  <c r="PE489" i="2"/>
  <c r="PD489" i="2"/>
  <c r="PC489" i="2"/>
  <c r="PP488" i="2"/>
  <c r="PO488" i="2"/>
  <c r="PN488" i="2"/>
  <c r="PM488" i="2"/>
  <c r="PL488" i="2"/>
  <c r="PK488" i="2"/>
  <c r="PJ488" i="2"/>
  <c r="PI488" i="2"/>
  <c r="PH488" i="2"/>
  <c r="PG488" i="2"/>
  <c r="PF488" i="2"/>
  <c r="PE488" i="2"/>
  <c r="PD488" i="2"/>
  <c r="PC488" i="2"/>
  <c r="PP487" i="2"/>
  <c r="PO487" i="2"/>
  <c r="PN487" i="2"/>
  <c r="PM487" i="2"/>
  <c r="PL487" i="2"/>
  <c r="PK487" i="2"/>
  <c r="PJ487" i="2"/>
  <c r="PI487" i="2"/>
  <c r="PH487" i="2"/>
  <c r="PG487" i="2"/>
  <c r="PF487" i="2"/>
  <c r="PE487" i="2"/>
  <c r="PD487" i="2"/>
  <c r="PC487" i="2"/>
  <c r="PP486" i="2"/>
  <c r="PO486" i="2"/>
  <c r="PN486" i="2"/>
  <c r="PM486" i="2"/>
  <c r="PL486" i="2"/>
  <c r="PK486" i="2"/>
  <c r="PJ486" i="2"/>
  <c r="PI486" i="2"/>
  <c r="PH486" i="2"/>
  <c r="PG486" i="2"/>
  <c r="PF486" i="2"/>
  <c r="PE486" i="2"/>
  <c r="PD486" i="2"/>
  <c r="PC486" i="2"/>
  <c r="PP485" i="2"/>
  <c r="PO485" i="2"/>
  <c r="PN485" i="2"/>
  <c r="PM485" i="2"/>
  <c r="PL485" i="2"/>
  <c r="PK485" i="2"/>
  <c r="PJ485" i="2"/>
  <c r="PI485" i="2"/>
  <c r="PH485" i="2"/>
  <c r="PG485" i="2"/>
  <c r="PF485" i="2"/>
  <c r="PE485" i="2"/>
  <c r="PD485" i="2"/>
  <c r="PC485" i="2"/>
  <c r="OZ521" i="2"/>
  <c r="OY521" i="2"/>
  <c r="OX521" i="2"/>
  <c r="OW521" i="2"/>
  <c r="OV521" i="2"/>
  <c r="BB44" i="50" s="1"/>
  <c r="OU521" i="2"/>
  <c r="BA44" i="50" s="1"/>
  <c r="OT521" i="2"/>
  <c r="OS521" i="2"/>
  <c r="OR521" i="2"/>
  <c r="OQ521" i="2"/>
  <c r="OP521" i="2"/>
  <c r="OO521" i="2"/>
  <c r="ON521" i="2"/>
  <c r="OM521" i="2"/>
  <c r="OZ520" i="2"/>
  <c r="OY520" i="2"/>
  <c r="OX520" i="2"/>
  <c r="OW520" i="2"/>
  <c r="OV520" i="2"/>
  <c r="BB43" i="50" s="1"/>
  <c r="OU520" i="2"/>
  <c r="BA43" i="50" s="1"/>
  <c r="OT520" i="2"/>
  <c r="OS520" i="2"/>
  <c r="OR520" i="2"/>
  <c r="OQ520" i="2"/>
  <c r="OP520" i="2"/>
  <c r="OO520" i="2"/>
  <c r="ON520" i="2"/>
  <c r="OM520" i="2"/>
  <c r="OZ519" i="2"/>
  <c r="OY519" i="2"/>
  <c r="OX519" i="2"/>
  <c r="OW519" i="2"/>
  <c r="OV519" i="2"/>
  <c r="BB42" i="50" s="1"/>
  <c r="OU519" i="2"/>
  <c r="BA42" i="50" s="1"/>
  <c r="OT519" i="2"/>
  <c r="OS519" i="2"/>
  <c r="OR519" i="2"/>
  <c r="OQ519" i="2"/>
  <c r="OP519" i="2"/>
  <c r="OO519" i="2"/>
  <c r="ON519" i="2"/>
  <c r="OM519" i="2"/>
  <c r="OZ518" i="2"/>
  <c r="OY518" i="2"/>
  <c r="OX518" i="2"/>
  <c r="OW518" i="2"/>
  <c r="OV518" i="2"/>
  <c r="BB41" i="50" s="1"/>
  <c r="OU518" i="2"/>
  <c r="BA41" i="50" s="1"/>
  <c r="OT518" i="2"/>
  <c r="OS518" i="2"/>
  <c r="OR518" i="2"/>
  <c r="OQ518" i="2"/>
  <c r="OP518" i="2"/>
  <c r="OO518" i="2"/>
  <c r="ON518" i="2"/>
  <c r="OM518" i="2"/>
  <c r="OZ517" i="2"/>
  <c r="OY517" i="2"/>
  <c r="OX517" i="2"/>
  <c r="OW517" i="2"/>
  <c r="OV517" i="2"/>
  <c r="BB40" i="50" s="1"/>
  <c r="OU517" i="2"/>
  <c r="BA40" i="50" s="1"/>
  <c r="OT517" i="2"/>
  <c r="OS517" i="2"/>
  <c r="OR517" i="2"/>
  <c r="OQ517" i="2"/>
  <c r="OP517" i="2"/>
  <c r="OO517" i="2"/>
  <c r="ON517" i="2"/>
  <c r="OM517" i="2"/>
  <c r="OZ516" i="2"/>
  <c r="OY516" i="2"/>
  <c r="OX516" i="2"/>
  <c r="OW516" i="2"/>
  <c r="OV516" i="2"/>
  <c r="BB39" i="50" s="1"/>
  <c r="OU516" i="2"/>
  <c r="BA39" i="50" s="1"/>
  <c r="OT516" i="2"/>
  <c r="OS516" i="2"/>
  <c r="OR516" i="2"/>
  <c r="OQ516" i="2"/>
  <c r="OP516" i="2"/>
  <c r="OO516" i="2"/>
  <c r="ON516" i="2"/>
  <c r="OM516" i="2"/>
  <c r="OZ515" i="2"/>
  <c r="OY515" i="2"/>
  <c r="OX515" i="2"/>
  <c r="OW515" i="2"/>
  <c r="OV515" i="2"/>
  <c r="BB38" i="50" s="1"/>
  <c r="OU515" i="2"/>
  <c r="BA38" i="50" s="1"/>
  <c r="OT515" i="2"/>
  <c r="OS515" i="2"/>
  <c r="OR515" i="2"/>
  <c r="OQ515" i="2"/>
  <c r="OP515" i="2"/>
  <c r="OO515" i="2"/>
  <c r="ON515" i="2"/>
  <c r="OM515" i="2"/>
  <c r="OZ514" i="2"/>
  <c r="OY514" i="2"/>
  <c r="OX514" i="2"/>
  <c r="OW514" i="2"/>
  <c r="OV514" i="2"/>
  <c r="BB37" i="50" s="1"/>
  <c r="OU514" i="2"/>
  <c r="BA37" i="50" s="1"/>
  <c r="OT514" i="2"/>
  <c r="OS514" i="2"/>
  <c r="OR514" i="2"/>
  <c r="OQ514" i="2"/>
  <c r="OP514" i="2"/>
  <c r="OO514" i="2"/>
  <c r="ON514" i="2"/>
  <c r="OM514" i="2"/>
  <c r="OZ513" i="2"/>
  <c r="OY513" i="2"/>
  <c r="OX513" i="2"/>
  <c r="OW513" i="2"/>
  <c r="OV513" i="2"/>
  <c r="OU513" i="2"/>
  <c r="OT513" i="2"/>
  <c r="OS513" i="2"/>
  <c r="OR513" i="2"/>
  <c r="OQ513" i="2"/>
  <c r="OP513" i="2"/>
  <c r="OO513" i="2"/>
  <c r="ON513" i="2"/>
  <c r="OM513" i="2"/>
  <c r="OZ512" i="2"/>
  <c r="OY512" i="2"/>
  <c r="OX512" i="2"/>
  <c r="OW512" i="2"/>
  <c r="OV512" i="2"/>
  <c r="OU512" i="2"/>
  <c r="OT512" i="2"/>
  <c r="OS512" i="2"/>
  <c r="OR512" i="2"/>
  <c r="OQ512" i="2"/>
  <c r="OP512" i="2"/>
  <c r="OO512" i="2"/>
  <c r="ON512" i="2"/>
  <c r="OM512" i="2"/>
  <c r="OZ511" i="2"/>
  <c r="OY511" i="2"/>
  <c r="OX511" i="2"/>
  <c r="OW511" i="2"/>
  <c r="OV511" i="2"/>
  <c r="OU511" i="2"/>
  <c r="OT511" i="2"/>
  <c r="OS511" i="2"/>
  <c r="OR511" i="2"/>
  <c r="OQ511" i="2"/>
  <c r="OP511" i="2"/>
  <c r="OO511" i="2"/>
  <c r="ON511" i="2"/>
  <c r="OM511" i="2"/>
  <c r="OZ510" i="2"/>
  <c r="OY510" i="2"/>
  <c r="OX510" i="2"/>
  <c r="OW510" i="2"/>
  <c r="OV510" i="2"/>
  <c r="OU510" i="2"/>
  <c r="OT510" i="2"/>
  <c r="OS510" i="2"/>
  <c r="OR510" i="2"/>
  <c r="OQ510" i="2"/>
  <c r="OP510" i="2"/>
  <c r="OO510" i="2"/>
  <c r="ON510" i="2"/>
  <c r="OM510" i="2"/>
  <c r="OZ509" i="2"/>
  <c r="OY509" i="2"/>
  <c r="OX509" i="2"/>
  <c r="OW509" i="2"/>
  <c r="OV509" i="2"/>
  <c r="OU509" i="2"/>
  <c r="OT509" i="2"/>
  <c r="OS509" i="2"/>
  <c r="OR509" i="2"/>
  <c r="OQ509" i="2"/>
  <c r="OP509" i="2"/>
  <c r="OO509" i="2"/>
  <c r="ON509" i="2"/>
  <c r="OM509" i="2"/>
  <c r="OZ508" i="2"/>
  <c r="OY508" i="2"/>
  <c r="OX508" i="2"/>
  <c r="OW508" i="2"/>
  <c r="OV508" i="2"/>
  <c r="OU508" i="2"/>
  <c r="OT508" i="2"/>
  <c r="OS508" i="2"/>
  <c r="OR508" i="2"/>
  <c r="OQ508" i="2"/>
  <c r="OP508" i="2"/>
  <c r="OO508" i="2"/>
  <c r="ON508" i="2"/>
  <c r="OM508" i="2"/>
  <c r="OZ507" i="2"/>
  <c r="OY507" i="2"/>
  <c r="OX507" i="2"/>
  <c r="OW507" i="2"/>
  <c r="OV507" i="2"/>
  <c r="OU507" i="2"/>
  <c r="OT507" i="2"/>
  <c r="OS507" i="2"/>
  <c r="OR507" i="2"/>
  <c r="OQ507" i="2"/>
  <c r="OP507" i="2"/>
  <c r="OO507" i="2"/>
  <c r="ON507" i="2"/>
  <c r="OM507" i="2"/>
  <c r="OZ506" i="2"/>
  <c r="OY506" i="2"/>
  <c r="OX506" i="2"/>
  <c r="OW506" i="2"/>
  <c r="OV506" i="2"/>
  <c r="OU506" i="2"/>
  <c r="OT506" i="2"/>
  <c r="OS506" i="2"/>
  <c r="OR506" i="2"/>
  <c r="OQ506" i="2"/>
  <c r="OP506" i="2"/>
  <c r="OO506" i="2"/>
  <c r="ON506" i="2"/>
  <c r="OM506" i="2"/>
  <c r="OZ505" i="2"/>
  <c r="OY505" i="2"/>
  <c r="OX505" i="2"/>
  <c r="OW505" i="2"/>
  <c r="OV505" i="2"/>
  <c r="OU505" i="2"/>
  <c r="OT505" i="2"/>
  <c r="OS505" i="2"/>
  <c r="OR505" i="2"/>
  <c r="OQ505" i="2"/>
  <c r="OP505" i="2"/>
  <c r="OO505" i="2"/>
  <c r="ON505" i="2"/>
  <c r="OM505" i="2"/>
  <c r="OZ504" i="2"/>
  <c r="OY504" i="2"/>
  <c r="OX504" i="2"/>
  <c r="OW504" i="2"/>
  <c r="OV504" i="2"/>
  <c r="OU504" i="2"/>
  <c r="OT504" i="2"/>
  <c r="OS504" i="2"/>
  <c r="OR504" i="2"/>
  <c r="OQ504" i="2"/>
  <c r="OP504" i="2"/>
  <c r="OO504" i="2"/>
  <c r="ON504" i="2"/>
  <c r="OM504" i="2"/>
  <c r="OZ503" i="2"/>
  <c r="OY503" i="2"/>
  <c r="OX503" i="2"/>
  <c r="OW503" i="2"/>
  <c r="OV503" i="2"/>
  <c r="OU503" i="2"/>
  <c r="OT503" i="2"/>
  <c r="OS503" i="2"/>
  <c r="OR503" i="2"/>
  <c r="OQ503" i="2"/>
  <c r="OP503" i="2"/>
  <c r="OO503" i="2"/>
  <c r="ON503" i="2"/>
  <c r="OM503" i="2"/>
  <c r="OZ502" i="2"/>
  <c r="OY502" i="2"/>
  <c r="OX502" i="2"/>
  <c r="OW502" i="2"/>
  <c r="OV502" i="2"/>
  <c r="OU502" i="2"/>
  <c r="OT502" i="2"/>
  <c r="OS502" i="2"/>
  <c r="OR502" i="2"/>
  <c r="OQ502" i="2"/>
  <c r="OP502" i="2"/>
  <c r="OO502" i="2"/>
  <c r="ON502" i="2"/>
  <c r="OM502" i="2"/>
  <c r="OZ501" i="2"/>
  <c r="OY501" i="2"/>
  <c r="OX501" i="2"/>
  <c r="OW501" i="2"/>
  <c r="OV501" i="2"/>
  <c r="OU501" i="2"/>
  <c r="OT501" i="2"/>
  <c r="OS501" i="2"/>
  <c r="OR501" i="2"/>
  <c r="OQ501" i="2"/>
  <c r="OP501" i="2"/>
  <c r="OO501" i="2"/>
  <c r="ON501" i="2"/>
  <c r="OM501" i="2"/>
  <c r="OZ500" i="2"/>
  <c r="OY500" i="2"/>
  <c r="OX500" i="2"/>
  <c r="OW500" i="2"/>
  <c r="OV500" i="2"/>
  <c r="OU500" i="2"/>
  <c r="OT500" i="2"/>
  <c r="OS500" i="2"/>
  <c r="OR500" i="2"/>
  <c r="OQ500" i="2"/>
  <c r="OP500" i="2"/>
  <c r="OO500" i="2"/>
  <c r="ON500" i="2"/>
  <c r="OM500" i="2"/>
  <c r="OZ499" i="2"/>
  <c r="OY499" i="2"/>
  <c r="OX499" i="2"/>
  <c r="OW499" i="2"/>
  <c r="OV499" i="2"/>
  <c r="OU499" i="2"/>
  <c r="OT499" i="2"/>
  <c r="OS499" i="2"/>
  <c r="OR499" i="2"/>
  <c r="OQ499" i="2"/>
  <c r="OP499" i="2"/>
  <c r="OO499" i="2"/>
  <c r="ON499" i="2"/>
  <c r="OM499" i="2"/>
  <c r="OZ498" i="2"/>
  <c r="OY498" i="2"/>
  <c r="OX498" i="2"/>
  <c r="OW498" i="2"/>
  <c r="OV498" i="2"/>
  <c r="OU498" i="2"/>
  <c r="OT498" i="2"/>
  <c r="OS498" i="2"/>
  <c r="OR498" i="2"/>
  <c r="OQ498" i="2"/>
  <c r="OP498" i="2"/>
  <c r="OO498" i="2"/>
  <c r="ON498" i="2"/>
  <c r="OM498" i="2"/>
  <c r="OZ497" i="2"/>
  <c r="OY497" i="2"/>
  <c r="OX497" i="2"/>
  <c r="OW497" i="2"/>
  <c r="OV497" i="2"/>
  <c r="OU497" i="2"/>
  <c r="OT497" i="2"/>
  <c r="OS497" i="2"/>
  <c r="OR497" i="2"/>
  <c r="OQ497" i="2"/>
  <c r="OP497" i="2"/>
  <c r="OO497" i="2"/>
  <c r="ON497" i="2"/>
  <c r="OM497" i="2"/>
  <c r="OZ496" i="2"/>
  <c r="OY496" i="2"/>
  <c r="OX496" i="2"/>
  <c r="OW496" i="2"/>
  <c r="OV496" i="2"/>
  <c r="OU496" i="2"/>
  <c r="OT496" i="2"/>
  <c r="OS496" i="2"/>
  <c r="OR496" i="2"/>
  <c r="OQ496" i="2"/>
  <c r="OP496" i="2"/>
  <c r="OO496" i="2"/>
  <c r="ON496" i="2"/>
  <c r="OM496" i="2"/>
  <c r="OZ495" i="2"/>
  <c r="OY495" i="2"/>
  <c r="OX495" i="2"/>
  <c r="OW495" i="2"/>
  <c r="OV495" i="2"/>
  <c r="OU495" i="2"/>
  <c r="OT495" i="2"/>
  <c r="OS495" i="2"/>
  <c r="OR495" i="2"/>
  <c r="OQ495" i="2"/>
  <c r="OP495" i="2"/>
  <c r="OO495" i="2"/>
  <c r="ON495" i="2"/>
  <c r="OM495" i="2"/>
  <c r="OZ494" i="2"/>
  <c r="OY494" i="2"/>
  <c r="OX494" i="2"/>
  <c r="OW494" i="2"/>
  <c r="OV494" i="2"/>
  <c r="OU494" i="2"/>
  <c r="OT494" i="2"/>
  <c r="OS494" i="2"/>
  <c r="OR494" i="2"/>
  <c r="OQ494" i="2"/>
  <c r="OP494" i="2"/>
  <c r="OO494" i="2"/>
  <c r="ON494" i="2"/>
  <c r="OM494" i="2"/>
  <c r="OZ493" i="2"/>
  <c r="OY493" i="2"/>
  <c r="OX493" i="2"/>
  <c r="OW493" i="2"/>
  <c r="OV493" i="2"/>
  <c r="OU493" i="2"/>
  <c r="OT493" i="2"/>
  <c r="OS493" i="2"/>
  <c r="OR493" i="2"/>
  <c r="OQ493" i="2"/>
  <c r="OP493" i="2"/>
  <c r="OO493" i="2"/>
  <c r="ON493" i="2"/>
  <c r="OM493" i="2"/>
  <c r="OZ492" i="2"/>
  <c r="OY492" i="2"/>
  <c r="OX492" i="2"/>
  <c r="OW492" i="2"/>
  <c r="OV492" i="2"/>
  <c r="OU492" i="2"/>
  <c r="OT492" i="2"/>
  <c r="OS492" i="2"/>
  <c r="OR492" i="2"/>
  <c r="OQ492" i="2"/>
  <c r="OP492" i="2"/>
  <c r="OO492" i="2"/>
  <c r="ON492" i="2"/>
  <c r="OM492" i="2"/>
  <c r="OZ491" i="2"/>
  <c r="OY491" i="2"/>
  <c r="OX491" i="2"/>
  <c r="OW491" i="2"/>
  <c r="OV491" i="2"/>
  <c r="OU491" i="2"/>
  <c r="OT491" i="2"/>
  <c r="OS491" i="2"/>
  <c r="OR491" i="2"/>
  <c r="OQ491" i="2"/>
  <c r="OP491" i="2"/>
  <c r="OO491" i="2"/>
  <c r="ON491" i="2"/>
  <c r="OM491" i="2"/>
  <c r="OZ490" i="2"/>
  <c r="OY490" i="2"/>
  <c r="OX490" i="2"/>
  <c r="OW490" i="2"/>
  <c r="OV490" i="2"/>
  <c r="OU490" i="2"/>
  <c r="OT490" i="2"/>
  <c r="OS490" i="2"/>
  <c r="OR490" i="2"/>
  <c r="OQ490" i="2"/>
  <c r="OP490" i="2"/>
  <c r="OO490" i="2"/>
  <c r="ON490" i="2"/>
  <c r="OM490" i="2"/>
  <c r="OZ489" i="2"/>
  <c r="OY489" i="2"/>
  <c r="OX489" i="2"/>
  <c r="OW489" i="2"/>
  <c r="OV489" i="2"/>
  <c r="OU489" i="2"/>
  <c r="OT489" i="2"/>
  <c r="OS489" i="2"/>
  <c r="OR489" i="2"/>
  <c r="OQ489" i="2"/>
  <c r="OP489" i="2"/>
  <c r="OO489" i="2"/>
  <c r="ON489" i="2"/>
  <c r="OM489" i="2"/>
  <c r="OZ488" i="2"/>
  <c r="OY488" i="2"/>
  <c r="OX488" i="2"/>
  <c r="OW488" i="2"/>
  <c r="OV488" i="2"/>
  <c r="OU488" i="2"/>
  <c r="OT488" i="2"/>
  <c r="OS488" i="2"/>
  <c r="OR488" i="2"/>
  <c r="OQ488" i="2"/>
  <c r="OP488" i="2"/>
  <c r="OO488" i="2"/>
  <c r="ON488" i="2"/>
  <c r="OM488" i="2"/>
  <c r="OZ487" i="2"/>
  <c r="OY487" i="2"/>
  <c r="OX487" i="2"/>
  <c r="OW487" i="2"/>
  <c r="OV487" i="2"/>
  <c r="OU487" i="2"/>
  <c r="OT487" i="2"/>
  <c r="OS487" i="2"/>
  <c r="OR487" i="2"/>
  <c r="OQ487" i="2"/>
  <c r="OP487" i="2"/>
  <c r="OO487" i="2"/>
  <c r="ON487" i="2"/>
  <c r="OM487" i="2"/>
  <c r="OZ486" i="2"/>
  <c r="OY486" i="2"/>
  <c r="OX486" i="2"/>
  <c r="OW486" i="2"/>
  <c r="OV486" i="2"/>
  <c r="OU486" i="2"/>
  <c r="OT486" i="2"/>
  <c r="OS486" i="2"/>
  <c r="OR486" i="2"/>
  <c r="OQ486" i="2"/>
  <c r="OP486" i="2"/>
  <c r="OO486" i="2"/>
  <c r="ON486" i="2"/>
  <c r="OM486" i="2"/>
  <c r="OZ485" i="2"/>
  <c r="OY485" i="2"/>
  <c r="OX485" i="2"/>
  <c r="OW485" i="2"/>
  <c r="OV485" i="2"/>
  <c r="OU485" i="2"/>
  <c r="OT485" i="2"/>
  <c r="OS485" i="2"/>
  <c r="OR485" i="2"/>
  <c r="OQ485" i="2"/>
  <c r="OP485" i="2"/>
  <c r="OO485" i="2"/>
  <c r="ON485" i="2"/>
  <c r="OM485" i="2"/>
  <c r="OJ521" i="2"/>
  <c r="OI521" i="2"/>
  <c r="OH521" i="2"/>
  <c r="OG521" i="2"/>
  <c r="OF521" i="2"/>
  <c r="AZ44" i="50" s="1"/>
  <c r="OE521" i="2"/>
  <c r="AY44" i="50" s="1"/>
  <c r="OD521" i="2"/>
  <c r="OC521" i="2"/>
  <c r="OB521" i="2"/>
  <c r="OA521" i="2"/>
  <c r="NZ521" i="2"/>
  <c r="NY521" i="2"/>
  <c r="NX521" i="2"/>
  <c r="NW521" i="2"/>
  <c r="OJ520" i="2"/>
  <c r="OI520" i="2"/>
  <c r="OH520" i="2"/>
  <c r="OG520" i="2"/>
  <c r="OF520" i="2"/>
  <c r="AZ43" i="50" s="1"/>
  <c r="OE520" i="2"/>
  <c r="AY43" i="50" s="1"/>
  <c r="OD520" i="2"/>
  <c r="OC520" i="2"/>
  <c r="OB520" i="2"/>
  <c r="OA520" i="2"/>
  <c r="NZ520" i="2"/>
  <c r="NY520" i="2"/>
  <c r="NX520" i="2"/>
  <c r="NW520" i="2"/>
  <c r="OJ519" i="2"/>
  <c r="OI519" i="2"/>
  <c r="OH519" i="2"/>
  <c r="OG519" i="2"/>
  <c r="OF519" i="2"/>
  <c r="AZ42" i="50" s="1"/>
  <c r="OE519" i="2"/>
  <c r="AY42" i="50" s="1"/>
  <c r="OD519" i="2"/>
  <c r="OC519" i="2"/>
  <c r="OB519" i="2"/>
  <c r="OA519" i="2"/>
  <c r="NZ519" i="2"/>
  <c r="NY519" i="2"/>
  <c r="NX519" i="2"/>
  <c r="NW519" i="2"/>
  <c r="OJ518" i="2"/>
  <c r="OI518" i="2"/>
  <c r="OH518" i="2"/>
  <c r="OG518" i="2"/>
  <c r="OF518" i="2"/>
  <c r="AZ41" i="50" s="1"/>
  <c r="OE518" i="2"/>
  <c r="AY41" i="50" s="1"/>
  <c r="OD518" i="2"/>
  <c r="OC518" i="2"/>
  <c r="OB518" i="2"/>
  <c r="OA518" i="2"/>
  <c r="NZ518" i="2"/>
  <c r="NY518" i="2"/>
  <c r="NX518" i="2"/>
  <c r="NW518" i="2"/>
  <c r="OJ517" i="2"/>
  <c r="OI517" i="2"/>
  <c r="OH517" i="2"/>
  <c r="OG517" i="2"/>
  <c r="OF517" i="2"/>
  <c r="AZ40" i="50" s="1"/>
  <c r="OE517" i="2"/>
  <c r="AY40" i="50" s="1"/>
  <c r="OD517" i="2"/>
  <c r="OC517" i="2"/>
  <c r="OB517" i="2"/>
  <c r="OA517" i="2"/>
  <c r="NZ517" i="2"/>
  <c r="NY517" i="2"/>
  <c r="NX517" i="2"/>
  <c r="NW517" i="2"/>
  <c r="OJ516" i="2"/>
  <c r="OI516" i="2"/>
  <c r="OH516" i="2"/>
  <c r="OG516" i="2"/>
  <c r="OF516" i="2"/>
  <c r="AZ39" i="50" s="1"/>
  <c r="OE516" i="2"/>
  <c r="AY39" i="50" s="1"/>
  <c r="OD516" i="2"/>
  <c r="OC516" i="2"/>
  <c r="OB516" i="2"/>
  <c r="OA516" i="2"/>
  <c r="NZ516" i="2"/>
  <c r="NY516" i="2"/>
  <c r="NX516" i="2"/>
  <c r="NW516" i="2"/>
  <c r="OJ515" i="2"/>
  <c r="OI515" i="2"/>
  <c r="OH515" i="2"/>
  <c r="OG515" i="2"/>
  <c r="OF515" i="2"/>
  <c r="AZ38" i="50" s="1"/>
  <c r="OE515" i="2"/>
  <c r="AY38" i="50" s="1"/>
  <c r="OD515" i="2"/>
  <c r="OC515" i="2"/>
  <c r="OB515" i="2"/>
  <c r="OA515" i="2"/>
  <c r="NZ515" i="2"/>
  <c r="NY515" i="2"/>
  <c r="NX515" i="2"/>
  <c r="NW515" i="2"/>
  <c r="OJ514" i="2"/>
  <c r="OI514" i="2"/>
  <c r="OH514" i="2"/>
  <c r="OG514" i="2"/>
  <c r="OF514" i="2"/>
  <c r="AZ37" i="50" s="1"/>
  <c r="OE514" i="2"/>
  <c r="AY37" i="50" s="1"/>
  <c r="OD514" i="2"/>
  <c r="OC514" i="2"/>
  <c r="OB514" i="2"/>
  <c r="OA514" i="2"/>
  <c r="NZ514" i="2"/>
  <c r="NY514" i="2"/>
  <c r="NX514" i="2"/>
  <c r="NW514" i="2"/>
  <c r="OJ513" i="2"/>
  <c r="OI513" i="2"/>
  <c r="OH513" i="2"/>
  <c r="OG513" i="2"/>
  <c r="OF513" i="2"/>
  <c r="OE513" i="2"/>
  <c r="OD513" i="2"/>
  <c r="OC513" i="2"/>
  <c r="OB513" i="2"/>
  <c r="OA513" i="2"/>
  <c r="NZ513" i="2"/>
  <c r="NY513" i="2"/>
  <c r="NX513" i="2"/>
  <c r="NW513" i="2"/>
  <c r="OJ512" i="2"/>
  <c r="OI512" i="2"/>
  <c r="OH512" i="2"/>
  <c r="OG512" i="2"/>
  <c r="OF512" i="2"/>
  <c r="OE512" i="2"/>
  <c r="OD512" i="2"/>
  <c r="OC512" i="2"/>
  <c r="OB512" i="2"/>
  <c r="OA512" i="2"/>
  <c r="NZ512" i="2"/>
  <c r="NY512" i="2"/>
  <c r="NX512" i="2"/>
  <c r="NW512" i="2"/>
  <c r="OJ511" i="2"/>
  <c r="OI511" i="2"/>
  <c r="OH511" i="2"/>
  <c r="OG511" i="2"/>
  <c r="OF511" i="2"/>
  <c r="OE511" i="2"/>
  <c r="OD511" i="2"/>
  <c r="OC511" i="2"/>
  <c r="OB511" i="2"/>
  <c r="OA511" i="2"/>
  <c r="NZ511" i="2"/>
  <c r="NY511" i="2"/>
  <c r="NX511" i="2"/>
  <c r="NW511" i="2"/>
  <c r="OJ510" i="2"/>
  <c r="OI510" i="2"/>
  <c r="OH510" i="2"/>
  <c r="OG510" i="2"/>
  <c r="OF510" i="2"/>
  <c r="OE510" i="2"/>
  <c r="OD510" i="2"/>
  <c r="OC510" i="2"/>
  <c r="OB510" i="2"/>
  <c r="OA510" i="2"/>
  <c r="NZ510" i="2"/>
  <c r="NY510" i="2"/>
  <c r="NX510" i="2"/>
  <c r="NW510" i="2"/>
  <c r="OJ509" i="2"/>
  <c r="OI509" i="2"/>
  <c r="OH509" i="2"/>
  <c r="OG509" i="2"/>
  <c r="OF509" i="2"/>
  <c r="OE509" i="2"/>
  <c r="OD509" i="2"/>
  <c r="OC509" i="2"/>
  <c r="OB509" i="2"/>
  <c r="OA509" i="2"/>
  <c r="NZ509" i="2"/>
  <c r="NY509" i="2"/>
  <c r="NX509" i="2"/>
  <c r="NW509" i="2"/>
  <c r="OJ508" i="2"/>
  <c r="OI508" i="2"/>
  <c r="OH508" i="2"/>
  <c r="OG508" i="2"/>
  <c r="OF508" i="2"/>
  <c r="OE508" i="2"/>
  <c r="OD508" i="2"/>
  <c r="OC508" i="2"/>
  <c r="OB508" i="2"/>
  <c r="OA508" i="2"/>
  <c r="NZ508" i="2"/>
  <c r="NY508" i="2"/>
  <c r="NX508" i="2"/>
  <c r="NW508" i="2"/>
  <c r="OJ507" i="2"/>
  <c r="OI507" i="2"/>
  <c r="OH507" i="2"/>
  <c r="OG507" i="2"/>
  <c r="OF507" i="2"/>
  <c r="OE507" i="2"/>
  <c r="OD507" i="2"/>
  <c r="OC507" i="2"/>
  <c r="OB507" i="2"/>
  <c r="OA507" i="2"/>
  <c r="NZ507" i="2"/>
  <c r="NY507" i="2"/>
  <c r="NX507" i="2"/>
  <c r="NW507" i="2"/>
  <c r="OJ506" i="2"/>
  <c r="OI506" i="2"/>
  <c r="OH506" i="2"/>
  <c r="OG506" i="2"/>
  <c r="OF506" i="2"/>
  <c r="OE506" i="2"/>
  <c r="OD506" i="2"/>
  <c r="OC506" i="2"/>
  <c r="OB506" i="2"/>
  <c r="OA506" i="2"/>
  <c r="NZ506" i="2"/>
  <c r="NY506" i="2"/>
  <c r="NX506" i="2"/>
  <c r="NW506" i="2"/>
  <c r="OJ505" i="2"/>
  <c r="OI505" i="2"/>
  <c r="OH505" i="2"/>
  <c r="OG505" i="2"/>
  <c r="OF505" i="2"/>
  <c r="OE505" i="2"/>
  <c r="OD505" i="2"/>
  <c r="OC505" i="2"/>
  <c r="OB505" i="2"/>
  <c r="OA505" i="2"/>
  <c r="NZ505" i="2"/>
  <c r="NY505" i="2"/>
  <c r="NX505" i="2"/>
  <c r="NW505" i="2"/>
  <c r="OJ504" i="2"/>
  <c r="OI504" i="2"/>
  <c r="OH504" i="2"/>
  <c r="OG504" i="2"/>
  <c r="OF504" i="2"/>
  <c r="OE504" i="2"/>
  <c r="OD504" i="2"/>
  <c r="OC504" i="2"/>
  <c r="OB504" i="2"/>
  <c r="OA504" i="2"/>
  <c r="NZ504" i="2"/>
  <c r="NY504" i="2"/>
  <c r="NX504" i="2"/>
  <c r="NW504" i="2"/>
  <c r="OJ503" i="2"/>
  <c r="OI503" i="2"/>
  <c r="OH503" i="2"/>
  <c r="OG503" i="2"/>
  <c r="OF503" i="2"/>
  <c r="OE503" i="2"/>
  <c r="OD503" i="2"/>
  <c r="OC503" i="2"/>
  <c r="OB503" i="2"/>
  <c r="OA503" i="2"/>
  <c r="NZ503" i="2"/>
  <c r="NY503" i="2"/>
  <c r="NX503" i="2"/>
  <c r="NW503" i="2"/>
  <c r="OJ502" i="2"/>
  <c r="OI502" i="2"/>
  <c r="OH502" i="2"/>
  <c r="OG502" i="2"/>
  <c r="OF502" i="2"/>
  <c r="OE502" i="2"/>
  <c r="OD502" i="2"/>
  <c r="OC502" i="2"/>
  <c r="OB502" i="2"/>
  <c r="OA502" i="2"/>
  <c r="NZ502" i="2"/>
  <c r="NY502" i="2"/>
  <c r="NX502" i="2"/>
  <c r="NW502" i="2"/>
  <c r="OJ501" i="2"/>
  <c r="OI501" i="2"/>
  <c r="OH501" i="2"/>
  <c r="OG501" i="2"/>
  <c r="OF501" i="2"/>
  <c r="OE501" i="2"/>
  <c r="OD501" i="2"/>
  <c r="OC501" i="2"/>
  <c r="OB501" i="2"/>
  <c r="OA501" i="2"/>
  <c r="NZ501" i="2"/>
  <c r="NY501" i="2"/>
  <c r="NX501" i="2"/>
  <c r="NW501" i="2"/>
  <c r="OJ500" i="2"/>
  <c r="OI500" i="2"/>
  <c r="OH500" i="2"/>
  <c r="OG500" i="2"/>
  <c r="OF500" i="2"/>
  <c r="OE500" i="2"/>
  <c r="OD500" i="2"/>
  <c r="OC500" i="2"/>
  <c r="OB500" i="2"/>
  <c r="OA500" i="2"/>
  <c r="NZ500" i="2"/>
  <c r="NY500" i="2"/>
  <c r="NX500" i="2"/>
  <c r="NW500" i="2"/>
  <c r="OJ499" i="2"/>
  <c r="OI499" i="2"/>
  <c r="OH499" i="2"/>
  <c r="OG499" i="2"/>
  <c r="OF499" i="2"/>
  <c r="OE499" i="2"/>
  <c r="OD499" i="2"/>
  <c r="OC499" i="2"/>
  <c r="OB499" i="2"/>
  <c r="OA499" i="2"/>
  <c r="NZ499" i="2"/>
  <c r="NY499" i="2"/>
  <c r="NX499" i="2"/>
  <c r="NW499" i="2"/>
  <c r="OJ498" i="2"/>
  <c r="OI498" i="2"/>
  <c r="OH498" i="2"/>
  <c r="OG498" i="2"/>
  <c r="OF498" i="2"/>
  <c r="OE498" i="2"/>
  <c r="OD498" i="2"/>
  <c r="OC498" i="2"/>
  <c r="OB498" i="2"/>
  <c r="OA498" i="2"/>
  <c r="NZ498" i="2"/>
  <c r="NY498" i="2"/>
  <c r="NX498" i="2"/>
  <c r="NW498" i="2"/>
  <c r="OJ497" i="2"/>
  <c r="OI497" i="2"/>
  <c r="OH497" i="2"/>
  <c r="OG497" i="2"/>
  <c r="OF497" i="2"/>
  <c r="OE497" i="2"/>
  <c r="OD497" i="2"/>
  <c r="OC497" i="2"/>
  <c r="OB497" i="2"/>
  <c r="OA497" i="2"/>
  <c r="NZ497" i="2"/>
  <c r="NY497" i="2"/>
  <c r="NX497" i="2"/>
  <c r="NW497" i="2"/>
  <c r="OJ496" i="2"/>
  <c r="OI496" i="2"/>
  <c r="OH496" i="2"/>
  <c r="OG496" i="2"/>
  <c r="OF496" i="2"/>
  <c r="OE496" i="2"/>
  <c r="OD496" i="2"/>
  <c r="OC496" i="2"/>
  <c r="OB496" i="2"/>
  <c r="OA496" i="2"/>
  <c r="NZ496" i="2"/>
  <c r="NY496" i="2"/>
  <c r="NX496" i="2"/>
  <c r="NW496" i="2"/>
  <c r="OJ495" i="2"/>
  <c r="OI495" i="2"/>
  <c r="OH495" i="2"/>
  <c r="OG495" i="2"/>
  <c r="OF495" i="2"/>
  <c r="OE495" i="2"/>
  <c r="OD495" i="2"/>
  <c r="OC495" i="2"/>
  <c r="OB495" i="2"/>
  <c r="OA495" i="2"/>
  <c r="NZ495" i="2"/>
  <c r="NY495" i="2"/>
  <c r="NX495" i="2"/>
  <c r="NW495" i="2"/>
  <c r="OJ494" i="2"/>
  <c r="OI494" i="2"/>
  <c r="OH494" i="2"/>
  <c r="OG494" i="2"/>
  <c r="OF494" i="2"/>
  <c r="OE494" i="2"/>
  <c r="OD494" i="2"/>
  <c r="OC494" i="2"/>
  <c r="OB494" i="2"/>
  <c r="OA494" i="2"/>
  <c r="NZ494" i="2"/>
  <c r="NY494" i="2"/>
  <c r="NX494" i="2"/>
  <c r="NW494" i="2"/>
  <c r="OJ493" i="2"/>
  <c r="OI493" i="2"/>
  <c r="OH493" i="2"/>
  <c r="OG493" i="2"/>
  <c r="OF493" i="2"/>
  <c r="OE493" i="2"/>
  <c r="OD493" i="2"/>
  <c r="OC493" i="2"/>
  <c r="OB493" i="2"/>
  <c r="OA493" i="2"/>
  <c r="NZ493" i="2"/>
  <c r="NY493" i="2"/>
  <c r="NX493" i="2"/>
  <c r="NW493" i="2"/>
  <c r="OJ492" i="2"/>
  <c r="OI492" i="2"/>
  <c r="OH492" i="2"/>
  <c r="OG492" i="2"/>
  <c r="OF492" i="2"/>
  <c r="OE492" i="2"/>
  <c r="OD492" i="2"/>
  <c r="OC492" i="2"/>
  <c r="OB492" i="2"/>
  <c r="OA492" i="2"/>
  <c r="NZ492" i="2"/>
  <c r="NY492" i="2"/>
  <c r="NX492" i="2"/>
  <c r="NW492" i="2"/>
  <c r="OJ491" i="2"/>
  <c r="OI491" i="2"/>
  <c r="OH491" i="2"/>
  <c r="OG491" i="2"/>
  <c r="OF491" i="2"/>
  <c r="OE491" i="2"/>
  <c r="OD491" i="2"/>
  <c r="OC491" i="2"/>
  <c r="OB491" i="2"/>
  <c r="OA491" i="2"/>
  <c r="NZ491" i="2"/>
  <c r="NY491" i="2"/>
  <c r="NX491" i="2"/>
  <c r="NW491" i="2"/>
  <c r="OJ490" i="2"/>
  <c r="OI490" i="2"/>
  <c r="OH490" i="2"/>
  <c r="OG490" i="2"/>
  <c r="OF490" i="2"/>
  <c r="OE490" i="2"/>
  <c r="OD490" i="2"/>
  <c r="OC490" i="2"/>
  <c r="OB490" i="2"/>
  <c r="OA490" i="2"/>
  <c r="NZ490" i="2"/>
  <c r="NY490" i="2"/>
  <c r="NX490" i="2"/>
  <c r="NW490" i="2"/>
  <c r="OJ489" i="2"/>
  <c r="OI489" i="2"/>
  <c r="OH489" i="2"/>
  <c r="OG489" i="2"/>
  <c r="OF489" i="2"/>
  <c r="OE489" i="2"/>
  <c r="OD489" i="2"/>
  <c r="OC489" i="2"/>
  <c r="OB489" i="2"/>
  <c r="OA489" i="2"/>
  <c r="NZ489" i="2"/>
  <c r="NY489" i="2"/>
  <c r="NX489" i="2"/>
  <c r="NW489" i="2"/>
  <c r="OJ488" i="2"/>
  <c r="OI488" i="2"/>
  <c r="OH488" i="2"/>
  <c r="OG488" i="2"/>
  <c r="OF488" i="2"/>
  <c r="OE488" i="2"/>
  <c r="OD488" i="2"/>
  <c r="OC488" i="2"/>
  <c r="OB488" i="2"/>
  <c r="OA488" i="2"/>
  <c r="NZ488" i="2"/>
  <c r="NY488" i="2"/>
  <c r="NX488" i="2"/>
  <c r="NW488" i="2"/>
  <c r="OJ487" i="2"/>
  <c r="OI487" i="2"/>
  <c r="OH487" i="2"/>
  <c r="OG487" i="2"/>
  <c r="OF487" i="2"/>
  <c r="OE487" i="2"/>
  <c r="OD487" i="2"/>
  <c r="OC487" i="2"/>
  <c r="OB487" i="2"/>
  <c r="OA487" i="2"/>
  <c r="NZ487" i="2"/>
  <c r="NY487" i="2"/>
  <c r="NX487" i="2"/>
  <c r="NW487" i="2"/>
  <c r="OJ486" i="2"/>
  <c r="OI486" i="2"/>
  <c r="OH486" i="2"/>
  <c r="OG486" i="2"/>
  <c r="OF486" i="2"/>
  <c r="OE486" i="2"/>
  <c r="OD486" i="2"/>
  <c r="OC486" i="2"/>
  <c r="OB486" i="2"/>
  <c r="OA486" i="2"/>
  <c r="NZ486" i="2"/>
  <c r="NY486" i="2"/>
  <c r="NX486" i="2"/>
  <c r="NW486" i="2"/>
  <c r="OJ485" i="2"/>
  <c r="OI485" i="2"/>
  <c r="OH485" i="2"/>
  <c r="OG485" i="2"/>
  <c r="OF485" i="2"/>
  <c r="OE485" i="2"/>
  <c r="OD485" i="2"/>
  <c r="OC485" i="2"/>
  <c r="OB485" i="2"/>
  <c r="OA485" i="2"/>
  <c r="NZ485" i="2"/>
  <c r="NY485" i="2"/>
  <c r="NX485" i="2"/>
  <c r="NW485" i="2"/>
  <c r="NT521" i="2"/>
  <c r="NS521" i="2"/>
  <c r="NR521" i="2"/>
  <c r="NQ521" i="2"/>
  <c r="NP521" i="2"/>
  <c r="AX44" i="50" s="1"/>
  <c r="NO521" i="2"/>
  <c r="AW44" i="50" s="1"/>
  <c r="NN521" i="2"/>
  <c r="NM521" i="2"/>
  <c r="NL521" i="2"/>
  <c r="NK521" i="2"/>
  <c r="NJ521" i="2"/>
  <c r="NI521" i="2"/>
  <c r="NH521" i="2"/>
  <c r="NG521" i="2"/>
  <c r="NT520" i="2"/>
  <c r="NS520" i="2"/>
  <c r="NR520" i="2"/>
  <c r="AX43" i="55" s="1"/>
  <c r="NQ520" i="2"/>
  <c r="AW43" i="55" s="1"/>
  <c r="NP520" i="2"/>
  <c r="AX43" i="50" s="1"/>
  <c r="NO520" i="2"/>
  <c r="AW43" i="50" s="1"/>
  <c r="NN520" i="2"/>
  <c r="NM520" i="2"/>
  <c r="NL520" i="2"/>
  <c r="NK520" i="2"/>
  <c r="NJ520" i="2"/>
  <c r="NI520" i="2"/>
  <c r="NH520" i="2"/>
  <c r="NG520" i="2"/>
  <c r="NT519" i="2"/>
  <c r="NS519" i="2"/>
  <c r="NR519" i="2"/>
  <c r="AX42" i="55" s="1"/>
  <c r="NQ519" i="2"/>
  <c r="AW42" i="55" s="1"/>
  <c r="NP519" i="2"/>
  <c r="AX42" i="50" s="1"/>
  <c r="NO519" i="2"/>
  <c r="AW42" i="50" s="1"/>
  <c r="NN519" i="2"/>
  <c r="NM519" i="2"/>
  <c r="NL519" i="2"/>
  <c r="NK519" i="2"/>
  <c r="NJ519" i="2"/>
  <c r="NI519" i="2"/>
  <c r="NH519" i="2"/>
  <c r="NG519" i="2"/>
  <c r="NT518" i="2"/>
  <c r="NS518" i="2"/>
  <c r="NR518" i="2"/>
  <c r="AX41" i="55" s="1"/>
  <c r="NQ518" i="2"/>
  <c r="AW41" i="55" s="1"/>
  <c r="NP518" i="2"/>
  <c r="AX41" i="50" s="1"/>
  <c r="NO518" i="2"/>
  <c r="AW41" i="50" s="1"/>
  <c r="NN518" i="2"/>
  <c r="NM518" i="2"/>
  <c r="NL518" i="2"/>
  <c r="NK518" i="2"/>
  <c r="NJ518" i="2"/>
  <c r="NI518" i="2"/>
  <c r="NH518" i="2"/>
  <c r="NG518" i="2"/>
  <c r="NT517" i="2"/>
  <c r="NS517" i="2"/>
  <c r="NR517" i="2"/>
  <c r="AX40" i="55" s="1"/>
  <c r="NQ517" i="2"/>
  <c r="AW40" i="55" s="1"/>
  <c r="NP517" i="2"/>
  <c r="AX40" i="50" s="1"/>
  <c r="NO517" i="2"/>
  <c r="AW40" i="50" s="1"/>
  <c r="NN517" i="2"/>
  <c r="NM517" i="2"/>
  <c r="NL517" i="2"/>
  <c r="NK517" i="2"/>
  <c r="NJ517" i="2"/>
  <c r="NI517" i="2"/>
  <c r="NH517" i="2"/>
  <c r="NG517" i="2"/>
  <c r="NT516" i="2"/>
  <c r="NS516" i="2"/>
  <c r="NR516" i="2"/>
  <c r="AX39" i="55" s="1"/>
  <c r="NQ516" i="2"/>
  <c r="AW39" i="55" s="1"/>
  <c r="NP516" i="2"/>
  <c r="AX39" i="50" s="1"/>
  <c r="NO516" i="2"/>
  <c r="AW39" i="50" s="1"/>
  <c r="NN516" i="2"/>
  <c r="NM516" i="2"/>
  <c r="NL516" i="2"/>
  <c r="NK516" i="2"/>
  <c r="NJ516" i="2"/>
  <c r="NI516" i="2"/>
  <c r="NH516" i="2"/>
  <c r="NG516" i="2"/>
  <c r="NT515" i="2"/>
  <c r="NS515" i="2"/>
  <c r="NR515" i="2"/>
  <c r="AX38" i="55" s="1"/>
  <c r="NQ515" i="2"/>
  <c r="AW38" i="55" s="1"/>
  <c r="NP515" i="2"/>
  <c r="AX38" i="50" s="1"/>
  <c r="NO515" i="2"/>
  <c r="AW38" i="50" s="1"/>
  <c r="NN515" i="2"/>
  <c r="NM515" i="2"/>
  <c r="NL515" i="2"/>
  <c r="NK515" i="2"/>
  <c r="NJ515" i="2"/>
  <c r="NI515" i="2"/>
  <c r="NH515" i="2"/>
  <c r="NG515" i="2"/>
  <c r="NT514" i="2"/>
  <c r="NS514" i="2"/>
  <c r="NR514" i="2"/>
  <c r="AX37" i="55" s="1"/>
  <c r="NQ514" i="2"/>
  <c r="AW37" i="55" s="1"/>
  <c r="NP514" i="2"/>
  <c r="AX37" i="50" s="1"/>
  <c r="NO514" i="2"/>
  <c r="AW37" i="50" s="1"/>
  <c r="NN514" i="2"/>
  <c r="NM514" i="2"/>
  <c r="NL514" i="2"/>
  <c r="NK514" i="2"/>
  <c r="NJ514" i="2"/>
  <c r="NI514" i="2"/>
  <c r="NH514" i="2"/>
  <c r="NG514" i="2"/>
  <c r="NT513" i="2"/>
  <c r="NS513" i="2"/>
  <c r="NR513" i="2"/>
  <c r="AX36" i="55" s="1"/>
  <c r="NQ513" i="2"/>
  <c r="AW36" i="55" s="1"/>
  <c r="NP513" i="2"/>
  <c r="NO513" i="2"/>
  <c r="NN513" i="2"/>
  <c r="NM513" i="2"/>
  <c r="NL513" i="2"/>
  <c r="NK513" i="2"/>
  <c r="NJ513" i="2"/>
  <c r="NI513" i="2"/>
  <c r="NH513" i="2"/>
  <c r="NG513" i="2"/>
  <c r="NT512" i="2"/>
  <c r="NS512" i="2"/>
  <c r="NR512" i="2"/>
  <c r="AX35" i="55" s="1"/>
  <c r="NQ512" i="2"/>
  <c r="AW35" i="55" s="1"/>
  <c r="NP512" i="2"/>
  <c r="NO512" i="2"/>
  <c r="NN512" i="2"/>
  <c r="NM512" i="2"/>
  <c r="NL512" i="2"/>
  <c r="NK512" i="2"/>
  <c r="NJ512" i="2"/>
  <c r="NI512" i="2"/>
  <c r="NH512" i="2"/>
  <c r="NG512" i="2"/>
  <c r="NT511" i="2"/>
  <c r="NS511" i="2"/>
  <c r="NR511" i="2"/>
  <c r="AX34" i="55" s="1"/>
  <c r="NQ511" i="2"/>
  <c r="AW34" i="55" s="1"/>
  <c r="NP511" i="2"/>
  <c r="NO511" i="2"/>
  <c r="NN511" i="2"/>
  <c r="NM511" i="2"/>
  <c r="NL511" i="2"/>
  <c r="NK511" i="2"/>
  <c r="NJ511" i="2"/>
  <c r="NI511" i="2"/>
  <c r="NH511" i="2"/>
  <c r="NG511" i="2"/>
  <c r="NT510" i="2"/>
  <c r="NS510" i="2"/>
  <c r="NR510" i="2"/>
  <c r="AX33" i="55" s="1"/>
  <c r="NQ510" i="2"/>
  <c r="AW33" i="55" s="1"/>
  <c r="NP510" i="2"/>
  <c r="NO510" i="2"/>
  <c r="NN510" i="2"/>
  <c r="NM510" i="2"/>
  <c r="NL510" i="2"/>
  <c r="NK510" i="2"/>
  <c r="NJ510" i="2"/>
  <c r="NI510" i="2"/>
  <c r="NH510" i="2"/>
  <c r="NG510" i="2"/>
  <c r="NT509" i="2"/>
  <c r="NS509" i="2"/>
  <c r="NR509" i="2"/>
  <c r="AX32" i="55" s="1"/>
  <c r="NQ509" i="2"/>
  <c r="AW32" i="55" s="1"/>
  <c r="NP509" i="2"/>
  <c r="NO509" i="2"/>
  <c r="NN509" i="2"/>
  <c r="NM509" i="2"/>
  <c r="NL509" i="2"/>
  <c r="NK509" i="2"/>
  <c r="NJ509" i="2"/>
  <c r="NI509" i="2"/>
  <c r="NH509" i="2"/>
  <c r="NG509" i="2"/>
  <c r="NT508" i="2"/>
  <c r="NS508" i="2"/>
  <c r="NR508" i="2"/>
  <c r="AX31" i="55" s="1"/>
  <c r="NQ508" i="2"/>
  <c r="AW31" i="55" s="1"/>
  <c r="NP508" i="2"/>
  <c r="NO508" i="2"/>
  <c r="NN508" i="2"/>
  <c r="NM508" i="2"/>
  <c r="NL508" i="2"/>
  <c r="NK508" i="2"/>
  <c r="NJ508" i="2"/>
  <c r="NI508" i="2"/>
  <c r="NH508" i="2"/>
  <c r="NG508" i="2"/>
  <c r="NT507" i="2"/>
  <c r="NS507" i="2"/>
  <c r="NR507" i="2"/>
  <c r="AX30" i="55" s="1"/>
  <c r="NQ507" i="2"/>
  <c r="AW30" i="55" s="1"/>
  <c r="NP507" i="2"/>
  <c r="NO507" i="2"/>
  <c r="NN507" i="2"/>
  <c r="NM507" i="2"/>
  <c r="NL507" i="2"/>
  <c r="NK507" i="2"/>
  <c r="NJ507" i="2"/>
  <c r="NI507" i="2"/>
  <c r="NH507" i="2"/>
  <c r="NG507" i="2"/>
  <c r="NT506" i="2"/>
  <c r="NS506" i="2"/>
  <c r="NR506" i="2"/>
  <c r="AX29" i="55" s="1"/>
  <c r="NQ506" i="2"/>
  <c r="AW29" i="55" s="1"/>
  <c r="NP506" i="2"/>
  <c r="NO506" i="2"/>
  <c r="NN506" i="2"/>
  <c r="NM506" i="2"/>
  <c r="NL506" i="2"/>
  <c r="NK506" i="2"/>
  <c r="NJ506" i="2"/>
  <c r="NI506" i="2"/>
  <c r="NH506" i="2"/>
  <c r="NG506" i="2"/>
  <c r="NT505" i="2"/>
  <c r="NS505" i="2"/>
  <c r="NR505" i="2"/>
  <c r="AX28" i="55" s="1"/>
  <c r="NQ505" i="2"/>
  <c r="AW28" i="55" s="1"/>
  <c r="NP505" i="2"/>
  <c r="NO505" i="2"/>
  <c r="NN505" i="2"/>
  <c r="NM505" i="2"/>
  <c r="NL505" i="2"/>
  <c r="NK505" i="2"/>
  <c r="NJ505" i="2"/>
  <c r="NI505" i="2"/>
  <c r="NH505" i="2"/>
  <c r="NG505" i="2"/>
  <c r="NT504" i="2"/>
  <c r="NS504" i="2"/>
  <c r="NR504" i="2"/>
  <c r="AX27" i="55" s="1"/>
  <c r="NQ504" i="2"/>
  <c r="AW27" i="55" s="1"/>
  <c r="NP504" i="2"/>
  <c r="NO504" i="2"/>
  <c r="NN504" i="2"/>
  <c r="NM504" i="2"/>
  <c r="NL504" i="2"/>
  <c r="NK504" i="2"/>
  <c r="NJ504" i="2"/>
  <c r="NI504" i="2"/>
  <c r="NH504" i="2"/>
  <c r="NG504" i="2"/>
  <c r="NT503" i="2"/>
  <c r="NS503" i="2"/>
  <c r="NR503" i="2"/>
  <c r="AX26" i="55" s="1"/>
  <c r="NQ503" i="2"/>
  <c r="AW26" i="55" s="1"/>
  <c r="NP503" i="2"/>
  <c r="NO503" i="2"/>
  <c r="NN503" i="2"/>
  <c r="NM503" i="2"/>
  <c r="NL503" i="2"/>
  <c r="NK503" i="2"/>
  <c r="NJ503" i="2"/>
  <c r="NI503" i="2"/>
  <c r="NH503" i="2"/>
  <c r="NG503" i="2"/>
  <c r="NT502" i="2"/>
  <c r="NS502" i="2"/>
  <c r="NR502" i="2"/>
  <c r="AX25" i="55" s="1"/>
  <c r="NQ502" i="2"/>
  <c r="AW25" i="55" s="1"/>
  <c r="NP502" i="2"/>
  <c r="NO502" i="2"/>
  <c r="NN502" i="2"/>
  <c r="NM502" i="2"/>
  <c r="NL502" i="2"/>
  <c r="NK502" i="2"/>
  <c r="NJ502" i="2"/>
  <c r="NI502" i="2"/>
  <c r="NH502" i="2"/>
  <c r="NG502" i="2"/>
  <c r="NT501" i="2"/>
  <c r="NS501" i="2"/>
  <c r="NR501" i="2"/>
  <c r="AX24" i="55" s="1"/>
  <c r="NQ501" i="2"/>
  <c r="AW24" i="55" s="1"/>
  <c r="NP501" i="2"/>
  <c r="NO501" i="2"/>
  <c r="NN501" i="2"/>
  <c r="NM501" i="2"/>
  <c r="NL501" i="2"/>
  <c r="NK501" i="2"/>
  <c r="NJ501" i="2"/>
  <c r="NI501" i="2"/>
  <c r="NH501" i="2"/>
  <c r="NG501" i="2"/>
  <c r="NT500" i="2"/>
  <c r="NS500" i="2"/>
  <c r="NR500" i="2"/>
  <c r="AX23" i="55" s="1"/>
  <c r="NQ500" i="2"/>
  <c r="AW23" i="55" s="1"/>
  <c r="NP500" i="2"/>
  <c r="NO500" i="2"/>
  <c r="NN500" i="2"/>
  <c r="NM500" i="2"/>
  <c r="NL500" i="2"/>
  <c r="NK500" i="2"/>
  <c r="NJ500" i="2"/>
  <c r="NI500" i="2"/>
  <c r="NH500" i="2"/>
  <c r="NG500" i="2"/>
  <c r="NT499" i="2"/>
  <c r="NS499" i="2"/>
  <c r="NR499" i="2"/>
  <c r="AX22" i="55" s="1"/>
  <c r="NQ499" i="2"/>
  <c r="AW22" i="55" s="1"/>
  <c r="NP499" i="2"/>
  <c r="NO499" i="2"/>
  <c r="NN499" i="2"/>
  <c r="NM499" i="2"/>
  <c r="NL499" i="2"/>
  <c r="NK499" i="2"/>
  <c r="NJ499" i="2"/>
  <c r="NI499" i="2"/>
  <c r="NH499" i="2"/>
  <c r="NG499" i="2"/>
  <c r="NT498" i="2"/>
  <c r="NS498" i="2"/>
  <c r="NR498" i="2"/>
  <c r="AX21" i="55" s="1"/>
  <c r="NQ498" i="2"/>
  <c r="AW21" i="55" s="1"/>
  <c r="NP498" i="2"/>
  <c r="NO498" i="2"/>
  <c r="NN498" i="2"/>
  <c r="NM498" i="2"/>
  <c r="NL498" i="2"/>
  <c r="NK498" i="2"/>
  <c r="NJ498" i="2"/>
  <c r="NI498" i="2"/>
  <c r="NH498" i="2"/>
  <c r="NG498" i="2"/>
  <c r="NT497" i="2"/>
  <c r="NS497" i="2"/>
  <c r="NR497" i="2"/>
  <c r="AX20" i="55" s="1"/>
  <c r="NQ497" i="2"/>
  <c r="AW20" i="55" s="1"/>
  <c r="NP497" i="2"/>
  <c r="NO497" i="2"/>
  <c r="NN497" i="2"/>
  <c r="NM497" i="2"/>
  <c r="NL497" i="2"/>
  <c r="NK497" i="2"/>
  <c r="NJ497" i="2"/>
  <c r="NI497" i="2"/>
  <c r="NH497" i="2"/>
  <c r="NG497" i="2"/>
  <c r="NT496" i="2"/>
  <c r="NS496" i="2"/>
  <c r="NR496" i="2"/>
  <c r="AX19" i="55" s="1"/>
  <c r="NQ496" i="2"/>
  <c r="AW19" i="55" s="1"/>
  <c r="NP496" i="2"/>
  <c r="NO496" i="2"/>
  <c r="NN496" i="2"/>
  <c r="NM496" i="2"/>
  <c r="NL496" i="2"/>
  <c r="NK496" i="2"/>
  <c r="NJ496" i="2"/>
  <c r="NI496" i="2"/>
  <c r="NH496" i="2"/>
  <c r="NG496" i="2"/>
  <c r="NT495" i="2"/>
  <c r="NS495" i="2"/>
  <c r="NR495" i="2"/>
  <c r="AX18" i="55" s="1"/>
  <c r="NQ495" i="2"/>
  <c r="AW18" i="55" s="1"/>
  <c r="NP495" i="2"/>
  <c r="NO495" i="2"/>
  <c r="NN495" i="2"/>
  <c r="NM495" i="2"/>
  <c r="NL495" i="2"/>
  <c r="NK495" i="2"/>
  <c r="NJ495" i="2"/>
  <c r="NI495" i="2"/>
  <c r="NH495" i="2"/>
  <c r="NG495" i="2"/>
  <c r="NT494" i="2"/>
  <c r="NS494" i="2"/>
  <c r="NR494" i="2"/>
  <c r="AX17" i="55" s="1"/>
  <c r="NQ494" i="2"/>
  <c r="AW17" i="55" s="1"/>
  <c r="NP494" i="2"/>
  <c r="NO494" i="2"/>
  <c r="NN494" i="2"/>
  <c r="NM494" i="2"/>
  <c r="NL494" i="2"/>
  <c r="NK494" i="2"/>
  <c r="NJ494" i="2"/>
  <c r="NI494" i="2"/>
  <c r="NH494" i="2"/>
  <c r="NG494" i="2"/>
  <c r="NT493" i="2"/>
  <c r="NS493" i="2"/>
  <c r="NR493" i="2"/>
  <c r="AX16" i="55" s="1"/>
  <c r="NQ493" i="2"/>
  <c r="AW16" i="55" s="1"/>
  <c r="NP493" i="2"/>
  <c r="NO493" i="2"/>
  <c r="NN493" i="2"/>
  <c r="NM493" i="2"/>
  <c r="NL493" i="2"/>
  <c r="NK493" i="2"/>
  <c r="NJ493" i="2"/>
  <c r="NI493" i="2"/>
  <c r="NH493" i="2"/>
  <c r="NG493" i="2"/>
  <c r="NS492" i="2"/>
  <c r="NR492" i="2"/>
  <c r="AX15" i="55" s="1"/>
  <c r="NQ492" i="2"/>
  <c r="AW15" i="55" s="1"/>
  <c r="NP492" i="2"/>
  <c r="NO492" i="2"/>
  <c r="NN492" i="2"/>
  <c r="NM492" i="2"/>
  <c r="NL492" i="2"/>
  <c r="NK492" i="2"/>
  <c r="NJ492" i="2"/>
  <c r="NI492" i="2"/>
  <c r="NH492" i="2"/>
  <c r="NG492" i="2"/>
  <c r="NT491" i="2"/>
  <c r="NS491" i="2"/>
  <c r="NR491" i="2"/>
  <c r="AX14" i="55" s="1"/>
  <c r="NQ491" i="2"/>
  <c r="AW14" i="55" s="1"/>
  <c r="NP491" i="2"/>
  <c r="NO491" i="2"/>
  <c r="NN491" i="2"/>
  <c r="NM491" i="2"/>
  <c r="NL491" i="2"/>
  <c r="NK491" i="2"/>
  <c r="NJ491" i="2"/>
  <c r="NI491" i="2"/>
  <c r="NH491" i="2"/>
  <c r="NG491" i="2"/>
  <c r="NT490" i="2"/>
  <c r="NS490" i="2"/>
  <c r="NR490" i="2"/>
  <c r="AX13" i="55" s="1"/>
  <c r="NQ490" i="2"/>
  <c r="AW13" i="55" s="1"/>
  <c r="NP490" i="2"/>
  <c r="NO490" i="2"/>
  <c r="NN490" i="2"/>
  <c r="NM490" i="2"/>
  <c r="NL490" i="2"/>
  <c r="NK490" i="2"/>
  <c r="NJ490" i="2"/>
  <c r="NI490" i="2"/>
  <c r="NH490" i="2"/>
  <c r="NG490" i="2"/>
  <c r="NT489" i="2"/>
  <c r="NS489" i="2"/>
  <c r="NR489" i="2"/>
  <c r="AX12" i="55" s="1"/>
  <c r="NQ489" i="2"/>
  <c r="AW12" i="55" s="1"/>
  <c r="NP489" i="2"/>
  <c r="NO489" i="2"/>
  <c r="NN489" i="2"/>
  <c r="NM489" i="2"/>
  <c r="NL489" i="2"/>
  <c r="NK489" i="2"/>
  <c r="NJ489" i="2"/>
  <c r="NI489" i="2"/>
  <c r="NH489" i="2"/>
  <c r="NG489" i="2"/>
  <c r="NT488" i="2"/>
  <c r="NS488" i="2"/>
  <c r="NR488" i="2"/>
  <c r="AX11" i="55" s="1"/>
  <c r="NQ488" i="2"/>
  <c r="AW11" i="55" s="1"/>
  <c r="NP488" i="2"/>
  <c r="NO488" i="2"/>
  <c r="NN488" i="2"/>
  <c r="NM488" i="2"/>
  <c r="NL488" i="2"/>
  <c r="NK488" i="2"/>
  <c r="NJ488" i="2"/>
  <c r="NI488" i="2"/>
  <c r="NH488" i="2"/>
  <c r="NG488" i="2"/>
  <c r="NT487" i="2"/>
  <c r="NS487" i="2"/>
  <c r="NR487" i="2"/>
  <c r="AX10" i="55" s="1"/>
  <c r="NQ487" i="2"/>
  <c r="AW10" i="55" s="1"/>
  <c r="NP487" i="2"/>
  <c r="NO487" i="2"/>
  <c r="NN487" i="2"/>
  <c r="NM487" i="2"/>
  <c r="NL487" i="2"/>
  <c r="NK487" i="2"/>
  <c r="NJ487" i="2"/>
  <c r="NI487" i="2"/>
  <c r="NH487" i="2"/>
  <c r="NG487" i="2"/>
  <c r="NT486" i="2"/>
  <c r="NS486" i="2"/>
  <c r="NR486" i="2"/>
  <c r="AX9" i="55" s="1"/>
  <c r="NQ486" i="2"/>
  <c r="AW9" i="55" s="1"/>
  <c r="NP486" i="2"/>
  <c r="NO486" i="2"/>
  <c r="NN486" i="2"/>
  <c r="NM486" i="2"/>
  <c r="NL486" i="2"/>
  <c r="NK486" i="2"/>
  <c r="NJ486" i="2"/>
  <c r="NI486" i="2"/>
  <c r="NH486" i="2"/>
  <c r="NG486" i="2"/>
  <c r="NT485" i="2"/>
  <c r="NS485" i="2"/>
  <c r="NR485" i="2"/>
  <c r="AX8" i="55" s="1"/>
  <c r="NQ485" i="2"/>
  <c r="AW8" i="55" s="1"/>
  <c r="NP485" i="2"/>
  <c r="NO485" i="2"/>
  <c r="NN485" i="2"/>
  <c r="NM485" i="2"/>
  <c r="NL485" i="2"/>
  <c r="NK485" i="2"/>
  <c r="NJ485" i="2"/>
  <c r="NI485" i="2"/>
  <c r="NH485" i="2"/>
  <c r="NG485" i="2"/>
  <c r="ND521" i="2"/>
  <c r="NC521" i="2"/>
  <c r="NB521" i="2"/>
  <c r="NA521" i="2"/>
  <c r="MZ521" i="2"/>
  <c r="AV44" i="50" s="1"/>
  <c r="MY521" i="2"/>
  <c r="AU44" i="50" s="1"/>
  <c r="MX521" i="2"/>
  <c r="MW521" i="2"/>
  <c r="MV521" i="2"/>
  <c r="MU521" i="2"/>
  <c r="MT521" i="2"/>
  <c r="MS521" i="2"/>
  <c r="MR521" i="2"/>
  <c r="MQ521" i="2"/>
  <c r="ND520" i="2"/>
  <c r="NC520" i="2"/>
  <c r="NB520" i="2"/>
  <c r="NA520" i="2"/>
  <c r="MZ520" i="2"/>
  <c r="AV43" i="50" s="1"/>
  <c r="MY520" i="2"/>
  <c r="AU43" i="50" s="1"/>
  <c r="MX520" i="2"/>
  <c r="MW520" i="2"/>
  <c r="MV520" i="2"/>
  <c r="MU520" i="2"/>
  <c r="MT520" i="2"/>
  <c r="MS520" i="2"/>
  <c r="MR520" i="2"/>
  <c r="MQ520" i="2"/>
  <c r="ND519" i="2"/>
  <c r="NC519" i="2"/>
  <c r="NB519" i="2"/>
  <c r="NA519" i="2"/>
  <c r="MZ519" i="2"/>
  <c r="AV42" i="50" s="1"/>
  <c r="MY519" i="2"/>
  <c r="AU42" i="50" s="1"/>
  <c r="MX519" i="2"/>
  <c r="MW519" i="2"/>
  <c r="MV519" i="2"/>
  <c r="MU519" i="2"/>
  <c r="MT519" i="2"/>
  <c r="MS519" i="2"/>
  <c r="MR519" i="2"/>
  <c r="MQ519" i="2"/>
  <c r="ND518" i="2"/>
  <c r="NC518" i="2"/>
  <c r="NB518" i="2"/>
  <c r="NA518" i="2"/>
  <c r="MZ518" i="2"/>
  <c r="AV41" i="50" s="1"/>
  <c r="MY518" i="2"/>
  <c r="AU41" i="50" s="1"/>
  <c r="MX518" i="2"/>
  <c r="MW518" i="2"/>
  <c r="MV518" i="2"/>
  <c r="MU518" i="2"/>
  <c r="MT518" i="2"/>
  <c r="MS518" i="2"/>
  <c r="MR518" i="2"/>
  <c r="MQ518" i="2"/>
  <c r="ND517" i="2"/>
  <c r="NC517" i="2"/>
  <c r="NB517" i="2"/>
  <c r="NA517" i="2"/>
  <c r="MZ517" i="2"/>
  <c r="AV40" i="50" s="1"/>
  <c r="MY517" i="2"/>
  <c r="AU40" i="50" s="1"/>
  <c r="MX517" i="2"/>
  <c r="MW517" i="2"/>
  <c r="MV517" i="2"/>
  <c r="MU517" i="2"/>
  <c r="MT517" i="2"/>
  <c r="MS517" i="2"/>
  <c r="MR517" i="2"/>
  <c r="MQ517" i="2"/>
  <c r="ND516" i="2"/>
  <c r="NC516" i="2"/>
  <c r="NB516" i="2"/>
  <c r="NA516" i="2"/>
  <c r="MZ516" i="2"/>
  <c r="AV39" i="50" s="1"/>
  <c r="MY516" i="2"/>
  <c r="AU39" i="50" s="1"/>
  <c r="MX516" i="2"/>
  <c r="MW516" i="2"/>
  <c r="MV516" i="2"/>
  <c r="MU516" i="2"/>
  <c r="MT516" i="2"/>
  <c r="MS516" i="2"/>
  <c r="MR516" i="2"/>
  <c r="MQ516" i="2"/>
  <c r="ND515" i="2"/>
  <c r="NC515" i="2"/>
  <c r="NB515" i="2"/>
  <c r="NA515" i="2"/>
  <c r="MZ515" i="2"/>
  <c r="AV38" i="50" s="1"/>
  <c r="MY515" i="2"/>
  <c r="AU38" i="50" s="1"/>
  <c r="MX515" i="2"/>
  <c r="MW515" i="2"/>
  <c r="MV515" i="2"/>
  <c r="MU515" i="2"/>
  <c r="MT515" i="2"/>
  <c r="MS515" i="2"/>
  <c r="MR515" i="2"/>
  <c r="MQ515" i="2"/>
  <c r="ND514" i="2"/>
  <c r="NC514" i="2"/>
  <c r="NB514" i="2"/>
  <c r="NA514" i="2"/>
  <c r="MZ514" i="2"/>
  <c r="AV37" i="50" s="1"/>
  <c r="MY514" i="2"/>
  <c r="AU37" i="50" s="1"/>
  <c r="MX514" i="2"/>
  <c r="MW514" i="2"/>
  <c r="MV514" i="2"/>
  <c r="MU514" i="2"/>
  <c r="MT514" i="2"/>
  <c r="MS514" i="2"/>
  <c r="MR514" i="2"/>
  <c r="MQ514" i="2"/>
  <c r="ND513" i="2"/>
  <c r="NC513" i="2"/>
  <c r="NB513" i="2"/>
  <c r="NA513" i="2"/>
  <c r="MZ513" i="2"/>
  <c r="MY513" i="2"/>
  <c r="MX513" i="2"/>
  <c r="MW513" i="2"/>
  <c r="MV513" i="2"/>
  <c r="MU513" i="2"/>
  <c r="MT513" i="2"/>
  <c r="MS513" i="2"/>
  <c r="MR513" i="2"/>
  <c r="MQ513" i="2"/>
  <c r="ND512" i="2"/>
  <c r="NC512" i="2"/>
  <c r="NB512" i="2"/>
  <c r="NA512" i="2"/>
  <c r="MZ512" i="2"/>
  <c r="MY512" i="2"/>
  <c r="MX512" i="2"/>
  <c r="MW512" i="2"/>
  <c r="MV512" i="2"/>
  <c r="MU512" i="2"/>
  <c r="MT512" i="2"/>
  <c r="MS512" i="2"/>
  <c r="MR512" i="2"/>
  <c r="MQ512" i="2"/>
  <c r="ND511" i="2"/>
  <c r="NC511" i="2"/>
  <c r="NB511" i="2"/>
  <c r="NA511" i="2"/>
  <c r="MZ511" i="2"/>
  <c r="MY511" i="2"/>
  <c r="MX511" i="2"/>
  <c r="MW511" i="2"/>
  <c r="MV511" i="2"/>
  <c r="MU511" i="2"/>
  <c r="MT511" i="2"/>
  <c r="MS511" i="2"/>
  <c r="MR511" i="2"/>
  <c r="MQ511" i="2"/>
  <c r="ND510" i="2"/>
  <c r="NC510" i="2"/>
  <c r="NB510" i="2"/>
  <c r="NA510" i="2"/>
  <c r="MZ510" i="2"/>
  <c r="MY510" i="2"/>
  <c r="MX510" i="2"/>
  <c r="MW510" i="2"/>
  <c r="MV510" i="2"/>
  <c r="MU510" i="2"/>
  <c r="MT510" i="2"/>
  <c r="MS510" i="2"/>
  <c r="MR510" i="2"/>
  <c r="MQ510" i="2"/>
  <c r="ND509" i="2"/>
  <c r="NC509" i="2"/>
  <c r="NB509" i="2"/>
  <c r="NA509" i="2"/>
  <c r="MZ509" i="2"/>
  <c r="MY509" i="2"/>
  <c r="MX509" i="2"/>
  <c r="MW509" i="2"/>
  <c r="MV509" i="2"/>
  <c r="MU509" i="2"/>
  <c r="MT509" i="2"/>
  <c r="MS509" i="2"/>
  <c r="MR509" i="2"/>
  <c r="MQ509" i="2"/>
  <c r="ND508" i="2"/>
  <c r="NC508" i="2"/>
  <c r="NB508" i="2"/>
  <c r="NA508" i="2"/>
  <c r="MZ508" i="2"/>
  <c r="MY508" i="2"/>
  <c r="MX508" i="2"/>
  <c r="MW508" i="2"/>
  <c r="MV508" i="2"/>
  <c r="MU508" i="2"/>
  <c r="MT508" i="2"/>
  <c r="MS508" i="2"/>
  <c r="MR508" i="2"/>
  <c r="MQ508" i="2"/>
  <c r="ND507" i="2"/>
  <c r="NC507" i="2"/>
  <c r="NB507" i="2"/>
  <c r="NA507" i="2"/>
  <c r="MZ507" i="2"/>
  <c r="MY507" i="2"/>
  <c r="MX507" i="2"/>
  <c r="MW507" i="2"/>
  <c r="MV507" i="2"/>
  <c r="MU507" i="2"/>
  <c r="MT507" i="2"/>
  <c r="MS507" i="2"/>
  <c r="MR507" i="2"/>
  <c r="MQ507" i="2"/>
  <c r="ND506" i="2"/>
  <c r="NC506" i="2"/>
  <c r="NB506" i="2"/>
  <c r="NA506" i="2"/>
  <c r="MZ506" i="2"/>
  <c r="MY506" i="2"/>
  <c r="MX506" i="2"/>
  <c r="MW506" i="2"/>
  <c r="MV506" i="2"/>
  <c r="MU506" i="2"/>
  <c r="MT506" i="2"/>
  <c r="MS506" i="2"/>
  <c r="MR506" i="2"/>
  <c r="MQ506" i="2"/>
  <c r="ND505" i="2"/>
  <c r="NC505" i="2"/>
  <c r="NB505" i="2"/>
  <c r="NA505" i="2"/>
  <c r="MZ505" i="2"/>
  <c r="MY505" i="2"/>
  <c r="MX505" i="2"/>
  <c r="MW505" i="2"/>
  <c r="MV505" i="2"/>
  <c r="MU505" i="2"/>
  <c r="MT505" i="2"/>
  <c r="MS505" i="2"/>
  <c r="MR505" i="2"/>
  <c r="MQ505" i="2"/>
  <c r="ND504" i="2"/>
  <c r="NC504" i="2"/>
  <c r="NB504" i="2"/>
  <c r="NA504" i="2"/>
  <c r="MZ504" i="2"/>
  <c r="MY504" i="2"/>
  <c r="MX504" i="2"/>
  <c r="MW504" i="2"/>
  <c r="MV504" i="2"/>
  <c r="MU504" i="2"/>
  <c r="MT504" i="2"/>
  <c r="MS504" i="2"/>
  <c r="MR504" i="2"/>
  <c r="MQ504" i="2"/>
  <c r="ND503" i="2"/>
  <c r="NC503" i="2"/>
  <c r="NB503" i="2"/>
  <c r="NA503" i="2"/>
  <c r="MZ503" i="2"/>
  <c r="MY503" i="2"/>
  <c r="MX503" i="2"/>
  <c r="MW503" i="2"/>
  <c r="MV503" i="2"/>
  <c r="MU503" i="2"/>
  <c r="MT503" i="2"/>
  <c r="MS503" i="2"/>
  <c r="MR503" i="2"/>
  <c r="MQ503" i="2"/>
  <c r="ND502" i="2"/>
  <c r="NC502" i="2"/>
  <c r="NB502" i="2"/>
  <c r="NA502" i="2"/>
  <c r="MZ502" i="2"/>
  <c r="MY502" i="2"/>
  <c r="MX502" i="2"/>
  <c r="MW502" i="2"/>
  <c r="MV502" i="2"/>
  <c r="MU502" i="2"/>
  <c r="MT502" i="2"/>
  <c r="MS502" i="2"/>
  <c r="MR502" i="2"/>
  <c r="MQ502" i="2"/>
  <c r="ND501" i="2"/>
  <c r="NC501" i="2"/>
  <c r="NB501" i="2"/>
  <c r="NA501" i="2"/>
  <c r="MZ501" i="2"/>
  <c r="MY501" i="2"/>
  <c r="MX501" i="2"/>
  <c r="MW501" i="2"/>
  <c r="MV501" i="2"/>
  <c r="MU501" i="2"/>
  <c r="MT501" i="2"/>
  <c r="MS501" i="2"/>
  <c r="MR501" i="2"/>
  <c r="MQ501" i="2"/>
  <c r="ND500" i="2"/>
  <c r="NC500" i="2"/>
  <c r="NB500" i="2"/>
  <c r="NA500" i="2"/>
  <c r="MZ500" i="2"/>
  <c r="MY500" i="2"/>
  <c r="MX500" i="2"/>
  <c r="MW500" i="2"/>
  <c r="MV500" i="2"/>
  <c r="MU500" i="2"/>
  <c r="MT500" i="2"/>
  <c r="MS500" i="2"/>
  <c r="MR500" i="2"/>
  <c r="MQ500" i="2"/>
  <c r="ND499" i="2"/>
  <c r="NC499" i="2"/>
  <c r="NB499" i="2"/>
  <c r="NA499" i="2"/>
  <c r="MZ499" i="2"/>
  <c r="MY499" i="2"/>
  <c r="MX499" i="2"/>
  <c r="MW499" i="2"/>
  <c r="MV499" i="2"/>
  <c r="MU499" i="2"/>
  <c r="MT499" i="2"/>
  <c r="MS499" i="2"/>
  <c r="MR499" i="2"/>
  <c r="MQ499" i="2"/>
  <c r="ND498" i="2"/>
  <c r="NC498" i="2"/>
  <c r="NB498" i="2"/>
  <c r="NA498" i="2"/>
  <c r="MZ498" i="2"/>
  <c r="MY498" i="2"/>
  <c r="MX498" i="2"/>
  <c r="MW498" i="2"/>
  <c r="MV498" i="2"/>
  <c r="MU498" i="2"/>
  <c r="MT498" i="2"/>
  <c r="MS498" i="2"/>
  <c r="MR498" i="2"/>
  <c r="MQ498" i="2"/>
  <c r="ND497" i="2"/>
  <c r="NC497" i="2"/>
  <c r="NB497" i="2"/>
  <c r="NA497" i="2"/>
  <c r="MZ497" i="2"/>
  <c r="MY497" i="2"/>
  <c r="MX497" i="2"/>
  <c r="MW497" i="2"/>
  <c r="MV497" i="2"/>
  <c r="MU497" i="2"/>
  <c r="MT497" i="2"/>
  <c r="MS497" i="2"/>
  <c r="MR497" i="2"/>
  <c r="MQ497" i="2"/>
  <c r="ND496" i="2"/>
  <c r="NC496" i="2"/>
  <c r="NB496" i="2"/>
  <c r="NA496" i="2"/>
  <c r="MZ496" i="2"/>
  <c r="MY496" i="2"/>
  <c r="MX496" i="2"/>
  <c r="MW496" i="2"/>
  <c r="MV496" i="2"/>
  <c r="MU496" i="2"/>
  <c r="MT496" i="2"/>
  <c r="MS496" i="2"/>
  <c r="MR496" i="2"/>
  <c r="MQ496" i="2"/>
  <c r="ND495" i="2"/>
  <c r="NC495" i="2"/>
  <c r="NB495" i="2"/>
  <c r="NA495" i="2"/>
  <c r="MZ495" i="2"/>
  <c r="MY495" i="2"/>
  <c r="MX495" i="2"/>
  <c r="MW495" i="2"/>
  <c r="MV495" i="2"/>
  <c r="MU495" i="2"/>
  <c r="MT495" i="2"/>
  <c r="MS495" i="2"/>
  <c r="MR495" i="2"/>
  <c r="MQ495" i="2"/>
  <c r="ND494" i="2"/>
  <c r="NC494" i="2"/>
  <c r="NB494" i="2"/>
  <c r="NA494" i="2"/>
  <c r="MZ494" i="2"/>
  <c r="MY494" i="2"/>
  <c r="MX494" i="2"/>
  <c r="MW494" i="2"/>
  <c r="MV494" i="2"/>
  <c r="MU494" i="2"/>
  <c r="MT494" i="2"/>
  <c r="MS494" i="2"/>
  <c r="MR494" i="2"/>
  <c r="MQ494" i="2"/>
  <c r="ND493" i="2"/>
  <c r="NC493" i="2"/>
  <c r="NB493" i="2"/>
  <c r="NA493" i="2"/>
  <c r="MZ493" i="2"/>
  <c r="MY493" i="2"/>
  <c r="MX493" i="2"/>
  <c r="MW493" i="2"/>
  <c r="MV493" i="2"/>
  <c r="MU493" i="2"/>
  <c r="MT493" i="2"/>
  <c r="MS493" i="2"/>
  <c r="MR493" i="2"/>
  <c r="MQ493" i="2"/>
  <c r="ND492" i="2"/>
  <c r="NC492" i="2"/>
  <c r="NB492" i="2"/>
  <c r="NA492" i="2"/>
  <c r="MZ492" i="2"/>
  <c r="MY492" i="2"/>
  <c r="MX492" i="2"/>
  <c r="MW492" i="2"/>
  <c r="MV492" i="2"/>
  <c r="MU492" i="2"/>
  <c r="MT492" i="2"/>
  <c r="MS492" i="2"/>
  <c r="MR492" i="2"/>
  <c r="MQ492" i="2"/>
  <c r="ND491" i="2"/>
  <c r="NC491" i="2"/>
  <c r="NB491" i="2"/>
  <c r="NA491" i="2"/>
  <c r="MZ491" i="2"/>
  <c r="MY491" i="2"/>
  <c r="MX491" i="2"/>
  <c r="MW491" i="2"/>
  <c r="MV491" i="2"/>
  <c r="MU491" i="2"/>
  <c r="MT491" i="2"/>
  <c r="MS491" i="2"/>
  <c r="MR491" i="2"/>
  <c r="MQ491" i="2"/>
  <c r="ND490" i="2"/>
  <c r="NC490" i="2"/>
  <c r="NB490" i="2"/>
  <c r="NA490" i="2"/>
  <c r="MZ490" i="2"/>
  <c r="MY490" i="2"/>
  <c r="MX490" i="2"/>
  <c r="MW490" i="2"/>
  <c r="MV490" i="2"/>
  <c r="MU490" i="2"/>
  <c r="MT490" i="2"/>
  <c r="MS490" i="2"/>
  <c r="MR490" i="2"/>
  <c r="MQ490" i="2"/>
  <c r="ND489" i="2"/>
  <c r="NC489" i="2"/>
  <c r="NB489" i="2"/>
  <c r="NA489" i="2"/>
  <c r="MZ489" i="2"/>
  <c r="MY489" i="2"/>
  <c r="MX489" i="2"/>
  <c r="MW489" i="2"/>
  <c r="MV489" i="2"/>
  <c r="MU489" i="2"/>
  <c r="MT489" i="2"/>
  <c r="MS489" i="2"/>
  <c r="MR489" i="2"/>
  <c r="MQ489" i="2"/>
  <c r="ND488" i="2"/>
  <c r="NC488" i="2"/>
  <c r="NB488" i="2"/>
  <c r="NA488" i="2"/>
  <c r="MZ488" i="2"/>
  <c r="MY488" i="2"/>
  <c r="MX488" i="2"/>
  <c r="MW488" i="2"/>
  <c r="MV488" i="2"/>
  <c r="MU488" i="2"/>
  <c r="MT488" i="2"/>
  <c r="MS488" i="2"/>
  <c r="MR488" i="2"/>
  <c r="MQ488" i="2"/>
  <c r="ND487" i="2"/>
  <c r="NC487" i="2"/>
  <c r="NB487" i="2"/>
  <c r="NA487" i="2"/>
  <c r="MZ487" i="2"/>
  <c r="MY487" i="2"/>
  <c r="MX487" i="2"/>
  <c r="MW487" i="2"/>
  <c r="MV487" i="2"/>
  <c r="MU487" i="2"/>
  <c r="MT487" i="2"/>
  <c r="MS487" i="2"/>
  <c r="MR487" i="2"/>
  <c r="MQ487" i="2"/>
  <c r="ND486" i="2"/>
  <c r="NC486" i="2"/>
  <c r="NB486" i="2"/>
  <c r="NA486" i="2"/>
  <c r="MZ486" i="2"/>
  <c r="MY486" i="2"/>
  <c r="MX486" i="2"/>
  <c r="MW486" i="2"/>
  <c r="MV486" i="2"/>
  <c r="MU486" i="2"/>
  <c r="MT486" i="2"/>
  <c r="MS486" i="2"/>
  <c r="MR486" i="2"/>
  <c r="MQ486" i="2"/>
  <c r="ND485" i="2"/>
  <c r="NC485" i="2"/>
  <c r="NB485" i="2"/>
  <c r="NA485" i="2"/>
  <c r="MZ485" i="2"/>
  <c r="MY485" i="2"/>
  <c r="MX485" i="2"/>
  <c r="MW485" i="2"/>
  <c r="MV485" i="2"/>
  <c r="MU485" i="2"/>
  <c r="MT485" i="2"/>
  <c r="MS485" i="2"/>
  <c r="MR485" i="2"/>
  <c r="MQ485" i="2"/>
  <c r="LX521" i="2"/>
  <c r="LW521" i="2"/>
  <c r="LV521" i="2"/>
  <c r="LU521" i="2"/>
  <c r="LT521" i="2"/>
  <c r="AR44" i="50" s="1"/>
  <c r="LS521" i="2"/>
  <c r="AQ44" i="50" s="1"/>
  <c r="LR521" i="2"/>
  <c r="LQ521" i="2"/>
  <c r="LP521" i="2"/>
  <c r="LO521" i="2"/>
  <c r="LN521" i="2"/>
  <c r="LM521" i="2"/>
  <c r="LL521" i="2"/>
  <c r="LK521" i="2"/>
  <c r="LX520" i="2"/>
  <c r="LW520" i="2"/>
  <c r="LV520" i="2"/>
  <c r="LU520" i="2"/>
  <c r="LT520" i="2"/>
  <c r="AR43" i="50" s="1"/>
  <c r="LS520" i="2"/>
  <c r="AQ43" i="50" s="1"/>
  <c r="LR520" i="2"/>
  <c r="LQ520" i="2"/>
  <c r="LP520" i="2"/>
  <c r="LO520" i="2"/>
  <c r="LN520" i="2"/>
  <c r="LM520" i="2"/>
  <c r="LL520" i="2"/>
  <c r="LK520" i="2"/>
  <c r="LX519" i="2"/>
  <c r="LW519" i="2"/>
  <c r="LV519" i="2"/>
  <c r="LU519" i="2"/>
  <c r="LT519" i="2"/>
  <c r="AR42" i="50" s="1"/>
  <c r="LS519" i="2"/>
  <c r="AQ42" i="50" s="1"/>
  <c r="LR519" i="2"/>
  <c r="LQ519" i="2"/>
  <c r="LP519" i="2"/>
  <c r="LO519" i="2"/>
  <c r="LN519" i="2"/>
  <c r="LM519" i="2"/>
  <c r="LL519" i="2"/>
  <c r="LK519" i="2"/>
  <c r="LX518" i="2"/>
  <c r="LW518" i="2"/>
  <c r="LV518" i="2"/>
  <c r="LU518" i="2"/>
  <c r="LT518" i="2"/>
  <c r="AR41" i="50" s="1"/>
  <c r="LS518" i="2"/>
  <c r="AQ41" i="50" s="1"/>
  <c r="LR518" i="2"/>
  <c r="LQ518" i="2"/>
  <c r="LP518" i="2"/>
  <c r="LO518" i="2"/>
  <c r="LN518" i="2"/>
  <c r="LM518" i="2"/>
  <c r="LL518" i="2"/>
  <c r="LK518" i="2"/>
  <c r="LX517" i="2"/>
  <c r="LW517" i="2"/>
  <c r="LV517" i="2"/>
  <c r="LU517" i="2"/>
  <c r="LT517" i="2"/>
  <c r="AR40" i="50" s="1"/>
  <c r="LS517" i="2"/>
  <c r="AQ40" i="50" s="1"/>
  <c r="LR517" i="2"/>
  <c r="LQ517" i="2"/>
  <c r="LP517" i="2"/>
  <c r="LO517" i="2"/>
  <c r="LN517" i="2"/>
  <c r="LM517" i="2"/>
  <c r="LL517" i="2"/>
  <c r="LK517" i="2"/>
  <c r="LX516" i="2"/>
  <c r="LW516" i="2"/>
  <c r="LV516" i="2"/>
  <c r="LU516" i="2"/>
  <c r="LT516" i="2"/>
  <c r="AR39" i="50" s="1"/>
  <c r="LS516" i="2"/>
  <c r="AQ39" i="50" s="1"/>
  <c r="LR516" i="2"/>
  <c r="LQ516" i="2"/>
  <c r="LP516" i="2"/>
  <c r="LO516" i="2"/>
  <c r="LN516" i="2"/>
  <c r="LM516" i="2"/>
  <c r="LL516" i="2"/>
  <c r="LK516" i="2"/>
  <c r="LX515" i="2"/>
  <c r="LW515" i="2"/>
  <c r="LV515" i="2"/>
  <c r="LU515" i="2"/>
  <c r="LT515" i="2"/>
  <c r="AR38" i="50" s="1"/>
  <c r="LS515" i="2"/>
  <c r="AQ38" i="50" s="1"/>
  <c r="LR515" i="2"/>
  <c r="LQ515" i="2"/>
  <c r="LP515" i="2"/>
  <c r="LO515" i="2"/>
  <c r="LN515" i="2"/>
  <c r="LM515" i="2"/>
  <c r="LL515" i="2"/>
  <c r="LK515" i="2"/>
  <c r="LX514" i="2"/>
  <c r="LW514" i="2"/>
  <c r="LV514" i="2"/>
  <c r="LU514" i="2"/>
  <c r="LT514" i="2"/>
  <c r="AR37" i="50" s="1"/>
  <c r="LS514" i="2"/>
  <c r="AQ37" i="50" s="1"/>
  <c r="LR514" i="2"/>
  <c r="LQ514" i="2"/>
  <c r="LP514" i="2"/>
  <c r="LO514" i="2"/>
  <c r="LN514" i="2"/>
  <c r="LM514" i="2"/>
  <c r="LL514" i="2"/>
  <c r="LK514" i="2"/>
  <c r="LX513" i="2"/>
  <c r="LW513" i="2"/>
  <c r="LV513" i="2"/>
  <c r="LU513" i="2"/>
  <c r="LT513" i="2"/>
  <c r="LS513" i="2"/>
  <c r="LR513" i="2"/>
  <c r="LQ513" i="2"/>
  <c r="LP513" i="2"/>
  <c r="LO513" i="2"/>
  <c r="LN513" i="2"/>
  <c r="LM513" i="2"/>
  <c r="LL513" i="2"/>
  <c r="LK513" i="2"/>
  <c r="LX512" i="2"/>
  <c r="LW512" i="2"/>
  <c r="LV512" i="2"/>
  <c r="LU512" i="2"/>
  <c r="LT512" i="2"/>
  <c r="LS512" i="2"/>
  <c r="LR512" i="2"/>
  <c r="LQ512" i="2"/>
  <c r="LP512" i="2"/>
  <c r="LO512" i="2"/>
  <c r="LN512" i="2"/>
  <c r="LM512" i="2"/>
  <c r="LL512" i="2"/>
  <c r="LK512" i="2"/>
  <c r="LX511" i="2"/>
  <c r="LW511" i="2"/>
  <c r="LV511" i="2"/>
  <c r="LU511" i="2"/>
  <c r="LT511" i="2"/>
  <c r="LS511" i="2"/>
  <c r="LR511" i="2"/>
  <c r="LQ511" i="2"/>
  <c r="LP511" i="2"/>
  <c r="LO511" i="2"/>
  <c r="LN511" i="2"/>
  <c r="LM511" i="2"/>
  <c r="LL511" i="2"/>
  <c r="LK511" i="2"/>
  <c r="LX510" i="2"/>
  <c r="LW510" i="2"/>
  <c r="LV510" i="2"/>
  <c r="LU510" i="2"/>
  <c r="LT510" i="2"/>
  <c r="LS510" i="2"/>
  <c r="LR510" i="2"/>
  <c r="LQ510" i="2"/>
  <c r="LP510" i="2"/>
  <c r="LO510" i="2"/>
  <c r="LN510" i="2"/>
  <c r="LM510" i="2"/>
  <c r="LL510" i="2"/>
  <c r="LK510" i="2"/>
  <c r="LX509" i="2"/>
  <c r="LW509" i="2"/>
  <c r="LV509" i="2"/>
  <c r="LU509" i="2"/>
  <c r="LT509" i="2"/>
  <c r="LS509" i="2"/>
  <c r="LR509" i="2"/>
  <c r="LQ509" i="2"/>
  <c r="LP509" i="2"/>
  <c r="LO509" i="2"/>
  <c r="LN509" i="2"/>
  <c r="LM509" i="2"/>
  <c r="LL509" i="2"/>
  <c r="LK509" i="2"/>
  <c r="LX508" i="2"/>
  <c r="LW508" i="2"/>
  <c r="LV508" i="2"/>
  <c r="LU508" i="2"/>
  <c r="LT508" i="2"/>
  <c r="LS508" i="2"/>
  <c r="LR508" i="2"/>
  <c r="LQ508" i="2"/>
  <c r="LP508" i="2"/>
  <c r="LO508" i="2"/>
  <c r="LN508" i="2"/>
  <c r="LM508" i="2"/>
  <c r="LL508" i="2"/>
  <c r="LK508" i="2"/>
  <c r="LX507" i="2"/>
  <c r="LW507" i="2"/>
  <c r="LV507" i="2"/>
  <c r="LU507" i="2"/>
  <c r="LT507" i="2"/>
  <c r="LS507" i="2"/>
  <c r="LR507" i="2"/>
  <c r="LQ507" i="2"/>
  <c r="LP507" i="2"/>
  <c r="LO507" i="2"/>
  <c r="LN507" i="2"/>
  <c r="LM507" i="2"/>
  <c r="LL507" i="2"/>
  <c r="LK507" i="2"/>
  <c r="LX506" i="2"/>
  <c r="LW506" i="2"/>
  <c r="LV506" i="2"/>
  <c r="LU506" i="2"/>
  <c r="LT506" i="2"/>
  <c r="LS506" i="2"/>
  <c r="LR506" i="2"/>
  <c r="LQ506" i="2"/>
  <c r="LP506" i="2"/>
  <c r="LO506" i="2"/>
  <c r="LN506" i="2"/>
  <c r="LM506" i="2"/>
  <c r="LL506" i="2"/>
  <c r="LK506" i="2"/>
  <c r="LX505" i="2"/>
  <c r="LW505" i="2"/>
  <c r="LV505" i="2"/>
  <c r="LU505" i="2"/>
  <c r="LT505" i="2"/>
  <c r="LS505" i="2"/>
  <c r="LR505" i="2"/>
  <c r="LQ505" i="2"/>
  <c r="LP505" i="2"/>
  <c r="LO505" i="2"/>
  <c r="LN505" i="2"/>
  <c r="LM505" i="2"/>
  <c r="LL505" i="2"/>
  <c r="LK505" i="2"/>
  <c r="LX504" i="2"/>
  <c r="LW504" i="2"/>
  <c r="LV504" i="2"/>
  <c r="LU504" i="2"/>
  <c r="LT504" i="2"/>
  <c r="LS504" i="2"/>
  <c r="LR504" i="2"/>
  <c r="LQ504" i="2"/>
  <c r="LP504" i="2"/>
  <c r="LO504" i="2"/>
  <c r="LN504" i="2"/>
  <c r="LM504" i="2"/>
  <c r="LL504" i="2"/>
  <c r="LK504" i="2"/>
  <c r="LX503" i="2"/>
  <c r="LW503" i="2"/>
  <c r="LV503" i="2"/>
  <c r="LU503" i="2"/>
  <c r="LT503" i="2"/>
  <c r="LS503" i="2"/>
  <c r="LR503" i="2"/>
  <c r="LQ503" i="2"/>
  <c r="LP503" i="2"/>
  <c r="LO503" i="2"/>
  <c r="LN503" i="2"/>
  <c r="LM503" i="2"/>
  <c r="LL503" i="2"/>
  <c r="LK503" i="2"/>
  <c r="LX502" i="2"/>
  <c r="LW502" i="2"/>
  <c r="LV502" i="2"/>
  <c r="LU502" i="2"/>
  <c r="LT502" i="2"/>
  <c r="LS502" i="2"/>
  <c r="LR502" i="2"/>
  <c r="LQ502" i="2"/>
  <c r="LP502" i="2"/>
  <c r="LO502" i="2"/>
  <c r="LN502" i="2"/>
  <c r="LM502" i="2"/>
  <c r="LL502" i="2"/>
  <c r="LK502" i="2"/>
  <c r="LX501" i="2"/>
  <c r="LW501" i="2"/>
  <c r="LV501" i="2"/>
  <c r="LU501" i="2"/>
  <c r="LT501" i="2"/>
  <c r="LS501" i="2"/>
  <c r="LR501" i="2"/>
  <c r="LQ501" i="2"/>
  <c r="LP501" i="2"/>
  <c r="LO501" i="2"/>
  <c r="LN501" i="2"/>
  <c r="LM501" i="2"/>
  <c r="LL501" i="2"/>
  <c r="LK501" i="2"/>
  <c r="LX500" i="2"/>
  <c r="LW500" i="2"/>
  <c r="LV500" i="2"/>
  <c r="LU500" i="2"/>
  <c r="LT500" i="2"/>
  <c r="LS500" i="2"/>
  <c r="LR500" i="2"/>
  <c r="LQ500" i="2"/>
  <c r="LP500" i="2"/>
  <c r="LO500" i="2"/>
  <c r="LN500" i="2"/>
  <c r="LM500" i="2"/>
  <c r="LL500" i="2"/>
  <c r="LK500" i="2"/>
  <c r="LX499" i="2"/>
  <c r="LW499" i="2"/>
  <c r="LV499" i="2"/>
  <c r="LU499" i="2"/>
  <c r="LT499" i="2"/>
  <c r="LS499" i="2"/>
  <c r="LR499" i="2"/>
  <c r="LQ499" i="2"/>
  <c r="LP499" i="2"/>
  <c r="LO499" i="2"/>
  <c r="LN499" i="2"/>
  <c r="LM499" i="2"/>
  <c r="LL499" i="2"/>
  <c r="LK499" i="2"/>
  <c r="LX498" i="2"/>
  <c r="LW498" i="2"/>
  <c r="LV498" i="2"/>
  <c r="LU498" i="2"/>
  <c r="LT498" i="2"/>
  <c r="LS498" i="2"/>
  <c r="LR498" i="2"/>
  <c r="LQ498" i="2"/>
  <c r="LP498" i="2"/>
  <c r="LO498" i="2"/>
  <c r="LN498" i="2"/>
  <c r="LM498" i="2"/>
  <c r="LL498" i="2"/>
  <c r="LK498" i="2"/>
  <c r="LX497" i="2"/>
  <c r="LW497" i="2"/>
  <c r="LV497" i="2"/>
  <c r="LU497" i="2"/>
  <c r="LT497" i="2"/>
  <c r="LS497" i="2"/>
  <c r="LR497" i="2"/>
  <c r="LQ497" i="2"/>
  <c r="LP497" i="2"/>
  <c r="LO497" i="2"/>
  <c r="LN497" i="2"/>
  <c r="LM497" i="2"/>
  <c r="LL497" i="2"/>
  <c r="LK497" i="2"/>
  <c r="LX496" i="2"/>
  <c r="LW496" i="2"/>
  <c r="LV496" i="2"/>
  <c r="LU496" i="2"/>
  <c r="LT496" i="2"/>
  <c r="LS496" i="2"/>
  <c r="LR496" i="2"/>
  <c r="LQ496" i="2"/>
  <c r="LP496" i="2"/>
  <c r="LO496" i="2"/>
  <c r="LN496" i="2"/>
  <c r="LM496" i="2"/>
  <c r="LL496" i="2"/>
  <c r="LK496" i="2"/>
  <c r="LX495" i="2"/>
  <c r="LW495" i="2"/>
  <c r="LV495" i="2"/>
  <c r="LU495" i="2"/>
  <c r="LT495" i="2"/>
  <c r="LS495" i="2"/>
  <c r="LR495" i="2"/>
  <c r="LQ495" i="2"/>
  <c r="LP495" i="2"/>
  <c r="LO495" i="2"/>
  <c r="LN495" i="2"/>
  <c r="LM495" i="2"/>
  <c r="LL495" i="2"/>
  <c r="LK495" i="2"/>
  <c r="LX494" i="2"/>
  <c r="LW494" i="2"/>
  <c r="LV494" i="2"/>
  <c r="LU494" i="2"/>
  <c r="LT494" i="2"/>
  <c r="LS494" i="2"/>
  <c r="LR494" i="2"/>
  <c r="LQ494" i="2"/>
  <c r="LP494" i="2"/>
  <c r="LO494" i="2"/>
  <c r="LN494" i="2"/>
  <c r="LM494" i="2"/>
  <c r="LL494" i="2"/>
  <c r="LK494" i="2"/>
  <c r="LX493" i="2"/>
  <c r="LW493" i="2"/>
  <c r="LV493" i="2"/>
  <c r="LU493" i="2"/>
  <c r="LT493" i="2"/>
  <c r="LS493" i="2"/>
  <c r="LR493" i="2"/>
  <c r="LQ493" i="2"/>
  <c r="LP493" i="2"/>
  <c r="LO493" i="2"/>
  <c r="LN493" i="2"/>
  <c r="LM493" i="2"/>
  <c r="LL493" i="2"/>
  <c r="LK493" i="2"/>
  <c r="LX492" i="2"/>
  <c r="LW492" i="2"/>
  <c r="LV492" i="2"/>
  <c r="LU492" i="2"/>
  <c r="LT492" i="2"/>
  <c r="LS492" i="2"/>
  <c r="LR492" i="2"/>
  <c r="LQ492" i="2"/>
  <c r="LP492" i="2"/>
  <c r="LO492" i="2"/>
  <c r="LN492" i="2"/>
  <c r="LM492" i="2"/>
  <c r="LL492" i="2"/>
  <c r="LK492" i="2"/>
  <c r="LX491" i="2"/>
  <c r="LW491" i="2"/>
  <c r="LV491" i="2"/>
  <c r="LU491" i="2"/>
  <c r="LT491" i="2"/>
  <c r="LS491" i="2"/>
  <c r="LR491" i="2"/>
  <c r="LQ491" i="2"/>
  <c r="LP491" i="2"/>
  <c r="LO491" i="2"/>
  <c r="LN491" i="2"/>
  <c r="LM491" i="2"/>
  <c r="LL491" i="2"/>
  <c r="LK491" i="2"/>
  <c r="LX490" i="2"/>
  <c r="LW490" i="2"/>
  <c r="LV490" i="2"/>
  <c r="LU490" i="2"/>
  <c r="LT490" i="2"/>
  <c r="LS490" i="2"/>
  <c r="LR490" i="2"/>
  <c r="LQ490" i="2"/>
  <c r="LP490" i="2"/>
  <c r="LO490" i="2"/>
  <c r="LN490" i="2"/>
  <c r="LM490" i="2"/>
  <c r="LL490" i="2"/>
  <c r="LK490" i="2"/>
  <c r="LX489" i="2"/>
  <c r="LW489" i="2"/>
  <c r="LV489" i="2"/>
  <c r="LU489" i="2"/>
  <c r="LT489" i="2"/>
  <c r="LS489" i="2"/>
  <c r="LR489" i="2"/>
  <c r="LQ489" i="2"/>
  <c r="LP489" i="2"/>
  <c r="LO489" i="2"/>
  <c r="LN489" i="2"/>
  <c r="LM489" i="2"/>
  <c r="LL489" i="2"/>
  <c r="LK489" i="2"/>
  <c r="LX488" i="2"/>
  <c r="LW488" i="2"/>
  <c r="LV488" i="2"/>
  <c r="LU488" i="2"/>
  <c r="LT488" i="2"/>
  <c r="LS488" i="2"/>
  <c r="LR488" i="2"/>
  <c r="LQ488" i="2"/>
  <c r="LP488" i="2"/>
  <c r="LO488" i="2"/>
  <c r="LN488" i="2"/>
  <c r="LM488" i="2"/>
  <c r="LL488" i="2"/>
  <c r="LK488" i="2"/>
  <c r="LX487" i="2"/>
  <c r="LW487" i="2"/>
  <c r="LV487" i="2"/>
  <c r="LU487" i="2"/>
  <c r="LT487" i="2"/>
  <c r="LS487" i="2"/>
  <c r="LR487" i="2"/>
  <c r="LQ487" i="2"/>
  <c r="LP487" i="2"/>
  <c r="LO487" i="2"/>
  <c r="LN487" i="2"/>
  <c r="LM487" i="2"/>
  <c r="LL487" i="2"/>
  <c r="LK487" i="2"/>
  <c r="LX486" i="2"/>
  <c r="LW486" i="2"/>
  <c r="LV486" i="2"/>
  <c r="LU486" i="2"/>
  <c r="LT486" i="2"/>
  <c r="LS486" i="2"/>
  <c r="LR486" i="2"/>
  <c r="LQ486" i="2"/>
  <c r="LP486" i="2"/>
  <c r="LO486" i="2"/>
  <c r="LN486" i="2"/>
  <c r="LM486" i="2"/>
  <c r="LL486" i="2"/>
  <c r="LK486" i="2"/>
  <c r="LX485" i="2"/>
  <c r="LW485" i="2"/>
  <c r="LV485" i="2"/>
  <c r="LU485" i="2"/>
  <c r="LT485" i="2"/>
  <c r="LS485" i="2"/>
  <c r="LR485" i="2"/>
  <c r="LQ485" i="2"/>
  <c r="LP485" i="2"/>
  <c r="LO485" i="2"/>
  <c r="LN485" i="2"/>
  <c r="LM485" i="2"/>
  <c r="LL485" i="2"/>
  <c r="LK485" i="2"/>
  <c r="LH521" i="2"/>
  <c r="AP44" i="40" s="1"/>
  <c r="LG521" i="2"/>
  <c r="AO44" i="40" s="1"/>
  <c r="LF521" i="2"/>
  <c r="LE521" i="2"/>
  <c r="LD521" i="2"/>
  <c r="AP44" i="50" s="1"/>
  <c r="LC521" i="2"/>
  <c r="AO44" i="50" s="1"/>
  <c r="LB521" i="2"/>
  <c r="LA521" i="2"/>
  <c r="KZ521" i="2"/>
  <c r="KY521" i="2"/>
  <c r="KX521" i="2"/>
  <c r="KW521" i="2"/>
  <c r="KV521" i="2"/>
  <c r="KU521" i="2"/>
  <c r="LH520" i="2"/>
  <c r="AP43" i="40" s="1"/>
  <c r="LG520" i="2"/>
  <c r="AO43" i="40" s="1"/>
  <c r="LF520" i="2"/>
  <c r="LE520" i="2"/>
  <c r="LD520" i="2"/>
  <c r="AP43" i="50" s="1"/>
  <c r="LC520" i="2"/>
  <c r="AO43" i="50" s="1"/>
  <c r="LB520" i="2"/>
  <c r="LA520" i="2"/>
  <c r="KZ520" i="2"/>
  <c r="KY520" i="2"/>
  <c r="KX520" i="2"/>
  <c r="KW520" i="2"/>
  <c r="KV520" i="2"/>
  <c r="KU520" i="2"/>
  <c r="LH519" i="2"/>
  <c r="AP42" i="40" s="1"/>
  <c r="LG519" i="2"/>
  <c r="AO42" i="40" s="1"/>
  <c r="LF519" i="2"/>
  <c r="LE519" i="2"/>
  <c r="LD519" i="2"/>
  <c r="AP42" i="50" s="1"/>
  <c r="LC519" i="2"/>
  <c r="AO42" i="50" s="1"/>
  <c r="LB519" i="2"/>
  <c r="LA519" i="2"/>
  <c r="KZ519" i="2"/>
  <c r="KY519" i="2"/>
  <c r="KX519" i="2"/>
  <c r="KW519" i="2"/>
  <c r="KV519" i="2"/>
  <c r="KU519" i="2"/>
  <c r="LH518" i="2"/>
  <c r="AP41" i="40" s="1"/>
  <c r="LG518" i="2"/>
  <c r="AO41" i="40" s="1"/>
  <c r="LF518" i="2"/>
  <c r="LE518" i="2"/>
  <c r="LD518" i="2"/>
  <c r="AP41" i="50" s="1"/>
  <c r="LC518" i="2"/>
  <c r="AO41" i="50" s="1"/>
  <c r="LB518" i="2"/>
  <c r="LA518" i="2"/>
  <c r="KZ518" i="2"/>
  <c r="KY518" i="2"/>
  <c r="KX518" i="2"/>
  <c r="KW518" i="2"/>
  <c r="KV518" i="2"/>
  <c r="KU518" i="2"/>
  <c r="LH517" i="2"/>
  <c r="AP40" i="40" s="1"/>
  <c r="LG517" i="2"/>
  <c r="AO40" i="40" s="1"/>
  <c r="LF517" i="2"/>
  <c r="LE517" i="2"/>
  <c r="LD517" i="2"/>
  <c r="AP40" i="50" s="1"/>
  <c r="LC517" i="2"/>
  <c r="AO40" i="50" s="1"/>
  <c r="LB517" i="2"/>
  <c r="LA517" i="2"/>
  <c r="KZ517" i="2"/>
  <c r="KY517" i="2"/>
  <c r="KX517" i="2"/>
  <c r="KW517" i="2"/>
  <c r="KV517" i="2"/>
  <c r="KU517" i="2"/>
  <c r="LH516" i="2"/>
  <c r="AP39" i="40" s="1"/>
  <c r="LG516" i="2"/>
  <c r="AO39" i="40" s="1"/>
  <c r="LF516" i="2"/>
  <c r="LE516" i="2"/>
  <c r="LD516" i="2"/>
  <c r="AP39" i="50" s="1"/>
  <c r="LC516" i="2"/>
  <c r="AO39" i="50" s="1"/>
  <c r="LB516" i="2"/>
  <c r="LA516" i="2"/>
  <c r="KZ516" i="2"/>
  <c r="KY516" i="2"/>
  <c r="KX516" i="2"/>
  <c r="KW516" i="2"/>
  <c r="KV516" i="2"/>
  <c r="KU516" i="2"/>
  <c r="LH515" i="2"/>
  <c r="AP38" i="40" s="1"/>
  <c r="LG515" i="2"/>
  <c r="AO38" i="40" s="1"/>
  <c r="LF515" i="2"/>
  <c r="LE515" i="2"/>
  <c r="LD515" i="2"/>
  <c r="AP38" i="50" s="1"/>
  <c r="LC515" i="2"/>
  <c r="AO38" i="50" s="1"/>
  <c r="LB515" i="2"/>
  <c r="LA515" i="2"/>
  <c r="KZ515" i="2"/>
  <c r="KY515" i="2"/>
  <c r="KX515" i="2"/>
  <c r="KW515" i="2"/>
  <c r="KV515" i="2"/>
  <c r="KU515" i="2"/>
  <c r="LH514" i="2"/>
  <c r="AP37" i="40" s="1"/>
  <c r="LG514" i="2"/>
  <c r="AO37" i="40" s="1"/>
  <c r="LF514" i="2"/>
  <c r="LE514" i="2"/>
  <c r="LD514" i="2"/>
  <c r="AP37" i="50" s="1"/>
  <c r="LC514" i="2"/>
  <c r="AO37" i="50" s="1"/>
  <c r="LB514" i="2"/>
  <c r="LA514" i="2"/>
  <c r="KZ514" i="2"/>
  <c r="KY514" i="2"/>
  <c r="KX514" i="2"/>
  <c r="KW514" i="2"/>
  <c r="KV514" i="2"/>
  <c r="KU514" i="2"/>
  <c r="LH513" i="2"/>
  <c r="AP36" i="40" s="1"/>
  <c r="LG513" i="2"/>
  <c r="AO36" i="40" s="1"/>
  <c r="LF513" i="2"/>
  <c r="LE513" i="2"/>
  <c r="LD513" i="2"/>
  <c r="LC513" i="2"/>
  <c r="LB513" i="2"/>
  <c r="LA513" i="2"/>
  <c r="KZ513" i="2"/>
  <c r="KY513" i="2"/>
  <c r="KX513" i="2"/>
  <c r="KW513" i="2"/>
  <c r="KV513" i="2"/>
  <c r="KU513" i="2"/>
  <c r="LH512" i="2"/>
  <c r="AP35" i="40" s="1"/>
  <c r="LG512" i="2"/>
  <c r="AO35" i="40" s="1"/>
  <c r="LF512" i="2"/>
  <c r="LE512" i="2"/>
  <c r="LD512" i="2"/>
  <c r="LC512" i="2"/>
  <c r="LB512" i="2"/>
  <c r="LA512" i="2"/>
  <c r="KZ512" i="2"/>
  <c r="KY512" i="2"/>
  <c r="KX512" i="2"/>
  <c r="KW512" i="2"/>
  <c r="KV512" i="2"/>
  <c r="KU512" i="2"/>
  <c r="LH511" i="2"/>
  <c r="AP34" i="40" s="1"/>
  <c r="LG511" i="2"/>
  <c r="AO34" i="40" s="1"/>
  <c r="LF511" i="2"/>
  <c r="LE511" i="2"/>
  <c r="LD511" i="2"/>
  <c r="LC511" i="2"/>
  <c r="LB511" i="2"/>
  <c r="LA511" i="2"/>
  <c r="KZ511" i="2"/>
  <c r="KY511" i="2"/>
  <c r="KX511" i="2"/>
  <c r="KW511" i="2"/>
  <c r="KV511" i="2"/>
  <c r="KU511" i="2"/>
  <c r="LH510" i="2"/>
  <c r="AP33" i="40" s="1"/>
  <c r="LG510" i="2"/>
  <c r="AO33" i="40" s="1"/>
  <c r="LF510" i="2"/>
  <c r="LE510" i="2"/>
  <c r="LD510" i="2"/>
  <c r="LC510" i="2"/>
  <c r="LB510" i="2"/>
  <c r="LA510" i="2"/>
  <c r="KZ510" i="2"/>
  <c r="KY510" i="2"/>
  <c r="KX510" i="2"/>
  <c r="KW510" i="2"/>
  <c r="KV510" i="2"/>
  <c r="KU510" i="2"/>
  <c r="LH509" i="2"/>
  <c r="AP32" i="40" s="1"/>
  <c r="LG509" i="2"/>
  <c r="AO32" i="40" s="1"/>
  <c r="LF509" i="2"/>
  <c r="LE509" i="2"/>
  <c r="LD509" i="2"/>
  <c r="LC509" i="2"/>
  <c r="LB509" i="2"/>
  <c r="LA509" i="2"/>
  <c r="KZ509" i="2"/>
  <c r="KY509" i="2"/>
  <c r="KX509" i="2"/>
  <c r="KW509" i="2"/>
  <c r="KV509" i="2"/>
  <c r="KU509" i="2"/>
  <c r="LH508" i="2"/>
  <c r="AP31" i="40" s="1"/>
  <c r="LG508" i="2"/>
  <c r="AO31" i="40" s="1"/>
  <c r="LF508" i="2"/>
  <c r="LE508" i="2"/>
  <c r="LD508" i="2"/>
  <c r="LC508" i="2"/>
  <c r="LB508" i="2"/>
  <c r="LA508" i="2"/>
  <c r="KZ508" i="2"/>
  <c r="KY508" i="2"/>
  <c r="KX508" i="2"/>
  <c r="KW508" i="2"/>
  <c r="KV508" i="2"/>
  <c r="KU508" i="2"/>
  <c r="LH507" i="2"/>
  <c r="AP30" i="40" s="1"/>
  <c r="LG507" i="2"/>
  <c r="AO30" i="40" s="1"/>
  <c r="LF507" i="2"/>
  <c r="LE507" i="2"/>
  <c r="LD507" i="2"/>
  <c r="LC507" i="2"/>
  <c r="LB507" i="2"/>
  <c r="LA507" i="2"/>
  <c r="KZ507" i="2"/>
  <c r="KY507" i="2"/>
  <c r="KX507" i="2"/>
  <c r="KW507" i="2"/>
  <c r="KV507" i="2"/>
  <c r="KU507" i="2"/>
  <c r="LH506" i="2"/>
  <c r="AP29" i="40" s="1"/>
  <c r="LG506" i="2"/>
  <c r="AO29" i="40" s="1"/>
  <c r="LF506" i="2"/>
  <c r="LE506" i="2"/>
  <c r="LD506" i="2"/>
  <c r="LC506" i="2"/>
  <c r="LB506" i="2"/>
  <c r="LA506" i="2"/>
  <c r="KZ506" i="2"/>
  <c r="KY506" i="2"/>
  <c r="KX506" i="2"/>
  <c r="KW506" i="2"/>
  <c r="KV506" i="2"/>
  <c r="KU506" i="2"/>
  <c r="LH505" i="2"/>
  <c r="AP28" i="40" s="1"/>
  <c r="LG505" i="2"/>
  <c r="AO28" i="40" s="1"/>
  <c r="LF505" i="2"/>
  <c r="LE505" i="2"/>
  <c r="LD505" i="2"/>
  <c r="LC505" i="2"/>
  <c r="LB505" i="2"/>
  <c r="LA505" i="2"/>
  <c r="KZ505" i="2"/>
  <c r="KY505" i="2"/>
  <c r="KX505" i="2"/>
  <c r="KW505" i="2"/>
  <c r="KV505" i="2"/>
  <c r="KU505" i="2"/>
  <c r="LH504" i="2"/>
  <c r="AP27" i="40" s="1"/>
  <c r="LG504" i="2"/>
  <c r="AO27" i="40" s="1"/>
  <c r="LF504" i="2"/>
  <c r="LE504" i="2"/>
  <c r="LD504" i="2"/>
  <c r="LC504" i="2"/>
  <c r="LB504" i="2"/>
  <c r="LA504" i="2"/>
  <c r="KZ504" i="2"/>
  <c r="KY504" i="2"/>
  <c r="KX504" i="2"/>
  <c r="KW504" i="2"/>
  <c r="KV504" i="2"/>
  <c r="KU504" i="2"/>
  <c r="LH503" i="2"/>
  <c r="AP26" i="40" s="1"/>
  <c r="LG503" i="2"/>
  <c r="AO26" i="40" s="1"/>
  <c r="LF503" i="2"/>
  <c r="LE503" i="2"/>
  <c r="LD503" i="2"/>
  <c r="LC503" i="2"/>
  <c r="LB503" i="2"/>
  <c r="LA503" i="2"/>
  <c r="KZ503" i="2"/>
  <c r="KY503" i="2"/>
  <c r="KX503" i="2"/>
  <c r="KW503" i="2"/>
  <c r="KV503" i="2"/>
  <c r="KU503" i="2"/>
  <c r="LH502" i="2"/>
  <c r="AP25" i="40" s="1"/>
  <c r="LG502" i="2"/>
  <c r="AO25" i="40" s="1"/>
  <c r="LF502" i="2"/>
  <c r="LE502" i="2"/>
  <c r="LD502" i="2"/>
  <c r="LC502" i="2"/>
  <c r="LB502" i="2"/>
  <c r="LA502" i="2"/>
  <c r="KZ502" i="2"/>
  <c r="KY502" i="2"/>
  <c r="KX502" i="2"/>
  <c r="KW502" i="2"/>
  <c r="KV502" i="2"/>
  <c r="KU502" i="2"/>
  <c r="LH501" i="2"/>
  <c r="AP24" i="40" s="1"/>
  <c r="LG501" i="2"/>
  <c r="AO24" i="40" s="1"/>
  <c r="LF501" i="2"/>
  <c r="LE501" i="2"/>
  <c r="LD501" i="2"/>
  <c r="LC501" i="2"/>
  <c r="LB501" i="2"/>
  <c r="LA501" i="2"/>
  <c r="KZ501" i="2"/>
  <c r="KY501" i="2"/>
  <c r="KX501" i="2"/>
  <c r="KW501" i="2"/>
  <c r="KV501" i="2"/>
  <c r="KU501" i="2"/>
  <c r="LH500" i="2"/>
  <c r="AP23" i="40" s="1"/>
  <c r="LG500" i="2"/>
  <c r="AO23" i="40" s="1"/>
  <c r="LF500" i="2"/>
  <c r="LE500" i="2"/>
  <c r="LD500" i="2"/>
  <c r="LC500" i="2"/>
  <c r="LB500" i="2"/>
  <c r="LA500" i="2"/>
  <c r="KZ500" i="2"/>
  <c r="KY500" i="2"/>
  <c r="KX500" i="2"/>
  <c r="KW500" i="2"/>
  <c r="KV500" i="2"/>
  <c r="KU500" i="2"/>
  <c r="LH499" i="2"/>
  <c r="AP22" i="40" s="1"/>
  <c r="LG499" i="2"/>
  <c r="AO22" i="40" s="1"/>
  <c r="LF499" i="2"/>
  <c r="LE499" i="2"/>
  <c r="LD499" i="2"/>
  <c r="LC499" i="2"/>
  <c r="LB499" i="2"/>
  <c r="LA499" i="2"/>
  <c r="KZ499" i="2"/>
  <c r="KY499" i="2"/>
  <c r="KX499" i="2"/>
  <c r="KW499" i="2"/>
  <c r="KV499" i="2"/>
  <c r="KU499" i="2"/>
  <c r="LH498" i="2"/>
  <c r="AP21" i="40" s="1"/>
  <c r="LG498" i="2"/>
  <c r="AO21" i="40" s="1"/>
  <c r="LF498" i="2"/>
  <c r="LE498" i="2"/>
  <c r="LD498" i="2"/>
  <c r="LC498" i="2"/>
  <c r="LB498" i="2"/>
  <c r="LA498" i="2"/>
  <c r="KZ498" i="2"/>
  <c r="KY498" i="2"/>
  <c r="KX498" i="2"/>
  <c r="KW498" i="2"/>
  <c r="KV498" i="2"/>
  <c r="KU498" i="2"/>
  <c r="LH497" i="2"/>
  <c r="AP20" i="40" s="1"/>
  <c r="LG497" i="2"/>
  <c r="AO20" i="40" s="1"/>
  <c r="LF497" i="2"/>
  <c r="LE497" i="2"/>
  <c r="LD497" i="2"/>
  <c r="LC497" i="2"/>
  <c r="LB497" i="2"/>
  <c r="LA497" i="2"/>
  <c r="KZ497" i="2"/>
  <c r="KY497" i="2"/>
  <c r="KX497" i="2"/>
  <c r="KW497" i="2"/>
  <c r="KV497" i="2"/>
  <c r="KU497" i="2"/>
  <c r="LH496" i="2"/>
  <c r="AP19" i="40" s="1"/>
  <c r="LG496" i="2"/>
  <c r="AO19" i="40" s="1"/>
  <c r="LF496" i="2"/>
  <c r="LE496" i="2"/>
  <c r="LD496" i="2"/>
  <c r="LC496" i="2"/>
  <c r="LB496" i="2"/>
  <c r="LA496" i="2"/>
  <c r="KZ496" i="2"/>
  <c r="KY496" i="2"/>
  <c r="KX496" i="2"/>
  <c r="KW496" i="2"/>
  <c r="KV496" i="2"/>
  <c r="KU496" i="2"/>
  <c r="LH495" i="2"/>
  <c r="AP18" i="40" s="1"/>
  <c r="LG495" i="2"/>
  <c r="AO18" i="40" s="1"/>
  <c r="LF495" i="2"/>
  <c r="LE495" i="2"/>
  <c r="LD495" i="2"/>
  <c r="LC495" i="2"/>
  <c r="LB495" i="2"/>
  <c r="LA495" i="2"/>
  <c r="KZ495" i="2"/>
  <c r="KY495" i="2"/>
  <c r="KX495" i="2"/>
  <c r="KW495" i="2"/>
  <c r="KV495" i="2"/>
  <c r="KU495" i="2"/>
  <c r="LH494" i="2"/>
  <c r="AP17" i="40" s="1"/>
  <c r="LG494" i="2"/>
  <c r="AO17" i="40" s="1"/>
  <c r="LF494" i="2"/>
  <c r="LE494" i="2"/>
  <c r="LD494" i="2"/>
  <c r="LC494" i="2"/>
  <c r="LB494" i="2"/>
  <c r="LA494" i="2"/>
  <c r="KZ494" i="2"/>
  <c r="KY494" i="2"/>
  <c r="KX494" i="2"/>
  <c r="KW494" i="2"/>
  <c r="KV494" i="2"/>
  <c r="KU494" i="2"/>
  <c r="LH493" i="2"/>
  <c r="AP16" i="40" s="1"/>
  <c r="LG493" i="2"/>
  <c r="AO16" i="40" s="1"/>
  <c r="LF493" i="2"/>
  <c r="LE493" i="2"/>
  <c r="LD493" i="2"/>
  <c r="LC493" i="2"/>
  <c r="LB493" i="2"/>
  <c r="LA493" i="2"/>
  <c r="KZ493" i="2"/>
  <c r="KY493" i="2"/>
  <c r="KX493" i="2"/>
  <c r="KW493" i="2"/>
  <c r="KV493" i="2"/>
  <c r="KU493" i="2"/>
  <c r="LH492" i="2"/>
  <c r="AP15" i="40" s="1"/>
  <c r="LG492" i="2"/>
  <c r="AO15" i="40" s="1"/>
  <c r="LF492" i="2"/>
  <c r="LE492" i="2"/>
  <c r="LD492" i="2"/>
  <c r="LC492" i="2"/>
  <c r="LB492" i="2"/>
  <c r="LA492" i="2"/>
  <c r="KZ492" i="2"/>
  <c r="KY492" i="2"/>
  <c r="KX492" i="2"/>
  <c r="KW492" i="2"/>
  <c r="KV492" i="2"/>
  <c r="KU492" i="2"/>
  <c r="LH491" i="2"/>
  <c r="AP14" i="40" s="1"/>
  <c r="LG491" i="2"/>
  <c r="AO14" i="40" s="1"/>
  <c r="LF491" i="2"/>
  <c r="LE491" i="2"/>
  <c r="LD491" i="2"/>
  <c r="LC491" i="2"/>
  <c r="LB491" i="2"/>
  <c r="LA491" i="2"/>
  <c r="KZ491" i="2"/>
  <c r="KY491" i="2"/>
  <c r="KX491" i="2"/>
  <c r="KW491" i="2"/>
  <c r="KV491" i="2"/>
  <c r="KU491" i="2"/>
  <c r="LH490" i="2"/>
  <c r="AP13" i="40" s="1"/>
  <c r="LG490" i="2"/>
  <c r="AO13" i="40" s="1"/>
  <c r="LF490" i="2"/>
  <c r="LE490" i="2"/>
  <c r="LD490" i="2"/>
  <c r="LC490" i="2"/>
  <c r="LB490" i="2"/>
  <c r="LA490" i="2"/>
  <c r="KZ490" i="2"/>
  <c r="KY490" i="2"/>
  <c r="KX490" i="2"/>
  <c r="KW490" i="2"/>
  <c r="KV490" i="2"/>
  <c r="KU490" i="2"/>
  <c r="LH489" i="2"/>
  <c r="AP12" i="40" s="1"/>
  <c r="LG489" i="2"/>
  <c r="AO12" i="40" s="1"/>
  <c r="LF489" i="2"/>
  <c r="LE489" i="2"/>
  <c r="LD489" i="2"/>
  <c r="LC489" i="2"/>
  <c r="LB489" i="2"/>
  <c r="LA489" i="2"/>
  <c r="KZ489" i="2"/>
  <c r="KY489" i="2"/>
  <c r="KX489" i="2"/>
  <c r="KW489" i="2"/>
  <c r="KV489" i="2"/>
  <c r="KU489" i="2"/>
  <c r="LH488" i="2"/>
  <c r="AP11" i="40" s="1"/>
  <c r="LG488" i="2"/>
  <c r="AO11" i="40" s="1"/>
  <c r="LF488" i="2"/>
  <c r="LE488" i="2"/>
  <c r="LD488" i="2"/>
  <c r="LC488" i="2"/>
  <c r="LB488" i="2"/>
  <c r="LA488" i="2"/>
  <c r="KZ488" i="2"/>
  <c r="KY488" i="2"/>
  <c r="KX488" i="2"/>
  <c r="KW488" i="2"/>
  <c r="KV488" i="2"/>
  <c r="KU488" i="2"/>
  <c r="LH487" i="2"/>
  <c r="AP10" i="40" s="1"/>
  <c r="LG487" i="2"/>
  <c r="AO10" i="40" s="1"/>
  <c r="LF487" i="2"/>
  <c r="LE487" i="2"/>
  <c r="LD487" i="2"/>
  <c r="LC487" i="2"/>
  <c r="LB487" i="2"/>
  <c r="LA487" i="2"/>
  <c r="KZ487" i="2"/>
  <c r="KY487" i="2"/>
  <c r="KX487" i="2"/>
  <c r="KW487" i="2"/>
  <c r="KV487" i="2"/>
  <c r="KU487" i="2"/>
  <c r="LH486" i="2"/>
  <c r="AP9" i="40" s="1"/>
  <c r="LG486" i="2"/>
  <c r="AO9" i="40" s="1"/>
  <c r="LF486" i="2"/>
  <c r="LE486" i="2"/>
  <c r="LD486" i="2"/>
  <c r="LC486" i="2"/>
  <c r="LB486" i="2"/>
  <c r="LA486" i="2"/>
  <c r="KZ486" i="2"/>
  <c r="KY486" i="2"/>
  <c r="KX486" i="2"/>
  <c r="KW486" i="2"/>
  <c r="KV486" i="2"/>
  <c r="KU486" i="2"/>
  <c r="LH485" i="2"/>
  <c r="AP8" i="40" s="1"/>
  <c r="LG485" i="2"/>
  <c r="AO8" i="40" s="1"/>
  <c r="LF485" i="2"/>
  <c r="LE485" i="2"/>
  <c r="LD485" i="2"/>
  <c r="LC485" i="2"/>
  <c r="LB485" i="2"/>
  <c r="LA485" i="2"/>
  <c r="KZ485" i="2"/>
  <c r="KY485" i="2"/>
  <c r="KX485" i="2"/>
  <c r="KW485" i="2"/>
  <c r="KV485" i="2"/>
  <c r="KU485" i="2"/>
  <c r="KR521" i="2"/>
  <c r="KQ521" i="2"/>
  <c r="KP521" i="2"/>
  <c r="KO521" i="2"/>
  <c r="KN521" i="2"/>
  <c r="AN44" i="50" s="1"/>
  <c r="KM521" i="2"/>
  <c r="AM44" i="50" s="1"/>
  <c r="KL521" i="2"/>
  <c r="KK521" i="2"/>
  <c r="KJ521" i="2"/>
  <c r="KI521" i="2"/>
  <c r="KH521" i="2"/>
  <c r="KG521" i="2"/>
  <c r="KF521" i="2"/>
  <c r="KE521" i="2"/>
  <c r="KR520" i="2"/>
  <c r="KQ520" i="2"/>
  <c r="KP520" i="2"/>
  <c r="KO520" i="2"/>
  <c r="KN520" i="2"/>
  <c r="AN43" i="50" s="1"/>
  <c r="KM520" i="2"/>
  <c r="AM43" i="50" s="1"/>
  <c r="KL520" i="2"/>
  <c r="KK520" i="2"/>
  <c r="KJ520" i="2"/>
  <c r="KI520" i="2"/>
  <c r="KH520" i="2"/>
  <c r="KG520" i="2"/>
  <c r="KF520" i="2"/>
  <c r="KE520" i="2"/>
  <c r="KR519" i="2"/>
  <c r="KQ519" i="2"/>
  <c r="KP519" i="2"/>
  <c r="KO519" i="2"/>
  <c r="KN519" i="2"/>
  <c r="AN42" i="50" s="1"/>
  <c r="KM519" i="2"/>
  <c r="AM42" i="50" s="1"/>
  <c r="KL519" i="2"/>
  <c r="KK519" i="2"/>
  <c r="KJ519" i="2"/>
  <c r="KI519" i="2"/>
  <c r="KH519" i="2"/>
  <c r="KG519" i="2"/>
  <c r="KF519" i="2"/>
  <c r="KE519" i="2"/>
  <c r="KR518" i="2"/>
  <c r="KQ518" i="2"/>
  <c r="KP518" i="2"/>
  <c r="KO518" i="2"/>
  <c r="KN518" i="2"/>
  <c r="AN41" i="50" s="1"/>
  <c r="KM518" i="2"/>
  <c r="AM41" i="50" s="1"/>
  <c r="KL518" i="2"/>
  <c r="KK518" i="2"/>
  <c r="KJ518" i="2"/>
  <c r="KI518" i="2"/>
  <c r="KH518" i="2"/>
  <c r="KG518" i="2"/>
  <c r="KF518" i="2"/>
  <c r="KE518" i="2"/>
  <c r="KR517" i="2"/>
  <c r="KQ517" i="2"/>
  <c r="KP517" i="2"/>
  <c r="KO517" i="2"/>
  <c r="KN517" i="2"/>
  <c r="AN40" i="50" s="1"/>
  <c r="KM517" i="2"/>
  <c r="AM40" i="50" s="1"/>
  <c r="KL517" i="2"/>
  <c r="KK517" i="2"/>
  <c r="KJ517" i="2"/>
  <c r="KI517" i="2"/>
  <c r="KH517" i="2"/>
  <c r="KG517" i="2"/>
  <c r="KF517" i="2"/>
  <c r="KE517" i="2"/>
  <c r="KR516" i="2"/>
  <c r="KQ516" i="2"/>
  <c r="KP516" i="2"/>
  <c r="KO516" i="2"/>
  <c r="KN516" i="2"/>
  <c r="AN39" i="50" s="1"/>
  <c r="KM516" i="2"/>
  <c r="AM39" i="50" s="1"/>
  <c r="KL516" i="2"/>
  <c r="KK516" i="2"/>
  <c r="KJ516" i="2"/>
  <c r="KI516" i="2"/>
  <c r="KH516" i="2"/>
  <c r="KG516" i="2"/>
  <c r="KF516" i="2"/>
  <c r="KE516" i="2"/>
  <c r="KR515" i="2"/>
  <c r="KQ515" i="2"/>
  <c r="KP515" i="2"/>
  <c r="KO515" i="2"/>
  <c r="KN515" i="2"/>
  <c r="AN38" i="50" s="1"/>
  <c r="KM515" i="2"/>
  <c r="AM38" i="50" s="1"/>
  <c r="KL515" i="2"/>
  <c r="KK515" i="2"/>
  <c r="KJ515" i="2"/>
  <c r="KI515" i="2"/>
  <c r="KH515" i="2"/>
  <c r="KG515" i="2"/>
  <c r="KF515" i="2"/>
  <c r="KE515" i="2"/>
  <c r="KR514" i="2"/>
  <c r="KQ514" i="2"/>
  <c r="KP514" i="2"/>
  <c r="KO514" i="2"/>
  <c r="KN514" i="2"/>
  <c r="AN37" i="50" s="1"/>
  <c r="KM514" i="2"/>
  <c r="AM37" i="50" s="1"/>
  <c r="KL514" i="2"/>
  <c r="KK514" i="2"/>
  <c r="KJ514" i="2"/>
  <c r="KI514" i="2"/>
  <c r="KH514" i="2"/>
  <c r="KG514" i="2"/>
  <c r="KF514" i="2"/>
  <c r="KE514" i="2"/>
  <c r="KR513" i="2"/>
  <c r="KQ513" i="2"/>
  <c r="KP513" i="2"/>
  <c r="KO513" i="2"/>
  <c r="KN513" i="2"/>
  <c r="KM513" i="2"/>
  <c r="KL513" i="2"/>
  <c r="KK513" i="2"/>
  <c r="KJ513" i="2"/>
  <c r="KI513" i="2"/>
  <c r="KH513" i="2"/>
  <c r="KG513" i="2"/>
  <c r="KF513" i="2"/>
  <c r="KE513" i="2"/>
  <c r="KR512" i="2"/>
  <c r="KQ512" i="2"/>
  <c r="KP512" i="2"/>
  <c r="KO512" i="2"/>
  <c r="KN512" i="2"/>
  <c r="KM512" i="2"/>
  <c r="KL512" i="2"/>
  <c r="KK512" i="2"/>
  <c r="KJ512" i="2"/>
  <c r="KI512" i="2"/>
  <c r="KH512" i="2"/>
  <c r="KG512" i="2"/>
  <c r="KF512" i="2"/>
  <c r="KE512" i="2"/>
  <c r="KR511" i="2"/>
  <c r="KQ511" i="2"/>
  <c r="KP511" i="2"/>
  <c r="KO511" i="2"/>
  <c r="KN511" i="2"/>
  <c r="KM511" i="2"/>
  <c r="KL511" i="2"/>
  <c r="KK511" i="2"/>
  <c r="KJ511" i="2"/>
  <c r="KI511" i="2"/>
  <c r="KH511" i="2"/>
  <c r="KG511" i="2"/>
  <c r="KF511" i="2"/>
  <c r="KE511" i="2"/>
  <c r="KR510" i="2"/>
  <c r="KQ510" i="2"/>
  <c r="KP510" i="2"/>
  <c r="KO510" i="2"/>
  <c r="KN510" i="2"/>
  <c r="KM510" i="2"/>
  <c r="KL510" i="2"/>
  <c r="KK510" i="2"/>
  <c r="KJ510" i="2"/>
  <c r="KI510" i="2"/>
  <c r="KH510" i="2"/>
  <c r="KG510" i="2"/>
  <c r="KF510" i="2"/>
  <c r="KE510" i="2"/>
  <c r="KR509" i="2"/>
  <c r="KQ509" i="2"/>
  <c r="KP509" i="2"/>
  <c r="KO509" i="2"/>
  <c r="KN509" i="2"/>
  <c r="KM509" i="2"/>
  <c r="KL509" i="2"/>
  <c r="KK509" i="2"/>
  <c r="KJ509" i="2"/>
  <c r="KI509" i="2"/>
  <c r="KH509" i="2"/>
  <c r="KG509" i="2"/>
  <c r="KF509" i="2"/>
  <c r="KE509" i="2"/>
  <c r="KR508" i="2"/>
  <c r="KQ508" i="2"/>
  <c r="KP508" i="2"/>
  <c r="KO508" i="2"/>
  <c r="KN508" i="2"/>
  <c r="KM508" i="2"/>
  <c r="KL508" i="2"/>
  <c r="KK508" i="2"/>
  <c r="KJ508" i="2"/>
  <c r="KI508" i="2"/>
  <c r="KH508" i="2"/>
  <c r="KG508" i="2"/>
  <c r="KF508" i="2"/>
  <c r="KE508" i="2"/>
  <c r="KR507" i="2"/>
  <c r="KQ507" i="2"/>
  <c r="KP507" i="2"/>
  <c r="KO507" i="2"/>
  <c r="KN507" i="2"/>
  <c r="KM507" i="2"/>
  <c r="KL507" i="2"/>
  <c r="KK507" i="2"/>
  <c r="KJ507" i="2"/>
  <c r="KI507" i="2"/>
  <c r="KH507" i="2"/>
  <c r="KG507" i="2"/>
  <c r="KF507" i="2"/>
  <c r="KE507" i="2"/>
  <c r="KR506" i="2"/>
  <c r="KQ506" i="2"/>
  <c r="KP506" i="2"/>
  <c r="KO506" i="2"/>
  <c r="KN506" i="2"/>
  <c r="KM506" i="2"/>
  <c r="KL506" i="2"/>
  <c r="KK506" i="2"/>
  <c r="KJ506" i="2"/>
  <c r="KI506" i="2"/>
  <c r="KH506" i="2"/>
  <c r="KG506" i="2"/>
  <c r="KF506" i="2"/>
  <c r="KE506" i="2"/>
  <c r="KR505" i="2"/>
  <c r="KQ505" i="2"/>
  <c r="KP505" i="2"/>
  <c r="KO505" i="2"/>
  <c r="KN505" i="2"/>
  <c r="KM505" i="2"/>
  <c r="KL505" i="2"/>
  <c r="KK505" i="2"/>
  <c r="KJ505" i="2"/>
  <c r="KI505" i="2"/>
  <c r="KH505" i="2"/>
  <c r="KG505" i="2"/>
  <c r="KF505" i="2"/>
  <c r="KE505" i="2"/>
  <c r="KR504" i="2"/>
  <c r="KQ504" i="2"/>
  <c r="KP504" i="2"/>
  <c r="KO504" i="2"/>
  <c r="KN504" i="2"/>
  <c r="KM504" i="2"/>
  <c r="KL504" i="2"/>
  <c r="KK504" i="2"/>
  <c r="KJ504" i="2"/>
  <c r="KI504" i="2"/>
  <c r="KH504" i="2"/>
  <c r="KG504" i="2"/>
  <c r="KF504" i="2"/>
  <c r="KE504" i="2"/>
  <c r="KR503" i="2"/>
  <c r="KQ503" i="2"/>
  <c r="KP503" i="2"/>
  <c r="KO503" i="2"/>
  <c r="KN503" i="2"/>
  <c r="KM503" i="2"/>
  <c r="KL503" i="2"/>
  <c r="KK503" i="2"/>
  <c r="KJ503" i="2"/>
  <c r="KI503" i="2"/>
  <c r="KH503" i="2"/>
  <c r="KG503" i="2"/>
  <c r="KF503" i="2"/>
  <c r="KE503" i="2"/>
  <c r="KR502" i="2"/>
  <c r="KQ502" i="2"/>
  <c r="KP502" i="2"/>
  <c r="KO502" i="2"/>
  <c r="KN502" i="2"/>
  <c r="KM502" i="2"/>
  <c r="KL502" i="2"/>
  <c r="KK502" i="2"/>
  <c r="KJ502" i="2"/>
  <c r="KI502" i="2"/>
  <c r="KH502" i="2"/>
  <c r="KG502" i="2"/>
  <c r="KF502" i="2"/>
  <c r="KE502" i="2"/>
  <c r="KR501" i="2"/>
  <c r="KQ501" i="2"/>
  <c r="KP501" i="2"/>
  <c r="KO501" i="2"/>
  <c r="KN501" i="2"/>
  <c r="KM501" i="2"/>
  <c r="KL501" i="2"/>
  <c r="KK501" i="2"/>
  <c r="KJ501" i="2"/>
  <c r="KI501" i="2"/>
  <c r="KH501" i="2"/>
  <c r="KG501" i="2"/>
  <c r="KF501" i="2"/>
  <c r="KE501" i="2"/>
  <c r="KR500" i="2"/>
  <c r="KQ500" i="2"/>
  <c r="KP500" i="2"/>
  <c r="KO500" i="2"/>
  <c r="KN500" i="2"/>
  <c r="KM500" i="2"/>
  <c r="KL500" i="2"/>
  <c r="KK500" i="2"/>
  <c r="KJ500" i="2"/>
  <c r="KI500" i="2"/>
  <c r="KH500" i="2"/>
  <c r="KG500" i="2"/>
  <c r="KF500" i="2"/>
  <c r="KE500" i="2"/>
  <c r="KR499" i="2"/>
  <c r="KQ499" i="2"/>
  <c r="KP499" i="2"/>
  <c r="KO499" i="2"/>
  <c r="KN499" i="2"/>
  <c r="KM499" i="2"/>
  <c r="KL499" i="2"/>
  <c r="KK499" i="2"/>
  <c r="KJ499" i="2"/>
  <c r="KI499" i="2"/>
  <c r="KH499" i="2"/>
  <c r="KG499" i="2"/>
  <c r="KF499" i="2"/>
  <c r="KE499" i="2"/>
  <c r="KR498" i="2"/>
  <c r="KQ498" i="2"/>
  <c r="KP498" i="2"/>
  <c r="KO498" i="2"/>
  <c r="KN498" i="2"/>
  <c r="KM498" i="2"/>
  <c r="KL498" i="2"/>
  <c r="KK498" i="2"/>
  <c r="KJ498" i="2"/>
  <c r="KI498" i="2"/>
  <c r="KH498" i="2"/>
  <c r="KG498" i="2"/>
  <c r="KF498" i="2"/>
  <c r="KE498" i="2"/>
  <c r="KR497" i="2"/>
  <c r="KQ497" i="2"/>
  <c r="KP497" i="2"/>
  <c r="KO497" i="2"/>
  <c r="KN497" i="2"/>
  <c r="KM497" i="2"/>
  <c r="KL497" i="2"/>
  <c r="KK497" i="2"/>
  <c r="KJ497" i="2"/>
  <c r="KI497" i="2"/>
  <c r="KH497" i="2"/>
  <c r="KG497" i="2"/>
  <c r="KF497" i="2"/>
  <c r="KE497" i="2"/>
  <c r="KR496" i="2"/>
  <c r="KQ496" i="2"/>
  <c r="KP496" i="2"/>
  <c r="KO496" i="2"/>
  <c r="KN496" i="2"/>
  <c r="KM496" i="2"/>
  <c r="KL496" i="2"/>
  <c r="KK496" i="2"/>
  <c r="KJ496" i="2"/>
  <c r="KI496" i="2"/>
  <c r="KH496" i="2"/>
  <c r="KG496" i="2"/>
  <c r="KF496" i="2"/>
  <c r="KE496" i="2"/>
  <c r="KR495" i="2"/>
  <c r="KQ495" i="2"/>
  <c r="KP495" i="2"/>
  <c r="KO495" i="2"/>
  <c r="KN495" i="2"/>
  <c r="KM495" i="2"/>
  <c r="KL495" i="2"/>
  <c r="KK495" i="2"/>
  <c r="KJ495" i="2"/>
  <c r="KI495" i="2"/>
  <c r="KH495" i="2"/>
  <c r="KG495" i="2"/>
  <c r="KF495" i="2"/>
  <c r="KE495" i="2"/>
  <c r="KR494" i="2"/>
  <c r="KQ494" i="2"/>
  <c r="KP494" i="2"/>
  <c r="KO494" i="2"/>
  <c r="KN494" i="2"/>
  <c r="KM494" i="2"/>
  <c r="KL494" i="2"/>
  <c r="KK494" i="2"/>
  <c r="KJ494" i="2"/>
  <c r="KI494" i="2"/>
  <c r="KH494" i="2"/>
  <c r="KG494" i="2"/>
  <c r="KF494" i="2"/>
  <c r="KE494" i="2"/>
  <c r="KR493" i="2"/>
  <c r="KQ493" i="2"/>
  <c r="KP493" i="2"/>
  <c r="KO493" i="2"/>
  <c r="KN493" i="2"/>
  <c r="KM493" i="2"/>
  <c r="KL493" i="2"/>
  <c r="KK493" i="2"/>
  <c r="KJ493" i="2"/>
  <c r="KI493" i="2"/>
  <c r="KH493" i="2"/>
  <c r="KG493" i="2"/>
  <c r="KF493" i="2"/>
  <c r="KE493" i="2"/>
  <c r="KR492" i="2"/>
  <c r="KQ492" i="2"/>
  <c r="KP492" i="2"/>
  <c r="KO492" i="2"/>
  <c r="KN492" i="2"/>
  <c r="KM492" i="2"/>
  <c r="KL492" i="2"/>
  <c r="KK492" i="2"/>
  <c r="KJ492" i="2"/>
  <c r="KI492" i="2"/>
  <c r="KH492" i="2"/>
  <c r="KG492" i="2"/>
  <c r="KF492" i="2"/>
  <c r="KE492" i="2"/>
  <c r="KR491" i="2"/>
  <c r="KQ491" i="2"/>
  <c r="KP491" i="2"/>
  <c r="KO491" i="2"/>
  <c r="KN491" i="2"/>
  <c r="KM491" i="2"/>
  <c r="KL491" i="2"/>
  <c r="KK491" i="2"/>
  <c r="KJ491" i="2"/>
  <c r="KI491" i="2"/>
  <c r="KH491" i="2"/>
  <c r="KG491" i="2"/>
  <c r="KF491" i="2"/>
  <c r="KE491" i="2"/>
  <c r="KR490" i="2"/>
  <c r="KQ490" i="2"/>
  <c r="KP490" i="2"/>
  <c r="KO490" i="2"/>
  <c r="KN490" i="2"/>
  <c r="KM490" i="2"/>
  <c r="KL490" i="2"/>
  <c r="KK490" i="2"/>
  <c r="KJ490" i="2"/>
  <c r="KI490" i="2"/>
  <c r="KH490" i="2"/>
  <c r="KG490" i="2"/>
  <c r="KF490" i="2"/>
  <c r="KE490" i="2"/>
  <c r="KR489" i="2"/>
  <c r="KQ489" i="2"/>
  <c r="KP489" i="2"/>
  <c r="KO489" i="2"/>
  <c r="KN489" i="2"/>
  <c r="KM489" i="2"/>
  <c r="KL489" i="2"/>
  <c r="KK489" i="2"/>
  <c r="KJ489" i="2"/>
  <c r="KI489" i="2"/>
  <c r="KH489" i="2"/>
  <c r="KG489" i="2"/>
  <c r="KF489" i="2"/>
  <c r="KE489" i="2"/>
  <c r="KR488" i="2"/>
  <c r="KQ488" i="2"/>
  <c r="KP488" i="2"/>
  <c r="KO488" i="2"/>
  <c r="KN488" i="2"/>
  <c r="KM488" i="2"/>
  <c r="KL488" i="2"/>
  <c r="KK488" i="2"/>
  <c r="KJ488" i="2"/>
  <c r="KI488" i="2"/>
  <c r="KH488" i="2"/>
  <c r="KG488" i="2"/>
  <c r="KF488" i="2"/>
  <c r="KE488" i="2"/>
  <c r="KR487" i="2"/>
  <c r="KQ487" i="2"/>
  <c r="KP487" i="2"/>
  <c r="KO487" i="2"/>
  <c r="KN487" i="2"/>
  <c r="KM487" i="2"/>
  <c r="KL487" i="2"/>
  <c r="KK487" i="2"/>
  <c r="KJ487" i="2"/>
  <c r="KI487" i="2"/>
  <c r="KH487" i="2"/>
  <c r="KG487" i="2"/>
  <c r="KF487" i="2"/>
  <c r="KE487" i="2"/>
  <c r="KR486" i="2"/>
  <c r="KQ486" i="2"/>
  <c r="KP486" i="2"/>
  <c r="KO486" i="2"/>
  <c r="KN486" i="2"/>
  <c r="KM486" i="2"/>
  <c r="KL486" i="2"/>
  <c r="KK486" i="2"/>
  <c r="KJ486" i="2"/>
  <c r="KI486" i="2"/>
  <c r="KH486" i="2"/>
  <c r="KG486" i="2"/>
  <c r="KF486" i="2"/>
  <c r="KE486" i="2"/>
  <c r="KR485" i="2"/>
  <c r="KQ485" i="2"/>
  <c r="KP485" i="2"/>
  <c r="KO485" i="2"/>
  <c r="KN485" i="2"/>
  <c r="KM485" i="2"/>
  <c r="KL485" i="2"/>
  <c r="KK485" i="2"/>
  <c r="KJ485" i="2"/>
  <c r="KI485" i="2"/>
  <c r="KH485" i="2"/>
  <c r="KG485" i="2"/>
  <c r="KF485" i="2"/>
  <c r="KE485" i="2"/>
  <c r="KB521" i="2"/>
  <c r="KA521" i="2"/>
  <c r="JZ521" i="2"/>
  <c r="JY521" i="2"/>
  <c r="JX521" i="2"/>
  <c r="AL44" i="50" s="1"/>
  <c r="JW521" i="2"/>
  <c r="AK44" i="50" s="1"/>
  <c r="JV521" i="2"/>
  <c r="JU521" i="2"/>
  <c r="JT521" i="2"/>
  <c r="JS521" i="2"/>
  <c r="JR521" i="2"/>
  <c r="JQ521" i="2"/>
  <c r="JP521" i="2"/>
  <c r="JO521" i="2"/>
  <c r="KB520" i="2"/>
  <c r="KA520" i="2"/>
  <c r="JZ520" i="2"/>
  <c r="JY520" i="2"/>
  <c r="JX520" i="2"/>
  <c r="AL43" i="50" s="1"/>
  <c r="JW520" i="2"/>
  <c r="AK43" i="50" s="1"/>
  <c r="JV520" i="2"/>
  <c r="JU520" i="2"/>
  <c r="JT520" i="2"/>
  <c r="JS520" i="2"/>
  <c r="JR520" i="2"/>
  <c r="JQ520" i="2"/>
  <c r="JP520" i="2"/>
  <c r="JO520" i="2"/>
  <c r="KB519" i="2"/>
  <c r="KA519" i="2"/>
  <c r="JZ519" i="2"/>
  <c r="JY519" i="2"/>
  <c r="JX519" i="2"/>
  <c r="AL42" i="50" s="1"/>
  <c r="JW519" i="2"/>
  <c r="AK42" i="50" s="1"/>
  <c r="JV519" i="2"/>
  <c r="JU519" i="2"/>
  <c r="JT519" i="2"/>
  <c r="JS519" i="2"/>
  <c r="JR519" i="2"/>
  <c r="JQ519" i="2"/>
  <c r="JP519" i="2"/>
  <c r="JO519" i="2"/>
  <c r="KB518" i="2"/>
  <c r="KA518" i="2"/>
  <c r="JZ518" i="2"/>
  <c r="JY518" i="2"/>
  <c r="JX518" i="2"/>
  <c r="AL41" i="50" s="1"/>
  <c r="JW518" i="2"/>
  <c r="AK41" i="50" s="1"/>
  <c r="JV518" i="2"/>
  <c r="JU518" i="2"/>
  <c r="JT518" i="2"/>
  <c r="JS518" i="2"/>
  <c r="JR518" i="2"/>
  <c r="JQ518" i="2"/>
  <c r="JP518" i="2"/>
  <c r="JO518" i="2"/>
  <c r="KB517" i="2"/>
  <c r="KA517" i="2"/>
  <c r="JZ517" i="2"/>
  <c r="JY517" i="2"/>
  <c r="JX517" i="2"/>
  <c r="AL40" i="50" s="1"/>
  <c r="JW517" i="2"/>
  <c r="AK40" i="50" s="1"/>
  <c r="JV517" i="2"/>
  <c r="JU517" i="2"/>
  <c r="JT517" i="2"/>
  <c r="JS517" i="2"/>
  <c r="JR517" i="2"/>
  <c r="JQ517" i="2"/>
  <c r="JP517" i="2"/>
  <c r="JO517" i="2"/>
  <c r="KB516" i="2"/>
  <c r="KA516" i="2"/>
  <c r="JZ516" i="2"/>
  <c r="JY516" i="2"/>
  <c r="JX516" i="2"/>
  <c r="AL39" i="50" s="1"/>
  <c r="JW516" i="2"/>
  <c r="AK39" i="50" s="1"/>
  <c r="JV516" i="2"/>
  <c r="JU516" i="2"/>
  <c r="JT516" i="2"/>
  <c r="JS516" i="2"/>
  <c r="JR516" i="2"/>
  <c r="JQ516" i="2"/>
  <c r="JP516" i="2"/>
  <c r="JO516" i="2"/>
  <c r="KB515" i="2"/>
  <c r="KA515" i="2"/>
  <c r="JZ515" i="2"/>
  <c r="JY515" i="2"/>
  <c r="JX515" i="2"/>
  <c r="AL38" i="50" s="1"/>
  <c r="JW515" i="2"/>
  <c r="AK38" i="50" s="1"/>
  <c r="JV515" i="2"/>
  <c r="JU515" i="2"/>
  <c r="JT515" i="2"/>
  <c r="JS515" i="2"/>
  <c r="JR515" i="2"/>
  <c r="JQ515" i="2"/>
  <c r="JP515" i="2"/>
  <c r="JO515" i="2"/>
  <c r="KB514" i="2"/>
  <c r="KA514" i="2"/>
  <c r="JZ514" i="2"/>
  <c r="JY514" i="2"/>
  <c r="JX514" i="2"/>
  <c r="AL37" i="50" s="1"/>
  <c r="JW514" i="2"/>
  <c r="AK37" i="50" s="1"/>
  <c r="JV514" i="2"/>
  <c r="JU514" i="2"/>
  <c r="JT514" i="2"/>
  <c r="JS514" i="2"/>
  <c r="JR514" i="2"/>
  <c r="JQ514" i="2"/>
  <c r="JP514" i="2"/>
  <c r="JO514" i="2"/>
  <c r="KB513" i="2"/>
  <c r="KA513" i="2"/>
  <c r="JZ513" i="2"/>
  <c r="JY513" i="2"/>
  <c r="JX513" i="2"/>
  <c r="JW513" i="2"/>
  <c r="JV513" i="2"/>
  <c r="JU513" i="2"/>
  <c r="JT513" i="2"/>
  <c r="JS513" i="2"/>
  <c r="JR513" i="2"/>
  <c r="JQ513" i="2"/>
  <c r="JP513" i="2"/>
  <c r="JO513" i="2"/>
  <c r="KB512" i="2"/>
  <c r="KA512" i="2"/>
  <c r="JZ512" i="2"/>
  <c r="JY512" i="2"/>
  <c r="JX512" i="2"/>
  <c r="JW512" i="2"/>
  <c r="JV512" i="2"/>
  <c r="JU512" i="2"/>
  <c r="JT512" i="2"/>
  <c r="JS512" i="2"/>
  <c r="JR512" i="2"/>
  <c r="JQ512" i="2"/>
  <c r="JP512" i="2"/>
  <c r="JO512" i="2"/>
  <c r="KB511" i="2"/>
  <c r="KA511" i="2"/>
  <c r="JZ511" i="2"/>
  <c r="JY511" i="2"/>
  <c r="JX511" i="2"/>
  <c r="JW511" i="2"/>
  <c r="JV511" i="2"/>
  <c r="JU511" i="2"/>
  <c r="JT511" i="2"/>
  <c r="JS511" i="2"/>
  <c r="JR511" i="2"/>
  <c r="JQ511" i="2"/>
  <c r="JP511" i="2"/>
  <c r="JO511" i="2"/>
  <c r="KB510" i="2"/>
  <c r="KA510" i="2"/>
  <c r="JZ510" i="2"/>
  <c r="JY510" i="2"/>
  <c r="JX510" i="2"/>
  <c r="JW510" i="2"/>
  <c r="JV510" i="2"/>
  <c r="JU510" i="2"/>
  <c r="JT510" i="2"/>
  <c r="JS510" i="2"/>
  <c r="JR510" i="2"/>
  <c r="JQ510" i="2"/>
  <c r="JP510" i="2"/>
  <c r="JO510" i="2"/>
  <c r="KB509" i="2"/>
  <c r="KA509" i="2"/>
  <c r="JZ509" i="2"/>
  <c r="JY509" i="2"/>
  <c r="JX509" i="2"/>
  <c r="JW509" i="2"/>
  <c r="JV509" i="2"/>
  <c r="JU509" i="2"/>
  <c r="JT509" i="2"/>
  <c r="JS509" i="2"/>
  <c r="JR509" i="2"/>
  <c r="JQ509" i="2"/>
  <c r="JP509" i="2"/>
  <c r="JO509" i="2"/>
  <c r="KB508" i="2"/>
  <c r="KA508" i="2"/>
  <c r="JZ508" i="2"/>
  <c r="JY508" i="2"/>
  <c r="JX508" i="2"/>
  <c r="JW508" i="2"/>
  <c r="JV508" i="2"/>
  <c r="JU508" i="2"/>
  <c r="JT508" i="2"/>
  <c r="JS508" i="2"/>
  <c r="JR508" i="2"/>
  <c r="JQ508" i="2"/>
  <c r="JP508" i="2"/>
  <c r="JO508" i="2"/>
  <c r="KB507" i="2"/>
  <c r="KA507" i="2"/>
  <c r="JZ507" i="2"/>
  <c r="JY507" i="2"/>
  <c r="JX507" i="2"/>
  <c r="JW507" i="2"/>
  <c r="JV507" i="2"/>
  <c r="JU507" i="2"/>
  <c r="JT507" i="2"/>
  <c r="JS507" i="2"/>
  <c r="JR507" i="2"/>
  <c r="JQ507" i="2"/>
  <c r="JP507" i="2"/>
  <c r="JO507" i="2"/>
  <c r="KB506" i="2"/>
  <c r="KA506" i="2"/>
  <c r="JZ506" i="2"/>
  <c r="JY506" i="2"/>
  <c r="JX506" i="2"/>
  <c r="JW506" i="2"/>
  <c r="JV506" i="2"/>
  <c r="JU506" i="2"/>
  <c r="JT506" i="2"/>
  <c r="JS506" i="2"/>
  <c r="JR506" i="2"/>
  <c r="JQ506" i="2"/>
  <c r="JP506" i="2"/>
  <c r="JO506" i="2"/>
  <c r="KB505" i="2"/>
  <c r="KA505" i="2"/>
  <c r="JZ505" i="2"/>
  <c r="JY505" i="2"/>
  <c r="JX505" i="2"/>
  <c r="JW505" i="2"/>
  <c r="JV505" i="2"/>
  <c r="JU505" i="2"/>
  <c r="JT505" i="2"/>
  <c r="JS505" i="2"/>
  <c r="JR505" i="2"/>
  <c r="JQ505" i="2"/>
  <c r="JP505" i="2"/>
  <c r="JO505" i="2"/>
  <c r="KB504" i="2"/>
  <c r="KA504" i="2"/>
  <c r="JZ504" i="2"/>
  <c r="JY504" i="2"/>
  <c r="JX504" i="2"/>
  <c r="JW504" i="2"/>
  <c r="JV504" i="2"/>
  <c r="JU504" i="2"/>
  <c r="JT504" i="2"/>
  <c r="JS504" i="2"/>
  <c r="JR504" i="2"/>
  <c r="JQ504" i="2"/>
  <c r="JP504" i="2"/>
  <c r="JO504" i="2"/>
  <c r="KB503" i="2"/>
  <c r="KA503" i="2"/>
  <c r="JZ503" i="2"/>
  <c r="JY503" i="2"/>
  <c r="JX503" i="2"/>
  <c r="JW503" i="2"/>
  <c r="JV503" i="2"/>
  <c r="JU503" i="2"/>
  <c r="JT503" i="2"/>
  <c r="JS503" i="2"/>
  <c r="JR503" i="2"/>
  <c r="JQ503" i="2"/>
  <c r="JP503" i="2"/>
  <c r="JO503" i="2"/>
  <c r="KB502" i="2"/>
  <c r="KA502" i="2"/>
  <c r="JZ502" i="2"/>
  <c r="JY502" i="2"/>
  <c r="JX502" i="2"/>
  <c r="JW502" i="2"/>
  <c r="JV502" i="2"/>
  <c r="JU502" i="2"/>
  <c r="JT502" i="2"/>
  <c r="JS502" i="2"/>
  <c r="JR502" i="2"/>
  <c r="JQ502" i="2"/>
  <c r="JP502" i="2"/>
  <c r="JO502" i="2"/>
  <c r="KB501" i="2"/>
  <c r="KA501" i="2"/>
  <c r="JZ501" i="2"/>
  <c r="JY501" i="2"/>
  <c r="JX501" i="2"/>
  <c r="JW501" i="2"/>
  <c r="JV501" i="2"/>
  <c r="JU501" i="2"/>
  <c r="JT501" i="2"/>
  <c r="JS501" i="2"/>
  <c r="JR501" i="2"/>
  <c r="JQ501" i="2"/>
  <c r="JP501" i="2"/>
  <c r="JO501" i="2"/>
  <c r="KB500" i="2"/>
  <c r="KA500" i="2"/>
  <c r="JZ500" i="2"/>
  <c r="JY500" i="2"/>
  <c r="JX500" i="2"/>
  <c r="JW500" i="2"/>
  <c r="JV500" i="2"/>
  <c r="JU500" i="2"/>
  <c r="JT500" i="2"/>
  <c r="JS500" i="2"/>
  <c r="JR500" i="2"/>
  <c r="JQ500" i="2"/>
  <c r="JP500" i="2"/>
  <c r="JO500" i="2"/>
  <c r="KB499" i="2"/>
  <c r="KA499" i="2"/>
  <c r="JZ499" i="2"/>
  <c r="JY499" i="2"/>
  <c r="JX499" i="2"/>
  <c r="JW499" i="2"/>
  <c r="JV499" i="2"/>
  <c r="JU499" i="2"/>
  <c r="JT499" i="2"/>
  <c r="JS499" i="2"/>
  <c r="JR499" i="2"/>
  <c r="JQ499" i="2"/>
  <c r="JP499" i="2"/>
  <c r="JO499" i="2"/>
  <c r="KB498" i="2"/>
  <c r="KA498" i="2"/>
  <c r="JZ498" i="2"/>
  <c r="JY498" i="2"/>
  <c r="JX498" i="2"/>
  <c r="JW498" i="2"/>
  <c r="JV498" i="2"/>
  <c r="JU498" i="2"/>
  <c r="JT498" i="2"/>
  <c r="JS498" i="2"/>
  <c r="JR498" i="2"/>
  <c r="JQ498" i="2"/>
  <c r="JP498" i="2"/>
  <c r="JO498" i="2"/>
  <c r="KB497" i="2"/>
  <c r="KA497" i="2"/>
  <c r="JZ497" i="2"/>
  <c r="JY497" i="2"/>
  <c r="JX497" i="2"/>
  <c r="JW497" i="2"/>
  <c r="JV497" i="2"/>
  <c r="JU497" i="2"/>
  <c r="JT497" i="2"/>
  <c r="JS497" i="2"/>
  <c r="JR497" i="2"/>
  <c r="JQ497" i="2"/>
  <c r="JP497" i="2"/>
  <c r="JO497" i="2"/>
  <c r="KB496" i="2"/>
  <c r="KA496" i="2"/>
  <c r="JZ496" i="2"/>
  <c r="JY496" i="2"/>
  <c r="JX496" i="2"/>
  <c r="JW496" i="2"/>
  <c r="JV496" i="2"/>
  <c r="JU496" i="2"/>
  <c r="JT496" i="2"/>
  <c r="JS496" i="2"/>
  <c r="JR496" i="2"/>
  <c r="JQ496" i="2"/>
  <c r="JP496" i="2"/>
  <c r="JO496" i="2"/>
  <c r="KB495" i="2"/>
  <c r="KA495" i="2"/>
  <c r="JZ495" i="2"/>
  <c r="JY495" i="2"/>
  <c r="JX495" i="2"/>
  <c r="JW495" i="2"/>
  <c r="JV495" i="2"/>
  <c r="JU495" i="2"/>
  <c r="JT495" i="2"/>
  <c r="JS495" i="2"/>
  <c r="JR495" i="2"/>
  <c r="JQ495" i="2"/>
  <c r="JP495" i="2"/>
  <c r="JO495" i="2"/>
  <c r="KB494" i="2"/>
  <c r="KA494" i="2"/>
  <c r="JZ494" i="2"/>
  <c r="JY494" i="2"/>
  <c r="JX494" i="2"/>
  <c r="JW494" i="2"/>
  <c r="JV494" i="2"/>
  <c r="JU494" i="2"/>
  <c r="JT494" i="2"/>
  <c r="JS494" i="2"/>
  <c r="JR494" i="2"/>
  <c r="JQ494" i="2"/>
  <c r="JP494" i="2"/>
  <c r="JO494" i="2"/>
  <c r="KB493" i="2"/>
  <c r="KA493" i="2"/>
  <c r="JZ493" i="2"/>
  <c r="JY493" i="2"/>
  <c r="JX493" i="2"/>
  <c r="JW493" i="2"/>
  <c r="JV493" i="2"/>
  <c r="JU493" i="2"/>
  <c r="JT493" i="2"/>
  <c r="JS493" i="2"/>
  <c r="JR493" i="2"/>
  <c r="JQ493" i="2"/>
  <c r="JP493" i="2"/>
  <c r="JO493" i="2"/>
  <c r="KB492" i="2"/>
  <c r="KA492" i="2"/>
  <c r="JZ492" i="2"/>
  <c r="JY492" i="2"/>
  <c r="JX492" i="2"/>
  <c r="JW492" i="2"/>
  <c r="JV492" i="2"/>
  <c r="JU492" i="2"/>
  <c r="JT492" i="2"/>
  <c r="JS492" i="2"/>
  <c r="JR492" i="2"/>
  <c r="JQ492" i="2"/>
  <c r="JP492" i="2"/>
  <c r="JO492" i="2"/>
  <c r="KB491" i="2"/>
  <c r="KA491" i="2"/>
  <c r="JZ491" i="2"/>
  <c r="JY491" i="2"/>
  <c r="JX491" i="2"/>
  <c r="JW491" i="2"/>
  <c r="JV491" i="2"/>
  <c r="JU491" i="2"/>
  <c r="JT491" i="2"/>
  <c r="JS491" i="2"/>
  <c r="JR491" i="2"/>
  <c r="JQ491" i="2"/>
  <c r="JP491" i="2"/>
  <c r="JO491" i="2"/>
  <c r="KB490" i="2"/>
  <c r="KA490" i="2"/>
  <c r="JZ490" i="2"/>
  <c r="JY490" i="2"/>
  <c r="JX490" i="2"/>
  <c r="JW490" i="2"/>
  <c r="JV490" i="2"/>
  <c r="JU490" i="2"/>
  <c r="JT490" i="2"/>
  <c r="JS490" i="2"/>
  <c r="JR490" i="2"/>
  <c r="JQ490" i="2"/>
  <c r="JP490" i="2"/>
  <c r="JO490" i="2"/>
  <c r="KB489" i="2"/>
  <c r="KA489" i="2"/>
  <c r="JZ489" i="2"/>
  <c r="JY489" i="2"/>
  <c r="JX489" i="2"/>
  <c r="JW489" i="2"/>
  <c r="JV489" i="2"/>
  <c r="JU489" i="2"/>
  <c r="JT489" i="2"/>
  <c r="JS489" i="2"/>
  <c r="JR489" i="2"/>
  <c r="JQ489" i="2"/>
  <c r="JP489" i="2"/>
  <c r="JO489" i="2"/>
  <c r="KB488" i="2"/>
  <c r="KA488" i="2"/>
  <c r="JZ488" i="2"/>
  <c r="JY488" i="2"/>
  <c r="JX488" i="2"/>
  <c r="JW488" i="2"/>
  <c r="JV488" i="2"/>
  <c r="JU488" i="2"/>
  <c r="JT488" i="2"/>
  <c r="JS488" i="2"/>
  <c r="JR488" i="2"/>
  <c r="JQ488" i="2"/>
  <c r="JP488" i="2"/>
  <c r="JO488" i="2"/>
  <c r="KB487" i="2"/>
  <c r="KA487" i="2"/>
  <c r="JZ487" i="2"/>
  <c r="JY487" i="2"/>
  <c r="JX487" i="2"/>
  <c r="JW487" i="2"/>
  <c r="JV487" i="2"/>
  <c r="JU487" i="2"/>
  <c r="JT487" i="2"/>
  <c r="JS487" i="2"/>
  <c r="JR487" i="2"/>
  <c r="JQ487" i="2"/>
  <c r="JP487" i="2"/>
  <c r="JO487" i="2"/>
  <c r="KB486" i="2"/>
  <c r="KA486" i="2"/>
  <c r="JZ486" i="2"/>
  <c r="JY486" i="2"/>
  <c r="JX486" i="2"/>
  <c r="JW486" i="2"/>
  <c r="JV486" i="2"/>
  <c r="JU486" i="2"/>
  <c r="JT486" i="2"/>
  <c r="JS486" i="2"/>
  <c r="JR486" i="2"/>
  <c r="JQ486" i="2"/>
  <c r="JP486" i="2"/>
  <c r="JO486" i="2"/>
  <c r="KB485" i="2"/>
  <c r="KA485" i="2"/>
  <c r="JZ485" i="2"/>
  <c r="JY485" i="2"/>
  <c r="JX485" i="2"/>
  <c r="JW485" i="2"/>
  <c r="JV485" i="2"/>
  <c r="JU485" i="2"/>
  <c r="JT485" i="2"/>
  <c r="JS485" i="2"/>
  <c r="JR485" i="2"/>
  <c r="JQ485" i="2"/>
  <c r="JP485" i="2"/>
  <c r="JO485" i="2"/>
  <c r="JL521" i="2"/>
  <c r="JK521" i="2"/>
  <c r="JJ521" i="2"/>
  <c r="JI521" i="2"/>
  <c r="JH521" i="2"/>
  <c r="AJ44" i="50" s="1"/>
  <c r="JG521" i="2"/>
  <c r="AI44" i="50" s="1"/>
  <c r="JF521" i="2"/>
  <c r="JE521" i="2"/>
  <c r="JD521" i="2"/>
  <c r="JC521" i="2"/>
  <c r="JB521" i="2"/>
  <c r="JA521" i="2"/>
  <c r="IZ521" i="2"/>
  <c r="IY521" i="2"/>
  <c r="JL520" i="2"/>
  <c r="JK520" i="2"/>
  <c r="JJ520" i="2"/>
  <c r="JI520" i="2"/>
  <c r="JH520" i="2"/>
  <c r="AJ43" i="50" s="1"/>
  <c r="JG520" i="2"/>
  <c r="AI43" i="50" s="1"/>
  <c r="JF520" i="2"/>
  <c r="JE520" i="2"/>
  <c r="JD520" i="2"/>
  <c r="JC520" i="2"/>
  <c r="JB520" i="2"/>
  <c r="JA520" i="2"/>
  <c r="IZ520" i="2"/>
  <c r="IY520" i="2"/>
  <c r="JL519" i="2"/>
  <c r="JK519" i="2"/>
  <c r="JJ519" i="2"/>
  <c r="JI519" i="2"/>
  <c r="JH519" i="2"/>
  <c r="AJ42" i="50" s="1"/>
  <c r="JG519" i="2"/>
  <c r="AI42" i="50" s="1"/>
  <c r="JF519" i="2"/>
  <c r="JE519" i="2"/>
  <c r="JD519" i="2"/>
  <c r="JC519" i="2"/>
  <c r="JB519" i="2"/>
  <c r="JA519" i="2"/>
  <c r="IZ519" i="2"/>
  <c r="IY519" i="2"/>
  <c r="JL518" i="2"/>
  <c r="JK518" i="2"/>
  <c r="JJ518" i="2"/>
  <c r="JI518" i="2"/>
  <c r="JH518" i="2"/>
  <c r="AJ41" i="50" s="1"/>
  <c r="JG518" i="2"/>
  <c r="AI41" i="50" s="1"/>
  <c r="JF518" i="2"/>
  <c r="JE518" i="2"/>
  <c r="JD518" i="2"/>
  <c r="JC518" i="2"/>
  <c r="JB518" i="2"/>
  <c r="JA518" i="2"/>
  <c r="IZ518" i="2"/>
  <c r="IY518" i="2"/>
  <c r="JL517" i="2"/>
  <c r="JK517" i="2"/>
  <c r="JJ517" i="2"/>
  <c r="JI517" i="2"/>
  <c r="JH517" i="2"/>
  <c r="AJ40" i="50" s="1"/>
  <c r="JG517" i="2"/>
  <c r="AI40" i="50" s="1"/>
  <c r="JF517" i="2"/>
  <c r="JE517" i="2"/>
  <c r="JD517" i="2"/>
  <c r="JC517" i="2"/>
  <c r="JB517" i="2"/>
  <c r="JA517" i="2"/>
  <c r="IZ517" i="2"/>
  <c r="IY517" i="2"/>
  <c r="JL516" i="2"/>
  <c r="JK516" i="2"/>
  <c r="JJ516" i="2"/>
  <c r="JI516" i="2"/>
  <c r="JH516" i="2"/>
  <c r="AJ39" i="50" s="1"/>
  <c r="JG516" i="2"/>
  <c r="AI39" i="50" s="1"/>
  <c r="JF516" i="2"/>
  <c r="JE516" i="2"/>
  <c r="JD516" i="2"/>
  <c r="JC516" i="2"/>
  <c r="JB516" i="2"/>
  <c r="JA516" i="2"/>
  <c r="IZ516" i="2"/>
  <c r="IY516" i="2"/>
  <c r="JL515" i="2"/>
  <c r="JK515" i="2"/>
  <c r="JJ515" i="2"/>
  <c r="JI515" i="2"/>
  <c r="JH515" i="2"/>
  <c r="AJ38" i="50" s="1"/>
  <c r="JG515" i="2"/>
  <c r="AI38" i="50" s="1"/>
  <c r="JF515" i="2"/>
  <c r="JE515" i="2"/>
  <c r="JD515" i="2"/>
  <c r="JC515" i="2"/>
  <c r="JB515" i="2"/>
  <c r="JA515" i="2"/>
  <c r="IZ515" i="2"/>
  <c r="IY515" i="2"/>
  <c r="JL514" i="2"/>
  <c r="JK514" i="2"/>
  <c r="JJ514" i="2"/>
  <c r="JI514" i="2"/>
  <c r="JH514" i="2"/>
  <c r="AJ37" i="50" s="1"/>
  <c r="JG514" i="2"/>
  <c r="AI37" i="50" s="1"/>
  <c r="JF514" i="2"/>
  <c r="JE514" i="2"/>
  <c r="JD514" i="2"/>
  <c r="JC514" i="2"/>
  <c r="JB514" i="2"/>
  <c r="JA514" i="2"/>
  <c r="IZ514" i="2"/>
  <c r="IY514" i="2"/>
  <c r="JL513" i="2"/>
  <c r="JK513" i="2"/>
  <c r="JJ513" i="2"/>
  <c r="JI513" i="2"/>
  <c r="JH513" i="2"/>
  <c r="JG513" i="2"/>
  <c r="JF513" i="2"/>
  <c r="JE513" i="2"/>
  <c r="JD513" i="2"/>
  <c r="JC513" i="2"/>
  <c r="JB513" i="2"/>
  <c r="JA513" i="2"/>
  <c r="IZ513" i="2"/>
  <c r="IY513" i="2"/>
  <c r="JL512" i="2"/>
  <c r="JK512" i="2"/>
  <c r="JJ512" i="2"/>
  <c r="JI512" i="2"/>
  <c r="JH512" i="2"/>
  <c r="JG512" i="2"/>
  <c r="JF512" i="2"/>
  <c r="JE512" i="2"/>
  <c r="JD512" i="2"/>
  <c r="JC512" i="2"/>
  <c r="JB512" i="2"/>
  <c r="JA512" i="2"/>
  <c r="IZ512" i="2"/>
  <c r="IY512" i="2"/>
  <c r="JL511" i="2"/>
  <c r="JK511" i="2"/>
  <c r="JJ511" i="2"/>
  <c r="JI511" i="2"/>
  <c r="JH511" i="2"/>
  <c r="JG511" i="2"/>
  <c r="JF511" i="2"/>
  <c r="JE511" i="2"/>
  <c r="JD511" i="2"/>
  <c r="JC511" i="2"/>
  <c r="JB511" i="2"/>
  <c r="JA511" i="2"/>
  <c r="IZ511" i="2"/>
  <c r="IY511" i="2"/>
  <c r="JL510" i="2"/>
  <c r="JK510" i="2"/>
  <c r="JJ510" i="2"/>
  <c r="JI510" i="2"/>
  <c r="JH510" i="2"/>
  <c r="JG510" i="2"/>
  <c r="JF510" i="2"/>
  <c r="JE510" i="2"/>
  <c r="JD510" i="2"/>
  <c r="JC510" i="2"/>
  <c r="JB510" i="2"/>
  <c r="JA510" i="2"/>
  <c r="IZ510" i="2"/>
  <c r="IY510" i="2"/>
  <c r="JL509" i="2"/>
  <c r="JK509" i="2"/>
  <c r="JJ509" i="2"/>
  <c r="JI509" i="2"/>
  <c r="JH509" i="2"/>
  <c r="JG509" i="2"/>
  <c r="JF509" i="2"/>
  <c r="JE509" i="2"/>
  <c r="JD509" i="2"/>
  <c r="JC509" i="2"/>
  <c r="JB509" i="2"/>
  <c r="JA509" i="2"/>
  <c r="IZ509" i="2"/>
  <c r="IY509" i="2"/>
  <c r="JL508" i="2"/>
  <c r="JK508" i="2"/>
  <c r="JJ508" i="2"/>
  <c r="JI508" i="2"/>
  <c r="JH508" i="2"/>
  <c r="JG508" i="2"/>
  <c r="JF508" i="2"/>
  <c r="JE508" i="2"/>
  <c r="JD508" i="2"/>
  <c r="JC508" i="2"/>
  <c r="JB508" i="2"/>
  <c r="JA508" i="2"/>
  <c r="IZ508" i="2"/>
  <c r="IY508" i="2"/>
  <c r="JL507" i="2"/>
  <c r="JK507" i="2"/>
  <c r="JJ507" i="2"/>
  <c r="JI507" i="2"/>
  <c r="JH507" i="2"/>
  <c r="JG507" i="2"/>
  <c r="JF507" i="2"/>
  <c r="JE507" i="2"/>
  <c r="JD507" i="2"/>
  <c r="JC507" i="2"/>
  <c r="JB507" i="2"/>
  <c r="JA507" i="2"/>
  <c r="IZ507" i="2"/>
  <c r="IY507" i="2"/>
  <c r="JL506" i="2"/>
  <c r="JK506" i="2"/>
  <c r="JJ506" i="2"/>
  <c r="JI506" i="2"/>
  <c r="JH506" i="2"/>
  <c r="JG506" i="2"/>
  <c r="JF506" i="2"/>
  <c r="JE506" i="2"/>
  <c r="JD506" i="2"/>
  <c r="JC506" i="2"/>
  <c r="JB506" i="2"/>
  <c r="JA506" i="2"/>
  <c r="IZ506" i="2"/>
  <c r="IY506" i="2"/>
  <c r="JL505" i="2"/>
  <c r="JK505" i="2"/>
  <c r="JJ505" i="2"/>
  <c r="JI505" i="2"/>
  <c r="JH505" i="2"/>
  <c r="JG505" i="2"/>
  <c r="JF505" i="2"/>
  <c r="JE505" i="2"/>
  <c r="JD505" i="2"/>
  <c r="JC505" i="2"/>
  <c r="JB505" i="2"/>
  <c r="JA505" i="2"/>
  <c r="IZ505" i="2"/>
  <c r="IY505" i="2"/>
  <c r="JL504" i="2"/>
  <c r="JK504" i="2"/>
  <c r="JJ504" i="2"/>
  <c r="JI504" i="2"/>
  <c r="JH504" i="2"/>
  <c r="JG504" i="2"/>
  <c r="JF504" i="2"/>
  <c r="JE504" i="2"/>
  <c r="JD504" i="2"/>
  <c r="JC504" i="2"/>
  <c r="JB504" i="2"/>
  <c r="JA504" i="2"/>
  <c r="IZ504" i="2"/>
  <c r="IY504" i="2"/>
  <c r="JL503" i="2"/>
  <c r="JK503" i="2"/>
  <c r="JJ503" i="2"/>
  <c r="JI503" i="2"/>
  <c r="JH503" i="2"/>
  <c r="JG503" i="2"/>
  <c r="JF503" i="2"/>
  <c r="JE503" i="2"/>
  <c r="JD503" i="2"/>
  <c r="JC503" i="2"/>
  <c r="JB503" i="2"/>
  <c r="JA503" i="2"/>
  <c r="IZ503" i="2"/>
  <c r="IY503" i="2"/>
  <c r="JL502" i="2"/>
  <c r="JK502" i="2"/>
  <c r="JJ502" i="2"/>
  <c r="JI502" i="2"/>
  <c r="JH502" i="2"/>
  <c r="JG502" i="2"/>
  <c r="JF502" i="2"/>
  <c r="JE502" i="2"/>
  <c r="JD502" i="2"/>
  <c r="JC502" i="2"/>
  <c r="JB502" i="2"/>
  <c r="JA502" i="2"/>
  <c r="IZ502" i="2"/>
  <c r="IY502" i="2"/>
  <c r="JL501" i="2"/>
  <c r="JK501" i="2"/>
  <c r="JJ501" i="2"/>
  <c r="JI501" i="2"/>
  <c r="JH501" i="2"/>
  <c r="JG501" i="2"/>
  <c r="JF501" i="2"/>
  <c r="JE501" i="2"/>
  <c r="JD501" i="2"/>
  <c r="JC501" i="2"/>
  <c r="JB501" i="2"/>
  <c r="JA501" i="2"/>
  <c r="IZ501" i="2"/>
  <c r="IY501" i="2"/>
  <c r="JL500" i="2"/>
  <c r="JK500" i="2"/>
  <c r="JJ500" i="2"/>
  <c r="JI500" i="2"/>
  <c r="JH500" i="2"/>
  <c r="JG500" i="2"/>
  <c r="JF500" i="2"/>
  <c r="JE500" i="2"/>
  <c r="JD500" i="2"/>
  <c r="JC500" i="2"/>
  <c r="JB500" i="2"/>
  <c r="JA500" i="2"/>
  <c r="IZ500" i="2"/>
  <c r="IY500" i="2"/>
  <c r="JL499" i="2"/>
  <c r="JK499" i="2"/>
  <c r="JJ499" i="2"/>
  <c r="JI499" i="2"/>
  <c r="JH499" i="2"/>
  <c r="JG499" i="2"/>
  <c r="JF499" i="2"/>
  <c r="JE499" i="2"/>
  <c r="JD499" i="2"/>
  <c r="JC499" i="2"/>
  <c r="JB499" i="2"/>
  <c r="JA499" i="2"/>
  <c r="IZ499" i="2"/>
  <c r="IY499" i="2"/>
  <c r="JL498" i="2"/>
  <c r="JK498" i="2"/>
  <c r="JJ498" i="2"/>
  <c r="JI498" i="2"/>
  <c r="JH498" i="2"/>
  <c r="JG498" i="2"/>
  <c r="JF498" i="2"/>
  <c r="JE498" i="2"/>
  <c r="JD498" i="2"/>
  <c r="JC498" i="2"/>
  <c r="JB498" i="2"/>
  <c r="JA498" i="2"/>
  <c r="IZ498" i="2"/>
  <c r="IY498" i="2"/>
  <c r="JL497" i="2"/>
  <c r="JK497" i="2"/>
  <c r="JJ497" i="2"/>
  <c r="JI497" i="2"/>
  <c r="JH497" i="2"/>
  <c r="JG497" i="2"/>
  <c r="JF497" i="2"/>
  <c r="JE497" i="2"/>
  <c r="JD497" i="2"/>
  <c r="JC497" i="2"/>
  <c r="JB497" i="2"/>
  <c r="JA497" i="2"/>
  <c r="IZ497" i="2"/>
  <c r="IY497" i="2"/>
  <c r="JL496" i="2"/>
  <c r="JK496" i="2"/>
  <c r="JJ496" i="2"/>
  <c r="JI496" i="2"/>
  <c r="JH496" i="2"/>
  <c r="JG496" i="2"/>
  <c r="JF496" i="2"/>
  <c r="JE496" i="2"/>
  <c r="JD496" i="2"/>
  <c r="JC496" i="2"/>
  <c r="JB496" i="2"/>
  <c r="JA496" i="2"/>
  <c r="IZ496" i="2"/>
  <c r="IY496" i="2"/>
  <c r="JL495" i="2"/>
  <c r="JK495" i="2"/>
  <c r="JJ495" i="2"/>
  <c r="JI495" i="2"/>
  <c r="JH495" i="2"/>
  <c r="JG495" i="2"/>
  <c r="JF495" i="2"/>
  <c r="JE495" i="2"/>
  <c r="JD495" i="2"/>
  <c r="JC495" i="2"/>
  <c r="JB495" i="2"/>
  <c r="JA495" i="2"/>
  <c r="IZ495" i="2"/>
  <c r="IY495" i="2"/>
  <c r="JL494" i="2"/>
  <c r="JK494" i="2"/>
  <c r="JJ494" i="2"/>
  <c r="JI494" i="2"/>
  <c r="JH494" i="2"/>
  <c r="JG494" i="2"/>
  <c r="JF494" i="2"/>
  <c r="JE494" i="2"/>
  <c r="JD494" i="2"/>
  <c r="JC494" i="2"/>
  <c r="JB494" i="2"/>
  <c r="JA494" i="2"/>
  <c r="IZ494" i="2"/>
  <c r="IY494" i="2"/>
  <c r="JL493" i="2"/>
  <c r="JK493" i="2"/>
  <c r="JJ493" i="2"/>
  <c r="JI493" i="2"/>
  <c r="JH493" i="2"/>
  <c r="JG493" i="2"/>
  <c r="JF493" i="2"/>
  <c r="JE493" i="2"/>
  <c r="JD493" i="2"/>
  <c r="JC493" i="2"/>
  <c r="JB493" i="2"/>
  <c r="JA493" i="2"/>
  <c r="IZ493" i="2"/>
  <c r="IY493" i="2"/>
  <c r="JL492" i="2"/>
  <c r="JK492" i="2"/>
  <c r="JJ492" i="2"/>
  <c r="JI492" i="2"/>
  <c r="JH492" i="2"/>
  <c r="JG492" i="2"/>
  <c r="JF492" i="2"/>
  <c r="JE492" i="2"/>
  <c r="JD492" i="2"/>
  <c r="JC492" i="2"/>
  <c r="JB492" i="2"/>
  <c r="JA492" i="2"/>
  <c r="IZ492" i="2"/>
  <c r="IY492" i="2"/>
  <c r="JL491" i="2"/>
  <c r="JK491" i="2"/>
  <c r="JJ491" i="2"/>
  <c r="JI491" i="2"/>
  <c r="JH491" i="2"/>
  <c r="JG491" i="2"/>
  <c r="JF491" i="2"/>
  <c r="JE491" i="2"/>
  <c r="JD491" i="2"/>
  <c r="JC491" i="2"/>
  <c r="JB491" i="2"/>
  <c r="JA491" i="2"/>
  <c r="IZ491" i="2"/>
  <c r="IY491" i="2"/>
  <c r="JL490" i="2"/>
  <c r="JK490" i="2"/>
  <c r="JJ490" i="2"/>
  <c r="JI490" i="2"/>
  <c r="JH490" i="2"/>
  <c r="JG490" i="2"/>
  <c r="JF490" i="2"/>
  <c r="JE490" i="2"/>
  <c r="JD490" i="2"/>
  <c r="JC490" i="2"/>
  <c r="JB490" i="2"/>
  <c r="JA490" i="2"/>
  <c r="IZ490" i="2"/>
  <c r="IY490" i="2"/>
  <c r="JL489" i="2"/>
  <c r="JK489" i="2"/>
  <c r="JJ489" i="2"/>
  <c r="JI489" i="2"/>
  <c r="JH489" i="2"/>
  <c r="JG489" i="2"/>
  <c r="JF489" i="2"/>
  <c r="JE489" i="2"/>
  <c r="JD489" i="2"/>
  <c r="JC489" i="2"/>
  <c r="JB489" i="2"/>
  <c r="JA489" i="2"/>
  <c r="IZ489" i="2"/>
  <c r="IY489" i="2"/>
  <c r="JL488" i="2"/>
  <c r="JK488" i="2"/>
  <c r="JJ488" i="2"/>
  <c r="JI488" i="2"/>
  <c r="JH488" i="2"/>
  <c r="JG488" i="2"/>
  <c r="JF488" i="2"/>
  <c r="JE488" i="2"/>
  <c r="JD488" i="2"/>
  <c r="JC488" i="2"/>
  <c r="JB488" i="2"/>
  <c r="JA488" i="2"/>
  <c r="IZ488" i="2"/>
  <c r="IY488" i="2"/>
  <c r="JL487" i="2"/>
  <c r="JK487" i="2"/>
  <c r="JJ487" i="2"/>
  <c r="JI487" i="2"/>
  <c r="JH487" i="2"/>
  <c r="JG487" i="2"/>
  <c r="JF487" i="2"/>
  <c r="JE487" i="2"/>
  <c r="JD487" i="2"/>
  <c r="JC487" i="2"/>
  <c r="JB487" i="2"/>
  <c r="JA487" i="2"/>
  <c r="IZ487" i="2"/>
  <c r="IY487" i="2"/>
  <c r="JL486" i="2"/>
  <c r="JK486" i="2"/>
  <c r="JJ486" i="2"/>
  <c r="JI486" i="2"/>
  <c r="JH486" i="2"/>
  <c r="JG486" i="2"/>
  <c r="JF486" i="2"/>
  <c r="JE486" i="2"/>
  <c r="JD486" i="2"/>
  <c r="JC486" i="2"/>
  <c r="JB486" i="2"/>
  <c r="JA486" i="2"/>
  <c r="IZ486" i="2"/>
  <c r="IY486" i="2"/>
  <c r="JL485" i="2"/>
  <c r="JK485" i="2"/>
  <c r="JJ485" i="2"/>
  <c r="JI485" i="2"/>
  <c r="JH485" i="2"/>
  <c r="JG485" i="2"/>
  <c r="JF485" i="2"/>
  <c r="JE485" i="2"/>
  <c r="JD485" i="2"/>
  <c r="JC485" i="2"/>
  <c r="JB485" i="2"/>
  <c r="JA485" i="2"/>
  <c r="IZ485" i="2"/>
  <c r="IY485" i="2"/>
  <c r="IV521" i="2"/>
  <c r="IU521" i="2"/>
  <c r="IT521" i="2"/>
  <c r="IS521" i="2"/>
  <c r="IR521" i="2"/>
  <c r="AH44" i="50" s="1"/>
  <c r="IQ521" i="2"/>
  <c r="AG44" i="50" s="1"/>
  <c r="IP521" i="2"/>
  <c r="IO521" i="2"/>
  <c r="IN521" i="2"/>
  <c r="IM521" i="2"/>
  <c r="IL521" i="2"/>
  <c r="IK521" i="2"/>
  <c r="IJ521" i="2"/>
  <c r="II521" i="2"/>
  <c r="IV520" i="2"/>
  <c r="IU520" i="2"/>
  <c r="IT520" i="2"/>
  <c r="IS520" i="2"/>
  <c r="IR520" i="2"/>
  <c r="AH43" i="50" s="1"/>
  <c r="IQ520" i="2"/>
  <c r="AG43" i="50" s="1"/>
  <c r="IP520" i="2"/>
  <c r="IO520" i="2"/>
  <c r="IN520" i="2"/>
  <c r="IM520" i="2"/>
  <c r="IL520" i="2"/>
  <c r="IK520" i="2"/>
  <c r="IJ520" i="2"/>
  <c r="II520" i="2"/>
  <c r="IV519" i="2"/>
  <c r="IU519" i="2"/>
  <c r="IT519" i="2"/>
  <c r="IS519" i="2"/>
  <c r="IR519" i="2"/>
  <c r="AH42" i="50" s="1"/>
  <c r="IQ519" i="2"/>
  <c r="AG42" i="50" s="1"/>
  <c r="IP519" i="2"/>
  <c r="IO519" i="2"/>
  <c r="IN519" i="2"/>
  <c r="IM519" i="2"/>
  <c r="IL519" i="2"/>
  <c r="IK519" i="2"/>
  <c r="IJ519" i="2"/>
  <c r="II519" i="2"/>
  <c r="IV518" i="2"/>
  <c r="IU518" i="2"/>
  <c r="IT518" i="2"/>
  <c r="IS518" i="2"/>
  <c r="IR518" i="2"/>
  <c r="AH41" i="50" s="1"/>
  <c r="IQ518" i="2"/>
  <c r="AG41" i="50" s="1"/>
  <c r="IP518" i="2"/>
  <c r="IO518" i="2"/>
  <c r="IN518" i="2"/>
  <c r="IM518" i="2"/>
  <c r="IL518" i="2"/>
  <c r="IK518" i="2"/>
  <c r="IJ518" i="2"/>
  <c r="II518" i="2"/>
  <c r="IV517" i="2"/>
  <c r="IU517" i="2"/>
  <c r="IT517" i="2"/>
  <c r="IS517" i="2"/>
  <c r="IR517" i="2"/>
  <c r="AH40" i="50" s="1"/>
  <c r="IQ517" i="2"/>
  <c r="AG40" i="50" s="1"/>
  <c r="IP517" i="2"/>
  <c r="IO517" i="2"/>
  <c r="IN517" i="2"/>
  <c r="IM517" i="2"/>
  <c r="IL517" i="2"/>
  <c r="IK517" i="2"/>
  <c r="IJ517" i="2"/>
  <c r="II517" i="2"/>
  <c r="IV516" i="2"/>
  <c r="IU516" i="2"/>
  <c r="IT516" i="2"/>
  <c r="IS516" i="2"/>
  <c r="IR516" i="2"/>
  <c r="AH39" i="50" s="1"/>
  <c r="IQ516" i="2"/>
  <c r="AG39" i="50" s="1"/>
  <c r="IP516" i="2"/>
  <c r="IO516" i="2"/>
  <c r="IN516" i="2"/>
  <c r="IM516" i="2"/>
  <c r="IL516" i="2"/>
  <c r="IK516" i="2"/>
  <c r="IJ516" i="2"/>
  <c r="II516" i="2"/>
  <c r="IV515" i="2"/>
  <c r="IU515" i="2"/>
  <c r="IT515" i="2"/>
  <c r="IS515" i="2"/>
  <c r="IR515" i="2"/>
  <c r="AH38" i="50" s="1"/>
  <c r="IQ515" i="2"/>
  <c r="AG38" i="50" s="1"/>
  <c r="IP515" i="2"/>
  <c r="IO515" i="2"/>
  <c r="IN515" i="2"/>
  <c r="IM515" i="2"/>
  <c r="IL515" i="2"/>
  <c r="IK515" i="2"/>
  <c r="IJ515" i="2"/>
  <c r="II515" i="2"/>
  <c r="IV514" i="2"/>
  <c r="IU514" i="2"/>
  <c r="IT514" i="2"/>
  <c r="IS514" i="2"/>
  <c r="IR514" i="2"/>
  <c r="AH37" i="50" s="1"/>
  <c r="IQ514" i="2"/>
  <c r="AG37" i="50" s="1"/>
  <c r="IP514" i="2"/>
  <c r="IO514" i="2"/>
  <c r="IN514" i="2"/>
  <c r="IM514" i="2"/>
  <c r="IL514" i="2"/>
  <c r="IK514" i="2"/>
  <c r="IJ514" i="2"/>
  <c r="II514" i="2"/>
  <c r="IV513" i="2"/>
  <c r="IU513" i="2"/>
  <c r="IT513" i="2"/>
  <c r="IS513" i="2"/>
  <c r="IR513" i="2"/>
  <c r="IQ513" i="2"/>
  <c r="IP513" i="2"/>
  <c r="IO513" i="2"/>
  <c r="IN513" i="2"/>
  <c r="IM513" i="2"/>
  <c r="IL513" i="2"/>
  <c r="IK513" i="2"/>
  <c r="IJ513" i="2"/>
  <c r="II513" i="2"/>
  <c r="IV512" i="2"/>
  <c r="IU512" i="2"/>
  <c r="IT512" i="2"/>
  <c r="IS512" i="2"/>
  <c r="IR512" i="2"/>
  <c r="IQ512" i="2"/>
  <c r="IP512" i="2"/>
  <c r="IO512" i="2"/>
  <c r="IN512" i="2"/>
  <c r="IM512" i="2"/>
  <c r="IL512" i="2"/>
  <c r="IK512" i="2"/>
  <c r="IJ512" i="2"/>
  <c r="II512" i="2"/>
  <c r="IV511" i="2"/>
  <c r="IU511" i="2"/>
  <c r="IT511" i="2"/>
  <c r="IS511" i="2"/>
  <c r="IR511" i="2"/>
  <c r="IQ511" i="2"/>
  <c r="IP511" i="2"/>
  <c r="IO511" i="2"/>
  <c r="IN511" i="2"/>
  <c r="IM511" i="2"/>
  <c r="IL511" i="2"/>
  <c r="IK511" i="2"/>
  <c r="IJ511" i="2"/>
  <c r="II511" i="2"/>
  <c r="IV510" i="2"/>
  <c r="IU510" i="2"/>
  <c r="IT510" i="2"/>
  <c r="IS510" i="2"/>
  <c r="IR510" i="2"/>
  <c r="IQ510" i="2"/>
  <c r="IP510" i="2"/>
  <c r="IO510" i="2"/>
  <c r="IN510" i="2"/>
  <c r="IM510" i="2"/>
  <c r="IL510" i="2"/>
  <c r="IK510" i="2"/>
  <c r="IJ510" i="2"/>
  <c r="II510" i="2"/>
  <c r="IV509" i="2"/>
  <c r="IU509" i="2"/>
  <c r="IT509" i="2"/>
  <c r="IS509" i="2"/>
  <c r="IR509" i="2"/>
  <c r="IQ509" i="2"/>
  <c r="IP509" i="2"/>
  <c r="IO509" i="2"/>
  <c r="IN509" i="2"/>
  <c r="IM509" i="2"/>
  <c r="IL509" i="2"/>
  <c r="IK509" i="2"/>
  <c r="IJ509" i="2"/>
  <c r="II509" i="2"/>
  <c r="IV508" i="2"/>
  <c r="IU508" i="2"/>
  <c r="IT508" i="2"/>
  <c r="IS508" i="2"/>
  <c r="IR508" i="2"/>
  <c r="IQ508" i="2"/>
  <c r="IP508" i="2"/>
  <c r="IO508" i="2"/>
  <c r="IN508" i="2"/>
  <c r="IM508" i="2"/>
  <c r="IL508" i="2"/>
  <c r="IK508" i="2"/>
  <c r="IJ508" i="2"/>
  <c r="II508" i="2"/>
  <c r="IV507" i="2"/>
  <c r="IU507" i="2"/>
  <c r="IT507" i="2"/>
  <c r="IS507" i="2"/>
  <c r="IR507" i="2"/>
  <c r="IQ507" i="2"/>
  <c r="IP507" i="2"/>
  <c r="IO507" i="2"/>
  <c r="IN507" i="2"/>
  <c r="IM507" i="2"/>
  <c r="IL507" i="2"/>
  <c r="IK507" i="2"/>
  <c r="IJ507" i="2"/>
  <c r="II507" i="2"/>
  <c r="IV506" i="2"/>
  <c r="IU506" i="2"/>
  <c r="IT506" i="2"/>
  <c r="IS506" i="2"/>
  <c r="IR506" i="2"/>
  <c r="IQ506" i="2"/>
  <c r="IP506" i="2"/>
  <c r="IO506" i="2"/>
  <c r="IN506" i="2"/>
  <c r="IM506" i="2"/>
  <c r="IL506" i="2"/>
  <c r="IK506" i="2"/>
  <c r="IJ506" i="2"/>
  <c r="II506" i="2"/>
  <c r="IV505" i="2"/>
  <c r="IU505" i="2"/>
  <c r="IT505" i="2"/>
  <c r="IS505" i="2"/>
  <c r="IR505" i="2"/>
  <c r="IQ505" i="2"/>
  <c r="IP505" i="2"/>
  <c r="IO505" i="2"/>
  <c r="IN505" i="2"/>
  <c r="IM505" i="2"/>
  <c r="IL505" i="2"/>
  <c r="IK505" i="2"/>
  <c r="IJ505" i="2"/>
  <c r="II505" i="2"/>
  <c r="IV504" i="2"/>
  <c r="IU504" i="2"/>
  <c r="IT504" i="2"/>
  <c r="IS504" i="2"/>
  <c r="IR504" i="2"/>
  <c r="IQ504" i="2"/>
  <c r="IP504" i="2"/>
  <c r="IO504" i="2"/>
  <c r="IN504" i="2"/>
  <c r="IM504" i="2"/>
  <c r="IL504" i="2"/>
  <c r="IK504" i="2"/>
  <c r="IJ504" i="2"/>
  <c r="II504" i="2"/>
  <c r="IV503" i="2"/>
  <c r="IU503" i="2"/>
  <c r="IT503" i="2"/>
  <c r="IS503" i="2"/>
  <c r="IR503" i="2"/>
  <c r="IQ503" i="2"/>
  <c r="IP503" i="2"/>
  <c r="IO503" i="2"/>
  <c r="IN503" i="2"/>
  <c r="IM503" i="2"/>
  <c r="IL503" i="2"/>
  <c r="IK503" i="2"/>
  <c r="IJ503" i="2"/>
  <c r="II503" i="2"/>
  <c r="IV502" i="2"/>
  <c r="IU502" i="2"/>
  <c r="IT502" i="2"/>
  <c r="IS502" i="2"/>
  <c r="IR502" i="2"/>
  <c r="IQ502" i="2"/>
  <c r="IP502" i="2"/>
  <c r="IO502" i="2"/>
  <c r="IN502" i="2"/>
  <c r="IM502" i="2"/>
  <c r="IL502" i="2"/>
  <c r="IK502" i="2"/>
  <c r="IJ502" i="2"/>
  <c r="II502" i="2"/>
  <c r="IV501" i="2"/>
  <c r="IU501" i="2"/>
  <c r="IT501" i="2"/>
  <c r="IS501" i="2"/>
  <c r="IR501" i="2"/>
  <c r="IQ501" i="2"/>
  <c r="IP501" i="2"/>
  <c r="IO501" i="2"/>
  <c r="IN501" i="2"/>
  <c r="IM501" i="2"/>
  <c r="IL501" i="2"/>
  <c r="IK501" i="2"/>
  <c r="IJ501" i="2"/>
  <c r="II501" i="2"/>
  <c r="IV500" i="2"/>
  <c r="IU500" i="2"/>
  <c r="IT500" i="2"/>
  <c r="IS500" i="2"/>
  <c r="IR500" i="2"/>
  <c r="IQ500" i="2"/>
  <c r="IP500" i="2"/>
  <c r="IO500" i="2"/>
  <c r="IN500" i="2"/>
  <c r="IM500" i="2"/>
  <c r="IL500" i="2"/>
  <c r="IK500" i="2"/>
  <c r="IJ500" i="2"/>
  <c r="II500" i="2"/>
  <c r="IV499" i="2"/>
  <c r="IU499" i="2"/>
  <c r="IT499" i="2"/>
  <c r="IS499" i="2"/>
  <c r="IR499" i="2"/>
  <c r="IQ499" i="2"/>
  <c r="IP499" i="2"/>
  <c r="IO499" i="2"/>
  <c r="IN499" i="2"/>
  <c r="IM499" i="2"/>
  <c r="IL499" i="2"/>
  <c r="IK499" i="2"/>
  <c r="IJ499" i="2"/>
  <c r="II499" i="2"/>
  <c r="IV498" i="2"/>
  <c r="IU498" i="2"/>
  <c r="IT498" i="2"/>
  <c r="IS498" i="2"/>
  <c r="IR498" i="2"/>
  <c r="IQ498" i="2"/>
  <c r="IP498" i="2"/>
  <c r="IO498" i="2"/>
  <c r="IN498" i="2"/>
  <c r="IM498" i="2"/>
  <c r="IL498" i="2"/>
  <c r="IK498" i="2"/>
  <c r="IJ498" i="2"/>
  <c r="II498" i="2"/>
  <c r="IV497" i="2"/>
  <c r="IU497" i="2"/>
  <c r="IT497" i="2"/>
  <c r="IS497" i="2"/>
  <c r="IR497" i="2"/>
  <c r="IQ497" i="2"/>
  <c r="IP497" i="2"/>
  <c r="IO497" i="2"/>
  <c r="IN497" i="2"/>
  <c r="IM497" i="2"/>
  <c r="IL497" i="2"/>
  <c r="IK497" i="2"/>
  <c r="IJ497" i="2"/>
  <c r="II497" i="2"/>
  <c r="IV496" i="2"/>
  <c r="IU496" i="2"/>
  <c r="IT496" i="2"/>
  <c r="IS496" i="2"/>
  <c r="IR496" i="2"/>
  <c r="IQ496" i="2"/>
  <c r="IP496" i="2"/>
  <c r="IO496" i="2"/>
  <c r="IN496" i="2"/>
  <c r="IM496" i="2"/>
  <c r="IL496" i="2"/>
  <c r="IK496" i="2"/>
  <c r="IJ496" i="2"/>
  <c r="II496" i="2"/>
  <c r="IV495" i="2"/>
  <c r="IU495" i="2"/>
  <c r="IT495" i="2"/>
  <c r="IS495" i="2"/>
  <c r="IR495" i="2"/>
  <c r="IQ495" i="2"/>
  <c r="IP495" i="2"/>
  <c r="IO495" i="2"/>
  <c r="IN495" i="2"/>
  <c r="IM495" i="2"/>
  <c r="IL495" i="2"/>
  <c r="IK495" i="2"/>
  <c r="IJ495" i="2"/>
  <c r="II495" i="2"/>
  <c r="IV494" i="2"/>
  <c r="IU494" i="2"/>
  <c r="IT494" i="2"/>
  <c r="IS494" i="2"/>
  <c r="IR494" i="2"/>
  <c r="IQ494" i="2"/>
  <c r="IP494" i="2"/>
  <c r="IO494" i="2"/>
  <c r="IN494" i="2"/>
  <c r="IM494" i="2"/>
  <c r="IL494" i="2"/>
  <c r="IK494" i="2"/>
  <c r="IJ494" i="2"/>
  <c r="II494" i="2"/>
  <c r="IV493" i="2"/>
  <c r="IU493" i="2"/>
  <c r="IT493" i="2"/>
  <c r="IS493" i="2"/>
  <c r="IR493" i="2"/>
  <c r="IQ493" i="2"/>
  <c r="IP493" i="2"/>
  <c r="IO493" i="2"/>
  <c r="IN493" i="2"/>
  <c r="IM493" i="2"/>
  <c r="IL493" i="2"/>
  <c r="IK493" i="2"/>
  <c r="IJ493" i="2"/>
  <c r="II493" i="2"/>
  <c r="IV492" i="2"/>
  <c r="IU492" i="2"/>
  <c r="IT492" i="2"/>
  <c r="IS492" i="2"/>
  <c r="IR492" i="2"/>
  <c r="IQ492" i="2"/>
  <c r="IP492" i="2"/>
  <c r="IO492" i="2"/>
  <c r="IN492" i="2"/>
  <c r="IM492" i="2"/>
  <c r="IL492" i="2"/>
  <c r="IK492" i="2"/>
  <c r="IJ492" i="2"/>
  <c r="II492" i="2"/>
  <c r="IV491" i="2"/>
  <c r="IU491" i="2"/>
  <c r="IT491" i="2"/>
  <c r="IS491" i="2"/>
  <c r="IR491" i="2"/>
  <c r="IQ491" i="2"/>
  <c r="IP491" i="2"/>
  <c r="IO491" i="2"/>
  <c r="IN491" i="2"/>
  <c r="IM491" i="2"/>
  <c r="IL491" i="2"/>
  <c r="IK491" i="2"/>
  <c r="IJ491" i="2"/>
  <c r="II491" i="2"/>
  <c r="IV490" i="2"/>
  <c r="IU490" i="2"/>
  <c r="IT490" i="2"/>
  <c r="IS490" i="2"/>
  <c r="IR490" i="2"/>
  <c r="IQ490" i="2"/>
  <c r="IP490" i="2"/>
  <c r="IO490" i="2"/>
  <c r="IN490" i="2"/>
  <c r="IM490" i="2"/>
  <c r="IL490" i="2"/>
  <c r="IK490" i="2"/>
  <c r="IJ490" i="2"/>
  <c r="II490" i="2"/>
  <c r="IV489" i="2"/>
  <c r="IU489" i="2"/>
  <c r="IT489" i="2"/>
  <c r="IS489" i="2"/>
  <c r="IR489" i="2"/>
  <c r="IQ489" i="2"/>
  <c r="IP489" i="2"/>
  <c r="IO489" i="2"/>
  <c r="IN489" i="2"/>
  <c r="IM489" i="2"/>
  <c r="IL489" i="2"/>
  <c r="IK489" i="2"/>
  <c r="IJ489" i="2"/>
  <c r="II489" i="2"/>
  <c r="IV488" i="2"/>
  <c r="IU488" i="2"/>
  <c r="IT488" i="2"/>
  <c r="IS488" i="2"/>
  <c r="IR488" i="2"/>
  <c r="IQ488" i="2"/>
  <c r="IP488" i="2"/>
  <c r="IO488" i="2"/>
  <c r="IN488" i="2"/>
  <c r="IM488" i="2"/>
  <c r="IL488" i="2"/>
  <c r="IK488" i="2"/>
  <c r="IJ488" i="2"/>
  <c r="II488" i="2"/>
  <c r="IV487" i="2"/>
  <c r="IU487" i="2"/>
  <c r="IT487" i="2"/>
  <c r="IS487" i="2"/>
  <c r="IR487" i="2"/>
  <c r="IQ487" i="2"/>
  <c r="IP487" i="2"/>
  <c r="IO487" i="2"/>
  <c r="IN487" i="2"/>
  <c r="IM487" i="2"/>
  <c r="IL487" i="2"/>
  <c r="IK487" i="2"/>
  <c r="IJ487" i="2"/>
  <c r="II487" i="2"/>
  <c r="IV486" i="2"/>
  <c r="IU486" i="2"/>
  <c r="IT486" i="2"/>
  <c r="IS486" i="2"/>
  <c r="IR486" i="2"/>
  <c r="IQ486" i="2"/>
  <c r="IP486" i="2"/>
  <c r="IO486" i="2"/>
  <c r="IN486" i="2"/>
  <c r="IM486" i="2"/>
  <c r="IL486" i="2"/>
  <c r="IK486" i="2"/>
  <c r="IJ486" i="2"/>
  <c r="II486" i="2"/>
  <c r="IV485" i="2"/>
  <c r="IU485" i="2"/>
  <c r="IT485" i="2"/>
  <c r="IS485" i="2"/>
  <c r="IR485" i="2"/>
  <c r="IQ485" i="2"/>
  <c r="IP485" i="2"/>
  <c r="IO485" i="2"/>
  <c r="IN485" i="2"/>
  <c r="IM485" i="2"/>
  <c r="IL485" i="2"/>
  <c r="IK485" i="2"/>
  <c r="IJ485" i="2"/>
  <c r="II485" i="2"/>
  <c r="IF521" i="2"/>
  <c r="IE521" i="2"/>
  <c r="ID521" i="2"/>
  <c r="IC521" i="2"/>
  <c r="IB521" i="2"/>
  <c r="AF44" i="50" s="1"/>
  <c r="IA521" i="2"/>
  <c r="AE44" i="50" s="1"/>
  <c r="HZ521" i="2"/>
  <c r="HY521" i="2"/>
  <c r="HX521" i="2"/>
  <c r="HW521" i="2"/>
  <c r="HV521" i="2"/>
  <c r="HU521" i="2"/>
  <c r="HT521" i="2"/>
  <c r="HS521" i="2"/>
  <c r="IF520" i="2"/>
  <c r="IE520" i="2"/>
  <c r="ID520" i="2"/>
  <c r="IC520" i="2"/>
  <c r="IB520" i="2"/>
  <c r="AF43" i="50" s="1"/>
  <c r="IA520" i="2"/>
  <c r="AE43" i="50" s="1"/>
  <c r="HZ520" i="2"/>
  <c r="HY520" i="2"/>
  <c r="HX520" i="2"/>
  <c r="HW520" i="2"/>
  <c r="HV520" i="2"/>
  <c r="HU520" i="2"/>
  <c r="HT520" i="2"/>
  <c r="HS520" i="2"/>
  <c r="IF519" i="2"/>
  <c r="IE519" i="2"/>
  <c r="ID519" i="2"/>
  <c r="IC519" i="2"/>
  <c r="IB519" i="2"/>
  <c r="AF42" i="50" s="1"/>
  <c r="IA519" i="2"/>
  <c r="AE42" i="50" s="1"/>
  <c r="HZ519" i="2"/>
  <c r="HY519" i="2"/>
  <c r="HX519" i="2"/>
  <c r="HW519" i="2"/>
  <c r="HV519" i="2"/>
  <c r="HU519" i="2"/>
  <c r="HT519" i="2"/>
  <c r="HS519" i="2"/>
  <c r="IF518" i="2"/>
  <c r="IE518" i="2"/>
  <c r="ID518" i="2"/>
  <c r="IC518" i="2"/>
  <c r="IB518" i="2"/>
  <c r="AF41" i="50" s="1"/>
  <c r="IA518" i="2"/>
  <c r="AE41" i="50" s="1"/>
  <c r="HZ518" i="2"/>
  <c r="HY518" i="2"/>
  <c r="HX518" i="2"/>
  <c r="HW518" i="2"/>
  <c r="HV518" i="2"/>
  <c r="HU518" i="2"/>
  <c r="HT518" i="2"/>
  <c r="HS518" i="2"/>
  <c r="IF517" i="2"/>
  <c r="IE517" i="2"/>
  <c r="ID517" i="2"/>
  <c r="IC517" i="2"/>
  <c r="IB517" i="2"/>
  <c r="AF40" i="50" s="1"/>
  <c r="IA517" i="2"/>
  <c r="AE40" i="50" s="1"/>
  <c r="HZ517" i="2"/>
  <c r="HY517" i="2"/>
  <c r="HX517" i="2"/>
  <c r="HW517" i="2"/>
  <c r="HV517" i="2"/>
  <c r="HU517" i="2"/>
  <c r="HT517" i="2"/>
  <c r="HS517" i="2"/>
  <c r="IF516" i="2"/>
  <c r="IE516" i="2"/>
  <c r="ID516" i="2"/>
  <c r="IC516" i="2"/>
  <c r="IB516" i="2"/>
  <c r="AF39" i="50" s="1"/>
  <c r="IA516" i="2"/>
  <c r="AE39" i="50" s="1"/>
  <c r="HZ516" i="2"/>
  <c r="HY516" i="2"/>
  <c r="HX516" i="2"/>
  <c r="HW516" i="2"/>
  <c r="HV516" i="2"/>
  <c r="HU516" i="2"/>
  <c r="HT516" i="2"/>
  <c r="HS516" i="2"/>
  <c r="IF515" i="2"/>
  <c r="IE515" i="2"/>
  <c r="ID515" i="2"/>
  <c r="IC515" i="2"/>
  <c r="IB515" i="2"/>
  <c r="AF38" i="50" s="1"/>
  <c r="IA515" i="2"/>
  <c r="AE38" i="50" s="1"/>
  <c r="HZ515" i="2"/>
  <c r="HY515" i="2"/>
  <c r="HX515" i="2"/>
  <c r="HW515" i="2"/>
  <c r="HV515" i="2"/>
  <c r="HU515" i="2"/>
  <c r="HT515" i="2"/>
  <c r="HS515" i="2"/>
  <c r="IF514" i="2"/>
  <c r="IE514" i="2"/>
  <c r="ID514" i="2"/>
  <c r="IC514" i="2"/>
  <c r="IB514" i="2"/>
  <c r="AF37" i="50" s="1"/>
  <c r="IA514" i="2"/>
  <c r="AE37" i="50" s="1"/>
  <c r="HZ514" i="2"/>
  <c r="HY514" i="2"/>
  <c r="HX514" i="2"/>
  <c r="HW514" i="2"/>
  <c r="HV514" i="2"/>
  <c r="HU514" i="2"/>
  <c r="HT514" i="2"/>
  <c r="HS514" i="2"/>
  <c r="IF513" i="2"/>
  <c r="IE513" i="2"/>
  <c r="ID513" i="2"/>
  <c r="IC513" i="2"/>
  <c r="IB513" i="2"/>
  <c r="IA513" i="2"/>
  <c r="HZ513" i="2"/>
  <c r="HY513" i="2"/>
  <c r="HX513" i="2"/>
  <c r="HW513" i="2"/>
  <c r="HV513" i="2"/>
  <c r="HU513" i="2"/>
  <c r="HT513" i="2"/>
  <c r="HS513" i="2"/>
  <c r="IF512" i="2"/>
  <c r="IE512" i="2"/>
  <c r="ID512" i="2"/>
  <c r="IC512" i="2"/>
  <c r="IB512" i="2"/>
  <c r="IA512" i="2"/>
  <c r="HZ512" i="2"/>
  <c r="HY512" i="2"/>
  <c r="HX512" i="2"/>
  <c r="HW512" i="2"/>
  <c r="HV512" i="2"/>
  <c r="HU512" i="2"/>
  <c r="HT512" i="2"/>
  <c r="HS512" i="2"/>
  <c r="IF511" i="2"/>
  <c r="IE511" i="2"/>
  <c r="ID511" i="2"/>
  <c r="IC511" i="2"/>
  <c r="IB511" i="2"/>
  <c r="IA511" i="2"/>
  <c r="HZ511" i="2"/>
  <c r="HY511" i="2"/>
  <c r="HX511" i="2"/>
  <c r="HW511" i="2"/>
  <c r="HV511" i="2"/>
  <c r="HU511" i="2"/>
  <c r="HT511" i="2"/>
  <c r="HS511" i="2"/>
  <c r="IF510" i="2"/>
  <c r="IE510" i="2"/>
  <c r="ID510" i="2"/>
  <c r="IC510" i="2"/>
  <c r="IB510" i="2"/>
  <c r="IA510" i="2"/>
  <c r="HZ510" i="2"/>
  <c r="HY510" i="2"/>
  <c r="HX510" i="2"/>
  <c r="HW510" i="2"/>
  <c r="HV510" i="2"/>
  <c r="HU510" i="2"/>
  <c r="HT510" i="2"/>
  <c r="HS510" i="2"/>
  <c r="IF509" i="2"/>
  <c r="IE509" i="2"/>
  <c r="ID509" i="2"/>
  <c r="IC509" i="2"/>
  <c r="IB509" i="2"/>
  <c r="IA509" i="2"/>
  <c r="HZ509" i="2"/>
  <c r="HY509" i="2"/>
  <c r="HX509" i="2"/>
  <c r="HW509" i="2"/>
  <c r="HV509" i="2"/>
  <c r="HU509" i="2"/>
  <c r="HT509" i="2"/>
  <c r="HS509" i="2"/>
  <c r="IF508" i="2"/>
  <c r="IE508" i="2"/>
  <c r="ID508" i="2"/>
  <c r="IC508" i="2"/>
  <c r="IB508" i="2"/>
  <c r="IA508" i="2"/>
  <c r="HZ508" i="2"/>
  <c r="HY508" i="2"/>
  <c r="HX508" i="2"/>
  <c r="HW508" i="2"/>
  <c r="HV508" i="2"/>
  <c r="HU508" i="2"/>
  <c r="HT508" i="2"/>
  <c r="HS508" i="2"/>
  <c r="IF507" i="2"/>
  <c r="IE507" i="2"/>
  <c r="ID507" i="2"/>
  <c r="IC507" i="2"/>
  <c r="IB507" i="2"/>
  <c r="IA507" i="2"/>
  <c r="HZ507" i="2"/>
  <c r="HY507" i="2"/>
  <c r="HX507" i="2"/>
  <c r="HW507" i="2"/>
  <c r="HV507" i="2"/>
  <c r="HU507" i="2"/>
  <c r="HT507" i="2"/>
  <c r="HS507" i="2"/>
  <c r="IF506" i="2"/>
  <c r="IE506" i="2"/>
  <c r="ID506" i="2"/>
  <c r="IC506" i="2"/>
  <c r="IB506" i="2"/>
  <c r="IA506" i="2"/>
  <c r="HZ506" i="2"/>
  <c r="HY506" i="2"/>
  <c r="HX506" i="2"/>
  <c r="HW506" i="2"/>
  <c r="HV506" i="2"/>
  <c r="HU506" i="2"/>
  <c r="HT506" i="2"/>
  <c r="HS506" i="2"/>
  <c r="IF505" i="2"/>
  <c r="IE505" i="2"/>
  <c r="ID505" i="2"/>
  <c r="IC505" i="2"/>
  <c r="IB505" i="2"/>
  <c r="IA505" i="2"/>
  <c r="HZ505" i="2"/>
  <c r="HY505" i="2"/>
  <c r="HX505" i="2"/>
  <c r="HW505" i="2"/>
  <c r="HV505" i="2"/>
  <c r="HU505" i="2"/>
  <c r="HT505" i="2"/>
  <c r="HS505" i="2"/>
  <c r="IF504" i="2"/>
  <c r="IE504" i="2"/>
  <c r="ID504" i="2"/>
  <c r="IC504" i="2"/>
  <c r="IB504" i="2"/>
  <c r="IA504" i="2"/>
  <c r="HZ504" i="2"/>
  <c r="HY504" i="2"/>
  <c r="HX504" i="2"/>
  <c r="HW504" i="2"/>
  <c r="HV504" i="2"/>
  <c r="HU504" i="2"/>
  <c r="HT504" i="2"/>
  <c r="HS504" i="2"/>
  <c r="IF503" i="2"/>
  <c r="IE503" i="2"/>
  <c r="ID503" i="2"/>
  <c r="IC503" i="2"/>
  <c r="IB503" i="2"/>
  <c r="IA503" i="2"/>
  <c r="HZ503" i="2"/>
  <c r="HY503" i="2"/>
  <c r="HX503" i="2"/>
  <c r="HW503" i="2"/>
  <c r="HV503" i="2"/>
  <c r="HU503" i="2"/>
  <c r="HT503" i="2"/>
  <c r="HS503" i="2"/>
  <c r="IF502" i="2"/>
  <c r="IE502" i="2"/>
  <c r="ID502" i="2"/>
  <c r="IC502" i="2"/>
  <c r="IB502" i="2"/>
  <c r="IA502" i="2"/>
  <c r="HZ502" i="2"/>
  <c r="HY502" i="2"/>
  <c r="HX502" i="2"/>
  <c r="HW502" i="2"/>
  <c r="HV502" i="2"/>
  <c r="HU502" i="2"/>
  <c r="HT502" i="2"/>
  <c r="HS502" i="2"/>
  <c r="IF501" i="2"/>
  <c r="IE501" i="2"/>
  <c r="ID501" i="2"/>
  <c r="IC501" i="2"/>
  <c r="IB501" i="2"/>
  <c r="IA501" i="2"/>
  <c r="HZ501" i="2"/>
  <c r="HY501" i="2"/>
  <c r="HX501" i="2"/>
  <c r="HW501" i="2"/>
  <c r="HV501" i="2"/>
  <c r="HU501" i="2"/>
  <c r="HT501" i="2"/>
  <c r="HS501" i="2"/>
  <c r="IF500" i="2"/>
  <c r="IE500" i="2"/>
  <c r="ID500" i="2"/>
  <c r="IC500" i="2"/>
  <c r="IB500" i="2"/>
  <c r="IA500" i="2"/>
  <c r="HZ500" i="2"/>
  <c r="HY500" i="2"/>
  <c r="HX500" i="2"/>
  <c r="HW500" i="2"/>
  <c r="HV500" i="2"/>
  <c r="HU500" i="2"/>
  <c r="HT500" i="2"/>
  <c r="HS500" i="2"/>
  <c r="IF499" i="2"/>
  <c r="IE499" i="2"/>
  <c r="ID499" i="2"/>
  <c r="IC499" i="2"/>
  <c r="IB499" i="2"/>
  <c r="IA499" i="2"/>
  <c r="HZ499" i="2"/>
  <c r="HY499" i="2"/>
  <c r="HX499" i="2"/>
  <c r="HW499" i="2"/>
  <c r="HV499" i="2"/>
  <c r="HU499" i="2"/>
  <c r="HT499" i="2"/>
  <c r="HS499" i="2"/>
  <c r="IF498" i="2"/>
  <c r="IE498" i="2"/>
  <c r="ID498" i="2"/>
  <c r="IC498" i="2"/>
  <c r="IB498" i="2"/>
  <c r="IA498" i="2"/>
  <c r="HZ498" i="2"/>
  <c r="HY498" i="2"/>
  <c r="HX498" i="2"/>
  <c r="HW498" i="2"/>
  <c r="HV498" i="2"/>
  <c r="HU498" i="2"/>
  <c r="HT498" i="2"/>
  <c r="HS498" i="2"/>
  <c r="IF497" i="2"/>
  <c r="IE497" i="2"/>
  <c r="ID497" i="2"/>
  <c r="IC497" i="2"/>
  <c r="IB497" i="2"/>
  <c r="IA497" i="2"/>
  <c r="HZ497" i="2"/>
  <c r="HY497" i="2"/>
  <c r="HX497" i="2"/>
  <c r="HW497" i="2"/>
  <c r="HV497" i="2"/>
  <c r="HU497" i="2"/>
  <c r="HT497" i="2"/>
  <c r="HS497" i="2"/>
  <c r="IF496" i="2"/>
  <c r="IE496" i="2"/>
  <c r="ID496" i="2"/>
  <c r="IC496" i="2"/>
  <c r="IB496" i="2"/>
  <c r="IA496" i="2"/>
  <c r="HZ496" i="2"/>
  <c r="HY496" i="2"/>
  <c r="HX496" i="2"/>
  <c r="HW496" i="2"/>
  <c r="HV496" i="2"/>
  <c r="HU496" i="2"/>
  <c r="HT496" i="2"/>
  <c r="HS496" i="2"/>
  <c r="IF495" i="2"/>
  <c r="IE495" i="2"/>
  <c r="ID495" i="2"/>
  <c r="IC495" i="2"/>
  <c r="IB495" i="2"/>
  <c r="IA495" i="2"/>
  <c r="HZ495" i="2"/>
  <c r="HY495" i="2"/>
  <c r="HX495" i="2"/>
  <c r="HW495" i="2"/>
  <c r="HV495" i="2"/>
  <c r="HU495" i="2"/>
  <c r="HT495" i="2"/>
  <c r="HS495" i="2"/>
  <c r="IF494" i="2"/>
  <c r="IE494" i="2"/>
  <c r="ID494" i="2"/>
  <c r="IC494" i="2"/>
  <c r="IB494" i="2"/>
  <c r="IA494" i="2"/>
  <c r="HZ494" i="2"/>
  <c r="HY494" i="2"/>
  <c r="HX494" i="2"/>
  <c r="HW494" i="2"/>
  <c r="HV494" i="2"/>
  <c r="HU494" i="2"/>
  <c r="HT494" i="2"/>
  <c r="HS494" i="2"/>
  <c r="IF493" i="2"/>
  <c r="IE493" i="2"/>
  <c r="ID493" i="2"/>
  <c r="IC493" i="2"/>
  <c r="IB493" i="2"/>
  <c r="IA493" i="2"/>
  <c r="HZ493" i="2"/>
  <c r="HY493" i="2"/>
  <c r="HX493" i="2"/>
  <c r="HW493" i="2"/>
  <c r="HV493" i="2"/>
  <c r="HU493" i="2"/>
  <c r="HT493" i="2"/>
  <c r="HS493" i="2"/>
  <c r="IF492" i="2"/>
  <c r="IE492" i="2"/>
  <c r="ID492" i="2"/>
  <c r="IC492" i="2"/>
  <c r="IB492" i="2"/>
  <c r="IA492" i="2"/>
  <c r="HZ492" i="2"/>
  <c r="HY492" i="2"/>
  <c r="HX492" i="2"/>
  <c r="HW492" i="2"/>
  <c r="HV492" i="2"/>
  <c r="HU492" i="2"/>
  <c r="HT492" i="2"/>
  <c r="HS492" i="2"/>
  <c r="IF491" i="2"/>
  <c r="IE491" i="2"/>
  <c r="ID491" i="2"/>
  <c r="IC491" i="2"/>
  <c r="IB491" i="2"/>
  <c r="IA491" i="2"/>
  <c r="HZ491" i="2"/>
  <c r="HY491" i="2"/>
  <c r="HX491" i="2"/>
  <c r="HW491" i="2"/>
  <c r="HV491" i="2"/>
  <c r="HU491" i="2"/>
  <c r="HT491" i="2"/>
  <c r="HS491" i="2"/>
  <c r="IF490" i="2"/>
  <c r="IE490" i="2"/>
  <c r="ID490" i="2"/>
  <c r="IC490" i="2"/>
  <c r="IB490" i="2"/>
  <c r="IA490" i="2"/>
  <c r="HZ490" i="2"/>
  <c r="HY490" i="2"/>
  <c r="HX490" i="2"/>
  <c r="HW490" i="2"/>
  <c r="HV490" i="2"/>
  <c r="HU490" i="2"/>
  <c r="HT490" i="2"/>
  <c r="HS490" i="2"/>
  <c r="IF489" i="2"/>
  <c r="IE489" i="2"/>
  <c r="ID489" i="2"/>
  <c r="IC489" i="2"/>
  <c r="IB489" i="2"/>
  <c r="IA489" i="2"/>
  <c r="HZ489" i="2"/>
  <c r="HY489" i="2"/>
  <c r="HX489" i="2"/>
  <c r="HW489" i="2"/>
  <c r="HV489" i="2"/>
  <c r="HU489" i="2"/>
  <c r="HT489" i="2"/>
  <c r="HS489" i="2"/>
  <c r="IF488" i="2"/>
  <c r="IE488" i="2"/>
  <c r="ID488" i="2"/>
  <c r="IC488" i="2"/>
  <c r="IB488" i="2"/>
  <c r="IA488" i="2"/>
  <c r="HZ488" i="2"/>
  <c r="HY488" i="2"/>
  <c r="HX488" i="2"/>
  <c r="HW488" i="2"/>
  <c r="HV488" i="2"/>
  <c r="HU488" i="2"/>
  <c r="HT488" i="2"/>
  <c r="HS488" i="2"/>
  <c r="IF487" i="2"/>
  <c r="IE487" i="2"/>
  <c r="ID487" i="2"/>
  <c r="IC487" i="2"/>
  <c r="IB487" i="2"/>
  <c r="IA487" i="2"/>
  <c r="HZ487" i="2"/>
  <c r="HY487" i="2"/>
  <c r="HX487" i="2"/>
  <c r="HW487" i="2"/>
  <c r="HV487" i="2"/>
  <c r="HU487" i="2"/>
  <c r="HT487" i="2"/>
  <c r="HS487" i="2"/>
  <c r="IF486" i="2"/>
  <c r="IE486" i="2"/>
  <c r="ID486" i="2"/>
  <c r="IC486" i="2"/>
  <c r="IB486" i="2"/>
  <c r="IA486" i="2"/>
  <c r="HZ486" i="2"/>
  <c r="HY486" i="2"/>
  <c r="HX486" i="2"/>
  <c r="HW486" i="2"/>
  <c r="HV486" i="2"/>
  <c r="HU486" i="2"/>
  <c r="HT486" i="2"/>
  <c r="HS486" i="2"/>
  <c r="IF485" i="2"/>
  <c r="IE485" i="2"/>
  <c r="ID485" i="2"/>
  <c r="IC485" i="2"/>
  <c r="IB485" i="2"/>
  <c r="IA485" i="2"/>
  <c r="HZ485" i="2"/>
  <c r="HY485" i="2"/>
  <c r="HX485" i="2"/>
  <c r="HW485" i="2"/>
  <c r="HV485" i="2"/>
  <c r="HU485" i="2"/>
  <c r="HT485" i="2"/>
  <c r="HS485" i="2"/>
  <c r="HP521" i="2"/>
  <c r="HO521" i="2"/>
  <c r="HN521" i="2"/>
  <c r="HM521" i="2"/>
  <c r="HL521" i="2"/>
  <c r="AD44" i="50" s="1"/>
  <c r="HK521" i="2"/>
  <c r="AC44" i="50" s="1"/>
  <c r="HJ521" i="2"/>
  <c r="HI521" i="2"/>
  <c r="HH521" i="2"/>
  <c r="HG521" i="2"/>
  <c r="HF521" i="2"/>
  <c r="HE521" i="2"/>
  <c r="HD521" i="2"/>
  <c r="HC521" i="2"/>
  <c r="HP520" i="2"/>
  <c r="HO520" i="2"/>
  <c r="HN520" i="2"/>
  <c r="HM520" i="2"/>
  <c r="HL520" i="2"/>
  <c r="AD43" i="50" s="1"/>
  <c r="HK520" i="2"/>
  <c r="AC43" i="50" s="1"/>
  <c r="HJ520" i="2"/>
  <c r="HI520" i="2"/>
  <c r="HH520" i="2"/>
  <c r="HG520" i="2"/>
  <c r="HF520" i="2"/>
  <c r="HE520" i="2"/>
  <c r="HD520" i="2"/>
  <c r="HC520" i="2"/>
  <c r="HP519" i="2"/>
  <c r="HO519" i="2"/>
  <c r="HN519" i="2"/>
  <c r="HM519" i="2"/>
  <c r="HL519" i="2"/>
  <c r="AD42" i="50" s="1"/>
  <c r="HK519" i="2"/>
  <c r="AC42" i="50" s="1"/>
  <c r="HJ519" i="2"/>
  <c r="HI519" i="2"/>
  <c r="HH519" i="2"/>
  <c r="HG519" i="2"/>
  <c r="HF519" i="2"/>
  <c r="HE519" i="2"/>
  <c r="HD519" i="2"/>
  <c r="HC519" i="2"/>
  <c r="HP518" i="2"/>
  <c r="HO518" i="2"/>
  <c r="HN518" i="2"/>
  <c r="HM518" i="2"/>
  <c r="HL518" i="2"/>
  <c r="AD41" i="50" s="1"/>
  <c r="HK518" i="2"/>
  <c r="AC41" i="50" s="1"/>
  <c r="HJ518" i="2"/>
  <c r="HI518" i="2"/>
  <c r="HH518" i="2"/>
  <c r="HG518" i="2"/>
  <c r="HF518" i="2"/>
  <c r="HE518" i="2"/>
  <c r="HD518" i="2"/>
  <c r="HC518" i="2"/>
  <c r="HP517" i="2"/>
  <c r="HO517" i="2"/>
  <c r="HN517" i="2"/>
  <c r="HM517" i="2"/>
  <c r="HL517" i="2"/>
  <c r="AD40" i="50" s="1"/>
  <c r="HK517" i="2"/>
  <c r="AC40" i="50" s="1"/>
  <c r="HJ517" i="2"/>
  <c r="HI517" i="2"/>
  <c r="HH517" i="2"/>
  <c r="HG517" i="2"/>
  <c r="HF517" i="2"/>
  <c r="HE517" i="2"/>
  <c r="HD517" i="2"/>
  <c r="HC517" i="2"/>
  <c r="HP516" i="2"/>
  <c r="HO516" i="2"/>
  <c r="HN516" i="2"/>
  <c r="HM516" i="2"/>
  <c r="HL516" i="2"/>
  <c r="AD39" i="50" s="1"/>
  <c r="HK516" i="2"/>
  <c r="AC39" i="50" s="1"/>
  <c r="HJ516" i="2"/>
  <c r="HI516" i="2"/>
  <c r="HH516" i="2"/>
  <c r="HG516" i="2"/>
  <c r="HF516" i="2"/>
  <c r="HE516" i="2"/>
  <c r="HD516" i="2"/>
  <c r="HC516" i="2"/>
  <c r="HP515" i="2"/>
  <c r="HO515" i="2"/>
  <c r="HN515" i="2"/>
  <c r="HM515" i="2"/>
  <c r="HL515" i="2"/>
  <c r="AD38" i="50" s="1"/>
  <c r="HK515" i="2"/>
  <c r="AC38" i="50" s="1"/>
  <c r="HJ515" i="2"/>
  <c r="HI515" i="2"/>
  <c r="HH515" i="2"/>
  <c r="HG515" i="2"/>
  <c r="HF515" i="2"/>
  <c r="HE515" i="2"/>
  <c r="HD515" i="2"/>
  <c r="HC515" i="2"/>
  <c r="HP514" i="2"/>
  <c r="HO514" i="2"/>
  <c r="HN514" i="2"/>
  <c r="HM514" i="2"/>
  <c r="HL514" i="2"/>
  <c r="AD37" i="50" s="1"/>
  <c r="HK514" i="2"/>
  <c r="AC37" i="50" s="1"/>
  <c r="HJ514" i="2"/>
  <c r="HI514" i="2"/>
  <c r="HH514" i="2"/>
  <c r="HG514" i="2"/>
  <c r="HF514" i="2"/>
  <c r="HE514" i="2"/>
  <c r="HD514" i="2"/>
  <c r="HC514" i="2"/>
  <c r="HP513" i="2"/>
  <c r="HO513" i="2"/>
  <c r="HN513" i="2"/>
  <c r="HM513" i="2"/>
  <c r="HL513" i="2"/>
  <c r="HK513" i="2"/>
  <c r="HJ513" i="2"/>
  <c r="HI513" i="2"/>
  <c r="HH513" i="2"/>
  <c r="HG513" i="2"/>
  <c r="HF513" i="2"/>
  <c r="HE513" i="2"/>
  <c r="HD513" i="2"/>
  <c r="HC513" i="2"/>
  <c r="HP512" i="2"/>
  <c r="HO512" i="2"/>
  <c r="HN512" i="2"/>
  <c r="HM512" i="2"/>
  <c r="HL512" i="2"/>
  <c r="HK512" i="2"/>
  <c r="HJ512" i="2"/>
  <c r="HI512" i="2"/>
  <c r="HH512" i="2"/>
  <c r="HG512" i="2"/>
  <c r="HF512" i="2"/>
  <c r="HE512" i="2"/>
  <c r="HD512" i="2"/>
  <c r="HC512" i="2"/>
  <c r="HP511" i="2"/>
  <c r="HO511" i="2"/>
  <c r="HN511" i="2"/>
  <c r="HM511" i="2"/>
  <c r="HL511" i="2"/>
  <c r="HK511" i="2"/>
  <c r="HJ511" i="2"/>
  <c r="HI511" i="2"/>
  <c r="HH511" i="2"/>
  <c r="HG511" i="2"/>
  <c r="HF511" i="2"/>
  <c r="HE511" i="2"/>
  <c r="HD511" i="2"/>
  <c r="HC511" i="2"/>
  <c r="HP510" i="2"/>
  <c r="HO510" i="2"/>
  <c r="HN510" i="2"/>
  <c r="HM510" i="2"/>
  <c r="HL510" i="2"/>
  <c r="HK510" i="2"/>
  <c r="HJ510" i="2"/>
  <c r="HI510" i="2"/>
  <c r="HH510" i="2"/>
  <c r="HG510" i="2"/>
  <c r="HF510" i="2"/>
  <c r="HE510" i="2"/>
  <c r="HD510" i="2"/>
  <c r="HC510" i="2"/>
  <c r="HP509" i="2"/>
  <c r="HO509" i="2"/>
  <c r="HN509" i="2"/>
  <c r="HM509" i="2"/>
  <c r="HL509" i="2"/>
  <c r="HK509" i="2"/>
  <c r="HJ509" i="2"/>
  <c r="HI509" i="2"/>
  <c r="HH509" i="2"/>
  <c r="HG509" i="2"/>
  <c r="HF509" i="2"/>
  <c r="HE509" i="2"/>
  <c r="HD509" i="2"/>
  <c r="HC509" i="2"/>
  <c r="HP508" i="2"/>
  <c r="HO508" i="2"/>
  <c r="HN508" i="2"/>
  <c r="HM508" i="2"/>
  <c r="HL508" i="2"/>
  <c r="HK508" i="2"/>
  <c r="HJ508" i="2"/>
  <c r="HI508" i="2"/>
  <c r="HH508" i="2"/>
  <c r="HG508" i="2"/>
  <c r="HF508" i="2"/>
  <c r="HE508" i="2"/>
  <c r="HD508" i="2"/>
  <c r="HC508" i="2"/>
  <c r="HP507" i="2"/>
  <c r="HO507" i="2"/>
  <c r="HN507" i="2"/>
  <c r="HM507" i="2"/>
  <c r="HL507" i="2"/>
  <c r="HK507" i="2"/>
  <c r="HJ507" i="2"/>
  <c r="HI507" i="2"/>
  <c r="HH507" i="2"/>
  <c r="HG507" i="2"/>
  <c r="HF507" i="2"/>
  <c r="HE507" i="2"/>
  <c r="HD507" i="2"/>
  <c r="HC507" i="2"/>
  <c r="HP506" i="2"/>
  <c r="HO506" i="2"/>
  <c r="HN506" i="2"/>
  <c r="HM506" i="2"/>
  <c r="HL506" i="2"/>
  <c r="HK506" i="2"/>
  <c r="HJ506" i="2"/>
  <c r="HI506" i="2"/>
  <c r="HH506" i="2"/>
  <c r="HG506" i="2"/>
  <c r="HF506" i="2"/>
  <c r="HE506" i="2"/>
  <c r="HD506" i="2"/>
  <c r="HC506" i="2"/>
  <c r="HP505" i="2"/>
  <c r="HO505" i="2"/>
  <c r="HN505" i="2"/>
  <c r="HM505" i="2"/>
  <c r="HL505" i="2"/>
  <c r="HK505" i="2"/>
  <c r="HJ505" i="2"/>
  <c r="HI505" i="2"/>
  <c r="HH505" i="2"/>
  <c r="HG505" i="2"/>
  <c r="HF505" i="2"/>
  <c r="HE505" i="2"/>
  <c r="HD505" i="2"/>
  <c r="HC505" i="2"/>
  <c r="HP504" i="2"/>
  <c r="HO504" i="2"/>
  <c r="HN504" i="2"/>
  <c r="HM504" i="2"/>
  <c r="HL504" i="2"/>
  <c r="HK504" i="2"/>
  <c r="HJ504" i="2"/>
  <c r="HI504" i="2"/>
  <c r="HH504" i="2"/>
  <c r="HG504" i="2"/>
  <c r="HF504" i="2"/>
  <c r="HE504" i="2"/>
  <c r="HD504" i="2"/>
  <c r="HC504" i="2"/>
  <c r="HP503" i="2"/>
  <c r="HO503" i="2"/>
  <c r="HN503" i="2"/>
  <c r="HM503" i="2"/>
  <c r="HL503" i="2"/>
  <c r="HK503" i="2"/>
  <c r="HJ503" i="2"/>
  <c r="HI503" i="2"/>
  <c r="HH503" i="2"/>
  <c r="HG503" i="2"/>
  <c r="HF503" i="2"/>
  <c r="HE503" i="2"/>
  <c r="HD503" i="2"/>
  <c r="HC503" i="2"/>
  <c r="HP502" i="2"/>
  <c r="HO502" i="2"/>
  <c r="HN502" i="2"/>
  <c r="HM502" i="2"/>
  <c r="HL502" i="2"/>
  <c r="HK502" i="2"/>
  <c r="HJ502" i="2"/>
  <c r="HI502" i="2"/>
  <c r="HH502" i="2"/>
  <c r="HG502" i="2"/>
  <c r="HF502" i="2"/>
  <c r="HE502" i="2"/>
  <c r="HD502" i="2"/>
  <c r="HC502" i="2"/>
  <c r="HP501" i="2"/>
  <c r="HO501" i="2"/>
  <c r="HN501" i="2"/>
  <c r="HM501" i="2"/>
  <c r="HL501" i="2"/>
  <c r="HK501" i="2"/>
  <c r="HJ501" i="2"/>
  <c r="HI501" i="2"/>
  <c r="HH501" i="2"/>
  <c r="HG501" i="2"/>
  <c r="HF501" i="2"/>
  <c r="HE501" i="2"/>
  <c r="HD501" i="2"/>
  <c r="HC501" i="2"/>
  <c r="HP500" i="2"/>
  <c r="HO500" i="2"/>
  <c r="HN500" i="2"/>
  <c r="HM500" i="2"/>
  <c r="HL500" i="2"/>
  <c r="HK500" i="2"/>
  <c r="HJ500" i="2"/>
  <c r="HI500" i="2"/>
  <c r="HH500" i="2"/>
  <c r="HG500" i="2"/>
  <c r="HF500" i="2"/>
  <c r="HE500" i="2"/>
  <c r="HD500" i="2"/>
  <c r="HC500" i="2"/>
  <c r="HP499" i="2"/>
  <c r="HO499" i="2"/>
  <c r="HN499" i="2"/>
  <c r="HM499" i="2"/>
  <c r="HL499" i="2"/>
  <c r="HK499" i="2"/>
  <c r="HJ499" i="2"/>
  <c r="HI499" i="2"/>
  <c r="HH499" i="2"/>
  <c r="HG499" i="2"/>
  <c r="HF499" i="2"/>
  <c r="HE499" i="2"/>
  <c r="HD499" i="2"/>
  <c r="HC499" i="2"/>
  <c r="HP498" i="2"/>
  <c r="HO498" i="2"/>
  <c r="HN498" i="2"/>
  <c r="HM498" i="2"/>
  <c r="HL498" i="2"/>
  <c r="HK498" i="2"/>
  <c r="HJ498" i="2"/>
  <c r="HI498" i="2"/>
  <c r="HH498" i="2"/>
  <c r="HG498" i="2"/>
  <c r="HF498" i="2"/>
  <c r="HE498" i="2"/>
  <c r="HD498" i="2"/>
  <c r="HC498" i="2"/>
  <c r="HP497" i="2"/>
  <c r="HO497" i="2"/>
  <c r="HN497" i="2"/>
  <c r="HM497" i="2"/>
  <c r="HL497" i="2"/>
  <c r="HK497" i="2"/>
  <c r="HJ497" i="2"/>
  <c r="HI497" i="2"/>
  <c r="HH497" i="2"/>
  <c r="HG497" i="2"/>
  <c r="HF497" i="2"/>
  <c r="HE497" i="2"/>
  <c r="HD497" i="2"/>
  <c r="HC497" i="2"/>
  <c r="HP496" i="2"/>
  <c r="HO496" i="2"/>
  <c r="HN496" i="2"/>
  <c r="HM496" i="2"/>
  <c r="HL496" i="2"/>
  <c r="HK496" i="2"/>
  <c r="HJ496" i="2"/>
  <c r="HI496" i="2"/>
  <c r="HH496" i="2"/>
  <c r="HG496" i="2"/>
  <c r="HF496" i="2"/>
  <c r="HE496" i="2"/>
  <c r="HD496" i="2"/>
  <c r="HC496" i="2"/>
  <c r="HP495" i="2"/>
  <c r="HO495" i="2"/>
  <c r="HN495" i="2"/>
  <c r="HM495" i="2"/>
  <c r="HL495" i="2"/>
  <c r="HK495" i="2"/>
  <c r="HJ495" i="2"/>
  <c r="HI495" i="2"/>
  <c r="HH495" i="2"/>
  <c r="HG495" i="2"/>
  <c r="HF495" i="2"/>
  <c r="HE495" i="2"/>
  <c r="HD495" i="2"/>
  <c r="HC495" i="2"/>
  <c r="HP494" i="2"/>
  <c r="HO494" i="2"/>
  <c r="HN494" i="2"/>
  <c r="HM494" i="2"/>
  <c r="HL494" i="2"/>
  <c r="HK494" i="2"/>
  <c r="HJ494" i="2"/>
  <c r="HI494" i="2"/>
  <c r="HH494" i="2"/>
  <c r="HG494" i="2"/>
  <c r="HF494" i="2"/>
  <c r="HE494" i="2"/>
  <c r="HD494" i="2"/>
  <c r="HC494" i="2"/>
  <c r="HP493" i="2"/>
  <c r="HO493" i="2"/>
  <c r="HN493" i="2"/>
  <c r="HM493" i="2"/>
  <c r="HL493" i="2"/>
  <c r="HK493" i="2"/>
  <c r="HJ493" i="2"/>
  <c r="HI493" i="2"/>
  <c r="HH493" i="2"/>
  <c r="HG493" i="2"/>
  <c r="HF493" i="2"/>
  <c r="HE493" i="2"/>
  <c r="HD493" i="2"/>
  <c r="HC493" i="2"/>
  <c r="HP492" i="2"/>
  <c r="HO492" i="2"/>
  <c r="HN492" i="2"/>
  <c r="HM492" i="2"/>
  <c r="HL492" i="2"/>
  <c r="HK492" i="2"/>
  <c r="HJ492" i="2"/>
  <c r="HI492" i="2"/>
  <c r="HH492" i="2"/>
  <c r="HG492" i="2"/>
  <c r="HF492" i="2"/>
  <c r="HE492" i="2"/>
  <c r="HD492" i="2"/>
  <c r="HC492" i="2"/>
  <c r="HP491" i="2"/>
  <c r="HO491" i="2"/>
  <c r="HN491" i="2"/>
  <c r="HM491" i="2"/>
  <c r="HL491" i="2"/>
  <c r="HK491" i="2"/>
  <c r="HJ491" i="2"/>
  <c r="HI491" i="2"/>
  <c r="HH491" i="2"/>
  <c r="HG491" i="2"/>
  <c r="HF491" i="2"/>
  <c r="HE491" i="2"/>
  <c r="HD491" i="2"/>
  <c r="HC491" i="2"/>
  <c r="HP490" i="2"/>
  <c r="HO490" i="2"/>
  <c r="HN490" i="2"/>
  <c r="HM490" i="2"/>
  <c r="HL490" i="2"/>
  <c r="HK490" i="2"/>
  <c r="HJ490" i="2"/>
  <c r="HI490" i="2"/>
  <c r="HH490" i="2"/>
  <c r="HG490" i="2"/>
  <c r="HF490" i="2"/>
  <c r="HE490" i="2"/>
  <c r="HD490" i="2"/>
  <c r="HC490" i="2"/>
  <c r="HP489" i="2"/>
  <c r="HO489" i="2"/>
  <c r="HN489" i="2"/>
  <c r="HM489" i="2"/>
  <c r="HL489" i="2"/>
  <c r="HK489" i="2"/>
  <c r="HJ489" i="2"/>
  <c r="HI489" i="2"/>
  <c r="HH489" i="2"/>
  <c r="HG489" i="2"/>
  <c r="HF489" i="2"/>
  <c r="HE489" i="2"/>
  <c r="HD489" i="2"/>
  <c r="HC489" i="2"/>
  <c r="HP488" i="2"/>
  <c r="HO488" i="2"/>
  <c r="HN488" i="2"/>
  <c r="HM488" i="2"/>
  <c r="HL488" i="2"/>
  <c r="HK488" i="2"/>
  <c r="HJ488" i="2"/>
  <c r="HI488" i="2"/>
  <c r="HH488" i="2"/>
  <c r="HG488" i="2"/>
  <c r="HF488" i="2"/>
  <c r="HE488" i="2"/>
  <c r="HD488" i="2"/>
  <c r="HC488" i="2"/>
  <c r="HP487" i="2"/>
  <c r="HO487" i="2"/>
  <c r="HN487" i="2"/>
  <c r="HM487" i="2"/>
  <c r="HL487" i="2"/>
  <c r="HK487" i="2"/>
  <c r="HJ487" i="2"/>
  <c r="HI487" i="2"/>
  <c r="HH487" i="2"/>
  <c r="HG487" i="2"/>
  <c r="HF487" i="2"/>
  <c r="HE487" i="2"/>
  <c r="HD487" i="2"/>
  <c r="HC487" i="2"/>
  <c r="HP486" i="2"/>
  <c r="HO486" i="2"/>
  <c r="HN486" i="2"/>
  <c r="HM486" i="2"/>
  <c r="HL486" i="2"/>
  <c r="HK486" i="2"/>
  <c r="HJ486" i="2"/>
  <c r="HI486" i="2"/>
  <c r="HH486" i="2"/>
  <c r="HG486" i="2"/>
  <c r="HF486" i="2"/>
  <c r="HE486" i="2"/>
  <c r="HD486" i="2"/>
  <c r="HC486" i="2"/>
  <c r="HP485" i="2"/>
  <c r="HO485" i="2"/>
  <c r="HN485" i="2"/>
  <c r="HM485" i="2"/>
  <c r="HL485" i="2"/>
  <c r="HK485" i="2"/>
  <c r="HJ485" i="2"/>
  <c r="HI485" i="2"/>
  <c r="HH485" i="2"/>
  <c r="HG485" i="2"/>
  <c r="HF485" i="2"/>
  <c r="HE485" i="2"/>
  <c r="HD485" i="2"/>
  <c r="HC485" i="2"/>
  <c r="GZ521" i="2"/>
  <c r="GY521" i="2"/>
  <c r="GX521" i="2"/>
  <c r="GW521" i="2"/>
  <c r="GV521" i="2"/>
  <c r="AB44" i="50" s="1"/>
  <c r="GU521" i="2"/>
  <c r="AA44" i="50" s="1"/>
  <c r="GT521" i="2"/>
  <c r="GS521" i="2"/>
  <c r="GR521" i="2"/>
  <c r="GQ521" i="2"/>
  <c r="GP521" i="2"/>
  <c r="GO521" i="2"/>
  <c r="GN521" i="2"/>
  <c r="GM521" i="2"/>
  <c r="GZ520" i="2"/>
  <c r="GY520" i="2"/>
  <c r="GX520" i="2"/>
  <c r="GW520" i="2"/>
  <c r="GV520" i="2"/>
  <c r="AB43" i="50" s="1"/>
  <c r="GU520" i="2"/>
  <c r="AA43" i="50" s="1"/>
  <c r="GT520" i="2"/>
  <c r="GS520" i="2"/>
  <c r="GR520" i="2"/>
  <c r="GQ520" i="2"/>
  <c r="GP520" i="2"/>
  <c r="GO520" i="2"/>
  <c r="GN520" i="2"/>
  <c r="GM520" i="2"/>
  <c r="GZ519" i="2"/>
  <c r="GY519" i="2"/>
  <c r="GX519" i="2"/>
  <c r="GW519" i="2"/>
  <c r="GV519" i="2"/>
  <c r="AB42" i="50" s="1"/>
  <c r="GU519" i="2"/>
  <c r="AA42" i="50" s="1"/>
  <c r="GT519" i="2"/>
  <c r="GS519" i="2"/>
  <c r="GR519" i="2"/>
  <c r="GQ519" i="2"/>
  <c r="GP519" i="2"/>
  <c r="GO519" i="2"/>
  <c r="GN519" i="2"/>
  <c r="GM519" i="2"/>
  <c r="GZ518" i="2"/>
  <c r="GY518" i="2"/>
  <c r="GX518" i="2"/>
  <c r="GW518" i="2"/>
  <c r="GV518" i="2"/>
  <c r="AB41" i="50" s="1"/>
  <c r="GU518" i="2"/>
  <c r="AA41" i="50" s="1"/>
  <c r="GT518" i="2"/>
  <c r="GS518" i="2"/>
  <c r="GR518" i="2"/>
  <c r="GQ518" i="2"/>
  <c r="GP518" i="2"/>
  <c r="GO518" i="2"/>
  <c r="GN518" i="2"/>
  <c r="GM518" i="2"/>
  <c r="GZ517" i="2"/>
  <c r="GY517" i="2"/>
  <c r="GX517" i="2"/>
  <c r="GW517" i="2"/>
  <c r="GV517" i="2"/>
  <c r="AB40" i="50" s="1"/>
  <c r="GU517" i="2"/>
  <c r="AA40" i="50" s="1"/>
  <c r="GT517" i="2"/>
  <c r="GS517" i="2"/>
  <c r="GR517" i="2"/>
  <c r="GQ517" i="2"/>
  <c r="GP517" i="2"/>
  <c r="GO517" i="2"/>
  <c r="GN517" i="2"/>
  <c r="GM517" i="2"/>
  <c r="GZ516" i="2"/>
  <c r="GY516" i="2"/>
  <c r="GX516" i="2"/>
  <c r="GW516" i="2"/>
  <c r="GV516" i="2"/>
  <c r="AB39" i="50" s="1"/>
  <c r="GU516" i="2"/>
  <c r="AA39" i="50" s="1"/>
  <c r="GT516" i="2"/>
  <c r="GS516" i="2"/>
  <c r="GR516" i="2"/>
  <c r="GQ516" i="2"/>
  <c r="GP516" i="2"/>
  <c r="GO516" i="2"/>
  <c r="GN516" i="2"/>
  <c r="GM516" i="2"/>
  <c r="GZ515" i="2"/>
  <c r="GY515" i="2"/>
  <c r="GX515" i="2"/>
  <c r="GW515" i="2"/>
  <c r="GV515" i="2"/>
  <c r="AB38" i="50" s="1"/>
  <c r="GU515" i="2"/>
  <c r="AA38" i="50" s="1"/>
  <c r="GT515" i="2"/>
  <c r="GS515" i="2"/>
  <c r="GR515" i="2"/>
  <c r="GQ515" i="2"/>
  <c r="GP515" i="2"/>
  <c r="GO515" i="2"/>
  <c r="GN515" i="2"/>
  <c r="GM515" i="2"/>
  <c r="GZ514" i="2"/>
  <c r="GY514" i="2"/>
  <c r="GX514" i="2"/>
  <c r="GW514" i="2"/>
  <c r="GV514" i="2"/>
  <c r="AB37" i="50" s="1"/>
  <c r="GU514" i="2"/>
  <c r="AA37" i="50" s="1"/>
  <c r="GT514" i="2"/>
  <c r="GS514" i="2"/>
  <c r="GR514" i="2"/>
  <c r="GQ514" i="2"/>
  <c r="GP514" i="2"/>
  <c r="GO514" i="2"/>
  <c r="GN514" i="2"/>
  <c r="GM514" i="2"/>
  <c r="GZ513" i="2"/>
  <c r="GY513" i="2"/>
  <c r="GX513" i="2"/>
  <c r="GW513" i="2"/>
  <c r="GV513" i="2"/>
  <c r="GU513" i="2"/>
  <c r="GT513" i="2"/>
  <c r="GS513" i="2"/>
  <c r="GR513" i="2"/>
  <c r="GQ513" i="2"/>
  <c r="GP513" i="2"/>
  <c r="GO513" i="2"/>
  <c r="GN513" i="2"/>
  <c r="GM513" i="2"/>
  <c r="GZ512" i="2"/>
  <c r="GY512" i="2"/>
  <c r="GX512" i="2"/>
  <c r="GW512" i="2"/>
  <c r="GV512" i="2"/>
  <c r="GU512" i="2"/>
  <c r="GT512" i="2"/>
  <c r="GS512" i="2"/>
  <c r="GR512" i="2"/>
  <c r="GQ512" i="2"/>
  <c r="GP512" i="2"/>
  <c r="GO512" i="2"/>
  <c r="GN512" i="2"/>
  <c r="GM512" i="2"/>
  <c r="GZ511" i="2"/>
  <c r="GY511" i="2"/>
  <c r="GX511" i="2"/>
  <c r="GW511" i="2"/>
  <c r="GV511" i="2"/>
  <c r="GU511" i="2"/>
  <c r="GT511" i="2"/>
  <c r="GS511" i="2"/>
  <c r="GR511" i="2"/>
  <c r="GQ511" i="2"/>
  <c r="GP511" i="2"/>
  <c r="GO511" i="2"/>
  <c r="GN511" i="2"/>
  <c r="GM511" i="2"/>
  <c r="GZ510" i="2"/>
  <c r="GY510" i="2"/>
  <c r="GX510" i="2"/>
  <c r="GW510" i="2"/>
  <c r="GV510" i="2"/>
  <c r="GU510" i="2"/>
  <c r="GT510" i="2"/>
  <c r="GS510" i="2"/>
  <c r="GR510" i="2"/>
  <c r="GQ510" i="2"/>
  <c r="GP510" i="2"/>
  <c r="GO510" i="2"/>
  <c r="GN510" i="2"/>
  <c r="GM510" i="2"/>
  <c r="GZ509" i="2"/>
  <c r="GY509" i="2"/>
  <c r="GX509" i="2"/>
  <c r="GW509" i="2"/>
  <c r="GV509" i="2"/>
  <c r="GU509" i="2"/>
  <c r="GT509" i="2"/>
  <c r="GS509" i="2"/>
  <c r="GR509" i="2"/>
  <c r="GQ509" i="2"/>
  <c r="GP509" i="2"/>
  <c r="GO509" i="2"/>
  <c r="GN509" i="2"/>
  <c r="GM509" i="2"/>
  <c r="GZ508" i="2"/>
  <c r="GY508" i="2"/>
  <c r="GX508" i="2"/>
  <c r="GW508" i="2"/>
  <c r="GV508" i="2"/>
  <c r="GU508" i="2"/>
  <c r="GT508" i="2"/>
  <c r="GS508" i="2"/>
  <c r="GR508" i="2"/>
  <c r="GQ508" i="2"/>
  <c r="GP508" i="2"/>
  <c r="GO508" i="2"/>
  <c r="GN508" i="2"/>
  <c r="GM508" i="2"/>
  <c r="GZ507" i="2"/>
  <c r="GY507" i="2"/>
  <c r="GX507" i="2"/>
  <c r="GW507" i="2"/>
  <c r="GV507" i="2"/>
  <c r="GU507" i="2"/>
  <c r="GT507" i="2"/>
  <c r="GS507" i="2"/>
  <c r="GR507" i="2"/>
  <c r="GQ507" i="2"/>
  <c r="GP507" i="2"/>
  <c r="GO507" i="2"/>
  <c r="GN507" i="2"/>
  <c r="GM507" i="2"/>
  <c r="GZ506" i="2"/>
  <c r="GY506" i="2"/>
  <c r="GX506" i="2"/>
  <c r="GW506" i="2"/>
  <c r="GV506" i="2"/>
  <c r="GU506" i="2"/>
  <c r="GT506" i="2"/>
  <c r="GS506" i="2"/>
  <c r="GR506" i="2"/>
  <c r="GQ506" i="2"/>
  <c r="GP506" i="2"/>
  <c r="GO506" i="2"/>
  <c r="GN506" i="2"/>
  <c r="GM506" i="2"/>
  <c r="GZ505" i="2"/>
  <c r="GY505" i="2"/>
  <c r="GX505" i="2"/>
  <c r="GW505" i="2"/>
  <c r="GV505" i="2"/>
  <c r="GU505" i="2"/>
  <c r="GT505" i="2"/>
  <c r="GS505" i="2"/>
  <c r="GR505" i="2"/>
  <c r="GQ505" i="2"/>
  <c r="GP505" i="2"/>
  <c r="GO505" i="2"/>
  <c r="GN505" i="2"/>
  <c r="GM505" i="2"/>
  <c r="GZ504" i="2"/>
  <c r="GY504" i="2"/>
  <c r="GX504" i="2"/>
  <c r="GW504" i="2"/>
  <c r="GV504" i="2"/>
  <c r="GU504" i="2"/>
  <c r="GT504" i="2"/>
  <c r="GS504" i="2"/>
  <c r="GR504" i="2"/>
  <c r="GQ504" i="2"/>
  <c r="GP504" i="2"/>
  <c r="GO504" i="2"/>
  <c r="GN504" i="2"/>
  <c r="GM504" i="2"/>
  <c r="GZ503" i="2"/>
  <c r="GY503" i="2"/>
  <c r="GX503" i="2"/>
  <c r="GW503" i="2"/>
  <c r="GV503" i="2"/>
  <c r="GU503" i="2"/>
  <c r="GT503" i="2"/>
  <c r="GS503" i="2"/>
  <c r="GR503" i="2"/>
  <c r="GQ503" i="2"/>
  <c r="GP503" i="2"/>
  <c r="GO503" i="2"/>
  <c r="GN503" i="2"/>
  <c r="GM503" i="2"/>
  <c r="GZ502" i="2"/>
  <c r="GY502" i="2"/>
  <c r="GX502" i="2"/>
  <c r="GW502" i="2"/>
  <c r="GV502" i="2"/>
  <c r="GU502" i="2"/>
  <c r="GT502" i="2"/>
  <c r="GS502" i="2"/>
  <c r="GR502" i="2"/>
  <c r="GQ502" i="2"/>
  <c r="GP502" i="2"/>
  <c r="GO502" i="2"/>
  <c r="GN502" i="2"/>
  <c r="GM502" i="2"/>
  <c r="GZ501" i="2"/>
  <c r="GY501" i="2"/>
  <c r="GX501" i="2"/>
  <c r="GW501" i="2"/>
  <c r="GV501" i="2"/>
  <c r="GU501" i="2"/>
  <c r="GT501" i="2"/>
  <c r="GS501" i="2"/>
  <c r="GR501" i="2"/>
  <c r="GQ501" i="2"/>
  <c r="GP501" i="2"/>
  <c r="GO501" i="2"/>
  <c r="GN501" i="2"/>
  <c r="GM501" i="2"/>
  <c r="GZ500" i="2"/>
  <c r="GY500" i="2"/>
  <c r="GX500" i="2"/>
  <c r="GW500" i="2"/>
  <c r="GV500" i="2"/>
  <c r="GU500" i="2"/>
  <c r="GT500" i="2"/>
  <c r="GS500" i="2"/>
  <c r="GR500" i="2"/>
  <c r="GQ500" i="2"/>
  <c r="GP500" i="2"/>
  <c r="GO500" i="2"/>
  <c r="GN500" i="2"/>
  <c r="GM500" i="2"/>
  <c r="GZ499" i="2"/>
  <c r="GY499" i="2"/>
  <c r="GX499" i="2"/>
  <c r="GW499" i="2"/>
  <c r="GV499" i="2"/>
  <c r="GU499" i="2"/>
  <c r="GT499" i="2"/>
  <c r="GS499" i="2"/>
  <c r="GR499" i="2"/>
  <c r="GQ499" i="2"/>
  <c r="GP499" i="2"/>
  <c r="GO499" i="2"/>
  <c r="GN499" i="2"/>
  <c r="GM499" i="2"/>
  <c r="GZ498" i="2"/>
  <c r="GY498" i="2"/>
  <c r="GX498" i="2"/>
  <c r="GW498" i="2"/>
  <c r="GV498" i="2"/>
  <c r="GU498" i="2"/>
  <c r="GT498" i="2"/>
  <c r="GS498" i="2"/>
  <c r="GR498" i="2"/>
  <c r="GQ498" i="2"/>
  <c r="GP498" i="2"/>
  <c r="GO498" i="2"/>
  <c r="GN498" i="2"/>
  <c r="GM498" i="2"/>
  <c r="GZ497" i="2"/>
  <c r="GY497" i="2"/>
  <c r="GX497" i="2"/>
  <c r="GW497" i="2"/>
  <c r="GV497" i="2"/>
  <c r="GU497" i="2"/>
  <c r="GT497" i="2"/>
  <c r="GS497" i="2"/>
  <c r="GR497" i="2"/>
  <c r="GQ497" i="2"/>
  <c r="GP497" i="2"/>
  <c r="GO497" i="2"/>
  <c r="GN497" i="2"/>
  <c r="GM497" i="2"/>
  <c r="GZ496" i="2"/>
  <c r="GY496" i="2"/>
  <c r="GX496" i="2"/>
  <c r="GW496" i="2"/>
  <c r="GV496" i="2"/>
  <c r="GU496" i="2"/>
  <c r="GT496" i="2"/>
  <c r="GS496" i="2"/>
  <c r="GR496" i="2"/>
  <c r="GQ496" i="2"/>
  <c r="GP496" i="2"/>
  <c r="GO496" i="2"/>
  <c r="GN496" i="2"/>
  <c r="GM496" i="2"/>
  <c r="GZ495" i="2"/>
  <c r="GY495" i="2"/>
  <c r="GX495" i="2"/>
  <c r="GW495" i="2"/>
  <c r="GV495" i="2"/>
  <c r="GU495" i="2"/>
  <c r="GT495" i="2"/>
  <c r="GS495" i="2"/>
  <c r="GR495" i="2"/>
  <c r="GQ495" i="2"/>
  <c r="GP495" i="2"/>
  <c r="GO495" i="2"/>
  <c r="GN495" i="2"/>
  <c r="GM495" i="2"/>
  <c r="GZ494" i="2"/>
  <c r="GY494" i="2"/>
  <c r="GX494" i="2"/>
  <c r="GW494" i="2"/>
  <c r="GV494" i="2"/>
  <c r="GU494" i="2"/>
  <c r="GT494" i="2"/>
  <c r="GS494" i="2"/>
  <c r="GR494" i="2"/>
  <c r="GQ494" i="2"/>
  <c r="GP494" i="2"/>
  <c r="GO494" i="2"/>
  <c r="GN494" i="2"/>
  <c r="GM494" i="2"/>
  <c r="GZ493" i="2"/>
  <c r="GY493" i="2"/>
  <c r="GX493" i="2"/>
  <c r="GW493" i="2"/>
  <c r="GV493" i="2"/>
  <c r="GU493" i="2"/>
  <c r="GT493" i="2"/>
  <c r="GS493" i="2"/>
  <c r="GR493" i="2"/>
  <c r="GQ493" i="2"/>
  <c r="GP493" i="2"/>
  <c r="GO493" i="2"/>
  <c r="GN493" i="2"/>
  <c r="GM493" i="2"/>
  <c r="GZ492" i="2"/>
  <c r="GY492" i="2"/>
  <c r="GX492" i="2"/>
  <c r="GW492" i="2"/>
  <c r="GV492" i="2"/>
  <c r="GU492" i="2"/>
  <c r="GT492" i="2"/>
  <c r="GS492" i="2"/>
  <c r="GR492" i="2"/>
  <c r="GQ492" i="2"/>
  <c r="GP492" i="2"/>
  <c r="GO492" i="2"/>
  <c r="GN492" i="2"/>
  <c r="GM492" i="2"/>
  <c r="GZ491" i="2"/>
  <c r="GY491" i="2"/>
  <c r="GX491" i="2"/>
  <c r="GW491" i="2"/>
  <c r="GV491" i="2"/>
  <c r="GU491" i="2"/>
  <c r="GT491" i="2"/>
  <c r="GS491" i="2"/>
  <c r="GR491" i="2"/>
  <c r="GQ491" i="2"/>
  <c r="GP491" i="2"/>
  <c r="GO491" i="2"/>
  <c r="GN491" i="2"/>
  <c r="GM491" i="2"/>
  <c r="GZ490" i="2"/>
  <c r="GY490" i="2"/>
  <c r="GX490" i="2"/>
  <c r="GW490" i="2"/>
  <c r="GV490" i="2"/>
  <c r="GU490" i="2"/>
  <c r="GT490" i="2"/>
  <c r="GS490" i="2"/>
  <c r="GR490" i="2"/>
  <c r="GQ490" i="2"/>
  <c r="GP490" i="2"/>
  <c r="GO490" i="2"/>
  <c r="GN490" i="2"/>
  <c r="GM490" i="2"/>
  <c r="GZ489" i="2"/>
  <c r="GY489" i="2"/>
  <c r="GX489" i="2"/>
  <c r="GW489" i="2"/>
  <c r="GV489" i="2"/>
  <c r="GU489" i="2"/>
  <c r="GT489" i="2"/>
  <c r="GS489" i="2"/>
  <c r="GR489" i="2"/>
  <c r="GQ489" i="2"/>
  <c r="GP489" i="2"/>
  <c r="GO489" i="2"/>
  <c r="GN489" i="2"/>
  <c r="GM489" i="2"/>
  <c r="GZ488" i="2"/>
  <c r="GY488" i="2"/>
  <c r="GX488" i="2"/>
  <c r="GW488" i="2"/>
  <c r="GV488" i="2"/>
  <c r="GU488" i="2"/>
  <c r="GT488" i="2"/>
  <c r="GS488" i="2"/>
  <c r="GR488" i="2"/>
  <c r="GQ488" i="2"/>
  <c r="GP488" i="2"/>
  <c r="GO488" i="2"/>
  <c r="GN488" i="2"/>
  <c r="GM488" i="2"/>
  <c r="GZ487" i="2"/>
  <c r="GY487" i="2"/>
  <c r="GX487" i="2"/>
  <c r="GW487" i="2"/>
  <c r="GV487" i="2"/>
  <c r="GU487" i="2"/>
  <c r="GT487" i="2"/>
  <c r="GS487" i="2"/>
  <c r="GR487" i="2"/>
  <c r="GQ487" i="2"/>
  <c r="GP487" i="2"/>
  <c r="GO487" i="2"/>
  <c r="GN487" i="2"/>
  <c r="GM487" i="2"/>
  <c r="GZ486" i="2"/>
  <c r="GY486" i="2"/>
  <c r="GX486" i="2"/>
  <c r="GW486" i="2"/>
  <c r="GV486" i="2"/>
  <c r="GU486" i="2"/>
  <c r="GT486" i="2"/>
  <c r="GS486" i="2"/>
  <c r="GR486" i="2"/>
  <c r="GQ486" i="2"/>
  <c r="GP486" i="2"/>
  <c r="GO486" i="2"/>
  <c r="GN486" i="2"/>
  <c r="GM486" i="2"/>
  <c r="GZ485" i="2"/>
  <c r="GY485" i="2"/>
  <c r="GX485" i="2"/>
  <c r="GW485" i="2"/>
  <c r="GV485" i="2"/>
  <c r="GU485" i="2"/>
  <c r="GT485" i="2"/>
  <c r="GS485" i="2"/>
  <c r="GR485" i="2"/>
  <c r="GQ485" i="2"/>
  <c r="GP485" i="2"/>
  <c r="GO485" i="2"/>
  <c r="GN485" i="2"/>
  <c r="GM485" i="2"/>
  <c r="GJ521" i="2"/>
  <c r="GI521" i="2"/>
  <c r="GH521" i="2"/>
  <c r="GG521" i="2"/>
  <c r="GF521" i="2"/>
  <c r="Z44" i="50" s="1"/>
  <c r="GE521" i="2"/>
  <c r="Y44" i="50" s="1"/>
  <c r="GD521" i="2"/>
  <c r="GC521" i="2"/>
  <c r="GB521" i="2"/>
  <c r="GA521" i="2"/>
  <c r="FZ521" i="2"/>
  <c r="FY521" i="2"/>
  <c r="FX521" i="2"/>
  <c r="FW521" i="2"/>
  <c r="GJ520" i="2"/>
  <c r="GI520" i="2"/>
  <c r="GH520" i="2"/>
  <c r="GG520" i="2"/>
  <c r="GF520" i="2"/>
  <c r="Z43" i="50" s="1"/>
  <c r="GE520" i="2"/>
  <c r="Y43" i="50" s="1"/>
  <c r="GD520" i="2"/>
  <c r="GC520" i="2"/>
  <c r="GB520" i="2"/>
  <c r="GA520" i="2"/>
  <c r="FZ520" i="2"/>
  <c r="FY520" i="2"/>
  <c r="FX520" i="2"/>
  <c r="FW520" i="2"/>
  <c r="GJ519" i="2"/>
  <c r="GI519" i="2"/>
  <c r="GH519" i="2"/>
  <c r="GG519" i="2"/>
  <c r="GF519" i="2"/>
  <c r="Z42" i="50" s="1"/>
  <c r="GE519" i="2"/>
  <c r="Y42" i="50" s="1"/>
  <c r="GD519" i="2"/>
  <c r="GC519" i="2"/>
  <c r="GB519" i="2"/>
  <c r="GA519" i="2"/>
  <c r="FZ519" i="2"/>
  <c r="FY519" i="2"/>
  <c r="FX519" i="2"/>
  <c r="FW519" i="2"/>
  <c r="GJ518" i="2"/>
  <c r="GI518" i="2"/>
  <c r="GH518" i="2"/>
  <c r="GG518" i="2"/>
  <c r="GF518" i="2"/>
  <c r="Z41" i="50" s="1"/>
  <c r="GE518" i="2"/>
  <c r="Y41" i="50" s="1"/>
  <c r="GD518" i="2"/>
  <c r="GC518" i="2"/>
  <c r="GB518" i="2"/>
  <c r="GA518" i="2"/>
  <c r="FZ518" i="2"/>
  <c r="FY518" i="2"/>
  <c r="FX518" i="2"/>
  <c r="FW518" i="2"/>
  <c r="GJ517" i="2"/>
  <c r="GI517" i="2"/>
  <c r="GH517" i="2"/>
  <c r="GG517" i="2"/>
  <c r="GF517" i="2"/>
  <c r="Z40" i="50" s="1"/>
  <c r="GE517" i="2"/>
  <c r="Y40" i="50" s="1"/>
  <c r="GD517" i="2"/>
  <c r="GC517" i="2"/>
  <c r="GB517" i="2"/>
  <c r="GA517" i="2"/>
  <c r="FZ517" i="2"/>
  <c r="FY517" i="2"/>
  <c r="FX517" i="2"/>
  <c r="FW517" i="2"/>
  <c r="GJ516" i="2"/>
  <c r="GI516" i="2"/>
  <c r="GH516" i="2"/>
  <c r="GG516" i="2"/>
  <c r="GF516" i="2"/>
  <c r="Z39" i="50" s="1"/>
  <c r="GE516" i="2"/>
  <c r="Y39" i="50" s="1"/>
  <c r="GD516" i="2"/>
  <c r="GC516" i="2"/>
  <c r="GB516" i="2"/>
  <c r="GA516" i="2"/>
  <c r="FZ516" i="2"/>
  <c r="FY516" i="2"/>
  <c r="FX516" i="2"/>
  <c r="FW516" i="2"/>
  <c r="GJ515" i="2"/>
  <c r="GI515" i="2"/>
  <c r="GH515" i="2"/>
  <c r="GG515" i="2"/>
  <c r="GF515" i="2"/>
  <c r="Z38" i="50" s="1"/>
  <c r="GE515" i="2"/>
  <c r="Y38" i="50" s="1"/>
  <c r="GD515" i="2"/>
  <c r="GC515" i="2"/>
  <c r="GB515" i="2"/>
  <c r="GA515" i="2"/>
  <c r="FZ515" i="2"/>
  <c r="FY515" i="2"/>
  <c r="FX515" i="2"/>
  <c r="FW515" i="2"/>
  <c r="GJ514" i="2"/>
  <c r="GI514" i="2"/>
  <c r="GH514" i="2"/>
  <c r="GG514" i="2"/>
  <c r="GF514" i="2"/>
  <c r="Z37" i="50" s="1"/>
  <c r="GE514" i="2"/>
  <c r="Y37" i="50" s="1"/>
  <c r="GD514" i="2"/>
  <c r="GC514" i="2"/>
  <c r="GB514" i="2"/>
  <c r="GA514" i="2"/>
  <c r="FZ514" i="2"/>
  <c r="FY514" i="2"/>
  <c r="FX514" i="2"/>
  <c r="FW514" i="2"/>
  <c r="GJ513" i="2"/>
  <c r="GI513" i="2"/>
  <c r="GH513" i="2"/>
  <c r="GG513" i="2"/>
  <c r="GF513" i="2"/>
  <c r="GE513" i="2"/>
  <c r="GD513" i="2"/>
  <c r="GC513" i="2"/>
  <c r="GB513" i="2"/>
  <c r="GA513" i="2"/>
  <c r="FZ513" i="2"/>
  <c r="FY513" i="2"/>
  <c r="FX513" i="2"/>
  <c r="FW513" i="2"/>
  <c r="GJ512" i="2"/>
  <c r="GI512" i="2"/>
  <c r="GH512" i="2"/>
  <c r="GG512" i="2"/>
  <c r="GF512" i="2"/>
  <c r="GE512" i="2"/>
  <c r="GD512" i="2"/>
  <c r="GC512" i="2"/>
  <c r="GB512" i="2"/>
  <c r="GA512" i="2"/>
  <c r="FZ512" i="2"/>
  <c r="FY512" i="2"/>
  <c r="FX512" i="2"/>
  <c r="FW512" i="2"/>
  <c r="GJ511" i="2"/>
  <c r="GI511" i="2"/>
  <c r="GH511" i="2"/>
  <c r="GG511" i="2"/>
  <c r="GF511" i="2"/>
  <c r="GE511" i="2"/>
  <c r="GD511" i="2"/>
  <c r="GC511" i="2"/>
  <c r="GB511" i="2"/>
  <c r="GA511" i="2"/>
  <c r="FZ511" i="2"/>
  <c r="FY511" i="2"/>
  <c r="FX511" i="2"/>
  <c r="FW511" i="2"/>
  <c r="GJ510" i="2"/>
  <c r="GI510" i="2"/>
  <c r="GH510" i="2"/>
  <c r="GG510" i="2"/>
  <c r="GF510" i="2"/>
  <c r="GE510" i="2"/>
  <c r="GD510" i="2"/>
  <c r="GC510" i="2"/>
  <c r="GB510" i="2"/>
  <c r="GA510" i="2"/>
  <c r="FZ510" i="2"/>
  <c r="FY510" i="2"/>
  <c r="FX510" i="2"/>
  <c r="FW510" i="2"/>
  <c r="GJ509" i="2"/>
  <c r="GI509" i="2"/>
  <c r="GH509" i="2"/>
  <c r="GG509" i="2"/>
  <c r="GF509" i="2"/>
  <c r="GE509" i="2"/>
  <c r="GD509" i="2"/>
  <c r="GC509" i="2"/>
  <c r="GB509" i="2"/>
  <c r="GA509" i="2"/>
  <c r="FZ509" i="2"/>
  <c r="FY509" i="2"/>
  <c r="FX509" i="2"/>
  <c r="FW509" i="2"/>
  <c r="GJ508" i="2"/>
  <c r="GI508" i="2"/>
  <c r="GH508" i="2"/>
  <c r="GG508" i="2"/>
  <c r="GF508" i="2"/>
  <c r="GE508" i="2"/>
  <c r="GD508" i="2"/>
  <c r="GC508" i="2"/>
  <c r="GB508" i="2"/>
  <c r="GA508" i="2"/>
  <c r="FZ508" i="2"/>
  <c r="FY508" i="2"/>
  <c r="FX508" i="2"/>
  <c r="FW508" i="2"/>
  <c r="GJ507" i="2"/>
  <c r="GI507" i="2"/>
  <c r="GH507" i="2"/>
  <c r="GG507" i="2"/>
  <c r="GF507" i="2"/>
  <c r="GE507" i="2"/>
  <c r="GD507" i="2"/>
  <c r="GC507" i="2"/>
  <c r="GB507" i="2"/>
  <c r="GA507" i="2"/>
  <c r="FZ507" i="2"/>
  <c r="FY507" i="2"/>
  <c r="FX507" i="2"/>
  <c r="FW507" i="2"/>
  <c r="GJ506" i="2"/>
  <c r="GI506" i="2"/>
  <c r="GH506" i="2"/>
  <c r="GG506" i="2"/>
  <c r="GF506" i="2"/>
  <c r="GE506" i="2"/>
  <c r="GD506" i="2"/>
  <c r="GC506" i="2"/>
  <c r="GB506" i="2"/>
  <c r="GA506" i="2"/>
  <c r="FZ506" i="2"/>
  <c r="FY506" i="2"/>
  <c r="FX506" i="2"/>
  <c r="FW506" i="2"/>
  <c r="GJ505" i="2"/>
  <c r="GI505" i="2"/>
  <c r="GH505" i="2"/>
  <c r="GG505" i="2"/>
  <c r="GF505" i="2"/>
  <c r="GE505" i="2"/>
  <c r="GD505" i="2"/>
  <c r="GC505" i="2"/>
  <c r="GB505" i="2"/>
  <c r="GA505" i="2"/>
  <c r="FZ505" i="2"/>
  <c r="FY505" i="2"/>
  <c r="FX505" i="2"/>
  <c r="FW505" i="2"/>
  <c r="GJ504" i="2"/>
  <c r="GI504" i="2"/>
  <c r="GH504" i="2"/>
  <c r="GG504" i="2"/>
  <c r="GF504" i="2"/>
  <c r="GE504" i="2"/>
  <c r="GD504" i="2"/>
  <c r="GC504" i="2"/>
  <c r="GB504" i="2"/>
  <c r="GA504" i="2"/>
  <c r="FZ504" i="2"/>
  <c r="FY504" i="2"/>
  <c r="FX504" i="2"/>
  <c r="FW504" i="2"/>
  <c r="GJ503" i="2"/>
  <c r="GI503" i="2"/>
  <c r="GH503" i="2"/>
  <c r="GG503" i="2"/>
  <c r="GF503" i="2"/>
  <c r="GE503" i="2"/>
  <c r="GD503" i="2"/>
  <c r="GC503" i="2"/>
  <c r="GB503" i="2"/>
  <c r="GA503" i="2"/>
  <c r="FZ503" i="2"/>
  <c r="FY503" i="2"/>
  <c r="FX503" i="2"/>
  <c r="FW503" i="2"/>
  <c r="GJ502" i="2"/>
  <c r="GI502" i="2"/>
  <c r="GH502" i="2"/>
  <c r="GG502" i="2"/>
  <c r="GF502" i="2"/>
  <c r="GE502" i="2"/>
  <c r="GD502" i="2"/>
  <c r="GC502" i="2"/>
  <c r="GB502" i="2"/>
  <c r="GA502" i="2"/>
  <c r="FZ502" i="2"/>
  <c r="FY502" i="2"/>
  <c r="FX502" i="2"/>
  <c r="FW502" i="2"/>
  <c r="GJ501" i="2"/>
  <c r="GI501" i="2"/>
  <c r="GH501" i="2"/>
  <c r="GG501" i="2"/>
  <c r="GF501" i="2"/>
  <c r="GE501" i="2"/>
  <c r="GD501" i="2"/>
  <c r="GC501" i="2"/>
  <c r="GB501" i="2"/>
  <c r="GA501" i="2"/>
  <c r="FZ501" i="2"/>
  <c r="FY501" i="2"/>
  <c r="FX501" i="2"/>
  <c r="FW501" i="2"/>
  <c r="GJ500" i="2"/>
  <c r="GI500" i="2"/>
  <c r="GH500" i="2"/>
  <c r="GG500" i="2"/>
  <c r="GF500" i="2"/>
  <c r="GE500" i="2"/>
  <c r="GD500" i="2"/>
  <c r="GC500" i="2"/>
  <c r="GB500" i="2"/>
  <c r="GA500" i="2"/>
  <c r="FZ500" i="2"/>
  <c r="FY500" i="2"/>
  <c r="FX500" i="2"/>
  <c r="FW500" i="2"/>
  <c r="GJ499" i="2"/>
  <c r="GI499" i="2"/>
  <c r="GH499" i="2"/>
  <c r="GG499" i="2"/>
  <c r="GF499" i="2"/>
  <c r="GE499" i="2"/>
  <c r="GD499" i="2"/>
  <c r="GC499" i="2"/>
  <c r="GB499" i="2"/>
  <c r="GA499" i="2"/>
  <c r="FZ499" i="2"/>
  <c r="FY499" i="2"/>
  <c r="FX499" i="2"/>
  <c r="FW499" i="2"/>
  <c r="GJ498" i="2"/>
  <c r="GI498" i="2"/>
  <c r="GH498" i="2"/>
  <c r="GG498" i="2"/>
  <c r="GF498" i="2"/>
  <c r="GE498" i="2"/>
  <c r="GD498" i="2"/>
  <c r="GC498" i="2"/>
  <c r="GB498" i="2"/>
  <c r="GA498" i="2"/>
  <c r="FZ498" i="2"/>
  <c r="FY498" i="2"/>
  <c r="FX498" i="2"/>
  <c r="FW498" i="2"/>
  <c r="GJ497" i="2"/>
  <c r="GI497" i="2"/>
  <c r="GH497" i="2"/>
  <c r="GG497" i="2"/>
  <c r="GF497" i="2"/>
  <c r="GE497" i="2"/>
  <c r="GD497" i="2"/>
  <c r="GC497" i="2"/>
  <c r="GB497" i="2"/>
  <c r="GA497" i="2"/>
  <c r="FZ497" i="2"/>
  <c r="FY497" i="2"/>
  <c r="FX497" i="2"/>
  <c r="FW497" i="2"/>
  <c r="GJ496" i="2"/>
  <c r="GI496" i="2"/>
  <c r="GH496" i="2"/>
  <c r="GG496" i="2"/>
  <c r="GF496" i="2"/>
  <c r="GE496" i="2"/>
  <c r="GD496" i="2"/>
  <c r="GC496" i="2"/>
  <c r="GB496" i="2"/>
  <c r="GA496" i="2"/>
  <c r="FZ496" i="2"/>
  <c r="FY496" i="2"/>
  <c r="FX496" i="2"/>
  <c r="FW496" i="2"/>
  <c r="GJ495" i="2"/>
  <c r="GI495" i="2"/>
  <c r="GH495" i="2"/>
  <c r="GG495" i="2"/>
  <c r="GF495" i="2"/>
  <c r="GE495" i="2"/>
  <c r="GD495" i="2"/>
  <c r="GC495" i="2"/>
  <c r="GB495" i="2"/>
  <c r="GA495" i="2"/>
  <c r="FZ495" i="2"/>
  <c r="FY495" i="2"/>
  <c r="FX495" i="2"/>
  <c r="FW495" i="2"/>
  <c r="GJ494" i="2"/>
  <c r="GI494" i="2"/>
  <c r="GH494" i="2"/>
  <c r="GG494" i="2"/>
  <c r="GF494" i="2"/>
  <c r="GE494" i="2"/>
  <c r="GD494" i="2"/>
  <c r="GC494" i="2"/>
  <c r="GB494" i="2"/>
  <c r="GA494" i="2"/>
  <c r="FZ494" i="2"/>
  <c r="FY494" i="2"/>
  <c r="FX494" i="2"/>
  <c r="FW494" i="2"/>
  <c r="GJ493" i="2"/>
  <c r="GI493" i="2"/>
  <c r="GH493" i="2"/>
  <c r="GG493" i="2"/>
  <c r="GF493" i="2"/>
  <c r="GE493" i="2"/>
  <c r="GD493" i="2"/>
  <c r="GC493" i="2"/>
  <c r="GB493" i="2"/>
  <c r="GA493" i="2"/>
  <c r="FZ493" i="2"/>
  <c r="FY493" i="2"/>
  <c r="FX493" i="2"/>
  <c r="FW493" i="2"/>
  <c r="GJ492" i="2"/>
  <c r="GI492" i="2"/>
  <c r="GH492" i="2"/>
  <c r="GG492" i="2"/>
  <c r="GF492" i="2"/>
  <c r="GE492" i="2"/>
  <c r="GD492" i="2"/>
  <c r="GC492" i="2"/>
  <c r="GB492" i="2"/>
  <c r="GA492" i="2"/>
  <c r="FZ492" i="2"/>
  <c r="FY492" i="2"/>
  <c r="FX492" i="2"/>
  <c r="FW492" i="2"/>
  <c r="GJ491" i="2"/>
  <c r="GI491" i="2"/>
  <c r="GH491" i="2"/>
  <c r="GG491" i="2"/>
  <c r="GF491" i="2"/>
  <c r="GE491" i="2"/>
  <c r="GD491" i="2"/>
  <c r="GC491" i="2"/>
  <c r="GB491" i="2"/>
  <c r="GA491" i="2"/>
  <c r="FZ491" i="2"/>
  <c r="FY491" i="2"/>
  <c r="FX491" i="2"/>
  <c r="FW491" i="2"/>
  <c r="GJ490" i="2"/>
  <c r="GI490" i="2"/>
  <c r="GH490" i="2"/>
  <c r="GG490" i="2"/>
  <c r="GF490" i="2"/>
  <c r="GE490" i="2"/>
  <c r="GD490" i="2"/>
  <c r="GC490" i="2"/>
  <c r="GB490" i="2"/>
  <c r="GA490" i="2"/>
  <c r="FZ490" i="2"/>
  <c r="FY490" i="2"/>
  <c r="FX490" i="2"/>
  <c r="FW490" i="2"/>
  <c r="GJ489" i="2"/>
  <c r="GI489" i="2"/>
  <c r="GH489" i="2"/>
  <c r="GG489" i="2"/>
  <c r="GF489" i="2"/>
  <c r="GE489" i="2"/>
  <c r="GD489" i="2"/>
  <c r="GC489" i="2"/>
  <c r="GB489" i="2"/>
  <c r="GA489" i="2"/>
  <c r="FZ489" i="2"/>
  <c r="FY489" i="2"/>
  <c r="FX489" i="2"/>
  <c r="FW489" i="2"/>
  <c r="GJ488" i="2"/>
  <c r="GI488" i="2"/>
  <c r="GH488" i="2"/>
  <c r="GG488" i="2"/>
  <c r="GF488" i="2"/>
  <c r="GE488" i="2"/>
  <c r="GD488" i="2"/>
  <c r="GC488" i="2"/>
  <c r="GB488" i="2"/>
  <c r="GA488" i="2"/>
  <c r="FZ488" i="2"/>
  <c r="FY488" i="2"/>
  <c r="FX488" i="2"/>
  <c r="FW488" i="2"/>
  <c r="GJ487" i="2"/>
  <c r="GI487" i="2"/>
  <c r="GH487" i="2"/>
  <c r="GG487" i="2"/>
  <c r="GF487" i="2"/>
  <c r="GE487" i="2"/>
  <c r="GD487" i="2"/>
  <c r="GC487" i="2"/>
  <c r="GB487" i="2"/>
  <c r="GA487" i="2"/>
  <c r="FZ487" i="2"/>
  <c r="FY487" i="2"/>
  <c r="FX487" i="2"/>
  <c r="FW487" i="2"/>
  <c r="GJ486" i="2"/>
  <c r="GI486" i="2"/>
  <c r="GH486" i="2"/>
  <c r="GG486" i="2"/>
  <c r="GF486" i="2"/>
  <c r="GE486" i="2"/>
  <c r="GD486" i="2"/>
  <c r="GC486" i="2"/>
  <c r="GB486" i="2"/>
  <c r="GA486" i="2"/>
  <c r="FZ486" i="2"/>
  <c r="FY486" i="2"/>
  <c r="FX486" i="2"/>
  <c r="FW486" i="2"/>
  <c r="GJ485" i="2"/>
  <c r="GI485" i="2"/>
  <c r="GH485" i="2"/>
  <c r="GG485" i="2"/>
  <c r="GF485" i="2"/>
  <c r="GE485" i="2"/>
  <c r="GD485" i="2"/>
  <c r="GC485" i="2"/>
  <c r="GB485" i="2"/>
  <c r="GA485" i="2"/>
  <c r="FZ485" i="2"/>
  <c r="FY485" i="2"/>
  <c r="FX485" i="2"/>
  <c r="FW485" i="2"/>
  <c r="FT521" i="2"/>
  <c r="FS521" i="2"/>
  <c r="FR521" i="2"/>
  <c r="FQ521" i="2"/>
  <c r="FP521" i="2"/>
  <c r="X44" i="50" s="1"/>
  <c r="FO521" i="2"/>
  <c r="W44" i="50" s="1"/>
  <c r="FN521" i="2"/>
  <c r="FM521" i="2"/>
  <c r="FL521" i="2"/>
  <c r="FK521" i="2"/>
  <c r="FJ521" i="2"/>
  <c r="FI521" i="2"/>
  <c r="FH521" i="2"/>
  <c r="FG521" i="2"/>
  <c r="FT520" i="2"/>
  <c r="FS520" i="2"/>
  <c r="FR520" i="2"/>
  <c r="FQ520" i="2"/>
  <c r="FP520" i="2"/>
  <c r="X43" i="50" s="1"/>
  <c r="FO520" i="2"/>
  <c r="W43" i="50" s="1"/>
  <c r="FN520" i="2"/>
  <c r="FM520" i="2"/>
  <c r="FL520" i="2"/>
  <c r="FK520" i="2"/>
  <c r="FJ520" i="2"/>
  <c r="FI520" i="2"/>
  <c r="FH520" i="2"/>
  <c r="FG520" i="2"/>
  <c r="FT519" i="2"/>
  <c r="FS519" i="2"/>
  <c r="FR519" i="2"/>
  <c r="FQ519" i="2"/>
  <c r="FP519" i="2"/>
  <c r="X42" i="50" s="1"/>
  <c r="FO519" i="2"/>
  <c r="W42" i="50" s="1"/>
  <c r="FN519" i="2"/>
  <c r="FM519" i="2"/>
  <c r="FL519" i="2"/>
  <c r="FK519" i="2"/>
  <c r="FJ519" i="2"/>
  <c r="FI519" i="2"/>
  <c r="FH519" i="2"/>
  <c r="FG519" i="2"/>
  <c r="FT518" i="2"/>
  <c r="FS518" i="2"/>
  <c r="FR518" i="2"/>
  <c r="FQ518" i="2"/>
  <c r="FP518" i="2"/>
  <c r="X41" i="50" s="1"/>
  <c r="FO518" i="2"/>
  <c r="W41" i="50" s="1"/>
  <c r="FN518" i="2"/>
  <c r="FM518" i="2"/>
  <c r="FL518" i="2"/>
  <c r="FK518" i="2"/>
  <c r="FJ518" i="2"/>
  <c r="FI518" i="2"/>
  <c r="FH518" i="2"/>
  <c r="FG518" i="2"/>
  <c r="FT517" i="2"/>
  <c r="FS517" i="2"/>
  <c r="FR517" i="2"/>
  <c r="FQ517" i="2"/>
  <c r="FP517" i="2"/>
  <c r="X40" i="50" s="1"/>
  <c r="FO517" i="2"/>
  <c r="W40" i="50" s="1"/>
  <c r="FN517" i="2"/>
  <c r="FM517" i="2"/>
  <c r="FL517" i="2"/>
  <c r="FK517" i="2"/>
  <c r="FJ517" i="2"/>
  <c r="FI517" i="2"/>
  <c r="FH517" i="2"/>
  <c r="FG517" i="2"/>
  <c r="FT516" i="2"/>
  <c r="FS516" i="2"/>
  <c r="FR516" i="2"/>
  <c r="FQ516" i="2"/>
  <c r="FP516" i="2"/>
  <c r="X39" i="50" s="1"/>
  <c r="FO516" i="2"/>
  <c r="W39" i="50" s="1"/>
  <c r="FN516" i="2"/>
  <c r="FM516" i="2"/>
  <c r="FL516" i="2"/>
  <c r="FK516" i="2"/>
  <c r="FJ516" i="2"/>
  <c r="FI516" i="2"/>
  <c r="FH516" i="2"/>
  <c r="FG516" i="2"/>
  <c r="FT515" i="2"/>
  <c r="FS515" i="2"/>
  <c r="FR515" i="2"/>
  <c r="FQ515" i="2"/>
  <c r="FP515" i="2"/>
  <c r="X38" i="50" s="1"/>
  <c r="FO515" i="2"/>
  <c r="W38" i="50" s="1"/>
  <c r="FN515" i="2"/>
  <c r="FM515" i="2"/>
  <c r="FL515" i="2"/>
  <c r="FK515" i="2"/>
  <c r="FJ515" i="2"/>
  <c r="FI515" i="2"/>
  <c r="FH515" i="2"/>
  <c r="FG515" i="2"/>
  <c r="FT514" i="2"/>
  <c r="FS514" i="2"/>
  <c r="FR514" i="2"/>
  <c r="FQ514" i="2"/>
  <c r="FP514" i="2"/>
  <c r="X37" i="50" s="1"/>
  <c r="FO514" i="2"/>
  <c r="W37" i="50" s="1"/>
  <c r="FN514" i="2"/>
  <c r="FM514" i="2"/>
  <c r="FL514" i="2"/>
  <c r="FK514" i="2"/>
  <c r="FJ514" i="2"/>
  <c r="FI514" i="2"/>
  <c r="FH514" i="2"/>
  <c r="FG514" i="2"/>
  <c r="FT513" i="2"/>
  <c r="FS513" i="2"/>
  <c r="FR513" i="2"/>
  <c r="FQ513" i="2"/>
  <c r="FP513" i="2"/>
  <c r="FO513" i="2"/>
  <c r="FN513" i="2"/>
  <c r="FM513" i="2"/>
  <c r="FL513" i="2"/>
  <c r="FK513" i="2"/>
  <c r="FJ513" i="2"/>
  <c r="FI513" i="2"/>
  <c r="FH513" i="2"/>
  <c r="FG513" i="2"/>
  <c r="FT512" i="2"/>
  <c r="FS512" i="2"/>
  <c r="FR512" i="2"/>
  <c r="FQ512" i="2"/>
  <c r="FP512" i="2"/>
  <c r="FO512" i="2"/>
  <c r="FN512" i="2"/>
  <c r="FM512" i="2"/>
  <c r="FL512" i="2"/>
  <c r="FK512" i="2"/>
  <c r="FJ512" i="2"/>
  <c r="FI512" i="2"/>
  <c r="FH512" i="2"/>
  <c r="FG512" i="2"/>
  <c r="FT511" i="2"/>
  <c r="FS511" i="2"/>
  <c r="FR511" i="2"/>
  <c r="FQ511" i="2"/>
  <c r="FP511" i="2"/>
  <c r="FO511" i="2"/>
  <c r="FN511" i="2"/>
  <c r="FM511" i="2"/>
  <c r="FL511" i="2"/>
  <c r="FK511" i="2"/>
  <c r="FJ511" i="2"/>
  <c r="FI511" i="2"/>
  <c r="FH511" i="2"/>
  <c r="FG511" i="2"/>
  <c r="FT510" i="2"/>
  <c r="FS510" i="2"/>
  <c r="FR510" i="2"/>
  <c r="FQ510" i="2"/>
  <c r="FP510" i="2"/>
  <c r="FO510" i="2"/>
  <c r="FN510" i="2"/>
  <c r="FM510" i="2"/>
  <c r="FL510" i="2"/>
  <c r="FK510" i="2"/>
  <c r="FJ510" i="2"/>
  <c r="FI510" i="2"/>
  <c r="FH510" i="2"/>
  <c r="FG510" i="2"/>
  <c r="FT509" i="2"/>
  <c r="FS509" i="2"/>
  <c r="FR509" i="2"/>
  <c r="FQ509" i="2"/>
  <c r="FP509" i="2"/>
  <c r="FO509" i="2"/>
  <c r="FN509" i="2"/>
  <c r="FM509" i="2"/>
  <c r="FL509" i="2"/>
  <c r="FK509" i="2"/>
  <c r="FJ509" i="2"/>
  <c r="FI509" i="2"/>
  <c r="FH509" i="2"/>
  <c r="FG509" i="2"/>
  <c r="FT508" i="2"/>
  <c r="FS508" i="2"/>
  <c r="FR508" i="2"/>
  <c r="FQ508" i="2"/>
  <c r="FP508" i="2"/>
  <c r="FO508" i="2"/>
  <c r="FN508" i="2"/>
  <c r="FM508" i="2"/>
  <c r="FL508" i="2"/>
  <c r="FK508" i="2"/>
  <c r="FJ508" i="2"/>
  <c r="FI508" i="2"/>
  <c r="FH508" i="2"/>
  <c r="FG508" i="2"/>
  <c r="FT507" i="2"/>
  <c r="FS507" i="2"/>
  <c r="FR507" i="2"/>
  <c r="FQ507" i="2"/>
  <c r="FP507" i="2"/>
  <c r="FO507" i="2"/>
  <c r="FN507" i="2"/>
  <c r="FM507" i="2"/>
  <c r="FL507" i="2"/>
  <c r="FK507" i="2"/>
  <c r="FJ507" i="2"/>
  <c r="FI507" i="2"/>
  <c r="FH507" i="2"/>
  <c r="FG507" i="2"/>
  <c r="FT506" i="2"/>
  <c r="FS506" i="2"/>
  <c r="FR506" i="2"/>
  <c r="FQ506" i="2"/>
  <c r="FP506" i="2"/>
  <c r="FO506" i="2"/>
  <c r="FN506" i="2"/>
  <c r="FM506" i="2"/>
  <c r="FL506" i="2"/>
  <c r="FK506" i="2"/>
  <c r="FJ506" i="2"/>
  <c r="FI506" i="2"/>
  <c r="FH506" i="2"/>
  <c r="FG506" i="2"/>
  <c r="FT505" i="2"/>
  <c r="FS505" i="2"/>
  <c r="FR505" i="2"/>
  <c r="FQ505" i="2"/>
  <c r="FP505" i="2"/>
  <c r="FO505" i="2"/>
  <c r="FN505" i="2"/>
  <c r="FM505" i="2"/>
  <c r="FL505" i="2"/>
  <c r="FK505" i="2"/>
  <c r="FJ505" i="2"/>
  <c r="FI505" i="2"/>
  <c r="FH505" i="2"/>
  <c r="FG505" i="2"/>
  <c r="FT504" i="2"/>
  <c r="FS504" i="2"/>
  <c r="FR504" i="2"/>
  <c r="FQ504" i="2"/>
  <c r="FP504" i="2"/>
  <c r="FO504" i="2"/>
  <c r="FN504" i="2"/>
  <c r="FM504" i="2"/>
  <c r="FL504" i="2"/>
  <c r="FK504" i="2"/>
  <c r="FJ504" i="2"/>
  <c r="FI504" i="2"/>
  <c r="FH504" i="2"/>
  <c r="FG504" i="2"/>
  <c r="FT503" i="2"/>
  <c r="FS503" i="2"/>
  <c r="FR503" i="2"/>
  <c r="FQ503" i="2"/>
  <c r="FP503" i="2"/>
  <c r="FO503" i="2"/>
  <c r="FN503" i="2"/>
  <c r="FM503" i="2"/>
  <c r="FL503" i="2"/>
  <c r="FK503" i="2"/>
  <c r="FJ503" i="2"/>
  <c r="FI503" i="2"/>
  <c r="FH503" i="2"/>
  <c r="FG503" i="2"/>
  <c r="FT502" i="2"/>
  <c r="FS502" i="2"/>
  <c r="FR502" i="2"/>
  <c r="FQ502" i="2"/>
  <c r="FP502" i="2"/>
  <c r="FO502" i="2"/>
  <c r="FN502" i="2"/>
  <c r="FM502" i="2"/>
  <c r="FL502" i="2"/>
  <c r="FK502" i="2"/>
  <c r="FJ502" i="2"/>
  <c r="FI502" i="2"/>
  <c r="FH502" i="2"/>
  <c r="FG502" i="2"/>
  <c r="FT501" i="2"/>
  <c r="FS501" i="2"/>
  <c r="FR501" i="2"/>
  <c r="FQ501" i="2"/>
  <c r="FP501" i="2"/>
  <c r="FO501" i="2"/>
  <c r="FN501" i="2"/>
  <c r="FM501" i="2"/>
  <c r="FL501" i="2"/>
  <c r="FK501" i="2"/>
  <c r="FJ501" i="2"/>
  <c r="FI501" i="2"/>
  <c r="FH501" i="2"/>
  <c r="FG501" i="2"/>
  <c r="FT500" i="2"/>
  <c r="FS500" i="2"/>
  <c r="FR500" i="2"/>
  <c r="FQ500" i="2"/>
  <c r="FP500" i="2"/>
  <c r="FO500" i="2"/>
  <c r="FN500" i="2"/>
  <c r="FM500" i="2"/>
  <c r="FL500" i="2"/>
  <c r="FK500" i="2"/>
  <c r="FJ500" i="2"/>
  <c r="FI500" i="2"/>
  <c r="FH500" i="2"/>
  <c r="FG500" i="2"/>
  <c r="FT499" i="2"/>
  <c r="FS499" i="2"/>
  <c r="FR499" i="2"/>
  <c r="FQ499" i="2"/>
  <c r="FP499" i="2"/>
  <c r="FO499" i="2"/>
  <c r="FN499" i="2"/>
  <c r="FM499" i="2"/>
  <c r="FL499" i="2"/>
  <c r="FK499" i="2"/>
  <c r="FJ499" i="2"/>
  <c r="FI499" i="2"/>
  <c r="FH499" i="2"/>
  <c r="FG499" i="2"/>
  <c r="FT498" i="2"/>
  <c r="FS498" i="2"/>
  <c r="FR498" i="2"/>
  <c r="FQ498" i="2"/>
  <c r="FP498" i="2"/>
  <c r="FO498" i="2"/>
  <c r="FN498" i="2"/>
  <c r="FM498" i="2"/>
  <c r="FL498" i="2"/>
  <c r="FK498" i="2"/>
  <c r="FJ498" i="2"/>
  <c r="FI498" i="2"/>
  <c r="FH498" i="2"/>
  <c r="FG498" i="2"/>
  <c r="FT497" i="2"/>
  <c r="FS497" i="2"/>
  <c r="FR497" i="2"/>
  <c r="FQ497" i="2"/>
  <c r="FP497" i="2"/>
  <c r="FO497" i="2"/>
  <c r="FN497" i="2"/>
  <c r="FM497" i="2"/>
  <c r="FL497" i="2"/>
  <c r="FK497" i="2"/>
  <c r="FJ497" i="2"/>
  <c r="FI497" i="2"/>
  <c r="FH497" i="2"/>
  <c r="FG497" i="2"/>
  <c r="FT496" i="2"/>
  <c r="FS496" i="2"/>
  <c r="FR496" i="2"/>
  <c r="FQ496" i="2"/>
  <c r="FP496" i="2"/>
  <c r="FO496" i="2"/>
  <c r="FN496" i="2"/>
  <c r="FM496" i="2"/>
  <c r="FL496" i="2"/>
  <c r="FK496" i="2"/>
  <c r="FJ496" i="2"/>
  <c r="FI496" i="2"/>
  <c r="FH496" i="2"/>
  <c r="FG496" i="2"/>
  <c r="FT495" i="2"/>
  <c r="FS495" i="2"/>
  <c r="FR495" i="2"/>
  <c r="FQ495" i="2"/>
  <c r="FP495" i="2"/>
  <c r="FO495" i="2"/>
  <c r="FN495" i="2"/>
  <c r="FM495" i="2"/>
  <c r="FL495" i="2"/>
  <c r="FK495" i="2"/>
  <c r="FJ495" i="2"/>
  <c r="FI495" i="2"/>
  <c r="FH495" i="2"/>
  <c r="FG495" i="2"/>
  <c r="FT494" i="2"/>
  <c r="FS494" i="2"/>
  <c r="FR494" i="2"/>
  <c r="FQ494" i="2"/>
  <c r="FP494" i="2"/>
  <c r="FO494" i="2"/>
  <c r="FN494" i="2"/>
  <c r="FM494" i="2"/>
  <c r="FL494" i="2"/>
  <c r="FK494" i="2"/>
  <c r="FJ494" i="2"/>
  <c r="FI494" i="2"/>
  <c r="FH494" i="2"/>
  <c r="FG494" i="2"/>
  <c r="FT493" i="2"/>
  <c r="FS493" i="2"/>
  <c r="FR493" i="2"/>
  <c r="FQ493" i="2"/>
  <c r="FP493" i="2"/>
  <c r="FO493" i="2"/>
  <c r="FN493" i="2"/>
  <c r="FM493" i="2"/>
  <c r="FL493" i="2"/>
  <c r="FK493" i="2"/>
  <c r="FJ493" i="2"/>
  <c r="FI493" i="2"/>
  <c r="FH493" i="2"/>
  <c r="FG493" i="2"/>
  <c r="FT492" i="2"/>
  <c r="FS492" i="2"/>
  <c r="FR492" i="2"/>
  <c r="FQ492" i="2"/>
  <c r="FP492" i="2"/>
  <c r="FO492" i="2"/>
  <c r="FN492" i="2"/>
  <c r="FM492" i="2"/>
  <c r="FL492" i="2"/>
  <c r="FK492" i="2"/>
  <c r="FJ492" i="2"/>
  <c r="FI492" i="2"/>
  <c r="FH492" i="2"/>
  <c r="FG492" i="2"/>
  <c r="FT491" i="2"/>
  <c r="FS491" i="2"/>
  <c r="FR491" i="2"/>
  <c r="FQ491" i="2"/>
  <c r="FP491" i="2"/>
  <c r="FO491" i="2"/>
  <c r="FN491" i="2"/>
  <c r="FM491" i="2"/>
  <c r="FL491" i="2"/>
  <c r="FK491" i="2"/>
  <c r="FJ491" i="2"/>
  <c r="FI491" i="2"/>
  <c r="FH491" i="2"/>
  <c r="FG491" i="2"/>
  <c r="FT490" i="2"/>
  <c r="FS490" i="2"/>
  <c r="FR490" i="2"/>
  <c r="FQ490" i="2"/>
  <c r="FP490" i="2"/>
  <c r="FO490" i="2"/>
  <c r="FN490" i="2"/>
  <c r="FM490" i="2"/>
  <c r="FL490" i="2"/>
  <c r="FK490" i="2"/>
  <c r="FJ490" i="2"/>
  <c r="FI490" i="2"/>
  <c r="FH490" i="2"/>
  <c r="FG490" i="2"/>
  <c r="FT489" i="2"/>
  <c r="FS489" i="2"/>
  <c r="FR489" i="2"/>
  <c r="FQ489" i="2"/>
  <c r="FP489" i="2"/>
  <c r="FO489" i="2"/>
  <c r="FN489" i="2"/>
  <c r="FM489" i="2"/>
  <c r="FL489" i="2"/>
  <c r="FK489" i="2"/>
  <c r="FJ489" i="2"/>
  <c r="FI489" i="2"/>
  <c r="FH489" i="2"/>
  <c r="FG489" i="2"/>
  <c r="FT488" i="2"/>
  <c r="FS488" i="2"/>
  <c r="FR488" i="2"/>
  <c r="FQ488" i="2"/>
  <c r="FP488" i="2"/>
  <c r="FO488" i="2"/>
  <c r="FN488" i="2"/>
  <c r="FM488" i="2"/>
  <c r="FL488" i="2"/>
  <c r="FK488" i="2"/>
  <c r="FJ488" i="2"/>
  <c r="FI488" i="2"/>
  <c r="FH488" i="2"/>
  <c r="FG488" i="2"/>
  <c r="FT487" i="2"/>
  <c r="FS487" i="2"/>
  <c r="FR487" i="2"/>
  <c r="FQ487" i="2"/>
  <c r="FP487" i="2"/>
  <c r="FO487" i="2"/>
  <c r="FN487" i="2"/>
  <c r="FM487" i="2"/>
  <c r="FL487" i="2"/>
  <c r="FK487" i="2"/>
  <c r="FJ487" i="2"/>
  <c r="FI487" i="2"/>
  <c r="FH487" i="2"/>
  <c r="FG487" i="2"/>
  <c r="FT486" i="2"/>
  <c r="FS486" i="2"/>
  <c r="FR486" i="2"/>
  <c r="FQ486" i="2"/>
  <c r="FP486" i="2"/>
  <c r="FO486" i="2"/>
  <c r="FN486" i="2"/>
  <c r="FM486" i="2"/>
  <c r="FL486" i="2"/>
  <c r="FK486" i="2"/>
  <c r="FJ486" i="2"/>
  <c r="FI486" i="2"/>
  <c r="FH486" i="2"/>
  <c r="FG486" i="2"/>
  <c r="FT485" i="2"/>
  <c r="FS485" i="2"/>
  <c r="FR485" i="2"/>
  <c r="FQ485" i="2"/>
  <c r="FP485" i="2"/>
  <c r="FO485" i="2"/>
  <c r="FN485" i="2"/>
  <c r="FM485" i="2"/>
  <c r="FL485" i="2"/>
  <c r="FK485" i="2"/>
  <c r="FJ485" i="2"/>
  <c r="FI485" i="2"/>
  <c r="FH485" i="2"/>
  <c r="FG485" i="2"/>
  <c r="FD521" i="2"/>
  <c r="FC521" i="2"/>
  <c r="FB521" i="2"/>
  <c r="V44" i="55" s="1"/>
  <c r="FA521" i="2"/>
  <c r="U44" i="55" s="1"/>
  <c r="EZ521" i="2"/>
  <c r="V44" i="50" s="1"/>
  <c r="EY521" i="2"/>
  <c r="U44" i="50" s="1"/>
  <c r="EX521" i="2"/>
  <c r="EW521" i="2"/>
  <c r="EV521" i="2"/>
  <c r="EU521" i="2"/>
  <c r="ET521" i="2"/>
  <c r="ES521" i="2"/>
  <c r="ER521" i="2"/>
  <c r="EQ521" i="2"/>
  <c r="FD520" i="2"/>
  <c r="FC520" i="2"/>
  <c r="FB520" i="2"/>
  <c r="V43" i="55" s="1"/>
  <c r="FA520" i="2"/>
  <c r="U43" i="55" s="1"/>
  <c r="EZ520" i="2"/>
  <c r="V43" i="50" s="1"/>
  <c r="EY520" i="2"/>
  <c r="U43" i="50" s="1"/>
  <c r="EX520" i="2"/>
  <c r="EW520" i="2"/>
  <c r="EV520" i="2"/>
  <c r="EU520" i="2"/>
  <c r="ET520" i="2"/>
  <c r="ES520" i="2"/>
  <c r="ER520" i="2"/>
  <c r="EQ520" i="2"/>
  <c r="FD519" i="2"/>
  <c r="FC519" i="2"/>
  <c r="FB519" i="2"/>
  <c r="V42" i="55" s="1"/>
  <c r="FA519" i="2"/>
  <c r="U42" i="55" s="1"/>
  <c r="EZ519" i="2"/>
  <c r="V42" i="50" s="1"/>
  <c r="EY519" i="2"/>
  <c r="U42" i="50" s="1"/>
  <c r="EX519" i="2"/>
  <c r="EW519" i="2"/>
  <c r="EV519" i="2"/>
  <c r="EU519" i="2"/>
  <c r="ET519" i="2"/>
  <c r="ES519" i="2"/>
  <c r="ER519" i="2"/>
  <c r="EQ519" i="2"/>
  <c r="FD518" i="2"/>
  <c r="FC518" i="2"/>
  <c r="FB518" i="2"/>
  <c r="V41" i="55" s="1"/>
  <c r="FA518" i="2"/>
  <c r="U41" i="55" s="1"/>
  <c r="EZ518" i="2"/>
  <c r="V41" i="50" s="1"/>
  <c r="EY518" i="2"/>
  <c r="U41" i="50" s="1"/>
  <c r="EX518" i="2"/>
  <c r="EW518" i="2"/>
  <c r="EV518" i="2"/>
  <c r="EU518" i="2"/>
  <c r="ET518" i="2"/>
  <c r="ES518" i="2"/>
  <c r="ER518" i="2"/>
  <c r="EQ518" i="2"/>
  <c r="FD517" i="2"/>
  <c r="FC517" i="2"/>
  <c r="FB517" i="2"/>
  <c r="V40" i="55" s="1"/>
  <c r="FA517" i="2"/>
  <c r="U40" i="55" s="1"/>
  <c r="EZ517" i="2"/>
  <c r="V40" i="50" s="1"/>
  <c r="EY517" i="2"/>
  <c r="U40" i="50" s="1"/>
  <c r="EX517" i="2"/>
  <c r="EW517" i="2"/>
  <c r="EV517" i="2"/>
  <c r="EU517" i="2"/>
  <c r="ET517" i="2"/>
  <c r="ES517" i="2"/>
  <c r="ER517" i="2"/>
  <c r="EQ517" i="2"/>
  <c r="FD516" i="2"/>
  <c r="FC516" i="2"/>
  <c r="FB516" i="2"/>
  <c r="V39" i="55" s="1"/>
  <c r="FA516" i="2"/>
  <c r="U39" i="55" s="1"/>
  <c r="EZ516" i="2"/>
  <c r="V39" i="50" s="1"/>
  <c r="EY516" i="2"/>
  <c r="U39" i="50" s="1"/>
  <c r="EX516" i="2"/>
  <c r="EW516" i="2"/>
  <c r="EV516" i="2"/>
  <c r="EU516" i="2"/>
  <c r="ET516" i="2"/>
  <c r="ES516" i="2"/>
  <c r="ER516" i="2"/>
  <c r="EQ516" i="2"/>
  <c r="FD515" i="2"/>
  <c r="FC515" i="2"/>
  <c r="FB515" i="2"/>
  <c r="V38" i="55" s="1"/>
  <c r="FA515" i="2"/>
  <c r="U38" i="55" s="1"/>
  <c r="EZ515" i="2"/>
  <c r="V38" i="50" s="1"/>
  <c r="EY515" i="2"/>
  <c r="U38" i="50" s="1"/>
  <c r="EX515" i="2"/>
  <c r="EW515" i="2"/>
  <c r="EV515" i="2"/>
  <c r="EU515" i="2"/>
  <c r="ET515" i="2"/>
  <c r="ES515" i="2"/>
  <c r="ER515" i="2"/>
  <c r="EQ515" i="2"/>
  <c r="FD514" i="2"/>
  <c r="FC514" i="2"/>
  <c r="FB514" i="2"/>
  <c r="V37" i="55" s="1"/>
  <c r="FA514" i="2"/>
  <c r="U37" i="55" s="1"/>
  <c r="EZ514" i="2"/>
  <c r="V37" i="50" s="1"/>
  <c r="EY514" i="2"/>
  <c r="U37" i="50" s="1"/>
  <c r="EX514" i="2"/>
  <c r="EW514" i="2"/>
  <c r="EV514" i="2"/>
  <c r="EU514" i="2"/>
  <c r="ET514" i="2"/>
  <c r="ES514" i="2"/>
  <c r="ER514" i="2"/>
  <c r="EQ514" i="2"/>
  <c r="FD513" i="2"/>
  <c r="FC513" i="2"/>
  <c r="FB513" i="2"/>
  <c r="V36" i="55" s="1"/>
  <c r="FA513" i="2"/>
  <c r="U36" i="55" s="1"/>
  <c r="EZ513" i="2"/>
  <c r="EY513" i="2"/>
  <c r="EX513" i="2"/>
  <c r="EW513" i="2"/>
  <c r="EV513" i="2"/>
  <c r="EU513" i="2"/>
  <c r="ET513" i="2"/>
  <c r="ES513" i="2"/>
  <c r="ER513" i="2"/>
  <c r="EQ513" i="2"/>
  <c r="FD512" i="2"/>
  <c r="FC512" i="2"/>
  <c r="FB512" i="2"/>
  <c r="V35" i="55" s="1"/>
  <c r="FA512" i="2"/>
  <c r="U35" i="55" s="1"/>
  <c r="EZ512" i="2"/>
  <c r="EY512" i="2"/>
  <c r="EX512" i="2"/>
  <c r="EW512" i="2"/>
  <c r="EV512" i="2"/>
  <c r="EU512" i="2"/>
  <c r="ET512" i="2"/>
  <c r="ES512" i="2"/>
  <c r="ER512" i="2"/>
  <c r="EQ512" i="2"/>
  <c r="FD511" i="2"/>
  <c r="FC511" i="2"/>
  <c r="FB511" i="2"/>
  <c r="V34" i="55" s="1"/>
  <c r="FA511" i="2"/>
  <c r="U34" i="55" s="1"/>
  <c r="EZ511" i="2"/>
  <c r="EY511" i="2"/>
  <c r="EX511" i="2"/>
  <c r="EW511" i="2"/>
  <c r="EV511" i="2"/>
  <c r="EU511" i="2"/>
  <c r="ET511" i="2"/>
  <c r="ES511" i="2"/>
  <c r="ER511" i="2"/>
  <c r="EQ511" i="2"/>
  <c r="FD510" i="2"/>
  <c r="FC510" i="2"/>
  <c r="FB510" i="2"/>
  <c r="V33" i="55" s="1"/>
  <c r="FA510" i="2"/>
  <c r="U33" i="55" s="1"/>
  <c r="EZ510" i="2"/>
  <c r="EY510" i="2"/>
  <c r="EX510" i="2"/>
  <c r="EW510" i="2"/>
  <c r="EV510" i="2"/>
  <c r="EU510" i="2"/>
  <c r="ET510" i="2"/>
  <c r="ES510" i="2"/>
  <c r="ER510" i="2"/>
  <c r="EQ510" i="2"/>
  <c r="FD509" i="2"/>
  <c r="FC509" i="2"/>
  <c r="FB509" i="2"/>
  <c r="V32" i="55" s="1"/>
  <c r="FA509" i="2"/>
  <c r="U32" i="55" s="1"/>
  <c r="EZ509" i="2"/>
  <c r="EY509" i="2"/>
  <c r="EX509" i="2"/>
  <c r="EW509" i="2"/>
  <c r="EV509" i="2"/>
  <c r="EU509" i="2"/>
  <c r="ET509" i="2"/>
  <c r="ES509" i="2"/>
  <c r="ER509" i="2"/>
  <c r="EQ509" i="2"/>
  <c r="FD508" i="2"/>
  <c r="FC508" i="2"/>
  <c r="FB508" i="2"/>
  <c r="V31" i="55" s="1"/>
  <c r="FA508" i="2"/>
  <c r="U31" i="55" s="1"/>
  <c r="EZ508" i="2"/>
  <c r="EY508" i="2"/>
  <c r="EX508" i="2"/>
  <c r="EW508" i="2"/>
  <c r="EV508" i="2"/>
  <c r="EU508" i="2"/>
  <c r="ET508" i="2"/>
  <c r="ES508" i="2"/>
  <c r="ER508" i="2"/>
  <c r="EQ508" i="2"/>
  <c r="FD507" i="2"/>
  <c r="FC507" i="2"/>
  <c r="FB507" i="2"/>
  <c r="V30" i="55" s="1"/>
  <c r="FA507" i="2"/>
  <c r="U30" i="55" s="1"/>
  <c r="EZ507" i="2"/>
  <c r="EY507" i="2"/>
  <c r="EX507" i="2"/>
  <c r="EW507" i="2"/>
  <c r="EV507" i="2"/>
  <c r="EU507" i="2"/>
  <c r="ET507" i="2"/>
  <c r="ES507" i="2"/>
  <c r="ER507" i="2"/>
  <c r="EQ507" i="2"/>
  <c r="FD506" i="2"/>
  <c r="FC506" i="2"/>
  <c r="FB506" i="2"/>
  <c r="V29" i="55" s="1"/>
  <c r="FA506" i="2"/>
  <c r="U29" i="55" s="1"/>
  <c r="EZ506" i="2"/>
  <c r="EY506" i="2"/>
  <c r="EX506" i="2"/>
  <c r="EW506" i="2"/>
  <c r="EV506" i="2"/>
  <c r="EU506" i="2"/>
  <c r="ET506" i="2"/>
  <c r="ES506" i="2"/>
  <c r="ER506" i="2"/>
  <c r="EQ506" i="2"/>
  <c r="FD505" i="2"/>
  <c r="FC505" i="2"/>
  <c r="FB505" i="2"/>
  <c r="V28" i="55" s="1"/>
  <c r="FA505" i="2"/>
  <c r="U28" i="55" s="1"/>
  <c r="EZ505" i="2"/>
  <c r="EY505" i="2"/>
  <c r="EX505" i="2"/>
  <c r="EW505" i="2"/>
  <c r="EV505" i="2"/>
  <c r="EU505" i="2"/>
  <c r="ET505" i="2"/>
  <c r="ES505" i="2"/>
  <c r="ER505" i="2"/>
  <c r="EQ505" i="2"/>
  <c r="FD504" i="2"/>
  <c r="FC504" i="2"/>
  <c r="FB504" i="2"/>
  <c r="V27" i="55" s="1"/>
  <c r="FA504" i="2"/>
  <c r="U27" i="55" s="1"/>
  <c r="EZ504" i="2"/>
  <c r="EY504" i="2"/>
  <c r="EX504" i="2"/>
  <c r="EW504" i="2"/>
  <c r="EV504" i="2"/>
  <c r="EU504" i="2"/>
  <c r="ET504" i="2"/>
  <c r="ES504" i="2"/>
  <c r="ER504" i="2"/>
  <c r="EQ504" i="2"/>
  <c r="FD503" i="2"/>
  <c r="FC503" i="2"/>
  <c r="FB503" i="2"/>
  <c r="V26" i="55" s="1"/>
  <c r="FA503" i="2"/>
  <c r="U26" i="55" s="1"/>
  <c r="EZ503" i="2"/>
  <c r="EY503" i="2"/>
  <c r="EX503" i="2"/>
  <c r="EW503" i="2"/>
  <c r="EV503" i="2"/>
  <c r="EU503" i="2"/>
  <c r="ET503" i="2"/>
  <c r="ES503" i="2"/>
  <c r="ER503" i="2"/>
  <c r="EQ503" i="2"/>
  <c r="FD502" i="2"/>
  <c r="FC502" i="2"/>
  <c r="FB502" i="2"/>
  <c r="V25" i="55" s="1"/>
  <c r="FA502" i="2"/>
  <c r="U25" i="55" s="1"/>
  <c r="EZ502" i="2"/>
  <c r="EY502" i="2"/>
  <c r="EX502" i="2"/>
  <c r="EW502" i="2"/>
  <c r="EV502" i="2"/>
  <c r="EU502" i="2"/>
  <c r="ET502" i="2"/>
  <c r="ES502" i="2"/>
  <c r="ER502" i="2"/>
  <c r="EQ502" i="2"/>
  <c r="FD501" i="2"/>
  <c r="FC501" i="2"/>
  <c r="FB501" i="2"/>
  <c r="V24" i="55" s="1"/>
  <c r="FA501" i="2"/>
  <c r="U24" i="55" s="1"/>
  <c r="EZ501" i="2"/>
  <c r="EY501" i="2"/>
  <c r="EX501" i="2"/>
  <c r="EW501" i="2"/>
  <c r="EV501" i="2"/>
  <c r="EU501" i="2"/>
  <c r="ET501" i="2"/>
  <c r="ES501" i="2"/>
  <c r="ER501" i="2"/>
  <c r="EQ501" i="2"/>
  <c r="FD500" i="2"/>
  <c r="FC500" i="2"/>
  <c r="FB500" i="2"/>
  <c r="V23" i="55" s="1"/>
  <c r="FA500" i="2"/>
  <c r="U23" i="55" s="1"/>
  <c r="EZ500" i="2"/>
  <c r="EY500" i="2"/>
  <c r="EX500" i="2"/>
  <c r="EW500" i="2"/>
  <c r="EV500" i="2"/>
  <c r="EU500" i="2"/>
  <c r="ET500" i="2"/>
  <c r="ES500" i="2"/>
  <c r="ER500" i="2"/>
  <c r="EQ500" i="2"/>
  <c r="FD499" i="2"/>
  <c r="FC499" i="2"/>
  <c r="FB499" i="2"/>
  <c r="V22" i="55" s="1"/>
  <c r="FA499" i="2"/>
  <c r="U22" i="55" s="1"/>
  <c r="EZ499" i="2"/>
  <c r="EY499" i="2"/>
  <c r="EX499" i="2"/>
  <c r="EW499" i="2"/>
  <c r="EV499" i="2"/>
  <c r="EU499" i="2"/>
  <c r="ET499" i="2"/>
  <c r="ES499" i="2"/>
  <c r="ER499" i="2"/>
  <c r="EQ499" i="2"/>
  <c r="FD498" i="2"/>
  <c r="FC498" i="2"/>
  <c r="FB498" i="2"/>
  <c r="V21" i="55" s="1"/>
  <c r="FA498" i="2"/>
  <c r="U21" i="55" s="1"/>
  <c r="EZ498" i="2"/>
  <c r="EY498" i="2"/>
  <c r="EX498" i="2"/>
  <c r="EW498" i="2"/>
  <c r="EV498" i="2"/>
  <c r="EU498" i="2"/>
  <c r="ET498" i="2"/>
  <c r="ES498" i="2"/>
  <c r="ER498" i="2"/>
  <c r="EQ498" i="2"/>
  <c r="FD497" i="2"/>
  <c r="FC497" i="2"/>
  <c r="FB497" i="2"/>
  <c r="V20" i="55" s="1"/>
  <c r="FA497" i="2"/>
  <c r="U20" i="55" s="1"/>
  <c r="AB15" i="54" s="1"/>
  <c r="EZ497" i="2"/>
  <c r="EY497" i="2"/>
  <c r="EX497" i="2"/>
  <c r="EW497" i="2"/>
  <c r="EV497" i="2"/>
  <c r="EU497" i="2"/>
  <c r="ET497" i="2"/>
  <c r="ES497" i="2"/>
  <c r="ER497" i="2"/>
  <c r="EQ497" i="2"/>
  <c r="FD496" i="2"/>
  <c r="FC496" i="2"/>
  <c r="FB496" i="2"/>
  <c r="V19" i="55" s="1"/>
  <c r="FA496" i="2"/>
  <c r="U19" i="55" s="1"/>
  <c r="EZ496" i="2"/>
  <c r="EY496" i="2"/>
  <c r="EX496" i="2"/>
  <c r="EW496" i="2"/>
  <c r="EV496" i="2"/>
  <c r="EU496" i="2"/>
  <c r="ET496" i="2"/>
  <c r="ES496" i="2"/>
  <c r="ER496" i="2"/>
  <c r="EQ496" i="2"/>
  <c r="FD495" i="2"/>
  <c r="FC495" i="2"/>
  <c r="FB495" i="2"/>
  <c r="V18" i="55" s="1"/>
  <c r="FA495" i="2"/>
  <c r="U18" i="55" s="1"/>
  <c r="EZ495" i="2"/>
  <c r="EY495" i="2"/>
  <c r="EX495" i="2"/>
  <c r="EW495" i="2"/>
  <c r="EV495" i="2"/>
  <c r="EU495" i="2"/>
  <c r="ET495" i="2"/>
  <c r="ES495" i="2"/>
  <c r="ER495" i="2"/>
  <c r="EQ495" i="2"/>
  <c r="FD494" i="2"/>
  <c r="FC494" i="2"/>
  <c r="FB494" i="2"/>
  <c r="V17" i="55" s="1"/>
  <c r="FA494" i="2"/>
  <c r="U17" i="55" s="1"/>
  <c r="EZ494" i="2"/>
  <c r="EY494" i="2"/>
  <c r="EX494" i="2"/>
  <c r="EW494" i="2"/>
  <c r="EV494" i="2"/>
  <c r="EU494" i="2"/>
  <c r="ET494" i="2"/>
  <c r="ES494" i="2"/>
  <c r="ER494" i="2"/>
  <c r="EQ494" i="2"/>
  <c r="FD493" i="2"/>
  <c r="FC493" i="2"/>
  <c r="FB493" i="2"/>
  <c r="V16" i="55" s="1"/>
  <c r="FA493" i="2"/>
  <c r="U16" i="55" s="1"/>
  <c r="EZ493" i="2"/>
  <c r="EY493" i="2"/>
  <c r="EX493" i="2"/>
  <c r="EW493" i="2"/>
  <c r="EV493" i="2"/>
  <c r="EU493" i="2"/>
  <c r="ET493" i="2"/>
  <c r="ES493" i="2"/>
  <c r="ER493" i="2"/>
  <c r="EQ493" i="2"/>
  <c r="FD492" i="2"/>
  <c r="FC492" i="2"/>
  <c r="FB492" i="2"/>
  <c r="V15" i="55" s="1"/>
  <c r="FA492" i="2"/>
  <c r="U15" i="55" s="1"/>
  <c r="EZ492" i="2"/>
  <c r="EY492" i="2"/>
  <c r="EX492" i="2"/>
  <c r="EW492" i="2"/>
  <c r="EV492" i="2"/>
  <c r="EU492" i="2"/>
  <c r="ET492" i="2"/>
  <c r="ES492" i="2"/>
  <c r="ER492" i="2"/>
  <c r="EQ492" i="2"/>
  <c r="FD491" i="2"/>
  <c r="FC491" i="2"/>
  <c r="FB491" i="2"/>
  <c r="V14" i="55" s="1"/>
  <c r="FA491" i="2"/>
  <c r="U14" i="55" s="1"/>
  <c r="EZ491" i="2"/>
  <c r="EY491" i="2"/>
  <c r="EX491" i="2"/>
  <c r="EW491" i="2"/>
  <c r="EV491" i="2"/>
  <c r="EU491" i="2"/>
  <c r="ET491" i="2"/>
  <c r="ES491" i="2"/>
  <c r="ER491" i="2"/>
  <c r="EQ491" i="2"/>
  <c r="FD490" i="2"/>
  <c r="FC490" i="2"/>
  <c r="FB490" i="2"/>
  <c r="V13" i="55" s="1"/>
  <c r="FA490" i="2"/>
  <c r="U13" i="55" s="1"/>
  <c r="EZ490" i="2"/>
  <c r="EY490" i="2"/>
  <c r="EX490" i="2"/>
  <c r="EW490" i="2"/>
  <c r="EV490" i="2"/>
  <c r="EU490" i="2"/>
  <c r="ET490" i="2"/>
  <c r="ES490" i="2"/>
  <c r="ER490" i="2"/>
  <c r="EQ490" i="2"/>
  <c r="FD489" i="2"/>
  <c r="FC489" i="2"/>
  <c r="FB489" i="2"/>
  <c r="V12" i="55" s="1"/>
  <c r="FA489" i="2"/>
  <c r="U12" i="55" s="1"/>
  <c r="EZ489" i="2"/>
  <c r="EY489" i="2"/>
  <c r="EX489" i="2"/>
  <c r="EW489" i="2"/>
  <c r="EV489" i="2"/>
  <c r="EU489" i="2"/>
  <c r="ET489" i="2"/>
  <c r="ES489" i="2"/>
  <c r="ER489" i="2"/>
  <c r="EQ489" i="2"/>
  <c r="FD488" i="2"/>
  <c r="FC488" i="2"/>
  <c r="FB488" i="2"/>
  <c r="V11" i="55" s="1"/>
  <c r="FA488" i="2"/>
  <c r="U11" i="55" s="1"/>
  <c r="EZ488" i="2"/>
  <c r="EY488" i="2"/>
  <c r="EX488" i="2"/>
  <c r="EW488" i="2"/>
  <c r="EV488" i="2"/>
  <c r="EU488" i="2"/>
  <c r="ET488" i="2"/>
  <c r="ES488" i="2"/>
  <c r="ER488" i="2"/>
  <c r="EQ488" i="2"/>
  <c r="FD487" i="2"/>
  <c r="FC487" i="2"/>
  <c r="FB487" i="2"/>
  <c r="V10" i="55" s="1"/>
  <c r="FA487" i="2"/>
  <c r="U10" i="55" s="1"/>
  <c r="EZ487" i="2"/>
  <c r="EY487" i="2"/>
  <c r="EX487" i="2"/>
  <c r="EW487" i="2"/>
  <c r="EV487" i="2"/>
  <c r="EU487" i="2"/>
  <c r="ET487" i="2"/>
  <c r="ES487" i="2"/>
  <c r="ER487" i="2"/>
  <c r="EQ487" i="2"/>
  <c r="FD486" i="2"/>
  <c r="FC486" i="2"/>
  <c r="FB486" i="2"/>
  <c r="V9" i="55" s="1"/>
  <c r="FA486" i="2"/>
  <c r="U9" i="55" s="1"/>
  <c r="EZ486" i="2"/>
  <c r="EY486" i="2"/>
  <c r="EX486" i="2"/>
  <c r="EW486" i="2"/>
  <c r="EV486" i="2"/>
  <c r="EU486" i="2"/>
  <c r="ET486" i="2"/>
  <c r="ES486" i="2"/>
  <c r="ER486" i="2"/>
  <c r="EQ486" i="2"/>
  <c r="FD485" i="2"/>
  <c r="FC485" i="2"/>
  <c r="FB485" i="2"/>
  <c r="V8" i="55" s="1"/>
  <c r="FA485" i="2"/>
  <c r="U8" i="55" s="1"/>
  <c r="EZ485" i="2"/>
  <c r="EY485" i="2"/>
  <c r="EX485" i="2"/>
  <c r="EW485" i="2"/>
  <c r="EV485" i="2"/>
  <c r="EU485" i="2"/>
  <c r="ET485" i="2"/>
  <c r="ES485" i="2"/>
  <c r="ER485" i="2"/>
  <c r="EQ485" i="2"/>
  <c r="EN521" i="2"/>
  <c r="EM521" i="2"/>
  <c r="EL521" i="2"/>
  <c r="EK521" i="2"/>
  <c r="EJ521" i="2"/>
  <c r="T44" i="50" s="1"/>
  <c r="EI521" i="2"/>
  <c r="S44" i="50" s="1"/>
  <c r="EH521" i="2"/>
  <c r="EG521" i="2"/>
  <c r="EF521" i="2"/>
  <c r="EE521" i="2"/>
  <c r="ED521" i="2"/>
  <c r="EC521" i="2"/>
  <c r="EB521" i="2"/>
  <c r="EA521" i="2"/>
  <c r="EN520" i="2"/>
  <c r="EM520" i="2"/>
  <c r="EL520" i="2"/>
  <c r="EK520" i="2"/>
  <c r="EJ520" i="2"/>
  <c r="T43" i="50" s="1"/>
  <c r="EI520" i="2"/>
  <c r="S43" i="50" s="1"/>
  <c r="EH520" i="2"/>
  <c r="EG520" i="2"/>
  <c r="EF520" i="2"/>
  <c r="EE520" i="2"/>
  <c r="ED520" i="2"/>
  <c r="EC520" i="2"/>
  <c r="EB520" i="2"/>
  <c r="EA520" i="2"/>
  <c r="EN519" i="2"/>
  <c r="EM519" i="2"/>
  <c r="EL519" i="2"/>
  <c r="EK519" i="2"/>
  <c r="EJ519" i="2"/>
  <c r="T42" i="50" s="1"/>
  <c r="EI519" i="2"/>
  <c r="S42" i="50" s="1"/>
  <c r="EH519" i="2"/>
  <c r="EG519" i="2"/>
  <c r="EF519" i="2"/>
  <c r="EE519" i="2"/>
  <c r="ED519" i="2"/>
  <c r="EC519" i="2"/>
  <c r="EB519" i="2"/>
  <c r="EA519" i="2"/>
  <c r="EN518" i="2"/>
  <c r="EM518" i="2"/>
  <c r="EL518" i="2"/>
  <c r="EK518" i="2"/>
  <c r="EJ518" i="2"/>
  <c r="T41" i="50" s="1"/>
  <c r="EI518" i="2"/>
  <c r="S41" i="50" s="1"/>
  <c r="EH518" i="2"/>
  <c r="EG518" i="2"/>
  <c r="EF518" i="2"/>
  <c r="EE518" i="2"/>
  <c r="ED518" i="2"/>
  <c r="EC518" i="2"/>
  <c r="EB518" i="2"/>
  <c r="EA518" i="2"/>
  <c r="EN517" i="2"/>
  <c r="EM517" i="2"/>
  <c r="EL517" i="2"/>
  <c r="EK517" i="2"/>
  <c r="EJ517" i="2"/>
  <c r="T40" i="50" s="1"/>
  <c r="EI517" i="2"/>
  <c r="S40" i="50" s="1"/>
  <c r="EH517" i="2"/>
  <c r="EG517" i="2"/>
  <c r="EF517" i="2"/>
  <c r="EE517" i="2"/>
  <c r="ED517" i="2"/>
  <c r="EC517" i="2"/>
  <c r="EB517" i="2"/>
  <c r="EA517" i="2"/>
  <c r="EN516" i="2"/>
  <c r="EM516" i="2"/>
  <c r="EL516" i="2"/>
  <c r="EK516" i="2"/>
  <c r="EJ516" i="2"/>
  <c r="T39" i="50" s="1"/>
  <c r="EI516" i="2"/>
  <c r="S39" i="50" s="1"/>
  <c r="EH516" i="2"/>
  <c r="EG516" i="2"/>
  <c r="EF516" i="2"/>
  <c r="EE516" i="2"/>
  <c r="ED516" i="2"/>
  <c r="EC516" i="2"/>
  <c r="EB516" i="2"/>
  <c r="EA516" i="2"/>
  <c r="EN515" i="2"/>
  <c r="EM515" i="2"/>
  <c r="EL515" i="2"/>
  <c r="EK515" i="2"/>
  <c r="EJ515" i="2"/>
  <c r="T38" i="50" s="1"/>
  <c r="EI515" i="2"/>
  <c r="S38" i="50" s="1"/>
  <c r="EH515" i="2"/>
  <c r="EG515" i="2"/>
  <c r="EF515" i="2"/>
  <c r="EE515" i="2"/>
  <c r="ED515" i="2"/>
  <c r="EC515" i="2"/>
  <c r="EB515" i="2"/>
  <c r="EA515" i="2"/>
  <c r="EN514" i="2"/>
  <c r="EM514" i="2"/>
  <c r="EL514" i="2"/>
  <c r="EK514" i="2"/>
  <c r="EJ514" i="2"/>
  <c r="T37" i="50" s="1"/>
  <c r="EI514" i="2"/>
  <c r="S37" i="50" s="1"/>
  <c r="EH514" i="2"/>
  <c r="EG514" i="2"/>
  <c r="EF514" i="2"/>
  <c r="EE514" i="2"/>
  <c r="ED514" i="2"/>
  <c r="EC514" i="2"/>
  <c r="EB514" i="2"/>
  <c r="EA514" i="2"/>
  <c r="EN513" i="2"/>
  <c r="EM513" i="2"/>
  <c r="EL513" i="2"/>
  <c r="EK513" i="2"/>
  <c r="EJ513" i="2"/>
  <c r="EI513" i="2"/>
  <c r="EH513" i="2"/>
  <c r="EG513" i="2"/>
  <c r="EF513" i="2"/>
  <c r="EE513" i="2"/>
  <c r="ED513" i="2"/>
  <c r="EC513" i="2"/>
  <c r="EB513" i="2"/>
  <c r="EA513" i="2"/>
  <c r="EN512" i="2"/>
  <c r="EM512" i="2"/>
  <c r="EL512" i="2"/>
  <c r="EK512" i="2"/>
  <c r="EJ512" i="2"/>
  <c r="EI512" i="2"/>
  <c r="EH512" i="2"/>
  <c r="EG512" i="2"/>
  <c r="EF512" i="2"/>
  <c r="EE512" i="2"/>
  <c r="ED512" i="2"/>
  <c r="EC512" i="2"/>
  <c r="EB512" i="2"/>
  <c r="EA512" i="2"/>
  <c r="EN511" i="2"/>
  <c r="EM511" i="2"/>
  <c r="EL511" i="2"/>
  <c r="EK511" i="2"/>
  <c r="EJ511" i="2"/>
  <c r="EI511" i="2"/>
  <c r="EH511" i="2"/>
  <c r="EG511" i="2"/>
  <c r="EF511" i="2"/>
  <c r="EE511" i="2"/>
  <c r="ED511" i="2"/>
  <c r="EC511" i="2"/>
  <c r="EB511" i="2"/>
  <c r="EA511" i="2"/>
  <c r="EN510" i="2"/>
  <c r="EM510" i="2"/>
  <c r="EL510" i="2"/>
  <c r="EK510" i="2"/>
  <c r="EJ510" i="2"/>
  <c r="EI510" i="2"/>
  <c r="EH510" i="2"/>
  <c r="EG510" i="2"/>
  <c r="EF510" i="2"/>
  <c r="EE510" i="2"/>
  <c r="ED510" i="2"/>
  <c r="EC510" i="2"/>
  <c r="EB510" i="2"/>
  <c r="EA510" i="2"/>
  <c r="EN509" i="2"/>
  <c r="EM509" i="2"/>
  <c r="EL509" i="2"/>
  <c r="EK509" i="2"/>
  <c r="EJ509" i="2"/>
  <c r="EI509" i="2"/>
  <c r="EH509" i="2"/>
  <c r="EG509" i="2"/>
  <c r="EF509" i="2"/>
  <c r="EE509" i="2"/>
  <c r="ED509" i="2"/>
  <c r="EC509" i="2"/>
  <c r="EB509" i="2"/>
  <c r="EA509" i="2"/>
  <c r="EN508" i="2"/>
  <c r="EM508" i="2"/>
  <c r="EL508" i="2"/>
  <c r="EK508" i="2"/>
  <c r="EJ508" i="2"/>
  <c r="EI508" i="2"/>
  <c r="EH508" i="2"/>
  <c r="EG508" i="2"/>
  <c r="EF508" i="2"/>
  <c r="EE508" i="2"/>
  <c r="ED508" i="2"/>
  <c r="EC508" i="2"/>
  <c r="EB508" i="2"/>
  <c r="EA508" i="2"/>
  <c r="EN507" i="2"/>
  <c r="EM507" i="2"/>
  <c r="EL507" i="2"/>
  <c r="EK507" i="2"/>
  <c r="EJ507" i="2"/>
  <c r="EI507" i="2"/>
  <c r="EH507" i="2"/>
  <c r="EG507" i="2"/>
  <c r="EF507" i="2"/>
  <c r="EE507" i="2"/>
  <c r="ED507" i="2"/>
  <c r="EC507" i="2"/>
  <c r="EB507" i="2"/>
  <c r="EA507" i="2"/>
  <c r="EN506" i="2"/>
  <c r="EM506" i="2"/>
  <c r="EL506" i="2"/>
  <c r="EK506" i="2"/>
  <c r="EJ506" i="2"/>
  <c r="EI506" i="2"/>
  <c r="EH506" i="2"/>
  <c r="EG506" i="2"/>
  <c r="EF506" i="2"/>
  <c r="EE506" i="2"/>
  <c r="ED506" i="2"/>
  <c r="EC506" i="2"/>
  <c r="EB506" i="2"/>
  <c r="EA506" i="2"/>
  <c r="EN505" i="2"/>
  <c r="EM505" i="2"/>
  <c r="EL505" i="2"/>
  <c r="EK505" i="2"/>
  <c r="EJ505" i="2"/>
  <c r="EI505" i="2"/>
  <c r="EH505" i="2"/>
  <c r="EG505" i="2"/>
  <c r="EF505" i="2"/>
  <c r="EE505" i="2"/>
  <c r="ED505" i="2"/>
  <c r="EC505" i="2"/>
  <c r="EB505" i="2"/>
  <c r="EA505" i="2"/>
  <c r="EN504" i="2"/>
  <c r="EM504" i="2"/>
  <c r="EL504" i="2"/>
  <c r="EK504" i="2"/>
  <c r="EJ504" i="2"/>
  <c r="EI504" i="2"/>
  <c r="EH504" i="2"/>
  <c r="EG504" i="2"/>
  <c r="EF504" i="2"/>
  <c r="EE504" i="2"/>
  <c r="ED504" i="2"/>
  <c r="EC504" i="2"/>
  <c r="EB504" i="2"/>
  <c r="EA504" i="2"/>
  <c r="EN503" i="2"/>
  <c r="EM503" i="2"/>
  <c r="EL503" i="2"/>
  <c r="EK503" i="2"/>
  <c r="EJ503" i="2"/>
  <c r="EI503" i="2"/>
  <c r="EH503" i="2"/>
  <c r="EG503" i="2"/>
  <c r="EF503" i="2"/>
  <c r="EE503" i="2"/>
  <c r="ED503" i="2"/>
  <c r="EC503" i="2"/>
  <c r="EB503" i="2"/>
  <c r="EA503" i="2"/>
  <c r="EN502" i="2"/>
  <c r="EM502" i="2"/>
  <c r="EL502" i="2"/>
  <c r="EK502" i="2"/>
  <c r="EJ502" i="2"/>
  <c r="EI502" i="2"/>
  <c r="EH502" i="2"/>
  <c r="EG502" i="2"/>
  <c r="EF502" i="2"/>
  <c r="EE502" i="2"/>
  <c r="ED502" i="2"/>
  <c r="EC502" i="2"/>
  <c r="EB502" i="2"/>
  <c r="EA502" i="2"/>
  <c r="EN501" i="2"/>
  <c r="EM501" i="2"/>
  <c r="EL501" i="2"/>
  <c r="EK501" i="2"/>
  <c r="EJ501" i="2"/>
  <c r="EI501" i="2"/>
  <c r="EH501" i="2"/>
  <c r="EG501" i="2"/>
  <c r="EF501" i="2"/>
  <c r="EE501" i="2"/>
  <c r="ED501" i="2"/>
  <c r="EC501" i="2"/>
  <c r="EB501" i="2"/>
  <c r="EA501" i="2"/>
  <c r="EN500" i="2"/>
  <c r="EM500" i="2"/>
  <c r="EL500" i="2"/>
  <c r="EK500" i="2"/>
  <c r="EJ500" i="2"/>
  <c r="EI500" i="2"/>
  <c r="EH500" i="2"/>
  <c r="EG500" i="2"/>
  <c r="EF500" i="2"/>
  <c r="EE500" i="2"/>
  <c r="ED500" i="2"/>
  <c r="EC500" i="2"/>
  <c r="EB500" i="2"/>
  <c r="EA500" i="2"/>
  <c r="EN499" i="2"/>
  <c r="EM499" i="2"/>
  <c r="EL499" i="2"/>
  <c r="EK499" i="2"/>
  <c r="EJ499" i="2"/>
  <c r="EI499" i="2"/>
  <c r="EH499" i="2"/>
  <c r="EG499" i="2"/>
  <c r="EF499" i="2"/>
  <c r="EE499" i="2"/>
  <c r="ED499" i="2"/>
  <c r="EC499" i="2"/>
  <c r="EB499" i="2"/>
  <c r="EA499" i="2"/>
  <c r="EN498" i="2"/>
  <c r="EM498" i="2"/>
  <c r="EL498" i="2"/>
  <c r="EK498" i="2"/>
  <c r="EJ498" i="2"/>
  <c r="EI498" i="2"/>
  <c r="EH498" i="2"/>
  <c r="EG498" i="2"/>
  <c r="EF498" i="2"/>
  <c r="EE498" i="2"/>
  <c r="ED498" i="2"/>
  <c r="EC498" i="2"/>
  <c r="EB498" i="2"/>
  <c r="EA498" i="2"/>
  <c r="EN497" i="2"/>
  <c r="EM497" i="2"/>
  <c r="EL497" i="2"/>
  <c r="EK497" i="2"/>
  <c r="EJ497" i="2"/>
  <c r="EI497" i="2"/>
  <c r="EH497" i="2"/>
  <c r="EG497" i="2"/>
  <c r="EF497" i="2"/>
  <c r="EE497" i="2"/>
  <c r="ED497" i="2"/>
  <c r="EC497" i="2"/>
  <c r="EB497" i="2"/>
  <c r="EA497" i="2"/>
  <c r="EN496" i="2"/>
  <c r="EM496" i="2"/>
  <c r="EL496" i="2"/>
  <c r="EK496" i="2"/>
  <c r="EJ496" i="2"/>
  <c r="EI496" i="2"/>
  <c r="EH496" i="2"/>
  <c r="EG496" i="2"/>
  <c r="EF496" i="2"/>
  <c r="EE496" i="2"/>
  <c r="ED496" i="2"/>
  <c r="EC496" i="2"/>
  <c r="EB496" i="2"/>
  <c r="EA496" i="2"/>
  <c r="EN495" i="2"/>
  <c r="EM495" i="2"/>
  <c r="EL495" i="2"/>
  <c r="EK495" i="2"/>
  <c r="EJ495" i="2"/>
  <c r="EI495" i="2"/>
  <c r="EH495" i="2"/>
  <c r="EG495" i="2"/>
  <c r="EF495" i="2"/>
  <c r="EE495" i="2"/>
  <c r="ED495" i="2"/>
  <c r="EC495" i="2"/>
  <c r="EB495" i="2"/>
  <c r="EA495" i="2"/>
  <c r="EN494" i="2"/>
  <c r="EM494" i="2"/>
  <c r="EL494" i="2"/>
  <c r="EK494" i="2"/>
  <c r="EJ494" i="2"/>
  <c r="EI494" i="2"/>
  <c r="EH494" i="2"/>
  <c r="EG494" i="2"/>
  <c r="EF494" i="2"/>
  <c r="EE494" i="2"/>
  <c r="ED494" i="2"/>
  <c r="EC494" i="2"/>
  <c r="EB494" i="2"/>
  <c r="EA494" i="2"/>
  <c r="EN493" i="2"/>
  <c r="EM493" i="2"/>
  <c r="EL493" i="2"/>
  <c r="EK493" i="2"/>
  <c r="EJ493" i="2"/>
  <c r="EI493" i="2"/>
  <c r="EH493" i="2"/>
  <c r="EG493" i="2"/>
  <c r="EF493" i="2"/>
  <c r="EE493" i="2"/>
  <c r="ED493" i="2"/>
  <c r="EC493" i="2"/>
  <c r="EB493" i="2"/>
  <c r="EA493" i="2"/>
  <c r="EN492" i="2"/>
  <c r="EM492" i="2"/>
  <c r="EL492" i="2"/>
  <c r="EK492" i="2"/>
  <c r="EJ492" i="2"/>
  <c r="EI492" i="2"/>
  <c r="EH492" i="2"/>
  <c r="EG492" i="2"/>
  <c r="EF492" i="2"/>
  <c r="EE492" i="2"/>
  <c r="ED492" i="2"/>
  <c r="EC492" i="2"/>
  <c r="EB492" i="2"/>
  <c r="EA492" i="2"/>
  <c r="EN491" i="2"/>
  <c r="EM491" i="2"/>
  <c r="EL491" i="2"/>
  <c r="EK491" i="2"/>
  <c r="EJ491" i="2"/>
  <c r="EI491" i="2"/>
  <c r="EH491" i="2"/>
  <c r="EG491" i="2"/>
  <c r="EF491" i="2"/>
  <c r="EE491" i="2"/>
  <c r="ED491" i="2"/>
  <c r="EC491" i="2"/>
  <c r="EB491" i="2"/>
  <c r="EA491" i="2"/>
  <c r="EN490" i="2"/>
  <c r="EM490" i="2"/>
  <c r="EL490" i="2"/>
  <c r="EK490" i="2"/>
  <c r="EJ490" i="2"/>
  <c r="EI490" i="2"/>
  <c r="EH490" i="2"/>
  <c r="EG490" i="2"/>
  <c r="EF490" i="2"/>
  <c r="EE490" i="2"/>
  <c r="ED490" i="2"/>
  <c r="EC490" i="2"/>
  <c r="EB490" i="2"/>
  <c r="EA490" i="2"/>
  <c r="EN489" i="2"/>
  <c r="EM489" i="2"/>
  <c r="EL489" i="2"/>
  <c r="EK489" i="2"/>
  <c r="EJ489" i="2"/>
  <c r="EI489" i="2"/>
  <c r="EH489" i="2"/>
  <c r="EG489" i="2"/>
  <c r="EF489" i="2"/>
  <c r="EE489" i="2"/>
  <c r="ED489" i="2"/>
  <c r="EC489" i="2"/>
  <c r="EB489" i="2"/>
  <c r="EA489" i="2"/>
  <c r="EN488" i="2"/>
  <c r="EM488" i="2"/>
  <c r="EL488" i="2"/>
  <c r="EK488" i="2"/>
  <c r="EJ488" i="2"/>
  <c r="EI488" i="2"/>
  <c r="EH488" i="2"/>
  <c r="EG488" i="2"/>
  <c r="EF488" i="2"/>
  <c r="EE488" i="2"/>
  <c r="ED488" i="2"/>
  <c r="EC488" i="2"/>
  <c r="EB488" i="2"/>
  <c r="EA488" i="2"/>
  <c r="EN487" i="2"/>
  <c r="EM487" i="2"/>
  <c r="EL487" i="2"/>
  <c r="EK487" i="2"/>
  <c r="EJ487" i="2"/>
  <c r="EI487" i="2"/>
  <c r="EH487" i="2"/>
  <c r="EG487" i="2"/>
  <c r="EF487" i="2"/>
  <c r="EE487" i="2"/>
  <c r="ED487" i="2"/>
  <c r="EC487" i="2"/>
  <c r="EB487" i="2"/>
  <c r="EA487" i="2"/>
  <c r="EN486" i="2"/>
  <c r="EM486" i="2"/>
  <c r="EL486" i="2"/>
  <c r="EK486" i="2"/>
  <c r="EJ486" i="2"/>
  <c r="EI486" i="2"/>
  <c r="EH486" i="2"/>
  <c r="EG486" i="2"/>
  <c r="EF486" i="2"/>
  <c r="EE486" i="2"/>
  <c r="ED486" i="2"/>
  <c r="EC486" i="2"/>
  <c r="EB486" i="2"/>
  <c r="EA486" i="2"/>
  <c r="EN485" i="2"/>
  <c r="EM485" i="2"/>
  <c r="EL485" i="2"/>
  <c r="EK485" i="2"/>
  <c r="EJ485" i="2"/>
  <c r="EI485" i="2"/>
  <c r="EH485" i="2"/>
  <c r="EG485" i="2"/>
  <c r="EF485" i="2"/>
  <c r="EE485" i="2"/>
  <c r="ED485" i="2"/>
  <c r="EC485" i="2"/>
  <c r="EB485" i="2"/>
  <c r="EA485" i="2"/>
  <c r="DX521" i="2"/>
  <c r="DW521" i="2"/>
  <c r="DV521" i="2"/>
  <c r="DU521" i="2"/>
  <c r="DT521" i="2"/>
  <c r="R44" i="50" s="1"/>
  <c r="DS521" i="2"/>
  <c r="Q44" i="50" s="1"/>
  <c r="DR521" i="2"/>
  <c r="DQ521" i="2"/>
  <c r="DP521" i="2"/>
  <c r="DO521" i="2"/>
  <c r="DN521" i="2"/>
  <c r="DM521" i="2"/>
  <c r="DL521" i="2"/>
  <c r="DK521" i="2"/>
  <c r="DX520" i="2"/>
  <c r="DW520" i="2"/>
  <c r="DV520" i="2"/>
  <c r="DU520" i="2"/>
  <c r="DT520" i="2"/>
  <c r="R43" i="50" s="1"/>
  <c r="DS520" i="2"/>
  <c r="Q43" i="50" s="1"/>
  <c r="DR520" i="2"/>
  <c r="DQ520" i="2"/>
  <c r="DP520" i="2"/>
  <c r="DO520" i="2"/>
  <c r="DN520" i="2"/>
  <c r="DM520" i="2"/>
  <c r="DL520" i="2"/>
  <c r="DK520" i="2"/>
  <c r="DX519" i="2"/>
  <c r="DW519" i="2"/>
  <c r="DV519" i="2"/>
  <c r="DU519" i="2"/>
  <c r="DT519" i="2"/>
  <c r="R42" i="50" s="1"/>
  <c r="DS519" i="2"/>
  <c r="Q42" i="50" s="1"/>
  <c r="DR519" i="2"/>
  <c r="DQ519" i="2"/>
  <c r="DP519" i="2"/>
  <c r="DO519" i="2"/>
  <c r="DN519" i="2"/>
  <c r="DM519" i="2"/>
  <c r="DL519" i="2"/>
  <c r="DK519" i="2"/>
  <c r="DX518" i="2"/>
  <c r="DW518" i="2"/>
  <c r="DV518" i="2"/>
  <c r="DU518" i="2"/>
  <c r="DT518" i="2"/>
  <c r="R41" i="50" s="1"/>
  <c r="DS518" i="2"/>
  <c r="Q41" i="50" s="1"/>
  <c r="DR518" i="2"/>
  <c r="DQ518" i="2"/>
  <c r="DP518" i="2"/>
  <c r="DO518" i="2"/>
  <c r="DN518" i="2"/>
  <c r="DM518" i="2"/>
  <c r="DL518" i="2"/>
  <c r="DK518" i="2"/>
  <c r="DX517" i="2"/>
  <c r="DW517" i="2"/>
  <c r="DV517" i="2"/>
  <c r="DU517" i="2"/>
  <c r="DT517" i="2"/>
  <c r="R40" i="50" s="1"/>
  <c r="DS517" i="2"/>
  <c r="Q40" i="50" s="1"/>
  <c r="DR517" i="2"/>
  <c r="DQ517" i="2"/>
  <c r="DP517" i="2"/>
  <c r="DO517" i="2"/>
  <c r="DN517" i="2"/>
  <c r="DM517" i="2"/>
  <c r="DL517" i="2"/>
  <c r="DK517" i="2"/>
  <c r="DX516" i="2"/>
  <c r="DW516" i="2"/>
  <c r="DV516" i="2"/>
  <c r="DU516" i="2"/>
  <c r="DT516" i="2"/>
  <c r="R39" i="50" s="1"/>
  <c r="DS516" i="2"/>
  <c r="Q39" i="50" s="1"/>
  <c r="DR516" i="2"/>
  <c r="DQ516" i="2"/>
  <c r="DP516" i="2"/>
  <c r="DO516" i="2"/>
  <c r="DN516" i="2"/>
  <c r="DM516" i="2"/>
  <c r="DL516" i="2"/>
  <c r="DK516" i="2"/>
  <c r="DX515" i="2"/>
  <c r="DW515" i="2"/>
  <c r="DV515" i="2"/>
  <c r="DU515" i="2"/>
  <c r="DT515" i="2"/>
  <c r="R38" i="50" s="1"/>
  <c r="DS515" i="2"/>
  <c r="Q38" i="50" s="1"/>
  <c r="DR515" i="2"/>
  <c r="DQ515" i="2"/>
  <c r="DP515" i="2"/>
  <c r="DO515" i="2"/>
  <c r="DN515" i="2"/>
  <c r="DM515" i="2"/>
  <c r="DL515" i="2"/>
  <c r="DK515" i="2"/>
  <c r="DX514" i="2"/>
  <c r="DW514" i="2"/>
  <c r="DV514" i="2"/>
  <c r="DU514" i="2"/>
  <c r="DT514" i="2"/>
  <c r="R37" i="50" s="1"/>
  <c r="DS514" i="2"/>
  <c r="Q37" i="50" s="1"/>
  <c r="DR514" i="2"/>
  <c r="DQ514" i="2"/>
  <c r="DP514" i="2"/>
  <c r="DO514" i="2"/>
  <c r="DN514" i="2"/>
  <c r="DM514" i="2"/>
  <c r="DL514" i="2"/>
  <c r="DK514" i="2"/>
  <c r="DX513" i="2"/>
  <c r="DW513" i="2"/>
  <c r="DV513" i="2"/>
  <c r="DU513" i="2"/>
  <c r="DT513" i="2"/>
  <c r="DS513" i="2"/>
  <c r="DR513" i="2"/>
  <c r="DQ513" i="2"/>
  <c r="DP513" i="2"/>
  <c r="DO513" i="2"/>
  <c r="DN513" i="2"/>
  <c r="DM513" i="2"/>
  <c r="DL513" i="2"/>
  <c r="DK513" i="2"/>
  <c r="DX512" i="2"/>
  <c r="DW512" i="2"/>
  <c r="DV512" i="2"/>
  <c r="DU512" i="2"/>
  <c r="DT512" i="2"/>
  <c r="DS512" i="2"/>
  <c r="DR512" i="2"/>
  <c r="DQ512" i="2"/>
  <c r="DP512" i="2"/>
  <c r="DO512" i="2"/>
  <c r="DN512" i="2"/>
  <c r="DM512" i="2"/>
  <c r="DL512" i="2"/>
  <c r="DK512" i="2"/>
  <c r="DX511" i="2"/>
  <c r="DW511" i="2"/>
  <c r="DV511" i="2"/>
  <c r="DU511" i="2"/>
  <c r="DT511" i="2"/>
  <c r="DS511" i="2"/>
  <c r="DR511" i="2"/>
  <c r="DQ511" i="2"/>
  <c r="DP511" i="2"/>
  <c r="DO511" i="2"/>
  <c r="DN511" i="2"/>
  <c r="DM511" i="2"/>
  <c r="DL511" i="2"/>
  <c r="DK511" i="2"/>
  <c r="DX510" i="2"/>
  <c r="DW510" i="2"/>
  <c r="DV510" i="2"/>
  <c r="DU510" i="2"/>
  <c r="DT510" i="2"/>
  <c r="DS510" i="2"/>
  <c r="DR510" i="2"/>
  <c r="DQ510" i="2"/>
  <c r="DP510" i="2"/>
  <c r="DO510" i="2"/>
  <c r="DN510" i="2"/>
  <c r="DM510" i="2"/>
  <c r="DL510" i="2"/>
  <c r="DK510" i="2"/>
  <c r="DX509" i="2"/>
  <c r="DW509" i="2"/>
  <c r="DV509" i="2"/>
  <c r="DU509" i="2"/>
  <c r="DT509" i="2"/>
  <c r="DS509" i="2"/>
  <c r="DR509" i="2"/>
  <c r="DQ509" i="2"/>
  <c r="DP509" i="2"/>
  <c r="DO509" i="2"/>
  <c r="DN509" i="2"/>
  <c r="DM509" i="2"/>
  <c r="DL509" i="2"/>
  <c r="DK509" i="2"/>
  <c r="DX508" i="2"/>
  <c r="DW508" i="2"/>
  <c r="DV508" i="2"/>
  <c r="DU508" i="2"/>
  <c r="DT508" i="2"/>
  <c r="DS508" i="2"/>
  <c r="DR508" i="2"/>
  <c r="DQ508" i="2"/>
  <c r="DP508" i="2"/>
  <c r="DO508" i="2"/>
  <c r="DN508" i="2"/>
  <c r="DM508" i="2"/>
  <c r="DL508" i="2"/>
  <c r="DK508" i="2"/>
  <c r="DX507" i="2"/>
  <c r="DW507" i="2"/>
  <c r="DV507" i="2"/>
  <c r="DU507" i="2"/>
  <c r="DT507" i="2"/>
  <c r="DS507" i="2"/>
  <c r="DR507" i="2"/>
  <c r="DQ507" i="2"/>
  <c r="DP507" i="2"/>
  <c r="DO507" i="2"/>
  <c r="DN507" i="2"/>
  <c r="DM507" i="2"/>
  <c r="DL507" i="2"/>
  <c r="DK507" i="2"/>
  <c r="DX506" i="2"/>
  <c r="DW506" i="2"/>
  <c r="DV506" i="2"/>
  <c r="DU506" i="2"/>
  <c r="DT506" i="2"/>
  <c r="DS506" i="2"/>
  <c r="DR506" i="2"/>
  <c r="DQ506" i="2"/>
  <c r="DP506" i="2"/>
  <c r="DO506" i="2"/>
  <c r="DN506" i="2"/>
  <c r="DM506" i="2"/>
  <c r="DL506" i="2"/>
  <c r="DK506" i="2"/>
  <c r="DX505" i="2"/>
  <c r="DW505" i="2"/>
  <c r="DV505" i="2"/>
  <c r="DU505" i="2"/>
  <c r="DT505" i="2"/>
  <c r="DS505" i="2"/>
  <c r="DR505" i="2"/>
  <c r="DQ505" i="2"/>
  <c r="DP505" i="2"/>
  <c r="DO505" i="2"/>
  <c r="DN505" i="2"/>
  <c r="DM505" i="2"/>
  <c r="DL505" i="2"/>
  <c r="DK505" i="2"/>
  <c r="DX504" i="2"/>
  <c r="DW504" i="2"/>
  <c r="DV504" i="2"/>
  <c r="DU504" i="2"/>
  <c r="DT504" i="2"/>
  <c r="DS504" i="2"/>
  <c r="DR504" i="2"/>
  <c r="DQ504" i="2"/>
  <c r="DP504" i="2"/>
  <c r="DO504" i="2"/>
  <c r="DN504" i="2"/>
  <c r="DM504" i="2"/>
  <c r="DL504" i="2"/>
  <c r="DK504" i="2"/>
  <c r="DX503" i="2"/>
  <c r="DW503" i="2"/>
  <c r="DV503" i="2"/>
  <c r="DU503" i="2"/>
  <c r="DT503" i="2"/>
  <c r="DS503" i="2"/>
  <c r="DR503" i="2"/>
  <c r="DQ503" i="2"/>
  <c r="DP503" i="2"/>
  <c r="DO503" i="2"/>
  <c r="DN503" i="2"/>
  <c r="DM503" i="2"/>
  <c r="DL503" i="2"/>
  <c r="DK503" i="2"/>
  <c r="DX502" i="2"/>
  <c r="DW502" i="2"/>
  <c r="DV502" i="2"/>
  <c r="DU502" i="2"/>
  <c r="DT502" i="2"/>
  <c r="DS502" i="2"/>
  <c r="DR502" i="2"/>
  <c r="DQ502" i="2"/>
  <c r="DP502" i="2"/>
  <c r="DO502" i="2"/>
  <c r="DN502" i="2"/>
  <c r="DM502" i="2"/>
  <c r="DL502" i="2"/>
  <c r="DK502" i="2"/>
  <c r="DX501" i="2"/>
  <c r="DW501" i="2"/>
  <c r="DV501" i="2"/>
  <c r="DU501" i="2"/>
  <c r="DT501" i="2"/>
  <c r="DS501" i="2"/>
  <c r="DR501" i="2"/>
  <c r="DQ501" i="2"/>
  <c r="DP501" i="2"/>
  <c r="DO501" i="2"/>
  <c r="DN501" i="2"/>
  <c r="DM501" i="2"/>
  <c r="DL501" i="2"/>
  <c r="DK501" i="2"/>
  <c r="DX500" i="2"/>
  <c r="DW500" i="2"/>
  <c r="DV500" i="2"/>
  <c r="DU500" i="2"/>
  <c r="DT500" i="2"/>
  <c r="DS500" i="2"/>
  <c r="DR500" i="2"/>
  <c r="DQ500" i="2"/>
  <c r="DP500" i="2"/>
  <c r="DO500" i="2"/>
  <c r="DN500" i="2"/>
  <c r="DM500" i="2"/>
  <c r="DL500" i="2"/>
  <c r="DK500" i="2"/>
  <c r="DX499" i="2"/>
  <c r="DW499" i="2"/>
  <c r="DV499" i="2"/>
  <c r="DU499" i="2"/>
  <c r="DT499" i="2"/>
  <c r="DS499" i="2"/>
  <c r="DR499" i="2"/>
  <c r="DQ499" i="2"/>
  <c r="DP499" i="2"/>
  <c r="DO499" i="2"/>
  <c r="DN499" i="2"/>
  <c r="DM499" i="2"/>
  <c r="DL499" i="2"/>
  <c r="DK499" i="2"/>
  <c r="DX498" i="2"/>
  <c r="DW498" i="2"/>
  <c r="DV498" i="2"/>
  <c r="DU498" i="2"/>
  <c r="DT498" i="2"/>
  <c r="DS498" i="2"/>
  <c r="DR498" i="2"/>
  <c r="DQ498" i="2"/>
  <c r="DP498" i="2"/>
  <c r="DO498" i="2"/>
  <c r="DN498" i="2"/>
  <c r="DM498" i="2"/>
  <c r="DL498" i="2"/>
  <c r="DK498" i="2"/>
  <c r="DX497" i="2"/>
  <c r="DW497" i="2"/>
  <c r="DV497" i="2"/>
  <c r="DU497" i="2"/>
  <c r="DT497" i="2"/>
  <c r="DS497" i="2"/>
  <c r="DR497" i="2"/>
  <c r="DQ497" i="2"/>
  <c r="DP497" i="2"/>
  <c r="DO497" i="2"/>
  <c r="DN497" i="2"/>
  <c r="DM497" i="2"/>
  <c r="DL497" i="2"/>
  <c r="DK497" i="2"/>
  <c r="DX496" i="2"/>
  <c r="DW496" i="2"/>
  <c r="DV496" i="2"/>
  <c r="DU496" i="2"/>
  <c r="DT496" i="2"/>
  <c r="DS496" i="2"/>
  <c r="DR496" i="2"/>
  <c r="DQ496" i="2"/>
  <c r="DP496" i="2"/>
  <c r="DO496" i="2"/>
  <c r="DN496" i="2"/>
  <c r="DM496" i="2"/>
  <c r="DL496" i="2"/>
  <c r="DK496" i="2"/>
  <c r="DX495" i="2"/>
  <c r="DW495" i="2"/>
  <c r="DV495" i="2"/>
  <c r="DU495" i="2"/>
  <c r="DT495" i="2"/>
  <c r="DS495" i="2"/>
  <c r="DR495" i="2"/>
  <c r="DQ495" i="2"/>
  <c r="DP495" i="2"/>
  <c r="DO495" i="2"/>
  <c r="DN495" i="2"/>
  <c r="DM495" i="2"/>
  <c r="DL495" i="2"/>
  <c r="DK495" i="2"/>
  <c r="DX494" i="2"/>
  <c r="DW494" i="2"/>
  <c r="DV494" i="2"/>
  <c r="DU494" i="2"/>
  <c r="DT494" i="2"/>
  <c r="DS494" i="2"/>
  <c r="DR494" i="2"/>
  <c r="DQ494" i="2"/>
  <c r="DP494" i="2"/>
  <c r="DO494" i="2"/>
  <c r="DN494" i="2"/>
  <c r="DM494" i="2"/>
  <c r="DL494" i="2"/>
  <c r="DK494" i="2"/>
  <c r="DX493" i="2"/>
  <c r="DW493" i="2"/>
  <c r="DV493" i="2"/>
  <c r="DU493" i="2"/>
  <c r="DT493" i="2"/>
  <c r="DS493" i="2"/>
  <c r="DR493" i="2"/>
  <c r="DQ493" i="2"/>
  <c r="DP493" i="2"/>
  <c r="DO493" i="2"/>
  <c r="DN493" i="2"/>
  <c r="DM493" i="2"/>
  <c r="DL493" i="2"/>
  <c r="DK493" i="2"/>
  <c r="DX492" i="2"/>
  <c r="DW492" i="2"/>
  <c r="DV492" i="2"/>
  <c r="DU492" i="2"/>
  <c r="DT492" i="2"/>
  <c r="DS492" i="2"/>
  <c r="DR492" i="2"/>
  <c r="DQ492" i="2"/>
  <c r="DP492" i="2"/>
  <c r="DO492" i="2"/>
  <c r="DN492" i="2"/>
  <c r="DM492" i="2"/>
  <c r="DL492" i="2"/>
  <c r="DK492" i="2"/>
  <c r="DX491" i="2"/>
  <c r="DW491" i="2"/>
  <c r="DV491" i="2"/>
  <c r="DU491" i="2"/>
  <c r="DT491" i="2"/>
  <c r="DS491" i="2"/>
  <c r="DR491" i="2"/>
  <c r="DQ491" i="2"/>
  <c r="DP491" i="2"/>
  <c r="DO491" i="2"/>
  <c r="DN491" i="2"/>
  <c r="DM491" i="2"/>
  <c r="DL491" i="2"/>
  <c r="DK491" i="2"/>
  <c r="DX490" i="2"/>
  <c r="DW490" i="2"/>
  <c r="DV490" i="2"/>
  <c r="DU490" i="2"/>
  <c r="DT490" i="2"/>
  <c r="DS490" i="2"/>
  <c r="DR490" i="2"/>
  <c r="DQ490" i="2"/>
  <c r="DP490" i="2"/>
  <c r="DO490" i="2"/>
  <c r="DN490" i="2"/>
  <c r="DM490" i="2"/>
  <c r="DL490" i="2"/>
  <c r="DK490" i="2"/>
  <c r="DX489" i="2"/>
  <c r="DW489" i="2"/>
  <c r="DV489" i="2"/>
  <c r="DU489" i="2"/>
  <c r="DT489" i="2"/>
  <c r="DS489" i="2"/>
  <c r="DR489" i="2"/>
  <c r="DQ489" i="2"/>
  <c r="DP489" i="2"/>
  <c r="DO489" i="2"/>
  <c r="DN489" i="2"/>
  <c r="DM489" i="2"/>
  <c r="DL489" i="2"/>
  <c r="DK489" i="2"/>
  <c r="DX488" i="2"/>
  <c r="DW488" i="2"/>
  <c r="DV488" i="2"/>
  <c r="DU488" i="2"/>
  <c r="DT488" i="2"/>
  <c r="DS488" i="2"/>
  <c r="DR488" i="2"/>
  <c r="DQ488" i="2"/>
  <c r="DP488" i="2"/>
  <c r="DO488" i="2"/>
  <c r="DN488" i="2"/>
  <c r="DM488" i="2"/>
  <c r="DL488" i="2"/>
  <c r="DK488" i="2"/>
  <c r="DX487" i="2"/>
  <c r="DW487" i="2"/>
  <c r="DV487" i="2"/>
  <c r="DU487" i="2"/>
  <c r="DT487" i="2"/>
  <c r="DS487" i="2"/>
  <c r="DR487" i="2"/>
  <c r="DQ487" i="2"/>
  <c r="DP487" i="2"/>
  <c r="DO487" i="2"/>
  <c r="DN487" i="2"/>
  <c r="DM487" i="2"/>
  <c r="DL487" i="2"/>
  <c r="DK487" i="2"/>
  <c r="DX486" i="2"/>
  <c r="DW486" i="2"/>
  <c r="DV486" i="2"/>
  <c r="DU486" i="2"/>
  <c r="DT486" i="2"/>
  <c r="DS486" i="2"/>
  <c r="DR486" i="2"/>
  <c r="DQ486" i="2"/>
  <c r="DP486" i="2"/>
  <c r="DO486" i="2"/>
  <c r="DN486" i="2"/>
  <c r="DM486" i="2"/>
  <c r="DL486" i="2"/>
  <c r="DK486" i="2"/>
  <c r="DX485" i="2"/>
  <c r="DW485" i="2"/>
  <c r="DV485" i="2"/>
  <c r="DU485" i="2"/>
  <c r="DT485" i="2"/>
  <c r="DS485" i="2"/>
  <c r="DR485" i="2"/>
  <c r="DQ485" i="2"/>
  <c r="DP485" i="2"/>
  <c r="DO485" i="2"/>
  <c r="DN485" i="2"/>
  <c r="DM485" i="2"/>
  <c r="DL485" i="2"/>
  <c r="DK485" i="2"/>
  <c r="DH521" i="2"/>
  <c r="DG521" i="2"/>
  <c r="DF521" i="2"/>
  <c r="DE521" i="2"/>
  <c r="DD521" i="2"/>
  <c r="P44" i="50" s="1"/>
  <c r="DC521" i="2"/>
  <c r="O44" i="50" s="1"/>
  <c r="DB521" i="2"/>
  <c r="DA521" i="2"/>
  <c r="CZ521" i="2"/>
  <c r="CY521" i="2"/>
  <c r="CX521" i="2"/>
  <c r="CW521" i="2"/>
  <c r="CV521" i="2"/>
  <c r="CU521" i="2"/>
  <c r="DH520" i="2"/>
  <c r="DG520" i="2"/>
  <c r="DF520" i="2"/>
  <c r="DE520" i="2"/>
  <c r="DD520" i="2"/>
  <c r="P43" i="50" s="1"/>
  <c r="DC520" i="2"/>
  <c r="O43" i="50" s="1"/>
  <c r="DB520" i="2"/>
  <c r="DA520" i="2"/>
  <c r="CZ520" i="2"/>
  <c r="CY520" i="2"/>
  <c r="CX520" i="2"/>
  <c r="CW520" i="2"/>
  <c r="CV520" i="2"/>
  <c r="CU520" i="2"/>
  <c r="DH519" i="2"/>
  <c r="DG519" i="2"/>
  <c r="DF519" i="2"/>
  <c r="DE519" i="2"/>
  <c r="DD519" i="2"/>
  <c r="P42" i="50" s="1"/>
  <c r="DC519" i="2"/>
  <c r="O42" i="50" s="1"/>
  <c r="DB519" i="2"/>
  <c r="DA519" i="2"/>
  <c r="CZ519" i="2"/>
  <c r="CY519" i="2"/>
  <c r="CX519" i="2"/>
  <c r="CW519" i="2"/>
  <c r="CV519" i="2"/>
  <c r="CU519" i="2"/>
  <c r="DH518" i="2"/>
  <c r="DG518" i="2"/>
  <c r="DF518" i="2"/>
  <c r="DE518" i="2"/>
  <c r="DD518" i="2"/>
  <c r="P41" i="50" s="1"/>
  <c r="DC518" i="2"/>
  <c r="O41" i="50" s="1"/>
  <c r="DB518" i="2"/>
  <c r="DA518" i="2"/>
  <c r="CZ518" i="2"/>
  <c r="CY518" i="2"/>
  <c r="CX518" i="2"/>
  <c r="CW518" i="2"/>
  <c r="CV518" i="2"/>
  <c r="CU518" i="2"/>
  <c r="DH517" i="2"/>
  <c r="DG517" i="2"/>
  <c r="DF517" i="2"/>
  <c r="DE517" i="2"/>
  <c r="DD517" i="2"/>
  <c r="P40" i="50" s="1"/>
  <c r="DC517" i="2"/>
  <c r="O40" i="50" s="1"/>
  <c r="DB517" i="2"/>
  <c r="DA517" i="2"/>
  <c r="CZ517" i="2"/>
  <c r="CY517" i="2"/>
  <c r="CX517" i="2"/>
  <c r="CW517" i="2"/>
  <c r="CV517" i="2"/>
  <c r="CU517" i="2"/>
  <c r="DH516" i="2"/>
  <c r="DG516" i="2"/>
  <c r="DF516" i="2"/>
  <c r="DE516" i="2"/>
  <c r="DD516" i="2"/>
  <c r="P39" i="50" s="1"/>
  <c r="DC516" i="2"/>
  <c r="O39" i="50" s="1"/>
  <c r="DB516" i="2"/>
  <c r="DA516" i="2"/>
  <c r="CZ516" i="2"/>
  <c r="CY516" i="2"/>
  <c r="CX516" i="2"/>
  <c r="CW516" i="2"/>
  <c r="CV516" i="2"/>
  <c r="CU516" i="2"/>
  <c r="DH515" i="2"/>
  <c r="DG515" i="2"/>
  <c r="DF515" i="2"/>
  <c r="DE515" i="2"/>
  <c r="DD515" i="2"/>
  <c r="P38" i="50" s="1"/>
  <c r="DC515" i="2"/>
  <c r="O38" i="50" s="1"/>
  <c r="DB515" i="2"/>
  <c r="DA515" i="2"/>
  <c r="CZ515" i="2"/>
  <c r="CY515" i="2"/>
  <c r="CX515" i="2"/>
  <c r="CW515" i="2"/>
  <c r="CV515" i="2"/>
  <c r="CU515" i="2"/>
  <c r="DH514" i="2"/>
  <c r="DG514" i="2"/>
  <c r="DF514" i="2"/>
  <c r="DE514" i="2"/>
  <c r="DD514" i="2"/>
  <c r="P37" i="50" s="1"/>
  <c r="DC514" i="2"/>
  <c r="O37" i="50" s="1"/>
  <c r="DB514" i="2"/>
  <c r="DA514" i="2"/>
  <c r="CZ514" i="2"/>
  <c r="CY514" i="2"/>
  <c r="CX514" i="2"/>
  <c r="CW514" i="2"/>
  <c r="CV514" i="2"/>
  <c r="CU514" i="2"/>
  <c r="DH513" i="2"/>
  <c r="DG513" i="2"/>
  <c r="DF513" i="2"/>
  <c r="DE513" i="2"/>
  <c r="DD513" i="2"/>
  <c r="DC513" i="2"/>
  <c r="DB513" i="2"/>
  <c r="DA513" i="2"/>
  <c r="CZ513" i="2"/>
  <c r="CY513" i="2"/>
  <c r="CX513" i="2"/>
  <c r="CW513" i="2"/>
  <c r="CV513" i="2"/>
  <c r="CU513" i="2"/>
  <c r="DH512" i="2"/>
  <c r="DG512" i="2"/>
  <c r="DF512" i="2"/>
  <c r="DE512" i="2"/>
  <c r="DD512" i="2"/>
  <c r="DC512" i="2"/>
  <c r="DB512" i="2"/>
  <c r="DA512" i="2"/>
  <c r="CZ512" i="2"/>
  <c r="CY512" i="2"/>
  <c r="CX512" i="2"/>
  <c r="CW512" i="2"/>
  <c r="CV512" i="2"/>
  <c r="CU512" i="2"/>
  <c r="DH511" i="2"/>
  <c r="DG511" i="2"/>
  <c r="DF511" i="2"/>
  <c r="DE511" i="2"/>
  <c r="DD511" i="2"/>
  <c r="DC511" i="2"/>
  <c r="DB511" i="2"/>
  <c r="DA511" i="2"/>
  <c r="CZ511" i="2"/>
  <c r="CY511" i="2"/>
  <c r="CX511" i="2"/>
  <c r="CW511" i="2"/>
  <c r="CV511" i="2"/>
  <c r="CU511" i="2"/>
  <c r="DH510" i="2"/>
  <c r="DG510" i="2"/>
  <c r="DF510" i="2"/>
  <c r="DE510" i="2"/>
  <c r="DD510" i="2"/>
  <c r="DC510" i="2"/>
  <c r="DB510" i="2"/>
  <c r="DA510" i="2"/>
  <c r="CZ510" i="2"/>
  <c r="CY510" i="2"/>
  <c r="CX510" i="2"/>
  <c r="CW510" i="2"/>
  <c r="CV510" i="2"/>
  <c r="CU510" i="2"/>
  <c r="DH509" i="2"/>
  <c r="DG509" i="2"/>
  <c r="DF509" i="2"/>
  <c r="DE509" i="2"/>
  <c r="DD509" i="2"/>
  <c r="DC509" i="2"/>
  <c r="DB509" i="2"/>
  <c r="DA509" i="2"/>
  <c r="CZ509" i="2"/>
  <c r="CY509" i="2"/>
  <c r="CX509" i="2"/>
  <c r="CW509" i="2"/>
  <c r="CV509" i="2"/>
  <c r="CU509" i="2"/>
  <c r="DH508" i="2"/>
  <c r="DG508" i="2"/>
  <c r="DF508" i="2"/>
  <c r="DE508" i="2"/>
  <c r="DD508" i="2"/>
  <c r="DC508" i="2"/>
  <c r="DB508" i="2"/>
  <c r="DA508" i="2"/>
  <c r="CZ508" i="2"/>
  <c r="CY508" i="2"/>
  <c r="CX508" i="2"/>
  <c r="CW508" i="2"/>
  <c r="CV508" i="2"/>
  <c r="CU508" i="2"/>
  <c r="DH507" i="2"/>
  <c r="DG507" i="2"/>
  <c r="DF507" i="2"/>
  <c r="DE507" i="2"/>
  <c r="DD507" i="2"/>
  <c r="DC507" i="2"/>
  <c r="DB507" i="2"/>
  <c r="DA507" i="2"/>
  <c r="CZ507" i="2"/>
  <c r="CY507" i="2"/>
  <c r="CX507" i="2"/>
  <c r="CW507" i="2"/>
  <c r="CV507" i="2"/>
  <c r="CU507" i="2"/>
  <c r="DH506" i="2"/>
  <c r="DG506" i="2"/>
  <c r="DF506" i="2"/>
  <c r="DE506" i="2"/>
  <c r="DD506" i="2"/>
  <c r="DC506" i="2"/>
  <c r="DB506" i="2"/>
  <c r="DA506" i="2"/>
  <c r="CZ506" i="2"/>
  <c r="CY506" i="2"/>
  <c r="CX506" i="2"/>
  <c r="CW506" i="2"/>
  <c r="CV506" i="2"/>
  <c r="CU506" i="2"/>
  <c r="DH505" i="2"/>
  <c r="DG505" i="2"/>
  <c r="DF505" i="2"/>
  <c r="DE505" i="2"/>
  <c r="DD505" i="2"/>
  <c r="DC505" i="2"/>
  <c r="DB505" i="2"/>
  <c r="DA505" i="2"/>
  <c r="CZ505" i="2"/>
  <c r="CY505" i="2"/>
  <c r="CX505" i="2"/>
  <c r="CW505" i="2"/>
  <c r="CV505" i="2"/>
  <c r="CU505" i="2"/>
  <c r="DH504" i="2"/>
  <c r="DG504" i="2"/>
  <c r="DF504" i="2"/>
  <c r="DE504" i="2"/>
  <c r="DD504" i="2"/>
  <c r="DC504" i="2"/>
  <c r="DB504" i="2"/>
  <c r="DA504" i="2"/>
  <c r="CZ504" i="2"/>
  <c r="CY504" i="2"/>
  <c r="CX504" i="2"/>
  <c r="CW504" i="2"/>
  <c r="CV504" i="2"/>
  <c r="CU504" i="2"/>
  <c r="DH503" i="2"/>
  <c r="DG503" i="2"/>
  <c r="DF503" i="2"/>
  <c r="DE503" i="2"/>
  <c r="DD503" i="2"/>
  <c r="DC503" i="2"/>
  <c r="DB503" i="2"/>
  <c r="DA503" i="2"/>
  <c r="CZ503" i="2"/>
  <c r="CY503" i="2"/>
  <c r="CX503" i="2"/>
  <c r="CW503" i="2"/>
  <c r="CV503" i="2"/>
  <c r="CU503" i="2"/>
  <c r="DH502" i="2"/>
  <c r="DG502" i="2"/>
  <c r="DF502" i="2"/>
  <c r="DE502" i="2"/>
  <c r="DD502" i="2"/>
  <c r="DC502" i="2"/>
  <c r="DB502" i="2"/>
  <c r="DA502" i="2"/>
  <c r="CZ502" i="2"/>
  <c r="CY502" i="2"/>
  <c r="CX502" i="2"/>
  <c r="CW502" i="2"/>
  <c r="CV502" i="2"/>
  <c r="CU502" i="2"/>
  <c r="DH501" i="2"/>
  <c r="DG501" i="2"/>
  <c r="DF501" i="2"/>
  <c r="DE501" i="2"/>
  <c r="DD501" i="2"/>
  <c r="DC501" i="2"/>
  <c r="DB501" i="2"/>
  <c r="DA501" i="2"/>
  <c r="CZ501" i="2"/>
  <c r="CY501" i="2"/>
  <c r="CX501" i="2"/>
  <c r="CW501" i="2"/>
  <c r="CV501" i="2"/>
  <c r="CU501" i="2"/>
  <c r="DH500" i="2"/>
  <c r="DG500" i="2"/>
  <c r="DF500" i="2"/>
  <c r="DE500" i="2"/>
  <c r="DD500" i="2"/>
  <c r="DC500" i="2"/>
  <c r="DB500" i="2"/>
  <c r="DA500" i="2"/>
  <c r="CZ500" i="2"/>
  <c r="CY500" i="2"/>
  <c r="CX500" i="2"/>
  <c r="CW500" i="2"/>
  <c r="CV500" i="2"/>
  <c r="CU500" i="2"/>
  <c r="DH499" i="2"/>
  <c r="DG499" i="2"/>
  <c r="DF499" i="2"/>
  <c r="DE499" i="2"/>
  <c r="DD499" i="2"/>
  <c r="DC499" i="2"/>
  <c r="DB499" i="2"/>
  <c r="DA499" i="2"/>
  <c r="CZ499" i="2"/>
  <c r="CY499" i="2"/>
  <c r="CX499" i="2"/>
  <c r="CW499" i="2"/>
  <c r="CV499" i="2"/>
  <c r="CU499" i="2"/>
  <c r="DH498" i="2"/>
  <c r="DG498" i="2"/>
  <c r="DF498" i="2"/>
  <c r="DE498" i="2"/>
  <c r="DD498" i="2"/>
  <c r="DC498" i="2"/>
  <c r="DB498" i="2"/>
  <c r="DA498" i="2"/>
  <c r="CZ498" i="2"/>
  <c r="CY498" i="2"/>
  <c r="CX498" i="2"/>
  <c r="CW498" i="2"/>
  <c r="CV498" i="2"/>
  <c r="CU498" i="2"/>
  <c r="DH497" i="2"/>
  <c r="DG497" i="2"/>
  <c r="DF497" i="2"/>
  <c r="DE497" i="2"/>
  <c r="DD497" i="2"/>
  <c r="DC497" i="2"/>
  <c r="DB497" i="2"/>
  <c r="DA497" i="2"/>
  <c r="CZ497" i="2"/>
  <c r="CY497" i="2"/>
  <c r="CX497" i="2"/>
  <c r="CW497" i="2"/>
  <c r="CV497" i="2"/>
  <c r="CU497" i="2"/>
  <c r="DH496" i="2"/>
  <c r="DG496" i="2"/>
  <c r="DF496" i="2"/>
  <c r="DE496" i="2"/>
  <c r="DD496" i="2"/>
  <c r="DC496" i="2"/>
  <c r="DB496" i="2"/>
  <c r="DA496" i="2"/>
  <c r="CZ496" i="2"/>
  <c r="CY496" i="2"/>
  <c r="CX496" i="2"/>
  <c r="CW496" i="2"/>
  <c r="CV496" i="2"/>
  <c r="CU496" i="2"/>
  <c r="DH495" i="2"/>
  <c r="DG495" i="2"/>
  <c r="DF495" i="2"/>
  <c r="DE495" i="2"/>
  <c r="DD495" i="2"/>
  <c r="DC495" i="2"/>
  <c r="DB495" i="2"/>
  <c r="DA495" i="2"/>
  <c r="CZ495" i="2"/>
  <c r="CY495" i="2"/>
  <c r="CX495" i="2"/>
  <c r="CW495" i="2"/>
  <c r="CV495" i="2"/>
  <c r="CU495" i="2"/>
  <c r="DH494" i="2"/>
  <c r="DG494" i="2"/>
  <c r="DF494" i="2"/>
  <c r="DE494" i="2"/>
  <c r="DD494" i="2"/>
  <c r="DC494" i="2"/>
  <c r="DB494" i="2"/>
  <c r="DA494" i="2"/>
  <c r="CZ494" i="2"/>
  <c r="CY494" i="2"/>
  <c r="CX494" i="2"/>
  <c r="CW494" i="2"/>
  <c r="CV494" i="2"/>
  <c r="CU494" i="2"/>
  <c r="DH493" i="2"/>
  <c r="DG493" i="2"/>
  <c r="DF493" i="2"/>
  <c r="DE493" i="2"/>
  <c r="DD493" i="2"/>
  <c r="DC493" i="2"/>
  <c r="DB493" i="2"/>
  <c r="DA493" i="2"/>
  <c r="CZ493" i="2"/>
  <c r="CY493" i="2"/>
  <c r="CX493" i="2"/>
  <c r="CW493" i="2"/>
  <c r="CV493" i="2"/>
  <c r="CU493" i="2"/>
  <c r="DH492" i="2"/>
  <c r="DG492" i="2"/>
  <c r="DF492" i="2"/>
  <c r="DE492" i="2"/>
  <c r="DD492" i="2"/>
  <c r="DC492" i="2"/>
  <c r="DB492" i="2"/>
  <c r="DA492" i="2"/>
  <c r="CZ492" i="2"/>
  <c r="CY492" i="2"/>
  <c r="CX492" i="2"/>
  <c r="CW492" i="2"/>
  <c r="CV492" i="2"/>
  <c r="CU492" i="2"/>
  <c r="DH491" i="2"/>
  <c r="DG491" i="2"/>
  <c r="DF491" i="2"/>
  <c r="DE491" i="2"/>
  <c r="DD491" i="2"/>
  <c r="DC491" i="2"/>
  <c r="DB491" i="2"/>
  <c r="DA491" i="2"/>
  <c r="CZ491" i="2"/>
  <c r="CY491" i="2"/>
  <c r="CX491" i="2"/>
  <c r="CW491" i="2"/>
  <c r="CV491" i="2"/>
  <c r="CU491" i="2"/>
  <c r="DH490" i="2"/>
  <c r="DG490" i="2"/>
  <c r="DF490" i="2"/>
  <c r="DE490" i="2"/>
  <c r="DD490" i="2"/>
  <c r="DC490" i="2"/>
  <c r="DB490" i="2"/>
  <c r="DA490" i="2"/>
  <c r="CZ490" i="2"/>
  <c r="CY490" i="2"/>
  <c r="CX490" i="2"/>
  <c r="CW490" i="2"/>
  <c r="CV490" i="2"/>
  <c r="CU490" i="2"/>
  <c r="DH489" i="2"/>
  <c r="DG489" i="2"/>
  <c r="DF489" i="2"/>
  <c r="DE489" i="2"/>
  <c r="DD489" i="2"/>
  <c r="DC489" i="2"/>
  <c r="DB489" i="2"/>
  <c r="DA489" i="2"/>
  <c r="CZ489" i="2"/>
  <c r="CY489" i="2"/>
  <c r="CX489" i="2"/>
  <c r="CW489" i="2"/>
  <c r="CV489" i="2"/>
  <c r="CU489" i="2"/>
  <c r="DH488" i="2"/>
  <c r="DG488" i="2"/>
  <c r="DF488" i="2"/>
  <c r="DE488" i="2"/>
  <c r="DD488" i="2"/>
  <c r="DC488" i="2"/>
  <c r="DB488" i="2"/>
  <c r="DA488" i="2"/>
  <c r="CZ488" i="2"/>
  <c r="CY488" i="2"/>
  <c r="CX488" i="2"/>
  <c r="CW488" i="2"/>
  <c r="CV488" i="2"/>
  <c r="CU488" i="2"/>
  <c r="DH487" i="2"/>
  <c r="DG487" i="2"/>
  <c r="DF487" i="2"/>
  <c r="DE487" i="2"/>
  <c r="DD487" i="2"/>
  <c r="DC487" i="2"/>
  <c r="DB487" i="2"/>
  <c r="DA487" i="2"/>
  <c r="CZ487" i="2"/>
  <c r="CY487" i="2"/>
  <c r="CX487" i="2"/>
  <c r="CW487" i="2"/>
  <c r="CV487" i="2"/>
  <c r="CU487" i="2"/>
  <c r="DH486" i="2"/>
  <c r="DG486" i="2"/>
  <c r="DF486" i="2"/>
  <c r="DE486" i="2"/>
  <c r="DD486" i="2"/>
  <c r="DC486" i="2"/>
  <c r="DB486" i="2"/>
  <c r="DA486" i="2"/>
  <c r="CZ486" i="2"/>
  <c r="CY486" i="2"/>
  <c r="CX486" i="2"/>
  <c r="CW486" i="2"/>
  <c r="CV486" i="2"/>
  <c r="CU486" i="2"/>
  <c r="DH485" i="2"/>
  <c r="DG485" i="2"/>
  <c r="DF485" i="2"/>
  <c r="DE485" i="2"/>
  <c r="DD485" i="2"/>
  <c r="DC485" i="2"/>
  <c r="DB485" i="2"/>
  <c r="DA485" i="2"/>
  <c r="CZ485" i="2"/>
  <c r="CY485" i="2"/>
  <c r="CX485" i="2"/>
  <c r="CW485" i="2"/>
  <c r="O8" i="43" s="1"/>
  <c r="CV485" i="2"/>
  <c r="CU485" i="2"/>
  <c r="CR521" i="2"/>
  <c r="CQ521" i="2"/>
  <c r="CP521" i="2"/>
  <c r="CO521" i="2"/>
  <c r="CN521" i="2"/>
  <c r="N44" i="50" s="1"/>
  <c r="CM521" i="2"/>
  <c r="M44" i="50" s="1"/>
  <c r="CL521" i="2"/>
  <c r="CK521" i="2"/>
  <c r="CJ521" i="2"/>
  <c r="CI521" i="2"/>
  <c r="CH521" i="2"/>
  <c r="CG521" i="2"/>
  <c r="CF521" i="2"/>
  <c r="CE521" i="2"/>
  <c r="CR520" i="2"/>
  <c r="CQ520" i="2"/>
  <c r="CP520" i="2"/>
  <c r="CO520" i="2"/>
  <c r="CN520" i="2"/>
  <c r="N43" i="50" s="1"/>
  <c r="CM520" i="2"/>
  <c r="M43" i="50" s="1"/>
  <c r="CL520" i="2"/>
  <c r="CK520" i="2"/>
  <c r="CJ520" i="2"/>
  <c r="CI520" i="2"/>
  <c r="CH520" i="2"/>
  <c r="CG520" i="2"/>
  <c r="CF520" i="2"/>
  <c r="CE520" i="2"/>
  <c r="CR519" i="2"/>
  <c r="CQ519" i="2"/>
  <c r="CP519" i="2"/>
  <c r="CO519" i="2"/>
  <c r="CN519" i="2"/>
  <c r="N42" i="50" s="1"/>
  <c r="CM519" i="2"/>
  <c r="M42" i="50" s="1"/>
  <c r="CL519" i="2"/>
  <c r="CK519" i="2"/>
  <c r="CJ519" i="2"/>
  <c r="CI519" i="2"/>
  <c r="CH519" i="2"/>
  <c r="CG519" i="2"/>
  <c r="CF519" i="2"/>
  <c r="CE519" i="2"/>
  <c r="CR518" i="2"/>
  <c r="CQ518" i="2"/>
  <c r="CP518" i="2"/>
  <c r="CO518" i="2"/>
  <c r="CN518" i="2"/>
  <c r="N41" i="50" s="1"/>
  <c r="CM518" i="2"/>
  <c r="M41" i="50" s="1"/>
  <c r="CL518" i="2"/>
  <c r="CK518" i="2"/>
  <c r="CJ518" i="2"/>
  <c r="CI518" i="2"/>
  <c r="CH518" i="2"/>
  <c r="CG518" i="2"/>
  <c r="CF518" i="2"/>
  <c r="CE518" i="2"/>
  <c r="CR517" i="2"/>
  <c r="CQ517" i="2"/>
  <c r="CP517" i="2"/>
  <c r="CO517" i="2"/>
  <c r="CN517" i="2"/>
  <c r="N40" i="50" s="1"/>
  <c r="CM517" i="2"/>
  <c r="M40" i="50" s="1"/>
  <c r="CL517" i="2"/>
  <c r="CK517" i="2"/>
  <c r="CJ517" i="2"/>
  <c r="CI517" i="2"/>
  <c r="CH517" i="2"/>
  <c r="CG517" i="2"/>
  <c r="CF517" i="2"/>
  <c r="CE517" i="2"/>
  <c r="CR516" i="2"/>
  <c r="CQ516" i="2"/>
  <c r="CP516" i="2"/>
  <c r="CO516" i="2"/>
  <c r="CN516" i="2"/>
  <c r="N39" i="50" s="1"/>
  <c r="CM516" i="2"/>
  <c r="M39" i="50" s="1"/>
  <c r="CL516" i="2"/>
  <c r="CK516" i="2"/>
  <c r="CJ516" i="2"/>
  <c r="CI516" i="2"/>
  <c r="CH516" i="2"/>
  <c r="CG516" i="2"/>
  <c r="CF516" i="2"/>
  <c r="CE516" i="2"/>
  <c r="CR515" i="2"/>
  <c r="CQ515" i="2"/>
  <c r="CP515" i="2"/>
  <c r="CO515" i="2"/>
  <c r="CN515" i="2"/>
  <c r="N38" i="50" s="1"/>
  <c r="CM515" i="2"/>
  <c r="M38" i="50" s="1"/>
  <c r="CL515" i="2"/>
  <c r="CK515" i="2"/>
  <c r="CJ515" i="2"/>
  <c r="CI515" i="2"/>
  <c r="CH515" i="2"/>
  <c r="CG515" i="2"/>
  <c r="CF515" i="2"/>
  <c r="CE515" i="2"/>
  <c r="CR514" i="2"/>
  <c r="CQ514" i="2"/>
  <c r="CP514" i="2"/>
  <c r="CO514" i="2"/>
  <c r="CN514" i="2"/>
  <c r="N37" i="50" s="1"/>
  <c r="CM514" i="2"/>
  <c r="M37" i="50" s="1"/>
  <c r="CL514" i="2"/>
  <c r="CK514" i="2"/>
  <c r="CJ514" i="2"/>
  <c r="CI514" i="2"/>
  <c r="CH514" i="2"/>
  <c r="CG514" i="2"/>
  <c r="CF514" i="2"/>
  <c r="CE514" i="2"/>
  <c r="CR513" i="2"/>
  <c r="CQ513" i="2"/>
  <c r="CP513" i="2"/>
  <c r="CO513" i="2"/>
  <c r="CN513" i="2"/>
  <c r="CM513" i="2"/>
  <c r="CL513" i="2"/>
  <c r="CK513" i="2"/>
  <c r="CJ513" i="2"/>
  <c r="CI513" i="2"/>
  <c r="CH513" i="2"/>
  <c r="CG513" i="2"/>
  <c r="CF513" i="2"/>
  <c r="CE513" i="2"/>
  <c r="CR512" i="2"/>
  <c r="CQ512" i="2"/>
  <c r="CP512" i="2"/>
  <c r="CO512" i="2"/>
  <c r="CN512" i="2"/>
  <c r="CM512" i="2"/>
  <c r="CL512" i="2"/>
  <c r="CK512" i="2"/>
  <c r="CJ512" i="2"/>
  <c r="CI512" i="2"/>
  <c r="CH512" i="2"/>
  <c r="CG512" i="2"/>
  <c r="CF512" i="2"/>
  <c r="CE512" i="2"/>
  <c r="CR511" i="2"/>
  <c r="CQ511" i="2"/>
  <c r="CP511" i="2"/>
  <c r="CO511" i="2"/>
  <c r="CN511" i="2"/>
  <c r="CM511" i="2"/>
  <c r="CL511" i="2"/>
  <c r="CK511" i="2"/>
  <c r="CJ511" i="2"/>
  <c r="CI511" i="2"/>
  <c r="CH511" i="2"/>
  <c r="CG511" i="2"/>
  <c r="CF511" i="2"/>
  <c r="CE511" i="2"/>
  <c r="CR510" i="2"/>
  <c r="CQ510" i="2"/>
  <c r="CP510" i="2"/>
  <c r="CO510" i="2"/>
  <c r="CN510" i="2"/>
  <c r="CM510" i="2"/>
  <c r="CL510" i="2"/>
  <c r="CK510" i="2"/>
  <c r="CJ510" i="2"/>
  <c r="CI510" i="2"/>
  <c r="CH510" i="2"/>
  <c r="CG510" i="2"/>
  <c r="CF510" i="2"/>
  <c r="CE510" i="2"/>
  <c r="CR509" i="2"/>
  <c r="CQ509" i="2"/>
  <c r="CP509" i="2"/>
  <c r="CO509" i="2"/>
  <c r="CN509" i="2"/>
  <c r="CM509" i="2"/>
  <c r="CL509" i="2"/>
  <c r="CK509" i="2"/>
  <c r="CJ509" i="2"/>
  <c r="CI509" i="2"/>
  <c r="CH509" i="2"/>
  <c r="CG509" i="2"/>
  <c r="CF509" i="2"/>
  <c r="CE509" i="2"/>
  <c r="CR508" i="2"/>
  <c r="CQ508" i="2"/>
  <c r="CP508" i="2"/>
  <c r="CO508" i="2"/>
  <c r="CN508" i="2"/>
  <c r="CM508" i="2"/>
  <c r="CL508" i="2"/>
  <c r="CK508" i="2"/>
  <c r="CJ508" i="2"/>
  <c r="CI508" i="2"/>
  <c r="CH508" i="2"/>
  <c r="CG508" i="2"/>
  <c r="CF508" i="2"/>
  <c r="CE508" i="2"/>
  <c r="CR507" i="2"/>
  <c r="CQ507" i="2"/>
  <c r="CP507" i="2"/>
  <c r="CO507" i="2"/>
  <c r="CN507" i="2"/>
  <c r="CM507" i="2"/>
  <c r="CL507" i="2"/>
  <c r="CK507" i="2"/>
  <c r="CJ507" i="2"/>
  <c r="CI507" i="2"/>
  <c r="CH507" i="2"/>
  <c r="CG507" i="2"/>
  <c r="CF507" i="2"/>
  <c r="CE507" i="2"/>
  <c r="CR506" i="2"/>
  <c r="CQ506" i="2"/>
  <c r="CP506" i="2"/>
  <c r="CO506" i="2"/>
  <c r="CN506" i="2"/>
  <c r="CM506" i="2"/>
  <c r="CL506" i="2"/>
  <c r="CK506" i="2"/>
  <c r="CJ506" i="2"/>
  <c r="CI506" i="2"/>
  <c r="CH506" i="2"/>
  <c r="CG506" i="2"/>
  <c r="CF506" i="2"/>
  <c r="CE506" i="2"/>
  <c r="CR505" i="2"/>
  <c r="CQ505" i="2"/>
  <c r="CP505" i="2"/>
  <c r="CO505" i="2"/>
  <c r="CN505" i="2"/>
  <c r="CM505" i="2"/>
  <c r="CL505" i="2"/>
  <c r="CK505" i="2"/>
  <c r="CJ505" i="2"/>
  <c r="CI505" i="2"/>
  <c r="CH505" i="2"/>
  <c r="CG505" i="2"/>
  <c r="CF505" i="2"/>
  <c r="CE505" i="2"/>
  <c r="CR504" i="2"/>
  <c r="CQ504" i="2"/>
  <c r="CP504" i="2"/>
  <c r="CO504" i="2"/>
  <c r="CN504" i="2"/>
  <c r="CM504" i="2"/>
  <c r="CL504" i="2"/>
  <c r="CK504" i="2"/>
  <c r="CJ504" i="2"/>
  <c r="CI504" i="2"/>
  <c r="CH504" i="2"/>
  <c r="CG504" i="2"/>
  <c r="CF504" i="2"/>
  <c r="CE504" i="2"/>
  <c r="CR503" i="2"/>
  <c r="CQ503" i="2"/>
  <c r="CP503" i="2"/>
  <c r="CO503" i="2"/>
  <c r="CN503" i="2"/>
  <c r="CM503" i="2"/>
  <c r="CL503" i="2"/>
  <c r="CK503" i="2"/>
  <c r="CJ503" i="2"/>
  <c r="CI503" i="2"/>
  <c r="CH503" i="2"/>
  <c r="CG503" i="2"/>
  <c r="CF503" i="2"/>
  <c r="CE503" i="2"/>
  <c r="CR502" i="2"/>
  <c r="CQ502" i="2"/>
  <c r="CP502" i="2"/>
  <c r="CO502" i="2"/>
  <c r="CN502" i="2"/>
  <c r="CM502" i="2"/>
  <c r="CL502" i="2"/>
  <c r="CK502" i="2"/>
  <c r="CJ502" i="2"/>
  <c r="CI502" i="2"/>
  <c r="CH502" i="2"/>
  <c r="CG502" i="2"/>
  <c r="CF502" i="2"/>
  <c r="CE502" i="2"/>
  <c r="CR501" i="2"/>
  <c r="CQ501" i="2"/>
  <c r="CP501" i="2"/>
  <c r="CO501" i="2"/>
  <c r="CN501" i="2"/>
  <c r="CM501" i="2"/>
  <c r="CL501" i="2"/>
  <c r="CK501" i="2"/>
  <c r="CJ501" i="2"/>
  <c r="CI501" i="2"/>
  <c r="CH501" i="2"/>
  <c r="CG501" i="2"/>
  <c r="CF501" i="2"/>
  <c r="CE501" i="2"/>
  <c r="CR500" i="2"/>
  <c r="CQ500" i="2"/>
  <c r="CP500" i="2"/>
  <c r="CO500" i="2"/>
  <c r="CN500" i="2"/>
  <c r="CM500" i="2"/>
  <c r="CL500" i="2"/>
  <c r="CK500" i="2"/>
  <c r="CJ500" i="2"/>
  <c r="CI500" i="2"/>
  <c r="CH500" i="2"/>
  <c r="CG500" i="2"/>
  <c r="CF500" i="2"/>
  <c r="CE500" i="2"/>
  <c r="CR499" i="2"/>
  <c r="CQ499" i="2"/>
  <c r="CP499" i="2"/>
  <c r="CO499" i="2"/>
  <c r="CN499" i="2"/>
  <c r="CM499" i="2"/>
  <c r="CL499" i="2"/>
  <c r="CK499" i="2"/>
  <c r="CJ499" i="2"/>
  <c r="CI499" i="2"/>
  <c r="CH499" i="2"/>
  <c r="CG499" i="2"/>
  <c r="CF499" i="2"/>
  <c r="CE499" i="2"/>
  <c r="CR498" i="2"/>
  <c r="CQ498" i="2"/>
  <c r="CP498" i="2"/>
  <c r="CO498" i="2"/>
  <c r="CN498" i="2"/>
  <c r="CM498" i="2"/>
  <c r="CL498" i="2"/>
  <c r="CK498" i="2"/>
  <c r="CJ498" i="2"/>
  <c r="CI498" i="2"/>
  <c r="CH498" i="2"/>
  <c r="CG498" i="2"/>
  <c r="CF498" i="2"/>
  <c r="CE498" i="2"/>
  <c r="CR497" i="2"/>
  <c r="CQ497" i="2"/>
  <c r="CP497" i="2"/>
  <c r="CO497" i="2"/>
  <c r="CN497" i="2"/>
  <c r="CM497" i="2"/>
  <c r="CL497" i="2"/>
  <c r="CK497" i="2"/>
  <c r="CJ497" i="2"/>
  <c r="CI497" i="2"/>
  <c r="CH497" i="2"/>
  <c r="CG497" i="2"/>
  <c r="CF497" i="2"/>
  <c r="CE497" i="2"/>
  <c r="CR496" i="2"/>
  <c r="CQ496" i="2"/>
  <c r="CP496" i="2"/>
  <c r="CO496" i="2"/>
  <c r="CN496" i="2"/>
  <c r="CM496" i="2"/>
  <c r="CL496" i="2"/>
  <c r="CK496" i="2"/>
  <c r="CJ496" i="2"/>
  <c r="CI496" i="2"/>
  <c r="CH496" i="2"/>
  <c r="CG496" i="2"/>
  <c r="CF496" i="2"/>
  <c r="CE496" i="2"/>
  <c r="CR495" i="2"/>
  <c r="CQ495" i="2"/>
  <c r="CP495" i="2"/>
  <c r="CO495" i="2"/>
  <c r="CN495" i="2"/>
  <c r="CM495" i="2"/>
  <c r="CL495" i="2"/>
  <c r="CK495" i="2"/>
  <c r="CJ495" i="2"/>
  <c r="CI495" i="2"/>
  <c r="CH495" i="2"/>
  <c r="CG495" i="2"/>
  <c r="CF495" i="2"/>
  <c r="CE495" i="2"/>
  <c r="CR494" i="2"/>
  <c r="CQ494" i="2"/>
  <c r="CP494" i="2"/>
  <c r="CO494" i="2"/>
  <c r="CN494" i="2"/>
  <c r="CM494" i="2"/>
  <c r="CL494" i="2"/>
  <c r="CK494" i="2"/>
  <c r="CJ494" i="2"/>
  <c r="CI494" i="2"/>
  <c r="CH494" i="2"/>
  <c r="CG494" i="2"/>
  <c r="CF494" i="2"/>
  <c r="CE494" i="2"/>
  <c r="CR493" i="2"/>
  <c r="CQ493" i="2"/>
  <c r="CP493" i="2"/>
  <c r="CO493" i="2"/>
  <c r="CN493" i="2"/>
  <c r="CM493" i="2"/>
  <c r="CL493" i="2"/>
  <c r="CK493" i="2"/>
  <c r="CJ493" i="2"/>
  <c r="CI493" i="2"/>
  <c r="CH493" i="2"/>
  <c r="CG493" i="2"/>
  <c r="CF493" i="2"/>
  <c r="CE493" i="2"/>
  <c r="CR492" i="2"/>
  <c r="CQ492" i="2"/>
  <c r="CP492" i="2"/>
  <c r="CO492" i="2"/>
  <c r="CN492" i="2"/>
  <c r="CM492" i="2"/>
  <c r="CL492" i="2"/>
  <c r="CK492" i="2"/>
  <c r="CJ492" i="2"/>
  <c r="CI492" i="2"/>
  <c r="CH492" i="2"/>
  <c r="CG492" i="2"/>
  <c r="CF492" i="2"/>
  <c r="CE492" i="2"/>
  <c r="CR491" i="2"/>
  <c r="CQ491" i="2"/>
  <c r="CP491" i="2"/>
  <c r="CO491" i="2"/>
  <c r="CN491" i="2"/>
  <c r="CM491" i="2"/>
  <c r="CL491" i="2"/>
  <c r="CK491" i="2"/>
  <c r="CJ491" i="2"/>
  <c r="CI491" i="2"/>
  <c r="CH491" i="2"/>
  <c r="CG491" i="2"/>
  <c r="CF491" i="2"/>
  <c r="CE491" i="2"/>
  <c r="CR490" i="2"/>
  <c r="CQ490" i="2"/>
  <c r="CP490" i="2"/>
  <c r="CO490" i="2"/>
  <c r="CN490" i="2"/>
  <c r="CM490" i="2"/>
  <c r="CL490" i="2"/>
  <c r="CK490" i="2"/>
  <c r="CJ490" i="2"/>
  <c r="CI490" i="2"/>
  <c r="CH490" i="2"/>
  <c r="CG490" i="2"/>
  <c r="CF490" i="2"/>
  <c r="CE490" i="2"/>
  <c r="CR489" i="2"/>
  <c r="CQ489" i="2"/>
  <c r="CP489" i="2"/>
  <c r="CO489" i="2"/>
  <c r="CN489" i="2"/>
  <c r="CM489" i="2"/>
  <c r="CL489" i="2"/>
  <c r="CK489" i="2"/>
  <c r="CJ489" i="2"/>
  <c r="CI489" i="2"/>
  <c r="CH489" i="2"/>
  <c r="CG489" i="2"/>
  <c r="CF489" i="2"/>
  <c r="CE489" i="2"/>
  <c r="CR488" i="2"/>
  <c r="CQ488" i="2"/>
  <c r="CP488" i="2"/>
  <c r="CO488" i="2"/>
  <c r="CN488" i="2"/>
  <c r="CM488" i="2"/>
  <c r="CL488" i="2"/>
  <c r="CK488" i="2"/>
  <c r="CJ488" i="2"/>
  <c r="CI488" i="2"/>
  <c r="CH488" i="2"/>
  <c r="CG488" i="2"/>
  <c r="CF488" i="2"/>
  <c r="CE488" i="2"/>
  <c r="CR487" i="2"/>
  <c r="CQ487" i="2"/>
  <c r="CP487" i="2"/>
  <c r="CO487" i="2"/>
  <c r="CN487" i="2"/>
  <c r="CM487" i="2"/>
  <c r="CL487" i="2"/>
  <c r="CK487" i="2"/>
  <c r="CJ487" i="2"/>
  <c r="CI487" i="2"/>
  <c r="CH487" i="2"/>
  <c r="CG487" i="2"/>
  <c r="CF487" i="2"/>
  <c r="CE487" i="2"/>
  <c r="CR486" i="2"/>
  <c r="CQ486" i="2"/>
  <c r="CP486" i="2"/>
  <c r="CO486" i="2"/>
  <c r="CN486" i="2"/>
  <c r="CM486" i="2"/>
  <c r="CL486" i="2"/>
  <c r="CK486" i="2"/>
  <c r="CJ486" i="2"/>
  <c r="CI486" i="2"/>
  <c r="CH486" i="2"/>
  <c r="CG486" i="2"/>
  <c r="CF486" i="2"/>
  <c r="CE486" i="2"/>
  <c r="CR485" i="2"/>
  <c r="CQ485" i="2"/>
  <c r="CP485" i="2"/>
  <c r="CO485" i="2"/>
  <c r="CN485" i="2"/>
  <c r="CM485" i="2"/>
  <c r="CL485" i="2"/>
  <c r="CK485" i="2"/>
  <c r="CJ485" i="2"/>
  <c r="CI485" i="2"/>
  <c r="CH485" i="2"/>
  <c r="CG485" i="2"/>
  <c r="CF485" i="2"/>
  <c r="CE485" i="2"/>
  <c r="CB521" i="2"/>
  <c r="CA521" i="2"/>
  <c r="BZ521" i="2"/>
  <c r="BY521" i="2"/>
  <c r="BX521" i="2"/>
  <c r="L44" i="50" s="1"/>
  <c r="BW521" i="2"/>
  <c r="K44" i="50" s="1"/>
  <c r="BV521" i="2"/>
  <c r="BU521" i="2"/>
  <c r="BT521" i="2"/>
  <c r="BS521" i="2"/>
  <c r="BR521" i="2"/>
  <c r="BQ521" i="2"/>
  <c r="BP521" i="2"/>
  <c r="BO521" i="2"/>
  <c r="CB520" i="2"/>
  <c r="CA520" i="2"/>
  <c r="BZ520" i="2"/>
  <c r="BY520" i="2"/>
  <c r="BX520" i="2"/>
  <c r="L43" i="50" s="1"/>
  <c r="BW520" i="2"/>
  <c r="K43" i="50" s="1"/>
  <c r="BV520" i="2"/>
  <c r="BU520" i="2"/>
  <c r="BT520" i="2"/>
  <c r="BS520" i="2"/>
  <c r="BR520" i="2"/>
  <c r="BQ520" i="2"/>
  <c r="BP520" i="2"/>
  <c r="BO520" i="2"/>
  <c r="CB519" i="2"/>
  <c r="CA519" i="2"/>
  <c r="BZ519" i="2"/>
  <c r="BY519" i="2"/>
  <c r="BX519" i="2"/>
  <c r="L42" i="50" s="1"/>
  <c r="BW519" i="2"/>
  <c r="K42" i="50" s="1"/>
  <c r="BV519" i="2"/>
  <c r="BU519" i="2"/>
  <c r="BT519" i="2"/>
  <c r="BS519" i="2"/>
  <c r="BR519" i="2"/>
  <c r="BQ519" i="2"/>
  <c r="BP519" i="2"/>
  <c r="BO519" i="2"/>
  <c r="CB518" i="2"/>
  <c r="CA518" i="2"/>
  <c r="BZ518" i="2"/>
  <c r="BY518" i="2"/>
  <c r="BX518" i="2"/>
  <c r="L41" i="50" s="1"/>
  <c r="BW518" i="2"/>
  <c r="K41" i="50" s="1"/>
  <c r="BV518" i="2"/>
  <c r="BU518" i="2"/>
  <c r="BT518" i="2"/>
  <c r="BS518" i="2"/>
  <c r="BR518" i="2"/>
  <c r="BQ518" i="2"/>
  <c r="BP518" i="2"/>
  <c r="BO518" i="2"/>
  <c r="CB517" i="2"/>
  <c r="CA517" i="2"/>
  <c r="BZ517" i="2"/>
  <c r="BY517" i="2"/>
  <c r="BX517" i="2"/>
  <c r="L40" i="50" s="1"/>
  <c r="BW517" i="2"/>
  <c r="K40" i="50" s="1"/>
  <c r="BV517" i="2"/>
  <c r="BU517" i="2"/>
  <c r="BT517" i="2"/>
  <c r="BS517" i="2"/>
  <c r="BR517" i="2"/>
  <c r="BQ517" i="2"/>
  <c r="BP517" i="2"/>
  <c r="BO517" i="2"/>
  <c r="CB516" i="2"/>
  <c r="CA516" i="2"/>
  <c r="BZ516" i="2"/>
  <c r="BY516" i="2"/>
  <c r="BX516" i="2"/>
  <c r="L39" i="50" s="1"/>
  <c r="BW516" i="2"/>
  <c r="K39" i="50" s="1"/>
  <c r="BV516" i="2"/>
  <c r="BU516" i="2"/>
  <c r="BT516" i="2"/>
  <c r="BS516" i="2"/>
  <c r="BR516" i="2"/>
  <c r="BQ516" i="2"/>
  <c r="BP516" i="2"/>
  <c r="BO516" i="2"/>
  <c r="CB515" i="2"/>
  <c r="CA515" i="2"/>
  <c r="BZ515" i="2"/>
  <c r="BY515" i="2"/>
  <c r="BX515" i="2"/>
  <c r="L38" i="50" s="1"/>
  <c r="BW515" i="2"/>
  <c r="K38" i="50" s="1"/>
  <c r="BV515" i="2"/>
  <c r="BU515" i="2"/>
  <c r="BT515" i="2"/>
  <c r="BS515" i="2"/>
  <c r="BR515" i="2"/>
  <c r="BQ515" i="2"/>
  <c r="BP515" i="2"/>
  <c r="BO515" i="2"/>
  <c r="CB514" i="2"/>
  <c r="CA514" i="2"/>
  <c r="BZ514" i="2"/>
  <c r="BY514" i="2"/>
  <c r="BX514" i="2"/>
  <c r="L37" i="50" s="1"/>
  <c r="BW514" i="2"/>
  <c r="K37" i="50" s="1"/>
  <c r="BV514" i="2"/>
  <c r="BU514" i="2"/>
  <c r="BT514" i="2"/>
  <c r="BS514" i="2"/>
  <c r="BR514" i="2"/>
  <c r="BQ514" i="2"/>
  <c r="BP514" i="2"/>
  <c r="BO514" i="2"/>
  <c r="CB513" i="2"/>
  <c r="CA513" i="2"/>
  <c r="BZ513" i="2"/>
  <c r="BY513" i="2"/>
  <c r="BX513" i="2"/>
  <c r="BW513" i="2"/>
  <c r="BV513" i="2"/>
  <c r="BU513" i="2"/>
  <c r="BT513" i="2"/>
  <c r="BS513" i="2"/>
  <c r="BR513" i="2"/>
  <c r="BQ513" i="2"/>
  <c r="BP513" i="2"/>
  <c r="BO513" i="2"/>
  <c r="CB512" i="2"/>
  <c r="CA512" i="2"/>
  <c r="BZ512" i="2"/>
  <c r="BY512" i="2"/>
  <c r="BX512" i="2"/>
  <c r="BW512" i="2"/>
  <c r="BV512" i="2"/>
  <c r="BU512" i="2"/>
  <c r="BT512" i="2"/>
  <c r="BS512" i="2"/>
  <c r="BR512" i="2"/>
  <c r="BQ512" i="2"/>
  <c r="BP512" i="2"/>
  <c r="BO512" i="2"/>
  <c r="CB511" i="2"/>
  <c r="CA511" i="2"/>
  <c r="BZ511" i="2"/>
  <c r="BY511" i="2"/>
  <c r="BX511" i="2"/>
  <c r="BW511" i="2"/>
  <c r="BV511" i="2"/>
  <c r="BU511" i="2"/>
  <c r="BT511" i="2"/>
  <c r="BS511" i="2"/>
  <c r="BR511" i="2"/>
  <c r="BQ511" i="2"/>
  <c r="BP511" i="2"/>
  <c r="BO511" i="2"/>
  <c r="CB510" i="2"/>
  <c r="CA510" i="2"/>
  <c r="BZ510" i="2"/>
  <c r="BY510" i="2"/>
  <c r="BX510" i="2"/>
  <c r="BW510" i="2"/>
  <c r="BV510" i="2"/>
  <c r="BU510" i="2"/>
  <c r="BT510" i="2"/>
  <c r="BS510" i="2"/>
  <c r="BR510" i="2"/>
  <c r="BQ510" i="2"/>
  <c r="BP510" i="2"/>
  <c r="BO510" i="2"/>
  <c r="CB509" i="2"/>
  <c r="CA509" i="2"/>
  <c r="BZ509" i="2"/>
  <c r="BY509" i="2"/>
  <c r="BX509" i="2"/>
  <c r="BW509" i="2"/>
  <c r="BV509" i="2"/>
  <c r="BU509" i="2"/>
  <c r="BT509" i="2"/>
  <c r="BS509" i="2"/>
  <c r="BR509" i="2"/>
  <c r="BQ509" i="2"/>
  <c r="BP509" i="2"/>
  <c r="BO509" i="2"/>
  <c r="CB508" i="2"/>
  <c r="CA508" i="2"/>
  <c r="BZ508" i="2"/>
  <c r="BY508" i="2"/>
  <c r="BX508" i="2"/>
  <c r="BW508" i="2"/>
  <c r="BV508" i="2"/>
  <c r="BU508" i="2"/>
  <c r="BT508" i="2"/>
  <c r="BS508" i="2"/>
  <c r="BR508" i="2"/>
  <c r="BQ508" i="2"/>
  <c r="BP508" i="2"/>
  <c r="BO508" i="2"/>
  <c r="CB507" i="2"/>
  <c r="CA507" i="2"/>
  <c r="BZ507" i="2"/>
  <c r="BY507" i="2"/>
  <c r="BX507" i="2"/>
  <c r="BW507" i="2"/>
  <c r="BV507" i="2"/>
  <c r="BU507" i="2"/>
  <c r="BT507" i="2"/>
  <c r="BS507" i="2"/>
  <c r="BR507" i="2"/>
  <c r="BQ507" i="2"/>
  <c r="BP507" i="2"/>
  <c r="BO507" i="2"/>
  <c r="CB506" i="2"/>
  <c r="CA506" i="2"/>
  <c r="BZ506" i="2"/>
  <c r="BY506" i="2"/>
  <c r="BX506" i="2"/>
  <c r="BW506" i="2"/>
  <c r="BV506" i="2"/>
  <c r="BU506" i="2"/>
  <c r="BT506" i="2"/>
  <c r="BS506" i="2"/>
  <c r="BR506" i="2"/>
  <c r="BQ506" i="2"/>
  <c r="BP506" i="2"/>
  <c r="BO506" i="2"/>
  <c r="CB505" i="2"/>
  <c r="CA505" i="2"/>
  <c r="BZ505" i="2"/>
  <c r="BY505" i="2"/>
  <c r="BX505" i="2"/>
  <c r="BW505" i="2"/>
  <c r="BV505" i="2"/>
  <c r="BU505" i="2"/>
  <c r="BT505" i="2"/>
  <c r="BS505" i="2"/>
  <c r="BR505" i="2"/>
  <c r="BQ505" i="2"/>
  <c r="BP505" i="2"/>
  <c r="BO505" i="2"/>
  <c r="CB504" i="2"/>
  <c r="CA504" i="2"/>
  <c r="BZ504" i="2"/>
  <c r="BY504" i="2"/>
  <c r="BX504" i="2"/>
  <c r="BW504" i="2"/>
  <c r="BV504" i="2"/>
  <c r="BU504" i="2"/>
  <c r="BT504" i="2"/>
  <c r="BS504" i="2"/>
  <c r="BR504" i="2"/>
  <c r="BQ504" i="2"/>
  <c r="BP504" i="2"/>
  <c r="BO504" i="2"/>
  <c r="CB503" i="2"/>
  <c r="CA503" i="2"/>
  <c r="BZ503" i="2"/>
  <c r="BY503" i="2"/>
  <c r="BX503" i="2"/>
  <c r="BW503" i="2"/>
  <c r="BV503" i="2"/>
  <c r="BU503" i="2"/>
  <c r="BT503" i="2"/>
  <c r="BS503" i="2"/>
  <c r="BR503" i="2"/>
  <c r="BQ503" i="2"/>
  <c r="BP503" i="2"/>
  <c r="BO503" i="2"/>
  <c r="CB502" i="2"/>
  <c r="CA502" i="2"/>
  <c r="BZ502" i="2"/>
  <c r="BY502" i="2"/>
  <c r="BX502" i="2"/>
  <c r="BW502" i="2"/>
  <c r="BV502" i="2"/>
  <c r="BU502" i="2"/>
  <c r="BT502" i="2"/>
  <c r="BS502" i="2"/>
  <c r="BR502" i="2"/>
  <c r="BQ502" i="2"/>
  <c r="BP502" i="2"/>
  <c r="BO502" i="2"/>
  <c r="CB501" i="2"/>
  <c r="CA501" i="2"/>
  <c r="BZ501" i="2"/>
  <c r="BY501" i="2"/>
  <c r="BX501" i="2"/>
  <c r="BW501" i="2"/>
  <c r="BV501" i="2"/>
  <c r="BU501" i="2"/>
  <c r="BT501" i="2"/>
  <c r="BS501" i="2"/>
  <c r="BR501" i="2"/>
  <c r="BQ501" i="2"/>
  <c r="BP501" i="2"/>
  <c r="BO501" i="2"/>
  <c r="CB500" i="2"/>
  <c r="CA500" i="2"/>
  <c r="BZ500" i="2"/>
  <c r="BY500" i="2"/>
  <c r="BX500" i="2"/>
  <c r="BW500" i="2"/>
  <c r="BV500" i="2"/>
  <c r="BU500" i="2"/>
  <c r="BT500" i="2"/>
  <c r="BS500" i="2"/>
  <c r="BR500" i="2"/>
  <c r="BQ500" i="2"/>
  <c r="BP500" i="2"/>
  <c r="BO500" i="2"/>
  <c r="CB499" i="2"/>
  <c r="CA499" i="2"/>
  <c r="BZ499" i="2"/>
  <c r="BY499" i="2"/>
  <c r="BX499" i="2"/>
  <c r="BW499" i="2"/>
  <c r="BV499" i="2"/>
  <c r="BU499" i="2"/>
  <c r="BT499" i="2"/>
  <c r="BS499" i="2"/>
  <c r="BR499" i="2"/>
  <c r="BQ499" i="2"/>
  <c r="BP499" i="2"/>
  <c r="BO499" i="2"/>
  <c r="CB498" i="2"/>
  <c r="CA498" i="2"/>
  <c r="BZ498" i="2"/>
  <c r="BY498" i="2"/>
  <c r="BX498" i="2"/>
  <c r="BW498" i="2"/>
  <c r="BV498" i="2"/>
  <c r="BU498" i="2"/>
  <c r="BT498" i="2"/>
  <c r="BS498" i="2"/>
  <c r="BR498" i="2"/>
  <c r="BQ498" i="2"/>
  <c r="BP498" i="2"/>
  <c r="BO498" i="2"/>
  <c r="CB497" i="2"/>
  <c r="CA497" i="2"/>
  <c r="BZ497" i="2"/>
  <c r="BY497" i="2"/>
  <c r="BX497" i="2"/>
  <c r="BW497" i="2"/>
  <c r="BV497" i="2"/>
  <c r="BU497" i="2"/>
  <c r="BT497" i="2"/>
  <c r="BS497" i="2"/>
  <c r="BR497" i="2"/>
  <c r="BQ497" i="2"/>
  <c r="BP497" i="2"/>
  <c r="BO497" i="2"/>
  <c r="CB496" i="2"/>
  <c r="CA496" i="2"/>
  <c r="BZ496" i="2"/>
  <c r="BY496" i="2"/>
  <c r="BX496" i="2"/>
  <c r="BW496" i="2"/>
  <c r="BV496" i="2"/>
  <c r="BU496" i="2"/>
  <c r="BT496" i="2"/>
  <c r="BS496" i="2"/>
  <c r="BR496" i="2"/>
  <c r="BQ496" i="2"/>
  <c r="BP496" i="2"/>
  <c r="BO496" i="2"/>
  <c r="CB495" i="2"/>
  <c r="CA495" i="2"/>
  <c r="BZ495" i="2"/>
  <c r="BY495" i="2"/>
  <c r="BX495" i="2"/>
  <c r="BW495" i="2"/>
  <c r="BV495" i="2"/>
  <c r="BU495" i="2"/>
  <c r="BT495" i="2"/>
  <c r="BS495" i="2"/>
  <c r="BR495" i="2"/>
  <c r="BQ495" i="2"/>
  <c r="BP495" i="2"/>
  <c r="BO495" i="2"/>
  <c r="CB494" i="2"/>
  <c r="CA494" i="2"/>
  <c r="BZ494" i="2"/>
  <c r="BY494" i="2"/>
  <c r="BX494" i="2"/>
  <c r="BW494" i="2"/>
  <c r="BV494" i="2"/>
  <c r="BU494" i="2"/>
  <c r="BT494" i="2"/>
  <c r="BS494" i="2"/>
  <c r="BR494" i="2"/>
  <c r="BQ494" i="2"/>
  <c r="BP494" i="2"/>
  <c r="BO494" i="2"/>
  <c r="CB493" i="2"/>
  <c r="CA493" i="2"/>
  <c r="BZ493" i="2"/>
  <c r="BY493" i="2"/>
  <c r="BX493" i="2"/>
  <c r="BW493" i="2"/>
  <c r="BV493" i="2"/>
  <c r="BU493" i="2"/>
  <c r="BT493" i="2"/>
  <c r="BS493" i="2"/>
  <c r="BR493" i="2"/>
  <c r="BQ493" i="2"/>
  <c r="BP493" i="2"/>
  <c r="BO493" i="2"/>
  <c r="CB492" i="2"/>
  <c r="CA492" i="2"/>
  <c r="BZ492" i="2"/>
  <c r="BY492" i="2"/>
  <c r="BX492" i="2"/>
  <c r="BW492" i="2"/>
  <c r="BV492" i="2"/>
  <c r="BU492" i="2"/>
  <c r="BT492" i="2"/>
  <c r="BS492" i="2"/>
  <c r="BR492" i="2"/>
  <c r="BQ492" i="2"/>
  <c r="BP492" i="2"/>
  <c r="BO492" i="2"/>
  <c r="CB491" i="2"/>
  <c r="CA491" i="2"/>
  <c r="BZ491" i="2"/>
  <c r="BY491" i="2"/>
  <c r="BX491" i="2"/>
  <c r="BW491" i="2"/>
  <c r="BV491" i="2"/>
  <c r="BU491" i="2"/>
  <c r="BT491" i="2"/>
  <c r="BS491" i="2"/>
  <c r="BR491" i="2"/>
  <c r="BQ491" i="2"/>
  <c r="BP491" i="2"/>
  <c r="BO491" i="2"/>
  <c r="CB490" i="2"/>
  <c r="CA490" i="2"/>
  <c r="BZ490" i="2"/>
  <c r="BY490" i="2"/>
  <c r="BX490" i="2"/>
  <c r="BW490" i="2"/>
  <c r="BV490" i="2"/>
  <c r="BU490" i="2"/>
  <c r="BT490" i="2"/>
  <c r="BS490" i="2"/>
  <c r="BR490" i="2"/>
  <c r="BQ490" i="2"/>
  <c r="BP490" i="2"/>
  <c r="BO490" i="2"/>
  <c r="CB489" i="2"/>
  <c r="CA489" i="2"/>
  <c r="BZ489" i="2"/>
  <c r="BY489" i="2"/>
  <c r="BX489" i="2"/>
  <c r="BW489" i="2"/>
  <c r="BV489" i="2"/>
  <c r="BU489" i="2"/>
  <c r="BT489" i="2"/>
  <c r="BS489" i="2"/>
  <c r="BR489" i="2"/>
  <c r="BQ489" i="2"/>
  <c r="BP489" i="2"/>
  <c r="BO489" i="2"/>
  <c r="CB488" i="2"/>
  <c r="CA488" i="2"/>
  <c r="BZ488" i="2"/>
  <c r="BY488" i="2"/>
  <c r="BX488" i="2"/>
  <c r="BW488" i="2"/>
  <c r="BV488" i="2"/>
  <c r="BU488" i="2"/>
  <c r="BT488" i="2"/>
  <c r="BS488" i="2"/>
  <c r="BR488" i="2"/>
  <c r="BQ488" i="2"/>
  <c r="BP488" i="2"/>
  <c r="BO488" i="2"/>
  <c r="CB487" i="2"/>
  <c r="CA487" i="2"/>
  <c r="BZ487" i="2"/>
  <c r="BY487" i="2"/>
  <c r="BX487" i="2"/>
  <c r="BW487" i="2"/>
  <c r="BV487" i="2"/>
  <c r="BU487" i="2"/>
  <c r="BT487" i="2"/>
  <c r="BS487" i="2"/>
  <c r="BR487" i="2"/>
  <c r="BQ487" i="2"/>
  <c r="BP487" i="2"/>
  <c r="BO487" i="2"/>
  <c r="CB486" i="2"/>
  <c r="CA486" i="2"/>
  <c r="BZ486" i="2"/>
  <c r="BY486" i="2"/>
  <c r="BX486" i="2"/>
  <c r="BW486" i="2"/>
  <c r="BV486" i="2"/>
  <c r="BU486" i="2"/>
  <c r="BT486" i="2"/>
  <c r="BS486" i="2"/>
  <c r="BR486" i="2"/>
  <c r="BQ486" i="2"/>
  <c r="BP486" i="2"/>
  <c r="BO486" i="2"/>
  <c r="CB485" i="2"/>
  <c r="CA485" i="2"/>
  <c r="BZ485" i="2"/>
  <c r="BY485" i="2"/>
  <c r="BX485" i="2"/>
  <c r="BW485" i="2"/>
  <c r="BV485" i="2"/>
  <c r="BU485" i="2"/>
  <c r="BT485" i="2"/>
  <c r="BS485" i="2"/>
  <c r="BR485" i="2"/>
  <c r="BQ485" i="2"/>
  <c r="BP485" i="2"/>
  <c r="BO485" i="2"/>
  <c r="BL521" i="2"/>
  <c r="J44" i="40" s="1"/>
  <c r="BK521" i="2"/>
  <c r="I44" i="40" s="1"/>
  <c r="BJ521" i="2"/>
  <c r="BI521" i="2"/>
  <c r="BH521" i="2"/>
  <c r="J44" i="50" s="1"/>
  <c r="BG521" i="2"/>
  <c r="I44" i="50" s="1"/>
  <c r="BF521" i="2"/>
  <c r="BE521" i="2"/>
  <c r="BD521" i="2"/>
  <c r="BC521" i="2"/>
  <c r="BB521" i="2"/>
  <c r="BA521" i="2"/>
  <c r="AZ521" i="2"/>
  <c r="AY521" i="2"/>
  <c r="BL520" i="2"/>
  <c r="J43" i="40" s="1"/>
  <c r="BK520" i="2"/>
  <c r="I43" i="40" s="1"/>
  <c r="BJ520" i="2"/>
  <c r="BI520" i="2"/>
  <c r="BH520" i="2"/>
  <c r="J43" i="50" s="1"/>
  <c r="BG520" i="2"/>
  <c r="I43" i="50" s="1"/>
  <c r="BF520" i="2"/>
  <c r="BE520" i="2"/>
  <c r="BD520" i="2"/>
  <c r="BC520" i="2"/>
  <c r="BB520" i="2"/>
  <c r="BA520" i="2"/>
  <c r="AZ520" i="2"/>
  <c r="AY520" i="2"/>
  <c r="BL519" i="2"/>
  <c r="J42" i="40" s="1"/>
  <c r="BK519" i="2"/>
  <c r="I42" i="40" s="1"/>
  <c r="BJ519" i="2"/>
  <c r="BI519" i="2"/>
  <c r="BH519" i="2"/>
  <c r="J42" i="50" s="1"/>
  <c r="BG519" i="2"/>
  <c r="I42" i="50" s="1"/>
  <c r="BF519" i="2"/>
  <c r="BE519" i="2"/>
  <c r="BD519" i="2"/>
  <c r="BC519" i="2"/>
  <c r="BB519" i="2"/>
  <c r="BA519" i="2"/>
  <c r="AZ519" i="2"/>
  <c r="AY519" i="2"/>
  <c r="BL518" i="2"/>
  <c r="J41" i="40" s="1"/>
  <c r="BK518" i="2"/>
  <c r="I41" i="40" s="1"/>
  <c r="BJ518" i="2"/>
  <c r="BI518" i="2"/>
  <c r="BH518" i="2"/>
  <c r="J41" i="50" s="1"/>
  <c r="BG518" i="2"/>
  <c r="I41" i="50" s="1"/>
  <c r="BF518" i="2"/>
  <c r="BE518" i="2"/>
  <c r="BD518" i="2"/>
  <c r="BC518" i="2"/>
  <c r="BB518" i="2"/>
  <c r="BA518" i="2"/>
  <c r="AZ518" i="2"/>
  <c r="AY518" i="2"/>
  <c r="BL517" i="2"/>
  <c r="J40" i="40" s="1"/>
  <c r="BK517" i="2"/>
  <c r="I40" i="40" s="1"/>
  <c r="BJ517" i="2"/>
  <c r="BI517" i="2"/>
  <c r="BH517" i="2"/>
  <c r="J40" i="50" s="1"/>
  <c r="BG517" i="2"/>
  <c r="I40" i="50" s="1"/>
  <c r="BF517" i="2"/>
  <c r="BE517" i="2"/>
  <c r="BD517" i="2"/>
  <c r="BC517" i="2"/>
  <c r="BB517" i="2"/>
  <c r="BA517" i="2"/>
  <c r="AZ517" i="2"/>
  <c r="AY517" i="2"/>
  <c r="BL516" i="2"/>
  <c r="J39" i="40" s="1"/>
  <c r="BK516" i="2"/>
  <c r="I39" i="40" s="1"/>
  <c r="BJ516" i="2"/>
  <c r="BI516" i="2"/>
  <c r="BH516" i="2"/>
  <c r="J39" i="50" s="1"/>
  <c r="BG516" i="2"/>
  <c r="I39" i="50" s="1"/>
  <c r="BF516" i="2"/>
  <c r="BE516" i="2"/>
  <c r="BD516" i="2"/>
  <c r="BC516" i="2"/>
  <c r="BB516" i="2"/>
  <c r="BA516" i="2"/>
  <c r="AZ516" i="2"/>
  <c r="AY516" i="2"/>
  <c r="BL515" i="2"/>
  <c r="J38" i="40" s="1"/>
  <c r="BK515" i="2"/>
  <c r="I38" i="40" s="1"/>
  <c r="BJ515" i="2"/>
  <c r="BI515" i="2"/>
  <c r="BH515" i="2"/>
  <c r="J38" i="50" s="1"/>
  <c r="BG515" i="2"/>
  <c r="I38" i="50" s="1"/>
  <c r="BF515" i="2"/>
  <c r="BE515" i="2"/>
  <c r="BD515" i="2"/>
  <c r="BC515" i="2"/>
  <c r="BB515" i="2"/>
  <c r="BA515" i="2"/>
  <c r="AZ515" i="2"/>
  <c r="AY515" i="2"/>
  <c r="BL514" i="2"/>
  <c r="J37" i="40" s="1"/>
  <c r="BK514" i="2"/>
  <c r="I37" i="40" s="1"/>
  <c r="BJ514" i="2"/>
  <c r="BI514" i="2"/>
  <c r="BH514" i="2"/>
  <c r="J37" i="50" s="1"/>
  <c r="BG514" i="2"/>
  <c r="I37" i="50" s="1"/>
  <c r="BF514" i="2"/>
  <c r="BE514" i="2"/>
  <c r="BD514" i="2"/>
  <c r="BC514" i="2"/>
  <c r="BB514" i="2"/>
  <c r="BA514" i="2"/>
  <c r="AZ514" i="2"/>
  <c r="AY514" i="2"/>
  <c r="BL513" i="2"/>
  <c r="J36" i="40" s="1"/>
  <c r="BK513" i="2"/>
  <c r="I36" i="40" s="1"/>
  <c r="BJ513" i="2"/>
  <c r="BI513" i="2"/>
  <c r="BH513" i="2"/>
  <c r="BG513" i="2"/>
  <c r="BF513" i="2"/>
  <c r="BE513" i="2"/>
  <c r="BD513" i="2"/>
  <c r="BC513" i="2"/>
  <c r="BB513" i="2"/>
  <c r="BA513" i="2"/>
  <c r="AZ513" i="2"/>
  <c r="AY513" i="2"/>
  <c r="BL512" i="2"/>
  <c r="J35" i="40" s="1"/>
  <c r="BK512" i="2"/>
  <c r="I35" i="40" s="1"/>
  <c r="BJ512" i="2"/>
  <c r="BI512" i="2"/>
  <c r="BH512" i="2"/>
  <c r="BG512" i="2"/>
  <c r="BF512" i="2"/>
  <c r="BE512" i="2"/>
  <c r="BD512" i="2"/>
  <c r="BC512" i="2"/>
  <c r="BB512" i="2"/>
  <c r="BA512" i="2"/>
  <c r="AZ512" i="2"/>
  <c r="AY512" i="2"/>
  <c r="BL511" i="2"/>
  <c r="J34" i="40" s="1"/>
  <c r="BK511" i="2"/>
  <c r="I34" i="40" s="1"/>
  <c r="BJ511" i="2"/>
  <c r="BI511" i="2"/>
  <c r="BH511" i="2"/>
  <c r="BG511" i="2"/>
  <c r="BF511" i="2"/>
  <c r="BE511" i="2"/>
  <c r="BD511" i="2"/>
  <c r="BC511" i="2"/>
  <c r="BB511" i="2"/>
  <c r="BA511" i="2"/>
  <c r="AZ511" i="2"/>
  <c r="AY511" i="2"/>
  <c r="BL510" i="2"/>
  <c r="J33" i="40" s="1"/>
  <c r="BK510" i="2"/>
  <c r="I33" i="40" s="1"/>
  <c r="BJ510" i="2"/>
  <c r="BI510" i="2"/>
  <c r="BH510" i="2"/>
  <c r="BG510" i="2"/>
  <c r="BF510" i="2"/>
  <c r="BE510" i="2"/>
  <c r="BD510" i="2"/>
  <c r="BC510" i="2"/>
  <c r="BB510" i="2"/>
  <c r="BA510" i="2"/>
  <c r="AZ510" i="2"/>
  <c r="AY510" i="2"/>
  <c r="BL509" i="2"/>
  <c r="J32" i="40" s="1"/>
  <c r="BK509" i="2"/>
  <c r="I32" i="40" s="1"/>
  <c r="BJ509" i="2"/>
  <c r="BI509" i="2"/>
  <c r="BH509" i="2"/>
  <c r="BG509" i="2"/>
  <c r="BF509" i="2"/>
  <c r="BE509" i="2"/>
  <c r="BD509" i="2"/>
  <c r="BC509" i="2"/>
  <c r="BB509" i="2"/>
  <c r="BA509" i="2"/>
  <c r="AZ509" i="2"/>
  <c r="AY509" i="2"/>
  <c r="BL508" i="2"/>
  <c r="J31" i="40" s="1"/>
  <c r="BK508" i="2"/>
  <c r="I31" i="40" s="1"/>
  <c r="BJ508" i="2"/>
  <c r="BI508" i="2"/>
  <c r="BH508" i="2"/>
  <c r="BG508" i="2"/>
  <c r="BF508" i="2"/>
  <c r="BE508" i="2"/>
  <c r="BD508" i="2"/>
  <c r="BC508" i="2"/>
  <c r="BB508" i="2"/>
  <c r="BA508" i="2"/>
  <c r="AZ508" i="2"/>
  <c r="AY508" i="2"/>
  <c r="BL507" i="2"/>
  <c r="J30" i="40" s="1"/>
  <c r="BK507" i="2"/>
  <c r="I30" i="40" s="1"/>
  <c r="BJ507" i="2"/>
  <c r="BI507" i="2"/>
  <c r="BH507" i="2"/>
  <c r="BG507" i="2"/>
  <c r="BF507" i="2"/>
  <c r="BE507" i="2"/>
  <c r="BD507" i="2"/>
  <c r="BC507" i="2"/>
  <c r="BB507" i="2"/>
  <c r="BA507" i="2"/>
  <c r="AZ507" i="2"/>
  <c r="AY507" i="2"/>
  <c r="BL506" i="2"/>
  <c r="J29" i="40" s="1"/>
  <c r="BK506" i="2"/>
  <c r="I29" i="40" s="1"/>
  <c r="BJ506" i="2"/>
  <c r="BI506" i="2"/>
  <c r="BH506" i="2"/>
  <c r="BG506" i="2"/>
  <c r="BF506" i="2"/>
  <c r="BE506" i="2"/>
  <c r="BD506" i="2"/>
  <c r="BC506" i="2"/>
  <c r="BB506" i="2"/>
  <c r="BA506" i="2"/>
  <c r="AZ506" i="2"/>
  <c r="AY506" i="2"/>
  <c r="BL505" i="2"/>
  <c r="J28" i="40" s="1"/>
  <c r="BK505" i="2"/>
  <c r="I28" i="40" s="1"/>
  <c r="BJ505" i="2"/>
  <c r="BI505" i="2"/>
  <c r="BH505" i="2"/>
  <c r="BG505" i="2"/>
  <c r="BF505" i="2"/>
  <c r="BE505" i="2"/>
  <c r="BD505" i="2"/>
  <c r="BC505" i="2"/>
  <c r="BB505" i="2"/>
  <c r="BA505" i="2"/>
  <c r="AZ505" i="2"/>
  <c r="AY505" i="2"/>
  <c r="BL504" i="2"/>
  <c r="J27" i="40" s="1"/>
  <c r="BK504" i="2"/>
  <c r="I27" i="40" s="1"/>
  <c r="BJ504" i="2"/>
  <c r="BI504" i="2"/>
  <c r="BH504" i="2"/>
  <c r="BG504" i="2"/>
  <c r="BF504" i="2"/>
  <c r="BE504" i="2"/>
  <c r="BD504" i="2"/>
  <c r="BC504" i="2"/>
  <c r="BB504" i="2"/>
  <c r="BA504" i="2"/>
  <c r="AZ504" i="2"/>
  <c r="AY504" i="2"/>
  <c r="BL503" i="2"/>
  <c r="J26" i="40" s="1"/>
  <c r="BK503" i="2"/>
  <c r="I26" i="40" s="1"/>
  <c r="BJ503" i="2"/>
  <c r="BI503" i="2"/>
  <c r="BH503" i="2"/>
  <c r="BG503" i="2"/>
  <c r="BF503" i="2"/>
  <c r="BE503" i="2"/>
  <c r="BD503" i="2"/>
  <c r="BC503" i="2"/>
  <c r="BB503" i="2"/>
  <c r="BA503" i="2"/>
  <c r="AZ503" i="2"/>
  <c r="AY503" i="2"/>
  <c r="BL502" i="2"/>
  <c r="J25" i="40" s="1"/>
  <c r="BK502" i="2"/>
  <c r="I25" i="40" s="1"/>
  <c r="BJ502" i="2"/>
  <c r="BI502" i="2"/>
  <c r="BH502" i="2"/>
  <c r="BG502" i="2"/>
  <c r="BF502" i="2"/>
  <c r="BE502" i="2"/>
  <c r="BD502" i="2"/>
  <c r="BC502" i="2"/>
  <c r="BB502" i="2"/>
  <c r="BA502" i="2"/>
  <c r="AZ502" i="2"/>
  <c r="AY502" i="2"/>
  <c r="BL501" i="2"/>
  <c r="J24" i="40" s="1"/>
  <c r="BK501" i="2"/>
  <c r="I24" i="40" s="1"/>
  <c r="BJ501" i="2"/>
  <c r="BI501" i="2"/>
  <c r="BH501" i="2"/>
  <c r="BG501" i="2"/>
  <c r="BF501" i="2"/>
  <c r="BE501" i="2"/>
  <c r="BD501" i="2"/>
  <c r="BC501" i="2"/>
  <c r="BB501" i="2"/>
  <c r="BA501" i="2"/>
  <c r="AZ501" i="2"/>
  <c r="AY501" i="2"/>
  <c r="BL500" i="2"/>
  <c r="J23" i="40" s="1"/>
  <c r="BK500" i="2"/>
  <c r="I23" i="40" s="1"/>
  <c r="BJ500" i="2"/>
  <c r="BI500" i="2"/>
  <c r="BH500" i="2"/>
  <c r="BG500" i="2"/>
  <c r="BF500" i="2"/>
  <c r="BE500" i="2"/>
  <c r="BD500" i="2"/>
  <c r="BC500" i="2"/>
  <c r="BB500" i="2"/>
  <c r="BA500" i="2"/>
  <c r="AZ500" i="2"/>
  <c r="AY500" i="2"/>
  <c r="BL499" i="2"/>
  <c r="J22" i="40" s="1"/>
  <c r="BK499" i="2"/>
  <c r="I22" i="40" s="1"/>
  <c r="BJ499" i="2"/>
  <c r="BI499" i="2"/>
  <c r="BH499" i="2"/>
  <c r="BG499" i="2"/>
  <c r="BF499" i="2"/>
  <c r="BE499" i="2"/>
  <c r="BD499" i="2"/>
  <c r="BC499" i="2"/>
  <c r="BB499" i="2"/>
  <c r="BA499" i="2"/>
  <c r="AZ499" i="2"/>
  <c r="AY499" i="2"/>
  <c r="BL498" i="2"/>
  <c r="J21" i="40" s="1"/>
  <c r="BK498" i="2"/>
  <c r="I21" i="40" s="1"/>
  <c r="BJ498" i="2"/>
  <c r="BI498" i="2"/>
  <c r="BH498" i="2"/>
  <c r="BG498" i="2"/>
  <c r="BF498" i="2"/>
  <c r="BE498" i="2"/>
  <c r="BD498" i="2"/>
  <c r="BC498" i="2"/>
  <c r="BB498" i="2"/>
  <c r="BA498" i="2"/>
  <c r="AZ498" i="2"/>
  <c r="AY498" i="2"/>
  <c r="BL497" i="2"/>
  <c r="J20" i="40" s="1"/>
  <c r="BK497" i="2"/>
  <c r="I20" i="40" s="1"/>
  <c r="BJ497" i="2"/>
  <c r="BI497" i="2"/>
  <c r="BH497" i="2"/>
  <c r="BG497" i="2"/>
  <c r="BF497" i="2"/>
  <c r="BE497" i="2"/>
  <c r="BD497" i="2"/>
  <c r="BC497" i="2"/>
  <c r="BB497" i="2"/>
  <c r="BA497" i="2"/>
  <c r="AZ497" i="2"/>
  <c r="AY497" i="2"/>
  <c r="BL496" i="2"/>
  <c r="J19" i="40" s="1"/>
  <c r="BK496" i="2"/>
  <c r="I19" i="40" s="1"/>
  <c r="BJ496" i="2"/>
  <c r="BI496" i="2"/>
  <c r="BH496" i="2"/>
  <c r="BG496" i="2"/>
  <c r="BF496" i="2"/>
  <c r="BE496" i="2"/>
  <c r="BD496" i="2"/>
  <c r="BC496" i="2"/>
  <c r="BB496" i="2"/>
  <c r="BA496" i="2"/>
  <c r="AZ496" i="2"/>
  <c r="AY496" i="2"/>
  <c r="BL495" i="2"/>
  <c r="J18" i="40" s="1"/>
  <c r="BK495" i="2"/>
  <c r="I18" i="40" s="1"/>
  <c r="BJ495" i="2"/>
  <c r="BI495" i="2"/>
  <c r="BH495" i="2"/>
  <c r="BG495" i="2"/>
  <c r="BF495" i="2"/>
  <c r="BE495" i="2"/>
  <c r="BD495" i="2"/>
  <c r="BC495" i="2"/>
  <c r="BB495" i="2"/>
  <c r="BA495" i="2"/>
  <c r="AZ495" i="2"/>
  <c r="AY495" i="2"/>
  <c r="BL494" i="2"/>
  <c r="J17" i="40" s="1"/>
  <c r="BK494" i="2"/>
  <c r="I17" i="40" s="1"/>
  <c r="BJ494" i="2"/>
  <c r="BI494" i="2"/>
  <c r="BH494" i="2"/>
  <c r="BG494" i="2"/>
  <c r="BF494" i="2"/>
  <c r="BE494" i="2"/>
  <c r="BD494" i="2"/>
  <c r="BC494" i="2"/>
  <c r="BB494" i="2"/>
  <c r="BA494" i="2"/>
  <c r="AZ494" i="2"/>
  <c r="AY494" i="2"/>
  <c r="BL493" i="2"/>
  <c r="J16" i="40" s="1"/>
  <c r="BK493" i="2"/>
  <c r="I16" i="40" s="1"/>
  <c r="BJ493" i="2"/>
  <c r="BI493" i="2"/>
  <c r="BH493" i="2"/>
  <c r="BG493" i="2"/>
  <c r="BF493" i="2"/>
  <c r="BE493" i="2"/>
  <c r="BD493" i="2"/>
  <c r="BC493" i="2"/>
  <c r="BB493" i="2"/>
  <c r="BA493" i="2"/>
  <c r="AZ493" i="2"/>
  <c r="AY493" i="2"/>
  <c r="BL492" i="2"/>
  <c r="J15" i="40" s="1"/>
  <c r="BK492" i="2"/>
  <c r="I15" i="40" s="1"/>
  <c r="BJ492" i="2"/>
  <c r="BI492" i="2"/>
  <c r="BH492" i="2"/>
  <c r="BG492" i="2"/>
  <c r="BF492" i="2"/>
  <c r="BE492" i="2"/>
  <c r="BD492" i="2"/>
  <c r="BC492" i="2"/>
  <c r="BB492" i="2"/>
  <c r="BA492" i="2"/>
  <c r="AZ492" i="2"/>
  <c r="AY492" i="2"/>
  <c r="BL491" i="2"/>
  <c r="J14" i="40" s="1"/>
  <c r="BK491" i="2"/>
  <c r="I14" i="40" s="1"/>
  <c r="BJ491" i="2"/>
  <c r="BI491" i="2"/>
  <c r="BH491" i="2"/>
  <c r="BG491" i="2"/>
  <c r="BF491" i="2"/>
  <c r="BE491" i="2"/>
  <c r="BD491" i="2"/>
  <c r="BC491" i="2"/>
  <c r="BB491" i="2"/>
  <c r="BA491" i="2"/>
  <c r="AZ491" i="2"/>
  <c r="AY491" i="2"/>
  <c r="BL490" i="2"/>
  <c r="J13" i="40" s="1"/>
  <c r="BK490" i="2"/>
  <c r="I13" i="40" s="1"/>
  <c r="BJ490" i="2"/>
  <c r="BI490" i="2"/>
  <c r="BH490" i="2"/>
  <c r="BG490" i="2"/>
  <c r="BF490" i="2"/>
  <c r="BE490" i="2"/>
  <c r="BD490" i="2"/>
  <c r="BC490" i="2"/>
  <c r="BB490" i="2"/>
  <c r="BA490" i="2"/>
  <c r="AZ490" i="2"/>
  <c r="AY490" i="2"/>
  <c r="BL489" i="2"/>
  <c r="J12" i="40" s="1"/>
  <c r="BK489" i="2"/>
  <c r="I12" i="40" s="1"/>
  <c r="BJ489" i="2"/>
  <c r="BI489" i="2"/>
  <c r="BH489" i="2"/>
  <c r="BG489" i="2"/>
  <c r="BF489" i="2"/>
  <c r="BE489" i="2"/>
  <c r="BD489" i="2"/>
  <c r="BC489" i="2"/>
  <c r="BB489" i="2"/>
  <c r="BA489" i="2"/>
  <c r="AZ489" i="2"/>
  <c r="AY489" i="2"/>
  <c r="BL488" i="2"/>
  <c r="J11" i="40" s="1"/>
  <c r="BK488" i="2"/>
  <c r="I11" i="40" s="1"/>
  <c r="BJ488" i="2"/>
  <c r="BI488" i="2"/>
  <c r="BH488" i="2"/>
  <c r="BG488" i="2"/>
  <c r="BF488" i="2"/>
  <c r="BE488" i="2"/>
  <c r="BD488" i="2"/>
  <c r="BC488" i="2"/>
  <c r="BB488" i="2"/>
  <c r="BA488" i="2"/>
  <c r="AZ488" i="2"/>
  <c r="AY488" i="2"/>
  <c r="BL487" i="2"/>
  <c r="J10" i="40" s="1"/>
  <c r="BK487" i="2"/>
  <c r="I10" i="40" s="1"/>
  <c r="BJ487" i="2"/>
  <c r="BI487" i="2"/>
  <c r="BH487" i="2"/>
  <c r="BG487" i="2"/>
  <c r="BF487" i="2"/>
  <c r="BE487" i="2"/>
  <c r="BD487" i="2"/>
  <c r="BC487" i="2"/>
  <c r="BB487" i="2"/>
  <c r="BA487" i="2"/>
  <c r="AZ487" i="2"/>
  <c r="AY487" i="2"/>
  <c r="BL486" i="2"/>
  <c r="J9" i="40" s="1"/>
  <c r="BK486" i="2"/>
  <c r="I9" i="40" s="1"/>
  <c r="BJ486" i="2"/>
  <c r="BI486" i="2"/>
  <c r="BH486" i="2"/>
  <c r="BG486" i="2"/>
  <c r="BF486" i="2"/>
  <c r="BE486" i="2"/>
  <c r="BD486" i="2"/>
  <c r="BC486" i="2"/>
  <c r="BB486" i="2"/>
  <c r="BA486" i="2"/>
  <c r="AZ486" i="2"/>
  <c r="AY486" i="2"/>
  <c r="BL485" i="2"/>
  <c r="J8" i="40" s="1"/>
  <c r="BK485" i="2"/>
  <c r="I8" i="40" s="1"/>
  <c r="BJ485" i="2"/>
  <c r="BI485" i="2"/>
  <c r="BH485" i="2"/>
  <c r="BG485" i="2"/>
  <c r="BF485" i="2"/>
  <c r="BE485" i="2"/>
  <c r="BD485" i="2"/>
  <c r="BC485" i="2"/>
  <c r="BB485" i="2"/>
  <c r="BA485" i="2"/>
  <c r="AZ485" i="2"/>
  <c r="AY485" i="2"/>
  <c r="AI486" i="2"/>
  <c r="AJ486" i="2"/>
  <c r="AK486" i="2"/>
  <c r="AL486" i="2"/>
  <c r="AM486" i="2"/>
  <c r="AN486" i="2"/>
  <c r="AO486" i="2"/>
  <c r="AP486" i="2"/>
  <c r="AQ486" i="2"/>
  <c r="AR486" i="2"/>
  <c r="AS486" i="2"/>
  <c r="AT486" i="2"/>
  <c r="AU486" i="2"/>
  <c r="G9" i="40" s="1"/>
  <c r="AV486" i="2"/>
  <c r="H9" i="40" s="1"/>
  <c r="AI487" i="2"/>
  <c r="AJ487" i="2"/>
  <c r="AK487" i="2"/>
  <c r="AL487" i="2"/>
  <c r="AM487" i="2"/>
  <c r="AN487" i="2"/>
  <c r="AO487" i="2"/>
  <c r="AP487" i="2"/>
  <c r="AQ487" i="2"/>
  <c r="AR487" i="2"/>
  <c r="AS487" i="2"/>
  <c r="AT487" i="2"/>
  <c r="AU487" i="2"/>
  <c r="G10" i="40" s="1"/>
  <c r="AV487" i="2"/>
  <c r="H10" i="40" s="1"/>
  <c r="AI488" i="2"/>
  <c r="AJ488" i="2"/>
  <c r="AK488" i="2"/>
  <c r="AL488" i="2"/>
  <c r="AM488" i="2"/>
  <c r="AN488" i="2"/>
  <c r="AO488" i="2"/>
  <c r="AP488" i="2"/>
  <c r="AQ488" i="2"/>
  <c r="AR488" i="2"/>
  <c r="AS488" i="2"/>
  <c r="AT488" i="2"/>
  <c r="AU488" i="2"/>
  <c r="G11" i="40" s="1"/>
  <c r="AV488" i="2"/>
  <c r="H11" i="40" s="1"/>
  <c r="AI489" i="2"/>
  <c r="AJ489" i="2"/>
  <c r="AK489" i="2"/>
  <c r="AL489" i="2"/>
  <c r="AM489" i="2"/>
  <c r="AN489" i="2"/>
  <c r="AO489" i="2"/>
  <c r="AP489" i="2"/>
  <c r="AQ489" i="2"/>
  <c r="AR489" i="2"/>
  <c r="AS489" i="2"/>
  <c r="AT489" i="2"/>
  <c r="AU489" i="2"/>
  <c r="G12" i="40" s="1"/>
  <c r="AV489" i="2"/>
  <c r="H12" i="40" s="1"/>
  <c r="AI490" i="2"/>
  <c r="AJ490" i="2"/>
  <c r="AK490" i="2"/>
  <c r="AL490" i="2"/>
  <c r="AM490" i="2"/>
  <c r="AN490" i="2"/>
  <c r="AO490" i="2"/>
  <c r="AP490" i="2"/>
  <c r="AQ490" i="2"/>
  <c r="AR490" i="2"/>
  <c r="AS490" i="2"/>
  <c r="AT490" i="2"/>
  <c r="AU490" i="2"/>
  <c r="G13" i="40" s="1"/>
  <c r="AV490" i="2"/>
  <c r="H13" i="40" s="1"/>
  <c r="AI491" i="2"/>
  <c r="AJ491" i="2"/>
  <c r="AK491" i="2"/>
  <c r="AL491" i="2"/>
  <c r="AM491" i="2"/>
  <c r="AN491" i="2"/>
  <c r="AO491" i="2"/>
  <c r="AP491" i="2"/>
  <c r="AQ491" i="2"/>
  <c r="AR491" i="2"/>
  <c r="AS491" i="2"/>
  <c r="AT491" i="2"/>
  <c r="AU491" i="2"/>
  <c r="G14" i="40" s="1"/>
  <c r="AV491" i="2"/>
  <c r="H14" i="40" s="1"/>
  <c r="AI492" i="2"/>
  <c r="AJ492" i="2"/>
  <c r="AK492" i="2"/>
  <c r="AL492" i="2"/>
  <c r="AM492" i="2"/>
  <c r="AN492" i="2"/>
  <c r="AO492" i="2"/>
  <c r="AP492" i="2"/>
  <c r="AQ492" i="2"/>
  <c r="AR492" i="2"/>
  <c r="AS492" i="2"/>
  <c r="AT492" i="2"/>
  <c r="AU492" i="2"/>
  <c r="G15" i="40" s="1"/>
  <c r="AV492" i="2"/>
  <c r="H15" i="40" s="1"/>
  <c r="AI493" i="2"/>
  <c r="AJ493" i="2"/>
  <c r="AK493" i="2"/>
  <c r="AL493" i="2"/>
  <c r="AM493" i="2"/>
  <c r="AN493" i="2"/>
  <c r="AO493" i="2"/>
  <c r="AP493" i="2"/>
  <c r="AQ493" i="2"/>
  <c r="AR493" i="2"/>
  <c r="AS493" i="2"/>
  <c r="AT493" i="2"/>
  <c r="AU493" i="2"/>
  <c r="G16" i="40" s="1"/>
  <c r="AV493" i="2"/>
  <c r="H16" i="40" s="1"/>
  <c r="AI494" i="2"/>
  <c r="AJ494" i="2"/>
  <c r="AK494" i="2"/>
  <c r="AL494" i="2"/>
  <c r="AM494" i="2"/>
  <c r="AN494" i="2"/>
  <c r="AO494" i="2"/>
  <c r="AP494" i="2"/>
  <c r="AQ494" i="2"/>
  <c r="AR494" i="2"/>
  <c r="AS494" i="2"/>
  <c r="AT494" i="2"/>
  <c r="AU494" i="2"/>
  <c r="G17" i="40" s="1"/>
  <c r="AV494" i="2"/>
  <c r="H17" i="40" s="1"/>
  <c r="AI495" i="2"/>
  <c r="AJ495" i="2"/>
  <c r="AK495" i="2"/>
  <c r="AL495" i="2"/>
  <c r="AM495" i="2"/>
  <c r="AN495" i="2"/>
  <c r="AO495" i="2"/>
  <c r="AP495" i="2"/>
  <c r="AQ495" i="2"/>
  <c r="AR495" i="2"/>
  <c r="AS495" i="2"/>
  <c r="AT495" i="2"/>
  <c r="AU495" i="2"/>
  <c r="G18" i="40" s="1"/>
  <c r="AV495" i="2"/>
  <c r="H18" i="40" s="1"/>
  <c r="AI496" i="2"/>
  <c r="AJ496" i="2"/>
  <c r="AK496" i="2"/>
  <c r="AL496" i="2"/>
  <c r="AM496" i="2"/>
  <c r="AN496" i="2"/>
  <c r="AO496" i="2"/>
  <c r="AP496" i="2"/>
  <c r="AQ496" i="2"/>
  <c r="AR496" i="2"/>
  <c r="AS496" i="2"/>
  <c r="AT496" i="2"/>
  <c r="AU496" i="2"/>
  <c r="G19" i="40" s="1"/>
  <c r="AV496" i="2"/>
  <c r="H19" i="40" s="1"/>
  <c r="AI497" i="2"/>
  <c r="AJ497" i="2"/>
  <c r="AK497" i="2"/>
  <c r="AL497" i="2"/>
  <c r="AM497" i="2"/>
  <c r="AN497" i="2"/>
  <c r="AO497" i="2"/>
  <c r="AP497" i="2"/>
  <c r="AQ497" i="2"/>
  <c r="AR497" i="2"/>
  <c r="AS497" i="2"/>
  <c r="AT497" i="2"/>
  <c r="AU497" i="2"/>
  <c r="G20" i="40" s="1"/>
  <c r="AV497" i="2"/>
  <c r="H20" i="40" s="1"/>
  <c r="AI498" i="2"/>
  <c r="AJ498" i="2"/>
  <c r="AK498" i="2"/>
  <c r="AL498" i="2"/>
  <c r="AM498" i="2"/>
  <c r="AN498" i="2"/>
  <c r="AO498" i="2"/>
  <c r="AP498" i="2"/>
  <c r="AQ498" i="2"/>
  <c r="AR498" i="2"/>
  <c r="AS498" i="2"/>
  <c r="AT498" i="2"/>
  <c r="AU498" i="2"/>
  <c r="G21" i="40" s="1"/>
  <c r="AV498" i="2"/>
  <c r="H21" i="40" s="1"/>
  <c r="AI499" i="2"/>
  <c r="AJ499" i="2"/>
  <c r="AK499" i="2"/>
  <c r="AL499" i="2"/>
  <c r="AM499" i="2"/>
  <c r="AN499" i="2"/>
  <c r="AO499" i="2"/>
  <c r="AP499" i="2"/>
  <c r="AQ499" i="2"/>
  <c r="AR499" i="2"/>
  <c r="AS499" i="2"/>
  <c r="AT499" i="2"/>
  <c r="AU499" i="2"/>
  <c r="G22" i="40" s="1"/>
  <c r="AV499" i="2"/>
  <c r="H22" i="40" s="1"/>
  <c r="AI500" i="2"/>
  <c r="AJ500" i="2"/>
  <c r="AK500" i="2"/>
  <c r="AL500" i="2"/>
  <c r="AM500" i="2"/>
  <c r="AN500" i="2"/>
  <c r="AO500" i="2"/>
  <c r="AP500" i="2"/>
  <c r="AQ500" i="2"/>
  <c r="AR500" i="2"/>
  <c r="AS500" i="2"/>
  <c r="AT500" i="2"/>
  <c r="AU500" i="2"/>
  <c r="G23" i="40" s="1"/>
  <c r="AV500" i="2"/>
  <c r="H23" i="40" s="1"/>
  <c r="AI501" i="2"/>
  <c r="AJ501" i="2"/>
  <c r="AK501" i="2"/>
  <c r="AL501" i="2"/>
  <c r="AM501" i="2"/>
  <c r="AN501" i="2"/>
  <c r="AO501" i="2"/>
  <c r="AP501" i="2"/>
  <c r="AQ501" i="2"/>
  <c r="AR501" i="2"/>
  <c r="AS501" i="2"/>
  <c r="AT501" i="2"/>
  <c r="AU501" i="2"/>
  <c r="G24" i="40" s="1"/>
  <c r="AV501" i="2"/>
  <c r="H24" i="40" s="1"/>
  <c r="AI502" i="2"/>
  <c r="AJ502" i="2"/>
  <c r="AK502" i="2"/>
  <c r="AL502" i="2"/>
  <c r="AM502" i="2"/>
  <c r="AN502" i="2"/>
  <c r="AO502" i="2"/>
  <c r="AP502" i="2"/>
  <c r="AQ502" i="2"/>
  <c r="AR502" i="2"/>
  <c r="AS502" i="2"/>
  <c r="AT502" i="2"/>
  <c r="AU502" i="2"/>
  <c r="G25" i="40" s="1"/>
  <c r="AV502" i="2"/>
  <c r="H25" i="40" s="1"/>
  <c r="AI503" i="2"/>
  <c r="AJ503" i="2"/>
  <c r="AK503" i="2"/>
  <c r="AL503" i="2"/>
  <c r="AM503" i="2"/>
  <c r="AN503" i="2"/>
  <c r="AO503" i="2"/>
  <c r="AP503" i="2"/>
  <c r="AQ503" i="2"/>
  <c r="AR503" i="2"/>
  <c r="AS503" i="2"/>
  <c r="AT503" i="2"/>
  <c r="AU503" i="2"/>
  <c r="G26" i="40" s="1"/>
  <c r="AV503" i="2"/>
  <c r="H26" i="40" s="1"/>
  <c r="AI504" i="2"/>
  <c r="AJ504" i="2"/>
  <c r="AK504" i="2"/>
  <c r="AL504" i="2"/>
  <c r="AM504" i="2"/>
  <c r="AN504" i="2"/>
  <c r="AO504" i="2"/>
  <c r="AP504" i="2"/>
  <c r="AQ504" i="2"/>
  <c r="AR504" i="2"/>
  <c r="AS504" i="2"/>
  <c r="AT504" i="2"/>
  <c r="AU504" i="2"/>
  <c r="G27" i="40" s="1"/>
  <c r="AV504" i="2"/>
  <c r="H27" i="40" s="1"/>
  <c r="AI505" i="2"/>
  <c r="AJ505" i="2"/>
  <c r="AK505" i="2"/>
  <c r="AL505" i="2"/>
  <c r="AM505" i="2"/>
  <c r="AN505" i="2"/>
  <c r="AO505" i="2"/>
  <c r="AP505" i="2"/>
  <c r="AQ505" i="2"/>
  <c r="AR505" i="2"/>
  <c r="AS505" i="2"/>
  <c r="AT505" i="2"/>
  <c r="AU505" i="2"/>
  <c r="G28" i="40" s="1"/>
  <c r="AV505" i="2"/>
  <c r="H28" i="40" s="1"/>
  <c r="AI506" i="2"/>
  <c r="AJ506" i="2"/>
  <c r="AK506" i="2"/>
  <c r="AL506" i="2"/>
  <c r="AM506" i="2"/>
  <c r="AN506" i="2"/>
  <c r="AO506" i="2"/>
  <c r="AP506" i="2"/>
  <c r="AQ506" i="2"/>
  <c r="AR506" i="2"/>
  <c r="AS506" i="2"/>
  <c r="AT506" i="2"/>
  <c r="AU506" i="2"/>
  <c r="G29" i="40" s="1"/>
  <c r="AV506" i="2"/>
  <c r="H29" i="40" s="1"/>
  <c r="AI507" i="2"/>
  <c r="AJ507" i="2"/>
  <c r="AK507" i="2"/>
  <c r="AL507" i="2"/>
  <c r="AM507" i="2"/>
  <c r="AN507" i="2"/>
  <c r="AO507" i="2"/>
  <c r="AP507" i="2"/>
  <c r="AQ507" i="2"/>
  <c r="AR507" i="2"/>
  <c r="AS507" i="2"/>
  <c r="AT507" i="2"/>
  <c r="AU507" i="2"/>
  <c r="G30" i="40" s="1"/>
  <c r="AV507" i="2"/>
  <c r="H30" i="40" s="1"/>
  <c r="AI508" i="2"/>
  <c r="AJ508" i="2"/>
  <c r="AK508" i="2"/>
  <c r="AL508" i="2"/>
  <c r="AM508" i="2"/>
  <c r="AN508" i="2"/>
  <c r="AO508" i="2"/>
  <c r="AP508" i="2"/>
  <c r="AQ508" i="2"/>
  <c r="AR508" i="2"/>
  <c r="AS508" i="2"/>
  <c r="AT508" i="2"/>
  <c r="AU508" i="2"/>
  <c r="G31" i="40" s="1"/>
  <c r="AV508" i="2"/>
  <c r="H31" i="40" s="1"/>
  <c r="AI509" i="2"/>
  <c r="AJ509" i="2"/>
  <c r="AK509" i="2"/>
  <c r="AL509" i="2"/>
  <c r="AM509" i="2"/>
  <c r="AN509" i="2"/>
  <c r="AO509" i="2"/>
  <c r="AP509" i="2"/>
  <c r="AQ509" i="2"/>
  <c r="AR509" i="2"/>
  <c r="AS509" i="2"/>
  <c r="AT509" i="2"/>
  <c r="AU509" i="2"/>
  <c r="G32" i="40" s="1"/>
  <c r="AV509" i="2"/>
  <c r="H32" i="40" s="1"/>
  <c r="AI510" i="2"/>
  <c r="AJ510" i="2"/>
  <c r="AK510" i="2"/>
  <c r="AL510" i="2"/>
  <c r="AM510" i="2"/>
  <c r="AN510" i="2"/>
  <c r="AO510" i="2"/>
  <c r="AP510" i="2"/>
  <c r="AQ510" i="2"/>
  <c r="AR510" i="2"/>
  <c r="AS510" i="2"/>
  <c r="AT510" i="2"/>
  <c r="AU510" i="2"/>
  <c r="G33" i="40" s="1"/>
  <c r="AV510" i="2"/>
  <c r="H33" i="40" s="1"/>
  <c r="AI511" i="2"/>
  <c r="AJ511" i="2"/>
  <c r="AK511" i="2"/>
  <c r="AL511" i="2"/>
  <c r="AM511" i="2"/>
  <c r="AN511" i="2"/>
  <c r="AO511" i="2"/>
  <c r="AP511" i="2"/>
  <c r="AQ511" i="2"/>
  <c r="AR511" i="2"/>
  <c r="AS511" i="2"/>
  <c r="AT511" i="2"/>
  <c r="AU511" i="2"/>
  <c r="G34" i="40" s="1"/>
  <c r="AV511" i="2"/>
  <c r="H34" i="40" s="1"/>
  <c r="AI512" i="2"/>
  <c r="AJ512" i="2"/>
  <c r="AK512" i="2"/>
  <c r="AL512" i="2"/>
  <c r="AM512" i="2"/>
  <c r="AN512" i="2"/>
  <c r="AO512" i="2"/>
  <c r="AP512" i="2"/>
  <c r="AQ512" i="2"/>
  <c r="AR512" i="2"/>
  <c r="AS512" i="2"/>
  <c r="AT512" i="2"/>
  <c r="AU512" i="2"/>
  <c r="G35" i="40" s="1"/>
  <c r="AV512" i="2"/>
  <c r="H35" i="40" s="1"/>
  <c r="AI513" i="2"/>
  <c r="AJ513" i="2"/>
  <c r="AK513" i="2"/>
  <c r="AL513" i="2"/>
  <c r="AM513" i="2"/>
  <c r="AN513" i="2"/>
  <c r="AO513" i="2"/>
  <c r="AP513" i="2"/>
  <c r="AQ513" i="2"/>
  <c r="AR513" i="2"/>
  <c r="AS513" i="2"/>
  <c r="AT513" i="2"/>
  <c r="AU513" i="2"/>
  <c r="G36" i="40" s="1"/>
  <c r="AV513" i="2"/>
  <c r="H36" i="40" s="1"/>
  <c r="AI514" i="2"/>
  <c r="AJ514" i="2"/>
  <c r="AK514" i="2"/>
  <c r="AL514" i="2"/>
  <c r="AM514" i="2"/>
  <c r="AN514" i="2"/>
  <c r="AO514" i="2"/>
  <c r="AP514" i="2"/>
  <c r="AQ514" i="2"/>
  <c r="G37" i="50" s="1"/>
  <c r="AR514" i="2"/>
  <c r="H37" i="50" s="1"/>
  <c r="AS514" i="2"/>
  <c r="AT514" i="2"/>
  <c r="AU514" i="2"/>
  <c r="G37" i="40" s="1"/>
  <c r="AV514" i="2"/>
  <c r="H37" i="40" s="1"/>
  <c r="AI515" i="2"/>
  <c r="AJ515" i="2"/>
  <c r="AK515" i="2"/>
  <c r="AL515" i="2"/>
  <c r="AM515" i="2"/>
  <c r="AN515" i="2"/>
  <c r="AO515" i="2"/>
  <c r="AP515" i="2"/>
  <c r="AQ515" i="2"/>
  <c r="G38" i="50" s="1"/>
  <c r="AR515" i="2"/>
  <c r="H38" i="50" s="1"/>
  <c r="AS515" i="2"/>
  <c r="AT515" i="2"/>
  <c r="AU515" i="2"/>
  <c r="G38" i="40" s="1"/>
  <c r="AV515" i="2"/>
  <c r="H38" i="40" s="1"/>
  <c r="AI516" i="2"/>
  <c r="AJ516" i="2"/>
  <c r="AK516" i="2"/>
  <c r="AL516" i="2"/>
  <c r="AM516" i="2"/>
  <c r="AN516" i="2"/>
  <c r="AO516" i="2"/>
  <c r="AP516" i="2"/>
  <c r="AQ516" i="2"/>
  <c r="G39" i="50" s="1"/>
  <c r="AR516" i="2"/>
  <c r="H39" i="50" s="1"/>
  <c r="AS516" i="2"/>
  <c r="AT516" i="2"/>
  <c r="AU516" i="2"/>
  <c r="G39" i="40" s="1"/>
  <c r="AV516" i="2"/>
  <c r="H39" i="40" s="1"/>
  <c r="AI517" i="2"/>
  <c r="AJ517" i="2"/>
  <c r="AK517" i="2"/>
  <c r="AL517" i="2"/>
  <c r="AM517" i="2"/>
  <c r="AN517" i="2"/>
  <c r="AO517" i="2"/>
  <c r="AP517" i="2"/>
  <c r="AQ517" i="2"/>
  <c r="G40" i="50" s="1"/>
  <c r="AR517" i="2"/>
  <c r="H40" i="50" s="1"/>
  <c r="AS517" i="2"/>
  <c r="AT517" i="2"/>
  <c r="AU517" i="2"/>
  <c r="G40" i="40" s="1"/>
  <c r="AV517" i="2"/>
  <c r="H40" i="40" s="1"/>
  <c r="AI518" i="2"/>
  <c r="AJ518" i="2"/>
  <c r="AK518" i="2"/>
  <c r="AL518" i="2"/>
  <c r="AM518" i="2"/>
  <c r="AN518" i="2"/>
  <c r="AO518" i="2"/>
  <c r="AP518" i="2"/>
  <c r="AQ518" i="2"/>
  <c r="G41" i="50" s="1"/>
  <c r="AR518" i="2"/>
  <c r="H41" i="50" s="1"/>
  <c r="AS518" i="2"/>
  <c r="AT518" i="2"/>
  <c r="AU518" i="2"/>
  <c r="G41" i="40" s="1"/>
  <c r="AV518" i="2"/>
  <c r="H41" i="40" s="1"/>
  <c r="AI519" i="2"/>
  <c r="AJ519" i="2"/>
  <c r="AK519" i="2"/>
  <c r="AL519" i="2"/>
  <c r="AM519" i="2"/>
  <c r="AN519" i="2"/>
  <c r="AO519" i="2"/>
  <c r="AP519" i="2"/>
  <c r="AQ519" i="2"/>
  <c r="G42" i="50" s="1"/>
  <c r="AR519" i="2"/>
  <c r="H42" i="50" s="1"/>
  <c r="AS519" i="2"/>
  <c r="AT519" i="2"/>
  <c r="AU519" i="2"/>
  <c r="G42" i="40" s="1"/>
  <c r="AV519" i="2"/>
  <c r="H42" i="40" s="1"/>
  <c r="AI520" i="2"/>
  <c r="AJ520" i="2"/>
  <c r="AK520" i="2"/>
  <c r="AL520" i="2"/>
  <c r="AM520" i="2"/>
  <c r="AN520" i="2"/>
  <c r="AO520" i="2"/>
  <c r="AP520" i="2"/>
  <c r="AQ520" i="2"/>
  <c r="G43" i="50" s="1"/>
  <c r="AR520" i="2"/>
  <c r="H43" i="50" s="1"/>
  <c r="AS520" i="2"/>
  <c r="AT520" i="2"/>
  <c r="AU520" i="2"/>
  <c r="G43" i="40" s="1"/>
  <c r="AV520" i="2"/>
  <c r="H43" i="40" s="1"/>
  <c r="AI521" i="2"/>
  <c r="AJ521" i="2"/>
  <c r="AK521" i="2"/>
  <c r="AL521" i="2"/>
  <c r="AM521" i="2"/>
  <c r="AN521" i="2"/>
  <c r="AO521" i="2"/>
  <c r="AP521" i="2"/>
  <c r="AQ521" i="2"/>
  <c r="G44" i="50" s="1"/>
  <c r="AR521" i="2"/>
  <c r="H44" i="50" s="1"/>
  <c r="AS521" i="2"/>
  <c r="AT521" i="2"/>
  <c r="AU521" i="2"/>
  <c r="G44" i="40" s="1"/>
  <c r="AV521" i="2"/>
  <c r="H44" i="40" s="1"/>
  <c r="AJ485" i="2"/>
  <c r="AK485" i="2"/>
  <c r="AL485" i="2"/>
  <c r="AM485" i="2"/>
  <c r="AN485" i="2"/>
  <c r="AO485" i="2"/>
  <c r="AP485" i="2"/>
  <c r="AQ485" i="2"/>
  <c r="AR485" i="2"/>
  <c r="AS485" i="2"/>
  <c r="AT485" i="2"/>
  <c r="AU485" i="2"/>
  <c r="G8" i="40" s="1"/>
  <c r="AV485" i="2"/>
  <c r="H8" i="40" s="1"/>
  <c r="AI485" i="2"/>
  <c r="S486" i="2"/>
  <c r="T486" i="2"/>
  <c r="U486" i="2"/>
  <c r="V486" i="2"/>
  <c r="W486" i="2"/>
  <c r="X486" i="2"/>
  <c r="Y486" i="2"/>
  <c r="Z486" i="2"/>
  <c r="AA486" i="2"/>
  <c r="AB486" i="2"/>
  <c r="AC486" i="2"/>
  <c r="AD486" i="2"/>
  <c r="S487" i="2"/>
  <c r="T487" i="2"/>
  <c r="U487" i="2"/>
  <c r="V487" i="2"/>
  <c r="W487" i="2"/>
  <c r="X487" i="2"/>
  <c r="Y487" i="2"/>
  <c r="Z487" i="2"/>
  <c r="AA487" i="2"/>
  <c r="AB487" i="2"/>
  <c r="AC487" i="2"/>
  <c r="AD487" i="2"/>
  <c r="S488" i="2"/>
  <c r="T488" i="2"/>
  <c r="U488" i="2"/>
  <c r="V488" i="2"/>
  <c r="W488" i="2"/>
  <c r="X488" i="2"/>
  <c r="Y488" i="2"/>
  <c r="Z488" i="2"/>
  <c r="AA488" i="2"/>
  <c r="AB488" i="2"/>
  <c r="AC488" i="2"/>
  <c r="AD488" i="2"/>
  <c r="S489" i="2"/>
  <c r="T489" i="2"/>
  <c r="U489" i="2"/>
  <c r="V489" i="2"/>
  <c r="W489" i="2"/>
  <c r="X489" i="2"/>
  <c r="Y489" i="2"/>
  <c r="Z489" i="2"/>
  <c r="AA489" i="2"/>
  <c r="AB489" i="2"/>
  <c r="AC489" i="2"/>
  <c r="AD489" i="2"/>
  <c r="S490" i="2"/>
  <c r="T490" i="2"/>
  <c r="U490" i="2"/>
  <c r="V490" i="2"/>
  <c r="W490" i="2"/>
  <c r="X490" i="2"/>
  <c r="Y490" i="2"/>
  <c r="Z490" i="2"/>
  <c r="AA490" i="2"/>
  <c r="AB490" i="2"/>
  <c r="AC490" i="2"/>
  <c r="AD490" i="2"/>
  <c r="S491" i="2"/>
  <c r="T491" i="2"/>
  <c r="U491" i="2"/>
  <c r="V491" i="2"/>
  <c r="W491" i="2"/>
  <c r="X491" i="2"/>
  <c r="Y491" i="2"/>
  <c r="Z491" i="2"/>
  <c r="AA491" i="2"/>
  <c r="AB491" i="2"/>
  <c r="AC491" i="2"/>
  <c r="AD491" i="2"/>
  <c r="S492" i="2"/>
  <c r="T492" i="2"/>
  <c r="U492" i="2"/>
  <c r="V492" i="2"/>
  <c r="W492" i="2"/>
  <c r="X492" i="2"/>
  <c r="Y492" i="2"/>
  <c r="Z492" i="2"/>
  <c r="AA492" i="2"/>
  <c r="AB492" i="2"/>
  <c r="AC492" i="2"/>
  <c r="AD492" i="2"/>
  <c r="S493" i="2"/>
  <c r="T493" i="2"/>
  <c r="U493" i="2"/>
  <c r="V493" i="2"/>
  <c r="W493" i="2"/>
  <c r="X493" i="2"/>
  <c r="Y493" i="2"/>
  <c r="Z493" i="2"/>
  <c r="AA493" i="2"/>
  <c r="AB493" i="2"/>
  <c r="AC493" i="2"/>
  <c r="AD493" i="2"/>
  <c r="S494" i="2"/>
  <c r="T494" i="2"/>
  <c r="U494" i="2"/>
  <c r="V494" i="2"/>
  <c r="W494" i="2"/>
  <c r="X494" i="2"/>
  <c r="Y494" i="2"/>
  <c r="Z494" i="2"/>
  <c r="AA494" i="2"/>
  <c r="AB494" i="2"/>
  <c r="AC494" i="2"/>
  <c r="AD494" i="2"/>
  <c r="S495" i="2"/>
  <c r="T495" i="2"/>
  <c r="U495" i="2"/>
  <c r="V495" i="2"/>
  <c r="W495" i="2"/>
  <c r="X495" i="2"/>
  <c r="Y495" i="2"/>
  <c r="Z495" i="2"/>
  <c r="AA495" i="2"/>
  <c r="AB495" i="2"/>
  <c r="AC495" i="2"/>
  <c r="AD495" i="2"/>
  <c r="S496" i="2"/>
  <c r="T496" i="2"/>
  <c r="U496" i="2"/>
  <c r="V496" i="2"/>
  <c r="W496" i="2"/>
  <c r="X496" i="2"/>
  <c r="Y496" i="2"/>
  <c r="Z496" i="2"/>
  <c r="AA496" i="2"/>
  <c r="AB496" i="2"/>
  <c r="AC496" i="2"/>
  <c r="AD496" i="2"/>
  <c r="S497" i="2"/>
  <c r="T497" i="2"/>
  <c r="U497" i="2"/>
  <c r="V497" i="2"/>
  <c r="W497" i="2"/>
  <c r="X497" i="2"/>
  <c r="Y497" i="2"/>
  <c r="Z497" i="2"/>
  <c r="AA497" i="2"/>
  <c r="AB497" i="2"/>
  <c r="AC497" i="2"/>
  <c r="AD497" i="2"/>
  <c r="S498" i="2"/>
  <c r="T498" i="2"/>
  <c r="U498" i="2"/>
  <c r="V498" i="2"/>
  <c r="W498" i="2"/>
  <c r="X498" i="2"/>
  <c r="Y498" i="2"/>
  <c r="Z498" i="2"/>
  <c r="AA498" i="2"/>
  <c r="AB498" i="2"/>
  <c r="AC498" i="2"/>
  <c r="AD498" i="2"/>
  <c r="S499" i="2"/>
  <c r="T499" i="2"/>
  <c r="U499" i="2"/>
  <c r="V499" i="2"/>
  <c r="W499" i="2"/>
  <c r="X499" i="2"/>
  <c r="Y499" i="2"/>
  <c r="Z499" i="2"/>
  <c r="AA499" i="2"/>
  <c r="AB499" i="2"/>
  <c r="AC499" i="2"/>
  <c r="AD499" i="2"/>
  <c r="S500" i="2"/>
  <c r="T500" i="2"/>
  <c r="U500" i="2"/>
  <c r="V500" i="2"/>
  <c r="W500" i="2"/>
  <c r="X500" i="2"/>
  <c r="Y500" i="2"/>
  <c r="Z500" i="2"/>
  <c r="AA500" i="2"/>
  <c r="AB500" i="2"/>
  <c r="AC500" i="2"/>
  <c r="AD500" i="2"/>
  <c r="S501" i="2"/>
  <c r="T501" i="2"/>
  <c r="U501" i="2"/>
  <c r="V501" i="2"/>
  <c r="W501" i="2"/>
  <c r="X501" i="2"/>
  <c r="Y501" i="2"/>
  <c r="Z501" i="2"/>
  <c r="AA501" i="2"/>
  <c r="AB501" i="2"/>
  <c r="AC501" i="2"/>
  <c r="AD501" i="2"/>
  <c r="S502" i="2"/>
  <c r="T502" i="2"/>
  <c r="U502" i="2"/>
  <c r="V502" i="2"/>
  <c r="W502" i="2"/>
  <c r="X502" i="2"/>
  <c r="Y502" i="2"/>
  <c r="Z502" i="2"/>
  <c r="AA502" i="2"/>
  <c r="AB502" i="2"/>
  <c r="AC502" i="2"/>
  <c r="AD502" i="2"/>
  <c r="S503" i="2"/>
  <c r="T503" i="2"/>
  <c r="U503" i="2"/>
  <c r="V503" i="2"/>
  <c r="W503" i="2"/>
  <c r="X503" i="2"/>
  <c r="Y503" i="2"/>
  <c r="Z503" i="2"/>
  <c r="AA503" i="2"/>
  <c r="AB503" i="2"/>
  <c r="AC503" i="2"/>
  <c r="AD503" i="2"/>
  <c r="S504" i="2"/>
  <c r="T504" i="2"/>
  <c r="U504" i="2"/>
  <c r="V504" i="2"/>
  <c r="W504" i="2"/>
  <c r="X504" i="2"/>
  <c r="Y504" i="2"/>
  <c r="Z504" i="2"/>
  <c r="AA504" i="2"/>
  <c r="AB504" i="2"/>
  <c r="AC504" i="2"/>
  <c r="AD504" i="2"/>
  <c r="S505" i="2"/>
  <c r="T505" i="2"/>
  <c r="U505" i="2"/>
  <c r="V505" i="2"/>
  <c r="W505" i="2"/>
  <c r="X505" i="2"/>
  <c r="Y505" i="2"/>
  <c r="Z505" i="2"/>
  <c r="AA505" i="2"/>
  <c r="AB505" i="2"/>
  <c r="AC505" i="2"/>
  <c r="AD505" i="2"/>
  <c r="S506" i="2"/>
  <c r="T506" i="2"/>
  <c r="U506" i="2"/>
  <c r="V506" i="2"/>
  <c r="W506" i="2"/>
  <c r="X506" i="2"/>
  <c r="Y506" i="2"/>
  <c r="Z506" i="2"/>
  <c r="AA506" i="2"/>
  <c r="AB506" i="2"/>
  <c r="AC506" i="2"/>
  <c r="AD506" i="2"/>
  <c r="S507" i="2"/>
  <c r="T507" i="2"/>
  <c r="U507" i="2"/>
  <c r="V507" i="2"/>
  <c r="W507" i="2"/>
  <c r="X507" i="2"/>
  <c r="Y507" i="2"/>
  <c r="Z507" i="2"/>
  <c r="AA507" i="2"/>
  <c r="AB507" i="2"/>
  <c r="AC507" i="2"/>
  <c r="AD507" i="2"/>
  <c r="S508" i="2"/>
  <c r="T508" i="2"/>
  <c r="U508" i="2"/>
  <c r="V508" i="2"/>
  <c r="W508" i="2"/>
  <c r="X508" i="2"/>
  <c r="Y508" i="2"/>
  <c r="Z508" i="2"/>
  <c r="AA508" i="2"/>
  <c r="AB508" i="2"/>
  <c r="AC508" i="2"/>
  <c r="AD508" i="2"/>
  <c r="S509" i="2"/>
  <c r="T509" i="2"/>
  <c r="U509" i="2"/>
  <c r="V509" i="2"/>
  <c r="W509" i="2"/>
  <c r="X509" i="2"/>
  <c r="Y509" i="2"/>
  <c r="Z509" i="2"/>
  <c r="AA509" i="2"/>
  <c r="AB509" i="2"/>
  <c r="AC509" i="2"/>
  <c r="AD509" i="2"/>
  <c r="S510" i="2"/>
  <c r="T510" i="2"/>
  <c r="U510" i="2"/>
  <c r="V510" i="2"/>
  <c r="W510" i="2"/>
  <c r="X510" i="2"/>
  <c r="Y510" i="2"/>
  <c r="Z510" i="2"/>
  <c r="AA510" i="2"/>
  <c r="AB510" i="2"/>
  <c r="AC510" i="2"/>
  <c r="AD510" i="2"/>
  <c r="S511" i="2"/>
  <c r="T511" i="2"/>
  <c r="U511" i="2"/>
  <c r="V511" i="2"/>
  <c r="W511" i="2"/>
  <c r="X511" i="2"/>
  <c r="Y511" i="2"/>
  <c r="Z511" i="2"/>
  <c r="AA511" i="2"/>
  <c r="AB511" i="2"/>
  <c r="AC511" i="2"/>
  <c r="AD511" i="2"/>
  <c r="S512" i="2"/>
  <c r="T512" i="2"/>
  <c r="U512" i="2"/>
  <c r="V512" i="2"/>
  <c r="W512" i="2"/>
  <c r="X512" i="2"/>
  <c r="Y512" i="2"/>
  <c r="Z512" i="2"/>
  <c r="AA512" i="2"/>
  <c r="AB512" i="2"/>
  <c r="AC512" i="2"/>
  <c r="AD512" i="2"/>
  <c r="S513" i="2"/>
  <c r="T513" i="2"/>
  <c r="U513" i="2"/>
  <c r="V513" i="2"/>
  <c r="W513" i="2"/>
  <c r="X513" i="2"/>
  <c r="Y513" i="2"/>
  <c r="Z513" i="2"/>
  <c r="AA513" i="2"/>
  <c r="AB513" i="2"/>
  <c r="AC513" i="2"/>
  <c r="AD513" i="2"/>
  <c r="S514" i="2"/>
  <c r="E37" i="58" s="1"/>
  <c r="T514" i="2"/>
  <c r="U514" i="2"/>
  <c r="V514" i="2"/>
  <c r="W514" i="2"/>
  <c r="X514" i="2"/>
  <c r="Y514" i="2"/>
  <c r="Z514" i="2"/>
  <c r="AA514" i="2"/>
  <c r="E37" i="50" s="1"/>
  <c r="AB514" i="2"/>
  <c r="F37" i="50" s="1"/>
  <c r="AC514" i="2"/>
  <c r="AD514" i="2"/>
  <c r="S515" i="2"/>
  <c r="T515" i="2"/>
  <c r="U515" i="2"/>
  <c r="V515" i="2"/>
  <c r="W515" i="2"/>
  <c r="X515" i="2"/>
  <c r="Y515" i="2"/>
  <c r="Z515" i="2"/>
  <c r="AA515" i="2"/>
  <c r="E38" i="50" s="1"/>
  <c r="AB515" i="2"/>
  <c r="F38" i="50" s="1"/>
  <c r="AC515" i="2"/>
  <c r="AD515" i="2"/>
  <c r="S516" i="2"/>
  <c r="T516" i="2"/>
  <c r="U516" i="2"/>
  <c r="V516" i="2"/>
  <c r="W516" i="2"/>
  <c r="X516" i="2"/>
  <c r="Y516" i="2"/>
  <c r="Z516" i="2"/>
  <c r="AA516" i="2"/>
  <c r="E39" i="50" s="1"/>
  <c r="AB516" i="2"/>
  <c r="F39" i="50" s="1"/>
  <c r="AC516" i="2"/>
  <c r="AD516" i="2"/>
  <c r="S517" i="2"/>
  <c r="T517" i="2"/>
  <c r="U517" i="2"/>
  <c r="V517" i="2"/>
  <c r="W517" i="2"/>
  <c r="X517" i="2"/>
  <c r="Y517" i="2"/>
  <c r="Z517" i="2"/>
  <c r="AA517" i="2"/>
  <c r="E40" i="50" s="1"/>
  <c r="AB517" i="2"/>
  <c r="F40" i="50" s="1"/>
  <c r="AC517" i="2"/>
  <c r="AD517" i="2"/>
  <c r="S518" i="2"/>
  <c r="T518" i="2"/>
  <c r="U518" i="2"/>
  <c r="V518" i="2"/>
  <c r="W518" i="2"/>
  <c r="X518" i="2"/>
  <c r="Y518" i="2"/>
  <c r="Z518" i="2"/>
  <c r="AA518" i="2"/>
  <c r="E41" i="50" s="1"/>
  <c r="AB518" i="2"/>
  <c r="F41" i="50" s="1"/>
  <c r="AC518" i="2"/>
  <c r="AD518" i="2"/>
  <c r="S519" i="2"/>
  <c r="T519" i="2"/>
  <c r="U519" i="2"/>
  <c r="V519" i="2"/>
  <c r="W519" i="2"/>
  <c r="X519" i="2"/>
  <c r="Y519" i="2"/>
  <c r="Z519" i="2"/>
  <c r="AA519" i="2"/>
  <c r="E42" i="50" s="1"/>
  <c r="AB519" i="2"/>
  <c r="F42" i="50" s="1"/>
  <c r="AC519" i="2"/>
  <c r="AD519" i="2"/>
  <c r="S520" i="2"/>
  <c r="T520" i="2"/>
  <c r="U520" i="2"/>
  <c r="V520" i="2"/>
  <c r="W520" i="2"/>
  <c r="X520" i="2"/>
  <c r="Y520" i="2"/>
  <c r="Z520" i="2"/>
  <c r="AA520" i="2"/>
  <c r="E43" i="50" s="1"/>
  <c r="AB520" i="2"/>
  <c r="F43" i="50" s="1"/>
  <c r="AC520" i="2"/>
  <c r="AD520" i="2"/>
  <c r="S521" i="2"/>
  <c r="T521" i="2"/>
  <c r="U521" i="2"/>
  <c r="V521" i="2"/>
  <c r="W521" i="2"/>
  <c r="X521" i="2"/>
  <c r="Y521" i="2"/>
  <c r="Z521" i="2"/>
  <c r="AA521" i="2"/>
  <c r="E44" i="50" s="1"/>
  <c r="AB521" i="2"/>
  <c r="F44" i="50" s="1"/>
  <c r="AC521" i="2"/>
  <c r="AD521" i="2"/>
  <c r="T485" i="2"/>
  <c r="U485" i="2"/>
  <c r="V485" i="2"/>
  <c r="W485" i="2"/>
  <c r="X485" i="2"/>
  <c r="Y485" i="2"/>
  <c r="Z485" i="2"/>
  <c r="AA485" i="2"/>
  <c r="AB485" i="2"/>
  <c r="AC485" i="2"/>
  <c r="AD485" i="2"/>
  <c r="E8" i="40"/>
  <c r="F8" i="40"/>
  <c r="S485" i="2"/>
  <c r="C486" i="2"/>
  <c r="D486" i="2"/>
  <c r="E486" i="2"/>
  <c r="F486" i="2"/>
  <c r="G486" i="2"/>
  <c r="H486" i="2"/>
  <c r="I486" i="2"/>
  <c r="J486" i="2"/>
  <c r="K486" i="2"/>
  <c r="L486" i="2"/>
  <c r="M486" i="2"/>
  <c r="N486" i="2"/>
  <c r="O486" i="2"/>
  <c r="P486" i="2"/>
  <c r="C487" i="2"/>
  <c r="D487" i="2"/>
  <c r="E487" i="2"/>
  <c r="F487" i="2"/>
  <c r="G487" i="2"/>
  <c r="H487" i="2"/>
  <c r="I487" i="2"/>
  <c r="J487" i="2"/>
  <c r="K487" i="2"/>
  <c r="L487" i="2"/>
  <c r="M487" i="2"/>
  <c r="N487" i="2"/>
  <c r="O487" i="2"/>
  <c r="P487" i="2"/>
  <c r="C488" i="2"/>
  <c r="D488" i="2"/>
  <c r="E488" i="2"/>
  <c r="F488" i="2"/>
  <c r="G488" i="2"/>
  <c r="H488" i="2"/>
  <c r="I488" i="2"/>
  <c r="J488" i="2"/>
  <c r="K488" i="2"/>
  <c r="L488" i="2"/>
  <c r="M488" i="2"/>
  <c r="N488" i="2"/>
  <c r="O488" i="2"/>
  <c r="P488" i="2"/>
  <c r="C489" i="2"/>
  <c r="D489" i="2"/>
  <c r="E489" i="2"/>
  <c r="F489" i="2"/>
  <c r="G489" i="2"/>
  <c r="H489" i="2"/>
  <c r="I489" i="2"/>
  <c r="J489" i="2"/>
  <c r="K489" i="2"/>
  <c r="L489" i="2"/>
  <c r="M489" i="2"/>
  <c r="N489" i="2"/>
  <c r="O489" i="2"/>
  <c r="P489" i="2"/>
  <c r="C490" i="2"/>
  <c r="D490" i="2"/>
  <c r="E490" i="2"/>
  <c r="F490" i="2"/>
  <c r="G490" i="2"/>
  <c r="H490" i="2"/>
  <c r="I490" i="2"/>
  <c r="J490" i="2"/>
  <c r="K490" i="2"/>
  <c r="L490" i="2"/>
  <c r="M490" i="2"/>
  <c r="N490" i="2"/>
  <c r="O490" i="2"/>
  <c r="P490" i="2"/>
  <c r="C491" i="2"/>
  <c r="D491" i="2"/>
  <c r="E491" i="2"/>
  <c r="F491" i="2"/>
  <c r="G491" i="2"/>
  <c r="H491" i="2"/>
  <c r="I491" i="2"/>
  <c r="J491" i="2"/>
  <c r="K491" i="2"/>
  <c r="L491" i="2"/>
  <c r="M491" i="2"/>
  <c r="N491" i="2"/>
  <c r="O491" i="2"/>
  <c r="P491" i="2"/>
  <c r="C492" i="2"/>
  <c r="D492" i="2"/>
  <c r="E492" i="2"/>
  <c r="F492" i="2"/>
  <c r="G492" i="2"/>
  <c r="H492" i="2"/>
  <c r="I492" i="2"/>
  <c r="J492" i="2"/>
  <c r="K492" i="2"/>
  <c r="L492" i="2"/>
  <c r="M492" i="2"/>
  <c r="N492" i="2"/>
  <c r="O492" i="2"/>
  <c r="P492" i="2"/>
  <c r="C493" i="2"/>
  <c r="D493" i="2"/>
  <c r="E493" i="2"/>
  <c r="F493" i="2"/>
  <c r="G493" i="2"/>
  <c r="H493" i="2"/>
  <c r="I493" i="2"/>
  <c r="J493" i="2"/>
  <c r="K493" i="2"/>
  <c r="L493" i="2"/>
  <c r="M493" i="2"/>
  <c r="N493" i="2"/>
  <c r="O493" i="2"/>
  <c r="P493" i="2"/>
  <c r="C494" i="2"/>
  <c r="D494" i="2"/>
  <c r="E494" i="2"/>
  <c r="F494" i="2"/>
  <c r="G494" i="2"/>
  <c r="H494" i="2"/>
  <c r="I494" i="2"/>
  <c r="J494" i="2"/>
  <c r="K494" i="2"/>
  <c r="L494" i="2"/>
  <c r="M494" i="2"/>
  <c r="N494" i="2"/>
  <c r="O494" i="2"/>
  <c r="P494" i="2"/>
  <c r="C495" i="2"/>
  <c r="D495" i="2"/>
  <c r="E495" i="2"/>
  <c r="F495" i="2"/>
  <c r="G495" i="2"/>
  <c r="H495" i="2"/>
  <c r="I495" i="2"/>
  <c r="J495" i="2"/>
  <c r="K495" i="2"/>
  <c r="L495" i="2"/>
  <c r="M495" i="2"/>
  <c r="N495" i="2"/>
  <c r="O495" i="2"/>
  <c r="P495" i="2"/>
  <c r="C496" i="2"/>
  <c r="D496" i="2"/>
  <c r="E496" i="2"/>
  <c r="F496" i="2"/>
  <c r="G496" i="2"/>
  <c r="H496" i="2"/>
  <c r="I496" i="2"/>
  <c r="J496" i="2"/>
  <c r="K496" i="2"/>
  <c r="L496" i="2"/>
  <c r="M496" i="2"/>
  <c r="N496" i="2"/>
  <c r="O496" i="2"/>
  <c r="P496" i="2"/>
  <c r="C497" i="2"/>
  <c r="D497" i="2"/>
  <c r="E497" i="2"/>
  <c r="F497" i="2"/>
  <c r="G497" i="2"/>
  <c r="H497" i="2"/>
  <c r="I497" i="2"/>
  <c r="J497" i="2"/>
  <c r="K497" i="2"/>
  <c r="L497" i="2"/>
  <c r="M497" i="2"/>
  <c r="N497" i="2"/>
  <c r="O497" i="2"/>
  <c r="P497" i="2"/>
  <c r="C498" i="2"/>
  <c r="D498" i="2"/>
  <c r="E498" i="2"/>
  <c r="F498" i="2"/>
  <c r="G498" i="2"/>
  <c r="H498" i="2"/>
  <c r="I498" i="2"/>
  <c r="J498" i="2"/>
  <c r="K498" i="2"/>
  <c r="L498" i="2"/>
  <c r="M498" i="2"/>
  <c r="N498" i="2"/>
  <c r="O498" i="2"/>
  <c r="P498" i="2"/>
  <c r="C499" i="2"/>
  <c r="D499" i="2"/>
  <c r="E499" i="2"/>
  <c r="F499" i="2"/>
  <c r="G499" i="2"/>
  <c r="H499" i="2"/>
  <c r="I499" i="2"/>
  <c r="J499" i="2"/>
  <c r="K499" i="2"/>
  <c r="L499" i="2"/>
  <c r="M499" i="2"/>
  <c r="N499" i="2"/>
  <c r="O499" i="2"/>
  <c r="P499" i="2"/>
  <c r="C500" i="2"/>
  <c r="D500" i="2"/>
  <c r="E500" i="2"/>
  <c r="F500" i="2"/>
  <c r="G500" i="2"/>
  <c r="H500" i="2"/>
  <c r="I500" i="2"/>
  <c r="J500" i="2"/>
  <c r="K500" i="2"/>
  <c r="L500" i="2"/>
  <c r="M500" i="2"/>
  <c r="N500" i="2"/>
  <c r="O500" i="2"/>
  <c r="P500" i="2"/>
  <c r="C501" i="2"/>
  <c r="D501" i="2"/>
  <c r="E501" i="2"/>
  <c r="F501" i="2"/>
  <c r="G501" i="2"/>
  <c r="H501" i="2"/>
  <c r="I501" i="2"/>
  <c r="J501" i="2"/>
  <c r="K501" i="2"/>
  <c r="L501" i="2"/>
  <c r="M501" i="2"/>
  <c r="N501" i="2"/>
  <c r="O501" i="2"/>
  <c r="P501" i="2"/>
  <c r="C502" i="2"/>
  <c r="D502" i="2"/>
  <c r="E502" i="2"/>
  <c r="F502" i="2"/>
  <c r="G502" i="2"/>
  <c r="H502" i="2"/>
  <c r="I502" i="2"/>
  <c r="J502" i="2"/>
  <c r="K502" i="2"/>
  <c r="L502" i="2"/>
  <c r="M502" i="2"/>
  <c r="N502" i="2"/>
  <c r="O502" i="2"/>
  <c r="P502" i="2"/>
  <c r="C503" i="2"/>
  <c r="D503" i="2"/>
  <c r="E503" i="2"/>
  <c r="F503" i="2"/>
  <c r="G503" i="2"/>
  <c r="H503" i="2"/>
  <c r="I503" i="2"/>
  <c r="J503" i="2"/>
  <c r="K503" i="2"/>
  <c r="L503" i="2"/>
  <c r="M503" i="2"/>
  <c r="N503" i="2"/>
  <c r="O503" i="2"/>
  <c r="P503" i="2"/>
  <c r="C504" i="2"/>
  <c r="D504" i="2"/>
  <c r="E504" i="2"/>
  <c r="F504" i="2"/>
  <c r="G504" i="2"/>
  <c r="H504" i="2"/>
  <c r="I504" i="2"/>
  <c r="J504" i="2"/>
  <c r="K504" i="2"/>
  <c r="L504" i="2"/>
  <c r="M504" i="2"/>
  <c r="N504" i="2"/>
  <c r="O504" i="2"/>
  <c r="P504" i="2"/>
  <c r="C505" i="2"/>
  <c r="D505" i="2"/>
  <c r="E505" i="2"/>
  <c r="F505" i="2"/>
  <c r="G505" i="2"/>
  <c r="H505" i="2"/>
  <c r="I505" i="2"/>
  <c r="J505" i="2"/>
  <c r="K505" i="2"/>
  <c r="L505" i="2"/>
  <c r="M505" i="2"/>
  <c r="N505" i="2"/>
  <c r="O505" i="2"/>
  <c r="P505" i="2"/>
  <c r="C506" i="2"/>
  <c r="D506" i="2"/>
  <c r="E506" i="2"/>
  <c r="F506" i="2"/>
  <c r="G506" i="2"/>
  <c r="H506" i="2"/>
  <c r="I506" i="2"/>
  <c r="J506" i="2"/>
  <c r="K506" i="2"/>
  <c r="L506" i="2"/>
  <c r="M506" i="2"/>
  <c r="N506" i="2"/>
  <c r="O506" i="2"/>
  <c r="P506" i="2"/>
  <c r="C507" i="2"/>
  <c r="D507" i="2"/>
  <c r="E507" i="2"/>
  <c r="F507" i="2"/>
  <c r="G507" i="2"/>
  <c r="H507" i="2"/>
  <c r="I507" i="2"/>
  <c r="J507" i="2"/>
  <c r="K507" i="2"/>
  <c r="L507" i="2"/>
  <c r="M507" i="2"/>
  <c r="N507" i="2"/>
  <c r="O507" i="2"/>
  <c r="P507" i="2"/>
  <c r="C508" i="2"/>
  <c r="D508" i="2"/>
  <c r="E508" i="2"/>
  <c r="F508" i="2"/>
  <c r="G508" i="2"/>
  <c r="H508" i="2"/>
  <c r="I508" i="2"/>
  <c r="J508" i="2"/>
  <c r="K508" i="2"/>
  <c r="L508" i="2"/>
  <c r="M508" i="2"/>
  <c r="N508" i="2"/>
  <c r="O508" i="2"/>
  <c r="P508" i="2"/>
  <c r="C509" i="2"/>
  <c r="D509" i="2"/>
  <c r="E509" i="2"/>
  <c r="F509" i="2"/>
  <c r="G509" i="2"/>
  <c r="H509" i="2"/>
  <c r="I509" i="2"/>
  <c r="J509" i="2"/>
  <c r="K509" i="2"/>
  <c r="L509" i="2"/>
  <c r="M509" i="2"/>
  <c r="N509" i="2"/>
  <c r="O509" i="2"/>
  <c r="P509" i="2"/>
  <c r="C510" i="2"/>
  <c r="D510" i="2"/>
  <c r="E510" i="2"/>
  <c r="F510" i="2"/>
  <c r="G510" i="2"/>
  <c r="H510" i="2"/>
  <c r="I510" i="2"/>
  <c r="J510" i="2"/>
  <c r="K510" i="2"/>
  <c r="L510" i="2"/>
  <c r="M510" i="2"/>
  <c r="N510" i="2"/>
  <c r="O510" i="2"/>
  <c r="P510" i="2"/>
  <c r="C511" i="2"/>
  <c r="D511" i="2"/>
  <c r="E511" i="2"/>
  <c r="F511" i="2"/>
  <c r="G511" i="2"/>
  <c r="H511" i="2"/>
  <c r="I511" i="2"/>
  <c r="J511" i="2"/>
  <c r="K511" i="2"/>
  <c r="L511" i="2"/>
  <c r="M511" i="2"/>
  <c r="N511" i="2"/>
  <c r="O511" i="2"/>
  <c r="P511" i="2"/>
  <c r="C512" i="2"/>
  <c r="D512" i="2"/>
  <c r="E512" i="2"/>
  <c r="F512" i="2"/>
  <c r="G512" i="2"/>
  <c r="H512" i="2"/>
  <c r="I512" i="2"/>
  <c r="J512" i="2"/>
  <c r="K512" i="2"/>
  <c r="L512" i="2"/>
  <c r="M512" i="2"/>
  <c r="N512" i="2"/>
  <c r="O512" i="2"/>
  <c r="P512" i="2"/>
  <c r="C513" i="2"/>
  <c r="D513" i="2"/>
  <c r="E513" i="2"/>
  <c r="F513" i="2"/>
  <c r="G513" i="2"/>
  <c r="H513" i="2"/>
  <c r="I513" i="2"/>
  <c r="J513" i="2"/>
  <c r="K513" i="2"/>
  <c r="L513" i="2"/>
  <c r="M513" i="2"/>
  <c r="N513" i="2"/>
  <c r="O513" i="2"/>
  <c r="P513" i="2"/>
  <c r="C514" i="2"/>
  <c r="D514" i="2"/>
  <c r="E514" i="2"/>
  <c r="F514" i="2"/>
  <c r="G514" i="2"/>
  <c r="H514" i="2"/>
  <c r="I514" i="2"/>
  <c r="J514" i="2"/>
  <c r="K514" i="2"/>
  <c r="C37" i="50" s="1"/>
  <c r="L514" i="2"/>
  <c r="D37" i="50" s="1"/>
  <c r="M514" i="2"/>
  <c r="N514" i="2"/>
  <c r="O514" i="2"/>
  <c r="P514" i="2"/>
  <c r="C515" i="2"/>
  <c r="D515" i="2"/>
  <c r="E515" i="2"/>
  <c r="F515" i="2"/>
  <c r="G515" i="2"/>
  <c r="H515" i="2"/>
  <c r="I515" i="2"/>
  <c r="J515" i="2"/>
  <c r="K515" i="2"/>
  <c r="C38" i="50" s="1"/>
  <c r="L515" i="2"/>
  <c r="D38" i="50" s="1"/>
  <c r="M515" i="2"/>
  <c r="N515" i="2"/>
  <c r="O515" i="2"/>
  <c r="P515" i="2"/>
  <c r="C516" i="2"/>
  <c r="D516" i="2"/>
  <c r="E516" i="2"/>
  <c r="F516" i="2"/>
  <c r="G516" i="2"/>
  <c r="H516" i="2"/>
  <c r="I516" i="2"/>
  <c r="J516" i="2"/>
  <c r="K516" i="2"/>
  <c r="C39" i="50" s="1"/>
  <c r="L516" i="2"/>
  <c r="D39" i="50" s="1"/>
  <c r="M516" i="2"/>
  <c r="N516" i="2"/>
  <c r="O516" i="2"/>
  <c r="P516" i="2"/>
  <c r="C517" i="2"/>
  <c r="D517" i="2"/>
  <c r="E517" i="2"/>
  <c r="F517" i="2"/>
  <c r="G517" i="2"/>
  <c r="H517" i="2"/>
  <c r="I517" i="2"/>
  <c r="J517" i="2"/>
  <c r="K517" i="2"/>
  <c r="C40" i="50" s="1"/>
  <c r="L517" i="2"/>
  <c r="D40" i="50" s="1"/>
  <c r="M517" i="2"/>
  <c r="N517" i="2"/>
  <c r="O517" i="2"/>
  <c r="P517" i="2"/>
  <c r="C518" i="2"/>
  <c r="D518" i="2"/>
  <c r="E518" i="2"/>
  <c r="F518" i="2"/>
  <c r="G518" i="2"/>
  <c r="H518" i="2"/>
  <c r="I518" i="2"/>
  <c r="J518" i="2"/>
  <c r="K518" i="2"/>
  <c r="C41" i="50" s="1"/>
  <c r="L518" i="2"/>
  <c r="D41" i="50" s="1"/>
  <c r="M518" i="2"/>
  <c r="N518" i="2"/>
  <c r="O518" i="2"/>
  <c r="P518" i="2"/>
  <c r="C519" i="2"/>
  <c r="D519" i="2"/>
  <c r="E519" i="2"/>
  <c r="F519" i="2"/>
  <c r="G519" i="2"/>
  <c r="H519" i="2"/>
  <c r="I519" i="2"/>
  <c r="J519" i="2"/>
  <c r="K519" i="2"/>
  <c r="C42" i="50" s="1"/>
  <c r="L519" i="2"/>
  <c r="D42" i="50" s="1"/>
  <c r="M519" i="2"/>
  <c r="N519" i="2"/>
  <c r="O519" i="2"/>
  <c r="P519" i="2"/>
  <c r="C520" i="2"/>
  <c r="D520" i="2"/>
  <c r="E520" i="2"/>
  <c r="F520" i="2"/>
  <c r="G520" i="2"/>
  <c r="H520" i="2"/>
  <c r="I520" i="2"/>
  <c r="J520" i="2"/>
  <c r="K520" i="2"/>
  <c r="C43" i="50" s="1"/>
  <c r="L520" i="2"/>
  <c r="D43" i="50" s="1"/>
  <c r="M520" i="2"/>
  <c r="N520" i="2"/>
  <c r="O520" i="2"/>
  <c r="P520" i="2"/>
  <c r="C521" i="2"/>
  <c r="D521" i="2"/>
  <c r="E521" i="2"/>
  <c r="F521" i="2"/>
  <c r="G521" i="2"/>
  <c r="H521" i="2"/>
  <c r="I521" i="2"/>
  <c r="J521" i="2"/>
  <c r="K521" i="2"/>
  <c r="C44" i="50" s="1"/>
  <c r="L521" i="2"/>
  <c r="D44" i="50" s="1"/>
  <c r="M521" i="2"/>
  <c r="N521" i="2"/>
  <c r="O521" i="2"/>
  <c r="P521" i="2"/>
  <c r="CB38" i="50" l="1"/>
  <c r="CB44" i="50"/>
  <c r="CC41" i="50"/>
  <c r="CB41" i="50"/>
  <c r="CC37" i="50"/>
  <c r="CB37" i="50"/>
  <c r="CB42" i="50"/>
  <c r="CB40" i="50"/>
  <c r="CB39" i="50"/>
  <c r="CC43" i="50"/>
  <c r="CB43" i="50"/>
  <c r="CC42" i="50"/>
  <c r="CC40" i="50"/>
  <c r="CC39" i="50"/>
  <c r="CC44" i="50"/>
  <c r="CC38" i="50"/>
  <c r="BF7" i="50"/>
  <c r="BE7" i="50"/>
  <c r="WT500" i="2"/>
  <c r="F22" i="7" s="1"/>
  <c r="WT499" i="2"/>
  <c r="F21" i="7" s="1"/>
  <c r="WU500" i="2"/>
  <c r="F69" i="7" s="1"/>
  <c r="WU499" i="2"/>
  <c r="F68" i="7" s="1"/>
  <c r="WU498" i="2"/>
  <c r="F67" i="7" s="1"/>
  <c r="WT498" i="2"/>
  <c r="F20" i="7" s="1"/>
  <c r="IG515" i="2"/>
  <c r="MO486" i="2"/>
  <c r="MP490" i="2"/>
  <c r="MP493" i="2"/>
  <c r="MO493" i="2"/>
  <c r="BM503" i="2"/>
  <c r="CC498" i="2"/>
  <c r="EO512" i="2"/>
  <c r="GK515" i="2"/>
  <c r="HA487" i="2"/>
  <c r="HA489" i="2"/>
  <c r="HA490" i="2"/>
  <c r="HA493" i="2"/>
  <c r="HA494" i="2"/>
  <c r="HA495" i="2"/>
  <c r="HA496" i="2"/>
  <c r="HA499" i="2"/>
  <c r="HA500" i="2"/>
  <c r="HA501" i="2"/>
  <c r="HA505" i="2"/>
  <c r="HA506" i="2"/>
  <c r="HA508" i="2"/>
  <c r="HA511" i="2"/>
  <c r="HA512" i="2"/>
  <c r="HA513" i="2"/>
  <c r="HA514" i="2"/>
  <c r="HA517" i="2"/>
  <c r="HA518" i="2"/>
  <c r="HA519" i="2"/>
  <c r="HA520" i="2"/>
  <c r="IG512" i="2"/>
  <c r="IW519" i="2"/>
  <c r="KC495" i="2"/>
  <c r="NU486" i="2"/>
  <c r="NU510" i="2"/>
  <c r="NU514" i="2"/>
  <c r="NU515" i="2"/>
  <c r="OK508" i="2"/>
  <c r="RM502" i="2"/>
  <c r="RM521" i="2"/>
  <c r="SC508" i="2"/>
  <c r="UO506" i="2"/>
  <c r="VE498" i="2"/>
  <c r="AG486" i="2"/>
  <c r="HB488" i="2"/>
  <c r="HB494" i="2"/>
  <c r="HB498" i="2"/>
  <c r="HB501" i="2"/>
  <c r="HB504" i="2"/>
  <c r="HB506" i="2"/>
  <c r="HB511" i="2"/>
  <c r="HB517" i="2"/>
  <c r="IX491" i="2"/>
  <c r="IX514" i="2"/>
  <c r="OL513" i="2"/>
  <c r="HA488" i="2"/>
  <c r="BN490" i="2"/>
  <c r="DZ500" i="2"/>
  <c r="HB489" i="2"/>
  <c r="HB495" i="2"/>
  <c r="HB500" i="2"/>
  <c r="HB507" i="2"/>
  <c r="HB510" i="2"/>
  <c r="HB512" i="2"/>
  <c r="HB519" i="2"/>
  <c r="PR509" i="2"/>
  <c r="DZ518" i="2"/>
  <c r="HB486" i="2"/>
  <c r="HB492" i="2"/>
  <c r="HB499" i="2"/>
  <c r="HB505" i="2"/>
  <c r="HB513" i="2"/>
  <c r="HB518" i="2"/>
  <c r="IX510" i="2"/>
  <c r="KT493" i="2"/>
  <c r="Q501" i="2"/>
  <c r="HA507" i="2"/>
  <c r="FF519" i="2"/>
  <c r="HB487" i="2"/>
  <c r="HB493" i="2"/>
  <c r="HB516" i="2"/>
  <c r="MO490" i="2"/>
  <c r="MO487" i="2"/>
  <c r="MP486" i="2"/>
  <c r="MP511" i="2"/>
  <c r="MP505" i="2"/>
  <c r="MP499" i="2"/>
  <c r="MO517" i="2"/>
  <c r="MO511" i="2"/>
  <c r="MO508" i="2"/>
  <c r="MO505" i="2"/>
  <c r="MO499" i="2"/>
  <c r="MO492" i="2"/>
  <c r="MP520" i="2"/>
  <c r="MO485" i="2"/>
  <c r="MP514" i="2"/>
  <c r="RN509" i="2"/>
  <c r="UP511" i="2"/>
  <c r="MP517" i="2"/>
  <c r="MP496" i="2"/>
  <c r="MP502" i="2"/>
  <c r="IW502" i="2"/>
  <c r="DZ498" i="2"/>
  <c r="MO520" i="2"/>
  <c r="MO518" i="2"/>
  <c r="MO514" i="2"/>
  <c r="MO512" i="2"/>
  <c r="MO506" i="2"/>
  <c r="MO500" i="2"/>
  <c r="MO496" i="2"/>
  <c r="NV514" i="2"/>
  <c r="QX492" i="2"/>
  <c r="UP489" i="2"/>
  <c r="AG494" i="2"/>
  <c r="HB508" i="2"/>
  <c r="CD491" i="2"/>
  <c r="CD510" i="2"/>
  <c r="HB496" i="2"/>
  <c r="HB502" i="2"/>
  <c r="HB514" i="2"/>
  <c r="LJ501" i="2"/>
  <c r="NV488" i="2"/>
  <c r="NV512" i="2"/>
  <c r="NV520" i="2"/>
  <c r="HB490" i="2"/>
  <c r="HB520" i="2"/>
  <c r="NV516" i="2"/>
  <c r="HA491" i="2"/>
  <c r="HB485" i="2"/>
  <c r="HB491" i="2"/>
  <c r="HB497" i="2"/>
  <c r="HB503" i="2"/>
  <c r="HB509" i="2"/>
  <c r="HB515" i="2"/>
  <c r="HB521" i="2"/>
  <c r="ST509" i="2"/>
  <c r="MP485" i="2"/>
  <c r="HA502" i="2"/>
  <c r="HA485" i="2"/>
  <c r="HA497" i="2"/>
  <c r="HA503" i="2"/>
  <c r="HA509" i="2"/>
  <c r="HA515" i="2"/>
  <c r="HA521" i="2"/>
  <c r="HA486" i="2"/>
  <c r="HA492" i="2"/>
  <c r="HA498" i="2"/>
  <c r="HA504" i="2"/>
  <c r="HA510" i="2"/>
  <c r="HA516" i="2"/>
  <c r="MP508" i="2"/>
  <c r="MO494" i="2"/>
  <c r="MO488" i="2"/>
  <c r="MP488" i="2"/>
  <c r="MP487" i="2"/>
  <c r="PA489" i="2"/>
  <c r="PA495" i="2"/>
  <c r="MP516" i="2"/>
  <c r="MP510" i="2"/>
  <c r="MP504" i="2"/>
  <c r="MP498" i="2"/>
  <c r="MP492" i="2"/>
  <c r="KC496" i="2"/>
  <c r="LY518" i="2"/>
  <c r="OK498" i="2"/>
  <c r="PA497" i="2"/>
  <c r="KT514" i="2"/>
  <c r="NV518" i="2"/>
  <c r="PB492" i="2"/>
  <c r="PB498" i="2"/>
  <c r="PB510" i="2"/>
  <c r="WL503" i="2"/>
  <c r="WL509" i="2"/>
  <c r="CS486" i="2"/>
  <c r="NV517" i="2"/>
  <c r="SD492" i="2"/>
  <c r="DI506" i="2"/>
  <c r="NU518" i="2"/>
  <c r="PA492" i="2"/>
  <c r="SS486" i="2"/>
  <c r="WK503" i="2"/>
  <c r="DJ495" i="2"/>
  <c r="AH506" i="2"/>
  <c r="KD497" i="2"/>
  <c r="AX505" i="2"/>
  <c r="PA498" i="2"/>
  <c r="SS521" i="2"/>
  <c r="KS516" i="2"/>
  <c r="DY506" i="2"/>
  <c r="FE490" i="2"/>
  <c r="GK500" i="2"/>
  <c r="PQ503" i="2"/>
  <c r="FF514" i="2"/>
  <c r="KD518" i="2"/>
  <c r="LJ490" i="2"/>
  <c r="EO496" i="2"/>
  <c r="IG492" i="2"/>
  <c r="QG495" i="2"/>
  <c r="TI493" i="2"/>
  <c r="MP519" i="2"/>
  <c r="MP509" i="2"/>
  <c r="MP507" i="2"/>
  <c r="MP501" i="2"/>
  <c r="MP489" i="2"/>
  <c r="QH495" i="2"/>
  <c r="TZ489" i="2"/>
  <c r="WL506" i="2"/>
  <c r="MO521" i="2"/>
  <c r="MO519" i="2"/>
  <c r="MO515" i="2"/>
  <c r="MO513" i="2"/>
  <c r="MO509" i="2"/>
  <c r="MO507" i="2"/>
  <c r="MO503" i="2"/>
  <c r="MO501" i="2"/>
  <c r="MO497" i="2"/>
  <c r="MO495" i="2"/>
  <c r="MO489" i="2"/>
  <c r="Q504" i="2"/>
  <c r="KC512" i="2"/>
  <c r="RM493" i="2"/>
  <c r="GL509" i="2"/>
  <c r="KD504" i="2"/>
  <c r="MO516" i="2"/>
  <c r="MO504" i="2"/>
  <c r="MO498" i="2"/>
  <c r="Q512" i="2"/>
  <c r="GK517" i="2"/>
  <c r="KS496" i="2"/>
  <c r="OK487" i="2"/>
  <c r="DY489" i="2"/>
  <c r="KS493" i="2"/>
  <c r="PA493" i="2"/>
  <c r="SC494" i="2"/>
  <c r="TI516" i="2"/>
  <c r="TI521" i="2"/>
  <c r="AG515" i="2"/>
  <c r="AG506" i="2"/>
  <c r="AG503" i="2"/>
  <c r="AG491" i="2"/>
  <c r="CD501" i="2"/>
  <c r="Q488" i="2"/>
  <c r="AH512" i="2"/>
  <c r="DI512" i="2"/>
  <c r="OK495" i="2"/>
  <c r="OK513" i="2"/>
  <c r="TY504" i="2"/>
  <c r="MP521" i="2"/>
  <c r="MP515" i="2"/>
  <c r="MP513" i="2"/>
  <c r="MP503" i="2"/>
  <c r="MP497" i="2"/>
  <c r="MP495" i="2"/>
  <c r="MP491" i="2"/>
  <c r="Q515" i="2"/>
  <c r="IH516" i="2"/>
  <c r="IH520" i="2"/>
  <c r="AH507" i="2"/>
  <c r="AX490" i="2"/>
  <c r="CS496" i="2"/>
  <c r="FU491" i="2"/>
  <c r="IW500" i="2"/>
  <c r="NE490" i="2"/>
  <c r="NE515" i="2"/>
  <c r="TY487" i="2"/>
  <c r="UO502" i="2"/>
  <c r="MP518" i="2"/>
  <c r="MP512" i="2"/>
  <c r="MP506" i="2"/>
  <c r="MP500" i="2"/>
  <c r="MP494" i="2"/>
  <c r="VV511" i="2"/>
  <c r="QG503" i="2"/>
  <c r="QG502" i="2"/>
  <c r="PB494" i="2"/>
  <c r="PB488" i="2"/>
  <c r="PB495" i="2"/>
  <c r="PB489" i="2"/>
  <c r="PA496" i="2"/>
  <c r="PA490" i="2"/>
  <c r="PB490" i="2"/>
  <c r="PA494" i="2"/>
  <c r="PA488" i="2"/>
  <c r="PB493" i="2"/>
  <c r="PB496" i="2"/>
  <c r="PB497" i="2"/>
  <c r="PB491" i="2"/>
  <c r="PA491" i="2"/>
  <c r="PB503" i="2"/>
  <c r="NV487" i="2"/>
  <c r="NV511" i="2"/>
  <c r="NU487" i="2"/>
  <c r="NU511" i="2"/>
  <c r="NV515" i="2"/>
  <c r="NV513" i="2"/>
  <c r="NU513" i="2"/>
  <c r="NU488" i="2"/>
  <c r="NV519" i="2"/>
  <c r="NU519" i="2"/>
  <c r="NV486" i="2"/>
  <c r="NU520" i="2"/>
  <c r="NU490" i="2"/>
  <c r="NU517" i="2"/>
  <c r="GK507" i="2"/>
  <c r="DZ506" i="2"/>
  <c r="FF498" i="2"/>
  <c r="KT507" i="2"/>
  <c r="LJ496" i="2"/>
  <c r="PQ519" i="2"/>
  <c r="IW510" i="2"/>
  <c r="KC498" i="2"/>
  <c r="HQ498" i="2"/>
  <c r="LI514" i="2"/>
  <c r="LI508" i="2"/>
  <c r="LI502" i="2"/>
  <c r="FU521" i="2"/>
  <c r="R520" i="2"/>
  <c r="VE513" i="2"/>
  <c r="NU498" i="2"/>
  <c r="IH498" i="2"/>
  <c r="WL498" i="2"/>
  <c r="UP490" i="2"/>
  <c r="DZ490" i="2"/>
  <c r="AH486" i="2"/>
  <c r="KT517" i="2"/>
  <c r="R499" i="2"/>
  <c r="DJ496" i="2"/>
  <c r="BM486" i="2"/>
  <c r="DI514" i="2"/>
  <c r="AG514" i="2"/>
  <c r="RN512" i="2"/>
  <c r="PA511" i="2"/>
  <c r="TJ502" i="2"/>
  <c r="LY500" i="2"/>
  <c r="IX500" i="2"/>
  <c r="UO498" i="2"/>
  <c r="KS503" i="2"/>
  <c r="FV503" i="2"/>
  <c r="TZ502" i="2"/>
  <c r="NU499" i="2"/>
  <c r="OK497" i="2"/>
  <c r="KS517" i="2"/>
  <c r="TI519" i="2"/>
  <c r="VV519" i="2"/>
  <c r="DJ511" i="2"/>
  <c r="AX511" i="2"/>
  <c r="HR500" i="2"/>
  <c r="GL498" i="2"/>
  <c r="IG501" i="2"/>
  <c r="TZ491" i="2"/>
  <c r="ST486" i="2"/>
  <c r="IW516" i="2"/>
  <c r="IG516" i="2"/>
  <c r="TJ510" i="2"/>
  <c r="LZ505" i="2"/>
  <c r="VU501" i="2"/>
  <c r="R517" i="2"/>
  <c r="UP515" i="2"/>
  <c r="KD515" i="2"/>
  <c r="QX508" i="2"/>
  <c r="SS505" i="2"/>
  <c r="FU504" i="2"/>
  <c r="AG504" i="2"/>
  <c r="CT503" i="2"/>
  <c r="KS501" i="2"/>
  <c r="LJ519" i="2"/>
  <c r="VV518" i="2"/>
  <c r="SD518" i="2"/>
  <c r="GL518" i="2"/>
  <c r="FV518" i="2"/>
  <c r="EP518" i="2"/>
  <c r="DY518" i="2"/>
  <c r="FE517" i="2"/>
  <c r="AG517" i="2"/>
  <c r="NU516" i="2"/>
  <c r="UO515" i="2"/>
  <c r="QW515" i="2"/>
  <c r="KC515" i="2"/>
  <c r="AX513" i="2"/>
  <c r="TI506" i="2"/>
  <c r="LY506" i="2"/>
  <c r="VF505" i="2"/>
  <c r="TZ505" i="2"/>
  <c r="OK504" i="2"/>
  <c r="AX504" i="2"/>
  <c r="EO521" i="2"/>
  <c r="IH519" i="2"/>
  <c r="NF517" i="2"/>
  <c r="TY508" i="2"/>
  <c r="NE518" i="2"/>
  <c r="BM499" i="2"/>
  <c r="LI498" i="2"/>
  <c r="GK516" i="2"/>
  <c r="KT501" i="2"/>
  <c r="NU500" i="2"/>
  <c r="NF516" i="2"/>
  <c r="LY515" i="2"/>
  <c r="SC514" i="2"/>
  <c r="IW504" i="2"/>
  <c r="VE502" i="2"/>
  <c r="FU501" i="2"/>
  <c r="EO519" i="2"/>
  <c r="BM519" i="2"/>
  <c r="AW519" i="2"/>
  <c r="TI518" i="2"/>
  <c r="FU518" i="2"/>
  <c r="EO518" i="2"/>
  <c r="R518" i="2"/>
  <c r="DZ517" i="2"/>
  <c r="RM510" i="2"/>
  <c r="BM508" i="2"/>
  <c r="IX507" i="2"/>
  <c r="TZ506" i="2"/>
  <c r="WK505" i="2"/>
  <c r="VU505" i="2"/>
  <c r="TZ504" i="2"/>
  <c r="TJ504" i="2"/>
  <c r="IG495" i="2"/>
  <c r="JM504" i="2"/>
  <c r="RM503" i="2"/>
  <c r="EP502" i="2"/>
  <c r="KS500" i="2"/>
  <c r="TZ492" i="2"/>
  <c r="DJ491" i="2"/>
  <c r="UO488" i="2"/>
  <c r="DI488" i="2"/>
  <c r="RN487" i="2"/>
  <c r="TJ486" i="2"/>
  <c r="PQ496" i="2"/>
  <c r="DY494" i="2"/>
  <c r="RM490" i="2"/>
  <c r="JM501" i="2"/>
  <c r="LI489" i="2"/>
  <c r="CC520" i="2"/>
  <c r="Q520" i="2"/>
  <c r="IX517" i="2"/>
  <c r="EO510" i="2"/>
  <c r="BM510" i="2"/>
  <c r="AX507" i="2"/>
  <c r="HR504" i="2"/>
  <c r="DI493" i="2"/>
  <c r="CS493" i="2"/>
  <c r="NV491" i="2"/>
  <c r="LY490" i="2"/>
  <c r="FF488" i="2"/>
  <c r="FE507" i="2"/>
  <c r="AG505" i="2"/>
  <c r="EP521" i="2"/>
  <c r="FU520" i="2"/>
  <c r="IH513" i="2"/>
  <c r="TY512" i="2"/>
  <c r="QX511" i="2"/>
  <c r="RM507" i="2"/>
  <c r="NU507" i="2"/>
  <c r="IG506" i="2"/>
  <c r="HQ506" i="2"/>
  <c r="UP495" i="2"/>
  <c r="VV494" i="2"/>
  <c r="UO492" i="2"/>
  <c r="EP492" i="2"/>
  <c r="DJ492" i="2"/>
  <c r="RN490" i="2"/>
  <c r="GL488" i="2"/>
  <c r="AH488" i="2"/>
  <c r="TI487" i="2"/>
  <c r="IG487" i="2"/>
  <c r="BM487" i="2"/>
  <c r="VE486" i="2"/>
  <c r="UO486" i="2"/>
  <c r="TI486" i="2"/>
  <c r="FV520" i="2"/>
  <c r="PA514" i="2"/>
  <c r="KT513" i="2"/>
  <c r="CS509" i="2"/>
  <c r="Q497" i="2"/>
  <c r="QW492" i="2"/>
  <c r="PQ491" i="2"/>
  <c r="IX521" i="2"/>
  <c r="CC515" i="2"/>
  <c r="SS514" i="2"/>
  <c r="SD514" i="2"/>
  <c r="DY514" i="2"/>
  <c r="NU512" i="2"/>
  <c r="TZ511" i="2"/>
  <c r="OK510" i="2"/>
  <c r="DZ509" i="2"/>
  <c r="QH508" i="2"/>
  <c r="NV508" i="2"/>
  <c r="HQ508" i="2"/>
  <c r="VF499" i="2"/>
  <c r="Q493" i="2"/>
  <c r="GL492" i="2"/>
  <c r="ST489" i="2"/>
  <c r="VV487" i="2"/>
  <c r="JM513" i="2"/>
  <c r="JM495" i="2"/>
  <c r="LI495" i="2"/>
  <c r="SD520" i="2"/>
  <c r="SD519" i="2"/>
  <c r="TJ515" i="2"/>
  <c r="RM513" i="2"/>
  <c r="NV510" i="2"/>
  <c r="KS508" i="2"/>
  <c r="LY507" i="2"/>
  <c r="HQ505" i="2"/>
  <c r="AH505" i="2"/>
  <c r="IX501" i="2"/>
  <c r="TI492" i="2"/>
  <c r="GK487" i="2"/>
  <c r="RM486" i="2"/>
  <c r="QG486" i="2"/>
  <c r="SC520" i="2"/>
  <c r="CD520" i="2"/>
  <c r="BN520" i="2"/>
  <c r="SS518" i="2"/>
  <c r="RM518" i="2"/>
  <c r="SD517" i="2"/>
  <c r="DI516" i="2"/>
  <c r="CS516" i="2"/>
  <c r="WK515" i="2"/>
  <c r="VE515" i="2"/>
  <c r="IG513" i="2"/>
  <c r="HQ513" i="2"/>
  <c r="QW511" i="2"/>
  <c r="HR510" i="2"/>
  <c r="VE508" i="2"/>
  <c r="LZ507" i="2"/>
  <c r="BN505" i="2"/>
  <c r="UP520" i="2"/>
  <c r="OL520" i="2"/>
  <c r="FE520" i="2"/>
  <c r="UP518" i="2"/>
  <c r="UO512" i="2"/>
  <c r="ST511" i="2"/>
  <c r="HQ510" i="2"/>
  <c r="CD509" i="2"/>
  <c r="FU506" i="2"/>
  <c r="SC487" i="2"/>
  <c r="VU520" i="2"/>
  <c r="LJ511" i="2"/>
  <c r="EP510" i="2"/>
  <c r="GK509" i="2"/>
  <c r="BN508" i="2"/>
  <c r="VV507" i="2"/>
  <c r="PQ506" i="2"/>
  <c r="LI506" i="2"/>
  <c r="HR506" i="2"/>
  <c r="UO495" i="2"/>
  <c r="WL492" i="2"/>
  <c r="QG491" i="2"/>
  <c r="AG489" i="2"/>
  <c r="ST487" i="2"/>
  <c r="LI511" i="2"/>
  <c r="CC517" i="2"/>
  <c r="VU516" i="2"/>
  <c r="EP515" i="2"/>
  <c r="VV514" i="2"/>
  <c r="UP514" i="2"/>
  <c r="LZ513" i="2"/>
  <c r="CS513" i="2"/>
  <c r="TY511" i="2"/>
  <c r="LZ511" i="2"/>
  <c r="LY510" i="2"/>
  <c r="DZ491" i="2"/>
  <c r="BM490" i="2"/>
  <c r="AW490" i="2"/>
  <c r="TI489" i="2"/>
  <c r="SS489" i="2"/>
  <c r="IH487" i="2"/>
  <c r="Q496" i="2"/>
  <c r="WK495" i="2"/>
  <c r="NE495" i="2"/>
  <c r="SD494" i="2"/>
  <c r="IW493" i="2"/>
  <c r="Q491" i="2"/>
  <c r="WK490" i="2"/>
  <c r="SC489" i="2"/>
  <c r="GK486" i="2"/>
  <c r="DY486" i="2"/>
  <c r="JM509" i="2"/>
  <c r="JM491" i="2"/>
  <c r="LI521" i="2"/>
  <c r="LI491" i="2"/>
  <c r="NE521" i="2"/>
  <c r="NF508" i="2"/>
  <c r="NE514" i="2"/>
  <c r="NF507" i="2"/>
  <c r="NU496" i="2"/>
  <c r="NE496" i="2"/>
  <c r="NF495" i="2"/>
  <c r="CD495" i="2"/>
  <c r="HR493" i="2"/>
  <c r="FV493" i="2"/>
  <c r="HQ488" i="2"/>
  <c r="OL487" i="2"/>
  <c r="LJ486" i="2"/>
  <c r="VF517" i="2"/>
  <c r="LI517" i="2"/>
  <c r="PQ516" i="2"/>
  <c r="DJ516" i="2"/>
  <c r="UO507" i="2"/>
  <c r="UP506" i="2"/>
  <c r="GK505" i="2"/>
  <c r="PA503" i="2"/>
  <c r="EO502" i="2"/>
  <c r="DZ494" i="2"/>
  <c r="DJ493" i="2"/>
  <c r="QH490" i="2"/>
  <c r="LY489" i="2"/>
  <c r="HR489" i="2"/>
  <c r="WK488" i="2"/>
  <c r="TZ488" i="2"/>
  <c r="TJ488" i="2"/>
  <c r="NE488" i="2"/>
  <c r="IX488" i="2"/>
  <c r="IH488" i="2"/>
  <c r="FE487" i="2"/>
  <c r="BN487" i="2"/>
  <c r="HQ521" i="2"/>
  <c r="CC521" i="2"/>
  <c r="HR520" i="2"/>
  <c r="TY517" i="2"/>
  <c r="TI517" i="2"/>
  <c r="JN511" i="2"/>
  <c r="HR511" i="2"/>
  <c r="PQ509" i="2"/>
  <c r="PA509" i="2"/>
  <c r="LY509" i="2"/>
  <c r="KD509" i="2"/>
  <c r="FE508" i="2"/>
  <c r="CC508" i="2"/>
  <c r="VF507" i="2"/>
  <c r="VU503" i="2"/>
  <c r="HR502" i="2"/>
  <c r="R502" i="2"/>
  <c r="PR501" i="2"/>
  <c r="NE500" i="2"/>
  <c r="FF500" i="2"/>
  <c r="CT497" i="2"/>
  <c r="OK494" i="2"/>
  <c r="NE494" i="2"/>
  <c r="HR494" i="2"/>
  <c r="NF493" i="2"/>
  <c r="NV490" i="2"/>
  <c r="LZ489" i="2"/>
  <c r="QG488" i="2"/>
  <c r="RM487" i="2"/>
  <c r="IW488" i="2"/>
  <c r="BM488" i="2"/>
  <c r="BN521" i="2"/>
  <c r="QH513" i="2"/>
  <c r="PB513" i="2"/>
  <c r="NE512" i="2"/>
  <c r="FE511" i="2"/>
  <c r="HQ509" i="2"/>
  <c r="CT508" i="2"/>
  <c r="CC505" i="2"/>
  <c r="VV503" i="2"/>
  <c r="QH502" i="2"/>
  <c r="HR496" i="2"/>
  <c r="CT495" i="2"/>
  <c r="CT494" i="2"/>
  <c r="LI493" i="2"/>
  <c r="AX493" i="2"/>
  <c r="PQ517" i="2"/>
  <c r="Q514" i="2"/>
  <c r="VU513" i="2"/>
  <c r="VF513" i="2"/>
  <c r="DI513" i="2"/>
  <c r="KC521" i="2"/>
  <c r="IH521" i="2"/>
  <c r="JM520" i="2"/>
  <c r="HQ520" i="2"/>
  <c r="TZ517" i="2"/>
  <c r="VF516" i="2"/>
  <c r="EO515" i="2"/>
  <c r="DY515" i="2"/>
  <c r="CS515" i="2"/>
  <c r="ST514" i="2"/>
  <c r="QX514" i="2"/>
  <c r="JM511" i="2"/>
  <c r="CC511" i="2"/>
  <c r="QH510" i="2"/>
  <c r="SS509" i="2"/>
  <c r="SC509" i="2"/>
  <c r="QW508" i="2"/>
  <c r="HR508" i="2"/>
  <c r="EP507" i="2"/>
  <c r="OK505" i="2"/>
  <c r="NU505" i="2"/>
  <c r="DI505" i="2"/>
  <c r="HQ502" i="2"/>
  <c r="FU502" i="2"/>
  <c r="TY501" i="2"/>
  <c r="TI500" i="2"/>
  <c r="SS500" i="2"/>
  <c r="PA500" i="2"/>
  <c r="QG499" i="2"/>
  <c r="VV497" i="2"/>
  <c r="VF497" i="2"/>
  <c r="OL497" i="2"/>
  <c r="KS497" i="2"/>
  <c r="HQ497" i="2"/>
  <c r="FU497" i="2"/>
  <c r="FE497" i="2"/>
  <c r="QX495" i="2"/>
  <c r="LJ494" i="2"/>
  <c r="KS491" i="2"/>
  <c r="PR489" i="2"/>
  <c r="Q489" i="2"/>
  <c r="QX488" i="2"/>
  <c r="LY487" i="2"/>
  <c r="JN509" i="2"/>
  <c r="KT521" i="2"/>
  <c r="KT509" i="2"/>
  <c r="LJ509" i="2"/>
  <c r="DI511" i="2"/>
  <c r="FF510" i="2"/>
  <c r="VE506" i="2"/>
  <c r="RM506" i="2"/>
  <c r="UO505" i="2"/>
  <c r="KD513" i="2"/>
  <c r="FU486" i="2"/>
  <c r="JM515" i="2"/>
  <c r="KT508" i="2"/>
  <c r="WK517" i="2"/>
  <c r="IX513" i="2"/>
  <c r="SC498" i="2"/>
  <c r="JN514" i="2"/>
  <c r="LJ508" i="2"/>
  <c r="KC499" i="2"/>
  <c r="WK513" i="2"/>
  <c r="TJ513" i="2"/>
  <c r="QW513" i="2"/>
  <c r="QG513" i="2"/>
  <c r="PR512" i="2"/>
  <c r="DZ512" i="2"/>
  <c r="TZ503" i="2"/>
  <c r="FE503" i="2"/>
  <c r="JN502" i="2"/>
  <c r="AG497" i="2"/>
  <c r="AH494" i="2"/>
  <c r="LI520" i="2"/>
  <c r="IG520" i="2"/>
  <c r="AW520" i="2"/>
  <c r="OK519" i="2"/>
  <c r="VV517" i="2"/>
  <c r="VE517" i="2"/>
  <c r="HQ517" i="2"/>
  <c r="DY517" i="2"/>
  <c r="DI517" i="2"/>
  <c r="IH515" i="2"/>
  <c r="TZ514" i="2"/>
  <c r="R514" i="2"/>
  <c r="TI513" i="2"/>
  <c r="PQ512" i="2"/>
  <c r="KS512" i="2"/>
  <c r="SS504" i="2"/>
  <c r="LI504" i="2"/>
  <c r="TY503" i="2"/>
  <c r="IG503" i="2"/>
  <c r="LJ502" i="2"/>
  <c r="CS498" i="2"/>
  <c r="NU497" i="2"/>
  <c r="KT497" i="2"/>
  <c r="CD521" i="2"/>
  <c r="FV519" i="2"/>
  <c r="UP509" i="2"/>
  <c r="SD509" i="2"/>
  <c r="ST505" i="2"/>
  <c r="LY499" i="2"/>
  <c r="DI490" i="2"/>
  <c r="JN513" i="2"/>
  <c r="DJ510" i="2"/>
  <c r="UO509" i="2"/>
  <c r="FE516" i="2"/>
  <c r="JM503" i="2"/>
  <c r="LI497" i="2"/>
  <c r="VU517" i="2"/>
  <c r="NE517" i="2"/>
  <c r="KS505" i="2"/>
  <c r="IX499" i="2"/>
  <c r="SS498" i="2"/>
  <c r="JN508" i="2"/>
  <c r="WK509" i="2"/>
  <c r="TI509" i="2"/>
  <c r="PA499" i="2"/>
  <c r="LZ499" i="2"/>
  <c r="IW490" i="2"/>
  <c r="IW486" i="2"/>
  <c r="VF520" i="2"/>
  <c r="LY513" i="2"/>
  <c r="HR486" i="2"/>
  <c r="KC518" i="2"/>
  <c r="VU511" i="2"/>
  <c r="WL515" i="2"/>
  <c r="KD520" i="2"/>
  <c r="FF516" i="2"/>
  <c r="CD515" i="2"/>
  <c r="SC513" i="2"/>
  <c r="QX513" i="2"/>
  <c r="IH512" i="2"/>
  <c r="AW507" i="2"/>
  <c r="BM494" i="2"/>
  <c r="TY519" i="2"/>
  <c r="ST519" i="2"/>
  <c r="GL520" i="2"/>
  <c r="DJ520" i="2"/>
  <c r="VU519" i="2"/>
  <c r="AW518" i="2"/>
  <c r="CD514" i="2"/>
  <c r="GK513" i="2"/>
  <c r="OL512" i="2"/>
  <c r="FU512" i="2"/>
  <c r="EP512" i="2"/>
  <c r="TI507" i="2"/>
  <c r="R504" i="2"/>
  <c r="AH499" i="2"/>
  <c r="WK497" i="2"/>
  <c r="QW520" i="2"/>
  <c r="QG520" i="2"/>
  <c r="PA520" i="2"/>
  <c r="OK520" i="2"/>
  <c r="LY520" i="2"/>
  <c r="SC517" i="2"/>
  <c r="PA517" i="2"/>
  <c r="LZ517" i="2"/>
  <c r="IW517" i="2"/>
  <c r="KS513" i="2"/>
  <c r="SS512" i="2"/>
  <c r="RM512" i="2"/>
  <c r="QW512" i="2"/>
  <c r="JM508" i="2"/>
  <c r="OL507" i="2"/>
  <c r="QG504" i="2"/>
  <c r="PA504" i="2"/>
  <c r="VE503" i="2"/>
  <c r="PR503" i="2"/>
  <c r="TZ498" i="2"/>
  <c r="DY498" i="2"/>
  <c r="WL497" i="2"/>
  <c r="GL515" i="2"/>
  <c r="NF514" i="2"/>
  <c r="BM514" i="2"/>
  <c r="TJ512" i="2"/>
  <c r="GL512" i="2"/>
  <c r="FE510" i="2"/>
  <c r="LZ503" i="2"/>
  <c r="PA501" i="2"/>
  <c r="GK518" i="2"/>
  <c r="Q516" i="2"/>
  <c r="TZ515" i="2"/>
  <c r="FE514" i="2"/>
  <c r="KT510" i="2"/>
  <c r="DZ510" i="2"/>
  <c r="CT510" i="2"/>
  <c r="RN501" i="2"/>
  <c r="CC501" i="2"/>
  <c r="AG501" i="2"/>
  <c r="CT499" i="2"/>
  <c r="RN496" i="2"/>
  <c r="R494" i="2"/>
  <c r="LY493" i="2"/>
  <c r="DJ521" i="2"/>
  <c r="TY520" i="2"/>
  <c r="VE512" i="2"/>
  <c r="TZ512" i="2"/>
  <c r="PA508" i="2"/>
  <c r="DZ507" i="2"/>
  <c r="WK506" i="2"/>
  <c r="OL505" i="2"/>
  <c r="SS501" i="2"/>
  <c r="SC501" i="2"/>
  <c r="FE500" i="2"/>
  <c r="BM500" i="2"/>
  <c r="Q500" i="2"/>
  <c r="TI499" i="2"/>
  <c r="KS494" i="2"/>
  <c r="AG492" i="2"/>
  <c r="AG488" i="2"/>
  <c r="ST521" i="2"/>
  <c r="DI521" i="2"/>
  <c r="AG521" i="2"/>
  <c r="QH520" i="2"/>
  <c r="LZ520" i="2"/>
  <c r="UP519" i="2"/>
  <c r="Q519" i="2"/>
  <c r="VU518" i="2"/>
  <c r="PB518" i="2"/>
  <c r="IX518" i="2"/>
  <c r="VE516" i="2"/>
  <c r="TY516" i="2"/>
  <c r="TJ516" i="2"/>
  <c r="ST516" i="2"/>
  <c r="LZ516" i="2"/>
  <c r="EO516" i="2"/>
  <c r="IX515" i="2"/>
  <c r="FV514" i="2"/>
  <c r="GL513" i="2"/>
  <c r="WL512" i="2"/>
  <c r="VV512" i="2"/>
  <c r="OK511" i="2"/>
  <c r="BN509" i="2"/>
  <c r="IW507" i="2"/>
  <c r="DY507" i="2"/>
  <c r="QW506" i="2"/>
  <c r="LZ506" i="2"/>
  <c r="IW506" i="2"/>
  <c r="FF506" i="2"/>
  <c r="WL505" i="2"/>
  <c r="WK504" i="2"/>
  <c r="LY503" i="2"/>
  <c r="KT503" i="2"/>
  <c r="GL502" i="2"/>
  <c r="FF502" i="2"/>
  <c r="AH502" i="2"/>
  <c r="DY501" i="2"/>
  <c r="AX500" i="2"/>
  <c r="BM496" i="2"/>
  <c r="WL495" i="2"/>
  <c r="KT494" i="2"/>
  <c r="SD488" i="2"/>
  <c r="WL520" i="2"/>
  <c r="UO520" i="2"/>
  <c r="TI520" i="2"/>
  <c r="DJ519" i="2"/>
  <c r="CT519" i="2"/>
  <c r="VF518" i="2"/>
  <c r="PA518" i="2"/>
  <c r="OK518" i="2"/>
  <c r="KT518" i="2"/>
  <c r="FV517" i="2"/>
  <c r="QG516" i="2"/>
  <c r="PB516" i="2"/>
  <c r="LY516" i="2"/>
  <c r="VU514" i="2"/>
  <c r="HQ514" i="2"/>
  <c r="WK512" i="2"/>
  <c r="DY509" i="2"/>
  <c r="NE508" i="2"/>
  <c r="GL507" i="2"/>
  <c r="AG507" i="2"/>
  <c r="OL506" i="2"/>
  <c r="NV506" i="2"/>
  <c r="IH506" i="2"/>
  <c r="GK506" i="2"/>
  <c r="FE506" i="2"/>
  <c r="IG502" i="2"/>
  <c r="AW502" i="2"/>
  <c r="Q502" i="2"/>
  <c r="TI501" i="2"/>
  <c r="KD496" i="2"/>
  <c r="NV494" i="2"/>
  <c r="LZ491" i="2"/>
  <c r="AH489" i="2"/>
  <c r="R489" i="2"/>
  <c r="SC488" i="2"/>
  <c r="OL516" i="2"/>
  <c r="NU509" i="2"/>
  <c r="IH509" i="2"/>
  <c r="OK496" i="2"/>
  <c r="NV496" i="2"/>
  <c r="Q490" i="2"/>
  <c r="EP489" i="2"/>
  <c r="RN486" i="2"/>
  <c r="CC514" i="2"/>
  <c r="EO486" i="2"/>
  <c r="KT516" i="2"/>
  <c r="WK520" i="2"/>
  <c r="FE518" i="2"/>
  <c r="CD518" i="2"/>
  <c r="VV515" i="2"/>
  <c r="PQ515" i="2"/>
  <c r="EO514" i="2"/>
  <c r="VF510" i="2"/>
  <c r="AH509" i="2"/>
  <c r="UP507" i="2"/>
  <c r="TY505" i="2"/>
  <c r="PB505" i="2"/>
  <c r="BM501" i="2"/>
  <c r="NE499" i="2"/>
  <c r="KT495" i="2"/>
  <c r="VF521" i="2"/>
  <c r="SS520" i="2"/>
  <c r="CC518" i="2"/>
  <c r="HQ516" i="2"/>
  <c r="EP516" i="2"/>
  <c r="VU515" i="2"/>
  <c r="RM515" i="2"/>
  <c r="TY514" i="2"/>
  <c r="QW514" i="2"/>
  <c r="ST512" i="2"/>
  <c r="LJ510" i="2"/>
  <c r="LZ508" i="2"/>
  <c r="EO506" i="2"/>
  <c r="Q506" i="2"/>
  <c r="QG505" i="2"/>
  <c r="PA505" i="2"/>
  <c r="JN505" i="2"/>
  <c r="PB521" i="2"/>
  <c r="OL521" i="2"/>
  <c r="RM519" i="2"/>
  <c r="KS519" i="2"/>
  <c r="DI519" i="2"/>
  <c r="IH518" i="2"/>
  <c r="CD517" i="2"/>
  <c r="UO516" i="2"/>
  <c r="OK516" i="2"/>
  <c r="HR516" i="2"/>
  <c r="DZ515" i="2"/>
  <c r="AX515" i="2"/>
  <c r="OK514" i="2"/>
  <c r="FV513" i="2"/>
  <c r="FF513" i="2"/>
  <c r="EP513" i="2"/>
  <c r="CD512" i="2"/>
  <c r="NE509" i="2"/>
  <c r="NU506" i="2"/>
  <c r="FF505" i="2"/>
  <c r="QW500" i="2"/>
  <c r="PA521" i="2"/>
  <c r="GL521" i="2"/>
  <c r="QX519" i="2"/>
  <c r="QH519" i="2"/>
  <c r="EP519" i="2"/>
  <c r="WL518" i="2"/>
  <c r="GL517" i="2"/>
  <c r="DJ517" i="2"/>
  <c r="RM516" i="2"/>
  <c r="NF513" i="2"/>
  <c r="HR513" i="2"/>
  <c r="FE513" i="2"/>
  <c r="EO513" i="2"/>
  <c r="CD513" i="2"/>
  <c r="CC512" i="2"/>
  <c r="SS511" i="2"/>
  <c r="GK511" i="2"/>
  <c r="Q511" i="2"/>
  <c r="QH509" i="2"/>
  <c r="PB509" i="2"/>
  <c r="AG509" i="2"/>
  <c r="R508" i="2"/>
  <c r="QG507" i="2"/>
  <c r="VF506" i="2"/>
  <c r="PR506" i="2"/>
  <c r="NF506" i="2"/>
  <c r="DY504" i="2"/>
  <c r="KC503" i="2"/>
  <c r="QW502" i="2"/>
  <c r="QW501" i="2"/>
  <c r="LI501" i="2"/>
  <c r="CT498" i="2"/>
  <c r="VU497" i="2"/>
  <c r="HR497" i="2"/>
  <c r="KT499" i="2"/>
  <c r="DZ499" i="2"/>
  <c r="ST498" i="2"/>
  <c r="SD498" i="2"/>
  <c r="QG497" i="2"/>
  <c r="PQ497" i="2"/>
  <c r="QG494" i="2"/>
  <c r="CD492" i="2"/>
  <c r="BN492" i="2"/>
  <c r="FF487" i="2"/>
  <c r="R487" i="2"/>
  <c r="HQ486" i="2"/>
  <c r="FV486" i="2"/>
  <c r="PR518" i="2"/>
  <c r="UO517" i="2"/>
  <c r="QH517" i="2"/>
  <c r="PB517" i="2"/>
  <c r="Q517" i="2"/>
  <c r="TJ514" i="2"/>
  <c r="FU514" i="2"/>
  <c r="WL513" i="2"/>
  <c r="SS513" i="2"/>
  <c r="VU512" i="2"/>
  <c r="KD512" i="2"/>
  <c r="AH510" i="2"/>
  <c r="DJ509" i="2"/>
  <c r="QW503" i="2"/>
  <c r="SD502" i="2"/>
  <c r="CD500" i="2"/>
  <c r="QH499" i="2"/>
  <c r="NF499" i="2"/>
  <c r="IH497" i="2"/>
  <c r="QH494" i="2"/>
  <c r="GK490" i="2"/>
  <c r="IX486" i="2"/>
  <c r="UO518" i="2"/>
  <c r="SC518" i="2"/>
  <c r="PQ518" i="2"/>
  <c r="AX518" i="2"/>
  <c r="QG517" i="2"/>
  <c r="JM517" i="2"/>
  <c r="SD515" i="2"/>
  <c r="PR515" i="2"/>
  <c r="TJ511" i="2"/>
  <c r="KD511" i="2"/>
  <c r="IX511" i="2"/>
  <c r="TI510" i="2"/>
  <c r="FU509" i="2"/>
  <c r="QG508" i="2"/>
  <c r="NU508" i="2"/>
  <c r="IX508" i="2"/>
  <c r="DJ508" i="2"/>
  <c r="SC507" i="2"/>
  <c r="FV507" i="2"/>
  <c r="BN507" i="2"/>
  <c r="FV506" i="2"/>
  <c r="SC504" i="2"/>
  <c r="BM504" i="2"/>
  <c r="PQ499" i="2"/>
  <c r="FF499" i="2"/>
  <c r="LZ496" i="2"/>
  <c r="VE521" i="2"/>
  <c r="QX521" i="2"/>
  <c r="AW521" i="2"/>
  <c r="VV520" i="2"/>
  <c r="IG518" i="2"/>
  <c r="TI515" i="2"/>
  <c r="R515" i="2"/>
  <c r="WL514" i="2"/>
  <c r="RN514" i="2"/>
  <c r="PQ513" i="2"/>
  <c r="IW513" i="2"/>
  <c r="UP512" i="2"/>
  <c r="LY512" i="2"/>
  <c r="AG512" i="2"/>
  <c r="KS511" i="2"/>
  <c r="QG510" i="2"/>
  <c r="LI510" i="2"/>
  <c r="FV509" i="2"/>
  <c r="UO508" i="2"/>
  <c r="GK508" i="2"/>
  <c r="QH507" i="2"/>
  <c r="CC507" i="2"/>
  <c r="R507" i="2"/>
  <c r="VF501" i="2"/>
  <c r="ST501" i="2"/>
  <c r="CT500" i="2"/>
  <c r="QX499" i="2"/>
  <c r="IW499" i="2"/>
  <c r="FV491" i="2"/>
  <c r="KS490" i="2"/>
  <c r="EP490" i="2"/>
  <c r="JM512" i="2"/>
  <c r="JM494" i="2"/>
  <c r="JM488" i="2"/>
  <c r="JM518" i="2"/>
  <c r="JM506" i="2"/>
  <c r="JM500" i="2"/>
  <c r="KT502" i="2"/>
  <c r="KT490" i="2"/>
  <c r="LI494" i="2"/>
  <c r="QG521" i="2"/>
  <c r="QX520" i="2"/>
  <c r="OL519" i="2"/>
  <c r="AG519" i="2"/>
  <c r="TY518" i="2"/>
  <c r="VE519" i="2"/>
  <c r="Q513" i="2"/>
  <c r="SD511" i="2"/>
  <c r="CD511" i="2"/>
  <c r="CC509" i="2"/>
  <c r="AW509" i="2"/>
  <c r="ST508" i="2"/>
  <c r="IW508" i="2"/>
  <c r="KC507" i="2"/>
  <c r="DJ503" i="2"/>
  <c r="RN500" i="2"/>
  <c r="IG500" i="2"/>
  <c r="SD499" i="2"/>
  <c r="UO494" i="2"/>
  <c r="WK491" i="2"/>
  <c r="KS520" i="2"/>
  <c r="GK519" i="2"/>
  <c r="BM516" i="2"/>
  <c r="ST515" i="2"/>
  <c r="RN515" i="2"/>
  <c r="OL515" i="2"/>
  <c r="LZ515" i="2"/>
  <c r="HQ515" i="2"/>
  <c r="UO514" i="2"/>
  <c r="KS514" i="2"/>
  <c r="DZ514" i="2"/>
  <c r="HQ512" i="2"/>
  <c r="VE511" i="2"/>
  <c r="SC511" i="2"/>
  <c r="PB511" i="2"/>
  <c r="DY511" i="2"/>
  <c r="R511" i="2"/>
  <c r="WK507" i="2"/>
  <c r="PQ507" i="2"/>
  <c r="EP505" i="2"/>
  <c r="CD505" i="2"/>
  <c r="CS504" i="2"/>
  <c r="NF503" i="2"/>
  <c r="DI503" i="2"/>
  <c r="WL502" i="2"/>
  <c r="NU501" i="2"/>
  <c r="RM500" i="2"/>
  <c r="OK500" i="2"/>
  <c r="KD500" i="2"/>
  <c r="DI500" i="2"/>
  <c r="SC499" i="2"/>
  <c r="R497" i="2"/>
  <c r="WL496" i="2"/>
  <c r="TJ494" i="2"/>
  <c r="FF494" i="2"/>
  <c r="VV493" i="2"/>
  <c r="FV490" i="2"/>
  <c r="FU489" i="2"/>
  <c r="OL488" i="2"/>
  <c r="QH487" i="2"/>
  <c r="QW519" i="2"/>
  <c r="ST518" i="2"/>
  <c r="LZ518" i="2"/>
  <c r="TJ517" i="2"/>
  <c r="AH517" i="2"/>
  <c r="TI514" i="2"/>
  <c r="GL514" i="2"/>
  <c r="EP514" i="2"/>
  <c r="CC513" i="2"/>
  <c r="VF512" i="2"/>
  <c r="TI512" i="2"/>
  <c r="UO511" i="2"/>
  <c r="NF511" i="2"/>
  <c r="LY511" i="2"/>
  <c r="TZ510" i="2"/>
  <c r="SC510" i="2"/>
  <c r="QX510" i="2"/>
  <c r="WL508" i="2"/>
  <c r="CS508" i="2"/>
  <c r="IH507" i="2"/>
  <c r="CT507" i="2"/>
  <c r="KC506" i="2"/>
  <c r="QW505" i="2"/>
  <c r="DZ505" i="2"/>
  <c r="VU504" i="2"/>
  <c r="SS502" i="2"/>
  <c r="EP501" i="2"/>
  <c r="QW499" i="2"/>
  <c r="AW496" i="2"/>
  <c r="NE492" i="2"/>
  <c r="SD491" i="2"/>
  <c r="NU491" i="2"/>
  <c r="FU488" i="2"/>
  <c r="FE488" i="2"/>
  <c r="JM486" i="2"/>
  <c r="JM521" i="2"/>
  <c r="R521" i="2"/>
  <c r="DZ520" i="2"/>
  <c r="RN519" i="2"/>
  <c r="FE519" i="2"/>
  <c r="AX519" i="2"/>
  <c r="TJ518" i="2"/>
  <c r="OL518" i="2"/>
  <c r="CS518" i="2"/>
  <c r="PR517" i="2"/>
  <c r="JN517" i="2"/>
  <c r="SC516" i="2"/>
  <c r="QX516" i="2"/>
  <c r="AX516" i="2"/>
  <c r="SS515" i="2"/>
  <c r="QX515" i="2"/>
  <c r="HR515" i="2"/>
  <c r="AW515" i="2"/>
  <c r="GK514" i="2"/>
  <c r="DJ514" i="2"/>
  <c r="TY513" i="2"/>
  <c r="BM512" i="2"/>
  <c r="QW510" i="2"/>
  <c r="VU507" i="2"/>
  <c r="OK507" i="2"/>
  <c r="QH506" i="2"/>
  <c r="VV504" i="2"/>
  <c r="SD504" i="2"/>
  <c r="KC500" i="2"/>
  <c r="BN497" i="2"/>
  <c r="AX496" i="2"/>
  <c r="VU487" i="2"/>
  <c r="QX486" i="2"/>
  <c r="TZ521" i="2"/>
  <c r="QW521" i="2"/>
  <c r="VF519" i="2"/>
  <c r="WK521" i="2"/>
  <c r="LY521" i="2"/>
  <c r="GK521" i="2"/>
  <c r="JN520" i="2"/>
  <c r="WK519" i="2"/>
  <c r="SC519" i="2"/>
  <c r="KC519" i="2"/>
  <c r="CT516" i="2"/>
  <c r="AH516" i="2"/>
  <c r="TY515" i="2"/>
  <c r="BM515" i="2"/>
  <c r="AH515" i="2"/>
  <c r="QG514" i="2"/>
  <c r="LZ514" i="2"/>
  <c r="DY512" i="2"/>
  <c r="CS512" i="2"/>
  <c r="NE511" i="2"/>
  <c r="IG511" i="2"/>
  <c r="CT511" i="2"/>
  <c r="SD510" i="2"/>
  <c r="NV509" i="2"/>
  <c r="NF509" i="2"/>
  <c r="HR509" i="2"/>
  <c r="BM509" i="2"/>
  <c r="TJ508" i="2"/>
  <c r="SD508" i="2"/>
  <c r="PB508" i="2"/>
  <c r="DY508" i="2"/>
  <c r="RN506" i="2"/>
  <c r="UP505" i="2"/>
  <c r="NE505" i="2"/>
  <c r="GL505" i="2"/>
  <c r="FE505" i="2"/>
  <c r="GL504" i="2"/>
  <c r="DJ504" i="2"/>
  <c r="NU503" i="2"/>
  <c r="VV501" i="2"/>
  <c r="OL501" i="2"/>
  <c r="TJ500" i="2"/>
  <c r="TJ497" i="2"/>
  <c r="SD497" i="2"/>
  <c r="QH497" i="2"/>
  <c r="GL497" i="2"/>
  <c r="DJ497" i="2"/>
  <c r="QX496" i="2"/>
  <c r="WK494" i="2"/>
  <c r="KC493" i="2"/>
  <c r="FE493" i="2"/>
  <c r="KC492" i="2"/>
  <c r="EO492" i="2"/>
  <c r="CS492" i="2"/>
  <c r="CC492" i="2"/>
  <c r="KD489" i="2"/>
  <c r="ST488" i="2"/>
  <c r="DY487" i="2"/>
  <c r="Q487" i="2"/>
  <c r="NE503" i="2"/>
  <c r="NE502" i="2"/>
  <c r="NE501" i="2"/>
  <c r="AW498" i="2"/>
  <c r="OK491" i="2"/>
  <c r="DI487" i="2"/>
  <c r="AG487" i="2"/>
  <c r="LZ486" i="2"/>
  <c r="JN487" i="2"/>
  <c r="LJ505" i="2"/>
  <c r="LZ521" i="2"/>
  <c r="BM521" i="2"/>
  <c r="DI520" i="2"/>
  <c r="BM520" i="2"/>
  <c r="BN519" i="2"/>
  <c r="QG518" i="2"/>
  <c r="BN518" i="2"/>
  <c r="AH518" i="2"/>
  <c r="GL516" i="2"/>
  <c r="AW516" i="2"/>
  <c r="SC515" i="2"/>
  <c r="PB515" i="2"/>
  <c r="PB514" i="2"/>
  <c r="IW514" i="2"/>
  <c r="HR514" i="2"/>
  <c r="AX514" i="2"/>
  <c r="ST513" i="2"/>
  <c r="DJ513" i="2"/>
  <c r="QH512" i="2"/>
  <c r="PB512" i="2"/>
  <c r="GK512" i="2"/>
  <c r="CS510" i="2"/>
  <c r="TY509" i="2"/>
  <c r="QW509" i="2"/>
  <c r="LZ509" i="2"/>
  <c r="Q508" i="2"/>
  <c r="SD507" i="2"/>
  <c r="PB507" i="2"/>
  <c r="NE506" i="2"/>
  <c r="IX506" i="2"/>
  <c r="AW504" i="2"/>
  <c r="EO503" i="2"/>
  <c r="CS502" i="2"/>
  <c r="AX501" i="2"/>
  <c r="TY500" i="2"/>
  <c r="EO500" i="2"/>
  <c r="AW500" i="2"/>
  <c r="QW497" i="2"/>
  <c r="OL494" i="2"/>
  <c r="AX492" i="2"/>
  <c r="OL491" i="2"/>
  <c r="FE491" i="2"/>
  <c r="UO489" i="2"/>
  <c r="CT489" i="2"/>
  <c r="LY486" i="2"/>
  <c r="KC486" i="2"/>
  <c r="KT512" i="2"/>
  <c r="LI505" i="2"/>
  <c r="SD521" i="2"/>
  <c r="NV521" i="2"/>
  <c r="IW520" i="2"/>
  <c r="TJ519" i="2"/>
  <c r="IG519" i="2"/>
  <c r="TZ518" i="2"/>
  <c r="QX518" i="2"/>
  <c r="AG518" i="2"/>
  <c r="EO517" i="2"/>
  <c r="BN517" i="2"/>
  <c r="AW512" i="2"/>
  <c r="FU511" i="2"/>
  <c r="FF511" i="2"/>
  <c r="AW511" i="2"/>
  <c r="ST510" i="2"/>
  <c r="GL510" i="2"/>
  <c r="VF508" i="2"/>
  <c r="SS508" i="2"/>
  <c r="SS506" i="2"/>
  <c r="BM506" i="2"/>
  <c r="NF505" i="2"/>
  <c r="QW504" i="2"/>
  <c r="IH504" i="2"/>
  <c r="CD504" i="2"/>
  <c r="BN504" i="2"/>
  <c r="TI502" i="2"/>
  <c r="BN502" i="2"/>
  <c r="OK501" i="2"/>
  <c r="LY501" i="2"/>
  <c r="AW501" i="2"/>
  <c r="EP500" i="2"/>
  <c r="FE499" i="2"/>
  <c r="UP498" i="2"/>
  <c r="KT498" i="2"/>
  <c r="JM498" i="2"/>
  <c r="FU498" i="2"/>
  <c r="FF497" i="2"/>
  <c r="FF496" i="2"/>
  <c r="NU495" i="2"/>
  <c r="BN494" i="2"/>
  <c r="R491" i="2"/>
  <c r="VF490" i="2"/>
  <c r="TY490" i="2"/>
  <c r="PQ490" i="2"/>
  <c r="IH490" i="2"/>
  <c r="R490" i="2"/>
  <c r="RN489" i="2"/>
  <c r="NV489" i="2"/>
  <c r="TJ487" i="2"/>
  <c r="KS487" i="2"/>
  <c r="EO487" i="2"/>
  <c r="CT486" i="2"/>
  <c r="UO497" i="2"/>
  <c r="FU495" i="2"/>
  <c r="CC495" i="2"/>
  <c r="TY493" i="2"/>
  <c r="PR493" i="2"/>
  <c r="NV493" i="2"/>
  <c r="NE493" i="2"/>
  <c r="DY492" i="2"/>
  <c r="QH491" i="2"/>
  <c r="QX489" i="2"/>
  <c r="PQ488" i="2"/>
  <c r="WK486" i="2"/>
  <c r="LJ493" i="2"/>
  <c r="UO521" i="2"/>
  <c r="OK521" i="2"/>
  <c r="AH521" i="2"/>
  <c r="TJ520" i="2"/>
  <c r="CS519" i="2"/>
  <c r="OK517" i="2"/>
  <c r="HR517" i="2"/>
  <c r="CT517" i="2"/>
  <c r="WL511" i="2"/>
  <c r="KC510" i="2"/>
  <c r="FU510" i="2"/>
  <c r="KC509" i="2"/>
  <c r="IG507" i="2"/>
  <c r="BN506" i="2"/>
  <c r="R506" i="2"/>
  <c r="UP504" i="2"/>
  <c r="BN503" i="2"/>
  <c r="VE501" i="2"/>
  <c r="NV501" i="2"/>
  <c r="BN501" i="2"/>
  <c r="VE500" i="2"/>
  <c r="FV500" i="2"/>
  <c r="UP499" i="2"/>
  <c r="LZ497" i="2"/>
  <c r="BM497" i="2"/>
  <c r="EP495" i="2"/>
  <c r="IG521" i="2"/>
  <c r="DZ521" i="2"/>
  <c r="AX521" i="2"/>
  <c r="UO519" i="2"/>
  <c r="QG519" i="2"/>
  <c r="LI518" i="2"/>
  <c r="DI518" i="2"/>
  <c r="SS516" i="2"/>
  <c r="RN516" i="2"/>
  <c r="QW516" i="2"/>
  <c r="AG513" i="2"/>
  <c r="PA512" i="2"/>
  <c r="PQ521" i="2"/>
  <c r="DY521" i="2"/>
  <c r="CS521" i="2"/>
  <c r="TZ520" i="2"/>
  <c r="DY520" i="2"/>
  <c r="TZ519" i="2"/>
  <c r="QW518" i="2"/>
  <c r="RM517" i="2"/>
  <c r="FF517" i="2"/>
  <c r="BM517" i="2"/>
  <c r="WL516" i="2"/>
  <c r="FU515" i="2"/>
  <c r="VE514" i="2"/>
  <c r="BM513" i="2"/>
  <c r="SD512" i="2"/>
  <c r="HR512" i="2"/>
  <c r="BN512" i="2"/>
  <c r="R512" i="2"/>
  <c r="QG511" i="2"/>
  <c r="UO510" i="2"/>
  <c r="OL510" i="2"/>
  <c r="KS510" i="2"/>
  <c r="GK510" i="2"/>
  <c r="DI510" i="2"/>
  <c r="AX510" i="2"/>
  <c r="AG510" i="2"/>
  <c r="VE509" i="2"/>
  <c r="OL509" i="2"/>
  <c r="FU508" i="2"/>
  <c r="FF508" i="2"/>
  <c r="TY507" i="2"/>
  <c r="ST507" i="2"/>
  <c r="EO507" i="2"/>
  <c r="DI507" i="2"/>
  <c r="PA506" i="2"/>
  <c r="QH505" i="2"/>
  <c r="JM505" i="2"/>
  <c r="EO505" i="2"/>
  <c r="DJ505" i="2"/>
  <c r="AW505" i="2"/>
  <c r="EP504" i="2"/>
  <c r="KD503" i="2"/>
  <c r="WK502" i="2"/>
  <c r="PB502" i="2"/>
  <c r="DY502" i="2"/>
  <c r="AG502" i="2"/>
  <c r="WK501" i="2"/>
  <c r="EO501" i="2"/>
  <c r="PB500" i="2"/>
  <c r="OL499" i="2"/>
  <c r="VF498" i="2"/>
  <c r="QW498" i="2"/>
  <c r="FE498" i="2"/>
  <c r="AX498" i="2"/>
  <c r="TI497" i="2"/>
  <c r="QW496" i="2"/>
  <c r="FE496" i="2"/>
  <c r="LY495" i="2"/>
  <c r="IX495" i="2"/>
  <c r="FF495" i="2"/>
  <c r="PR494" i="2"/>
  <c r="KD494" i="2"/>
  <c r="PQ493" i="2"/>
  <c r="DY493" i="2"/>
  <c r="R492" i="2"/>
  <c r="UP491" i="2"/>
  <c r="BN491" i="2"/>
  <c r="CC488" i="2"/>
  <c r="WK487" i="2"/>
  <c r="EP487" i="2"/>
  <c r="WL486" i="2"/>
  <c r="PR486" i="2"/>
  <c r="Q486" i="2"/>
  <c r="NF497" i="2"/>
  <c r="NF496" i="2"/>
  <c r="NF494" i="2"/>
  <c r="FF493" i="2"/>
  <c r="VE492" i="2"/>
  <c r="UO491" i="2"/>
  <c r="KC490" i="2"/>
  <c r="EO489" i="2"/>
  <c r="AW489" i="2"/>
  <c r="SD487" i="2"/>
  <c r="PA487" i="2"/>
  <c r="IW487" i="2"/>
  <c r="PQ486" i="2"/>
  <c r="PA486" i="2"/>
  <c r="IH510" i="2"/>
  <c r="VU508" i="2"/>
  <c r="KD506" i="2"/>
  <c r="FE504" i="2"/>
  <c r="RN503" i="2"/>
  <c r="LY502" i="2"/>
  <c r="KD502" i="2"/>
  <c r="HQ501" i="2"/>
  <c r="DZ501" i="2"/>
  <c r="UO499" i="2"/>
  <c r="LJ499" i="2"/>
  <c r="EP499" i="2"/>
  <c r="AW499" i="2"/>
  <c r="TI498" i="2"/>
  <c r="Q498" i="2"/>
  <c r="SC497" i="2"/>
  <c r="DZ497" i="2"/>
  <c r="RM496" i="2"/>
  <c r="FU494" i="2"/>
  <c r="IX492" i="2"/>
  <c r="FE489" i="2"/>
  <c r="CS488" i="2"/>
  <c r="PQ487" i="2"/>
  <c r="KC487" i="2"/>
  <c r="HQ487" i="2"/>
  <c r="GL487" i="2"/>
  <c r="IH486" i="2"/>
  <c r="AX486" i="2"/>
  <c r="PR511" i="2"/>
  <c r="IW511" i="2"/>
  <c r="VE510" i="2"/>
  <c r="PA510" i="2"/>
  <c r="EP509" i="2"/>
  <c r="WK508" i="2"/>
  <c r="EO508" i="2"/>
  <c r="CD506" i="2"/>
  <c r="SD505" i="2"/>
  <c r="DY505" i="2"/>
  <c r="QH504" i="2"/>
  <c r="TI503" i="2"/>
  <c r="SC503" i="2"/>
  <c r="AW503" i="2"/>
  <c r="Q503" i="2"/>
  <c r="CC502" i="2"/>
  <c r="EO498" i="2"/>
  <c r="AG498" i="2"/>
  <c r="TJ496" i="2"/>
  <c r="DZ493" i="2"/>
  <c r="SS492" i="2"/>
  <c r="CC491" i="2"/>
  <c r="VV521" i="2"/>
  <c r="SC521" i="2"/>
  <c r="NU521" i="2"/>
  <c r="Q521" i="2"/>
  <c r="LJ520" i="2"/>
  <c r="AG520" i="2"/>
  <c r="WL519" i="2"/>
  <c r="SS519" i="2"/>
  <c r="PR519" i="2"/>
  <c r="WK518" i="2"/>
  <c r="FF518" i="2"/>
  <c r="WL517" i="2"/>
  <c r="SS517" i="2"/>
  <c r="FU517" i="2"/>
  <c r="KC516" i="2"/>
  <c r="BN516" i="2"/>
  <c r="PA515" i="2"/>
  <c r="FV515" i="2"/>
  <c r="WK514" i="2"/>
  <c r="VF514" i="2"/>
  <c r="PR514" i="2"/>
  <c r="IH514" i="2"/>
  <c r="UO513" i="2"/>
  <c r="KC513" i="2"/>
  <c r="DZ513" i="2"/>
  <c r="AH513" i="2"/>
  <c r="FV512" i="2"/>
  <c r="WK511" i="2"/>
  <c r="VF511" i="2"/>
  <c r="HQ511" i="2"/>
  <c r="CS511" i="2"/>
  <c r="BN511" i="2"/>
  <c r="VU510" i="2"/>
  <c r="LZ510" i="2"/>
  <c r="IG510" i="2"/>
  <c r="BN510" i="2"/>
  <c r="VU509" i="2"/>
  <c r="EO509" i="2"/>
  <c r="VV508" i="2"/>
  <c r="AG508" i="2"/>
  <c r="PR507" i="2"/>
  <c r="NV507" i="2"/>
  <c r="KD507" i="2"/>
  <c r="BM507" i="2"/>
  <c r="VV506" i="2"/>
  <c r="SD506" i="2"/>
  <c r="CC506" i="2"/>
  <c r="SC505" i="2"/>
  <c r="CS505" i="2"/>
  <c r="UO504" i="2"/>
  <c r="AH504" i="2"/>
  <c r="UP503" i="2"/>
  <c r="NV503" i="2"/>
  <c r="IW503" i="2"/>
  <c r="HR503" i="2"/>
  <c r="AX503" i="2"/>
  <c r="VV502" i="2"/>
  <c r="PQ502" i="2"/>
  <c r="PA502" i="2"/>
  <c r="NU502" i="2"/>
  <c r="TZ501" i="2"/>
  <c r="PQ501" i="2"/>
  <c r="FE501" i="2"/>
  <c r="SC500" i="2"/>
  <c r="NV500" i="2"/>
  <c r="NV499" i="2"/>
  <c r="KS499" i="2"/>
  <c r="PR497" i="2"/>
  <c r="AH497" i="2"/>
  <c r="TI496" i="2"/>
  <c r="HR495" i="2"/>
  <c r="FV494" i="2"/>
  <c r="EO493" i="2"/>
  <c r="VV492" i="2"/>
  <c r="JM492" i="2"/>
  <c r="SC491" i="2"/>
  <c r="RM491" i="2"/>
  <c r="KD491" i="2"/>
  <c r="DI491" i="2"/>
  <c r="AX491" i="2"/>
  <c r="FV489" i="2"/>
  <c r="KS488" i="2"/>
  <c r="VE487" i="2"/>
  <c r="PR487" i="2"/>
  <c r="LI486" i="2"/>
  <c r="AW486" i="2"/>
  <c r="TJ493" i="2"/>
  <c r="GK493" i="2"/>
  <c r="DZ492" i="2"/>
  <c r="VU491" i="2"/>
  <c r="VV490" i="2"/>
  <c r="ST490" i="2"/>
  <c r="NE489" i="2"/>
  <c r="TY488" i="2"/>
  <c r="SS488" i="2"/>
  <c r="OK488" i="2"/>
  <c r="FV488" i="2"/>
  <c r="AW487" i="2"/>
  <c r="IG486" i="2"/>
  <c r="FE486" i="2"/>
  <c r="DZ486" i="2"/>
  <c r="JN512" i="2"/>
  <c r="JN488" i="2"/>
  <c r="JN518" i="2"/>
  <c r="LJ512" i="2"/>
  <c r="NF500" i="2"/>
  <c r="AW510" i="2"/>
  <c r="KS509" i="2"/>
  <c r="IG509" i="2"/>
  <c r="PR508" i="2"/>
  <c r="DI508" i="2"/>
  <c r="CD508" i="2"/>
  <c r="AH508" i="2"/>
  <c r="VE507" i="2"/>
  <c r="TZ507" i="2"/>
  <c r="CS507" i="2"/>
  <c r="Q507" i="2"/>
  <c r="TJ506" i="2"/>
  <c r="PR505" i="2"/>
  <c r="IX505" i="2"/>
  <c r="R505" i="2"/>
  <c r="LJ504" i="2"/>
  <c r="KS504" i="2"/>
  <c r="HQ504" i="2"/>
  <c r="VF503" i="2"/>
  <c r="QH503" i="2"/>
  <c r="IX503" i="2"/>
  <c r="GK503" i="2"/>
  <c r="OL502" i="2"/>
  <c r="JM502" i="2"/>
  <c r="QG501" i="2"/>
  <c r="VV500" i="2"/>
  <c r="QG500" i="2"/>
  <c r="PQ500" i="2"/>
  <c r="KT500" i="2"/>
  <c r="WK499" i="2"/>
  <c r="BN499" i="2"/>
  <c r="PQ498" i="2"/>
  <c r="IG498" i="2"/>
  <c r="QX497" i="2"/>
  <c r="VF496" i="2"/>
  <c r="UP496" i="2"/>
  <c r="QG496" i="2"/>
  <c r="IG496" i="2"/>
  <c r="TZ495" i="2"/>
  <c r="QW495" i="2"/>
  <c r="GL494" i="2"/>
  <c r="QH492" i="2"/>
  <c r="KD492" i="2"/>
  <c r="PR490" i="2"/>
  <c r="IG490" i="2"/>
  <c r="NU489" i="2"/>
  <c r="VV488" i="2"/>
  <c r="DZ488" i="2"/>
  <c r="DJ488" i="2"/>
  <c r="CS487" i="2"/>
  <c r="UP486" i="2"/>
  <c r="TZ486" i="2"/>
  <c r="PB486" i="2"/>
  <c r="GL486" i="2"/>
  <c r="FV511" i="2"/>
  <c r="BM511" i="2"/>
  <c r="AG511" i="2"/>
  <c r="SS510" i="2"/>
  <c r="PQ510" i="2"/>
  <c r="Q510" i="2"/>
  <c r="RM509" i="2"/>
  <c r="KS507" i="2"/>
  <c r="VU506" i="2"/>
  <c r="LJ506" i="2"/>
  <c r="GL506" i="2"/>
  <c r="CS506" i="2"/>
  <c r="PQ505" i="2"/>
  <c r="IW505" i="2"/>
  <c r="OL504" i="2"/>
  <c r="LZ504" i="2"/>
  <c r="DI504" i="2"/>
  <c r="CC504" i="2"/>
  <c r="OK503" i="2"/>
  <c r="CS503" i="2"/>
  <c r="OK502" i="2"/>
  <c r="BM502" i="2"/>
  <c r="UP501" i="2"/>
  <c r="GL501" i="2"/>
  <c r="QX500" i="2"/>
  <c r="LZ500" i="2"/>
  <c r="WL499" i="2"/>
  <c r="SS499" i="2"/>
  <c r="RM499" i="2"/>
  <c r="FV497" i="2"/>
  <c r="SS495" i="2"/>
  <c r="KD495" i="2"/>
  <c r="NU494" i="2"/>
  <c r="DI494" i="2"/>
  <c r="AX494" i="2"/>
  <c r="VE493" i="2"/>
  <c r="RN493" i="2"/>
  <c r="OL493" i="2"/>
  <c r="IH493" i="2"/>
  <c r="WK492" i="2"/>
  <c r="VU492" i="2"/>
  <c r="QG492" i="2"/>
  <c r="LI492" i="2"/>
  <c r="JN492" i="2"/>
  <c r="DY491" i="2"/>
  <c r="VU490" i="2"/>
  <c r="VE490" i="2"/>
  <c r="WL489" i="2"/>
  <c r="SD489" i="2"/>
  <c r="GL489" i="2"/>
  <c r="CC489" i="2"/>
  <c r="VU488" i="2"/>
  <c r="QH488" i="2"/>
  <c r="KD487" i="2"/>
  <c r="EP496" i="2"/>
  <c r="DZ496" i="2"/>
  <c r="DY495" i="2"/>
  <c r="CS495" i="2"/>
  <c r="WL494" i="2"/>
  <c r="RN494" i="2"/>
  <c r="ST493" i="2"/>
  <c r="NU493" i="2"/>
  <c r="BM493" i="2"/>
  <c r="AW493" i="2"/>
  <c r="UP492" i="2"/>
  <c r="FU492" i="2"/>
  <c r="TY491" i="2"/>
  <c r="IH491" i="2"/>
  <c r="GL491" i="2"/>
  <c r="CS490" i="2"/>
  <c r="PQ489" i="2"/>
  <c r="OK489" i="2"/>
  <c r="DZ489" i="2"/>
  <c r="QW488" i="2"/>
  <c r="R488" i="2"/>
  <c r="QG487" i="2"/>
  <c r="HR487" i="2"/>
  <c r="R486" i="2"/>
  <c r="NF510" i="2"/>
  <c r="NF498" i="2"/>
  <c r="NF492" i="2"/>
  <c r="FU505" i="2"/>
  <c r="CT505" i="2"/>
  <c r="BM505" i="2"/>
  <c r="PQ504" i="2"/>
  <c r="FV504" i="2"/>
  <c r="QX502" i="2"/>
  <c r="KC502" i="2"/>
  <c r="GK502" i="2"/>
  <c r="FE502" i="2"/>
  <c r="CD502" i="2"/>
  <c r="UO501" i="2"/>
  <c r="QH501" i="2"/>
  <c r="IH501" i="2"/>
  <c r="FV501" i="2"/>
  <c r="DI501" i="2"/>
  <c r="VU500" i="2"/>
  <c r="UO500" i="2"/>
  <c r="CS500" i="2"/>
  <c r="BN500" i="2"/>
  <c r="VE499" i="2"/>
  <c r="OK499" i="2"/>
  <c r="HR499" i="2"/>
  <c r="CS499" i="2"/>
  <c r="CC499" i="2"/>
  <c r="WK498" i="2"/>
  <c r="VU498" i="2"/>
  <c r="LY498" i="2"/>
  <c r="NV497" i="2"/>
  <c r="IW497" i="2"/>
  <c r="LY496" i="2"/>
  <c r="ST495" i="2"/>
  <c r="DZ495" i="2"/>
  <c r="DI495" i="2"/>
  <c r="AX495" i="2"/>
  <c r="AH495" i="2"/>
  <c r="VF494" i="2"/>
  <c r="SS493" i="2"/>
  <c r="VF492" i="2"/>
  <c r="LY492" i="2"/>
  <c r="CT490" i="2"/>
  <c r="QW489" i="2"/>
  <c r="WL488" i="2"/>
  <c r="GK488" i="2"/>
  <c r="DY488" i="2"/>
  <c r="QW486" i="2"/>
  <c r="DI486" i="2"/>
  <c r="CC486" i="2"/>
  <c r="NE498" i="2"/>
  <c r="NE486" i="2"/>
  <c r="NE497" i="2"/>
  <c r="NF502" i="2"/>
  <c r="NE520" i="2"/>
  <c r="NE504" i="2"/>
  <c r="NF501" i="2"/>
  <c r="NE491" i="2"/>
  <c r="NF521" i="2"/>
  <c r="LJ507" i="2"/>
  <c r="LI507" i="2"/>
  <c r="LJ489" i="2"/>
  <c r="LJ514" i="2"/>
  <c r="LI509" i="2"/>
  <c r="LI499" i="2"/>
  <c r="LI488" i="2"/>
  <c r="LJ495" i="2"/>
  <c r="LJ491" i="2"/>
  <c r="LI515" i="2"/>
  <c r="LI512" i="2"/>
  <c r="LI503" i="2"/>
  <c r="LJ517" i="2"/>
  <c r="KT515" i="2"/>
  <c r="KT492" i="2"/>
  <c r="KT519" i="2"/>
  <c r="JM514" i="2"/>
  <c r="JN495" i="2"/>
  <c r="JN506" i="2"/>
  <c r="JN500" i="2"/>
  <c r="JN496" i="2"/>
  <c r="JN503" i="2"/>
  <c r="JN493" i="2"/>
  <c r="JN497" i="2"/>
  <c r="JN519" i="2"/>
  <c r="JN490" i="2"/>
  <c r="JN507" i="2"/>
  <c r="JN486" i="2"/>
  <c r="QX507" i="2"/>
  <c r="QX491" i="2"/>
  <c r="HR519" i="2"/>
  <c r="TZ496" i="2"/>
  <c r="R496" i="2"/>
  <c r="TZ493" i="2"/>
  <c r="UP497" i="2"/>
  <c r="FV521" i="2"/>
  <c r="DZ502" i="2"/>
  <c r="DJ502" i="2"/>
  <c r="LY519" i="2"/>
  <c r="CT520" i="2"/>
  <c r="GL519" i="2"/>
  <c r="CS520" i="2"/>
  <c r="CT515" i="2"/>
  <c r="LJ513" i="2"/>
  <c r="JN510" i="2"/>
  <c r="DZ508" i="2"/>
  <c r="RN505" i="2"/>
  <c r="RN502" i="2"/>
  <c r="AX499" i="2"/>
  <c r="IG489" i="2"/>
  <c r="TJ499" i="2"/>
  <c r="ST499" i="2"/>
  <c r="TZ497" i="2"/>
  <c r="CC494" i="2"/>
  <c r="AH520" i="2"/>
  <c r="UP516" i="2"/>
  <c r="PR513" i="2"/>
  <c r="DJ512" i="2"/>
  <c r="CD507" i="2"/>
  <c r="FV505" i="2"/>
  <c r="FF521" i="2"/>
  <c r="IX519" i="2"/>
  <c r="UP510" i="2"/>
  <c r="IH502" i="2"/>
  <c r="FE515" i="2"/>
  <c r="DZ511" i="2"/>
  <c r="JM510" i="2"/>
  <c r="TZ509" i="2"/>
  <c r="TZ508" i="2"/>
  <c r="CT504" i="2"/>
  <c r="EO495" i="2"/>
  <c r="UP521" i="2"/>
  <c r="PR520" i="2"/>
  <c r="EP520" i="2"/>
  <c r="CT518" i="2"/>
  <c r="KD517" i="2"/>
  <c r="TZ513" i="2"/>
  <c r="RN513" i="2"/>
  <c r="KD510" i="2"/>
  <c r="UP508" i="2"/>
  <c r="EP508" i="2"/>
  <c r="ST504" i="2"/>
  <c r="IX504" i="2"/>
  <c r="DJ500" i="2"/>
  <c r="PQ495" i="2"/>
  <c r="AW492" i="2"/>
  <c r="IX490" i="2"/>
  <c r="BN515" i="2"/>
  <c r="QX505" i="2"/>
  <c r="IX516" i="2"/>
  <c r="KD514" i="2"/>
  <c r="VE518" i="2"/>
  <c r="RN517" i="2"/>
  <c r="PR516" i="2"/>
  <c r="AG516" i="2"/>
  <c r="CT514" i="2"/>
  <c r="SD513" i="2"/>
  <c r="CT513" i="2"/>
  <c r="LZ512" i="2"/>
  <c r="EP511" i="2"/>
  <c r="TJ509" i="2"/>
  <c r="WL507" i="2"/>
  <c r="PB506" i="2"/>
  <c r="AX506" i="2"/>
  <c r="IH505" i="2"/>
  <c r="PB504" i="2"/>
  <c r="FF503" i="2"/>
  <c r="IW501" i="2"/>
  <c r="LJ500" i="2"/>
  <c r="DJ499" i="2"/>
  <c r="DY497" i="2"/>
  <c r="OL496" i="2"/>
  <c r="IH517" i="2"/>
  <c r="PQ520" i="2"/>
  <c r="KT511" i="2"/>
  <c r="NE519" i="2"/>
  <c r="QH521" i="2"/>
  <c r="JN516" i="2"/>
  <c r="AW513" i="2"/>
  <c r="PR521" i="2"/>
  <c r="CC519" i="2"/>
  <c r="HR521" i="2"/>
  <c r="QH516" i="2"/>
  <c r="RN511" i="2"/>
  <c r="PR510" i="2"/>
  <c r="R509" i="2"/>
  <c r="RN508" i="2"/>
  <c r="FV508" i="2"/>
  <c r="TJ505" i="2"/>
  <c r="DI496" i="2"/>
  <c r="TZ490" i="2"/>
  <c r="FV510" i="2"/>
  <c r="NF520" i="2"/>
  <c r="QH518" i="2"/>
  <c r="VE497" i="2"/>
  <c r="FE521" i="2"/>
  <c r="DJ518" i="2"/>
  <c r="RN520" i="2"/>
  <c r="PB520" i="2"/>
  <c r="PB519" i="2"/>
  <c r="R519" i="2"/>
  <c r="VF515" i="2"/>
  <c r="JN521" i="2"/>
  <c r="CT521" i="2"/>
  <c r="NF519" i="2"/>
  <c r="AH519" i="2"/>
  <c r="FF520" i="2"/>
  <c r="HR518" i="2"/>
  <c r="QH515" i="2"/>
  <c r="UP513" i="2"/>
  <c r="WL521" i="2"/>
  <c r="KD521" i="2"/>
  <c r="DZ519" i="2"/>
  <c r="QX517" i="2"/>
  <c r="LJ516" i="2"/>
  <c r="JN515" i="2"/>
  <c r="RM514" i="2"/>
  <c r="BN514" i="2"/>
  <c r="QX512" i="2"/>
  <c r="AX512" i="2"/>
  <c r="IH511" i="2"/>
  <c r="VV509" i="2"/>
  <c r="KT505" i="2"/>
  <c r="CT502" i="2"/>
  <c r="TZ500" i="2"/>
  <c r="IX496" i="2"/>
  <c r="OL495" i="2"/>
  <c r="LJ518" i="2"/>
  <c r="HQ518" i="2"/>
  <c r="OL517" i="2"/>
  <c r="TZ516" i="2"/>
  <c r="CC516" i="2"/>
  <c r="DJ515" i="2"/>
  <c r="GL511" i="2"/>
  <c r="QX509" i="2"/>
  <c r="AX509" i="2"/>
  <c r="Q509" i="2"/>
  <c r="GL508" i="2"/>
  <c r="DJ507" i="2"/>
  <c r="KC505" i="2"/>
  <c r="NV504" i="2"/>
  <c r="UP502" i="2"/>
  <c r="ST502" i="2"/>
  <c r="IX502" i="2"/>
  <c r="CS501" i="2"/>
  <c r="TZ499" i="2"/>
  <c r="LZ498" i="2"/>
  <c r="FV496" i="2"/>
  <c r="PR495" i="2"/>
  <c r="GL495" i="2"/>
  <c r="AW495" i="2"/>
  <c r="TZ494" i="2"/>
  <c r="BN493" i="2"/>
  <c r="TJ492" i="2"/>
  <c r="IG505" i="2"/>
  <c r="KT504" i="2"/>
  <c r="ST503" i="2"/>
  <c r="AH503" i="2"/>
  <c r="SD500" i="2"/>
  <c r="LZ495" i="2"/>
  <c r="VF493" i="2"/>
  <c r="QW491" i="2"/>
  <c r="DY519" i="2"/>
  <c r="EO520" i="2"/>
  <c r="SD516" i="2"/>
  <c r="R516" i="2"/>
  <c r="QG515" i="2"/>
  <c r="TI511" i="2"/>
  <c r="KC511" i="2"/>
  <c r="QX506" i="2"/>
  <c r="CD503" i="2"/>
  <c r="QX501" i="2"/>
  <c r="TY499" i="2"/>
  <c r="GK520" i="2"/>
  <c r="KD519" i="2"/>
  <c r="VV510" i="2"/>
  <c r="RN510" i="2"/>
  <c r="FE509" i="2"/>
  <c r="PQ508" i="2"/>
  <c r="RN507" i="2"/>
  <c r="CT501" i="2"/>
  <c r="IX520" i="2"/>
  <c r="PA519" i="2"/>
  <c r="WK516" i="2"/>
  <c r="FF504" i="2"/>
  <c r="FU519" i="2"/>
  <c r="AW517" i="2"/>
  <c r="DY516" i="2"/>
  <c r="KD508" i="2"/>
  <c r="NE507" i="2"/>
  <c r="HQ507" i="2"/>
  <c r="WL504" i="2"/>
  <c r="CC503" i="2"/>
  <c r="NV502" i="2"/>
  <c r="AX502" i="2"/>
  <c r="KC501" i="2"/>
  <c r="AX497" i="2"/>
  <c r="KT496" i="2"/>
  <c r="AG496" i="2"/>
  <c r="AX489" i="2"/>
  <c r="NF488" i="2"/>
  <c r="KT487" i="2"/>
  <c r="TY521" i="2"/>
  <c r="KT520" i="2"/>
  <c r="RN518" i="2"/>
  <c r="NF518" i="2"/>
  <c r="UP517" i="2"/>
  <c r="QW517" i="2"/>
  <c r="VV516" i="2"/>
  <c r="PA516" i="2"/>
  <c r="FV516" i="2"/>
  <c r="CD516" i="2"/>
  <c r="OK515" i="2"/>
  <c r="IW515" i="2"/>
  <c r="AW514" i="2"/>
  <c r="DY513" i="2"/>
  <c r="IX512" i="2"/>
  <c r="FF512" i="2"/>
  <c r="R510" i="2"/>
  <c r="CT509" i="2"/>
  <c r="TI508" i="2"/>
  <c r="OL508" i="2"/>
  <c r="KC508" i="2"/>
  <c r="IH508" i="2"/>
  <c r="TJ507" i="2"/>
  <c r="FF507" i="2"/>
  <c r="OK506" i="2"/>
  <c r="DJ506" i="2"/>
  <c r="KD505" i="2"/>
  <c r="VU499" i="2"/>
  <c r="NV498" i="2"/>
  <c r="JM497" i="2"/>
  <c r="VV496" i="2"/>
  <c r="BN496" i="2"/>
  <c r="PR492" i="2"/>
  <c r="LJ521" i="2"/>
  <c r="OL514" i="2"/>
  <c r="FU507" i="2"/>
  <c r="VV505" i="2"/>
  <c r="BN513" i="2"/>
  <c r="NF512" i="2"/>
  <c r="QH511" i="2"/>
  <c r="CC510" i="2"/>
  <c r="VF509" i="2"/>
  <c r="TY506" i="2"/>
  <c r="ST506" i="2"/>
  <c r="AW506" i="2"/>
  <c r="VF504" i="2"/>
  <c r="RN504" i="2"/>
  <c r="PR504" i="2"/>
  <c r="SD503" i="2"/>
  <c r="QX503" i="2"/>
  <c r="EP503" i="2"/>
  <c r="SD501" i="2"/>
  <c r="JN501" i="2"/>
  <c r="R500" i="2"/>
  <c r="KD499" i="2"/>
  <c r="JN499" i="2"/>
  <c r="FV498" i="2"/>
  <c r="DI497" i="2"/>
  <c r="VU496" i="2"/>
  <c r="GL496" i="2"/>
  <c r="LJ492" i="2"/>
  <c r="SS491" i="2"/>
  <c r="EP491" i="2"/>
  <c r="JN504" i="2"/>
  <c r="IX498" i="2"/>
  <c r="TY495" i="2"/>
  <c r="AX520" i="2"/>
  <c r="CD519" i="2"/>
  <c r="LJ515" i="2"/>
  <c r="R513" i="2"/>
  <c r="CT512" i="2"/>
  <c r="OL511" i="2"/>
  <c r="DI509" i="2"/>
  <c r="KT506" i="2"/>
  <c r="CT506" i="2"/>
  <c r="HR505" i="2"/>
  <c r="QX504" i="2"/>
  <c r="VF502" i="2"/>
  <c r="DJ501" i="2"/>
  <c r="VF500" i="2"/>
  <c r="ST497" i="2"/>
  <c r="RN521" i="2"/>
  <c r="FF515" i="2"/>
  <c r="IG514" i="2"/>
  <c r="VV513" i="2"/>
  <c r="VU521" i="2"/>
  <c r="ST520" i="2"/>
  <c r="RM520" i="2"/>
  <c r="Q518" i="2"/>
  <c r="ST517" i="2"/>
  <c r="CS517" i="2"/>
  <c r="KD516" i="2"/>
  <c r="FU516" i="2"/>
  <c r="NF515" i="2"/>
  <c r="QH514" i="2"/>
  <c r="CS514" i="2"/>
  <c r="SC512" i="2"/>
  <c r="TJ521" i="2"/>
  <c r="VE520" i="2"/>
  <c r="LZ519" i="2"/>
  <c r="BM518" i="2"/>
  <c r="EP517" i="2"/>
  <c r="AX517" i="2"/>
  <c r="DZ516" i="2"/>
  <c r="AH514" i="2"/>
  <c r="FU513" i="2"/>
  <c r="AH511" i="2"/>
  <c r="TY510" i="2"/>
  <c r="DY510" i="2"/>
  <c r="IX509" i="2"/>
  <c r="FF509" i="2"/>
  <c r="RM508" i="2"/>
  <c r="LY508" i="2"/>
  <c r="AX508" i="2"/>
  <c r="HR507" i="2"/>
  <c r="EP506" i="2"/>
  <c r="NV505" i="2"/>
  <c r="KS502" i="2"/>
  <c r="KD501" i="2"/>
  <c r="AH501" i="2"/>
  <c r="WK500" i="2"/>
  <c r="FV499" i="2"/>
  <c r="GK498" i="2"/>
  <c r="QX494" i="2"/>
  <c r="CT493" i="2"/>
  <c r="IG508" i="2"/>
  <c r="AW508" i="2"/>
  <c r="JM507" i="2"/>
  <c r="LY505" i="2"/>
  <c r="NF504" i="2"/>
  <c r="DZ504" i="2"/>
  <c r="TJ503" i="2"/>
  <c r="LZ502" i="2"/>
  <c r="FF501" i="2"/>
  <c r="DI499" i="2"/>
  <c r="CD499" i="2"/>
  <c r="OL498" i="2"/>
  <c r="LJ497" i="2"/>
  <c r="EO497" i="2"/>
  <c r="VV495" i="2"/>
  <c r="GK495" i="2"/>
  <c r="AG495" i="2"/>
  <c r="ST491" i="2"/>
  <c r="IW491" i="2"/>
  <c r="UO490" i="2"/>
  <c r="QG490" i="2"/>
  <c r="VU489" i="2"/>
  <c r="OL503" i="2"/>
  <c r="TY502" i="2"/>
  <c r="ST500" i="2"/>
  <c r="PB499" i="2"/>
  <c r="IH499" i="2"/>
  <c r="EO499" i="2"/>
  <c r="CD497" i="2"/>
  <c r="AW497" i="2"/>
  <c r="TY496" i="2"/>
  <c r="SS496" i="2"/>
  <c r="SD495" i="2"/>
  <c r="TY494" i="2"/>
  <c r="JN494" i="2"/>
  <c r="CS494" i="2"/>
  <c r="TY492" i="2"/>
  <c r="KC489" i="2"/>
  <c r="HQ519" i="2"/>
  <c r="JM516" i="2"/>
  <c r="KS515" i="2"/>
  <c r="LI513" i="2"/>
  <c r="FE512" i="2"/>
  <c r="NE510" i="2"/>
  <c r="PA507" i="2"/>
  <c r="QG506" i="2"/>
  <c r="RM505" i="2"/>
  <c r="IW521" i="2"/>
  <c r="JM519" i="2"/>
  <c r="KS518" i="2"/>
  <c r="KC517" i="2"/>
  <c r="LI516" i="2"/>
  <c r="LY514" i="2"/>
  <c r="NE513" i="2"/>
  <c r="OK512" i="2"/>
  <c r="PQ511" i="2"/>
  <c r="OK509" i="2"/>
  <c r="QW507" i="2"/>
  <c r="SC506" i="2"/>
  <c r="KS506" i="2"/>
  <c r="TI505" i="2"/>
  <c r="LY504" i="2"/>
  <c r="EO504" i="2"/>
  <c r="R503" i="2"/>
  <c r="FV502" i="2"/>
  <c r="LZ501" i="2"/>
  <c r="HR501" i="2"/>
  <c r="PR500" i="2"/>
  <c r="IH500" i="2"/>
  <c r="CC497" i="2"/>
  <c r="SD496" i="2"/>
  <c r="PR496" i="2"/>
  <c r="HQ495" i="2"/>
  <c r="UP494" i="2"/>
  <c r="DJ494" i="2"/>
  <c r="UP493" i="2"/>
  <c r="TJ491" i="2"/>
  <c r="GK489" i="2"/>
  <c r="NF486" i="2"/>
  <c r="IW518" i="2"/>
  <c r="IG517" i="2"/>
  <c r="DI515" i="2"/>
  <c r="KC514" i="2"/>
  <c r="EO511" i="2"/>
  <c r="KS521" i="2"/>
  <c r="KC520" i="2"/>
  <c r="LI519" i="2"/>
  <c r="LY517" i="2"/>
  <c r="NE516" i="2"/>
  <c r="PQ514" i="2"/>
  <c r="PA513" i="2"/>
  <c r="QG512" i="2"/>
  <c r="IW512" i="2"/>
  <c r="RM511" i="2"/>
  <c r="QG509" i="2"/>
  <c r="IW509" i="2"/>
  <c r="SS507" i="2"/>
  <c r="VE505" i="2"/>
  <c r="TI504" i="2"/>
  <c r="LJ503" i="2"/>
  <c r="DZ503" i="2"/>
  <c r="WL501" i="2"/>
  <c r="TJ501" i="2"/>
  <c r="R501" i="2"/>
  <c r="WL500" i="2"/>
  <c r="AG500" i="2"/>
  <c r="VV499" i="2"/>
  <c r="Q499" i="2"/>
  <c r="QX498" i="2"/>
  <c r="QH498" i="2"/>
  <c r="LJ498" i="2"/>
  <c r="HR498" i="2"/>
  <c r="AH498" i="2"/>
  <c r="TY497" i="2"/>
  <c r="QH496" i="2"/>
  <c r="VE495" i="2"/>
  <c r="IH494" i="2"/>
  <c r="ST492" i="2"/>
  <c r="CT492" i="2"/>
  <c r="CD489" i="2"/>
  <c r="BN489" i="2"/>
  <c r="FU496" i="2"/>
  <c r="RM495" i="2"/>
  <c r="NV495" i="2"/>
  <c r="IH495" i="2"/>
  <c r="ST494" i="2"/>
  <c r="EP494" i="2"/>
  <c r="VU493" i="2"/>
  <c r="IG493" i="2"/>
  <c r="AH493" i="2"/>
  <c r="BM492" i="2"/>
  <c r="TI491" i="2"/>
  <c r="LZ490" i="2"/>
  <c r="RM489" i="2"/>
  <c r="NE487" i="2"/>
  <c r="NU504" i="2"/>
  <c r="GL503" i="2"/>
  <c r="DY503" i="2"/>
  <c r="PR502" i="2"/>
  <c r="PB501" i="2"/>
  <c r="UP500" i="2"/>
  <c r="OL500" i="2"/>
  <c r="LI500" i="2"/>
  <c r="AH500" i="2"/>
  <c r="TY498" i="2"/>
  <c r="SS497" i="2"/>
  <c r="EP497" i="2"/>
  <c r="VE496" i="2"/>
  <c r="ST496" i="2"/>
  <c r="IH496" i="2"/>
  <c r="VU495" i="2"/>
  <c r="SS494" i="2"/>
  <c r="RM494" i="2"/>
  <c r="FE494" i="2"/>
  <c r="IX493" i="2"/>
  <c r="CC493" i="2"/>
  <c r="WK489" i="2"/>
  <c r="KS489" i="2"/>
  <c r="LZ487" i="2"/>
  <c r="LJ487" i="2"/>
  <c r="AX487" i="2"/>
  <c r="CD486" i="2"/>
  <c r="IH503" i="2"/>
  <c r="IW496" i="2"/>
  <c r="SC495" i="2"/>
  <c r="UO493" i="2"/>
  <c r="SD493" i="2"/>
  <c r="LZ493" i="2"/>
  <c r="KD493" i="2"/>
  <c r="EP493" i="2"/>
  <c r="LZ492" i="2"/>
  <c r="WL491" i="2"/>
  <c r="VV491" i="2"/>
  <c r="HR491" i="2"/>
  <c r="WL490" i="2"/>
  <c r="OL486" i="2"/>
  <c r="LJ488" i="2"/>
  <c r="SS503" i="2"/>
  <c r="QH500" i="2"/>
  <c r="CC500" i="2"/>
  <c r="PR499" i="2"/>
  <c r="QG498" i="2"/>
  <c r="EP498" i="2"/>
  <c r="CD498" i="2"/>
  <c r="BN498" i="2"/>
  <c r="RN497" i="2"/>
  <c r="GK497" i="2"/>
  <c r="UO503" i="2"/>
  <c r="GL500" i="2"/>
  <c r="DY500" i="2"/>
  <c r="IG499" i="2"/>
  <c r="AG499" i="2"/>
  <c r="RN498" i="2"/>
  <c r="JN498" i="2"/>
  <c r="DI498" i="2"/>
  <c r="IX497" i="2"/>
  <c r="CT496" i="2"/>
  <c r="TJ495" i="2"/>
  <c r="FV495" i="2"/>
  <c r="TI494" i="2"/>
  <c r="LZ494" i="2"/>
  <c r="HQ494" i="2"/>
  <c r="SC493" i="2"/>
  <c r="QW493" i="2"/>
  <c r="HQ493" i="2"/>
  <c r="R493" i="2"/>
  <c r="FV492" i="2"/>
  <c r="HQ491" i="2"/>
  <c r="BM491" i="2"/>
  <c r="TJ490" i="2"/>
  <c r="FF490" i="2"/>
  <c r="CD488" i="2"/>
  <c r="TZ487" i="2"/>
  <c r="Q505" i="2"/>
  <c r="RM504" i="2"/>
  <c r="KC504" i="2"/>
  <c r="SC502" i="2"/>
  <c r="RM501" i="2"/>
  <c r="RN499" i="2"/>
  <c r="VV498" i="2"/>
  <c r="RM498" i="2"/>
  <c r="DJ498" i="2"/>
  <c r="WK496" i="2"/>
  <c r="SC496" i="2"/>
  <c r="AH496" i="2"/>
  <c r="TI495" i="2"/>
  <c r="KS495" i="2"/>
  <c r="VU494" i="2"/>
  <c r="VE494" i="2"/>
  <c r="CD494" i="2"/>
  <c r="WL493" i="2"/>
  <c r="QH493" i="2"/>
  <c r="TI490" i="2"/>
  <c r="NF490" i="2"/>
  <c r="CD490" i="2"/>
  <c r="AG490" i="2"/>
  <c r="LY494" i="2"/>
  <c r="EO494" i="2"/>
  <c r="QX493" i="2"/>
  <c r="CD493" i="2"/>
  <c r="RM492" i="2"/>
  <c r="OL492" i="2"/>
  <c r="DI492" i="2"/>
  <c r="VE491" i="2"/>
  <c r="JN491" i="2"/>
  <c r="CS491" i="2"/>
  <c r="OK490" i="2"/>
  <c r="IH489" i="2"/>
  <c r="HQ489" i="2"/>
  <c r="UP488" i="2"/>
  <c r="OK493" i="2"/>
  <c r="GL493" i="2"/>
  <c r="KS492" i="2"/>
  <c r="KT491" i="2"/>
  <c r="FF491" i="2"/>
  <c r="DJ490" i="2"/>
  <c r="VF489" i="2"/>
  <c r="LY488" i="2"/>
  <c r="DJ487" i="2"/>
  <c r="VF486" i="2"/>
  <c r="VE504" i="2"/>
  <c r="GK504" i="2"/>
  <c r="FU503" i="2"/>
  <c r="VU502" i="2"/>
  <c r="DI502" i="2"/>
  <c r="FU500" i="2"/>
  <c r="GL499" i="2"/>
  <c r="DY499" i="2"/>
  <c r="PR498" i="2"/>
  <c r="KD498" i="2"/>
  <c r="UO496" i="2"/>
  <c r="DY496" i="2"/>
  <c r="CD496" i="2"/>
  <c r="RN495" i="2"/>
  <c r="BN495" i="2"/>
  <c r="QW494" i="2"/>
  <c r="PQ494" i="2"/>
  <c r="IX494" i="2"/>
  <c r="Q494" i="2"/>
  <c r="WK493" i="2"/>
  <c r="SC492" i="2"/>
  <c r="GK492" i="2"/>
  <c r="NF491" i="2"/>
  <c r="AH491" i="2"/>
  <c r="KD490" i="2"/>
  <c r="HR490" i="2"/>
  <c r="VE489" i="2"/>
  <c r="JM489" i="2"/>
  <c r="VF487" i="2"/>
  <c r="IG504" i="2"/>
  <c r="HQ503" i="2"/>
  <c r="GK501" i="2"/>
  <c r="HQ500" i="2"/>
  <c r="GK499" i="2"/>
  <c r="TJ498" i="2"/>
  <c r="R498" i="2"/>
  <c r="GK496" i="2"/>
  <c r="VF495" i="2"/>
  <c r="BM495" i="2"/>
  <c r="R495" i="2"/>
  <c r="IW494" i="2"/>
  <c r="QG493" i="2"/>
  <c r="NU492" i="2"/>
  <c r="HR492" i="2"/>
  <c r="FF492" i="2"/>
  <c r="RN491" i="2"/>
  <c r="PR491" i="2"/>
  <c r="SD490" i="2"/>
  <c r="OL490" i="2"/>
  <c r="JN489" i="2"/>
  <c r="KT488" i="2"/>
  <c r="KD488" i="2"/>
  <c r="KD486" i="2"/>
  <c r="BM498" i="2"/>
  <c r="RM497" i="2"/>
  <c r="CS497" i="2"/>
  <c r="CC496" i="2"/>
  <c r="Q495" i="2"/>
  <c r="AG493" i="2"/>
  <c r="CT491" i="2"/>
  <c r="SC490" i="2"/>
  <c r="QW490" i="2"/>
  <c r="VV489" i="2"/>
  <c r="IX489" i="2"/>
  <c r="CS489" i="2"/>
  <c r="RM488" i="2"/>
  <c r="LZ488" i="2"/>
  <c r="AW488" i="2"/>
  <c r="UP487" i="2"/>
  <c r="NF487" i="2"/>
  <c r="CC487" i="2"/>
  <c r="VV486" i="2"/>
  <c r="LY491" i="2"/>
  <c r="QX490" i="2"/>
  <c r="AH490" i="2"/>
  <c r="QG489" i="2"/>
  <c r="KT489" i="2"/>
  <c r="WL487" i="2"/>
  <c r="AH487" i="2"/>
  <c r="DJ486" i="2"/>
  <c r="FU499" i="2"/>
  <c r="IG497" i="2"/>
  <c r="HQ496" i="2"/>
  <c r="FE495" i="2"/>
  <c r="GK494" i="2"/>
  <c r="FU493" i="2"/>
  <c r="PQ492" i="2"/>
  <c r="OK492" i="2"/>
  <c r="HQ492" i="2"/>
  <c r="EO491" i="2"/>
  <c r="HQ499" i="2"/>
  <c r="IW498" i="2"/>
  <c r="KC497" i="2"/>
  <c r="JM496" i="2"/>
  <c r="IG494" i="2"/>
  <c r="AW494" i="2"/>
  <c r="IH492" i="2"/>
  <c r="AH492" i="2"/>
  <c r="SS490" i="2"/>
  <c r="EO490" i="2"/>
  <c r="TJ489" i="2"/>
  <c r="VF488" i="2"/>
  <c r="TI488" i="2"/>
  <c r="HR488" i="2"/>
  <c r="SS487" i="2"/>
  <c r="IX487" i="2"/>
  <c r="TY486" i="2"/>
  <c r="JM499" i="2"/>
  <c r="KS498" i="2"/>
  <c r="LY497" i="2"/>
  <c r="LI496" i="2"/>
  <c r="IW495" i="2"/>
  <c r="KC494" i="2"/>
  <c r="JM493" i="2"/>
  <c r="RN492" i="2"/>
  <c r="VF491" i="2"/>
  <c r="LI490" i="2"/>
  <c r="GL490" i="2"/>
  <c r="NF489" i="2"/>
  <c r="DI489" i="2"/>
  <c r="KC488" i="2"/>
  <c r="BN488" i="2"/>
  <c r="AX488" i="2"/>
  <c r="LI487" i="2"/>
  <c r="CT487" i="2"/>
  <c r="CD487" i="2"/>
  <c r="OK486" i="2"/>
  <c r="KT486" i="2"/>
  <c r="EP486" i="2"/>
  <c r="Q492" i="2"/>
  <c r="AW491" i="2"/>
  <c r="TY489" i="2"/>
  <c r="IW489" i="2"/>
  <c r="VE488" i="2"/>
  <c r="EO488" i="2"/>
  <c r="QW487" i="2"/>
  <c r="FU487" i="2"/>
  <c r="SC486" i="2"/>
  <c r="BN486" i="2"/>
  <c r="FE492" i="2"/>
  <c r="GK491" i="2"/>
  <c r="FU490" i="2"/>
  <c r="CC490" i="2"/>
  <c r="OL489" i="2"/>
  <c r="DJ489" i="2"/>
  <c r="PR488" i="2"/>
  <c r="CT488" i="2"/>
  <c r="PB487" i="2"/>
  <c r="DZ487" i="2"/>
  <c r="QH486" i="2"/>
  <c r="IG491" i="2"/>
  <c r="HQ490" i="2"/>
  <c r="DY490" i="2"/>
  <c r="BM489" i="2"/>
  <c r="IG488" i="2"/>
  <c r="UO487" i="2"/>
  <c r="JM487" i="2"/>
  <c r="VU486" i="2"/>
  <c r="KS486" i="2"/>
  <c r="FF486" i="2"/>
  <c r="IW492" i="2"/>
  <c r="KC491" i="2"/>
  <c r="JM490" i="2"/>
  <c r="QH489" i="2"/>
  <c r="FF489" i="2"/>
  <c r="RN488" i="2"/>
  <c r="EP488" i="2"/>
  <c r="QX487" i="2"/>
  <c r="FV487" i="2"/>
  <c r="SD486" i="2"/>
  <c r="MN279" i="2"/>
  <c r="MM279" i="2"/>
  <c r="ML279" i="2"/>
  <c r="MK279" i="2"/>
  <c r="MJ279" i="2"/>
  <c r="MI279" i="2"/>
  <c r="MH279" i="2"/>
  <c r="MG279" i="2"/>
  <c r="MF279" i="2"/>
  <c r="ME279" i="2"/>
  <c r="MD279" i="2"/>
  <c r="MC279" i="2"/>
  <c r="MB279" i="2"/>
  <c r="MA279" i="2"/>
  <c r="MN317" i="2"/>
  <c r="MM317" i="2"/>
  <c r="ML317" i="2"/>
  <c r="MK317" i="2"/>
  <c r="MJ317" i="2"/>
  <c r="MI317" i="2"/>
  <c r="MH317" i="2"/>
  <c r="MG317" i="2"/>
  <c r="MF317" i="2"/>
  <c r="ME317" i="2"/>
  <c r="MD317" i="2"/>
  <c r="MC317" i="2"/>
  <c r="MB317" i="2"/>
  <c r="MA317" i="2"/>
  <c r="QF431" i="2" l="1"/>
  <c r="QE431" i="2"/>
  <c r="QD431" i="2"/>
  <c r="QC431" i="2"/>
  <c r="QB431" i="2"/>
  <c r="QA431" i="2"/>
  <c r="PZ431" i="2"/>
  <c r="PY431" i="2"/>
  <c r="PX431" i="2"/>
  <c r="PW431" i="2"/>
  <c r="PV431" i="2"/>
  <c r="PU431" i="2"/>
  <c r="PT431" i="2"/>
  <c r="PS431" i="2"/>
  <c r="QF393" i="2"/>
  <c r="QE393" i="2"/>
  <c r="QD393" i="2"/>
  <c r="QC393" i="2"/>
  <c r="QB393" i="2"/>
  <c r="QA393" i="2"/>
  <c r="PZ393" i="2"/>
  <c r="PY393" i="2"/>
  <c r="PX393" i="2"/>
  <c r="PW393" i="2"/>
  <c r="PV393" i="2"/>
  <c r="PU393" i="2"/>
  <c r="PT393" i="2"/>
  <c r="PS393" i="2"/>
  <c r="RF431" i="2"/>
  <c r="RE431" i="2"/>
  <c r="RF393" i="2"/>
  <c r="RE393" i="2"/>
  <c r="QY393" i="2"/>
  <c r="QZ393" i="2"/>
  <c r="QY431" i="2"/>
  <c r="QZ431" i="2"/>
  <c r="CV431" i="2"/>
  <c r="CW431" i="2"/>
  <c r="CX431" i="2"/>
  <c r="CY431" i="2"/>
  <c r="CZ431" i="2"/>
  <c r="DA431" i="2"/>
  <c r="DB431" i="2"/>
  <c r="DC431" i="2"/>
  <c r="DD431" i="2"/>
  <c r="DE431" i="2"/>
  <c r="DF431" i="2"/>
  <c r="DG431" i="2"/>
  <c r="DH431" i="2"/>
  <c r="CU431" i="2"/>
  <c r="CV393" i="2"/>
  <c r="CW393" i="2"/>
  <c r="CX393" i="2"/>
  <c r="CY393" i="2"/>
  <c r="CZ393" i="2"/>
  <c r="DA393" i="2"/>
  <c r="DB393" i="2"/>
  <c r="DC393" i="2"/>
  <c r="DD393" i="2"/>
  <c r="DE393" i="2"/>
  <c r="DF393" i="2"/>
  <c r="DG393" i="2"/>
  <c r="DH393" i="2"/>
  <c r="CU393" i="2"/>
  <c r="NX431" i="2"/>
  <c r="NY431" i="2"/>
  <c r="NZ431" i="2"/>
  <c r="OA431" i="2"/>
  <c r="OB431" i="2"/>
  <c r="OC431" i="2"/>
  <c r="OD431" i="2"/>
  <c r="OE431" i="2"/>
  <c r="OF431" i="2"/>
  <c r="OG431" i="2"/>
  <c r="OH431" i="2"/>
  <c r="OI431" i="2"/>
  <c r="OJ431" i="2"/>
  <c r="NW431" i="2"/>
  <c r="FV146" i="2"/>
  <c r="FU111" i="2"/>
  <c r="FV111" i="2"/>
  <c r="WJ431" i="2"/>
  <c r="WI431" i="2"/>
  <c r="WH431" i="2"/>
  <c r="WG431" i="2"/>
  <c r="WF431" i="2"/>
  <c r="WE431" i="2"/>
  <c r="WD431" i="2"/>
  <c r="WC431" i="2"/>
  <c r="WB431" i="2"/>
  <c r="WA431" i="2"/>
  <c r="VZ431" i="2"/>
  <c r="VY431" i="2"/>
  <c r="VX431" i="2"/>
  <c r="VW431" i="2"/>
  <c r="VZ419" i="2"/>
  <c r="VY419" i="2"/>
  <c r="VY510" i="2" s="1"/>
  <c r="WK510" i="2" s="1"/>
  <c r="WJ393" i="2"/>
  <c r="WI393" i="2"/>
  <c r="WH393" i="2"/>
  <c r="WG393" i="2"/>
  <c r="WF393" i="2"/>
  <c r="WE393" i="2"/>
  <c r="WD393" i="2"/>
  <c r="WC393" i="2"/>
  <c r="WB393" i="2"/>
  <c r="WA393" i="2"/>
  <c r="VY393" i="2"/>
  <c r="VX393" i="2"/>
  <c r="VW393" i="2"/>
  <c r="FT431" i="2"/>
  <c r="FS431" i="2"/>
  <c r="FR431" i="2"/>
  <c r="FQ431" i="2"/>
  <c r="FP431" i="2"/>
  <c r="FO431" i="2"/>
  <c r="FN431" i="2"/>
  <c r="FM431" i="2"/>
  <c r="FL431" i="2"/>
  <c r="FK431" i="2"/>
  <c r="FJ431" i="2"/>
  <c r="FI431" i="2"/>
  <c r="FH431" i="2"/>
  <c r="FG431" i="2"/>
  <c r="FT393" i="2"/>
  <c r="FS393" i="2"/>
  <c r="FR393" i="2"/>
  <c r="FQ393" i="2"/>
  <c r="FP393" i="2"/>
  <c r="FO393" i="2"/>
  <c r="FN393" i="2"/>
  <c r="FM393" i="2"/>
  <c r="FL393" i="2"/>
  <c r="FK393" i="2"/>
  <c r="FJ393" i="2"/>
  <c r="FI393" i="2"/>
  <c r="FH393" i="2"/>
  <c r="FG393" i="2"/>
  <c r="VZ393" i="2" l="1"/>
  <c r="VZ510" i="2"/>
  <c r="WL510" i="2" s="1"/>
  <c r="G6" i="26"/>
  <c r="CU51" i="2" l="1"/>
  <c r="CV51" i="2"/>
  <c r="NZ89" i="2"/>
  <c r="KX431" i="2" l="1"/>
  <c r="KX393" i="2"/>
  <c r="KX355" i="2"/>
  <c r="KX317" i="2"/>
  <c r="KX279" i="2"/>
  <c r="KX241" i="2"/>
  <c r="KX203" i="2"/>
  <c r="KX165" i="2"/>
  <c r="KX127" i="2"/>
  <c r="VI51" i="2" l="1"/>
  <c r="VJ51" i="2"/>
  <c r="VK51" i="2"/>
  <c r="VL51" i="2"/>
  <c r="VM51" i="2"/>
  <c r="VN51" i="2"/>
  <c r="VO51" i="2"/>
  <c r="VP51" i="2"/>
  <c r="VQ51" i="2"/>
  <c r="VR51" i="2"/>
  <c r="WK52" i="2"/>
  <c r="WL52" i="2"/>
  <c r="WK53" i="2"/>
  <c r="WL53" i="2"/>
  <c r="WK54" i="2"/>
  <c r="WL54" i="2"/>
  <c r="WK55" i="2"/>
  <c r="WL55" i="2"/>
  <c r="WK56" i="2"/>
  <c r="WL56" i="2"/>
  <c r="WK57" i="2"/>
  <c r="WL57" i="2"/>
  <c r="WK58" i="2"/>
  <c r="WL58" i="2"/>
  <c r="WK59" i="2"/>
  <c r="WL59" i="2"/>
  <c r="WK60" i="2"/>
  <c r="WL60" i="2"/>
  <c r="WK61" i="2"/>
  <c r="WL61" i="2"/>
  <c r="WK62" i="2"/>
  <c r="WL62" i="2"/>
  <c r="WK63" i="2"/>
  <c r="WL63" i="2"/>
  <c r="WK64" i="2"/>
  <c r="WL64" i="2"/>
  <c r="WK65" i="2"/>
  <c r="WL65" i="2"/>
  <c r="WK66" i="2"/>
  <c r="WL66" i="2"/>
  <c r="WK67" i="2"/>
  <c r="WL67" i="2"/>
  <c r="WK68" i="2"/>
  <c r="WL68" i="2"/>
  <c r="WK69" i="2"/>
  <c r="WL69" i="2"/>
  <c r="WK70" i="2"/>
  <c r="WL70" i="2"/>
  <c r="WK71" i="2"/>
  <c r="WL71" i="2"/>
  <c r="WK72" i="2"/>
  <c r="WL72" i="2"/>
  <c r="WK73" i="2"/>
  <c r="WL73" i="2"/>
  <c r="WK74" i="2"/>
  <c r="WL74" i="2"/>
  <c r="WK75" i="2"/>
  <c r="WL75" i="2"/>
  <c r="WK76" i="2"/>
  <c r="WL76" i="2"/>
  <c r="WK77" i="2"/>
  <c r="WL77" i="2"/>
  <c r="WK78" i="2"/>
  <c r="WL78" i="2"/>
  <c r="WK79" i="2"/>
  <c r="WL79" i="2"/>
  <c r="WK80" i="2"/>
  <c r="WL80" i="2"/>
  <c r="WK81" i="2"/>
  <c r="WL81" i="2"/>
  <c r="WK82" i="2"/>
  <c r="WL82" i="2"/>
  <c r="WK83" i="2"/>
  <c r="WL83" i="2"/>
  <c r="WK84" i="2"/>
  <c r="WL84" i="2"/>
  <c r="WK85" i="2"/>
  <c r="WL85" i="2"/>
  <c r="WK86" i="2"/>
  <c r="WL86" i="2"/>
  <c r="WK87" i="2"/>
  <c r="WL87" i="2"/>
  <c r="WK88" i="2"/>
  <c r="WL88" i="2"/>
  <c r="WK90" i="2"/>
  <c r="WL90" i="2"/>
  <c r="WK91" i="2"/>
  <c r="WL91" i="2"/>
  <c r="WK92" i="2"/>
  <c r="WL92" i="2"/>
  <c r="WK93" i="2"/>
  <c r="WL93" i="2"/>
  <c r="WK94" i="2"/>
  <c r="WL94" i="2"/>
  <c r="WK95" i="2"/>
  <c r="WL95" i="2"/>
  <c r="WK96" i="2"/>
  <c r="WL96" i="2"/>
  <c r="WK97" i="2"/>
  <c r="WL97" i="2"/>
  <c r="WK98" i="2"/>
  <c r="WL98" i="2"/>
  <c r="WK99" i="2"/>
  <c r="WL99" i="2"/>
  <c r="WK100" i="2"/>
  <c r="WL100" i="2"/>
  <c r="WK101" i="2"/>
  <c r="WL101" i="2"/>
  <c r="WK102" i="2"/>
  <c r="WL102" i="2"/>
  <c r="WK103" i="2"/>
  <c r="WL103" i="2"/>
  <c r="WK104" i="2"/>
  <c r="WL104" i="2"/>
  <c r="WK105" i="2"/>
  <c r="WL105" i="2"/>
  <c r="WK106" i="2"/>
  <c r="WL106" i="2"/>
  <c r="WK107" i="2"/>
  <c r="WL107" i="2"/>
  <c r="WK108" i="2"/>
  <c r="WL108" i="2"/>
  <c r="WK109" i="2"/>
  <c r="WL109" i="2"/>
  <c r="WK110" i="2"/>
  <c r="WL110" i="2"/>
  <c r="WK111" i="2"/>
  <c r="WL111" i="2"/>
  <c r="WK112" i="2"/>
  <c r="WL112" i="2"/>
  <c r="WK113" i="2"/>
  <c r="WL113" i="2"/>
  <c r="WK114" i="2"/>
  <c r="WL114" i="2"/>
  <c r="WK115" i="2"/>
  <c r="WL115" i="2"/>
  <c r="WK116" i="2"/>
  <c r="WL116" i="2"/>
  <c r="WK117" i="2"/>
  <c r="WL117" i="2"/>
  <c r="WK118" i="2"/>
  <c r="WL118" i="2"/>
  <c r="WK119" i="2"/>
  <c r="WL119" i="2"/>
  <c r="WK120" i="2"/>
  <c r="WL120" i="2"/>
  <c r="WK121" i="2"/>
  <c r="WL121" i="2"/>
  <c r="WK122" i="2"/>
  <c r="WL122" i="2"/>
  <c r="WK123" i="2"/>
  <c r="WL123" i="2"/>
  <c r="WK124" i="2"/>
  <c r="WL124" i="2"/>
  <c r="WK125" i="2"/>
  <c r="WL125" i="2"/>
  <c r="WK126" i="2"/>
  <c r="WL126" i="2"/>
  <c r="WK128" i="2"/>
  <c r="WL128" i="2"/>
  <c r="WK129" i="2"/>
  <c r="WL129" i="2"/>
  <c r="WK130" i="2"/>
  <c r="WL130" i="2"/>
  <c r="WK131" i="2"/>
  <c r="WL131" i="2"/>
  <c r="WK132" i="2"/>
  <c r="WL132" i="2"/>
  <c r="WK133" i="2"/>
  <c r="WL133" i="2"/>
  <c r="WK134" i="2"/>
  <c r="WL134" i="2"/>
  <c r="WK135" i="2"/>
  <c r="WL135" i="2"/>
  <c r="WK136" i="2"/>
  <c r="WL136" i="2"/>
  <c r="WK137" i="2"/>
  <c r="WL137" i="2"/>
  <c r="WK138" i="2"/>
  <c r="WL138" i="2"/>
  <c r="WK139" i="2"/>
  <c r="WL139" i="2"/>
  <c r="WK140" i="2"/>
  <c r="WL140" i="2"/>
  <c r="WK141" i="2"/>
  <c r="WL141" i="2"/>
  <c r="WK142" i="2"/>
  <c r="WL142" i="2"/>
  <c r="WK143" i="2"/>
  <c r="WL143" i="2"/>
  <c r="WK144" i="2"/>
  <c r="WL144" i="2"/>
  <c r="WK145" i="2"/>
  <c r="WL145" i="2"/>
  <c r="WK146" i="2"/>
  <c r="WL146" i="2"/>
  <c r="WK147" i="2"/>
  <c r="WL147" i="2"/>
  <c r="WK148" i="2"/>
  <c r="WL148" i="2"/>
  <c r="WK149" i="2"/>
  <c r="WL149" i="2"/>
  <c r="WK150" i="2"/>
  <c r="WL150" i="2"/>
  <c r="WK151" i="2"/>
  <c r="WL151" i="2"/>
  <c r="WK152" i="2"/>
  <c r="WL152" i="2"/>
  <c r="WK153" i="2"/>
  <c r="WL153" i="2"/>
  <c r="WK154" i="2"/>
  <c r="WL154" i="2"/>
  <c r="WK155" i="2"/>
  <c r="WL155" i="2"/>
  <c r="WK156" i="2"/>
  <c r="WL156" i="2"/>
  <c r="WK157" i="2"/>
  <c r="WL157" i="2"/>
  <c r="WK158" i="2"/>
  <c r="WL158" i="2"/>
  <c r="WK159" i="2"/>
  <c r="WL159" i="2"/>
  <c r="WK160" i="2"/>
  <c r="WL160" i="2"/>
  <c r="WK161" i="2"/>
  <c r="WL161" i="2"/>
  <c r="WK162" i="2"/>
  <c r="WL162" i="2"/>
  <c r="WK163" i="2"/>
  <c r="WL163" i="2"/>
  <c r="WK164" i="2"/>
  <c r="WL164" i="2"/>
  <c r="WK166" i="2"/>
  <c r="WL166" i="2"/>
  <c r="WK167" i="2"/>
  <c r="WL167" i="2"/>
  <c r="WK168" i="2"/>
  <c r="WL168" i="2"/>
  <c r="WK169" i="2"/>
  <c r="WL169" i="2"/>
  <c r="WK170" i="2"/>
  <c r="WL170" i="2"/>
  <c r="WK171" i="2"/>
  <c r="WL171" i="2"/>
  <c r="WK172" i="2"/>
  <c r="WL172" i="2"/>
  <c r="WK173" i="2"/>
  <c r="WL173" i="2"/>
  <c r="WK174" i="2"/>
  <c r="WL174" i="2"/>
  <c r="WK175" i="2"/>
  <c r="WL175" i="2"/>
  <c r="WK176" i="2"/>
  <c r="WL176" i="2"/>
  <c r="WK177" i="2"/>
  <c r="WL177" i="2"/>
  <c r="WK178" i="2"/>
  <c r="WL178" i="2"/>
  <c r="WK179" i="2"/>
  <c r="WL179" i="2"/>
  <c r="WK180" i="2"/>
  <c r="WL180" i="2"/>
  <c r="WK181" i="2"/>
  <c r="WL181" i="2"/>
  <c r="WK182" i="2"/>
  <c r="WL182" i="2"/>
  <c r="WK183" i="2"/>
  <c r="WL183" i="2"/>
  <c r="WK184" i="2"/>
  <c r="WL184" i="2"/>
  <c r="WK185" i="2"/>
  <c r="WL185" i="2"/>
  <c r="WK186" i="2"/>
  <c r="WL186" i="2"/>
  <c r="WK187" i="2"/>
  <c r="WL187" i="2"/>
  <c r="WK188" i="2"/>
  <c r="WL188" i="2"/>
  <c r="WK189" i="2"/>
  <c r="WL189" i="2"/>
  <c r="WK190" i="2"/>
  <c r="WL190" i="2"/>
  <c r="WK191" i="2"/>
  <c r="WL191" i="2"/>
  <c r="WK192" i="2"/>
  <c r="WL192" i="2"/>
  <c r="WK193" i="2"/>
  <c r="WL193" i="2"/>
  <c r="WK194" i="2"/>
  <c r="WL194" i="2"/>
  <c r="WK195" i="2"/>
  <c r="WL195" i="2"/>
  <c r="WK196" i="2"/>
  <c r="WL196" i="2"/>
  <c r="WK197" i="2"/>
  <c r="WL197" i="2"/>
  <c r="WK198" i="2"/>
  <c r="WL198" i="2"/>
  <c r="WK199" i="2"/>
  <c r="WL199" i="2"/>
  <c r="WK200" i="2"/>
  <c r="WL200" i="2"/>
  <c r="WK201" i="2"/>
  <c r="WL201" i="2"/>
  <c r="WK202" i="2"/>
  <c r="WL202" i="2"/>
  <c r="WK204" i="2"/>
  <c r="WL204" i="2"/>
  <c r="WK205" i="2"/>
  <c r="WL205" i="2"/>
  <c r="WK206" i="2"/>
  <c r="WL206" i="2"/>
  <c r="WK207" i="2"/>
  <c r="WL207" i="2"/>
  <c r="WK208" i="2"/>
  <c r="WL208" i="2"/>
  <c r="WK209" i="2"/>
  <c r="WL209" i="2"/>
  <c r="WK210" i="2"/>
  <c r="WL210" i="2"/>
  <c r="WK211" i="2"/>
  <c r="WL211" i="2"/>
  <c r="WK212" i="2"/>
  <c r="WL212" i="2"/>
  <c r="WK213" i="2"/>
  <c r="WL213" i="2"/>
  <c r="WK214" i="2"/>
  <c r="WL214" i="2"/>
  <c r="WK215" i="2"/>
  <c r="WL215" i="2"/>
  <c r="WK216" i="2"/>
  <c r="WL216" i="2"/>
  <c r="WK217" i="2"/>
  <c r="WL217" i="2"/>
  <c r="WK218" i="2"/>
  <c r="WL218" i="2"/>
  <c r="WK219" i="2"/>
  <c r="WL219" i="2"/>
  <c r="WK220" i="2"/>
  <c r="WL220" i="2"/>
  <c r="WK221" i="2"/>
  <c r="WL221" i="2"/>
  <c r="WK222" i="2"/>
  <c r="WL222" i="2"/>
  <c r="WK223" i="2"/>
  <c r="WL223" i="2"/>
  <c r="WK224" i="2"/>
  <c r="WL224" i="2"/>
  <c r="WK225" i="2"/>
  <c r="WL225" i="2"/>
  <c r="WK226" i="2"/>
  <c r="WL226" i="2"/>
  <c r="WK227" i="2"/>
  <c r="WL227" i="2"/>
  <c r="WK228" i="2"/>
  <c r="WL228" i="2"/>
  <c r="WK229" i="2"/>
  <c r="WL229" i="2"/>
  <c r="WK230" i="2"/>
  <c r="WL230" i="2"/>
  <c r="WK231" i="2"/>
  <c r="WL231" i="2"/>
  <c r="WK232" i="2"/>
  <c r="WL232" i="2"/>
  <c r="WK233" i="2"/>
  <c r="WL233" i="2"/>
  <c r="WK234" i="2"/>
  <c r="WL234" i="2"/>
  <c r="WK235" i="2"/>
  <c r="WL235" i="2"/>
  <c r="WK236" i="2"/>
  <c r="WL236" i="2"/>
  <c r="WK237" i="2"/>
  <c r="WL237" i="2"/>
  <c r="WK238" i="2"/>
  <c r="WL238" i="2"/>
  <c r="WK239" i="2"/>
  <c r="WL239" i="2"/>
  <c r="WK240" i="2"/>
  <c r="WL240" i="2"/>
  <c r="WK242" i="2"/>
  <c r="WL242" i="2"/>
  <c r="WK243" i="2"/>
  <c r="WL243" i="2"/>
  <c r="WK244" i="2"/>
  <c r="WL244" i="2"/>
  <c r="WK245" i="2"/>
  <c r="WL245" i="2"/>
  <c r="WK246" i="2"/>
  <c r="WL246" i="2"/>
  <c r="WK247" i="2"/>
  <c r="WL247" i="2"/>
  <c r="WK248" i="2"/>
  <c r="WL248" i="2"/>
  <c r="WK249" i="2"/>
  <c r="WL249" i="2"/>
  <c r="WK250" i="2"/>
  <c r="WL250" i="2"/>
  <c r="WK251" i="2"/>
  <c r="WL251" i="2"/>
  <c r="WK252" i="2"/>
  <c r="WL252" i="2"/>
  <c r="WK253" i="2"/>
  <c r="WL253" i="2"/>
  <c r="WK254" i="2"/>
  <c r="WL254" i="2"/>
  <c r="WK255" i="2"/>
  <c r="WL255" i="2"/>
  <c r="WK256" i="2"/>
  <c r="WL256" i="2"/>
  <c r="WK257" i="2"/>
  <c r="WL257" i="2"/>
  <c r="WK258" i="2"/>
  <c r="WL258" i="2"/>
  <c r="WK259" i="2"/>
  <c r="WL259" i="2"/>
  <c r="WK260" i="2"/>
  <c r="WL260" i="2"/>
  <c r="WK261" i="2"/>
  <c r="WL261" i="2"/>
  <c r="WK262" i="2"/>
  <c r="WL262" i="2"/>
  <c r="WK263" i="2"/>
  <c r="WL263" i="2"/>
  <c r="WK264" i="2"/>
  <c r="WL264" i="2"/>
  <c r="WK265" i="2"/>
  <c r="WL265" i="2"/>
  <c r="WK266" i="2"/>
  <c r="WL266" i="2"/>
  <c r="WK267" i="2"/>
  <c r="WL267" i="2"/>
  <c r="WK268" i="2"/>
  <c r="WL268" i="2"/>
  <c r="WK269" i="2"/>
  <c r="WL269" i="2"/>
  <c r="WK270" i="2"/>
  <c r="WL270" i="2"/>
  <c r="WK271" i="2"/>
  <c r="WL271" i="2"/>
  <c r="WK272" i="2"/>
  <c r="WL272" i="2"/>
  <c r="WK273" i="2"/>
  <c r="WL273" i="2"/>
  <c r="WK274" i="2"/>
  <c r="WL274" i="2"/>
  <c r="WK275" i="2"/>
  <c r="WL275" i="2"/>
  <c r="WK276" i="2"/>
  <c r="WL276" i="2"/>
  <c r="WK277" i="2"/>
  <c r="WL277" i="2"/>
  <c r="WK278" i="2"/>
  <c r="WL278" i="2"/>
  <c r="WK280" i="2"/>
  <c r="WL280" i="2"/>
  <c r="WK281" i="2"/>
  <c r="WL281" i="2"/>
  <c r="WK282" i="2"/>
  <c r="WL282" i="2"/>
  <c r="WK283" i="2"/>
  <c r="WL283" i="2"/>
  <c r="WK284" i="2"/>
  <c r="WL284" i="2"/>
  <c r="WK285" i="2"/>
  <c r="WL285" i="2"/>
  <c r="WK286" i="2"/>
  <c r="WL286" i="2"/>
  <c r="WK287" i="2"/>
  <c r="WL287" i="2"/>
  <c r="WK288" i="2"/>
  <c r="WL288" i="2"/>
  <c r="WK289" i="2"/>
  <c r="WL289" i="2"/>
  <c r="WK290" i="2"/>
  <c r="WL290" i="2"/>
  <c r="WK291" i="2"/>
  <c r="WL291" i="2"/>
  <c r="WK292" i="2"/>
  <c r="WL292" i="2"/>
  <c r="WK293" i="2"/>
  <c r="WL293" i="2"/>
  <c r="WK294" i="2"/>
  <c r="WL294" i="2"/>
  <c r="WK295" i="2"/>
  <c r="WL295" i="2"/>
  <c r="WK296" i="2"/>
  <c r="WL296" i="2"/>
  <c r="WK297" i="2"/>
  <c r="WL297" i="2"/>
  <c r="WK298" i="2"/>
  <c r="WL298" i="2"/>
  <c r="WK299" i="2"/>
  <c r="WL299" i="2"/>
  <c r="WK300" i="2"/>
  <c r="WL300" i="2"/>
  <c r="WK301" i="2"/>
  <c r="WL301" i="2"/>
  <c r="WK302" i="2"/>
  <c r="WL302" i="2"/>
  <c r="WK303" i="2"/>
  <c r="WL303" i="2"/>
  <c r="WK304" i="2"/>
  <c r="WL304" i="2"/>
  <c r="WK305" i="2"/>
  <c r="WL305" i="2"/>
  <c r="WK306" i="2"/>
  <c r="WL306" i="2"/>
  <c r="WK307" i="2"/>
  <c r="WL307" i="2"/>
  <c r="WK308" i="2"/>
  <c r="WL308" i="2"/>
  <c r="WK309" i="2"/>
  <c r="WL309" i="2"/>
  <c r="WK310" i="2"/>
  <c r="WL310" i="2"/>
  <c r="WK311" i="2"/>
  <c r="WL311" i="2"/>
  <c r="WK312" i="2"/>
  <c r="WL312" i="2"/>
  <c r="WK313" i="2"/>
  <c r="WL313" i="2"/>
  <c r="WK314" i="2"/>
  <c r="WL314" i="2"/>
  <c r="WK315" i="2"/>
  <c r="WL315" i="2"/>
  <c r="WK316" i="2"/>
  <c r="WL316" i="2"/>
  <c r="WK318" i="2"/>
  <c r="WL318" i="2"/>
  <c r="WK319" i="2"/>
  <c r="WL319" i="2"/>
  <c r="WK320" i="2"/>
  <c r="WL320" i="2"/>
  <c r="WK321" i="2"/>
  <c r="WL321" i="2"/>
  <c r="WK322" i="2"/>
  <c r="WL322" i="2"/>
  <c r="WK323" i="2"/>
  <c r="WL323" i="2"/>
  <c r="WK324" i="2"/>
  <c r="WL324" i="2"/>
  <c r="WK325" i="2"/>
  <c r="WL325" i="2"/>
  <c r="WK326" i="2"/>
  <c r="WL326" i="2"/>
  <c r="WK327" i="2"/>
  <c r="WL327" i="2"/>
  <c r="WK328" i="2"/>
  <c r="WL328" i="2"/>
  <c r="WK329" i="2"/>
  <c r="WL329" i="2"/>
  <c r="WK330" i="2"/>
  <c r="WL330" i="2"/>
  <c r="WK331" i="2"/>
  <c r="WL331" i="2"/>
  <c r="WK332" i="2"/>
  <c r="WL332" i="2"/>
  <c r="WK333" i="2"/>
  <c r="WL333" i="2"/>
  <c r="WK334" i="2"/>
  <c r="WL334" i="2"/>
  <c r="WK335" i="2"/>
  <c r="WL335" i="2"/>
  <c r="WK336" i="2"/>
  <c r="WL336" i="2"/>
  <c r="WK337" i="2"/>
  <c r="WL337" i="2"/>
  <c r="WK338" i="2"/>
  <c r="WL338" i="2"/>
  <c r="WK339" i="2"/>
  <c r="WL339" i="2"/>
  <c r="WK340" i="2"/>
  <c r="WL340" i="2"/>
  <c r="WK341" i="2"/>
  <c r="WL341" i="2"/>
  <c r="WK342" i="2"/>
  <c r="WL342" i="2"/>
  <c r="WK343" i="2"/>
  <c r="WL343" i="2"/>
  <c r="WK344" i="2"/>
  <c r="WL344" i="2"/>
  <c r="WK345" i="2"/>
  <c r="WL345" i="2"/>
  <c r="WK346" i="2"/>
  <c r="WL346" i="2"/>
  <c r="WK347" i="2"/>
  <c r="WL347" i="2"/>
  <c r="WK348" i="2"/>
  <c r="WL348" i="2"/>
  <c r="WK349" i="2"/>
  <c r="WL349" i="2"/>
  <c r="WK350" i="2"/>
  <c r="WL350" i="2"/>
  <c r="WK351" i="2"/>
  <c r="WL351" i="2"/>
  <c r="WK352" i="2"/>
  <c r="WL352" i="2"/>
  <c r="WK353" i="2"/>
  <c r="WL353" i="2"/>
  <c r="WK354" i="2"/>
  <c r="WL354" i="2"/>
  <c r="WK356" i="2"/>
  <c r="WL356" i="2"/>
  <c r="WK357" i="2"/>
  <c r="WL357" i="2"/>
  <c r="WK358" i="2"/>
  <c r="WL358" i="2"/>
  <c r="WK359" i="2"/>
  <c r="WL359" i="2"/>
  <c r="WK360" i="2"/>
  <c r="WL360" i="2"/>
  <c r="WK361" i="2"/>
  <c r="WL361" i="2"/>
  <c r="WK362" i="2"/>
  <c r="WL362" i="2"/>
  <c r="WK363" i="2"/>
  <c r="WL363" i="2"/>
  <c r="WK364" i="2"/>
  <c r="WL364" i="2"/>
  <c r="WK365" i="2"/>
  <c r="WL365" i="2"/>
  <c r="WK366" i="2"/>
  <c r="WL366" i="2"/>
  <c r="WK367" i="2"/>
  <c r="WL367" i="2"/>
  <c r="WK368" i="2"/>
  <c r="WL368" i="2"/>
  <c r="WK369" i="2"/>
  <c r="WL369" i="2"/>
  <c r="WK370" i="2"/>
  <c r="WL370" i="2"/>
  <c r="WK371" i="2"/>
  <c r="WL371" i="2"/>
  <c r="WK372" i="2"/>
  <c r="WL372" i="2"/>
  <c r="WK373" i="2"/>
  <c r="WL373" i="2"/>
  <c r="WK374" i="2"/>
  <c r="WL374" i="2"/>
  <c r="WK375" i="2"/>
  <c r="WL375" i="2"/>
  <c r="WK376" i="2"/>
  <c r="WL376" i="2"/>
  <c r="WK377" i="2"/>
  <c r="WL377" i="2"/>
  <c r="WK378" i="2"/>
  <c r="WL378" i="2"/>
  <c r="WK379" i="2"/>
  <c r="WL379" i="2"/>
  <c r="WK380" i="2"/>
  <c r="WL380" i="2"/>
  <c r="WK381" i="2"/>
  <c r="WL381" i="2"/>
  <c r="WK382" i="2"/>
  <c r="WL382" i="2"/>
  <c r="WK383" i="2"/>
  <c r="WL383" i="2"/>
  <c r="WK384" i="2"/>
  <c r="WL384" i="2"/>
  <c r="WK385" i="2"/>
  <c r="WL385" i="2"/>
  <c r="WK386" i="2"/>
  <c r="WL386" i="2"/>
  <c r="WK387" i="2"/>
  <c r="WL387" i="2"/>
  <c r="WK388" i="2"/>
  <c r="WL388" i="2"/>
  <c r="WK389" i="2"/>
  <c r="WL389" i="2"/>
  <c r="WK390" i="2"/>
  <c r="WL390" i="2"/>
  <c r="WK391" i="2"/>
  <c r="WL391" i="2"/>
  <c r="WK392" i="2"/>
  <c r="WL392" i="2"/>
  <c r="WK394" i="2"/>
  <c r="WL394" i="2"/>
  <c r="WK395" i="2"/>
  <c r="WL395" i="2"/>
  <c r="WK396" i="2"/>
  <c r="WL396" i="2"/>
  <c r="WK397" i="2"/>
  <c r="WL397" i="2"/>
  <c r="WK398" i="2"/>
  <c r="WL398" i="2"/>
  <c r="WK399" i="2"/>
  <c r="WL399" i="2"/>
  <c r="WK400" i="2"/>
  <c r="WL400" i="2"/>
  <c r="WK401" i="2"/>
  <c r="WL401" i="2"/>
  <c r="WK402" i="2"/>
  <c r="WL402" i="2"/>
  <c r="WK403" i="2"/>
  <c r="WL403" i="2"/>
  <c r="WK404" i="2"/>
  <c r="WL404" i="2"/>
  <c r="WK405" i="2"/>
  <c r="WL405" i="2"/>
  <c r="WK406" i="2"/>
  <c r="WL406" i="2"/>
  <c r="WK407" i="2"/>
  <c r="WL407" i="2"/>
  <c r="WK408" i="2"/>
  <c r="WL408" i="2"/>
  <c r="WK409" i="2"/>
  <c r="WL409" i="2"/>
  <c r="WK410" i="2"/>
  <c r="WL410" i="2"/>
  <c r="WK411" i="2"/>
  <c r="WL411" i="2"/>
  <c r="WK412" i="2"/>
  <c r="WL412" i="2"/>
  <c r="WK413" i="2"/>
  <c r="WL413" i="2"/>
  <c r="WK414" i="2"/>
  <c r="WL414" i="2"/>
  <c r="WK415" i="2"/>
  <c r="WL415" i="2"/>
  <c r="WK416" i="2"/>
  <c r="WL416" i="2"/>
  <c r="WK417" i="2"/>
  <c r="WL417" i="2"/>
  <c r="WK418" i="2"/>
  <c r="WL418" i="2"/>
  <c r="WK419" i="2"/>
  <c r="WL419" i="2"/>
  <c r="WK420" i="2"/>
  <c r="WL420" i="2"/>
  <c r="WK421" i="2"/>
  <c r="WL421" i="2"/>
  <c r="WK422" i="2"/>
  <c r="WL422" i="2"/>
  <c r="WK423" i="2"/>
  <c r="WL423" i="2"/>
  <c r="WK424" i="2"/>
  <c r="WL424" i="2"/>
  <c r="WK425" i="2"/>
  <c r="WL425" i="2"/>
  <c r="WK426" i="2"/>
  <c r="WL426" i="2"/>
  <c r="WK427" i="2"/>
  <c r="WL427" i="2"/>
  <c r="WK428" i="2"/>
  <c r="WL428" i="2"/>
  <c r="WK429" i="2"/>
  <c r="WL429" i="2"/>
  <c r="WK430" i="2"/>
  <c r="WL430" i="2"/>
  <c r="WK432" i="2"/>
  <c r="WL432" i="2"/>
  <c r="WK433" i="2"/>
  <c r="WL433" i="2"/>
  <c r="WK434" i="2"/>
  <c r="WL434" i="2"/>
  <c r="WK435" i="2"/>
  <c r="WL435" i="2"/>
  <c r="WK436" i="2"/>
  <c r="WL436" i="2"/>
  <c r="WK437" i="2"/>
  <c r="WL437" i="2"/>
  <c r="WK438" i="2"/>
  <c r="WL438" i="2"/>
  <c r="WK439" i="2"/>
  <c r="WL439" i="2"/>
  <c r="WK440" i="2"/>
  <c r="WL440" i="2"/>
  <c r="WK441" i="2"/>
  <c r="WL441" i="2"/>
  <c r="WK442" i="2"/>
  <c r="WL442" i="2"/>
  <c r="WK443" i="2"/>
  <c r="WL443" i="2"/>
  <c r="WK444" i="2"/>
  <c r="WL444" i="2"/>
  <c r="WK445" i="2"/>
  <c r="WL445" i="2"/>
  <c r="WK446" i="2"/>
  <c r="WL446" i="2"/>
  <c r="WK447" i="2"/>
  <c r="WL447" i="2"/>
  <c r="WK448" i="2"/>
  <c r="WL448" i="2"/>
  <c r="WK449" i="2"/>
  <c r="WL449" i="2"/>
  <c r="WK450" i="2"/>
  <c r="WL450" i="2"/>
  <c r="WK451" i="2"/>
  <c r="WL451" i="2"/>
  <c r="WK452" i="2"/>
  <c r="WL452" i="2"/>
  <c r="WK453" i="2"/>
  <c r="WL453" i="2"/>
  <c r="WK454" i="2"/>
  <c r="WL454" i="2"/>
  <c r="WK455" i="2"/>
  <c r="WL455" i="2"/>
  <c r="WK456" i="2"/>
  <c r="WL456" i="2"/>
  <c r="WK457" i="2"/>
  <c r="WL457" i="2"/>
  <c r="WK458" i="2"/>
  <c r="WL458" i="2"/>
  <c r="WK459" i="2"/>
  <c r="WL459" i="2"/>
  <c r="WK460" i="2"/>
  <c r="WL460" i="2"/>
  <c r="WK461" i="2"/>
  <c r="WL461" i="2"/>
  <c r="WK462" i="2"/>
  <c r="WL462" i="2"/>
  <c r="WK463" i="2"/>
  <c r="WL463" i="2"/>
  <c r="WK464" i="2"/>
  <c r="WL464" i="2"/>
  <c r="WK465" i="2"/>
  <c r="WL465" i="2"/>
  <c r="WK466" i="2"/>
  <c r="WL466" i="2"/>
  <c r="WK467" i="2"/>
  <c r="WL467" i="2"/>
  <c r="WK468" i="2"/>
  <c r="WL468" i="2"/>
  <c r="WL15" i="2"/>
  <c r="WL16" i="2"/>
  <c r="WL17" i="2"/>
  <c r="WL18" i="2"/>
  <c r="WL19" i="2"/>
  <c r="WL20" i="2"/>
  <c r="WL21" i="2"/>
  <c r="WL22" i="2"/>
  <c r="WL23" i="2"/>
  <c r="WL24" i="2"/>
  <c r="WL25" i="2"/>
  <c r="WL26" i="2"/>
  <c r="WL27" i="2"/>
  <c r="WL28" i="2"/>
  <c r="WL29" i="2"/>
  <c r="WL30" i="2"/>
  <c r="WL31" i="2"/>
  <c r="WL32" i="2"/>
  <c r="WL33" i="2"/>
  <c r="WL34" i="2"/>
  <c r="WL35" i="2"/>
  <c r="WL36" i="2"/>
  <c r="WL37" i="2"/>
  <c r="WL38" i="2"/>
  <c r="WL39" i="2"/>
  <c r="WL40" i="2"/>
  <c r="WL41" i="2"/>
  <c r="WL42" i="2"/>
  <c r="WL43" i="2"/>
  <c r="WL44" i="2"/>
  <c r="WL45" i="2"/>
  <c r="WL46" i="2"/>
  <c r="WL47" i="2"/>
  <c r="WL48" i="2"/>
  <c r="WL49" i="2"/>
  <c r="WL50" i="2"/>
  <c r="WL14" i="2"/>
  <c r="WK14" i="2"/>
  <c r="VU52" i="2"/>
  <c r="VV52" i="2"/>
  <c r="VU53" i="2"/>
  <c r="VV53" i="2"/>
  <c r="VU54" i="2"/>
  <c r="VV54" i="2"/>
  <c r="VU55" i="2"/>
  <c r="VV55" i="2"/>
  <c r="VU56" i="2"/>
  <c r="VV56" i="2"/>
  <c r="VU57" i="2"/>
  <c r="VV57" i="2"/>
  <c r="VU58" i="2"/>
  <c r="VV58" i="2"/>
  <c r="VU59" i="2"/>
  <c r="VV59" i="2"/>
  <c r="VU60" i="2"/>
  <c r="VV60" i="2"/>
  <c r="VU61" i="2"/>
  <c r="VV61" i="2"/>
  <c r="VU62" i="2"/>
  <c r="VV62" i="2"/>
  <c r="VU63" i="2"/>
  <c r="VV63" i="2"/>
  <c r="VU64" i="2"/>
  <c r="VV64" i="2"/>
  <c r="VU65" i="2"/>
  <c r="VV65" i="2"/>
  <c r="VU66" i="2"/>
  <c r="VV66" i="2"/>
  <c r="VU67" i="2"/>
  <c r="VV67" i="2"/>
  <c r="VU68" i="2"/>
  <c r="VV68" i="2"/>
  <c r="VU69" i="2"/>
  <c r="VV69" i="2"/>
  <c r="VU70" i="2"/>
  <c r="VV70" i="2"/>
  <c r="VU71" i="2"/>
  <c r="VV71" i="2"/>
  <c r="VU72" i="2"/>
  <c r="VV72" i="2"/>
  <c r="VU73" i="2"/>
  <c r="VV73" i="2"/>
  <c r="VU74" i="2"/>
  <c r="VV74" i="2"/>
  <c r="VU75" i="2"/>
  <c r="VV75" i="2"/>
  <c r="VU76" i="2"/>
  <c r="VV76" i="2"/>
  <c r="VU77" i="2"/>
  <c r="VV77" i="2"/>
  <c r="VU78" i="2"/>
  <c r="VV78" i="2"/>
  <c r="VU79" i="2"/>
  <c r="VV79" i="2"/>
  <c r="VU80" i="2"/>
  <c r="VV80" i="2"/>
  <c r="VU81" i="2"/>
  <c r="VV81" i="2"/>
  <c r="VU82" i="2"/>
  <c r="VV82" i="2"/>
  <c r="VU83" i="2"/>
  <c r="VV83" i="2"/>
  <c r="VU84" i="2"/>
  <c r="VV84" i="2"/>
  <c r="VU85" i="2"/>
  <c r="VV85" i="2"/>
  <c r="VU86" i="2"/>
  <c r="VV86" i="2"/>
  <c r="VU87" i="2"/>
  <c r="VV87" i="2"/>
  <c r="VU88" i="2"/>
  <c r="VV88" i="2"/>
  <c r="VU90" i="2"/>
  <c r="VV90" i="2"/>
  <c r="VU91" i="2"/>
  <c r="VV91" i="2"/>
  <c r="VU92" i="2"/>
  <c r="VV92" i="2"/>
  <c r="VU93" i="2"/>
  <c r="VV93" i="2"/>
  <c r="VU94" i="2"/>
  <c r="VV94" i="2"/>
  <c r="VU95" i="2"/>
  <c r="VV95" i="2"/>
  <c r="VU96" i="2"/>
  <c r="VV96" i="2"/>
  <c r="VU97" i="2"/>
  <c r="VV97" i="2"/>
  <c r="VU98" i="2"/>
  <c r="VV98" i="2"/>
  <c r="VU99" i="2"/>
  <c r="VV99" i="2"/>
  <c r="VU100" i="2"/>
  <c r="VV100" i="2"/>
  <c r="VU101" i="2"/>
  <c r="VV101" i="2"/>
  <c r="VU102" i="2"/>
  <c r="VV102" i="2"/>
  <c r="VU103" i="2"/>
  <c r="VV103" i="2"/>
  <c r="VU104" i="2"/>
  <c r="VV104" i="2"/>
  <c r="VU105" i="2"/>
  <c r="VV105" i="2"/>
  <c r="VU106" i="2"/>
  <c r="VV106" i="2"/>
  <c r="VU107" i="2"/>
  <c r="VV107" i="2"/>
  <c r="VU108" i="2"/>
  <c r="VV108" i="2"/>
  <c r="VU109" i="2"/>
  <c r="VV109" i="2"/>
  <c r="VU110" i="2"/>
  <c r="VV110" i="2"/>
  <c r="VU111" i="2"/>
  <c r="VV111" i="2"/>
  <c r="VU112" i="2"/>
  <c r="VV112" i="2"/>
  <c r="VU113" i="2"/>
  <c r="VV113" i="2"/>
  <c r="VU114" i="2"/>
  <c r="VV114" i="2"/>
  <c r="VU115" i="2"/>
  <c r="VV115" i="2"/>
  <c r="VU116" i="2"/>
  <c r="VV116" i="2"/>
  <c r="VU117" i="2"/>
  <c r="VV117" i="2"/>
  <c r="VU118" i="2"/>
  <c r="VV118" i="2"/>
  <c r="VU119" i="2"/>
  <c r="VV119" i="2"/>
  <c r="VU120" i="2"/>
  <c r="VV120" i="2"/>
  <c r="VU121" i="2"/>
  <c r="VV121" i="2"/>
  <c r="VU122" i="2"/>
  <c r="VV122" i="2"/>
  <c r="VU123" i="2"/>
  <c r="VV123" i="2"/>
  <c r="VU124" i="2"/>
  <c r="VV124" i="2"/>
  <c r="VU125" i="2"/>
  <c r="VV125" i="2"/>
  <c r="VU126" i="2"/>
  <c r="VV126" i="2"/>
  <c r="VU128" i="2"/>
  <c r="VV128" i="2"/>
  <c r="VU129" i="2"/>
  <c r="VV129" i="2"/>
  <c r="VU130" i="2"/>
  <c r="VV130" i="2"/>
  <c r="VU131" i="2"/>
  <c r="VV131" i="2"/>
  <c r="VU132" i="2"/>
  <c r="VV132" i="2"/>
  <c r="VU133" i="2"/>
  <c r="VV133" i="2"/>
  <c r="VU134" i="2"/>
  <c r="VV134" i="2"/>
  <c r="VU135" i="2"/>
  <c r="VV135" i="2"/>
  <c r="VU136" i="2"/>
  <c r="VV136" i="2"/>
  <c r="VU137" i="2"/>
  <c r="VV137" i="2"/>
  <c r="VU138" i="2"/>
  <c r="VV138" i="2"/>
  <c r="VU139" i="2"/>
  <c r="VV139" i="2"/>
  <c r="VU140" i="2"/>
  <c r="VV140" i="2"/>
  <c r="VU141" i="2"/>
  <c r="VV141" i="2"/>
  <c r="VU142" i="2"/>
  <c r="VV142" i="2"/>
  <c r="VU143" i="2"/>
  <c r="VV143" i="2"/>
  <c r="VU144" i="2"/>
  <c r="VV144" i="2"/>
  <c r="VU145" i="2"/>
  <c r="VV145" i="2"/>
  <c r="VU146" i="2"/>
  <c r="VV146" i="2"/>
  <c r="VU147" i="2"/>
  <c r="VV147" i="2"/>
  <c r="VU148" i="2"/>
  <c r="VV148" i="2"/>
  <c r="VU149" i="2"/>
  <c r="VV149" i="2"/>
  <c r="VU150" i="2"/>
  <c r="VV150" i="2"/>
  <c r="VU151" i="2"/>
  <c r="VV151" i="2"/>
  <c r="VU152" i="2"/>
  <c r="VV152" i="2"/>
  <c r="VU153" i="2"/>
  <c r="VV153" i="2"/>
  <c r="VU154" i="2"/>
  <c r="VV154" i="2"/>
  <c r="VU155" i="2"/>
  <c r="VV155" i="2"/>
  <c r="VU156" i="2"/>
  <c r="VV156" i="2"/>
  <c r="VU157" i="2"/>
  <c r="VV157" i="2"/>
  <c r="VU158" i="2"/>
  <c r="VV158" i="2"/>
  <c r="VU159" i="2"/>
  <c r="VV159" i="2"/>
  <c r="VU160" i="2"/>
  <c r="VV160" i="2"/>
  <c r="VU161" i="2"/>
  <c r="VV161" i="2"/>
  <c r="VU162" i="2"/>
  <c r="VV162" i="2"/>
  <c r="VU163" i="2"/>
  <c r="VV163" i="2"/>
  <c r="VU164" i="2"/>
  <c r="VV164" i="2"/>
  <c r="VU166" i="2"/>
  <c r="VV166" i="2"/>
  <c r="VU167" i="2"/>
  <c r="VV167" i="2"/>
  <c r="VU168" i="2"/>
  <c r="VV168" i="2"/>
  <c r="VU169" i="2"/>
  <c r="VV169" i="2"/>
  <c r="VU170" i="2"/>
  <c r="VV170" i="2"/>
  <c r="VU171" i="2"/>
  <c r="VV171" i="2"/>
  <c r="VU172" i="2"/>
  <c r="VV172" i="2"/>
  <c r="VU173" i="2"/>
  <c r="VV173" i="2"/>
  <c r="VU174" i="2"/>
  <c r="VV174" i="2"/>
  <c r="VU175" i="2"/>
  <c r="VV175" i="2"/>
  <c r="VU176" i="2"/>
  <c r="VV176" i="2"/>
  <c r="VU177" i="2"/>
  <c r="VV177" i="2"/>
  <c r="VU178" i="2"/>
  <c r="VV178" i="2"/>
  <c r="VU179" i="2"/>
  <c r="VV179" i="2"/>
  <c r="VU180" i="2"/>
  <c r="VV180" i="2"/>
  <c r="VU181" i="2"/>
  <c r="VV181" i="2"/>
  <c r="VU182" i="2"/>
  <c r="VV182" i="2"/>
  <c r="VU183" i="2"/>
  <c r="VV183" i="2"/>
  <c r="VU184" i="2"/>
  <c r="VV184" i="2"/>
  <c r="VU185" i="2"/>
  <c r="VV185" i="2"/>
  <c r="VU186" i="2"/>
  <c r="VV186" i="2"/>
  <c r="VU187" i="2"/>
  <c r="VV187" i="2"/>
  <c r="VU188" i="2"/>
  <c r="VV188" i="2"/>
  <c r="VU189" i="2"/>
  <c r="VV189" i="2"/>
  <c r="VU190" i="2"/>
  <c r="VV190" i="2"/>
  <c r="VU191" i="2"/>
  <c r="VV191" i="2"/>
  <c r="VU192" i="2"/>
  <c r="VV192" i="2"/>
  <c r="VU193" i="2"/>
  <c r="VV193" i="2"/>
  <c r="VU194" i="2"/>
  <c r="VV194" i="2"/>
  <c r="VU195" i="2"/>
  <c r="VV195" i="2"/>
  <c r="VU196" i="2"/>
  <c r="VV196" i="2"/>
  <c r="VU197" i="2"/>
  <c r="VV197" i="2"/>
  <c r="VU198" i="2"/>
  <c r="VV198" i="2"/>
  <c r="VU199" i="2"/>
  <c r="VV199" i="2"/>
  <c r="VU200" i="2"/>
  <c r="VV200" i="2"/>
  <c r="VU201" i="2"/>
  <c r="VV201" i="2"/>
  <c r="VU202" i="2"/>
  <c r="VV202" i="2"/>
  <c r="VU204" i="2"/>
  <c r="VV204" i="2"/>
  <c r="VU205" i="2"/>
  <c r="VV205" i="2"/>
  <c r="VU206" i="2"/>
  <c r="VV206" i="2"/>
  <c r="VU207" i="2"/>
  <c r="VV207" i="2"/>
  <c r="VU208" i="2"/>
  <c r="VV208" i="2"/>
  <c r="VU209" i="2"/>
  <c r="VV209" i="2"/>
  <c r="VU210" i="2"/>
  <c r="VV210" i="2"/>
  <c r="VU211" i="2"/>
  <c r="VV211" i="2"/>
  <c r="VU212" i="2"/>
  <c r="VV212" i="2"/>
  <c r="VU213" i="2"/>
  <c r="VV213" i="2"/>
  <c r="VU214" i="2"/>
  <c r="VV214" i="2"/>
  <c r="VU215" i="2"/>
  <c r="VV215" i="2"/>
  <c r="VU216" i="2"/>
  <c r="VV216" i="2"/>
  <c r="VU217" i="2"/>
  <c r="VV217" i="2"/>
  <c r="VU218" i="2"/>
  <c r="VV218" i="2"/>
  <c r="VU219" i="2"/>
  <c r="VV219" i="2"/>
  <c r="VU220" i="2"/>
  <c r="VV220" i="2"/>
  <c r="VU221" i="2"/>
  <c r="VV221" i="2"/>
  <c r="VU222" i="2"/>
  <c r="VV222" i="2"/>
  <c r="VU223" i="2"/>
  <c r="VV223" i="2"/>
  <c r="VU224" i="2"/>
  <c r="VV224" i="2"/>
  <c r="VU225" i="2"/>
  <c r="VV225" i="2"/>
  <c r="VU226" i="2"/>
  <c r="VV226" i="2"/>
  <c r="VU227" i="2"/>
  <c r="VV227" i="2"/>
  <c r="VU228" i="2"/>
  <c r="VV228" i="2"/>
  <c r="VU229" i="2"/>
  <c r="VV229" i="2"/>
  <c r="VU230" i="2"/>
  <c r="VV230" i="2"/>
  <c r="VU231" i="2"/>
  <c r="VV231" i="2"/>
  <c r="VU232" i="2"/>
  <c r="VV232" i="2"/>
  <c r="VU233" i="2"/>
  <c r="VV233" i="2"/>
  <c r="VU234" i="2"/>
  <c r="VV234" i="2"/>
  <c r="VU235" i="2"/>
  <c r="VV235" i="2"/>
  <c r="VU236" i="2"/>
  <c r="VV236" i="2"/>
  <c r="VU237" i="2"/>
  <c r="VV237" i="2"/>
  <c r="VU238" i="2"/>
  <c r="VV238" i="2"/>
  <c r="VU239" i="2"/>
  <c r="VV239" i="2"/>
  <c r="VU240" i="2"/>
  <c r="VV240" i="2"/>
  <c r="VU242" i="2"/>
  <c r="VV242" i="2"/>
  <c r="VU243" i="2"/>
  <c r="VV243" i="2"/>
  <c r="VU244" i="2"/>
  <c r="VV244" i="2"/>
  <c r="VU245" i="2"/>
  <c r="VV245" i="2"/>
  <c r="VU246" i="2"/>
  <c r="VV246" i="2"/>
  <c r="VU247" i="2"/>
  <c r="VV247" i="2"/>
  <c r="VU248" i="2"/>
  <c r="VV248" i="2"/>
  <c r="VU249" i="2"/>
  <c r="VV249" i="2"/>
  <c r="VU250" i="2"/>
  <c r="VV250" i="2"/>
  <c r="VU251" i="2"/>
  <c r="VV251" i="2"/>
  <c r="VU252" i="2"/>
  <c r="VV252" i="2"/>
  <c r="VU253" i="2"/>
  <c r="VV253" i="2"/>
  <c r="VU254" i="2"/>
  <c r="VV254" i="2"/>
  <c r="VU255" i="2"/>
  <c r="VV255" i="2"/>
  <c r="VU256" i="2"/>
  <c r="VV256" i="2"/>
  <c r="VU257" i="2"/>
  <c r="VV257" i="2"/>
  <c r="VU258" i="2"/>
  <c r="VV258" i="2"/>
  <c r="VU259" i="2"/>
  <c r="VV259" i="2"/>
  <c r="VU260" i="2"/>
  <c r="VV260" i="2"/>
  <c r="VU261" i="2"/>
  <c r="VV261" i="2"/>
  <c r="VU262" i="2"/>
  <c r="VV262" i="2"/>
  <c r="VU263" i="2"/>
  <c r="VV263" i="2"/>
  <c r="VU264" i="2"/>
  <c r="VV264" i="2"/>
  <c r="VU265" i="2"/>
  <c r="VV265" i="2"/>
  <c r="VU266" i="2"/>
  <c r="VV266" i="2"/>
  <c r="VU267" i="2"/>
  <c r="VV267" i="2"/>
  <c r="VU268" i="2"/>
  <c r="VV268" i="2"/>
  <c r="VU269" i="2"/>
  <c r="VV269" i="2"/>
  <c r="VU270" i="2"/>
  <c r="VV270" i="2"/>
  <c r="VU271" i="2"/>
  <c r="VV271" i="2"/>
  <c r="VU272" i="2"/>
  <c r="VV272" i="2"/>
  <c r="VU273" i="2"/>
  <c r="VV273" i="2"/>
  <c r="VU274" i="2"/>
  <c r="VV274" i="2"/>
  <c r="VU275" i="2"/>
  <c r="VV275" i="2"/>
  <c r="VU276" i="2"/>
  <c r="VV276" i="2"/>
  <c r="VU277" i="2"/>
  <c r="VV277" i="2"/>
  <c r="VU278" i="2"/>
  <c r="VV278" i="2"/>
  <c r="VU280" i="2"/>
  <c r="VV280" i="2"/>
  <c r="VU281" i="2"/>
  <c r="VV281" i="2"/>
  <c r="VU282" i="2"/>
  <c r="VV282" i="2"/>
  <c r="VU283" i="2"/>
  <c r="VV283" i="2"/>
  <c r="VU284" i="2"/>
  <c r="VV284" i="2"/>
  <c r="VU285" i="2"/>
  <c r="VV285" i="2"/>
  <c r="VU286" i="2"/>
  <c r="VV286" i="2"/>
  <c r="VU287" i="2"/>
  <c r="VV287" i="2"/>
  <c r="VU288" i="2"/>
  <c r="VV288" i="2"/>
  <c r="VU289" i="2"/>
  <c r="VV289" i="2"/>
  <c r="VU290" i="2"/>
  <c r="VV290" i="2"/>
  <c r="VU291" i="2"/>
  <c r="VV291" i="2"/>
  <c r="VU292" i="2"/>
  <c r="VV292" i="2"/>
  <c r="VU293" i="2"/>
  <c r="VV293" i="2"/>
  <c r="VU294" i="2"/>
  <c r="VV294" i="2"/>
  <c r="VU295" i="2"/>
  <c r="VV295" i="2"/>
  <c r="VU296" i="2"/>
  <c r="VV296" i="2"/>
  <c r="VU297" i="2"/>
  <c r="VV297" i="2"/>
  <c r="VU298" i="2"/>
  <c r="VV298" i="2"/>
  <c r="VU299" i="2"/>
  <c r="VV299" i="2"/>
  <c r="VU300" i="2"/>
  <c r="VV300" i="2"/>
  <c r="VU301" i="2"/>
  <c r="VV301" i="2"/>
  <c r="VU302" i="2"/>
  <c r="VV302" i="2"/>
  <c r="VU303" i="2"/>
  <c r="VV303" i="2"/>
  <c r="VU304" i="2"/>
  <c r="VV304" i="2"/>
  <c r="VU305" i="2"/>
  <c r="VV305" i="2"/>
  <c r="VU306" i="2"/>
  <c r="VV306" i="2"/>
  <c r="VU307" i="2"/>
  <c r="VV307" i="2"/>
  <c r="VU308" i="2"/>
  <c r="VV308" i="2"/>
  <c r="VU309" i="2"/>
  <c r="VV309" i="2"/>
  <c r="VU310" i="2"/>
  <c r="VV310" i="2"/>
  <c r="VU311" i="2"/>
  <c r="VV311" i="2"/>
  <c r="VU312" i="2"/>
  <c r="VV312" i="2"/>
  <c r="VU313" i="2"/>
  <c r="VV313" i="2"/>
  <c r="VU314" i="2"/>
  <c r="VV314" i="2"/>
  <c r="VU315" i="2"/>
  <c r="VV315" i="2"/>
  <c r="VU316" i="2"/>
  <c r="VV316" i="2"/>
  <c r="VU318" i="2"/>
  <c r="VV318" i="2"/>
  <c r="VU319" i="2"/>
  <c r="VV319" i="2"/>
  <c r="VU320" i="2"/>
  <c r="VV320" i="2"/>
  <c r="VU321" i="2"/>
  <c r="VV321" i="2"/>
  <c r="VU322" i="2"/>
  <c r="VV322" i="2"/>
  <c r="VU323" i="2"/>
  <c r="VV323" i="2"/>
  <c r="VU324" i="2"/>
  <c r="VV324" i="2"/>
  <c r="VU325" i="2"/>
  <c r="VV325" i="2"/>
  <c r="VU326" i="2"/>
  <c r="VV326" i="2"/>
  <c r="VU327" i="2"/>
  <c r="VV327" i="2"/>
  <c r="VU328" i="2"/>
  <c r="VV328" i="2"/>
  <c r="VU329" i="2"/>
  <c r="VV329" i="2"/>
  <c r="VU330" i="2"/>
  <c r="VV330" i="2"/>
  <c r="VU331" i="2"/>
  <c r="VV331" i="2"/>
  <c r="VU332" i="2"/>
  <c r="VV332" i="2"/>
  <c r="VU333" i="2"/>
  <c r="VV333" i="2"/>
  <c r="VU334" i="2"/>
  <c r="VV334" i="2"/>
  <c r="VU335" i="2"/>
  <c r="VV335" i="2"/>
  <c r="VU336" i="2"/>
  <c r="VV336" i="2"/>
  <c r="VU337" i="2"/>
  <c r="VV337" i="2"/>
  <c r="VU338" i="2"/>
  <c r="VV338" i="2"/>
  <c r="VU339" i="2"/>
  <c r="VV339" i="2"/>
  <c r="VU340" i="2"/>
  <c r="VV340" i="2"/>
  <c r="VU341" i="2"/>
  <c r="VV341" i="2"/>
  <c r="VU342" i="2"/>
  <c r="VV342" i="2"/>
  <c r="VU343" i="2"/>
  <c r="VV343" i="2"/>
  <c r="VU344" i="2"/>
  <c r="VV344" i="2"/>
  <c r="VU345" i="2"/>
  <c r="VV345" i="2"/>
  <c r="VU346" i="2"/>
  <c r="VV346" i="2"/>
  <c r="VU347" i="2"/>
  <c r="VV347" i="2"/>
  <c r="VU348" i="2"/>
  <c r="VV348" i="2"/>
  <c r="VU349" i="2"/>
  <c r="VV349" i="2"/>
  <c r="VU350" i="2"/>
  <c r="VV350" i="2"/>
  <c r="VU351" i="2"/>
  <c r="VV351" i="2"/>
  <c r="VU352" i="2"/>
  <c r="VV352" i="2"/>
  <c r="VU353" i="2"/>
  <c r="VV353" i="2"/>
  <c r="VU354" i="2"/>
  <c r="VV354" i="2"/>
  <c r="VU356" i="2"/>
  <c r="VV356" i="2"/>
  <c r="VU357" i="2"/>
  <c r="VV357" i="2"/>
  <c r="VU358" i="2"/>
  <c r="VV358" i="2"/>
  <c r="VU359" i="2"/>
  <c r="VV359" i="2"/>
  <c r="VU360" i="2"/>
  <c r="VV360" i="2"/>
  <c r="VU361" i="2"/>
  <c r="VV361" i="2"/>
  <c r="VU362" i="2"/>
  <c r="VV362" i="2"/>
  <c r="VU363" i="2"/>
  <c r="VV363" i="2"/>
  <c r="VU364" i="2"/>
  <c r="VV364" i="2"/>
  <c r="VU365" i="2"/>
  <c r="VV365" i="2"/>
  <c r="VU366" i="2"/>
  <c r="VV366" i="2"/>
  <c r="VU367" i="2"/>
  <c r="VV367" i="2"/>
  <c r="VU368" i="2"/>
  <c r="VV368" i="2"/>
  <c r="VU369" i="2"/>
  <c r="VV369" i="2"/>
  <c r="VU370" i="2"/>
  <c r="VV370" i="2"/>
  <c r="VU371" i="2"/>
  <c r="VV371" i="2"/>
  <c r="VU372" i="2"/>
  <c r="VV372" i="2"/>
  <c r="VU373" i="2"/>
  <c r="VV373" i="2"/>
  <c r="VU374" i="2"/>
  <c r="VV374" i="2"/>
  <c r="VU375" i="2"/>
  <c r="VV375" i="2"/>
  <c r="VU376" i="2"/>
  <c r="VV376" i="2"/>
  <c r="VU377" i="2"/>
  <c r="VV377" i="2"/>
  <c r="VU378" i="2"/>
  <c r="VV378" i="2"/>
  <c r="VU379" i="2"/>
  <c r="VV379" i="2"/>
  <c r="VU380" i="2"/>
  <c r="VV380" i="2"/>
  <c r="VU381" i="2"/>
  <c r="VV381" i="2"/>
  <c r="VU382" i="2"/>
  <c r="VV382" i="2"/>
  <c r="VU383" i="2"/>
  <c r="VV383" i="2"/>
  <c r="VU384" i="2"/>
  <c r="VV384" i="2"/>
  <c r="VU385" i="2"/>
  <c r="VV385" i="2"/>
  <c r="VU386" i="2"/>
  <c r="VV386" i="2"/>
  <c r="VU387" i="2"/>
  <c r="VV387" i="2"/>
  <c r="VU388" i="2"/>
  <c r="VV388" i="2"/>
  <c r="VU389" i="2"/>
  <c r="VV389" i="2"/>
  <c r="VU390" i="2"/>
  <c r="VV390" i="2"/>
  <c r="VU391" i="2"/>
  <c r="VV391" i="2"/>
  <c r="VU392" i="2"/>
  <c r="VV392" i="2"/>
  <c r="VU394" i="2"/>
  <c r="VV394" i="2"/>
  <c r="VU395" i="2"/>
  <c r="VV395" i="2"/>
  <c r="VU396" i="2"/>
  <c r="VV396" i="2"/>
  <c r="VU397" i="2"/>
  <c r="VV397" i="2"/>
  <c r="VU398" i="2"/>
  <c r="VV398" i="2"/>
  <c r="VU399" i="2"/>
  <c r="VV399" i="2"/>
  <c r="VU400" i="2"/>
  <c r="VV400" i="2"/>
  <c r="VU401" i="2"/>
  <c r="VV401" i="2"/>
  <c r="VU402" i="2"/>
  <c r="VV402" i="2"/>
  <c r="VU403" i="2"/>
  <c r="VV403" i="2"/>
  <c r="VU404" i="2"/>
  <c r="VV404" i="2"/>
  <c r="VU405" i="2"/>
  <c r="VV405" i="2"/>
  <c r="VU406" i="2"/>
  <c r="VV406" i="2"/>
  <c r="VU407" i="2"/>
  <c r="VV407" i="2"/>
  <c r="VU408" i="2"/>
  <c r="VV408" i="2"/>
  <c r="VU409" i="2"/>
  <c r="VV409" i="2"/>
  <c r="VU410" i="2"/>
  <c r="VV410" i="2"/>
  <c r="VU411" i="2"/>
  <c r="VV411" i="2"/>
  <c r="VU412" i="2"/>
  <c r="VV412" i="2"/>
  <c r="VU413" i="2"/>
  <c r="VV413" i="2"/>
  <c r="VU414" i="2"/>
  <c r="VV414" i="2"/>
  <c r="VU415" i="2"/>
  <c r="VV415" i="2"/>
  <c r="VU416" i="2"/>
  <c r="VV416" i="2"/>
  <c r="VU417" i="2"/>
  <c r="VV417" i="2"/>
  <c r="VU418" i="2"/>
  <c r="VV418" i="2"/>
  <c r="VU419" i="2"/>
  <c r="VV419" i="2"/>
  <c r="VU420" i="2"/>
  <c r="VV420" i="2"/>
  <c r="VU421" i="2"/>
  <c r="VV421" i="2"/>
  <c r="VU422" i="2"/>
  <c r="VV422" i="2"/>
  <c r="VU423" i="2"/>
  <c r="VV423" i="2"/>
  <c r="VU424" i="2"/>
  <c r="VV424" i="2"/>
  <c r="VU425" i="2"/>
  <c r="VV425" i="2"/>
  <c r="VU426" i="2"/>
  <c r="VV426" i="2"/>
  <c r="VU427" i="2"/>
  <c r="VV427" i="2"/>
  <c r="VU428" i="2"/>
  <c r="VV428" i="2"/>
  <c r="VU429" i="2"/>
  <c r="VV429" i="2"/>
  <c r="VU430" i="2"/>
  <c r="VV430" i="2"/>
  <c r="VU432" i="2"/>
  <c r="VV432" i="2"/>
  <c r="VU433" i="2"/>
  <c r="VV433" i="2"/>
  <c r="VU434" i="2"/>
  <c r="VV434" i="2"/>
  <c r="VU435" i="2"/>
  <c r="VV435" i="2"/>
  <c r="VU436" i="2"/>
  <c r="VV436" i="2"/>
  <c r="VU437" i="2"/>
  <c r="VV437" i="2"/>
  <c r="VU438" i="2"/>
  <c r="VV438" i="2"/>
  <c r="VU439" i="2"/>
  <c r="VV439" i="2"/>
  <c r="VU440" i="2"/>
  <c r="VV440" i="2"/>
  <c r="VU441" i="2"/>
  <c r="VV441" i="2"/>
  <c r="VU442" i="2"/>
  <c r="VV442" i="2"/>
  <c r="VU443" i="2"/>
  <c r="VV443" i="2"/>
  <c r="VU444" i="2"/>
  <c r="VV444" i="2"/>
  <c r="VU445" i="2"/>
  <c r="VV445" i="2"/>
  <c r="VU446" i="2"/>
  <c r="VV446" i="2"/>
  <c r="VU447" i="2"/>
  <c r="VV447" i="2"/>
  <c r="VU448" i="2"/>
  <c r="VV448" i="2"/>
  <c r="VU449" i="2"/>
  <c r="VV449" i="2"/>
  <c r="VU450" i="2"/>
  <c r="VV450" i="2"/>
  <c r="VU451" i="2"/>
  <c r="VV451" i="2"/>
  <c r="VU452" i="2"/>
  <c r="VV452" i="2"/>
  <c r="VU453" i="2"/>
  <c r="VV453" i="2"/>
  <c r="VU454" i="2"/>
  <c r="VV454" i="2"/>
  <c r="VU455" i="2"/>
  <c r="VV455" i="2"/>
  <c r="VU456" i="2"/>
  <c r="VV456" i="2"/>
  <c r="VU457" i="2"/>
  <c r="VV457" i="2"/>
  <c r="VU458" i="2"/>
  <c r="VV458" i="2"/>
  <c r="VU459" i="2"/>
  <c r="VV459" i="2"/>
  <c r="VU460" i="2"/>
  <c r="VV460" i="2"/>
  <c r="VU461" i="2"/>
  <c r="VV461" i="2"/>
  <c r="VU462" i="2"/>
  <c r="VV462" i="2"/>
  <c r="VU463" i="2"/>
  <c r="VV463" i="2"/>
  <c r="VU464" i="2"/>
  <c r="VV464" i="2"/>
  <c r="VU465" i="2"/>
  <c r="VV465" i="2"/>
  <c r="VU466" i="2"/>
  <c r="VV466" i="2"/>
  <c r="VU467" i="2"/>
  <c r="VV467" i="2"/>
  <c r="VU468" i="2"/>
  <c r="VV468" i="2"/>
  <c r="VV15" i="2"/>
  <c r="VV16" i="2"/>
  <c r="VV17" i="2"/>
  <c r="VV18" i="2"/>
  <c r="VV19" i="2"/>
  <c r="VV20" i="2"/>
  <c r="VV21" i="2"/>
  <c r="VV22" i="2"/>
  <c r="VV23" i="2"/>
  <c r="VV24" i="2"/>
  <c r="VV25" i="2"/>
  <c r="VV26" i="2"/>
  <c r="VV27" i="2"/>
  <c r="VV28" i="2"/>
  <c r="VV29" i="2"/>
  <c r="VV30" i="2"/>
  <c r="VV31" i="2"/>
  <c r="VV32" i="2"/>
  <c r="VV33" i="2"/>
  <c r="VV34" i="2"/>
  <c r="VV35" i="2"/>
  <c r="VV36" i="2"/>
  <c r="VV37" i="2"/>
  <c r="VV38" i="2"/>
  <c r="VV39" i="2"/>
  <c r="VV40" i="2"/>
  <c r="VV41" i="2"/>
  <c r="VV42" i="2"/>
  <c r="VV43" i="2"/>
  <c r="VV44" i="2"/>
  <c r="VV45" i="2"/>
  <c r="VV46" i="2"/>
  <c r="VV47" i="2"/>
  <c r="VV48" i="2"/>
  <c r="VV49" i="2"/>
  <c r="VV50" i="2"/>
  <c r="VV14" i="2"/>
  <c r="VU14" i="2"/>
  <c r="VE52" i="2"/>
  <c r="VF52" i="2"/>
  <c r="VE53" i="2"/>
  <c r="VF53" i="2"/>
  <c r="VE54" i="2"/>
  <c r="VF54" i="2"/>
  <c r="VE55" i="2"/>
  <c r="VF55" i="2"/>
  <c r="VE56" i="2"/>
  <c r="VF56" i="2"/>
  <c r="VE57" i="2"/>
  <c r="VF57" i="2"/>
  <c r="VE58" i="2"/>
  <c r="VF58" i="2"/>
  <c r="VE59" i="2"/>
  <c r="VF59" i="2"/>
  <c r="VE60" i="2"/>
  <c r="VF60" i="2"/>
  <c r="VE61" i="2"/>
  <c r="VF61" i="2"/>
  <c r="VE62" i="2"/>
  <c r="VF62" i="2"/>
  <c r="VE63" i="2"/>
  <c r="VF63" i="2"/>
  <c r="VE64" i="2"/>
  <c r="VF64" i="2"/>
  <c r="VE65" i="2"/>
  <c r="VF65" i="2"/>
  <c r="VE66" i="2"/>
  <c r="VF66" i="2"/>
  <c r="VE67" i="2"/>
  <c r="VF67" i="2"/>
  <c r="VE68" i="2"/>
  <c r="VF68" i="2"/>
  <c r="VE69" i="2"/>
  <c r="VF69" i="2"/>
  <c r="VE70" i="2"/>
  <c r="VF70" i="2"/>
  <c r="VE71" i="2"/>
  <c r="VF71" i="2"/>
  <c r="VE72" i="2"/>
  <c r="VF72" i="2"/>
  <c r="VE73" i="2"/>
  <c r="VF73" i="2"/>
  <c r="VE74" i="2"/>
  <c r="VF74" i="2"/>
  <c r="VE75" i="2"/>
  <c r="VF75" i="2"/>
  <c r="VE76" i="2"/>
  <c r="VF76" i="2"/>
  <c r="VE77" i="2"/>
  <c r="VF77" i="2"/>
  <c r="VE78" i="2"/>
  <c r="VF78" i="2"/>
  <c r="VE79" i="2"/>
  <c r="VF79" i="2"/>
  <c r="VE80" i="2"/>
  <c r="VF80" i="2"/>
  <c r="VE81" i="2"/>
  <c r="VF81" i="2"/>
  <c r="VE82" i="2"/>
  <c r="VF82" i="2"/>
  <c r="VE83" i="2"/>
  <c r="VF83" i="2"/>
  <c r="VE84" i="2"/>
  <c r="VF84" i="2"/>
  <c r="VE85" i="2"/>
  <c r="VF85" i="2"/>
  <c r="VE86" i="2"/>
  <c r="VF86" i="2"/>
  <c r="VE87" i="2"/>
  <c r="VF87" i="2"/>
  <c r="VE88" i="2"/>
  <c r="VF88" i="2"/>
  <c r="VE90" i="2"/>
  <c r="VF90" i="2"/>
  <c r="VE91" i="2"/>
  <c r="VF91" i="2"/>
  <c r="VE92" i="2"/>
  <c r="VF92" i="2"/>
  <c r="VE93" i="2"/>
  <c r="VF93" i="2"/>
  <c r="VE94" i="2"/>
  <c r="VF94" i="2"/>
  <c r="VE95" i="2"/>
  <c r="VF95" i="2"/>
  <c r="VE96" i="2"/>
  <c r="VF96" i="2"/>
  <c r="VE97" i="2"/>
  <c r="VF97" i="2"/>
  <c r="VE98" i="2"/>
  <c r="VF98" i="2"/>
  <c r="VE99" i="2"/>
  <c r="VF99" i="2"/>
  <c r="VE100" i="2"/>
  <c r="VF100" i="2"/>
  <c r="VE101" i="2"/>
  <c r="VF101" i="2"/>
  <c r="VE102" i="2"/>
  <c r="VF102" i="2"/>
  <c r="VE103" i="2"/>
  <c r="VF103" i="2"/>
  <c r="VE104" i="2"/>
  <c r="VF104" i="2"/>
  <c r="VE105" i="2"/>
  <c r="VF105" i="2"/>
  <c r="VE106" i="2"/>
  <c r="VF106" i="2"/>
  <c r="VE107" i="2"/>
  <c r="VF107" i="2"/>
  <c r="VE108" i="2"/>
  <c r="VF108" i="2"/>
  <c r="VE109" i="2"/>
  <c r="VF109" i="2"/>
  <c r="VE110" i="2"/>
  <c r="VF110" i="2"/>
  <c r="VE111" i="2"/>
  <c r="VF111" i="2"/>
  <c r="VE112" i="2"/>
  <c r="VF112" i="2"/>
  <c r="VE113" i="2"/>
  <c r="VF113" i="2"/>
  <c r="VE114" i="2"/>
  <c r="VF114" i="2"/>
  <c r="VE115" i="2"/>
  <c r="VF115" i="2"/>
  <c r="VE116" i="2"/>
  <c r="VF116" i="2"/>
  <c r="VE117" i="2"/>
  <c r="VF117" i="2"/>
  <c r="VE118" i="2"/>
  <c r="VF118" i="2"/>
  <c r="VE119" i="2"/>
  <c r="VF119" i="2"/>
  <c r="VE120" i="2"/>
  <c r="VF120" i="2"/>
  <c r="VE121" i="2"/>
  <c r="VF121" i="2"/>
  <c r="VE122" i="2"/>
  <c r="VF122" i="2"/>
  <c r="VE123" i="2"/>
  <c r="VF123" i="2"/>
  <c r="VE124" i="2"/>
  <c r="VF124" i="2"/>
  <c r="VE125" i="2"/>
  <c r="VF125" i="2"/>
  <c r="VE126" i="2"/>
  <c r="VF126" i="2"/>
  <c r="VE128" i="2"/>
  <c r="VF128" i="2"/>
  <c r="VE129" i="2"/>
  <c r="VF129" i="2"/>
  <c r="VE130" i="2"/>
  <c r="VF130" i="2"/>
  <c r="VE131" i="2"/>
  <c r="VF131" i="2"/>
  <c r="VE132" i="2"/>
  <c r="VF132" i="2"/>
  <c r="VE133" i="2"/>
  <c r="VF133" i="2"/>
  <c r="VE134" i="2"/>
  <c r="VF134" i="2"/>
  <c r="VE135" i="2"/>
  <c r="VF135" i="2"/>
  <c r="VE136" i="2"/>
  <c r="VF136" i="2"/>
  <c r="VE137" i="2"/>
  <c r="VF137" i="2"/>
  <c r="VE138" i="2"/>
  <c r="VF138" i="2"/>
  <c r="VE139" i="2"/>
  <c r="VF139" i="2"/>
  <c r="VE140" i="2"/>
  <c r="VF140" i="2"/>
  <c r="VE141" i="2"/>
  <c r="VF141" i="2"/>
  <c r="VE142" i="2"/>
  <c r="VF142" i="2"/>
  <c r="VE143" i="2"/>
  <c r="VF143" i="2"/>
  <c r="VE144" i="2"/>
  <c r="VF144" i="2"/>
  <c r="VE145" i="2"/>
  <c r="VF145" i="2"/>
  <c r="VE146" i="2"/>
  <c r="VF146" i="2"/>
  <c r="VE147" i="2"/>
  <c r="VF147" i="2"/>
  <c r="VE148" i="2"/>
  <c r="VF148" i="2"/>
  <c r="VE149" i="2"/>
  <c r="VF149" i="2"/>
  <c r="VE150" i="2"/>
  <c r="VF150" i="2"/>
  <c r="VE151" i="2"/>
  <c r="VF151" i="2"/>
  <c r="VE152" i="2"/>
  <c r="VF152" i="2"/>
  <c r="VE153" i="2"/>
  <c r="VF153" i="2"/>
  <c r="VE154" i="2"/>
  <c r="VF154" i="2"/>
  <c r="VE155" i="2"/>
  <c r="VF155" i="2"/>
  <c r="VE156" i="2"/>
  <c r="VF156" i="2"/>
  <c r="VE157" i="2"/>
  <c r="VF157" i="2"/>
  <c r="VE158" i="2"/>
  <c r="VF158" i="2"/>
  <c r="VE159" i="2"/>
  <c r="VF159" i="2"/>
  <c r="VE160" i="2"/>
  <c r="VF160" i="2"/>
  <c r="VE161" i="2"/>
  <c r="VF161" i="2"/>
  <c r="VE162" i="2"/>
  <c r="VF162" i="2"/>
  <c r="VE163" i="2"/>
  <c r="VF163" i="2"/>
  <c r="VE164" i="2"/>
  <c r="VF164" i="2"/>
  <c r="VE166" i="2"/>
  <c r="VF166" i="2"/>
  <c r="VE167" i="2"/>
  <c r="VF167" i="2"/>
  <c r="VE168" i="2"/>
  <c r="VF168" i="2"/>
  <c r="VE169" i="2"/>
  <c r="VF169" i="2"/>
  <c r="VE170" i="2"/>
  <c r="VF170" i="2"/>
  <c r="VE171" i="2"/>
  <c r="VF171" i="2"/>
  <c r="VE172" i="2"/>
  <c r="VF172" i="2"/>
  <c r="VE173" i="2"/>
  <c r="VF173" i="2"/>
  <c r="VE174" i="2"/>
  <c r="VF174" i="2"/>
  <c r="VE175" i="2"/>
  <c r="VF175" i="2"/>
  <c r="VE176" i="2"/>
  <c r="VF176" i="2"/>
  <c r="VE177" i="2"/>
  <c r="VF177" i="2"/>
  <c r="VE178" i="2"/>
  <c r="VF178" i="2"/>
  <c r="VE179" i="2"/>
  <c r="VF179" i="2"/>
  <c r="VE180" i="2"/>
  <c r="VF180" i="2"/>
  <c r="VE181" i="2"/>
  <c r="VF181" i="2"/>
  <c r="VE182" i="2"/>
  <c r="VF182" i="2"/>
  <c r="VE183" i="2"/>
  <c r="VF183" i="2"/>
  <c r="VE184" i="2"/>
  <c r="VF184" i="2"/>
  <c r="VE185" i="2"/>
  <c r="VF185" i="2"/>
  <c r="VE186" i="2"/>
  <c r="VF186" i="2"/>
  <c r="VE187" i="2"/>
  <c r="VF187" i="2"/>
  <c r="VE188" i="2"/>
  <c r="VF188" i="2"/>
  <c r="VE189" i="2"/>
  <c r="VF189" i="2"/>
  <c r="VE190" i="2"/>
  <c r="VF190" i="2"/>
  <c r="VE191" i="2"/>
  <c r="VF191" i="2"/>
  <c r="VE192" i="2"/>
  <c r="VF192" i="2"/>
  <c r="VE193" i="2"/>
  <c r="VF193" i="2"/>
  <c r="VE194" i="2"/>
  <c r="VF194" i="2"/>
  <c r="VE195" i="2"/>
  <c r="VF195" i="2"/>
  <c r="VE196" i="2"/>
  <c r="VF196" i="2"/>
  <c r="VE197" i="2"/>
  <c r="VF197" i="2"/>
  <c r="VE198" i="2"/>
  <c r="VF198" i="2"/>
  <c r="VE199" i="2"/>
  <c r="VF199" i="2"/>
  <c r="VE200" i="2"/>
  <c r="VF200" i="2"/>
  <c r="VE201" i="2"/>
  <c r="VF201" i="2"/>
  <c r="VE202" i="2"/>
  <c r="VF202" i="2"/>
  <c r="VE204" i="2"/>
  <c r="VF204" i="2"/>
  <c r="VE205" i="2"/>
  <c r="VF205" i="2"/>
  <c r="VE206" i="2"/>
  <c r="VF206" i="2"/>
  <c r="VE207" i="2"/>
  <c r="VF207" i="2"/>
  <c r="VE208" i="2"/>
  <c r="VF208" i="2"/>
  <c r="VE209" i="2"/>
  <c r="VF209" i="2"/>
  <c r="VE210" i="2"/>
  <c r="VF210" i="2"/>
  <c r="VE211" i="2"/>
  <c r="VF211" i="2"/>
  <c r="VE212" i="2"/>
  <c r="VF212" i="2"/>
  <c r="VE213" i="2"/>
  <c r="VF213" i="2"/>
  <c r="VE214" i="2"/>
  <c r="VF214" i="2"/>
  <c r="VE215" i="2"/>
  <c r="VF215" i="2"/>
  <c r="VE216" i="2"/>
  <c r="VF216" i="2"/>
  <c r="VE217" i="2"/>
  <c r="VF217" i="2"/>
  <c r="VE218" i="2"/>
  <c r="VF218" i="2"/>
  <c r="VE219" i="2"/>
  <c r="VF219" i="2"/>
  <c r="VE220" i="2"/>
  <c r="VF220" i="2"/>
  <c r="VE221" i="2"/>
  <c r="VF221" i="2"/>
  <c r="VE222" i="2"/>
  <c r="VF222" i="2"/>
  <c r="VE223" i="2"/>
  <c r="VF223" i="2"/>
  <c r="VE224" i="2"/>
  <c r="VF224" i="2"/>
  <c r="VE225" i="2"/>
  <c r="VF225" i="2"/>
  <c r="VE226" i="2"/>
  <c r="VF226" i="2"/>
  <c r="VE227" i="2"/>
  <c r="VF227" i="2"/>
  <c r="VE228" i="2"/>
  <c r="VF228" i="2"/>
  <c r="VE229" i="2"/>
  <c r="VF229" i="2"/>
  <c r="VE230" i="2"/>
  <c r="VF230" i="2"/>
  <c r="VE231" i="2"/>
  <c r="VF231" i="2"/>
  <c r="VE232" i="2"/>
  <c r="VF232" i="2"/>
  <c r="VE233" i="2"/>
  <c r="VF233" i="2"/>
  <c r="VE234" i="2"/>
  <c r="VF234" i="2"/>
  <c r="VE235" i="2"/>
  <c r="VF235" i="2"/>
  <c r="VE236" i="2"/>
  <c r="VF236" i="2"/>
  <c r="VE237" i="2"/>
  <c r="VF237" i="2"/>
  <c r="VE238" i="2"/>
  <c r="VF238" i="2"/>
  <c r="VE239" i="2"/>
  <c r="VF239" i="2"/>
  <c r="VE240" i="2"/>
  <c r="VF240" i="2"/>
  <c r="VE242" i="2"/>
  <c r="VF242" i="2"/>
  <c r="VE243" i="2"/>
  <c r="VF243" i="2"/>
  <c r="VE244" i="2"/>
  <c r="VF244" i="2"/>
  <c r="VE245" i="2"/>
  <c r="VF245" i="2"/>
  <c r="VE246" i="2"/>
  <c r="VF246" i="2"/>
  <c r="VE247" i="2"/>
  <c r="VF247" i="2"/>
  <c r="VE248" i="2"/>
  <c r="VF248" i="2"/>
  <c r="VE249" i="2"/>
  <c r="VF249" i="2"/>
  <c r="VE250" i="2"/>
  <c r="VF250" i="2"/>
  <c r="VE251" i="2"/>
  <c r="VF251" i="2"/>
  <c r="VE252" i="2"/>
  <c r="VF252" i="2"/>
  <c r="VE253" i="2"/>
  <c r="VF253" i="2"/>
  <c r="VE254" i="2"/>
  <c r="VF254" i="2"/>
  <c r="VE255" i="2"/>
  <c r="VF255" i="2"/>
  <c r="VE256" i="2"/>
  <c r="VF256" i="2"/>
  <c r="VE257" i="2"/>
  <c r="VF257" i="2"/>
  <c r="VE258" i="2"/>
  <c r="VF258" i="2"/>
  <c r="VE259" i="2"/>
  <c r="VF259" i="2"/>
  <c r="VE260" i="2"/>
  <c r="VF260" i="2"/>
  <c r="VE261" i="2"/>
  <c r="VF261" i="2"/>
  <c r="VE262" i="2"/>
  <c r="VF262" i="2"/>
  <c r="VE263" i="2"/>
  <c r="VF263" i="2"/>
  <c r="VE264" i="2"/>
  <c r="VF264" i="2"/>
  <c r="VE265" i="2"/>
  <c r="VF265" i="2"/>
  <c r="VE266" i="2"/>
  <c r="VF266" i="2"/>
  <c r="VE267" i="2"/>
  <c r="VF267" i="2"/>
  <c r="VE268" i="2"/>
  <c r="VF268" i="2"/>
  <c r="VE269" i="2"/>
  <c r="VF269" i="2"/>
  <c r="VE270" i="2"/>
  <c r="VF270" i="2"/>
  <c r="VE271" i="2"/>
  <c r="VF271" i="2"/>
  <c r="VE272" i="2"/>
  <c r="VF272" i="2"/>
  <c r="VE273" i="2"/>
  <c r="VF273" i="2"/>
  <c r="VE274" i="2"/>
  <c r="VF274" i="2"/>
  <c r="VE275" i="2"/>
  <c r="VF275" i="2"/>
  <c r="VE276" i="2"/>
  <c r="VF276" i="2"/>
  <c r="VE277" i="2"/>
  <c r="VF277" i="2"/>
  <c r="VE278" i="2"/>
  <c r="VF278" i="2"/>
  <c r="VE280" i="2"/>
  <c r="VF280" i="2"/>
  <c r="VE281" i="2"/>
  <c r="VF281" i="2"/>
  <c r="VE282" i="2"/>
  <c r="VF282" i="2"/>
  <c r="VE283" i="2"/>
  <c r="VF283" i="2"/>
  <c r="VE284" i="2"/>
  <c r="VF284" i="2"/>
  <c r="VE285" i="2"/>
  <c r="VF285" i="2"/>
  <c r="VE286" i="2"/>
  <c r="VF286" i="2"/>
  <c r="VE287" i="2"/>
  <c r="VF287" i="2"/>
  <c r="VE288" i="2"/>
  <c r="VF288" i="2"/>
  <c r="VE289" i="2"/>
  <c r="VF289" i="2"/>
  <c r="VE290" i="2"/>
  <c r="VF290" i="2"/>
  <c r="VE291" i="2"/>
  <c r="VF291" i="2"/>
  <c r="VE292" i="2"/>
  <c r="VF292" i="2"/>
  <c r="VE293" i="2"/>
  <c r="VF293" i="2"/>
  <c r="VE294" i="2"/>
  <c r="VF294" i="2"/>
  <c r="VE295" i="2"/>
  <c r="VF295" i="2"/>
  <c r="VE296" i="2"/>
  <c r="VF296" i="2"/>
  <c r="VE297" i="2"/>
  <c r="VF297" i="2"/>
  <c r="VE298" i="2"/>
  <c r="VF298" i="2"/>
  <c r="VE299" i="2"/>
  <c r="VF299" i="2"/>
  <c r="VE300" i="2"/>
  <c r="VF300" i="2"/>
  <c r="VE301" i="2"/>
  <c r="VF301" i="2"/>
  <c r="VE302" i="2"/>
  <c r="VF302" i="2"/>
  <c r="VE303" i="2"/>
  <c r="VF303" i="2"/>
  <c r="VE304" i="2"/>
  <c r="VF304" i="2"/>
  <c r="VE305" i="2"/>
  <c r="VF305" i="2"/>
  <c r="VE306" i="2"/>
  <c r="VF306" i="2"/>
  <c r="VE307" i="2"/>
  <c r="VF307" i="2"/>
  <c r="VE308" i="2"/>
  <c r="VF308" i="2"/>
  <c r="VE309" i="2"/>
  <c r="VF309" i="2"/>
  <c r="VE310" i="2"/>
  <c r="VF310" i="2"/>
  <c r="VE311" i="2"/>
  <c r="VF311" i="2"/>
  <c r="VE312" i="2"/>
  <c r="VF312" i="2"/>
  <c r="VE313" i="2"/>
  <c r="VF313" i="2"/>
  <c r="VE314" i="2"/>
  <c r="VF314" i="2"/>
  <c r="VE315" i="2"/>
  <c r="VF315" i="2"/>
  <c r="VE316" i="2"/>
  <c r="VF316" i="2"/>
  <c r="VE318" i="2"/>
  <c r="VF318" i="2"/>
  <c r="VE319" i="2"/>
  <c r="VF319" i="2"/>
  <c r="VE320" i="2"/>
  <c r="VF320" i="2"/>
  <c r="VE321" i="2"/>
  <c r="VF321" i="2"/>
  <c r="VE322" i="2"/>
  <c r="VF322" i="2"/>
  <c r="VE323" i="2"/>
  <c r="VF323" i="2"/>
  <c r="VE324" i="2"/>
  <c r="VF324" i="2"/>
  <c r="VE325" i="2"/>
  <c r="VF325" i="2"/>
  <c r="VE326" i="2"/>
  <c r="VF326" i="2"/>
  <c r="VE327" i="2"/>
  <c r="VF327" i="2"/>
  <c r="VE328" i="2"/>
  <c r="VF328" i="2"/>
  <c r="VE329" i="2"/>
  <c r="VF329" i="2"/>
  <c r="VE330" i="2"/>
  <c r="VF330" i="2"/>
  <c r="VE331" i="2"/>
  <c r="VF331" i="2"/>
  <c r="VE332" i="2"/>
  <c r="VF332" i="2"/>
  <c r="VE333" i="2"/>
  <c r="VF333" i="2"/>
  <c r="VE334" i="2"/>
  <c r="VF334" i="2"/>
  <c r="VE335" i="2"/>
  <c r="VF335" i="2"/>
  <c r="VE336" i="2"/>
  <c r="VF336" i="2"/>
  <c r="VE337" i="2"/>
  <c r="VF337" i="2"/>
  <c r="VE338" i="2"/>
  <c r="VF338" i="2"/>
  <c r="VE339" i="2"/>
  <c r="VF339" i="2"/>
  <c r="VE340" i="2"/>
  <c r="VF340" i="2"/>
  <c r="VE341" i="2"/>
  <c r="VF341" i="2"/>
  <c r="VE342" i="2"/>
  <c r="VF342" i="2"/>
  <c r="VE343" i="2"/>
  <c r="VF343" i="2"/>
  <c r="VE344" i="2"/>
  <c r="VF344" i="2"/>
  <c r="VE345" i="2"/>
  <c r="VF345" i="2"/>
  <c r="VE346" i="2"/>
  <c r="VF346" i="2"/>
  <c r="VE347" i="2"/>
  <c r="VF347" i="2"/>
  <c r="VE348" i="2"/>
  <c r="VF348" i="2"/>
  <c r="VE349" i="2"/>
  <c r="VF349" i="2"/>
  <c r="VE350" i="2"/>
  <c r="VF350" i="2"/>
  <c r="VE351" i="2"/>
  <c r="VF351" i="2"/>
  <c r="VE352" i="2"/>
  <c r="VF352" i="2"/>
  <c r="VE353" i="2"/>
  <c r="VF353" i="2"/>
  <c r="VE354" i="2"/>
  <c r="VF354" i="2"/>
  <c r="VE356" i="2"/>
  <c r="VF356" i="2"/>
  <c r="VE357" i="2"/>
  <c r="VF357" i="2"/>
  <c r="VE358" i="2"/>
  <c r="VF358" i="2"/>
  <c r="VE359" i="2"/>
  <c r="VF359" i="2"/>
  <c r="VE360" i="2"/>
  <c r="VF360" i="2"/>
  <c r="VE361" i="2"/>
  <c r="VF361" i="2"/>
  <c r="VE362" i="2"/>
  <c r="VF362" i="2"/>
  <c r="VE363" i="2"/>
  <c r="VF363" i="2"/>
  <c r="VE364" i="2"/>
  <c r="VF364" i="2"/>
  <c r="VE365" i="2"/>
  <c r="VF365" i="2"/>
  <c r="VE366" i="2"/>
  <c r="VF366" i="2"/>
  <c r="VE367" i="2"/>
  <c r="VF367" i="2"/>
  <c r="VE368" i="2"/>
  <c r="VF368" i="2"/>
  <c r="VE369" i="2"/>
  <c r="VF369" i="2"/>
  <c r="VE370" i="2"/>
  <c r="VF370" i="2"/>
  <c r="VE371" i="2"/>
  <c r="VF371" i="2"/>
  <c r="VE372" i="2"/>
  <c r="VF372" i="2"/>
  <c r="VE373" i="2"/>
  <c r="VF373" i="2"/>
  <c r="VE374" i="2"/>
  <c r="VF374" i="2"/>
  <c r="VE375" i="2"/>
  <c r="VF375" i="2"/>
  <c r="VE376" i="2"/>
  <c r="VF376" i="2"/>
  <c r="VE377" i="2"/>
  <c r="VF377" i="2"/>
  <c r="VE378" i="2"/>
  <c r="VF378" i="2"/>
  <c r="VE379" i="2"/>
  <c r="VF379" i="2"/>
  <c r="VE380" i="2"/>
  <c r="VF380" i="2"/>
  <c r="VE381" i="2"/>
  <c r="VF381" i="2"/>
  <c r="VE382" i="2"/>
  <c r="VF382" i="2"/>
  <c r="VE383" i="2"/>
  <c r="VF383" i="2"/>
  <c r="VE384" i="2"/>
  <c r="VF384" i="2"/>
  <c r="VE385" i="2"/>
  <c r="VF385" i="2"/>
  <c r="VE386" i="2"/>
  <c r="VF386" i="2"/>
  <c r="VE387" i="2"/>
  <c r="VF387" i="2"/>
  <c r="VE388" i="2"/>
  <c r="VF388" i="2"/>
  <c r="VE389" i="2"/>
  <c r="VF389" i="2"/>
  <c r="VE390" i="2"/>
  <c r="VF390" i="2"/>
  <c r="VE391" i="2"/>
  <c r="VF391" i="2"/>
  <c r="VE392" i="2"/>
  <c r="VF392" i="2"/>
  <c r="VE394" i="2"/>
  <c r="VF394" i="2"/>
  <c r="VE395" i="2"/>
  <c r="VF395" i="2"/>
  <c r="VE396" i="2"/>
  <c r="VF396" i="2"/>
  <c r="VE397" i="2"/>
  <c r="VF397" i="2"/>
  <c r="VE398" i="2"/>
  <c r="VF398" i="2"/>
  <c r="VE399" i="2"/>
  <c r="VF399" i="2"/>
  <c r="VE400" i="2"/>
  <c r="VF400" i="2"/>
  <c r="VE401" i="2"/>
  <c r="VF401" i="2"/>
  <c r="VE402" i="2"/>
  <c r="VF402" i="2"/>
  <c r="VE403" i="2"/>
  <c r="VF403" i="2"/>
  <c r="VE404" i="2"/>
  <c r="VF404" i="2"/>
  <c r="VE405" i="2"/>
  <c r="VF405" i="2"/>
  <c r="VE406" i="2"/>
  <c r="VF406" i="2"/>
  <c r="VE407" i="2"/>
  <c r="VF407" i="2"/>
  <c r="VE408" i="2"/>
  <c r="VF408" i="2"/>
  <c r="VE409" i="2"/>
  <c r="VF409" i="2"/>
  <c r="VE410" i="2"/>
  <c r="VF410" i="2"/>
  <c r="VE411" i="2"/>
  <c r="VF411" i="2"/>
  <c r="VE412" i="2"/>
  <c r="VF412" i="2"/>
  <c r="VE413" i="2"/>
  <c r="VF413" i="2"/>
  <c r="VE414" i="2"/>
  <c r="VF414" i="2"/>
  <c r="VE415" i="2"/>
  <c r="VF415" i="2"/>
  <c r="VE416" i="2"/>
  <c r="VF416" i="2"/>
  <c r="VE417" i="2"/>
  <c r="VF417" i="2"/>
  <c r="VE418" i="2"/>
  <c r="VF418" i="2"/>
  <c r="VE419" i="2"/>
  <c r="VF419" i="2"/>
  <c r="VE420" i="2"/>
  <c r="VF420" i="2"/>
  <c r="VE421" i="2"/>
  <c r="VF421" i="2"/>
  <c r="VE422" i="2"/>
  <c r="VF422" i="2"/>
  <c r="VE423" i="2"/>
  <c r="VF423" i="2"/>
  <c r="VE424" i="2"/>
  <c r="VF424" i="2"/>
  <c r="VE425" i="2"/>
  <c r="VF425" i="2"/>
  <c r="VE426" i="2"/>
  <c r="VF426" i="2"/>
  <c r="VE427" i="2"/>
  <c r="VF427" i="2"/>
  <c r="VE428" i="2"/>
  <c r="VF428" i="2"/>
  <c r="VE429" i="2"/>
  <c r="VF429" i="2"/>
  <c r="VE430" i="2"/>
  <c r="VF430" i="2"/>
  <c r="VE432" i="2"/>
  <c r="VF432" i="2"/>
  <c r="VE433" i="2"/>
  <c r="VF433" i="2"/>
  <c r="VE434" i="2"/>
  <c r="VF434" i="2"/>
  <c r="VE435" i="2"/>
  <c r="VF435" i="2"/>
  <c r="VE436" i="2"/>
  <c r="VF436" i="2"/>
  <c r="VE437" i="2"/>
  <c r="VF437" i="2"/>
  <c r="VE438" i="2"/>
  <c r="VF438" i="2"/>
  <c r="VE439" i="2"/>
  <c r="VF439" i="2"/>
  <c r="VE440" i="2"/>
  <c r="VF440" i="2"/>
  <c r="VE441" i="2"/>
  <c r="VF441" i="2"/>
  <c r="VE442" i="2"/>
  <c r="VF442" i="2"/>
  <c r="VE443" i="2"/>
  <c r="VF443" i="2"/>
  <c r="VE444" i="2"/>
  <c r="VF444" i="2"/>
  <c r="VE445" i="2"/>
  <c r="VF445" i="2"/>
  <c r="VE446" i="2"/>
  <c r="VF446" i="2"/>
  <c r="VE447" i="2"/>
  <c r="VF447" i="2"/>
  <c r="VE448" i="2"/>
  <c r="VF448" i="2"/>
  <c r="VE449" i="2"/>
  <c r="VF449" i="2"/>
  <c r="VE450" i="2"/>
  <c r="VF450" i="2"/>
  <c r="VE451" i="2"/>
  <c r="VF451" i="2"/>
  <c r="VE452" i="2"/>
  <c r="VF452" i="2"/>
  <c r="VE453" i="2"/>
  <c r="VF453" i="2"/>
  <c r="VE454" i="2"/>
  <c r="VF454" i="2"/>
  <c r="VE455" i="2"/>
  <c r="VF455" i="2"/>
  <c r="VE456" i="2"/>
  <c r="VF456" i="2"/>
  <c r="VE457" i="2"/>
  <c r="VF457" i="2"/>
  <c r="VE458" i="2"/>
  <c r="VF458" i="2"/>
  <c r="VE459" i="2"/>
  <c r="VF459" i="2"/>
  <c r="VE460" i="2"/>
  <c r="VF460" i="2"/>
  <c r="VE461" i="2"/>
  <c r="VF461" i="2"/>
  <c r="VE462" i="2"/>
  <c r="VF462" i="2"/>
  <c r="VE463" i="2"/>
  <c r="VF463" i="2"/>
  <c r="VE464" i="2"/>
  <c r="VF464" i="2"/>
  <c r="VE465" i="2"/>
  <c r="VF465" i="2"/>
  <c r="VE466" i="2"/>
  <c r="VF466" i="2"/>
  <c r="VE467" i="2"/>
  <c r="VF467" i="2"/>
  <c r="VE468" i="2"/>
  <c r="VF468" i="2"/>
  <c r="VF15" i="2"/>
  <c r="VF16" i="2"/>
  <c r="VF17" i="2"/>
  <c r="VF18" i="2"/>
  <c r="VF19" i="2"/>
  <c r="VF20" i="2"/>
  <c r="VF21" i="2"/>
  <c r="VF22" i="2"/>
  <c r="VF23" i="2"/>
  <c r="VF24" i="2"/>
  <c r="VF25" i="2"/>
  <c r="VF26" i="2"/>
  <c r="VF27" i="2"/>
  <c r="VF28" i="2"/>
  <c r="VF29" i="2"/>
  <c r="VF30" i="2"/>
  <c r="VF31" i="2"/>
  <c r="VF32" i="2"/>
  <c r="VF33" i="2"/>
  <c r="VF34" i="2"/>
  <c r="VF35" i="2"/>
  <c r="VF36" i="2"/>
  <c r="VF37" i="2"/>
  <c r="VF38" i="2"/>
  <c r="VF39" i="2"/>
  <c r="VF40" i="2"/>
  <c r="VF41" i="2"/>
  <c r="VF42" i="2"/>
  <c r="VF43" i="2"/>
  <c r="VF44" i="2"/>
  <c r="VF45" i="2"/>
  <c r="VF46" i="2"/>
  <c r="VF47" i="2"/>
  <c r="VF48" i="2"/>
  <c r="VF49" i="2"/>
  <c r="VF50" i="2"/>
  <c r="VF14" i="2"/>
  <c r="VE14" i="2"/>
  <c r="UO52" i="2"/>
  <c r="UP52" i="2"/>
  <c r="UO53" i="2"/>
  <c r="UP53" i="2"/>
  <c r="UO54" i="2"/>
  <c r="UP54" i="2"/>
  <c r="UO55" i="2"/>
  <c r="UP55" i="2"/>
  <c r="UO56" i="2"/>
  <c r="UP56" i="2"/>
  <c r="UO57" i="2"/>
  <c r="UP57" i="2"/>
  <c r="UO58" i="2"/>
  <c r="UP58" i="2"/>
  <c r="UO59" i="2"/>
  <c r="UP59" i="2"/>
  <c r="UO60" i="2"/>
  <c r="UP60" i="2"/>
  <c r="UO61" i="2"/>
  <c r="UP61" i="2"/>
  <c r="UO62" i="2"/>
  <c r="UP62" i="2"/>
  <c r="UO63" i="2"/>
  <c r="UP63" i="2"/>
  <c r="UO64" i="2"/>
  <c r="UP64" i="2"/>
  <c r="UO65" i="2"/>
  <c r="UP65" i="2"/>
  <c r="UO66" i="2"/>
  <c r="UP66" i="2"/>
  <c r="UO67" i="2"/>
  <c r="UP67" i="2"/>
  <c r="UO68" i="2"/>
  <c r="UP68" i="2"/>
  <c r="UO69" i="2"/>
  <c r="UP69" i="2"/>
  <c r="UO70" i="2"/>
  <c r="UP70" i="2"/>
  <c r="UO71" i="2"/>
  <c r="UP71" i="2"/>
  <c r="UO72" i="2"/>
  <c r="UP72" i="2"/>
  <c r="UO73" i="2"/>
  <c r="UP73" i="2"/>
  <c r="UO74" i="2"/>
  <c r="UP74" i="2"/>
  <c r="UO75" i="2"/>
  <c r="UP75" i="2"/>
  <c r="UO76" i="2"/>
  <c r="UP76" i="2"/>
  <c r="UO77" i="2"/>
  <c r="UP77" i="2"/>
  <c r="UO78" i="2"/>
  <c r="UP78" i="2"/>
  <c r="UO79" i="2"/>
  <c r="UP79" i="2"/>
  <c r="UO80" i="2"/>
  <c r="UP80" i="2"/>
  <c r="UO81" i="2"/>
  <c r="UP81" i="2"/>
  <c r="UO82" i="2"/>
  <c r="UP82" i="2"/>
  <c r="UO83" i="2"/>
  <c r="UP83" i="2"/>
  <c r="UO84" i="2"/>
  <c r="UP84" i="2"/>
  <c r="UO85" i="2"/>
  <c r="UP85" i="2"/>
  <c r="UO86" i="2"/>
  <c r="UP86" i="2"/>
  <c r="UO87" i="2"/>
  <c r="UP87" i="2"/>
  <c r="UO88" i="2"/>
  <c r="UP88" i="2"/>
  <c r="UO90" i="2"/>
  <c r="UP90" i="2"/>
  <c r="UO91" i="2"/>
  <c r="UP91" i="2"/>
  <c r="UO92" i="2"/>
  <c r="UP92" i="2"/>
  <c r="UO93" i="2"/>
  <c r="UP93" i="2"/>
  <c r="UO94" i="2"/>
  <c r="UP94" i="2"/>
  <c r="UO95" i="2"/>
  <c r="UP95" i="2"/>
  <c r="UO96" i="2"/>
  <c r="UP96" i="2"/>
  <c r="UO97" i="2"/>
  <c r="UP97" i="2"/>
  <c r="UO98" i="2"/>
  <c r="UP98" i="2"/>
  <c r="UO99" i="2"/>
  <c r="UP99" i="2"/>
  <c r="UO100" i="2"/>
  <c r="UP100" i="2"/>
  <c r="UO101" i="2"/>
  <c r="UP101" i="2"/>
  <c r="UO102" i="2"/>
  <c r="UP102" i="2"/>
  <c r="UO103" i="2"/>
  <c r="UP103" i="2"/>
  <c r="UO104" i="2"/>
  <c r="UP104" i="2"/>
  <c r="UO105" i="2"/>
  <c r="UP105" i="2"/>
  <c r="UO106" i="2"/>
  <c r="UP106" i="2"/>
  <c r="UO107" i="2"/>
  <c r="UP107" i="2"/>
  <c r="UO108" i="2"/>
  <c r="UP108" i="2"/>
  <c r="UO109" i="2"/>
  <c r="UP109" i="2"/>
  <c r="UO110" i="2"/>
  <c r="UP110" i="2"/>
  <c r="UO111" i="2"/>
  <c r="UP111" i="2"/>
  <c r="UO112" i="2"/>
  <c r="UP112" i="2"/>
  <c r="UO113" i="2"/>
  <c r="UP113" i="2"/>
  <c r="UO114" i="2"/>
  <c r="UP114" i="2"/>
  <c r="UO115" i="2"/>
  <c r="UP115" i="2"/>
  <c r="UO116" i="2"/>
  <c r="UP116" i="2"/>
  <c r="UO117" i="2"/>
  <c r="UP117" i="2"/>
  <c r="UO118" i="2"/>
  <c r="UP118" i="2"/>
  <c r="UO119" i="2"/>
  <c r="UP119" i="2"/>
  <c r="UO120" i="2"/>
  <c r="UP120" i="2"/>
  <c r="UO121" i="2"/>
  <c r="UP121" i="2"/>
  <c r="UO122" i="2"/>
  <c r="UP122" i="2"/>
  <c r="UO123" i="2"/>
  <c r="UP123" i="2"/>
  <c r="UO124" i="2"/>
  <c r="UP124" i="2"/>
  <c r="UO125" i="2"/>
  <c r="UP125" i="2"/>
  <c r="UO126" i="2"/>
  <c r="UP126" i="2"/>
  <c r="UO128" i="2"/>
  <c r="UP128" i="2"/>
  <c r="UO129" i="2"/>
  <c r="UP129" i="2"/>
  <c r="UO130" i="2"/>
  <c r="UP130" i="2"/>
  <c r="UO131" i="2"/>
  <c r="UP131" i="2"/>
  <c r="UO132" i="2"/>
  <c r="UP132" i="2"/>
  <c r="UO133" i="2"/>
  <c r="UP133" i="2"/>
  <c r="UO134" i="2"/>
  <c r="UP134" i="2"/>
  <c r="UO135" i="2"/>
  <c r="UP135" i="2"/>
  <c r="UO136" i="2"/>
  <c r="UP136" i="2"/>
  <c r="UO137" i="2"/>
  <c r="UP137" i="2"/>
  <c r="UO138" i="2"/>
  <c r="UP138" i="2"/>
  <c r="UO139" i="2"/>
  <c r="UP139" i="2"/>
  <c r="UO140" i="2"/>
  <c r="UP140" i="2"/>
  <c r="UO141" i="2"/>
  <c r="UP141" i="2"/>
  <c r="UO142" i="2"/>
  <c r="UP142" i="2"/>
  <c r="UO143" i="2"/>
  <c r="UP143" i="2"/>
  <c r="UO144" i="2"/>
  <c r="UP144" i="2"/>
  <c r="UO145" i="2"/>
  <c r="UP145" i="2"/>
  <c r="UO146" i="2"/>
  <c r="UP146" i="2"/>
  <c r="UO147" i="2"/>
  <c r="UP147" i="2"/>
  <c r="UO148" i="2"/>
  <c r="UP148" i="2"/>
  <c r="UO149" i="2"/>
  <c r="UP149" i="2"/>
  <c r="UO150" i="2"/>
  <c r="UP150" i="2"/>
  <c r="UO151" i="2"/>
  <c r="UP151" i="2"/>
  <c r="UO152" i="2"/>
  <c r="UP152" i="2"/>
  <c r="UO153" i="2"/>
  <c r="UP153" i="2"/>
  <c r="UO154" i="2"/>
  <c r="UP154" i="2"/>
  <c r="UO155" i="2"/>
  <c r="UP155" i="2"/>
  <c r="UO156" i="2"/>
  <c r="UP156" i="2"/>
  <c r="UO157" i="2"/>
  <c r="UP157" i="2"/>
  <c r="UO158" i="2"/>
  <c r="UP158" i="2"/>
  <c r="UO159" i="2"/>
  <c r="UP159" i="2"/>
  <c r="UO160" i="2"/>
  <c r="UP160" i="2"/>
  <c r="UO161" i="2"/>
  <c r="UP161" i="2"/>
  <c r="UO162" i="2"/>
  <c r="UP162" i="2"/>
  <c r="UO163" i="2"/>
  <c r="UP163" i="2"/>
  <c r="UO164" i="2"/>
  <c r="UP164" i="2"/>
  <c r="UO166" i="2"/>
  <c r="UP166" i="2"/>
  <c r="UO167" i="2"/>
  <c r="UP167" i="2"/>
  <c r="UO168" i="2"/>
  <c r="UP168" i="2"/>
  <c r="UO169" i="2"/>
  <c r="UP169" i="2"/>
  <c r="UO170" i="2"/>
  <c r="UP170" i="2"/>
  <c r="UO171" i="2"/>
  <c r="UP171" i="2"/>
  <c r="UO172" i="2"/>
  <c r="UP172" i="2"/>
  <c r="UO173" i="2"/>
  <c r="UP173" i="2"/>
  <c r="UO174" i="2"/>
  <c r="UP174" i="2"/>
  <c r="UO175" i="2"/>
  <c r="UP175" i="2"/>
  <c r="UO176" i="2"/>
  <c r="UP176" i="2"/>
  <c r="UO177" i="2"/>
  <c r="UP177" i="2"/>
  <c r="UO178" i="2"/>
  <c r="UP178" i="2"/>
  <c r="UO179" i="2"/>
  <c r="UP179" i="2"/>
  <c r="UO180" i="2"/>
  <c r="UP180" i="2"/>
  <c r="UO181" i="2"/>
  <c r="UP181" i="2"/>
  <c r="UO182" i="2"/>
  <c r="UP182" i="2"/>
  <c r="UO183" i="2"/>
  <c r="UP183" i="2"/>
  <c r="UO184" i="2"/>
  <c r="UP184" i="2"/>
  <c r="UO185" i="2"/>
  <c r="UP185" i="2"/>
  <c r="UO186" i="2"/>
  <c r="UP186" i="2"/>
  <c r="UO187" i="2"/>
  <c r="UP187" i="2"/>
  <c r="UO188" i="2"/>
  <c r="UP188" i="2"/>
  <c r="UO189" i="2"/>
  <c r="UP189" i="2"/>
  <c r="UO190" i="2"/>
  <c r="UP190" i="2"/>
  <c r="UO191" i="2"/>
  <c r="UP191" i="2"/>
  <c r="UO192" i="2"/>
  <c r="UP192" i="2"/>
  <c r="UO193" i="2"/>
  <c r="UP193" i="2"/>
  <c r="UO194" i="2"/>
  <c r="UP194" i="2"/>
  <c r="UO195" i="2"/>
  <c r="UP195" i="2"/>
  <c r="UO196" i="2"/>
  <c r="UP196" i="2"/>
  <c r="UO197" i="2"/>
  <c r="UP197" i="2"/>
  <c r="UO198" i="2"/>
  <c r="UP198" i="2"/>
  <c r="UO199" i="2"/>
  <c r="UP199" i="2"/>
  <c r="UO200" i="2"/>
  <c r="UP200" i="2"/>
  <c r="UO201" i="2"/>
  <c r="UP201" i="2"/>
  <c r="UO202" i="2"/>
  <c r="UP202" i="2"/>
  <c r="UO204" i="2"/>
  <c r="UP204" i="2"/>
  <c r="UO205" i="2"/>
  <c r="UP205" i="2"/>
  <c r="UO206" i="2"/>
  <c r="UP206" i="2"/>
  <c r="UO207" i="2"/>
  <c r="UP207" i="2"/>
  <c r="UO208" i="2"/>
  <c r="UP208" i="2"/>
  <c r="UO209" i="2"/>
  <c r="UP209" i="2"/>
  <c r="UO210" i="2"/>
  <c r="UP210" i="2"/>
  <c r="UO211" i="2"/>
  <c r="UP211" i="2"/>
  <c r="UO212" i="2"/>
  <c r="UP212" i="2"/>
  <c r="UO213" i="2"/>
  <c r="UP213" i="2"/>
  <c r="UO214" i="2"/>
  <c r="UP214" i="2"/>
  <c r="UO215" i="2"/>
  <c r="UP215" i="2"/>
  <c r="UO216" i="2"/>
  <c r="UP216" i="2"/>
  <c r="UO217" i="2"/>
  <c r="UP217" i="2"/>
  <c r="UO218" i="2"/>
  <c r="UP218" i="2"/>
  <c r="UO219" i="2"/>
  <c r="UP219" i="2"/>
  <c r="UO220" i="2"/>
  <c r="UP220" i="2"/>
  <c r="UO221" i="2"/>
  <c r="UP221" i="2"/>
  <c r="UO222" i="2"/>
  <c r="UP222" i="2"/>
  <c r="UO223" i="2"/>
  <c r="UP223" i="2"/>
  <c r="UO224" i="2"/>
  <c r="UP224" i="2"/>
  <c r="UO225" i="2"/>
  <c r="UP225" i="2"/>
  <c r="UO226" i="2"/>
  <c r="UP226" i="2"/>
  <c r="UO227" i="2"/>
  <c r="UP227" i="2"/>
  <c r="UO228" i="2"/>
  <c r="UP228" i="2"/>
  <c r="UO229" i="2"/>
  <c r="UP229" i="2"/>
  <c r="UO230" i="2"/>
  <c r="UP230" i="2"/>
  <c r="UO231" i="2"/>
  <c r="UP231" i="2"/>
  <c r="UO232" i="2"/>
  <c r="UP232" i="2"/>
  <c r="UO233" i="2"/>
  <c r="UP233" i="2"/>
  <c r="UO234" i="2"/>
  <c r="UP234" i="2"/>
  <c r="UO235" i="2"/>
  <c r="UP235" i="2"/>
  <c r="UO236" i="2"/>
  <c r="UP236" i="2"/>
  <c r="UO237" i="2"/>
  <c r="UP237" i="2"/>
  <c r="UO238" i="2"/>
  <c r="UP238" i="2"/>
  <c r="UO239" i="2"/>
  <c r="UP239" i="2"/>
  <c r="UO240" i="2"/>
  <c r="UP240" i="2"/>
  <c r="UO242" i="2"/>
  <c r="UP242" i="2"/>
  <c r="UO243" i="2"/>
  <c r="UP243" i="2"/>
  <c r="UO244" i="2"/>
  <c r="UP244" i="2"/>
  <c r="UO245" i="2"/>
  <c r="UP245" i="2"/>
  <c r="UO246" i="2"/>
  <c r="UP246" i="2"/>
  <c r="UO247" i="2"/>
  <c r="UP247" i="2"/>
  <c r="UO248" i="2"/>
  <c r="UP248" i="2"/>
  <c r="UO249" i="2"/>
  <c r="UP249" i="2"/>
  <c r="UO250" i="2"/>
  <c r="UP250" i="2"/>
  <c r="UO251" i="2"/>
  <c r="UP251" i="2"/>
  <c r="UO252" i="2"/>
  <c r="UP252" i="2"/>
  <c r="UO253" i="2"/>
  <c r="UP253" i="2"/>
  <c r="UO254" i="2"/>
  <c r="UP254" i="2"/>
  <c r="UO255" i="2"/>
  <c r="UP255" i="2"/>
  <c r="UO256" i="2"/>
  <c r="UP256" i="2"/>
  <c r="UO257" i="2"/>
  <c r="UP257" i="2"/>
  <c r="UO258" i="2"/>
  <c r="UP258" i="2"/>
  <c r="UO259" i="2"/>
  <c r="UP259" i="2"/>
  <c r="UO260" i="2"/>
  <c r="UP260" i="2"/>
  <c r="UO261" i="2"/>
  <c r="UP261" i="2"/>
  <c r="UO262" i="2"/>
  <c r="UP262" i="2"/>
  <c r="UO263" i="2"/>
  <c r="UP263" i="2"/>
  <c r="UO264" i="2"/>
  <c r="UP264" i="2"/>
  <c r="UO265" i="2"/>
  <c r="UP265" i="2"/>
  <c r="UO266" i="2"/>
  <c r="UP266" i="2"/>
  <c r="UO267" i="2"/>
  <c r="UP267" i="2"/>
  <c r="UO268" i="2"/>
  <c r="UP268" i="2"/>
  <c r="UO269" i="2"/>
  <c r="UP269" i="2"/>
  <c r="UO270" i="2"/>
  <c r="UP270" i="2"/>
  <c r="UO271" i="2"/>
  <c r="UP271" i="2"/>
  <c r="UO272" i="2"/>
  <c r="UP272" i="2"/>
  <c r="UO273" i="2"/>
  <c r="UP273" i="2"/>
  <c r="UO274" i="2"/>
  <c r="UP274" i="2"/>
  <c r="UO275" i="2"/>
  <c r="UP275" i="2"/>
  <c r="UO276" i="2"/>
  <c r="UP276" i="2"/>
  <c r="UO277" i="2"/>
  <c r="UP277" i="2"/>
  <c r="UO278" i="2"/>
  <c r="UP278" i="2"/>
  <c r="UO280" i="2"/>
  <c r="UP280" i="2"/>
  <c r="UO281" i="2"/>
  <c r="UP281" i="2"/>
  <c r="UO282" i="2"/>
  <c r="UP282" i="2"/>
  <c r="UO283" i="2"/>
  <c r="UP283" i="2"/>
  <c r="UO284" i="2"/>
  <c r="UP284" i="2"/>
  <c r="UO285" i="2"/>
  <c r="UP285" i="2"/>
  <c r="UO286" i="2"/>
  <c r="UP286" i="2"/>
  <c r="UO287" i="2"/>
  <c r="UP287" i="2"/>
  <c r="UO288" i="2"/>
  <c r="UP288" i="2"/>
  <c r="UO289" i="2"/>
  <c r="UP289" i="2"/>
  <c r="UO290" i="2"/>
  <c r="UP290" i="2"/>
  <c r="UO291" i="2"/>
  <c r="UP291" i="2"/>
  <c r="UO292" i="2"/>
  <c r="UP292" i="2"/>
  <c r="UO293" i="2"/>
  <c r="UP293" i="2"/>
  <c r="UO294" i="2"/>
  <c r="UP294" i="2"/>
  <c r="UO295" i="2"/>
  <c r="UP295" i="2"/>
  <c r="UO296" i="2"/>
  <c r="UP296" i="2"/>
  <c r="UO297" i="2"/>
  <c r="UP297" i="2"/>
  <c r="UO298" i="2"/>
  <c r="UP298" i="2"/>
  <c r="UO299" i="2"/>
  <c r="UP299" i="2"/>
  <c r="UO300" i="2"/>
  <c r="UP300" i="2"/>
  <c r="UO301" i="2"/>
  <c r="UP301" i="2"/>
  <c r="UO302" i="2"/>
  <c r="UP302" i="2"/>
  <c r="UO303" i="2"/>
  <c r="UP303" i="2"/>
  <c r="UO304" i="2"/>
  <c r="UP304" i="2"/>
  <c r="UO305" i="2"/>
  <c r="UP305" i="2"/>
  <c r="UO306" i="2"/>
  <c r="UP306" i="2"/>
  <c r="UO307" i="2"/>
  <c r="UP307" i="2"/>
  <c r="UO308" i="2"/>
  <c r="UP308" i="2"/>
  <c r="UO309" i="2"/>
  <c r="UP309" i="2"/>
  <c r="UO310" i="2"/>
  <c r="UP310" i="2"/>
  <c r="UO311" i="2"/>
  <c r="UP311" i="2"/>
  <c r="UO312" i="2"/>
  <c r="UP312" i="2"/>
  <c r="UO313" i="2"/>
  <c r="UP313" i="2"/>
  <c r="UO314" i="2"/>
  <c r="UP314" i="2"/>
  <c r="UO315" i="2"/>
  <c r="UP315" i="2"/>
  <c r="UO316" i="2"/>
  <c r="UP316" i="2"/>
  <c r="UO318" i="2"/>
  <c r="UP318" i="2"/>
  <c r="UO319" i="2"/>
  <c r="UP319" i="2"/>
  <c r="UO320" i="2"/>
  <c r="UP320" i="2"/>
  <c r="UO321" i="2"/>
  <c r="UP321" i="2"/>
  <c r="UO322" i="2"/>
  <c r="UP322" i="2"/>
  <c r="UO323" i="2"/>
  <c r="UP323" i="2"/>
  <c r="UO324" i="2"/>
  <c r="UP324" i="2"/>
  <c r="UO325" i="2"/>
  <c r="UP325" i="2"/>
  <c r="UO326" i="2"/>
  <c r="UP326" i="2"/>
  <c r="UO327" i="2"/>
  <c r="UP327" i="2"/>
  <c r="UO328" i="2"/>
  <c r="UP328" i="2"/>
  <c r="UO329" i="2"/>
  <c r="UP329" i="2"/>
  <c r="UO330" i="2"/>
  <c r="UP330" i="2"/>
  <c r="UO331" i="2"/>
  <c r="UP331" i="2"/>
  <c r="UO332" i="2"/>
  <c r="UP332" i="2"/>
  <c r="UO333" i="2"/>
  <c r="UP333" i="2"/>
  <c r="UO334" i="2"/>
  <c r="UP334" i="2"/>
  <c r="UO335" i="2"/>
  <c r="UP335" i="2"/>
  <c r="UO336" i="2"/>
  <c r="UP336" i="2"/>
  <c r="UO337" i="2"/>
  <c r="UP337" i="2"/>
  <c r="UO338" i="2"/>
  <c r="UP338" i="2"/>
  <c r="UO339" i="2"/>
  <c r="UP339" i="2"/>
  <c r="UO340" i="2"/>
  <c r="UP340" i="2"/>
  <c r="UO341" i="2"/>
  <c r="UP341" i="2"/>
  <c r="UO342" i="2"/>
  <c r="UP342" i="2"/>
  <c r="UO343" i="2"/>
  <c r="UP343" i="2"/>
  <c r="UO344" i="2"/>
  <c r="UP344" i="2"/>
  <c r="UO345" i="2"/>
  <c r="UP345" i="2"/>
  <c r="UO346" i="2"/>
  <c r="UP346" i="2"/>
  <c r="UO347" i="2"/>
  <c r="UP347" i="2"/>
  <c r="UO348" i="2"/>
  <c r="UP348" i="2"/>
  <c r="UO349" i="2"/>
  <c r="UP349" i="2"/>
  <c r="UO350" i="2"/>
  <c r="UP350" i="2"/>
  <c r="UO351" i="2"/>
  <c r="UP351" i="2"/>
  <c r="UO352" i="2"/>
  <c r="UP352" i="2"/>
  <c r="UO353" i="2"/>
  <c r="UP353" i="2"/>
  <c r="UO354" i="2"/>
  <c r="UP354" i="2"/>
  <c r="UO356" i="2"/>
  <c r="UP356" i="2"/>
  <c r="UO357" i="2"/>
  <c r="UP357" i="2"/>
  <c r="UO358" i="2"/>
  <c r="UP358" i="2"/>
  <c r="UO359" i="2"/>
  <c r="UP359" i="2"/>
  <c r="UO360" i="2"/>
  <c r="UP360" i="2"/>
  <c r="UO361" i="2"/>
  <c r="UP361" i="2"/>
  <c r="UO362" i="2"/>
  <c r="UP362" i="2"/>
  <c r="UO363" i="2"/>
  <c r="UP363" i="2"/>
  <c r="UO364" i="2"/>
  <c r="UP364" i="2"/>
  <c r="UO365" i="2"/>
  <c r="UP365" i="2"/>
  <c r="UO366" i="2"/>
  <c r="UP366" i="2"/>
  <c r="UO367" i="2"/>
  <c r="UP367" i="2"/>
  <c r="UO368" i="2"/>
  <c r="UP368" i="2"/>
  <c r="UO369" i="2"/>
  <c r="UP369" i="2"/>
  <c r="UO370" i="2"/>
  <c r="UP370" i="2"/>
  <c r="UO371" i="2"/>
  <c r="UP371" i="2"/>
  <c r="UO372" i="2"/>
  <c r="UP372" i="2"/>
  <c r="UO373" i="2"/>
  <c r="UP373" i="2"/>
  <c r="UO374" i="2"/>
  <c r="UP374" i="2"/>
  <c r="UO375" i="2"/>
  <c r="UP375" i="2"/>
  <c r="UO376" i="2"/>
  <c r="UP376" i="2"/>
  <c r="UO377" i="2"/>
  <c r="UP377" i="2"/>
  <c r="UO378" i="2"/>
  <c r="UP378" i="2"/>
  <c r="UO379" i="2"/>
  <c r="UP379" i="2"/>
  <c r="UO380" i="2"/>
  <c r="UP380" i="2"/>
  <c r="UO381" i="2"/>
  <c r="UP381" i="2"/>
  <c r="UO382" i="2"/>
  <c r="UP382" i="2"/>
  <c r="UO383" i="2"/>
  <c r="UP383" i="2"/>
  <c r="UO384" i="2"/>
  <c r="UP384" i="2"/>
  <c r="UO385" i="2"/>
  <c r="UP385" i="2"/>
  <c r="UO386" i="2"/>
  <c r="UP386" i="2"/>
  <c r="UO387" i="2"/>
  <c r="UP387" i="2"/>
  <c r="UO388" i="2"/>
  <c r="UP388" i="2"/>
  <c r="UO389" i="2"/>
  <c r="UP389" i="2"/>
  <c r="UO390" i="2"/>
  <c r="UP390" i="2"/>
  <c r="UO391" i="2"/>
  <c r="UP391" i="2"/>
  <c r="UO392" i="2"/>
  <c r="UP392" i="2"/>
  <c r="UO394" i="2"/>
  <c r="UP394" i="2"/>
  <c r="UO395" i="2"/>
  <c r="UP395" i="2"/>
  <c r="UO396" i="2"/>
  <c r="UP396" i="2"/>
  <c r="UO397" i="2"/>
  <c r="UP397" i="2"/>
  <c r="UO398" i="2"/>
  <c r="UP398" i="2"/>
  <c r="UO399" i="2"/>
  <c r="UP399" i="2"/>
  <c r="UO400" i="2"/>
  <c r="UP400" i="2"/>
  <c r="UO401" i="2"/>
  <c r="UP401" i="2"/>
  <c r="UO402" i="2"/>
  <c r="UP402" i="2"/>
  <c r="UO403" i="2"/>
  <c r="UP403" i="2"/>
  <c r="UO404" i="2"/>
  <c r="UP404" i="2"/>
  <c r="UO405" i="2"/>
  <c r="UP405" i="2"/>
  <c r="UO406" i="2"/>
  <c r="UP406" i="2"/>
  <c r="UO407" i="2"/>
  <c r="UP407" i="2"/>
  <c r="UO408" i="2"/>
  <c r="UP408" i="2"/>
  <c r="UO409" i="2"/>
  <c r="UP409" i="2"/>
  <c r="UO410" i="2"/>
  <c r="UP410" i="2"/>
  <c r="UO411" i="2"/>
  <c r="UP411" i="2"/>
  <c r="UO412" i="2"/>
  <c r="UP412" i="2"/>
  <c r="UO413" i="2"/>
  <c r="UP413" i="2"/>
  <c r="UO414" i="2"/>
  <c r="UP414" i="2"/>
  <c r="UO415" i="2"/>
  <c r="UP415" i="2"/>
  <c r="UO416" i="2"/>
  <c r="UP416" i="2"/>
  <c r="UO417" i="2"/>
  <c r="UP417" i="2"/>
  <c r="UO418" i="2"/>
  <c r="UP418" i="2"/>
  <c r="UO419" i="2"/>
  <c r="UP419" i="2"/>
  <c r="UO420" i="2"/>
  <c r="UP420" i="2"/>
  <c r="UO421" i="2"/>
  <c r="UP421" i="2"/>
  <c r="UO422" i="2"/>
  <c r="UP422" i="2"/>
  <c r="UO423" i="2"/>
  <c r="UP423" i="2"/>
  <c r="UO424" i="2"/>
  <c r="UP424" i="2"/>
  <c r="UO425" i="2"/>
  <c r="UP425" i="2"/>
  <c r="UO426" i="2"/>
  <c r="UP426" i="2"/>
  <c r="UO427" i="2"/>
  <c r="UP427" i="2"/>
  <c r="UO428" i="2"/>
  <c r="UP428" i="2"/>
  <c r="UO429" i="2"/>
  <c r="UP429" i="2"/>
  <c r="UO430" i="2"/>
  <c r="UP430" i="2"/>
  <c r="UO432" i="2"/>
  <c r="UP432" i="2"/>
  <c r="UO433" i="2"/>
  <c r="UP433" i="2"/>
  <c r="UO434" i="2"/>
  <c r="UP434" i="2"/>
  <c r="UO435" i="2"/>
  <c r="UP435" i="2"/>
  <c r="UO436" i="2"/>
  <c r="UP436" i="2"/>
  <c r="UO437" i="2"/>
  <c r="UP437" i="2"/>
  <c r="UO438" i="2"/>
  <c r="UP438" i="2"/>
  <c r="UO439" i="2"/>
  <c r="UP439" i="2"/>
  <c r="UO440" i="2"/>
  <c r="UP440" i="2"/>
  <c r="UO441" i="2"/>
  <c r="UP441" i="2"/>
  <c r="UO442" i="2"/>
  <c r="UP442" i="2"/>
  <c r="UO443" i="2"/>
  <c r="UP443" i="2"/>
  <c r="UO444" i="2"/>
  <c r="UP444" i="2"/>
  <c r="UO445" i="2"/>
  <c r="UP445" i="2"/>
  <c r="UO446" i="2"/>
  <c r="UP446" i="2"/>
  <c r="UO447" i="2"/>
  <c r="UP447" i="2"/>
  <c r="UO448" i="2"/>
  <c r="UP448" i="2"/>
  <c r="UO449" i="2"/>
  <c r="UP449" i="2"/>
  <c r="UO450" i="2"/>
  <c r="UP450" i="2"/>
  <c r="UO451" i="2"/>
  <c r="UP451" i="2"/>
  <c r="UO452" i="2"/>
  <c r="UP452" i="2"/>
  <c r="UO453" i="2"/>
  <c r="UP453" i="2"/>
  <c r="UO454" i="2"/>
  <c r="UP454" i="2"/>
  <c r="UO455" i="2"/>
  <c r="UP455" i="2"/>
  <c r="UO456" i="2"/>
  <c r="UP456" i="2"/>
  <c r="UO457" i="2"/>
  <c r="UP457" i="2"/>
  <c r="UO458" i="2"/>
  <c r="UP458" i="2"/>
  <c r="UO459" i="2"/>
  <c r="UP459" i="2"/>
  <c r="UO460" i="2"/>
  <c r="UP460" i="2"/>
  <c r="UO461" i="2"/>
  <c r="UP461" i="2"/>
  <c r="UO462" i="2"/>
  <c r="UP462" i="2"/>
  <c r="UO463" i="2"/>
  <c r="UP463" i="2"/>
  <c r="UO464" i="2"/>
  <c r="UP464" i="2"/>
  <c r="UO465" i="2"/>
  <c r="UP465" i="2"/>
  <c r="UO466" i="2"/>
  <c r="UP466" i="2"/>
  <c r="UO467" i="2"/>
  <c r="UP467" i="2"/>
  <c r="UO468" i="2"/>
  <c r="UP468" i="2"/>
  <c r="UP14" i="2"/>
  <c r="UP15" i="2"/>
  <c r="UP16" i="2"/>
  <c r="UP17" i="2"/>
  <c r="UP18" i="2"/>
  <c r="UP19" i="2"/>
  <c r="UP20" i="2"/>
  <c r="UP21" i="2"/>
  <c r="UP22" i="2"/>
  <c r="UP23" i="2"/>
  <c r="UP24" i="2"/>
  <c r="UP25" i="2"/>
  <c r="UP26" i="2"/>
  <c r="UP27" i="2"/>
  <c r="UP28" i="2"/>
  <c r="UP29" i="2"/>
  <c r="UP30" i="2"/>
  <c r="UP32" i="2"/>
  <c r="UP33" i="2"/>
  <c r="UP34" i="2"/>
  <c r="UP35" i="2"/>
  <c r="UP36" i="2"/>
  <c r="UP37" i="2"/>
  <c r="UP38" i="2"/>
  <c r="UP39" i="2"/>
  <c r="UP40" i="2"/>
  <c r="UP41" i="2"/>
  <c r="UP42" i="2"/>
  <c r="UP43" i="2"/>
  <c r="UP44" i="2"/>
  <c r="UP45" i="2"/>
  <c r="UP46" i="2"/>
  <c r="UP47" i="2"/>
  <c r="UP48" i="2"/>
  <c r="UP31" i="2"/>
  <c r="UO31" i="2"/>
  <c r="TY52" i="2"/>
  <c r="TZ52" i="2"/>
  <c r="TY53" i="2"/>
  <c r="TZ53" i="2"/>
  <c r="TY54" i="2"/>
  <c r="TZ54" i="2"/>
  <c r="TY55" i="2"/>
  <c r="TZ55" i="2"/>
  <c r="TY56" i="2"/>
  <c r="TZ56" i="2"/>
  <c r="TY57" i="2"/>
  <c r="TZ57" i="2"/>
  <c r="TY58" i="2"/>
  <c r="TZ58" i="2"/>
  <c r="TY59" i="2"/>
  <c r="TZ59" i="2"/>
  <c r="TY60" i="2"/>
  <c r="TZ60" i="2"/>
  <c r="TY61" i="2"/>
  <c r="TZ61" i="2"/>
  <c r="TY62" i="2"/>
  <c r="TZ62" i="2"/>
  <c r="TY63" i="2"/>
  <c r="TZ63" i="2"/>
  <c r="TY64" i="2"/>
  <c r="TZ64" i="2"/>
  <c r="TY65" i="2"/>
  <c r="TZ65" i="2"/>
  <c r="TY66" i="2"/>
  <c r="TZ66" i="2"/>
  <c r="TY67" i="2"/>
  <c r="TZ67" i="2"/>
  <c r="TY68" i="2"/>
  <c r="TZ68" i="2"/>
  <c r="TY69" i="2"/>
  <c r="TZ69" i="2"/>
  <c r="TY70" i="2"/>
  <c r="TZ70" i="2"/>
  <c r="TY71" i="2"/>
  <c r="TZ71" i="2"/>
  <c r="TY72" i="2"/>
  <c r="TZ72" i="2"/>
  <c r="TY73" i="2"/>
  <c r="TZ73" i="2"/>
  <c r="TY74" i="2"/>
  <c r="TZ74" i="2"/>
  <c r="TY75" i="2"/>
  <c r="TZ75" i="2"/>
  <c r="TY76" i="2"/>
  <c r="TZ76" i="2"/>
  <c r="TY77" i="2"/>
  <c r="TZ77" i="2"/>
  <c r="TY78" i="2"/>
  <c r="TZ78" i="2"/>
  <c r="TY79" i="2"/>
  <c r="TZ79" i="2"/>
  <c r="TY80" i="2"/>
  <c r="TZ80" i="2"/>
  <c r="TY81" i="2"/>
  <c r="TZ81" i="2"/>
  <c r="TY82" i="2"/>
  <c r="TZ82" i="2"/>
  <c r="TY83" i="2"/>
  <c r="TZ83" i="2"/>
  <c r="TY84" i="2"/>
  <c r="TZ84" i="2"/>
  <c r="TY85" i="2"/>
  <c r="TZ85" i="2"/>
  <c r="TY86" i="2"/>
  <c r="TZ86" i="2"/>
  <c r="TY87" i="2"/>
  <c r="TZ87" i="2"/>
  <c r="TY88" i="2"/>
  <c r="TZ88" i="2"/>
  <c r="TY90" i="2"/>
  <c r="TZ90" i="2"/>
  <c r="TY91" i="2"/>
  <c r="TZ91" i="2"/>
  <c r="TY92" i="2"/>
  <c r="TZ92" i="2"/>
  <c r="TY93" i="2"/>
  <c r="TZ93" i="2"/>
  <c r="TY94" i="2"/>
  <c r="TZ94" i="2"/>
  <c r="TY95" i="2"/>
  <c r="TZ95" i="2"/>
  <c r="TY96" i="2"/>
  <c r="TZ96" i="2"/>
  <c r="TY97" i="2"/>
  <c r="TZ97" i="2"/>
  <c r="TY98" i="2"/>
  <c r="TZ98" i="2"/>
  <c r="TY99" i="2"/>
  <c r="TZ99" i="2"/>
  <c r="TY100" i="2"/>
  <c r="TZ100" i="2"/>
  <c r="TY101" i="2"/>
  <c r="TZ101" i="2"/>
  <c r="TY102" i="2"/>
  <c r="TZ102" i="2"/>
  <c r="TY103" i="2"/>
  <c r="TZ103" i="2"/>
  <c r="TY104" i="2"/>
  <c r="TZ104" i="2"/>
  <c r="TY105" i="2"/>
  <c r="TZ105" i="2"/>
  <c r="TY106" i="2"/>
  <c r="TZ106" i="2"/>
  <c r="TY107" i="2"/>
  <c r="TZ107" i="2"/>
  <c r="TY108" i="2"/>
  <c r="TZ108" i="2"/>
  <c r="TY109" i="2"/>
  <c r="TZ109" i="2"/>
  <c r="TY110" i="2"/>
  <c r="TZ110" i="2"/>
  <c r="TY111" i="2"/>
  <c r="TZ111" i="2"/>
  <c r="TY112" i="2"/>
  <c r="TZ112" i="2"/>
  <c r="TY113" i="2"/>
  <c r="TZ113" i="2"/>
  <c r="TY114" i="2"/>
  <c r="TZ114" i="2"/>
  <c r="TY115" i="2"/>
  <c r="TZ115" i="2"/>
  <c r="TY116" i="2"/>
  <c r="TZ116" i="2"/>
  <c r="TY117" i="2"/>
  <c r="TZ117" i="2"/>
  <c r="TY118" i="2"/>
  <c r="TZ118" i="2"/>
  <c r="TY119" i="2"/>
  <c r="TZ119" i="2"/>
  <c r="TY120" i="2"/>
  <c r="TZ120" i="2"/>
  <c r="TY121" i="2"/>
  <c r="TZ121" i="2"/>
  <c r="TY122" i="2"/>
  <c r="TZ122" i="2"/>
  <c r="TY123" i="2"/>
  <c r="TZ123" i="2"/>
  <c r="TY124" i="2"/>
  <c r="TZ124" i="2"/>
  <c r="TY125" i="2"/>
  <c r="TZ125" i="2"/>
  <c r="TY126" i="2"/>
  <c r="TZ126" i="2"/>
  <c r="TY128" i="2"/>
  <c r="TZ128" i="2"/>
  <c r="TY129" i="2"/>
  <c r="TZ129" i="2"/>
  <c r="TY130" i="2"/>
  <c r="TZ130" i="2"/>
  <c r="TY131" i="2"/>
  <c r="TZ131" i="2"/>
  <c r="TY132" i="2"/>
  <c r="TZ132" i="2"/>
  <c r="TY133" i="2"/>
  <c r="TZ133" i="2"/>
  <c r="TY134" i="2"/>
  <c r="TZ134" i="2"/>
  <c r="TY135" i="2"/>
  <c r="TZ135" i="2"/>
  <c r="TY136" i="2"/>
  <c r="TZ136" i="2"/>
  <c r="TY137" i="2"/>
  <c r="TZ137" i="2"/>
  <c r="TY138" i="2"/>
  <c r="TZ138" i="2"/>
  <c r="TY139" i="2"/>
  <c r="TZ139" i="2"/>
  <c r="TY140" i="2"/>
  <c r="TZ140" i="2"/>
  <c r="TY141" i="2"/>
  <c r="TZ141" i="2"/>
  <c r="TY142" i="2"/>
  <c r="TZ142" i="2"/>
  <c r="TY143" i="2"/>
  <c r="TZ143" i="2"/>
  <c r="TY144" i="2"/>
  <c r="TZ144" i="2"/>
  <c r="TY145" i="2"/>
  <c r="TZ145" i="2"/>
  <c r="TY146" i="2"/>
  <c r="TZ146" i="2"/>
  <c r="TY147" i="2"/>
  <c r="TZ147" i="2"/>
  <c r="TY148" i="2"/>
  <c r="TZ148" i="2"/>
  <c r="TY149" i="2"/>
  <c r="TZ149" i="2"/>
  <c r="TY150" i="2"/>
  <c r="TZ150" i="2"/>
  <c r="TY151" i="2"/>
  <c r="TZ151" i="2"/>
  <c r="TY152" i="2"/>
  <c r="TZ152" i="2"/>
  <c r="TY153" i="2"/>
  <c r="TZ153" i="2"/>
  <c r="TY154" i="2"/>
  <c r="TZ154" i="2"/>
  <c r="TY155" i="2"/>
  <c r="TZ155" i="2"/>
  <c r="TY156" i="2"/>
  <c r="TZ156" i="2"/>
  <c r="TY157" i="2"/>
  <c r="TZ157" i="2"/>
  <c r="TY158" i="2"/>
  <c r="TZ158" i="2"/>
  <c r="TY159" i="2"/>
  <c r="TZ159" i="2"/>
  <c r="TY160" i="2"/>
  <c r="TZ160" i="2"/>
  <c r="TY161" i="2"/>
  <c r="TZ161" i="2"/>
  <c r="TY162" i="2"/>
  <c r="TZ162" i="2"/>
  <c r="TY163" i="2"/>
  <c r="TZ163" i="2"/>
  <c r="TY164" i="2"/>
  <c r="TZ164" i="2"/>
  <c r="TY166" i="2"/>
  <c r="TZ166" i="2"/>
  <c r="TY167" i="2"/>
  <c r="TZ167" i="2"/>
  <c r="TY168" i="2"/>
  <c r="TZ168" i="2"/>
  <c r="TY169" i="2"/>
  <c r="TZ169" i="2"/>
  <c r="TY170" i="2"/>
  <c r="TZ170" i="2"/>
  <c r="TY171" i="2"/>
  <c r="TZ171" i="2"/>
  <c r="TY172" i="2"/>
  <c r="TZ172" i="2"/>
  <c r="TY173" i="2"/>
  <c r="TZ173" i="2"/>
  <c r="TY174" i="2"/>
  <c r="TZ174" i="2"/>
  <c r="TY175" i="2"/>
  <c r="TZ175" i="2"/>
  <c r="TY176" i="2"/>
  <c r="TZ176" i="2"/>
  <c r="TY177" i="2"/>
  <c r="TZ177" i="2"/>
  <c r="TY178" i="2"/>
  <c r="TZ178" i="2"/>
  <c r="TY179" i="2"/>
  <c r="TZ179" i="2"/>
  <c r="TY180" i="2"/>
  <c r="TZ180" i="2"/>
  <c r="TY181" i="2"/>
  <c r="TZ181" i="2"/>
  <c r="TY182" i="2"/>
  <c r="TZ182" i="2"/>
  <c r="TY183" i="2"/>
  <c r="TZ183" i="2"/>
  <c r="TY184" i="2"/>
  <c r="TZ184" i="2"/>
  <c r="TY185" i="2"/>
  <c r="TZ185" i="2"/>
  <c r="TY186" i="2"/>
  <c r="TZ186" i="2"/>
  <c r="TY187" i="2"/>
  <c r="TZ187" i="2"/>
  <c r="TY188" i="2"/>
  <c r="TZ188" i="2"/>
  <c r="TY189" i="2"/>
  <c r="TZ189" i="2"/>
  <c r="TY190" i="2"/>
  <c r="TZ190" i="2"/>
  <c r="TY191" i="2"/>
  <c r="TZ191" i="2"/>
  <c r="TY192" i="2"/>
  <c r="TZ192" i="2"/>
  <c r="TY193" i="2"/>
  <c r="TZ193" i="2"/>
  <c r="TY194" i="2"/>
  <c r="TZ194" i="2"/>
  <c r="TY195" i="2"/>
  <c r="TZ195" i="2"/>
  <c r="TY196" i="2"/>
  <c r="TZ196" i="2"/>
  <c r="TY197" i="2"/>
  <c r="TZ197" i="2"/>
  <c r="TY198" i="2"/>
  <c r="TZ198" i="2"/>
  <c r="TY199" i="2"/>
  <c r="TZ199" i="2"/>
  <c r="TY200" i="2"/>
  <c r="TZ200" i="2"/>
  <c r="TY201" i="2"/>
  <c r="TZ201" i="2"/>
  <c r="TY202" i="2"/>
  <c r="TZ202" i="2"/>
  <c r="TY204" i="2"/>
  <c r="TZ204" i="2"/>
  <c r="TY205" i="2"/>
  <c r="TZ205" i="2"/>
  <c r="TY206" i="2"/>
  <c r="TZ206" i="2"/>
  <c r="TY207" i="2"/>
  <c r="TZ207" i="2"/>
  <c r="TY208" i="2"/>
  <c r="TZ208" i="2"/>
  <c r="TY209" i="2"/>
  <c r="TZ209" i="2"/>
  <c r="TY210" i="2"/>
  <c r="TZ210" i="2"/>
  <c r="TY211" i="2"/>
  <c r="TZ211" i="2"/>
  <c r="TY212" i="2"/>
  <c r="TZ212" i="2"/>
  <c r="TY213" i="2"/>
  <c r="TZ213" i="2"/>
  <c r="TY214" i="2"/>
  <c r="TZ214" i="2"/>
  <c r="TY215" i="2"/>
  <c r="TZ215" i="2"/>
  <c r="TY216" i="2"/>
  <c r="TZ216" i="2"/>
  <c r="TY217" i="2"/>
  <c r="TZ217" i="2"/>
  <c r="TY218" i="2"/>
  <c r="TZ218" i="2"/>
  <c r="TY219" i="2"/>
  <c r="TZ219" i="2"/>
  <c r="TY220" i="2"/>
  <c r="TZ220" i="2"/>
  <c r="TY221" i="2"/>
  <c r="TZ221" i="2"/>
  <c r="TY222" i="2"/>
  <c r="TZ222" i="2"/>
  <c r="TY223" i="2"/>
  <c r="TZ223" i="2"/>
  <c r="TY224" i="2"/>
  <c r="TZ224" i="2"/>
  <c r="TY225" i="2"/>
  <c r="TZ225" i="2"/>
  <c r="TY226" i="2"/>
  <c r="TZ226" i="2"/>
  <c r="TY227" i="2"/>
  <c r="TZ227" i="2"/>
  <c r="TY228" i="2"/>
  <c r="TZ228" i="2"/>
  <c r="TY229" i="2"/>
  <c r="TZ229" i="2"/>
  <c r="TY230" i="2"/>
  <c r="TZ230" i="2"/>
  <c r="TY231" i="2"/>
  <c r="TZ231" i="2"/>
  <c r="TY232" i="2"/>
  <c r="TZ232" i="2"/>
  <c r="TY233" i="2"/>
  <c r="TZ233" i="2"/>
  <c r="TY234" i="2"/>
  <c r="TZ234" i="2"/>
  <c r="TY235" i="2"/>
  <c r="TZ235" i="2"/>
  <c r="TY236" i="2"/>
  <c r="TZ236" i="2"/>
  <c r="TY237" i="2"/>
  <c r="TZ237" i="2"/>
  <c r="TY238" i="2"/>
  <c r="TZ238" i="2"/>
  <c r="TY239" i="2"/>
  <c r="TZ239" i="2"/>
  <c r="TY240" i="2"/>
  <c r="TZ240" i="2"/>
  <c r="TY242" i="2"/>
  <c r="TZ242" i="2"/>
  <c r="TY243" i="2"/>
  <c r="TZ243" i="2"/>
  <c r="TY244" i="2"/>
  <c r="TZ244" i="2"/>
  <c r="TY245" i="2"/>
  <c r="TZ245" i="2"/>
  <c r="TY246" i="2"/>
  <c r="TZ246" i="2"/>
  <c r="TY247" i="2"/>
  <c r="TZ247" i="2"/>
  <c r="TY248" i="2"/>
  <c r="TZ248" i="2"/>
  <c r="TY249" i="2"/>
  <c r="TZ249" i="2"/>
  <c r="TY250" i="2"/>
  <c r="TZ250" i="2"/>
  <c r="TY251" i="2"/>
  <c r="TZ251" i="2"/>
  <c r="TY252" i="2"/>
  <c r="TZ252" i="2"/>
  <c r="TY253" i="2"/>
  <c r="TZ253" i="2"/>
  <c r="TY254" i="2"/>
  <c r="TZ254" i="2"/>
  <c r="TY255" i="2"/>
  <c r="TZ255" i="2"/>
  <c r="TY256" i="2"/>
  <c r="TZ256" i="2"/>
  <c r="TY257" i="2"/>
  <c r="TZ257" i="2"/>
  <c r="TY258" i="2"/>
  <c r="TZ258" i="2"/>
  <c r="TY259" i="2"/>
  <c r="TZ259" i="2"/>
  <c r="TY260" i="2"/>
  <c r="TZ260" i="2"/>
  <c r="TY261" i="2"/>
  <c r="TZ261" i="2"/>
  <c r="TY262" i="2"/>
  <c r="TZ262" i="2"/>
  <c r="TY263" i="2"/>
  <c r="TZ263" i="2"/>
  <c r="TY264" i="2"/>
  <c r="TZ264" i="2"/>
  <c r="TY265" i="2"/>
  <c r="TZ265" i="2"/>
  <c r="TY266" i="2"/>
  <c r="TZ266" i="2"/>
  <c r="TY267" i="2"/>
  <c r="TZ267" i="2"/>
  <c r="TY268" i="2"/>
  <c r="TZ268" i="2"/>
  <c r="TY269" i="2"/>
  <c r="TZ269" i="2"/>
  <c r="TY270" i="2"/>
  <c r="TZ270" i="2"/>
  <c r="TY271" i="2"/>
  <c r="TZ271" i="2"/>
  <c r="TY272" i="2"/>
  <c r="TZ272" i="2"/>
  <c r="TY273" i="2"/>
  <c r="TZ273" i="2"/>
  <c r="TY274" i="2"/>
  <c r="TZ274" i="2"/>
  <c r="TY275" i="2"/>
  <c r="TZ275" i="2"/>
  <c r="TY276" i="2"/>
  <c r="TZ276" i="2"/>
  <c r="TY277" i="2"/>
  <c r="TZ277" i="2"/>
  <c r="TY278" i="2"/>
  <c r="TZ278" i="2"/>
  <c r="TY280" i="2"/>
  <c r="TZ280" i="2"/>
  <c r="TY281" i="2"/>
  <c r="TZ281" i="2"/>
  <c r="TY282" i="2"/>
  <c r="TZ282" i="2"/>
  <c r="TY283" i="2"/>
  <c r="TZ283" i="2"/>
  <c r="TY284" i="2"/>
  <c r="TZ284" i="2"/>
  <c r="TY285" i="2"/>
  <c r="TZ285" i="2"/>
  <c r="TY286" i="2"/>
  <c r="TZ286" i="2"/>
  <c r="TY287" i="2"/>
  <c r="TZ287" i="2"/>
  <c r="TY288" i="2"/>
  <c r="TZ288" i="2"/>
  <c r="TY289" i="2"/>
  <c r="TZ289" i="2"/>
  <c r="TY290" i="2"/>
  <c r="TZ290" i="2"/>
  <c r="TY291" i="2"/>
  <c r="TZ291" i="2"/>
  <c r="TY292" i="2"/>
  <c r="TZ292" i="2"/>
  <c r="TY293" i="2"/>
  <c r="TZ293" i="2"/>
  <c r="TY294" i="2"/>
  <c r="TZ294" i="2"/>
  <c r="TY295" i="2"/>
  <c r="TZ295" i="2"/>
  <c r="TY296" i="2"/>
  <c r="TZ296" i="2"/>
  <c r="TY297" i="2"/>
  <c r="TZ297" i="2"/>
  <c r="TY298" i="2"/>
  <c r="TZ298" i="2"/>
  <c r="TY299" i="2"/>
  <c r="TZ299" i="2"/>
  <c r="TY300" i="2"/>
  <c r="TZ300" i="2"/>
  <c r="TY301" i="2"/>
  <c r="TZ301" i="2"/>
  <c r="TY302" i="2"/>
  <c r="TZ302" i="2"/>
  <c r="TY303" i="2"/>
  <c r="TZ303" i="2"/>
  <c r="TY304" i="2"/>
  <c r="TZ304" i="2"/>
  <c r="TY305" i="2"/>
  <c r="TZ305" i="2"/>
  <c r="TY306" i="2"/>
  <c r="TZ306" i="2"/>
  <c r="TY307" i="2"/>
  <c r="TZ307" i="2"/>
  <c r="TY308" i="2"/>
  <c r="TZ308" i="2"/>
  <c r="TY309" i="2"/>
  <c r="TZ309" i="2"/>
  <c r="TY310" i="2"/>
  <c r="TZ310" i="2"/>
  <c r="TY311" i="2"/>
  <c r="TZ311" i="2"/>
  <c r="TY312" i="2"/>
  <c r="TZ312" i="2"/>
  <c r="TY313" i="2"/>
  <c r="TZ313" i="2"/>
  <c r="TY314" i="2"/>
  <c r="TZ314" i="2"/>
  <c r="TY315" i="2"/>
  <c r="TZ315" i="2"/>
  <c r="TY316" i="2"/>
  <c r="TZ316" i="2"/>
  <c r="TY318" i="2"/>
  <c r="TZ318" i="2"/>
  <c r="TY319" i="2"/>
  <c r="TZ319" i="2"/>
  <c r="TY320" i="2"/>
  <c r="TZ320" i="2"/>
  <c r="TY321" i="2"/>
  <c r="TZ321" i="2"/>
  <c r="TY322" i="2"/>
  <c r="TZ322" i="2"/>
  <c r="TY323" i="2"/>
  <c r="TZ323" i="2"/>
  <c r="TY324" i="2"/>
  <c r="TZ324" i="2"/>
  <c r="TY325" i="2"/>
  <c r="TZ325" i="2"/>
  <c r="TY326" i="2"/>
  <c r="TZ326" i="2"/>
  <c r="TY327" i="2"/>
  <c r="TZ327" i="2"/>
  <c r="TY328" i="2"/>
  <c r="TZ328" i="2"/>
  <c r="TY329" i="2"/>
  <c r="TZ329" i="2"/>
  <c r="TY330" i="2"/>
  <c r="TZ330" i="2"/>
  <c r="TY331" i="2"/>
  <c r="TZ331" i="2"/>
  <c r="TY332" i="2"/>
  <c r="TZ332" i="2"/>
  <c r="TY333" i="2"/>
  <c r="TZ333" i="2"/>
  <c r="TY334" i="2"/>
  <c r="TZ334" i="2"/>
  <c r="TY335" i="2"/>
  <c r="TZ335" i="2"/>
  <c r="TY336" i="2"/>
  <c r="TZ336" i="2"/>
  <c r="TY337" i="2"/>
  <c r="TZ337" i="2"/>
  <c r="TY338" i="2"/>
  <c r="TZ338" i="2"/>
  <c r="TY339" i="2"/>
  <c r="TZ339" i="2"/>
  <c r="TY340" i="2"/>
  <c r="TZ340" i="2"/>
  <c r="TY341" i="2"/>
  <c r="TZ341" i="2"/>
  <c r="TY342" i="2"/>
  <c r="TZ342" i="2"/>
  <c r="TY343" i="2"/>
  <c r="TZ343" i="2"/>
  <c r="TY344" i="2"/>
  <c r="TZ344" i="2"/>
  <c r="TY345" i="2"/>
  <c r="TZ345" i="2"/>
  <c r="TY346" i="2"/>
  <c r="TZ346" i="2"/>
  <c r="TY347" i="2"/>
  <c r="TZ347" i="2"/>
  <c r="TY348" i="2"/>
  <c r="TZ348" i="2"/>
  <c r="TY349" i="2"/>
  <c r="TZ349" i="2"/>
  <c r="TY350" i="2"/>
  <c r="TZ350" i="2"/>
  <c r="TY351" i="2"/>
  <c r="TZ351" i="2"/>
  <c r="TY352" i="2"/>
  <c r="TZ352" i="2"/>
  <c r="TY353" i="2"/>
  <c r="TZ353" i="2"/>
  <c r="TY354" i="2"/>
  <c r="TZ354" i="2"/>
  <c r="TY356" i="2"/>
  <c r="TZ356" i="2"/>
  <c r="TY357" i="2"/>
  <c r="TZ357" i="2"/>
  <c r="TY358" i="2"/>
  <c r="TZ358" i="2"/>
  <c r="TY359" i="2"/>
  <c r="TZ359" i="2"/>
  <c r="TY360" i="2"/>
  <c r="TZ360" i="2"/>
  <c r="TY361" i="2"/>
  <c r="TZ361" i="2"/>
  <c r="TY362" i="2"/>
  <c r="TZ362" i="2"/>
  <c r="TY363" i="2"/>
  <c r="TZ363" i="2"/>
  <c r="TY364" i="2"/>
  <c r="TZ364" i="2"/>
  <c r="TY365" i="2"/>
  <c r="TZ365" i="2"/>
  <c r="TY366" i="2"/>
  <c r="TZ366" i="2"/>
  <c r="TY367" i="2"/>
  <c r="TZ367" i="2"/>
  <c r="TY368" i="2"/>
  <c r="TZ368" i="2"/>
  <c r="TY369" i="2"/>
  <c r="TZ369" i="2"/>
  <c r="TY370" i="2"/>
  <c r="TZ370" i="2"/>
  <c r="TY371" i="2"/>
  <c r="TZ371" i="2"/>
  <c r="TY372" i="2"/>
  <c r="TZ372" i="2"/>
  <c r="TY373" i="2"/>
  <c r="TZ373" i="2"/>
  <c r="TY374" i="2"/>
  <c r="TZ374" i="2"/>
  <c r="TY375" i="2"/>
  <c r="TZ375" i="2"/>
  <c r="TY376" i="2"/>
  <c r="TZ376" i="2"/>
  <c r="TY377" i="2"/>
  <c r="TZ377" i="2"/>
  <c r="TY378" i="2"/>
  <c r="TZ378" i="2"/>
  <c r="TY379" i="2"/>
  <c r="TZ379" i="2"/>
  <c r="TY380" i="2"/>
  <c r="TZ380" i="2"/>
  <c r="TY381" i="2"/>
  <c r="TZ381" i="2"/>
  <c r="TY382" i="2"/>
  <c r="TZ382" i="2"/>
  <c r="TY383" i="2"/>
  <c r="TZ383" i="2"/>
  <c r="TY384" i="2"/>
  <c r="TZ384" i="2"/>
  <c r="TY385" i="2"/>
  <c r="TZ385" i="2"/>
  <c r="TY386" i="2"/>
  <c r="TZ386" i="2"/>
  <c r="TY387" i="2"/>
  <c r="TZ387" i="2"/>
  <c r="TY388" i="2"/>
  <c r="TZ388" i="2"/>
  <c r="TY389" i="2"/>
  <c r="TZ389" i="2"/>
  <c r="TY390" i="2"/>
  <c r="TZ390" i="2"/>
  <c r="TY391" i="2"/>
  <c r="TZ391" i="2"/>
  <c r="TY392" i="2"/>
  <c r="TZ392" i="2"/>
  <c r="TY394" i="2"/>
  <c r="TZ394" i="2"/>
  <c r="TY395" i="2"/>
  <c r="TZ395" i="2"/>
  <c r="TY396" i="2"/>
  <c r="TZ396" i="2"/>
  <c r="TY397" i="2"/>
  <c r="TZ397" i="2"/>
  <c r="TY398" i="2"/>
  <c r="TZ398" i="2"/>
  <c r="TY399" i="2"/>
  <c r="TZ399" i="2"/>
  <c r="TY400" i="2"/>
  <c r="TZ400" i="2"/>
  <c r="TY401" i="2"/>
  <c r="TZ401" i="2"/>
  <c r="TY402" i="2"/>
  <c r="TZ402" i="2"/>
  <c r="TY403" i="2"/>
  <c r="TZ403" i="2"/>
  <c r="TY404" i="2"/>
  <c r="TZ404" i="2"/>
  <c r="TY405" i="2"/>
  <c r="TZ405" i="2"/>
  <c r="TY406" i="2"/>
  <c r="TZ406" i="2"/>
  <c r="TY407" i="2"/>
  <c r="TZ407" i="2"/>
  <c r="TY408" i="2"/>
  <c r="TZ408" i="2"/>
  <c r="TY409" i="2"/>
  <c r="TZ409" i="2"/>
  <c r="TY410" i="2"/>
  <c r="TZ410" i="2"/>
  <c r="TY411" i="2"/>
  <c r="TZ411" i="2"/>
  <c r="TY412" i="2"/>
  <c r="TZ412" i="2"/>
  <c r="TY413" i="2"/>
  <c r="TZ413" i="2"/>
  <c r="TY414" i="2"/>
  <c r="TZ414" i="2"/>
  <c r="TY415" i="2"/>
  <c r="TZ415" i="2"/>
  <c r="TY416" i="2"/>
  <c r="TZ416" i="2"/>
  <c r="TY417" i="2"/>
  <c r="TZ417" i="2"/>
  <c r="TY418" i="2"/>
  <c r="TZ418" i="2"/>
  <c r="TY419" i="2"/>
  <c r="TZ419" i="2"/>
  <c r="TY420" i="2"/>
  <c r="TZ420" i="2"/>
  <c r="TY421" i="2"/>
  <c r="TZ421" i="2"/>
  <c r="TY422" i="2"/>
  <c r="TZ422" i="2"/>
  <c r="TY423" i="2"/>
  <c r="TZ423" i="2"/>
  <c r="TY424" i="2"/>
  <c r="TZ424" i="2"/>
  <c r="TY425" i="2"/>
  <c r="TZ425" i="2"/>
  <c r="TY426" i="2"/>
  <c r="TZ426" i="2"/>
  <c r="TY427" i="2"/>
  <c r="TZ427" i="2"/>
  <c r="TY428" i="2"/>
  <c r="TZ428" i="2"/>
  <c r="TY429" i="2"/>
  <c r="TZ429" i="2"/>
  <c r="TY430" i="2"/>
  <c r="TZ430" i="2"/>
  <c r="TY432" i="2"/>
  <c r="TZ432" i="2"/>
  <c r="TY433" i="2"/>
  <c r="TZ433" i="2"/>
  <c r="TY434" i="2"/>
  <c r="TZ434" i="2"/>
  <c r="TY435" i="2"/>
  <c r="TZ435" i="2"/>
  <c r="TY436" i="2"/>
  <c r="TZ436" i="2"/>
  <c r="TY437" i="2"/>
  <c r="TZ437" i="2"/>
  <c r="TY438" i="2"/>
  <c r="TZ438" i="2"/>
  <c r="TY439" i="2"/>
  <c r="TZ439" i="2"/>
  <c r="TY440" i="2"/>
  <c r="TZ440" i="2"/>
  <c r="TY441" i="2"/>
  <c r="TZ441" i="2"/>
  <c r="TY442" i="2"/>
  <c r="TZ442" i="2"/>
  <c r="TY443" i="2"/>
  <c r="TZ443" i="2"/>
  <c r="TY444" i="2"/>
  <c r="TZ444" i="2"/>
  <c r="TY445" i="2"/>
  <c r="TZ445" i="2"/>
  <c r="TY446" i="2"/>
  <c r="TZ446" i="2"/>
  <c r="TY447" i="2"/>
  <c r="TZ447" i="2"/>
  <c r="TY448" i="2"/>
  <c r="TZ448" i="2"/>
  <c r="TY449" i="2"/>
  <c r="TZ449" i="2"/>
  <c r="TY450" i="2"/>
  <c r="TZ450" i="2"/>
  <c r="TY451" i="2"/>
  <c r="TZ451" i="2"/>
  <c r="TY452" i="2"/>
  <c r="TZ452" i="2"/>
  <c r="TY453" i="2"/>
  <c r="TZ453" i="2"/>
  <c r="TY454" i="2"/>
  <c r="TZ454" i="2"/>
  <c r="TY455" i="2"/>
  <c r="TZ455" i="2"/>
  <c r="TY456" i="2"/>
  <c r="TZ456" i="2"/>
  <c r="TY457" i="2"/>
  <c r="TZ457" i="2"/>
  <c r="TY458" i="2"/>
  <c r="TZ458" i="2"/>
  <c r="TY459" i="2"/>
  <c r="TZ459" i="2"/>
  <c r="TY460" i="2"/>
  <c r="TZ460" i="2"/>
  <c r="TY461" i="2"/>
  <c r="TZ461" i="2"/>
  <c r="TY462" i="2"/>
  <c r="TZ462" i="2"/>
  <c r="TY463" i="2"/>
  <c r="TZ463" i="2"/>
  <c r="TY464" i="2"/>
  <c r="TZ464" i="2"/>
  <c r="TY465" i="2"/>
  <c r="TZ465" i="2"/>
  <c r="TY466" i="2"/>
  <c r="TZ466" i="2"/>
  <c r="TY467" i="2"/>
  <c r="TZ467" i="2"/>
  <c r="TY468" i="2"/>
  <c r="TZ468" i="2"/>
  <c r="TZ15" i="2"/>
  <c r="TZ16" i="2"/>
  <c r="TZ17" i="2"/>
  <c r="TZ18" i="2"/>
  <c r="TZ19" i="2"/>
  <c r="TZ20" i="2"/>
  <c r="TZ21" i="2"/>
  <c r="TZ22" i="2"/>
  <c r="TZ23" i="2"/>
  <c r="TZ24" i="2"/>
  <c r="TZ25" i="2"/>
  <c r="TZ26" i="2"/>
  <c r="TZ27" i="2"/>
  <c r="TZ28" i="2"/>
  <c r="TZ29" i="2"/>
  <c r="TZ30" i="2"/>
  <c r="TZ31" i="2"/>
  <c r="TZ32" i="2"/>
  <c r="TZ33" i="2"/>
  <c r="TZ34" i="2"/>
  <c r="TZ35" i="2"/>
  <c r="TZ36" i="2"/>
  <c r="TZ37" i="2"/>
  <c r="TZ38" i="2"/>
  <c r="TZ39" i="2"/>
  <c r="TZ40" i="2"/>
  <c r="TZ41" i="2"/>
  <c r="TZ42" i="2"/>
  <c r="TZ43" i="2"/>
  <c r="TZ44" i="2"/>
  <c r="TZ45" i="2"/>
  <c r="TZ46" i="2"/>
  <c r="TZ47" i="2"/>
  <c r="TZ48" i="2"/>
  <c r="TZ49" i="2"/>
  <c r="TZ50" i="2"/>
  <c r="TZ14" i="2"/>
  <c r="TY14" i="2"/>
  <c r="TI52" i="2"/>
  <c r="TJ52" i="2"/>
  <c r="TI53" i="2"/>
  <c r="TJ53" i="2"/>
  <c r="TI54" i="2"/>
  <c r="TJ54" i="2"/>
  <c r="TI55" i="2"/>
  <c r="TJ55" i="2"/>
  <c r="TI56" i="2"/>
  <c r="TJ56" i="2"/>
  <c r="TI57" i="2"/>
  <c r="TJ57" i="2"/>
  <c r="TI58" i="2"/>
  <c r="TJ58" i="2"/>
  <c r="TI59" i="2"/>
  <c r="TJ59" i="2"/>
  <c r="TI60" i="2"/>
  <c r="TJ60" i="2"/>
  <c r="TI61" i="2"/>
  <c r="TJ61" i="2"/>
  <c r="TI62" i="2"/>
  <c r="TJ62" i="2"/>
  <c r="TI63" i="2"/>
  <c r="TJ63" i="2"/>
  <c r="TI64" i="2"/>
  <c r="TJ64" i="2"/>
  <c r="TI65" i="2"/>
  <c r="TJ65" i="2"/>
  <c r="TI66" i="2"/>
  <c r="TJ66" i="2"/>
  <c r="TI67" i="2"/>
  <c r="TJ67" i="2"/>
  <c r="TI68" i="2"/>
  <c r="TJ68" i="2"/>
  <c r="TI69" i="2"/>
  <c r="TJ69" i="2"/>
  <c r="TI70" i="2"/>
  <c r="TJ70" i="2"/>
  <c r="TI71" i="2"/>
  <c r="TJ71" i="2"/>
  <c r="TI72" i="2"/>
  <c r="TJ72" i="2"/>
  <c r="TI73" i="2"/>
  <c r="TJ73" i="2"/>
  <c r="TI74" i="2"/>
  <c r="TJ74" i="2"/>
  <c r="TI75" i="2"/>
  <c r="TJ75" i="2"/>
  <c r="TI76" i="2"/>
  <c r="TJ76" i="2"/>
  <c r="TI77" i="2"/>
  <c r="TJ77" i="2"/>
  <c r="TI78" i="2"/>
  <c r="TJ78" i="2"/>
  <c r="TI79" i="2"/>
  <c r="TJ79" i="2"/>
  <c r="TI80" i="2"/>
  <c r="TJ80" i="2"/>
  <c r="TI81" i="2"/>
  <c r="TJ81" i="2"/>
  <c r="TI82" i="2"/>
  <c r="TJ82" i="2"/>
  <c r="TI83" i="2"/>
  <c r="TJ83" i="2"/>
  <c r="TI84" i="2"/>
  <c r="TJ84" i="2"/>
  <c r="TI85" i="2"/>
  <c r="TJ85" i="2"/>
  <c r="TI86" i="2"/>
  <c r="TJ86" i="2"/>
  <c r="TI87" i="2"/>
  <c r="TJ87" i="2"/>
  <c r="TI88" i="2"/>
  <c r="TJ88" i="2"/>
  <c r="TI90" i="2"/>
  <c r="TJ90" i="2"/>
  <c r="TI91" i="2"/>
  <c r="TJ91" i="2"/>
  <c r="TI92" i="2"/>
  <c r="TJ92" i="2"/>
  <c r="TI93" i="2"/>
  <c r="TJ93" i="2"/>
  <c r="TI94" i="2"/>
  <c r="TJ94" i="2"/>
  <c r="TI95" i="2"/>
  <c r="TJ95" i="2"/>
  <c r="TI96" i="2"/>
  <c r="TJ96" i="2"/>
  <c r="TI97" i="2"/>
  <c r="TJ97" i="2"/>
  <c r="TI98" i="2"/>
  <c r="TJ98" i="2"/>
  <c r="TI99" i="2"/>
  <c r="TJ99" i="2"/>
  <c r="TI100" i="2"/>
  <c r="TJ100" i="2"/>
  <c r="TI101" i="2"/>
  <c r="TJ101" i="2"/>
  <c r="TI102" i="2"/>
  <c r="TJ102" i="2"/>
  <c r="TI103" i="2"/>
  <c r="TJ103" i="2"/>
  <c r="TI104" i="2"/>
  <c r="TJ104" i="2"/>
  <c r="TI105" i="2"/>
  <c r="TJ105" i="2"/>
  <c r="TI106" i="2"/>
  <c r="TJ106" i="2"/>
  <c r="TI107" i="2"/>
  <c r="TJ107" i="2"/>
  <c r="TI108" i="2"/>
  <c r="TJ108" i="2"/>
  <c r="TI109" i="2"/>
  <c r="TJ109" i="2"/>
  <c r="TI110" i="2"/>
  <c r="TJ110" i="2"/>
  <c r="TI111" i="2"/>
  <c r="TJ111" i="2"/>
  <c r="TI112" i="2"/>
  <c r="TJ112" i="2"/>
  <c r="TI113" i="2"/>
  <c r="TJ113" i="2"/>
  <c r="TI114" i="2"/>
  <c r="TJ114" i="2"/>
  <c r="TI115" i="2"/>
  <c r="TJ115" i="2"/>
  <c r="TI116" i="2"/>
  <c r="TJ116" i="2"/>
  <c r="TI117" i="2"/>
  <c r="TJ117" i="2"/>
  <c r="TI118" i="2"/>
  <c r="TJ118" i="2"/>
  <c r="TI119" i="2"/>
  <c r="TJ119" i="2"/>
  <c r="TI120" i="2"/>
  <c r="TJ120" i="2"/>
  <c r="TI121" i="2"/>
  <c r="TJ121" i="2"/>
  <c r="TI122" i="2"/>
  <c r="TJ122" i="2"/>
  <c r="TI123" i="2"/>
  <c r="TJ123" i="2"/>
  <c r="TI124" i="2"/>
  <c r="TJ124" i="2"/>
  <c r="TI125" i="2"/>
  <c r="TJ125" i="2"/>
  <c r="TI126" i="2"/>
  <c r="TJ126" i="2"/>
  <c r="TI128" i="2"/>
  <c r="TJ128" i="2"/>
  <c r="TI129" i="2"/>
  <c r="TJ129" i="2"/>
  <c r="TI130" i="2"/>
  <c r="TJ130" i="2"/>
  <c r="TI131" i="2"/>
  <c r="TJ131" i="2"/>
  <c r="TI132" i="2"/>
  <c r="TJ132" i="2"/>
  <c r="TI133" i="2"/>
  <c r="TJ133" i="2"/>
  <c r="TI134" i="2"/>
  <c r="TJ134" i="2"/>
  <c r="TI135" i="2"/>
  <c r="TJ135" i="2"/>
  <c r="TI136" i="2"/>
  <c r="TJ136" i="2"/>
  <c r="TI137" i="2"/>
  <c r="TJ137" i="2"/>
  <c r="TI138" i="2"/>
  <c r="TJ138" i="2"/>
  <c r="TI139" i="2"/>
  <c r="TJ139" i="2"/>
  <c r="TI140" i="2"/>
  <c r="TJ140" i="2"/>
  <c r="TI141" i="2"/>
  <c r="TJ141" i="2"/>
  <c r="TI142" i="2"/>
  <c r="TJ142" i="2"/>
  <c r="TI143" i="2"/>
  <c r="TJ143" i="2"/>
  <c r="TI144" i="2"/>
  <c r="TJ144" i="2"/>
  <c r="TI145" i="2"/>
  <c r="TJ145" i="2"/>
  <c r="TI146" i="2"/>
  <c r="TJ146" i="2"/>
  <c r="TI147" i="2"/>
  <c r="TJ147" i="2"/>
  <c r="TI148" i="2"/>
  <c r="TJ148" i="2"/>
  <c r="TI149" i="2"/>
  <c r="TJ149" i="2"/>
  <c r="TI150" i="2"/>
  <c r="TJ150" i="2"/>
  <c r="TI151" i="2"/>
  <c r="TJ151" i="2"/>
  <c r="TI152" i="2"/>
  <c r="TJ152" i="2"/>
  <c r="TI153" i="2"/>
  <c r="TJ153" i="2"/>
  <c r="TI154" i="2"/>
  <c r="TJ154" i="2"/>
  <c r="TI155" i="2"/>
  <c r="TJ155" i="2"/>
  <c r="TI156" i="2"/>
  <c r="TJ156" i="2"/>
  <c r="TI157" i="2"/>
  <c r="TJ157" i="2"/>
  <c r="TI158" i="2"/>
  <c r="TJ158" i="2"/>
  <c r="TI159" i="2"/>
  <c r="TJ159" i="2"/>
  <c r="TI160" i="2"/>
  <c r="TJ160" i="2"/>
  <c r="TI161" i="2"/>
  <c r="TJ161" i="2"/>
  <c r="TI162" i="2"/>
  <c r="TJ162" i="2"/>
  <c r="TI163" i="2"/>
  <c r="TJ163" i="2"/>
  <c r="TI164" i="2"/>
  <c r="TJ164" i="2"/>
  <c r="TI166" i="2"/>
  <c r="TJ166" i="2"/>
  <c r="TI167" i="2"/>
  <c r="TJ167" i="2"/>
  <c r="TI168" i="2"/>
  <c r="TJ168" i="2"/>
  <c r="TI169" i="2"/>
  <c r="TJ169" i="2"/>
  <c r="TI170" i="2"/>
  <c r="TJ170" i="2"/>
  <c r="TI171" i="2"/>
  <c r="TJ171" i="2"/>
  <c r="TI172" i="2"/>
  <c r="TJ172" i="2"/>
  <c r="TI173" i="2"/>
  <c r="TJ173" i="2"/>
  <c r="TI174" i="2"/>
  <c r="TJ174" i="2"/>
  <c r="TI175" i="2"/>
  <c r="TJ175" i="2"/>
  <c r="TI176" i="2"/>
  <c r="TJ176" i="2"/>
  <c r="TI177" i="2"/>
  <c r="TJ177" i="2"/>
  <c r="TI178" i="2"/>
  <c r="TJ178" i="2"/>
  <c r="TI179" i="2"/>
  <c r="TJ179" i="2"/>
  <c r="TI180" i="2"/>
  <c r="TJ180" i="2"/>
  <c r="TI181" i="2"/>
  <c r="TJ181" i="2"/>
  <c r="TI182" i="2"/>
  <c r="TJ182" i="2"/>
  <c r="TI183" i="2"/>
  <c r="TJ183" i="2"/>
  <c r="TI184" i="2"/>
  <c r="TJ184" i="2"/>
  <c r="TI185" i="2"/>
  <c r="TJ185" i="2"/>
  <c r="TI186" i="2"/>
  <c r="TJ186" i="2"/>
  <c r="TI187" i="2"/>
  <c r="TJ187" i="2"/>
  <c r="TI188" i="2"/>
  <c r="TJ188" i="2"/>
  <c r="TI189" i="2"/>
  <c r="TJ189" i="2"/>
  <c r="TI190" i="2"/>
  <c r="TJ190" i="2"/>
  <c r="TI191" i="2"/>
  <c r="TJ191" i="2"/>
  <c r="TI192" i="2"/>
  <c r="TJ192" i="2"/>
  <c r="TI193" i="2"/>
  <c r="TJ193" i="2"/>
  <c r="TI194" i="2"/>
  <c r="TJ194" i="2"/>
  <c r="TI195" i="2"/>
  <c r="TJ195" i="2"/>
  <c r="TI196" i="2"/>
  <c r="TJ196" i="2"/>
  <c r="TI197" i="2"/>
  <c r="TJ197" i="2"/>
  <c r="TI198" i="2"/>
  <c r="TJ198" i="2"/>
  <c r="TI199" i="2"/>
  <c r="TJ199" i="2"/>
  <c r="TI200" i="2"/>
  <c r="TJ200" i="2"/>
  <c r="TI201" i="2"/>
  <c r="TJ201" i="2"/>
  <c r="TI202" i="2"/>
  <c r="TJ202" i="2"/>
  <c r="TI204" i="2"/>
  <c r="TJ204" i="2"/>
  <c r="TI205" i="2"/>
  <c r="TJ205" i="2"/>
  <c r="TI206" i="2"/>
  <c r="TJ206" i="2"/>
  <c r="TI207" i="2"/>
  <c r="TJ207" i="2"/>
  <c r="TI208" i="2"/>
  <c r="TJ208" i="2"/>
  <c r="TI209" i="2"/>
  <c r="TJ209" i="2"/>
  <c r="TI210" i="2"/>
  <c r="TJ210" i="2"/>
  <c r="TI211" i="2"/>
  <c r="TJ211" i="2"/>
  <c r="TI212" i="2"/>
  <c r="TJ212" i="2"/>
  <c r="TI213" i="2"/>
  <c r="TJ213" i="2"/>
  <c r="TI214" i="2"/>
  <c r="TJ214" i="2"/>
  <c r="TI215" i="2"/>
  <c r="TJ215" i="2"/>
  <c r="TI216" i="2"/>
  <c r="TJ216" i="2"/>
  <c r="TI217" i="2"/>
  <c r="TJ217" i="2"/>
  <c r="TI218" i="2"/>
  <c r="TJ218" i="2"/>
  <c r="TI219" i="2"/>
  <c r="TJ219" i="2"/>
  <c r="TI220" i="2"/>
  <c r="TJ220" i="2"/>
  <c r="TI221" i="2"/>
  <c r="TJ221" i="2"/>
  <c r="TI222" i="2"/>
  <c r="TJ222" i="2"/>
  <c r="TI223" i="2"/>
  <c r="TJ223" i="2"/>
  <c r="TI224" i="2"/>
  <c r="TJ224" i="2"/>
  <c r="TI225" i="2"/>
  <c r="TJ225" i="2"/>
  <c r="TI226" i="2"/>
  <c r="TJ226" i="2"/>
  <c r="TI227" i="2"/>
  <c r="TJ227" i="2"/>
  <c r="TI228" i="2"/>
  <c r="TJ228" i="2"/>
  <c r="TI229" i="2"/>
  <c r="TJ229" i="2"/>
  <c r="TI230" i="2"/>
  <c r="TJ230" i="2"/>
  <c r="TI231" i="2"/>
  <c r="TJ231" i="2"/>
  <c r="TI232" i="2"/>
  <c r="TJ232" i="2"/>
  <c r="TI233" i="2"/>
  <c r="TJ233" i="2"/>
  <c r="TI234" i="2"/>
  <c r="TJ234" i="2"/>
  <c r="TI235" i="2"/>
  <c r="TJ235" i="2"/>
  <c r="TI236" i="2"/>
  <c r="TJ236" i="2"/>
  <c r="TI237" i="2"/>
  <c r="TJ237" i="2"/>
  <c r="TI238" i="2"/>
  <c r="TJ238" i="2"/>
  <c r="TI239" i="2"/>
  <c r="TJ239" i="2"/>
  <c r="TI240" i="2"/>
  <c r="TJ240" i="2"/>
  <c r="TI242" i="2"/>
  <c r="TJ242" i="2"/>
  <c r="TI243" i="2"/>
  <c r="TJ243" i="2"/>
  <c r="TI244" i="2"/>
  <c r="TJ244" i="2"/>
  <c r="TI245" i="2"/>
  <c r="TJ245" i="2"/>
  <c r="TI246" i="2"/>
  <c r="TJ246" i="2"/>
  <c r="TI247" i="2"/>
  <c r="TJ247" i="2"/>
  <c r="TI248" i="2"/>
  <c r="TJ248" i="2"/>
  <c r="TI249" i="2"/>
  <c r="TJ249" i="2"/>
  <c r="TI250" i="2"/>
  <c r="TJ250" i="2"/>
  <c r="TI251" i="2"/>
  <c r="TJ251" i="2"/>
  <c r="TI252" i="2"/>
  <c r="TJ252" i="2"/>
  <c r="TI253" i="2"/>
  <c r="TJ253" i="2"/>
  <c r="TI254" i="2"/>
  <c r="TJ254" i="2"/>
  <c r="TI255" i="2"/>
  <c r="TJ255" i="2"/>
  <c r="TI256" i="2"/>
  <c r="TJ256" i="2"/>
  <c r="TI257" i="2"/>
  <c r="TJ257" i="2"/>
  <c r="TI258" i="2"/>
  <c r="TJ258" i="2"/>
  <c r="TI259" i="2"/>
  <c r="TJ259" i="2"/>
  <c r="TI260" i="2"/>
  <c r="TJ260" i="2"/>
  <c r="TI261" i="2"/>
  <c r="TJ261" i="2"/>
  <c r="TI262" i="2"/>
  <c r="TJ262" i="2"/>
  <c r="TI263" i="2"/>
  <c r="TJ263" i="2"/>
  <c r="TI264" i="2"/>
  <c r="TJ264" i="2"/>
  <c r="TI265" i="2"/>
  <c r="TJ265" i="2"/>
  <c r="TI266" i="2"/>
  <c r="TJ266" i="2"/>
  <c r="TI267" i="2"/>
  <c r="TJ267" i="2"/>
  <c r="TI268" i="2"/>
  <c r="TJ268" i="2"/>
  <c r="TI269" i="2"/>
  <c r="TJ269" i="2"/>
  <c r="TI270" i="2"/>
  <c r="TJ270" i="2"/>
  <c r="TI271" i="2"/>
  <c r="TJ271" i="2"/>
  <c r="TI272" i="2"/>
  <c r="TJ272" i="2"/>
  <c r="TI273" i="2"/>
  <c r="TJ273" i="2"/>
  <c r="TI274" i="2"/>
  <c r="TJ274" i="2"/>
  <c r="TI275" i="2"/>
  <c r="TJ275" i="2"/>
  <c r="TI276" i="2"/>
  <c r="TJ276" i="2"/>
  <c r="TI277" i="2"/>
  <c r="TJ277" i="2"/>
  <c r="TI278" i="2"/>
  <c r="TJ278" i="2"/>
  <c r="TI280" i="2"/>
  <c r="TJ280" i="2"/>
  <c r="TI281" i="2"/>
  <c r="TJ281" i="2"/>
  <c r="TI282" i="2"/>
  <c r="TJ282" i="2"/>
  <c r="TI283" i="2"/>
  <c r="TJ283" i="2"/>
  <c r="TI284" i="2"/>
  <c r="TJ284" i="2"/>
  <c r="TI285" i="2"/>
  <c r="TJ285" i="2"/>
  <c r="TI286" i="2"/>
  <c r="TJ286" i="2"/>
  <c r="TI287" i="2"/>
  <c r="TJ287" i="2"/>
  <c r="TI288" i="2"/>
  <c r="TJ288" i="2"/>
  <c r="TI289" i="2"/>
  <c r="TJ289" i="2"/>
  <c r="TI290" i="2"/>
  <c r="TJ290" i="2"/>
  <c r="TI291" i="2"/>
  <c r="TJ291" i="2"/>
  <c r="TI292" i="2"/>
  <c r="TJ292" i="2"/>
  <c r="TI293" i="2"/>
  <c r="TJ293" i="2"/>
  <c r="TI294" i="2"/>
  <c r="TJ294" i="2"/>
  <c r="TI295" i="2"/>
  <c r="TJ295" i="2"/>
  <c r="TI296" i="2"/>
  <c r="TJ296" i="2"/>
  <c r="TI297" i="2"/>
  <c r="TJ297" i="2"/>
  <c r="TI298" i="2"/>
  <c r="TJ298" i="2"/>
  <c r="TI299" i="2"/>
  <c r="TJ299" i="2"/>
  <c r="TI300" i="2"/>
  <c r="TJ300" i="2"/>
  <c r="TI301" i="2"/>
  <c r="TJ301" i="2"/>
  <c r="TI302" i="2"/>
  <c r="TJ302" i="2"/>
  <c r="TI303" i="2"/>
  <c r="TJ303" i="2"/>
  <c r="TI304" i="2"/>
  <c r="TJ304" i="2"/>
  <c r="TI305" i="2"/>
  <c r="TJ305" i="2"/>
  <c r="TI306" i="2"/>
  <c r="TJ306" i="2"/>
  <c r="TI307" i="2"/>
  <c r="TJ307" i="2"/>
  <c r="TI308" i="2"/>
  <c r="TJ308" i="2"/>
  <c r="TI309" i="2"/>
  <c r="TJ309" i="2"/>
  <c r="TI310" i="2"/>
  <c r="TJ310" i="2"/>
  <c r="TI311" i="2"/>
  <c r="TJ311" i="2"/>
  <c r="TI312" i="2"/>
  <c r="TJ312" i="2"/>
  <c r="TI313" i="2"/>
  <c r="TJ313" i="2"/>
  <c r="TI314" i="2"/>
  <c r="TJ314" i="2"/>
  <c r="TI315" i="2"/>
  <c r="TJ315" i="2"/>
  <c r="TI316" i="2"/>
  <c r="TJ316" i="2"/>
  <c r="TI318" i="2"/>
  <c r="TJ318" i="2"/>
  <c r="TI319" i="2"/>
  <c r="TJ319" i="2"/>
  <c r="TI320" i="2"/>
  <c r="TJ320" i="2"/>
  <c r="TI321" i="2"/>
  <c r="TJ321" i="2"/>
  <c r="TI322" i="2"/>
  <c r="TJ322" i="2"/>
  <c r="TI323" i="2"/>
  <c r="TJ323" i="2"/>
  <c r="TI324" i="2"/>
  <c r="TJ324" i="2"/>
  <c r="TI325" i="2"/>
  <c r="TJ325" i="2"/>
  <c r="TI326" i="2"/>
  <c r="TJ326" i="2"/>
  <c r="TI327" i="2"/>
  <c r="TJ327" i="2"/>
  <c r="TI328" i="2"/>
  <c r="TJ328" i="2"/>
  <c r="TI329" i="2"/>
  <c r="TJ329" i="2"/>
  <c r="TI330" i="2"/>
  <c r="TJ330" i="2"/>
  <c r="TI331" i="2"/>
  <c r="TJ331" i="2"/>
  <c r="TI332" i="2"/>
  <c r="TJ332" i="2"/>
  <c r="TI333" i="2"/>
  <c r="TJ333" i="2"/>
  <c r="TI334" i="2"/>
  <c r="TJ334" i="2"/>
  <c r="TI335" i="2"/>
  <c r="TJ335" i="2"/>
  <c r="TI336" i="2"/>
  <c r="TJ336" i="2"/>
  <c r="TI337" i="2"/>
  <c r="TJ337" i="2"/>
  <c r="TI338" i="2"/>
  <c r="TJ338" i="2"/>
  <c r="TI339" i="2"/>
  <c r="TJ339" i="2"/>
  <c r="TI340" i="2"/>
  <c r="TJ340" i="2"/>
  <c r="TI341" i="2"/>
  <c r="TJ341" i="2"/>
  <c r="TI342" i="2"/>
  <c r="TJ342" i="2"/>
  <c r="TI343" i="2"/>
  <c r="TJ343" i="2"/>
  <c r="TI344" i="2"/>
  <c r="TJ344" i="2"/>
  <c r="TI345" i="2"/>
  <c r="TJ345" i="2"/>
  <c r="TI346" i="2"/>
  <c r="TJ346" i="2"/>
  <c r="TI347" i="2"/>
  <c r="TJ347" i="2"/>
  <c r="TI348" i="2"/>
  <c r="TJ348" i="2"/>
  <c r="TI349" i="2"/>
  <c r="TJ349" i="2"/>
  <c r="TI350" i="2"/>
  <c r="TJ350" i="2"/>
  <c r="TI351" i="2"/>
  <c r="TJ351" i="2"/>
  <c r="TI352" i="2"/>
  <c r="TJ352" i="2"/>
  <c r="TI353" i="2"/>
  <c r="TJ353" i="2"/>
  <c r="TI354" i="2"/>
  <c r="TJ354" i="2"/>
  <c r="TI356" i="2"/>
  <c r="TJ356" i="2"/>
  <c r="TI357" i="2"/>
  <c r="TJ357" i="2"/>
  <c r="TI358" i="2"/>
  <c r="TJ358" i="2"/>
  <c r="TI359" i="2"/>
  <c r="TJ359" i="2"/>
  <c r="TI360" i="2"/>
  <c r="TJ360" i="2"/>
  <c r="TI361" i="2"/>
  <c r="TJ361" i="2"/>
  <c r="TI362" i="2"/>
  <c r="TJ362" i="2"/>
  <c r="TI363" i="2"/>
  <c r="TJ363" i="2"/>
  <c r="TI364" i="2"/>
  <c r="TJ364" i="2"/>
  <c r="TI365" i="2"/>
  <c r="TJ365" i="2"/>
  <c r="TI366" i="2"/>
  <c r="TJ366" i="2"/>
  <c r="TI367" i="2"/>
  <c r="TJ367" i="2"/>
  <c r="TI368" i="2"/>
  <c r="TJ368" i="2"/>
  <c r="TI369" i="2"/>
  <c r="TJ369" i="2"/>
  <c r="TI370" i="2"/>
  <c r="TJ370" i="2"/>
  <c r="TI371" i="2"/>
  <c r="TJ371" i="2"/>
  <c r="TI372" i="2"/>
  <c r="TJ372" i="2"/>
  <c r="TI373" i="2"/>
  <c r="TJ373" i="2"/>
  <c r="TI374" i="2"/>
  <c r="TJ374" i="2"/>
  <c r="TI375" i="2"/>
  <c r="TJ375" i="2"/>
  <c r="TI376" i="2"/>
  <c r="TJ376" i="2"/>
  <c r="TI377" i="2"/>
  <c r="TJ377" i="2"/>
  <c r="TI378" i="2"/>
  <c r="TJ378" i="2"/>
  <c r="TI379" i="2"/>
  <c r="TJ379" i="2"/>
  <c r="TI380" i="2"/>
  <c r="TJ380" i="2"/>
  <c r="TI381" i="2"/>
  <c r="TJ381" i="2"/>
  <c r="TI382" i="2"/>
  <c r="TJ382" i="2"/>
  <c r="TI383" i="2"/>
  <c r="TJ383" i="2"/>
  <c r="TI384" i="2"/>
  <c r="TJ384" i="2"/>
  <c r="TI385" i="2"/>
  <c r="TJ385" i="2"/>
  <c r="TI386" i="2"/>
  <c r="TJ386" i="2"/>
  <c r="TI387" i="2"/>
  <c r="TJ387" i="2"/>
  <c r="TI388" i="2"/>
  <c r="TJ388" i="2"/>
  <c r="TI389" i="2"/>
  <c r="TJ389" i="2"/>
  <c r="TI390" i="2"/>
  <c r="TJ390" i="2"/>
  <c r="TI391" i="2"/>
  <c r="TJ391" i="2"/>
  <c r="TI392" i="2"/>
  <c r="TJ392" i="2"/>
  <c r="TI394" i="2"/>
  <c r="TJ394" i="2"/>
  <c r="TI395" i="2"/>
  <c r="TJ395" i="2"/>
  <c r="TI396" i="2"/>
  <c r="TJ396" i="2"/>
  <c r="TI397" i="2"/>
  <c r="TJ397" i="2"/>
  <c r="TI398" i="2"/>
  <c r="TJ398" i="2"/>
  <c r="TI399" i="2"/>
  <c r="TJ399" i="2"/>
  <c r="TI400" i="2"/>
  <c r="TJ400" i="2"/>
  <c r="TI401" i="2"/>
  <c r="TJ401" i="2"/>
  <c r="TI402" i="2"/>
  <c r="TJ402" i="2"/>
  <c r="TI403" i="2"/>
  <c r="TJ403" i="2"/>
  <c r="TI404" i="2"/>
  <c r="TJ404" i="2"/>
  <c r="TI405" i="2"/>
  <c r="TJ405" i="2"/>
  <c r="TI406" i="2"/>
  <c r="TJ406" i="2"/>
  <c r="TI407" i="2"/>
  <c r="TJ407" i="2"/>
  <c r="TI408" i="2"/>
  <c r="TJ408" i="2"/>
  <c r="TI409" i="2"/>
  <c r="TJ409" i="2"/>
  <c r="TI410" i="2"/>
  <c r="TJ410" i="2"/>
  <c r="TI411" i="2"/>
  <c r="TJ411" i="2"/>
  <c r="TI412" i="2"/>
  <c r="TJ412" i="2"/>
  <c r="TI413" i="2"/>
  <c r="TJ413" i="2"/>
  <c r="TI414" i="2"/>
  <c r="TJ414" i="2"/>
  <c r="TI415" i="2"/>
  <c r="TJ415" i="2"/>
  <c r="TI416" i="2"/>
  <c r="TJ416" i="2"/>
  <c r="TI417" i="2"/>
  <c r="TJ417" i="2"/>
  <c r="TI418" i="2"/>
  <c r="TJ418" i="2"/>
  <c r="TI419" i="2"/>
  <c r="TJ419" i="2"/>
  <c r="TI420" i="2"/>
  <c r="TJ420" i="2"/>
  <c r="TI421" i="2"/>
  <c r="TJ421" i="2"/>
  <c r="TI422" i="2"/>
  <c r="TJ422" i="2"/>
  <c r="TI423" i="2"/>
  <c r="TJ423" i="2"/>
  <c r="TI424" i="2"/>
  <c r="TJ424" i="2"/>
  <c r="TI425" i="2"/>
  <c r="TJ425" i="2"/>
  <c r="TI426" i="2"/>
  <c r="TJ426" i="2"/>
  <c r="TI427" i="2"/>
  <c r="TJ427" i="2"/>
  <c r="TI428" i="2"/>
  <c r="TJ428" i="2"/>
  <c r="TI429" i="2"/>
  <c r="TJ429" i="2"/>
  <c r="TI430" i="2"/>
  <c r="TJ430" i="2"/>
  <c r="TI432" i="2"/>
  <c r="TJ432" i="2"/>
  <c r="TI433" i="2"/>
  <c r="TJ433" i="2"/>
  <c r="TI434" i="2"/>
  <c r="TJ434" i="2"/>
  <c r="TI435" i="2"/>
  <c r="TJ435" i="2"/>
  <c r="TI436" i="2"/>
  <c r="TJ436" i="2"/>
  <c r="TI437" i="2"/>
  <c r="TJ437" i="2"/>
  <c r="TI438" i="2"/>
  <c r="TJ438" i="2"/>
  <c r="TI439" i="2"/>
  <c r="TJ439" i="2"/>
  <c r="TI440" i="2"/>
  <c r="TJ440" i="2"/>
  <c r="TI441" i="2"/>
  <c r="TJ441" i="2"/>
  <c r="TI442" i="2"/>
  <c r="TJ442" i="2"/>
  <c r="TI443" i="2"/>
  <c r="TJ443" i="2"/>
  <c r="TI444" i="2"/>
  <c r="TJ444" i="2"/>
  <c r="TI445" i="2"/>
  <c r="TJ445" i="2"/>
  <c r="TI446" i="2"/>
  <c r="TJ446" i="2"/>
  <c r="TI447" i="2"/>
  <c r="TJ447" i="2"/>
  <c r="TI448" i="2"/>
  <c r="TJ448" i="2"/>
  <c r="TI449" i="2"/>
  <c r="TJ449" i="2"/>
  <c r="TI450" i="2"/>
  <c r="TJ450" i="2"/>
  <c r="TI451" i="2"/>
  <c r="TJ451" i="2"/>
  <c r="TI452" i="2"/>
  <c r="TJ452" i="2"/>
  <c r="TI453" i="2"/>
  <c r="TJ453" i="2"/>
  <c r="TI454" i="2"/>
  <c r="TJ454" i="2"/>
  <c r="TI455" i="2"/>
  <c r="TJ455" i="2"/>
  <c r="TI456" i="2"/>
  <c r="TJ456" i="2"/>
  <c r="TI457" i="2"/>
  <c r="TJ457" i="2"/>
  <c r="TI458" i="2"/>
  <c r="TJ458" i="2"/>
  <c r="TI459" i="2"/>
  <c r="TJ459" i="2"/>
  <c r="TI460" i="2"/>
  <c r="TJ460" i="2"/>
  <c r="TI461" i="2"/>
  <c r="TJ461" i="2"/>
  <c r="TI462" i="2"/>
  <c r="TJ462" i="2"/>
  <c r="TI463" i="2"/>
  <c r="TJ463" i="2"/>
  <c r="TI464" i="2"/>
  <c r="TJ464" i="2"/>
  <c r="TI465" i="2"/>
  <c r="TJ465" i="2"/>
  <c r="TI466" i="2"/>
  <c r="TJ466" i="2"/>
  <c r="TI467" i="2"/>
  <c r="TJ467" i="2"/>
  <c r="TI468" i="2"/>
  <c r="TJ468" i="2"/>
  <c r="TJ15" i="2"/>
  <c r="TJ16" i="2"/>
  <c r="TJ17" i="2"/>
  <c r="TJ18" i="2"/>
  <c r="TJ19" i="2"/>
  <c r="TJ20" i="2"/>
  <c r="TJ21" i="2"/>
  <c r="TJ22" i="2"/>
  <c r="TJ23" i="2"/>
  <c r="TJ24" i="2"/>
  <c r="TJ25" i="2"/>
  <c r="TJ26" i="2"/>
  <c r="TJ27" i="2"/>
  <c r="TJ28" i="2"/>
  <c r="TJ29" i="2"/>
  <c r="TJ30" i="2"/>
  <c r="TJ31" i="2"/>
  <c r="TJ32" i="2"/>
  <c r="TJ33" i="2"/>
  <c r="TJ34" i="2"/>
  <c r="TJ35" i="2"/>
  <c r="TJ36" i="2"/>
  <c r="TJ37" i="2"/>
  <c r="TJ38" i="2"/>
  <c r="TJ39" i="2"/>
  <c r="TJ40" i="2"/>
  <c r="TJ41" i="2"/>
  <c r="TJ42" i="2"/>
  <c r="TJ43" i="2"/>
  <c r="TJ44" i="2"/>
  <c r="TJ45" i="2"/>
  <c r="TJ46" i="2"/>
  <c r="TJ47" i="2"/>
  <c r="TJ48" i="2"/>
  <c r="TJ49" i="2"/>
  <c r="TJ50" i="2"/>
  <c r="TJ14" i="2"/>
  <c r="TI14" i="2"/>
  <c r="SS52" i="2"/>
  <c r="ST52" i="2"/>
  <c r="SS53" i="2"/>
  <c r="ST53" i="2"/>
  <c r="SS54" i="2"/>
  <c r="ST54" i="2"/>
  <c r="SS55" i="2"/>
  <c r="ST55" i="2"/>
  <c r="SS56" i="2"/>
  <c r="ST56" i="2"/>
  <c r="SS57" i="2"/>
  <c r="ST57" i="2"/>
  <c r="SS58" i="2"/>
  <c r="ST58" i="2"/>
  <c r="SS59" i="2"/>
  <c r="ST59" i="2"/>
  <c r="SS60" i="2"/>
  <c r="ST60" i="2"/>
  <c r="SS61" i="2"/>
  <c r="ST61" i="2"/>
  <c r="SS62" i="2"/>
  <c r="ST62" i="2"/>
  <c r="SS63" i="2"/>
  <c r="ST63" i="2"/>
  <c r="SS64" i="2"/>
  <c r="ST64" i="2"/>
  <c r="SS65" i="2"/>
  <c r="ST65" i="2"/>
  <c r="SS66" i="2"/>
  <c r="ST66" i="2"/>
  <c r="SS67" i="2"/>
  <c r="ST67" i="2"/>
  <c r="SS68" i="2"/>
  <c r="ST68" i="2"/>
  <c r="SS69" i="2"/>
  <c r="ST69" i="2"/>
  <c r="SS70" i="2"/>
  <c r="ST70" i="2"/>
  <c r="SS71" i="2"/>
  <c r="ST71" i="2"/>
  <c r="SS72" i="2"/>
  <c r="ST72" i="2"/>
  <c r="SS73" i="2"/>
  <c r="ST73" i="2"/>
  <c r="SS74" i="2"/>
  <c r="ST74" i="2"/>
  <c r="SS75" i="2"/>
  <c r="ST75" i="2"/>
  <c r="SS76" i="2"/>
  <c r="ST76" i="2"/>
  <c r="SS77" i="2"/>
  <c r="ST77" i="2"/>
  <c r="SS78" i="2"/>
  <c r="ST78" i="2"/>
  <c r="SS79" i="2"/>
  <c r="ST79" i="2"/>
  <c r="SS80" i="2"/>
  <c r="ST80" i="2"/>
  <c r="SS81" i="2"/>
  <c r="ST81" i="2"/>
  <c r="SS82" i="2"/>
  <c r="ST82" i="2"/>
  <c r="SS83" i="2"/>
  <c r="ST83" i="2"/>
  <c r="SS84" i="2"/>
  <c r="ST84" i="2"/>
  <c r="SS85" i="2"/>
  <c r="ST85" i="2"/>
  <c r="SS86" i="2"/>
  <c r="ST86" i="2"/>
  <c r="SS87" i="2"/>
  <c r="ST87" i="2"/>
  <c r="SS88" i="2"/>
  <c r="ST88" i="2"/>
  <c r="SS90" i="2"/>
  <c r="ST90" i="2"/>
  <c r="SS91" i="2"/>
  <c r="ST91" i="2"/>
  <c r="SS92" i="2"/>
  <c r="ST92" i="2"/>
  <c r="SS93" i="2"/>
  <c r="ST93" i="2"/>
  <c r="SS94" i="2"/>
  <c r="ST94" i="2"/>
  <c r="SS95" i="2"/>
  <c r="ST95" i="2"/>
  <c r="SS96" i="2"/>
  <c r="ST96" i="2"/>
  <c r="SS97" i="2"/>
  <c r="ST97" i="2"/>
  <c r="SS98" i="2"/>
  <c r="ST98" i="2"/>
  <c r="SS99" i="2"/>
  <c r="ST99" i="2"/>
  <c r="SS100" i="2"/>
  <c r="ST100" i="2"/>
  <c r="SS101" i="2"/>
  <c r="ST101" i="2"/>
  <c r="SS102" i="2"/>
  <c r="ST102" i="2"/>
  <c r="SS103" i="2"/>
  <c r="ST103" i="2"/>
  <c r="SS104" i="2"/>
  <c r="ST104" i="2"/>
  <c r="SS105" i="2"/>
  <c r="ST105" i="2"/>
  <c r="SS106" i="2"/>
  <c r="ST106" i="2"/>
  <c r="SS107" i="2"/>
  <c r="ST107" i="2"/>
  <c r="SS108" i="2"/>
  <c r="ST108" i="2"/>
  <c r="SS109" i="2"/>
  <c r="ST109" i="2"/>
  <c r="SS110" i="2"/>
  <c r="ST110" i="2"/>
  <c r="SS111" i="2"/>
  <c r="ST111" i="2"/>
  <c r="SS112" i="2"/>
  <c r="ST112" i="2"/>
  <c r="SS113" i="2"/>
  <c r="ST113" i="2"/>
  <c r="SS114" i="2"/>
  <c r="ST114" i="2"/>
  <c r="SS115" i="2"/>
  <c r="ST115" i="2"/>
  <c r="SS116" i="2"/>
  <c r="ST116" i="2"/>
  <c r="SS117" i="2"/>
  <c r="ST117" i="2"/>
  <c r="SS118" i="2"/>
  <c r="ST118" i="2"/>
  <c r="SS119" i="2"/>
  <c r="ST119" i="2"/>
  <c r="SS120" i="2"/>
  <c r="ST120" i="2"/>
  <c r="SS121" i="2"/>
  <c r="ST121" i="2"/>
  <c r="SS122" i="2"/>
  <c r="ST122" i="2"/>
  <c r="SS123" i="2"/>
  <c r="ST123" i="2"/>
  <c r="SS124" i="2"/>
  <c r="ST124" i="2"/>
  <c r="SS125" i="2"/>
  <c r="ST125" i="2"/>
  <c r="SS126" i="2"/>
  <c r="ST126" i="2"/>
  <c r="SS128" i="2"/>
  <c r="ST128" i="2"/>
  <c r="SS129" i="2"/>
  <c r="ST129" i="2"/>
  <c r="SS130" i="2"/>
  <c r="ST130" i="2"/>
  <c r="SS131" i="2"/>
  <c r="ST131" i="2"/>
  <c r="SS132" i="2"/>
  <c r="ST132" i="2"/>
  <c r="SS133" i="2"/>
  <c r="ST133" i="2"/>
  <c r="SS134" i="2"/>
  <c r="ST134" i="2"/>
  <c r="SS135" i="2"/>
  <c r="ST135" i="2"/>
  <c r="SS136" i="2"/>
  <c r="ST136" i="2"/>
  <c r="SS137" i="2"/>
  <c r="ST137" i="2"/>
  <c r="SS138" i="2"/>
  <c r="ST138" i="2"/>
  <c r="SS139" i="2"/>
  <c r="ST139" i="2"/>
  <c r="SS140" i="2"/>
  <c r="ST140" i="2"/>
  <c r="SS141" i="2"/>
  <c r="ST141" i="2"/>
  <c r="SS142" i="2"/>
  <c r="ST142" i="2"/>
  <c r="SS143" i="2"/>
  <c r="ST143" i="2"/>
  <c r="SS144" i="2"/>
  <c r="ST144" i="2"/>
  <c r="SS145" i="2"/>
  <c r="ST145" i="2"/>
  <c r="SS146" i="2"/>
  <c r="ST146" i="2"/>
  <c r="SS147" i="2"/>
  <c r="ST147" i="2"/>
  <c r="SS148" i="2"/>
  <c r="ST148" i="2"/>
  <c r="SS149" i="2"/>
  <c r="ST149" i="2"/>
  <c r="SS150" i="2"/>
  <c r="ST150" i="2"/>
  <c r="SS151" i="2"/>
  <c r="ST151" i="2"/>
  <c r="SS152" i="2"/>
  <c r="ST152" i="2"/>
  <c r="SS153" i="2"/>
  <c r="ST153" i="2"/>
  <c r="SS154" i="2"/>
  <c r="ST154" i="2"/>
  <c r="SS155" i="2"/>
  <c r="ST155" i="2"/>
  <c r="SS156" i="2"/>
  <c r="ST156" i="2"/>
  <c r="SS157" i="2"/>
  <c r="ST157" i="2"/>
  <c r="SS158" i="2"/>
  <c r="ST158" i="2"/>
  <c r="SS159" i="2"/>
  <c r="ST159" i="2"/>
  <c r="SS160" i="2"/>
  <c r="ST160" i="2"/>
  <c r="SS161" i="2"/>
  <c r="ST161" i="2"/>
  <c r="SS162" i="2"/>
  <c r="ST162" i="2"/>
  <c r="SS163" i="2"/>
  <c r="ST163" i="2"/>
  <c r="SS164" i="2"/>
  <c r="ST164" i="2"/>
  <c r="SS166" i="2"/>
  <c r="ST166" i="2"/>
  <c r="SS167" i="2"/>
  <c r="ST167" i="2"/>
  <c r="SS168" i="2"/>
  <c r="ST168" i="2"/>
  <c r="SS169" i="2"/>
  <c r="ST169" i="2"/>
  <c r="SS170" i="2"/>
  <c r="ST170" i="2"/>
  <c r="SS171" i="2"/>
  <c r="ST171" i="2"/>
  <c r="SS172" i="2"/>
  <c r="ST172" i="2"/>
  <c r="SS173" i="2"/>
  <c r="ST173" i="2"/>
  <c r="SS174" i="2"/>
  <c r="ST174" i="2"/>
  <c r="SS175" i="2"/>
  <c r="ST175" i="2"/>
  <c r="SS176" i="2"/>
  <c r="ST176" i="2"/>
  <c r="SS177" i="2"/>
  <c r="ST177" i="2"/>
  <c r="SS178" i="2"/>
  <c r="ST178" i="2"/>
  <c r="SS179" i="2"/>
  <c r="ST179" i="2"/>
  <c r="SS180" i="2"/>
  <c r="ST180" i="2"/>
  <c r="SS181" i="2"/>
  <c r="ST181" i="2"/>
  <c r="SS182" i="2"/>
  <c r="ST182" i="2"/>
  <c r="SS183" i="2"/>
  <c r="ST183" i="2"/>
  <c r="SS184" i="2"/>
  <c r="ST184" i="2"/>
  <c r="SS185" i="2"/>
  <c r="ST185" i="2"/>
  <c r="SS186" i="2"/>
  <c r="ST186" i="2"/>
  <c r="SS187" i="2"/>
  <c r="ST187" i="2"/>
  <c r="SS188" i="2"/>
  <c r="ST188" i="2"/>
  <c r="SS189" i="2"/>
  <c r="ST189" i="2"/>
  <c r="SS190" i="2"/>
  <c r="ST190" i="2"/>
  <c r="SS191" i="2"/>
  <c r="ST191" i="2"/>
  <c r="SS192" i="2"/>
  <c r="ST192" i="2"/>
  <c r="SS193" i="2"/>
  <c r="ST193" i="2"/>
  <c r="SS194" i="2"/>
  <c r="ST194" i="2"/>
  <c r="SS195" i="2"/>
  <c r="ST195" i="2"/>
  <c r="SS196" i="2"/>
  <c r="ST196" i="2"/>
  <c r="SS197" i="2"/>
  <c r="ST197" i="2"/>
  <c r="SS198" i="2"/>
  <c r="ST198" i="2"/>
  <c r="SS199" i="2"/>
  <c r="ST199" i="2"/>
  <c r="SS200" i="2"/>
  <c r="ST200" i="2"/>
  <c r="SS201" i="2"/>
  <c r="ST201" i="2"/>
  <c r="SS202" i="2"/>
  <c r="ST202" i="2"/>
  <c r="SS204" i="2"/>
  <c r="ST204" i="2"/>
  <c r="SS205" i="2"/>
  <c r="ST205" i="2"/>
  <c r="SS206" i="2"/>
  <c r="ST206" i="2"/>
  <c r="SS207" i="2"/>
  <c r="ST207" i="2"/>
  <c r="SS208" i="2"/>
  <c r="ST208" i="2"/>
  <c r="SS209" i="2"/>
  <c r="ST209" i="2"/>
  <c r="SS210" i="2"/>
  <c r="ST210" i="2"/>
  <c r="SS211" i="2"/>
  <c r="ST211" i="2"/>
  <c r="SS212" i="2"/>
  <c r="ST212" i="2"/>
  <c r="SS213" i="2"/>
  <c r="ST213" i="2"/>
  <c r="SS214" i="2"/>
  <c r="ST214" i="2"/>
  <c r="SS215" i="2"/>
  <c r="ST215" i="2"/>
  <c r="SS216" i="2"/>
  <c r="ST216" i="2"/>
  <c r="SS217" i="2"/>
  <c r="ST217" i="2"/>
  <c r="SS218" i="2"/>
  <c r="ST218" i="2"/>
  <c r="SS219" i="2"/>
  <c r="ST219" i="2"/>
  <c r="SS220" i="2"/>
  <c r="ST220" i="2"/>
  <c r="SS221" i="2"/>
  <c r="ST221" i="2"/>
  <c r="SS222" i="2"/>
  <c r="ST222" i="2"/>
  <c r="SS223" i="2"/>
  <c r="ST223" i="2"/>
  <c r="SS224" i="2"/>
  <c r="ST224" i="2"/>
  <c r="SS225" i="2"/>
  <c r="ST225" i="2"/>
  <c r="SS226" i="2"/>
  <c r="ST226" i="2"/>
  <c r="SS227" i="2"/>
  <c r="ST227" i="2"/>
  <c r="SS228" i="2"/>
  <c r="ST228" i="2"/>
  <c r="SS229" i="2"/>
  <c r="ST229" i="2"/>
  <c r="SS230" i="2"/>
  <c r="ST230" i="2"/>
  <c r="SS231" i="2"/>
  <c r="ST231" i="2"/>
  <c r="SS232" i="2"/>
  <c r="ST232" i="2"/>
  <c r="SS233" i="2"/>
  <c r="ST233" i="2"/>
  <c r="SS234" i="2"/>
  <c r="ST234" i="2"/>
  <c r="SS235" i="2"/>
  <c r="ST235" i="2"/>
  <c r="SS236" i="2"/>
  <c r="ST236" i="2"/>
  <c r="SS237" i="2"/>
  <c r="ST237" i="2"/>
  <c r="SS238" i="2"/>
  <c r="ST238" i="2"/>
  <c r="SS239" i="2"/>
  <c r="ST239" i="2"/>
  <c r="SS240" i="2"/>
  <c r="ST240" i="2"/>
  <c r="SS242" i="2"/>
  <c r="ST242" i="2"/>
  <c r="SS243" i="2"/>
  <c r="ST243" i="2"/>
  <c r="SS244" i="2"/>
  <c r="ST244" i="2"/>
  <c r="SS245" i="2"/>
  <c r="ST245" i="2"/>
  <c r="SS246" i="2"/>
  <c r="ST246" i="2"/>
  <c r="SS247" i="2"/>
  <c r="ST247" i="2"/>
  <c r="SS248" i="2"/>
  <c r="ST248" i="2"/>
  <c r="SS249" i="2"/>
  <c r="ST249" i="2"/>
  <c r="SS250" i="2"/>
  <c r="ST250" i="2"/>
  <c r="SS251" i="2"/>
  <c r="ST251" i="2"/>
  <c r="SS252" i="2"/>
  <c r="ST252" i="2"/>
  <c r="SS253" i="2"/>
  <c r="ST253" i="2"/>
  <c r="SS254" i="2"/>
  <c r="ST254" i="2"/>
  <c r="SS255" i="2"/>
  <c r="ST255" i="2"/>
  <c r="SS256" i="2"/>
  <c r="ST256" i="2"/>
  <c r="SS257" i="2"/>
  <c r="ST257" i="2"/>
  <c r="SS258" i="2"/>
  <c r="ST258" i="2"/>
  <c r="SS259" i="2"/>
  <c r="ST259" i="2"/>
  <c r="SS260" i="2"/>
  <c r="ST260" i="2"/>
  <c r="SS261" i="2"/>
  <c r="ST261" i="2"/>
  <c r="SS262" i="2"/>
  <c r="ST262" i="2"/>
  <c r="SS263" i="2"/>
  <c r="ST263" i="2"/>
  <c r="SS264" i="2"/>
  <c r="ST264" i="2"/>
  <c r="SS265" i="2"/>
  <c r="ST265" i="2"/>
  <c r="SS266" i="2"/>
  <c r="ST266" i="2"/>
  <c r="SS267" i="2"/>
  <c r="ST267" i="2"/>
  <c r="SS268" i="2"/>
  <c r="ST268" i="2"/>
  <c r="SS269" i="2"/>
  <c r="ST269" i="2"/>
  <c r="SS270" i="2"/>
  <c r="ST270" i="2"/>
  <c r="SS271" i="2"/>
  <c r="ST271" i="2"/>
  <c r="SS272" i="2"/>
  <c r="ST272" i="2"/>
  <c r="SS273" i="2"/>
  <c r="ST273" i="2"/>
  <c r="SS274" i="2"/>
  <c r="ST274" i="2"/>
  <c r="SS275" i="2"/>
  <c r="ST275" i="2"/>
  <c r="SS276" i="2"/>
  <c r="ST276" i="2"/>
  <c r="SS277" i="2"/>
  <c r="ST277" i="2"/>
  <c r="SS278" i="2"/>
  <c r="ST278" i="2"/>
  <c r="SS280" i="2"/>
  <c r="ST280" i="2"/>
  <c r="SS281" i="2"/>
  <c r="ST281" i="2"/>
  <c r="SS282" i="2"/>
  <c r="ST282" i="2"/>
  <c r="SS283" i="2"/>
  <c r="ST283" i="2"/>
  <c r="SS284" i="2"/>
  <c r="ST284" i="2"/>
  <c r="SS285" i="2"/>
  <c r="ST285" i="2"/>
  <c r="SS286" i="2"/>
  <c r="ST286" i="2"/>
  <c r="SS287" i="2"/>
  <c r="ST287" i="2"/>
  <c r="SS288" i="2"/>
  <c r="ST288" i="2"/>
  <c r="SS289" i="2"/>
  <c r="ST289" i="2"/>
  <c r="SS290" i="2"/>
  <c r="ST290" i="2"/>
  <c r="SS291" i="2"/>
  <c r="ST291" i="2"/>
  <c r="SS292" i="2"/>
  <c r="ST292" i="2"/>
  <c r="SS293" i="2"/>
  <c r="ST293" i="2"/>
  <c r="SS294" i="2"/>
  <c r="ST294" i="2"/>
  <c r="SS295" i="2"/>
  <c r="ST295" i="2"/>
  <c r="SS296" i="2"/>
  <c r="ST296" i="2"/>
  <c r="SS297" i="2"/>
  <c r="ST297" i="2"/>
  <c r="SS298" i="2"/>
  <c r="ST298" i="2"/>
  <c r="SS299" i="2"/>
  <c r="ST299" i="2"/>
  <c r="SS300" i="2"/>
  <c r="ST300" i="2"/>
  <c r="SS301" i="2"/>
  <c r="ST301" i="2"/>
  <c r="SS302" i="2"/>
  <c r="ST302" i="2"/>
  <c r="SS303" i="2"/>
  <c r="ST303" i="2"/>
  <c r="SS304" i="2"/>
  <c r="ST304" i="2"/>
  <c r="SS305" i="2"/>
  <c r="ST305" i="2"/>
  <c r="SS306" i="2"/>
  <c r="ST306" i="2"/>
  <c r="SS307" i="2"/>
  <c r="ST307" i="2"/>
  <c r="SS308" i="2"/>
  <c r="ST308" i="2"/>
  <c r="SS309" i="2"/>
  <c r="ST309" i="2"/>
  <c r="SS310" i="2"/>
  <c r="ST310" i="2"/>
  <c r="SS311" i="2"/>
  <c r="ST311" i="2"/>
  <c r="SS312" i="2"/>
  <c r="ST312" i="2"/>
  <c r="SS313" i="2"/>
  <c r="ST313" i="2"/>
  <c r="SS314" i="2"/>
  <c r="ST314" i="2"/>
  <c r="SS315" i="2"/>
  <c r="ST315" i="2"/>
  <c r="SS316" i="2"/>
  <c r="ST316" i="2"/>
  <c r="SS318" i="2"/>
  <c r="ST318" i="2"/>
  <c r="SS319" i="2"/>
  <c r="ST319" i="2"/>
  <c r="SS320" i="2"/>
  <c r="ST320" i="2"/>
  <c r="SS321" i="2"/>
  <c r="ST321" i="2"/>
  <c r="SS322" i="2"/>
  <c r="ST322" i="2"/>
  <c r="SS323" i="2"/>
  <c r="ST323" i="2"/>
  <c r="SS324" i="2"/>
  <c r="ST324" i="2"/>
  <c r="SS325" i="2"/>
  <c r="ST325" i="2"/>
  <c r="SS326" i="2"/>
  <c r="ST326" i="2"/>
  <c r="SS327" i="2"/>
  <c r="ST327" i="2"/>
  <c r="SS328" i="2"/>
  <c r="ST328" i="2"/>
  <c r="SS329" i="2"/>
  <c r="ST329" i="2"/>
  <c r="SS330" i="2"/>
  <c r="ST330" i="2"/>
  <c r="SS331" i="2"/>
  <c r="ST331" i="2"/>
  <c r="SS332" i="2"/>
  <c r="ST332" i="2"/>
  <c r="SS333" i="2"/>
  <c r="ST333" i="2"/>
  <c r="SS334" i="2"/>
  <c r="ST334" i="2"/>
  <c r="SS335" i="2"/>
  <c r="ST335" i="2"/>
  <c r="SS336" i="2"/>
  <c r="ST336" i="2"/>
  <c r="SS337" i="2"/>
  <c r="ST337" i="2"/>
  <c r="SS338" i="2"/>
  <c r="ST338" i="2"/>
  <c r="SS339" i="2"/>
  <c r="ST339" i="2"/>
  <c r="SS340" i="2"/>
  <c r="ST340" i="2"/>
  <c r="SS341" i="2"/>
  <c r="ST341" i="2"/>
  <c r="SS342" i="2"/>
  <c r="ST342" i="2"/>
  <c r="SS343" i="2"/>
  <c r="ST343" i="2"/>
  <c r="SS344" i="2"/>
  <c r="ST344" i="2"/>
  <c r="SS345" i="2"/>
  <c r="ST345" i="2"/>
  <c r="SS346" i="2"/>
  <c r="ST346" i="2"/>
  <c r="SS347" i="2"/>
  <c r="ST347" i="2"/>
  <c r="SS348" i="2"/>
  <c r="ST348" i="2"/>
  <c r="SS349" i="2"/>
  <c r="ST349" i="2"/>
  <c r="SS350" i="2"/>
  <c r="ST350" i="2"/>
  <c r="SS351" i="2"/>
  <c r="ST351" i="2"/>
  <c r="SS352" i="2"/>
  <c r="ST352" i="2"/>
  <c r="SS353" i="2"/>
  <c r="ST353" i="2"/>
  <c r="SS354" i="2"/>
  <c r="ST354" i="2"/>
  <c r="SS356" i="2"/>
  <c r="ST356" i="2"/>
  <c r="SS357" i="2"/>
  <c r="ST357" i="2"/>
  <c r="SS358" i="2"/>
  <c r="ST358" i="2"/>
  <c r="SS359" i="2"/>
  <c r="ST359" i="2"/>
  <c r="SS360" i="2"/>
  <c r="ST360" i="2"/>
  <c r="SS361" i="2"/>
  <c r="ST361" i="2"/>
  <c r="SS362" i="2"/>
  <c r="ST362" i="2"/>
  <c r="SS363" i="2"/>
  <c r="ST363" i="2"/>
  <c r="SS364" i="2"/>
  <c r="ST364" i="2"/>
  <c r="SS365" i="2"/>
  <c r="ST365" i="2"/>
  <c r="SS366" i="2"/>
  <c r="ST366" i="2"/>
  <c r="SS367" i="2"/>
  <c r="ST367" i="2"/>
  <c r="SS368" i="2"/>
  <c r="ST368" i="2"/>
  <c r="SS369" i="2"/>
  <c r="ST369" i="2"/>
  <c r="SS370" i="2"/>
  <c r="ST370" i="2"/>
  <c r="SS371" i="2"/>
  <c r="ST371" i="2"/>
  <c r="SS372" i="2"/>
  <c r="ST372" i="2"/>
  <c r="SS373" i="2"/>
  <c r="ST373" i="2"/>
  <c r="SS374" i="2"/>
  <c r="ST374" i="2"/>
  <c r="SS375" i="2"/>
  <c r="ST375" i="2"/>
  <c r="SS376" i="2"/>
  <c r="ST376" i="2"/>
  <c r="SS377" i="2"/>
  <c r="ST377" i="2"/>
  <c r="SS378" i="2"/>
  <c r="ST378" i="2"/>
  <c r="SS379" i="2"/>
  <c r="ST379" i="2"/>
  <c r="SS380" i="2"/>
  <c r="ST380" i="2"/>
  <c r="SS381" i="2"/>
  <c r="ST381" i="2"/>
  <c r="SS382" i="2"/>
  <c r="ST382" i="2"/>
  <c r="SS383" i="2"/>
  <c r="ST383" i="2"/>
  <c r="SS384" i="2"/>
  <c r="ST384" i="2"/>
  <c r="SS385" i="2"/>
  <c r="ST385" i="2"/>
  <c r="SS386" i="2"/>
  <c r="ST386" i="2"/>
  <c r="SS387" i="2"/>
  <c r="ST387" i="2"/>
  <c r="SS388" i="2"/>
  <c r="ST388" i="2"/>
  <c r="SS389" i="2"/>
  <c r="ST389" i="2"/>
  <c r="SS390" i="2"/>
  <c r="ST390" i="2"/>
  <c r="SS391" i="2"/>
  <c r="ST391" i="2"/>
  <c r="SS392" i="2"/>
  <c r="ST392" i="2"/>
  <c r="SS394" i="2"/>
  <c r="ST394" i="2"/>
  <c r="SS395" i="2"/>
  <c r="ST395" i="2"/>
  <c r="SS396" i="2"/>
  <c r="ST396" i="2"/>
  <c r="SS397" i="2"/>
  <c r="ST397" i="2"/>
  <c r="SS398" i="2"/>
  <c r="ST398" i="2"/>
  <c r="SS399" i="2"/>
  <c r="ST399" i="2"/>
  <c r="SS400" i="2"/>
  <c r="ST400" i="2"/>
  <c r="SS401" i="2"/>
  <c r="ST401" i="2"/>
  <c r="SS402" i="2"/>
  <c r="ST402" i="2"/>
  <c r="SS403" i="2"/>
  <c r="ST403" i="2"/>
  <c r="SS404" i="2"/>
  <c r="ST404" i="2"/>
  <c r="SS405" i="2"/>
  <c r="ST405" i="2"/>
  <c r="SS406" i="2"/>
  <c r="ST406" i="2"/>
  <c r="SS407" i="2"/>
  <c r="ST407" i="2"/>
  <c r="SS408" i="2"/>
  <c r="ST408" i="2"/>
  <c r="SS409" i="2"/>
  <c r="ST409" i="2"/>
  <c r="SS410" i="2"/>
  <c r="ST410" i="2"/>
  <c r="SS411" i="2"/>
  <c r="ST411" i="2"/>
  <c r="SS412" i="2"/>
  <c r="ST412" i="2"/>
  <c r="SS413" i="2"/>
  <c r="ST413" i="2"/>
  <c r="SS414" i="2"/>
  <c r="ST414" i="2"/>
  <c r="SS415" i="2"/>
  <c r="ST415" i="2"/>
  <c r="SS416" i="2"/>
  <c r="ST416" i="2"/>
  <c r="SS417" i="2"/>
  <c r="ST417" i="2"/>
  <c r="SS418" i="2"/>
  <c r="ST418" i="2"/>
  <c r="SS419" i="2"/>
  <c r="ST419" i="2"/>
  <c r="SS420" i="2"/>
  <c r="ST420" i="2"/>
  <c r="SS421" i="2"/>
  <c r="ST421" i="2"/>
  <c r="SS422" i="2"/>
  <c r="ST422" i="2"/>
  <c r="SS423" i="2"/>
  <c r="ST423" i="2"/>
  <c r="SS424" i="2"/>
  <c r="ST424" i="2"/>
  <c r="SS425" i="2"/>
  <c r="ST425" i="2"/>
  <c r="SS426" i="2"/>
  <c r="ST426" i="2"/>
  <c r="SS427" i="2"/>
  <c r="ST427" i="2"/>
  <c r="SS428" i="2"/>
  <c r="ST428" i="2"/>
  <c r="SS429" i="2"/>
  <c r="ST429" i="2"/>
  <c r="SS430" i="2"/>
  <c r="ST430" i="2"/>
  <c r="SS432" i="2"/>
  <c r="ST432" i="2"/>
  <c r="SS433" i="2"/>
  <c r="ST433" i="2"/>
  <c r="SS434" i="2"/>
  <c r="ST434" i="2"/>
  <c r="SS435" i="2"/>
  <c r="ST435" i="2"/>
  <c r="SS436" i="2"/>
  <c r="ST436" i="2"/>
  <c r="SS437" i="2"/>
  <c r="ST437" i="2"/>
  <c r="SS438" i="2"/>
  <c r="ST438" i="2"/>
  <c r="SS439" i="2"/>
  <c r="ST439" i="2"/>
  <c r="SS440" i="2"/>
  <c r="ST440" i="2"/>
  <c r="SS441" i="2"/>
  <c r="ST441" i="2"/>
  <c r="SS442" i="2"/>
  <c r="ST442" i="2"/>
  <c r="SS443" i="2"/>
  <c r="ST443" i="2"/>
  <c r="SS444" i="2"/>
  <c r="ST444" i="2"/>
  <c r="SS445" i="2"/>
  <c r="ST445" i="2"/>
  <c r="SS446" i="2"/>
  <c r="ST446" i="2"/>
  <c r="SS447" i="2"/>
  <c r="ST447" i="2"/>
  <c r="SS448" i="2"/>
  <c r="ST448" i="2"/>
  <c r="SS449" i="2"/>
  <c r="ST449" i="2"/>
  <c r="SS450" i="2"/>
  <c r="ST450" i="2"/>
  <c r="SS451" i="2"/>
  <c r="ST451" i="2"/>
  <c r="SS452" i="2"/>
  <c r="ST452" i="2"/>
  <c r="SS453" i="2"/>
  <c r="ST453" i="2"/>
  <c r="SS454" i="2"/>
  <c r="ST454" i="2"/>
  <c r="SS455" i="2"/>
  <c r="ST455" i="2"/>
  <c r="SS456" i="2"/>
  <c r="ST456" i="2"/>
  <c r="SS457" i="2"/>
  <c r="ST457" i="2"/>
  <c r="SS458" i="2"/>
  <c r="ST458" i="2"/>
  <c r="SS459" i="2"/>
  <c r="ST459" i="2"/>
  <c r="SS460" i="2"/>
  <c r="ST460" i="2"/>
  <c r="SS461" i="2"/>
  <c r="ST461" i="2"/>
  <c r="SS462" i="2"/>
  <c r="ST462" i="2"/>
  <c r="SS463" i="2"/>
  <c r="ST463" i="2"/>
  <c r="SS464" i="2"/>
  <c r="ST464" i="2"/>
  <c r="SS465" i="2"/>
  <c r="ST465" i="2"/>
  <c r="SS466" i="2"/>
  <c r="ST466" i="2"/>
  <c r="SS467" i="2"/>
  <c r="ST467" i="2"/>
  <c r="SS468" i="2"/>
  <c r="ST468" i="2"/>
  <c r="ST15" i="2"/>
  <c r="ST16" i="2"/>
  <c r="ST17" i="2"/>
  <c r="ST18" i="2"/>
  <c r="ST19" i="2"/>
  <c r="ST20" i="2"/>
  <c r="ST21" i="2"/>
  <c r="ST22" i="2"/>
  <c r="ST23" i="2"/>
  <c r="ST24" i="2"/>
  <c r="ST25" i="2"/>
  <c r="ST26" i="2"/>
  <c r="ST27" i="2"/>
  <c r="ST28" i="2"/>
  <c r="ST29" i="2"/>
  <c r="ST30" i="2"/>
  <c r="ST31" i="2"/>
  <c r="ST32" i="2"/>
  <c r="ST33" i="2"/>
  <c r="ST34" i="2"/>
  <c r="ST35" i="2"/>
  <c r="ST36" i="2"/>
  <c r="ST37" i="2"/>
  <c r="ST38" i="2"/>
  <c r="ST39" i="2"/>
  <c r="ST40" i="2"/>
  <c r="ST41" i="2"/>
  <c r="ST42" i="2"/>
  <c r="ST43" i="2"/>
  <c r="ST44" i="2"/>
  <c r="ST45" i="2"/>
  <c r="ST46" i="2"/>
  <c r="ST47" i="2"/>
  <c r="ST48" i="2"/>
  <c r="ST49" i="2"/>
  <c r="ST50" i="2"/>
  <c r="ST14" i="2"/>
  <c r="SS14" i="2"/>
  <c r="SC52" i="2"/>
  <c r="SD52" i="2"/>
  <c r="SC53" i="2"/>
  <c r="SD53" i="2"/>
  <c r="SC54" i="2"/>
  <c r="SD54" i="2"/>
  <c r="SC55" i="2"/>
  <c r="SD55" i="2"/>
  <c r="SC56" i="2"/>
  <c r="SD56" i="2"/>
  <c r="SC57" i="2"/>
  <c r="SD57" i="2"/>
  <c r="SC58" i="2"/>
  <c r="SD58" i="2"/>
  <c r="SC59" i="2"/>
  <c r="SD59" i="2"/>
  <c r="SC60" i="2"/>
  <c r="SD60" i="2"/>
  <c r="SC61" i="2"/>
  <c r="SD61" i="2"/>
  <c r="SC62" i="2"/>
  <c r="SD62" i="2"/>
  <c r="SC63" i="2"/>
  <c r="SD63" i="2"/>
  <c r="SC64" i="2"/>
  <c r="SD64" i="2"/>
  <c r="SC65" i="2"/>
  <c r="SD65" i="2"/>
  <c r="SC66" i="2"/>
  <c r="SD66" i="2"/>
  <c r="SC67" i="2"/>
  <c r="SD67" i="2"/>
  <c r="SC68" i="2"/>
  <c r="SD68" i="2"/>
  <c r="SC69" i="2"/>
  <c r="SD69" i="2"/>
  <c r="SC70" i="2"/>
  <c r="SD70" i="2"/>
  <c r="SC71" i="2"/>
  <c r="SD71" i="2"/>
  <c r="SC72" i="2"/>
  <c r="SD72" i="2"/>
  <c r="SC73" i="2"/>
  <c r="SD73" i="2"/>
  <c r="SC74" i="2"/>
  <c r="SD74" i="2"/>
  <c r="SC75" i="2"/>
  <c r="SD75" i="2"/>
  <c r="SC76" i="2"/>
  <c r="SD76" i="2"/>
  <c r="SC77" i="2"/>
  <c r="SD77" i="2"/>
  <c r="SC78" i="2"/>
  <c r="SD78" i="2"/>
  <c r="SC79" i="2"/>
  <c r="SD79" i="2"/>
  <c r="SC80" i="2"/>
  <c r="SD80" i="2"/>
  <c r="SC81" i="2"/>
  <c r="SD81" i="2"/>
  <c r="SC82" i="2"/>
  <c r="SD82" i="2"/>
  <c r="SC83" i="2"/>
  <c r="SD83" i="2"/>
  <c r="SC84" i="2"/>
  <c r="SD84" i="2"/>
  <c r="SC85" i="2"/>
  <c r="SD85" i="2"/>
  <c r="SC86" i="2"/>
  <c r="SD86" i="2"/>
  <c r="SC87" i="2"/>
  <c r="SD87" i="2"/>
  <c r="SC88" i="2"/>
  <c r="SD88" i="2"/>
  <c r="SC90" i="2"/>
  <c r="SD90" i="2"/>
  <c r="SC91" i="2"/>
  <c r="SD91" i="2"/>
  <c r="SC92" i="2"/>
  <c r="SD92" i="2"/>
  <c r="SC93" i="2"/>
  <c r="SD93" i="2"/>
  <c r="SC94" i="2"/>
  <c r="SD94" i="2"/>
  <c r="SC95" i="2"/>
  <c r="SD95" i="2"/>
  <c r="SC96" i="2"/>
  <c r="SD96" i="2"/>
  <c r="SC97" i="2"/>
  <c r="SD97" i="2"/>
  <c r="SC98" i="2"/>
  <c r="SD98" i="2"/>
  <c r="SC99" i="2"/>
  <c r="SD99" i="2"/>
  <c r="SC100" i="2"/>
  <c r="SD100" i="2"/>
  <c r="SC101" i="2"/>
  <c r="SD101" i="2"/>
  <c r="SC102" i="2"/>
  <c r="SD102" i="2"/>
  <c r="SC103" i="2"/>
  <c r="SD103" i="2"/>
  <c r="SC104" i="2"/>
  <c r="SD104" i="2"/>
  <c r="SC105" i="2"/>
  <c r="SD105" i="2"/>
  <c r="SC106" i="2"/>
  <c r="SD106" i="2"/>
  <c r="SC107" i="2"/>
  <c r="SD107" i="2"/>
  <c r="SC108" i="2"/>
  <c r="SD108" i="2"/>
  <c r="SC109" i="2"/>
  <c r="SD109" i="2"/>
  <c r="SC110" i="2"/>
  <c r="SD110" i="2"/>
  <c r="SC111" i="2"/>
  <c r="SD111" i="2"/>
  <c r="SC112" i="2"/>
  <c r="SD112" i="2"/>
  <c r="SC113" i="2"/>
  <c r="SD113" i="2"/>
  <c r="SC114" i="2"/>
  <c r="SD114" i="2"/>
  <c r="SC115" i="2"/>
  <c r="SD115" i="2"/>
  <c r="SC116" i="2"/>
  <c r="SD116" i="2"/>
  <c r="SC117" i="2"/>
  <c r="SD117" i="2"/>
  <c r="SC118" i="2"/>
  <c r="SD118" i="2"/>
  <c r="SC119" i="2"/>
  <c r="SD119" i="2"/>
  <c r="SC120" i="2"/>
  <c r="SD120" i="2"/>
  <c r="SC121" i="2"/>
  <c r="SD121" i="2"/>
  <c r="SC122" i="2"/>
  <c r="SD122" i="2"/>
  <c r="SC123" i="2"/>
  <c r="SD123" i="2"/>
  <c r="SC124" i="2"/>
  <c r="SD124" i="2"/>
  <c r="SC125" i="2"/>
  <c r="SD125" i="2"/>
  <c r="SC126" i="2"/>
  <c r="SD126" i="2"/>
  <c r="SC128" i="2"/>
  <c r="SD128" i="2"/>
  <c r="SC129" i="2"/>
  <c r="SD129" i="2"/>
  <c r="SC130" i="2"/>
  <c r="SD130" i="2"/>
  <c r="SC131" i="2"/>
  <c r="SD131" i="2"/>
  <c r="SC132" i="2"/>
  <c r="SD132" i="2"/>
  <c r="SC133" i="2"/>
  <c r="SD133" i="2"/>
  <c r="SC134" i="2"/>
  <c r="SD134" i="2"/>
  <c r="SC135" i="2"/>
  <c r="SD135" i="2"/>
  <c r="SC136" i="2"/>
  <c r="SD136" i="2"/>
  <c r="SC137" i="2"/>
  <c r="SD137" i="2"/>
  <c r="SC138" i="2"/>
  <c r="SD138" i="2"/>
  <c r="SC139" i="2"/>
  <c r="SD139" i="2"/>
  <c r="SC140" i="2"/>
  <c r="SD140" i="2"/>
  <c r="SC141" i="2"/>
  <c r="SD141" i="2"/>
  <c r="SC142" i="2"/>
  <c r="SD142" i="2"/>
  <c r="SC143" i="2"/>
  <c r="SD143" i="2"/>
  <c r="SC144" i="2"/>
  <c r="SD144" i="2"/>
  <c r="SC145" i="2"/>
  <c r="SD145" i="2"/>
  <c r="SC146" i="2"/>
  <c r="SD146" i="2"/>
  <c r="SC147" i="2"/>
  <c r="SD147" i="2"/>
  <c r="SC148" i="2"/>
  <c r="SD148" i="2"/>
  <c r="SC149" i="2"/>
  <c r="SD149" i="2"/>
  <c r="SC150" i="2"/>
  <c r="SD150" i="2"/>
  <c r="SC151" i="2"/>
  <c r="SD151" i="2"/>
  <c r="SC152" i="2"/>
  <c r="SD152" i="2"/>
  <c r="SC153" i="2"/>
  <c r="SD153" i="2"/>
  <c r="SC154" i="2"/>
  <c r="SD154" i="2"/>
  <c r="SC155" i="2"/>
  <c r="SD155" i="2"/>
  <c r="SC156" i="2"/>
  <c r="SD156" i="2"/>
  <c r="SC157" i="2"/>
  <c r="SD157" i="2"/>
  <c r="SC158" i="2"/>
  <c r="SD158" i="2"/>
  <c r="SC159" i="2"/>
  <c r="SD159" i="2"/>
  <c r="SC160" i="2"/>
  <c r="SD160" i="2"/>
  <c r="SC161" i="2"/>
  <c r="SD161" i="2"/>
  <c r="SC162" i="2"/>
  <c r="SD162" i="2"/>
  <c r="SC163" i="2"/>
  <c r="SD163" i="2"/>
  <c r="SC164" i="2"/>
  <c r="SD164" i="2"/>
  <c r="SC166" i="2"/>
  <c r="SD166" i="2"/>
  <c r="SC167" i="2"/>
  <c r="SD167" i="2"/>
  <c r="SC168" i="2"/>
  <c r="SD168" i="2"/>
  <c r="SC169" i="2"/>
  <c r="SD169" i="2"/>
  <c r="SC170" i="2"/>
  <c r="SD170" i="2"/>
  <c r="SC171" i="2"/>
  <c r="SD171" i="2"/>
  <c r="SC172" i="2"/>
  <c r="SD172" i="2"/>
  <c r="SC173" i="2"/>
  <c r="SD173" i="2"/>
  <c r="SC174" i="2"/>
  <c r="SD174" i="2"/>
  <c r="SC175" i="2"/>
  <c r="SD175" i="2"/>
  <c r="SC176" i="2"/>
  <c r="SD176" i="2"/>
  <c r="SC177" i="2"/>
  <c r="SD177" i="2"/>
  <c r="SC178" i="2"/>
  <c r="SD178" i="2"/>
  <c r="SC179" i="2"/>
  <c r="SD179" i="2"/>
  <c r="SC180" i="2"/>
  <c r="SD180" i="2"/>
  <c r="SC181" i="2"/>
  <c r="SD181" i="2"/>
  <c r="SC182" i="2"/>
  <c r="SD182" i="2"/>
  <c r="SC183" i="2"/>
  <c r="SD183" i="2"/>
  <c r="SC184" i="2"/>
  <c r="SD184" i="2"/>
  <c r="SC185" i="2"/>
  <c r="SD185" i="2"/>
  <c r="SC186" i="2"/>
  <c r="SD186" i="2"/>
  <c r="SC187" i="2"/>
  <c r="SD187" i="2"/>
  <c r="SC188" i="2"/>
  <c r="SD188" i="2"/>
  <c r="SC189" i="2"/>
  <c r="SD189" i="2"/>
  <c r="SC190" i="2"/>
  <c r="SD190" i="2"/>
  <c r="SC191" i="2"/>
  <c r="SD191" i="2"/>
  <c r="SC192" i="2"/>
  <c r="SD192" i="2"/>
  <c r="SC193" i="2"/>
  <c r="SD193" i="2"/>
  <c r="SC194" i="2"/>
  <c r="SD194" i="2"/>
  <c r="SC195" i="2"/>
  <c r="SD195" i="2"/>
  <c r="SC196" i="2"/>
  <c r="SD196" i="2"/>
  <c r="SC197" i="2"/>
  <c r="SD197" i="2"/>
  <c r="SC198" i="2"/>
  <c r="SD198" i="2"/>
  <c r="SC199" i="2"/>
  <c r="SD199" i="2"/>
  <c r="SC200" i="2"/>
  <c r="SD200" i="2"/>
  <c r="SC201" i="2"/>
  <c r="SD201" i="2"/>
  <c r="SC202" i="2"/>
  <c r="SD202" i="2"/>
  <c r="SC204" i="2"/>
  <c r="SD204" i="2"/>
  <c r="SC205" i="2"/>
  <c r="SD205" i="2"/>
  <c r="SC206" i="2"/>
  <c r="SD206" i="2"/>
  <c r="SC207" i="2"/>
  <c r="SD207" i="2"/>
  <c r="SC208" i="2"/>
  <c r="SD208" i="2"/>
  <c r="SC209" i="2"/>
  <c r="SD209" i="2"/>
  <c r="SC210" i="2"/>
  <c r="SD210" i="2"/>
  <c r="SC211" i="2"/>
  <c r="SD211" i="2"/>
  <c r="SC212" i="2"/>
  <c r="SD212" i="2"/>
  <c r="SC213" i="2"/>
  <c r="SD213" i="2"/>
  <c r="SC214" i="2"/>
  <c r="SD214" i="2"/>
  <c r="SC215" i="2"/>
  <c r="SD215" i="2"/>
  <c r="SC216" i="2"/>
  <c r="SD216" i="2"/>
  <c r="SC217" i="2"/>
  <c r="SD217" i="2"/>
  <c r="SC218" i="2"/>
  <c r="SD218" i="2"/>
  <c r="SC219" i="2"/>
  <c r="SD219" i="2"/>
  <c r="SC220" i="2"/>
  <c r="SD220" i="2"/>
  <c r="SC221" i="2"/>
  <c r="SD221" i="2"/>
  <c r="SC222" i="2"/>
  <c r="SD222" i="2"/>
  <c r="SC223" i="2"/>
  <c r="SD223" i="2"/>
  <c r="SC224" i="2"/>
  <c r="SD224" i="2"/>
  <c r="SC225" i="2"/>
  <c r="SD225" i="2"/>
  <c r="SC226" i="2"/>
  <c r="SD226" i="2"/>
  <c r="SC227" i="2"/>
  <c r="SD227" i="2"/>
  <c r="SC228" i="2"/>
  <c r="SD228" i="2"/>
  <c r="SC229" i="2"/>
  <c r="SD229" i="2"/>
  <c r="SC230" i="2"/>
  <c r="SD230" i="2"/>
  <c r="SC231" i="2"/>
  <c r="SD231" i="2"/>
  <c r="SC232" i="2"/>
  <c r="SD232" i="2"/>
  <c r="SC233" i="2"/>
  <c r="SD233" i="2"/>
  <c r="SC234" i="2"/>
  <c r="SD234" i="2"/>
  <c r="SC235" i="2"/>
  <c r="SD235" i="2"/>
  <c r="SC236" i="2"/>
  <c r="SD236" i="2"/>
  <c r="SC237" i="2"/>
  <c r="SD237" i="2"/>
  <c r="SC238" i="2"/>
  <c r="SD238" i="2"/>
  <c r="SC239" i="2"/>
  <c r="SD239" i="2"/>
  <c r="SC240" i="2"/>
  <c r="SD240" i="2"/>
  <c r="SC242" i="2"/>
  <c r="SD242" i="2"/>
  <c r="SC243" i="2"/>
  <c r="SD243" i="2"/>
  <c r="SC244" i="2"/>
  <c r="SD244" i="2"/>
  <c r="SC245" i="2"/>
  <c r="SD245" i="2"/>
  <c r="SC246" i="2"/>
  <c r="SD246" i="2"/>
  <c r="SC247" i="2"/>
  <c r="SD247" i="2"/>
  <c r="SC248" i="2"/>
  <c r="SD248" i="2"/>
  <c r="SC249" i="2"/>
  <c r="SD249" i="2"/>
  <c r="SC250" i="2"/>
  <c r="SD250" i="2"/>
  <c r="SC251" i="2"/>
  <c r="SD251" i="2"/>
  <c r="SC252" i="2"/>
  <c r="SD252" i="2"/>
  <c r="SC253" i="2"/>
  <c r="SD253" i="2"/>
  <c r="SC254" i="2"/>
  <c r="SD254" i="2"/>
  <c r="SC255" i="2"/>
  <c r="SD255" i="2"/>
  <c r="SC256" i="2"/>
  <c r="SD256" i="2"/>
  <c r="SC257" i="2"/>
  <c r="SD257" i="2"/>
  <c r="SC258" i="2"/>
  <c r="SD258" i="2"/>
  <c r="SC259" i="2"/>
  <c r="SD259" i="2"/>
  <c r="SC260" i="2"/>
  <c r="SD260" i="2"/>
  <c r="SC261" i="2"/>
  <c r="SD261" i="2"/>
  <c r="SC262" i="2"/>
  <c r="SD262" i="2"/>
  <c r="SC263" i="2"/>
  <c r="SD263" i="2"/>
  <c r="SC264" i="2"/>
  <c r="SD264" i="2"/>
  <c r="SC265" i="2"/>
  <c r="SD265" i="2"/>
  <c r="SC266" i="2"/>
  <c r="SD266" i="2"/>
  <c r="SC267" i="2"/>
  <c r="SD267" i="2"/>
  <c r="SC268" i="2"/>
  <c r="SD268" i="2"/>
  <c r="SC269" i="2"/>
  <c r="SD269" i="2"/>
  <c r="SC270" i="2"/>
  <c r="SD270" i="2"/>
  <c r="SC271" i="2"/>
  <c r="SD271" i="2"/>
  <c r="SC272" i="2"/>
  <c r="SD272" i="2"/>
  <c r="SC273" i="2"/>
  <c r="SD273" i="2"/>
  <c r="SC274" i="2"/>
  <c r="SD274" i="2"/>
  <c r="SC275" i="2"/>
  <c r="SD275" i="2"/>
  <c r="SC276" i="2"/>
  <c r="SD276" i="2"/>
  <c r="SC277" i="2"/>
  <c r="SD277" i="2"/>
  <c r="SC278" i="2"/>
  <c r="SD278" i="2"/>
  <c r="SC280" i="2"/>
  <c r="SD280" i="2"/>
  <c r="SC281" i="2"/>
  <c r="SD281" i="2"/>
  <c r="SC282" i="2"/>
  <c r="SD282" i="2"/>
  <c r="SC283" i="2"/>
  <c r="SD283" i="2"/>
  <c r="SC284" i="2"/>
  <c r="SD284" i="2"/>
  <c r="SC285" i="2"/>
  <c r="SD285" i="2"/>
  <c r="SC286" i="2"/>
  <c r="SD286" i="2"/>
  <c r="SC287" i="2"/>
  <c r="SD287" i="2"/>
  <c r="SC288" i="2"/>
  <c r="SD288" i="2"/>
  <c r="SC289" i="2"/>
  <c r="SD289" i="2"/>
  <c r="SC290" i="2"/>
  <c r="SD290" i="2"/>
  <c r="SC291" i="2"/>
  <c r="SD291" i="2"/>
  <c r="SC292" i="2"/>
  <c r="SD292" i="2"/>
  <c r="SC293" i="2"/>
  <c r="SD293" i="2"/>
  <c r="SC294" i="2"/>
  <c r="SD294" i="2"/>
  <c r="SC295" i="2"/>
  <c r="SD295" i="2"/>
  <c r="SC296" i="2"/>
  <c r="SD296" i="2"/>
  <c r="SC297" i="2"/>
  <c r="SD297" i="2"/>
  <c r="SC298" i="2"/>
  <c r="SD298" i="2"/>
  <c r="SC299" i="2"/>
  <c r="SD299" i="2"/>
  <c r="SC300" i="2"/>
  <c r="SD300" i="2"/>
  <c r="SC301" i="2"/>
  <c r="SD301" i="2"/>
  <c r="SC302" i="2"/>
  <c r="SD302" i="2"/>
  <c r="SC303" i="2"/>
  <c r="SD303" i="2"/>
  <c r="SC304" i="2"/>
  <c r="SD304" i="2"/>
  <c r="SC305" i="2"/>
  <c r="SD305" i="2"/>
  <c r="SC306" i="2"/>
  <c r="SD306" i="2"/>
  <c r="SC307" i="2"/>
  <c r="SD307" i="2"/>
  <c r="SC308" i="2"/>
  <c r="SD308" i="2"/>
  <c r="SC309" i="2"/>
  <c r="SD309" i="2"/>
  <c r="SC310" i="2"/>
  <c r="SD310" i="2"/>
  <c r="SC311" i="2"/>
  <c r="SD311" i="2"/>
  <c r="SC312" i="2"/>
  <c r="SD312" i="2"/>
  <c r="SC313" i="2"/>
  <c r="SD313" i="2"/>
  <c r="SC314" i="2"/>
  <c r="SD314" i="2"/>
  <c r="SC315" i="2"/>
  <c r="SD315" i="2"/>
  <c r="SC316" i="2"/>
  <c r="SD316" i="2"/>
  <c r="SC318" i="2"/>
  <c r="SD318" i="2"/>
  <c r="SC319" i="2"/>
  <c r="SD319" i="2"/>
  <c r="SC320" i="2"/>
  <c r="SD320" i="2"/>
  <c r="SC321" i="2"/>
  <c r="SD321" i="2"/>
  <c r="SC322" i="2"/>
  <c r="SD322" i="2"/>
  <c r="SC323" i="2"/>
  <c r="SD323" i="2"/>
  <c r="SC324" i="2"/>
  <c r="SD324" i="2"/>
  <c r="SC325" i="2"/>
  <c r="SD325" i="2"/>
  <c r="SC326" i="2"/>
  <c r="SD326" i="2"/>
  <c r="SC327" i="2"/>
  <c r="SD327" i="2"/>
  <c r="SC328" i="2"/>
  <c r="SD328" i="2"/>
  <c r="SC329" i="2"/>
  <c r="SD329" i="2"/>
  <c r="SC330" i="2"/>
  <c r="SD330" i="2"/>
  <c r="SC331" i="2"/>
  <c r="SD331" i="2"/>
  <c r="SC332" i="2"/>
  <c r="SD332" i="2"/>
  <c r="SC333" i="2"/>
  <c r="SD333" i="2"/>
  <c r="SC334" i="2"/>
  <c r="SD334" i="2"/>
  <c r="SC335" i="2"/>
  <c r="SD335" i="2"/>
  <c r="SC336" i="2"/>
  <c r="SD336" i="2"/>
  <c r="SC337" i="2"/>
  <c r="SD337" i="2"/>
  <c r="SC338" i="2"/>
  <c r="SD338" i="2"/>
  <c r="SC339" i="2"/>
  <c r="SD339" i="2"/>
  <c r="SC340" i="2"/>
  <c r="SD340" i="2"/>
  <c r="SC341" i="2"/>
  <c r="SD341" i="2"/>
  <c r="SC342" i="2"/>
  <c r="SD342" i="2"/>
  <c r="SC343" i="2"/>
  <c r="SD343" i="2"/>
  <c r="SC344" i="2"/>
  <c r="SD344" i="2"/>
  <c r="SC345" i="2"/>
  <c r="SD345" i="2"/>
  <c r="SC346" i="2"/>
  <c r="SD346" i="2"/>
  <c r="SC347" i="2"/>
  <c r="SD347" i="2"/>
  <c r="SC348" i="2"/>
  <c r="SD348" i="2"/>
  <c r="SC349" i="2"/>
  <c r="SD349" i="2"/>
  <c r="SC350" i="2"/>
  <c r="SD350" i="2"/>
  <c r="SC351" i="2"/>
  <c r="SD351" i="2"/>
  <c r="SC352" i="2"/>
  <c r="SD352" i="2"/>
  <c r="SC353" i="2"/>
  <c r="SD353" i="2"/>
  <c r="SC354" i="2"/>
  <c r="SD354" i="2"/>
  <c r="SC356" i="2"/>
  <c r="SD356" i="2"/>
  <c r="SC357" i="2"/>
  <c r="SD357" i="2"/>
  <c r="SC358" i="2"/>
  <c r="SD358" i="2"/>
  <c r="SC359" i="2"/>
  <c r="SD359" i="2"/>
  <c r="SC360" i="2"/>
  <c r="SD360" i="2"/>
  <c r="SC361" i="2"/>
  <c r="SD361" i="2"/>
  <c r="SC362" i="2"/>
  <c r="SD362" i="2"/>
  <c r="SC363" i="2"/>
  <c r="SD363" i="2"/>
  <c r="SC364" i="2"/>
  <c r="SD364" i="2"/>
  <c r="SC365" i="2"/>
  <c r="SD365" i="2"/>
  <c r="SC366" i="2"/>
  <c r="SD366" i="2"/>
  <c r="SC367" i="2"/>
  <c r="SD367" i="2"/>
  <c r="SC368" i="2"/>
  <c r="SD368" i="2"/>
  <c r="SC369" i="2"/>
  <c r="SD369" i="2"/>
  <c r="SC370" i="2"/>
  <c r="SD370" i="2"/>
  <c r="SC371" i="2"/>
  <c r="SD371" i="2"/>
  <c r="SC372" i="2"/>
  <c r="SD372" i="2"/>
  <c r="SC373" i="2"/>
  <c r="SD373" i="2"/>
  <c r="SC374" i="2"/>
  <c r="SD374" i="2"/>
  <c r="SC375" i="2"/>
  <c r="SD375" i="2"/>
  <c r="SC376" i="2"/>
  <c r="SD376" i="2"/>
  <c r="SC377" i="2"/>
  <c r="SD377" i="2"/>
  <c r="SC378" i="2"/>
  <c r="SD378" i="2"/>
  <c r="SC379" i="2"/>
  <c r="SD379" i="2"/>
  <c r="SC380" i="2"/>
  <c r="SD380" i="2"/>
  <c r="SC381" i="2"/>
  <c r="SD381" i="2"/>
  <c r="SC382" i="2"/>
  <c r="SD382" i="2"/>
  <c r="SC383" i="2"/>
  <c r="SD383" i="2"/>
  <c r="SC384" i="2"/>
  <c r="SD384" i="2"/>
  <c r="SC385" i="2"/>
  <c r="SD385" i="2"/>
  <c r="SC386" i="2"/>
  <c r="SD386" i="2"/>
  <c r="SC387" i="2"/>
  <c r="SD387" i="2"/>
  <c r="SC388" i="2"/>
  <c r="SD388" i="2"/>
  <c r="SC389" i="2"/>
  <c r="SD389" i="2"/>
  <c r="SC390" i="2"/>
  <c r="SD390" i="2"/>
  <c r="SC391" i="2"/>
  <c r="SD391" i="2"/>
  <c r="SC392" i="2"/>
  <c r="SD392" i="2"/>
  <c r="SC394" i="2"/>
  <c r="SD394" i="2"/>
  <c r="SC395" i="2"/>
  <c r="SD395" i="2"/>
  <c r="SC396" i="2"/>
  <c r="SD396" i="2"/>
  <c r="SC397" i="2"/>
  <c r="SD397" i="2"/>
  <c r="SC398" i="2"/>
  <c r="SD398" i="2"/>
  <c r="SC399" i="2"/>
  <c r="SD399" i="2"/>
  <c r="SC400" i="2"/>
  <c r="SD400" i="2"/>
  <c r="SC401" i="2"/>
  <c r="SD401" i="2"/>
  <c r="SC402" i="2"/>
  <c r="SD402" i="2"/>
  <c r="SC403" i="2"/>
  <c r="SD403" i="2"/>
  <c r="SC404" i="2"/>
  <c r="SD404" i="2"/>
  <c r="SC405" i="2"/>
  <c r="SD405" i="2"/>
  <c r="SC406" i="2"/>
  <c r="SD406" i="2"/>
  <c r="SC407" i="2"/>
  <c r="SD407" i="2"/>
  <c r="SC408" i="2"/>
  <c r="SD408" i="2"/>
  <c r="SC409" i="2"/>
  <c r="SD409" i="2"/>
  <c r="SC410" i="2"/>
  <c r="SD410" i="2"/>
  <c r="SC411" i="2"/>
  <c r="SD411" i="2"/>
  <c r="SC412" i="2"/>
  <c r="SD412" i="2"/>
  <c r="SC413" i="2"/>
  <c r="SD413" i="2"/>
  <c r="SC414" i="2"/>
  <c r="SD414" i="2"/>
  <c r="SC415" i="2"/>
  <c r="SD415" i="2"/>
  <c r="SC416" i="2"/>
  <c r="SD416" i="2"/>
  <c r="SC417" i="2"/>
  <c r="SD417" i="2"/>
  <c r="SC418" i="2"/>
  <c r="SD418" i="2"/>
  <c r="SC419" i="2"/>
  <c r="SD419" i="2"/>
  <c r="SC420" i="2"/>
  <c r="SD420" i="2"/>
  <c r="SC421" i="2"/>
  <c r="SD421" i="2"/>
  <c r="SC422" i="2"/>
  <c r="SD422" i="2"/>
  <c r="SC423" i="2"/>
  <c r="SD423" i="2"/>
  <c r="SC424" i="2"/>
  <c r="SD424" i="2"/>
  <c r="SC425" i="2"/>
  <c r="SD425" i="2"/>
  <c r="SC426" i="2"/>
  <c r="SD426" i="2"/>
  <c r="SC427" i="2"/>
  <c r="SD427" i="2"/>
  <c r="SC428" i="2"/>
  <c r="SD428" i="2"/>
  <c r="SC429" i="2"/>
  <c r="SD429" i="2"/>
  <c r="SC430" i="2"/>
  <c r="SD430" i="2"/>
  <c r="SC432" i="2"/>
  <c r="SD432" i="2"/>
  <c r="SC433" i="2"/>
  <c r="SD433" i="2"/>
  <c r="SC434" i="2"/>
  <c r="SD434" i="2"/>
  <c r="SC435" i="2"/>
  <c r="SD435" i="2"/>
  <c r="SC436" i="2"/>
  <c r="SD436" i="2"/>
  <c r="SC437" i="2"/>
  <c r="SD437" i="2"/>
  <c r="SC438" i="2"/>
  <c r="SD438" i="2"/>
  <c r="SC439" i="2"/>
  <c r="SD439" i="2"/>
  <c r="SC440" i="2"/>
  <c r="SD440" i="2"/>
  <c r="SC441" i="2"/>
  <c r="SD441" i="2"/>
  <c r="SC442" i="2"/>
  <c r="SD442" i="2"/>
  <c r="SC443" i="2"/>
  <c r="SD443" i="2"/>
  <c r="SC444" i="2"/>
  <c r="SD444" i="2"/>
  <c r="SC445" i="2"/>
  <c r="SD445" i="2"/>
  <c r="SC446" i="2"/>
  <c r="SD446" i="2"/>
  <c r="SC447" i="2"/>
  <c r="SD447" i="2"/>
  <c r="SC448" i="2"/>
  <c r="SD448" i="2"/>
  <c r="SC449" i="2"/>
  <c r="SD449" i="2"/>
  <c r="SC450" i="2"/>
  <c r="SD450" i="2"/>
  <c r="SC451" i="2"/>
  <c r="SD451" i="2"/>
  <c r="SC452" i="2"/>
  <c r="SD452" i="2"/>
  <c r="SC453" i="2"/>
  <c r="SD453" i="2"/>
  <c r="SC454" i="2"/>
  <c r="SD454" i="2"/>
  <c r="SC455" i="2"/>
  <c r="SD455" i="2"/>
  <c r="SC456" i="2"/>
  <c r="SD456" i="2"/>
  <c r="SC457" i="2"/>
  <c r="SD457" i="2"/>
  <c r="SC458" i="2"/>
  <c r="SD458" i="2"/>
  <c r="SC459" i="2"/>
  <c r="SD459" i="2"/>
  <c r="SC460" i="2"/>
  <c r="SD460" i="2"/>
  <c r="SC461" i="2"/>
  <c r="SD461" i="2"/>
  <c r="SC462" i="2"/>
  <c r="SD462" i="2"/>
  <c r="SC463" i="2"/>
  <c r="SD463" i="2"/>
  <c r="SC464" i="2"/>
  <c r="SD464" i="2"/>
  <c r="SC465" i="2"/>
  <c r="SD465" i="2"/>
  <c r="SC466" i="2"/>
  <c r="SD466" i="2"/>
  <c r="SC467" i="2"/>
  <c r="SD467" i="2"/>
  <c r="SC468" i="2"/>
  <c r="SD468" i="2"/>
  <c r="SD15" i="2"/>
  <c r="SD16" i="2"/>
  <c r="SD17" i="2"/>
  <c r="SD18" i="2"/>
  <c r="SD19" i="2"/>
  <c r="SD20" i="2"/>
  <c r="SD21" i="2"/>
  <c r="SD22" i="2"/>
  <c r="SD23" i="2"/>
  <c r="SD24" i="2"/>
  <c r="SD25" i="2"/>
  <c r="SD26" i="2"/>
  <c r="SD27" i="2"/>
  <c r="SD28" i="2"/>
  <c r="SD29" i="2"/>
  <c r="SD30" i="2"/>
  <c r="SD31" i="2"/>
  <c r="SD32" i="2"/>
  <c r="SD33" i="2"/>
  <c r="SD34" i="2"/>
  <c r="SD35" i="2"/>
  <c r="SD36" i="2"/>
  <c r="SD37" i="2"/>
  <c r="SD38" i="2"/>
  <c r="SD39" i="2"/>
  <c r="SD40" i="2"/>
  <c r="SD41" i="2"/>
  <c r="SD42" i="2"/>
  <c r="SD43" i="2"/>
  <c r="SD44" i="2"/>
  <c r="SD45" i="2"/>
  <c r="SD46" i="2"/>
  <c r="SD47" i="2"/>
  <c r="SD48" i="2"/>
  <c r="SD49" i="2"/>
  <c r="SD50" i="2"/>
  <c r="SD14" i="2"/>
  <c r="SC14" i="2"/>
  <c r="RM52" i="2"/>
  <c r="RN52" i="2"/>
  <c r="RM53" i="2"/>
  <c r="RN53" i="2"/>
  <c r="RM54" i="2"/>
  <c r="RN54" i="2"/>
  <c r="RM55" i="2"/>
  <c r="RN55" i="2"/>
  <c r="RM56" i="2"/>
  <c r="RN56" i="2"/>
  <c r="RM57" i="2"/>
  <c r="RN57" i="2"/>
  <c r="RM58" i="2"/>
  <c r="RN58" i="2"/>
  <c r="RM59" i="2"/>
  <c r="RN59" i="2"/>
  <c r="RM60" i="2"/>
  <c r="RN60" i="2"/>
  <c r="RM61" i="2"/>
  <c r="RN61" i="2"/>
  <c r="RM62" i="2"/>
  <c r="RN62" i="2"/>
  <c r="RM63" i="2"/>
  <c r="RN63" i="2"/>
  <c r="RM64" i="2"/>
  <c r="RN64" i="2"/>
  <c r="RM65" i="2"/>
  <c r="RN65" i="2"/>
  <c r="RM66" i="2"/>
  <c r="RN66" i="2"/>
  <c r="RM67" i="2"/>
  <c r="RN67" i="2"/>
  <c r="RM68" i="2"/>
  <c r="RN68" i="2"/>
  <c r="RM69" i="2"/>
  <c r="RN69" i="2"/>
  <c r="RM70" i="2"/>
  <c r="RN70" i="2"/>
  <c r="RM71" i="2"/>
  <c r="RN71" i="2"/>
  <c r="RM72" i="2"/>
  <c r="RN72" i="2"/>
  <c r="RM73" i="2"/>
  <c r="RN73" i="2"/>
  <c r="RM74" i="2"/>
  <c r="RN74" i="2"/>
  <c r="RM75" i="2"/>
  <c r="RN75" i="2"/>
  <c r="RM76" i="2"/>
  <c r="RN76" i="2"/>
  <c r="RM77" i="2"/>
  <c r="RN77" i="2"/>
  <c r="RM78" i="2"/>
  <c r="RN78" i="2"/>
  <c r="RM79" i="2"/>
  <c r="RN79" i="2"/>
  <c r="RM80" i="2"/>
  <c r="RN80" i="2"/>
  <c r="RM81" i="2"/>
  <c r="RN81" i="2"/>
  <c r="RM82" i="2"/>
  <c r="RN82" i="2"/>
  <c r="RM83" i="2"/>
  <c r="RN83" i="2"/>
  <c r="RM84" i="2"/>
  <c r="RN84" i="2"/>
  <c r="RM85" i="2"/>
  <c r="RN85" i="2"/>
  <c r="RM86" i="2"/>
  <c r="RN86" i="2"/>
  <c r="RM87" i="2"/>
  <c r="RN87" i="2"/>
  <c r="RM88" i="2"/>
  <c r="RN88" i="2"/>
  <c r="RM90" i="2"/>
  <c r="RN90" i="2"/>
  <c r="RM91" i="2"/>
  <c r="RN91" i="2"/>
  <c r="RM92" i="2"/>
  <c r="RN92" i="2"/>
  <c r="RM93" i="2"/>
  <c r="RN93" i="2"/>
  <c r="RM94" i="2"/>
  <c r="RN94" i="2"/>
  <c r="RM95" i="2"/>
  <c r="RN95" i="2"/>
  <c r="RM96" i="2"/>
  <c r="RN96" i="2"/>
  <c r="RM97" i="2"/>
  <c r="RN97" i="2"/>
  <c r="RM98" i="2"/>
  <c r="RN98" i="2"/>
  <c r="RM99" i="2"/>
  <c r="RN99" i="2"/>
  <c r="RM100" i="2"/>
  <c r="RN100" i="2"/>
  <c r="RM101" i="2"/>
  <c r="RN101" i="2"/>
  <c r="RM102" i="2"/>
  <c r="RN102" i="2"/>
  <c r="RM103" i="2"/>
  <c r="RN103" i="2"/>
  <c r="RM104" i="2"/>
  <c r="RN104" i="2"/>
  <c r="RM105" i="2"/>
  <c r="RN105" i="2"/>
  <c r="RM106" i="2"/>
  <c r="RN106" i="2"/>
  <c r="RM107" i="2"/>
  <c r="RN107" i="2"/>
  <c r="RM108" i="2"/>
  <c r="RN108" i="2"/>
  <c r="RM109" i="2"/>
  <c r="RN109" i="2"/>
  <c r="RM110" i="2"/>
  <c r="RN110" i="2"/>
  <c r="RM111" i="2"/>
  <c r="RN111" i="2"/>
  <c r="RM112" i="2"/>
  <c r="RN112" i="2"/>
  <c r="RM113" i="2"/>
  <c r="RN113" i="2"/>
  <c r="RM114" i="2"/>
  <c r="RN114" i="2"/>
  <c r="RM115" i="2"/>
  <c r="RN115" i="2"/>
  <c r="RM116" i="2"/>
  <c r="RN116" i="2"/>
  <c r="RM117" i="2"/>
  <c r="RN117" i="2"/>
  <c r="RM118" i="2"/>
  <c r="RN118" i="2"/>
  <c r="RM119" i="2"/>
  <c r="RN119" i="2"/>
  <c r="RM120" i="2"/>
  <c r="RN120" i="2"/>
  <c r="RM121" i="2"/>
  <c r="RN121" i="2"/>
  <c r="RM122" i="2"/>
  <c r="RN122" i="2"/>
  <c r="RM123" i="2"/>
  <c r="RN123" i="2"/>
  <c r="RM124" i="2"/>
  <c r="RN124" i="2"/>
  <c r="RM125" i="2"/>
  <c r="RN125" i="2"/>
  <c r="RM126" i="2"/>
  <c r="RN126" i="2"/>
  <c r="RM128" i="2"/>
  <c r="RN128" i="2"/>
  <c r="RM129" i="2"/>
  <c r="RN129" i="2"/>
  <c r="RM130" i="2"/>
  <c r="RN130" i="2"/>
  <c r="RM131" i="2"/>
  <c r="RN131" i="2"/>
  <c r="RM132" i="2"/>
  <c r="RN132" i="2"/>
  <c r="RM133" i="2"/>
  <c r="RN133" i="2"/>
  <c r="RM134" i="2"/>
  <c r="RN134" i="2"/>
  <c r="RM135" i="2"/>
  <c r="RN135" i="2"/>
  <c r="RM136" i="2"/>
  <c r="RN136" i="2"/>
  <c r="RM137" i="2"/>
  <c r="RN137" i="2"/>
  <c r="RM138" i="2"/>
  <c r="RN138" i="2"/>
  <c r="RM139" i="2"/>
  <c r="RN139" i="2"/>
  <c r="RM140" i="2"/>
  <c r="RN140" i="2"/>
  <c r="RM141" i="2"/>
  <c r="RN141" i="2"/>
  <c r="RM142" i="2"/>
  <c r="RN142" i="2"/>
  <c r="RM143" i="2"/>
  <c r="RN143" i="2"/>
  <c r="RM144" i="2"/>
  <c r="RN144" i="2"/>
  <c r="RM145" i="2"/>
  <c r="RN145" i="2"/>
  <c r="RM146" i="2"/>
  <c r="RN146" i="2"/>
  <c r="RM147" i="2"/>
  <c r="RN147" i="2"/>
  <c r="RM148" i="2"/>
  <c r="RN148" i="2"/>
  <c r="RM149" i="2"/>
  <c r="RN149" i="2"/>
  <c r="RM150" i="2"/>
  <c r="RN150" i="2"/>
  <c r="RM151" i="2"/>
  <c r="RN151" i="2"/>
  <c r="RM152" i="2"/>
  <c r="RN152" i="2"/>
  <c r="RM153" i="2"/>
  <c r="RN153" i="2"/>
  <c r="RM154" i="2"/>
  <c r="RN154" i="2"/>
  <c r="RM155" i="2"/>
  <c r="RN155" i="2"/>
  <c r="RM156" i="2"/>
  <c r="RN156" i="2"/>
  <c r="RM157" i="2"/>
  <c r="RN157" i="2"/>
  <c r="RM158" i="2"/>
  <c r="RN158" i="2"/>
  <c r="RM159" i="2"/>
  <c r="RN159" i="2"/>
  <c r="RM160" i="2"/>
  <c r="RN160" i="2"/>
  <c r="RM161" i="2"/>
  <c r="RN161" i="2"/>
  <c r="RM162" i="2"/>
  <c r="RN162" i="2"/>
  <c r="RM163" i="2"/>
  <c r="RN163" i="2"/>
  <c r="RM164" i="2"/>
  <c r="RN164" i="2"/>
  <c r="RM166" i="2"/>
  <c r="RN166" i="2"/>
  <c r="RM167" i="2"/>
  <c r="RN167" i="2"/>
  <c r="RM168" i="2"/>
  <c r="RN168" i="2"/>
  <c r="RM169" i="2"/>
  <c r="RN169" i="2"/>
  <c r="RM170" i="2"/>
  <c r="RN170" i="2"/>
  <c r="RM171" i="2"/>
  <c r="RN171" i="2"/>
  <c r="RM172" i="2"/>
  <c r="RN172" i="2"/>
  <c r="RM173" i="2"/>
  <c r="RN173" i="2"/>
  <c r="RM174" i="2"/>
  <c r="RN174" i="2"/>
  <c r="RM175" i="2"/>
  <c r="RN175" i="2"/>
  <c r="RM176" i="2"/>
  <c r="RN176" i="2"/>
  <c r="RM177" i="2"/>
  <c r="RN177" i="2"/>
  <c r="RM178" i="2"/>
  <c r="RN178" i="2"/>
  <c r="RM179" i="2"/>
  <c r="RN179" i="2"/>
  <c r="RM180" i="2"/>
  <c r="RN180" i="2"/>
  <c r="RM181" i="2"/>
  <c r="RN181" i="2"/>
  <c r="RM182" i="2"/>
  <c r="RN182" i="2"/>
  <c r="RM183" i="2"/>
  <c r="RN183" i="2"/>
  <c r="RM184" i="2"/>
  <c r="RN184" i="2"/>
  <c r="RM185" i="2"/>
  <c r="RN185" i="2"/>
  <c r="RM186" i="2"/>
  <c r="RN186" i="2"/>
  <c r="RM187" i="2"/>
  <c r="RN187" i="2"/>
  <c r="RM188" i="2"/>
  <c r="RN188" i="2"/>
  <c r="RM189" i="2"/>
  <c r="RN189" i="2"/>
  <c r="RM190" i="2"/>
  <c r="RN190" i="2"/>
  <c r="RM191" i="2"/>
  <c r="RN191" i="2"/>
  <c r="RM192" i="2"/>
  <c r="RN192" i="2"/>
  <c r="RM193" i="2"/>
  <c r="RN193" i="2"/>
  <c r="RM194" i="2"/>
  <c r="RN194" i="2"/>
  <c r="RM195" i="2"/>
  <c r="RN195" i="2"/>
  <c r="RM196" i="2"/>
  <c r="RN196" i="2"/>
  <c r="RM197" i="2"/>
  <c r="RN197" i="2"/>
  <c r="RM198" i="2"/>
  <c r="RN198" i="2"/>
  <c r="RM199" i="2"/>
  <c r="RN199" i="2"/>
  <c r="RM200" i="2"/>
  <c r="RN200" i="2"/>
  <c r="RM201" i="2"/>
  <c r="RN201" i="2"/>
  <c r="RM202" i="2"/>
  <c r="RN202" i="2"/>
  <c r="RM204" i="2"/>
  <c r="RN204" i="2"/>
  <c r="RM205" i="2"/>
  <c r="RN205" i="2"/>
  <c r="RM206" i="2"/>
  <c r="RN206" i="2"/>
  <c r="RM207" i="2"/>
  <c r="RN207" i="2"/>
  <c r="RM208" i="2"/>
  <c r="RN208" i="2"/>
  <c r="RM209" i="2"/>
  <c r="RN209" i="2"/>
  <c r="RM210" i="2"/>
  <c r="RN210" i="2"/>
  <c r="RM211" i="2"/>
  <c r="RN211" i="2"/>
  <c r="RM212" i="2"/>
  <c r="RN212" i="2"/>
  <c r="RM213" i="2"/>
  <c r="RN213" i="2"/>
  <c r="RM214" i="2"/>
  <c r="RN214" i="2"/>
  <c r="RM215" i="2"/>
  <c r="RN215" i="2"/>
  <c r="RM216" i="2"/>
  <c r="RN216" i="2"/>
  <c r="RM217" i="2"/>
  <c r="RN217" i="2"/>
  <c r="RM218" i="2"/>
  <c r="RN218" i="2"/>
  <c r="RM219" i="2"/>
  <c r="RN219" i="2"/>
  <c r="RM220" i="2"/>
  <c r="RN220" i="2"/>
  <c r="RM221" i="2"/>
  <c r="RN221" i="2"/>
  <c r="RM222" i="2"/>
  <c r="RN222" i="2"/>
  <c r="RM223" i="2"/>
  <c r="RN223" i="2"/>
  <c r="RM224" i="2"/>
  <c r="RN224" i="2"/>
  <c r="RM225" i="2"/>
  <c r="RN225" i="2"/>
  <c r="RM226" i="2"/>
  <c r="RN226" i="2"/>
  <c r="RM227" i="2"/>
  <c r="RN227" i="2"/>
  <c r="RM228" i="2"/>
  <c r="RN228" i="2"/>
  <c r="RM229" i="2"/>
  <c r="RN229" i="2"/>
  <c r="RM230" i="2"/>
  <c r="RN230" i="2"/>
  <c r="RM231" i="2"/>
  <c r="RN231" i="2"/>
  <c r="RM232" i="2"/>
  <c r="RN232" i="2"/>
  <c r="RM233" i="2"/>
  <c r="RN233" i="2"/>
  <c r="RM234" i="2"/>
  <c r="RN234" i="2"/>
  <c r="RM235" i="2"/>
  <c r="RN235" i="2"/>
  <c r="RM236" i="2"/>
  <c r="RN236" i="2"/>
  <c r="RM237" i="2"/>
  <c r="RN237" i="2"/>
  <c r="RM238" i="2"/>
  <c r="RN238" i="2"/>
  <c r="RM239" i="2"/>
  <c r="RN239" i="2"/>
  <c r="RM240" i="2"/>
  <c r="RN240" i="2"/>
  <c r="RM242" i="2"/>
  <c r="RN242" i="2"/>
  <c r="RM243" i="2"/>
  <c r="RN243" i="2"/>
  <c r="RM244" i="2"/>
  <c r="RN244" i="2"/>
  <c r="RM245" i="2"/>
  <c r="RN245" i="2"/>
  <c r="RM246" i="2"/>
  <c r="RN246" i="2"/>
  <c r="RM247" i="2"/>
  <c r="RN247" i="2"/>
  <c r="RM248" i="2"/>
  <c r="RN248" i="2"/>
  <c r="RM249" i="2"/>
  <c r="RN249" i="2"/>
  <c r="RM250" i="2"/>
  <c r="RN250" i="2"/>
  <c r="RM251" i="2"/>
  <c r="RN251" i="2"/>
  <c r="RM252" i="2"/>
  <c r="RN252" i="2"/>
  <c r="RM253" i="2"/>
  <c r="RN253" i="2"/>
  <c r="RM254" i="2"/>
  <c r="RN254" i="2"/>
  <c r="RM255" i="2"/>
  <c r="RN255" i="2"/>
  <c r="RM256" i="2"/>
  <c r="RN256" i="2"/>
  <c r="RM257" i="2"/>
  <c r="RN257" i="2"/>
  <c r="RM258" i="2"/>
  <c r="RN258" i="2"/>
  <c r="RM259" i="2"/>
  <c r="RN259" i="2"/>
  <c r="RM260" i="2"/>
  <c r="RN260" i="2"/>
  <c r="RM261" i="2"/>
  <c r="RN261" i="2"/>
  <c r="RM262" i="2"/>
  <c r="RN262" i="2"/>
  <c r="RM263" i="2"/>
  <c r="RN263" i="2"/>
  <c r="RM264" i="2"/>
  <c r="RN264" i="2"/>
  <c r="RM265" i="2"/>
  <c r="RN265" i="2"/>
  <c r="RM266" i="2"/>
  <c r="RN266" i="2"/>
  <c r="RM267" i="2"/>
  <c r="RN267" i="2"/>
  <c r="RM268" i="2"/>
  <c r="RN268" i="2"/>
  <c r="RM269" i="2"/>
  <c r="RN269" i="2"/>
  <c r="RM270" i="2"/>
  <c r="RN270" i="2"/>
  <c r="RM271" i="2"/>
  <c r="RN271" i="2"/>
  <c r="RM272" i="2"/>
  <c r="RN272" i="2"/>
  <c r="RM273" i="2"/>
  <c r="RN273" i="2"/>
  <c r="RM274" i="2"/>
  <c r="RN274" i="2"/>
  <c r="RM275" i="2"/>
  <c r="RN275" i="2"/>
  <c r="RM276" i="2"/>
  <c r="RN276" i="2"/>
  <c r="RM277" i="2"/>
  <c r="RN277" i="2"/>
  <c r="RM278" i="2"/>
  <c r="RN278" i="2"/>
  <c r="RM280" i="2"/>
  <c r="RN280" i="2"/>
  <c r="RM281" i="2"/>
  <c r="RN281" i="2"/>
  <c r="RM282" i="2"/>
  <c r="RN282" i="2"/>
  <c r="RM283" i="2"/>
  <c r="RN283" i="2"/>
  <c r="RM284" i="2"/>
  <c r="RN284" i="2"/>
  <c r="RM285" i="2"/>
  <c r="RN285" i="2"/>
  <c r="RM286" i="2"/>
  <c r="RN286" i="2"/>
  <c r="RM287" i="2"/>
  <c r="RN287" i="2"/>
  <c r="RM288" i="2"/>
  <c r="RN288" i="2"/>
  <c r="RM289" i="2"/>
  <c r="RN289" i="2"/>
  <c r="RM290" i="2"/>
  <c r="RN290" i="2"/>
  <c r="RM291" i="2"/>
  <c r="RN291" i="2"/>
  <c r="RM292" i="2"/>
  <c r="RN292" i="2"/>
  <c r="RM293" i="2"/>
  <c r="RN293" i="2"/>
  <c r="RM294" i="2"/>
  <c r="RN294" i="2"/>
  <c r="RM295" i="2"/>
  <c r="RN295" i="2"/>
  <c r="RM296" i="2"/>
  <c r="RN296" i="2"/>
  <c r="RM297" i="2"/>
  <c r="RN297" i="2"/>
  <c r="RM298" i="2"/>
  <c r="RN298" i="2"/>
  <c r="RM299" i="2"/>
  <c r="RN299" i="2"/>
  <c r="RM300" i="2"/>
  <c r="RN300" i="2"/>
  <c r="RM301" i="2"/>
  <c r="RN301" i="2"/>
  <c r="RM302" i="2"/>
  <c r="RN302" i="2"/>
  <c r="RM303" i="2"/>
  <c r="RN303" i="2"/>
  <c r="RM304" i="2"/>
  <c r="RN304" i="2"/>
  <c r="RM305" i="2"/>
  <c r="RN305" i="2"/>
  <c r="RM306" i="2"/>
  <c r="RN306" i="2"/>
  <c r="RM307" i="2"/>
  <c r="RN307" i="2"/>
  <c r="RM308" i="2"/>
  <c r="RN308" i="2"/>
  <c r="RM309" i="2"/>
  <c r="RN309" i="2"/>
  <c r="RM310" i="2"/>
  <c r="RN310" i="2"/>
  <c r="RM311" i="2"/>
  <c r="RN311" i="2"/>
  <c r="RM312" i="2"/>
  <c r="RN312" i="2"/>
  <c r="RM313" i="2"/>
  <c r="RN313" i="2"/>
  <c r="RM314" i="2"/>
  <c r="RN314" i="2"/>
  <c r="RM315" i="2"/>
  <c r="RN315" i="2"/>
  <c r="RM316" i="2"/>
  <c r="RN316" i="2"/>
  <c r="RM318" i="2"/>
  <c r="RN318" i="2"/>
  <c r="RM319" i="2"/>
  <c r="RN319" i="2"/>
  <c r="RM320" i="2"/>
  <c r="RN320" i="2"/>
  <c r="RM321" i="2"/>
  <c r="RN321" i="2"/>
  <c r="RM322" i="2"/>
  <c r="RN322" i="2"/>
  <c r="RM323" i="2"/>
  <c r="RN323" i="2"/>
  <c r="RM324" i="2"/>
  <c r="RN324" i="2"/>
  <c r="RM325" i="2"/>
  <c r="RN325" i="2"/>
  <c r="RM326" i="2"/>
  <c r="RN326" i="2"/>
  <c r="RM327" i="2"/>
  <c r="RN327" i="2"/>
  <c r="RM328" i="2"/>
  <c r="RN328" i="2"/>
  <c r="RM329" i="2"/>
  <c r="RN329" i="2"/>
  <c r="RM330" i="2"/>
  <c r="RN330" i="2"/>
  <c r="RM331" i="2"/>
  <c r="RN331" i="2"/>
  <c r="RM332" i="2"/>
  <c r="RN332" i="2"/>
  <c r="RM333" i="2"/>
  <c r="RN333" i="2"/>
  <c r="RM334" i="2"/>
  <c r="RN334" i="2"/>
  <c r="RM335" i="2"/>
  <c r="RN335" i="2"/>
  <c r="RM336" i="2"/>
  <c r="RN336" i="2"/>
  <c r="RM337" i="2"/>
  <c r="RN337" i="2"/>
  <c r="RM338" i="2"/>
  <c r="RN338" i="2"/>
  <c r="RM339" i="2"/>
  <c r="RN339" i="2"/>
  <c r="RM340" i="2"/>
  <c r="RN340" i="2"/>
  <c r="RM341" i="2"/>
  <c r="RN341" i="2"/>
  <c r="RM342" i="2"/>
  <c r="RN342" i="2"/>
  <c r="RM343" i="2"/>
  <c r="RN343" i="2"/>
  <c r="RM344" i="2"/>
  <c r="RN344" i="2"/>
  <c r="RM345" i="2"/>
  <c r="RN345" i="2"/>
  <c r="RM346" i="2"/>
  <c r="RN346" i="2"/>
  <c r="RM347" i="2"/>
  <c r="RN347" i="2"/>
  <c r="RM348" i="2"/>
  <c r="RN348" i="2"/>
  <c r="RM349" i="2"/>
  <c r="RN349" i="2"/>
  <c r="RM350" i="2"/>
  <c r="RN350" i="2"/>
  <c r="RM351" i="2"/>
  <c r="RN351" i="2"/>
  <c r="RM352" i="2"/>
  <c r="RN352" i="2"/>
  <c r="RM353" i="2"/>
  <c r="RN353" i="2"/>
  <c r="RM354" i="2"/>
  <c r="RN354" i="2"/>
  <c r="RM356" i="2"/>
  <c r="RN356" i="2"/>
  <c r="RM357" i="2"/>
  <c r="RN357" i="2"/>
  <c r="RM358" i="2"/>
  <c r="RN358" i="2"/>
  <c r="RM359" i="2"/>
  <c r="RN359" i="2"/>
  <c r="RM360" i="2"/>
  <c r="RN360" i="2"/>
  <c r="RM361" i="2"/>
  <c r="RN361" i="2"/>
  <c r="RM362" i="2"/>
  <c r="RN362" i="2"/>
  <c r="RM363" i="2"/>
  <c r="RN363" i="2"/>
  <c r="RM364" i="2"/>
  <c r="RN364" i="2"/>
  <c r="RM365" i="2"/>
  <c r="RN365" i="2"/>
  <c r="RM366" i="2"/>
  <c r="RN366" i="2"/>
  <c r="RM367" i="2"/>
  <c r="RN367" i="2"/>
  <c r="RM368" i="2"/>
  <c r="RN368" i="2"/>
  <c r="RM369" i="2"/>
  <c r="RN369" i="2"/>
  <c r="RM370" i="2"/>
  <c r="RN370" i="2"/>
  <c r="RM371" i="2"/>
  <c r="RN371" i="2"/>
  <c r="RM372" i="2"/>
  <c r="RN372" i="2"/>
  <c r="RM373" i="2"/>
  <c r="RN373" i="2"/>
  <c r="RM374" i="2"/>
  <c r="RN374" i="2"/>
  <c r="RM375" i="2"/>
  <c r="RN375" i="2"/>
  <c r="RM376" i="2"/>
  <c r="RN376" i="2"/>
  <c r="RM377" i="2"/>
  <c r="RN377" i="2"/>
  <c r="RM378" i="2"/>
  <c r="RN378" i="2"/>
  <c r="RM379" i="2"/>
  <c r="RN379" i="2"/>
  <c r="RM380" i="2"/>
  <c r="RN380" i="2"/>
  <c r="RM381" i="2"/>
  <c r="RN381" i="2"/>
  <c r="RM382" i="2"/>
  <c r="RN382" i="2"/>
  <c r="RM383" i="2"/>
  <c r="RN383" i="2"/>
  <c r="RM384" i="2"/>
  <c r="RN384" i="2"/>
  <c r="RM385" i="2"/>
  <c r="RN385" i="2"/>
  <c r="RM386" i="2"/>
  <c r="RN386" i="2"/>
  <c r="RM387" i="2"/>
  <c r="RN387" i="2"/>
  <c r="RM388" i="2"/>
  <c r="RN388" i="2"/>
  <c r="RM389" i="2"/>
  <c r="RN389" i="2"/>
  <c r="RM390" i="2"/>
  <c r="RN390" i="2"/>
  <c r="RM391" i="2"/>
  <c r="RN391" i="2"/>
  <c r="RM392" i="2"/>
  <c r="RN392" i="2"/>
  <c r="RM394" i="2"/>
  <c r="RN394" i="2"/>
  <c r="RM395" i="2"/>
  <c r="RN395" i="2"/>
  <c r="RM396" i="2"/>
  <c r="RN396" i="2"/>
  <c r="RM397" i="2"/>
  <c r="RN397" i="2"/>
  <c r="RM398" i="2"/>
  <c r="RN398" i="2"/>
  <c r="RM399" i="2"/>
  <c r="RN399" i="2"/>
  <c r="RM400" i="2"/>
  <c r="RN400" i="2"/>
  <c r="RM401" i="2"/>
  <c r="RN401" i="2"/>
  <c r="RM402" i="2"/>
  <c r="RN402" i="2"/>
  <c r="RM403" i="2"/>
  <c r="RN403" i="2"/>
  <c r="RM404" i="2"/>
  <c r="RN404" i="2"/>
  <c r="RM405" i="2"/>
  <c r="RN405" i="2"/>
  <c r="RM406" i="2"/>
  <c r="RN406" i="2"/>
  <c r="RM407" i="2"/>
  <c r="RN407" i="2"/>
  <c r="RM408" i="2"/>
  <c r="RN408" i="2"/>
  <c r="RM409" i="2"/>
  <c r="RN409" i="2"/>
  <c r="RM410" i="2"/>
  <c r="RN410" i="2"/>
  <c r="RM411" i="2"/>
  <c r="RN411" i="2"/>
  <c r="RM412" i="2"/>
  <c r="RN412" i="2"/>
  <c r="RM413" i="2"/>
  <c r="RN413" i="2"/>
  <c r="RM414" i="2"/>
  <c r="RN414" i="2"/>
  <c r="RM415" i="2"/>
  <c r="RN415" i="2"/>
  <c r="RM416" i="2"/>
  <c r="RN416" i="2"/>
  <c r="RM417" i="2"/>
  <c r="RN417" i="2"/>
  <c r="RM418" i="2"/>
  <c r="RN418" i="2"/>
  <c r="RM419" i="2"/>
  <c r="RN419" i="2"/>
  <c r="RM420" i="2"/>
  <c r="RN420" i="2"/>
  <c r="RM421" i="2"/>
  <c r="RN421" i="2"/>
  <c r="RM422" i="2"/>
  <c r="RN422" i="2"/>
  <c r="RM423" i="2"/>
  <c r="RN423" i="2"/>
  <c r="RM424" i="2"/>
  <c r="RN424" i="2"/>
  <c r="RM425" i="2"/>
  <c r="RN425" i="2"/>
  <c r="RM426" i="2"/>
  <c r="RN426" i="2"/>
  <c r="RM427" i="2"/>
  <c r="RN427" i="2"/>
  <c r="RM428" i="2"/>
  <c r="RN428" i="2"/>
  <c r="RM429" i="2"/>
  <c r="RN429" i="2"/>
  <c r="RM430" i="2"/>
  <c r="RN430" i="2"/>
  <c r="RM432" i="2"/>
  <c r="RN432" i="2"/>
  <c r="RM433" i="2"/>
  <c r="RN433" i="2"/>
  <c r="RM434" i="2"/>
  <c r="RN434" i="2"/>
  <c r="RM435" i="2"/>
  <c r="RN435" i="2"/>
  <c r="RM436" i="2"/>
  <c r="RN436" i="2"/>
  <c r="RM437" i="2"/>
  <c r="RN437" i="2"/>
  <c r="RM438" i="2"/>
  <c r="RN438" i="2"/>
  <c r="RM439" i="2"/>
  <c r="RN439" i="2"/>
  <c r="RM440" i="2"/>
  <c r="RN440" i="2"/>
  <c r="RM441" i="2"/>
  <c r="RN441" i="2"/>
  <c r="RM442" i="2"/>
  <c r="RN442" i="2"/>
  <c r="RM443" i="2"/>
  <c r="RN443" i="2"/>
  <c r="RM444" i="2"/>
  <c r="RN444" i="2"/>
  <c r="RM445" i="2"/>
  <c r="RN445" i="2"/>
  <c r="RM446" i="2"/>
  <c r="RN446" i="2"/>
  <c r="RM447" i="2"/>
  <c r="RN447" i="2"/>
  <c r="RM448" i="2"/>
  <c r="RN448" i="2"/>
  <c r="RM449" i="2"/>
  <c r="RN449" i="2"/>
  <c r="RM450" i="2"/>
  <c r="RN450" i="2"/>
  <c r="RM451" i="2"/>
  <c r="RN451" i="2"/>
  <c r="RM452" i="2"/>
  <c r="RN452" i="2"/>
  <c r="RM453" i="2"/>
  <c r="RN453" i="2"/>
  <c r="RM454" i="2"/>
  <c r="RN454" i="2"/>
  <c r="RM455" i="2"/>
  <c r="RN455" i="2"/>
  <c r="RM456" i="2"/>
  <c r="RN456" i="2"/>
  <c r="RM457" i="2"/>
  <c r="RN457" i="2"/>
  <c r="RM458" i="2"/>
  <c r="RN458" i="2"/>
  <c r="RM459" i="2"/>
  <c r="RN459" i="2"/>
  <c r="RM460" i="2"/>
  <c r="RN460" i="2"/>
  <c r="RM461" i="2"/>
  <c r="RN461" i="2"/>
  <c r="RM462" i="2"/>
  <c r="RN462" i="2"/>
  <c r="RM463" i="2"/>
  <c r="RN463" i="2"/>
  <c r="RM464" i="2"/>
  <c r="RN464" i="2"/>
  <c r="RM465" i="2"/>
  <c r="RN465" i="2"/>
  <c r="RM466" i="2"/>
  <c r="RN466" i="2"/>
  <c r="RM467" i="2"/>
  <c r="RN467" i="2"/>
  <c r="RM468" i="2"/>
  <c r="RN468" i="2"/>
  <c r="RN15" i="2"/>
  <c r="RN16" i="2"/>
  <c r="RN17" i="2"/>
  <c r="RN18" i="2"/>
  <c r="RN19" i="2"/>
  <c r="RN20" i="2"/>
  <c r="RN21" i="2"/>
  <c r="RN22" i="2"/>
  <c r="RN23" i="2"/>
  <c r="RN24" i="2"/>
  <c r="RN25" i="2"/>
  <c r="RN26" i="2"/>
  <c r="RN27" i="2"/>
  <c r="RN28" i="2"/>
  <c r="RN29" i="2"/>
  <c r="RN30" i="2"/>
  <c r="RN31" i="2"/>
  <c r="RN32" i="2"/>
  <c r="RN33" i="2"/>
  <c r="RN34" i="2"/>
  <c r="RN35" i="2"/>
  <c r="RN36" i="2"/>
  <c r="RN37" i="2"/>
  <c r="RN38" i="2"/>
  <c r="RN39" i="2"/>
  <c r="RN40" i="2"/>
  <c r="RN41" i="2"/>
  <c r="RN42" i="2"/>
  <c r="RN43" i="2"/>
  <c r="RN44" i="2"/>
  <c r="RN45" i="2"/>
  <c r="RN46" i="2"/>
  <c r="RN47" i="2"/>
  <c r="RN48" i="2"/>
  <c r="RN49" i="2"/>
  <c r="RN50" i="2"/>
  <c r="RN14" i="2"/>
  <c r="RM14" i="2"/>
  <c r="QW52" i="2"/>
  <c r="QX52" i="2"/>
  <c r="QW53" i="2"/>
  <c r="QX53" i="2"/>
  <c r="QW54" i="2"/>
  <c r="QX54" i="2"/>
  <c r="QW55" i="2"/>
  <c r="QX55" i="2"/>
  <c r="QW56" i="2"/>
  <c r="QX56" i="2"/>
  <c r="QW57" i="2"/>
  <c r="QX57" i="2"/>
  <c r="QW58" i="2"/>
  <c r="QX58" i="2"/>
  <c r="QW59" i="2"/>
  <c r="QX59" i="2"/>
  <c r="QW60" i="2"/>
  <c r="QX60" i="2"/>
  <c r="QW61" i="2"/>
  <c r="QX61" i="2"/>
  <c r="QW62" i="2"/>
  <c r="QX62" i="2"/>
  <c r="QW63" i="2"/>
  <c r="QX63" i="2"/>
  <c r="QW64" i="2"/>
  <c r="QX64" i="2"/>
  <c r="QW65" i="2"/>
  <c r="QX65" i="2"/>
  <c r="QW66" i="2"/>
  <c r="QX66" i="2"/>
  <c r="QW67" i="2"/>
  <c r="QX67" i="2"/>
  <c r="QW68" i="2"/>
  <c r="QX68" i="2"/>
  <c r="QW69" i="2"/>
  <c r="QX69" i="2"/>
  <c r="QW70" i="2"/>
  <c r="QX70" i="2"/>
  <c r="QW71" i="2"/>
  <c r="QX71" i="2"/>
  <c r="QW72" i="2"/>
  <c r="QX72" i="2"/>
  <c r="QW73" i="2"/>
  <c r="QX73" i="2"/>
  <c r="QW74" i="2"/>
  <c r="QX74" i="2"/>
  <c r="QW75" i="2"/>
  <c r="QX75" i="2"/>
  <c r="QW76" i="2"/>
  <c r="QX76" i="2"/>
  <c r="QW77" i="2"/>
  <c r="QX77" i="2"/>
  <c r="QW78" i="2"/>
  <c r="QX78" i="2"/>
  <c r="QW79" i="2"/>
  <c r="QX79" i="2"/>
  <c r="QW80" i="2"/>
  <c r="QX80" i="2"/>
  <c r="QW81" i="2"/>
  <c r="QX81" i="2"/>
  <c r="QW82" i="2"/>
  <c r="QX82" i="2"/>
  <c r="QW83" i="2"/>
  <c r="QX83" i="2"/>
  <c r="QW84" i="2"/>
  <c r="QX84" i="2"/>
  <c r="QW85" i="2"/>
  <c r="QX85" i="2"/>
  <c r="QW86" i="2"/>
  <c r="QX86" i="2"/>
  <c r="QW87" i="2"/>
  <c r="QX87" i="2"/>
  <c r="QW88" i="2"/>
  <c r="QX88" i="2"/>
  <c r="QW90" i="2"/>
  <c r="QX90" i="2"/>
  <c r="QW91" i="2"/>
  <c r="QX91" i="2"/>
  <c r="QW92" i="2"/>
  <c r="QX92" i="2"/>
  <c r="QW93" i="2"/>
  <c r="QX93" i="2"/>
  <c r="QW94" i="2"/>
  <c r="QX94" i="2"/>
  <c r="QW95" i="2"/>
  <c r="QX95" i="2"/>
  <c r="QW96" i="2"/>
  <c r="QX96" i="2"/>
  <c r="QW97" i="2"/>
  <c r="QX97" i="2"/>
  <c r="QW98" i="2"/>
  <c r="QX98" i="2"/>
  <c r="QW99" i="2"/>
  <c r="QX99" i="2"/>
  <c r="QW100" i="2"/>
  <c r="QX100" i="2"/>
  <c r="QW101" i="2"/>
  <c r="QX101" i="2"/>
  <c r="QW102" i="2"/>
  <c r="QX102" i="2"/>
  <c r="QW103" i="2"/>
  <c r="QX103" i="2"/>
  <c r="QW104" i="2"/>
  <c r="QX104" i="2"/>
  <c r="QW105" i="2"/>
  <c r="QX105" i="2"/>
  <c r="QW106" i="2"/>
  <c r="QX106" i="2"/>
  <c r="QW107" i="2"/>
  <c r="QX107" i="2"/>
  <c r="QW108" i="2"/>
  <c r="QX108" i="2"/>
  <c r="QW109" i="2"/>
  <c r="QX109" i="2"/>
  <c r="QW110" i="2"/>
  <c r="QX110" i="2"/>
  <c r="QW111" i="2"/>
  <c r="QX111" i="2"/>
  <c r="QW112" i="2"/>
  <c r="QX112" i="2"/>
  <c r="QW113" i="2"/>
  <c r="QX113" i="2"/>
  <c r="QW114" i="2"/>
  <c r="QX114" i="2"/>
  <c r="QW115" i="2"/>
  <c r="QX115" i="2"/>
  <c r="QW116" i="2"/>
  <c r="QX116" i="2"/>
  <c r="QW117" i="2"/>
  <c r="QX117" i="2"/>
  <c r="QW118" i="2"/>
  <c r="QX118" i="2"/>
  <c r="QW119" i="2"/>
  <c r="QX119" i="2"/>
  <c r="QW120" i="2"/>
  <c r="QX120" i="2"/>
  <c r="QW121" i="2"/>
  <c r="QX121" i="2"/>
  <c r="QW122" i="2"/>
  <c r="QX122" i="2"/>
  <c r="QW123" i="2"/>
  <c r="QX123" i="2"/>
  <c r="QW124" i="2"/>
  <c r="QX124" i="2"/>
  <c r="QW125" i="2"/>
  <c r="QX125" i="2"/>
  <c r="QW126" i="2"/>
  <c r="QX126" i="2"/>
  <c r="QW128" i="2"/>
  <c r="QX128" i="2"/>
  <c r="QW129" i="2"/>
  <c r="QX129" i="2"/>
  <c r="QW130" i="2"/>
  <c r="QX130" i="2"/>
  <c r="QW131" i="2"/>
  <c r="QX131" i="2"/>
  <c r="QW132" i="2"/>
  <c r="QX132" i="2"/>
  <c r="QW133" i="2"/>
  <c r="QX133" i="2"/>
  <c r="QW134" i="2"/>
  <c r="QX134" i="2"/>
  <c r="QW135" i="2"/>
  <c r="QX135" i="2"/>
  <c r="QW136" i="2"/>
  <c r="QX136" i="2"/>
  <c r="QW137" i="2"/>
  <c r="QX137" i="2"/>
  <c r="QW138" i="2"/>
  <c r="QX138" i="2"/>
  <c r="QW139" i="2"/>
  <c r="QX139" i="2"/>
  <c r="QW140" i="2"/>
  <c r="QX140" i="2"/>
  <c r="QW141" i="2"/>
  <c r="QX141" i="2"/>
  <c r="QW142" i="2"/>
  <c r="QX142" i="2"/>
  <c r="QW143" i="2"/>
  <c r="QX143" i="2"/>
  <c r="QW144" i="2"/>
  <c r="QX144" i="2"/>
  <c r="QW145" i="2"/>
  <c r="QX145" i="2"/>
  <c r="QW146" i="2"/>
  <c r="QX146" i="2"/>
  <c r="QW147" i="2"/>
  <c r="QX147" i="2"/>
  <c r="QW148" i="2"/>
  <c r="QX148" i="2"/>
  <c r="QW149" i="2"/>
  <c r="QX149" i="2"/>
  <c r="QW150" i="2"/>
  <c r="QX150" i="2"/>
  <c r="QW151" i="2"/>
  <c r="QX151" i="2"/>
  <c r="QW152" i="2"/>
  <c r="QX152" i="2"/>
  <c r="QW153" i="2"/>
  <c r="QX153" i="2"/>
  <c r="QW154" i="2"/>
  <c r="QX154" i="2"/>
  <c r="QW155" i="2"/>
  <c r="QX155" i="2"/>
  <c r="QW156" i="2"/>
  <c r="QX156" i="2"/>
  <c r="QW157" i="2"/>
  <c r="QX157" i="2"/>
  <c r="QW158" i="2"/>
  <c r="QX158" i="2"/>
  <c r="QW159" i="2"/>
  <c r="QX159" i="2"/>
  <c r="QW160" i="2"/>
  <c r="QX160" i="2"/>
  <c r="QW161" i="2"/>
  <c r="QX161" i="2"/>
  <c r="QW162" i="2"/>
  <c r="QX162" i="2"/>
  <c r="QW163" i="2"/>
  <c r="QX163" i="2"/>
  <c r="QW164" i="2"/>
  <c r="QX164" i="2"/>
  <c r="QW166" i="2"/>
  <c r="QX166" i="2"/>
  <c r="QW167" i="2"/>
  <c r="QX167" i="2"/>
  <c r="QW168" i="2"/>
  <c r="QX168" i="2"/>
  <c r="QW169" i="2"/>
  <c r="QX169" i="2"/>
  <c r="QW170" i="2"/>
  <c r="QX170" i="2"/>
  <c r="QW171" i="2"/>
  <c r="QX171" i="2"/>
  <c r="QW172" i="2"/>
  <c r="QX172" i="2"/>
  <c r="QW173" i="2"/>
  <c r="QX173" i="2"/>
  <c r="QW174" i="2"/>
  <c r="QX174" i="2"/>
  <c r="QW175" i="2"/>
  <c r="QX175" i="2"/>
  <c r="QW176" i="2"/>
  <c r="QX176" i="2"/>
  <c r="QW177" i="2"/>
  <c r="QX177" i="2"/>
  <c r="QW178" i="2"/>
  <c r="QX178" i="2"/>
  <c r="QW179" i="2"/>
  <c r="QX179" i="2"/>
  <c r="QW180" i="2"/>
  <c r="QX180" i="2"/>
  <c r="QW181" i="2"/>
  <c r="QX181" i="2"/>
  <c r="QW182" i="2"/>
  <c r="QX182" i="2"/>
  <c r="QW183" i="2"/>
  <c r="QX183" i="2"/>
  <c r="QW184" i="2"/>
  <c r="QX184" i="2"/>
  <c r="QW185" i="2"/>
  <c r="QX185" i="2"/>
  <c r="QW186" i="2"/>
  <c r="QX186" i="2"/>
  <c r="QW187" i="2"/>
  <c r="QX187" i="2"/>
  <c r="QW188" i="2"/>
  <c r="QX188" i="2"/>
  <c r="QW189" i="2"/>
  <c r="QX189" i="2"/>
  <c r="QW190" i="2"/>
  <c r="QX190" i="2"/>
  <c r="QW191" i="2"/>
  <c r="QX191" i="2"/>
  <c r="QW192" i="2"/>
  <c r="QX192" i="2"/>
  <c r="QW193" i="2"/>
  <c r="QX193" i="2"/>
  <c r="QW194" i="2"/>
  <c r="QX194" i="2"/>
  <c r="QW195" i="2"/>
  <c r="QX195" i="2"/>
  <c r="QW196" i="2"/>
  <c r="QX196" i="2"/>
  <c r="QW197" i="2"/>
  <c r="QX197" i="2"/>
  <c r="QW198" i="2"/>
  <c r="QX198" i="2"/>
  <c r="QW199" i="2"/>
  <c r="QX199" i="2"/>
  <c r="QW200" i="2"/>
  <c r="QX200" i="2"/>
  <c r="QW201" i="2"/>
  <c r="QX201" i="2"/>
  <c r="QW202" i="2"/>
  <c r="QX202" i="2"/>
  <c r="QW204" i="2"/>
  <c r="QX204" i="2"/>
  <c r="QW205" i="2"/>
  <c r="QX205" i="2"/>
  <c r="QW206" i="2"/>
  <c r="QX206" i="2"/>
  <c r="QW207" i="2"/>
  <c r="QX207" i="2"/>
  <c r="QW208" i="2"/>
  <c r="QX208" i="2"/>
  <c r="QW209" i="2"/>
  <c r="QX209" i="2"/>
  <c r="QW210" i="2"/>
  <c r="QX210" i="2"/>
  <c r="QW211" i="2"/>
  <c r="QX211" i="2"/>
  <c r="QW212" i="2"/>
  <c r="QX212" i="2"/>
  <c r="QW213" i="2"/>
  <c r="QX213" i="2"/>
  <c r="QW214" i="2"/>
  <c r="QX214" i="2"/>
  <c r="QW215" i="2"/>
  <c r="QX215" i="2"/>
  <c r="QW216" i="2"/>
  <c r="QX216" i="2"/>
  <c r="QW217" i="2"/>
  <c r="QX217" i="2"/>
  <c r="QW218" i="2"/>
  <c r="QX218" i="2"/>
  <c r="QW219" i="2"/>
  <c r="QX219" i="2"/>
  <c r="QW220" i="2"/>
  <c r="QX220" i="2"/>
  <c r="QW221" i="2"/>
  <c r="QX221" i="2"/>
  <c r="QW222" i="2"/>
  <c r="QX222" i="2"/>
  <c r="QW223" i="2"/>
  <c r="QX223" i="2"/>
  <c r="QW224" i="2"/>
  <c r="QX224" i="2"/>
  <c r="QW225" i="2"/>
  <c r="QX225" i="2"/>
  <c r="QW226" i="2"/>
  <c r="QX226" i="2"/>
  <c r="QW227" i="2"/>
  <c r="QX227" i="2"/>
  <c r="QW228" i="2"/>
  <c r="QX228" i="2"/>
  <c r="QW229" i="2"/>
  <c r="QX229" i="2"/>
  <c r="QW230" i="2"/>
  <c r="QX230" i="2"/>
  <c r="QW231" i="2"/>
  <c r="QX231" i="2"/>
  <c r="QW232" i="2"/>
  <c r="QX232" i="2"/>
  <c r="QW233" i="2"/>
  <c r="QX233" i="2"/>
  <c r="QW234" i="2"/>
  <c r="QX234" i="2"/>
  <c r="QW235" i="2"/>
  <c r="QX235" i="2"/>
  <c r="QW236" i="2"/>
  <c r="QX236" i="2"/>
  <c r="QW237" i="2"/>
  <c r="QX237" i="2"/>
  <c r="QW238" i="2"/>
  <c r="QX238" i="2"/>
  <c r="QW239" i="2"/>
  <c r="QX239" i="2"/>
  <c r="QW240" i="2"/>
  <c r="QX240" i="2"/>
  <c r="QW242" i="2"/>
  <c r="QX242" i="2"/>
  <c r="QW243" i="2"/>
  <c r="QX243" i="2"/>
  <c r="QW244" i="2"/>
  <c r="QX244" i="2"/>
  <c r="QW245" i="2"/>
  <c r="QX245" i="2"/>
  <c r="QW246" i="2"/>
  <c r="QX246" i="2"/>
  <c r="QW247" i="2"/>
  <c r="QX247" i="2"/>
  <c r="QW248" i="2"/>
  <c r="QX248" i="2"/>
  <c r="QW249" i="2"/>
  <c r="QX249" i="2"/>
  <c r="QW250" i="2"/>
  <c r="QX250" i="2"/>
  <c r="QW251" i="2"/>
  <c r="QX251" i="2"/>
  <c r="QW252" i="2"/>
  <c r="QX252" i="2"/>
  <c r="QW253" i="2"/>
  <c r="QX253" i="2"/>
  <c r="QW254" i="2"/>
  <c r="QX254" i="2"/>
  <c r="QW255" i="2"/>
  <c r="QX255" i="2"/>
  <c r="QW256" i="2"/>
  <c r="QX256" i="2"/>
  <c r="QW257" i="2"/>
  <c r="QX257" i="2"/>
  <c r="QW258" i="2"/>
  <c r="QX258" i="2"/>
  <c r="QW259" i="2"/>
  <c r="QX259" i="2"/>
  <c r="QW260" i="2"/>
  <c r="QX260" i="2"/>
  <c r="QW261" i="2"/>
  <c r="QX261" i="2"/>
  <c r="QW262" i="2"/>
  <c r="QX262" i="2"/>
  <c r="QW263" i="2"/>
  <c r="QX263" i="2"/>
  <c r="QW264" i="2"/>
  <c r="QX264" i="2"/>
  <c r="QW265" i="2"/>
  <c r="QX265" i="2"/>
  <c r="QW266" i="2"/>
  <c r="QX266" i="2"/>
  <c r="QW267" i="2"/>
  <c r="QX267" i="2"/>
  <c r="QW268" i="2"/>
  <c r="QX268" i="2"/>
  <c r="QW269" i="2"/>
  <c r="QX269" i="2"/>
  <c r="QW270" i="2"/>
  <c r="QX270" i="2"/>
  <c r="QW271" i="2"/>
  <c r="QX271" i="2"/>
  <c r="QW272" i="2"/>
  <c r="QX272" i="2"/>
  <c r="QW273" i="2"/>
  <c r="QX273" i="2"/>
  <c r="QW274" i="2"/>
  <c r="QX274" i="2"/>
  <c r="QW275" i="2"/>
  <c r="QX275" i="2"/>
  <c r="QW276" i="2"/>
  <c r="QX276" i="2"/>
  <c r="QW277" i="2"/>
  <c r="QX277" i="2"/>
  <c r="QW278" i="2"/>
  <c r="QX278" i="2"/>
  <c r="QW280" i="2"/>
  <c r="QX280" i="2"/>
  <c r="QW281" i="2"/>
  <c r="QX281" i="2"/>
  <c r="QW282" i="2"/>
  <c r="QX282" i="2"/>
  <c r="QW283" i="2"/>
  <c r="QX283" i="2"/>
  <c r="QW284" i="2"/>
  <c r="QX284" i="2"/>
  <c r="QW285" i="2"/>
  <c r="QX285" i="2"/>
  <c r="QW286" i="2"/>
  <c r="QX286" i="2"/>
  <c r="QW287" i="2"/>
  <c r="QX287" i="2"/>
  <c r="QW288" i="2"/>
  <c r="QX288" i="2"/>
  <c r="QW289" i="2"/>
  <c r="QX289" i="2"/>
  <c r="QW290" i="2"/>
  <c r="QX290" i="2"/>
  <c r="QW291" i="2"/>
  <c r="QX291" i="2"/>
  <c r="QW292" i="2"/>
  <c r="QX292" i="2"/>
  <c r="QW293" i="2"/>
  <c r="QX293" i="2"/>
  <c r="QW294" i="2"/>
  <c r="QX294" i="2"/>
  <c r="QW295" i="2"/>
  <c r="QX295" i="2"/>
  <c r="QW296" i="2"/>
  <c r="QX296" i="2"/>
  <c r="QW297" i="2"/>
  <c r="QX297" i="2"/>
  <c r="QW298" i="2"/>
  <c r="QX298" i="2"/>
  <c r="QW299" i="2"/>
  <c r="QX299" i="2"/>
  <c r="QW300" i="2"/>
  <c r="QX300" i="2"/>
  <c r="QW301" i="2"/>
  <c r="QX301" i="2"/>
  <c r="QW302" i="2"/>
  <c r="QX302" i="2"/>
  <c r="QW303" i="2"/>
  <c r="QX303" i="2"/>
  <c r="QW304" i="2"/>
  <c r="QX304" i="2"/>
  <c r="QW305" i="2"/>
  <c r="QX305" i="2"/>
  <c r="QW306" i="2"/>
  <c r="QX306" i="2"/>
  <c r="QW307" i="2"/>
  <c r="QX307" i="2"/>
  <c r="QW308" i="2"/>
  <c r="QX308" i="2"/>
  <c r="QW309" i="2"/>
  <c r="QX309" i="2"/>
  <c r="QW310" i="2"/>
  <c r="QX310" i="2"/>
  <c r="QW311" i="2"/>
  <c r="QX311" i="2"/>
  <c r="QW312" i="2"/>
  <c r="QX312" i="2"/>
  <c r="QW313" i="2"/>
  <c r="QX313" i="2"/>
  <c r="QW314" i="2"/>
  <c r="QX314" i="2"/>
  <c r="QW315" i="2"/>
  <c r="QX315" i="2"/>
  <c r="QW316" i="2"/>
  <c r="QX316" i="2"/>
  <c r="QW318" i="2"/>
  <c r="QX318" i="2"/>
  <c r="QW319" i="2"/>
  <c r="QX319" i="2"/>
  <c r="QW320" i="2"/>
  <c r="QX320" i="2"/>
  <c r="QW321" i="2"/>
  <c r="QX321" i="2"/>
  <c r="QW322" i="2"/>
  <c r="QX322" i="2"/>
  <c r="QW323" i="2"/>
  <c r="QX323" i="2"/>
  <c r="QW324" i="2"/>
  <c r="QX324" i="2"/>
  <c r="QW325" i="2"/>
  <c r="QX325" i="2"/>
  <c r="QW326" i="2"/>
  <c r="QX326" i="2"/>
  <c r="QW327" i="2"/>
  <c r="QX327" i="2"/>
  <c r="QW328" i="2"/>
  <c r="QX328" i="2"/>
  <c r="QW329" i="2"/>
  <c r="QX329" i="2"/>
  <c r="QW330" i="2"/>
  <c r="QX330" i="2"/>
  <c r="QW331" i="2"/>
  <c r="QX331" i="2"/>
  <c r="QW332" i="2"/>
  <c r="QX332" i="2"/>
  <c r="QW333" i="2"/>
  <c r="QX333" i="2"/>
  <c r="QW334" i="2"/>
  <c r="QX334" i="2"/>
  <c r="QW335" i="2"/>
  <c r="QX335" i="2"/>
  <c r="QW336" i="2"/>
  <c r="QX336" i="2"/>
  <c r="QW337" i="2"/>
  <c r="QX337" i="2"/>
  <c r="QW338" i="2"/>
  <c r="QX338" i="2"/>
  <c r="QW339" i="2"/>
  <c r="QX339" i="2"/>
  <c r="QW340" i="2"/>
  <c r="QX340" i="2"/>
  <c r="QW341" i="2"/>
  <c r="QX341" i="2"/>
  <c r="QW342" i="2"/>
  <c r="QX342" i="2"/>
  <c r="QW343" i="2"/>
  <c r="QX343" i="2"/>
  <c r="QW344" i="2"/>
  <c r="QX344" i="2"/>
  <c r="QW345" i="2"/>
  <c r="QX345" i="2"/>
  <c r="QW346" i="2"/>
  <c r="QX346" i="2"/>
  <c r="QW347" i="2"/>
  <c r="QX347" i="2"/>
  <c r="QW348" i="2"/>
  <c r="QX348" i="2"/>
  <c r="QW349" i="2"/>
  <c r="QX349" i="2"/>
  <c r="QW350" i="2"/>
  <c r="QX350" i="2"/>
  <c r="QW351" i="2"/>
  <c r="QX351" i="2"/>
  <c r="QW352" i="2"/>
  <c r="QX352" i="2"/>
  <c r="QW353" i="2"/>
  <c r="QX353" i="2"/>
  <c r="QW354" i="2"/>
  <c r="QX354" i="2"/>
  <c r="QW356" i="2"/>
  <c r="QX356" i="2"/>
  <c r="QW357" i="2"/>
  <c r="QX357" i="2"/>
  <c r="QW358" i="2"/>
  <c r="QX358" i="2"/>
  <c r="QW359" i="2"/>
  <c r="QX359" i="2"/>
  <c r="QW360" i="2"/>
  <c r="QX360" i="2"/>
  <c r="QW361" i="2"/>
  <c r="QX361" i="2"/>
  <c r="QW362" i="2"/>
  <c r="QX362" i="2"/>
  <c r="QW363" i="2"/>
  <c r="QX363" i="2"/>
  <c r="QW364" i="2"/>
  <c r="QX364" i="2"/>
  <c r="QW365" i="2"/>
  <c r="QX365" i="2"/>
  <c r="QW366" i="2"/>
  <c r="QX366" i="2"/>
  <c r="QW367" i="2"/>
  <c r="QX367" i="2"/>
  <c r="QW368" i="2"/>
  <c r="QX368" i="2"/>
  <c r="QW369" i="2"/>
  <c r="QX369" i="2"/>
  <c r="QW370" i="2"/>
  <c r="QX370" i="2"/>
  <c r="QW371" i="2"/>
  <c r="QX371" i="2"/>
  <c r="QW372" i="2"/>
  <c r="QX372" i="2"/>
  <c r="QW373" i="2"/>
  <c r="QX373" i="2"/>
  <c r="QW374" i="2"/>
  <c r="QX374" i="2"/>
  <c r="QW375" i="2"/>
  <c r="QX375" i="2"/>
  <c r="QW376" i="2"/>
  <c r="QX376" i="2"/>
  <c r="QW377" i="2"/>
  <c r="QX377" i="2"/>
  <c r="QW378" i="2"/>
  <c r="QX378" i="2"/>
  <c r="QW379" i="2"/>
  <c r="QX379" i="2"/>
  <c r="QW380" i="2"/>
  <c r="QX380" i="2"/>
  <c r="QW381" i="2"/>
  <c r="QX381" i="2"/>
  <c r="QW382" i="2"/>
  <c r="QX382" i="2"/>
  <c r="QW383" i="2"/>
  <c r="QX383" i="2"/>
  <c r="QW384" i="2"/>
  <c r="QX384" i="2"/>
  <c r="QW385" i="2"/>
  <c r="QX385" i="2"/>
  <c r="QW386" i="2"/>
  <c r="QX386" i="2"/>
  <c r="QW387" i="2"/>
  <c r="QX387" i="2"/>
  <c r="QW388" i="2"/>
  <c r="QX388" i="2"/>
  <c r="QW389" i="2"/>
  <c r="QX389" i="2"/>
  <c r="QW390" i="2"/>
  <c r="QX390" i="2"/>
  <c r="QW391" i="2"/>
  <c r="QX391" i="2"/>
  <c r="QW392" i="2"/>
  <c r="QX392" i="2"/>
  <c r="QW394" i="2"/>
  <c r="QX394" i="2"/>
  <c r="QW395" i="2"/>
  <c r="QX395" i="2"/>
  <c r="QW396" i="2"/>
  <c r="QX396" i="2"/>
  <c r="QW397" i="2"/>
  <c r="QX397" i="2"/>
  <c r="QW398" i="2"/>
  <c r="QX398" i="2"/>
  <c r="QW399" i="2"/>
  <c r="QX399" i="2"/>
  <c r="QW400" i="2"/>
  <c r="QX400" i="2"/>
  <c r="QW401" i="2"/>
  <c r="QX401" i="2"/>
  <c r="QW402" i="2"/>
  <c r="QX402" i="2"/>
  <c r="QW403" i="2"/>
  <c r="QX403" i="2"/>
  <c r="QW404" i="2"/>
  <c r="QX404" i="2"/>
  <c r="QW405" i="2"/>
  <c r="QX405" i="2"/>
  <c r="QW406" i="2"/>
  <c r="QX406" i="2"/>
  <c r="QW407" i="2"/>
  <c r="QX407" i="2"/>
  <c r="QW408" i="2"/>
  <c r="QX408" i="2"/>
  <c r="QW409" i="2"/>
  <c r="QX409" i="2"/>
  <c r="QW410" i="2"/>
  <c r="QX410" i="2"/>
  <c r="QW411" i="2"/>
  <c r="QX411" i="2"/>
  <c r="QW412" i="2"/>
  <c r="QX412" i="2"/>
  <c r="QW413" i="2"/>
  <c r="QX413" i="2"/>
  <c r="QW414" i="2"/>
  <c r="QX414" i="2"/>
  <c r="QW415" i="2"/>
  <c r="QX415" i="2"/>
  <c r="QW416" i="2"/>
  <c r="QX416" i="2"/>
  <c r="QW417" i="2"/>
  <c r="QX417" i="2"/>
  <c r="QW418" i="2"/>
  <c r="QX418" i="2"/>
  <c r="QW419" i="2"/>
  <c r="QX419" i="2"/>
  <c r="QW420" i="2"/>
  <c r="QX420" i="2"/>
  <c r="QW421" i="2"/>
  <c r="QX421" i="2"/>
  <c r="QW422" i="2"/>
  <c r="QX422" i="2"/>
  <c r="QW423" i="2"/>
  <c r="QX423" i="2"/>
  <c r="QW424" i="2"/>
  <c r="QX424" i="2"/>
  <c r="QW425" i="2"/>
  <c r="QX425" i="2"/>
  <c r="QW426" i="2"/>
  <c r="QX426" i="2"/>
  <c r="QW427" i="2"/>
  <c r="QX427" i="2"/>
  <c r="QW428" i="2"/>
  <c r="QX428" i="2"/>
  <c r="QW429" i="2"/>
  <c r="QX429" i="2"/>
  <c r="QW430" i="2"/>
  <c r="QX430" i="2"/>
  <c r="QW432" i="2"/>
  <c r="QX432" i="2"/>
  <c r="QW433" i="2"/>
  <c r="QX433" i="2"/>
  <c r="QW434" i="2"/>
  <c r="QX434" i="2"/>
  <c r="QW435" i="2"/>
  <c r="QX435" i="2"/>
  <c r="QW436" i="2"/>
  <c r="QX436" i="2"/>
  <c r="QW437" i="2"/>
  <c r="QX437" i="2"/>
  <c r="QW438" i="2"/>
  <c r="QX438" i="2"/>
  <c r="QW439" i="2"/>
  <c r="QX439" i="2"/>
  <c r="QW440" i="2"/>
  <c r="QX440" i="2"/>
  <c r="QW441" i="2"/>
  <c r="QX441" i="2"/>
  <c r="QW442" i="2"/>
  <c r="QX442" i="2"/>
  <c r="QW443" i="2"/>
  <c r="QX443" i="2"/>
  <c r="QW444" i="2"/>
  <c r="QX444" i="2"/>
  <c r="QW445" i="2"/>
  <c r="QX445" i="2"/>
  <c r="QW446" i="2"/>
  <c r="QX446" i="2"/>
  <c r="QW447" i="2"/>
  <c r="QX447" i="2"/>
  <c r="QW448" i="2"/>
  <c r="QX448" i="2"/>
  <c r="QW449" i="2"/>
  <c r="QX449" i="2"/>
  <c r="QW450" i="2"/>
  <c r="QX450" i="2"/>
  <c r="QW451" i="2"/>
  <c r="QX451" i="2"/>
  <c r="QW452" i="2"/>
  <c r="QX452" i="2"/>
  <c r="QW453" i="2"/>
  <c r="QX453" i="2"/>
  <c r="QW454" i="2"/>
  <c r="QX454" i="2"/>
  <c r="QW455" i="2"/>
  <c r="QX455" i="2"/>
  <c r="QW456" i="2"/>
  <c r="QX456" i="2"/>
  <c r="QW457" i="2"/>
  <c r="QX457" i="2"/>
  <c r="QW458" i="2"/>
  <c r="QX458" i="2"/>
  <c r="QW459" i="2"/>
  <c r="QX459" i="2"/>
  <c r="QW460" i="2"/>
  <c r="QX460" i="2"/>
  <c r="QW461" i="2"/>
  <c r="QX461" i="2"/>
  <c r="QW462" i="2"/>
  <c r="QX462" i="2"/>
  <c r="QW463" i="2"/>
  <c r="QX463" i="2"/>
  <c r="QW464" i="2"/>
  <c r="QX464" i="2"/>
  <c r="QW465" i="2"/>
  <c r="QX465" i="2"/>
  <c r="QW466" i="2"/>
  <c r="QX466" i="2"/>
  <c r="QW467" i="2"/>
  <c r="QX467" i="2"/>
  <c r="QW468" i="2"/>
  <c r="QX468" i="2"/>
  <c r="QX15" i="2"/>
  <c r="QX16" i="2"/>
  <c r="QX17" i="2"/>
  <c r="QX18" i="2"/>
  <c r="QX19" i="2"/>
  <c r="QX20" i="2"/>
  <c r="QX21" i="2"/>
  <c r="QX22" i="2"/>
  <c r="QX23" i="2"/>
  <c r="QX24" i="2"/>
  <c r="QX25" i="2"/>
  <c r="QX26" i="2"/>
  <c r="QX27" i="2"/>
  <c r="QX28" i="2"/>
  <c r="QX29" i="2"/>
  <c r="QX30" i="2"/>
  <c r="QX31" i="2"/>
  <c r="QX32" i="2"/>
  <c r="QX33" i="2"/>
  <c r="QX34" i="2"/>
  <c r="QX35" i="2"/>
  <c r="QX36" i="2"/>
  <c r="QX37" i="2"/>
  <c r="QX38" i="2"/>
  <c r="QX39" i="2"/>
  <c r="QX40" i="2"/>
  <c r="QX41" i="2"/>
  <c r="QX42" i="2"/>
  <c r="QX43" i="2"/>
  <c r="QX44" i="2"/>
  <c r="QX45" i="2"/>
  <c r="QX46" i="2"/>
  <c r="QX47" i="2"/>
  <c r="QX48" i="2"/>
  <c r="QX49" i="2"/>
  <c r="QX50" i="2"/>
  <c r="QX14" i="2"/>
  <c r="QW14" i="2"/>
  <c r="QG52" i="2"/>
  <c r="QH52" i="2"/>
  <c r="QG53" i="2"/>
  <c r="QH53" i="2"/>
  <c r="QG54" i="2"/>
  <c r="QH54" i="2"/>
  <c r="QG55" i="2"/>
  <c r="QH55" i="2"/>
  <c r="QG56" i="2"/>
  <c r="QH56" i="2"/>
  <c r="QG57" i="2"/>
  <c r="QH57" i="2"/>
  <c r="QG58" i="2"/>
  <c r="QH58" i="2"/>
  <c r="QG59" i="2"/>
  <c r="QH59" i="2"/>
  <c r="QG60" i="2"/>
  <c r="QH60" i="2"/>
  <c r="QG61" i="2"/>
  <c r="QH61" i="2"/>
  <c r="QG62" i="2"/>
  <c r="QH62" i="2"/>
  <c r="QG63" i="2"/>
  <c r="QH63" i="2"/>
  <c r="QG64" i="2"/>
  <c r="QH64" i="2"/>
  <c r="QG65" i="2"/>
  <c r="QH65" i="2"/>
  <c r="QG66" i="2"/>
  <c r="QH66" i="2"/>
  <c r="QG67" i="2"/>
  <c r="QH67" i="2"/>
  <c r="QG68" i="2"/>
  <c r="QH68" i="2"/>
  <c r="QG69" i="2"/>
  <c r="QH69" i="2"/>
  <c r="QG70" i="2"/>
  <c r="QH70" i="2"/>
  <c r="QG71" i="2"/>
  <c r="QH71" i="2"/>
  <c r="QG72" i="2"/>
  <c r="QH72" i="2"/>
  <c r="QG73" i="2"/>
  <c r="QH73" i="2"/>
  <c r="QG74" i="2"/>
  <c r="QH74" i="2"/>
  <c r="QG75" i="2"/>
  <c r="QH75" i="2"/>
  <c r="QG76" i="2"/>
  <c r="QH76" i="2"/>
  <c r="QG77" i="2"/>
  <c r="QH77" i="2"/>
  <c r="QG78" i="2"/>
  <c r="QH78" i="2"/>
  <c r="QG79" i="2"/>
  <c r="QH79" i="2"/>
  <c r="QG80" i="2"/>
  <c r="QH80" i="2"/>
  <c r="QG81" i="2"/>
  <c r="QH81" i="2"/>
  <c r="QG82" i="2"/>
  <c r="QH82" i="2"/>
  <c r="QG83" i="2"/>
  <c r="QH83" i="2"/>
  <c r="QG84" i="2"/>
  <c r="QH84" i="2"/>
  <c r="QG85" i="2"/>
  <c r="QH85" i="2"/>
  <c r="QG86" i="2"/>
  <c r="QH86" i="2"/>
  <c r="QG87" i="2"/>
  <c r="QH87" i="2"/>
  <c r="QG88" i="2"/>
  <c r="QH88" i="2"/>
  <c r="QG90" i="2"/>
  <c r="QH90" i="2"/>
  <c r="QG91" i="2"/>
  <c r="QH91" i="2"/>
  <c r="QG92" i="2"/>
  <c r="QH92" i="2"/>
  <c r="QG93" i="2"/>
  <c r="QH93" i="2"/>
  <c r="QG94" i="2"/>
  <c r="QH94" i="2"/>
  <c r="QG95" i="2"/>
  <c r="QH95" i="2"/>
  <c r="QG96" i="2"/>
  <c r="QH96" i="2"/>
  <c r="QG97" i="2"/>
  <c r="QH97" i="2"/>
  <c r="QG98" i="2"/>
  <c r="QH98" i="2"/>
  <c r="QG99" i="2"/>
  <c r="QH99" i="2"/>
  <c r="QG100" i="2"/>
  <c r="QH100" i="2"/>
  <c r="QG101" i="2"/>
  <c r="QH101" i="2"/>
  <c r="QG102" i="2"/>
  <c r="QH102" i="2"/>
  <c r="QG103" i="2"/>
  <c r="QH103" i="2"/>
  <c r="QG104" i="2"/>
  <c r="QH104" i="2"/>
  <c r="QG105" i="2"/>
  <c r="QH105" i="2"/>
  <c r="QG106" i="2"/>
  <c r="QH106" i="2"/>
  <c r="QG107" i="2"/>
  <c r="QH107" i="2"/>
  <c r="QG108" i="2"/>
  <c r="QH108" i="2"/>
  <c r="QG109" i="2"/>
  <c r="QH109" i="2"/>
  <c r="QG110" i="2"/>
  <c r="QH110" i="2"/>
  <c r="QG111" i="2"/>
  <c r="QH111" i="2"/>
  <c r="QG112" i="2"/>
  <c r="QH112" i="2"/>
  <c r="QG113" i="2"/>
  <c r="QH113" i="2"/>
  <c r="QG114" i="2"/>
  <c r="QH114" i="2"/>
  <c r="QG115" i="2"/>
  <c r="QH115" i="2"/>
  <c r="QG116" i="2"/>
  <c r="QH116" i="2"/>
  <c r="QG117" i="2"/>
  <c r="QH117" i="2"/>
  <c r="QG118" i="2"/>
  <c r="QH118" i="2"/>
  <c r="QG119" i="2"/>
  <c r="QH119" i="2"/>
  <c r="QG120" i="2"/>
  <c r="QH120" i="2"/>
  <c r="QG121" i="2"/>
  <c r="QH121" i="2"/>
  <c r="QG122" i="2"/>
  <c r="QH122" i="2"/>
  <c r="QG123" i="2"/>
  <c r="QH123" i="2"/>
  <c r="QG124" i="2"/>
  <c r="QH124" i="2"/>
  <c r="QG125" i="2"/>
  <c r="QH125" i="2"/>
  <c r="QG126" i="2"/>
  <c r="QH126" i="2"/>
  <c r="QG128" i="2"/>
  <c r="QH128" i="2"/>
  <c r="QG129" i="2"/>
  <c r="QH129" i="2"/>
  <c r="QG130" i="2"/>
  <c r="QH130" i="2"/>
  <c r="QG131" i="2"/>
  <c r="QH131" i="2"/>
  <c r="QG132" i="2"/>
  <c r="QH132" i="2"/>
  <c r="QG133" i="2"/>
  <c r="QH133" i="2"/>
  <c r="QG134" i="2"/>
  <c r="QH134" i="2"/>
  <c r="QG135" i="2"/>
  <c r="QH135" i="2"/>
  <c r="QG136" i="2"/>
  <c r="QH136" i="2"/>
  <c r="QG137" i="2"/>
  <c r="QH137" i="2"/>
  <c r="QG138" i="2"/>
  <c r="QH138" i="2"/>
  <c r="QG139" i="2"/>
  <c r="QH139" i="2"/>
  <c r="QG140" i="2"/>
  <c r="QH140" i="2"/>
  <c r="QG141" i="2"/>
  <c r="QH141" i="2"/>
  <c r="QG142" i="2"/>
  <c r="QH142" i="2"/>
  <c r="QG143" i="2"/>
  <c r="QH143" i="2"/>
  <c r="QG144" i="2"/>
  <c r="QH144" i="2"/>
  <c r="QG145" i="2"/>
  <c r="QH145" i="2"/>
  <c r="QG146" i="2"/>
  <c r="QH146" i="2"/>
  <c r="QG147" i="2"/>
  <c r="QH147" i="2"/>
  <c r="QG148" i="2"/>
  <c r="QH148" i="2"/>
  <c r="QG149" i="2"/>
  <c r="QH149" i="2"/>
  <c r="QG150" i="2"/>
  <c r="QH150" i="2"/>
  <c r="QG151" i="2"/>
  <c r="QH151" i="2"/>
  <c r="QG152" i="2"/>
  <c r="QH152" i="2"/>
  <c r="QG153" i="2"/>
  <c r="QH153" i="2"/>
  <c r="QG154" i="2"/>
  <c r="QH154" i="2"/>
  <c r="QG155" i="2"/>
  <c r="QH155" i="2"/>
  <c r="QG156" i="2"/>
  <c r="QH156" i="2"/>
  <c r="QG157" i="2"/>
  <c r="QH157" i="2"/>
  <c r="QG158" i="2"/>
  <c r="QH158" i="2"/>
  <c r="QG159" i="2"/>
  <c r="QH159" i="2"/>
  <c r="QG160" i="2"/>
  <c r="QH160" i="2"/>
  <c r="QG161" i="2"/>
  <c r="QH161" i="2"/>
  <c r="QG162" i="2"/>
  <c r="QH162" i="2"/>
  <c r="QG163" i="2"/>
  <c r="QH163" i="2"/>
  <c r="QG164" i="2"/>
  <c r="QH164" i="2"/>
  <c r="QG166" i="2"/>
  <c r="QH166" i="2"/>
  <c r="QG167" i="2"/>
  <c r="QH167" i="2"/>
  <c r="QG168" i="2"/>
  <c r="QH168" i="2"/>
  <c r="QG169" i="2"/>
  <c r="QH169" i="2"/>
  <c r="QG170" i="2"/>
  <c r="QH170" i="2"/>
  <c r="QG171" i="2"/>
  <c r="QH171" i="2"/>
  <c r="QG172" i="2"/>
  <c r="QH172" i="2"/>
  <c r="QG173" i="2"/>
  <c r="QH173" i="2"/>
  <c r="QG174" i="2"/>
  <c r="QH174" i="2"/>
  <c r="QG175" i="2"/>
  <c r="QH175" i="2"/>
  <c r="QG176" i="2"/>
  <c r="QH176" i="2"/>
  <c r="QG177" i="2"/>
  <c r="QH177" i="2"/>
  <c r="QG178" i="2"/>
  <c r="QH178" i="2"/>
  <c r="QG179" i="2"/>
  <c r="QH179" i="2"/>
  <c r="QG180" i="2"/>
  <c r="QH180" i="2"/>
  <c r="QG181" i="2"/>
  <c r="QH181" i="2"/>
  <c r="QG182" i="2"/>
  <c r="QH182" i="2"/>
  <c r="QG183" i="2"/>
  <c r="QH183" i="2"/>
  <c r="QG184" i="2"/>
  <c r="QH184" i="2"/>
  <c r="QG185" i="2"/>
  <c r="QH185" i="2"/>
  <c r="QG186" i="2"/>
  <c r="QH186" i="2"/>
  <c r="QG187" i="2"/>
  <c r="QH187" i="2"/>
  <c r="QG188" i="2"/>
  <c r="QH188" i="2"/>
  <c r="QG189" i="2"/>
  <c r="QH189" i="2"/>
  <c r="QG190" i="2"/>
  <c r="QH190" i="2"/>
  <c r="QG191" i="2"/>
  <c r="QH191" i="2"/>
  <c r="QG192" i="2"/>
  <c r="QH192" i="2"/>
  <c r="QG193" i="2"/>
  <c r="QH193" i="2"/>
  <c r="QG194" i="2"/>
  <c r="QH194" i="2"/>
  <c r="QG195" i="2"/>
  <c r="QH195" i="2"/>
  <c r="QG196" i="2"/>
  <c r="QH196" i="2"/>
  <c r="QG197" i="2"/>
  <c r="QH197" i="2"/>
  <c r="QG198" i="2"/>
  <c r="QH198" i="2"/>
  <c r="QG199" i="2"/>
  <c r="QH199" i="2"/>
  <c r="QG200" i="2"/>
  <c r="QH200" i="2"/>
  <c r="QG201" i="2"/>
  <c r="QH201" i="2"/>
  <c r="QG202" i="2"/>
  <c r="QH202" i="2"/>
  <c r="QG204" i="2"/>
  <c r="QH204" i="2"/>
  <c r="QG205" i="2"/>
  <c r="QH205" i="2"/>
  <c r="QG206" i="2"/>
  <c r="QH206" i="2"/>
  <c r="QG207" i="2"/>
  <c r="QH207" i="2"/>
  <c r="QG208" i="2"/>
  <c r="QH208" i="2"/>
  <c r="QG209" i="2"/>
  <c r="QH209" i="2"/>
  <c r="QG210" i="2"/>
  <c r="QH210" i="2"/>
  <c r="QG211" i="2"/>
  <c r="QH211" i="2"/>
  <c r="QG212" i="2"/>
  <c r="QH212" i="2"/>
  <c r="QG213" i="2"/>
  <c r="QH213" i="2"/>
  <c r="QG214" i="2"/>
  <c r="QH214" i="2"/>
  <c r="QG215" i="2"/>
  <c r="QH215" i="2"/>
  <c r="QG216" i="2"/>
  <c r="QH216" i="2"/>
  <c r="QG217" i="2"/>
  <c r="QH217" i="2"/>
  <c r="QG218" i="2"/>
  <c r="QH218" i="2"/>
  <c r="QG219" i="2"/>
  <c r="QH219" i="2"/>
  <c r="QG220" i="2"/>
  <c r="QH220" i="2"/>
  <c r="QG221" i="2"/>
  <c r="QH221" i="2"/>
  <c r="QG222" i="2"/>
  <c r="QH222" i="2"/>
  <c r="QG223" i="2"/>
  <c r="QH223" i="2"/>
  <c r="QG224" i="2"/>
  <c r="QH224" i="2"/>
  <c r="QG225" i="2"/>
  <c r="QH225" i="2"/>
  <c r="QG226" i="2"/>
  <c r="QH226" i="2"/>
  <c r="QG227" i="2"/>
  <c r="QH227" i="2"/>
  <c r="QG228" i="2"/>
  <c r="QH228" i="2"/>
  <c r="QG229" i="2"/>
  <c r="QH229" i="2"/>
  <c r="QG230" i="2"/>
  <c r="QH230" i="2"/>
  <c r="QG231" i="2"/>
  <c r="QH231" i="2"/>
  <c r="QG232" i="2"/>
  <c r="QH232" i="2"/>
  <c r="QG233" i="2"/>
  <c r="QH233" i="2"/>
  <c r="QG234" i="2"/>
  <c r="QH234" i="2"/>
  <c r="QG235" i="2"/>
  <c r="QH235" i="2"/>
  <c r="QG236" i="2"/>
  <c r="QH236" i="2"/>
  <c r="QG237" i="2"/>
  <c r="QH237" i="2"/>
  <c r="QG238" i="2"/>
  <c r="QH238" i="2"/>
  <c r="QG239" i="2"/>
  <c r="QH239" i="2"/>
  <c r="QG240" i="2"/>
  <c r="QH240" i="2"/>
  <c r="QG242" i="2"/>
  <c r="QH242" i="2"/>
  <c r="QG243" i="2"/>
  <c r="QH243" i="2"/>
  <c r="QG244" i="2"/>
  <c r="QH244" i="2"/>
  <c r="QG245" i="2"/>
  <c r="QH245" i="2"/>
  <c r="QG246" i="2"/>
  <c r="QH246" i="2"/>
  <c r="QG247" i="2"/>
  <c r="QH247" i="2"/>
  <c r="QG248" i="2"/>
  <c r="QH248" i="2"/>
  <c r="QG249" i="2"/>
  <c r="QH249" i="2"/>
  <c r="QG250" i="2"/>
  <c r="QH250" i="2"/>
  <c r="QG251" i="2"/>
  <c r="QH251" i="2"/>
  <c r="QG252" i="2"/>
  <c r="QH252" i="2"/>
  <c r="QG253" i="2"/>
  <c r="QH253" i="2"/>
  <c r="QG254" i="2"/>
  <c r="QH254" i="2"/>
  <c r="QG255" i="2"/>
  <c r="QH255" i="2"/>
  <c r="QG256" i="2"/>
  <c r="QH256" i="2"/>
  <c r="QG257" i="2"/>
  <c r="QH257" i="2"/>
  <c r="QG258" i="2"/>
  <c r="QH258" i="2"/>
  <c r="QG259" i="2"/>
  <c r="QH259" i="2"/>
  <c r="QG260" i="2"/>
  <c r="QH260" i="2"/>
  <c r="QG261" i="2"/>
  <c r="QH261" i="2"/>
  <c r="QG262" i="2"/>
  <c r="QH262" i="2"/>
  <c r="QG263" i="2"/>
  <c r="QH263" i="2"/>
  <c r="QG264" i="2"/>
  <c r="QH264" i="2"/>
  <c r="QG265" i="2"/>
  <c r="QH265" i="2"/>
  <c r="QG266" i="2"/>
  <c r="QH266" i="2"/>
  <c r="QG267" i="2"/>
  <c r="QH267" i="2"/>
  <c r="QG268" i="2"/>
  <c r="QH268" i="2"/>
  <c r="QG269" i="2"/>
  <c r="QH269" i="2"/>
  <c r="QG270" i="2"/>
  <c r="QH270" i="2"/>
  <c r="QG271" i="2"/>
  <c r="QH271" i="2"/>
  <c r="QG272" i="2"/>
  <c r="QH272" i="2"/>
  <c r="QG273" i="2"/>
  <c r="QH273" i="2"/>
  <c r="QG274" i="2"/>
  <c r="QH274" i="2"/>
  <c r="QG275" i="2"/>
  <c r="QH275" i="2"/>
  <c r="QG276" i="2"/>
  <c r="QH276" i="2"/>
  <c r="QG277" i="2"/>
  <c r="QH277" i="2"/>
  <c r="QG278" i="2"/>
  <c r="QH278" i="2"/>
  <c r="QG280" i="2"/>
  <c r="QH280" i="2"/>
  <c r="QG281" i="2"/>
  <c r="QH281" i="2"/>
  <c r="QG282" i="2"/>
  <c r="QH282" i="2"/>
  <c r="QG283" i="2"/>
  <c r="QH283" i="2"/>
  <c r="QG284" i="2"/>
  <c r="QH284" i="2"/>
  <c r="QG285" i="2"/>
  <c r="QH285" i="2"/>
  <c r="QG286" i="2"/>
  <c r="QH286" i="2"/>
  <c r="QG287" i="2"/>
  <c r="QH287" i="2"/>
  <c r="QG288" i="2"/>
  <c r="QH288" i="2"/>
  <c r="QG289" i="2"/>
  <c r="QH289" i="2"/>
  <c r="QG290" i="2"/>
  <c r="QH290" i="2"/>
  <c r="QG291" i="2"/>
  <c r="QH291" i="2"/>
  <c r="QG292" i="2"/>
  <c r="QH292" i="2"/>
  <c r="QG293" i="2"/>
  <c r="QH293" i="2"/>
  <c r="QG294" i="2"/>
  <c r="QH294" i="2"/>
  <c r="QG295" i="2"/>
  <c r="QH295" i="2"/>
  <c r="QG296" i="2"/>
  <c r="QH296" i="2"/>
  <c r="QG297" i="2"/>
  <c r="QH297" i="2"/>
  <c r="QG298" i="2"/>
  <c r="QH298" i="2"/>
  <c r="QG299" i="2"/>
  <c r="QH299" i="2"/>
  <c r="QG300" i="2"/>
  <c r="QH300" i="2"/>
  <c r="QG301" i="2"/>
  <c r="QH301" i="2"/>
  <c r="QG302" i="2"/>
  <c r="QH302" i="2"/>
  <c r="QG303" i="2"/>
  <c r="QH303" i="2"/>
  <c r="QG304" i="2"/>
  <c r="QH304" i="2"/>
  <c r="QG305" i="2"/>
  <c r="QH305" i="2"/>
  <c r="QG306" i="2"/>
  <c r="QH306" i="2"/>
  <c r="QG307" i="2"/>
  <c r="QH307" i="2"/>
  <c r="QG308" i="2"/>
  <c r="QH308" i="2"/>
  <c r="QG309" i="2"/>
  <c r="QH309" i="2"/>
  <c r="QG310" i="2"/>
  <c r="QH310" i="2"/>
  <c r="QG311" i="2"/>
  <c r="QH311" i="2"/>
  <c r="QG312" i="2"/>
  <c r="QH312" i="2"/>
  <c r="QG313" i="2"/>
  <c r="QH313" i="2"/>
  <c r="QG314" i="2"/>
  <c r="QH314" i="2"/>
  <c r="QG315" i="2"/>
  <c r="QH315" i="2"/>
  <c r="QG316" i="2"/>
  <c r="QH316" i="2"/>
  <c r="QG318" i="2"/>
  <c r="QH318" i="2"/>
  <c r="QG319" i="2"/>
  <c r="QH319" i="2"/>
  <c r="QG320" i="2"/>
  <c r="QH320" i="2"/>
  <c r="QG321" i="2"/>
  <c r="QH321" i="2"/>
  <c r="QG322" i="2"/>
  <c r="QH322" i="2"/>
  <c r="QG323" i="2"/>
  <c r="QH323" i="2"/>
  <c r="QG324" i="2"/>
  <c r="QH324" i="2"/>
  <c r="QG325" i="2"/>
  <c r="QH325" i="2"/>
  <c r="QG326" i="2"/>
  <c r="QH326" i="2"/>
  <c r="QG327" i="2"/>
  <c r="QH327" i="2"/>
  <c r="QG328" i="2"/>
  <c r="QH328" i="2"/>
  <c r="QG329" i="2"/>
  <c r="QH329" i="2"/>
  <c r="QG330" i="2"/>
  <c r="QH330" i="2"/>
  <c r="QG331" i="2"/>
  <c r="QH331" i="2"/>
  <c r="QG332" i="2"/>
  <c r="QH332" i="2"/>
  <c r="QG333" i="2"/>
  <c r="QH333" i="2"/>
  <c r="QG334" i="2"/>
  <c r="QH334" i="2"/>
  <c r="QG335" i="2"/>
  <c r="QH335" i="2"/>
  <c r="QG336" i="2"/>
  <c r="QH336" i="2"/>
  <c r="QG337" i="2"/>
  <c r="QH337" i="2"/>
  <c r="QG338" i="2"/>
  <c r="QH338" i="2"/>
  <c r="QG339" i="2"/>
  <c r="QH339" i="2"/>
  <c r="QG340" i="2"/>
  <c r="QH340" i="2"/>
  <c r="QG341" i="2"/>
  <c r="QH341" i="2"/>
  <c r="QG342" i="2"/>
  <c r="QH342" i="2"/>
  <c r="QG343" i="2"/>
  <c r="QH343" i="2"/>
  <c r="QG344" i="2"/>
  <c r="QH344" i="2"/>
  <c r="QG345" i="2"/>
  <c r="QH345" i="2"/>
  <c r="QG346" i="2"/>
  <c r="QH346" i="2"/>
  <c r="QG347" i="2"/>
  <c r="QH347" i="2"/>
  <c r="QG348" i="2"/>
  <c r="QH348" i="2"/>
  <c r="QG349" i="2"/>
  <c r="QH349" i="2"/>
  <c r="QG350" i="2"/>
  <c r="QH350" i="2"/>
  <c r="QG351" i="2"/>
  <c r="QH351" i="2"/>
  <c r="QG352" i="2"/>
  <c r="QH352" i="2"/>
  <c r="QG353" i="2"/>
  <c r="QH353" i="2"/>
  <c r="QG354" i="2"/>
  <c r="QH354" i="2"/>
  <c r="QG356" i="2"/>
  <c r="QH356" i="2"/>
  <c r="QG357" i="2"/>
  <c r="QH357" i="2"/>
  <c r="QG358" i="2"/>
  <c r="QH358" i="2"/>
  <c r="QG359" i="2"/>
  <c r="QH359" i="2"/>
  <c r="QG360" i="2"/>
  <c r="QH360" i="2"/>
  <c r="QG361" i="2"/>
  <c r="QH361" i="2"/>
  <c r="QG362" i="2"/>
  <c r="QH362" i="2"/>
  <c r="QG363" i="2"/>
  <c r="QH363" i="2"/>
  <c r="QG364" i="2"/>
  <c r="QH364" i="2"/>
  <c r="QG365" i="2"/>
  <c r="QH365" i="2"/>
  <c r="QG366" i="2"/>
  <c r="QH366" i="2"/>
  <c r="QG367" i="2"/>
  <c r="QH367" i="2"/>
  <c r="QG368" i="2"/>
  <c r="QH368" i="2"/>
  <c r="QG369" i="2"/>
  <c r="QH369" i="2"/>
  <c r="QG370" i="2"/>
  <c r="QH370" i="2"/>
  <c r="QG371" i="2"/>
  <c r="QH371" i="2"/>
  <c r="QG372" i="2"/>
  <c r="QH372" i="2"/>
  <c r="QG373" i="2"/>
  <c r="QH373" i="2"/>
  <c r="QG374" i="2"/>
  <c r="QH374" i="2"/>
  <c r="QG375" i="2"/>
  <c r="QH375" i="2"/>
  <c r="QG376" i="2"/>
  <c r="QH376" i="2"/>
  <c r="QG377" i="2"/>
  <c r="QH377" i="2"/>
  <c r="QG378" i="2"/>
  <c r="QH378" i="2"/>
  <c r="QG379" i="2"/>
  <c r="QH379" i="2"/>
  <c r="QG380" i="2"/>
  <c r="QH380" i="2"/>
  <c r="QG381" i="2"/>
  <c r="QH381" i="2"/>
  <c r="QG382" i="2"/>
  <c r="QH382" i="2"/>
  <c r="QG383" i="2"/>
  <c r="QH383" i="2"/>
  <c r="QG384" i="2"/>
  <c r="QH384" i="2"/>
  <c r="QG385" i="2"/>
  <c r="QH385" i="2"/>
  <c r="QG386" i="2"/>
  <c r="QH386" i="2"/>
  <c r="QG387" i="2"/>
  <c r="QH387" i="2"/>
  <c r="QG388" i="2"/>
  <c r="QH388" i="2"/>
  <c r="QG389" i="2"/>
  <c r="QH389" i="2"/>
  <c r="QG390" i="2"/>
  <c r="QH390" i="2"/>
  <c r="QG391" i="2"/>
  <c r="QH391" i="2"/>
  <c r="QG392" i="2"/>
  <c r="QH392" i="2"/>
  <c r="QG394" i="2"/>
  <c r="QH394" i="2"/>
  <c r="QG395" i="2"/>
  <c r="QH395" i="2"/>
  <c r="QG396" i="2"/>
  <c r="QH396" i="2"/>
  <c r="QG397" i="2"/>
  <c r="QH397" i="2"/>
  <c r="QG398" i="2"/>
  <c r="QH398" i="2"/>
  <c r="QG399" i="2"/>
  <c r="QH399" i="2"/>
  <c r="QG400" i="2"/>
  <c r="QH400" i="2"/>
  <c r="QG401" i="2"/>
  <c r="QH401" i="2"/>
  <c r="QG402" i="2"/>
  <c r="QH402" i="2"/>
  <c r="QG403" i="2"/>
  <c r="QH403" i="2"/>
  <c r="QG404" i="2"/>
  <c r="QH404" i="2"/>
  <c r="QG405" i="2"/>
  <c r="QH405" i="2"/>
  <c r="QG406" i="2"/>
  <c r="QH406" i="2"/>
  <c r="QG407" i="2"/>
  <c r="QH407" i="2"/>
  <c r="QG408" i="2"/>
  <c r="QH408" i="2"/>
  <c r="QG409" i="2"/>
  <c r="QH409" i="2"/>
  <c r="QG410" i="2"/>
  <c r="QH410" i="2"/>
  <c r="QG411" i="2"/>
  <c r="QH411" i="2"/>
  <c r="QG412" i="2"/>
  <c r="QH412" i="2"/>
  <c r="QG413" i="2"/>
  <c r="QH413" i="2"/>
  <c r="QG414" i="2"/>
  <c r="QH414" i="2"/>
  <c r="QG415" i="2"/>
  <c r="QH415" i="2"/>
  <c r="QG416" i="2"/>
  <c r="QH416" i="2"/>
  <c r="QG417" i="2"/>
  <c r="QH417" i="2"/>
  <c r="QG418" i="2"/>
  <c r="QH418" i="2"/>
  <c r="QG419" i="2"/>
  <c r="QH419" i="2"/>
  <c r="QG420" i="2"/>
  <c r="QH420" i="2"/>
  <c r="QG421" i="2"/>
  <c r="QH421" i="2"/>
  <c r="QG422" i="2"/>
  <c r="QH422" i="2"/>
  <c r="QG423" i="2"/>
  <c r="QH423" i="2"/>
  <c r="QG424" i="2"/>
  <c r="QH424" i="2"/>
  <c r="QG425" i="2"/>
  <c r="QH425" i="2"/>
  <c r="QG426" i="2"/>
  <c r="QH426" i="2"/>
  <c r="QG427" i="2"/>
  <c r="QH427" i="2"/>
  <c r="QG428" i="2"/>
  <c r="QH428" i="2"/>
  <c r="QG429" i="2"/>
  <c r="QH429" i="2"/>
  <c r="QG430" i="2"/>
  <c r="QH430" i="2"/>
  <c r="QG432" i="2"/>
  <c r="QH432" i="2"/>
  <c r="QG433" i="2"/>
  <c r="QH433" i="2"/>
  <c r="QG434" i="2"/>
  <c r="QH434" i="2"/>
  <c r="QG435" i="2"/>
  <c r="QH435" i="2"/>
  <c r="QG436" i="2"/>
  <c r="QH436" i="2"/>
  <c r="QG437" i="2"/>
  <c r="QH437" i="2"/>
  <c r="QG438" i="2"/>
  <c r="QH438" i="2"/>
  <c r="QG439" i="2"/>
  <c r="QH439" i="2"/>
  <c r="QG440" i="2"/>
  <c r="QH440" i="2"/>
  <c r="QG441" i="2"/>
  <c r="QH441" i="2"/>
  <c r="QG442" i="2"/>
  <c r="QH442" i="2"/>
  <c r="QG443" i="2"/>
  <c r="QH443" i="2"/>
  <c r="QG444" i="2"/>
  <c r="QH444" i="2"/>
  <c r="QG445" i="2"/>
  <c r="QH445" i="2"/>
  <c r="QG446" i="2"/>
  <c r="QH446" i="2"/>
  <c r="QG447" i="2"/>
  <c r="QH447" i="2"/>
  <c r="QG448" i="2"/>
  <c r="QH448" i="2"/>
  <c r="QG449" i="2"/>
  <c r="QH449" i="2"/>
  <c r="QG450" i="2"/>
  <c r="QH450" i="2"/>
  <c r="QG451" i="2"/>
  <c r="QH451" i="2"/>
  <c r="QG452" i="2"/>
  <c r="QH452" i="2"/>
  <c r="QG453" i="2"/>
  <c r="QH453" i="2"/>
  <c r="QG454" i="2"/>
  <c r="QH454" i="2"/>
  <c r="QG455" i="2"/>
  <c r="QH455" i="2"/>
  <c r="QG456" i="2"/>
  <c r="QH456" i="2"/>
  <c r="QG457" i="2"/>
  <c r="QH457" i="2"/>
  <c r="QG458" i="2"/>
  <c r="QH458" i="2"/>
  <c r="QG459" i="2"/>
  <c r="QH459" i="2"/>
  <c r="QG460" i="2"/>
  <c r="QH460" i="2"/>
  <c r="QG461" i="2"/>
  <c r="QH461" i="2"/>
  <c r="QG462" i="2"/>
  <c r="QH462" i="2"/>
  <c r="QG463" i="2"/>
  <c r="QH463" i="2"/>
  <c r="QG464" i="2"/>
  <c r="QH464" i="2"/>
  <c r="QG465" i="2"/>
  <c r="QH465" i="2"/>
  <c r="QG466" i="2"/>
  <c r="QH466" i="2"/>
  <c r="QG467" i="2"/>
  <c r="QH467" i="2"/>
  <c r="QG468" i="2"/>
  <c r="QH468" i="2"/>
  <c r="QH15" i="2"/>
  <c r="QH16" i="2"/>
  <c r="QH17" i="2"/>
  <c r="QH18" i="2"/>
  <c r="QH19" i="2"/>
  <c r="QH20" i="2"/>
  <c r="QH21" i="2"/>
  <c r="QH22" i="2"/>
  <c r="QH23" i="2"/>
  <c r="QH24" i="2"/>
  <c r="QH25" i="2"/>
  <c r="QH26" i="2"/>
  <c r="QH27" i="2"/>
  <c r="QH28" i="2"/>
  <c r="QH29" i="2"/>
  <c r="QH30" i="2"/>
  <c r="QH31" i="2"/>
  <c r="QH32" i="2"/>
  <c r="QH33" i="2"/>
  <c r="QH34" i="2"/>
  <c r="QH35" i="2"/>
  <c r="QH36" i="2"/>
  <c r="QH37" i="2"/>
  <c r="QH38" i="2"/>
  <c r="QH39" i="2"/>
  <c r="QH40" i="2"/>
  <c r="QH41" i="2"/>
  <c r="QH42" i="2"/>
  <c r="QH43" i="2"/>
  <c r="QH44" i="2"/>
  <c r="QH45" i="2"/>
  <c r="QH46" i="2"/>
  <c r="QH47" i="2"/>
  <c r="QH48" i="2"/>
  <c r="QH49" i="2"/>
  <c r="QH50" i="2"/>
  <c r="QH14" i="2"/>
  <c r="QG14" i="2"/>
  <c r="PQ52" i="2"/>
  <c r="PR52" i="2"/>
  <c r="PQ53" i="2"/>
  <c r="PR53" i="2"/>
  <c r="PQ54" i="2"/>
  <c r="PR54" i="2"/>
  <c r="PQ55" i="2"/>
  <c r="PR55" i="2"/>
  <c r="PQ56" i="2"/>
  <c r="PR56" i="2"/>
  <c r="PQ57" i="2"/>
  <c r="PR57" i="2"/>
  <c r="PQ58" i="2"/>
  <c r="PR58" i="2"/>
  <c r="PQ59" i="2"/>
  <c r="PR59" i="2"/>
  <c r="PQ60" i="2"/>
  <c r="PR60" i="2"/>
  <c r="PQ61" i="2"/>
  <c r="PR61" i="2"/>
  <c r="PQ62" i="2"/>
  <c r="PR62" i="2"/>
  <c r="PQ63" i="2"/>
  <c r="PR63" i="2"/>
  <c r="PQ64" i="2"/>
  <c r="PR64" i="2"/>
  <c r="PQ65" i="2"/>
  <c r="PR65" i="2"/>
  <c r="PQ66" i="2"/>
  <c r="PR66" i="2"/>
  <c r="PQ67" i="2"/>
  <c r="PR67" i="2"/>
  <c r="PQ68" i="2"/>
  <c r="PR68" i="2"/>
  <c r="PQ69" i="2"/>
  <c r="PR69" i="2"/>
  <c r="PQ70" i="2"/>
  <c r="PR70" i="2"/>
  <c r="PQ71" i="2"/>
  <c r="PR71" i="2"/>
  <c r="PQ72" i="2"/>
  <c r="PR72" i="2"/>
  <c r="PQ73" i="2"/>
  <c r="PR73" i="2"/>
  <c r="PQ74" i="2"/>
  <c r="PR74" i="2"/>
  <c r="PQ75" i="2"/>
  <c r="PR75" i="2"/>
  <c r="PQ76" i="2"/>
  <c r="PR76" i="2"/>
  <c r="PQ77" i="2"/>
  <c r="PR77" i="2"/>
  <c r="PQ78" i="2"/>
  <c r="PR78" i="2"/>
  <c r="PQ79" i="2"/>
  <c r="PR79" i="2"/>
  <c r="PQ80" i="2"/>
  <c r="PR80" i="2"/>
  <c r="PQ81" i="2"/>
  <c r="PR81" i="2"/>
  <c r="PQ82" i="2"/>
  <c r="PR82" i="2"/>
  <c r="PQ83" i="2"/>
  <c r="PR83" i="2"/>
  <c r="PQ84" i="2"/>
  <c r="PR84" i="2"/>
  <c r="PQ85" i="2"/>
  <c r="PR85" i="2"/>
  <c r="PQ86" i="2"/>
  <c r="PR86" i="2"/>
  <c r="PQ87" i="2"/>
  <c r="PR87" i="2"/>
  <c r="PQ88" i="2"/>
  <c r="PR88" i="2"/>
  <c r="PQ90" i="2"/>
  <c r="PR90" i="2"/>
  <c r="PQ91" i="2"/>
  <c r="PR91" i="2"/>
  <c r="PQ92" i="2"/>
  <c r="PR92" i="2"/>
  <c r="PQ93" i="2"/>
  <c r="PR93" i="2"/>
  <c r="PQ94" i="2"/>
  <c r="PR94" i="2"/>
  <c r="PQ95" i="2"/>
  <c r="PR95" i="2"/>
  <c r="PQ96" i="2"/>
  <c r="PR96" i="2"/>
  <c r="PQ97" i="2"/>
  <c r="PR97" i="2"/>
  <c r="PQ98" i="2"/>
  <c r="PR98" i="2"/>
  <c r="PQ99" i="2"/>
  <c r="PR99" i="2"/>
  <c r="PQ100" i="2"/>
  <c r="PR100" i="2"/>
  <c r="PQ101" i="2"/>
  <c r="PR101" i="2"/>
  <c r="PQ102" i="2"/>
  <c r="PR102" i="2"/>
  <c r="PQ103" i="2"/>
  <c r="PR103" i="2"/>
  <c r="PQ104" i="2"/>
  <c r="PR104" i="2"/>
  <c r="PQ105" i="2"/>
  <c r="PR105" i="2"/>
  <c r="PQ106" i="2"/>
  <c r="PR106" i="2"/>
  <c r="PQ107" i="2"/>
  <c r="PR107" i="2"/>
  <c r="PQ108" i="2"/>
  <c r="PR108" i="2"/>
  <c r="PQ109" i="2"/>
  <c r="PR109" i="2"/>
  <c r="PQ110" i="2"/>
  <c r="PR110" i="2"/>
  <c r="PQ111" i="2"/>
  <c r="PR111" i="2"/>
  <c r="PQ112" i="2"/>
  <c r="PR112" i="2"/>
  <c r="PQ113" i="2"/>
  <c r="PR113" i="2"/>
  <c r="PQ114" i="2"/>
  <c r="PR114" i="2"/>
  <c r="PQ115" i="2"/>
  <c r="PR115" i="2"/>
  <c r="PQ116" i="2"/>
  <c r="PR116" i="2"/>
  <c r="PQ117" i="2"/>
  <c r="PR117" i="2"/>
  <c r="PQ118" i="2"/>
  <c r="PR118" i="2"/>
  <c r="PQ119" i="2"/>
  <c r="PR119" i="2"/>
  <c r="PQ120" i="2"/>
  <c r="PR120" i="2"/>
  <c r="PQ121" i="2"/>
  <c r="PR121" i="2"/>
  <c r="PQ122" i="2"/>
  <c r="PR122" i="2"/>
  <c r="PQ123" i="2"/>
  <c r="PR123" i="2"/>
  <c r="PQ124" i="2"/>
  <c r="PR124" i="2"/>
  <c r="PQ125" i="2"/>
  <c r="PR125" i="2"/>
  <c r="PQ126" i="2"/>
  <c r="PR126" i="2"/>
  <c r="PQ128" i="2"/>
  <c r="PR128" i="2"/>
  <c r="PQ129" i="2"/>
  <c r="PR129" i="2"/>
  <c r="PQ130" i="2"/>
  <c r="PR130" i="2"/>
  <c r="PQ131" i="2"/>
  <c r="PR131" i="2"/>
  <c r="PQ132" i="2"/>
  <c r="PR132" i="2"/>
  <c r="PQ133" i="2"/>
  <c r="PR133" i="2"/>
  <c r="PQ134" i="2"/>
  <c r="PR134" i="2"/>
  <c r="PQ135" i="2"/>
  <c r="PR135" i="2"/>
  <c r="PQ136" i="2"/>
  <c r="PR136" i="2"/>
  <c r="PQ137" i="2"/>
  <c r="PR137" i="2"/>
  <c r="PQ138" i="2"/>
  <c r="PR138" i="2"/>
  <c r="PQ139" i="2"/>
  <c r="PR139" i="2"/>
  <c r="PQ140" i="2"/>
  <c r="PR140" i="2"/>
  <c r="PQ141" i="2"/>
  <c r="PR141" i="2"/>
  <c r="PQ142" i="2"/>
  <c r="PR142" i="2"/>
  <c r="PQ143" i="2"/>
  <c r="PR143" i="2"/>
  <c r="PQ144" i="2"/>
  <c r="PR144" i="2"/>
  <c r="PQ145" i="2"/>
  <c r="PR145" i="2"/>
  <c r="PQ146" i="2"/>
  <c r="PR146" i="2"/>
  <c r="PQ147" i="2"/>
  <c r="PR147" i="2"/>
  <c r="PQ148" i="2"/>
  <c r="PR148" i="2"/>
  <c r="PQ149" i="2"/>
  <c r="PR149" i="2"/>
  <c r="PQ150" i="2"/>
  <c r="PR150" i="2"/>
  <c r="PQ151" i="2"/>
  <c r="PR151" i="2"/>
  <c r="PQ152" i="2"/>
  <c r="PR152" i="2"/>
  <c r="PQ153" i="2"/>
  <c r="PR153" i="2"/>
  <c r="PQ154" i="2"/>
  <c r="PR154" i="2"/>
  <c r="PQ155" i="2"/>
  <c r="PR155" i="2"/>
  <c r="PQ156" i="2"/>
  <c r="PR156" i="2"/>
  <c r="PQ157" i="2"/>
  <c r="PR157" i="2"/>
  <c r="PQ158" i="2"/>
  <c r="PR158" i="2"/>
  <c r="PQ159" i="2"/>
  <c r="PR159" i="2"/>
  <c r="PQ160" i="2"/>
  <c r="PR160" i="2"/>
  <c r="PQ161" i="2"/>
  <c r="PR161" i="2"/>
  <c r="PQ162" i="2"/>
  <c r="PR162" i="2"/>
  <c r="PQ163" i="2"/>
  <c r="PR163" i="2"/>
  <c r="PQ164" i="2"/>
  <c r="PR164" i="2"/>
  <c r="PQ166" i="2"/>
  <c r="PR166" i="2"/>
  <c r="PQ167" i="2"/>
  <c r="PR167" i="2"/>
  <c r="PQ168" i="2"/>
  <c r="PR168" i="2"/>
  <c r="PQ169" i="2"/>
  <c r="PR169" i="2"/>
  <c r="PQ170" i="2"/>
  <c r="PR170" i="2"/>
  <c r="PQ171" i="2"/>
  <c r="PR171" i="2"/>
  <c r="PQ172" i="2"/>
  <c r="PR172" i="2"/>
  <c r="PQ173" i="2"/>
  <c r="PR173" i="2"/>
  <c r="PQ174" i="2"/>
  <c r="PR174" i="2"/>
  <c r="PQ175" i="2"/>
  <c r="PR175" i="2"/>
  <c r="PQ176" i="2"/>
  <c r="PR176" i="2"/>
  <c r="PQ177" i="2"/>
  <c r="PR177" i="2"/>
  <c r="PQ178" i="2"/>
  <c r="PR178" i="2"/>
  <c r="PQ179" i="2"/>
  <c r="PR179" i="2"/>
  <c r="PQ180" i="2"/>
  <c r="PR180" i="2"/>
  <c r="PQ181" i="2"/>
  <c r="PR181" i="2"/>
  <c r="PQ182" i="2"/>
  <c r="PR182" i="2"/>
  <c r="PQ183" i="2"/>
  <c r="PR183" i="2"/>
  <c r="PQ184" i="2"/>
  <c r="PR184" i="2"/>
  <c r="PQ185" i="2"/>
  <c r="PR185" i="2"/>
  <c r="PQ186" i="2"/>
  <c r="PR186" i="2"/>
  <c r="PQ187" i="2"/>
  <c r="PR187" i="2"/>
  <c r="PQ188" i="2"/>
  <c r="PR188" i="2"/>
  <c r="PQ189" i="2"/>
  <c r="PR189" i="2"/>
  <c r="PQ190" i="2"/>
  <c r="PR190" i="2"/>
  <c r="PQ191" i="2"/>
  <c r="PR191" i="2"/>
  <c r="PQ192" i="2"/>
  <c r="PR192" i="2"/>
  <c r="PQ193" i="2"/>
  <c r="PR193" i="2"/>
  <c r="PQ194" i="2"/>
  <c r="PR194" i="2"/>
  <c r="PQ195" i="2"/>
  <c r="PR195" i="2"/>
  <c r="PQ196" i="2"/>
  <c r="PR196" i="2"/>
  <c r="PQ197" i="2"/>
  <c r="PR197" i="2"/>
  <c r="PQ198" i="2"/>
  <c r="PR198" i="2"/>
  <c r="PQ199" i="2"/>
  <c r="PR199" i="2"/>
  <c r="PQ200" i="2"/>
  <c r="PR200" i="2"/>
  <c r="PQ201" i="2"/>
  <c r="PR201" i="2"/>
  <c r="PQ202" i="2"/>
  <c r="PR202" i="2"/>
  <c r="PQ204" i="2"/>
  <c r="PR204" i="2"/>
  <c r="PQ205" i="2"/>
  <c r="PR205" i="2"/>
  <c r="PQ206" i="2"/>
  <c r="PR206" i="2"/>
  <c r="PQ207" i="2"/>
  <c r="PR207" i="2"/>
  <c r="PQ208" i="2"/>
  <c r="PR208" i="2"/>
  <c r="PQ209" i="2"/>
  <c r="PR209" i="2"/>
  <c r="PQ210" i="2"/>
  <c r="PR210" i="2"/>
  <c r="PQ211" i="2"/>
  <c r="PR211" i="2"/>
  <c r="PQ212" i="2"/>
  <c r="PR212" i="2"/>
  <c r="PQ213" i="2"/>
  <c r="PR213" i="2"/>
  <c r="PQ214" i="2"/>
  <c r="PR214" i="2"/>
  <c r="PQ215" i="2"/>
  <c r="PR215" i="2"/>
  <c r="PQ216" i="2"/>
  <c r="PR216" i="2"/>
  <c r="PQ217" i="2"/>
  <c r="PR217" i="2"/>
  <c r="PQ218" i="2"/>
  <c r="PR218" i="2"/>
  <c r="PQ219" i="2"/>
  <c r="PR219" i="2"/>
  <c r="PQ220" i="2"/>
  <c r="PR220" i="2"/>
  <c r="PQ221" i="2"/>
  <c r="PR221" i="2"/>
  <c r="PQ222" i="2"/>
  <c r="PR222" i="2"/>
  <c r="PQ223" i="2"/>
  <c r="PR223" i="2"/>
  <c r="PQ224" i="2"/>
  <c r="PR224" i="2"/>
  <c r="PQ225" i="2"/>
  <c r="PR225" i="2"/>
  <c r="PQ226" i="2"/>
  <c r="PR226" i="2"/>
  <c r="PQ227" i="2"/>
  <c r="PR227" i="2"/>
  <c r="PQ228" i="2"/>
  <c r="PR228" i="2"/>
  <c r="PQ229" i="2"/>
  <c r="PR229" i="2"/>
  <c r="PQ230" i="2"/>
  <c r="PR230" i="2"/>
  <c r="PQ231" i="2"/>
  <c r="PR231" i="2"/>
  <c r="PQ232" i="2"/>
  <c r="PR232" i="2"/>
  <c r="PQ233" i="2"/>
  <c r="PR233" i="2"/>
  <c r="PQ234" i="2"/>
  <c r="PR234" i="2"/>
  <c r="PQ235" i="2"/>
  <c r="PR235" i="2"/>
  <c r="PQ236" i="2"/>
  <c r="PR236" i="2"/>
  <c r="PQ237" i="2"/>
  <c r="PR237" i="2"/>
  <c r="PQ238" i="2"/>
  <c r="PR238" i="2"/>
  <c r="PQ239" i="2"/>
  <c r="PR239" i="2"/>
  <c r="PQ240" i="2"/>
  <c r="PR240" i="2"/>
  <c r="PQ242" i="2"/>
  <c r="PR242" i="2"/>
  <c r="PQ243" i="2"/>
  <c r="PR243" i="2"/>
  <c r="PQ244" i="2"/>
  <c r="PR244" i="2"/>
  <c r="PQ245" i="2"/>
  <c r="PR245" i="2"/>
  <c r="PQ246" i="2"/>
  <c r="PR246" i="2"/>
  <c r="PQ247" i="2"/>
  <c r="PR247" i="2"/>
  <c r="PQ248" i="2"/>
  <c r="PR248" i="2"/>
  <c r="PQ249" i="2"/>
  <c r="PR249" i="2"/>
  <c r="PQ250" i="2"/>
  <c r="PR250" i="2"/>
  <c r="PQ251" i="2"/>
  <c r="PR251" i="2"/>
  <c r="PQ252" i="2"/>
  <c r="PR252" i="2"/>
  <c r="PQ253" i="2"/>
  <c r="PR253" i="2"/>
  <c r="PQ254" i="2"/>
  <c r="PR254" i="2"/>
  <c r="PQ255" i="2"/>
  <c r="PR255" i="2"/>
  <c r="PQ256" i="2"/>
  <c r="PR256" i="2"/>
  <c r="PQ257" i="2"/>
  <c r="PR257" i="2"/>
  <c r="PQ258" i="2"/>
  <c r="PR258" i="2"/>
  <c r="PQ259" i="2"/>
  <c r="PR259" i="2"/>
  <c r="PQ260" i="2"/>
  <c r="PR260" i="2"/>
  <c r="PQ261" i="2"/>
  <c r="PR261" i="2"/>
  <c r="PQ262" i="2"/>
  <c r="PR262" i="2"/>
  <c r="PQ263" i="2"/>
  <c r="PR263" i="2"/>
  <c r="PQ264" i="2"/>
  <c r="PR264" i="2"/>
  <c r="PQ265" i="2"/>
  <c r="PR265" i="2"/>
  <c r="PQ266" i="2"/>
  <c r="PR266" i="2"/>
  <c r="PQ267" i="2"/>
  <c r="PR267" i="2"/>
  <c r="PQ268" i="2"/>
  <c r="PR268" i="2"/>
  <c r="PQ269" i="2"/>
  <c r="PR269" i="2"/>
  <c r="PQ270" i="2"/>
  <c r="PR270" i="2"/>
  <c r="PQ271" i="2"/>
  <c r="PR271" i="2"/>
  <c r="PQ272" i="2"/>
  <c r="PR272" i="2"/>
  <c r="PQ273" i="2"/>
  <c r="PR273" i="2"/>
  <c r="PQ274" i="2"/>
  <c r="PR274" i="2"/>
  <c r="PQ275" i="2"/>
  <c r="PR275" i="2"/>
  <c r="PQ276" i="2"/>
  <c r="PR276" i="2"/>
  <c r="PQ277" i="2"/>
  <c r="PR277" i="2"/>
  <c r="PQ278" i="2"/>
  <c r="PR278" i="2"/>
  <c r="PQ280" i="2"/>
  <c r="PR280" i="2"/>
  <c r="PQ281" i="2"/>
  <c r="PR281" i="2"/>
  <c r="PQ282" i="2"/>
  <c r="PR282" i="2"/>
  <c r="PQ283" i="2"/>
  <c r="PR283" i="2"/>
  <c r="PQ284" i="2"/>
  <c r="PR284" i="2"/>
  <c r="PQ285" i="2"/>
  <c r="PR285" i="2"/>
  <c r="PQ286" i="2"/>
  <c r="PR286" i="2"/>
  <c r="PQ287" i="2"/>
  <c r="PR287" i="2"/>
  <c r="PQ288" i="2"/>
  <c r="PR288" i="2"/>
  <c r="PQ289" i="2"/>
  <c r="PR289" i="2"/>
  <c r="PQ290" i="2"/>
  <c r="PR290" i="2"/>
  <c r="PQ291" i="2"/>
  <c r="PR291" i="2"/>
  <c r="PQ292" i="2"/>
  <c r="PR292" i="2"/>
  <c r="PQ293" i="2"/>
  <c r="PR293" i="2"/>
  <c r="PQ294" i="2"/>
  <c r="PR294" i="2"/>
  <c r="PQ295" i="2"/>
  <c r="PR295" i="2"/>
  <c r="PQ296" i="2"/>
  <c r="PR296" i="2"/>
  <c r="PQ297" i="2"/>
  <c r="PR297" i="2"/>
  <c r="PQ298" i="2"/>
  <c r="PR298" i="2"/>
  <c r="PQ299" i="2"/>
  <c r="PR299" i="2"/>
  <c r="PQ300" i="2"/>
  <c r="PR300" i="2"/>
  <c r="PQ301" i="2"/>
  <c r="PR301" i="2"/>
  <c r="PQ302" i="2"/>
  <c r="PR302" i="2"/>
  <c r="PQ303" i="2"/>
  <c r="PR303" i="2"/>
  <c r="PQ304" i="2"/>
  <c r="PR304" i="2"/>
  <c r="PQ305" i="2"/>
  <c r="PR305" i="2"/>
  <c r="PQ306" i="2"/>
  <c r="PR306" i="2"/>
  <c r="PQ307" i="2"/>
  <c r="PR307" i="2"/>
  <c r="PQ308" i="2"/>
  <c r="PR308" i="2"/>
  <c r="PQ309" i="2"/>
  <c r="PR309" i="2"/>
  <c r="PQ310" i="2"/>
  <c r="PR310" i="2"/>
  <c r="PQ311" i="2"/>
  <c r="PR311" i="2"/>
  <c r="PQ312" i="2"/>
  <c r="PR312" i="2"/>
  <c r="PQ313" i="2"/>
  <c r="PR313" i="2"/>
  <c r="PQ314" i="2"/>
  <c r="PR314" i="2"/>
  <c r="PQ315" i="2"/>
  <c r="PR315" i="2"/>
  <c r="PQ316" i="2"/>
  <c r="PR316" i="2"/>
  <c r="PQ318" i="2"/>
  <c r="PR318" i="2"/>
  <c r="PQ319" i="2"/>
  <c r="PR319" i="2"/>
  <c r="PQ320" i="2"/>
  <c r="PR320" i="2"/>
  <c r="PQ321" i="2"/>
  <c r="PR321" i="2"/>
  <c r="PQ322" i="2"/>
  <c r="PR322" i="2"/>
  <c r="PQ323" i="2"/>
  <c r="PR323" i="2"/>
  <c r="PQ324" i="2"/>
  <c r="PR324" i="2"/>
  <c r="PQ325" i="2"/>
  <c r="PR325" i="2"/>
  <c r="PQ326" i="2"/>
  <c r="PR326" i="2"/>
  <c r="PQ327" i="2"/>
  <c r="PR327" i="2"/>
  <c r="PQ328" i="2"/>
  <c r="PR328" i="2"/>
  <c r="PQ329" i="2"/>
  <c r="PR329" i="2"/>
  <c r="PQ330" i="2"/>
  <c r="PR330" i="2"/>
  <c r="PQ331" i="2"/>
  <c r="PR331" i="2"/>
  <c r="PQ332" i="2"/>
  <c r="PR332" i="2"/>
  <c r="PQ333" i="2"/>
  <c r="PR333" i="2"/>
  <c r="PQ334" i="2"/>
  <c r="PR334" i="2"/>
  <c r="PQ335" i="2"/>
  <c r="PR335" i="2"/>
  <c r="PQ336" i="2"/>
  <c r="PR336" i="2"/>
  <c r="PQ337" i="2"/>
  <c r="PR337" i="2"/>
  <c r="PQ338" i="2"/>
  <c r="PR338" i="2"/>
  <c r="PQ339" i="2"/>
  <c r="PR339" i="2"/>
  <c r="PQ340" i="2"/>
  <c r="PR340" i="2"/>
  <c r="PQ341" i="2"/>
  <c r="PR341" i="2"/>
  <c r="PQ342" i="2"/>
  <c r="PR342" i="2"/>
  <c r="PQ343" i="2"/>
  <c r="PR343" i="2"/>
  <c r="PQ344" i="2"/>
  <c r="PR344" i="2"/>
  <c r="PQ345" i="2"/>
  <c r="PR345" i="2"/>
  <c r="PQ346" i="2"/>
  <c r="PR346" i="2"/>
  <c r="PQ347" i="2"/>
  <c r="PR347" i="2"/>
  <c r="PQ348" i="2"/>
  <c r="PR348" i="2"/>
  <c r="PQ349" i="2"/>
  <c r="PR349" i="2"/>
  <c r="PQ350" i="2"/>
  <c r="PR350" i="2"/>
  <c r="PQ351" i="2"/>
  <c r="PR351" i="2"/>
  <c r="PQ352" i="2"/>
  <c r="PR352" i="2"/>
  <c r="PQ353" i="2"/>
  <c r="PR353" i="2"/>
  <c r="PQ354" i="2"/>
  <c r="PR354" i="2"/>
  <c r="PQ356" i="2"/>
  <c r="PR356" i="2"/>
  <c r="PQ357" i="2"/>
  <c r="PR357" i="2"/>
  <c r="PQ358" i="2"/>
  <c r="PR358" i="2"/>
  <c r="PQ359" i="2"/>
  <c r="PR359" i="2"/>
  <c r="PQ360" i="2"/>
  <c r="PR360" i="2"/>
  <c r="PQ361" i="2"/>
  <c r="PR361" i="2"/>
  <c r="PQ362" i="2"/>
  <c r="PR362" i="2"/>
  <c r="PQ363" i="2"/>
  <c r="PR363" i="2"/>
  <c r="PQ364" i="2"/>
  <c r="PR364" i="2"/>
  <c r="PQ365" i="2"/>
  <c r="PR365" i="2"/>
  <c r="PQ366" i="2"/>
  <c r="PR366" i="2"/>
  <c r="PQ367" i="2"/>
  <c r="PR367" i="2"/>
  <c r="PQ368" i="2"/>
  <c r="PR368" i="2"/>
  <c r="PQ369" i="2"/>
  <c r="PR369" i="2"/>
  <c r="PQ370" i="2"/>
  <c r="PR370" i="2"/>
  <c r="PQ371" i="2"/>
  <c r="PR371" i="2"/>
  <c r="PQ372" i="2"/>
  <c r="PR372" i="2"/>
  <c r="PQ373" i="2"/>
  <c r="PR373" i="2"/>
  <c r="PQ374" i="2"/>
  <c r="PR374" i="2"/>
  <c r="PQ375" i="2"/>
  <c r="PR375" i="2"/>
  <c r="PQ376" i="2"/>
  <c r="PR376" i="2"/>
  <c r="PQ377" i="2"/>
  <c r="PR377" i="2"/>
  <c r="PQ378" i="2"/>
  <c r="PR378" i="2"/>
  <c r="PQ379" i="2"/>
  <c r="PR379" i="2"/>
  <c r="PQ380" i="2"/>
  <c r="PR380" i="2"/>
  <c r="PQ381" i="2"/>
  <c r="PR381" i="2"/>
  <c r="PQ382" i="2"/>
  <c r="PR382" i="2"/>
  <c r="PQ383" i="2"/>
  <c r="PR383" i="2"/>
  <c r="PQ384" i="2"/>
  <c r="PR384" i="2"/>
  <c r="PQ385" i="2"/>
  <c r="PR385" i="2"/>
  <c r="PQ386" i="2"/>
  <c r="PR386" i="2"/>
  <c r="PQ387" i="2"/>
  <c r="PR387" i="2"/>
  <c r="PQ388" i="2"/>
  <c r="PR388" i="2"/>
  <c r="PQ389" i="2"/>
  <c r="PR389" i="2"/>
  <c r="PQ390" i="2"/>
  <c r="PR390" i="2"/>
  <c r="PQ391" i="2"/>
  <c r="PR391" i="2"/>
  <c r="PQ392" i="2"/>
  <c r="PR392" i="2"/>
  <c r="PQ394" i="2"/>
  <c r="PR394" i="2"/>
  <c r="PQ395" i="2"/>
  <c r="PR395" i="2"/>
  <c r="PQ396" i="2"/>
  <c r="PR396" i="2"/>
  <c r="PQ397" i="2"/>
  <c r="PR397" i="2"/>
  <c r="PQ398" i="2"/>
  <c r="PR398" i="2"/>
  <c r="PQ399" i="2"/>
  <c r="PR399" i="2"/>
  <c r="PQ400" i="2"/>
  <c r="PR400" i="2"/>
  <c r="PQ401" i="2"/>
  <c r="PR401" i="2"/>
  <c r="PQ402" i="2"/>
  <c r="PR402" i="2"/>
  <c r="PQ403" i="2"/>
  <c r="PR403" i="2"/>
  <c r="PQ404" i="2"/>
  <c r="PR404" i="2"/>
  <c r="PQ405" i="2"/>
  <c r="PR405" i="2"/>
  <c r="PQ406" i="2"/>
  <c r="PR406" i="2"/>
  <c r="PQ407" i="2"/>
  <c r="PR407" i="2"/>
  <c r="PQ408" i="2"/>
  <c r="PR408" i="2"/>
  <c r="PQ409" i="2"/>
  <c r="PR409" i="2"/>
  <c r="PQ410" i="2"/>
  <c r="PR410" i="2"/>
  <c r="PQ411" i="2"/>
  <c r="PR411" i="2"/>
  <c r="PQ412" i="2"/>
  <c r="PR412" i="2"/>
  <c r="PQ413" i="2"/>
  <c r="PR413" i="2"/>
  <c r="PQ414" i="2"/>
  <c r="PR414" i="2"/>
  <c r="PQ415" i="2"/>
  <c r="PR415" i="2"/>
  <c r="PQ416" i="2"/>
  <c r="PR416" i="2"/>
  <c r="PQ417" i="2"/>
  <c r="PR417" i="2"/>
  <c r="PQ418" i="2"/>
  <c r="PR418" i="2"/>
  <c r="PQ419" i="2"/>
  <c r="PR419" i="2"/>
  <c r="PQ420" i="2"/>
  <c r="PR420" i="2"/>
  <c r="PQ421" i="2"/>
  <c r="PR421" i="2"/>
  <c r="PQ422" i="2"/>
  <c r="PR422" i="2"/>
  <c r="PQ423" i="2"/>
  <c r="PR423" i="2"/>
  <c r="PQ424" i="2"/>
  <c r="PR424" i="2"/>
  <c r="PQ425" i="2"/>
  <c r="PR425" i="2"/>
  <c r="PQ426" i="2"/>
  <c r="PR426" i="2"/>
  <c r="PQ427" i="2"/>
  <c r="PR427" i="2"/>
  <c r="PQ428" i="2"/>
  <c r="PR428" i="2"/>
  <c r="PQ429" i="2"/>
  <c r="PR429" i="2"/>
  <c r="PQ430" i="2"/>
  <c r="PR430" i="2"/>
  <c r="PQ432" i="2"/>
  <c r="PR432" i="2"/>
  <c r="PQ433" i="2"/>
  <c r="PR433" i="2"/>
  <c r="PQ434" i="2"/>
  <c r="PR434" i="2"/>
  <c r="PQ435" i="2"/>
  <c r="PR435" i="2"/>
  <c r="PQ436" i="2"/>
  <c r="PR436" i="2"/>
  <c r="PQ437" i="2"/>
  <c r="PR437" i="2"/>
  <c r="PQ438" i="2"/>
  <c r="PR438" i="2"/>
  <c r="PQ439" i="2"/>
  <c r="PR439" i="2"/>
  <c r="PQ440" i="2"/>
  <c r="PR440" i="2"/>
  <c r="PQ441" i="2"/>
  <c r="PR441" i="2"/>
  <c r="PQ442" i="2"/>
  <c r="PR442" i="2"/>
  <c r="PQ443" i="2"/>
  <c r="PR443" i="2"/>
  <c r="PQ444" i="2"/>
  <c r="PR444" i="2"/>
  <c r="PQ445" i="2"/>
  <c r="PR445" i="2"/>
  <c r="PQ446" i="2"/>
  <c r="PR446" i="2"/>
  <c r="PQ447" i="2"/>
  <c r="PR447" i="2"/>
  <c r="PQ448" i="2"/>
  <c r="PR448" i="2"/>
  <c r="PQ449" i="2"/>
  <c r="PR449" i="2"/>
  <c r="PQ450" i="2"/>
  <c r="PR450" i="2"/>
  <c r="PQ451" i="2"/>
  <c r="PR451" i="2"/>
  <c r="PQ452" i="2"/>
  <c r="PR452" i="2"/>
  <c r="PQ453" i="2"/>
  <c r="PR453" i="2"/>
  <c r="PQ454" i="2"/>
  <c r="PR454" i="2"/>
  <c r="PQ455" i="2"/>
  <c r="PR455" i="2"/>
  <c r="PQ456" i="2"/>
  <c r="PR456" i="2"/>
  <c r="PQ457" i="2"/>
  <c r="PR457" i="2"/>
  <c r="PQ458" i="2"/>
  <c r="PR458" i="2"/>
  <c r="PQ459" i="2"/>
  <c r="PR459" i="2"/>
  <c r="PQ460" i="2"/>
  <c r="PR460" i="2"/>
  <c r="PQ461" i="2"/>
  <c r="PR461" i="2"/>
  <c r="PQ462" i="2"/>
  <c r="PR462" i="2"/>
  <c r="PQ463" i="2"/>
  <c r="PR463" i="2"/>
  <c r="PQ464" i="2"/>
  <c r="PR464" i="2"/>
  <c r="PQ465" i="2"/>
  <c r="PR465" i="2"/>
  <c r="PQ466" i="2"/>
  <c r="PR466" i="2"/>
  <c r="PQ467" i="2"/>
  <c r="PR467" i="2"/>
  <c r="PQ468" i="2"/>
  <c r="PR468" i="2"/>
  <c r="PR15" i="2"/>
  <c r="PR16" i="2"/>
  <c r="PR17" i="2"/>
  <c r="PR18" i="2"/>
  <c r="PR19" i="2"/>
  <c r="PR20" i="2"/>
  <c r="PR21" i="2"/>
  <c r="PR22" i="2"/>
  <c r="PR23" i="2"/>
  <c r="PR24" i="2"/>
  <c r="PR25" i="2"/>
  <c r="PR26" i="2"/>
  <c r="PR27" i="2"/>
  <c r="PR28" i="2"/>
  <c r="PR29" i="2"/>
  <c r="PR30" i="2"/>
  <c r="PR31" i="2"/>
  <c r="PR32" i="2"/>
  <c r="PR33" i="2"/>
  <c r="PR34" i="2"/>
  <c r="PR35" i="2"/>
  <c r="PR36" i="2"/>
  <c r="PR37" i="2"/>
  <c r="PR38" i="2"/>
  <c r="PR39" i="2"/>
  <c r="PR40" i="2"/>
  <c r="PR41" i="2"/>
  <c r="PR42" i="2"/>
  <c r="PR43" i="2"/>
  <c r="PR44" i="2"/>
  <c r="PR45" i="2"/>
  <c r="PR46" i="2"/>
  <c r="PR47" i="2"/>
  <c r="PR48" i="2"/>
  <c r="PR49" i="2"/>
  <c r="PR50" i="2"/>
  <c r="PR14" i="2"/>
  <c r="PQ14" i="2"/>
  <c r="PA52" i="2"/>
  <c r="PB52" i="2"/>
  <c r="PA53" i="2"/>
  <c r="PB53" i="2"/>
  <c r="PA54" i="2"/>
  <c r="PB54" i="2"/>
  <c r="PA55" i="2"/>
  <c r="PB55" i="2"/>
  <c r="PA56" i="2"/>
  <c r="PB56" i="2"/>
  <c r="PA57" i="2"/>
  <c r="PB57" i="2"/>
  <c r="PA58" i="2"/>
  <c r="PB58" i="2"/>
  <c r="PA59" i="2"/>
  <c r="PB59" i="2"/>
  <c r="PA60" i="2"/>
  <c r="PB60" i="2"/>
  <c r="PA61" i="2"/>
  <c r="PB61" i="2"/>
  <c r="PA62" i="2"/>
  <c r="PB62" i="2"/>
  <c r="PA63" i="2"/>
  <c r="PB63" i="2"/>
  <c r="PA64" i="2"/>
  <c r="PB64" i="2"/>
  <c r="PA65" i="2"/>
  <c r="PB65" i="2"/>
  <c r="PA66" i="2"/>
  <c r="PB66" i="2"/>
  <c r="PA67" i="2"/>
  <c r="PB67" i="2"/>
  <c r="PA68" i="2"/>
  <c r="PB68" i="2"/>
  <c r="PA69" i="2"/>
  <c r="PB69" i="2"/>
  <c r="PA70" i="2"/>
  <c r="PB70" i="2"/>
  <c r="PA71" i="2"/>
  <c r="PB71" i="2"/>
  <c r="PA72" i="2"/>
  <c r="PB72" i="2"/>
  <c r="PA73" i="2"/>
  <c r="PB73" i="2"/>
  <c r="PA74" i="2"/>
  <c r="PB74" i="2"/>
  <c r="PA75" i="2"/>
  <c r="PB75" i="2"/>
  <c r="PA76" i="2"/>
  <c r="PB76" i="2"/>
  <c r="PA77" i="2"/>
  <c r="PB77" i="2"/>
  <c r="PA78" i="2"/>
  <c r="PB78" i="2"/>
  <c r="PA79" i="2"/>
  <c r="PB79" i="2"/>
  <c r="PA80" i="2"/>
  <c r="PB80" i="2"/>
  <c r="PA81" i="2"/>
  <c r="PB81" i="2"/>
  <c r="PA82" i="2"/>
  <c r="PB82" i="2"/>
  <c r="PA83" i="2"/>
  <c r="PB83" i="2"/>
  <c r="PA84" i="2"/>
  <c r="PB84" i="2"/>
  <c r="PA85" i="2"/>
  <c r="PB85" i="2"/>
  <c r="PA86" i="2"/>
  <c r="PB86" i="2"/>
  <c r="PA87" i="2"/>
  <c r="PB87" i="2"/>
  <c r="PA88" i="2"/>
  <c r="PB88" i="2"/>
  <c r="PA90" i="2"/>
  <c r="PB90" i="2"/>
  <c r="PA91" i="2"/>
  <c r="PB91" i="2"/>
  <c r="PA92" i="2"/>
  <c r="PB92" i="2"/>
  <c r="PA93" i="2"/>
  <c r="PB93" i="2"/>
  <c r="PA94" i="2"/>
  <c r="PB94" i="2"/>
  <c r="PA95" i="2"/>
  <c r="PB95" i="2"/>
  <c r="PA96" i="2"/>
  <c r="PB96" i="2"/>
  <c r="PA97" i="2"/>
  <c r="PB97" i="2"/>
  <c r="PA98" i="2"/>
  <c r="PB98" i="2"/>
  <c r="PA99" i="2"/>
  <c r="PB99" i="2"/>
  <c r="PA100" i="2"/>
  <c r="PB100" i="2"/>
  <c r="PA101" i="2"/>
  <c r="PB101" i="2"/>
  <c r="PA102" i="2"/>
  <c r="PB102" i="2"/>
  <c r="PA103" i="2"/>
  <c r="PB103" i="2"/>
  <c r="PA104" i="2"/>
  <c r="PB104" i="2"/>
  <c r="PA105" i="2"/>
  <c r="PB105" i="2"/>
  <c r="PA106" i="2"/>
  <c r="PB106" i="2"/>
  <c r="PA107" i="2"/>
  <c r="PB107" i="2"/>
  <c r="PA108" i="2"/>
  <c r="PB108" i="2"/>
  <c r="PA109" i="2"/>
  <c r="PB109" i="2"/>
  <c r="PA110" i="2"/>
  <c r="PB110" i="2"/>
  <c r="PA111" i="2"/>
  <c r="PB111" i="2"/>
  <c r="PA112" i="2"/>
  <c r="PB112" i="2"/>
  <c r="PA113" i="2"/>
  <c r="PB113" i="2"/>
  <c r="PA114" i="2"/>
  <c r="PB114" i="2"/>
  <c r="PA115" i="2"/>
  <c r="PB115" i="2"/>
  <c r="PA116" i="2"/>
  <c r="PB116" i="2"/>
  <c r="PA117" i="2"/>
  <c r="PB117" i="2"/>
  <c r="PA118" i="2"/>
  <c r="PB118" i="2"/>
  <c r="PA119" i="2"/>
  <c r="PB119" i="2"/>
  <c r="PA120" i="2"/>
  <c r="PB120" i="2"/>
  <c r="PA121" i="2"/>
  <c r="PB121" i="2"/>
  <c r="PA122" i="2"/>
  <c r="PB122" i="2"/>
  <c r="PA123" i="2"/>
  <c r="PB123" i="2"/>
  <c r="PA124" i="2"/>
  <c r="PB124" i="2"/>
  <c r="PA125" i="2"/>
  <c r="PB125" i="2"/>
  <c r="PA126" i="2"/>
  <c r="PB126" i="2"/>
  <c r="PA128" i="2"/>
  <c r="PB128" i="2"/>
  <c r="PA129" i="2"/>
  <c r="PB129" i="2"/>
  <c r="PA130" i="2"/>
  <c r="PB130" i="2"/>
  <c r="PA131" i="2"/>
  <c r="PB131" i="2"/>
  <c r="PA132" i="2"/>
  <c r="PB132" i="2"/>
  <c r="PA133" i="2"/>
  <c r="PB133" i="2"/>
  <c r="PA134" i="2"/>
  <c r="PB134" i="2"/>
  <c r="PA135" i="2"/>
  <c r="PB135" i="2"/>
  <c r="PA136" i="2"/>
  <c r="PB136" i="2"/>
  <c r="PA137" i="2"/>
  <c r="PB137" i="2"/>
  <c r="PA138" i="2"/>
  <c r="PB138" i="2"/>
  <c r="PA139" i="2"/>
  <c r="PB139" i="2"/>
  <c r="PA140" i="2"/>
  <c r="PB140" i="2"/>
  <c r="PA141" i="2"/>
  <c r="PB141" i="2"/>
  <c r="PA142" i="2"/>
  <c r="PB142" i="2"/>
  <c r="PA143" i="2"/>
  <c r="PB143" i="2"/>
  <c r="PA144" i="2"/>
  <c r="PB144" i="2"/>
  <c r="PA145" i="2"/>
  <c r="PB145" i="2"/>
  <c r="PA146" i="2"/>
  <c r="PB146" i="2"/>
  <c r="PA147" i="2"/>
  <c r="PB147" i="2"/>
  <c r="PA148" i="2"/>
  <c r="PB148" i="2"/>
  <c r="PA149" i="2"/>
  <c r="PB149" i="2"/>
  <c r="PA150" i="2"/>
  <c r="PB150" i="2"/>
  <c r="PA151" i="2"/>
  <c r="PB151" i="2"/>
  <c r="PA152" i="2"/>
  <c r="PB152" i="2"/>
  <c r="PA153" i="2"/>
  <c r="PB153" i="2"/>
  <c r="PA154" i="2"/>
  <c r="PB154" i="2"/>
  <c r="PA155" i="2"/>
  <c r="PB155" i="2"/>
  <c r="PA156" i="2"/>
  <c r="PB156" i="2"/>
  <c r="PA157" i="2"/>
  <c r="PB157" i="2"/>
  <c r="PA158" i="2"/>
  <c r="PB158" i="2"/>
  <c r="PA159" i="2"/>
  <c r="PB159" i="2"/>
  <c r="PA160" i="2"/>
  <c r="PB160" i="2"/>
  <c r="PA161" i="2"/>
  <c r="PB161" i="2"/>
  <c r="PA162" i="2"/>
  <c r="PB162" i="2"/>
  <c r="PA163" i="2"/>
  <c r="PB163" i="2"/>
  <c r="PA164" i="2"/>
  <c r="PB164" i="2"/>
  <c r="PA166" i="2"/>
  <c r="PB166" i="2"/>
  <c r="PA167" i="2"/>
  <c r="PB167" i="2"/>
  <c r="PA168" i="2"/>
  <c r="PB168" i="2"/>
  <c r="PA169" i="2"/>
  <c r="PB169" i="2"/>
  <c r="PA170" i="2"/>
  <c r="PB170" i="2"/>
  <c r="PA171" i="2"/>
  <c r="PB171" i="2"/>
  <c r="PA172" i="2"/>
  <c r="PB172" i="2"/>
  <c r="PA173" i="2"/>
  <c r="PB173" i="2"/>
  <c r="PA174" i="2"/>
  <c r="PB174" i="2"/>
  <c r="PA175" i="2"/>
  <c r="PB175" i="2"/>
  <c r="PA176" i="2"/>
  <c r="PB176" i="2"/>
  <c r="PA177" i="2"/>
  <c r="PB177" i="2"/>
  <c r="PA178" i="2"/>
  <c r="PB178" i="2"/>
  <c r="PA179" i="2"/>
  <c r="PB179" i="2"/>
  <c r="PA180" i="2"/>
  <c r="PB180" i="2"/>
  <c r="PA181" i="2"/>
  <c r="PB181" i="2"/>
  <c r="PA182" i="2"/>
  <c r="PB182" i="2"/>
  <c r="PA183" i="2"/>
  <c r="PB183" i="2"/>
  <c r="PA184" i="2"/>
  <c r="PB184" i="2"/>
  <c r="PA185" i="2"/>
  <c r="PB185" i="2"/>
  <c r="PA186" i="2"/>
  <c r="PB186" i="2"/>
  <c r="PA187" i="2"/>
  <c r="PB187" i="2"/>
  <c r="PA188" i="2"/>
  <c r="PB188" i="2"/>
  <c r="PA189" i="2"/>
  <c r="PB189" i="2"/>
  <c r="PA190" i="2"/>
  <c r="PB190" i="2"/>
  <c r="PA191" i="2"/>
  <c r="PB191" i="2"/>
  <c r="PA192" i="2"/>
  <c r="PB192" i="2"/>
  <c r="PA193" i="2"/>
  <c r="PB193" i="2"/>
  <c r="PA194" i="2"/>
  <c r="PB194" i="2"/>
  <c r="PA195" i="2"/>
  <c r="PB195" i="2"/>
  <c r="PA196" i="2"/>
  <c r="PB196" i="2"/>
  <c r="PA197" i="2"/>
  <c r="PB197" i="2"/>
  <c r="PA198" i="2"/>
  <c r="PB198" i="2"/>
  <c r="PA199" i="2"/>
  <c r="PB199" i="2"/>
  <c r="PA200" i="2"/>
  <c r="PB200" i="2"/>
  <c r="PA201" i="2"/>
  <c r="PB201" i="2"/>
  <c r="PA202" i="2"/>
  <c r="PB202" i="2"/>
  <c r="PA204" i="2"/>
  <c r="PB204" i="2"/>
  <c r="PA205" i="2"/>
  <c r="PB205" i="2"/>
  <c r="PA206" i="2"/>
  <c r="PB206" i="2"/>
  <c r="PA207" i="2"/>
  <c r="PB207" i="2"/>
  <c r="PA208" i="2"/>
  <c r="PB208" i="2"/>
  <c r="PA209" i="2"/>
  <c r="PB209" i="2"/>
  <c r="PA210" i="2"/>
  <c r="PB210" i="2"/>
  <c r="PA211" i="2"/>
  <c r="PB211" i="2"/>
  <c r="PA212" i="2"/>
  <c r="PB212" i="2"/>
  <c r="PA213" i="2"/>
  <c r="PB213" i="2"/>
  <c r="PA214" i="2"/>
  <c r="PB214" i="2"/>
  <c r="PA215" i="2"/>
  <c r="PB215" i="2"/>
  <c r="PA216" i="2"/>
  <c r="PB216" i="2"/>
  <c r="PA217" i="2"/>
  <c r="PB217" i="2"/>
  <c r="PA218" i="2"/>
  <c r="PB218" i="2"/>
  <c r="PA219" i="2"/>
  <c r="PB219" i="2"/>
  <c r="PA220" i="2"/>
  <c r="PB220" i="2"/>
  <c r="PA221" i="2"/>
  <c r="PB221" i="2"/>
  <c r="PA222" i="2"/>
  <c r="PB222" i="2"/>
  <c r="PA223" i="2"/>
  <c r="PB223" i="2"/>
  <c r="PA224" i="2"/>
  <c r="PB224" i="2"/>
  <c r="PA225" i="2"/>
  <c r="PB225" i="2"/>
  <c r="PA226" i="2"/>
  <c r="PB226" i="2"/>
  <c r="PA227" i="2"/>
  <c r="PB227" i="2"/>
  <c r="PA228" i="2"/>
  <c r="PB228" i="2"/>
  <c r="PA229" i="2"/>
  <c r="PB229" i="2"/>
  <c r="PA230" i="2"/>
  <c r="PB230" i="2"/>
  <c r="PA231" i="2"/>
  <c r="PB231" i="2"/>
  <c r="PA232" i="2"/>
  <c r="PB232" i="2"/>
  <c r="PA233" i="2"/>
  <c r="PB233" i="2"/>
  <c r="PA234" i="2"/>
  <c r="PB234" i="2"/>
  <c r="PA235" i="2"/>
  <c r="PB235" i="2"/>
  <c r="PA236" i="2"/>
  <c r="PB236" i="2"/>
  <c r="PA237" i="2"/>
  <c r="PB237" i="2"/>
  <c r="PA238" i="2"/>
  <c r="PB238" i="2"/>
  <c r="PA239" i="2"/>
  <c r="PB239" i="2"/>
  <c r="PA240" i="2"/>
  <c r="PB240" i="2"/>
  <c r="PA242" i="2"/>
  <c r="PB242" i="2"/>
  <c r="PA243" i="2"/>
  <c r="PB243" i="2"/>
  <c r="PA244" i="2"/>
  <c r="PB244" i="2"/>
  <c r="PA245" i="2"/>
  <c r="PB245" i="2"/>
  <c r="PA246" i="2"/>
  <c r="PB246" i="2"/>
  <c r="PA247" i="2"/>
  <c r="PB247" i="2"/>
  <c r="PA248" i="2"/>
  <c r="PB248" i="2"/>
  <c r="PA249" i="2"/>
  <c r="PB249" i="2"/>
  <c r="PA250" i="2"/>
  <c r="PB250" i="2"/>
  <c r="PA251" i="2"/>
  <c r="PB251" i="2"/>
  <c r="PA252" i="2"/>
  <c r="PB252" i="2"/>
  <c r="PA253" i="2"/>
  <c r="PB253" i="2"/>
  <c r="PA254" i="2"/>
  <c r="PB254" i="2"/>
  <c r="PA255" i="2"/>
  <c r="PB255" i="2"/>
  <c r="PA256" i="2"/>
  <c r="PB256" i="2"/>
  <c r="PA257" i="2"/>
  <c r="PB257" i="2"/>
  <c r="PA258" i="2"/>
  <c r="PB258" i="2"/>
  <c r="PA259" i="2"/>
  <c r="PB259" i="2"/>
  <c r="PA260" i="2"/>
  <c r="PB260" i="2"/>
  <c r="PA261" i="2"/>
  <c r="PB261" i="2"/>
  <c r="PA262" i="2"/>
  <c r="PB262" i="2"/>
  <c r="PA263" i="2"/>
  <c r="PB263" i="2"/>
  <c r="PA264" i="2"/>
  <c r="PB264" i="2"/>
  <c r="PA265" i="2"/>
  <c r="PB265" i="2"/>
  <c r="PA266" i="2"/>
  <c r="PB266" i="2"/>
  <c r="PA267" i="2"/>
  <c r="PB267" i="2"/>
  <c r="PA268" i="2"/>
  <c r="PB268" i="2"/>
  <c r="PA269" i="2"/>
  <c r="PB269" i="2"/>
  <c r="PA270" i="2"/>
  <c r="PB270" i="2"/>
  <c r="PA271" i="2"/>
  <c r="PB271" i="2"/>
  <c r="PA272" i="2"/>
  <c r="PB272" i="2"/>
  <c r="PA273" i="2"/>
  <c r="PB273" i="2"/>
  <c r="PA274" i="2"/>
  <c r="PB274" i="2"/>
  <c r="PA275" i="2"/>
  <c r="PB275" i="2"/>
  <c r="PA276" i="2"/>
  <c r="PB276" i="2"/>
  <c r="PA277" i="2"/>
  <c r="PB277" i="2"/>
  <c r="PA278" i="2"/>
  <c r="PB278" i="2"/>
  <c r="PA280" i="2"/>
  <c r="PB280" i="2"/>
  <c r="PA281" i="2"/>
  <c r="PB281" i="2"/>
  <c r="PA282" i="2"/>
  <c r="PB282" i="2"/>
  <c r="PA283" i="2"/>
  <c r="PB283" i="2"/>
  <c r="PA284" i="2"/>
  <c r="PB284" i="2"/>
  <c r="PA285" i="2"/>
  <c r="PB285" i="2"/>
  <c r="PA286" i="2"/>
  <c r="PB286" i="2"/>
  <c r="PA287" i="2"/>
  <c r="PB287" i="2"/>
  <c r="PA288" i="2"/>
  <c r="PB288" i="2"/>
  <c r="PA289" i="2"/>
  <c r="PB289" i="2"/>
  <c r="PA290" i="2"/>
  <c r="PB290" i="2"/>
  <c r="PA291" i="2"/>
  <c r="PB291" i="2"/>
  <c r="PA292" i="2"/>
  <c r="PB292" i="2"/>
  <c r="PA293" i="2"/>
  <c r="PB293" i="2"/>
  <c r="PA294" i="2"/>
  <c r="PB294" i="2"/>
  <c r="PA295" i="2"/>
  <c r="PB295" i="2"/>
  <c r="PA296" i="2"/>
  <c r="PB296" i="2"/>
  <c r="PA297" i="2"/>
  <c r="PB297" i="2"/>
  <c r="PA298" i="2"/>
  <c r="PB298" i="2"/>
  <c r="PA299" i="2"/>
  <c r="PB299" i="2"/>
  <c r="PA300" i="2"/>
  <c r="PB300" i="2"/>
  <c r="PA301" i="2"/>
  <c r="PB301" i="2"/>
  <c r="PA302" i="2"/>
  <c r="PB302" i="2"/>
  <c r="PA303" i="2"/>
  <c r="PB303" i="2"/>
  <c r="PA304" i="2"/>
  <c r="PB304" i="2"/>
  <c r="PA305" i="2"/>
  <c r="PB305" i="2"/>
  <c r="PA306" i="2"/>
  <c r="PB306" i="2"/>
  <c r="PA307" i="2"/>
  <c r="PB307" i="2"/>
  <c r="PA308" i="2"/>
  <c r="PB308" i="2"/>
  <c r="PA309" i="2"/>
  <c r="PB309" i="2"/>
  <c r="PA310" i="2"/>
  <c r="PB310" i="2"/>
  <c r="PA311" i="2"/>
  <c r="PB311" i="2"/>
  <c r="PA312" i="2"/>
  <c r="PB312" i="2"/>
  <c r="PA313" i="2"/>
  <c r="PB313" i="2"/>
  <c r="PA314" i="2"/>
  <c r="PB314" i="2"/>
  <c r="PA315" i="2"/>
  <c r="PB315" i="2"/>
  <c r="PA316" i="2"/>
  <c r="PB316" i="2"/>
  <c r="PA318" i="2"/>
  <c r="PB318" i="2"/>
  <c r="PA319" i="2"/>
  <c r="PB319" i="2"/>
  <c r="PA320" i="2"/>
  <c r="PB320" i="2"/>
  <c r="PA321" i="2"/>
  <c r="PB321" i="2"/>
  <c r="PA322" i="2"/>
  <c r="PB322" i="2"/>
  <c r="PA323" i="2"/>
  <c r="PB323" i="2"/>
  <c r="PA324" i="2"/>
  <c r="PB324" i="2"/>
  <c r="PA325" i="2"/>
  <c r="PB325" i="2"/>
  <c r="PA326" i="2"/>
  <c r="PB326" i="2"/>
  <c r="PA327" i="2"/>
  <c r="PB327" i="2"/>
  <c r="PA328" i="2"/>
  <c r="PB328" i="2"/>
  <c r="PA329" i="2"/>
  <c r="PB329" i="2"/>
  <c r="PA330" i="2"/>
  <c r="PB330" i="2"/>
  <c r="PA331" i="2"/>
  <c r="PB331" i="2"/>
  <c r="PA332" i="2"/>
  <c r="PB332" i="2"/>
  <c r="PA333" i="2"/>
  <c r="PB333" i="2"/>
  <c r="PA334" i="2"/>
  <c r="PB334" i="2"/>
  <c r="PA335" i="2"/>
  <c r="PB335" i="2"/>
  <c r="PA336" i="2"/>
  <c r="PB336" i="2"/>
  <c r="PA337" i="2"/>
  <c r="PB337" i="2"/>
  <c r="PA338" i="2"/>
  <c r="PB338" i="2"/>
  <c r="PA339" i="2"/>
  <c r="PB339" i="2"/>
  <c r="PA340" i="2"/>
  <c r="PB340" i="2"/>
  <c r="PA341" i="2"/>
  <c r="PB341" i="2"/>
  <c r="PA342" i="2"/>
  <c r="PB342" i="2"/>
  <c r="PA343" i="2"/>
  <c r="PB343" i="2"/>
  <c r="PA344" i="2"/>
  <c r="PB344" i="2"/>
  <c r="PA345" i="2"/>
  <c r="PB345" i="2"/>
  <c r="PA346" i="2"/>
  <c r="PB346" i="2"/>
  <c r="PA347" i="2"/>
  <c r="PB347" i="2"/>
  <c r="PA348" i="2"/>
  <c r="PB348" i="2"/>
  <c r="PA349" i="2"/>
  <c r="PB349" i="2"/>
  <c r="PA350" i="2"/>
  <c r="PB350" i="2"/>
  <c r="PA351" i="2"/>
  <c r="PB351" i="2"/>
  <c r="PA352" i="2"/>
  <c r="PB352" i="2"/>
  <c r="PA353" i="2"/>
  <c r="PB353" i="2"/>
  <c r="PA354" i="2"/>
  <c r="PB354" i="2"/>
  <c r="PA356" i="2"/>
  <c r="PB356" i="2"/>
  <c r="PA357" i="2"/>
  <c r="PB357" i="2"/>
  <c r="PA358" i="2"/>
  <c r="PB358" i="2"/>
  <c r="PA359" i="2"/>
  <c r="PB359" i="2"/>
  <c r="PA360" i="2"/>
  <c r="PB360" i="2"/>
  <c r="PA361" i="2"/>
  <c r="PB361" i="2"/>
  <c r="PA362" i="2"/>
  <c r="PB362" i="2"/>
  <c r="PA363" i="2"/>
  <c r="PB363" i="2"/>
  <c r="PA364" i="2"/>
  <c r="PB364" i="2"/>
  <c r="PA365" i="2"/>
  <c r="PB365" i="2"/>
  <c r="PA366" i="2"/>
  <c r="PB366" i="2"/>
  <c r="PA367" i="2"/>
  <c r="PB367" i="2"/>
  <c r="PA368" i="2"/>
  <c r="PB368" i="2"/>
  <c r="PA369" i="2"/>
  <c r="PB369" i="2"/>
  <c r="PA370" i="2"/>
  <c r="PB370" i="2"/>
  <c r="PA371" i="2"/>
  <c r="PB371" i="2"/>
  <c r="PA372" i="2"/>
  <c r="PB372" i="2"/>
  <c r="PA373" i="2"/>
  <c r="PB373" i="2"/>
  <c r="PA374" i="2"/>
  <c r="PB374" i="2"/>
  <c r="PA375" i="2"/>
  <c r="PB375" i="2"/>
  <c r="PA376" i="2"/>
  <c r="PB376" i="2"/>
  <c r="PA377" i="2"/>
  <c r="PB377" i="2"/>
  <c r="PA378" i="2"/>
  <c r="PB378" i="2"/>
  <c r="PA379" i="2"/>
  <c r="PB379" i="2"/>
  <c r="PA380" i="2"/>
  <c r="PB380" i="2"/>
  <c r="PA381" i="2"/>
  <c r="PB381" i="2"/>
  <c r="PA382" i="2"/>
  <c r="PB382" i="2"/>
  <c r="PA383" i="2"/>
  <c r="PB383" i="2"/>
  <c r="PA384" i="2"/>
  <c r="PB384" i="2"/>
  <c r="PA385" i="2"/>
  <c r="PB385" i="2"/>
  <c r="PA386" i="2"/>
  <c r="PB386" i="2"/>
  <c r="PA387" i="2"/>
  <c r="PB387" i="2"/>
  <c r="PA388" i="2"/>
  <c r="PB388" i="2"/>
  <c r="PA389" i="2"/>
  <c r="PB389" i="2"/>
  <c r="PA390" i="2"/>
  <c r="PB390" i="2"/>
  <c r="PA391" i="2"/>
  <c r="PB391" i="2"/>
  <c r="PA392" i="2"/>
  <c r="PB392" i="2"/>
  <c r="PA394" i="2"/>
  <c r="PB394" i="2"/>
  <c r="PA395" i="2"/>
  <c r="PB395" i="2"/>
  <c r="PA396" i="2"/>
  <c r="PB396" i="2"/>
  <c r="PA397" i="2"/>
  <c r="PB397" i="2"/>
  <c r="PA398" i="2"/>
  <c r="PB398" i="2"/>
  <c r="PA399" i="2"/>
  <c r="PB399" i="2"/>
  <c r="PA400" i="2"/>
  <c r="PB400" i="2"/>
  <c r="PA401" i="2"/>
  <c r="PB401" i="2"/>
  <c r="PA402" i="2"/>
  <c r="PB402" i="2"/>
  <c r="PA403" i="2"/>
  <c r="PB403" i="2"/>
  <c r="PA404" i="2"/>
  <c r="PB404" i="2"/>
  <c r="PA405" i="2"/>
  <c r="PB405" i="2"/>
  <c r="PA406" i="2"/>
  <c r="PB406" i="2"/>
  <c r="PA407" i="2"/>
  <c r="PB407" i="2"/>
  <c r="PA408" i="2"/>
  <c r="PB408" i="2"/>
  <c r="PA409" i="2"/>
  <c r="PB409" i="2"/>
  <c r="PA410" i="2"/>
  <c r="PB410" i="2"/>
  <c r="PA411" i="2"/>
  <c r="PB411" i="2"/>
  <c r="PA412" i="2"/>
  <c r="PB412" i="2"/>
  <c r="PA413" i="2"/>
  <c r="PB413" i="2"/>
  <c r="PA414" i="2"/>
  <c r="PB414" i="2"/>
  <c r="PA415" i="2"/>
  <c r="PB415" i="2"/>
  <c r="PA416" i="2"/>
  <c r="PB416" i="2"/>
  <c r="PA417" i="2"/>
  <c r="PB417" i="2"/>
  <c r="PA418" i="2"/>
  <c r="PB418" i="2"/>
  <c r="PA419" i="2"/>
  <c r="PB419" i="2"/>
  <c r="PA420" i="2"/>
  <c r="PB420" i="2"/>
  <c r="PA421" i="2"/>
  <c r="PB421" i="2"/>
  <c r="PA422" i="2"/>
  <c r="PB422" i="2"/>
  <c r="PA423" i="2"/>
  <c r="PB423" i="2"/>
  <c r="PA424" i="2"/>
  <c r="PB424" i="2"/>
  <c r="PA425" i="2"/>
  <c r="PB425" i="2"/>
  <c r="PA426" i="2"/>
  <c r="PB426" i="2"/>
  <c r="PA427" i="2"/>
  <c r="PB427" i="2"/>
  <c r="PA428" i="2"/>
  <c r="PB428" i="2"/>
  <c r="PA429" i="2"/>
  <c r="PB429" i="2"/>
  <c r="PA430" i="2"/>
  <c r="PB430" i="2"/>
  <c r="PA432" i="2"/>
  <c r="PB432" i="2"/>
  <c r="PA433" i="2"/>
  <c r="PB433" i="2"/>
  <c r="PA434" i="2"/>
  <c r="PB434" i="2"/>
  <c r="PA435" i="2"/>
  <c r="PB435" i="2"/>
  <c r="PA436" i="2"/>
  <c r="PB436" i="2"/>
  <c r="PA437" i="2"/>
  <c r="PB437" i="2"/>
  <c r="PA438" i="2"/>
  <c r="PB438" i="2"/>
  <c r="PA439" i="2"/>
  <c r="PB439" i="2"/>
  <c r="PA440" i="2"/>
  <c r="PB440" i="2"/>
  <c r="PA441" i="2"/>
  <c r="PB441" i="2"/>
  <c r="PA442" i="2"/>
  <c r="PB442" i="2"/>
  <c r="PA443" i="2"/>
  <c r="PB443" i="2"/>
  <c r="PA444" i="2"/>
  <c r="PB444" i="2"/>
  <c r="PA445" i="2"/>
  <c r="PB445" i="2"/>
  <c r="PA446" i="2"/>
  <c r="PB446" i="2"/>
  <c r="PA447" i="2"/>
  <c r="PB447" i="2"/>
  <c r="PA448" i="2"/>
  <c r="PB448" i="2"/>
  <c r="PA449" i="2"/>
  <c r="PB449" i="2"/>
  <c r="PA450" i="2"/>
  <c r="PB450" i="2"/>
  <c r="PA451" i="2"/>
  <c r="PB451" i="2"/>
  <c r="PA452" i="2"/>
  <c r="PB452" i="2"/>
  <c r="PA453" i="2"/>
  <c r="PB453" i="2"/>
  <c r="PA454" i="2"/>
  <c r="PB454" i="2"/>
  <c r="PA455" i="2"/>
  <c r="PB455" i="2"/>
  <c r="PA456" i="2"/>
  <c r="PB456" i="2"/>
  <c r="PA457" i="2"/>
  <c r="PB457" i="2"/>
  <c r="PA458" i="2"/>
  <c r="PB458" i="2"/>
  <c r="PA459" i="2"/>
  <c r="PB459" i="2"/>
  <c r="PA460" i="2"/>
  <c r="PB460" i="2"/>
  <c r="PA461" i="2"/>
  <c r="PB461" i="2"/>
  <c r="PA462" i="2"/>
  <c r="PB462" i="2"/>
  <c r="PA463" i="2"/>
  <c r="PB463" i="2"/>
  <c r="PA464" i="2"/>
  <c r="PB464" i="2"/>
  <c r="PA465" i="2"/>
  <c r="PB465" i="2"/>
  <c r="PA466" i="2"/>
  <c r="PB466" i="2"/>
  <c r="PA467" i="2"/>
  <c r="PB467" i="2"/>
  <c r="PA468" i="2"/>
  <c r="PB468" i="2"/>
  <c r="PB15" i="2"/>
  <c r="PB16" i="2"/>
  <c r="PB17" i="2"/>
  <c r="PB18" i="2"/>
  <c r="PB19" i="2"/>
  <c r="PB20" i="2"/>
  <c r="PB21" i="2"/>
  <c r="PB22" i="2"/>
  <c r="PB23" i="2"/>
  <c r="PB24" i="2"/>
  <c r="PB25" i="2"/>
  <c r="PB26" i="2"/>
  <c r="PB27" i="2"/>
  <c r="PB28" i="2"/>
  <c r="PB29" i="2"/>
  <c r="PB30" i="2"/>
  <c r="PB31" i="2"/>
  <c r="PB32" i="2"/>
  <c r="PB33" i="2"/>
  <c r="PB34" i="2"/>
  <c r="PB35" i="2"/>
  <c r="PB36" i="2"/>
  <c r="PB37" i="2"/>
  <c r="PB38" i="2"/>
  <c r="PB39" i="2"/>
  <c r="PB40" i="2"/>
  <c r="PB41" i="2"/>
  <c r="PB42" i="2"/>
  <c r="PB43" i="2"/>
  <c r="PB44" i="2"/>
  <c r="PB45" i="2"/>
  <c r="PB46" i="2"/>
  <c r="PB47" i="2"/>
  <c r="PB48" i="2"/>
  <c r="PB49" i="2"/>
  <c r="PB50" i="2"/>
  <c r="PB14" i="2"/>
  <c r="PA14" i="2"/>
  <c r="OK52" i="2"/>
  <c r="OL52" i="2"/>
  <c r="OK53" i="2"/>
  <c r="OL53" i="2"/>
  <c r="OK54" i="2"/>
  <c r="OL54" i="2"/>
  <c r="OK55" i="2"/>
  <c r="OL55" i="2"/>
  <c r="OK56" i="2"/>
  <c r="OL56" i="2"/>
  <c r="OK57" i="2"/>
  <c r="OL57" i="2"/>
  <c r="OK58" i="2"/>
  <c r="OL58" i="2"/>
  <c r="OK59" i="2"/>
  <c r="OL59" i="2"/>
  <c r="OK60" i="2"/>
  <c r="OL60" i="2"/>
  <c r="OK61" i="2"/>
  <c r="OL61" i="2"/>
  <c r="OK62" i="2"/>
  <c r="OL62" i="2"/>
  <c r="OK63" i="2"/>
  <c r="OL63" i="2"/>
  <c r="OK64" i="2"/>
  <c r="OL64" i="2"/>
  <c r="OK65" i="2"/>
  <c r="OL65" i="2"/>
  <c r="OK66" i="2"/>
  <c r="OL66" i="2"/>
  <c r="OK67" i="2"/>
  <c r="OL67" i="2"/>
  <c r="OK68" i="2"/>
  <c r="OL68" i="2"/>
  <c r="OK69" i="2"/>
  <c r="OL69" i="2"/>
  <c r="OK70" i="2"/>
  <c r="OL70" i="2"/>
  <c r="OK71" i="2"/>
  <c r="OL71" i="2"/>
  <c r="OK72" i="2"/>
  <c r="OL72" i="2"/>
  <c r="OK73" i="2"/>
  <c r="OL73" i="2"/>
  <c r="OK74" i="2"/>
  <c r="OL74" i="2"/>
  <c r="OK75" i="2"/>
  <c r="OL75" i="2"/>
  <c r="OK76" i="2"/>
  <c r="OL76" i="2"/>
  <c r="OK77" i="2"/>
  <c r="OL77" i="2"/>
  <c r="OK78" i="2"/>
  <c r="OL78" i="2"/>
  <c r="OK79" i="2"/>
  <c r="OL79" i="2"/>
  <c r="OK80" i="2"/>
  <c r="OL80" i="2"/>
  <c r="OK81" i="2"/>
  <c r="OL81" i="2"/>
  <c r="OK82" i="2"/>
  <c r="OL82" i="2"/>
  <c r="OK83" i="2"/>
  <c r="OL83" i="2"/>
  <c r="OK84" i="2"/>
  <c r="OL84" i="2"/>
  <c r="OK85" i="2"/>
  <c r="OL85" i="2"/>
  <c r="OK86" i="2"/>
  <c r="OL86" i="2"/>
  <c r="OK87" i="2"/>
  <c r="OL87" i="2"/>
  <c r="OK88" i="2"/>
  <c r="OL88" i="2"/>
  <c r="OK90" i="2"/>
  <c r="OL90" i="2"/>
  <c r="OK91" i="2"/>
  <c r="OL91" i="2"/>
  <c r="OK92" i="2"/>
  <c r="OL92" i="2"/>
  <c r="OK93" i="2"/>
  <c r="OL93" i="2"/>
  <c r="OK94" i="2"/>
  <c r="OL94" i="2"/>
  <c r="OK95" i="2"/>
  <c r="OL95" i="2"/>
  <c r="OK96" i="2"/>
  <c r="OL96" i="2"/>
  <c r="OK97" i="2"/>
  <c r="OL97" i="2"/>
  <c r="OK98" i="2"/>
  <c r="OL98" i="2"/>
  <c r="OK99" i="2"/>
  <c r="OL99" i="2"/>
  <c r="OK100" i="2"/>
  <c r="OL100" i="2"/>
  <c r="OK101" i="2"/>
  <c r="OL101" i="2"/>
  <c r="OK102" i="2"/>
  <c r="OL102" i="2"/>
  <c r="OK103" i="2"/>
  <c r="OL103" i="2"/>
  <c r="OK104" i="2"/>
  <c r="OL104" i="2"/>
  <c r="OK105" i="2"/>
  <c r="OL105" i="2"/>
  <c r="OK106" i="2"/>
  <c r="OL106" i="2"/>
  <c r="OK107" i="2"/>
  <c r="OL107" i="2"/>
  <c r="OK108" i="2"/>
  <c r="OL108" i="2"/>
  <c r="OK109" i="2"/>
  <c r="OL109" i="2"/>
  <c r="OK110" i="2"/>
  <c r="OL110" i="2"/>
  <c r="OK111" i="2"/>
  <c r="OL111" i="2"/>
  <c r="OK112" i="2"/>
  <c r="OL112" i="2"/>
  <c r="OK113" i="2"/>
  <c r="OL113" i="2"/>
  <c r="OK114" i="2"/>
  <c r="OL114" i="2"/>
  <c r="OK115" i="2"/>
  <c r="OL115" i="2"/>
  <c r="OK116" i="2"/>
  <c r="OL116" i="2"/>
  <c r="OK117" i="2"/>
  <c r="OL117" i="2"/>
  <c r="OK118" i="2"/>
  <c r="OL118" i="2"/>
  <c r="OK119" i="2"/>
  <c r="OL119" i="2"/>
  <c r="OK120" i="2"/>
  <c r="OL120" i="2"/>
  <c r="OK121" i="2"/>
  <c r="OL121" i="2"/>
  <c r="OK122" i="2"/>
  <c r="OL122" i="2"/>
  <c r="OK123" i="2"/>
  <c r="OL123" i="2"/>
  <c r="OK124" i="2"/>
  <c r="OL124" i="2"/>
  <c r="OK125" i="2"/>
  <c r="OL125" i="2"/>
  <c r="OK126" i="2"/>
  <c r="OL126" i="2"/>
  <c r="OK128" i="2"/>
  <c r="OL128" i="2"/>
  <c r="OK129" i="2"/>
  <c r="OL129" i="2"/>
  <c r="OK130" i="2"/>
  <c r="OL130" i="2"/>
  <c r="OK131" i="2"/>
  <c r="OL131" i="2"/>
  <c r="OK132" i="2"/>
  <c r="OL132" i="2"/>
  <c r="OK133" i="2"/>
  <c r="OL133" i="2"/>
  <c r="OK134" i="2"/>
  <c r="OL134" i="2"/>
  <c r="OK135" i="2"/>
  <c r="OL135" i="2"/>
  <c r="OK136" i="2"/>
  <c r="OL136" i="2"/>
  <c r="OK137" i="2"/>
  <c r="OL137" i="2"/>
  <c r="OK138" i="2"/>
  <c r="OL138" i="2"/>
  <c r="OK139" i="2"/>
  <c r="OL139" i="2"/>
  <c r="OK140" i="2"/>
  <c r="OL140" i="2"/>
  <c r="OK141" i="2"/>
  <c r="OL141" i="2"/>
  <c r="OK142" i="2"/>
  <c r="OL142" i="2"/>
  <c r="OK143" i="2"/>
  <c r="OL143" i="2"/>
  <c r="OK144" i="2"/>
  <c r="OL144" i="2"/>
  <c r="OK145" i="2"/>
  <c r="OL145" i="2"/>
  <c r="OK146" i="2"/>
  <c r="OL146" i="2"/>
  <c r="OK147" i="2"/>
  <c r="OL147" i="2"/>
  <c r="OK148" i="2"/>
  <c r="OL148" i="2"/>
  <c r="OK149" i="2"/>
  <c r="OL149" i="2"/>
  <c r="OK150" i="2"/>
  <c r="OL150" i="2"/>
  <c r="OK151" i="2"/>
  <c r="OL151" i="2"/>
  <c r="OK152" i="2"/>
  <c r="OL152" i="2"/>
  <c r="OK153" i="2"/>
  <c r="OL153" i="2"/>
  <c r="OK154" i="2"/>
  <c r="OL154" i="2"/>
  <c r="OK155" i="2"/>
  <c r="OL155" i="2"/>
  <c r="OK156" i="2"/>
  <c r="OL156" i="2"/>
  <c r="OK157" i="2"/>
  <c r="OL157" i="2"/>
  <c r="OK158" i="2"/>
  <c r="OL158" i="2"/>
  <c r="OK159" i="2"/>
  <c r="OL159" i="2"/>
  <c r="OK160" i="2"/>
  <c r="OL160" i="2"/>
  <c r="OK161" i="2"/>
  <c r="OL161" i="2"/>
  <c r="OK162" i="2"/>
  <c r="OL162" i="2"/>
  <c r="OK163" i="2"/>
  <c r="OL163" i="2"/>
  <c r="OK164" i="2"/>
  <c r="OL164" i="2"/>
  <c r="OK166" i="2"/>
  <c r="OL166" i="2"/>
  <c r="OK167" i="2"/>
  <c r="OL167" i="2"/>
  <c r="OK168" i="2"/>
  <c r="OL168" i="2"/>
  <c r="OK169" i="2"/>
  <c r="OL169" i="2"/>
  <c r="OK170" i="2"/>
  <c r="OL170" i="2"/>
  <c r="OK171" i="2"/>
  <c r="OL171" i="2"/>
  <c r="OK172" i="2"/>
  <c r="OL172" i="2"/>
  <c r="OK173" i="2"/>
  <c r="OL173" i="2"/>
  <c r="OK174" i="2"/>
  <c r="OL174" i="2"/>
  <c r="OK175" i="2"/>
  <c r="OL175" i="2"/>
  <c r="OK176" i="2"/>
  <c r="OL176" i="2"/>
  <c r="OK177" i="2"/>
  <c r="OL177" i="2"/>
  <c r="OK178" i="2"/>
  <c r="OL178" i="2"/>
  <c r="OK179" i="2"/>
  <c r="OL179" i="2"/>
  <c r="OK180" i="2"/>
  <c r="OL180" i="2"/>
  <c r="OK181" i="2"/>
  <c r="OL181" i="2"/>
  <c r="OK182" i="2"/>
  <c r="OL182" i="2"/>
  <c r="OK183" i="2"/>
  <c r="OL183" i="2"/>
  <c r="OK184" i="2"/>
  <c r="OL184" i="2"/>
  <c r="OK185" i="2"/>
  <c r="OL185" i="2"/>
  <c r="OK186" i="2"/>
  <c r="OL186" i="2"/>
  <c r="OK187" i="2"/>
  <c r="OL187" i="2"/>
  <c r="OK188" i="2"/>
  <c r="OL188" i="2"/>
  <c r="OK189" i="2"/>
  <c r="OL189" i="2"/>
  <c r="OK190" i="2"/>
  <c r="OL190" i="2"/>
  <c r="OK191" i="2"/>
  <c r="OL191" i="2"/>
  <c r="OK192" i="2"/>
  <c r="OL192" i="2"/>
  <c r="OK193" i="2"/>
  <c r="OL193" i="2"/>
  <c r="OK194" i="2"/>
  <c r="OL194" i="2"/>
  <c r="OK195" i="2"/>
  <c r="OL195" i="2"/>
  <c r="OK196" i="2"/>
  <c r="OL196" i="2"/>
  <c r="OK197" i="2"/>
  <c r="OL197" i="2"/>
  <c r="OK198" i="2"/>
  <c r="OL198" i="2"/>
  <c r="OK199" i="2"/>
  <c r="OL199" i="2"/>
  <c r="OK200" i="2"/>
  <c r="OL200" i="2"/>
  <c r="OK201" i="2"/>
  <c r="OL201" i="2"/>
  <c r="OK202" i="2"/>
  <c r="OL202" i="2"/>
  <c r="OK204" i="2"/>
  <c r="OL204" i="2"/>
  <c r="OK205" i="2"/>
  <c r="OL205" i="2"/>
  <c r="OK206" i="2"/>
  <c r="OL206" i="2"/>
  <c r="OK207" i="2"/>
  <c r="OL207" i="2"/>
  <c r="OK208" i="2"/>
  <c r="OL208" i="2"/>
  <c r="OK209" i="2"/>
  <c r="OL209" i="2"/>
  <c r="OK210" i="2"/>
  <c r="OL210" i="2"/>
  <c r="OK211" i="2"/>
  <c r="OL211" i="2"/>
  <c r="OK212" i="2"/>
  <c r="OL212" i="2"/>
  <c r="OK213" i="2"/>
  <c r="OL213" i="2"/>
  <c r="OK214" i="2"/>
  <c r="OL214" i="2"/>
  <c r="OK215" i="2"/>
  <c r="OL215" i="2"/>
  <c r="OK216" i="2"/>
  <c r="OL216" i="2"/>
  <c r="OK217" i="2"/>
  <c r="OL217" i="2"/>
  <c r="OK218" i="2"/>
  <c r="OL218" i="2"/>
  <c r="OK219" i="2"/>
  <c r="OL219" i="2"/>
  <c r="OK220" i="2"/>
  <c r="OL220" i="2"/>
  <c r="OK221" i="2"/>
  <c r="OL221" i="2"/>
  <c r="OK222" i="2"/>
  <c r="OL222" i="2"/>
  <c r="OK223" i="2"/>
  <c r="OL223" i="2"/>
  <c r="OK224" i="2"/>
  <c r="OL224" i="2"/>
  <c r="OK225" i="2"/>
  <c r="OL225" i="2"/>
  <c r="OK226" i="2"/>
  <c r="OL226" i="2"/>
  <c r="OK227" i="2"/>
  <c r="OL227" i="2"/>
  <c r="OK228" i="2"/>
  <c r="OL228" i="2"/>
  <c r="OK229" i="2"/>
  <c r="OL229" i="2"/>
  <c r="OK230" i="2"/>
  <c r="OL230" i="2"/>
  <c r="OK231" i="2"/>
  <c r="OL231" i="2"/>
  <c r="OK232" i="2"/>
  <c r="OL232" i="2"/>
  <c r="OK233" i="2"/>
  <c r="OL233" i="2"/>
  <c r="OK234" i="2"/>
  <c r="OL234" i="2"/>
  <c r="OK235" i="2"/>
  <c r="OL235" i="2"/>
  <c r="OK236" i="2"/>
  <c r="OL236" i="2"/>
  <c r="OK237" i="2"/>
  <c r="OL237" i="2"/>
  <c r="OK238" i="2"/>
  <c r="OL238" i="2"/>
  <c r="OK239" i="2"/>
  <c r="OL239" i="2"/>
  <c r="OK240" i="2"/>
  <c r="OL240" i="2"/>
  <c r="OK242" i="2"/>
  <c r="OL242" i="2"/>
  <c r="OK243" i="2"/>
  <c r="OL243" i="2"/>
  <c r="OK244" i="2"/>
  <c r="OL244" i="2"/>
  <c r="OK245" i="2"/>
  <c r="OL245" i="2"/>
  <c r="OK246" i="2"/>
  <c r="OL246" i="2"/>
  <c r="OK247" i="2"/>
  <c r="OL247" i="2"/>
  <c r="OK248" i="2"/>
  <c r="OL248" i="2"/>
  <c r="OK249" i="2"/>
  <c r="OL249" i="2"/>
  <c r="OK250" i="2"/>
  <c r="OL250" i="2"/>
  <c r="OK251" i="2"/>
  <c r="OL251" i="2"/>
  <c r="OK252" i="2"/>
  <c r="OL252" i="2"/>
  <c r="OK253" i="2"/>
  <c r="OL253" i="2"/>
  <c r="OK254" i="2"/>
  <c r="OL254" i="2"/>
  <c r="OK255" i="2"/>
  <c r="OL255" i="2"/>
  <c r="OK256" i="2"/>
  <c r="OL256" i="2"/>
  <c r="OK257" i="2"/>
  <c r="OL257" i="2"/>
  <c r="OK258" i="2"/>
  <c r="OL258" i="2"/>
  <c r="OK259" i="2"/>
  <c r="OL259" i="2"/>
  <c r="OK260" i="2"/>
  <c r="OL260" i="2"/>
  <c r="OK261" i="2"/>
  <c r="OL261" i="2"/>
  <c r="OK262" i="2"/>
  <c r="OL262" i="2"/>
  <c r="OK263" i="2"/>
  <c r="OL263" i="2"/>
  <c r="OK264" i="2"/>
  <c r="OL264" i="2"/>
  <c r="OK265" i="2"/>
  <c r="OL265" i="2"/>
  <c r="OK266" i="2"/>
  <c r="OL266" i="2"/>
  <c r="OK267" i="2"/>
  <c r="OL267" i="2"/>
  <c r="OK268" i="2"/>
  <c r="OL268" i="2"/>
  <c r="OK269" i="2"/>
  <c r="OL269" i="2"/>
  <c r="OK270" i="2"/>
  <c r="OL270" i="2"/>
  <c r="OK271" i="2"/>
  <c r="OL271" i="2"/>
  <c r="OK272" i="2"/>
  <c r="OL272" i="2"/>
  <c r="OK273" i="2"/>
  <c r="OL273" i="2"/>
  <c r="OK274" i="2"/>
  <c r="OL274" i="2"/>
  <c r="OK275" i="2"/>
  <c r="OL275" i="2"/>
  <c r="OK276" i="2"/>
  <c r="OL276" i="2"/>
  <c r="OK277" i="2"/>
  <c r="OL277" i="2"/>
  <c r="OK278" i="2"/>
  <c r="OL278" i="2"/>
  <c r="OK280" i="2"/>
  <c r="OL280" i="2"/>
  <c r="OK281" i="2"/>
  <c r="OL281" i="2"/>
  <c r="OK282" i="2"/>
  <c r="OL282" i="2"/>
  <c r="OK283" i="2"/>
  <c r="OL283" i="2"/>
  <c r="OK284" i="2"/>
  <c r="OL284" i="2"/>
  <c r="OK285" i="2"/>
  <c r="OL285" i="2"/>
  <c r="OK286" i="2"/>
  <c r="OL286" i="2"/>
  <c r="OK287" i="2"/>
  <c r="OL287" i="2"/>
  <c r="OK288" i="2"/>
  <c r="OL288" i="2"/>
  <c r="OK289" i="2"/>
  <c r="OL289" i="2"/>
  <c r="OK290" i="2"/>
  <c r="OL290" i="2"/>
  <c r="OK291" i="2"/>
  <c r="OL291" i="2"/>
  <c r="OK292" i="2"/>
  <c r="OL292" i="2"/>
  <c r="OK293" i="2"/>
  <c r="OL293" i="2"/>
  <c r="OK294" i="2"/>
  <c r="OL294" i="2"/>
  <c r="OK295" i="2"/>
  <c r="OL295" i="2"/>
  <c r="OK296" i="2"/>
  <c r="OL296" i="2"/>
  <c r="OK297" i="2"/>
  <c r="OL297" i="2"/>
  <c r="OK298" i="2"/>
  <c r="OL298" i="2"/>
  <c r="OK299" i="2"/>
  <c r="OL299" i="2"/>
  <c r="OK300" i="2"/>
  <c r="OL300" i="2"/>
  <c r="OK301" i="2"/>
  <c r="OL301" i="2"/>
  <c r="OK302" i="2"/>
  <c r="OL302" i="2"/>
  <c r="OK303" i="2"/>
  <c r="OL303" i="2"/>
  <c r="OK304" i="2"/>
  <c r="OL304" i="2"/>
  <c r="OK305" i="2"/>
  <c r="OL305" i="2"/>
  <c r="OK306" i="2"/>
  <c r="OL306" i="2"/>
  <c r="OK307" i="2"/>
  <c r="OL307" i="2"/>
  <c r="OK308" i="2"/>
  <c r="OL308" i="2"/>
  <c r="OK309" i="2"/>
  <c r="OL309" i="2"/>
  <c r="OK310" i="2"/>
  <c r="OL310" i="2"/>
  <c r="OK311" i="2"/>
  <c r="OL311" i="2"/>
  <c r="OK312" i="2"/>
  <c r="OL312" i="2"/>
  <c r="OK313" i="2"/>
  <c r="OL313" i="2"/>
  <c r="OK314" i="2"/>
  <c r="OL314" i="2"/>
  <c r="OK315" i="2"/>
  <c r="OL315" i="2"/>
  <c r="OK316" i="2"/>
  <c r="OL316" i="2"/>
  <c r="OK318" i="2"/>
  <c r="OL318" i="2"/>
  <c r="OK319" i="2"/>
  <c r="OL319" i="2"/>
  <c r="OK320" i="2"/>
  <c r="OL320" i="2"/>
  <c r="OK321" i="2"/>
  <c r="OL321" i="2"/>
  <c r="OK322" i="2"/>
  <c r="OL322" i="2"/>
  <c r="OK323" i="2"/>
  <c r="OL323" i="2"/>
  <c r="OK324" i="2"/>
  <c r="OL324" i="2"/>
  <c r="OK325" i="2"/>
  <c r="OL325" i="2"/>
  <c r="OK326" i="2"/>
  <c r="OL326" i="2"/>
  <c r="OK327" i="2"/>
  <c r="OL327" i="2"/>
  <c r="OK328" i="2"/>
  <c r="OL328" i="2"/>
  <c r="OK329" i="2"/>
  <c r="OL329" i="2"/>
  <c r="OK330" i="2"/>
  <c r="OL330" i="2"/>
  <c r="OK331" i="2"/>
  <c r="OL331" i="2"/>
  <c r="OK332" i="2"/>
  <c r="OL332" i="2"/>
  <c r="OK333" i="2"/>
  <c r="OL333" i="2"/>
  <c r="OK334" i="2"/>
  <c r="OL334" i="2"/>
  <c r="OK335" i="2"/>
  <c r="OL335" i="2"/>
  <c r="OK336" i="2"/>
  <c r="OL336" i="2"/>
  <c r="OK337" i="2"/>
  <c r="OL337" i="2"/>
  <c r="OK338" i="2"/>
  <c r="OL338" i="2"/>
  <c r="OK339" i="2"/>
  <c r="OL339" i="2"/>
  <c r="OK340" i="2"/>
  <c r="OL340" i="2"/>
  <c r="OK341" i="2"/>
  <c r="OL341" i="2"/>
  <c r="OK342" i="2"/>
  <c r="OL342" i="2"/>
  <c r="OK343" i="2"/>
  <c r="OL343" i="2"/>
  <c r="OK344" i="2"/>
  <c r="OL344" i="2"/>
  <c r="OK345" i="2"/>
  <c r="OL345" i="2"/>
  <c r="OK346" i="2"/>
  <c r="OL346" i="2"/>
  <c r="OK347" i="2"/>
  <c r="OL347" i="2"/>
  <c r="OK348" i="2"/>
  <c r="OL348" i="2"/>
  <c r="OK349" i="2"/>
  <c r="OL349" i="2"/>
  <c r="OK350" i="2"/>
  <c r="OL350" i="2"/>
  <c r="OK351" i="2"/>
  <c r="OL351" i="2"/>
  <c r="OK352" i="2"/>
  <c r="OL352" i="2"/>
  <c r="OK353" i="2"/>
  <c r="OL353" i="2"/>
  <c r="OK354" i="2"/>
  <c r="OL354" i="2"/>
  <c r="OK356" i="2"/>
  <c r="OL356" i="2"/>
  <c r="OK357" i="2"/>
  <c r="OL357" i="2"/>
  <c r="OK358" i="2"/>
  <c r="OL358" i="2"/>
  <c r="OK359" i="2"/>
  <c r="OL359" i="2"/>
  <c r="OK360" i="2"/>
  <c r="OL360" i="2"/>
  <c r="OK361" i="2"/>
  <c r="OL361" i="2"/>
  <c r="OK362" i="2"/>
  <c r="OL362" i="2"/>
  <c r="OK363" i="2"/>
  <c r="OL363" i="2"/>
  <c r="OK364" i="2"/>
  <c r="OL364" i="2"/>
  <c r="OK365" i="2"/>
  <c r="OL365" i="2"/>
  <c r="OK366" i="2"/>
  <c r="OL366" i="2"/>
  <c r="OK367" i="2"/>
  <c r="OL367" i="2"/>
  <c r="OK368" i="2"/>
  <c r="OL368" i="2"/>
  <c r="OK369" i="2"/>
  <c r="OL369" i="2"/>
  <c r="OK370" i="2"/>
  <c r="OL370" i="2"/>
  <c r="OK371" i="2"/>
  <c r="OL371" i="2"/>
  <c r="OK372" i="2"/>
  <c r="OL372" i="2"/>
  <c r="OK373" i="2"/>
  <c r="OL373" i="2"/>
  <c r="OK374" i="2"/>
  <c r="OL374" i="2"/>
  <c r="OK375" i="2"/>
  <c r="OL375" i="2"/>
  <c r="OK376" i="2"/>
  <c r="OL376" i="2"/>
  <c r="OK377" i="2"/>
  <c r="OL377" i="2"/>
  <c r="OK378" i="2"/>
  <c r="OL378" i="2"/>
  <c r="OK379" i="2"/>
  <c r="OL379" i="2"/>
  <c r="OK380" i="2"/>
  <c r="OL380" i="2"/>
  <c r="OK381" i="2"/>
  <c r="OL381" i="2"/>
  <c r="OK382" i="2"/>
  <c r="OL382" i="2"/>
  <c r="OK383" i="2"/>
  <c r="OL383" i="2"/>
  <c r="OK384" i="2"/>
  <c r="OL384" i="2"/>
  <c r="OK385" i="2"/>
  <c r="OL385" i="2"/>
  <c r="OK386" i="2"/>
  <c r="OL386" i="2"/>
  <c r="OK387" i="2"/>
  <c r="OL387" i="2"/>
  <c r="OK388" i="2"/>
  <c r="OL388" i="2"/>
  <c r="OK389" i="2"/>
  <c r="OL389" i="2"/>
  <c r="OK390" i="2"/>
  <c r="OL390" i="2"/>
  <c r="OK391" i="2"/>
  <c r="OL391" i="2"/>
  <c r="OK392" i="2"/>
  <c r="OL392" i="2"/>
  <c r="OK394" i="2"/>
  <c r="OL394" i="2"/>
  <c r="OK395" i="2"/>
  <c r="OL395" i="2"/>
  <c r="OK396" i="2"/>
  <c r="OL396" i="2"/>
  <c r="OK397" i="2"/>
  <c r="OL397" i="2"/>
  <c r="OK398" i="2"/>
  <c r="OL398" i="2"/>
  <c r="OK399" i="2"/>
  <c r="OL399" i="2"/>
  <c r="OK400" i="2"/>
  <c r="OL400" i="2"/>
  <c r="OK401" i="2"/>
  <c r="OL401" i="2"/>
  <c r="OK402" i="2"/>
  <c r="OL402" i="2"/>
  <c r="OK403" i="2"/>
  <c r="OL403" i="2"/>
  <c r="OK404" i="2"/>
  <c r="OL404" i="2"/>
  <c r="OK405" i="2"/>
  <c r="OL405" i="2"/>
  <c r="OK406" i="2"/>
  <c r="OL406" i="2"/>
  <c r="OK407" i="2"/>
  <c r="OL407" i="2"/>
  <c r="OK408" i="2"/>
  <c r="OL408" i="2"/>
  <c r="OK409" i="2"/>
  <c r="OL409" i="2"/>
  <c r="OK410" i="2"/>
  <c r="OL410" i="2"/>
  <c r="OK411" i="2"/>
  <c r="OL411" i="2"/>
  <c r="OK412" i="2"/>
  <c r="OL412" i="2"/>
  <c r="OK413" i="2"/>
  <c r="OL413" i="2"/>
  <c r="OK414" i="2"/>
  <c r="OL414" i="2"/>
  <c r="OK415" i="2"/>
  <c r="OL415" i="2"/>
  <c r="OK416" i="2"/>
  <c r="OL416" i="2"/>
  <c r="OK417" i="2"/>
  <c r="OL417" i="2"/>
  <c r="OK418" i="2"/>
  <c r="OL418" i="2"/>
  <c r="OK419" i="2"/>
  <c r="OL419" i="2"/>
  <c r="OK420" i="2"/>
  <c r="OL420" i="2"/>
  <c r="OK421" i="2"/>
  <c r="OL421" i="2"/>
  <c r="OK422" i="2"/>
  <c r="OL422" i="2"/>
  <c r="OK423" i="2"/>
  <c r="OL423" i="2"/>
  <c r="OK424" i="2"/>
  <c r="OL424" i="2"/>
  <c r="OK425" i="2"/>
  <c r="OL425" i="2"/>
  <c r="OK426" i="2"/>
  <c r="OL426" i="2"/>
  <c r="OK427" i="2"/>
  <c r="OL427" i="2"/>
  <c r="OK428" i="2"/>
  <c r="OL428" i="2"/>
  <c r="OK429" i="2"/>
  <c r="OL429" i="2"/>
  <c r="OK430" i="2"/>
  <c r="OL430" i="2"/>
  <c r="OK432" i="2"/>
  <c r="OL432" i="2"/>
  <c r="OK433" i="2"/>
  <c r="OL433" i="2"/>
  <c r="OK434" i="2"/>
  <c r="OL434" i="2"/>
  <c r="OK435" i="2"/>
  <c r="OL435" i="2"/>
  <c r="OK436" i="2"/>
  <c r="OL436" i="2"/>
  <c r="OK437" i="2"/>
  <c r="OL437" i="2"/>
  <c r="OK438" i="2"/>
  <c r="OL438" i="2"/>
  <c r="OK439" i="2"/>
  <c r="OL439" i="2"/>
  <c r="OK440" i="2"/>
  <c r="OL440" i="2"/>
  <c r="OK441" i="2"/>
  <c r="OL441" i="2"/>
  <c r="OK442" i="2"/>
  <c r="OL442" i="2"/>
  <c r="OK443" i="2"/>
  <c r="OL443" i="2"/>
  <c r="OK444" i="2"/>
  <c r="OL444" i="2"/>
  <c r="OK445" i="2"/>
  <c r="OL445" i="2"/>
  <c r="OK446" i="2"/>
  <c r="OL446" i="2"/>
  <c r="OK447" i="2"/>
  <c r="OL447" i="2"/>
  <c r="OK448" i="2"/>
  <c r="OL448" i="2"/>
  <c r="OK449" i="2"/>
  <c r="OL449" i="2"/>
  <c r="OK450" i="2"/>
  <c r="OL450" i="2"/>
  <c r="OK451" i="2"/>
  <c r="OL451" i="2"/>
  <c r="OK452" i="2"/>
  <c r="OL452" i="2"/>
  <c r="OK453" i="2"/>
  <c r="OL453" i="2"/>
  <c r="OK454" i="2"/>
  <c r="OL454" i="2"/>
  <c r="OK455" i="2"/>
  <c r="OL455" i="2"/>
  <c r="OK456" i="2"/>
  <c r="OL456" i="2"/>
  <c r="OK457" i="2"/>
  <c r="OL457" i="2"/>
  <c r="OK458" i="2"/>
  <c r="OL458" i="2"/>
  <c r="OK459" i="2"/>
  <c r="OL459" i="2"/>
  <c r="OK460" i="2"/>
  <c r="OL460" i="2"/>
  <c r="OK461" i="2"/>
  <c r="OL461" i="2"/>
  <c r="OK462" i="2"/>
  <c r="OL462" i="2"/>
  <c r="OK463" i="2"/>
  <c r="OL463" i="2"/>
  <c r="OK464" i="2"/>
  <c r="OL464" i="2"/>
  <c r="OK465" i="2"/>
  <c r="OL465" i="2"/>
  <c r="OK466" i="2"/>
  <c r="OL466" i="2"/>
  <c r="OK467" i="2"/>
  <c r="OL467" i="2"/>
  <c r="OK468" i="2"/>
  <c r="OL468" i="2"/>
  <c r="OL15" i="2"/>
  <c r="OL16" i="2"/>
  <c r="OL17" i="2"/>
  <c r="OL18" i="2"/>
  <c r="OL19" i="2"/>
  <c r="OL20" i="2"/>
  <c r="OL21" i="2"/>
  <c r="OL22" i="2"/>
  <c r="OL23" i="2"/>
  <c r="OL24" i="2"/>
  <c r="OL25" i="2"/>
  <c r="OL26" i="2"/>
  <c r="OL27" i="2"/>
  <c r="OL28" i="2"/>
  <c r="OL29" i="2"/>
  <c r="OL30" i="2"/>
  <c r="OL31" i="2"/>
  <c r="OL32" i="2"/>
  <c r="OL33" i="2"/>
  <c r="OL34" i="2"/>
  <c r="OL35" i="2"/>
  <c r="OL36" i="2"/>
  <c r="OL37" i="2"/>
  <c r="OL38" i="2"/>
  <c r="OL39" i="2"/>
  <c r="OL40" i="2"/>
  <c r="OL41" i="2"/>
  <c r="OL42" i="2"/>
  <c r="OL43" i="2"/>
  <c r="OL44" i="2"/>
  <c r="OL45" i="2"/>
  <c r="OL46" i="2"/>
  <c r="OL47" i="2"/>
  <c r="OL48" i="2"/>
  <c r="OL49" i="2"/>
  <c r="OL50" i="2"/>
  <c r="OL14" i="2"/>
  <c r="OK14" i="2"/>
  <c r="NU52" i="2"/>
  <c r="NV52" i="2"/>
  <c r="NU53" i="2"/>
  <c r="NV53" i="2"/>
  <c r="NU54" i="2"/>
  <c r="NV54" i="2"/>
  <c r="NU55" i="2"/>
  <c r="NV55" i="2"/>
  <c r="NU56" i="2"/>
  <c r="NV56" i="2"/>
  <c r="NU57" i="2"/>
  <c r="NV57" i="2"/>
  <c r="NU58" i="2"/>
  <c r="NV58" i="2"/>
  <c r="NU59" i="2"/>
  <c r="NV59" i="2"/>
  <c r="NU60" i="2"/>
  <c r="NV60" i="2"/>
  <c r="NU61" i="2"/>
  <c r="NV61" i="2"/>
  <c r="NU62" i="2"/>
  <c r="NV62" i="2"/>
  <c r="NU63" i="2"/>
  <c r="NV63" i="2"/>
  <c r="NU64" i="2"/>
  <c r="NV64" i="2"/>
  <c r="NU65" i="2"/>
  <c r="NV65" i="2"/>
  <c r="NU66" i="2"/>
  <c r="NV66" i="2"/>
  <c r="NU67" i="2"/>
  <c r="NV67" i="2"/>
  <c r="NU68" i="2"/>
  <c r="NV68" i="2"/>
  <c r="NU69" i="2"/>
  <c r="NV69" i="2"/>
  <c r="NU70" i="2"/>
  <c r="NV70" i="2"/>
  <c r="NU71" i="2"/>
  <c r="NV71" i="2"/>
  <c r="NU72" i="2"/>
  <c r="NV72" i="2"/>
  <c r="NU73" i="2"/>
  <c r="NV73" i="2"/>
  <c r="NU74" i="2"/>
  <c r="NV74" i="2"/>
  <c r="NU75" i="2"/>
  <c r="NV75" i="2"/>
  <c r="NU76" i="2"/>
  <c r="NV76" i="2"/>
  <c r="NU77" i="2"/>
  <c r="NV77" i="2"/>
  <c r="NU78" i="2"/>
  <c r="NV78" i="2"/>
  <c r="NU79" i="2"/>
  <c r="NV79" i="2"/>
  <c r="NU80" i="2"/>
  <c r="NV80" i="2"/>
  <c r="NU81" i="2"/>
  <c r="NV81" i="2"/>
  <c r="NU82" i="2"/>
  <c r="NV82" i="2"/>
  <c r="NU83" i="2"/>
  <c r="NV83" i="2"/>
  <c r="NU84" i="2"/>
  <c r="NV84" i="2"/>
  <c r="NU85" i="2"/>
  <c r="NV85" i="2"/>
  <c r="NU86" i="2"/>
  <c r="NV86" i="2"/>
  <c r="NU87" i="2"/>
  <c r="NV87" i="2"/>
  <c r="NU88" i="2"/>
  <c r="NV88" i="2"/>
  <c r="NU90" i="2"/>
  <c r="NV90" i="2"/>
  <c r="NU91" i="2"/>
  <c r="NV91" i="2"/>
  <c r="NU92" i="2"/>
  <c r="NV92" i="2"/>
  <c r="NU93" i="2"/>
  <c r="NV93" i="2"/>
  <c r="NU94" i="2"/>
  <c r="NV94" i="2"/>
  <c r="NU95" i="2"/>
  <c r="NV95" i="2"/>
  <c r="NU96" i="2"/>
  <c r="NV96" i="2"/>
  <c r="NU97" i="2"/>
  <c r="NV97" i="2"/>
  <c r="NU98" i="2"/>
  <c r="NV98" i="2"/>
  <c r="NU99" i="2"/>
  <c r="NV99" i="2"/>
  <c r="NU100" i="2"/>
  <c r="NV100" i="2"/>
  <c r="NU101" i="2"/>
  <c r="NV101" i="2"/>
  <c r="NU102" i="2"/>
  <c r="NV102" i="2"/>
  <c r="NU103" i="2"/>
  <c r="NV103" i="2"/>
  <c r="NU104" i="2"/>
  <c r="NV104" i="2"/>
  <c r="NU105" i="2"/>
  <c r="NV105" i="2"/>
  <c r="NU106" i="2"/>
  <c r="NV106" i="2"/>
  <c r="NU107" i="2"/>
  <c r="NV107" i="2"/>
  <c r="NU108" i="2"/>
  <c r="NV108" i="2"/>
  <c r="NU109" i="2"/>
  <c r="NV109" i="2"/>
  <c r="NU110" i="2"/>
  <c r="NV110" i="2"/>
  <c r="NU111" i="2"/>
  <c r="NV111" i="2"/>
  <c r="NU112" i="2"/>
  <c r="NV112" i="2"/>
  <c r="NU113" i="2"/>
  <c r="NV113" i="2"/>
  <c r="NU114" i="2"/>
  <c r="NV114" i="2"/>
  <c r="NU115" i="2"/>
  <c r="NV115" i="2"/>
  <c r="NU116" i="2"/>
  <c r="NV116" i="2"/>
  <c r="NU117" i="2"/>
  <c r="NV117" i="2"/>
  <c r="NU118" i="2"/>
  <c r="NV118" i="2"/>
  <c r="NU119" i="2"/>
  <c r="NV119" i="2"/>
  <c r="NU120" i="2"/>
  <c r="NV120" i="2"/>
  <c r="NU121" i="2"/>
  <c r="NV121" i="2"/>
  <c r="NU122" i="2"/>
  <c r="NV122" i="2"/>
  <c r="NU123" i="2"/>
  <c r="NV123" i="2"/>
  <c r="NU124" i="2"/>
  <c r="NV124" i="2"/>
  <c r="NU125" i="2"/>
  <c r="NV125" i="2"/>
  <c r="NU126" i="2"/>
  <c r="NV126" i="2"/>
  <c r="NU128" i="2"/>
  <c r="NV128" i="2"/>
  <c r="NU129" i="2"/>
  <c r="NV129" i="2"/>
  <c r="NU130" i="2"/>
  <c r="NV130" i="2"/>
  <c r="NU131" i="2"/>
  <c r="NV131" i="2"/>
  <c r="NU132" i="2"/>
  <c r="NV132" i="2"/>
  <c r="NU133" i="2"/>
  <c r="NV133" i="2"/>
  <c r="NU134" i="2"/>
  <c r="NV134" i="2"/>
  <c r="NU135" i="2"/>
  <c r="NU136" i="2"/>
  <c r="NV136" i="2"/>
  <c r="NU137" i="2"/>
  <c r="NV137" i="2"/>
  <c r="NU138" i="2"/>
  <c r="NV138" i="2"/>
  <c r="NU139" i="2"/>
  <c r="NV139" i="2"/>
  <c r="NU140" i="2"/>
  <c r="NV140" i="2"/>
  <c r="NU141" i="2"/>
  <c r="NV141" i="2"/>
  <c r="NU142" i="2"/>
  <c r="NV142" i="2"/>
  <c r="NU143" i="2"/>
  <c r="NV143" i="2"/>
  <c r="NU144" i="2"/>
  <c r="NV144" i="2"/>
  <c r="NU145" i="2"/>
  <c r="NV145" i="2"/>
  <c r="NU146" i="2"/>
  <c r="NV146" i="2"/>
  <c r="NU147" i="2"/>
  <c r="NV147" i="2"/>
  <c r="NU148" i="2"/>
  <c r="NV148" i="2"/>
  <c r="NU149" i="2"/>
  <c r="NV149" i="2"/>
  <c r="NU150" i="2"/>
  <c r="NV150" i="2"/>
  <c r="NU151" i="2"/>
  <c r="NV151" i="2"/>
  <c r="NU152" i="2"/>
  <c r="NV152" i="2"/>
  <c r="NU153" i="2"/>
  <c r="NV153" i="2"/>
  <c r="NU154" i="2"/>
  <c r="NV154" i="2"/>
  <c r="NU155" i="2"/>
  <c r="NV155" i="2"/>
  <c r="NU156" i="2"/>
  <c r="NV156" i="2"/>
  <c r="NU157" i="2"/>
  <c r="NV157" i="2"/>
  <c r="NU158" i="2"/>
  <c r="NV158" i="2"/>
  <c r="NU159" i="2"/>
  <c r="NV159" i="2"/>
  <c r="NU160" i="2"/>
  <c r="NV160" i="2"/>
  <c r="NU161" i="2"/>
  <c r="NV161" i="2"/>
  <c r="NU162" i="2"/>
  <c r="NV162" i="2"/>
  <c r="NU163" i="2"/>
  <c r="NV163" i="2"/>
  <c r="NU164" i="2"/>
  <c r="NV164" i="2"/>
  <c r="NU166" i="2"/>
  <c r="NV166" i="2"/>
  <c r="NU167" i="2"/>
  <c r="NV167" i="2"/>
  <c r="NU168" i="2"/>
  <c r="NV168" i="2"/>
  <c r="NU169" i="2"/>
  <c r="NV169" i="2"/>
  <c r="NU170" i="2"/>
  <c r="NV170" i="2"/>
  <c r="NU171" i="2"/>
  <c r="NV171" i="2"/>
  <c r="NU172" i="2"/>
  <c r="NV172" i="2"/>
  <c r="NU173" i="2"/>
  <c r="NV173" i="2"/>
  <c r="NU174" i="2"/>
  <c r="NV174" i="2"/>
  <c r="NU175" i="2"/>
  <c r="NV175" i="2"/>
  <c r="NU176" i="2"/>
  <c r="NV176" i="2"/>
  <c r="NU177" i="2"/>
  <c r="NV177" i="2"/>
  <c r="NU178" i="2"/>
  <c r="NV178" i="2"/>
  <c r="NU179" i="2"/>
  <c r="NV179" i="2"/>
  <c r="NU180" i="2"/>
  <c r="NV180" i="2"/>
  <c r="NU181" i="2"/>
  <c r="NV181" i="2"/>
  <c r="NU182" i="2"/>
  <c r="NV182" i="2"/>
  <c r="NU183" i="2"/>
  <c r="NV183" i="2"/>
  <c r="NU184" i="2"/>
  <c r="NV184" i="2"/>
  <c r="NU185" i="2"/>
  <c r="NV185" i="2"/>
  <c r="NU186" i="2"/>
  <c r="NV186" i="2"/>
  <c r="NU187" i="2"/>
  <c r="NV187" i="2"/>
  <c r="NU188" i="2"/>
  <c r="NV188" i="2"/>
  <c r="NU189" i="2"/>
  <c r="NV189" i="2"/>
  <c r="NU190" i="2"/>
  <c r="NV190" i="2"/>
  <c r="NU191" i="2"/>
  <c r="NV191" i="2"/>
  <c r="NU192" i="2"/>
  <c r="NV192" i="2"/>
  <c r="NU193" i="2"/>
  <c r="NV193" i="2"/>
  <c r="NU194" i="2"/>
  <c r="NV194" i="2"/>
  <c r="NU195" i="2"/>
  <c r="NV195" i="2"/>
  <c r="NU196" i="2"/>
  <c r="NV196" i="2"/>
  <c r="NU197" i="2"/>
  <c r="NV197" i="2"/>
  <c r="NU198" i="2"/>
  <c r="NV198" i="2"/>
  <c r="NU199" i="2"/>
  <c r="NV199" i="2"/>
  <c r="NU200" i="2"/>
  <c r="NV200" i="2"/>
  <c r="NU201" i="2"/>
  <c r="NV201" i="2"/>
  <c r="NU202" i="2"/>
  <c r="NV202" i="2"/>
  <c r="NU204" i="2"/>
  <c r="NV204" i="2"/>
  <c r="NU205" i="2"/>
  <c r="NV205" i="2"/>
  <c r="NU206" i="2"/>
  <c r="NV206" i="2"/>
  <c r="NU207" i="2"/>
  <c r="NV207" i="2"/>
  <c r="NU208" i="2"/>
  <c r="NV208" i="2"/>
  <c r="NU209" i="2"/>
  <c r="NV209" i="2"/>
  <c r="NU210" i="2"/>
  <c r="NV210" i="2"/>
  <c r="NU211" i="2"/>
  <c r="NV211" i="2"/>
  <c r="NU212" i="2"/>
  <c r="NV212" i="2"/>
  <c r="NU213" i="2"/>
  <c r="NV213" i="2"/>
  <c r="NU214" i="2"/>
  <c r="NV214" i="2"/>
  <c r="NU215" i="2"/>
  <c r="NV215" i="2"/>
  <c r="NU216" i="2"/>
  <c r="NV216" i="2"/>
  <c r="NU217" i="2"/>
  <c r="NV217" i="2"/>
  <c r="NU218" i="2"/>
  <c r="NV218" i="2"/>
  <c r="NU219" i="2"/>
  <c r="NV219" i="2"/>
  <c r="NU220" i="2"/>
  <c r="NV220" i="2"/>
  <c r="NU221" i="2"/>
  <c r="NV221" i="2"/>
  <c r="NU222" i="2"/>
  <c r="NV222" i="2"/>
  <c r="NU223" i="2"/>
  <c r="NV223" i="2"/>
  <c r="NU224" i="2"/>
  <c r="NV224" i="2"/>
  <c r="NU225" i="2"/>
  <c r="NV225" i="2"/>
  <c r="NU226" i="2"/>
  <c r="NV226" i="2"/>
  <c r="NU227" i="2"/>
  <c r="NV227" i="2"/>
  <c r="NU228" i="2"/>
  <c r="NV228" i="2"/>
  <c r="NU229" i="2"/>
  <c r="NV229" i="2"/>
  <c r="NU230" i="2"/>
  <c r="NV230" i="2"/>
  <c r="NU231" i="2"/>
  <c r="NV231" i="2"/>
  <c r="NU232" i="2"/>
  <c r="NV232" i="2"/>
  <c r="NU233" i="2"/>
  <c r="NV233" i="2"/>
  <c r="NU234" i="2"/>
  <c r="NV234" i="2"/>
  <c r="NU235" i="2"/>
  <c r="NV235" i="2"/>
  <c r="NU236" i="2"/>
  <c r="NV236" i="2"/>
  <c r="NU237" i="2"/>
  <c r="NV237" i="2"/>
  <c r="NU238" i="2"/>
  <c r="NV238" i="2"/>
  <c r="NU239" i="2"/>
  <c r="NV239" i="2"/>
  <c r="NU240" i="2"/>
  <c r="NV240" i="2"/>
  <c r="NU242" i="2"/>
  <c r="NV242" i="2"/>
  <c r="NU243" i="2"/>
  <c r="NV243" i="2"/>
  <c r="NU244" i="2"/>
  <c r="NV244" i="2"/>
  <c r="NU245" i="2"/>
  <c r="NV245" i="2"/>
  <c r="NU246" i="2"/>
  <c r="NV246" i="2"/>
  <c r="NU247" i="2"/>
  <c r="NV247" i="2"/>
  <c r="NU248" i="2"/>
  <c r="NV248" i="2"/>
  <c r="NU249" i="2"/>
  <c r="NV249" i="2"/>
  <c r="NU250" i="2"/>
  <c r="NV250" i="2"/>
  <c r="NU251" i="2"/>
  <c r="NV251" i="2"/>
  <c r="NU252" i="2"/>
  <c r="NV252" i="2"/>
  <c r="NU253" i="2"/>
  <c r="NV253" i="2"/>
  <c r="NU254" i="2"/>
  <c r="NV254" i="2"/>
  <c r="NU255" i="2"/>
  <c r="NV255" i="2"/>
  <c r="NU256" i="2"/>
  <c r="NV256" i="2"/>
  <c r="NU257" i="2"/>
  <c r="NV257" i="2"/>
  <c r="NU258" i="2"/>
  <c r="NV258" i="2"/>
  <c r="NU259" i="2"/>
  <c r="NV259" i="2"/>
  <c r="NU260" i="2"/>
  <c r="NV260" i="2"/>
  <c r="NU261" i="2"/>
  <c r="NV261" i="2"/>
  <c r="NU262" i="2"/>
  <c r="NV262" i="2"/>
  <c r="NU263" i="2"/>
  <c r="NV263" i="2"/>
  <c r="NU264" i="2"/>
  <c r="NV264" i="2"/>
  <c r="NU265" i="2"/>
  <c r="NV265" i="2"/>
  <c r="NU266" i="2"/>
  <c r="NV266" i="2"/>
  <c r="NU267" i="2"/>
  <c r="NV267" i="2"/>
  <c r="NU268" i="2"/>
  <c r="NV268" i="2"/>
  <c r="NU269" i="2"/>
  <c r="NV269" i="2"/>
  <c r="NU270" i="2"/>
  <c r="NV270" i="2"/>
  <c r="NU271" i="2"/>
  <c r="NV271" i="2"/>
  <c r="NU272" i="2"/>
  <c r="NV272" i="2"/>
  <c r="NU273" i="2"/>
  <c r="NV273" i="2"/>
  <c r="NU274" i="2"/>
  <c r="NV274" i="2"/>
  <c r="NU275" i="2"/>
  <c r="NV275" i="2"/>
  <c r="NU276" i="2"/>
  <c r="NV276" i="2"/>
  <c r="NU277" i="2"/>
  <c r="NV277" i="2"/>
  <c r="NU278" i="2"/>
  <c r="NV278" i="2"/>
  <c r="NU280" i="2"/>
  <c r="NV280" i="2"/>
  <c r="NU281" i="2"/>
  <c r="NV281" i="2"/>
  <c r="NU282" i="2"/>
  <c r="NV282" i="2"/>
  <c r="NU283" i="2"/>
  <c r="NV283" i="2"/>
  <c r="NU284" i="2"/>
  <c r="NV284" i="2"/>
  <c r="NU285" i="2"/>
  <c r="NV285" i="2"/>
  <c r="NU286" i="2"/>
  <c r="NV286" i="2"/>
  <c r="NU287" i="2"/>
  <c r="NV287" i="2"/>
  <c r="NU288" i="2"/>
  <c r="NV288" i="2"/>
  <c r="NU289" i="2"/>
  <c r="NV289" i="2"/>
  <c r="NU290" i="2"/>
  <c r="NV290" i="2"/>
  <c r="NU291" i="2"/>
  <c r="NV291" i="2"/>
  <c r="NU292" i="2"/>
  <c r="NV292" i="2"/>
  <c r="NU293" i="2"/>
  <c r="NV293" i="2"/>
  <c r="NU294" i="2"/>
  <c r="NV294" i="2"/>
  <c r="NU295" i="2"/>
  <c r="NV295" i="2"/>
  <c r="NU296" i="2"/>
  <c r="NV296" i="2"/>
  <c r="NU297" i="2"/>
  <c r="NV297" i="2"/>
  <c r="NU298" i="2"/>
  <c r="NV298" i="2"/>
  <c r="NU299" i="2"/>
  <c r="NV299" i="2"/>
  <c r="NU300" i="2"/>
  <c r="NV300" i="2"/>
  <c r="NU301" i="2"/>
  <c r="NV301" i="2"/>
  <c r="NU302" i="2"/>
  <c r="NV302" i="2"/>
  <c r="NU303" i="2"/>
  <c r="NV303" i="2"/>
  <c r="NU304" i="2"/>
  <c r="NV304" i="2"/>
  <c r="NU305" i="2"/>
  <c r="NV305" i="2"/>
  <c r="NU306" i="2"/>
  <c r="NV306" i="2"/>
  <c r="NU307" i="2"/>
  <c r="NV307" i="2"/>
  <c r="NU308" i="2"/>
  <c r="NV308" i="2"/>
  <c r="NU309" i="2"/>
  <c r="NV309" i="2"/>
  <c r="NU310" i="2"/>
  <c r="NV310" i="2"/>
  <c r="NU311" i="2"/>
  <c r="NV311" i="2"/>
  <c r="NU312" i="2"/>
  <c r="NV312" i="2"/>
  <c r="NU313" i="2"/>
  <c r="NV313" i="2"/>
  <c r="NU314" i="2"/>
  <c r="NV314" i="2"/>
  <c r="NU315" i="2"/>
  <c r="NV315" i="2"/>
  <c r="NU316" i="2"/>
  <c r="NV316" i="2"/>
  <c r="NU318" i="2"/>
  <c r="NV318" i="2"/>
  <c r="NU319" i="2"/>
  <c r="NV319" i="2"/>
  <c r="NU320" i="2"/>
  <c r="NV320" i="2"/>
  <c r="NU321" i="2"/>
  <c r="NV321" i="2"/>
  <c r="NU322" i="2"/>
  <c r="NV322" i="2"/>
  <c r="NU323" i="2"/>
  <c r="NV323" i="2"/>
  <c r="NU324" i="2"/>
  <c r="NV324" i="2"/>
  <c r="NU325" i="2"/>
  <c r="NV325" i="2"/>
  <c r="NU326" i="2"/>
  <c r="NV326" i="2"/>
  <c r="NU327" i="2"/>
  <c r="NV327" i="2"/>
  <c r="NU328" i="2"/>
  <c r="NV328" i="2"/>
  <c r="NU329" i="2"/>
  <c r="NV329" i="2"/>
  <c r="NU330" i="2"/>
  <c r="NV330" i="2"/>
  <c r="NU331" i="2"/>
  <c r="NV331" i="2"/>
  <c r="NU332" i="2"/>
  <c r="NV332" i="2"/>
  <c r="NU333" i="2"/>
  <c r="NV333" i="2"/>
  <c r="NU334" i="2"/>
  <c r="NV334" i="2"/>
  <c r="NU335" i="2"/>
  <c r="NV335" i="2"/>
  <c r="NU336" i="2"/>
  <c r="NV336" i="2"/>
  <c r="NU337" i="2"/>
  <c r="NV337" i="2"/>
  <c r="NU338" i="2"/>
  <c r="NV338" i="2"/>
  <c r="NU339" i="2"/>
  <c r="NV339" i="2"/>
  <c r="NU340" i="2"/>
  <c r="NV340" i="2"/>
  <c r="NU341" i="2"/>
  <c r="NV341" i="2"/>
  <c r="NU342" i="2"/>
  <c r="NV342" i="2"/>
  <c r="NU343" i="2"/>
  <c r="NV343" i="2"/>
  <c r="NU344" i="2"/>
  <c r="NV344" i="2"/>
  <c r="NU345" i="2"/>
  <c r="NV345" i="2"/>
  <c r="NU346" i="2"/>
  <c r="NV346" i="2"/>
  <c r="NU347" i="2"/>
  <c r="NV347" i="2"/>
  <c r="NU348" i="2"/>
  <c r="NV348" i="2"/>
  <c r="NU349" i="2"/>
  <c r="NV349" i="2"/>
  <c r="NU350" i="2"/>
  <c r="NV350" i="2"/>
  <c r="NU351" i="2"/>
  <c r="NV351" i="2"/>
  <c r="NU352" i="2"/>
  <c r="NV352" i="2"/>
  <c r="NU353" i="2"/>
  <c r="NV353" i="2"/>
  <c r="NU354" i="2"/>
  <c r="NV354" i="2"/>
  <c r="NU356" i="2"/>
  <c r="NV356" i="2"/>
  <c r="NU357" i="2"/>
  <c r="NV357" i="2"/>
  <c r="NU358" i="2"/>
  <c r="NV358" i="2"/>
  <c r="NU359" i="2"/>
  <c r="NV359" i="2"/>
  <c r="NU360" i="2"/>
  <c r="NV360" i="2"/>
  <c r="NU361" i="2"/>
  <c r="NV361" i="2"/>
  <c r="NU362" i="2"/>
  <c r="NV362" i="2"/>
  <c r="NU363" i="2"/>
  <c r="NV363" i="2"/>
  <c r="NU364" i="2"/>
  <c r="NV364" i="2"/>
  <c r="NU365" i="2"/>
  <c r="NV365" i="2"/>
  <c r="NU366" i="2"/>
  <c r="NV366" i="2"/>
  <c r="NU367" i="2"/>
  <c r="NV367" i="2"/>
  <c r="NU368" i="2"/>
  <c r="NV368" i="2"/>
  <c r="NU369" i="2"/>
  <c r="NV369" i="2"/>
  <c r="NU370" i="2"/>
  <c r="NV370" i="2"/>
  <c r="NU371" i="2"/>
  <c r="NV371" i="2"/>
  <c r="NU372" i="2"/>
  <c r="NV372" i="2"/>
  <c r="NU373" i="2"/>
  <c r="NV373" i="2"/>
  <c r="NU374" i="2"/>
  <c r="NV374" i="2"/>
  <c r="NU375" i="2"/>
  <c r="NV375" i="2"/>
  <c r="NU376" i="2"/>
  <c r="NV376" i="2"/>
  <c r="NU377" i="2"/>
  <c r="NV377" i="2"/>
  <c r="NU378" i="2"/>
  <c r="NV378" i="2"/>
  <c r="NU379" i="2"/>
  <c r="NV379" i="2"/>
  <c r="NU380" i="2"/>
  <c r="NV380" i="2"/>
  <c r="NU381" i="2"/>
  <c r="NV381" i="2"/>
  <c r="NU382" i="2"/>
  <c r="NV382" i="2"/>
  <c r="NU383" i="2"/>
  <c r="NV383" i="2"/>
  <c r="NU384" i="2"/>
  <c r="NV384" i="2"/>
  <c r="NU385" i="2"/>
  <c r="NV385" i="2"/>
  <c r="NU386" i="2"/>
  <c r="NV386" i="2"/>
  <c r="NU387" i="2"/>
  <c r="NV387" i="2"/>
  <c r="NU388" i="2"/>
  <c r="NV388" i="2"/>
  <c r="NU389" i="2"/>
  <c r="NV389" i="2"/>
  <c r="NU390" i="2"/>
  <c r="NV390" i="2"/>
  <c r="NU391" i="2"/>
  <c r="NV391" i="2"/>
  <c r="NU392" i="2"/>
  <c r="NV392" i="2"/>
  <c r="NU394" i="2"/>
  <c r="NV394" i="2"/>
  <c r="NU395" i="2"/>
  <c r="NV395" i="2"/>
  <c r="NU396" i="2"/>
  <c r="NV396" i="2"/>
  <c r="NU397" i="2"/>
  <c r="NV397" i="2"/>
  <c r="NU398" i="2"/>
  <c r="NV398" i="2"/>
  <c r="NU399" i="2"/>
  <c r="NV399" i="2"/>
  <c r="NU400" i="2"/>
  <c r="NV400" i="2"/>
  <c r="NU401" i="2"/>
  <c r="NV401" i="2"/>
  <c r="NU402" i="2"/>
  <c r="NV402" i="2"/>
  <c r="NU403" i="2"/>
  <c r="NV403" i="2"/>
  <c r="NU404" i="2"/>
  <c r="NV404" i="2"/>
  <c r="NU405" i="2"/>
  <c r="NV405" i="2"/>
  <c r="NU406" i="2"/>
  <c r="NV406" i="2"/>
  <c r="NU407" i="2"/>
  <c r="NV407" i="2"/>
  <c r="NU408" i="2"/>
  <c r="NV408" i="2"/>
  <c r="NU409" i="2"/>
  <c r="NV409" i="2"/>
  <c r="NU410" i="2"/>
  <c r="NV410" i="2"/>
  <c r="NU411" i="2"/>
  <c r="NV411" i="2"/>
  <c r="NU412" i="2"/>
  <c r="NV412" i="2"/>
  <c r="NU413" i="2"/>
  <c r="NV413" i="2"/>
  <c r="NU414" i="2"/>
  <c r="NV414" i="2"/>
  <c r="NU415" i="2"/>
  <c r="NV415" i="2"/>
  <c r="NU416" i="2"/>
  <c r="NV416" i="2"/>
  <c r="NU417" i="2"/>
  <c r="NV417" i="2"/>
  <c r="NU418" i="2"/>
  <c r="NV418" i="2"/>
  <c r="NU419" i="2"/>
  <c r="NV419" i="2"/>
  <c r="NU420" i="2"/>
  <c r="NV420" i="2"/>
  <c r="NU421" i="2"/>
  <c r="NV421" i="2"/>
  <c r="NU422" i="2"/>
  <c r="NV422" i="2"/>
  <c r="NU423" i="2"/>
  <c r="NV423" i="2"/>
  <c r="NU424" i="2"/>
  <c r="NV424" i="2"/>
  <c r="NU425" i="2"/>
  <c r="NV425" i="2"/>
  <c r="NU426" i="2"/>
  <c r="NV426" i="2"/>
  <c r="NU427" i="2"/>
  <c r="NV427" i="2"/>
  <c r="NU428" i="2"/>
  <c r="NV428" i="2"/>
  <c r="NU429" i="2"/>
  <c r="NV429" i="2"/>
  <c r="NU430" i="2"/>
  <c r="NV430" i="2"/>
  <c r="NU432" i="2"/>
  <c r="NV432" i="2"/>
  <c r="NU433" i="2"/>
  <c r="NV433" i="2"/>
  <c r="NU434" i="2"/>
  <c r="NV434" i="2"/>
  <c r="NU435" i="2"/>
  <c r="NV435" i="2"/>
  <c r="NU436" i="2"/>
  <c r="NV436" i="2"/>
  <c r="NU437" i="2"/>
  <c r="NV437" i="2"/>
  <c r="NU438" i="2"/>
  <c r="NV438" i="2"/>
  <c r="NU439" i="2"/>
  <c r="NV439" i="2"/>
  <c r="NU440" i="2"/>
  <c r="NV440" i="2"/>
  <c r="NU441" i="2"/>
  <c r="NV441" i="2"/>
  <c r="NU442" i="2"/>
  <c r="NV442" i="2"/>
  <c r="NU443" i="2"/>
  <c r="NV443" i="2"/>
  <c r="NU444" i="2"/>
  <c r="NV444" i="2"/>
  <c r="NU445" i="2"/>
  <c r="NV445" i="2"/>
  <c r="NU446" i="2"/>
  <c r="NV446" i="2"/>
  <c r="NU447" i="2"/>
  <c r="NV447" i="2"/>
  <c r="NU448" i="2"/>
  <c r="NV448" i="2"/>
  <c r="NU449" i="2"/>
  <c r="NV449" i="2"/>
  <c r="NU450" i="2"/>
  <c r="NV450" i="2"/>
  <c r="NU451" i="2"/>
  <c r="NV451" i="2"/>
  <c r="NU452" i="2"/>
  <c r="NV452" i="2"/>
  <c r="NU453" i="2"/>
  <c r="NV453" i="2"/>
  <c r="NU454" i="2"/>
  <c r="NV454" i="2"/>
  <c r="NU455" i="2"/>
  <c r="NV455" i="2"/>
  <c r="NU456" i="2"/>
  <c r="NV456" i="2"/>
  <c r="NU457" i="2"/>
  <c r="NV457" i="2"/>
  <c r="NU458" i="2"/>
  <c r="NV458" i="2"/>
  <c r="NU459" i="2"/>
  <c r="NV459" i="2"/>
  <c r="NU460" i="2"/>
  <c r="NV460" i="2"/>
  <c r="NU461" i="2"/>
  <c r="NV461" i="2"/>
  <c r="NU462" i="2"/>
  <c r="NV462" i="2"/>
  <c r="NU463" i="2"/>
  <c r="NV463" i="2"/>
  <c r="NU464" i="2"/>
  <c r="NV464" i="2"/>
  <c r="NU465" i="2"/>
  <c r="NV465" i="2"/>
  <c r="NU466" i="2"/>
  <c r="NV466" i="2"/>
  <c r="NU467" i="2"/>
  <c r="NV467" i="2"/>
  <c r="NU468" i="2"/>
  <c r="NV468" i="2"/>
  <c r="NV15" i="2"/>
  <c r="NV16" i="2"/>
  <c r="NV17" i="2"/>
  <c r="NV18" i="2"/>
  <c r="NV19" i="2"/>
  <c r="NV20" i="2"/>
  <c r="NV21" i="2"/>
  <c r="NV22" i="2"/>
  <c r="NV23" i="2"/>
  <c r="NV24" i="2"/>
  <c r="NV25" i="2"/>
  <c r="NV26" i="2"/>
  <c r="NV27" i="2"/>
  <c r="NV28" i="2"/>
  <c r="NV29" i="2"/>
  <c r="NV30" i="2"/>
  <c r="NV31" i="2"/>
  <c r="NV32" i="2"/>
  <c r="NV33" i="2"/>
  <c r="NV34" i="2"/>
  <c r="NV35" i="2"/>
  <c r="NV36" i="2"/>
  <c r="NV37" i="2"/>
  <c r="NV38" i="2"/>
  <c r="NV39" i="2"/>
  <c r="NV40" i="2"/>
  <c r="NV41" i="2"/>
  <c r="NV42" i="2"/>
  <c r="NV43" i="2"/>
  <c r="NV44" i="2"/>
  <c r="NV45" i="2"/>
  <c r="NV46" i="2"/>
  <c r="NV47" i="2"/>
  <c r="NV48" i="2"/>
  <c r="NV49" i="2"/>
  <c r="NV50" i="2"/>
  <c r="NV14" i="2"/>
  <c r="NU14" i="2"/>
  <c r="NE52" i="2"/>
  <c r="NF52" i="2"/>
  <c r="NE53" i="2"/>
  <c r="NF53" i="2"/>
  <c r="NE54" i="2"/>
  <c r="NF54" i="2"/>
  <c r="NE55" i="2"/>
  <c r="NF55" i="2"/>
  <c r="NE56" i="2"/>
  <c r="NF56" i="2"/>
  <c r="NE57" i="2"/>
  <c r="NF57" i="2"/>
  <c r="NE58" i="2"/>
  <c r="NF58" i="2"/>
  <c r="NE59" i="2"/>
  <c r="NF59" i="2"/>
  <c r="NE60" i="2"/>
  <c r="NF60" i="2"/>
  <c r="NE61" i="2"/>
  <c r="NF61" i="2"/>
  <c r="NE62" i="2"/>
  <c r="NF62" i="2"/>
  <c r="NE63" i="2"/>
  <c r="NF63" i="2"/>
  <c r="NE64" i="2"/>
  <c r="NF64" i="2"/>
  <c r="NE65" i="2"/>
  <c r="NF65" i="2"/>
  <c r="NE66" i="2"/>
  <c r="NF66" i="2"/>
  <c r="NE67" i="2"/>
  <c r="NF67" i="2"/>
  <c r="NE68" i="2"/>
  <c r="NF68" i="2"/>
  <c r="NE69" i="2"/>
  <c r="NF69" i="2"/>
  <c r="NE70" i="2"/>
  <c r="NF70" i="2"/>
  <c r="NE71" i="2"/>
  <c r="NF71" i="2"/>
  <c r="NE72" i="2"/>
  <c r="NF72" i="2"/>
  <c r="NE73" i="2"/>
  <c r="NF73" i="2"/>
  <c r="NE74" i="2"/>
  <c r="NF74" i="2"/>
  <c r="NE75" i="2"/>
  <c r="NF75" i="2"/>
  <c r="NE76" i="2"/>
  <c r="NF76" i="2"/>
  <c r="NE77" i="2"/>
  <c r="NF77" i="2"/>
  <c r="NE78" i="2"/>
  <c r="NF78" i="2"/>
  <c r="NE79" i="2"/>
  <c r="NF79" i="2"/>
  <c r="NE80" i="2"/>
  <c r="NF80" i="2"/>
  <c r="NE81" i="2"/>
  <c r="NF81" i="2"/>
  <c r="NE82" i="2"/>
  <c r="NF82" i="2"/>
  <c r="NE83" i="2"/>
  <c r="NF83" i="2"/>
  <c r="NE84" i="2"/>
  <c r="NF84" i="2"/>
  <c r="NE85" i="2"/>
  <c r="NF85" i="2"/>
  <c r="NE86" i="2"/>
  <c r="NF86" i="2"/>
  <c r="NE87" i="2"/>
  <c r="NF87" i="2"/>
  <c r="NE88" i="2"/>
  <c r="NF88" i="2"/>
  <c r="NE90" i="2"/>
  <c r="NF90" i="2"/>
  <c r="NE91" i="2"/>
  <c r="NF91" i="2"/>
  <c r="NE92" i="2"/>
  <c r="NF92" i="2"/>
  <c r="NE93" i="2"/>
  <c r="NF93" i="2"/>
  <c r="NE94" i="2"/>
  <c r="NF94" i="2"/>
  <c r="NE95" i="2"/>
  <c r="NF95" i="2"/>
  <c r="NE96" i="2"/>
  <c r="NF96" i="2"/>
  <c r="NE97" i="2"/>
  <c r="NF97" i="2"/>
  <c r="NE98" i="2"/>
  <c r="NF98" i="2"/>
  <c r="NE99" i="2"/>
  <c r="NF99" i="2"/>
  <c r="NE100" i="2"/>
  <c r="NF100" i="2"/>
  <c r="NE101" i="2"/>
  <c r="NF101" i="2"/>
  <c r="NE102" i="2"/>
  <c r="NF102" i="2"/>
  <c r="NE103" i="2"/>
  <c r="NF103" i="2"/>
  <c r="NE104" i="2"/>
  <c r="NF104" i="2"/>
  <c r="NE105" i="2"/>
  <c r="NF105" i="2"/>
  <c r="NE106" i="2"/>
  <c r="NF106" i="2"/>
  <c r="NE107" i="2"/>
  <c r="NF107" i="2"/>
  <c r="NE108" i="2"/>
  <c r="NF108" i="2"/>
  <c r="NE109" i="2"/>
  <c r="NF109" i="2"/>
  <c r="NE110" i="2"/>
  <c r="NF110" i="2"/>
  <c r="NE111" i="2"/>
  <c r="NF111" i="2"/>
  <c r="NE112" i="2"/>
  <c r="NF112" i="2"/>
  <c r="NE113" i="2"/>
  <c r="NF113" i="2"/>
  <c r="NE114" i="2"/>
  <c r="NF114" i="2"/>
  <c r="NE115" i="2"/>
  <c r="NF115" i="2"/>
  <c r="NE116" i="2"/>
  <c r="NF116" i="2"/>
  <c r="NE117" i="2"/>
  <c r="NF117" i="2"/>
  <c r="NE118" i="2"/>
  <c r="NF118" i="2"/>
  <c r="NE119" i="2"/>
  <c r="NF119" i="2"/>
  <c r="NE120" i="2"/>
  <c r="NF120" i="2"/>
  <c r="NE121" i="2"/>
  <c r="NF121" i="2"/>
  <c r="NE122" i="2"/>
  <c r="NF122" i="2"/>
  <c r="NE123" i="2"/>
  <c r="NF123" i="2"/>
  <c r="NE124" i="2"/>
  <c r="NF124" i="2"/>
  <c r="NE125" i="2"/>
  <c r="NF125" i="2"/>
  <c r="NE126" i="2"/>
  <c r="NF126" i="2"/>
  <c r="NE128" i="2"/>
  <c r="NF128" i="2"/>
  <c r="NE129" i="2"/>
  <c r="NF129" i="2"/>
  <c r="NE130" i="2"/>
  <c r="NF130" i="2"/>
  <c r="NE131" i="2"/>
  <c r="NF131" i="2"/>
  <c r="NE132" i="2"/>
  <c r="NF132" i="2"/>
  <c r="NE133" i="2"/>
  <c r="NF133" i="2"/>
  <c r="NE134" i="2"/>
  <c r="NF134" i="2"/>
  <c r="NE135" i="2"/>
  <c r="NF135" i="2"/>
  <c r="NE136" i="2"/>
  <c r="NF136" i="2"/>
  <c r="NE137" i="2"/>
  <c r="NF137" i="2"/>
  <c r="NE138" i="2"/>
  <c r="NF138" i="2"/>
  <c r="NE139" i="2"/>
  <c r="NF139" i="2"/>
  <c r="NE140" i="2"/>
  <c r="NF140" i="2"/>
  <c r="NE141" i="2"/>
  <c r="NF141" i="2"/>
  <c r="NE142" i="2"/>
  <c r="NF142" i="2"/>
  <c r="NE143" i="2"/>
  <c r="NF143" i="2"/>
  <c r="NE144" i="2"/>
  <c r="NF144" i="2"/>
  <c r="NE145" i="2"/>
  <c r="NF145" i="2"/>
  <c r="NE146" i="2"/>
  <c r="NF146" i="2"/>
  <c r="NE147" i="2"/>
  <c r="NF147" i="2"/>
  <c r="NE148" i="2"/>
  <c r="NF148" i="2"/>
  <c r="NE149" i="2"/>
  <c r="NF149" i="2"/>
  <c r="NE150" i="2"/>
  <c r="NF150" i="2"/>
  <c r="NE151" i="2"/>
  <c r="NF151" i="2"/>
  <c r="NE152" i="2"/>
  <c r="NF152" i="2"/>
  <c r="NE153" i="2"/>
  <c r="NF153" i="2"/>
  <c r="NE154" i="2"/>
  <c r="NF154" i="2"/>
  <c r="NE155" i="2"/>
  <c r="NF155" i="2"/>
  <c r="NE156" i="2"/>
  <c r="NF156" i="2"/>
  <c r="NE157" i="2"/>
  <c r="NF157" i="2"/>
  <c r="NE158" i="2"/>
  <c r="NF158" i="2"/>
  <c r="NE159" i="2"/>
  <c r="NF159" i="2"/>
  <c r="NE160" i="2"/>
  <c r="NF160" i="2"/>
  <c r="NE161" i="2"/>
  <c r="NF161" i="2"/>
  <c r="NE162" i="2"/>
  <c r="NF162" i="2"/>
  <c r="NE163" i="2"/>
  <c r="NF163" i="2"/>
  <c r="NE164" i="2"/>
  <c r="NF164" i="2"/>
  <c r="NE166" i="2"/>
  <c r="NF166" i="2"/>
  <c r="NE167" i="2"/>
  <c r="NF167" i="2"/>
  <c r="NE168" i="2"/>
  <c r="NF168" i="2"/>
  <c r="NE169" i="2"/>
  <c r="NF169" i="2"/>
  <c r="NE170" i="2"/>
  <c r="NF170" i="2"/>
  <c r="NE171" i="2"/>
  <c r="NF171" i="2"/>
  <c r="NE172" i="2"/>
  <c r="NF172" i="2"/>
  <c r="NE173" i="2"/>
  <c r="NF173" i="2"/>
  <c r="NE174" i="2"/>
  <c r="NF174" i="2"/>
  <c r="NE175" i="2"/>
  <c r="NF175" i="2"/>
  <c r="NE176" i="2"/>
  <c r="NF176" i="2"/>
  <c r="NE177" i="2"/>
  <c r="NF177" i="2"/>
  <c r="NE178" i="2"/>
  <c r="NF178" i="2"/>
  <c r="NE179" i="2"/>
  <c r="NF179" i="2"/>
  <c r="NE180" i="2"/>
  <c r="NF180" i="2"/>
  <c r="NE181" i="2"/>
  <c r="NF181" i="2"/>
  <c r="NE182" i="2"/>
  <c r="NF182" i="2"/>
  <c r="NE183" i="2"/>
  <c r="NF183" i="2"/>
  <c r="NE184" i="2"/>
  <c r="NF184" i="2"/>
  <c r="NE185" i="2"/>
  <c r="NF185" i="2"/>
  <c r="NE186" i="2"/>
  <c r="NF186" i="2"/>
  <c r="NE187" i="2"/>
  <c r="NF187" i="2"/>
  <c r="NE188" i="2"/>
  <c r="NF188" i="2"/>
  <c r="NE189" i="2"/>
  <c r="NF189" i="2"/>
  <c r="NE190" i="2"/>
  <c r="NF190" i="2"/>
  <c r="NE191" i="2"/>
  <c r="NF191" i="2"/>
  <c r="NE192" i="2"/>
  <c r="NF192" i="2"/>
  <c r="NE193" i="2"/>
  <c r="NF193" i="2"/>
  <c r="NE194" i="2"/>
  <c r="NF194" i="2"/>
  <c r="NE195" i="2"/>
  <c r="NF195" i="2"/>
  <c r="NE196" i="2"/>
  <c r="NF196" i="2"/>
  <c r="NE197" i="2"/>
  <c r="NF197" i="2"/>
  <c r="NE198" i="2"/>
  <c r="NF198" i="2"/>
  <c r="NE199" i="2"/>
  <c r="NF199" i="2"/>
  <c r="NE200" i="2"/>
  <c r="NF200" i="2"/>
  <c r="NE201" i="2"/>
  <c r="NF201" i="2"/>
  <c r="NE202" i="2"/>
  <c r="NF202" i="2"/>
  <c r="NE204" i="2"/>
  <c r="NF204" i="2"/>
  <c r="NE205" i="2"/>
  <c r="NF205" i="2"/>
  <c r="NE206" i="2"/>
  <c r="NF206" i="2"/>
  <c r="NE207" i="2"/>
  <c r="NF207" i="2"/>
  <c r="NE208" i="2"/>
  <c r="NF208" i="2"/>
  <c r="NE209" i="2"/>
  <c r="NF209" i="2"/>
  <c r="NE210" i="2"/>
  <c r="NF210" i="2"/>
  <c r="NE211" i="2"/>
  <c r="NF211" i="2"/>
  <c r="NE212" i="2"/>
  <c r="NF212" i="2"/>
  <c r="NE213" i="2"/>
  <c r="NF213" i="2"/>
  <c r="NE214" i="2"/>
  <c r="NF214" i="2"/>
  <c r="NE215" i="2"/>
  <c r="NF215" i="2"/>
  <c r="NE216" i="2"/>
  <c r="NF216" i="2"/>
  <c r="NE217" i="2"/>
  <c r="NF217" i="2"/>
  <c r="NE218" i="2"/>
  <c r="NF218" i="2"/>
  <c r="NE219" i="2"/>
  <c r="NF219" i="2"/>
  <c r="NE220" i="2"/>
  <c r="NF220" i="2"/>
  <c r="NE221" i="2"/>
  <c r="NF221" i="2"/>
  <c r="NE222" i="2"/>
  <c r="NF222" i="2"/>
  <c r="NE223" i="2"/>
  <c r="NF223" i="2"/>
  <c r="NE224" i="2"/>
  <c r="NF224" i="2"/>
  <c r="NE225" i="2"/>
  <c r="NF225" i="2"/>
  <c r="NE226" i="2"/>
  <c r="NF226" i="2"/>
  <c r="NE227" i="2"/>
  <c r="NF227" i="2"/>
  <c r="NE228" i="2"/>
  <c r="NF228" i="2"/>
  <c r="NE229" i="2"/>
  <c r="NF229" i="2"/>
  <c r="NE230" i="2"/>
  <c r="NF230" i="2"/>
  <c r="NE231" i="2"/>
  <c r="NF231" i="2"/>
  <c r="NE232" i="2"/>
  <c r="NF232" i="2"/>
  <c r="NE233" i="2"/>
  <c r="NF233" i="2"/>
  <c r="NE234" i="2"/>
  <c r="NF234" i="2"/>
  <c r="NE235" i="2"/>
  <c r="NF235" i="2"/>
  <c r="NE236" i="2"/>
  <c r="NF236" i="2"/>
  <c r="NE237" i="2"/>
  <c r="NF237" i="2"/>
  <c r="NE238" i="2"/>
  <c r="NF238" i="2"/>
  <c r="NE239" i="2"/>
  <c r="NF239" i="2"/>
  <c r="NE240" i="2"/>
  <c r="NF240" i="2"/>
  <c r="NE242" i="2"/>
  <c r="NF242" i="2"/>
  <c r="NE243" i="2"/>
  <c r="NF243" i="2"/>
  <c r="NE244" i="2"/>
  <c r="NF244" i="2"/>
  <c r="NE245" i="2"/>
  <c r="NF245" i="2"/>
  <c r="NE246" i="2"/>
  <c r="NF246" i="2"/>
  <c r="NE247" i="2"/>
  <c r="NF247" i="2"/>
  <c r="NE248" i="2"/>
  <c r="NF248" i="2"/>
  <c r="NE249" i="2"/>
  <c r="NF249" i="2"/>
  <c r="NE250" i="2"/>
  <c r="NF250" i="2"/>
  <c r="NE251" i="2"/>
  <c r="NF251" i="2"/>
  <c r="NE252" i="2"/>
  <c r="NF252" i="2"/>
  <c r="NE253" i="2"/>
  <c r="NF253" i="2"/>
  <c r="NE254" i="2"/>
  <c r="NF254" i="2"/>
  <c r="NE255" i="2"/>
  <c r="NF255" i="2"/>
  <c r="NE256" i="2"/>
  <c r="NF256" i="2"/>
  <c r="NE257" i="2"/>
  <c r="NF257" i="2"/>
  <c r="NE258" i="2"/>
  <c r="NF258" i="2"/>
  <c r="NE259" i="2"/>
  <c r="NF259" i="2"/>
  <c r="NE260" i="2"/>
  <c r="NF260" i="2"/>
  <c r="NE261" i="2"/>
  <c r="NF261" i="2"/>
  <c r="NE262" i="2"/>
  <c r="NF262" i="2"/>
  <c r="NE263" i="2"/>
  <c r="NF263" i="2"/>
  <c r="NE264" i="2"/>
  <c r="NF264" i="2"/>
  <c r="NE265" i="2"/>
  <c r="NF265" i="2"/>
  <c r="NE266" i="2"/>
  <c r="NF266" i="2"/>
  <c r="NE267" i="2"/>
  <c r="NF267" i="2"/>
  <c r="NE268" i="2"/>
  <c r="NF268" i="2"/>
  <c r="NE269" i="2"/>
  <c r="NF269" i="2"/>
  <c r="NE270" i="2"/>
  <c r="NF270" i="2"/>
  <c r="NE271" i="2"/>
  <c r="NF271" i="2"/>
  <c r="NE272" i="2"/>
  <c r="NF272" i="2"/>
  <c r="NE273" i="2"/>
  <c r="NF273" i="2"/>
  <c r="NE274" i="2"/>
  <c r="NF274" i="2"/>
  <c r="NE275" i="2"/>
  <c r="NF275" i="2"/>
  <c r="NE276" i="2"/>
  <c r="NF276" i="2"/>
  <c r="NE277" i="2"/>
  <c r="NF277" i="2"/>
  <c r="NE278" i="2"/>
  <c r="NF278" i="2"/>
  <c r="NE280" i="2"/>
  <c r="NF280" i="2"/>
  <c r="NE281" i="2"/>
  <c r="NF281" i="2"/>
  <c r="NE282" i="2"/>
  <c r="NF282" i="2"/>
  <c r="NE283" i="2"/>
  <c r="NF283" i="2"/>
  <c r="NE284" i="2"/>
  <c r="NF284" i="2"/>
  <c r="NE285" i="2"/>
  <c r="NF285" i="2"/>
  <c r="NE286" i="2"/>
  <c r="NF286" i="2"/>
  <c r="NE287" i="2"/>
  <c r="NF287" i="2"/>
  <c r="NE288" i="2"/>
  <c r="NF288" i="2"/>
  <c r="NE289" i="2"/>
  <c r="NF289" i="2"/>
  <c r="NE290" i="2"/>
  <c r="NF290" i="2"/>
  <c r="NE291" i="2"/>
  <c r="NF291" i="2"/>
  <c r="NE292" i="2"/>
  <c r="NF292" i="2"/>
  <c r="NE293" i="2"/>
  <c r="NF293" i="2"/>
  <c r="NE294" i="2"/>
  <c r="NF294" i="2"/>
  <c r="NE295" i="2"/>
  <c r="NF295" i="2"/>
  <c r="NE296" i="2"/>
  <c r="NF296" i="2"/>
  <c r="NE297" i="2"/>
  <c r="NF297" i="2"/>
  <c r="NE298" i="2"/>
  <c r="NF298" i="2"/>
  <c r="NE299" i="2"/>
  <c r="NF299" i="2"/>
  <c r="NE300" i="2"/>
  <c r="NF300" i="2"/>
  <c r="NE301" i="2"/>
  <c r="NF301" i="2"/>
  <c r="NE302" i="2"/>
  <c r="NF302" i="2"/>
  <c r="NE303" i="2"/>
  <c r="NF303" i="2"/>
  <c r="NE304" i="2"/>
  <c r="NF304" i="2"/>
  <c r="NE305" i="2"/>
  <c r="NF305" i="2"/>
  <c r="NE306" i="2"/>
  <c r="NF306" i="2"/>
  <c r="NE307" i="2"/>
  <c r="NF307" i="2"/>
  <c r="NE308" i="2"/>
  <c r="NF308" i="2"/>
  <c r="NE309" i="2"/>
  <c r="NF309" i="2"/>
  <c r="NE310" i="2"/>
  <c r="NF310" i="2"/>
  <c r="NE311" i="2"/>
  <c r="NF311" i="2"/>
  <c r="NE312" i="2"/>
  <c r="NF312" i="2"/>
  <c r="NE313" i="2"/>
  <c r="NF313" i="2"/>
  <c r="NE314" i="2"/>
  <c r="NF314" i="2"/>
  <c r="NE315" i="2"/>
  <c r="NF315" i="2"/>
  <c r="NE316" i="2"/>
  <c r="NF316" i="2"/>
  <c r="NE318" i="2"/>
  <c r="NF318" i="2"/>
  <c r="NE319" i="2"/>
  <c r="NF319" i="2"/>
  <c r="NE320" i="2"/>
  <c r="NF320" i="2"/>
  <c r="NE321" i="2"/>
  <c r="NF321" i="2"/>
  <c r="NE322" i="2"/>
  <c r="NF322" i="2"/>
  <c r="NE323" i="2"/>
  <c r="NF323" i="2"/>
  <c r="NE324" i="2"/>
  <c r="NF324" i="2"/>
  <c r="NE325" i="2"/>
  <c r="NF325" i="2"/>
  <c r="NE326" i="2"/>
  <c r="NF326" i="2"/>
  <c r="NE327" i="2"/>
  <c r="NF327" i="2"/>
  <c r="NE328" i="2"/>
  <c r="NF328" i="2"/>
  <c r="NE329" i="2"/>
  <c r="NF329" i="2"/>
  <c r="NE330" i="2"/>
  <c r="NF330" i="2"/>
  <c r="NE331" i="2"/>
  <c r="NF331" i="2"/>
  <c r="NE332" i="2"/>
  <c r="NF332" i="2"/>
  <c r="NE333" i="2"/>
  <c r="NF333" i="2"/>
  <c r="NE334" i="2"/>
  <c r="NF334" i="2"/>
  <c r="NE335" i="2"/>
  <c r="NF335" i="2"/>
  <c r="NE336" i="2"/>
  <c r="NF336" i="2"/>
  <c r="NE337" i="2"/>
  <c r="NF337" i="2"/>
  <c r="NE338" i="2"/>
  <c r="NF338" i="2"/>
  <c r="NE339" i="2"/>
  <c r="NF339" i="2"/>
  <c r="NE340" i="2"/>
  <c r="NF340" i="2"/>
  <c r="NE341" i="2"/>
  <c r="NF341" i="2"/>
  <c r="NE342" i="2"/>
  <c r="NF342" i="2"/>
  <c r="NE343" i="2"/>
  <c r="NF343" i="2"/>
  <c r="NE344" i="2"/>
  <c r="NF344" i="2"/>
  <c r="NE345" i="2"/>
  <c r="NF345" i="2"/>
  <c r="NE346" i="2"/>
  <c r="NF346" i="2"/>
  <c r="NE347" i="2"/>
  <c r="NF347" i="2"/>
  <c r="NE348" i="2"/>
  <c r="NF348" i="2"/>
  <c r="NE349" i="2"/>
  <c r="NF349" i="2"/>
  <c r="NE350" i="2"/>
  <c r="NF350" i="2"/>
  <c r="NE351" i="2"/>
  <c r="NF351" i="2"/>
  <c r="NE352" i="2"/>
  <c r="NF352" i="2"/>
  <c r="NE353" i="2"/>
  <c r="NF353" i="2"/>
  <c r="NE354" i="2"/>
  <c r="NF354" i="2"/>
  <c r="NE356" i="2"/>
  <c r="NF356" i="2"/>
  <c r="NE357" i="2"/>
  <c r="NF357" i="2"/>
  <c r="NE358" i="2"/>
  <c r="NF358" i="2"/>
  <c r="NE359" i="2"/>
  <c r="NF359" i="2"/>
  <c r="NE360" i="2"/>
  <c r="NF360" i="2"/>
  <c r="NE361" i="2"/>
  <c r="NF361" i="2"/>
  <c r="NE362" i="2"/>
  <c r="NF362" i="2"/>
  <c r="NE363" i="2"/>
  <c r="NF363" i="2"/>
  <c r="NE364" i="2"/>
  <c r="NF364" i="2"/>
  <c r="NE365" i="2"/>
  <c r="NF365" i="2"/>
  <c r="NE366" i="2"/>
  <c r="NF366" i="2"/>
  <c r="NE367" i="2"/>
  <c r="NF367" i="2"/>
  <c r="NE368" i="2"/>
  <c r="NF368" i="2"/>
  <c r="NE369" i="2"/>
  <c r="NF369" i="2"/>
  <c r="NE370" i="2"/>
  <c r="NF370" i="2"/>
  <c r="NE371" i="2"/>
  <c r="NF371" i="2"/>
  <c r="NE372" i="2"/>
  <c r="NF372" i="2"/>
  <c r="NE373" i="2"/>
  <c r="NF373" i="2"/>
  <c r="NE374" i="2"/>
  <c r="NF374" i="2"/>
  <c r="NE375" i="2"/>
  <c r="NF375" i="2"/>
  <c r="NE376" i="2"/>
  <c r="NF376" i="2"/>
  <c r="NE377" i="2"/>
  <c r="NF377" i="2"/>
  <c r="NE378" i="2"/>
  <c r="NF378" i="2"/>
  <c r="NE379" i="2"/>
  <c r="NF379" i="2"/>
  <c r="NE380" i="2"/>
  <c r="NF380" i="2"/>
  <c r="NE381" i="2"/>
  <c r="NF381" i="2"/>
  <c r="NE382" i="2"/>
  <c r="NF382" i="2"/>
  <c r="NE383" i="2"/>
  <c r="NF383" i="2"/>
  <c r="NE384" i="2"/>
  <c r="NF384" i="2"/>
  <c r="NE385" i="2"/>
  <c r="NF385" i="2"/>
  <c r="NE386" i="2"/>
  <c r="NF386" i="2"/>
  <c r="NE387" i="2"/>
  <c r="NF387" i="2"/>
  <c r="NE388" i="2"/>
  <c r="NF388" i="2"/>
  <c r="NE389" i="2"/>
  <c r="NF389" i="2"/>
  <c r="NE390" i="2"/>
  <c r="NF390" i="2"/>
  <c r="NE391" i="2"/>
  <c r="NF391" i="2"/>
  <c r="NE392" i="2"/>
  <c r="NF392" i="2"/>
  <c r="NE394" i="2"/>
  <c r="NF394" i="2"/>
  <c r="NE395" i="2"/>
  <c r="NF395" i="2"/>
  <c r="NE396" i="2"/>
  <c r="NF396" i="2"/>
  <c r="NE397" i="2"/>
  <c r="NF397" i="2"/>
  <c r="NE398" i="2"/>
  <c r="NF398" i="2"/>
  <c r="NE399" i="2"/>
  <c r="NF399" i="2"/>
  <c r="NE400" i="2"/>
  <c r="NF400" i="2"/>
  <c r="NE401" i="2"/>
  <c r="NF401" i="2"/>
  <c r="NE402" i="2"/>
  <c r="NF402" i="2"/>
  <c r="NE403" i="2"/>
  <c r="NF403" i="2"/>
  <c r="NE404" i="2"/>
  <c r="NF404" i="2"/>
  <c r="NE405" i="2"/>
  <c r="NF405" i="2"/>
  <c r="NE406" i="2"/>
  <c r="NF406" i="2"/>
  <c r="NE407" i="2"/>
  <c r="NF407" i="2"/>
  <c r="NE408" i="2"/>
  <c r="NF408" i="2"/>
  <c r="NE409" i="2"/>
  <c r="NF409" i="2"/>
  <c r="NE410" i="2"/>
  <c r="NF410" i="2"/>
  <c r="NE411" i="2"/>
  <c r="NF411" i="2"/>
  <c r="NE412" i="2"/>
  <c r="NF412" i="2"/>
  <c r="NE413" i="2"/>
  <c r="NF413" i="2"/>
  <c r="NE414" i="2"/>
  <c r="NF414" i="2"/>
  <c r="NE415" i="2"/>
  <c r="NF415" i="2"/>
  <c r="NE416" i="2"/>
  <c r="NF416" i="2"/>
  <c r="NE417" i="2"/>
  <c r="NF417" i="2"/>
  <c r="NE418" i="2"/>
  <c r="NF418" i="2"/>
  <c r="NE419" i="2"/>
  <c r="NF419" i="2"/>
  <c r="NE420" i="2"/>
  <c r="NF420" i="2"/>
  <c r="NE421" i="2"/>
  <c r="NF421" i="2"/>
  <c r="NE422" i="2"/>
  <c r="NF422" i="2"/>
  <c r="NE423" i="2"/>
  <c r="NF423" i="2"/>
  <c r="NE424" i="2"/>
  <c r="NF424" i="2"/>
  <c r="NE425" i="2"/>
  <c r="NF425" i="2"/>
  <c r="NE426" i="2"/>
  <c r="NF426" i="2"/>
  <c r="NE427" i="2"/>
  <c r="NF427" i="2"/>
  <c r="NE428" i="2"/>
  <c r="NF428" i="2"/>
  <c r="NE429" i="2"/>
  <c r="NF429" i="2"/>
  <c r="NE430" i="2"/>
  <c r="NF430" i="2"/>
  <c r="NE432" i="2"/>
  <c r="NF432" i="2"/>
  <c r="NE433" i="2"/>
  <c r="NF433" i="2"/>
  <c r="NE434" i="2"/>
  <c r="NF434" i="2"/>
  <c r="NE435" i="2"/>
  <c r="NF435" i="2"/>
  <c r="NE436" i="2"/>
  <c r="NF436" i="2"/>
  <c r="NE437" i="2"/>
  <c r="NF437" i="2"/>
  <c r="NE438" i="2"/>
  <c r="NF438" i="2"/>
  <c r="NE439" i="2"/>
  <c r="NF439" i="2"/>
  <c r="NE440" i="2"/>
  <c r="NF440" i="2"/>
  <c r="NE441" i="2"/>
  <c r="NF441" i="2"/>
  <c r="NE442" i="2"/>
  <c r="NF442" i="2"/>
  <c r="NE443" i="2"/>
  <c r="NF443" i="2"/>
  <c r="NE444" i="2"/>
  <c r="NF444" i="2"/>
  <c r="NE445" i="2"/>
  <c r="NF445" i="2"/>
  <c r="NE446" i="2"/>
  <c r="NF446" i="2"/>
  <c r="NE447" i="2"/>
  <c r="NF447" i="2"/>
  <c r="NE448" i="2"/>
  <c r="NF448" i="2"/>
  <c r="NE449" i="2"/>
  <c r="NF449" i="2"/>
  <c r="NE450" i="2"/>
  <c r="NF450" i="2"/>
  <c r="NE451" i="2"/>
  <c r="NF451" i="2"/>
  <c r="NE452" i="2"/>
  <c r="NF452" i="2"/>
  <c r="NE453" i="2"/>
  <c r="NF453" i="2"/>
  <c r="NE454" i="2"/>
  <c r="NF454" i="2"/>
  <c r="NE455" i="2"/>
  <c r="NF455" i="2"/>
  <c r="NE456" i="2"/>
  <c r="NF456" i="2"/>
  <c r="NE457" i="2"/>
  <c r="NF457" i="2"/>
  <c r="NE458" i="2"/>
  <c r="NF458" i="2"/>
  <c r="NE459" i="2"/>
  <c r="NF459" i="2"/>
  <c r="NE460" i="2"/>
  <c r="NF460" i="2"/>
  <c r="NE461" i="2"/>
  <c r="NF461" i="2"/>
  <c r="NE462" i="2"/>
  <c r="NF462" i="2"/>
  <c r="NE463" i="2"/>
  <c r="NF463" i="2"/>
  <c r="NE464" i="2"/>
  <c r="NF464" i="2"/>
  <c r="NE465" i="2"/>
  <c r="NF465" i="2"/>
  <c r="NE466" i="2"/>
  <c r="NF466" i="2"/>
  <c r="NE467" i="2"/>
  <c r="NF467" i="2"/>
  <c r="NE468" i="2"/>
  <c r="NF468" i="2"/>
  <c r="NF15" i="2"/>
  <c r="NF16" i="2"/>
  <c r="NF17" i="2"/>
  <c r="NF18" i="2"/>
  <c r="NF19" i="2"/>
  <c r="NF20" i="2"/>
  <c r="NF21" i="2"/>
  <c r="NF22" i="2"/>
  <c r="NF23" i="2"/>
  <c r="NF24" i="2"/>
  <c r="NF25" i="2"/>
  <c r="NF26" i="2"/>
  <c r="NF27" i="2"/>
  <c r="NF28" i="2"/>
  <c r="NF29" i="2"/>
  <c r="NF30" i="2"/>
  <c r="NF31" i="2"/>
  <c r="NF32" i="2"/>
  <c r="NF33" i="2"/>
  <c r="NF34" i="2"/>
  <c r="NF35" i="2"/>
  <c r="NF36" i="2"/>
  <c r="NF37" i="2"/>
  <c r="NF38" i="2"/>
  <c r="NF39" i="2"/>
  <c r="NF40" i="2"/>
  <c r="NF41" i="2"/>
  <c r="NF42" i="2"/>
  <c r="NF43" i="2"/>
  <c r="NF44" i="2"/>
  <c r="NF45" i="2"/>
  <c r="NF46" i="2"/>
  <c r="NF47" i="2"/>
  <c r="NF48" i="2"/>
  <c r="NF49" i="2"/>
  <c r="NF50" i="2"/>
  <c r="NF14" i="2"/>
  <c r="NE14" i="2"/>
  <c r="MO52" i="2"/>
  <c r="MP52" i="2"/>
  <c r="MO53" i="2"/>
  <c r="MP53" i="2"/>
  <c r="MO54" i="2"/>
  <c r="MP54" i="2"/>
  <c r="MO55" i="2"/>
  <c r="MP55" i="2"/>
  <c r="MO56" i="2"/>
  <c r="MP56" i="2"/>
  <c r="MO57" i="2"/>
  <c r="MP57" i="2"/>
  <c r="MO58" i="2"/>
  <c r="MP58" i="2"/>
  <c r="MO59" i="2"/>
  <c r="MP59" i="2"/>
  <c r="MO60" i="2"/>
  <c r="MP60" i="2"/>
  <c r="MO61" i="2"/>
  <c r="MP61" i="2"/>
  <c r="MO62" i="2"/>
  <c r="MP62" i="2"/>
  <c r="MO63" i="2"/>
  <c r="MP63" i="2"/>
  <c r="MO64" i="2"/>
  <c r="MP64" i="2"/>
  <c r="MO65" i="2"/>
  <c r="MP65" i="2"/>
  <c r="MO66" i="2"/>
  <c r="MP66" i="2"/>
  <c r="MO67" i="2"/>
  <c r="MP67" i="2"/>
  <c r="MO68" i="2"/>
  <c r="MP68" i="2"/>
  <c r="MO69" i="2"/>
  <c r="MP69" i="2"/>
  <c r="MO70" i="2"/>
  <c r="MP70" i="2"/>
  <c r="MO71" i="2"/>
  <c r="MP71" i="2"/>
  <c r="MO72" i="2"/>
  <c r="MP72" i="2"/>
  <c r="MO73" i="2"/>
  <c r="MP73" i="2"/>
  <c r="MO74" i="2"/>
  <c r="MP74" i="2"/>
  <c r="MO75" i="2"/>
  <c r="MP75" i="2"/>
  <c r="MO76" i="2"/>
  <c r="MP76" i="2"/>
  <c r="MO77" i="2"/>
  <c r="MP77" i="2"/>
  <c r="MO78" i="2"/>
  <c r="MP78" i="2"/>
  <c r="MO79" i="2"/>
  <c r="MP79" i="2"/>
  <c r="MO80" i="2"/>
  <c r="MP80" i="2"/>
  <c r="MO81" i="2"/>
  <c r="MP81" i="2"/>
  <c r="MO82" i="2"/>
  <c r="MP82" i="2"/>
  <c r="MO83" i="2"/>
  <c r="MP83" i="2"/>
  <c r="MO84" i="2"/>
  <c r="MP84" i="2"/>
  <c r="MO85" i="2"/>
  <c r="MP85" i="2"/>
  <c r="MO86" i="2"/>
  <c r="MP86" i="2"/>
  <c r="MO87" i="2"/>
  <c r="MP87" i="2"/>
  <c r="MO88" i="2"/>
  <c r="MP88" i="2"/>
  <c r="MO90" i="2"/>
  <c r="MP90" i="2"/>
  <c r="MO91" i="2"/>
  <c r="MP91" i="2"/>
  <c r="MO92" i="2"/>
  <c r="MP92" i="2"/>
  <c r="MO93" i="2"/>
  <c r="MP93" i="2"/>
  <c r="MO94" i="2"/>
  <c r="MP94" i="2"/>
  <c r="MO95" i="2"/>
  <c r="MP95" i="2"/>
  <c r="MO96" i="2"/>
  <c r="MP96" i="2"/>
  <c r="MO97" i="2"/>
  <c r="MP97" i="2"/>
  <c r="MO98" i="2"/>
  <c r="MP98" i="2"/>
  <c r="MO99" i="2"/>
  <c r="MP99" i="2"/>
  <c r="MO100" i="2"/>
  <c r="MP100" i="2"/>
  <c r="MO101" i="2"/>
  <c r="MP101" i="2"/>
  <c r="MO102" i="2"/>
  <c r="MP102" i="2"/>
  <c r="MO103" i="2"/>
  <c r="MP103" i="2"/>
  <c r="MO104" i="2"/>
  <c r="MP104" i="2"/>
  <c r="MO105" i="2"/>
  <c r="MP105" i="2"/>
  <c r="MO106" i="2"/>
  <c r="MP106" i="2"/>
  <c r="MO107" i="2"/>
  <c r="MP107" i="2"/>
  <c r="MO108" i="2"/>
  <c r="MP108" i="2"/>
  <c r="MO109" i="2"/>
  <c r="MP109" i="2"/>
  <c r="MO110" i="2"/>
  <c r="MP110" i="2"/>
  <c r="MO111" i="2"/>
  <c r="MP111" i="2"/>
  <c r="MO112" i="2"/>
  <c r="MP112" i="2"/>
  <c r="MO113" i="2"/>
  <c r="MP113" i="2"/>
  <c r="MO114" i="2"/>
  <c r="MP114" i="2"/>
  <c r="MO115" i="2"/>
  <c r="MP115" i="2"/>
  <c r="MO116" i="2"/>
  <c r="MP116" i="2"/>
  <c r="MO117" i="2"/>
  <c r="MP117" i="2"/>
  <c r="MO118" i="2"/>
  <c r="MP118" i="2"/>
  <c r="MO119" i="2"/>
  <c r="MP119" i="2"/>
  <c r="MO120" i="2"/>
  <c r="MP120" i="2"/>
  <c r="MO121" i="2"/>
  <c r="MP121" i="2"/>
  <c r="MO122" i="2"/>
  <c r="MP122" i="2"/>
  <c r="MO123" i="2"/>
  <c r="MP123" i="2"/>
  <c r="MO124" i="2"/>
  <c r="MP124" i="2"/>
  <c r="MO125" i="2"/>
  <c r="MP125" i="2"/>
  <c r="MO126" i="2"/>
  <c r="MP126" i="2"/>
  <c r="MO128" i="2"/>
  <c r="MP128" i="2"/>
  <c r="MO129" i="2"/>
  <c r="MP129" i="2"/>
  <c r="MO130" i="2"/>
  <c r="MP130" i="2"/>
  <c r="MO131" i="2"/>
  <c r="MP131" i="2"/>
  <c r="MO132" i="2"/>
  <c r="MP132" i="2"/>
  <c r="MO133" i="2"/>
  <c r="MP133" i="2"/>
  <c r="MO134" i="2"/>
  <c r="MP134" i="2"/>
  <c r="MO135" i="2"/>
  <c r="MP135" i="2"/>
  <c r="MO136" i="2"/>
  <c r="MP136" i="2"/>
  <c r="MO137" i="2"/>
  <c r="MP137" i="2"/>
  <c r="MO138" i="2"/>
  <c r="MP138" i="2"/>
  <c r="MO139" i="2"/>
  <c r="MP139" i="2"/>
  <c r="MO140" i="2"/>
  <c r="MP140" i="2"/>
  <c r="MO141" i="2"/>
  <c r="MP141" i="2"/>
  <c r="MO142" i="2"/>
  <c r="MP142" i="2"/>
  <c r="MO143" i="2"/>
  <c r="MP143" i="2"/>
  <c r="MO144" i="2"/>
  <c r="MP144" i="2"/>
  <c r="MO145" i="2"/>
  <c r="MP145" i="2"/>
  <c r="MO146" i="2"/>
  <c r="MP146" i="2"/>
  <c r="MO147" i="2"/>
  <c r="MP147" i="2"/>
  <c r="MO148" i="2"/>
  <c r="MP148" i="2"/>
  <c r="MO149" i="2"/>
  <c r="MP149" i="2"/>
  <c r="MO150" i="2"/>
  <c r="MP150" i="2"/>
  <c r="MO151" i="2"/>
  <c r="MP151" i="2"/>
  <c r="MO152" i="2"/>
  <c r="MP152" i="2"/>
  <c r="MO153" i="2"/>
  <c r="MP153" i="2"/>
  <c r="MO154" i="2"/>
  <c r="MP154" i="2"/>
  <c r="MO155" i="2"/>
  <c r="MP155" i="2"/>
  <c r="MO156" i="2"/>
  <c r="MP156" i="2"/>
  <c r="MO157" i="2"/>
  <c r="MP157" i="2"/>
  <c r="MO158" i="2"/>
  <c r="MP158" i="2"/>
  <c r="MO159" i="2"/>
  <c r="MP159" i="2"/>
  <c r="MO160" i="2"/>
  <c r="MP160" i="2"/>
  <c r="MO161" i="2"/>
  <c r="MP161" i="2"/>
  <c r="MO162" i="2"/>
  <c r="MP162" i="2"/>
  <c r="MO163" i="2"/>
  <c r="MP163" i="2"/>
  <c r="MO164" i="2"/>
  <c r="MP164" i="2"/>
  <c r="MO166" i="2"/>
  <c r="MP166" i="2"/>
  <c r="MO167" i="2"/>
  <c r="MP167" i="2"/>
  <c r="MO168" i="2"/>
  <c r="MP168" i="2"/>
  <c r="MO169" i="2"/>
  <c r="MP169" i="2"/>
  <c r="MO170" i="2"/>
  <c r="MP170" i="2"/>
  <c r="MO171" i="2"/>
  <c r="MP171" i="2"/>
  <c r="MP172" i="2"/>
  <c r="MO173" i="2"/>
  <c r="MP173" i="2"/>
  <c r="MO174" i="2"/>
  <c r="MP174" i="2"/>
  <c r="MO175" i="2"/>
  <c r="MP175" i="2"/>
  <c r="MO176" i="2"/>
  <c r="MP176" i="2"/>
  <c r="MO177" i="2"/>
  <c r="MP177" i="2"/>
  <c r="MO178" i="2"/>
  <c r="MP178" i="2"/>
  <c r="MO179" i="2"/>
  <c r="MP179" i="2"/>
  <c r="MO180" i="2"/>
  <c r="MP180" i="2"/>
  <c r="MO181" i="2"/>
  <c r="MP181" i="2"/>
  <c r="MO182" i="2"/>
  <c r="MP182" i="2"/>
  <c r="MO183" i="2"/>
  <c r="MP183" i="2"/>
  <c r="MO184" i="2"/>
  <c r="MP184" i="2"/>
  <c r="MO185" i="2"/>
  <c r="MP185" i="2"/>
  <c r="MO186" i="2"/>
  <c r="MP186" i="2"/>
  <c r="MO187" i="2"/>
  <c r="MP187" i="2"/>
  <c r="MO188" i="2"/>
  <c r="MP188" i="2"/>
  <c r="MO189" i="2"/>
  <c r="MP189" i="2"/>
  <c r="MO190" i="2"/>
  <c r="MP190" i="2"/>
  <c r="MO191" i="2"/>
  <c r="MP191" i="2"/>
  <c r="MO192" i="2"/>
  <c r="MP192" i="2"/>
  <c r="MO193" i="2"/>
  <c r="MP193" i="2"/>
  <c r="MO194" i="2"/>
  <c r="MP194" i="2"/>
  <c r="MO195" i="2"/>
  <c r="MP195" i="2"/>
  <c r="MO196" i="2"/>
  <c r="MP196" i="2"/>
  <c r="MO197" i="2"/>
  <c r="MP197" i="2"/>
  <c r="MO198" i="2"/>
  <c r="MP198" i="2"/>
  <c r="MO199" i="2"/>
  <c r="MP199" i="2"/>
  <c r="MO200" i="2"/>
  <c r="MP200" i="2"/>
  <c r="MO201" i="2"/>
  <c r="MP201" i="2"/>
  <c r="MO202" i="2"/>
  <c r="MP202" i="2"/>
  <c r="MO204" i="2"/>
  <c r="MP204" i="2"/>
  <c r="MO205" i="2"/>
  <c r="MP205" i="2"/>
  <c r="MO206" i="2"/>
  <c r="MP206" i="2"/>
  <c r="MO207" i="2"/>
  <c r="MP207" i="2"/>
  <c r="MO208" i="2"/>
  <c r="MP208" i="2"/>
  <c r="MO209" i="2"/>
  <c r="MP209" i="2"/>
  <c r="MO210" i="2"/>
  <c r="MP210" i="2"/>
  <c r="MO211" i="2"/>
  <c r="MP211" i="2"/>
  <c r="MO212" i="2"/>
  <c r="MP212" i="2"/>
  <c r="MO213" i="2"/>
  <c r="MP213" i="2"/>
  <c r="MO214" i="2"/>
  <c r="MP214" i="2"/>
  <c r="MO215" i="2"/>
  <c r="MP215" i="2"/>
  <c r="MO216" i="2"/>
  <c r="MP216" i="2"/>
  <c r="MO217" i="2"/>
  <c r="MP217" i="2"/>
  <c r="MO218" i="2"/>
  <c r="MP218" i="2"/>
  <c r="MO219" i="2"/>
  <c r="MP219" i="2"/>
  <c r="MO220" i="2"/>
  <c r="MP220" i="2"/>
  <c r="MO221" i="2"/>
  <c r="MP221" i="2"/>
  <c r="MO222" i="2"/>
  <c r="MP222" i="2"/>
  <c r="MO223" i="2"/>
  <c r="MP223" i="2"/>
  <c r="MO224" i="2"/>
  <c r="MP224" i="2"/>
  <c r="MO225" i="2"/>
  <c r="MP225" i="2"/>
  <c r="MO226" i="2"/>
  <c r="MP226" i="2"/>
  <c r="MO227" i="2"/>
  <c r="MP227" i="2"/>
  <c r="MO228" i="2"/>
  <c r="MP228" i="2"/>
  <c r="MO229" i="2"/>
  <c r="MP229" i="2"/>
  <c r="MO230" i="2"/>
  <c r="MP230" i="2"/>
  <c r="MO231" i="2"/>
  <c r="MP231" i="2"/>
  <c r="MO232" i="2"/>
  <c r="MP232" i="2"/>
  <c r="MO233" i="2"/>
  <c r="MP233" i="2"/>
  <c r="MO234" i="2"/>
  <c r="MP234" i="2"/>
  <c r="MO235" i="2"/>
  <c r="MP235" i="2"/>
  <c r="MO236" i="2"/>
  <c r="MP236" i="2"/>
  <c r="MO237" i="2"/>
  <c r="MP237" i="2"/>
  <c r="MO238" i="2"/>
  <c r="MP238" i="2"/>
  <c r="MO239" i="2"/>
  <c r="MP239" i="2"/>
  <c r="MO240" i="2"/>
  <c r="MP240" i="2"/>
  <c r="MO242" i="2"/>
  <c r="MP242" i="2"/>
  <c r="MO243" i="2"/>
  <c r="MP243" i="2"/>
  <c r="MO244" i="2"/>
  <c r="MP244" i="2"/>
  <c r="MO245" i="2"/>
  <c r="MP245" i="2"/>
  <c r="MO246" i="2"/>
  <c r="MP246" i="2"/>
  <c r="MO247" i="2"/>
  <c r="MP247" i="2"/>
  <c r="MO248" i="2"/>
  <c r="MP248" i="2"/>
  <c r="MO249" i="2"/>
  <c r="MP249" i="2"/>
  <c r="MO250" i="2"/>
  <c r="MP250" i="2"/>
  <c r="MO251" i="2"/>
  <c r="MP251" i="2"/>
  <c r="MO252" i="2"/>
  <c r="MP252" i="2"/>
  <c r="MO253" i="2"/>
  <c r="MP253" i="2"/>
  <c r="MO254" i="2"/>
  <c r="MP254" i="2"/>
  <c r="MO255" i="2"/>
  <c r="MP255" i="2"/>
  <c r="MO256" i="2"/>
  <c r="MP256" i="2"/>
  <c r="MO257" i="2"/>
  <c r="MP257" i="2"/>
  <c r="MO258" i="2"/>
  <c r="MP258" i="2"/>
  <c r="MO259" i="2"/>
  <c r="MP259" i="2"/>
  <c r="MO260" i="2"/>
  <c r="MP260" i="2"/>
  <c r="MO261" i="2"/>
  <c r="MP261" i="2"/>
  <c r="MO262" i="2"/>
  <c r="MP262" i="2"/>
  <c r="MO263" i="2"/>
  <c r="MP263" i="2"/>
  <c r="MO264" i="2"/>
  <c r="MP264" i="2"/>
  <c r="MO265" i="2"/>
  <c r="MP265" i="2"/>
  <c r="MO266" i="2"/>
  <c r="MP266" i="2"/>
  <c r="MO267" i="2"/>
  <c r="MP267" i="2"/>
  <c r="MO268" i="2"/>
  <c r="MP268" i="2"/>
  <c r="MO269" i="2"/>
  <c r="MP269" i="2"/>
  <c r="MO270" i="2"/>
  <c r="MP270" i="2"/>
  <c r="MO271" i="2"/>
  <c r="MP271" i="2"/>
  <c r="MO272" i="2"/>
  <c r="MP272" i="2"/>
  <c r="MO273" i="2"/>
  <c r="MP273" i="2"/>
  <c r="MO274" i="2"/>
  <c r="MP274" i="2"/>
  <c r="MO275" i="2"/>
  <c r="MP275" i="2"/>
  <c r="MO276" i="2"/>
  <c r="MP276" i="2"/>
  <c r="MO277" i="2"/>
  <c r="MP277" i="2"/>
  <c r="MO278" i="2"/>
  <c r="MP278" i="2"/>
  <c r="MO280" i="2"/>
  <c r="MP280" i="2"/>
  <c r="MO281" i="2"/>
  <c r="MP281" i="2"/>
  <c r="MO282" i="2"/>
  <c r="MP282" i="2"/>
  <c r="MO283" i="2"/>
  <c r="MP283" i="2"/>
  <c r="MO284" i="2"/>
  <c r="MP284" i="2"/>
  <c r="MO285" i="2"/>
  <c r="MP285" i="2"/>
  <c r="MO286" i="2"/>
  <c r="MP286" i="2"/>
  <c r="MO287" i="2"/>
  <c r="MP287" i="2"/>
  <c r="MO288" i="2"/>
  <c r="MP288" i="2"/>
  <c r="MO289" i="2"/>
  <c r="MP289" i="2"/>
  <c r="MO290" i="2"/>
  <c r="MP290" i="2"/>
  <c r="MO291" i="2"/>
  <c r="MP291" i="2"/>
  <c r="MO292" i="2"/>
  <c r="MP292" i="2"/>
  <c r="MO293" i="2"/>
  <c r="MP293" i="2"/>
  <c r="MO294" i="2"/>
  <c r="MP294" i="2"/>
  <c r="MO295" i="2"/>
  <c r="MP295" i="2"/>
  <c r="MO296" i="2"/>
  <c r="MP296" i="2"/>
  <c r="MO297" i="2"/>
  <c r="MP297" i="2"/>
  <c r="MO298" i="2"/>
  <c r="MP298" i="2"/>
  <c r="MO299" i="2"/>
  <c r="MP299" i="2"/>
  <c r="MO300" i="2"/>
  <c r="MP300" i="2"/>
  <c r="MO301" i="2"/>
  <c r="MP301" i="2"/>
  <c r="MO302" i="2"/>
  <c r="MP302" i="2"/>
  <c r="MO303" i="2"/>
  <c r="MP303" i="2"/>
  <c r="MO304" i="2"/>
  <c r="MP304" i="2"/>
  <c r="MO305" i="2"/>
  <c r="MP305" i="2"/>
  <c r="MO306" i="2"/>
  <c r="MP306" i="2"/>
  <c r="MO307" i="2"/>
  <c r="MP307" i="2"/>
  <c r="MO308" i="2"/>
  <c r="MP308" i="2"/>
  <c r="MO309" i="2"/>
  <c r="MP309" i="2"/>
  <c r="MO310" i="2"/>
  <c r="MP310" i="2"/>
  <c r="MO311" i="2"/>
  <c r="MP311" i="2"/>
  <c r="MO312" i="2"/>
  <c r="MP312" i="2"/>
  <c r="MO313" i="2"/>
  <c r="MP313" i="2"/>
  <c r="MO314" i="2"/>
  <c r="MP314" i="2"/>
  <c r="MO315" i="2"/>
  <c r="MP315" i="2"/>
  <c r="MO316" i="2"/>
  <c r="MP316" i="2"/>
  <c r="MO318" i="2"/>
  <c r="MP318" i="2"/>
  <c r="MO319" i="2"/>
  <c r="MP319" i="2"/>
  <c r="MO320" i="2"/>
  <c r="MP320" i="2"/>
  <c r="MO321" i="2"/>
  <c r="MP321" i="2"/>
  <c r="MO322" i="2"/>
  <c r="MP322" i="2"/>
  <c r="MO323" i="2"/>
  <c r="MP323" i="2"/>
  <c r="MO324" i="2"/>
  <c r="MP324" i="2"/>
  <c r="MO325" i="2"/>
  <c r="MP325" i="2"/>
  <c r="MO326" i="2"/>
  <c r="MP326" i="2"/>
  <c r="MO327" i="2"/>
  <c r="MP327" i="2"/>
  <c r="MO328" i="2"/>
  <c r="MP328" i="2"/>
  <c r="MO329" i="2"/>
  <c r="MP329" i="2"/>
  <c r="MO330" i="2"/>
  <c r="MP330" i="2"/>
  <c r="MO331" i="2"/>
  <c r="MP331" i="2"/>
  <c r="MO332" i="2"/>
  <c r="MP332" i="2"/>
  <c r="MO333" i="2"/>
  <c r="MP333" i="2"/>
  <c r="MO334" i="2"/>
  <c r="MP334" i="2"/>
  <c r="MO335" i="2"/>
  <c r="MP335" i="2"/>
  <c r="MO336" i="2"/>
  <c r="MP336" i="2"/>
  <c r="MO337" i="2"/>
  <c r="MP337" i="2"/>
  <c r="MO338" i="2"/>
  <c r="MP338" i="2"/>
  <c r="MO339" i="2"/>
  <c r="MP339" i="2"/>
  <c r="MO340" i="2"/>
  <c r="MP340" i="2"/>
  <c r="MO341" i="2"/>
  <c r="MP341" i="2"/>
  <c r="MO342" i="2"/>
  <c r="MP342" i="2"/>
  <c r="MO343" i="2"/>
  <c r="MP343" i="2"/>
  <c r="MO344" i="2"/>
  <c r="MP344" i="2"/>
  <c r="MO345" i="2"/>
  <c r="MP345" i="2"/>
  <c r="MO346" i="2"/>
  <c r="MP346" i="2"/>
  <c r="MO347" i="2"/>
  <c r="MP347" i="2"/>
  <c r="MO348" i="2"/>
  <c r="MP348" i="2"/>
  <c r="MO349" i="2"/>
  <c r="MP349" i="2"/>
  <c r="MO350" i="2"/>
  <c r="MP350" i="2"/>
  <c r="MO351" i="2"/>
  <c r="MP351" i="2"/>
  <c r="MO352" i="2"/>
  <c r="MP352" i="2"/>
  <c r="MO353" i="2"/>
  <c r="MP353" i="2"/>
  <c r="MO354" i="2"/>
  <c r="MP354" i="2"/>
  <c r="MO356" i="2"/>
  <c r="MP356" i="2"/>
  <c r="MO357" i="2"/>
  <c r="MP357" i="2"/>
  <c r="MO358" i="2"/>
  <c r="MP358" i="2"/>
  <c r="MO359" i="2"/>
  <c r="MP359" i="2"/>
  <c r="MO360" i="2"/>
  <c r="MP360" i="2"/>
  <c r="MO361" i="2"/>
  <c r="MP361" i="2"/>
  <c r="MO362" i="2"/>
  <c r="MP362" i="2"/>
  <c r="MO363" i="2"/>
  <c r="MP363" i="2"/>
  <c r="MO364" i="2"/>
  <c r="MP364" i="2"/>
  <c r="MO365" i="2"/>
  <c r="MP365" i="2"/>
  <c r="MO366" i="2"/>
  <c r="MP366" i="2"/>
  <c r="MO367" i="2"/>
  <c r="MP367" i="2"/>
  <c r="MO368" i="2"/>
  <c r="MP368" i="2"/>
  <c r="MO369" i="2"/>
  <c r="MP369" i="2"/>
  <c r="MO370" i="2"/>
  <c r="MP370" i="2"/>
  <c r="MO371" i="2"/>
  <c r="MP371" i="2"/>
  <c r="MO372" i="2"/>
  <c r="MP372" i="2"/>
  <c r="MO373" i="2"/>
  <c r="MP373" i="2"/>
  <c r="MO374" i="2"/>
  <c r="MP374" i="2"/>
  <c r="MO375" i="2"/>
  <c r="MP375" i="2"/>
  <c r="MO376" i="2"/>
  <c r="MP376" i="2"/>
  <c r="MO377" i="2"/>
  <c r="MP377" i="2"/>
  <c r="MO378" i="2"/>
  <c r="MP378" i="2"/>
  <c r="MO379" i="2"/>
  <c r="MP379" i="2"/>
  <c r="MO380" i="2"/>
  <c r="MP380" i="2"/>
  <c r="MO381" i="2"/>
  <c r="MP381" i="2"/>
  <c r="MO382" i="2"/>
  <c r="MP382" i="2"/>
  <c r="MO383" i="2"/>
  <c r="MP383" i="2"/>
  <c r="MO384" i="2"/>
  <c r="MP384" i="2"/>
  <c r="MO385" i="2"/>
  <c r="MP385" i="2"/>
  <c r="MO386" i="2"/>
  <c r="MP386" i="2"/>
  <c r="MO387" i="2"/>
  <c r="MP387" i="2"/>
  <c r="MO388" i="2"/>
  <c r="MP388" i="2"/>
  <c r="MO389" i="2"/>
  <c r="MP389" i="2"/>
  <c r="MO390" i="2"/>
  <c r="MP390" i="2"/>
  <c r="MO391" i="2"/>
  <c r="MP391" i="2"/>
  <c r="MO392" i="2"/>
  <c r="MP392" i="2"/>
  <c r="MO394" i="2"/>
  <c r="MP394" i="2"/>
  <c r="MO395" i="2"/>
  <c r="MP395" i="2"/>
  <c r="MO396" i="2"/>
  <c r="MP396" i="2"/>
  <c r="MO397" i="2"/>
  <c r="MP397" i="2"/>
  <c r="MO398" i="2"/>
  <c r="MP398" i="2"/>
  <c r="MO399" i="2"/>
  <c r="MP399" i="2"/>
  <c r="MO400" i="2"/>
  <c r="MP400" i="2"/>
  <c r="MO401" i="2"/>
  <c r="MP401" i="2"/>
  <c r="MO402" i="2"/>
  <c r="MP402" i="2"/>
  <c r="MO403" i="2"/>
  <c r="MP403" i="2"/>
  <c r="MO404" i="2"/>
  <c r="MP404" i="2"/>
  <c r="MO405" i="2"/>
  <c r="MP405" i="2"/>
  <c r="MO406" i="2"/>
  <c r="MP406" i="2"/>
  <c r="MO407" i="2"/>
  <c r="MP407" i="2"/>
  <c r="MO408" i="2"/>
  <c r="MP408" i="2"/>
  <c r="MO409" i="2"/>
  <c r="MP409" i="2"/>
  <c r="MO410" i="2"/>
  <c r="MP410" i="2"/>
  <c r="MO411" i="2"/>
  <c r="MP411" i="2"/>
  <c r="MO412" i="2"/>
  <c r="MP412" i="2"/>
  <c r="MO413" i="2"/>
  <c r="MP413" i="2"/>
  <c r="MO414" i="2"/>
  <c r="MP414" i="2"/>
  <c r="MO415" i="2"/>
  <c r="MP415" i="2"/>
  <c r="MO416" i="2"/>
  <c r="MP416" i="2"/>
  <c r="MO417" i="2"/>
  <c r="MP417" i="2"/>
  <c r="MO418" i="2"/>
  <c r="MP418" i="2"/>
  <c r="MO419" i="2"/>
  <c r="MP419" i="2"/>
  <c r="MO420" i="2"/>
  <c r="MP420" i="2"/>
  <c r="MO421" i="2"/>
  <c r="MP421" i="2"/>
  <c r="MO422" i="2"/>
  <c r="MP422" i="2"/>
  <c r="MO423" i="2"/>
  <c r="MP423" i="2"/>
  <c r="MO424" i="2"/>
  <c r="MP424" i="2"/>
  <c r="MO425" i="2"/>
  <c r="MP425" i="2"/>
  <c r="MO426" i="2"/>
  <c r="MP426" i="2"/>
  <c r="MO427" i="2"/>
  <c r="MP427" i="2"/>
  <c r="MO428" i="2"/>
  <c r="MP428" i="2"/>
  <c r="MO429" i="2"/>
  <c r="MP429" i="2"/>
  <c r="MO430" i="2"/>
  <c r="MP430" i="2"/>
  <c r="MO432" i="2"/>
  <c r="MP432" i="2"/>
  <c r="MO433" i="2"/>
  <c r="MP433" i="2"/>
  <c r="MO434" i="2"/>
  <c r="MP434" i="2"/>
  <c r="MO435" i="2"/>
  <c r="MP435" i="2"/>
  <c r="MO436" i="2"/>
  <c r="MP436" i="2"/>
  <c r="MO437" i="2"/>
  <c r="MP437" i="2"/>
  <c r="MO438" i="2"/>
  <c r="MP438" i="2"/>
  <c r="MO439" i="2"/>
  <c r="MP439" i="2"/>
  <c r="MO440" i="2"/>
  <c r="MP440" i="2"/>
  <c r="MO441" i="2"/>
  <c r="MP441" i="2"/>
  <c r="MO442" i="2"/>
  <c r="MP442" i="2"/>
  <c r="MO443" i="2"/>
  <c r="MP443" i="2"/>
  <c r="MO444" i="2"/>
  <c r="MP444" i="2"/>
  <c r="MO445" i="2"/>
  <c r="MP445" i="2"/>
  <c r="MO446" i="2"/>
  <c r="MP446" i="2"/>
  <c r="MO447" i="2"/>
  <c r="MP447" i="2"/>
  <c r="MO448" i="2"/>
  <c r="MP448" i="2"/>
  <c r="MO449" i="2"/>
  <c r="MP449" i="2"/>
  <c r="MO450" i="2"/>
  <c r="MP450" i="2"/>
  <c r="MO451" i="2"/>
  <c r="MP451" i="2"/>
  <c r="MO452" i="2"/>
  <c r="MP452" i="2"/>
  <c r="MO453" i="2"/>
  <c r="MP453" i="2"/>
  <c r="MO454" i="2"/>
  <c r="MP454" i="2"/>
  <c r="MO455" i="2"/>
  <c r="MP455" i="2"/>
  <c r="MO456" i="2"/>
  <c r="MP456" i="2"/>
  <c r="MO457" i="2"/>
  <c r="MP457" i="2"/>
  <c r="MO458" i="2"/>
  <c r="MP458" i="2"/>
  <c r="MO459" i="2"/>
  <c r="MP459" i="2"/>
  <c r="MO460" i="2"/>
  <c r="MP460" i="2"/>
  <c r="MO461" i="2"/>
  <c r="MP461" i="2"/>
  <c r="MO462" i="2"/>
  <c r="MP462" i="2"/>
  <c r="MO463" i="2"/>
  <c r="MP463" i="2"/>
  <c r="MO464" i="2"/>
  <c r="MP464" i="2"/>
  <c r="MO465" i="2"/>
  <c r="MP465" i="2"/>
  <c r="MO466" i="2"/>
  <c r="MP466" i="2"/>
  <c r="MO467" i="2"/>
  <c r="MP467" i="2"/>
  <c r="MO468" i="2"/>
  <c r="MP468" i="2"/>
  <c r="MP15" i="2"/>
  <c r="MP16" i="2"/>
  <c r="MP17" i="2"/>
  <c r="MP18" i="2"/>
  <c r="MP19" i="2"/>
  <c r="MP20" i="2"/>
  <c r="MP21" i="2"/>
  <c r="MP22" i="2"/>
  <c r="MP23" i="2"/>
  <c r="MP24" i="2"/>
  <c r="MP25" i="2"/>
  <c r="MP26" i="2"/>
  <c r="MP27" i="2"/>
  <c r="MP28" i="2"/>
  <c r="MP29" i="2"/>
  <c r="MP30" i="2"/>
  <c r="MP31" i="2"/>
  <c r="MP32" i="2"/>
  <c r="MP33" i="2"/>
  <c r="MP34" i="2"/>
  <c r="MP35" i="2"/>
  <c r="MP36" i="2"/>
  <c r="MP37" i="2"/>
  <c r="MP38" i="2"/>
  <c r="MP39" i="2"/>
  <c r="MP40" i="2"/>
  <c r="MP41" i="2"/>
  <c r="MP42" i="2"/>
  <c r="MP43" i="2"/>
  <c r="MP44" i="2"/>
  <c r="MP45" i="2"/>
  <c r="MP46" i="2"/>
  <c r="MP47" i="2"/>
  <c r="MP48" i="2"/>
  <c r="MP49" i="2"/>
  <c r="MP50" i="2"/>
  <c r="MP14" i="2"/>
  <c r="MO14" i="2"/>
  <c r="LY52" i="2"/>
  <c r="LZ52" i="2"/>
  <c r="LY53" i="2"/>
  <c r="LZ53" i="2"/>
  <c r="LY54" i="2"/>
  <c r="LZ54" i="2"/>
  <c r="LY55" i="2"/>
  <c r="LZ55" i="2"/>
  <c r="LY56" i="2"/>
  <c r="LZ56" i="2"/>
  <c r="LY57" i="2"/>
  <c r="LZ57" i="2"/>
  <c r="LY58" i="2"/>
  <c r="LZ58" i="2"/>
  <c r="LY59" i="2"/>
  <c r="LZ59" i="2"/>
  <c r="LY60" i="2"/>
  <c r="LZ60" i="2"/>
  <c r="LY61" i="2"/>
  <c r="LZ61" i="2"/>
  <c r="LY62" i="2"/>
  <c r="LZ62" i="2"/>
  <c r="LY63" i="2"/>
  <c r="LZ63" i="2"/>
  <c r="LY64" i="2"/>
  <c r="LZ64" i="2"/>
  <c r="LY65" i="2"/>
  <c r="LZ65" i="2"/>
  <c r="LY66" i="2"/>
  <c r="LZ66" i="2"/>
  <c r="LY67" i="2"/>
  <c r="LZ67" i="2"/>
  <c r="LY68" i="2"/>
  <c r="LZ68" i="2"/>
  <c r="LY69" i="2"/>
  <c r="LZ69" i="2"/>
  <c r="LY70" i="2"/>
  <c r="LZ70" i="2"/>
  <c r="LY71" i="2"/>
  <c r="LZ71" i="2"/>
  <c r="LY72" i="2"/>
  <c r="LZ72" i="2"/>
  <c r="LY73" i="2"/>
  <c r="LZ73" i="2"/>
  <c r="LY74" i="2"/>
  <c r="LZ74" i="2"/>
  <c r="LY75" i="2"/>
  <c r="LZ75" i="2"/>
  <c r="LY76" i="2"/>
  <c r="LZ76" i="2"/>
  <c r="LY77" i="2"/>
  <c r="LZ77" i="2"/>
  <c r="LY78" i="2"/>
  <c r="LZ78" i="2"/>
  <c r="LY79" i="2"/>
  <c r="LZ79" i="2"/>
  <c r="LY80" i="2"/>
  <c r="LZ80" i="2"/>
  <c r="LY81" i="2"/>
  <c r="LZ81" i="2"/>
  <c r="LY82" i="2"/>
  <c r="LZ82" i="2"/>
  <c r="LY83" i="2"/>
  <c r="LZ83" i="2"/>
  <c r="LY84" i="2"/>
  <c r="LZ84" i="2"/>
  <c r="LY85" i="2"/>
  <c r="LZ85" i="2"/>
  <c r="LY86" i="2"/>
  <c r="LZ86" i="2"/>
  <c r="LY87" i="2"/>
  <c r="LZ87" i="2"/>
  <c r="LY88" i="2"/>
  <c r="LZ88" i="2"/>
  <c r="LY90" i="2"/>
  <c r="LZ90" i="2"/>
  <c r="LY91" i="2"/>
  <c r="LZ91" i="2"/>
  <c r="LY92" i="2"/>
  <c r="LZ92" i="2"/>
  <c r="LY93" i="2"/>
  <c r="LZ93" i="2"/>
  <c r="LY94" i="2"/>
  <c r="LZ94" i="2"/>
  <c r="LY95" i="2"/>
  <c r="LZ95" i="2"/>
  <c r="LY96" i="2"/>
  <c r="LZ96" i="2"/>
  <c r="LY97" i="2"/>
  <c r="LZ97" i="2"/>
  <c r="LY98" i="2"/>
  <c r="LZ98" i="2"/>
  <c r="LY99" i="2"/>
  <c r="LZ99" i="2"/>
  <c r="LY100" i="2"/>
  <c r="LZ100" i="2"/>
  <c r="LY101" i="2"/>
  <c r="LZ101" i="2"/>
  <c r="LY102" i="2"/>
  <c r="LZ102" i="2"/>
  <c r="LY103" i="2"/>
  <c r="LZ103" i="2"/>
  <c r="LY104" i="2"/>
  <c r="LZ104" i="2"/>
  <c r="LY105" i="2"/>
  <c r="LZ105" i="2"/>
  <c r="LY106" i="2"/>
  <c r="LZ106" i="2"/>
  <c r="LY107" i="2"/>
  <c r="LZ107" i="2"/>
  <c r="LY108" i="2"/>
  <c r="LZ108" i="2"/>
  <c r="LY109" i="2"/>
  <c r="LZ109" i="2"/>
  <c r="LY110" i="2"/>
  <c r="LZ110" i="2"/>
  <c r="LY111" i="2"/>
  <c r="LZ111" i="2"/>
  <c r="LY112" i="2"/>
  <c r="LZ112" i="2"/>
  <c r="LY113" i="2"/>
  <c r="LZ113" i="2"/>
  <c r="LY114" i="2"/>
  <c r="LZ114" i="2"/>
  <c r="LY115" i="2"/>
  <c r="LZ115" i="2"/>
  <c r="LY116" i="2"/>
  <c r="LZ116" i="2"/>
  <c r="LY117" i="2"/>
  <c r="LZ117" i="2"/>
  <c r="LY118" i="2"/>
  <c r="LZ118" i="2"/>
  <c r="LY119" i="2"/>
  <c r="LZ119" i="2"/>
  <c r="LY120" i="2"/>
  <c r="LZ120" i="2"/>
  <c r="LY121" i="2"/>
  <c r="LZ121" i="2"/>
  <c r="LY122" i="2"/>
  <c r="LZ122" i="2"/>
  <c r="LY123" i="2"/>
  <c r="LZ123" i="2"/>
  <c r="LY124" i="2"/>
  <c r="LZ124" i="2"/>
  <c r="LY125" i="2"/>
  <c r="LZ125" i="2"/>
  <c r="LY126" i="2"/>
  <c r="LZ126" i="2"/>
  <c r="LY128" i="2"/>
  <c r="LZ128" i="2"/>
  <c r="LY129" i="2"/>
  <c r="LZ129" i="2"/>
  <c r="LY130" i="2"/>
  <c r="LZ130" i="2"/>
  <c r="LY131" i="2"/>
  <c r="LZ131" i="2"/>
  <c r="LY132" i="2"/>
  <c r="LZ132" i="2"/>
  <c r="LY133" i="2"/>
  <c r="LZ133" i="2"/>
  <c r="LY134" i="2"/>
  <c r="LZ134" i="2"/>
  <c r="LY135" i="2"/>
  <c r="LZ135" i="2"/>
  <c r="LY136" i="2"/>
  <c r="LZ136" i="2"/>
  <c r="LY137" i="2"/>
  <c r="LZ137" i="2"/>
  <c r="LY138" i="2"/>
  <c r="LZ138" i="2"/>
  <c r="LY139" i="2"/>
  <c r="LZ139" i="2"/>
  <c r="LY140" i="2"/>
  <c r="LZ140" i="2"/>
  <c r="LY141" i="2"/>
  <c r="LZ141" i="2"/>
  <c r="LY142" i="2"/>
  <c r="LZ142" i="2"/>
  <c r="LY143" i="2"/>
  <c r="LZ143" i="2"/>
  <c r="LY144" i="2"/>
  <c r="LZ144" i="2"/>
  <c r="LY145" i="2"/>
  <c r="LZ145" i="2"/>
  <c r="LY146" i="2"/>
  <c r="LZ146" i="2"/>
  <c r="LY147" i="2"/>
  <c r="LZ147" i="2"/>
  <c r="LY148" i="2"/>
  <c r="LZ148" i="2"/>
  <c r="LY149" i="2"/>
  <c r="LZ149" i="2"/>
  <c r="LY150" i="2"/>
  <c r="LZ150" i="2"/>
  <c r="LY151" i="2"/>
  <c r="LZ151" i="2"/>
  <c r="LY152" i="2"/>
  <c r="LZ152" i="2"/>
  <c r="LY153" i="2"/>
  <c r="LZ153" i="2"/>
  <c r="LY154" i="2"/>
  <c r="LZ154" i="2"/>
  <c r="LY155" i="2"/>
  <c r="LZ155" i="2"/>
  <c r="LY156" i="2"/>
  <c r="LZ156" i="2"/>
  <c r="LY157" i="2"/>
  <c r="LZ157" i="2"/>
  <c r="LY158" i="2"/>
  <c r="LZ158" i="2"/>
  <c r="LY159" i="2"/>
  <c r="LZ159" i="2"/>
  <c r="LY160" i="2"/>
  <c r="LZ160" i="2"/>
  <c r="LY161" i="2"/>
  <c r="LZ161" i="2"/>
  <c r="LY162" i="2"/>
  <c r="LZ162" i="2"/>
  <c r="LY163" i="2"/>
  <c r="LZ163" i="2"/>
  <c r="LY164" i="2"/>
  <c r="LZ164" i="2"/>
  <c r="LY166" i="2"/>
  <c r="LZ166" i="2"/>
  <c r="LY167" i="2"/>
  <c r="LZ167" i="2"/>
  <c r="LY168" i="2"/>
  <c r="LZ168" i="2"/>
  <c r="LY169" i="2"/>
  <c r="LZ169" i="2"/>
  <c r="LY170" i="2"/>
  <c r="LZ170" i="2"/>
  <c r="LY171" i="2"/>
  <c r="LZ171" i="2"/>
  <c r="LY172" i="2"/>
  <c r="LZ172" i="2"/>
  <c r="LY173" i="2"/>
  <c r="LZ173" i="2"/>
  <c r="LY174" i="2"/>
  <c r="LZ174" i="2"/>
  <c r="LY175" i="2"/>
  <c r="LZ175" i="2"/>
  <c r="LY176" i="2"/>
  <c r="LZ176" i="2"/>
  <c r="LY177" i="2"/>
  <c r="LZ177" i="2"/>
  <c r="LY178" i="2"/>
  <c r="LZ178" i="2"/>
  <c r="LY179" i="2"/>
  <c r="LZ179" i="2"/>
  <c r="LY180" i="2"/>
  <c r="LZ180" i="2"/>
  <c r="LY181" i="2"/>
  <c r="LZ181" i="2"/>
  <c r="LY182" i="2"/>
  <c r="LZ182" i="2"/>
  <c r="LY183" i="2"/>
  <c r="LZ183" i="2"/>
  <c r="LY184" i="2"/>
  <c r="LZ184" i="2"/>
  <c r="LY185" i="2"/>
  <c r="LZ185" i="2"/>
  <c r="LY186" i="2"/>
  <c r="LZ186" i="2"/>
  <c r="LY187" i="2"/>
  <c r="LZ187" i="2"/>
  <c r="LY188" i="2"/>
  <c r="LZ188" i="2"/>
  <c r="LY189" i="2"/>
  <c r="LZ189" i="2"/>
  <c r="LY190" i="2"/>
  <c r="LZ190" i="2"/>
  <c r="LY191" i="2"/>
  <c r="LZ191" i="2"/>
  <c r="LY192" i="2"/>
  <c r="LZ192" i="2"/>
  <c r="LY193" i="2"/>
  <c r="LZ193" i="2"/>
  <c r="LY194" i="2"/>
  <c r="LZ194" i="2"/>
  <c r="LY195" i="2"/>
  <c r="LZ195" i="2"/>
  <c r="LY196" i="2"/>
  <c r="LZ196" i="2"/>
  <c r="LY197" i="2"/>
  <c r="LZ197" i="2"/>
  <c r="LY198" i="2"/>
  <c r="LZ198" i="2"/>
  <c r="LY199" i="2"/>
  <c r="LZ199" i="2"/>
  <c r="LY200" i="2"/>
  <c r="LZ200" i="2"/>
  <c r="LY201" i="2"/>
  <c r="LZ201" i="2"/>
  <c r="LY202" i="2"/>
  <c r="LZ202" i="2"/>
  <c r="LY204" i="2"/>
  <c r="LZ204" i="2"/>
  <c r="LY205" i="2"/>
  <c r="LZ205" i="2"/>
  <c r="LY206" i="2"/>
  <c r="LZ206" i="2"/>
  <c r="LY207" i="2"/>
  <c r="LZ207" i="2"/>
  <c r="LY208" i="2"/>
  <c r="LZ208" i="2"/>
  <c r="LY209" i="2"/>
  <c r="LZ209" i="2"/>
  <c r="LY210" i="2"/>
  <c r="LZ210" i="2"/>
  <c r="LY211" i="2"/>
  <c r="LZ211" i="2"/>
  <c r="LY212" i="2"/>
  <c r="LZ212" i="2"/>
  <c r="LY213" i="2"/>
  <c r="LZ213" i="2"/>
  <c r="LY214" i="2"/>
  <c r="LZ214" i="2"/>
  <c r="LY215" i="2"/>
  <c r="LZ215" i="2"/>
  <c r="LY216" i="2"/>
  <c r="LZ216" i="2"/>
  <c r="LY217" i="2"/>
  <c r="LZ217" i="2"/>
  <c r="LY218" i="2"/>
  <c r="LZ218" i="2"/>
  <c r="LY219" i="2"/>
  <c r="LZ219" i="2"/>
  <c r="LY220" i="2"/>
  <c r="LZ220" i="2"/>
  <c r="LY221" i="2"/>
  <c r="LZ221" i="2"/>
  <c r="LY222" i="2"/>
  <c r="LZ222" i="2"/>
  <c r="LY223" i="2"/>
  <c r="LZ223" i="2"/>
  <c r="LY224" i="2"/>
  <c r="LZ224" i="2"/>
  <c r="LY225" i="2"/>
  <c r="LZ225" i="2"/>
  <c r="LY226" i="2"/>
  <c r="LZ226" i="2"/>
  <c r="LY227" i="2"/>
  <c r="LZ227" i="2"/>
  <c r="LY228" i="2"/>
  <c r="LZ228" i="2"/>
  <c r="LY229" i="2"/>
  <c r="LZ229" i="2"/>
  <c r="LY230" i="2"/>
  <c r="LZ230" i="2"/>
  <c r="LY231" i="2"/>
  <c r="LZ231" i="2"/>
  <c r="LY232" i="2"/>
  <c r="LZ232" i="2"/>
  <c r="LY233" i="2"/>
  <c r="LZ233" i="2"/>
  <c r="LY234" i="2"/>
  <c r="LZ234" i="2"/>
  <c r="LY235" i="2"/>
  <c r="LZ235" i="2"/>
  <c r="LY236" i="2"/>
  <c r="LZ236" i="2"/>
  <c r="LY237" i="2"/>
  <c r="LZ237" i="2"/>
  <c r="LY238" i="2"/>
  <c r="LZ238" i="2"/>
  <c r="LY239" i="2"/>
  <c r="LZ239" i="2"/>
  <c r="LY240" i="2"/>
  <c r="LZ240" i="2"/>
  <c r="LY242" i="2"/>
  <c r="LZ242" i="2"/>
  <c r="LY243" i="2"/>
  <c r="LZ243" i="2"/>
  <c r="LY244" i="2"/>
  <c r="LZ244" i="2"/>
  <c r="LY245" i="2"/>
  <c r="LZ245" i="2"/>
  <c r="LY246" i="2"/>
  <c r="LZ246" i="2"/>
  <c r="LY247" i="2"/>
  <c r="LZ247" i="2"/>
  <c r="LY248" i="2"/>
  <c r="LZ248" i="2"/>
  <c r="LY249" i="2"/>
  <c r="LZ249" i="2"/>
  <c r="LY250" i="2"/>
  <c r="LZ250" i="2"/>
  <c r="LY251" i="2"/>
  <c r="LZ251" i="2"/>
  <c r="LY252" i="2"/>
  <c r="LZ252" i="2"/>
  <c r="LY253" i="2"/>
  <c r="LZ253" i="2"/>
  <c r="LY254" i="2"/>
  <c r="LZ254" i="2"/>
  <c r="LY255" i="2"/>
  <c r="LZ255" i="2"/>
  <c r="LY256" i="2"/>
  <c r="LZ256" i="2"/>
  <c r="LY257" i="2"/>
  <c r="LZ257" i="2"/>
  <c r="LY258" i="2"/>
  <c r="LZ258" i="2"/>
  <c r="LY259" i="2"/>
  <c r="LZ259" i="2"/>
  <c r="LY260" i="2"/>
  <c r="LZ260" i="2"/>
  <c r="LY261" i="2"/>
  <c r="LZ261" i="2"/>
  <c r="LY262" i="2"/>
  <c r="LZ262" i="2"/>
  <c r="LY263" i="2"/>
  <c r="LZ263" i="2"/>
  <c r="LY264" i="2"/>
  <c r="LZ264" i="2"/>
  <c r="LY265" i="2"/>
  <c r="LZ265" i="2"/>
  <c r="LY266" i="2"/>
  <c r="LZ266" i="2"/>
  <c r="LY267" i="2"/>
  <c r="LZ267" i="2"/>
  <c r="LY268" i="2"/>
  <c r="LZ268" i="2"/>
  <c r="LY269" i="2"/>
  <c r="LZ269" i="2"/>
  <c r="LY270" i="2"/>
  <c r="LZ270" i="2"/>
  <c r="LY271" i="2"/>
  <c r="LZ271" i="2"/>
  <c r="LY272" i="2"/>
  <c r="LZ272" i="2"/>
  <c r="LY273" i="2"/>
  <c r="LZ273" i="2"/>
  <c r="LY274" i="2"/>
  <c r="LZ274" i="2"/>
  <c r="LY275" i="2"/>
  <c r="LZ275" i="2"/>
  <c r="LY276" i="2"/>
  <c r="LZ276" i="2"/>
  <c r="LY277" i="2"/>
  <c r="LZ277" i="2"/>
  <c r="LY278" i="2"/>
  <c r="LZ278" i="2"/>
  <c r="LY280" i="2"/>
  <c r="LZ280" i="2"/>
  <c r="LY281" i="2"/>
  <c r="LZ281" i="2"/>
  <c r="LY282" i="2"/>
  <c r="LZ282" i="2"/>
  <c r="LY283" i="2"/>
  <c r="LZ283" i="2"/>
  <c r="LY284" i="2"/>
  <c r="LZ284" i="2"/>
  <c r="LY285" i="2"/>
  <c r="LZ285" i="2"/>
  <c r="LY286" i="2"/>
  <c r="LZ286" i="2"/>
  <c r="LY287" i="2"/>
  <c r="LZ287" i="2"/>
  <c r="LY288" i="2"/>
  <c r="LZ288" i="2"/>
  <c r="LY289" i="2"/>
  <c r="LZ289" i="2"/>
  <c r="LY290" i="2"/>
  <c r="LZ290" i="2"/>
  <c r="LY291" i="2"/>
  <c r="LZ291" i="2"/>
  <c r="LY292" i="2"/>
  <c r="LZ292" i="2"/>
  <c r="LY293" i="2"/>
  <c r="LZ293" i="2"/>
  <c r="LY294" i="2"/>
  <c r="LZ294" i="2"/>
  <c r="LY295" i="2"/>
  <c r="LZ295" i="2"/>
  <c r="LY296" i="2"/>
  <c r="LZ296" i="2"/>
  <c r="LY297" i="2"/>
  <c r="LZ297" i="2"/>
  <c r="LY298" i="2"/>
  <c r="LZ298" i="2"/>
  <c r="LY299" i="2"/>
  <c r="LZ299" i="2"/>
  <c r="LY300" i="2"/>
  <c r="LZ300" i="2"/>
  <c r="LY301" i="2"/>
  <c r="LZ301" i="2"/>
  <c r="LY302" i="2"/>
  <c r="LZ302" i="2"/>
  <c r="LY303" i="2"/>
  <c r="LZ303" i="2"/>
  <c r="LY304" i="2"/>
  <c r="LZ304" i="2"/>
  <c r="LY305" i="2"/>
  <c r="LZ305" i="2"/>
  <c r="LY306" i="2"/>
  <c r="LZ306" i="2"/>
  <c r="LY307" i="2"/>
  <c r="LZ307" i="2"/>
  <c r="LY308" i="2"/>
  <c r="LZ308" i="2"/>
  <c r="LY309" i="2"/>
  <c r="LZ309" i="2"/>
  <c r="LY310" i="2"/>
  <c r="LZ310" i="2"/>
  <c r="LY311" i="2"/>
  <c r="LZ311" i="2"/>
  <c r="LY312" i="2"/>
  <c r="LZ312" i="2"/>
  <c r="LY313" i="2"/>
  <c r="LZ313" i="2"/>
  <c r="LY314" i="2"/>
  <c r="LZ314" i="2"/>
  <c r="LY315" i="2"/>
  <c r="LZ315" i="2"/>
  <c r="LY316" i="2"/>
  <c r="LZ316" i="2"/>
  <c r="LY318" i="2"/>
  <c r="LZ318" i="2"/>
  <c r="LY319" i="2"/>
  <c r="LZ319" i="2"/>
  <c r="LY320" i="2"/>
  <c r="LZ320" i="2"/>
  <c r="LY321" i="2"/>
  <c r="LZ321" i="2"/>
  <c r="LY322" i="2"/>
  <c r="LZ322" i="2"/>
  <c r="LY323" i="2"/>
  <c r="LZ323" i="2"/>
  <c r="LY324" i="2"/>
  <c r="LZ324" i="2"/>
  <c r="LY325" i="2"/>
  <c r="LZ325" i="2"/>
  <c r="LY326" i="2"/>
  <c r="LZ326" i="2"/>
  <c r="LY327" i="2"/>
  <c r="LZ327" i="2"/>
  <c r="LY328" i="2"/>
  <c r="LZ328" i="2"/>
  <c r="LY329" i="2"/>
  <c r="LZ329" i="2"/>
  <c r="LY330" i="2"/>
  <c r="LZ330" i="2"/>
  <c r="LY331" i="2"/>
  <c r="LZ331" i="2"/>
  <c r="LY332" i="2"/>
  <c r="LZ332" i="2"/>
  <c r="LY333" i="2"/>
  <c r="LZ333" i="2"/>
  <c r="LY334" i="2"/>
  <c r="LZ334" i="2"/>
  <c r="LY335" i="2"/>
  <c r="LZ335" i="2"/>
  <c r="LY336" i="2"/>
  <c r="LZ336" i="2"/>
  <c r="LY337" i="2"/>
  <c r="LZ337" i="2"/>
  <c r="LY338" i="2"/>
  <c r="LZ338" i="2"/>
  <c r="LY339" i="2"/>
  <c r="LZ339" i="2"/>
  <c r="LY340" i="2"/>
  <c r="LZ340" i="2"/>
  <c r="LY341" i="2"/>
  <c r="LZ341" i="2"/>
  <c r="LY342" i="2"/>
  <c r="LZ342" i="2"/>
  <c r="LY343" i="2"/>
  <c r="LZ343" i="2"/>
  <c r="LY344" i="2"/>
  <c r="LZ344" i="2"/>
  <c r="LY345" i="2"/>
  <c r="LZ345" i="2"/>
  <c r="LY346" i="2"/>
  <c r="LZ346" i="2"/>
  <c r="LY347" i="2"/>
  <c r="LZ347" i="2"/>
  <c r="LY348" i="2"/>
  <c r="LZ348" i="2"/>
  <c r="LY349" i="2"/>
  <c r="LZ349" i="2"/>
  <c r="LY350" i="2"/>
  <c r="LZ350" i="2"/>
  <c r="LY351" i="2"/>
  <c r="LZ351" i="2"/>
  <c r="LY352" i="2"/>
  <c r="LZ352" i="2"/>
  <c r="LY353" i="2"/>
  <c r="LZ353" i="2"/>
  <c r="LY354" i="2"/>
  <c r="LZ354" i="2"/>
  <c r="LY356" i="2"/>
  <c r="LZ356" i="2"/>
  <c r="LY357" i="2"/>
  <c r="LZ357" i="2"/>
  <c r="LY358" i="2"/>
  <c r="LZ358" i="2"/>
  <c r="LY359" i="2"/>
  <c r="LZ359" i="2"/>
  <c r="LY360" i="2"/>
  <c r="LZ360" i="2"/>
  <c r="LY361" i="2"/>
  <c r="LZ361" i="2"/>
  <c r="LY362" i="2"/>
  <c r="LZ362" i="2"/>
  <c r="LY363" i="2"/>
  <c r="LZ363" i="2"/>
  <c r="LY364" i="2"/>
  <c r="LZ364" i="2"/>
  <c r="LY365" i="2"/>
  <c r="LZ365" i="2"/>
  <c r="LY366" i="2"/>
  <c r="LZ366" i="2"/>
  <c r="LY367" i="2"/>
  <c r="LZ367" i="2"/>
  <c r="LY368" i="2"/>
  <c r="LZ368" i="2"/>
  <c r="LY369" i="2"/>
  <c r="LZ369" i="2"/>
  <c r="LY370" i="2"/>
  <c r="LZ370" i="2"/>
  <c r="LY371" i="2"/>
  <c r="LZ371" i="2"/>
  <c r="LY372" i="2"/>
  <c r="LZ372" i="2"/>
  <c r="LY373" i="2"/>
  <c r="LZ373" i="2"/>
  <c r="LY374" i="2"/>
  <c r="LZ374" i="2"/>
  <c r="LY375" i="2"/>
  <c r="LZ375" i="2"/>
  <c r="LY376" i="2"/>
  <c r="LZ376" i="2"/>
  <c r="LY377" i="2"/>
  <c r="LZ377" i="2"/>
  <c r="LY378" i="2"/>
  <c r="LZ378" i="2"/>
  <c r="LY379" i="2"/>
  <c r="LZ379" i="2"/>
  <c r="LY380" i="2"/>
  <c r="LZ380" i="2"/>
  <c r="LY381" i="2"/>
  <c r="LZ381" i="2"/>
  <c r="LY382" i="2"/>
  <c r="LZ382" i="2"/>
  <c r="LY383" i="2"/>
  <c r="LZ383" i="2"/>
  <c r="LY384" i="2"/>
  <c r="LZ384" i="2"/>
  <c r="LY385" i="2"/>
  <c r="LZ385" i="2"/>
  <c r="LY386" i="2"/>
  <c r="LZ386" i="2"/>
  <c r="LY387" i="2"/>
  <c r="LZ387" i="2"/>
  <c r="LY388" i="2"/>
  <c r="LZ388" i="2"/>
  <c r="LY389" i="2"/>
  <c r="LZ389" i="2"/>
  <c r="LY390" i="2"/>
  <c r="LZ390" i="2"/>
  <c r="LY391" i="2"/>
  <c r="LZ391" i="2"/>
  <c r="LY392" i="2"/>
  <c r="LZ392" i="2"/>
  <c r="LY394" i="2"/>
  <c r="LZ394" i="2"/>
  <c r="LY395" i="2"/>
  <c r="LZ395" i="2"/>
  <c r="LY396" i="2"/>
  <c r="LZ396" i="2"/>
  <c r="LY397" i="2"/>
  <c r="LZ397" i="2"/>
  <c r="LY398" i="2"/>
  <c r="LZ398" i="2"/>
  <c r="LY399" i="2"/>
  <c r="LZ399" i="2"/>
  <c r="LY400" i="2"/>
  <c r="LZ400" i="2"/>
  <c r="LY401" i="2"/>
  <c r="LZ401" i="2"/>
  <c r="LY402" i="2"/>
  <c r="LZ402" i="2"/>
  <c r="LY403" i="2"/>
  <c r="LZ403" i="2"/>
  <c r="LY404" i="2"/>
  <c r="LZ404" i="2"/>
  <c r="LY405" i="2"/>
  <c r="LZ405" i="2"/>
  <c r="LY406" i="2"/>
  <c r="LZ406" i="2"/>
  <c r="LY407" i="2"/>
  <c r="LZ407" i="2"/>
  <c r="LY408" i="2"/>
  <c r="LZ408" i="2"/>
  <c r="LY409" i="2"/>
  <c r="LZ409" i="2"/>
  <c r="LY410" i="2"/>
  <c r="LZ410" i="2"/>
  <c r="LY411" i="2"/>
  <c r="LZ411" i="2"/>
  <c r="LY412" i="2"/>
  <c r="LZ412" i="2"/>
  <c r="LY413" i="2"/>
  <c r="LZ413" i="2"/>
  <c r="LY414" i="2"/>
  <c r="LZ414" i="2"/>
  <c r="LY415" i="2"/>
  <c r="LZ415" i="2"/>
  <c r="LY416" i="2"/>
  <c r="LZ416" i="2"/>
  <c r="LY417" i="2"/>
  <c r="LZ417" i="2"/>
  <c r="LY418" i="2"/>
  <c r="LZ418" i="2"/>
  <c r="LY419" i="2"/>
  <c r="LZ419" i="2"/>
  <c r="LY420" i="2"/>
  <c r="LZ420" i="2"/>
  <c r="LY421" i="2"/>
  <c r="LZ421" i="2"/>
  <c r="LY422" i="2"/>
  <c r="LZ422" i="2"/>
  <c r="LY423" i="2"/>
  <c r="LZ423" i="2"/>
  <c r="LY424" i="2"/>
  <c r="LZ424" i="2"/>
  <c r="LY425" i="2"/>
  <c r="LZ425" i="2"/>
  <c r="LY426" i="2"/>
  <c r="LZ426" i="2"/>
  <c r="LY427" i="2"/>
  <c r="LZ427" i="2"/>
  <c r="LY428" i="2"/>
  <c r="LZ428" i="2"/>
  <c r="LY429" i="2"/>
  <c r="LZ429" i="2"/>
  <c r="LY430" i="2"/>
  <c r="LZ430" i="2"/>
  <c r="LY432" i="2"/>
  <c r="LZ432" i="2"/>
  <c r="LY433" i="2"/>
  <c r="LZ433" i="2"/>
  <c r="LY434" i="2"/>
  <c r="LZ434" i="2"/>
  <c r="LY435" i="2"/>
  <c r="LZ435" i="2"/>
  <c r="LY436" i="2"/>
  <c r="LZ436" i="2"/>
  <c r="LY437" i="2"/>
  <c r="LZ437" i="2"/>
  <c r="LY438" i="2"/>
  <c r="LZ438" i="2"/>
  <c r="LY439" i="2"/>
  <c r="LZ439" i="2"/>
  <c r="LY440" i="2"/>
  <c r="LZ440" i="2"/>
  <c r="LY441" i="2"/>
  <c r="LZ441" i="2"/>
  <c r="LY442" i="2"/>
  <c r="LZ442" i="2"/>
  <c r="LY443" i="2"/>
  <c r="LZ443" i="2"/>
  <c r="LY444" i="2"/>
  <c r="LZ444" i="2"/>
  <c r="LY445" i="2"/>
  <c r="LZ445" i="2"/>
  <c r="LY446" i="2"/>
  <c r="LZ446" i="2"/>
  <c r="LY447" i="2"/>
  <c r="LZ447" i="2"/>
  <c r="LY448" i="2"/>
  <c r="LZ448" i="2"/>
  <c r="LY449" i="2"/>
  <c r="LZ449" i="2"/>
  <c r="LY450" i="2"/>
  <c r="LZ450" i="2"/>
  <c r="LY451" i="2"/>
  <c r="LZ451" i="2"/>
  <c r="LY452" i="2"/>
  <c r="LZ452" i="2"/>
  <c r="LY453" i="2"/>
  <c r="LZ453" i="2"/>
  <c r="LY454" i="2"/>
  <c r="LZ454" i="2"/>
  <c r="LY455" i="2"/>
  <c r="LZ455" i="2"/>
  <c r="LY456" i="2"/>
  <c r="LZ456" i="2"/>
  <c r="LY457" i="2"/>
  <c r="LZ457" i="2"/>
  <c r="LY458" i="2"/>
  <c r="LZ458" i="2"/>
  <c r="LY459" i="2"/>
  <c r="LZ459" i="2"/>
  <c r="LY460" i="2"/>
  <c r="LZ460" i="2"/>
  <c r="LY461" i="2"/>
  <c r="LZ461" i="2"/>
  <c r="LY462" i="2"/>
  <c r="LZ462" i="2"/>
  <c r="LY463" i="2"/>
  <c r="LZ463" i="2"/>
  <c r="LY464" i="2"/>
  <c r="LZ464" i="2"/>
  <c r="LY465" i="2"/>
  <c r="LZ465" i="2"/>
  <c r="LY466" i="2"/>
  <c r="LZ466" i="2"/>
  <c r="LY467" i="2"/>
  <c r="LZ467" i="2"/>
  <c r="LY468" i="2"/>
  <c r="LZ468" i="2"/>
  <c r="LZ15" i="2"/>
  <c r="LZ16" i="2"/>
  <c r="LZ17" i="2"/>
  <c r="LZ18" i="2"/>
  <c r="LZ19" i="2"/>
  <c r="LZ20" i="2"/>
  <c r="LZ21" i="2"/>
  <c r="LZ22" i="2"/>
  <c r="LZ23" i="2"/>
  <c r="LZ24" i="2"/>
  <c r="LZ25" i="2"/>
  <c r="LZ26" i="2"/>
  <c r="LZ27" i="2"/>
  <c r="LZ28" i="2"/>
  <c r="LZ29" i="2"/>
  <c r="LZ30" i="2"/>
  <c r="LZ31" i="2"/>
  <c r="LZ32" i="2"/>
  <c r="LZ33" i="2"/>
  <c r="LZ34" i="2"/>
  <c r="LZ35" i="2"/>
  <c r="LZ36" i="2"/>
  <c r="LZ37" i="2"/>
  <c r="LZ38" i="2"/>
  <c r="LZ39" i="2"/>
  <c r="LZ40" i="2"/>
  <c r="LZ41" i="2"/>
  <c r="LZ42" i="2"/>
  <c r="LZ43" i="2"/>
  <c r="LZ44" i="2"/>
  <c r="LZ45" i="2"/>
  <c r="LZ46" i="2"/>
  <c r="LZ47" i="2"/>
  <c r="LZ48" i="2"/>
  <c r="LZ49" i="2"/>
  <c r="LZ50" i="2"/>
  <c r="LZ14" i="2"/>
  <c r="LY14" i="2"/>
  <c r="LI52" i="2"/>
  <c r="LJ52" i="2"/>
  <c r="LI53" i="2"/>
  <c r="LJ53" i="2"/>
  <c r="LI54" i="2"/>
  <c r="LJ54" i="2"/>
  <c r="LI55" i="2"/>
  <c r="LJ55" i="2"/>
  <c r="LI56" i="2"/>
  <c r="LJ56" i="2"/>
  <c r="LI57" i="2"/>
  <c r="LJ57" i="2"/>
  <c r="LI58" i="2"/>
  <c r="LJ58" i="2"/>
  <c r="LI59" i="2"/>
  <c r="LJ59" i="2"/>
  <c r="LI60" i="2"/>
  <c r="LJ60" i="2"/>
  <c r="LI61" i="2"/>
  <c r="LJ61" i="2"/>
  <c r="LI62" i="2"/>
  <c r="LJ62" i="2"/>
  <c r="LI63" i="2"/>
  <c r="LJ63" i="2"/>
  <c r="LI64" i="2"/>
  <c r="LJ64" i="2"/>
  <c r="LI65" i="2"/>
  <c r="LJ65" i="2"/>
  <c r="LI66" i="2"/>
  <c r="LJ66" i="2"/>
  <c r="LI67" i="2"/>
  <c r="LJ67" i="2"/>
  <c r="LI68" i="2"/>
  <c r="LJ68" i="2"/>
  <c r="LI69" i="2"/>
  <c r="LJ69" i="2"/>
  <c r="LI70" i="2"/>
  <c r="LJ70" i="2"/>
  <c r="LI71" i="2"/>
  <c r="LJ71" i="2"/>
  <c r="LI72" i="2"/>
  <c r="LJ72" i="2"/>
  <c r="LI73" i="2"/>
  <c r="LJ73" i="2"/>
  <c r="LI74" i="2"/>
  <c r="LJ74" i="2"/>
  <c r="LI75" i="2"/>
  <c r="LJ75" i="2"/>
  <c r="LI76" i="2"/>
  <c r="LJ76" i="2"/>
  <c r="LI77" i="2"/>
  <c r="LJ77" i="2"/>
  <c r="LI78" i="2"/>
  <c r="LJ78" i="2"/>
  <c r="LI79" i="2"/>
  <c r="LJ79" i="2"/>
  <c r="LI80" i="2"/>
  <c r="LJ80" i="2"/>
  <c r="LI81" i="2"/>
  <c r="LJ81" i="2"/>
  <c r="LI82" i="2"/>
  <c r="LJ82" i="2"/>
  <c r="LI83" i="2"/>
  <c r="LJ83" i="2"/>
  <c r="LI84" i="2"/>
  <c r="LJ84" i="2"/>
  <c r="LI85" i="2"/>
  <c r="LJ85" i="2"/>
  <c r="LI86" i="2"/>
  <c r="LJ86" i="2"/>
  <c r="LI87" i="2"/>
  <c r="LJ87" i="2"/>
  <c r="LI88" i="2"/>
  <c r="LJ88" i="2"/>
  <c r="LI90" i="2"/>
  <c r="LJ90" i="2"/>
  <c r="LI91" i="2"/>
  <c r="LJ91" i="2"/>
  <c r="LI92" i="2"/>
  <c r="LJ92" i="2"/>
  <c r="LI93" i="2"/>
  <c r="LJ93" i="2"/>
  <c r="LI94" i="2"/>
  <c r="LJ94" i="2"/>
  <c r="LI95" i="2"/>
  <c r="LJ95" i="2"/>
  <c r="LI96" i="2"/>
  <c r="LJ96" i="2"/>
  <c r="LI97" i="2"/>
  <c r="LJ97" i="2"/>
  <c r="LI98" i="2"/>
  <c r="LJ98" i="2"/>
  <c r="LI99" i="2"/>
  <c r="LJ99" i="2"/>
  <c r="LI100" i="2"/>
  <c r="LJ100" i="2"/>
  <c r="LI101" i="2"/>
  <c r="LJ101" i="2"/>
  <c r="LI102" i="2"/>
  <c r="LJ102" i="2"/>
  <c r="LI103" i="2"/>
  <c r="LJ103" i="2"/>
  <c r="LI104" i="2"/>
  <c r="LJ104" i="2"/>
  <c r="LI105" i="2"/>
  <c r="LJ105" i="2"/>
  <c r="LI106" i="2"/>
  <c r="LJ106" i="2"/>
  <c r="LI107" i="2"/>
  <c r="LJ107" i="2"/>
  <c r="LI108" i="2"/>
  <c r="LJ108" i="2"/>
  <c r="LI109" i="2"/>
  <c r="LJ109" i="2"/>
  <c r="LI110" i="2"/>
  <c r="LJ110" i="2"/>
  <c r="LI111" i="2"/>
  <c r="LJ111" i="2"/>
  <c r="LI112" i="2"/>
  <c r="LJ112" i="2"/>
  <c r="LI113" i="2"/>
  <c r="LJ113" i="2"/>
  <c r="LI114" i="2"/>
  <c r="LJ114" i="2"/>
  <c r="LI115" i="2"/>
  <c r="LJ115" i="2"/>
  <c r="LI116" i="2"/>
  <c r="LJ116" i="2"/>
  <c r="LI117" i="2"/>
  <c r="LJ117" i="2"/>
  <c r="LI118" i="2"/>
  <c r="LJ118" i="2"/>
  <c r="LI119" i="2"/>
  <c r="LJ119" i="2"/>
  <c r="LI120" i="2"/>
  <c r="LJ120" i="2"/>
  <c r="LI121" i="2"/>
  <c r="LJ121" i="2"/>
  <c r="LI122" i="2"/>
  <c r="LJ122" i="2"/>
  <c r="LI123" i="2"/>
  <c r="LJ123" i="2"/>
  <c r="LI124" i="2"/>
  <c r="LJ124" i="2"/>
  <c r="LI125" i="2"/>
  <c r="LJ125" i="2"/>
  <c r="LI126" i="2"/>
  <c r="LJ126" i="2"/>
  <c r="LI128" i="2"/>
  <c r="LJ128" i="2"/>
  <c r="LI129" i="2"/>
  <c r="LJ129" i="2"/>
  <c r="LI130" i="2"/>
  <c r="LJ130" i="2"/>
  <c r="LI131" i="2"/>
  <c r="LJ131" i="2"/>
  <c r="LI132" i="2"/>
  <c r="LJ132" i="2"/>
  <c r="LI133" i="2"/>
  <c r="LJ133" i="2"/>
  <c r="LI134" i="2"/>
  <c r="LJ134" i="2"/>
  <c r="LI135" i="2"/>
  <c r="LJ135" i="2"/>
  <c r="LI136" i="2"/>
  <c r="LJ136" i="2"/>
  <c r="LI137" i="2"/>
  <c r="LJ137" i="2"/>
  <c r="LI138" i="2"/>
  <c r="LJ138" i="2"/>
  <c r="LI139" i="2"/>
  <c r="LJ139" i="2"/>
  <c r="LI140" i="2"/>
  <c r="LJ140" i="2"/>
  <c r="LI141" i="2"/>
  <c r="LJ141" i="2"/>
  <c r="LI142" i="2"/>
  <c r="LJ142" i="2"/>
  <c r="LI143" i="2"/>
  <c r="LJ143" i="2"/>
  <c r="LI144" i="2"/>
  <c r="LJ144" i="2"/>
  <c r="LI145" i="2"/>
  <c r="LJ145" i="2"/>
  <c r="LI146" i="2"/>
  <c r="LJ146" i="2"/>
  <c r="LI147" i="2"/>
  <c r="LJ147" i="2"/>
  <c r="LI148" i="2"/>
  <c r="LJ148" i="2"/>
  <c r="LI149" i="2"/>
  <c r="LJ149" i="2"/>
  <c r="LI150" i="2"/>
  <c r="LJ150" i="2"/>
  <c r="LI151" i="2"/>
  <c r="LJ151" i="2"/>
  <c r="LI152" i="2"/>
  <c r="LJ152" i="2"/>
  <c r="LI153" i="2"/>
  <c r="LJ153" i="2"/>
  <c r="LI154" i="2"/>
  <c r="LJ154" i="2"/>
  <c r="LI155" i="2"/>
  <c r="LJ155" i="2"/>
  <c r="LI156" i="2"/>
  <c r="LJ156" i="2"/>
  <c r="LI157" i="2"/>
  <c r="LJ157" i="2"/>
  <c r="LI158" i="2"/>
  <c r="LJ158" i="2"/>
  <c r="LI159" i="2"/>
  <c r="LJ159" i="2"/>
  <c r="LI160" i="2"/>
  <c r="LJ160" i="2"/>
  <c r="LI161" i="2"/>
  <c r="LJ161" i="2"/>
  <c r="LI162" i="2"/>
  <c r="LJ162" i="2"/>
  <c r="LI163" i="2"/>
  <c r="LJ163" i="2"/>
  <c r="LI164" i="2"/>
  <c r="LJ164" i="2"/>
  <c r="LI166" i="2"/>
  <c r="LJ166" i="2"/>
  <c r="LI167" i="2"/>
  <c r="LJ167" i="2"/>
  <c r="LI168" i="2"/>
  <c r="LJ168" i="2"/>
  <c r="LI169" i="2"/>
  <c r="LJ169" i="2"/>
  <c r="LI170" i="2"/>
  <c r="LJ170" i="2"/>
  <c r="LI171" i="2"/>
  <c r="LJ171" i="2"/>
  <c r="LI172" i="2"/>
  <c r="LJ172" i="2"/>
  <c r="LI173" i="2"/>
  <c r="LJ173" i="2"/>
  <c r="LI174" i="2"/>
  <c r="LJ174" i="2"/>
  <c r="LI175" i="2"/>
  <c r="LJ175" i="2"/>
  <c r="LI176" i="2"/>
  <c r="LJ176" i="2"/>
  <c r="LI177" i="2"/>
  <c r="LJ177" i="2"/>
  <c r="LI178" i="2"/>
  <c r="LJ178" i="2"/>
  <c r="LI179" i="2"/>
  <c r="LJ179" i="2"/>
  <c r="LI180" i="2"/>
  <c r="LJ180" i="2"/>
  <c r="LI181" i="2"/>
  <c r="LJ181" i="2"/>
  <c r="LI182" i="2"/>
  <c r="LJ182" i="2"/>
  <c r="LI183" i="2"/>
  <c r="LJ183" i="2"/>
  <c r="LI184" i="2"/>
  <c r="LJ184" i="2"/>
  <c r="LI185" i="2"/>
  <c r="LJ185" i="2"/>
  <c r="LI186" i="2"/>
  <c r="LJ186" i="2"/>
  <c r="LI187" i="2"/>
  <c r="LJ187" i="2"/>
  <c r="LI188" i="2"/>
  <c r="LJ188" i="2"/>
  <c r="LI189" i="2"/>
  <c r="LJ189" i="2"/>
  <c r="LI190" i="2"/>
  <c r="LJ190" i="2"/>
  <c r="LI191" i="2"/>
  <c r="LJ191" i="2"/>
  <c r="LI192" i="2"/>
  <c r="LJ192" i="2"/>
  <c r="LI193" i="2"/>
  <c r="LJ193" i="2"/>
  <c r="LI194" i="2"/>
  <c r="LJ194" i="2"/>
  <c r="LI195" i="2"/>
  <c r="LJ195" i="2"/>
  <c r="LI196" i="2"/>
  <c r="LJ196" i="2"/>
  <c r="LI197" i="2"/>
  <c r="LJ197" i="2"/>
  <c r="LI198" i="2"/>
  <c r="LJ198" i="2"/>
  <c r="LI199" i="2"/>
  <c r="LJ199" i="2"/>
  <c r="LI200" i="2"/>
  <c r="LJ200" i="2"/>
  <c r="LI201" i="2"/>
  <c r="LJ201" i="2"/>
  <c r="LI202" i="2"/>
  <c r="LJ202" i="2"/>
  <c r="LI204" i="2"/>
  <c r="LJ204" i="2"/>
  <c r="LI205" i="2"/>
  <c r="LJ205" i="2"/>
  <c r="LI206" i="2"/>
  <c r="LJ206" i="2"/>
  <c r="LI207" i="2"/>
  <c r="LJ207" i="2"/>
  <c r="LI208" i="2"/>
  <c r="LJ208" i="2"/>
  <c r="LI209" i="2"/>
  <c r="LJ209" i="2"/>
  <c r="LI210" i="2"/>
  <c r="LJ210" i="2"/>
  <c r="LI211" i="2"/>
  <c r="LJ211" i="2"/>
  <c r="LI212" i="2"/>
  <c r="LJ212" i="2"/>
  <c r="LI213" i="2"/>
  <c r="LJ213" i="2"/>
  <c r="LI214" i="2"/>
  <c r="LJ214" i="2"/>
  <c r="LI215" i="2"/>
  <c r="LJ215" i="2"/>
  <c r="LI216" i="2"/>
  <c r="LJ216" i="2"/>
  <c r="LI217" i="2"/>
  <c r="LJ217" i="2"/>
  <c r="LI218" i="2"/>
  <c r="LJ218" i="2"/>
  <c r="LI219" i="2"/>
  <c r="LJ219" i="2"/>
  <c r="LI220" i="2"/>
  <c r="LJ220" i="2"/>
  <c r="LI221" i="2"/>
  <c r="LJ221" i="2"/>
  <c r="LI222" i="2"/>
  <c r="LJ222" i="2"/>
  <c r="LI223" i="2"/>
  <c r="LJ223" i="2"/>
  <c r="LI224" i="2"/>
  <c r="LJ224" i="2"/>
  <c r="LI225" i="2"/>
  <c r="LJ225" i="2"/>
  <c r="LI226" i="2"/>
  <c r="LJ226" i="2"/>
  <c r="LI227" i="2"/>
  <c r="LJ227" i="2"/>
  <c r="LI228" i="2"/>
  <c r="LJ228" i="2"/>
  <c r="LI229" i="2"/>
  <c r="LJ229" i="2"/>
  <c r="LI230" i="2"/>
  <c r="LJ230" i="2"/>
  <c r="LI231" i="2"/>
  <c r="LJ231" i="2"/>
  <c r="LI232" i="2"/>
  <c r="LJ232" i="2"/>
  <c r="LI233" i="2"/>
  <c r="LJ233" i="2"/>
  <c r="LI234" i="2"/>
  <c r="LJ234" i="2"/>
  <c r="LI235" i="2"/>
  <c r="LJ235" i="2"/>
  <c r="LI236" i="2"/>
  <c r="LJ236" i="2"/>
  <c r="LI237" i="2"/>
  <c r="LJ237" i="2"/>
  <c r="LI238" i="2"/>
  <c r="LJ238" i="2"/>
  <c r="LI239" i="2"/>
  <c r="LJ239" i="2"/>
  <c r="LI240" i="2"/>
  <c r="LJ240" i="2"/>
  <c r="LI242" i="2"/>
  <c r="LJ242" i="2"/>
  <c r="LI243" i="2"/>
  <c r="LJ243" i="2"/>
  <c r="LI244" i="2"/>
  <c r="LJ244" i="2"/>
  <c r="LI245" i="2"/>
  <c r="LJ245" i="2"/>
  <c r="LI246" i="2"/>
  <c r="LJ246" i="2"/>
  <c r="LI247" i="2"/>
  <c r="LJ247" i="2"/>
  <c r="LI248" i="2"/>
  <c r="LJ248" i="2"/>
  <c r="LI249" i="2"/>
  <c r="LJ249" i="2"/>
  <c r="LI250" i="2"/>
  <c r="LJ250" i="2"/>
  <c r="LI251" i="2"/>
  <c r="LJ251" i="2"/>
  <c r="LI252" i="2"/>
  <c r="LJ252" i="2"/>
  <c r="LI253" i="2"/>
  <c r="LJ253" i="2"/>
  <c r="LI254" i="2"/>
  <c r="LJ254" i="2"/>
  <c r="LI255" i="2"/>
  <c r="LJ255" i="2"/>
  <c r="LI256" i="2"/>
  <c r="LJ256" i="2"/>
  <c r="LI257" i="2"/>
  <c r="LJ257" i="2"/>
  <c r="LI258" i="2"/>
  <c r="LJ258" i="2"/>
  <c r="LI259" i="2"/>
  <c r="LJ259" i="2"/>
  <c r="LI260" i="2"/>
  <c r="LJ260" i="2"/>
  <c r="LI261" i="2"/>
  <c r="LJ261" i="2"/>
  <c r="LI262" i="2"/>
  <c r="LJ262" i="2"/>
  <c r="LI263" i="2"/>
  <c r="LJ263" i="2"/>
  <c r="LI264" i="2"/>
  <c r="LJ264" i="2"/>
  <c r="LI265" i="2"/>
  <c r="LJ265" i="2"/>
  <c r="LI266" i="2"/>
  <c r="LJ266" i="2"/>
  <c r="LI267" i="2"/>
  <c r="LJ267" i="2"/>
  <c r="LI268" i="2"/>
  <c r="LJ268" i="2"/>
  <c r="LI269" i="2"/>
  <c r="LJ269" i="2"/>
  <c r="LI270" i="2"/>
  <c r="LJ270" i="2"/>
  <c r="LI271" i="2"/>
  <c r="LJ271" i="2"/>
  <c r="LI272" i="2"/>
  <c r="LJ272" i="2"/>
  <c r="LI273" i="2"/>
  <c r="LJ273" i="2"/>
  <c r="LI274" i="2"/>
  <c r="LJ274" i="2"/>
  <c r="LI275" i="2"/>
  <c r="LJ275" i="2"/>
  <c r="LI276" i="2"/>
  <c r="LJ276" i="2"/>
  <c r="LI277" i="2"/>
  <c r="LJ277" i="2"/>
  <c r="LI278" i="2"/>
  <c r="LJ278" i="2"/>
  <c r="LI280" i="2"/>
  <c r="LJ280" i="2"/>
  <c r="LI281" i="2"/>
  <c r="LJ281" i="2"/>
  <c r="LI282" i="2"/>
  <c r="LJ282" i="2"/>
  <c r="LI283" i="2"/>
  <c r="LJ283" i="2"/>
  <c r="LI284" i="2"/>
  <c r="LJ284" i="2"/>
  <c r="LI285" i="2"/>
  <c r="LJ285" i="2"/>
  <c r="LI286" i="2"/>
  <c r="LJ286" i="2"/>
  <c r="LI287" i="2"/>
  <c r="LJ287" i="2"/>
  <c r="LI288" i="2"/>
  <c r="LJ288" i="2"/>
  <c r="LI289" i="2"/>
  <c r="LJ289" i="2"/>
  <c r="LI290" i="2"/>
  <c r="LJ290" i="2"/>
  <c r="LI291" i="2"/>
  <c r="LJ291" i="2"/>
  <c r="LI292" i="2"/>
  <c r="LJ292" i="2"/>
  <c r="LI293" i="2"/>
  <c r="LJ293" i="2"/>
  <c r="LI294" i="2"/>
  <c r="LJ294" i="2"/>
  <c r="LI295" i="2"/>
  <c r="LJ295" i="2"/>
  <c r="LI296" i="2"/>
  <c r="LJ296" i="2"/>
  <c r="LI297" i="2"/>
  <c r="LJ297" i="2"/>
  <c r="LI298" i="2"/>
  <c r="LJ298" i="2"/>
  <c r="LI299" i="2"/>
  <c r="LJ299" i="2"/>
  <c r="LI300" i="2"/>
  <c r="LJ300" i="2"/>
  <c r="LI301" i="2"/>
  <c r="LJ301" i="2"/>
  <c r="LI302" i="2"/>
  <c r="LJ302" i="2"/>
  <c r="LI303" i="2"/>
  <c r="LJ303" i="2"/>
  <c r="LI304" i="2"/>
  <c r="LJ304" i="2"/>
  <c r="LI305" i="2"/>
  <c r="LJ305" i="2"/>
  <c r="LI306" i="2"/>
  <c r="LJ306" i="2"/>
  <c r="LI307" i="2"/>
  <c r="LJ307" i="2"/>
  <c r="LI308" i="2"/>
  <c r="LJ308" i="2"/>
  <c r="LI309" i="2"/>
  <c r="LJ309" i="2"/>
  <c r="LI310" i="2"/>
  <c r="LJ310" i="2"/>
  <c r="LI311" i="2"/>
  <c r="LJ311" i="2"/>
  <c r="LI312" i="2"/>
  <c r="LJ312" i="2"/>
  <c r="LI313" i="2"/>
  <c r="LJ313" i="2"/>
  <c r="LI314" i="2"/>
  <c r="LJ314" i="2"/>
  <c r="LI315" i="2"/>
  <c r="LJ315" i="2"/>
  <c r="LI316" i="2"/>
  <c r="LJ316" i="2"/>
  <c r="LI318" i="2"/>
  <c r="LJ318" i="2"/>
  <c r="LI319" i="2"/>
  <c r="LJ319" i="2"/>
  <c r="LI320" i="2"/>
  <c r="LJ320" i="2"/>
  <c r="LI321" i="2"/>
  <c r="LJ321" i="2"/>
  <c r="LI322" i="2"/>
  <c r="LJ322" i="2"/>
  <c r="LI323" i="2"/>
  <c r="LJ323" i="2"/>
  <c r="LI324" i="2"/>
  <c r="LJ324" i="2"/>
  <c r="LI325" i="2"/>
  <c r="LJ325" i="2"/>
  <c r="LI326" i="2"/>
  <c r="LJ326" i="2"/>
  <c r="LI327" i="2"/>
  <c r="LJ327" i="2"/>
  <c r="LI328" i="2"/>
  <c r="LJ328" i="2"/>
  <c r="LI329" i="2"/>
  <c r="LJ329" i="2"/>
  <c r="LI330" i="2"/>
  <c r="LJ330" i="2"/>
  <c r="LI331" i="2"/>
  <c r="LJ331" i="2"/>
  <c r="LI332" i="2"/>
  <c r="LJ332" i="2"/>
  <c r="LI333" i="2"/>
  <c r="LJ333" i="2"/>
  <c r="LI334" i="2"/>
  <c r="LJ334" i="2"/>
  <c r="LI335" i="2"/>
  <c r="LJ335" i="2"/>
  <c r="LI336" i="2"/>
  <c r="LJ336" i="2"/>
  <c r="LI337" i="2"/>
  <c r="LJ337" i="2"/>
  <c r="LI338" i="2"/>
  <c r="LJ338" i="2"/>
  <c r="LI339" i="2"/>
  <c r="LJ339" i="2"/>
  <c r="LI340" i="2"/>
  <c r="LJ340" i="2"/>
  <c r="LI341" i="2"/>
  <c r="LJ341" i="2"/>
  <c r="LI342" i="2"/>
  <c r="LJ342" i="2"/>
  <c r="LI343" i="2"/>
  <c r="LJ343" i="2"/>
  <c r="LI344" i="2"/>
  <c r="LJ344" i="2"/>
  <c r="LI345" i="2"/>
  <c r="LJ345" i="2"/>
  <c r="LI346" i="2"/>
  <c r="LJ346" i="2"/>
  <c r="LI347" i="2"/>
  <c r="LJ347" i="2"/>
  <c r="LI348" i="2"/>
  <c r="LJ348" i="2"/>
  <c r="LI349" i="2"/>
  <c r="LJ349" i="2"/>
  <c r="LI350" i="2"/>
  <c r="LJ350" i="2"/>
  <c r="LI351" i="2"/>
  <c r="LJ351" i="2"/>
  <c r="LI352" i="2"/>
  <c r="LJ352" i="2"/>
  <c r="LI353" i="2"/>
  <c r="LJ353" i="2"/>
  <c r="LI354" i="2"/>
  <c r="LJ354" i="2"/>
  <c r="LI356" i="2"/>
  <c r="LJ356" i="2"/>
  <c r="LI357" i="2"/>
  <c r="LJ357" i="2"/>
  <c r="LI358" i="2"/>
  <c r="LJ358" i="2"/>
  <c r="LI359" i="2"/>
  <c r="LJ359" i="2"/>
  <c r="LI360" i="2"/>
  <c r="LJ360" i="2"/>
  <c r="LI361" i="2"/>
  <c r="LJ361" i="2"/>
  <c r="LI362" i="2"/>
  <c r="LJ362" i="2"/>
  <c r="LI363" i="2"/>
  <c r="LJ363" i="2"/>
  <c r="LI364" i="2"/>
  <c r="LJ364" i="2"/>
  <c r="LI365" i="2"/>
  <c r="LJ365" i="2"/>
  <c r="LI366" i="2"/>
  <c r="LJ366" i="2"/>
  <c r="LI367" i="2"/>
  <c r="LJ367" i="2"/>
  <c r="LI368" i="2"/>
  <c r="LJ368" i="2"/>
  <c r="LI369" i="2"/>
  <c r="LJ369" i="2"/>
  <c r="LI370" i="2"/>
  <c r="LJ370" i="2"/>
  <c r="LI371" i="2"/>
  <c r="LJ371" i="2"/>
  <c r="LI372" i="2"/>
  <c r="LJ372" i="2"/>
  <c r="LI373" i="2"/>
  <c r="LJ373" i="2"/>
  <c r="LI374" i="2"/>
  <c r="LJ374" i="2"/>
  <c r="LI375" i="2"/>
  <c r="LJ375" i="2"/>
  <c r="LI376" i="2"/>
  <c r="LJ376" i="2"/>
  <c r="LI377" i="2"/>
  <c r="LJ377" i="2"/>
  <c r="LI378" i="2"/>
  <c r="LJ378" i="2"/>
  <c r="LI379" i="2"/>
  <c r="LJ379" i="2"/>
  <c r="LI380" i="2"/>
  <c r="LJ380" i="2"/>
  <c r="LI381" i="2"/>
  <c r="LJ381" i="2"/>
  <c r="LI382" i="2"/>
  <c r="LJ382" i="2"/>
  <c r="LI383" i="2"/>
  <c r="LJ383" i="2"/>
  <c r="LI384" i="2"/>
  <c r="LJ384" i="2"/>
  <c r="LI385" i="2"/>
  <c r="LJ385" i="2"/>
  <c r="LI386" i="2"/>
  <c r="LJ386" i="2"/>
  <c r="LI387" i="2"/>
  <c r="LJ387" i="2"/>
  <c r="LI388" i="2"/>
  <c r="LJ388" i="2"/>
  <c r="LI389" i="2"/>
  <c r="LJ389" i="2"/>
  <c r="LI390" i="2"/>
  <c r="LJ390" i="2"/>
  <c r="LI391" i="2"/>
  <c r="LJ391" i="2"/>
  <c r="LI392" i="2"/>
  <c r="LJ392" i="2"/>
  <c r="LI394" i="2"/>
  <c r="LJ394" i="2"/>
  <c r="LI395" i="2"/>
  <c r="LJ395" i="2"/>
  <c r="LI396" i="2"/>
  <c r="LJ396" i="2"/>
  <c r="LI397" i="2"/>
  <c r="LJ397" i="2"/>
  <c r="LI398" i="2"/>
  <c r="LJ398" i="2"/>
  <c r="LI399" i="2"/>
  <c r="LJ399" i="2"/>
  <c r="LI400" i="2"/>
  <c r="LJ400" i="2"/>
  <c r="LI401" i="2"/>
  <c r="LJ401" i="2"/>
  <c r="LI402" i="2"/>
  <c r="LJ402" i="2"/>
  <c r="LI403" i="2"/>
  <c r="LJ403" i="2"/>
  <c r="LI404" i="2"/>
  <c r="LJ404" i="2"/>
  <c r="LI405" i="2"/>
  <c r="LJ405" i="2"/>
  <c r="LI406" i="2"/>
  <c r="LJ406" i="2"/>
  <c r="LI407" i="2"/>
  <c r="LJ407" i="2"/>
  <c r="LI408" i="2"/>
  <c r="LJ408" i="2"/>
  <c r="LI409" i="2"/>
  <c r="LJ409" i="2"/>
  <c r="LI410" i="2"/>
  <c r="LJ410" i="2"/>
  <c r="LI411" i="2"/>
  <c r="LJ411" i="2"/>
  <c r="LI412" i="2"/>
  <c r="LJ412" i="2"/>
  <c r="LI413" i="2"/>
  <c r="LJ413" i="2"/>
  <c r="LI414" i="2"/>
  <c r="LJ414" i="2"/>
  <c r="LI415" i="2"/>
  <c r="LJ415" i="2"/>
  <c r="LI416" i="2"/>
  <c r="LJ416" i="2"/>
  <c r="LI417" i="2"/>
  <c r="LJ417" i="2"/>
  <c r="LI418" i="2"/>
  <c r="LJ418" i="2"/>
  <c r="LI419" i="2"/>
  <c r="LJ419" i="2"/>
  <c r="LI420" i="2"/>
  <c r="LJ420" i="2"/>
  <c r="LI421" i="2"/>
  <c r="LJ421" i="2"/>
  <c r="LI422" i="2"/>
  <c r="LJ422" i="2"/>
  <c r="LI423" i="2"/>
  <c r="LJ423" i="2"/>
  <c r="LI424" i="2"/>
  <c r="LJ424" i="2"/>
  <c r="LI425" i="2"/>
  <c r="LJ425" i="2"/>
  <c r="LI426" i="2"/>
  <c r="LJ426" i="2"/>
  <c r="LI427" i="2"/>
  <c r="LJ427" i="2"/>
  <c r="LI428" i="2"/>
  <c r="LJ428" i="2"/>
  <c r="LI429" i="2"/>
  <c r="LJ429" i="2"/>
  <c r="LI430" i="2"/>
  <c r="LJ430" i="2"/>
  <c r="LI432" i="2"/>
  <c r="LJ432" i="2"/>
  <c r="LI433" i="2"/>
  <c r="LJ433" i="2"/>
  <c r="LI434" i="2"/>
  <c r="LJ434" i="2"/>
  <c r="LI435" i="2"/>
  <c r="LJ435" i="2"/>
  <c r="LI436" i="2"/>
  <c r="LJ436" i="2"/>
  <c r="LI437" i="2"/>
  <c r="LJ437" i="2"/>
  <c r="LI438" i="2"/>
  <c r="LJ438" i="2"/>
  <c r="LI439" i="2"/>
  <c r="LJ439" i="2"/>
  <c r="LI440" i="2"/>
  <c r="LJ440" i="2"/>
  <c r="LI441" i="2"/>
  <c r="LJ441" i="2"/>
  <c r="LI442" i="2"/>
  <c r="LJ442" i="2"/>
  <c r="LI443" i="2"/>
  <c r="LJ443" i="2"/>
  <c r="LI444" i="2"/>
  <c r="LJ444" i="2"/>
  <c r="LI445" i="2"/>
  <c r="LJ445" i="2"/>
  <c r="LI446" i="2"/>
  <c r="LJ446" i="2"/>
  <c r="LI447" i="2"/>
  <c r="LJ447" i="2"/>
  <c r="LI448" i="2"/>
  <c r="LJ448" i="2"/>
  <c r="LI449" i="2"/>
  <c r="LJ449" i="2"/>
  <c r="LI450" i="2"/>
  <c r="LJ450" i="2"/>
  <c r="LI451" i="2"/>
  <c r="LJ451" i="2"/>
  <c r="LI452" i="2"/>
  <c r="LJ452" i="2"/>
  <c r="LI453" i="2"/>
  <c r="LJ453" i="2"/>
  <c r="LI454" i="2"/>
  <c r="LJ454" i="2"/>
  <c r="LI455" i="2"/>
  <c r="LJ455" i="2"/>
  <c r="LI456" i="2"/>
  <c r="LJ456" i="2"/>
  <c r="LI457" i="2"/>
  <c r="LJ457" i="2"/>
  <c r="LI458" i="2"/>
  <c r="LJ458" i="2"/>
  <c r="LI459" i="2"/>
  <c r="LJ459" i="2"/>
  <c r="LI460" i="2"/>
  <c r="LJ460" i="2"/>
  <c r="LI461" i="2"/>
  <c r="LJ461" i="2"/>
  <c r="LI462" i="2"/>
  <c r="LJ462" i="2"/>
  <c r="LI463" i="2"/>
  <c r="LJ463" i="2"/>
  <c r="LI464" i="2"/>
  <c r="LJ464" i="2"/>
  <c r="LI465" i="2"/>
  <c r="LJ465" i="2"/>
  <c r="LI466" i="2"/>
  <c r="LJ466" i="2"/>
  <c r="LI467" i="2"/>
  <c r="LJ467" i="2"/>
  <c r="LI468" i="2"/>
  <c r="LJ468" i="2"/>
  <c r="LJ15" i="2"/>
  <c r="LJ16" i="2"/>
  <c r="LJ17" i="2"/>
  <c r="LJ18" i="2"/>
  <c r="LJ19" i="2"/>
  <c r="LJ20" i="2"/>
  <c r="LJ21" i="2"/>
  <c r="LJ22" i="2"/>
  <c r="LJ23" i="2"/>
  <c r="LJ24" i="2"/>
  <c r="LJ25" i="2"/>
  <c r="LJ26" i="2"/>
  <c r="LJ27" i="2"/>
  <c r="LJ28" i="2"/>
  <c r="LJ29" i="2"/>
  <c r="LJ30" i="2"/>
  <c r="LJ31" i="2"/>
  <c r="LJ32" i="2"/>
  <c r="LJ33" i="2"/>
  <c r="LJ34" i="2"/>
  <c r="LJ35" i="2"/>
  <c r="LJ36" i="2"/>
  <c r="LJ37" i="2"/>
  <c r="LJ38" i="2"/>
  <c r="LJ39" i="2"/>
  <c r="LJ40" i="2"/>
  <c r="LJ41" i="2"/>
  <c r="LJ42" i="2"/>
  <c r="LJ43" i="2"/>
  <c r="LJ44" i="2"/>
  <c r="LJ45" i="2"/>
  <c r="LJ46" i="2"/>
  <c r="LJ47" i="2"/>
  <c r="LJ48" i="2"/>
  <c r="LJ49" i="2"/>
  <c r="LJ50" i="2"/>
  <c r="LJ14" i="2"/>
  <c r="LI14" i="2"/>
  <c r="KS52" i="2"/>
  <c r="KT52" i="2"/>
  <c r="KS53" i="2"/>
  <c r="KT53" i="2"/>
  <c r="KS54" i="2"/>
  <c r="KT54" i="2"/>
  <c r="KS55" i="2"/>
  <c r="KT55" i="2"/>
  <c r="KS56" i="2"/>
  <c r="KT56" i="2"/>
  <c r="KS57" i="2"/>
  <c r="KT57" i="2"/>
  <c r="KS58" i="2"/>
  <c r="KT58" i="2"/>
  <c r="KS59" i="2"/>
  <c r="KT59" i="2"/>
  <c r="KS60" i="2"/>
  <c r="KT60" i="2"/>
  <c r="KS61" i="2"/>
  <c r="KT61" i="2"/>
  <c r="KS62" i="2"/>
  <c r="KT62" i="2"/>
  <c r="KS63" i="2"/>
  <c r="KT63" i="2"/>
  <c r="KS64" i="2"/>
  <c r="KT64" i="2"/>
  <c r="KS65" i="2"/>
  <c r="KT65" i="2"/>
  <c r="KS66" i="2"/>
  <c r="KT66" i="2"/>
  <c r="KS67" i="2"/>
  <c r="KT67" i="2"/>
  <c r="KS68" i="2"/>
  <c r="KT68" i="2"/>
  <c r="KS69" i="2"/>
  <c r="KT69" i="2"/>
  <c r="KS70" i="2"/>
  <c r="KT70" i="2"/>
  <c r="KS71" i="2"/>
  <c r="KT71" i="2"/>
  <c r="KS72" i="2"/>
  <c r="KT72" i="2"/>
  <c r="KS73" i="2"/>
  <c r="KT73" i="2"/>
  <c r="KS74" i="2"/>
  <c r="KT74" i="2"/>
  <c r="KS75" i="2"/>
  <c r="KT75" i="2"/>
  <c r="KS76" i="2"/>
  <c r="KT76" i="2"/>
  <c r="KS77" i="2"/>
  <c r="KT77" i="2"/>
  <c r="KS78" i="2"/>
  <c r="KT78" i="2"/>
  <c r="KS79" i="2"/>
  <c r="KT79" i="2"/>
  <c r="KS80" i="2"/>
  <c r="KT80" i="2"/>
  <c r="KS81" i="2"/>
  <c r="KT81" i="2"/>
  <c r="KS82" i="2"/>
  <c r="KT82" i="2"/>
  <c r="KS83" i="2"/>
  <c r="KT83" i="2"/>
  <c r="KS84" i="2"/>
  <c r="KT84" i="2"/>
  <c r="KS85" i="2"/>
  <c r="KT85" i="2"/>
  <c r="KS86" i="2"/>
  <c r="KT86" i="2"/>
  <c r="KS87" i="2"/>
  <c r="KT87" i="2"/>
  <c r="KS88" i="2"/>
  <c r="KT88" i="2"/>
  <c r="KS90" i="2"/>
  <c r="KT90" i="2"/>
  <c r="KS91" i="2"/>
  <c r="KT91" i="2"/>
  <c r="KS92" i="2"/>
  <c r="KT92" i="2"/>
  <c r="KS93" i="2"/>
  <c r="KT93" i="2"/>
  <c r="KS94" i="2"/>
  <c r="KT94" i="2"/>
  <c r="KS95" i="2"/>
  <c r="KT95" i="2"/>
  <c r="KS96" i="2"/>
  <c r="KT96" i="2"/>
  <c r="KS97" i="2"/>
  <c r="KT97" i="2"/>
  <c r="KS98" i="2"/>
  <c r="KT98" i="2"/>
  <c r="KS99" i="2"/>
  <c r="KT99" i="2"/>
  <c r="KS100" i="2"/>
  <c r="KT100" i="2"/>
  <c r="KS101" i="2"/>
  <c r="KT101" i="2"/>
  <c r="KS102" i="2"/>
  <c r="KT102" i="2"/>
  <c r="KS103" i="2"/>
  <c r="KT103" i="2"/>
  <c r="KS104" i="2"/>
  <c r="KT104" i="2"/>
  <c r="KS105" i="2"/>
  <c r="KT105" i="2"/>
  <c r="KS106" i="2"/>
  <c r="KT106" i="2"/>
  <c r="KS107" i="2"/>
  <c r="KT107" i="2"/>
  <c r="KS108" i="2"/>
  <c r="KT108" i="2"/>
  <c r="KS109" i="2"/>
  <c r="KT109" i="2"/>
  <c r="KS110" i="2"/>
  <c r="KT110" i="2"/>
  <c r="KS111" i="2"/>
  <c r="KT111" i="2"/>
  <c r="KS112" i="2"/>
  <c r="KT112" i="2"/>
  <c r="KS113" i="2"/>
  <c r="KT113" i="2"/>
  <c r="KS114" i="2"/>
  <c r="KT114" i="2"/>
  <c r="KS115" i="2"/>
  <c r="KT115" i="2"/>
  <c r="KS116" i="2"/>
  <c r="KT116" i="2"/>
  <c r="KS117" i="2"/>
  <c r="KT117" i="2"/>
  <c r="KS118" i="2"/>
  <c r="KT118" i="2"/>
  <c r="KS119" i="2"/>
  <c r="KT119" i="2"/>
  <c r="KS120" i="2"/>
  <c r="KT120" i="2"/>
  <c r="KS121" i="2"/>
  <c r="KT121" i="2"/>
  <c r="KS122" i="2"/>
  <c r="KT122" i="2"/>
  <c r="KS123" i="2"/>
  <c r="KT123" i="2"/>
  <c r="KS124" i="2"/>
  <c r="KT124" i="2"/>
  <c r="KS125" i="2"/>
  <c r="KT125" i="2"/>
  <c r="KS126" i="2"/>
  <c r="KT126" i="2"/>
  <c r="KS128" i="2"/>
  <c r="KT128" i="2"/>
  <c r="KS129" i="2"/>
  <c r="KT129" i="2"/>
  <c r="KS130" i="2"/>
  <c r="KT130" i="2"/>
  <c r="KS131" i="2"/>
  <c r="KT131" i="2"/>
  <c r="KS132" i="2"/>
  <c r="KT132" i="2"/>
  <c r="KS133" i="2"/>
  <c r="KT133" i="2"/>
  <c r="KS134" i="2"/>
  <c r="KT134" i="2"/>
  <c r="KS135" i="2"/>
  <c r="KT135" i="2"/>
  <c r="KS136" i="2"/>
  <c r="KT136" i="2"/>
  <c r="KS137" i="2"/>
  <c r="KT137" i="2"/>
  <c r="KS138" i="2"/>
  <c r="KT138" i="2"/>
  <c r="KS139" i="2"/>
  <c r="KT139" i="2"/>
  <c r="KS140" i="2"/>
  <c r="KT140" i="2"/>
  <c r="KS141" i="2"/>
  <c r="KT141" i="2"/>
  <c r="KS142" i="2"/>
  <c r="KT142" i="2"/>
  <c r="KS143" i="2"/>
  <c r="KT143" i="2"/>
  <c r="KS144" i="2"/>
  <c r="KT144" i="2"/>
  <c r="KS145" i="2"/>
  <c r="KT145" i="2"/>
  <c r="KS146" i="2"/>
  <c r="KT146" i="2"/>
  <c r="KS147" i="2"/>
  <c r="KT147" i="2"/>
  <c r="KS148" i="2"/>
  <c r="KT148" i="2"/>
  <c r="KS149" i="2"/>
  <c r="KT149" i="2"/>
  <c r="KS150" i="2"/>
  <c r="KT150" i="2"/>
  <c r="KS151" i="2"/>
  <c r="KT151" i="2"/>
  <c r="KS152" i="2"/>
  <c r="KT152" i="2"/>
  <c r="KS153" i="2"/>
  <c r="KT153" i="2"/>
  <c r="KS154" i="2"/>
  <c r="KT154" i="2"/>
  <c r="KS155" i="2"/>
  <c r="KT155" i="2"/>
  <c r="KS156" i="2"/>
  <c r="KT156" i="2"/>
  <c r="KS157" i="2"/>
  <c r="KT157" i="2"/>
  <c r="KS158" i="2"/>
  <c r="KT158" i="2"/>
  <c r="KS159" i="2"/>
  <c r="KT159" i="2"/>
  <c r="KS160" i="2"/>
  <c r="KT160" i="2"/>
  <c r="KS161" i="2"/>
  <c r="KT161" i="2"/>
  <c r="KS162" i="2"/>
  <c r="KT162" i="2"/>
  <c r="KS163" i="2"/>
  <c r="KT163" i="2"/>
  <c r="KS164" i="2"/>
  <c r="KT164" i="2"/>
  <c r="KS166" i="2"/>
  <c r="KT166" i="2"/>
  <c r="KS167" i="2"/>
  <c r="KT167" i="2"/>
  <c r="KS168" i="2"/>
  <c r="KT168" i="2"/>
  <c r="KS169" i="2"/>
  <c r="KT169" i="2"/>
  <c r="KS170" i="2"/>
  <c r="KT170" i="2"/>
  <c r="KS171" i="2"/>
  <c r="KT171" i="2"/>
  <c r="KS172" i="2"/>
  <c r="KT172" i="2"/>
  <c r="KS173" i="2"/>
  <c r="KT173" i="2"/>
  <c r="KS174" i="2"/>
  <c r="KT174" i="2"/>
  <c r="KS175" i="2"/>
  <c r="KT175" i="2"/>
  <c r="KS176" i="2"/>
  <c r="KT176" i="2"/>
  <c r="KS177" i="2"/>
  <c r="KT177" i="2"/>
  <c r="KS178" i="2"/>
  <c r="KT178" i="2"/>
  <c r="KS179" i="2"/>
  <c r="KT179" i="2"/>
  <c r="KS180" i="2"/>
  <c r="KT180" i="2"/>
  <c r="KS181" i="2"/>
  <c r="KT181" i="2"/>
  <c r="KS182" i="2"/>
  <c r="KT182" i="2"/>
  <c r="KS183" i="2"/>
  <c r="KT183" i="2"/>
  <c r="KS184" i="2"/>
  <c r="KT184" i="2"/>
  <c r="KS185" i="2"/>
  <c r="KT185" i="2"/>
  <c r="KS186" i="2"/>
  <c r="KT186" i="2"/>
  <c r="KS187" i="2"/>
  <c r="KT187" i="2"/>
  <c r="KS188" i="2"/>
  <c r="KT188" i="2"/>
  <c r="KS189" i="2"/>
  <c r="KT189" i="2"/>
  <c r="KS190" i="2"/>
  <c r="KT190" i="2"/>
  <c r="KS191" i="2"/>
  <c r="KT191" i="2"/>
  <c r="KS192" i="2"/>
  <c r="KT192" i="2"/>
  <c r="KS193" i="2"/>
  <c r="KT193" i="2"/>
  <c r="KS194" i="2"/>
  <c r="KT194" i="2"/>
  <c r="KS195" i="2"/>
  <c r="KT195" i="2"/>
  <c r="KS196" i="2"/>
  <c r="KT196" i="2"/>
  <c r="KS197" i="2"/>
  <c r="KT197" i="2"/>
  <c r="KS198" i="2"/>
  <c r="KT198" i="2"/>
  <c r="KS199" i="2"/>
  <c r="KT199" i="2"/>
  <c r="KS200" i="2"/>
  <c r="KT200" i="2"/>
  <c r="KS201" i="2"/>
  <c r="KT201" i="2"/>
  <c r="KS202" i="2"/>
  <c r="KT202" i="2"/>
  <c r="KS204" i="2"/>
  <c r="KT204" i="2"/>
  <c r="KS205" i="2"/>
  <c r="KT205" i="2"/>
  <c r="KS206" i="2"/>
  <c r="KT206" i="2"/>
  <c r="KS207" i="2"/>
  <c r="KT207" i="2"/>
  <c r="KS208" i="2"/>
  <c r="KT208" i="2"/>
  <c r="KS209" i="2"/>
  <c r="KT209" i="2"/>
  <c r="KS210" i="2"/>
  <c r="KT210" i="2"/>
  <c r="KS211" i="2"/>
  <c r="KT211" i="2"/>
  <c r="KS212" i="2"/>
  <c r="KT212" i="2"/>
  <c r="KS213" i="2"/>
  <c r="KT213" i="2"/>
  <c r="KS214" i="2"/>
  <c r="KT214" i="2"/>
  <c r="KS215" i="2"/>
  <c r="KT215" i="2"/>
  <c r="KS216" i="2"/>
  <c r="KT216" i="2"/>
  <c r="KS217" i="2"/>
  <c r="KT217" i="2"/>
  <c r="KS218" i="2"/>
  <c r="KT218" i="2"/>
  <c r="KS219" i="2"/>
  <c r="KT219" i="2"/>
  <c r="KS220" i="2"/>
  <c r="KT220" i="2"/>
  <c r="KS221" i="2"/>
  <c r="KT221" i="2"/>
  <c r="KS222" i="2"/>
  <c r="KT222" i="2"/>
  <c r="KS223" i="2"/>
  <c r="KT223" i="2"/>
  <c r="KS224" i="2"/>
  <c r="KT224" i="2"/>
  <c r="KS225" i="2"/>
  <c r="KT225" i="2"/>
  <c r="KS226" i="2"/>
  <c r="KT226" i="2"/>
  <c r="KS227" i="2"/>
  <c r="KT227" i="2"/>
  <c r="KS228" i="2"/>
  <c r="KT228" i="2"/>
  <c r="KS229" i="2"/>
  <c r="KT229" i="2"/>
  <c r="KS230" i="2"/>
  <c r="KT230" i="2"/>
  <c r="KS231" i="2"/>
  <c r="KT231" i="2"/>
  <c r="KS232" i="2"/>
  <c r="KT232" i="2"/>
  <c r="KS233" i="2"/>
  <c r="KT233" i="2"/>
  <c r="KS234" i="2"/>
  <c r="KT234" i="2"/>
  <c r="KS235" i="2"/>
  <c r="KT235" i="2"/>
  <c r="KS236" i="2"/>
  <c r="KT236" i="2"/>
  <c r="KS237" i="2"/>
  <c r="KT237" i="2"/>
  <c r="KS238" i="2"/>
  <c r="KT238" i="2"/>
  <c r="KS239" i="2"/>
  <c r="KT239" i="2"/>
  <c r="KS240" i="2"/>
  <c r="KT240" i="2"/>
  <c r="KS242" i="2"/>
  <c r="KT242" i="2"/>
  <c r="KS243" i="2"/>
  <c r="KT243" i="2"/>
  <c r="KS244" i="2"/>
  <c r="KT244" i="2"/>
  <c r="KS245" i="2"/>
  <c r="KT245" i="2"/>
  <c r="KS246" i="2"/>
  <c r="KT246" i="2"/>
  <c r="KS247" i="2"/>
  <c r="KT247" i="2"/>
  <c r="KS248" i="2"/>
  <c r="KT248" i="2"/>
  <c r="KS249" i="2"/>
  <c r="KT249" i="2"/>
  <c r="KS250" i="2"/>
  <c r="KT250" i="2"/>
  <c r="KS251" i="2"/>
  <c r="KT251" i="2"/>
  <c r="KS252" i="2"/>
  <c r="KT252" i="2"/>
  <c r="KS253" i="2"/>
  <c r="KT253" i="2"/>
  <c r="KS254" i="2"/>
  <c r="KT254" i="2"/>
  <c r="KS255" i="2"/>
  <c r="KT255" i="2"/>
  <c r="KS256" i="2"/>
  <c r="KT256" i="2"/>
  <c r="KS257" i="2"/>
  <c r="KT257" i="2"/>
  <c r="KS258" i="2"/>
  <c r="KT258" i="2"/>
  <c r="KS259" i="2"/>
  <c r="KT259" i="2"/>
  <c r="KS260" i="2"/>
  <c r="KT260" i="2"/>
  <c r="KS261" i="2"/>
  <c r="KT261" i="2"/>
  <c r="KS262" i="2"/>
  <c r="KT262" i="2"/>
  <c r="KS263" i="2"/>
  <c r="KT263" i="2"/>
  <c r="KS264" i="2"/>
  <c r="KT264" i="2"/>
  <c r="KS265" i="2"/>
  <c r="KT265" i="2"/>
  <c r="KS266" i="2"/>
  <c r="KT266" i="2"/>
  <c r="KS267" i="2"/>
  <c r="KT267" i="2"/>
  <c r="KS268" i="2"/>
  <c r="KT268" i="2"/>
  <c r="KS269" i="2"/>
  <c r="KT269" i="2"/>
  <c r="KS270" i="2"/>
  <c r="KT270" i="2"/>
  <c r="KS271" i="2"/>
  <c r="KT271" i="2"/>
  <c r="KS272" i="2"/>
  <c r="KT272" i="2"/>
  <c r="KS273" i="2"/>
  <c r="KT273" i="2"/>
  <c r="KS274" i="2"/>
  <c r="KT274" i="2"/>
  <c r="KS275" i="2"/>
  <c r="KT275" i="2"/>
  <c r="KS276" i="2"/>
  <c r="KT276" i="2"/>
  <c r="KS277" i="2"/>
  <c r="KT277" i="2"/>
  <c r="KS278" i="2"/>
  <c r="KT278" i="2"/>
  <c r="KS280" i="2"/>
  <c r="KT280" i="2"/>
  <c r="KS281" i="2"/>
  <c r="KT281" i="2"/>
  <c r="KS282" i="2"/>
  <c r="KT282" i="2"/>
  <c r="KS283" i="2"/>
  <c r="KT283" i="2"/>
  <c r="KS284" i="2"/>
  <c r="KT284" i="2"/>
  <c r="KS285" i="2"/>
  <c r="KT285" i="2"/>
  <c r="KS286" i="2"/>
  <c r="KT286" i="2"/>
  <c r="KS287" i="2"/>
  <c r="KT287" i="2"/>
  <c r="KS288" i="2"/>
  <c r="KT288" i="2"/>
  <c r="KS289" i="2"/>
  <c r="KT289" i="2"/>
  <c r="KS290" i="2"/>
  <c r="KT290" i="2"/>
  <c r="KS291" i="2"/>
  <c r="KT291" i="2"/>
  <c r="KS292" i="2"/>
  <c r="KT292" i="2"/>
  <c r="KS293" i="2"/>
  <c r="KT293" i="2"/>
  <c r="KS294" i="2"/>
  <c r="KT294" i="2"/>
  <c r="KS295" i="2"/>
  <c r="KT295" i="2"/>
  <c r="KS296" i="2"/>
  <c r="KT296" i="2"/>
  <c r="KS297" i="2"/>
  <c r="KT297" i="2"/>
  <c r="KS298" i="2"/>
  <c r="KT298" i="2"/>
  <c r="KS299" i="2"/>
  <c r="KT299" i="2"/>
  <c r="KS300" i="2"/>
  <c r="KT300" i="2"/>
  <c r="KS301" i="2"/>
  <c r="KT301" i="2"/>
  <c r="KS302" i="2"/>
  <c r="KT302" i="2"/>
  <c r="KS303" i="2"/>
  <c r="KT303" i="2"/>
  <c r="KS304" i="2"/>
  <c r="KT304" i="2"/>
  <c r="KS305" i="2"/>
  <c r="KT305" i="2"/>
  <c r="KS306" i="2"/>
  <c r="KT306" i="2"/>
  <c r="KS307" i="2"/>
  <c r="KT307" i="2"/>
  <c r="KS308" i="2"/>
  <c r="KT308" i="2"/>
  <c r="KS309" i="2"/>
  <c r="KT309" i="2"/>
  <c r="KS310" i="2"/>
  <c r="KT310" i="2"/>
  <c r="KS311" i="2"/>
  <c r="KT311" i="2"/>
  <c r="KS312" i="2"/>
  <c r="KT312" i="2"/>
  <c r="KS313" i="2"/>
  <c r="KT313" i="2"/>
  <c r="KS314" i="2"/>
  <c r="KT314" i="2"/>
  <c r="KS315" i="2"/>
  <c r="KT315" i="2"/>
  <c r="KS316" i="2"/>
  <c r="KT316" i="2"/>
  <c r="KS318" i="2"/>
  <c r="KT318" i="2"/>
  <c r="KS319" i="2"/>
  <c r="KT319" i="2"/>
  <c r="KS320" i="2"/>
  <c r="KT320" i="2"/>
  <c r="KS321" i="2"/>
  <c r="KT321" i="2"/>
  <c r="KS322" i="2"/>
  <c r="KT322" i="2"/>
  <c r="KS323" i="2"/>
  <c r="KT323" i="2"/>
  <c r="KS324" i="2"/>
  <c r="KT324" i="2"/>
  <c r="KS325" i="2"/>
  <c r="KT325" i="2"/>
  <c r="KS326" i="2"/>
  <c r="KT326" i="2"/>
  <c r="KS327" i="2"/>
  <c r="KT327" i="2"/>
  <c r="KS328" i="2"/>
  <c r="KT328" i="2"/>
  <c r="KS329" i="2"/>
  <c r="KT329" i="2"/>
  <c r="KS330" i="2"/>
  <c r="KT330" i="2"/>
  <c r="KS331" i="2"/>
  <c r="KT331" i="2"/>
  <c r="KS332" i="2"/>
  <c r="KT332" i="2"/>
  <c r="KS333" i="2"/>
  <c r="KT333" i="2"/>
  <c r="KS334" i="2"/>
  <c r="KT334" i="2"/>
  <c r="KS335" i="2"/>
  <c r="KT335" i="2"/>
  <c r="KS336" i="2"/>
  <c r="KT336" i="2"/>
  <c r="KS337" i="2"/>
  <c r="KT337" i="2"/>
  <c r="KS338" i="2"/>
  <c r="KT338" i="2"/>
  <c r="KS339" i="2"/>
  <c r="KT339" i="2"/>
  <c r="KS340" i="2"/>
  <c r="KT340" i="2"/>
  <c r="KS341" i="2"/>
  <c r="KT341" i="2"/>
  <c r="KS342" i="2"/>
  <c r="KT342" i="2"/>
  <c r="KS343" i="2"/>
  <c r="KT343" i="2"/>
  <c r="KS344" i="2"/>
  <c r="KT344" i="2"/>
  <c r="KS345" i="2"/>
  <c r="KT345" i="2"/>
  <c r="KS346" i="2"/>
  <c r="KT346" i="2"/>
  <c r="KS347" i="2"/>
  <c r="KT347" i="2"/>
  <c r="KS348" i="2"/>
  <c r="KT348" i="2"/>
  <c r="KS349" i="2"/>
  <c r="KT349" i="2"/>
  <c r="KS350" i="2"/>
  <c r="KT350" i="2"/>
  <c r="KS351" i="2"/>
  <c r="KT351" i="2"/>
  <c r="KS352" i="2"/>
  <c r="KT352" i="2"/>
  <c r="KS353" i="2"/>
  <c r="KT353" i="2"/>
  <c r="KS354" i="2"/>
  <c r="KT354" i="2"/>
  <c r="KS356" i="2"/>
  <c r="KT356" i="2"/>
  <c r="KS357" i="2"/>
  <c r="KT357" i="2"/>
  <c r="KS358" i="2"/>
  <c r="KT358" i="2"/>
  <c r="KS359" i="2"/>
  <c r="KT359" i="2"/>
  <c r="KS360" i="2"/>
  <c r="KT360" i="2"/>
  <c r="KS361" i="2"/>
  <c r="KT361" i="2"/>
  <c r="KS362" i="2"/>
  <c r="KT362" i="2"/>
  <c r="KS363" i="2"/>
  <c r="KT363" i="2"/>
  <c r="KS364" i="2"/>
  <c r="KT364" i="2"/>
  <c r="KS365" i="2"/>
  <c r="KT365" i="2"/>
  <c r="KS366" i="2"/>
  <c r="KT366" i="2"/>
  <c r="KS367" i="2"/>
  <c r="KT367" i="2"/>
  <c r="KS368" i="2"/>
  <c r="KT368" i="2"/>
  <c r="KS369" i="2"/>
  <c r="KT369" i="2"/>
  <c r="KS370" i="2"/>
  <c r="KT370" i="2"/>
  <c r="KS371" i="2"/>
  <c r="KT371" i="2"/>
  <c r="KS372" i="2"/>
  <c r="KT372" i="2"/>
  <c r="KS373" i="2"/>
  <c r="KT373" i="2"/>
  <c r="KS374" i="2"/>
  <c r="KT374" i="2"/>
  <c r="KS375" i="2"/>
  <c r="KT375" i="2"/>
  <c r="KS376" i="2"/>
  <c r="KT376" i="2"/>
  <c r="KS377" i="2"/>
  <c r="KT377" i="2"/>
  <c r="KS378" i="2"/>
  <c r="KT378" i="2"/>
  <c r="KS379" i="2"/>
  <c r="KT379" i="2"/>
  <c r="KS380" i="2"/>
  <c r="KT380" i="2"/>
  <c r="KS381" i="2"/>
  <c r="KT381" i="2"/>
  <c r="KS382" i="2"/>
  <c r="KT382" i="2"/>
  <c r="KS383" i="2"/>
  <c r="KT383" i="2"/>
  <c r="KS384" i="2"/>
  <c r="KT384" i="2"/>
  <c r="KS385" i="2"/>
  <c r="KT385" i="2"/>
  <c r="KS386" i="2"/>
  <c r="KT386" i="2"/>
  <c r="KS387" i="2"/>
  <c r="KT387" i="2"/>
  <c r="KS388" i="2"/>
  <c r="KT388" i="2"/>
  <c r="KS389" i="2"/>
  <c r="KT389" i="2"/>
  <c r="KS390" i="2"/>
  <c r="KT390" i="2"/>
  <c r="KS391" i="2"/>
  <c r="KT391" i="2"/>
  <c r="KS392" i="2"/>
  <c r="KT392" i="2"/>
  <c r="KS394" i="2"/>
  <c r="KT394" i="2"/>
  <c r="KS395" i="2"/>
  <c r="KT395" i="2"/>
  <c r="KS396" i="2"/>
  <c r="KT396" i="2"/>
  <c r="KS397" i="2"/>
  <c r="KT397" i="2"/>
  <c r="KS398" i="2"/>
  <c r="KT398" i="2"/>
  <c r="KS399" i="2"/>
  <c r="KT399" i="2"/>
  <c r="KS400" i="2"/>
  <c r="KT400" i="2"/>
  <c r="KS401" i="2"/>
  <c r="KT401" i="2"/>
  <c r="KS402" i="2"/>
  <c r="KT402" i="2"/>
  <c r="KS403" i="2"/>
  <c r="KT403" i="2"/>
  <c r="KS404" i="2"/>
  <c r="KT404" i="2"/>
  <c r="KS405" i="2"/>
  <c r="KT405" i="2"/>
  <c r="KS406" i="2"/>
  <c r="KT406" i="2"/>
  <c r="KS407" i="2"/>
  <c r="KT407" i="2"/>
  <c r="KS408" i="2"/>
  <c r="KT408" i="2"/>
  <c r="KS409" i="2"/>
  <c r="KT409" i="2"/>
  <c r="KS410" i="2"/>
  <c r="KT410" i="2"/>
  <c r="KS411" i="2"/>
  <c r="KT411" i="2"/>
  <c r="KS412" i="2"/>
  <c r="KT412" i="2"/>
  <c r="KS413" i="2"/>
  <c r="KT413" i="2"/>
  <c r="KS414" i="2"/>
  <c r="KT414" i="2"/>
  <c r="KS415" i="2"/>
  <c r="KT415" i="2"/>
  <c r="KS416" i="2"/>
  <c r="KT416" i="2"/>
  <c r="KS417" i="2"/>
  <c r="KT417" i="2"/>
  <c r="KS418" i="2"/>
  <c r="KT418" i="2"/>
  <c r="KS419" i="2"/>
  <c r="KT419" i="2"/>
  <c r="KS420" i="2"/>
  <c r="KT420" i="2"/>
  <c r="KS421" i="2"/>
  <c r="KT421" i="2"/>
  <c r="KS422" i="2"/>
  <c r="KT422" i="2"/>
  <c r="KS423" i="2"/>
  <c r="KT423" i="2"/>
  <c r="KS424" i="2"/>
  <c r="KT424" i="2"/>
  <c r="KS425" i="2"/>
  <c r="KT425" i="2"/>
  <c r="KS426" i="2"/>
  <c r="KT426" i="2"/>
  <c r="KS427" i="2"/>
  <c r="KT427" i="2"/>
  <c r="KS428" i="2"/>
  <c r="KT428" i="2"/>
  <c r="KS429" i="2"/>
  <c r="KT429" i="2"/>
  <c r="KS430" i="2"/>
  <c r="KT430" i="2"/>
  <c r="KS432" i="2"/>
  <c r="KT432" i="2"/>
  <c r="KS433" i="2"/>
  <c r="KT433" i="2"/>
  <c r="KS434" i="2"/>
  <c r="KT434" i="2"/>
  <c r="KS435" i="2"/>
  <c r="KT435" i="2"/>
  <c r="KS436" i="2"/>
  <c r="KT436" i="2"/>
  <c r="KS437" i="2"/>
  <c r="KT437" i="2"/>
  <c r="KS438" i="2"/>
  <c r="KT438" i="2"/>
  <c r="KS439" i="2"/>
  <c r="KT439" i="2"/>
  <c r="KS440" i="2"/>
  <c r="KT440" i="2"/>
  <c r="KS441" i="2"/>
  <c r="KT441" i="2"/>
  <c r="KS442" i="2"/>
  <c r="KT442" i="2"/>
  <c r="KS443" i="2"/>
  <c r="KT443" i="2"/>
  <c r="KS444" i="2"/>
  <c r="KT444" i="2"/>
  <c r="KS445" i="2"/>
  <c r="KT445" i="2"/>
  <c r="KS446" i="2"/>
  <c r="KT446" i="2"/>
  <c r="KS447" i="2"/>
  <c r="KT447" i="2"/>
  <c r="KS448" i="2"/>
  <c r="KT448" i="2"/>
  <c r="KS449" i="2"/>
  <c r="KT449" i="2"/>
  <c r="KS450" i="2"/>
  <c r="KT450" i="2"/>
  <c r="KS451" i="2"/>
  <c r="KT451" i="2"/>
  <c r="KS452" i="2"/>
  <c r="KT452" i="2"/>
  <c r="KS453" i="2"/>
  <c r="KT453" i="2"/>
  <c r="KS454" i="2"/>
  <c r="KT454" i="2"/>
  <c r="KS455" i="2"/>
  <c r="KT455" i="2"/>
  <c r="KS456" i="2"/>
  <c r="KT456" i="2"/>
  <c r="KS457" i="2"/>
  <c r="KT457" i="2"/>
  <c r="KS458" i="2"/>
  <c r="KT458" i="2"/>
  <c r="KS459" i="2"/>
  <c r="KT459" i="2"/>
  <c r="KS460" i="2"/>
  <c r="KT460" i="2"/>
  <c r="KS461" i="2"/>
  <c r="KT461" i="2"/>
  <c r="KS462" i="2"/>
  <c r="KT462" i="2"/>
  <c r="KS463" i="2"/>
  <c r="KT463" i="2"/>
  <c r="KS464" i="2"/>
  <c r="KT464" i="2"/>
  <c r="KS465" i="2"/>
  <c r="KT465" i="2"/>
  <c r="KS466" i="2"/>
  <c r="KT466" i="2"/>
  <c r="KS467" i="2"/>
  <c r="KT467" i="2"/>
  <c r="KS468" i="2"/>
  <c r="KT468" i="2"/>
  <c r="KT15" i="2"/>
  <c r="KT16" i="2"/>
  <c r="KT17" i="2"/>
  <c r="KT18" i="2"/>
  <c r="KT19" i="2"/>
  <c r="KT20" i="2"/>
  <c r="KT21" i="2"/>
  <c r="KT22" i="2"/>
  <c r="KT23" i="2"/>
  <c r="KT24" i="2"/>
  <c r="KT25" i="2"/>
  <c r="KT26" i="2"/>
  <c r="KT27" i="2"/>
  <c r="KT28" i="2"/>
  <c r="KT29" i="2"/>
  <c r="KT30" i="2"/>
  <c r="KT31" i="2"/>
  <c r="KT32" i="2"/>
  <c r="KT33" i="2"/>
  <c r="KT34" i="2"/>
  <c r="KT35" i="2"/>
  <c r="KT36" i="2"/>
  <c r="KT37" i="2"/>
  <c r="KT38" i="2"/>
  <c r="KT39" i="2"/>
  <c r="KT40" i="2"/>
  <c r="KT41" i="2"/>
  <c r="KT42" i="2"/>
  <c r="KT43" i="2"/>
  <c r="KT44" i="2"/>
  <c r="KT45" i="2"/>
  <c r="KT46" i="2"/>
  <c r="KT47" i="2"/>
  <c r="KT48" i="2"/>
  <c r="KT49" i="2"/>
  <c r="KT50" i="2"/>
  <c r="KT14" i="2"/>
  <c r="KS14" i="2"/>
  <c r="KC52" i="2"/>
  <c r="KD52" i="2"/>
  <c r="KC53" i="2"/>
  <c r="KD53" i="2"/>
  <c r="KC54" i="2"/>
  <c r="KD54" i="2"/>
  <c r="KC55" i="2"/>
  <c r="KD55" i="2"/>
  <c r="KC56" i="2"/>
  <c r="KD56" i="2"/>
  <c r="KC57" i="2"/>
  <c r="KD57" i="2"/>
  <c r="KC58" i="2"/>
  <c r="KD58" i="2"/>
  <c r="KC59" i="2"/>
  <c r="KD59" i="2"/>
  <c r="KC60" i="2"/>
  <c r="KD60" i="2"/>
  <c r="KC61" i="2"/>
  <c r="KD61" i="2"/>
  <c r="KC62" i="2"/>
  <c r="KD62" i="2"/>
  <c r="KC63" i="2"/>
  <c r="KD63" i="2"/>
  <c r="KC64" i="2"/>
  <c r="KD64" i="2"/>
  <c r="KC65" i="2"/>
  <c r="KD65" i="2"/>
  <c r="KC66" i="2"/>
  <c r="KD66" i="2"/>
  <c r="KC67" i="2"/>
  <c r="KD67" i="2"/>
  <c r="KC68" i="2"/>
  <c r="KD68" i="2"/>
  <c r="KC69" i="2"/>
  <c r="KD69" i="2"/>
  <c r="KC70" i="2"/>
  <c r="KD70" i="2"/>
  <c r="KC71" i="2"/>
  <c r="KD71" i="2"/>
  <c r="KC72" i="2"/>
  <c r="KD72" i="2"/>
  <c r="KC73" i="2"/>
  <c r="KD73" i="2"/>
  <c r="KC74" i="2"/>
  <c r="KD74" i="2"/>
  <c r="KC75" i="2"/>
  <c r="KD75" i="2"/>
  <c r="KC76" i="2"/>
  <c r="KD76" i="2"/>
  <c r="KC77" i="2"/>
  <c r="KD77" i="2"/>
  <c r="KC78" i="2"/>
  <c r="KD78" i="2"/>
  <c r="KC79" i="2"/>
  <c r="KD79" i="2"/>
  <c r="KC80" i="2"/>
  <c r="KD80" i="2"/>
  <c r="KC81" i="2"/>
  <c r="KD81" i="2"/>
  <c r="KC82" i="2"/>
  <c r="KD82" i="2"/>
  <c r="KC83" i="2"/>
  <c r="KD83" i="2"/>
  <c r="KC84" i="2"/>
  <c r="KD84" i="2"/>
  <c r="KC85" i="2"/>
  <c r="KD85" i="2"/>
  <c r="KC86" i="2"/>
  <c r="KD86" i="2"/>
  <c r="KC87" i="2"/>
  <c r="KD87" i="2"/>
  <c r="KC88" i="2"/>
  <c r="KD88" i="2"/>
  <c r="KC90" i="2"/>
  <c r="KD90" i="2"/>
  <c r="KC91" i="2"/>
  <c r="KD91" i="2"/>
  <c r="KC92" i="2"/>
  <c r="KD92" i="2"/>
  <c r="KC93" i="2"/>
  <c r="KD93" i="2"/>
  <c r="KC94" i="2"/>
  <c r="KD94" i="2"/>
  <c r="KC95" i="2"/>
  <c r="KD95" i="2"/>
  <c r="KC96" i="2"/>
  <c r="KD96" i="2"/>
  <c r="KC97" i="2"/>
  <c r="KD97" i="2"/>
  <c r="KC98" i="2"/>
  <c r="KD98" i="2"/>
  <c r="KC99" i="2"/>
  <c r="KD99" i="2"/>
  <c r="KC100" i="2"/>
  <c r="KD100" i="2"/>
  <c r="KC101" i="2"/>
  <c r="KD101" i="2"/>
  <c r="KC102" i="2"/>
  <c r="KD102" i="2"/>
  <c r="KC103" i="2"/>
  <c r="KD103" i="2"/>
  <c r="KC104" i="2"/>
  <c r="KD104" i="2"/>
  <c r="KC105" i="2"/>
  <c r="KD105" i="2"/>
  <c r="KC106" i="2"/>
  <c r="KD106" i="2"/>
  <c r="KC107" i="2"/>
  <c r="KD107" i="2"/>
  <c r="KC108" i="2"/>
  <c r="KD108" i="2"/>
  <c r="KC109" i="2"/>
  <c r="KD109" i="2"/>
  <c r="KC110" i="2"/>
  <c r="KD110" i="2"/>
  <c r="KC111" i="2"/>
  <c r="KD111" i="2"/>
  <c r="KC112" i="2"/>
  <c r="KD112" i="2"/>
  <c r="KC113" i="2"/>
  <c r="KD113" i="2"/>
  <c r="KC114" i="2"/>
  <c r="KD114" i="2"/>
  <c r="KC115" i="2"/>
  <c r="KD115" i="2"/>
  <c r="KC116" i="2"/>
  <c r="KD116" i="2"/>
  <c r="KC117" i="2"/>
  <c r="KD117" i="2"/>
  <c r="KC118" i="2"/>
  <c r="KD118" i="2"/>
  <c r="KC119" i="2"/>
  <c r="KD119" i="2"/>
  <c r="KC120" i="2"/>
  <c r="KD120" i="2"/>
  <c r="KC121" i="2"/>
  <c r="KD121" i="2"/>
  <c r="KC122" i="2"/>
  <c r="KD122" i="2"/>
  <c r="KC123" i="2"/>
  <c r="KD123" i="2"/>
  <c r="KC124" i="2"/>
  <c r="KD124" i="2"/>
  <c r="KC125" i="2"/>
  <c r="KD125" i="2"/>
  <c r="KC126" i="2"/>
  <c r="KD126" i="2"/>
  <c r="KC128" i="2"/>
  <c r="KD128" i="2"/>
  <c r="KC129" i="2"/>
  <c r="KD129" i="2"/>
  <c r="KC130" i="2"/>
  <c r="KD130" i="2"/>
  <c r="KC131" i="2"/>
  <c r="KD131" i="2"/>
  <c r="KC132" i="2"/>
  <c r="KD132" i="2"/>
  <c r="KC133" i="2"/>
  <c r="KD133" i="2"/>
  <c r="KC134" i="2"/>
  <c r="KD134" i="2"/>
  <c r="KC135" i="2"/>
  <c r="KD135" i="2"/>
  <c r="KC136" i="2"/>
  <c r="KD136" i="2"/>
  <c r="KC137" i="2"/>
  <c r="KD137" i="2"/>
  <c r="KC138" i="2"/>
  <c r="KD138" i="2"/>
  <c r="KC139" i="2"/>
  <c r="KD139" i="2"/>
  <c r="KC140" i="2"/>
  <c r="KD140" i="2"/>
  <c r="KC141" i="2"/>
  <c r="KD141" i="2"/>
  <c r="KC142" i="2"/>
  <c r="KD142" i="2"/>
  <c r="KC143" i="2"/>
  <c r="KD143" i="2"/>
  <c r="KC144" i="2"/>
  <c r="KD144" i="2"/>
  <c r="KC145" i="2"/>
  <c r="KD145" i="2"/>
  <c r="KC146" i="2"/>
  <c r="KD146" i="2"/>
  <c r="KC147" i="2"/>
  <c r="KD147" i="2"/>
  <c r="KC148" i="2"/>
  <c r="KD148" i="2"/>
  <c r="KC149" i="2"/>
  <c r="KD149" i="2"/>
  <c r="KC150" i="2"/>
  <c r="KD150" i="2"/>
  <c r="KC151" i="2"/>
  <c r="KD151" i="2"/>
  <c r="KC152" i="2"/>
  <c r="KD152" i="2"/>
  <c r="KC153" i="2"/>
  <c r="KD153" i="2"/>
  <c r="KC154" i="2"/>
  <c r="KD154" i="2"/>
  <c r="KC155" i="2"/>
  <c r="KD155" i="2"/>
  <c r="KC156" i="2"/>
  <c r="KD156" i="2"/>
  <c r="KC157" i="2"/>
  <c r="KD157" i="2"/>
  <c r="KC158" i="2"/>
  <c r="KD158" i="2"/>
  <c r="KC159" i="2"/>
  <c r="KD159" i="2"/>
  <c r="KC160" i="2"/>
  <c r="KD160" i="2"/>
  <c r="KC161" i="2"/>
  <c r="KD161" i="2"/>
  <c r="KC162" i="2"/>
  <c r="KD162" i="2"/>
  <c r="KC163" i="2"/>
  <c r="KD163" i="2"/>
  <c r="KC164" i="2"/>
  <c r="KD164" i="2"/>
  <c r="KC166" i="2"/>
  <c r="KD166" i="2"/>
  <c r="KC167" i="2"/>
  <c r="KD167" i="2"/>
  <c r="KC168" i="2"/>
  <c r="KD168" i="2"/>
  <c r="KC169" i="2"/>
  <c r="KD169" i="2"/>
  <c r="KC170" i="2"/>
  <c r="KD170" i="2"/>
  <c r="KC171" i="2"/>
  <c r="KD171" i="2"/>
  <c r="KC172" i="2"/>
  <c r="KD172" i="2"/>
  <c r="KC173" i="2"/>
  <c r="KD173" i="2"/>
  <c r="KC174" i="2"/>
  <c r="KD174" i="2"/>
  <c r="KC175" i="2"/>
  <c r="KD175" i="2"/>
  <c r="KC176" i="2"/>
  <c r="KD176" i="2"/>
  <c r="KC177" i="2"/>
  <c r="KD177" i="2"/>
  <c r="KC178" i="2"/>
  <c r="KD178" i="2"/>
  <c r="KC179" i="2"/>
  <c r="KD179" i="2"/>
  <c r="KC180" i="2"/>
  <c r="KD180" i="2"/>
  <c r="KC181" i="2"/>
  <c r="KD181" i="2"/>
  <c r="KC182" i="2"/>
  <c r="KD182" i="2"/>
  <c r="KC183" i="2"/>
  <c r="KD183" i="2"/>
  <c r="KC184" i="2"/>
  <c r="KD184" i="2"/>
  <c r="KC185" i="2"/>
  <c r="KD185" i="2"/>
  <c r="KC186" i="2"/>
  <c r="KD186" i="2"/>
  <c r="KC187" i="2"/>
  <c r="KD187" i="2"/>
  <c r="KC188" i="2"/>
  <c r="KD188" i="2"/>
  <c r="KC189" i="2"/>
  <c r="KD189" i="2"/>
  <c r="KC190" i="2"/>
  <c r="KD190" i="2"/>
  <c r="KC191" i="2"/>
  <c r="KD191" i="2"/>
  <c r="KC192" i="2"/>
  <c r="KD192" i="2"/>
  <c r="KC193" i="2"/>
  <c r="KD193" i="2"/>
  <c r="KC194" i="2"/>
  <c r="KD194" i="2"/>
  <c r="KC195" i="2"/>
  <c r="KD195" i="2"/>
  <c r="KC196" i="2"/>
  <c r="KD196" i="2"/>
  <c r="KC197" i="2"/>
  <c r="KD197" i="2"/>
  <c r="KC198" i="2"/>
  <c r="KD198" i="2"/>
  <c r="KC199" i="2"/>
  <c r="KD199" i="2"/>
  <c r="KC200" i="2"/>
  <c r="KD200" i="2"/>
  <c r="KC201" i="2"/>
  <c r="KD201" i="2"/>
  <c r="KC202" i="2"/>
  <c r="KD202" i="2"/>
  <c r="KC204" i="2"/>
  <c r="KD204" i="2"/>
  <c r="KC205" i="2"/>
  <c r="KD205" i="2"/>
  <c r="KC206" i="2"/>
  <c r="KD206" i="2"/>
  <c r="KC207" i="2"/>
  <c r="KD207" i="2"/>
  <c r="KC208" i="2"/>
  <c r="KD208" i="2"/>
  <c r="KC209" i="2"/>
  <c r="KD209" i="2"/>
  <c r="KC210" i="2"/>
  <c r="KD210" i="2"/>
  <c r="KC211" i="2"/>
  <c r="KD211" i="2"/>
  <c r="KC212" i="2"/>
  <c r="KD212" i="2"/>
  <c r="KC213" i="2"/>
  <c r="KD213" i="2"/>
  <c r="KC214" i="2"/>
  <c r="KD214" i="2"/>
  <c r="KC215" i="2"/>
  <c r="KD215" i="2"/>
  <c r="KC216" i="2"/>
  <c r="KD216" i="2"/>
  <c r="KC217" i="2"/>
  <c r="KD217" i="2"/>
  <c r="KC218" i="2"/>
  <c r="KD218" i="2"/>
  <c r="KC219" i="2"/>
  <c r="KD219" i="2"/>
  <c r="KC220" i="2"/>
  <c r="KD220" i="2"/>
  <c r="KC221" i="2"/>
  <c r="KD221" i="2"/>
  <c r="KC222" i="2"/>
  <c r="KD222" i="2"/>
  <c r="KC223" i="2"/>
  <c r="KD223" i="2"/>
  <c r="KC224" i="2"/>
  <c r="KD224" i="2"/>
  <c r="KC225" i="2"/>
  <c r="KD225" i="2"/>
  <c r="KC226" i="2"/>
  <c r="KD226" i="2"/>
  <c r="KC227" i="2"/>
  <c r="KD227" i="2"/>
  <c r="KC228" i="2"/>
  <c r="KD228" i="2"/>
  <c r="KC229" i="2"/>
  <c r="KD229" i="2"/>
  <c r="KC230" i="2"/>
  <c r="KD230" i="2"/>
  <c r="KC231" i="2"/>
  <c r="KD231" i="2"/>
  <c r="KC232" i="2"/>
  <c r="KD232" i="2"/>
  <c r="KC233" i="2"/>
  <c r="KD233" i="2"/>
  <c r="KC234" i="2"/>
  <c r="KD234" i="2"/>
  <c r="KC235" i="2"/>
  <c r="KD235" i="2"/>
  <c r="KC236" i="2"/>
  <c r="KD236" i="2"/>
  <c r="KC237" i="2"/>
  <c r="KD237" i="2"/>
  <c r="KC238" i="2"/>
  <c r="KD238" i="2"/>
  <c r="KC239" i="2"/>
  <c r="KD239" i="2"/>
  <c r="KC240" i="2"/>
  <c r="KD240" i="2"/>
  <c r="KC242" i="2"/>
  <c r="KD242" i="2"/>
  <c r="KC243" i="2"/>
  <c r="KD243" i="2"/>
  <c r="KC244" i="2"/>
  <c r="KD244" i="2"/>
  <c r="KC245" i="2"/>
  <c r="KD245" i="2"/>
  <c r="KC246" i="2"/>
  <c r="KD246" i="2"/>
  <c r="KC247" i="2"/>
  <c r="KD247" i="2"/>
  <c r="KC248" i="2"/>
  <c r="KD248" i="2"/>
  <c r="KC249" i="2"/>
  <c r="KD249" i="2"/>
  <c r="KC250" i="2"/>
  <c r="KD250" i="2"/>
  <c r="KC251" i="2"/>
  <c r="KD251" i="2"/>
  <c r="KC252" i="2"/>
  <c r="KD252" i="2"/>
  <c r="KC253" i="2"/>
  <c r="KD253" i="2"/>
  <c r="KC254" i="2"/>
  <c r="KD254" i="2"/>
  <c r="KC255" i="2"/>
  <c r="KD255" i="2"/>
  <c r="KC256" i="2"/>
  <c r="KD256" i="2"/>
  <c r="KC257" i="2"/>
  <c r="KD257" i="2"/>
  <c r="KC258" i="2"/>
  <c r="KD258" i="2"/>
  <c r="KC259" i="2"/>
  <c r="KD259" i="2"/>
  <c r="KC260" i="2"/>
  <c r="KD260" i="2"/>
  <c r="KC261" i="2"/>
  <c r="KD261" i="2"/>
  <c r="KC262" i="2"/>
  <c r="KD262" i="2"/>
  <c r="KC263" i="2"/>
  <c r="KD263" i="2"/>
  <c r="KC264" i="2"/>
  <c r="KD264" i="2"/>
  <c r="KC265" i="2"/>
  <c r="KD265" i="2"/>
  <c r="KC266" i="2"/>
  <c r="KD266" i="2"/>
  <c r="KC267" i="2"/>
  <c r="KD267" i="2"/>
  <c r="KC268" i="2"/>
  <c r="KD268" i="2"/>
  <c r="KC269" i="2"/>
  <c r="KD269" i="2"/>
  <c r="KC270" i="2"/>
  <c r="KD270" i="2"/>
  <c r="KC271" i="2"/>
  <c r="KD271" i="2"/>
  <c r="KC272" i="2"/>
  <c r="KD272" i="2"/>
  <c r="KC273" i="2"/>
  <c r="KD273" i="2"/>
  <c r="KC274" i="2"/>
  <c r="KD274" i="2"/>
  <c r="KC275" i="2"/>
  <c r="KD275" i="2"/>
  <c r="KC276" i="2"/>
  <c r="KD276" i="2"/>
  <c r="KC277" i="2"/>
  <c r="KD277" i="2"/>
  <c r="KC278" i="2"/>
  <c r="KD278" i="2"/>
  <c r="KC280" i="2"/>
  <c r="KD280" i="2"/>
  <c r="KC281" i="2"/>
  <c r="KD281" i="2"/>
  <c r="KC282" i="2"/>
  <c r="KD282" i="2"/>
  <c r="KC283" i="2"/>
  <c r="KD283" i="2"/>
  <c r="KC284" i="2"/>
  <c r="KD284" i="2"/>
  <c r="KC285" i="2"/>
  <c r="KD285" i="2"/>
  <c r="KC286" i="2"/>
  <c r="KD286" i="2"/>
  <c r="KC287" i="2"/>
  <c r="KD287" i="2"/>
  <c r="KC288" i="2"/>
  <c r="KD288" i="2"/>
  <c r="KC289" i="2"/>
  <c r="KD289" i="2"/>
  <c r="KC290" i="2"/>
  <c r="KD290" i="2"/>
  <c r="KC291" i="2"/>
  <c r="KD291" i="2"/>
  <c r="KC292" i="2"/>
  <c r="KD292" i="2"/>
  <c r="KC293" i="2"/>
  <c r="KD293" i="2"/>
  <c r="KC294" i="2"/>
  <c r="KD294" i="2"/>
  <c r="KC295" i="2"/>
  <c r="KD295" i="2"/>
  <c r="KC296" i="2"/>
  <c r="KD296" i="2"/>
  <c r="KC297" i="2"/>
  <c r="KD297" i="2"/>
  <c r="KC298" i="2"/>
  <c r="KD298" i="2"/>
  <c r="KC299" i="2"/>
  <c r="KD299" i="2"/>
  <c r="KC300" i="2"/>
  <c r="KD300" i="2"/>
  <c r="KC301" i="2"/>
  <c r="KD301" i="2"/>
  <c r="KC302" i="2"/>
  <c r="KD302" i="2"/>
  <c r="KC303" i="2"/>
  <c r="KD303" i="2"/>
  <c r="KC304" i="2"/>
  <c r="KD304" i="2"/>
  <c r="KC305" i="2"/>
  <c r="KD305" i="2"/>
  <c r="KC306" i="2"/>
  <c r="KD306" i="2"/>
  <c r="KC307" i="2"/>
  <c r="KD307" i="2"/>
  <c r="KC308" i="2"/>
  <c r="KD308" i="2"/>
  <c r="KC309" i="2"/>
  <c r="KD309" i="2"/>
  <c r="KC310" i="2"/>
  <c r="KD310" i="2"/>
  <c r="KC311" i="2"/>
  <c r="KD311" i="2"/>
  <c r="KC312" i="2"/>
  <c r="KD312" i="2"/>
  <c r="KC313" i="2"/>
  <c r="KD313" i="2"/>
  <c r="KC314" i="2"/>
  <c r="KD314" i="2"/>
  <c r="KC315" i="2"/>
  <c r="KD315" i="2"/>
  <c r="KC316" i="2"/>
  <c r="KD316" i="2"/>
  <c r="KC318" i="2"/>
  <c r="KD318" i="2"/>
  <c r="KC319" i="2"/>
  <c r="KD319" i="2"/>
  <c r="KC320" i="2"/>
  <c r="KD320" i="2"/>
  <c r="KC321" i="2"/>
  <c r="KD321" i="2"/>
  <c r="KC322" i="2"/>
  <c r="KD322" i="2"/>
  <c r="KC323" i="2"/>
  <c r="KD323" i="2"/>
  <c r="KC324" i="2"/>
  <c r="KD324" i="2"/>
  <c r="KC325" i="2"/>
  <c r="KD325" i="2"/>
  <c r="KC326" i="2"/>
  <c r="KD326" i="2"/>
  <c r="KC327" i="2"/>
  <c r="KD327" i="2"/>
  <c r="KC328" i="2"/>
  <c r="KD328" i="2"/>
  <c r="KC329" i="2"/>
  <c r="KD329" i="2"/>
  <c r="KC330" i="2"/>
  <c r="KD330" i="2"/>
  <c r="KC331" i="2"/>
  <c r="KD331" i="2"/>
  <c r="KC332" i="2"/>
  <c r="KD332" i="2"/>
  <c r="KC333" i="2"/>
  <c r="KD333" i="2"/>
  <c r="KC334" i="2"/>
  <c r="KD334" i="2"/>
  <c r="KC335" i="2"/>
  <c r="KD335" i="2"/>
  <c r="KC336" i="2"/>
  <c r="KD336" i="2"/>
  <c r="KC337" i="2"/>
  <c r="KD337" i="2"/>
  <c r="KC338" i="2"/>
  <c r="KD338" i="2"/>
  <c r="KC339" i="2"/>
  <c r="KD339" i="2"/>
  <c r="KC340" i="2"/>
  <c r="KD340" i="2"/>
  <c r="KC341" i="2"/>
  <c r="KD341" i="2"/>
  <c r="KC342" i="2"/>
  <c r="KD342" i="2"/>
  <c r="KC343" i="2"/>
  <c r="KD343" i="2"/>
  <c r="KC344" i="2"/>
  <c r="KD344" i="2"/>
  <c r="KC345" i="2"/>
  <c r="KD345" i="2"/>
  <c r="KC346" i="2"/>
  <c r="KD346" i="2"/>
  <c r="KC347" i="2"/>
  <c r="KD347" i="2"/>
  <c r="KC348" i="2"/>
  <c r="KD348" i="2"/>
  <c r="KC349" i="2"/>
  <c r="KD349" i="2"/>
  <c r="KC350" i="2"/>
  <c r="KD350" i="2"/>
  <c r="KC351" i="2"/>
  <c r="KD351" i="2"/>
  <c r="KC352" i="2"/>
  <c r="KD352" i="2"/>
  <c r="KC353" i="2"/>
  <c r="KD353" i="2"/>
  <c r="KC354" i="2"/>
  <c r="KD354" i="2"/>
  <c r="KC356" i="2"/>
  <c r="KD356" i="2"/>
  <c r="KC357" i="2"/>
  <c r="KD357" i="2"/>
  <c r="KC358" i="2"/>
  <c r="KD358" i="2"/>
  <c r="KC359" i="2"/>
  <c r="KD359" i="2"/>
  <c r="KC360" i="2"/>
  <c r="KD360" i="2"/>
  <c r="KC361" i="2"/>
  <c r="KD361" i="2"/>
  <c r="KC362" i="2"/>
  <c r="KD362" i="2"/>
  <c r="KC363" i="2"/>
  <c r="KD363" i="2"/>
  <c r="KC364" i="2"/>
  <c r="KD364" i="2"/>
  <c r="KC365" i="2"/>
  <c r="KD365" i="2"/>
  <c r="KC366" i="2"/>
  <c r="KD366" i="2"/>
  <c r="KC367" i="2"/>
  <c r="KD367" i="2"/>
  <c r="KC368" i="2"/>
  <c r="KD368" i="2"/>
  <c r="KC369" i="2"/>
  <c r="KD369" i="2"/>
  <c r="KC370" i="2"/>
  <c r="KD370" i="2"/>
  <c r="KC371" i="2"/>
  <c r="KD371" i="2"/>
  <c r="KC372" i="2"/>
  <c r="KD372" i="2"/>
  <c r="KC373" i="2"/>
  <c r="KD373" i="2"/>
  <c r="KC374" i="2"/>
  <c r="KD374" i="2"/>
  <c r="KC375" i="2"/>
  <c r="KD375" i="2"/>
  <c r="KC376" i="2"/>
  <c r="KD376" i="2"/>
  <c r="KC377" i="2"/>
  <c r="KD377" i="2"/>
  <c r="KC378" i="2"/>
  <c r="KD378" i="2"/>
  <c r="KC379" i="2"/>
  <c r="KD379" i="2"/>
  <c r="KC380" i="2"/>
  <c r="KD380" i="2"/>
  <c r="KC381" i="2"/>
  <c r="KD381" i="2"/>
  <c r="KC382" i="2"/>
  <c r="KD382" i="2"/>
  <c r="KC383" i="2"/>
  <c r="KD383" i="2"/>
  <c r="KC384" i="2"/>
  <c r="KD384" i="2"/>
  <c r="KC385" i="2"/>
  <c r="KD385" i="2"/>
  <c r="KC386" i="2"/>
  <c r="KD386" i="2"/>
  <c r="KC387" i="2"/>
  <c r="KD387" i="2"/>
  <c r="KC388" i="2"/>
  <c r="KD388" i="2"/>
  <c r="KC389" i="2"/>
  <c r="KD389" i="2"/>
  <c r="KC390" i="2"/>
  <c r="KD390" i="2"/>
  <c r="KC391" i="2"/>
  <c r="KD391" i="2"/>
  <c r="KC392" i="2"/>
  <c r="KD392" i="2"/>
  <c r="KC394" i="2"/>
  <c r="KD394" i="2"/>
  <c r="KC395" i="2"/>
  <c r="KD395" i="2"/>
  <c r="KC396" i="2"/>
  <c r="KD396" i="2"/>
  <c r="KC397" i="2"/>
  <c r="KD397" i="2"/>
  <c r="KC398" i="2"/>
  <c r="KD398" i="2"/>
  <c r="KC399" i="2"/>
  <c r="KD399" i="2"/>
  <c r="KC400" i="2"/>
  <c r="KD400" i="2"/>
  <c r="KC401" i="2"/>
  <c r="KD401" i="2"/>
  <c r="KC402" i="2"/>
  <c r="KD402" i="2"/>
  <c r="KC403" i="2"/>
  <c r="KD403" i="2"/>
  <c r="KC404" i="2"/>
  <c r="KD404" i="2"/>
  <c r="KC405" i="2"/>
  <c r="KD405" i="2"/>
  <c r="KC406" i="2"/>
  <c r="KD406" i="2"/>
  <c r="KC407" i="2"/>
  <c r="KD407" i="2"/>
  <c r="KC408" i="2"/>
  <c r="KD408" i="2"/>
  <c r="KC409" i="2"/>
  <c r="KD409" i="2"/>
  <c r="KC410" i="2"/>
  <c r="KD410" i="2"/>
  <c r="KC411" i="2"/>
  <c r="KD411" i="2"/>
  <c r="KC412" i="2"/>
  <c r="KD412" i="2"/>
  <c r="KC413" i="2"/>
  <c r="KD413" i="2"/>
  <c r="KC414" i="2"/>
  <c r="KD414" i="2"/>
  <c r="KC415" i="2"/>
  <c r="KD415" i="2"/>
  <c r="KC416" i="2"/>
  <c r="KD416" i="2"/>
  <c r="KC417" i="2"/>
  <c r="KD417" i="2"/>
  <c r="KC418" i="2"/>
  <c r="KD418" i="2"/>
  <c r="KC419" i="2"/>
  <c r="KD419" i="2"/>
  <c r="KC420" i="2"/>
  <c r="KD420" i="2"/>
  <c r="KC421" i="2"/>
  <c r="KD421" i="2"/>
  <c r="KC422" i="2"/>
  <c r="KD422" i="2"/>
  <c r="KC423" i="2"/>
  <c r="KD423" i="2"/>
  <c r="KC424" i="2"/>
  <c r="KD424" i="2"/>
  <c r="KC425" i="2"/>
  <c r="KD425" i="2"/>
  <c r="KC426" i="2"/>
  <c r="KD426" i="2"/>
  <c r="KC427" i="2"/>
  <c r="KD427" i="2"/>
  <c r="KC428" i="2"/>
  <c r="KD428" i="2"/>
  <c r="KC429" i="2"/>
  <c r="KD429" i="2"/>
  <c r="KC430" i="2"/>
  <c r="KD430" i="2"/>
  <c r="KC432" i="2"/>
  <c r="KD432" i="2"/>
  <c r="KC433" i="2"/>
  <c r="KD433" i="2"/>
  <c r="KC434" i="2"/>
  <c r="KD434" i="2"/>
  <c r="KC435" i="2"/>
  <c r="KD435" i="2"/>
  <c r="KC436" i="2"/>
  <c r="KD436" i="2"/>
  <c r="KC437" i="2"/>
  <c r="KD437" i="2"/>
  <c r="KC438" i="2"/>
  <c r="KD438" i="2"/>
  <c r="KC439" i="2"/>
  <c r="KD439" i="2"/>
  <c r="KC440" i="2"/>
  <c r="KD440" i="2"/>
  <c r="KC441" i="2"/>
  <c r="KD441" i="2"/>
  <c r="KC442" i="2"/>
  <c r="KD442" i="2"/>
  <c r="KC443" i="2"/>
  <c r="KD443" i="2"/>
  <c r="KC444" i="2"/>
  <c r="KD444" i="2"/>
  <c r="KC445" i="2"/>
  <c r="KD445" i="2"/>
  <c r="KC446" i="2"/>
  <c r="KD446" i="2"/>
  <c r="KC447" i="2"/>
  <c r="KD447" i="2"/>
  <c r="KC448" i="2"/>
  <c r="KD448" i="2"/>
  <c r="KC449" i="2"/>
  <c r="KD449" i="2"/>
  <c r="KC450" i="2"/>
  <c r="KD450" i="2"/>
  <c r="KC451" i="2"/>
  <c r="KD451" i="2"/>
  <c r="KC452" i="2"/>
  <c r="KD452" i="2"/>
  <c r="KC453" i="2"/>
  <c r="KD453" i="2"/>
  <c r="KC454" i="2"/>
  <c r="KD454" i="2"/>
  <c r="KC455" i="2"/>
  <c r="KD455" i="2"/>
  <c r="KC456" i="2"/>
  <c r="KD456" i="2"/>
  <c r="KC457" i="2"/>
  <c r="KD457" i="2"/>
  <c r="KC458" i="2"/>
  <c r="KD458" i="2"/>
  <c r="KC459" i="2"/>
  <c r="KD459" i="2"/>
  <c r="KC460" i="2"/>
  <c r="KD460" i="2"/>
  <c r="KC461" i="2"/>
  <c r="KD461" i="2"/>
  <c r="KC462" i="2"/>
  <c r="KD462" i="2"/>
  <c r="KC463" i="2"/>
  <c r="KD463" i="2"/>
  <c r="KC464" i="2"/>
  <c r="KD464" i="2"/>
  <c r="KC465" i="2"/>
  <c r="KD465" i="2"/>
  <c r="KC466" i="2"/>
  <c r="KD466" i="2"/>
  <c r="KC467" i="2"/>
  <c r="KD467" i="2"/>
  <c r="KC468" i="2"/>
  <c r="KD468" i="2"/>
  <c r="KD15" i="2"/>
  <c r="KD16" i="2"/>
  <c r="KD17" i="2"/>
  <c r="KD18" i="2"/>
  <c r="KD19" i="2"/>
  <c r="KD20" i="2"/>
  <c r="KD21" i="2"/>
  <c r="KD22" i="2"/>
  <c r="KD23" i="2"/>
  <c r="KD24" i="2"/>
  <c r="KD25" i="2"/>
  <c r="KD26" i="2"/>
  <c r="KD27" i="2"/>
  <c r="KD28" i="2"/>
  <c r="KD29" i="2"/>
  <c r="KD30" i="2"/>
  <c r="KD31" i="2"/>
  <c r="KD32" i="2"/>
  <c r="KD33" i="2"/>
  <c r="KD34" i="2"/>
  <c r="KD35" i="2"/>
  <c r="KD36" i="2"/>
  <c r="KD37" i="2"/>
  <c r="KD38" i="2"/>
  <c r="KD39" i="2"/>
  <c r="KD40" i="2"/>
  <c r="KD41" i="2"/>
  <c r="KD42" i="2"/>
  <c r="KD43" i="2"/>
  <c r="KD44" i="2"/>
  <c r="KD45" i="2"/>
  <c r="KD46" i="2"/>
  <c r="KD47" i="2"/>
  <c r="KD48" i="2"/>
  <c r="KD49" i="2"/>
  <c r="KD50" i="2"/>
  <c r="KD14" i="2"/>
  <c r="KC14" i="2"/>
  <c r="JM52" i="2"/>
  <c r="JN52" i="2"/>
  <c r="JM53" i="2"/>
  <c r="JN53" i="2"/>
  <c r="JM54" i="2"/>
  <c r="JN54" i="2"/>
  <c r="JM55" i="2"/>
  <c r="JN55" i="2"/>
  <c r="JM56" i="2"/>
  <c r="JN56" i="2"/>
  <c r="JM57" i="2"/>
  <c r="JN57" i="2"/>
  <c r="JM58" i="2"/>
  <c r="JN58" i="2"/>
  <c r="JM59" i="2"/>
  <c r="JN59" i="2"/>
  <c r="JM60" i="2"/>
  <c r="JN60" i="2"/>
  <c r="JM61" i="2"/>
  <c r="JN61" i="2"/>
  <c r="JM62" i="2"/>
  <c r="JN62" i="2"/>
  <c r="JM63" i="2"/>
  <c r="JN63" i="2"/>
  <c r="JM64" i="2"/>
  <c r="JN64" i="2"/>
  <c r="JM65" i="2"/>
  <c r="JN65" i="2"/>
  <c r="JM66" i="2"/>
  <c r="JN66" i="2"/>
  <c r="JM67" i="2"/>
  <c r="JN67" i="2"/>
  <c r="JM68" i="2"/>
  <c r="JN68" i="2"/>
  <c r="JM69" i="2"/>
  <c r="JN69" i="2"/>
  <c r="JM70" i="2"/>
  <c r="JN70" i="2"/>
  <c r="JM71" i="2"/>
  <c r="JN71" i="2"/>
  <c r="JM72" i="2"/>
  <c r="JN72" i="2"/>
  <c r="JM73" i="2"/>
  <c r="JN73" i="2"/>
  <c r="JM74" i="2"/>
  <c r="JN74" i="2"/>
  <c r="JM75" i="2"/>
  <c r="JN75" i="2"/>
  <c r="JM76" i="2"/>
  <c r="JN76" i="2"/>
  <c r="JM77" i="2"/>
  <c r="JN77" i="2"/>
  <c r="JM78" i="2"/>
  <c r="JN78" i="2"/>
  <c r="JM79" i="2"/>
  <c r="JN79" i="2"/>
  <c r="JM80" i="2"/>
  <c r="JN80" i="2"/>
  <c r="JM81" i="2"/>
  <c r="JN81" i="2"/>
  <c r="JM82" i="2"/>
  <c r="JN82" i="2"/>
  <c r="JM83" i="2"/>
  <c r="JN83" i="2"/>
  <c r="JM84" i="2"/>
  <c r="JN84" i="2"/>
  <c r="JM85" i="2"/>
  <c r="JN85" i="2"/>
  <c r="JM86" i="2"/>
  <c r="JN86" i="2"/>
  <c r="JM87" i="2"/>
  <c r="JN87" i="2"/>
  <c r="JM88" i="2"/>
  <c r="JN88" i="2"/>
  <c r="JM90" i="2"/>
  <c r="JN90" i="2"/>
  <c r="JM91" i="2"/>
  <c r="JN91" i="2"/>
  <c r="JM92" i="2"/>
  <c r="JN92" i="2"/>
  <c r="JM93" i="2"/>
  <c r="JN93" i="2"/>
  <c r="JM94" i="2"/>
  <c r="JN94" i="2"/>
  <c r="JM95" i="2"/>
  <c r="JN95" i="2"/>
  <c r="JM96" i="2"/>
  <c r="JN96" i="2"/>
  <c r="JM97" i="2"/>
  <c r="JN97" i="2"/>
  <c r="JM98" i="2"/>
  <c r="JN98" i="2"/>
  <c r="JM99" i="2"/>
  <c r="JN99" i="2"/>
  <c r="JM100" i="2"/>
  <c r="JN100" i="2"/>
  <c r="JM101" i="2"/>
  <c r="JN101" i="2"/>
  <c r="JM102" i="2"/>
  <c r="JN102" i="2"/>
  <c r="JM103" i="2"/>
  <c r="JN103" i="2"/>
  <c r="JM104" i="2"/>
  <c r="JN104" i="2"/>
  <c r="JM105" i="2"/>
  <c r="JN105" i="2"/>
  <c r="JM106" i="2"/>
  <c r="JN106" i="2"/>
  <c r="JM107" i="2"/>
  <c r="JN107" i="2"/>
  <c r="JM108" i="2"/>
  <c r="JN108" i="2"/>
  <c r="JM109" i="2"/>
  <c r="JN109" i="2"/>
  <c r="JM110" i="2"/>
  <c r="JN110" i="2"/>
  <c r="JM111" i="2"/>
  <c r="JN111" i="2"/>
  <c r="JM112" i="2"/>
  <c r="JN112" i="2"/>
  <c r="JM113" i="2"/>
  <c r="JN113" i="2"/>
  <c r="JM114" i="2"/>
  <c r="JN114" i="2"/>
  <c r="JM115" i="2"/>
  <c r="JN115" i="2"/>
  <c r="JM116" i="2"/>
  <c r="JN116" i="2"/>
  <c r="JM117" i="2"/>
  <c r="JN117" i="2"/>
  <c r="JM118" i="2"/>
  <c r="JN118" i="2"/>
  <c r="JM119" i="2"/>
  <c r="JN119" i="2"/>
  <c r="JM120" i="2"/>
  <c r="JN120" i="2"/>
  <c r="JM121" i="2"/>
  <c r="JN121" i="2"/>
  <c r="JM122" i="2"/>
  <c r="JN122" i="2"/>
  <c r="JM123" i="2"/>
  <c r="JN123" i="2"/>
  <c r="JM124" i="2"/>
  <c r="JN124" i="2"/>
  <c r="JM125" i="2"/>
  <c r="JN125" i="2"/>
  <c r="JM126" i="2"/>
  <c r="JN126" i="2"/>
  <c r="JM128" i="2"/>
  <c r="JN128" i="2"/>
  <c r="JM129" i="2"/>
  <c r="JN129" i="2"/>
  <c r="JM130" i="2"/>
  <c r="JN130" i="2"/>
  <c r="JM131" i="2"/>
  <c r="JN131" i="2"/>
  <c r="JM132" i="2"/>
  <c r="JN132" i="2"/>
  <c r="JM133" i="2"/>
  <c r="JN133" i="2"/>
  <c r="JM134" i="2"/>
  <c r="JN134" i="2"/>
  <c r="JM135" i="2"/>
  <c r="JN135" i="2"/>
  <c r="JM136" i="2"/>
  <c r="JN136" i="2"/>
  <c r="JM137" i="2"/>
  <c r="JN137" i="2"/>
  <c r="JM138" i="2"/>
  <c r="JN138" i="2"/>
  <c r="JM139" i="2"/>
  <c r="JN139" i="2"/>
  <c r="JM140" i="2"/>
  <c r="JN140" i="2"/>
  <c r="JM141" i="2"/>
  <c r="JN141" i="2"/>
  <c r="JM142" i="2"/>
  <c r="JN142" i="2"/>
  <c r="JM143" i="2"/>
  <c r="JN143" i="2"/>
  <c r="JM144" i="2"/>
  <c r="JN144" i="2"/>
  <c r="JM145" i="2"/>
  <c r="JN145" i="2"/>
  <c r="JM146" i="2"/>
  <c r="JN146" i="2"/>
  <c r="JM147" i="2"/>
  <c r="JN147" i="2"/>
  <c r="JM148" i="2"/>
  <c r="JN148" i="2"/>
  <c r="JM149" i="2"/>
  <c r="JN149" i="2"/>
  <c r="JM150" i="2"/>
  <c r="JN150" i="2"/>
  <c r="JM151" i="2"/>
  <c r="JN151" i="2"/>
  <c r="JM152" i="2"/>
  <c r="JN152" i="2"/>
  <c r="JM153" i="2"/>
  <c r="JN153" i="2"/>
  <c r="JM154" i="2"/>
  <c r="JN154" i="2"/>
  <c r="JM155" i="2"/>
  <c r="JN155" i="2"/>
  <c r="JM156" i="2"/>
  <c r="JN156" i="2"/>
  <c r="JM157" i="2"/>
  <c r="JN157" i="2"/>
  <c r="JM158" i="2"/>
  <c r="JN158" i="2"/>
  <c r="JM159" i="2"/>
  <c r="JN159" i="2"/>
  <c r="JM160" i="2"/>
  <c r="JN160" i="2"/>
  <c r="JM161" i="2"/>
  <c r="JN161" i="2"/>
  <c r="JM162" i="2"/>
  <c r="JN162" i="2"/>
  <c r="JM163" i="2"/>
  <c r="JN163" i="2"/>
  <c r="JM164" i="2"/>
  <c r="JN164" i="2"/>
  <c r="JM166" i="2"/>
  <c r="JN166" i="2"/>
  <c r="JM167" i="2"/>
  <c r="JN167" i="2"/>
  <c r="JM168" i="2"/>
  <c r="JN168" i="2"/>
  <c r="JM169" i="2"/>
  <c r="JN169" i="2"/>
  <c r="JM170" i="2"/>
  <c r="JN170" i="2"/>
  <c r="JM171" i="2"/>
  <c r="JN171" i="2"/>
  <c r="JM172" i="2"/>
  <c r="JN172" i="2"/>
  <c r="JM173" i="2"/>
  <c r="JN173" i="2"/>
  <c r="JM174" i="2"/>
  <c r="JN174" i="2"/>
  <c r="JM175" i="2"/>
  <c r="JN175" i="2"/>
  <c r="JM176" i="2"/>
  <c r="JN176" i="2"/>
  <c r="JM177" i="2"/>
  <c r="JN177" i="2"/>
  <c r="JM178" i="2"/>
  <c r="JN178" i="2"/>
  <c r="JM179" i="2"/>
  <c r="JN179" i="2"/>
  <c r="JM180" i="2"/>
  <c r="JN180" i="2"/>
  <c r="JM181" i="2"/>
  <c r="JN181" i="2"/>
  <c r="JM182" i="2"/>
  <c r="JN182" i="2"/>
  <c r="JM183" i="2"/>
  <c r="JN183" i="2"/>
  <c r="JM184" i="2"/>
  <c r="JN184" i="2"/>
  <c r="JM185" i="2"/>
  <c r="JN185" i="2"/>
  <c r="JM186" i="2"/>
  <c r="JN186" i="2"/>
  <c r="JM187" i="2"/>
  <c r="JN187" i="2"/>
  <c r="JM188" i="2"/>
  <c r="JN188" i="2"/>
  <c r="JM189" i="2"/>
  <c r="JN189" i="2"/>
  <c r="JM190" i="2"/>
  <c r="JN190" i="2"/>
  <c r="JM191" i="2"/>
  <c r="JN191" i="2"/>
  <c r="JM192" i="2"/>
  <c r="JN192" i="2"/>
  <c r="JM193" i="2"/>
  <c r="JN193" i="2"/>
  <c r="JM194" i="2"/>
  <c r="JN194" i="2"/>
  <c r="JM195" i="2"/>
  <c r="JN195" i="2"/>
  <c r="JM196" i="2"/>
  <c r="JN196" i="2"/>
  <c r="JM197" i="2"/>
  <c r="JN197" i="2"/>
  <c r="JM198" i="2"/>
  <c r="JN198" i="2"/>
  <c r="JM199" i="2"/>
  <c r="JN199" i="2"/>
  <c r="JM200" i="2"/>
  <c r="JN200" i="2"/>
  <c r="JM201" i="2"/>
  <c r="JN201" i="2"/>
  <c r="JM202" i="2"/>
  <c r="JN202" i="2"/>
  <c r="JM204" i="2"/>
  <c r="JN204" i="2"/>
  <c r="JM205" i="2"/>
  <c r="JN205" i="2"/>
  <c r="JM206" i="2"/>
  <c r="JN206" i="2"/>
  <c r="JM207" i="2"/>
  <c r="JN207" i="2"/>
  <c r="JM208" i="2"/>
  <c r="JN208" i="2"/>
  <c r="JM209" i="2"/>
  <c r="JN209" i="2"/>
  <c r="JM210" i="2"/>
  <c r="JN210" i="2"/>
  <c r="JM211" i="2"/>
  <c r="JN211" i="2"/>
  <c r="JM212" i="2"/>
  <c r="JN212" i="2"/>
  <c r="JM213" i="2"/>
  <c r="JN213" i="2"/>
  <c r="JM214" i="2"/>
  <c r="JN214" i="2"/>
  <c r="JM215" i="2"/>
  <c r="JN215" i="2"/>
  <c r="JM216" i="2"/>
  <c r="JN216" i="2"/>
  <c r="JM217" i="2"/>
  <c r="JN217" i="2"/>
  <c r="JM218" i="2"/>
  <c r="JN218" i="2"/>
  <c r="JM219" i="2"/>
  <c r="JN219" i="2"/>
  <c r="JM220" i="2"/>
  <c r="JN220" i="2"/>
  <c r="JM221" i="2"/>
  <c r="JN221" i="2"/>
  <c r="JM222" i="2"/>
  <c r="JN222" i="2"/>
  <c r="JM223" i="2"/>
  <c r="JN223" i="2"/>
  <c r="JM224" i="2"/>
  <c r="JN224" i="2"/>
  <c r="JM225" i="2"/>
  <c r="JN225" i="2"/>
  <c r="JM226" i="2"/>
  <c r="JN226" i="2"/>
  <c r="JM227" i="2"/>
  <c r="JN227" i="2"/>
  <c r="JM228" i="2"/>
  <c r="JN228" i="2"/>
  <c r="JM229" i="2"/>
  <c r="JN229" i="2"/>
  <c r="JM230" i="2"/>
  <c r="JN230" i="2"/>
  <c r="JM231" i="2"/>
  <c r="JN231" i="2"/>
  <c r="JM232" i="2"/>
  <c r="JN232" i="2"/>
  <c r="JM233" i="2"/>
  <c r="JN233" i="2"/>
  <c r="JM234" i="2"/>
  <c r="JN234" i="2"/>
  <c r="JM235" i="2"/>
  <c r="JN235" i="2"/>
  <c r="JM236" i="2"/>
  <c r="JN236" i="2"/>
  <c r="JM237" i="2"/>
  <c r="JN237" i="2"/>
  <c r="JM238" i="2"/>
  <c r="JN238" i="2"/>
  <c r="JM239" i="2"/>
  <c r="JN239" i="2"/>
  <c r="JM240" i="2"/>
  <c r="JN240" i="2"/>
  <c r="JM242" i="2"/>
  <c r="JN242" i="2"/>
  <c r="JM243" i="2"/>
  <c r="JN243" i="2"/>
  <c r="JM244" i="2"/>
  <c r="JN244" i="2"/>
  <c r="JM245" i="2"/>
  <c r="JN245" i="2"/>
  <c r="JM246" i="2"/>
  <c r="JN246" i="2"/>
  <c r="JM247" i="2"/>
  <c r="JN247" i="2"/>
  <c r="JM248" i="2"/>
  <c r="JN248" i="2"/>
  <c r="JM249" i="2"/>
  <c r="JN249" i="2"/>
  <c r="JM250" i="2"/>
  <c r="JN250" i="2"/>
  <c r="JM251" i="2"/>
  <c r="JN251" i="2"/>
  <c r="JM252" i="2"/>
  <c r="JN252" i="2"/>
  <c r="JM253" i="2"/>
  <c r="JN253" i="2"/>
  <c r="JM254" i="2"/>
  <c r="JN254" i="2"/>
  <c r="JM255" i="2"/>
  <c r="JN255" i="2"/>
  <c r="JM256" i="2"/>
  <c r="JN256" i="2"/>
  <c r="JM257" i="2"/>
  <c r="JN257" i="2"/>
  <c r="JM258" i="2"/>
  <c r="JN258" i="2"/>
  <c r="JM259" i="2"/>
  <c r="JN259" i="2"/>
  <c r="JM260" i="2"/>
  <c r="JN260" i="2"/>
  <c r="JM261" i="2"/>
  <c r="JN261" i="2"/>
  <c r="JM262" i="2"/>
  <c r="JN262" i="2"/>
  <c r="JM263" i="2"/>
  <c r="JN263" i="2"/>
  <c r="JM264" i="2"/>
  <c r="JN264" i="2"/>
  <c r="JM265" i="2"/>
  <c r="JN265" i="2"/>
  <c r="JM266" i="2"/>
  <c r="JN266" i="2"/>
  <c r="JM267" i="2"/>
  <c r="JN267" i="2"/>
  <c r="JM268" i="2"/>
  <c r="JN268" i="2"/>
  <c r="JM269" i="2"/>
  <c r="JN269" i="2"/>
  <c r="JM270" i="2"/>
  <c r="JN270" i="2"/>
  <c r="JM271" i="2"/>
  <c r="JN271" i="2"/>
  <c r="JM272" i="2"/>
  <c r="JN272" i="2"/>
  <c r="JM273" i="2"/>
  <c r="JN273" i="2"/>
  <c r="JM274" i="2"/>
  <c r="JN274" i="2"/>
  <c r="JM275" i="2"/>
  <c r="JN275" i="2"/>
  <c r="JM276" i="2"/>
  <c r="JN276" i="2"/>
  <c r="JM277" i="2"/>
  <c r="JN277" i="2"/>
  <c r="JM278" i="2"/>
  <c r="JN278" i="2"/>
  <c r="JM280" i="2"/>
  <c r="JN280" i="2"/>
  <c r="JM281" i="2"/>
  <c r="JN281" i="2"/>
  <c r="JM282" i="2"/>
  <c r="JN282" i="2"/>
  <c r="JM283" i="2"/>
  <c r="JN283" i="2"/>
  <c r="JM284" i="2"/>
  <c r="JN284" i="2"/>
  <c r="JM285" i="2"/>
  <c r="JN285" i="2"/>
  <c r="JM286" i="2"/>
  <c r="JN286" i="2"/>
  <c r="JM287" i="2"/>
  <c r="JN287" i="2"/>
  <c r="JM288" i="2"/>
  <c r="JN288" i="2"/>
  <c r="JM289" i="2"/>
  <c r="JN289" i="2"/>
  <c r="JM290" i="2"/>
  <c r="JN290" i="2"/>
  <c r="JM291" i="2"/>
  <c r="JN291" i="2"/>
  <c r="JM292" i="2"/>
  <c r="JN292" i="2"/>
  <c r="JM293" i="2"/>
  <c r="JN293" i="2"/>
  <c r="JM294" i="2"/>
  <c r="JN294" i="2"/>
  <c r="JM295" i="2"/>
  <c r="JN295" i="2"/>
  <c r="JM296" i="2"/>
  <c r="JN296" i="2"/>
  <c r="JM297" i="2"/>
  <c r="JN297" i="2"/>
  <c r="JM298" i="2"/>
  <c r="JN298" i="2"/>
  <c r="JM299" i="2"/>
  <c r="JN299" i="2"/>
  <c r="JM300" i="2"/>
  <c r="JN300" i="2"/>
  <c r="JM301" i="2"/>
  <c r="JN301" i="2"/>
  <c r="JM302" i="2"/>
  <c r="JN302" i="2"/>
  <c r="JM303" i="2"/>
  <c r="JN303" i="2"/>
  <c r="JM304" i="2"/>
  <c r="JN304" i="2"/>
  <c r="JM305" i="2"/>
  <c r="JN305" i="2"/>
  <c r="JM306" i="2"/>
  <c r="JN306" i="2"/>
  <c r="JM307" i="2"/>
  <c r="JN307" i="2"/>
  <c r="JM308" i="2"/>
  <c r="JN308" i="2"/>
  <c r="JM309" i="2"/>
  <c r="JN309" i="2"/>
  <c r="JM310" i="2"/>
  <c r="JN310" i="2"/>
  <c r="JM311" i="2"/>
  <c r="JN311" i="2"/>
  <c r="JM312" i="2"/>
  <c r="JN312" i="2"/>
  <c r="JM313" i="2"/>
  <c r="JN313" i="2"/>
  <c r="JM314" i="2"/>
  <c r="JN314" i="2"/>
  <c r="JM315" i="2"/>
  <c r="JN315" i="2"/>
  <c r="JM316" i="2"/>
  <c r="JN316" i="2"/>
  <c r="JM318" i="2"/>
  <c r="JN318" i="2"/>
  <c r="JM319" i="2"/>
  <c r="JN319" i="2"/>
  <c r="JM320" i="2"/>
  <c r="JN320" i="2"/>
  <c r="JM321" i="2"/>
  <c r="JN321" i="2"/>
  <c r="JM322" i="2"/>
  <c r="JN322" i="2"/>
  <c r="JM323" i="2"/>
  <c r="JN323" i="2"/>
  <c r="JM324" i="2"/>
  <c r="JN324" i="2"/>
  <c r="JM325" i="2"/>
  <c r="JN325" i="2"/>
  <c r="JM326" i="2"/>
  <c r="JN326" i="2"/>
  <c r="JM327" i="2"/>
  <c r="JN327" i="2"/>
  <c r="JM328" i="2"/>
  <c r="JN328" i="2"/>
  <c r="JM329" i="2"/>
  <c r="JN329" i="2"/>
  <c r="JM330" i="2"/>
  <c r="JN330" i="2"/>
  <c r="JM331" i="2"/>
  <c r="JN331" i="2"/>
  <c r="JM332" i="2"/>
  <c r="JN332" i="2"/>
  <c r="JM333" i="2"/>
  <c r="JN333" i="2"/>
  <c r="JM334" i="2"/>
  <c r="JN334" i="2"/>
  <c r="JM335" i="2"/>
  <c r="JN335" i="2"/>
  <c r="JM336" i="2"/>
  <c r="JN336" i="2"/>
  <c r="JM337" i="2"/>
  <c r="JN337" i="2"/>
  <c r="JM338" i="2"/>
  <c r="JN338" i="2"/>
  <c r="JM339" i="2"/>
  <c r="JN339" i="2"/>
  <c r="JM340" i="2"/>
  <c r="JN340" i="2"/>
  <c r="JM341" i="2"/>
  <c r="JN341" i="2"/>
  <c r="JM342" i="2"/>
  <c r="JN342" i="2"/>
  <c r="JM343" i="2"/>
  <c r="JN343" i="2"/>
  <c r="JM344" i="2"/>
  <c r="JN344" i="2"/>
  <c r="JM345" i="2"/>
  <c r="JN345" i="2"/>
  <c r="JM346" i="2"/>
  <c r="JN346" i="2"/>
  <c r="JM347" i="2"/>
  <c r="JN347" i="2"/>
  <c r="JM348" i="2"/>
  <c r="JN348" i="2"/>
  <c r="JM349" i="2"/>
  <c r="JN349" i="2"/>
  <c r="JM350" i="2"/>
  <c r="JN350" i="2"/>
  <c r="JM351" i="2"/>
  <c r="JN351" i="2"/>
  <c r="JM352" i="2"/>
  <c r="JN352" i="2"/>
  <c r="JM353" i="2"/>
  <c r="JN353" i="2"/>
  <c r="JM354" i="2"/>
  <c r="JN354" i="2"/>
  <c r="JM356" i="2"/>
  <c r="JN356" i="2"/>
  <c r="JM357" i="2"/>
  <c r="JN357" i="2"/>
  <c r="JM358" i="2"/>
  <c r="JN358" i="2"/>
  <c r="JM359" i="2"/>
  <c r="JN359" i="2"/>
  <c r="JM360" i="2"/>
  <c r="JN360" i="2"/>
  <c r="JM361" i="2"/>
  <c r="JN361" i="2"/>
  <c r="JM362" i="2"/>
  <c r="JN362" i="2"/>
  <c r="JM363" i="2"/>
  <c r="JN363" i="2"/>
  <c r="JM364" i="2"/>
  <c r="JN364" i="2"/>
  <c r="JM365" i="2"/>
  <c r="JN365" i="2"/>
  <c r="JM366" i="2"/>
  <c r="JN366" i="2"/>
  <c r="JM367" i="2"/>
  <c r="JN367" i="2"/>
  <c r="JM368" i="2"/>
  <c r="JN368" i="2"/>
  <c r="JM369" i="2"/>
  <c r="JN369" i="2"/>
  <c r="JM370" i="2"/>
  <c r="JN370" i="2"/>
  <c r="JM371" i="2"/>
  <c r="JN371" i="2"/>
  <c r="JM372" i="2"/>
  <c r="JN372" i="2"/>
  <c r="JM373" i="2"/>
  <c r="JN373" i="2"/>
  <c r="JM374" i="2"/>
  <c r="JN374" i="2"/>
  <c r="JM375" i="2"/>
  <c r="JN375" i="2"/>
  <c r="JM376" i="2"/>
  <c r="JN376" i="2"/>
  <c r="JM377" i="2"/>
  <c r="JN377" i="2"/>
  <c r="JM378" i="2"/>
  <c r="JN378" i="2"/>
  <c r="JM379" i="2"/>
  <c r="JN379" i="2"/>
  <c r="JM380" i="2"/>
  <c r="JN380" i="2"/>
  <c r="JM381" i="2"/>
  <c r="JN381" i="2"/>
  <c r="JM382" i="2"/>
  <c r="JN382" i="2"/>
  <c r="JM383" i="2"/>
  <c r="JN383" i="2"/>
  <c r="JM384" i="2"/>
  <c r="JN384" i="2"/>
  <c r="JM385" i="2"/>
  <c r="JN385" i="2"/>
  <c r="JM386" i="2"/>
  <c r="JN386" i="2"/>
  <c r="JM387" i="2"/>
  <c r="JN387" i="2"/>
  <c r="JM388" i="2"/>
  <c r="JN388" i="2"/>
  <c r="JM389" i="2"/>
  <c r="JN389" i="2"/>
  <c r="JM390" i="2"/>
  <c r="JN390" i="2"/>
  <c r="JM391" i="2"/>
  <c r="JN391" i="2"/>
  <c r="JM392" i="2"/>
  <c r="JN392" i="2"/>
  <c r="JM394" i="2"/>
  <c r="JN394" i="2"/>
  <c r="JM395" i="2"/>
  <c r="JN395" i="2"/>
  <c r="JM396" i="2"/>
  <c r="JN396" i="2"/>
  <c r="JM397" i="2"/>
  <c r="JN397" i="2"/>
  <c r="JM398" i="2"/>
  <c r="JN398" i="2"/>
  <c r="JM399" i="2"/>
  <c r="JN399" i="2"/>
  <c r="JM400" i="2"/>
  <c r="JN400" i="2"/>
  <c r="JM401" i="2"/>
  <c r="JN401" i="2"/>
  <c r="JM402" i="2"/>
  <c r="JN402" i="2"/>
  <c r="JM403" i="2"/>
  <c r="JN403" i="2"/>
  <c r="JM404" i="2"/>
  <c r="JN404" i="2"/>
  <c r="JM405" i="2"/>
  <c r="JN405" i="2"/>
  <c r="JM406" i="2"/>
  <c r="JN406" i="2"/>
  <c r="JM407" i="2"/>
  <c r="JN407" i="2"/>
  <c r="JM408" i="2"/>
  <c r="JN408" i="2"/>
  <c r="JM409" i="2"/>
  <c r="JN409" i="2"/>
  <c r="JM410" i="2"/>
  <c r="JN410" i="2"/>
  <c r="JM411" i="2"/>
  <c r="JN411" i="2"/>
  <c r="JM412" i="2"/>
  <c r="JN412" i="2"/>
  <c r="JM413" i="2"/>
  <c r="JN413" i="2"/>
  <c r="JM414" i="2"/>
  <c r="JN414" i="2"/>
  <c r="JM415" i="2"/>
  <c r="JN415" i="2"/>
  <c r="JM416" i="2"/>
  <c r="JN416" i="2"/>
  <c r="JM417" i="2"/>
  <c r="JN417" i="2"/>
  <c r="JM418" i="2"/>
  <c r="JN418" i="2"/>
  <c r="JM419" i="2"/>
  <c r="JN419" i="2"/>
  <c r="JM420" i="2"/>
  <c r="JN420" i="2"/>
  <c r="JM421" i="2"/>
  <c r="JN421" i="2"/>
  <c r="JM422" i="2"/>
  <c r="JN422" i="2"/>
  <c r="JM423" i="2"/>
  <c r="JN423" i="2"/>
  <c r="JM424" i="2"/>
  <c r="JN424" i="2"/>
  <c r="JM425" i="2"/>
  <c r="JN425" i="2"/>
  <c r="JM426" i="2"/>
  <c r="JN426" i="2"/>
  <c r="JM427" i="2"/>
  <c r="JN427" i="2"/>
  <c r="JM428" i="2"/>
  <c r="JN428" i="2"/>
  <c r="JM429" i="2"/>
  <c r="JN429" i="2"/>
  <c r="JM430" i="2"/>
  <c r="JN430" i="2"/>
  <c r="JM432" i="2"/>
  <c r="JN432" i="2"/>
  <c r="JM433" i="2"/>
  <c r="JN433" i="2"/>
  <c r="JM434" i="2"/>
  <c r="JN434" i="2"/>
  <c r="JM435" i="2"/>
  <c r="JN435" i="2"/>
  <c r="JM436" i="2"/>
  <c r="JN436" i="2"/>
  <c r="JM437" i="2"/>
  <c r="JN437" i="2"/>
  <c r="JM438" i="2"/>
  <c r="JN438" i="2"/>
  <c r="JM439" i="2"/>
  <c r="JN439" i="2"/>
  <c r="JM440" i="2"/>
  <c r="JN440" i="2"/>
  <c r="JM441" i="2"/>
  <c r="JN441" i="2"/>
  <c r="JM442" i="2"/>
  <c r="JN442" i="2"/>
  <c r="JM443" i="2"/>
  <c r="JN443" i="2"/>
  <c r="JM444" i="2"/>
  <c r="JN444" i="2"/>
  <c r="JM445" i="2"/>
  <c r="JN445" i="2"/>
  <c r="JM446" i="2"/>
  <c r="JN446" i="2"/>
  <c r="JM447" i="2"/>
  <c r="JN447" i="2"/>
  <c r="JM448" i="2"/>
  <c r="JN448" i="2"/>
  <c r="JM449" i="2"/>
  <c r="JN449" i="2"/>
  <c r="JM450" i="2"/>
  <c r="JN450" i="2"/>
  <c r="JM451" i="2"/>
  <c r="JN451" i="2"/>
  <c r="JM452" i="2"/>
  <c r="JN452" i="2"/>
  <c r="JM453" i="2"/>
  <c r="JN453" i="2"/>
  <c r="JM454" i="2"/>
  <c r="JN454" i="2"/>
  <c r="JM455" i="2"/>
  <c r="JN455" i="2"/>
  <c r="JM456" i="2"/>
  <c r="JN456" i="2"/>
  <c r="JM457" i="2"/>
  <c r="JN457" i="2"/>
  <c r="JM458" i="2"/>
  <c r="JN458" i="2"/>
  <c r="JM459" i="2"/>
  <c r="JN459" i="2"/>
  <c r="JM460" i="2"/>
  <c r="JN460" i="2"/>
  <c r="JM461" i="2"/>
  <c r="JN461" i="2"/>
  <c r="JM462" i="2"/>
  <c r="JN462" i="2"/>
  <c r="JM463" i="2"/>
  <c r="JN463" i="2"/>
  <c r="JM464" i="2"/>
  <c r="JN464" i="2"/>
  <c r="JM465" i="2"/>
  <c r="JN465" i="2"/>
  <c r="JM466" i="2"/>
  <c r="JN466" i="2"/>
  <c r="JM467" i="2"/>
  <c r="JN467" i="2"/>
  <c r="JM468" i="2"/>
  <c r="JN468" i="2"/>
  <c r="JN15" i="2"/>
  <c r="JN16" i="2"/>
  <c r="JN17" i="2"/>
  <c r="JN18" i="2"/>
  <c r="JN19" i="2"/>
  <c r="JN20" i="2"/>
  <c r="JN21" i="2"/>
  <c r="JN22" i="2"/>
  <c r="JN23" i="2"/>
  <c r="JN24" i="2"/>
  <c r="JN25" i="2"/>
  <c r="JN26" i="2"/>
  <c r="JN27" i="2"/>
  <c r="JN28" i="2"/>
  <c r="JN29" i="2"/>
  <c r="JN30" i="2"/>
  <c r="JN31" i="2"/>
  <c r="JN32" i="2"/>
  <c r="JN33" i="2"/>
  <c r="JN34" i="2"/>
  <c r="JN35" i="2"/>
  <c r="JN36" i="2"/>
  <c r="JN37" i="2"/>
  <c r="JN38" i="2"/>
  <c r="JN39" i="2"/>
  <c r="JN40" i="2"/>
  <c r="JN41" i="2"/>
  <c r="JN42" i="2"/>
  <c r="JN43" i="2"/>
  <c r="JN44" i="2"/>
  <c r="JN45" i="2"/>
  <c r="JN46" i="2"/>
  <c r="JN47" i="2"/>
  <c r="JN48" i="2"/>
  <c r="JN49" i="2"/>
  <c r="JN50" i="2"/>
  <c r="JN14" i="2"/>
  <c r="JM14" i="2"/>
  <c r="IW52" i="2"/>
  <c r="IX52" i="2"/>
  <c r="IW53" i="2"/>
  <c r="IX53" i="2"/>
  <c r="IW54" i="2"/>
  <c r="IX54" i="2"/>
  <c r="IW55" i="2"/>
  <c r="IX55" i="2"/>
  <c r="IW56" i="2"/>
  <c r="IX56" i="2"/>
  <c r="IW57" i="2"/>
  <c r="IX57" i="2"/>
  <c r="IW58" i="2"/>
  <c r="IX58" i="2"/>
  <c r="IW59" i="2"/>
  <c r="IX59" i="2"/>
  <c r="IW60" i="2"/>
  <c r="IX60" i="2"/>
  <c r="IW61" i="2"/>
  <c r="IX61" i="2"/>
  <c r="IW62" i="2"/>
  <c r="IX62" i="2"/>
  <c r="IW63" i="2"/>
  <c r="IX63" i="2"/>
  <c r="IW64" i="2"/>
  <c r="IX64" i="2"/>
  <c r="IW65" i="2"/>
  <c r="IX65" i="2"/>
  <c r="IW66" i="2"/>
  <c r="IX66" i="2"/>
  <c r="IW67" i="2"/>
  <c r="IX67" i="2"/>
  <c r="IW68" i="2"/>
  <c r="IX68" i="2"/>
  <c r="IW69" i="2"/>
  <c r="IX69" i="2"/>
  <c r="IW70" i="2"/>
  <c r="IX70" i="2"/>
  <c r="IW71" i="2"/>
  <c r="IX71" i="2"/>
  <c r="IW72" i="2"/>
  <c r="IX72" i="2"/>
  <c r="IW73" i="2"/>
  <c r="IX73" i="2"/>
  <c r="IW74" i="2"/>
  <c r="IX74" i="2"/>
  <c r="IW75" i="2"/>
  <c r="IX75" i="2"/>
  <c r="IW76" i="2"/>
  <c r="IX76" i="2"/>
  <c r="IW77" i="2"/>
  <c r="IX77" i="2"/>
  <c r="IW78" i="2"/>
  <c r="IX78" i="2"/>
  <c r="IW79" i="2"/>
  <c r="IX79" i="2"/>
  <c r="IW80" i="2"/>
  <c r="IX80" i="2"/>
  <c r="IW81" i="2"/>
  <c r="IX81" i="2"/>
  <c r="IW82" i="2"/>
  <c r="IX82" i="2"/>
  <c r="IW83" i="2"/>
  <c r="IX83" i="2"/>
  <c r="IW84" i="2"/>
  <c r="IX84" i="2"/>
  <c r="IW85" i="2"/>
  <c r="IX85" i="2"/>
  <c r="IW86" i="2"/>
  <c r="IX86" i="2"/>
  <c r="IW87" i="2"/>
  <c r="IX87" i="2"/>
  <c r="IW88" i="2"/>
  <c r="IX88" i="2"/>
  <c r="IW90" i="2"/>
  <c r="IX90" i="2"/>
  <c r="IW91" i="2"/>
  <c r="IX91" i="2"/>
  <c r="IW92" i="2"/>
  <c r="IX92" i="2"/>
  <c r="IW93" i="2"/>
  <c r="IX93" i="2"/>
  <c r="IW94" i="2"/>
  <c r="IX94" i="2"/>
  <c r="IW95" i="2"/>
  <c r="IX95" i="2"/>
  <c r="IW96" i="2"/>
  <c r="IX96" i="2"/>
  <c r="IW97" i="2"/>
  <c r="IX97" i="2"/>
  <c r="IW98" i="2"/>
  <c r="IX98" i="2"/>
  <c r="IW99" i="2"/>
  <c r="IX99" i="2"/>
  <c r="IW100" i="2"/>
  <c r="IX100" i="2"/>
  <c r="IW101" i="2"/>
  <c r="IX101" i="2"/>
  <c r="IW102" i="2"/>
  <c r="IX102" i="2"/>
  <c r="IW103" i="2"/>
  <c r="IX103" i="2"/>
  <c r="IW104" i="2"/>
  <c r="IX104" i="2"/>
  <c r="IW105" i="2"/>
  <c r="IX105" i="2"/>
  <c r="IW106" i="2"/>
  <c r="IX106" i="2"/>
  <c r="IW107" i="2"/>
  <c r="IX107" i="2"/>
  <c r="IW108" i="2"/>
  <c r="IX108" i="2"/>
  <c r="IW109" i="2"/>
  <c r="IX109" i="2"/>
  <c r="IW110" i="2"/>
  <c r="IX110" i="2"/>
  <c r="IW111" i="2"/>
  <c r="IX111" i="2"/>
  <c r="IW112" i="2"/>
  <c r="IX112" i="2"/>
  <c r="IW113" i="2"/>
  <c r="IX113" i="2"/>
  <c r="IW114" i="2"/>
  <c r="IX114" i="2"/>
  <c r="IW115" i="2"/>
  <c r="IX115" i="2"/>
  <c r="IW116" i="2"/>
  <c r="IX116" i="2"/>
  <c r="IW117" i="2"/>
  <c r="IX117" i="2"/>
  <c r="IW118" i="2"/>
  <c r="IX118" i="2"/>
  <c r="IW119" i="2"/>
  <c r="IX119" i="2"/>
  <c r="IW120" i="2"/>
  <c r="IX120" i="2"/>
  <c r="IW121" i="2"/>
  <c r="IX121" i="2"/>
  <c r="IW122" i="2"/>
  <c r="IX122" i="2"/>
  <c r="IW123" i="2"/>
  <c r="IX123" i="2"/>
  <c r="IW124" i="2"/>
  <c r="IX124" i="2"/>
  <c r="IW125" i="2"/>
  <c r="IX125" i="2"/>
  <c r="IW126" i="2"/>
  <c r="IX126" i="2"/>
  <c r="IW128" i="2"/>
  <c r="IX128" i="2"/>
  <c r="IW129" i="2"/>
  <c r="IX129" i="2"/>
  <c r="IW130" i="2"/>
  <c r="IX130" i="2"/>
  <c r="IW131" i="2"/>
  <c r="IX131" i="2"/>
  <c r="IW132" i="2"/>
  <c r="IX132" i="2"/>
  <c r="IW133" i="2"/>
  <c r="IX133" i="2"/>
  <c r="IW134" i="2"/>
  <c r="IX134" i="2"/>
  <c r="IW135" i="2"/>
  <c r="IX135" i="2"/>
  <c r="IW136" i="2"/>
  <c r="IX136" i="2"/>
  <c r="IW137" i="2"/>
  <c r="IX137" i="2"/>
  <c r="IW138" i="2"/>
  <c r="IX138" i="2"/>
  <c r="IW139" i="2"/>
  <c r="IX139" i="2"/>
  <c r="IW140" i="2"/>
  <c r="IX140" i="2"/>
  <c r="IW141" i="2"/>
  <c r="IX141" i="2"/>
  <c r="IW142" i="2"/>
  <c r="IX142" i="2"/>
  <c r="IW143" i="2"/>
  <c r="IX143" i="2"/>
  <c r="IW144" i="2"/>
  <c r="IX144" i="2"/>
  <c r="IW145" i="2"/>
  <c r="IX145" i="2"/>
  <c r="IW146" i="2"/>
  <c r="IX146" i="2"/>
  <c r="IW147" i="2"/>
  <c r="IX147" i="2"/>
  <c r="IW148" i="2"/>
  <c r="IX148" i="2"/>
  <c r="IW149" i="2"/>
  <c r="IX149" i="2"/>
  <c r="IW150" i="2"/>
  <c r="IX150" i="2"/>
  <c r="IW151" i="2"/>
  <c r="IX151" i="2"/>
  <c r="IW152" i="2"/>
  <c r="IX152" i="2"/>
  <c r="IW153" i="2"/>
  <c r="IX153" i="2"/>
  <c r="IW154" i="2"/>
  <c r="IX154" i="2"/>
  <c r="IW155" i="2"/>
  <c r="IX155" i="2"/>
  <c r="IW156" i="2"/>
  <c r="IX156" i="2"/>
  <c r="IW157" i="2"/>
  <c r="IX157" i="2"/>
  <c r="IW158" i="2"/>
  <c r="IX158" i="2"/>
  <c r="IW159" i="2"/>
  <c r="IX159" i="2"/>
  <c r="IW160" i="2"/>
  <c r="IX160" i="2"/>
  <c r="IW161" i="2"/>
  <c r="IX161" i="2"/>
  <c r="IW162" i="2"/>
  <c r="IX162" i="2"/>
  <c r="IW163" i="2"/>
  <c r="IX163" i="2"/>
  <c r="IW164" i="2"/>
  <c r="IX164" i="2"/>
  <c r="IW166" i="2"/>
  <c r="IX166" i="2"/>
  <c r="IW167" i="2"/>
  <c r="IX167" i="2"/>
  <c r="IW168" i="2"/>
  <c r="IX168" i="2"/>
  <c r="IW169" i="2"/>
  <c r="IX169" i="2"/>
  <c r="IW170" i="2"/>
  <c r="IX170" i="2"/>
  <c r="IW171" i="2"/>
  <c r="IX171" i="2"/>
  <c r="IW172" i="2"/>
  <c r="IX172" i="2"/>
  <c r="IW173" i="2"/>
  <c r="IX173" i="2"/>
  <c r="IW174" i="2"/>
  <c r="IX174" i="2"/>
  <c r="IW175" i="2"/>
  <c r="IX175" i="2"/>
  <c r="IW176" i="2"/>
  <c r="IX176" i="2"/>
  <c r="IW177" i="2"/>
  <c r="IX177" i="2"/>
  <c r="IW178" i="2"/>
  <c r="IX178" i="2"/>
  <c r="IW179" i="2"/>
  <c r="IX179" i="2"/>
  <c r="IW180" i="2"/>
  <c r="IX180" i="2"/>
  <c r="IW181" i="2"/>
  <c r="IX181" i="2"/>
  <c r="IW182" i="2"/>
  <c r="IX182" i="2"/>
  <c r="IW183" i="2"/>
  <c r="IX183" i="2"/>
  <c r="IW184" i="2"/>
  <c r="IX184" i="2"/>
  <c r="IW185" i="2"/>
  <c r="IX185" i="2"/>
  <c r="IW186" i="2"/>
  <c r="IX186" i="2"/>
  <c r="IW187" i="2"/>
  <c r="IX187" i="2"/>
  <c r="IW188" i="2"/>
  <c r="IX188" i="2"/>
  <c r="IW189" i="2"/>
  <c r="IX189" i="2"/>
  <c r="IW190" i="2"/>
  <c r="IX190" i="2"/>
  <c r="IW191" i="2"/>
  <c r="IX191" i="2"/>
  <c r="IW192" i="2"/>
  <c r="IX192" i="2"/>
  <c r="IW193" i="2"/>
  <c r="IX193" i="2"/>
  <c r="IW194" i="2"/>
  <c r="IX194" i="2"/>
  <c r="IW195" i="2"/>
  <c r="IX195" i="2"/>
  <c r="IW196" i="2"/>
  <c r="IX196" i="2"/>
  <c r="IW197" i="2"/>
  <c r="IX197" i="2"/>
  <c r="IW198" i="2"/>
  <c r="IX198" i="2"/>
  <c r="IW199" i="2"/>
  <c r="IX199" i="2"/>
  <c r="IW200" i="2"/>
  <c r="IX200" i="2"/>
  <c r="IW201" i="2"/>
  <c r="IX201" i="2"/>
  <c r="IW202" i="2"/>
  <c r="IX202" i="2"/>
  <c r="IW204" i="2"/>
  <c r="IX204" i="2"/>
  <c r="IW205" i="2"/>
  <c r="IX205" i="2"/>
  <c r="IW206" i="2"/>
  <c r="IX206" i="2"/>
  <c r="IW207" i="2"/>
  <c r="IX207" i="2"/>
  <c r="IW208" i="2"/>
  <c r="IX208" i="2"/>
  <c r="IW209" i="2"/>
  <c r="IX209" i="2"/>
  <c r="IW210" i="2"/>
  <c r="IX210" i="2"/>
  <c r="IW211" i="2"/>
  <c r="IX211" i="2"/>
  <c r="IW212" i="2"/>
  <c r="IX212" i="2"/>
  <c r="IW213" i="2"/>
  <c r="IX213" i="2"/>
  <c r="IW214" i="2"/>
  <c r="IX214" i="2"/>
  <c r="IW215" i="2"/>
  <c r="IX215" i="2"/>
  <c r="IW216" i="2"/>
  <c r="IX216" i="2"/>
  <c r="IW217" i="2"/>
  <c r="IX217" i="2"/>
  <c r="IW218" i="2"/>
  <c r="IX218" i="2"/>
  <c r="IW219" i="2"/>
  <c r="IX219" i="2"/>
  <c r="IW220" i="2"/>
  <c r="IX220" i="2"/>
  <c r="IW221" i="2"/>
  <c r="IX221" i="2"/>
  <c r="IW222" i="2"/>
  <c r="IX222" i="2"/>
  <c r="IW223" i="2"/>
  <c r="IX223" i="2"/>
  <c r="IW224" i="2"/>
  <c r="IX224" i="2"/>
  <c r="IW225" i="2"/>
  <c r="IX225" i="2"/>
  <c r="IW226" i="2"/>
  <c r="IX226" i="2"/>
  <c r="IW227" i="2"/>
  <c r="IX227" i="2"/>
  <c r="IW228" i="2"/>
  <c r="IX228" i="2"/>
  <c r="IW229" i="2"/>
  <c r="IX229" i="2"/>
  <c r="IW230" i="2"/>
  <c r="IX230" i="2"/>
  <c r="IW231" i="2"/>
  <c r="IX231" i="2"/>
  <c r="IW232" i="2"/>
  <c r="IX232" i="2"/>
  <c r="IW233" i="2"/>
  <c r="IX233" i="2"/>
  <c r="IW234" i="2"/>
  <c r="IX234" i="2"/>
  <c r="IW235" i="2"/>
  <c r="IX235" i="2"/>
  <c r="IW236" i="2"/>
  <c r="IX236" i="2"/>
  <c r="IW237" i="2"/>
  <c r="IX237" i="2"/>
  <c r="IW238" i="2"/>
  <c r="IX238" i="2"/>
  <c r="IW239" i="2"/>
  <c r="IX239" i="2"/>
  <c r="IW240" i="2"/>
  <c r="IX240" i="2"/>
  <c r="IW242" i="2"/>
  <c r="IX242" i="2"/>
  <c r="IW243" i="2"/>
  <c r="IX243" i="2"/>
  <c r="IW244" i="2"/>
  <c r="IX244" i="2"/>
  <c r="IW245" i="2"/>
  <c r="IX245" i="2"/>
  <c r="IW246" i="2"/>
  <c r="IX246" i="2"/>
  <c r="IW247" i="2"/>
  <c r="IX247" i="2"/>
  <c r="IW248" i="2"/>
  <c r="IX248" i="2"/>
  <c r="IW249" i="2"/>
  <c r="IX249" i="2"/>
  <c r="IW250" i="2"/>
  <c r="IX250" i="2"/>
  <c r="IW251" i="2"/>
  <c r="IX251" i="2"/>
  <c r="IW252" i="2"/>
  <c r="IX252" i="2"/>
  <c r="IW253" i="2"/>
  <c r="IX253" i="2"/>
  <c r="IW254" i="2"/>
  <c r="IX254" i="2"/>
  <c r="IW255" i="2"/>
  <c r="IX255" i="2"/>
  <c r="IW256" i="2"/>
  <c r="IX256" i="2"/>
  <c r="IW257" i="2"/>
  <c r="IX257" i="2"/>
  <c r="IW258" i="2"/>
  <c r="IX258" i="2"/>
  <c r="IW259" i="2"/>
  <c r="IX259" i="2"/>
  <c r="IW260" i="2"/>
  <c r="IX260" i="2"/>
  <c r="IW261" i="2"/>
  <c r="IX261" i="2"/>
  <c r="IW262" i="2"/>
  <c r="IX262" i="2"/>
  <c r="IW263" i="2"/>
  <c r="IX263" i="2"/>
  <c r="IW264" i="2"/>
  <c r="IX264" i="2"/>
  <c r="IW265" i="2"/>
  <c r="IX265" i="2"/>
  <c r="IW266" i="2"/>
  <c r="IX266" i="2"/>
  <c r="IW267" i="2"/>
  <c r="IX267" i="2"/>
  <c r="IW268" i="2"/>
  <c r="IX268" i="2"/>
  <c r="IW269" i="2"/>
  <c r="IX269" i="2"/>
  <c r="IW270" i="2"/>
  <c r="IX270" i="2"/>
  <c r="IW271" i="2"/>
  <c r="IX271" i="2"/>
  <c r="IW272" i="2"/>
  <c r="IX272" i="2"/>
  <c r="IW273" i="2"/>
  <c r="IX273" i="2"/>
  <c r="IW274" i="2"/>
  <c r="IX274" i="2"/>
  <c r="IW275" i="2"/>
  <c r="IX275" i="2"/>
  <c r="IW276" i="2"/>
  <c r="IX276" i="2"/>
  <c r="IW277" i="2"/>
  <c r="IX277" i="2"/>
  <c r="IW278" i="2"/>
  <c r="IX278" i="2"/>
  <c r="IW280" i="2"/>
  <c r="IX280" i="2"/>
  <c r="IW281" i="2"/>
  <c r="IX281" i="2"/>
  <c r="IW282" i="2"/>
  <c r="IX282" i="2"/>
  <c r="IW283" i="2"/>
  <c r="IX283" i="2"/>
  <c r="IW284" i="2"/>
  <c r="IX284" i="2"/>
  <c r="IW285" i="2"/>
  <c r="IX285" i="2"/>
  <c r="IW286" i="2"/>
  <c r="IX286" i="2"/>
  <c r="IW287" i="2"/>
  <c r="IX287" i="2"/>
  <c r="IW288" i="2"/>
  <c r="IX288" i="2"/>
  <c r="IW289" i="2"/>
  <c r="IX289" i="2"/>
  <c r="IW290" i="2"/>
  <c r="IX290" i="2"/>
  <c r="IW291" i="2"/>
  <c r="IX291" i="2"/>
  <c r="IW292" i="2"/>
  <c r="IX292" i="2"/>
  <c r="IW293" i="2"/>
  <c r="IX293" i="2"/>
  <c r="IW294" i="2"/>
  <c r="IX294" i="2"/>
  <c r="IW295" i="2"/>
  <c r="IX295" i="2"/>
  <c r="IW296" i="2"/>
  <c r="IX296" i="2"/>
  <c r="IW297" i="2"/>
  <c r="IX297" i="2"/>
  <c r="IW298" i="2"/>
  <c r="IX298" i="2"/>
  <c r="IW299" i="2"/>
  <c r="IX299" i="2"/>
  <c r="IW300" i="2"/>
  <c r="IX300" i="2"/>
  <c r="IW301" i="2"/>
  <c r="IX301" i="2"/>
  <c r="IW302" i="2"/>
  <c r="IX302" i="2"/>
  <c r="IW303" i="2"/>
  <c r="IX303" i="2"/>
  <c r="IW304" i="2"/>
  <c r="IX304" i="2"/>
  <c r="IW305" i="2"/>
  <c r="IX305" i="2"/>
  <c r="IW306" i="2"/>
  <c r="IX306" i="2"/>
  <c r="IW307" i="2"/>
  <c r="IX307" i="2"/>
  <c r="IW308" i="2"/>
  <c r="IX308" i="2"/>
  <c r="IW309" i="2"/>
  <c r="IX309" i="2"/>
  <c r="IW310" i="2"/>
  <c r="IX310" i="2"/>
  <c r="IW311" i="2"/>
  <c r="IX311" i="2"/>
  <c r="IW312" i="2"/>
  <c r="IX312" i="2"/>
  <c r="IW313" i="2"/>
  <c r="IX313" i="2"/>
  <c r="IW314" i="2"/>
  <c r="IX314" i="2"/>
  <c r="IW315" i="2"/>
  <c r="IX315" i="2"/>
  <c r="IW316" i="2"/>
  <c r="IX316" i="2"/>
  <c r="IW318" i="2"/>
  <c r="IX318" i="2"/>
  <c r="IW319" i="2"/>
  <c r="IX319" i="2"/>
  <c r="IW320" i="2"/>
  <c r="IX320" i="2"/>
  <c r="IW321" i="2"/>
  <c r="IX321" i="2"/>
  <c r="IW322" i="2"/>
  <c r="IX322" i="2"/>
  <c r="IW323" i="2"/>
  <c r="IX323" i="2"/>
  <c r="IW324" i="2"/>
  <c r="IX324" i="2"/>
  <c r="IW325" i="2"/>
  <c r="IX325" i="2"/>
  <c r="IW326" i="2"/>
  <c r="IX326" i="2"/>
  <c r="IW327" i="2"/>
  <c r="IX327" i="2"/>
  <c r="IW328" i="2"/>
  <c r="IX328" i="2"/>
  <c r="IW329" i="2"/>
  <c r="IX329" i="2"/>
  <c r="IW330" i="2"/>
  <c r="IX330" i="2"/>
  <c r="IW331" i="2"/>
  <c r="IX331" i="2"/>
  <c r="IW332" i="2"/>
  <c r="IX332" i="2"/>
  <c r="IW333" i="2"/>
  <c r="IX333" i="2"/>
  <c r="IW334" i="2"/>
  <c r="IX334" i="2"/>
  <c r="IW335" i="2"/>
  <c r="IX335" i="2"/>
  <c r="IW336" i="2"/>
  <c r="IX336" i="2"/>
  <c r="IW337" i="2"/>
  <c r="IX337" i="2"/>
  <c r="IW338" i="2"/>
  <c r="IX338" i="2"/>
  <c r="IW339" i="2"/>
  <c r="IX339" i="2"/>
  <c r="IW340" i="2"/>
  <c r="IX340" i="2"/>
  <c r="IW341" i="2"/>
  <c r="IX341" i="2"/>
  <c r="IW342" i="2"/>
  <c r="IX342" i="2"/>
  <c r="IW343" i="2"/>
  <c r="IX343" i="2"/>
  <c r="IW344" i="2"/>
  <c r="IX344" i="2"/>
  <c r="IW345" i="2"/>
  <c r="IX345" i="2"/>
  <c r="IW346" i="2"/>
  <c r="IX346" i="2"/>
  <c r="IW347" i="2"/>
  <c r="IX347" i="2"/>
  <c r="IW348" i="2"/>
  <c r="IX348" i="2"/>
  <c r="IW349" i="2"/>
  <c r="IX349" i="2"/>
  <c r="IW350" i="2"/>
  <c r="IX350" i="2"/>
  <c r="IW351" i="2"/>
  <c r="IX351" i="2"/>
  <c r="IW352" i="2"/>
  <c r="IX352" i="2"/>
  <c r="IW353" i="2"/>
  <c r="IX353" i="2"/>
  <c r="IW354" i="2"/>
  <c r="IX354" i="2"/>
  <c r="IW356" i="2"/>
  <c r="IX356" i="2"/>
  <c r="IW357" i="2"/>
  <c r="IX357" i="2"/>
  <c r="IW358" i="2"/>
  <c r="IX358" i="2"/>
  <c r="IW359" i="2"/>
  <c r="IX359" i="2"/>
  <c r="IW360" i="2"/>
  <c r="IX360" i="2"/>
  <c r="IW361" i="2"/>
  <c r="IX361" i="2"/>
  <c r="IW362" i="2"/>
  <c r="IX362" i="2"/>
  <c r="IW363" i="2"/>
  <c r="IX363" i="2"/>
  <c r="IW364" i="2"/>
  <c r="IX364" i="2"/>
  <c r="IW365" i="2"/>
  <c r="IX365" i="2"/>
  <c r="IW366" i="2"/>
  <c r="IX366" i="2"/>
  <c r="IW367" i="2"/>
  <c r="IX367" i="2"/>
  <c r="IW368" i="2"/>
  <c r="IX368" i="2"/>
  <c r="IW369" i="2"/>
  <c r="IX369" i="2"/>
  <c r="IW370" i="2"/>
  <c r="IX370" i="2"/>
  <c r="IW371" i="2"/>
  <c r="IX371" i="2"/>
  <c r="IW372" i="2"/>
  <c r="IX372" i="2"/>
  <c r="IW373" i="2"/>
  <c r="IX373" i="2"/>
  <c r="IW374" i="2"/>
  <c r="IX374" i="2"/>
  <c r="IW375" i="2"/>
  <c r="IX375" i="2"/>
  <c r="IW376" i="2"/>
  <c r="IX376" i="2"/>
  <c r="IW377" i="2"/>
  <c r="IX377" i="2"/>
  <c r="IW378" i="2"/>
  <c r="IX378" i="2"/>
  <c r="IW379" i="2"/>
  <c r="IX379" i="2"/>
  <c r="IW380" i="2"/>
  <c r="IX380" i="2"/>
  <c r="IW381" i="2"/>
  <c r="IX381" i="2"/>
  <c r="IW382" i="2"/>
  <c r="IX382" i="2"/>
  <c r="IW383" i="2"/>
  <c r="IX383" i="2"/>
  <c r="IW384" i="2"/>
  <c r="IX384" i="2"/>
  <c r="IW385" i="2"/>
  <c r="IX385" i="2"/>
  <c r="IW386" i="2"/>
  <c r="IX386" i="2"/>
  <c r="IW387" i="2"/>
  <c r="IX387" i="2"/>
  <c r="IW388" i="2"/>
  <c r="IX388" i="2"/>
  <c r="IW389" i="2"/>
  <c r="IX389" i="2"/>
  <c r="IW390" i="2"/>
  <c r="IX390" i="2"/>
  <c r="IW391" i="2"/>
  <c r="IX391" i="2"/>
  <c r="IW392" i="2"/>
  <c r="IX392" i="2"/>
  <c r="IW394" i="2"/>
  <c r="IX394" i="2"/>
  <c r="IW395" i="2"/>
  <c r="IX395" i="2"/>
  <c r="IW396" i="2"/>
  <c r="IX396" i="2"/>
  <c r="IW397" i="2"/>
  <c r="IX397" i="2"/>
  <c r="IW398" i="2"/>
  <c r="IX398" i="2"/>
  <c r="IW399" i="2"/>
  <c r="IX399" i="2"/>
  <c r="IW400" i="2"/>
  <c r="IX400" i="2"/>
  <c r="IW401" i="2"/>
  <c r="IX401" i="2"/>
  <c r="IW402" i="2"/>
  <c r="IX402" i="2"/>
  <c r="IW403" i="2"/>
  <c r="IX403" i="2"/>
  <c r="IW404" i="2"/>
  <c r="IX404" i="2"/>
  <c r="IW405" i="2"/>
  <c r="IX405" i="2"/>
  <c r="IW406" i="2"/>
  <c r="IX406" i="2"/>
  <c r="IW407" i="2"/>
  <c r="IX407" i="2"/>
  <c r="IW408" i="2"/>
  <c r="IX408" i="2"/>
  <c r="IW409" i="2"/>
  <c r="IX409" i="2"/>
  <c r="IW410" i="2"/>
  <c r="IX410" i="2"/>
  <c r="IW411" i="2"/>
  <c r="IX411" i="2"/>
  <c r="IW412" i="2"/>
  <c r="IX412" i="2"/>
  <c r="IW413" i="2"/>
  <c r="IX413" i="2"/>
  <c r="IW414" i="2"/>
  <c r="IX414" i="2"/>
  <c r="IW415" i="2"/>
  <c r="IX415" i="2"/>
  <c r="IW416" i="2"/>
  <c r="IX416" i="2"/>
  <c r="IW417" i="2"/>
  <c r="IX417" i="2"/>
  <c r="IW418" i="2"/>
  <c r="IX418" i="2"/>
  <c r="IW419" i="2"/>
  <c r="IX419" i="2"/>
  <c r="IW420" i="2"/>
  <c r="IX420" i="2"/>
  <c r="IW421" i="2"/>
  <c r="IX421" i="2"/>
  <c r="IW422" i="2"/>
  <c r="IX422" i="2"/>
  <c r="IW423" i="2"/>
  <c r="IX423" i="2"/>
  <c r="IW424" i="2"/>
  <c r="IX424" i="2"/>
  <c r="IW425" i="2"/>
  <c r="IX425" i="2"/>
  <c r="IW426" i="2"/>
  <c r="IX426" i="2"/>
  <c r="IW427" i="2"/>
  <c r="IX427" i="2"/>
  <c r="IW428" i="2"/>
  <c r="IX428" i="2"/>
  <c r="IW429" i="2"/>
  <c r="IX429" i="2"/>
  <c r="IW430" i="2"/>
  <c r="IX430" i="2"/>
  <c r="IW432" i="2"/>
  <c r="IX432" i="2"/>
  <c r="IW433" i="2"/>
  <c r="IX433" i="2"/>
  <c r="IW434" i="2"/>
  <c r="IX434" i="2"/>
  <c r="IW435" i="2"/>
  <c r="IX435" i="2"/>
  <c r="IW436" i="2"/>
  <c r="IX436" i="2"/>
  <c r="IW437" i="2"/>
  <c r="IX437" i="2"/>
  <c r="IW438" i="2"/>
  <c r="IX438" i="2"/>
  <c r="IW439" i="2"/>
  <c r="IX439" i="2"/>
  <c r="IW440" i="2"/>
  <c r="IX440" i="2"/>
  <c r="IW441" i="2"/>
  <c r="IX441" i="2"/>
  <c r="IW442" i="2"/>
  <c r="IX442" i="2"/>
  <c r="IW443" i="2"/>
  <c r="IX443" i="2"/>
  <c r="IW444" i="2"/>
  <c r="IX444" i="2"/>
  <c r="IW445" i="2"/>
  <c r="IX445" i="2"/>
  <c r="IW446" i="2"/>
  <c r="IX446" i="2"/>
  <c r="IW447" i="2"/>
  <c r="IX447" i="2"/>
  <c r="IW448" i="2"/>
  <c r="IX448" i="2"/>
  <c r="IW449" i="2"/>
  <c r="IX449" i="2"/>
  <c r="IW450" i="2"/>
  <c r="IX450" i="2"/>
  <c r="IW451" i="2"/>
  <c r="IX451" i="2"/>
  <c r="IW452" i="2"/>
  <c r="IX452" i="2"/>
  <c r="IW453" i="2"/>
  <c r="IX453" i="2"/>
  <c r="IW454" i="2"/>
  <c r="IX454" i="2"/>
  <c r="IW455" i="2"/>
  <c r="IX455" i="2"/>
  <c r="IW456" i="2"/>
  <c r="IX456" i="2"/>
  <c r="IW457" i="2"/>
  <c r="IX457" i="2"/>
  <c r="IW458" i="2"/>
  <c r="IX458" i="2"/>
  <c r="IW459" i="2"/>
  <c r="IX459" i="2"/>
  <c r="IW460" i="2"/>
  <c r="IX460" i="2"/>
  <c r="IW461" i="2"/>
  <c r="IX461" i="2"/>
  <c r="IW462" i="2"/>
  <c r="IX462" i="2"/>
  <c r="IW463" i="2"/>
  <c r="IX463" i="2"/>
  <c r="IW464" i="2"/>
  <c r="IX464" i="2"/>
  <c r="IW465" i="2"/>
  <c r="IX465" i="2"/>
  <c r="IW466" i="2"/>
  <c r="IX466" i="2"/>
  <c r="IW467" i="2"/>
  <c r="IX467" i="2"/>
  <c r="IW468" i="2"/>
  <c r="IX468" i="2"/>
  <c r="IX15" i="2"/>
  <c r="IX16" i="2"/>
  <c r="IX17" i="2"/>
  <c r="IX18" i="2"/>
  <c r="IX19" i="2"/>
  <c r="IX20" i="2"/>
  <c r="IX21" i="2"/>
  <c r="IX22" i="2"/>
  <c r="IX23" i="2"/>
  <c r="IX24" i="2"/>
  <c r="IX25" i="2"/>
  <c r="IX26" i="2"/>
  <c r="IX27" i="2"/>
  <c r="IX28" i="2"/>
  <c r="IX29" i="2"/>
  <c r="IX30" i="2"/>
  <c r="IX31" i="2"/>
  <c r="IX32" i="2"/>
  <c r="IX33" i="2"/>
  <c r="IX34" i="2"/>
  <c r="IX35" i="2"/>
  <c r="IX36" i="2"/>
  <c r="IX37" i="2"/>
  <c r="IX38" i="2"/>
  <c r="IX39" i="2"/>
  <c r="IX40" i="2"/>
  <c r="IX41" i="2"/>
  <c r="IX42" i="2"/>
  <c r="IX43" i="2"/>
  <c r="IX44" i="2"/>
  <c r="IX45" i="2"/>
  <c r="IX46" i="2"/>
  <c r="IX47" i="2"/>
  <c r="IX48" i="2"/>
  <c r="IX49" i="2"/>
  <c r="IX50" i="2"/>
  <c r="IX14" i="2"/>
  <c r="IW14" i="2"/>
  <c r="IG52" i="2"/>
  <c r="IH52" i="2"/>
  <c r="IG53" i="2"/>
  <c r="IH53" i="2"/>
  <c r="IG54" i="2"/>
  <c r="IH54" i="2"/>
  <c r="IG55" i="2"/>
  <c r="IH55" i="2"/>
  <c r="IG56" i="2"/>
  <c r="IH56" i="2"/>
  <c r="IG57" i="2"/>
  <c r="IH57" i="2"/>
  <c r="IG58" i="2"/>
  <c r="IH58" i="2"/>
  <c r="IG59" i="2"/>
  <c r="IH59" i="2"/>
  <c r="IG60" i="2"/>
  <c r="IH60" i="2"/>
  <c r="IG61" i="2"/>
  <c r="IH61" i="2"/>
  <c r="IG62" i="2"/>
  <c r="IH62" i="2"/>
  <c r="IG63" i="2"/>
  <c r="IH63" i="2"/>
  <c r="IG64" i="2"/>
  <c r="IH64" i="2"/>
  <c r="IG65" i="2"/>
  <c r="IH65" i="2"/>
  <c r="IG66" i="2"/>
  <c r="IH66" i="2"/>
  <c r="IG67" i="2"/>
  <c r="IH67" i="2"/>
  <c r="IG68" i="2"/>
  <c r="IH68" i="2"/>
  <c r="IG69" i="2"/>
  <c r="IH69" i="2"/>
  <c r="IG70" i="2"/>
  <c r="IH70" i="2"/>
  <c r="IG71" i="2"/>
  <c r="IH71" i="2"/>
  <c r="IG72" i="2"/>
  <c r="IH72" i="2"/>
  <c r="IG73" i="2"/>
  <c r="IH73" i="2"/>
  <c r="IG74" i="2"/>
  <c r="IH74" i="2"/>
  <c r="IG75" i="2"/>
  <c r="IH75" i="2"/>
  <c r="IG76" i="2"/>
  <c r="IH76" i="2"/>
  <c r="IG77" i="2"/>
  <c r="IH77" i="2"/>
  <c r="IG78" i="2"/>
  <c r="IH78" i="2"/>
  <c r="IG79" i="2"/>
  <c r="IH79" i="2"/>
  <c r="IG80" i="2"/>
  <c r="IH80" i="2"/>
  <c r="IG81" i="2"/>
  <c r="IH81" i="2"/>
  <c r="IG82" i="2"/>
  <c r="IH82" i="2"/>
  <c r="IG83" i="2"/>
  <c r="IH83" i="2"/>
  <c r="IG84" i="2"/>
  <c r="IH84" i="2"/>
  <c r="IG85" i="2"/>
  <c r="IH85" i="2"/>
  <c r="IG86" i="2"/>
  <c r="IH86" i="2"/>
  <c r="IG87" i="2"/>
  <c r="IH87" i="2"/>
  <c r="IG88" i="2"/>
  <c r="IH88" i="2"/>
  <c r="IG90" i="2"/>
  <c r="IH90" i="2"/>
  <c r="IG91" i="2"/>
  <c r="IH91" i="2"/>
  <c r="IG92" i="2"/>
  <c r="IH92" i="2"/>
  <c r="IG93" i="2"/>
  <c r="IH93" i="2"/>
  <c r="IG94" i="2"/>
  <c r="IH94" i="2"/>
  <c r="IG95" i="2"/>
  <c r="IH95" i="2"/>
  <c r="IG96" i="2"/>
  <c r="IH96" i="2"/>
  <c r="IG97" i="2"/>
  <c r="IH97" i="2"/>
  <c r="IG98" i="2"/>
  <c r="IH98" i="2"/>
  <c r="IG99" i="2"/>
  <c r="IH99" i="2"/>
  <c r="IG100" i="2"/>
  <c r="IH100" i="2"/>
  <c r="IG101" i="2"/>
  <c r="IH101" i="2"/>
  <c r="IG102" i="2"/>
  <c r="IH102" i="2"/>
  <c r="IG103" i="2"/>
  <c r="IH103" i="2"/>
  <c r="IG104" i="2"/>
  <c r="IH104" i="2"/>
  <c r="IG105" i="2"/>
  <c r="IH105" i="2"/>
  <c r="IG106" i="2"/>
  <c r="IH106" i="2"/>
  <c r="IG107" i="2"/>
  <c r="IH107" i="2"/>
  <c r="IG108" i="2"/>
  <c r="IH108" i="2"/>
  <c r="IG109" i="2"/>
  <c r="IH109" i="2"/>
  <c r="IG110" i="2"/>
  <c r="IH110" i="2"/>
  <c r="IG111" i="2"/>
  <c r="IH111" i="2"/>
  <c r="IG112" i="2"/>
  <c r="IH112" i="2"/>
  <c r="IG113" i="2"/>
  <c r="IH113" i="2"/>
  <c r="IG114" i="2"/>
  <c r="IH114" i="2"/>
  <c r="IG115" i="2"/>
  <c r="IH115" i="2"/>
  <c r="IG116" i="2"/>
  <c r="IH116" i="2"/>
  <c r="IG117" i="2"/>
  <c r="IH117" i="2"/>
  <c r="IG118" i="2"/>
  <c r="IH118" i="2"/>
  <c r="IG119" i="2"/>
  <c r="IH119" i="2"/>
  <c r="IG120" i="2"/>
  <c r="IH120" i="2"/>
  <c r="IG121" i="2"/>
  <c r="IH121" i="2"/>
  <c r="IG122" i="2"/>
  <c r="IH122" i="2"/>
  <c r="IG123" i="2"/>
  <c r="IH123" i="2"/>
  <c r="IG124" i="2"/>
  <c r="IH124" i="2"/>
  <c r="IG125" i="2"/>
  <c r="IH125" i="2"/>
  <c r="IG126" i="2"/>
  <c r="IH126" i="2"/>
  <c r="IG128" i="2"/>
  <c r="IH128" i="2"/>
  <c r="IG129" i="2"/>
  <c r="IH129" i="2"/>
  <c r="IG130" i="2"/>
  <c r="IH130" i="2"/>
  <c r="IG131" i="2"/>
  <c r="IH131" i="2"/>
  <c r="IG132" i="2"/>
  <c r="IH132" i="2"/>
  <c r="IG133" i="2"/>
  <c r="IH133" i="2"/>
  <c r="IG134" i="2"/>
  <c r="IH134" i="2"/>
  <c r="IG135" i="2"/>
  <c r="IH135" i="2"/>
  <c r="IG136" i="2"/>
  <c r="IH136" i="2"/>
  <c r="IG137" i="2"/>
  <c r="IH137" i="2"/>
  <c r="IG138" i="2"/>
  <c r="IH138" i="2"/>
  <c r="IG139" i="2"/>
  <c r="IH139" i="2"/>
  <c r="IG140" i="2"/>
  <c r="IH140" i="2"/>
  <c r="IG141" i="2"/>
  <c r="IH141" i="2"/>
  <c r="IG142" i="2"/>
  <c r="IH142" i="2"/>
  <c r="IG143" i="2"/>
  <c r="IH143" i="2"/>
  <c r="IG144" i="2"/>
  <c r="IH144" i="2"/>
  <c r="IG145" i="2"/>
  <c r="IH145" i="2"/>
  <c r="IG146" i="2"/>
  <c r="IH146" i="2"/>
  <c r="IG147" i="2"/>
  <c r="IH147" i="2"/>
  <c r="IG148" i="2"/>
  <c r="IH148" i="2"/>
  <c r="IG149" i="2"/>
  <c r="IH149" i="2"/>
  <c r="IG150" i="2"/>
  <c r="IH150" i="2"/>
  <c r="IG151" i="2"/>
  <c r="IH151" i="2"/>
  <c r="IG152" i="2"/>
  <c r="IH152" i="2"/>
  <c r="IG153" i="2"/>
  <c r="IH153" i="2"/>
  <c r="IG154" i="2"/>
  <c r="IH154" i="2"/>
  <c r="IG155" i="2"/>
  <c r="IH155" i="2"/>
  <c r="IG156" i="2"/>
  <c r="IH156" i="2"/>
  <c r="IG157" i="2"/>
  <c r="IH157" i="2"/>
  <c r="IG158" i="2"/>
  <c r="IH158" i="2"/>
  <c r="IG159" i="2"/>
  <c r="IH159" i="2"/>
  <c r="IG160" i="2"/>
  <c r="IH160" i="2"/>
  <c r="IG161" i="2"/>
  <c r="IH161" i="2"/>
  <c r="IG162" i="2"/>
  <c r="IH162" i="2"/>
  <c r="IG163" i="2"/>
  <c r="IH163" i="2"/>
  <c r="IG164" i="2"/>
  <c r="IH164" i="2"/>
  <c r="IG166" i="2"/>
  <c r="IH166" i="2"/>
  <c r="IG167" i="2"/>
  <c r="IH167" i="2"/>
  <c r="IG168" i="2"/>
  <c r="IH168" i="2"/>
  <c r="IG169" i="2"/>
  <c r="IH169" i="2"/>
  <c r="IG170" i="2"/>
  <c r="IH170" i="2"/>
  <c r="IG171" i="2"/>
  <c r="IH171" i="2"/>
  <c r="IG172" i="2"/>
  <c r="IH172" i="2"/>
  <c r="IG173" i="2"/>
  <c r="IH173" i="2"/>
  <c r="IG174" i="2"/>
  <c r="IH174" i="2"/>
  <c r="IG175" i="2"/>
  <c r="IH175" i="2"/>
  <c r="IG176" i="2"/>
  <c r="IH176" i="2"/>
  <c r="IG177" i="2"/>
  <c r="IH177" i="2"/>
  <c r="IG178" i="2"/>
  <c r="IH178" i="2"/>
  <c r="IG179" i="2"/>
  <c r="IH179" i="2"/>
  <c r="IG180" i="2"/>
  <c r="IH180" i="2"/>
  <c r="IG181" i="2"/>
  <c r="IH181" i="2"/>
  <c r="IG182" i="2"/>
  <c r="IH182" i="2"/>
  <c r="IG183" i="2"/>
  <c r="IH183" i="2"/>
  <c r="IG184" i="2"/>
  <c r="IH184" i="2"/>
  <c r="IG185" i="2"/>
  <c r="IH185" i="2"/>
  <c r="IG186" i="2"/>
  <c r="IH186" i="2"/>
  <c r="IG187" i="2"/>
  <c r="IH187" i="2"/>
  <c r="IG188" i="2"/>
  <c r="IH188" i="2"/>
  <c r="IG189" i="2"/>
  <c r="IH189" i="2"/>
  <c r="IG190" i="2"/>
  <c r="IH190" i="2"/>
  <c r="IG191" i="2"/>
  <c r="IH191" i="2"/>
  <c r="IG192" i="2"/>
  <c r="IH192" i="2"/>
  <c r="IG193" i="2"/>
  <c r="IH193" i="2"/>
  <c r="IG194" i="2"/>
  <c r="IH194" i="2"/>
  <c r="IG195" i="2"/>
  <c r="IH195" i="2"/>
  <c r="IG196" i="2"/>
  <c r="IH196" i="2"/>
  <c r="IG197" i="2"/>
  <c r="IH197" i="2"/>
  <c r="IG198" i="2"/>
  <c r="IH198" i="2"/>
  <c r="IG199" i="2"/>
  <c r="IH199" i="2"/>
  <c r="IG200" i="2"/>
  <c r="IH200" i="2"/>
  <c r="IG201" i="2"/>
  <c r="IH201" i="2"/>
  <c r="IG202" i="2"/>
  <c r="IH202" i="2"/>
  <c r="IG204" i="2"/>
  <c r="IH204" i="2"/>
  <c r="IG205" i="2"/>
  <c r="IH205" i="2"/>
  <c r="IG206" i="2"/>
  <c r="IH206" i="2"/>
  <c r="IG207" i="2"/>
  <c r="IH207" i="2"/>
  <c r="IG208" i="2"/>
  <c r="IH208" i="2"/>
  <c r="IG209" i="2"/>
  <c r="IH209" i="2"/>
  <c r="IG210" i="2"/>
  <c r="IH210" i="2"/>
  <c r="IG211" i="2"/>
  <c r="IH211" i="2"/>
  <c r="IG212" i="2"/>
  <c r="IH212" i="2"/>
  <c r="IG213" i="2"/>
  <c r="IH213" i="2"/>
  <c r="IG214" i="2"/>
  <c r="IH214" i="2"/>
  <c r="IG215" i="2"/>
  <c r="IH215" i="2"/>
  <c r="IG216" i="2"/>
  <c r="IH216" i="2"/>
  <c r="IG217" i="2"/>
  <c r="IH217" i="2"/>
  <c r="IG218" i="2"/>
  <c r="IH218" i="2"/>
  <c r="IG219" i="2"/>
  <c r="IH219" i="2"/>
  <c r="IG220" i="2"/>
  <c r="IH220" i="2"/>
  <c r="IG221" i="2"/>
  <c r="IH221" i="2"/>
  <c r="IG222" i="2"/>
  <c r="IH222" i="2"/>
  <c r="IG223" i="2"/>
  <c r="IH223" i="2"/>
  <c r="IG224" i="2"/>
  <c r="IH224" i="2"/>
  <c r="IG225" i="2"/>
  <c r="IH225" i="2"/>
  <c r="IG226" i="2"/>
  <c r="IH226" i="2"/>
  <c r="IG227" i="2"/>
  <c r="IH227" i="2"/>
  <c r="IG228" i="2"/>
  <c r="IH228" i="2"/>
  <c r="IG229" i="2"/>
  <c r="IH229" i="2"/>
  <c r="IG230" i="2"/>
  <c r="IH230" i="2"/>
  <c r="IG231" i="2"/>
  <c r="IH231" i="2"/>
  <c r="IG232" i="2"/>
  <c r="IH232" i="2"/>
  <c r="IG233" i="2"/>
  <c r="IH233" i="2"/>
  <c r="IG234" i="2"/>
  <c r="IH234" i="2"/>
  <c r="IG235" i="2"/>
  <c r="IH235" i="2"/>
  <c r="IG236" i="2"/>
  <c r="IH236" i="2"/>
  <c r="IG237" i="2"/>
  <c r="IH237" i="2"/>
  <c r="IG238" i="2"/>
  <c r="IH238" i="2"/>
  <c r="IG239" i="2"/>
  <c r="IH239" i="2"/>
  <c r="IG240" i="2"/>
  <c r="IH240" i="2"/>
  <c r="IG242" i="2"/>
  <c r="IH242" i="2"/>
  <c r="IG243" i="2"/>
  <c r="IH243" i="2"/>
  <c r="IG244" i="2"/>
  <c r="IH244" i="2"/>
  <c r="IG245" i="2"/>
  <c r="IH245" i="2"/>
  <c r="IG246" i="2"/>
  <c r="IH246" i="2"/>
  <c r="IG247" i="2"/>
  <c r="IH247" i="2"/>
  <c r="IG248" i="2"/>
  <c r="IH248" i="2"/>
  <c r="IG249" i="2"/>
  <c r="IH249" i="2"/>
  <c r="IG250" i="2"/>
  <c r="IH250" i="2"/>
  <c r="IG251" i="2"/>
  <c r="IH251" i="2"/>
  <c r="IG252" i="2"/>
  <c r="IH252" i="2"/>
  <c r="IG253" i="2"/>
  <c r="IH253" i="2"/>
  <c r="IG254" i="2"/>
  <c r="IH254" i="2"/>
  <c r="IG255" i="2"/>
  <c r="IH255" i="2"/>
  <c r="IG256" i="2"/>
  <c r="IH256" i="2"/>
  <c r="IG257" i="2"/>
  <c r="IH257" i="2"/>
  <c r="IG258" i="2"/>
  <c r="IH258" i="2"/>
  <c r="IG259" i="2"/>
  <c r="IH259" i="2"/>
  <c r="IG260" i="2"/>
  <c r="IH260" i="2"/>
  <c r="IG261" i="2"/>
  <c r="IH261" i="2"/>
  <c r="IG262" i="2"/>
  <c r="IH262" i="2"/>
  <c r="IG263" i="2"/>
  <c r="IH263" i="2"/>
  <c r="IG264" i="2"/>
  <c r="IH264" i="2"/>
  <c r="IG265" i="2"/>
  <c r="IH265" i="2"/>
  <c r="IG266" i="2"/>
  <c r="IH266" i="2"/>
  <c r="IG267" i="2"/>
  <c r="IH267" i="2"/>
  <c r="IG268" i="2"/>
  <c r="IH268" i="2"/>
  <c r="IG269" i="2"/>
  <c r="IH269" i="2"/>
  <c r="IG270" i="2"/>
  <c r="IH270" i="2"/>
  <c r="IG271" i="2"/>
  <c r="IH271" i="2"/>
  <c r="IG272" i="2"/>
  <c r="IH272" i="2"/>
  <c r="IG273" i="2"/>
  <c r="IH273" i="2"/>
  <c r="IG274" i="2"/>
  <c r="IH274" i="2"/>
  <c r="IG275" i="2"/>
  <c r="IH275" i="2"/>
  <c r="IG276" i="2"/>
  <c r="IH276" i="2"/>
  <c r="IG277" i="2"/>
  <c r="IH277" i="2"/>
  <c r="IG278" i="2"/>
  <c r="IH278" i="2"/>
  <c r="IG280" i="2"/>
  <c r="IH280" i="2"/>
  <c r="IG281" i="2"/>
  <c r="IH281" i="2"/>
  <c r="IG282" i="2"/>
  <c r="IH282" i="2"/>
  <c r="IG283" i="2"/>
  <c r="IH283" i="2"/>
  <c r="IG284" i="2"/>
  <c r="IH284" i="2"/>
  <c r="IG285" i="2"/>
  <c r="IH285" i="2"/>
  <c r="IG286" i="2"/>
  <c r="IH286" i="2"/>
  <c r="IG287" i="2"/>
  <c r="IH287" i="2"/>
  <c r="IG288" i="2"/>
  <c r="IH288" i="2"/>
  <c r="IG289" i="2"/>
  <c r="IH289" i="2"/>
  <c r="IG290" i="2"/>
  <c r="IH290" i="2"/>
  <c r="IG291" i="2"/>
  <c r="IH291" i="2"/>
  <c r="IG292" i="2"/>
  <c r="IH292" i="2"/>
  <c r="IG293" i="2"/>
  <c r="IH293" i="2"/>
  <c r="IG294" i="2"/>
  <c r="IH294" i="2"/>
  <c r="IG295" i="2"/>
  <c r="IH295" i="2"/>
  <c r="IG296" i="2"/>
  <c r="IH296" i="2"/>
  <c r="IG297" i="2"/>
  <c r="IH297" i="2"/>
  <c r="IG298" i="2"/>
  <c r="IH298" i="2"/>
  <c r="IG299" i="2"/>
  <c r="IH299" i="2"/>
  <c r="IG300" i="2"/>
  <c r="IH300" i="2"/>
  <c r="IG301" i="2"/>
  <c r="IH301" i="2"/>
  <c r="IG302" i="2"/>
  <c r="IH302" i="2"/>
  <c r="IG303" i="2"/>
  <c r="IH303" i="2"/>
  <c r="IG304" i="2"/>
  <c r="IH304" i="2"/>
  <c r="IG305" i="2"/>
  <c r="IH305" i="2"/>
  <c r="IG306" i="2"/>
  <c r="IH306" i="2"/>
  <c r="IG307" i="2"/>
  <c r="IH307" i="2"/>
  <c r="IG308" i="2"/>
  <c r="IH308" i="2"/>
  <c r="IG309" i="2"/>
  <c r="IH309" i="2"/>
  <c r="IG310" i="2"/>
  <c r="IH310" i="2"/>
  <c r="IG311" i="2"/>
  <c r="IH311" i="2"/>
  <c r="IG312" i="2"/>
  <c r="IH312" i="2"/>
  <c r="IG313" i="2"/>
  <c r="IH313" i="2"/>
  <c r="IG314" i="2"/>
  <c r="IH314" i="2"/>
  <c r="IG315" i="2"/>
  <c r="IH315" i="2"/>
  <c r="IG316" i="2"/>
  <c r="IH316" i="2"/>
  <c r="IG318" i="2"/>
  <c r="IH318" i="2"/>
  <c r="IG319" i="2"/>
  <c r="IH319" i="2"/>
  <c r="IG320" i="2"/>
  <c r="IH320" i="2"/>
  <c r="IG321" i="2"/>
  <c r="IH321" i="2"/>
  <c r="IG322" i="2"/>
  <c r="IH322" i="2"/>
  <c r="IG323" i="2"/>
  <c r="IH323" i="2"/>
  <c r="IG324" i="2"/>
  <c r="IH324" i="2"/>
  <c r="IG325" i="2"/>
  <c r="IH325" i="2"/>
  <c r="IG326" i="2"/>
  <c r="IH326" i="2"/>
  <c r="IG327" i="2"/>
  <c r="IH327" i="2"/>
  <c r="IG328" i="2"/>
  <c r="IH328" i="2"/>
  <c r="IG329" i="2"/>
  <c r="IH329" i="2"/>
  <c r="IG330" i="2"/>
  <c r="IH330" i="2"/>
  <c r="IG331" i="2"/>
  <c r="IH331" i="2"/>
  <c r="IG332" i="2"/>
  <c r="IH332" i="2"/>
  <c r="IG333" i="2"/>
  <c r="IH333" i="2"/>
  <c r="IG334" i="2"/>
  <c r="IH334" i="2"/>
  <c r="IG335" i="2"/>
  <c r="IH335" i="2"/>
  <c r="IG336" i="2"/>
  <c r="IH336" i="2"/>
  <c r="IG337" i="2"/>
  <c r="IH337" i="2"/>
  <c r="IG338" i="2"/>
  <c r="IH338" i="2"/>
  <c r="IG339" i="2"/>
  <c r="IH339" i="2"/>
  <c r="IG340" i="2"/>
  <c r="IH340" i="2"/>
  <c r="IG341" i="2"/>
  <c r="IH341" i="2"/>
  <c r="IG342" i="2"/>
  <c r="IH342" i="2"/>
  <c r="IG343" i="2"/>
  <c r="IH343" i="2"/>
  <c r="IG344" i="2"/>
  <c r="IH344" i="2"/>
  <c r="IG345" i="2"/>
  <c r="IH345" i="2"/>
  <c r="IG346" i="2"/>
  <c r="IH346" i="2"/>
  <c r="IG347" i="2"/>
  <c r="IH347" i="2"/>
  <c r="IG348" i="2"/>
  <c r="IH348" i="2"/>
  <c r="IG349" i="2"/>
  <c r="IH349" i="2"/>
  <c r="IG350" i="2"/>
  <c r="IH350" i="2"/>
  <c r="IG351" i="2"/>
  <c r="IH351" i="2"/>
  <c r="IG352" i="2"/>
  <c r="IH352" i="2"/>
  <c r="IG353" i="2"/>
  <c r="IH353" i="2"/>
  <c r="IG354" i="2"/>
  <c r="IH354" i="2"/>
  <c r="IG356" i="2"/>
  <c r="IH356" i="2"/>
  <c r="IG357" i="2"/>
  <c r="IH357" i="2"/>
  <c r="IG358" i="2"/>
  <c r="IH358" i="2"/>
  <c r="IG359" i="2"/>
  <c r="IH359" i="2"/>
  <c r="IG360" i="2"/>
  <c r="IH360" i="2"/>
  <c r="IG361" i="2"/>
  <c r="IH361" i="2"/>
  <c r="IG362" i="2"/>
  <c r="IH362" i="2"/>
  <c r="IG363" i="2"/>
  <c r="IH363" i="2"/>
  <c r="IG364" i="2"/>
  <c r="IH364" i="2"/>
  <c r="IG365" i="2"/>
  <c r="IH365" i="2"/>
  <c r="IG366" i="2"/>
  <c r="IH366" i="2"/>
  <c r="IG367" i="2"/>
  <c r="IH367" i="2"/>
  <c r="IG368" i="2"/>
  <c r="IH368" i="2"/>
  <c r="IG369" i="2"/>
  <c r="IH369" i="2"/>
  <c r="IG370" i="2"/>
  <c r="IH370" i="2"/>
  <c r="IG371" i="2"/>
  <c r="IH371" i="2"/>
  <c r="IG372" i="2"/>
  <c r="IH372" i="2"/>
  <c r="IG373" i="2"/>
  <c r="IH373" i="2"/>
  <c r="IG374" i="2"/>
  <c r="IH374" i="2"/>
  <c r="IG375" i="2"/>
  <c r="IH375" i="2"/>
  <c r="IG376" i="2"/>
  <c r="IH376" i="2"/>
  <c r="IG377" i="2"/>
  <c r="IH377" i="2"/>
  <c r="IG378" i="2"/>
  <c r="IH378" i="2"/>
  <c r="IG379" i="2"/>
  <c r="IH379" i="2"/>
  <c r="IG380" i="2"/>
  <c r="IH380" i="2"/>
  <c r="IG381" i="2"/>
  <c r="IH381" i="2"/>
  <c r="IG382" i="2"/>
  <c r="IH382" i="2"/>
  <c r="IG383" i="2"/>
  <c r="IH383" i="2"/>
  <c r="IG384" i="2"/>
  <c r="IH384" i="2"/>
  <c r="IG385" i="2"/>
  <c r="IH385" i="2"/>
  <c r="IG386" i="2"/>
  <c r="IH386" i="2"/>
  <c r="IG387" i="2"/>
  <c r="IH387" i="2"/>
  <c r="IG388" i="2"/>
  <c r="IH388" i="2"/>
  <c r="IG389" i="2"/>
  <c r="IH389" i="2"/>
  <c r="IG390" i="2"/>
  <c r="IH390" i="2"/>
  <c r="IG391" i="2"/>
  <c r="IH391" i="2"/>
  <c r="IG392" i="2"/>
  <c r="IH392" i="2"/>
  <c r="IG394" i="2"/>
  <c r="IH394" i="2"/>
  <c r="IG395" i="2"/>
  <c r="IH395" i="2"/>
  <c r="IG396" i="2"/>
  <c r="IH396" i="2"/>
  <c r="IG397" i="2"/>
  <c r="IH397" i="2"/>
  <c r="IG398" i="2"/>
  <c r="IH398" i="2"/>
  <c r="IG399" i="2"/>
  <c r="IH399" i="2"/>
  <c r="IG400" i="2"/>
  <c r="IH400" i="2"/>
  <c r="IG401" i="2"/>
  <c r="IH401" i="2"/>
  <c r="IG402" i="2"/>
  <c r="IH402" i="2"/>
  <c r="IG403" i="2"/>
  <c r="IH403" i="2"/>
  <c r="IG404" i="2"/>
  <c r="IH404" i="2"/>
  <c r="IG405" i="2"/>
  <c r="IH405" i="2"/>
  <c r="IG406" i="2"/>
  <c r="IH406" i="2"/>
  <c r="IG407" i="2"/>
  <c r="IH407" i="2"/>
  <c r="IG408" i="2"/>
  <c r="IH408" i="2"/>
  <c r="IG409" i="2"/>
  <c r="IH409" i="2"/>
  <c r="IG410" i="2"/>
  <c r="IH410" i="2"/>
  <c r="IG411" i="2"/>
  <c r="IH411" i="2"/>
  <c r="IG412" i="2"/>
  <c r="IH412" i="2"/>
  <c r="IG413" i="2"/>
  <c r="IH413" i="2"/>
  <c r="IG414" i="2"/>
  <c r="IH414" i="2"/>
  <c r="IG415" i="2"/>
  <c r="IH415" i="2"/>
  <c r="IG416" i="2"/>
  <c r="IH416" i="2"/>
  <c r="IG417" i="2"/>
  <c r="IH417" i="2"/>
  <c r="IG418" i="2"/>
  <c r="IH418" i="2"/>
  <c r="IG419" i="2"/>
  <c r="IH419" i="2"/>
  <c r="IG420" i="2"/>
  <c r="IH420" i="2"/>
  <c r="IG421" i="2"/>
  <c r="IH421" i="2"/>
  <c r="IG422" i="2"/>
  <c r="IH422" i="2"/>
  <c r="IG423" i="2"/>
  <c r="IH423" i="2"/>
  <c r="IG424" i="2"/>
  <c r="IH424" i="2"/>
  <c r="IG425" i="2"/>
  <c r="IH425" i="2"/>
  <c r="IG426" i="2"/>
  <c r="IH426" i="2"/>
  <c r="IG427" i="2"/>
  <c r="IH427" i="2"/>
  <c r="IG428" i="2"/>
  <c r="IH428" i="2"/>
  <c r="IG429" i="2"/>
  <c r="IH429" i="2"/>
  <c r="IG430" i="2"/>
  <c r="IH430" i="2"/>
  <c r="IG432" i="2"/>
  <c r="IH432" i="2"/>
  <c r="IG433" i="2"/>
  <c r="IH433" i="2"/>
  <c r="IG434" i="2"/>
  <c r="IH434" i="2"/>
  <c r="IG435" i="2"/>
  <c r="IH435" i="2"/>
  <c r="IG436" i="2"/>
  <c r="IH436" i="2"/>
  <c r="IG437" i="2"/>
  <c r="IH437" i="2"/>
  <c r="IG438" i="2"/>
  <c r="IH438" i="2"/>
  <c r="IG439" i="2"/>
  <c r="IH439" i="2"/>
  <c r="IG440" i="2"/>
  <c r="IH440" i="2"/>
  <c r="IG441" i="2"/>
  <c r="IH441" i="2"/>
  <c r="IG442" i="2"/>
  <c r="IH442" i="2"/>
  <c r="IG443" i="2"/>
  <c r="IH443" i="2"/>
  <c r="IG444" i="2"/>
  <c r="IH444" i="2"/>
  <c r="IG445" i="2"/>
  <c r="IH445" i="2"/>
  <c r="IG446" i="2"/>
  <c r="IH446" i="2"/>
  <c r="IG447" i="2"/>
  <c r="IH447" i="2"/>
  <c r="IG448" i="2"/>
  <c r="IH448" i="2"/>
  <c r="IG449" i="2"/>
  <c r="IH449" i="2"/>
  <c r="IG450" i="2"/>
  <c r="IH450" i="2"/>
  <c r="IG451" i="2"/>
  <c r="IH451" i="2"/>
  <c r="IG452" i="2"/>
  <c r="IH452" i="2"/>
  <c r="IG453" i="2"/>
  <c r="IH453" i="2"/>
  <c r="IG454" i="2"/>
  <c r="IH454" i="2"/>
  <c r="IG455" i="2"/>
  <c r="IH455" i="2"/>
  <c r="IG456" i="2"/>
  <c r="IH456" i="2"/>
  <c r="IG457" i="2"/>
  <c r="IH457" i="2"/>
  <c r="IG458" i="2"/>
  <c r="IH458" i="2"/>
  <c r="IG459" i="2"/>
  <c r="IH459" i="2"/>
  <c r="IG460" i="2"/>
  <c r="IH460" i="2"/>
  <c r="IG461" i="2"/>
  <c r="IH461" i="2"/>
  <c r="IG462" i="2"/>
  <c r="IH462" i="2"/>
  <c r="IG463" i="2"/>
  <c r="IH463" i="2"/>
  <c r="IG464" i="2"/>
  <c r="IH464" i="2"/>
  <c r="IG465" i="2"/>
  <c r="IH465" i="2"/>
  <c r="IG466" i="2"/>
  <c r="IH466" i="2"/>
  <c r="IG467" i="2"/>
  <c r="IH467" i="2"/>
  <c r="IG468" i="2"/>
  <c r="IH468" i="2"/>
  <c r="IH15" i="2"/>
  <c r="IH16" i="2"/>
  <c r="IH17" i="2"/>
  <c r="IH18" i="2"/>
  <c r="IH19" i="2"/>
  <c r="IH20" i="2"/>
  <c r="IH21" i="2"/>
  <c r="IH22" i="2"/>
  <c r="IH23" i="2"/>
  <c r="IH24" i="2"/>
  <c r="IH25" i="2"/>
  <c r="IH26" i="2"/>
  <c r="IH27" i="2"/>
  <c r="IH28" i="2"/>
  <c r="IH29" i="2"/>
  <c r="IH30" i="2"/>
  <c r="IH31" i="2"/>
  <c r="IH32" i="2"/>
  <c r="IH33" i="2"/>
  <c r="IH34" i="2"/>
  <c r="IH35" i="2"/>
  <c r="IH36" i="2"/>
  <c r="IH37" i="2"/>
  <c r="IH38" i="2"/>
  <c r="IH39" i="2"/>
  <c r="IH40" i="2"/>
  <c r="IH41" i="2"/>
  <c r="IH42" i="2"/>
  <c r="IH43" i="2"/>
  <c r="IH44" i="2"/>
  <c r="IH45" i="2"/>
  <c r="IH46" i="2"/>
  <c r="IH47" i="2"/>
  <c r="IH48" i="2"/>
  <c r="IH49" i="2"/>
  <c r="IH50" i="2"/>
  <c r="IH14" i="2"/>
  <c r="IG14" i="2"/>
  <c r="HQ52" i="2"/>
  <c r="HR52" i="2"/>
  <c r="HQ53" i="2"/>
  <c r="HR53" i="2"/>
  <c r="HQ54" i="2"/>
  <c r="HR54" i="2"/>
  <c r="HQ55" i="2"/>
  <c r="HR55" i="2"/>
  <c r="HQ56" i="2"/>
  <c r="HR56" i="2"/>
  <c r="HQ57" i="2"/>
  <c r="HR57" i="2"/>
  <c r="HQ58" i="2"/>
  <c r="HR58" i="2"/>
  <c r="HQ59" i="2"/>
  <c r="HR59" i="2"/>
  <c r="HQ60" i="2"/>
  <c r="HR60" i="2"/>
  <c r="HQ61" i="2"/>
  <c r="HR61" i="2"/>
  <c r="HQ62" i="2"/>
  <c r="HR62" i="2"/>
  <c r="HQ63" i="2"/>
  <c r="HR63" i="2"/>
  <c r="HQ64" i="2"/>
  <c r="HR64" i="2"/>
  <c r="HQ65" i="2"/>
  <c r="HR65" i="2"/>
  <c r="HQ66" i="2"/>
  <c r="HR66" i="2"/>
  <c r="HQ67" i="2"/>
  <c r="HR67" i="2"/>
  <c r="HQ68" i="2"/>
  <c r="HR68" i="2"/>
  <c r="HQ69" i="2"/>
  <c r="HR69" i="2"/>
  <c r="HQ70" i="2"/>
  <c r="HR70" i="2"/>
  <c r="HQ71" i="2"/>
  <c r="HR71" i="2"/>
  <c r="HQ72" i="2"/>
  <c r="HR72" i="2"/>
  <c r="HQ73" i="2"/>
  <c r="HR73" i="2"/>
  <c r="HQ74" i="2"/>
  <c r="HR74" i="2"/>
  <c r="HQ75" i="2"/>
  <c r="HR75" i="2"/>
  <c r="HQ76" i="2"/>
  <c r="HR76" i="2"/>
  <c r="HQ77" i="2"/>
  <c r="HR77" i="2"/>
  <c r="HQ78" i="2"/>
  <c r="HR78" i="2"/>
  <c r="HQ79" i="2"/>
  <c r="HR79" i="2"/>
  <c r="HQ80" i="2"/>
  <c r="HR80" i="2"/>
  <c r="HQ81" i="2"/>
  <c r="HR81" i="2"/>
  <c r="HQ82" i="2"/>
  <c r="HR82" i="2"/>
  <c r="HQ83" i="2"/>
  <c r="HR83" i="2"/>
  <c r="HQ84" i="2"/>
  <c r="HR84" i="2"/>
  <c r="HQ85" i="2"/>
  <c r="HR85" i="2"/>
  <c r="HQ86" i="2"/>
  <c r="HR86" i="2"/>
  <c r="HQ87" i="2"/>
  <c r="HR87" i="2"/>
  <c r="HQ88" i="2"/>
  <c r="HR88" i="2"/>
  <c r="HQ90" i="2"/>
  <c r="HR90" i="2"/>
  <c r="HQ91" i="2"/>
  <c r="HR91" i="2"/>
  <c r="HQ92" i="2"/>
  <c r="HR92" i="2"/>
  <c r="HQ93" i="2"/>
  <c r="HR93" i="2"/>
  <c r="HQ94" i="2"/>
  <c r="HR94" i="2"/>
  <c r="HQ95" i="2"/>
  <c r="HR95" i="2"/>
  <c r="HQ96" i="2"/>
  <c r="HR96" i="2"/>
  <c r="HQ97" i="2"/>
  <c r="HR97" i="2"/>
  <c r="HQ98" i="2"/>
  <c r="HR98" i="2"/>
  <c r="HQ99" i="2"/>
  <c r="HR99" i="2"/>
  <c r="HQ100" i="2"/>
  <c r="HR100" i="2"/>
  <c r="HQ101" i="2"/>
  <c r="HR101" i="2"/>
  <c r="HQ102" i="2"/>
  <c r="HR102" i="2"/>
  <c r="HQ103" i="2"/>
  <c r="HR103" i="2"/>
  <c r="HQ104" i="2"/>
  <c r="HR104" i="2"/>
  <c r="HQ105" i="2"/>
  <c r="HR105" i="2"/>
  <c r="HQ106" i="2"/>
  <c r="HR106" i="2"/>
  <c r="HQ107" i="2"/>
  <c r="HR107" i="2"/>
  <c r="HQ108" i="2"/>
  <c r="HR108" i="2"/>
  <c r="HQ109" i="2"/>
  <c r="HR109" i="2"/>
  <c r="HQ110" i="2"/>
  <c r="HR110" i="2"/>
  <c r="HQ111" i="2"/>
  <c r="HR111" i="2"/>
  <c r="HQ112" i="2"/>
  <c r="HR112" i="2"/>
  <c r="HQ113" i="2"/>
  <c r="HR113" i="2"/>
  <c r="HQ114" i="2"/>
  <c r="HR114" i="2"/>
  <c r="HQ115" i="2"/>
  <c r="HR115" i="2"/>
  <c r="HQ116" i="2"/>
  <c r="HR116" i="2"/>
  <c r="HQ117" i="2"/>
  <c r="HR117" i="2"/>
  <c r="HQ118" i="2"/>
  <c r="HR118" i="2"/>
  <c r="HQ119" i="2"/>
  <c r="HR119" i="2"/>
  <c r="HQ120" i="2"/>
  <c r="HR120" i="2"/>
  <c r="HQ121" i="2"/>
  <c r="HR121" i="2"/>
  <c r="HQ122" i="2"/>
  <c r="HR122" i="2"/>
  <c r="HQ123" i="2"/>
  <c r="HR123" i="2"/>
  <c r="HQ124" i="2"/>
  <c r="HR124" i="2"/>
  <c r="HQ125" i="2"/>
  <c r="HR125" i="2"/>
  <c r="HQ126" i="2"/>
  <c r="HR126" i="2"/>
  <c r="HQ128" i="2"/>
  <c r="HR128" i="2"/>
  <c r="HQ129" i="2"/>
  <c r="HR129" i="2"/>
  <c r="HQ130" i="2"/>
  <c r="HR130" i="2"/>
  <c r="HQ131" i="2"/>
  <c r="HR131" i="2"/>
  <c r="HQ132" i="2"/>
  <c r="HR132" i="2"/>
  <c r="HQ133" i="2"/>
  <c r="HR133" i="2"/>
  <c r="HQ134" i="2"/>
  <c r="HR134" i="2"/>
  <c r="HQ135" i="2"/>
  <c r="HR135" i="2"/>
  <c r="HQ136" i="2"/>
  <c r="HR136" i="2"/>
  <c r="HQ137" i="2"/>
  <c r="HR137" i="2"/>
  <c r="HQ138" i="2"/>
  <c r="HR138" i="2"/>
  <c r="HQ139" i="2"/>
  <c r="HR139" i="2"/>
  <c r="HQ140" i="2"/>
  <c r="HR140" i="2"/>
  <c r="HQ141" i="2"/>
  <c r="HR141" i="2"/>
  <c r="HQ142" i="2"/>
  <c r="HR142" i="2"/>
  <c r="HQ143" i="2"/>
  <c r="HR143" i="2"/>
  <c r="HQ144" i="2"/>
  <c r="HR144" i="2"/>
  <c r="HQ145" i="2"/>
  <c r="HR145" i="2"/>
  <c r="HQ146" i="2"/>
  <c r="HR146" i="2"/>
  <c r="HQ147" i="2"/>
  <c r="HR147" i="2"/>
  <c r="HQ148" i="2"/>
  <c r="HR148" i="2"/>
  <c r="HQ149" i="2"/>
  <c r="HR149" i="2"/>
  <c r="HQ150" i="2"/>
  <c r="HR150" i="2"/>
  <c r="HQ151" i="2"/>
  <c r="HR151" i="2"/>
  <c r="HQ152" i="2"/>
  <c r="HR152" i="2"/>
  <c r="HQ153" i="2"/>
  <c r="HR153" i="2"/>
  <c r="HQ154" i="2"/>
  <c r="HR154" i="2"/>
  <c r="HQ155" i="2"/>
  <c r="HR155" i="2"/>
  <c r="HQ156" i="2"/>
  <c r="HR156" i="2"/>
  <c r="HQ157" i="2"/>
  <c r="HR157" i="2"/>
  <c r="HQ158" i="2"/>
  <c r="HR158" i="2"/>
  <c r="HQ159" i="2"/>
  <c r="HR159" i="2"/>
  <c r="HQ160" i="2"/>
  <c r="HR160" i="2"/>
  <c r="HQ161" i="2"/>
  <c r="HR161" i="2"/>
  <c r="HQ162" i="2"/>
  <c r="HR162" i="2"/>
  <c r="HQ163" i="2"/>
  <c r="HR163" i="2"/>
  <c r="HQ164" i="2"/>
  <c r="HR164" i="2"/>
  <c r="HQ166" i="2"/>
  <c r="HR166" i="2"/>
  <c r="HQ167" i="2"/>
  <c r="HR167" i="2"/>
  <c r="HQ168" i="2"/>
  <c r="HR168" i="2"/>
  <c r="HQ169" i="2"/>
  <c r="HR169" i="2"/>
  <c r="HQ170" i="2"/>
  <c r="HR170" i="2"/>
  <c r="HQ171" i="2"/>
  <c r="HR171" i="2"/>
  <c r="HQ172" i="2"/>
  <c r="HR172" i="2"/>
  <c r="HQ173" i="2"/>
  <c r="HR173" i="2"/>
  <c r="HQ174" i="2"/>
  <c r="HR174" i="2"/>
  <c r="HQ175" i="2"/>
  <c r="HR175" i="2"/>
  <c r="HQ176" i="2"/>
  <c r="HR176" i="2"/>
  <c r="HQ177" i="2"/>
  <c r="HR177" i="2"/>
  <c r="HQ178" i="2"/>
  <c r="HR178" i="2"/>
  <c r="HQ179" i="2"/>
  <c r="HR179" i="2"/>
  <c r="HQ180" i="2"/>
  <c r="HR180" i="2"/>
  <c r="HQ181" i="2"/>
  <c r="HR181" i="2"/>
  <c r="HQ182" i="2"/>
  <c r="HR182" i="2"/>
  <c r="HQ183" i="2"/>
  <c r="HR183" i="2"/>
  <c r="HQ184" i="2"/>
  <c r="HR184" i="2"/>
  <c r="HQ185" i="2"/>
  <c r="HR185" i="2"/>
  <c r="HQ186" i="2"/>
  <c r="HR186" i="2"/>
  <c r="HQ187" i="2"/>
  <c r="HR187" i="2"/>
  <c r="HQ188" i="2"/>
  <c r="HR188" i="2"/>
  <c r="HQ189" i="2"/>
  <c r="HR189" i="2"/>
  <c r="HQ190" i="2"/>
  <c r="HR190" i="2"/>
  <c r="HQ191" i="2"/>
  <c r="HR191" i="2"/>
  <c r="HQ192" i="2"/>
  <c r="HR192" i="2"/>
  <c r="HQ193" i="2"/>
  <c r="HR193" i="2"/>
  <c r="HQ194" i="2"/>
  <c r="HR194" i="2"/>
  <c r="HQ195" i="2"/>
  <c r="HR195" i="2"/>
  <c r="HQ196" i="2"/>
  <c r="HR196" i="2"/>
  <c r="HQ197" i="2"/>
  <c r="HR197" i="2"/>
  <c r="HQ198" i="2"/>
  <c r="HR198" i="2"/>
  <c r="HQ199" i="2"/>
  <c r="HR199" i="2"/>
  <c r="HQ200" i="2"/>
  <c r="HR200" i="2"/>
  <c r="HQ201" i="2"/>
  <c r="HR201" i="2"/>
  <c r="HQ202" i="2"/>
  <c r="HR202" i="2"/>
  <c r="HQ204" i="2"/>
  <c r="HR204" i="2"/>
  <c r="HQ205" i="2"/>
  <c r="HR205" i="2"/>
  <c r="HQ206" i="2"/>
  <c r="HR206" i="2"/>
  <c r="HQ207" i="2"/>
  <c r="HR207" i="2"/>
  <c r="HQ208" i="2"/>
  <c r="HR208" i="2"/>
  <c r="HQ209" i="2"/>
  <c r="HR209" i="2"/>
  <c r="HQ210" i="2"/>
  <c r="HR210" i="2"/>
  <c r="HQ211" i="2"/>
  <c r="HR211" i="2"/>
  <c r="HQ212" i="2"/>
  <c r="HR212" i="2"/>
  <c r="HQ213" i="2"/>
  <c r="HR213" i="2"/>
  <c r="HQ214" i="2"/>
  <c r="HR214" i="2"/>
  <c r="HQ215" i="2"/>
  <c r="HR215" i="2"/>
  <c r="HQ216" i="2"/>
  <c r="HR216" i="2"/>
  <c r="HQ217" i="2"/>
  <c r="HR217" i="2"/>
  <c r="HQ218" i="2"/>
  <c r="HR218" i="2"/>
  <c r="HQ219" i="2"/>
  <c r="HR219" i="2"/>
  <c r="HQ220" i="2"/>
  <c r="HR220" i="2"/>
  <c r="HQ221" i="2"/>
  <c r="HR221" i="2"/>
  <c r="HQ222" i="2"/>
  <c r="HR222" i="2"/>
  <c r="HQ223" i="2"/>
  <c r="HR223" i="2"/>
  <c r="HQ224" i="2"/>
  <c r="HR224" i="2"/>
  <c r="HQ225" i="2"/>
  <c r="HR225" i="2"/>
  <c r="HQ226" i="2"/>
  <c r="HR226" i="2"/>
  <c r="HQ227" i="2"/>
  <c r="HR227" i="2"/>
  <c r="HQ228" i="2"/>
  <c r="HR228" i="2"/>
  <c r="HQ229" i="2"/>
  <c r="HR229" i="2"/>
  <c r="HQ230" i="2"/>
  <c r="HR230" i="2"/>
  <c r="HQ231" i="2"/>
  <c r="HR231" i="2"/>
  <c r="HQ232" i="2"/>
  <c r="HR232" i="2"/>
  <c r="HQ233" i="2"/>
  <c r="HR233" i="2"/>
  <c r="HQ234" i="2"/>
  <c r="HR234" i="2"/>
  <c r="HQ235" i="2"/>
  <c r="HR235" i="2"/>
  <c r="HQ236" i="2"/>
  <c r="HR236" i="2"/>
  <c r="HQ237" i="2"/>
  <c r="HR237" i="2"/>
  <c r="HQ238" i="2"/>
  <c r="HR238" i="2"/>
  <c r="HQ239" i="2"/>
  <c r="HR239" i="2"/>
  <c r="HQ240" i="2"/>
  <c r="HR240" i="2"/>
  <c r="HQ242" i="2"/>
  <c r="HR242" i="2"/>
  <c r="HQ243" i="2"/>
  <c r="HR243" i="2"/>
  <c r="HQ244" i="2"/>
  <c r="HR244" i="2"/>
  <c r="HQ245" i="2"/>
  <c r="HR245" i="2"/>
  <c r="HQ246" i="2"/>
  <c r="HR246" i="2"/>
  <c r="HQ247" i="2"/>
  <c r="HR247" i="2"/>
  <c r="HQ248" i="2"/>
  <c r="HR248" i="2"/>
  <c r="HQ249" i="2"/>
  <c r="HR249" i="2"/>
  <c r="HQ250" i="2"/>
  <c r="HR250" i="2"/>
  <c r="HQ251" i="2"/>
  <c r="HR251" i="2"/>
  <c r="HQ252" i="2"/>
  <c r="HR252" i="2"/>
  <c r="HQ253" i="2"/>
  <c r="HR253" i="2"/>
  <c r="HQ254" i="2"/>
  <c r="HR254" i="2"/>
  <c r="HQ255" i="2"/>
  <c r="HR255" i="2"/>
  <c r="HQ256" i="2"/>
  <c r="HR256" i="2"/>
  <c r="HQ257" i="2"/>
  <c r="HR257" i="2"/>
  <c r="HQ258" i="2"/>
  <c r="HR258" i="2"/>
  <c r="HQ259" i="2"/>
  <c r="HR259" i="2"/>
  <c r="HQ260" i="2"/>
  <c r="HR260" i="2"/>
  <c r="HQ261" i="2"/>
  <c r="HR261" i="2"/>
  <c r="HQ262" i="2"/>
  <c r="HR262" i="2"/>
  <c r="HQ263" i="2"/>
  <c r="HR263" i="2"/>
  <c r="HQ264" i="2"/>
  <c r="HR264" i="2"/>
  <c r="HQ265" i="2"/>
  <c r="HR265" i="2"/>
  <c r="HQ266" i="2"/>
  <c r="HR266" i="2"/>
  <c r="HQ267" i="2"/>
  <c r="HR267" i="2"/>
  <c r="HQ268" i="2"/>
  <c r="HR268" i="2"/>
  <c r="HQ269" i="2"/>
  <c r="HR269" i="2"/>
  <c r="HQ270" i="2"/>
  <c r="HR270" i="2"/>
  <c r="HQ271" i="2"/>
  <c r="HR271" i="2"/>
  <c r="HQ272" i="2"/>
  <c r="HR272" i="2"/>
  <c r="HQ273" i="2"/>
  <c r="HR273" i="2"/>
  <c r="HQ274" i="2"/>
  <c r="HR274" i="2"/>
  <c r="HQ275" i="2"/>
  <c r="HR275" i="2"/>
  <c r="HQ276" i="2"/>
  <c r="HR276" i="2"/>
  <c r="HQ277" i="2"/>
  <c r="HR277" i="2"/>
  <c r="HQ278" i="2"/>
  <c r="HR278" i="2"/>
  <c r="HQ280" i="2"/>
  <c r="HR280" i="2"/>
  <c r="HQ281" i="2"/>
  <c r="HR281" i="2"/>
  <c r="HQ282" i="2"/>
  <c r="HR282" i="2"/>
  <c r="HQ283" i="2"/>
  <c r="HR283" i="2"/>
  <c r="HQ284" i="2"/>
  <c r="HR284" i="2"/>
  <c r="HQ285" i="2"/>
  <c r="HR285" i="2"/>
  <c r="HQ286" i="2"/>
  <c r="HR286" i="2"/>
  <c r="HQ287" i="2"/>
  <c r="HR287" i="2"/>
  <c r="HQ288" i="2"/>
  <c r="HR288" i="2"/>
  <c r="HQ289" i="2"/>
  <c r="HR289" i="2"/>
  <c r="HQ290" i="2"/>
  <c r="HR290" i="2"/>
  <c r="HQ291" i="2"/>
  <c r="HR291" i="2"/>
  <c r="HQ292" i="2"/>
  <c r="HR292" i="2"/>
  <c r="HQ293" i="2"/>
  <c r="HR293" i="2"/>
  <c r="HQ294" i="2"/>
  <c r="HR294" i="2"/>
  <c r="HQ295" i="2"/>
  <c r="HR295" i="2"/>
  <c r="HQ296" i="2"/>
  <c r="HR296" i="2"/>
  <c r="HQ297" i="2"/>
  <c r="HR297" i="2"/>
  <c r="HQ298" i="2"/>
  <c r="HR298" i="2"/>
  <c r="HQ299" i="2"/>
  <c r="HR299" i="2"/>
  <c r="HQ300" i="2"/>
  <c r="HR300" i="2"/>
  <c r="HQ301" i="2"/>
  <c r="HR301" i="2"/>
  <c r="HQ302" i="2"/>
  <c r="HR302" i="2"/>
  <c r="HQ303" i="2"/>
  <c r="HR303" i="2"/>
  <c r="HQ304" i="2"/>
  <c r="HR304" i="2"/>
  <c r="HQ305" i="2"/>
  <c r="HR305" i="2"/>
  <c r="HQ306" i="2"/>
  <c r="HR306" i="2"/>
  <c r="HQ307" i="2"/>
  <c r="HR307" i="2"/>
  <c r="HQ308" i="2"/>
  <c r="HR308" i="2"/>
  <c r="HQ309" i="2"/>
  <c r="HR309" i="2"/>
  <c r="HQ310" i="2"/>
  <c r="HR310" i="2"/>
  <c r="HQ311" i="2"/>
  <c r="HR311" i="2"/>
  <c r="HQ312" i="2"/>
  <c r="HR312" i="2"/>
  <c r="HQ313" i="2"/>
  <c r="HR313" i="2"/>
  <c r="HQ314" i="2"/>
  <c r="HR314" i="2"/>
  <c r="HQ315" i="2"/>
  <c r="HR315" i="2"/>
  <c r="HQ316" i="2"/>
  <c r="HR316" i="2"/>
  <c r="HQ318" i="2"/>
  <c r="HR318" i="2"/>
  <c r="HQ319" i="2"/>
  <c r="HR319" i="2"/>
  <c r="HQ320" i="2"/>
  <c r="HR320" i="2"/>
  <c r="HQ321" i="2"/>
  <c r="HR321" i="2"/>
  <c r="HQ322" i="2"/>
  <c r="HR322" i="2"/>
  <c r="HQ323" i="2"/>
  <c r="HR323" i="2"/>
  <c r="HQ324" i="2"/>
  <c r="HR324" i="2"/>
  <c r="HQ325" i="2"/>
  <c r="HR325" i="2"/>
  <c r="HQ326" i="2"/>
  <c r="HR326" i="2"/>
  <c r="HQ327" i="2"/>
  <c r="HR327" i="2"/>
  <c r="HQ328" i="2"/>
  <c r="HR328" i="2"/>
  <c r="HQ329" i="2"/>
  <c r="HR329" i="2"/>
  <c r="HQ330" i="2"/>
  <c r="HR330" i="2"/>
  <c r="HQ331" i="2"/>
  <c r="HR331" i="2"/>
  <c r="HQ332" i="2"/>
  <c r="HR332" i="2"/>
  <c r="HQ333" i="2"/>
  <c r="HR333" i="2"/>
  <c r="HQ334" i="2"/>
  <c r="HR334" i="2"/>
  <c r="HQ335" i="2"/>
  <c r="HR335" i="2"/>
  <c r="HQ336" i="2"/>
  <c r="HR336" i="2"/>
  <c r="HQ337" i="2"/>
  <c r="HR337" i="2"/>
  <c r="HQ338" i="2"/>
  <c r="HR338" i="2"/>
  <c r="HQ339" i="2"/>
  <c r="HR339" i="2"/>
  <c r="HQ340" i="2"/>
  <c r="HR340" i="2"/>
  <c r="HQ341" i="2"/>
  <c r="HR341" i="2"/>
  <c r="HQ342" i="2"/>
  <c r="HR342" i="2"/>
  <c r="HQ343" i="2"/>
  <c r="HR343" i="2"/>
  <c r="HQ344" i="2"/>
  <c r="HR344" i="2"/>
  <c r="HQ345" i="2"/>
  <c r="HR345" i="2"/>
  <c r="HQ346" i="2"/>
  <c r="HR346" i="2"/>
  <c r="HQ347" i="2"/>
  <c r="HR347" i="2"/>
  <c r="HQ348" i="2"/>
  <c r="HR348" i="2"/>
  <c r="HQ349" i="2"/>
  <c r="HR349" i="2"/>
  <c r="HQ350" i="2"/>
  <c r="HR350" i="2"/>
  <c r="HQ351" i="2"/>
  <c r="HR351" i="2"/>
  <c r="HQ352" i="2"/>
  <c r="HR352" i="2"/>
  <c r="HQ353" i="2"/>
  <c r="HR353" i="2"/>
  <c r="HQ354" i="2"/>
  <c r="HR354" i="2"/>
  <c r="HQ356" i="2"/>
  <c r="HR356" i="2"/>
  <c r="HQ357" i="2"/>
  <c r="HR357" i="2"/>
  <c r="HQ358" i="2"/>
  <c r="HR358" i="2"/>
  <c r="HQ359" i="2"/>
  <c r="HR359" i="2"/>
  <c r="HQ360" i="2"/>
  <c r="HR360" i="2"/>
  <c r="HQ361" i="2"/>
  <c r="HR361" i="2"/>
  <c r="HQ362" i="2"/>
  <c r="HR362" i="2"/>
  <c r="HQ363" i="2"/>
  <c r="HR363" i="2"/>
  <c r="HQ364" i="2"/>
  <c r="HR364" i="2"/>
  <c r="HQ365" i="2"/>
  <c r="HR365" i="2"/>
  <c r="HQ366" i="2"/>
  <c r="HR366" i="2"/>
  <c r="HQ367" i="2"/>
  <c r="HR367" i="2"/>
  <c r="HQ368" i="2"/>
  <c r="HR368" i="2"/>
  <c r="HQ369" i="2"/>
  <c r="HR369" i="2"/>
  <c r="HQ370" i="2"/>
  <c r="HR370" i="2"/>
  <c r="HQ371" i="2"/>
  <c r="HR371" i="2"/>
  <c r="HQ372" i="2"/>
  <c r="HR372" i="2"/>
  <c r="HQ373" i="2"/>
  <c r="HR373" i="2"/>
  <c r="HQ374" i="2"/>
  <c r="HR374" i="2"/>
  <c r="HQ375" i="2"/>
  <c r="HR375" i="2"/>
  <c r="HQ376" i="2"/>
  <c r="HR376" i="2"/>
  <c r="HQ377" i="2"/>
  <c r="HR377" i="2"/>
  <c r="HQ378" i="2"/>
  <c r="HR378" i="2"/>
  <c r="HQ379" i="2"/>
  <c r="HR379" i="2"/>
  <c r="HQ380" i="2"/>
  <c r="HR380" i="2"/>
  <c r="HQ381" i="2"/>
  <c r="HR381" i="2"/>
  <c r="HQ382" i="2"/>
  <c r="HR382" i="2"/>
  <c r="HQ383" i="2"/>
  <c r="HR383" i="2"/>
  <c r="HQ384" i="2"/>
  <c r="HR384" i="2"/>
  <c r="HQ385" i="2"/>
  <c r="HR385" i="2"/>
  <c r="HQ386" i="2"/>
  <c r="HR386" i="2"/>
  <c r="HQ387" i="2"/>
  <c r="HR387" i="2"/>
  <c r="HQ388" i="2"/>
  <c r="HR388" i="2"/>
  <c r="HQ389" i="2"/>
  <c r="HR389" i="2"/>
  <c r="HQ390" i="2"/>
  <c r="HR390" i="2"/>
  <c r="HQ391" i="2"/>
  <c r="HR391" i="2"/>
  <c r="HQ392" i="2"/>
  <c r="HR392" i="2"/>
  <c r="HQ394" i="2"/>
  <c r="HR394" i="2"/>
  <c r="HQ395" i="2"/>
  <c r="HR395" i="2"/>
  <c r="HQ396" i="2"/>
  <c r="HR396" i="2"/>
  <c r="HQ397" i="2"/>
  <c r="HR397" i="2"/>
  <c r="HQ398" i="2"/>
  <c r="HR398" i="2"/>
  <c r="HQ399" i="2"/>
  <c r="HR399" i="2"/>
  <c r="HQ400" i="2"/>
  <c r="HR400" i="2"/>
  <c r="HQ401" i="2"/>
  <c r="HR401" i="2"/>
  <c r="HQ402" i="2"/>
  <c r="HR402" i="2"/>
  <c r="HQ403" i="2"/>
  <c r="HR403" i="2"/>
  <c r="HQ404" i="2"/>
  <c r="HR404" i="2"/>
  <c r="HQ405" i="2"/>
  <c r="HR405" i="2"/>
  <c r="HQ406" i="2"/>
  <c r="HR406" i="2"/>
  <c r="HQ407" i="2"/>
  <c r="HR407" i="2"/>
  <c r="HQ408" i="2"/>
  <c r="HR408" i="2"/>
  <c r="HQ409" i="2"/>
  <c r="HR409" i="2"/>
  <c r="HQ410" i="2"/>
  <c r="HR410" i="2"/>
  <c r="HQ411" i="2"/>
  <c r="HR411" i="2"/>
  <c r="HQ412" i="2"/>
  <c r="HR412" i="2"/>
  <c r="HQ413" i="2"/>
  <c r="HR413" i="2"/>
  <c r="HQ414" i="2"/>
  <c r="HR414" i="2"/>
  <c r="HQ415" i="2"/>
  <c r="HR415" i="2"/>
  <c r="HQ416" i="2"/>
  <c r="HR416" i="2"/>
  <c r="HQ417" i="2"/>
  <c r="HR417" i="2"/>
  <c r="HQ418" i="2"/>
  <c r="HR418" i="2"/>
  <c r="HQ419" i="2"/>
  <c r="HR419" i="2"/>
  <c r="HQ420" i="2"/>
  <c r="HR420" i="2"/>
  <c r="HQ421" i="2"/>
  <c r="HR421" i="2"/>
  <c r="HQ422" i="2"/>
  <c r="HR422" i="2"/>
  <c r="HQ423" i="2"/>
  <c r="HR423" i="2"/>
  <c r="HQ424" i="2"/>
  <c r="HR424" i="2"/>
  <c r="HQ425" i="2"/>
  <c r="HR425" i="2"/>
  <c r="HQ426" i="2"/>
  <c r="HR426" i="2"/>
  <c r="HQ427" i="2"/>
  <c r="HR427" i="2"/>
  <c r="HQ428" i="2"/>
  <c r="HR428" i="2"/>
  <c r="HQ429" i="2"/>
  <c r="HR429" i="2"/>
  <c r="HQ430" i="2"/>
  <c r="HR430" i="2"/>
  <c r="HQ432" i="2"/>
  <c r="HR432" i="2"/>
  <c r="HQ433" i="2"/>
  <c r="HR433" i="2"/>
  <c r="HQ434" i="2"/>
  <c r="HR434" i="2"/>
  <c r="HQ435" i="2"/>
  <c r="HR435" i="2"/>
  <c r="HQ436" i="2"/>
  <c r="HR436" i="2"/>
  <c r="HQ437" i="2"/>
  <c r="HR437" i="2"/>
  <c r="HQ438" i="2"/>
  <c r="HR438" i="2"/>
  <c r="HQ439" i="2"/>
  <c r="HR439" i="2"/>
  <c r="HQ440" i="2"/>
  <c r="HR440" i="2"/>
  <c r="HQ441" i="2"/>
  <c r="HR441" i="2"/>
  <c r="HQ442" i="2"/>
  <c r="HR442" i="2"/>
  <c r="HQ443" i="2"/>
  <c r="HR443" i="2"/>
  <c r="HQ444" i="2"/>
  <c r="HR444" i="2"/>
  <c r="HQ445" i="2"/>
  <c r="HR445" i="2"/>
  <c r="HQ446" i="2"/>
  <c r="HR446" i="2"/>
  <c r="HQ447" i="2"/>
  <c r="HR447" i="2"/>
  <c r="HQ448" i="2"/>
  <c r="HR448" i="2"/>
  <c r="HQ449" i="2"/>
  <c r="HR449" i="2"/>
  <c r="HQ450" i="2"/>
  <c r="HR450" i="2"/>
  <c r="HQ451" i="2"/>
  <c r="HR451" i="2"/>
  <c r="HQ452" i="2"/>
  <c r="HR452" i="2"/>
  <c r="HQ453" i="2"/>
  <c r="HR453" i="2"/>
  <c r="HQ454" i="2"/>
  <c r="HR454" i="2"/>
  <c r="HQ455" i="2"/>
  <c r="HR455" i="2"/>
  <c r="HQ456" i="2"/>
  <c r="HR456" i="2"/>
  <c r="HQ457" i="2"/>
  <c r="HR457" i="2"/>
  <c r="HQ458" i="2"/>
  <c r="HR458" i="2"/>
  <c r="HQ459" i="2"/>
  <c r="HR459" i="2"/>
  <c r="HQ460" i="2"/>
  <c r="HR460" i="2"/>
  <c r="HQ461" i="2"/>
  <c r="HR461" i="2"/>
  <c r="HQ462" i="2"/>
  <c r="HR462" i="2"/>
  <c r="HQ463" i="2"/>
  <c r="HR463" i="2"/>
  <c r="HQ464" i="2"/>
  <c r="HR464" i="2"/>
  <c r="HQ465" i="2"/>
  <c r="HR465" i="2"/>
  <c r="HQ466" i="2"/>
  <c r="HR466" i="2"/>
  <c r="HQ467" i="2"/>
  <c r="HR467" i="2"/>
  <c r="HQ468" i="2"/>
  <c r="HR468" i="2"/>
  <c r="HR15" i="2"/>
  <c r="HR16" i="2"/>
  <c r="HR17" i="2"/>
  <c r="HR18" i="2"/>
  <c r="HR19" i="2"/>
  <c r="HR20" i="2"/>
  <c r="HR21" i="2"/>
  <c r="HR22" i="2"/>
  <c r="HR23" i="2"/>
  <c r="HR24" i="2"/>
  <c r="HR25" i="2"/>
  <c r="HR26" i="2"/>
  <c r="HR27" i="2"/>
  <c r="HR28" i="2"/>
  <c r="HR29" i="2"/>
  <c r="HR30" i="2"/>
  <c r="HR31" i="2"/>
  <c r="HR32" i="2"/>
  <c r="HR33" i="2"/>
  <c r="HR34" i="2"/>
  <c r="HR35" i="2"/>
  <c r="HR36" i="2"/>
  <c r="HR37" i="2"/>
  <c r="HR38" i="2"/>
  <c r="HR39" i="2"/>
  <c r="HR40" i="2"/>
  <c r="HR41" i="2"/>
  <c r="HR42" i="2"/>
  <c r="HR43" i="2"/>
  <c r="HR44" i="2"/>
  <c r="HR45" i="2"/>
  <c r="HR46" i="2"/>
  <c r="HR47" i="2"/>
  <c r="HR48" i="2"/>
  <c r="HR49" i="2"/>
  <c r="HR50" i="2"/>
  <c r="HR14" i="2"/>
  <c r="HQ14" i="2"/>
  <c r="HA52" i="2"/>
  <c r="HB52" i="2"/>
  <c r="HA53" i="2"/>
  <c r="HB53" i="2"/>
  <c r="HA54" i="2"/>
  <c r="HB54" i="2"/>
  <c r="HA55" i="2"/>
  <c r="HB55" i="2"/>
  <c r="HA56" i="2"/>
  <c r="HB56" i="2"/>
  <c r="HA57" i="2"/>
  <c r="HB57" i="2"/>
  <c r="HA58" i="2"/>
  <c r="HB58" i="2"/>
  <c r="HA59" i="2"/>
  <c r="HB59" i="2"/>
  <c r="HA60" i="2"/>
  <c r="HB60" i="2"/>
  <c r="HA61" i="2"/>
  <c r="HB61" i="2"/>
  <c r="HA62" i="2"/>
  <c r="HB62" i="2"/>
  <c r="HA63" i="2"/>
  <c r="HB63" i="2"/>
  <c r="HA64" i="2"/>
  <c r="HB64" i="2"/>
  <c r="HA65" i="2"/>
  <c r="HB65" i="2"/>
  <c r="HA66" i="2"/>
  <c r="HB66" i="2"/>
  <c r="HA67" i="2"/>
  <c r="HB67" i="2"/>
  <c r="HA68" i="2"/>
  <c r="HB68" i="2"/>
  <c r="HA69" i="2"/>
  <c r="HB69" i="2"/>
  <c r="HA70" i="2"/>
  <c r="HB70" i="2"/>
  <c r="HA71" i="2"/>
  <c r="HB71" i="2"/>
  <c r="HA72" i="2"/>
  <c r="HB72" i="2"/>
  <c r="HA73" i="2"/>
  <c r="HB73" i="2"/>
  <c r="HA74" i="2"/>
  <c r="HB74" i="2"/>
  <c r="HA75" i="2"/>
  <c r="HB75" i="2"/>
  <c r="HA76" i="2"/>
  <c r="HB76" i="2"/>
  <c r="HA77" i="2"/>
  <c r="HB77" i="2"/>
  <c r="HA78" i="2"/>
  <c r="HB78" i="2"/>
  <c r="HA79" i="2"/>
  <c r="HB79" i="2"/>
  <c r="HA80" i="2"/>
  <c r="HB80" i="2"/>
  <c r="HA81" i="2"/>
  <c r="HB81" i="2"/>
  <c r="HA82" i="2"/>
  <c r="HB82" i="2"/>
  <c r="HA83" i="2"/>
  <c r="HB83" i="2"/>
  <c r="HA84" i="2"/>
  <c r="HB84" i="2"/>
  <c r="HA85" i="2"/>
  <c r="HB85" i="2"/>
  <c r="HA86" i="2"/>
  <c r="HB86" i="2"/>
  <c r="HA87" i="2"/>
  <c r="HB87" i="2"/>
  <c r="HA88" i="2"/>
  <c r="HB88" i="2"/>
  <c r="HA90" i="2"/>
  <c r="HB90" i="2"/>
  <c r="HA91" i="2"/>
  <c r="HB91" i="2"/>
  <c r="HA92" i="2"/>
  <c r="HB92" i="2"/>
  <c r="HA93" i="2"/>
  <c r="HB93" i="2"/>
  <c r="HA94" i="2"/>
  <c r="HB94" i="2"/>
  <c r="HA95" i="2"/>
  <c r="HB95" i="2"/>
  <c r="HA96" i="2"/>
  <c r="HB96" i="2"/>
  <c r="HA97" i="2"/>
  <c r="HB97" i="2"/>
  <c r="HA98" i="2"/>
  <c r="HB98" i="2"/>
  <c r="HA99" i="2"/>
  <c r="HB99" i="2"/>
  <c r="HA100" i="2"/>
  <c r="HB100" i="2"/>
  <c r="HA101" i="2"/>
  <c r="HB101" i="2"/>
  <c r="HA102" i="2"/>
  <c r="HB102" i="2"/>
  <c r="HA103" i="2"/>
  <c r="HB103" i="2"/>
  <c r="HA104" i="2"/>
  <c r="HB104" i="2"/>
  <c r="HA105" i="2"/>
  <c r="HB105" i="2"/>
  <c r="HA106" i="2"/>
  <c r="HB106" i="2"/>
  <c r="HA107" i="2"/>
  <c r="HB107" i="2"/>
  <c r="HA108" i="2"/>
  <c r="HB108" i="2"/>
  <c r="HA109" i="2"/>
  <c r="HB109" i="2"/>
  <c r="HA110" i="2"/>
  <c r="HB110" i="2"/>
  <c r="HA111" i="2"/>
  <c r="HB111" i="2"/>
  <c r="HA112" i="2"/>
  <c r="HB112" i="2"/>
  <c r="HA113" i="2"/>
  <c r="HB113" i="2"/>
  <c r="HA114" i="2"/>
  <c r="HB114" i="2"/>
  <c r="HA115" i="2"/>
  <c r="HB115" i="2"/>
  <c r="HA116" i="2"/>
  <c r="HB116" i="2"/>
  <c r="HA117" i="2"/>
  <c r="HB117" i="2"/>
  <c r="HA118" i="2"/>
  <c r="HB118" i="2"/>
  <c r="HA119" i="2"/>
  <c r="HB119" i="2"/>
  <c r="HA120" i="2"/>
  <c r="HB120" i="2"/>
  <c r="HA121" i="2"/>
  <c r="HB121" i="2"/>
  <c r="HA122" i="2"/>
  <c r="HB122" i="2"/>
  <c r="HA123" i="2"/>
  <c r="HB123" i="2"/>
  <c r="HA124" i="2"/>
  <c r="HB124" i="2"/>
  <c r="HA125" i="2"/>
  <c r="HB125" i="2"/>
  <c r="HA126" i="2"/>
  <c r="HB126" i="2"/>
  <c r="HA128" i="2"/>
  <c r="HB128" i="2"/>
  <c r="HA129" i="2"/>
  <c r="HB129" i="2"/>
  <c r="HA130" i="2"/>
  <c r="HB130" i="2"/>
  <c r="HA131" i="2"/>
  <c r="HB131" i="2"/>
  <c r="HA132" i="2"/>
  <c r="HB132" i="2"/>
  <c r="HA133" i="2"/>
  <c r="HB133" i="2"/>
  <c r="HA134" i="2"/>
  <c r="HB134" i="2"/>
  <c r="HA135" i="2"/>
  <c r="HB135" i="2"/>
  <c r="HA136" i="2"/>
  <c r="HB136" i="2"/>
  <c r="HA137" i="2"/>
  <c r="HB137" i="2"/>
  <c r="HA138" i="2"/>
  <c r="HB138" i="2"/>
  <c r="HA139" i="2"/>
  <c r="HB139" i="2"/>
  <c r="HA140" i="2"/>
  <c r="HB140" i="2"/>
  <c r="HA141" i="2"/>
  <c r="HB141" i="2"/>
  <c r="HA142" i="2"/>
  <c r="HB142" i="2"/>
  <c r="HA143" i="2"/>
  <c r="HB143" i="2"/>
  <c r="HA144" i="2"/>
  <c r="HB144" i="2"/>
  <c r="HA145" i="2"/>
  <c r="HB145" i="2"/>
  <c r="HA146" i="2"/>
  <c r="HB146" i="2"/>
  <c r="HA147" i="2"/>
  <c r="HB147" i="2"/>
  <c r="HA148" i="2"/>
  <c r="HB148" i="2"/>
  <c r="HA149" i="2"/>
  <c r="HB149" i="2"/>
  <c r="HA150" i="2"/>
  <c r="HB150" i="2"/>
  <c r="HA151" i="2"/>
  <c r="HB151" i="2"/>
  <c r="HA152" i="2"/>
  <c r="HB152" i="2"/>
  <c r="HA153" i="2"/>
  <c r="HB153" i="2"/>
  <c r="HA154" i="2"/>
  <c r="HB154" i="2"/>
  <c r="HA155" i="2"/>
  <c r="HB155" i="2"/>
  <c r="HA156" i="2"/>
  <c r="HB156" i="2"/>
  <c r="HA157" i="2"/>
  <c r="HB157" i="2"/>
  <c r="HA158" i="2"/>
  <c r="HB158" i="2"/>
  <c r="HA159" i="2"/>
  <c r="HB159" i="2"/>
  <c r="HA160" i="2"/>
  <c r="HB160" i="2"/>
  <c r="HA161" i="2"/>
  <c r="HB161" i="2"/>
  <c r="HA162" i="2"/>
  <c r="HB162" i="2"/>
  <c r="HA163" i="2"/>
  <c r="HB163" i="2"/>
  <c r="HA164" i="2"/>
  <c r="HB164" i="2"/>
  <c r="HA166" i="2"/>
  <c r="HB166" i="2"/>
  <c r="HA167" i="2"/>
  <c r="HB167" i="2"/>
  <c r="HA168" i="2"/>
  <c r="HB168" i="2"/>
  <c r="HA169" i="2"/>
  <c r="HB169" i="2"/>
  <c r="HA170" i="2"/>
  <c r="HB170" i="2"/>
  <c r="HA171" i="2"/>
  <c r="HB171" i="2"/>
  <c r="HA172" i="2"/>
  <c r="HB172" i="2"/>
  <c r="HA173" i="2"/>
  <c r="HB173" i="2"/>
  <c r="HA174" i="2"/>
  <c r="HB174" i="2"/>
  <c r="HA175" i="2"/>
  <c r="HB175" i="2"/>
  <c r="HA176" i="2"/>
  <c r="HB176" i="2"/>
  <c r="HA177" i="2"/>
  <c r="HB177" i="2"/>
  <c r="HA178" i="2"/>
  <c r="HB178" i="2"/>
  <c r="HA179" i="2"/>
  <c r="HB179" i="2"/>
  <c r="HA180" i="2"/>
  <c r="HB180" i="2"/>
  <c r="HA181" i="2"/>
  <c r="HB181" i="2"/>
  <c r="HA182" i="2"/>
  <c r="HB182" i="2"/>
  <c r="HA183" i="2"/>
  <c r="HB183" i="2"/>
  <c r="HA184" i="2"/>
  <c r="HB184" i="2"/>
  <c r="HA185" i="2"/>
  <c r="HB185" i="2"/>
  <c r="HA186" i="2"/>
  <c r="HB186" i="2"/>
  <c r="HA187" i="2"/>
  <c r="HB187" i="2"/>
  <c r="HA188" i="2"/>
  <c r="HB188" i="2"/>
  <c r="HA189" i="2"/>
  <c r="HB189" i="2"/>
  <c r="HA190" i="2"/>
  <c r="HB190" i="2"/>
  <c r="HA191" i="2"/>
  <c r="HB191" i="2"/>
  <c r="HA192" i="2"/>
  <c r="HB192" i="2"/>
  <c r="HA193" i="2"/>
  <c r="HB193" i="2"/>
  <c r="HA194" i="2"/>
  <c r="HB194" i="2"/>
  <c r="HA195" i="2"/>
  <c r="HB195" i="2"/>
  <c r="HA196" i="2"/>
  <c r="HB196" i="2"/>
  <c r="HA197" i="2"/>
  <c r="HB197" i="2"/>
  <c r="HA198" i="2"/>
  <c r="HB198" i="2"/>
  <c r="HA199" i="2"/>
  <c r="HB199" i="2"/>
  <c r="HA200" i="2"/>
  <c r="HB200" i="2"/>
  <c r="HA201" i="2"/>
  <c r="HB201" i="2"/>
  <c r="HA202" i="2"/>
  <c r="HB202" i="2"/>
  <c r="HA204" i="2"/>
  <c r="HB204" i="2"/>
  <c r="HA205" i="2"/>
  <c r="HB205" i="2"/>
  <c r="HA206" i="2"/>
  <c r="HB206" i="2"/>
  <c r="HA207" i="2"/>
  <c r="HB207" i="2"/>
  <c r="HA208" i="2"/>
  <c r="HB208" i="2"/>
  <c r="HA209" i="2"/>
  <c r="HB209" i="2"/>
  <c r="HA210" i="2"/>
  <c r="HB210" i="2"/>
  <c r="HA211" i="2"/>
  <c r="HB211" i="2"/>
  <c r="HA212" i="2"/>
  <c r="HB212" i="2"/>
  <c r="HA213" i="2"/>
  <c r="HB213" i="2"/>
  <c r="HA214" i="2"/>
  <c r="HB214" i="2"/>
  <c r="HA215" i="2"/>
  <c r="HB215" i="2"/>
  <c r="HA216" i="2"/>
  <c r="HB216" i="2"/>
  <c r="HA217" i="2"/>
  <c r="HB217" i="2"/>
  <c r="HA218" i="2"/>
  <c r="HB218" i="2"/>
  <c r="HA219" i="2"/>
  <c r="HB219" i="2"/>
  <c r="HA220" i="2"/>
  <c r="HB220" i="2"/>
  <c r="HA221" i="2"/>
  <c r="HB221" i="2"/>
  <c r="HA222" i="2"/>
  <c r="HB222" i="2"/>
  <c r="HA223" i="2"/>
  <c r="HB223" i="2"/>
  <c r="HA224" i="2"/>
  <c r="HB224" i="2"/>
  <c r="HA225" i="2"/>
  <c r="HB225" i="2"/>
  <c r="HA226" i="2"/>
  <c r="HB226" i="2"/>
  <c r="HA227" i="2"/>
  <c r="HB227" i="2"/>
  <c r="HA228" i="2"/>
  <c r="HB228" i="2"/>
  <c r="HA229" i="2"/>
  <c r="HB229" i="2"/>
  <c r="HA230" i="2"/>
  <c r="HB230" i="2"/>
  <c r="HA231" i="2"/>
  <c r="HB231" i="2"/>
  <c r="HA232" i="2"/>
  <c r="HB232" i="2"/>
  <c r="HA233" i="2"/>
  <c r="HB233" i="2"/>
  <c r="HA234" i="2"/>
  <c r="HB234" i="2"/>
  <c r="HA235" i="2"/>
  <c r="HB235" i="2"/>
  <c r="HA236" i="2"/>
  <c r="HB236" i="2"/>
  <c r="HA237" i="2"/>
  <c r="HB237" i="2"/>
  <c r="HA238" i="2"/>
  <c r="HB238" i="2"/>
  <c r="HA239" i="2"/>
  <c r="HB239" i="2"/>
  <c r="HA240" i="2"/>
  <c r="HB240" i="2"/>
  <c r="HA242" i="2"/>
  <c r="HB242" i="2"/>
  <c r="HA243" i="2"/>
  <c r="HB243" i="2"/>
  <c r="HA244" i="2"/>
  <c r="HB244" i="2"/>
  <c r="HA245" i="2"/>
  <c r="HB245" i="2"/>
  <c r="HA246" i="2"/>
  <c r="HB246" i="2"/>
  <c r="HA247" i="2"/>
  <c r="HB247" i="2"/>
  <c r="HA248" i="2"/>
  <c r="HB248" i="2"/>
  <c r="HA249" i="2"/>
  <c r="HB249" i="2"/>
  <c r="HA250" i="2"/>
  <c r="HB250" i="2"/>
  <c r="HA251" i="2"/>
  <c r="HB251" i="2"/>
  <c r="HA252" i="2"/>
  <c r="HB252" i="2"/>
  <c r="HA253" i="2"/>
  <c r="HB253" i="2"/>
  <c r="HA254" i="2"/>
  <c r="HB254" i="2"/>
  <c r="HA255" i="2"/>
  <c r="HB255" i="2"/>
  <c r="HA256" i="2"/>
  <c r="HB256" i="2"/>
  <c r="HA257" i="2"/>
  <c r="HB257" i="2"/>
  <c r="HA258" i="2"/>
  <c r="HB258" i="2"/>
  <c r="HA259" i="2"/>
  <c r="HB259" i="2"/>
  <c r="HA260" i="2"/>
  <c r="HB260" i="2"/>
  <c r="HA261" i="2"/>
  <c r="HB261" i="2"/>
  <c r="HA262" i="2"/>
  <c r="HB262" i="2"/>
  <c r="HA263" i="2"/>
  <c r="HB263" i="2"/>
  <c r="HA264" i="2"/>
  <c r="HB264" i="2"/>
  <c r="HA265" i="2"/>
  <c r="HB265" i="2"/>
  <c r="HA266" i="2"/>
  <c r="HB266" i="2"/>
  <c r="HA267" i="2"/>
  <c r="HB267" i="2"/>
  <c r="HA268" i="2"/>
  <c r="HB268" i="2"/>
  <c r="HA269" i="2"/>
  <c r="HB269" i="2"/>
  <c r="HA270" i="2"/>
  <c r="HB270" i="2"/>
  <c r="HA271" i="2"/>
  <c r="HB271" i="2"/>
  <c r="HA272" i="2"/>
  <c r="HB272" i="2"/>
  <c r="HA273" i="2"/>
  <c r="HB273" i="2"/>
  <c r="HA274" i="2"/>
  <c r="HB274" i="2"/>
  <c r="HA275" i="2"/>
  <c r="HB275" i="2"/>
  <c r="HA276" i="2"/>
  <c r="HB276" i="2"/>
  <c r="HA277" i="2"/>
  <c r="HB277" i="2"/>
  <c r="HA278" i="2"/>
  <c r="HB278" i="2"/>
  <c r="HA280" i="2"/>
  <c r="HB280" i="2"/>
  <c r="HA281" i="2"/>
  <c r="HB281" i="2"/>
  <c r="HA282" i="2"/>
  <c r="HB282" i="2"/>
  <c r="HA283" i="2"/>
  <c r="HB283" i="2"/>
  <c r="HA284" i="2"/>
  <c r="HB284" i="2"/>
  <c r="HA285" i="2"/>
  <c r="HB285" i="2"/>
  <c r="HA286" i="2"/>
  <c r="HB286" i="2"/>
  <c r="HA287" i="2"/>
  <c r="HB287" i="2"/>
  <c r="HA288" i="2"/>
  <c r="HB288" i="2"/>
  <c r="HA289" i="2"/>
  <c r="HB289" i="2"/>
  <c r="HA290" i="2"/>
  <c r="HB290" i="2"/>
  <c r="HA291" i="2"/>
  <c r="HB291" i="2"/>
  <c r="HA292" i="2"/>
  <c r="HB292" i="2"/>
  <c r="HA293" i="2"/>
  <c r="HB293" i="2"/>
  <c r="HA294" i="2"/>
  <c r="HB294" i="2"/>
  <c r="HA295" i="2"/>
  <c r="HB295" i="2"/>
  <c r="HA296" i="2"/>
  <c r="HB296" i="2"/>
  <c r="HA297" i="2"/>
  <c r="HB297" i="2"/>
  <c r="HA298" i="2"/>
  <c r="HB298" i="2"/>
  <c r="HA299" i="2"/>
  <c r="HB299" i="2"/>
  <c r="HA300" i="2"/>
  <c r="HB300" i="2"/>
  <c r="HA301" i="2"/>
  <c r="HB301" i="2"/>
  <c r="HA302" i="2"/>
  <c r="HB302" i="2"/>
  <c r="HA303" i="2"/>
  <c r="HB303" i="2"/>
  <c r="HA304" i="2"/>
  <c r="HB304" i="2"/>
  <c r="HA305" i="2"/>
  <c r="HB305" i="2"/>
  <c r="HA306" i="2"/>
  <c r="HB306" i="2"/>
  <c r="HA307" i="2"/>
  <c r="HB307" i="2"/>
  <c r="HA308" i="2"/>
  <c r="HB308" i="2"/>
  <c r="HA309" i="2"/>
  <c r="HB309" i="2"/>
  <c r="HA310" i="2"/>
  <c r="HB310" i="2"/>
  <c r="HA311" i="2"/>
  <c r="HB311" i="2"/>
  <c r="HA312" i="2"/>
  <c r="HB312" i="2"/>
  <c r="HA313" i="2"/>
  <c r="HB313" i="2"/>
  <c r="HA314" i="2"/>
  <c r="HB314" i="2"/>
  <c r="HA315" i="2"/>
  <c r="HB315" i="2"/>
  <c r="HA316" i="2"/>
  <c r="HB316" i="2"/>
  <c r="HA318" i="2"/>
  <c r="HB318" i="2"/>
  <c r="HA319" i="2"/>
  <c r="HB319" i="2"/>
  <c r="HA320" i="2"/>
  <c r="HB320" i="2"/>
  <c r="HA321" i="2"/>
  <c r="HB321" i="2"/>
  <c r="HA322" i="2"/>
  <c r="HB322" i="2"/>
  <c r="HA323" i="2"/>
  <c r="HB323" i="2"/>
  <c r="HA324" i="2"/>
  <c r="HB324" i="2"/>
  <c r="HA325" i="2"/>
  <c r="HB325" i="2"/>
  <c r="HA326" i="2"/>
  <c r="HB326" i="2"/>
  <c r="HA327" i="2"/>
  <c r="HB327" i="2"/>
  <c r="HA328" i="2"/>
  <c r="HB328" i="2"/>
  <c r="HA329" i="2"/>
  <c r="HB329" i="2"/>
  <c r="HA330" i="2"/>
  <c r="HB330" i="2"/>
  <c r="HA331" i="2"/>
  <c r="HB331" i="2"/>
  <c r="HA332" i="2"/>
  <c r="HB332" i="2"/>
  <c r="HA333" i="2"/>
  <c r="HB333" i="2"/>
  <c r="HA334" i="2"/>
  <c r="HB334" i="2"/>
  <c r="HA335" i="2"/>
  <c r="HB335" i="2"/>
  <c r="HA336" i="2"/>
  <c r="HB336" i="2"/>
  <c r="HA337" i="2"/>
  <c r="HB337" i="2"/>
  <c r="HA338" i="2"/>
  <c r="HB338" i="2"/>
  <c r="HA339" i="2"/>
  <c r="HB339" i="2"/>
  <c r="HA340" i="2"/>
  <c r="HB340" i="2"/>
  <c r="HA341" i="2"/>
  <c r="HB341" i="2"/>
  <c r="HA342" i="2"/>
  <c r="HB342" i="2"/>
  <c r="HA343" i="2"/>
  <c r="HB343" i="2"/>
  <c r="HA344" i="2"/>
  <c r="HB344" i="2"/>
  <c r="HA345" i="2"/>
  <c r="HB345" i="2"/>
  <c r="HA346" i="2"/>
  <c r="HB346" i="2"/>
  <c r="HA347" i="2"/>
  <c r="HB347" i="2"/>
  <c r="HA348" i="2"/>
  <c r="HB348" i="2"/>
  <c r="HA349" i="2"/>
  <c r="HB349" i="2"/>
  <c r="HA350" i="2"/>
  <c r="HB350" i="2"/>
  <c r="HA351" i="2"/>
  <c r="HB351" i="2"/>
  <c r="HA352" i="2"/>
  <c r="HB352" i="2"/>
  <c r="HA353" i="2"/>
  <c r="HB353" i="2"/>
  <c r="HA354" i="2"/>
  <c r="HB354" i="2"/>
  <c r="HA356" i="2"/>
  <c r="HB356" i="2"/>
  <c r="HA357" i="2"/>
  <c r="HB357" i="2"/>
  <c r="HA358" i="2"/>
  <c r="HB358" i="2"/>
  <c r="HA359" i="2"/>
  <c r="HB359" i="2"/>
  <c r="HA360" i="2"/>
  <c r="HB360" i="2"/>
  <c r="HA361" i="2"/>
  <c r="HB361" i="2"/>
  <c r="HA362" i="2"/>
  <c r="HB362" i="2"/>
  <c r="HA363" i="2"/>
  <c r="HB363" i="2"/>
  <c r="HA364" i="2"/>
  <c r="HB364" i="2"/>
  <c r="HA365" i="2"/>
  <c r="HB365" i="2"/>
  <c r="HA366" i="2"/>
  <c r="HB366" i="2"/>
  <c r="HA367" i="2"/>
  <c r="HB367" i="2"/>
  <c r="HA368" i="2"/>
  <c r="HB368" i="2"/>
  <c r="HA369" i="2"/>
  <c r="HB369" i="2"/>
  <c r="HA370" i="2"/>
  <c r="HB370" i="2"/>
  <c r="HA371" i="2"/>
  <c r="HB371" i="2"/>
  <c r="HA372" i="2"/>
  <c r="HB372" i="2"/>
  <c r="HA373" i="2"/>
  <c r="HB373" i="2"/>
  <c r="HA374" i="2"/>
  <c r="HB374" i="2"/>
  <c r="HA375" i="2"/>
  <c r="HB375" i="2"/>
  <c r="HA376" i="2"/>
  <c r="HB376" i="2"/>
  <c r="HA377" i="2"/>
  <c r="HB377" i="2"/>
  <c r="HA378" i="2"/>
  <c r="HB378" i="2"/>
  <c r="HA379" i="2"/>
  <c r="HB379" i="2"/>
  <c r="HA380" i="2"/>
  <c r="HB380" i="2"/>
  <c r="HA381" i="2"/>
  <c r="HB381" i="2"/>
  <c r="HA382" i="2"/>
  <c r="HB382" i="2"/>
  <c r="HA383" i="2"/>
  <c r="HB383" i="2"/>
  <c r="HA384" i="2"/>
  <c r="HB384" i="2"/>
  <c r="HA385" i="2"/>
  <c r="HB385" i="2"/>
  <c r="HA386" i="2"/>
  <c r="HB386" i="2"/>
  <c r="HA387" i="2"/>
  <c r="HB387" i="2"/>
  <c r="HA388" i="2"/>
  <c r="HB388" i="2"/>
  <c r="HA389" i="2"/>
  <c r="HB389" i="2"/>
  <c r="HA390" i="2"/>
  <c r="HB390" i="2"/>
  <c r="HA391" i="2"/>
  <c r="HB391" i="2"/>
  <c r="HA392" i="2"/>
  <c r="HB392" i="2"/>
  <c r="HA394" i="2"/>
  <c r="HB394" i="2"/>
  <c r="HA395" i="2"/>
  <c r="HB395" i="2"/>
  <c r="HA396" i="2"/>
  <c r="HB396" i="2"/>
  <c r="HA397" i="2"/>
  <c r="HB397" i="2"/>
  <c r="HA398" i="2"/>
  <c r="HB398" i="2"/>
  <c r="HA399" i="2"/>
  <c r="HB399" i="2"/>
  <c r="HA400" i="2"/>
  <c r="HB400" i="2"/>
  <c r="HA401" i="2"/>
  <c r="HB401" i="2"/>
  <c r="HA402" i="2"/>
  <c r="HB402" i="2"/>
  <c r="HA403" i="2"/>
  <c r="HB403" i="2"/>
  <c r="HA404" i="2"/>
  <c r="HB404" i="2"/>
  <c r="HA405" i="2"/>
  <c r="HB405" i="2"/>
  <c r="HA406" i="2"/>
  <c r="HB406" i="2"/>
  <c r="HA407" i="2"/>
  <c r="HB407" i="2"/>
  <c r="HA408" i="2"/>
  <c r="HB408" i="2"/>
  <c r="HA409" i="2"/>
  <c r="HB409" i="2"/>
  <c r="HA410" i="2"/>
  <c r="HB410" i="2"/>
  <c r="HA411" i="2"/>
  <c r="HB411" i="2"/>
  <c r="HA412" i="2"/>
  <c r="HB412" i="2"/>
  <c r="HA413" i="2"/>
  <c r="HB413" i="2"/>
  <c r="HA414" i="2"/>
  <c r="HB414" i="2"/>
  <c r="HA415" i="2"/>
  <c r="HB415" i="2"/>
  <c r="HA416" i="2"/>
  <c r="HB416" i="2"/>
  <c r="HA417" i="2"/>
  <c r="HB417" i="2"/>
  <c r="HA418" i="2"/>
  <c r="HB418" i="2"/>
  <c r="HA419" i="2"/>
  <c r="HB419" i="2"/>
  <c r="HA420" i="2"/>
  <c r="HB420" i="2"/>
  <c r="HA421" i="2"/>
  <c r="HB421" i="2"/>
  <c r="HA422" i="2"/>
  <c r="HB422" i="2"/>
  <c r="HA423" i="2"/>
  <c r="HB423" i="2"/>
  <c r="HA424" i="2"/>
  <c r="HB424" i="2"/>
  <c r="HA425" i="2"/>
  <c r="HB425" i="2"/>
  <c r="HA426" i="2"/>
  <c r="HB426" i="2"/>
  <c r="HA427" i="2"/>
  <c r="HB427" i="2"/>
  <c r="HA428" i="2"/>
  <c r="HB428" i="2"/>
  <c r="HA429" i="2"/>
  <c r="HB429" i="2"/>
  <c r="HA430" i="2"/>
  <c r="HB430" i="2"/>
  <c r="HA432" i="2"/>
  <c r="HB432" i="2"/>
  <c r="HA433" i="2"/>
  <c r="HB433" i="2"/>
  <c r="HA434" i="2"/>
  <c r="HB434" i="2"/>
  <c r="HA435" i="2"/>
  <c r="HB435" i="2"/>
  <c r="HA436" i="2"/>
  <c r="HB436" i="2"/>
  <c r="HA437" i="2"/>
  <c r="HB437" i="2"/>
  <c r="HA438" i="2"/>
  <c r="HB438" i="2"/>
  <c r="HA439" i="2"/>
  <c r="HB439" i="2"/>
  <c r="HA440" i="2"/>
  <c r="HB440" i="2"/>
  <c r="HA441" i="2"/>
  <c r="HB441" i="2"/>
  <c r="HA442" i="2"/>
  <c r="HB442" i="2"/>
  <c r="HA443" i="2"/>
  <c r="HB443" i="2"/>
  <c r="HA444" i="2"/>
  <c r="HB444" i="2"/>
  <c r="HA445" i="2"/>
  <c r="HB445" i="2"/>
  <c r="HA446" i="2"/>
  <c r="HB446" i="2"/>
  <c r="HA447" i="2"/>
  <c r="HB447" i="2"/>
  <c r="HA448" i="2"/>
  <c r="HB448" i="2"/>
  <c r="HA449" i="2"/>
  <c r="HB449" i="2"/>
  <c r="HA450" i="2"/>
  <c r="HB450" i="2"/>
  <c r="HA451" i="2"/>
  <c r="HB451" i="2"/>
  <c r="HA452" i="2"/>
  <c r="HB452" i="2"/>
  <c r="HA453" i="2"/>
  <c r="HB453" i="2"/>
  <c r="HA454" i="2"/>
  <c r="HB454" i="2"/>
  <c r="HA455" i="2"/>
  <c r="HB455" i="2"/>
  <c r="HA456" i="2"/>
  <c r="HB456" i="2"/>
  <c r="HA457" i="2"/>
  <c r="HB457" i="2"/>
  <c r="HA458" i="2"/>
  <c r="HB458" i="2"/>
  <c r="HA459" i="2"/>
  <c r="HB459" i="2"/>
  <c r="HA460" i="2"/>
  <c r="HB460" i="2"/>
  <c r="HA461" i="2"/>
  <c r="HB461" i="2"/>
  <c r="HA462" i="2"/>
  <c r="HB462" i="2"/>
  <c r="HA463" i="2"/>
  <c r="HB463" i="2"/>
  <c r="HA464" i="2"/>
  <c r="HB464" i="2"/>
  <c r="HA465" i="2"/>
  <c r="HB465" i="2"/>
  <c r="HA466" i="2"/>
  <c r="HB466" i="2"/>
  <c r="HA467" i="2"/>
  <c r="HB467" i="2"/>
  <c r="HA468" i="2"/>
  <c r="HB468" i="2"/>
  <c r="HB15" i="2"/>
  <c r="HB16" i="2"/>
  <c r="HB17" i="2"/>
  <c r="HB18" i="2"/>
  <c r="HB19" i="2"/>
  <c r="HB20" i="2"/>
  <c r="HB21" i="2"/>
  <c r="HB22" i="2"/>
  <c r="HB23" i="2"/>
  <c r="HB24" i="2"/>
  <c r="HB25" i="2"/>
  <c r="HB26" i="2"/>
  <c r="HB27" i="2"/>
  <c r="HB28" i="2"/>
  <c r="HB29" i="2"/>
  <c r="HB30" i="2"/>
  <c r="HB31" i="2"/>
  <c r="HB32" i="2"/>
  <c r="HB33" i="2"/>
  <c r="HB34" i="2"/>
  <c r="HB35" i="2"/>
  <c r="HB36" i="2"/>
  <c r="HB37" i="2"/>
  <c r="HB38" i="2"/>
  <c r="HB39" i="2"/>
  <c r="HB40" i="2"/>
  <c r="HB41" i="2"/>
  <c r="HB42" i="2"/>
  <c r="HB43" i="2"/>
  <c r="HB44" i="2"/>
  <c r="HB45" i="2"/>
  <c r="HB46" i="2"/>
  <c r="HB47" i="2"/>
  <c r="HB48" i="2"/>
  <c r="HB49" i="2"/>
  <c r="HB50" i="2"/>
  <c r="HB14" i="2"/>
  <c r="HA14" i="2"/>
  <c r="GK52" i="2"/>
  <c r="GL52" i="2"/>
  <c r="GK53" i="2"/>
  <c r="GL53" i="2"/>
  <c r="GK54" i="2"/>
  <c r="GL54" i="2"/>
  <c r="GK55" i="2"/>
  <c r="GL55" i="2"/>
  <c r="GK56" i="2"/>
  <c r="GL56" i="2"/>
  <c r="GK57" i="2"/>
  <c r="GL57" i="2"/>
  <c r="GK58" i="2"/>
  <c r="GL58" i="2"/>
  <c r="GK59" i="2"/>
  <c r="GL59" i="2"/>
  <c r="GK60" i="2"/>
  <c r="GL60" i="2"/>
  <c r="GK61" i="2"/>
  <c r="GL61" i="2"/>
  <c r="GK62" i="2"/>
  <c r="GL62" i="2"/>
  <c r="GK63" i="2"/>
  <c r="GL63" i="2"/>
  <c r="GK64" i="2"/>
  <c r="GL64" i="2"/>
  <c r="GK65" i="2"/>
  <c r="GL65" i="2"/>
  <c r="GK66" i="2"/>
  <c r="GL66" i="2"/>
  <c r="GK67" i="2"/>
  <c r="GL67" i="2"/>
  <c r="GK68" i="2"/>
  <c r="GL68" i="2"/>
  <c r="GK69" i="2"/>
  <c r="GL69" i="2"/>
  <c r="GK70" i="2"/>
  <c r="GL70" i="2"/>
  <c r="GK71" i="2"/>
  <c r="GL71" i="2"/>
  <c r="GK72" i="2"/>
  <c r="GL72" i="2"/>
  <c r="GK73" i="2"/>
  <c r="GL73" i="2"/>
  <c r="GK74" i="2"/>
  <c r="GL74" i="2"/>
  <c r="GK75" i="2"/>
  <c r="GL75" i="2"/>
  <c r="GK76" i="2"/>
  <c r="GL76" i="2"/>
  <c r="GK77" i="2"/>
  <c r="GL77" i="2"/>
  <c r="GK78" i="2"/>
  <c r="GL78" i="2"/>
  <c r="GK79" i="2"/>
  <c r="GL79" i="2"/>
  <c r="GK80" i="2"/>
  <c r="GL80" i="2"/>
  <c r="GK81" i="2"/>
  <c r="GL81" i="2"/>
  <c r="GK82" i="2"/>
  <c r="GL82" i="2"/>
  <c r="GK83" i="2"/>
  <c r="GL83" i="2"/>
  <c r="GK84" i="2"/>
  <c r="GL84" i="2"/>
  <c r="GK85" i="2"/>
  <c r="GL85" i="2"/>
  <c r="GK86" i="2"/>
  <c r="GL86" i="2"/>
  <c r="GK87" i="2"/>
  <c r="GL87" i="2"/>
  <c r="GK88" i="2"/>
  <c r="GL88" i="2"/>
  <c r="GK90" i="2"/>
  <c r="GL90" i="2"/>
  <c r="GK91" i="2"/>
  <c r="GL91" i="2"/>
  <c r="GK92" i="2"/>
  <c r="GL92" i="2"/>
  <c r="GK93" i="2"/>
  <c r="GL93" i="2"/>
  <c r="GK94" i="2"/>
  <c r="GL94" i="2"/>
  <c r="GK95" i="2"/>
  <c r="GL95" i="2"/>
  <c r="GK96" i="2"/>
  <c r="GL96" i="2"/>
  <c r="GK97" i="2"/>
  <c r="GL97" i="2"/>
  <c r="GK98" i="2"/>
  <c r="GL98" i="2"/>
  <c r="GK99" i="2"/>
  <c r="GL99" i="2"/>
  <c r="GK100" i="2"/>
  <c r="GL100" i="2"/>
  <c r="GK101" i="2"/>
  <c r="GL101" i="2"/>
  <c r="GK102" i="2"/>
  <c r="GL102" i="2"/>
  <c r="GK103" i="2"/>
  <c r="GL103" i="2"/>
  <c r="GK104" i="2"/>
  <c r="GL104" i="2"/>
  <c r="GK105" i="2"/>
  <c r="GL105" i="2"/>
  <c r="GK106" i="2"/>
  <c r="GL106" i="2"/>
  <c r="GK107" i="2"/>
  <c r="GL107" i="2"/>
  <c r="GK108" i="2"/>
  <c r="GL108" i="2"/>
  <c r="GK109" i="2"/>
  <c r="GL109" i="2"/>
  <c r="GK110" i="2"/>
  <c r="GL110" i="2"/>
  <c r="GK111" i="2"/>
  <c r="GL111" i="2"/>
  <c r="GK112" i="2"/>
  <c r="GL112" i="2"/>
  <c r="GK113" i="2"/>
  <c r="GL113" i="2"/>
  <c r="GK114" i="2"/>
  <c r="GL114" i="2"/>
  <c r="GK115" i="2"/>
  <c r="GL115" i="2"/>
  <c r="GK116" i="2"/>
  <c r="GL116" i="2"/>
  <c r="GK117" i="2"/>
  <c r="GL117" i="2"/>
  <c r="GK118" i="2"/>
  <c r="GL118" i="2"/>
  <c r="GK119" i="2"/>
  <c r="GL119" i="2"/>
  <c r="GK120" i="2"/>
  <c r="GL120" i="2"/>
  <c r="GK121" i="2"/>
  <c r="GL121" i="2"/>
  <c r="GK122" i="2"/>
  <c r="GL122" i="2"/>
  <c r="GK123" i="2"/>
  <c r="GL123" i="2"/>
  <c r="GK124" i="2"/>
  <c r="GL124" i="2"/>
  <c r="GK125" i="2"/>
  <c r="GL125" i="2"/>
  <c r="GK126" i="2"/>
  <c r="GL126" i="2"/>
  <c r="GK128" i="2"/>
  <c r="GL128" i="2"/>
  <c r="GK129" i="2"/>
  <c r="GL129" i="2"/>
  <c r="GK130" i="2"/>
  <c r="GL130" i="2"/>
  <c r="GK131" i="2"/>
  <c r="GL131" i="2"/>
  <c r="GK132" i="2"/>
  <c r="GL132" i="2"/>
  <c r="GK133" i="2"/>
  <c r="GL133" i="2"/>
  <c r="GK134" i="2"/>
  <c r="GL134" i="2"/>
  <c r="GK135" i="2"/>
  <c r="GL135" i="2"/>
  <c r="GK136" i="2"/>
  <c r="GL136" i="2"/>
  <c r="GK137" i="2"/>
  <c r="GL137" i="2"/>
  <c r="GK138" i="2"/>
  <c r="GL138" i="2"/>
  <c r="GK139" i="2"/>
  <c r="GL139" i="2"/>
  <c r="GK140" i="2"/>
  <c r="GL140" i="2"/>
  <c r="GK141" i="2"/>
  <c r="GL141" i="2"/>
  <c r="GK142" i="2"/>
  <c r="GL142" i="2"/>
  <c r="GK143" i="2"/>
  <c r="GL143" i="2"/>
  <c r="GK144" i="2"/>
  <c r="GL144" i="2"/>
  <c r="GK145" i="2"/>
  <c r="GL145" i="2"/>
  <c r="GK146" i="2"/>
  <c r="GL146" i="2"/>
  <c r="GK147" i="2"/>
  <c r="GL147" i="2"/>
  <c r="GK148" i="2"/>
  <c r="GL148" i="2"/>
  <c r="GK149" i="2"/>
  <c r="GL149" i="2"/>
  <c r="GK150" i="2"/>
  <c r="GL150" i="2"/>
  <c r="GK151" i="2"/>
  <c r="GL151" i="2"/>
  <c r="GK152" i="2"/>
  <c r="GL152" i="2"/>
  <c r="GK153" i="2"/>
  <c r="GL153" i="2"/>
  <c r="GK154" i="2"/>
  <c r="GL154" i="2"/>
  <c r="GK155" i="2"/>
  <c r="GL155" i="2"/>
  <c r="GK156" i="2"/>
  <c r="GL156" i="2"/>
  <c r="GK157" i="2"/>
  <c r="GL157" i="2"/>
  <c r="GK158" i="2"/>
  <c r="GL158" i="2"/>
  <c r="GK159" i="2"/>
  <c r="GL159" i="2"/>
  <c r="GK160" i="2"/>
  <c r="GL160" i="2"/>
  <c r="GK161" i="2"/>
  <c r="GL161" i="2"/>
  <c r="GK162" i="2"/>
  <c r="GL162" i="2"/>
  <c r="GK163" i="2"/>
  <c r="GL163" i="2"/>
  <c r="GK164" i="2"/>
  <c r="GL164" i="2"/>
  <c r="GK166" i="2"/>
  <c r="GL166" i="2"/>
  <c r="GK167" i="2"/>
  <c r="GL167" i="2"/>
  <c r="GK168" i="2"/>
  <c r="GL168" i="2"/>
  <c r="GK169" i="2"/>
  <c r="GL169" i="2"/>
  <c r="GK170" i="2"/>
  <c r="GL170" i="2"/>
  <c r="GK171" i="2"/>
  <c r="GL171" i="2"/>
  <c r="GK172" i="2"/>
  <c r="GL172" i="2"/>
  <c r="GK173" i="2"/>
  <c r="GL173" i="2"/>
  <c r="GK174" i="2"/>
  <c r="GL174" i="2"/>
  <c r="GK175" i="2"/>
  <c r="GL175" i="2"/>
  <c r="GK176" i="2"/>
  <c r="GL176" i="2"/>
  <c r="GK177" i="2"/>
  <c r="GL177" i="2"/>
  <c r="GK178" i="2"/>
  <c r="GL178" i="2"/>
  <c r="GK179" i="2"/>
  <c r="GL179" i="2"/>
  <c r="GK180" i="2"/>
  <c r="GL180" i="2"/>
  <c r="GK181" i="2"/>
  <c r="GL181" i="2"/>
  <c r="GK182" i="2"/>
  <c r="GL182" i="2"/>
  <c r="GK183" i="2"/>
  <c r="GL183" i="2"/>
  <c r="GK184" i="2"/>
  <c r="GL184" i="2"/>
  <c r="GK185" i="2"/>
  <c r="GL185" i="2"/>
  <c r="GK186" i="2"/>
  <c r="GL186" i="2"/>
  <c r="GK187" i="2"/>
  <c r="GL187" i="2"/>
  <c r="GK188" i="2"/>
  <c r="GL188" i="2"/>
  <c r="GK189" i="2"/>
  <c r="GL189" i="2"/>
  <c r="GK190" i="2"/>
  <c r="GL190" i="2"/>
  <c r="GK191" i="2"/>
  <c r="GL191" i="2"/>
  <c r="GK192" i="2"/>
  <c r="GL192" i="2"/>
  <c r="GK193" i="2"/>
  <c r="GL193" i="2"/>
  <c r="GK194" i="2"/>
  <c r="GL194" i="2"/>
  <c r="GK195" i="2"/>
  <c r="GL195" i="2"/>
  <c r="GK196" i="2"/>
  <c r="GL196" i="2"/>
  <c r="GK197" i="2"/>
  <c r="GL197" i="2"/>
  <c r="GK198" i="2"/>
  <c r="GL198" i="2"/>
  <c r="GK199" i="2"/>
  <c r="GL199" i="2"/>
  <c r="GK200" i="2"/>
  <c r="GL200" i="2"/>
  <c r="GK201" i="2"/>
  <c r="GL201" i="2"/>
  <c r="GK202" i="2"/>
  <c r="GL202" i="2"/>
  <c r="GK204" i="2"/>
  <c r="GL204" i="2"/>
  <c r="GK205" i="2"/>
  <c r="GL205" i="2"/>
  <c r="GK206" i="2"/>
  <c r="GL206" i="2"/>
  <c r="GK207" i="2"/>
  <c r="GL207" i="2"/>
  <c r="GK208" i="2"/>
  <c r="GL208" i="2"/>
  <c r="GK209" i="2"/>
  <c r="GL209" i="2"/>
  <c r="GK210" i="2"/>
  <c r="GL210" i="2"/>
  <c r="GK211" i="2"/>
  <c r="GL211" i="2"/>
  <c r="GK212" i="2"/>
  <c r="GL212" i="2"/>
  <c r="GK213" i="2"/>
  <c r="GL213" i="2"/>
  <c r="GK214" i="2"/>
  <c r="GL214" i="2"/>
  <c r="GK215" i="2"/>
  <c r="GL215" i="2"/>
  <c r="GK216" i="2"/>
  <c r="GL216" i="2"/>
  <c r="GK217" i="2"/>
  <c r="GL217" i="2"/>
  <c r="GK218" i="2"/>
  <c r="GL218" i="2"/>
  <c r="GK219" i="2"/>
  <c r="GL219" i="2"/>
  <c r="GK220" i="2"/>
  <c r="GL220" i="2"/>
  <c r="GK221" i="2"/>
  <c r="GL221" i="2"/>
  <c r="GK222" i="2"/>
  <c r="GL222" i="2"/>
  <c r="GK223" i="2"/>
  <c r="GL223" i="2"/>
  <c r="GK224" i="2"/>
  <c r="GL224" i="2"/>
  <c r="GK225" i="2"/>
  <c r="GL225" i="2"/>
  <c r="GK226" i="2"/>
  <c r="GL226" i="2"/>
  <c r="GK227" i="2"/>
  <c r="GL227" i="2"/>
  <c r="GK228" i="2"/>
  <c r="GL228" i="2"/>
  <c r="GK229" i="2"/>
  <c r="GL229" i="2"/>
  <c r="GK230" i="2"/>
  <c r="GL230" i="2"/>
  <c r="GK231" i="2"/>
  <c r="GL231" i="2"/>
  <c r="GK232" i="2"/>
  <c r="GL232" i="2"/>
  <c r="GK233" i="2"/>
  <c r="GL233" i="2"/>
  <c r="GK234" i="2"/>
  <c r="GL234" i="2"/>
  <c r="GK235" i="2"/>
  <c r="GL235" i="2"/>
  <c r="GK236" i="2"/>
  <c r="GL236" i="2"/>
  <c r="GK237" i="2"/>
  <c r="GL237" i="2"/>
  <c r="GK238" i="2"/>
  <c r="GL238" i="2"/>
  <c r="GK239" i="2"/>
  <c r="GL239" i="2"/>
  <c r="GK240" i="2"/>
  <c r="GL240" i="2"/>
  <c r="GK242" i="2"/>
  <c r="GL242" i="2"/>
  <c r="GK243" i="2"/>
  <c r="GL243" i="2"/>
  <c r="GK244" i="2"/>
  <c r="GL244" i="2"/>
  <c r="GK245" i="2"/>
  <c r="GL245" i="2"/>
  <c r="GK246" i="2"/>
  <c r="GL246" i="2"/>
  <c r="GK247" i="2"/>
  <c r="GL247" i="2"/>
  <c r="GK248" i="2"/>
  <c r="GL248" i="2"/>
  <c r="GK249" i="2"/>
  <c r="GL249" i="2"/>
  <c r="GK250" i="2"/>
  <c r="GL250" i="2"/>
  <c r="GK251" i="2"/>
  <c r="GL251" i="2"/>
  <c r="GK252" i="2"/>
  <c r="GL252" i="2"/>
  <c r="GK253" i="2"/>
  <c r="GL253" i="2"/>
  <c r="GK254" i="2"/>
  <c r="GL254" i="2"/>
  <c r="GK255" i="2"/>
  <c r="GL255" i="2"/>
  <c r="GK256" i="2"/>
  <c r="GL256" i="2"/>
  <c r="GK257" i="2"/>
  <c r="GL257" i="2"/>
  <c r="GK258" i="2"/>
  <c r="GL258" i="2"/>
  <c r="GK259" i="2"/>
  <c r="GL259" i="2"/>
  <c r="GK260" i="2"/>
  <c r="GL260" i="2"/>
  <c r="GK261" i="2"/>
  <c r="GL261" i="2"/>
  <c r="GK262" i="2"/>
  <c r="GL262" i="2"/>
  <c r="GK263" i="2"/>
  <c r="GL263" i="2"/>
  <c r="GK264" i="2"/>
  <c r="GL264" i="2"/>
  <c r="GK265" i="2"/>
  <c r="GL265" i="2"/>
  <c r="GK266" i="2"/>
  <c r="GL266" i="2"/>
  <c r="GK267" i="2"/>
  <c r="GL267" i="2"/>
  <c r="GK268" i="2"/>
  <c r="GL268" i="2"/>
  <c r="GK269" i="2"/>
  <c r="GL269" i="2"/>
  <c r="GK270" i="2"/>
  <c r="GL270" i="2"/>
  <c r="GK271" i="2"/>
  <c r="GL271" i="2"/>
  <c r="GK272" i="2"/>
  <c r="GL272" i="2"/>
  <c r="GK273" i="2"/>
  <c r="GL273" i="2"/>
  <c r="GK274" i="2"/>
  <c r="GL274" i="2"/>
  <c r="GK275" i="2"/>
  <c r="GL275" i="2"/>
  <c r="GK276" i="2"/>
  <c r="GL276" i="2"/>
  <c r="GK277" i="2"/>
  <c r="GL277" i="2"/>
  <c r="GK278" i="2"/>
  <c r="GL278" i="2"/>
  <c r="GK280" i="2"/>
  <c r="GL280" i="2"/>
  <c r="GK281" i="2"/>
  <c r="GL281" i="2"/>
  <c r="GK282" i="2"/>
  <c r="GL282" i="2"/>
  <c r="GK283" i="2"/>
  <c r="GL283" i="2"/>
  <c r="GK284" i="2"/>
  <c r="GL284" i="2"/>
  <c r="GK285" i="2"/>
  <c r="GL285" i="2"/>
  <c r="GK286" i="2"/>
  <c r="GL286" i="2"/>
  <c r="GK287" i="2"/>
  <c r="GL287" i="2"/>
  <c r="GK288" i="2"/>
  <c r="GL288" i="2"/>
  <c r="GK289" i="2"/>
  <c r="GL289" i="2"/>
  <c r="GK290" i="2"/>
  <c r="GL290" i="2"/>
  <c r="GK291" i="2"/>
  <c r="GL291" i="2"/>
  <c r="GK292" i="2"/>
  <c r="GL292" i="2"/>
  <c r="GK293" i="2"/>
  <c r="GL293" i="2"/>
  <c r="GK294" i="2"/>
  <c r="GL294" i="2"/>
  <c r="GK295" i="2"/>
  <c r="GL295" i="2"/>
  <c r="GK296" i="2"/>
  <c r="GL296" i="2"/>
  <c r="GK297" i="2"/>
  <c r="GL297" i="2"/>
  <c r="GK298" i="2"/>
  <c r="GL298" i="2"/>
  <c r="GK299" i="2"/>
  <c r="GL299" i="2"/>
  <c r="GK300" i="2"/>
  <c r="GL300" i="2"/>
  <c r="GK301" i="2"/>
  <c r="GL301" i="2"/>
  <c r="GK302" i="2"/>
  <c r="GL302" i="2"/>
  <c r="GK303" i="2"/>
  <c r="GL303" i="2"/>
  <c r="GK304" i="2"/>
  <c r="GL304" i="2"/>
  <c r="GK305" i="2"/>
  <c r="GL305" i="2"/>
  <c r="GK306" i="2"/>
  <c r="GL306" i="2"/>
  <c r="GK307" i="2"/>
  <c r="GL307" i="2"/>
  <c r="GK308" i="2"/>
  <c r="GL308" i="2"/>
  <c r="GK309" i="2"/>
  <c r="GL309" i="2"/>
  <c r="GK310" i="2"/>
  <c r="GL310" i="2"/>
  <c r="GK311" i="2"/>
  <c r="GL311" i="2"/>
  <c r="GK312" i="2"/>
  <c r="GL312" i="2"/>
  <c r="GK313" i="2"/>
  <c r="GL313" i="2"/>
  <c r="GK314" i="2"/>
  <c r="GL314" i="2"/>
  <c r="GK315" i="2"/>
  <c r="GL315" i="2"/>
  <c r="GK316" i="2"/>
  <c r="GL316" i="2"/>
  <c r="GK318" i="2"/>
  <c r="GL318" i="2"/>
  <c r="GK319" i="2"/>
  <c r="GL319" i="2"/>
  <c r="GK320" i="2"/>
  <c r="GL320" i="2"/>
  <c r="GK321" i="2"/>
  <c r="GL321" i="2"/>
  <c r="GK322" i="2"/>
  <c r="GL322" i="2"/>
  <c r="GK323" i="2"/>
  <c r="GL323" i="2"/>
  <c r="GK324" i="2"/>
  <c r="GL324" i="2"/>
  <c r="GK325" i="2"/>
  <c r="GL325" i="2"/>
  <c r="GK326" i="2"/>
  <c r="GL326" i="2"/>
  <c r="GK327" i="2"/>
  <c r="GL327" i="2"/>
  <c r="GK328" i="2"/>
  <c r="GL328" i="2"/>
  <c r="GK329" i="2"/>
  <c r="GL329" i="2"/>
  <c r="GK330" i="2"/>
  <c r="GL330" i="2"/>
  <c r="GK331" i="2"/>
  <c r="GL331" i="2"/>
  <c r="GK332" i="2"/>
  <c r="GL332" i="2"/>
  <c r="GK333" i="2"/>
  <c r="GL333" i="2"/>
  <c r="GK334" i="2"/>
  <c r="GL334" i="2"/>
  <c r="GK335" i="2"/>
  <c r="GL335" i="2"/>
  <c r="GK336" i="2"/>
  <c r="GL336" i="2"/>
  <c r="GK337" i="2"/>
  <c r="GL337" i="2"/>
  <c r="GK338" i="2"/>
  <c r="GL338" i="2"/>
  <c r="GK339" i="2"/>
  <c r="GL339" i="2"/>
  <c r="GK340" i="2"/>
  <c r="GL340" i="2"/>
  <c r="GK341" i="2"/>
  <c r="GL341" i="2"/>
  <c r="GK342" i="2"/>
  <c r="GL342" i="2"/>
  <c r="GK343" i="2"/>
  <c r="GL343" i="2"/>
  <c r="GK344" i="2"/>
  <c r="GL344" i="2"/>
  <c r="GK345" i="2"/>
  <c r="GL345" i="2"/>
  <c r="GK346" i="2"/>
  <c r="GL346" i="2"/>
  <c r="GK347" i="2"/>
  <c r="GL347" i="2"/>
  <c r="GK348" i="2"/>
  <c r="GL348" i="2"/>
  <c r="GK349" i="2"/>
  <c r="GL349" i="2"/>
  <c r="GK350" i="2"/>
  <c r="GL350" i="2"/>
  <c r="GK351" i="2"/>
  <c r="GL351" i="2"/>
  <c r="GK352" i="2"/>
  <c r="GL352" i="2"/>
  <c r="GK353" i="2"/>
  <c r="GL353" i="2"/>
  <c r="GK354" i="2"/>
  <c r="GL354" i="2"/>
  <c r="GK356" i="2"/>
  <c r="GL356" i="2"/>
  <c r="GK357" i="2"/>
  <c r="GL357" i="2"/>
  <c r="GK358" i="2"/>
  <c r="GL358" i="2"/>
  <c r="GK359" i="2"/>
  <c r="GL359" i="2"/>
  <c r="GK360" i="2"/>
  <c r="GL360" i="2"/>
  <c r="GK361" i="2"/>
  <c r="GL361" i="2"/>
  <c r="GK362" i="2"/>
  <c r="GL362" i="2"/>
  <c r="GK363" i="2"/>
  <c r="GL363" i="2"/>
  <c r="GK364" i="2"/>
  <c r="GL364" i="2"/>
  <c r="GK365" i="2"/>
  <c r="GL365" i="2"/>
  <c r="GK366" i="2"/>
  <c r="GL366" i="2"/>
  <c r="GK367" i="2"/>
  <c r="GL367" i="2"/>
  <c r="GK368" i="2"/>
  <c r="GL368" i="2"/>
  <c r="GK369" i="2"/>
  <c r="GL369" i="2"/>
  <c r="GK370" i="2"/>
  <c r="GL370" i="2"/>
  <c r="GK371" i="2"/>
  <c r="GL371" i="2"/>
  <c r="GK372" i="2"/>
  <c r="GL372" i="2"/>
  <c r="GK373" i="2"/>
  <c r="GL373" i="2"/>
  <c r="GK374" i="2"/>
  <c r="GL374" i="2"/>
  <c r="GK375" i="2"/>
  <c r="GL375" i="2"/>
  <c r="GK376" i="2"/>
  <c r="GL376" i="2"/>
  <c r="GK377" i="2"/>
  <c r="GL377" i="2"/>
  <c r="GK378" i="2"/>
  <c r="GL378" i="2"/>
  <c r="GK379" i="2"/>
  <c r="GL379" i="2"/>
  <c r="GK380" i="2"/>
  <c r="GL380" i="2"/>
  <c r="GK381" i="2"/>
  <c r="GL381" i="2"/>
  <c r="GK382" i="2"/>
  <c r="GL382" i="2"/>
  <c r="GK383" i="2"/>
  <c r="GL383" i="2"/>
  <c r="GK384" i="2"/>
  <c r="GL384" i="2"/>
  <c r="GK385" i="2"/>
  <c r="GL385" i="2"/>
  <c r="GK386" i="2"/>
  <c r="GL386" i="2"/>
  <c r="GK387" i="2"/>
  <c r="GL387" i="2"/>
  <c r="GK388" i="2"/>
  <c r="GL388" i="2"/>
  <c r="GK389" i="2"/>
  <c r="GL389" i="2"/>
  <c r="GK390" i="2"/>
  <c r="GL390" i="2"/>
  <c r="GK391" i="2"/>
  <c r="GL391" i="2"/>
  <c r="GK392" i="2"/>
  <c r="GL392" i="2"/>
  <c r="GK394" i="2"/>
  <c r="GL394" i="2"/>
  <c r="GK395" i="2"/>
  <c r="GL395" i="2"/>
  <c r="GK396" i="2"/>
  <c r="GL396" i="2"/>
  <c r="GK397" i="2"/>
  <c r="GL397" i="2"/>
  <c r="GK398" i="2"/>
  <c r="GL398" i="2"/>
  <c r="GK399" i="2"/>
  <c r="GL399" i="2"/>
  <c r="GK400" i="2"/>
  <c r="GL400" i="2"/>
  <c r="GK401" i="2"/>
  <c r="GL401" i="2"/>
  <c r="GK402" i="2"/>
  <c r="GL402" i="2"/>
  <c r="GK403" i="2"/>
  <c r="GL403" i="2"/>
  <c r="GK404" i="2"/>
  <c r="GL404" i="2"/>
  <c r="GK405" i="2"/>
  <c r="GL405" i="2"/>
  <c r="GK406" i="2"/>
  <c r="GL406" i="2"/>
  <c r="GK407" i="2"/>
  <c r="GL407" i="2"/>
  <c r="GK408" i="2"/>
  <c r="GL408" i="2"/>
  <c r="GK409" i="2"/>
  <c r="GL409" i="2"/>
  <c r="GK410" i="2"/>
  <c r="GL410" i="2"/>
  <c r="GK411" i="2"/>
  <c r="GL411" i="2"/>
  <c r="GK412" i="2"/>
  <c r="GL412" i="2"/>
  <c r="GK413" i="2"/>
  <c r="GL413" i="2"/>
  <c r="GK414" i="2"/>
  <c r="GL414" i="2"/>
  <c r="GK415" i="2"/>
  <c r="GL415" i="2"/>
  <c r="GK416" i="2"/>
  <c r="GL416" i="2"/>
  <c r="GK417" i="2"/>
  <c r="GL417" i="2"/>
  <c r="GK418" i="2"/>
  <c r="GL418" i="2"/>
  <c r="GK419" i="2"/>
  <c r="GL419" i="2"/>
  <c r="GK420" i="2"/>
  <c r="GL420" i="2"/>
  <c r="GK421" i="2"/>
  <c r="GL421" i="2"/>
  <c r="GK422" i="2"/>
  <c r="GL422" i="2"/>
  <c r="GK423" i="2"/>
  <c r="GL423" i="2"/>
  <c r="GK424" i="2"/>
  <c r="GL424" i="2"/>
  <c r="GK425" i="2"/>
  <c r="GL425" i="2"/>
  <c r="GK426" i="2"/>
  <c r="GL426" i="2"/>
  <c r="GK427" i="2"/>
  <c r="GL427" i="2"/>
  <c r="GK428" i="2"/>
  <c r="GL428" i="2"/>
  <c r="GK429" i="2"/>
  <c r="GL429" i="2"/>
  <c r="GK430" i="2"/>
  <c r="GL430" i="2"/>
  <c r="GK432" i="2"/>
  <c r="GL432" i="2"/>
  <c r="GK433" i="2"/>
  <c r="GL433" i="2"/>
  <c r="GK434" i="2"/>
  <c r="GL434" i="2"/>
  <c r="GK435" i="2"/>
  <c r="GL435" i="2"/>
  <c r="GK436" i="2"/>
  <c r="GL436" i="2"/>
  <c r="GK437" i="2"/>
  <c r="GL437" i="2"/>
  <c r="GK438" i="2"/>
  <c r="GL438" i="2"/>
  <c r="GK439" i="2"/>
  <c r="GL439" i="2"/>
  <c r="GK440" i="2"/>
  <c r="GL440" i="2"/>
  <c r="GK441" i="2"/>
  <c r="GL441" i="2"/>
  <c r="GK442" i="2"/>
  <c r="GL442" i="2"/>
  <c r="GK443" i="2"/>
  <c r="GL443" i="2"/>
  <c r="GK444" i="2"/>
  <c r="GL444" i="2"/>
  <c r="GK445" i="2"/>
  <c r="GL445" i="2"/>
  <c r="GK446" i="2"/>
  <c r="GL446" i="2"/>
  <c r="GK447" i="2"/>
  <c r="GL447" i="2"/>
  <c r="GK448" i="2"/>
  <c r="GL448" i="2"/>
  <c r="GK449" i="2"/>
  <c r="GL449" i="2"/>
  <c r="GK450" i="2"/>
  <c r="GL450" i="2"/>
  <c r="GK451" i="2"/>
  <c r="GL451" i="2"/>
  <c r="GK452" i="2"/>
  <c r="GL452" i="2"/>
  <c r="GK453" i="2"/>
  <c r="GL453" i="2"/>
  <c r="GK454" i="2"/>
  <c r="GL454" i="2"/>
  <c r="GK455" i="2"/>
  <c r="GL455" i="2"/>
  <c r="GK456" i="2"/>
  <c r="GL456" i="2"/>
  <c r="GK457" i="2"/>
  <c r="GL457" i="2"/>
  <c r="GK458" i="2"/>
  <c r="GL458" i="2"/>
  <c r="GK459" i="2"/>
  <c r="GL459" i="2"/>
  <c r="GK460" i="2"/>
  <c r="GL460" i="2"/>
  <c r="GK461" i="2"/>
  <c r="GL461" i="2"/>
  <c r="GK462" i="2"/>
  <c r="GL462" i="2"/>
  <c r="GK463" i="2"/>
  <c r="GL463" i="2"/>
  <c r="GK464" i="2"/>
  <c r="GL464" i="2"/>
  <c r="GK465" i="2"/>
  <c r="GL465" i="2"/>
  <c r="GK466" i="2"/>
  <c r="GL466" i="2"/>
  <c r="GK467" i="2"/>
  <c r="GL467" i="2"/>
  <c r="GK468" i="2"/>
  <c r="GL468" i="2"/>
  <c r="GL15" i="2"/>
  <c r="GL16" i="2"/>
  <c r="GL17" i="2"/>
  <c r="GL18" i="2"/>
  <c r="GL19" i="2"/>
  <c r="GL20" i="2"/>
  <c r="GL21" i="2"/>
  <c r="GL22" i="2"/>
  <c r="GL23" i="2"/>
  <c r="GL24" i="2"/>
  <c r="GL25" i="2"/>
  <c r="GL26" i="2"/>
  <c r="GL27" i="2"/>
  <c r="GL28" i="2"/>
  <c r="GL29" i="2"/>
  <c r="GL30" i="2"/>
  <c r="GL31" i="2"/>
  <c r="GL32" i="2"/>
  <c r="GL33" i="2"/>
  <c r="GL34" i="2"/>
  <c r="GL35" i="2"/>
  <c r="GL36" i="2"/>
  <c r="GL37" i="2"/>
  <c r="GL38" i="2"/>
  <c r="GL39" i="2"/>
  <c r="GL40" i="2"/>
  <c r="GL41" i="2"/>
  <c r="GL42" i="2"/>
  <c r="GL43" i="2"/>
  <c r="GL44" i="2"/>
  <c r="GL45" i="2"/>
  <c r="GL46" i="2"/>
  <c r="GL47" i="2"/>
  <c r="GL48" i="2"/>
  <c r="GL49" i="2"/>
  <c r="GL50" i="2"/>
  <c r="GL14" i="2"/>
  <c r="GK14" i="2"/>
  <c r="FU52" i="2"/>
  <c r="FV52" i="2"/>
  <c r="FU53" i="2"/>
  <c r="FV53" i="2"/>
  <c r="FU54" i="2"/>
  <c r="FV54" i="2"/>
  <c r="FU55" i="2"/>
  <c r="FV55" i="2"/>
  <c r="FU56" i="2"/>
  <c r="FV56" i="2"/>
  <c r="FU57" i="2"/>
  <c r="FV57" i="2"/>
  <c r="FU58" i="2"/>
  <c r="FV58" i="2"/>
  <c r="FU59" i="2"/>
  <c r="FV59" i="2"/>
  <c r="FU60" i="2"/>
  <c r="FV60" i="2"/>
  <c r="FU61" i="2"/>
  <c r="FV61" i="2"/>
  <c r="FU62" i="2"/>
  <c r="FV62" i="2"/>
  <c r="FU63" i="2"/>
  <c r="FV63" i="2"/>
  <c r="FU64" i="2"/>
  <c r="FV64" i="2"/>
  <c r="FU65" i="2"/>
  <c r="FV65" i="2"/>
  <c r="FU66" i="2"/>
  <c r="FV66" i="2"/>
  <c r="FU67" i="2"/>
  <c r="FV67" i="2"/>
  <c r="FU68" i="2"/>
  <c r="FV68" i="2"/>
  <c r="FU69" i="2"/>
  <c r="FV69" i="2"/>
  <c r="FU70" i="2"/>
  <c r="FV70" i="2"/>
  <c r="FU71" i="2"/>
  <c r="FV71" i="2"/>
  <c r="FU72" i="2"/>
  <c r="FV72" i="2"/>
  <c r="FU73" i="2"/>
  <c r="FV73" i="2"/>
  <c r="FU74" i="2"/>
  <c r="FV74" i="2"/>
  <c r="FU75" i="2"/>
  <c r="FV75" i="2"/>
  <c r="FU76" i="2"/>
  <c r="FV76" i="2"/>
  <c r="FU77" i="2"/>
  <c r="FV77" i="2"/>
  <c r="FU78" i="2"/>
  <c r="FV78" i="2"/>
  <c r="FU79" i="2"/>
  <c r="FV79" i="2"/>
  <c r="FU80" i="2"/>
  <c r="FV80" i="2"/>
  <c r="FU81" i="2"/>
  <c r="FV81" i="2"/>
  <c r="FU82" i="2"/>
  <c r="FV82" i="2"/>
  <c r="FU83" i="2"/>
  <c r="FV83" i="2"/>
  <c r="FU84" i="2"/>
  <c r="FV84" i="2"/>
  <c r="FU85" i="2"/>
  <c r="FV85" i="2"/>
  <c r="FU86" i="2"/>
  <c r="FV86" i="2"/>
  <c r="FU87" i="2"/>
  <c r="FV87" i="2"/>
  <c r="FU88" i="2"/>
  <c r="FV88" i="2"/>
  <c r="FU90" i="2"/>
  <c r="FV90" i="2"/>
  <c r="FU91" i="2"/>
  <c r="FV91" i="2"/>
  <c r="FU92" i="2"/>
  <c r="FV92" i="2"/>
  <c r="FU93" i="2"/>
  <c r="FV93" i="2"/>
  <c r="FU94" i="2"/>
  <c r="FV94" i="2"/>
  <c r="FU95" i="2"/>
  <c r="FV95" i="2"/>
  <c r="FU96" i="2"/>
  <c r="FV96" i="2"/>
  <c r="FU97" i="2"/>
  <c r="FV97" i="2"/>
  <c r="FU98" i="2"/>
  <c r="FV98" i="2"/>
  <c r="FU99" i="2"/>
  <c r="FV99" i="2"/>
  <c r="FU100" i="2"/>
  <c r="FV100" i="2"/>
  <c r="FU101" i="2"/>
  <c r="FV101" i="2"/>
  <c r="FU102" i="2"/>
  <c r="FV102" i="2"/>
  <c r="FU103" i="2"/>
  <c r="FV103" i="2"/>
  <c r="FU104" i="2"/>
  <c r="FV104" i="2"/>
  <c r="FU105" i="2"/>
  <c r="FV105" i="2"/>
  <c r="FU106" i="2"/>
  <c r="FV106" i="2"/>
  <c r="FU107" i="2"/>
  <c r="FV107" i="2"/>
  <c r="FU108" i="2"/>
  <c r="FV108" i="2"/>
  <c r="FU109" i="2"/>
  <c r="FV109" i="2"/>
  <c r="FU110" i="2"/>
  <c r="FV110" i="2"/>
  <c r="FU112" i="2"/>
  <c r="FV112" i="2"/>
  <c r="FU113" i="2"/>
  <c r="FV113" i="2"/>
  <c r="FU114" i="2"/>
  <c r="FV114" i="2"/>
  <c r="FU115" i="2"/>
  <c r="FV115" i="2"/>
  <c r="FU116" i="2"/>
  <c r="FV116" i="2"/>
  <c r="FU117" i="2"/>
  <c r="FV117" i="2"/>
  <c r="FU118" i="2"/>
  <c r="FV118" i="2"/>
  <c r="FU119" i="2"/>
  <c r="FV119" i="2"/>
  <c r="FU120" i="2"/>
  <c r="FV120" i="2"/>
  <c r="FU121" i="2"/>
  <c r="FV121" i="2"/>
  <c r="FU122" i="2"/>
  <c r="FV122" i="2"/>
  <c r="FU123" i="2"/>
  <c r="FV123" i="2"/>
  <c r="FU124" i="2"/>
  <c r="FV124" i="2"/>
  <c r="FU125" i="2"/>
  <c r="FV125" i="2"/>
  <c r="FU126" i="2"/>
  <c r="FV126" i="2"/>
  <c r="FU128" i="2"/>
  <c r="FV128" i="2"/>
  <c r="FU129" i="2"/>
  <c r="FV129" i="2"/>
  <c r="FU130" i="2"/>
  <c r="FV130" i="2"/>
  <c r="FU131" i="2"/>
  <c r="FV131" i="2"/>
  <c r="FU132" i="2"/>
  <c r="FV132" i="2"/>
  <c r="FU133" i="2"/>
  <c r="FV133" i="2"/>
  <c r="FU134" i="2"/>
  <c r="FV134" i="2"/>
  <c r="FU135" i="2"/>
  <c r="FV135" i="2"/>
  <c r="FU136" i="2"/>
  <c r="FV136" i="2"/>
  <c r="FU137" i="2"/>
  <c r="FV137" i="2"/>
  <c r="FU138" i="2"/>
  <c r="FV138" i="2"/>
  <c r="FU139" i="2"/>
  <c r="FV139" i="2"/>
  <c r="FU140" i="2"/>
  <c r="FV140" i="2"/>
  <c r="FU141" i="2"/>
  <c r="FV141" i="2"/>
  <c r="FU142" i="2"/>
  <c r="FV142" i="2"/>
  <c r="FU143" i="2"/>
  <c r="FV143" i="2"/>
  <c r="FU144" i="2"/>
  <c r="FV144" i="2"/>
  <c r="FU145" i="2"/>
  <c r="FV145" i="2"/>
  <c r="FU146" i="2"/>
  <c r="FU147" i="2"/>
  <c r="FV147" i="2"/>
  <c r="FU148" i="2"/>
  <c r="FV148" i="2"/>
  <c r="FU149" i="2"/>
  <c r="FV149" i="2"/>
  <c r="FU150" i="2"/>
  <c r="FV150" i="2"/>
  <c r="FU151" i="2"/>
  <c r="FV151" i="2"/>
  <c r="FU152" i="2"/>
  <c r="FV152" i="2"/>
  <c r="FU153" i="2"/>
  <c r="FV153" i="2"/>
  <c r="FU154" i="2"/>
  <c r="FV154" i="2"/>
  <c r="FU155" i="2"/>
  <c r="FV155" i="2"/>
  <c r="FU156" i="2"/>
  <c r="FV156" i="2"/>
  <c r="FU157" i="2"/>
  <c r="FV157" i="2"/>
  <c r="FU158" i="2"/>
  <c r="FV158" i="2"/>
  <c r="FU159" i="2"/>
  <c r="FV159" i="2"/>
  <c r="FU160" i="2"/>
  <c r="FV160" i="2"/>
  <c r="FU161" i="2"/>
  <c r="FV161" i="2"/>
  <c r="FU162" i="2"/>
  <c r="FV162" i="2"/>
  <c r="FU163" i="2"/>
  <c r="FV163" i="2"/>
  <c r="FU164" i="2"/>
  <c r="FV164" i="2"/>
  <c r="FU166" i="2"/>
  <c r="FV166" i="2"/>
  <c r="FU167" i="2"/>
  <c r="FV167" i="2"/>
  <c r="FU168" i="2"/>
  <c r="FV168" i="2"/>
  <c r="FU169" i="2"/>
  <c r="FV169" i="2"/>
  <c r="FU170" i="2"/>
  <c r="FV170" i="2"/>
  <c r="FU171" i="2"/>
  <c r="FV171" i="2"/>
  <c r="FU172" i="2"/>
  <c r="FV172" i="2"/>
  <c r="FU173" i="2"/>
  <c r="FV173" i="2"/>
  <c r="FU174" i="2"/>
  <c r="FV174" i="2"/>
  <c r="FU175" i="2"/>
  <c r="FV175" i="2"/>
  <c r="FU176" i="2"/>
  <c r="FV176" i="2"/>
  <c r="FU177" i="2"/>
  <c r="FV177" i="2"/>
  <c r="FU178" i="2"/>
  <c r="FV178" i="2"/>
  <c r="FU179" i="2"/>
  <c r="FV179" i="2"/>
  <c r="FU180" i="2"/>
  <c r="FV180" i="2"/>
  <c r="FU181" i="2"/>
  <c r="FV181" i="2"/>
  <c r="FU182" i="2"/>
  <c r="FV182" i="2"/>
  <c r="FU183" i="2"/>
  <c r="FV183" i="2"/>
  <c r="FU184" i="2"/>
  <c r="FV184" i="2"/>
  <c r="FU185" i="2"/>
  <c r="FV185" i="2"/>
  <c r="FU186" i="2"/>
  <c r="FV186" i="2"/>
  <c r="FU187" i="2"/>
  <c r="FV187" i="2"/>
  <c r="FU188" i="2"/>
  <c r="FV188" i="2"/>
  <c r="FU189" i="2"/>
  <c r="FV189" i="2"/>
  <c r="FU190" i="2"/>
  <c r="FV190" i="2"/>
  <c r="FU191" i="2"/>
  <c r="FV191" i="2"/>
  <c r="FU192" i="2"/>
  <c r="FV192" i="2"/>
  <c r="FU193" i="2"/>
  <c r="FV193" i="2"/>
  <c r="FU194" i="2"/>
  <c r="FV194" i="2"/>
  <c r="FU195" i="2"/>
  <c r="FV195" i="2"/>
  <c r="FU196" i="2"/>
  <c r="FV196" i="2"/>
  <c r="FU197" i="2"/>
  <c r="FV197" i="2"/>
  <c r="FU198" i="2"/>
  <c r="FV198" i="2"/>
  <c r="FU199" i="2"/>
  <c r="FV199" i="2"/>
  <c r="FU200" i="2"/>
  <c r="FV200" i="2"/>
  <c r="FU201" i="2"/>
  <c r="FV201" i="2"/>
  <c r="FU202" i="2"/>
  <c r="FV202" i="2"/>
  <c r="FU204" i="2"/>
  <c r="FV204" i="2"/>
  <c r="FU205" i="2"/>
  <c r="FV205" i="2"/>
  <c r="FU206" i="2"/>
  <c r="FV206" i="2"/>
  <c r="FU207" i="2"/>
  <c r="FV207" i="2"/>
  <c r="FU208" i="2"/>
  <c r="FV208" i="2"/>
  <c r="FU209" i="2"/>
  <c r="FV209" i="2"/>
  <c r="FU210" i="2"/>
  <c r="FV210" i="2"/>
  <c r="FU211" i="2"/>
  <c r="FV211" i="2"/>
  <c r="FU212" i="2"/>
  <c r="FV212" i="2"/>
  <c r="FU213" i="2"/>
  <c r="FV213" i="2"/>
  <c r="FU214" i="2"/>
  <c r="FV214" i="2"/>
  <c r="FU215" i="2"/>
  <c r="FV215" i="2"/>
  <c r="FU216" i="2"/>
  <c r="FV216" i="2"/>
  <c r="FU217" i="2"/>
  <c r="FV217" i="2"/>
  <c r="FU218" i="2"/>
  <c r="FV218" i="2"/>
  <c r="FU219" i="2"/>
  <c r="FV219" i="2"/>
  <c r="FU220" i="2"/>
  <c r="FV220" i="2"/>
  <c r="FU221" i="2"/>
  <c r="FV221" i="2"/>
  <c r="FU222" i="2"/>
  <c r="FV222" i="2"/>
  <c r="FU223" i="2"/>
  <c r="FV223" i="2"/>
  <c r="FU224" i="2"/>
  <c r="FV224" i="2"/>
  <c r="FU225" i="2"/>
  <c r="FV225" i="2"/>
  <c r="FU226" i="2"/>
  <c r="FV226" i="2"/>
  <c r="FU227" i="2"/>
  <c r="FV227" i="2"/>
  <c r="FU228" i="2"/>
  <c r="FV228" i="2"/>
  <c r="FU229" i="2"/>
  <c r="FV229" i="2"/>
  <c r="FU230" i="2"/>
  <c r="FV230" i="2"/>
  <c r="FU231" i="2"/>
  <c r="FV231" i="2"/>
  <c r="FU232" i="2"/>
  <c r="FV232" i="2"/>
  <c r="FU233" i="2"/>
  <c r="FV233" i="2"/>
  <c r="FU234" i="2"/>
  <c r="FV234" i="2"/>
  <c r="FU235" i="2"/>
  <c r="FV235" i="2"/>
  <c r="FU236" i="2"/>
  <c r="FV236" i="2"/>
  <c r="FU237" i="2"/>
  <c r="FV237" i="2"/>
  <c r="FU238" i="2"/>
  <c r="FV238" i="2"/>
  <c r="FU239" i="2"/>
  <c r="FV239" i="2"/>
  <c r="FU240" i="2"/>
  <c r="FV240" i="2"/>
  <c r="FU242" i="2"/>
  <c r="FV242" i="2"/>
  <c r="FU243" i="2"/>
  <c r="FV243" i="2"/>
  <c r="FU244" i="2"/>
  <c r="FV244" i="2"/>
  <c r="FU245" i="2"/>
  <c r="FV245" i="2"/>
  <c r="FU246" i="2"/>
  <c r="FV246" i="2"/>
  <c r="FU247" i="2"/>
  <c r="FV247" i="2"/>
  <c r="FU248" i="2"/>
  <c r="FV248" i="2"/>
  <c r="FU249" i="2"/>
  <c r="FV249" i="2"/>
  <c r="FU250" i="2"/>
  <c r="FV250" i="2"/>
  <c r="FU251" i="2"/>
  <c r="FV251" i="2"/>
  <c r="FU252" i="2"/>
  <c r="FV252" i="2"/>
  <c r="FU253" i="2"/>
  <c r="FV253" i="2"/>
  <c r="FU254" i="2"/>
  <c r="FV254" i="2"/>
  <c r="FU255" i="2"/>
  <c r="FV255" i="2"/>
  <c r="FU256" i="2"/>
  <c r="FV256" i="2"/>
  <c r="FU257" i="2"/>
  <c r="FV257" i="2"/>
  <c r="FU258" i="2"/>
  <c r="FV258" i="2"/>
  <c r="FU259" i="2"/>
  <c r="FV259" i="2"/>
  <c r="FU260" i="2"/>
  <c r="FV260" i="2"/>
  <c r="FU261" i="2"/>
  <c r="FV261" i="2"/>
  <c r="FU262" i="2"/>
  <c r="FV262" i="2"/>
  <c r="FU263" i="2"/>
  <c r="FV263" i="2"/>
  <c r="FU264" i="2"/>
  <c r="FV264" i="2"/>
  <c r="FU265" i="2"/>
  <c r="FV265" i="2"/>
  <c r="FU266" i="2"/>
  <c r="FV266" i="2"/>
  <c r="FU267" i="2"/>
  <c r="FV267" i="2"/>
  <c r="FU268" i="2"/>
  <c r="FV268" i="2"/>
  <c r="FU269" i="2"/>
  <c r="FV269" i="2"/>
  <c r="FU270" i="2"/>
  <c r="FV270" i="2"/>
  <c r="FU271" i="2"/>
  <c r="FV271" i="2"/>
  <c r="FU272" i="2"/>
  <c r="FV272" i="2"/>
  <c r="FU273" i="2"/>
  <c r="FV273" i="2"/>
  <c r="FU274" i="2"/>
  <c r="FV274" i="2"/>
  <c r="FU275" i="2"/>
  <c r="FV275" i="2"/>
  <c r="FU276" i="2"/>
  <c r="FV276" i="2"/>
  <c r="FU277" i="2"/>
  <c r="FV277" i="2"/>
  <c r="FU278" i="2"/>
  <c r="FV278" i="2"/>
  <c r="FU280" i="2"/>
  <c r="FV280" i="2"/>
  <c r="FU281" i="2"/>
  <c r="FV281" i="2"/>
  <c r="FU282" i="2"/>
  <c r="FV282" i="2"/>
  <c r="FU283" i="2"/>
  <c r="FV283" i="2"/>
  <c r="FU284" i="2"/>
  <c r="FV284" i="2"/>
  <c r="FU285" i="2"/>
  <c r="FV285" i="2"/>
  <c r="FU286" i="2"/>
  <c r="FV286" i="2"/>
  <c r="FU287" i="2"/>
  <c r="FV287" i="2"/>
  <c r="FU288" i="2"/>
  <c r="FV288" i="2"/>
  <c r="FU289" i="2"/>
  <c r="FV289" i="2"/>
  <c r="FU290" i="2"/>
  <c r="FV290" i="2"/>
  <c r="FU291" i="2"/>
  <c r="FV291" i="2"/>
  <c r="FU292" i="2"/>
  <c r="FV292" i="2"/>
  <c r="FU293" i="2"/>
  <c r="FV293" i="2"/>
  <c r="FU294" i="2"/>
  <c r="FV294" i="2"/>
  <c r="FU295" i="2"/>
  <c r="FV295" i="2"/>
  <c r="FU296" i="2"/>
  <c r="FV296" i="2"/>
  <c r="FU297" i="2"/>
  <c r="FV297" i="2"/>
  <c r="FU298" i="2"/>
  <c r="FV298" i="2"/>
  <c r="FU299" i="2"/>
  <c r="FV299" i="2"/>
  <c r="FU300" i="2"/>
  <c r="FV300" i="2"/>
  <c r="FU301" i="2"/>
  <c r="FV301" i="2"/>
  <c r="FU302" i="2"/>
  <c r="FV302" i="2"/>
  <c r="FU303" i="2"/>
  <c r="FV303" i="2"/>
  <c r="FU304" i="2"/>
  <c r="FV304" i="2"/>
  <c r="FU305" i="2"/>
  <c r="FV305" i="2"/>
  <c r="FU306" i="2"/>
  <c r="FV306" i="2"/>
  <c r="FU307" i="2"/>
  <c r="FV307" i="2"/>
  <c r="FU308" i="2"/>
  <c r="FV308" i="2"/>
  <c r="FU309" i="2"/>
  <c r="FV309" i="2"/>
  <c r="FU310" i="2"/>
  <c r="FV310" i="2"/>
  <c r="FU311" i="2"/>
  <c r="FV311" i="2"/>
  <c r="FU312" i="2"/>
  <c r="FV312" i="2"/>
  <c r="FU313" i="2"/>
  <c r="FV313" i="2"/>
  <c r="FU314" i="2"/>
  <c r="FV314" i="2"/>
  <c r="FU315" i="2"/>
  <c r="FV315" i="2"/>
  <c r="FU316" i="2"/>
  <c r="FV316" i="2"/>
  <c r="FU318" i="2"/>
  <c r="FV318" i="2"/>
  <c r="FU319" i="2"/>
  <c r="FV319" i="2"/>
  <c r="FU320" i="2"/>
  <c r="FV320" i="2"/>
  <c r="FU321" i="2"/>
  <c r="FV321" i="2"/>
  <c r="FU322" i="2"/>
  <c r="FV322" i="2"/>
  <c r="FU323" i="2"/>
  <c r="FV323" i="2"/>
  <c r="FU324" i="2"/>
  <c r="FV324" i="2"/>
  <c r="FU325" i="2"/>
  <c r="FV325" i="2"/>
  <c r="FU326" i="2"/>
  <c r="FV326" i="2"/>
  <c r="FU327" i="2"/>
  <c r="FV327" i="2"/>
  <c r="FU328" i="2"/>
  <c r="FV328" i="2"/>
  <c r="FU329" i="2"/>
  <c r="FV329" i="2"/>
  <c r="FU330" i="2"/>
  <c r="FV330" i="2"/>
  <c r="FU331" i="2"/>
  <c r="FV331" i="2"/>
  <c r="FU332" i="2"/>
  <c r="FV332" i="2"/>
  <c r="FU333" i="2"/>
  <c r="FV333" i="2"/>
  <c r="FU334" i="2"/>
  <c r="FV334" i="2"/>
  <c r="FU335" i="2"/>
  <c r="FV335" i="2"/>
  <c r="FU336" i="2"/>
  <c r="FV336" i="2"/>
  <c r="FU337" i="2"/>
  <c r="FV337" i="2"/>
  <c r="FU338" i="2"/>
  <c r="FV338" i="2"/>
  <c r="FU339" i="2"/>
  <c r="FV339" i="2"/>
  <c r="FU340" i="2"/>
  <c r="FV340" i="2"/>
  <c r="FU341" i="2"/>
  <c r="FV341" i="2"/>
  <c r="FU342" i="2"/>
  <c r="FV342" i="2"/>
  <c r="FU343" i="2"/>
  <c r="FV343" i="2"/>
  <c r="FU344" i="2"/>
  <c r="FV344" i="2"/>
  <c r="FU345" i="2"/>
  <c r="FV345" i="2"/>
  <c r="FU346" i="2"/>
  <c r="FV346" i="2"/>
  <c r="FU347" i="2"/>
  <c r="FV347" i="2"/>
  <c r="FU348" i="2"/>
  <c r="FV348" i="2"/>
  <c r="FU349" i="2"/>
  <c r="FV349" i="2"/>
  <c r="FU350" i="2"/>
  <c r="FV350" i="2"/>
  <c r="FU351" i="2"/>
  <c r="FV351" i="2"/>
  <c r="FU352" i="2"/>
  <c r="FV352" i="2"/>
  <c r="FU353" i="2"/>
  <c r="FV353" i="2"/>
  <c r="FU354" i="2"/>
  <c r="FV354" i="2"/>
  <c r="FU356" i="2"/>
  <c r="FV356" i="2"/>
  <c r="FU357" i="2"/>
  <c r="FV357" i="2"/>
  <c r="FU358" i="2"/>
  <c r="FV358" i="2"/>
  <c r="FU359" i="2"/>
  <c r="FV359" i="2"/>
  <c r="FU360" i="2"/>
  <c r="FV360" i="2"/>
  <c r="FU361" i="2"/>
  <c r="FV361" i="2"/>
  <c r="FU362" i="2"/>
  <c r="FV362" i="2"/>
  <c r="FU363" i="2"/>
  <c r="FV363" i="2"/>
  <c r="FU364" i="2"/>
  <c r="FV364" i="2"/>
  <c r="FU365" i="2"/>
  <c r="FV365" i="2"/>
  <c r="FU366" i="2"/>
  <c r="FV366" i="2"/>
  <c r="FU367" i="2"/>
  <c r="FV367" i="2"/>
  <c r="FU368" i="2"/>
  <c r="FV368" i="2"/>
  <c r="FU369" i="2"/>
  <c r="FV369" i="2"/>
  <c r="FU370" i="2"/>
  <c r="FV370" i="2"/>
  <c r="FU371" i="2"/>
  <c r="FV371" i="2"/>
  <c r="FU372" i="2"/>
  <c r="FV372" i="2"/>
  <c r="FU373" i="2"/>
  <c r="FV373" i="2"/>
  <c r="FU374" i="2"/>
  <c r="FV374" i="2"/>
  <c r="FU375" i="2"/>
  <c r="FV375" i="2"/>
  <c r="FU376" i="2"/>
  <c r="FV376" i="2"/>
  <c r="FU377" i="2"/>
  <c r="FV377" i="2"/>
  <c r="FU378" i="2"/>
  <c r="FV378" i="2"/>
  <c r="FU379" i="2"/>
  <c r="FV379" i="2"/>
  <c r="FU380" i="2"/>
  <c r="FV380" i="2"/>
  <c r="FU381" i="2"/>
  <c r="FV381" i="2"/>
  <c r="FU382" i="2"/>
  <c r="FV382" i="2"/>
  <c r="FU383" i="2"/>
  <c r="FV383" i="2"/>
  <c r="FU384" i="2"/>
  <c r="FV384" i="2"/>
  <c r="FU385" i="2"/>
  <c r="FV385" i="2"/>
  <c r="FU386" i="2"/>
  <c r="FV386" i="2"/>
  <c r="FU387" i="2"/>
  <c r="FV387" i="2"/>
  <c r="FU388" i="2"/>
  <c r="FV388" i="2"/>
  <c r="FU389" i="2"/>
  <c r="FV389" i="2"/>
  <c r="FU390" i="2"/>
  <c r="FV390" i="2"/>
  <c r="FU391" i="2"/>
  <c r="FV391" i="2"/>
  <c r="FU392" i="2"/>
  <c r="FV392" i="2"/>
  <c r="FU394" i="2"/>
  <c r="FV394" i="2"/>
  <c r="FU395" i="2"/>
  <c r="FV395" i="2"/>
  <c r="FU396" i="2"/>
  <c r="FV396" i="2"/>
  <c r="FU397" i="2"/>
  <c r="FV397" i="2"/>
  <c r="FU398" i="2"/>
  <c r="FV398" i="2"/>
  <c r="FU399" i="2"/>
  <c r="FV399" i="2"/>
  <c r="FU400" i="2"/>
  <c r="FV400" i="2"/>
  <c r="FU401" i="2"/>
  <c r="FV401" i="2"/>
  <c r="FU402" i="2"/>
  <c r="FV402" i="2"/>
  <c r="FU403" i="2"/>
  <c r="FV403" i="2"/>
  <c r="FU404" i="2"/>
  <c r="FV404" i="2"/>
  <c r="FU405" i="2"/>
  <c r="FV405" i="2"/>
  <c r="FU406" i="2"/>
  <c r="FV406" i="2"/>
  <c r="FU407" i="2"/>
  <c r="FV407" i="2"/>
  <c r="FU408" i="2"/>
  <c r="FV408" i="2"/>
  <c r="FU409" i="2"/>
  <c r="FV409" i="2"/>
  <c r="FU410" i="2"/>
  <c r="FV410" i="2"/>
  <c r="FU411" i="2"/>
  <c r="FV411" i="2"/>
  <c r="FU412" i="2"/>
  <c r="FV412" i="2"/>
  <c r="FU413" i="2"/>
  <c r="FV413" i="2"/>
  <c r="FU414" i="2"/>
  <c r="FV414" i="2"/>
  <c r="FU415" i="2"/>
  <c r="FV415" i="2"/>
  <c r="FU416" i="2"/>
  <c r="FV416" i="2"/>
  <c r="FU417" i="2"/>
  <c r="FV417" i="2"/>
  <c r="FU418" i="2"/>
  <c r="FV418" i="2"/>
  <c r="FU419" i="2"/>
  <c r="FV419" i="2"/>
  <c r="FU420" i="2"/>
  <c r="FV420" i="2"/>
  <c r="FU421" i="2"/>
  <c r="FV421" i="2"/>
  <c r="FU422" i="2"/>
  <c r="FV422" i="2"/>
  <c r="FU423" i="2"/>
  <c r="FV423" i="2"/>
  <c r="FU424" i="2"/>
  <c r="FV424" i="2"/>
  <c r="FU425" i="2"/>
  <c r="FV425" i="2"/>
  <c r="FU426" i="2"/>
  <c r="FV426" i="2"/>
  <c r="FU427" i="2"/>
  <c r="FV427" i="2"/>
  <c r="FU428" i="2"/>
  <c r="FV428" i="2"/>
  <c r="FU429" i="2"/>
  <c r="FV429" i="2"/>
  <c r="FU430" i="2"/>
  <c r="FV430" i="2"/>
  <c r="FU432" i="2"/>
  <c r="FV432" i="2"/>
  <c r="FU433" i="2"/>
  <c r="FV433" i="2"/>
  <c r="FU434" i="2"/>
  <c r="FV434" i="2"/>
  <c r="FU435" i="2"/>
  <c r="FV435" i="2"/>
  <c r="FU436" i="2"/>
  <c r="FV436" i="2"/>
  <c r="FU437" i="2"/>
  <c r="FV437" i="2"/>
  <c r="FU438" i="2"/>
  <c r="FV438" i="2"/>
  <c r="FU439" i="2"/>
  <c r="FV439" i="2"/>
  <c r="FU440" i="2"/>
  <c r="FV440" i="2"/>
  <c r="FU441" i="2"/>
  <c r="FV441" i="2"/>
  <c r="FU442" i="2"/>
  <c r="FV442" i="2"/>
  <c r="FU443" i="2"/>
  <c r="FV443" i="2"/>
  <c r="FU444" i="2"/>
  <c r="FV444" i="2"/>
  <c r="FU445" i="2"/>
  <c r="FV445" i="2"/>
  <c r="FU446" i="2"/>
  <c r="FV446" i="2"/>
  <c r="FU447" i="2"/>
  <c r="FV447" i="2"/>
  <c r="FU448" i="2"/>
  <c r="FV448" i="2"/>
  <c r="FU449" i="2"/>
  <c r="FV449" i="2"/>
  <c r="FU450" i="2"/>
  <c r="FV450" i="2"/>
  <c r="FU451" i="2"/>
  <c r="FV451" i="2"/>
  <c r="FU452" i="2"/>
  <c r="FV452" i="2"/>
  <c r="FU453" i="2"/>
  <c r="FV453" i="2"/>
  <c r="FU454" i="2"/>
  <c r="FV454" i="2"/>
  <c r="FU455" i="2"/>
  <c r="FV455" i="2"/>
  <c r="FU456" i="2"/>
  <c r="FV456" i="2"/>
  <c r="FU457" i="2"/>
  <c r="FV457" i="2"/>
  <c r="FU458" i="2"/>
  <c r="FV458" i="2"/>
  <c r="FU459" i="2"/>
  <c r="FV459" i="2"/>
  <c r="FU460" i="2"/>
  <c r="FV460" i="2"/>
  <c r="FU461" i="2"/>
  <c r="FV461" i="2"/>
  <c r="FU462" i="2"/>
  <c r="FV462" i="2"/>
  <c r="FU463" i="2"/>
  <c r="FV463" i="2"/>
  <c r="FU464" i="2"/>
  <c r="FV464" i="2"/>
  <c r="FU465" i="2"/>
  <c r="FV465" i="2"/>
  <c r="FU466" i="2"/>
  <c r="FV466" i="2"/>
  <c r="FU467" i="2"/>
  <c r="FV467" i="2"/>
  <c r="FU468" i="2"/>
  <c r="FV468" i="2"/>
  <c r="FV15" i="2"/>
  <c r="FV16" i="2"/>
  <c r="FV17" i="2"/>
  <c r="FV18" i="2"/>
  <c r="FV19" i="2"/>
  <c r="FV20" i="2"/>
  <c r="FV21" i="2"/>
  <c r="FV22" i="2"/>
  <c r="FV23" i="2"/>
  <c r="FV24" i="2"/>
  <c r="FV25" i="2"/>
  <c r="FV26" i="2"/>
  <c r="FV27" i="2"/>
  <c r="FV28" i="2"/>
  <c r="FV29" i="2"/>
  <c r="FV30" i="2"/>
  <c r="FV31" i="2"/>
  <c r="FV32" i="2"/>
  <c r="FV33" i="2"/>
  <c r="FV34" i="2"/>
  <c r="FV35" i="2"/>
  <c r="FV36" i="2"/>
  <c r="FV37" i="2"/>
  <c r="FV38" i="2"/>
  <c r="FV39" i="2"/>
  <c r="FV40" i="2"/>
  <c r="FV41" i="2"/>
  <c r="FV42" i="2"/>
  <c r="FV43" i="2"/>
  <c r="FV44" i="2"/>
  <c r="FV45" i="2"/>
  <c r="FV46" i="2"/>
  <c r="FV47" i="2"/>
  <c r="FV48" i="2"/>
  <c r="FV49" i="2"/>
  <c r="FV50" i="2"/>
  <c r="FV14" i="2"/>
  <c r="FU14" i="2"/>
  <c r="FE52" i="2"/>
  <c r="FF52" i="2"/>
  <c r="FE53" i="2"/>
  <c r="FF53" i="2"/>
  <c r="FE54" i="2"/>
  <c r="FF54" i="2"/>
  <c r="FE55" i="2"/>
  <c r="FF55" i="2"/>
  <c r="FE56" i="2"/>
  <c r="FF56" i="2"/>
  <c r="FE57" i="2"/>
  <c r="FF57" i="2"/>
  <c r="FE58" i="2"/>
  <c r="FF58" i="2"/>
  <c r="FE59" i="2"/>
  <c r="FF59" i="2"/>
  <c r="FE60" i="2"/>
  <c r="FF60" i="2"/>
  <c r="FE61" i="2"/>
  <c r="FF61" i="2"/>
  <c r="FE62" i="2"/>
  <c r="FF62" i="2"/>
  <c r="FE63" i="2"/>
  <c r="FF63" i="2"/>
  <c r="FE64" i="2"/>
  <c r="FF64" i="2"/>
  <c r="FE65" i="2"/>
  <c r="FF65" i="2"/>
  <c r="FE66" i="2"/>
  <c r="FF66" i="2"/>
  <c r="FE67" i="2"/>
  <c r="FF67" i="2"/>
  <c r="FE68" i="2"/>
  <c r="FF68" i="2"/>
  <c r="FE69" i="2"/>
  <c r="FF69" i="2"/>
  <c r="FE70" i="2"/>
  <c r="FF70" i="2"/>
  <c r="FE71" i="2"/>
  <c r="FF71" i="2"/>
  <c r="FE72" i="2"/>
  <c r="FF72" i="2"/>
  <c r="FE73" i="2"/>
  <c r="FF73" i="2"/>
  <c r="FE74" i="2"/>
  <c r="FF74" i="2"/>
  <c r="FE75" i="2"/>
  <c r="FF75" i="2"/>
  <c r="FE76" i="2"/>
  <c r="FF76" i="2"/>
  <c r="FE77" i="2"/>
  <c r="FF77" i="2"/>
  <c r="FE78" i="2"/>
  <c r="FF78" i="2"/>
  <c r="FE79" i="2"/>
  <c r="FF79" i="2"/>
  <c r="FE80" i="2"/>
  <c r="FF80" i="2"/>
  <c r="FE81" i="2"/>
  <c r="FF81" i="2"/>
  <c r="FE82" i="2"/>
  <c r="FF82" i="2"/>
  <c r="FE83" i="2"/>
  <c r="FF83" i="2"/>
  <c r="FE84" i="2"/>
  <c r="FF84" i="2"/>
  <c r="FE85" i="2"/>
  <c r="FF85" i="2"/>
  <c r="FE86" i="2"/>
  <c r="FF86" i="2"/>
  <c r="FE87" i="2"/>
  <c r="FF87" i="2"/>
  <c r="FE88" i="2"/>
  <c r="FF88" i="2"/>
  <c r="FE90" i="2"/>
  <c r="FF90" i="2"/>
  <c r="FE91" i="2"/>
  <c r="FF91" i="2"/>
  <c r="FE92" i="2"/>
  <c r="FF92" i="2"/>
  <c r="FE93" i="2"/>
  <c r="FF93" i="2"/>
  <c r="FE94" i="2"/>
  <c r="FF94" i="2"/>
  <c r="FE95" i="2"/>
  <c r="FF95" i="2"/>
  <c r="FE96" i="2"/>
  <c r="FF96" i="2"/>
  <c r="FE97" i="2"/>
  <c r="FF97" i="2"/>
  <c r="FE98" i="2"/>
  <c r="FF98" i="2"/>
  <c r="FE99" i="2"/>
  <c r="FF99" i="2"/>
  <c r="FE100" i="2"/>
  <c r="FF100" i="2"/>
  <c r="FE101" i="2"/>
  <c r="FF101" i="2"/>
  <c r="FE102" i="2"/>
  <c r="FF102" i="2"/>
  <c r="FE103" i="2"/>
  <c r="FF103" i="2"/>
  <c r="FE104" i="2"/>
  <c r="FF104" i="2"/>
  <c r="FE105" i="2"/>
  <c r="FF105" i="2"/>
  <c r="FE106" i="2"/>
  <c r="FF106" i="2"/>
  <c r="FE107" i="2"/>
  <c r="FF107" i="2"/>
  <c r="FE108" i="2"/>
  <c r="FF108" i="2"/>
  <c r="FE109" i="2"/>
  <c r="FF109" i="2"/>
  <c r="FE110" i="2"/>
  <c r="FF110" i="2"/>
  <c r="FE111" i="2"/>
  <c r="FF111" i="2"/>
  <c r="FE112" i="2"/>
  <c r="FF112" i="2"/>
  <c r="FE113" i="2"/>
  <c r="FF113" i="2"/>
  <c r="FE114" i="2"/>
  <c r="FF114" i="2"/>
  <c r="FE115" i="2"/>
  <c r="FF115" i="2"/>
  <c r="FE116" i="2"/>
  <c r="FF116" i="2"/>
  <c r="FE117" i="2"/>
  <c r="FF117" i="2"/>
  <c r="FE118" i="2"/>
  <c r="FF118" i="2"/>
  <c r="FE119" i="2"/>
  <c r="FF119" i="2"/>
  <c r="FE120" i="2"/>
  <c r="FF120" i="2"/>
  <c r="FE121" i="2"/>
  <c r="FF121" i="2"/>
  <c r="FE122" i="2"/>
  <c r="FF122" i="2"/>
  <c r="FE123" i="2"/>
  <c r="FF123" i="2"/>
  <c r="FE124" i="2"/>
  <c r="FF124" i="2"/>
  <c r="FE125" i="2"/>
  <c r="FF125" i="2"/>
  <c r="FE126" i="2"/>
  <c r="FF126" i="2"/>
  <c r="FE128" i="2"/>
  <c r="FF128" i="2"/>
  <c r="FE129" i="2"/>
  <c r="FF129" i="2"/>
  <c r="FE130" i="2"/>
  <c r="FF130" i="2"/>
  <c r="FE131" i="2"/>
  <c r="FF131" i="2"/>
  <c r="FE132" i="2"/>
  <c r="FF132" i="2"/>
  <c r="FE133" i="2"/>
  <c r="FF133" i="2"/>
  <c r="FE134" i="2"/>
  <c r="FF134" i="2"/>
  <c r="FE135" i="2"/>
  <c r="FF135" i="2"/>
  <c r="FE136" i="2"/>
  <c r="FF136" i="2"/>
  <c r="FE137" i="2"/>
  <c r="FF137" i="2"/>
  <c r="FE138" i="2"/>
  <c r="FF138" i="2"/>
  <c r="FE139" i="2"/>
  <c r="FF139" i="2"/>
  <c r="FE140" i="2"/>
  <c r="FF140" i="2"/>
  <c r="FE141" i="2"/>
  <c r="FF141" i="2"/>
  <c r="FE142" i="2"/>
  <c r="FF142" i="2"/>
  <c r="FE143" i="2"/>
  <c r="FF143" i="2"/>
  <c r="FE144" i="2"/>
  <c r="FF144" i="2"/>
  <c r="FE145" i="2"/>
  <c r="FF145" i="2"/>
  <c r="FE146" i="2"/>
  <c r="FF146" i="2"/>
  <c r="FE147" i="2"/>
  <c r="FF147" i="2"/>
  <c r="FE148" i="2"/>
  <c r="FF148" i="2"/>
  <c r="FE149" i="2"/>
  <c r="FF149" i="2"/>
  <c r="FE150" i="2"/>
  <c r="FF150" i="2"/>
  <c r="FE151" i="2"/>
  <c r="FF151" i="2"/>
  <c r="FE152" i="2"/>
  <c r="FF152" i="2"/>
  <c r="FE153" i="2"/>
  <c r="FF153" i="2"/>
  <c r="FE154" i="2"/>
  <c r="FF154" i="2"/>
  <c r="FE155" i="2"/>
  <c r="FF155" i="2"/>
  <c r="FE156" i="2"/>
  <c r="FF156" i="2"/>
  <c r="FE157" i="2"/>
  <c r="FF157" i="2"/>
  <c r="FE158" i="2"/>
  <c r="FF158" i="2"/>
  <c r="FE159" i="2"/>
  <c r="FF159" i="2"/>
  <c r="FE160" i="2"/>
  <c r="FF160" i="2"/>
  <c r="FE161" i="2"/>
  <c r="FF161" i="2"/>
  <c r="FE162" i="2"/>
  <c r="FF162" i="2"/>
  <c r="FE163" i="2"/>
  <c r="FF163" i="2"/>
  <c r="FE164" i="2"/>
  <c r="FF164" i="2"/>
  <c r="FE166" i="2"/>
  <c r="FF166" i="2"/>
  <c r="FE167" i="2"/>
  <c r="FF167" i="2"/>
  <c r="FE168" i="2"/>
  <c r="FF168" i="2"/>
  <c r="FE169" i="2"/>
  <c r="FF169" i="2"/>
  <c r="FE170" i="2"/>
  <c r="FF170" i="2"/>
  <c r="FE171" i="2"/>
  <c r="FF171" i="2"/>
  <c r="FE172" i="2"/>
  <c r="FF172" i="2"/>
  <c r="FE173" i="2"/>
  <c r="FF173" i="2"/>
  <c r="FE174" i="2"/>
  <c r="FF174" i="2"/>
  <c r="FE175" i="2"/>
  <c r="FF175" i="2"/>
  <c r="FE176" i="2"/>
  <c r="FF176" i="2"/>
  <c r="FE177" i="2"/>
  <c r="FF177" i="2"/>
  <c r="FE178" i="2"/>
  <c r="FF178" i="2"/>
  <c r="FE179" i="2"/>
  <c r="FF179" i="2"/>
  <c r="FE180" i="2"/>
  <c r="FF180" i="2"/>
  <c r="FE181" i="2"/>
  <c r="FF181" i="2"/>
  <c r="FE182" i="2"/>
  <c r="FF182" i="2"/>
  <c r="FE183" i="2"/>
  <c r="FF183" i="2"/>
  <c r="FE184" i="2"/>
  <c r="FF184" i="2"/>
  <c r="FE185" i="2"/>
  <c r="FF185" i="2"/>
  <c r="FE186" i="2"/>
  <c r="FF186" i="2"/>
  <c r="FE187" i="2"/>
  <c r="FF187" i="2"/>
  <c r="FE188" i="2"/>
  <c r="FF188" i="2"/>
  <c r="FE189" i="2"/>
  <c r="FF189" i="2"/>
  <c r="FE190" i="2"/>
  <c r="FF190" i="2"/>
  <c r="FE191" i="2"/>
  <c r="FF191" i="2"/>
  <c r="FE192" i="2"/>
  <c r="FF192" i="2"/>
  <c r="FE193" i="2"/>
  <c r="FF193" i="2"/>
  <c r="FE194" i="2"/>
  <c r="FF194" i="2"/>
  <c r="FE195" i="2"/>
  <c r="FF195" i="2"/>
  <c r="FE196" i="2"/>
  <c r="FF196" i="2"/>
  <c r="FE197" i="2"/>
  <c r="FF197" i="2"/>
  <c r="FE198" i="2"/>
  <c r="FF198" i="2"/>
  <c r="FE199" i="2"/>
  <c r="FF199" i="2"/>
  <c r="FE200" i="2"/>
  <c r="FF200" i="2"/>
  <c r="FE201" i="2"/>
  <c r="FF201" i="2"/>
  <c r="FE202" i="2"/>
  <c r="FF202" i="2"/>
  <c r="FE204" i="2"/>
  <c r="FF204" i="2"/>
  <c r="FE205" i="2"/>
  <c r="FF205" i="2"/>
  <c r="FE206" i="2"/>
  <c r="FF206" i="2"/>
  <c r="FE207" i="2"/>
  <c r="FF207" i="2"/>
  <c r="FE208" i="2"/>
  <c r="FF208" i="2"/>
  <c r="FE209" i="2"/>
  <c r="FF209" i="2"/>
  <c r="FE210" i="2"/>
  <c r="FF210" i="2"/>
  <c r="FE211" i="2"/>
  <c r="FF211" i="2"/>
  <c r="FE212" i="2"/>
  <c r="FF212" i="2"/>
  <c r="FE213" i="2"/>
  <c r="FF213" i="2"/>
  <c r="FE214" i="2"/>
  <c r="FF214" i="2"/>
  <c r="FE215" i="2"/>
  <c r="FF215" i="2"/>
  <c r="FE216" i="2"/>
  <c r="FF216" i="2"/>
  <c r="FE217" i="2"/>
  <c r="FF217" i="2"/>
  <c r="FE218" i="2"/>
  <c r="FF218" i="2"/>
  <c r="FE219" i="2"/>
  <c r="FF219" i="2"/>
  <c r="FE220" i="2"/>
  <c r="FF220" i="2"/>
  <c r="FE221" i="2"/>
  <c r="FF221" i="2"/>
  <c r="FE222" i="2"/>
  <c r="FF222" i="2"/>
  <c r="FE223" i="2"/>
  <c r="FF223" i="2"/>
  <c r="FE224" i="2"/>
  <c r="FF224" i="2"/>
  <c r="FE225" i="2"/>
  <c r="FF225" i="2"/>
  <c r="FE226" i="2"/>
  <c r="FF226" i="2"/>
  <c r="FE227" i="2"/>
  <c r="FF227" i="2"/>
  <c r="FE228" i="2"/>
  <c r="FF228" i="2"/>
  <c r="FE229" i="2"/>
  <c r="FF229" i="2"/>
  <c r="FE230" i="2"/>
  <c r="FF230" i="2"/>
  <c r="FE231" i="2"/>
  <c r="FF231" i="2"/>
  <c r="FE232" i="2"/>
  <c r="FF232" i="2"/>
  <c r="FE233" i="2"/>
  <c r="FF233" i="2"/>
  <c r="FE234" i="2"/>
  <c r="FF234" i="2"/>
  <c r="FE235" i="2"/>
  <c r="FF235" i="2"/>
  <c r="FE236" i="2"/>
  <c r="FF236" i="2"/>
  <c r="FE237" i="2"/>
  <c r="FF237" i="2"/>
  <c r="FE238" i="2"/>
  <c r="FF238" i="2"/>
  <c r="FE239" i="2"/>
  <c r="FF239" i="2"/>
  <c r="FE240" i="2"/>
  <c r="FF240" i="2"/>
  <c r="FE242" i="2"/>
  <c r="FF242" i="2"/>
  <c r="FE243" i="2"/>
  <c r="FF243" i="2"/>
  <c r="FE244" i="2"/>
  <c r="FF244" i="2"/>
  <c r="FE245" i="2"/>
  <c r="FF245" i="2"/>
  <c r="FE246" i="2"/>
  <c r="FF246" i="2"/>
  <c r="FE247" i="2"/>
  <c r="FF247" i="2"/>
  <c r="FE248" i="2"/>
  <c r="FF248" i="2"/>
  <c r="FE249" i="2"/>
  <c r="FF249" i="2"/>
  <c r="FE250" i="2"/>
  <c r="FF250" i="2"/>
  <c r="FE251" i="2"/>
  <c r="FF251" i="2"/>
  <c r="FE252" i="2"/>
  <c r="FF252" i="2"/>
  <c r="FE253" i="2"/>
  <c r="FF253" i="2"/>
  <c r="FE254" i="2"/>
  <c r="FF254" i="2"/>
  <c r="FE255" i="2"/>
  <c r="FF255" i="2"/>
  <c r="FE256" i="2"/>
  <c r="FF256" i="2"/>
  <c r="FE257" i="2"/>
  <c r="FF257" i="2"/>
  <c r="FE258" i="2"/>
  <c r="FF258" i="2"/>
  <c r="FE259" i="2"/>
  <c r="FF259" i="2"/>
  <c r="FE260" i="2"/>
  <c r="FF260" i="2"/>
  <c r="FE261" i="2"/>
  <c r="FF261" i="2"/>
  <c r="FE262" i="2"/>
  <c r="FF262" i="2"/>
  <c r="FE263" i="2"/>
  <c r="FF263" i="2"/>
  <c r="FE264" i="2"/>
  <c r="FF264" i="2"/>
  <c r="FE265" i="2"/>
  <c r="FF265" i="2"/>
  <c r="FE266" i="2"/>
  <c r="FF266" i="2"/>
  <c r="FE267" i="2"/>
  <c r="FF267" i="2"/>
  <c r="FE268" i="2"/>
  <c r="FF268" i="2"/>
  <c r="FE269" i="2"/>
  <c r="FF269" i="2"/>
  <c r="FE270" i="2"/>
  <c r="FF270" i="2"/>
  <c r="FE271" i="2"/>
  <c r="FF271" i="2"/>
  <c r="FE272" i="2"/>
  <c r="FF272" i="2"/>
  <c r="FE273" i="2"/>
  <c r="FF273" i="2"/>
  <c r="FE274" i="2"/>
  <c r="FF274" i="2"/>
  <c r="FE275" i="2"/>
  <c r="FF275" i="2"/>
  <c r="FE276" i="2"/>
  <c r="FF276" i="2"/>
  <c r="FE277" i="2"/>
  <c r="FF277" i="2"/>
  <c r="FE278" i="2"/>
  <c r="FF278" i="2"/>
  <c r="FE280" i="2"/>
  <c r="FF280" i="2"/>
  <c r="FE281" i="2"/>
  <c r="FF281" i="2"/>
  <c r="FE282" i="2"/>
  <c r="FF282" i="2"/>
  <c r="FE283" i="2"/>
  <c r="FF283" i="2"/>
  <c r="FE284" i="2"/>
  <c r="FF284" i="2"/>
  <c r="FE285" i="2"/>
  <c r="FF285" i="2"/>
  <c r="FE286" i="2"/>
  <c r="FF286" i="2"/>
  <c r="FE287" i="2"/>
  <c r="FF287" i="2"/>
  <c r="FE288" i="2"/>
  <c r="FF288" i="2"/>
  <c r="FE289" i="2"/>
  <c r="FF289" i="2"/>
  <c r="FE290" i="2"/>
  <c r="FF290" i="2"/>
  <c r="FE291" i="2"/>
  <c r="FF291" i="2"/>
  <c r="FE292" i="2"/>
  <c r="FF292" i="2"/>
  <c r="FE293" i="2"/>
  <c r="FF293" i="2"/>
  <c r="FE294" i="2"/>
  <c r="FF294" i="2"/>
  <c r="FE295" i="2"/>
  <c r="FF295" i="2"/>
  <c r="FE296" i="2"/>
  <c r="FF296" i="2"/>
  <c r="FE297" i="2"/>
  <c r="FF297" i="2"/>
  <c r="FE298" i="2"/>
  <c r="FF298" i="2"/>
  <c r="FE299" i="2"/>
  <c r="FF299" i="2"/>
  <c r="FE300" i="2"/>
  <c r="FF300" i="2"/>
  <c r="FE301" i="2"/>
  <c r="FF301" i="2"/>
  <c r="FE302" i="2"/>
  <c r="FF302" i="2"/>
  <c r="FE303" i="2"/>
  <c r="FF303" i="2"/>
  <c r="FE304" i="2"/>
  <c r="FF304" i="2"/>
  <c r="FE305" i="2"/>
  <c r="FF305" i="2"/>
  <c r="FE306" i="2"/>
  <c r="FF306" i="2"/>
  <c r="FE307" i="2"/>
  <c r="FF307" i="2"/>
  <c r="FE308" i="2"/>
  <c r="FF308" i="2"/>
  <c r="FE309" i="2"/>
  <c r="FF309" i="2"/>
  <c r="FE310" i="2"/>
  <c r="FF310" i="2"/>
  <c r="FE311" i="2"/>
  <c r="FF311" i="2"/>
  <c r="FE312" i="2"/>
  <c r="FF312" i="2"/>
  <c r="FE313" i="2"/>
  <c r="FF313" i="2"/>
  <c r="FE314" i="2"/>
  <c r="FF314" i="2"/>
  <c r="FE315" i="2"/>
  <c r="FF315" i="2"/>
  <c r="FE316" i="2"/>
  <c r="FF316" i="2"/>
  <c r="FE318" i="2"/>
  <c r="FF318" i="2"/>
  <c r="FE319" i="2"/>
  <c r="FF319" i="2"/>
  <c r="FE320" i="2"/>
  <c r="FF320" i="2"/>
  <c r="FE321" i="2"/>
  <c r="FF321" i="2"/>
  <c r="FE322" i="2"/>
  <c r="FF322" i="2"/>
  <c r="FE323" i="2"/>
  <c r="FF323" i="2"/>
  <c r="FE324" i="2"/>
  <c r="FF324" i="2"/>
  <c r="FE325" i="2"/>
  <c r="FF325" i="2"/>
  <c r="FE326" i="2"/>
  <c r="FF326" i="2"/>
  <c r="FE327" i="2"/>
  <c r="FF327" i="2"/>
  <c r="FE328" i="2"/>
  <c r="FF328" i="2"/>
  <c r="FE329" i="2"/>
  <c r="FF329" i="2"/>
  <c r="FE330" i="2"/>
  <c r="FF330" i="2"/>
  <c r="FE331" i="2"/>
  <c r="FF331" i="2"/>
  <c r="FE332" i="2"/>
  <c r="FF332" i="2"/>
  <c r="FE333" i="2"/>
  <c r="FF333" i="2"/>
  <c r="FE334" i="2"/>
  <c r="FF334" i="2"/>
  <c r="FE335" i="2"/>
  <c r="FF335" i="2"/>
  <c r="FE336" i="2"/>
  <c r="FF336" i="2"/>
  <c r="FE337" i="2"/>
  <c r="FF337" i="2"/>
  <c r="FE338" i="2"/>
  <c r="FF338" i="2"/>
  <c r="FE339" i="2"/>
  <c r="FF339" i="2"/>
  <c r="FE340" i="2"/>
  <c r="FF340" i="2"/>
  <c r="FE341" i="2"/>
  <c r="FF341" i="2"/>
  <c r="FE342" i="2"/>
  <c r="FF342" i="2"/>
  <c r="FE343" i="2"/>
  <c r="FF343" i="2"/>
  <c r="FE344" i="2"/>
  <c r="FF344" i="2"/>
  <c r="FE345" i="2"/>
  <c r="FF345" i="2"/>
  <c r="FE346" i="2"/>
  <c r="FF346" i="2"/>
  <c r="FE347" i="2"/>
  <c r="FF347" i="2"/>
  <c r="FE348" i="2"/>
  <c r="FF348" i="2"/>
  <c r="FE349" i="2"/>
  <c r="FF349" i="2"/>
  <c r="FE350" i="2"/>
  <c r="FF350" i="2"/>
  <c r="FE351" i="2"/>
  <c r="FF351" i="2"/>
  <c r="FE352" i="2"/>
  <c r="FF352" i="2"/>
  <c r="FE353" i="2"/>
  <c r="FF353" i="2"/>
  <c r="FE354" i="2"/>
  <c r="FF354" i="2"/>
  <c r="FE356" i="2"/>
  <c r="FF356" i="2"/>
  <c r="FE357" i="2"/>
  <c r="FF357" i="2"/>
  <c r="FE358" i="2"/>
  <c r="FF358" i="2"/>
  <c r="FE359" i="2"/>
  <c r="FF359" i="2"/>
  <c r="FE360" i="2"/>
  <c r="FF360" i="2"/>
  <c r="FE361" i="2"/>
  <c r="FF361" i="2"/>
  <c r="FE362" i="2"/>
  <c r="FF362" i="2"/>
  <c r="FE363" i="2"/>
  <c r="FF363" i="2"/>
  <c r="FE364" i="2"/>
  <c r="FF364" i="2"/>
  <c r="FE365" i="2"/>
  <c r="FF365" i="2"/>
  <c r="FE366" i="2"/>
  <c r="FF366" i="2"/>
  <c r="FE367" i="2"/>
  <c r="FF367" i="2"/>
  <c r="FE368" i="2"/>
  <c r="FF368" i="2"/>
  <c r="FE369" i="2"/>
  <c r="FF369" i="2"/>
  <c r="FE370" i="2"/>
  <c r="FF370" i="2"/>
  <c r="FE371" i="2"/>
  <c r="FF371" i="2"/>
  <c r="FE372" i="2"/>
  <c r="FF372" i="2"/>
  <c r="FE373" i="2"/>
  <c r="FF373" i="2"/>
  <c r="FE374" i="2"/>
  <c r="FF374" i="2"/>
  <c r="FE375" i="2"/>
  <c r="FF375" i="2"/>
  <c r="FE376" i="2"/>
  <c r="FF376" i="2"/>
  <c r="FE377" i="2"/>
  <c r="FF377" i="2"/>
  <c r="FE378" i="2"/>
  <c r="FF378" i="2"/>
  <c r="FE379" i="2"/>
  <c r="FF379" i="2"/>
  <c r="FE380" i="2"/>
  <c r="FF380" i="2"/>
  <c r="FE381" i="2"/>
  <c r="FF381" i="2"/>
  <c r="FE382" i="2"/>
  <c r="FF382" i="2"/>
  <c r="FE383" i="2"/>
  <c r="FF383" i="2"/>
  <c r="FE384" i="2"/>
  <c r="FF384" i="2"/>
  <c r="FE385" i="2"/>
  <c r="FF385" i="2"/>
  <c r="FE386" i="2"/>
  <c r="FF386" i="2"/>
  <c r="FE387" i="2"/>
  <c r="FF387" i="2"/>
  <c r="FE388" i="2"/>
  <c r="FF388" i="2"/>
  <c r="FE389" i="2"/>
  <c r="FF389" i="2"/>
  <c r="FE390" i="2"/>
  <c r="FF390" i="2"/>
  <c r="FE391" i="2"/>
  <c r="FF391" i="2"/>
  <c r="FE392" i="2"/>
  <c r="FF392" i="2"/>
  <c r="FE394" i="2"/>
  <c r="FF394" i="2"/>
  <c r="FE395" i="2"/>
  <c r="FF395" i="2"/>
  <c r="FE396" i="2"/>
  <c r="FF396" i="2"/>
  <c r="FE397" i="2"/>
  <c r="FF397" i="2"/>
  <c r="FE398" i="2"/>
  <c r="FF398" i="2"/>
  <c r="FE399" i="2"/>
  <c r="FF399" i="2"/>
  <c r="FE400" i="2"/>
  <c r="FF400" i="2"/>
  <c r="FE401" i="2"/>
  <c r="FF401" i="2"/>
  <c r="FE402" i="2"/>
  <c r="FF402" i="2"/>
  <c r="FE403" i="2"/>
  <c r="FF403" i="2"/>
  <c r="FE404" i="2"/>
  <c r="FF404" i="2"/>
  <c r="FE405" i="2"/>
  <c r="FF405" i="2"/>
  <c r="FE406" i="2"/>
  <c r="FF406" i="2"/>
  <c r="FE407" i="2"/>
  <c r="FF407" i="2"/>
  <c r="FE408" i="2"/>
  <c r="FF408" i="2"/>
  <c r="FE409" i="2"/>
  <c r="FF409" i="2"/>
  <c r="FE410" i="2"/>
  <c r="FF410" i="2"/>
  <c r="FE411" i="2"/>
  <c r="FF411" i="2"/>
  <c r="FE412" i="2"/>
  <c r="FF412" i="2"/>
  <c r="FE413" i="2"/>
  <c r="FF413" i="2"/>
  <c r="FE414" i="2"/>
  <c r="FF414" i="2"/>
  <c r="FE415" i="2"/>
  <c r="FF415" i="2"/>
  <c r="FE416" i="2"/>
  <c r="FF416" i="2"/>
  <c r="FE417" i="2"/>
  <c r="FF417" i="2"/>
  <c r="FE418" i="2"/>
  <c r="FF418" i="2"/>
  <c r="FE419" i="2"/>
  <c r="FF419" i="2"/>
  <c r="FE420" i="2"/>
  <c r="FF420" i="2"/>
  <c r="FE421" i="2"/>
  <c r="FF421" i="2"/>
  <c r="FE422" i="2"/>
  <c r="FF422" i="2"/>
  <c r="FE423" i="2"/>
  <c r="FF423" i="2"/>
  <c r="FE424" i="2"/>
  <c r="FF424" i="2"/>
  <c r="FE425" i="2"/>
  <c r="FF425" i="2"/>
  <c r="FE426" i="2"/>
  <c r="FF426" i="2"/>
  <c r="FE427" i="2"/>
  <c r="FF427" i="2"/>
  <c r="FE428" i="2"/>
  <c r="FF428" i="2"/>
  <c r="FE429" i="2"/>
  <c r="FF429" i="2"/>
  <c r="FE430" i="2"/>
  <c r="FF430" i="2"/>
  <c r="FE432" i="2"/>
  <c r="FF432" i="2"/>
  <c r="FE433" i="2"/>
  <c r="FF433" i="2"/>
  <c r="FE434" i="2"/>
  <c r="FF434" i="2"/>
  <c r="FE435" i="2"/>
  <c r="FF435" i="2"/>
  <c r="FE436" i="2"/>
  <c r="FF436" i="2"/>
  <c r="FE437" i="2"/>
  <c r="FF437" i="2"/>
  <c r="FE438" i="2"/>
  <c r="FF438" i="2"/>
  <c r="FE439" i="2"/>
  <c r="FF439" i="2"/>
  <c r="FE440" i="2"/>
  <c r="FF440" i="2"/>
  <c r="FE441" i="2"/>
  <c r="FF441" i="2"/>
  <c r="FE442" i="2"/>
  <c r="FF442" i="2"/>
  <c r="FE443" i="2"/>
  <c r="FF443" i="2"/>
  <c r="FE444" i="2"/>
  <c r="FF444" i="2"/>
  <c r="FE445" i="2"/>
  <c r="FF445" i="2"/>
  <c r="FE446" i="2"/>
  <c r="FF446" i="2"/>
  <c r="FE447" i="2"/>
  <c r="FF447" i="2"/>
  <c r="FE448" i="2"/>
  <c r="FF448" i="2"/>
  <c r="FE449" i="2"/>
  <c r="FF449" i="2"/>
  <c r="FE450" i="2"/>
  <c r="FF450" i="2"/>
  <c r="FE451" i="2"/>
  <c r="FF451" i="2"/>
  <c r="FE452" i="2"/>
  <c r="FF452" i="2"/>
  <c r="FE453" i="2"/>
  <c r="FF453" i="2"/>
  <c r="FE454" i="2"/>
  <c r="FF454" i="2"/>
  <c r="FE455" i="2"/>
  <c r="FF455" i="2"/>
  <c r="FE456" i="2"/>
  <c r="FF456" i="2"/>
  <c r="FE457" i="2"/>
  <c r="FF457" i="2"/>
  <c r="FE458" i="2"/>
  <c r="FF458" i="2"/>
  <c r="FE459" i="2"/>
  <c r="FF459" i="2"/>
  <c r="FE460" i="2"/>
  <c r="FF460" i="2"/>
  <c r="FE461" i="2"/>
  <c r="FF461" i="2"/>
  <c r="FE462" i="2"/>
  <c r="FF462" i="2"/>
  <c r="FE463" i="2"/>
  <c r="FF463" i="2"/>
  <c r="FE464" i="2"/>
  <c r="FF464" i="2"/>
  <c r="FE465" i="2"/>
  <c r="FF465" i="2"/>
  <c r="FE466" i="2"/>
  <c r="FF466" i="2"/>
  <c r="FE467" i="2"/>
  <c r="FF467" i="2"/>
  <c r="FE468" i="2"/>
  <c r="FF468" i="2"/>
  <c r="FF15" i="2"/>
  <c r="FF16" i="2"/>
  <c r="FF17" i="2"/>
  <c r="FF18" i="2"/>
  <c r="FF19" i="2"/>
  <c r="FF20" i="2"/>
  <c r="FF21" i="2"/>
  <c r="FF22" i="2"/>
  <c r="FF23" i="2"/>
  <c r="FF24" i="2"/>
  <c r="FF25" i="2"/>
  <c r="FF26" i="2"/>
  <c r="FF27" i="2"/>
  <c r="FF28" i="2"/>
  <c r="FF29" i="2"/>
  <c r="FF30" i="2"/>
  <c r="FF31" i="2"/>
  <c r="FF32" i="2"/>
  <c r="FF33" i="2"/>
  <c r="FF34" i="2"/>
  <c r="FF35" i="2"/>
  <c r="FF36" i="2"/>
  <c r="FF37" i="2"/>
  <c r="FF38" i="2"/>
  <c r="FF39" i="2"/>
  <c r="FF40" i="2"/>
  <c r="FF41" i="2"/>
  <c r="FF42" i="2"/>
  <c r="FF43" i="2"/>
  <c r="FF44" i="2"/>
  <c r="FF45" i="2"/>
  <c r="FF46" i="2"/>
  <c r="FF47" i="2"/>
  <c r="FF48" i="2"/>
  <c r="FF49" i="2"/>
  <c r="FF50" i="2"/>
  <c r="FF14" i="2"/>
  <c r="FE14" i="2"/>
  <c r="EO52" i="2"/>
  <c r="EP52" i="2"/>
  <c r="EO53" i="2"/>
  <c r="EP53" i="2"/>
  <c r="EO54" i="2"/>
  <c r="EP54" i="2"/>
  <c r="EO55" i="2"/>
  <c r="EP55" i="2"/>
  <c r="EO56" i="2"/>
  <c r="EP56" i="2"/>
  <c r="EO57" i="2"/>
  <c r="EP57" i="2"/>
  <c r="EO58" i="2"/>
  <c r="EP58" i="2"/>
  <c r="EO59" i="2"/>
  <c r="EP59" i="2"/>
  <c r="EO60" i="2"/>
  <c r="EP60" i="2"/>
  <c r="EO61" i="2"/>
  <c r="EP61" i="2"/>
  <c r="EO62" i="2"/>
  <c r="EP62" i="2"/>
  <c r="EO63" i="2"/>
  <c r="EP63" i="2"/>
  <c r="EO64" i="2"/>
  <c r="EP64" i="2"/>
  <c r="EO65" i="2"/>
  <c r="EP65" i="2"/>
  <c r="EO66" i="2"/>
  <c r="EP66" i="2"/>
  <c r="EO67" i="2"/>
  <c r="EP67" i="2"/>
  <c r="EO68" i="2"/>
  <c r="EP68" i="2"/>
  <c r="EO69" i="2"/>
  <c r="EP69" i="2"/>
  <c r="EO70" i="2"/>
  <c r="EP70" i="2"/>
  <c r="EO71" i="2"/>
  <c r="EP71" i="2"/>
  <c r="EO72" i="2"/>
  <c r="EP72" i="2"/>
  <c r="EO73" i="2"/>
  <c r="EP73" i="2"/>
  <c r="EO74" i="2"/>
  <c r="EP74" i="2"/>
  <c r="EO75" i="2"/>
  <c r="EP75" i="2"/>
  <c r="EO76" i="2"/>
  <c r="EP76" i="2"/>
  <c r="EO77" i="2"/>
  <c r="EP77" i="2"/>
  <c r="EO78" i="2"/>
  <c r="EP78" i="2"/>
  <c r="EO79" i="2"/>
  <c r="EP79" i="2"/>
  <c r="EO80" i="2"/>
  <c r="EP80" i="2"/>
  <c r="EO81" i="2"/>
  <c r="EP81" i="2"/>
  <c r="EO82" i="2"/>
  <c r="EP82" i="2"/>
  <c r="EO83" i="2"/>
  <c r="EP83" i="2"/>
  <c r="EO84" i="2"/>
  <c r="EP84" i="2"/>
  <c r="EO85" i="2"/>
  <c r="EP85" i="2"/>
  <c r="EO86" i="2"/>
  <c r="EP86" i="2"/>
  <c r="EO87" i="2"/>
  <c r="EP87" i="2"/>
  <c r="EO88" i="2"/>
  <c r="EP88" i="2"/>
  <c r="EO90" i="2"/>
  <c r="EP90" i="2"/>
  <c r="EO91" i="2"/>
  <c r="EP91" i="2"/>
  <c r="EO92" i="2"/>
  <c r="EP92" i="2"/>
  <c r="EO93" i="2"/>
  <c r="EP93" i="2"/>
  <c r="EO94" i="2"/>
  <c r="EP94" i="2"/>
  <c r="EO95" i="2"/>
  <c r="EP95" i="2"/>
  <c r="EO96" i="2"/>
  <c r="EP96" i="2"/>
  <c r="EO97" i="2"/>
  <c r="EP97" i="2"/>
  <c r="EO98" i="2"/>
  <c r="EP98" i="2"/>
  <c r="EO99" i="2"/>
  <c r="EP99" i="2"/>
  <c r="EO100" i="2"/>
  <c r="EP100" i="2"/>
  <c r="EO101" i="2"/>
  <c r="EP101" i="2"/>
  <c r="EO102" i="2"/>
  <c r="EP102" i="2"/>
  <c r="EO103" i="2"/>
  <c r="EP103" i="2"/>
  <c r="EO104" i="2"/>
  <c r="EP104" i="2"/>
  <c r="EO105" i="2"/>
  <c r="EP105" i="2"/>
  <c r="EO106" i="2"/>
  <c r="EP106" i="2"/>
  <c r="EO107" i="2"/>
  <c r="EP107" i="2"/>
  <c r="EO108" i="2"/>
  <c r="EP108" i="2"/>
  <c r="EO109" i="2"/>
  <c r="EP109" i="2"/>
  <c r="EO110" i="2"/>
  <c r="EP110" i="2"/>
  <c r="EO111" i="2"/>
  <c r="EP111" i="2"/>
  <c r="EO112" i="2"/>
  <c r="EP112" i="2"/>
  <c r="EO113" i="2"/>
  <c r="EP113" i="2"/>
  <c r="EO114" i="2"/>
  <c r="EP114" i="2"/>
  <c r="EO115" i="2"/>
  <c r="EP115" i="2"/>
  <c r="EO116" i="2"/>
  <c r="EP116" i="2"/>
  <c r="EO117" i="2"/>
  <c r="EP117" i="2"/>
  <c r="EO118" i="2"/>
  <c r="EP118" i="2"/>
  <c r="EO119" i="2"/>
  <c r="EP119" i="2"/>
  <c r="EO120" i="2"/>
  <c r="EP120" i="2"/>
  <c r="EO121" i="2"/>
  <c r="EP121" i="2"/>
  <c r="EO122" i="2"/>
  <c r="EP122" i="2"/>
  <c r="EO123" i="2"/>
  <c r="EP123" i="2"/>
  <c r="EO124" i="2"/>
  <c r="EP124" i="2"/>
  <c r="EO125" i="2"/>
  <c r="EP125" i="2"/>
  <c r="EO126" i="2"/>
  <c r="EP126" i="2"/>
  <c r="EO128" i="2"/>
  <c r="EP128" i="2"/>
  <c r="EO129" i="2"/>
  <c r="EP129" i="2"/>
  <c r="EO130" i="2"/>
  <c r="EP130" i="2"/>
  <c r="EO131" i="2"/>
  <c r="EP131" i="2"/>
  <c r="EO132" i="2"/>
  <c r="EP132" i="2"/>
  <c r="EO133" i="2"/>
  <c r="EP133" i="2"/>
  <c r="EO134" i="2"/>
  <c r="EP134" i="2"/>
  <c r="EO135" i="2"/>
  <c r="EP135" i="2"/>
  <c r="EO136" i="2"/>
  <c r="EP136" i="2"/>
  <c r="EO137" i="2"/>
  <c r="EP137" i="2"/>
  <c r="EO138" i="2"/>
  <c r="EP138" i="2"/>
  <c r="EO139" i="2"/>
  <c r="EP139" i="2"/>
  <c r="EO140" i="2"/>
  <c r="EP140" i="2"/>
  <c r="EO141" i="2"/>
  <c r="EP141" i="2"/>
  <c r="EO142" i="2"/>
  <c r="EP142" i="2"/>
  <c r="EO143" i="2"/>
  <c r="EP143" i="2"/>
  <c r="EO144" i="2"/>
  <c r="EP144" i="2"/>
  <c r="EO145" i="2"/>
  <c r="EP145" i="2"/>
  <c r="EO146" i="2"/>
  <c r="EP146" i="2"/>
  <c r="EO147" i="2"/>
  <c r="EP147" i="2"/>
  <c r="EO148" i="2"/>
  <c r="EP148" i="2"/>
  <c r="EO149" i="2"/>
  <c r="EP149" i="2"/>
  <c r="EO150" i="2"/>
  <c r="EP150" i="2"/>
  <c r="EO151" i="2"/>
  <c r="EP151" i="2"/>
  <c r="EO152" i="2"/>
  <c r="EP152" i="2"/>
  <c r="EO153" i="2"/>
  <c r="EP153" i="2"/>
  <c r="EO154" i="2"/>
  <c r="EP154" i="2"/>
  <c r="EO155" i="2"/>
  <c r="EP155" i="2"/>
  <c r="EO156" i="2"/>
  <c r="EP156" i="2"/>
  <c r="EO157" i="2"/>
  <c r="EP157" i="2"/>
  <c r="EO158" i="2"/>
  <c r="EP158" i="2"/>
  <c r="EO159" i="2"/>
  <c r="EP159" i="2"/>
  <c r="EO160" i="2"/>
  <c r="EP160" i="2"/>
  <c r="EO161" i="2"/>
  <c r="EP161" i="2"/>
  <c r="EO162" i="2"/>
  <c r="EP162" i="2"/>
  <c r="EO163" i="2"/>
  <c r="EP163" i="2"/>
  <c r="EO164" i="2"/>
  <c r="EP164" i="2"/>
  <c r="EO166" i="2"/>
  <c r="EP166" i="2"/>
  <c r="EO167" i="2"/>
  <c r="EP167" i="2"/>
  <c r="EO168" i="2"/>
  <c r="EP168" i="2"/>
  <c r="EO169" i="2"/>
  <c r="EP169" i="2"/>
  <c r="EO170" i="2"/>
  <c r="EP170" i="2"/>
  <c r="EO171" i="2"/>
  <c r="EP171" i="2"/>
  <c r="EO172" i="2"/>
  <c r="EP172" i="2"/>
  <c r="EO173" i="2"/>
  <c r="EP173" i="2"/>
  <c r="EO174" i="2"/>
  <c r="EP174" i="2"/>
  <c r="EO175" i="2"/>
  <c r="EP175" i="2"/>
  <c r="EO176" i="2"/>
  <c r="EP176" i="2"/>
  <c r="EO177" i="2"/>
  <c r="EP177" i="2"/>
  <c r="EO178" i="2"/>
  <c r="EP178" i="2"/>
  <c r="EO179" i="2"/>
  <c r="EP179" i="2"/>
  <c r="EO180" i="2"/>
  <c r="EP180" i="2"/>
  <c r="EO181" i="2"/>
  <c r="EP181" i="2"/>
  <c r="EO182" i="2"/>
  <c r="EP182" i="2"/>
  <c r="EO183" i="2"/>
  <c r="EP183" i="2"/>
  <c r="EO184" i="2"/>
  <c r="EP184" i="2"/>
  <c r="EO185" i="2"/>
  <c r="EP185" i="2"/>
  <c r="EO186" i="2"/>
  <c r="EP186" i="2"/>
  <c r="EO187" i="2"/>
  <c r="EP187" i="2"/>
  <c r="EO188" i="2"/>
  <c r="EP188" i="2"/>
  <c r="EO189" i="2"/>
  <c r="EP189" i="2"/>
  <c r="EO190" i="2"/>
  <c r="EP190" i="2"/>
  <c r="EO191" i="2"/>
  <c r="EP191" i="2"/>
  <c r="EO192" i="2"/>
  <c r="EP192" i="2"/>
  <c r="EO193" i="2"/>
  <c r="EP193" i="2"/>
  <c r="EO194" i="2"/>
  <c r="EP194" i="2"/>
  <c r="EO195" i="2"/>
  <c r="EP195" i="2"/>
  <c r="EO196" i="2"/>
  <c r="EP196" i="2"/>
  <c r="EO197" i="2"/>
  <c r="EP197" i="2"/>
  <c r="EO198" i="2"/>
  <c r="EP198" i="2"/>
  <c r="EO199" i="2"/>
  <c r="EP199" i="2"/>
  <c r="EO200" i="2"/>
  <c r="EP200" i="2"/>
  <c r="EO201" i="2"/>
  <c r="EP201" i="2"/>
  <c r="EO202" i="2"/>
  <c r="EP202" i="2"/>
  <c r="EO204" i="2"/>
  <c r="EP204" i="2"/>
  <c r="EO205" i="2"/>
  <c r="EP205" i="2"/>
  <c r="EO206" i="2"/>
  <c r="EP206" i="2"/>
  <c r="EO207" i="2"/>
  <c r="EP207" i="2"/>
  <c r="EO208" i="2"/>
  <c r="EP208" i="2"/>
  <c r="EO209" i="2"/>
  <c r="EP209" i="2"/>
  <c r="EO210" i="2"/>
  <c r="EP210" i="2"/>
  <c r="EO211" i="2"/>
  <c r="EP211" i="2"/>
  <c r="EO212" i="2"/>
  <c r="EP212" i="2"/>
  <c r="EO213" i="2"/>
  <c r="EP213" i="2"/>
  <c r="EO214" i="2"/>
  <c r="EP214" i="2"/>
  <c r="EO215" i="2"/>
  <c r="EP215" i="2"/>
  <c r="EO216" i="2"/>
  <c r="EP216" i="2"/>
  <c r="EO217" i="2"/>
  <c r="EP217" i="2"/>
  <c r="EO218" i="2"/>
  <c r="EP218" i="2"/>
  <c r="EO219" i="2"/>
  <c r="EP219" i="2"/>
  <c r="EO220" i="2"/>
  <c r="EP220" i="2"/>
  <c r="EO221" i="2"/>
  <c r="EP221" i="2"/>
  <c r="EO222" i="2"/>
  <c r="EP222" i="2"/>
  <c r="EO223" i="2"/>
  <c r="EP223" i="2"/>
  <c r="EO224" i="2"/>
  <c r="EP224" i="2"/>
  <c r="EO225" i="2"/>
  <c r="EP225" i="2"/>
  <c r="EO226" i="2"/>
  <c r="EP226" i="2"/>
  <c r="EO227" i="2"/>
  <c r="EP227" i="2"/>
  <c r="EO228" i="2"/>
  <c r="EP228" i="2"/>
  <c r="EO229" i="2"/>
  <c r="EP229" i="2"/>
  <c r="EO230" i="2"/>
  <c r="EP230" i="2"/>
  <c r="EO231" i="2"/>
  <c r="EP231" i="2"/>
  <c r="EO232" i="2"/>
  <c r="EP232" i="2"/>
  <c r="EO233" i="2"/>
  <c r="EP233" i="2"/>
  <c r="EO234" i="2"/>
  <c r="EP234" i="2"/>
  <c r="EO235" i="2"/>
  <c r="EP235" i="2"/>
  <c r="EO236" i="2"/>
  <c r="EP236" i="2"/>
  <c r="EO237" i="2"/>
  <c r="EP237" i="2"/>
  <c r="EO238" i="2"/>
  <c r="EP238" i="2"/>
  <c r="EO239" i="2"/>
  <c r="EP239" i="2"/>
  <c r="EO240" i="2"/>
  <c r="EP240" i="2"/>
  <c r="EO242" i="2"/>
  <c r="EP242" i="2"/>
  <c r="EO243" i="2"/>
  <c r="EP243" i="2"/>
  <c r="EO244" i="2"/>
  <c r="EP244" i="2"/>
  <c r="EO245" i="2"/>
  <c r="EP245" i="2"/>
  <c r="EO246" i="2"/>
  <c r="EP246" i="2"/>
  <c r="EO247" i="2"/>
  <c r="EP247" i="2"/>
  <c r="EO248" i="2"/>
  <c r="EP248" i="2"/>
  <c r="EO249" i="2"/>
  <c r="EP249" i="2"/>
  <c r="EO250" i="2"/>
  <c r="EP250" i="2"/>
  <c r="EO251" i="2"/>
  <c r="EP251" i="2"/>
  <c r="EO252" i="2"/>
  <c r="EP252" i="2"/>
  <c r="EO253" i="2"/>
  <c r="EP253" i="2"/>
  <c r="EO254" i="2"/>
  <c r="EP254" i="2"/>
  <c r="EO255" i="2"/>
  <c r="EP255" i="2"/>
  <c r="EO256" i="2"/>
  <c r="EP256" i="2"/>
  <c r="EO257" i="2"/>
  <c r="EP257" i="2"/>
  <c r="EO258" i="2"/>
  <c r="EP258" i="2"/>
  <c r="EO259" i="2"/>
  <c r="EP259" i="2"/>
  <c r="EO260" i="2"/>
  <c r="EP260" i="2"/>
  <c r="EO261" i="2"/>
  <c r="EP261" i="2"/>
  <c r="EO262" i="2"/>
  <c r="EP262" i="2"/>
  <c r="EO263" i="2"/>
  <c r="EP263" i="2"/>
  <c r="EO264" i="2"/>
  <c r="EP264" i="2"/>
  <c r="EO265" i="2"/>
  <c r="EP265" i="2"/>
  <c r="EO266" i="2"/>
  <c r="EP266" i="2"/>
  <c r="EO267" i="2"/>
  <c r="EP267" i="2"/>
  <c r="EO268" i="2"/>
  <c r="EP268" i="2"/>
  <c r="EO269" i="2"/>
  <c r="EP269" i="2"/>
  <c r="EO270" i="2"/>
  <c r="EP270" i="2"/>
  <c r="EO271" i="2"/>
  <c r="EP271" i="2"/>
  <c r="EO272" i="2"/>
  <c r="EP272" i="2"/>
  <c r="EO273" i="2"/>
  <c r="EP273" i="2"/>
  <c r="EO274" i="2"/>
  <c r="EP274" i="2"/>
  <c r="EO275" i="2"/>
  <c r="EP275" i="2"/>
  <c r="EO276" i="2"/>
  <c r="EP276" i="2"/>
  <c r="EO277" i="2"/>
  <c r="EP277" i="2"/>
  <c r="EO278" i="2"/>
  <c r="EP278" i="2"/>
  <c r="EO280" i="2"/>
  <c r="EP280" i="2"/>
  <c r="EO281" i="2"/>
  <c r="EP281" i="2"/>
  <c r="EO282" i="2"/>
  <c r="EP282" i="2"/>
  <c r="EO283" i="2"/>
  <c r="EP283" i="2"/>
  <c r="EO284" i="2"/>
  <c r="EP284" i="2"/>
  <c r="EO285" i="2"/>
  <c r="EP285" i="2"/>
  <c r="EO286" i="2"/>
  <c r="EP286" i="2"/>
  <c r="EO287" i="2"/>
  <c r="EP287" i="2"/>
  <c r="EO288" i="2"/>
  <c r="EP288" i="2"/>
  <c r="EO289" i="2"/>
  <c r="EP289" i="2"/>
  <c r="EO290" i="2"/>
  <c r="EP290" i="2"/>
  <c r="EO291" i="2"/>
  <c r="EP291" i="2"/>
  <c r="EO292" i="2"/>
  <c r="EP292" i="2"/>
  <c r="EO293" i="2"/>
  <c r="EP293" i="2"/>
  <c r="EO294" i="2"/>
  <c r="EP294" i="2"/>
  <c r="EO295" i="2"/>
  <c r="EP295" i="2"/>
  <c r="EO296" i="2"/>
  <c r="EP296" i="2"/>
  <c r="EO297" i="2"/>
  <c r="EP297" i="2"/>
  <c r="EO298" i="2"/>
  <c r="EP298" i="2"/>
  <c r="EO299" i="2"/>
  <c r="EP299" i="2"/>
  <c r="EO300" i="2"/>
  <c r="EP300" i="2"/>
  <c r="EO301" i="2"/>
  <c r="EP301" i="2"/>
  <c r="EO302" i="2"/>
  <c r="EP302" i="2"/>
  <c r="EO303" i="2"/>
  <c r="EP303" i="2"/>
  <c r="EO304" i="2"/>
  <c r="EP304" i="2"/>
  <c r="EO305" i="2"/>
  <c r="EP305" i="2"/>
  <c r="EO306" i="2"/>
  <c r="EP306" i="2"/>
  <c r="EO307" i="2"/>
  <c r="EP307" i="2"/>
  <c r="EO308" i="2"/>
  <c r="EP308" i="2"/>
  <c r="EO309" i="2"/>
  <c r="EP309" i="2"/>
  <c r="EO310" i="2"/>
  <c r="EP310" i="2"/>
  <c r="EO311" i="2"/>
  <c r="EP311" i="2"/>
  <c r="EO312" i="2"/>
  <c r="EP312" i="2"/>
  <c r="EO313" i="2"/>
  <c r="EP313" i="2"/>
  <c r="EO314" i="2"/>
  <c r="EP314" i="2"/>
  <c r="EO315" i="2"/>
  <c r="EP315" i="2"/>
  <c r="EO316" i="2"/>
  <c r="EP316" i="2"/>
  <c r="EO318" i="2"/>
  <c r="EP318" i="2"/>
  <c r="EO319" i="2"/>
  <c r="EP319" i="2"/>
  <c r="EO320" i="2"/>
  <c r="EP320" i="2"/>
  <c r="EO321" i="2"/>
  <c r="EP321" i="2"/>
  <c r="EO322" i="2"/>
  <c r="EP322" i="2"/>
  <c r="EO323" i="2"/>
  <c r="EP323" i="2"/>
  <c r="EO324" i="2"/>
  <c r="EP324" i="2"/>
  <c r="EO325" i="2"/>
  <c r="EP325" i="2"/>
  <c r="EO326" i="2"/>
  <c r="EP326" i="2"/>
  <c r="EO327" i="2"/>
  <c r="EP327" i="2"/>
  <c r="EO328" i="2"/>
  <c r="EP328" i="2"/>
  <c r="EO329" i="2"/>
  <c r="EP329" i="2"/>
  <c r="EO330" i="2"/>
  <c r="EP330" i="2"/>
  <c r="EO331" i="2"/>
  <c r="EP331" i="2"/>
  <c r="EO332" i="2"/>
  <c r="EP332" i="2"/>
  <c r="EO333" i="2"/>
  <c r="EP333" i="2"/>
  <c r="EO334" i="2"/>
  <c r="EP334" i="2"/>
  <c r="EO335" i="2"/>
  <c r="EP335" i="2"/>
  <c r="EO336" i="2"/>
  <c r="EP336" i="2"/>
  <c r="EO337" i="2"/>
  <c r="EP337" i="2"/>
  <c r="EO338" i="2"/>
  <c r="EP338" i="2"/>
  <c r="EO339" i="2"/>
  <c r="EP339" i="2"/>
  <c r="EO340" i="2"/>
  <c r="EP340" i="2"/>
  <c r="EO341" i="2"/>
  <c r="EP341" i="2"/>
  <c r="EO342" i="2"/>
  <c r="EP342" i="2"/>
  <c r="EO343" i="2"/>
  <c r="EP343" i="2"/>
  <c r="EO344" i="2"/>
  <c r="EP344" i="2"/>
  <c r="EO345" i="2"/>
  <c r="EP345" i="2"/>
  <c r="EO346" i="2"/>
  <c r="EP346" i="2"/>
  <c r="EO347" i="2"/>
  <c r="EP347" i="2"/>
  <c r="EO348" i="2"/>
  <c r="EP348" i="2"/>
  <c r="EO349" i="2"/>
  <c r="EP349" i="2"/>
  <c r="EO350" i="2"/>
  <c r="EP350" i="2"/>
  <c r="EO351" i="2"/>
  <c r="EP351" i="2"/>
  <c r="EO352" i="2"/>
  <c r="EP352" i="2"/>
  <c r="EO353" i="2"/>
  <c r="EP353" i="2"/>
  <c r="EO354" i="2"/>
  <c r="EP354" i="2"/>
  <c r="EO356" i="2"/>
  <c r="EP356" i="2"/>
  <c r="EO357" i="2"/>
  <c r="EP357" i="2"/>
  <c r="EO358" i="2"/>
  <c r="EP358" i="2"/>
  <c r="EO359" i="2"/>
  <c r="EP359" i="2"/>
  <c r="EO360" i="2"/>
  <c r="EP360" i="2"/>
  <c r="EO361" i="2"/>
  <c r="EP361" i="2"/>
  <c r="EO362" i="2"/>
  <c r="EP362" i="2"/>
  <c r="EO363" i="2"/>
  <c r="EP363" i="2"/>
  <c r="EO364" i="2"/>
  <c r="EP364" i="2"/>
  <c r="EO365" i="2"/>
  <c r="EP365" i="2"/>
  <c r="EO366" i="2"/>
  <c r="EP366" i="2"/>
  <c r="EO367" i="2"/>
  <c r="EP367" i="2"/>
  <c r="EO368" i="2"/>
  <c r="EP368" i="2"/>
  <c r="EO369" i="2"/>
  <c r="EP369" i="2"/>
  <c r="EO370" i="2"/>
  <c r="EP370" i="2"/>
  <c r="EO371" i="2"/>
  <c r="EP371" i="2"/>
  <c r="EO372" i="2"/>
  <c r="EP372" i="2"/>
  <c r="EO373" i="2"/>
  <c r="EP373" i="2"/>
  <c r="EO374" i="2"/>
  <c r="EP374" i="2"/>
  <c r="EO375" i="2"/>
  <c r="EP375" i="2"/>
  <c r="EO376" i="2"/>
  <c r="EP376" i="2"/>
  <c r="EO377" i="2"/>
  <c r="EP377" i="2"/>
  <c r="EO378" i="2"/>
  <c r="EP378" i="2"/>
  <c r="EO379" i="2"/>
  <c r="EP379" i="2"/>
  <c r="EO380" i="2"/>
  <c r="EP380" i="2"/>
  <c r="EO381" i="2"/>
  <c r="EP381" i="2"/>
  <c r="EO382" i="2"/>
  <c r="EP382" i="2"/>
  <c r="EO383" i="2"/>
  <c r="EP383" i="2"/>
  <c r="EO384" i="2"/>
  <c r="EP384" i="2"/>
  <c r="EO385" i="2"/>
  <c r="EP385" i="2"/>
  <c r="EO386" i="2"/>
  <c r="EP386" i="2"/>
  <c r="EO387" i="2"/>
  <c r="EP387" i="2"/>
  <c r="EO388" i="2"/>
  <c r="EP388" i="2"/>
  <c r="EO389" i="2"/>
  <c r="EP389" i="2"/>
  <c r="EO390" i="2"/>
  <c r="EP390" i="2"/>
  <c r="EO391" i="2"/>
  <c r="EP391" i="2"/>
  <c r="EO392" i="2"/>
  <c r="EP392" i="2"/>
  <c r="EO394" i="2"/>
  <c r="EP394" i="2"/>
  <c r="EO395" i="2"/>
  <c r="EP395" i="2"/>
  <c r="EO396" i="2"/>
  <c r="EP396" i="2"/>
  <c r="EO397" i="2"/>
  <c r="EP397" i="2"/>
  <c r="EO398" i="2"/>
  <c r="EP398" i="2"/>
  <c r="EO399" i="2"/>
  <c r="EP399" i="2"/>
  <c r="EO400" i="2"/>
  <c r="EP400" i="2"/>
  <c r="EO401" i="2"/>
  <c r="EP401" i="2"/>
  <c r="EO402" i="2"/>
  <c r="EP402" i="2"/>
  <c r="EO403" i="2"/>
  <c r="EP403" i="2"/>
  <c r="EO404" i="2"/>
  <c r="EP404" i="2"/>
  <c r="EO405" i="2"/>
  <c r="EP405" i="2"/>
  <c r="EO406" i="2"/>
  <c r="EP406" i="2"/>
  <c r="EO407" i="2"/>
  <c r="EP407" i="2"/>
  <c r="EO408" i="2"/>
  <c r="EP408" i="2"/>
  <c r="EO409" i="2"/>
  <c r="EP409" i="2"/>
  <c r="EO410" i="2"/>
  <c r="EP410" i="2"/>
  <c r="EO411" i="2"/>
  <c r="EP411" i="2"/>
  <c r="EO412" i="2"/>
  <c r="EP412" i="2"/>
  <c r="EO413" i="2"/>
  <c r="EP413" i="2"/>
  <c r="EO414" i="2"/>
  <c r="EP414" i="2"/>
  <c r="EO415" i="2"/>
  <c r="EP415" i="2"/>
  <c r="EO416" i="2"/>
  <c r="EP416" i="2"/>
  <c r="EO417" i="2"/>
  <c r="EP417" i="2"/>
  <c r="EO418" i="2"/>
  <c r="EP418" i="2"/>
  <c r="EO419" i="2"/>
  <c r="EP419" i="2"/>
  <c r="EO420" i="2"/>
  <c r="EP420" i="2"/>
  <c r="EO421" i="2"/>
  <c r="EP421" i="2"/>
  <c r="EO422" i="2"/>
  <c r="EP422" i="2"/>
  <c r="EO423" i="2"/>
  <c r="EP423" i="2"/>
  <c r="EO424" i="2"/>
  <c r="EP424" i="2"/>
  <c r="EO425" i="2"/>
  <c r="EP425" i="2"/>
  <c r="EO426" i="2"/>
  <c r="EP426" i="2"/>
  <c r="EO427" i="2"/>
  <c r="EP427" i="2"/>
  <c r="EO428" i="2"/>
  <c r="EP428" i="2"/>
  <c r="EO429" i="2"/>
  <c r="EP429" i="2"/>
  <c r="EO430" i="2"/>
  <c r="EP430" i="2"/>
  <c r="EO432" i="2"/>
  <c r="EP432" i="2"/>
  <c r="EO433" i="2"/>
  <c r="EP433" i="2"/>
  <c r="EO434" i="2"/>
  <c r="EP434" i="2"/>
  <c r="EO435" i="2"/>
  <c r="EP435" i="2"/>
  <c r="EO436" i="2"/>
  <c r="EP436" i="2"/>
  <c r="EO437" i="2"/>
  <c r="EP437" i="2"/>
  <c r="EO438" i="2"/>
  <c r="EP438" i="2"/>
  <c r="EO439" i="2"/>
  <c r="EP439" i="2"/>
  <c r="EO440" i="2"/>
  <c r="EP440" i="2"/>
  <c r="EO441" i="2"/>
  <c r="EP441" i="2"/>
  <c r="EO442" i="2"/>
  <c r="EP442" i="2"/>
  <c r="EO443" i="2"/>
  <c r="EP443" i="2"/>
  <c r="EO444" i="2"/>
  <c r="EP444" i="2"/>
  <c r="EO445" i="2"/>
  <c r="EP445" i="2"/>
  <c r="EO446" i="2"/>
  <c r="EP446" i="2"/>
  <c r="EO447" i="2"/>
  <c r="EP447" i="2"/>
  <c r="EO448" i="2"/>
  <c r="EP448" i="2"/>
  <c r="EO449" i="2"/>
  <c r="EP449" i="2"/>
  <c r="EO450" i="2"/>
  <c r="EP450" i="2"/>
  <c r="EO451" i="2"/>
  <c r="EP451" i="2"/>
  <c r="EO452" i="2"/>
  <c r="EP452" i="2"/>
  <c r="EO453" i="2"/>
  <c r="EP453" i="2"/>
  <c r="EO454" i="2"/>
  <c r="EP454" i="2"/>
  <c r="EO455" i="2"/>
  <c r="EP455" i="2"/>
  <c r="EO456" i="2"/>
  <c r="EP456" i="2"/>
  <c r="EO457" i="2"/>
  <c r="EP457" i="2"/>
  <c r="EO458" i="2"/>
  <c r="EP458" i="2"/>
  <c r="EO459" i="2"/>
  <c r="EP459" i="2"/>
  <c r="EO460" i="2"/>
  <c r="EP460" i="2"/>
  <c r="EO461" i="2"/>
  <c r="EP461" i="2"/>
  <c r="EO462" i="2"/>
  <c r="EP462" i="2"/>
  <c r="EO463" i="2"/>
  <c r="EP463" i="2"/>
  <c r="EO464" i="2"/>
  <c r="EP464" i="2"/>
  <c r="EO465" i="2"/>
  <c r="EP465" i="2"/>
  <c r="EO466" i="2"/>
  <c r="EP466" i="2"/>
  <c r="EO467" i="2"/>
  <c r="EP467" i="2"/>
  <c r="EO468" i="2"/>
  <c r="EP468" i="2"/>
  <c r="EP15" i="2"/>
  <c r="EP16" i="2"/>
  <c r="EP17" i="2"/>
  <c r="EP18" i="2"/>
  <c r="EP19" i="2"/>
  <c r="EP20" i="2"/>
  <c r="EP21" i="2"/>
  <c r="EP22" i="2"/>
  <c r="EP23" i="2"/>
  <c r="EP24" i="2"/>
  <c r="EP25" i="2"/>
  <c r="EP26" i="2"/>
  <c r="EP27" i="2"/>
  <c r="EP28" i="2"/>
  <c r="EP29" i="2"/>
  <c r="EP30" i="2"/>
  <c r="EP31" i="2"/>
  <c r="EP32" i="2"/>
  <c r="EP33" i="2"/>
  <c r="EP34" i="2"/>
  <c r="EP35" i="2"/>
  <c r="EP36" i="2"/>
  <c r="EP37" i="2"/>
  <c r="EP38" i="2"/>
  <c r="EP39" i="2"/>
  <c r="EP40" i="2"/>
  <c r="EP41" i="2"/>
  <c r="EP42" i="2"/>
  <c r="EP43" i="2"/>
  <c r="EP44" i="2"/>
  <c r="EP45" i="2"/>
  <c r="EP46" i="2"/>
  <c r="EP47" i="2"/>
  <c r="EP48" i="2"/>
  <c r="EP49" i="2"/>
  <c r="EP50" i="2"/>
  <c r="EP14" i="2"/>
  <c r="EO14" i="2"/>
  <c r="DY52" i="2"/>
  <c r="DZ52" i="2"/>
  <c r="DY53" i="2"/>
  <c r="DZ53" i="2"/>
  <c r="DY54" i="2"/>
  <c r="DZ54" i="2"/>
  <c r="DY55" i="2"/>
  <c r="DZ55" i="2"/>
  <c r="DY56" i="2"/>
  <c r="DZ56" i="2"/>
  <c r="DY57" i="2"/>
  <c r="DZ57" i="2"/>
  <c r="DY58" i="2"/>
  <c r="DZ58" i="2"/>
  <c r="DY59" i="2"/>
  <c r="DZ59" i="2"/>
  <c r="DY60" i="2"/>
  <c r="DZ60" i="2"/>
  <c r="DY61" i="2"/>
  <c r="DZ61" i="2"/>
  <c r="DY62" i="2"/>
  <c r="DZ62" i="2"/>
  <c r="DY63" i="2"/>
  <c r="DZ63" i="2"/>
  <c r="DY64" i="2"/>
  <c r="DZ64" i="2"/>
  <c r="DY65" i="2"/>
  <c r="DZ65" i="2"/>
  <c r="DY66" i="2"/>
  <c r="DZ66" i="2"/>
  <c r="DY67" i="2"/>
  <c r="DZ67" i="2"/>
  <c r="DY68" i="2"/>
  <c r="DZ68" i="2"/>
  <c r="DY69" i="2"/>
  <c r="DZ69" i="2"/>
  <c r="DY70" i="2"/>
  <c r="DZ70" i="2"/>
  <c r="DY71" i="2"/>
  <c r="DZ71" i="2"/>
  <c r="DY72" i="2"/>
  <c r="DZ72" i="2"/>
  <c r="DY73" i="2"/>
  <c r="DZ73" i="2"/>
  <c r="DY74" i="2"/>
  <c r="DZ74" i="2"/>
  <c r="DY75" i="2"/>
  <c r="DZ75" i="2"/>
  <c r="DY76" i="2"/>
  <c r="DZ76" i="2"/>
  <c r="DY77" i="2"/>
  <c r="DZ77" i="2"/>
  <c r="DY78" i="2"/>
  <c r="DZ78" i="2"/>
  <c r="DY79" i="2"/>
  <c r="DZ79" i="2"/>
  <c r="DY80" i="2"/>
  <c r="DZ80" i="2"/>
  <c r="DY81" i="2"/>
  <c r="DZ81" i="2"/>
  <c r="DY82" i="2"/>
  <c r="DZ82" i="2"/>
  <c r="DY83" i="2"/>
  <c r="DZ83" i="2"/>
  <c r="DY84" i="2"/>
  <c r="DZ84" i="2"/>
  <c r="DY85" i="2"/>
  <c r="DZ85" i="2"/>
  <c r="DY86" i="2"/>
  <c r="DZ86" i="2"/>
  <c r="DY87" i="2"/>
  <c r="DZ87" i="2"/>
  <c r="DY88" i="2"/>
  <c r="DZ88" i="2"/>
  <c r="DY90" i="2"/>
  <c r="DZ90" i="2"/>
  <c r="DY91" i="2"/>
  <c r="DZ91" i="2"/>
  <c r="DY92" i="2"/>
  <c r="DZ92" i="2"/>
  <c r="DY93" i="2"/>
  <c r="DZ93" i="2"/>
  <c r="DY94" i="2"/>
  <c r="DZ94" i="2"/>
  <c r="DY95" i="2"/>
  <c r="DZ95" i="2"/>
  <c r="DY96" i="2"/>
  <c r="DZ96" i="2"/>
  <c r="DY97" i="2"/>
  <c r="DZ97" i="2"/>
  <c r="DY98" i="2"/>
  <c r="DZ98" i="2"/>
  <c r="DY99" i="2"/>
  <c r="DZ99" i="2"/>
  <c r="DY100" i="2"/>
  <c r="DZ100" i="2"/>
  <c r="DY101" i="2"/>
  <c r="DZ101" i="2"/>
  <c r="DY102" i="2"/>
  <c r="DZ102" i="2"/>
  <c r="DY103" i="2"/>
  <c r="DZ103" i="2"/>
  <c r="DY104" i="2"/>
  <c r="DZ104" i="2"/>
  <c r="DY105" i="2"/>
  <c r="DZ105" i="2"/>
  <c r="DY106" i="2"/>
  <c r="DZ106" i="2"/>
  <c r="DY107" i="2"/>
  <c r="DZ107" i="2"/>
  <c r="DY108" i="2"/>
  <c r="DZ108" i="2"/>
  <c r="DY109" i="2"/>
  <c r="DZ109" i="2"/>
  <c r="DY110" i="2"/>
  <c r="DZ110" i="2"/>
  <c r="DY111" i="2"/>
  <c r="DZ111" i="2"/>
  <c r="DY112" i="2"/>
  <c r="DZ112" i="2"/>
  <c r="DY113" i="2"/>
  <c r="DZ113" i="2"/>
  <c r="DY114" i="2"/>
  <c r="DZ114" i="2"/>
  <c r="DY115" i="2"/>
  <c r="DZ115" i="2"/>
  <c r="DY116" i="2"/>
  <c r="DZ116" i="2"/>
  <c r="DY117" i="2"/>
  <c r="DZ117" i="2"/>
  <c r="DY118" i="2"/>
  <c r="DZ118" i="2"/>
  <c r="DY119" i="2"/>
  <c r="DZ119" i="2"/>
  <c r="DY120" i="2"/>
  <c r="DZ120" i="2"/>
  <c r="DY121" i="2"/>
  <c r="DZ121" i="2"/>
  <c r="DY122" i="2"/>
  <c r="DZ122" i="2"/>
  <c r="DY123" i="2"/>
  <c r="DZ123" i="2"/>
  <c r="DY124" i="2"/>
  <c r="DZ124" i="2"/>
  <c r="DY125" i="2"/>
  <c r="DZ125" i="2"/>
  <c r="DY126" i="2"/>
  <c r="DZ126" i="2"/>
  <c r="DY128" i="2"/>
  <c r="DZ128" i="2"/>
  <c r="DY129" i="2"/>
  <c r="DZ129" i="2"/>
  <c r="DY130" i="2"/>
  <c r="DZ130" i="2"/>
  <c r="DY131" i="2"/>
  <c r="DZ131" i="2"/>
  <c r="DY132" i="2"/>
  <c r="DZ132" i="2"/>
  <c r="DY133" i="2"/>
  <c r="DZ133" i="2"/>
  <c r="DY134" i="2"/>
  <c r="DZ134" i="2"/>
  <c r="DY135" i="2"/>
  <c r="DZ135" i="2"/>
  <c r="DY136" i="2"/>
  <c r="DZ136" i="2"/>
  <c r="DY137" i="2"/>
  <c r="DZ137" i="2"/>
  <c r="DY138" i="2"/>
  <c r="DZ138" i="2"/>
  <c r="DY139" i="2"/>
  <c r="DZ139" i="2"/>
  <c r="DY140" i="2"/>
  <c r="DZ140" i="2"/>
  <c r="DY141" i="2"/>
  <c r="DZ141" i="2"/>
  <c r="DY142" i="2"/>
  <c r="DZ142" i="2"/>
  <c r="DY143" i="2"/>
  <c r="DZ143" i="2"/>
  <c r="DY144" i="2"/>
  <c r="DZ144" i="2"/>
  <c r="DY145" i="2"/>
  <c r="DZ145" i="2"/>
  <c r="DY146" i="2"/>
  <c r="DZ146" i="2"/>
  <c r="DY147" i="2"/>
  <c r="DZ147" i="2"/>
  <c r="DY148" i="2"/>
  <c r="DZ148" i="2"/>
  <c r="DY149" i="2"/>
  <c r="DZ149" i="2"/>
  <c r="DY150" i="2"/>
  <c r="DZ150" i="2"/>
  <c r="DY151" i="2"/>
  <c r="DZ151" i="2"/>
  <c r="DY152" i="2"/>
  <c r="DZ152" i="2"/>
  <c r="DY153" i="2"/>
  <c r="DZ153" i="2"/>
  <c r="DY154" i="2"/>
  <c r="DZ154" i="2"/>
  <c r="DY155" i="2"/>
  <c r="DZ155" i="2"/>
  <c r="DY156" i="2"/>
  <c r="DZ156" i="2"/>
  <c r="DY157" i="2"/>
  <c r="DZ157" i="2"/>
  <c r="DY158" i="2"/>
  <c r="DZ158" i="2"/>
  <c r="DY159" i="2"/>
  <c r="DZ159" i="2"/>
  <c r="DY160" i="2"/>
  <c r="DZ160" i="2"/>
  <c r="DY161" i="2"/>
  <c r="DZ161" i="2"/>
  <c r="DY162" i="2"/>
  <c r="DZ162" i="2"/>
  <c r="DY163" i="2"/>
  <c r="DZ163" i="2"/>
  <c r="DY164" i="2"/>
  <c r="DZ164" i="2"/>
  <c r="DY166" i="2"/>
  <c r="DZ166" i="2"/>
  <c r="DY167" i="2"/>
  <c r="DZ167" i="2"/>
  <c r="DY168" i="2"/>
  <c r="DZ168" i="2"/>
  <c r="DY169" i="2"/>
  <c r="DZ169" i="2"/>
  <c r="DY170" i="2"/>
  <c r="DZ170" i="2"/>
  <c r="DY171" i="2"/>
  <c r="DZ171" i="2"/>
  <c r="DY172" i="2"/>
  <c r="DZ172" i="2"/>
  <c r="DY173" i="2"/>
  <c r="DZ173" i="2"/>
  <c r="DY174" i="2"/>
  <c r="DZ174" i="2"/>
  <c r="DY175" i="2"/>
  <c r="DZ175" i="2"/>
  <c r="DY176" i="2"/>
  <c r="DZ176" i="2"/>
  <c r="DY177" i="2"/>
  <c r="DZ177" i="2"/>
  <c r="DY178" i="2"/>
  <c r="DZ178" i="2"/>
  <c r="DY179" i="2"/>
  <c r="DZ179" i="2"/>
  <c r="DY180" i="2"/>
  <c r="DZ180" i="2"/>
  <c r="DY181" i="2"/>
  <c r="DZ181" i="2"/>
  <c r="DY182" i="2"/>
  <c r="DZ182" i="2"/>
  <c r="DY183" i="2"/>
  <c r="DZ183" i="2"/>
  <c r="DY184" i="2"/>
  <c r="DZ184" i="2"/>
  <c r="DY185" i="2"/>
  <c r="DZ185" i="2"/>
  <c r="DY186" i="2"/>
  <c r="DZ186" i="2"/>
  <c r="DY187" i="2"/>
  <c r="DZ187" i="2"/>
  <c r="DY188" i="2"/>
  <c r="DZ188" i="2"/>
  <c r="DY189" i="2"/>
  <c r="DZ189" i="2"/>
  <c r="DY190" i="2"/>
  <c r="DZ190" i="2"/>
  <c r="DY191" i="2"/>
  <c r="DZ191" i="2"/>
  <c r="DY192" i="2"/>
  <c r="DZ192" i="2"/>
  <c r="DY193" i="2"/>
  <c r="DZ193" i="2"/>
  <c r="DY194" i="2"/>
  <c r="DZ194" i="2"/>
  <c r="DY195" i="2"/>
  <c r="DZ195" i="2"/>
  <c r="DY196" i="2"/>
  <c r="DZ196" i="2"/>
  <c r="DY197" i="2"/>
  <c r="DZ197" i="2"/>
  <c r="DY198" i="2"/>
  <c r="DZ198" i="2"/>
  <c r="DY199" i="2"/>
  <c r="DZ199" i="2"/>
  <c r="DY200" i="2"/>
  <c r="DZ200" i="2"/>
  <c r="DY201" i="2"/>
  <c r="DZ201" i="2"/>
  <c r="DY202" i="2"/>
  <c r="DZ202" i="2"/>
  <c r="DY204" i="2"/>
  <c r="DZ204" i="2"/>
  <c r="DY205" i="2"/>
  <c r="DZ205" i="2"/>
  <c r="DY206" i="2"/>
  <c r="DZ206" i="2"/>
  <c r="DY207" i="2"/>
  <c r="DZ207" i="2"/>
  <c r="DY208" i="2"/>
  <c r="DZ208" i="2"/>
  <c r="DY209" i="2"/>
  <c r="DZ209" i="2"/>
  <c r="DY210" i="2"/>
  <c r="DZ210" i="2"/>
  <c r="DY211" i="2"/>
  <c r="DZ211" i="2"/>
  <c r="DY212" i="2"/>
  <c r="DZ212" i="2"/>
  <c r="DY213" i="2"/>
  <c r="DZ213" i="2"/>
  <c r="DY214" i="2"/>
  <c r="DZ214" i="2"/>
  <c r="DY215" i="2"/>
  <c r="DZ215" i="2"/>
  <c r="DY216" i="2"/>
  <c r="DZ216" i="2"/>
  <c r="DY217" i="2"/>
  <c r="DZ217" i="2"/>
  <c r="DY218" i="2"/>
  <c r="DZ218" i="2"/>
  <c r="DY219" i="2"/>
  <c r="DZ219" i="2"/>
  <c r="DY220" i="2"/>
  <c r="DZ220" i="2"/>
  <c r="DY221" i="2"/>
  <c r="DZ221" i="2"/>
  <c r="DY222" i="2"/>
  <c r="DZ222" i="2"/>
  <c r="DY223" i="2"/>
  <c r="DZ223" i="2"/>
  <c r="DY224" i="2"/>
  <c r="DZ224" i="2"/>
  <c r="DY225" i="2"/>
  <c r="DZ225" i="2"/>
  <c r="DY226" i="2"/>
  <c r="DZ226" i="2"/>
  <c r="DY227" i="2"/>
  <c r="DZ227" i="2"/>
  <c r="DY228" i="2"/>
  <c r="DZ228" i="2"/>
  <c r="DY229" i="2"/>
  <c r="DZ229" i="2"/>
  <c r="DY230" i="2"/>
  <c r="DZ230" i="2"/>
  <c r="DY231" i="2"/>
  <c r="DZ231" i="2"/>
  <c r="DY232" i="2"/>
  <c r="DZ232" i="2"/>
  <c r="DY233" i="2"/>
  <c r="DZ233" i="2"/>
  <c r="DY234" i="2"/>
  <c r="DZ234" i="2"/>
  <c r="DY235" i="2"/>
  <c r="DZ235" i="2"/>
  <c r="DY236" i="2"/>
  <c r="DZ236" i="2"/>
  <c r="DY237" i="2"/>
  <c r="DZ237" i="2"/>
  <c r="DY238" i="2"/>
  <c r="DZ238" i="2"/>
  <c r="DY239" i="2"/>
  <c r="DZ239" i="2"/>
  <c r="DY240" i="2"/>
  <c r="DZ240" i="2"/>
  <c r="DY242" i="2"/>
  <c r="DZ242" i="2"/>
  <c r="DY243" i="2"/>
  <c r="DZ243" i="2"/>
  <c r="DY244" i="2"/>
  <c r="DZ244" i="2"/>
  <c r="DY245" i="2"/>
  <c r="DZ245" i="2"/>
  <c r="DY246" i="2"/>
  <c r="DZ246" i="2"/>
  <c r="DY247" i="2"/>
  <c r="DZ247" i="2"/>
  <c r="DY248" i="2"/>
  <c r="DZ248" i="2"/>
  <c r="DY249" i="2"/>
  <c r="DZ249" i="2"/>
  <c r="DY250" i="2"/>
  <c r="DZ250" i="2"/>
  <c r="DY251" i="2"/>
  <c r="DZ251" i="2"/>
  <c r="DY252" i="2"/>
  <c r="DZ252" i="2"/>
  <c r="DY253" i="2"/>
  <c r="DZ253" i="2"/>
  <c r="DY254" i="2"/>
  <c r="DZ254" i="2"/>
  <c r="DY255" i="2"/>
  <c r="DZ255" i="2"/>
  <c r="DY256" i="2"/>
  <c r="DZ256" i="2"/>
  <c r="DY257" i="2"/>
  <c r="DZ257" i="2"/>
  <c r="DY258" i="2"/>
  <c r="DZ258" i="2"/>
  <c r="DY259" i="2"/>
  <c r="DZ259" i="2"/>
  <c r="DY260" i="2"/>
  <c r="DZ260" i="2"/>
  <c r="DY261" i="2"/>
  <c r="DZ261" i="2"/>
  <c r="DY262" i="2"/>
  <c r="DZ262" i="2"/>
  <c r="DY263" i="2"/>
  <c r="DZ263" i="2"/>
  <c r="DY264" i="2"/>
  <c r="DZ264" i="2"/>
  <c r="DY265" i="2"/>
  <c r="DZ265" i="2"/>
  <c r="DY266" i="2"/>
  <c r="DZ266" i="2"/>
  <c r="DY267" i="2"/>
  <c r="DZ267" i="2"/>
  <c r="DY268" i="2"/>
  <c r="DZ268" i="2"/>
  <c r="DY269" i="2"/>
  <c r="DZ269" i="2"/>
  <c r="DY270" i="2"/>
  <c r="DZ270" i="2"/>
  <c r="DY271" i="2"/>
  <c r="DZ271" i="2"/>
  <c r="DY272" i="2"/>
  <c r="DZ272" i="2"/>
  <c r="DY273" i="2"/>
  <c r="DZ273" i="2"/>
  <c r="DY274" i="2"/>
  <c r="DZ274" i="2"/>
  <c r="DY275" i="2"/>
  <c r="DZ275" i="2"/>
  <c r="DY276" i="2"/>
  <c r="DZ276" i="2"/>
  <c r="DY277" i="2"/>
  <c r="DZ277" i="2"/>
  <c r="DY278" i="2"/>
  <c r="DZ278" i="2"/>
  <c r="DY280" i="2"/>
  <c r="DZ280" i="2"/>
  <c r="DY281" i="2"/>
  <c r="DZ281" i="2"/>
  <c r="DY282" i="2"/>
  <c r="DZ282" i="2"/>
  <c r="DY283" i="2"/>
  <c r="DZ283" i="2"/>
  <c r="DY284" i="2"/>
  <c r="DZ284" i="2"/>
  <c r="DY285" i="2"/>
  <c r="DZ285" i="2"/>
  <c r="DY286" i="2"/>
  <c r="DZ286" i="2"/>
  <c r="DY287" i="2"/>
  <c r="DZ287" i="2"/>
  <c r="DY288" i="2"/>
  <c r="DZ288" i="2"/>
  <c r="DY289" i="2"/>
  <c r="DZ289" i="2"/>
  <c r="DY290" i="2"/>
  <c r="DZ290" i="2"/>
  <c r="DY291" i="2"/>
  <c r="DZ291" i="2"/>
  <c r="DY292" i="2"/>
  <c r="DZ292" i="2"/>
  <c r="DY293" i="2"/>
  <c r="DZ293" i="2"/>
  <c r="DY294" i="2"/>
  <c r="DZ294" i="2"/>
  <c r="DY295" i="2"/>
  <c r="DZ295" i="2"/>
  <c r="DY296" i="2"/>
  <c r="DZ296" i="2"/>
  <c r="DY297" i="2"/>
  <c r="DZ297" i="2"/>
  <c r="DY298" i="2"/>
  <c r="DZ298" i="2"/>
  <c r="DY299" i="2"/>
  <c r="DZ299" i="2"/>
  <c r="DY300" i="2"/>
  <c r="DZ300" i="2"/>
  <c r="DY301" i="2"/>
  <c r="DZ301" i="2"/>
  <c r="DY302" i="2"/>
  <c r="DZ302" i="2"/>
  <c r="DY303" i="2"/>
  <c r="DZ303" i="2"/>
  <c r="DY304" i="2"/>
  <c r="DZ304" i="2"/>
  <c r="DY305" i="2"/>
  <c r="DZ305" i="2"/>
  <c r="DY306" i="2"/>
  <c r="DZ306" i="2"/>
  <c r="DY307" i="2"/>
  <c r="DZ307" i="2"/>
  <c r="DY308" i="2"/>
  <c r="DZ308" i="2"/>
  <c r="DY309" i="2"/>
  <c r="DZ309" i="2"/>
  <c r="DY310" i="2"/>
  <c r="DZ310" i="2"/>
  <c r="DY311" i="2"/>
  <c r="DZ311" i="2"/>
  <c r="DY312" i="2"/>
  <c r="DZ312" i="2"/>
  <c r="DY313" i="2"/>
  <c r="DZ313" i="2"/>
  <c r="DY314" i="2"/>
  <c r="DZ314" i="2"/>
  <c r="DY315" i="2"/>
  <c r="DZ315" i="2"/>
  <c r="DY316" i="2"/>
  <c r="DZ316" i="2"/>
  <c r="DY318" i="2"/>
  <c r="DZ318" i="2"/>
  <c r="DY319" i="2"/>
  <c r="DZ319" i="2"/>
  <c r="DY320" i="2"/>
  <c r="DZ320" i="2"/>
  <c r="DY321" i="2"/>
  <c r="DZ321" i="2"/>
  <c r="DY322" i="2"/>
  <c r="DZ322" i="2"/>
  <c r="DY323" i="2"/>
  <c r="DZ323" i="2"/>
  <c r="DY324" i="2"/>
  <c r="DZ324" i="2"/>
  <c r="DY325" i="2"/>
  <c r="DZ325" i="2"/>
  <c r="DY326" i="2"/>
  <c r="DZ326" i="2"/>
  <c r="DY327" i="2"/>
  <c r="DZ327" i="2"/>
  <c r="DY328" i="2"/>
  <c r="DZ328" i="2"/>
  <c r="DY329" i="2"/>
  <c r="DZ329" i="2"/>
  <c r="DY330" i="2"/>
  <c r="DZ330" i="2"/>
  <c r="DY331" i="2"/>
  <c r="DZ331" i="2"/>
  <c r="DY332" i="2"/>
  <c r="DZ332" i="2"/>
  <c r="DY333" i="2"/>
  <c r="DZ333" i="2"/>
  <c r="DY334" i="2"/>
  <c r="DZ334" i="2"/>
  <c r="DY335" i="2"/>
  <c r="DZ335" i="2"/>
  <c r="DY336" i="2"/>
  <c r="DZ336" i="2"/>
  <c r="DY337" i="2"/>
  <c r="DZ337" i="2"/>
  <c r="DY338" i="2"/>
  <c r="DZ338" i="2"/>
  <c r="DY339" i="2"/>
  <c r="DZ339" i="2"/>
  <c r="DY340" i="2"/>
  <c r="DZ340" i="2"/>
  <c r="DY341" i="2"/>
  <c r="DZ341" i="2"/>
  <c r="DY342" i="2"/>
  <c r="DZ342" i="2"/>
  <c r="DY343" i="2"/>
  <c r="DZ343" i="2"/>
  <c r="DY344" i="2"/>
  <c r="DZ344" i="2"/>
  <c r="DY345" i="2"/>
  <c r="DZ345" i="2"/>
  <c r="DY346" i="2"/>
  <c r="DZ346" i="2"/>
  <c r="DY347" i="2"/>
  <c r="DZ347" i="2"/>
  <c r="DY348" i="2"/>
  <c r="DZ348" i="2"/>
  <c r="DY349" i="2"/>
  <c r="DZ349" i="2"/>
  <c r="DY350" i="2"/>
  <c r="DZ350" i="2"/>
  <c r="DY351" i="2"/>
  <c r="DZ351" i="2"/>
  <c r="DY352" i="2"/>
  <c r="DZ352" i="2"/>
  <c r="DY353" i="2"/>
  <c r="DZ353" i="2"/>
  <c r="DY354" i="2"/>
  <c r="DZ354" i="2"/>
  <c r="DY356" i="2"/>
  <c r="DZ356" i="2"/>
  <c r="DY357" i="2"/>
  <c r="DZ357" i="2"/>
  <c r="DY358" i="2"/>
  <c r="DZ358" i="2"/>
  <c r="DY359" i="2"/>
  <c r="DZ359" i="2"/>
  <c r="DY360" i="2"/>
  <c r="DZ360" i="2"/>
  <c r="DY361" i="2"/>
  <c r="DZ361" i="2"/>
  <c r="DY362" i="2"/>
  <c r="DZ362" i="2"/>
  <c r="DY363" i="2"/>
  <c r="DZ363" i="2"/>
  <c r="DY364" i="2"/>
  <c r="DZ364" i="2"/>
  <c r="DY365" i="2"/>
  <c r="DZ365" i="2"/>
  <c r="DY366" i="2"/>
  <c r="DZ366" i="2"/>
  <c r="DY367" i="2"/>
  <c r="DZ367" i="2"/>
  <c r="DY368" i="2"/>
  <c r="DZ368" i="2"/>
  <c r="DY369" i="2"/>
  <c r="DZ369" i="2"/>
  <c r="DY370" i="2"/>
  <c r="DZ370" i="2"/>
  <c r="DY371" i="2"/>
  <c r="DZ371" i="2"/>
  <c r="DY372" i="2"/>
  <c r="DZ372" i="2"/>
  <c r="DY373" i="2"/>
  <c r="DZ373" i="2"/>
  <c r="DY374" i="2"/>
  <c r="DZ374" i="2"/>
  <c r="DY375" i="2"/>
  <c r="DZ375" i="2"/>
  <c r="DY376" i="2"/>
  <c r="DZ376" i="2"/>
  <c r="DY377" i="2"/>
  <c r="DZ377" i="2"/>
  <c r="DY378" i="2"/>
  <c r="DZ378" i="2"/>
  <c r="DY379" i="2"/>
  <c r="DZ379" i="2"/>
  <c r="DY380" i="2"/>
  <c r="DZ380" i="2"/>
  <c r="DY381" i="2"/>
  <c r="DZ381" i="2"/>
  <c r="DY382" i="2"/>
  <c r="DZ382" i="2"/>
  <c r="DY383" i="2"/>
  <c r="DZ383" i="2"/>
  <c r="DY384" i="2"/>
  <c r="DZ384" i="2"/>
  <c r="DY385" i="2"/>
  <c r="DZ385" i="2"/>
  <c r="DY386" i="2"/>
  <c r="DZ386" i="2"/>
  <c r="DY387" i="2"/>
  <c r="DZ387" i="2"/>
  <c r="DY388" i="2"/>
  <c r="DZ388" i="2"/>
  <c r="DY389" i="2"/>
  <c r="DZ389" i="2"/>
  <c r="DY390" i="2"/>
  <c r="DZ390" i="2"/>
  <c r="DY391" i="2"/>
  <c r="DZ391" i="2"/>
  <c r="DY392" i="2"/>
  <c r="DZ392" i="2"/>
  <c r="DY394" i="2"/>
  <c r="DZ394" i="2"/>
  <c r="DY395" i="2"/>
  <c r="DZ395" i="2"/>
  <c r="DY396" i="2"/>
  <c r="DZ396" i="2"/>
  <c r="DY397" i="2"/>
  <c r="DZ397" i="2"/>
  <c r="DY398" i="2"/>
  <c r="DZ398" i="2"/>
  <c r="DY399" i="2"/>
  <c r="DZ399" i="2"/>
  <c r="DY400" i="2"/>
  <c r="DZ400" i="2"/>
  <c r="DY401" i="2"/>
  <c r="DZ401" i="2"/>
  <c r="DY402" i="2"/>
  <c r="DZ402" i="2"/>
  <c r="DY403" i="2"/>
  <c r="DZ403" i="2"/>
  <c r="DY404" i="2"/>
  <c r="DZ404" i="2"/>
  <c r="DY405" i="2"/>
  <c r="DZ405" i="2"/>
  <c r="DY406" i="2"/>
  <c r="DZ406" i="2"/>
  <c r="DY407" i="2"/>
  <c r="DZ407" i="2"/>
  <c r="DY408" i="2"/>
  <c r="DZ408" i="2"/>
  <c r="DY409" i="2"/>
  <c r="DZ409" i="2"/>
  <c r="DY410" i="2"/>
  <c r="DZ410" i="2"/>
  <c r="DY411" i="2"/>
  <c r="DZ411" i="2"/>
  <c r="DY412" i="2"/>
  <c r="DZ412" i="2"/>
  <c r="DY413" i="2"/>
  <c r="DZ413" i="2"/>
  <c r="DY414" i="2"/>
  <c r="DZ414" i="2"/>
  <c r="DY415" i="2"/>
  <c r="DZ415" i="2"/>
  <c r="DY416" i="2"/>
  <c r="DZ416" i="2"/>
  <c r="DY417" i="2"/>
  <c r="DZ417" i="2"/>
  <c r="DY418" i="2"/>
  <c r="DZ418" i="2"/>
  <c r="DY419" i="2"/>
  <c r="DZ419" i="2"/>
  <c r="DY420" i="2"/>
  <c r="DZ420" i="2"/>
  <c r="DY421" i="2"/>
  <c r="DZ421" i="2"/>
  <c r="DY422" i="2"/>
  <c r="DZ422" i="2"/>
  <c r="DY423" i="2"/>
  <c r="DZ423" i="2"/>
  <c r="DY424" i="2"/>
  <c r="DZ424" i="2"/>
  <c r="DY425" i="2"/>
  <c r="DZ425" i="2"/>
  <c r="DY426" i="2"/>
  <c r="DZ426" i="2"/>
  <c r="DY427" i="2"/>
  <c r="DZ427" i="2"/>
  <c r="DY428" i="2"/>
  <c r="DZ428" i="2"/>
  <c r="DY429" i="2"/>
  <c r="DZ429" i="2"/>
  <c r="DY430" i="2"/>
  <c r="DZ430" i="2"/>
  <c r="DY432" i="2"/>
  <c r="DZ432" i="2"/>
  <c r="DY433" i="2"/>
  <c r="DZ433" i="2"/>
  <c r="DY434" i="2"/>
  <c r="DZ434" i="2"/>
  <c r="DY435" i="2"/>
  <c r="DZ435" i="2"/>
  <c r="DY436" i="2"/>
  <c r="DZ436" i="2"/>
  <c r="DY437" i="2"/>
  <c r="DZ437" i="2"/>
  <c r="DY438" i="2"/>
  <c r="DZ438" i="2"/>
  <c r="DY439" i="2"/>
  <c r="DZ439" i="2"/>
  <c r="DY440" i="2"/>
  <c r="DZ440" i="2"/>
  <c r="DY441" i="2"/>
  <c r="DZ441" i="2"/>
  <c r="DY442" i="2"/>
  <c r="DZ442" i="2"/>
  <c r="DY443" i="2"/>
  <c r="DZ443" i="2"/>
  <c r="DY444" i="2"/>
  <c r="DZ444" i="2"/>
  <c r="DY445" i="2"/>
  <c r="DZ445" i="2"/>
  <c r="DY446" i="2"/>
  <c r="DZ446" i="2"/>
  <c r="DY447" i="2"/>
  <c r="DZ447" i="2"/>
  <c r="DY448" i="2"/>
  <c r="DZ448" i="2"/>
  <c r="DY449" i="2"/>
  <c r="DZ449" i="2"/>
  <c r="DY450" i="2"/>
  <c r="DZ450" i="2"/>
  <c r="DY451" i="2"/>
  <c r="DZ451" i="2"/>
  <c r="DY452" i="2"/>
  <c r="DZ452" i="2"/>
  <c r="DY453" i="2"/>
  <c r="DZ453" i="2"/>
  <c r="DY454" i="2"/>
  <c r="DZ454" i="2"/>
  <c r="DY455" i="2"/>
  <c r="DZ455" i="2"/>
  <c r="DY456" i="2"/>
  <c r="DZ456" i="2"/>
  <c r="DY457" i="2"/>
  <c r="DZ457" i="2"/>
  <c r="DY458" i="2"/>
  <c r="DZ458" i="2"/>
  <c r="DY459" i="2"/>
  <c r="DZ459" i="2"/>
  <c r="DY460" i="2"/>
  <c r="DZ460" i="2"/>
  <c r="DY461" i="2"/>
  <c r="DZ461" i="2"/>
  <c r="DY462" i="2"/>
  <c r="DZ462" i="2"/>
  <c r="DY463" i="2"/>
  <c r="DZ463" i="2"/>
  <c r="DY464" i="2"/>
  <c r="DZ464" i="2"/>
  <c r="DY465" i="2"/>
  <c r="DZ465" i="2"/>
  <c r="DY466" i="2"/>
  <c r="DZ466" i="2"/>
  <c r="DY467" i="2"/>
  <c r="DZ467" i="2"/>
  <c r="DY468" i="2"/>
  <c r="DZ468" i="2"/>
  <c r="DZ15" i="2"/>
  <c r="DZ16" i="2"/>
  <c r="DZ17" i="2"/>
  <c r="DZ18" i="2"/>
  <c r="DZ19" i="2"/>
  <c r="DZ20" i="2"/>
  <c r="DZ21" i="2"/>
  <c r="DZ22" i="2"/>
  <c r="DZ23" i="2"/>
  <c r="DZ24" i="2"/>
  <c r="DZ25" i="2"/>
  <c r="DZ26" i="2"/>
  <c r="DZ27" i="2"/>
  <c r="DZ28" i="2"/>
  <c r="DZ29" i="2"/>
  <c r="DZ30" i="2"/>
  <c r="DZ31" i="2"/>
  <c r="DZ32" i="2"/>
  <c r="DZ33" i="2"/>
  <c r="DZ34" i="2"/>
  <c r="DZ35" i="2"/>
  <c r="DZ36" i="2"/>
  <c r="DZ37" i="2"/>
  <c r="DZ38" i="2"/>
  <c r="DZ39" i="2"/>
  <c r="DZ40" i="2"/>
  <c r="DZ41" i="2"/>
  <c r="DZ42" i="2"/>
  <c r="DZ43" i="2"/>
  <c r="DZ44" i="2"/>
  <c r="DZ45" i="2"/>
  <c r="DZ46" i="2"/>
  <c r="DZ47" i="2"/>
  <c r="DZ48" i="2"/>
  <c r="DZ49" i="2"/>
  <c r="DZ50" i="2"/>
  <c r="DZ14" i="2"/>
  <c r="DY14" i="2"/>
  <c r="DI52" i="2"/>
  <c r="DJ52" i="2"/>
  <c r="DI53" i="2"/>
  <c r="DJ53" i="2"/>
  <c r="DI54" i="2"/>
  <c r="DJ54" i="2"/>
  <c r="DI55" i="2"/>
  <c r="DJ55" i="2"/>
  <c r="DI56" i="2"/>
  <c r="DJ56" i="2"/>
  <c r="DI57" i="2"/>
  <c r="DJ57" i="2"/>
  <c r="DI58" i="2"/>
  <c r="DJ58" i="2"/>
  <c r="DI59" i="2"/>
  <c r="DJ59" i="2"/>
  <c r="DI60" i="2"/>
  <c r="DJ60" i="2"/>
  <c r="DI61" i="2"/>
  <c r="DJ61" i="2"/>
  <c r="DI62" i="2"/>
  <c r="DJ62" i="2"/>
  <c r="DI63" i="2"/>
  <c r="DJ63" i="2"/>
  <c r="DI64" i="2"/>
  <c r="DJ64" i="2"/>
  <c r="DI65" i="2"/>
  <c r="DJ65" i="2"/>
  <c r="DI66" i="2"/>
  <c r="DJ66" i="2"/>
  <c r="DI67" i="2"/>
  <c r="DJ67" i="2"/>
  <c r="DI68" i="2"/>
  <c r="DJ68" i="2"/>
  <c r="DI69" i="2"/>
  <c r="DJ69" i="2"/>
  <c r="DI70" i="2"/>
  <c r="DJ70" i="2"/>
  <c r="DI71" i="2"/>
  <c r="DJ71" i="2"/>
  <c r="DI72" i="2"/>
  <c r="DJ72" i="2"/>
  <c r="DI73" i="2"/>
  <c r="DJ73" i="2"/>
  <c r="DI74" i="2"/>
  <c r="DJ74" i="2"/>
  <c r="DI75" i="2"/>
  <c r="DJ75" i="2"/>
  <c r="DI76" i="2"/>
  <c r="DJ76" i="2"/>
  <c r="DI77" i="2"/>
  <c r="DJ77" i="2"/>
  <c r="DI78" i="2"/>
  <c r="DJ78" i="2"/>
  <c r="DI79" i="2"/>
  <c r="DJ79" i="2"/>
  <c r="DI80" i="2"/>
  <c r="DJ80" i="2"/>
  <c r="DI81" i="2"/>
  <c r="DJ81" i="2"/>
  <c r="DI82" i="2"/>
  <c r="DJ82" i="2"/>
  <c r="DI83" i="2"/>
  <c r="DJ83" i="2"/>
  <c r="DI84" i="2"/>
  <c r="DJ84" i="2"/>
  <c r="DI85" i="2"/>
  <c r="DJ85" i="2"/>
  <c r="DI86" i="2"/>
  <c r="DJ86" i="2"/>
  <c r="DI87" i="2"/>
  <c r="DJ87" i="2"/>
  <c r="DI88" i="2"/>
  <c r="DJ88" i="2"/>
  <c r="DI90" i="2"/>
  <c r="DJ90" i="2"/>
  <c r="DI91" i="2"/>
  <c r="DJ91" i="2"/>
  <c r="DI92" i="2"/>
  <c r="DJ92" i="2"/>
  <c r="DI93" i="2"/>
  <c r="DJ93" i="2"/>
  <c r="DI94" i="2"/>
  <c r="DJ94" i="2"/>
  <c r="DI95" i="2"/>
  <c r="DJ95" i="2"/>
  <c r="DI96" i="2"/>
  <c r="DJ96" i="2"/>
  <c r="DI97" i="2"/>
  <c r="DJ97" i="2"/>
  <c r="DI98" i="2"/>
  <c r="DJ98" i="2"/>
  <c r="DI99" i="2"/>
  <c r="DJ99" i="2"/>
  <c r="DI100" i="2"/>
  <c r="DJ100" i="2"/>
  <c r="DI101" i="2"/>
  <c r="DJ101" i="2"/>
  <c r="DI102" i="2"/>
  <c r="DJ102" i="2"/>
  <c r="DI103" i="2"/>
  <c r="DJ103" i="2"/>
  <c r="DI104" i="2"/>
  <c r="DJ104" i="2"/>
  <c r="DI105" i="2"/>
  <c r="DJ105" i="2"/>
  <c r="DI106" i="2"/>
  <c r="DJ106" i="2"/>
  <c r="DI107" i="2"/>
  <c r="DJ107" i="2"/>
  <c r="DI108" i="2"/>
  <c r="DJ108" i="2"/>
  <c r="DI109" i="2"/>
  <c r="DJ109" i="2"/>
  <c r="DI110" i="2"/>
  <c r="DJ110" i="2"/>
  <c r="DI111" i="2"/>
  <c r="DJ111" i="2"/>
  <c r="DI112" i="2"/>
  <c r="DJ112" i="2"/>
  <c r="DI113" i="2"/>
  <c r="DJ113" i="2"/>
  <c r="DI114" i="2"/>
  <c r="DJ114" i="2"/>
  <c r="DI115" i="2"/>
  <c r="DJ115" i="2"/>
  <c r="DI116" i="2"/>
  <c r="DJ116" i="2"/>
  <c r="DI117" i="2"/>
  <c r="DJ117" i="2"/>
  <c r="DI118" i="2"/>
  <c r="DJ118" i="2"/>
  <c r="DI119" i="2"/>
  <c r="DJ119" i="2"/>
  <c r="DI120" i="2"/>
  <c r="DJ120" i="2"/>
  <c r="DI121" i="2"/>
  <c r="DJ121" i="2"/>
  <c r="DI122" i="2"/>
  <c r="DJ122" i="2"/>
  <c r="DI123" i="2"/>
  <c r="DJ123" i="2"/>
  <c r="DI124" i="2"/>
  <c r="DJ124" i="2"/>
  <c r="DI125" i="2"/>
  <c r="DJ125" i="2"/>
  <c r="DI126" i="2"/>
  <c r="DJ126" i="2"/>
  <c r="DI128" i="2"/>
  <c r="DJ128" i="2"/>
  <c r="DI129" i="2"/>
  <c r="DJ129" i="2"/>
  <c r="DI130" i="2"/>
  <c r="DJ130" i="2"/>
  <c r="DI131" i="2"/>
  <c r="DJ131" i="2"/>
  <c r="DI132" i="2"/>
  <c r="DJ132" i="2"/>
  <c r="DI133" i="2"/>
  <c r="DJ133" i="2"/>
  <c r="DI134" i="2"/>
  <c r="DJ134" i="2"/>
  <c r="DI135" i="2"/>
  <c r="DJ135" i="2"/>
  <c r="DI136" i="2"/>
  <c r="DJ136" i="2"/>
  <c r="DI137" i="2"/>
  <c r="DJ137" i="2"/>
  <c r="DI138" i="2"/>
  <c r="DJ138" i="2"/>
  <c r="DI139" i="2"/>
  <c r="DJ139" i="2"/>
  <c r="DI140" i="2"/>
  <c r="DJ140" i="2"/>
  <c r="DI141" i="2"/>
  <c r="DJ141" i="2"/>
  <c r="DI142" i="2"/>
  <c r="DJ142" i="2"/>
  <c r="DI143" i="2"/>
  <c r="DJ143" i="2"/>
  <c r="DI144" i="2"/>
  <c r="DJ144" i="2"/>
  <c r="DI145" i="2"/>
  <c r="DJ145" i="2"/>
  <c r="DI146" i="2"/>
  <c r="DJ146" i="2"/>
  <c r="DI147" i="2"/>
  <c r="DJ147" i="2"/>
  <c r="DI148" i="2"/>
  <c r="DJ148" i="2"/>
  <c r="DI149" i="2"/>
  <c r="DJ149" i="2"/>
  <c r="DI150" i="2"/>
  <c r="DJ150" i="2"/>
  <c r="DI151" i="2"/>
  <c r="DJ151" i="2"/>
  <c r="DI152" i="2"/>
  <c r="DJ152" i="2"/>
  <c r="DI153" i="2"/>
  <c r="DJ153" i="2"/>
  <c r="DI154" i="2"/>
  <c r="DJ154" i="2"/>
  <c r="DI155" i="2"/>
  <c r="DJ155" i="2"/>
  <c r="DI156" i="2"/>
  <c r="DJ156" i="2"/>
  <c r="DI157" i="2"/>
  <c r="DJ157" i="2"/>
  <c r="DI158" i="2"/>
  <c r="DJ158" i="2"/>
  <c r="DI159" i="2"/>
  <c r="DJ159" i="2"/>
  <c r="DI160" i="2"/>
  <c r="DJ160" i="2"/>
  <c r="DI161" i="2"/>
  <c r="DJ161" i="2"/>
  <c r="DI162" i="2"/>
  <c r="DJ162" i="2"/>
  <c r="DI163" i="2"/>
  <c r="DJ163" i="2"/>
  <c r="DI164" i="2"/>
  <c r="DJ164" i="2"/>
  <c r="DI166" i="2"/>
  <c r="DJ166" i="2"/>
  <c r="DI167" i="2"/>
  <c r="DJ167" i="2"/>
  <c r="DI168" i="2"/>
  <c r="DJ168" i="2"/>
  <c r="DI169" i="2"/>
  <c r="DJ169" i="2"/>
  <c r="DI170" i="2"/>
  <c r="DJ170" i="2"/>
  <c r="DI171" i="2"/>
  <c r="DJ171" i="2"/>
  <c r="DI172" i="2"/>
  <c r="DJ172" i="2"/>
  <c r="DI173" i="2"/>
  <c r="DJ173" i="2"/>
  <c r="DI174" i="2"/>
  <c r="DJ174" i="2"/>
  <c r="DI175" i="2"/>
  <c r="DJ175" i="2"/>
  <c r="DI176" i="2"/>
  <c r="DJ176" i="2"/>
  <c r="DI177" i="2"/>
  <c r="DJ177" i="2"/>
  <c r="DI178" i="2"/>
  <c r="DJ178" i="2"/>
  <c r="DI179" i="2"/>
  <c r="DJ179" i="2"/>
  <c r="DI180" i="2"/>
  <c r="DJ180" i="2"/>
  <c r="DI181" i="2"/>
  <c r="DJ181" i="2"/>
  <c r="DI182" i="2"/>
  <c r="DJ182" i="2"/>
  <c r="DI183" i="2"/>
  <c r="DJ183" i="2"/>
  <c r="DI184" i="2"/>
  <c r="DJ184" i="2"/>
  <c r="DI185" i="2"/>
  <c r="DJ185" i="2"/>
  <c r="DI186" i="2"/>
  <c r="DJ186" i="2"/>
  <c r="DI187" i="2"/>
  <c r="DJ187" i="2"/>
  <c r="DI188" i="2"/>
  <c r="DJ188" i="2"/>
  <c r="DI189" i="2"/>
  <c r="DJ189" i="2"/>
  <c r="DI190" i="2"/>
  <c r="DJ190" i="2"/>
  <c r="DI191" i="2"/>
  <c r="DJ191" i="2"/>
  <c r="DI192" i="2"/>
  <c r="DJ192" i="2"/>
  <c r="DI193" i="2"/>
  <c r="DJ193" i="2"/>
  <c r="DI194" i="2"/>
  <c r="DJ194" i="2"/>
  <c r="DI195" i="2"/>
  <c r="DJ195" i="2"/>
  <c r="DI196" i="2"/>
  <c r="DJ196" i="2"/>
  <c r="DI197" i="2"/>
  <c r="DJ197" i="2"/>
  <c r="DI198" i="2"/>
  <c r="DJ198" i="2"/>
  <c r="DI199" i="2"/>
  <c r="DJ199" i="2"/>
  <c r="DI200" i="2"/>
  <c r="DJ200" i="2"/>
  <c r="DI201" i="2"/>
  <c r="DJ201" i="2"/>
  <c r="DI202" i="2"/>
  <c r="DJ202" i="2"/>
  <c r="DI204" i="2"/>
  <c r="DJ204" i="2"/>
  <c r="DI205" i="2"/>
  <c r="DJ205" i="2"/>
  <c r="DI206" i="2"/>
  <c r="DJ206" i="2"/>
  <c r="DI207" i="2"/>
  <c r="DJ207" i="2"/>
  <c r="DI208" i="2"/>
  <c r="DJ208" i="2"/>
  <c r="DI209" i="2"/>
  <c r="DJ209" i="2"/>
  <c r="DI210" i="2"/>
  <c r="DJ210" i="2"/>
  <c r="DI211" i="2"/>
  <c r="DJ211" i="2"/>
  <c r="DI212" i="2"/>
  <c r="DJ212" i="2"/>
  <c r="DI213" i="2"/>
  <c r="DJ213" i="2"/>
  <c r="DI214" i="2"/>
  <c r="DJ214" i="2"/>
  <c r="DI215" i="2"/>
  <c r="DJ215" i="2"/>
  <c r="DI216" i="2"/>
  <c r="DJ216" i="2"/>
  <c r="DI217" i="2"/>
  <c r="DJ217" i="2"/>
  <c r="DI218" i="2"/>
  <c r="DJ218" i="2"/>
  <c r="DI219" i="2"/>
  <c r="DJ219" i="2"/>
  <c r="DI220" i="2"/>
  <c r="DJ220" i="2"/>
  <c r="DI221" i="2"/>
  <c r="DJ221" i="2"/>
  <c r="DI222" i="2"/>
  <c r="DJ222" i="2"/>
  <c r="DI223" i="2"/>
  <c r="DJ223" i="2"/>
  <c r="DI224" i="2"/>
  <c r="DJ224" i="2"/>
  <c r="DI225" i="2"/>
  <c r="DJ225" i="2"/>
  <c r="DI226" i="2"/>
  <c r="DJ226" i="2"/>
  <c r="DI227" i="2"/>
  <c r="DJ227" i="2"/>
  <c r="DI228" i="2"/>
  <c r="DJ228" i="2"/>
  <c r="DI229" i="2"/>
  <c r="DJ229" i="2"/>
  <c r="DI230" i="2"/>
  <c r="DJ230" i="2"/>
  <c r="DI231" i="2"/>
  <c r="DJ231" i="2"/>
  <c r="DI232" i="2"/>
  <c r="DJ232" i="2"/>
  <c r="DI233" i="2"/>
  <c r="DJ233" i="2"/>
  <c r="DI234" i="2"/>
  <c r="DJ234" i="2"/>
  <c r="DI235" i="2"/>
  <c r="DJ235" i="2"/>
  <c r="DI236" i="2"/>
  <c r="DJ236" i="2"/>
  <c r="DI237" i="2"/>
  <c r="DJ237" i="2"/>
  <c r="DI238" i="2"/>
  <c r="DJ238" i="2"/>
  <c r="DI239" i="2"/>
  <c r="DJ239" i="2"/>
  <c r="DI240" i="2"/>
  <c r="DJ240" i="2"/>
  <c r="DI242" i="2"/>
  <c r="DJ242" i="2"/>
  <c r="DI243" i="2"/>
  <c r="DJ243" i="2"/>
  <c r="DI244" i="2"/>
  <c r="DJ244" i="2"/>
  <c r="DI245" i="2"/>
  <c r="DJ245" i="2"/>
  <c r="DI246" i="2"/>
  <c r="DJ246" i="2"/>
  <c r="DI247" i="2"/>
  <c r="DJ247" i="2"/>
  <c r="DI248" i="2"/>
  <c r="DJ248" i="2"/>
  <c r="DI249" i="2"/>
  <c r="DJ249" i="2"/>
  <c r="DI250" i="2"/>
  <c r="DJ250" i="2"/>
  <c r="DI251" i="2"/>
  <c r="DJ251" i="2"/>
  <c r="DI252" i="2"/>
  <c r="DJ252" i="2"/>
  <c r="DI253" i="2"/>
  <c r="DJ253" i="2"/>
  <c r="DI254" i="2"/>
  <c r="DJ254" i="2"/>
  <c r="DI255" i="2"/>
  <c r="DJ255" i="2"/>
  <c r="DI256" i="2"/>
  <c r="DJ256" i="2"/>
  <c r="DI257" i="2"/>
  <c r="DJ257" i="2"/>
  <c r="DI258" i="2"/>
  <c r="DJ258" i="2"/>
  <c r="DI259" i="2"/>
  <c r="DJ259" i="2"/>
  <c r="DI260" i="2"/>
  <c r="DJ260" i="2"/>
  <c r="DI261" i="2"/>
  <c r="DJ261" i="2"/>
  <c r="DI262" i="2"/>
  <c r="DJ262" i="2"/>
  <c r="DI263" i="2"/>
  <c r="DJ263" i="2"/>
  <c r="DI264" i="2"/>
  <c r="DJ264" i="2"/>
  <c r="DI265" i="2"/>
  <c r="DJ265" i="2"/>
  <c r="DI266" i="2"/>
  <c r="DJ266" i="2"/>
  <c r="DI267" i="2"/>
  <c r="DJ267" i="2"/>
  <c r="DI268" i="2"/>
  <c r="DJ268" i="2"/>
  <c r="DI269" i="2"/>
  <c r="DJ269" i="2"/>
  <c r="DI270" i="2"/>
  <c r="DJ270" i="2"/>
  <c r="DI271" i="2"/>
  <c r="DJ271" i="2"/>
  <c r="DI272" i="2"/>
  <c r="DJ272" i="2"/>
  <c r="DI273" i="2"/>
  <c r="DJ273" i="2"/>
  <c r="DI274" i="2"/>
  <c r="DJ274" i="2"/>
  <c r="DI275" i="2"/>
  <c r="DJ275" i="2"/>
  <c r="DI276" i="2"/>
  <c r="DJ276" i="2"/>
  <c r="DI277" i="2"/>
  <c r="DJ277" i="2"/>
  <c r="DI278" i="2"/>
  <c r="DJ278" i="2"/>
  <c r="DI280" i="2"/>
  <c r="DJ280" i="2"/>
  <c r="DI281" i="2"/>
  <c r="DJ281" i="2"/>
  <c r="DI282" i="2"/>
  <c r="DJ282" i="2"/>
  <c r="DI283" i="2"/>
  <c r="DJ283" i="2"/>
  <c r="DI284" i="2"/>
  <c r="DJ284" i="2"/>
  <c r="DI285" i="2"/>
  <c r="DJ285" i="2"/>
  <c r="DI286" i="2"/>
  <c r="DJ286" i="2"/>
  <c r="DI287" i="2"/>
  <c r="DJ287" i="2"/>
  <c r="DI288" i="2"/>
  <c r="DJ288" i="2"/>
  <c r="DI289" i="2"/>
  <c r="DJ289" i="2"/>
  <c r="DI290" i="2"/>
  <c r="DJ290" i="2"/>
  <c r="DI291" i="2"/>
  <c r="DJ291" i="2"/>
  <c r="DI292" i="2"/>
  <c r="DJ292" i="2"/>
  <c r="DI293" i="2"/>
  <c r="DJ293" i="2"/>
  <c r="DI294" i="2"/>
  <c r="DJ294" i="2"/>
  <c r="DI295" i="2"/>
  <c r="DJ295" i="2"/>
  <c r="DI296" i="2"/>
  <c r="DJ296" i="2"/>
  <c r="DI297" i="2"/>
  <c r="DJ297" i="2"/>
  <c r="DI298" i="2"/>
  <c r="DJ298" i="2"/>
  <c r="DI299" i="2"/>
  <c r="DJ299" i="2"/>
  <c r="DI300" i="2"/>
  <c r="DJ300" i="2"/>
  <c r="DI301" i="2"/>
  <c r="DJ301" i="2"/>
  <c r="DI302" i="2"/>
  <c r="DJ302" i="2"/>
  <c r="DI303" i="2"/>
  <c r="DJ303" i="2"/>
  <c r="DI304" i="2"/>
  <c r="DJ304" i="2"/>
  <c r="DI305" i="2"/>
  <c r="DJ305" i="2"/>
  <c r="DI306" i="2"/>
  <c r="DJ306" i="2"/>
  <c r="DI307" i="2"/>
  <c r="DJ307" i="2"/>
  <c r="DI308" i="2"/>
  <c r="DJ308" i="2"/>
  <c r="DI309" i="2"/>
  <c r="DJ309" i="2"/>
  <c r="DI310" i="2"/>
  <c r="DJ310" i="2"/>
  <c r="DI311" i="2"/>
  <c r="DJ311" i="2"/>
  <c r="DI312" i="2"/>
  <c r="DJ312" i="2"/>
  <c r="DI313" i="2"/>
  <c r="DJ313" i="2"/>
  <c r="DI314" i="2"/>
  <c r="DJ314" i="2"/>
  <c r="DI315" i="2"/>
  <c r="DJ315" i="2"/>
  <c r="DI316" i="2"/>
  <c r="DJ316" i="2"/>
  <c r="DI318" i="2"/>
  <c r="DJ318" i="2"/>
  <c r="DI319" i="2"/>
  <c r="DJ319" i="2"/>
  <c r="DI320" i="2"/>
  <c r="DJ320" i="2"/>
  <c r="DI321" i="2"/>
  <c r="DJ321" i="2"/>
  <c r="DI322" i="2"/>
  <c r="DJ322" i="2"/>
  <c r="DI323" i="2"/>
  <c r="DJ323" i="2"/>
  <c r="DI324" i="2"/>
  <c r="DJ324" i="2"/>
  <c r="DI325" i="2"/>
  <c r="DJ325" i="2"/>
  <c r="DI326" i="2"/>
  <c r="DJ326" i="2"/>
  <c r="DI327" i="2"/>
  <c r="DJ327" i="2"/>
  <c r="DI328" i="2"/>
  <c r="DJ328" i="2"/>
  <c r="DI329" i="2"/>
  <c r="DJ329" i="2"/>
  <c r="DI330" i="2"/>
  <c r="DJ330" i="2"/>
  <c r="DI331" i="2"/>
  <c r="DJ331" i="2"/>
  <c r="DI332" i="2"/>
  <c r="DJ332" i="2"/>
  <c r="DI333" i="2"/>
  <c r="DJ333" i="2"/>
  <c r="DI334" i="2"/>
  <c r="DJ334" i="2"/>
  <c r="DI335" i="2"/>
  <c r="DJ335" i="2"/>
  <c r="DI336" i="2"/>
  <c r="DJ336" i="2"/>
  <c r="DI337" i="2"/>
  <c r="DJ337" i="2"/>
  <c r="DI338" i="2"/>
  <c r="DJ338" i="2"/>
  <c r="DI339" i="2"/>
  <c r="DJ339" i="2"/>
  <c r="DI340" i="2"/>
  <c r="DJ340" i="2"/>
  <c r="DI341" i="2"/>
  <c r="DJ341" i="2"/>
  <c r="DI342" i="2"/>
  <c r="DJ342" i="2"/>
  <c r="DI343" i="2"/>
  <c r="DJ343" i="2"/>
  <c r="DI344" i="2"/>
  <c r="DJ344" i="2"/>
  <c r="DI345" i="2"/>
  <c r="DJ345" i="2"/>
  <c r="DI346" i="2"/>
  <c r="DJ346" i="2"/>
  <c r="DI347" i="2"/>
  <c r="DJ347" i="2"/>
  <c r="DI348" i="2"/>
  <c r="DJ348" i="2"/>
  <c r="DI349" i="2"/>
  <c r="DJ349" i="2"/>
  <c r="DI350" i="2"/>
  <c r="DJ350" i="2"/>
  <c r="DI351" i="2"/>
  <c r="DJ351" i="2"/>
  <c r="DI352" i="2"/>
  <c r="DJ352" i="2"/>
  <c r="DI353" i="2"/>
  <c r="DJ353" i="2"/>
  <c r="DI354" i="2"/>
  <c r="DJ354" i="2"/>
  <c r="DI356" i="2"/>
  <c r="DJ356" i="2"/>
  <c r="DI357" i="2"/>
  <c r="DJ357" i="2"/>
  <c r="DI358" i="2"/>
  <c r="DJ358" i="2"/>
  <c r="DI359" i="2"/>
  <c r="DJ359" i="2"/>
  <c r="DI360" i="2"/>
  <c r="DJ360" i="2"/>
  <c r="DI361" i="2"/>
  <c r="DJ361" i="2"/>
  <c r="DI362" i="2"/>
  <c r="DJ362" i="2"/>
  <c r="DI363" i="2"/>
  <c r="DJ363" i="2"/>
  <c r="DI364" i="2"/>
  <c r="DJ364" i="2"/>
  <c r="DI365" i="2"/>
  <c r="DJ365" i="2"/>
  <c r="DI366" i="2"/>
  <c r="DJ366" i="2"/>
  <c r="DI367" i="2"/>
  <c r="DJ367" i="2"/>
  <c r="DI368" i="2"/>
  <c r="DJ368" i="2"/>
  <c r="DI369" i="2"/>
  <c r="DJ369" i="2"/>
  <c r="DI370" i="2"/>
  <c r="DJ370" i="2"/>
  <c r="DI371" i="2"/>
  <c r="DJ371" i="2"/>
  <c r="DI372" i="2"/>
  <c r="DJ372" i="2"/>
  <c r="DI373" i="2"/>
  <c r="DJ373" i="2"/>
  <c r="DI374" i="2"/>
  <c r="DJ374" i="2"/>
  <c r="DI375" i="2"/>
  <c r="DJ375" i="2"/>
  <c r="DI376" i="2"/>
  <c r="DJ376" i="2"/>
  <c r="DI377" i="2"/>
  <c r="DJ377" i="2"/>
  <c r="DI378" i="2"/>
  <c r="DJ378" i="2"/>
  <c r="DI379" i="2"/>
  <c r="DJ379" i="2"/>
  <c r="DI380" i="2"/>
  <c r="DJ380" i="2"/>
  <c r="DI381" i="2"/>
  <c r="DJ381" i="2"/>
  <c r="DI382" i="2"/>
  <c r="DJ382" i="2"/>
  <c r="DI383" i="2"/>
  <c r="DJ383" i="2"/>
  <c r="DI384" i="2"/>
  <c r="DJ384" i="2"/>
  <c r="DI385" i="2"/>
  <c r="DJ385" i="2"/>
  <c r="DI386" i="2"/>
  <c r="DJ386" i="2"/>
  <c r="DI387" i="2"/>
  <c r="DJ387" i="2"/>
  <c r="DI388" i="2"/>
  <c r="DJ388" i="2"/>
  <c r="DI389" i="2"/>
  <c r="DJ389" i="2"/>
  <c r="DI390" i="2"/>
  <c r="DJ390" i="2"/>
  <c r="DI391" i="2"/>
  <c r="DJ391" i="2"/>
  <c r="DI392" i="2"/>
  <c r="DJ392" i="2"/>
  <c r="DI394" i="2"/>
  <c r="DJ394" i="2"/>
  <c r="DI395" i="2"/>
  <c r="DJ395" i="2"/>
  <c r="DI396" i="2"/>
  <c r="DJ396" i="2"/>
  <c r="DI397" i="2"/>
  <c r="DJ397" i="2"/>
  <c r="DI398" i="2"/>
  <c r="DJ398" i="2"/>
  <c r="DI399" i="2"/>
  <c r="DJ399" i="2"/>
  <c r="DI400" i="2"/>
  <c r="DJ400" i="2"/>
  <c r="DI401" i="2"/>
  <c r="DJ401" i="2"/>
  <c r="DI402" i="2"/>
  <c r="DJ402" i="2"/>
  <c r="DI403" i="2"/>
  <c r="DJ403" i="2"/>
  <c r="DI404" i="2"/>
  <c r="DJ404" i="2"/>
  <c r="DI405" i="2"/>
  <c r="DJ405" i="2"/>
  <c r="DI406" i="2"/>
  <c r="DJ406" i="2"/>
  <c r="DI407" i="2"/>
  <c r="DJ407" i="2"/>
  <c r="DI408" i="2"/>
  <c r="DJ408" i="2"/>
  <c r="DI409" i="2"/>
  <c r="DJ409" i="2"/>
  <c r="DI410" i="2"/>
  <c r="DJ410" i="2"/>
  <c r="DI411" i="2"/>
  <c r="DJ411" i="2"/>
  <c r="DI412" i="2"/>
  <c r="DJ412" i="2"/>
  <c r="DI413" i="2"/>
  <c r="DJ413" i="2"/>
  <c r="DI414" i="2"/>
  <c r="DJ414" i="2"/>
  <c r="DI415" i="2"/>
  <c r="DJ415" i="2"/>
  <c r="DI416" i="2"/>
  <c r="DJ416" i="2"/>
  <c r="DI417" i="2"/>
  <c r="DJ417" i="2"/>
  <c r="DI418" i="2"/>
  <c r="DJ418" i="2"/>
  <c r="DI419" i="2"/>
  <c r="DJ419" i="2"/>
  <c r="DI420" i="2"/>
  <c r="DJ420" i="2"/>
  <c r="DI421" i="2"/>
  <c r="DJ421" i="2"/>
  <c r="DI422" i="2"/>
  <c r="DJ422" i="2"/>
  <c r="DI423" i="2"/>
  <c r="DJ423" i="2"/>
  <c r="DI424" i="2"/>
  <c r="DJ424" i="2"/>
  <c r="DI425" i="2"/>
  <c r="DJ425" i="2"/>
  <c r="DI426" i="2"/>
  <c r="DJ426" i="2"/>
  <c r="DI427" i="2"/>
  <c r="DJ427" i="2"/>
  <c r="DI428" i="2"/>
  <c r="DJ428" i="2"/>
  <c r="DI429" i="2"/>
  <c r="DJ429" i="2"/>
  <c r="DI430" i="2"/>
  <c r="DJ430" i="2"/>
  <c r="DI432" i="2"/>
  <c r="DJ432" i="2"/>
  <c r="DI433" i="2"/>
  <c r="DJ433" i="2"/>
  <c r="DI434" i="2"/>
  <c r="DJ434" i="2"/>
  <c r="DI435" i="2"/>
  <c r="DJ435" i="2"/>
  <c r="DI436" i="2"/>
  <c r="DJ436" i="2"/>
  <c r="DI437" i="2"/>
  <c r="DJ437" i="2"/>
  <c r="DI438" i="2"/>
  <c r="DJ438" i="2"/>
  <c r="DI439" i="2"/>
  <c r="DJ439" i="2"/>
  <c r="DI440" i="2"/>
  <c r="DJ440" i="2"/>
  <c r="DI441" i="2"/>
  <c r="DJ441" i="2"/>
  <c r="DI442" i="2"/>
  <c r="DJ442" i="2"/>
  <c r="DI443" i="2"/>
  <c r="DJ443" i="2"/>
  <c r="DI444" i="2"/>
  <c r="DJ444" i="2"/>
  <c r="DI445" i="2"/>
  <c r="DJ445" i="2"/>
  <c r="DI446" i="2"/>
  <c r="DJ446" i="2"/>
  <c r="DI447" i="2"/>
  <c r="DJ447" i="2"/>
  <c r="DI448" i="2"/>
  <c r="DJ448" i="2"/>
  <c r="DI449" i="2"/>
  <c r="DJ449" i="2"/>
  <c r="DI450" i="2"/>
  <c r="DJ450" i="2"/>
  <c r="DI451" i="2"/>
  <c r="DJ451" i="2"/>
  <c r="DI452" i="2"/>
  <c r="DJ452" i="2"/>
  <c r="DI453" i="2"/>
  <c r="DJ453" i="2"/>
  <c r="DI454" i="2"/>
  <c r="DJ454" i="2"/>
  <c r="DI455" i="2"/>
  <c r="DJ455" i="2"/>
  <c r="DI456" i="2"/>
  <c r="DJ456" i="2"/>
  <c r="DI457" i="2"/>
  <c r="DJ457" i="2"/>
  <c r="DI458" i="2"/>
  <c r="DJ458" i="2"/>
  <c r="DI459" i="2"/>
  <c r="DJ459" i="2"/>
  <c r="DI460" i="2"/>
  <c r="DJ460" i="2"/>
  <c r="DI461" i="2"/>
  <c r="DJ461" i="2"/>
  <c r="DI462" i="2"/>
  <c r="DJ462" i="2"/>
  <c r="DI463" i="2"/>
  <c r="DJ463" i="2"/>
  <c r="DI464" i="2"/>
  <c r="DJ464" i="2"/>
  <c r="DI465" i="2"/>
  <c r="DJ465" i="2"/>
  <c r="DI466" i="2"/>
  <c r="DJ466" i="2"/>
  <c r="DI467" i="2"/>
  <c r="DJ467" i="2"/>
  <c r="DI468" i="2"/>
  <c r="DJ468" i="2"/>
  <c r="DJ15" i="2"/>
  <c r="DJ16" i="2"/>
  <c r="DJ17" i="2"/>
  <c r="DJ18" i="2"/>
  <c r="DJ19" i="2"/>
  <c r="DJ20" i="2"/>
  <c r="DJ21" i="2"/>
  <c r="DJ22" i="2"/>
  <c r="DJ23" i="2"/>
  <c r="DJ24" i="2"/>
  <c r="DJ25" i="2"/>
  <c r="DJ26" i="2"/>
  <c r="DJ27" i="2"/>
  <c r="DJ28" i="2"/>
  <c r="DJ29" i="2"/>
  <c r="DJ30" i="2"/>
  <c r="DJ31" i="2"/>
  <c r="DJ32" i="2"/>
  <c r="DJ33" i="2"/>
  <c r="DJ34" i="2"/>
  <c r="DJ35" i="2"/>
  <c r="DJ36" i="2"/>
  <c r="DJ37" i="2"/>
  <c r="DJ38" i="2"/>
  <c r="DJ39" i="2"/>
  <c r="DJ40" i="2"/>
  <c r="DJ41" i="2"/>
  <c r="DJ42" i="2"/>
  <c r="DJ43" i="2"/>
  <c r="DJ44" i="2"/>
  <c r="DJ45" i="2"/>
  <c r="DJ46" i="2"/>
  <c r="DJ47" i="2"/>
  <c r="DJ48" i="2"/>
  <c r="DJ49" i="2"/>
  <c r="DJ50" i="2"/>
  <c r="DJ14" i="2"/>
  <c r="DI14" i="2"/>
  <c r="CS52" i="2"/>
  <c r="CT52" i="2"/>
  <c r="CS53" i="2"/>
  <c r="CT53" i="2"/>
  <c r="CS54" i="2"/>
  <c r="CT54" i="2"/>
  <c r="CS55" i="2"/>
  <c r="CT55" i="2"/>
  <c r="CS56" i="2"/>
  <c r="CT56" i="2"/>
  <c r="CS57" i="2"/>
  <c r="CT57" i="2"/>
  <c r="CS58" i="2"/>
  <c r="CT58" i="2"/>
  <c r="CS59" i="2"/>
  <c r="CT59" i="2"/>
  <c r="CS60" i="2"/>
  <c r="CT60" i="2"/>
  <c r="CS61" i="2"/>
  <c r="CT61" i="2"/>
  <c r="CS62" i="2"/>
  <c r="CT62" i="2"/>
  <c r="CS63" i="2"/>
  <c r="CT63" i="2"/>
  <c r="CS64" i="2"/>
  <c r="CT64" i="2"/>
  <c r="CS65" i="2"/>
  <c r="CT65" i="2"/>
  <c r="CS66" i="2"/>
  <c r="CT66" i="2"/>
  <c r="CS67" i="2"/>
  <c r="CT67" i="2"/>
  <c r="CS68" i="2"/>
  <c r="CT68" i="2"/>
  <c r="CS69" i="2"/>
  <c r="CT69" i="2"/>
  <c r="CS70" i="2"/>
  <c r="CT70" i="2"/>
  <c r="CS71" i="2"/>
  <c r="CT71" i="2"/>
  <c r="CS72" i="2"/>
  <c r="CT72" i="2"/>
  <c r="CS73" i="2"/>
  <c r="CT73" i="2"/>
  <c r="CS74" i="2"/>
  <c r="CT74" i="2"/>
  <c r="CS75" i="2"/>
  <c r="CT75" i="2"/>
  <c r="CS76" i="2"/>
  <c r="CT76" i="2"/>
  <c r="CS77" i="2"/>
  <c r="CT77" i="2"/>
  <c r="CS78" i="2"/>
  <c r="CT78" i="2"/>
  <c r="CS79" i="2"/>
  <c r="CT79" i="2"/>
  <c r="CS80" i="2"/>
  <c r="CT80" i="2"/>
  <c r="CS81" i="2"/>
  <c r="CT81" i="2"/>
  <c r="CS82" i="2"/>
  <c r="CT82" i="2"/>
  <c r="CS83" i="2"/>
  <c r="CT83" i="2"/>
  <c r="CS84" i="2"/>
  <c r="CT84" i="2"/>
  <c r="CS85" i="2"/>
  <c r="CT85" i="2"/>
  <c r="CS86" i="2"/>
  <c r="CT86" i="2"/>
  <c r="CS87" i="2"/>
  <c r="CT87" i="2"/>
  <c r="CS88" i="2"/>
  <c r="CT88" i="2"/>
  <c r="CS90" i="2"/>
  <c r="CT90" i="2"/>
  <c r="CS91" i="2"/>
  <c r="CT91" i="2"/>
  <c r="CS92" i="2"/>
  <c r="CT92" i="2"/>
  <c r="CS93" i="2"/>
  <c r="CT93" i="2"/>
  <c r="CS94" i="2"/>
  <c r="CT94" i="2"/>
  <c r="CS95" i="2"/>
  <c r="CT95" i="2"/>
  <c r="CS96" i="2"/>
  <c r="CT96" i="2"/>
  <c r="CS97" i="2"/>
  <c r="CT97" i="2"/>
  <c r="CS98" i="2"/>
  <c r="CT98" i="2"/>
  <c r="CS99" i="2"/>
  <c r="CT99" i="2"/>
  <c r="CS100" i="2"/>
  <c r="CT100" i="2"/>
  <c r="CS101" i="2"/>
  <c r="CT101" i="2"/>
  <c r="CS102" i="2"/>
  <c r="CT102" i="2"/>
  <c r="CS103" i="2"/>
  <c r="CT103" i="2"/>
  <c r="CS104" i="2"/>
  <c r="CT104" i="2"/>
  <c r="CS105" i="2"/>
  <c r="CT105" i="2"/>
  <c r="CS106" i="2"/>
  <c r="CT106" i="2"/>
  <c r="CS107" i="2"/>
  <c r="CT107" i="2"/>
  <c r="CS108" i="2"/>
  <c r="CT108" i="2"/>
  <c r="CS109" i="2"/>
  <c r="CT109" i="2"/>
  <c r="CS110" i="2"/>
  <c r="CT110" i="2"/>
  <c r="CS111" i="2"/>
  <c r="CT111" i="2"/>
  <c r="CS112" i="2"/>
  <c r="CT112" i="2"/>
  <c r="CS113" i="2"/>
  <c r="CT113" i="2"/>
  <c r="CS114" i="2"/>
  <c r="CT114" i="2"/>
  <c r="CS115" i="2"/>
  <c r="CT115" i="2"/>
  <c r="CS116" i="2"/>
  <c r="CT116" i="2"/>
  <c r="CS117" i="2"/>
  <c r="CT117" i="2"/>
  <c r="CS118" i="2"/>
  <c r="CT118" i="2"/>
  <c r="CS119" i="2"/>
  <c r="CT119" i="2"/>
  <c r="CS120" i="2"/>
  <c r="CT120" i="2"/>
  <c r="CS121" i="2"/>
  <c r="CT121" i="2"/>
  <c r="CS122" i="2"/>
  <c r="CT122" i="2"/>
  <c r="CS123" i="2"/>
  <c r="CT123" i="2"/>
  <c r="CS124" i="2"/>
  <c r="CT124" i="2"/>
  <c r="CS125" i="2"/>
  <c r="CT125" i="2"/>
  <c r="CS126" i="2"/>
  <c r="CT126" i="2"/>
  <c r="CS128" i="2"/>
  <c r="CT128" i="2"/>
  <c r="CS166" i="2"/>
  <c r="CT166" i="2"/>
  <c r="CS204" i="2"/>
  <c r="CT204" i="2"/>
  <c r="CT15" i="2"/>
  <c r="CT16" i="2"/>
  <c r="CT17" i="2"/>
  <c r="CT18" i="2"/>
  <c r="CT19" i="2"/>
  <c r="CT20" i="2"/>
  <c r="CT21" i="2"/>
  <c r="CT22" i="2"/>
  <c r="CT23" i="2"/>
  <c r="CT24" i="2"/>
  <c r="CT25" i="2"/>
  <c r="CT26" i="2"/>
  <c r="CT27" i="2"/>
  <c r="CT28" i="2"/>
  <c r="CT29" i="2"/>
  <c r="CT30" i="2"/>
  <c r="CT31" i="2"/>
  <c r="CT32" i="2"/>
  <c r="CT33" i="2"/>
  <c r="CT34" i="2"/>
  <c r="CT35" i="2"/>
  <c r="CT36" i="2"/>
  <c r="CT37" i="2"/>
  <c r="CT38" i="2"/>
  <c r="CT39" i="2"/>
  <c r="CT40" i="2"/>
  <c r="CT41" i="2"/>
  <c r="CT42" i="2"/>
  <c r="CT43" i="2"/>
  <c r="CT44" i="2"/>
  <c r="CT45" i="2"/>
  <c r="CT46" i="2"/>
  <c r="CT47" i="2"/>
  <c r="CT48" i="2"/>
  <c r="CT49" i="2"/>
  <c r="CT50" i="2"/>
  <c r="CT14" i="2"/>
  <c r="CS14" i="2"/>
  <c r="CC52" i="2"/>
  <c r="CD52" i="2"/>
  <c r="CC53" i="2"/>
  <c r="CD53" i="2"/>
  <c r="CC54" i="2"/>
  <c r="CD54" i="2"/>
  <c r="CC55" i="2"/>
  <c r="CD55" i="2"/>
  <c r="CC56" i="2"/>
  <c r="CD56" i="2"/>
  <c r="CC57" i="2"/>
  <c r="CD57" i="2"/>
  <c r="CC58" i="2"/>
  <c r="CD58" i="2"/>
  <c r="CC59" i="2"/>
  <c r="CD59" i="2"/>
  <c r="CC60" i="2"/>
  <c r="CD60" i="2"/>
  <c r="CC61" i="2"/>
  <c r="CD61" i="2"/>
  <c r="CC62" i="2"/>
  <c r="CD62" i="2"/>
  <c r="CC63" i="2"/>
  <c r="CD63" i="2"/>
  <c r="CC64" i="2"/>
  <c r="CD64" i="2"/>
  <c r="CC65" i="2"/>
  <c r="CD65" i="2"/>
  <c r="CC66" i="2"/>
  <c r="CD66" i="2"/>
  <c r="CC67" i="2"/>
  <c r="CD67" i="2"/>
  <c r="CC68" i="2"/>
  <c r="CD68" i="2"/>
  <c r="CC69" i="2"/>
  <c r="CD69" i="2"/>
  <c r="CC70" i="2"/>
  <c r="CD70" i="2"/>
  <c r="CC71" i="2"/>
  <c r="CD71" i="2"/>
  <c r="CC72" i="2"/>
  <c r="CD72" i="2"/>
  <c r="CC73" i="2"/>
  <c r="CD73" i="2"/>
  <c r="CC74" i="2"/>
  <c r="CD74" i="2"/>
  <c r="CC75" i="2"/>
  <c r="CD75" i="2"/>
  <c r="CC76" i="2"/>
  <c r="CD76" i="2"/>
  <c r="CC77" i="2"/>
  <c r="CD77" i="2"/>
  <c r="CC78" i="2"/>
  <c r="CD78" i="2"/>
  <c r="CC79" i="2"/>
  <c r="CD79" i="2"/>
  <c r="CC80" i="2"/>
  <c r="CD80" i="2"/>
  <c r="CC81" i="2"/>
  <c r="CD81" i="2"/>
  <c r="CC82" i="2"/>
  <c r="CD82" i="2"/>
  <c r="CC83" i="2"/>
  <c r="CD83" i="2"/>
  <c r="CC84" i="2"/>
  <c r="CD84" i="2"/>
  <c r="CC85" i="2"/>
  <c r="CD85" i="2"/>
  <c r="CC86" i="2"/>
  <c r="CD86" i="2"/>
  <c r="CC87" i="2"/>
  <c r="CD87" i="2"/>
  <c r="CC88" i="2"/>
  <c r="CD88" i="2"/>
  <c r="CC90" i="2"/>
  <c r="CD90" i="2"/>
  <c r="CC91" i="2"/>
  <c r="CD91" i="2"/>
  <c r="CC92" i="2"/>
  <c r="CD92" i="2"/>
  <c r="CC93" i="2"/>
  <c r="CD93" i="2"/>
  <c r="CC94" i="2"/>
  <c r="CD94" i="2"/>
  <c r="CC95" i="2"/>
  <c r="CD95" i="2"/>
  <c r="CC96" i="2"/>
  <c r="CD96" i="2"/>
  <c r="CC97" i="2"/>
  <c r="CD97" i="2"/>
  <c r="CC98" i="2"/>
  <c r="CD98" i="2"/>
  <c r="CC99" i="2"/>
  <c r="CD99" i="2"/>
  <c r="CC100" i="2"/>
  <c r="CD100" i="2"/>
  <c r="CC101" i="2"/>
  <c r="CD101" i="2"/>
  <c r="CC102" i="2"/>
  <c r="CD102" i="2"/>
  <c r="CC103" i="2"/>
  <c r="CD103" i="2"/>
  <c r="CC104" i="2"/>
  <c r="CD104" i="2"/>
  <c r="CC105" i="2"/>
  <c r="CD105" i="2"/>
  <c r="CC106" i="2"/>
  <c r="CD106" i="2"/>
  <c r="CC107" i="2"/>
  <c r="CD107" i="2"/>
  <c r="CC108" i="2"/>
  <c r="CD108" i="2"/>
  <c r="CC109" i="2"/>
  <c r="CD109" i="2"/>
  <c r="CC110" i="2"/>
  <c r="CD110" i="2"/>
  <c r="CC111" i="2"/>
  <c r="CD111" i="2"/>
  <c r="CC112" i="2"/>
  <c r="CD112" i="2"/>
  <c r="CC113" i="2"/>
  <c r="CD113" i="2"/>
  <c r="CC114" i="2"/>
  <c r="CD114" i="2"/>
  <c r="CC115" i="2"/>
  <c r="CD115" i="2"/>
  <c r="CC116" i="2"/>
  <c r="CD116" i="2"/>
  <c r="CC117" i="2"/>
  <c r="CD117" i="2"/>
  <c r="CC118" i="2"/>
  <c r="CD118" i="2"/>
  <c r="CC119" i="2"/>
  <c r="CD119" i="2"/>
  <c r="CC120" i="2"/>
  <c r="CD120" i="2"/>
  <c r="CC121" i="2"/>
  <c r="CD121" i="2"/>
  <c r="CC122" i="2"/>
  <c r="CD122" i="2"/>
  <c r="CC123" i="2"/>
  <c r="CD123" i="2"/>
  <c r="CC124" i="2"/>
  <c r="CD124" i="2"/>
  <c r="CC125" i="2"/>
  <c r="CD125" i="2"/>
  <c r="CC126" i="2"/>
  <c r="CD126" i="2"/>
  <c r="CC128" i="2"/>
  <c r="CD128" i="2"/>
  <c r="CC129" i="2"/>
  <c r="CD129" i="2"/>
  <c r="CC130" i="2"/>
  <c r="CD130" i="2"/>
  <c r="CC131" i="2"/>
  <c r="CD131" i="2"/>
  <c r="CC132" i="2"/>
  <c r="CD132" i="2"/>
  <c r="CC133" i="2"/>
  <c r="CD133" i="2"/>
  <c r="CC134" i="2"/>
  <c r="CD134" i="2"/>
  <c r="CC135" i="2"/>
  <c r="CD135" i="2"/>
  <c r="CC136" i="2"/>
  <c r="CD136" i="2"/>
  <c r="CC137" i="2"/>
  <c r="CD137" i="2"/>
  <c r="CC138" i="2"/>
  <c r="CD138" i="2"/>
  <c r="CC139" i="2"/>
  <c r="CD139" i="2"/>
  <c r="CC140" i="2"/>
  <c r="CD140" i="2"/>
  <c r="CC141" i="2"/>
  <c r="CD141" i="2"/>
  <c r="CC142" i="2"/>
  <c r="CD142" i="2"/>
  <c r="CC143" i="2"/>
  <c r="CD143" i="2"/>
  <c r="CC144" i="2"/>
  <c r="CD144" i="2"/>
  <c r="CC145" i="2"/>
  <c r="CD145" i="2"/>
  <c r="CC146" i="2"/>
  <c r="CD146" i="2"/>
  <c r="CC147" i="2"/>
  <c r="CD147" i="2"/>
  <c r="CC148" i="2"/>
  <c r="CD148" i="2"/>
  <c r="CC149" i="2"/>
  <c r="CD149" i="2"/>
  <c r="CC150" i="2"/>
  <c r="CD150" i="2"/>
  <c r="CC151" i="2"/>
  <c r="CD151" i="2"/>
  <c r="CC152" i="2"/>
  <c r="CD152" i="2"/>
  <c r="CC153" i="2"/>
  <c r="CD153" i="2"/>
  <c r="CC154" i="2"/>
  <c r="CD154" i="2"/>
  <c r="CC155" i="2"/>
  <c r="CD155" i="2"/>
  <c r="CC156" i="2"/>
  <c r="CD156" i="2"/>
  <c r="CC157" i="2"/>
  <c r="CD157" i="2"/>
  <c r="CC158" i="2"/>
  <c r="CD158" i="2"/>
  <c r="CC159" i="2"/>
  <c r="CD159" i="2"/>
  <c r="CC160" i="2"/>
  <c r="CD160" i="2"/>
  <c r="CC161" i="2"/>
  <c r="CD161" i="2"/>
  <c r="CC162" i="2"/>
  <c r="CD162" i="2"/>
  <c r="CC163" i="2"/>
  <c r="CD163" i="2"/>
  <c r="CC164" i="2"/>
  <c r="CD164" i="2"/>
  <c r="CC166" i="2"/>
  <c r="CD166" i="2"/>
  <c r="CC167" i="2"/>
  <c r="CD167" i="2"/>
  <c r="CC168" i="2"/>
  <c r="CD168" i="2"/>
  <c r="CC169" i="2"/>
  <c r="CD169" i="2"/>
  <c r="CC170" i="2"/>
  <c r="CD170" i="2"/>
  <c r="CC171" i="2"/>
  <c r="CD171" i="2"/>
  <c r="CC172" i="2"/>
  <c r="CD172" i="2"/>
  <c r="CC173" i="2"/>
  <c r="CD173" i="2"/>
  <c r="CC174" i="2"/>
  <c r="CD174" i="2"/>
  <c r="CC175" i="2"/>
  <c r="CD175" i="2"/>
  <c r="CC176" i="2"/>
  <c r="CD176" i="2"/>
  <c r="CC177" i="2"/>
  <c r="CD177" i="2"/>
  <c r="CC178" i="2"/>
  <c r="CD178" i="2"/>
  <c r="CC179" i="2"/>
  <c r="CD179" i="2"/>
  <c r="CC180" i="2"/>
  <c r="CD180" i="2"/>
  <c r="CC181" i="2"/>
  <c r="CD181" i="2"/>
  <c r="CC182" i="2"/>
  <c r="CD182" i="2"/>
  <c r="CC183" i="2"/>
  <c r="CD183" i="2"/>
  <c r="CC184" i="2"/>
  <c r="CD184" i="2"/>
  <c r="CC185" i="2"/>
  <c r="CD185" i="2"/>
  <c r="CC186" i="2"/>
  <c r="CD186" i="2"/>
  <c r="CC187" i="2"/>
  <c r="CD187" i="2"/>
  <c r="CC188" i="2"/>
  <c r="CD188" i="2"/>
  <c r="CC189" i="2"/>
  <c r="CD189" i="2"/>
  <c r="CC190" i="2"/>
  <c r="CD190" i="2"/>
  <c r="CC191" i="2"/>
  <c r="CD191" i="2"/>
  <c r="CC192" i="2"/>
  <c r="CD192" i="2"/>
  <c r="CC193" i="2"/>
  <c r="CD193" i="2"/>
  <c r="CC194" i="2"/>
  <c r="CD194" i="2"/>
  <c r="CC195" i="2"/>
  <c r="CD195" i="2"/>
  <c r="CC196" i="2"/>
  <c r="CD196" i="2"/>
  <c r="CC197" i="2"/>
  <c r="CD197" i="2"/>
  <c r="CC198" i="2"/>
  <c r="CD198" i="2"/>
  <c r="CC199" i="2"/>
  <c r="CD199" i="2"/>
  <c r="CC200" i="2"/>
  <c r="CD200" i="2"/>
  <c r="CC201" i="2"/>
  <c r="CD201" i="2"/>
  <c r="CC202" i="2"/>
  <c r="CD202" i="2"/>
  <c r="CC204" i="2"/>
  <c r="CD204" i="2"/>
  <c r="CC205" i="2"/>
  <c r="CD205" i="2"/>
  <c r="CC206" i="2"/>
  <c r="CD206" i="2"/>
  <c r="CC207" i="2"/>
  <c r="CD207" i="2"/>
  <c r="CC208" i="2"/>
  <c r="CD208" i="2"/>
  <c r="CC209" i="2"/>
  <c r="CD209" i="2"/>
  <c r="CC210" i="2"/>
  <c r="CD210" i="2"/>
  <c r="CC211" i="2"/>
  <c r="CD211" i="2"/>
  <c r="CC212" i="2"/>
  <c r="CD212" i="2"/>
  <c r="CC213" i="2"/>
  <c r="CD213" i="2"/>
  <c r="CC214" i="2"/>
  <c r="CD214" i="2"/>
  <c r="CC215" i="2"/>
  <c r="CD215" i="2"/>
  <c r="CC216" i="2"/>
  <c r="CD216" i="2"/>
  <c r="CC217" i="2"/>
  <c r="CD217" i="2"/>
  <c r="CC218" i="2"/>
  <c r="CD218" i="2"/>
  <c r="CC219" i="2"/>
  <c r="CD219" i="2"/>
  <c r="CC220" i="2"/>
  <c r="CD220" i="2"/>
  <c r="CC221" i="2"/>
  <c r="CD221" i="2"/>
  <c r="CC222" i="2"/>
  <c r="CD222" i="2"/>
  <c r="CC223" i="2"/>
  <c r="CD223" i="2"/>
  <c r="CC224" i="2"/>
  <c r="CD224" i="2"/>
  <c r="CC225" i="2"/>
  <c r="CD225" i="2"/>
  <c r="CC226" i="2"/>
  <c r="CD226" i="2"/>
  <c r="CC227" i="2"/>
  <c r="CD227" i="2"/>
  <c r="CC228" i="2"/>
  <c r="CD228" i="2"/>
  <c r="CC229" i="2"/>
  <c r="CD229" i="2"/>
  <c r="CC230" i="2"/>
  <c r="CD230" i="2"/>
  <c r="CC231" i="2"/>
  <c r="CD231" i="2"/>
  <c r="CC232" i="2"/>
  <c r="CD232" i="2"/>
  <c r="CC233" i="2"/>
  <c r="CD233" i="2"/>
  <c r="CC234" i="2"/>
  <c r="CD234" i="2"/>
  <c r="CC235" i="2"/>
  <c r="CD235" i="2"/>
  <c r="CC236" i="2"/>
  <c r="CD236" i="2"/>
  <c r="CC237" i="2"/>
  <c r="CD237" i="2"/>
  <c r="CC238" i="2"/>
  <c r="CD238" i="2"/>
  <c r="CC239" i="2"/>
  <c r="CD239" i="2"/>
  <c r="CC240" i="2"/>
  <c r="CD240" i="2"/>
  <c r="CC242" i="2"/>
  <c r="CD242" i="2"/>
  <c r="CC243" i="2"/>
  <c r="CD243" i="2"/>
  <c r="CC244" i="2"/>
  <c r="CD244" i="2"/>
  <c r="CC245" i="2"/>
  <c r="CD245" i="2"/>
  <c r="CC246" i="2"/>
  <c r="CD246" i="2"/>
  <c r="CC247" i="2"/>
  <c r="CD247" i="2"/>
  <c r="CC248" i="2"/>
  <c r="CD248" i="2"/>
  <c r="CC249" i="2"/>
  <c r="CD249" i="2"/>
  <c r="CC250" i="2"/>
  <c r="CD250" i="2"/>
  <c r="CC251" i="2"/>
  <c r="CD251" i="2"/>
  <c r="CC252" i="2"/>
  <c r="CD252" i="2"/>
  <c r="CC253" i="2"/>
  <c r="CD253" i="2"/>
  <c r="CC254" i="2"/>
  <c r="CD254" i="2"/>
  <c r="CC255" i="2"/>
  <c r="CD255" i="2"/>
  <c r="CC256" i="2"/>
  <c r="CD256" i="2"/>
  <c r="CC257" i="2"/>
  <c r="CD257" i="2"/>
  <c r="CC258" i="2"/>
  <c r="CD258" i="2"/>
  <c r="CC259" i="2"/>
  <c r="CD259" i="2"/>
  <c r="CC260" i="2"/>
  <c r="CD260" i="2"/>
  <c r="CC261" i="2"/>
  <c r="CD261" i="2"/>
  <c r="CC262" i="2"/>
  <c r="CD262" i="2"/>
  <c r="CC263" i="2"/>
  <c r="CD263" i="2"/>
  <c r="CC264" i="2"/>
  <c r="CD264" i="2"/>
  <c r="CC265" i="2"/>
  <c r="CD265" i="2"/>
  <c r="CC266" i="2"/>
  <c r="CD266" i="2"/>
  <c r="CC267" i="2"/>
  <c r="CD267" i="2"/>
  <c r="CC268" i="2"/>
  <c r="CD268" i="2"/>
  <c r="CC269" i="2"/>
  <c r="CD269" i="2"/>
  <c r="CC270" i="2"/>
  <c r="CD270" i="2"/>
  <c r="CC271" i="2"/>
  <c r="CD271" i="2"/>
  <c r="CC272" i="2"/>
  <c r="CD272" i="2"/>
  <c r="CC273" i="2"/>
  <c r="CD273" i="2"/>
  <c r="CC274" i="2"/>
  <c r="CD274" i="2"/>
  <c r="CC275" i="2"/>
  <c r="CD275" i="2"/>
  <c r="CC276" i="2"/>
  <c r="CD276" i="2"/>
  <c r="CC277" i="2"/>
  <c r="CD277" i="2"/>
  <c r="CC278" i="2"/>
  <c r="CD278" i="2"/>
  <c r="CC280" i="2"/>
  <c r="CD280" i="2"/>
  <c r="CC281" i="2"/>
  <c r="CD281" i="2"/>
  <c r="CC282" i="2"/>
  <c r="CD282" i="2"/>
  <c r="CC283" i="2"/>
  <c r="CD283" i="2"/>
  <c r="CC284" i="2"/>
  <c r="CD284" i="2"/>
  <c r="CC285" i="2"/>
  <c r="CD285" i="2"/>
  <c r="CC286" i="2"/>
  <c r="CD286" i="2"/>
  <c r="CC287" i="2"/>
  <c r="CD287" i="2"/>
  <c r="CC288" i="2"/>
  <c r="CD288" i="2"/>
  <c r="CC289" i="2"/>
  <c r="CD289" i="2"/>
  <c r="CC290" i="2"/>
  <c r="CD290" i="2"/>
  <c r="CC291" i="2"/>
  <c r="CD291" i="2"/>
  <c r="CC292" i="2"/>
  <c r="CD292" i="2"/>
  <c r="CC293" i="2"/>
  <c r="CD293" i="2"/>
  <c r="CC294" i="2"/>
  <c r="CD294" i="2"/>
  <c r="CC295" i="2"/>
  <c r="CD295" i="2"/>
  <c r="CC296" i="2"/>
  <c r="CD296" i="2"/>
  <c r="CC297" i="2"/>
  <c r="CD297" i="2"/>
  <c r="CC298" i="2"/>
  <c r="CD298" i="2"/>
  <c r="CC299" i="2"/>
  <c r="CD299" i="2"/>
  <c r="CC300" i="2"/>
  <c r="CD300" i="2"/>
  <c r="CC301" i="2"/>
  <c r="CD301" i="2"/>
  <c r="CC302" i="2"/>
  <c r="CD302" i="2"/>
  <c r="CC303" i="2"/>
  <c r="CD303" i="2"/>
  <c r="CC304" i="2"/>
  <c r="CD304" i="2"/>
  <c r="CC305" i="2"/>
  <c r="CD305" i="2"/>
  <c r="CC306" i="2"/>
  <c r="CD306" i="2"/>
  <c r="CC307" i="2"/>
  <c r="CD307" i="2"/>
  <c r="CC308" i="2"/>
  <c r="CD308" i="2"/>
  <c r="CC309" i="2"/>
  <c r="CD309" i="2"/>
  <c r="CC310" i="2"/>
  <c r="CD310" i="2"/>
  <c r="CC311" i="2"/>
  <c r="CD311" i="2"/>
  <c r="CC312" i="2"/>
  <c r="CD312" i="2"/>
  <c r="CC313" i="2"/>
  <c r="CD313" i="2"/>
  <c r="CC314" i="2"/>
  <c r="CD314" i="2"/>
  <c r="CC315" i="2"/>
  <c r="CD315" i="2"/>
  <c r="CC316" i="2"/>
  <c r="CD316" i="2"/>
  <c r="CC318" i="2"/>
  <c r="CD318" i="2"/>
  <c r="CC319" i="2"/>
  <c r="CD319" i="2"/>
  <c r="CC320" i="2"/>
  <c r="CD320" i="2"/>
  <c r="CC321" i="2"/>
  <c r="CD321" i="2"/>
  <c r="CC322" i="2"/>
  <c r="CD322" i="2"/>
  <c r="CC323" i="2"/>
  <c r="CD323" i="2"/>
  <c r="CC324" i="2"/>
  <c r="CD324" i="2"/>
  <c r="CC325" i="2"/>
  <c r="CD325" i="2"/>
  <c r="CC326" i="2"/>
  <c r="CD326" i="2"/>
  <c r="CC327" i="2"/>
  <c r="CD327" i="2"/>
  <c r="CC328" i="2"/>
  <c r="CD328" i="2"/>
  <c r="CC329" i="2"/>
  <c r="CD329" i="2"/>
  <c r="CC330" i="2"/>
  <c r="CD330" i="2"/>
  <c r="CC331" i="2"/>
  <c r="CD331" i="2"/>
  <c r="CC332" i="2"/>
  <c r="CD332" i="2"/>
  <c r="CC333" i="2"/>
  <c r="CD333" i="2"/>
  <c r="CC334" i="2"/>
  <c r="CD334" i="2"/>
  <c r="CC335" i="2"/>
  <c r="CD335" i="2"/>
  <c r="CC336" i="2"/>
  <c r="CD336" i="2"/>
  <c r="CC337" i="2"/>
  <c r="CD337" i="2"/>
  <c r="CC338" i="2"/>
  <c r="CD338" i="2"/>
  <c r="CC339" i="2"/>
  <c r="CD339" i="2"/>
  <c r="CC340" i="2"/>
  <c r="CD340" i="2"/>
  <c r="CC341" i="2"/>
  <c r="CD341" i="2"/>
  <c r="CC342" i="2"/>
  <c r="CD342" i="2"/>
  <c r="CC343" i="2"/>
  <c r="CD343" i="2"/>
  <c r="CC344" i="2"/>
  <c r="CD344" i="2"/>
  <c r="CC345" i="2"/>
  <c r="CD345" i="2"/>
  <c r="CC346" i="2"/>
  <c r="CD346" i="2"/>
  <c r="CC347" i="2"/>
  <c r="CD347" i="2"/>
  <c r="CC348" i="2"/>
  <c r="CD348" i="2"/>
  <c r="CC349" i="2"/>
  <c r="CD349" i="2"/>
  <c r="CC350" i="2"/>
  <c r="CD350" i="2"/>
  <c r="CC351" i="2"/>
  <c r="CD351" i="2"/>
  <c r="CC352" i="2"/>
  <c r="CD352" i="2"/>
  <c r="CC353" i="2"/>
  <c r="CD353" i="2"/>
  <c r="CC354" i="2"/>
  <c r="CD354" i="2"/>
  <c r="CC356" i="2"/>
  <c r="CD356" i="2"/>
  <c r="CC357" i="2"/>
  <c r="CD357" i="2"/>
  <c r="CC358" i="2"/>
  <c r="CD358" i="2"/>
  <c r="CC359" i="2"/>
  <c r="CD359" i="2"/>
  <c r="CC360" i="2"/>
  <c r="CD360" i="2"/>
  <c r="CC361" i="2"/>
  <c r="CD361" i="2"/>
  <c r="CC362" i="2"/>
  <c r="CD362" i="2"/>
  <c r="CC363" i="2"/>
  <c r="CD363" i="2"/>
  <c r="CC364" i="2"/>
  <c r="CD364" i="2"/>
  <c r="CC365" i="2"/>
  <c r="CD365" i="2"/>
  <c r="CC366" i="2"/>
  <c r="CD366" i="2"/>
  <c r="CC367" i="2"/>
  <c r="CD367" i="2"/>
  <c r="CC368" i="2"/>
  <c r="CD368" i="2"/>
  <c r="CC369" i="2"/>
  <c r="CD369" i="2"/>
  <c r="CC370" i="2"/>
  <c r="CD370" i="2"/>
  <c r="CC371" i="2"/>
  <c r="CD371" i="2"/>
  <c r="CC372" i="2"/>
  <c r="CD372" i="2"/>
  <c r="CC373" i="2"/>
  <c r="CD373" i="2"/>
  <c r="CC374" i="2"/>
  <c r="CD374" i="2"/>
  <c r="CC375" i="2"/>
  <c r="CD375" i="2"/>
  <c r="CC376" i="2"/>
  <c r="CD376" i="2"/>
  <c r="CC377" i="2"/>
  <c r="CD377" i="2"/>
  <c r="CC378" i="2"/>
  <c r="CD378" i="2"/>
  <c r="CC379" i="2"/>
  <c r="CD379" i="2"/>
  <c r="CC380" i="2"/>
  <c r="CD380" i="2"/>
  <c r="CC381" i="2"/>
  <c r="CD381" i="2"/>
  <c r="CC382" i="2"/>
  <c r="CD382" i="2"/>
  <c r="CC383" i="2"/>
  <c r="CD383" i="2"/>
  <c r="CC384" i="2"/>
  <c r="CD384" i="2"/>
  <c r="CC385" i="2"/>
  <c r="CD385" i="2"/>
  <c r="CC386" i="2"/>
  <c r="CD386" i="2"/>
  <c r="CC387" i="2"/>
  <c r="CD387" i="2"/>
  <c r="CC388" i="2"/>
  <c r="CD388" i="2"/>
  <c r="CC389" i="2"/>
  <c r="CD389" i="2"/>
  <c r="CC390" i="2"/>
  <c r="CD390" i="2"/>
  <c r="CC391" i="2"/>
  <c r="CD391" i="2"/>
  <c r="CC392" i="2"/>
  <c r="CD392" i="2"/>
  <c r="CC394" i="2"/>
  <c r="CD394" i="2"/>
  <c r="CC395" i="2"/>
  <c r="CD395" i="2"/>
  <c r="CC396" i="2"/>
  <c r="CD396" i="2"/>
  <c r="CC397" i="2"/>
  <c r="CD397" i="2"/>
  <c r="CC398" i="2"/>
  <c r="CD398" i="2"/>
  <c r="CC399" i="2"/>
  <c r="CD399" i="2"/>
  <c r="CC400" i="2"/>
  <c r="CD400" i="2"/>
  <c r="CC401" i="2"/>
  <c r="CD401" i="2"/>
  <c r="CC402" i="2"/>
  <c r="CD402" i="2"/>
  <c r="CC403" i="2"/>
  <c r="CD403" i="2"/>
  <c r="CC404" i="2"/>
  <c r="CD404" i="2"/>
  <c r="CC405" i="2"/>
  <c r="CD405" i="2"/>
  <c r="CC406" i="2"/>
  <c r="CD406" i="2"/>
  <c r="CC407" i="2"/>
  <c r="CD407" i="2"/>
  <c r="CC408" i="2"/>
  <c r="CD408" i="2"/>
  <c r="CC409" i="2"/>
  <c r="CD409" i="2"/>
  <c r="CC410" i="2"/>
  <c r="CD410" i="2"/>
  <c r="CC411" i="2"/>
  <c r="CD411" i="2"/>
  <c r="CC412" i="2"/>
  <c r="CD412" i="2"/>
  <c r="CC413" i="2"/>
  <c r="CD413" i="2"/>
  <c r="CC414" i="2"/>
  <c r="CD414" i="2"/>
  <c r="CC415" i="2"/>
  <c r="CD415" i="2"/>
  <c r="CC416" i="2"/>
  <c r="CD416" i="2"/>
  <c r="CC417" i="2"/>
  <c r="CD417" i="2"/>
  <c r="CC418" i="2"/>
  <c r="CD418" i="2"/>
  <c r="CC419" i="2"/>
  <c r="CD419" i="2"/>
  <c r="CC420" i="2"/>
  <c r="CD420" i="2"/>
  <c r="CC421" i="2"/>
  <c r="CD421" i="2"/>
  <c r="CC422" i="2"/>
  <c r="CD422" i="2"/>
  <c r="CC423" i="2"/>
  <c r="CD423" i="2"/>
  <c r="CC424" i="2"/>
  <c r="CD424" i="2"/>
  <c r="CC425" i="2"/>
  <c r="CD425" i="2"/>
  <c r="CC426" i="2"/>
  <c r="CD426" i="2"/>
  <c r="CC427" i="2"/>
  <c r="CD427" i="2"/>
  <c r="CC428" i="2"/>
  <c r="CD428" i="2"/>
  <c r="CC429" i="2"/>
  <c r="CD429" i="2"/>
  <c r="CC430" i="2"/>
  <c r="CD430" i="2"/>
  <c r="CC432" i="2"/>
  <c r="CD432" i="2"/>
  <c r="CC433" i="2"/>
  <c r="CD433" i="2"/>
  <c r="CC434" i="2"/>
  <c r="CD434" i="2"/>
  <c r="CC435" i="2"/>
  <c r="CD435" i="2"/>
  <c r="CC436" i="2"/>
  <c r="CD436" i="2"/>
  <c r="CC437" i="2"/>
  <c r="CD437" i="2"/>
  <c r="CC438" i="2"/>
  <c r="CD438" i="2"/>
  <c r="CC439" i="2"/>
  <c r="CD439" i="2"/>
  <c r="CC440" i="2"/>
  <c r="CD440" i="2"/>
  <c r="CC441" i="2"/>
  <c r="CD441" i="2"/>
  <c r="CC442" i="2"/>
  <c r="CD442" i="2"/>
  <c r="CC443" i="2"/>
  <c r="CD443" i="2"/>
  <c r="CC444" i="2"/>
  <c r="CD444" i="2"/>
  <c r="CC445" i="2"/>
  <c r="CD445" i="2"/>
  <c r="CC446" i="2"/>
  <c r="CD446" i="2"/>
  <c r="CC447" i="2"/>
  <c r="CD447" i="2"/>
  <c r="CC448" i="2"/>
  <c r="CD448" i="2"/>
  <c r="CC449" i="2"/>
  <c r="CD449" i="2"/>
  <c r="CC450" i="2"/>
  <c r="CD450" i="2"/>
  <c r="CC451" i="2"/>
  <c r="CD451" i="2"/>
  <c r="CC452" i="2"/>
  <c r="CD452" i="2"/>
  <c r="CC453" i="2"/>
  <c r="CD453" i="2"/>
  <c r="CC454" i="2"/>
  <c r="CD454" i="2"/>
  <c r="CC455" i="2"/>
  <c r="CD455" i="2"/>
  <c r="CC456" i="2"/>
  <c r="CD456" i="2"/>
  <c r="CC457" i="2"/>
  <c r="CD457" i="2"/>
  <c r="CC458" i="2"/>
  <c r="CD458" i="2"/>
  <c r="CC459" i="2"/>
  <c r="CD459" i="2"/>
  <c r="CC460" i="2"/>
  <c r="CD460" i="2"/>
  <c r="CC461" i="2"/>
  <c r="CD461" i="2"/>
  <c r="CC462" i="2"/>
  <c r="CD462" i="2"/>
  <c r="CC463" i="2"/>
  <c r="CD463" i="2"/>
  <c r="CC464" i="2"/>
  <c r="CD464" i="2"/>
  <c r="CC465" i="2"/>
  <c r="CD465" i="2"/>
  <c r="CC466" i="2"/>
  <c r="CD466" i="2"/>
  <c r="CC467" i="2"/>
  <c r="CD467" i="2"/>
  <c r="CC468" i="2"/>
  <c r="CD468" i="2"/>
  <c r="CC15" i="2"/>
  <c r="CD15" i="2"/>
  <c r="CC16" i="2"/>
  <c r="CD16" i="2"/>
  <c r="CC17" i="2"/>
  <c r="CD17" i="2"/>
  <c r="CC18" i="2"/>
  <c r="CD18" i="2"/>
  <c r="CC19" i="2"/>
  <c r="CD19" i="2"/>
  <c r="CC20" i="2"/>
  <c r="CD20" i="2"/>
  <c r="CC21" i="2"/>
  <c r="CD21" i="2"/>
  <c r="CC22" i="2"/>
  <c r="CD22" i="2"/>
  <c r="CC23" i="2"/>
  <c r="CD23" i="2"/>
  <c r="CC24" i="2"/>
  <c r="CD24" i="2"/>
  <c r="CC25" i="2"/>
  <c r="CD25" i="2"/>
  <c r="CC26" i="2"/>
  <c r="CD26" i="2"/>
  <c r="CC27" i="2"/>
  <c r="CD27" i="2"/>
  <c r="CC28" i="2"/>
  <c r="CD28" i="2"/>
  <c r="CC29" i="2"/>
  <c r="CD29" i="2"/>
  <c r="CC30" i="2"/>
  <c r="CD30" i="2"/>
  <c r="CC31" i="2"/>
  <c r="CD31" i="2"/>
  <c r="CC32" i="2"/>
  <c r="CD32" i="2"/>
  <c r="CC33" i="2"/>
  <c r="CD33" i="2"/>
  <c r="CC34" i="2"/>
  <c r="CD34" i="2"/>
  <c r="CC35" i="2"/>
  <c r="CD35" i="2"/>
  <c r="CC36" i="2"/>
  <c r="CD36" i="2"/>
  <c r="CC37" i="2"/>
  <c r="CD37" i="2"/>
  <c r="CC38" i="2"/>
  <c r="CD38" i="2"/>
  <c r="CC39" i="2"/>
  <c r="CD39" i="2"/>
  <c r="CC40" i="2"/>
  <c r="CD40" i="2"/>
  <c r="CC41" i="2"/>
  <c r="CD41" i="2"/>
  <c r="CC42" i="2"/>
  <c r="CD42" i="2"/>
  <c r="CC43" i="2"/>
  <c r="CD43" i="2"/>
  <c r="CC44" i="2"/>
  <c r="CD44" i="2"/>
  <c r="CC45" i="2"/>
  <c r="CD45" i="2"/>
  <c r="CC46" i="2"/>
  <c r="CD46" i="2"/>
  <c r="CC47" i="2"/>
  <c r="CD47" i="2"/>
  <c r="CC48" i="2"/>
  <c r="CD48" i="2"/>
  <c r="CC49" i="2"/>
  <c r="CD49" i="2"/>
  <c r="CC50" i="2"/>
  <c r="CD50" i="2"/>
  <c r="CD14" i="2"/>
  <c r="CC14" i="2"/>
  <c r="BM52" i="2"/>
  <c r="BN52" i="2"/>
  <c r="BM53" i="2"/>
  <c r="BN53" i="2"/>
  <c r="BM54" i="2"/>
  <c r="BN54" i="2"/>
  <c r="BM55" i="2"/>
  <c r="BN55" i="2"/>
  <c r="BM56" i="2"/>
  <c r="BN56" i="2"/>
  <c r="BM57" i="2"/>
  <c r="BN57" i="2"/>
  <c r="BM58" i="2"/>
  <c r="BN58" i="2"/>
  <c r="BM59" i="2"/>
  <c r="BN59" i="2"/>
  <c r="BM60" i="2"/>
  <c r="BN60" i="2"/>
  <c r="BM61" i="2"/>
  <c r="BN61" i="2"/>
  <c r="BM62" i="2"/>
  <c r="BN62" i="2"/>
  <c r="BM63" i="2"/>
  <c r="BN63" i="2"/>
  <c r="BM64" i="2"/>
  <c r="BN64" i="2"/>
  <c r="BM65" i="2"/>
  <c r="BN65" i="2"/>
  <c r="BM66" i="2"/>
  <c r="BN66" i="2"/>
  <c r="BM67" i="2"/>
  <c r="BN67" i="2"/>
  <c r="BM68" i="2"/>
  <c r="BN68" i="2"/>
  <c r="BM69" i="2"/>
  <c r="BN69" i="2"/>
  <c r="BM70" i="2"/>
  <c r="BN70" i="2"/>
  <c r="BM71" i="2"/>
  <c r="BN71" i="2"/>
  <c r="BM72" i="2"/>
  <c r="BN72" i="2"/>
  <c r="BM73" i="2"/>
  <c r="BN73" i="2"/>
  <c r="BM74" i="2"/>
  <c r="BN74" i="2"/>
  <c r="BM75" i="2"/>
  <c r="BN75" i="2"/>
  <c r="BM76" i="2"/>
  <c r="BN76" i="2"/>
  <c r="BM77" i="2"/>
  <c r="BN77" i="2"/>
  <c r="BM78" i="2"/>
  <c r="BN78" i="2"/>
  <c r="BM79" i="2"/>
  <c r="BN79" i="2"/>
  <c r="BM80" i="2"/>
  <c r="BN80" i="2"/>
  <c r="BM81" i="2"/>
  <c r="BN81" i="2"/>
  <c r="BM82" i="2"/>
  <c r="BN82" i="2"/>
  <c r="BM83" i="2"/>
  <c r="BN83" i="2"/>
  <c r="BM84" i="2"/>
  <c r="BN84" i="2"/>
  <c r="BM85" i="2"/>
  <c r="BN85" i="2"/>
  <c r="BM86" i="2"/>
  <c r="BN86" i="2"/>
  <c r="BM87" i="2"/>
  <c r="BN87" i="2"/>
  <c r="BM88" i="2"/>
  <c r="BN88" i="2"/>
  <c r="BM90" i="2"/>
  <c r="BN90" i="2"/>
  <c r="BM91" i="2"/>
  <c r="BN91" i="2"/>
  <c r="BM92" i="2"/>
  <c r="BN92" i="2"/>
  <c r="BM93" i="2"/>
  <c r="BN93" i="2"/>
  <c r="BM94" i="2"/>
  <c r="BN94" i="2"/>
  <c r="BM95" i="2"/>
  <c r="BN95" i="2"/>
  <c r="BM96" i="2"/>
  <c r="BN96" i="2"/>
  <c r="BM97" i="2"/>
  <c r="BN97" i="2"/>
  <c r="BM98" i="2"/>
  <c r="BN98" i="2"/>
  <c r="BM99" i="2"/>
  <c r="BN99" i="2"/>
  <c r="BM100" i="2"/>
  <c r="BN100" i="2"/>
  <c r="BM101" i="2"/>
  <c r="BN101" i="2"/>
  <c r="BM102" i="2"/>
  <c r="BN102" i="2"/>
  <c r="BM103" i="2"/>
  <c r="BN103" i="2"/>
  <c r="BM104" i="2"/>
  <c r="BN104" i="2"/>
  <c r="BM105" i="2"/>
  <c r="BN105" i="2"/>
  <c r="BM106" i="2"/>
  <c r="BN106" i="2"/>
  <c r="BM107" i="2"/>
  <c r="BN107" i="2"/>
  <c r="BM108" i="2"/>
  <c r="BN108" i="2"/>
  <c r="BM109" i="2"/>
  <c r="BN109" i="2"/>
  <c r="BM110" i="2"/>
  <c r="BN110" i="2"/>
  <c r="BM111" i="2"/>
  <c r="BN111" i="2"/>
  <c r="BM112" i="2"/>
  <c r="BN112" i="2"/>
  <c r="BM113" i="2"/>
  <c r="BN113" i="2"/>
  <c r="BM114" i="2"/>
  <c r="BN114" i="2"/>
  <c r="BM115" i="2"/>
  <c r="BN115" i="2"/>
  <c r="BM116" i="2"/>
  <c r="BN116" i="2"/>
  <c r="BM117" i="2"/>
  <c r="BN117" i="2"/>
  <c r="BM118" i="2"/>
  <c r="BN118" i="2"/>
  <c r="BM119" i="2"/>
  <c r="BN119" i="2"/>
  <c r="BM120" i="2"/>
  <c r="BN120" i="2"/>
  <c r="BM121" i="2"/>
  <c r="BN121" i="2"/>
  <c r="BM122" i="2"/>
  <c r="BN122" i="2"/>
  <c r="BM123" i="2"/>
  <c r="BN123" i="2"/>
  <c r="BM124" i="2"/>
  <c r="BN124" i="2"/>
  <c r="BM125" i="2"/>
  <c r="BN125" i="2"/>
  <c r="BM126" i="2"/>
  <c r="BN126" i="2"/>
  <c r="BM128" i="2"/>
  <c r="BN128" i="2"/>
  <c r="BM129" i="2"/>
  <c r="BN129" i="2"/>
  <c r="BM130" i="2"/>
  <c r="BN130" i="2"/>
  <c r="BM131" i="2"/>
  <c r="BN131" i="2"/>
  <c r="BM132" i="2"/>
  <c r="BN132" i="2"/>
  <c r="BM133" i="2"/>
  <c r="BN133" i="2"/>
  <c r="BM134" i="2"/>
  <c r="BN134" i="2"/>
  <c r="BM135" i="2"/>
  <c r="BN135" i="2"/>
  <c r="BM136" i="2"/>
  <c r="BN136" i="2"/>
  <c r="BM137" i="2"/>
  <c r="BN137" i="2"/>
  <c r="BM138" i="2"/>
  <c r="BN138" i="2"/>
  <c r="BM139" i="2"/>
  <c r="BN139" i="2"/>
  <c r="BM140" i="2"/>
  <c r="BN140" i="2"/>
  <c r="BM141" i="2"/>
  <c r="BN141" i="2"/>
  <c r="BM142" i="2"/>
  <c r="BN142" i="2"/>
  <c r="BM143" i="2"/>
  <c r="BN143" i="2"/>
  <c r="BM144" i="2"/>
  <c r="BN144" i="2"/>
  <c r="BM145" i="2"/>
  <c r="BN145" i="2"/>
  <c r="BM146" i="2"/>
  <c r="BN146" i="2"/>
  <c r="BM147" i="2"/>
  <c r="BN147" i="2"/>
  <c r="BM148" i="2"/>
  <c r="BN148" i="2"/>
  <c r="BM149" i="2"/>
  <c r="BN149" i="2"/>
  <c r="BM150" i="2"/>
  <c r="BN150" i="2"/>
  <c r="BM151" i="2"/>
  <c r="BN151" i="2"/>
  <c r="BM152" i="2"/>
  <c r="BN152" i="2"/>
  <c r="BM153" i="2"/>
  <c r="BN153" i="2"/>
  <c r="BM154" i="2"/>
  <c r="BN154" i="2"/>
  <c r="BM155" i="2"/>
  <c r="BN155" i="2"/>
  <c r="BM156" i="2"/>
  <c r="BN156" i="2"/>
  <c r="BM157" i="2"/>
  <c r="BN157" i="2"/>
  <c r="BM158" i="2"/>
  <c r="BN158" i="2"/>
  <c r="BM159" i="2"/>
  <c r="BN159" i="2"/>
  <c r="BM160" i="2"/>
  <c r="BN160" i="2"/>
  <c r="BM161" i="2"/>
  <c r="BN161" i="2"/>
  <c r="BM162" i="2"/>
  <c r="BN162" i="2"/>
  <c r="BM163" i="2"/>
  <c r="BN163" i="2"/>
  <c r="BM164" i="2"/>
  <c r="BN164" i="2"/>
  <c r="BM166" i="2"/>
  <c r="BN166" i="2"/>
  <c r="BM167" i="2"/>
  <c r="BN167" i="2"/>
  <c r="BM168" i="2"/>
  <c r="BN168" i="2"/>
  <c r="BM169" i="2"/>
  <c r="BN169" i="2"/>
  <c r="BM170" i="2"/>
  <c r="BN170" i="2"/>
  <c r="BM171" i="2"/>
  <c r="BN171" i="2"/>
  <c r="BM172" i="2"/>
  <c r="BN172" i="2"/>
  <c r="BM173" i="2"/>
  <c r="BN173" i="2"/>
  <c r="BM174" i="2"/>
  <c r="BN174" i="2"/>
  <c r="BM175" i="2"/>
  <c r="BN175" i="2"/>
  <c r="BM176" i="2"/>
  <c r="BN176" i="2"/>
  <c r="BM177" i="2"/>
  <c r="BN177" i="2"/>
  <c r="BM178" i="2"/>
  <c r="BN178" i="2"/>
  <c r="BM179" i="2"/>
  <c r="BN179" i="2"/>
  <c r="BM180" i="2"/>
  <c r="BN180" i="2"/>
  <c r="BM181" i="2"/>
  <c r="BN181" i="2"/>
  <c r="BM182" i="2"/>
  <c r="BN182" i="2"/>
  <c r="BM183" i="2"/>
  <c r="BN183" i="2"/>
  <c r="BM184" i="2"/>
  <c r="BN184" i="2"/>
  <c r="BM185" i="2"/>
  <c r="BN185" i="2"/>
  <c r="BM186" i="2"/>
  <c r="BN186" i="2"/>
  <c r="BM187" i="2"/>
  <c r="BN187" i="2"/>
  <c r="BM188" i="2"/>
  <c r="BN188" i="2"/>
  <c r="BM189" i="2"/>
  <c r="BN189" i="2"/>
  <c r="BM190" i="2"/>
  <c r="BN190" i="2"/>
  <c r="BM191" i="2"/>
  <c r="BN191" i="2"/>
  <c r="BM192" i="2"/>
  <c r="BN192" i="2"/>
  <c r="BM193" i="2"/>
  <c r="BN193" i="2"/>
  <c r="BM194" i="2"/>
  <c r="BN194" i="2"/>
  <c r="BM195" i="2"/>
  <c r="BN195" i="2"/>
  <c r="BM196" i="2"/>
  <c r="BN196" i="2"/>
  <c r="BM197" i="2"/>
  <c r="BN197" i="2"/>
  <c r="BM198" i="2"/>
  <c r="BN198" i="2"/>
  <c r="BM199" i="2"/>
  <c r="BN199" i="2"/>
  <c r="BM200" i="2"/>
  <c r="BN200" i="2"/>
  <c r="BM201" i="2"/>
  <c r="BN201" i="2"/>
  <c r="BM202" i="2"/>
  <c r="BN202" i="2"/>
  <c r="BM204" i="2"/>
  <c r="BN204" i="2"/>
  <c r="BM205" i="2"/>
  <c r="BN205" i="2"/>
  <c r="BM206" i="2"/>
  <c r="BN206" i="2"/>
  <c r="BM207" i="2"/>
  <c r="BN207" i="2"/>
  <c r="BM208" i="2"/>
  <c r="BN208" i="2"/>
  <c r="BM209" i="2"/>
  <c r="BN209" i="2"/>
  <c r="BM210" i="2"/>
  <c r="BN210" i="2"/>
  <c r="BM211" i="2"/>
  <c r="BN211" i="2"/>
  <c r="BM212" i="2"/>
  <c r="BN212" i="2"/>
  <c r="BM213" i="2"/>
  <c r="BN213" i="2"/>
  <c r="BM214" i="2"/>
  <c r="BN214" i="2"/>
  <c r="BM215" i="2"/>
  <c r="BN215" i="2"/>
  <c r="BM216" i="2"/>
  <c r="BN216" i="2"/>
  <c r="BM217" i="2"/>
  <c r="BN217" i="2"/>
  <c r="BM218" i="2"/>
  <c r="BN218" i="2"/>
  <c r="BM219" i="2"/>
  <c r="BN219" i="2"/>
  <c r="BM220" i="2"/>
  <c r="BN220" i="2"/>
  <c r="BM221" i="2"/>
  <c r="BN221" i="2"/>
  <c r="BM222" i="2"/>
  <c r="BN222" i="2"/>
  <c r="BM223" i="2"/>
  <c r="BN223" i="2"/>
  <c r="BM224" i="2"/>
  <c r="BN224" i="2"/>
  <c r="BM225" i="2"/>
  <c r="BN225" i="2"/>
  <c r="BM226" i="2"/>
  <c r="BN226" i="2"/>
  <c r="BM227" i="2"/>
  <c r="BN227" i="2"/>
  <c r="BM228" i="2"/>
  <c r="BN228" i="2"/>
  <c r="BM229" i="2"/>
  <c r="BN229" i="2"/>
  <c r="BM230" i="2"/>
  <c r="BN230" i="2"/>
  <c r="BM231" i="2"/>
  <c r="BN231" i="2"/>
  <c r="BM232" i="2"/>
  <c r="BN232" i="2"/>
  <c r="BM233" i="2"/>
  <c r="BN233" i="2"/>
  <c r="BM234" i="2"/>
  <c r="BN234" i="2"/>
  <c r="BM235" i="2"/>
  <c r="BN235" i="2"/>
  <c r="BM236" i="2"/>
  <c r="BN236" i="2"/>
  <c r="BM237" i="2"/>
  <c r="BN237" i="2"/>
  <c r="BM238" i="2"/>
  <c r="BN238" i="2"/>
  <c r="BM239" i="2"/>
  <c r="BN239" i="2"/>
  <c r="BM240" i="2"/>
  <c r="BN240" i="2"/>
  <c r="BM242" i="2"/>
  <c r="BN242" i="2"/>
  <c r="BM243" i="2"/>
  <c r="BN243" i="2"/>
  <c r="BM244" i="2"/>
  <c r="BN244" i="2"/>
  <c r="BM245" i="2"/>
  <c r="BN245" i="2"/>
  <c r="BM246" i="2"/>
  <c r="BN246" i="2"/>
  <c r="BM247" i="2"/>
  <c r="BN247" i="2"/>
  <c r="BM248" i="2"/>
  <c r="BN248" i="2"/>
  <c r="BM249" i="2"/>
  <c r="BN249" i="2"/>
  <c r="BM250" i="2"/>
  <c r="BN250" i="2"/>
  <c r="BM251" i="2"/>
  <c r="BN251" i="2"/>
  <c r="BM252" i="2"/>
  <c r="BN252" i="2"/>
  <c r="BM253" i="2"/>
  <c r="BN253" i="2"/>
  <c r="BM254" i="2"/>
  <c r="BN254" i="2"/>
  <c r="BM255" i="2"/>
  <c r="BN255" i="2"/>
  <c r="BM256" i="2"/>
  <c r="BN256" i="2"/>
  <c r="BM257" i="2"/>
  <c r="BN257" i="2"/>
  <c r="BM258" i="2"/>
  <c r="BN258" i="2"/>
  <c r="BM259" i="2"/>
  <c r="BN259" i="2"/>
  <c r="BM260" i="2"/>
  <c r="BN260" i="2"/>
  <c r="BM261" i="2"/>
  <c r="BN261" i="2"/>
  <c r="BM262" i="2"/>
  <c r="BN262" i="2"/>
  <c r="BM263" i="2"/>
  <c r="BN263" i="2"/>
  <c r="BM264" i="2"/>
  <c r="BN264" i="2"/>
  <c r="BM265" i="2"/>
  <c r="BN265" i="2"/>
  <c r="BM266" i="2"/>
  <c r="BN266" i="2"/>
  <c r="BM267" i="2"/>
  <c r="BN267" i="2"/>
  <c r="BM268" i="2"/>
  <c r="BN268" i="2"/>
  <c r="BM269" i="2"/>
  <c r="BN269" i="2"/>
  <c r="BM270" i="2"/>
  <c r="BN270" i="2"/>
  <c r="BM271" i="2"/>
  <c r="BN271" i="2"/>
  <c r="BM272" i="2"/>
  <c r="BN272" i="2"/>
  <c r="BM273" i="2"/>
  <c r="BN273" i="2"/>
  <c r="BM274" i="2"/>
  <c r="BN274" i="2"/>
  <c r="BM275" i="2"/>
  <c r="BN275" i="2"/>
  <c r="BM276" i="2"/>
  <c r="BN276" i="2"/>
  <c r="BM277" i="2"/>
  <c r="BN277" i="2"/>
  <c r="BM278" i="2"/>
  <c r="BN278" i="2"/>
  <c r="BM280" i="2"/>
  <c r="BN280" i="2"/>
  <c r="BM281" i="2"/>
  <c r="BN281" i="2"/>
  <c r="BM282" i="2"/>
  <c r="BN282" i="2"/>
  <c r="BM283" i="2"/>
  <c r="BN283" i="2"/>
  <c r="BM284" i="2"/>
  <c r="BN284" i="2"/>
  <c r="BM285" i="2"/>
  <c r="BN285" i="2"/>
  <c r="BM286" i="2"/>
  <c r="BN286" i="2"/>
  <c r="BM287" i="2"/>
  <c r="BN287" i="2"/>
  <c r="BM288" i="2"/>
  <c r="BN288" i="2"/>
  <c r="BM289" i="2"/>
  <c r="BN289" i="2"/>
  <c r="BM290" i="2"/>
  <c r="BN290" i="2"/>
  <c r="BM291" i="2"/>
  <c r="BN291" i="2"/>
  <c r="BM292" i="2"/>
  <c r="BN292" i="2"/>
  <c r="BM293" i="2"/>
  <c r="BN293" i="2"/>
  <c r="BM294" i="2"/>
  <c r="BN294" i="2"/>
  <c r="BM295" i="2"/>
  <c r="BN295" i="2"/>
  <c r="BM296" i="2"/>
  <c r="BN296" i="2"/>
  <c r="BM297" i="2"/>
  <c r="BN297" i="2"/>
  <c r="BM298" i="2"/>
  <c r="BN298" i="2"/>
  <c r="BM299" i="2"/>
  <c r="BN299" i="2"/>
  <c r="BM300" i="2"/>
  <c r="BN300" i="2"/>
  <c r="BM301" i="2"/>
  <c r="BN301" i="2"/>
  <c r="BM302" i="2"/>
  <c r="BN302" i="2"/>
  <c r="BM303" i="2"/>
  <c r="BN303" i="2"/>
  <c r="BM304" i="2"/>
  <c r="BN304" i="2"/>
  <c r="BM305" i="2"/>
  <c r="BN305" i="2"/>
  <c r="BM306" i="2"/>
  <c r="BN306" i="2"/>
  <c r="BM307" i="2"/>
  <c r="BN307" i="2"/>
  <c r="BM308" i="2"/>
  <c r="BN308" i="2"/>
  <c r="BM309" i="2"/>
  <c r="BN309" i="2"/>
  <c r="BM310" i="2"/>
  <c r="BN310" i="2"/>
  <c r="BM311" i="2"/>
  <c r="BN311" i="2"/>
  <c r="BM312" i="2"/>
  <c r="BN312" i="2"/>
  <c r="BM313" i="2"/>
  <c r="BN313" i="2"/>
  <c r="BM314" i="2"/>
  <c r="BN314" i="2"/>
  <c r="BM315" i="2"/>
  <c r="BN315" i="2"/>
  <c r="BM316" i="2"/>
  <c r="BN316" i="2"/>
  <c r="BM318" i="2"/>
  <c r="BN318" i="2"/>
  <c r="BM319" i="2"/>
  <c r="BN319" i="2"/>
  <c r="BM320" i="2"/>
  <c r="BN320" i="2"/>
  <c r="BM321" i="2"/>
  <c r="BN321" i="2"/>
  <c r="BM322" i="2"/>
  <c r="BN322" i="2"/>
  <c r="BM323" i="2"/>
  <c r="BN323" i="2"/>
  <c r="BM324" i="2"/>
  <c r="BN324" i="2"/>
  <c r="BM325" i="2"/>
  <c r="BN325" i="2"/>
  <c r="BM326" i="2"/>
  <c r="BN326" i="2"/>
  <c r="BM327" i="2"/>
  <c r="BN327" i="2"/>
  <c r="BM328" i="2"/>
  <c r="BN328" i="2"/>
  <c r="BM329" i="2"/>
  <c r="BN329" i="2"/>
  <c r="BM330" i="2"/>
  <c r="BN330" i="2"/>
  <c r="BM331" i="2"/>
  <c r="BN331" i="2"/>
  <c r="BM332" i="2"/>
  <c r="BN332" i="2"/>
  <c r="BM333" i="2"/>
  <c r="BN333" i="2"/>
  <c r="BM334" i="2"/>
  <c r="BN334" i="2"/>
  <c r="BM335" i="2"/>
  <c r="BN335" i="2"/>
  <c r="BM336" i="2"/>
  <c r="BN336" i="2"/>
  <c r="BM337" i="2"/>
  <c r="BN337" i="2"/>
  <c r="BM338" i="2"/>
  <c r="BN338" i="2"/>
  <c r="BM339" i="2"/>
  <c r="BN339" i="2"/>
  <c r="BM340" i="2"/>
  <c r="BN340" i="2"/>
  <c r="BM341" i="2"/>
  <c r="BN341" i="2"/>
  <c r="BM342" i="2"/>
  <c r="BN342" i="2"/>
  <c r="BM343" i="2"/>
  <c r="BN343" i="2"/>
  <c r="BM344" i="2"/>
  <c r="BN344" i="2"/>
  <c r="BM345" i="2"/>
  <c r="BN345" i="2"/>
  <c r="BM346" i="2"/>
  <c r="BN346" i="2"/>
  <c r="BM347" i="2"/>
  <c r="BN347" i="2"/>
  <c r="BM348" i="2"/>
  <c r="BN348" i="2"/>
  <c r="BM349" i="2"/>
  <c r="BN349" i="2"/>
  <c r="BM350" i="2"/>
  <c r="BN350" i="2"/>
  <c r="BM351" i="2"/>
  <c r="BN351" i="2"/>
  <c r="BM352" i="2"/>
  <c r="BN352" i="2"/>
  <c r="BM353" i="2"/>
  <c r="BN353" i="2"/>
  <c r="BM354" i="2"/>
  <c r="BN354" i="2"/>
  <c r="BM356" i="2"/>
  <c r="BN356" i="2"/>
  <c r="BM357" i="2"/>
  <c r="BN357" i="2"/>
  <c r="BM358" i="2"/>
  <c r="BN358" i="2"/>
  <c r="BM359" i="2"/>
  <c r="BN359" i="2"/>
  <c r="BM360" i="2"/>
  <c r="BN360" i="2"/>
  <c r="BM361" i="2"/>
  <c r="BN361" i="2"/>
  <c r="BM362" i="2"/>
  <c r="BN362" i="2"/>
  <c r="BM363" i="2"/>
  <c r="BN363" i="2"/>
  <c r="BM364" i="2"/>
  <c r="BN364" i="2"/>
  <c r="BM365" i="2"/>
  <c r="BN365" i="2"/>
  <c r="BM366" i="2"/>
  <c r="BN366" i="2"/>
  <c r="BM367" i="2"/>
  <c r="BN367" i="2"/>
  <c r="BM368" i="2"/>
  <c r="BN368" i="2"/>
  <c r="BM369" i="2"/>
  <c r="BN369" i="2"/>
  <c r="BM370" i="2"/>
  <c r="BN370" i="2"/>
  <c r="BM371" i="2"/>
  <c r="BN371" i="2"/>
  <c r="BM372" i="2"/>
  <c r="BN372" i="2"/>
  <c r="BM373" i="2"/>
  <c r="BN373" i="2"/>
  <c r="BM374" i="2"/>
  <c r="BN374" i="2"/>
  <c r="BM375" i="2"/>
  <c r="BN375" i="2"/>
  <c r="BM376" i="2"/>
  <c r="BN376" i="2"/>
  <c r="BM377" i="2"/>
  <c r="BN377" i="2"/>
  <c r="BM378" i="2"/>
  <c r="BN378" i="2"/>
  <c r="BM379" i="2"/>
  <c r="BN379" i="2"/>
  <c r="BM380" i="2"/>
  <c r="BN380" i="2"/>
  <c r="BM381" i="2"/>
  <c r="BN381" i="2"/>
  <c r="BM382" i="2"/>
  <c r="BN382" i="2"/>
  <c r="BM383" i="2"/>
  <c r="BN383" i="2"/>
  <c r="BM384" i="2"/>
  <c r="BN384" i="2"/>
  <c r="BM385" i="2"/>
  <c r="BN385" i="2"/>
  <c r="BM386" i="2"/>
  <c r="BN386" i="2"/>
  <c r="BM387" i="2"/>
  <c r="BN387" i="2"/>
  <c r="BM388" i="2"/>
  <c r="BN388" i="2"/>
  <c r="BM389" i="2"/>
  <c r="BN389" i="2"/>
  <c r="BM390" i="2"/>
  <c r="BN390" i="2"/>
  <c r="BM391" i="2"/>
  <c r="BN391" i="2"/>
  <c r="BM392" i="2"/>
  <c r="BN392" i="2"/>
  <c r="BM394" i="2"/>
  <c r="BN394" i="2"/>
  <c r="BM395" i="2"/>
  <c r="BN395" i="2"/>
  <c r="BM396" i="2"/>
  <c r="BN396" i="2"/>
  <c r="BM397" i="2"/>
  <c r="BN397" i="2"/>
  <c r="BM398" i="2"/>
  <c r="BN398" i="2"/>
  <c r="BM399" i="2"/>
  <c r="BN399" i="2"/>
  <c r="BM400" i="2"/>
  <c r="BN400" i="2"/>
  <c r="BM401" i="2"/>
  <c r="BN401" i="2"/>
  <c r="BM402" i="2"/>
  <c r="BN402" i="2"/>
  <c r="BM403" i="2"/>
  <c r="BN403" i="2"/>
  <c r="BM404" i="2"/>
  <c r="BN404" i="2"/>
  <c r="BM405" i="2"/>
  <c r="BN405" i="2"/>
  <c r="BM406" i="2"/>
  <c r="BN406" i="2"/>
  <c r="BM407" i="2"/>
  <c r="BN407" i="2"/>
  <c r="BM408" i="2"/>
  <c r="BN408" i="2"/>
  <c r="BM409" i="2"/>
  <c r="BN409" i="2"/>
  <c r="BM410" i="2"/>
  <c r="BN410" i="2"/>
  <c r="BM411" i="2"/>
  <c r="BN411" i="2"/>
  <c r="BM412" i="2"/>
  <c r="BN412" i="2"/>
  <c r="BM413" i="2"/>
  <c r="BN413" i="2"/>
  <c r="BM414" i="2"/>
  <c r="BN414" i="2"/>
  <c r="BM415" i="2"/>
  <c r="BN415" i="2"/>
  <c r="BM416" i="2"/>
  <c r="BN416" i="2"/>
  <c r="BM417" i="2"/>
  <c r="BN417" i="2"/>
  <c r="BM418" i="2"/>
  <c r="BN418" i="2"/>
  <c r="BM419" i="2"/>
  <c r="BN419" i="2"/>
  <c r="BM420" i="2"/>
  <c r="BN420" i="2"/>
  <c r="BM421" i="2"/>
  <c r="BN421" i="2"/>
  <c r="BM422" i="2"/>
  <c r="BN422" i="2"/>
  <c r="BM423" i="2"/>
  <c r="BN423" i="2"/>
  <c r="BM424" i="2"/>
  <c r="BN424" i="2"/>
  <c r="BM425" i="2"/>
  <c r="BN425" i="2"/>
  <c r="BM426" i="2"/>
  <c r="BN426" i="2"/>
  <c r="BM427" i="2"/>
  <c r="BN427" i="2"/>
  <c r="BM428" i="2"/>
  <c r="BN428" i="2"/>
  <c r="BM429" i="2"/>
  <c r="BN429" i="2"/>
  <c r="BM430" i="2"/>
  <c r="BN430" i="2"/>
  <c r="BM432" i="2"/>
  <c r="BN432" i="2"/>
  <c r="BM433" i="2"/>
  <c r="BN433" i="2"/>
  <c r="BM434" i="2"/>
  <c r="BN434" i="2"/>
  <c r="BM435" i="2"/>
  <c r="BN435" i="2"/>
  <c r="BM436" i="2"/>
  <c r="BN436" i="2"/>
  <c r="BM437" i="2"/>
  <c r="BN437" i="2"/>
  <c r="BM438" i="2"/>
  <c r="BN438" i="2"/>
  <c r="BM439" i="2"/>
  <c r="BN439" i="2"/>
  <c r="BM440" i="2"/>
  <c r="BN440" i="2"/>
  <c r="BM441" i="2"/>
  <c r="BN441" i="2"/>
  <c r="BM442" i="2"/>
  <c r="BN442" i="2"/>
  <c r="BM443" i="2"/>
  <c r="BN443" i="2"/>
  <c r="BM444" i="2"/>
  <c r="BN444" i="2"/>
  <c r="BM445" i="2"/>
  <c r="BN445" i="2"/>
  <c r="BM446" i="2"/>
  <c r="BN446" i="2"/>
  <c r="BM447" i="2"/>
  <c r="BN447" i="2"/>
  <c r="BM448" i="2"/>
  <c r="BN448" i="2"/>
  <c r="BM449" i="2"/>
  <c r="BN449" i="2"/>
  <c r="BM450" i="2"/>
  <c r="BN450" i="2"/>
  <c r="BM451" i="2"/>
  <c r="BN451" i="2"/>
  <c r="BM452" i="2"/>
  <c r="BN452" i="2"/>
  <c r="BM453" i="2"/>
  <c r="BN453" i="2"/>
  <c r="BM454" i="2"/>
  <c r="BN454" i="2"/>
  <c r="BM455" i="2"/>
  <c r="BN455" i="2"/>
  <c r="BM456" i="2"/>
  <c r="BN456" i="2"/>
  <c r="BM457" i="2"/>
  <c r="BN457" i="2"/>
  <c r="BM458" i="2"/>
  <c r="BN458" i="2"/>
  <c r="BM459" i="2"/>
  <c r="BN459" i="2"/>
  <c r="BM460" i="2"/>
  <c r="BN460" i="2"/>
  <c r="BM461" i="2"/>
  <c r="BN461" i="2"/>
  <c r="BM462" i="2"/>
  <c r="BN462" i="2"/>
  <c r="BM463" i="2"/>
  <c r="BN463" i="2"/>
  <c r="BM464" i="2"/>
  <c r="BN464" i="2"/>
  <c r="BM465" i="2"/>
  <c r="BN465" i="2"/>
  <c r="BM466" i="2"/>
  <c r="BN466" i="2"/>
  <c r="BM467" i="2"/>
  <c r="BN467" i="2"/>
  <c r="BM468" i="2"/>
  <c r="BN468" i="2"/>
  <c r="BN15" i="2"/>
  <c r="BN16" i="2"/>
  <c r="BN17" i="2"/>
  <c r="BN18" i="2"/>
  <c r="BN19" i="2"/>
  <c r="BN20" i="2"/>
  <c r="BN21" i="2"/>
  <c r="BN22" i="2"/>
  <c r="BN23" i="2"/>
  <c r="BN24" i="2"/>
  <c r="BN25" i="2"/>
  <c r="BN26" i="2"/>
  <c r="BN27" i="2"/>
  <c r="BN28" i="2"/>
  <c r="BN29" i="2"/>
  <c r="BN30" i="2"/>
  <c r="BN31" i="2"/>
  <c r="BN32" i="2"/>
  <c r="BN33" i="2"/>
  <c r="BN34" i="2"/>
  <c r="BN35" i="2"/>
  <c r="BN36" i="2"/>
  <c r="BN37" i="2"/>
  <c r="BN38" i="2"/>
  <c r="BN39" i="2"/>
  <c r="BN40" i="2"/>
  <c r="BN41" i="2"/>
  <c r="BN42" i="2"/>
  <c r="BN43" i="2"/>
  <c r="BN44" i="2"/>
  <c r="BN45" i="2"/>
  <c r="BN46" i="2"/>
  <c r="BN47" i="2"/>
  <c r="BN48" i="2"/>
  <c r="BN49" i="2"/>
  <c r="BN50" i="2"/>
  <c r="BN14" i="2"/>
  <c r="BM14" i="2"/>
  <c r="AW52" i="2"/>
  <c r="AX52" i="2"/>
  <c r="AW53" i="2"/>
  <c r="AX53" i="2"/>
  <c r="AW54" i="2"/>
  <c r="AX54" i="2"/>
  <c r="AW55" i="2"/>
  <c r="AX55" i="2"/>
  <c r="AW56" i="2"/>
  <c r="AX56" i="2"/>
  <c r="AW57" i="2"/>
  <c r="AX57" i="2"/>
  <c r="AW58" i="2"/>
  <c r="AX58" i="2"/>
  <c r="AW59" i="2"/>
  <c r="AX59" i="2"/>
  <c r="AW60" i="2"/>
  <c r="AX60" i="2"/>
  <c r="AW61" i="2"/>
  <c r="AX61" i="2"/>
  <c r="AW62" i="2"/>
  <c r="AX62" i="2"/>
  <c r="AW63" i="2"/>
  <c r="AX63" i="2"/>
  <c r="AW64" i="2"/>
  <c r="AX64" i="2"/>
  <c r="AW65" i="2"/>
  <c r="AX65" i="2"/>
  <c r="AW66" i="2"/>
  <c r="AX66" i="2"/>
  <c r="AW67" i="2"/>
  <c r="AX67" i="2"/>
  <c r="AW68" i="2"/>
  <c r="AX68" i="2"/>
  <c r="AW69" i="2"/>
  <c r="AX69" i="2"/>
  <c r="AW70" i="2"/>
  <c r="AX70" i="2"/>
  <c r="AW71" i="2"/>
  <c r="AX71" i="2"/>
  <c r="AW72" i="2"/>
  <c r="AX72" i="2"/>
  <c r="AW73" i="2"/>
  <c r="AX73" i="2"/>
  <c r="AW74" i="2"/>
  <c r="AX74" i="2"/>
  <c r="AW75" i="2"/>
  <c r="AX75" i="2"/>
  <c r="AW76" i="2"/>
  <c r="AX76" i="2"/>
  <c r="AW77" i="2"/>
  <c r="AX77" i="2"/>
  <c r="AW78" i="2"/>
  <c r="AX78" i="2"/>
  <c r="AW79" i="2"/>
  <c r="AX79" i="2"/>
  <c r="AW80" i="2"/>
  <c r="AX80" i="2"/>
  <c r="AW81" i="2"/>
  <c r="AX81" i="2"/>
  <c r="AW82" i="2"/>
  <c r="AX82" i="2"/>
  <c r="AW83" i="2"/>
  <c r="AX83" i="2"/>
  <c r="AW84" i="2"/>
  <c r="AX84" i="2"/>
  <c r="AW85" i="2"/>
  <c r="AX85" i="2"/>
  <c r="AW86" i="2"/>
  <c r="AX86" i="2"/>
  <c r="AW87" i="2"/>
  <c r="AX87" i="2"/>
  <c r="AW88" i="2"/>
  <c r="AX88" i="2"/>
  <c r="AW90" i="2"/>
  <c r="AX90" i="2"/>
  <c r="AW91" i="2"/>
  <c r="AX91" i="2"/>
  <c r="AW92" i="2"/>
  <c r="AX92" i="2"/>
  <c r="AW93" i="2"/>
  <c r="AX93" i="2"/>
  <c r="AW94" i="2"/>
  <c r="AX94" i="2"/>
  <c r="AW95" i="2"/>
  <c r="AX95" i="2"/>
  <c r="AW96" i="2"/>
  <c r="AX96" i="2"/>
  <c r="AW97" i="2"/>
  <c r="AX97" i="2"/>
  <c r="AW98" i="2"/>
  <c r="AX98" i="2"/>
  <c r="AW99" i="2"/>
  <c r="AX99" i="2"/>
  <c r="AW100" i="2"/>
  <c r="AX100" i="2"/>
  <c r="AW101" i="2"/>
  <c r="AX101" i="2"/>
  <c r="AW102" i="2"/>
  <c r="AX102" i="2"/>
  <c r="AW103" i="2"/>
  <c r="AX103" i="2"/>
  <c r="AW104" i="2"/>
  <c r="AX104" i="2"/>
  <c r="AW105" i="2"/>
  <c r="AX105" i="2"/>
  <c r="AW106" i="2"/>
  <c r="AX106" i="2"/>
  <c r="AW107" i="2"/>
  <c r="AX107" i="2"/>
  <c r="AW108" i="2"/>
  <c r="AX108" i="2"/>
  <c r="AW109" i="2"/>
  <c r="AX109" i="2"/>
  <c r="AW110" i="2"/>
  <c r="AX110" i="2"/>
  <c r="AW111" i="2"/>
  <c r="AX111" i="2"/>
  <c r="AW112" i="2"/>
  <c r="AX112" i="2"/>
  <c r="AW113" i="2"/>
  <c r="AX113" i="2"/>
  <c r="AW114" i="2"/>
  <c r="AX114" i="2"/>
  <c r="AW115" i="2"/>
  <c r="AX115" i="2"/>
  <c r="AW116" i="2"/>
  <c r="AX116" i="2"/>
  <c r="AW117" i="2"/>
  <c r="AX117" i="2"/>
  <c r="AW118" i="2"/>
  <c r="AX118" i="2"/>
  <c r="AW119" i="2"/>
  <c r="AX119" i="2"/>
  <c r="AW120" i="2"/>
  <c r="AX120" i="2"/>
  <c r="AW121" i="2"/>
  <c r="AX121" i="2"/>
  <c r="AW122" i="2"/>
  <c r="AX122" i="2"/>
  <c r="AW123" i="2"/>
  <c r="AX123" i="2"/>
  <c r="AW124" i="2"/>
  <c r="AX124" i="2"/>
  <c r="AW125" i="2"/>
  <c r="AX125" i="2"/>
  <c r="AW126" i="2"/>
  <c r="AX126" i="2"/>
  <c r="AW128" i="2"/>
  <c r="AX128" i="2"/>
  <c r="AW129" i="2"/>
  <c r="AX129" i="2"/>
  <c r="AW130" i="2"/>
  <c r="AX130" i="2"/>
  <c r="AW131" i="2"/>
  <c r="AX131" i="2"/>
  <c r="AW132" i="2"/>
  <c r="AX132" i="2"/>
  <c r="AW133" i="2"/>
  <c r="AX133" i="2"/>
  <c r="AW134" i="2"/>
  <c r="AX134" i="2"/>
  <c r="AW135" i="2"/>
  <c r="AX135" i="2"/>
  <c r="AW136" i="2"/>
  <c r="AX136" i="2"/>
  <c r="AW137" i="2"/>
  <c r="AX137" i="2"/>
  <c r="AW138" i="2"/>
  <c r="AX138" i="2"/>
  <c r="AW139" i="2"/>
  <c r="AX139" i="2"/>
  <c r="AW140" i="2"/>
  <c r="AX140" i="2"/>
  <c r="AW141" i="2"/>
  <c r="AX141" i="2"/>
  <c r="AW142" i="2"/>
  <c r="AX142" i="2"/>
  <c r="AW143" i="2"/>
  <c r="AX143" i="2"/>
  <c r="AW144" i="2"/>
  <c r="AX144" i="2"/>
  <c r="AW145" i="2"/>
  <c r="AX145" i="2"/>
  <c r="AW146" i="2"/>
  <c r="AX146" i="2"/>
  <c r="AW147" i="2"/>
  <c r="AX147" i="2"/>
  <c r="AW148" i="2"/>
  <c r="AX148" i="2"/>
  <c r="AW149" i="2"/>
  <c r="AX149" i="2"/>
  <c r="AW150" i="2"/>
  <c r="AX150" i="2"/>
  <c r="AW151" i="2"/>
  <c r="AX151" i="2"/>
  <c r="AW152" i="2"/>
  <c r="AX152" i="2"/>
  <c r="AW153" i="2"/>
  <c r="AX153" i="2"/>
  <c r="AW154" i="2"/>
  <c r="AX154" i="2"/>
  <c r="AW155" i="2"/>
  <c r="AX155" i="2"/>
  <c r="AW156" i="2"/>
  <c r="AX156" i="2"/>
  <c r="AW157" i="2"/>
  <c r="AX157" i="2"/>
  <c r="AW158" i="2"/>
  <c r="AX158" i="2"/>
  <c r="AW159" i="2"/>
  <c r="AX159" i="2"/>
  <c r="AW160" i="2"/>
  <c r="AX160" i="2"/>
  <c r="AW161" i="2"/>
  <c r="AX161" i="2"/>
  <c r="AW162" i="2"/>
  <c r="AX162" i="2"/>
  <c r="AW163" i="2"/>
  <c r="AX163" i="2"/>
  <c r="AW164" i="2"/>
  <c r="AX164" i="2"/>
  <c r="AW166" i="2"/>
  <c r="AX166" i="2"/>
  <c r="AW167" i="2"/>
  <c r="AX167" i="2"/>
  <c r="AW168" i="2"/>
  <c r="AX168" i="2"/>
  <c r="AW169" i="2"/>
  <c r="AX169" i="2"/>
  <c r="AW170" i="2"/>
  <c r="AX170" i="2"/>
  <c r="AW171" i="2"/>
  <c r="AX171" i="2"/>
  <c r="AW172" i="2"/>
  <c r="AX172" i="2"/>
  <c r="AW173" i="2"/>
  <c r="AX173" i="2"/>
  <c r="AW174" i="2"/>
  <c r="AX174" i="2"/>
  <c r="AW175" i="2"/>
  <c r="AX175" i="2"/>
  <c r="AW176" i="2"/>
  <c r="AX176" i="2"/>
  <c r="AW177" i="2"/>
  <c r="AX177" i="2"/>
  <c r="AW178" i="2"/>
  <c r="AX178" i="2"/>
  <c r="AW179" i="2"/>
  <c r="AX179" i="2"/>
  <c r="AW180" i="2"/>
  <c r="AX180" i="2"/>
  <c r="AW181" i="2"/>
  <c r="AX181" i="2"/>
  <c r="AW182" i="2"/>
  <c r="AX182" i="2"/>
  <c r="AW183" i="2"/>
  <c r="AX183" i="2"/>
  <c r="AW184" i="2"/>
  <c r="AX184" i="2"/>
  <c r="AW185" i="2"/>
  <c r="AX185" i="2"/>
  <c r="AW186" i="2"/>
  <c r="AX186" i="2"/>
  <c r="AW187" i="2"/>
  <c r="AX187" i="2"/>
  <c r="AW188" i="2"/>
  <c r="AX188" i="2"/>
  <c r="AW189" i="2"/>
  <c r="AX189" i="2"/>
  <c r="AW190" i="2"/>
  <c r="AX190" i="2"/>
  <c r="AW191" i="2"/>
  <c r="AX191" i="2"/>
  <c r="AW192" i="2"/>
  <c r="AX192" i="2"/>
  <c r="AW193" i="2"/>
  <c r="AX193" i="2"/>
  <c r="AW194" i="2"/>
  <c r="AX194" i="2"/>
  <c r="AW195" i="2"/>
  <c r="AX195" i="2"/>
  <c r="AW196" i="2"/>
  <c r="AX196" i="2"/>
  <c r="AW197" i="2"/>
  <c r="AX197" i="2"/>
  <c r="AW198" i="2"/>
  <c r="AX198" i="2"/>
  <c r="AW199" i="2"/>
  <c r="AX199" i="2"/>
  <c r="AW200" i="2"/>
  <c r="AX200" i="2"/>
  <c r="AW201" i="2"/>
  <c r="AX201" i="2"/>
  <c r="AW202" i="2"/>
  <c r="AX202" i="2"/>
  <c r="AW204" i="2"/>
  <c r="AX204" i="2"/>
  <c r="AW205" i="2"/>
  <c r="AX205" i="2"/>
  <c r="AW206" i="2"/>
  <c r="AX206" i="2"/>
  <c r="AW207" i="2"/>
  <c r="AX207" i="2"/>
  <c r="AW208" i="2"/>
  <c r="AX208" i="2"/>
  <c r="AW209" i="2"/>
  <c r="AX209" i="2"/>
  <c r="AW210" i="2"/>
  <c r="AX210" i="2"/>
  <c r="AW211" i="2"/>
  <c r="AX211" i="2"/>
  <c r="AW212" i="2"/>
  <c r="AX212" i="2"/>
  <c r="AW213" i="2"/>
  <c r="AX213" i="2"/>
  <c r="AW214" i="2"/>
  <c r="AX214" i="2"/>
  <c r="AW215" i="2"/>
  <c r="AX215" i="2"/>
  <c r="AW216" i="2"/>
  <c r="AX216" i="2"/>
  <c r="AW217" i="2"/>
  <c r="AX217" i="2"/>
  <c r="AW218" i="2"/>
  <c r="AX218" i="2"/>
  <c r="AW219" i="2"/>
  <c r="AX219" i="2"/>
  <c r="AW220" i="2"/>
  <c r="AX220" i="2"/>
  <c r="AW221" i="2"/>
  <c r="AX221" i="2"/>
  <c r="AW222" i="2"/>
  <c r="AX222" i="2"/>
  <c r="AW223" i="2"/>
  <c r="AX223" i="2"/>
  <c r="AW224" i="2"/>
  <c r="AX224" i="2"/>
  <c r="AW225" i="2"/>
  <c r="AX225" i="2"/>
  <c r="AW226" i="2"/>
  <c r="AX226" i="2"/>
  <c r="AW227" i="2"/>
  <c r="AX227" i="2"/>
  <c r="AW228" i="2"/>
  <c r="AX228" i="2"/>
  <c r="AW229" i="2"/>
  <c r="AX229" i="2"/>
  <c r="AW230" i="2"/>
  <c r="AX230" i="2"/>
  <c r="AW231" i="2"/>
  <c r="AX231" i="2"/>
  <c r="AW232" i="2"/>
  <c r="AX232" i="2"/>
  <c r="AW233" i="2"/>
  <c r="AX233" i="2"/>
  <c r="AW234" i="2"/>
  <c r="AX234" i="2"/>
  <c r="AW235" i="2"/>
  <c r="AX235" i="2"/>
  <c r="AW236" i="2"/>
  <c r="AX236" i="2"/>
  <c r="AW237" i="2"/>
  <c r="AX237" i="2"/>
  <c r="AW238" i="2"/>
  <c r="AX238" i="2"/>
  <c r="AW239" i="2"/>
  <c r="AX239" i="2"/>
  <c r="AW240" i="2"/>
  <c r="AX240" i="2"/>
  <c r="AW242" i="2"/>
  <c r="AX242" i="2"/>
  <c r="AW243" i="2"/>
  <c r="AX243" i="2"/>
  <c r="AW244" i="2"/>
  <c r="AX244" i="2"/>
  <c r="AW245" i="2"/>
  <c r="AX245" i="2"/>
  <c r="AW246" i="2"/>
  <c r="AX246" i="2"/>
  <c r="AW247" i="2"/>
  <c r="AX247" i="2"/>
  <c r="AW248" i="2"/>
  <c r="AX248" i="2"/>
  <c r="AW249" i="2"/>
  <c r="AX249" i="2"/>
  <c r="AW250" i="2"/>
  <c r="AX250" i="2"/>
  <c r="AW251" i="2"/>
  <c r="AX251" i="2"/>
  <c r="AW252" i="2"/>
  <c r="AX252" i="2"/>
  <c r="AW253" i="2"/>
  <c r="AX253" i="2"/>
  <c r="AW254" i="2"/>
  <c r="AX254" i="2"/>
  <c r="AW255" i="2"/>
  <c r="AX255" i="2"/>
  <c r="AW256" i="2"/>
  <c r="AX256" i="2"/>
  <c r="AW257" i="2"/>
  <c r="AX257" i="2"/>
  <c r="AW258" i="2"/>
  <c r="AX258" i="2"/>
  <c r="AW259" i="2"/>
  <c r="AX259" i="2"/>
  <c r="AW260" i="2"/>
  <c r="AX260" i="2"/>
  <c r="AW261" i="2"/>
  <c r="AX261" i="2"/>
  <c r="AW262" i="2"/>
  <c r="AX262" i="2"/>
  <c r="AW263" i="2"/>
  <c r="AX263" i="2"/>
  <c r="AW264" i="2"/>
  <c r="AX264" i="2"/>
  <c r="AW265" i="2"/>
  <c r="AX265" i="2"/>
  <c r="AW266" i="2"/>
  <c r="AX266" i="2"/>
  <c r="AW267" i="2"/>
  <c r="AX267" i="2"/>
  <c r="AW268" i="2"/>
  <c r="AX268" i="2"/>
  <c r="AW269" i="2"/>
  <c r="AX269" i="2"/>
  <c r="AW270" i="2"/>
  <c r="AX270" i="2"/>
  <c r="AW271" i="2"/>
  <c r="AX271" i="2"/>
  <c r="AW272" i="2"/>
  <c r="AX272" i="2"/>
  <c r="AW273" i="2"/>
  <c r="AX273" i="2"/>
  <c r="AW274" i="2"/>
  <c r="AX274" i="2"/>
  <c r="AW275" i="2"/>
  <c r="AX275" i="2"/>
  <c r="AW276" i="2"/>
  <c r="AX276" i="2"/>
  <c r="AW277" i="2"/>
  <c r="AX277" i="2"/>
  <c r="AW278" i="2"/>
  <c r="AX278" i="2"/>
  <c r="AW280" i="2"/>
  <c r="AX280" i="2"/>
  <c r="AW281" i="2"/>
  <c r="AX281" i="2"/>
  <c r="AW282" i="2"/>
  <c r="AX282" i="2"/>
  <c r="AW283" i="2"/>
  <c r="AX283" i="2"/>
  <c r="AW284" i="2"/>
  <c r="AX284" i="2"/>
  <c r="AW285" i="2"/>
  <c r="AX285" i="2"/>
  <c r="AW286" i="2"/>
  <c r="AX286" i="2"/>
  <c r="AW287" i="2"/>
  <c r="AX287" i="2"/>
  <c r="AW288" i="2"/>
  <c r="AX288" i="2"/>
  <c r="AW289" i="2"/>
  <c r="AX289" i="2"/>
  <c r="AW290" i="2"/>
  <c r="AX290" i="2"/>
  <c r="AW291" i="2"/>
  <c r="AX291" i="2"/>
  <c r="AW292" i="2"/>
  <c r="AX292" i="2"/>
  <c r="AW293" i="2"/>
  <c r="AX293" i="2"/>
  <c r="AW294" i="2"/>
  <c r="AX294" i="2"/>
  <c r="AW295" i="2"/>
  <c r="AX295" i="2"/>
  <c r="AW296" i="2"/>
  <c r="AX296" i="2"/>
  <c r="AW297" i="2"/>
  <c r="AX297" i="2"/>
  <c r="AW298" i="2"/>
  <c r="AX298" i="2"/>
  <c r="AW299" i="2"/>
  <c r="AX299" i="2"/>
  <c r="AW300" i="2"/>
  <c r="AX300" i="2"/>
  <c r="AW301" i="2"/>
  <c r="AX301" i="2"/>
  <c r="AW302" i="2"/>
  <c r="AX302" i="2"/>
  <c r="AW303" i="2"/>
  <c r="AX303" i="2"/>
  <c r="AW304" i="2"/>
  <c r="AX304" i="2"/>
  <c r="AW305" i="2"/>
  <c r="AX305" i="2"/>
  <c r="AW306" i="2"/>
  <c r="AX306" i="2"/>
  <c r="AW307" i="2"/>
  <c r="AX307" i="2"/>
  <c r="AW308" i="2"/>
  <c r="AX308" i="2"/>
  <c r="AW309" i="2"/>
  <c r="AX309" i="2"/>
  <c r="AW310" i="2"/>
  <c r="AX310" i="2"/>
  <c r="AW311" i="2"/>
  <c r="AX311" i="2"/>
  <c r="AW312" i="2"/>
  <c r="AX312" i="2"/>
  <c r="AW313" i="2"/>
  <c r="AX313" i="2"/>
  <c r="AW314" i="2"/>
  <c r="AX314" i="2"/>
  <c r="AW315" i="2"/>
  <c r="AX315" i="2"/>
  <c r="AW316" i="2"/>
  <c r="AX316" i="2"/>
  <c r="AW318" i="2"/>
  <c r="AX318" i="2"/>
  <c r="AW319" i="2"/>
  <c r="AX319" i="2"/>
  <c r="AW320" i="2"/>
  <c r="AX320" i="2"/>
  <c r="AW321" i="2"/>
  <c r="AX321" i="2"/>
  <c r="AW322" i="2"/>
  <c r="AX322" i="2"/>
  <c r="AW323" i="2"/>
  <c r="AX323" i="2"/>
  <c r="AW324" i="2"/>
  <c r="AX324" i="2"/>
  <c r="AW325" i="2"/>
  <c r="AX325" i="2"/>
  <c r="AW326" i="2"/>
  <c r="AX326" i="2"/>
  <c r="AW327" i="2"/>
  <c r="AX327" i="2"/>
  <c r="AW328" i="2"/>
  <c r="AX328" i="2"/>
  <c r="AW329" i="2"/>
  <c r="AX329" i="2"/>
  <c r="AW330" i="2"/>
  <c r="AX330" i="2"/>
  <c r="AW331" i="2"/>
  <c r="AX331" i="2"/>
  <c r="AW332" i="2"/>
  <c r="AX332" i="2"/>
  <c r="AW333" i="2"/>
  <c r="AX333" i="2"/>
  <c r="AW334" i="2"/>
  <c r="AX334" i="2"/>
  <c r="AW335" i="2"/>
  <c r="AX335" i="2"/>
  <c r="AW336" i="2"/>
  <c r="AX336" i="2"/>
  <c r="AW337" i="2"/>
  <c r="AX337" i="2"/>
  <c r="AW338" i="2"/>
  <c r="AX338" i="2"/>
  <c r="AW339" i="2"/>
  <c r="AX339" i="2"/>
  <c r="AW340" i="2"/>
  <c r="AX340" i="2"/>
  <c r="AW341" i="2"/>
  <c r="AX341" i="2"/>
  <c r="AW342" i="2"/>
  <c r="AX342" i="2"/>
  <c r="AW343" i="2"/>
  <c r="AX343" i="2"/>
  <c r="AW344" i="2"/>
  <c r="AX344" i="2"/>
  <c r="AW345" i="2"/>
  <c r="AX345" i="2"/>
  <c r="AW346" i="2"/>
  <c r="AX346" i="2"/>
  <c r="AW347" i="2"/>
  <c r="AX347" i="2"/>
  <c r="AW348" i="2"/>
  <c r="AX348" i="2"/>
  <c r="AW349" i="2"/>
  <c r="AX349" i="2"/>
  <c r="AW350" i="2"/>
  <c r="AX350" i="2"/>
  <c r="AW351" i="2"/>
  <c r="AX351" i="2"/>
  <c r="AW352" i="2"/>
  <c r="AX352" i="2"/>
  <c r="AW353" i="2"/>
  <c r="AX353" i="2"/>
  <c r="AW354" i="2"/>
  <c r="AX354" i="2"/>
  <c r="AW356" i="2"/>
  <c r="AX356" i="2"/>
  <c r="AW357" i="2"/>
  <c r="AX357" i="2"/>
  <c r="AW358" i="2"/>
  <c r="AX358" i="2"/>
  <c r="AW359" i="2"/>
  <c r="AX359" i="2"/>
  <c r="AW360" i="2"/>
  <c r="AX360" i="2"/>
  <c r="AW361" i="2"/>
  <c r="AX361" i="2"/>
  <c r="AW362" i="2"/>
  <c r="AX362" i="2"/>
  <c r="AW363" i="2"/>
  <c r="AX363" i="2"/>
  <c r="AW364" i="2"/>
  <c r="AX364" i="2"/>
  <c r="AW365" i="2"/>
  <c r="AX365" i="2"/>
  <c r="AW366" i="2"/>
  <c r="AX366" i="2"/>
  <c r="AW367" i="2"/>
  <c r="AX367" i="2"/>
  <c r="AW368" i="2"/>
  <c r="AX368" i="2"/>
  <c r="AW369" i="2"/>
  <c r="AX369" i="2"/>
  <c r="AW370" i="2"/>
  <c r="AX370" i="2"/>
  <c r="AW371" i="2"/>
  <c r="AX371" i="2"/>
  <c r="AW372" i="2"/>
  <c r="AX372" i="2"/>
  <c r="AW373" i="2"/>
  <c r="AX373" i="2"/>
  <c r="AW374" i="2"/>
  <c r="AX374" i="2"/>
  <c r="AW375" i="2"/>
  <c r="AX375" i="2"/>
  <c r="AW376" i="2"/>
  <c r="AX376" i="2"/>
  <c r="AW377" i="2"/>
  <c r="AX377" i="2"/>
  <c r="AW378" i="2"/>
  <c r="AX378" i="2"/>
  <c r="AW379" i="2"/>
  <c r="AX379" i="2"/>
  <c r="AW380" i="2"/>
  <c r="AX380" i="2"/>
  <c r="AW381" i="2"/>
  <c r="AX381" i="2"/>
  <c r="AW382" i="2"/>
  <c r="AX382" i="2"/>
  <c r="AW383" i="2"/>
  <c r="AX383" i="2"/>
  <c r="AW384" i="2"/>
  <c r="AX384" i="2"/>
  <c r="AW385" i="2"/>
  <c r="AX385" i="2"/>
  <c r="AW386" i="2"/>
  <c r="AX386" i="2"/>
  <c r="AW387" i="2"/>
  <c r="AX387" i="2"/>
  <c r="AW388" i="2"/>
  <c r="AX388" i="2"/>
  <c r="AW389" i="2"/>
  <c r="AX389" i="2"/>
  <c r="AW390" i="2"/>
  <c r="AX390" i="2"/>
  <c r="AW391" i="2"/>
  <c r="AX391" i="2"/>
  <c r="AW392" i="2"/>
  <c r="AX392" i="2"/>
  <c r="AW394" i="2"/>
  <c r="AX394" i="2"/>
  <c r="AW395" i="2"/>
  <c r="AX395" i="2"/>
  <c r="AW396" i="2"/>
  <c r="AX396" i="2"/>
  <c r="AW397" i="2"/>
  <c r="AX397" i="2"/>
  <c r="AW398" i="2"/>
  <c r="AX398" i="2"/>
  <c r="AW399" i="2"/>
  <c r="AX399" i="2"/>
  <c r="AW400" i="2"/>
  <c r="AX400" i="2"/>
  <c r="AW401" i="2"/>
  <c r="AX401" i="2"/>
  <c r="AW402" i="2"/>
  <c r="AX402" i="2"/>
  <c r="AW403" i="2"/>
  <c r="AX403" i="2"/>
  <c r="AW404" i="2"/>
  <c r="AX404" i="2"/>
  <c r="AW405" i="2"/>
  <c r="AX405" i="2"/>
  <c r="AW406" i="2"/>
  <c r="AX406" i="2"/>
  <c r="AW407" i="2"/>
  <c r="AX407" i="2"/>
  <c r="AW408" i="2"/>
  <c r="AX408" i="2"/>
  <c r="AW409" i="2"/>
  <c r="AX409" i="2"/>
  <c r="AW410" i="2"/>
  <c r="AX410" i="2"/>
  <c r="AW411" i="2"/>
  <c r="AX411" i="2"/>
  <c r="AW412" i="2"/>
  <c r="AX412" i="2"/>
  <c r="AW413" i="2"/>
  <c r="AX413" i="2"/>
  <c r="AW414" i="2"/>
  <c r="AX414" i="2"/>
  <c r="AW415" i="2"/>
  <c r="AX415" i="2"/>
  <c r="AW416" i="2"/>
  <c r="AX416" i="2"/>
  <c r="AW417" i="2"/>
  <c r="AX417" i="2"/>
  <c r="AW418" i="2"/>
  <c r="AX418" i="2"/>
  <c r="AW419" i="2"/>
  <c r="AX419" i="2"/>
  <c r="AW420" i="2"/>
  <c r="AX420" i="2"/>
  <c r="AW421" i="2"/>
  <c r="AX421" i="2"/>
  <c r="AW422" i="2"/>
  <c r="AX422" i="2"/>
  <c r="AW423" i="2"/>
  <c r="AX423" i="2"/>
  <c r="AW424" i="2"/>
  <c r="AX424" i="2"/>
  <c r="AW425" i="2"/>
  <c r="AX425" i="2"/>
  <c r="AW426" i="2"/>
  <c r="AX426" i="2"/>
  <c r="AW427" i="2"/>
  <c r="AX427" i="2"/>
  <c r="AW428" i="2"/>
  <c r="AX428" i="2"/>
  <c r="AW429" i="2"/>
  <c r="AX429" i="2"/>
  <c r="AW430" i="2"/>
  <c r="AX430" i="2"/>
  <c r="AW432" i="2"/>
  <c r="AX432" i="2"/>
  <c r="AW433" i="2"/>
  <c r="AX433" i="2"/>
  <c r="AW434" i="2"/>
  <c r="AX434" i="2"/>
  <c r="AW435" i="2"/>
  <c r="AX435" i="2"/>
  <c r="AW436" i="2"/>
  <c r="AX436" i="2"/>
  <c r="AW437" i="2"/>
  <c r="AX437" i="2"/>
  <c r="AW438" i="2"/>
  <c r="AX438" i="2"/>
  <c r="AW439" i="2"/>
  <c r="AX439" i="2"/>
  <c r="AW440" i="2"/>
  <c r="AX440" i="2"/>
  <c r="AW441" i="2"/>
  <c r="AX441" i="2"/>
  <c r="AW442" i="2"/>
  <c r="AX442" i="2"/>
  <c r="AW443" i="2"/>
  <c r="AX443" i="2"/>
  <c r="AW444" i="2"/>
  <c r="AX444" i="2"/>
  <c r="AW445" i="2"/>
  <c r="AX445" i="2"/>
  <c r="AW446" i="2"/>
  <c r="AX446" i="2"/>
  <c r="AW447" i="2"/>
  <c r="AX447" i="2"/>
  <c r="AW448" i="2"/>
  <c r="AX448" i="2"/>
  <c r="AW449" i="2"/>
  <c r="AX449" i="2"/>
  <c r="AW450" i="2"/>
  <c r="AX450" i="2"/>
  <c r="AW451" i="2"/>
  <c r="AX451" i="2"/>
  <c r="AW452" i="2"/>
  <c r="AX452" i="2"/>
  <c r="AW453" i="2"/>
  <c r="AX453" i="2"/>
  <c r="AW454" i="2"/>
  <c r="AX454" i="2"/>
  <c r="AW455" i="2"/>
  <c r="AX455" i="2"/>
  <c r="AW456" i="2"/>
  <c r="AX456" i="2"/>
  <c r="AW457" i="2"/>
  <c r="AX457" i="2"/>
  <c r="AW458" i="2"/>
  <c r="AX458" i="2"/>
  <c r="AW459" i="2"/>
  <c r="AX459" i="2"/>
  <c r="AW460" i="2"/>
  <c r="AX460" i="2"/>
  <c r="AW461" i="2"/>
  <c r="AX461" i="2"/>
  <c r="AW462" i="2"/>
  <c r="AX462" i="2"/>
  <c r="AW463" i="2"/>
  <c r="AX463" i="2"/>
  <c r="AW464" i="2"/>
  <c r="AX464" i="2"/>
  <c r="AW465" i="2"/>
  <c r="AX465" i="2"/>
  <c r="AW466" i="2"/>
  <c r="AX466" i="2"/>
  <c r="AW467" i="2"/>
  <c r="AX467" i="2"/>
  <c r="AW468" i="2"/>
  <c r="AX468" i="2"/>
  <c r="AX15" i="2"/>
  <c r="AX16" i="2"/>
  <c r="AX17" i="2"/>
  <c r="AX18" i="2"/>
  <c r="AX19" i="2"/>
  <c r="AX20" i="2"/>
  <c r="AX21" i="2"/>
  <c r="AX22" i="2"/>
  <c r="AX23" i="2"/>
  <c r="AX24" i="2"/>
  <c r="AX25" i="2"/>
  <c r="AX26" i="2"/>
  <c r="AX27" i="2"/>
  <c r="AX28" i="2"/>
  <c r="AX29" i="2"/>
  <c r="AX30" i="2"/>
  <c r="AX31" i="2"/>
  <c r="AX32" i="2"/>
  <c r="AX33" i="2"/>
  <c r="AX34" i="2"/>
  <c r="AX35" i="2"/>
  <c r="AX36" i="2"/>
  <c r="AX37" i="2"/>
  <c r="AX38" i="2"/>
  <c r="AX39" i="2"/>
  <c r="AX40" i="2"/>
  <c r="AX41" i="2"/>
  <c r="AX42" i="2"/>
  <c r="AX43" i="2"/>
  <c r="AX44" i="2"/>
  <c r="AX45" i="2"/>
  <c r="AX46" i="2"/>
  <c r="AX47" i="2"/>
  <c r="AX48" i="2"/>
  <c r="AX49" i="2"/>
  <c r="AX50" i="2"/>
  <c r="AX14" i="2"/>
  <c r="AW14" i="2"/>
  <c r="AG52" i="2"/>
  <c r="AH52" i="2"/>
  <c r="AG53" i="2"/>
  <c r="AH53" i="2"/>
  <c r="AG54" i="2"/>
  <c r="AH54" i="2"/>
  <c r="AG55" i="2"/>
  <c r="AH55" i="2"/>
  <c r="AG56" i="2"/>
  <c r="AH56" i="2"/>
  <c r="AG57" i="2"/>
  <c r="AH57" i="2"/>
  <c r="AG58" i="2"/>
  <c r="AH58" i="2"/>
  <c r="AG59" i="2"/>
  <c r="AH59" i="2"/>
  <c r="AG60" i="2"/>
  <c r="AH60" i="2"/>
  <c r="AG61" i="2"/>
  <c r="AH61" i="2"/>
  <c r="AG62" i="2"/>
  <c r="AH62" i="2"/>
  <c r="AG63" i="2"/>
  <c r="AH63" i="2"/>
  <c r="AG64" i="2"/>
  <c r="AH64" i="2"/>
  <c r="AG65" i="2"/>
  <c r="AH65" i="2"/>
  <c r="AG66" i="2"/>
  <c r="AH66" i="2"/>
  <c r="AG67" i="2"/>
  <c r="AH67" i="2"/>
  <c r="AG68" i="2"/>
  <c r="AH68" i="2"/>
  <c r="AG69" i="2"/>
  <c r="AH69" i="2"/>
  <c r="AG70" i="2"/>
  <c r="AH70" i="2"/>
  <c r="AG71" i="2"/>
  <c r="AH71" i="2"/>
  <c r="AG72" i="2"/>
  <c r="AH72" i="2"/>
  <c r="AG73" i="2"/>
  <c r="AH73" i="2"/>
  <c r="AG74" i="2"/>
  <c r="AH74" i="2"/>
  <c r="AG75" i="2"/>
  <c r="AH75" i="2"/>
  <c r="AG76" i="2"/>
  <c r="AH76" i="2"/>
  <c r="AG77" i="2"/>
  <c r="AH77" i="2"/>
  <c r="AG78" i="2"/>
  <c r="AH78" i="2"/>
  <c r="AG79" i="2"/>
  <c r="AH79" i="2"/>
  <c r="AG80" i="2"/>
  <c r="AH80" i="2"/>
  <c r="AG81" i="2"/>
  <c r="AH81" i="2"/>
  <c r="AG82" i="2"/>
  <c r="AH82" i="2"/>
  <c r="AG83" i="2"/>
  <c r="AH83" i="2"/>
  <c r="AG84" i="2"/>
  <c r="AH84" i="2"/>
  <c r="AG85" i="2"/>
  <c r="AH85" i="2"/>
  <c r="AG86" i="2"/>
  <c r="AH86" i="2"/>
  <c r="AG87" i="2"/>
  <c r="AH87" i="2"/>
  <c r="AG88" i="2"/>
  <c r="AH88" i="2"/>
  <c r="AG90" i="2"/>
  <c r="AH90" i="2"/>
  <c r="AG91" i="2"/>
  <c r="AH91" i="2"/>
  <c r="AG92" i="2"/>
  <c r="AH92" i="2"/>
  <c r="AG93" i="2"/>
  <c r="AH93" i="2"/>
  <c r="AG94" i="2"/>
  <c r="AH94" i="2"/>
  <c r="AG95" i="2"/>
  <c r="AH95" i="2"/>
  <c r="AG96" i="2"/>
  <c r="AH96" i="2"/>
  <c r="AG97" i="2"/>
  <c r="AH97" i="2"/>
  <c r="AG98" i="2"/>
  <c r="AH98" i="2"/>
  <c r="AG99" i="2"/>
  <c r="AH99" i="2"/>
  <c r="AG100" i="2"/>
  <c r="AH100" i="2"/>
  <c r="AG101" i="2"/>
  <c r="AH101" i="2"/>
  <c r="AG102" i="2"/>
  <c r="AH102" i="2"/>
  <c r="AG103" i="2"/>
  <c r="AH103" i="2"/>
  <c r="AG104" i="2"/>
  <c r="AH104" i="2"/>
  <c r="AG105" i="2"/>
  <c r="AH105" i="2"/>
  <c r="AG106" i="2"/>
  <c r="AH106" i="2"/>
  <c r="AG107" i="2"/>
  <c r="AH107" i="2"/>
  <c r="AG108" i="2"/>
  <c r="AH108" i="2"/>
  <c r="AG109" i="2"/>
  <c r="AH109" i="2"/>
  <c r="AG110" i="2"/>
  <c r="AH110" i="2"/>
  <c r="AG111" i="2"/>
  <c r="AH111" i="2"/>
  <c r="AG112" i="2"/>
  <c r="AH112" i="2"/>
  <c r="AG113" i="2"/>
  <c r="AH113" i="2"/>
  <c r="AG114" i="2"/>
  <c r="AH114" i="2"/>
  <c r="AG115" i="2"/>
  <c r="AH115" i="2"/>
  <c r="AG116" i="2"/>
  <c r="AH116" i="2"/>
  <c r="AG117" i="2"/>
  <c r="AH117" i="2"/>
  <c r="AG118" i="2"/>
  <c r="AH118" i="2"/>
  <c r="AG119" i="2"/>
  <c r="AH119" i="2"/>
  <c r="AG120" i="2"/>
  <c r="AH120" i="2"/>
  <c r="AG121" i="2"/>
  <c r="AH121" i="2"/>
  <c r="AG122" i="2"/>
  <c r="AH122" i="2"/>
  <c r="AG123" i="2"/>
  <c r="AH123" i="2"/>
  <c r="AG124" i="2"/>
  <c r="AH124" i="2"/>
  <c r="AG125" i="2"/>
  <c r="AH125" i="2"/>
  <c r="AG126" i="2"/>
  <c r="AH126" i="2"/>
  <c r="AG128" i="2"/>
  <c r="AH128" i="2"/>
  <c r="AG129" i="2"/>
  <c r="AH129" i="2"/>
  <c r="AG130" i="2"/>
  <c r="AH130" i="2"/>
  <c r="AG131" i="2"/>
  <c r="AH131" i="2"/>
  <c r="AG132" i="2"/>
  <c r="AH132" i="2"/>
  <c r="AG133" i="2"/>
  <c r="AH133" i="2"/>
  <c r="AG134" i="2"/>
  <c r="AH134" i="2"/>
  <c r="AG135" i="2"/>
  <c r="AH135" i="2"/>
  <c r="AG136" i="2"/>
  <c r="AH136" i="2"/>
  <c r="AG137" i="2"/>
  <c r="AH137" i="2"/>
  <c r="AG138" i="2"/>
  <c r="AH138" i="2"/>
  <c r="AG139" i="2"/>
  <c r="AH139" i="2"/>
  <c r="AG140" i="2"/>
  <c r="AH140" i="2"/>
  <c r="AG141" i="2"/>
  <c r="AH141" i="2"/>
  <c r="AG142" i="2"/>
  <c r="AH142" i="2"/>
  <c r="AG143" i="2"/>
  <c r="AH143" i="2"/>
  <c r="AG144" i="2"/>
  <c r="AH144" i="2"/>
  <c r="AG145" i="2"/>
  <c r="AH145" i="2"/>
  <c r="AG146" i="2"/>
  <c r="AH146" i="2"/>
  <c r="AG147" i="2"/>
  <c r="AH147" i="2"/>
  <c r="AG148" i="2"/>
  <c r="AH148" i="2"/>
  <c r="AG149" i="2"/>
  <c r="AH149" i="2"/>
  <c r="AG150" i="2"/>
  <c r="AH150" i="2"/>
  <c r="AG151" i="2"/>
  <c r="AH151" i="2"/>
  <c r="AG152" i="2"/>
  <c r="AH152" i="2"/>
  <c r="AG153" i="2"/>
  <c r="AH153" i="2"/>
  <c r="AG154" i="2"/>
  <c r="AH154" i="2"/>
  <c r="AG155" i="2"/>
  <c r="AH155" i="2"/>
  <c r="AG156" i="2"/>
  <c r="AH156" i="2"/>
  <c r="AG157" i="2"/>
  <c r="AH157" i="2"/>
  <c r="AG158" i="2"/>
  <c r="AH158" i="2"/>
  <c r="AG159" i="2"/>
  <c r="AH159" i="2"/>
  <c r="AG160" i="2"/>
  <c r="AH160" i="2"/>
  <c r="AG161" i="2"/>
  <c r="AH161" i="2"/>
  <c r="AG162" i="2"/>
  <c r="AH162" i="2"/>
  <c r="AG163" i="2"/>
  <c r="AH163" i="2"/>
  <c r="AG164" i="2"/>
  <c r="AH164" i="2"/>
  <c r="AG166" i="2"/>
  <c r="AH166" i="2"/>
  <c r="AG167" i="2"/>
  <c r="AH167" i="2"/>
  <c r="AG168" i="2"/>
  <c r="AH168" i="2"/>
  <c r="AG169" i="2"/>
  <c r="AH169" i="2"/>
  <c r="AG170" i="2"/>
  <c r="AH170" i="2"/>
  <c r="AG171" i="2"/>
  <c r="AH171" i="2"/>
  <c r="AG172" i="2"/>
  <c r="AH172" i="2"/>
  <c r="AG173" i="2"/>
  <c r="AH173" i="2"/>
  <c r="AG174" i="2"/>
  <c r="AH174" i="2"/>
  <c r="AG175" i="2"/>
  <c r="AH175" i="2"/>
  <c r="AG176" i="2"/>
  <c r="AH176" i="2"/>
  <c r="AG177" i="2"/>
  <c r="AH177" i="2"/>
  <c r="AG178" i="2"/>
  <c r="AH178" i="2"/>
  <c r="AG179" i="2"/>
  <c r="AH179" i="2"/>
  <c r="AG180" i="2"/>
  <c r="AH180" i="2"/>
  <c r="AG181" i="2"/>
  <c r="AH181" i="2"/>
  <c r="AG182" i="2"/>
  <c r="AH182" i="2"/>
  <c r="AG183" i="2"/>
  <c r="AH183" i="2"/>
  <c r="AG184" i="2"/>
  <c r="AH184" i="2"/>
  <c r="AG185" i="2"/>
  <c r="AH185" i="2"/>
  <c r="AG186" i="2"/>
  <c r="AH186" i="2"/>
  <c r="AG187" i="2"/>
  <c r="AH187" i="2"/>
  <c r="AG188" i="2"/>
  <c r="AH188" i="2"/>
  <c r="AG189" i="2"/>
  <c r="AH189" i="2"/>
  <c r="AG190" i="2"/>
  <c r="AH190" i="2"/>
  <c r="AG191" i="2"/>
  <c r="AH191" i="2"/>
  <c r="AG192" i="2"/>
  <c r="AH192" i="2"/>
  <c r="AG193" i="2"/>
  <c r="AH193" i="2"/>
  <c r="AG194" i="2"/>
  <c r="AH194" i="2"/>
  <c r="AG195" i="2"/>
  <c r="AH195" i="2"/>
  <c r="AG196" i="2"/>
  <c r="AH196" i="2"/>
  <c r="AG197" i="2"/>
  <c r="AH197" i="2"/>
  <c r="AG198" i="2"/>
  <c r="AH198" i="2"/>
  <c r="AG199" i="2"/>
  <c r="AH199" i="2"/>
  <c r="AG200" i="2"/>
  <c r="AH200" i="2"/>
  <c r="AG201" i="2"/>
  <c r="AH201" i="2"/>
  <c r="AG202" i="2"/>
  <c r="AH202" i="2"/>
  <c r="AG204" i="2"/>
  <c r="AH204" i="2"/>
  <c r="AG205" i="2"/>
  <c r="AH205" i="2"/>
  <c r="AG206" i="2"/>
  <c r="AH206" i="2"/>
  <c r="AG207" i="2"/>
  <c r="AH207" i="2"/>
  <c r="AG208" i="2"/>
  <c r="AH208" i="2"/>
  <c r="AG209" i="2"/>
  <c r="AH209" i="2"/>
  <c r="AG210" i="2"/>
  <c r="AH210" i="2"/>
  <c r="AG211" i="2"/>
  <c r="AH211" i="2"/>
  <c r="AG212" i="2"/>
  <c r="AH212" i="2"/>
  <c r="AG213" i="2"/>
  <c r="AH213" i="2"/>
  <c r="AG214" i="2"/>
  <c r="AH214" i="2"/>
  <c r="AG215" i="2"/>
  <c r="AH215" i="2"/>
  <c r="AG216" i="2"/>
  <c r="AH216" i="2"/>
  <c r="AG217" i="2"/>
  <c r="AH217" i="2"/>
  <c r="AG218" i="2"/>
  <c r="AH218" i="2"/>
  <c r="AG219" i="2"/>
  <c r="AH219" i="2"/>
  <c r="AG220" i="2"/>
  <c r="AH220" i="2"/>
  <c r="AG221" i="2"/>
  <c r="AH221" i="2"/>
  <c r="AG222" i="2"/>
  <c r="AH222" i="2"/>
  <c r="AG223" i="2"/>
  <c r="AH223" i="2"/>
  <c r="AG224" i="2"/>
  <c r="AH224" i="2"/>
  <c r="AG225" i="2"/>
  <c r="AH225" i="2"/>
  <c r="AG226" i="2"/>
  <c r="AH226" i="2"/>
  <c r="AG227" i="2"/>
  <c r="AH227" i="2"/>
  <c r="AG228" i="2"/>
  <c r="AH228" i="2"/>
  <c r="AG229" i="2"/>
  <c r="AH229" i="2"/>
  <c r="AG230" i="2"/>
  <c r="AH230" i="2"/>
  <c r="AG231" i="2"/>
  <c r="AH231" i="2"/>
  <c r="AG232" i="2"/>
  <c r="AH232" i="2"/>
  <c r="AG233" i="2"/>
  <c r="AH233" i="2"/>
  <c r="AG234" i="2"/>
  <c r="AH234" i="2"/>
  <c r="AG235" i="2"/>
  <c r="AH235" i="2"/>
  <c r="AG236" i="2"/>
  <c r="AH236" i="2"/>
  <c r="AG237" i="2"/>
  <c r="AH237" i="2"/>
  <c r="AG238" i="2"/>
  <c r="AH238" i="2"/>
  <c r="AG239" i="2"/>
  <c r="AH239" i="2"/>
  <c r="AG240" i="2"/>
  <c r="AH240" i="2"/>
  <c r="AG242" i="2"/>
  <c r="AH242" i="2"/>
  <c r="AG243" i="2"/>
  <c r="AH243" i="2"/>
  <c r="AG244" i="2"/>
  <c r="AH244" i="2"/>
  <c r="AG245" i="2"/>
  <c r="AH245" i="2"/>
  <c r="AG246" i="2"/>
  <c r="AH246" i="2"/>
  <c r="AG247" i="2"/>
  <c r="AH247" i="2"/>
  <c r="AG248" i="2"/>
  <c r="AH248" i="2"/>
  <c r="AG249" i="2"/>
  <c r="AH249" i="2"/>
  <c r="AG250" i="2"/>
  <c r="AH250" i="2"/>
  <c r="AG251" i="2"/>
  <c r="AH251" i="2"/>
  <c r="AG252" i="2"/>
  <c r="AH252" i="2"/>
  <c r="AG253" i="2"/>
  <c r="AH253" i="2"/>
  <c r="AG254" i="2"/>
  <c r="AH254" i="2"/>
  <c r="AG255" i="2"/>
  <c r="AH255" i="2"/>
  <c r="AG256" i="2"/>
  <c r="AH256" i="2"/>
  <c r="AG257" i="2"/>
  <c r="AH257" i="2"/>
  <c r="AG258" i="2"/>
  <c r="AH258" i="2"/>
  <c r="AG259" i="2"/>
  <c r="AH259" i="2"/>
  <c r="AG260" i="2"/>
  <c r="AH260" i="2"/>
  <c r="AG261" i="2"/>
  <c r="AH261" i="2"/>
  <c r="AG262" i="2"/>
  <c r="AH262" i="2"/>
  <c r="AG263" i="2"/>
  <c r="AH263" i="2"/>
  <c r="AG264" i="2"/>
  <c r="AH264" i="2"/>
  <c r="AG265" i="2"/>
  <c r="AH265" i="2"/>
  <c r="AG266" i="2"/>
  <c r="AH266" i="2"/>
  <c r="AG267" i="2"/>
  <c r="AH267" i="2"/>
  <c r="AG268" i="2"/>
  <c r="AH268" i="2"/>
  <c r="AG269" i="2"/>
  <c r="AH269" i="2"/>
  <c r="AG270" i="2"/>
  <c r="AH270" i="2"/>
  <c r="AG271" i="2"/>
  <c r="AH271" i="2"/>
  <c r="AG272" i="2"/>
  <c r="AH272" i="2"/>
  <c r="AG273" i="2"/>
  <c r="AH273" i="2"/>
  <c r="AG274" i="2"/>
  <c r="AH274" i="2"/>
  <c r="AG275" i="2"/>
  <c r="AH275" i="2"/>
  <c r="AG276" i="2"/>
  <c r="AH276" i="2"/>
  <c r="AG277" i="2"/>
  <c r="AH277" i="2"/>
  <c r="AG278" i="2"/>
  <c r="AH278" i="2"/>
  <c r="AG280" i="2"/>
  <c r="AH280" i="2"/>
  <c r="AG281" i="2"/>
  <c r="AH281" i="2"/>
  <c r="AG282" i="2"/>
  <c r="AH282" i="2"/>
  <c r="AG283" i="2"/>
  <c r="AH283" i="2"/>
  <c r="AG284" i="2"/>
  <c r="AH284" i="2"/>
  <c r="AG285" i="2"/>
  <c r="AH285" i="2"/>
  <c r="AG286" i="2"/>
  <c r="AH286" i="2"/>
  <c r="AG287" i="2"/>
  <c r="AH287" i="2"/>
  <c r="AG288" i="2"/>
  <c r="AH288" i="2"/>
  <c r="AG289" i="2"/>
  <c r="AH289" i="2"/>
  <c r="AG290" i="2"/>
  <c r="AH290" i="2"/>
  <c r="AG291" i="2"/>
  <c r="AH291" i="2"/>
  <c r="AG292" i="2"/>
  <c r="AH292" i="2"/>
  <c r="AG293" i="2"/>
  <c r="AH293" i="2"/>
  <c r="AG294" i="2"/>
  <c r="AH294" i="2"/>
  <c r="AG295" i="2"/>
  <c r="AH295" i="2"/>
  <c r="AG296" i="2"/>
  <c r="AH296" i="2"/>
  <c r="AG297" i="2"/>
  <c r="AH297" i="2"/>
  <c r="AG298" i="2"/>
  <c r="AH298" i="2"/>
  <c r="AG299" i="2"/>
  <c r="AH299" i="2"/>
  <c r="AG300" i="2"/>
  <c r="AH300" i="2"/>
  <c r="AG301" i="2"/>
  <c r="AH301" i="2"/>
  <c r="AG302" i="2"/>
  <c r="AH302" i="2"/>
  <c r="AG303" i="2"/>
  <c r="AH303" i="2"/>
  <c r="AG304" i="2"/>
  <c r="AH304" i="2"/>
  <c r="AG305" i="2"/>
  <c r="AH305" i="2"/>
  <c r="AG306" i="2"/>
  <c r="AH306" i="2"/>
  <c r="AG307" i="2"/>
  <c r="AH307" i="2"/>
  <c r="AG308" i="2"/>
  <c r="AH308" i="2"/>
  <c r="AG309" i="2"/>
  <c r="AH309" i="2"/>
  <c r="AG310" i="2"/>
  <c r="AH310" i="2"/>
  <c r="AG311" i="2"/>
  <c r="AH311" i="2"/>
  <c r="AG312" i="2"/>
  <c r="AH312" i="2"/>
  <c r="AG313" i="2"/>
  <c r="AH313" i="2"/>
  <c r="AG314" i="2"/>
  <c r="AH314" i="2"/>
  <c r="AG315" i="2"/>
  <c r="AH315" i="2"/>
  <c r="AG316" i="2"/>
  <c r="AH316" i="2"/>
  <c r="AG318" i="2"/>
  <c r="AH318" i="2"/>
  <c r="AG319" i="2"/>
  <c r="AH319" i="2"/>
  <c r="AG320" i="2"/>
  <c r="AH320" i="2"/>
  <c r="AG321" i="2"/>
  <c r="AH321" i="2"/>
  <c r="AG322" i="2"/>
  <c r="AH322" i="2"/>
  <c r="AG323" i="2"/>
  <c r="AH323" i="2"/>
  <c r="AG324" i="2"/>
  <c r="AH324" i="2"/>
  <c r="AG325" i="2"/>
  <c r="AH325" i="2"/>
  <c r="AG326" i="2"/>
  <c r="AH326" i="2"/>
  <c r="AG327" i="2"/>
  <c r="AH327" i="2"/>
  <c r="AG328" i="2"/>
  <c r="AH328" i="2"/>
  <c r="AG329" i="2"/>
  <c r="AH329" i="2"/>
  <c r="AG330" i="2"/>
  <c r="AH330" i="2"/>
  <c r="AG331" i="2"/>
  <c r="AH331" i="2"/>
  <c r="AG332" i="2"/>
  <c r="AH332" i="2"/>
  <c r="AG333" i="2"/>
  <c r="AH333" i="2"/>
  <c r="AG334" i="2"/>
  <c r="AH334" i="2"/>
  <c r="AG335" i="2"/>
  <c r="AH335" i="2"/>
  <c r="AG336" i="2"/>
  <c r="AH336" i="2"/>
  <c r="AG337" i="2"/>
  <c r="AH337" i="2"/>
  <c r="AG338" i="2"/>
  <c r="AH338" i="2"/>
  <c r="AG339" i="2"/>
  <c r="AH339" i="2"/>
  <c r="AG340" i="2"/>
  <c r="AH340" i="2"/>
  <c r="AG341" i="2"/>
  <c r="AH341" i="2"/>
  <c r="AG342" i="2"/>
  <c r="AH342" i="2"/>
  <c r="AG343" i="2"/>
  <c r="AH343" i="2"/>
  <c r="AG344" i="2"/>
  <c r="AH344" i="2"/>
  <c r="AG345" i="2"/>
  <c r="AH345" i="2"/>
  <c r="AG346" i="2"/>
  <c r="AH346" i="2"/>
  <c r="AG347" i="2"/>
  <c r="AH347" i="2"/>
  <c r="AG348" i="2"/>
  <c r="AH348" i="2"/>
  <c r="AG349" i="2"/>
  <c r="AH349" i="2"/>
  <c r="AG350" i="2"/>
  <c r="AH350" i="2"/>
  <c r="AG351" i="2"/>
  <c r="AH351" i="2"/>
  <c r="AG352" i="2"/>
  <c r="AH352" i="2"/>
  <c r="AG353" i="2"/>
  <c r="AH353" i="2"/>
  <c r="AG354" i="2"/>
  <c r="AH354" i="2"/>
  <c r="AG356" i="2"/>
  <c r="AH356" i="2"/>
  <c r="AG357" i="2"/>
  <c r="AH357" i="2"/>
  <c r="AG358" i="2"/>
  <c r="AH358" i="2"/>
  <c r="AG359" i="2"/>
  <c r="AH359" i="2"/>
  <c r="AG360" i="2"/>
  <c r="AH360" i="2"/>
  <c r="AG361" i="2"/>
  <c r="AH361" i="2"/>
  <c r="AG362" i="2"/>
  <c r="AH362" i="2"/>
  <c r="AG363" i="2"/>
  <c r="AH363" i="2"/>
  <c r="AG364" i="2"/>
  <c r="AH364" i="2"/>
  <c r="AG365" i="2"/>
  <c r="AH365" i="2"/>
  <c r="AG366" i="2"/>
  <c r="AH366" i="2"/>
  <c r="AG367" i="2"/>
  <c r="AH367" i="2"/>
  <c r="AG368" i="2"/>
  <c r="AH368" i="2"/>
  <c r="AG369" i="2"/>
  <c r="AH369" i="2"/>
  <c r="AG370" i="2"/>
  <c r="AH370" i="2"/>
  <c r="AG371" i="2"/>
  <c r="AH371" i="2"/>
  <c r="AG372" i="2"/>
  <c r="AH372" i="2"/>
  <c r="AG373" i="2"/>
  <c r="AH373" i="2"/>
  <c r="AG374" i="2"/>
  <c r="AH374" i="2"/>
  <c r="AG375" i="2"/>
  <c r="AH375" i="2"/>
  <c r="AG376" i="2"/>
  <c r="AH376" i="2"/>
  <c r="AG377" i="2"/>
  <c r="AH377" i="2"/>
  <c r="AG378" i="2"/>
  <c r="AH378" i="2"/>
  <c r="AG379" i="2"/>
  <c r="AH379" i="2"/>
  <c r="AG380" i="2"/>
  <c r="AH380" i="2"/>
  <c r="AG381" i="2"/>
  <c r="AH381" i="2"/>
  <c r="AG382" i="2"/>
  <c r="AH382" i="2"/>
  <c r="AG383" i="2"/>
  <c r="AH383" i="2"/>
  <c r="AG384" i="2"/>
  <c r="AH384" i="2"/>
  <c r="AG385" i="2"/>
  <c r="AH385" i="2"/>
  <c r="AG386" i="2"/>
  <c r="AH386" i="2"/>
  <c r="AG387" i="2"/>
  <c r="AH387" i="2"/>
  <c r="AG388" i="2"/>
  <c r="AH388" i="2"/>
  <c r="AG389" i="2"/>
  <c r="AH389" i="2"/>
  <c r="AG390" i="2"/>
  <c r="AH390" i="2"/>
  <c r="AG391" i="2"/>
  <c r="AH391" i="2"/>
  <c r="AG392" i="2"/>
  <c r="AH392" i="2"/>
  <c r="AG394" i="2"/>
  <c r="AH394" i="2"/>
  <c r="AG395" i="2"/>
  <c r="AH395" i="2"/>
  <c r="AG396" i="2"/>
  <c r="AH396" i="2"/>
  <c r="AG397" i="2"/>
  <c r="AH397" i="2"/>
  <c r="AG398" i="2"/>
  <c r="AH398" i="2"/>
  <c r="AG399" i="2"/>
  <c r="AH399" i="2"/>
  <c r="AG400" i="2"/>
  <c r="AH400" i="2"/>
  <c r="AG401" i="2"/>
  <c r="AH401" i="2"/>
  <c r="AG402" i="2"/>
  <c r="AH402" i="2"/>
  <c r="AG403" i="2"/>
  <c r="AH403" i="2"/>
  <c r="AG404" i="2"/>
  <c r="AH404" i="2"/>
  <c r="AG405" i="2"/>
  <c r="AH405" i="2"/>
  <c r="AG406" i="2"/>
  <c r="AH406" i="2"/>
  <c r="AG407" i="2"/>
  <c r="AH407" i="2"/>
  <c r="AG408" i="2"/>
  <c r="AH408" i="2"/>
  <c r="AG409" i="2"/>
  <c r="AH409" i="2"/>
  <c r="AG410" i="2"/>
  <c r="AH410" i="2"/>
  <c r="AG411" i="2"/>
  <c r="AH411" i="2"/>
  <c r="AG412" i="2"/>
  <c r="AH412" i="2"/>
  <c r="AG413" i="2"/>
  <c r="AH413" i="2"/>
  <c r="AG414" i="2"/>
  <c r="AH414" i="2"/>
  <c r="AG415" i="2"/>
  <c r="AH415" i="2"/>
  <c r="AG416" i="2"/>
  <c r="AH416" i="2"/>
  <c r="AG417" i="2"/>
  <c r="AH417" i="2"/>
  <c r="AG418" i="2"/>
  <c r="AH418" i="2"/>
  <c r="AG419" i="2"/>
  <c r="AH419" i="2"/>
  <c r="AG420" i="2"/>
  <c r="AH420" i="2"/>
  <c r="AG421" i="2"/>
  <c r="AH421" i="2"/>
  <c r="AG422" i="2"/>
  <c r="AH422" i="2"/>
  <c r="AG423" i="2"/>
  <c r="AH423" i="2"/>
  <c r="AG424" i="2"/>
  <c r="AH424" i="2"/>
  <c r="AG425" i="2"/>
  <c r="AH425" i="2"/>
  <c r="AG426" i="2"/>
  <c r="AH426" i="2"/>
  <c r="AG427" i="2"/>
  <c r="AH427" i="2"/>
  <c r="AG428" i="2"/>
  <c r="AH428" i="2"/>
  <c r="AG429" i="2"/>
  <c r="AH429" i="2"/>
  <c r="AG430" i="2"/>
  <c r="AH430" i="2"/>
  <c r="AG432" i="2"/>
  <c r="AH432" i="2"/>
  <c r="AG433" i="2"/>
  <c r="AH433" i="2"/>
  <c r="AG434" i="2"/>
  <c r="AH434" i="2"/>
  <c r="AG435" i="2"/>
  <c r="AH435" i="2"/>
  <c r="AG436" i="2"/>
  <c r="AH436" i="2"/>
  <c r="AG437" i="2"/>
  <c r="AH437" i="2"/>
  <c r="AG438" i="2"/>
  <c r="AH438" i="2"/>
  <c r="AG439" i="2"/>
  <c r="AH439" i="2"/>
  <c r="AG440" i="2"/>
  <c r="AH440" i="2"/>
  <c r="AG441" i="2"/>
  <c r="AH441" i="2"/>
  <c r="AG442" i="2"/>
  <c r="AH442" i="2"/>
  <c r="AG443" i="2"/>
  <c r="AH443" i="2"/>
  <c r="AG444" i="2"/>
  <c r="AH444" i="2"/>
  <c r="AG445" i="2"/>
  <c r="AH445" i="2"/>
  <c r="AG446" i="2"/>
  <c r="AH446" i="2"/>
  <c r="AG447" i="2"/>
  <c r="AH447" i="2"/>
  <c r="AG448" i="2"/>
  <c r="AH448" i="2"/>
  <c r="AG449" i="2"/>
  <c r="AH449" i="2"/>
  <c r="AG450" i="2"/>
  <c r="AH450" i="2"/>
  <c r="AG451" i="2"/>
  <c r="AH451" i="2"/>
  <c r="AG452" i="2"/>
  <c r="AH452" i="2"/>
  <c r="AG453" i="2"/>
  <c r="AH453" i="2"/>
  <c r="AG454" i="2"/>
  <c r="AH454" i="2"/>
  <c r="AG455" i="2"/>
  <c r="AH455" i="2"/>
  <c r="AG456" i="2"/>
  <c r="AH456" i="2"/>
  <c r="AG457" i="2"/>
  <c r="AH457" i="2"/>
  <c r="AG458" i="2"/>
  <c r="AH458" i="2"/>
  <c r="AG459" i="2"/>
  <c r="AH459" i="2"/>
  <c r="AG460" i="2"/>
  <c r="AH460" i="2"/>
  <c r="AG461" i="2"/>
  <c r="AH461" i="2"/>
  <c r="AG462" i="2"/>
  <c r="AH462" i="2"/>
  <c r="AG463" i="2"/>
  <c r="AH463" i="2"/>
  <c r="AG464" i="2"/>
  <c r="AH464" i="2"/>
  <c r="AG465" i="2"/>
  <c r="AH465" i="2"/>
  <c r="AG466" i="2"/>
  <c r="AH466" i="2"/>
  <c r="AG467" i="2"/>
  <c r="AH467" i="2"/>
  <c r="AG468" i="2"/>
  <c r="AH468" i="2"/>
  <c r="AG15" i="2"/>
  <c r="AH15" i="2"/>
  <c r="AG16" i="2"/>
  <c r="AH16" i="2"/>
  <c r="AG17" i="2"/>
  <c r="AH17" i="2"/>
  <c r="AG18" i="2"/>
  <c r="AH18" i="2"/>
  <c r="AG19" i="2"/>
  <c r="AH19" i="2"/>
  <c r="AG20" i="2"/>
  <c r="AH20" i="2"/>
  <c r="AG21" i="2"/>
  <c r="AH21" i="2"/>
  <c r="AG22" i="2"/>
  <c r="AH22" i="2"/>
  <c r="AG23" i="2"/>
  <c r="AH23" i="2"/>
  <c r="AG24" i="2"/>
  <c r="AH24" i="2"/>
  <c r="AG25" i="2"/>
  <c r="AH25" i="2"/>
  <c r="AG26" i="2"/>
  <c r="AH26" i="2"/>
  <c r="AG27" i="2"/>
  <c r="AH27" i="2"/>
  <c r="AG28" i="2"/>
  <c r="AH28" i="2"/>
  <c r="AG29" i="2"/>
  <c r="AH29" i="2"/>
  <c r="AG30" i="2"/>
  <c r="AH30" i="2"/>
  <c r="AG31" i="2"/>
  <c r="AH31" i="2"/>
  <c r="AG32" i="2"/>
  <c r="AH32" i="2"/>
  <c r="AG33" i="2"/>
  <c r="AH33" i="2"/>
  <c r="AG34" i="2"/>
  <c r="AH34" i="2"/>
  <c r="AG35" i="2"/>
  <c r="AH35" i="2"/>
  <c r="AG36" i="2"/>
  <c r="AH36" i="2"/>
  <c r="AG37" i="2"/>
  <c r="AH37" i="2"/>
  <c r="AG38" i="2"/>
  <c r="AH38" i="2"/>
  <c r="AG39" i="2"/>
  <c r="AH39" i="2"/>
  <c r="AG40" i="2"/>
  <c r="AH40" i="2"/>
  <c r="AG41" i="2"/>
  <c r="AH41" i="2"/>
  <c r="AG42" i="2"/>
  <c r="AH42" i="2"/>
  <c r="AG43" i="2"/>
  <c r="AH43" i="2"/>
  <c r="AG44" i="2"/>
  <c r="AH44" i="2"/>
  <c r="AG45" i="2"/>
  <c r="AH45" i="2"/>
  <c r="AG46" i="2"/>
  <c r="AH46" i="2"/>
  <c r="AG47" i="2"/>
  <c r="AH47" i="2"/>
  <c r="AG48" i="2"/>
  <c r="AH48" i="2"/>
  <c r="AG49" i="2"/>
  <c r="AH49" i="2"/>
  <c r="AG50" i="2"/>
  <c r="AH50" i="2"/>
  <c r="AH14" i="2"/>
  <c r="Q52" i="2"/>
  <c r="R52" i="2"/>
  <c r="Q53" i="2"/>
  <c r="R53" i="2"/>
  <c r="Q54" i="2"/>
  <c r="R54" i="2"/>
  <c r="Q55" i="2"/>
  <c r="R55" i="2"/>
  <c r="Q56" i="2"/>
  <c r="R56" i="2"/>
  <c r="Q57" i="2"/>
  <c r="R57" i="2"/>
  <c r="Q58" i="2"/>
  <c r="R58" i="2"/>
  <c r="Q59" i="2"/>
  <c r="R59" i="2"/>
  <c r="Q60" i="2"/>
  <c r="R60" i="2"/>
  <c r="Q61" i="2"/>
  <c r="R61" i="2"/>
  <c r="Q62" i="2"/>
  <c r="R62" i="2"/>
  <c r="Q63" i="2"/>
  <c r="R63" i="2"/>
  <c r="Q64" i="2"/>
  <c r="R64" i="2"/>
  <c r="Q65" i="2"/>
  <c r="R65" i="2"/>
  <c r="Q66" i="2"/>
  <c r="R66" i="2"/>
  <c r="Q67" i="2"/>
  <c r="R67" i="2"/>
  <c r="Q68" i="2"/>
  <c r="R68" i="2"/>
  <c r="Q69" i="2"/>
  <c r="R69" i="2"/>
  <c r="Q70" i="2"/>
  <c r="R70" i="2"/>
  <c r="Q71" i="2"/>
  <c r="R71" i="2"/>
  <c r="Q72" i="2"/>
  <c r="R72" i="2"/>
  <c r="Q73" i="2"/>
  <c r="R73" i="2"/>
  <c r="Q74" i="2"/>
  <c r="R74" i="2"/>
  <c r="Q75" i="2"/>
  <c r="R75" i="2"/>
  <c r="Q76" i="2"/>
  <c r="R76" i="2"/>
  <c r="Q77" i="2"/>
  <c r="R77" i="2"/>
  <c r="Q78" i="2"/>
  <c r="R78" i="2"/>
  <c r="Q79" i="2"/>
  <c r="R79" i="2"/>
  <c r="Q80" i="2"/>
  <c r="R80" i="2"/>
  <c r="Q81" i="2"/>
  <c r="R81" i="2"/>
  <c r="Q82" i="2"/>
  <c r="R82" i="2"/>
  <c r="Q83" i="2"/>
  <c r="R83" i="2"/>
  <c r="Q84" i="2"/>
  <c r="R84" i="2"/>
  <c r="Q85" i="2"/>
  <c r="R85" i="2"/>
  <c r="Q86" i="2"/>
  <c r="R86" i="2"/>
  <c r="Q87" i="2"/>
  <c r="R87" i="2"/>
  <c r="Q88" i="2"/>
  <c r="R88" i="2"/>
  <c r="Q90" i="2"/>
  <c r="R90" i="2"/>
  <c r="Q91" i="2"/>
  <c r="R91" i="2"/>
  <c r="Q92" i="2"/>
  <c r="R92" i="2"/>
  <c r="Q93" i="2"/>
  <c r="R93" i="2"/>
  <c r="Q94" i="2"/>
  <c r="R94" i="2"/>
  <c r="Q95" i="2"/>
  <c r="R95" i="2"/>
  <c r="Q96" i="2"/>
  <c r="R96" i="2"/>
  <c r="Q97" i="2"/>
  <c r="R97" i="2"/>
  <c r="Q98" i="2"/>
  <c r="R98" i="2"/>
  <c r="Q99" i="2"/>
  <c r="R99" i="2"/>
  <c r="Q100" i="2"/>
  <c r="R100" i="2"/>
  <c r="Q101" i="2"/>
  <c r="R101" i="2"/>
  <c r="Q102" i="2"/>
  <c r="R102" i="2"/>
  <c r="Q103" i="2"/>
  <c r="R103" i="2"/>
  <c r="Q104" i="2"/>
  <c r="R104" i="2"/>
  <c r="Q105" i="2"/>
  <c r="R105" i="2"/>
  <c r="Q106" i="2"/>
  <c r="R106" i="2"/>
  <c r="Q107" i="2"/>
  <c r="R107" i="2"/>
  <c r="Q108" i="2"/>
  <c r="R108" i="2"/>
  <c r="Q109" i="2"/>
  <c r="R109" i="2"/>
  <c r="Q110" i="2"/>
  <c r="R110" i="2"/>
  <c r="Q111" i="2"/>
  <c r="R111" i="2"/>
  <c r="Q112" i="2"/>
  <c r="R112" i="2"/>
  <c r="Q113" i="2"/>
  <c r="R113" i="2"/>
  <c r="Q114" i="2"/>
  <c r="R114" i="2"/>
  <c r="Q115" i="2"/>
  <c r="R115" i="2"/>
  <c r="Q116" i="2"/>
  <c r="R116" i="2"/>
  <c r="Q117" i="2"/>
  <c r="R117" i="2"/>
  <c r="Q118" i="2"/>
  <c r="R118" i="2"/>
  <c r="Q119" i="2"/>
  <c r="R119" i="2"/>
  <c r="Q120" i="2"/>
  <c r="R120" i="2"/>
  <c r="Q121" i="2"/>
  <c r="R121" i="2"/>
  <c r="Q122" i="2"/>
  <c r="R122" i="2"/>
  <c r="Q123" i="2"/>
  <c r="R123" i="2"/>
  <c r="Q124" i="2"/>
  <c r="R124" i="2"/>
  <c r="Q125" i="2"/>
  <c r="R125" i="2"/>
  <c r="Q126" i="2"/>
  <c r="R126" i="2"/>
  <c r="Q128" i="2"/>
  <c r="R128" i="2"/>
  <c r="Q129" i="2"/>
  <c r="R129" i="2"/>
  <c r="Q130" i="2"/>
  <c r="R130" i="2"/>
  <c r="Q131" i="2"/>
  <c r="R131" i="2"/>
  <c r="Q132" i="2"/>
  <c r="R132" i="2"/>
  <c r="Q133" i="2"/>
  <c r="R133" i="2"/>
  <c r="Q134" i="2"/>
  <c r="R134" i="2"/>
  <c r="Q135" i="2"/>
  <c r="R135" i="2"/>
  <c r="Q136" i="2"/>
  <c r="R136" i="2"/>
  <c r="Q137" i="2"/>
  <c r="R137" i="2"/>
  <c r="Q138" i="2"/>
  <c r="R138" i="2"/>
  <c r="Q139" i="2"/>
  <c r="R139" i="2"/>
  <c r="Q140" i="2"/>
  <c r="R140" i="2"/>
  <c r="Q141" i="2"/>
  <c r="R141" i="2"/>
  <c r="Q142" i="2"/>
  <c r="R142" i="2"/>
  <c r="Q143" i="2"/>
  <c r="R143" i="2"/>
  <c r="Q144" i="2"/>
  <c r="R144" i="2"/>
  <c r="Q145" i="2"/>
  <c r="R145" i="2"/>
  <c r="Q146" i="2"/>
  <c r="R146" i="2"/>
  <c r="Q147" i="2"/>
  <c r="R147" i="2"/>
  <c r="Q148" i="2"/>
  <c r="R148" i="2"/>
  <c r="Q149" i="2"/>
  <c r="R149" i="2"/>
  <c r="Q150" i="2"/>
  <c r="R150" i="2"/>
  <c r="Q151" i="2"/>
  <c r="R151" i="2"/>
  <c r="Q152" i="2"/>
  <c r="R152" i="2"/>
  <c r="Q153" i="2"/>
  <c r="R153" i="2"/>
  <c r="Q154" i="2"/>
  <c r="R154" i="2"/>
  <c r="Q155" i="2"/>
  <c r="R155" i="2"/>
  <c r="Q156" i="2"/>
  <c r="R156" i="2"/>
  <c r="Q157" i="2"/>
  <c r="R157" i="2"/>
  <c r="Q158" i="2"/>
  <c r="R158" i="2"/>
  <c r="Q159" i="2"/>
  <c r="R159" i="2"/>
  <c r="Q160" i="2"/>
  <c r="R160" i="2"/>
  <c r="Q161" i="2"/>
  <c r="R161" i="2"/>
  <c r="Q162" i="2"/>
  <c r="R162" i="2"/>
  <c r="Q163" i="2"/>
  <c r="R163" i="2"/>
  <c r="Q164" i="2"/>
  <c r="R164" i="2"/>
  <c r="Q166" i="2"/>
  <c r="R166" i="2"/>
  <c r="Q167" i="2"/>
  <c r="R167" i="2"/>
  <c r="Q168" i="2"/>
  <c r="R168" i="2"/>
  <c r="Q169" i="2"/>
  <c r="R169" i="2"/>
  <c r="Q170" i="2"/>
  <c r="R170" i="2"/>
  <c r="Q171" i="2"/>
  <c r="R171" i="2"/>
  <c r="Q172" i="2"/>
  <c r="R172" i="2"/>
  <c r="Q173" i="2"/>
  <c r="R173" i="2"/>
  <c r="Q174" i="2"/>
  <c r="R174" i="2"/>
  <c r="Q175" i="2"/>
  <c r="R175" i="2"/>
  <c r="Q176" i="2"/>
  <c r="R176" i="2"/>
  <c r="Q177" i="2"/>
  <c r="R177" i="2"/>
  <c r="Q178" i="2"/>
  <c r="R178" i="2"/>
  <c r="Q179" i="2"/>
  <c r="R179" i="2"/>
  <c r="Q180" i="2"/>
  <c r="R180" i="2"/>
  <c r="Q181" i="2"/>
  <c r="R181" i="2"/>
  <c r="Q182" i="2"/>
  <c r="R182" i="2"/>
  <c r="Q183" i="2"/>
  <c r="R183" i="2"/>
  <c r="Q184" i="2"/>
  <c r="R184" i="2"/>
  <c r="Q185" i="2"/>
  <c r="R185" i="2"/>
  <c r="Q186" i="2"/>
  <c r="R186" i="2"/>
  <c r="Q187" i="2"/>
  <c r="R187" i="2"/>
  <c r="Q188" i="2"/>
  <c r="R188" i="2"/>
  <c r="Q189" i="2"/>
  <c r="R189" i="2"/>
  <c r="Q190" i="2"/>
  <c r="R190" i="2"/>
  <c r="Q191" i="2"/>
  <c r="R191" i="2"/>
  <c r="Q192" i="2"/>
  <c r="R192" i="2"/>
  <c r="Q193" i="2"/>
  <c r="R193" i="2"/>
  <c r="Q194" i="2"/>
  <c r="R194" i="2"/>
  <c r="Q195" i="2"/>
  <c r="R195" i="2"/>
  <c r="Q196" i="2"/>
  <c r="R196" i="2"/>
  <c r="Q197" i="2"/>
  <c r="R197" i="2"/>
  <c r="Q198" i="2"/>
  <c r="R198" i="2"/>
  <c r="Q199" i="2"/>
  <c r="R199" i="2"/>
  <c r="Q200" i="2"/>
  <c r="R200" i="2"/>
  <c r="Q201" i="2"/>
  <c r="R201" i="2"/>
  <c r="Q202" i="2"/>
  <c r="R202" i="2"/>
  <c r="Q204" i="2"/>
  <c r="R204" i="2"/>
  <c r="Q205" i="2"/>
  <c r="R205" i="2"/>
  <c r="Q206" i="2"/>
  <c r="R206" i="2"/>
  <c r="Q207" i="2"/>
  <c r="R207" i="2"/>
  <c r="Q208" i="2"/>
  <c r="R208" i="2"/>
  <c r="Q209" i="2"/>
  <c r="R209" i="2"/>
  <c r="Q210" i="2"/>
  <c r="R210" i="2"/>
  <c r="Q211" i="2"/>
  <c r="R211" i="2"/>
  <c r="Q212" i="2"/>
  <c r="R212" i="2"/>
  <c r="Q213" i="2"/>
  <c r="R213" i="2"/>
  <c r="Q214" i="2"/>
  <c r="R214" i="2"/>
  <c r="Q215" i="2"/>
  <c r="R215" i="2"/>
  <c r="Q216" i="2"/>
  <c r="R216" i="2"/>
  <c r="Q217" i="2"/>
  <c r="R217" i="2"/>
  <c r="Q218" i="2"/>
  <c r="R218" i="2"/>
  <c r="Q219" i="2"/>
  <c r="R219" i="2"/>
  <c r="Q220" i="2"/>
  <c r="R220" i="2"/>
  <c r="Q221" i="2"/>
  <c r="R221" i="2"/>
  <c r="Q222" i="2"/>
  <c r="R222" i="2"/>
  <c r="Q223" i="2"/>
  <c r="R223" i="2"/>
  <c r="Q224" i="2"/>
  <c r="R224" i="2"/>
  <c r="Q225" i="2"/>
  <c r="R225" i="2"/>
  <c r="Q226" i="2"/>
  <c r="R226" i="2"/>
  <c r="Q227" i="2"/>
  <c r="R227" i="2"/>
  <c r="Q228" i="2"/>
  <c r="R228" i="2"/>
  <c r="Q229" i="2"/>
  <c r="R229" i="2"/>
  <c r="Q230" i="2"/>
  <c r="R230" i="2"/>
  <c r="Q231" i="2"/>
  <c r="R231" i="2"/>
  <c r="Q232" i="2"/>
  <c r="R232" i="2"/>
  <c r="Q233" i="2"/>
  <c r="R233" i="2"/>
  <c r="Q234" i="2"/>
  <c r="R234" i="2"/>
  <c r="Q235" i="2"/>
  <c r="R235" i="2"/>
  <c r="Q236" i="2"/>
  <c r="R236" i="2"/>
  <c r="Q237" i="2"/>
  <c r="R237" i="2"/>
  <c r="Q238" i="2"/>
  <c r="R238" i="2"/>
  <c r="Q239" i="2"/>
  <c r="R239" i="2"/>
  <c r="Q240" i="2"/>
  <c r="R240" i="2"/>
  <c r="Q242" i="2"/>
  <c r="R242" i="2"/>
  <c r="Q243" i="2"/>
  <c r="R243" i="2"/>
  <c r="Q244" i="2"/>
  <c r="R244" i="2"/>
  <c r="Q245" i="2"/>
  <c r="R245" i="2"/>
  <c r="Q246" i="2"/>
  <c r="R246" i="2"/>
  <c r="Q247" i="2"/>
  <c r="R247" i="2"/>
  <c r="Q248" i="2"/>
  <c r="R248" i="2"/>
  <c r="Q249" i="2"/>
  <c r="R249" i="2"/>
  <c r="Q250" i="2"/>
  <c r="R250" i="2"/>
  <c r="Q251" i="2"/>
  <c r="R251" i="2"/>
  <c r="Q252" i="2"/>
  <c r="R252" i="2"/>
  <c r="Q253" i="2"/>
  <c r="R253" i="2"/>
  <c r="Q254" i="2"/>
  <c r="R254" i="2"/>
  <c r="Q255" i="2"/>
  <c r="R255" i="2"/>
  <c r="Q256" i="2"/>
  <c r="R256" i="2"/>
  <c r="Q257" i="2"/>
  <c r="R257" i="2"/>
  <c r="Q258" i="2"/>
  <c r="R258" i="2"/>
  <c r="Q259" i="2"/>
  <c r="R259" i="2"/>
  <c r="Q260" i="2"/>
  <c r="R260" i="2"/>
  <c r="Q261" i="2"/>
  <c r="R261" i="2"/>
  <c r="Q262" i="2"/>
  <c r="R262" i="2"/>
  <c r="Q263" i="2"/>
  <c r="R263" i="2"/>
  <c r="Q264" i="2"/>
  <c r="R264" i="2"/>
  <c r="Q265" i="2"/>
  <c r="R265" i="2"/>
  <c r="Q266" i="2"/>
  <c r="R266" i="2"/>
  <c r="Q267" i="2"/>
  <c r="R267" i="2"/>
  <c r="Q268" i="2"/>
  <c r="R268" i="2"/>
  <c r="Q269" i="2"/>
  <c r="R269" i="2"/>
  <c r="Q270" i="2"/>
  <c r="R270" i="2"/>
  <c r="Q271" i="2"/>
  <c r="R271" i="2"/>
  <c r="Q272" i="2"/>
  <c r="R272" i="2"/>
  <c r="Q273" i="2"/>
  <c r="R273" i="2"/>
  <c r="Q274" i="2"/>
  <c r="R274" i="2"/>
  <c r="Q275" i="2"/>
  <c r="R275" i="2"/>
  <c r="Q276" i="2"/>
  <c r="R276" i="2"/>
  <c r="Q277" i="2"/>
  <c r="R277" i="2"/>
  <c r="Q278" i="2"/>
  <c r="R278" i="2"/>
  <c r="Q280" i="2"/>
  <c r="R280" i="2"/>
  <c r="Q281" i="2"/>
  <c r="R281" i="2"/>
  <c r="Q282" i="2"/>
  <c r="R282" i="2"/>
  <c r="Q283" i="2"/>
  <c r="R283" i="2"/>
  <c r="Q284" i="2"/>
  <c r="R284" i="2"/>
  <c r="Q285" i="2"/>
  <c r="R285" i="2"/>
  <c r="Q286" i="2"/>
  <c r="R286" i="2"/>
  <c r="Q287" i="2"/>
  <c r="R287" i="2"/>
  <c r="Q288" i="2"/>
  <c r="R288" i="2"/>
  <c r="Q289" i="2"/>
  <c r="R289" i="2"/>
  <c r="Q290" i="2"/>
  <c r="R290" i="2"/>
  <c r="Q291" i="2"/>
  <c r="R291" i="2"/>
  <c r="Q292" i="2"/>
  <c r="R292" i="2"/>
  <c r="Q293" i="2"/>
  <c r="R293" i="2"/>
  <c r="Q294" i="2"/>
  <c r="R294" i="2"/>
  <c r="Q295" i="2"/>
  <c r="R295" i="2"/>
  <c r="Q296" i="2"/>
  <c r="R296" i="2"/>
  <c r="Q297" i="2"/>
  <c r="R297" i="2"/>
  <c r="Q298" i="2"/>
  <c r="R298" i="2"/>
  <c r="Q299" i="2"/>
  <c r="R299" i="2"/>
  <c r="Q300" i="2"/>
  <c r="R300" i="2"/>
  <c r="Q301" i="2"/>
  <c r="R301" i="2"/>
  <c r="Q302" i="2"/>
  <c r="R302" i="2"/>
  <c r="Q303" i="2"/>
  <c r="R303" i="2"/>
  <c r="Q304" i="2"/>
  <c r="R304" i="2"/>
  <c r="Q305" i="2"/>
  <c r="R305" i="2"/>
  <c r="Q306" i="2"/>
  <c r="R306" i="2"/>
  <c r="Q307" i="2"/>
  <c r="R307" i="2"/>
  <c r="Q308" i="2"/>
  <c r="R308" i="2"/>
  <c r="Q309" i="2"/>
  <c r="R309" i="2"/>
  <c r="Q310" i="2"/>
  <c r="R310" i="2"/>
  <c r="Q311" i="2"/>
  <c r="R311" i="2"/>
  <c r="Q312" i="2"/>
  <c r="R312" i="2"/>
  <c r="Q313" i="2"/>
  <c r="R313" i="2"/>
  <c r="Q314" i="2"/>
  <c r="R314" i="2"/>
  <c r="Q315" i="2"/>
  <c r="R315" i="2"/>
  <c r="Q316" i="2"/>
  <c r="R316" i="2"/>
  <c r="Q318" i="2"/>
  <c r="R318" i="2"/>
  <c r="Q319" i="2"/>
  <c r="R319" i="2"/>
  <c r="Q320" i="2"/>
  <c r="R320" i="2"/>
  <c r="Q321" i="2"/>
  <c r="R321" i="2"/>
  <c r="Q322" i="2"/>
  <c r="R322" i="2"/>
  <c r="Q323" i="2"/>
  <c r="R323" i="2"/>
  <c r="Q324" i="2"/>
  <c r="R324" i="2"/>
  <c r="Q325" i="2"/>
  <c r="R325" i="2"/>
  <c r="Q326" i="2"/>
  <c r="R326" i="2"/>
  <c r="Q327" i="2"/>
  <c r="R327" i="2"/>
  <c r="Q328" i="2"/>
  <c r="R328" i="2"/>
  <c r="Q329" i="2"/>
  <c r="R329" i="2"/>
  <c r="Q330" i="2"/>
  <c r="R330" i="2"/>
  <c r="Q331" i="2"/>
  <c r="R331" i="2"/>
  <c r="Q332" i="2"/>
  <c r="R332" i="2"/>
  <c r="Q333" i="2"/>
  <c r="R333" i="2"/>
  <c r="Q334" i="2"/>
  <c r="R334" i="2"/>
  <c r="Q335" i="2"/>
  <c r="R335" i="2"/>
  <c r="Q336" i="2"/>
  <c r="R336" i="2"/>
  <c r="Q337" i="2"/>
  <c r="R337" i="2"/>
  <c r="Q338" i="2"/>
  <c r="R338" i="2"/>
  <c r="Q339" i="2"/>
  <c r="R339" i="2"/>
  <c r="Q340" i="2"/>
  <c r="R340" i="2"/>
  <c r="Q341" i="2"/>
  <c r="R341" i="2"/>
  <c r="Q342" i="2"/>
  <c r="R342" i="2"/>
  <c r="Q343" i="2"/>
  <c r="R343" i="2"/>
  <c r="Q344" i="2"/>
  <c r="R344" i="2"/>
  <c r="Q345" i="2"/>
  <c r="R345" i="2"/>
  <c r="Q346" i="2"/>
  <c r="R346" i="2"/>
  <c r="Q347" i="2"/>
  <c r="R347" i="2"/>
  <c r="Q348" i="2"/>
  <c r="R348" i="2"/>
  <c r="Q349" i="2"/>
  <c r="R349" i="2"/>
  <c r="Q350" i="2"/>
  <c r="R350" i="2"/>
  <c r="Q351" i="2"/>
  <c r="R351" i="2"/>
  <c r="Q352" i="2"/>
  <c r="R352" i="2"/>
  <c r="Q353" i="2"/>
  <c r="R353" i="2"/>
  <c r="Q354" i="2"/>
  <c r="R354" i="2"/>
  <c r="Q356" i="2"/>
  <c r="R356" i="2"/>
  <c r="Q357" i="2"/>
  <c r="R357" i="2"/>
  <c r="Q358" i="2"/>
  <c r="R358" i="2"/>
  <c r="Q359" i="2"/>
  <c r="R359" i="2"/>
  <c r="Q360" i="2"/>
  <c r="R360" i="2"/>
  <c r="Q361" i="2"/>
  <c r="R361" i="2"/>
  <c r="Q362" i="2"/>
  <c r="R362" i="2"/>
  <c r="Q363" i="2"/>
  <c r="R363" i="2"/>
  <c r="Q364" i="2"/>
  <c r="R364" i="2"/>
  <c r="Q365" i="2"/>
  <c r="R365" i="2"/>
  <c r="Q366" i="2"/>
  <c r="R366" i="2"/>
  <c r="Q367" i="2"/>
  <c r="R367" i="2"/>
  <c r="Q368" i="2"/>
  <c r="R368" i="2"/>
  <c r="Q369" i="2"/>
  <c r="R369" i="2"/>
  <c r="Q370" i="2"/>
  <c r="R370" i="2"/>
  <c r="Q371" i="2"/>
  <c r="R371" i="2"/>
  <c r="Q372" i="2"/>
  <c r="R372" i="2"/>
  <c r="Q373" i="2"/>
  <c r="R373" i="2"/>
  <c r="Q374" i="2"/>
  <c r="R374" i="2"/>
  <c r="Q375" i="2"/>
  <c r="R375" i="2"/>
  <c r="Q376" i="2"/>
  <c r="R376" i="2"/>
  <c r="Q377" i="2"/>
  <c r="R377" i="2"/>
  <c r="Q378" i="2"/>
  <c r="R378" i="2"/>
  <c r="Q379" i="2"/>
  <c r="R379" i="2"/>
  <c r="Q380" i="2"/>
  <c r="R380" i="2"/>
  <c r="Q381" i="2"/>
  <c r="R381" i="2"/>
  <c r="Q382" i="2"/>
  <c r="R382" i="2"/>
  <c r="Q383" i="2"/>
  <c r="R383" i="2"/>
  <c r="Q384" i="2"/>
  <c r="R384" i="2"/>
  <c r="Q385" i="2"/>
  <c r="R385" i="2"/>
  <c r="Q386" i="2"/>
  <c r="R386" i="2"/>
  <c r="Q387" i="2"/>
  <c r="R387" i="2"/>
  <c r="Q388" i="2"/>
  <c r="R388" i="2"/>
  <c r="Q389" i="2"/>
  <c r="R389" i="2"/>
  <c r="Q390" i="2"/>
  <c r="R390" i="2"/>
  <c r="Q391" i="2"/>
  <c r="R391" i="2"/>
  <c r="Q392" i="2"/>
  <c r="R392" i="2"/>
  <c r="Q394" i="2"/>
  <c r="R394" i="2"/>
  <c r="Q395" i="2"/>
  <c r="R395" i="2"/>
  <c r="Q396" i="2"/>
  <c r="R396" i="2"/>
  <c r="Q397" i="2"/>
  <c r="R397" i="2"/>
  <c r="Q398" i="2"/>
  <c r="R398" i="2"/>
  <c r="Q399" i="2"/>
  <c r="R399" i="2"/>
  <c r="Q400" i="2"/>
  <c r="R400" i="2"/>
  <c r="Q401" i="2"/>
  <c r="R401" i="2"/>
  <c r="Q402" i="2"/>
  <c r="R402" i="2"/>
  <c r="Q403" i="2"/>
  <c r="R403" i="2"/>
  <c r="Q404" i="2"/>
  <c r="R404" i="2"/>
  <c r="Q405" i="2"/>
  <c r="R405" i="2"/>
  <c r="Q406" i="2"/>
  <c r="R406" i="2"/>
  <c r="Q407" i="2"/>
  <c r="R407" i="2"/>
  <c r="Q408" i="2"/>
  <c r="R408" i="2"/>
  <c r="Q409" i="2"/>
  <c r="R409" i="2"/>
  <c r="Q410" i="2"/>
  <c r="R410" i="2"/>
  <c r="Q411" i="2"/>
  <c r="R411" i="2"/>
  <c r="Q412" i="2"/>
  <c r="R412" i="2"/>
  <c r="Q413" i="2"/>
  <c r="R413" i="2"/>
  <c r="Q414" i="2"/>
  <c r="R414" i="2"/>
  <c r="Q415" i="2"/>
  <c r="R415" i="2"/>
  <c r="Q416" i="2"/>
  <c r="R416" i="2"/>
  <c r="Q417" i="2"/>
  <c r="R417" i="2"/>
  <c r="Q418" i="2"/>
  <c r="R418" i="2"/>
  <c r="Q419" i="2"/>
  <c r="R419" i="2"/>
  <c r="Q420" i="2"/>
  <c r="R420" i="2"/>
  <c r="Q421" i="2"/>
  <c r="R421" i="2"/>
  <c r="Q422" i="2"/>
  <c r="R422" i="2"/>
  <c r="Q423" i="2"/>
  <c r="R423" i="2"/>
  <c r="Q424" i="2"/>
  <c r="R424" i="2"/>
  <c r="Q425" i="2"/>
  <c r="R425" i="2"/>
  <c r="Q426" i="2"/>
  <c r="R426" i="2"/>
  <c r="Q427" i="2"/>
  <c r="R427" i="2"/>
  <c r="Q428" i="2"/>
  <c r="R428" i="2"/>
  <c r="Q429" i="2"/>
  <c r="R429" i="2"/>
  <c r="Q430" i="2"/>
  <c r="R430" i="2"/>
  <c r="Q432" i="2"/>
  <c r="R432" i="2"/>
  <c r="Q433" i="2"/>
  <c r="R433" i="2"/>
  <c r="Q434" i="2"/>
  <c r="R434" i="2"/>
  <c r="Q435" i="2"/>
  <c r="R435" i="2"/>
  <c r="Q436" i="2"/>
  <c r="R436" i="2"/>
  <c r="Q437" i="2"/>
  <c r="R437" i="2"/>
  <c r="Q438" i="2"/>
  <c r="R438" i="2"/>
  <c r="Q439" i="2"/>
  <c r="R439" i="2"/>
  <c r="Q440" i="2"/>
  <c r="R440" i="2"/>
  <c r="Q441" i="2"/>
  <c r="R441" i="2"/>
  <c r="Q442" i="2"/>
  <c r="R442" i="2"/>
  <c r="Q443" i="2"/>
  <c r="R443" i="2"/>
  <c r="Q444" i="2"/>
  <c r="R444" i="2"/>
  <c r="Q445" i="2"/>
  <c r="R445" i="2"/>
  <c r="Q446" i="2"/>
  <c r="R446" i="2"/>
  <c r="Q447" i="2"/>
  <c r="R447" i="2"/>
  <c r="Q448" i="2"/>
  <c r="R448" i="2"/>
  <c r="Q449" i="2"/>
  <c r="R449" i="2"/>
  <c r="Q450" i="2"/>
  <c r="R450" i="2"/>
  <c r="Q451" i="2"/>
  <c r="R451" i="2"/>
  <c r="Q452" i="2"/>
  <c r="R452" i="2"/>
  <c r="Q453" i="2"/>
  <c r="R453" i="2"/>
  <c r="Q454" i="2"/>
  <c r="R454" i="2"/>
  <c r="Q455" i="2"/>
  <c r="R455" i="2"/>
  <c r="Q456" i="2"/>
  <c r="R456" i="2"/>
  <c r="Q457" i="2"/>
  <c r="R457" i="2"/>
  <c r="Q458" i="2"/>
  <c r="R458" i="2"/>
  <c r="Q459" i="2"/>
  <c r="R459" i="2"/>
  <c r="Q460" i="2"/>
  <c r="R460" i="2"/>
  <c r="Q461" i="2"/>
  <c r="R461" i="2"/>
  <c r="Q462" i="2"/>
  <c r="R462" i="2"/>
  <c r="Q463" i="2"/>
  <c r="R463" i="2"/>
  <c r="Q464" i="2"/>
  <c r="R464" i="2"/>
  <c r="Q465" i="2"/>
  <c r="R465" i="2"/>
  <c r="Q466" i="2"/>
  <c r="R466" i="2"/>
  <c r="Q467" i="2"/>
  <c r="R467" i="2"/>
  <c r="Q468" i="2"/>
  <c r="R468" i="2"/>
  <c r="Q15" i="2"/>
  <c r="R15" i="2"/>
  <c r="Q16" i="2"/>
  <c r="R16" i="2"/>
  <c r="Q17" i="2"/>
  <c r="R17" i="2"/>
  <c r="Q18" i="2"/>
  <c r="R18" i="2"/>
  <c r="Q19" i="2"/>
  <c r="R19" i="2"/>
  <c r="Q20" i="2"/>
  <c r="R20" i="2"/>
  <c r="Q21" i="2"/>
  <c r="R21" i="2"/>
  <c r="Q22" i="2"/>
  <c r="R22" i="2"/>
  <c r="Q23" i="2"/>
  <c r="R23" i="2"/>
  <c r="Q24" i="2"/>
  <c r="R24" i="2"/>
  <c r="Q25" i="2"/>
  <c r="R25" i="2"/>
  <c r="Q26" i="2"/>
  <c r="R26" i="2"/>
  <c r="Q27" i="2"/>
  <c r="R27" i="2"/>
  <c r="Q28" i="2"/>
  <c r="R28" i="2"/>
  <c r="Q29" i="2"/>
  <c r="R29" i="2"/>
  <c r="Q30" i="2"/>
  <c r="R30" i="2"/>
  <c r="Q31" i="2"/>
  <c r="R31" i="2"/>
  <c r="Q32" i="2"/>
  <c r="R32" i="2"/>
  <c r="Q33" i="2"/>
  <c r="R33" i="2"/>
  <c r="Q34" i="2"/>
  <c r="R34" i="2"/>
  <c r="Q35" i="2"/>
  <c r="R35" i="2"/>
  <c r="Q36" i="2"/>
  <c r="R36" i="2"/>
  <c r="Q37" i="2"/>
  <c r="R37" i="2"/>
  <c r="Q38" i="2"/>
  <c r="R38" i="2"/>
  <c r="Q39" i="2"/>
  <c r="R39" i="2"/>
  <c r="Q40" i="2"/>
  <c r="R40" i="2"/>
  <c r="Q41" i="2"/>
  <c r="R41" i="2"/>
  <c r="Q42" i="2"/>
  <c r="R42" i="2"/>
  <c r="Q43" i="2"/>
  <c r="R43" i="2"/>
  <c r="Q44" i="2"/>
  <c r="R44" i="2"/>
  <c r="Q45" i="2"/>
  <c r="R45" i="2"/>
  <c r="Q46" i="2"/>
  <c r="R46" i="2"/>
  <c r="Q47" i="2"/>
  <c r="R47" i="2"/>
  <c r="Q48" i="2"/>
  <c r="R48" i="2"/>
  <c r="Q49" i="2"/>
  <c r="R49" i="2"/>
  <c r="Q50" i="2"/>
  <c r="R50" i="2"/>
  <c r="R14" i="2"/>
  <c r="DZ279" i="2" l="1"/>
  <c r="DJ241" i="2"/>
  <c r="DJ165" i="2"/>
  <c r="FV241" i="2"/>
  <c r="AH203" i="2"/>
  <c r="CT51" i="2"/>
  <c r="Q317" i="2"/>
  <c r="GK51" i="2"/>
  <c r="SD279" i="2"/>
  <c r="R51" i="2"/>
  <c r="AG51" i="2"/>
  <c r="DI279" i="2"/>
  <c r="HQ279" i="2"/>
  <c r="TY279" i="2"/>
  <c r="BN241" i="2"/>
  <c r="CD241" i="2"/>
  <c r="FF241" i="2"/>
  <c r="GL241" i="2"/>
  <c r="NF431" i="2"/>
  <c r="NF203" i="2"/>
  <c r="Q89" i="2"/>
  <c r="AH51" i="2"/>
  <c r="BN51" i="2"/>
  <c r="CD279" i="2"/>
  <c r="EP431" i="2"/>
  <c r="EP203" i="2"/>
  <c r="FF51" i="2"/>
  <c r="FV393" i="2"/>
  <c r="FV165" i="2"/>
  <c r="GL279" i="2"/>
  <c r="HB279" i="2"/>
  <c r="HB51" i="2"/>
  <c r="IX431" i="2"/>
  <c r="JN279" i="2"/>
  <c r="KD51" i="2"/>
  <c r="LJ51" i="2"/>
  <c r="LZ279" i="2"/>
  <c r="LZ51" i="2"/>
  <c r="NV279" i="2"/>
  <c r="NV51" i="2"/>
  <c r="OL51" i="2"/>
  <c r="PR279" i="2"/>
  <c r="PR51" i="2"/>
  <c r="QH279" i="2"/>
  <c r="QH51" i="2"/>
  <c r="QX279" i="2"/>
  <c r="RN279" i="2"/>
  <c r="RN51" i="2"/>
  <c r="SD431" i="2"/>
  <c r="SD203" i="2"/>
  <c r="SD51" i="2"/>
  <c r="TJ279" i="2"/>
  <c r="TJ51" i="2"/>
  <c r="UP241" i="2"/>
  <c r="VF241" i="2"/>
  <c r="VV241" i="2"/>
  <c r="IG51" i="2"/>
  <c r="IW279" i="2"/>
  <c r="IW51" i="2"/>
  <c r="JM279" i="2"/>
  <c r="JM51" i="2"/>
  <c r="LI279" i="2"/>
  <c r="NE279" i="2"/>
  <c r="NE51" i="2"/>
  <c r="NU51" i="2"/>
  <c r="PQ279" i="2"/>
  <c r="PQ51" i="2"/>
  <c r="QW279" i="2"/>
  <c r="RM279" i="2"/>
  <c r="SC279" i="2"/>
  <c r="SC51" i="2"/>
  <c r="SS279" i="2"/>
  <c r="UP203" i="2"/>
  <c r="VF431" i="2"/>
  <c r="VV203" i="2"/>
  <c r="R241" i="2"/>
  <c r="AW241" i="2"/>
  <c r="CC241" i="2"/>
  <c r="DI241" i="2"/>
  <c r="FU241" i="2"/>
  <c r="FU165" i="2"/>
  <c r="HA241" i="2"/>
  <c r="IW241" i="2"/>
  <c r="JM241" i="2"/>
  <c r="NE241" i="2"/>
  <c r="OK241" i="2"/>
  <c r="QG241" i="2"/>
  <c r="QW241" i="2"/>
  <c r="TY241" i="2"/>
  <c r="UO203" i="2"/>
  <c r="VE431" i="2"/>
  <c r="VE203" i="2"/>
  <c r="VU393" i="2"/>
  <c r="VU165" i="2"/>
  <c r="WK431" i="2"/>
  <c r="WK203" i="2"/>
  <c r="AH431" i="2"/>
  <c r="AX431" i="2"/>
  <c r="AX203" i="2"/>
  <c r="BN431" i="2"/>
  <c r="BN203" i="2"/>
  <c r="CD431" i="2"/>
  <c r="DJ279" i="2"/>
  <c r="DJ203" i="2"/>
  <c r="DZ203" i="2"/>
  <c r="FF203" i="2"/>
  <c r="GL203" i="2"/>
  <c r="HR431" i="2"/>
  <c r="HR203" i="2"/>
  <c r="IH203" i="2"/>
  <c r="KT393" i="2"/>
  <c r="KT165" i="2"/>
  <c r="LJ203" i="2"/>
  <c r="LZ431" i="2"/>
  <c r="FF279" i="2"/>
  <c r="JN51" i="2"/>
  <c r="KD279" i="2"/>
  <c r="MP51" i="2"/>
  <c r="NF279" i="2"/>
  <c r="NF51" i="2"/>
  <c r="ST279" i="2"/>
  <c r="ST51" i="2"/>
  <c r="AG279" i="2"/>
  <c r="AW279" i="2"/>
  <c r="CS51" i="2"/>
  <c r="DI51" i="2"/>
  <c r="DY51" i="2"/>
  <c r="FE279" i="2"/>
  <c r="LI51" i="2"/>
  <c r="MO51" i="2"/>
  <c r="PA51" i="2"/>
  <c r="RM51" i="2"/>
  <c r="TY51" i="2"/>
  <c r="AH241" i="2"/>
  <c r="EP241" i="2"/>
  <c r="HR279" i="2"/>
  <c r="LZ241" i="2"/>
  <c r="MP241" i="2"/>
  <c r="TJ241" i="2"/>
  <c r="GK241" i="2"/>
  <c r="HQ241" i="2"/>
  <c r="LY241" i="2"/>
  <c r="MO241" i="2"/>
  <c r="NU241" i="2"/>
  <c r="RM241" i="2"/>
  <c r="SS241" i="2"/>
  <c r="TI241" i="2"/>
  <c r="CD203" i="2"/>
  <c r="CT203" i="2"/>
  <c r="CT165" i="2"/>
  <c r="DJ51" i="2"/>
  <c r="DZ431" i="2"/>
  <c r="KD431" i="2"/>
  <c r="KT431" i="2"/>
  <c r="AH279" i="2"/>
  <c r="AX51" i="2"/>
  <c r="DZ51" i="2"/>
  <c r="EP279" i="2"/>
  <c r="EP51" i="2"/>
  <c r="IH51" i="2"/>
  <c r="OL279" i="2"/>
  <c r="QX51" i="2"/>
  <c r="EO279" i="2"/>
  <c r="GK279" i="2"/>
  <c r="HA279" i="2"/>
  <c r="LY279" i="2"/>
  <c r="LY51" i="2"/>
  <c r="MO279" i="2"/>
  <c r="PA279" i="2"/>
  <c r="Q51" i="2"/>
  <c r="HR51" i="2"/>
  <c r="IH241" i="2"/>
  <c r="LJ241" i="2"/>
  <c r="PR241" i="2"/>
  <c r="QH241" i="2"/>
  <c r="WL203" i="2"/>
  <c r="AG241" i="2"/>
  <c r="BM241" i="2"/>
  <c r="DY241" i="2"/>
  <c r="EO241" i="2"/>
  <c r="FE241" i="2"/>
  <c r="IG241" i="2"/>
  <c r="KC241" i="2"/>
  <c r="PQ241" i="2"/>
  <c r="UO431" i="2"/>
  <c r="DJ431" i="2"/>
  <c r="FF431" i="2"/>
  <c r="HB203" i="2"/>
  <c r="JN431" i="2"/>
  <c r="AX279" i="2"/>
  <c r="BN279" i="2"/>
  <c r="CD51" i="2"/>
  <c r="IH279" i="2"/>
  <c r="IX279" i="2"/>
  <c r="IX203" i="2"/>
  <c r="IX51" i="2"/>
  <c r="LJ279" i="2"/>
  <c r="MP279" i="2"/>
  <c r="WL241" i="2"/>
  <c r="R279" i="2"/>
  <c r="AW51" i="2"/>
  <c r="BM279" i="2"/>
  <c r="BM51" i="2"/>
  <c r="DY279" i="2"/>
  <c r="EO51" i="2"/>
  <c r="FE51" i="2"/>
  <c r="FU393" i="2"/>
  <c r="HA51" i="2"/>
  <c r="HQ51" i="2"/>
  <c r="IG279" i="2"/>
  <c r="NU279" i="2"/>
  <c r="OK279" i="2"/>
  <c r="OK51" i="2"/>
  <c r="QW51" i="2"/>
  <c r="SS51" i="2"/>
  <c r="UO241" i="2"/>
  <c r="VE241" i="2"/>
  <c r="VU431" i="2"/>
  <c r="VU241" i="2"/>
  <c r="VU203" i="2"/>
  <c r="WK241" i="2"/>
  <c r="Q279" i="2"/>
  <c r="AX241" i="2"/>
  <c r="DZ241" i="2"/>
  <c r="GL165" i="2"/>
  <c r="HB241" i="2"/>
  <c r="HR241" i="2"/>
  <c r="IX241" i="2"/>
  <c r="JN241" i="2"/>
  <c r="KD241" i="2"/>
  <c r="KT241" i="2"/>
  <c r="NF241" i="2"/>
  <c r="NV241" i="2"/>
  <c r="OL241" i="2"/>
  <c r="PB241" i="2"/>
  <c r="QX241" i="2"/>
  <c r="RN241" i="2"/>
  <c r="SD241" i="2"/>
  <c r="ST241" i="2"/>
  <c r="TZ241" i="2"/>
  <c r="UP431" i="2"/>
  <c r="VF203" i="2"/>
  <c r="VV431" i="2"/>
  <c r="WL431" i="2"/>
  <c r="KS241" i="2"/>
  <c r="LI241" i="2"/>
  <c r="PA241" i="2"/>
  <c r="SC241" i="2"/>
  <c r="Q241" i="2"/>
  <c r="FV431" i="2"/>
  <c r="FV203" i="2"/>
  <c r="GL431" i="2"/>
  <c r="HB431" i="2"/>
  <c r="IH431" i="2"/>
  <c r="JN203" i="2"/>
  <c r="KD203" i="2"/>
  <c r="KT203" i="2"/>
  <c r="LJ431" i="2"/>
  <c r="LZ203" i="2"/>
  <c r="EO431" i="2"/>
  <c r="MP431" i="2"/>
  <c r="MP203" i="2"/>
  <c r="OL431" i="2"/>
  <c r="QX203" i="2"/>
  <c r="ST431" i="2"/>
  <c r="ST203" i="2"/>
  <c r="TJ203" i="2"/>
  <c r="WL165" i="2"/>
  <c r="R203" i="2"/>
  <c r="CC165" i="2"/>
  <c r="CS203" i="2"/>
  <c r="DI431" i="2"/>
  <c r="DI203" i="2"/>
  <c r="DY431" i="2"/>
  <c r="EO203" i="2"/>
  <c r="FU431" i="2"/>
  <c r="HA203" i="2"/>
  <c r="HQ203" i="2"/>
  <c r="IW431" i="2"/>
  <c r="IW203" i="2"/>
  <c r="KC203" i="2"/>
  <c r="KS203" i="2"/>
  <c r="KS165" i="2"/>
  <c r="LI431" i="2"/>
  <c r="LY431" i="2"/>
  <c r="LY203" i="2"/>
  <c r="NE431" i="2"/>
  <c r="NE203" i="2"/>
  <c r="NU431" i="2"/>
  <c r="NU203" i="2"/>
  <c r="PA203" i="2"/>
  <c r="PQ431" i="2"/>
  <c r="PQ203" i="2"/>
  <c r="QG431" i="2"/>
  <c r="QG203" i="2"/>
  <c r="QW431" i="2"/>
  <c r="QW203" i="2"/>
  <c r="RM431" i="2"/>
  <c r="SC203" i="2"/>
  <c r="SS203" i="2"/>
  <c r="TI203" i="2"/>
  <c r="TI165" i="2"/>
  <c r="TY203" i="2"/>
  <c r="UO393" i="2"/>
  <c r="UO165" i="2"/>
  <c r="VE393" i="2"/>
  <c r="VE165" i="2"/>
  <c r="WK393" i="2"/>
  <c r="WK165" i="2"/>
  <c r="Q203" i="2"/>
  <c r="AH165" i="2"/>
  <c r="CD393" i="2"/>
  <c r="CD165" i="2"/>
  <c r="DZ165" i="2"/>
  <c r="EP89" i="2"/>
  <c r="FF393" i="2"/>
  <c r="FF165" i="2"/>
  <c r="GL393" i="2"/>
  <c r="LZ393" i="2"/>
  <c r="MP393" i="2"/>
  <c r="NV165" i="2"/>
  <c r="OL393" i="2"/>
  <c r="OL165" i="2"/>
  <c r="BM165" i="2"/>
  <c r="DI165" i="2"/>
  <c r="DY393" i="2"/>
  <c r="EO393" i="2"/>
  <c r="EO165" i="2"/>
  <c r="FE165" i="2"/>
  <c r="GK393" i="2"/>
  <c r="HQ393" i="2"/>
  <c r="IG393" i="2"/>
  <c r="IW393" i="2"/>
  <c r="LY393" i="2"/>
  <c r="LY165" i="2"/>
  <c r="NE393" i="2"/>
  <c r="OK393" i="2"/>
  <c r="PA393" i="2"/>
  <c r="PA165" i="2"/>
  <c r="PQ165" i="2"/>
  <c r="QW393" i="2"/>
  <c r="QW165" i="2"/>
  <c r="RM393" i="2"/>
  <c r="OL203" i="2"/>
  <c r="PB431" i="2"/>
  <c r="PB203" i="2"/>
  <c r="PB165" i="2"/>
  <c r="PR431" i="2"/>
  <c r="QX431" i="2"/>
  <c r="RN431" i="2"/>
  <c r="RN203" i="2"/>
  <c r="TZ431" i="2"/>
  <c r="UP165" i="2"/>
  <c r="CC393" i="2"/>
  <c r="FU203" i="2"/>
  <c r="HQ431" i="2"/>
  <c r="JM203" i="2"/>
  <c r="LI203" i="2"/>
  <c r="OK203" i="2"/>
  <c r="QG393" i="2"/>
  <c r="QG165" i="2"/>
  <c r="RM203" i="2"/>
  <c r="SS431" i="2"/>
  <c r="TI431" i="2"/>
  <c r="TI393" i="2"/>
  <c r="TY431" i="2"/>
  <c r="AX393" i="2"/>
  <c r="EP165" i="2"/>
  <c r="FV279" i="2"/>
  <c r="FV51" i="2"/>
  <c r="HB393" i="2"/>
  <c r="IX165" i="2"/>
  <c r="IX89" i="2"/>
  <c r="JN165" i="2"/>
  <c r="KD393" i="2"/>
  <c r="LJ165" i="2"/>
  <c r="MP165" i="2"/>
  <c r="QH393" i="2"/>
  <c r="QH165" i="2"/>
  <c r="QX393" i="2"/>
  <c r="QX165" i="2"/>
  <c r="SD393" i="2"/>
  <c r="SD89" i="2"/>
  <c r="TJ393" i="2"/>
  <c r="TJ165" i="2"/>
  <c r="UP355" i="2"/>
  <c r="AG165" i="2"/>
  <c r="AW165" i="2"/>
  <c r="CS165" i="2"/>
  <c r="DY165" i="2"/>
  <c r="FE393" i="2"/>
  <c r="JM165" i="2"/>
  <c r="LI393" i="2"/>
  <c r="LI165" i="2"/>
  <c r="MO393" i="2"/>
  <c r="NE165" i="2"/>
  <c r="NU393" i="2"/>
  <c r="NU165" i="2"/>
  <c r="OK165" i="2"/>
  <c r="PQ393" i="2"/>
  <c r="NV431" i="2"/>
  <c r="NV203" i="2"/>
  <c r="PB393" i="2"/>
  <c r="PR203" i="2"/>
  <c r="QH431" i="2"/>
  <c r="QH203" i="2"/>
  <c r="TJ431" i="2"/>
  <c r="TZ393" i="2"/>
  <c r="TZ203" i="2"/>
  <c r="UP393" i="2"/>
  <c r="R431" i="2"/>
  <c r="AG431" i="2"/>
  <c r="BM203" i="2"/>
  <c r="CC431" i="2"/>
  <c r="CC203" i="2"/>
  <c r="FE431" i="2"/>
  <c r="FE203" i="2"/>
  <c r="GK431" i="2"/>
  <c r="GK203" i="2"/>
  <c r="HA431" i="2"/>
  <c r="IG431" i="2"/>
  <c r="IG203" i="2"/>
  <c r="JM431" i="2"/>
  <c r="KC431" i="2"/>
  <c r="KS393" i="2"/>
  <c r="OK431" i="2"/>
  <c r="PA431" i="2"/>
  <c r="SC431" i="2"/>
  <c r="AH393" i="2"/>
  <c r="AX165" i="2"/>
  <c r="DZ393" i="2"/>
  <c r="IX317" i="2"/>
  <c r="LJ393" i="2"/>
  <c r="LZ165" i="2"/>
  <c r="NF393" i="2"/>
  <c r="ST165" i="2"/>
  <c r="R393" i="2"/>
  <c r="DI393" i="2"/>
  <c r="IG165" i="2"/>
  <c r="IW165" i="2"/>
  <c r="Q355" i="2"/>
  <c r="Q127" i="2"/>
  <c r="AH317" i="2"/>
  <c r="AH89" i="2"/>
  <c r="BN317" i="2"/>
  <c r="CD317" i="2"/>
  <c r="CD89" i="2"/>
  <c r="TZ165" i="2"/>
  <c r="VF393" i="2"/>
  <c r="BW22" i="35" s="1"/>
  <c r="VF165" i="2"/>
  <c r="VV393" i="2"/>
  <c r="VV165" i="2"/>
  <c r="WL393" i="2"/>
  <c r="AG203" i="2"/>
  <c r="AW431" i="2"/>
  <c r="AW203" i="2"/>
  <c r="BM431" i="2"/>
  <c r="DY203" i="2"/>
  <c r="KC393" i="2"/>
  <c r="KC165" i="2"/>
  <c r="KS431" i="2"/>
  <c r="MO431" i="2"/>
  <c r="MO203" i="2"/>
  <c r="Q431" i="2"/>
  <c r="BN393" i="2"/>
  <c r="BN165" i="2"/>
  <c r="EP393" i="2"/>
  <c r="EP317" i="2"/>
  <c r="HB165" i="2"/>
  <c r="IH393" i="2"/>
  <c r="IH165" i="2"/>
  <c r="IX393" i="2"/>
  <c r="JN393" i="2"/>
  <c r="KD165" i="2"/>
  <c r="NF165" i="2"/>
  <c r="NV393" i="2"/>
  <c r="PR393" i="2"/>
  <c r="PR165" i="2"/>
  <c r="RN393" i="2"/>
  <c r="RN165" i="2"/>
  <c r="SD317" i="2"/>
  <c r="SD165" i="2"/>
  <c r="ST393" i="2"/>
  <c r="R165" i="2"/>
  <c r="AG393" i="2"/>
  <c r="AW393" i="2"/>
  <c r="BM393" i="2"/>
  <c r="GK165" i="2"/>
  <c r="HA393" i="2"/>
  <c r="HA165" i="2"/>
  <c r="HQ165" i="2"/>
  <c r="JM393" i="2"/>
  <c r="AX317" i="2"/>
  <c r="AX89" i="2"/>
  <c r="BN89" i="2"/>
  <c r="R355" i="2"/>
  <c r="UP127" i="2"/>
  <c r="VF355" i="2"/>
  <c r="VF127" i="2"/>
  <c r="VV355" i="2"/>
  <c r="VV127" i="2"/>
  <c r="WL355" i="2"/>
  <c r="WL127" i="2"/>
  <c r="UO355" i="2"/>
  <c r="UO127" i="2"/>
  <c r="VE355" i="2"/>
  <c r="VE127" i="2"/>
  <c r="VU355" i="2"/>
  <c r="VU317" i="2"/>
  <c r="VU127" i="2"/>
  <c r="VU89" i="2"/>
  <c r="WK355" i="2"/>
  <c r="WK127" i="2"/>
  <c r="SC165" i="2"/>
  <c r="SS393" i="2"/>
  <c r="SS165" i="2"/>
  <c r="AH127" i="2"/>
  <c r="AX355" i="2"/>
  <c r="AX127" i="2"/>
  <c r="BN355" i="2"/>
  <c r="BN127" i="2"/>
  <c r="CD355" i="2"/>
  <c r="CD127" i="2"/>
  <c r="CT127" i="2"/>
  <c r="DJ355" i="2"/>
  <c r="DJ127" i="2"/>
  <c r="DZ355" i="2"/>
  <c r="DZ127" i="2"/>
  <c r="EP355" i="2"/>
  <c r="EP127" i="2"/>
  <c r="FF355" i="2"/>
  <c r="FF127" i="2"/>
  <c r="FV355" i="2"/>
  <c r="FV127" i="2"/>
  <c r="GL355" i="2"/>
  <c r="GL127" i="2"/>
  <c r="GL51" i="2"/>
  <c r="HB355" i="2"/>
  <c r="HB127" i="2"/>
  <c r="HR393" i="2"/>
  <c r="HR355" i="2"/>
  <c r="HR165" i="2"/>
  <c r="HR127" i="2"/>
  <c r="IH355" i="2"/>
  <c r="IH127" i="2"/>
  <c r="IX355" i="2"/>
  <c r="IX127" i="2"/>
  <c r="JN355" i="2"/>
  <c r="JN127" i="2"/>
  <c r="KD355" i="2"/>
  <c r="KD127" i="2"/>
  <c r="KT355" i="2"/>
  <c r="KT127" i="2"/>
  <c r="LJ355" i="2"/>
  <c r="LJ127" i="2"/>
  <c r="LZ355" i="2"/>
  <c r="LZ127" i="2"/>
  <c r="MP355" i="2"/>
  <c r="MP127" i="2"/>
  <c r="NF355" i="2"/>
  <c r="NF317" i="2"/>
  <c r="NF127" i="2"/>
  <c r="NF89" i="2"/>
  <c r="NV355" i="2"/>
  <c r="OL355" i="2"/>
  <c r="OL127" i="2"/>
  <c r="PB355" i="2"/>
  <c r="PB127" i="2"/>
  <c r="PR355" i="2"/>
  <c r="PR127" i="2"/>
  <c r="QH355" i="2"/>
  <c r="QH127" i="2"/>
  <c r="QX355" i="2"/>
  <c r="QX127" i="2"/>
  <c r="RN355" i="2"/>
  <c r="RN127" i="2"/>
  <c r="SD355" i="2"/>
  <c r="SD127" i="2"/>
  <c r="ST355" i="2"/>
  <c r="ST127" i="2"/>
  <c r="TJ355" i="2"/>
  <c r="TJ127" i="2"/>
  <c r="TZ355" i="2"/>
  <c r="TZ127" i="2"/>
  <c r="UP317" i="2"/>
  <c r="UP89" i="2"/>
  <c r="VF317" i="2"/>
  <c r="VF89" i="2"/>
  <c r="VV317" i="2"/>
  <c r="VV89" i="2"/>
  <c r="WL317" i="2"/>
  <c r="WL89" i="2"/>
  <c r="RM165" i="2"/>
  <c r="SC393" i="2"/>
  <c r="TY393" i="2"/>
  <c r="TY165" i="2"/>
  <c r="Q393" i="2"/>
  <c r="Q165" i="2"/>
  <c r="AH355" i="2"/>
  <c r="R127" i="2"/>
  <c r="AG355" i="2"/>
  <c r="AG127" i="2"/>
  <c r="AW355" i="2"/>
  <c r="AW127" i="2"/>
  <c r="BM355" i="2"/>
  <c r="BM127" i="2"/>
  <c r="CC355" i="2"/>
  <c r="CC127" i="2"/>
  <c r="CS127" i="2"/>
  <c r="DI355" i="2"/>
  <c r="DI127" i="2"/>
  <c r="DY355" i="2"/>
  <c r="DY127" i="2"/>
  <c r="EO355" i="2"/>
  <c r="EO127" i="2"/>
  <c r="FE355" i="2"/>
  <c r="FE127" i="2"/>
  <c r="FU355" i="2"/>
  <c r="FU279" i="2"/>
  <c r="FU127" i="2"/>
  <c r="FU51" i="2"/>
  <c r="GK355" i="2"/>
  <c r="GK127" i="2"/>
  <c r="HA355" i="2"/>
  <c r="HA127" i="2"/>
  <c r="HQ355" i="2"/>
  <c r="HQ127" i="2"/>
  <c r="IG355" i="2"/>
  <c r="IG127" i="2"/>
  <c r="IW355" i="2"/>
  <c r="IW127" i="2"/>
  <c r="JM355" i="2"/>
  <c r="JM127" i="2"/>
  <c r="KC355" i="2"/>
  <c r="KC127" i="2"/>
  <c r="KS355" i="2"/>
  <c r="KS127" i="2"/>
  <c r="LI355" i="2"/>
  <c r="LI127" i="2"/>
  <c r="LY355" i="2"/>
  <c r="LY127" i="2"/>
  <c r="MO355" i="2"/>
  <c r="MO127" i="2"/>
  <c r="NE355" i="2"/>
  <c r="NE127" i="2"/>
  <c r="NU355" i="2"/>
  <c r="NU127" i="2"/>
  <c r="OK355" i="2"/>
  <c r="OK127" i="2"/>
  <c r="PA355" i="2"/>
  <c r="PA127" i="2"/>
  <c r="PQ355" i="2"/>
  <c r="PQ127" i="2"/>
  <c r="QG355" i="2"/>
  <c r="QG127" i="2"/>
  <c r="QW355" i="2"/>
  <c r="QW127" i="2"/>
  <c r="RM355" i="2"/>
  <c r="RM127" i="2"/>
  <c r="SC355" i="2"/>
  <c r="SC127" i="2"/>
  <c r="SS355" i="2"/>
  <c r="SS127" i="2"/>
  <c r="TI355" i="2"/>
  <c r="TI127" i="2"/>
  <c r="TY355" i="2"/>
  <c r="TY127" i="2"/>
  <c r="UO317" i="2"/>
  <c r="UO89" i="2"/>
  <c r="VE317" i="2"/>
  <c r="VE89" i="2"/>
  <c r="VU279" i="2"/>
  <c r="WK317" i="2"/>
  <c r="WK89" i="2"/>
  <c r="CT89" i="2"/>
  <c r="DJ393" i="2"/>
  <c r="DJ317" i="2"/>
  <c r="DJ89" i="2"/>
  <c r="DZ317" i="2"/>
  <c r="DZ89" i="2"/>
  <c r="FF317" i="2"/>
  <c r="FF89" i="2"/>
  <c r="FV317" i="2"/>
  <c r="FV89" i="2"/>
  <c r="GL317" i="2"/>
  <c r="GL89" i="2"/>
  <c r="HB317" i="2"/>
  <c r="HB89" i="2"/>
  <c r="HR317" i="2"/>
  <c r="HR89" i="2"/>
  <c r="IH317" i="2"/>
  <c r="IH89" i="2"/>
  <c r="JN317" i="2"/>
  <c r="JN89" i="2"/>
  <c r="KD317" i="2"/>
  <c r="KD89" i="2"/>
  <c r="KT317" i="2"/>
  <c r="KT279" i="2"/>
  <c r="KT89" i="2"/>
  <c r="KT51" i="2"/>
  <c r="LJ317" i="2"/>
  <c r="LJ89" i="2"/>
  <c r="LZ317" i="2"/>
  <c r="LZ89" i="2"/>
  <c r="MP317" i="2"/>
  <c r="MP89" i="2"/>
  <c r="NV317" i="2"/>
  <c r="NV89" i="2"/>
  <c r="OL317" i="2"/>
  <c r="OL89" i="2"/>
  <c r="PB317" i="2"/>
  <c r="PB279" i="2"/>
  <c r="PB89" i="2"/>
  <c r="PB51" i="2"/>
  <c r="PR317" i="2"/>
  <c r="PR89" i="2"/>
  <c r="QH317" i="2"/>
  <c r="QH89" i="2"/>
  <c r="QX317" i="2"/>
  <c r="QX89" i="2"/>
  <c r="RN317" i="2"/>
  <c r="RN89" i="2"/>
  <c r="ST317" i="2"/>
  <c r="ST89" i="2"/>
  <c r="TJ317" i="2"/>
  <c r="TJ89" i="2"/>
  <c r="TZ317" i="2"/>
  <c r="TZ279" i="2"/>
  <c r="TZ89" i="2"/>
  <c r="TZ51" i="2"/>
  <c r="UP279" i="2"/>
  <c r="UP51" i="2"/>
  <c r="VF279" i="2"/>
  <c r="VF51" i="2"/>
  <c r="VV279" i="2"/>
  <c r="VV51" i="2"/>
  <c r="WL279" i="2"/>
  <c r="WL51" i="2"/>
  <c r="R317" i="2"/>
  <c r="R89" i="2"/>
  <c r="AG317" i="2"/>
  <c r="AG89" i="2"/>
  <c r="AW317" i="2"/>
  <c r="AW89" i="2"/>
  <c r="BM317" i="2"/>
  <c r="BM89" i="2"/>
  <c r="CC317" i="2"/>
  <c r="CC279" i="2"/>
  <c r="CC89" i="2"/>
  <c r="CC51" i="2"/>
  <c r="CS89" i="2"/>
  <c r="DI317" i="2"/>
  <c r="DI89" i="2"/>
  <c r="DY317" i="2"/>
  <c r="DY89" i="2"/>
  <c r="EO317" i="2"/>
  <c r="EO89" i="2"/>
  <c r="FE317" i="2"/>
  <c r="FE89" i="2"/>
  <c r="FU317" i="2"/>
  <c r="FU89" i="2"/>
  <c r="GK317" i="2"/>
  <c r="GK89" i="2"/>
  <c r="HA317" i="2"/>
  <c r="HA89" i="2"/>
  <c r="HQ317" i="2"/>
  <c r="HQ89" i="2"/>
  <c r="IG317" i="2"/>
  <c r="IG89" i="2"/>
  <c r="IW317" i="2"/>
  <c r="IW89" i="2"/>
  <c r="JM317" i="2"/>
  <c r="JM89" i="2"/>
  <c r="KC317" i="2"/>
  <c r="KC279" i="2"/>
  <c r="KC89" i="2"/>
  <c r="KC51" i="2"/>
  <c r="KS317" i="2"/>
  <c r="KS279" i="2"/>
  <c r="KS89" i="2"/>
  <c r="KS51" i="2"/>
  <c r="LI317" i="2"/>
  <c r="LI89" i="2"/>
  <c r="LY317" i="2"/>
  <c r="LY89" i="2"/>
  <c r="MO317" i="2"/>
  <c r="MO89" i="2"/>
  <c r="NE317" i="2"/>
  <c r="NE89" i="2"/>
  <c r="NU317" i="2"/>
  <c r="NU89" i="2"/>
  <c r="OK317" i="2"/>
  <c r="OK89" i="2"/>
  <c r="PA317" i="2"/>
  <c r="PA89" i="2"/>
  <c r="PQ317" i="2"/>
  <c r="PQ89" i="2"/>
  <c r="QG317" i="2"/>
  <c r="QG279" i="2"/>
  <c r="QG89" i="2"/>
  <c r="QG51" i="2"/>
  <c r="QW317" i="2"/>
  <c r="QW89" i="2"/>
  <c r="RM317" i="2"/>
  <c r="RM89" i="2"/>
  <c r="SC317" i="2"/>
  <c r="SC89" i="2"/>
  <c r="SS317" i="2"/>
  <c r="SS89" i="2"/>
  <c r="TI317" i="2"/>
  <c r="TI279" i="2"/>
  <c r="TI89" i="2"/>
  <c r="TI51" i="2"/>
  <c r="TY317" i="2"/>
  <c r="TY89" i="2"/>
  <c r="UO279" i="2"/>
  <c r="UO51" i="2"/>
  <c r="VE279" i="2"/>
  <c r="VE51" i="2"/>
  <c r="VU51" i="2"/>
  <c r="WK279" i="2"/>
  <c r="WK51" i="2"/>
  <c r="MO15" i="2"/>
  <c r="MO16" i="2"/>
  <c r="MO17" i="2"/>
  <c r="MO18" i="2"/>
  <c r="MO19" i="2"/>
  <c r="MO20" i="2"/>
  <c r="MO21" i="2"/>
  <c r="MO22" i="2"/>
  <c r="MO23" i="2"/>
  <c r="MO24" i="2"/>
  <c r="MO25" i="2"/>
  <c r="MO26" i="2"/>
  <c r="MO27" i="2"/>
  <c r="MO28" i="2"/>
  <c r="MO29" i="2"/>
  <c r="MO30" i="2"/>
  <c r="MO32" i="2"/>
  <c r="MO33" i="2"/>
  <c r="MO34" i="2"/>
  <c r="MO35" i="2"/>
  <c r="MO36" i="2"/>
  <c r="MO37" i="2"/>
  <c r="MO38" i="2"/>
  <c r="MO40" i="2"/>
  <c r="MO41" i="2"/>
  <c r="MO42" i="2"/>
  <c r="MO43" i="2"/>
  <c r="MO44" i="2"/>
  <c r="MO45" i="2"/>
  <c r="MO46" i="2"/>
  <c r="MO47" i="2"/>
  <c r="MO48" i="2"/>
  <c r="MO49" i="2"/>
  <c r="MO50" i="2"/>
  <c r="KC15" i="2"/>
  <c r="KC16" i="2"/>
  <c r="KC17" i="2"/>
  <c r="KC18" i="2"/>
  <c r="KC19" i="2"/>
  <c r="KC20" i="2"/>
  <c r="KC21" i="2"/>
  <c r="KC22" i="2"/>
  <c r="KC23" i="2"/>
  <c r="KC24" i="2"/>
  <c r="KC25" i="2"/>
  <c r="KC26" i="2"/>
  <c r="KC27" i="2"/>
  <c r="KC28" i="2"/>
  <c r="KC29" i="2"/>
  <c r="KC30" i="2"/>
  <c r="KC31" i="2"/>
  <c r="KC32" i="2"/>
  <c r="KC33" i="2"/>
  <c r="KC34" i="2"/>
  <c r="KC35" i="2"/>
  <c r="KC36" i="2"/>
  <c r="KC37" i="2"/>
  <c r="KC38" i="2"/>
  <c r="KC39" i="2"/>
  <c r="KC40" i="2"/>
  <c r="KC41" i="2"/>
  <c r="KC42" i="2"/>
  <c r="KC43" i="2"/>
  <c r="KC44" i="2"/>
  <c r="KC45" i="2"/>
  <c r="KC46" i="2"/>
  <c r="KC47" i="2"/>
  <c r="KC48" i="2"/>
  <c r="KC49" i="2"/>
  <c r="KC50" i="2"/>
  <c r="MG172" i="2" l="1"/>
  <c r="MG491" i="2" s="1"/>
  <c r="MO491" i="2" s="1"/>
  <c r="MC39" i="2"/>
  <c r="MC510" i="2" s="1"/>
  <c r="MO510" i="2" s="1"/>
  <c r="MC31" i="2"/>
  <c r="NE15" i="2"/>
  <c r="NE16" i="2"/>
  <c r="NE17" i="2"/>
  <c r="NE18" i="2"/>
  <c r="NE19" i="2"/>
  <c r="NE20" i="2"/>
  <c r="NE21" i="2"/>
  <c r="NE22" i="2"/>
  <c r="NE23" i="2"/>
  <c r="NE24" i="2"/>
  <c r="NE25" i="2"/>
  <c r="NE26" i="2"/>
  <c r="NE27" i="2"/>
  <c r="NE28" i="2"/>
  <c r="NE29" i="2"/>
  <c r="NE30" i="2"/>
  <c r="NE31" i="2"/>
  <c r="NE32" i="2"/>
  <c r="NE33" i="2"/>
  <c r="NE34" i="2"/>
  <c r="NE35" i="2"/>
  <c r="NE36" i="2"/>
  <c r="NE37" i="2"/>
  <c r="NE38" i="2"/>
  <c r="NE39" i="2"/>
  <c r="NE40" i="2"/>
  <c r="NE41" i="2"/>
  <c r="NE42" i="2"/>
  <c r="NE43" i="2"/>
  <c r="NE44" i="2"/>
  <c r="NE45" i="2"/>
  <c r="NE46" i="2"/>
  <c r="NE47" i="2"/>
  <c r="NE48" i="2"/>
  <c r="NE49" i="2"/>
  <c r="NE50" i="2"/>
  <c r="IW15" i="2"/>
  <c r="IW16" i="2"/>
  <c r="IW17" i="2"/>
  <c r="IW18" i="2"/>
  <c r="IW19" i="2"/>
  <c r="IW20" i="2"/>
  <c r="IW21" i="2"/>
  <c r="IW22" i="2"/>
  <c r="IW23" i="2"/>
  <c r="IW24" i="2"/>
  <c r="IW25" i="2"/>
  <c r="IW26" i="2"/>
  <c r="IW27" i="2"/>
  <c r="IW28" i="2"/>
  <c r="IW29" i="2"/>
  <c r="IW30" i="2"/>
  <c r="IW31" i="2"/>
  <c r="IW32" i="2"/>
  <c r="IW33" i="2"/>
  <c r="IW34" i="2"/>
  <c r="IW35" i="2"/>
  <c r="IW36" i="2"/>
  <c r="IW37" i="2"/>
  <c r="IW38" i="2"/>
  <c r="IW39" i="2"/>
  <c r="IW40" i="2"/>
  <c r="IW41" i="2"/>
  <c r="IW42" i="2"/>
  <c r="IW43" i="2"/>
  <c r="IW44" i="2"/>
  <c r="IW45" i="2"/>
  <c r="IW46" i="2"/>
  <c r="IW47" i="2"/>
  <c r="IW48" i="2"/>
  <c r="IW49" i="2"/>
  <c r="IW50" i="2"/>
  <c r="KS15" i="2"/>
  <c r="KS16" i="2"/>
  <c r="KS17" i="2"/>
  <c r="KS18" i="2"/>
  <c r="KS19" i="2"/>
  <c r="KS20" i="2"/>
  <c r="KS21" i="2"/>
  <c r="KS22" i="2"/>
  <c r="KS23" i="2"/>
  <c r="KS24" i="2"/>
  <c r="KS25" i="2"/>
  <c r="KS26" i="2"/>
  <c r="KS27" i="2"/>
  <c r="KS28" i="2"/>
  <c r="KS29" i="2"/>
  <c r="KS30" i="2"/>
  <c r="KS31" i="2"/>
  <c r="KS32" i="2"/>
  <c r="KS33" i="2"/>
  <c r="KS34" i="2"/>
  <c r="KS35" i="2"/>
  <c r="KS36" i="2"/>
  <c r="KS37" i="2"/>
  <c r="KS38" i="2"/>
  <c r="KS39" i="2"/>
  <c r="KS40" i="2"/>
  <c r="KS41" i="2"/>
  <c r="KS42" i="2"/>
  <c r="KS43" i="2"/>
  <c r="KS44" i="2"/>
  <c r="KS45" i="2"/>
  <c r="KS46" i="2"/>
  <c r="KS47" i="2"/>
  <c r="KS48" i="2"/>
  <c r="KS49" i="2"/>
  <c r="KS50" i="2"/>
  <c r="MO31" i="2" l="1"/>
  <c r="MC502" i="2"/>
  <c r="MO502" i="2" s="1"/>
  <c r="MO39" i="2"/>
  <c r="MO172" i="2"/>
  <c r="MO165" i="2" s="1"/>
  <c r="QG15" i="2"/>
  <c r="QG16" i="2"/>
  <c r="QG17" i="2"/>
  <c r="QG18" i="2"/>
  <c r="QG19" i="2"/>
  <c r="QG20" i="2"/>
  <c r="QG21" i="2"/>
  <c r="QG22" i="2"/>
  <c r="QG23" i="2"/>
  <c r="QG24" i="2"/>
  <c r="QG25" i="2"/>
  <c r="QG26" i="2"/>
  <c r="QG27" i="2"/>
  <c r="QG28" i="2"/>
  <c r="QG29" i="2"/>
  <c r="QG30" i="2"/>
  <c r="QG31" i="2"/>
  <c r="QG32" i="2"/>
  <c r="QG33" i="2"/>
  <c r="QG34" i="2"/>
  <c r="QG35" i="2"/>
  <c r="QG36" i="2"/>
  <c r="QG37" i="2"/>
  <c r="QG38" i="2"/>
  <c r="QG39" i="2"/>
  <c r="QG40" i="2"/>
  <c r="QG41" i="2"/>
  <c r="QG42" i="2"/>
  <c r="QG43" i="2"/>
  <c r="QG44" i="2"/>
  <c r="QG45" i="2"/>
  <c r="QG46" i="2"/>
  <c r="QG47" i="2"/>
  <c r="QG48" i="2"/>
  <c r="QG49" i="2"/>
  <c r="QG50" i="2"/>
  <c r="PQ15" i="2"/>
  <c r="PQ16" i="2"/>
  <c r="PQ17" i="2"/>
  <c r="PQ18" i="2"/>
  <c r="PQ19" i="2"/>
  <c r="PQ20" i="2"/>
  <c r="PQ21" i="2"/>
  <c r="PQ22" i="2"/>
  <c r="PQ23" i="2"/>
  <c r="PQ24" i="2"/>
  <c r="PQ25" i="2"/>
  <c r="PQ26" i="2"/>
  <c r="PQ27" i="2"/>
  <c r="PQ28" i="2"/>
  <c r="PQ29" i="2"/>
  <c r="PQ30" i="2"/>
  <c r="PQ31" i="2"/>
  <c r="PQ32" i="2"/>
  <c r="PQ33" i="2"/>
  <c r="PQ34" i="2"/>
  <c r="PQ35" i="2"/>
  <c r="PQ36" i="2"/>
  <c r="PQ37" i="2"/>
  <c r="PQ38" i="2"/>
  <c r="PQ39" i="2"/>
  <c r="PQ40" i="2"/>
  <c r="PQ41" i="2"/>
  <c r="PQ42" i="2"/>
  <c r="PQ43" i="2"/>
  <c r="PQ44" i="2"/>
  <c r="PQ45" i="2"/>
  <c r="PQ46" i="2"/>
  <c r="PQ47" i="2"/>
  <c r="PQ48" i="2"/>
  <c r="PQ49" i="2"/>
  <c r="PQ50" i="2"/>
  <c r="FU15" i="2"/>
  <c r="FU16" i="2"/>
  <c r="FU17" i="2"/>
  <c r="FU18" i="2"/>
  <c r="FU19" i="2"/>
  <c r="FU20" i="2"/>
  <c r="FU21" i="2"/>
  <c r="FU22" i="2"/>
  <c r="FU23" i="2"/>
  <c r="FU24" i="2"/>
  <c r="FU25" i="2"/>
  <c r="FU26" i="2"/>
  <c r="FU27" i="2"/>
  <c r="FU28" i="2"/>
  <c r="FU29" i="2"/>
  <c r="FU30" i="2"/>
  <c r="FU31" i="2"/>
  <c r="FU32" i="2"/>
  <c r="FU33" i="2"/>
  <c r="FU34" i="2"/>
  <c r="FU35" i="2"/>
  <c r="FU36" i="2"/>
  <c r="FU37" i="2"/>
  <c r="FU38" i="2"/>
  <c r="FU39" i="2"/>
  <c r="FU40" i="2"/>
  <c r="FU41" i="2"/>
  <c r="FU42" i="2"/>
  <c r="FU43" i="2"/>
  <c r="FU44" i="2"/>
  <c r="FU45" i="2"/>
  <c r="FU46" i="2"/>
  <c r="FU47" i="2"/>
  <c r="FU48" i="2"/>
  <c r="FU49" i="2"/>
  <c r="FU50" i="2"/>
  <c r="FE15" i="2"/>
  <c r="FE16" i="2"/>
  <c r="FE17" i="2"/>
  <c r="FE18" i="2"/>
  <c r="FE19" i="2"/>
  <c r="FE20" i="2"/>
  <c r="FE21" i="2"/>
  <c r="FE22" i="2"/>
  <c r="FE23" i="2"/>
  <c r="FE24" i="2"/>
  <c r="FE25" i="2"/>
  <c r="FE26" i="2"/>
  <c r="FE27" i="2"/>
  <c r="FE28" i="2"/>
  <c r="FE29" i="2"/>
  <c r="FE30" i="2"/>
  <c r="FE31" i="2"/>
  <c r="FE32" i="2"/>
  <c r="FE33" i="2"/>
  <c r="FE34" i="2"/>
  <c r="FE35" i="2"/>
  <c r="FE36" i="2"/>
  <c r="FE37" i="2"/>
  <c r="FE38" i="2"/>
  <c r="FE39" i="2"/>
  <c r="FE40" i="2"/>
  <c r="FE41" i="2"/>
  <c r="FE42" i="2"/>
  <c r="FE43" i="2"/>
  <c r="FE44" i="2"/>
  <c r="FE45" i="2"/>
  <c r="FE46" i="2"/>
  <c r="FE47" i="2"/>
  <c r="FE48" i="2"/>
  <c r="FE49" i="2"/>
  <c r="FE50" i="2"/>
  <c r="VE15" i="2"/>
  <c r="VE16" i="2"/>
  <c r="VE17" i="2"/>
  <c r="VE18" i="2"/>
  <c r="VE19" i="2"/>
  <c r="VE20" i="2"/>
  <c r="VE21" i="2"/>
  <c r="VE22" i="2"/>
  <c r="VE23" i="2"/>
  <c r="VE24" i="2"/>
  <c r="VE25" i="2"/>
  <c r="VE26" i="2"/>
  <c r="VE27" i="2"/>
  <c r="VE28" i="2"/>
  <c r="VE29" i="2"/>
  <c r="VE30" i="2"/>
  <c r="VE31" i="2"/>
  <c r="VE32" i="2"/>
  <c r="VE33" i="2"/>
  <c r="VE34" i="2"/>
  <c r="VE35" i="2"/>
  <c r="VE36" i="2"/>
  <c r="VE37" i="2"/>
  <c r="VE38" i="2"/>
  <c r="VE39" i="2"/>
  <c r="VE40" i="2"/>
  <c r="VE41" i="2"/>
  <c r="VE42" i="2"/>
  <c r="VE43" i="2"/>
  <c r="VE44" i="2"/>
  <c r="VE45" i="2"/>
  <c r="VE46" i="2"/>
  <c r="VE47" i="2"/>
  <c r="VE48" i="2"/>
  <c r="VE49" i="2"/>
  <c r="VE50" i="2"/>
  <c r="VU15" i="2"/>
  <c r="VU16" i="2"/>
  <c r="VU17" i="2"/>
  <c r="VU18" i="2"/>
  <c r="VU19" i="2"/>
  <c r="VU20" i="2"/>
  <c r="VU21" i="2"/>
  <c r="VU22" i="2"/>
  <c r="VU23" i="2"/>
  <c r="VU24" i="2"/>
  <c r="VU25" i="2"/>
  <c r="VU26" i="2"/>
  <c r="VU27" i="2"/>
  <c r="VU28" i="2"/>
  <c r="VU29" i="2"/>
  <c r="VU30" i="2"/>
  <c r="VU31" i="2"/>
  <c r="VU32" i="2"/>
  <c r="VU33" i="2"/>
  <c r="VU34" i="2"/>
  <c r="VU35" i="2"/>
  <c r="VU36" i="2"/>
  <c r="VU37" i="2"/>
  <c r="VU38" i="2"/>
  <c r="VU39" i="2"/>
  <c r="VU40" i="2"/>
  <c r="VU41" i="2"/>
  <c r="VU42" i="2"/>
  <c r="VU43" i="2"/>
  <c r="VU44" i="2"/>
  <c r="VU45" i="2"/>
  <c r="VU46" i="2"/>
  <c r="VU47" i="2"/>
  <c r="VU48" i="2"/>
  <c r="VU49" i="2"/>
  <c r="VU50" i="2"/>
  <c r="WK15" i="2"/>
  <c r="WK16" i="2"/>
  <c r="WK17" i="2"/>
  <c r="WK18" i="2"/>
  <c r="WK19" i="2"/>
  <c r="WK20" i="2"/>
  <c r="WK21" i="2"/>
  <c r="WK22" i="2"/>
  <c r="WK23" i="2"/>
  <c r="WK24" i="2"/>
  <c r="WK25" i="2"/>
  <c r="WK26" i="2"/>
  <c r="WK27" i="2"/>
  <c r="WK28" i="2"/>
  <c r="WK29" i="2"/>
  <c r="WK30" i="2"/>
  <c r="WK31" i="2"/>
  <c r="WK32" i="2"/>
  <c r="WK33" i="2"/>
  <c r="WK34" i="2"/>
  <c r="WK35" i="2"/>
  <c r="WK36" i="2"/>
  <c r="WK37" i="2"/>
  <c r="WK38" i="2"/>
  <c r="WK39" i="2"/>
  <c r="WK40" i="2"/>
  <c r="WK41" i="2"/>
  <c r="WK42" i="2"/>
  <c r="WK43" i="2"/>
  <c r="WK44" i="2"/>
  <c r="WK45" i="2"/>
  <c r="WK46" i="2"/>
  <c r="WK47" i="2"/>
  <c r="WK48" i="2"/>
  <c r="WK49" i="2"/>
  <c r="WK50" i="2"/>
  <c r="UO15" i="2"/>
  <c r="UO16" i="2"/>
  <c r="UO17" i="2"/>
  <c r="UO18" i="2"/>
  <c r="UO19" i="2"/>
  <c r="UO20" i="2"/>
  <c r="UO21" i="2"/>
  <c r="UO22" i="2"/>
  <c r="UO23" i="2"/>
  <c r="UO24" i="2"/>
  <c r="UO25" i="2"/>
  <c r="UO26" i="2"/>
  <c r="UO27" i="2"/>
  <c r="UO28" i="2"/>
  <c r="UO29" i="2"/>
  <c r="UO30" i="2"/>
  <c r="UO32" i="2"/>
  <c r="UO33" i="2"/>
  <c r="UO34" i="2"/>
  <c r="UO35" i="2"/>
  <c r="UO36" i="2"/>
  <c r="UO37" i="2"/>
  <c r="UO38" i="2"/>
  <c r="UO39" i="2"/>
  <c r="UO40" i="2"/>
  <c r="UO41" i="2"/>
  <c r="UO42" i="2"/>
  <c r="UO43" i="2"/>
  <c r="UO44" i="2"/>
  <c r="UO45" i="2"/>
  <c r="UO46" i="2"/>
  <c r="UO47" i="2"/>
  <c r="UO48" i="2"/>
  <c r="UO49" i="2"/>
  <c r="UP49" i="2"/>
  <c r="UO50" i="2"/>
  <c r="UP50" i="2"/>
  <c r="TY15" i="2"/>
  <c r="TY16" i="2"/>
  <c r="TY17" i="2"/>
  <c r="TY18" i="2"/>
  <c r="TY19" i="2"/>
  <c r="TY20" i="2"/>
  <c r="TY21" i="2"/>
  <c r="TY22" i="2"/>
  <c r="TY23" i="2"/>
  <c r="TY24" i="2"/>
  <c r="TY25" i="2"/>
  <c r="TY26" i="2"/>
  <c r="TY27" i="2"/>
  <c r="TY28" i="2"/>
  <c r="TY29" i="2"/>
  <c r="TY30" i="2"/>
  <c r="TY31" i="2"/>
  <c r="TY32" i="2"/>
  <c r="TY33" i="2"/>
  <c r="TY34" i="2"/>
  <c r="TY35" i="2"/>
  <c r="TY36" i="2"/>
  <c r="TY37" i="2"/>
  <c r="TY38" i="2"/>
  <c r="TY39" i="2"/>
  <c r="TY40" i="2"/>
  <c r="TY41" i="2"/>
  <c r="TY42" i="2"/>
  <c r="TY43" i="2"/>
  <c r="TY44" i="2"/>
  <c r="TY45" i="2"/>
  <c r="TY46" i="2"/>
  <c r="TY47" i="2"/>
  <c r="TY48" i="2"/>
  <c r="TY49" i="2"/>
  <c r="TY50" i="2"/>
  <c r="TI15" i="2"/>
  <c r="TI16" i="2"/>
  <c r="TI17" i="2"/>
  <c r="TI18" i="2"/>
  <c r="TI19" i="2"/>
  <c r="TI20" i="2"/>
  <c r="TI21" i="2"/>
  <c r="TI22" i="2"/>
  <c r="TI23" i="2"/>
  <c r="TI24" i="2"/>
  <c r="TI25" i="2"/>
  <c r="TI26" i="2"/>
  <c r="TI27" i="2"/>
  <c r="TI28" i="2"/>
  <c r="TI29" i="2"/>
  <c r="TI30" i="2"/>
  <c r="TI31" i="2"/>
  <c r="TI32" i="2"/>
  <c r="TI33" i="2"/>
  <c r="TI34" i="2"/>
  <c r="TI35" i="2"/>
  <c r="TI36" i="2"/>
  <c r="TI37" i="2"/>
  <c r="TI38" i="2"/>
  <c r="TI39" i="2"/>
  <c r="TI40" i="2"/>
  <c r="TI41" i="2"/>
  <c r="TI42" i="2"/>
  <c r="TI43" i="2"/>
  <c r="TI44" i="2"/>
  <c r="TI45" i="2"/>
  <c r="TI46" i="2"/>
  <c r="TI47" i="2"/>
  <c r="TI48" i="2"/>
  <c r="TI49" i="2"/>
  <c r="TI50" i="2"/>
  <c r="SS15" i="2"/>
  <c r="SS16" i="2"/>
  <c r="SS17" i="2"/>
  <c r="SS18" i="2"/>
  <c r="SS19" i="2"/>
  <c r="SS20" i="2"/>
  <c r="SS21" i="2"/>
  <c r="SS22" i="2"/>
  <c r="SS23" i="2"/>
  <c r="SS24" i="2"/>
  <c r="SS25" i="2"/>
  <c r="SS26" i="2"/>
  <c r="SS27" i="2"/>
  <c r="SS28" i="2"/>
  <c r="SS29" i="2"/>
  <c r="SS30" i="2"/>
  <c r="SS31" i="2"/>
  <c r="SS32" i="2"/>
  <c r="SS33" i="2"/>
  <c r="SS34" i="2"/>
  <c r="SS35" i="2"/>
  <c r="SS36" i="2"/>
  <c r="SS37" i="2"/>
  <c r="SS38" i="2"/>
  <c r="SS39" i="2"/>
  <c r="SS40" i="2"/>
  <c r="SS41" i="2"/>
  <c r="SS42" i="2"/>
  <c r="SS43" i="2"/>
  <c r="SS44" i="2"/>
  <c r="SS45" i="2"/>
  <c r="SS46" i="2"/>
  <c r="SS47" i="2"/>
  <c r="SS48" i="2"/>
  <c r="SS49" i="2"/>
  <c r="SS50" i="2"/>
  <c r="SC15" i="2"/>
  <c r="SC16" i="2"/>
  <c r="SC17" i="2"/>
  <c r="SC18" i="2"/>
  <c r="SC19" i="2"/>
  <c r="SC20" i="2"/>
  <c r="SC21" i="2"/>
  <c r="SC22" i="2"/>
  <c r="SC23" i="2"/>
  <c r="SC24" i="2"/>
  <c r="SC25" i="2"/>
  <c r="SC26" i="2"/>
  <c r="SC27" i="2"/>
  <c r="SC28" i="2"/>
  <c r="SC29" i="2"/>
  <c r="SC30" i="2"/>
  <c r="SC31" i="2"/>
  <c r="SC32" i="2"/>
  <c r="SC33" i="2"/>
  <c r="SC34" i="2"/>
  <c r="SC35" i="2"/>
  <c r="SC36" i="2"/>
  <c r="SC37" i="2"/>
  <c r="SC38" i="2"/>
  <c r="SC39" i="2"/>
  <c r="SC40" i="2"/>
  <c r="SC41" i="2"/>
  <c r="SC42" i="2"/>
  <c r="SC43" i="2"/>
  <c r="SC44" i="2"/>
  <c r="SC45" i="2"/>
  <c r="SC46" i="2"/>
  <c r="SC47" i="2"/>
  <c r="SC48" i="2"/>
  <c r="SC49" i="2"/>
  <c r="SC50" i="2"/>
  <c r="RM15" i="2"/>
  <c r="RM16" i="2"/>
  <c r="RM17" i="2"/>
  <c r="RM18" i="2"/>
  <c r="RM19" i="2"/>
  <c r="RM20" i="2"/>
  <c r="RM21" i="2"/>
  <c r="RM22" i="2"/>
  <c r="RM23" i="2"/>
  <c r="RM24" i="2"/>
  <c r="RM25" i="2"/>
  <c r="RM26" i="2"/>
  <c r="RM27" i="2"/>
  <c r="RM28" i="2"/>
  <c r="RM29" i="2"/>
  <c r="RM30" i="2"/>
  <c r="RM31" i="2"/>
  <c r="RM32" i="2"/>
  <c r="RM33" i="2"/>
  <c r="RM34" i="2"/>
  <c r="RM35" i="2"/>
  <c r="RM36" i="2"/>
  <c r="RM37" i="2"/>
  <c r="RM38" i="2"/>
  <c r="RM39" i="2"/>
  <c r="RM40" i="2"/>
  <c r="RM41" i="2"/>
  <c r="RM42" i="2"/>
  <c r="RM43" i="2"/>
  <c r="RM44" i="2"/>
  <c r="RM45" i="2"/>
  <c r="RM46" i="2"/>
  <c r="RM47" i="2"/>
  <c r="RM48" i="2"/>
  <c r="RM49" i="2"/>
  <c r="RM50" i="2"/>
  <c r="QW15" i="2"/>
  <c r="QW16" i="2"/>
  <c r="QW17" i="2"/>
  <c r="QW18" i="2"/>
  <c r="QW19" i="2"/>
  <c r="QW20" i="2"/>
  <c r="QW21" i="2"/>
  <c r="QW22" i="2"/>
  <c r="QW23" i="2"/>
  <c r="QW24" i="2"/>
  <c r="QW25" i="2"/>
  <c r="QW26" i="2"/>
  <c r="QW27" i="2"/>
  <c r="QW28" i="2"/>
  <c r="QW29" i="2"/>
  <c r="QW30" i="2"/>
  <c r="QW31" i="2"/>
  <c r="QW32" i="2"/>
  <c r="QW33" i="2"/>
  <c r="QW34" i="2"/>
  <c r="QW35" i="2"/>
  <c r="QW36" i="2"/>
  <c r="QW37" i="2"/>
  <c r="QW38" i="2"/>
  <c r="QW39" i="2"/>
  <c r="QW40" i="2"/>
  <c r="QW41" i="2"/>
  <c r="QW42" i="2"/>
  <c r="QW43" i="2"/>
  <c r="QW44" i="2"/>
  <c r="QW45" i="2"/>
  <c r="QW46" i="2"/>
  <c r="QW47" i="2"/>
  <c r="QW48" i="2"/>
  <c r="QW49" i="2"/>
  <c r="QW50" i="2"/>
  <c r="PA15" i="2"/>
  <c r="PA16" i="2"/>
  <c r="PA17" i="2"/>
  <c r="PA18" i="2"/>
  <c r="PA19" i="2"/>
  <c r="PA20" i="2"/>
  <c r="PA21" i="2"/>
  <c r="PA22" i="2"/>
  <c r="PA23" i="2"/>
  <c r="PA24" i="2"/>
  <c r="PA25" i="2"/>
  <c r="PA26" i="2"/>
  <c r="PA27" i="2"/>
  <c r="PA28" i="2"/>
  <c r="PA29" i="2"/>
  <c r="PA30" i="2"/>
  <c r="PA31" i="2"/>
  <c r="PA32" i="2"/>
  <c r="PA33" i="2"/>
  <c r="PA34" i="2"/>
  <c r="PA35" i="2"/>
  <c r="PA36" i="2"/>
  <c r="PA37" i="2"/>
  <c r="PA38" i="2"/>
  <c r="PA39" i="2"/>
  <c r="PA40" i="2"/>
  <c r="PA41" i="2"/>
  <c r="PA42" i="2"/>
  <c r="PA43" i="2"/>
  <c r="PA44" i="2"/>
  <c r="PA45" i="2"/>
  <c r="PA46" i="2"/>
  <c r="PA47" i="2"/>
  <c r="PA48" i="2"/>
  <c r="PA49" i="2"/>
  <c r="PA50" i="2"/>
  <c r="OK15" i="2"/>
  <c r="OK16" i="2"/>
  <c r="OK17" i="2"/>
  <c r="OK18" i="2"/>
  <c r="OK19" i="2"/>
  <c r="OK20" i="2"/>
  <c r="OK21" i="2"/>
  <c r="OK22" i="2"/>
  <c r="OK23" i="2"/>
  <c r="OK24" i="2"/>
  <c r="OK25" i="2"/>
  <c r="OK26" i="2"/>
  <c r="OK27" i="2"/>
  <c r="OK28" i="2"/>
  <c r="OK29" i="2"/>
  <c r="OK30" i="2"/>
  <c r="OK31" i="2"/>
  <c r="OK32" i="2"/>
  <c r="OK33" i="2"/>
  <c r="OK34" i="2"/>
  <c r="OK35" i="2"/>
  <c r="OK36" i="2"/>
  <c r="OK37" i="2"/>
  <c r="OK38" i="2"/>
  <c r="OK39" i="2"/>
  <c r="OK40" i="2"/>
  <c r="OK41" i="2"/>
  <c r="OK42" i="2"/>
  <c r="OK43" i="2"/>
  <c r="OK44" i="2"/>
  <c r="OK45" i="2"/>
  <c r="OK46" i="2"/>
  <c r="OK47" i="2"/>
  <c r="OK48" i="2"/>
  <c r="OK49" i="2"/>
  <c r="OK50" i="2"/>
  <c r="NU15" i="2"/>
  <c r="NU16" i="2"/>
  <c r="NU17" i="2"/>
  <c r="NU18" i="2"/>
  <c r="NU19" i="2"/>
  <c r="NU20" i="2"/>
  <c r="NU21" i="2"/>
  <c r="NU22" i="2"/>
  <c r="NU23" i="2"/>
  <c r="NU24" i="2"/>
  <c r="NU25" i="2"/>
  <c r="NU26" i="2"/>
  <c r="NU27" i="2"/>
  <c r="NU28" i="2"/>
  <c r="NU29" i="2"/>
  <c r="NU30" i="2"/>
  <c r="NU31" i="2"/>
  <c r="NU32" i="2"/>
  <c r="NU33" i="2"/>
  <c r="NU34" i="2"/>
  <c r="NU35" i="2"/>
  <c r="NU36" i="2"/>
  <c r="NU37" i="2"/>
  <c r="NU38" i="2"/>
  <c r="NU39" i="2"/>
  <c r="NU40" i="2"/>
  <c r="NU41" i="2"/>
  <c r="NU42" i="2"/>
  <c r="NU43" i="2"/>
  <c r="NU44" i="2"/>
  <c r="NU45" i="2"/>
  <c r="NU46" i="2"/>
  <c r="NU47" i="2"/>
  <c r="NU48" i="2"/>
  <c r="NU49" i="2"/>
  <c r="NU50" i="2"/>
  <c r="LY15" i="2"/>
  <c r="LY16" i="2"/>
  <c r="LY17" i="2"/>
  <c r="LY18" i="2"/>
  <c r="LY19" i="2"/>
  <c r="LY20" i="2"/>
  <c r="LY21" i="2"/>
  <c r="LY22" i="2"/>
  <c r="LY23" i="2"/>
  <c r="LY24" i="2"/>
  <c r="LY25" i="2"/>
  <c r="LY26" i="2"/>
  <c r="LY27" i="2"/>
  <c r="LY28" i="2"/>
  <c r="LY29" i="2"/>
  <c r="LY30" i="2"/>
  <c r="LY31" i="2"/>
  <c r="LY32" i="2"/>
  <c r="LY33" i="2"/>
  <c r="LY34" i="2"/>
  <c r="LY35" i="2"/>
  <c r="LY36" i="2"/>
  <c r="LY37" i="2"/>
  <c r="LY38" i="2"/>
  <c r="LY39" i="2"/>
  <c r="LY40" i="2"/>
  <c r="LY41" i="2"/>
  <c r="LY42" i="2"/>
  <c r="LY43" i="2"/>
  <c r="LY44" i="2"/>
  <c r="LY45" i="2"/>
  <c r="LY46" i="2"/>
  <c r="LY47" i="2"/>
  <c r="LY48" i="2"/>
  <c r="LY49" i="2"/>
  <c r="LY50" i="2"/>
  <c r="LI15" i="2"/>
  <c r="LI16" i="2"/>
  <c r="LI17" i="2"/>
  <c r="LI18" i="2"/>
  <c r="LI19" i="2"/>
  <c r="LI20" i="2"/>
  <c r="LI21" i="2"/>
  <c r="LI22" i="2"/>
  <c r="LI23" i="2"/>
  <c r="LI24" i="2"/>
  <c r="LI25" i="2"/>
  <c r="LI26" i="2"/>
  <c r="LI27" i="2"/>
  <c r="LI28" i="2"/>
  <c r="LI29" i="2"/>
  <c r="LI30" i="2"/>
  <c r="LI31" i="2"/>
  <c r="LI32" i="2"/>
  <c r="LI33" i="2"/>
  <c r="LI34" i="2"/>
  <c r="LI35" i="2"/>
  <c r="LI36" i="2"/>
  <c r="LI37" i="2"/>
  <c r="LI38" i="2"/>
  <c r="LI39" i="2"/>
  <c r="LI40" i="2"/>
  <c r="LI41" i="2"/>
  <c r="LI42" i="2"/>
  <c r="LI43" i="2"/>
  <c r="LI44" i="2"/>
  <c r="LI45" i="2"/>
  <c r="LI46" i="2"/>
  <c r="LI47" i="2"/>
  <c r="LI48" i="2"/>
  <c r="LI49" i="2"/>
  <c r="LI50" i="2"/>
  <c r="JM15" i="2"/>
  <c r="JM16" i="2"/>
  <c r="JM17" i="2"/>
  <c r="JM18" i="2"/>
  <c r="JM19" i="2"/>
  <c r="JM20" i="2"/>
  <c r="JM21" i="2"/>
  <c r="JM22" i="2"/>
  <c r="JM23" i="2"/>
  <c r="JM24" i="2"/>
  <c r="JM25" i="2"/>
  <c r="JM26" i="2"/>
  <c r="JM27" i="2"/>
  <c r="JM28" i="2"/>
  <c r="JM29" i="2"/>
  <c r="JM30" i="2"/>
  <c r="JM31" i="2"/>
  <c r="JM32" i="2"/>
  <c r="JM33" i="2"/>
  <c r="JM34" i="2"/>
  <c r="JM35" i="2"/>
  <c r="JM36" i="2"/>
  <c r="JM37" i="2"/>
  <c r="JM38" i="2"/>
  <c r="JM39" i="2"/>
  <c r="JM40" i="2"/>
  <c r="JM41" i="2"/>
  <c r="JM42" i="2"/>
  <c r="JM43" i="2"/>
  <c r="JM44" i="2"/>
  <c r="JM45" i="2"/>
  <c r="JM46" i="2"/>
  <c r="JM47" i="2"/>
  <c r="JM48" i="2"/>
  <c r="JM49" i="2"/>
  <c r="JM50" i="2"/>
  <c r="IG15" i="2"/>
  <c r="IG16" i="2"/>
  <c r="IG17" i="2"/>
  <c r="IG18" i="2"/>
  <c r="IG19" i="2"/>
  <c r="IG20" i="2"/>
  <c r="IG21" i="2"/>
  <c r="IG22" i="2"/>
  <c r="IG23" i="2"/>
  <c r="IG24" i="2"/>
  <c r="IG25" i="2"/>
  <c r="IG26" i="2"/>
  <c r="IG27" i="2"/>
  <c r="IG28" i="2"/>
  <c r="IG29" i="2"/>
  <c r="IG30" i="2"/>
  <c r="IG31" i="2"/>
  <c r="IG32" i="2"/>
  <c r="IG33" i="2"/>
  <c r="IG34" i="2"/>
  <c r="IG35" i="2"/>
  <c r="IG36" i="2"/>
  <c r="IG37" i="2"/>
  <c r="IG38" i="2"/>
  <c r="IG39" i="2"/>
  <c r="IG40" i="2"/>
  <c r="IG41" i="2"/>
  <c r="IG42" i="2"/>
  <c r="IG43" i="2"/>
  <c r="IG44" i="2"/>
  <c r="IG45" i="2"/>
  <c r="IG46" i="2"/>
  <c r="IG47" i="2"/>
  <c r="IG48" i="2"/>
  <c r="IG49" i="2"/>
  <c r="IG50" i="2"/>
  <c r="HQ15" i="2"/>
  <c r="HQ16" i="2"/>
  <c r="HQ17" i="2"/>
  <c r="HQ18" i="2"/>
  <c r="HQ19" i="2"/>
  <c r="HQ20" i="2"/>
  <c r="HQ21" i="2"/>
  <c r="HQ22" i="2"/>
  <c r="HQ23" i="2"/>
  <c r="HQ24" i="2"/>
  <c r="HQ25" i="2"/>
  <c r="HQ26" i="2"/>
  <c r="HQ27" i="2"/>
  <c r="HQ28" i="2"/>
  <c r="HQ29" i="2"/>
  <c r="HQ30" i="2"/>
  <c r="HQ31" i="2"/>
  <c r="HQ32" i="2"/>
  <c r="HQ33" i="2"/>
  <c r="HQ34" i="2"/>
  <c r="HQ35" i="2"/>
  <c r="HQ36" i="2"/>
  <c r="HQ37" i="2"/>
  <c r="HQ38" i="2"/>
  <c r="HQ39" i="2"/>
  <c r="HQ40" i="2"/>
  <c r="HQ41" i="2"/>
  <c r="HQ42" i="2"/>
  <c r="HQ43" i="2"/>
  <c r="HQ44" i="2"/>
  <c r="HQ45" i="2"/>
  <c r="HQ46" i="2"/>
  <c r="HQ47" i="2"/>
  <c r="HQ48" i="2"/>
  <c r="HQ49" i="2"/>
  <c r="HQ50" i="2"/>
  <c r="HA15" i="2"/>
  <c r="HA16" i="2"/>
  <c r="HA17" i="2"/>
  <c r="HA18" i="2"/>
  <c r="HA19" i="2"/>
  <c r="HA20" i="2"/>
  <c r="HA21" i="2"/>
  <c r="HA22" i="2"/>
  <c r="HA23" i="2"/>
  <c r="HA24" i="2"/>
  <c r="HA25" i="2"/>
  <c r="HA26" i="2"/>
  <c r="HA27" i="2"/>
  <c r="HA28" i="2"/>
  <c r="HA29" i="2"/>
  <c r="HA30" i="2"/>
  <c r="HA31" i="2"/>
  <c r="HA32" i="2"/>
  <c r="HA33" i="2"/>
  <c r="HA34" i="2"/>
  <c r="HA35" i="2"/>
  <c r="HA36" i="2"/>
  <c r="HA37" i="2"/>
  <c r="HA38" i="2"/>
  <c r="HA39" i="2"/>
  <c r="HA40" i="2"/>
  <c r="HA41" i="2"/>
  <c r="HA42" i="2"/>
  <c r="HA43" i="2"/>
  <c r="HA44" i="2"/>
  <c r="HA45" i="2"/>
  <c r="HA46" i="2"/>
  <c r="HA47" i="2"/>
  <c r="HA48" i="2"/>
  <c r="HA49" i="2"/>
  <c r="HA50" i="2"/>
  <c r="GK15" i="2"/>
  <c r="GK16" i="2"/>
  <c r="GK17" i="2"/>
  <c r="GK18" i="2"/>
  <c r="GK19" i="2"/>
  <c r="GK20" i="2"/>
  <c r="GK21" i="2"/>
  <c r="GK22" i="2"/>
  <c r="GK23" i="2"/>
  <c r="GK24" i="2"/>
  <c r="GK25" i="2"/>
  <c r="GK26" i="2"/>
  <c r="GK27" i="2"/>
  <c r="GK28" i="2"/>
  <c r="GK29" i="2"/>
  <c r="GK30" i="2"/>
  <c r="GK31" i="2"/>
  <c r="GK32" i="2"/>
  <c r="GK33" i="2"/>
  <c r="GK34" i="2"/>
  <c r="GK35" i="2"/>
  <c r="GK36" i="2"/>
  <c r="GK37" i="2"/>
  <c r="GK38" i="2"/>
  <c r="GK39" i="2"/>
  <c r="GK40" i="2"/>
  <c r="GK41" i="2"/>
  <c r="GK42" i="2"/>
  <c r="GK43" i="2"/>
  <c r="GK44" i="2"/>
  <c r="GK45" i="2"/>
  <c r="GK46" i="2"/>
  <c r="GK47" i="2"/>
  <c r="GK48" i="2"/>
  <c r="GK49" i="2"/>
  <c r="GK50" i="2"/>
  <c r="EO15" i="2"/>
  <c r="EO16" i="2"/>
  <c r="EO17" i="2"/>
  <c r="EO18" i="2"/>
  <c r="EO19" i="2"/>
  <c r="EO20" i="2"/>
  <c r="EO21" i="2"/>
  <c r="EO22" i="2"/>
  <c r="EO23" i="2"/>
  <c r="EO24" i="2"/>
  <c r="EO25" i="2"/>
  <c r="EO26" i="2"/>
  <c r="EO27" i="2"/>
  <c r="EO28" i="2"/>
  <c r="EO29" i="2"/>
  <c r="EO30" i="2"/>
  <c r="EO31" i="2"/>
  <c r="EO32" i="2"/>
  <c r="EO33" i="2"/>
  <c r="EO34" i="2"/>
  <c r="EO35" i="2"/>
  <c r="EO36" i="2"/>
  <c r="EO37" i="2"/>
  <c r="EO38" i="2"/>
  <c r="EO39" i="2"/>
  <c r="EO40" i="2"/>
  <c r="EO41" i="2"/>
  <c r="EO42" i="2"/>
  <c r="EO43" i="2"/>
  <c r="EO44" i="2"/>
  <c r="EO45" i="2"/>
  <c r="EO46" i="2"/>
  <c r="EO47" i="2"/>
  <c r="EO48" i="2"/>
  <c r="EO49" i="2"/>
  <c r="EO50" i="2"/>
  <c r="DY15" i="2"/>
  <c r="DY16" i="2"/>
  <c r="DY17" i="2"/>
  <c r="DY18" i="2"/>
  <c r="DY19" i="2"/>
  <c r="DY20" i="2"/>
  <c r="DY21" i="2"/>
  <c r="DY22" i="2"/>
  <c r="DY23" i="2"/>
  <c r="DY24" i="2"/>
  <c r="DY25" i="2"/>
  <c r="DY26" i="2"/>
  <c r="DY27" i="2"/>
  <c r="DY28" i="2"/>
  <c r="DY29" i="2"/>
  <c r="DY30" i="2"/>
  <c r="DY31" i="2"/>
  <c r="DY32" i="2"/>
  <c r="DY33" i="2"/>
  <c r="DY34" i="2"/>
  <c r="DY35" i="2"/>
  <c r="DY36" i="2"/>
  <c r="DY37" i="2"/>
  <c r="DY38" i="2"/>
  <c r="DY39" i="2"/>
  <c r="DY40" i="2"/>
  <c r="DY41" i="2"/>
  <c r="DY42" i="2"/>
  <c r="DY43" i="2"/>
  <c r="DY44" i="2"/>
  <c r="DY45" i="2"/>
  <c r="DY46" i="2"/>
  <c r="DY47" i="2"/>
  <c r="DY48" i="2"/>
  <c r="DY49" i="2"/>
  <c r="DY50" i="2"/>
  <c r="QH13" i="2" l="1"/>
  <c r="DI15" i="2"/>
  <c r="DI16" i="2"/>
  <c r="DI17" i="2"/>
  <c r="DI18" i="2"/>
  <c r="DI19" i="2"/>
  <c r="DI20" i="2"/>
  <c r="DI21" i="2"/>
  <c r="DI22" i="2"/>
  <c r="DI23" i="2"/>
  <c r="DI24" i="2"/>
  <c r="DI25" i="2"/>
  <c r="DI26" i="2"/>
  <c r="DI27" i="2"/>
  <c r="DI28" i="2"/>
  <c r="DI29" i="2"/>
  <c r="DI30" i="2"/>
  <c r="DI31" i="2"/>
  <c r="DI32" i="2"/>
  <c r="DI33" i="2"/>
  <c r="DI34" i="2"/>
  <c r="DI35" i="2"/>
  <c r="DI36" i="2"/>
  <c r="DI37" i="2"/>
  <c r="DI38" i="2"/>
  <c r="DI39" i="2"/>
  <c r="DI40" i="2"/>
  <c r="DI41" i="2"/>
  <c r="DI42" i="2"/>
  <c r="DI43" i="2"/>
  <c r="DI44" i="2"/>
  <c r="DI45" i="2"/>
  <c r="DI46" i="2"/>
  <c r="DI47" i="2"/>
  <c r="DI48" i="2"/>
  <c r="DI49" i="2"/>
  <c r="DI50" i="2"/>
  <c r="CS15" i="2"/>
  <c r="CS16" i="2"/>
  <c r="CS17" i="2"/>
  <c r="CS18" i="2"/>
  <c r="CS19" i="2"/>
  <c r="CS20" i="2"/>
  <c r="CS21" i="2"/>
  <c r="CS22" i="2"/>
  <c r="CS23" i="2"/>
  <c r="CS24" i="2"/>
  <c r="CS25" i="2"/>
  <c r="CS26" i="2"/>
  <c r="CS27" i="2"/>
  <c r="CS28" i="2"/>
  <c r="CS29" i="2"/>
  <c r="CS30" i="2"/>
  <c r="CS31" i="2"/>
  <c r="CS32" i="2"/>
  <c r="CS33" i="2"/>
  <c r="CS34" i="2"/>
  <c r="CS35" i="2"/>
  <c r="CS36" i="2"/>
  <c r="CS37" i="2"/>
  <c r="CS38" i="2"/>
  <c r="CS39" i="2"/>
  <c r="CS40" i="2"/>
  <c r="CS41" i="2"/>
  <c r="CS42" i="2"/>
  <c r="CS43" i="2"/>
  <c r="CS44" i="2"/>
  <c r="CS45" i="2"/>
  <c r="CS46" i="2"/>
  <c r="CS47" i="2"/>
  <c r="CS48" i="2"/>
  <c r="CS49" i="2"/>
  <c r="CS50" i="2"/>
  <c r="AW15" i="2"/>
  <c r="AW16" i="2"/>
  <c r="AW17" i="2"/>
  <c r="AW18" i="2"/>
  <c r="AW19" i="2"/>
  <c r="AW20" i="2"/>
  <c r="AW21" i="2"/>
  <c r="AW22" i="2"/>
  <c r="AW23" i="2"/>
  <c r="AW24" i="2"/>
  <c r="AW25" i="2"/>
  <c r="AW26" i="2"/>
  <c r="AW27" i="2"/>
  <c r="AW28" i="2"/>
  <c r="AW29" i="2"/>
  <c r="AW30" i="2"/>
  <c r="AW31" i="2"/>
  <c r="AW32" i="2"/>
  <c r="AW33" i="2"/>
  <c r="AW34" i="2"/>
  <c r="AW35" i="2"/>
  <c r="AW36" i="2"/>
  <c r="AW37" i="2"/>
  <c r="AW38" i="2"/>
  <c r="AW39" i="2"/>
  <c r="AW40" i="2"/>
  <c r="AW41" i="2"/>
  <c r="AW42" i="2"/>
  <c r="AW43" i="2"/>
  <c r="AW44" i="2"/>
  <c r="AW45" i="2"/>
  <c r="AW46" i="2"/>
  <c r="AW47" i="2"/>
  <c r="AW48" i="2"/>
  <c r="AW49" i="2"/>
  <c r="AW50" i="2"/>
  <c r="BM15" i="2"/>
  <c r="BM16" i="2"/>
  <c r="BM17" i="2"/>
  <c r="BM18" i="2"/>
  <c r="BM19" i="2"/>
  <c r="BM20" i="2"/>
  <c r="BM21" i="2"/>
  <c r="BM22" i="2"/>
  <c r="BM23" i="2"/>
  <c r="BM24" i="2"/>
  <c r="BM25" i="2"/>
  <c r="BM26" i="2"/>
  <c r="BM27" i="2"/>
  <c r="BM28" i="2"/>
  <c r="BM29" i="2"/>
  <c r="BM30" i="2"/>
  <c r="BM31" i="2"/>
  <c r="BM32" i="2"/>
  <c r="BM33" i="2"/>
  <c r="BM34" i="2"/>
  <c r="BM35" i="2"/>
  <c r="BM36" i="2"/>
  <c r="BM37" i="2"/>
  <c r="BM38" i="2"/>
  <c r="BM39" i="2"/>
  <c r="BM40" i="2"/>
  <c r="BM41" i="2"/>
  <c r="BM42" i="2"/>
  <c r="BM43" i="2"/>
  <c r="BM44" i="2"/>
  <c r="BM45" i="2"/>
  <c r="BM46" i="2"/>
  <c r="BM47" i="2"/>
  <c r="BM48" i="2"/>
  <c r="BM49" i="2"/>
  <c r="BM50" i="2"/>
  <c r="BN13" i="2" l="1"/>
  <c r="AG14" i="2"/>
  <c r="AH13" i="2" l="1"/>
  <c r="S13" i="2"/>
  <c r="T13" i="2"/>
  <c r="U13" i="2"/>
  <c r="V13" i="2"/>
  <c r="W13" i="2"/>
  <c r="X13" i="2"/>
  <c r="Y13" i="2"/>
  <c r="Z13" i="2"/>
  <c r="AA13" i="2"/>
  <c r="AB13" i="2"/>
  <c r="AC13" i="2"/>
  <c r="AD13" i="2"/>
  <c r="AE13" i="2"/>
  <c r="AF13" i="2"/>
  <c r="AI13" i="2"/>
  <c r="AJ13" i="2"/>
  <c r="AK13" i="2"/>
  <c r="AL13" i="2"/>
  <c r="AM13" i="2"/>
  <c r="AN13" i="2"/>
  <c r="AO13" i="2"/>
  <c r="AP13" i="2"/>
  <c r="AQ13" i="2"/>
  <c r="AR13" i="2"/>
  <c r="AS13" i="2"/>
  <c r="AT13" i="2"/>
  <c r="AU13" i="2"/>
  <c r="AV13" i="2"/>
  <c r="AY13" i="2"/>
  <c r="AZ13" i="2"/>
  <c r="BA13" i="2"/>
  <c r="BB13" i="2"/>
  <c r="BC13" i="2"/>
  <c r="BD13" i="2"/>
  <c r="BE13" i="2"/>
  <c r="BF13" i="2"/>
  <c r="BG13" i="2"/>
  <c r="BH13" i="2"/>
  <c r="BI13" i="2"/>
  <c r="BJ13" i="2"/>
  <c r="BK13" i="2"/>
  <c r="BL13" i="2"/>
  <c r="BO13" i="2"/>
  <c r="BP13" i="2"/>
  <c r="BQ13" i="2"/>
  <c r="BR13" i="2"/>
  <c r="BS13" i="2"/>
  <c r="BT13" i="2"/>
  <c r="BU13" i="2"/>
  <c r="BV13" i="2"/>
  <c r="BW13" i="2"/>
  <c r="BX13" i="2"/>
  <c r="BY13" i="2"/>
  <c r="BZ13" i="2"/>
  <c r="CA13" i="2"/>
  <c r="CB13" i="2"/>
  <c r="CE13" i="2"/>
  <c r="CF13" i="2"/>
  <c r="CG13" i="2"/>
  <c r="CH13" i="2"/>
  <c r="CI13" i="2"/>
  <c r="CJ13" i="2"/>
  <c r="CK13" i="2"/>
  <c r="CL13" i="2"/>
  <c r="CM13" i="2"/>
  <c r="CN13" i="2"/>
  <c r="CO13" i="2"/>
  <c r="CP13" i="2"/>
  <c r="CQ13" i="2"/>
  <c r="CR13" i="2"/>
  <c r="CU13" i="2"/>
  <c r="CV13" i="2"/>
  <c r="CW13" i="2"/>
  <c r="CX13" i="2"/>
  <c r="CY13" i="2"/>
  <c r="CZ13" i="2"/>
  <c r="DA13" i="2"/>
  <c r="DB13" i="2"/>
  <c r="DC13" i="2"/>
  <c r="DD13" i="2"/>
  <c r="DE13" i="2"/>
  <c r="DF13" i="2"/>
  <c r="DG13" i="2"/>
  <c r="DH13" i="2"/>
  <c r="DK13" i="2"/>
  <c r="DL13" i="2"/>
  <c r="DM13" i="2"/>
  <c r="DN13" i="2"/>
  <c r="DO13" i="2"/>
  <c r="DP13" i="2"/>
  <c r="DQ13" i="2"/>
  <c r="DR13" i="2"/>
  <c r="DS13" i="2"/>
  <c r="DT13" i="2"/>
  <c r="DU13" i="2"/>
  <c r="DV13" i="2"/>
  <c r="DW13" i="2"/>
  <c r="DX13" i="2"/>
  <c r="EA13" i="2"/>
  <c r="EB13" i="2"/>
  <c r="EC13" i="2"/>
  <c r="ED13" i="2"/>
  <c r="EE13" i="2"/>
  <c r="EF13" i="2"/>
  <c r="EG13" i="2"/>
  <c r="EH13" i="2"/>
  <c r="EI13" i="2"/>
  <c r="EJ13" i="2"/>
  <c r="EK13" i="2"/>
  <c r="EL13" i="2"/>
  <c r="EM13" i="2"/>
  <c r="EN13" i="2"/>
  <c r="EQ13" i="2"/>
  <c r="ER13" i="2"/>
  <c r="ES13" i="2"/>
  <c r="ET13" i="2"/>
  <c r="EU13" i="2"/>
  <c r="EV13" i="2"/>
  <c r="EW13" i="2"/>
  <c r="EX13" i="2"/>
  <c r="EY13" i="2"/>
  <c r="EZ13" i="2"/>
  <c r="FA13" i="2"/>
  <c r="FB13" i="2"/>
  <c r="FC13" i="2"/>
  <c r="FD13" i="2"/>
  <c r="FG13" i="2"/>
  <c r="FH13" i="2"/>
  <c r="FI13" i="2"/>
  <c r="FJ13" i="2"/>
  <c r="FK13" i="2"/>
  <c r="FL13" i="2"/>
  <c r="FM13" i="2"/>
  <c r="FN13" i="2"/>
  <c r="FO13" i="2"/>
  <c r="FP13" i="2"/>
  <c r="FQ13" i="2"/>
  <c r="FR13" i="2"/>
  <c r="FS13" i="2"/>
  <c r="FT13" i="2"/>
  <c r="FW13" i="2"/>
  <c r="FX13" i="2"/>
  <c r="FY13" i="2"/>
  <c r="FZ13" i="2"/>
  <c r="GA13" i="2"/>
  <c r="GB13" i="2"/>
  <c r="GC13" i="2"/>
  <c r="GD13" i="2"/>
  <c r="GE13" i="2"/>
  <c r="GF13" i="2"/>
  <c r="GG13" i="2"/>
  <c r="GH13" i="2"/>
  <c r="GI13" i="2"/>
  <c r="GJ13" i="2"/>
  <c r="GM13" i="2"/>
  <c r="GN13" i="2"/>
  <c r="GO13" i="2"/>
  <c r="GP13" i="2"/>
  <c r="GQ13" i="2"/>
  <c r="GR13" i="2"/>
  <c r="GS13" i="2"/>
  <c r="GT13" i="2"/>
  <c r="GU13" i="2"/>
  <c r="GV13" i="2"/>
  <c r="GW13" i="2"/>
  <c r="GX13" i="2"/>
  <c r="GY13" i="2"/>
  <c r="GZ13" i="2"/>
  <c r="HC13" i="2"/>
  <c r="HD13" i="2"/>
  <c r="HE13" i="2"/>
  <c r="HF13" i="2"/>
  <c r="HG13" i="2"/>
  <c r="HH13" i="2"/>
  <c r="HI13" i="2"/>
  <c r="HJ13" i="2"/>
  <c r="HK13" i="2"/>
  <c r="HL13" i="2"/>
  <c r="HM13" i="2"/>
  <c r="HN13" i="2"/>
  <c r="HO13" i="2"/>
  <c r="HP13" i="2"/>
  <c r="HS13" i="2"/>
  <c r="HT13" i="2"/>
  <c r="HU13" i="2"/>
  <c r="HV13" i="2"/>
  <c r="HW13" i="2"/>
  <c r="HX13" i="2"/>
  <c r="HY13" i="2"/>
  <c r="HZ13" i="2"/>
  <c r="IA13" i="2"/>
  <c r="IB13" i="2"/>
  <c r="IC13" i="2"/>
  <c r="ID13" i="2"/>
  <c r="IE13" i="2"/>
  <c r="IF13" i="2"/>
  <c r="II13" i="2"/>
  <c r="IJ13" i="2"/>
  <c r="IK13" i="2"/>
  <c r="IL13" i="2"/>
  <c r="IM13" i="2"/>
  <c r="IN13" i="2"/>
  <c r="IO13" i="2"/>
  <c r="IP13" i="2"/>
  <c r="IQ13" i="2"/>
  <c r="IR13" i="2"/>
  <c r="IS13" i="2"/>
  <c r="IT13" i="2"/>
  <c r="IU13" i="2"/>
  <c r="IV13" i="2"/>
  <c r="IY13" i="2"/>
  <c r="IZ13" i="2"/>
  <c r="JA13" i="2"/>
  <c r="JB13" i="2"/>
  <c r="JC13" i="2"/>
  <c r="JD13" i="2"/>
  <c r="JE13" i="2"/>
  <c r="JF13" i="2"/>
  <c r="JG13" i="2"/>
  <c r="JH13" i="2"/>
  <c r="JI13" i="2"/>
  <c r="JJ13" i="2"/>
  <c r="JK13" i="2"/>
  <c r="JL13" i="2"/>
  <c r="JO13" i="2"/>
  <c r="JP13" i="2"/>
  <c r="JQ13" i="2"/>
  <c r="JR13" i="2"/>
  <c r="JS13" i="2"/>
  <c r="JT13" i="2"/>
  <c r="JU13" i="2"/>
  <c r="JV13" i="2"/>
  <c r="JW13" i="2"/>
  <c r="JX13" i="2"/>
  <c r="JY13" i="2"/>
  <c r="JZ13" i="2"/>
  <c r="KA13" i="2"/>
  <c r="KB13" i="2"/>
  <c r="KE13" i="2"/>
  <c r="KF13" i="2"/>
  <c r="KG13" i="2"/>
  <c r="KH13" i="2"/>
  <c r="KI13" i="2"/>
  <c r="KJ13" i="2"/>
  <c r="KK13" i="2"/>
  <c r="KL13" i="2"/>
  <c r="KM13" i="2"/>
  <c r="KN13" i="2"/>
  <c r="KO13" i="2"/>
  <c r="KP13" i="2"/>
  <c r="KQ13" i="2"/>
  <c r="KR13" i="2"/>
  <c r="KU13" i="2"/>
  <c r="KV13" i="2"/>
  <c r="KW13" i="2"/>
  <c r="KX13" i="2"/>
  <c r="KY13" i="2"/>
  <c r="KZ13" i="2"/>
  <c r="LA13" i="2"/>
  <c r="LB13" i="2"/>
  <c r="LC13" i="2"/>
  <c r="LD13" i="2"/>
  <c r="LE13" i="2"/>
  <c r="LF13" i="2"/>
  <c r="LG13" i="2"/>
  <c r="LH13" i="2"/>
  <c r="LK13" i="2"/>
  <c r="LL13" i="2"/>
  <c r="LM13" i="2"/>
  <c r="LN13" i="2"/>
  <c r="LO13" i="2"/>
  <c r="LP13" i="2"/>
  <c r="LQ13" i="2"/>
  <c r="LR13" i="2"/>
  <c r="LS13" i="2"/>
  <c r="LT13" i="2"/>
  <c r="LU13" i="2"/>
  <c r="LV13" i="2"/>
  <c r="LW13" i="2"/>
  <c r="LX13" i="2"/>
  <c r="MA13" i="2"/>
  <c r="MB13" i="2"/>
  <c r="MC13" i="2"/>
  <c r="MD13" i="2"/>
  <c r="ME13" i="2"/>
  <c r="MF13" i="2"/>
  <c r="MG13" i="2"/>
  <c r="MH13" i="2"/>
  <c r="MI13" i="2"/>
  <c r="MJ13" i="2"/>
  <c r="MK13" i="2"/>
  <c r="ML13" i="2"/>
  <c r="MM13" i="2"/>
  <c r="MN13" i="2"/>
  <c r="MQ13" i="2"/>
  <c r="MR13" i="2"/>
  <c r="MS13" i="2"/>
  <c r="MT13" i="2"/>
  <c r="MU13" i="2"/>
  <c r="MV13" i="2"/>
  <c r="MW13" i="2"/>
  <c r="MX13" i="2"/>
  <c r="MY13" i="2"/>
  <c r="MZ13" i="2"/>
  <c r="NA13" i="2"/>
  <c r="NB13" i="2"/>
  <c r="NC13" i="2"/>
  <c r="ND13" i="2"/>
  <c r="NG13" i="2"/>
  <c r="NH13" i="2"/>
  <c r="NI13" i="2"/>
  <c r="NJ13" i="2"/>
  <c r="NK13" i="2"/>
  <c r="NL13" i="2"/>
  <c r="NM13" i="2"/>
  <c r="NN13" i="2"/>
  <c r="NO13" i="2"/>
  <c r="NP13" i="2"/>
  <c r="NQ13" i="2"/>
  <c r="NR13" i="2"/>
  <c r="NS13" i="2"/>
  <c r="NT13" i="2"/>
  <c r="NW13" i="2"/>
  <c r="NX13" i="2"/>
  <c r="NY13" i="2"/>
  <c r="NZ13" i="2"/>
  <c r="OA13" i="2"/>
  <c r="OB13" i="2"/>
  <c r="OC13" i="2"/>
  <c r="OD13" i="2"/>
  <c r="OE13" i="2"/>
  <c r="OF13" i="2"/>
  <c r="OG13" i="2"/>
  <c r="OH13" i="2"/>
  <c r="OI13" i="2"/>
  <c r="OJ13" i="2"/>
  <c r="OM13" i="2"/>
  <c r="ON13" i="2"/>
  <c r="OO13" i="2"/>
  <c r="OP13" i="2"/>
  <c r="OQ13" i="2"/>
  <c r="OR13" i="2"/>
  <c r="OS13" i="2"/>
  <c r="OT13" i="2"/>
  <c r="OU13" i="2"/>
  <c r="OV13" i="2"/>
  <c r="OW13" i="2"/>
  <c r="OX13" i="2"/>
  <c r="OY13" i="2"/>
  <c r="OZ13" i="2"/>
  <c r="PC13" i="2"/>
  <c r="PD13" i="2"/>
  <c r="PE13" i="2"/>
  <c r="PF13" i="2"/>
  <c r="PG13" i="2"/>
  <c r="PH13" i="2"/>
  <c r="PI13" i="2"/>
  <c r="PJ13" i="2"/>
  <c r="PK13" i="2"/>
  <c r="PL13" i="2"/>
  <c r="PM13" i="2"/>
  <c r="PN13" i="2"/>
  <c r="PO13" i="2"/>
  <c r="PP13" i="2"/>
  <c r="PS13" i="2"/>
  <c r="PT13" i="2"/>
  <c r="PU13" i="2"/>
  <c r="PV13" i="2"/>
  <c r="PW13" i="2"/>
  <c r="PX13" i="2"/>
  <c r="PY13" i="2"/>
  <c r="PZ13" i="2"/>
  <c r="QA13" i="2"/>
  <c r="QB13" i="2"/>
  <c r="QC13" i="2"/>
  <c r="QD13" i="2"/>
  <c r="QE13" i="2"/>
  <c r="QF13" i="2"/>
  <c r="QI13" i="2"/>
  <c r="QJ13" i="2"/>
  <c r="QK13" i="2"/>
  <c r="QL13" i="2"/>
  <c r="QM13" i="2"/>
  <c r="QN13" i="2"/>
  <c r="QO13" i="2"/>
  <c r="QP13" i="2"/>
  <c r="QQ13" i="2"/>
  <c r="QR13" i="2"/>
  <c r="QS13" i="2"/>
  <c r="QT13" i="2"/>
  <c r="QU13" i="2"/>
  <c r="QV13" i="2"/>
  <c r="QY13" i="2"/>
  <c r="QZ13" i="2"/>
  <c r="RA13" i="2"/>
  <c r="RB13" i="2"/>
  <c r="RC13" i="2"/>
  <c r="RD13" i="2"/>
  <c r="RE13" i="2"/>
  <c r="RF13" i="2"/>
  <c r="RG13" i="2"/>
  <c r="RH13" i="2"/>
  <c r="RI13" i="2"/>
  <c r="RJ13" i="2"/>
  <c r="RK13" i="2"/>
  <c r="RL13" i="2"/>
  <c r="RO13" i="2"/>
  <c r="RP13" i="2"/>
  <c r="RQ13" i="2"/>
  <c r="RR13" i="2"/>
  <c r="RS13" i="2"/>
  <c r="RT13" i="2"/>
  <c r="RU13" i="2"/>
  <c r="RV13" i="2"/>
  <c r="RW13" i="2"/>
  <c r="RX13" i="2"/>
  <c r="RY13" i="2"/>
  <c r="RZ13" i="2"/>
  <c r="SA13" i="2"/>
  <c r="SB13" i="2"/>
  <c r="SE13" i="2"/>
  <c r="SF13" i="2"/>
  <c r="SG13" i="2"/>
  <c r="SH13" i="2"/>
  <c r="SI13" i="2"/>
  <c r="SJ13" i="2"/>
  <c r="SK13" i="2"/>
  <c r="SL13" i="2"/>
  <c r="SM13" i="2"/>
  <c r="SN13" i="2"/>
  <c r="SO13" i="2"/>
  <c r="SP13" i="2"/>
  <c r="SQ13" i="2"/>
  <c r="SR13" i="2"/>
  <c r="SU13" i="2"/>
  <c r="SV13" i="2"/>
  <c r="SW13" i="2"/>
  <c r="SX13" i="2"/>
  <c r="SY13" i="2"/>
  <c r="SZ13" i="2"/>
  <c r="TA13" i="2"/>
  <c r="TB13" i="2"/>
  <c r="TC13" i="2"/>
  <c r="TD13" i="2"/>
  <c r="TE13" i="2"/>
  <c r="TF13" i="2"/>
  <c r="TG13" i="2"/>
  <c r="TH13" i="2"/>
  <c r="TK13" i="2"/>
  <c r="TL13" i="2"/>
  <c r="TM13" i="2"/>
  <c r="TN13" i="2"/>
  <c r="TO13" i="2"/>
  <c r="TP13" i="2"/>
  <c r="TQ13" i="2"/>
  <c r="TR13" i="2"/>
  <c r="TS13" i="2"/>
  <c r="TT13" i="2"/>
  <c r="TU13" i="2"/>
  <c r="TV13" i="2"/>
  <c r="TW13" i="2"/>
  <c r="TX13" i="2"/>
  <c r="UA13" i="2"/>
  <c r="UB13" i="2"/>
  <c r="UC13" i="2"/>
  <c r="UD13" i="2"/>
  <c r="UE13" i="2"/>
  <c r="UF13" i="2"/>
  <c r="UG13" i="2"/>
  <c r="UH13" i="2"/>
  <c r="UI13" i="2"/>
  <c r="UJ13" i="2"/>
  <c r="UK13" i="2"/>
  <c r="UL13" i="2"/>
  <c r="UM13" i="2"/>
  <c r="UN13" i="2"/>
  <c r="UQ13" i="2"/>
  <c r="UR13" i="2"/>
  <c r="US13" i="2"/>
  <c r="UT13" i="2"/>
  <c r="UU13" i="2"/>
  <c r="UV13" i="2"/>
  <c r="UW13" i="2"/>
  <c r="UX13" i="2"/>
  <c r="UY13" i="2"/>
  <c r="UZ13" i="2"/>
  <c r="VA13" i="2"/>
  <c r="VB13" i="2"/>
  <c r="VC13" i="2"/>
  <c r="VD13" i="2"/>
  <c r="VG13" i="2"/>
  <c r="VH13" i="2"/>
  <c r="VI13" i="2"/>
  <c r="VJ13" i="2"/>
  <c r="VK13" i="2"/>
  <c r="VL13" i="2"/>
  <c r="VM13" i="2"/>
  <c r="VN13" i="2"/>
  <c r="VO13" i="2"/>
  <c r="VP13" i="2"/>
  <c r="VQ13" i="2"/>
  <c r="VR13" i="2"/>
  <c r="VS13" i="2"/>
  <c r="VT13" i="2"/>
  <c r="VW13" i="2"/>
  <c r="VX13" i="2"/>
  <c r="VY13" i="2"/>
  <c r="VZ13" i="2"/>
  <c r="WA13" i="2"/>
  <c r="WB13" i="2"/>
  <c r="WC13" i="2"/>
  <c r="WD13" i="2"/>
  <c r="WE13" i="2"/>
  <c r="WF13" i="2"/>
  <c r="WG13" i="2"/>
  <c r="WH13" i="2"/>
  <c r="WI13" i="2"/>
  <c r="WJ13" i="2"/>
  <c r="UO14" i="2"/>
  <c r="S51" i="2"/>
  <c r="T51" i="2"/>
  <c r="U51" i="2"/>
  <c r="V51" i="2"/>
  <c r="W51" i="2"/>
  <c r="X51" i="2"/>
  <c r="Y51" i="2"/>
  <c r="Z51" i="2"/>
  <c r="AA51" i="2"/>
  <c r="AB51" i="2"/>
  <c r="AC51" i="2"/>
  <c r="AD51" i="2"/>
  <c r="AE51" i="2"/>
  <c r="AF51" i="2"/>
  <c r="AI51" i="2"/>
  <c r="AJ51" i="2"/>
  <c r="AK51" i="2"/>
  <c r="AL51" i="2"/>
  <c r="AM51" i="2"/>
  <c r="AN51" i="2"/>
  <c r="AO51" i="2"/>
  <c r="AP51" i="2"/>
  <c r="AQ51" i="2"/>
  <c r="AR51" i="2"/>
  <c r="AS51" i="2"/>
  <c r="AT51" i="2"/>
  <c r="AU51" i="2"/>
  <c r="AV51" i="2"/>
  <c r="AY51" i="2"/>
  <c r="AZ51" i="2"/>
  <c r="BA51" i="2"/>
  <c r="BB51" i="2"/>
  <c r="BC51" i="2"/>
  <c r="BD51" i="2"/>
  <c r="BE51" i="2"/>
  <c r="BF51" i="2"/>
  <c r="BG51" i="2"/>
  <c r="BH51" i="2"/>
  <c r="BI51" i="2"/>
  <c r="BJ51" i="2"/>
  <c r="BK51" i="2"/>
  <c r="BL51" i="2"/>
  <c r="BO51" i="2"/>
  <c r="BP51" i="2"/>
  <c r="BQ51" i="2"/>
  <c r="BR51" i="2"/>
  <c r="BS51" i="2"/>
  <c r="BT51" i="2"/>
  <c r="BU51" i="2"/>
  <c r="BV51" i="2"/>
  <c r="BW51" i="2"/>
  <c r="BX51" i="2"/>
  <c r="BY51" i="2"/>
  <c r="BZ51" i="2"/>
  <c r="CA51" i="2"/>
  <c r="CB51" i="2"/>
  <c r="CE51" i="2"/>
  <c r="CF51" i="2"/>
  <c r="CG51" i="2"/>
  <c r="CH51" i="2"/>
  <c r="CI51" i="2"/>
  <c r="CJ51" i="2"/>
  <c r="CK51" i="2"/>
  <c r="CL51" i="2"/>
  <c r="CM51" i="2"/>
  <c r="CN51" i="2"/>
  <c r="CO51" i="2"/>
  <c r="CP51" i="2"/>
  <c r="CQ51" i="2"/>
  <c r="CR51" i="2"/>
  <c r="CW51" i="2"/>
  <c r="CX51" i="2"/>
  <c r="CY51" i="2"/>
  <c r="CZ51" i="2"/>
  <c r="DA51" i="2"/>
  <c r="DB51" i="2"/>
  <c r="DC51" i="2"/>
  <c r="DD51" i="2"/>
  <c r="DE51" i="2"/>
  <c r="DF51" i="2"/>
  <c r="DG51" i="2"/>
  <c r="DH51" i="2"/>
  <c r="DK51" i="2"/>
  <c r="DL51" i="2"/>
  <c r="DM51" i="2"/>
  <c r="DN51" i="2"/>
  <c r="DO51" i="2"/>
  <c r="DP51" i="2"/>
  <c r="DQ51" i="2"/>
  <c r="DR51" i="2"/>
  <c r="DS51" i="2"/>
  <c r="DT51" i="2"/>
  <c r="DU51" i="2"/>
  <c r="DV51" i="2"/>
  <c r="DW51" i="2"/>
  <c r="DX51" i="2"/>
  <c r="EA51" i="2"/>
  <c r="EB51" i="2"/>
  <c r="EC51" i="2"/>
  <c r="ED51" i="2"/>
  <c r="EE51" i="2"/>
  <c r="EF51" i="2"/>
  <c r="EG51" i="2"/>
  <c r="EH51" i="2"/>
  <c r="EI51" i="2"/>
  <c r="EJ51" i="2"/>
  <c r="EK51" i="2"/>
  <c r="EL51" i="2"/>
  <c r="EM51" i="2"/>
  <c r="EN51" i="2"/>
  <c r="EQ51" i="2"/>
  <c r="ER51" i="2"/>
  <c r="ES51" i="2"/>
  <c r="ET51" i="2"/>
  <c r="EU51" i="2"/>
  <c r="EV51" i="2"/>
  <c r="EW51" i="2"/>
  <c r="EX51" i="2"/>
  <c r="EY51" i="2"/>
  <c r="EZ51" i="2"/>
  <c r="FA51" i="2"/>
  <c r="FB51" i="2"/>
  <c r="FC51" i="2"/>
  <c r="FD51" i="2"/>
  <c r="FG51" i="2"/>
  <c r="FH51" i="2"/>
  <c r="FI51" i="2"/>
  <c r="FJ51" i="2"/>
  <c r="FK51" i="2"/>
  <c r="FL51" i="2"/>
  <c r="FM51" i="2"/>
  <c r="FN51" i="2"/>
  <c r="FO51" i="2"/>
  <c r="FP51" i="2"/>
  <c r="FQ51" i="2"/>
  <c r="FR51" i="2"/>
  <c r="FS51" i="2"/>
  <c r="FT51" i="2"/>
  <c r="FW51" i="2"/>
  <c r="FX51" i="2"/>
  <c r="FY51" i="2"/>
  <c r="FZ51" i="2"/>
  <c r="GA51" i="2"/>
  <c r="GB51" i="2"/>
  <c r="GC51" i="2"/>
  <c r="GD51" i="2"/>
  <c r="GE51" i="2"/>
  <c r="GF51" i="2"/>
  <c r="GG51" i="2"/>
  <c r="GH51" i="2"/>
  <c r="GI51" i="2"/>
  <c r="GJ51" i="2"/>
  <c r="GM51" i="2"/>
  <c r="GN51" i="2"/>
  <c r="GO51" i="2"/>
  <c r="GP51" i="2"/>
  <c r="GQ51" i="2"/>
  <c r="GR51" i="2"/>
  <c r="GS51" i="2"/>
  <c r="GT51" i="2"/>
  <c r="GU51" i="2"/>
  <c r="GV51" i="2"/>
  <c r="GW51" i="2"/>
  <c r="GX51" i="2"/>
  <c r="GY51" i="2"/>
  <c r="GZ51" i="2"/>
  <c r="HC51" i="2"/>
  <c r="HD51" i="2"/>
  <c r="HE51" i="2"/>
  <c r="HF51" i="2"/>
  <c r="HG51" i="2"/>
  <c r="HH51" i="2"/>
  <c r="HI51" i="2"/>
  <c r="HJ51" i="2"/>
  <c r="HK51" i="2"/>
  <c r="HL51" i="2"/>
  <c r="HM51" i="2"/>
  <c r="HN51" i="2"/>
  <c r="HO51" i="2"/>
  <c r="HP51" i="2"/>
  <c r="HS51" i="2"/>
  <c r="HT51" i="2"/>
  <c r="HU51" i="2"/>
  <c r="HV51" i="2"/>
  <c r="HW51" i="2"/>
  <c r="HX51" i="2"/>
  <c r="HY51" i="2"/>
  <c r="HZ51" i="2"/>
  <c r="IA51" i="2"/>
  <c r="IB51" i="2"/>
  <c r="IC51" i="2"/>
  <c r="ID51" i="2"/>
  <c r="IE51" i="2"/>
  <c r="IF51" i="2"/>
  <c r="II51" i="2"/>
  <c r="IJ51" i="2"/>
  <c r="IK51" i="2"/>
  <c r="IL51" i="2"/>
  <c r="IM51" i="2"/>
  <c r="IN51" i="2"/>
  <c r="IO51" i="2"/>
  <c r="IP51" i="2"/>
  <c r="IQ51" i="2"/>
  <c r="IR51" i="2"/>
  <c r="IS51" i="2"/>
  <c r="IT51" i="2"/>
  <c r="IU51" i="2"/>
  <c r="IV51" i="2"/>
  <c r="IY51" i="2"/>
  <c r="IZ51" i="2"/>
  <c r="JA51" i="2"/>
  <c r="JB51" i="2"/>
  <c r="JC51" i="2"/>
  <c r="JD51" i="2"/>
  <c r="JE51" i="2"/>
  <c r="JF51" i="2"/>
  <c r="JG51" i="2"/>
  <c r="JH51" i="2"/>
  <c r="JI51" i="2"/>
  <c r="JJ51" i="2"/>
  <c r="JK51" i="2"/>
  <c r="JL51" i="2"/>
  <c r="JO51" i="2"/>
  <c r="JP51" i="2"/>
  <c r="JQ51" i="2"/>
  <c r="JR51" i="2"/>
  <c r="JS51" i="2"/>
  <c r="JT51" i="2"/>
  <c r="JU51" i="2"/>
  <c r="JV51" i="2"/>
  <c r="JW51" i="2"/>
  <c r="JX51" i="2"/>
  <c r="JY51" i="2"/>
  <c r="JZ51" i="2"/>
  <c r="KA51" i="2"/>
  <c r="KB51" i="2"/>
  <c r="KE51" i="2"/>
  <c r="KF51" i="2"/>
  <c r="KG51" i="2"/>
  <c r="KH51" i="2"/>
  <c r="KI51" i="2"/>
  <c r="KJ51" i="2"/>
  <c r="KK51" i="2"/>
  <c r="KL51" i="2"/>
  <c r="KM51" i="2"/>
  <c r="KN51" i="2"/>
  <c r="KO51" i="2"/>
  <c r="KP51" i="2"/>
  <c r="KQ51" i="2"/>
  <c r="KR51" i="2"/>
  <c r="KU51" i="2"/>
  <c r="KV51" i="2"/>
  <c r="KW51" i="2"/>
  <c r="KX51" i="2"/>
  <c r="KY51" i="2"/>
  <c r="KZ51" i="2"/>
  <c r="LA51" i="2"/>
  <c r="LB51" i="2"/>
  <c r="LC51" i="2"/>
  <c r="LD51" i="2"/>
  <c r="LE51" i="2"/>
  <c r="LF51" i="2"/>
  <c r="LG51" i="2"/>
  <c r="LH51" i="2"/>
  <c r="LK51" i="2"/>
  <c r="LL51" i="2"/>
  <c r="LM51" i="2"/>
  <c r="LN51" i="2"/>
  <c r="LO51" i="2"/>
  <c r="LP51" i="2"/>
  <c r="LQ51" i="2"/>
  <c r="LR51" i="2"/>
  <c r="LS51" i="2"/>
  <c r="LT51" i="2"/>
  <c r="LU51" i="2"/>
  <c r="LV51" i="2"/>
  <c r="LW51" i="2"/>
  <c r="LX51" i="2"/>
  <c r="MA51" i="2"/>
  <c r="MB51" i="2"/>
  <c r="MC51" i="2"/>
  <c r="MD51" i="2"/>
  <c r="ME51" i="2"/>
  <c r="MF51" i="2"/>
  <c r="MG51" i="2"/>
  <c r="MH51" i="2"/>
  <c r="MI51" i="2"/>
  <c r="MJ51" i="2"/>
  <c r="MK51" i="2"/>
  <c r="ML51" i="2"/>
  <c r="MM51" i="2"/>
  <c r="MN51" i="2"/>
  <c r="MQ51" i="2"/>
  <c r="MR51" i="2"/>
  <c r="MS51" i="2"/>
  <c r="MT51" i="2"/>
  <c r="MU51" i="2"/>
  <c r="MV51" i="2"/>
  <c r="MW51" i="2"/>
  <c r="MX51" i="2"/>
  <c r="MY51" i="2"/>
  <c r="MZ51" i="2"/>
  <c r="NA51" i="2"/>
  <c r="NB51" i="2"/>
  <c r="NC51" i="2"/>
  <c r="ND51" i="2"/>
  <c r="NG51" i="2"/>
  <c r="NH51" i="2"/>
  <c r="NI51" i="2"/>
  <c r="NJ51" i="2"/>
  <c r="NK51" i="2"/>
  <c r="NL51" i="2"/>
  <c r="NM51" i="2"/>
  <c r="NN51" i="2"/>
  <c r="NO51" i="2"/>
  <c r="NP51" i="2"/>
  <c r="NQ51" i="2"/>
  <c r="NR51" i="2"/>
  <c r="NS51" i="2"/>
  <c r="NT51" i="2"/>
  <c r="NW51" i="2"/>
  <c r="NX51" i="2"/>
  <c r="NY51" i="2"/>
  <c r="NZ51" i="2"/>
  <c r="OA51" i="2"/>
  <c r="OB51" i="2"/>
  <c r="OC51" i="2"/>
  <c r="OD51" i="2"/>
  <c r="OE51" i="2"/>
  <c r="OF51" i="2"/>
  <c r="OG51" i="2"/>
  <c r="OH51" i="2"/>
  <c r="OI51" i="2"/>
  <c r="OJ51" i="2"/>
  <c r="OM51" i="2"/>
  <c r="ON51" i="2"/>
  <c r="OO51" i="2"/>
  <c r="OP51" i="2"/>
  <c r="OQ51" i="2"/>
  <c r="OR51" i="2"/>
  <c r="OS51" i="2"/>
  <c r="OT51" i="2"/>
  <c r="OU51" i="2"/>
  <c r="OV51" i="2"/>
  <c r="OW51" i="2"/>
  <c r="OX51" i="2"/>
  <c r="OY51" i="2"/>
  <c r="OZ51" i="2"/>
  <c r="PC51" i="2"/>
  <c r="PD51" i="2"/>
  <c r="PE51" i="2"/>
  <c r="PF51" i="2"/>
  <c r="PG51" i="2"/>
  <c r="PH51" i="2"/>
  <c r="PI51" i="2"/>
  <c r="PJ51" i="2"/>
  <c r="PK51" i="2"/>
  <c r="PL51" i="2"/>
  <c r="PM51" i="2"/>
  <c r="PN51" i="2"/>
  <c r="PO51" i="2"/>
  <c r="PP51" i="2"/>
  <c r="PS51" i="2"/>
  <c r="PT51" i="2"/>
  <c r="PU51" i="2"/>
  <c r="PV51" i="2"/>
  <c r="PW51" i="2"/>
  <c r="PX51" i="2"/>
  <c r="PY51" i="2"/>
  <c r="PZ51" i="2"/>
  <c r="QA51" i="2"/>
  <c r="QB51" i="2"/>
  <c r="QC51" i="2"/>
  <c r="QD51" i="2"/>
  <c r="QE51" i="2"/>
  <c r="QF51" i="2"/>
  <c r="QI51" i="2"/>
  <c r="QJ51" i="2"/>
  <c r="QK51" i="2"/>
  <c r="QL51" i="2"/>
  <c r="QM51" i="2"/>
  <c r="QN51" i="2"/>
  <c r="QO51" i="2"/>
  <c r="QP51" i="2"/>
  <c r="QQ51" i="2"/>
  <c r="QR51" i="2"/>
  <c r="QS51" i="2"/>
  <c r="QT51" i="2"/>
  <c r="QU51" i="2"/>
  <c r="QV51" i="2"/>
  <c r="QY51" i="2"/>
  <c r="QZ51" i="2"/>
  <c r="RA51" i="2"/>
  <c r="RB51" i="2"/>
  <c r="RC51" i="2"/>
  <c r="RD51" i="2"/>
  <c r="RE51" i="2"/>
  <c r="RF51" i="2"/>
  <c r="RG51" i="2"/>
  <c r="RH51" i="2"/>
  <c r="RI51" i="2"/>
  <c r="RJ51" i="2"/>
  <c r="RK51" i="2"/>
  <c r="RL51" i="2"/>
  <c r="RO51" i="2"/>
  <c r="RP51" i="2"/>
  <c r="RQ51" i="2"/>
  <c r="RR51" i="2"/>
  <c r="RS51" i="2"/>
  <c r="RT51" i="2"/>
  <c r="RU51" i="2"/>
  <c r="RV51" i="2"/>
  <c r="RW51" i="2"/>
  <c r="RX51" i="2"/>
  <c r="RY51" i="2"/>
  <c r="RZ51" i="2"/>
  <c r="SA51" i="2"/>
  <c r="SB51" i="2"/>
  <c r="SE51" i="2"/>
  <c r="SF51" i="2"/>
  <c r="SG51" i="2"/>
  <c r="SH51" i="2"/>
  <c r="SI51" i="2"/>
  <c r="SJ51" i="2"/>
  <c r="SK51" i="2"/>
  <c r="SL51" i="2"/>
  <c r="SM51" i="2"/>
  <c r="SN51" i="2"/>
  <c r="SO51" i="2"/>
  <c r="SP51" i="2"/>
  <c r="SQ51" i="2"/>
  <c r="SR51" i="2"/>
  <c r="SU51" i="2"/>
  <c r="SV51" i="2"/>
  <c r="SW51" i="2"/>
  <c r="SX51" i="2"/>
  <c r="SY51" i="2"/>
  <c r="SZ51" i="2"/>
  <c r="TA51" i="2"/>
  <c r="TB51" i="2"/>
  <c r="TC51" i="2"/>
  <c r="TD51" i="2"/>
  <c r="TE51" i="2"/>
  <c r="TF51" i="2"/>
  <c r="TG51" i="2"/>
  <c r="TH51" i="2"/>
  <c r="TK51" i="2"/>
  <c r="TL51" i="2"/>
  <c r="TM51" i="2"/>
  <c r="TN51" i="2"/>
  <c r="TO51" i="2"/>
  <c r="TP51" i="2"/>
  <c r="TQ51" i="2"/>
  <c r="TR51" i="2"/>
  <c r="TS51" i="2"/>
  <c r="TT51" i="2"/>
  <c r="TU51" i="2"/>
  <c r="TV51" i="2"/>
  <c r="TW51" i="2"/>
  <c r="TX51" i="2"/>
  <c r="UA51" i="2"/>
  <c r="UB51" i="2"/>
  <c r="UC51" i="2"/>
  <c r="UD51" i="2"/>
  <c r="UE51" i="2"/>
  <c r="UF51" i="2"/>
  <c r="UG51" i="2"/>
  <c r="UH51" i="2"/>
  <c r="UI51" i="2"/>
  <c r="UJ51" i="2"/>
  <c r="UK51" i="2"/>
  <c r="UL51" i="2"/>
  <c r="UM51" i="2"/>
  <c r="UN51" i="2"/>
  <c r="UQ51" i="2"/>
  <c r="UR51" i="2"/>
  <c r="US51" i="2"/>
  <c r="UT51" i="2"/>
  <c r="UU51" i="2"/>
  <c r="UV51" i="2"/>
  <c r="UW51" i="2"/>
  <c r="UX51" i="2"/>
  <c r="UY51" i="2"/>
  <c r="UZ51" i="2"/>
  <c r="VA51" i="2"/>
  <c r="VB51" i="2"/>
  <c r="VC51" i="2"/>
  <c r="VD51" i="2"/>
  <c r="VG51" i="2"/>
  <c r="VH51" i="2"/>
  <c r="VS51" i="2"/>
  <c r="VT51" i="2"/>
  <c r="VW51" i="2"/>
  <c r="VX51" i="2"/>
  <c r="VY51" i="2"/>
  <c r="VZ51" i="2"/>
  <c r="WA51" i="2"/>
  <c r="WB51" i="2"/>
  <c r="WC51" i="2"/>
  <c r="WD51" i="2"/>
  <c r="WE51" i="2"/>
  <c r="WF51" i="2"/>
  <c r="WG51" i="2"/>
  <c r="WH51" i="2"/>
  <c r="WI51" i="2"/>
  <c r="WJ51" i="2"/>
  <c r="S89" i="2"/>
  <c r="T89" i="2"/>
  <c r="U89" i="2"/>
  <c r="V89" i="2"/>
  <c r="W89" i="2"/>
  <c r="X89" i="2"/>
  <c r="Y89" i="2"/>
  <c r="Z89" i="2"/>
  <c r="AA89" i="2"/>
  <c r="AB89" i="2"/>
  <c r="AC89" i="2"/>
  <c r="AD89" i="2"/>
  <c r="AE89" i="2"/>
  <c r="AF89" i="2"/>
  <c r="AI89" i="2"/>
  <c r="AJ89" i="2"/>
  <c r="AK89" i="2"/>
  <c r="AL89" i="2"/>
  <c r="AM89" i="2"/>
  <c r="AN89" i="2"/>
  <c r="AO89" i="2"/>
  <c r="AP89" i="2"/>
  <c r="AQ89" i="2"/>
  <c r="AR89" i="2"/>
  <c r="AS89" i="2"/>
  <c r="AT89" i="2"/>
  <c r="AU89" i="2"/>
  <c r="AV89" i="2"/>
  <c r="AY89" i="2"/>
  <c r="AZ89" i="2"/>
  <c r="BA89" i="2"/>
  <c r="BB89" i="2"/>
  <c r="BC89" i="2"/>
  <c r="BD89" i="2"/>
  <c r="BE89" i="2"/>
  <c r="BF89" i="2"/>
  <c r="BG89" i="2"/>
  <c r="BH89" i="2"/>
  <c r="BI89" i="2"/>
  <c r="BJ89" i="2"/>
  <c r="BK89" i="2"/>
  <c r="BL89" i="2"/>
  <c r="BO89" i="2"/>
  <c r="BP89" i="2"/>
  <c r="BQ89" i="2"/>
  <c r="BR89" i="2"/>
  <c r="BS89" i="2"/>
  <c r="BT89" i="2"/>
  <c r="BU89" i="2"/>
  <c r="BV89" i="2"/>
  <c r="BW89" i="2"/>
  <c r="BX89" i="2"/>
  <c r="BY89" i="2"/>
  <c r="BZ89" i="2"/>
  <c r="CA89" i="2"/>
  <c r="CB89" i="2"/>
  <c r="CE89" i="2"/>
  <c r="CF89" i="2"/>
  <c r="CG89" i="2"/>
  <c r="CH89" i="2"/>
  <c r="CI89" i="2"/>
  <c r="CJ89" i="2"/>
  <c r="CK89" i="2"/>
  <c r="CL89" i="2"/>
  <c r="CM89" i="2"/>
  <c r="CN89" i="2"/>
  <c r="CO89" i="2"/>
  <c r="CP89" i="2"/>
  <c r="CQ89" i="2"/>
  <c r="CR89" i="2"/>
  <c r="CU89" i="2"/>
  <c r="CV89" i="2"/>
  <c r="CW89" i="2"/>
  <c r="CX89" i="2"/>
  <c r="CY89" i="2"/>
  <c r="CZ89" i="2"/>
  <c r="DA89" i="2"/>
  <c r="DB89" i="2"/>
  <c r="DC89" i="2"/>
  <c r="DD89" i="2"/>
  <c r="DE89" i="2"/>
  <c r="DF89" i="2"/>
  <c r="DG89" i="2"/>
  <c r="DH89" i="2"/>
  <c r="DK89" i="2"/>
  <c r="DL89" i="2"/>
  <c r="DM89" i="2"/>
  <c r="DN89" i="2"/>
  <c r="DO89" i="2"/>
  <c r="DP89" i="2"/>
  <c r="DQ89" i="2"/>
  <c r="DR89" i="2"/>
  <c r="DS89" i="2"/>
  <c r="DT89" i="2"/>
  <c r="DU89" i="2"/>
  <c r="DV89" i="2"/>
  <c r="DW89" i="2"/>
  <c r="DX89" i="2"/>
  <c r="EA89" i="2"/>
  <c r="EB89" i="2"/>
  <c r="EC89" i="2"/>
  <c r="ED89" i="2"/>
  <c r="EE89" i="2"/>
  <c r="EF89" i="2"/>
  <c r="EG89" i="2"/>
  <c r="EH89" i="2"/>
  <c r="EI89" i="2"/>
  <c r="EJ89" i="2"/>
  <c r="EK89" i="2"/>
  <c r="EL89" i="2"/>
  <c r="EM89" i="2"/>
  <c r="EN89" i="2"/>
  <c r="EQ89" i="2"/>
  <c r="ER89" i="2"/>
  <c r="ES89" i="2"/>
  <c r="ET89" i="2"/>
  <c r="EU89" i="2"/>
  <c r="EV89" i="2"/>
  <c r="EW89" i="2"/>
  <c r="EX89" i="2"/>
  <c r="EY89" i="2"/>
  <c r="EZ89" i="2"/>
  <c r="FA89" i="2"/>
  <c r="FB89" i="2"/>
  <c r="FC89" i="2"/>
  <c r="FD89" i="2"/>
  <c r="FG89" i="2"/>
  <c r="FH89" i="2"/>
  <c r="FI89" i="2"/>
  <c r="FJ89" i="2"/>
  <c r="FK89" i="2"/>
  <c r="FL89" i="2"/>
  <c r="FM89" i="2"/>
  <c r="FN89" i="2"/>
  <c r="FO89" i="2"/>
  <c r="FP89" i="2"/>
  <c r="FQ89" i="2"/>
  <c r="FR89" i="2"/>
  <c r="FS89" i="2"/>
  <c r="FT89" i="2"/>
  <c r="FW89" i="2"/>
  <c r="FX89" i="2"/>
  <c r="FY89" i="2"/>
  <c r="FZ89" i="2"/>
  <c r="GA89" i="2"/>
  <c r="GB89" i="2"/>
  <c r="GC89" i="2"/>
  <c r="GD89" i="2"/>
  <c r="GE89" i="2"/>
  <c r="GF89" i="2"/>
  <c r="GG89" i="2"/>
  <c r="GH89" i="2"/>
  <c r="GI89" i="2"/>
  <c r="GJ89" i="2"/>
  <c r="GM89" i="2"/>
  <c r="GN89" i="2"/>
  <c r="GO89" i="2"/>
  <c r="GP89" i="2"/>
  <c r="GQ89" i="2"/>
  <c r="GR89" i="2"/>
  <c r="GS89" i="2"/>
  <c r="GT89" i="2"/>
  <c r="GU89" i="2"/>
  <c r="GV89" i="2"/>
  <c r="GW89" i="2"/>
  <c r="GX89" i="2"/>
  <c r="GY89" i="2"/>
  <c r="GZ89" i="2"/>
  <c r="HC89" i="2"/>
  <c r="HD89" i="2"/>
  <c r="HE89" i="2"/>
  <c r="HF89" i="2"/>
  <c r="HG89" i="2"/>
  <c r="HH89" i="2"/>
  <c r="HI89" i="2"/>
  <c r="HJ89" i="2"/>
  <c r="HK89" i="2"/>
  <c r="HL89" i="2"/>
  <c r="HM89" i="2"/>
  <c r="HN89" i="2"/>
  <c r="HO89" i="2"/>
  <c r="HP89" i="2"/>
  <c r="HS89" i="2"/>
  <c r="HT89" i="2"/>
  <c r="HU89" i="2"/>
  <c r="HV89" i="2"/>
  <c r="HW89" i="2"/>
  <c r="HX89" i="2"/>
  <c r="HY89" i="2"/>
  <c r="HZ89" i="2"/>
  <c r="IA89" i="2"/>
  <c r="IB89" i="2"/>
  <c r="IC89" i="2"/>
  <c r="ID89" i="2"/>
  <c r="IE89" i="2"/>
  <c r="IF89" i="2"/>
  <c r="II89" i="2"/>
  <c r="IJ89" i="2"/>
  <c r="IK89" i="2"/>
  <c r="IL89" i="2"/>
  <c r="IM89" i="2"/>
  <c r="IN89" i="2"/>
  <c r="IO89" i="2"/>
  <c r="IP89" i="2"/>
  <c r="IQ89" i="2"/>
  <c r="IR89" i="2"/>
  <c r="IS89" i="2"/>
  <c r="IT89" i="2"/>
  <c r="IU89" i="2"/>
  <c r="IV89" i="2"/>
  <c r="IY89" i="2"/>
  <c r="IZ89" i="2"/>
  <c r="JA89" i="2"/>
  <c r="JB89" i="2"/>
  <c r="JC89" i="2"/>
  <c r="JD89" i="2"/>
  <c r="JE89" i="2"/>
  <c r="JF89" i="2"/>
  <c r="JG89" i="2"/>
  <c r="JH89" i="2"/>
  <c r="JI89" i="2"/>
  <c r="JJ89" i="2"/>
  <c r="JK89" i="2"/>
  <c r="JL89" i="2"/>
  <c r="JO89" i="2"/>
  <c r="JP89" i="2"/>
  <c r="JQ89" i="2"/>
  <c r="JR89" i="2"/>
  <c r="JS89" i="2"/>
  <c r="JT89" i="2"/>
  <c r="JU89" i="2"/>
  <c r="JV89" i="2"/>
  <c r="JW89" i="2"/>
  <c r="JX89" i="2"/>
  <c r="JY89" i="2"/>
  <c r="JZ89" i="2"/>
  <c r="KA89" i="2"/>
  <c r="KB89" i="2"/>
  <c r="KE89" i="2"/>
  <c r="KF89" i="2"/>
  <c r="KG89" i="2"/>
  <c r="KH89" i="2"/>
  <c r="KI89" i="2"/>
  <c r="KJ89" i="2"/>
  <c r="KK89" i="2"/>
  <c r="KL89" i="2"/>
  <c r="KM89" i="2"/>
  <c r="KN89" i="2"/>
  <c r="KO89" i="2"/>
  <c r="KP89" i="2"/>
  <c r="KQ89" i="2"/>
  <c r="KR89" i="2"/>
  <c r="KU89" i="2"/>
  <c r="KV89" i="2"/>
  <c r="KW89" i="2"/>
  <c r="KX89" i="2"/>
  <c r="KY89" i="2"/>
  <c r="KZ89" i="2"/>
  <c r="LA89" i="2"/>
  <c r="LB89" i="2"/>
  <c r="LC89" i="2"/>
  <c r="LD89" i="2"/>
  <c r="LE89" i="2"/>
  <c r="LF89" i="2"/>
  <c r="LG89" i="2"/>
  <c r="LH89" i="2"/>
  <c r="LK89" i="2"/>
  <c r="LL89" i="2"/>
  <c r="LM89" i="2"/>
  <c r="LN89" i="2"/>
  <c r="LO89" i="2"/>
  <c r="LP89" i="2"/>
  <c r="LQ89" i="2"/>
  <c r="LR89" i="2"/>
  <c r="LS89" i="2"/>
  <c r="LT89" i="2"/>
  <c r="LU89" i="2"/>
  <c r="LV89" i="2"/>
  <c r="LW89" i="2"/>
  <c r="LX89" i="2"/>
  <c r="MA89" i="2"/>
  <c r="MB89" i="2"/>
  <c r="MC89" i="2"/>
  <c r="MD89" i="2"/>
  <c r="ME89" i="2"/>
  <c r="MF89" i="2"/>
  <c r="MG89" i="2"/>
  <c r="MH89" i="2"/>
  <c r="MI89" i="2"/>
  <c r="MJ89" i="2"/>
  <c r="MK89" i="2"/>
  <c r="ML89" i="2"/>
  <c r="MM89" i="2"/>
  <c r="MN89" i="2"/>
  <c r="MQ89" i="2"/>
  <c r="MR89" i="2"/>
  <c r="MS89" i="2"/>
  <c r="MT89" i="2"/>
  <c r="MU89" i="2"/>
  <c r="MV89" i="2"/>
  <c r="MW89" i="2"/>
  <c r="MX89" i="2"/>
  <c r="MY89" i="2"/>
  <c r="MZ89" i="2"/>
  <c r="NA89" i="2"/>
  <c r="NB89" i="2"/>
  <c r="NC89" i="2"/>
  <c r="ND89" i="2"/>
  <c r="NG89" i="2"/>
  <c r="NH89" i="2"/>
  <c r="NI89" i="2"/>
  <c r="NJ89" i="2"/>
  <c r="NK89" i="2"/>
  <c r="NL89" i="2"/>
  <c r="NM89" i="2"/>
  <c r="NN89" i="2"/>
  <c r="NO89" i="2"/>
  <c r="NP89" i="2"/>
  <c r="NQ89" i="2"/>
  <c r="NR89" i="2"/>
  <c r="NS89" i="2"/>
  <c r="NT89" i="2"/>
  <c r="NW89" i="2"/>
  <c r="NX89" i="2"/>
  <c r="NY89" i="2"/>
  <c r="OA89" i="2"/>
  <c r="OB89" i="2"/>
  <c r="OC89" i="2"/>
  <c r="OD89" i="2"/>
  <c r="OE89" i="2"/>
  <c r="OF89" i="2"/>
  <c r="OG89" i="2"/>
  <c r="OH89" i="2"/>
  <c r="OI89" i="2"/>
  <c r="OJ89" i="2"/>
  <c r="OM89" i="2"/>
  <c r="ON89" i="2"/>
  <c r="OO89" i="2"/>
  <c r="OP89" i="2"/>
  <c r="OQ89" i="2"/>
  <c r="OR89" i="2"/>
  <c r="OS89" i="2"/>
  <c r="OT89" i="2"/>
  <c r="OU89" i="2"/>
  <c r="OV89" i="2"/>
  <c r="OW89" i="2"/>
  <c r="OX89" i="2"/>
  <c r="OY89" i="2"/>
  <c r="OZ89" i="2"/>
  <c r="PC89" i="2"/>
  <c r="PD89" i="2"/>
  <c r="PE89" i="2"/>
  <c r="PF89" i="2"/>
  <c r="PG89" i="2"/>
  <c r="PH89" i="2"/>
  <c r="PI89" i="2"/>
  <c r="PJ89" i="2"/>
  <c r="PK89" i="2"/>
  <c r="PL89" i="2"/>
  <c r="PM89" i="2"/>
  <c r="PN89" i="2"/>
  <c r="PO89" i="2"/>
  <c r="PP89" i="2"/>
  <c r="PS89" i="2"/>
  <c r="PT89" i="2"/>
  <c r="PU89" i="2"/>
  <c r="PV89" i="2"/>
  <c r="PW89" i="2"/>
  <c r="PX89" i="2"/>
  <c r="PY89" i="2"/>
  <c r="PZ89" i="2"/>
  <c r="QA89" i="2"/>
  <c r="QB89" i="2"/>
  <c r="QC89" i="2"/>
  <c r="QD89" i="2"/>
  <c r="QE89" i="2"/>
  <c r="QF89" i="2"/>
  <c r="QI89" i="2"/>
  <c r="QJ89" i="2"/>
  <c r="QK89" i="2"/>
  <c r="QL89" i="2"/>
  <c r="QM89" i="2"/>
  <c r="QN89" i="2"/>
  <c r="QO89" i="2"/>
  <c r="QP89" i="2"/>
  <c r="QQ89" i="2"/>
  <c r="QR89" i="2"/>
  <c r="QS89" i="2"/>
  <c r="QT89" i="2"/>
  <c r="QU89" i="2"/>
  <c r="QV89" i="2"/>
  <c r="QY89" i="2"/>
  <c r="QZ89" i="2"/>
  <c r="RA89" i="2"/>
  <c r="RB89" i="2"/>
  <c r="RC89" i="2"/>
  <c r="RD89" i="2"/>
  <c r="RE89" i="2"/>
  <c r="RF89" i="2"/>
  <c r="RG89" i="2"/>
  <c r="RH89" i="2"/>
  <c r="RI89" i="2"/>
  <c r="RJ89" i="2"/>
  <c r="RK89" i="2"/>
  <c r="RL89" i="2"/>
  <c r="RO89" i="2"/>
  <c r="RP89" i="2"/>
  <c r="RQ89" i="2"/>
  <c r="RR89" i="2"/>
  <c r="RS89" i="2"/>
  <c r="RT89" i="2"/>
  <c r="RU89" i="2"/>
  <c r="RV89" i="2"/>
  <c r="RW89" i="2"/>
  <c r="RX89" i="2"/>
  <c r="RY89" i="2"/>
  <c r="RZ89" i="2"/>
  <c r="SA89" i="2"/>
  <c r="SB89" i="2"/>
  <c r="SE89" i="2"/>
  <c r="SF89" i="2"/>
  <c r="SG89" i="2"/>
  <c r="SH89" i="2"/>
  <c r="SI89" i="2"/>
  <c r="SJ89" i="2"/>
  <c r="SK89" i="2"/>
  <c r="SL89" i="2"/>
  <c r="SM89" i="2"/>
  <c r="SN89" i="2"/>
  <c r="SO89" i="2"/>
  <c r="SP89" i="2"/>
  <c r="SQ89" i="2"/>
  <c r="SR89" i="2"/>
  <c r="SU89" i="2"/>
  <c r="SV89" i="2"/>
  <c r="SW89" i="2"/>
  <c r="SX89" i="2"/>
  <c r="SY89" i="2"/>
  <c r="SZ89" i="2"/>
  <c r="TA89" i="2"/>
  <c r="TB89" i="2"/>
  <c r="TC89" i="2"/>
  <c r="TD89" i="2"/>
  <c r="TE89" i="2"/>
  <c r="TF89" i="2"/>
  <c r="TG89" i="2"/>
  <c r="TH89" i="2"/>
  <c r="TK89" i="2"/>
  <c r="TL89" i="2"/>
  <c r="TM89" i="2"/>
  <c r="TN89" i="2"/>
  <c r="TO89" i="2"/>
  <c r="TP89" i="2"/>
  <c r="TQ89" i="2"/>
  <c r="TR89" i="2"/>
  <c r="TS89" i="2"/>
  <c r="TT89" i="2"/>
  <c r="TU89" i="2"/>
  <c r="TV89" i="2"/>
  <c r="TW89" i="2"/>
  <c r="TX89" i="2"/>
  <c r="UA89" i="2"/>
  <c r="UB89" i="2"/>
  <c r="UC89" i="2"/>
  <c r="UD89" i="2"/>
  <c r="UE89" i="2"/>
  <c r="UF89" i="2"/>
  <c r="UG89" i="2"/>
  <c r="UH89" i="2"/>
  <c r="UI89" i="2"/>
  <c r="UJ89" i="2"/>
  <c r="UK89" i="2"/>
  <c r="UL89" i="2"/>
  <c r="UM89" i="2"/>
  <c r="UN89" i="2"/>
  <c r="UQ89" i="2"/>
  <c r="UR89" i="2"/>
  <c r="US89" i="2"/>
  <c r="UT89" i="2"/>
  <c r="UU89" i="2"/>
  <c r="UV89" i="2"/>
  <c r="UW89" i="2"/>
  <c r="UX89" i="2"/>
  <c r="UY89" i="2"/>
  <c r="UZ89" i="2"/>
  <c r="VA89" i="2"/>
  <c r="VB89" i="2"/>
  <c r="VC89" i="2"/>
  <c r="VD89" i="2"/>
  <c r="VG89" i="2"/>
  <c r="VH89" i="2"/>
  <c r="VI89" i="2"/>
  <c r="VJ89" i="2"/>
  <c r="VK89" i="2"/>
  <c r="VL89" i="2"/>
  <c r="VM89" i="2"/>
  <c r="VN89" i="2"/>
  <c r="VO89" i="2"/>
  <c r="VP89" i="2"/>
  <c r="VQ89" i="2"/>
  <c r="VR89" i="2"/>
  <c r="VS89" i="2"/>
  <c r="VT89" i="2"/>
  <c r="VW89" i="2"/>
  <c r="VX89" i="2"/>
  <c r="VY89" i="2"/>
  <c r="VZ89" i="2"/>
  <c r="WA89" i="2"/>
  <c r="WB89" i="2"/>
  <c r="WC89" i="2"/>
  <c r="WD89" i="2"/>
  <c r="WE89" i="2"/>
  <c r="WF89" i="2"/>
  <c r="WG89" i="2"/>
  <c r="WH89" i="2"/>
  <c r="WI89" i="2"/>
  <c r="WJ89" i="2"/>
  <c r="S127" i="2"/>
  <c r="T127" i="2"/>
  <c r="U127" i="2"/>
  <c r="V127" i="2"/>
  <c r="W127" i="2"/>
  <c r="X127" i="2"/>
  <c r="Y127" i="2"/>
  <c r="Z127" i="2"/>
  <c r="AA127" i="2"/>
  <c r="AB127" i="2"/>
  <c r="AC127" i="2"/>
  <c r="AD127" i="2"/>
  <c r="AE127" i="2"/>
  <c r="AF127" i="2"/>
  <c r="AI127" i="2"/>
  <c r="AJ127" i="2"/>
  <c r="AK127" i="2"/>
  <c r="AL127" i="2"/>
  <c r="AM127" i="2"/>
  <c r="AN127" i="2"/>
  <c r="AO127" i="2"/>
  <c r="AP127" i="2"/>
  <c r="AQ127" i="2"/>
  <c r="AR127" i="2"/>
  <c r="AS127" i="2"/>
  <c r="AT127" i="2"/>
  <c r="AU127" i="2"/>
  <c r="AV127" i="2"/>
  <c r="AY127" i="2"/>
  <c r="AZ127" i="2"/>
  <c r="BA127" i="2"/>
  <c r="BB127" i="2"/>
  <c r="BC127" i="2"/>
  <c r="BD127" i="2"/>
  <c r="BE127" i="2"/>
  <c r="BF127" i="2"/>
  <c r="BG127" i="2"/>
  <c r="BH127" i="2"/>
  <c r="BI127" i="2"/>
  <c r="BJ127" i="2"/>
  <c r="BK127" i="2"/>
  <c r="BL127" i="2"/>
  <c r="BO127" i="2"/>
  <c r="BP127" i="2"/>
  <c r="BQ127" i="2"/>
  <c r="BR127" i="2"/>
  <c r="BS127" i="2"/>
  <c r="BT127" i="2"/>
  <c r="BU127" i="2"/>
  <c r="BV127" i="2"/>
  <c r="BW127" i="2"/>
  <c r="BX127" i="2"/>
  <c r="BY127" i="2"/>
  <c r="BZ127" i="2"/>
  <c r="CA127" i="2"/>
  <c r="CB127" i="2"/>
  <c r="CE127" i="2"/>
  <c r="CF127" i="2"/>
  <c r="CG127" i="2"/>
  <c r="CH127" i="2"/>
  <c r="CI127" i="2"/>
  <c r="CJ127" i="2"/>
  <c r="CK127" i="2"/>
  <c r="CL127" i="2"/>
  <c r="CM127" i="2"/>
  <c r="CN127" i="2"/>
  <c r="CO127" i="2"/>
  <c r="CP127" i="2"/>
  <c r="CQ127" i="2"/>
  <c r="CR127" i="2"/>
  <c r="CU127" i="2"/>
  <c r="CV127" i="2"/>
  <c r="CW127" i="2"/>
  <c r="CX127" i="2"/>
  <c r="CY127" i="2"/>
  <c r="CZ127" i="2"/>
  <c r="DA127" i="2"/>
  <c r="DB127" i="2"/>
  <c r="DC127" i="2"/>
  <c r="DD127" i="2"/>
  <c r="DE127" i="2"/>
  <c r="DF127" i="2"/>
  <c r="DG127" i="2"/>
  <c r="DH127" i="2"/>
  <c r="DK127" i="2"/>
  <c r="DL127" i="2"/>
  <c r="DM127" i="2"/>
  <c r="DN127" i="2"/>
  <c r="DO127" i="2"/>
  <c r="DP127" i="2"/>
  <c r="DQ127" i="2"/>
  <c r="DR127" i="2"/>
  <c r="DS127" i="2"/>
  <c r="DT127" i="2"/>
  <c r="DU127" i="2"/>
  <c r="DV127" i="2"/>
  <c r="DW127" i="2"/>
  <c r="DX127" i="2"/>
  <c r="EA127" i="2"/>
  <c r="EB127" i="2"/>
  <c r="EC127" i="2"/>
  <c r="ED127" i="2"/>
  <c r="EE127" i="2"/>
  <c r="EF127" i="2"/>
  <c r="EG127" i="2"/>
  <c r="EH127" i="2"/>
  <c r="EI127" i="2"/>
  <c r="EJ127" i="2"/>
  <c r="EK127" i="2"/>
  <c r="EL127" i="2"/>
  <c r="EM127" i="2"/>
  <c r="EN127" i="2"/>
  <c r="EQ127" i="2"/>
  <c r="ER127" i="2"/>
  <c r="ES127" i="2"/>
  <c r="ET127" i="2"/>
  <c r="EU127" i="2"/>
  <c r="EV127" i="2"/>
  <c r="EW127" i="2"/>
  <c r="EX127" i="2"/>
  <c r="EY127" i="2"/>
  <c r="EZ127" i="2"/>
  <c r="FA127" i="2"/>
  <c r="FB127" i="2"/>
  <c r="FC127" i="2"/>
  <c r="FD127" i="2"/>
  <c r="FG127" i="2"/>
  <c r="FH127" i="2"/>
  <c r="FI127" i="2"/>
  <c r="FJ127" i="2"/>
  <c r="FK127" i="2"/>
  <c r="FL127" i="2"/>
  <c r="FM127" i="2"/>
  <c r="FN127" i="2"/>
  <c r="FO127" i="2"/>
  <c r="FP127" i="2"/>
  <c r="FQ127" i="2"/>
  <c r="FR127" i="2"/>
  <c r="FS127" i="2"/>
  <c r="FT127" i="2"/>
  <c r="FW127" i="2"/>
  <c r="FX127" i="2"/>
  <c r="FY127" i="2"/>
  <c r="FZ127" i="2"/>
  <c r="GA127" i="2"/>
  <c r="GB127" i="2"/>
  <c r="GC127" i="2"/>
  <c r="GD127" i="2"/>
  <c r="GE127" i="2"/>
  <c r="GF127" i="2"/>
  <c r="GG127" i="2"/>
  <c r="GH127" i="2"/>
  <c r="GI127" i="2"/>
  <c r="GJ127" i="2"/>
  <c r="GM127" i="2"/>
  <c r="GN127" i="2"/>
  <c r="GO127" i="2"/>
  <c r="GP127" i="2"/>
  <c r="GQ127" i="2"/>
  <c r="GR127" i="2"/>
  <c r="GS127" i="2"/>
  <c r="GT127" i="2"/>
  <c r="GU127" i="2"/>
  <c r="GV127" i="2"/>
  <c r="GW127" i="2"/>
  <c r="GX127" i="2"/>
  <c r="GY127" i="2"/>
  <c r="GZ127" i="2"/>
  <c r="HC127" i="2"/>
  <c r="HD127" i="2"/>
  <c r="HE127" i="2"/>
  <c r="HF127" i="2"/>
  <c r="HG127" i="2"/>
  <c r="HH127" i="2"/>
  <c r="HI127" i="2"/>
  <c r="HJ127" i="2"/>
  <c r="HK127" i="2"/>
  <c r="HL127" i="2"/>
  <c r="HM127" i="2"/>
  <c r="HN127" i="2"/>
  <c r="HO127" i="2"/>
  <c r="HP127" i="2"/>
  <c r="HS127" i="2"/>
  <c r="HT127" i="2"/>
  <c r="HU127" i="2"/>
  <c r="HV127" i="2"/>
  <c r="HW127" i="2"/>
  <c r="HX127" i="2"/>
  <c r="HY127" i="2"/>
  <c r="HZ127" i="2"/>
  <c r="IA127" i="2"/>
  <c r="IB127" i="2"/>
  <c r="IC127" i="2"/>
  <c r="ID127" i="2"/>
  <c r="IE127" i="2"/>
  <c r="IF127" i="2"/>
  <c r="II127" i="2"/>
  <c r="IJ127" i="2"/>
  <c r="IK127" i="2"/>
  <c r="IL127" i="2"/>
  <c r="IM127" i="2"/>
  <c r="IN127" i="2"/>
  <c r="IO127" i="2"/>
  <c r="IP127" i="2"/>
  <c r="IQ127" i="2"/>
  <c r="IR127" i="2"/>
  <c r="IS127" i="2"/>
  <c r="IT127" i="2"/>
  <c r="IU127" i="2"/>
  <c r="IV127" i="2"/>
  <c r="IY127" i="2"/>
  <c r="IZ127" i="2"/>
  <c r="JA127" i="2"/>
  <c r="JB127" i="2"/>
  <c r="JC127" i="2"/>
  <c r="JD127" i="2"/>
  <c r="JE127" i="2"/>
  <c r="JF127" i="2"/>
  <c r="JG127" i="2"/>
  <c r="JH127" i="2"/>
  <c r="JI127" i="2"/>
  <c r="JJ127" i="2"/>
  <c r="JK127" i="2"/>
  <c r="JL127" i="2"/>
  <c r="JO127" i="2"/>
  <c r="JP127" i="2"/>
  <c r="JQ127" i="2"/>
  <c r="JR127" i="2"/>
  <c r="JS127" i="2"/>
  <c r="JT127" i="2"/>
  <c r="JU127" i="2"/>
  <c r="JV127" i="2"/>
  <c r="JW127" i="2"/>
  <c r="JX127" i="2"/>
  <c r="JY127" i="2"/>
  <c r="JZ127" i="2"/>
  <c r="KA127" i="2"/>
  <c r="KB127" i="2"/>
  <c r="KE127" i="2"/>
  <c r="KF127" i="2"/>
  <c r="KG127" i="2"/>
  <c r="KH127" i="2"/>
  <c r="KI127" i="2"/>
  <c r="KJ127" i="2"/>
  <c r="KK127" i="2"/>
  <c r="KL127" i="2"/>
  <c r="KM127" i="2"/>
  <c r="KN127" i="2"/>
  <c r="KO127" i="2"/>
  <c r="KP127" i="2"/>
  <c r="KQ127" i="2"/>
  <c r="KR127" i="2"/>
  <c r="KU127" i="2"/>
  <c r="KV127" i="2"/>
  <c r="KW127" i="2"/>
  <c r="KY127" i="2"/>
  <c r="KZ127" i="2"/>
  <c r="LA127" i="2"/>
  <c r="LB127" i="2"/>
  <c r="LC127" i="2"/>
  <c r="LD127" i="2"/>
  <c r="LE127" i="2"/>
  <c r="LF127" i="2"/>
  <c r="LG127" i="2"/>
  <c r="LH127" i="2"/>
  <c r="LK127" i="2"/>
  <c r="LL127" i="2"/>
  <c r="LM127" i="2"/>
  <c r="LN127" i="2"/>
  <c r="LO127" i="2"/>
  <c r="LP127" i="2"/>
  <c r="LQ127" i="2"/>
  <c r="LR127" i="2"/>
  <c r="LS127" i="2"/>
  <c r="LT127" i="2"/>
  <c r="LU127" i="2"/>
  <c r="LV127" i="2"/>
  <c r="LW127" i="2"/>
  <c r="LX127" i="2"/>
  <c r="MA127" i="2"/>
  <c r="MB127" i="2"/>
  <c r="MC127" i="2"/>
  <c r="MD127" i="2"/>
  <c r="ME127" i="2"/>
  <c r="MF127" i="2"/>
  <c r="MG127" i="2"/>
  <c r="MH127" i="2"/>
  <c r="MI127" i="2"/>
  <c r="MJ127" i="2"/>
  <c r="MK127" i="2"/>
  <c r="ML127" i="2"/>
  <c r="MM127" i="2"/>
  <c r="MN127" i="2"/>
  <c r="MQ127" i="2"/>
  <c r="MR127" i="2"/>
  <c r="MS127" i="2"/>
  <c r="MT127" i="2"/>
  <c r="MU127" i="2"/>
  <c r="MV127" i="2"/>
  <c r="MW127" i="2"/>
  <c r="MX127" i="2"/>
  <c r="MY127" i="2"/>
  <c r="MZ127" i="2"/>
  <c r="NA127" i="2"/>
  <c r="NB127" i="2"/>
  <c r="NC127" i="2"/>
  <c r="ND127" i="2"/>
  <c r="NG127" i="2"/>
  <c r="NH127" i="2"/>
  <c r="NI127" i="2"/>
  <c r="NJ127" i="2"/>
  <c r="NK127" i="2"/>
  <c r="NL127" i="2"/>
  <c r="NM127" i="2"/>
  <c r="NN127" i="2"/>
  <c r="NO127" i="2"/>
  <c r="NP127" i="2"/>
  <c r="NQ127" i="2"/>
  <c r="NR127" i="2"/>
  <c r="NS127" i="2"/>
  <c r="NW127" i="2"/>
  <c r="NX127" i="2"/>
  <c r="NY127" i="2"/>
  <c r="NZ127" i="2"/>
  <c r="OA127" i="2"/>
  <c r="OB127" i="2"/>
  <c r="OC127" i="2"/>
  <c r="OD127" i="2"/>
  <c r="OE127" i="2"/>
  <c r="OF127" i="2"/>
  <c r="OG127" i="2"/>
  <c r="OH127" i="2"/>
  <c r="OI127" i="2"/>
  <c r="OJ127" i="2"/>
  <c r="OM127" i="2"/>
  <c r="ON127" i="2"/>
  <c r="OO127" i="2"/>
  <c r="OP127" i="2"/>
  <c r="OQ127" i="2"/>
  <c r="OR127" i="2"/>
  <c r="OS127" i="2"/>
  <c r="OT127" i="2"/>
  <c r="OU127" i="2"/>
  <c r="OV127" i="2"/>
  <c r="OW127" i="2"/>
  <c r="OX127" i="2"/>
  <c r="OY127" i="2"/>
  <c r="OZ127" i="2"/>
  <c r="PC127" i="2"/>
  <c r="PD127" i="2"/>
  <c r="PE127" i="2"/>
  <c r="PF127" i="2"/>
  <c r="PG127" i="2"/>
  <c r="PH127" i="2"/>
  <c r="PI127" i="2"/>
  <c r="PJ127" i="2"/>
  <c r="PK127" i="2"/>
  <c r="PL127" i="2"/>
  <c r="PM127" i="2"/>
  <c r="PN127" i="2"/>
  <c r="PO127" i="2"/>
  <c r="PP127" i="2"/>
  <c r="PS127" i="2"/>
  <c r="PT127" i="2"/>
  <c r="PU127" i="2"/>
  <c r="PV127" i="2"/>
  <c r="PW127" i="2"/>
  <c r="PX127" i="2"/>
  <c r="PY127" i="2"/>
  <c r="PZ127" i="2"/>
  <c r="QA127" i="2"/>
  <c r="QB127" i="2"/>
  <c r="QC127" i="2"/>
  <c r="QD127" i="2"/>
  <c r="QE127" i="2"/>
  <c r="QF127" i="2"/>
  <c r="QI127" i="2"/>
  <c r="QJ127" i="2"/>
  <c r="QK127" i="2"/>
  <c r="QL127" i="2"/>
  <c r="QM127" i="2"/>
  <c r="QN127" i="2"/>
  <c r="QO127" i="2"/>
  <c r="QP127" i="2"/>
  <c r="QQ127" i="2"/>
  <c r="QR127" i="2"/>
  <c r="QS127" i="2"/>
  <c r="QT127" i="2"/>
  <c r="QU127" i="2"/>
  <c r="QV127" i="2"/>
  <c r="QY127" i="2"/>
  <c r="QZ127" i="2"/>
  <c r="RA127" i="2"/>
  <c r="RB127" i="2"/>
  <c r="RC127" i="2"/>
  <c r="RD127" i="2"/>
  <c r="RE127" i="2"/>
  <c r="RF127" i="2"/>
  <c r="RG127" i="2"/>
  <c r="RH127" i="2"/>
  <c r="RI127" i="2"/>
  <c r="RJ127" i="2"/>
  <c r="RK127" i="2"/>
  <c r="RL127" i="2"/>
  <c r="RO127" i="2"/>
  <c r="RP127" i="2"/>
  <c r="RQ127" i="2"/>
  <c r="RR127" i="2"/>
  <c r="RS127" i="2"/>
  <c r="RT127" i="2"/>
  <c r="RU127" i="2"/>
  <c r="RV127" i="2"/>
  <c r="RW127" i="2"/>
  <c r="RX127" i="2"/>
  <c r="RY127" i="2"/>
  <c r="RZ127" i="2"/>
  <c r="SA127" i="2"/>
  <c r="SB127" i="2"/>
  <c r="SE127" i="2"/>
  <c r="SF127" i="2"/>
  <c r="SG127" i="2"/>
  <c r="SH127" i="2"/>
  <c r="SI127" i="2"/>
  <c r="SJ127" i="2"/>
  <c r="SK127" i="2"/>
  <c r="SL127" i="2"/>
  <c r="SM127" i="2"/>
  <c r="SN127" i="2"/>
  <c r="SO127" i="2"/>
  <c r="SP127" i="2"/>
  <c r="SQ127" i="2"/>
  <c r="SR127" i="2"/>
  <c r="SU127" i="2"/>
  <c r="SV127" i="2"/>
  <c r="SW127" i="2"/>
  <c r="SX127" i="2"/>
  <c r="SY127" i="2"/>
  <c r="SZ127" i="2"/>
  <c r="TA127" i="2"/>
  <c r="TB127" i="2"/>
  <c r="TC127" i="2"/>
  <c r="TD127" i="2"/>
  <c r="TE127" i="2"/>
  <c r="TF127" i="2"/>
  <c r="TG127" i="2"/>
  <c r="TH127" i="2"/>
  <c r="TK127" i="2"/>
  <c r="TL127" i="2"/>
  <c r="TM127" i="2"/>
  <c r="TN127" i="2"/>
  <c r="TO127" i="2"/>
  <c r="TP127" i="2"/>
  <c r="TQ127" i="2"/>
  <c r="TR127" i="2"/>
  <c r="TS127" i="2"/>
  <c r="TT127" i="2"/>
  <c r="TU127" i="2"/>
  <c r="TV127" i="2"/>
  <c r="TW127" i="2"/>
  <c r="TX127" i="2"/>
  <c r="UA127" i="2"/>
  <c r="UB127" i="2"/>
  <c r="UC127" i="2"/>
  <c r="UD127" i="2"/>
  <c r="UE127" i="2"/>
  <c r="UF127" i="2"/>
  <c r="UG127" i="2"/>
  <c r="UH127" i="2"/>
  <c r="UI127" i="2"/>
  <c r="UJ127" i="2"/>
  <c r="UK127" i="2"/>
  <c r="UL127" i="2"/>
  <c r="UM127" i="2"/>
  <c r="UN127" i="2"/>
  <c r="UQ127" i="2"/>
  <c r="UR127" i="2"/>
  <c r="US127" i="2"/>
  <c r="UT127" i="2"/>
  <c r="UU127" i="2"/>
  <c r="UV127" i="2"/>
  <c r="UW127" i="2"/>
  <c r="UX127" i="2"/>
  <c r="UY127" i="2"/>
  <c r="UZ127" i="2"/>
  <c r="VA127" i="2"/>
  <c r="VB127" i="2"/>
  <c r="VC127" i="2"/>
  <c r="VD127" i="2"/>
  <c r="VG127" i="2"/>
  <c r="VH127" i="2"/>
  <c r="VI127" i="2"/>
  <c r="VJ127" i="2"/>
  <c r="VK127" i="2"/>
  <c r="VL127" i="2"/>
  <c r="VM127" i="2"/>
  <c r="VN127" i="2"/>
  <c r="VO127" i="2"/>
  <c r="VP127" i="2"/>
  <c r="VQ127" i="2"/>
  <c r="VR127" i="2"/>
  <c r="VS127" i="2"/>
  <c r="VT127" i="2"/>
  <c r="VW127" i="2"/>
  <c r="VX127" i="2"/>
  <c r="VY127" i="2"/>
  <c r="VZ127" i="2"/>
  <c r="WA127" i="2"/>
  <c r="WB127" i="2"/>
  <c r="WC127" i="2"/>
  <c r="WD127" i="2"/>
  <c r="WE127" i="2"/>
  <c r="WF127" i="2"/>
  <c r="WG127" i="2"/>
  <c r="WH127" i="2"/>
  <c r="WI127" i="2"/>
  <c r="WJ127" i="2"/>
  <c r="S165" i="2"/>
  <c r="T165" i="2"/>
  <c r="U165" i="2"/>
  <c r="V165" i="2"/>
  <c r="W165" i="2"/>
  <c r="X165" i="2"/>
  <c r="Y165" i="2"/>
  <c r="Z165" i="2"/>
  <c r="AA165" i="2"/>
  <c r="AB165" i="2"/>
  <c r="AC165" i="2"/>
  <c r="AD165" i="2"/>
  <c r="AE165" i="2"/>
  <c r="AF165" i="2"/>
  <c r="AI165" i="2"/>
  <c r="AJ165" i="2"/>
  <c r="AK165" i="2"/>
  <c r="AL165" i="2"/>
  <c r="AM165" i="2"/>
  <c r="AN165" i="2"/>
  <c r="AO165" i="2"/>
  <c r="AP165" i="2"/>
  <c r="AQ165" i="2"/>
  <c r="AR165" i="2"/>
  <c r="AS165" i="2"/>
  <c r="AT165" i="2"/>
  <c r="AU165" i="2"/>
  <c r="AV165" i="2"/>
  <c r="AY165" i="2"/>
  <c r="AZ165" i="2"/>
  <c r="BA165" i="2"/>
  <c r="BB165" i="2"/>
  <c r="BC165" i="2"/>
  <c r="BD165" i="2"/>
  <c r="BE165" i="2"/>
  <c r="BF165" i="2"/>
  <c r="BG165" i="2"/>
  <c r="BH165" i="2"/>
  <c r="BI165" i="2"/>
  <c r="BJ165" i="2"/>
  <c r="BK165" i="2"/>
  <c r="BL165" i="2"/>
  <c r="BO165" i="2"/>
  <c r="BP165" i="2"/>
  <c r="BQ165" i="2"/>
  <c r="BR165" i="2"/>
  <c r="BS165" i="2"/>
  <c r="BT165" i="2"/>
  <c r="BU165" i="2"/>
  <c r="BV165" i="2"/>
  <c r="BW165" i="2"/>
  <c r="BX165" i="2"/>
  <c r="BY165" i="2"/>
  <c r="BZ165" i="2"/>
  <c r="CA165" i="2"/>
  <c r="CB165" i="2"/>
  <c r="CE165" i="2"/>
  <c r="CF165" i="2"/>
  <c r="CG165" i="2"/>
  <c r="CH165" i="2"/>
  <c r="CI165" i="2"/>
  <c r="CJ165" i="2"/>
  <c r="CK165" i="2"/>
  <c r="CL165" i="2"/>
  <c r="CM165" i="2"/>
  <c r="CN165" i="2"/>
  <c r="CO165" i="2"/>
  <c r="CP165" i="2"/>
  <c r="CQ165" i="2"/>
  <c r="CR165" i="2"/>
  <c r="CU165" i="2"/>
  <c r="CV165" i="2"/>
  <c r="CW165" i="2"/>
  <c r="CX165" i="2"/>
  <c r="CY165" i="2"/>
  <c r="CZ165" i="2"/>
  <c r="DA165" i="2"/>
  <c r="DB165" i="2"/>
  <c r="DC165" i="2"/>
  <c r="DD165" i="2"/>
  <c r="DE165" i="2"/>
  <c r="DF165" i="2"/>
  <c r="DG165" i="2"/>
  <c r="DH165" i="2"/>
  <c r="DK165" i="2"/>
  <c r="DL165" i="2"/>
  <c r="DM165" i="2"/>
  <c r="DN165" i="2"/>
  <c r="DO165" i="2"/>
  <c r="DP165" i="2"/>
  <c r="DQ165" i="2"/>
  <c r="DR165" i="2"/>
  <c r="DS165" i="2"/>
  <c r="DT165" i="2"/>
  <c r="DU165" i="2"/>
  <c r="DV165" i="2"/>
  <c r="DW165" i="2"/>
  <c r="DX165" i="2"/>
  <c r="EA165" i="2"/>
  <c r="EB165" i="2"/>
  <c r="EC165" i="2"/>
  <c r="ED165" i="2"/>
  <c r="EE165" i="2"/>
  <c r="EF165" i="2"/>
  <c r="EG165" i="2"/>
  <c r="EH165" i="2"/>
  <c r="EI165" i="2"/>
  <c r="EJ165" i="2"/>
  <c r="EK165" i="2"/>
  <c r="EL165" i="2"/>
  <c r="EM165" i="2"/>
  <c r="EN165" i="2"/>
  <c r="EQ165" i="2"/>
  <c r="ER165" i="2"/>
  <c r="ES165" i="2"/>
  <c r="ET165" i="2"/>
  <c r="EU165" i="2"/>
  <c r="EV165" i="2"/>
  <c r="EW165" i="2"/>
  <c r="EX165" i="2"/>
  <c r="EY165" i="2"/>
  <c r="EZ165" i="2"/>
  <c r="FA165" i="2"/>
  <c r="FB165" i="2"/>
  <c r="FC165" i="2"/>
  <c r="FD165" i="2"/>
  <c r="FG165" i="2"/>
  <c r="FH165" i="2"/>
  <c r="FI165" i="2"/>
  <c r="FJ165" i="2"/>
  <c r="FK165" i="2"/>
  <c r="FL165" i="2"/>
  <c r="FM165" i="2"/>
  <c r="FN165" i="2"/>
  <c r="FO165" i="2"/>
  <c r="FP165" i="2"/>
  <c r="FQ165" i="2"/>
  <c r="FR165" i="2"/>
  <c r="FS165" i="2"/>
  <c r="FT165" i="2"/>
  <c r="FW165" i="2"/>
  <c r="FX165" i="2"/>
  <c r="FY165" i="2"/>
  <c r="FZ165" i="2"/>
  <c r="GA165" i="2"/>
  <c r="GB165" i="2"/>
  <c r="GC165" i="2"/>
  <c r="GD165" i="2"/>
  <c r="GE165" i="2"/>
  <c r="GF165" i="2"/>
  <c r="GG165" i="2"/>
  <c r="GH165" i="2"/>
  <c r="GI165" i="2"/>
  <c r="GJ165" i="2"/>
  <c r="GM165" i="2"/>
  <c r="GN165" i="2"/>
  <c r="GO165" i="2"/>
  <c r="GP165" i="2"/>
  <c r="GQ165" i="2"/>
  <c r="GR165" i="2"/>
  <c r="GS165" i="2"/>
  <c r="GT165" i="2"/>
  <c r="GU165" i="2"/>
  <c r="GV165" i="2"/>
  <c r="GW165" i="2"/>
  <c r="GX165" i="2"/>
  <c r="GY165" i="2"/>
  <c r="GZ165" i="2"/>
  <c r="HC165" i="2"/>
  <c r="HD165" i="2"/>
  <c r="HE165" i="2"/>
  <c r="HF165" i="2"/>
  <c r="HG165" i="2"/>
  <c r="HH165" i="2"/>
  <c r="HI165" i="2"/>
  <c r="HJ165" i="2"/>
  <c r="HK165" i="2"/>
  <c r="HL165" i="2"/>
  <c r="HM165" i="2"/>
  <c r="HN165" i="2"/>
  <c r="HO165" i="2"/>
  <c r="HP165" i="2"/>
  <c r="HS165" i="2"/>
  <c r="HT165" i="2"/>
  <c r="HU165" i="2"/>
  <c r="HV165" i="2"/>
  <c r="HW165" i="2"/>
  <c r="HX165" i="2"/>
  <c r="HY165" i="2"/>
  <c r="HZ165" i="2"/>
  <c r="IA165" i="2"/>
  <c r="IB165" i="2"/>
  <c r="IC165" i="2"/>
  <c r="ID165" i="2"/>
  <c r="IE165" i="2"/>
  <c r="IF165" i="2"/>
  <c r="II165" i="2"/>
  <c r="IJ165" i="2"/>
  <c r="IK165" i="2"/>
  <c r="IL165" i="2"/>
  <c r="IM165" i="2"/>
  <c r="IN165" i="2"/>
  <c r="IO165" i="2"/>
  <c r="IP165" i="2"/>
  <c r="IQ165" i="2"/>
  <c r="IR165" i="2"/>
  <c r="IS165" i="2"/>
  <c r="IT165" i="2"/>
  <c r="IU165" i="2"/>
  <c r="IV165" i="2"/>
  <c r="IY165" i="2"/>
  <c r="IZ165" i="2"/>
  <c r="JA165" i="2"/>
  <c r="JB165" i="2"/>
  <c r="JC165" i="2"/>
  <c r="JD165" i="2"/>
  <c r="JE165" i="2"/>
  <c r="JF165" i="2"/>
  <c r="JG165" i="2"/>
  <c r="JH165" i="2"/>
  <c r="JI165" i="2"/>
  <c r="JJ165" i="2"/>
  <c r="JK165" i="2"/>
  <c r="JL165" i="2"/>
  <c r="JO165" i="2"/>
  <c r="JP165" i="2"/>
  <c r="JQ165" i="2"/>
  <c r="JR165" i="2"/>
  <c r="JS165" i="2"/>
  <c r="JT165" i="2"/>
  <c r="JU165" i="2"/>
  <c r="JV165" i="2"/>
  <c r="JW165" i="2"/>
  <c r="JX165" i="2"/>
  <c r="JY165" i="2"/>
  <c r="JZ165" i="2"/>
  <c r="KA165" i="2"/>
  <c r="KB165" i="2"/>
  <c r="KE165" i="2"/>
  <c r="KF165" i="2"/>
  <c r="KG165" i="2"/>
  <c r="KH165" i="2"/>
  <c r="KI165" i="2"/>
  <c r="KJ165" i="2"/>
  <c r="KK165" i="2"/>
  <c r="KL165" i="2"/>
  <c r="KM165" i="2"/>
  <c r="KN165" i="2"/>
  <c r="KO165" i="2"/>
  <c r="KP165" i="2"/>
  <c r="KQ165" i="2"/>
  <c r="KR165" i="2"/>
  <c r="KU165" i="2"/>
  <c r="KV165" i="2"/>
  <c r="KW165" i="2"/>
  <c r="KY165" i="2"/>
  <c r="KZ165" i="2"/>
  <c r="LA165" i="2"/>
  <c r="LB165" i="2"/>
  <c r="LC165" i="2"/>
  <c r="LD165" i="2"/>
  <c r="LE165" i="2"/>
  <c r="LF165" i="2"/>
  <c r="LG165" i="2"/>
  <c r="LH165" i="2"/>
  <c r="LK165" i="2"/>
  <c r="LL165" i="2"/>
  <c r="LM165" i="2"/>
  <c r="LN165" i="2"/>
  <c r="LO165" i="2"/>
  <c r="LP165" i="2"/>
  <c r="LQ165" i="2"/>
  <c r="LR165" i="2"/>
  <c r="LS165" i="2"/>
  <c r="LT165" i="2"/>
  <c r="LU165" i="2"/>
  <c r="LV165" i="2"/>
  <c r="LW165" i="2"/>
  <c r="LX165" i="2"/>
  <c r="MA165" i="2"/>
  <c r="MB165" i="2"/>
  <c r="MC165" i="2"/>
  <c r="MD165" i="2"/>
  <c r="ME165" i="2"/>
  <c r="MF165" i="2"/>
  <c r="MG165" i="2"/>
  <c r="MH165" i="2"/>
  <c r="MI165" i="2"/>
  <c r="MJ165" i="2"/>
  <c r="MK165" i="2"/>
  <c r="ML165" i="2"/>
  <c r="MM165" i="2"/>
  <c r="MN165" i="2"/>
  <c r="MQ165" i="2"/>
  <c r="MR165" i="2"/>
  <c r="MS165" i="2"/>
  <c r="MT165" i="2"/>
  <c r="MU165" i="2"/>
  <c r="MV165" i="2"/>
  <c r="MW165" i="2"/>
  <c r="MX165" i="2"/>
  <c r="MY165" i="2"/>
  <c r="MZ165" i="2"/>
  <c r="NA165" i="2"/>
  <c r="NB165" i="2"/>
  <c r="NC165" i="2"/>
  <c r="ND165" i="2"/>
  <c r="NG165" i="2"/>
  <c r="NH165" i="2"/>
  <c r="NI165" i="2"/>
  <c r="NJ165" i="2"/>
  <c r="NK165" i="2"/>
  <c r="NL165" i="2"/>
  <c r="NM165" i="2"/>
  <c r="NN165" i="2"/>
  <c r="NO165" i="2"/>
  <c r="NP165" i="2"/>
  <c r="NQ165" i="2"/>
  <c r="NR165" i="2"/>
  <c r="NS165" i="2"/>
  <c r="NT165" i="2"/>
  <c r="NW165" i="2"/>
  <c r="NX165" i="2"/>
  <c r="NY165" i="2"/>
  <c r="NZ165" i="2"/>
  <c r="OA165" i="2"/>
  <c r="OB165" i="2"/>
  <c r="OC165" i="2"/>
  <c r="OD165" i="2"/>
  <c r="OE165" i="2"/>
  <c r="OF165" i="2"/>
  <c r="OG165" i="2"/>
  <c r="OH165" i="2"/>
  <c r="OI165" i="2"/>
  <c r="OJ165" i="2"/>
  <c r="OM165" i="2"/>
  <c r="ON165" i="2"/>
  <c r="OO165" i="2"/>
  <c r="OP165" i="2"/>
  <c r="OQ165" i="2"/>
  <c r="OR165" i="2"/>
  <c r="OS165" i="2"/>
  <c r="OT165" i="2"/>
  <c r="OU165" i="2"/>
  <c r="OV165" i="2"/>
  <c r="OW165" i="2"/>
  <c r="OX165" i="2"/>
  <c r="OY165" i="2"/>
  <c r="OZ165" i="2"/>
  <c r="PC165" i="2"/>
  <c r="PD165" i="2"/>
  <c r="PE165" i="2"/>
  <c r="PF165" i="2"/>
  <c r="PG165" i="2"/>
  <c r="PH165" i="2"/>
  <c r="PI165" i="2"/>
  <c r="PJ165" i="2"/>
  <c r="PK165" i="2"/>
  <c r="PL165" i="2"/>
  <c r="PM165" i="2"/>
  <c r="PN165" i="2"/>
  <c r="PO165" i="2"/>
  <c r="PP165" i="2"/>
  <c r="PS165" i="2"/>
  <c r="PT165" i="2"/>
  <c r="PU165" i="2"/>
  <c r="PV165" i="2"/>
  <c r="PW165" i="2"/>
  <c r="PX165" i="2"/>
  <c r="PY165" i="2"/>
  <c r="PZ165" i="2"/>
  <c r="QA165" i="2"/>
  <c r="QB165" i="2"/>
  <c r="QC165" i="2"/>
  <c r="QD165" i="2"/>
  <c r="QE165" i="2"/>
  <c r="QF165" i="2"/>
  <c r="QI165" i="2"/>
  <c r="QJ165" i="2"/>
  <c r="QK165" i="2"/>
  <c r="QL165" i="2"/>
  <c r="QM165" i="2"/>
  <c r="QN165" i="2"/>
  <c r="QO165" i="2"/>
  <c r="QP165" i="2"/>
  <c r="QQ165" i="2"/>
  <c r="QR165" i="2"/>
  <c r="QS165" i="2"/>
  <c r="QT165" i="2"/>
  <c r="QU165" i="2"/>
  <c r="QV165" i="2"/>
  <c r="QY165" i="2"/>
  <c r="QZ165" i="2"/>
  <c r="RA165" i="2"/>
  <c r="RB165" i="2"/>
  <c r="RC165" i="2"/>
  <c r="RD165" i="2"/>
  <c r="RE165" i="2"/>
  <c r="RF165" i="2"/>
  <c r="RG165" i="2"/>
  <c r="RH165" i="2"/>
  <c r="RI165" i="2"/>
  <c r="RJ165" i="2"/>
  <c r="RK165" i="2"/>
  <c r="RL165" i="2"/>
  <c r="RO165" i="2"/>
  <c r="RP165" i="2"/>
  <c r="RQ165" i="2"/>
  <c r="RR165" i="2"/>
  <c r="RS165" i="2"/>
  <c r="RT165" i="2"/>
  <c r="RU165" i="2"/>
  <c r="RV165" i="2"/>
  <c r="RW165" i="2"/>
  <c r="RX165" i="2"/>
  <c r="RY165" i="2"/>
  <c r="RZ165" i="2"/>
  <c r="SA165" i="2"/>
  <c r="SB165" i="2"/>
  <c r="SE165" i="2"/>
  <c r="SF165" i="2"/>
  <c r="SG165" i="2"/>
  <c r="SH165" i="2"/>
  <c r="SI165" i="2"/>
  <c r="SJ165" i="2"/>
  <c r="SK165" i="2"/>
  <c r="SL165" i="2"/>
  <c r="SM165" i="2"/>
  <c r="SN165" i="2"/>
  <c r="SO165" i="2"/>
  <c r="SP165" i="2"/>
  <c r="SQ165" i="2"/>
  <c r="SR165" i="2"/>
  <c r="SU165" i="2"/>
  <c r="SV165" i="2"/>
  <c r="SW165" i="2"/>
  <c r="SX165" i="2"/>
  <c r="SY165" i="2"/>
  <c r="SZ165" i="2"/>
  <c r="TA165" i="2"/>
  <c r="TB165" i="2"/>
  <c r="TC165" i="2"/>
  <c r="TD165" i="2"/>
  <c r="TE165" i="2"/>
  <c r="TF165" i="2"/>
  <c r="TG165" i="2"/>
  <c r="TH165" i="2"/>
  <c r="TK165" i="2"/>
  <c r="TL165" i="2"/>
  <c r="TM165" i="2"/>
  <c r="TN165" i="2"/>
  <c r="TO165" i="2"/>
  <c r="TP165" i="2"/>
  <c r="TQ165" i="2"/>
  <c r="TR165" i="2"/>
  <c r="TS165" i="2"/>
  <c r="TT165" i="2"/>
  <c r="TU165" i="2"/>
  <c r="TV165" i="2"/>
  <c r="TW165" i="2"/>
  <c r="TX165" i="2"/>
  <c r="UA165" i="2"/>
  <c r="UB165" i="2"/>
  <c r="UC165" i="2"/>
  <c r="UD165" i="2"/>
  <c r="UE165" i="2"/>
  <c r="UF165" i="2"/>
  <c r="UG165" i="2"/>
  <c r="UH165" i="2"/>
  <c r="UI165" i="2"/>
  <c r="UJ165" i="2"/>
  <c r="UK165" i="2"/>
  <c r="UL165" i="2"/>
  <c r="UM165" i="2"/>
  <c r="UN165" i="2"/>
  <c r="UQ165" i="2"/>
  <c r="UR165" i="2"/>
  <c r="US165" i="2"/>
  <c r="UT165" i="2"/>
  <c r="UU165" i="2"/>
  <c r="UV165" i="2"/>
  <c r="UW165" i="2"/>
  <c r="UX165" i="2"/>
  <c r="UY165" i="2"/>
  <c r="UZ165" i="2"/>
  <c r="VA165" i="2"/>
  <c r="VB165" i="2"/>
  <c r="VC165" i="2"/>
  <c r="VD165" i="2"/>
  <c r="VG165" i="2"/>
  <c r="VH165" i="2"/>
  <c r="VI165" i="2"/>
  <c r="VJ165" i="2"/>
  <c r="VK165" i="2"/>
  <c r="VL165" i="2"/>
  <c r="VM165" i="2"/>
  <c r="VN165" i="2"/>
  <c r="VO165" i="2"/>
  <c r="VP165" i="2"/>
  <c r="VQ165" i="2"/>
  <c r="VR165" i="2"/>
  <c r="VS165" i="2"/>
  <c r="VT165" i="2"/>
  <c r="VW165" i="2"/>
  <c r="VX165" i="2"/>
  <c r="VY165" i="2"/>
  <c r="VZ165" i="2"/>
  <c r="WA165" i="2"/>
  <c r="WB165" i="2"/>
  <c r="WC165" i="2"/>
  <c r="WD165" i="2"/>
  <c r="WE165" i="2"/>
  <c r="WF165" i="2"/>
  <c r="WG165" i="2"/>
  <c r="WH165" i="2"/>
  <c r="WI165" i="2"/>
  <c r="WJ165" i="2"/>
  <c r="S203" i="2"/>
  <c r="T203" i="2"/>
  <c r="U203" i="2"/>
  <c r="V203" i="2"/>
  <c r="W203" i="2"/>
  <c r="X203" i="2"/>
  <c r="Y203" i="2"/>
  <c r="Z203" i="2"/>
  <c r="AA203" i="2"/>
  <c r="AB203" i="2"/>
  <c r="AC203" i="2"/>
  <c r="AD203" i="2"/>
  <c r="AE203" i="2"/>
  <c r="AF203" i="2"/>
  <c r="AI203" i="2"/>
  <c r="AJ203" i="2"/>
  <c r="AK203" i="2"/>
  <c r="AL203" i="2"/>
  <c r="AM203" i="2"/>
  <c r="AN203" i="2"/>
  <c r="AO203" i="2"/>
  <c r="AP203" i="2"/>
  <c r="AQ203" i="2"/>
  <c r="AR203" i="2"/>
  <c r="AS203" i="2"/>
  <c r="AT203" i="2"/>
  <c r="AU203" i="2"/>
  <c r="AV203" i="2"/>
  <c r="AY203" i="2"/>
  <c r="AZ203" i="2"/>
  <c r="BA203" i="2"/>
  <c r="BB203" i="2"/>
  <c r="BC203" i="2"/>
  <c r="BD203" i="2"/>
  <c r="BE203" i="2"/>
  <c r="BF203" i="2"/>
  <c r="BG203" i="2"/>
  <c r="BH203" i="2"/>
  <c r="BI203" i="2"/>
  <c r="BJ203" i="2"/>
  <c r="BK203" i="2"/>
  <c r="BL203" i="2"/>
  <c r="BO203" i="2"/>
  <c r="BP203" i="2"/>
  <c r="BQ203" i="2"/>
  <c r="BR203" i="2"/>
  <c r="BS203" i="2"/>
  <c r="BT203" i="2"/>
  <c r="BU203" i="2"/>
  <c r="BV203" i="2"/>
  <c r="BW203" i="2"/>
  <c r="BX203" i="2"/>
  <c r="BY203" i="2"/>
  <c r="BZ203" i="2"/>
  <c r="CA203" i="2"/>
  <c r="CB203" i="2"/>
  <c r="CE203" i="2"/>
  <c r="CF203" i="2"/>
  <c r="CG203" i="2"/>
  <c r="CH203" i="2"/>
  <c r="CI203" i="2"/>
  <c r="CJ203" i="2"/>
  <c r="CK203" i="2"/>
  <c r="CL203" i="2"/>
  <c r="CM203" i="2"/>
  <c r="CN203" i="2"/>
  <c r="CO203" i="2"/>
  <c r="CP203" i="2"/>
  <c r="CQ203" i="2"/>
  <c r="CR203" i="2"/>
  <c r="CU203" i="2"/>
  <c r="CV203" i="2"/>
  <c r="CW203" i="2"/>
  <c r="CX203" i="2"/>
  <c r="CY203" i="2"/>
  <c r="CZ203" i="2"/>
  <c r="DA203" i="2"/>
  <c r="DB203" i="2"/>
  <c r="DC203" i="2"/>
  <c r="DD203" i="2"/>
  <c r="DE203" i="2"/>
  <c r="DF203" i="2"/>
  <c r="DG203" i="2"/>
  <c r="DH203" i="2"/>
  <c r="DK203" i="2"/>
  <c r="DL203" i="2"/>
  <c r="DM203" i="2"/>
  <c r="DN203" i="2"/>
  <c r="DO203" i="2"/>
  <c r="DP203" i="2"/>
  <c r="DQ203" i="2"/>
  <c r="DR203" i="2"/>
  <c r="DS203" i="2"/>
  <c r="DT203" i="2"/>
  <c r="DU203" i="2"/>
  <c r="DV203" i="2"/>
  <c r="DW203" i="2"/>
  <c r="DX203" i="2"/>
  <c r="EA203" i="2"/>
  <c r="EB203" i="2"/>
  <c r="EC203" i="2"/>
  <c r="ED203" i="2"/>
  <c r="EE203" i="2"/>
  <c r="EF203" i="2"/>
  <c r="EG203" i="2"/>
  <c r="EH203" i="2"/>
  <c r="EI203" i="2"/>
  <c r="EJ203" i="2"/>
  <c r="EK203" i="2"/>
  <c r="EL203" i="2"/>
  <c r="EM203" i="2"/>
  <c r="EN203" i="2"/>
  <c r="EQ203" i="2"/>
  <c r="ER203" i="2"/>
  <c r="ES203" i="2"/>
  <c r="ET203" i="2"/>
  <c r="EU203" i="2"/>
  <c r="EV203" i="2"/>
  <c r="EW203" i="2"/>
  <c r="EX203" i="2"/>
  <c r="EY203" i="2"/>
  <c r="EZ203" i="2"/>
  <c r="FA203" i="2"/>
  <c r="FB203" i="2"/>
  <c r="FC203" i="2"/>
  <c r="FD203" i="2"/>
  <c r="FG203" i="2"/>
  <c r="FH203" i="2"/>
  <c r="FI203" i="2"/>
  <c r="FJ203" i="2"/>
  <c r="FK203" i="2"/>
  <c r="FL203" i="2"/>
  <c r="FM203" i="2"/>
  <c r="FN203" i="2"/>
  <c r="FO203" i="2"/>
  <c r="FP203" i="2"/>
  <c r="FQ203" i="2"/>
  <c r="FR203" i="2"/>
  <c r="FS203" i="2"/>
  <c r="FT203" i="2"/>
  <c r="FW203" i="2"/>
  <c r="FX203" i="2"/>
  <c r="FY203" i="2"/>
  <c r="FZ203" i="2"/>
  <c r="GA203" i="2"/>
  <c r="GB203" i="2"/>
  <c r="GC203" i="2"/>
  <c r="GD203" i="2"/>
  <c r="GE203" i="2"/>
  <c r="GF203" i="2"/>
  <c r="GG203" i="2"/>
  <c r="GH203" i="2"/>
  <c r="GI203" i="2"/>
  <c r="GJ203" i="2"/>
  <c r="GM203" i="2"/>
  <c r="GN203" i="2"/>
  <c r="GO203" i="2"/>
  <c r="GP203" i="2"/>
  <c r="GQ203" i="2"/>
  <c r="GR203" i="2"/>
  <c r="GS203" i="2"/>
  <c r="GT203" i="2"/>
  <c r="GU203" i="2"/>
  <c r="GV203" i="2"/>
  <c r="GW203" i="2"/>
  <c r="GX203" i="2"/>
  <c r="GY203" i="2"/>
  <c r="GZ203" i="2"/>
  <c r="HC203" i="2"/>
  <c r="HD203" i="2"/>
  <c r="HE203" i="2"/>
  <c r="HF203" i="2"/>
  <c r="HG203" i="2"/>
  <c r="HH203" i="2"/>
  <c r="HI203" i="2"/>
  <c r="HJ203" i="2"/>
  <c r="HK203" i="2"/>
  <c r="HL203" i="2"/>
  <c r="HM203" i="2"/>
  <c r="HN203" i="2"/>
  <c r="HO203" i="2"/>
  <c r="HP203" i="2"/>
  <c r="HS203" i="2"/>
  <c r="HT203" i="2"/>
  <c r="HU203" i="2"/>
  <c r="HV203" i="2"/>
  <c r="HW203" i="2"/>
  <c r="HX203" i="2"/>
  <c r="HY203" i="2"/>
  <c r="HZ203" i="2"/>
  <c r="IA203" i="2"/>
  <c r="IB203" i="2"/>
  <c r="IC203" i="2"/>
  <c r="ID203" i="2"/>
  <c r="IE203" i="2"/>
  <c r="IF203" i="2"/>
  <c r="II203" i="2"/>
  <c r="IJ203" i="2"/>
  <c r="IK203" i="2"/>
  <c r="IL203" i="2"/>
  <c r="IM203" i="2"/>
  <c r="IN203" i="2"/>
  <c r="IO203" i="2"/>
  <c r="IP203" i="2"/>
  <c r="IQ203" i="2"/>
  <c r="IR203" i="2"/>
  <c r="IS203" i="2"/>
  <c r="IT203" i="2"/>
  <c r="IU203" i="2"/>
  <c r="IV203" i="2"/>
  <c r="IY203" i="2"/>
  <c r="IZ203" i="2"/>
  <c r="JA203" i="2"/>
  <c r="JB203" i="2"/>
  <c r="JC203" i="2"/>
  <c r="JD203" i="2"/>
  <c r="JE203" i="2"/>
  <c r="JF203" i="2"/>
  <c r="JG203" i="2"/>
  <c r="JH203" i="2"/>
  <c r="JI203" i="2"/>
  <c r="JJ203" i="2"/>
  <c r="JK203" i="2"/>
  <c r="JL203" i="2"/>
  <c r="JO203" i="2"/>
  <c r="JP203" i="2"/>
  <c r="JQ203" i="2"/>
  <c r="JR203" i="2"/>
  <c r="JS203" i="2"/>
  <c r="JT203" i="2"/>
  <c r="JU203" i="2"/>
  <c r="JV203" i="2"/>
  <c r="JW203" i="2"/>
  <c r="JX203" i="2"/>
  <c r="JY203" i="2"/>
  <c r="JZ203" i="2"/>
  <c r="KA203" i="2"/>
  <c r="KB203" i="2"/>
  <c r="KE203" i="2"/>
  <c r="KF203" i="2"/>
  <c r="KG203" i="2"/>
  <c r="KH203" i="2"/>
  <c r="KI203" i="2"/>
  <c r="KJ203" i="2"/>
  <c r="KK203" i="2"/>
  <c r="KL203" i="2"/>
  <c r="KM203" i="2"/>
  <c r="KN203" i="2"/>
  <c r="KO203" i="2"/>
  <c r="KP203" i="2"/>
  <c r="KQ203" i="2"/>
  <c r="KR203" i="2"/>
  <c r="KU203" i="2"/>
  <c r="KV203" i="2"/>
  <c r="KW203" i="2"/>
  <c r="KY203" i="2"/>
  <c r="KZ203" i="2"/>
  <c r="LA203" i="2"/>
  <c r="LB203" i="2"/>
  <c r="LC203" i="2"/>
  <c r="LD203" i="2"/>
  <c r="LE203" i="2"/>
  <c r="LF203" i="2"/>
  <c r="LG203" i="2"/>
  <c r="LH203" i="2"/>
  <c r="LK203" i="2"/>
  <c r="LL203" i="2"/>
  <c r="LM203" i="2"/>
  <c r="LN203" i="2"/>
  <c r="LO203" i="2"/>
  <c r="LP203" i="2"/>
  <c r="LQ203" i="2"/>
  <c r="LR203" i="2"/>
  <c r="LS203" i="2"/>
  <c r="LT203" i="2"/>
  <c r="LU203" i="2"/>
  <c r="LV203" i="2"/>
  <c r="LW203" i="2"/>
  <c r="LX203" i="2"/>
  <c r="MA203" i="2"/>
  <c r="MB203" i="2"/>
  <c r="MC203" i="2"/>
  <c r="MD203" i="2"/>
  <c r="ME203" i="2"/>
  <c r="MF203" i="2"/>
  <c r="MG203" i="2"/>
  <c r="MH203" i="2"/>
  <c r="MI203" i="2"/>
  <c r="MJ203" i="2"/>
  <c r="MK203" i="2"/>
  <c r="ML203" i="2"/>
  <c r="MM203" i="2"/>
  <c r="MN203" i="2"/>
  <c r="MQ203" i="2"/>
  <c r="MR203" i="2"/>
  <c r="MS203" i="2"/>
  <c r="MT203" i="2"/>
  <c r="MU203" i="2"/>
  <c r="MV203" i="2"/>
  <c r="MW203" i="2"/>
  <c r="MX203" i="2"/>
  <c r="MY203" i="2"/>
  <c r="MZ203" i="2"/>
  <c r="NA203" i="2"/>
  <c r="NB203" i="2"/>
  <c r="NC203" i="2"/>
  <c r="ND203" i="2"/>
  <c r="NG203" i="2"/>
  <c r="NH203" i="2"/>
  <c r="NI203" i="2"/>
  <c r="NJ203" i="2"/>
  <c r="NK203" i="2"/>
  <c r="NL203" i="2"/>
  <c r="NM203" i="2"/>
  <c r="NN203" i="2"/>
  <c r="NO203" i="2"/>
  <c r="NP203" i="2"/>
  <c r="NQ203" i="2"/>
  <c r="NR203" i="2"/>
  <c r="NS203" i="2"/>
  <c r="NT203" i="2"/>
  <c r="NW203" i="2"/>
  <c r="NX203" i="2"/>
  <c r="NY203" i="2"/>
  <c r="NZ203" i="2"/>
  <c r="OA203" i="2"/>
  <c r="OB203" i="2"/>
  <c r="OC203" i="2"/>
  <c r="OD203" i="2"/>
  <c r="OE203" i="2"/>
  <c r="OF203" i="2"/>
  <c r="OG203" i="2"/>
  <c r="OH203" i="2"/>
  <c r="OI203" i="2"/>
  <c r="OJ203" i="2"/>
  <c r="OM203" i="2"/>
  <c r="ON203" i="2"/>
  <c r="OO203" i="2"/>
  <c r="OP203" i="2"/>
  <c r="OQ203" i="2"/>
  <c r="OR203" i="2"/>
  <c r="OS203" i="2"/>
  <c r="OT203" i="2"/>
  <c r="OU203" i="2"/>
  <c r="OV203" i="2"/>
  <c r="OW203" i="2"/>
  <c r="OX203" i="2"/>
  <c r="OY203" i="2"/>
  <c r="OZ203" i="2"/>
  <c r="PC203" i="2"/>
  <c r="PD203" i="2"/>
  <c r="PE203" i="2"/>
  <c r="PF203" i="2"/>
  <c r="PG203" i="2"/>
  <c r="PH203" i="2"/>
  <c r="PI203" i="2"/>
  <c r="PJ203" i="2"/>
  <c r="PK203" i="2"/>
  <c r="PL203" i="2"/>
  <c r="PM203" i="2"/>
  <c r="PN203" i="2"/>
  <c r="PO203" i="2"/>
  <c r="PP203" i="2"/>
  <c r="PS203" i="2"/>
  <c r="PT203" i="2"/>
  <c r="PU203" i="2"/>
  <c r="PV203" i="2"/>
  <c r="PW203" i="2"/>
  <c r="PX203" i="2"/>
  <c r="PY203" i="2"/>
  <c r="PZ203" i="2"/>
  <c r="QA203" i="2"/>
  <c r="QB203" i="2"/>
  <c r="QC203" i="2"/>
  <c r="QD203" i="2"/>
  <c r="QE203" i="2"/>
  <c r="QF203" i="2"/>
  <c r="QI203" i="2"/>
  <c r="QJ203" i="2"/>
  <c r="QK203" i="2"/>
  <c r="QL203" i="2"/>
  <c r="QM203" i="2"/>
  <c r="QN203" i="2"/>
  <c r="QO203" i="2"/>
  <c r="QP203" i="2"/>
  <c r="QQ203" i="2"/>
  <c r="QR203" i="2"/>
  <c r="QS203" i="2"/>
  <c r="QT203" i="2"/>
  <c r="QU203" i="2"/>
  <c r="QV203" i="2"/>
  <c r="QY203" i="2"/>
  <c r="QZ203" i="2"/>
  <c r="RA203" i="2"/>
  <c r="RB203" i="2"/>
  <c r="RC203" i="2"/>
  <c r="RD203" i="2"/>
  <c r="RE203" i="2"/>
  <c r="RF203" i="2"/>
  <c r="RG203" i="2"/>
  <c r="RH203" i="2"/>
  <c r="RI203" i="2"/>
  <c r="RJ203" i="2"/>
  <c r="RK203" i="2"/>
  <c r="RL203" i="2"/>
  <c r="RO203" i="2"/>
  <c r="RP203" i="2"/>
  <c r="RQ203" i="2"/>
  <c r="RR203" i="2"/>
  <c r="RS203" i="2"/>
  <c r="RT203" i="2"/>
  <c r="RU203" i="2"/>
  <c r="RV203" i="2"/>
  <c r="RW203" i="2"/>
  <c r="RX203" i="2"/>
  <c r="RY203" i="2"/>
  <c r="RZ203" i="2"/>
  <c r="SA203" i="2"/>
  <c r="SB203" i="2"/>
  <c r="SE203" i="2"/>
  <c r="SF203" i="2"/>
  <c r="SG203" i="2"/>
  <c r="SH203" i="2"/>
  <c r="SI203" i="2"/>
  <c r="SJ203" i="2"/>
  <c r="SK203" i="2"/>
  <c r="SL203" i="2"/>
  <c r="SM203" i="2"/>
  <c r="SN203" i="2"/>
  <c r="SO203" i="2"/>
  <c r="SP203" i="2"/>
  <c r="SQ203" i="2"/>
  <c r="SR203" i="2"/>
  <c r="SU203" i="2"/>
  <c r="SV203" i="2"/>
  <c r="SW203" i="2"/>
  <c r="SX203" i="2"/>
  <c r="SY203" i="2"/>
  <c r="SZ203" i="2"/>
  <c r="TA203" i="2"/>
  <c r="TB203" i="2"/>
  <c r="TC203" i="2"/>
  <c r="TD203" i="2"/>
  <c r="TE203" i="2"/>
  <c r="TF203" i="2"/>
  <c r="TG203" i="2"/>
  <c r="TH203" i="2"/>
  <c r="TK203" i="2"/>
  <c r="TL203" i="2"/>
  <c r="TM203" i="2"/>
  <c r="TN203" i="2"/>
  <c r="TO203" i="2"/>
  <c r="TP203" i="2"/>
  <c r="TQ203" i="2"/>
  <c r="TR203" i="2"/>
  <c r="TS203" i="2"/>
  <c r="TT203" i="2"/>
  <c r="TU203" i="2"/>
  <c r="TV203" i="2"/>
  <c r="TW203" i="2"/>
  <c r="TX203" i="2"/>
  <c r="UA203" i="2"/>
  <c r="UB203" i="2"/>
  <c r="UC203" i="2"/>
  <c r="UD203" i="2"/>
  <c r="UE203" i="2"/>
  <c r="UF203" i="2"/>
  <c r="UG203" i="2"/>
  <c r="UH203" i="2"/>
  <c r="UI203" i="2"/>
  <c r="UJ203" i="2"/>
  <c r="UK203" i="2"/>
  <c r="UL203" i="2"/>
  <c r="UM203" i="2"/>
  <c r="UN203" i="2"/>
  <c r="UQ203" i="2"/>
  <c r="UR203" i="2"/>
  <c r="US203" i="2"/>
  <c r="UT203" i="2"/>
  <c r="UU203" i="2"/>
  <c r="UV203" i="2"/>
  <c r="UW203" i="2"/>
  <c r="UX203" i="2"/>
  <c r="UY203" i="2"/>
  <c r="UZ203" i="2"/>
  <c r="VA203" i="2"/>
  <c r="VB203" i="2"/>
  <c r="VC203" i="2"/>
  <c r="VD203" i="2"/>
  <c r="VG203" i="2"/>
  <c r="VH203" i="2"/>
  <c r="VI203" i="2"/>
  <c r="VJ203" i="2"/>
  <c r="VK203" i="2"/>
  <c r="VL203" i="2"/>
  <c r="VM203" i="2"/>
  <c r="VN203" i="2"/>
  <c r="VO203" i="2"/>
  <c r="VP203" i="2"/>
  <c r="VQ203" i="2"/>
  <c r="VR203" i="2"/>
  <c r="VS203" i="2"/>
  <c r="VT203" i="2"/>
  <c r="VW203" i="2"/>
  <c r="VX203" i="2"/>
  <c r="VY203" i="2"/>
  <c r="VZ203" i="2"/>
  <c r="WA203" i="2"/>
  <c r="WB203" i="2"/>
  <c r="WC203" i="2"/>
  <c r="WD203" i="2"/>
  <c r="WE203" i="2"/>
  <c r="WF203" i="2"/>
  <c r="WG203" i="2"/>
  <c r="WH203" i="2"/>
  <c r="WI203" i="2"/>
  <c r="WJ203" i="2"/>
  <c r="S241" i="2"/>
  <c r="T241" i="2"/>
  <c r="U241" i="2"/>
  <c r="V241" i="2"/>
  <c r="W241" i="2"/>
  <c r="X241" i="2"/>
  <c r="Y241" i="2"/>
  <c r="Z241" i="2"/>
  <c r="AA241" i="2"/>
  <c r="AB241" i="2"/>
  <c r="AC241" i="2"/>
  <c r="AD241" i="2"/>
  <c r="AE241" i="2"/>
  <c r="AF241" i="2"/>
  <c r="AI241" i="2"/>
  <c r="AJ241" i="2"/>
  <c r="AK241" i="2"/>
  <c r="AL241" i="2"/>
  <c r="AM241" i="2"/>
  <c r="AO241" i="2"/>
  <c r="AP241" i="2"/>
  <c r="AQ241" i="2"/>
  <c r="AR241" i="2"/>
  <c r="AS241" i="2"/>
  <c r="AT241" i="2"/>
  <c r="AU241" i="2"/>
  <c r="AV241" i="2"/>
  <c r="AY241" i="2"/>
  <c r="AZ241" i="2"/>
  <c r="BA241" i="2"/>
  <c r="BB241" i="2"/>
  <c r="BC241" i="2"/>
  <c r="BD241" i="2"/>
  <c r="BE241" i="2"/>
  <c r="BF241" i="2"/>
  <c r="BG241" i="2"/>
  <c r="BH241" i="2"/>
  <c r="BI241" i="2"/>
  <c r="BJ241" i="2"/>
  <c r="BK241" i="2"/>
  <c r="BL241" i="2"/>
  <c r="BO241" i="2"/>
  <c r="BP241" i="2"/>
  <c r="BQ241" i="2"/>
  <c r="BR241" i="2"/>
  <c r="BS241" i="2"/>
  <c r="BT241" i="2"/>
  <c r="BU241" i="2"/>
  <c r="BV241" i="2"/>
  <c r="BW241" i="2"/>
  <c r="BX241" i="2"/>
  <c r="BY241" i="2"/>
  <c r="BZ241" i="2"/>
  <c r="CA241" i="2"/>
  <c r="CB241" i="2"/>
  <c r="CE241" i="2"/>
  <c r="CF241" i="2"/>
  <c r="CG241" i="2"/>
  <c r="CH241" i="2"/>
  <c r="CI241" i="2"/>
  <c r="CJ241" i="2"/>
  <c r="CK241" i="2"/>
  <c r="CL241" i="2"/>
  <c r="CM241" i="2"/>
  <c r="CN241" i="2"/>
  <c r="CO241" i="2"/>
  <c r="CP241" i="2"/>
  <c r="CQ241" i="2"/>
  <c r="CR241" i="2"/>
  <c r="CU241" i="2"/>
  <c r="CV241" i="2"/>
  <c r="CW241" i="2"/>
  <c r="CX241" i="2"/>
  <c r="CY241" i="2"/>
  <c r="CZ241" i="2"/>
  <c r="DA241" i="2"/>
  <c r="DB241" i="2"/>
  <c r="DC241" i="2"/>
  <c r="DD241" i="2"/>
  <c r="DE241" i="2"/>
  <c r="DF241" i="2"/>
  <c r="DG241" i="2"/>
  <c r="DH241" i="2"/>
  <c r="DK241" i="2"/>
  <c r="DL241" i="2"/>
  <c r="DM241" i="2"/>
  <c r="DN241" i="2"/>
  <c r="DO241" i="2"/>
  <c r="DP241" i="2"/>
  <c r="DQ241" i="2"/>
  <c r="DR241" i="2"/>
  <c r="DS241" i="2"/>
  <c r="DT241" i="2"/>
  <c r="DU241" i="2"/>
  <c r="DV241" i="2"/>
  <c r="DW241" i="2"/>
  <c r="DX241" i="2"/>
  <c r="EA241" i="2"/>
  <c r="EB241" i="2"/>
  <c r="EC241" i="2"/>
  <c r="ED241" i="2"/>
  <c r="EE241" i="2"/>
  <c r="EF241" i="2"/>
  <c r="EG241" i="2"/>
  <c r="EH241" i="2"/>
  <c r="EI241" i="2"/>
  <c r="EJ241" i="2"/>
  <c r="EK241" i="2"/>
  <c r="EL241" i="2"/>
  <c r="EM241" i="2"/>
  <c r="EN241" i="2"/>
  <c r="EQ241" i="2"/>
  <c r="ER241" i="2"/>
  <c r="ES241" i="2"/>
  <c r="ET241" i="2"/>
  <c r="EU241" i="2"/>
  <c r="EV241" i="2"/>
  <c r="EW241" i="2"/>
  <c r="EX241" i="2"/>
  <c r="EY241" i="2"/>
  <c r="EZ241" i="2"/>
  <c r="FA241" i="2"/>
  <c r="FB241" i="2"/>
  <c r="FC241" i="2"/>
  <c r="FD241" i="2"/>
  <c r="FG241" i="2"/>
  <c r="FH241" i="2"/>
  <c r="FI241" i="2"/>
  <c r="FJ241" i="2"/>
  <c r="FK241" i="2"/>
  <c r="FL241" i="2"/>
  <c r="FM241" i="2"/>
  <c r="FN241" i="2"/>
  <c r="FO241" i="2"/>
  <c r="FP241" i="2"/>
  <c r="FQ241" i="2"/>
  <c r="FR241" i="2"/>
  <c r="FS241" i="2"/>
  <c r="FT241" i="2"/>
  <c r="FW241" i="2"/>
  <c r="FX241" i="2"/>
  <c r="FY241" i="2"/>
  <c r="FZ241" i="2"/>
  <c r="GA241" i="2"/>
  <c r="GB241" i="2"/>
  <c r="GC241" i="2"/>
  <c r="GD241" i="2"/>
  <c r="GE241" i="2"/>
  <c r="GF241" i="2"/>
  <c r="GG241" i="2"/>
  <c r="GH241" i="2"/>
  <c r="GI241" i="2"/>
  <c r="GJ241" i="2"/>
  <c r="GM241" i="2"/>
  <c r="GN241" i="2"/>
  <c r="GO241" i="2"/>
  <c r="GP241" i="2"/>
  <c r="GQ241" i="2"/>
  <c r="GR241" i="2"/>
  <c r="GS241" i="2"/>
  <c r="GT241" i="2"/>
  <c r="GU241" i="2"/>
  <c r="GV241" i="2"/>
  <c r="GW241" i="2"/>
  <c r="GX241" i="2"/>
  <c r="GY241" i="2"/>
  <c r="GZ241" i="2"/>
  <c r="HC241" i="2"/>
  <c r="HD241" i="2"/>
  <c r="HE241" i="2"/>
  <c r="HF241" i="2"/>
  <c r="HG241" i="2"/>
  <c r="HH241" i="2"/>
  <c r="HI241" i="2"/>
  <c r="HJ241" i="2"/>
  <c r="HK241" i="2"/>
  <c r="HL241" i="2"/>
  <c r="HM241" i="2"/>
  <c r="HN241" i="2"/>
  <c r="HO241" i="2"/>
  <c r="HP241" i="2"/>
  <c r="HS241" i="2"/>
  <c r="HT241" i="2"/>
  <c r="HU241" i="2"/>
  <c r="HV241" i="2"/>
  <c r="HW241" i="2"/>
  <c r="HX241" i="2"/>
  <c r="HY241" i="2"/>
  <c r="HZ241" i="2"/>
  <c r="IA241" i="2"/>
  <c r="IB241" i="2"/>
  <c r="IC241" i="2"/>
  <c r="ID241" i="2"/>
  <c r="IE241" i="2"/>
  <c r="IF241" i="2"/>
  <c r="II241" i="2"/>
  <c r="IJ241" i="2"/>
  <c r="IK241" i="2"/>
  <c r="IL241" i="2"/>
  <c r="IM241" i="2"/>
  <c r="IN241" i="2"/>
  <c r="IO241" i="2"/>
  <c r="IP241" i="2"/>
  <c r="IQ241" i="2"/>
  <c r="IR241" i="2"/>
  <c r="IS241" i="2"/>
  <c r="IT241" i="2"/>
  <c r="IU241" i="2"/>
  <c r="IV241" i="2"/>
  <c r="IY241" i="2"/>
  <c r="IZ241" i="2"/>
  <c r="JA241" i="2"/>
  <c r="JB241" i="2"/>
  <c r="JC241" i="2"/>
  <c r="JD241" i="2"/>
  <c r="JE241" i="2"/>
  <c r="JF241" i="2"/>
  <c r="JG241" i="2"/>
  <c r="JH241" i="2"/>
  <c r="JI241" i="2"/>
  <c r="JJ241" i="2"/>
  <c r="JK241" i="2"/>
  <c r="JL241" i="2"/>
  <c r="JO241" i="2"/>
  <c r="JP241" i="2"/>
  <c r="JQ241" i="2"/>
  <c r="JR241" i="2"/>
  <c r="JS241" i="2"/>
  <c r="JT241" i="2"/>
  <c r="JU241" i="2"/>
  <c r="JV241" i="2"/>
  <c r="JW241" i="2"/>
  <c r="JX241" i="2"/>
  <c r="JY241" i="2"/>
  <c r="JZ241" i="2"/>
  <c r="KA241" i="2"/>
  <c r="KB241" i="2"/>
  <c r="KE241" i="2"/>
  <c r="KF241" i="2"/>
  <c r="KG241" i="2"/>
  <c r="KH241" i="2"/>
  <c r="KI241" i="2"/>
  <c r="KJ241" i="2"/>
  <c r="KK241" i="2"/>
  <c r="KL241" i="2"/>
  <c r="KM241" i="2"/>
  <c r="KN241" i="2"/>
  <c r="KO241" i="2"/>
  <c r="KP241" i="2"/>
  <c r="KQ241" i="2"/>
  <c r="KR241" i="2"/>
  <c r="KU241" i="2"/>
  <c r="KV241" i="2"/>
  <c r="KW241" i="2"/>
  <c r="KY241" i="2"/>
  <c r="KZ241" i="2"/>
  <c r="LA241" i="2"/>
  <c r="LB241" i="2"/>
  <c r="LC241" i="2"/>
  <c r="LD241" i="2"/>
  <c r="LE241" i="2"/>
  <c r="LF241" i="2"/>
  <c r="LG241" i="2"/>
  <c r="LH241" i="2"/>
  <c r="LK241" i="2"/>
  <c r="LL241" i="2"/>
  <c r="LM241" i="2"/>
  <c r="LN241" i="2"/>
  <c r="LO241" i="2"/>
  <c r="LP241" i="2"/>
  <c r="LQ241" i="2"/>
  <c r="LR241" i="2"/>
  <c r="LS241" i="2"/>
  <c r="LT241" i="2"/>
  <c r="LU241" i="2"/>
  <c r="LV241" i="2"/>
  <c r="LW241" i="2"/>
  <c r="LX241" i="2"/>
  <c r="MA241" i="2"/>
  <c r="MB241" i="2"/>
  <c r="MC241" i="2"/>
  <c r="MD241" i="2"/>
  <c r="ME241" i="2"/>
  <c r="MF241" i="2"/>
  <c r="MG241" i="2"/>
  <c r="MH241" i="2"/>
  <c r="MI241" i="2"/>
  <c r="MJ241" i="2"/>
  <c r="MK241" i="2"/>
  <c r="ML241" i="2"/>
  <c r="MM241" i="2"/>
  <c r="MN241" i="2"/>
  <c r="MQ241" i="2"/>
  <c r="MR241" i="2"/>
  <c r="MS241" i="2"/>
  <c r="MT241" i="2"/>
  <c r="MU241" i="2"/>
  <c r="MV241" i="2"/>
  <c r="MW241" i="2"/>
  <c r="MX241" i="2"/>
  <c r="MY241" i="2"/>
  <c r="MZ241" i="2"/>
  <c r="NA241" i="2"/>
  <c r="NB241" i="2"/>
  <c r="NC241" i="2"/>
  <c r="ND241" i="2"/>
  <c r="NG241" i="2"/>
  <c r="NH241" i="2"/>
  <c r="NI241" i="2"/>
  <c r="NJ241" i="2"/>
  <c r="NK241" i="2"/>
  <c r="NL241" i="2"/>
  <c r="NM241" i="2"/>
  <c r="NN241" i="2"/>
  <c r="NO241" i="2"/>
  <c r="NP241" i="2"/>
  <c r="NQ241" i="2"/>
  <c r="NR241" i="2"/>
  <c r="NS241" i="2"/>
  <c r="NT241" i="2"/>
  <c r="NW241" i="2"/>
  <c r="NX241" i="2"/>
  <c r="NY241" i="2"/>
  <c r="NZ241" i="2"/>
  <c r="OA241" i="2"/>
  <c r="OB241" i="2"/>
  <c r="OC241" i="2"/>
  <c r="OD241" i="2"/>
  <c r="OE241" i="2"/>
  <c r="OF241" i="2"/>
  <c r="OG241" i="2"/>
  <c r="OH241" i="2"/>
  <c r="OI241" i="2"/>
  <c r="OJ241" i="2"/>
  <c r="OM241" i="2"/>
  <c r="ON241" i="2"/>
  <c r="OO241" i="2"/>
  <c r="OP241" i="2"/>
  <c r="OQ241" i="2"/>
  <c r="OR241" i="2"/>
  <c r="OS241" i="2"/>
  <c r="OT241" i="2"/>
  <c r="OU241" i="2"/>
  <c r="OV241" i="2"/>
  <c r="OW241" i="2"/>
  <c r="OX241" i="2"/>
  <c r="OY241" i="2"/>
  <c r="OZ241" i="2"/>
  <c r="PC241" i="2"/>
  <c r="PD241" i="2"/>
  <c r="PE241" i="2"/>
  <c r="PF241" i="2"/>
  <c r="PG241" i="2"/>
  <c r="PH241" i="2"/>
  <c r="PI241" i="2"/>
  <c r="PJ241" i="2"/>
  <c r="PK241" i="2"/>
  <c r="PL241" i="2"/>
  <c r="PM241" i="2"/>
  <c r="PN241" i="2"/>
  <c r="PO241" i="2"/>
  <c r="PP241" i="2"/>
  <c r="PS241" i="2"/>
  <c r="PT241" i="2"/>
  <c r="PU241" i="2"/>
  <c r="PV241" i="2"/>
  <c r="PW241" i="2"/>
  <c r="PX241" i="2"/>
  <c r="PY241" i="2"/>
  <c r="PZ241" i="2"/>
  <c r="QA241" i="2"/>
  <c r="QB241" i="2"/>
  <c r="QC241" i="2"/>
  <c r="QD241" i="2"/>
  <c r="QE241" i="2"/>
  <c r="QF241" i="2"/>
  <c r="QI241" i="2"/>
  <c r="QJ241" i="2"/>
  <c r="QK241" i="2"/>
  <c r="QL241" i="2"/>
  <c r="QM241" i="2"/>
  <c r="QN241" i="2"/>
  <c r="QO241" i="2"/>
  <c r="QP241" i="2"/>
  <c r="QQ241" i="2"/>
  <c r="QR241" i="2"/>
  <c r="QS241" i="2"/>
  <c r="QT241" i="2"/>
  <c r="QU241" i="2"/>
  <c r="QV241" i="2"/>
  <c r="QY241" i="2"/>
  <c r="QZ241" i="2"/>
  <c r="RA241" i="2"/>
  <c r="RB241" i="2"/>
  <c r="RC241" i="2"/>
  <c r="RD241" i="2"/>
  <c r="RE241" i="2"/>
  <c r="RF241" i="2"/>
  <c r="RG241" i="2"/>
  <c r="RH241" i="2"/>
  <c r="RI241" i="2"/>
  <c r="RJ241" i="2"/>
  <c r="RK241" i="2"/>
  <c r="RL241" i="2"/>
  <c r="RO241" i="2"/>
  <c r="RP241" i="2"/>
  <c r="RQ241" i="2"/>
  <c r="RR241" i="2"/>
  <c r="RS241" i="2"/>
  <c r="RT241" i="2"/>
  <c r="RU241" i="2"/>
  <c r="RV241" i="2"/>
  <c r="RW241" i="2"/>
  <c r="RX241" i="2"/>
  <c r="RY241" i="2"/>
  <c r="RZ241" i="2"/>
  <c r="SA241" i="2"/>
  <c r="SB241" i="2"/>
  <c r="SE241" i="2"/>
  <c r="SF241" i="2"/>
  <c r="SG241" i="2"/>
  <c r="SH241" i="2"/>
  <c r="SI241" i="2"/>
  <c r="SJ241" i="2"/>
  <c r="SK241" i="2"/>
  <c r="SL241" i="2"/>
  <c r="SM241" i="2"/>
  <c r="SN241" i="2"/>
  <c r="SO241" i="2"/>
  <c r="SP241" i="2"/>
  <c r="SQ241" i="2"/>
  <c r="SR241" i="2"/>
  <c r="SU241" i="2"/>
  <c r="SV241" i="2"/>
  <c r="SW241" i="2"/>
  <c r="SX241" i="2"/>
  <c r="SY241" i="2"/>
  <c r="SZ241" i="2"/>
  <c r="TA241" i="2"/>
  <c r="TB241" i="2"/>
  <c r="TC241" i="2"/>
  <c r="TD241" i="2"/>
  <c r="TE241" i="2"/>
  <c r="TF241" i="2"/>
  <c r="TG241" i="2"/>
  <c r="TH241" i="2"/>
  <c r="TK241" i="2"/>
  <c r="TL241" i="2"/>
  <c r="TM241" i="2"/>
  <c r="TN241" i="2"/>
  <c r="TO241" i="2"/>
  <c r="TP241" i="2"/>
  <c r="TQ241" i="2"/>
  <c r="TR241" i="2"/>
  <c r="TS241" i="2"/>
  <c r="TT241" i="2"/>
  <c r="TU241" i="2"/>
  <c r="TV241" i="2"/>
  <c r="TW241" i="2"/>
  <c r="TX241" i="2"/>
  <c r="UA241" i="2"/>
  <c r="UB241" i="2"/>
  <c r="UC241" i="2"/>
  <c r="UD241" i="2"/>
  <c r="UE241" i="2"/>
  <c r="UF241" i="2"/>
  <c r="UG241" i="2"/>
  <c r="UH241" i="2"/>
  <c r="UI241" i="2"/>
  <c r="UJ241" i="2"/>
  <c r="UK241" i="2"/>
  <c r="UL241" i="2"/>
  <c r="UM241" i="2"/>
  <c r="UN241" i="2"/>
  <c r="UQ241" i="2"/>
  <c r="UR241" i="2"/>
  <c r="US241" i="2"/>
  <c r="UT241" i="2"/>
  <c r="UU241" i="2"/>
  <c r="UV241" i="2"/>
  <c r="UW241" i="2"/>
  <c r="UX241" i="2"/>
  <c r="UY241" i="2"/>
  <c r="UZ241" i="2"/>
  <c r="VA241" i="2"/>
  <c r="VB241" i="2"/>
  <c r="VC241" i="2"/>
  <c r="VD241" i="2"/>
  <c r="VG241" i="2"/>
  <c r="VH241" i="2"/>
  <c r="VI241" i="2"/>
  <c r="VJ241" i="2"/>
  <c r="VK241" i="2"/>
  <c r="VL241" i="2"/>
  <c r="VM241" i="2"/>
  <c r="VN241" i="2"/>
  <c r="VO241" i="2"/>
  <c r="VP241" i="2"/>
  <c r="VQ241" i="2"/>
  <c r="VR241" i="2"/>
  <c r="VS241" i="2"/>
  <c r="VT241" i="2"/>
  <c r="VW241" i="2"/>
  <c r="VX241" i="2"/>
  <c r="VY241" i="2"/>
  <c r="VZ241" i="2"/>
  <c r="WA241" i="2"/>
  <c r="WB241" i="2"/>
  <c r="WC241" i="2"/>
  <c r="WD241" i="2"/>
  <c r="WE241" i="2"/>
  <c r="WF241" i="2"/>
  <c r="WG241" i="2"/>
  <c r="WH241" i="2"/>
  <c r="WI241" i="2"/>
  <c r="WJ241" i="2"/>
  <c r="S279" i="2"/>
  <c r="T279" i="2"/>
  <c r="U279" i="2"/>
  <c r="V279" i="2"/>
  <c r="W279" i="2"/>
  <c r="X279" i="2"/>
  <c r="Y279" i="2"/>
  <c r="Z279" i="2"/>
  <c r="AA279" i="2"/>
  <c r="AB279" i="2"/>
  <c r="AC279" i="2"/>
  <c r="AD279" i="2"/>
  <c r="AE279" i="2"/>
  <c r="AF279" i="2"/>
  <c r="AI279" i="2"/>
  <c r="AJ279" i="2"/>
  <c r="AK279" i="2"/>
  <c r="AL279" i="2"/>
  <c r="AM279" i="2"/>
  <c r="AN279" i="2"/>
  <c r="AO279" i="2"/>
  <c r="AP279" i="2"/>
  <c r="AQ279" i="2"/>
  <c r="AR279" i="2"/>
  <c r="AS279" i="2"/>
  <c r="AT279" i="2"/>
  <c r="AU279" i="2"/>
  <c r="AV279" i="2"/>
  <c r="AY279" i="2"/>
  <c r="AZ279" i="2"/>
  <c r="BA279" i="2"/>
  <c r="BB279" i="2"/>
  <c r="BC279" i="2"/>
  <c r="BD279" i="2"/>
  <c r="BE279" i="2"/>
  <c r="BF279" i="2"/>
  <c r="BG279" i="2"/>
  <c r="BH279" i="2"/>
  <c r="BI279" i="2"/>
  <c r="BJ279" i="2"/>
  <c r="BK279" i="2"/>
  <c r="BL279" i="2"/>
  <c r="BO279" i="2"/>
  <c r="BP279" i="2"/>
  <c r="BQ279" i="2"/>
  <c r="BR279" i="2"/>
  <c r="BS279" i="2"/>
  <c r="BT279" i="2"/>
  <c r="BU279" i="2"/>
  <c r="BV279" i="2"/>
  <c r="BW279" i="2"/>
  <c r="BX279" i="2"/>
  <c r="BY279" i="2"/>
  <c r="BZ279" i="2"/>
  <c r="CA279" i="2"/>
  <c r="CB279" i="2"/>
  <c r="CE279" i="2"/>
  <c r="CF279" i="2"/>
  <c r="CG279" i="2"/>
  <c r="CH279" i="2"/>
  <c r="CI279" i="2"/>
  <c r="CJ279" i="2"/>
  <c r="CK279" i="2"/>
  <c r="CL279" i="2"/>
  <c r="CM279" i="2"/>
  <c r="CN279" i="2"/>
  <c r="CO279" i="2"/>
  <c r="CP279" i="2"/>
  <c r="CQ279" i="2"/>
  <c r="CR279" i="2"/>
  <c r="CU279" i="2"/>
  <c r="CV279" i="2"/>
  <c r="CW279" i="2"/>
  <c r="CX279" i="2"/>
  <c r="CY279" i="2"/>
  <c r="CZ279" i="2"/>
  <c r="DA279" i="2"/>
  <c r="DB279" i="2"/>
  <c r="DC279" i="2"/>
  <c r="DD279" i="2"/>
  <c r="DE279" i="2"/>
  <c r="DF279" i="2"/>
  <c r="DG279" i="2"/>
  <c r="DH279" i="2"/>
  <c r="DK279" i="2"/>
  <c r="DL279" i="2"/>
  <c r="DM279" i="2"/>
  <c r="DN279" i="2"/>
  <c r="DO279" i="2"/>
  <c r="DP279" i="2"/>
  <c r="DQ279" i="2"/>
  <c r="DR279" i="2"/>
  <c r="DS279" i="2"/>
  <c r="DT279" i="2"/>
  <c r="DU279" i="2"/>
  <c r="DV279" i="2"/>
  <c r="DW279" i="2"/>
  <c r="DX279" i="2"/>
  <c r="EA279" i="2"/>
  <c r="EB279" i="2"/>
  <c r="EC279" i="2"/>
  <c r="ED279" i="2"/>
  <c r="EE279" i="2"/>
  <c r="EF279" i="2"/>
  <c r="EG279" i="2"/>
  <c r="EH279" i="2"/>
  <c r="EI279" i="2"/>
  <c r="EJ279" i="2"/>
  <c r="EK279" i="2"/>
  <c r="EL279" i="2"/>
  <c r="EM279" i="2"/>
  <c r="EN279" i="2"/>
  <c r="EQ279" i="2"/>
  <c r="ER279" i="2"/>
  <c r="ES279" i="2"/>
  <c r="ET279" i="2"/>
  <c r="EU279" i="2"/>
  <c r="EV279" i="2"/>
  <c r="EW279" i="2"/>
  <c r="EX279" i="2"/>
  <c r="EY279" i="2"/>
  <c r="EZ279" i="2"/>
  <c r="FA279" i="2"/>
  <c r="FB279" i="2"/>
  <c r="FC279" i="2"/>
  <c r="FD279" i="2"/>
  <c r="FG279" i="2"/>
  <c r="FH279" i="2"/>
  <c r="FI279" i="2"/>
  <c r="FJ279" i="2"/>
  <c r="FK279" i="2"/>
  <c r="FL279" i="2"/>
  <c r="FM279" i="2"/>
  <c r="FN279" i="2"/>
  <c r="FO279" i="2"/>
  <c r="FP279" i="2"/>
  <c r="FQ279" i="2"/>
  <c r="FR279" i="2"/>
  <c r="FS279" i="2"/>
  <c r="FT279" i="2"/>
  <c r="FW279" i="2"/>
  <c r="FX279" i="2"/>
  <c r="FY279" i="2"/>
  <c r="FZ279" i="2"/>
  <c r="GA279" i="2"/>
  <c r="GB279" i="2"/>
  <c r="GC279" i="2"/>
  <c r="GD279" i="2"/>
  <c r="GE279" i="2"/>
  <c r="GF279" i="2"/>
  <c r="GG279" i="2"/>
  <c r="GH279" i="2"/>
  <c r="GI279" i="2"/>
  <c r="GJ279" i="2"/>
  <c r="GM279" i="2"/>
  <c r="GN279" i="2"/>
  <c r="GO279" i="2"/>
  <c r="GP279" i="2"/>
  <c r="GQ279" i="2"/>
  <c r="GR279" i="2"/>
  <c r="GS279" i="2"/>
  <c r="GT279" i="2"/>
  <c r="GU279" i="2"/>
  <c r="GV279" i="2"/>
  <c r="GW279" i="2"/>
  <c r="GX279" i="2"/>
  <c r="GY279" i="2"/>
  <c r="GZ279" i="2"/>
  <c r="HC279" i="2"/>
  <c r="HD279" i="2"/>
  <c r="HE279" i="2"/>
  <c r="HF279" i="2"/>
  <c r="HG279" i="2"/>
  <c r="HH279" i="2"/>
  <c r="HI279" i="2"/>
  <c r="HJ279" i="2"/>
  <c r="HK279" i="2"/>
  <c r="HL279" i="2"/>
  <c r="HM279" i="2"/>
  <c r="HN279" i="2"/>
  <c r="HO279" i="2"/>
  <c r="HP279" i="2"/>
  <c r="HS279" i="2"/>
  <c r="HT279" i="2"/>
  <c r="HU279" i="2"/>
  <c r="HV279" i="2"/>
  <c r="HW279" i="2"/>
  <c r="HX279" i="2"/>
  <c r="HY279" i="2"/>
  <c r="HZ279" i="2"/>
  <c r="IA279" i="2"/>
  <c r="IB279" i="2"/>
  <c r="IC279" i="2"/>
  <c r="ID279" i="2"/>
  <c r="IE279" i="2"/>
  <c r="IF279" i="2"/>
  <c r="II279" i="2"/>
  <c r="IJ279" i="2"/>
  <c r="IK279" i="2"/>
  <c r="IL279" i="2"/>
  <c r="IM279" i="2"/>
  <c r="IN279" i="2"/>
  <c r="IO279" i="2"/>
  <c r="IP279" i="2"/>
  <c r="IQ279" i="2"/>
  <c r="IR279" i="2"/>
  <c r="IS279" i="2"/>
  <c r="IT279" i="2"/>
  <c r="IU279" i="2"/>
  <c r="IV279" i="2"/>
  <c r="IY279" i="2"/>
  <c r="IZ279" i="2"/>
  <c r="JA279" i="2"/>
  <c r="JB279" i="2"/>
  <c r="JC279" i="2"/>
  <c r="JD279" i="2"/>
  <c r="JE279" i="2"/>
  <c r="JF279" i="2"/>
  <c r="JG279" i="2"/>
  <c r="JH279" i="2"/>
  <c r="JI279" i="2"/>
  <c r="JJ279" i="2"/>
  <c r="JK279" i="2"/>
  <c r="JL279" i="2"/>
  <c r="JO279" i="2"/>
  <c r="JP279" i="2"/>
  <c r="JQ279" i="2"/>
  <c r="JR279" i="2"/>
  <c r="JS279" i="2"/>
  <c r="JT279" i="2"/>
  <c r="JU279" i="2"/>
  <c r="JV279" i="2"/>
  <c r="JW279" i="2"/>
  <c r="JX279" i="2"/>
  <c r="JY279" i="2"/>
  <c r="JZ279" i="2"/>
  <c r="KA279" i="2"/>
  <c r="KB279" i="2"/>
  <c r="KE279" i="2"/>
  <c r="KF279" i="2"/>
  <c r="KG279" i="2"/>
  <c r="KH279" i="2"/>
  <c r="KI279" i="2"/>
  <c r="KJ279" i="2"/>
  <c r="KK279" i="2"/>
  <c r="KL279" i="2"/>
  <c r="KM279" i="2"/>
  <c r="KN279" i="2"/>
  <c r="KO279" i="2"/>
  <c r="KP279" i="2"/>
  <c r="KQ279" i="2"/>
  <c r="KR279" i="2"/>
  <c r="KU279" i="2"/>
  <c r="KV279" i="2"/>
  <c r="KW279" i="2"/>
  <c r="KY279" i="2"/>
  <c r="KZ279" i="2"/>
  <c r="LA279" i="2"/>
  <c r="LB279" i="2"/>
  <c r="LC279" i="2"/>
  <c r="LD279" i="2"/>
  <c r="LE279" i="2"/>
  <c r="LF279" i="2"/>
  <c r="LG279" i="2"/>
  <c r="LH279" i="2"/>
  <c r="LK279" i="2"/>
  <c r="LL279" i="2"/>
  <c r="LM279" i="2"/>
  <c r="LN279" i="2"/>
  <c r="LO279" i="2"/>
  <c r="LP279" i="2"/>
  <c r="LQ279" i="2"/>
  <c r="LR279" i="2"/>
  <c r="LS279" i="2"/>
  <c r="LT279" i="2"/>
  <c r="LU279" i="2"/>
  <c r="LV279" i="2"/>
  <c r="LW279" i="2"/>
  <c r="LX279" i="2"/>
  <c r="MQ279" i="2"/>
  <c r="MR279" i="2"/>
  <c r="MS279" i="2"/>
  <c r="MT279" i="2"/>
  <c r="MU279" i="2"/>
  <c r="MV279" i="2"/>
  <c r="MW279" i="2"/>
  <c r="MX279" i="2"/>
  <c r="MY279" i="2"/>
  <c r="MZ279" i="2"/>
  <c r="NA279" i="2"/>
  <c r="NB279" i="2"/>
  <c r="NC279" i="2"/>
  <c r="ND279" i="2"/>
  <c r="NG279" i="2"/>
  <c r="NH279" i="2"/>
  <c r="NI279" i="2"/>
  <c r="NJ279" i="2"/>
  <c r="NK279" i="2"/>
  <c r="NL279" i="2"/>
  <c r="NM279" i="2"/>
  <c r="NN279" i="2"/>
  <c r="NO279" i="2"/>
  <c r="NP279" i="2"/>
  <c r="NQ279" i="2"/>
  <c r="NR279" i="2"/>
  <c r="NS279" i="2"/>
  <c r="NT279" i="2"/>
  <c r="NW279" i="2"/>
  <c r="NX279" i="2"/>
  <c r="NY279" i="2"/>
  <c r="NZ279" i="2"/>
  <c r="OA279" i="2"/>
  <c r="OB279" i="2"/>
  <c r="OC279" i="2"/>
  <c r="OD279" i="2"/>
  <c r="OE279" i="2"/>
  <c r="OF279" i="2"/>
  <c r="OG279" i="2"/>
  <c r="OH279" i="2"/>
  <c r="OI279" i="2"/>
  <c r="OJ279" i="2"/>
  <c r="OM279" i="2"/>
  <c r="ON279" i="2"/>
  <c r="OO279" i="2"/>
  <c r="OP279" i="2"/>
  <c r="OQ279" i="2"/>
  <c r="OR279" i="2"/>
  <c r="OS279" i="2"/>
  <c r="OT279" i="2"/>
  <c r="OU279" i="2"/>
  <c r="OV279" i="2"/>
  <c r="OW279" i="2"/>
  <c r="OX279" i="2"/>
  <c r="OY279" i="2"/>
  <c r="OZ279" i="2"/>
  <c r="PC279" i="2"/>
  <c r="PD279" i="2"/>
  <c r="PE279" i="2"/>
  <c r="PF279" i="2"/>
  <c r="PG279" i="2"/>
  <c r="PH279" i="2"/>
  <c r="PI279" i="2"/>
  <c r="PJ279" i="2"/>
  <c r="PK279" i="2"/>
  <c r="PL279" i="2"/>
  <c r="PM279" i="2"/>
  <c r="PN279" i="2"/>
  <c r="PO279" i="2"/>
  <c r="PP279" i="2"/>
  <c r="PS279" i="2"/>
  <c r="PT279" i="2"/>
  <c r="PU279" i="2"/>
  <c r="PV279" i="2"/>
  <c r="PW279" i="2"/>
  <c r="PX279" i="2"/>
  <c r="PY279" i="2"/>
  <c r="PZ279" i="2"/>
  <c r="QA279" i="2"/>
  <c r="QB279" i="2"/>
  <c r="QC279" i="2"/>
  <c r="QD279" i="2"/>
  <c r="QE279" i="2"/>
  <c r="QF279" i="2"/>
  <c r="QI279" i="2"/>
  <c r="QJ279" i="2"/>
  <c r="QK279" i="2"/>
  <c r="QL279" i="2"/>
  <c r="QM279" i="2"/>
  <c r="QN279" i="2"/>
  <c r="QO279" i="2"/>
  <c r="QP279" i="2"/>
  <c r="QQ279" i="2"/>
  <c r="QR279" i="2"/>
  <c r="QS279" i="2"/>
  <c r="QT279" i="2"/>
  <c r="QU279" i="2"/>
  <c r="QV279" i="2"/>
  <c r="QY279" i="2"/>
  <c r="QZ279" i="2"/>
  <c r="RA279" i="2"/>
  <c r="RB279" i="2"/>
  <c r="RC279" i="2"/>
  <c r="RD279" i="2"/>
  <c r="RE279" i="2"/>
  <c r="RF279" i="2"/>
  <c r="RG279" i="2"/>
  <c r="RH279" i="2"/>
  <c r="RI279" i="2"/>
  <c r="RJ279" i="2"/>
  <c r="RK279" i="2"/>
  <c r="RL279" i="2"/>
  <c r="RO279" i="2"/>
  <c r="RP279" i="2"/>
  <c r="RQ279" i="2"/>
  <c r="RR279" i="2"/>
  <c r="RS279" i="2"/>
  <c r="RT279" i="2"/>
  <c r="RU279" i="2"/>
  <c r="RV279" i="2"/>
  <c r="RW279" i="2"/>
  <c r="RX279" i="2"/>
  <c r="RY279" i="2"/>
  <c r="RZ279" i="2"/>
  <c r="SA279" i="2"/>
  <c r="SB279" i="2"/>
  <c r="SE279" i="2"/>
  <c r="SF279" i="2"/>
  <c r="SG279" i="2"/>
  <c r="SH279" i="2"/>
  <c r="SI279" i="2"/>
  <c r="SJ279" i="2"/>
  <c r="SK279" i="2"/>
  <c r="SL279" i="2"/>
  <c r="SM279" i="2"/>
  <c r="SN279" i="2"/>
  <c r="SO279" i="2"/>
  <c r="SP279" i="2"/>
  <c r="SQ279" i="2"/>
  <c r="SR279" i="2"/>
  <c r="SU279" i="2"/>
  <c r="SV279" i="2"/>
  <c r="SW279" i="2"/>
  <c r="SX279" i="2"/>
  <c r="SY279" i="2"/>
  <c r="SZ279" i="2"/>
  <c r="TA279" i="2"/>
  <c r="TB279" i="2"/>
  <c r="TC279" i="2"/>
  <c r="TD279" i="2"/>
  <c r="TE279" i="2"/>
  <c r="TF279" i="2"/>
  <c r="TG279" i="2"/>
  <c r="TH279" i="2"/>
  <c r="TK279" i="2"/>
  <c r="TL279" i="2"/>
  <c r="TM279" i="2"/>
  <c r="TN279" i="2"/>
  <c r="TO279" i="2"/>
  <c r="TP279" i="2"/>
  <c r="TQ279" i="2"/>
  <c r="TR279" i="2"/>
  <c r="TS279" i="2"/>
  <c r="TT279" i="2"/>
  <c r="TU279" i="2"/>
  <c r="TV279" i="2"/>
  <c r="TW279" i="2"/>
  <c r="TX279" i="2"/>
  <c r="UA279" i="2"/>
  <c r="UB279" i="2"/>
  <c r="UC279" i="2"/>
  <c r="UD279" i="2"/>
  <c r="UE279" i="2"/>
  <c r="UF279" i="2"/>
  <c r="UG279" i="2"/>
  <c r="UH279" i="2"/>
  <c r="UI279" i="2"/>
  <c r="UJ279" i="2"/>
  <c r="UK279" i="2"/>
  <c r="UL279" i="2"/>
  <c r="UM279" i="2"/>
  <c r="UN279" i="2"/>
  <c r="UQ279" i="2"/>
  <c r="UR279" i="2"/>
  <c r="US279" i="2"/>
  <c r="UT279" i="2"/>
  <c r="UU279" i="2"/>
  <c r="UV279" i="2"/>
  <c r="UW279" i="2"/>
  <c r="UX279" i="2"/>
  <c r="UY279" i="2"/>
  <c r="UZ279" i="2"/>
  <c r="VA279" i="2"/>
  <c r="VB279" i="2"/>
  <c r="VC279" i="2"/>
  <c r="VD279" i="2"/>
  <c r="VG279" i="2"/>
  <c r="VH279" i="2"/>
  <c r="VI279" i="2"/>
  <c r="VJ279" i="2"/>
  <c r="VK279" i="2"/>
  <c r="VL279" i="2"/>
  <c r="VM279" i="2"/>
  <c r="VN279" i="2"/>
  <c r="VO279" i="2"/>
  <c r="VP279" i="2"/>
  <c r="VQ279" i="2"/>
  <c r="VR279" i="2"/>
  <c r="VS279" i="2"/>
  <c r="VT279" i="2"/>
  <c r="VW279" i="2"/>
  <c r="VX279" i="2"/>
  <c r="VY279" i="2"/>
  <c r="VZ279" i="2"/>
  <c r="WA279" i="2"/>
  <c r="WB279" i="2"/>
  <c r="WC279" i="2"/>
  <c r="WD279" i="2"/>
  <c r="WE279" i="2"/>
  <c r="WF279" i="2"/>
  <c r="WG279" i="2"/>
  <c r="WH279" i="2"/>
  <c r="WI279" i="2"/>
  <c r="WJ279" i="2"/>
  <c r="S317" i="2"/>
  <c r="T317" i="2"/>
  <c r="U317" i="2"/>
  <c r="V317" i="2"/>
  <c r="W317" i="2"/>
  <c r="X317" i="2"/>
  <c r="Y317" i="2"/>
  <c r="Z317" i="2"/>
  <c r="AA317" i="2"/>
  <c r="AB317" i="2"/>
  <c r="AC317" i="2"/>
  <c r="AD317" i="2"/>
  <c r="AE317" i="2"/>
  <c r="AF317" i="2"/>
  <c r="AI317" i="2"/>
  <c r="AJ317" i="2"/>
  <c r="AK317" i="2"/>
  <c r="AL317" i="2"/>
  <c r="AM317" i="2"/>
  <c r="AN317" i="2"/>
  <c r="AO317" i="2"/>
  <c r="AP317" i="2"/>
  <c r="AQ317" i="2"/>
  <c r="AR317" i="2"/>
  <c r="AS317" i="2"/>
  <c r="AT317" i="2"/>
  <c r="AU317" i="2"/>
  <c r="AV317" i="2"/>
  <c r="AY317" i="2"/>
  <c r="AZ317" i="2"/>
  <c r="BA317" i="2"/>
  <c r="BB317" i="2"/>
  <c r="BC317" i="2"/>
  <c r="BD317" i="2"/>
  <c r="BE317" i="2"/>
  <c r="BF317" i="2"/>
  <c r="BG317" i="2"/>
  <c r="BH317" i="2"/>
  <c r="BI317" i="2"/>
  <c r="BJ317" i="2"/>
  <c r="BK317" i="2"/>
  <c r="BL317" i="2"/>
  <c r="BO317" i="2"/>
  <c r="BP317" i="2"/>
  <c r="BQ317" i="2"/>
  <c r="BR317" i="2"/>
  <c r="BS317" i="2"/>
  <c r="BT317" i="2"/>
  <c r="BU317" i="2"/>
  <c r="BV317" i="2"/>
  <c r="BW317" i="2"/>
  <c r="BX317" i="2"/>
  <c r="BY317" i="2"/>
  <c r="BZ317" i="2"/>
  <c r="CA317" i="2"/>
  <c r="CB317" i="2"/>
  <c r="CE317" i="2"/>
  <c r="CF317" i="2"/>
  <c r="CG317" i="2"/>
  <c r="CH317" i="2"/>
  <c r="CJ317" i="2"/>
  <c r="CK317" i="2"/>
  <c r="CL317" i="2"/>
  <c r="CM317" i="2"/>
  <c r="CN317" i="2"/>
  <c r="CO317" i="2"/>
  <c r="CP317" i="2"/>
  <c r="CQ317" i="2"/>
  <c r="CR317" i="2"/>
  <c r="CU317" i="2"/>
  <c r="CV317" i="2"/>
  <c r="CW317" i="2"/>
  <c r="CX317" i="2"/>
  <c r="CY317" i="2"/>
  <c r="CZ317" i="2"/>
  <c r="DA317" i="2"/>
  <c r="DB317" i="2"/>
  <c r="DC317" i="2"/>
  <c r="DD317" i="2"/>
  <c r="DE317" i="2"/>
  <c r="DF317" i="2"/>
  <c r="DG317" i="2"/>
  <c r="DH317" i="2"/>
  <c r="DK317" i="2"/>
  <c r="DL317" i="2"/>
  <c r="DM317" i="2"/>
  <c r="DN317" i="2"/>
  <c r="DO317" i="2"/>
  <c r="DP317" i="2"/>
  <c r="DQ317" i="2"/>
  <c r="DR317" i="2"/>
  <c r="DS317" i="2"/>
  <c r="DT317" i="2"/>
  <c r="DU317" i="2"/>
  <c r="DV317" i="2"/>
  <c r="DW317" i="2"/>
  <c r="DX317" i="2"/>
  <c r="EA317" i="2"/>
  <c r="EB317" i="2"/>
  <c r="EC317" i="2"/>
  <c r="ED317" i="2"/>
  <c r="EE317" i="2"/>
  <c r="EF317" i="2"/>
  <c r="EG317" i="2"/>
  <c r="EH317" i="2"/>
  <c r="EI317" i="2"/>
  <c r="EJ317" i="2"/>
  <c r="EK317" i="2"/>
  <c r="EL317" i="2"/>
  <c r="EM317" i="2"/>
  <c r="EN317" i="2"/>
  <c r="EQ317" i="2"/>
  <c r="ER317" i="2"/>
  <c r="ES317" i="2"/>
  <c r="ET317" i="2"/>
  <c r="EU317" i="2"/>
  <c r="EV317" i="2"/>
  <c r="EW317" i="2"/>
  <c r="EX317" i="2"/>
  <c r="EY317" i="2"/>
  <c r="EZ317" i="2"/>
  <c r="FA317" i="2"/>
  <c r="FB317" i="2"/>
  <c r="FC317" i="2"/>
  <c r="FD317" i="2"/>
  <c r="FG317" i="2"/>
  <c r="FH317" i="2"/>
  <c r="FI317" i="2"/>
  <c r="FJ317" i="2"/>
  <c r="FK317" i="2"/>
  <c r="FL317" i="2"/>
  <c r="FM317" i="2"/>
  <c r="FN317" i="2"/>
  <c r="FO317" i="2"/>
  <c r="FP317" i="2"/>
  <c r="FQ317" i="2"/>
  <c r="FR317" i="2"/>
  <c r="FS317" i="2"/>
  <c r="FT317" i="2"/>
  <c r="FW317" i="2"/>
  <c r="FX317" i="2"/>
  <c r="FY317" i="2"/>
  <c r="FZ317" i="2"/>
  <c r="GA317" i="2"/>
  <c r="GB317" i="2"/>
  <c r="GC317" i="2"/>
  <c r="GD317" i="2"/>
  <c r="GE317" i="2"/>
  <c r="GF317" i="2"/>
  <c r="GG317" i="2"/>
  <c r="GH317" i="2"/>
  <c r="GI317" i="2"/>
  <c r="GJ317" i="2"/>
  <c r="GM317" i="2"/>
  <c r="GN317" i="2"/>
  <c r="GO317" i="2"/>
  <c r="GP317" i="2"/>
  <c r="GQ317" i="2"/>
  <c r="GR317" i="2"/>
  <c r="GS317" i="2"/>
  <c r="GT317" i="2"/>
  <c r="GU317" i="2"/>
  <c r="GV317" i="2"/>
  <c r="GW317" i="2"/>
  <c r="GX317" i="2"/>
  <c r="GY317" i="2"/>
  <c r="GZ317" i="2"/>
  <c r="HC317" i="2"/>
  <c r="HD317" i="2"/>
  <c r="HE317" i="2"/>
  <c r="HF317" i="2"/>
  <c r="HG317" i="2"/>
  <c r="HH317" i="2"/>
  <c r="HI317" i="2"/>
  <c r="HJ317" i="2"/>
  <c r="HK317" i="2"/>
  <c r="HL317" i="2"/>
  <c r="HM317" i="2"/>
  <c r="HN317" i="2"/>
  <c r="HO317" i="2"/>
  <c r="HP317" i="2"/>
  <c r="HS317" i="2"/>
  <c r="HT317" i="2"/>
  <c r="HU317" i="2"/>
  <c r="HV317" i="2"/>
  <c r="HW317" i="2"/>
  <c r="HX317" i="2"/>
  <c r="HY317" i="2"/>
  <c r="HZ317" i="2"/>
  <c r="IA317" i="2"/>
  <c r="IB317" i="2"/>
  <c r="IC317" i="2"/>
  <c r="ID317" i="2"/>
  <c r="IE317" i="2"/>
  <c r="IF317" i="2"/>
  <c r="II317" i="2"/>
  <c r="IJ317" i="2"/>
  <c r="IK317" i="2"/>
  <c r="IL317" i="2"/>
  <c r="IM317" i="2"/>
  <c r="IN317" i="2"/>
  <c r="IO317" i="2"/>
  <c r="IP317" i="2"/>
  <c r="IQ317" i="2"/>
  <c r="IR317" i="2"/>
  <c r="IS317" i="2"/>
  <c r="IT317" i="2"/>
  <c r="IU317" i="2"/>
  <c r="IV317" i="2"/>
  <c r="IY317" i="2"/>
  <c r="IZ317" i="2"/>
  <c r="JA317" i="2"/>
  <c r="JB317" i="2"/>
  <c r="JC317" i="2"/>
  <c r="JD317" i="2"/>
  <c r="JE317" i="2"/>
  <c r="JF317" i="2"/>
  <c r="JG317" i="2"/>
  <c r="JH317" i="2"/>
  <c r="JI317" i="2"/>
  <c r="JJ317" i="2"/>
  <c r="JK317" i="2"/>
  <c r="JL317" i="2"/>
  <c r="JO317" i="2"/>
  <c r="JP317" i="2"/>
  <c r="JQ317" i="2"/>
  <c r="JR317" i="2"/>
  <c r="JS317" i="2"/>
  <c r="JT317" i="2"/>
  <c r="JU317" i="2"/>
  <c r="JV317" i="2"/>
  <c r="JW317" i="2"/>
  <c r="JX317" i="2"/>
  <c r="JY317" i="2"/>
  <c r="JZ317" i="2"/>
  <c r="KA317" i="2"/>
  <c r="KB317" i="2"/>
  <c r="KE317" i="2"/>
  <c r="KF317" i="2"/>
  <c r="KG317" i="2"/>
  <c r="KH317" i="2"/>
  <c r="KI317" i="2"/>
  <c r="KJ317" i="2"/>
  <c r="KK317" i="2"/>
  <c r="KL317" i="2"/>
  <c r="KM317" i="2"/>
  <c r="KN317" i="2"/>
  <c r="KO317" i="2"/>
  <c r="KP317" i="2"/>
  <c r="KQ317" i="2"/>
  <c r="KR317" i="2"/>
  <c r="KU317" i="2"/>
  <c r="KV317" i="2"/>
  <c r="KW317" i="2"/>
  <c r="KY317" i="2"/>
  <c r="KZ317" i="2"/>
  <c r="LA317" i="2"/>
  <c r="LB317" i="2"/>
  <c r="LC317" i="2"/>
  <c r="LD317" i="2"/>
  <c r="LE317" i="2"/>
  <c r="LF317" i="2"/>
  <c r="LG317" i="2"/>
  <c r="LH317" i="2"/>
  <c r="LK317" i="2"/>
  <c r="LL317" i="2"/>
  <c r="LM317" i="2"/>
  <c r="LN317" i="2"/>
  <c r="LO317" i="2"/>
  <c r="LP317" i="2"/>
  <c r="LQ317" i="2"/>
  <c r="LR317" i="2"/>
  <c r="LS317" i="2"/>
  <c r="LT317" i="2"/>
  <c r="LU317" i="2"/>
  <c r="LV317" i="2"/>
  <c r="LW317" i="2"/>
  <c r="LX317" i="2"/>
  <c r="MQ317" i="2"/>
  <c r="MR317" i="2"/>
  <c r="MS317" i="2"/>
  <c r="MT317" i="2"/>
  <c r="MU317" i="2"/>
  <c r="MV317" i="2"/>
  <c r="MW317" i="2"/>
  <c r="MX317" i="2"/>
  <c r="MY317" i="2"/>
  <c r="MZ317" i="2"/>
  <c r="NA317" i="2"/>
  <c r="NB317" i="2"/>
  <c r="NC317" i="2"/>
  <c r="ND317" i="2"/>
  <c r="NG317" i="2"/>
  <c r="NH317" i="2"/>
  <c r="NI317" i="2"/>
  <c r="NJ317" i="2"/>
  <c r="NK317" i="2"/>
  <c r="NL317" i="2"/>
  <c r="NM317" i="2"/>
  <c r="NN317" i="2"/>
  <c r="NO317" i="2"/>
  <c r="NP317" i="2"/>
  <c r="NQ317" i="2"/>
  <c r="NR317" i="2"/>
  <c r="NS317" i="2"/>
  <c r="NT317" i="2"/>
  <c r="NW317" i="2"/>
  <c r="NX317" i="2"/>
  <c r="NY317" i="2"/>
  <c r="NZ317" i="2"/>
  <c r="OA317" i="2"/>
  <c r="OB317" i="2"/>
  <c r="OC317" i="2"/>
  <c r="OD317" i="2"/>
  <c r="OE317" i="2"/>
  <c r="OF317" i="2"/>
  <c r="OG317" i="2"/>
  <c r="OH317" i="2"/>
  <c r="OI317" i="2"/>
  <c r="OJ317" i="2"/>
  <c r="OM317" i="2"/>
  <c r="ON317" i="2"/>
  <c r="OO317" i="2"/>
  <c r="OP317" i="2"/>
  <c r="OQ317" i="2"/>
  <c r="OR317" i="2"/>
  <c r="OS317" i="2"/>
  <c r="OT317" i="2"/>
  <c r="OU317" i="2"/>
  <c r="OV317" i="2"/>
  <c r="OW317" i="2"/>
  <c r="OX317" i="2"/>
  <c r="OY317" i="2"/>
  <c r="OZ317" i="2"/>
  <c r="PC317" i="2"/>
  <c r="PD317" i="2"/>
  <c r="PE317" i="2"/>
  <c r="PF317" i="2"/>
  <c r="PG317" i="2"/>
  <c r="PH317" i="2"/>
  <c r="PI317" i="2"/>
  <c r="PJ317" i="2"/>
  <c r="PK317" i="2"/>
  <c r="PL317" i="2"/>
  <c r="PM317" i="2"/>
  <c r="PN317" i="2"/>
  <c r="PO317" i="2"/>
  <c r="PP317" i="2"/>
  <c r="PS317" i="2"/>
  <c r="PT317" i="2"/>
  <c r="PU317" i="2"/>
  <c r="PV317" i="2"/>
  <c r="PW317" i="2"/>
  <c r="PX317" i="2"/>
  <c r="PY317" i="2"/>
  <c r="PZ317" i="2"/>
  <c r="QA317" i="2"/>
  <c r="QB317" i="2"/>
  <c r="QC317" i="2"/>
  <c r="QD317" i="2"/>
  <c r="QE317" i="2"/>
  <c r="QF317" i="2"/>
  <c r="QI317" i="2"/>
  <c r="QJ317" i="2"/>
  <c r="QK317" i="2"/>
  <c r="QL317" i="2"/>
  <c r="QM317" i="2"/>
  <c r="QN317" i="2"/>
  <c r="QO317" i="2"/>
  <c r="QP317" i="2"/>
  <c r="QQ317" i="2"/>
  <c r="QR317" i="2"/>
  <c r="QS317" i="2"/>
  <c r="QT317" i="2"/>
  <c r="QU317" i="2"/>
  <c r="QV317" i="2"/>
  <c r="QY317" i="2"/>
  <c r="QZ317" i="2"/>
  <c r="RA317" i="2"/>
  <c r="RB317" i="2"/>
  <c r="RC317" i="2"/>
  <c r="RD317" i="2"/>
  <c r="RE317" i="2"/>
  <c r="RF317" i="2"/>
  <c r="RG317" i="2"/>
  <c r="RH317" i="2"/>
  <c r="RI317" i="2"/>
  <c r="RJ317" i="2"/>
  <c r="RK317" i="2"/>
  <c r="RL317" i="2"/>
  <c r="RO317" i="2"/>
  <c r="RP317" i="2"/>
  <c r="RQ317" i="2"/>
  <c r="RR317" i="2"/>
  <c r="RS317" i="2"/>
  <c r="RT317" i="2"/>
  <c r="RU317" i="2"/>
  <c r="RV317" i="2"/>
  <c r="RW317" i="2"/>
  <c r="RX317" i="2"/>
  <c r="RY317" i="2"/>
  <c r="RZ317" i="2"/>
  <c r="SA317" i="2"/>
  <c r="SB317" i="2"/>
  <c r="SE317" i="2"/>
  <c r="SF317" i="2"/>
  <c r="SG317" i="2"/>
  <c r="SH317" i="2"/>
  <c r="SI317" i="2"/>
  <c r="SJ317" i="2"/>
  <c r="SK317" i="2"/>
  <c r="SL317" i="2"/>
  <c r="SM317" i="2"/>
  <c r="SN317" i="2"/>
  <c r="SO317" i="2"/>
  <c r="SP317" i="2"/>
  <c r="SQ317" i="2"/>
  <c r="SR317" i="2"/>
  <c r="SU317" i="2"/>
  <c r="SV317" i="2"/>
  <c r="SW317" i="2"/>
  <c r="SX317" i="2"/>
  <c r="SY317" i="2"/>
  <c r="SZ317" i="2"/>
  <c r="TA317" i="2"/>
  <c r="TB317" i="2"/>
  <c r="TC317" i="2"/>
  <c r="TD317" i="2"/>
  <c r="TE317" i="2"/>
  <c r="TF317" i="2"/>
  <c r="TG317" i="2"/>
  <c r="TH317" i="2"/>
  <c r="TK317" i="2"/>
  <c r="TL317" i="2"/>
  <c r="TM317" i="2"/>
  <c r="TN317" i="2"/>
  <c r="TO317" i="2"/>
  <c r="TP317" i="2"/>
  <c r="TQ317" i="2"/>
  <c r="TR317" i="2"/>
  <c r="TS317" i="2"/>
  <c r="TT317" i="2"/>
  <c r="TU317" i="2"/>
  <c r="TV317" i="2"/>
  <c r="TW317" i="2"/>
  <c r="TX317" i="2"/>
  <c r="UA317" i="2"/>
  <c r="UB317" i="2"/>
  <c r="UC317" i="2"/>
  <c r="UD317" i="2"/>
  <c r="UE317" i="2"/>
  <c r="UF317" i="2"/>
  <c r="UG317" i="2"/>
  <c r="UH317" i="2"/>
  <c r="UI317" i="2"/>
  <c r="UJ317" i="2"/>
  <c r="UK317" i="2"/>
  <c r="UL317" i="2"/>
  <c r="UM317" i="2"/>
  <c r="UN317" i="2"/>
  <c r="UQ317" i="2"/>
  <c r="UR317" i="2"/>
  <c r="US317" i="2"/>
  <c r="UT317" i="2"/>
  <c r="UU317" i="2"/>
  <c r="UV317" i="2"/>
  <c r="UW317" i="2"/>
  <c r="UX317" i="2"/>
  <c r="UY317" i="2"/>
  <c r="UZ317" i="2"/>
  <c r="VA317" i="2"/>
  <c r="VB317" i="2"/>
  <c r="VC317" i="2"/>
  <c r="VD317" i="2"/>
  <c r="VG317" i="2"/>
  <c r="VH317" i="2"/>
  <c r="VI317" i="2"/>
  <c r="VJ317" i="2"/>
  <c r="VK317" i="2"/>
  <c r="VL317" i="2"/>
  <c r="VM317" i="2"/>
  <c r="VN317" i="2"/>
  <c r="VO317" i="2"/>
  <c r="VP317" i="2"/>
  <c r="VQ317" i="2"/>
  <c r="VR317" i="2"/>
  <c r="VS317" i="2"/>
  <c r="VT317" i="2"/>
  <c r="VW317" i="2"/>
  <c r="VX317" i="2"/>
  <c r="VY317" i="2"/>
  <c r="VZ317" i="2"/>
  <c r="WA317" i="2"/>
  <c r="WB317" i="2"/>
  <c r="WC317" i="2"/>
  <c r="WD317" i="2"/>
  <c r="WE317" i="2"/>
  <c r="WF317" i="2"/>
  <c r="WG317" i="2"/>
  <c r="WH317" i="2"/>
  <c r="WI317" i="2"/>
  <c r="WJ317" i="2"/>
  <c r="S355" i="2"/>
  <c r="T355" i="2"/>
  <c r="U355" i="2"/>
  <c r="V355" i="2"/>
  <c r="W355" i="2"/>
  <c r="X355" i="2"/>
  <c r="Y355" i="2"/>
  <c r="Z355" i="2"/>
  <c r="AA355" i="2"/>
  <c r="AB355" i="2"/>
  <c r="AC355" i="2"/>
  <c r="AD355" i="2"/>
  <c r="AE355" i="2"/>
  <c r="AF355" i="2"/>
  <c r="AI355" i="2"/>
  <c r="AJ355" i="2"/>
  <c r="AK355" i="2"/>
  <c r="AL355" i="2"/>
  <c r="AM355" i="2"/>
  <c r="AN355" i="2"/>
  <c r="AO355" i="2"/>
  <c r="AP355" i="2"/>
  <c r="AQ355" i="2"/>
  <c r="AR355" i="2"/>
  <c r="AS355" i="2"/>
  <c r="AT355" i="2"/>
  <c r="AU355" i="2"/>
  <c r="AV355" i="2"/>
  <c r="AY355" i="2"/>
  <c r="AZ355" i="2"/>
  <c r="BA355" i="2"/>
  <c r="BB355" i="2"/>
  <c r="BC355" i="2"/>
  <c r="BD355" i="2"/>
  <c r="BE355" i="2"/>
  <c r="BF355" i="2"/>
  <c r="BG355" i="2"/>
  <c r="BH355" i="2"/>
  <c r="BI355" i="2"/>
  <c r="BJ355" i="2"/>
  <c r="BK355" i="2"/>
  <c r="BL355" i="2"/>
  <c r="BO355" i="2"/>
  <c r="BP355" i="2"/>
  <c r="BQ355" i="2"/>
  <c r="BR355" i="2"/>
  <c r="BS355" i="2"/>
  <c r="BT355" i="2"/>
  <c r="BU355" i="2"/>
  <c r="BV355" i="2"/>
  <c r="BW355" i="2"/>
  <c r="BX355" i="2"/>
  <c r="BY355" i="2"/>
  <c r="BZ355" i="2"/>
  <c r="CA355" i="2"/>
  <c r="CB355" i="2"/>
  <c r="CE355" i="2"/>
  <c r="CF355" i="2"/>
  <c r="CG355" i="2"/>
  <c r="CH355" i="2"/>
  <c r="CI355" i="2"/>
  <c r="CJ355" i="2"/>
  <c r="CK355" i="2"/>
  <c r="CL355" i="2"/>
  <c r="CM355" i="2"/>
  <c r="CN355" i="2"/>
  <c r="CO355" i="2"/>
  <c r="CP355" i="2"/>
  <c r="CQ355" i="2"/>
  <c r="CR355" i="2"/>
  <c r="CU355" i="2"/>
  <c r="CV355" i="2"/>
  <c r="CW355" i="2"/>
  <c r="CX355" i="2"/>
  <c r="CY355" i="2"/>
  <c r="CZ355" i="2"/>
  <c r="DA355" i="2"/>
  <c r="DB355" i="2"/>
  <c r="DC355" i="2"/>
  <c r="DD355" i="2"/>
  <c r="DE355" i="2"/>
  <c r="DF355" i="2"/>
  <c r="DG355" i="2"/>
  <c r="DH355" i="2"/>
  <c r="DK355" i="2"/>
  <c r="DL355" i="2"/>
  <c r="DM355" i="2"/>
  <c r="DN355" i="2"/>
  <c r="DO355" i="2"/>
  <c r="DP355" i="2"/>
  <c r="DQ355" i="2"/>
  <c r="DR355" i="2"/>
  <c r="DS355" i="2"/>
  <c r="DT355" i="2"/>
  <c r="DU355" i="2"/>
  <c r="DV355" i="2"/>
  <c r="DW355" i="2"/>
  <c r="DX355" i="2"/>
  <c r="EA355" i="2"/>
  <c r="EB355" i="2"/>
  <c r="EC355" i="2"/>
  <c r="ED355" i="2"/>
  <c r="EE355" i="2"/>
  <c r="EF355" i="2"/>
  <c r="EG355" i="2"/>
  <c r="EH355" i="2"/>
  <c r="EI355" i="2"/>
  <c r="EJ355" i="2"/>
  <c r="EK355" i="2"/>
  <c r="EL355" i="2"/>
  <c r="EM355" i="2"/>
  <c r="EN355" i="2"/>
  <c r="EQ355" i="2"/>
  <c r="ER355" i="2"/>
  <c r="ES355" i="2"/>
  <c r="ET355" i="2"/>
  <c r="EU355" i="2"/>
  <c r="EV355" i="2"/>
  <c r="EW355" i="2"/>
  <c r="EX355" i="2"/>
  <c r="EY355" i="2"/>
  <c r="EZ355" i="2"/>
  <c r="FA355" i="2"/>
  <c r="FB355" i="2"/>
  <c r="FC355" i="2"/>
  <c r="FD355" i="2"/>
  <c r="FG355" i="2"/>
  <c r="FH355" i="2"/>
  <c r="FI355" i="2"/>
  <c r="FJ355" i="2"/>
  <c r="FK355" i="2"/>
  <c r="FL355" i="2"/>
  <c r="FM355" i="2"/>
  <c r="FN355" i="2"/>
  <c r="FO355" i="2"/>
  <c r="FP355" i="2"/>
  <c r="FQ355" i="2"/>
  <c r="FR355" i="2"/>
  <c r="FS355" i="2"/>
  <c r="FT355" i="2"/>
  <c r="FW355" i="2"/>
  <c r="FX355" i="2"/>
  <c r="FY355" i="2"/>
  <c r="FZ355" i="2"/>
  <c r="GA355" i="2"/>
  <c r="GB355" i="2"/>
  <c r="GC355" i="2"/>
  <c r="GD355" i="2"/>
  <c r="GE355" i="2"/>
  <c r="GF355" i="2"/>
  <c r="GG355" i="2"/>
  <c r="GH355" i="2"/>
  <c r="GI355" i="2"/>
  <c r="GJ355" i="2"/>
  <c r="GM355" i="2"/>
  <c r="GN355" i="2"/>
  <c r="GO355" i="2"/>
  <c r="GP355" i="2"/>
  <c r="GQ355" i="2"/>
  <c r="GR355" i="2"/>
  <c r="GS355" i="2"/>
  <c r="GT355" i="2"/>
  <c r="GU355" i="2"/>
  <c r="GV355" i="2"/>
  <c r="GW355" i="2"/>
  <c r="GX355" i="2"/>
  <c r="GY355" i="2"/>
  <c r="GZ355" i="2"/>
  <c r="HC355" i="2"/>
  <c r="HD355" i="2"/>
  <c r="HE355" i="2"/>
  <c r="HF355" i="2"/>
  <c r="HG355" i="2"/>
  <c r="HH355" i="2"/>
  <c r="HI355" i="2"/>
  <c r="HJ355" i="2"/>
  <c r="HK355" i="2"/>
  <c r="HL355" i="2"/>
  <c r="HM355" i="2"/>
  <c r="HN355" i="2"/>
  <c r="HO355" i="2"/>
  <c r="HP355" i="2"/>
  <c r="HS355" i="2"/>
  <c r="HT355" i="2"/>
  <c r="HU355" i="2"/>
  <c r="HV355" i="2"/>
  <c r="HW355" i="2"/>
  <c r="HX355" i="2"/>
  <c r="HY355" i="2"/>
  <c r="HZ355" i="2"/>
  <c r="IA355" i="2"/>
  <c r="IB355" i="2"/>
  <c r="IC355" i="2"/>
  <c r="ID355" i="2"/>
  <c r="IE355" i="2"/>
  <c r="IF355" i="2"/>
  <c r="II355" i="2"/>
  <c r="IJ355" i="2"/>
  <c r="IK355" i="2"/>
  <c r="IL355" i="2"/>
  <c r="IM355" i="2"/>
  <c r="IN355" i="2"/>
  <c r="IO355" i="2"/>
  <c r="IP355" i="2"/>
  <c r="IQ355" i="2"/>
  <c r="IR355" i="2"/>
  <c r="IS355" i="2"/>
  <c r="IT355" i="2"/>
  <c r="IU355" i="2"/>
  <c r="IV355" i="2"/>
  <c r="IY355" i="2"/>
  <c r="IZ355" i="2"/>
  <c r="JA355" i="2"/>
  <c r="JB355" i="2"/>
  <c r="JC355" i="2"/>
  <c r="JD355" i="2"/>
  <c r="JE355" i="2"/>
  <c r="JF355" i="2"/>
  <c r="JG355" i="2"/>
  <c r="JH355" i="2"/>
  <c r="JI355" i="2"/>
  <c r="JJ355" i="2"/>
  <c r="JK355" i="2"/>
  <c r="JL355" i="2"/>
  <c r="JO355" i="2"/>
  <c r="JP355" i="2"/>
  <c r="JQ355" i="2"/>
  <c r="JR355" i="2"/>
  <c r="JS355" i="2"/>
  <c r="JT355" i="2"/>
  <c r="JU355" i="2"/>
  <c r="JV355" i="2"/>
  <c r="JW355" i="2"/>
  <c r="JX355" i="2"/>
  <c r="JY355" i="2"/>
  <c r="JZ355" i="2"/>
  <c r="KA355" i="2"/>
  <c r="KB355" i="2"/>
  <c r="KE355" i="2"/>
  <c r="KF355" i="2"/>
  <c r="KG355" i="2"/>
  <c r="KH355" i="2"/>
  <c r="KI355" i="2"/>
  <c r="KJ355" i="2"/>
  <c r="KK355" i="2"/>
  <c r="KL355" i="2"/>
  <c r="KM355" i="2"/>
  <c r="KN355" i="2"/>
  <c r="KO355" i="2"/>
  <c r="KP355" i="2"/>
  <c r="KQ355" i="2"/>
  <c r="KR355" i="2"/>
  <c r="KU355" i="2"/>
  <c r="KV355" i="2"/>
  <c r="KW355" i="2"/>
  <c r="KY355" i="2"/>
  <c r="KZ355" i="2"/>
  <c r="LA355" i="2"/>
  <c r="LB355" i="2"/>
  <c r="LC355" i="2"/>
  <c r="LD355" i="2"/>
  <c r="LE355" i="2"/>
  <c r="LF355" i="2"/>
  <c r="LG355" i="2"/>
  <c r="LH355" i="2"/>
  <c r="LK355" i="2"/>
  <c r="LL355" i="2"/>
  <c r="LM355" i="2"/>
  <c r="LN355" i="2"/>
  <c r="LO355" i="2"/>
  <c r="LP355" i="2"/>
  <c r="LQ355" i="2"/>
  <c r="LR355" i="2"/>
  <c r="LS355" i="2"/>
  <c r="LT355" i="2"/>
  <c r="LU355" i="2"/>
  <c r="LV355" i="2"/>
  <c r="LW355" i="2"/>
  <c r="LX355" i="2"/>
  <c r="MQ355" i="2"/>
  <c r="MR355" i="2"/>
  <c r="MS355" i="2"/>
  <c r="MT355" i="2"/>
  <c r="MU355" i="2"/>
  <c r="MV355" i="2"/>
  <c r="MW355" i="2"/>
  <c r="MX355" i="2"/>
  <c r="MY355" i="2"/>
  <c r="MZ355" i="2"/>
  <c r="NA355" i="2"/>
  <c r="NB355" i="2"/>
  <c r="NC355" i="2"/>
  <c r="ND355" i="2"/>
  <c r="NG355" i="2"/>
  <c r="NH355" i="2"/>
  <c r="NI355" i="2"/>
  <c r="NJ355" i="2"/>
  <c r="NK355" i="2"/>
  <c r="NL355" i="2"/>
  <c r="NM355" i="2"/>
  <c r="NN355" i="2"/>
  <c r="NO355" i="2"/>
  <c r="NP355" i="2"/>
  <c r="NQ355" i="2"/>
  <c r="NR355" i="2"/>
  <c r="NS355" i="2"/>
  <c r="NT355" i="2"/>
  <c r="NW355" i="2"/>
  <c r="NX355" i="2"/>
  <c r="NY355" i="2"/>
  <c r="NZ355" i="2"/>
  <c r="OA355" i="2"/>
  <c r="OB355" i="2"/>
  <c r="OC355" i="2"/>
  <c r="OD355" i="2"/>
  <c r="OE355" i="2"/>
  <c r="OF355" i="2"/>
  <c r="OG355" i="2"/>
  <c r="OH355" i="2"/>
  <c r="OI355" i="2"/>
  <c r="OJ355" i="2"/>
  <c r="OM355" i="2"/>
  <c r="ON355" i="2"/>
  <c r="OO355" i="2"/>
  <c r="OP355" i="2"/>
  <c r="OQ355" i="2"/>
  <c r="OR355" i="2"/>
  <c r="OS355" i="2"/>
  <c r="OT355" i="2"/>
  <c r="OU355" i="2"/>
  <c r="OV355" i="2"/>
  <c r="OW355" i="2"/>
  <c r="OX355" i="2"/>
  <c r="OY355" i="2"/>
  <c r="OZ355" i="2"/>
  <c r="PC355" i="2"/>
  <c r="PD355" i="2"/>
  <c r="PE355" i="2"/>
  <c r="PF355" i="2"/>
  <c r="PG355" i="2"/>
  <c r="PH355" i="2"/>
  <c r="PI355" i="2"/>
  <c r="PJ355" i="2"/>
  <c r="PK355" i="2"/>
  <c r="PL355" i="2"/>
  <c r="PM355" i="2"/>
  <c r="PN355" i="2"/>
  <c r="PO355" i="2"/>
  <c r="PP355" i="2"/>
  <c r="PS355" i="2"/>
  <c r="PT355" i="2"/>
  <c r="PU355" i="2"/>
  <c r="PV355" i="2"/>
  <c r="PW355" i="2"/>
  <c r="PX355" i="2"/>
  <c r="PY355" i="2"/>
  <c r="PZ355" i="2"/>
  <c r="QA355" i="2"/>
  <c r="QB355" i="2"/>
  <c r="QC355" i="2"/>
  <c r="QD355" i="2"/>
  <c r="QE355" i="2"/>
  <c r="QF355" i="2"/>
  <c r="QI355" i="2"/>
  <c r="QJ355" i="2"/>
  <c r="QK355" i="2"/>
  <c r="QL355" i="2"/>
  <c r="QM355" i="2"/>
  <c r="QN355" i="2"/>
  <c r="QO355" i="2"/>
  <c r="QP355" i="2"/>
  <c r="QQ355" i="2"/>
  <c r="QR355" i="2"/>
  <c r="QS355" i="2"/>
  <c r="QT355" i="2"/>
  <c r="QU355" i="2"/>
  <c r="QV355" i="2"/>
  <c r="QY355" i="2"/>
  <c r="QZ355" i="2"/>
  <c r="RA355" i="2"/>
  <c r="RB355" i="2"/>
  <c r="RC355" i="2"/>
  <c r="RD355" i="2"/>
  <c r="RE355" i="2"/>
  <c r="RF355" i="2"/>
  <c r="RG355" i="2"/>
  <c r="RH355" i="2"/>
  <c r="RI355" i="2"/>
  <c r="RJ355" i="2"/>
  <c r="RK355" i="2"/>
  <c r="RL355" i="2"/>
  <c r="RO355" i="2"/>
  <c r="RP355" i="2"/>
  <c r="RQ355" i="2"/>
  <c r="RR355" i="2"/>
  <c r="RS355" i="2"/>
  <c r="RT355" i="2"/>
  <c r="RU355" i="2"/>
  <c r="RV355" i="2"/>
  <c r="RW355" i="2"/>
  <c r="RX355" i="2"/>
  <c r="RY355" i="2"/>
  <c r="RZ355" i="2"/>
  <c r="SA355" i="2"/>
  <c r="SB355" i="2"/>
  <c r="SE355" i="2"/>
  <c r="SF355" i="2"/>
  <c r="SG355" i="2"/>
  <c r="SH355" i="2"/>
  <c r="SI355" i="2"/>
  <c r="SJ355" i="2"/>
  <c r="SK355" i="2"/>
  <c r="SL355" i="2"/>
  <c r="SM355" i="2"/>
  <c r="SN355" i="2"/>
  <c r="SO355" i="2"/>
  <c r="SP355" i="2"/>
  <c r="SQ355" i="2"/>
  <c r="SR355" i="2"/>
  <c r="SU355" i="2"/>
  <c r="SV355" i="2"/>
  <c r="SW355" i="2"/>
  <c r="SX355" i="2"/>
  <c r="SY355" i="2"/>
  <c r="SZ355" i="2"/>
  <c r="TA355" i="2"/>
  <c r="TB355" i="2"/>
  <c r="TC355" i="2"/>
  <c r="TD355" i="2"/>
  <c r="TE355" i="2"/>
  <c r="TF355" i="2"/>
  <c r="TG355" i="2"/>
  <c r="TH355" i="2"/>
  <c r="TK355" i="2"/>
  <c r="TL355" i="2"/>
  <c r="TM355" i="2"/>
  <c r="TN355" i="2"/>
  <c r="TO355" i="2"/>
  <c r="TP355" i="2"/>
  <c r="TQ355" i="2"/>
  <c r="TR355" i="2"/>
  <c r="TS355" i="2"/>
  <c r="TT355" i="2"/>
  <c r="TU355" i="2"/>
  <c r="TV355" i="2"/>
  <c r="TW355" i="2"/>
  <c r="TX355" i="2"/>
  <c r="UA355" i="2"/>
  <c r="UB355" i="2"/>
  <c r="UC355" i="2"/>
  <c r="UD355" i="2"/>
  <c r="UE355" i="2"/>
  <c r="UF355" i="2"/>
  <c r="UG355" i="2"/>
  <c r="UH355" i="2"/>
  <c r="UI355" i="2"/>
  <c r="UJ355" i="2"/>
  <c r="UK355" i="2"/>
  <c r="UL355" i="2"/>
  <c r="UM355" i="2"/>
  <c r="UN355" i="2"/>
  <c r="UQ355" i="2"/>
  <c r="UR355" i="2"/>
  <c r="US355" i="2"/>
  <c r="UT355" i="2"/>
  <c r="UU355" i="2"/>
  <c r="UV355" i="2"/>
  <c r="UW355" i="2"/>
  <c r="UX355" i="2"/>
  <c r="UY355" i="2"/>
  <c r="UZ355" i="2"/>
  <c r="VA355" i="2"/>
  <c r="VB355" i="2"/>
  <c r="VC355" i="2"/>
  <c r="VD355" i="2"/>
  <c r="VG355" i="2"/>
  <c r="VH355" i="2"/>
  <c r="VI355" i="2"/>
  <c r="VJ355" i="2"/>
  <c r="VK355" i="2"/>
  <c r="VL355" i="2"/>
  <c r="VM355" i="2"/>
  <c r="VN355" i="2"/>
  <c r="VO355" i="2"/>
  <c r="VP355" i="2"/>
  <c r="VQ355" i="2"/>
  <c r="VR355" i="2"/>
  <c r="VS355" i="2"/>
  <c r="VT355" i="2"/>
  <c r="VW355" i="2"/>
  <c r="VX355" i="2"/>
  <c r="VY355" i="2"/>
  <c r="VZ355" i="2"/>
  <c r="WA355" i="2"/>
  <c r="WB355" i="2"/>
  <c r="WC355" i="2"/>
  <c r="WD355" i="2"/>
  <c r="WE355" i="2"/>
  <c r="WF355" i="2"/>
  <c r="WG355" i="2"/>
  <c r="WH355" i="2"/>
  <c r="WI355" i="2"/>
  <c r="WJ355" i="2"/>
  <c r="S393" i="2"/>
  <c r="T393" i="2"/>
  <c r="U393" i="2"/>
  <c r="V393" i="2"/>
  <c r="W393" i="2"/>
  <c r="X393" i="2"/>
  <c r="Y393" i="2"/>
  <c r="Z393" i="2"/>
  <c r="AA393" i="2"/>
  <c r="AB393" i="2"/>
  <c r="AC393" i="2"/>
  <c r="AD393" i="2"/>
  <c r="AE393" i="2"/>
  <c r="AF393" i="2"/>
  <c r="AI393" i="2"/>
  <c r="AJ393" i="2"/>
  <c r="AK393" i="2"/>
  <c r="AL393" i="2"/>
  <c r="AM393" i="2"/>
  <c r="AN393" i="2"/>
  <c r="AO393" i="2"/>
  <c r="AP393" i="2"/>
  <c r="AQ393" i="2"/>
  <c r="AR393" i="2"/>
  <c r="AS393" i="2"/>
  <c r="AT393" i="2"/>
  <c r="AU393" i="2"/>
  <c r="AV393" i="2"/>
  <c r="AY393" i="2"/>
  <c r="AZ393" i="2"/>
  <c r="BA393" i="2"/>
  <c r="BB393" i="2"/>
  <c r="BC393" i="2"/>
  <c r="BD393" i="2"/>
  <c r="BE393" i="2"/>
  <c r="BF393" i="2"/>
  <c r="BG393" i="2"/>
  <c r="BH393" i="2"/>
  <c r="BI393" i="2"/>
  <c r="BJ393" i="2"/>
  <c r="BK393" i="2"/>
  <c r="BL393" i="2"/>
  <c r="BO393" i="2"/>
  <c r="BP393" i="2"/>
  <c r="BQ393" i="2"/>
  <c r="BR393" i="2"/>
  <c r="BS393" i="2"/>
  <c r="BT393" i="2"/>
  <c r="BU393" i="2"/>
  <c r="BV393" i="2"/>
  <c r="BW393" i="2"/>
  <c r="BX393" i="2"/>
  <c r="BY393" i="2"/>
  <c r="BZ393" i="2"/>
  <c r="CA393" i="2"/>
  <c r="CB393" i="2"/>
  <c r="CE393" i="2"/>
  <c r="CF393" i="2"/>
  <c r="CG393" i="2"/>
  <c r="CH393" i="2"/>
  <c r="CI393" i="2"/>
  <c r="CJ393" i="2"/>
  <c r="CK393" i="2"/>
  <c r="CL393" i="2"/>
  <c r="CM393" i="2"/>
  <c r="CN393" i="2"/>
  <c r="CO393" i="2"/>
  <c r="CP393" i="2"/>
  <c r="CQ393" i="2"/>
  <c r="CR393" i="2"/>
  <c r="DK393" i="2"/>
  <c r="DL393" i="2"/>
  <c r="DM393" i="2"/>
  <c r="DN393" i="2"/>
  <c r="DO393" i="2"/>
  <c r="DP393" i="2"/>
  <c r="DQ393" i="2"/>
  <c r="DR393" i="2"/>
  <c r="DS393" i="2"/>
  <c r="DT393" i="2"/>
  <c r="DU393" i="2"/>
  <c r="DV393" i="2"/>
  <c r="DW393" i="2"/>
  <c r="DX393" i="2"/>
  <c r="EA393" i="2"/>
  <c r="EB393" i="2"/>
  <c r="EC393" i="2"/>
  <c r="ED393" i="2"/>
  <c r="EE393" i="2"/>
  <c r="EF393" i="2"/>
  <c r="EG393" i="2"/>
  <c r="EH393" i="2"/>
  <c r="EI393" i="2"/>
  <c r="EJ393" i="2"/>
  <c r="EK393" i="2"/>
  <c r="EL393" i="2"/>
  <c r="EM393" i="2"/>
  <c r="EN393" i="2"/>
  <c r="EQ393" i="2"/>
  <c r="ER393" i="2"/>
  <c r="ES393" i="2"/>
  <c r="ET393" i="2"/>
  <c r="EU393" i="2"/>
  <c r="EV393" i="2"/>
  <c r="EW393" i="2"/>
  <c r="EX393" i="2"/>
  <c r="EY393" i="2"/>
  <c r="EZ393" i="2"/>
  <c r="FA393" i="2"/>
  <c r="FB393" i="2"/>
  <c r="FC393" i="2"/>
  <c r="FD393" i="2"/>
  <c r="FW393" i="2"/>
  <c r="FX393" i="2"/>
  <c r="FY393" i="2"/>
  <c r="FZ393" i="2"/>
  <c r="GA393" i="2"/>
  <c r="GB393" i="2"/>
  <c r="GC393" i="2"/>
  <c r="GD393" i="2"/>
  <c r="GE393" i="2"/>
  <c r="GF393" i="2"/>
  <c r="GG393" i="2"/>
  <c r="GH393" i="2"/>
  <c r="GI393" i="2"/>
  <c r="GJ393" i="2"/>
  <c r="GM393" i="2"/>
  <c r="GN393" i="2"/>
  <c r="GO393" i="2"/>
  <c r="GP393" i="2"/>
  <c r="GQ393" i="2"/>
  <c r="GR393" i="2"/>
  <c r="GS393" i="2"/>
  <c r="GT393" i="2"/>
  <c r="GU393" i="2"/>
  <c r="GV393" i="2"/>
  <c r="GW393" i="2"/>
  <c r="GX393" i="2"/>
  <c r="GY393" i="2"/>
  <c r="GZ393" i="2"/>
  <c r="HC393" i="2"/>
  <c r="HD393" i="2"/>
  <c r="HE393" i="2"/>
  <c r="HF393" i="2"/>
  <c r="HG393" i="2"/>
  <c r="HH393" i="2"/>
  <c r="HI393" i="2"/>
  <c r="HJ393" i="2"/>
  <c r="HK393" i="2"/>
  <c r="HL393" i="2"/>
  <c r="HM393" i="2"/>
  <c r="HN393" i="2"/>
  <c r="HO393" i="2"/>
  <c r="HP393" i="2"/>
  <c r="HS393" i="2"/>
  <c r="HT393" i="2"/>
  <c r="HU393" i="2"/>
  <c r="HV393" i="2"/>
  <c r="HW393" i="2"/>
  <c r="HX393" i="2"/>
  <c r="HY393" i="2"/>
  <c r="HZ393" i="2"/>
  <c r="IA393" i="2"/>
  <c r="IB393" i="2"/>
  <c r="IC393" i="2"/>
  <c r="ID393" i="2"/>
  <c r="IE393" i="2"/>
  <c r="IF393" i="2"/>
  <c r="II393" i="2"/>
  <c r="IJ393" i="2"/>
  <c r="IK393" i="2"/>
  <c r="IL393" i="2"/>
  <c r="IM393" i="2"/>
  <c r="IN393" i="2"/>
  <c r="IO393" i="2"/>
  <c r="IP393" i="2"/>
  <c r="IQ393" i="2"/>
  <c r="IR393" i="2"/>
  <c r="IS393" i="2"/>
  <c r="IT393" i="2"/>
  <c r="IU393" i="2"/>
  <c r="IV393" i="2"/>
  <c r="IY393" i="2"/>
  <c r="IZ393" i="2"/>
  <c r="JA393" i="2"/>
  <c r="JB393" i="2"/>
  <c r="JC393" i="2"/>
  <c r="JD393" i="2"/>
  <c r="JE393" i="2"/>
  <c r="JF393" i="2"/>
  <c r="JG393" i="2"/>
  <c r="JH393" i="2"/>
  <c r="JI393" i="2"/>
  <c r="JJ393" i="2"/>
  <c r="JK393" i="2"/>
  <c r="JL393" i="2"/>
  <c r="JO393" i="2"/>
  <c r="JP393" i="2"/>
  <c r="JQ393" i="2"/>
  <c r="JR393" i="2"/>
  <c r="JS393" i="2"/>
  <c r="JT393" i="2"/>
  <c r="JU393" i="2"/>
  <c r="JV393" i="2"/>
  <c r="JW393" i="2"/>
  <c r="JX393" i="2"/>
  <c r="JY393" i="2"/>
  <c r="JZ393" i="2"/>
  <c r="KA393" i="2"/>
  <c r="KB393" i="2"/>
  <c r="KE393" i="2"/>
  <c r="KF393" i="2"/>
  <c r="KG393" i="2"/>
  <c r="KH393" i="2"/>
  <c r="KI393" i="2"/>
  <c r="KJ393" i="2"/>
  <c r="KK393" i="2"/>
  <c r="KL393" i="2"/>
  <c r="KM393" i="2"/>
  <c r="KN393" i="2"/>
  <c r="KO393" i="2"/>
  <c r="KP393" i="2"/>
  <c r="KQ393" i="2"/>
  <c r="KR393" i="2"/>
  <c r="KU393" i="2"/>
  <c r="KV393" i="2"/>
  <c r="KW393" i="2"/>
  <c r="KY393" i="2"/>
  <c r="KZ393" i="2"/>
  <c r="LA393" i="2"/>
  <c r="LB393" i="2"/>
  <c r="LC393" i="2"/>
  <c r="LD393" i="2"/>
  <c r="LE393" i="2"/>
  <c r="LF393" i="2"/>
  <c r="LG393" i="2"/>
  <c r="LH393" i="2"/>
  <c r="LK393" i="2"/>
  <c r="LL393" i="2"/>
  <c r="LM393" i="2"/>
  <c r="LN393" i="2"/>
  <c r="LO393" i="2"/>
  <c r="LP393" i="2"/>
  <c r="LQ393" i="2"/>
  <c r="LR393" i="2"/>
  <c r="LS393" i="2"/>
  <c r="LT393" i="2"/>
  <c r="LU393" i="2"/>
  <c r="LV393" i="2"/>
  <c r="LW393" i="2"/>
  <c r="LX393" i="2"/>
  <c r="MQ393" i="2"/>
  <c r="MR393" i="2"/>
  <c r="MS393" i="2"/>
  <c r="MT393" i="2"/>
  <c r="MU393" i="2"/>
  <c r="MV393" i="2"/>
  <c r="MW393" i="2"/>
  <c r="MX393" i="2"/>
  <c r="MY393" i="2"/>
  <c r="MZ393" i="2"/>
  <c r="NA393" i="2"/>
  <c r="NB393" i="2"/>
  <c r="NC393" i="2"/>
  <c r="ND393" i="2"/>
  <c r="NG393" i="2"/>
  <c r="NH393" i="2"/>
  <c r="NI393" i="2"/>
  <c r="NJ393" i="2"/>
  <c r="NK393" i="2"/>
  <c r="NL393" i="2"/>
  <c r="NM393" i="2"/>
  <c r="NN393" i="2"/>
  <c r="NO393" i="2"/>
  <c r="NP393" i="2"/>
  <c r="NQ393" i="2"/>
  <c r="NR393" i="2"/>
  <c r="NS393" i="2"/>
  <c r="NT393" i="2"/>
  <c r="NW393" i="2"/>
  <c r="NX393" i="2"/>
  <c r="NY393" i="2"/>
  <c r="NZ393" i="2"/>
  <c r="OA393" i="2"/>
  <c r="OB393" i="2"/>
  <c r="OC393" i="2"/>
  <c r="OD393" i="2"/>
  <c r="OE393" i="2"/>
  <c r="OF393" i="2"/>
  <c r="OG393" i="2"/>
  <c r="OH393" i="2"/>
  <c r="OI393" i="2"/>
  <c r="OJ393" i="2"/>
  <c r="OM393" i="2"/>
  <c r="ON393" i="2"/>
  <c r="OO393" i="2"/>
  <c r="OP393" i="2"/>
  <c r="OQ393" i="2"/>
  <c r="OR393" i="2"/>
  <c r="OS393" i="2"/>
  <c r="OT393" i="2"/>
  <c r="OU393" i="2"/>
  <c r="OV393" i="2"/>
  <c r="OW393" i="2"/>
  <c r="OX393" i="2"/>
  <c r="OY393" i="2"/>
  <c r="OZ393" i="2"/>
  <c r="PC393" i="2"/>
  <c r="PD393" i="2"/>
  <c r="PE393" i="2"/>
  <c r="PF393" i="2"/>
  <c r="PG393" i="2"/>
  <c r="PH393" i="2"/>
  <c r="PI393" i="2"/>
  <c r="PJ393" i="2"/>
  <c r="PK393" i="2"/>
  <c r="PL393" i="2"/>
  <c r="PM393" i="2"/>
  <c r="PN393" i="2"/>
  <c r="PO393" i="2"/>
  <c r="PP393" i="2"/>
  <c r="QI393" i="2"/>
  <c r="QJ393" i="2"/>
  <c r="QK393" i="2"/>
  <c r="QL393" i="2"/>
  <c r="QM393" i="2"/>
  <c r="QN393" i="2"/>
  <c r="QO393" i="2"/>
  <c r="QP393" i="2"/>
  <c r="QQ393" i="2"/>
  <c r="QR393" i="2"/>
  <c r="QS393" i="2"/>
  <c r="QT393" i="2"/>
  <c r="QU393" i="2"/>
  <c r="QV393" i="2"/>
  <c r="RA393" i="2"/>
  <c r="RB393" i="2"/>
  <c r="RC393" i="2"/>
  <c r="RD393" i="2"/>
  <c r="RG393" i="2"/>
  <c r="RH393" i="2"/>
  <c r="RI393" i="2"/>
  <c r="RJ393" i="2"/>
  <c r="RK393" i="2"/>
  <c r="RL393" i="2"/>
  <c r="RO393" i="2"/>
  <c r="RP393" i="2"/>
  <c r="RQ393" i="2"/>
  <c r="RR393" i="2"/>
  <c r="RS393" i="2"/>
  <c r="RT393" i="2"/>
  <c r="RU393" i="2"/>
  <c r="RV393" i="2"/>
  <c r="RW393" i="2"/>
  <c r="RX393" i="2"/>
  <c r="RY393" i="2"/>
  <c r="RZ393" i="2"/>
  <c r="SA393" i="2"/>
  <c r="SB393" i="2"/>
  <c r="SE393" i="2"/>
  <c r="SF393" i="2"/>
  <c r="SG393" i="2"/>
  <c r="SH393" i="2"/>
  <c r="SI393" i="2"/>
  <c r="SJ393" i="2"/>
  <c r="SK393" i="2"/>
  <c r="SL393" i="2"/>
  <c r="SM393" i="2"/>
  <c r="SN393" i="2"/>
  <c r="SO393" i="2"/>
  <c r="SP393" i="2"/>
  <c r="SQ393" i="2"/>
  <c r="SR393" i="2"/>
  <c r="SU393" i="2"/>
  <c r="SV393" i="2"/>
  <c r="SW393" i="2"/>
  <c r="SX393" i="2"/>
  <c r="SY393" i="2"/>
  <c r="SZ393" i="2"/>
  <c r="TA393" i="2"/>
  <c r="TB393" i="2"/>
  <c r="TC393" i="2"/>
  <c r="TD393" i="2"/>
  <c r="TE393" i="2"/>
  <c r="TF393" i="2"/>
  <c r="TG393" i="2"/>
  <c r="TH393" i="2"/>
  <c r="TK393" i="2"/>
  <c r="TL393" i="2"/>
  <c r="TM393" i="2"/>
  <c r="TN393" i="2"/>
  <c r="TO393" i="2"/>
  <c r="TP393" i="2"/>
  <c r="TQ393" i="2"/>
  <c r="TR393" i="2"/>
  <c r="TS393" i="2"/>
  <c r="TT393" i="2"/>
  <c r="TU393" i="2"/>
  <c r="TV393" i="2"/>
  <c r="TW393" i="2"/>
  <c r="TX393" i="2"/>
  <c r="UA393" i="2"/>
  <c r="UB393" i="2"/>
  <c r="UC393" i="2"/>
  <c r="UD393" i="2"/>
  <c r="UE393" i="2"/>
  <c r="UF393" i="2"/>
  <c r="UG393" i="2"/>
  <c r="UH393" i="2"/>
  <c r="UI393" i="2"/>
  <c r="UJ393" i="2"/>
  <c r="UK393" i="2"/>
  <c r="UL393" i="2"/>
  <c r="UM393" i="2"/>
  <c r="UN393" i="2"/>
  <c r="UQ393" i="2"/>
  <c r="UR393" i="2"/>
  <c r="US393" i="2"/>
  <c r="UT393" i="2"/>
  <c r="UU393" i="2"/>
  <c r="UV393" i="2"/>
  <c r="UW393" i="2"/>
  <c r="UX393" i="2"/>
  <c r="UY393" i="2"/>
  <c r="UZ393" i="2"/>
  <c r="VA393" i="2"/>
  <c r="VB393" i="2"/>
  <c r="VC393" i="2"/>
  <c r="VD393" i="2"/>
  <c r="VG393" i="2"/>
  <c r="VH393" i="2"/>
  <c r="VI393" i="2"/>
  <c r="VJ393" i="2"/>
  <c r="VK393" i="2"/>
  <c r="VL393" i="2"/>
  <c r="VM393" i="2"/>
  <c r="VN393" i="2"/>
  <c r="VO393" i="2"/>
  <c r="VP393" i="2"/>
  <c r="VQ393" i="2"/>
  <c r="VR393" i="2"/>
  <c r="VS393" i="2"/>
  <c r="VT393" i="2"/>
  <c r="S431" i="2"/>
  <c r="T431" i="2"/>
  <c r="U431" i="2"/>
  <c r="V431" i="2"/>
  <c r="W431" i="2"/>
  <c r="X431" i="2"/>
  <c r="Y431" i="2"/>
  <c r="Z431" i="2"/>
  <c r="AA431" i="2"/>
  <c r="AB431" i="2"/>
  <c r="AC431" i="2"/>
  <c r="AD431" i="2"/>
  <c r="AE431" i="2"/>
  <c r="AF431" i="2"/>
  <c r="AI431" i="2"/>
  <c r="AJ431" i="2"/>
  <c r="AK431" i="2"/>
  <c r="AL431" i="2"/>
  <c r="AM431" i="2"/>
  <c r="AN431" i="2"/>
  <c r="AO431" i="2"/>
  <c r="AP431" i="2"/>
  <c r="AQ431" i="2"/>
  <c r="AR431" i="2"/>
  <c r="AS431" i="2"/>
  <c r="AT431" i="2"/>
  <c r="AU431" i="2"/>
  <c r="AV431" i="2"/>
  <c r="AY431" i="2"/>
  <c r="AZ431" i="2"/>
  <c r="BA431" i="2"/>
  <c r="BB431" i="2"/>
  <c r="BC431" i="2"/>
  <c r="BD431" i="2"/>
  <c r="BE431" i="2"/>
  <c r="BF431" i="2"/>
  <c r="BG431" i="2"/>
  <c r="BH431" i="2"/>
  <c r="BI431" i="2"/>
  <c r="BJ431" i="2"/>
  <c r="BK431" i="2"/>
  <c r="BL431" i="2"/>
  <c r="BO431" i="2"/>
  <c r="BP431" i="2"/>
  <c r="BQ431" i="2"/>
  <c r="BR431" i="2"/>
  <c r="BS431" i="2"/>
  <c r="BT431" i="2"/>
  <c r="BU431" i="2"/>
  <c r="BV431" i="2"/>
  <c r="BW431" i="2"/>
  <c r="BX431" i="2"/>
  <c r="BY431" i="2"/>
  <c r="BZ431" i="2"/>
  <c r="CA431" i="2"/>
  <c r="CB431" i="2"/>
  <c r="CE431" i="2"/>
  <c r="CF431" i="2"/>
  <c r="CG431" i="2"/>
  <c r="CH431" i="2"/>
  <c r="CI431" i="2"/>
  <c r="CJ431" i="2"/>
  <c r="CK431" i="2"/>
  <c r="CL431" i="2"/>
  <c r="CM431" i="2"/>
  <c r="CN431" i="2"/>
  <c r="CO431" i="2"/>
  <c r="CP431" i="2"/>
  <c r="CQ431" i="2"/>
  <c r="CR431" i="2"/>
  <c r="DK431" i="2"/>
  <c r="DL431" i="2"/>
  <c r="DM431" i="2"/>
  <c r="DN431" i="2"/>
  <c r="DO431" i="2"/>
  <c r="DP431" i="2"/>
  <c r="DQ431" i="2"/>
  <c r="DR431" i="2"/>
  <c r="DS431" i="2"/>
  <c r="DT431" i="2"/>
  <c r="DU431" i="2"/>
  <c r="DV431" i="2"/>
  <c r="DW431" i="2"/>
  <c r="DX431" i="2"/>
  <c r="EA431" i="2"/>
  <c r="EB431" i="2"/>
  <c r="EC431" i="2"/>
  <c r="ED431" i="2"/>
  <c r="EE431" i="2"/>
  <c r="EF431" i="2"/>
  <c r="EG431" i="2"/>
  <c r="EH431" i="2"/>
  <c r="EI431" i="2"/>
  <c r="EJ431" i="2"/>
  <c r="EK431" i="2"/>
  <c r="EL431" i="2"/>
  <c r="EM431" i="2"/>
  <c r="EN431" i="2"/>
  <c r="EQ431" i="2"/>
  <c r="ER431" i="2"/>
  <c r="ES431" i="2"/>
  <c r="ET431" i="2"/>
  <c r="EU431" i="2"/>
  <c r="EV431" i="2"/>
  <c r="EW431" i="2"/>
  <c r="EX431" i="2"/>
  <c r="EY431" i="2"/>
  <c r="EZ431" i="2"/>
  <c r="FA431" i="2"/>
  <c r="FB431" i="2"/>
  <c r="FC431" i="2"/>
  <c r="FD431" i="2"/>
  <c r="FW431" i="2"/>
  <c r="FX431" i="2"/>
  <c r="FY431" i="2"/>
  <c r="FZ431" i="2"/>
  <c r="GA431" i="2"/>
  <c r="GB431" i="2"/>
  <c r="GC431" i="2"/>
  <c r="GD431" i="2"/>
  <c r="GE431" i="2"/>
  <c r="GF431" i="2"/>
  <c r="GG431" i="2"/>
  <c r="GH431" i="2"/>
  <c r="GI431" i="2"/>
  <c r="GJ431" i="2"/>
  <c r="GM431" i="2"/>
  <c r="GN431" i="2"/>
  <c r="GO431" i="2"/>
  <c r="GP431" i="2"/>
  <c r="GQ431" i="2"/>
  <c r="GR431" i="2"/>
  <c r="GS431" i="2"/>
  <c r="GT431" i="2"/>
  <c r="GU431" i="2"/>
  <c r="GV431" i="2"/>
  <c r="GW431" i="2"/>
  <c r="GX431" i="2"/>
  <c r="GY431" i="2"/>
  <c r="GZ431" i="2"/>
  <c r="HC431" i="2"/>
  <c r="HD431" i="2"/>
  <c r="HE431" i="2"/>
  <c r="HF431" i="2"/>
  <c r="HG431" i="2"/>
  <c r="HH431" i="2"/>
  <c r="HI431" i="2"/>
  <c r="HJ431" i="2"/>
  <c r="HK431" i="2"/>
  <c r="HL431" i="2"/>
  <c r="HM431" i="2"/>
  <c r="HN431" i="2"/>
  <c r="HO431" i="2"/>
  <c r="HP431" i="2"/>
  <c r="HS431" i="2"/>
  <c r="HT431" i="2"/>
  <c r="HU431" i="2"/>
  <c r="HV431" i="2"/>
  <c r="HW431" i="2"/>
  <c r="HX431" i="2"/>
  <c r="HY431" i="2"/>
  <c r="HZ431" i="2"/>
  <c r="IA431" i="2"/>
  <c r="IB431" i="2"/>
  <c r="IC431" i="2"/>
  <c r="ID431" i="2"/>
  <c r="IE431" i="2"/>
  <c r="IF431" i="2"/>
  <c r="II431" i="2"/>
  <c r="IJ431" i="2"/>
  <c r="IK431" i="2"/>
  <c r="IL431" i="2"/>
  <c r="IM431" i="2"/>
  <c r="IN431" i="2"/>
  <c r="IO431" i="2"/>
  <c r="IP431" i="2"/>
  <c r="IQ431" i="2"/>
  <c r="IR431" i="2"/>
  <c r="IS431" i="2"/>
  <c r="IT431" i="2"/>
  <c r="IU431" i="2"/>
  <c r="IV431" i="2"/>
  <c r="IY431" i="2"/>
  <c r="IZ431" i="2"/>
  <c r="JA431" i="2"/>
  <c r="JB431" i="2"/>
  <c r="JC431" i="2"/>
  <c r="JD431" i="2"/>
  <c r="JE431" i="2"/>
  <c r="JF431" i="2"/>
  <c r="JG431" i="2"/>
  <c r="JH431" i="2"/>
  <c r="JI431" i="2"/>
  <c r="JJ431" i="2"/>
  <c r="JK431" i="2"/>
  <c r="JL431" i="2"/>
  <c r="JO431" i="2"/>
  <c r="JP431" i="2"/>
  <c r="JQ431" i="2"/>
  <c r="JR431" i="2"/>
  <c r="JS431" i="2"/>
  <c r="JT431" i="2"/>
  <c r="JU431" i="2"/>
  <c r="JV431" i="2"/>
  <c r="JW431" i="2"/>
  <c r="JX431" i="2"/>
  <c r="JY431" i="2"/>
  <c r="JZ431" i="2"/>
  <c r="KA431" i="2"/>
  <c r="KB431" i="2"/>
  <c r="KE431" i="2"/>
  <c r="KF431" i="2"/>
  <c r="KG431" i="2"/>
  <c r="KH431" i="2"/>
  <c r="KI431" i="2"/>
  <c r="KJ431" i="2"/>
  <c r="KK431" i="2"/>
  <c r="KL431" i="2"/>
  <c r="KM431" i="2"/>
  <c r="KN431" i="2"/>
  <c r="KO431" i="2"/>
  <c r="KP431" i="2"/>
  <c r="KQ431" i="2"/>
  <c r="KR431" i="2"/>
  <c r="KU431" i="2"/>
  <c r="KV431" i="2"/>
  <c r="KW431" i="2"/>
  <c r="KY431" i="2"/>
  <c r="KZ431" i="2"/>
  <c r="LA431" i="2"/>
  <c r="LB431" i="2"/>
  <c r="LC431" i="2"/>
  <c r="LD431" i="2"/>
  <c r="LE431" i="2"/>
  <c r="LF431" i="2"/>
  <c r="LG431" i="2"/>
  <c r="LH431" i="2"/>
  <c r="LK431" i="2"/>
  <c r="LL431" i="2"/>
  <c r="LM431" i="2"/>
  <c r="LN431" i="2"/>
  <c r="LO431" i="2"/>
  <c r="LP431" i="2"/>
  <c r="LQ431" i="2"/>
  <c r="LR431" i="2"/>
  <c r="LS431" i="2"/>
  <c r="LT431" i="2"/>
  <c r="LU431" i="2"/>
  <c r="LV431" i="2"/>
  <c r="LW431" i="2"/>
  <c r="LX431" i="2"/>
  <c r="MQ431" i="2"/>
  <c r="MR431" i="2"/>
  <c r="MS431" i="2"/>
  <c r="MT431" i="2"/>
  <c r="MU431" i="2"/>
  <c r="MV431" i="2"/>
  <c r="MW431" i="2"/>
  <c r="MX431" i="2"/>
  <c r="MY431" i="2"/>
  <c r="MZ431" i="2"/>
  <c r="NA431" i="2"/>
  <c r="NB431" i="2"/>
  <c r="NC431" i="2"/>
  <c r="ND431" i="2"/>
  <c r="NG431" i="2"/>
  <c r="NH431" i="2"/>
  <c r="NI431" i="2"/>
  <c r="NJ431" i="2"/>
  <c r="NK431" i="2"/>
  <c r="NL431" i="2"/>
  <c r="NM431" i="2"/>
  <c r="NN431" i="2"/>
  <c r="NO431" i="2"/>
  <c r="NP431" i="2"/>
  <c r="NQ431" i="2"/>
  <c r="NR431" i="2"/>
  <c r="NS431" i="2"/>
  <c r="NT431" i="2"/>
  <c r="OM431" i="2"/>
  <c r="ON431" i="2"/>
  <c r="OO431" i="2"/>
  <c r="OP431" i="2"/>
  <c r="OQ431" i="2"/>
  <c r="OR431" i="2"/>
  <c r="OS431" i="2"/>
  <c r="OT431" i="2"/>
  <c r="OU431" i="2"/>
  <c r="OV431" i="2"/>
  <c r="OW431" i="2"/>
  <c r="OX431" i="2"/>
  <c r="OY431" i="2"/>
  <c r="OZ431" i="2"/>
  <c r="PC431" i="2"/>
  <c r="PD431" i="2"/>
  <c r="PE431" i="2"/>
  <c r="PF431" i="2"/>
  <c r="PG431" i="2"/>
  <c r="PH431" i="2"/>
  <c r="PI431" i="2"/>
  <c r="PJ431" i="2"/>
  <c r="PK431" i="2"/>
  <c r="PL431" i="2"/>
  <c r="PM431" i="2"/>
  <c r="PN431" i="2"/>
  <c r="PO431" i="2"/>
  <c r="PP431" i="2"/>
  <c r="QI431" i="2"/>
  <c r="QJ431" i="2"/>
  <c r="QK431" i="2"/>
  <c r="QL431" i="2"/>
  <c r="QM431" i="2"/>
  <c r="QN431" i="2"/>
  <c r="QO431" i="2"/>
  <c r="QP431" i="2"/>
  <c r="QQ431" i="2"/>
  <c r="QR431" i="2"/>
  <c r="QS431" i="2"/>
  <c r="QT431" i="2"/>
  <c r="QU431" i="2"/>
  <c r="QV431" i="2"/>
  <c r="RA431" i="2"/>
  <c r="RB431" i="2"/>
  <c r="RC431" i="2"/>
  <c r="RD431" i="2"/>
  <c r="RG431" i="2"/>
  <c r="RH431" i="2"/>
  <c r="RI431" i="2"/>
  <c r="RJ431" i="2"/>
  <c r="RK431" i="2"/>
  <c r="RL431" i="2"/>
  <c r="RO431" i="2"/>
  <c r="RP431" i="2"/>
  <c r="RQ431" i="2"/>
  <c r="RR431" i="2"/>
  <c r="RS431" i="2"/>
  <c r="RT431" i="2"/>
  <c r="RU431" i="2"/>
  <c r="RV431" i="2"/>
  <c r="RW431" i="2"/>
  <c r="RX431" i="2"/>
  <c r="RY431" i="2"/>
  <c r="RZ431" i="2"/>
  <c r="SA431" i="2"/>
  <c r="SB431" i="2"/>
  <c r="SE431" i="2"/>
  <c r="SF431" i="2"/>
  <c r="SG431" i="2"/>
  <c r="SH431" i="2"/>
  <c r="SI431" i="2"/>
  <c r="SJ431" i="2"/>
  <c r="SK431" i="2"/>
  <c r="SL431" i="2"/>
  <c r="SM431" i="2"/>
  <c r="SN431" i="2"/>
  <c r="SO431" i="2"/>
  <c r="SP431" i="2"/>
  <c r="SQ431" i="2"/>
  <c r="SR431" i="2"/>
  <c r="SU431" i="2"/>
  <c r="SV431" i="2"/>
  <c r="SW431" i="2"/>
  <c r="SX431" i="2"/>
  <c r="SY431" i="2"/>
  <c r="SZ431" i="2"/>
  <c r="TA431" i="2"/>
  <c r="TB431" i="2"/>
  <c r="TC431" i="2"/>
  <c r="TD431" i="2"/>
  <c r="TE431" i="2"/>
  <c r="TF431" i="2"/>
  <c r="TG431" i="2"/>
  <c r="TH431" i="2"/>
  <c r="TK431" i="2"/>
  <c r="TL431" i="2"/>
  <c r="TM431" i="2"/>
  <c r="TN431" i="2"/>
  <c r="TO431" i="2"/>
  <c r="TP431" i="2"/>
  <c r="TQ431" i="2"/>
  <c r="TR431" i="2"/>
  <c r="TS431" i="2"/>
  <c r="TT431" i="2"/>
  <c r="TU431" i="2"/>
  <c r="TV431" i="2"/>
  <c r="TW431" i="2"/>
  <c r="TX431" i="2"/>
  <c r="UA431" i="2"/>
  <c r="UB431" i="2"/>
  <c r="UC431" i="2"/>
  <c r="UD431" i="2"/>
  <c r="UE431" i="2"/>
  <c r="UF431" i="2"/>
  <c r="UG431" i="2"/>
  <c r="UH431" i="2"/>
  <c r="UI431" i="2"/>
  <c r="UJ431" i="2"/>
  <c r="UK431" i="2"/>
  <c r="UL431" i="2"/>
  <c r="UM431" i="2"/>
  <c r="UN431" i="2"/>
  <c r="UQ431" i="2"/>
  <c r="UR431" i="2"/>
  <c r="US431" i="2"/>
  <c r="UT431" i="2"/>
  <c r="UU431" i="2"/>
  <c r="UV431" i="2"/>
  <c r="UW431" i="2"/>
  <c r="UX431" i="2"/>
  <c r="UY431" i="2"/>
  <c r="UZ431" i="2"/>
  <c r="VA431" i="2"/>
  <c r="VB431" i="2"/>
  <c r="VC431" i="2"/>
  <c r="VD431" i="2"/>
  <c r="VG431" i="2"/>
  <c r="VH431" i="2"/>
  <c r="VI431" i="2"/>
  <c r="VJ431" i="2"/>
  <c r="VK431" i="2"/>
  <c r="VL431" i="2"/>
  <c r="VM431" i="2"/>
  <c r="VN431" i="2"/>
  <c r="VO431" i="2"/>
  <c r="VP431" i="2"/>
  <c r="VQ431" i="2"/>
  <c r="VR431" i="2"/>
  <c r="VS431" i="2"/>
  <c r="VT431" i="2"/>
  <c r="CK1" i="39"/>
  <c r="CJ1" i="39"/>
  <c r="CI1" i="39"/>
  <c r="CH1" i="39"/>
  <c r="CG1" i="39"/>
  <c r="CF1" i="39"/>
  <c r="XZ474" i="2"/>
  <c r="XY474" i="2"/>
  <c r="XX474" i="2"/>
  <c r="XW474" i="2"/>
  <c r="XV474" i="2"/>
  <c r="XU474" i="2"/>
  <c r="XT474" i="2"/>
  <c r="XZ473" i="2"/>
  <c r="XY473" i="2"/>
  <c r="XX473" i="2"/>
  <c r="XW473" i="2"/>
  <c r="XV473" i="2"/>
  <c r="XU473" i="2"/>
  <c r="XT473" i="2"/>
  <c r="XZ472" i="2"/>
  <c r="XY472" i="2"/>
  <c r="XX472" i="2"/>
  <c r="XW472" i="2"/>
  <c r="XV472" i="2"/>
  <c r="XU472" i="2"/>
  <c r="XT472" i="2"/>
  <c r="YA468" i="2"/>
  <c r="YA467" i="2"/>
  <c r="YA466" i="2"/>
  <c r="YA465" i="2"/>
  <c r="YA464" i="2"/>
  <c r="YA463" i="2"/>
  <c r="YA462" i="2"/>
  <c r="YA461" i="2"/>
  <c r="YA460" i="2"/>
  <c r="YA459" i="2"/>
  <c r="YA458" i="2"/>
  <c r="YA457" i="2"/>
  <c r="YA456" i="2"/>
  <c r="YA455" i="2"/>
  <c r="YA454" i="2"/>
  <c r="YA453" i="2"/>
  <c r="YA452" i="2"/>
  <c r="YA451" i="2"/>
  <c r="YA450" i="2"/>
  <c r="YA449" i="2"/>
  <c r="YA448" i="2"/>
  <c r="YA447" i="2"/>
  <c r="YA446" i="2"/>
  <c r="YA445" i="2"/>
  <c r="YA444" i="2"/>
  <c r="YA443" i="2"/>
  <c r="YA442" i="2"/>
  <c r="YA441" i="2"/>
  <c r="YA440" i="2"/>
  <c r="YA439" i="2"/>
  <c r="YA438" i="2"/>
  <c r="YA437" i="2"/>
  <c r="YA436" i="2"/>
  <c r="YA435" i="2"/>
  <c r="YA434" i="2"/>
  <c r="YA433" i="2"/>
  <c r="YA432" i="2"/>
  <c r="YA430" i="2"/>
  <c r="YA429" i="2"/>
  <c r="YA428" i="2"/>
  <c r="YA427" i="2"/>
  <c r="YA426" i="2"/>
  <c r="YA425" i="2"/>
  <c r="YA424" i="2"/>
  <c r="YA423" i="2"/>
  <c r="YA422" i="2"/>
  <c r="YA421" i="2"/>
  <c r="YA420" i="2"/>
  <c r="YA419" i="2"/>
  <c r="YA418" i="2"/>
  <c r="YA417" i="2"/>
  <c r="YA416" i="2"/>
  <c r="YA415" i="2"/>
  <c r="YA414" i="2"/>
  <c r="YA413" i="2"/>
  <c r="YA412" i="2"/>
  <c r="YA411" i="2"/>
  <c r="YA410" i="2"/>
  <c r="YA409" i="2"/>
  <c r="YA408" i="2"/>
  <c r="YA407" i="2"/>
  <c r="YA406" i="2"/>
  <c r="YA405" i="2"/>
  <c r="YA404" i="2"/>
  <c r="YA403" i="2"/>
  <c r="YA402" i="2"/>
  <c r="YA401" i="2"/>
  <c r="YA400" i="2"/>
  <c r="YA399" i="2"/>
  <c r="YA398" i="2"/>
  <c r="YA397" i="2"/>
  <c r="YA396" i="2"/>
  <c r="YA395" i="2"/>
  <c r="YA394" i="2"/>
  <c r="YA392" i="2"/>
  <c r="YA391" i="2"/>
  <c r="YA390" i="2"/>
  <c r="YA389" i="2"/>
  <c r="YA388" i="2"/>
  <c r="YA387" i="2"/>
  <c r="YA386" i="2"/>
  <c r="YA385" i="2"/>
  <c r="YA384" i="2"/>
  <c r="YA383" i="2"/>
  <c r="YA382" i="2"/>
  <c r="YA381" i="2"/>
  <c r="YA380" i="2"/>
  <c r="YA379" i="2"/>
  <c r="YA378" i="2"/>
  <c r="YA377" i="2"/>
  <c r="YA376" i="2"/>
  <c r="YA375" i="2"/>
  <c r="YA374" i="2"/>
  <c r="YA373" i="2"/>
  <c r="YA372" i="2"/>
  <c r="YA371" i="2"/>
  <c r="YA370" i="2"/>
  <c r="YA369" i="2"/>
  <c r="YA368" i="2"/>
  <c r="YA367" i="2"/>
  <c r="YA366" i="2"/>
  <c r="YA365" i="2"/>
  <c r="YA364" i="2"/>
  <c r="YA363" i="2"/>
  <c r="YA362" i="2"/>
  <c r="YA361" i="2"/>
  <c r="YA360" i="2"/>
  <c r="YA359" i="2"/>
  <c r="YA358" i="2"/>
  <c r="YA357" i="2"/>
  <c r="YA356" i="2"/>
  <c r="YA354" i="2"/>
  <c r="YA353" i="2"/>
  <c r="YA352" i="2"/>
  <c r="YA351" i="2"/>
  <c r="YA350" i="2"/>
  <c r="YA349" i="2"/>
  <c r="YA348" i="2"/>
  <c r="YA347" i="2"/>
  <c r="YA346" i="2"/>
  <c r="YA345" i="2"/>
  <c r="YA344" i="2"/>
  <c r="YA343" i="2"/>
  <c r="YA342" i="2"/>
  <c r="YA341" i="2"/>
  <c r="YA340" i="2"/>
  <c r="YA339" i="2"/>
  <c r="YA338" i="2"/>
  <c r="YA337" i="2"/>
  <c r="YA336" i="2"/>
  <c r="YA335" i="2"/>
  <c r="YA334" i="2"/>
  <c r="YA333" i="2"/>
  <c r="YA332" i="2"/>
  <c r="YA331" i="2"/>
  <c r="YA330" i="2"/>
  <c r="YA329" i="2"/>
  <c r="YA328" i="2"/>
  <c r="YA327" i="2"/>
  <c r="YA326" i="2"/>
  <c r="YA325" i="2"/>
  <c r="YA324" i="2"/>
  <c r="YA323" i="2"/>
  <c r="YA322" i="2"/>
  <c r="YA321" i="2"/>
  <c r="YA320" i="2"/>
  <c r="YA319" i="2"/>
  <c r="YA318" i="2"/>
  <c r="YA316" i="2"/>
  <c r="YA315" i="2"/>
  <c r="YA314" i="2"/>
  <c r="YA313" i="2"/>
  <c r="YA312" i="2"/>
  <c r="YA311" i="2"/>
  <c r="YA310" i="2"/>
  <c r="YA309" i="2"/>
  <c r="YA308" i="2"/>
  <c r="YA307" i="2"/>
  <c r="YA306" i="2"/>
  <c r="YA305" i="2"/>
  <c r="YA304" i="2"/>
  <c r="YA303" i="2"/>
  <c r="YA302" i="2"/>
  <c r="YA301" i="2"/>
  <c r="YA300" i="2"/>
  <c r="YA299" i="2"/>
  <c r="YA298" i="2"/>
  <c r="YA297" i="2"/>
  <c r="YA296" i="2"/>
  <c r="YA295" i="2"/>
  <c r="YA294" i="2"/>
  <c r="YA293" i="2"/>
  <c r="YA292" i="2"/>
  <c r="YA291" i="2"/>
  <c r="YA290" i="2"/>
  <c r="YA289" i="2"/>
  <c r="YA288" i="2"/>
  <c r="YA287" i="2"/>
  <c r="YA286" i="2"/>
  <c r="YA285" i="2"/>
  <c r="YA284" i="2"/>
  <c r="YA283" i="2"/>
  <c r="YA282" i="2"/>
  <c r="YA281" i="2"/>
  <c r="YA280" i="2"/>
  <c r="YA278" i="2"/>
  <c r="YA277" i="2"/>
  <c r="YA276" i="2"/>
  <c r="YA275" i="2"/>
  <c r="YA274" i="2"/>
  <c r="YA273" i="2"/>
  <c r="YA272" i="2"/>
  <c r="YA271" i="2"/>
  <c r="YA270" i="2"/>
  <c r="YA269" i="2"/>
  <c r="YA268" i="2"/>
  <c r="YA267" i="2"/>
  <c r="YA266" i="2"/>
  <c r="YA265" i="2"/>
  <c r="YA264" i="2"/>
  <c r="YA263" i="2"/>
  <c r="YA262" i="2"/>
  <c r="YA261" i="2"/>
  <c r="YA260" i="2"/>
  <c r="YA259" i="2"/>
  <c r="YA258" i="2"/>
  <c r="YA257" i="2"/>
  <c r="YA256" i="2"/>
  <c r="YA255" i="2"/>
  <c r="YA254" i="2"/>
  <c r="YA253" i="2"/>
  <c r="YA252" i="2"/>
  <c r="YA251" i="2"/>
  <c r="YA250" i="2"/>
  <c r="YA249" i="2"/>
  <c r="YA248" i="2"/>
  <c r="YA247" i="2"/>
  <c r="YA246" i="2"/>
  <c r="YA245" i="2"/>
  <c r="YA244" i="2"/>
  <c r="YA243" i="2"/>
  <c r="YA242" i="2"/>
  <c r="YA240" i="2"/>
  <c r="YA239" i="2"/>
  <c r="YA238" i="2"/>
  <c r="YA237" i="2"/>
  <c r="YA236" i="2"/>
  <c r="YA235" i="2"/>
  <c r="YA234" i="2"/>
  <c r="YA233" i="2"/>
  <c r="YA232" i="2"/>
  <c r="YA231" i="2"/>
  <c r="YA230" i="2"/>
  <c r="YA229" i="2"/>
  <c r="YA228" i="2"/>
  <c r="YA227" i="2"/>
  <c r="YA226" i="2"/>
  <c r="YA225" i="2"/>
  <c r="YA224" i="2"/>
  <c r="YA223" i="2"/>
  <c r="YA222" i="2"/>
  <c r="YA221" i="2"/>
  <c r="YA220" i="2"/>
  <c r="YA219" i="2"/>
  <c r="YA218" i="2"/>
  <c r="YA217" i="2"/>
  <c r="YA216" i="2"/>
  <c r="YA215" i="2"/>
  <c r="YA214" i="2"/>
  <c r="YA213" i="2"/>
  <c r="YA212" i="2"/>
  <c r="YA211" i="2"/>
  <c r="YA210" i="2"/>
  <c r="YA209" i="2"/>
  <c r="YA208" i="2"/>
  <c r="YA207" i="2"/>
  <c r="YA206" i="2"/>
  <c r="YA205" i="2"/>
  <c r="YA204" i="2"/>
  <c r="YA202" i="2"/>
  <c r="YA201" i="2"/>
  <c r="YA200" i="2"/>
  <c r="YA199" i="2"/>
  <c r="YA198" i="2"/>
  <c r="YA197" i="2"/>
  <c r="YA196" i="2"/>
  <c r="YA195" i="2"/>
  <c r="YA194" i="2"/>
  <c r="YA193" i="2"/>
  <c r="YA192" i="2"/>
  <c r="YA191" i="2"/>
  <c r="YA190" i="2"/>
  <c r="YA189" i="2"/>
  <c r="YA188" i="2"/>
  <c r="YA187" i="2"/>
  <c r="YA186" i="2"/>
  <c r="YA185" i="2"/>
  <c r="YA184" i="2"/>
  <c r="YA183" i="2"/>
  <c r="YA182" i="2"/>
  <c r="YA181" i="2"/>
  <c r="YA180" i="2"/>
  <c r="YA179" i="2"/>
  <c r="YA178" i="2"/>
  <c r="YA177" i="2"/>
  <c r="YA176" i="2"/>
  <c r="YA175" i="2"/>
  <c r="YA174" i="2"/>
  <c r="YA173" i="2"/>
  <c r="YA172" i="2"/>
  <c r="YA171" i="2"/>
  <c r="YA170" i="2"/>
  <c r="YA169" i="2"/>
  <c r="YA168" i="2"/>
  <c r="YA167" i="2"/>
  <c r="YA166" i="2"/>
  <c r="YA164" i="2"/>
  <c r="YA163" i="2"/>
  <c r="YA162" i="2"/>
  <c r="YA161" i="2"/>
  <c r="YA160" i="2"/>
  <c r="YA159" i="2"/>
  <c r="YA158" i="2"/>
  <c r="YA157" i="2"/>
  <c r="YA156" i="2"/>
  <c r="YA155" i="2"/>
  <c r="YA154" i="2"/>
  <c r="YA153" i="2"/>
  <c r="YA152" i="2"/>
  <c r="YA151" i="2"/>
  <c r="YA150" i="2"/>
  <c r="YA149" i="2"/>
  <c r="YA148" i="2"/>
  <c r="YA147" i="2"/>
  <c r="YA146" i="2"/>
  <c r="YA145" i="2"/>
  <c r="YA144" i="2"/>
  <c r="YA143" i="2"/>
  <c r="YA142" i="2"/>
  <c r="YA141" i="2"/>
  <c r="YA140" i="2"/>
  <c r="YA139" i="2"/>
  <c r="YA138" i="2"/>
  <c r="YA137" i="2"/>
  <c r="YA136" i="2"/>
  <c r="YA135" i="2"/>
  <c r="YA134" i="2"/>
  <c r="YA133" i="2"/>
  <c r="YA132" i="2"/>
  <c r="YA131" i="2"/>
  <c r="YA130" i="2"/>
  <c r="YA129" i="2"/>
  <c r="YA128" i="2"/>
  <c r="YA126" i="2"/>
  <c r="YA125" i="2"/>
  <c r="YA124" i="2"/>
  <c r="YA123" i="2"/>
  <c r="YA122" i="2"/>
  <c r="YA121" i="2"/>
  <c r="YA120" i="2"/>
  <c r="YA119" i="2"/>
  <c r="YA118" i="2"/>
  <c r="YA117" i="2"/>
  <c r="YA116" i="2"/>
  <c r="YA115" i="2"/>
  <c r="YA114" i="2"/>
  <c r="YA113" i="2"/>
  <c r="YA112" i="2"/>
  <c r="YA111" i="2"/>
  <c r="YA110" i="2"/>
  <c r="YA109" i="2"/>
  <c r="YA108" i="2"/>
  <c r="YA107" i="2"/>
  <c r="YA106" i="2"/>
  <c r="YA105" i="2"/>
  <c r="YA104" i="2"/>
  <c r="YA103" i="2"/>
  <c r="YA102" i="2"/>
  <c r="YA101" i="2"/>
  <c r="YA100" i="2"/>
  <c r="YA99" i="2"/>
  <c r="YA98" i="2"/>
  <c r="YA97" i="2"/>
  <c r="YA96" i="2"/>
  <c r="YA95" i="2"/>
  <c r="YA94" i="2"/>
  <c r="YA93" i="2"/>
  <c r="YA92" i="2"/>
  <c r="YA91" i="2"/>
  <c r="YA90" i="2"/>
  <c r="YA88" i="2"/>
  <c r="YA87" i="2"/>
  <c r="YA86" i="2"/>
  <c r="YA85" i="2"/>
  <c r="YA84" i="2"/>
  <c r="YA83" i="2"/>
  <c r="YA82" i="2"/>
  <c r="YA81" i="2"/>
  <c r="YA80" i="2"/>
  <c r="YA79" i="2"/>
  <c r="YA78" i="2"/>
  <c r="YA77" i="2"/>
  <c r="YA76" i="2"/>
  <c r="YA75" i="2"/>
  <c r="YA74" i="2"/>
  <c r="YA73" i="2"/>
  <c r="YA72" i="2"/>
  <c r="YA71" i="2"/>
  <c r="YA70" i="2"/>
  <c r="YA69" i="2"/>
  <c r="YA68" i="2"/>
  <c r="YA67" i="2"/>
  <c r="YA66" i="2"/>
  <c r="YA65" i="2"/>
  <c r="YA64" i="2"/>
  <c r="YA63" i="2"/>
  <c r="YA62" i="2"/>
  <c r="YA61" i="2"/>
  <c r="YA60" i="2"/>
  <c r="YA59" i="2"/>
  <c r="YA58" i="2"/>
  <c r="YA57" i="2"/>
  <c r="YA56" i="2"/>
  <c r="YA55" i="2"/>
  <c r="YA54" i="2"/>
  <c r="YA53" i="2"/>
  <c r="YA52" i="2"/>
  <c r="WT14" i="2"/>
  <c r="B34" i="7"/>
  <c r="B81" i="7" s="1"/>
  <c r="B35" i="7"/>
  <c r="B82" i="7" s="1"/>
  <c r="B36" i="7"/>
  <c r="B83" i="7" s="1"/>
  <c r="B37" i="7"/>
  <c r="B84" i="7" s="1"/>
  <c r="B38" i="7"/>
  <c r="B85" i="7" s="1"/>
  <c r="B39" i="7"/>
  <c r="B86" i="7" s="1"/>
  <c r="B40" i="7"/>
  <c r="B87" i="7" s="1"/>
  <c r="B41" i="7"/>
  <c r="B88" i="7" s="1"/>
  <c r="B42" i="7"/>
  <c r="B89" i="7" s="1"/>
  <c r="B43" i="7"/>
  <c r="B90" i="7" s="1"/>
  <c r="B8" i="7"/>
  <c r="B55" i="7" s="1"/>
  <c r="B9" i="7"/>
  <c r="B56" i="7" s="1"/>
  <c r="B10" i="7"/>
  <c r="B57" i="7" s="1"/>
  <c r="B11" i="7"/>
  <c r="B58" i="7" s="1"/>
  <c r="B12" i="7"/>
  <c r="B59" i="7" s="1"/>
  <c r="B13" i="7"/>
  <c r="B60" i="7" s="1"/>
  <c r="B14" i="7"/>
  <c r="B61" i="7" s="1"/>
  <c r="B15" i="7"/>
  <c r="B62" i="7" s="1"/>
  <c r="B16" i="7"/>
  <c r="B63" i="7" s="1"/>
  <c r="B17" i="7"/>
  <c r="B64" i="7" s="1"/>
  <c r="B18" i="7"/>
  <c r="B65" i="7" s="1"/>
  <c r="B19" i="7"/>
  <c r="B66" i="7" s="1"/>
  <c r="B20" i="7"/>
  <c r="B67" i="7" s="1"/>
  <c r="B21" i="7"/>
  <c r="B68" i="7" s="1"/>
  <c r="B22" i="7"/>
  <c r="B69" i="7" s="1"/>
  <c r="B23" i="7"/>
  <c r="B70" i="7" s="1"/>
  <c r="B24" i="7"/>
  <c r="B71" i="7" s="1"/>
  <c r="B25" i="7"/>
  <c r="B72" i="7" s="1"/>
  <c r="B26" i="7"/>
  <c r="B73" i="7" s="1"/>
  <c r="B27" i="7"/>
  <c r="B74" i="7" s="1"/>
  <c r="B28" i="7"/>
  <c r="B75" i="7" s="1"/>
  <c r="B29" i="7"/>
  <c r="B76" i="7" s="1"/>
  <c r="B30" i="7"/>
  <c r="B77" i="7" s="1"/>
  <c r="B31" i="7"/>
  <c r="B78" i="7" s="1"/>
  <c r="B32" i="7"/>
  <c r="B79" i="7" s="1"/>
  <c r="B33" i="7"/>
  <c r="B80" i="7" s="1"/>
  <c r="B39" i="61"/>
  <c r="B40" i="61"/>
  <c r="B41" i="61"/>
  <c r="B42" i="61"/>
  <c r="B16" i="61"/>
  <c r="B17" i="61"/>
  <c r="B18" i="61"/>
  <c r="B19" i="61"/>
  <c r="B20" i="61"/>
  <c r="B21" i="61"/>
  <c r="B22" i="61"/>
  <c r="B23" i="61"/>
  <c r="B24" i="61"/>
  <c r="B25" i="61"/>
  <c r="B26" i="61"/>
  <c r="B27" i="61"/>
  <c r="B28" i="61"/>
  <c r="B29" i="61"/>
  <c r="B30" i="61"/>
  <c r="B31" i="61"/>
  <c r="B32" i="61"/>
  <c r="B33" i="61"/>
  <c r="B34" i="61"/>
  <c r="B35" i="61"/>
  <c r="B36" i="61"/>
  <c r="B37" i="61"/>
  <c r="B38" i="61"/>
  <c r="B7" i="61"/>
  <c r="B8" i="61"/>
  <c r="B9" i="61"/>
  <c r="B10" i="61"/>
  <c r="B11" i="61"/>
  <c r="B12" i="61"/>
  <c r="B13" i="61"/>
  <c r="B14" i="61"/>
  <c r="B15" i="61"/>
  <c r="B6" i="61"/>
  <c r="MO13" i="2" l="1"/>
  <c r="SD13" i="2"/>
  <c r="PR13" i="2"/>
  <c r="SC13" i="2"/>
  <c r="MP13" i="2"/>
  <c r="KD13" i="2"/>
  <c r="TZ13" i="2"/>
  <c r="IH13" i="2"/>
  <c r="RN13" i="2"/>
  <c r="KT13" i="2"/>
  <c r="IX13" i="2"/>
  <c r="VU13" i="2"/>
  <c r="OK13" i="2"/>
  <c r="KS13" i="2"/>
  <c r="HA13" i="2"/>
  <c r="DI13" i="2"/>
  <c r="WK13" i="2"/>
  <c r="SS13" i="2"/>
  <c r="PA13" i="2"/>
  <c r="LI13" i="2"/>
  <c r="HQ13" i="2"/>
  <c r="DY13" i="2"/>
  <c r="TY13" i="2"/>
  <c r="IW13" i="2"/>
  <c r="FE13" i="2"/>
  <c r="BM13" i="2"/>
  <c r="TJ13" i="2"/>
  <c r="LZ13" i="2"/>
  <c r="EP13" i="2"/>
  <c r="AX13" i="2"/>
  <c r="LY13" i="2"/>
  <c r="AW13" i="2"/>
  <c r="VF13" i="2"/>
  <c r="NV13" i="2"/>
  <c r="GL13" i="2"/>
  <c r="CT13" i="2"/>
  <c r="VV13" i="2"/>
  <c r="OL13" i="2"/>
  <c r="HB13" i="2"/>
  <c r="DJ13" i="2"/>
  <c r="WL13" i="2"/>
  <c r="ST13" i="2"/>
  <c r="PB13" i="2"/>
  <c r="LJ13" i="2"/>
  <c r="HR13" i="2"/>
  <c r="DZ13" i="2"/>
  <c r="PQ13" i="2"/>
  <c r="AG13" i="2"/>
  <c r="EO13" i="2"/>
  <c r="TI13" i="2"/>
  <c r="IG13" i="2"/>
  <c r="UO13" i="2"/>
  <c r="QW13" i="2"/>
  <c r="NE13" i="2"/>
  <c r="JM13" i="2"/>
  <c r="FU13" i="2"/>
  <c r="CC13" i="2"/>
  <c r="FF13" i="2"/>
  <c r="VE13" i="2"/>
  <c r="RM13" i="2"/>
  <c r="NU13" i="2"/>
  <c r="KC13" i="2"/>
  <c r="GK13" i="2"/>
  <c r="CS13" i="2"/>
  <c r="UP13" i="2"/>
  <c r="QX13" i="2"/>
  <c r="NF13" i="2"/>
  <c r="JN13" i="2"/>
  <c r="FV13" i="2"/>
  <c r="CD13" i="2"/>
  <c r="YA393" i="2"/>
  <c r="YA165" i="2"/>
  <c r="YA279" i="2"/>
  <c r="YA317" i="2"/>
  <c r="YA431" i="2"/>
  <c r="YA355" i="2"/>
  <c r="YA241" i="2"/>
  <c r="YA89" i="2"/>
  <c r="YA203" i="2"/>
  <c r="YA127" i="2"/>
  <c r="YA51" i="2"/>
  <c r="BY44" i="42"/>
  <c r="BX44" i="42"/>
  <c r="BW44" i="42"/>
  <c r="BV44" i="42"/>
  <c r="BU44" i="42"/>
  <c r="BT44" i="42"/>
  <c r="BS44" i="42"/>
  <c r="BR44" i="42"/>
  <c r="BQ44" i="42"/>
  <c r="BP44" i="42"/>
  <c r="BO44" i="42"/>
  <c r="BN44" i="42"/>
  <c r="BM44" i="42"/>
  <c r="BL44" i="42"/>
  <c r="BK44" i="42"/>
  <c r="BJ44" i="42"/>
  <c r="BI44" i="42"/>
  <c r="BH44" i="42"/>
  <c r="BG44" i="42"/>
  <c r="BF44" i="42"/>
  <c r="B9" i="40"/>
  <c r="B10" i="40"/>
  <c r="B11" i="40"/>
  <c r="B12" i="40"/>
  <c r="B13" i="40"/>
  <c r="B14" i="40"/>
  <c r="B15" i="40"/>
  <c r="B16" i="40"/>
  <c r="B17" i="40"/>
  <c r="B18" i="40"/>
  <c r="B19" i="40"/>
  <c r="B20" i="40"/>
  <c r="B21" i="40"/>
  <c r="B22" i="40"/>
  <c r="B23" i="40"/>
  <c r="B24" i="40"/>
  <c r="B25" i="40"/>
  <c r="B26" i="40"/>
  <c r="B27" i="40"/>
  <c r="B28" i="40"/>
  <c r="B29" i="40"/>
  <c r="B30" i="40"/>
  <c r="B31" i="40"/>
  <c r="B32" i="40"/>
  <c r="B33" i="40"/>
  <c r="B34" i="40"/>
  <c r="B35" i="40"/>
  <c r="B36" i="40"/>
  <c r="B37" i="40"/>
  <c r="B38" i="40"/>
  <c r="B39" i="40"/>
  <c r="B40" i="40"/>
  <c r="B41" i="40"/>
  <c r="B42" i="40"/>
  <c r="B43" i="40"/>
  <c r="B44" i="40"/>
  <c r="B8" i="40"/>
  <c r="BY6" i="51"/>
  <c r="N74" i="52" s="1"/>
  <c r="BX6" i="51"/>
  <c r="N12" i="52" s="1"/>
  <c r="BY43" i="51"/>
  <c r="N111" i="52" s="1"/>
  <c r="BX43" i="51"/>
  <c r="N49" i="52" s="1"/>
  <c r="BY42" i="51"/>
  <c r="N110" i="52" s="1"/>
  <c r="BX42" i="51"/>
  <c r="N48" i="52" s="1"/>
  <c r="BY41" i="51"/>
  <c r="N109" i="52" s="1"/>
  <c r="BX41" i="51"/>
  <c r="N47" i="52" s="1"/>
  <c r="BY40" i="51"/>
  <c r="N108" i="52" s="1"/>
  <c r="BX40" i="51"/>
  <c r="N46" i="52" s="1"/>
  <c r="BY39" i="51"/>
  <c r="N107" i="52" s="1"/>
  <c r="BX39" i="51"/>
  <c r="N45" i="52" s="1"/>
  <c r="BY38" i="51"/>
  <c r="N106" i="52" s="1"/>
  <c r="BX38" i="51"/>
  <c r="N44" i="52" s="1"/>
  <c r="BY37" i="51"/>
  <c r="N105" i="52" s="1"/>
  <c r="BX37" i="51"/>
  <c r="N43" i="52" s="1"/>
  <c r="BY36" i="51"/>
  <c r="N104" i="52" s="1"/>
  <c r="BX36" i="51"/>
  <c r="N42" i="52" s="1"/>
  <c r="BY35" i="51"/>
  <c r="N103" i="52" s="1"/>
  <c r="BX35" i="51"/>
  <c r="N41" i="52" s="1"/>
  <c r="BY34" i="51"/>
  <c r="N102" i="52" s="1"/>
  <c r="BX34" i="51"/>
  <c r="N40" i="52" s="1"/>
  <c r="BY33" i="51"/>
  <c r="N101" i="52" s="1"/>
  <c r="BX33" i="51"/>
  <c r="N39" i="52" s="1"/>
  <c r="BY32" i="51"/>
  <c r="N100" i="52" s="1"/>
  <c r="BX32" i="51"/>
  <c r="N38" i="52" s="1"/>
  <c r="BY31" i="51"/>
  <c r="N99" i="52" s="1"/>
  <c r="BX31" i="51"/>
  <c r="N37" i="52" s="1"/>
  <c r="BY30" i="51"/>
  <c r="N98" i="52" s="1"/>
  <c r="BX30" i="51"/>
  <c r="N36" i="52" s="1"/>
  <c r="BY29" i="51"/>
  <c r="N97" i="52" s="1"/>
  <c r="BX29" i="51"/>
  <c r="N35" i="52" s="1"/>
  <c r="BY28" i="51"/>
  <c r="N96" i="52" s="1"/>
  <c r="BX28" i="51"/>
  <c r="N34" i="52" s="1"/>
  <c r="BY27" i="51"/>
  <c r="N95" i="52" s="1"/>
  <c r="BX27" i="51"/>
  <c r="N33" i="52" s="1"/>
  <c r="BY26" i="51"/>
  <c r="N94" i="52" s="1"/>
  <c r="BX26" i="51"/>
  <c r="N32" i="52" s="1"/>
  <c r="BY25" i="51"/>
  <c r="N93" i="52" s="1"/>
  <c r="BX25" i="51"/>
  <c r="N31" i="52" s="1"/>
  <c r="BY24" i="51"/>
  <c r="N92" i="52" s="1"/>
  <c r="BX24" i="51"/>
  <c r="N30" i="52" s="1"/>
  <c r="BY23" i="51"/>
  <c r="N91" i="52" s="1"/>
  <c r="BX23" i="51"/>
  <c r="N29" i="52" s="1"/>
  <c r="BY22" i="51"/>
  <c r="N90" i="52" s="1"/>
  <c r="BX22" i="51"/>
  <c r="N28" i="52" s="1"/>
  <c r="BY21" i="51"/>
  <c r="N89" i="52" s="1"/>
  <c r="BX21" i="51"/>
  <c r="N27" i="52" s="1"/>
  <c r="BY20" i="51"/>
  <c r="N88" i="52" s="1"/>
  <c r="BX20" i="51"/>
  <c r="N26" i="52" s="1"/>
  <c r="BY19" i="51"/>
  <c r="N87" i="52" s="1"/>
  <c r="BX19" i="51"/>
  <c r="N25" i="52" s="1"/>
  <c r="BY18" i="51"/>
  <c r="N86" i="52" s="1"/>
  <c r="BX18" i="51"/>
  <c r="N24" i="52" s="1"/>
  <c r="BY17" i="51"/>
  <c r="N85" i="52" s="1"/>
  <c r="BX17" i="51"/>
  <c r="N23" i="52" s="1"/>
  <c r="BY16" i="51"/>
  <c r="N84" i="52" s="1"/>
  <c r="BX16" i="51"/>
  <c r="N22" i="52" s="1"/>
  <c r="BY15" i="51"/>
  <c r="N83" i="52" s="1"/>
  <c r="BX15" i="51"/>
  <c r="N21" i="52" s="1"/>
  <c r="BY14" i="51"/>
  <c r="N82" i="52" s="1"/>
  <c r="BX14" i="51"/>
  <c r="N20" i="52" s="1"/>
  <c r="BY13" i="51"/>
  <c r="N81" i="52" s="1"/>
  <c r="BX13" i="51"/>
  <c r="N19" i="52" s="1"/>
  <c r="BY12" i="51"/>
  <c r="N80" i="52" s="1"/>
  <c r="BX12" i="51"/>
  <c r="N18" i="52" s="1"/>
  <c r="BY11" i="51"/>
  <c r="N79" i="52" s="1"/>
  <c r="BX11" i="51"/>
  <c r="N17" i="52" s="1"/>
  <c r="BY10" i="51"/>
  <c r="N78" i="52" s="1"/>
  <c r="BX10" i="51"/>
  <c r="N16" i="52" s="1"/>
  <c r="BY9" i="51"/>
  <c r="N77" i="52" s="1"/>
  <c r="BX9" i="51"/>
  <c r="N15" i="52" s="1"/>
  <c r="BY8" i="51"/>
  <c r="N76" i="52" s="1"/>
  <c r="BX8" i="51"/>
  <c r="N14" i="52" s="1"/>
  <c r="BY7" i="51"/>
  <c r="N75" i="52" s="1"/>
  <c r="BX7" i="51"/>
  <c r="N13" i="52" s="1"/>
  <c r="BW6" i="51"/>
  <c r="BV6" i="51"/>
  <c r="BW43" i="51"/>
  <c r="BV43" i="51"/>
  <c r="BW42" i="51"/>
  <c r="BV42" i="51"/>
  <c r="BW41" i="51"/>
  <c r="BV41" i="51"/>
  <c r="BW40" i="51"/>
  <c r="BV40" i="51"/>
  <c r="BW39" i="51"/>
  <c r="BV39" i="51"/>
  <c r="BW38" i="51"/>
  <c r="BV38" i="51"/>
  <c r="BW37" i="51"/>
  <c r="BV37" i="51"/>
  <c r="BW36" i="51"/>
  <c r="BV36" i="51"/>
  <c r="BW35" i="51"/>
  <c r="BV35" i="51"/>
  <c r="BW34" i="51"/>
  <c r="BV34" i="51"/>
  <c r="BW33" i="51"/>
  <c r="BV33" i="51"/>
  <c r="BW32" i="51"/>
  <c r="BV32" i="51"/>
  <c r="BW31" i="51"/>
  <c r="BV31" i="51"/>
  <c r="BW30" i="51"/>
  <c r="BV30" i="51"/>
  <c r="BW29" i="51"/>
  <c r="BV29" i="51"/>
  <c r="BW28" i="51"/>
  <c r="BV28" i="51"/>
  <c r="BW27" i="51"/>
  <c r="BV27" i="51"/>
  <c r="BW26" i="51"/>
  <c r="BV26" i="51"/>
  <c r="BW25" i="51"/>
  <c r="BV25" i="51"/>
  <c r="BW24" i="51"/>
  <c r="BV24" i="51"/>
  <c r="BW23" i="51"/>
  <c r="BV23" i="51"/>
  <c r="BW22" i="51"/>
  <c r="BV22" i="51"/>
  <c r="BW21" i="51"/>
  <c r="BV21" i="51"/>
  <c r="BW20" i="51"/>
  <c r="BV20" i="51"/>
  <c r="BW19" i="51"/>
  <c r="BV19" i="51"/>
  <c r="BW18" i="51"/>
  <c r="BV18" i="51"/>
  <c r="BW17" i="51"/>
  <c r="BV17" i="51"/>
  <c r="BW16" i="51"/>
  <c r="BV16" i="51"/>
  <c r="BW15" i="51"/>
  <c r="BV15" i="51"/>
  <c r="BW14" i="51"/>
  <c r="BV14" i="51"/>
  <c r="BW13" i="51"/>
  <c r="BV13" i="51"/>
  <c r="BW12" i="51"/>
  <c r="BV12" i="51"/>
  <c r="BW11" i="51"/>
  <c r="BV11" i="51"/>
  <c r="BW10" i="51"/>
  <c r="BV10" i="51"/>
  <c r="BW9" i="51"/>
  <c r="BV9" i="51"/>
  <c r="BW8" i="51"/>
  <c r="BV8" i="51"/>
  <c r="BW7" i="51"/>
  <c r="BV7" i="51"/>
  <c r="BU6" i="51"/>
  <c r="BT6" i="51"/>
  <c r="BU43" i="51"/>
  <c r="BT43" i="51"/>
  <c r="BU42" i="51"/>
  <c r="BT42" i="51"/>
  <c r="BU41" i="51"/>
  <c r="BT41" i="51"/>
  <c r="BU40" i="51"/>
  <c r="BT40" i="51"/>
  <c r="BU39" i="51"/>
  <c r="BT39" i="51"/>
  <c r="BU38" i="51"/>
  <c r="BT38" i="51"/>
  <c r="BU37" i="51"/>
  <c r="BT37" i="51"/>
  <c r="BU36" i="51"/>
  <c r="BT36" i="51"/>
  <c r="BU35" i="51"/>
  <c r="BT35" i="51"/>
  <c r="BU34" i="51"/>
  <c r="BT34" i="51"/>
  <c r="BU33" i="51"/>
  <c r="BT33" i="51"/>
  <c r="BU32" i="51"/>
  <c r="BT32" i="51"/>
  <c r="BU31" i="51"/>
  <c r="BT31" i="51"/>
  <c r="BU30" i="51"/>
  <c r="BT30" i="51"/>
  <c r="BU29" i="51"/>
  <c r="BT29" i="51"/>
  <c r="BU28" i="51"/>
  <c r="BT28" i="51"/>
  <c r="BU27" i="51"/>
  <c r="BT27" i="51"/>
  <c r="BU26" i="51"/>
  <c r="BT26" i="51"/>
  <c r="BU25" i="51"/>
  <c r="BT25" i="51"/>
  <c r="BU24" i="51"/>
  <c r="BT24" i="51"/>
  <c r="BU23" i="51"/>
  <c r="BT23" i="51"/>
  <c r="BU22" i="51"/>
  <c r="BT22" i="51"/>
  <c r="BU21" i="51"/>
  <c r="BT21" i="51"/>
  <c r="BU20" i="51"/>
  <c r="BT20" i="51"/>
  <c r="BU19" i="51"/>
  <c r="BT19" i="51"/>
  <c r="BU18" i="51"/>
  <c r="BT18" i="51"/>
  <c r="BU17" i="51"/>
  <c r="BT17" i="51"/>
  <c r="BU16" i="51"/>
  <c r="BT16" i="51"/>
  <c r="BU15" i="51"/>
  <c r="BT15" i="51"/>
  <c r="BU14" i="51"/>
  <c r="BT14" i="51"/>
  <c r="BU13" i="51"/>
  <c r="BT13" i="51"/>
  <c r="BU12" i="51"/>
  <c r="BT12" i="51"/>
  <c r="BU11" i="51"/>
  <c r="BT11" i="51"/>
  <c r="BU10" i="51"/>
  <c r="BT10" i="51"/>
  <c r="BU9" i="51"/>
  <c r="BT9" i="51"/>
  <c r="BU8" i="51"/>
  <c r="BT8" i="51"/>
  <c r="BU7" i="51"/>
  <c r="BT7" i="51"/>
  <c r="BS6" i="51"/>
  <c r="BR6" i="51"/>
  <c r="BS43" i="51"/>
  <c r="BR43" i="51"/>
  <c r="BS42" i="51"/>
  <c r="BR42" i="51"/>
  <c r="BS41" i="51"/>
  <c r="BR41" i="51"/>
  <c r="BS40" i="51"/>
  <c r="BR40" i="51"/>
  <c r="BS39" i="51"/>
  <c r="BR39" i="51"/>
  <c r="BS38" i="51"/>
  <c r="BR38" i="51"/>
  <c r="BS37" i="51"/>
  <c r="BR37" i="51"/>
  <c r="BS36" i="51"/>
  <c r="BR36" i="51"/>
  <c r="BS35" i="51"/>
  <c r="BR35" i="51"/>
  <c r="BS34" i="51"/>
  <c r="BR34" i="51"/>
  <c r="BS33" i="51"/>
  <c r="BR33" i="51"/>
  <c r="BS32" i="51"/>
  <c r="BR32" i="51"/>
  <c r="BS31" i="51"/>
  <c r="BR31" i="51"/>
  <c r="BS30" i="51"/>
  <c r="BR30" i="51"/>
  <c r="BS29" i="51"/>
  <c r="BR29" i="51"/>
  <c r="BS28" i="51"/>
  <c r="BR28" i="51"/>
  <c r="BS27" i="51"/>
  <c r="BR27" i="51"/>
  <c r="BS26" i="51"/>
  <c r="BR26" i="51"/>
  <c r="BS25" i="51"/>
  <c r="BR25" i="51"/>
  <c r="BS24" i="51"/>
  <c r="BR24" i="51"/>
  <c r="BS23" i="51"/>
  <c r="BR23" i="51"/>
  <c r="BS22" i="51"/>
  <c r="BR22" i="51"/>
  <c r="BS21" i="51"/>
  <c r="BR21" i="51"/>
  <c r="BS20" i="51"/>
  <c r="BR20" i="51"/>
  <c r="BS19" i="51"/>
  <c r="BR19" i="51"/>
  <c r="BS18" i="51"/>
  <c r="BR18" i="51"/>
  <c r="BS17" i="51"/>
  <c r="BR17" i="51"/>
  <c r="BS16" i="51"/>
  <c r="BR16" i="51"/>
  <c r="BS15" i="51"/>
  <c r="BR15" i="51"/>
  <c r="BS14" i="51"/>
  <c r="BR14" i="51"/>
  <c r="BS13" i="51"/>
  <c r="BR13" i="51"/>
  <c r="BS12" i="51"/>
  <c r="BR12" i="51"/>
  <c r="BS11" i="51"/>
  <c r="BR11" i="51"/>
  <c r="BS10" i="51"/>
  <c r="BR10" i="51"/>
  <c r="BS9" i="51"/>
  <c r="BR9" i="51"/>
  <c r="BS8" i="51"/>
  <c r="BR8" i="51"/>
  <c r="BS7" i="51"/>
  <c r="BR7" i="51"/>
  <c r="BQ6" i="51"/>
  <c r="BP6" i="51"/>
  <c r="BQ43" i="51"/>
  <c r="BP43" i="51"/>
  <c r="BQ42" i="51"/>
  <c r="BP42" i="51"/>
  <c r="BQ41" i="51"/>
  <c r="BP41" i="51"/>
  <c r="BQ40" i="51"/>
  <c r="BP40" i="51"/>
  <c r="BQ39" i="51"/>
  <c r="BP39" i="51"/>
  <c r="BQ38" i="51"/>
  <c r="BP38" i="51"/>
  <c r="BQ37" i="51"/>
  <c r="BP37" i="51"/>
  <c r="BQ36" i="51"/>
  <c r="BP36" i="51"/>
  <c r="BQ35" i="51"/>
  <c r="BP35" i="51"/>
  <c r="BQ34" i="51"/>
  <c r="BP34" i="51"/>
  <c r="BQ33" i="51"/>
  <c r="BP33" i="51"/>
  <c r="BQ32" i="51"/>
  <c r="BP32" i="51"/>
  <c r="BQ31" i="51"/>
  <c r="BP31" i="51"/>
  <c r="BQ30" i="51"/>
  <c r="BP30" i="51"/>
  <c r="BQ29" i="51"/>
  <c r="BP29" i="51"/>
  <c r="BQ28" i="51"/>
  <c r="BP28" i="51"/>
  <c r="BQ27" i="51"/>
  <c r="BP27" i="51"/>
  <c r="BQ26" i="51"/>
  <c r="BP26" i="51"/>
  <c r="BQ25" i="51"/>
  <c r="BP25" i="51"/>
  <c r="BQ24" i="51"/>
  <c r="BP24" i="51"/>
  <c r="BQ23" i="51"/>
  <c r="BP23" i="51"/>
  <c r="BQ22" i="51"/>
  <c r="BP22" i="51"/>
  <c r="BQ21" i="51"/>
  <c r="BP21" i="51"/>
  <c r="BQ20" i="51"/>
  <c r="BP20" i="51"/>
  <c r="BQ19" i="51"/>
  <c r="BP19" i="51"/>
  <c r="BQ18" i="51"/>
  <c r="BP18" i="51"/>
  <c r="BQ17" i="51"/>
  <c r="BP17" i="51"/>
  <c r="BQ16" i="51"/>
  <c r="BP16" i="51"/>
  <c r="BQ15" i="51"/>
  <c r="BP15" i="51"/>
  <c r="BQ14" i="51"/>
  <c r="BP14" i="51"/>
  <c r="BQ13" i="51"/>
  <c r="BP13" i="51"/>
  <c r="BQ12" i="51"/>
  <c r="BP12" i="51"/>
  <c r="BQ11" i="51"/>
  <c r="BP11" i="51"/>
  <c r="BQ10" i="51"/>
  <c r="BP10" i="51"/>
  <c r="BQ9" i="51"/>
  <c r="BP9" i="51"/>
  <c r="BQ8" i="51"/>
  <c r="BP8" i="51"/>
  <c r="BQ7" i="51"/>
  <c r="BP7" i="51"/>
  <c r="BO6" i="51"/>
  <c r="BN6" i="51"/>
  <c r="BO43" i="51"/>
  <c r="BN43" i="51"/>
  <c r="BO42" i="51"/>
  <c r="BN42" i="51"/>
  <c r="BO41" i="51"/>
  <c r="BN41" i="51"/>
  <c r="BO40" i="51"/>
  <c r="BN40" i="51"/>
  <c r="BO39" i="51"/>
  <c r="BN39" i="51"/>
  <c r="BO38" i="51"/>
  <c r="BN38" i="51"/>
  <c r="BO37" i="51"/>
  <c r="BN37" i="51"/>
  <c r="BO36" i="51"/>
  <c r="BN36" i="51"/>
  <c r="BO35" i="51"/>
  <c r="BN35" i="51"/>
  <c r="BO34" i="51"/>
  <c r="BN34" i="51"/>
  <c r="BO33" i="51"/>
  <c r="BN33" i="51"/>
  <c r="BO32" i="51"/>
  <c r="BN32" i="51"/>
  <c r="BO31" i="51"/>
  <c r="BN31" i="51"/>
  <c r="BO30" i="51"/>
  <c r="BN30" i="51"/>
  <c r="BO29" i="51"/>
  <c r="BN29" i="51"/>
  <c r="BO28" i="51"/>
  <c r="BN28" i="51"/>
  <c r="BO27" i="51"/>
  <c r="BN27" i="51"/>
  <c r="BO26" i="51"/>
  <c r="BN26" i="51"/>
  <c r="BO25" i="51"/>
  <c r="BN25" i="51"/>
  <c r="BO24" i="51"/>
  <c r="BN24" i="51"/>
  <c r="BO23" i="51"/>
  <c r="BN23" i="51"/>
  <c r="BO22" i="51"/>
  <c r="BN22" i="51"/>
  <c r="BO21" i="51"/>
  <c r="BN21" i="51"/>
  <c r="BO20" i="51"/>
  <c r="BN20" i="51"/>
  <c r="BO19" i="51"/>
  <c r="BN19" i="51"/>
  <c r="BO18" i="51"/>
  <c r="BN18" i="51"/>
  <c r="BO17" i="51"/>
  <c r="BN17" i="51"/>
  <c r="BO16" i="51"/>
  <c r="BN16" i="51"/>
  <c r="BO15" i="51"/>
  <c r="BN15" i="51"/>
  <c r="BO14" i="51"/>
  <c r="BN14" i="51"/>
  <c r="BO13" i="51"/>
  <c r="BN13" i="51"/>
  <c r="BO12" i="51"/>
  <c r="BN12" i="51"/>
  <c r="BO11" i="51"/>
  <c r="BN11" i="51"/>
  <c r="BO10" i="51"/>
  <c r="BN10" i="51"/>
  <c r="BO9" i="51"/>
  <c r="BN9" i="51"/>
  <c r="BO8" i="51"/>
  <c r="BN8" i="51"/>
  <c r="BO7" i="51"/>
  <c r="BN7" i="51"/>
  <c r="BM6" i="51"/>
  <c r="BL6" i="51"/>
  <c r="BM43" i="51"/>
  <c r="BL43" i="51"/>
  <c r="BM42" i="51"/>
  <c r="BL42" i="51"/>
  <c r="BM41" i="51"/>
  <c r="BL41" i="51"/>
  <c r="BM40" i="51"/>
  <c r="BL40" i="51"/>
  <c r="BM39" i="51"/>
  <c r="BL39" i="51"/>
  <c r="BM38" i="51"/>
  <c r="BL38" i="51"/>
  <c r="BM37" i="51"/>
  <c r="BL37" i="51"/>
  <c r="BM36" i="51"/>
  <c r="BL36" i="51"/>
  <c r="BM35" i="51"/>
  <c r="BL35" i="51"/>
  <c r="BM34" i="51"/>
  <c r="BL34" i="51"/>
  <c r="BM33" i="51"/>
  <c r="BL33" i="51"/>
  <c r="BM32" i="51"/>
  <c r="BL32" i="51"/>
  <c r="BM31" i="51"/>
  <c r="BL31" i="51"/>
  <c r="BM30" i="51"/>
  <c r="BL30" i="51"/>
  <c r="BM29" i="51"/>
  <c r="BL29" i="51"/>
  <c r="BM28" i="51"/>
  <c r="BL28" i="51"/>
  <c r="BM27" i="51"/>
  <c r="BL27" i="51"/>
  <c r="BM26" i="51"/>
  <c r="BL26" i="51"/>
  <c r="BM25" i="51"/>
  <c r="BL25" i="51"/>
  <c r="BM24" i="51"/>
  <c r="BL24" i="51"/>
  <c r="BM23" i="51"/>
  <c r="BL23" i="51"/>
  <c r="BM22" i="51"/>
  <c r="BL22" i="51"/>
  <c r="BM21" i="51"/>
  <c r="BL21" i="51"/>
  <c r="BM20" i="51"/>
  <c r="BL20" i="51"/>
  <c r="BM19" i="51"/>
  <c r="BL19" i="51"/>
  <c r="BM18" i="51"/>
  <c r="BL18" i="51"/>
  <c r="BM17" i="51"/>
  <c r="BL17" i="51"/>
  <c r="BM16" i="51"/>
  <c r="BL16" i="51"/>
  <c r="BM15" i="51"/>
  <c r="BL15" i="51"/>
  <c r="BM14" i="51"/>
  <c r="BL14" i="51"/>
  <c r="BM13" i="51"/>
  <c r="BL13" i="51"/>
  <c r="BM12" i="51"/>
  <c r="BL12" i="51"/>
  <c r="BM11" i="51"/>
  <c r="BL11" i="51"/>
  <c r="BM10" i="51"/>
  <c r="BL10" i="51"/>
  <c r="BM9" i="51"/>
  <c r="BL9" i="51"/>
  <c r="BM8" i="51"/>
  <c r="BL8" i="51"/>
  <c r="BM7" i="51"/>
  <c r="BL7" i="51"/>
  <c r="BK6" i="51"/>
  <c r="BJ6" i="51"/>
  <c r="BK43" i="51"/>
  <c r="BJ43" i="51"/>
  <c r="BK42" i="51"/>
  <c r="BJ42" i="51"/>
  <c r="BK41" i="51"/>
  <c r="BJ41" i="51"/>
  <c r="BK40" i="51"/>
  <c r="BJ40" i="51"/>
  <c r="BK39" i="51"/>
  <c r="BJ39" i="51"/>
  <c r="BK38" i="51"/>
  <c r="BJ38" i="51"/>
  <c r="BK37" i="51"/>
  <c r="BJ37" i="51"/>
  <c r="BK36" i="51"/>
  <c r="BJ36" i="51"/>
  <c r="BK35" i="51"/>
  <c r="BJ35" i="51"/>
  <c r="BK34" i="51"/>
  <c r="BJ34" i="51"/>
  <c r="BK33" i="51"/>
  <c r="BJ33" i="51"/>
  <c r="BK32" i="51"/>
  <c r="BJ32" i="51"/>
  <c r="BK31" i="51"/>
  <c r="BJ31" i="51"/>
  <c r="BK30" i="51"/>
  <c r="BJ30" i="51"/>
  <c r="BK29" i="51"/>
  <c r="BJ29" i="51"/>
  <c r="BK28" i="51"/>
  <c r="BJ28" i="51"/>
  <c r="BK27" i="51"/>
  <c r="BJ27" i="51"/>
  <c r="BK26" i="51"/>
  <c r="BJ26" i="51"/>
  <c r="BK25" i="51"/>
  <c r="BJ25" i="51"/>
  <c r="BK24" i="51"/>
  <c r="BJ24" i="51"/>
  <c r="BK23" i="51"/>
  <c r="BJ23" i="51"/>
  <c r="BK22" i="51"/>
  <c r="BJ22" i="51"/>
  <c r="BK21" i="51"/>
  <c r="BJ21" i="51"/>
  <c r="BK20" i="51"/>
  <c r="BJ20" i="51"/>
  <c r="BK19" i="51"/>
  <c r="BJ19" i="51"/>
  <c r="BK18" i="51"/>
  <c r="BJ18" i="51"/>
  <c r="BK17" i="51"/>
  <c r="BJ17" i="51"/>
  <c r="BK16" i="51"/>
  <c r="BJ16" i="51"/>
  <c r="BK15" i="51"/>
  <c r="BJ15" i="51"/>
  <c r="BK14" i="51"/>
  <c r="BJ14" i="51"/>
  <c r="BK13" i="51"/>
  <c r="BJ13" i="51"/>
  <c r="BK12" i="51"/>
  <c r="BJ12" i="51"/>
  <c r="BK11" i="51"/>
  <c r="BJ11" i="51"/>
  <c r="BK10" i="51"/>
  <c r="BJ10" i="51"/>
  <c r="BK9" i="51"/>
  <c r="BJ9" i="51"/>
  <c r="BK8" i="51"/>
  <c r="BJ8" i="51"/>
  <c r="BK7" i="51"/>
  <c r="BJ7" i="51"/>
  <c r="B8" i="50"/>
  <c r="B37" i="50"/>
  <c r="B38" i="50"/>
  <c r="B39" i="50"/>
  <c r="B40" i="50"/>
  <c r="B41" i="50"/>
  <c r="B42" i="50"/>
  <c r="B43" i="50"/>
  <c r="B44" i="50"/>
  <c r="B9" i="50"/>
  <c r="B10" i="50"/>
  <c r="B11" i="50"/>
  <c r="B12" i="50"/>
  <c r="B13" i="50"/>
  <c r="B14" i="50"/>
  <c r="B15" i="50"/>
  <c r="B16" i="50"/>
  <c r="B17" i="50"/>
  <c r="B18" i="50"/>
  <c r="B19" i="50"/>
  <c r="B20" i="50"/>
  <c r="B21" i="50"/>
  <c r="B22" i="50"/>
  <c r="B23" i="50"/>
  <c r="B24" i="50"/>
  <c r="B25" i="50"/>
  <c r="B26" i="50"/>
  <c r="B27" i="50"/>
  <c r="B28" i="50"/>
  <c r="B29" i="50"/>
  <c r="B30" i="50"/>
  <c r="B31" i="50"/>
  <c r="B32" i="50"/>
  <c r="B33" i="50"/>
  <c r="B34" i="50"/>
  <c r="B35" i="50"/>
  <c r="B36" i="50"/>
  <c r="YA472" i="2" l="1"/>
  <c r="YA474" i="2"/>
  <c r="YA473" i="2"/>
  <c r="WZ455" i="2"/>
  <c r="XA455" i="2"/>
  <c r="WZ456" i="2"/>
  <c r="XA456" i="2"/>
  <c r="WZ457" i="2"/>
  <c r="XA457" i="2"/>
  <c r="WZ458" i="2"/>
  <c r="XA458" i="2"/>
  <c r="WZ459" i="2"/>
  <c r="XA459" i="2"/>
  <c r="WZ460" i="2"/>
  <c r="XA460" i="2"/>
  <c r="WZ461" i="2"/>
  <c r="XA461" i="2"/>
  <c r="WZ462" i="2"/>
  <c r="XA462" i="2"/>
  <c r="WZ463" i="2"/>
  <c r="XA463" i="2"/>
  <c r="WZ464" i="2"/>
  <c r="XA464" i="2"/>
  <c r="WZ465" i="2"/>
  <c r="XA465" i="2"/>
  <c r="WZ466" i="2"/>
  <c r="XA466" i="2"/>
  <c r="WZ467" i="2"/>
  <c r="XA467" i="2"/>
  <c r="WZ468" i="2"/>
  <c r="XA468" i="2"/>
  <c r="WZ417" i="2"/>
  <c r="XA417" i="2"/>
  <c r="WZ418" i="2"/>
  <c r="XA418" i="2"/>
  <c r="WZ419" i="2"/>
  <c r="XA419" i="2"/>
  <c r="WZ420" i="2"/>
  <c r="XA420" i="2"/>
  <c r="WZ421" i="2"/>
  <c r="XA421" i="2"/>
  <c r="WZ422" i="2"/>
  <c r="XA422" i="2"/>
  <c r="WZ423" i="2"/>
  <c r="XA423" i="2"/>
  <c r="WZ424" i="2"/>
  <c r="XA424" i="2"/>
  <c r="WZ425" i="2"/>
  <c r="XA425" i="2"/>
  <c r="WZ426" i="2"/>
  <c r="XA426" i="2"/>
  <c r="WZ427" i="2"/>
  <c r="XA427" i="2"/>
  <c r="WZ428" i="2"/>
  <c r="XA428" i="2"/>
  <c r="WZ429" i="2"/>
  <c r="XA429" i="2"/>
  <c r="WZ430" i="2"/>
  <c r="XA430" i="2"/>
  <c r="WZ379" i="2"/>
  <c r="XA379" i="2"/>
  <c r="WZ380" i="2"/>
  <c r="XA380" i="2"/>
  <c r="WZ381" i="2"/>
  <c r="XA381" i="2"/>
  <c r="WZ382" i="2"/>
  <c r="XA382" i="2"/>
  <c r="WZ383" i="2"/>
  <c r="XA383" i="2"/>
  <c r="WZ384" i="2"/>
  <c r="XA384" i="2"/>
  <c r="WZ385" i="2"/>
  <c r="XA385" i="2"/>
  <c r="WZ386" i="2"/>
  <c r="XA386" i="2"/>
  <c r="WZ387" i="2"/>
  <c r="XA387" i="2"/>
  <c r="WZ388" i="2"/>
  <c r="XA388" i="2"/>
  <c r="WZ389" i="2"/>
  <c r="XA389" i="2"/>
  <c r="WZ390" i="2"/>
  <c r="XA390" i="2"/>
  <c r="WZ391" i="2"/>
  <c r="XA391" i="2"/>
  <c r="WZ392" i="2"/>
  <c r="XA392" i="2"/>
  <c r="WZ341" i="2"/>
  <c r="XA341" i="2"/>
  <c r="WZ342" i="2"/>
  <c r="XA342" i="2"/>
  <c r="WZ343" i="2"/>
  <c r="XA343" i="2"/>
  <c r="WZ344" i="2"/>
  <c r="XA344" i="2"/>
  <c r="WZ345" i="2"/>
  <c r="XA345" i="2"/>
  <c r="WZ346" i="2"/>
  <c r="XA346" i="2"/>
  <c r="WZ347" i="2"/>
  <c r="XA347" i="2"/>
  <c r="WZ348" i="2"/>
  <c r="XA348" i="2"/>
  <c r="WZ349" i="2"/>
  <c r="XA349" i="2"/>
  <c r="WZ350" i="2"/>
  <c r="XA350" i="2"/>
  <c r="WZ351" i="2"/>
  <c r="XA351" i="2"/>
  <c r="WZ352" i="2"/>
  <c r="XA352" i="2"/>
  <c r="WZ353" i="2"/>
  <c r="XA353" i="2"/>
  <c r="WZ354" i="2"/>
  <c r="XA354" i="2"/>
  <c r="WZ303" i="2"/>
  <c r="XA303" i="2"/>
  <c r="WZ304" i="2"/>
  <c r="XA304" i="2"/>
  <c r="WZ305" i="2"/>
  <c r="XA305" i="2"/>
  <c r="WZ306" i="2"/>
  <c r="XA306" i="2"/>
  <c r="WZ307" i="2"/>
  <c r="XA307" i="2"/>
  <c r="WZ308" i="2"/>
  <c r="XA308" i="2"/>
  <c r="WZ309" i="2"/>
  <c r="XA309" i="2"/>
  <c r="WZ310" i="2"/>
  <c r="XA310" i="2"/>
  <c r="WZ311" i="2"/>
  <c r="XA311" i="2"/>
  <c r="WZ312" i="2"/>
  <c r="XA312" i="2"/>
  <c r="WZ313" i="2"/>
  <c r="XA313" i="2"/>
  <c r="WZ314" i="2"/>
  <c r="XA314" i="2"/>
  <c r="WZ315" i="2"/>
  <c r="XA315" i="2"/>
  <c r="WZ316" i="2"/>
  <c r="XA316" i="2"/>
  <c r="WZ265" i="2"/>
  <c r="XA265" i="2"/>
  <c r="WZ266" i="2"/>
  <c r="XA266" i="2"/>
  <c r="WZ267" i="2"/>
  <c r="XA267" i="2"/>
  <c r="WZ268" i="2"/>
  <c r="XA268" i="2"/>
  <c r="WZ269" i="2"/>
  <c r="XA269" i="2"/>
  <c r="WZ270" i="2"/>
  <c r="XA270" i="2"/>
  <c r="WZ271" i="2"/>
  <c r="XA271" i="2"/>
  <c r="WZ272" i="2"/>
  <c r="XA272" i="2"/>
  <c r="WZ273" i="2"/>
  <c r="XA273" i="2"/>
  <c r="WZ274" i="2"/>
  <c r="XA274" i="2"/>
  <c r="WZ275" i="2"/>
  <c r="XA275" i="2"/>
  <c r="WZ276" i="2"/>
  <c r="XA276" i="2"/>
  <c r="WZ277" i="2"/>
  <c r="XA277" i="2"/>
  <c r="WZ278" i="2"/>
  <c r="XA278" i="2"/>
  <c r="WZ227" i="2"/>
  <c r="XA227" i="2"/>
  <c r="WZ228" i="2"/>
  <c r="XA228" i="2"/>
  <c r="WZ229" i="2"/>
  <c r="XA229" i="2"/>
  <c r="WZ230" i="2"/>
  <c r="XA230" i="2"/>
  <c r="WZ231" i="2"/>
  <c r="XA231" i="2"/>
  <c r="WZ232" i="2"/>
  <c r="XA232" i="2"/>
  <c r="WZ233" i="2"/>
  <c r="XA233" i="2"/>
  <c r="WZ234" i="2"/>
  <c r="XA234" i="2"/>
  <c r="WZ235" i="2"/>
  <c r="XA235" i="2"/>
  <c r="WZ236" i="2"/>
  <c r="XA236" i="2"/>
  <c r="WZ237" i="2"/>
  <c r="XA237" i="2"/>
  <c r="WZ238" i="2"/>
  <c r="XA238" i="2"/>
  <c r="WZ239" i="2"/>
  <c r="XA239" i="2"/>
  <c r="WZ240" i="2"/>
  <c r="XA240" i="2"/>
  <c r="WZ189" i="2"/>
  <c r="XA189" i="2"/>
  <c r="WZ190" i="2"/>
  <c r="XA190" i="2"/>
  <c r="WZ191" i="2"/>
  <c r="XA191" i="2"/>
  <c r="WZ192" i="2"/>
  <c r="XA192" i="2"/>
  <c r="WZ193" i="2"/>
  <c r="XA193" i="2"/>
  <c r="WZ194" i="2"/>
  <c r="XA194" i="2"/>
  <c r="WZ195" i="2"/>
  <c r="XA195" i="2"/>
  <c r="WZ196" i="2"/>
  <c r="XA196" i="2"/>
  <c r="WZ197" i="2"/>
  <c r="XA197" i="2"/>
  <c r="WZ198" i="2"/>
  <c r="XA198" i="2"/>
  <c r="WZ199" i="2"/>
  <c r="XA199" i="2"/>
  <c r="WZ200" i="2"/>
  <c r="XA200" i="2"/>
  <c r="WZ201" i="2"/>
  <c r="XA201" i="2"/>
  <c r="WZ202" i="2"/>
  <c r="XA202" i="2"/>
  <c r="WP468" i="2"/>
  <c r="WQ468" i="2"/>
  <c r="WR468" i="2"/>
  <c r="WS468" i="2"/>
  <c r="WT468" i="2"/>
  <c r="WU468" i="2"/>
  <c r="WV468" i="2"/>
  <c r="WW468" i="2"/>
  <c r="WX468" i="2"/>
  <c r="WY468" i="2"/>
  <c r="WP460" i="2"/>
  <c r="WQ460" i="2"/>
  <c r="WR460" i="2"/>
  <c r="WS460" i="2"/>
  <c r="WT460" i="2"/>
  <c r="WU460" i="2"/>
  <c r="WV460" i="2"/>
  <c r="WW460" i="2"/>
  <c r="WX460" i="2"/>
  <c r="WY460" i="2"/>
  <c r="WP461" i="2"/>
  <c r="WQ461" i="2"/>
  <c r="WR461" i="2"/>
  <c r="WS461" i="2"/>
  <c r="WT461" i="2"/>
  <c r="WU461" i="2"/>
  <c r="WV461" i="2"/>
  <c r="WW461" i="2"/>
  <c r="WX461" i="2"/>
  <c r="WY461" i="2"/>
  <c r="WP462" i="2"/>
  <c r="WQ462" i="2"/>
  <c r="WR462" i="2"/>
  <c r="WS462" i="2"/>
  <c r="WT462" i="2"/>
  <c r="WU462" i="2"/>
  <c r="WV462" i="2"/>
  <c r="WW462" i="2"/>
  <c r="WX462" i="2"/>
  <c r="WY462" i="2"/>
  <c r="WP463" i="2"/>
  <c r="WQ463" i="2"/>
  <c r="WR463" i="2"/>
  <c r="WS463" i="2"/>
  <c r="WT463" i="2"/>
  <c r="WU463" i="2"/>
  <c r="WV463" i="2"/>
  <c r="WW463" i="2"/>
  <c r="WX463" i="2"/>
  <c r="WY463" i="2"/>
  <c r="WP464" i="2"/>
  <c r="WQ464" i="2"/>
  <c r="WR464" i="2"/>
  <c r="WS464" i="2"/>
  <c r="WT464" i="2"/>
  <c r="WU464" i="2"/>
  <c r="WV464" i="2"/>
  <c r="WW464" i="2"/>
  <c r="WX464" i="2"/>
  <c r="WY464" i="2"/>
  <c r="WP465" i="2"/>
  <c r="WQ465" i="2"/>
  <c r="WR465" i="2"/>
  <c r="WS465" i="2"/>
  <c r="WT465" i="2"/>
  <c r="WU465" i="2"/>
  <c r="WV465" i="2"/>
  <c r="WW465" i="2"/>
  <c r="WX465" i="2"/>
  <c r="WY465" i="2"/>
  <c r="WP466" i="2"/>
  <c r="WQ466" i="2"/>
  <c r="WR466" i="2"/>
  <c r="WS466" i="2"/>
  <c r="WT466" i="2"/>
  <c r="WU466" i="2"/>
  <c r="WV466" i="2"/>
  <c r="WW466" i="2"/>
  <c r="WX466" i="2"/>
  <c r="WY466" i="2"/>
  <c r="WP467" i="2"/>
  <c r="WQ467" i="2"/>
  <c r="WR467" i="2"/>
  <c r="WS467" i="2"/>
  <c r="WT467" i="2"/>
  <c r="WU467" i="2"/>
  <c r="WV467" i="2"/>
  <c r="WW467" i="2"/>
  <c r="WX467" i="2"/>
  <c r="WY467" i="2"/>
  <c r="WP430" i="2"/>
  <c r="WQ430" i="2"/>
  <c r="WR430" i="2"/>
  <c r="WS430" i="2"/>
  <c r="WT430" i="2"/>
  <c r="WU430" i="2"/>
  <c r="WV430" i="2"/>
  <c r="WW430" i="2"/>
  <c r="WX430" i="2"/>
  <c r="WY430" i="2"/>
  <c r="WP422" i="2"/>
  <c r="WQ422" i="2"/>
  <c r="WR422" i="2"/>
  <c r="WS422" i="2"/>
  <c r="WT422" i="2"/>
  <c r="WU422" i="2"/>
  <c r="WV422" i="2"/>
  <c r="WW422" i="2"/>
  <c r="WX422" i="2"/>
  <c r="WY422" i="2"/>
  <c r="WP423" i="2"/>
  <c r="WQ423" i="2"/>
  <c r="WR423" i="2"/>
  <c r="WS423" i="2"/>
  <c r="WT423" i="2"/>
  <c r="WU423" i="2"/>
  <c r="WV423" i="2"/>
  <c r="WW423" i="2"/>
  <c r="WX423" i="2"/>
  <c r="WY423" i="2"/>
  <c r="WP424" i="2"/>
  <c r="WQ424" i="2"/>
  <c r="WR424" i="2"/>
  <c r="WS424" i="2"/>
  <c r="WT424" i="2"/>
  <c r="WU424" i="2"/>
  <c r="WV424" i="2"/>
  <c r="WW424" i="2"/>
  <c r="WX424" i="2"/>
  <c r="WY424" i="2"/>
  <c r="WP425" i="2"/>
  <c r="WQ425" i="2"/>
  <c r="WR425" i="2"/>
  <c r="WS425" i="2"/>
  <c r="WT425" i="2"/>
  <c r="WU425" i="2"/>
  <c r="WV425" i="2"/>
  <c r="WW425" i="2"/>
  <c r="WX425" i="2"/>
  <c r="WY425" i="2"/>
  <c r="WP426" i="2"/>
  <c r="WQ426" i="2"/>
  <c r="WR426" i="2"/>
  <c r="WS426" i="2"/>
  <c r="WT426" i="2"/>
  <c r="WU426" i="2"/>
  <c r="WV426" i="2"/>
  <c r="WW426" i="2"/>
  <c r="WX426" i="2"/>
  <c r="WY426" i="2"/>
  <c r="WP427" i="2"/>
  <c r="WQ427" i="2"/>
  <c r="WR427" i="2"/>
  <c r="WS427" i="2"/>
  <c r="WT427" i="2"/>
  <c r="WU427" i="2"/>
  <c r="WV427" i="2"/>
  <c r="WW427" i="2"/>
  <c r="WX427" i="2"/>
  <c r="WY427" i="2"/>
  <c r="WP428" i="2"/>
  <c r="WQ428" i="2"/>
  <c r="WR428" i="2"/>
  <c r="WS428" i="2"/>
  <c r="WT428" i="2"/>
  <c r="WU428" i="2"/>
  <c r="WV428" i="2"/>
  <c r="WW428" i="2"/>
  <c r="WX428" i="2"/>
  <c r="WY428" i="2"/>
  <c r="WP429" i="2"/>
  <c r="WQ429" i="2"/>
  <c r="WR429" i="2"/>
  <c r="WS429" i="2"/>
  <c r="WT429" i="2"/>
  <c r="WU429" i="2"/>
  <c r="WV429" i="2"/>
  <c r="WW429" i="2"/>
  <c r="WX429" i="2"/>
  <c r="WY429" i="2"/>
  <c r="WP392" i="2"/>
  <c r="WQ392" i="2"/>
  <c r="WR392" i="2"/>
  <c r="WS392" i="2"/>
  <c r="WT392" i="2"/>
  <c r="WU392" i="2"/>
  <c r="WV392" i="2"/>
  <c r="WW392" i="2"/>
  <c r="WX392" i="2"/>
  <c r="WY392" i="2"/>
  <c r="WP384" i="2"/>
  <c r="WQ384" i="2"/>
  <c r="WR384" i="2"/>
  <c r="WS384" i="2"/>
  <c r="WT384" i="2"/>
  <c r="WU384" i="2"/>
  <c r="WV384" i="2"/>
  <c r="WW384" i="2"/>
  <c r="WX384" i="2"/>
  <c r="WY384" i="2"/>
  <c r="WP385" i="2"/>
  <c r="WQ385" i="2"/>
  <c r="WR385" i="2"/>
  <c r="WS385" i="2"/>
  <c r="WT385" i="2"/>
  <c r="WU385" i="2"/>
  <c r="WV385" i="2"/>
  <c r="WW385" i="2"/>
  <c r="WX385" i="2"/>
  <c r="WY385" i="2"/>
  <c r="WP386" i="2"/>
  <c r="WQ386" i="2"/>
  <c r="WR386" i="2"/>
  <c r="WS386" i="2"/>
  <c r="WT386" i="2"/>
  <c r="WU386" i="2"/>
  <c r="WV386" i="2"/>
  <c r="WW386" i="2"/>
  <c r="WX386" i="2"/>
  <c r="WY386" i="2"/>
  <c r="WP387" i="2"/>
  <c r="WQ387" i="2"/>
  <c r="WR387" i="2"/>
  <c r="WS387" i="2"/>
  <c r="WT387" i="2"/>
  <c r="WU387" i="2"/>
  <c r="WV387" i="2"/>
  <c r="WW387" i="2"/>
  <c r="WX387" i="2"/>
  <c r="WY387" i="2"/>
  <c r="WP388" i="2"/>
  <c r="WQ388" i="2"/>
  <c r="WR388" i="2"/>
  <c r="WS388" i="2"/>
  <c r="WT388" i="2"/>
  <c r="WU388" i="2"/>
  <c r="WV388" i="2"/>
  <c r="WW388" i="2"/>
  <c r="WX388" i="2"/>
  <c r="WY388" i="2"/>
  <c r="WP389" i="2"/>
  <c r="WQ389" i="2"/>
  <c r="WR389" i="2"/>
  <c r="WS389" i="2"/>
  <c r="WT389" i="2"/>
  <c r="WU389" i="2"/>
  <c r="WV389" i="2"/>
  <c r="WW389" i="2"/>
  <c r="WX389" i="2"/>
  <c r="WY389" i="2"/>
  <c r="WP390" i="2"/>
  <c r="WQ390" i="2"/>
  <c r="WR390" i="2"/>
  <c r="WS390" i="2"/>
  <c r="WT390" i="2"/>
  <c r="WU390" i="2"/>
  <c r="WV390" i="2"/>
  <c r="WW390" i="2"/>
  <c r="WX390" i="2"/>
  <c r="WY390" i="2"/>
  <c r="WP391" i="2"/>
  <c r="WQ391" i="2"/>
  <c r="WR391" i="2"/>
  <c r="WS391" i="2"/>
  <c r="WT391" i="2"/>
  <c r="WU391" i="2"/>
  <c r="WV391" i="2"/>
  <c r="WW391" i="2"/>
  <c r="WX391" i="2"/>
  <c r="WY391" i="2"/>
  <c r="WP354" i="2"/>
  <c r="WQ354" i="2"/>
  <c r="WR354" i="2"/>
  <c r="WS354" i="2"/>
  <c r="WT354" i="2"/>
  <c r="WU354" i="2"/>
  <c r="WV354" i="2"/>
  <c r="WW354" i="2"/>
  <c r="WX354" i="2"/>
  <c r="WY354" i="2"/>
  <c r="WP346" i="2"/>
  <c r="WQ346" i="2"/>
  <c r="WR346" i="2"/>
  <c r="WS346" i="2"/>
  <c r="WT346" i="2"/>
  <c r="WU346" i="2"/>
  <c r="WV346" i="2"/>
  <c r="WW346" i="2"/>
  <c r="WX346" i="2"/>
  <c r="WY346" i="2"/>
  <c r="WP347" i="2"/>
  <c r="WQ347" i="2"/>
  <c r="WR347" i="2"/>
  <c r="WS347" i="2"/>
  <c r="WT347" i="2"/>
  <c r="WU347" i="2"/>
  <c r="WV347" i="2"/>
  <c r="WW347" i="2"/>
  <c r="WX347" i="2"/>
  <c r="WY347" i="2"/>
  <c r="WP348" i="2"/>
  <c r="WQ348" i="2"/>
  <c r="WR348" i="2"/>
  <c r="WS348" i="2"/>
  <c r="WT348" i="2"/>
  <c r="WU348" i="2"/>
  <c r="WV348" i="2"/>
  <c r="WW348" i="2"/>
  <c r="WX348" i="2"/>
  <c r="WY348" i="2"/>
  <c r="WP349" i="2"/>
  <c r="WQ349" i="2"/>
  <c r="WR349" i="2"/>
  <c r="WS349" i="2"/>
  <c r="WT349" i="2"/>
  <c r="WU349" i="2"/>
  <c r="WV349" i="2"/>
  <c r="WW349" i="2"/>
  <c r="WX349" i="2"/>
  <c r="WY349" i="2"/>
  <c r="WP350" i="2"/>
  <c r="WQ350" i="2"/>
  <c r="WR350" i="2"/>
  <c r="WS350" i="2"/>
  <c r="WT350" i="2"/>
  <c r="WU350" i="2"/>
  <c r="WV350" i="2"/>
  <c r="WW350" i="2"/>
  <c r="WX350" i="2"/>
  <c r="WY350" i="2"/>
  <c r="WP351" i="2"/>
  <c r="WQ351" i="2"/>
  <c r="WR351" i="2"/>
  <c r="WS351" i="2"/>
  <c r="WT351" i="2"/>
  <c r="WU351" i="2"/>
  <c r="WV351" i="2"/>
  <c r="WW351" i="2"/>
  <c r="WX351" i="2"/>
  <c r="WY351" i="2"/>
  <c r="WP352" i="2"/>
  <c r="WQ352" i="2"/>
  <c r="WR352" i="2"/>
  <c r="WS352" i="2"/>
  <c r="WT352" i="2"/>
  <c r="WU352" i="2"/>
  <c r="WV352" i="2"/>
  <c r="WW352" i="2"/>
  <c r="WX352" i="2"/>
  <c r="WY352" i="2"/>
  <c r="WP353" i="2"/>
  <c r="WQ353" i="2"/>
  <c r="WR353" i="2"/>
  <c r="WS353" i="2"/>
  <c r="WT353" i="2"/>
  <c r="WU353" i="2"/>
  <c r="WV353" i="2"/>
  <c r="WW353" i="2"/>
  <c r="WX353" i="2"/>
  <c r="WY353" i="2"/>
  <c r="WP316" i="2"/>
  <c r="WQ316" i="2"/>
  <c r="WR316" i="2"/>
  <c r="WS316" i="2"/>
  <c r="WT316" i="2"/>
  <c r="WU316" i="2"/>
  <c r="WV316" i="2"/>
  <c r="WW316" i="2"/>
  <c r="WX316" i="2"/>
  <c r="WY316" i="2"/>
  <c r="WP308" i="2"/>
  <c r="WQ308" i="2"/>
  <c r="WR308" i="2"/>
  <c r="WS308" i="2"/>
  <c r="WT308" i="2"/>
  <c r="WU308" i="2"/>
  <c r="WV308" i="2"/>
  <c r="WW308" i="2"/>
  <c r="WX308" i="2"/>
  <c r="WY308" i="2"/>
  <c r="WP309" i="2"/>
  <c r="WQ309" i="2"/>
  <c r="WR309" i="2"/>
  <c r="WS309" i="2"/>
  <c r="WT309" i="2"/>
  <c r="WU309" i="2"/>
  <c r="WV309" i="2"/>
  <c r="WW309" i="2"/>
  <c r="WX309" i="2"/>
  <c r="WY309" i="2"/>
  <c r="WP310" i="2"/>
  <c r="WQ310" i="2"/>
  <c r="WR310" i="2"/>
  <c r="WS310" i="2"/>
  <c r="WT310" i="2"/>
  <c r="WU310" i="2"/>
  <c r="WV310" i="2"/>
  <c r="WW310" i="2"/>
  <c r="WX310" i="2"/>
  <c r="WY310" i="2"/>
  <c r="WP311" i="2"/>
  <c r="WQ311" i="2"/>
  <c r="WR311" i="2"/>
  <c r="WS311" i="2"/>
  <c r="WT311" i="2"/>
  <c r="WU311" i="2"/>
  <c r="WV311" i="2"/>
  <c r="WW311" i="2"/>
  <c r="WX311" i="2"/>
  <c r="WY311" i="2"/>
  <c r="WP312" i="2"/>
  <c r="WQ312" i="2"/>
  <c r="WR312" i="2"/>
  <c r="WS312" i="2"/>
  <c r="WT312" i="2"/>
  <c r="WU312" i="2"/>
  <c r="WV312" i="2"/>
  <c r="WW312" i="2"/>
  <c r="WX312" i="2"/>
  <c r="WY312" i="2"/>
  <c r="WP313" i="2"/>
  <c r="WQ313" i="2"/>
  <c r="WR313" i="2"/>
  <c r="WS313" i="2"/>
  <c r="WT313" i="2"/>
  <c r="WU313" i="2"/>
  <c r="WV313" i="2"/>
  <c r="WW313" i="2"/>
  <c r="WX313" i="2"/>
  <c r="WY313" i="2"/>
  <c r="WP314" i="2"/>
  <c r="WQ314" i="2"/>
  <c r="WR314" i="2"/>
  <c r="WS314" i="2"/>
  <c r="WT314" i="2"/>
  <c r="WU314" i="2"/>
  <c r="WV314" i="2"/>
  <c r="WW314" i="2"/>
  <c r="WX314" i="2"/>
  <c r="WY314" i="2"/>
  <c r="WP315" i="2"/>
  <c r="WQ315" i="2"/>
  <c r="WR315" i="2"/>
  <c r="WS315" i="2"/>
  <c r="WT315" i="2"/>
  <c r="WU315" i="2"/>
  <c r="WV315" i="2"/>
  <c r="WW315" i="2"/>
  <c r="WX315" i="2"/>
  <c r="WY315" i="2"/>
  <c r="WP278" i="2"/>
  <c r="WQ278" i="2"/>
  <c r="WR278" i="2"/>
  <c r="WS278" i="2"/>
  <c r="WT278" i="2"/>
  <c r="WU278" i="2"/>
  <c r="WV278" i="2"/>
  <c r="WW278" i="2"/>
  <c r="WX278" i="2"/>
  <c r="WY278" i="2"/>
  <c r="WP270" i="2"/>
  <c r="WQ270" i="2"/>
  <c r="WR270" i="2"/>
  <c r="WS270" i="2"/>
  <c r="WT270" i="2"/>
  <c r="WU270" i="2"/>
  <c r="WV270" i="2"/>
  <c r="WW270" i="2"/>
  <c r="WX270" i="2"/>
  <c r="WY270" i="2"/>
  <c r="WP271" i="2"/>
  <c r="WQ271" i="2"/>
  <c r="WR271" i="2"/>
  <c r="WS271" i="2"/>
  <c r="WT271" i="2"/>
  <c r="WU271" i="2"/>
  <c r="WV271" i="2"/>
  <c r="WW271" i="2"/>
  <c r="WX271" i="2"/>
  <c r="WY271" i="2"/>
  <c r="WP272" i="2"/>
  <c r="WQ272" i="2"/>
  <c r="WR272" i="2"/>
  <c r="WS272" i="2"/>
  <c r="WT272" i="2"/>
  <c r="WU272" i="2"/>
  <c r="WV272" i="2"/>
  <c r="WW272" i="2"/>
  <c r="WX272" i="2"/>
  <c r="WY272" i="2"/>
  <c r="WP273" i="2"/>
  <c r="WQ273" i="2"/>
  <c r="WR273" i="2"/>
  <c r="WS273" i="2"/>
  <c r="WT273" i="2"/>
  <c r="WU273" i="2"/>
  <c r="WV273" i="2"/>
  <c r="WW273" i="2"/>
  <c r="WX273" i="2"/>
  <c r="WY273" i="2"/>
  <c r="WP274" i="2"/>
  <c r="WQ274" i="2"/>
  <c r="WR274" i="2"/>
  <c r="WS274" i="2"/>
  <c r="WT274" i="2"/>
  <c r="WU274" i="2"/>
  <c r="WV274" i="2"/>
  <c r="WW274" i="2"/>
  <c r="WX274" i="2"/>
  <c r="WY274" i="2"/>
  <c r="WP275" i="2"/>
  <c r="WQ275" i="2"/>
  <c r="WR275" i="2"/>
  <c r="WS275" i="2"/>
  <c r="WT275" i="2"/>
  <c r="WU275" i="2"/>
  <c r="WV275" i="2"/>
  <c r="WW275" i="2"/>
  <c r="WX275" i="2"/>
  <c r="WY275" i="2"/>
  <c r="WP276" i="2"/>
  <c r="WQ276" i="2"/>
  <c r="WR276" i="2"/>
  <c r="WS276" i="2"/>
  <c r="WT276" i="2"/>
  <c r="WU276" i="2"/>
  <c r="WV276" i="2"/>
  <c r="WW276" i="2"/>
  <c r="WX276" i="2"/>
  <c r="WY276" i="2"/>
  <c r="WP277" i="2"/>
  <c r="WQ277" i="2"/>
  <c r="WR277" i="2"/>
  <c r="WS277" i="2"/>
  <c r="WT277" i="2"/>
  <c r="WU277" i="2"/>
  <c r="WV277" i="2"/>
  <c r="WW277" i="2"/>
  <c r="WX277" i="2"/>
  <c r="WY277" i="2"/>
  <c r="WP240" i="2"/>
  <c r="WQ240" i="2"/>
  <c r="WR240" i="2"/>
  <c r="WS240" i="2"/>
  <c r="WT240" i="2"/>
  <c r="WU240" i="2"/>
  <c r="WV240" i="2"/>
  <c r="WW240" i="2"/>
  <c r="WX240" i="2"/>
  <c r="WY240" i="2"/>
  <c r="WP232" i="2"/>
  <c r="WQ232" i="2"/>
  <c r="WR232" i="2"/>
  <c r="WS232" i="2"/>
  <c r="WT232" i="2"/>
  <c r="WU232" i="2"/>
  <c r="WV232" i="2"/>
  <c r="WW232" i="2"/>
  <c r="WX232" i="2"/>
  <c r="WY232" i="2"/>
  <c r="WP233" i="2"/>
  <c r="WQ233" i="2"/>
  <c r="WR233" i="2"/>
  <c r="WS233" i="2"/>
  <c r="WT233" i="2"/>
  <c r="WU233" i="2"/>
  <c r="WV233" i="2"/>
  <c r="WW233" i="2"/>
  <c r="WX233" i="2"/>
  <c r="WY233" i="2"/>
  <c r="WP234" i="2"/>
  <c r="WQ234" i="2"/>
  <c r="WR234" i="2"/>
  <c r="WS234" i="2"/>
  <c r="WT234" i="2"/>
  <c r="WU234" i="2"/>
  <c r="WV234" i="2"/>
  <c r="WW234" i="2"/>
  <c r="WX234" i="2"/>
  <c r="WY234" i="2"/>
  <c r="WP235" i="2"/>
  <c r="WQ235" i="2"/>
  <c r="WR235" i="2"/>
  <c r="WS235" i="2"/>
  <c r="WT235" i="2"/>
  <c r="WU235" i="2"/>
  <c r="WV235" i="2"/>
  <c r="WW235" i="2"/>
  <c r="WX235" i="2"/>
  <c r="WY235" i="2"/>
  <c r="WP236" i="2"/>
  <c r="WQ236" i="2"/>
  <c r="WR236" i="2"/>
  <c r="WS236" i="2"/>
  <c r="WT236" i="2"/>
  <c r="WU236" i="2"/>
  <c r="WV236" i="2"/>
  <c r="WW236" i="2"/>
  <c r="WX236" i="2"/>
  <c r="WY236" i="2"/>
  <c r="WP237" i="2"/>
  <c r="WQ237" i="2"/>
  <c r="WR237" i="2"/>
  <c r="WS237" i="2"/>
  <c r="WT237" i="2"/>
  <c r="WU237" i="2"/>
  <c r="WV237" i="2"/>
  <c r="WW237" i="2"/>
  <c r="WX237" i="2"/>
  <c r="WY237" i="2"/>
  <c r="WP238" i="2"/>
  <c r="WQ238" i="2"/>
  <c r="WR238" i="2"/>
  <c r="WS238" i="2"/>
  <c r="WT238" i="2"/>
  <c r="WU238" i="2"/>
  <c r="WV238" i="2"/>
  <c r="WW238" i="2"/>
  <c r="WX238" i="2"/>
  <c r="WY238" i="2"/>
  <c r="WP239" i="2"/>
  <c r="WQ239" i="2"/>
  <c r="WR239" i="2"/>
  <c r="WS239" i="2"/>
  <c r="WT239" i="2"/>
  <c r="WU239" i="2"/>
  <c r="WV239" i="2"/>
  <c r="WW239" i="2"/>
  <c r="WX239" i="2"/>
  <c r="WY239" i="2"/>
  <c r="WP202" i="2"/>
  <c r="WQ202" i="2"/>
  <c r="WR202" i="2"/>
  <c r="WS202" i="2"/>
  <c r="WT202" i="2"/>
  <c r="WU202" i="2"/>
  <c r="WV202" i="2"/>
  <c r="WW202" i="2"/>
  <c r="WX202" i="2"/>
  <c r="WY202" i="2"/>
  <c r="WP194" i="2"/>
  <c r="WQ194" i="2"/>
  <c r="WR194" i="2"/>
  <c r="WS194" i="2"/>
  <c r="WT194" i="2"/>
  <c r="WU194" i="2"/>
  <c r="WV194" i="2"/>
  <c r="WW194" i="2"/>
  <c r="WX194" i="2"/>
  <c r="WY194" i="2"/>
  <c r="WP195" i="2"/>
  <c r="WQ195" i="2"/>
  <c r="WR195" i="2"/>
  <c r="WS195" i="2"/>
  <c r="WT195" i="2"/>
  <c r="WU195" i="2"/>
  <c r="WV195" i="2"/>
  <c r="WW195" i="2"/>
  <c r="WX195" i="2"/>
  <c r="WY195" i="2"/>
  <c r="WP196" i="2"/>
  <c r="WQ196" i="2"/>
  <c r="WR196" i="2"/>
  <c r="WS196" i="2"/>
  <c r="WT196" i="2"/>
  <c r="WU196" i="2"/>
  <c r="WV196" i="2"/>
  <c r="WW196" i="2"/>
  <c r="WX196" i="2"/>
  <c r="WY196" i="2"/>
  <c r="WP197" i="2"/>
  <c r="WQ197" i="2"/>
  <c r="WR197" i="2"/>
  <c r="WS197" i="2"/>
  <c r="WT197" i="2"/>
  <c r="WU197" i="2"/>
  <c r="WV197" i="2"/>
  <c r="WW197" i="2"/>
  <c r="WX197" i="2"/>
  <c r="WY197" i="2"/>
  <c r="WP198" i="2"/>
  <c r="WQ198" i="2"/>
  <c r="WR198" i="2"/>
  <c r="WS198" i="2"/>
  <c r="WT198" i="2"/>
  <c r="WU198" i="2"/>
  <c r="WV198" i="2"/>
  <c r="WW198" i="2"/>
  <c r="WX198" i="2"/>
  <c r="WY198" i="2"/>
  <c r="WP199" i="2"/>
  <c r="WQ199" i="2"/>
  <c r="WR199" i="2"/>
  <c r="WS199" i="2"/>
  <c r="WT199" i="2"/>
  <c r="WU199" i="2"/>
  <c r="WV199" i="2"/>
  <c r="WW199" i="2"/>
  <c r="WX199" i="2"/>
  <c r="WY199" i="2"/>
  <c r="WP200" i="2"/>
  <c r="WQ200" i="2"/>
  <c r="WR200" i="2"/>
  <c r="WS200" i="2"/>
  <c r="WT200" i="2"/>
  <c r="WU200" i="2"/>
  <c r="WV200" i="2"/>
  <c r="WW200" i="2"/>
  <c r="WX200" i="2"/>
  <c r="WY200" i="2"/>
  <c r="WP201" i="2"/>
  <c r="WQ201" i="2"/>
  <c r="WR201" i="2"/>
  <c r="WS201" i="2"/>
  <c r="WT201" i="2"/>
  <c r="WU201" i="2"/>
  <c r="WV201" i="2"/>
  <c r="WW201" i="2"/>
  <c r="WX201" i="2"/>
  <c r="WY201" i="2"/>
  <c r="WZ151" i="2"/>
  <c r="XA151" i="2"/>
  <c r="WZ152" i="2"/>
  <c r="XA152" i="2"/>
  <c r="WZ153" i="2"/>
  <c r="XA153" i="2"/>
  <c r="WZ154" i="2"/>
  <c r="XA154" i="2"/>
  <c r="WZ155" i="2"/>
  <c r="XA155" i="2"/>
  <c r="WZ156" i="2"/>
  <c r="XA156" i="2"/>
  <c r="WZ157" i="2"/>
  <c r="XA157" i="2"/>
  <c r="WZ158" i="2"/>
  <c r="XA158" i="2"/>
  <c r="WZ159" i="2"/>
  <c r="XA159" i="2"/>
  <c r="WZ160" i="2"/>
  <c r="XA160" i="2"/>
  <c r="WZ161" i="2"/>
  <c r="XA161" i="2"/>
  <c r="WZ162" i="2"/>
  <c r="XA162" i="2"/>
  <c r="WZ163" i="2"/>
  <c r="XA163" i="2"/>
  <c r="WZ164" i="2"/>
  <c r="XA164" i="2"/>
  <c r="WP164" i="2"/>
  <c r="WQ164" i="2"/>
  <c r="WR164" i="2"/>
  <c r="WS164" i="2"/>
  <c r="WT164" i="2"/>
  <c r="WU164" i="2"/>
  <c r="WV164" i="2"/>
  <c r="WW164" i="2"/>
  <c r="WX164" i="2"/>
  <c r="WY164" i="2"/>
  <c r="WP156" i="2"/>
  <c r="WQ156" i="2"/>
  <c r="WR156" i="2"/>
  <c r="WS156" i="2"/>
  <c r="WT156" i="2"/>
  <c r="WU156" i="2"/>
  <c r="WV156" i="2"/>
  <c r="WW156" i="2"/>
  <c r="WX156" i="2"/>
  <c r="WY156" i="2"/>
  <c r="WP157" i="2"/>
  <c r="WQ157" i="2"/>
  <c r="WR157" i="2"/>
  <c r="WS157" i="2"/>
  <c r="WT157" i="2"/>
  <c r="WU157" i="2"/>
  <c r="WV157" i="2"/>
  <c r="WW157" i="2"/>
  <c r="WX157" i="2"/>
  <c r="WY157" i="2"/>
  <c r="WP158" i="2"/>
  <c r="WQ158" i="2"/>
  <c r="WR158" i="2"/>
  <c r="WS158" i="2"/>
  <c r="WT158" i="2"/>
  <c r="WU158" i="2"/>
  <c r="WV158" i="2"/>
  <c r="WW158" i="2"/>
  <c r="WX158" i="2"/>
  <c r="WY158" i="2"/>
  <c r="WP159" i="2"/>
  <c r="WQ159" i="2"/>
  <c r="WR159" i="2"/>
  <c r="WS159" i="2"/>
  <c r="WT159" i="2"/>
  <c r="WU159" i="2"/>
  <c r="WV159" i="2"/>
  <c r="WW159" i="2"/>
  <c r="WX159" i="2"/>
  <c r="WY159" i="2"/>
  <c r="WP160" i="2"/>
  <c r="WQ160" i="2"/>
  <c r="WR160" i="2"/>
  <c r="WS160" i="2"/>
  <c r="WT160" i="2"/>
  <c r="WU160" i="2"/>
  <c r="WV160" i="2"/>
  <c r="WW160" i="2"/>
  <c r="WX160" i="2"/>
  <c r="WY160" i="2"/>
  <c r="WP161" i="2"/>
  <c r="WQ161" i="2"/>
  <c r="WR161" i="2"/>
  <c r="WS161" i="2"/>
  <c r="WT161" i="2"/>
  <c r="WU161" i="2"/>
  <c r="WV161" i="2"/>
  <c r="WW161" i="2"/>
  <c r="WX161" i="2"/>
  <c r="WY161" i="2"/>
  <c r="WP162" i="2"/>
  <c r="WQ162" i="2"/>
  <c r="WR162" i="2"/>
  <c r="WS162" i="2"/>
  <c r="WT162" i="2"/>
  <c r="WU162" i="2"/>
  <c r="WV162" i="2"/>
  <c r="WW162" i="2"/>
  <c r="WX162" i="2"/>
  <c r="WY162" i="2"/>
  <c r="WP163" i="2"/>
  <c r="WQ163" i="2"/>
  <c r="WR163" i="2"/>
  <c r="WS163" i="2"/>
  <c r="WT163" i="2"/>
  <c r="WU163" i="2"/>
  <c r="WV163" i="2"/>
  <c r="WW163" i="2"/>
  <c r="WX163" i="2"/>
  <c r="WY163" i="2"/>
  <c r="WZ113" i="2"/>
  <c r="XA113" i="2"/>
  <c r="WZ114" i="2"/>
  <c r="XA114" i="2"/>
  <c r="WZ115" i="2"/>
  <c r="XA115" i="2"/>
  <c r="WZ116" i="2"/>
  <c r="XA116" i="2"/>
  <c r="WZ117" i="2"/>
  <c r="XA117" i="2"/>
  <c r="WZ118" i="2"/>
  <c r="XA118" i="2"/>
  <c r="WZ119" i="2"/>
  <c r="XA119" i="2"/>
  <c r="WZ120" i="2"/>
  <c r="XA120" i="2"/>
  <c r="WZ121" i="2"/>
  <c r="XA121" i="2"/>
  <c r="WZ122" i="2"/>
  <c r="XA122" i="2"/>
  <c r="WZ123" i="2"/>
  <c r="XA123" i="2"/>
  <c r="WZ124" i="2"/>
  <c r="XA124" i="2"/>
  <c r="WZ125" i="2"/>
  <c r="XA125" i="2"/>
  <c r="WZ126" i="2"/>
  <c r="XA126" i="2"/>
  <c r="WP126" i="2"/>
  <c r="WQ126" i="2"/>
  <c r="WR126" i="2"/>
  <c r="WS126" i="2"/>
  <c r="WT126" i="2"/>
  <c r="WU126" i="2"/>
  <c r="WV126" i="2"/>
  <c r="WW126" i="2"/>
  <c r="WX126" i="2"/>
  <c r="WY126" i="2"/>
  <c r="WP118" i="2"/>
  <c r="WQ118" i="2"/>
  <c r="WR118" i="2"/>
  <c r="WS118" i="2"/>
  <c r="WT118" i="2"/>
  <c r="WU118" i="2"/>
  <c r="WV118" i="2"/>
  <c r="WW118" i="2"/>
  <c r="WX118" i="2"/>
  <c r="WY118" i="2"/>
  <c r="WP119" i="2"/>
  <c r="WQ119" i="2"/>
  <c r="WR119" i="2"/>
  <c r="WS119" i="2"/>
  <c r="WT119" i="2"/>
  <c r="WU119" i="2"/>
  <c r="WV119" i="2"/>
  <c r="WW119" i="2"/>
  <c r="WX119" i="2"/>
  <c r="WY119" i="2"/>
  <c r="WP120" i="2"/>
  <c r="WQ120" i="2"/>
  <c r="WR120" i="2"/>
  <c r="WS120" i="2"/>
  <c r="WT120" i="2"/>
  <c r="WU120" i="2"/>
  <c r="WV120" i="2"/>
  <c r="WW120" i="2"/>
  <c r="WX120" i="2"/>
  <c r="WY120" i="2"/>
  <c r="WP121" i="2"/>
  <c r="WQ121" i="2"/>
  <c r="WR121" i="2"/>
  <c r="WS121" i="2"/>
  <c r="WT121" i="2"/>
  <c r="WU121" i="2"/>
  <c r="WV121" i="2"/>
  <c r="WW121" i="2"/>
  <c r="WX121" i="2"/>
  <c r="WY121" i="2"/>
  <c r="WP122" i="2"/>
  <c r="WQ122" i="2"/>
  <c r="WR122" i="2"/>
  <c r="WS122" i="2"/>
  <c r="WT122" i="2"/>
  <c r="WU122" i="2"/>
  <c r="WV122" i="2"/>
  <c r="WW122" i="2"/>
  <c r="WX122" i="2"/>
  <c r="WY122" i="2"/>
  <c r="WP123" i="2"/>
  <c r="WQ123" i="2"/>
  <c r="WR123" i="2"/>
  <c r="WS123" i="2"/>
  <c r="WT123" i="2"/>
  <c r="WU123" i="2"/>
  <c r="WV123" i="2"/>
  <c r="WW123" i="2"/>
  <c r="WX123" i="2"/>
  <c r="WY123" i="2"/>
  <c r="WP124" i="2"/>
  <c r="WQ124" i="2"/>
  <c r="WR124" i="2"/>
  <c r="WS124" i="2"/>
  <c r="WT124" i="2"/>
  <c r="WU124" i="2"/>
  <c r="WV124" i="2"/>
  <c r="WW124" i="2"/>
  <c r="WX124" i="2"/>
  <c r="WY124" i="2"/>
  <c r="WP125" i="2"/>
  <c r="WQ125" i="2"/>
  <c r="WR125" i="2"/>
  <c r="WS125" i="2"/>
  <c r="WT125" i="2"/>
  <c r="WU125" i="2"/>
  <c r="WV125" i="2"/>
  <c r="WW125" i="2"/>
  <c r="WX125" i="2"/>
  <c r="WY125" i="2"/>
  <c r="WZ75" i="2"/>
  <c r="XA75" i="2"/>
  <c r="WZ76" i="2"/>
  <c r="XA76" i="2"/>
  <c r="WZ77" i="2"/>
  <c r="XA77" i="2"/>
  <c r="WZ78" i="2"/>
  <c r="XA78" i="2"/>
  <c r="WZ79" i="2"/>
  <c r="XA79" i="2"/>
  <c r="WZ80" i="2"/>
  <c r="XA80" i="2"/>
  <c r="WZ81" i="2"/>
  <c r="XA81" i="2"/>
  <c r="WZ82" i="2"/>
  <c r="XA82" i="2"/>
  <c r="WZ83" i="2"/>
  <c r="XA83" i="2"/>
  <c r="WZ84" i="2"/>
  <c r="XA84" i="2"/>
  <c r="WZ85" i="2"/>
  <c r="XA85" i="2"/>
  <c r="WZ86" i="2"/>
  <c r="XA86" i="2"/>
  <c r="WZ87" i="2"/>
  <c r="XA87" i="2"/>
  <c r="WZ88" i="2"/>
  <c r="XA88" i="2"/>
  <c r="WP88" i="2"/>
  <c r="WQ88" i="2"/>
  <c r="WR88" i="2"/>
  <c r="WS88" i="2"/>
  <c r="WT88" i="2"/>
  <c r="WU88" i="2"/>
  <c r="WV88" i="2"/>
  <c r="WW88" i="2"/>
  <c r="WX88" i="2"/>
  <c r="WY88" i="2"/>
  <c r="WP80" i="2"/>
  <c r="WQ80" i="2"/>
  <c r="WR80" i="2"/>
  <c r="WS80" i="2"/>
  <c r="WT80" i="2"/>
  <c r="WU80" i="2"/>
  <c r="WV80" i="2"/>
  <c r="WW80" i="2"/>
  <c r="WX80" i="2"/>
  <c r="WY80" i="2"/>
  <c r="WP81" i="2"/>
  <c r="WQ81" i="2"/>
  <c r="WR81" i="2"/>
  <c r="WS81" i="2"/>
  <c r="WT81" i="2"/>
  <c r="WU81" i="2"/>
  <c r="WV81" i="2"/>
  <c r="WW81" i="2"/>
  <c r="WX81" i="2"/>
  <c r="WY81" i="2"/>
  <c r="WP82" i="2"/>
  <c r="WQ82" i="2"/>
  <c r="WR82" i="2"/>
  <c r="WS82" i="2"/>
  <c r="WT82" i="2"/>
  <c r="WU82" i="2"/>
  <c r="WV82" i="2"/>
  <c r="WW82" i="2"/>
  <c r="WX82" i="2"/>
  <c r="WY82" i="2"/>
  <c r="WP83" i="2"/>
  <c r="WQ83" i="2"/>
  <c r="WR83" i="2"/>
  <c r="WS83" i="2"/>
  <c r="WT83" i="2"/>
  <c r="WU83" i="2"/>
  <c r="WV83" i="2"/>
  <c r="WW83" i="2"/>
  <c r="WX83" i="2"/>
  <c r="WY83" i="2"/>
  <c r="WP84" i="2"/>
  <c r="WQ84" i="2"/>
  <c r="WR84" i="2"/>
  <c r="WS84" i="2"/>
  <c r="WT84" i="2"/>
  <c r="WU84" i="2"/>
  <c r="WV84" i="2"/>
  <c r="WW84" i="2"/>
  <c r="WX84" i="2"/>
  <c r="WY84" i="2"/>
  <c r="WP85" i="2"/>
  <c r="WQ85" i="2"/>
  <c r="WR85" i="2"/>
  <c r="WS85" i="2"/>
  <c r="WT85" i="2"/>
  <c r="WU85" i="2"/>
  <c r="WV85" i="2"/>
  <c r="WW85" i="2"/>
  <c r="WX85" i="2"/>
  <c r="WY85" i="2"/>
  <c r="WP86" i="2"/>
  <c r="WQ86" i="2"/>
  <c r="WR86" i="2"/>
  <c r="WS86" i="2"/>
  <c r="WT86" i="2"/>
  <c r="WU86" i="2"/>
  <c r="WV86" i="2"/>
  <c r="WW86" i="2"/>
  <c r="WX86" i="2"/>
  <c r="WY86" i="2"/>
  <c r="WP87" i="2"/>
  <c r="WQ87" i="2"/>
  <c r="WR87" i="2"/>
  <c r="WS87" i="2"/>
  <c r="WT87" i="2"/>
  <c r="WU87" i="2"/>
  <c r="WV87" i="2"/>
  <c r="WW87" i="2"/>
  <c r="WX87" i="2"/>
  <c r="WY87" i="2"/>
  <c r="WP50" i="2"/>
  <c r="WQ50" i="2"/>
  <c r="WR50" i="2"/>
  <c r="WS50" i="2"/>
  <c r="WT50" i="2"/>
  <c r="WU50" i="2"/>
  <c r="WV50" i="2"/>
  <c r="WW50" i="2"/>
  <c r="WX50" i="2"/>
  <c r="WY50" i="2"/>
  <c r="WP42" i="2"/>
  <c r="WQ42" i="2"/>
  <c r="WR42" i="2"/>
  <c r="WS42" i="2"/>
  <c r="WT42" i="2"/>
  <c r="WU42" i="2"/>
  <c r="WV42" i="2"/>
  <c r="WW42" i="2"/>
  <c r="WX42" i="2"/>
  <c r="WY42" i="2"/>
  <c r="WP43" i="2"/>
  <c r="WQ43" i="2"/>
  <c r="WR43" i="2"/>
  <c r="WS43" i="2"/>
  <c r="WT43" i="2"/>
  <c r="WU43" i="2"/>
  <c r="WV43" i="2"/>
  <c r="WW43" i="2"/>
  <c r="WX43" i="2"/>
  <c r="WY43" i="2"/>
  <c r="WP44" i="2"/>
  <c r="WQ44" i="2"/>
  <c r="WR44" i="2"/>
  <c r="WS44" i="2"/>
  <c r="WT44" i="2"/>
  <c r="WU44" i="2"/>
  <c r="WV44" i="2"/>
  <c r="WW44" i="2"/>
  <c r="WX44" i="2"/>
  <c r="WY44" i="2"/>
  <c r="WP45" i="2"/>
  <c r="WQ45" i="2"/>
  <c r="WR45" i="2"/>
  <c r="WS45" i="2"/>
  <c r="WT45" i="2"/>
  <c r="WU45" i="2"/>
  <c r="WV45" i="2"/>
  <c r="WW45" i="2"/>
  <c r="WX45" i="2"/>
  <c r="WY45" i="2"/>
  <c r="WP46" i="2"/>
  <c r="WQ46" i="2"/>
  <c r="WR46" i="2"/>
  <c r="WS46" i="2"/>
  <c r="WT46" i="2"/>
  <c r="WU46" i="2"/>
  <c r="WV46" i="2"/>
  <c r="WW46" i="2"/>
  <c r="WX46" i="2"/>
  <c r="WY46" i="2"/>
  <c r="WP47" i="2"/>
  <c r="WQ47" i="2"/>
  <c r="WR47" i="2"/>
  <c r="WS47" i="2"/>
  <c r="WT47" i="2"/>
  <c r="WU47" i="2"/>
  <c r="WV47" i="2"/>
  <c r="WW47" i="2"/>
  <c r="WX47" i="2"/>
  <c r="WY47" i="2"/>
  <c r="WP48" i="2"/>
  <c r="WQ48" i="2"/>
  <c r="WR48" i="2"/>
  <c r="WS48" i="2"/>
  <c r="WT48" i="2"/>
  <c r="WU48" i="2"/>
  <c r="WV48" i="2"/>
  <c r="WW48" i="2"/>
  <c r="WX48" i="2"/>
  <c r="WY48" i="2"/>
  <c r="WP49" i="2"/>
  <c r="WQ49" i="2"/>
  <c r="WR49" i="2"/>
  <c r="WS49" i="2"/>
  <c r="WT49" i="2"/>
  <c r="WU49" i="2"/>
  <c r="WV49" i="2"/>
  <c r="WW49" i="2"/>
  <c r="WX49" i="2"/>
  <c r="WY49" i="2"/>
  <c r="WZ37" i="2"/>
  <c r="XA37" i="2"/>
  <c r="WZ38" i="2"/>
  <c r="XA38" i="2"/>
  <c r="WZ39" i="2"/>
  <c r="XA39" i="2"/>
  <c r="WZ40" i="2"/>
  <c r="XA40" i="2"/>
  <c r="WZ41" i="2"/>
  <c r="XA41" i="2"/>
  <c r="WZ42" i="2"/>
  <c r="XA42" i="2"/>
  <c r="WZ43" i="2"/>
  <c r="XA43" i="2"/>
  <c r="WZ44" i="2"/>
  <c r="XA44" i="2"/>
  <c r="WZ45" i="2"/>
  <c r="XA45" i="2"/>
  <c r="WZ46" i="2"/>
  <c r="XA46" i="2"/>
  <c r="WZ47" i="2"/>
  <c r="XA47" i="2"/>
  <c r="WZ48" i="2"/>
  <c r="XA48" i="2"/>
  <c r="WZ49" i="2"/>
  <c r="XA49" i="2"/>
  <c r="WZ50" i="2"/>
  <c r="XA50" i="2"/>
  <c r="WN460" i="2"/>
  <c r="WO460" i="2"/>
  <c r="WN461" i="2"/>
  <c r="WO461" i="2"/>
  <c r="WN462" i="2"/>
  <c r="WO462" i="2"/>
  <c r="WN463" i="2"/>
  <c r="WO463" i="2"/>
  <c r="WN464" i="2"/>
  <c r="WO464" i="2"/>
  <c r="WN465" i="2"/>
  <c r="WO465" i="2"/>
  <c r="WN466" i="2"/>
  <c r="WO466" i="2"/>
  <c r="WN467" i="2"/>
  <c r="WO467" i="2"/>
  <c r="WN468" i="2"/>
  <c r="WO468" i="2"/>
  <c r="WN430" i="2"/>
  <c r="WO430" i="2"/>
  <c r="WN422" i="2"/>
  <c r="WO422" i="2"/>
  <c r="WN423" i="2"/>
  <c r="WO423" i="2"/>
  <c r="WN424" i="2"/>
  <c r="WO424" i="2"/>
  <c r="WN425" i="2"/>
  <c r="WO425" i="2"/>
  <c r="WN426" i="2"/>
  <c r="WO426" i="2"/>
  <c r="WN427" i="2"/>
  <c r="WO427" i="2"/>
  <c r="WN428" i="2"/>
  <c r="WO428" i="2"/>
  <c r="WN429" i="2"/>
  <c r="WO429" i="2"/>
  <c r="WN392" i="2"/>
  <c r="WO392" i="2"/>
  <c r="WN384" i="2"/>
  <c r="WO384" i="2"/>
  <c r="WN385" i="2"/>
  <c r="WO385" i="2"/>
  <c r="WN386" i="2"/>
  <c r="WO386" i="2"/>
  <c r="WN387" i="2"/>
  <c r="WO387" i="2"/>
  <c r="WN388" i="2"/>
  <c r="WO388" i="2"/>
  <c r="WN389" i="2"/>
  <c r="WO389" i="2"/>
  <c r="WN390" i="2"/>
  <c r="WO390" i="2"/>
  <c r="WN391" i="2"/>
  <c r="WO391" i="2"/>
  <c r="WN354" i="2"/>
  <c r="WO354" i="2"/>
  <c r="WN346" i="2"/>
  <c r="WO346" i="2"/>
  <c r="WN347" i="2"/>
  <c r="WO347" i="2"/>
  <c r="WN348" i="2"/>
  <c r="WO348" i="2"/>
  <c r="WN349" i="2"/>
  <c r="WO349" i="2"/>
  <c r="WN350" i="2"/>
  <c r="WO350" i="2"/>
  <c r="WN351" i="2"/>
  <c r="WO351" i="2"/>
  <c r="WN352" i="2"/>
  <c r="WO352" i="2"/>
  <c r="WN353" i="2"/>
  <c r="WO353" i="2"/>
  <c r="WN316" i="2"/>
  <c r="WO316" i="2"/>
  <c r="WN308" i="2"/>
  <c r="WO308" i="2"/>
  <c r="WN309" i="2"/>
  <c r="WO309" i="2"/>
  <c r="WN310" i="2"/>
  <c r="WO310" i="2"/>
  <c r="WN311" i="2"/>
  <c r="WO311" i="2"/>
  <c r="WN312" i="2"/>
  <c r="WO312" i="2"/>
  <c r="WN313" i="2"/>
  <c r="WO313" i="2"/>
  <c r="WN314" i="2"/>
  <c r="WO314" i="2"/>
  <c r="WN315" i="2"/>
  <c r="WO315" i="2"/>
  <c r="WN278" i="2"/>
  <c r="WO278" i="2"/>
  <c r="WN270" i="2"/>
  <c r="WO270" i="2"/>
  <c r="WN271" i="2"/>
  <c r="WO271" i="2"/>
  <c r="WN272" i="2"/>
  <c r="WO272" i="2"/>
  <c r="WN273" i="2"/>
  <c r="WO273" i="2"/>
  <c r="WN274" i="2"/>
  <c r="WO274" i="2"/>
  <c r="WN275" i="2"/>
  <c r="WO275" i="2"/>
  <c r="WN276" i="2"/>
  <c r="WO276" i="2"/>
  <c r="WN277" i="2"/>
  <c r="WO277" i="2"/>
  <c r="WN240" i="2"/>
  <c r="WO240" i="2"/>
  <c r="WN232" i="2"/>
  <c r="WO232" i="2"/>
  <c r="WN233" i="2"/>
  <c r="WO233" i="2"/>
  <c r="WN234" i="2"/>
  <c r="WO234" i="2"/>
  <c r="WN235" i="2"/>
  <c r="WO235" i="2"/>
  <c r="WN236" i="2"/>
  <c r="WO236" i="2"/>
  <c r="WN237" i="2"/>
  <c r="WO237" i="2"/>
  <c r="WN238" i="2"/>
  <c r="WO238" i="2"/>
  <c r="WN239" i="2"/>
  <c r="WO239" i="2"/>
  <c r="WN202" i="2"/>
  <c r="WO202" i="2"/>
  <c r="WN194" i="2"/>
  <c r="WO194" i="2"/>
  <c r="WN195" i="2"/>
  <c r="WO195" i="2"/>
  <c r="WN196" i="2"/>
  <c r="WO196" i="2"/>
  <c r="WN197" i="2"/>
  <c r="WO197" i="2"/>
  <c r="WN198" i="2"/>
  <c r="WO198" i="2"/>
  <c r="WN199" i="2"/>
  <c r="WO199" i="2"/>
  <c r="WN200" i="2"/>
  <c r="WO200" i="2"/>
  <c r="WN201" i="2"/>
  <c r="WO201" i="2"/>
  <c r="WN164" i="2"/>
  <c r="WO164" i="2"/>
  <c r="WN156" i="2"/>
  <c r="WO156" i="2"/>
  <c r="WN157" i="2"/>
  <c r="WO157" i="2"/>
  <c r="WN158" i="2"/>
  <c r="WO158" i="2"/>
  <c r="WN159" i="2"/>
  <c r="WO159" i="2"/>
  <c r="WN160" i="2"/>
  <c r="WO160" i="2"/>
  <c r="WN161" i="2"/>
  <c r="WO161" i="2"/>
  <c r="WN162" i="2"/>
  <c r="WO162" i="2"/>
  <c r="WN163" i="2"/>
  <c r="WO163" i="2"/>
  <c r="WN126" i="2"/>
  <c r="WO126" i="2"/>
  <c r="WN118" i="2"/>
  <c r="WO118" i="2"/>
  <c r="WN119" i="2"/>
  <c r="WO119" i="2"/>
  <c r="WN120" i="2"/>
  <c r="WO120" i="2"/>
  <c r="WN121" i="2"/>
  <c r="WO121" i="2"/>
  <c r="WN122" i="2"/>
  <c r="WO122" i="2"/>
  <c r="WN123" i="2"/>
  <c r="WO123" i="2"/>
  <c r="WN124" i="2"/>
  <c r="WO124" i="2"/>
  <c r="WN125" i="2"/>
  <c r="WO125" i="2"/>
  <c r="WN88" i="2"/>
  <c r="WO88" i="2"/>
  <c r="WN80" i="2"/>
  <c r="WO80" i="2"/>
  <c r="WN81" i="2"/>
  <c r="WO81" i="2"/>
  <c r="WN82" i="2"/>
  <c r="WO82" i="2"/>
  <c r="WN83" i="2"/>
  <c r="WO83" i="2"/>
  <c r="WN84" i="2"/>
  <c r="WO84" i="2"/>
  <c r="WN85" i="2"/>
  <c r="WO85" i="2"/>
  <c r="WN86" i="2"/>
  <c r="WO86" i="2"/>
  <c r="WN87" i="2"/>
  <c r="WO87" i="2"/>
  <c r="WN52" i="2"/>
  <c r="WO52" i="2"/>
  <c r="WN53" i="2"/>
  <c r="WO53" i="2"/>
  <c r="WN54" i="2"/>
  <c r="WO54" i="2"/>
  <c r="WN55" i="2"/>
  <c r="WO55" i="2"/>
  <c r="WN56" i="2"/>
  <c r="WO56" i="2"/>
  <c r="WN57" i="2"/>
  <c r="WO57" i="2"/>
  <c r="WN58" i="2"/>
  <c r="WO58" i="2"/>
  <c r="WN59" i="2"/>
  <c r="WO59" i="2"/>
  <c r="WN60" i="2"/>
  <c r="WO60" i="2"/>
  <c r="WN61" i="2"/>
  <c r="WO61" i="2"/>
  <c r="WN62" i="2"/>
  <c r="WO62" i="2"/>
  <c r="WN63" i="2"/>
  <c r="WO63" i="2"/>
  <c r="WN64" i="2"/>
  <c r="WO64" i="2"/>
  <c r="WN65" i="2"/>
  <c r="WO65" i="2"/>
  <c r="WN66" i="2"/>
  <c r="WO66" i="2"/>
  <c r="WN67" i="2"/>
  <c r="WO67" i="2"/>
  <c r="WN68" i="2"/>
  <c r="WO68" i="2"/>
  <c r="WN69" i="2"/>
  <c r="WO69" i="2"/>
  <c r="WN70" i="2"/>
  <c r="WO70" i="2"/>
  <c r="WN71" i="2"/>
  <c r="WO71" i="2"/>
  <c r="WN72" i="2"/>
  <c r="WO72" i="2"/>
  <c r="WN73" i="2"/>
  <c r="WO73" i="2"/>
  <c r="WN74" i="2"/>
  <c r="WO74" i="2"/>
  <c r="WN75" i="2"/>
  <c r="WO75" i="2"/>
  <c r="WN76" i="2"/>
  <c r="WO76" i="2"/>
  <c r="WN77" i="2"/>
  <c r="WO77" i="2"/>
  <c r="WN78" i="2"/>
  <c r="WO78" i="2"/>
  <c r="WN79" i="2"/>
  <c r="WO79" i="2"/>
  <c r="WN42" i="2"/>
  <c r="WO42" i="2"/>
  <c r="WN43" i="2"/>
  <c r="WO43" i="2"/>
  <c r="WN44" i="2"/>
  <c r="WO44" i="2"/>
  <c r="WN45" i="2"/>
  <c r="WO45" i="2"/>
  <c r="WN46" i="2"/>
  <c r="WO46" i="2"/>
  <c r="WN47" i="2"/>
  <c r="WO47" i="2"/>
  <c r="WN48" i="2"/>
  <c r="WO48" i="2"/>
  <c r="WN49" i="2"/>
  <c r="WO49" i="2"/>
  <c r="WN50" i="2"/>
  <c r="WO50" i="2"/>
  <c r="Q14" i="2"/>
  <c r="BU44" i="55"/>
  <c r="BV44" i="55"/>
  <c r="BW44" i="55"/>
  <c r="BX44" i="55"/>
  <c r="BY44" i="55"/>
  <c r="BZ44" i="55"/>
  <c r="BK44" i="55"/>
  <c r="BL44" i="55"/>
  <c r="BM44" i="55"/>
  <c r="BN44" i="55"/>
  <c r="BO44" i="55"/>
  <c r="BP44" i="55"/>
  <c r="BS44" i="55"/>
  <c r="BT44" i="55"/>
  <c r="BA44" i="55"/>
  <c r="BB44" i="55"/>
  <c r="BC44" i="55"/>
  <c r="BD44" i="55"/>
  <c r="BG44" i="55"/>
  <c r="BH44" i="55"/>
  <c r="BI44" i="55"/>
  <c r="BJ44" i="55"/>
  <c r="AQ44" i="55"/>
  <c r="AR44" i="55"/>
  <c r="AS44" i="55"/>
  <c r="AT44" i="55"/>
  <c r="AU44" i="55"/>
  <c r="AV44" i="55"/>
  <c r="AW44" i="55"/>
  <c r="AX44" i="55"/>
  <c r="AY44" i="55"/>
  <c r="AZ44" i="55"/>
  <c r="AI44" i="55"/>
  <c r="AJ44" i="55"/>
  <c r="AK44" i="55"/>
  <c r="AL44" i="55"/>
  <c r="AM44" i="55"/>
  <c r="AN44" i="55"/>
  <c r="AO44" i="55"/>
  <c r="AP44" i="55"/>
  <c r="AG44" i="55"/>
  <c r="AH44" i="55"/>
  <c r="AE44" i="55"/>
  <c r="AF44" i="55"/>
  <c r="AC44" i="55"/>
  <c r="AD44" i="55"/>
  <c r="AA44" i="55"/>
  <c r="AB44" i="55"/>
  <c r="W44" i="55"/>
  <c r="X44" i="55"/>
  <c r="S44" i="55"/>
  <c r="T44" i="55"/>
  <c r="O44" i="55"/>
  <c r="P44" i="55"/>
  <c r="Q44" i="55"/>
  <c r="R44" i="55"/>
  <c r="N44" i="55"/>
  <c r="M44" i="55"/>
  <c r="L44" i="55"/>
  <c r="K44" i="55"/>
  <c r="J44" i="55"/>
  <c r="I44" i="55"/>
  <c r="I43" i="55" s="1"/>
  <c r="I42" i="55" s="1"/>
  <c r="I41" i="55" s="1"/>
  <c r="I40" i="55" s="1"/>
  <c r="I39" i="55" s="1"/>
  <c r="I38" i="55" s="1"/>
  <c r="I37" i="55" s="1"/>
  <c r="I36" i="55" s="1"/>
  <c r="I35" i="55" s="1"/>
  <c r="I34" i="55" s="1"/>
  <c r="I33" i="55" s="1"/>
  <c r="I32" i="55" s="1"/>
  <c r="I31" i="55" s="1"/>
  <c r="I30" i="55" s="1"/>
  <c r="I29" i="55" s="1"/>
  <c r="I28" i="55" s="1"/>
  <c r="I27" i="55" s="1"/>
  <c r="I26" i="55" s="1"/>
  <c r="I25" i="55" s="1"/>
  <c r="I24" i="55" s="1"/>
  <c r="I23" i="55" s="1"/>
  <c r="I22" i="55" s="1"/>
  <c r="I21" i="55" s="1"/>
  <c r="I20" i="55" s="1"/>
  <c r="I19" i="55" s="1"/>
  <c r="I18" i="55" s="1"/>
  <c r="I17" i="55" s="1"/>
  <c r="I16" i="55" s="1"/>
  <c r="I15" i="55" s="1"/>
  <c r="I14" i="55" s="1"/>
  <c r="I13" i="55" s="1"/>
  <c r="I12" i="55" s="1"/>
  <c r="I11" i="55" s="1"/>
  <c r="I10" i="55" s="1"/>
  <c r="I9" i="55" s="1"/>
  <c r="I8" i="55" s="1"/>
  <c r="I7" i="55" s="1"/>
  <c r="BN44" i="54"/>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8" i="55"/>
  <c r="BY6" i="47"/>
  <c r="BX6" i="47"/>
  <c r="BY44" i="47"/>
  <c r="BX44" i="47"/>
  <c r="BY43" i="47"/>
  <c r="BX43" i="47"/>
  <c r="BY42" i="47"/>
  <c r="BX42" i="47"/>
  <c r="BY41" i="47"/>
  <c r="BX41" i="47"/>
  <c r="BY40" i="47"/>
  <c r="BX40" i="47"/>
  <c r="BY39" i="47"/>
  <c r="BX39" i="47"/>
  <c r="BY38" i="47"/>
  <c r="BX38" i="47"/>
  <c r="BY37" i="47"/>
  <c r="BX37" i="47"/>
  <c r="BY36" i="47"/>
  <c r="BX36" i="47"/>
  <c r="BY35" i="47"/>
  <c r="BX35" i="47"/>
  <c r="BY34" i="47"/>
  <c r="BX34" i="47"/>
  <c r="BY33" i="47"/>
  <c r="BX33" i="47"/>
  <c r="BY32" i="47"/>
  <c r="BX32" i="47"/>
  <c r="BY31" i="47"/>
  <c r="BX31" i="47"/>
  <c r="BY30" i="47"/>
  <c r="BX30" i="47"/>
  <c r="BY29" i="47"/>
  <c r="BX29" i="47"/>
  <c r="BY28" i="47"/>
  <c r="BX28" i="47"/>
  <c r="BY27" i="47"/>
  <c r="BX27" i="47"/>
  <c r="BY26" i="47"/>
  <c r="BX26" i="47"/>
  <c r="BY25" i="47"/>
  <c r="BX25" i="47"/>
  <c r="BY24" i="47"/>
  <c r="BX24" i="47"/>
  <c r="BY23" i="47"/>
  <c r="BX23" i="47"/>
  <c r="BY22" i="47"/>
  <c r="BX22" i="47"/>
  <c r="BY21" i="47"/>
  <c r="BX21" i="47"/>
  <c r="BY20" i="47"/>
  <c r="BX20" i="47"/>
  <c r="BY19" i="47"/>
  <c r="BX19" i="47"/>
  <c r="BY18" i="47"/>
  <c r="BX18" i="47"/>
  <c r="BY17" i="47"/>
  <c r="BX17" i="47"/>
  <c r="BY16" i="47"/>
  <c r="BX16" i="47"/>
  <c r="BY15" i="47"/>
  <c r="BX15" i="47"/>
  <c r="BY14" i="47"/>
  <c r="BX14" i="47"/>
  <c r="BY13" i="47"/>
  <c r="BX13" i="47"/>
  <c r="BY12" i="47"/>
  <c r="BX12" i="47"/>
  <c r="BY11" i="47"/>
  <c r="BX11" i="47"/>
  <c r="BY10" i="47"/>
  <c r="BX10" i="47"/>
  <c r="BY9" i="47"/>
  <c r="BX9" i="47"/>
  <c r="BY8" i="47"/>
  <c r="BX8" i="47"/>
  <c r="BY7" i="47"/>
  <c r="BX7" i="47"/>
  <c r="BW6" i="47"/>
  <c r="BV6" i="47"/>
  <c r="BW44" i="47"/>
  <c r="BV44" i="47"/>
  <c r="BW43" i="47"/>
  <c r="BV43" i="47"/>
  <c r="BW42" i="47"/>
  <c r="BV42" i="47"/>
  <c r="BW41" i="47"/>
  <c r="BV41" i="47"/>
  <c r="BW40" i="47"/>
  <c r="BV40" i="47"/>
  <c r="BW39" i="47"/>
  <c r="BV39" i="47"/>
  <c r="BW38" i="47"/>
  <c r="BV38" i="47"/>
  <c r="BW37" i="47"/>
  <c r="BV37" i="47"/>
  <c r="BW36" i="47"/>
  <c r="BV36" i="47"/>
  <c r="BW35" i="47"/>
  <c r="BV35" i="47"/>
  <c r="BW34" i="47"/>
  <c r="BV34" i="47"/>
  <c r="BW33" i="47"/>
  <c r="BV33" i="47"/>
  <c r="BW32" i="47"/>
  <c r="BV32" i="47"/>
  <c r="BW31" i="47"/>
  <c r="BV31" i="47"/>
  <c r="BW30" i="47"/>
  <c r="BV30" i="47"/>
  <c r="BW29" i="47"/>
  <c r="BV29" i="47"/>
  <c r="BW28" i="47"/>
  <c r="BV28" i="47"/>
  <c r="BW27" i="47"/>
  <c r="BV27" i="47"/>
  <c r="BW26" i="47"/>
  <c r="BV26" i="47"/>
  <c r="BW25" i="47"/>
  <c r="BV25" i="47"/>
  <c r="BW24" i="47"/>
  <c r="BV24" i="47"/>
  <c r="BW23" i="47"/>
  <c r="BV23" i="47"/>
  <c r="BW22" i="47"/>
  <c r="BV22" i="47"/>
  <c r="BW21" i="47"/>
  <c r="BV21" i="47"/>
  <c r="BW20" i="47"/>
  <c r="BV20" i="47"/>
  <c r="BW19" i="47"/>
  <c r="BV19" i="47"/>
  <c r="BW18" i="47"/>
  <c r="BV18" i="47"/>
  <c r="BW17" i="47"/>
  <c r="BV17" i="47"/>
  <c r="BW16" i="47"/>
  <c r="BV16" i="47"/>
  <c r="BW15" i="47"/>
  <c r="BV15" i="47"/>
  <c r="BW14" i="47"/>
  <c r="BV14" i="47"/>
  <c r="BW13" i="47"/>
  <c r="BV13" i="47"/>
  <c r="BW12" i="47"/>
  <c r="BV12" i="47"/>
  <c r="BW11" i="47"/>
  <c r="BV11" i="47"/>
  <c r="BW10" i="47"/>
  <c r="BV10" i="47"/>
  <c r="BW9" i="47"/>
  <c r="BV9" i="47"/>
  <c r="BW8" i="47"/>
  <c r="BV8" i="47"/>
  <c r="BW7" i="47"/>
  <c r="BV7" i="47"/>
  <c r="BU6" i="47"/>
  <c r="BT6" i="47"/>
  <c r="BU44" i="47"/>
  <c r="BT44" i="47"/>
  <c r="BU43" i="47"/>
  <c r="BT43" i="47"/>
  <c r="BU42" i="47"/>
  <c r="BT42" i="47"/>
  <c r="BU41" i="47"/>
  <c r="BT41" i="47"/>
  <c r="BU40" i="47"/>
  <c r="BT40" i="47"/>
  <c r="BU39" i="47"/>
  <c r="BT39" i="47"/>
  <c r="BU38" i="47"/>
  <c r="BT38" i="47"/>
  <c r="BU37" i="47"/>
  <c r="BT37" i="47"/>
  <c r="BU36" i="47"/>
  <c r="BT36" i="47"/>
  <c r="BU35" i="47"/>
  <c r="BT35" i="47"/>
  <c r="BU34" i="47"/>
  <c r="BT34" i="47"/>
  <c r="BU33" i="47"/>
  <c r="BT33" i="47"/>
  <c r="BU32" i="47"/>
  <c r="BT32" i="47"/>
  <c r="BU31" i="47"/>
  <c r="BT31" i="47"/>
  <c r="BU30" i="47"/>
  <c r="BT30" i="47"/>
  <c r="BU29" i="47"/>
  <c r="BT29" i="47"/>
  <c r="BU28" i="47"/>
  <c r="BT28" i="47"/>
  <c r="BU27" i="47"/>
  <c r="BT27" i="47"/>
  <c r="BU26" i="47"/>
  <c r="BT26" i="47"/>
  <c r="BU25" i="47"/>
  <c r="BT25" i="47"/>
  <c r="BU24" i="47"/>
  <c r="BT24" i="47"/>
  <c r="BU23" i="47"/>
  <c r="BT23" i="47"/>
  <c r="BU22" i="47"/>
  <c r="BT22" i="47"/>
  <c r="BU21" i="47"/>
  <c r="BT21" i="47"/>
  <c r="BU20" i="47"/>
  <c r="BT20" i="47"/>
  <c r="BU19" i="47"/>
  <c r="BT19" i="47"/>
  <c r="BU18" i="47"/>
  <c r="BT18" i="47"/>
  <c r="BU17" i="47"/>
  <c r="BT17" i="47"/>
  <c r="BU16" i="47"/>
  <c r="BT16" i="47"/>
  <c r="BU15" i="47"/>
  <c r="BT15" i="47"/>
  <c r="BU14" i="47"/>
  <c r="BT14" i="47"/>
  <c r="BU13" i="47"/>
  <c r="BT13" i="47"/>
  <c r="BU12" i="47"/>
  <c r="BT12" i="47"/>
  <c r="BU11" i="47"/>
  <c r="BT11" i="47"/>
  <c r="BU10" i="47"/>
  <c r="BT10" i="47"/>
  <c r="BU9" i="47"/>
  <c r="BT9" i="47"/>
  <c r="BU8" i="47"/>
  <c r="BT8" i="47"/>
  <c r="BU7" i="47"/>
  <c r="BT7" i="47"/>
  <c r="BS6" i="47"/>
  <c r="BR6" i="47"/>
  <c r="BS44" i="47"/>
  <c r="BR44" i="47"/>
  <c r="BS43" i="47"/>
  <c r="BR43" i="47"/>
  <c r="BS42" i="47"/>
  <c r="BR42" i="47"/>
  <c r="BS41" i="47"/>
  <c r="BR41" i="47"/>
  <c r="BS40" i="47"/>
  <c r="BR40" i="47"/>
  <c r="BS39" i="47"/>
  <c r="BR39" i="47"/>
  <c r="BS38" i="47"/>
  <c r="BR38" i="47"/>
  <c r="BS37" i="47"/>
  <c r="BR37" i="47"/>
  <c r="BS36" i="47"/>
  <c r="BR36" i="47"/>
  <c r="BS35" i="47"/>
  <c r="BR35" i="47"/>
  <c r="BS34" i="47"/>
  <c r="BR34" i="47"/>
  <c r="BS33" i="47"/>
  <c r="BR33" i="47"/>
  <c r="BS32" i="47"/>
  <c r="BR32" i="47"/>
  <c r="BS31" i="47"/>
  <c r="BR31" i="47"/>
  <c r="BS30" i="47"/>
  <c r="BR30" i="47"/>
  <c r="BS29" i="47"/>
  <c r="BR29" i="47"/>
  <c r="BS28" i="47"/>
  <c r="BR28" i="47"/>
  <c r="BS27" i="47"/>
  <c r="BR27" i="47"/>
  <c r="BS26" i="47"/>
  <c r="BR26" i="47"/>
  <c r="BS25" i="47"/>
  <c r="BR25" i="47"/>
  <c r="BS24" i="47"/>
  <c r="BR24" i="47"/>
  <c r="BS23" i="47"/>
  <c r="BR23" i="47"/>
  <c r="BS22" i="47"/>
  <c r="BR22" i="47"/>
  <c r="BS21" i="47"/>
  <c r="BR21" i="47"/>
  <c r="BS20" i="47"/>
  <c r="BR20" i="47"/>
  <c r="BS19" i="47"/>
  <c r="BR19" i="47"/>
  <c r="BS18" i="47"/>
  <c r="BR18" i="47"/>
  <c r="BS17" i="47"/>
  <c r="BR17" i="47"/>
  <c r="BS16" i="47"/>
  <c r="BR16" i="47"/>
  <c r="BS15" i="47"/>
  <c r="BR15" i="47"/>
  <c r="BS14" i="47"/>
  <c r="BR14" i="47"/>
  <c r="BS13" i="47"/>
  <c r="BR13" i="47"/>
  <c r="BS12" i="47"/>
  <c r="BR12" i="47"/>
  <c r="BS11" i="47"/>
  <c r="BR11" i="47"/>
  <c r="BS10" i="47"/>
  <c r="BR10" i="47"/>
  <c r="BS9" i="47"/>
  <c r="BR9" i="47"/>
  <c r="BS8" i="47"/>
  <c r="BR8" i="47"/>
  <c r="BS7" i="47"/>
  <c r="BR7" i="47"/>
  <c r="BQ6" i="47"/>
  <c r="BP6" i="47"/>
  <c r="BQ44" i="47"/>
  <c r="BP44" i="47"/>
  <c r="BQ43" i="47"/>
  <c r="BP43" i="47"/>
  <c r="BQ42" i="47"/>
  <c r="BP42" i="47"/>
  <c r="BQ41" i="47"/>
  <c r="BP41" i="47"/>
  <c r="BQ40" i="47"/>
  <c r="BP40" i="47"/>
  <c r="BQ39" i="47"/>
  <c r="BP39" i="47"/>
  <c r="BQ38" i="47"/>
  <c r="BP38" i="47"/>
  <c r="BQ37" i="47"/>
  <c r="BP37" i="47"/>
  <c r="BQ36" i="47"/>
  <c r="BP36" i="47"/>
  <c r="BQ35" i="47"/>
  <c r="BP35" i="47"/>
  <c r="BQ34" i="47"/>
  <c r="BP34" i="47"/>
  <c r="BQ33" i="47"/>
  <c r="BP33" i="47"/>
  <c r="BQ32" i="47"/>
  <c r="BP32" i="47"/>
  <c r="BQ31" i="47"/>
  <c r="BP31" i="47"/>
  <c r="BQ30" i="47"/>
  <c r="BP30" i="47"/>
  <c r="BQ29" i="47"/>
  <c r="BP29" i="47"/>
  <c r="BQ28" i="47"/>
  <c r="BP28" i="47"/>
  <c r="BQ27" i="47"/>
  <c r="BP27" i="47"/>
  <c r="BQ26" i="47"/>
  <c r="BP26" i="47"/>
  <c r="BQ25" i="47"/>
  <c r="BP25" i="47"/>
  <c r="BQ24" i="47"/>
  <c r="BP24" i="47"/>
  <c r="BQ23" i="47"/>
  <c r="BP23" i="47"/>
  <c r="BQ22" i="47"/>
  <c r="BP22" i="47"/>
  <c r="BQ21" i="47"/>
  <c r="BP21" i="47"/>
  <c r="BQ20" i="47"/>
  <c r="BP20" i="47"/>
  <c r="BQ19" i="47"/>
  <c r="BP19" i="47"/>
  <c r="BQ18" i="47"/>
  <c r="BP18" i="47"/>
  <c r="BQ17" i="47"/>
  <c r="BP17" i="47"/>
  <c r="BQ16" i="47"/>
  <c r="BP16" i="47"/>
  <c r="BQ15" i="47"/>
  <c r="BP15" i="47"/>
  <c r="BQ14" i="47"/>
  <c r="BP14" i="47"/>
  <c r="BQ13" i="47"/>
  <c r="BP13" i="47"/>
  <c r="BQ12" i="47"/>
  <c r="BP12" i="47"/>
  <c r="BQ10" i="47"/>
  <c r="BP10" i="47"/>
  <c r="BQ9" i="47"/>
  <c r="BP9" i="47"/>
  <c r="BQ8" i="47"/>
  <c r="BP8" i="47"/>
  <c r="BQ7" i="47"/>
  <c r="BP7" i="47"/>
  <c r="BO6" i="47"/>
  <c r="BN6" i="47"/>
  <c r="BO44" i="47"/>
  <c r="BN44" i="47"/>
  <c r="BO43" i="47"/>
  <c r="BN43" i="47"/>
  <c r="BO42" i="47"/>
  <c r="BN42" i="47"/>
  <c r="BO41" i="47"/>
  <c r="BN41" i="47"/>
  <c r="BO40" i="47"/>
  <c r="BN40" i="47"/>
  <c r="BO39" i="47"/>
  <c r="BN39" i="47"/>
  <c r="BO38" i="47"/>
  <c r="BN38" i="47"/>
  <c r="BO37" i="47"/>
  <c r="BN37" i="47"/>
  <c r="BO36" i="47"/>
  <c r="BN36" i="47"/>
  <c r="BO35" i="47"/>
  <c r="BN35" i="47"/>
  <c r="BO34" i="47"/>
  <c r="BN34" i="47"/>
  <c r="BO33" i="47"/>
  <c r="BN33" i="47"/>
  <c r="BO32" i="47"/>
  <c r="BN32" i="47"/>
  <c r="BO31" i="47"/>
  <c r="BN31" i="47"/>
  <c r="BO30" i="47"/>
  <c r="BN30" i="47"/>
  <c r="BO29" i="47"/>
  <c r="BN29" i="47"/>
  <c r="BO28" i="47"/>
  <c r="BN28" i="47"/>
  <c r="BO27" i="47"/>
  <c r="BN27" i="47"/>
  <c r="BO26" i="47"/>
  <c r="BN26" i="47"/>
  <c r="BO25" i="47"/>
  <c r="BN25" i="47"/>
  <c r="BO24" i="47"/>
  <c r="BN24" i="47"/>
  <c r="BO23" i="47"/>
  <c r="BN23" i="47"/>
  <c r="BO22" i="47"/>
  <c r="BN22" i="47"/>
  <c r="BO21" i="47"/>
  <c r="BN21" i="47"/>
  <c r="BO20" i="47"/>
  <c r="BN20" i="47"/>
  <c r="BO19" i="47"/>
  <c r="BN19" i="47"/>
  <c r="BO18" i="47"/>
  <c r="BN18" i="47"/>
  <c r="BO17" i="47"/>
  <c r="BN17" i="47"/>
  <c r="BO16" i="47"/>
  <c r="BN16" i="47"/>
  <c r="BO15" i="47"/>
  <c r="BN15" i="47"/>
  <c r="BO14" i="47"/>
  <c r="BN14" i="47"/>
  <c r="BO13" i="47"/>
  <c r="BN13" i="47"/>
  <c r="BO12" i="47"/>
  <c r="BN12" i="47"/>
  <c r="BO11" i="47"/>
  <c r="BN11" i="47"/>
  <c r="BO10" i="47"/>
  <c r="BN10" i="47"/>
  <c r="BO9" i="47"/>
  <c r="BN9" i="47"/>
  <c r="BO8" i="47"/>
  <c r="BN8" i="47"/>
  <c r="BO7" i="47"/>
  <c r="BN7" i="47"/>
  <c r="BM6" i="47"/>
  <c r="BL6" i="47"/>
  <c r="BM44" i="47"/>
  <c r="BL44" i="47"/>
  <c r="BM43" i="47"/>
  <c r="BL43" i="47"/>
  <c r="BM42" i="47"/>
  <c r="BL42" i="47"/>
  <c r="BM41" i="47"/>
  <c r="BL41" i="47"/>
  <c r="BM40" i="47"/>
  <c r="BL40" i="47"/>
  <c r="BM39" i="47"/>
  <c r="BL39" i="47"/>
  <c r="BM38" i="47"/>
  <c r="BL38" i="47"/>
  <c r="BM37" i="47"/>
  <c r="BL37" i="47"/>
  <c r="BM36" i="47"/>
  <c r="BL36" i="47"/>
  <c r="BM35" i="47"/>
  <c r="BL35" i="47"/>
  <c r="BM34" i="47"/>
  <c r="BL34" i="47"/>
  <c r="BM33" i="47"/>
  <c r="BL33" i="47"/>
  <c r="BM32" i="47"/>
  <c r="BL32" i="47"/>
  <c r="BM31" i="47"/>
  <c r="BL31" i="47"/>
  <c r="BM30" i="47"/>
  <c r="BL30" i="47"/>
  <c r="BM29" i="47"/>
  <c r="BL29" i="47"/>
  <c r="BM28" i="47"/>
  <c r="BL28" i="47"/>
  <c r="BM27" i="47"/>
  <c r="BL27" i="47"/>
  <c r="BM26" i="47"/>
  <c r="BL26" i="47"/>
  <c r="BM25" i="47"/>
  <c r="BL25" i="47"/>
  <c r="BM24" i="47"/>
  <c r="BL24" i="47"/>
  <c r="BM23" i="47"/>
  <c r="BL23" i="47"/>
  <c r="BM22" i="47"/>
  <c r="BL22" i="47"/>
  <c r="BM21" i="47"/>
  <c r="BL21" i="47"/>
  <c r="BM20" i="47"/>
  <c r="BL20" i="47"/>
  <c r="BM19" i="47"/>
  <c r="BL19" i="47"/>
  <c r="BM18" i="47"/>
  <c r="BL18" i="47"/>
  <c r="BM17" i="47"/>
  <c r="BL17" i="47"/>
  <c r="BM16" i="47"/>
  <c r="BL16" i="47"/>
  <c r="BM15" i="47"/>
  <c r="BL15" i="47"/>
  <c r="BM14" i="47"/>
  <c r="BL14" i="47"/>
  <c r="BM13" i="47"/>
  <c r="BL13" i="47"/>
  <c r="BM12" i="47"/>
  <c r="BL12" i="47"/>
  <c r="BM11" i="47"/>
  <c r="BL11" i="47"/>
  <c r="BM10" i="47"/>
  <c r="BL10" i="47"/>
  <c r="BM9" i="47"/>
  <c r="BL9" i="47"/>
  <c r="BM8" i="47"/>
  <c r="BL8" i="47"/>
  <c r="BM7" i="47"/>
  <c r="BL7" i="47"/>
  <c r="BK6" i="47"/>
  <c r="R58" i="49" s="1"/>
  <c r="BJ6" i="47"/>
  <c r="R10" i="49" s="1"/>
  <c r="BK44" i="47"/>
  <c r="BJ44" i="47"/>
  <c r="BK43" i="47"/>
  <c r="R95" i="49" s="1"/>
  <c r="BJ43" i="47"/>
  <c r="R47" i="49" s="1"/>
  <c r="BK42" i="47"/>
  <c r="R94" i="49" s="1"/>
  <c r="BJ42" i="47"/>
  <c r="R46" i="49" s="1"/>
  <c r="BK41" i="47"/>
  <c r="R93" i="49" s="1"/>
  <c r="BJ41" i="47"/>
  <c r="R45" i="49" s="1"/>
  <c r="BK40" i="47"/>
  <c r="R92" i="49" s="1"/>
  <c r="BJ40" i="47"/>
  <c r="R44" i="49" s="1"/>
  <c r="BK39" i="47"/>
  <c r="R91" i="49" s="1"/>
  <c r="BJ39" i="47"/>
  <c r="R43" i="49" s="1"/>
  <c r="BK38" i="47"/>
  <c r="R90" i="49" s="1"/>
  <c r="BJ38" i="47"/>
  <c r="R42" i="49" s="1"/>
  <c r="BK37" i="47"/>
  <c r="R89" i="49" s="1"/>
  <c r="BJ37" i="47"/>
  <c r="R41" i="49" s="1"/>
  <c r="BK36" i="47"/>
  <c r="R88" i="49" s="1"/>
  <c r="BJ36" i="47"/>
  <c r="R40" i="49" s="1"/>
  <c r="BK35" i="47"/>
  <c r="R87" i="49" s="1"/>
  <c r="BJ35" i="47"/>
  <c r="R39" i="49" s="1"/>
  <c r="BK34" i="47"/>
  <c r="R86" i="49" s="1"/>
  <c r="BJ34" i="47"/>
  <c r="R38" i="49" s="1"/>
  <c r="BK33" i="47"/>
  <c r="R85" i="49" s="1"/>
  <c r="BJ33" i="47"/>
  <c r="R37" i="49" s="1"/>
  <c r="BK32" i="47"/>
  <c r="R84" i="49" s="1"/>
  <c r="BJ32" i="47"/>
  <c r="R36" i="49" s="1"/>
  <c r="BK31" i="47"/>
  <c r="R83" i="49" s="1"/>
  <c r="BJ31" i="47"/>
  <c r="R35" i="49" s="1"/>
  <c r="BK30" i="47"/>
  <c r="R82" i="49" s="1"/>
  <c r="BJ30" i="47"/>
  <c r="R34" i="49" s="1"/>
  <c r="BK29" i="47"/>
  <c r="R81" i="49" s="1"/>
  <c r="BJ29" i="47"/>
  <c r="R33" i="49" s="1"/>
  <c r="BK28" i="47"/>
  <c r="R80" i="49" s="1"/>
  <c r="BJ28" i="47"/>
  <c r="R32" i="49" s="1"/>
  <c r="BK27" i="47"/>
  <c r="R79" i="49" s="1"/>
  <c r="BJ27" i="47"/>
  <c r="R31" i="49" s="1"/>
  <c r="BK26" i="47"/>
  <c r="R78" i="49" s="1"/>
  <c r="BJ26" i="47"/>
  <c r="R30" i="49" s="1"/>
  <c r="BK25" i="47"/>
  <c r="R77" i="49" s="1"/>
  <c r="BJ25" i="47"/>
  <c r="R29" i="49" s="1"/>
  <c r="BK24" i="47"/>
  <c r="R76" i="49" s="1"/>
  <c r="BJ24" i="47"/>
  <c r="R28" i="49" s="1"/>
  <c r="BK22" i="47"/>
  <c r="R74" i="49" s="1"/>
  <c r="BJ22" i="47"/>
  <c r="R26" i="49" s="1"/>
  <c r="BK21" i="47"/>
  <c r="R73" i="49" s="1"/>
  <c r="BJ21" i="47"/>
  <c r="R25" i="49" s="1"/>
  <c r="BK20" i="47"/>
  <c r="R72" i="49" s="1"/>
  <c r="BJ20" i="47"/>
  <c r="R24" i="49" s="1"/>
  <c r="BK19" i="47"/>
  <c r="R71" i="49" s="1"/>
  <c r="BJ19" i="47"/>
  <c r="R23" i="49" s="1"/>
  <c r="BK18" i="47"/>
  <c r="R70" i="49" s="1"/>
  <c r="BJ18" i="47"/>
  <c r="R22" i="49" s="1"/>
  <c r="BK17" i="47"/>
  <c r="R69" i="49" s="1"/>
  <c r="BJ17" i="47"/>
  <c r="R21" i="49" s="1"/>
  <c r="BK16" i="47"/>
  <c r="R68" i="49" s="1"/>
  <c r="BJ16" i="47"/>
  <c r="R20" i="49" s="1"/>
  <c r="BK15" i="47"/>
  <c r="R67" i="49" s="1"/>
  <c r="BJ15" i="47"/>
  <c r="R19" i="49" s="1"/>
  <c r="BK14" i="47"/>
  <c r="R66" i="49" s="1"/>
  <c r="BJ14" i="47"/>
  <c r="R18" i="49" s="1"/>
  <c r="BK12" i="47"/>
  <c r="R64" i="49" s="1"/>
  <c r="BJ12" i="47"/>
  <c r="R16" i="49" s="1"/>
  <c r="BK11" i="47"/>
  <c r="R63" i="49" s="1"/>
  <c r="BJ11" i="47"/>
  <c r="R15" i="49" s="1"/>
  <c r="BK10" i="47"/>
  <c r="R62" i="49" s="1"/>
  <c r="BJ10" i="47"/>
  <c r="R14" i="49" s="1"/>
  <c r="BK9" i="47"/>
  <c r="R61" i="49" s="1"/>
  <c r="BJ9" i="47"/>
  <c r="R13" i="49" s="1"/>
  <c r="BK8" i="47"/>
  <c r="R60" i="49" s="1"/>
  <c r="BJ8" i="47"/>
  <c r="R12" i="49" s="1"/>
  <c r="BK7" i="47"/>
  <c r="R59" i="49" s="1"/>
  <c r="BJ7" i="47"/>
  <c r="R11" i="49" s="1"/>
  <c r="BY5" i="47" l="1"/>
  <c r="BM5" i="47"/>
  <c r="BO5" i="47"/>
  <c r="BW5" i="47"/>
  <c r="XL48" i="2"/>
  <c r="XO45" i="2"/>
  <c r="XM43" i="2"/>
  <c r="XM49" i="2"/>
  <c r="XN44" i="2"/>
  <c r="XL42" i="2"/>
  <c r="XP46" i="2"/>
  <c r="BS5" i="47"/>
  <c r="BU5" i="47"/>
  <c r="XZ45" i="2"/>
  <c r="XZ39" i="2"/>
  <c r="XV49" i="2"/>
  <c r="XU48" i="2"/>
  <c r="XY46" i="2"/>
  <c r="XX45" i="2"/>
  <c r="XW44" i="2"/>
  <c r="XV43" i="2"/>
  <c r="XU42" i="2"/>
  <c r="XQ39" i="2"/>
  <c r="XQ45" i="2"/>
  <c r="XZ50" i="2"/>
  <c r="XZ38" i="2"/>
  <c r="XZ49" i="2"/>
  <c r="XY48" i="2"/>
  <c r="XY42" i="2"/>
  <c r="XZ44" i="2"/>
  <c r="XQ38" i="2"/>
  <c r="XZ37" i="2"/>
  <c r="XW46" i="2"/>
  <c r="XU44" i="2"/>
  <c r="XZ48" i="2"/>
  <c r="XZ42" i="2"/>
  <c r="XQ50" i="2"/>
  <c r="XZ43" i="2"/>
  <c r="XX47" i="2"/>
  <c r="XX50" i="2"/>
  <c r="XT46" i="2"/>
  <c r="XQ44" i="2"/>
  <c r="XV45" i="2"/>
  <c r="XK49" i="2"/>
  <c r="XK43" i="2"/>
  <c r="XU49" i="2"/>
  <c r="XY47" i="2"/>
  <c r="XX46" i="2"/>
  <c r="XW45" i="2"/>
  <c r="XV44" i="2"/>
  <c r="XU43" i="2"/>
  <c r="XY50" i="2"/>
  <c r="XK47" i="2"/>
  <c r="XT47" i="2"/>
  <c r="XT45" i="2"/>
  <c r="XK45" i="2"/>
  <c r="XT44" i="2"/>
  <c r="XT49" i="2"/>
  <c r="XT43" i="2"/>
  <c r="XT48" i="2"/>
  <c r="XT42" i="2"/>
  <c r="XP48" i="2"/>
  <c r="XO47" i="2"/>
  <c r="XN46" i="2"/>
  <c r="XM45" i="2"/>
  <c r="XL44" i="2"/>
  <c r="XP42" i="2"/>
  <c r="XO50" i="2"/>
  <c r="XT50" i="2"/>
  <c r="XY49" i="2"/>
  <c r="XX48" i="2"/>
  <c r="XW47" i="2"/>
  <c r="XV46" i="2"/>
  <c r="XU45" i="2"/>
  <c r="XY43" i="2"/>
  <c r="XX42" i="2"/>
  <c r="XW50" i="2"/>
  <c r="XQ48" i="2"/>
  <c r="XQ42" i="2"/>
  <c r="XZ47" i="2"/>
  <c r="XZ41" i="2"/>
  <c r="XX49" i="2"/>
  <c r="XW48" i="2"/>
  <c r="XV47" i="2"/>
  <c r="XU46" i="2"/>
  <c r="XY44" i="2"/>
  <c r="XX43" i="2"/>
  <c r="XW42" i="2"/>
  <c r="XV50" i="2"/>
  <c r="XZ46" i="2"/>
  <c r="XZ40" i="2"/>
  <c r="XW49" i="2"/>
  <c r="XV48" i="2"/>
  <c r="XU47" i="2"/>
  <c r="XY45" i="2"/>
  <c r="XX44" i="2"/>
  <c r="XW43" i="2"/>
  <c r="XV42" i="2"/>
  <c r="XU50" i="2"/>
  <c r="XK48" i="2"/>
  <c r="XK42" i="2"/>
  <c r="XQ46" i="2"/>
  <c r="XQ40" i="2"/>
  <c r="XN49" i="2"/>
  <c r="XM48" i="2"/>
  <c r="XL47" i="2"/>
  <c r="XP45" i="2"/>
  <c r="XO44" i="2"/>
  <c r="XN43" i="2"/>
  <c r="XM42" i="2"/>
  <c r="XL50" i="2"/>
  <c r="XK46" i="2"/>
  <c r="XL49" i="2"/>
  <c r="XP47" i="2"/>
  <c r="XO46" i="2"/>
  <c r="XN45" i="2"/>
  <c r="XM44" i="2"/>
  <c r="XL43" i="2"/>
  <c r="XP50" i="2"/>
  <c r="XQ49" i="2"/>
  <c r="XQ43" i="2"/>
  <c r="XQ37" i="2"/>
  <c r="XK50" i="2"/>
  <c r="XK44" i="2"/>
  <c r="XP49" i="2"/>
  <c r="XO48" i="2"/>
  <c r="XN47" i="2"/>
  <c r="XM46" i="2"/>
  <c r="XL45" i="2"/>
  <c r="XP43" i="2"/>
  <c r="XO42" i="2"/>
  <c r="XN50" i="2"/>
  <c r="XQ47" i="2"/>
  <c r="XQ41" i="2"/>
  <c r="XO49" i="2"/>
  <c r="XN48" i="2"/>
  <c r="XM47" i="2"/>
  <c r="XL46" i="2"/>
  <c r="XP44" i="2"/>
  <c r="XO43" i="2"/>
  <c r="XN42" i="2"/>
  <c r="XM50" i="2"/>
  <c r="XR198" i="2"/>
  <c r="XR468" i="2"/>
  <c r="XR196" i="2"/>
  <c r="XR385" i="2"/>
  <c r="XR233" i="2"/>
  <c r="XR391" i="2"/>
  <c r="XR352" i="2"/>
  <c r="XR232" i="2"/>
  <c r="XR465" i="2"/>
  <c r="XR422" i="2"/>
  <c r="XR314" i="2"/>
  <c r="XR350" i="2"/>
  <c r="XR312" i="2"/>
  <c r="XR200" i="2"/>
  <c r="XR275" i="2"/>
  <c r="XR463" i="2"/>
  <c r="XC45" i="2"/>
  <c r="XC349" i="2"/>
  <c r="V37" i="61" s="1"/>
  <c r="XC390" i="2"/>
  <c r="X40" i="61" s="1"/>
  <c r="XC425" i="2"/>
  <c r="Z37" i="61" s="1"/>
  <c r="XC466" i="2"/>
  <c r="AB40" i="61" s="1"/>
  <c r="XC460" i="2"/>
  <c r="AB34" i="61" s="1"/>
  <c r="XB50" i="2"/>
  <c r="E42" i="61" s="1"/>
  <c r="XB44" i="2"/>
  <c r="E36" i="61" s="1"/>
  <c r="XB82" i="2"/>
  <c r="G36" i="61" s="1"/>
  <c r="XB123" i="2"/>
  <c r="I39" i="61" s="1"/>
  <c r="XB126" i="2"/>
  <c r="I42" i="61" s="1"/>
  <c r="XB158" i="2"/>
  <c r="K36" i="61" s="1"/>
  <c r="XB199" i="2"/>
  <c r="M39" i="61" s="1"/>
  <c r="XB202" i="2"/>
  <c r="M42" i="61" s="1"/>
  <c r="XB234" i="2"/>
  <c r="O36" i="61" s="1"/>
  <c r="XB275" i="2"/>
  <c r="Q39" i="61" s="1"/>
  <c r="XB278" i="2"/>
  <c r="Q42" i="61" s="1"/>
  <c r="XB310" i="2"/>
  <c r="S36" i="61" s="1"/>
  <c r="XB351" i="2"/>
  <c r="U39" i="61" s="1"/>
  <c r="XB354" i="2"/>
  <c r="U42" i="61" s="1"/>
  <c r="XB386" i="2"/>
  <c r="W36" i="61" s="1"/>
  <c r="XB427" i="2"/>
  <c r="Y39" i="61" s="1"/>
  <c r="XB430" i="2"/>
  <c r="Y42" i="61" s="1"/>
  <c r="XB463" i="2"/>
  <c r="AA37" i="61" s="1"/>
  <c r="XB48" i="2"/>
  <c r="E40" i="61" s="1"/>
  <c r="XB47" i="2"/>
  <c r="E39" i="61" s="1"/>
  <c r="XB125" i="2"/>
  <c r="I41" i="61" s="1"/>
  <c r="XB197" i="2"/>
  <c r="M37" i="61" s="1"/>
  <c r="XB232" i="2"/>
  <c r="O34" i="61" s="1"/>
  <c r="XB313" i="2"/>
  <c r="S39" i="61" s="1"/>
  <c r="XB157" i="2"/>
  <c r="K35" i="61" s="1"/>
  <c r="XC163" i="2"/>
  <c r="L41" i="61" s="1"/>
  <c r="XC198" i="2"/>
  <c r="N38" i="61" s="1"/>
  <c r="XC309" i="2"/>
  <c r="T35" i="61" s="1"/>
  <c r="XC462" i="2"/>
  <c r="AB36" i="61" s="1"/>
  <c r="XC121" i="2"/>
  <c r="J37" i="61" s="1"/>
  <c r="XC164" i="2"/>
  <c r="L42" i="61" s="1"/>
  <c r="XC196" i="2"/>
  <c r="N36" i="61" s="1"/>
  <c r="XB49" i="2"/>
  <c r="E41" i="61" s="1"/>
  <c r="XB163" i="2"/>
  <c r="K41" i="61" s="1"/>
  <c r="XC43" i="2"/>
  <c r="XC81" i="2"/>
  <c r="H35" i="61" s="1"/>
  <c r="XC274" i="2"/>
  <c r="R38" i="61" s="1"/>
  <c r="XC468" i="2"/>
  <c r="AB42" i="61" s="1"/>
  <c r="XC161" i="2"/>
  <c r="L39" i="61" s="1"/>
  <c r="XC49" i="2"/>
  <c r="XC122" i="2"/>
  <c r="J38" i="61" s="1"/>
  <c r="XC315" i="2"/>
  <c r="T41" i="61" s="1"/>
  <c r="XC46" i="2"/>
  <c r="XC84" i="2"/>
  <c r="H38" i="61" s="1"/>
  <c r="XC384" i="2"/>
  <c r="X34" i="61" s="1"/>
  <c r="XC463" i="2"/>
  <c r="AB37" i="61" s="1"/>
  <c r="XC87" i="2"/>
  <c r="H41" i="61" s="1"/>
  <c r="XC157" i="2"/>
  <c r="L35" i="61" s="1"/>
  <c r="XC350" i="2"/>
  <c r="V38" i="61" s="1"/>
  <c r="XC42" i="2"/>
  <c r="XC156" i="2"/>
  <c r="L34" i="61" s="1"/>
  <c r="XB468" i="2"/>
  <c r="AA42" i="61" s="1"/>
  <c r="XB118" i="2"/>
  <c r="I34" i="61" s="1"/>
  <c r="XB240" i="2"/>
  <c r="O42" i="61" s="1"/>
  <c r="XB239" i="2"/>
  <c r="O41" i="61" s="1"/>
  <c r="XB385" i="2"/>
  <c r="W35" i="61" s="1"/>
  <c r="XB309" i="2"/>
  <c r="S35" i="61" s="1"/>
  <c r="XB462" i="2"/>
  <c r="AA36" i="61" s="1"/>
  <c r="XB46" i="2"/>
  <c r="E38" i="61" s="1"/>
  <c r="XB81" i="2"/>
  <c r="G35" i="61" s="1"/>
  <c r="XB198" i="2"/>
  <c r="M38" i="61" s="1"/>
  <c r="XB315" i="2"/>
  <c r="S41" i="61" s="1"/>
  <c r="XB391" i="2"/>
  <c r="W41" i="61" s="1"/>
  <c r="XB422" i="2"/>
  <c r="Y34" i="61" s="1"/>
  <c r="XB461" i="2"/>
  <c r="AA35" i="61" s="1"/>
  <c r="XC118" i="2"/>
  <c r="J34" i="61" s="1"/>
  <c r="XC200" i="2"/>
  <c r="N40" i="61" s="1"/>
  <c r="XB43" i="2"/>
  <c r="E35" i="61" s="1"/>
  <c r="XB122" i="2"/>
  <c r="I38" i="61" s="1"/>
  <c r="XB274" i="2"/>
  <c r="Q38" i="61" s="1"/>
  <c r="XB426" i="2"/>
  <c r="Y38" i="61" s="1"/>
  <c r="XB87" i="2"/>
  <c r="G41" i="61" s="1"/>
  <c r="XB233" i="2"/>
  <c r="O35" i="61" s="1"/>
  <c r="XB350" i="2"/>
  <c r="U38" i="61" s="1"/>
  <c r="XB83" i="2"/>
  <c r="G37" i="61" s="1"/>
  <c r="XB160" i="2"/>
  <c r="K38" i="61" s="1"/>
  <c r="XB201" i="2"/>
  <c r="M41" i="61" s="1"/>
  <c r="XB429" i="2"/>
  <c r="Y41" i="61" s="1"/>
  <c r="I12" i="35"/>
  <c r="XC275" i="2"/>
  <c r="R39" i="61" s="1"/>
  <c r="XB273" i="2"/>
  <c r="Q37" i="61" s="1"/>
  <c r="XB384" i="2"/>
  <c r="W34" i="61" s="1"/>
  <c r="XB389" i="2"/>
  <c r="W39" i="61" s="1"/>
  <c r="XB84" i="2"/>
  <c r="G38" i="61" s="1"/>
  <c r="XB236" i="2"/>
  <c r="O38" i="61" s="1"/>
  <c r="XB347" i="2"/>
  <c r="U35" i="61" s="1"/>
  <c r="XC316" i="2"/>
  <c r="T42" i="61" s="1"/>
  <c r="XC389" i="2"/>
  <c r="X39" i="61" s="1"/>
  <c r="XC83" i="2"/>
  <c r="H37" i="61" s="1"/>
  <c r="XC159" i="2"/>
  <c r="L37" i="61" s="1"/>
  <c r="XC235" i="2"/>
  <c r="P37" i="61" s="1"/>
  <c r="XC88" i="2"/>
  <c r="H42" i="61" s="1"/>
  <c r="XB352" i="2"/>
  <c r="U40" i="61" s="1"/>
  <c r="XC124" i="2"/>
  <c r="J40" i="61" s="1"/>
  <c r="XC194" i="2"/>
  <c r="N34" i="61" s="1"/>
  <c r="XC276" i="2"/>
  <c r="R40" i="61" s="1"/>
  <c r="XC270" i="2"/>
  <c r="R34" i="61" s="1"/>
  <c r="XC311" i="2"/>
  <c r="T37" i="61" s="1"/>
  <c r="XC352" i="2"/>
  <c r="V40" i="61" s="1"/>
  <c r="XC346" i="2"/>
  <c r="V34" i="61" s="1"/>
  <c r="XC387" i="2"/>
  <c r="X37" i="61" s="1"/>
  <c r="XC428" i="2"/>
  <c r="Z40" i="61" s="1"/>
  <c r="XC422" i="2"/>
  <c r="Z34" i="61" s="1"/>
  <c r="XC50" i="2"/>
  <c r="XC44" i="2"/>
  <c r="XC82" i="2"/>
  <c r="H36" i="61" s="1"/>
  <c r="XC123" i="2"/>
  <c r="J39" i="61" s="1"/>
  <c r="XC126" i="2"/>
  <c r="J42" i="61" s="1"/>
  <c r="XC158" i="2"/>
  <c r="L36" i="61" s="1"/>
  <c r="XC199" i="2"/>
  <c r="N39" i="61" s="1"/>
  <c r="XC202" i="2"/>
  <c r="N42" i="61" s="1"/>
  <c r="XC234" i="2"/>
  <c r="P36" i="61" s="1"/>
  <c r="XC278" i="2"/>
  <c r="R42" i="61" s="1"/>
  <c r="XC310" i="2"/>
  <c r="T36" i="61" s="1"/>
  <c r="XC351" i="2"/>
  <c r="V39" i="61" s="1"/>
  <c r="XC354" i="2"/>
  <c r="V42" i="61" s="1"/>
  <c r="XC386" i="2"/>
  <c r="X36" i="61" s="1"/>
  <c r="XC427" i="2"/>
  <c r="Z39" i="61" s="1"/>
  <c r="XC430" i="2"/>
  <c r="Z42" i="61" s="1"/>
  <c r="XC86" i="2"/>
  <c r="H40" i="61" s="1"/>
  <c r="XC80" i="2"/>
  <c r="H34" i="61" s="1"/>
  <c r="XC197" i="2"/>
  <c r="N37" i="61" s="1"/>
  <c r="XC238" i="2"/>
  <c r="P40" i="61" s="1"/>
  <c r="XC232" i="2"/>
  <c r="P34" i="61" s="1"/>
  <c r="XC273" i="2"/>
  <c r="R37" i="61" s="1"/>
  <c r="XC314" i="2"/>
  <c r="T40" i="61" s="1"/>
  <c r="XC308" i="2"/>
  <c r="T34" i="61" s="1"/>
  <c r="XB85" i="2"/>
  <c r="G39" i="61" s="1"/>
  <c r="XB88" i="2"/>
  <c r="G42" i="61" s="1"/>
  <c r="XB120" i="2"/>
  <c r="I36" i="61" s="1"/>
  <c r="XB161" i="2"/>
  <c r="K39" i="61" s="1"/>
  <c r="XB164" i="2"/>
  <c r="K42" i="61" s="1"/>
  <c r="XB196" i="2"/>
  <c r="M36" i="61" s="1"/>
  <c r="XB237" i="2"/>
  <c r="O39" i="61" s="1"/>
  <c r="XB272" i="2"/>
  <c r="Q36" i="61" s="1"/>
  <c r="XB316" i="2"/>
  <c r="S42" i="61" s="1"/>
  <c r="XB348" i="2"/>
  <c r="U36" i="61" s="1"/>
  <c r="XB392" i="2"/>
  <c r="W42" i="61" s="1"/>
  <c r="XB424" i="2"/>
  <c r="Y36" i="61" s="1"/>
  <c r="XB466" i="2"/>
  <c r="AA40" i="61" s="1"/>
  <c r="XB460" i="2"/>
  <c r="AA34" i="61" s="1"/>
  <c r="XB312" i="2"/>
  <c r="S38" i="61" s="1"/>
  <c r="XB353" i="2"/>
  <c r="U41" i="61" s="1"/>
  <c r="XC236" i="2"/>
  <c r="P38" i="61" s="1"/>
  <c r="XB45" i="2"/>
  <c r="E37" i="61" s="1"/>
  <c r="XB124" i="2"/>
  <c r="I40" i="61" s="1"/>
  <c r="XB159" i="2"/>
  <c r="K37" i="61" s="1"/>
  <c r="XB200" i="2"/>
  <c r="M40" i="61" s="1"/>
  <c r="XB194" i="2"/>
  <c r="M34" i="61" s="1"/>
  <c r="XB235" i="2"/>
  <c r="O37" i="61" s="1"/>
  <c r="XB276" i="2"/>
  <c r="Q40" i="61" s="1"/>
  <c r="XB270" i="2"/>
  <c r="Q34" i="61" s="1"/>
  <c r="XB311" i="2"/>
  <c r="S37" i="61" s="1"/>
  <c r="XB346" i="2"/>
  <c r="U34" i="61" s="1"/>
  <c r="XB387" i="2"/>
  <c r="W37" i="61" s="1"/>
  <c r="XB428" i="2"/>
  <c r="Y40" i="61" s="1"/>
  <c r="XB464" i="2"/>
  <c r="AA38" i="61" s="1"/>
  <c r="XB465" i="2"/>
  <c r="AA39" i="61" s="1"/>
  <c r="XB42" i="2"/>
  <c r="E34" i="61" s="1"/>
  <c r="XB86" i="2"/>
  <c r="G40" i="61" s="1"/>
  <c r="XB80" i="2"/>
  <c r="G34" i="61" s="1"/>
  <c r="XB121" i="2"/>
  <c r="I37" i="61" s="1"/>
  <c r="XB162" i="2"/>
  <c r="K40" i="61" s="1"/>
  <c r="XB156" i="2"/>
  <c r="K34" i="61" s="1"/>
  <c r="XB238" i="2"/>
  <c r="O40" i="61" s="1"/>
  <c r="XB314" i="2"/>
  <c r="S40" i="61" s="1"/>
  <c r="XB308" i="2"/>
  <c r="S34" i="61" s="1"/>
  <c r="XB349" i="2"/>
  <c r="U37" i="61" s="1"/>
  <c r="XB390" i="2"/>
  <c r="W40" i="61" s="1"/>
  <c r="XB425" i="2"/>
  <c r="Y37" i="61" s="1"/>
  <c r="XB467" i="2"/>
  <c r="AA41" i="61" s="1"/>
  <c r="XC85" i="2"/>
  <c r="H39" i="61" s="1"/>
  <c r="XC120" i="2"/>
  <c r="J36" i="61" s="1"/>
  <c r="XC237" i="2"/>
  <c r="P39" i="61" s="1"/>
  <c r="XC240" i="2"/>
  <c r="P42" i="61" s="1"/>
  <c r="XC272" i="2"/>
  <c r="R36" i="61" s="1"/>
  <c r="XC313" i="2"/>
  <c r="T39" i="61" s="1"/>
  <c r="XC392" i="2"/>
  <c r="X42" i="61" s="1"/>
  <c r="XC424" i="2"/>
  <c r="Z36" i="61" s="1"/>
  <c r="XC48" i="2"/>
  <c r="XC162" i="2"/>
  <c r="L40" i="61" s="1"/>
  <c r="XC312" i="2"/>
  <c r="T38" i="61" s="1"/>
  <c r="XC353" i="2"/>
  <c r="V41" i="61" s="1"/>
  <c r="XC426" i="2"/>
  <c r="Z38" i="61" s="1"/>
  <c r="XC125" i="2"/>
  <c r="J41" i="61" s="1"/>
  <c r="XC119" i="2"/>
  <c r="J35" i="61" s="1"/>
  <c r="XC160" i="2"/>
  <c r="L38" i="61" s="1"/>
  <c r="XC347" i="2"/>
  <c r="V35" i="61" s="1"/>
  <c r="XB119" i="2"/>
  <c r="I35" i="61" s="1"/>
  <c r="XB195" i="2"/>
  <c r="M35" i="61" s="1"/>
  <c r="XC467" i="2"/>
  <c r="AB41" i="61" s="1"/>
  <c r="XC239" i="2"/>
  <c r="P41" i="61" s="1"/>
  <c r="XC429" i="2"/>
  <c r="Z41" i="61" s="1"/>
  <c r="XC461" i="2"/>
  <c r="AB35" i="61" s="1"/>
  <c r="XC47" i="2"/>
  <c r="XC348" i="2"/>
  <c r="V36" i="61" s="1"/>
  <c r="XC201" i="2"/>
  <c r="N41" i="61" s="1"/>
  <c r="XC195" i="2"/>
  <c r="N35" i="61" s="1"/>
  <c r="XC277" i="2"/>
  <c r="R41" i="61" s="1"/>
  <c r="XC271" i="2"/>
  <c r="R35" i="61" s="1"/>
  <c r="XC465" i="2"/>
  <c r="AB39" i="61" s="1"/>
  <c r="XC423" i="2"/>
  <c r="Z35" i="61" s="1"/>
  <c r="XC464" i="2"/>
  <c r="AB38" i="61" s="1"/>
  <c r="XB277" i="2"/>
  <c r="Q41" i="61" s="1"/>
  <c r="XB271" i="2"/>
  <c r="Q35" i="61" s="1"/>
  <c r="XB388" i="2"/>
  <c r="W38" i="61" s="1"/>
  <c r="XB423" i="2"/>
  <c r="Y35" i="61" s="1"/>
  <c r="XC233" i="2"/>
  <c r="P35" i="61" s="1"/>
  <c r="XC385" i="2"/>
  <c r="X35" i="61" s="1"/>
  <c r="XC388" i="2"/>
  <c r="X38" i="61" s="1"/>
  <c r="XC391" i="2"/>
  <c r="X41" i="61" s="1"/>
  <c r="H12" i="35"/>
  <c r="BT5" i="47"/>
  <c r="BX5" i="47"/>
  <c r="BR5" i="47"/>
  <c r="BL5" i="47"/>
  <c r="BN5" i="47"/>
  <c r="BV5" i="47"/>
  <c r="B35" i="46"/>
  <c r="B36" i="46"/>
  <c r="B37" i="46"/>
  <c r="B38" i="46"/>
  <c r="B39" i="46"/>
  <c r="B40" i="46"/>
  <c r="B41" i="46"/>
  <c r="B42" i="46"/>
  <c r="B43" i="46"/>
  <c r="B44" i="46"/>
  <c r="BN45" i="71"/>
  <c r="W45" i="71"/>
  <c r="YA49" i="2" l="1"/>
  <c r="YA42" i="2"/>
  <c r="YA50" i="2"/>
  <c r="YA47" i="2"/>
  <c r="YA44" i="2"/>
  <c r="YA48" i="2"/>
  <c r="YA45" i="2"/>
  <c r="YA46" i="2"/>
  <c r="YA43" i="2"/>
  <c r="XR48" i="2"/>
  <c r="XR50" i="2"/>
  <c r="XR49" i="2"/>
  <c r="XR45" i="2"/>
  <c r="XR43" i="2"/>
  <c r="XR47" i="2"/>
  <c r="F37" i="61"/>
  <c r="D37" i="61" s="1"/>
  <c r="XR46" i="2"/>
  <c r="F40" i="61"/>
  <c r="D40" i="61" s="1"/>
  <c r="F34" i="61"/>
  <c r="D34" i="61" s="1"/>
  <c r="F38" i="61"/>
  <c r="D38" i="61" s="1"/>
  <c r="F41" i="61"/>
  <c r="D41" i="61" s="1"/>
  <c r="XR42" i="2"/>
  <c r="XR44" i="2"/>
  <c r="F39" i="61"/>
  <c r="D39" i="61" s="1"/>
  <c r="F35" i="61"/>
  <c r="D35" i="61" s="1"/>
  <c r="F36" i="61"/>
  <c r="D36" i="61" s="1"/>
  <c r="F42" i="61"/>
  <c r="D42" i="61" s="1"/>
  <c r="XR161" i="2"/>
  <c r="XR157" i="2"/>
  <c r="XR239" i="2"/>
  <c r="XR384" i="2"/>
  <c r="XR271" i="2"/>
  <c r="XR85" i="2"/>
  <c r="XR272" i="2"/>
  <c r="XR430" i="2"/>
  <c r="XR351" i="2"/>
  <c r="XR236" i="2"/>
  <c r="XR423" i="2"/>
  <c r="XR278" i="2"/>
  <c r="XR424" i="2"/>
  <c r="XR387" i="2"/>
  <c r="XR201" i="2"/>
  <c r="XR237" i="2"/>
  <c r="XR389" i="2"/>
  <c r="XR390" i="2"/>
  <c r="XR308" i="2"/>
  <c r="XR315" i="2"/>
  <c r="XR461" i="2"/>
  <c r="XR426" i="2"/>
  <c r="XR466" i="2"/>
  <c r="XR353" i="2"/>
  <c r="XR310" i="2"/>
  <c r="XR462" i="2"/>
  <c r="XR311" i="2"/>
  <c r="XR316" i="2"/>
  <c r="XR460" i="2"/>
  <c r="XR235" i="2"/>
  <c r="XR274" i="2"/>
  <c r="XR195" i="2"/>
  <c r="XR429" i="2"/>
  <c r="XR348" i="2"/>
  <c r="XR197" i="2"/>
  <c r="XR425" i="2"/>
  <c r="XR276" i="2"/>
  <c r="XR125" i="2"/>
  <c r="XR199" i="2"/>
  <c r="XR464" i="2"/>
  <c r="XR194" i="2"/>
  <c r="XR428" i="2"/>
  <c r="XR238" i="2"/>
  <c r="XR277" i="2"/>
  <c r="XR354" i="2"/>
  <c r="XR346" i="2"/>
  <c r="XR313" i="2"/>
  <c r="XR158" i="2"/>
  <c r="XR270" i="2"/>
  <c r="XR467" i="2"/>
  <c r="XR309" i="2"/>
  <c r="XR349" i="2"/>
  <c r="XR427" i="2"/>
  <c r="XR388" i="2"/>
  <c r="XR202" i="2"/>
  <c r="XR80" i="2"/>
  <c r="XR234" i="2"/>
  <c r="XR386" i="2"/>
  <c r="XR347" i="2"/>
  <c r="XR240" i="2"/>
  <c r="XR392" i="2"/>
  <c r="XR273" i="2"/>
  <c r="C38" i="61"/>
  <c r="C39" i="61"/>
  <c r="C40" i="61"/>
  <c r="C37" i="61"/>
  <c r="C34" i="61"/>
  <c r="C35" i="61"/>
  <c r="C41" i="61"/>
  <c r="C36" i="61"/>
  <c r="C42" i="61"/>
  <c r="XE160" i="2"/>
  <c r="XE119" i="2"/>
  <c r="XE161" i="2"/>
  <c r="XE88" i="2"/>
  <c r="XE86" i="2"/>
  <c r="XF164" i="2"/>
  <c r="XR164" i="2" s="1"/>
  <c r="XF119" i="2"/>
  <c r="XE87" i="2"/>
  <c r="XE125" i="2"/>
  <c r="XE122" i="2"/>
  <c r="XF120" i="2"/>
  <c r="XF163" i="2"/>
  <c r="XF125" i="2"/>
  <c r="XF45" i="2"/>
  <c r="XE164" i="2"/>
  <c r="XE159" i="2"/>
  <c r="XF124" i="2"/>
  <c r="XR124" i="2" s="1"/>
  <c r="XE123" i="2"/>
  <c r="XF88" i="2"/>
  <c r="XE124" i="2"/>
  <c r="XF85" i="2"/>
  <c r="XF87" i="2"/>
  <c r="XR87" i="2" s="1"/>
  <c r="XF162" i="2"/>
  <c r="XE120" i="2"/>
  <c r="XF82" i="2"/>
  <c r="XF118" i="2"/>
  <c r="XE118" i="2"/>
  <c r="XE85" i="2"/>
  <c r="XF158" i="2"/>
  <c r="XF156" i="2"/>
  <c r="XF160" i="2"/>
  <c r="XE50" i="2"/>
  <c r="XF83" i="2"/>
  <c r="XE156" i="2"/>
  <c r="XE163" i="2"/>
  <c r="XE157" i="2"/>
  <c r="XF80" i="2"/>
  <c r="XE82" i="2"/>
  <c r="XF157" i="2"/>
  <c r="XF84" i="2"/>
  <c r="XF86" i="2"/>
  <c r="XE80" i="2"/>
  <c r="XE83" i="2"/>
  <c r="XE121" i="2"/>
  <c r="XE84" i="2"/>
  <c r="XF46" i="2"/>
  <c r="XF122" i="2"/>
  <c r="XF47" i="2"/>
  <c r="XE126" i="2"/>
  <c r="XE162" i="2"/>
  <c r="XF121" i="2"/>
  <c r="XF126" i="2"/>
  <c r="XR126" i="2" s="1"/>
  <c r="XF159" i="2"/>
  <c r="XF161" i="2"/>
  <c r="XF123" i="2"/>
  <c r="XF81" i="2"/>
  <c r="XR81" i="2" s="1"/>
  <c r="XE81" i="2"/>
  <c r="XE158" i="2"/>
  <c r="XF43" i="2"/>
  <c r="XE47" i="2"/>
  <c r="XE45" i="2"/>
  <c r="XF48" i="2"/>
  <c r="XF49" i="2"/>
  <c r="XE46" i="2"/>
  <c r="XE42" i="2"/>
  <c r="XE49" i="2"/>
  <c r="XF44" i="2"/>
  <c r="XE44" i="2"/>
  <c r="XF50" i="2"/>
  <c r="XE43" i="2"/>
  <c r="XF42" i="2"/>
  <c r="XE48" i="2"/>
  <c r="B44" i="70"/>
  <c r="B43" i="70"/>
  <c r="B42" i="70"/>
  <c r="B41" i="70"/>
  <c r="B40" i="70"/>
  <c r="B39" i="70"/>
  <c r="B38" i="70"/>
  <c r="B37" i="70"/>
  <c r="B36" i="70"/>
  <c r="B35" i="70"/>
  <c r="B34" i="70"/>
  <c r="B33" i="70"/>
  <c r="B32" i="70"/>
  <c r="B31" i="70"/>
  <c r="B30" i="70"/>
  <c r="B29" i="70"/>
  <c r="B28" i="70"/>
  <c r="B27" i="70"/>
  <c r="B26" i="70"/>
  <c r="B25" i="70"/>
  <c r="B24" i="70"/>
  <c r="B23" i="70"/>
  <c r="B22" i="70"/>
  <c r="B21" i="70"/>
  <c r="B20" i="70"/>
  <c r="B19" i="70"/>
  <c r="B18" i="70"/>
  <c r="B17" i="70"/>
  <c r="B16" i="70"/>
  <c r="B15" i="70"/>
  <c r="B14" i="70"/>
  <c r="B13" i="70"/>
  <c r="B12" i="70"/>
  <c r="B11" i="70"/>
  <c r="B10" i="70"/>
  <c r="B9" i="70"/>
  <c r="B8" i="70"/>
  <c r="BJ7" i="44"/>
  <c r="BK7" i="44"/>
  <c r="BL7" i="44"/>
  <c r="R11" i="45" s="1"/>
  <c r="BM7" i="44"/>
  <c r="R59" i="45" s="1"/>
  <c r="BN7" i="44"/>
  <c r="BO7" i="44"/>
  <c r="BP7" i="44"/>
  <c r="BQ7" i="44"/>
  <c r="BR7" i="44"/>
  <c r="BS7" i="44"/>
  <c r="BT7" i="44"/>
  <c r="T11" i="45" s="1"/>
  <c r="BU7" i="44"/>
  <c r="T59" i="45" s="1"/>
  <c r="BV7" i="44"/>
  <c r="BW7" i="44"/>
  <c r="BX7" i="44"/>
  <c r="BY7" i="44"/>
  <c r="BJ8" i="44"/>
  <c r="BK8" i="44"/>
  <c r="BL8" i="44"/>
  <c r="R12" i="45" s="1"/>
  <c r="BM8" i="44"/>
  <c r="R60" i="45" s="1"/>
  <c r="BN8" i="44"/>
  <c r="BO8" i="44"/>
  <c r="BP8" i="44"/>
  <c r="BQ8" i="44"/>
  <c r="BR8" i="44"/>
  <c r="BS8" i="44"/>
  <c r="BT8" i="44"/>
  <c r="T12" i="45" s="1"/>
  <c r="BU8" i="44"/>
  <c r="T60" i="45" s="1"/>
  <c r="BV8" i="44"/>
  <c r="BW8" i="44"/>
  <c r="BX8" i="44"/>
  <c r="BY8" i="44"/>
  <c r="BJ9" i="44"/>
  <c r="BK9" i="44"/>
  <c r="BL9" i="44"/>
  <c r="R13" i="45" s="1"/>
  <c r="BM9" i="44"/>
  <c r="R61" i="45" s="1"/>
  <c r="BN9" i="44"/>
  <c r="BO9" i="44"/>
  <c r="BP9" i="44"/>
  <c r="BQ9" i="44"/>
  <c r="BR9" i="44"/>
  <c r="BS9" i="44"/>
  <c r="BT9" i="44"/>
  <c r="T13" i="45" s="1"/>
  <c r="BU9" i="44"/>
  <c r="T61" i="45" s="1"/>
  <c r="BV9" i="44"/>
  <c r="BW9" i="44"/>
  <c r="BX9" i="44"/>
  <c r="BY9" i="44"/>
  <c r="BJ10" i="44"/>
  <c r="BK10" i="44"/>
  <c r="BL10" i="44"/>
  <c r="R14" i="45" s="1"/>
  <c r="BM10" i="44"/>
  <c r="R62" i="45" s="1"/>
  <c r="BN10" i="44"/>
  <c r="BO10" i="44"/>
  <c r="BP10" i="44"/>
  <c r="BQ10" i="44"/>
  <c r="BR10" i="44"/>
  <c r="BS10" i="44"/>
  <c r="BT10" i="44"/>
  <c r="T14" i="45" s="1"/>
  <c r="BU10" i="44"/>
  <c r="T62" i="45" s="1"/>
  <c r="BV10" i="44"/>
  <c r="BW10" i="44"/>
  <c r="BX10" i="44"/>
  <c r="BY10" i="44"/>
  <c r="BJ12" i="44"/>
  <c r="BK12" i="44"/>
  <c r="BL12" i="44"/>
  <c r="R16" i="45" s="1"/>
  <c r="BM12" i="44"/>
  <c r="R64" i="45" s="1"/>
  <c r="BN12" i="44"/>
  <c r="BO12" i="44"/>
  <c r="BP12" i="44"/>
  <c r="BQ12" i="44"/>
  <c r="BR12" i="44"/>
  <c r="BS12" i="44"/>
  <c r="BT12" i="44"/>
  <c r="T16" i="45" s="1"/>
  <c r="BU12" i="44"/>
  <c r="T64" i="45" s="1"/>
  <c r="BV12" i="44"/>
  <c r="BW12" i="44"/>
  <c r="BX12" i="44"/>
  <c r="BY12" i="44"/>
  <c r="BJ13" i="44"/>
  <c r="BK13" i="44"/>
  <c r="BL13" i="44"/>
  <c r="R17" i="45" s="1"/>
  <c r="BM13" i="44"/>
  <c r="R65" i="45" s="1"/>
  <c r="BN13" i="44"/>
  <c r="BO13" i="44"/>
  <c r="BP13" i="44"/>
  <c r="BQ13" i="44"/>
  <c r="BR13" i="44"/>
  <c r="BS13" i="44"/>
  <c r="BT13" i="44"/>
  <c r="T17" i="45" s="1"/>
  <c r="BU13" i="44"/>
  <c r="T65" i="45" s="1"/>
  <c r="BV13" i="44"/>
  <c r="BW13" i="44"/>
  <c r="BX13" i="44"/>
  <c r="BY13" i="44"/>
  <c r="BJ14" i="44"/>
  <c r="BK14" i="44"/>
  <c r="BL14" i="44"/>
  <c r="R18" i="45" s="1"/>
  <c r="BM14" i="44"/>
  <c r="R66" i="45" s="1"/>
  <c r="BN14" i="44"/>
  <c r="BO14" i="44"/>
  <c r="BP14" i="44"/>
  <c r="BQ14" i="44"/>
  <c r="BR14" i="44"/>
  <c r="BS14" i="44"/>
  <c r="BT14" i="44"/>
  <c r="T18" i="45" s="1"/>
  <c r="BU14" i="44"/>
  <c r="T66" i="45" s="1"/>
  <c r="BV14" i="44"/>
  <c r="BW14" i="44"/>
  <c r="BX14" i="44"/>
  <c r="BY14" i="44"/>
  <c r="BJ15" i="44"/>
  <c r="BK15" i="44"/>
  <c r="BL15" i="44"/>
  <c r="R19" i="45" s="1"/>
  <c r="BM15" i="44"/>
  <c r="R67" i="45" s="1"/>
  <c r="BN15" i="44"/>
  <c r="BO15" i="44"/>
  <c r="BP15" i="44"/>
  <c r="BQ15" i="44"/>
  <c r="BR15" i="44"/>
  <c r="BS15" i="44"/>
  <c r="BT15" i="44"/>
  <c r="T19" i="45" s="1"/>
  <c r="BU15" i="44"/>
  <c r="T67" i="45" s="1"/>
  <c r="BV15" i="44"/>
  <c r="BW15" i="44"/>
  <c r="BX15" i="44"/>
  <c r="BY15" i="44"/>
  <c r="BJ16" i="44"/>
  <c r="BK16" i="44"/>
  <c r="BL16" i="44"/>
  <c r="R20" i="45" s="1"/>
  <c r="BM16" i="44"/>
  <c r="R68" i="45" s="1"/>
  <c r="BN16" i="44"/>
  <c r="BO16" i="44"/>
  <c r="BP16" i="44"/>
  <c r="BQ16" i="44"/>
  <c r="BR16" i="44"/>
  <c r="BS16" i="44"/>
  <c r="BT16" i="44"/>
  <c r="T20" i="45" s="1"/>
  <c r="BU16" i="44"/>
  <c r="T68" i="45" s="1"/>
  <c r="BV16" i="44"/>
  <c r="BW16" i="44"/>
  <c r="BX16" i="44"/>
  <c r="BY16" i="44"/>
  <c r="BJ17" i="44"/>
  <c r="BK17" i="44"/>
  <c r="BL17" i="44"/>
  <c r="R21" i="45" s="1"/>
  <c r="BM17" i="44"/>
  <c r="R69" i="45" s="1"/>
  <c r="BN17" i="44"/>
  <c r="BO17" i="44"/>
  <c r="BP17" i="44"/>
  <c r="BQ17" i="44"/>
  <c r="BR17" i="44"/>
  <c r="BS17" i="44"/>
  <c r="BT17" i="44"/>
  <c r="T21" i="45" s="1"/>
  <c r="BU17" i="44"/>
  <c r="T69" i="45" s="1"/>
  <c r="BV17" i="44"/>
  <c r="BW17" i="44"/>
  <c r="BX17" i="44"/>
  <c r="BY17" i="44"/>
  <c r="BJ18" i="44"/>
  <c r="BK18" i="44"/>
  <c r="BL18" i="44"/>
  <c r="R22" i="45" s="1"/>
  <c r="BM18" i="44"/>
  <c r="R70" i="45" s="1"/>
  <c r="BN18" i="44"/>
  <c r="BO18" i="44"/>
  <c r="BP18" i="44"/>
  <c r="BQ18" i="44"/>
  <c r="BR18" i="44"/>
  <c r="BS18" i="44"/>
  <c r="BT18" i="44"/>
  <c r="T22" i="45" s="1"/>
  <c r="BU18" i="44"/>
  <c r="T70" i="45" s="1"/>
  <c r="BV18" i="44"/>
  <c r="BW18" i="44"/>
  <c r="BX18" i="44"/>
  <c r="BY18" i="44"/>
  <c r="BJ19" i="44"/>
  <c r="BK19" i="44"/>
  <c r="BL19" i="44"/>
  <c r="R23" i="45" s="1"/>
  <c r="BM19" i="44"/>
  <c r="R71" i="45" s="1"/>
  <c r="BN19" i="44"/>
  <c r="BO19" i="44"/>
  <c r="BP19" i="44"/>
  <c r="BQ19" i="44"/>
  <c r="BR19" i="44"/>
  <c r="BS19" i="44"/>
  <c r="BT19" i="44"/>
  <c r="T23" i="45" s="1"/>
  <c r="BU19" i="44"/>
  <c r="T71" i="45" s="1"/>
  <c r="BV19" i="44"/>
  <c r="BW19" i="44"/>
  <c r="BX19" i="44"/>
  <c r="BY19" i="44"/>
  <c r="BJ20" i="44"/>
  <c r="BK20" i="44"/>
  <c r="BL20" i="44"/>
  <c r="R24" i="45" s="1"/>
  <c r="BM20" i="44"/>
  <c r="R72" i="45" s="1"/>
  <c r="BN20" i="44"/>
  <c r="BO20" i="44"/>
  <c r="BP20" i="44"/>
  <c r="BQ20" i="44"/>
  <c r="BR20" i="44"/>
  <c r="BS20" i="44"/>
  <c r="BT20" i="44"/>
  <c r="T24" i="45" s="1"/>
  <c r="BU20" i="44"/>
  <c r="T72" i="45" s="1"/>
  <c r="BV20" i="44"/>
  <c r="BW20" i="44"/>
  <c r="BX20" i="44"/>
  <c r="BY20" i="44"/>
  <c r="BJ21" i="44"/>
  <c r="BK21" i="44"/>
  <c r="BL21" i="44"/>
  <c r="R25" i="45" s="1"/>
  <c r="BM21" i="44"/>
  <c r="R73" i="45" s="1"/>
  <c r="BN21" i="44"/>
  <c r="BO21" i="44"/>
  <c r="BP21" i="44"/>
  <c r="BQ21" i="44"/>
  <c r="BR21" i="44"/>
  <c r="BS21" i="44"/>
  <c r="BT21" i="44"/>
  <c r="T25" i="45" s="1"/>
  <c r="BU21" i="44"/>
  <c r="T73" i="45" s="1"/>
  <c r="BV21" i="44"/>
  <c r="BW21" i="44"/>
  <c r="BX21" i="44"/>
  <c r="BY21" i="44"/>
  <c r="BJ22" i="44"/>
  <c r="BK22" i="44"/>
  <c r="BL22" i="44"/>
  <c r="R26" i="45" s="1"/>
  <c r="BM22" i="44"/>
  <c r="R74" i="45" s="1"/>
  <c r="BN22" i="44"/>
  <c r="BO22" i="44"/>
  <c r="BP22" i="44"/>
  <c r="BQ22" i="44"/>
  <c r="BR22" i="44"/>
  <c r="BS22" i="44"/>
  <c r="BT22" i="44"/>
  <c r="T26" i="45" s="1"/>
  <c r="BU22" i="44"/>
  <c r="T74" i="45" s="1"/>
  <c r="BV22" i="44"/>
  <c r="BW22" i="44"/>
  <c r="BX22" i="44"/>
  <c r="BY22" i="44"/>
  <c r="BJ23" i="44"/>
  <c r="BK23" i="44"/>
  <c r="BL23" i="44"/>
  <c r="R27" i="45" s="1"/>
  <c r="BM23" i="44"/>
  <c r="R75" i="45" s="1"/>
  <c r="BN23" i="44"/>
  <c r="BO23" i="44"/>
  <c r="BP23" i="44"/>
  <c r="BQ23" i="44"/>
  <c r="BR23" i="44"/>
  <c r="BS23" i="44"/>
  <c r="BT23" i="44"/>
  <c r="T27" i="45" s="1"/>
  <c r="BU23" i="44"/>
  <c r="T75" i="45" s="1"/>
  <c r="BV23" i="44"/>
  <c r="BW23" i="44"/>
  <c r="BX23" i="44"/>
  <c r="BY23" i="44"/>
  <c r="BJ24" i="44"/>
  <c r="BK24" i="44"/>
  <c r="BL24" i="44"/>
  <c r="R28" i="45" s="1"/>
  <c r="BM24" i="44"/>
  <c r="R76" i="45" s="1"/>
  <c r="BN24" i="44"/>
  <c r="BO24" i="44"/>
  <c r="BP24" i="44"/>
  <c r="BQ24" i="44"/>
  <c r="BR24" i="44"/>
  <c r="BS24" i="44"/>
  <c r="BT24" i="44"/>
  <c r="T28" i="45" s="1"/>
  <c r="BU24" i="44"/>
  <c r="T76" i="45" s="1"/>
  <c r="BV24" i="44"/>
  <c r="BW24" i="44"/>
  <c r="BX24" i="44"/>
  <c r="BY24" i="44"/>
  <c r="BJ25" i="44"/>
  <c r="BK25" i="44"/>
  <c r="BL25" i="44"/>
  <c r="R29" i="45" s="1"/>
  <c r="BM25" i="44"/>
  <c r="R77" i="45" s="1"/>
  <c r="BN25" i="44"/>
  <c r="BO25" i="44"/>
  <c r="BP25" i="44"/>
  <c r="BQ25" i="44"/>
  <c r="BR25" i="44"/>
  <c r="BS25" i="44"/>
  <c r="BT25" i="44"/>
  <c r="T29" i="45" s="1"/>
  <c r="BU25" i="44"/>
  <c r="T77" i="45" s="1"/>
  <c r="BV25" i="44"/>
  <c r="BW25" i="44"/>
  <c r="BX25" i="44"/>
  <c r="BY25" i="44"/>
  <c r="BJ26" i="44"/>
  <c r="BK26" i="44"/>
  <c r="BL26" i="44"/>
  <c r="R30" i="45" s="1"/>
  <c r="BM26" i="44"/>
  <c r="R78" i="45" s="1"/>
  <c r="BN26" i="44"/>
  <c r="BO26" i="44"/>
  <c r="BP26" i="44"/>
  <c r="BQ26" i="44"/>
  <c r="BR26" i="44"/>
  <c r="BS26" i="44"/>
  <c r="BT26" i="44"/>
  <c r="T30" i="45" s="1"/>
  <c r="BU26" i="44"/>
  <c r="T78" i="45" s="1"/>
  <c r="BV26" i="44"/>
  <c r="BW26" i="44"/>
  <c r="BX26" i="44"/>
  <c r="BY26" i="44"/>
  <c r="BJ28" i="44"/>
  <c r="BK28" i="44"/>
  <c r="BL28" i="44"/>
  <c r="R32" i="45" s="1"/>
  <c r="BM28" i="44"/>
  <c r="R80" i="45" s="1"/>
  <c r="BN28" i="44"/>
  <c r="BO28" i="44"/>
  <c r="BR28" i="44"/>
  <c r="BS28" i="44"/>
  <c r="BT28" i="44"/>
  <c r="T32" i="45" s="1"/>
  <c r="BU28" i="44"/>
  <c r="T80" i="45" s="1"/>
  <c r="BV28" i="44"/>
  <c r="BW28" i="44"/>
  <c r="BX28" i="44"/>
  <c r="BY28" i="44"/>
  <c r="BJ29" i="44"/>
  <c r="BK29" i="44"/>
  <c r="BL29" i="44"/>
  <c r="R33" i="45" s="1"/>
  <c r="BM29" i="44"/>
  <c r="R81" i="45" s="1"/>
  <c r="BN29" i="44"/>
  <c r="BO29" i="44"/>
  <c r="BP29" i="44"/>
  <c r="BQ29" i="44"/>
  <c r="BR29" i="44"/>
  <c r="BS29" i="44"/>
  <c r="BT29" i="44"/>
  <c r="T33" i="45" s="1"/>
  <c r="BU29" i="44"/>
  <c r="T81" i="45" s="1"/>
  <c r="BX29" i="44"/>
  <c r="BY29" i="44"/>
  <c r="BJ30" i="44"/>
  <c r="BK30" i="44"/>
  <c r="BL30" i="44"/>
  <c r="R34" i="45" s="1"/>
  <c r="BM30" i="44"/>
  <c r="R82" i="45" s="1"/>
  <c r="BN30" i="44"/>
  <c r="BO30" i="44"/>
  <c r="BP30" i="44"/>
  <c r="BQ30" i="44"/>
  <c r="BR30" i="44"/>
  <c r="BS30" i="44"/>
  <c r="BT30" i="44"/>
  <c r="T34" i="45" s="1"/>
  <c r="BU30" i="44"/>
  <c r="T82" i="45" s="1"/>
  <c r="BV30" i="44"/>
  <c r="BW30" i="44"/>
  <c r="BX30" i="44"/>
  <c r="BY30" i="44"/>
  <c r="BJ31" i="44"/>
  <c r="BK31" i="44"/>
  <c r="BL31" i="44"/>
  <c r="R35" i="45" s="1"/>
  <c r="BM31" i="44"/>
  <c r="R83" i="45" s="1"/>
  <c r="BN31" i="44"/>
  <c r="BO31" i="44"/>
  <c r="BP31" i="44"/>
  <c r="BQ31" i="44"/>
  <c r="BR31" i="44"/>
  <c r="BS31" i="44"/>
  <c r="BT31" i="44"/>
  <c r="T35" i="45" s="1"/>
  <c r="BU31" i="44"/>
  <c r="T83" i="45" s="1"/>
  <c r="BV31" i="44"/>
  <c r="BW31" i="44"/>
  <c r="BX31" i="44"/>
  <c r="BY31" i="44"/>
  <c r="BJ32" i="44"/>
  <c r="BK32" i="44"/>
  <c r="BL32" i="44"/>
  <c r="R36" i="45" s="1"/>
  <c r="BM32" i="44"/>
  <c r="R84" i="45" s="1"/>
  <c r="BN32" i="44"/>
  <c r="BO32" i="44"/>
  <c r="BP32" i="44"/>
  <c r="BQ32" i="44"/>
  <c r="BR32" i="44"/>
  <c r="BS32" i="44"/>
  <c r="BT32" i="44"/>
  <c r="T36" i="45" s="1"/>
  <c r="BU32" i="44"/>
  <c r="T84" i="45" s="1"/>
  <c r="BV32" i="44"/>
  <c r="BW32" i="44"/>
  <c r="BX32" i="44"/>
  <c r="BY32" i="44"/>
  <c r="BJ33" i="44"/>
  <c r="BK33" i="44"/>
  <c r="BL33" i="44"/>
  <c r="R37" i="45" s="1"/>
  <c r="BM33" i="44"/>
  <c r="R85" i="45" s="1"/>
  <c r="BN33" i="44"/>
  <c r="BO33" i="44"/>
  <c r="BP33" i="44"/>
  <c r="BQ33" i="44"/>
  <c r="BR33" i="44"/>
  <c r="BS33" i="44"/>
  <c r="BT33" i="44"/>
  <c r="T37" i="45" s="1"/>
  <c r="BU33" i="44"/>
  <c r="T85" i="45" s="1"/>
  <c r="BV33" i="44"/>
  <c r="BW33" i="44"/>
  <c r="BX33" i="44"/>
  <c r="BY33" i="44"/>
  <c r="BJ34" i="44"/>
  <c r="BK34" i="44"/>
  <c r="BL34" i="44"/>
  <c r="R38" i="45" s="1"/>
  <c r="BM34" i="44"/>
  <c r="R86" i="45" s="1"/>
  <c r="BN34" i="44"/>
  <c r="BO34" i="44"/>
  <c r="BP34" i="44"/>
  <c r="BQ34" i="44"/>
  <c r="BR34" i="44"/>
  <c r="BS34" i="44"/>
  <c r="BT34" i="44"/>
  <c r="T38" i="45" s="1"/>
  <c r="BU34" i="44"/>
  <c r="T86" i="45" s="1"/>
  <c r="BV34" i="44"/>
  <c r="BW34" i="44"/>
  <c r="BX34" i="44"/>
  <c r="BY34" i="44"/>
  <c r="BJ35" i="44"/>
  <c r="BK35" i="44"/>
  <c r="BL35" i="44"/>
  <c r="R39" i="45" s="1"/>
  <c r="BM35" i="44"/>
  <c r="R87" i="45" s="1"/>
  <c r="BN35" i="44"/>
  <c r="BO35" i="44"/>
  <c r="BP35" i="44"/>
  <c r="BQ35" i="44"/>
  <c r="BR35" i="44"/>
  <c r="BS35" i="44"/>
  <c r="BT35" i="44"/>
  <c r="T39" i="45" s="1"/>
  <c r="BU35" i="44"/>
  <c r="T87" i="45" s="1"/>
  <c r="BV35" i="44"/>
  <c r="BW35" i="44"/>
  <c r="BX35" i="44"/>
  <c r="BY35" i="44"/>
  <c r="BJ36" i="44"/>
  <c r="BK36" i="44"/>
  <c r="BL36" i="44"/>
  <c r="R40" i="45" s="1"/>
  <c r="BM36" i="44"/>
  <c r="R88" i="45" s="1"/>
  <c r="BN36" i="44"/>
  <c r="BO36" i="44"/>
  <c r="BP36" i="44"/>
  <c r="BQ36" i="44"/>
  <c r="BR36" i="44"/>
  <c r="BS36" i="44"/>
  <c r="BT36" i="44"/>
  <c r="T40" i="45" s="1"/>
  <c r="BU36" i="44"/>
  <c r="T88" i="45" s="1"/>
  <c r="BV36" i="44"/>
  <c r="BW36" i="44"/>
  <c r="BX36" i="44"/>
  <c r="BY36" i="44"/>
  <c r="BJ37" i="44"/>
  <c r="BK37" i="44"/>
  <c r="BL37" i="44"/>
  <c r="R41" i="45" s="1"/>
  <c r="BM37" i="44"/>
  <c r="R89" i="45" s="1"/>
  <c r="BN37" i="44"/>
  <c r="BO37" i="44"/>
  <c r="BP37" i="44"/>
  <c r="BQ37" i="44"/>
  <c r="BR37" i="44"/>
  <c r="BS37" i="44"/>
  <c r="BT37" i="44"/>
  <c r="T41" i="45" s="1"/>
  <c r="BU37" i="44"/>
  <c r="T89" i="45" s="1"/>
  <c r="BV37" i="44"/>
  <c r="BW37" i="44"/>
  <c r="BX37" i="44"/>
  <c r="BY37" i="44"/>
  <c r="BJ38" i="44"/>
  <c r="BK38" i="44"/>
  <c r="BL38" i="44"/>
  <c r="R42" i="45" s="1"/>
  <c r="BM38" i="44"/>
  <c r="R90" i="45" s="1"/>
  <c r="BN38" i="44"/>
  <c r="BO38" i="44"/>
  <c r="BP38" i="44"/>
  <c r="BQ38" i="44"/>
  <c r="BR38" i="44"/>
  <c r="BS38" i="44"/>
  <c r="BT38" i="44"/>
  <c r="T42" i="45" s="1"/>
  <c r="BU38" i="44"/>
  <c r="T90" i="45" s="1"/>
  <c r="BV38" i="44"/>
  <c r="BW38" i="44"/>
  <c r="BX38" i="44"/>
  <c r="BY38" i="44"/>
  <c r="BJ39" i="44"/>
  <c r="BK39" i="44"/>
  <c r="BL39" i="44"/>
  <c r="R43" i="45" s="1"/>
  <c r="BM39" i="44"/>
  <c r="R91" i="45" s="1"/>
  <c r="BN39" i="44"/>
  <c r="BO39" i="44"/>
  <c r="BP39" i="44"/>
  <c r="BQ39" i="44"/>
  <c r="BR39" i="44"/>
  <c r="BS39" i="44"/>
  <c r="BT39" i="44"/>
  <c r="T43" i="45" s="1"/>
  <c r="BU39" i="44"/>
  <c r="T91" i="45" s="1"/>
  <c r="BV39" i="44"/>
  <c r="BW39" i="44"/>
  <c r="BX39" i="44"/>
  <c r="BY39" i="44"/>
  <c r="BJ40" i="44"/>
  <c r="BK40" i="44"/>
  <c r="BL40" i="44"/>
  <c r="R44" i="45" s="1"/>
  <c r="BM40" i="44"/>
  <c r="R92" i="45" s="1"/>
  <c r="BN40" i="44"/>
  <c r="BO40" i="44"/>
  <c r="BP40" i="44"/>
  <c r="BQ40" i="44"/>
  <c r="BR40" i="44"/>
  <c r="BS40" i="44"/>
  <c r="BT40" i="44"/>
  <c r="T44" i="45" s="1"/>
  <c r="BU40" i="44"/>
  <c r="T92" i="45" s="1"/>
  <c r="BV40" i="44"/>
  <c r="BW40" i="44"/>
  <c r="BX40" i="44"/>
  <c r="BY40" i="44"/>
  <c r="BJ41" i="44"/>
  <c r="BK41" i="44"/>
  <c r="BL41" i="44"/>
  <c r="R45" i="45" s="1"/>
  <c r="BM41" i="44"/>
  <c r="R93" i="45" s="1"/>
  <c r="BN41" i="44"/>
  <c r="BO41" i="44"/>
  <c r="BP41" i="44"/>
  <c r="BQ41" i="44"/>
  <c r="BR41" i="44"/>
  <c r="BS41" i="44"/>
  <c r="BT41" i="44"/>
  <c r="T45" i="45" s="1"/>
  <c r="BU41" i="44"/>
  <c r="T93" i="45" s="1"/>
  <c r="BV41" i="44"/>
  <c r="BW41" i="44"/>
  <c r="BX41" i="44"/>
  <c r="BY41" i="44"/>
  <c r="BJ42" i="44"/>
  <c r="BK42" i="44"/>
  <c r="BL42" i="44"/>
  <c r="R46" i="45" s="1"/>
  <c r="BM42" i="44"/>
  <c r="R94" i="45" s="1"/>
  <c r="BN42" i="44"/>
  <c r="BO42" i="44"/>
  <c r="BP42" i="44"/>
  <c r="BQ42" i="44"/>
  <c r="BR42" i="44"/>
  <c r="BS42" i="44"/>
  <c r="BT42" i="44"/>
  <c r="T46" i="45" s="1"/>
  <c r="BU42" i="44"/>
  <c r="T94" i="45" s="1"/>
  <c r="BV42" i="44"/>
  <c r="BW42" i="44"/>
  <c r="BX42" i="44"/>
  <c r="BY42" i="44"/>
  <c r="BJ43" i="44"/>
  <c r="BK43" i="44"/>
  <c r="BL43" i="44"/>
  <c r="R47" i="45" s="1"/>
  <c r="BM43" i="44"/>
  <c r="R95" i="45" s="1"/>
  <c r="BN43" i="44"/>
  <c r="BO43" i="44"/>
  <c r="BP43" i="44"/>
  <c r="BQ43" i="44"/>
  <c r="BR43" i="44"/>
  <c r="BS43" i="44"/>
  <c r="BT43" i="44"/>
  <c r="T47" i="45" s="1"/>
  <c r="BU43" i="44"/>
  <c r="T95" i="45" s="1"/>
  <c r="BV43" i="44"/>
  <c r="BW43" i="44"/>
  <c r="BX43" i="44"/>
  <c r="BY43" i="44"/>
  <c r="B35" i="43"/>
  <c r="B36" i="43"/>
  <c r="B37" i="43"/>
  <c r="B38" i="43"/>
  <c r="B39" i="43"/>
  <c r="B40" i="43"/>
  <c r="B41" i="43"/>
  <c r="B42" i="43"/>
  <c r="B43" i="43"/>
  <c r="B44" i="43"/>
  <c r="BJ8" i="57"/>
  <c r="BK8" i="57"/>
  <c r="BL8" i="57"/>
  <c r="BM8" i="57"/>
  <c r="BN8" i="57"/>
  <c r="BO8" i="57"/>
  <c r="BP8" i="57"/>
  <c r="H12" i="59" s="1"/>
  <c r="BQ8" i="57"/>
  <c r="H60" i="59" s="1"/>
  <c r="BR8" i="57"/>
  <c r="M12" i="59" s="1"/>
  <c r="BS8" i="57"/>
  <c r="M60" i="59" s="1"/>
  <c r="BT8" i="57"/>
  <c r="BU8" i="57"/>
  <c r="BV8" i="57"/>
  <c r="BW8" i="57"/>
  <c r="BX8" i="57"/>
  <c r="BY8" i="57"/>
  <c r="BJ9" i="57"/>
  <c r="BK9" i="57"/>
  <c r="BL9" i="57"/>
  <c r="BM9" i="57"/>
  <c r="BN9" i="57"/>
  <c r="BO9" i="57"/>
  <c r="BP9" i="57"/>
  <c r="H13" i="59" s="1"/>
  <c r="BQ9" i="57"/>
  <c r="H61" i="59" s="1"/>
  <c r="BR9" i="57"/>
  <c r="M13" i="59" s="1"/>
  <c r="BS9" i="57"/>
  <c r="M61" i="59" s="1"/>
  <c r="BT9" i="57"/>
  <c r="BU9" i="57"/>
  <c r="BV9" i="57"/>
  <c r="BW9" i="57"/>
  <c r="BX9" i="57"/>
  <c r="BY9" i="57"/>
  <c r="BJ10" i="57"/>
  <c r="BK10" i="57"/>
  <c r="BL10" i="57"/>
  <c r="BM10" i="57"/>
  <c r="BN10" i="57"/>
  <c r="BO10" i="57"/>
  <c r="BP10" i="57"/>
  <c r="H14" i="59" s="1"/>
  <c r="BQ10" i="57"/>
  <c r="H62" i="59" s="1"/>
  <c r="BR10" i="57"/>
  <c r="M14" i="59" s="1"/>
  <c r="BS10" i="57"/>
  <c r="M62" i="59" s="1"/>
  <c r="BT10" i="57"/>
  <c r="BU10" i="57"/>
  <c r="BV10" i="57"/>
  <c r="BW10" i="57"/>
  <c r="BX10" i="57"/>
  <c r="BY10" i="57"/>
  <c r="BJ11" i="57"/>
  <c r="BK11" i="57"/>
  <c r="BL11" i="57"/>
  <c r="BM11" i="57"/>
  <c r="BN11" i="57"/>
  <c r="BO11" i="57"/>
  <c r="BP11" i="57"/>
  <c r="H15" i="59" s="1"/>
  <c r="BQ11" i="57"/>
  <c r="H63" i="59" s="1"/>
  <c r="BR11" i="57"/>
  <c r="M15" i="59" s="1"/>
  <c r="BS11" i="57"/>
  <c r="M63" i="59" s="1"/>
  <c r="BT11" i="57"/>
  <c r="BU11" i="57"/>
  <c r="BV11" i="57"/>
  <c r="BW11" i="57"/>
  <c r="BX11" i="57"/>
  <c r="BY11" i="57"/>
  <c r="BJ12" i="57"/>
  <c r="BK12" i="57"/>
  <c r="BL12" i="57"/>
  <c r="BM12" i="57"/>
  <c r="BN12" i="57"/>
  <c r="BO12" i="57"/>
  <c r="BP12" i="57"/>
  <c r="H16" i="59" s="1"/>
  <c r="BQ12" i="57"/>
  <c r="H64" i="59" s="1"/>
  <c r="BR12" i="57"/>
  <c r="M16" i="59" s="1"/>
  <c r="BS12" i="57"/>
  <c r="M64" i="59" s="1"/>
  <c r="BT12" i="57"/>
  <c r="BU12" i="57"/>
  <c r="BV12" i="57"/>
  <c r="BW12" i="57"/>
  <c r="BX12" i="57"/>
  <c r="BY12" i="57"/>
  <c r="BJ13" i="57"/>
  <c r="BK13" i="57"/>
  <c r="BL13" i="57"/>
  <c r="BM13" i="57"/>
  <c r="BN13" i="57"/>
  <c r="BO13" i="57"/>
  <c r="BP13" i="57"/>
  <c r="H17" i="59" s="1"/>
  <c r="BQ13" i="57"/>
  <c r="H65" i="59" s="1"/>
  <c r="BR13" i="57"/>
  <c r="M17" i="59" s="1"/>
  <c r="BS13" i="57"/>
  <c r="M65" i="59" s="1"/>
  <c r="BT13" i="57"/>
  <c r="BU13" i="57"/>
  <c r="BV13" i="57"/>
  <c r="BW13" i="57"/>
  <c r="BX13" i="57"/>
  <c r="BY13" i="57"/>
  <c r="BJ14" i="57"/>
  <c r="BK14" i="57"/>
  <c r="BL14" i="57"/>
  <c r="BM14" i="57"/>
  <c r="BN14" i="57"/>
  <c r="BO14" i="57"/>
  <c r="BP14" i="57"/>
  <c r="H18" i="59" s="1"/>
  <c r="BQ14" i="57"/>
  <c r="H66" i="59" s="1"/>
  <c r="BR14" i="57"/>
  <c r="M18" i="59" s="1"/>
  <c r="BS14" i="57"/>
  <c r="M66" i="59" s="1"/>
  <c r="BT14" i="57"/>
  <c r="BU14" i="57"/>
  <c r="BV14" i="57"/>
  <c r="BW14" i="57"/>
  <c r="BX14" i="57"/>
  <c r="BY14" i="57"/>
  <c r="BJ15" i="57"/>
  <c r="BK15" i="57"/>
  <c r="BL15" i="57"/>
  <c r="BM15" i="57"/>
  <c r="BN15" i="57"/>
  <c r="BO15" i="57"/>
  <c r="BP15" i="57"/>
  <c r="H19" i="59" s="1"/>
  <c r="BQ15" i="57"/>
  <c r="H67" i="59" s="1"/>
  <c r="BR15" i="57"/>
  <c r="M19" i="59" s="1"/>
  <c r="BS15" i="57"/>
  <c r="M67" i="59" s="1"/>
  <c r="BT15" i="57"/>
  <c r="BU15" i="57"/>
  <c r="BV15" i="57"/>
  <c r="BW15" i="57"/>
  <c r="BX15" i="57"/>
  <c r="BY15" i="57"/>
  <c r="BJ16" i="57"/>
  <c r="BK16" i="57"/>
  <c r="BL16" i="57"/>
  <c r="BM16" i="57"/>
  <c r="BN16" i="57"/>
  <c r="BO16" i="57"/>
  <c r="BP16" i="57"/>
  <c r="H20" i="59" s="1"/>
  <c r="BQ16" i="57"/>
  <c r="H68" i="59" s="1"/>
  <c r="BR16" i="57"/>
  <c r="M20" i="59" s="1"/>
  <c r="BS16" i="57"/>
  <c r="M68" i="59" s="1"/>
  <c r="BT16" i="57"/>
  <c r="BU16" i="57"/>
  <c r="BV16" i="57"/>
  <c r="BW16" i="57"/>
  <c r="BX16" i="57"/>
  <c r="BY16" i="57"/>
  <c r="BJ17" i="57"/>
  <c r="BK17" i="57"/>
  <c r="BL17" i="57"/>
  <c r="BM17" i="57"/>
  <c r="BN17" i="57"/>
  <c r="BO17" i="57"/>
  <c r="BP17" i="57"/>
  <c r="H21" i="59" s="1"/>
  <c r="BQ17" i="57"/>
  <c r="H69" i="59" s="1"/>
  <c r="BR17" i="57"/>
  <c r="M21" i="59" s="1"/>
  <c r="BS17" i="57"/>
  <c r="M69" i="59" s="1"/>
  <c r="BT17" i="57"/>
  <c r="BU17" i="57"/>
  <c r="BV17" i="57"/>
  <c r="BW17" i="57"/>
  <c r="BX17" i="57"/>
  <c r="BY17" i="57"/>
  <c r="BJ18" i="57"/>
  <c r="BK18" i="57"/>
  <c r="BL18" i="57"/>
  <c r="BM18" i="57"/>
  <c r="BN18" i="57"/>
  <c r="BO18" i="57"/>
  <c r="BP18" i="57"/>
  <c r="H22" i="59" s="1"/>
  <c r="BQ18" i="57"/>
  <c r="H70" i="59" s="1"/>
  <c r="BR18" i="57"/>
  <c r="M22" i="59" s="1"/>
  <c r="BS18" i="57"/>
  <c r="M70" i="59" s="1"/>
  <c r="BT18" i="57"/>
  <c r="BU18" i="57"/>
  <c r="BV18" i="57"/>
  <c r="BW18" i="57"/>
  <c r="BX18" i="57"/>
  <c r="BY18" i="57"/>
  <c r="BJ19" i="57"/>
  <c r="BK19" i="57"/>
  <c r="BL19" i="57"/>
  <c r="BM19" i="57"/>
  <c r="BN19" i="57"/>
  <c r="BO19" i="57"/>
  <c r="BP19" i="57"/>
  <c r="H23" i="59" s="1"/>
  <c r="BQ19" i="57"/>
  <c r="H71" i="59" s="1"/>
  <c r="BR19" i="57"/>
  <c r="M23" i="59" s="1"/>
  <c r="BS19" i="57"/>
  <c r="M71" i="59" s="1"/>
  <c r="BT19" i="57"/>
  <c r="BU19" i="57"/>
  <c r="BV19" i="57"/>
  <c r="BW19" i="57"/>
  <c r="BX19" i="57"/>
  <c r="BY19" i="57"/>
  <c r="BJ20" i="57"/>
  <c r="BK20" i="57"/>
  <c r="BL20" i="57"/>
  <c r="BM20" i="57"/>
  <c r="BN20" i="57"/>
  <c r="BO20" i="57"/>
  <c r="BP20" i="57"/>
  <c r="H24" i="59" s="1"/>
  <c r="BQ20" i="57"/>
  <c r="H72" i="59" s="1"/>
  <c r="BR20" i="57"/>
  <c r="M24" i="59" s="1"/>
  <c r="BS20" i="57"/>
  <c r="M72" i="59" s="1"/>
  <c r="BT20" i="57"/>
  <c r="BU20" i="57"/>
  <c r="BV20" i="57"/>
  <c r="BW20" i="57"/>
  <c r="BX20" i="57"/>
  <c r="BY20" i="57"/>
  <c r="BJ21" i="57"/>
  <c r="BK21" i="57"/>
  <c r="BL21" i="57"/>
  <c r="BM21" i="57"/>
  <c r="BN21" i="57"/>
  <c r="BO21" i="57"/>
  <c r="BP21" i="57"/>
  <c r="H25" i="59" s="1"/>
  <c r="BQ21" i="57"/>
  <c r="H73" i="59" s="1"/>
  <c r="BR21" i="57"/>
  <c r="M25" i="59" s="1"/>
  <c r="BS21" i="57"/>
  <c r="M73" i="59" s="1"/>
  <c r="BT21" i="57"/>
  <c r="BU21" i="57"/>
  <c r="BV21" i="57"/>
  <c r="BW21" i="57"/>
  <c r="BX21" i="57"/>
  <c r="BY21" i="57"/>
  <c r="BJ22" i="57"/>
  <c r="BK22" i="57"/>
  <c r="BL22" i="57"/>
  <c r="BM22" i="57"/>
  <c r="BN22" i="57"/>
  <c r="BO22" i="57"/>
  <c r="BP22" i="57"/>
  <c r="H26" i="59" s="1"/>
  <c r="BQ22" i="57"/>
  <c r="H74" i="59" s="1"/>
  <c r="BR22" i="57"/>
  <c r="M26" i="59" s="1"/>
  <c r="BS22" i="57"/>
  <c r="M74" i="59" s="1"/>
  <c r="BT22" i="57"/>
  <c r="BU22" i="57"/>
  <c r="BV22" i="57"/>
  <c r="BW22" i="57"/>
  <c r="BX22" i="57"/>
  <c r="BY22" i="57"/>
  <c r="BJ23" i="57"/>
  <c r="BK23" i="57"/>
  <c r="BL23" i="57"/>
  <c r="BM23" i="57"/>
  <c r="BN23" i="57"/>
  <c r="BO23" i="57"/>
  <c r="BP23" i="57"/>
  <c r="H27" i="59" s="1"/>
  <c r="BQ23" i="57"/>
  <c r="H75" i="59" s="1"/>
  <c r="BR23" i="57"/>
  <c r="M27" i="59" s="1"/>
  <c r="BS23" i="57"/>
  <c r="M75" i="59" s="1"/>
  <c r="BT23" i="57"/>
  <c r="BU23" i="57"/>
  <c r="BV23" i="57"/>
  <c r="BW23" i="57"/>
  <c r="BX23" i="57"/>
  <c r="BY23" i="57"/>
  <c r="BJ24" i="57"/>
  <c r="BK24" i="57"/>
  <c r="BL24" i="57"/>
  <c r="BM24" i="57"/>
  <c r="BN24" i="57"/>
  <c r="BO24" i="57"/>
  <c r="BP24" i="57"/>
  <c r="H28" i="59" s="1"/>
  <c r="BQ24" i="57"/>
  <c r="H76" i="59" s="1"/>
  <c r="BR24" i="57"/>
  <c r="M28" i="59" s="1"/>
  <c r="BS24" i="57"/>
  <c r="M76" i="59" s="1"/>
  <c r="BT24" i="57"/>
  <c r="BU24" i="57"/>
  <c r="BV24" i="57"/>
  <c r="BW24" i="57"/>
  <c r="BX24" i="57"/>
  <c r="BY24" i="57"/>
  <c r="BJ25" i="57"/>
  <c r="BK25" i="57"/>
  <c r="BL25" i="57"/>
  <c r="BM25" i="57"/>
  <c r="BN25" i="57"/>
  <c r="BO25" i="57"/>
  <c r="BP25" i="57"/>
  <c r="H29" i="59" s="1"/>
  <c r="BQ25" i="57"/>
  <c r="H77" i="59" s="1"/>
  <c r="BR25" i="57"/>
  <c r="M29" i="59" s="1"/>
  <c r="BS25" i="57"/>
  <c r="M77" i="59" s="1"/>
  <c r="BT25" i="57"/>
  <c r="BU25" i="57"/>
  <c r="BV25" i="57"/>
  <c r="BW25" i="57"/>
  <c r="BX25" i="57"/>
  <c r="BY25" i="57"/>
  <c r="BJ26" i="57"/>
  <c r="BK26" i="57"/>
  <c r="BL26" i="57"/>
  <c r="BM26" i="57"/>
  <c r="BN26" i="57"/>
  <c r="BO26" i="57"/>
  <c r="BP26" i="57"/>
  <c r="H30" i="59" s="1"/>
  <c r="BQ26" i="57"/>
  <c r="H78" i="59" s="1"/>
  <c r="BR26" i="57"/>
  <c r="M30" i="59" s="1"/>
  <c r="BS26" i="57"/>
  <c r="M78" i="59" s="1"/>
  <c r="BT26" i="57"/>
  <c r="BU26" i="57"/>
  <c r="BV26" i="57"/>
  <c r="BW26" i="57"/>
  <c r="BX26" i="57"/>
  <c r="BY26" i="57"/>
  <c r="BJ27" i="57"/>
  <c r="BK27" i="57"/>
  <c r="BL27" i="57"/>
  <c r="BM27" i="57"/>
  <c r="BN27" i="57"/>
  <c r="BO27" i="57"/>
  <c r="BP27" i="57"/>
  <c r="H31" i="59" s="1"/>
  <c r="BQ27" i="57"/>
  <c r="H79" i="59" s="1"/>
  <c r="BR27" i="57"/>
  <c r="M31" i="59" s="1"/>
  <c r="BS27" i="57"/>
  <c r="M79" i="59" s="1"/>
  <c r="BT27" i="57"/>
  <c r="BU27" i="57"/>
  <c r="BV27" i="57"/>
  <c r="BW27" i="57"/>
  <c r="BX27" i="57"/>
  <c r="BY27" i="57"/>
  <c r="BJ28" i="57"/>
  <c r="BK28" i="57"/>
  <c r="BL28" i="57"/>
  <c r="BM28" i="57"/>
  <c r="BN28" i="57"/>
  <c r="BO28" i="57"/>
  <c r="BP28" i="57"/>
  <c r="H32" i="59" s="1"/>
  <c r="BQ28" i="57"/>
  <c r="H80" i="59" s="1"/>
  <c r="BR28" i="57"/>
  <c r="M32" i="59" s="1"/>
  <c r="BS28" i="57"/>
  <c r="M80" i="59" s="1"/>
  <c r="BT28" i="57"/>
  <c r="BU28" i="57"/>
  <c r="BV28" i="57"/>
  <c r="BW28" i="57"/>
  <c r="BX28" i="57"/>
  <c r="BY28" i="57"/>
  <c r="BJ29" i="57"/>
  <c r="BK29" i="57"/>
  <c r="BL29" i="57"/>
  <c r="BM29" i="57"/>
  <c r="BN29" i="57"/>
  <c r="BO29" i="57"/>
  <c r="BP29" i="57"/>
  <c r="H33" i="59" s="1"/>
  <c r="BQ29" i="57"/>
  <c r="H81" i="59" s="1"/>
  <c r="BR29" i="57"/>
  <c r="M33" i="59" s="1"/>
  <c r="BS29" i="57"/>
  <c r="M81" i="59" s="1"/>
  <c r="BT29" i="57"/>
  <c r="BU29" i="57"/>
  <c r="BV29" i="57"/>
  <c r="BW29" i="57"/>
  <c r="BX29" i="57"/>
  <c r="BY29" i="57"/>
  <c r="BJ30" i="57"/>
  <c r="BK30" i="57"/>
  <c r="BL30" i="57"/>
  <c r="BM30" i="57"/>
  <c r="BN30" i="57"/>
  <c r="BO30" i="57"/>
  <c r="BP30" i="57"/>
  <c r="H34" i="59" s="1"/>
  <c r="BQ30" i="57"/>
  <c r="H82" i="59" s="1"/>
  <c r="BR30" i="57"/>
  <c r="M34" i="59" s="1"/>
  <c r="BS30" i="57"/>
  <c r="M82" i="59" s="1"/>
  <c r="BT30" i="57"/>
  <c r="BU30" i="57"/>
  <c r="BV30" i="57"/>
  <c r="BW30" i="57"/>
  <c r="BX30" i="57"/>
  <c r="BY30" i="57"/>
  <c r="BJ31" i="57"/>
  <c r="BK31" i="57"/>
  <c r="BL31" i="57"/>
  <c r="BM31" i="57"/>
  <c r="BN31" i="57"/>
  <c r="BO31" i="57"/>
  <c r="BP31" i="57"/>
  <c r="H35" i="59" s="1"/>
  <c r="BQ31" i="57"/>
  <c r="H83" i="59" s="1"/>
  <c r="BR31" i="57"/>
  <c r="M35" i="59" s="1"/>
  <c r="BS31" i="57"/>
  <c r="M83" i="59" s="1"/>
  <c r="BT31" i="57"/>
  <c r="BU31" i="57"/>
  <c r="BV31" i="57"/>
  <c r="BW31" i="57"/>
  <c r="BX31" i="57"/>
  <c r="BY31" i="57"/>
  <c r="BJ32" i="57"/>
  <c r="BK32" i="57"/>
  <c r="BL32" i="57"/>
  <c r="BM32" i="57"/>
  <c r="BN32" i="57"/>
  <c r="BO32" i="57"/>
  <c r="BP32" i="57"/>
  <c r="H36" i="59" s="1"/>
  <c r="BQ32" i="57"/>
  <c r="H84" i="59" s="1"/>
  <c r="BR32" i="57"/>
  <c r="M36" i="59" s="1"/>
  <c r="BS32" i="57"/>
  <c r="M84" i="59" s="1"/>
  <c r="BT32" i="57"/>
  <c r="BU32" i="57"/>
  <c r="BV32" i="57"/>
  <c r="BW32" i="57"/>
  <c r="BX32" i="57"/>
  <c r="BY32" i="57"/>
  <c r="BJ33" i="57"/>
  <c r="BK33" i="57"/>
  <c r="BL33" i="57"/>
  <c r="BM33" i="57"/>
  <c r="BN33" i="57"/>
  <c r="BO33" i="57"/>
  <c r="BP33" i="57"/>
  <c r="H37" i="59" s="1"/>
  <c r="BQ33" i="57"/>
  <c r="H85" i="59" s="1"/>
  <c r="BR33" i="57"/>
  <c r="M37" i="59" s="1"/>
  <c r="BS33" i="57"/>
  <c r="M85" i="59" s="1"/>
  <c r="BT33" i="57"/>
  <c r="BU33" i="57"/>
  <c r="BV33" i="57"/>
  <c r="BW33" i="57"/>
  <c r="BX33" i="57"/>
  <c r="BY33" i="57"/>
  <c r="BJ34" i="57"/>
  <c r="BK34" i="57"/>
  <c r="BL34" i="57"/>
  <c r="BM34" i="57"/>
  <c r="BN34" i="57"/>
  <c r="BO34" i="57"/>
  <c r="BP34" i="57"/>
  <c r="H38" i="59" s="1"/>
  <c r="BQ34" i="57"/>
  <c r="H86" i="59" s="1"/>
  <c r="BR34" i="57"/>
  <c r="M38" i="59" s="1"/>
  <c r="BS34" i="57"/>
  <c r="M86" i="59" s="1"/>
  <c r="BT34" i="57"/>
  <c r="BU34" i="57"/>
  <c r="BV34" i="57"/>
  <c r="BW34" i="57"/>
  <c r="BX34" i="57"/>
  <c r="BY34" i="57"/>
  <c r="BJ35" i="57"/>
  <c r="BK35" i="57"/>
  <c r="BL35" i="57"/>
  <c r="BM35" i="57"/>
  <c r="BN35" i="57"/>
  <c r="BO35" i="57"/>
  <c r="BP35" i="57"/>
  <c r="H39" i="59" s="1"/>
  <c r="BQ35" i="57"/>
  <c r="H87" i="59" s="1"/>
  <c r="BR35" i="57"/>
  <c r="M39" i="59" s="1"/>
  <c r="BS35" i="57"/>
  <c r="M87" i="59" s="1"/>
  <c r="BT35" i="57"/>
  <c r="BU35" i="57"/>
  <c r="BV35" i="57"/>
  <c r="BW35" i="57"/>
  <c r="BX35" i="57"/>
  <c r="BY35" i="57"/>
  <c r="BJ36" i="57"/>
  <c r="BK36" i="57"/>
  <c r="BL36" i="57"/>
  <c r="BM36" i="57"/>
  <c r="BN36" i="57"/>
  <c r="BO36" i="57"/>
  <c r="BP36" i="57"/>
  <c r="H40" i="59" s="1"/>
  <c r="BQ36" i="57"/>
  <c r="H88" i="59" s="1"/>
  <c r="BR36" i="57"/>
  <c r="M40" i="59" s="1"/>
  <c r="BS36" i="57"/>
  <c r="M88" i="59" s="1"/>
  <c r="BT36" i="57"/>
  <c r="BU36" i="57"/>
  <c r="BV36" i="57"/>
  <c r="BW36" i="57"/>
  <c r="BX36" i="57"/>
  <c r="BY36" i="57"/>
  <c r="BJ37" i="57"/>
  <c r="BK37" i="57"/>
  <c r="BL37" i="57"/>
  <c r="BM37" i="57"/>
  <c r="BN37" i="57"/>
  <c r="BO37" i="57"/>
  <c r="BP37" i="57"/>
  <c r="H41" i="59" s="1"/>
  <c r="BQ37" i="57"/>
  <c r="H89" i="59" s="1"/>
  <c r="BR37" i="57"/>
  <c r="M41" i="59" s="1"/>
  <c r="BS37" i="57"/>
  <c r="M89" i="59" s="1"/>
  <c r="BT37" i="57"/>
  <c r="BU37" i="57"/>
  <c r="BV37" i="57"/>
  <c r="BW37" i="57"/>
  <c r="BX37" i="57"/>
  <c r="BY37" i="57"/>
  <c r="BJ38" i="57"/>
  <c r="BK38" i="57"/>
  <c r="BL38" i="57"/>
  <c r="BM38" i="57"/>
  <c r="BN38" i="57"/>
  <c r="BO38" i="57"/>
  <c r="BP38" i="57"/>
  <c r="H42" i="59" s="1"/>
  <c r="BQ38" i="57"/>
  <c r="H90" i="59" s="1"/>
  <c r="BR38" i="57"/>
  <c r="M42" i="59" s="1"/>
  <c r="BS38" i="57"/>
  <c r="M90" i="59" s="1"/>
  <c r="BT38" i="57"/>
  <c r="BU38" i="57"/>
  <c r="BV38" i="57"/>
  <c r="BW38" i="57"/>
  <c r="BX38" i="57"/>
  <c r="BY38" i="57"/>
  <c r="BJ39" i="57"/>
  <c r="BK39" i="57"/>
  <c r="BL39" i="57"/>
  <c r="BM39" i="57"/>
  <c r="BN39" i="57"/>
  <c r="BO39" i="57"/>
  <c r="BP39" i="57"/>
  <c r="H43" i="59" s="1"/>
  <c r="BQ39" i="57"/>
  <c r="H91" i="59" s="1"/>
  <c r="BR39" i="57"/>
  <c r="M43" i="59" s="1"/>
  <c r="BS39" i="57"/>
  <c r="M91" i="59" s="1"/>
  <c r="BT39" i="57"/>
  <c r="BU39" i="57"/>
  <c r="BV39" i="57"/>
  <c r="BW39" i="57"/>
  <c r="BX39" i="57"/>
  <c r="BY39" i="57"/>
  <c r="BJ40" i="57"/>
  <c r="BK40" i="57"/>
  <c r="BL40" i="57"/>
  <c r="BM40" i="57"/>
  <c r="BN40" i="57"/>
  <c r="BO40" i="57"/>
  <c r="BP40" i="57"/>
  <c r="H44" i="59" s="1"/>
  <c r="BQ40" i="57"/>
  <c r="H92" i="59" s="1"/>
  <c r="BR40" i="57"/>
  <c r="M44" i="59" s="1"/>
  <c r="BS40" i="57"/>
  <c r="M92" i="59" s="1"/>
  <c r="BT40" i="57"/>
  <c r="BU40" i="57"/>
  <c r="BV40" i="57"/>
  <c r="BW40" i="57"/>
  <c r="BX40" i="57"/>
  <c r="BY40" i="57"/>
  <c r="BJ41" i="57"/>
  <c r="BK41" i="57"/>
  <c r="BL41" i="57"/>
  <c r="BM41" i="57"/>
  <c r="BN41" i="57"/>
  <c r="BO41" i="57"/>
  <c r="BP41" i="57"/>
  <c r="H45" i="59" s="1"/>
  <c r="BQ41" i="57"/>
  <c r="H93" i="59" s="1"/>
  <c r="BR41" i="57"/>
  <c r="M45" i="59" s="1"/>
  <c r="BS41" i="57"/>
  <c r="M93" i="59" s="1"/>
  <c r="BT41" i="57"/>
  <c r="BU41" i="57"/>
  <c r="BV41" i="57"/>
  <c r="BW41" i="57"/>
  <c r="BX41" i="57"/>
  <c r="BY41" i="57"/>
  <c r="BJ42" i="57"/>
  <c r="BK42" i="57"/>
  <c r="BL42" i="57"/>
  <c r="BM42" i="57"/>
  <c r="BN42" i="57"/>
  <c r="BO42" i="57"/>
  <c r="BP42" i="57"/>
  <c r="H46" i="59" s="1"/>
  <c r="BQ42" i="57"/>
  <c r="H94" i="59" s="1"/>
  <c r="BR42" i="57"/>
  <c r="M46" i="59" s="1"/>
  <c r="BS42" i="57"/>
  <c r="M94" i="59" s="1"/>
  <c r="BT42" i="57"/>
  <c r="BU42" i="57"/>
  <c r="BV42" i="57"/>
  <c r="BW42" i="57"/>
  <c r="BX42" i="57"/>
  <c r="BY42" i="57"/>
  <c r="BJ43" i="57"/>
  <c r="BK43" i="57"/>
  <c r="BL43" i="57"/>
  <c r="BM43" i="57"/>
  <c r="BN43" i="57"/>
  <c r="BO43" i="57"/>
  <c r="BP43" i="57"/>
  <c r="H47" i="59" s="1"/>
  <c r="BQ43" i="57"/>
  <c r="H95" i="59" s="1"/>
  <c r="BR43" i="57"/>
  <c r="M47" i="59" s="1"/>
  <c r="BS43" i="57"/>
  <c r="M95" i="59" s="1"/>
  <c r="BT43" i="57"/>
  <c r="BU43" i="57"/>
  <c r="BV43" i="57"/>
  <c r="BW43" i="57"/>
  <c r="BX43" i="57"/>
  <c r="BY43" i="57"/>
  <c r="BY6" i="57"/>
  <c r="BX6" i="57"/>
  <c r="BW6" i="57"/>
  <c r="BU6" i="57"/>
  <c r="BS6" i="57"/>
  <c r="M58" i="59" s="1"/>
  <c r="BQ6" i="57"/>
  <c r="H58" i="59" s="1"/>
  <c r="BO6" i="57"/>
  <c r="BM6" i="57"/>
  <c r="BK6" i="57"/>
  <c r="BV6" i="57"/>
  <c r="BT6" i="57"/>
  <c r="BR6" i="57"/>
  <c r="M10" i="59" s="1"/>
  <c r="BP6" i="57"/>
  <c r="H10" i="59" s="1"/>
  <c r="BN6" i="57"/>
  <c r="BL6" i="57"/>
  <c r="BJ6" i="57"/>
  <c r="B35" i="58"/>
  <c r="B36" i="58"/>
  <c r="B37" i="58"/>
  <c r="B38" i="58"/>
  <c r="B39" i="58"/>
  <c r="B40" i="58"/>
  <c r="B41" i="58"/>
  <c r="B42" i="58"/>
  <c r="B43" i="58"/>
  <c r="B44" i="58"/>
  <c r="C9" i="43"/>
  <c r="D9" i="43"/>
  <c r="C9" i="70"/>
  <c r="F6" i="71" s="1"/>
  <c r="D9" i="70"/>
  <c r="G6" i="71" s="1"/>
  <c r="C9" i="46"/>
  <c r="D9" i="46"/>
  <c r="C9" i="50"/>
  <c r="D9" i="50"/>
  <c r="C9" i="55"/>
  <c r="D9" i="55"/>
  <c r="C9" i="40"/>
  <c r="F6" i="42" s="1"/>
  <c r="K10" i="41" s="1"/>
  <c r="D9" i="40"/>
  <c r="G6" i="42" s="1"/>
  <c r="K58" i="41" s="1"/>
  <c r="F9" i="58"/>
  <c r="E9" i="43"/>
  <c r="F7" i="44" s="1"/>
  <c r="F9" i="43"/>
  <c r="G7" i="44" s="1"/>
  <c r="E9" i="70"/>
  <c r="F7" i="71" s="1"/>
  <c r="F9" i="70"/>
  <c r="G7" i="71" s="1"/>
  <c r="E9" i="46"/>
  <c r="E9" i="50"/>
  <c r="E9" i="55"/>
  <c r="H9" i="70"/>
  <c r="G8" i="71" s="1"/>
  <c r="H9" i="46"/>
  <c r="H9" i="50"/>
  <c r="H9" i="55"/>
  <c r="J9" i="58"/>
  <c r="I9" i="43"/>
  <c r="J9" i="43"/>
  <c r="I9" i="70"/>
  <c r="F9" i="71" s="1"/>
  <c r="J9" i="70"/>
  <c r="G9" i="71" s="1"/>
  <c r="I9" i="46"/>
  <c r="I9" i="50"/>
  <c r="J9" i="50"/>
  <c r="J8" i="55"/>
  <c r="K9" i="58"/>
  <c r="L9" i="58"/>
  <c r="K9" i="43"/>
  <c r="L9" i="43"/>
  <c r="K9" i="70"/>
  <c r="F10" i="71" s="1"/>
  <c r="K9" i="46"/>
  <c r="L9" i="46"/>
  <c r="K9" i="50"/>
  <c r="L9" i="50"/>
  <c r="K8" i="55"/>
  <c r="L8" i="55"/>
  <c r="K9" i="40"/>
  <c r="L9" i="40"/>
  <c r="M9" i="58"/>
  <c r="N9" i="58"/>
  <c r="M9" i="43"/>
  <c r="N9" i="43"/>
  <c r="M9" i="70"/>
  <c r="F11" i="71" s="1"/>
  <c r="N9" i="70"/>
  <c r="G11" i="71" s="1"/>
  <c r="M9" i="46"/>
  <c r="N9" i="46"/>
  <c r="M9" i="50"/>
  <c r="N9" i="50"/>
  <c r="M8" i="55"/>
  <c r="N8" i="55"/>
  <c r="M9" i="40"/>
  <c r="N9" i="40"/>
  <c r="O9" i="58"/>
  <c r="P9" i="58"/>
  <c r="O9" i="43"/>
  <c r="P9" i="43"/>
  <c r="O9" i="70"/>
  <c r="F12" i="71" s="1"/>
  <c r="P9" i="70"/>
  <c r="O9" i="46"/>
  <c r="P9" i="46"/>
  <c r="O9" i="50"/>
  <c r="P9" i="50"/>
  <c r="O8" i="55"/>
  <c r="P8" i="55"/>
  <c r="O9" i="40"/>
  <c r="P9" i="40"/>
  <c r="Q9" i="58"/>
  <c r="R9" i="58"/>
  <c r="Q9" i="43"/>
  <c r="R9" i="43"/>
  <c r="Q9" i="70"/>
  <c r="F13" i="71" s="1"/>
  <c r="R9" i="70"/>
  <c r="G13" i="71" s="1"/>
  <c r="Q9" i="46"/>
  <c r="R9" i="46"/>
  <c r="Q9" i="50"/>
  <c r="R9" i="50"/>
  <c r="Q8" i="55"/>
  <c r="R8" i="55"/>
  <c r="Q9" i="40"/>
  <c r="R9" i="40"/>
  <c r="S9" i="43"/>
  <c r="T9" i="43"/>
  <c r="S9" i="70"/>
  <c r="F14" i="71" s="1"/>
  <c r="T9" i="70"/>
  <c r="S9" i="46"/>
  <c r="T9" i="46"/>
  <c r="S9" i="50"/>
  <c r="T9" i="50"/>
  <c r="S8" i="55"/>
  <c r="T8" i="55"/>
  <c r="S9" i="40"/>
  <c r="T9" i="40"/>
  <c r="V9" i="58"/>
  <c r="U9" i="43"/>
  <c r="V9" i="43"/>
  <c r="U9" i="70"/>
  <c r="F15" i="71" s="1"/>
  <c r="V9" i="70"/>
  <c r="G15" i="71" s="1"/>
  <c r="U9" i="46"/>
  <c r="V9" i="46"/>
  <c r="U9" i="50"/>
  <c r="V9" i="50"/>
  <c r="U9" i="40"/>
  <c r="V9" i="40"/>
  <c r="W9" i="58"/>
  <c r="X9" i="58"/>
  <c r="W9" i="43"/>
  <c r="X9" i="43"/>
  <c r="W9" i="70"/>
  <c r="F16" i="71" s="1"/>
  <c r="W9" i="46"/>
  <c r="X9" i="46"/>
  <c r="W9" i="50"/>
  <c r="X9" i="50"/>
  <c r="W8" i="55"/>
  <c r="X8" i="55"/>
  <c r="W9" i="40"/>
  <c r="X9" i="40"/>
  <c r="Y9" i="58"/>
  <c r="Z9" i="58"/>
  <c r="Y9" i="43"/>
  <c r="Z9" i="43"/>
  <c r="Y9" i="70"/>
  <c r="F17" i="71" s="1"/>
  <c r="Z9" i="70"/>
  <c r="G17" i="71" s="1"/>
  <c r="Y9" i="46"/>
  <c r="Z9" i="46"/>
  <c r="Y9" i="50"/>
  <c r="Z9" i="50"/>
  <c r="Y9" i="55"/>
  <c r="Z9" i="55"/>
  <c r="Y9" i="40"/>
  <c r="Z9" i="40"/>
  <c r="AB9" i="58"/>
  <c r="AA9" i="43"/>
  <c r="AB9" i="43"/>
  <c r="AA9" i="70"/>
  <c r="F18" i="71" s="1"/>
  <c r="AB9" i="70"/>
  <c r="G18" i="71" s="1"/>
  <c r="AA9" i="46"/>
  <c r="AB9" i="46"/>
  <c r="AA9" i="50"/>
  <c r="AB9" i="50"/>
  <c r="AA8" i="55"/>
  <c r="AB8" i="55"/>
  <c r="AA9" i="40"/>
  <c r="AB9" i="40"/>
  <c r="AD9" i="58"/>
  <c r="AC9" i="43"/>
  <c r="AD9" i="43"/>
  <c r="AC9" i="70"/>
  <c r="F19" i="71" s="1"/>
  <c r="AD9" i="70"/>
  <c r="G19" i="71" s="1"/>
  <c r="AC9" i="46"/>
  <c r="AD9" i="46"/>
  <c r="AC9" i="50"/>
  <c r="AD9" i="50"/>
  <c r="AC8" i="55"/>
  <c r="AD8" i="55"/>
  <c r="AC9" i="40"/>
  <c r="AD9" i="40"/>
  <c r="AF9" i="58"/>
  <c r="AE9" i="43"/>
  <c r="AF9" i="43"/>
  <c r="AE9" i="70"/>
  <c r="F20" i="71" s="1"/>
  <c r="AF9" i="70"/>
  <c r="G20" i="71" s="1"/>
  <c r="AE9" i="46"/>
  <c r="AF9" i="46"/>
  <c r="AE9" i="50"/>
  <c r="AF9" i="50"/>
  <c r="AE8" i="55"/>
  <c r="AF8" i="55"/>
  <c r="AE9" i="40"/>
  <c r="AF9" i="40"/>
  <c r="AH9" i="58"/>
  <c r="AG9" i="43"/>
  <c r="AH9" i="43"/>
  <c r="AG9" i="70"/>
  <c r="F21" i="71" s="1"/>
  <c r="AH9" i="70"/>
  <c r="G21" i="71" s="1"/>
  <c r="AG9" i="46"/>
  <c r="AH9" i="46"/>
  <c r="AG9" i="50"/>
  <c r="AH9" i="50"/>
  <c r="AG8" i="55"/>
  <c r="AH8" i="55"/>
  <c r="AG9" i="40"/>
  <c r="AH9" i="40"/>
  <c r="AI9" i="58"/>
  <c r="AJ9" i="58"/>
  <c r="AI9" i="43"/>
  <c r="AJ9" i="43"/>
  <c r="AI9" i="70"/>
  <c r="F22" i="71" s="1"/>
  <c r="AJ9" i="70"/>
  <c r="G22" i="71" s="1"/>
  <c r="AI9" i="46"/>
  <c r="AJ9" i="46"/>
  <c r="AI9" i="50"/>
  <c r="AJ9" i="50"/>
  <c r="AI8" i="55"/>
  <c r="AJ8" i="55"/>
  <c r="AI9" i="40"/>
  <c r="AJ9" i="40"/>
  <c r="AK9" i="58"/>
  <c r="AL9" i="58"/>
  <c r="AK9" i="43"/>
  <c r="AL9" i="43"/>
  <c r="AK9" i="70"/>
  <c r="F23" i="71" s="1"/>
  <c r="AL9" i="70"/>
  <c r="G23" i="71" s="1"/>
  <c r="AL9" i="46"/>
  <c r="AK9" i="50"/>
  <c r="AL9" i="50"/>
  <c r="AK8" i="55"/>
  <c r="AL8" i="55"/>
  <c r="AK9" i="40"/>
  <c r="AL9" i="40"/>
  <c r="AN9" i="58"/>
  <c r="AM9" i="43"/>
  <c r="AN9" i="43"/>
  <c r="AM9" i="70"/>
  <c r="F24" i="71" s="1"/>
  <c r="AN9" i="70"/>
  <c r="G24" i="71" s="1"/>
  <c r="AM9" i="46"/>
  <c r="AN9" i="46"/>
  <c r="AM9" i="50"/>
  <c r="AN9" i="50"/>
  <c r="AM8" i="55"/>
  <c r="AN8" i="55"/>
  <c r="AM9" i="40"/>
  <c r="AN9" i="40"/>
  <c r="AO9" i="43"/>
  <c r="AP9" i="43"/>
  <c r="AO9" i="70"/>
  <c r="F25" i="71" s="1"/>
  <c r="AP9" i="70"/>
  <c r="G25" i="71" s="1"/>
  <c r="AO9" i="46"/>
  <c r="AP9" i="46"/>
  <c r="AO9" i="50"/>
  <c r="AP9" i="50"/>
  <c r="AO8" i="55"/>
  <c r="AP8" i="55"/>
  <c r="AQ9" i="43"/>
  <c r="AR9" i="43"/>
  <c r="AQ9" i="70"/>
  <c r="F26" i="71" s="1"/>
  <c r="AR9" i="70"/>
  <c r="G26" i="71" s="1"/>
  <c r="AQ9" i="46"/>
  <c r="AR9" i="46"/>
  <c r="AQ9" i="50"/>
  <c r="AR9" i="50"/>
  <c r="AQ8" i="55"/>
  <c r="AR8" i="55"/>
  <c r="AQ9" i="40"/>
  <c r="AR9" i="40"/>
  <c r="AS9" i="58"/>
  <c r="AT9" i="58"/>
  <c r="AS9" i="43"/>
  <c r="AT9" i="43"/>
  <c r="AS9" i="70"/>
  <c r="F27" i="71" s="1"/>
  <c r="AT9" i="70"/>
  <c r="G27" i="71" s="1"/>
  <c r="AS9" i="46"/>
  <c r="AT9" i="46"/>
  <c r="AS9" i="50"/>
  <c r="AT9" i="50"/>
  <c r="AS9" i="40"/>
  <c r="AT9" i="40"/>
  <c r="AV9" i="58"/>
  <c r="AU9" i="43"/>
  <c r="AV9" i="43"/>
  <c r="AU9" i="70"/>
  <c r="F28" i="71" s="1"/>
  <c r="AU9" i="46"/>
  <c r="AV9" i="46"/>
  <c r="AU9" i="50"/>
  <c r="AV9" i="50"/>
  <c r="AU8" i="55"/>
  <c r="AV8" i="55"/>
  <c r="AU9" i="40"/>
  <c r="AV9" i="40"/>
  <c r="AW9" i="58"/>
  <c r="AX9" i="58"/>
  <c r="AW9" i="43"/>
  <c r="AX9" i="43"/>
  <c r="AW9" i="70"/>
  <c r="F29" i="71" s="1"/>
  <c r="AX9" i="70"/>
  <c r="G29" i="71" s="1"/>
  <c r="AW9" i="46"/>
  <c r="AX9" i="46"/>
  <c r="AW9" i="50"/>
  <c r="AX9" i="50"/>
  <c r="AW9" i="40"/>
  <c r="AX9" i="40"/>
  <c r="AZ9" i="58"/>
  <c r="AY9" i="43"/>
  <c r="AZ9" i="43"/>
  <c r="AY9" i="70"/>
  <c r="F30" i="71" s="1"/>
  <c r="AZ9" i="70"/>
  <c r="G30" i="71" s="1"/>
  <c r="AY9" i="46"/>
  <c r="AZ9" i="46"/>
  <c r="AY9" i="50"/>
  <c r="AZ9" i="50"/>
  <c r="AY8" i="55"/>
  <c r="AZ8" i="55"/>
  <c r="AY9" i="40"/>
  <c r="AZ9" i="40"/>
  <c r="BB9" i="58"/>
  <c r="BA9" i="43"/>
  <c r="BB9" i="43"/>
  <c r="BA9" i="70"/>
  <c r="F31" i="71" s="1"/>
  <c r="BB9" i="70"/>
  <c r="G31" i="71" s="1"/>
  <c r="BA9" i="46"/>
  <c r="BB9" i="46"/>
  <c r="BA9" i="50"/>
  <c r="BB9" i="50"/>
  <c r="BA8" i="55"/>
  <c r="BB8" i="55"/>
  <c r="BA9" i="40"/>
  <c r="BB9" i="40"/>
  <c r="BC9" i="43"/>
  <c r="BD9" i="43"/>
  <c r="BC9" i="70"/>
  <c r="F32" i="71" s="1"/>
  <c r="BD9" i="70"/>
  <c r="G32" i="71" s="1"/>
  <c r="BC9" i="46"/>
  <c r="BD9" i="46"/>
  <c r="BC9" i="50"/>
  <c r="BD9" i="50"/>
  <c r="BC8" i="55"/>
  <c r="BD8" i="55"/>
  <c r="BC9" i="40"/>
  <c r="BD9" i="40"/>
  <c r="BF9" i="58"/>
  <c r="BE9" i="43"/>
  <c r="BF9" i="43"/>
  <c r="BE9" i="70"/>
  <c r="F33" i="71" s="1"/>
  <c r="BF9" i="70"/>
  <c r="G33" i="71" s="1"/>
  <c r="BE9" i="46"/>
  <c r="BE9" i="40"/>
  <c r="BF9" i="40"/>
  <c r="BH9" i="58"/>
  <c r="BG9" i="43"/>
  <c r="BH9" i="43"/>
  <c r="BG9" i="70"/>
  <c r="F34" i="71" s="1"/>
  <c r="BH9" i="70"/>
  <c r="G34" i="71" s="1"/>
  <c r="BG9" i="46"/>
  <c r="BH9" i="46"/>
  <c r="BG9" i="50"/>
  <c r="BH9" i="50"/>
  <c r="BG8" i="55"/>
  <c r="BH8" i="55"/>
  <c r="BG9" i="40"/>
  <c r="BH9" i="40"/>
  <c r="BI9" i="43"/>
  <c r="BJ9" i="43"/>
  <c r="BI9" i="70"/>
  <c r="F35" i="71" s="1"/>
  <c r="BJ9" i="70"/>
  <c r="G35" i="71" s="1"/>
  <c r="BI9" i="46"/>
  <c r="BJ9" i="46"/>
  <c r="BI9" i="50"/>
  <c r="BJ9" i="50"/>
  <c r="BI8" i="55"/>
  <c r="BJ8" i="55"/>
  <c r="BI9" i="40"/>
  <c r="BJ9" i="40"/>
  <c r="BK9" i="43"/>
  <c r="BL9" i="43"/>
  <c r="BK9" i="70"/>
  <c r="F36" i="71" s="1"/>
  <c r="BL9" i="70"/>
  <c r="BK9" i="46"/>
  <c r="BL9" i="46"/>
  <c r="BK9" i="50"/>
  <c r="BL9" i="50"/>
  <c r="BK8" i="55"/>
  <c r="BL8" i="55"/>
  <c r="BK9" i="40"/>
  <c r="BL9" i="40"/>
  <c r="BM9" i="43"/>
  <c r="BN9" i="43"/>
  <c r="BM9" i="70"/>
  <c r="F37" i="71" s="1"/>
  <c r="BN9" i="70"/>
  <c r="G37" i="71" s="1"/>
  <c r="BM9" i="46"/>
  <c r="BN9" i="46"/>
  <c r="BM9" i="50"/>
  <c r="BN9" i="50"/>
  <c r="BM8" i="55"/>
  <c r="BN8" i="55"/>
  <c r="BM9" i="40"/>
  <c r="BN9" i="40"/>
  <c r="BO9" i="43"/>
  <c r="BP9" i="43"/>
  <c r="BO9" i="70"/>
  <c r="F38" i="71" s="1"/>
  <c r="BP9" i="70"/>
  <c r="G38" i="71" s="1"/>
  <c r="BO9" i="46"/>
  <c r="BP9" i="46"/>
  <c r="BO9" i="50"/>
  <c r="BP9" i="50"/>
  <c r="BO8" i="55"/>
  <c r="BP8" i="55"/>
  <c r="BO9" i="40"/>
  <c r="BP9" i="40"/>
  <c r="BQ9" i="43"/>
  <c r="BR9" i="43"/>
  <c r="BQ9" i="70"/>
  <c r="F39" i="71" s="1"/>
  <c r="BR9" i="70"/>
  <c r="G39" i="71" s="1"/>
  <c r="BQ9" i="46"/>
  <c r="BR9" i="46"/>
  <c r="BQ9" i="50"/>
  <c r="BR9" i="50"/>
  <c r="BQ9" i="40"/>
  <c r="BR9" i="40"/>
  <c r="BS9" i="43"/>
  <c r="BT9" i="43"/>
  <c r="BS9" i="70"/>
  <c r="F40" i="71" s="1"/>
  <c r="BT9" i="70"/>
  <c r="G40" i="71" s="1"/>
  <c r="BS9" i="46"/>
  <c r="BT9" i="46"/>
  <c r="BS9" i="50"/>
  <c r="BT9" i="50"/>
  <c r="BS8" i="55"/>
  <c r="BT8" i="55"/>
  <c r="BS9" i="40"/>
  <c r="BT9" i="40"/>
  <c r="BU9" i="43"/>
  <c r="BV9" i="43"/>
  <c r="BU9" i="70"/>
  <c r="F41" i="71" s="1"/>
  <c r="BV9" i="70"/>
  <c r="G41" i="71" s="1"/>
  <c r="BU9" i="46"/>
  <c r="BV9" i="46"/>
  <c r="BU9" i="50"/>
  <c r="BV9" i="50"/>
  <c r="BU8" i="55"/>
  <c r="BV8" i="55"/>
  <c r="BU9" i="40"/>
  <c r="BV9" i="40"/>
  <c r="BW9" i="43"/>
  <c r="BX9" i="43"/>
  <c r="BW9" i="70"/>
  <c r="F42" i="71" s="1"/>
  <c r="BX9" i="70"/>
  <c r="BW9" i="46"/>
  <c r="BX9" i="46"/>
  <c r="BW9" i="50"/>
  <c r="BX9" i="50"/>
  <c r="BW8" i="55"/>
  <c r="BX8" i="55"/>
  <c r="BW9" i="40"/>
  <c r="BX9" i="40"/>
  <c r="BY9" i="43"/>
  <c r="BZ9" i="43"/>
  <c r="BY9" i="70"/>
  <c r="F43" i="71" s="1"/>
  <c r="BZ9" i="70"/>
  <c r="G43" i="71" s="1"/>
  <c r="BY9" i="46"/>
  <c r="BZ9" i="46"/>
  <c r="BY9" i="50"/>
  <c r="BZ9" i="50"/>
  <c r="BY8" i="55"/>
  <c r="BZ8" i="55"/>
  <c r="BY9" i="40"/>
  <c r="BZ9" i="40"/>
  <c r="C10" i="58"/>
  <c r="D10" i="58"/>
  <c r="C10" i="43"/>
  <c r="D10" i="43"/>
  <c r="I6" i="44" s="1"/>
  <c r="J58" i="45" s="1"/>
  <c r="C10" i="70"/>
  <c r="D10" i="70"/>
  <c r="I6" i="71" s="1"/>
  <c r="C10" i="46"/>
  <c r="D10" i="46"/>
  <c r="C10" i="50"/>
  <c r="D10" i="50"/>
  <c r="C10" i="55"/>
  <c r="D10" i="55"/>
  <c r="C10" i="40"/>
  <c r="D10" i="40"/>
  <c r="F10" i="58"/>
  <c r="E10" i="43"/>
  <c r="H7" i="44" s="1"/>
  <c r="J11" i="45" s="1"/>
  <c r="F10" i="43"/>
  <c r="I7" i="44" s="1"/>
  <c r="J59" i="45" s="1"/>
  <c r="E10" i="70"/>
  <c r="H7" i="71" s="1"/>
  <c r="F10" i="70"/>
  <c r="I7" i="71" s="1"/>
  <c r="E10" i="46"/>
  <c r="E10" i="50"/>
  <c r="E10" i="55"/>
  <c r="H10" i="70"/>
  <c r="I8" i="71" s="1"/>
  <c r="H10" i="46"/>
  <c r="H10" i="50"/>
  <c r="H10" i="55"/>
  <c r="J10" i="58"/>
  <c r="I10" i="43"/>
  <c r="J10" i="43"/>
  <c r="I10" i="70"/>
  <c r="H9" i="71" s="1"/>
  <c r="J10" i="70"/>
  <c r="I10" i="46"/>
  <c r="I10" i="50"/>
  <c r="J10" i="50"/>
  <c r="J9" i="55"/>
  <c r="L10" i="58"/>
  <c r="K10" i="43"/>
  <c r="L10" i="43"/>
  <c r="K10" i="70"/>
  <c r="H10" i="71" s="1"/>
  <c r="L10" i="70"/>
  <c r="I10" i="71" s="1"/>
  <c r="K10" i="46"/>
  <c r="L10" i="46"/>
  <c r="K10" i="50"/>
  <c r="L10" i="50"/>
  <c r="K9" i="55"/>
  <c r="L9" i="55"/>
  <c r="K10" i="40"/>
  <c r="L10" i="40"/>
  <c r="N10" i="58"/>
  <c r="M10" i="43"/>
  <c r="N10" i="43"/>
  <c r="M10" i="70"/>
  <c r="H11" i="71" s="1"/>
  <c r="N10" i="70"/>
  <c r="M10" i="46"/>
  <c r="N10" i="46"/>
  <c r="M10" i="50"/>
  <c r="N10" i="50"/>
  <c r="M9" i="55"/>
  <c r="N9" i="55"/>
  <c r="M10" i="40"/>
  <c r="N10" i="40"/>
  <c r="O10" i="43"/>
  <c r="P10" i="43"/>
  <c r="O10" i="70"/>
  <c r="H12" i="71" s="1"/>
  <c r="P10" i="70"/>
  <c r="I12" i="71" s="1"/>
  <c r="O10" i="46"/>
  <c r="P10" i="46"/>
  <c r="O10" i="50"/>
  <c r="P10" i="50"/>
  <c r="O9" i="55"/>
  <c r="P9" i="55"/>
  <c r="O10" i="40"/>
  <c r="P10" i="40"/>
  <c r="R10" i="58"/>
  <c r="Q10" i="43"/>
  <c r="R10" i="43"/>
  <c r="Q10" i="70"/>
  <c r="H13" i="71" s="1"/>
  <c r="R10" i="70"/>
  <c r="I13" i="71" s="1"/>
  <c r="Q10" i="46"/>
  <c r="R10" i="46"/>
  <c r="Q10" i="50"/>
  <c r="R10" i="50"/>
  <c r="Q9" i="55"/>
  <c r="Q10" i="40"/>
  <c r="R10" i="40"/>
  <c r="S10" i="58"/>
  <c r="T10" i="58"/>
  <c r="S10" i="43"/>
  <c r="T10" i="43"/>
  <c r="S10" i="70"/>
  <c r="T10" i="70"/>
  <c r="I14" i="71" s="1"/>
  <c r="S10" i="46"/>
  <c r="T10" i="46"/>
  <c r="S10" i="50"/>
  <c r="T10" i="50"/>
  <c r="S9" i="55"/>
  <c r="T9" i="55"/>
  <c r="S10" i="40"/>
  <c r="T10" i="40"/>
  <c r="U10" i="58"/>
  <c r="V10" i="58"/>
  <c r="U10" i="43"/>
  <c r="V10" i="43"/>
  <c r="U10" i="70"/>
  <c r="H15" i="71" s="1"/>
  <c r="V10" i="70"/>
  <c r="I15" i="71" s="1"/>
  <c r="U10" i="46"/>
  <c r="U10" i="50"/>
  <c r="V10" i="50"/>
  <c r="U10" i="40"/>
  <c r="V10" i="40"/>
  <c r="W10" i="58"/>
  <c r="X10" i="58"/>
  <c r="W10" i="43"/>
  <c r="X10" i="43"/>
  <c r="W10" i="70"/>
  <c r="H16" i="71" s="1"/>
  <c r="X10" i="70"/>
  <c r="I16" i="71" s="1"/>
  <c r="W10" i="46"/>
  <c r="X10" i="46"/>
  <c r="W10" i="50"/>
  <c r="X10" i="50"/>
  <c r="W9" i="55"/>
  <c r="X9" i="55"/>
  <c r="W10" i="40"/>
  <c r="X10" i="40"/>
  <c r="Z10" i="58"/>
  <c r="Y10" i="43"/>
  <c r="Z10" i="43"/>
  <c r="Y10" i="70"/>
  <c r="H17" i="71" s="1"/>
  <c r="Z10" i="70"/>
  <c r="I17" i="71" s="1"/>
  <c r="Y10" i="46"/>
  <c r="Z10" i="46"/>
  <c r="Y10" i="50"/>
  <c r="Z10" i="50"/>
  <c r="Y10" i="55"/>
  <c r="Z10" i="55"/>
  <c r="Y10" i="40"/>
  <c r="Z10" i="40"/>
  <c r="AB10" i="58"/>
  <c r="AA10" i="43"/>
  <c r="AB10" i="43"/>
  <c r="AA10" i="70"/>
  <c r="AB10" i="70"/>
  <c r="I18" i="71" s="1"/>
  <c r="AA10" i="46"/>
  <c r="AB10" i="46"/>
  <c r="AA10" i="50"/>
  <c r="AB10" i="50"/>
  <c r="AA9" i="55"/>
  <c r="AB9" i="55"/>
  <c r="AA10" i="40"/>
  <c r="AB10" i="40"/>
  <c r="AD10" i="58"/>
  <c r="AC10" i="43"/>
  <c r="AD10" i="43"/>
  <c r="AC10" i="70"/>
  <c r="H19" i="71" s="1"/>
  <c r="AD10" i="70"/>
  <c r="I19" i="71" s="1"/>
  <c r="AC10" i="46"/>
  <c r="AD10" i="46"/>
  <c r="AC10" i="50"/>
  <c r="AD10" i="50"/>
  <c r="AC9" i="55"/>
  <c r="AD9" i="55"/>
  <c r="AC10" i="40"/>
  <c r="AD10" i="40"/>
  <c r="AE10" i="58"/>
  <c r="AF10" i="58"/>
  <c r="AE10" i="43"/>
  <c r="AF10" i="43"/>
  <c r="AE10" i="70"/>
  <c r="H20" i="71" s="1"/>
  <c r="AF10" i="70"/>
  <c r="I20" i="71" s="1"/>
  <c r="AE10" i="46"/>
  <c r="AF10" i="46"/>
  <c r="AE10" i="50"/>
  <c r="AF10" i="50"/>
  <c r="AE9" i="55"/>
  <c r="AF9" i="55"/>
  <c r="AE10" i="40"/>
  <c r="AF10" i="40"/>
  <c r="AH10" i="58"/>
  <c r="AG10" i="43"/>
  <c r="AH10" i="43"/>
  <c r="AG10" i="70"/>
  <c r="H21" i="71" s="1"/>
  <c r="AH10" i="70"/>
  <c r="I21" i="71" s="1"/>
  <c r="AG10" i="46"/>
  <c r="AH10" i="46"/>
  <c r="AG10" i="50"/>
  <c r="AH10" i="50"/>
  <c r="AG9" i="55"/>
  <c r="AH9" i="55"/>
  <c r="AG10" i="40"/>
  <c r="AH10" i="40"/>
  <c r="AI10" i="58"/>
  <c r="AJ10" i="58"/>
  <c r="AI10" i="43"/>
  <c r="AJ10" i="43"/>
  <c r="AI10" i="70"/>
  <c r="AJ10" i="70"/>
  <c r="I22" i="71" s="1"/>
  <c r="AI10" i="46"/>
  <c r="AJ10" i="46"/>
  <c r="AI10" i="50"/>
  <c r="AJ10" i="50"/>
  <c r="AI9" i="55"/>
  <c r="AJ9" i="55"/>
  <c r="AI10" i="40"/>
  <c r="AJ10" i="40"/>
  <c r="AK10" i="58"/>
  <c r="AL10" i="58"/>
  <c r="AK10" i="43"/>
  <c r="AK10" i="70"/>
  <c r="AL10" i="70"/>
  <c r="I23" i="71" s="1"/>
  <c r="AK10" i="46"/>
  <c r="AL10" i="46"/>
  <c r="AK10" i="50"/>
  <c r="AL10" i="50"/>
  <c r="AK9" i="55"/>
  <c r="AL9" i="55"/>
  <c r="AK10" i="40"/>
  <c r="AL10" i="40"/>
  <c r="AM10" i="43"/>
  <c r="AN10" i="43"/>
  <c r="AM10" i="70"/>
  <c r="AN10" i="70"/>
  <c r="I24" i="71" s="1"/>
  <c r="AM10" i="46"/>
  <c r="AN10" i="46"/>
  <c r="AM10" i="50"/>
  <c r="AN10" i="50"/>
  <c r="AM9" i="55"/>
  <c r="AN9" i="55"/>
  <c r="AM10" i="40"/>
  <c r="AN10" i="40"/>
  <c r="AO10" i="43"/>
  <c r="AP10" i="43"/>
  <c r="AO10" i="70"/>
  <c r="H25" i="71" s="1"/>
  <c r="AP10" i="70"/>
  <c r="I25" i="71" s="1"/>
  <c r="AO10" i="46"/>
  <c r="AP10" i="46"/>
  <c r="AO10" i="50"/>
  <c r="AP10" i="50"/>
  <c r="AO9" i="55"/>
  <c r="AQ10" i="58"/>
  <c r="AR10" i="58"/>
  <c r="AQ10" i="43"/>
  <c r="AR10" i="43"/>
  <c r="AQ10" i="70"/>
  <c r="H26" i="71" s="1"/>
  <c r="AR10" i="70"/>
  <c r="I26" i="71" s="1"/>
  <c r="AQ10" i="46"/>
  <c r="AR10" i="46"/>
  <c r="AQ10" i="50"/>
  <c r="AR10" i="50"/>
  <c r="AQ9" i="55"/>
  <c r="AR9" i="55"/>
  <c r="AQ10" i="40"/>
  <c r="AR10" i="40"/>
  <c r="AT10" i="58"/>
  <c r="AS10" i="43"/>
  <c r="AT10" i="43"/>
  <c r="AS10" i="70"/>
  <c r="H27" i="71" s="1"/>
  <c r="AT10" i="70"/>
  <c r="AS10" i="46"/>
  <c r="AT10" i="46"/>
  <c r="AS10" i="50"/>
  <c r="AT10" i="50"/>
  <c r="AS9" i="55"/>
  <c r="AT9" i="55"/>
  <c r="AS10" i="40"/>
  <c r="AT10" i="40"/>
  <c r="AU10" i="58"/>
  <c r="AV10" i="58"/>
  <c r="AU10" i="43"/>
  <c r="AV10" i="43"/>
  <c r="AU10" i="70"/>
  <c r="H28" i="71" s="1"/>
  <c r="AV10" i="70"/>
  <c r="I28" i="71" s="1"/>
  <c r="AU10" i="46"/>
  <c r="AV10" i="46"/>
  <c r="AU10" i="50"/>
  <c r="AV10" i="50"/>
  <c r="AU9" i="55"/>
  <c r="AV9" i="55"/>
  <c r="AU10" i="40"/>
  <c r="AV10" i="40"/>
  <c r="AX10" i="58"/>
  <c r="AW10" i="43"/>
  <c r="AX10" i="43"/>
  <c r="AW10" i="70"/>
  <c r="AX10" i="70"/>
  <c r="I29" i="71" s="1"/>
  <c r="AW10" i="46"/>
  <c r="AX10" i="46"/>
  <c r="AW10" i="50"/>
  <c r="AX10" i="50"/>
  <c r="AW10" i="40"/>
  <c r="AX10" i="40"/>
  <c r="AY10" i="43"/>
  <c r="AZ10" i="43"/>
  <c r="AY10" i="70"/>
  <c r="AZ10" i="70"/>
  <c r="I30" i="71" s="1"/>
  <c r="AY10" i="46"/>
  <c r="AZ10" i="46"/>
  <c r="AY10" i="50"/>
  <c r="AZ10" i="50"/>
  <c r="AY9" i="55"/>
  <c r="AZ9" i="55"/>
  <c r="AY10" i="40"/>
  <c r="AZ10" i="40"/>
  <c r="BB10" i="58"/>
  <c r="BA10" i="43"/>
  <c r="BB10" i="43"/>
  <c r="BA10" i="70"/>
  <c r="BB10" i="70"/>
  <c r="I31" i="71" s="1"/>
  <c r="BA10" i="46"/>
  <c r="BB10" i="46"/>
  <c r="BA10" i="50"/>
  <c r="BB10" i="50"/>
  <c r="BA9" i="55"/>
  <c r="BB9" i="55"/>
  <c r="BA10" i="40"/>
  <c r="BB10" i="40"/>
  <c r="BC10" i="58"/>
  <c r="BD10" i="43"/>
  <c r="BC10" i="70"/>
  <c r="H32" i="71" s="1"/>
  <c r="BD10" i="70"/>
  <c r="I32" i="71" s="1"/>
  <c r="BC10" i="46"/>
  <c r="BD10" i="46"/>
  <c r="BC10" i="50"/>
  <c r="BD10" i="50"/>
  <c r="BC9" i="55"/>
  <c r="BD9" i="55"/>
  <c r="BC10" i="40"/>
  <c r="BD10" i="40"/>
  <c r="BF10" i="58"/>
  <c r="BE10" i="43"/>
  <c r="BF10" i="43"/>
  <c r="BE10" i="70"/>
  <c r="BF10" i="70"/>
  <c r="I33" i="71" s="1"/>
  <c r="BE10" i="46"/>
  <c r="BF10" i="46"/>
  <c r="BE10" i="40"/>
  <c r="BF10" i="40"/>
  <c r="BG10" i="58"/>
  <c r="BH10" i="58"/>
  <c r="BG10" i="43"/>
  <c r="BH10" i="43"/>
  <c r="BG10" i="70"/>
  <c r="H34" i="71" s="1"/>
  <c r="BG10" i="46"/>
  <c r="BH10" i="46"/>
  <c r="BG10" i="50"/>
  <c r="BH10" i="50"/>
  <c r="BG9" i="55"/>
  <c r="BH9" i="55"/>
  <c r="BG10" i="40"/>
  <c r="BH10" i="40"/>
  <c r="BI10" i="58"/>
  <c r="BJ10" i="58"/>
  <c r="BI10" i="43"/>
  <c r="BI10" i="70"/>
  <c r="H35" i="71" s="1"/>
  <c r="BJ10" i="70"/>
  <c r="I35" i="71" s="1"/>
  <c r="BI10" i="46"/>
  <c r="BJ10" i="46"/>
  <c r="BI10" i="50"/>
  <c r="BJ10" i="50"/>
  <c r="BI9" i="55"/>
  <c r="BJ9" i="55"/>
  <c r="BI10" i="40"/>
  <c r="BJ10" i="40"/>
  <c r="BK10" i="43"/>
  <c r="BL10" i="43"/>
  <c r="BK10" i="70"/>
  <c r="H36" i="71" s="1"/>
  <c r="BL10" i="70"/>
  <c r="I36" i="71" s="1"/>
  <c r="BK10" i="46"/>
  <c r="BL10" i="46"/>
  <c r="BK10" i="50"/>
  <c r="BL10" i="50"/>
  <c r="BK9" i="55"/>
  <c r="BL9" i="55"/>
  <c r="BK10" i="40"/>
  <c r="BL10" i="40"/>
  <c r="BM10" i="43"/>
  <c r="BN10" i="43"/>
  <c r="BM10" i="70"/>
  <c r="BN10" i="70"/>
  <c r="I37" i="71" s="1"/>
  <c r="BM10" i="46"/>
  <c r="BN10" i="46"/>
  <c r="BM10" i="50"/>
  <c r="BN10" i="50"/>
  <c r="BM9" i="55"/>
  <c r="BN9" i="55"/>
  <c r="BM10" i="40"/>
  <c r="BN10" i="40"/>
  <c r="BO10" i="43"/>
  <c r="BP10" i="43"/>
  <c r="BO10" i="70"/>
  <c r="H38" i="71" s="1"/>
  <c r="BP10" i="70"/>
  <c r="I38" i="71" s="1"/>
  <c r="BO10" i="46"/>
  <c r="BP10" i="46"/>
  <c r="BO10" i="50"/>
  <c r="BP10" i="50"/>
  <c r="BO9" i="55"/>
  <c r="BP9" i="55"/>
  <c r="BO10" i="40"/>
  <c r="BP10" i="40"/>
  <c r="BQ10" i="43"/>
  <c r="BR10" i="43"/>
  <c r="BQ10" i="70"/>
  <c r="BR10" i="70"/>
  <c r="I39" i="71" s="1"/>
  <c r="BQ10" i="46"/>
  <c r="BR10" i="46"/>
  <c r="BQ10" i="50"/>
  <c r="BR10" i="50"/>
  <c r="BQ10" i="40"/>
  <c r="BR10" i="40"/>
  <c r="BS10" i="43"/>
  <c r="BT10" i="43"/>
  <c r="BS10" i="70"/>
  <c r="H40" i="71" s="1"/>
  <c r="BT10" i="70"/>
  <c r="BS10" i="46"/>
  <c r="BT10" i="46"/>
  <c r="BS10" i="50"/>
  <c r="BT10" i="50"/>
  <c r="BS9" i="55"/>
  <c r="BT9" i="55"/>
  <c r="BS10" i="40"/>
  <c r="BT10" i="40"/>
  <c r="BU10" i="43"/>
  <c r="BV10" i="43"/>
  <c r="BU10" i="70"/>
  <c r="H41" i="71" s="1"/>
  <c r="BV10" i="70"/>
  <c r="I41" i="71" s="1"/>
  <c r="BU10" i="46"/>
  <c r="BV10" i="46"/>
  <c r="BU10" i="50"/>
  <c r="BV10" i="50"/>
  <c r="BU9" i="55"/>
  <c r="BV9" i="55"/>
  <c r="BU10" i="40"/>
  <c r="BV10" i="40"/>
  <c r="BW10" i="43"/>
  <c r="BX10" i="43"/>
  <c r="BW10" i="70"/>
  <c r="H42" i="71" s="1"/>
  <c r="BX10" i="70"/>
  <c r="I42" i="71" s="1"/>
  <c r="BW10" i="46"/>
  <c r="BX10" i="46"/>
  <c r="BW10" i="50"/>
  <c r="BX10" i="50"/>
  <c r="BW9" i="55"/>
  <c r="BX9" i="55"/>
  <c r="BW10" i="40"/>
  <c r="BX10" i="40"/>
  <c r="BY10" i="43"/>
  <c r="BZ10" i="43"/>
  <c r="BY10" i="70"/>
  <c r="BZ10" i="70"/>
  <c r="I43" i="71" s="1"/>
  <c r="BY10" i="46"/>
  <c r="BZ10" i="46"/>
  <c r="BY10" i="50"/>
  <c r="BZ10" i="50"/>
  <c r="BY9" i="55"/>
  <c r="BZ9" i="55"/>
  <c r="BY10" i="40"/>
  <c r="BZ10" i="40"/>
  <c r="C11" i="58"/>
  <c r="D11" i="58"/>
  <c r="C11" i="43"/>
  <c r="D11" i="43"/>
  <c r="K6" i="44" s="1"/>
  <c r="C11" i="70"/>
  <c r="J6" i="71" s="1"/>
  <c r="C11" i="46"/>
  <c r="D11" i="46"/>
  <c r="C11" i="50"/>
  <c r="D11" i="50"/>
  <c r="C11" i="55"/>
  <c r="D11" i="55"/>
  <c r="C11" i="40"/>
  <c r="D11" i="40"/>
  <c r="E11" i="58"/>
  <c r="F11" i="58"/>
  <c r="E11" i="43"/>
  <c r="J7" i="44" s="1"/>
  <c r="E11" i="70"/>
  <c r="J7" i="71" s="1"/>
  <c r="F11" i="70"/>
  <c r="K7" i="71" s="1"/>
  <c r="E11" i="46"/>
  <c r="E11" i="50"/>
  <c r="E11" i="55"/>
  <c r="H11" i="70"/>
  <c r="K8" i="71" s="1"/>
  <c r="H11" i="46"/>
  <c r="H11" i="50"/>
  <c r="H11" i="55"/>
  <c r="J11" i="58"/>
  <c r="I11" i="43"/>
  <c r="J11" i="43"/>
  <c r="I11" i="70"/>
  <c r="J9" i="71" s="1"/>
  <c r="J11" i="70"/>
  <c r="K9" i="71" s="1"/>
  <c r="I11" i="46"/>
  <c r="J11" i="46"/>
  <c r="I11" i="50"/>
  <c r="J11" i="50"/>
  <c r="J10" i="55"/>
  <c r="K11" i="58"/>
  <c r="L11" i="58"/>
  <c r="K11" i="43"/>
  <c r="L11" i="43"/>
  <c r="K11" i="70"/>
  <c r="J10" i="71" s="1"/>
  <c r="L11" i="70"/>
  <c r="K11" i="46"/>
  <c r="L11" i="46"/>
  <c r="K11" i="50"/>
  <c r="L11" i="50"/>
  <c r="K10" i="55"/>
  <c r="L10" i="55"/>
  <c r="K11" i="40"/>
  <c r="L11" i="40"/>
  <c r="N11" i="58"/>
  <c r="M11" i="43"/>
  <c r="N11" i="43"/>
  <c r="M11" i="70"/>
  <c r="N11" i="70"/>
  <c r="K11" i="71" s="1"/>
  <c r="M11" i="46"/>
  <c r="M11" i="50"/>
  <c r="N11" i="50"/>
  <c r="M10" i="55"/>
  <c r="N10" i="55"/>
  <c r="M11" i="40"/>
  <c r="N11" i="40"/>
  <c r="O11" i="58"/>
  <c r="P11" i="58"/>
  <c r="O11" i="43"/>
  <c r="P11" i="43"/>
  <c r="O11" i="70"/>
  <c r="J12" i="71" s="1"/>
  <c r="O11" i="46"/>
  <c r="P11" i="46"/>
  <c r="O11" i="50"/>
  <c r="P11" i="50"/>
  <c r="O10" i="55"/>
  <c r="P10" i="55"/>
  <c r="O11" i="40"/>
  <c r="P11" i="40"/>
  <c r="Q11" i="43"/>
  <c r="R11" i="43"/>
  <c r="Q11" i="70"/>
  <c r="J13" i="71" s="1"/>
  <c r="R11" i="70"/>
  <c r="K13" i="71" s="1"/>
  <c r="Q11" i="46"/>
  <c r="R11" i="46"/>
  <c r="Q11" i="50"/>
  <c r="R11" i="50"/>
  <c r="Q10" i="55"/>
  <c r="R10" i="55"/>
  <c r="Q11" i="40"/>
  <c r="R11" i="40"/>
  <c r="S11" i="43"/>
  <c r="T11" i="43"/>
  <c r="S11" i="70"/>
  <c r="J14" i="71" s="1"/>
  <c r="T11" i="70"/>
  <c r="K14" i="71" s="1"/>
  <c r="S11" i="46"/>
  <c r="T11" i="46"/>
  <c r="S11" i="50"/>
  <c r="T11" i="50"/>
  <c r="S10" i="55"/>
  <c r="T10" i="55"/>
  <c r="S11" i="40"/>
  <c r="T11" i="40"/>
  <c r="U11" i="43"/>
  <c r="V11" i="43"/>
  <c r="U11" i="70"/>
  <c r="J15" i="71" s="1"/>
  <c r="V11" i="70"/>
  <c r="K15" i="71" s="1"/>
  <c r="U11" i="46"/>
  <c r="V11" i="46"/>
  <c r="U11" i="50"/>
  <c r="V11" i="50"/>
  <c r="U11" i="40"/>
  <c r="V11" i="40"/>
  <c r="W11" i="58"/>
  <c r="X11" i="58"/>
  <c r="W11" i="43"/>
  <c r="X11" i="43"/>
  <c r="W11" i="70"/>
  <c r="J16" i="71" s="1"/>
  <c r="X11" i="70"/>
  <c r="K16" i="71" s="1"/>
  <c r="W11" i="46"/>
  <c r="X11" i="46"/>
  <c r="W11" i="50"/>
  <c r="X11" i="50"/>
  <c r="W10" i="55"/>
  <c r="X10" i="55"/>
  <c r="W11" i="40"/>
  <c r="X11" i="40"/>
  <c r="Z11" i="58"/>
  <c r="Y11" i="43"/>
  <c r="Z11" i="43"/>
  <c r="Y11" i="70"/>
  <c r="J17" i="71" s="1"/>
  <c r="Z11" i="70"/>
  <c r="Y11" i="46"/>
  <c r="Y11" i="50"/>
  <c r="Z11" i="50"/>
  <c r="Y11" i="55"/>
  <c r="Z11" i="55"/>
  <c r="Y11" i="40"/>
  <c r="Z11" i="40"/>
  <c r="AA11" i="58"/>
  <c r="AB11" i="58"/>
  <c r="AB11" i="43"/>
  <c r="AA11" i="70"/>
  <c r="J18" i="71" s="1"/>
  <c r="AB11" i="70"/>
  <c r="K18" i="71" s="1"/>
  <c r="AA11" i="46"/>
  <c r="AB11" i="46"/>
  <c r="AA11" i="50"/>
  <c r="AB11" i="50"/>
  <c r="AA10" i="55"/>
  <c r="AB10" i="55"/>
  <c r="AA11" i="40"/>
  <c r="AB11" i="40"/>
  <c r="AD11" i="58"/>
  <c r="AC11" i="43"/>
  <c r="AC11" i="70"/>
  <c r="J19" i="71" s="1"/>
  <c r="AD11" i="70"/>
  <c r="K19" i="71" s="1"/>
  <c r="AC11" i="46"/>
  <c r="AD11" i="46"/>
  <c r="AC11" i="50"/>
  <c r="AD11" i="50"/>
  <c r="AC10" i="55"/>
  <c r="AD10" i="55"/>
  <c r="AC11" i="40"/>
  <c r="AD11" i="40"/>
  <c r="AE11" i="43"/>
  <c r="AF11" i="43"/>
  <c r="AE11" i="70"/>
  <c r="J20" i="71" s="1"/>
  <c r="AF11" i="70"/>
  <c r="K20" i="71" s="1"/>
  <c r="AE11" i="46"/>
  <c r="AF11" i="46"/>
  <c r="AE11" i="50"/>
  <c r="AF11" i="50"/>
  <c r="AE10" i="55"/>
  <c r="AF10" i="55"/>
  <c r="AE11" i="40"/>
  <c r="AF11" i="40"/>
  <c r="AH11" i="58"/>
  <c r="AG11" i="43"/>
  <c r="AH11" i="43"/>
  <c r="AG11" i="70"/>
  <c r="J21" i="71" s="1"/>
  <c r="AH11" i="70"/>
  <c r="K21" i="71" s="1"/>
  <c r="AG11" i="46"/>
  <c r="AH11" i="46"/>
  <c r="AG11" i="50"/>
  <c r="AH11" i="50"/>
  <c r="AG10" i="55"/>
  <c r="AH10" i="55"/>
  <c r="AG11" i="40"/>
  <c r="AH11" i="40"/>
  <c r="AJ11" i="58"/>
  <c r="AI11" i="43"/>
  <c r="AJ11" i="43"/>
  <c r="AI11" i="70"/>
  <c r="J22" i="71" s="1"/>
  <c r="AJ11" i="70"/>
  <c r="AI11" i="46"/>
  <c r="AJ11" i="46"/>
  <c r="AI11" i="50"/>
  <c r="AJ11" i="50"/>
  <c r="AI10" i="55"/>
  <c r="AJ10" i="55"/>
  <c r="AI11" i="40"/>
  <c r="AJ11" i="40"/>
  <c r="AL11" i="58"/>
  <c r="AK11" i="43"/>
  <c r="AL11" i="43"/>
  <c r="AK11" i="70"/>
  <c r="J23" i="71" s="1"/>
  <c r="AL11" i="70"/>
  <c r="K23" i="71" s="1"/>
  <c r="AK11" i="46"/>
  <c r="AL11" i="46"/>
  <c r="AK11" i="50"/>
  <c r="AL11" i="50"/>
  <c r="AK10" i="55"/>
  <c r="AL10" i="55"/>
  <c r="AK11" i="40"/>
  <c r="AL11" i="40"/>
  <c r="AM11" i="58"/>
  <c r="AN11" i="58"/>
  <c r="AM11" i="43"/>
  <c r="AN11" i="43"/>
  <c r="AM11" i="70"/>
  <c r="J24" i="71" s="1"/>
  <c r="AN11" i="70"/>
  <c r="K24" i="71" s="1"/>
  <c r="AM11" i="46"/>
  <c r="AN11" i="46"/>
  <c r="AM11" i="50"/>
  <c r="AN11" i="50"/>
  <c r="AM10" i="55"/>
  <c r="AN10" i="55"/>
  <c r="AM11" i="40"/>
  <c r="AN11" i="40"/>
  <c r="AO11" i="43"/>
  <c r="AO11" i="70"/>
  <c r="J25" i="71" s="1"/>
  <c r="AP11" i="70"/>
  <c r="K25" i="71" s="1"/>
  <c r="AO11" i="46"/>
  <c r="AP11" i="46"/>
  <c r="AO11" i="50"/>
  <c r="AP11" i="50"/>
  <c r="AO10" i="55"/>
  <c r="AP10" i="55"/>
  <c r="AR11" i="58"/>
  <c r="AQ11" i="43"/>
  <c r="AR11" i="43"/>
  <c r="AQ11" i="70"/>
  <c r="J26" i="71" s="1"/>
  <c r="AR11" i="70"/>
  <c r="K26" i="71" s="1"/>
  <c r="AQ11" i="46"/>
  <c r="AR11" i="46"/>
  <c r="AQ11" i="50"/>
  <c r="AR11" i="50"/>
  <c r="AQ10" i="55"/>
  <c r="AR10" i="55"/>
  <c r="AQ11" i="40"/>
  <c r="AR11" i="40"/>
  <c r="AS11" i="43"/>
  <c r="AT11" i="43"/>
  <c r="AS11" i="70"/>
  <c r="AT11" i="70"/>
  <c r="K27" i="71" s="1"/>
  <c r="AS11" i="46"/>
  <c r="AT11" i="46"/>
  <c r="AS11" i="50"/>
  <c r="AT11" i="50"/>
  <c r="AS10" i="55"/>
  <c r="AT10" i="55"/>
  <c r="AS11" i="40"/>
  <c r="AT11" i="40"/>
  <c r="AU11" i="58"/>
  <c r="AU11" i="43"/>
  <c r="AV11" i="43"/>
  <c r="AU11" i="70"/>
  <c r="J28" i="71" s="1"/>
  <c r="AV11" i="70"/>
  <c r="K28" i="71" s="1"/>
  <c r="AU11" i="46"/>
  <c r="AV11" i="46"/>
  <c r="AU11" i="50"/>
  <c r="AV11" i="50"/>
  <c r="AU10" i="55"/>
  <c r="AV10" i="55"/>
  <c r="AU11" i="40"/>
  <c r="AV11" i="40"/>
  <c r="AW11" i="58"/>
  <c r="AX11" i="58"/>
  <c r="AW11" i="43"/>
  <c r="AX11" i="43"/>
  <c r="AW11" i="70"/>
  <c r="J29" i="71" s="1"/>
  <c r="AX11" i="70"/>
  <c r="K29" i="71" s="1"/>
  <c r="AW11" i="46"/>
  <c r="AW11" i="50"/>
  <c r="AX11" i="50"/>
  <c r="AW11" i="40"/>
  <c r="AX11" i="40"/>
  <c r="AZ11" i="58"/>
  <c r="AY11" i="43"/>
  <c r="AZ11" i="43"/>
  <c r="AY11" i="70"/>
  <c r="J30" i="71" s="1"/>
  <c r="AY11" i="46"/>
  <c r="AZ11" i="46"/>
  <c r="AY11" i="50"/>
  <c r="AZ11" i="50"/>
  <c r="AY10" i="55"/>
  <c r="AZ10" i="55"/>
  <c r="AY11" i="40"/>
  <c r="AZ11" i="40"/>
  <c r="BB11" i="58"/>
  <c r="BA11" i="43"/>
  <c r="BB11" i="43"/>
  <c r="BA11" i="70"/>
  <c r="J31" i="71" s="1"/>
  <c r="BB11" i="70"/>
  <c r="K31" i="71" s="1"/>
  <c r="BA11" i="46"/>
  <c r="BB11" i="46"/>
  <c r="BA11" i="50"/>
  <c r="BB11" i="50"/>
  <c r="BA10" i="55"/>
  <c r="BB10" i="55"/>
  <c r="BA11" i="40"/>
  <c r="BB11" i="40"/>
  <c r="BC11" i="58"/>
  <c r="BC11" i="43"/>
  <c r="BD11" i="43"/>
  <c r="BC11" i="70"/>
  <c r="J32" i="71" s="1"/>
  <c r="BD11" i="70"/>
  <c r="K32" i="71" s="1"/>
  <c r="BC11" i="46"/>
  <c r="BD11" i="46"/>
  <c r="BC11" i="50"/>
  <c r="BD11" i="50"/>
  <c r="BC10" i="55"/>
  <c r="BD10" i="55"/>
  <c r="BC11" i="40"/>
  <c r="BD11" i="40"/>
  <c r="BE11" i="43"/>
  <c r="BF11" i="43"/>
  <c r="BE11" i="70"/>
  <c r="J33" i="71" s="1"/>
  <c r="BF11" i="70"/>
  <c r="K33" i="71" s="1"/>
  <c r="BE11" i="46"/>
  <c r="BF11" i="46"/>
  <c r="BE11" i="40"/>
  <c r="BF11" i="40"/>
  <c r="BG11" i="58"/>
  <c r="BH11" i="58"/>
  <c r="BG11" i="43"/>
  <c r="BH11" i="43"/>
  <c r="BG11" i="70"/>
  <c r="J34" i="71" s="1"/>
  <c r="BH11" i="70"/>
  <c r="K34" i="71" s="1"/>
  <c r="BG11" i="46"/>
  <c r="BH11" i="46"/>
  <c r="BG11" i="50"/>
  <c r="BH11" i="50"/>
  <c r="BH10" i="55"/>
  <c r="BG11" i="40"/>
  <c r="BH11" i="40"/>
  <c r="BJ11" i="58"/>
  <c r="BI11" i="43"/>
  <c r="BJ11" i="43"/>
  <c r="BI11" i="70"/>
  <c r="J35" i="71" s="1"/>
  <c r="BJ11" i="70"/>
  <c r="BI11" i="46"/>
  <c r="BI11" i="50"/>
  <c r="BJ11" i="50"/>
  <c r="BI10" i="55"/>
  <c r="BJ10" i="55"/>
  <c r="BI11" i="40"/>
  <c r="BJ11" i="40"/>
  <c r="BK11" i="43"/>
  <c r="BL11" i="43"/>
  <c r="BK11" i="70"/>
  <c r="J36" i="71" s="1"/>
  <c r="BL11" i="70"/>
  <c r="K36" i="71" s="1"/>
  <c r="BK11" i="46"/>
  <c r="BL11" i="46"/>
  <c r="BK11" i="50"/>
  <c r="BL11" i="50"/>
  <c r="BK10" i="55"/>
  <c r="BL10" i="55"/>
  <c r="BK11" i="40"/>
  <c r="BL11" i="40"/>
  <c r="BM11" i="43"/>
  <c r="BN11" i="43"/>
  <c r="BM11" i="70"/>
  <c r="J37" i="71" s="1"/>
  <c r="BN11" i="70"/>
  <c r="K37" i="71" s="1"/>
  <c r="BM11" i="46"/>
  <c r="BN11" i="46"/>
  <c r="BM11" i="50"/>
  <c r="BN11" i="50"/>
  <c r="BM10" i="55"/>
  <c r="BN10" i="55"/>
  <c r="BM11" i="40"/>
  <c r="BN11" i="40"/>
  <c r="BO11" i="43"/>
  <c r="BP11" i="43"/>
  <c r="BO11" i="70"/>
  <c r="J38" i="71" s="1"/>
  <c r="BP11" i="70"/>
  <c r="K38" i="71" s="1"/>
  <c r="BO11" i="46"/>
  <c r="BP11" i="46"/>
  <c r="BO11" i="50"/>
  <c r="BP11" i="50"/>
  <c r="BO10" i="55"/>
  <c r="BP10" i="55"/>
  <c r="BO11" i="40"/>
  <c r="BP11" i="40"/>
  <c r="BQ11" i="43"/>
  <c r="BR11" i="43"/>
  <c r="BQ11" i="70"/>
  <c r="J39" i="71" s="1"/>
  <c r="BR11" i="70"/>
  <c r="K39" i="71" s="1"/>
  <c r="BQ11" i="46"/>
  <c r="BR11" i="46"/>
  <c r="BQ11" i="50"/>
  <c r="BR11" i="50"/>
  <c r="BQ11" i="40"/>
  <c r="BR11" i="40"/>
  <c r="BS11" i="43"/>
  <c r="BT11" i="43"/>
  <c r="BS11" i="70"/>
  <c r="J40" i="71" s="1"/>
  <c r="BT11" i="70"/>
  <c r="K40" i="71" s="1"/>
  <c r="BS11" i="46"/>
  <c r="BT11" i="46"/>
  <c r="BS11" i="50"/>
  <c r="BT11" i="50"/>
  <c r="BS10" i="55"/>
  <c r="BT10" i="55"/>
  <c r="BS11" i="40"/>
  <c r="BT11" i="40"/>
  <c r="BU11" i="43"/>
  <c r="BV11" i="43"/>
  <c r="BU11" i="70"/>
  <c r="J41" i="71" s="1"/>
  <c r="BV11" i="70"/>
  <c r="BU11" i="46"/>
  <c r="BV11" i="46"/>
  <c r="BU11" i="50"/>
  <c r="BV11" i="50"/>
  <c r="BU10" i="55"/>
  <c r="BV10" i="55"/>
  <c r="BU11" i="40"/>
  <c r="BV11" i="40"/>
  <c r="BW11" i="43"/>
  <c r="BX11" i="43"/>
  <c r="BW11" i="70"/>
  <c r="J42" i="71" s="1"/>
  <c r="BX11" i="70"/>
  <c r="K42" i="71" s="1"/>
  <c r="BW11" i="46"/>
  <c r="BX11" i="46"/>
  <c r="BW11" i="50"/>
  <c r="BX11" i="50"/>
  <c r="BW10" i="55"/>
  <c r="BX10" i="55"/>
  <c r="BW11" i="40"/>
  <c r="BX11" i="40"/>
  <c r="BY11" i="43"/>
  <c r="BZ11" i="43"/>
  <c r="BY11" i="70"/>
  <c r="J43" i="71" s="1"/>
  <c r="BZ11" i="70"/>
  <c r="K43" i="71" s="1"/>
  <c r="BY11" i="46"/>
  <c r="BZ11" i="46"/>
  <c r="BY11" i="50"/>
  <c r="BZ11" i="50"/>
  <c r="BY10" i="55"/>
  <c r="BZ10" i="55"/>
  <c r="BY11" i="40"/>
  <c r="BZ11" i="40"/>
  <c r="C12" i="58"/>
  <c r="D12" i="58"/>
  <c r="C12" i="43"/>
  <c r="L6" i="44" s="1"/>
  <c r="D12" i="43"/>
  <c r="C12" i="70"/>
  <c r="L6" i="71" s="1"/>
  <c r="D12" i="70"/>
  <c r="M6" i="71" s="1"/>
  <c r="C12" i="46"/>
  <c r="D12" i="46"/>
  <c r="C12" i="50"/>
  <c r="D12" i="50"/>
  <c r="C12" i="55"/>
  <c r="D12" i="55"/>
  <c r="C12" i="40"/>
  <c r="D12" i="40"/>
  <c r="E12" i="58"/>
  <c r="F12" i="58"/>
  <c r="E12" i="43"/>
  <c r="L7" i="44" s="1"/>
  <c r="F12" i="43"/>
  <c r="M7" i="44" s="1"/>
  <c r="E12" i="70"/>
  <c r="L7" i="71" s="1"/>
  <c r="F12" i="70"/>
  <c r="M7" i="71" s="1"/>
  <c r="E12" i="46"/>
  <c r="E12" i="50"/>
  <c r="E12" i="55"/>
  <c r="H12" i="70"/>
  <c r="H12" i="46"/>
  <c r="H12" i="50"/>
  <c r="H12" i="55"/>
  <c r="I12" i="58"/>
  <c r="J12" i="58"/>
  <c r="I12" i="43"/>
  <c r="J12" i="43"/>
  <c r="I12" i="70"/>
  <c r="J12" i="70"/>
  <c r="M9" i="71" s="1"/>
  <c r="I12" i="46"/>
  <c r="J12" i="46"/>
  <c r="I12" i="50"/>
  <c r="J12" i="50"/>
  <c r="K12" i="58"/>
  <c r="L12" i="58"/>
  <c r="L12" i="43"/>
  <c r="K12" i="70"/>
  <c r="L12" i="70"/>
  <c r="M10" i="71" s="1"/>
  <c r="K12" i="46"/>
  <c r="L12" i="46"/>
  <c r="K12" i="50"/>
  <c r="L12" i="50"/>
  <c r="K11" i="55"/>
  <c r="L11" i="55"/>
  <c r="K12" i="40"/>
  <c r="L12" i="40"/>
  <c r="N12" i="58"/>
  <c r="M12" i="43"/>
  <c r="N12" i="43"/>
  <c r="M12" i="70"/>
  <c r="L11" i="71" s="1"/>
  <c r="N12" i="70"/>
  <c r="M11" i="71" s="1"/>
  <c r="M12" i="46"/>
  <c r="M12" i="50"/>
  <c r="N12" i="50"/>
  <c r="M11" i="55"/>
  <c r="N11" i="55"/>
  <c r="M12" i="40"/>
  <c r="N12" i="40"/>
  <c r="O12" i="58"/>
  <c r="O12" i="43"/>
  <c r="P12" i="43"/>
  <c r="O12" i="70"/>
  <c r="L12" i="71" s="1"/>
  <c r="P12" i="70"/>
  <c r="M12" i="71" s="1"/>
  <c r="O12" i="46"/>
  <c r="P12" i="46"/>
  <c r="O12" i="50"/>
  <c r="P12" i="50"/>
  <c r="O11" i="55"/>
  <c r="P11" i="55"/>
  <c r="O12" i="40"/>
  <c r="P12" i="40"/>
  <c r="Q12" i="58"/>
  <c r="R12" i="58"/>
  <c r="Q12" i="43"/>
  <c r="R12" i="43"/>
  <c r="Q12" i="70"/>
  <c r="L13" i="71" s="1"/>
  <c r="R12" i="70"/>
  <c r="M13" i="71" s="1"/>
  <c r="Q12" i="46"/>
  <c r="R12" i="46"/>
  <c r="Q12" i="50"/>
  <c r="R12" i="50"/>
  <c r="Q11" i="55"/>
  <c r="R11" i="55"/>
  <c r="Q12" i="40"/>
  <c r="R12" i="40"/>
  <c r="S12" i="43"/>
  <c r="T12" i="43"/>
  <c r="S12" i="70"/>
  <c r="L14" i="71" s="1"/>
  <c r="T12" i="70"/>
  <c r="M14" i="71" s="1"/>
  <c r="S12" i="46"/>
  <c r="T12" i="46"/>
  <c r="S12" i="50"/>
  <c r="T12" i="50"/>
  <c r="S11" i="55"/>
  <c r="T11" i="55"/>
  <c r="S12" i="40"/>
  <c r="T12" i="40"/>
  <c r="U12" i="58"/>
  <c r="V12" i="58"/>
  <c r="U12" i="43"/>
  <c r="V12" i="43"/>
  <c r="U12" i="70"/>
  <c r="L15" i="71" s="1"/>
  <c r="V12" i="70"/>
  <c r="U12" i="46"/>
  <c r="V12" i="46"/>
  <c r="U12" i="50"/>
  <c r="V12" i="50"/>
  <c r="U12" i="40"/>
  <c r="V12" i="40"/>
  <c r="W12" i="58"/>
  <c r="X12" i="58"/>
  <c r="X12" i="43"/>
  <c r="W12" i="70"/>
  <c r="L16" i="71" s="1"/>
  <c r="X12" i="70"/>
  <c r="M16" i="71" s="1"/>
  <c r="W12" i="46"/>
  <c r="X12" i="46"/>
  <c r="W12" i="50"/>
  <c r="X12" i="50"/>
  <c r="W11" i="55"/>
  <c r="X11" i="55"/>
  <c r="W12" i="40"/>
  <c r="X12" i="40"/>
  <c r="Y12" i="58"/>
  <c r="Z12" i="58"/>
  <c r="Y12" i="43"/>
  <c r="Z12" i="43"/>
  <c r="Y12" i="70"/>
  <c r="L17" i="71" s="1"/>
  <c r="Z12" i="70"/>
  <c r="M17" i="71" s="1"/>
  <c r="Y12" i="46"/>
  <c r="Z12" i="46"/>
  <c r="Y12" i="50"/>
  <c r="Z12" i="50"/>
  <c r="Y12" i="55"/>
  <c r="Z12" i="55"/>
  <c r="Y12" i="40"/>
  <c r="Z12" i="40"/>
  <c r="AA12" i="58"/>
  <c r="AB12" i="58"/>
  <c r="AA12" i="43"/>
  <c r="AB12" i="43"/>
  <c r="AA12" i="70"/>
  <c r="L18" i="71" s="1"/>
  <c r="AB12" i="70"/>
  <c r="M18" i="71" s="1"/>
  <c r="AA12" i="46"/>
  <c r="AB12" i="46"/>
  <c r="AA12" i="50"/>
  <c r="AB12" i="50"/>
  <c r="AA11" i="55"/>
  <c r="AB11" i="55"/>
  <c r="AA12" i="40"/>
  <c r="AB12" i="40"/>
  <c r="AC12" i="58"/>
  <c r="AD12" i="58"/>
  <c r="AC12" i="43"/>
  <c r="AD12" i="43"/>
  <c r="AC12" i="70"/>
  <c r="L19" i="71" s="1"/>
  <c r="AD12" i="70"/>
  <c r="M19" i="71" s="1"/>
  <c r="AC12" i="46"/>
  <c r="AD12" i="46"/>
  <c r="AC12" i="50"/>
  <c r="AD12" i="50"/>
  <c r="AC11" i="55"/>
  <c r="AD11" i="55"/>
  <c r="AC12" i="40"/>
  <c r="AD12" i="40"/>
  <c r="AE12" i="43"/>
  <c r="AF12" i="43"/>
  <c r="AE12" i="70"/>
  <c r="L20" i="71" s="1"/>
  <c r="AF12" i="70"/>
  <c r="AE12" i="46"/>
  <c r="AF12" i="46"/>
  <c r="AE12" i="50"/>
  <c r="AF12" i="50"/>
  <c r="AE11" i="55"/>
  <c r="AF11" i="55"/>
  <c r="AE12" i="40"/>
  <c r="AF12" i="40"/>
  <c r="AH12" i="58"/>
  <c r="AG12" i="43"/>
  <c r="AH12" i="43"/>
  <c r="AG12" i="70"/>
  <c r="L21" i="71" s="1"/>
  <c r="AH12" i="70"/>
  <c r="M21" i="71" s="1"/>
  <c r="AG12" i="46"/>
  <c r="AH12" i="46"/>
  <c r="AG12" i="50"/>
  <c r="AH12" i="50"/>
  <c r="AG11" i="55"/>
  <c r="AH11" i="55"/>
  <c r="AG12" i="40"/>
  <c r="AH12" i="40"/>
  <c r="AI12" i="58"/>
  <c r="AJ12" i="58"/>
  <c r="AI12" i="43"/>
  <c r="AJ12" i="43"/>
  <c r="AI12" i="70"/>
  <c r="L22" i="71" s="1"/>
  <c r="AJ12" i="70"/>
  <c r="M22" i="71" s="1"/>
  <c r="AI12" i="46"/>
  <c r="AJ12" i="46"/>
  <c r="AI12" i="50"/>
  <c r="AJ12" i="50"/>
  <c r="AI11" i="55"/>
  <c r="AJ11" i="55"/>
  <c r="AI12" i="40"/>
  <c r="AJ12" i="40"/>
  <c r="AL12" i="58"/>
  <c r="AK12" i="43"/>
  <c r="AL12" i="43"/>
  <c r="AK12" i="70"/>
  <c r="L23" i="71" s="1"/>
  <c r="AL12" i="70"/>
  <c r="M23" i="71" s="1"/>
  <c r="AK12" i="46"/>
  <c r="AL12" i="46"/>
  <c r="AK12" i="50"/>
  <c r="AL12" i="50"/>
  <c r="AK11" i="55"/>
  <c r="AL11" i="55"/>
  <c r="AK12" i="40"/>
  <c r="AL12" i="40"/>
  <c r="AN12" i="58"/>
  <c r="AM12" i="43"/>
  <c r="AN12" i="43"/>
  <c r="AM12" i="70"/>
  <c r="L24" i="71" s="1"/>
  <c r="AN12" i="70"/>
  <c r="M24" i="71" s="1"/>
  <c r="AM12" i="46"/>
  <c r="AN12" i="46"/>
  <c r="AM12" i="50"/>
  <c r="AN12" i="50"/>
  <c r="AM11" i="55"/>
  <c r="AN11" i="55"/>
  <c r="AM12" i="40"/>
  <c r="AN12" i="40"/>
  <c r="AO12" i="43"/>
  <c r="AP12" i="43"/>
  <c r="AO12" i="70"/>
  <c r="L25" i="71" s="1"/>
  <c r="AP12" i="70"/>
  <c r="M25" i="71" s="1"/>
  <c r="AO12" i="46"/>
  <c r="AP12" i="46"/>
  <c r="AO12" i="50"/>
  <c r="AP12" i="50"/>
  <c r="AO11" i="55"/>
  <c r="AP11" i="55"/>
  <c r="AQ12" i="58"/>
  <c r="AQ12" i="43"/>
  <c r="AR12" i="43"/>
  <c r="AQ12" i="70"/>
  <c r="L26" i="71" s="1"/>
  <c r="AR12" i="70"/>
  <c r="M26" i="71" s="1"/>
  <c r="AQ12" i="46"/>
  <c r="AR12" i="46"/>
  <c r="AQ12" i="50"/>
  <c r="AR12" i="50"/>
  <c r="AQ11" i="55"/>
  <c r="AR11" i="55"/>
  <c r="AQ12" i="40"/>
  <c r="AR12" i="40"/>
  <c r="AS12" i="43"/>
  <c r="AT12" i="43"/>
  <c r="AS12" i="70"/>
  <c r="L27" i="71" s="1"/>
  <c r="AT12" i="70"/>
  <c r="M27" i="71" s="1"/>
  <c r="AS12" i="46"/>
  <c r="AT12" i="46"/>
  <c r="AS12" i="50"/>
  <c r="AT12" i="50"/>
  <c r="AS11" i="55"/>
  <c r="AT11" i="55"/>
  <c r="AS12" i="40"/>
  <c r="AT12" i="40"/>
  <c r="AU12" i="58"/>
  <c r="AV12" i="58"/>
  <c r="AU12" i="43"/>
  <c r="AV12" i="43"/>
  <c r="AU12" i="70"/>
  <c r="L28" i="71" s="1"/>
  <c r="AV12" i="70"/>
  <c r="M28" i="71" s="1"/>
  <c r="AU12" i="46"/>
  <c r="AV12" i="46"/>
  <c r="AU12" i="50"/>
  <c r="AV12" i="50"/>
  <c r="AU11" i="55"/>
  <c r="AV11" i="55"/>
  <c r="AU12" i="40"/>
  <c r="AV12" i="40"/>
  <c r="AW12" i="43"/>
  <c r="AX12" i="43"/>
  <c r="AW12" i="70"/>
  <c r="L29" i="71" s="1"/>
  <c r="AX12" i="70"/>
  <c r="M29" i="71" s="1"/>
  <c r="AW12" i="46"/>
  <c r="AX12" i="46"/>
  <c r="AW12" i="50"/>
  <c r="AX12" i="50"/>
  <c r="AW12" i="40"/>
  <c r="AX12" i="40"/>
  <c r="AY12" i="58"/>
  <c r="AZ12" i="58"/>
  <c r="AY12" i="43"/>
  <c r="AZ12" i="43"/>
  <c r="AY12" i="70"/>
  <c r="L30" i="71" s="1"/>
  <c r="AZ12" i="70"/>
  <c r="AY12" i="46"/>
  <c r="AZ12" i="46"/>
  <c r="AY12" i="50"/>
  <c r="AZ12" i="50"/>
  <c r="AY11" i="55"/>
  <c r="AZ11" i="55"/>
  <c r="AY12" i="40"/>
  <c r="AZ12" i="40"/>
  <c r="BA12" i="58"/>
  <c r="BB12" i="58"/>
  <c r="BA12" i="43"/>
  <c r="BB12" i="43"/>
  <c r="BA12" i="70"/>
  <c r="L31" i="71" s="1"/>
  <c r="BB12" i="70"/>
  <c r="M31" i="71" s="1"/>
  <c r="BA12" i="46"/>
  <c r="BB12" i="46"/>
  <c r="BA12" i="50"/>
  <c r="BB12" i="50"/>
  <c r="BA11" i="55"/>
  <c r="BB11" i="55"/>
  <c r="BA12" i="40"/>
  <c r="BB12" i="40"/>
  <c r="BC12" i="43"/>
  <c r="BD12" i="43"/>
  <c r="BC12" i="70"/>
  <c r="L32" i="71" s="1"/>
  <c r="BD12" i="70"/>
  <c r="M32" i="71" s="1"/>
  <c r="BC12" i="46"/>
  <c r="BD12" i="46"/>
  <c r="BC12" i="50"/>
  <c r="BD12" i="50"/>
  <c r="BC11" i="55"/>
  <c r="BD11" i="55"/>
  <c r="BC12" i="40"/>
  <c r="BD12" i="40"/>
  <c r="BF12" i="58"/>
  <c r="BE12" i="43"/>
  <c r="BF12" i="43"/>
  <c r="BE12" i="70"/>
  <c r="L33" i="71" s="1"/>
  <c r="BF12" i="70"/>
  <c r="M33" i="71" s="1"/>
  <c r="BE12" i="46"/>
  <c r="BF12" i="46"/>
  <c r="BE12" i="40"/>
  <c r="BF12" i="40"/>
  <c r="BG12" i="58"/>
  <c r="BH12" i="58"/>
  <c r="BG12" i="43"/>
  <c r="BH12" i="43"/>
  <c r="BG12" i="70"/>
  <c r="BH12" i="70"/>
  <c r="M34" i="71" s="1"/>
  <c r="BG12" i="46"/>
  <c r="BH12" i="46"/>
  <c r="BG12" i="50"/>
  <c r="BH12" i="50"/>
  <c r="BG11" i="55"/>
  <c r="BH11" i="55"/>
  <c r="BG12" i="40"/>
  <c r="BH12" i="40"/>
  <c r="BJ12" i="58"/>
  <c r="BI12" i="43"/>
  <c r="BJ12" i="43"/>
  <c r="BI12" i="70"/>
  <c r="L35" i="71" s="1"/>
  <c r="BJ12" i="70"/>
  <c r="M35" i="71" s="1"/>
  <c r="BI12" i="46"/>
  <c r="BJ12" i="46"/>
  <c r="BI12" i="50"/>
  <c r="BJ12" i="50"/>
  <c r="BI11" i="55"/>
  <c r="BJ11" i="55"/>
  <c r="BI12" i="40"/>
  <c r="BJ12" i="40"/>
  <c r="BK12" i="43"/>
  <c r="BL12" i="43"/>
  <c r="BK12" i="70"/>
  <c r="BL12" i="70"/>
  <c r="M36" i="71" s="1"/>
  <c r="BK12" i="46"/>
  <c r="BL12" i="46"/>
  <c r="BK12" i="50"/>
  <c r="BL12" i="50"/>
  <c r="BK11" i="55"/>
  <c r="BL11" i="55"/>
  <c r="BK12" i="40"/>
  <c r="BL12" i="40"/>
  <c r="BM12" i="43"/>
  <c r="BN12" i="43"/>
  <c r="BM12" i="70"/>
  <c r="L37" i="71" s="1"/>
  <c r="BN12" i="70"/>
  <c r="M37" i="71" s="1"/>
  <c r="BM12" i="46"/>
  <c r="BN12" i="46"/>
  <c r="BM12" i="50"/>
  <c r="BN12" i="50"/>
  <c r="BM11" i="55"/>
  <c r="BN11" i="55"/>
  <c r="BM12" i="40"/>
  <c r="BN12" i="40"/>
  <c r="BO12" i="43"/>
  <c r="BP12" i="43"/>
  <c r="BO12" i="70"/>
  <c r="L38" i="71" s="1"/>
  <c r="BP12" i="70"/>
  <c r="M38" i="71" s="1"/>
  <c r="BO12" i="46"/>
  <c r="BP12" i="46"/>
  <c r="BO12" i="50"/>
  <c r="BP12" i="50"/>
  <c r="BO11" i="55"/>
  <c r="BP11" i="55"/>
  <c r="BO12" i="40"/>
  <c r="BP12" i="40"/>
  <c r="BQ12" i="43"/>
  <c r="BR12" i="43"/>
  <c r="BQ12" i="70"/>
  <c r="L39" i="71" s="1"/>
  <c r="BR12" i="70"/>
  <c r="M39" i="71" s="1"/>
  <c r="BQ12" i="46"/>
  <c r="BR12" i="46"/>
  <c r="BQ12" i="50"/>
  <c r="BR12" i="50"/>
  <c r="BQ12" i="40"/>
  <c r="BR12" i="40"/>
  <c r="BS12" i="43"/>
  <c r="BT12" i="43"/>
  <c r="BS12" i="70"/>
  <c r="BT12" i="70"/>
  <c r="M40" i="71" s="1"/>
  <c r="BS12" i="46"/>
  <c r="BT12" i="46"/>
  <c r="BS12" i="50"/>
  <c r="BT12" i="50"/>
  <c r="BS11" i="55"/>
  <c r="BT11" i="55"/>
  <c r="BS12" i="40"/>
  <c r="BT12" i="40"/>
  <c r="BU12" i="43"/>
  <c r="BV12" i="43"/>
  <c r="BU12" i="70"/>
  <c r="BV12" i="70"/>
  <c r="M41" i="71" s="1"/>
  <c r="BU12" i="46"/>
  <c r="BV12" i="46"/>
  <c r="BU12" i="50"/>
  <c r="BV12" i="50"/>
  <c r="BU11" i="55"/>
  <c r="BV11" i="55"/>
  <c r="BU12" i="40"/>
  <c r="BV12" i="40"/>
  <c r="BW12" i="43"/>
  <c r="BX12" i="43"/>
  <c r="BW12" i="70"/>
  <c r="L42" i="71" s="1"/>
  <c r="BX12" i="70"/>
  <c r="M42" i="71" s="1"/>
  <c r="BW12" i="46"/>
  <c r="BX12" i="46"/>
  <c r="BW12" i="50"/>
  <c r="BX12" i="50"/>
  <c r="BW11" i="55"/>
  <c r="BX11" i="55"/>
  <c r="BW12" i="40"/>
  <c r="BX12" i="40"/>
  <c r="BY12" i="43"/>
  <c r="BZ12" i="43"/>
  <c r="BY12" i="70"/>
  <c r="L43" i="71" s="1"/>
  <c r="BZ12" i="70"/>
  <c r="M43" i="71" s="1"/>
  <c r="BY12" i="46"/>
  <c r="BZ12" i="46"/>
  <c r="BY12" i="50"/>
  <c r="BZ12" i="50"/>
  <c r="BY11" i="55"/>
  <c r="BZ11" i="55"/>
  <c r="BY12" i="40"/>
  <c r="BZ12" i="40"/>
  <c r="C13" i="58"/>
  <c r="C13" i="43"/>
  <c r="N6" i="44" s="1"/>
  <c r="D13" i="43"/>
  <c r="O6" i="44" s="1"/>
  <c r="C13" i="70"/>
  <c r="N6" i="71" s="1"/>
  <c r="D13" i="70"/>
  <c r="O6" i="71" s="1"/>
  <c r="D13" i="46"/>
  <c r="C13" i="50"/>
  <c r="D13" i="50"/>
  <c r="C13" i="55"/>
  <c r="D13" i="55"/>
  <c r="C13" i="40"/>
  <c r="D13" i="40"/>
  <c r="E13" i="58"/>
  <c r="F13" i="58"/>
  <c r="E13" i="43"/>
  <c r="N7" i="44" s="1"/>
  <c r="F13" i="43"/>
  <c r="O7" i="44" s="1"/>
  <c r="E13" i="70"/>
  <c r="N7" i="71" s="1"/>
  <c r="F13" i="70"/>
  <c r="O7" i="71" s="1"/>
  <c r="E13" i="46"/>
  <c r="E13" i="50"/>
  <c r="E13" i="55"/>
  <c r="H13" i="70"/>
  <c r="O8" i="71" s="1"/>
  <c r="H13" i="46"/>
  <c r="H13" i="50"/>
  <c r="H13" i="55"/>
  <c r="J13" i="58"/>
  <c r="I13" i="43"/>
  <c r="J13" i="43"/>
  <c r="I13" i="70"/>
  <c r="N9" i="71" s="1"/>
  <c r="J13" i="70"/>
  <c r="O9" i="71" s="1"/>
  <c r="I13" i="46"/>
  <c r="J13" i="46"/>
  <c r="I13" i="50"/>
  <c r="J13" i="50"/>
  <c r="J12" i="55"/>
  <c r="K13" i="58"/>
  <c r="L13" i="58"/>
  <c r="K13" i="43"/>
  <c r="L13" i="43"/>
  <c r="K13" i="70"/>
  <c r="N10" i="71" s="1"/>
  <c r="L13" i="70"/>
  <c r="O10" i="71" s="1"/>
  <c r="K13" i="46"/>
  <c r="L13" i="46"/>
  <c r="K13" i="50"/>
  <c r="L13" i="50"/>
  <c r="L12" i="55"/>
  <c r="K13" i="40"/>
  <c r="L13" i="40"/>
  <c r="N13" i="58"/>
  <c r="M13" i="43"/>
  <c r="N13" i="43"/>
  <c r="M13" i="70"/>
  <c r="N11" i="71" s="1"/>
  <c r="N13" i="70"/>
  <c r="O11" i="71" s="1"/>
  <c r="M13" i="46"/>
  <c r="N13" i="46"/>
  <c r="M13" i="50"/>
  <c r="N13" i="50"/>
  <c r="M12" i="55"/>
  <c r="M13" i="40"/>
  <c r="N13" i="40"/>
  <c r="O13" i="58"/>
  <c r="P13" i="58"/>
  <c r="O13" i="43"/>
  <c r="P13" i="43"/>
  <c r="O13" i="70"/>
  <c r="N12" i="71" s="1"/>
  <c r="P13" i="70"/>
  <c r="O12" i="71" s="1"/>
  <c r="O13" i="46"/>
  <c r="P13" i="46"/>
  <c r="O13" i="50"/>
  <c r="P13" i="50"/>
  <c r="O12" i="55"/>
  <c r="P12" i="55"/>
  <c r="O13" i="40"/>
  <c r="P13" i="40"/>
  <c r="R13" i="58"/>
  <c r="Q13" i="43"/>
  <c r="R13" i="43"/>
  <c r="Q13" i="70"/>
  <c r="N13" i="71" s="1"/>
  <c r="R13" i="70"/>
  <c r="O13" i="71" s="1"/>
  <c r="Q13" i="46"/>
  <c r="Q13" i="50"/>
  <c r="R13" i="50"/>
  <c r="Q12" i="55"/>
  <c r="R12" i="55"/>
  <c r="Q13" i="40"/>
  <c r="R13" i="40"/>
  <c r="S13" i="58"/>
  <c r="T13" i="58"/>
  <c r="S13" i="43"/>
  <c r="T13" i="43"/>
  <c r="S13" i="70"/>
  <c r="N14" i="71" s="1"/>
  <c r="S13" i="46"/>
  <c r="T13" i="46"/>
  <c r="S13" i="50"/>
  <c r="T13" i="50"/>
  <c r="S12" i="55"/>
  <c r="T12" i="55"/>
  <c r="S13" i="40"/>
  <c r="T13" i="40"/>
  <c r="U13" i="43"/>
  <c r="V13" i="43"/>
  <c r="U13" i="70"/>
  <c r="V13" i="70"/>
  <c r="O15" i="71" s="1"/>
  <c r="U13" i="46"/>
  <c r="V13" i="46"/>
  <c r="U13" i="50"/>
  <c r="V13" i="50"/>
  <c r="U13" i="40"/>
  <c r="V13" i="40"/>
  <c r="W13" i="58"/>
  <c r="X13" i="58"/>
  <c r="W13" i="43"/>
  <c r="X13" i="43"/>
  <c r="W13" i="70"/>
  <c r="N16" i="71" s="1"/>
  <c r="X13" i="70"/>
  <c r="W13" i="46"/>
  <c r="X13" i="46"/>
  <c r="W13" i="50"/>
  <c r="X13" i="50"/>
  <c r="W12" i="55"/>
  <c r="X12" i="55"/>
  <c r="W13" i="40"/>
  <c r="X13" i="40"/>
  <c r="Y13" i="58"/>
  <c r="Y13" i="43"/>
  <c r="Z13" i="43"/>
  <c r="Y13" i="70"/>
  <c r="N17" i="71" s="1"/>
  <c r="Z13" i="70"/>
  <c r="O17" i="71" s="1"/>
  <c r="Y13" i="46"/>
  <c r="Z13" i="46"/>
  <c r="Y13" i="50"/>
  <c r="Z13" i="50"/>
  <c r="Y13" i="55"/>
  <c r="Z13" i="55"/>
  <c r="Y13" i="40"/>
  <c r="Z13" i="40"/>
  <c r="AB13" i="58"/>
  <c r="AA13" i="43"/>
  <c r="AB13" i="43"/>
  <c r="AA13" i="70"/>
  <c r="N18" i="71" s="1"/>
  <c r="AB13" i="70"/>
  <c r="O18" i="71" s="1"/>
  <c r="AA13" i="46"/>
  <c r="AB13" i="46"/>
  <c r="AA13" i="50"/>
  <c r="AB13" i="50"/>
  <c r="AA12" i="55"/>
  <c r="AB12" i="55"/>
  <c r="AA13" i="40"/>
  <c r="AB13" i="40"/>
  <c r="AD13" i="58"/>
  <c r="AC13" i="43"/>
  <c r="AD13" i="43"/>
  <c r="AC13" i="70"/>
  <c r="N19" i="71" s="1"/>
  <c r="AD13" i="70"/>
  <c r="O19" i="71" s="1"/>
  <c r="AC13" i="46"/>
  <c r="AD13" i="46"/>
  <c r="AC13" i="50"/>
  <c r="AD13" i="50"/>
  <c r="AC12" i="55"/>
  <c r="AD12" i="55"/>
  <c r="AC13" i="40"/>
  <c r="AD13" i="40"/>
  <c r="AE13" i="58"/>
  <c r="AF13" i="58"/>
  <c r="AF13" i="43"/>
  <c r="AE13" i="70"/>
  <c r="N20" i="71" s="1"/>
  <c r="AF13" i="70"/>
  <c r="O20" i="71" s="1"/>
  <c r="AE13" i="46"/>
  <c r="AF13" i="46"/>
  <c r="AE13" i="50"/>
  <c r="AF13" i="50"/>
  <c r="AE12" i="55"/>
  <c r="AF12" i="55"/>
  <c r="AE13" i="40"/>
  <c r="AF13" i="40"/>
  <c r="AH13" i="58"/>
  <c r="AG13" i="43"/>
  <c r="AG13" i="70"/>
  <c r="N21" i="71" s="1"/>
  <c r="AH13" i="70"/>
  <c r="AG13" i="46"/>
  <c r="AH13" i="46"/>
  <c r="AG13" i="50"/>
  <c r="AH13" i="50"/>
  <c r="AG12" i="55"/>
  <c r="AH12" i="55"/>
  <c r="AG13" i="40"/>
  <c r="AH13" i="40"/>
  <c r="AI13" i="43"/>
  <c r="AJ13" i="43"/>
  <c r="AI13" i="70"/>
  <c r="N22" i="71" s="1"/>
  <c r="AJ13" i="70"/>
  <c r="O22" i="71" s="1"/>
  <c r="AI13" i="46"/>
  <c r="AJ13" i="46"/>
  <c r="AI13" i="50"/>
  <c r="AJ13" i="50"/>
  <c r="AI12" i="55"/>
  <c r="AJ12" i="55"/>
  <c r="AI13" i="40"/>
  <c r="AJ13" i="40"/>
  <c r="AL13" i="58"/>
  <c r="AK13" i="43"/>
  <c r="AL13" i="43"/>
  <c r="AK13" i="70"/>
  <c r="N23" i="71" s="1"/>
  <c r="AL13" i="70"/>
  <c r="O23" i="71" s="1"/>
  <c r="AK13" i="46"/>
  <c r="AL13" i="46"/>
  <c r="AK13" i="50"/>
  <c r="AL13" i="50"/>
  <c r="AK12" i="55"/>
  <c r="AK13" i="40"/>
  <c r="AL13" i="40"/>
  <c r="AN13" i="58"/>
  <c r="AM13" i="43"/>
  <c r="AN13" i="43"/>
  <c r="AM13" i="70"/>
  <c r="N24" i="71" s="1"/>
  <c r="AN13" i="70"/>
  <c r="O24" i="71" s="1"/>
  <c r="AM13" i="46"/>
  <c r="AN13" i="46"/>
  <c r="AM13" i="50"/>
  <c r="AN13" i="50"/>
  <c r="AM12" i="55"/>
  <c r="AN12" i="55"/>
  <c r="AM13" i="40"/>
  <c r="AN13" i="40"/>
  <c r="AO13" i="43"/>
  <c r="AP13" i="43"/>
  <c r="AO13" i="70"/>
  <c r="N25" i="71" s="1"/>
  <c r="AP13" i="70"/>
  <c r="O25" i="71" s="1"/>
  <c r="AO13" i="46"/>
  <c r="AP13" i="46"/>
  <c r="AO13" i="50"/>
  <c r="AP13" i="50"/>
  <c r="AO12" i="55"/>
  <c r="AP12" i="55"/>
  <c r="AR13" i="58"/>
  <c r="AQ13" i="43"/>
  <c r="AR13" i="43"/>
  <c r="AQ13" i="70"/>
  <c r="N26" i="71" s="1"/>
  <c r="AR13" i="70"/>
  <c r="AQ13" i="46"/>
  <c r="AR13" i="46"/>
  <c r="AQ13" i="50"/>
  <c r="AR13" i="50"/>
  <c r="AQ12" i="55"/>
  <c r="AR12" i="55"/>
  <c r="AQ13" i="40"/>
  <c r="AR13" i="40"/>
  <c r="AT13" i="58"/>
  <c r="AS13" i="43"/>
  <c r="AT13" i="43"/>
  <c r="AS13" i="70"/>
  <c r="N27" i="71" s="1"/>
  <c r="AT13" i="70"/>
  <c r="O27" i="71" s="1"/>
  <c r="AS13" i="46"/>
  <c r="AT13" i="46"/>
  <c r="AS13" i="50"/>
  <c r="AT13" i="50"/>
  <c r="AS12" i="55"/>
  <c r="AT12" i="55"/>
  <c r="AS13" i="40"/>
  <c r="AT13" i="40"/>
  <c r="AU13" i="58"/>
  <c r="AU13" i="43"/>
  <c r="AV13" i="43"/>
  <c r="AU13" i="70"/>
  <c r="N28" i="71" s="1"/>
  <c r="AV13" i="70"/>
  <c r="O28" i="71" s="1"/>
  <c r="AU13" i="46"/>
  <c r="AV13" i="46"/>
  <c r="AU13" i="50"/>
  <c r="AV13" i="50"/>
  <c r="AV12" i="55"/>
  <c r="AU13" i="40"/>
  <c r="AV13" i="40"/>
  <c r="AX13" i="58"/>
  <c r="AW13" i="43"/>
  <c r="AX13" i="43"/>
  <c r="AW13" i="70"/>
  <c r="N29" i="71" s="1"/>
  <c r="AX13" i="70"/>
  <c r="O29" i="71" s="1"/>
  <c r="AW13" i="46"/>
  <c r="AX13" i="46"/>
  <c r="AW13" i="50"/>
  <c r="AX13" i="50"/>
  <c r="AW13" i="40"/>
  <c r="AX13" i="40"/>
  <c r="AY13" i="58"/>
  <c r="AY13" i="43"/>
  <c r="AZ13" i="43"/>
  <c r="AZ13" i="70"/>
  <c r="O30" i="71" s="1"/>
  <c r="AY13" i="46"/>
  <c r="AZ13" i="46"/>
  <c r="AY13" i="50"/>
  <c r="AZ13" i="50"/>
  <c r="AY12" i="55"/>
  <c r="AZ12" i="55"/>
  <c r="AY13" i="40"/>
  <c r="AZ13" i="40"/>
  <c r="BA13" i="58"/>
  <c r="BB13" i="58"/>
  <c r="BA13" i="43"/>
  <c r="BB13" i="43"/>
  <c r="BA13" i="70"/>
  <c r="N31" i="71" s="1"/>
  <c r="BB13" i="70"/>
  <c r="O31" i="71" s="1"/>
  <c r="BA13" i="46"/>
  <c r="BA13" i="50"/>
  <c r="BB13" i="50"/>
  <c r="BA12" i="55"/>
  <c r="BB12" i="55"/>
  <c r="BA13" i="40"/>
  <c r="BB13" i="40"/>
  <c r="BD13" i="58"/>
  <c r="BC13" i="43"/>
  <c r="BD13" i="43"/>
  <c r="BC13" i="70"/>
  <c r="N32" i="71" s="1"/>
  <c r="BC13" i="46"/>
  <c r="BD13" i="46"/>
  <c r="BC13" i="50"/>
  <c r="BD13" i="50"/>
  <c r="BC12" i="55"/>
  <c r="BD12" i="55"/>
  <c r="BC13" i="40"/>
  <c r="BD13" i="40"/>
  <c r="BE13" i="43"/>
  <c r="BF13" i="43"/>
  <c r="BE13" i="70"/>
  <c r="N33" i="71" s="1"/>
  <c r="BF13" i="70"/>
  <c r="O33" i="71" s="1"/>
  <c r="BE13" i="46"/>
  <c r="BF13" i="46"/>
  <c r="BE13" i="40"/>
  <c r="BF13" i="40"/>
  <c r="BG13" i="43"/>
  <c r="BH13" i="43"/>
  <c r="BG13" i="70"/>
  <c r="N34" i="71" s="1"/>
  <c r="BH13" i="70"/>
  <c r="O34" i="71" s="1"/>
  <c r="BG13" i="46"/>
  <c r="BH13" i="46"/>
  <c r="BG13" i="50"/>
  <c r="BH13" i="50"/>
  <c r="BG12" i="55"/>
  <c r="BH12" i="55"/>
  <c r="BG13" i="40"/>
  <c r="BH13" i="40"/>
  <c r="BI13" i="58"/>
  <c r="BI13" i="43"/>
  <c r="BJ13" i="43"/>
  <c r="BI13" i="70"/>
  <c r="N35" i="71" s="1"/>
  <c r="BJ13" i="70"/>
  <c r="O35" i="71" s="1"/>
  <c r="BI13" i="46"/>
  <c r="BJ13" i="46"/>
  <c r="BI13" i="50"/>
  <c r="BJ13" i="50"/>
  <c r="BI12" i="55"/>
  <c r="BJ12" i="55"/>
  <c r="BI13" i="40"/>
  <c r="BJ13" i="40"/>
  <c r="BK13" i="43"/>
  <c r="BL13" i="43"/>
  <c r="BK13" i="70"/>
  <c r="N36" i="71" s="1"/>
  <c r="BL13" i="70"/>
  <c r="O36" i="71" s="1"/>
  <c r="BK13" i="46"/>
  <c r="BL13" i="46"/>
  <c r="BK13" i="50"/>
  <c r="BL13" i="50"/>
  <c r="BK12" i="55"/>
  <c r="BL12" i="55"/>
  <c r="BK13" i="40"/>
  <c r="BL13" i="40"/>
  <c r="BM13" i="43"/>
  <c r="BN13" i="43"/>
  <c r="BM13" i="70"/>
  <c r="N37" i="71" s="1"/>
  <c r="BN13" i="70"/>
  <c r="O37" i="71" s="1"/>
  <c r="BM13" i="46"/>
  <c r="BN13" i="46"/>
  <c r="BM13" i="50"/>
  <c r="BN13" i="50"/>
  <c r="BM12" i="55"/>
  <c r="BN12" i="55"/>
  <c r="BM13" i="40"/>
  <c r="BN13" i="40"/>
  <c r="BO13" i="43"/>
  <c r="BP13" i="43"/>
  <c r="BO13" i="70"/>
  <c r="N38" i="71" s="1"/>
  <c r="BP13" i="70"/>
  <c r="O38" i="71" s="1"/>
  <c r="BO13" i="46"/>
  <c r="BP13" i="46"/>
  <c r="BO13" i="50"/>
  <c r="BP13" i="50"/>
  <c r="BO12" i="55"/>
  <c r="BP12" i="55"/>
  <c r="BO13" i="40"/>
  <c r="BP13" i="40"/>
  <c r="BQ13" i="43"/>
  <c r="BR13" i="43"/>
  <c r="BQ13" i="70"/>
  <c r="N39" i="71" s="1"/>
  <c r="BR13" i="70"/>
  <c r="O39" i="71" s="1"/>
  <c r="BQ13" i="46"/>
  <c r="BR13" i="46"/>
  <c r="BQ13" i="50"/>
  <c r="BR13" i="50"/>
  <c r="BQ13" i="40"/>
  <c r="BR13" i="40"/>
  <c r="BS13" i="43"/>
  <c r="BT13" i="43"/>
  <c r="BS13" i="70"/>
  <c r="N40" i="71" s="1"/>
  <c r="BT13" i="70"/>
  <c r="O40" i="71" s="1"/>
  <c r="BS13" i="46"/>
  <c r="BT13" i="46"/>
  <c r="BS13" i="50"/>
  <c r="BT13" i="50"/>
  <c r="BS12" i="55"/>
  <c r="BT12" i="55"/>
  <c r="BS13" i="40"/>
  <c r="BT13" i="40"/>
  <c r="BU13" i="43"/>
  <c r="BV13" i="43"/>
  <c r="BU13" i="70"/>
  <c r="N41" i="71" s="1"/>
  <c r="BV13" i="70"/>
  <c r="O41" i="71" s="1"/>
  <c r="BU13" i="46"/>
  <c r="BV13" i="46"/>
  <c r="BU13" i="50"/>
  <c r="BV13" i="50"/>
  <c r="BU12" i="55"/>
  <c r="BV12" i="55"/>
  <c r="BU13" i="40"/>
  <c r="BV13" i="40"/>
  <c r="BW13" i="43"/>
  <c r="BX13" i="43"/>
  <c r="BW13" i="70"/>
  <c r="BX13" i="70"/>
  <c r="O42" i="71" s="1"/>
  <c r="BW13" i="46"/>
  <c r="BX13" i="46"/>
  <c r="BW13" i="50"/>
  <c r="BX13" i="50"/>
  <c r="BW12" i="55"/>
  <c r="BX12" i="55"/>
  <c r="BW13" i="40"/>
  <c r="BX13" i="40"/>
  <c r="BY13" i="43"/>
  <c r="BZ13" i="43"/>
  <c r="BY13" i="70"/>
  <c r="N43" i="71" s="1"/>
  <c r="BZ13" i="70"/>
  <c r="O43" i="71" s="1"/>
  <c r="BY13" i="46"/>
  <c r="BZ13" i="46"/>
  <c r="BY13" i="50"/>
  <c r="BZ13" i="50"/>
  <c r="BY12" i="55"/>
  <c r="BZ12" i="55"/>
  <c r="BY13" i="40"/>
  <c r="BZ13" i="40"/>
  <c r="C14" i="58"/>
  <c r="D14" i="58"/>
  <c r="C14" i="43"/>
  <c r="P6" i="44" s="1"/>
  <c r="D14" i="43"/>
  <c r="Q6" i="44" s="1"/>
  <c r="C14" i="70"/>
  <c r="P6" i="71" s="1"/>
  <c r="D14" i="70"/>
  <c r="C14" i="46"/>
  <c r="D14" i="46"/>
  <c r="C14" i="50"/>
  <c r="D14" i="50"/>
  <c r="C14" i="55"/>
  <c r="D14" i="55"/>
  <c r="C14" i="40"/>
  <c r="D14" i="40"/>
  <c r="E14" i="58"/>
  <c r="E14" i="43"/>
  <c r="P7" i="44" s="1"/>
  <c r="F14" i="43"/>
  <c r="Q7" i="44" s="1"/>
  <c r="E14" i="70"/>
  <c r="P7" i="71" s="1"/>
  <c r="F14" i="70"/>
  <c r="Q7" i="71" s="1"/>
  <c r="E14" i="46"/>
  <c r="E14" i="50"/>
  <c r="E14" i="55"/>
  <c r="H14" i="70"/>
  <c r="Q8" i="71" s="1"/>
  <c r="H14" i="46"/>
  <c r="H14" i="50"/>
  <c r="H14" i="55"/>
  <c r="J14" i="58"/>
  <c r="I14" i="43"/>
  <c r="J14" i="43"/>
  <c r="I14" i="70"/>
  <c r="P9" i="71" s="1"/>
  <c r="J14" i="70"/>
  <c r="Q9" i="71" s="1"/>
  <c r="I14" i="46"/>
  <c r="J14" i="46"/>
  <c r="I14" i="50"/>
  <c r="J14" i="50"/>
  <c r="J13" i="55"/>
  <c r="K14" i="43"/>
  <c r="L14" i="43"/>
  <c r="K14" i="70"/>
  <c r="P10" i="71" s="1"/>
  <c r="L14" i="70"/>
  <c r="Q10" i="71" s="1"/>
  <c r="K14" i="46"/>
  <c r="L14" i="46"/>
  <c r="K14" i="50"/>
  <c r="L14" i="50"/>
  <c r="K13" i="55"/>
  <c r="L13" i="55"/>
  <c r="K14" i="40"/>
  <c r="L14" i="40"/>
  <c r="N14" i="58"/>
  <c r="M14" i="43"/>
  <c r="N14" i="43"/>
  <c r="M14" i="70"/>
  <c r="P11" i="71" s="1"/>
  <c r="N14" i="70"/>
  <c r="Q11" i="71" s="1"/>
  <c r="M14" i="46"/>
  <c r="N14" i="46"/>
  <c r="M14" i="50"/>
  <c r="N14" i="50"/>
  <c r="M13" i="55"/>
  <c r="N13" i="55"/>
  <c r="M14" i="40"/>
  <c r="N14" i="40"/>
  <c r="O14" i="58"/>
  <c r="P14" i="58"/>
  <c r="O14" i="43"/>
  <c r="P14" i="43"/>
  <c r="O14" i="70"/>
  <c r="P12" i="71" s="1"/>
  <c r="P14" i="70"/>
  <c r="Q12" i="71" s="1"/>
  <c r="O14" i="46"/>
  <c r="P14" i="46"/>
  <c r="O14" i="50"/>
  <c r="P14" i="50"/>
  <c r="O13" i="55"/>
  <c r="P13" i="55"/>
  <c r="O14" i="40"/>
  <c r="P14" i="40"/>
  <c r="Q14" i="58"/>
  <c r="R14" i="58"/>
  <c r="Q14" i="43"/>
  <c r="Q14" i="70"/>
  <c r="P13" i="71" s="1"/>
  <c r="R14" i="70"/>
  <c r="Q13" i="71" s="1"/>
  <c r="Q14" i="46"/>
  <c r="R14" i="46"/>
  <c r="Q14" i="50"/>
  <c r="R14" i="50"/>
  <c r="Q13" i="55"/>
  <c r="R13" i="55"/>
  <c r="Q14" i="40"/>
  <c r="R14" i="40"/>
  <c r="S14" i="58"/>
  <c r="S14" i="43"/>
  <c r="T14" i="43"/>
  <c r="S14" i="70"/>
  <c r="P14" i="71" s="1"/>
  <c r="T14" i="70"/>
  <c r="Q14" i="71" s="1"/>
  <c r="S14" i="46"/>
  <c r="T14" i="46"/>
  <c r="S14" i="50"/>
  <c r="T14" i="50"/>
  <c r="S13" i="55"/>
  <c r="T13" i="55"/>
  <c r="S14" i="40"/>
  <c r="T14" i="40"/>
  <c r="U14" i="43"/>
  <c r="V14" i="43"/>
  <c r="U14" i="70"/>
  <c r="P15" i="71" s="1"/>
  <c r="V14" i="70"/>
  <c r="Q15" i="71" s="1"/>
  <c r="U14" i="46"/>
  <c r="V14" i="46"/>
  <c r="U14" i="50"/>
  <c r="V14" i="50"/>
  <c r="U14" i="40"/>
  <c r="V14" i="40"/>
  <c r="W14" i="43"/>
  <c r="X14" i="43"/>
  <c r="W14" i="70"/>
  <c r="X14" i="70"/>
  <c r="Q16" i="71" s="1"/>
  <c r="W14" i="46"/>
  <c r="X14" i="46"/>
  <c r="W14" i="50"/>
  <c r="X14" i="50"/>
  <c r="W13" i="55"/>
  <c r="X13" i="55"/>
  <c r="W14" i="40"/>
  <c r="X14" i="40"/>
  <c r="Z14" i="58"/>
  <c r="Y14" i="43"/>
  <c r="Z14" i="43"/>
  <c r="Y14" i="70"/>
  <c r="P17" i="71" s="1"/>
  <c r="Z14" i="70"/>
  <c r="Q17" i="71" s="1"/>
  <c r="Y14" i="46"/>
  <c r="Z14" i="46"/>
  <c r="Y14" i="50"/>
  <c r="Z14" i="50"/>
  <c r="Y14" i="55"/>
  <c r="Z14" i="55"/>
  <c r="Y14" i="40"/>
  <c r="Z14" i="40"/>
  <c r="AA14" i="58"/>
  <c r="AB14" i="58"/>
  <c r="AA14" i="43"/>
  <c r="AB14" i="43"/>
  <c r="AA14" i="70"/>
  <c r="P18" i="71" s="1"/>
  <c r="AB14" i="70"/>
  <c r="Q18" i="71" s="1"/>
  <c r="AA14" i="46"/>
  <c r="AB14" i="46"/>
  <c r="AA14" i="50"/>
  <c r="AB14" i="50"/>
  <c r="AA13" i="55"/>
  <c r="AB13" i="55"/>
  <c r="AA14" i="40"/>
  <c r="AB14" i="40"/>
  <c r="AC14" i="58"/>
  <c r="AD14" i="58"/>
  <c r="AC14" i="43"/>
  <c r="AD14" i="43"/>
  <c r="AC14" i="70"/>
  <c r="P19" i="71" s="1"/>
  <c r="AD14" i="70"/>
  <c r="AC14" i="46"/>
  <c r="AD14" i="46"/>
  <c r="AC14" i="50"/>
  <c r="AD14" i="50"/>
  <c r="AC13" i="55"/>
  <c r="AD13" i="55"/>
  <c r="AC14" i="40"/>
  <c r="AD14" i="40"/>
  <c r="AF14" i="58"/>
  <c r="AE14" i="43"/>
  <c r="AF14" i="43"/>
  <c r="AE14" i="70"/>
  <c r="AF14" i="70"/>
  <c r="Q20" i="71" s="1"/>
  <c r="AE14" i="46"/>
  <c r="AF14" i="46"/>
  <c r="AE14" i="50"/>
  <c r="AF14" i="50"/>
  <c r="AE13" i="55"/>
  <c r="AF13" i="55"/>
  <c r="AE14" i="40"/>
  <c r="AF14" i="40"/>
  <c r="AH14" i="58"/>
  <c r="AG14" i="43"/>
  <c r="AH14" i="43"/>
  <c r="AG14" i="70"/>
  <c r="P21" i="71" s="1"/>
  <c r="AH14" i="70"/>
  <c r="Q21" i="71" s="1"/>
  <c r="AG14" i="46"/>
  <c r="AH14" i="46"/>
  <c r="AG14" i="50"/>
  <c r="AH14" i="50"/>
  <c r="AG13" i="55"/>
  <c r="AH13" i="55"/>
  <c r="AG14" i="40"/>
  <c r="AH14" i="40"/>
  <c r="AI14" i="43"/>
  <c r="AJ14" i="43"/>
  <c r="AI14" i="70"/>
  <c r="P22" i="71" s="1"/>
  <c r="AJ14" i="70"/>
  <c r="Q22" i="71" s="1"/>
  <c r="AI14" i="46"/>
  <c r="AJ14" i="46"/>
  <c r="AI14" i="50"/>
  <c r="AJ14" i="50"/>
  <c r="AI13" i="55"/>
  <c r="AJ13" i="55"/>
  <c r="AI14" i="40"/>
  <c r="AJ14" i="40"/>
  <c r="AL14" i="58"/>
  <c r="AK14" i="43"/>
  <c r="AL14" i="43"/>
  <c r="AK14" i="70"/>
  <c r="P23" i="71" s="1"/>
  <c r="AL14" i="70"/>
  <c r="Q23" i="71" s="1"/>
  <c r="AK14" i="46"/>
  <c r="AK14" i="50"/>
  <c r="AL14" i="50"/>
  <c r="AK13" i="55"/>
  <c r="AL13" i="55"/>
  <c r="AK14" i="40"/>
  <c r="AL14" i="40"/>
  <c r="AM14" i="58"/>
  <c r="AN14" i="58"/>
  <c r="AM14" i="43"/>
  <c r="AN14" i="43"/>
  <c r="AM14" i="70"/>
  <c r="P24" i="71" s="1"/>
  <c r="AN14" i="70"/>
  <c r="AM14" i="46"/>
  <c r="AN14" i="46"/>
  <c r="AM14" i="50"/>
  <c r="AN14" i="50"/>
  <c r="AM13" i="55"/>
  <c r="AN13" i="55"/>
  <c r="AM14" i="40"/>
  <c r="AN14" i="40"/>
  <c r="AO14" i="43"/>
  <c r="AP14" i="43"/>
  <c r="AO14" i="70"/>
  <c r="P25" i="71" s="1"/>
  <c r="AP14" i="70"/>
  <c r="AO14" i="46"/>
  <c r="AP14" i="46"/>
  <c r="AO14" i="50"/>
  <c r="AP14" i="50"/>
  <c r="AO13" i="55"/>
  <c r="AP13" i="55"/>
  <c r="AQ14" i="58"/>
  <c r="AQ14" i="43"/>
  <c r="AR14" i="43"/>
  <c r="AQ14" i="70"/>
  <c r="AR14" i="70"/>
  <c r="Q26" i="71" s="1"/>
  <c r="AQ14" i="46"/>
  <c r="AR14" i="46"/>
  <c r="AQ14" i="50"/>
  <c r="AR14" i="50"/>
  <c r="AQ13" i="55"/>
  <c r="AR13" i="55"/>
  <c r="AQ14" i="40"/>
  <c r="AR14" i="40"/>
  <c r="AS14" i="43"/>
  <c r="AT14" i="43"/>
  <c r="AS14" i="70"/>
  <c r="P27" i="71" s="1"/>
  <c r="AT14" i="70"/>
  <c r="Q27" i="71" s="1"/>
  <c r="AS14" i="46"/>
  <c r="AT14" i="46"/>
  <c r="AS14" i="50"/>
  <c r="AT14" i="50"/>
  <c r="AS13" i="55"/>
  <c r="AT13" i="55"/>
  <c r="AS14" i="40"/>
  <c r="AT14" i="40"/>
  <c r="AU14" i="58"/>
  <c r="AU14" i="43"/>
  <c r="AV14" i="43"/>
  <c r="AU14" i="70"/>
  <c r="P28" i="71" s="1"/>
  <c r="AV14" i="70"/>
  <c r="AU14" i="46"/>
  <c r="AV14" i="46"/>
  <c r="AU14" i="50"/>
  <c r="AV14" i="50"/>
  <c r="AU13" i="55"/>
  <c r="AV13" i="55"/>
  <c r="AU14" i="40"/>
  <c r="AV14" i="40"/>
  <c r="AX14" i="58"/>
  <c r="AW14" i="43"/>
  <c r="AX14" i="43"/>
  <c r="AW14" i="70"/>
  <c r="P29" i="71" s="1"/>
  <c r="AX14" i="70"/>
  <c r="Q29" i="71" s="1"/>
  <c r="AW14" i="46"/>
  <c r="AX14" i="46"/>
  <c r="AW14" i="50"/>
  <c r="AX14" i="50"/>
  <c r="AW14" i="40"/>
  <c r="AX14" i="40"/>
  <c r="AY14" i="58"/>
  <c r="AZ14" i="58"/>
  <c r="AY14" i="43"/>
  <c r="AZ14" i="43"/>
  <c r="AY14" i="70"/>
  <c r="P30" i="71" s="1"/>
  <c r="AZ14" i="70"/>
  <c r="Q30" i="71" s="1"/>
  <c r="AY14" i="46"/>
  <c r="AZ14" i="46"/>
  <c r="AY14" i="50"/>
  <c r="AZ14" i="50"/>
  <c r="AY13" i="55"/>
  <c r="AZ13" i="55"/>
  <c r="AY14" i="40"/>
  <c r="AZ14" i="40"/>
  <c r="BA14" i="58"/>
  <c r="BA14" i="43"/>
  <c r="BB14" i="43"/>
  <c r="BA14" i="70"/>
  <c r="P31" i="71" s="1"/>
  <c r="BB14" i="70"/>
  <c r="Q31" i="71" s="1"/>
  <c r="BA14" i="46"/>
  <c r="BB14" i="46"/>
  <c r="BA14" i="50"/>
  <c r="BB14" i="50"/>
  <c r="BA13" i="55"/>
  <c r="BB13" i="55"/>
  <c r="BA14" i="40"/>
  <c r="BB14" i="40"/>
  <c r="BC14" i="58"/>
  <c r="BC14" i="43"/>
  <c r="BD14" i="43"/>
  <c r="BC14" i="70"/>
  <c r="P32" i="71" s="1"/>
  <c r="BD14" i="70"/>
  <c r="BC14" i="46"/>
  <c r="BD14" i="46"/>
  <c r="BC14" i="50"/>
  <c r="BD14" i="50"/>
  <c r="BC13" i="55"/>
  <c r="BD13" i="55"/>
  <c r="BC14" i="40"/>
  <c r="BD14" i="40"/>
  <c r="BF14" i="58"/>
  <c r="BE14" i="43"/>
  <c r="BF14" i="43"/>
  <c r="BE14" i="70"/>
  <c r="P33" i="71" s="1"/>
  <c r="BF14" i="70"/>
  <c r="Q33" i="71" s="1"/>
  <c r="BE14" i="46"/>
  <c r="BF14" i="46"/>
  <c r="BE14" i="40"/>
  <c r="BF14" i="40"/>
  <c r="BG14" i="43"/>
  <c r="BH14" i="43"/>
  <c r="BG14" i="70"/>
  <c r="P34" i="71" s="1"/>
  <c r="BH14" i="70"/>
  <c r="Q34" i="71" s="1"/>
  <c r="BG14" i="46"/>
  <c r="BH14" i="46"/>
  <c r="BG14" i="50"/>
  <c r="BH14" i="50"/>
  <c r="BG13" i="55"/>
  <c r="BH13" i="55"/>
  <c r="BG14" i="40"/>
  <c r="BH14" i="40"/>
  <c r="BI14" i="43"/>
  <c r="BJ14" i="43"/>
  <c r="BI14" i="70"/>
  <c r="P35" i="71" s="1"/>
  <c r="BJ14" i="70"/>
  <c r="Q35" i="71" s="1"/>
  <c r="BI14" i="46"/>
  <c r="BJ14" i="46"/>
  <c r="BI14" i="50"/>
  <c r="BJ14" i="50"/>
  <c r="BI13" i="55"/>
  <c r="BJ13" i="55"/>
  <c r="BI14" i="40"/>
  <c r="BJ14" i="40"/>
  <c r="BK14" i="43"/>
  <c r="BL14" i="43"/>
  <c r="BK14" i="70"/>
  <c r="P36" i="71" s="1"/>
  <c r="BL14" i="70"/>
  <c r="Q36" i="71" s="1"/>
  <c r="BK14" i="46"/>
  <c r="BL14" i="46"/>
  <c r="BK14" i="50"/>
  <c r="BL14" i="50"/>
  <c r="BK13" i="55"/>
  <c r="BL13" i="55"/>
  <c r="BK14" i="40"/>
  <c r="BL14" i="40"/>
  <c r="BM14" i="43"/>
  <c r="BN14" i="43"/>
  <c r="BM14" i="70"/>
  <c r="P37" i="71" s="1"/>
  <c r="BN14" i="70"/>
  <c r="Q37" i="71" s="1"/>
  <c r="BM14" i="46"/>
  <c r="BN14" i="46"/>
  <c r="BM14" i="50"/>
  <c r="BN14" i="50"/>
  <c r="BM13" i="55"/>
  <c r="BN13" i="55"/>
  <c r="BM14" i="40"/>
  <c r="BN14" i="40"/>
  <c r="BO14" i="43"/>
  <c r="BP14" i="43"/>
  <c r="BO14" i="70"/>
  <c r="P38" i="71" s="1"/>
  <c r="BP14" i="70"/>
  <c r="BO14" i="46"/>
  <c r="BP14" i="46"/>
  <c r="BO14" i="50"/>
  <c r="BP14" i="50"/>
  <c r="BO13" i="55"/>
  <c r="BP13" i="55"/>
  <c r="BO14" i="40"/>
  <c r="BP14" i="40"/>
  <c r="BQ14" i="43"/>
  <c r="BR14" i="43"/>
  <c r="BQ14" i="70"/>
  <c r="P39" i="71" s="1"/>
  <c r="BR14" i="70"/>
  <c r="Q39" i="71" s="1"/>
  <c r="BQ14" i="46"/>
  <c r="BR14" i="46"/>
  <c r="BQ14" i="50"/>
  <c r="BR14" i="50"/>
  <c r="BQ14" i="40"/>
  <c r="BR14" i="40"/>
  <c r="BS14" i="43"/>
  <c r="BT14" i="43"/>
  <c r="BS14" i="70"/>
  <c r="P40" i="71" s="1"/>
  <c r="BT14" i="70"/>
  <c r="Q40" i="71" s="1"/>
  <c r="BS14" i="46"/>
  <c r="BT14" i="46"/>
  <c r="BS14" i="50"/>
  <c r="BT14" i="50"/>
  <c r="BS13" i="55"/>
  <c r="BT13" i="55"/>
  <c r="BS14" i="40"/>
  <c r="BT14" i="40"/>
  <c r="BU14" i="43"/>
  <c r="BV14" i="43"/>
  <c r="BU14" i="70"/>
  <c r="P41" i="71" s="1"/>
  <c r="BV14" i="70"/>
  <c r="Q41" i="71" s="1"/>
  <c r="BU14" i="46"/>
  <c r="BV14" i="46"/>
  <c r="BU14" i="50"/>
  <c r="BV14" i="50"/>
  <c r="BU13" i="55"/>
  <c r="BV13" i="55"/>
  <c r="BU14" i="40"/>
  <c r="BV14" i="40"/>
  <c r="BW14" i="43"/>
  <c r="BX14" i="43"/>
  <c r="BW14" i="70"/>
  <c r="P42" i="71" s="1"/>
  <c r="BX14" i="70"/>
  <c r="Q42" i="71" s="1"/>
  <c r="BW14" i="46"/>
  <c r="BX14" i="46"/>
  <c r="BW14" i="50"/>
  <c r="BX14" i="50"/>
  <c r="BW13" i="55"/>
  <c r="BX13" i="55"/>
  <c r="BW14" i="40"/>
  <c r="BX14" i="40"/>
  <c r="BY14" i="43"/>
  <c r="BZ14" i="43"/>
  <c r="BY14" i="70"/>
  <c r="P43" i="71" s="1"/>
  <c r="BZ14" i="70"/>
  <c r="Q43" i="71" s="1"/>
  <c r="BY14" i="46"/>
  <c r="BZ14" i="46"/>
  <c r="BY14" i="50"/>
  <c r="BZ14" i="50"/>
  <c r="BY13" i="55"/>
  <c r="BZ13" i="55"/>
  <c r="BY14" i="40"/>
  <c r="BZ14" i="40"/>
  <c r="D15" i="58"/>
  <c r="C15" i="43"/>
  <c r="D15" i="43"/>
  <c r="C15" i="70"/>
  <c r="R6" i="71" s="1"/>
  <c r="D15" i="70"/>
  <c r="S6" i="71" s="1"/>
  <c r="C15" i="46"/>
  <c r="D15" i="46"/>
  <c r="C15" i="50"/>
  <c r="D15" i="50"/>
  <c r="C15" i="55"/>
  <c r="D15" i="55"/>
  <c r="C15" i="40"/>
  <c r="D15" i="40"/>
  <c r="F15" i="58"/>
  <c r="E15" i="43"/>
  <c r="R7" i="44" s="1"/>
  <c r="G11" i="45" s="1"/>
  <c r="F15" i="43"/>
  <c r="S7" i="44" s="1"/>
  <c r="G59" i="45" s="1"/>
  <c r="E15" i="70"/>
  <c r="R7" i="71" s="1"/>
  <c r="F15" i="70"/>
  <c r="S7" i="71" s="1"/>
  <c r="E15" i="46"/>
  <c r="E15" i="50"/>
  <c r="E15" i="55"/>
  <c r="H15" i="70"/>
  <c r="S8" i="71" s="1"/>
  <c r="H15" i="46"/>
  <c r="H15" i="50"/>
  <c r="H15" i="55"/>
  <c r="J15" i="58"/>
  <c r="I15" i="43"/>
  <c r="J15" i="43"/>
  <c r="I15" i="70"/>
  <c r="R9" i="71" s="1"/>
  <c r="J15" i="70"/>
  <c r="S9" i="71" s="1"/>
  <c r="I15" i="46"/>
  <c r="J15" i="46"/>
  <c r="I15" i="50"/>
  <c r="J15" i="50"/>
  <c r="J14" i="55"/>
  <c r="K15" i="58"/>
  <c r="L15" i="58"/>
  <c r="K15" i="43"/>
  <c r="L15" i="43"/>
  <c r="K15" i="70"/>
  <c r="R10" i="71" s="1"/>
  <c r="L15" i="70"/>
  <c r="S10" i="71" s="1"/>
  <c r="K15" i="46"/>
  <c r="L15" i="46"/>
  <c r="K15" i="50"/>
  <c r="L15" i="50"/>
  <c r="K14" i="55"/>
  <c r="L14" i="55"/>
  <c r="K15" i="40"/>
  <c r="L15" i="40"/>
  <c r="N15" i="58"/>
  <c r="M15" i="43"/>
  <c r="N15" i="43"/>
  <c r="M15" i="70"/>
  <c r="R11" i="71" s="1"/>
  <c r="N15" i="70"/>
  <c r="S11" i="71" s="1"/>
  <c r="M15" i="46"/>
  <c r="N15" i="46"/>
  <c r="M15" i="50"/>
  <c r="N15" i="50"/>
  <c r="M14" i="55"/>
  <c r="N14" i="55"/>
  <c r="M15" i="40"/>
  <c r="N15" i="40"/>
  <c r="O15" i="58"/>
  <c r="P15" i="58"/>
  <c r="O15" i="43"/>
  <c r="P15" i="43"/>
  <c r="O15" i="70"/>
  <c r="R12" i="71" s="1"/>
  <c r="P15" i="70"/>
  <c r="S12" i="71" s="1"/>
  <c r="O15" i="46"/>
  <c r="P15" i="46"/>
  <c r="O15" i="50"/>
  <c r="P15" i="50"/>
  <c r="O14" i="55"/>
  <c r="P14" i="55"/>
  <c r="O15" i="40"/>
  <c r="P15" i="40"/>
  <c r="Q15" i="58"/>
  <c r="R15" i="58"/>
  <c r="Q15" i="43"/>
  <c r="R15" i="43"/>
  <c r="Q15" i="70"/>
  <c r="R13" i="71" s="1"/>
  <c r="R15" i="70"/>
  <c r="S13" i="71" s="1"/>
  <c r="Q15" i="46"/>
  <c r="R15" i="46"/>
  <c r="Q15" i="50"/>
  <c r="R15" i="50"/>
  <c r="Q14" i="55"/>
  <c r="Q15" i="40"/>
  <c r="R15" i="40"/>
  <c r="S15" i="58"/>
  <c r="T15" i="58"/>
  <c r="S15" i="43"/>
  <c r="T15" i="43"/>
  <c r="S15" i="70"/>
  <c r="R14" i="71" s="1"/>
  <c r="T15" i="70"/>
  <c r="S14" i="71" s="1"/>
  <c r="S15" i="46"/>
  <c r="T15" i="46"/>
  <c r="S15" i="50"/>
  <c r="T15" i="50"/>
  <c r="S14" i="55"/>
  <c r="T14" i="55"/>
  <c r="S15" i="40"/>
  <c r="T15" i="40"/>
  <c r="V15" i="58"/>
  <c r="U15" i="43"/>
  <c r="V15" i="43"/>
  <c r="U15" i="70"/>
  <c r="R15" i="71" s="1"/>
  <c r="V15" i="70"/>
  <c r="S15" i="71" s="1"/>
  <c r="U15" i="46"/>
  <c r="U15" i="50"/>
  <c r="V15" i="50"/>
  <c r="U15" i="40"/>
  <c r="V15" i="40"/>
  <c r="W15" i="58"/>
  <c r="X15" i="58"/>
  <c r="W15" i="43"/>
  <c r="X15" i="43"/>
  <c r="W15" i="70"/>
  <c r="R16" i="71" s="1"/>
  <c r="W15" i="46"/>
  <c r="X15" i="46"/>
  <c r="W15" i="50"/>
  <c r="X15" i="50"/>
  <c r="W14" i="55"/>
  <c r="X14" i="55"/>
  <c r="W15" i="40"/>
  <c r="X15" i="40"/>
  <c r="Z15" i="58"/>
  <c r="Y15" i="43"/>
  <c r="Z15" i="43"/>
  <c r="Y15" i="70"/>
  <c r="R17" i="71" s="1"/>
  <c r="Z15" i="70"/>
  <c r="S17" i="71" s="1"/>
  <c r="Y15" i="46"/>
  <c r="Z15" i="46"/>
  <c r="Y15" i="50"/>
  <c r="Z15" i="50"/>
  <c r="Y15" i="55"/>
  <c r="Z15" i="55"/>
  <c r="Y15" i="40"/>
  <c r="Z15" i="40"/>
  <c r="AB15" i="58"/>
  <c r="AA15" i="43"/>
  <c r="AB15" i="43"/>
  <c r="AA15" i="70"/>
  <c r="R18" i="71" s="1"/>
  <c r="AB15" i="70"/>
  <c r="S18" i="71" s="1"/>
  <c r="AA15" i="46"/>
  <c r="AB15" i="46"/>
  <c r="AA15" i="50"/>
  <c r="AB15" i="50"/>
  <c r="AA14" i="55"/>
  <c r="AB14" i="55"/>
  <c r="AA15" i="40"/>
  <c r="AB15" i="40"/>
  <c r="AD15" i="58"/>
  <c r="AC15" i="43"/>
  <c r="AD15" i="43"/>
  <c r="AC15" i="70"/>
  <c r="R19" i="71" s="1"/>
  <c r="AD15" i="70"/>
  <c r="S19" i="71" s="1"/>
  <c r="AC15" i="46"/>
  <c r="AD15" i="46"/>
  <c r="AC15" i="50"/>
  <c r="AD15" i="50"/>
  <c r="AC14" i="55"/>
  <c r="AD14" i="55"/>
  <c r="AC15" i="40"/>
  <c r="AD15" i="40"/>
  <c r="AF15" i="58"/>
  <c r="AE15" i="43"/>
  <c r="AF15" i="43"/>
  <c r="AE15" i="70"/>
  <c r="R20" i="71" s="1"/>
  <c r="AF15" i="70"/>
  <c r="S20" i="71" s="1"/>
  <c r="AE15" i="46"/>
  <c r="AF15" i="46"/>
  <c r="AE15" i="50"/>
  <c r="AF15" i="50"/>
  <c r="AE14" i="55"/>
  <c r="AF14" i="55"/>
  <c r="AE15" i="40"/>
  <c r="AF15" i="40"/>
  <c r="AH15" i="58"/>
  <c r="AG15" i="43"/>
  <c r="AH15" i="43"/>
  <c r="AG15" i="70"/>
  <c r="R21" i="71" s="1"/>
  <c r="AH15" i="70"/>
  <c r="S21" i="71" s="1"/>
  <c r="AG15" i="46"/>
  <c r="AH15" i="46"/>
  <c r="AG15" i="50"/>
  <c r="AH15" i="50"/>
  <c r="AG14" i="55"/>
  <c r="AH14" i="55"/>
  <c r="AG15" i="40"/>
  <c r="AH15" i="40"/>
  <c r="AI15" i="58"/>
  <c r="AJ15" i="58"/>
  <c r="AJ15" i="43"/>
  <c r="AI15" i="70"/>
  <c r="R22" i="71" s="1"/>
  <c r="AJ15" i="70"/>
  <c r="S22" i="71" s="1"/>
  <c r="AI15" i="46"/>
  <c r="AJ15" i="46"/>
  <c r="AI15" i="50"/>
  <c r="AJ15" i="50"/>
  <c r="AI14" i="55"/>
  <c r="AJ14" i="55"/>
  <c r="AI15" i="40"/>
  <c r="AJ15" i="40"/>
  <c r="AL15" i="58"/>
  <c r="AK15" i="43"/>
  <c r="AK15" i="70"/>
  <c r="R23" i="71" s="1"/>
  <c r="AL15" i="70"/>
  <c r="S23" i="71" s="1"/>
  <c r="AK15" i="46"/>
  <c r="AL15" i="46"/>
  <c r="AK15" i="50"/>
  <c r="AL15" i="50"/>
  <c r="AK14" i="55"/>
  <c r="AL14" i="55"/>
  <c r="AK15" i="40"/>
  <c r="AL15" i="40"/>
  <c r="AM15" i="43"/>
  <c r="AN15" i="43"/>
  <c r="AM15" i="70"/>
  <c r="R24" i="71" s="1"/>
  <c r="AN15" i="70"/>
  <c r="S24" i="71" s="1"/>
  <c r="AM15" i="46"/>
  <c r="AN15" i="46"/>
  <c r="AM15" i="50"/>
  <c r="AN15" i="50"/>
  <c r="AM14" i="55"/>
  <c r="AN14" i="55"/>
  <c r="AM15" i="40"/>
  <c r="AN15" i="40"/>
  <c r="AO15" i="43"/>
  <c r="AP15" i="43"/>
  <c r="AO15" i="70"/>
  <c r="R25" i="71" s="1"/>
  <c r="AP15" i="70"/>
  <c r="S25" i="71" s="1"/>
  <c r="AO15" i="46"/>
  <c r="AP15" i="46"/>
  <c r="AO15" i="50"/>
  <c r="AP15" i="50"/>
  <c r="AO14" i="55"/>
  <c r="AR15" i="58"/>
  <c r="AQ15" i="43"/>
  <c r="AR15" i="43"/>
  <c r="AQ15" i="70"/>
  <c r="R26" i="71" s="1"/>
  <c r="AR15" i="70"/>
  <c r="S26" i="71" s="1"/>
  <c r="AQ15" i="46"/>
  <c r="AR15" i="46"/>
  <c r="AQ15" i="50"/>
  <c r="AR15" i="50"/>
  <c r="AQ14" i="55"/>
  <c r="AR14" i="55"/>
  <c r="AQ15" i="40"/>
  <c r="AR15" i="40"/>
  <c r="AS15" i="58"/>
  <c r="AT15" i="58"/>
  <c r="AS15" i="43"/>
  <c r="AT15" i="43"/>
  <c r="AS15" i="70"/>
  <c r="R27" i="71" s="1"/>
  <c r="AT15" i="70"/>
  <c r="S27" i="71" s="1"/>
  <c r="AS15" i="46"/>
  <c r="AS15" i="50"/>
  <c r="AT15" i="50"/>
  <c r="AS14" i="55"/>
  <c r="AT14" i="55"/>
  <c r="AS15" i="40"/>
  <c r="AT15" i="40"/>
  <c r="AV15" i="58"/>
  <c r="AU15" i="43"/>
  <c r="AV15" i="43"/>
  <c r="AU15" i="70"/>
  <c r="R28" i="71" s="1"/>
  <c r="AV15" i="70"/>
  <c r="S28" i="71" s="1"/>
  <c r="AU15" i="46"/>
  <c r="AV15" i="46"/>
  <c r="AU15" i="50"/>
  <c r="AV15" i="50"/>
  <c r="AU14" i="55"/>
  <c r="AV14" i="55"/>
  <c r="AU15" i="40"/>
  <c r="AV15" i="40"/>
  <c r="AX15" i="58"/>
  <c r="AW15" i="43"/>
  <c r="AX15" i="43"/>
  <c r="AW15" i="70"/>
  <c r="R29" i="71" s="1"/>
  <c r="AX15" i="70"/>
  <c r="S29" i="71" s="1"/>
  <c r="AW15" i="46"/>
  <c r="AX15" i="46"/>
  <c r="AW15" i="50"/>
  <c r="AX15" i="50"/>
  <c r="AW15" i="40"/>
  <c r="AY15" i="58"/>
  <c r="AY15" i="43"/>
  <c r="AZ15" i="43"/>
  <c r="AY15" i="70"/>
  <c r="R30" i="71" s="1"/>
  <c r="AZ15" i="70"/>
  <c r="S30" i="71" s="1"/>
  <c r="AY15" i="46"/>
  <c r="AZ15" i="46"/>
  <c r="AY15" i="50"/>
  <c r="AZ15" i="50"/>
  <c r="AY14" i="55"/>
  <c r="AZ14" i="55"/>
  <c r="AY15" i="40"/>
  <c r="AZ15" i="40"/>
  <c r="BA15" i="43"/>
  <c r="BB15" i="43"/>
  <c r="BA15" i="70"/>
  <c r="R31" i="71" s="1"/>
  <c r="BB15" i="70"/>
  <c r="S31" i="71" s="1"/>
  <c r="BA15" i="46"/>
  <c r="BB15" i="46"/>
  <c r="BA15" i="50"/>
  <c r="BB15" i="50"/>
  <c r="BA14" i="55"/>
  <c r="BB14" i="55"/>
  <c r="BA15" i="40"/>
  <c r="BB15" i="40"/>
  <c r="BC15" i="58"/>
  <c r="BD15" i="58"/>
  <c r="BC15" i="43"/>
  <c r="BD15" i="43"/>
  <c r="BC15" i="70"/>
  <c r="R32" i="71" s="1"/>
  <c r="BD15" i="70"/>
  <c r="S32" i="71" s="1"/>
  <c r="BC15" i="46"/>
  <c r="BD15" i="46"/>
  <c r="BC15" i="50"/>
  <c r="BD15" i="50"/>
  <c r="BC14" i="55"/>
  <c r="BD14" i="55"/>
  <c r="BC15" i="40"/>
  <c r="BD15" i="40"/>
  <c r="BF15" i="58"/>
  <c r="BE15" i="43"/>
  <c r="BF15" i="43"/>
  <c r="BE15" i="70"/>
  <c r="R33" i="71" s="1"/>
  <c r="BF15" i="70"/>
  <c r="S33" i="71" s="1"/>
  <c r="BE15" i="46"/>
  <c r="BF15" i="46"/>
  <c r="BE15" i="40"/>
  <c r="BF15" i="40"/>
  <c r="BH15" i="58"/>
  <c r="BG15" i="43"/>
  <c r="BH15" i="43"/>
  <c r="BG15" i="70"/>
  <c r="R34" i="71" s="1"/>
  <c r="BH15" i="70"/>
  <c r="S34" i="71" s="1"/>
  <c r="BG15" i="46"/>
  <c r="BH15" i="46"/>
  <c r="BG15" i="50"/>
  <c r="BH15" i="50"/>
  <c r="BG14" i="55"/>
  <c r="BH14" i="55"/>
  <c r="BG15" i="40"/>
  <c r="BH15" i="40"/>
  <c r="BI15" i="43"/>
  <c r="BJ15" i="43"/>
  <c r="BI15" i="70"/>
  <c r="R35" i="71" s="1"/>
  <c r="BJ15" i="70"/>
  <c r="S35" i="71" s="1"/>
  <c r="BI15" i="46"/>
  <c r="BJ15" i="46"/>
  <c r="BI15" i="50"/>
  <c r="BJ15" i="50"/>
  <c r="BI14" i="55"/>
  <c r="BJ14" i="55"/>
  <c r="BI15" i="40"/>
  <c r="BJ15" i="40"/>
  <c r="BK15" i="43"/>
  <c r="BL15" i="43"/>
  <c r="BK15" i="70"/>
  <c r="R36" i="71" s="1"/>
  <c r="BL15" i="70"/>
  <c r="S36" i="71" s="1"/>
  <c r="BK15" i="46"/>
  <c r="BL15" i="46"/>
  <c r="BK15" i="50"/>
  <c r="BL15" i="50"/>
  <c r="BK14" i="55"/>
  <c r="BL14" i="55"/>
  <c r="BK15" i="40"/>
  <c r="BL15" i="40"/>
  <c r="BM15" i="43"/>
  <c r="BN15" i="43"/>
  <c r="BM15" i="70"/>
  <c r="R37" i="71" s="1"/>
  <c r="BN15" i="70"/>
  <c r="S37" i="71" s="1"/>
  <c r="BM15" i="46"/>
  <c r="BN15" i="46"/>
  <c r="BM15" i="50"/>
  <c r="BN15" i="50"/>
  <c r="BM14" i="55"/>
  <c r="BN14" i="55"/>
  <c r="BM15" i="40"/>
  <c r="BN15" i="40"/>
  <c r="BO15" i="43"/>
  <c r="BP15" i="43"/>
  <c r="BO15" i="70"/>
  <c r="R38" i="71" s="1"/>
  <c r="BP15" i="70"/>
  <c r="S38" i="71" s="1"/>
  <c r="BO15" i="46"/>
  <c r="BP15" i="46"/>
  <c r="BO15" i="50"/>
  <c r="BP15" i="50"/>
  <c r="BO14" i="55"/>
  <c r="BP14" i="55"/>
  <c r="BO15" i="40"/>
  <c r="BP15" i="40"/>
  <c r="BQ15" i="43"/>
  <c r="BR15" i="43"/>
  <c r="BQ15" i="70"/>
  <c r="R39" i="71" s="1"/>
  <c r="BR15" i="70"/>
  <c r="S39" i="71" s="1"/>
  <c r="BQ15" i="46"/>
  <c r="BR15" i="46"/>
  <c r="BQ15" i="50"/>
  <c r="BR15" i="50"/>
  <c r="BQ15" i="40"/>
  <c r="BR15" i="40"/>
  <c r="BS15" i="43"/>
  <c r="BT15" i="43"/>
  <c r="BS15" i="70"/>
  <c r="R40" i="71" s="1"/>
  <c r="BT15" i="70"/>
  <c r="S40" i="71" s="1"/>
  <c r="BS15" i="46"/>
  <c r="BT15" i="46"/>
  <c r="BS15" i="50"/>
  <c r="BT15" i="50"/>
  <c r="BS14" i="55"/>
  <c r="BT14" i="55"/>
  <c r="BS15" i="40"/>
  <c r="BT15" i="40"/>
  <c r="BU15" i="43"/>
  <c r="BV15" i="43"/>
  <c r="BU15" i="70"/>
  <c r="R41" i="71" s="1"/>
  <c r="BV15" i="70"/>
  <c r="S41" i="71" s="1"/>
  <c r="BU15" i="46"/>
  <c r="BV15" i="46"/>
  <c r="BU15" i="50"/>
  <c r="BV15" i="50"/>
  <c r="BU14" i="55"/>
  <c r="BV14" i="55"/>
  <c r="BU15" i="40"/>
  <c r="BV15" i="40"/>
  <c r="BW15" i="43"/>
  <c r="BX15" i="43"/>
  <c r="BW15" i="70"/>
  <c r="R42" i="71" s="1"/>
  <c r="BX15" i="70"/>
  <c r="S42" i="71" s="1"/>
  <c r="BW15" i="46"/>
  <c r="BX15" i="46"/>
  <c r="BW15" i="50"/>
  <c r="BX15" i="50"/>
  <c r="BW14" i="55"/>
  <c r="BX14" i="55"/>
  <c r="BW15" i="40"/>
  <c r="BX15" i="40"/>
  <c r="BY15" i="43"/>
  <c r="BZ15" i="43"/>
  <c r="BY15" i="70"/>
  <c r="R43" i="71" s="1"/>
  <c r="BZ15" i="70"/>
  <c r="S43" i="71" s="1"/>
  <c r="BY15" i="46"/>
  <c r="BZ15" i="46"/>
  <c r="BY15" i="50"/>
  <c r="BZ15" i="50"/>
  <c r="BY14" i="55"/>
  <c r="BZ14" i="55"/>
  <c r="BY15" i="40"/>
  <c r="BZ15" i="40"/>
  <c r="C16" i="43"/>
  <c r="T6" i="44" s="1"/>
  <c r="S10" i="45" s="1"/>
  <c r="D16" i="43"/>
  <c r="U6" i="44" s="1"/>
  <c r="S58" i="45" s="1"/>
  <c r="C16" i="70"/>
  <c r="T6" i="71" s="1"/>
  <c r="D16" i="70"/>
  <c r="U6" i="71" s="1"/>
  <c r="C16" i="46"/>
  <c r="D16" i="46"/>
  <c r="C16" i="50"/>
  <c r="D16" i="50"/>
  <c r="C16" i="55"/>
  <c r="D16" i="55"/>
  <c r="C16" i="40"/>
  <c r="D16" i="40"/>
  <c r="F16" i="58"/>
  <c r="E16" i="43"/>
  <c r="T7" i="44" s="1"/>
  <c r="S11" i="45" s="1"/>
  <c r="F16" i="43"/>
  <c r="U7" i="44" s="1"/>
  <c r="S59" i="45" s="1"/>
  <c r="E16" i="70"/>
  <c r="T7" i="71" s="1"/>
  <c r="F16" i="70"/>
  <c r="U7" i="71" s="1"/>
  <c r="E16" i="46"/>
  <c r="E16" i="50"/>
  <c r="E16" i="55"/>
  <c r="H16" i="46"/>
  <c r="H16" i="50"/>
  <c r="H16" i="55"/>
  <c r="I16" i="58"/>
  <c r="J16" i="58"/>
  <c r="I16" i="43"/>
  <c r="I16" i="70"/>
  <c r="T9" i="71" s="1"/>
  <c r="J16" i="70"/>
  <c r="U9" i="71" s="1"/>
  <c r="I16" i="46"/>
  <c r="J16" i="46"/>
  <c r="I16" i="50"/>
  <c r="J16" i="50"/>
  <c r="J15" i="55"/>
  <c r="K16" i="58"/>
  <c r="L16" i="58"/>
  <c r="K16" i="43"/>
  <c r="L16" i="43"/>
  <c r="K16" i="70"/>
  <c r="T10" i="71" s="1"/>
  <c r="L16" i="70"/>
  <c r="U10" i="71" s="1"/>
  <c r="K16" i="46"/>
  <c r="L16" i="46"/>
  <c r="K16" i="50"/>
  <c r="L16" i="50"/>
  <c r="K15" i="55"/>
  <c r="L15" i="55"/>
  <c r="K16" i="40"/>
  <c r="L16" i="40"/>
  <c r="M16" i="43"/>
  <c r="N16" i="43"/>
  <c r="M16" i="70"/>
  <c r="T11" i="71" s="1"/>
  <c r="N16" i="70"/>
  <c r="U11" i="71" s="1"/>
  <c r="M16" i="46"/>
  <c r="N16" i="46"/>
  <c r="M16" i="50"/>
  <c r="N16" i="50"/>
  <c r="M15" i="55"/>
  <c r="N15" i="55"/>
  <c r="M16" i="40"/>
  <c r="N16" i="40"/>
  <c r="O16" i="43"/>
  <c r="P16" i="43"/>
  <c r="O16" i="70"/>
  <c r="T12" i="71" s="1"/>
  <c r="P16" i="70"/>
  <c r="U12" i="71" s="1"/>
  <c r="O16" i="46"/>
  <c r="P16" i="46"/>
  <c r="O16" i="50"/>
  <c r="P16" i="50"/>
  <c r="O15" i="55"/>
  <c r="P15" i="55"/>
  <c r="O16" i="40"/>
  <c r="P16" i="40"/>
  <c r="Q16" i="58"/>
  <c r="R16" i="58"/>
  <c r="Q16" i="43"/>
  <c r="R16" i="43"/>
  <c r="Q16" i="70"/>
  <c r="T13" i="71" s="1"/>
  <c r="R16" i="70"/>
  <c r="U13" i="71" s="1"/>
  <c r="Q16" i="46"/>
  <c r="R16" i="46"/>
  <c r="Q16" i="50"/>
  <c r="R16" i="50"/>
  <c r="Q15" i="55"/>
  <c r="R15" i="55"/>
  <c r="Q16" i="40"/>
  <c r="R16" i="40"/>
  <c r="S16" i="58"/>
  <c r="T16" i="58"/>
  <c r="S16" i="43"/>
  <c r="T16" i="43"/>
  <c r="S16" i="70"/>
  <c r="T14" i="71" s="1"/>
  <c r="S16" i="46"/>
  <c r="T16" i="46"/>
  <c r="S16" i="50"/>
  <c r="T16" i="50"/>
  <c r="S15" i="55"/>
  <c r="T15" i="55"/>
  <c r="S16" i="40"/>
  <c r="T16" i="40"/>
  <c r="U16" i="58"/>
  <c r="V16" i="58"/>
  <c r="U16" i="43"/>
  <c r="U16" i="70"/>
  <c r="T15" i="71" s="1"/>
  <c r="V16" i="70"/>
  <c r="U15" i="71" s="1"/>
  <c r="U16" i="46"/>
  <c r="V16" i="46"/>
  <c r="U16" i="50"/>
  <c r="V16" i="50"/>
  <c r="U16" i="40"/>
  <c r="V16" i="40"/>
  <c r="W16" i="43"/>
  <c r="X16" i="43"/>
  <c r="W16" i="70"/>
  <c r="T16" i="71" s="1"/>
  <c r="X16" i="70"/>
  <c r="U16" i="71" s="1"/>
  <c r="W16" i="46"/>
  <c r="X16" i="46"/>
  <c r="W16" i="50"/>
  <c r="X16" i="50"/>
  <c r="W15" i="55"/>
  <c r="X15" i="55"/>
  <c r="W16" i="40"/>
  <c r="X16" i="40"/>
  <c r="Y16" i="43"/>
  <c r="Z16" i="43"/>
  <c r="Y16" i="70"/>
  <c r="T17" i="71" s="1"/>
  <c r="Z16" i="70"/>
  <c r="U17" i="71" s="1"/>
  <c r="Y16" i="46"/>
  <c r="Z16" i="46"/>
  <c r="Y16" i="50"/>
  <c r="Z16" i="50"/>
  <c r="Y16" i="55"/>
  <c r="Z16" i="55"/>
  <c r="Y16" i="40"/>
  <c r="Z16" i="40"/>
  <c r="AB16" i="58"/>
  <c r="AA16" i="43"/>
  <c r="AB16" i="43"/>
  <c r="AA16" i="70"/>
  <c r="T18" i="71" s="1"/>
  <c r="AB16" i="70"/>
  <c r="U18" i="71" s="1"/>
  <c r="AA16" i="46"/>
  <c r="AB16" i="46"/>
  <c r="AA16" i="50"/>
  <c r="AB16" i="50"/>
  <c r="AA15" i="55"/>
  <c r="AB15" i="55"/>
  <c r="AA16" i="40"/>
  <c r="AB16" i="40"/>
  <c r="AC16" i="58"/>
  <c r="AD16" i="58"/>
  <c r="AC16" i="43"/>
  <c r="AD16" i="43"/>
  <c r="AC16" i="70"/>
  <c r="T19" i="71" s="1"/>
  <c r="AD16" i="70"/>
  <c r="U19" i="71" s="1"/>
  <c r="AC16" i="46"/>
  <c r="AD16" i="46"/>
  <c r="AC16" i="50"/>
  <c r="AD16" i="50"/>
  <c r="AC15" i="55"/>
  <c r="AD15" i="55"/>
  <c r="AC16" i="40"/>
  <c r="AD16" i="40"/>
  <c r="AE16" i="58"/>
  <c r="AF16" i="58"/>
  <c r="AE16" i="43"/>
  <c r="AF16" i="43"/>
  <c r="AE16" i="70"/>
  <c r="T20" i="71" s="1"/>
  <c r="AE16" i="46"/>
  <c r="AF16" i="46"/>
  <c r="AE16" i="50"/>
  <c r="AF16" i="50"/>
  <c r="AE15" i="55"/>
  <c r="AF15" i="55"/>
  <c r="AE16" i="40"/>
  <c r="AF16" i="40"/>
  <c r="AG16" i="58"/>
  <c r="AH16" i="58"/>
  <c r="AG16" i="43"/>
  <c r="AG16" i="70"/>
  <c r="T21" i="71" s="1"/>
  <c r="AH16" i="70"/>
  <c r="U21" i="71" s="1"/>
  <c r="AG16" i="46"/>
  <c r="AH16" i="46"/>
  <c r="AG16" i="50"/>
  <c r="AH16" i="50"/>
  <c r="AG15" i="55"/>
  <c r="AH15" i="55"/>
  <c r="AG16" i="40"/>
  <c r="AH16" i="40"/>
  <c r="AI16" i="43"/>
  <c r="AJ16" i="43"/>
  <c r="AI16" i="70"/>
  <c r="T22" i="71" s="1"/>
  <c r="AJ16" i="70"/>
  <c r="U22" i="71" s="1"/>
  <c r="AI16" i="46"/>
  <c r="AJ16" i="46"/>
  <c r="AI16" i="50"/>
  <c r="AJ16" i="50"/>
  <c r="AI15" i="55"/>
  <c r="AJ15" i="55"/>
  <c r="AI16" i="40"/>
  <c r="AJ16" i="40"/>
  <c r="AK16" i="43"/>
  <c r="AL16" i="43"/>
  <c r="AK16" i="70"/>
  <c r="T23" i="71" s="1"/>
  <c r="AL16" i="70"/>
  <c r="U23" i="71" s="1"/>
  <c r="AK16" i="46"/>
  <c r="AL16" i="46"/>
  <c r="AK16" i="50"/>
  <c r="AL16" i="50"/>
  <c r="AK15" i="55"/>
  <c r="AL15" i="55"/>
  <c r="AK16" i="40"/>
  <c r="AL16" i="40"/>
  <c r="AM16" i="43"/>
  <c r="AN16" i="43"/>
  <c r="AM16" i="70"/>
  <c r="T24" i="71" s="1"/>
  <c r="AN16" i="70"/>
  <c r="U24" i="71" s="1"/>
  <c r="AM16" i="46"/>
  <c r="AN16" i="46"/>
  <c r="AM16" i="50"/>
  <c r="AN16" i="50"/>
  <c r="AM15" i="55"/>
  <c r="AN15" i="55"/>
  <c r="AM16" i="40"/>
  <c r="AN16" i="40"/>
  <c r="AO16" i="43"/>
  <c r="AP16" i="43"/>
  <c r="AO16" i="70"/>
  <c r="T25" i="71" s="1"/>
  <c r="AP16" i="70"/>
  <c r="U25" i="71" s="1"/>
  <c r="AO16" i="46"/>
  <c r="AO16" i="50"/>
  <c r="AP16" i="50"/>
  <c r="AO15" i="55"/>
  <c r="AP15" i="55"/>
  <c r="AQ16" i="58"/>
  <c r="AR16" i="58"/>
  <c r="AQ16" i="43"/>
  <c r="AR16" i="43"/>
  <c r="AQ16" i="70"/>
  <c r="T26" i="71" s="1"/>
  <c r="AQ16" i="46"/>
  <c r="AR16" i="46"/>
  <c r="AQ16" i="50"/>
  <c r="AR16" i="50"/>
  <c r="AQ15" i="55"/>
  <c r="AR15" i="55"/>
  <c r="AQ16" i="40"/>
  <c r="AR16" i="40"/>
  <c r="AS16" i="58"/>
  <c r="AT16" i="58"/>
  <c r="AS16" i="43"/>
  <c r="AS16" i="70"/>
  <c r="T27" i="71" s="1"/>
  <c r="AT16" i="70"/>
  <c r="U27" i="71" s="1"/>
  <c r="AS16" i="46"/>
  <c r="AT16" i="46"/>
  <c r="AS16" i="50"/>
  <c r="AT16" i="50"/>
  <c r="AS15" i="55"/>
  <c r="AT15" i="55"/>
  <c r="AS16" i="40"/>
  <c r="AT16" i="40"/>
  <c r="AU16" i="58"/>
  <c r="AU16" i="43"/>
  <c r="AV16" i="43"/>
  <c r="AU16" i="70"/>
  <c r="T28" i="71" s="1"/>
  <c r="AV16" i="70"/>
  <c r="U28" i="71" s="1"/>
  <c r="AU16" i="46"/>
  <c r="AV16" i="46"/>
  <c r="AU16" i="50"/>
  <c r="AV16" i="50"/>
  <c r="AU15" i="55"/>
  <c r="AV15" i="55"/>
  <c r="AU16" i="40"/>
  <c r="AV16" i="40"/>
  <c r="AW16" i="43"/>
  <c r="AX16" i="43"/>
  <c r="AW16" i="70"/>
  <c r="T29" i="71" s="1"/>
  <c r="AX16" i="70"/>
  <c r="U29" i="71" s="1"/>
  <c r="AW16" i="46"/>
  <c r="AX16" i="46"/>
  <c r="AW16" i="50"/>
  <c r="AX16" i="50"/>
  <c r="AW16" i="40"/>
  <c r="AX16" i="40"/>
  <c r="AY16" i="43"/>
  <c r="AZ16" i="43"/>
  <c r="AY16" i="70"/>
  <c r="T30" i="71" s="1"/>
  <c r="AZ16" i="70"/>
  <c r="U30" i="71" s="1"/>
  <c r="AY16" i="46"/>
  <c r="AZ16" i="46"/>
  <c r="AY16" i="50"/>
  <c r="AZ16" i="50"/>
  <c r="AY15" i="55"/>
  <c r="AZ15" i="55"/>
  <c r="AY16" i="40"/>
  <c r="AZ16" i="40"/>
  <c r="BA16" i="58"/>
  <c r="BB16" i="58"/>
  <c r="BA16" i="43"/>
  <c r="BB16" i="43"/>
  <c r="BA16" i="70"/>
  <c r="T31" i="71" s="1"/>
  <c r="BB16" i="70"/>
  <c r="U31" i="71" s="1"/>
  <c r="BA16" i="46"/>
  <c r="BB16" i="46"/>
  <c r="BA16" i="50"/>
  <c r="BB16" i="50"/>
  <c r="BA15" i="55"/>
  <c r="BB15" i="55"/>
  <c r="BA16" i="40"/>
  <c r="BB16" i="40"/>
  <c r="BC16" i="58"/>
  <c r="BD16" i="58"/>
  <c r="BC16" i="43"/>
  <c r="BD16" i="43"/>
  <c r="BC16" i="70"/>
  <c r="T32" i="71" s="1"/>
  <c r="BC16" i="46"/>
  <c r="BD16" i="46"/>
  <c r="BC16" i="50"/>
  <c r="BD16" i="50"/>
  <c r="BC15" i="55"/>
  <c r="BD15" i="55"/>
  <c r="BC16" i="40"/>
  <c r="BD16" i="40"/>
  <c r="BE16" i="58"/>
  <c r="BF16" i="58"/>
  <c r="BE16" i="43"/>
  <c r="BE16" i="70"/>
  <c r="T33" i="71" s="1"/>
  <c r="BF16" i="70"/>
  <c r="U33" i="71" s="1"/>
  <c r="BE16" i="46"/>
  <c r="BF16" i="46"/>
  <c r="BE16" i="40"/>
  <c r="BF16" i="40"/>
  <c r="BG16" i="43"/>
  <c r="BH16" i="43"/>
  <c r="BG16" i="70"/>
  <c r="T34" i="71" s="1"/>
  <c r="BH16" i="70"/>
  <c r="U34" i="71" s="1"/>
  <c r="BG16" i="46"/>
  <c r="BH16" i="46"/>
  <c r="BG16" i="50"/>
  <c r="BH16" i="50"/>
  <c r="BG15" i="55"/>
  <c r="BH15" i="55"/>
  <c r="BG16" i="40"/>
  <c r="BH16" i="40"/>
  <c r="BI16" i="43"/>
  <c r="BJ16" i="43"/>
  <c r="BI16" i="70"/>
  <c r="T35" i="71" s="1"/>
  <c r="BJ16" i="70"/>
  <c r="U35" i="71" s="1"/>
  <c r="BI16" i="46"/>
  <c r="BJ16" i="46"/>
  <c r="BI16" i="50"/>
  <c r="BJ16" i="50"/>
  <c r="BI15" i="55"/>
  <c r="BJ15" i="55"/>
  <c r="BI16" i="40"/>
  <c r="BJ16" i="40"/>
  <c r="BK16" i="43"/>
  <c r="BL16" i="43"/>
  <c r="BK16" i="70"/>
  <c r="T36" i="71" s="1"/>
  <c r="BL16" i="70"/>
  <c r="U36" i="71" s="1"/>
  <c r="BK16" i="46"/>
  <c r="BL16" i="46"/>
  <c r="BK16" i="50"/>
  <c r="BL16" i="50"/>
  <c r="BK15" i="55"/>
  <c r="BL15" i="55"/>
  <c r="BK16" i="40"/>
  <c r="BL16" i="40"/>
  <c r="BM16" i="43"/>
  <c r="BN16" i="43"/>
  <c r="BM16" i="70"/>
  <c r="T37" i="71" s="1"/>
  <c r="BN16" i="70"/>
  <c r="U37" i="71" s="1"/>
  <c r="BM16" i="46"/>
  <c r="BN16" i="46"/>
  <c r="BM16" i="50"/>
  <c r="BN16" i="50"/>
  <c r="BM15" i="55"/>
  <c r="BN15" i="55"/>
  <c r="BM16" i="40"/>
  <c r="BN16" i="40"/>
  <c r="BO16" i="43"/>
  <c r="BP16" i="43"/>
  <c r="BO16" i="70"/>
  <c r="T38" i="71" s="1"/>
  <c r="BP16" i="70"/>
  <c r="U38" i="71" s="1"/>
  <c r="BO16" i="46"/>
  <c r="BP16" i="46"/>
  <c r="BO16" i="50"/>
  <c r="BP16" i="50"/>
  <c r="BO15" i="55"/>
  <c r="BP15" i="55"/>
  <c r="BO16" i="40"/>
  <c r="BP16" i="40"/>
  <c r="BQ16" i="43"/>
  <c r="BR16" i="43"/>
  <c r="BQ16" i="70"/>
  <c r="T39" i="71" s="1"/>
  <c r="BR16" i="70"/>
  <c r="U39" i="71" s="1"/>
  <c r="BQ16" i="46"/>
  <c r="BR16" i="46"/>
  <c r="BQ16" i="50"/>
  <c r="BR16" i="50"/>
  <c r="BQ16" i="40"/>
  <c r="BR16" i="40"/>
  <c r="BS16" i="43"/>
  <c r="BT16" i="43"/>
  <c r="BS16" i="70"/>
  <c r="T40" i="71" s="1"/>
  <c r="BT16" i="70"/>
  <c r="U40" i="71" s="1"/>
  <c r="BS16" i="46"/>
  <c r="BT16" i="46"/>
  <c r="BS16" i="50"/>
  <c r="BT16" i="50"/>
  <c r="BS15" i="55"/>
  <c r="BT15" i="55"/>
  <c r="BS16" i="40"/>
  <c r="BT16" i="40"/>
  <c r="BU16" i="43"/>
  <c r="BV16" i="43"/>
  <c r="BU16" i="70"/>
  <c r="T41" i="71" s="1"/>
  <c r="BV16" i="70"/>
  <c r="U41" i="71" s="1"/>
  <c r="BU16" i="46"/>
  <c r="BV16" i="46"/>
  <c r="BU16" i="50"/>
  <c r="BV16" i="50"/>
  <c r="BU15" i="55"/>
  <c r="BV15" i="55"/>
  <c r="BU16" i="40"/>
  <c r="BV16" i="40"/>
  <c r="BW16" i="43"/>
  <c r="BX16" i="43"/>
  <c r="BW16" i="70"/>
  <c r="T42" i="71" s="1"/>
  <c r="BX16" i="70"/>
  <c r="U42" i="71" s="1"/>
  <c r="BW16" i="46"/>
  <c r="BX16" i="46"/>
  <c r="BW16" i="50"/>
  <c r="BX16" i="50"/>
  <c r="BW15" i="55"/>
  <c r="BX15" i="55"/>
  <c r="BW16" i="40"/>
  <c r="BX16" i="40"/>
  <c r="BY16" i="43"/>
  <c r="BZ16" i="43"/>
  <c r="BY16" i="70"/>
  <c r="T43" i="71" s="1"/>
  <c r="BZ16" i="70"/>
  <c r="U43" i="71" s="1"/>
  <c r="BY16" i="46"/>
  <c r="BZ16" i="46"/>
  <c r="BY16" i="50"/>
  <c r="BZ16" i="50"/>
  <c r="BY15" i="55"/>
  <c r="BZ15" i="55"/>
  <c r="BY16" i="40"/>
  <c r="BZ16" i="40"/>
  <c r="C17" i="58"/>
  <c r="D17" i="58"/>
  <c r="D17" i="43"/>
  <c r="W6" i="44" s="1"/>
  <c r="C17" i="70"/>
  <c r="V6" i="71" s="1"/>
  <c r="D17" i="70"/>
  <c r="W6" i="71" s="1"/>
  <c r="C17" i="46"/>
  <c r="D17" i="46"/>
  <c r="C17" i="50"/>
  <c r="D17" i="50"/>
  <c r="C17" i="55"/>
  <c r="D17" i="55"/>
  <c r="C17" i="40"/>
  <c r="D17" i="40"/>
  <c r="F17" i="58"/>
  <c r="E17" i="43"/>
  <c r="V7" i="44" s="1"/>
  <c r="F17" i="43"/>
  <c r="W7" i="44" s="1"/>
  <c r="E17" i="70"/>
  <c r="V7" i="71" s="1"/>
  <c r="F17" i="70"/>
  <c r="W7" i="71" s="1"/>
  <c r="E17" i="46"/>
  <c r="E17" i="50"/>
  <c r="E17" i="55"/>
  <c r="H17" i="70"/>
  <c r="W8" i="71" s="1"/>
  <c r="H17" i="46"/>
  <c r="H17" i="50"/>
  <c r="H17" i="55"/>
  <c r="J17" i="58"/>
  <c r="I17" i="43"/>
  <c r="J17" i="43"/>
  <c r="I17" i="70"/>
  <c r="V9" i="71" s="1"/>
  <c r="J17" i="70"/>
  <c r="W9" i="71" s="1"/>
  <c r="I17" i="46"/>
  <c r="J17" i="46"/>
  <c r="I17" i="50"/>
  <c r="J17" i="50"/>
  <c r="J16" i="55"/>
  <c r="K17" i="58"/>
  <c r="L17" i="58"/>
  <c r="K17" i="43"/>
  <c r="L17" i="43"/>
  <c r="K17" i="70"/>
  <c r="V10" i="71" s="1"/>
  <c r="L17" i="70"/>
  <c r="W10" i="71" s="1"/>
  <c r="K17" i="46"/>
  <c r="L17" i="46"/>
  <c r="K17" i="50"/>
  <c r="L17" i="50"/>
  <c r="K16" i="55"/>
  <c r="L16" i="55"/>
  <c r="K17" i="40"/>
  <c r="L17" i="40"/>
  <c r="N17" i="58"/>
  <c r="M17" i="43"/>
  <c r="N17" i="43"/>
  <c r="M17" i="70"/>
  <c r="V11" i="71" s="1"/>
  <c r="N17" i="70"/>
  <c r="W11" i="71" s="1"/>
  <c r="M17" i="46"/>
  <c r="N17" i="46"/>
  <c r="M17" i="50"/>
  <c r="N17" i="50"/>
  <c r="M16" i="55"/>
  <c r="N16" i="55"/>
  <c r="M17" i="40"/>
  <c r="N17" i="40"/>
  <c r="O17" i="58"/>
  <c r="P17" i="58"/>
  <c r="O17" i="43"/>
  <c r="P17" i="43"/>
  <c r="O17" i="70"/>
  <c r="V12" i="71" s="1"/>
  <c r="P17" i="70"/>
  <c r="W12" i="71" s="1"/>
  <c r="O17" i="46"/>
  <c r="P17" i="46"/>
  <c r="O17" i="50"/>
  <c r="P17" i="50"/>
  <c r="O16" i="55"/>
  <c r="P16" i="55"/>
  <c r="O17" i="40"/>
  <c r="P17" i="40"/>
  <c r="Q17" i="58"/>
  <c r="Q17" i="43"/>
  <c r="R17" i="43"/>
  <c r="Q17" i="70"/>
  <c r="V13" i="71" s="1"/>
  <c r="R17" i="70"/>
  <c r="W13" i="71" s="1"/>
  <c r="Q17" i="46"/>
  <c r="R17" i="46"/>
  <c r="Q17" i="50"/>
  <c r="R17" i="50"/>
  <c r="Q16" i="55"/>
  <c r="R16" i="55"/>
  <c r="Q17" i="40"/>
  <c r="R17" i="40"/>
  <c r="S17" i="58"/>
  <c r="T17" i="58"/>
  <c r="S17" i="43"/>
  <c r="T17" i="43"/>
  <c r="S17" i="70"/>
  <c r="V14" i="71" s="1"/>
  <c r="T17" i="70"/>
  <c r="W14" i="71" s="1"/>
  <c r="S17" i="46"/>
  <c r="T17" i="46"/>
  <c r="S17" i="50"/>
  <c r="T17" i="50"/>
  <c r="S16" i="55"/>
  <c r="T16" i="55"/>
  <c r="S17" i="40"/>
  <c r="T17" i="40"/>
  <c r="U17" i="58"/>
  <c r="V17" i="58"/>
  <c r="U17" i="43"/>
  <c r="V17" i="43"/>
  <c r="U17" i="70"/>
  <c r="V15" i="71" s="1"/>
  <c r="V17" i="70"/>
  <c r="W15" i="71" s="1"/>
  <c r="U17" i="46"/>
  <c r="V17" i="46"/>
  <c r="U17" i="50"/>
  <c r="V17" i="50"/>
  <c r="U17" i="40"/>
  <c r="V17" i="40"/>
  <c r="W17" i="58"/>
  <c r="W17" i="43"/>
  <c r="X17" i="43"/>
  <c r="W17" i="70"/>
  <c r="V16" i="71" s="1"/>
  <c r="X17" i="70"/>
  <c r="W16" i="71" s="1"/>
  <c r="W17" i="46"/>
  <c r="X17" i="46"/>
  <c r="W17" i="50"/>
  <c r="X17" i="50"/>
  <c r="W16" i="55"/>
  <c r="X16" i="55"/>
  <c r="W17" i="40"/>
  <c r="X17" i="40"/>
  <c r="Z17" i="58"/>
  <c r="Y17" i="43"/>
  <c r="Z17" i="43"/>
  <c r="Y17" i="70"/>
  <c r="V17" i="71" s="1"/>
  <c r="Z17" i="70"/>
  <c r="W17" i="71" s="1"/>
  <c r="Y17" i="46"/>
  <c r="Z17" i="46"/>
  <c r="Y17" i="50"/>
  <c r="Z17" i="50"/>
  <c r="Y17" i="55"/>
  <c r="Z17" i="55"/>
  <c r="Y17" i="40"/>
  <c r="Z17" i="40"/>
  <c r="AA17" i="58"/>
  <c r="AB17" i="58"/>
  <c r="AA17" i="43"/>
  <c r="AB17" i="43"/>
  <c r="AA17" i="70"/>
  <c r="V18" i="71" s="1"/>
  <c r="AB17" i="70"/>
  <c r="W18" i="71" s="1"/>
  <c r="AA17" i="46"/>
  <c r="AB17" i="46"/>
  <c r="AA17" i="50"/>
  <c r="AB17" i="50"/>
  <c r="AA16" i="55"/>
  <c r="AB16" i="55"/>
  <c r="AA17" i="40"/>
  <c r="AB17" i="40"/>
  <c r="AD17" i="58"/>
  <c r="AC17" i="43"/>
  <c r="AD17" i="43"/>
  <c r="AC17" i="70"/>
  <c r="V19" i="71" s="1"/>
  <c r="AD17" i="70"/>
  <c r="W19" i="71" s="1"/>
  <c r="AC17" i="46"/>
  <c r="AD17" i="46"/>
  <c r="AC17" i="50"/>
  <c r="AD17" i="50"/>
  <c r="AC16" i="55"/>
  <c r="AD16" i="55"/>
  <c r="AC17" i="40"/>
  <c r="AD17" i="40"/>
  <c r="AE17" i="58"/>
  <c r="AE17" i="43"/>
  <c r="AF17" i="43"/>
  <c r="AE17" i="70"/>
  <c r="V20" i="71" s="1"/>
  <c r="AF17" i="70"/>
  <c r="W20" i="71" s="1"/>
  <c r="AE17" i="46"/>
  <c r="AF17" i="46"/>
  <c r="AE17" i="50"/>
  <c r="AF17" i="50"/>
  <c r="AF16" i="55"/>
  <c r="AE17" i="40"/>
  <c r="AF17" i="40"/>
  <c r="AH17" i="58"/>
  <c r="AG17" i="43"/>
  <c r="AH17" i="43"/>
  <c r="AG17" i="70"/>
  <c r="V21" i="71" s="1"/>
  <c r="AH17" i="70"/>
  <c r="W21" i="71" s="1"/>
  <c r="AG17" i="46"/>
  <c r="AH17" i="46"/>
  <c r="AG17" i="50"/>
  <c r="AH17" i="50"/>
  <c r="AG16" i="55"/>
  <c r="AH16" i="55"/>
  <c r="AG17" i="40"/>
  <c r="AH17" i="40"/>
  <c r="AJ17" i="58"/>
  <c r="AI17" i="43"/>
  <c r="AJ17" i="43"/>
  <c r="AI17" i="70"/>
  <c r="V22" i="71" s="1"/>
  <c r="AJ17" i="70"/>
  <c r="W22" i="71" s="1"/>
  <c r="AI17" i="46"/>
  <c r="AJ17" i="46"/>
  <c r="AI17" i="50"/>
  <c r="AJ17" i="50"/>
  <c r="AI16" i="55"/>
  <c r="AJ16" i="55"/>
  <c r="AI17" i="40"/>
  <c r="AJ17" i="40"/>
  <c r="AL17" i="58"/>
  <c r="AK17" i="43"/>
  <c r="AL17" i="43"/>
  <c r="AK17" i="70"/>
  <c r="V23" i="71" s="1"/>
  <c r="AL17" i="70"/>
  <c r="W23" i="71" s="1"/>
  <c r="AK17" i="46"/>
  <c r="AL17" i="46"/>
  <c r="AK17" i="50"/>
  <c r="AL17" i="50"/>
  <c r="AK16" i="55"/>
  <c r="AL16" i="55"/>
  <c r="AK17" i="40"/>
  <c r="AL17" i="40"/>
  <c r="AM17" i="58"/>
  <c r="AN17" i="58"/>
  <c r="AN17" i="43"/>
  <c r="AM17" i="70"/>
  <c r="V24" i="71" s="1"/>
  <c r="AN17" i="70"/>
  <c r="W24" i="71" s="1"/>
  <c r="AM17" i="46"/>
  <c r="AN17" i="46"/>
  <c r="AM17" i="50"/>
  <c r="AN17" i="50"/>
  <c r="AM16" i="55"/>
  <c r="AN16" i="55"/>
  <c r="AM17" i="40"/>
  <c r="AN17" i="40"/>
  <c r="AO17" i="43"/>
  <c r="AO17" i="70"/>
  <c r="V25" i="71" s="1"/>
  <c r="AP17" i="70"/>
  <c r="W25" i="71" s="1"/>
  <c r="AO17" i="46"/>
  <c r="AP17" i="46"/>
  <c r="AO17" i="50"/>
  <c r="AP17" i="50"/>
  <c r="AO16" i="55"/>
  <c r="AP16" i="55"/>
  <c r="AQ17" i="43"/>
  <c r="AR17" i="43"/>
  <c r="AQ17" i="70"/>
  <c r="V26" i="71" s="1"/>
  <c r="AR17" i="70"/>
  <c r="W26" i="71" s="1"/>
  <c r="AQ17" i="46"/>
  <c r="AR17" i="46"/>
  <c r="AQ17" i="50"/>
  <c r="AR17" i="50"/>
  <c r="AQ16" i="55"/>
  <c r="AR16" i="55"/>
  <c r="AQ17" i="40"/>
  <c r="AR17" i="40"/>
  <c r="AT17" i="58"/>
  <c r="AS17" i="43"/>
  <c r="AT17" i="43"/>
  <c r="AS17" i="70"/>
  <c r="V27" i="71" s="1"/>
  <c r="AT17" i="70"/>
  <c r="W27" i="71" s="1"/>
  <c r="AS17" i="46"/>
  <c r="AT17" i="46"/>
  <c r="AS17" i="50"/>
  <c r="AT17" i="50"/>
  <c r="AS16" i="55"/>
  <c r="AT16" i="55"/>
  <c r="AS17" i="40"/>
  <c r="AT17" i="40"/>
  <c r="AU17" i="58"/>
  <c r="AU17" i="43"/>
  <c r="AV17" i="43"/>
  <c r="AU17" i="70"/>
  <c r="V28" i="71" s="1"/>
  <c r="AV17" i="70"/>
  <c r="W28" i="71" s="1"/>
  <c r="AU17" i="46"/>
  <c r="AV17" i="46"/>
  <c r="AU17" i="50"/>
  <c r="AV17" i="50"/>
  <c r="AU16" i="55"/>
  <c r="AV16" i="55"/>
  <c r="AU17" i="40"/>
  <c r="AV17" i="40"/>
  <c r="AW17" i="58"/>
  <c r="AX17" i="58"/>
  <c r="AW17" i="43"/>
  <c r="AX17" i="43"/>
  <c r="AW17" i="70"/>
  <c r="V29" i="71" s="1"/>
  <c r="AX17" i="70"/>
  <c r="W29" i="71" s="1"/>
  <c r="AX17" i="46"/>
  <c r="AW17" i="50"/>
  <c r="AX17" i="50"/>
  <c r="AW17" i="40"/>
  <c r="AX17" i="40"/>
  <c r="AZ17" i="58"/>
  <c r="AY17" i="43"/>
  <c r="AZ17" i="43"/>
  <c r="AY17" i="70"/>
  <c r="V30" i="71" s="1"/>
  <c r="AZ17" i="70"/>
  <c r="W30" i="71" s="1"/>
  <c r="AY17" i="46"/>
  <c r="AZ17" i="46"/>
  <c r="AY17" i="50"/>
  <c r="AZ17" i="50"/>
  <c r="AY16" i="55"/>
  <c r="AZ16" i="55"/>
  <c r="AY17" i="40"/>
  <c r="AZ17" i="40"/>
  <c r="BA17" i="58"/>
  <c r="BA17" i="43"/>
  <c r="BB17" i="43"/>
  <c r="BA17" i="70"/>
  <c r="V31" i="71" s="1"/>
  <c r="BB17" i="70"/>
  <c r="W31" i="71" s="1"/>
  <c r="BA17" i="46"/>
  <c r="BB17" i="46"/>
  <c r="BA17" i="50"/>
  <c r="BB17" i="50"/>
  <c r="BA16" i="55"/>
  <c r="BB16" i="55"/>
  <c r="BA17" i="40"/>
  <c r="BB17" i="40"/>
  <c r="BC17" i="58"/>
  <c r="BD17" i="58"/>
  <c r="BC17" i="43"/>
  <c r="BD17" i="43"/>
  <c r="BC17" i="70"/>
  <c r="V32" i="71" s="1"/>
  <c r="BD17" i="70"/>
  <c r="W32" i="71" s="1"/>
  <c r="BC17" i="46"/>
  <c r="BD17" i="46"/>
  <c r="BC17" i="50"/>
  <c r="BD17" i="50"/>
  <c r="BC16" i="55"/>
  <c r="BD16" i="55"/>
  <c r="BC17" i="40"/>
  <c r="BD17" i="40"/>
  <c r="BE17" i="58"/>
  <c r="BE17" i="43"/>
  <c r="BF17" i="43"/>
  <c r="BE17" i="70"/>
  <c r="V33" i="71" s="1"/>
  <c r="BF17" i="70"/>
  <c r="W33" i="71" s="1"/>
  <c r="BE17" i="46"/>
  <c r="BF17" i="46"/>
  <c r="BE17" i="40"/>
  <c r="BF17" i="40"/>
  <c r="BG17" i="58"/>
  <c r="BG17" i="43"/>
  <c r="BH17" i="43"/>
  <c r="BG17" i="70"/>
  <c r="V34" i="71" s="1"/>
  <c r="BH17" i="70"/>
  <c r="W34" i="71" s="1"/>
  <c r="BG17" i="46"/>
  <c r="BH17" i="46"/>
  <c r="BG17" i="50"/>
  <c r="BH17" i="50"/>
  <c r="BG16" i="55"/>
  <c r="BH16" i="55"/>
  <c r="BG17" i="40"/>
  <c r="BH17" i="40"/>
  <c r="BJ17" i="58"/>
  <c r="BI17" i="43"/>
  <c r="BJ17" i="43"/>
  <c r="BI17" i="70"/>
  <c r="V35" i="71" s="1"/>
  <c r="BJ17" i="70"/>
  <c r="W35" i="71" s="1"/>
  <c r="BI17" i="46"/>
  <c r="BJ17" i="46"/>
  <c r="BI17" i="50"/>
  <c r="BJ17" i="50"/>
  <c r="BI16" i="55"/>
  <c r="BJ16" i="55"/>
  <c r="BI17" i="40"/>
  <c r="BJ17" i="40"/>
  <c r="BK17" i="43"/>
  <c r="BL17" i="43"/>
  <c r="BK17" i="70"/>
  <c r="V36" i="71" s="1"/>
  <c r="BL17" i="70"/>
  <c r="W36" i="71" s="1"/>
  <c r="BK17" i="46"/>
  <c r="BL17" i="46"/>
  <c r="BK17" i="50"/>
  <c r="BL17" i="50"/>
  <c r="BK16" i="55"/>
  <c r="BL16" i="55"/>
  <c r="BK17" i="40"/>
  <c r="BL17" i="40"/>
  <c r="BM17" i="43"/>
  <c r="BN17" i="43"/>
  <c r="BM17" i="70"/>
  <c r="V37" i="71" s="1"/>
  <c r="BN17" i="70"/>
  <c r="W37" i="71" s="1"/>
  <c r="BM17" i="46"/>
  <c r="BN17" i="46"/>
  <c r="BM17" i="50"/>
  <c r="BN17" i="50"/>
  <c r="BM16" i="55"/>
  <c r="BN16" i="55"/>
  <c r="BM17" i="40"/>
  <c r="BN17" i="40"/>
  <c r="BO17" i="43"/>
  <c r="BP17" i="43"/>
  <c r="BO17" i="70"/>
  <c r="V38" i="71" s="1"/>
  <c r="BP17" i="70"/>
  <c r="W38" i="71" s="1"/>
  <c r="BO17" i="46"/>
  <c r="BP17" i="46"/>
  <c r="BO17" i="50"/>
  <c r="BP17" i="50"/>
  <c r="BO16" i="55"/>
  <c r="BP16" i="55"/>
  <c r="BO17" i="40"/>
  <c r="BP17" i="40"/>
  <c r="BQ17" i="43"/>
  <c r="BR17" i="43"/>
  <c r="BQ17" i="70"/>
  <c r="V39" i="71" s="1"/>
  <c r="BR17" i="70"/>
  <c r="W39" i="71" s="1"/>
  <c r="BQ17" i="46"/>
  <c r="BR17" i="46"/>
  <c r="BQ17" i="50"/>
  <c r="BR17" i="50"/>
  <c r="BQ17" i="40"/>
  <c r="BR17" i="40"/>
  <c r="BS17" i="43"/>
  <c r="BT17" i="43"/>
  <c r="BS17" i="70"/>
  <c r="V40" i="71" s="1"/>
  <c r="BT17" i="70"/>
  <c r="W40" i="71" s="1"/>
  <c r="BS17" i="46"/>
  <c r="BT17" i="46"/>
  <c r="BS17" i="50"/>
  <c r="BT17" i="50"/>
  <c r="BS16" i="55"/>
  <c r="BT16" i="55"/>
  <c r="BS17" i="40"/>
  <c r="BT17" i="40"/>
  <c r="BU17" i="43"/>
  <c r="BV17" i="43"/>
  <c r="BU17" i="70"/>
  <c r="V41" i="71" s="1"/>
  <c r="BV17" i="70"/>
  <c r="W41" i="71" s="1"/>
  <c r="BU17" i="46"/>
  <c r="BV17" i="46"/>
  <c r="BU17" i="50"/>
  <c r="BV17" i="50"/>
  <c r="BU16" i="55"/>
  <c r="BV16" i="55"/>
  <c r="BU17" i="40"/>
  <c r="BV17" i="40"/>
  <c r="BW17" i="43"/>
  <c r="BX17" i="43"/>
  <c r="BW17" i="70"/>
  <c r="V42" i="71" s="1"/>
  <c r="BX17" i="70"/>
  <c r="W42" i="71" s="1"/>
  <c r="BW17" i="46"/>
  <c r="BX17" i="46"/>
  <c r="BW17" i="50"/>
  <c r="BX17" i="50"/>
  <c r="BW16" i="55"/>
  <c r="BX16" i="55"/>
  <c r="BW17" i="40"/>
  <c r="BX17" i="40"/>
  <c r="BY17" i="43"/>
  <c r="BZ17" i="43"/>
  <c r="BY17" i="70"/>
  <c r="V43" i="71" s="1"/>
  <c r="BZ17" i="70"/>
  <c r="W43" i="71" s="1"/>
  <c r="BY17" i="46"/>
  <c r="BZ17" i="46"/>
  <c r="BY17" i="50"/>
  <c r="BZ17" i="50"/>
  <c r="BY16" i="55"/>
  <c r="BZ16" i="55"/>
  <c r="BY17" i="40"/>
  <c r="BZ17" i="40"/>
  <c r="C18" i="43"/>
  <c r="D18" i="43"/>
  <c r="Y6" i="44" s="1"/>
  <c r="C18" i="70"/>
  <c r="X6" i="71" s="1"/>
  <c r="D18" i="70"/>
  <c r="Y6" i="71" s="1"/>
  <c r="C18" i="46"/>
  <c r="D18" i="46"/>
  <c r="C18" i="50"/>
  <c r="D18" i="50"/>
  <c r="C18" i="55"/>
  <c r="D18" i="55"/>
  <c r="C18" i="40"/>
  <c r="D18" i="40"/>
  <c r="E18" i="43"/>
  <c r="X7" i="44" s="1"/>
  <c r="F18" i="43"/>
  <c r="Y7" i="44" s="1"/>
  <c r="E18" i="70"/>
  <c r="X7" i="71" s="1"/>
  <c r="F18" i="70"/>
  <c r="Y7" i="71" s="1"/>
  <c r="E18" i="46"/>
  <c r="E18" i="50"/>
  <c r="E18" i="55"/>
  <c r="H18" i="70"/>
  <c r="Y8" i="71" s="1"/>
  <c r="H18" i="46"/>
  <c r="H18" i="50"/>
  <c r="H18" i="55"/>
  <c r="J18" i="58"/>
  <c r="I18" i="43"/>
  <c r="J18" i="43"/>
  <c r="I18" i="70"/>
  <c r="X9" i="71" s="1"/>
  <c r="J18" i="70"/>
  <c r="Y9" i="71" s="1"/>
  <c r="I18" i="46"/>
  <c r="I18" i="50"/>
  <c r="J18" i="50"/>
  <c r="J17" i="55"/>
  <c r="K18" i="58"/>
  <c r="L18" i="58"/>
  <c r="K18" i="43"/>
  <c r="L18" i="43"/>
  <c r="K18" i="70"/>
  <c r="X10" i="71" s="1"/>
  <c r="K18" i="46"/>
  <c r="L18" i="46"/>
  <c r="K18" i="50"/>
  <c r="L18" i="50"/>
  <c r="K17" i="55"/>
  <c r="L17" i="55"/>
  <c r="K18" i="40"/>
  <c r="L18" i="40"/>
  <c r="M18" i="58"/>
  <c r="N18" i="58"/>
  <c r="N18" i="43"/>
  <c r="M18" i="70"/>
  <c r="X11" i="71" s="1"/>
  <c r="N18" i="70"/>
  <c r="Y11" i="71" s="1"/>
  <c r="M18" i="46"/>
  <c r="N18" i="46"/>
  <c r="M18" i="50"/>
  <c r="N18" i="50"/>
  <c r="M17" i="55"/>
  <c r="N17" i="55"/>
  <c r="M18" i="40"/>
  <c r="N18" i="40"/>
  <c r="O18" i="43"/>
  <c r="P18" i="43"/>
  <c r="O18" i="70"/>
  <c r="X12" i="71" s="1"/>
  <c r="P18" i="70"/>
  <c r="Y12" i="71" s="1"/>
  <c r="O18" i="46"/>
  <c r="P18" i="46"/>
  <c r="O18" i="50"/>
  <c r="P18" i="50"/>
  <c r="O17" i="55"/>
  <c r="P17" i="55"/>
  <c r="O18" i="40"/>
  <c r="P18" i="40"/>
  <c r="R18" i="58"/>
  <c r="Q18" i="43"/>
  <c r="R18" i="43"/>
  <c r="Q18" i="70"/>
  <c r="X13" i="71" s="1"/>
  <c r="R18" i="70"/>
  <c r="Y13" i="71" s="1"/>
  <c r="Q18" i="46"/>
  <c r="R18" i="46"/>
  <c r="Q18" i="50"/>
  <c r="R18" i="50"/>
  <c r="Q17" i="55"/>
  <c r="Q18" i="40"/>
  <c r="R18" i="40"/>
  <c r="S18" i="43"/>
  <c r="T18" i="43"/>
  <c r="S18" i="70"/>
  <c r="X14" i="71" s="1"/>
  <c r="T18" i="70"/>
  <c r="Y14" i="71" s="1"/>
  <c r="S18" i="46"/>
  <c r="T18" i="46"/>
  <c r="S18" i="50"/>
  <c r="T18" i="50"/>
  <c r="S17" i="55"/>
  <c r="T17" i="55"/>
  <c r="S18" i="40"/>
  <c r="T18" i="40"/>
  <c r="U18" i="58"/>
  <c r="V18" i="58"/>
  <c r="U18" i="43"/>
  <c r="V18" i="43"/>
  <c r="U18" i="70"/>
  <c r="X15" i="71" s="1"/>
  <c r="V18" i="70"/>
  <c r="Y15" i="71" s="1"/>
  <c r="U18" i="46"/>
  <c r="U18" i="50"/>
  <c r="V18" i="50"/>
  <c r="U18" i="40"/>
  <c r="V18" i="40"/>
  <c r="W18" i="58"/>
  <c r="X18" i="58"/>
  <c r="W18" i="43"/>
  <c r="X18" i="43"/>
  <c r="W18" i="70"/>
  <c r="X16" i="71" s="1"/>
  <c r="W18" i="46"/>
  <c r="X18" i="46"/>
  <c r="W18" i="50"/>
  <c r="X18" i="50"/>
  <c r="W17" i="55"/>
  <c r="X17" i="55"/>
  <c r="W18" i="40"/>
  <c r="X18" i="40"/>
  <c r="Y18" i="58"/>
  <c r="Z18" i="58"/>
  <c r="Y18" i="43"/>
  <c r="Y18" i="70"/>
  <c r="X17" i="71" s="1"/>
  <c r="Z18" i="70"/>
  <c r="Y17" i="71" s="1"/>
  <c r="Y18" i="46"/>
  <c r="Z18" i="46"/>
  <c r="Y18" i="50"/>
  <c r="Z18" i="50"/>
  <c r="Y18" i="55"/>
  <c r="Z18" i="55"/>
  <c r="Y18" i="40"/>
  <c r="Z18" i="40"/>
  <c r="AB18" i="58"/>
  <c r="AA18" i="43"/>
  <c r="AB18" i="43"/>
  <c r="AA18" i="70"/>
  <c r="X18" i="71" s="1"/>
  <c r="AB18" i="70"/>
  <c r="Y18" i="71" s="1"/>
  <c r="AA18" i="46"/>
  <c r="AB18" i="46"/>
  <c r="AA18" i="50"/>
  <c r="AB18" i="50"/>
  <c r="AA17" i="55"/>
  <c r="AB17" i="55"/>
  <c r="AA18" i="40"/>
  <c r="AB18" i="40"/>
  <c r="AC18" i="43"/>
  <c r="AD18" i="43"/>
  <c r="AC18" i="70"/>
  <c r="X19" i="71" s="1"/>
  <c r="AD18" i="70"/>
  <c r="Y19" i="71" s="1"/>
  <c r="AC18" i="46"/>
  <c r="AD18" i="46"/>
  <c r="AC18" i="50"/>
  <c r="AD18" i="50"/>
  <c r="AC17" i="55"/>
  <c r="AD17" i="55"/>
  <c r="AC18" i="40"/>
  <c r="AD18" i="40"/>
  <c r="AE18" i="58"/>
  <c r="AF18" i="58"/>
  <c r="AE18" i="43"/>
  <c r="AF18" i="43"/>
  <c r="AE18" i="70"/>
  <c r="X20" i="71" s="1"/>
  <c r="AF18" i="70"/>
  <c r="Y20" i="71" s="1"/>
  <c r="AE18" i="46"/>
  <c r="AF18" i="46"/>
  <c r="AE18" i="50"/>
  <c r="AF18" i="50"/>
  <c r="AE17" i="55"/>
  <c r="AF17" i="55"/>
  <c r="AE18" i="40"/>
  <c r="AF18" i="40"/>
  <c r="AG18" i="58"/>
  <c r="AH18" i="58"/>
  <c r="AG18" i="43"/>
  <c r="AH18" i="43"/>
  <c r="AG18" i="70"/>
  <c r="X21" i="71" s="1"/>
  <c r="AH18" i="70"/>
  <c r="Y21" i="71" s="1"/>
  <c r="AG18" i="46"/>
  <c r="AG18" i="50"/>
  <c r="AH18" i="50"/>
  <c r="AG17" i="55"/>
  <c r="AH17" i="55"/>
  <c r="AG18" i="40"/>
  <c r="AH18" i="40"/>
  <c r="AI18" i="58"/>
  <c r="AJ18" i="58"/>
  <c r="AI18" i="43"/>
  <c r="AJ18" i="43"/>
  <c r="AI18" i="70"/>
  <c r="X22" i="71" s="1"/>
  <c r="AJ18" i="70"/>
  <c r="Y22" i="71" s="1"/>
  <c r="AI18" i="46"/>
  <c r="AJ18" i="46"/>
  <c r="AI18" i="50"/>
  <c r="AJ18" i="50"/>
  <c r="AI17" i="55"/>
  <c r="AJ17" i="55"/>
  <c r="AI18" i="40"/>
  <c r="AJ18" i="40"/>
  <c r="AL18" i="58"/>
  <c r="AK18" i="43"/>
  <c r="AK18" i="70"/>
  <c r="X23" i="71" s="1"/>
  <c r="AL18" i="70"/>
  <c r="Y23" i="71" s="1"/>
  <c r="AK18" i="46"/>
  <c r="AL18" i="46"/>
  <c r="AK18" i="50"/>
  <c r="AL18" i="50"/>
  <c r="AK17" i="55"/>
  <c r="AL17" i="55"/>
  <c r="AK18" i="40"/>
  <c r="AL18" i="40"/>
  <c r="AM18" i="43"/>
  <c r="AN18" i="43"/>
  <c r="AM18" i="70"/>
  <c r="X24" i="71" s="1"/>
  <c r="AN18" i="70"/>
  <c r="Y24" i="71" s="1"/>
  <c r="AM18" i="46"/>
  <c r="AN18" i="46"/>
  <c r="AM18" i="50"/>
  <c r="AN18" i="50"/>
  <c r="AM17" i="55"/>
  <c r="AN17" i="55"/>
  <c r="AM18" i="40"/>
  <c r="AN18" i="40"/>
  <c r="AO18" i="43"/>
  <c r="AP18" i="43"/>
  <c r="AO18" i="70"/>
  <c r="X25" i="71" s="1"/>
  <c r="AP18" i="70"/>
  <c r="Y25" i="71" s="1"/>
  <c r="AO18" i="46"/>
  <c r="AP18" i="46"/>
  <c r="AO18" i="50"/>
  <c r="AP18" i="50"/>
  <c r="AO17" i="55"/>
  <c r="AQ18" i="43"/>
  <c r="AR18" i="43"/>
  <c r="AQ18" i="70"/>
  <c r="X26" i="71" s="1"/>
  <c r="AR18" i="70"/>
  <c r="Y26" i="71" s="1"/>
  <c r="AQ18" i="46"/>
  <c r="AR18" i="46"/>
  <c r="AQ18" i="50"/>
  <c r="AR18" i="50"/>
  <c r="AQ17" i="55"/>
  <c r="AR17" i="55"/>
  <c r="AQ18" i="40"/>
  <c r="AR18" i="40"/>
  <c r="AT18" i="58"/>
  <c r="AS18" i="43"/>
  <c r="AT18" i="43"/>
  <c r="AS18" i="70"/>
  <c r="X27" i="71" s="1"/>
  <c r="AT18" i="70"/>
  <c r="Y27" i="71" s="1"/>
  <c r="AS18" i="46"/>
  <c r="AT18" i="46"/>
  <c r="AS18" i="50"/>
  <c r="AT18" i="50"/>
  <c r="AS17" i="55"/>
  <c r="AT17" i="55"/>
  <c r="AS18" i="40"/>
  <c r="AT18" i="40"/>
  <c r="AU18" i="58"/>
  <c r="AU18" i="43"/>
  <c r="AV18" i="43"/>
  <c r="AU18" i="70"/>
  <c r="X28" i="71" s="1"/>
  <c r="AV18" i="70"/>
  <c r="Y28" i="71" s="1"/>
  <c r="AU18" i="46"/>
  <c r="AV18" i="46"/>
  <c r="AU18" i="50"/>
  <c r="AV18" i="50"/>
  <c r="AU17" i="55"/>
  <c r="AV17" i="55"/>
  <c r="AU18" i="40"/>
  <c r="AV18" i="40"/>
  <c r="AW18" i="58"/>
  <c r="AX18" i="58"/>
  <c r="AW18" i="70"/>
  <c r="X29" i="71" s="1"/>
  <c r="AX18" i="70"/>
  <c r="Y29" i="71" s="1"/>
  <c r="AW18" i="46"/>
  <c r="AX18" i="46"/>
  <c r="AW18" i="50"/>
  <c r="AX18" i="50"/>
  <c r="AW18" i="40"/>
  <c r="AX18" i="40"/>
  <c r="AY18" i="43"/>
  <c r="AZ18" i="43"/>
  <c r="AY18" i="70"/>
  <c r="X30" i="71" s="1"/>
  <c r="AZ18" i="70"/>
  <c r="Y30" i="71" s="1"/>
  <c r="AY18" i="46"/>
  <c r="AZ18" i="46"/>
  <c r="AY18" i="50"/>
  <c r="AZ18" i="50"/>
  <c r="AY17" i="55"/>
  <c r="AZ17" i="55"/>
  <c r="AY18" i="40"/>
  <c r="AZ18" i="40"/>
  <c r="BB18" i="58"/>
  <c r="BA18" i="43"/>
  <c r="BB18" i="43"/>
  <c r="BA18" i="70"/>
  <c r="X31" i="71" s="1"/>
  <c r="BB18" i="70"/>
  <c r="Y31" i="71" s="1"/>
  <c r="BA18" i="46"/>
  <c r="BB18" i="46"/>
  <c r="BA18" i="50"/>
  <c r="BB18" i="50"/>
  <c r="BA17" i="55"/>
  <c r="BB17" i="55"/>
  <c r="BA18" i="40"/>
  <c r="BB18" i="40"/>
  <c r="BC18" i="43"/>
  <c r="BD18" i="43"/>
  <c r="BC18" i="70"/>
  <c r="X32" i="71" s="1"/>
  <c r="BD18" i="70"/>
  <c r="Y32" i="71" s="1"/>
  <c r="BC18" i="46"/>
  <c r="BD18" i="46"/>
  <c r="BC18" i="50"/>
  <c r="BD18" i="50"/>
  <c r="BC17" i="55"/>
  <c r="BD17" i="55"/>
  <c r="BC18" i="40"/>
  <c r="BD18" i="40"/>
  <c r="BE18" i="58"/>
  <c r="BF18" i="58"/>
  <c r="BE18" i="43"/>
  <c r="BF18" i="43"/>
  <c r="BE18" i="70"/>
  <c r="X33" i="71" s="1"/>
  <c r="BF18" i="70"/>
  <c r="Y33" i="71" s="1"/>
  <c r="BE18" i="46"/>
  <c r="BE18" i="40"/>
  <c r="BF18" i="40"/>
  <c r="BG18" i="58"/>
  <c r="BH18" i="58"/>
  <c r="BG18" i="43"/>
  <c r="BH18" i="43"/>
  <c r="BG18" i="70"/>
  <c r="X34" i="71" s="1"/>
  <c r="BG18" i="46"/>
  <c r="BH18" i="46"/>
  <c r="BG18" i="50"/>
  <c r="BH18" i="50"/>
  <c r="BG17" i="55"/>
  <c r="BH17" i="55"/>
  <c r="BG18" i="40"/>
  <c r="BH18" i="40"/>
  <c r="BI18" i="58"/>
  <c r="BJ18" i="58"/>
  <c r="BI18" i="43"/>
  <c r="BI18" i="70"/>
  <c r="X35" i="71" s="1"/>
  <c r="BJ18" i="70"/>
  <c r="Y35" i="71" s="1"/>
  <c r="BI18" i="46"/>
  <c r="BJ18" i="46"/>
  <c r="BI18" i="50"/>
  <c r="BJ18" i="50"/>
  <c r="BI17" i="55"/>
  <c r="BJ17" i="55"/>
  <c r="BI18" i="40"/>
  <c r="BJ18" i="40"/>
  <c r="BK18" i="43"/>
  <c r="BL18" i="43"/>
  <c r="BK18" i="70"/>
  <c r="X36" i="71" s="1"/>
  <c r="BL18" i="70"/>
  <c r="Y36" i="71" s="1"/>
  <c r="BK18" i="46"/>
  <c r="BL18" i="46"/>
  <c r="BK18" i="50"/>
  <c r="BL18" i="50"/>
  <c r="BK17" i="55"/>
  <c r="BL17" i="55"/>
  <c r="BK18" i="40"/>
  <c r="BL18" i="40"/>
  <c r="BM18" i="43"/>
  <c r="BN18" i="43"/>
  <c r="BM18" i="70"/>
  <c r="X37" i="71" s="1"/>
  <c r="BN18" i="70"/>
  <c r="Y37" i="71" s="1"/>
  <c r="BM18" i="46"/>
  <c r="BN18" i="46"/>
  <c r="BM18" i="50"/>
  <c r="BN18" i="50"/>
  <c r="BM17" i="55"/>
  <c r="BN17" i="55"/>
  <c r="BM18" i="40"/>
  <c r="BN18" i="40"/>
  <c r="BO18" i="43"/>
  <c r="BP18" i="43"/>
  <c r="BO18" i="70"/>
  <c r="X38" i="71" s="1"/>
  <c r="BP18" i="70"/>
  <c r="Y38" i="71" s="1"/>
  <c r="BO18" i="46"/>
  <c r="BP18" i="46"/>
  <c r="BO18" i="50"/>
  <c r="BP18" i="50"/>
  <c r="BO17" i="55"/>
  <c r="BP17" i="55"/>
  <c r="BO18" i="40"/>
  <c r="BP18" i="40"/>
  <c r="BQ18" i="43"/>
  <c r="BR18" i="43"/>
  <c r="BQ18" i="70"/>
  <c r="X39" i="71" s="1"/>
  <c r="BR18" i="70"/>
  <c r="Y39" i="71" s="1"/>
  <c r="BQ18" i="46"/>
  <c r="BR18" i="46"/>
  <c r="BQ18" i="50"/>
  <c r="BR18" i="50"/>
  <c r="BQ18" i="40"/>
  <c r="BR18" i="40"/>
  <c r="BS18" i="43"/>
  <c r="BT18" i="43"/>
  <c r="BS18" i="70"/>
  <c r="X40" i="71" s="1"/>
  <c r="BT18" i="70"/>
  <c r="Y40" i="71" s="1"/>
  <c r="BS18" i="46"/>
  <c r="BT18" i="46"/>
  <c r="BS18" i="50"/>
  <c r="BT18" i="50"/>
  <c r="BS17" i="55"/>
  <c r="BT17" i="55"/>
  <c r="BS18" i="40"/>
  <c r="BT18" i="40"/>
  <c r="BU18" i="43"/>
  <c r="BV18" i="43"/>
  <c r="BU18" i="70"/>
  <c r="X41" i="71" s="1"/>
  <c r="BV18" i="70"/>
  <c r="Y41" i="71" s="1"/>
  <c r="BU18" i="46"/>
  <c r="BV18" i="46"/>
  <c r="BU18" i="50"/>
  <c r="BV18" i="50"/>
  <c r="BU17" i="55"/>
  <c r="BV17" i="55"/>
  <c r="BU18" i="40"/>
  <c r="BV18" i="40"/>
  <c r="BW18" i="43"/>
  <c r="BX18" i="43"/>
  <c r="BW18" i="70"/>
  <c r="X42" i="71" s="1"/>
  <c r="BX18" i="70"/>
  <c r="Y42" i="71" s="1"/>
  <c r="BW18" i="46"/>
  <c r="BX18" i="46"/>
  <c r="BW18" i="50"/>
  <c r="BX18" i="50"/>
  <c r="BW17" i="55"/>
  <c r="BX17" i="55"/>
  <c r="BW18" i="40"/>
  <c r="BX18" i="40"/>
  <c r="BY18" i="43"/>
  <c r="BZ18" i="43"/>
  <c r="BY18" i="70"/>
  <c r="X43" i="71" s="1"/>
  <c r="BZ18" i="70"/>
  <c r="Y43" i="71" s="1"/>
  <c r="BY18" i="46"/>
  <c r="BZ18" i="46"/>
  <c r="BY18" i="50"/>
  <c r="BZ18" i="50"/>
  <c r="BY17" i="55"/>
  <c r="BZ17" i="55"/>
  <c r="BY18" i="40"/>
  <c r="BZ18" i="40"/>
  <c r="C19" i="58"/>
  <c r="C19" i="43"/>
  <c r="Z6" i="44" s="1"/>
  <c r="D19" i="43"/>
  <c r="AA6" i="44" s="1"/>
  <c r="C19" i="70"/>
  <c r="Z6" i="71" s="1"/>
  <c r="D19" i="70"/>
  <c r="AA6" i="71" s="1"/>
  <c r="C19" i="46"/>
  <c r="D19" i="46"/>
  <c r="C19" i="50"/>
  <c r="D19" i="50"/>
  <c r="C19" i="55"/>
  <c r="D19" i="55"/>
  <c r="C19" i="40"/>
  <c r="D19" i="40"/>
  <c r="E19" i="58"/>
  <c r="F19" i="58"/>
  <c r="E19" i="43"/>
  <c r="Z7" i="44" s="1"/>
  <c r="F19" i="43"/>
  <c r="AA7" i="44" s="1"/>
  <c r="E19" i="70"/>
  <c r="Z7" i="71" s="1"/>
  <c r="F19" i="70"/>
  <c r="AA7" i="71" s="1"/>
  <c r="E19" i="46"/>
  <c r="E19" i="50"/>
  <c r="E19" i="55"/>
  <c r="H19" i="70"/>
  <c r="AA8" i="71" s="1"/>
  <c r="H19" i="46"/>
  <c r="H19" i="50"/>
  <c r="H19" i="55"/>
  <c r="J19" i="58"/>
  <c r="I19" i="43"/>
  <c r="J19" i="43"/>
  <c r="I19" i="70"/>
  <c r="Z9" i="71" s="1"/>
  <c r="J19" i="70"/>
  <c r="AA9" i="71" s="1"/>
  <c r="I19" i="46"/>
  <c r="J19" i="46"/>
  <c r="I19" i="50"/>
  <c r="J19" i="50"/>
  <c r="J18" i="55"/>
  <c r="K19" i="58"/>
  <c r="L19" i="58"/>
  <c r="K19" i="43"/>
  <c r="L19" i="43"/>
  <c r="K19" i="70"/>
  <c r="Z10" i="71" s="1"/>
  <c r="L19" i="70"/>
  <c r="AA10" i="71" s="1"/>
  <c r="K19" i="46"/>
  <c r="L19" i="46"/>
  <c r="K19" i="50"/>
  <c r="L19" i="50"/>
  <c r="K18" i="55"/>
  <c r="L18" i="55"/>
  <c r="K19" i="40"/>
  <c r="L19" i="40"/>
  <c r="M19" i="58"/>
  <c r="N19" i="58"/>
  <c r="M19" i="43"/>
  <c r="N19" i="43"/>
  <c r="M19" i="70"/>
  <c r="Z11" i="71" s="1"/>
  <c r="N19" i="70"/>
  <c r="AA11" i="71" s="1"/>
  <c r="M19" i="46"/>
  <c r="N19" i="46"/>
  <c r="M19" i="50"/>
  <c r="N19" i="50"/>
  <c r="M18" i="55"/>
  <c r="N18" i="55"/>
  <c r="M19" i="40"/>
  <c r="N19" i="40"/>
  <c r="O19" i="58"/>
  <c r="P19" i="58"/>
  <c r="O19" i="43"/>
  <c r="P19" i="43"/>
  <c r="O19" i="70"/>
  <c r="Z12" i="71" s="1"/>
  <c r="P19" i="70"/>
  <c r="AA12" i="71" s="1"/>
  <c r="O19" i="46"/>
  <c r="P19" i="46"/>
  <c r="O19" i="50"/>
  <c r="P19" i="50"/>
  <c r="O18" i="55"/>
  <c r="P18" i="55"/>
  <c r="O19" i="40"/>
  <c r="P19" i="40"/>
  <c r="R19" i="58"/>
  <c r="Q19" i="43"/>
  <c r="R19" i="43"/>
  <c r="Q19" i="70"/>
  <c r="Z13" i="71" s="1"/>
  <c r="R19" i="70"/>
  <c r="AA13" i="71" s="1"/>
  <c r="Q19" i="46"/>
  <c r="R19" i="46"/>
  <c r="Q19" i="50"/>
  <c r="R19" i="50"/>
  <c r="Q18" i="55"/>
  <c r="R18" i="55"/>
  <c r="Q19" i="40"/>
  <c r="R19" i="40"/>
  <c r="S19" i="58"/>
  <c r="T19" i="58"/>
  <c r="S19" i="43"/>
  <c r="T19" i="43"/>
  <c r="S19" i="70"/>
  <c r="Z14" i="71" s="1"/>
  <c r="T19" i="70"/>
  <c r="AA14" i="71" s="1"/>
  <c r="S19" i="46"/>
  <c r="T19" i="46"/>
  <c r="S19" i="50"/>
  <c r="T19" i="50"/>
  <c r="S18" i="55"/>
  <c r="T18" i="55"/>
  <c r="S19" i="40"/>
  <c r="T19" i="40"/>
  <c r="V19" i="58"/>
  <c r="U19" i="43"/>
  <c r="V19" i="43"/>
  <c r="U19" i="70"/>
  <c r="Z15" i="71" s="1"/>
  <c r="V19" i="70"/>
  <c r="AA15" i="71" s="1"/>
  <c r="U19" i="46"/>
  <c r="V19" i="46"/>
  <c r="U19" i="50"/>
  <c r="V19" i="50"/>
  <c r="U19" i="40"/>
  <c r="V19" i="40"/>
  <c r="W19" i="58"/>
  <c r="X19" i="58"/>
  <c r="W19" i="43"/>
  <c r="X19" i="43"/>
  <c r="W19" i="70"/>
  <c r="Z16" i="71" s="1"/>
  <c r="X19" i="70"/>
  <c r="AA16" i="71" s="1"/>
  <c r="W19" i="46"/>
  <c r="X19" i="46"/>
  <c r="W19" i="50"/>
  <c r="X19" i="50"/>
  <c r="W18" i="55"/>
  <c r="X18" i="55"/>
  <c r="W19" i="40"/>
  <c r="X19" i="40"/>
  <c r="Y19" i="58"/>
  <c r="Z19" i="58"/>
  <c r="Y19" i="43"/>
  <c r="Z19" i="43"/>
  <c r="Y19" i="70"/>
  <c r="Z17" i="71" s="1"/>
  <c r="Z19" i="70"/>
  <c r="AA17" i="71" s="1"/>
  <c r="Y19" i="46"/>
  <c r="Z19" i="46"/>
  <c r="Y19" i="50"/>
  <c r="Z19" i="50"/>
  <c r="Y19" i="55"/>
  <c r="Z19" i="55"/>
  <c r="Y19" i="40"/>
  <c r="Z19" i="40"/>
  <c r="AB19" i="58"/>
  <c r="AA19" i="43"/>
  <c r="AB19" i="43"/>
  <c r="AA19" i="70"/>
  <c r="Z18" i="71" s="1"/>
  <c r="AB19" i="70"/>
  <c r="AA18" i="71" s="1"/>
  <c r="AA19" i="46"/>
  <c r="AB19" i="46"/>
  <c r="AA19" i="50"/>
  <c r="AB19" i="50"/>
  <c r="AA18" i="55"/>
  <c r="AB18" i="55"/>
  <c r="AA19" i="40"/>
  <c r="AB19" i="40"/>
  <c r="AD19" i="58"/>
  <c r="AC19" i="43"/>
  <c r="AD19" i="43"/>
  <c r="AC19" i="70"/>
  <c r="Z19" i="71" s="1"/>
  <c r="AD19" i="70"/>
  <c r="AA19" i="71" s="1"/>
  <c r="AC19" i="46"/>
  <c r="AD19" i="46"/>
  <c r="AC19" i="50"/>
  <c r="AD19" i="50"/>
  <c r="AC18" i="55"/>
  <c r="AD18" i="55"/>
  <c r="AC19" i="40"/>
  <c r="AD19" i="40"/>
  <c r="AE19" i="58"/>
  <c r="AF19" i="58"/>
  <c r="AF19" i="43"/>
  <c r="AE19" i="70"/>
  <c r="Z20" i="71" s="1"/>
  <c r="AF19" i="70"/>
  <c r="AA20" i="71" s="1"/>
  <c r="AE19" i="46"/>
  <c r="AF19" i="46"/>
  <c r="AE19" i="50"/>
  <c r="AF19" i="50"/>
  <c r="AE18" i="55"/>
  <c r="AF18" i="55"/>
  <c r="AE19" i="40"/>
  <c r="AF19" i="40"/>
  <c r="AH19" i="58"/>
  <c r="AG19" i="43"/>
  <c r="AH19" i="43"/>
  <c r="AG19" i="70"/>
  <c r="Z21" i="71" s="1"/>
  <c r="AH19" i="70"/>
  <c r="AA21" i="71" s="1"/>
  <c r="AG19" i="46"/>
  <c r="AH19" i="46"/>
  <c r="AG19" i="50"/>
  <c r="AH19" i="50"/>
  <c r="AG18" i="55"/>
  <c r="AH18" i="55"/>
  <c r="AG19" i="40"/>
  <c r="AH19" i="40"/>
  <c r="AI19" i="58"/>
  <c r="AJ19" i="58"/>
  <c r="AI19" i="43"/>
  <c r="AJ19" i="43"/>
  <c r="AI19" i="70"/>
  <c r="Z22" i="71" s="1"/>
  <c r="AJ19" i="70"/>
  <c r="AA22" i="71" s="1"/>
  <c r="AI19" i="46"/>
  <c r="AJ19" i="46"/>
  <c r="AI19" i="50"/>
  <c r="AJ19" i="50"/>
  <c r="AJ18" i="55"/>
  <c r="AI19" i="40"/>
  <c r="AJ19" i="40"/>
  <c r="AK19" i="58"/>
  <c r="AL19" i="58"/>
  <c r="AK19" i="43"/>
  <c r="AL19" i="43"/>
  <c r="AK19" i="70"/>
  <c r="Z23" i="71" s="1"/>
  <c r="AL19" i="70"/>
  <c r="AA23" i="71" s="1"/>
  <c r="AK19" i="46"/>
  <c r="AL19" i="46"/>
  <c r="AK19" i="50"/>
  <c r="AL19" i="50"/>
  <c r="AK18" i="55"/>
  <c r="AL18" i="55"/>
  <c r="AK19" i="40"/>
  <c r="AL19" i="40"/>
  <c r="AN19" i="58"/>
  <c r="AM19" i="43"/>
  <c r="AN19" i="43"/>
  <c r="AM19" i="70"/>
  <c r="Z24" i="71" s="1"/>
  <c r="AN19" i="70"/>
  <c r="AA24" i="71" s="1"/>
  <c r="AM19" i="46"/>
  <c r="AN19" i="46"/>
  <c r="AM19" i="50"/>
  <c r="AN19" i="50"/>
  <c r="AM18" i="55"/>
  <c r="AN18" i="55"/>
  <c r="AM19" i="40"/>
  <c r="AN19" i="40"/>
  <c r="AO19" i="43"/>
  <c r="AP19" i="43"/>
  <c r="AO19" i="70"/>
  <c r="Z25" i="71" s="1"/>
  <c r="AP19" i="70"/>
  <c r="AA25" i="71" s="1"/>
  <c r="AO19" i="46"/>
  <c r="AP19" i="46"/>
  <c r="AO19" i="50"/>
  <c r="AP19" i="50"/>
  <c r="AO18" i="55"/>
  <c r="AP18" i="55"/>
  <c r="AQ19" i="58"/>
  <c r="AR19" i="58"/>
  <c r="AR19" i="43"/>
  <c r="AQ19" i="70"/>
  <c r="Z26" i="71" s="1"/>
  <c r="AR19" i="70"/>
  <c r="AA26" i="71" s="1"/>
  <c r="AQ19" i="46"/>
  <c r="AR19" i="46"/>
  <c r="AQ19" i="50"/>
  <c r="AR19" i="50"/>
  <c r="AQ18" i="55"/>
  <c r="AR18" i="55"/>
  <c r="AQ19" i="40"/>
  <c r="AR19" i="40"/>
  <c r="AT19" i="58"/>
  <c r="AS19" i="43"/>
  <c r="AT19" i="43"/>
  <c r="AS19" i="70"/>
  <c r="Z27" i="71" s="1"/>
  <c r="AT19" i="70"/>
  <c r="AA27" i="71" s="1"/>
  <c r="AS19" i="46"/>
  <c r="AT19" i="46"/>
  <c r="AS19" i="50"/>
  <c r="AT19" i="50"/>
  <c r="AS18" i="55"/>
  <c r="AT18" i="55"/>
  <c r="AS19" i="40"/>
  <c r="AT19" i="40"/>
  <c r="AV19" i="58"/>
  <c r="AU19" i="43"/>
  <c r="AV19" i="43"/>
  <c r="AU19" i="70"/>
  <c r="Z28" i="71" s="1"/>
  <c r="AV19" i="70"/>
  <c r="AA28" i="71" s="1"/>
  <c r="AU19" i="46"/>
  <c r="AV19" i="46"/>
  <c r="AU19" i="50"/>
  <c r="AV19" i="50"/>
  <c r="AU18" i="55"/>
  <c r="AV18" i="55"/>
  <c r="AU19" i="40"/>
  <c r="AV19" i="40"/>
  <c r="AW19" i="58"/>
  <c r="AW19" i="43"/>
  <c r="AX19" i="43"/>
  <c r="AW19" i="70"/>
  <c r="Z29" i="71" s="1"/>
  <c r="AX19" i="70"/>
  <c r="AA29" i="71" s="1"/>
  <c r="AW19" i="46"/>
  <c r="AX19" i="46"/>
  <c r="AW19" i="50"/>
  <c r="AX19" i="50"/>
  <c r="AW19" i="40"/>
  <c r="AX19" i="40"/>
  <c r="AY19" i="43"/>
  <c r="AZ19" i="43"/>
  <c r="AY19" i="70"/>
  <c r="Z30" i="71" s="1"/>
  <c r="AZ19" i="70"/>
  <c r="AA30" i="71" s="1"/>
  <c r="AY19" i="46"/>
  <c r="AZ19" i="46"/>
  <c r="AY19" i="50"/>
  <c r="AZ19" i="50"/>
  <c r="AY18" i="55"/>
  <c r="AZ18" i="55"/>
  <c r="AY19" i="40"/>
  <c r="AZ19" i="40"/>
  <c r="BA19" i="58"/>
  <c r="BB19" i="58"/>
  <c r="BA19" i="43"/>
  <c r="BB19" i="43"/>
  <c r="BA19" i="70"/>
  <c r="Z31" i="71" s="1"/>
  <c r="BB19" i="70"/>
  <c r="AA31" i="71" s="1"/>
  <c r="BA19" i="46"/>
  <c r="BB19" i="46"/>
  <c r="BA19" i="50"/>
  <c r="BB19" i="50"/>
  <c r="BA18" i="55"/>
  <c r="BA19" i="40"/>
  <c r="BB19" i="40"/>
  <c r="BD19" i="58"/>
  <c r="BC19" i="43"/>
  <c r="BD19" i="43"/>
  <c r="BC19" i="70"/>
  <c r="Z32" i="71" s="1"/>
  <c r="BD19" i="70"/>
  <c r="AA32" i="71" s="1"/>
  <c r="BC19" i="46"/>
  <c r="BD19" i="46"/>
  <c r="BC19" i="50"/>
  <c r="BD19" i="50"/>
  <c r="BC18" i="55"/>
  <c r="BD18" i="55"/>
  <c r="BC19" i="40"/>
  <c r="BD19" i="40"/>
  <c r="BE19" i="43"/>
  <c r="BF19" i="43"/>
  <c r="BE19" i="70"/>
  <c r="Z33" i="71" s="1"/>
  <c r="BF19" i="70"/>
  <c r="AA33" i="71" s="1"/>
  <c r="BE19" i="46"/>
  <c r="BF19" i="46"/>
  <c r="BE19" i="40"/>
  <c r="BF19" i="40"/>
  <c r="BG19" i="58"/>
  <c r="BH19" i="58"/>
  <c r="BG19" i="43"/>
  <c r="BH19" i="43"/>
  <c r="BG19" i="70"/>
  <c r="Z34" i="71" s="1"/>
  <c r="BH19" i="70"/>
  <c r="AA34" i="71" s="1"/>
  <c r="BG19" i="46"/>
  <c r="BH19" i="46"/>
  <c r="BG19" i="50"/>
  <c r="BH19" i="50"/>
  <c r="BG18" i="55"/>
  <c r="BH18" i="55"/>
  <c r="BG19" i="40"/>
  <c r="BH19" i="40"/>
  <c r="BI19" i="58"/>
  <c r="BJ19" i="58"/>
  <c r="BI19" i="43"/>
  <c r="BJ19" i="43"/>
  <c r="BI19" i="70"/>
  <c r="Z35" i="71" s="1"/>
  <c r="BJ19" i="70"/>
  <c r="AA35" i="71" s="1"/>
  <c r="BI19" i="46"/>
  <c r="BJ19" i="46"/>
  <c r="BI19" i="50"/>
  <c r="BJ19" i="50"/>
  <c r="BI18" i="55"/>
  <c r="BJ18" i="55"/>
  <c r="BI19" i="40"/>
  <c r="BJ19" i="40"/>
  <c r="BK19" i="43"/>
  <c r="BL19" i="43"/>
  <c r="BK19" i="70"/>
  <c r="Z36" i="71" s="1"/>
  <c r="BL19" i="70"/>
  <c r="AA36" i="71" s="1"/>
  <c r="BK19" i="46"/>
  <c r="BL19" i="46"/>
  <c r="BK19" i="50"/>
  <c r="BL19" i="50"/>
  <c r="BK18" i="55"/>
  <c r="BL18" i="55"/>
  <c r="BK19" i="40"/>
  <c r="BL19" i="40"/>
  <c r="BM19" i="43"/>
  <c r="BN19" i="43"/>
  <c r="BM19" i="70"/>
  <c r="Z37" i="71" s="1"/>
  <c r="BN19" i="70"/>
  <c r="BM19" i="46"/>
  <c r="BN19" i="46"/>
  <c r="BM19" i="50"/>
  <c r="BN19" i="50"/>
  <c r="BM18" i="55"/>
  <c r="BN18" i="55"/>
  <c r="BM19" i="40"/>
  <c r="BN19" i="40"/>
  <c r="BO19" i="43"/>
  <c r="BP19" i="43"/>
  <c r="BO19" i="70"/>
  <c r="Z38" i="71" s="1"/>
  <c r="BP19" i="70"/>
  <c r="AA38" i="71" s="1"/>
  <c r="BO19" i="46"/>
  <c r="BP19" i="46"/>
  <c r="BO19" i="50"/>
  <c r="BP19" i="50"/>
  <c r="BO18" i="55"/>
  <c r="BP18" i="55"/>
  <c r="BO19" i="40"/>
  <c r="BP19" i="40"/>
  <c r="BQ19" i="43"/>
  <c r="BR19" i="43"/>
  <c r="BQ19" i="70"/>
  <c r="Z39" i="71" s="1"/>
  <c r="BR19" i="70"/>
  <c r="AA39" i="71" s="1"/>
  <c r="BQ19" i="46"/>
  <c r="BR19" i="46"/>
  <c r="BQ19" i="50"/>
  <c r="BR19" i="50"/>
  <c r="BQ19" i="40"/>
  <c r="BR19" i="40"/>
  <c r="BS19" i="43"/>
  <c r="BT19" i="43"/>
  <c r="BS19" i="70"/>
  <c r="Z40" i="71" s="1"/>
  <c r="BT19" i="70"/>
  <c r="AA40" i="71" s="1"/>
  <c r="BS19" i="46"/>
  <c r="BT19" i="46"/>
  <c r="BS19" i="50"/>
  <c r="BT19" i="50"/>
  <c r="BS18" i="55"/>
  <c r="BT18" i="55"/>
  <c r="BS19" i="40"/>
  <c r="BT19" i="40"/>
  <c r="BU19" i="43"/>
  <c r="BV19" i="43"/>
  <c r="BU19" i="70"/>
  <c r="Z41" i="71" s="1"/>
  <c r="BV19" i="70"/>
  <c r="AA41" i="71" s="1"/>
  <c r="BU19" i="46"/>
  <c r="BV19" i="46"/>
  <c r="BU19" i="50"/>
  <c r="BV19" i="50"/>
  <c r="BU18" i="55"/>
  <c r="BV18" i="55"/>
  <c r="BU19" i="40"/>
  <c r="BV19" i="40"/>
  <c r="BW19" i="43"/>
  <c r="BX19" i="43"/>
  <c r="BW19" i="70"/>
  <c r="Z42" i="71" s="1"/>
  <c r="BX19" i="70"/>
  <c r="AA42" i="71" s="1"/>
  <c r="BW19" i="46"/>
  <c r="BX19" i="46"/>
  <c r="BW19" i="50"/>
  <c r="BX19" i="50"/>
  <c r="BW18" i="55"/>
  <c r="BX18" i="55"/>
  <c r="BW19" i="40"/>
  <c r="BX19" i="40"/>
  <c r="BY19" i="43"/>
  <c r="BZ19" i="43"/>
  <c r="BY19" i="70"/>
  <c r="Z43" i="71" s="1"/>
  <c r="BZ19" i="70"/>
  <c r="AA43" i="71" s="1"/>
  <c r="BY19" i="46"/>
  <c r="BZ19" i="46"/>
  <c r="BY19" i="50"/>
  <c r="BZ19" i="50"/>
  <c r="BY18" i="55"/>
  <c r="BZ18" i="55"/>
  <c r="BY19" i="40"/>
  <c r="BZ19" i="40"/>
  <c r="C20" i="58"/>
  <c r="D20" i="58"/>
  <c r="C20" i="43"/>
  <c r="AB6" i="44" s="1"/>
  <c r="D20" i="43"/>
  <c r="AC6" i="44" s="1"/>
  <c r="C20" i="70"/>
  <c r="AB6" i="71" s="1"/>
  <c r="D20" i="70"/>
  <c r="AC6" i="71" s="1"/>
  <c r="C20" i="46"/>
  <c r="C20" i="50"/>
  <c r="D20" i="50"/>
  <c r="C20" i="55"/>
  <c r="AB6" i="54" s="1"/>
  <c r="D20" i="55"/>
  <c r="C20" i="40"/>
  <c r="D20" i="40"/>
  <c r="E20" i="58"/>
  <c r="E20" i="43"/>
  <c r="AB7" i="44" s="1"/>
  <c r="F20" i="43"/>
  <c r="AC7" i="44" s="1"/>
  <c r="E20" i="70"/>
  <c r="AB7" i="71" s="1"/>
  <c r="F20" i="70"/>
  <c r="AC7" i="71" s="1"/>
  <c r="E20" i="46"/>
  <c r="E20" i="50"/>
  <c r="E20" i="55"/>
  <c r="H20" i="70"/>
  <c r="AC8" i="71" s="1"/>
  <c r="H20" i="50"/>
  <c r="H20" i="55"/>
  <c r="I20" i="43"/>
  <c r="J20" i="43"/>
  <c r="I20" i="70"/>
  <c r="AB9" i="71" s="1"/>
  <c r="J20" i="70"/>
  <c r="AC9" i="71" s="1"/>
  <c r="I20" i="46"/>
  <c r="I20" i="50"/>
  <c r="J20" i="50"/>
  <c r="J19" i="55"/>
  <c r="K20" i="43"/>
  <c r="L20" i="43"/>
  <c r="K20" i="70"/>
  <c r="AB10" i="71" s="1"/>
  <c r="L20" i="70"/>
  <c r="AC10" i="71" s="1"/>
  <c r="K20" i="46"/>
  <c r="K20" i="50"/>
  <c r="L20" i="50"/>
  <c r="K19" i="55"/>
  <c r="L19" i="55"/>
  <c r="K20" i="40"/>
  <c r="L20" i="40"/>
  <c r="N20" i="58"/>
  <c r="M20" i="43"/>
  <c r="N20" i="43"/>
  <c r="M20" i="70"/>
  <c r="AB11" i="71" s="1"/>
  <c r="N20" i="70"/>
  <c r="AC11" i="71" s="1"/>
  <c r="M20" i="46"/>
  <c r="M20" i="50"/>
  <c r="N20" i="50"/>
  <c r="M19" i="55"/>
  <c r="N19" i="55"/>
  <c r="M20" i="40"/>
  <c r="N20" i="40"/>
  <c r="O20" i="58"/>
  <c r="P20" i="58"/>
  <c r="O20" i="43"/>
  <c r="P20" i="43"/>
  <c r="O20" i="70"/>
  <c r="AB12" i="71" s="1"/>
  <c r="O20" i="46"/>
  <c r="O20" i="50"/>
  <c r="P20" i="50"/>
  <c r="O19" i="55"/>
  <c r="P19" i="55"/>
  <c r="O20" i="40"/>
  <c r="P20" i="40"/>
  <c r="Q20" i="58"/>
  <c r="R20" i="58"/>
  <c r="Q20" i="43"/>
  <c r="R20" i="43"/>
  <c r="Q20" i="70"/>
  <c r="R20" i="70"/>
  <c r="AC13" i="71" s="1"/>
  <c r="Q20" i="46"/>
  <c r="Q20" i="50"/>
  <c r="R20" i="50"/>
  <c r="Q19" i="55"/>
  <c r="R19" i="55"/>
  <c r="Q20" i="40"/>
  <c r="R20" i="40"/>
  <c r="T20" i="58"/>
  <c r="S20" i="43"/>
  <c r="T20" i="43"/>
  <c r="S20" i="70"/>
  <c r="AB14" i="71" s="1"/>
  <c r="T20" i="70"/>
  <c r="AC14" i="71" s="1"/>
  <c r="S20" i="46"/>
  <c r="S20" i="50"/>
  <c r="T20" i="50"/>
  <c r="S19" i="55"/>
  <c r="T19" i="55"/>
  <c r="S20" i="40"/>
  <c r="T20" i="40"/>
  <c r="V20" i="58"/>
  <c r="U20" i="43"/>
  <c r="V20" i="43"/>
  <c r="U20" i="70"/>
  <c r="AB15" i="71" s="1"/>
  <c r="V20" i="70"/>
  <c r="AC15" i="71" s="1"/>
  <c r="U20" i="46"/>
  <c r="U20" i="50"/>
  <c r="V20" i="50"/>
  <c r="U20" i="40"/>
  <c r="V20" i="40"/>
  <c r="W20" i="43"/>
  <c r="X20" i="43"/>
  <c r="W20" i="70"/>
  <c r="AB16" i="71" s="1"/>
  <c r="X20" i="70"/>
  <c r="AC16" i="71" s="1"/>
  <c r="W20" i="46"/>
  <c r="W20" i="50"/>
  <c r="X20" i="50"/>
  <c r="W19" i="55"/>
  <c r="X19" i="55"/>
  <c r="W20" i="40"/>
  <c r="X20" i="40"/>
  <c r="Y20" i="58"/>
  <c r="Z20" i="58"/>
  <c r="Y20" i="43"/>
  <c r="Z20" i="43"/>
  <c r="Y20" i="70"/>
  <c r="AB17" i="71" s="1"/>
  <c r="Z20" i="70"/>
  <c r="AC17" i="71" s="1"/>
  <c r="Y20" i="46"/>
  <c r="Y20" i="50"/>
  <c r="Z20" i="50"/>
  <c r="Y20" i="55"/>
  <c r="Z20" i="55"/>
  <c r="Y20" i="40"/>
  <c r="Z20" i="40"/>
  <c r="AA20" i="58"/>
  <c r="AB20" i="58"/>
  <c r="AA20" i="43"/>
  <c r="AB20" i="43"/>
  <c r="AA20" i="70"/>
  <c r="AB18" i="71" s="1"/>
  <c r="AB20" i="70"/>
  <c r="AC18" i="71" s="1"/>
  <c r="AA20" i="46"/>
  <c r="AA20" i="50"/>
  <c r="AB20" i="50"/>
  <c r="AA19" i="55"/>
  <c r="AB19" i="55"/>
  <c r="AA20" i="40"/>
  <c r="AB20" i="40"/>
  <c r="AD20" i="58"/>
  <c r="AC20" i="43"/>
  <c r="AD20" i="43"/>
  <c r="AC20" i="70"/>
  <c r="AB19" i="71" s="1"/>
  <c r="AD20" i="70"/>
  <c r="AC19" i="71" s="1"/>
  <c r="AC20" i="46"/>
  <c r="AC20" i="50"/>
  <c r="AD20" i="50"/>
  <c r="AC19" i="55"/>
  <c r="AD19" i="55"/>
  <c r="AC20" i="40"/>
  <c r="AD20" i="40"/>
  <c r="AE20" i="58"/>
  <c r="AE20" i="43"/>
  <c r="AF20" i="43"/>
  <c r="AE20" i="70"/>
  <c r="AB20" i="71" s="1"/>
  <c r="AF20" i="70"/>
  <c r="AC20" i="71" s="1"/>
  <c r="AE20" i="46"/>
  <c r="AE20" i="50"/>
  <c r="AF20" i="50"/>
  <c r="AE19" i="55"/>
  <c r="AF19" i="55"/>
  <c r="AE20" i="40"/>
  <c r="AF20" i="40"/>
  <c r="AG20" i="43"/>
  <c r="AH20" i="43"/>
  <c r="AG20" i="70"/>
  <c r="AB21" i="71" s="1"/>
  <c r="AH20" i="70"/>
  <c r="AC21" i="71" s="1"/>
  <c r="AG20" i="46"/>
  <c r="AG20" i="50"/>
  <c r="AH20" i="50"/>
  <c r="AG19" i="55"/>
  <c r="AH19" i="55"/>
  <c r="AG20" i="40"/>
  <c r="AH20" i="40"/>
  <c r="AI20" i="58"/>
  <c r="AJ20" i="43"/>
  <c r="AI20" i="70"/>
  <c r="AB22" i="71" s="1"/>
  <c r="AJ20" i="70"/>
  <c r="AC22" i="71" s="1"/>
  <c r="AI20" i="46"/>
  <c r="AI20" i="50"/>
  <c r="AJ20" i="50"/>
  <c r="AI19" i="55"/>
  <c r="AJ19" i="55"/>
  <c r="AI20" i="40"/>
  <c r="AJ20" i="40"/>
  <c r="AL20" i="58"/>
  <c r="AK20" i="43"/>
  <c r="AL20" i="43"/>
  <c r="AK20" i="70"/>
  <c r="AB23" i="71" s="1"/>
  <c r="AL20" i="70"/>
  <c r="AC23" i="71" s="1"/>
  <c r="AK20" i="46"/>
  <c r="AK20" i="50"/>
  <c r="AL20" i="50"/>
  <c r="AK19" i="55"/>
  <c r="AL19" i="55"/>
  <c r="AK20" i="40"/>
  <c r="AL20" i="40"/>
  <c r="AM20" i="58"/>
  <c r="AN20" i="58"/>
  <c r="AM20" i="43"/>
  <c r="AN20" i="43"/>
  <c r="AM20" i="70"/>
  <c r="AB24" i="71" s="1"/>
  <c r="AN20" i="70"/>
  <c r="AC24" i="71" s="1"/>
  <c r="AM20" i="46"/>
  <c r="AM20" i="50"/>
  <c r="AN20" i="50"/>
  <c r="AM19" i="55"/>
  <c r="AN19" i="55"/>
  <c r="AM20" i="40"/>
  <c r="AN20" i="40"/>
  <c r="AO20" i="43"/>
  <c r="AP20" i="43"/>
  <c r="AO20" i="70"/>
  <c r="AB25" i="71" s="1"/>
  <c r="AP20" i="70"/>
  <c r="AC25" i="71" s="1"/>
  <c r="AO20" i="46"/>
  <c r="AO20" i="50"/>
  <c r="AP20" i="50"/>
  <c r="AO19" i="55"/>
  <c r="AP19" i="55"/>
  <c r="AQ20" i="43"/>
  <c r="AR20" i="43"/>
  <c r="AQ20" i="70"/>
  <c r="AB26" i="71" s="1"/>
  <c r="AR20" i="70"/>
  <c r="AC26" i="71" s="1"/>
  <c r="AQ20" i="46"/>
  <c r="AQ20" i="50"/>
  <c r="AR20" i="50"/>
  <c r="AQ19" i="55"/>
  <c r="AR19" i="55"/>
  <c r="AQ20" i="40"/>
  <c r="AR20" i="40"/>
  <c r="AS20" i="43"/>
  <c r="AT20" i="43"/>
  <c r="AS20" i="70"/>
  <c r="AB27" i="71" s="1"/>
  <c r="AT20" i="70"/>
  <c r="AC27" i="71" s="1"/>
  <c r="AS20" i="46"/>
  <c r="AS20" i="50"/>
  <c r="AT20" i="50"/>
  <c r="AS19" i="55"/>
  <c r="AT19" i="55"/>
  <c r="AS20" i="40"/>
  <c r="AT20" i="40"/>
  <c r="AU20" i="58"/>
  <c r="AU20" i="43"/>
  <c r="AV20" i="43"/>
  <c r="AU20" i="70"/>
  <c r="AB28" i="71" s="1"/>
  <c r="AV20" i="70"/>
  <c r="AC28" i="71" s="1"/>
  <c r="AU20" i="46"/>
  <c r="AU20" i="50"/>
  <c r="AV20" i="50"/>
  <c r="AU19" i="55"/>
  <c r="AV19" i="55"/>
  <c r="AU20" i="40"/>
  <c r="AV20" i="40"/>
  <c r="AX20" i="58"/>
  <c r="AW20" i="43"/>
  <c r="AX20" i="43"/>
  <c r="AW20" i="70"/>
  <c r="AB29" i="71" s="1"/>
  <c r="AX20" i="70"/>
  <c r="AC29" i="71" s="1"/>
  <c r="AW20" i="46"/>
  <c r="AW20" i="50"/>
  <c r="AX20" i="50"/>
  <c r="AW20" i="40"/>
  <c r="AX20" i="40"/>
  <c r="AY20" i="58"/>
  <c r="AZ20" i="43"/>
  <c r="AY20" i="70"/>
  <c r="AB30" i="71" s="1"/>
  <c r="AZ20" i="70"/>
  <c r="AC30" i="71" s="1"/>
  <c r="AY20" i="46"/>
  <c r="AY20" i="50"/>
  <c r="AZ20" i="50"/>
  <c r="AY19" i="55"/>
  <c r="AZ19" i="55"/>
  <c r="AY20" i="40"/>
  <c r="AZ20" i="40"/>
  <c r="BB20" i="58"/>
  <c r="BA20" i="43"/>
  <c r="BA20" i="70"/>
  <c r="AB31" i="71" s="1"/>
  <c r="BB20" i="70"/>
  <c r="AC31" i="71" s="1"/>
  <c r="BA20" i="46"/>
  <c r="BA20" i="50"/>
  <c r="BB20" i="50"/>
  <c r="BA19" i="55"/>
  <c r="BB19" i="55"/>
  <c r="BA20" i="40"/>
  <c r="BB20" i="40"/>
  <c r="BC20" i="43"/>
  <c r="BD20" i="43"/>
  <c r="BC20" i="70"/>
  <c r="AB32" i="71" s="1"/>
  <c r="BD20" i="70"/>
  <c r="AC32" i="71" s="1"/>
  <c r="BC20" i="46"/>
  <c r="BC20" i="50"/>
  <c r="BD20" i="50"/>
  <c r="BC19" i="55"/>
  <c r="BD19" i="55"/>
  <c r="BC20" i="40"/>
  <c r="BD20" i="40"/>
  <c r="BE20" i="43"/>
  <c r="BF20" i="43"/>
  <c r="BE20" i="70"/>
  <c r="AB33" i="71" s="1"/>
  <c r="BF20" i="70"/>
  <c r="BE20" i="46"/>
  <c r="BE20" i="40"/>
  <c r="BF20" i="40"/>
  <c r="BG20" i="43"/>
  <c r="BH20" i="43"/>
  <c r="BG20" i="70"/>
  <c r="AB34" i="71" s="1"/>
  <c r="BH20" i="70"/>
  <c r="AC34" i="71" s="1"/>
  <c r="BG20" i="46"/>
  <c r="BG20" i="50"/>
  <c r="BH20" i="50"/>
  <c r="BG19" i="55"/>
  <c r="BH19" i="55"/>
  <c r="BG20" i="40"/>
  <c r="BH20" i="40"/>
  <c r="BI20" i="58"/>
  <c r="BJ20" i="58"/>
  <c r="BI20" i="43"/>
  <c r="BJ20" i="43"/>
  <c r="BI20" i="70"/>
  <c r="AB35" i="71" s="1"/>
  <c r="BJ20" i="70"/>
  <c r="AC35" i="71" s="1"/>
  <c r="BI20" i="46"/>
  <c r="BI20" i="50"/>
  <c r="BJ20" i="50"/>
  <c r="BI19" i="55"/>
  <c r="BJ19" i="55"/>
  <c r="BI20" i="40"/>
  <c r="BJ20" i="40"/>
  <c r="BK20" i="43"/>
  <c r="BL20" i="43"/>
  <c r="BK20" i="70"/>
  <c r="AB36" i="71" s="1"/>
  <c r="BL20" i="70"/>
  <c r="AC36" i="71" s="1"/>
  <c r="BK20" i="46"/>
  <c r="BL20" i="46"/>
  <c r="BK20" i="50"/>
  <c r="BK19" i="55"/>
  <c r="BL19" i="55"/>
  <c r="BK20" i="40"/>
  <c r="BL20" i="40"/>
  <c r="BM20" i="43"/>
  <c r="BN20" i="43"/>
  <c r="BM20" i="70"/>
  <c r="AB37" i="71" s="1"/>
  <c r="BN20" i="70"/>
  <c r="AC37" i="71" s="1"/>
  <c r="BM20" i="46"/>
  <c r="BN20" i="46"/>
  <c r="BM20" i="50"/>
  <c r="BM19" i="55"/>
  <c r="BN19" i="55"/>
  <c r="BM20" i="40"/>
  <c r="BN20" i="40"/>
  <c r="BO20" i="43"/>
  <c r="BP20" i="43"/>
  <c r="BO20" i="70"/>
  <c r="AB38" i="71" s="1"/>
  <c r="BP20" i="70"/>
  <c r="AC38" i="71" s="1"/>
  <c r="BO20" i="46"/>
  <c r="BP20" i="46"/>
  <c r="BO20" i="50"/>
  <c r="BO19" i="55"/>
  <c r="BP19" i="55"/>
  <c r="BO20" i="40"/>
  <c r="BP20" i="40"/>
  <c r="BQ20" i="43"/>
  <c r="BR20" i="43"/>
  <c r="BQ20" i="70"/>
  <c r="AB39" i="71" s="1"/>
  <c r="BR20" i="70"/>
  <c r="AC39" i="71" s="1"/>
  <c r="BQ20" i="46"/>
  <c r="BR20" i="46"/>
  <c r="BQ20" i="50"/>
  <c r="BQ20" i="40"/>
  <c r="BR20" i="40"/>
  <c r="BS20" i="43"/>
  <c r="BT20" i="43"/>
  <c r="BS20" i="70"/>
  <c r="AB40" i="71" s="1"/>
  <c r="BT20" i="70"/>
  <c r="AC40" i="71" s="1"/>
  <c r="BS20" i="46"/>
  <c r="BT20" i="46"/>
  <c r="BS20" i="50"/>
  <c r="BS19" i="55"/>
  <c r="BT19" i="55"/>
  <c r="BS20" i="40"/>
  <c r="BT20" i="40"/>
  <c r="BU20" i="43"/>
  <c r="BV20" i="43"/>
  <c r="BU20" i="70"/>
  <c r="AB41" i="71" s="1"/>
  <c r="BV20" i="70"/>
  <c r="AC41" i="71" s="1"/>
  <c r="BU20" i="46"/>
  <c r="BV20" i="46"/>
  <c r="BU20" i="50"/>
  <c r="BU19" i="55"/>
  <c r="BV19" i="55"/>
  <c r="BU20" i="40"/>
  <c r="BV20" i="40"/>
  <c r="BW20" i="43"/>
  <c r="BX20" i="43"/>
  <c r="BW20" i="70"/>
  <c r="AB42" i="71" s="1"/>
  <c r="BX20" i="70"/>
  <c r="AC42" i="71" s="1"/>
  <c r="BW20" i="46"/>
  <c r="BX20" i="46"/>
  <c r="BW20" i="50"/>
  <c r="BW19" i="55"/>
  <c r="BX19" i="55"/>
  <c r="BW20" i="40"/>
  <c r="BX20" i="40"/>
  <c r="BY20" i="43"/>
  <c r="BZ20" i="43"/>
  <c r="BY20" i="70"/>
  <c r="AB43" i="71" s="1"/>
  <c r="BZ20" i="70"/>
  <c r="AC43" i="71" s="1"/>
  <c r="BY20" i="46"/>
  <c r="BZ20" i="46"/>
  <c r="BY20" i="50"/>
  <c r="BY19" i="55"/>
  <c r="BZ19" i="55"/>
  <c r="BY20" i="40"/>
  <c r="BZ20" i="40"/>
  <c r="C21" i="43"/>
  <c r="D21" i="43"/>
  <c r="AE6" i="44" s="1"/>
  <c r="C21" i="70"/>
  <c r="AD6" i="71" s="1"/>
  <c r="D21" i="70"/>
  <c r="AE6" i="71" s="1"/>
  <c r="C21" i="46"/>
  <c r="D21" i="46"/>
  <c r="C21" i="50"/>
  <c r="D21" i="50"/>
  <c r="C21" i="55"/>
  <c r="D21" i="55"/>
  <c r="C21" i="40"/>
  <c r="D21" i="40"/>
  <c r="F21" i="58"/>
  <c r="E21" i="43"/>
  <c r="AD7" i="44" s="1"/>
  <c r="F21" i="43"/>
  <c r="AE7" i="44" s="1"/>
  <c r="E21" i="70"/>
  <c r="AD7" i="71" s="1"/>
  <c r="F21" i="70"/>
  <c r="AE7" i="71" s="1"/>
  <c r="E21" i="46"/>
  <c r="E21" i="50"/>
  <c r="E21" i="55"/>
  <c r="H21" i="70"/>
  <c r="AE8" i="71" s="1"/>
  <c r="H21" i="46"/>
  <c r="H21" i="50"/>
  <c r="H21" i="55"/>
  <c r="J21" i="58"/>
  <c r="I21" i="43"/>
  <c r="J21" i="43"/>
  <c r="I21" i="70"/>
  <c r="AD9" i="71" s="1"/>
  <c r="J21" i="70"/>
  <c r="AE9" i="71" s="1"/>
  <c r="I21" i="46"/>
  <c r="I21" i="50"/>
  <c r="J21" i="50"/>
  <c r="J20" i="55"/>
  <c r="K21" i="58"/>
  <c r="L21" i="58"/>
  <c r="K21" i="43"/>
  <c r="L21" i="43"/>
  <c r="K21" i="70"/>
  <c r="AD10" i="71" s="1"/>
  <c r="K21" i="46"/>
  <c r="L21" i="46"/>
  <c r="K21" i="50"/>
  <c r="L21" i="50"/>
  <c r="K20" i="55"/>
  <c r="L20" i="55"/>
  <c r="K21" i="40"/>
  <c r="L21" i="40"/>
  <c r="M21" i="43"/>
  <c r="N21" i="43"/>
  <c r="M21" i="70"/>
  <c r="AD11" i="71" s="1"/>
  <c r="N21" i="70"/>
  <c r="AE11" i="71" s="1"/>
  <c r="M21" i="46"/>
  <c r="N21" i="46"/>
  <c r="M21" i="50"/>
  <c r="N21" i="50"/>
  <c r="M20" i="55"/>
  <c r="N20" i="55"/>
  <c r="M21" i="40"/>
  <c r="N21" i="40"/>
  <c r="O21" i="58"/>
  <c r="O21" i="43"/>
  <c r="P21" i="43"/>
  <c r="O21" i="70"/>
  <c r="AD12" i="71" s="1"/>
  <c r="P21" i="70"/>
  <c r="AE12" i="71" s="1"/>
  <c r="O21" i="46"/>
  <c r="P21" i="46"/>
  <c r="O21" i="50"/>
  <c r="P21" i="50"/>
  <c r="O20" i="55"/>
  <c r="P20" i="55"/>
  <c r="O21" i="40"/>
  <c r="P21" i="40"/>
  <c r="Q21" i="43"/>
  <c r="R21" i="43"/>
  <c r="Q21" i="70"/>
  <c r="AD13" i="71" s="1"/>
  <c r="R21" i="70"/>
  <c r="AE13" i="71" s="1"/>
  <c r="Q21" i="46"/>
  <c r="R21" i="46"/>
  <c r="Q21" i="50"/>
  <c r="R21" i="50"/>
  <c r="Q20" i="55"/>
  <c r="R20" i="55"/>
  <c r="Q21" i="40"/>
  <c r="R21" i="40"/>
  <c r="S21" i="58"/>
  <c r="T21" i="58"/>
  <c r="S21" i="43"/>
  <c r="T21" i="43"/>
  <c r="S21" i="70"/>
  <c r="AD14" i="71" s="1"/>
  <c r="T21" i="70"/>
  <c r="AE14" i="71" s="1"/>
  <c r="S21" i="46"/>
  <c r="T21" i="46"/>
  <c r="S21" i="50"/>
  <c r="T21" i="50"/>
  <c r="S20" i="55"/>
  <c r="T20" i="55"/>
  <c r="S21" i="40"/>
  <c r="T21" i="40"/>
  <c r="V21" i="58"/>
  <c r="U21" i="43"/>
  <c r="V21" i="43"/>
  <c r="U21" i="70"/>
  <c r="AD15" i="71" s="1"/>
  <c r="V21" i="70"/>
  <c r="AE15" i="71" s="1"/>
  <c r="U21" i="46"/>
  <c r="U21" i="50"/>
  <c r="V21" i="50"/>
  <c r="U21" i="40"/>
  <c r="V21" i="40"/>
  <c r="W21" i="58"/>
  <c r="X21" i="58"/>
  <c r="W21" i="43"/>
  <c r="X21" i="43"/>
  <c r="W21" i="70"/>
  <c r="AD16" i="71" s="1"/>
  <c r="X21" i="70"/>
  <c r="AE16" i="71" s="1"/>
  <c r="W21" i="46"/>
  <c r="X21" i="46"/>
  <c r="W21" i="50"/>
  <c r="X21" i="50"/>
  <c r="W20" i="55"/>
  <c r="X20" i="55"/>
  <c r="W21" i="40"/>
  <c r="X21" i="40"/>
  <c r="Z21" i="58"/>
  <c r="Y21" i="43"/>
  <c r="Z21" i="43"/>
  <c r="Y21" i="70"/>
  <c r="AD17" i="71" s="1"/>
  <c r="Z21" i="70"/>
  <c r="AE17" i="71" s="1"/>
  <c r="Y21" i="46"/>
  <c r="Z21" i="46"/>
  <c r="Y21" i="50"/>
  <c r="Z21" i="50"/>
  <c r="Y21" i="55"/>
  <c r="Z21" i="55"/>
  <c r="Y21" i="40"/>
  <c r="Z21" i="40"/>
  <c r="AB21" i="58"/>
  <c r="AA21" i="43"/>
  <c r="AB21" i="43"/>
  <c r="AA21" i="70"/>
  <c r="AD18" i="71" s="1"/>
  <c r="AB21" i="70"/>
  <c r="AE18" i="71" s="1"/>
  <c r="AA21" i="46"/>
  <c r="AB21" i="46"/>
  <c r="AA21" i="50"/>
  <c r="AB21" i="50"/>
  <c r="AA20" i="55"/>
  <c r="AB20" i="55"/>
  <c r="AA21" i="40"/>
  <c r="AB21" i="40"/>
  <c r="AC21" i="43"/>
  <c r="AD21" i="43"/>
  <c r="AC21" i="70"/>
  <c r="AD19" i="71" s="1"/>
  <c r="AD21" i="70"/>
  <c r="AE19" i="71" s="1"/>
  <c r="AC21" i="46"/>
  <c r="AD21" i="46"/>
  <c r="AC21" i="50"/>
  <c r="AD21" i="50"/>
  <c r="AC20" i="55"/>
  <c r="AD20" i="55"/>
  <c r="AC21" i="40"/>
  <c r="AD21" i="40"/>
  <c r="AE21" i="43"/>
  <c r="AF21" i="43"/>
  <c r="AE21" i="70"/>
  <c r="AD20" i="71" s="1"/>
  <c r="AF21" i="70"/>
  <c r="AE20" i="71" s="1"/>
  <c r="AE21" i="46"/>
  <c r="AF21" i="46"/>
  <c r="AE21" i="50"/>
  <c r="AF21" i="50"/>
  <c r="AE20" i="55"/>
  <c r="AF20" i="55"/>
  <c r="AE21" i="40"/>
  <c r="AF21" i="40"/>
  <c r="AH21" i="58"/>
  <c r="AG21" i="43"/>
  <c r="AH21" i="43"/>
  <c r="AG21" i="70"/>
  <c r="AD21" i="71" s="1"/>
  <c r="AH21" i="70"/>
  <c r="AE21" i="71" s="1"/>
  <c r="AG21" i="46"/>
  <c r="AH21" i="46"/>
  <c r="AG21" i="50"/>
  <c r="AH21" i="50"/>
  <c r="AG20" i="55"/>
  <c r="AH20" i="55"/>
  <c r="AG21" i="40"/>
  <c r="AH21" i="40"/>
  <c r="AI21" i="58"/>
  <c r="AJ21" i="58"/>
  <c r="AI21" i="43"/>
  <c r="AJ21" i="43"/>
  <c r="AI21" i="70"/>
  <c r="AD22" i="71" s="1"/>
  <c r="AI21" i="46"/>
  <c r="AJ21" i="46"/>
  <c r="AI21" i="50"/>
  <c r="AJ21" i="50"/>
  <c r="AI20" i="55"/>
  <c r="AJ20" i="55"/>
  <c r="AI21" i="40"/>
  <c r="AJ21" i="40"/>
  <c r="AK21" i="58"/>
  <c r="AL21" i="58"/>
  <c r="AK21" i="43"/>
  <c r="AL21" i="43"/>
  <c r="AK21" i="70"/>
  <c r="AD23" i="71" s="1"/>
  <c r="AL21" i="70"/>
  <c r="AE23" i="71" s="1"/>
  <c r="AK21" i="46"/>
  <c r="AL21" i="46"/>
  <c r="AK21" i="50"/>
  <c r="AL21" i="50"/>
  <c r="AK20" i="55"/>
  <c r="AL20" i="55"/>
  <c r="AK21" i="40"/>
  <c r="AL21" i="40"/>
  <c r="AM21" i="43"/>
  <c r="AN21" i="43"/>
  <c r="AM21" i="70"/>
  <c r="AD24" i="71" s="1"/>
  <c r="AN21" i="70"/>
  <c r="AE24" i="71" s="1"/>
  <c r="AM21" i="46"/>
  <c r="AN21" i="46"/>
  <c r="AM21" i="50"/>
  <c r="AN21" i="50"/>
  <c r="AM20" i="55"/>
  <c r="AN20" i="55"/>
  <c r="AM21" i="40"/>
  <c r="AN21" i="40"/>
  <c r="AO21" i="43"/>
  <c r="AP21" i="43"/>
  <c r="AO21" i="70"/>
  <c r="AD25" i="71" s="1"/>
  <c r="AP21" i="70"/>
  <c r="AE25" i="71" s="1"/>
  <c r="AO21" i="46"/>
  <c r="AP21" i="46"/>
  <c r="AO21" i="50"/>
  <c r="AP21" i="50"/>
  <c r="AO20" i="55"/>
  <c r="AP20" i="55"/>
  <c r="AR21" i="58"/>
  <c r="AQ21" i="43"/>
  <c r="AR21" i="43"/>
  <c r="AQ21" i="70"/>
  <c r="AD26" i="71" s="1"/>
  <c r="AR21" i="70"/>
  <c r="AE26" i="71" s="1"/>
  <c r="AQ21" i="46"/>
  <c r="AR21" i="46"/>
  <c r="AQ21" i="50"/>
  <c r="AR21" i="50"/>
  <c r="AQ20" i="55"/>
  <c r="AR20" i="55"/>
  <c r="AQ21" i="40"/>
  <c r="AR21" i="40"/>
  <c r="AS21" i="58"/>
  <c r="AT21" i="58"/>
  <c r="AS21" i="43"/>
  <c r="AT21" i="43"/>
  <c r="AS21" i="70"/>
  <c r="AD27" i="71" s="1"/>
  <c r="AT21" i="46"/>
  <c r="AS21" i="50"/>
  <c r="AT21" i="50"/>
  <c r="AS20" i="55"/>
  <c r="AT20" i="55"/>
  <c r="AS21" i="40"/>
  <c r="AT21" i="40"/>
  <c r="AV21" i="58"/>
  <c r="AU21" i="43"/>
  <c r="AV21" i="43"/>
  <c r="AU21" i="70"/>
  <c r="AD28" i="71" s="1"/>
  <c r="AV21" i="70"/>
  <c r="AE28" i="71" s="1"/>
  <c r="AU21" i="46"/>
  <c r="AV21" i="46"/>
  <c r="AU21" i="50"/>
  <c r="AV21" i="50"/>
  <c r="AU20" i="55"/>
  <c r="AV20" i="55"/>
  <c r="AU21" i="40"/>
  <c r="AV21" i="40"/>
  <c r="AW21" i="58"/>
  <c r="AX21" i="43"/>
  <c r="AW21" i="70"/>
  <c r="AD29" i="71" s="1"/>
  <c r="AX21" i="70"/>
  <c r="AE29" i="71" s="1"/>
  <c r="AW21" i="46"/>
  <c r="AX21" i="46"/>
  <c r="AW21" i="50"/>
  <c r="AX21" i="50"/>
  <c r="AW21" i="40"/>
  <c r="AX21" i="40"/>
  <c r="AY21" i="43"/>
  <c r="AZ21" i="43"/>
  <c r="AY21" i="70"/>
  <c r="AD30" i="71" s="1"/>
  <c r="AZ21" i="70"/>
  <c r="AE30" i="71" s="1"/>
  <c r="AY21" i="46"/>
  <c r="AZ21" i="46"/>
  <c r="AY21" i="50"/>
  <c r="AZ21" i="50"/>
  <c r="AY20" i="55"/>
  <c r="AZ20" i="55"/>
  <c r="AY21" i="40"/>
  <c r="AZ21" i="40"/>
  <c r="BA21" i="43"/>
  <c r="BB21" i="43"/>
  <c r="BA21" i="70"/>
  <c r="AD31" i="71" s="1"/>
  <c r="BB21" i="70"/>
  <c r="AE31" i="71" s="1"/>
  <c r="BA21" i="46"/>
  <c r="BB21" i="46"/>
  <c r="BA21" i="50"/>
  <c r="BB21" i="50"/>
  <c r="BA20" i="55"/>
  <c r="BB20" i="55"/>
  <c r="BA21" i="40"/>
  <c r="BB21" i="40"/>
  <c r="BD21" i="58"/>
  <c r="BC21" i="43"/>
  <c r="BD21" i="43"/>
  <c r="BC21" i="70"/>
  <c r="AD32" i="71" s="1"/>
  <c r="BD21" i="70"/>
  <c r="AE32" i="71" s="1"/>
  <c r="BC21" i="46"/>
  <c r="BC21" i="50"/>
  <c r="BD21" i="50"/>
  <c r="BC20" i="55"/>
  <c r="BD20" i="55"/>
  <c r="BC21" i="40"/>
  <c r="BD21" i="40"/>
  <c r="BF21" i="58"/>
  <c r="BE21" i="43"/>
  <c r="BF21" i="43"/>
  <c r="BE21" i="70"/>
  <c r="AD33" i="71" s="1"/>
  <c r="BF21" i="70"/>
  <c r="AE33" i="71" s="1"/>
  <c r="BE21" i="46"/>
  <c r="BF21" i="46"/>
  <c r="BE21" i="40"/>
  <c r="BF21" i="40"/>
  <c r="BH21" i="58"/>
  <c r="BG21" i="43"/>
  <c r="BG21" i="70"/>
  <c r="AD34" i="71" s="1"/>
  <c r="BH21" i="70"/>
  <c r="AE34" i="71" s="1"/>
  <c r="BG21" i="46"/>
  <c r="BH21" i="46"/>
  <c r="BG21" i="50"/>
  <c r="BH21" i="50"/>
  <c r="BG20" i="55"/>
  <c r="BH20" i="55"/>
  <c r="BG21" i="40"/>
  <c r="BH21" i="40"/>
  <c r="BI21" i="43"/>
  <c r="BJ21" i="43"/>
  <c r="BI21" i="70"/>
  <c r="AD35" i="71" s="1"/>
  <c r="BJ21" i="70"/>
  <c r="AE35" i="71" s="1"/>
  <c r="BI21" i="46"/>
  <c r="BJ21" i="46"/>
  <c r="BI21" i="50"/>
  <c r="BJ21" i="50"/>
  <c r="BI20" i="55"/>
  <c r="BJ20" i="55"/>
  <c r="BI21" i="40"/>
  <c r="BJ21" i="40"/>
  <c r="BK21" i="43"/>
  <c r="BL21" i="43"/>
  <c r="BK21" i="70"/>
  <c r="AD36" i="71" s="1"/>
  <c r="BL21" i="70"/>
  <c r="AE36" i="71" s="1"/>
  <c r="BK21" i="46"/>
  <c r="BL21" i="46"/>
  <c r="BK21" i="50"/>
  <c r="BL21" i="50"/>
  <c r="BK20" i="55"/>
  <c r="BL20" i="55"/>
  <c r="BK21" i="40"/>
  <c r="BL21" i="40"/>
  <c r="BM21" i="43"/>
  <c r="BN21" i="43"/>
  <c r="BM21" i="70"/>
  <c r="AD37" i="71" s="1"/>
  <c r="BN21" i="70"/>
  <c r="AE37" i="71" s="1"/>
  <c r="BM21" i="46"/>
  <c r="BN21" i="46"/>
  <c r="BM21" i="50"/>
  <c r="BN21" i="50"/>
  <c r="BM20" i="55"/>
  <c r="BN20" i="55"/>
  <c r="BM21" i="40"/>
  <c r="BN21" i="40"/>
  <c r="BO21" i="43"/>
  <c r="BP21" i="43"/>
  <c r="BO21" i="70"/>
  <c r="AD38" i="71" s="1"/>
  <c r="BP21" i="70"/>
  <c r="AE38" i="71" s="1"/>
  <c r="BO21" i="46"/>
  <c r="BP21" i="46"/>
  <c r="BO21" i="50"/>
  <c r="BP21" i="50"/>
  <c r="BO20" i="55"/>
  <c r="BP20" i="55"/>
  <c r="BO21" i="40"/>
  <c r="BP21" i="40"/>
  <c r="BQ21" i="43"/>
  <c r="BR21" i="43"/>
  <c r="BQ21" i="70"/>
  <c r="AD39" i="71" s="1"/>
  <c r="BR21" i="70"/>
  <c r="AE39" i="71" s="1"/>
  <c r="BQ21" i="46"/>
  <c r="BR21" i="46"/>
  <c r="BQ21" i="50"/>
  <c r="BR21" i="50"/>
  <c r="BQ21" i="40"/>
  <c r="BR21" i="40"/>
  <c r="BS21" i="43"/>
  <c r="BT21" i="43"/>
  <c r="BS21" i="70"/>
  <c r="AD40" i="71" s="1"/>
  <c r="BT21" i="70"/>
  <c r="AE40" i="71" s="1"/>
  <c r="BS21" i="46"/>
  <c r="BT21" i="46"/>
  <c r="BS21" i="50"/>
  <c r="BT21" i="50"/>
  <c r="BS20" i="55"/>
  <c r="BT20" i="55"/>
  <c r="BS21" i="40"/>
  <c r="BT21" i="40"/>
  <c r="BU21" i="43"/>
  <c r="BV21" i="43"/>
  <c r="BU21" i="70"/>
  <c r="AD41" i="71" s="1"/>
  <c r="BV21" i="70"/>
  <c r="AE41" i="71" s="1"/>
  <c r="BU21" i="46"/>
  <c r="BV21" i="46"/>
  <c r="BU21" i="50"/>
  <c r="BV21" i="50"/>
  <c r="BU20" i="55"/>
  <c r="BV20" i="55"/>
  <c r="BU21" i="40"/>
  <c r="BV21" i="40"/>
  <c r="BW21" i="43"/>
  <c r="BX21" i="43"/>
  <c r="BW21" i="70"/>
  <c r="AD42" i="71" s="1"/>
  <c r="BX21" i="70"/>
  <c r="AE42" i="71" s="1"/>
  <c r="BW21" i="46"/>
  <c r="BX21" i="46"/>
  <c r="BW21" i="50"/>
  <c r="BX21" i="50"/>
  <c r="BW20" i="55"/>
  <c r="BX20" i="55"/>
  <c r="BW21" i="40"/>
  <c r="BX21" i="40"/>
  <c r="BY21" i="43"/>
  <c r="BZ21" i="43"/>
  <c r="BY21" i="70"/>
  <c r="AD43" i="71" s="1"/>
  <c r="BZ21" i="70"/>
  <c r="AE43" i="71" s="1"/>
  <c r="BY21" i="46"/>
  <c r="BZ21" i="46"/>
  <c r="BY21" i="50"/>
  <c r="BZ21" i="50"/>
  <c r="BY20" i="55"/>
  <c r="BZ20" i="55"/>
  <c r="BY21" i="40"/>
  <c r="BZ21" i="40"/>
  <c r="C22" i="58"/>
  <c r="D22" i="58"/>
  <c r="C22" i="43"/>
  <c r="D22" i="43"/>
  <c r="AG6" i="44" s="1"/>
  <c r="C22" i="70"/>
  <c r="AF6" i="71" s="1"/>
  <c r="D22" i="70"/>
  <c r="AG6" i="71" s="1"/>
  <c r="C22" i="46"/>
  <c r="C22" i="50"/>
  <c r="D22" i="50"/>
  <c r="C22" i="55"/>
  <c r="D22" i="55"/>
  <c r="C22" i="40"/>
  <c r="D22" i="40"/>
  <c r="E22" i="58"/>
  <c r="F22" i="58"/>
  <c r="E22" i="43"/>
  <c r="AF7" i="44" s="1"/>
  <c r="F22" i="43"/>
  <c r="AG7" i="44" s="1"/>
  <c r="E22" i="70"/>
  <c r="AF7" i="71" s="1"/>
  <c r="F22" i="70"/>
  <c r="AG7" i="71" s="1"/>
  <c r="E22" i="46"/>
  <c r="E22" i="50"/>
  <c r="E22" i="55"/>
  <c r="H22" i="70"/>
  <c r="AG8" i="71" s="1"/>
  <c r="H22" i="50"/>
  <c r="H22" i="55"/>
  <c r="I22" i="58"/>
  <c r="J22" i="58"/>
  <c r="I22" i="43"/>
  <c r="J22" i="43"/>
  <c r="I22" i="70"/>
  <c r="AF9" i="71" s="1"/>
  <c r="J22" i="70"/>
  <c r="AG9" i="71" s="1"/>
  <c r="I22" i="46"/>
  <c r="I22" i="50"/>
  <c r="J22" i="50"/>
  <c r="J21" i="55"/>
  <c r="L22" i="58"/>
  <c r="K22" i="43"/>
  <c r="L22" i="43"/>
  <c r="K22" i="70"/>
  <c r="AF10" i="71" s="1"/>
  <c r="L22" i="70"/>
  <c r="AG10" i="71" s="1"/>
  <c r="K22" i="46"/>
  <c r="K22" i="50"/>
  <c r="L22" i="50"/>
  <c r="K21" i="55"/>
  <c r="L21" i="55"/>
  <c r="K22" i="40"/>
  <c r="L22" i="40"/>
  <c r="M22" i="43"/>
  <c r="N22" i="43"/>
  <c r="M22" i="70"/>
  <c r="AF11" i="71" s="1"/>
  <c r="N22" i="70"/>
  <c r="AG11" i="71" s="1"/>
  <c r="M22" i="46"/>
  <c r="M22" i="50"/>
  <c r="N22" i="50"/>
  <c r="M21" i="55"/>
  <c r="N21" i="55"/>
  <c r="M22" i="40"/>
  <c r="N22" i="40"/>
  <c r="O22" i="43"/>
  <c r="P22" i="43"/>
  <c r="O22" i="70"/>
  <c r="AF12" i="71" s="1"/>
  <c r="P22" i="70"/>
  <c r="AG12" i="71" s="1"/>
  <c r="O22" i="46"/>
  <c r="O22" i="50"/>
  <c r="P22" i="50"/>
  <c r="O21" i="55"/>
  <c r="P21" i="55"/>
  <c r="O22" i="40"/>
  <c r="P22" i="40"/>
  <c r="R22" i="58"/>
  <c r="Q22" i="43"/>
  <c r="R22" i="43"/>
  <c r="Q22" i="70"/>
  <c r="AF13" i="71" s="1"/>
  <c r="R22" i="70"/>
  <c r="AG13" i="71" s="1"/>
  <c r="Q22" i="46"/>
  <c r="Q22" i="50"/>
  <c r="R22" i="50"/>
  <c r="Q21" i="55"/>
  <c r="R21" i="55"/>
  <c r="Q22" i="40"/>
  <c r="R22" i="40"/>
  <c r="S22" i="58"/>
  <c r="T22" i="58"/>
  <c r="S22" i="43"/>
  <c r="T22" i="43"/>
  <c r="S22" i="70"/>
  <c r="AF14" i="71" s="1"/>
  <c r="T22" i="70"/>
  <c r="AG14" i="71" s="1"/>
  <c r="S22" i="46"/>
  <c r="S22" i="50"/>
  <c r="T22" i="50"/>
  <c r="S21" i="55"/>
  <c r="T21" i="55"/>
  <c r="S22" i="40"/>
  <c r="T22" i="40"/>
  <c r="U22" i="58"/>
  <c r="V22" i="58"/>
  <c r="U22" i="43"/>
  <c r="V22" i="43"/>
  <c r="V22" i="70"/>
  <c r="AG15" i="71" s="1"/>
  <c r="U22" i="46"/>
  <c r="U22" i="50"/>
  <c r="V22" i="50"/>
  <c r="U22" i="40"/>
  <c r="V22" i="40"/>
  <c r="X22" i="58"/>
  <c r="W22" i="43"/>
  <c r="X22" i="43"/>
  <c r="W22" i="70"/>
  <c r="AF16" i="71" s="1"/>
  <c r="X22" i="70"/>
  <c r="AG16" i="71" s="1"/>
  <c r="W22" i="46"/>
  <c r="W22" i="50"/>
  <c r="X22" i="50"/>
  <c r="W21" i="55"/>
  <c r="X21" i="55"/>
  <c r="W22" i="40"/>
  <c r="X22" i="40"/>
  <c r="Y22" i="58"/>
  <c r="Y22" i="43"/>
  <c r="Z22" i="43"/>
  <c r="Y22" i="70"/>
  <c r="AF17" i="71" s="1"/>
  <c r="Z22" i="70"/>
  <c r="AG17" i="71" s="1"/>
  <c r="Y22" i="46"/>
  <c r="Y22" i="50"/>
  <c r="Z22" i="50"/>
  <c r="Y22" i="55"/>
  <c r="Z22" i="55"/>
  <c r="Y22" i="40"/>
  <c r="Z22" i="40"/>
  <c r="AB22" i="58"/>
  <c r="AA22" i="43"/>
  <c r="AB22" i="43"/>
  <c r="AA22" i="70"/>
  <c r="AF18" i="71" s="1"/>
  <c r="AB22" i="70"/>
  <c r="AG18" i="71" s="1"/>
  <c r="AA22" i="46"/>
  <c r="AA22" i="50"/>
  <c r="AB22" i="50"/>
  <c r="AA21" i="55"/>
  <c r="AB21" i="55"/>
  <c r="AA22" i="40"/>
  <c r="AB22" i="40"/>
  <c r="AD22" i="58"/>
  <c r="AC22" i="43"/>
  <c r="AD22" i="43"/>
  <c r="AC22" i="70"/>
  <c r="AF19" i="71" s="1"/>
  <c r="AD22" i="70"/>
  <c r="AG19" i="71" s="1"/>
  <c r="AC22" i="46"/>
  <c r="AC22" i="50"/>
  <c r="AD22" i="50"/>
  <c r="AC21" i="55"/>
  <c r="AD21" i="55"/>
  <c r="AC22" i="40"/>
  <c r="AD22" i="40"/>
  <c r="AE22" i="58"/>
  <c r="AE22" i="43"/>
  <c r="AF22" i="43"/>
  <c r="AE22" i="70"/>
  <c r="AF20" i="71" s="1"/>
  <c r="AF22" i="70"/>
  <c r="AG20" i="71" s="1"/>
  <c r="AE22" i="46"/>
  <c r="AE22" i="50"/>
  <c r="AF22" i="50"/>
  <c r="AE21" i="55"/>
  <c r="AF21" i="55"/>
  <c r="AE22" i="40"/>
  <c r="AF22" i="40"/>
  <c r="AG22" i="58"/>
  <c r="AH22" i="58"/>
  <c r="AG22" i="43"/>
  <c r="AH22" i="43"/>
  <c r="AG22" i="70"/>
  <c r="AF21" i="71" s="1"/>
  <c r="AH22" i="70"/>
  <c r="AG21" i="71" s="1"/>
  <c r="AG22" i="46"/>
  <c r="AG22" i="50"/>
  <c r="AH22" i="50"/>
  <c r="AG21" i="55"/>
  <c r="AH21" i="55"/>
  <c r="AG22" i="40"/>
  <c r="AH22" i="40"/>
  <c r="AJ22" i="58"/>
  <c r="AI22" i="43"/>
  <c r="AJ22" i="43"/>
  <c r="AI22" i="70"/>
  <c r="AF22" i="71" s="1"/>
  <c r="AJ22" i="70"/>
  <c r="AG22" i="71" s="1"/>
  <c r="AI22" i="46"/>
  <c r="AI22" i="50"/>
  <c r="AJ22" i="50"/>
  <c r="AI21" i="55"/>
  <c r="AJ21" i="55"/>
  <c r="AI22" i="40"/>
  <c r="AJ22" i="40"/>
  <c r="AK22" i="58"/>
  <c r="AL22" i="58"/>
  <c r="AK22" i="43"/>
  <c r="AL22" i="43"/>
  <c r="AK22" i="70"/>
  <c r="AF23" i="71" s="1"/>
  <c r="AL22" i="70"/>
  <c r="AG23" i="71" s="1"/>
  <c r="AK22" i="46"/>
  <c r="AK22" i="50"/>
  <c r="AL22" i="50"/>
  <c r="AK21" i="55"/>
  <c r="AL21" i="55"/>
  <c r="AK22" i="40"/>
  <c r="AL22" i="40"/>
  <c r="AM22" i="43"/>
  <c r="AN22" i="43"/>
  <c r="AM22" i="70"/>
  <c r="AF24" i="71" s="1"/>
  <c r="AN22" i="70"/>
  <c r="AG24" i="71" s="1"/>
  <c r="AM22" i="46"/>
  <c r="AM22" i="50"/>
  <c r="AN22" i="50"/>
  <c r="AM21" i="55"/>
  <c r="AN21" i="55"/>
  <c r="AM22" i="40"/>
  <c r="AN22" i="40"/>
  <c r="AO22" i="43"/>
  <c r="AP22" i="43"/>
  <c r="AO22" i="70"/>
  <c r="AF25" i="71" s="1"/>
  <c r="AP22" i="70"/>
  <c r="AG25" i="71" s="1"/>
  <c r="AO22" i="46"/>
  <c r="AO22" i="50"/>
  <c r="AP22" i="50"/>
  <c r="AO21" i="55"/>
  <c r="AP21" i="55"/>
  <c r="AQ22" i="58"/>
  <c r="AR22" i="58"/>
  <c r="AQ22" i="43"/>
  <c r="AR22" i="43"/>
  <c r="AQ22" i="70"/>
  <c r="AF26" i="71" s="1"/>
  <c r="AR22" i="70"/>
  <c r="AG26" i="71" s="1"/>
  <c r="AQ22" i="46"/>
  <c r="AQ22" i="50"/>
  <c r="AR22" i="50"/>
  <c r="AQ21" i="55"/>
  <c r="AR21" i="55"/>
  <c r="AQ22" i="40"/>
  <c r="AR22" i="40"/>
  <c r="AS22" i="58"/>
  <c r="AT22" i="58"/>
  <c r="AS22" i="43"/>
  <c r="AT22" i="43"/>
  <c r="AS22" i="70"/>
  <c r="AF27" i="71" s="1"/>
  <c r="AT22" i="70"/>
  <c r="AG27" i="71" s="1"/>
  <c r="AS22" i="46"/>
  <c r="AS22" i="50"/>
  <c r="AT22" i="50"/>
  <c r="AS21" i="55"/>
  <c r="AT21" i="55"/>
  <c r="AS22" i="40"/>
  <c r="AT22" i="40"/>
  <c r="AU22" i="58"/>
  <c r="AV22" i="58"/>
  <c r="AU22" i="43"/>
  <c r="AV22" i="43"/>
  <c r="AU22" i="70"/>
  <c r="AF28" i="71" s="1"/>
  <c r="AV22" i="70"/>
  <c r="AG28" i="71" s="1"/>
  <c r="AU22" i="46"/>
  <c r="AU22" i="50"/>
  <c r="AV22" i="50"/>
  <c r="AU21" i="55"/>
  <c r="AV21" i="55"/>
  <c r="AU22" i="40"/>
  <c r="AV22" i="40"/>
  <c r="AW22" i="58"/>
  <c r="AX22" i="58"/>
  <c r="AW22" i="43"/>
  <c r="AX22" i="43"/>
  <c r="AW22" i="70"/>
  <c r="AF29" i="71" s="1"/>
  <c r="AX22" i="70"/>
  <c r="AG29" i="71" s="1"/>
  <c r="AW22" i="46"/>
  <c r="AW22" i="50"/>
  <c r="AX22" i="50"/>
  <c r="AW22" i="40"/>
  <c r="AX22" i="40"/>
  <c r="AY22" i="58"/>
  <c r="AY22" i="43"/>
  <c r="AZ22" i="43"/>
  <c r="AY22" i="70"/>
  <c r="AF30" i="71" s="1"/>
  <c r="AZ22" i="70"/>
  <c r="AG30" i="71" s="1"/>
  <c r="AY22" i="46"/>
  <c r="AY22" i="50"/>
  <c r="AZ22" i="50"/>
  <c r="AY21" i="55"/>
  <c r="AZ21" i="55"/>
  <c r="AY22" i="40"/>
  <c r="AZ22" i="40"/>
  <c r="BB22" i="58"/>
  <c r="BA22" i="43"/>
  <c r="BB22" i="43"/>
  <c r="BA22" i="70"/>
  <c r="AF31" i="71" s="1"/>
  <c r="BB22" i="70"/>
  <c r="AG31" i="71" s="1"/>
  <c r="BA22" i="46"/>
  <c r="BA22" i="50"/>
  <c r="BB22" i="50"/>
  <c r="BA21" i="55"/>
  <c r="BB21" i="55"/>
  <c r="BA22" i="40"/>
  <c r="BB22" i="40"/>
  <c r="BC22" i="58"/>
  <c r="BC22" i="43"/>
  <c r="BD22" i="43"/>
  <c r="BC22" i="70"/>
  <c r="AF32" i="71" s="1"/>
  <c r="BD22" i="70"/>
  <c r="AG32" i="71" s="1"/>
  <c r="BC22" i="46"/>
  <c r="BC22" i="50"/>
  <c r="BD22" i="50"/>
  <c r="BC21" i="55"/>
  <c r="BD21" i="55"/>
  <c r="BC22" i="40"/>
  <c r="BD22" i="40"/>
  <c r="BE22" i="43"/>
  <c r="BF22" i="43"/>
  <c r="BE22" i="70"/>
  <c r="AF33" i="71" s="1"/>
  <c r="BF22" i="70"/>
  <c r="AG33" i="71" s="1"/>
  <c r="BE22" i="46"/>
  <c r="BE22" i="40"/>
  <c r="BF22" i="40"/>
  <c r="BG22" i="58"/>
  <c r="BH22" i="58"/>
  <c r="BG22" i="43"/>
  <c r="BH22" i="43"/>
  <c r="BG22" i="70"/>
  <c r="AF34" i="71" s="1"/>
  <c r="BH22" i="70"/>
  <c r="AG34" i="71" s="1"/>
  <c r="BG22" i="46"/>
  <c r="BG22" i="50"/>
  <c r="BH22" i="50"/>
  <c r="BG21" i="55"/>
  <c r="BH21" i="55"/>
  <c r="BG22" i="40"/>
  <c r="BH22" i="40"/>
  <c r="BI22" i="58"/>
  <c r="BJ22" i="58"/>
  <c r="BI22" i="43"/>
  <c r="BJ22" i="43"/>
  <c r="BI22" i="70"/>
  <c r="AF35" i="71" s="1"/>
  <c r="BJ22" i="70"/>
  <c r="AG35" i="71" s="1"/>
  <c r="BI22" i="46"/>
  <c r="BI22" i="50"/>
  <c r="BJ22" i="50"/>
  <c r="BI21" i="55"/>
  <c r="BJ21" i="55"/>
  <c r="BI22" i="40"/>
  <c r="BJ22" i="40"/>
  <c r="BK22" i="43"/>
  <c r="BL22" i="43"/>
  <c r="BK22" i="70"/>
  <c r="AF36" i="71" s="1"/>
  <c r="BL22" i="70"/>
  <c r="AG36" i="71" s="1"/>
  <c r="BK22" i="46"/>
  <c r="BL22" i="46"/>
  <c r="BK22" i="50"/>
  <c r="BK21" i="55"/>
  <c r="BL21" i="55"/>
  <c r="BK22" i="40"/>
  <c r="BL22" i="40"/>
  <c r="BM22" i="43"/>
  <c r="BN22" i="43"/>
  <c r="BM22" i="70"/>
  <c r="AF37" i="71" s="1"/>
  <c r="BN22" i="70"/>
  <c r="AG37" i="71" s="1"/>
  <c r="BM22" i="46"/>
  <c r="BN22" i="46"/>
  <c r="BM22" i="50"/>
  <c r="BM21" i="55"/>
  <c r="BN21" i="55"/>
  <c r="BM22" i="40"/>
  <c r="BN22" i="40"/>
  <c r="BO22" i="43"/>
  <c r="BP22" i="43"/>
  <c r="BO22" i="70"/>
  <c r="AF38" i="71" s="1"/>
  <c r="BP22" i="70"/>
  <c r="AG38" i="71" s="1"/>
  <c r="BO22" i="46"/>
  <c r="BP22" i="46"/>
  <c r="BO22" i="50"/>
  <c r="BO21" i="55"/>
  <c r="BP21" i="55"/>
  <c r="BO22" i="40"/>
  <c r="BP22" i="40"/>
  <c r="BQ22" i="43"/>
  <c r="BR22" i="43"/>
  <c r="BQ22" i="70"/>
  <c r="AF39" i="71" s="1"/>
  <c r="BR22" i="70"/>
  <c r="AG39" i="71" s="1"/>
  <c r="BQ22" i="46"/>
  <c r="BR22" i="46"/>
  <c r="BQ22" i="50"/>
  <c r="BQ22" i="40"/>
  <c r="BR22" i="40"/>
  <c r="BS22" i="43"/>
  <c r="BT22" i="43"/>
  <c r="BS22" i="70"/>
  <c r="AF40" i="71" s="1"/>
  <c r="BT22" i="70"/>
  <c r="AG40" i="71" s="1"/>
  <c r="BS22" i="46"/>
  <c r="BT22" i="46"/>
  <c r="BS22" i="50"/>
  <c r="BS21" i="55"/>
  <c r="BT21" i="55"/>
  <c r="BS22" i="40"/>
  <c r="BT22" i="40"/>
  <c r="BU22" i="43"/>
  <c r="BV22" i="43"/>
  <c r="BU22" i="70"/>
  <c r="AF41" i="71" s="1"/>
  <c r="BV22" i="70"/>
  <c r="AG41" i="71" s="1"/>
  <c r="BU22" i="46"/>
  <c r="BV22" i="46"/>
  <c r="BU22" i="50"/>
  <c r="BU21" i="55"/>
  <c r="BV21" i="55"/>
  <c r="BU22" i="40"/>
  <c r="BV22" i="40"/>
  <c r="BW22" i="43"/>
  <c r="BX22" i="43"/>
  <c r="BW22" i="70"/>
  <c r="AF42" i="71" s="1"/>
  <c r="BX22" i="70"/>
  <c r="AG42" i="71" s="1"/>
  <c r="BW22" i="46"/>
  <c r="BX22" i="46"/>
  <c r="BW22" i="50"/>
  <c r="BW21" i="55"/>
  <c r="BX21" i="55"/>
  <c r="BW22" i="40"/>
  <c r="BX22" i="40"/>
  <c r="BY22" i="43"/>
  <c r="BZ22" i="43"/>
  <c r="BY22" i="70"/>
  <c r="AF43" i="71" s="1"/>
  <c r="BZ22" i="70"/>
  <c r="AG43" i="71" s="1"/>
  <c r="BY22" i="46"/>
  <c r="BZ22" i="46"/>
  <c r="BY22" i="50"/>
  <c r="BY21" i="55"/>
  <c r="BZ21" i="55"/>
  <c r="BY22" i="40"/>
  <c r="BZ22" i="40"/>
  <c r="C23" i="43"/>
  <c r="AH6" i="44" s="1"/>
  <c r="D23" i="43"/>
  <c r="AI6" i="44" s="1"/>
  <c r="C23" i="70"/>
  <c r="AH6" i="71" s="1"/>
  <c r="D23" i="70"/>
  <c r="AI6" i="71" s="1"/>
  <c r="C23" i="46"/>
  <c r="D23" i="46"/>
  <c r="C23" i="50"/>
  <c r="D23" i="50"/>
  <c r="C23" i="55"/>
  <c r="D23" i="55"/>
  <c r="C23" i="40"/>
  <c r="D23" i="40"/>
  <c r="E23" i="43"/>
  <c r="AH7" i="44" s="1"/>
  <c r="F23" i="43"/>
  <c r="AI7" i="44" s="1"/>
  <c r="E23" i="70"/>
  <c r="AH7" i="71" s="1"/>
  <c r="F23" i="70"/>
  <c r="AI7" i="71" s="1"/>
  <c r="E23" i="46"/>
  <c r="E23" i="50"/>
  <c r="E23" i="55"/>
  <c r="H23" i="70"/>
  <c r="AI8" i="71" s="1"/>
  <c r="H23" i="46"/>
  <c r="H23" i="50"/>
  <c r="H23" i="55"/>
  <c r="I23" i="58"/>
  <c r="I23" i="43"/>
  <c r="J23" i="43"/>
  <c r="I23" i="70"/>
  <c r="AH9" i="71" s="1"/>
  <c r="J23" i="70"/>
  <c r="AI9" i="71" s="1"/>
  <c r="I23" i="46"/>
  <c r="J23" i="46"/>
  <c r="I23" i="50"/>
  <c r="J23" i="50"/>
  <c r="J22" i="55"/>
  <c r="K23" i="58"/>
  <c r="L23" i="58"/>
  <c r="K23" i="43"/>
  <c r="L23" i="43"/>
  <c r="K23" i="70"/>
  <c r="AH10" i="71" s="1"/>
  <c r="L23" i="70"/>
  <c r="AI10" i="71" s="1"/>
  <c r="K23" i="46"/>
  <c r="K23" i="50"/>
  <c r="L23" i="50"/>
  <c r="K22" i="55"/>
  <c r="L22" i="55"/>
  <c r="K23" i="40"/>
  <c r="L23" i="40"/>
  <c r="M23" i="43"/>
  <c r="N23" i="43"/>
  <c r="M23" i="70"/>
  <c r="AH11" i="71" s="1"/>
  <c r="N23" i="70"/>
  <c r="AI11" i="71" s="1"/>
  <c r="M23" i="46"/>
  <c r="N23" i="46"/>
  <c r="M23" i="50"/>
  <c r="N23" i="50"/>
  <c r="M22" i="55"/>
  <c r="N22" i="55"/>
  <c r="M23" i="40"/>
  <c r="N23" i="40"/>
  <c r="O23" i="58"/>
  <c r="P23" i="58"/>
  <c r="O23" i="43"/>
  <c r="P23" i="43"/>
  <c r="O23" i="70"/>
  <c r="AH12" i="71" s="1"/>
  <c r="P23" i="70"/>
  <c r="AI12" i="71" s="1"/>
  <c r="O23" i="46"/>
  <c r="P23" i="46"/>
  <c r="O23" i="50"/>
  <c r="P23" i="50"/>
  <c r="O22" i="55"/>
  <c r="P22" i="55"/>
  <c r="O23" i="40"/>
  <c r="P23" i="40"/>
  <c r="Q23" i="43"/>
  <c r="R23" i="43"/>
  <c r="Q23" i="70"/>
  <c r="AH13" i="71" s="1"/>
  <c r="R23" i="70"/>
  <c r="AI13" i="71" s="1"/>
  <c r="Q23" i="46"/>
  <c r="R23" i="46"/>
  <c r="Q23" i="50"/>
  <c r="R23" i="50"/>
  <c r="Q22" i="55"/>
  <c r="R22" i="55"/>
  <c r="Q23" i="40"/>
  <c r="R23" i="40"/>
  <c r="S23" i="43"/>
  <c r="T23" i="43"/>
  <c r="S23" i="70"/>
  <c r="AH14" i="71" s="1"/>
  <c r="T23" i="70"/>
  <c r="AI14" i="71" s="1"/>
  <c r="S23" i="46"/>
  <c r="T23" i="46"/>
  <c r="S23" i="50"/>
  <c r="T23" i="50"/>
  <c r="S22" i="55"/>
  <c r="T22" i="55"/>
  <c r="S23" i="40"/>
  <c r="T23" i="40"/>
  <c r="U23" i="58"/>
  <c r="V23" i="58"/>
  <c r="U23" i="43"/>
  <c r="V23" i="43"/>
  <c r="U23" i="70"/>
  <c r="AH15" i="71" s="1"/>
  <c r="V23" i="70"/>
  <c r="AI15" i="71" s="1"/>
  <c r="U23" i="46"/>
  <c r="V23" i="46"/>
  <c r="U23" i="50"/>
  <c r="V23" i="50"/>
  <c r="U23" i="40"/>
  <c r="V23" i="40"/>
  <c r="W23" i="58"/>
  <c r="X23" i="58"/>
  <c r="W23" i="43"/>
  <c r="X23" i="43"/>
  <c r="W23" i="70"/>
  <c r="AH16" i="71" s="1"/>
  <c r="X23" i="70"/>
  <c r="AI16" i="71" s="1"/>
  <c r="W23" i="46"/>
  <c r="W23" i="50"/>
  <c r="X23" i="50"/>
  <c r="W22" i="55"/>
  <c r="X22" i="55"/>
  <c r="W23" i="40"/>
  <c r="X23" i="40"/>
  <c r="Z23" i="58"/>
  <c r="Y23" i="43"/>
  <c r="Z23" i="43"/>
  <c r="Y23" i="70"/>
  <c r="AH17" i="71" s="1"/>
  <c r="Y23" i="46"/>
  <c r="Z23" i="46"/>
  <c r="Y23" i="50"/>
  <c r="Z23" i="50"/>
  <c r="Y23" i="55"/>
  <c r="Z23" i="55"/>
  <c r="Y23" i="40"/>
  <c r="Z23" i="40"/>
  <c r="AA23" i="58"/>
  <c r="AB23" i="58"/>
  <c r="AB23" i="43"/>
  <c r="AA23" i="70"/>
  <c r="AH18" i="71" s="1"/>
  <c r="AB23" i="70"/>
  <c r="AI18" i="71" s="1"/>
  <c r="AA23" i="46"/>
  <c r="AB23" i="46"/>
  <c r="AA23" i="50"/>
  <c r="AB23" i="50"/>
  <c r="AA22" i="55"/>
  <c r="AB22" i="55"/>
  <c r="AA23" i="40"/>
  <c r="AB23" i="40"/>
  <c r="AC23" i="43"/>
  <c r="AD23" i="43"/>
  <c r="AC23" i="70"/>
  <c r="AH19" i="71" s="1"/>
  <c r="AD23" i="70"/>
  <c r="AI19" i="71" s="1"/>
  <c r="AC23" i="46"/>
  <c r="AD23" i="46"/>
  <c r="AC23" i="50"/>
  <c r="AD23" i="50"/>
  <c r="AC22" i="55"/>
  <c r="AD22" i="55"/>
  <c r="AC23" i="40"/>
  <c r="AD23" i="40"/>
  <c r="AF23" i="58"/>
  <c r="AE23" i="43"/>
  <c r="AF23" i="43"/>
  <c r="AE23" i="70"/>
  <c r="AH20" i="71" s="1"/>
  <c r="AF23" i="70"/>
  <c r="AI20" i="71" s="1"/>
  <c r="AE23" i="46"/>
  <c r="AF23" i="46"/>
  <c r="AE23" i="50"/>
  <c r="AF23" i="50"/>
  <c r="AE22" i="55"/>
  <c r="AF22" i="55"/>
  <c r="AE23" i="40"/>
  <c r="AF23" i="40"/>
  <c r="AG23" i="43"/>
  <c r="AH23" i="43"/>
  <c r="AG23" i="70"/>
  <c r="AH21" i="71" s="1"/>
  <c r="AH23" i="70"/>
  <c r="AI21" i="71" s="1"/>
  <c r="AG23" i="46"/>
  <c r="AH23" i="46"/>
  <c r="AG23" i="50"/>
  <c r="AH23" i="50"/>
  <c r="AG22" i="55"/>
  <c r="AH22" i="55"/>
  <c r="AG23" i="40"/>
  <c r="AH23" i="40"/>
  <c r="AJ23" i="58"/>
  <c r="AI23" i="43"/>
  <c r="AJ23" i="43"/>
  <c r="AI23" i="70"/>
  <c r="AH22" i="71" s="1"/>
  <c r="AJ23" i="70"/>
  <c r="AI22" i="71" s="1"/>
  <c r="AI23" i="46"/>
  <c r="AJ23" i="46"/>
  <c r="AI23" i="50"/>
  <c r="AJ23" i="50"/>
  <c r="AI22" i="55"/>
  <c r="AJ22" i="55"/>
  <c r="AI23" i="40"/>
  <c r="AJ23" i="40"/>
  <c r="AL23" i="58"/>
  <c r="AK23" i="43"/>
  <c r="AL23" i="43"/>
  <c r="AK23" i="70"/>
  <c r="AH23" i="71" s="1"/>
  <c r="AL23" i="70"/>
  <c r="AI23" i="71" s="1"/>
  <c r="AK23" i="46"/>
  <c r="AL23" i="46"/>
  <c r="AK23" i="50"/>
  <c r="AL23" i="50"/>
  <c r="AK22" i="55"/>
  <c r="AL22" i="55"/>
  <c r="AK23" i="40"/>
  <c r="AL23" i="40"/>
  <c r="AM23" i="58"/>
  <c r="AN23" i="58"/>
  <c r="AN23" i="43"/>
  <c r="AM23" i="70"/>
  <c r="AH24" i="71" s="1"/>
  <c r="AN23" i="70"/>
  <c r="AI24" i="71" s="1"/>
  <c r="AM23" i="46"/>
  <c r="AN23" i="46"/>
  <c r="AM23" i="50"/>
  <c r="AN23" i="50"/>
  <c r="AM22" i="55"/>
  <c r="AN22" i="55"/>
  <c r="AM23" i="40"/>
  <c r="AN23" i="40"/>
  <c r="AO23" i="43"/>
  <c r="AP23" i="43"/>
  <c r="AO23" i="70"/>
  <c r="AH25" i="71" s="1"/>
  <c r="AP23" i="70"/>
  <c r="AI25" i="71" s="1"/>
  <c r="AO23" i="46"/>
  <c r="AP23" i="46"/>
  <c r="AO23" i="50"/>
  <c r="AP23" i="50"/>
  <c r="AO22" i="55"/>
  <c r="AP22" i="55"/>
  <c r="AQ23" i="43"/>
  <c r="AR23" i="43"/>
  <c r="AQ23" i="70"/>
  <c r="AH26" i="71" s="1"/>
  <c r="AR23" i="70"/>
  <c r="AI26" i="71" s="1"/>
  <c r="AQ23" i="46"/>
  <c r="AR23" i="46"/>
  <c r="AQ23" i="50"/>
  <c r="AR23" i="50"/>
  <c r="AQ22" i="55"/>
  <c r="AR22" i="55"/>
  <c r="AQ23" i="40"/>
  <c r="AR23" i="40"/>
  <c r="AS23" i="58"/>
  <c r="AT23" i="58"/>
  <c r="AS23" i="43"/>
  <c r="AT23" i="43"/>
  <c r="AS23" i="70"/>
  <c r="AH27" i="71" s="1"/>
  <c r="AT23" i="70"/>
  <c r="AI27" i="71" s="1"/>
  <c r="AS23" i="46"/>
  <c r="AT23" i="46"/>
  <c r="AS23" i="50"/>
  <c r="AT23" i="50"/>
  <c r="AS22" i="55"/>
  <c r="AT22" i="55"/>
  <c r="AS23" i="40"/>
  <c r="AT23" i="40"/>
  <c r="AU23" i="58"/>
  <c r="AV23" i="58"/>
  <c r="AU23" i="43"/>
  <c r="AV23" i="43"/>
  <c r="AU23" i="70"/>
  <c r="AH28" i="71" s="1"/>
  <c r="AV23" i="70"/>
  <c r="AI28" i="71" s="1"/>
  <c r="AU23" i="46"/>
  <c r="AU23" i="50"/>
  <c r="AV23" i="50"/>
  <c r="AU22" i="55"/>
  <c r="AV22" i="55"/>
  <c r="AU23" i="40"/>
  <c r="AV23" i="40"/>
  <c r="AW23" i="58"/>
  <c r="AX23" i="58"/>
  <c r="AW23" i="43"/>
  <c r="AX23" i="43"/>
  <c r="AX23" i="70"/>
  <c r="AI29" i="71" s="1"/>
  <c r="AW23" i="46"/>
  <c r="AX23" i="46"/>
  <c r="AW23" i="50"/>
  <c r="AX23" i="50"/>
  <c r="AW23" i="40"/>
  <c r="AX23" i="40"/>
  <c r="AZ23" i="58"/>
  <c r="AY23" i="43"/>
  <c r="AZ23" i="43"/>
  <c r="AY23" i="70"/>
  <c r="AH30" i="71" s="1"/>
  <c r="AZ23" i="70"/>
  <c r="AI30" i="71" s="1"/>
  <c r="AY23" i="46"/>
  <c r="AZ23" i="46"/>
  <c r="AY23" i="50"/>
  <c r="AZ23" i="50"/>
  <c r="AY22" i="55"/>
  <c r="AZ22" i="55"/>
  <c r="AY23" i="40"/>
  <c r="AZ23" i="40"/>
  <c r="BA23" i="43"/>
  <c r="BB23" i="43"/>
  <c r="BA23" i="70"/>
  <c r="AH31" i="71" s="1"/>
  <c r="BB23" i="70"/>
  <c r="AI31" i="71" s="1"/>
  <c r="BA23" i="46"/>
  <c r="BB23" i="46"/>
  <c r="BA23" i="50"/>
  <c r="BB23" i="50"/>
  <c r="BA22" i="55"/>
  <c r="BB22" i="55"/>
  <c r="BA23" i="40"/>
  <c r="BB23" i="40"/>
  <c r="BC23" i="43"/>
  <c r="BD23" i="43"/>
  <c r="BC23" i="70"/>
  <c r="AH32" i="71" s="1"/>
  <c r="BD23" i="70"/>
  <c r="AI32" i="71" s="1"/>
  <c r="BC23" i="46"/>
  <c r="BD23" i="46"/>
  <c r="BC23" i="50"/>
  <c r="BD23" i="50"/>
  <c r="BC22" i="55"/>
  <c r="BD22" i="55"/>
  <c r="BC23" i="40"/>
  <c r="BD23" i="40"/>
  <c r="BE23" i="58"/>
  <c r="BE23" i="43"/>
  <c r="BF23" i="43"/>
  <c r="BE23" i="70"/>
  <c r="AH33" i="71" s="1"/>
  <c r="BF23" i="70"/>
  <c r="AI33" i="71" s="1"/>
  <c r="BE23" i="46"/>
  <c r="BF23" i="46"/>
  <c r="BE23" i="40"/>
  <c r="BF23" i="40"/>
  <c r="BG23" i="43"/>
  <c r="BH23" i="43"/>
  <c r="BG23" i="70"/>
  <c r="AH34" i="71" s="1"/>
  <c r="BH23" i="70"/>
  <c r="AI34" i="71" s="1"/>
  <c r="BG23" i="46"/>
  <c r="BH23" i="46"/>
  <c r="BG23" i="50"/>
  <c r="BH23" i="50"/>
  <c r="BG22" i="55"/>
  <c r="BH22" i="55"/>
  <c r="BG23" i="40"/>
  <c r="BH23" i="40"/>
  <c r="BJ23" i="58"/>
  <c r="BI23" i="43"/>
  <c r="BJ23" i="43"/>
  <c r="BI23" i="70"/>
  <c r="AH35" i="71" s="1"/>
  <c r="BJ23" i="70"/>
  <c r="AI35" i="71" s="1"/>
  <c r="BI23" i="46"/>
  <c r="BJ23" i="46"/>
  <c r="BI23" i="50"/>
  <c r="BJ23" i="50"/>
  <c r="BI22" i="55"/>
  <c r="BJ22" i="55"/>
  <c r="BI23" i="40"/>
  <c r="BJ23" i="40"/>
  <c r="BK23" i="43"/>
  <c r="BL23" i="43"/>
  <c r="BK23" i="70"/>
  <c r="AH36" i="71" s="1"/>
  <c r="BL23" i="70"/>
  <c r="AI36" i="71" s="1"/>
  <c r="BK23" i="46"/>
  <c r="BL23" i="46"/>
  <c r="BK23" i="50"/>
  <c r="BL23" i="50"/>
  <c r="BK22" i="55"/>
  <c r="BL22" i="55"/>
  <c r="BK23" i="40"/>
  <c r="BL23" i="40"/>
  <c r="BM23" i="43"/>
  <c r="BN23" i="43"/>
  <c r="BM23" i="70"/>
  <c r="AH37" i="71" s="1"/>
  <c r="BN23" i="70"/>
  <c r="AI37" i="71" s="1"/>
  <c r="BM23" i="46"/>
  <c r="BN23" i="46"/>
  <c r="BM23" i="50"/>
  <c r="BN23" i="50"/>
  <c r="BM22" i="55"/>
  <c r="BN22" i="55"/>
  <c r="BM23" i="40"/>
  <c r="BN23" i="40"/>
  <c r="BO23" i="43"/>
  <c r="BP23" i="43"/>
  <c r="BO23" i="70"/>
  <c r="AH38" i="71" s="1"/>
  <c r="BP23" i="70"/>
  <c r="AI38" i="71" s="1"/>
  <c r="BO23" i="46"/>
  <c r="BP23" i="46"/>
  <c r="BO23" i="50"/>
  <c r="BP23" i="50"/>
  <c r="BO22" i="55"/>
  <c r="BP22" i="55"/>
  <c r="BO23" i="40"/>
  <c r="BP23" i="40"/>
  <c r="BQ23" i="43"/>
  <c r="BR23" i="43"/>
  <c r="BQ23" i="70"/>
  <c r="AH39" i="71" s="1"/>
  <c r="BR23" i="70"/>
  <c r="AI39" i="71" s="1"/>
  <c r="BQ23" i="46"/>
  <c r="BR23" i="46"/>
  <c r="BQ23" i="50"/>
  <c r="BR23" i="50"/>
  <c r="BQ23" i="40"/>
  <c r="BR23" i="40"/>
  <c r="BS23" i="43"/>
  <c r="BT23" i="43"/>
  <c r="BS23" i="70"/>
  <c r="AH40" i="71" s="1"/>
  <c r="BT23" i="70"/>
  <c r="AI40" i="71" s="1"/>
  <c r="BS23" i="46"/>
  <c r="BT23" i="46"/>
  <c r="BS23" i="50"/>
  <c r="BT23" i="50"/>
  <c r="BS22" i="55"/>
  <c r="BT22" i="55"/>
  <c r="BS23" i="40"/>
  <c r="BT23" i="40"/>
  <c r="BU23" i="43"/>
  <c r="BV23" i="43"/>
  <c r="BU23" i="70"/>
  <c r="AH41" i="71" s="1"/>
  <c r="BV23" i="70"/>
  <c r="AI41" i="71" s="1"/>
  <c r="BU23" i="46"/>
  <c r="BV23" i="46"/>
  <c r="BU23" i="50"/>
  <c r="BV23" i="50"/>
  <c r="BU22" i="55"/>
  <c r="BV22" i="55"/>
  <c r="BU23" i="40"/>
  <c r="BV23" i="40"/>
  <c r="BW23" i="43"/>
  <c r="BX23" i="43"/>
  <c r="BW23" i="70"/>
  <c r="AH42" i="71" s="1"/>
  <c r="BX23" i="70"/>
  <c r="AI42" i="71" s="1"/>
  <c r="BW23" i="46"/>
  <c r="BX23" i="46"/>
  <c r="BW23" i="50"/>
  <c r="BX23" i="50"/>
  <c r="BW22" i="55"/>
  <c r="BX22" i="55"/>
  <c r="BW23" i="40"/>
  <c r="BX23" i="40"/>
  <c r="BY23" i="43"/>
  <c r="BZ23" i="43"/>
  <c r="BY23" i="70"/>
  <c r="AH43" i="71" s="1"/>
  <c r="BZ23" i="70"/>
  <c r="AI43" i="71" s="1"/>
  <c r="BY23" i="46"/>
  <c r="BZ23" i="46"/>
  <c r="BY23" i="50"/>
  <c r="BZ23" i="50"/>
  <c r="BY22" i="55"/>
  <c r="BZ22" i="55"/>
  <c r="BY23" i="40"/>
  <c r="BZ23" i="40"/>
  <c r="C24" i="43"/>
  <c r="AJ6" i="44" s="1"/>
  <c r="D24" i="43"/>
  <c r="AK6" i="44" s="1"/>
  <c r="C24" i="70"/>
  <c r="AJ6" i="71" s="1"/>
  <c r="D24" i="70"/>
  <c r="AK6" i="71" s="1"/>
  <c r="C24" i="46"/>
  <c r="D24" i="46"/>
  <c r="C24" i="50"/>
  <c r="D24" i="50"/>
  <c r="C24" i="55"/>
  <c r="D24" i="55"/>
  <c r="C24" i="40"/>
  <c r="D24" i="40"/>
  <c r="E24" i="58"/>
  <c r="E24" i="43"/>
  <c r="AJ7" i="44" s="1"/>
  <c r="F24" i="43"/>
  <c r="AK7" i="44" s="1"/>
  <c r="E24" i="70"/>
  <c r="AJ7" i="71" s="1"/>
  <c r="F24" i="70"/>
  <c r="AK7" i="71" s="1"/>
  <c r="E24" i="46"/>
  <c r="E24" i="50"/>
  <c r="E24" i="55"/>
  <c r="H24" i="70"/>
  <c r="AK8" i="71" s="1"/>
  <c r="H24" i="46"/>
  <c r="H24" i="50"/>
  <c r="H24" i="55"/>
  <c r="I24" i="58"/>
  <c r="I24" i="43"/>
  <c r="J24" i="43"/>
  <c r="I24" i="70"/>
  <c r="AJ9" i="71" s="1"/>
  <c r="J24" i="70"/>
  <c r="AK9" i="71" s="1"/>
  <c r="I24" i="46"/>
  <c r="J24" i="46"/>
  <c r="I24" i="50"/>
  <c r="J24" i="50"/>
  <c r="J23" i="55"/>
  <c r="K24" i="58"/>
  <c r="L24" i="58"/>
  <c r="K24" i="43"/>
  <c r="L24" i="43"/>
  <c r="K24" i="70"/>
  <c r="AJ10" i="71" s="1"/>
  <c r="L24" i="70"/>
  <c r="AK10" i="71" s="1"/>
  <c r="K24" i="46"/>
  <c r="L24" i="46"/>
  <c r="K24" i="50"/>
  <c r="L24" i="50"/>
  <c r="K23" i="55"/>
  <c r="L23" i="55"/>
  <c r="K24" i="40"/>
  <c r="L24" i="40"/>
  <c r="M24" i="43"/>
  <c r="N24" i="43"/>
  <c r="M24" i="70"/>
  <c r="AJ11" i="71" s="1"/>
  <c r="N24" i="70"/>
  <c r="AK11" i="71" s="1"/>
  <c r="M24" i="46"/>
  <c r="N24" i="46"/>
  <c r="M24" i="50"/>
  <c r="N24" i="50"/>
  <c r="M23" i="55"/>
  <c r="N23" i="55"/>
  <c r="M24" i="40"/>
  <c r="N24" i="40"/>
  <c r="O24" i="58"/>
  <c r="P24" i="58"/>
  <c r="O24" i="43"/>
  <c r="P24" i="43"/>
  <c r="O24" i="70"/>
  <c r="AJ12" i="71" s="1"/>
  <c r="P24" i="70"/>
  <c r="AK12" i="71" s="1"/>
  <c r="O24" i="46"/>
  <c r="P24" i="46"/>
  <c r="O24" i="50"/>
  <c r="P24" i="50"/>
  <c r="O23" i="55"/>
  <c r="P23" i="55"/>
  <c r="O24" i="40"/>
  <c r="P24" i="40"/>
  <c r="Q24" i="43"/>
  <c r="R24" i="43"/>
  <c r="Q24" i="70"/>
  <c r="AJ13" i="71" s="1"/>
  <c r="R24" i="70"/>
  <c r="AK13" i="71" s="1"/>
  <c r="Q24" i="46"/>
  <c r="R24" i="46"/>
  <c r="Q24" i="50"/>
  <c r="R24" i="50"/>
  <c r="Q23" i="55"/>
  <c r="R23" i="55"/>
  <c r="Q24" i="40"/>
  <c r="R24" i="40"/>
  <c r="S24" i="43"/>
  <c r="T24" i="43"/>
  <c r="S24" i="70"/>
  <c r="AJ14" i="71" s="1"/>
  <c r="T24" i="70"/>
  <c r="AK14" i="71" s="1"/>
  <c r="S24" i="46"/>
  <c r="T24" i="46"/>
  <c r="S24" i="50"/>
  <c r="T24" i="50"/>
  <c r="S23" i="55"/>
  <c r="T23" i="55"/>
  <c r="S24" i="40"/>
  <c r="T24" i="40"/>
  <c r="V24" i="58"/>
  <c r="U24" i="43"/>
  <c r="V24" i="43"/>
  <c r="U24" i="70"/>
  <c r="AJ15" i="71" s="1"/>
  <c r="V24" i="70"/>
  <c r="AK15" i="71" s="1"/>
  <c r="U24" i="46"/>
  <c r="V24" i="46"/>
  <c r="U24" i="50"/>
  <c r="V24" i="50"/>
  <c r="U24" i="40"/>
  <c r="V24" i="40"/>
  <c r="W24" i="58"/>
  <c r="X24" i="58"/>
  <c r="W24" i="43"/>
  <c r="X24" i="43"/>
  <c r="W24" i="70"/>
  <c r="AJ16" i="71" s="1"/>
  <c r="X24" i="70"/>
  <c r="AK16" i="71" s="1"/>
  <c r="W24" i="46"/>
  <c r="X24" i="46"/>
  <c r="W24" i="50"/>
  <c r="X24" i="50"/>
  <c r="W23" i="55"/>
  <c r="X23" i="55"/>
  <c r="W24" i="40"/>
  <c r="X24" i="40"/>
  <c r="Y24" i="58"/>
  <c r="Y24" i="43"/>
  <c r="Z24" i="43"/>
  <c r="Y24" i="70"/>
  <c r="AJ17" i="71" s="1"/>
  <c r="Z24" i="70"/>
  <c r="AK17" i="71" s="1"/>
  <c r="Y24" i="46"/>
  <c r="Z24" i="46"/>
  <c r="Y24" i="50"/>
  <c r="Z24" i="50"/>
  <c r="Y24" i="55"/>
  <c r="Z24" i="55"/>
  <c r="Y24" i="40"/>
  <c r="Z24" i="40"/>
  <c r="AB24" i="58"/>
  <c r="AA24" i="43"/>
  <c r="AB24" i="43"/>
  <c r="AA24" i="70"/>
  <c r="AJ18" i="71" s="1"/>
  <c r="AB24" i="70"/>
  <c r="AK18" i="71" s="1"/>
  <c r="AA24" i="46"/>
  <c r="AB24" i="46"/>
  <c r="AA24" i="50"/>
  <c r="AB24" i="50"/>
  <c r="AA23" i="55"/>
  <c r="AB23" i="55"/>
  <c r="AA24" i="40"/>
  <c r="AB24" i="40"/>
  <c r="AC24" i="58"/>
  <c r="AD24" i="58"/>
  <c r="AC24" i="43"/>
  <c r="AD24" i="43"/>
  <c r="AC24" i="70"/>
  <c r="AJ19" i="71" s="1"/>
  <c r="AD24" i="70"/>
  <c r="AK19" i="71" s="1"/>
  <c r="AC24" i="46"/>
  <c r="AD24" i="46"/>
  <c r="AC24" i="50"/>
  <c r="AD24" i="50"/>
  <c r="AC23" i="55"/>
  <c r="AD23" i="55"/>
  <c r="AC24" i="40"/>
  <c r="AD24" i="40"/>
  <c r="AE24" i="58"/>
  <c r="AF24" i="58"/>
  <c r="AE24" i="43"/>
  <c r="AF24" i="43"/>
  <c r="AE24" i="70"/>
  <c r="AJ20" i="71" s="1"/>
  <c r="AF24" i="70"/>
  <c r="AK20" i="71" s="1"/>
  <c r="AE24" i="46"/>
  <c r="AF24" i="46"/>
  <c r="AE24" i="50"/>
  <c r="AF24" i="50"/>
  <c r="AE23" i="55"/>
  <c r="AF23" i="55"/>
  <c r="AE24" i="40"/>
  <c r="AF24" i="40"/>
  <c r="AH24" i="58"/>
  <c r="AG24" i="43"/>
  <c r="AH24" i="43"/>
  <c r="AG24" i="70"/>
  <c r="AJ21" i="71" s="1"/>
  <c r="AH24" i="70"/>
  <c r="AK21" i="71" s="1"/>
  <c r="AG24" i="46"/>
  <c r="AH24" i="46"/>
  <c r="AG24" i="50"/>
  <c r="AH24" i="50"/>
  <c r="AG23" i="55"/>
  <c r="AG24" i="40"/>
  <c r="AH24" i="40"/>
  <c r="AI24" i="43"/>
  <c r="AJ24" i="43"/>
  <c r="AI24" i="70"/>
  <c r="AJ22" i="71" s="1"/>
  <c r="AJ24" i="70"/>
  <c r="AK22" i="71" s="1"/>
  <c r="AI24" i="46"/>
  <c r="AJ24" i="46"/>
  <c r="AI24" i="50"/>
  <c r="AJ24" i="50"/>
  <c r="AI23" i="55"/>
  <c r="AJ23" i="55"/>
  <c r="AI24" i="40"/>
  <c r="AJ24" i="40"/>
  <c r="AK24" i="58"/>
  <c r="AL24" i="58"/>
  <c r="AK24" i="43"/>
  <c r="AL24" i="43"/>
  <c r="AK24" i="70"/>
  <c r="AJ23" i="71" s="1"/>
  <c r="AL24" i="70"/>
  <c r="AK23" i="71" s="1"/>
  <c r="AK24" i="46"/>
  <c r="AL24" i="46"/>
  <c r="AK24" i="50"/>
  <c r="AL24" i="50"/>
  <c r="AK23" i="55"/>
  <c r="AL23" i="55"/>
  <c r="AK24" i="40"/>
  <c r="AL24" i="40"/>
  <c r="AM24" i="58"/>
  <c r="AM24" i="43"/>
  <c r="AN24" i="43"/>
  <c r="AM24" i="70"/>
  <c r="AJ24" i="71" s="1"/>
  <c r="AN24" i="70"/>
  <c r="AK24" i="71" s="1"/>
  <c r="AM24" i="46"/>
  <c r="AN24" i="46"/>
  <c r="AM24" i="50"/>
  <c r="AN24" i="50"/>
  <c r="AM23" i="55"/>
  <c r="AN23" i="55"/>
  <c r="AM24" i="40"/>
  <c r="AN24" i="40"/>
  <c r="AO24" i="43"/>
  <c r="AP24" i="43"/>
  <c r="AO24" i="70"/>
  <c r="AJ25" i="71" s="1"/>
  <c r="AP24" i="70"/>
  <c r="AK25" i="71" s="1"/>
  <c r="AO24" i="46"/>
  <c r="AP24" i="46"/>
  <c r="AO24" i="50"/>
  <c r="AP24" i="50"/>
  <c r="AO23" i="55"/>
  <c r="AP23" i="55"/>
  <c r="AQ24" i="58"/>
  <c r="AR24" i="58"/>
  <c r="AQ24" i="43"/>
  <c r="AR24" i="43"/>
  <c r="AQ24" i="70"/>
  <c r="AJ26" i="71" s="1"/>
  <c r="AR24" i="70"/>
  <c r="AK26" i="71" s="1"/>
  <c r="AQ24" i="46"/>
  <c r="AR24" i="46"/>
  <c r="AQ24" i="50"/>
  <c r="AR24" i="50"/>
  <c r="AQ23" i="55"/>
  <c r="AR23" i="55"/>
  <c r="AQ24" i="40"/>
  <c r="AR24" i="40"/>
  <c r="AS24" i="43"/>
  <c r="AT24" i="43"/>
  <c r="AS24" i="70"/>
  <c r="AJ27" i="71" s="1"/>
  <c r="AT24" i="70"/>
  <c r="AK27" i="71" s="1"/>
  <c r="AS24" i="46"/>
  <c r="AT24" i="46"/>
  <c r="AS24" i="50"/>
  <c r="AT24" i="50"/>
  <c r="AS23" i="55"/>
  <c r="AT23" i="55"/>
  <c r="AS24" i="40"/>
  <c r="AT24" i="40"/>
  <c r="AU24" i="58"/>
  <c r="AV24" i="58"/>
  <c r="AU24" i="43"/>
  <c r="AV24" i="43"/>
  <c r="AU24" i="70"/>
  <c r="AJ28" i="71" s="1"/>
  <c r="AV24" i="70"/>
  <c r="AK28" i="71" s="1"/>
  <c r="AU24" i="46"/>
  <c r="AV24" i="46"/>
  <c r="AU24" i="50"/>
  <c r="AV24" i="50"/>
  <c r="AU23" i="55"/>
  <c r="AV23" i="55"/>
  <c r="AU24" i="40"/>
  <c r="AV24" i="40"/>
  <c r="AW24" i="58"/>
  <c r="AX24" i="58"/>
  <c r="AW24" i="43"/>
  <c r="AX24" i="43"/>
  <c r="AW24" i="70"/>
  <c r="AJ29" i="71" s="1"/>
  <c r="AX24" i="70"/>
  <c r="AK29" i="71" s="1"/>
  <c r="AW24" i="46"/>
  <c r="AX24" i="46"/>
  <c r="AW24" i="50"/>
  <c r="AX24" i="50"/>
  <c r="AW24" i="40"/>
  <c r="AX24" i="40"/>
  <c r="AY24" i="58"/>
  <c r="AZ24" i="58"/>
  <c r="AY24" i="43"/>
  <c r="AZ24" i="43"/>
  <c r="AY24" i="70"/>
  <c r="AJ30" i="71" s="1"/>
  <c r="AZ24" i="70"/>
  <c r="AK30" i="71" s="1"/>
  <c r="AY24" i="46"/>
  <c r="AZ24" i="46"/>
  <c r="AY24" i="50"/>
  <c r="AZ24" i="50"/>
  <c r="AY23" i="55"/>
  <c r="AZ23" i="55"/>
  <c r="AY24" i="40"/>
  <c r="AZ24" i="40"/>
  <c r="BA24" i="43"/>
  <c r="BB24" i="43"/>
  <c r="BA24" i="70"/>
  <c r="AJ31" i="71" s="1"/>
  <c r="BB24" i="70"/>
  <c r="AK31" i="71" s="1"/>
  <c r="BA24" i="46"/>
  <c r="BB24" i="46"/>
  <c r="BA24" i="50"/>
  <c r="BB24" i="50"/>
  <c r="BA23" i="55"/>
  <c r="BB23" i="55"/>
  <c r="BA24" i="40"/>
  <c r="BB24" i="40"/>
  <c r="BC24" i="43"/>
  <c r="BD24" i="43"/>
  <c r="BC24" i="70"/>
  <c r="AJ32" i="71" s="1"/>
  <c r="BD24" i="70"/>
  <c r="AK32" i="71" s="1"/>
  <c r="BC24" i="46"/>
  <c r="BD24" i="46"/>
  <c r="BC24" i="50"/>
  <c r="BD24" i="50"/>
  <c r="BC23" i="55"/>
  <c r="BD23" i="55"/>
  <c r="BC24" i="40"/>
  <c r="BD24" i="40"/>
  <c r="BF24" i="58"/>
  <c r="BE24" i="43"/>
  <c r="BF24" i="43"/>
  <c r="BE24" i="70"/>
  <c r="AJ33" i="71" s="1"/>
  <c r="BF24" i="70"/>
  <c r="AK33" i="71" s="1"/>
  <c r="BE24" i="46"/>
  <c r="BF24" i="46"/>
  <c r="BE24" i="40"/>
  <c r="BF24" i="40"/>
  <c r="BG24" i="58"/>
  <c r="BH24" i="58"/>
  <c r="BG24" i="43"/>
  <c r="BH24" i="43"/>
  <c r="BH24" i="70"/>
  <c r="AK34" i="71" s="1"/>
  <c r="BG24" i="46"/>
  <c r="BH24" i="46"/>
  <c r="BG24" i="50"/>
  <c r="BH24" i="50"/>
  <c r="BG23" i="55"/>
  <c r="BH23" i="55"/>
  <c r="BG24" i="40"/>
  <c r="BH24" i="40"/>
  <c r="BI24" i="58"/>
  <c r="BI24" i="43"/>
  <c r="BJ24" i="43"/>
  <c r="BI24" i="70"/>
  <c r="AJ35" i="71" s="1"/>
  <c r="BJ24" i="70"/>
  <c r="AK35" i="71" s="1"/>
  <c r="BI24" i="46"/>
  <c r="BJ24" i="46"/>
  <c r="BI24" i="50"/>
  <c r="BJ24" i="50"/>
  <c r="BI23" i="55"/>
  <c r="BJ23" i="55"/>
  <c r="BI24" i="40"/>
  <c r="BJ24" i="40"/>
  <c r="BK24" i="43"/>
  <c r="BL24" i="43"/>
  <c r="BK24" i="70"/>
  <c r="AJ36" i="71" s="1"/>
  <c r="BL24" i="70"/>
  <c r="AK36" i="71" s="1"/>
  <c r="BK24" i="46"/>
  <c r="BL24" i="46"/>
  <c r="BK24" i="50"/>
  <c r="BL24" i="50"/>
  <c r="BK23" i="55"/>
  <c r="BL23" i="55"/>
  <c r="BK24" i="40"/>
  <c r="BL24" i="40"/>
  <c r="BM24" i="43"/>
  <c r="BN24" i="43"/>
  <c r="BM24" i="70"/>
  <c r="AJ37" i="71" s="1"/>
  <c r="BN24" i="70"/>
  <c r="AK37" i="71" s="1"/>
  <c r="BM24" i="46"/>
  <c r="BN24" i="46"/>
  <c r="BM24" i="50"/>
  <c r="BN24" i="50"/>
  <c r="BM23" i="55"/>
  <c r="BN23" i="55"/>
  <c r="BM24" i="40"/>
  <c r="BN24" i="40"/>
  <c r="BO24" i="43"/>
  <c r="BP24" i="43"/>
  <c r="BO24" i="70"/>
  <c r="AJ38" i="71" s="1"/>
  <c r="BP24" i="70"/>
  <c r="AK38" i="71" s="1"/>
  <c r="BO24" i="46"/>
  <c r="BP24" i="46"/>
  <c r="BO24" i="50"/>
  <c r="BP24" i="50"/>
  <c r="BO23" i="55"/>
  <c r="BP23" i="55"/>
  <c r="BO24" i="40"/>
  <c r="BP24" i="40"/>
  <c r="BQ24" i="43"/>
  <c r="BR24" i="43"/>
  <c r="BQ24" i="70"/>
  <c r="AJ39" i="71" s="1"/>
  <c r="BR24" i="70"/>
  <c r="AK39" i="71" s="1"/>
  <c r="BQ24" i="46"/>
  <c r="BR24" i="46"/>
  <c r="BQ24" i="50"/>
  <c r="BR24" i="50"/>
  <c r="BQ24" i="40"/>
  <c r="BR24" i="40"/>
  <c r="BS24" i="43"/>
  <c r="BT24" i="43"/>
  <c r="BS24" i="70"/>
  <c r="AJ40" i="71" s="1"/>
  <c r="BT24" i="70"/>
  <c r="AK40" i="71" s="1"/>
  <c r="BS24" i="46"/>
  <c r="BT24" i="46"/>
  <c r="BS24" i="50"/>
  <c r="BT24" i="50"/>
  <c r="BS23" i="55"/>
  <c r="BT23" i="55"/>
  <c r="BS24" i="40"/>
  <c r="BT24" i="40"/>
  <c r="BU24" i="43"/>
  <c r="BV24" i="43"/>
  <c r="BU24" i="70"/>
  <c r="AJ41" i="71" s="1"/>
  <c r="BV24" i="70"/>
  <c r="AK41" i="71" s="1"/>
  <c r="BU24" i="46"/>
  <c r="BV24" i="46"/>
  <c r="BU24" i="50"/>
  <c r="BV24" i="50"/>
  <c r="BU23" i="55"/>
  <c r="BV23" i="55"/>
  <c r="BU24" i="40"/>
  <c r="BV24" i="40"/>
  <c r="BW24" i="43"/>
  <c r="BX24" i="43"/>
  <c r="BW24" i="70"/>
  <c r="AJ42" i="71" s="1"/>
  <c r="BX24" i="70"/>
  <c r="AK42" i="71" s="1"/>
  <c r="BW24" i="46"/>
  <c r="BX24" i="46"/>
  <c r="BW24" i="50"/>
  <c r="BX24" i="50"/>
  <c r="BW23" i="55"/>
  <c r="BX23" i="55"/>
  <c r="BW24" i="40"/>
  <c r="BX24" i="40"/>
  <c r="BY24" i="43"/>
  <c r="BZ24" i="43"/>
  <c r="BY24" i="70"/>
  <c r="AJ43" i="71" s="1"/>
  <c r="BZ24" i="70"/>
  <c r="AK43" i="71" s="1"/>
  <c r="BY24" i="46"/>
  <c r="BZ24" i="46"/>
  <c r="BY24" i="50"/>
  <c r="BZ24" i="50"/>
  <c r="BY23" i="55"/>
  <c r="BZ23" i="55"/>
  <c r="BY24" i="40"/>
  <c r="BZ24" i="40"/>
  <c r="C25" i="43"/>
  <c r="AL6" i="44" s="1"/>
  <c r="E10" i="45" s="1"/>
  <c r="D25" i="43"/>
  <c r="AM6" i="44" s="1"/>
  <c r="E58" i="45" s="1"/>
  <c r="C25" i="70"/>
  <c r="AL6" i="71" s="1"/>
  <c r="D25" i="70"/>
  <c r="AM6" i="71" s="1"/>
  <c r="C25" i="46"/>
  <c r="D25" i="46"/>
  <c r="C25" i="50"/>
  <c r="D25" i="50"/>
  <c r="C25" i="55"/>
  <c r="D25" i="55"/>
  <c r="C25" i="40"/>
  <c r="D25" i="40"/>
  <c r="F25" i="58"/>
  <c r="E25" i="43"/>
  <c r="AL7" i="44" s="1"/>
  <c r="E11" i="45" s="1"/>
  <c r="F25" i="43"/>
  <c r="AM7" i="44" s="1"/>
  <c r="E59" i="45" s="1"/>
  <c r="E25" i="70"/>
  <c r="AL7" i="71" s="1"/>
  <c r="F25" i="70"/>
  <c r="AM7" i="71" s="1"/>
  <c r="E25" i="46"/>
  <c r="E25" i="50"/>
  <c r="E25" i="55"/>
  <c r="H25" i="70"/>
  <c r="AM8" i="71" s="1"/>
  <c r="H25" i="46"/>
  <c r="H25" i="50"/>
  <c r="H25" i="55"/>
  <c r="I25" i="43"/>
  <c r="J25" i="43"/>
  <c r="I25" i="70"/>
  <c r="AL9" i="71" s="1"/>
  <c r="J25" i="70"/>
  <c r="AM9" i="71" s="1"/>
  <c r="I25" i="46"/>
  <c r="J25" i="46"/>
  <c r="I25" i="50"/>
  <c r="J25" i="50"/>
  <c r="J24" i="55"/>
  <c r="K25" i="43"/>
  <c r="L25" i="43"/>
  <c r="K25" i="70"/>
  <c r="AL10" i="71" s="1"/>
  <c r="L25" i="70"/>
  <c r="AM10" i="71" s="1"/>
  <c r="K25" i="46"/>
  <c r="L25" i="46"/>
  <c r="K25" i="50"/>
  <c r="L25" i="50"/>
  <c r="K24" i="55"/>
  <c r="L24" i="55"/>
  <c r="K25" i="40"/>
  <c r="L25" i="40"/>
  <c r="M25" i="43"/>
  <c r="N25" i="43"/>
  <c r="M25" i="70"/>
  <c r="AL11" i="71" s="1"/>
  <c r="N25" i="70"/>
  <c r="AM11" i="71" s="1"/>
  <c r="M25" i="46"/>
  <c r="N25" i="46"/>
  <c r="M25" i="50"/>
  <c r="N25" i="50"/>
  <c r="M24" i="55"/>
  <c r="N24" i="55"/>
  <c r="M25" i="40"/>
  <c r="N25" i="40"/>
  <c r="O25" i="58"/>
  <c r="P25" i="58"/>
  <c r="O25" i="43"/>
  <c r="P25" i="43"/>
  <c r="O25" i="70"/>
  <c r="AL12" i="71" s="1"/>
  <c r="P25" i="70"/>
  <c r="AM12" i="71" s="1"/>
  <c r="O25" i="46"/>
  <c r="P25" i="46"/>
  <c r="O25" i="50"/>
  <c r="P25" i="50"/>
  <c r="O24" i="55"/>
  <c r="P24" i="55"/>
  <c r="O25" i="40"/>
  <c r="P25" i="40"/>
  <c r="R25" i="58"/>
  <c r="Q25" i="43"/>
  <c r="R25" i="43"/>
  <c r="Q25" i="70"/>
  <c r="AL13" i="71" s="1"/>
  <c r="R25" i="70"/>
  <c r="AM13" i="71" s="1"/>
  <c r="Q25" i="46"/>
  <c r="Q25" i="50"/>
  <c r="R25" i="50"/>
  <c r="Q24" i="55"/>
  <c r="R24" i="55"/>
  <c r="Q25" i="40"/>
  <c r="R25" i="40"/>
  <c r="T25" i="58"/>
  <c r="S25" i="43"/>
  <c r="T25" i="43"/>
  <c r="S25" i="70"/>
  <c r="AL14" i="71" s="1"/>
  <c r="T25" i="70"/>
  <c r="AM14" i="71" s="1"/>
  <c r="S25" i="46"/>
  <c r="T25" i="46"/>
  <c r="S25" i="50"/>
  <c r="T25" i="50"/>
  <c r="S24" i="55"/>
  <c r="T24" i="55"/>
  <c r="S25" i="40"/>
  <c r="T25" i="40"/>
  <c r="U25" i="58"/>
  <c r="V25" i="58"/>
  <c r="U25" i="43"/>
  <c r="V25" i="43"/>
  <c r="U25" i="70"/>
  <c r="AL15" i="71" s="1"/>
  <c r="V25" i="70"/>
  <c r="AM15" i="71" s="1"/>
  <c r="U25" i="46"/>
  <c r="V25" i="46"/>
  <c r="U25" i="50"/>
  <c r="V25" i="50"/>
  <c r="U25" i="40"/>
  <c r="V25" i="40"/>
  <c r="W25" i="43"/>
  <c r="X25" i="43"/>
  <c r="W25" i="70"/>
  <c r="AL16" i="71" s="1"/>
  <c r="X25" i="70"/>
  <c r="AM16" i="71" s="1"/>
  <c r="W25" i="46"/>
  <c r="X25" i="46"/>
  <c r="W25" i="50"/>
  <c r="X25" i="50"/>
  <c r="W24" i="55"/>
  <c r="X24" i="55"/>
  <c r="W25" i="40"/>
  <c r="X25" i="40"/>
  <c r="Y25" i="43"/>
  <c r="Z25" i="43"/>
  <c r="Y25" i="70"/>
  <c r="AL17" i="71" s="1"/>
  <c r="Z25" i="70"/>
  <c r="AM17" i="71" s="1"/>
  <c r="Y25" i="46"/>
  <c r="Z25" i="46"/>
  <c r="Y25" i="50"/>
  <c r="Z25" i="50"/>
  <c r="Y25" i="55"/>
  <c r="Z25" i="55"/>
  <c r="Y25" i="40"/>
  <c r="Z25" i="40"/>
  <c r="AA25" i="58"/>
  <c r="AB25" i="58"/>
  <c r="AA25" i="43"/>
  <c r="AB25" i="43"/>
  <c r="AA25" i="70"/>
  <c r="AL18" i="71" s="1"/>
  <c r="AB25" i="70"/>
  <c r="AM18" i="71" s="1"/>
  <c r="AA25" i="46"/>
  <c r="AB25" i="46"/>
  <c r="AA25" i="50"/>
  <c r="AB25" i="50"/>
  <c r="AA24" i="55"/>
  <c r="AB24" i="55"/>
  <c r="AA25" i="40"/>
  <c r="AB25" i="40"/>
  <c r="AC25" i="43"/>
  <c r="AD25" i="43"/>
  <c r="AC25" i="70"/>
  <c r="AL19" i="71" s="1"/>
  <c r="AD25" i="70"/>
  <c r="AM19" i="71" s="1"/>
  <c r="AC25" i="46"/>
  <c r="AD25" i="46"/>
  <c r="AC25" i="50"/>
  <c r="AD25" i="50"/>
  <c r="AC24" i="55"/>
  <c r="AD24" i="55"/>
  <c r="AC25" i="40"/>
  <c r="AD25" i="40"/>
  <c r="AE25" i="58"/>
  <c r="AF25" i="58"/>
  <c r="AE25" i="43"/>
  <c r="AF25" i="43"/>
  <c r="AE25" i="46"/>
  <c r="AF25" i="46"/>
  <c r="AE25" i="50"/>
  <c r="AF25" i="50"/>
  <c r="AE24" i="55"/>
  <c r="AF24" i="55"/>
  <c r="AE25" i="40"/>
  <c r="AF25" i="40"/>
  <c r="AG25" i="58"/>
  <c r="AH25" i="43"/>
  <c r="AG25" i="70"/>
  <c r="AL21" i="71" s="1"/>
  <c r="AH25" i="70"/>
  <c r="AM21" i="71" s="1"/>
  <c r="AG25" i="46"/>
  <c r="AH25" i="46"/>
  <c r="AG25" i="50"/>
  <c r="AH25" i="50"/>
  <c r="AG24" i="55"/>
  <c r="AH24" i="55"/>
  <c r="AG25" i="40"/>
  <c r="AH25" i="40"/>
  <c r="AI25" i="43"/>
  <c r="AJ25" i="43"/>
  <c r="AI25" i="70"/>
  <c r="AL22" i="71" s="1"/>
  <c r="AJ25" i="70"/>
  <c r="AM22" i="71" s="1"/>
  <c r="AI25" i="46"/>
  <c r="AJ25" i="46"/>
  <c r="AI25" i="50"/>
  <c r="AJ25" i="50"/>
  <c r="AI24" i="55"/>
  <c r="AJ24" i="55"/>
  <c r="AI25" i="40"/>
  <c r="AJ25" i="40"/>
  <c r="AK25" i="43"/>
  <c r="AL25" i="43"/>
  <c r="AK25" i="70"/>
  <c r="AL23" i="71" s="1"/>
  <c r="AL25" i="70"/>
  <c r="AM23" i="71" s="1"/>
  <c r="AK25" i="46"/>
  <c r="AL25" i="46"/>
  <c r="AK25" i="50"/>
  <c r="AL25" i="50"/>
  <c r="AK24" i="55"/>
  <c r="AL24" i="55"/>
  <c r="AK25" i="40"/>
  <c r="AL25" i="40"/>
  <c r="AM25" i="43"/>
  <c r="AN25" i="43"/>
  <c r="AM25" i="70"/>
  <c r="AL24" i="71" s="1"/>
  <c r="AN25" i="70"/>
  <c r="AM24" i="71" s="1"/>
  <c r="AM25" i="46"/>
  <c r="AN25" i="46"/>
  <c r="AM25" i="50"/>
  <c r="AN25" i="50"/>
  <c r="AM24" i="55"/>
  <c r="AN24" i="55"/>
  <c r="AM25" i="40"/>
  <c r="AN25" i="40"/>
  <c r="AO25" i="43"/>
  <c r="AP25" i="43"/>
  <c r="AO25" i="70"/>
  <c r="AL25" i="71" s="1"/>
  <c r="AP25" i="70"/>
  <c r="AM25" i="71" s="1"/>
  <c r="AO25" i="46"/>
  <c r="AP25" i="46"/>
  <c r="AO25" i="50"/>
  <c r="AP25" i="50"/>
  <c r="AO24" i="55"/>
  <c r="AP24" i="55"/>
  <c r="AQ25" i="58"/>
  <c r="AQ25" i="43"/>
  <c r="AR25" i="43"/>
  <c r="AQ25" i="70"/>
  <c r="AL26" i="71" s="1"/>
  <c r="AR25" i="70"/>
  <c r="AM26" i="71" s="1"/>
  <c r="AQ25" i="46"/>
  <c r="AR25" i="46"/>
  <c r="AQ25" i="50"/>
  <c r="AR25" i="50"/>
  <c r="AQ24" i="55"/>
  <c r="AR24" i="55"/>
  <c r="AQ25" i="40"/>
  <c r="AR25" i="40"/>
  <c r="AS25" i="43"/>
  <c r="AT25" i="43"/>
  <c r="AS25" i="70"/>
  <c r="AL27" i="71" s="1"/>
  <c r="AT25" i="70"/>
  <c r="AM27" i="71" s="1"/>
  <c r="AS25" i="46"/>
  <c r="AT25" i="46"/>
  <c r="AS25" i="50"/>
  <c r="AT25" i="50"/>
  <c r="AS24" i="55"/>
  <c r="AT24" i="55"/>
  <c r="AS25" i="40"/>
  <c r="AT25" i="40"/>
  <c r="AU25" i="43"/>
  <c r="AV25" i="43"/>
  <c r="AU25" i="70"/>
  <c r="AL28" i="71" s="1"/>
  <c r="AV25" i="70"/>
  <c r="AM28" i="71" s="1"/>
  <c r="AU25" i="46"/>
  <c r="AV25" i="46"/>
  <c r="AU25" i="50"/>
  <c r="AV25" i="50"/>
  <c r="AU24" i="55"/>
  <c r="AV24" i="55"/>
  <c r="AU25" i="40"/>
  <c r="AV25" i="40"/>
  <c r="AW25" i="43"/>
  <c r="AX25" i="43"/>
  <c r="AW25" i="70"/>
  <c r="AL29" i="71" s="1"/>
  <c r="AX25" i="70"/>
  <c r="AM29" i="71" s="1"/>
  <c r="AW25" i="46"/>
  <c r="AX25" i="46"/>
  <c r="AW25" i="50"/>
  <c r="AX25" i="50"/>
  <c r="AW25" i="40"/>
  <c r="AX25" i="40"/>
  <c r="AY25" i="58"/>
  <c r="AZ25" i="58"/>
  <c r="AY25" i="43"/>
  <c r="AZ25" i="43"/>
  <c r="AY25" i="70"/>
  <c r="AL30" i="71" s="1"/>
  <c r="AZ25" i="70"/>
  <c r="AM30" i="71" s="1"/>
  <c r="AY25" i="46"/>
  <c r="AZ25" i="46"/>
  <c r="AY25" i="50"/>
  <c r="AZ25" i="50"/>
  <c r="AY24" i="55"/>
  <c r="AZ24" i="55"/>
  <c r="AY25" i="40"/>
  <c r="AZ25" i="40"/>
  <c r="BB25" i="58"/>
  <c r="BA25" i="43"/>
  <c r="BB25" i="43"/>
  <c r="BA25" i="70"/>
  <c r="AL31" i="71" s="1"/>
  <c r="BB25" i="70"/>
  <c r="AM31" i="71" s="1"/>
  <c r="BA25" i="46"/>
  <c r="BB25" i="46"/>
  <c r="BA25" i="50"/>
  <c r="BB25" i="50"/>
  <c r="BA24" i="55"/>
  <c r="BB24" i="55"/>
  <c r="BA25" i="40"/>
  <c r="BB25" i="40"/>
  <c r="BD25" i="58"/>
  <c r="BC25" i="43"/>
  <c r="BD25" i="43"/>
  <c r="BC25" i="70"/>
  <c r="AL32" i="71" s="1"/>
  <c r="BD25" i="70"/>
  <c r="AM32" i="71" s="1"/>
  <c r="BC25" i="46"/>
  <c r="BD25" i="46"/>
  <c r="BC25" i="50"/>
  <c r="BD25" i="50"/>
  <c r="BC24" i="55"/>
  <c r="BD24" i="55"/>
  <c r="BC25" i="40"/>
  <c r="BD25" i="40"/>
  <c r="BE25" i="58"/>
  <c r="BF25" i="58"/>
  <c r="BE25" i="43"/>
  <c r="BF25" i="43"/>
  <c r="BE25" i="70"/>
  <c r="AL33" i="71" s="1"/>
  <c r="BF25" i="70"/>
  <c r="AM33" i="71" s="1"/>
  <c r="BE25" i="46"/>
  <c r="BF25" i="46"/>
  <c r="BE25" i="40"/>
  <c r="BF25" i="40"/>
  <c r="BG25" i="43"/>
  <c r="BH25" i="43"/>
  <c r="BG25" i="70"/>
  <c r="AL34" i="71" s="1"/>
  <c r="BH25" i="70"/>
  <c r="AM34" i="71" s="1"/>
  <c r="BG25" i="46"/>
  <c r="BH25" i="46"/>
  <c r="BG25" i="50"/>
  <c r="BH25" i="50"/>
  <c r="BG24" i="55"/>
  <c r="BH24" i="55"/>
  <c r="BG25" i="40"/>
  <c r="BH25" i="40"/>
  <c r="BI25" i="58"/>
  <c r="BI25" i="43"/>
  <c r="BJ25" i="43"/>
  <c r="BI25" i="70"/>
  <c r="AL35" i="71" s="1"/>
  <c r="BJ25" i="70"/>
  <c r="AM35" i="71" s="1"/>
  <c r="BI25" i="46"/>
  <c r="BJ25" i="46"/>
  <c r="BI25" i="50"/>
  <c r="BJ25" i="50"/>
  <c r="BI24" i="55"/>
  <c r="BJ24" i="55"/>
  <c r="BI25" i="40"/>
  <c r="BJ25" i="40"/>
  <c r="BK25" i="43"/>
  <c r="BL25" i="43"/>
  <c r="BK25" i="70"/>
  <c r="AL36" i="71" s="1"/>
  <c r="BL25" i="70"/>
  <c r="AM36" i="71" s="1"/>
  <c r="BK25" i="46"/>
  <c r="BL25" i="46"/>
  <c r="BK25" i="50"/>
  <c r="BL25" i="50"/>
  <c r="BK24" i="55"/>
  <c r="BL24" i="55"/>
  <c r="BK25" i="40"/>
  <c r="BL25" i="40"/>
  <c r="BM25" i="43"/>
  <c r="BN25" i="43"/>
  <c r="BM25" i="70"/>
  <c r="AL37" i="71" s="1"/>
  <c r="BN25" i="70"/>
  <c r="AM37" i="71" s="1"/>
  <c r="BM25" i="46"/>
  <c r="BN25" i="46"/>
  <c r="BM25" i="50"/>
  <c r="BN25" i="50"/>
  <c r="BM24" i="55"/>
  <c r="BN24" i="55"/>
  <c r="BM25" i="40"/>
  <c r="BN25" i="40"/>
  <c r="BO25" i="43"/>
  <c r="BP25" i="43"/>
  <c r="BO25" i="70"/>
  <c r="AL38" i="71" s="1"/>
  <c r="BP25" i="70"/>
  <c r="AM38" i="71" s="1"/>
  <c r="BO25" i="46"/>
  <c r="BP25" i="46"/>
  <c r="BO25" i="50"/>
  <c r="BP25" i="50"/>
  <c r="BO24" i="55"/>
  <c r="BP24" i="55"/>
  <c r="BO25" i="40"/>
  <c r="BP25" i="40"/>
  <c r="BQ25" i="43"/>
  <c r="BR25" i="43"/>
  <c r="BQ25" i="70"/>
  <c r="AL39" i="71" s="1"/>
  <c r="BR25" i="70"/>
  <c r="AM39" i="71" s="1"/>
  <c r="BQ25" i="46"/>
  <c r="BR25" i="46"/>
  <c r="BQ25" i="50"/>
  <c r="BR25" i="50"/>
  <c r="BQ25" i="40"/>
  <c r="BR25" i="40"/>
  <c r="BS25" i="43"/>
  <c r="BT25" i="43"/>
  <c r="BS25" i="70"/>
  <c r="AL40" i="71" s="1"/>
  <c r="BT25" i="70"/>
  <c r="AM40" i="71" s="1"/>
  <c r="BS25" i="46"/>
  <c r="BT25" i="46"/>
  <c r="BS25" i="50"/>
  <c r="BT25" i="50"/>
  <c r="BS24" i="55"/>
  <c r="BT24" i="55"/>
  <c r="BS25" i="40"/>
  <c r="BT25" i="40"/>
  <c r="BU25" i="43"/>
  <c r="BV25" i="43"/>
  <c r="BU25" i="70"/>
  <c r="AL41" i="71" s="1"/>
  <c r="BV25" i="70"/>
  <c r="AM41" i="71" s="1"/>
  <c r="BU25" i="46"/>
  <c r="BV25" i="46"/>
  <c r="BU25" i="50"/>
  <c r="BV25" i="50"/>
  <c r="BU24" i="55"/>
  <c r="BV24" i="55"/>
  <c r="BU25" i="40"/>
  <c r="BV25" i="40"/>
  <c r="BW25" i="43"/>
  <c r="BX25" i="43"/>
  <c r="BW25" i="70"/>
  <c r="AL42" i="71" s="1"/>
  <c r="BX25" i="70"/>
  <c r="AM42" i="71" s="1"/>
  <c r="BW25" i="46"/>
  <c r="BX25" i="46"/>
  <c r="BW25" i="50"/>
  <c r="BX25" i="50"/>
  <c r="BW24" i="55"/>
  <c r="BX24" i="55"/>
  <c r="BW25" i="40"/>
  <c r="BX25" i="40"/>
  <c r="BY25" i="43"/>
  <c r="BZ25" i="43"/>
  <c r="BY25" i="70"/>
  <c r="AL43" i="71" s="1"/>
  <c r="BZ25" i="70"/>
  <c r="AM43" i="71" s="1"/>
  <c r="BY25" i="46"/>
  <c r="BZ25" i="46"/>
  <c r="BY25" i="50"/>
  <c r="BZ25" i="50"/>
  <c r="BY24" i="55"/>
  <c r="BZ24" i="55"/>
  <c r="BY25" i="40"/>
  <c r="BZ25" i="40"/>
  <c r="D26" i="58"/>
  <c r="C26" i="43"/>
  <c r="AN6" i="44" s="1"/>
  <c r="I10" i="45" s="1"/>
  <c r="D26" i="43"/>
  <c r="AO6" i="44" s="1"/>
  <c r="I58" i="45" s="1"/>
  <c r="C26" i="70"/>
  <c r="AN6" i="71" s="1"/>
  <c r="D26" i="70"/>
  <c r="AO6" i="71" s="1"/>
  <c r="C26" i="46"/>
  <c r="D26" i="46"/>
  <c r="C26" i="50"/>
  <c r="D26" i="50"/>
  <c r="C26" i="55"/>
  <c r="D26" i="55"/>
  <c r="C26" i="40"/>
  <c r="D26" i="40"/>
  <c r="E26" i="58"/>
  <c r="F26" i="58"/>
  <c r="E26" i="43"/>
  <c r="AN7" i="44" s="1"/>
  <c r="I11" i="45" s="1"/>
  <c r="F26" i="43"/>
  <c r="AO7" i="44" s="1"/>
  <c r="I59" i="45" s="1"/>
  <c r="E26" i="70"/>
  <c r="AN7" i="71" s="1"/>
  <c r="F26" i="70"/>
  <c r="AO7" i="71" s="1"/>
  <c r="E26" i="46"/>
  <c r="E26" i="50"/>
  <c r="E26" i="55"/>
  <c r="H26" i="70"/>
  <c r="AO8" i="71" s="1"/>
  <c r="H26" i="46"/>
  <c r="H26" i="50"/>
  <c r="H26" i="55"/>
  <c r="I26" i="58"/>
  <c r="I26" i="43"/>
  <c r="J26" i="43"/>
  <c r="I26" i="70"/>
  <c r="AN9" i="71" s="1"/>
  <c r="J26" i="70"/>
  <c r="AO9" i="71" s="1"/>
  <c r="I26" i="46"/>
  <c r="J26" i="46"/>
  <c r="I26" i="50"/>
  <c r="J26" i="50"/>
  <c r="J25" i="55"/>
  <c r="K26" i="43"/>
  <c r="L26" i="43"/>
  <c r="K26" i="70"/>
  <c r="AN10" i="71" s="1"/>
  <c r="L26" i="70"/>
  <c r="AO10" i="71" s="1"/>
  <c r="K26" i="46"/>
  <c r="L26" i="46"/>
  <c r="K26" i="50"/>
  <c r="L26" i="50"/>
  <c r="K25" i="55"/>
  <c r="L25" i="55"/>
  <c r="K26" i="40"/>
  <c r="L26" i="40"/>
  <c r="N26" i="58"/>
  <c r="M26" i="43"/>
  <c r="N26" i="43"/>
  <c r="M26" i="70"/>
  <c r="AN11" i="71" s="1"/>
  <c r="N26" i="70"/>
  <c r="AO11" i="71" s="1"/>
  <c r="M26" i="46"/>
  <c r="N26" i="46"/>
  <c r="M26" i="50"/>
  <c r="N26" i="50"/>
  <c r="M25" i="55"/>
  <c r="N25" i="55"/>
  <c r="M26" i="40"/>
  <c r="N26" i="40"/>
  <c r="O26" i="58"/>
  <c r="P26" i="58"/>
  <c r="O26" i="43"/>
  <c r="P26" i="43"/>
  <c r="O26" i="70"/>
  <c r="AN12" i="71" s="1"/>
  <c r="P26" i="70"/>
  <c r="AO12" i="71" s="1"/>
  <c r="O26" i="46"/>
  <c r="P26" i="46"/>
  <c r="O26" i="50"/>
  <c r="P26" i="50"/>
  <c r="P25" i="55"/>
  <c r="O26" i="40"/>
  <c r="P26" i="40"/>
  <c r="Q26" i="58"/>
  <c r="R26" i="58"/>
  <c r="Q26" i="43"/>
  <c r="R26" i="43"/>
  <c r="Q26" i="70"/>
  <c r="AN13" i="71" s="1"/>
  <c r="R26" i="70"/>
  <c r="AO13" i="71" s="1"/>
  <c r="Q26" i="46"/>
  <c r="R26" i="46"/>
  <c r="Q26" i="50"/>
  <c r="R26" i="50"/>
  <c r="Q25" i="55"/>
  <c r="R25" i="55"/>
  <c r="Q26" i="40"/>
  <c r="R26" i="40"/>
  <c r="S26" i="43"/>
  <c r="T26" i="43"/>
  <c r="S26" i="70"/>
  <c r="AN14" i="71" s="1"/>
  <c r="T26" i="70"/>
  <c r="AO14" i="71" s="1"/>
  <c r="S26" i="46"/>
  <c r="T26" i="46"/>
  <c r="S26" i="50"/>
  <c r="T26" i="50"/>
  <c r="S25" i="55"/>
  <c r="T25" i="55"/>
  <c r="S26" i="40"/>
  <c r="T26" i="40"/>
  <c r="U26" i="43"/>
  <c r="V26" i="43"/>
  <c r="U26" i="70"/>
  <c r="AN15" i="71" s="1"/>
  <c r="V26" i="70"/>
  <c r="AO15" i="71" s="1"/>
  <c r="U26" i="46"/>
  <c r="V26" i="46"/>
  <c r="U26" i="50"/>
  <c r="V26" i="50"/>
  <c r="U26" i="40"/>
  <c r="V26" i="40"/>
  <c r="W26" i="43"/>
  <c r="X26" i="43"/>
  <c r="W26" i="70"/>
  <c r="AN16" i="71" s="1"/>
  <c r="X26" i="70"/>
  <c r="AO16" i="71" s="1"/>
  <c r="W26" i="46"/>
  <c r="X26" i="46"/>
  <c r="W26" i="50"/>
  <c r="X26" i="50"/>
  <c r="W25" i="55"/>
  <c r="X25" i="55"/>
  <c r="W26" i="40"/>
  <c r="X26" i="40"/>
  <c r="Z26" i="58"/>
  <c r="Y26" i="43"/>
  <c r="Z26" i="43"/>
  <c r="Y26" i="70"/>
  <c r="AN17" i="71" s="1"/>
  <c r="Z26" i="70"/>
  <c r="AO17" i="71" s="1"/>
  <c r="Y26" i="46"/>
  <c r="Z26" i="46"/>
  <c r="Y26" i="50"/>
  <c r="Z26" i="50"/>
  <c r="Y26" i="55"/>
  <c r="Z26" i="55"/>
  <c r="Y26" i="40"/>
  <c r="Z26" i="40"/>
  <c r="AA26" i="58"/>
  <c r="AB26" i="58"/>
  <c r="AA26" i="43"/>
  <c r="AB26" i="43"/>
  <c r="AA26" i="70"/>
  <c r="AN18" i="71" s="1"/>
  <c r="AB26" i="70"/>
  <c r="AO18" i="71" s="1"/>
  <c r="AA26" i="46"/>
  <c r="AB26" i="46"/>
  <c r="AA26" i="50"/>
  <c r="AB26" i="50"/>
  <c r="AB25" i="55"/>
  <c r="AA26" i="40"/>
  <c r="AB26" i="40"/>
  <c r="AC26" i="58"/>
  <c r="AD26" i="58"/>
  <c r="AC26" i="43"/>
  <c r="AD26" i="43"/>
  <c r="AC26" i="70"/>
  <c r="AN19" i="71" s="1"/>
  <c r="AD26" i="70"/>
  <c r="AO19" i="71" s="1"/>
  <c r="AC26" i="46"/>
  <c r="AD26" i="46"/>
  <c r="AC26" i="50"/>
  <c r="AD26" i="50"/>
  <c r="AC25" i="55"/>
  <c r="AD25" i="55"/>
  <c r="AC26" i="40"/>
  <c r="AD26" i="40"/>
  <c r="AE26" i="43"/>
  <c r="AF26" i="43"/>
  <c r="AE26" i="70"/>
  <c r="AN20" i="71" s="1"/>
  <c r="AF26" i="70"/>
  <c r="AO20" i="71" s="1"/>
  <c r="AE26" i="46"/>
  <c r="AF26" i="46"/>
  <c r="AE26" i="50"/>
  <c r="AF26" i="50"/>
  <c r="AE25" i="55"/>
  <c r="AF25" i="55"/>
  <c r="AE26" i="40"/>
  <c r="AF26" i="40"/>
  <c r="AG26" i="58"/>
  <c r="AG26" i="43"/>
  <c r="AH26" i="43"/>
  <c r="AG26" i="70"/>
  <c r="AN21" i="71" s="1"/>
  <c r="AH26" i="70"/>
  <c r="AO21" i="71" s="1"/>
  <c r="AG26" i="46"/>
  <c r="AH26" i="46"/>
  <c r="AG26" i="50"/>
  <c r="AH26" i="50"/>
  <c r="AG25" i="55"/>
  <c r="AH25" i="55"/>
  <c r="AG26" i="40"/>
  <c r="AH26" i="40"/>
  <c r="AI26" i="58"/>
  <c r="AJ26" i="58"/>
  <c r="AI26" i="43"/>
  <c r="AJ26" i="43"/>
  <c r="AI26" i="70"/>
  <c r="AN22" i="71" s="1"/>
  <c r="AJ26" i="70"/>
  <c r="AO22" i="71" s="1"/>
  <c r="AI26" i="46"/>
  <c r="AJ26" i="46"/>
  <c r="AI26" i="50"/>
  <c r="AJ26" i="50"/>
  <c r="AI25" i="55"/>
  <c r="AJ25" i="55"/>
  <c r="AI26" i="40"/>
  <c r="AJ26" i="40"/>
  <c r="AK26" i="43"/>
  <c r="AL26" i="43"/>
  <c r="AK26" i="70"/>
  <c r="AN23" i="71" s="1"/>
  <c r="AL26" i="70"/>
  <c r="AO23" i="71" s="1"/>
  <c r="AK26" i="46"/>
  <c r="AL26" i="46"/>
  <c r="AK26" i="50"/>
  <c r="AL26" i="50"/>
  <c r="AK25" i="55"/>
  <c r="AL25" i="55"/>
  <c r="AK26" i="40"/>
  <c r="AL26" i="40"/>
  <c r="AN26" i="58"/>
  <c r="AM26" i="43"/>
  <c r="AN26" i="43"/>
  <c r="AM26" i="70"/>
  <c r="AN24" i="71" s="1"/>
  <c r="AN26" i="70"/>
  <c r="AO24" i="71" s="1"/>
  <c r="AM26" i="46"/>
  <c r="AN26" i="46"/>
  <c r="AM26" i="50"/>
  <c r="AN26" i="50"/>
  <c r="AM25" i="55"/>
  <c r="AN25" i="55"/>
  <c r="AM26" i="40"/>
  <c r="AN26" i="40"/>
  <c r="AO26" i="43"/>
  <c r="AP26" i="43"/>
  <c r="AO26" i="70"/>
  <c r="AN25" i="71" s="1"/>
  <c r="AP26" i="70"/>
  <c r="AO25" i="71" s="1"/>
  <c r="AO26" i="46"/>
  <c r="AP26" i="46"/>
  <c r="AO26" i="50"/>
  <c r="AP26" i="50"/>
  <c r="AO25" i="55"/>
  <c r="AP25" i="55"/>
  <c r="AQ26" i="58"/>
  <c r="AR26" i="58"/>
  <c r="AQ26" i="43"/>
  <c r="AR26" i="43"/>
  <c r="AQ26" i="70"/>
  <c r="AN26" i="71" s="1"/>
  <c r="AR26" i="70"/>
  <c r="AO26" i="71" s="1"/>
  <c r="AQ26" i="46"/>
  <c r="AR26" i="46"/>
  <c r="AQ26" i="50"/>
  <c r="AR26" i="50"/>
  <c r="AQ25" i="55"/>
  <c r="AR25" i="55"/>
  <c r="AQ26" i="40"/>
  <c r="AR26" i="40"/>
  <c r="AS26" i="58"/>
  <c r="AS26" i="43"/>
  <c r="AT26" i="43"/>
  <c r="AS26" i="70"/>
  <c r="AN27" i="71" s="1"/>
  <c r="AT26" i="70"/>
  <c r="AO27" i="71" s="1"/>
  <c r="AS26" i="46"/>
  <c r="AT26" i="46"/>
  <c r="AS26" i="50"/>
  <c r="AT26" i="50"/>
  <c r="AS25" i="55"/>
  <c r="AT25" i="55"/>
  <c r="AS26" i="40"/>
  <c r="AT26" i="40"/>
  <c r="AU26" i="43"/>
  <c r="AV26" i="43"/>
  <c r="AU26" i="70"/>
  <c r="AN28" i="71" s="1"/>
  <c r="AV26" i="70"/>
  <c r="AO28" i="71" s="1"/>
  <c r="AU26" i="46"/>
  <c r="AV26" i="46"/>
  <c r="AU26" i="50"/>
  <c r="AV26" i="50"/>
  <c r="AU25" i="55"/>
  <c r="AV25" i="55"/>
  <c r="AU26" i="40"/>
  <c r="AV26" i="40"/>
  <c r="AX26" i="58"/>
  <c r="AW26" i="43"/>
  <c r="AX26" i="43"/>
  <c r="AW26" i="70"/>
  <c r="AN29" i="71" s="1"/>
  <c r="AX26" i="70"/>
  <c r="AO29" i="71" s="1"/>
  <c r="AW26" i="46"/>
  <c r="AX26" i="46"/>
  <c r="AW26" i="50"/>
  <c r="AX26" i="50"/>
  <c r="AW26" i="40"/>
  <c r="AX26" i="40"/>
  <c r="AY26" i="58"/>
  <c r="AZ26" i="58"/>
  <c r="AY26" i="43"/>
  <c r="AZ26" i="43"/>
  <c r="AY26" i="70"/>
  <c r="AN30" i="71" s="1"/>
  <c r="AZ26" i="70"/>
  <c r="AO30" i="71" s="1"/>
  <c r="AY26" i="46"/>
  <c r="AZ26" i="46"/>
  <c r="AY26" i="50"/>
  <c r="AZ26" i="50"/>
  <c r="AY25" i="55"/>
  <c r="AZ25" i="55"/>
  <c r="AY26" i="40"/>
  <c r="AZ26" i="40"/>
  <c r="BA26" i="58"/>
  <c r="BB26" i="58"/>
  <c r="BA26" i="43"/>
  <c r="BB26" i="43"/>
  <c r="BA26" i="70"/>
  <c r="AN31" i="71" s="1"/>
  <c r="BB26" i="70"/>
  <c r="AO31" i="71" s="1"/>
  <c r="BA26" i="46"/>
  <c r="BB26" i="46"/>
  <c r="BA26" i="50"/>
  <c r="BB26" i="50"/>
  <c r="BA25" i="55"/>
  <c r="BB25" i="55"/>
  <c r="BA26" i="40"/>
  <c r="BB26" i="40"/>
  <c r="BC26" i="43"/>
  <c r="BD26" i="43"/>
  <c r="BC26" i="70"/>
  <c r="AN32" i="71" s="1"/>
  <c r="BD26" i="70"/>
  <c r="AO32" i="71" s="1"/>
  <c r="BC26" i="46"/>
  <c r="BD26" i="46"/>
  <c r="BC26" i="50"/>
  <c r="BD26" i="50"/>
  <c r="BC25" i="55"/>
  <c r="BD25" i="55"/>
  <c r="BC26" i="40"/>
  <c r="BD26" i="40"/>
  <c r="BE26" i="43"/>
  <c r="BF26" i="43"/>
  <c r="BE26" i="70"/>
  <c r="AN33" i="71" s="1"/>
  <c r="BF26" i="70"/>
  <c r="AO33" i="71" s="1"/>
  <c r="BE26" i="46"/>
  <c r="BF26" i="46"/>
  <c r="BE26" i="40"/>
  <c r="BF26" i="40"/>
  <c r="BG26" i="43"/>
  <c r="BH26" i="43"/>
  <c r="BG26" i="70"/>
  <c r="AN34" i="71" s="1"/>
  <c r="BH26" i="70"/>
  <c r="AO34" i="71" s="1"/>
  <c r="BG26" i="46"/>
  <c r="BH26" i="46"/>
  <c r="BG26" i="50"/>
  <c r="BH26" i="50"/>
  <c r="BG25" i="55"/>
  <c r="BH25" i="55"/>
  <c r="BG26" i="40"/>
  <c r="BH26" i="40"/>
  <c r="BI26" i="58"/>
  <c r="BI26" i="43"/>
  <c r="BJ26" i="43"/>
  <c r="BI26" i="70"/>
  <c r="AN35" i="71" s="1"/>
  <c r="BJ26" i="70"/>
  <c r="AO35" i="71" s="1"/>
  <c r="BI26" i="46"/>
  <c r="BJ26" i="46"/>
  <c r="BI26" i="50"/>
  <c r="BJ26" i="50"/>
  <c r="BI25" i="55"/>
  <c r="BJ25" i="55"/>
  <c r="BI26" i="40"/>
  <c r="BJ26" i="40"/>
  <c r="BK26" i="43"/>
  <c r="BL26" i="43"/>
  <c r="BK26" i="70"/>
  <c r="AN36" i="71" s="1"/>
  <c r="BL26" i="70"/>
  <c r="AO36" i="71" s="1"/>
  <c r="BK26" i="46"/>
  <c r="BL26" i="46"/>
  <c r="BK26" i="50"/>
  <c r="BL26" i="50"/>
  <c r="BK25" i="55"/>
  <c r="BL25" i="55"/>
  <c r="BK26" i="40"/>
  <c r="BL26" i="40"/>
  <c r="BM26" i="43"/>
  <c r="BN26" i="43"/>
  <c r="BM26" i="70"/>
  <c r="AN37" i="71" s="1"/>
  <c r="BN26" i="70"/>
  <c r="AO37" i="71" s="1"/>
  <c r="BM26" i="46"/>
  <c r="BN26" i="46"/>
  <c r="BM26" i="50"/>
  <c r="BN26" i="50"/>
  <c r="BM25" i="55"/>
  <c r="BN25" i="55"/>
  <c r="BM26" i="40"/>
  <c r="BN26" i="40"/>
  <c r="BO26" i="43"/>
  <c r="BP26" i="43"/>
  <c r="BO26" i="70"/>
  <c r="AN38" i="71" s="1"/>
  <c r="BP26" i="70"/>
  <c r="AO38" i="71" s="1"/>
  <c r="BO26" i="46"/>
  <c r="BP26" i="46"/>
  <c r="BO26" i="50"/>
  <c r="BP26" i="50"/>
  <c r="BO25" i="55"/>
  <c r="BP25" i="55"/>
  <c r="BO26" i="40"/>
  <c r="BP26" i="40"/>
  <c r="BQ26" i="43"/>
  <c r="BR26" i="43"/>
  <c r="BQ26" i="70"/>
  <c r="AN39" i="71" s="1"/>
  <c r="BR26" i="70"/>
  <c r="AO39" i="71" s="1"/>
  <c r="BQ26" i="46"/>
  <c r="BR26" i="46"/>
  <c r="BQ26" i="50"/>
  <c r="BR26" i="50"/>
  <c r="BQ26" i="40"/>
  <c r="BR26" i="40"/>
  <c r="BS26" i="43"/>
  <c r="BT26" i="43"/>
  <c r="BS26" i="70"/>
  <c r="AN40" i="71" s="1"/>
  <c r="BT26" i="70"/>
  <c r="AO40" i="71" s="1"/>
  <c r="BS26" i="46"/>
  <c r="BT26" i="46"/>
  <c r="BS26" i="50"/>
  <c r="BT26" i="50"/>
  <c r="BS25" i="55"/>
  <c r="BT25" i="55"/>
  <c r="BS26" i="40"/>
  <c r="BT26" i="40"/>
  <c r="BU26" i="43"/>
  <c r="BV26" i="43"/>
  <c r="BU26" i="70"/>
  <c r="AN41" i="71" s="1"/>
  <c r="BV26" i="70"/>
  <c r="AO41" i="71" s="1"/>
  <c r="BU26" i="46"/>
  <c r="BV26" i="46"/>
  <c r="BU26" i="50"/>
  <c r="BV26" i="50"/>
  <c r="BU25" i="55"/>
  <c r="BV25" i="55"/>
  <c r="BU26" i="40"/>
  <c r="BV26" i="40"/>
  <c r="BW26" i="43"/>
  <c r="BX26" i="43"/>
  <c r="BW26" i="70"/>
  <c r="AN42" i="71" s="1"/>
  <c r="BX26" i="70"/>
  <c r="AO42" i="71" s="1"/>
  <c r="BW26" i="46"/>
  <c r="BX26" i="46"/>
  <c r="BW26" i="50"/>
  <c r="BX26" i="50"/>
  <c r="BW25" i="55"/>
  <c r="BX25" i="55"/>
  <c r="BW26" i="40"/>
  <c r="BX26" i="40"/>
  <c r="BY26" i="43"/>
  <c r="BZ26" i="43"/>
  <c r="BY26" i="70"/>
  <c r="AN43" i="71" s="1"/>
  <c r="BZ26" i="70"/>
  <c r="AO43" i="71" s="1"/>
  <c r="BY26" i="46"/>
  <c r="BZ26" i="46"/>
  <c r="BY26" i="50"/>
  <c r="BZ26" i="50"/>
  <c r="BY25" i="55"/>
  <c r="BZ25" i="55"/>
  <c r="BY26" i="40"/>
  <c r="BZ26" i="40"/>
  <c r="C27" i="58"/>
  <c r="C27" i="43"/>
  <c r="D27" i="43"/>
  <c r="C27" i="70"/>
  <c r="AP6" i="71" s="1"/>
  <c r="D27" i="70"/>
  <c r="AQ6" i="71" s="1"/>
  <c r="C27" i="46"/>
  <c r="D27" i="46"/>
  <c r="C27" i="50"/>
  <c r="D27" i="50"/>
  <c r="C27" i="55"/>
  <c r="D27" i="55"/>
  <c r="C27" i="40"/>
  <c r="D27" i="40"/>
  <c r="E27" i="43"/>
  <c r="AP7" i="44" s="1"/>
  <c r="F27" i="43"/>
  <c r="AQ7" i="44" s="1"/>
  <c r="E27" i="70"/>
  <c r="AP7" i="71" s="1"/>
  <c r="F27" i="70"/>
  <c r="AQ7" i="71" s="1"/>
  <c r="E27" i="46"/>
  <c r="E27" i="50"/>
  <c r="E27" i="55"/>
  <c r="H27" i="70"/>
  <c r="AQ8" i="71" s="1"/>
  <c r="H27" i="46"/>
  <c r="H27" i="50"/>
  <c r="H27" i="55"/>
  <c r="I27" i="43"/>
  <c r="J27" i="43"/>
  <c r="I27" i="70"/>
  <c r="AP9" i="71" s="1"/>
  <c r="J27" i="70"/>
  <c r="AQ9" i="71" s="1"/>
  <c r="I27" i="46"/>
  <c r="J27" i="46"/>
  <c r="I27" i="50"/>
  <c r="J27" i="50"/>
  <c r="J26" i="55"/>
  <c r="K27" i="43"/>
  <c r="L27" i="43"/>
  <c r="K27" i="70"/>
  <c r="AP10" i="71" s="1"/>
  <c r="L27" i="70"/>
  <c r="AQ10" i="71" s="1"/>
  <c r="K27" i="46"/>
  <c r="L27" i="46"/>
  <c r="K27" i="50"/>
  <c r="L27" i="50"/>
  <c r="K26" i="55"/>
  <c r="L26" i="55"/>
  <c r="K27" i="40"/>
  <c r="L27" i="40"/>
  <c r="M27" i="58"/>
  <c r="M27" i="43"/>
  <c r="N27" i="43"/>
  <c r="M27" i="70"/>
  <c r="AP11" i="71" s="1"/>
  <c r="N27" i="70"/>
  <c r="AQ11" i="71" s="1"/>
  <c r="M27" i="46"/>
  <c r="N27" i="46"/>
  <c r="M27" i="50"/>
  <c r="N27" i="50"/>
  <c r="M26" i="55"/>
  <c r="N26" i="55"/>
  <c r="M27" i="40"/>
  <c r="N27" i="40"/>
  <c r="O27" i="58"/>
  <c r="P27" i="58"/>
  <c r="O27" i="43"/>
  <c r="P27" i="43"/>
  <c r="O27" i="70"/>
  <c r="AP12" i="71" s="1"/>
  <c r="P27" i="70"/>
  <c r="AQ12" i="71" s="1"/>
  <c r="O27" i="46"/>
  <c r="P27" i="46"/>
  <c r="O27" i="50"/>
  <c r="P27" i="50"/>
  <c r="O26" i="55"/>
  <c r="P26" i="55"/>
  <c r="O27" i="40"/>
  <c r="P27" i="40"/>
  <c r="Q27" i="58"/>
  <c r="Q27" i="43"/>
  <c r="R27" i="43"/>
  <c r="Q27" i="70"/>
  <c r="AP13" i="71" s="1"/>
  <c r="R27" i="70"/>
  <c r="AQ13" i="71" s="1"/>
  <c r="Q27" i="46"/>
  <c r="R27" i="46"/>
  <c r="Q27" i="50"/>
  <c r="R27" i="50"/>
  <c r="Q26" i="55"/>
  <c r="R26" i="55"/>
  <c r="Q27" i="40"/>
  <c r="R27" i="40"/>
  <c r="S27" i="58"/>
  <c r="T27" i="58"/>
  <c r="S27" i="43"/>
  <c r="T27" i="43"/>
  <c r="S27" i="70"/>
  <c r="AP14" i="71" s="1"/>
  <c r="T27" i="70"/>
  <c r="AQ14" i="71" s="1"/>
  <c r="S27" i="46"/>
  <c r="T27" i="46"/>
  <c r="S27" i="50"/>
  <c r="T27" i="50"/>
  <c r="S26" i="55"/>
  <c r="T26" i="55"/>
  <c r="S27" i="40"/>
  <c r="T27" i="40"/>
  <c r="V27" i="58"/>
  <c r="U27" i="43"/>
  <c r="V27" i="43"/>
  <c r="U27" i="70"/>
  <c r="AP15" i="71" s="1"/>
  <c r="V27" i="70"/>
  <c r="AQ15" i="71" s="1"/>
  <c r="U27" i="46"/>
  <c r="V27" i="46"/>
  <c r="U27" i="50"/>
  <c r="V27" i="50"/>
  <c r="U27" i="40"/>
  <c r="V27" i="40"/>
  <c r="X27" i="58"/>
  <c r="W27" i="43"/>
  <c r="X27" i="43"/>
  <c r="W27" i="70"/>
  <c r="AP16" i="71" s="1"/>
  <c r="X27" i="70"/>
  <c r="AQ16" i="71" s="1"/>
  <c r="W27" i="46"/>
  <c r="X27" i="46"/>
  <c r="W27" i="50"/>
  <c r="X27" i="50"/>
  <c r="W26" i="55"/>
  <c r="X26" i="55"/>
  <c r="W27" i="40"/>
  <c r="X27" i="40"/>
  <c r="Y27" i="58"/>
  <c r="Z27" i="58"/>
  <c r="Y27" i="43"/>
  <c r="Z27" i="43"/>
  <c r="Y27" i="70"/>
  <c r="AP17" i="71" s="1"/>
  <c r="Z27" i="70"/>
  <c r="AQ17" i="71" s="1"/>
  <c r="Y27" i="46"/>
  <c r="Z27" i="46"/>
  <c r="Y27" i="50"/>
  <c r="Z27" i="50"/>
  <c r="Y27" i="55"/>
  <c r="Z27" i="55"/>
  <c r="Y27" i="40"/>
  <c r="Z27" i="40"/>
  <c r="AB27" i="58"/>
  <c r="AA27" i="43"/>
  <c r="AB27" i="43"/>
  <c r="AA27" i="70"/>
  <c r="AP18" i="71" s="1"/>
  <c r="AB27" i="70"/>
  <c r="AQ18" i="71" s="1"/>
  <c r="AA27" i="46"/>
  <c r="AB27" i="46"/>
  <c r="AA27" i="50"/>
  <c r="AB27" i="50"/>
  <c r="AA26" i="55"/>
  <c r="AB26" i="55"/>
  <c r="AA27" i="40"/>
  <c r="AB27" i="40"/>
  <c r="AD27" i="58"/>
  <c r="AC27" i="43"/>
  <c r="AD27" i="43"/>
  <c r="AC27" i="70"/>
  <c r="AP19" i="71" s="1"/>
  <c r="AD27" i="70"/>
  <c r="AQ19" i="71" s="1"/>
  <c r="AC27" i="46"/>
  <c r="AD27" i="46"/>
  <c r="AC27" i="50"/>
  <c r="AD27" i="50"/>
  <c r="AC26" i="55"/>
  <c r="AD26" i="55"/>
  <c r="AC27" i="40"/>
  <c r="AD27" i="40"/>
  <c r="AE27" i="43"/>
  <c r="AF27" i="43"/>
  <c r="AE27" i="70"/>
  <c r="AP20" i="71" s="1"/>
  <c r="AF27" i="70"/>
  <c r="AQ20" i="71" s="1"/>
  <c r="AE27" i="46"/>
  <c r="AF27" i="46"/>
  <c r="AE27" i="50"/>
  <c r="AF27" i="50"/>
  <c r="AE26" i="55"/>
  <c r="AF26" i="55"/>
  <c r="AE27" i="40"/>
  <c r="AF27" i="40"/>
  <c r="AG27" i="43"/>
  <c r="AH27" i="43"/>
  <c r="AG27" i="70"/>
  <c r="AP21" i="71" s="1"/>
  <c r="AH27" i="70"/>
  <c r="AQ21" i="71" s="1"/>
  <c r="AG27" i="46"/>
  <c r="AH27" i="46"/>
  <c r="AG27" i="50"/>
  <c r="AH27" i="50"/>
  <c r="AG26" i="55"/>
  <c r="AH26" i="55"/>
  <c r="AG27" i="40"/>
  <c r="AH27" i="40"/>
  <c r="AI27" i="58"/>
  <c r="AJ27" i="58"/>
  <c r="AI27" i="43"/>
  <c r="AJ27" i="43"/>
  <c r="AI27" i="70"/>
  <c r="AP22" i="71" s="1"/>
  <c r="AJ27" i="70"/>
  <c r="AQ22" i="71" s="1"/>
  <c r="AI27" i="46"/>
  <c r="AJ27" i="46"/>
  <c r="AI27" i="50"/>
  <c r="AJ27" i="50"/>
  <c r="AI26" i="55"/>
  <c r="AJ26" i="55"/>
  <c r="AI27" i="40"/>
  <c r="AJ27" i="40"/>
  <c r="AK27" i="58"/>
  <c r="AL27" i="58"/>
  <c r="AK27" i="43"/>
  <c r="AL27" i="43"/>
  <c r="AK27" i="70"/>
  <c r="AP23" i="71" s="1"/>
  <c r="AL27" i="70"/>
  <c r="AQ23" i="71" s="1"/>
  <c r="AK27" i="46"/>
  <c r="AL27" i="46"/>
  <c r="AK27" i="50"/>
  <c r="AL27" i="50"/>
  <c r="AK26" i="55"/>
  <c r="AL26" i="55"/>
  <c r="AK27" i="40"/>
  <c r="AL27" i="40"/>
  <c r="AN27" i="58"/>
  <c r="AM27" i="43"/>
  <c r="AN27" i="43"/>
  <c r="AM27" i="70"/>
  <c r="AP24" i="71" s="1"/>
  <c r="AN27" i="70"/>
  <c r="AQ24" i="71" s="1"/>
  <c r="AM27" i="46"/>
  <c r="AN27" i="46"/>
  <c r="AM27" i="50"/>
  <c r="AN27" i="50"/>
  <c r="AM26" i="55"/>
  <c r="AN26" i="55"/>
  <c r="AM27" i="40"/>
  <c r="AN27" i="40"/>
  <c r="AO27" i="43"/>
  <c r="AP27" i="43"/>
  <c r="AO27" i="70"/>
  <c r="AP25" i="71" s="1"/>
  <c r="AP27" i="70"/>
  <c r="AQ25" i="71" s="1"/>
  <c r="AO27" i="46"/>
  <c r="AP27" i="46"/>
  <c r="AO27" i="50"/>
  <c r="AP27" i="50"/>
  <c r="AO26" i="55"/>
  <c r="AP26" i="55"/>
  <c r="AQ27" i="43"/>
  <c r="AR27" i="43"/>
  <c r="AQ27" i="70"/>
  <c r="AP26" i="71" s="1"/>
  <c r="AR27" i="70"/>
  <c r="AQ26" i="71" s="1"/>
  <c r="AQ27" i="46"/>
  <c r="AR27" i="46"/>
  <c r="AQ27" i="50"/>
  <c r="AR27" i="50"/>
  <c r="AQ26" i="55"/>
  <c r="AR26" i="55"/>
  <c r="AQ27" i="40"/>
  <c r="AR27" i="40"/>
  <c r="AT27" i="58"/>
  <c r="AS27" i="43"/>
  <c r="AT27" i="43"/>
  <c r="AS27" i="70"/>
  <c r="AP27" i="71" s="1"/>
  <c r="AT27" i="70"/>
  <c r="AQ27" i="71" s="1"/>
  <c r="AS27" i="46"/>
  <c r="AT27" i="46"/>
  <c r="AS27" i="50"/>
  <c r="AT27" i="50"/>
  <c r="AS26" i="55"/>
  <c r="AT26" i="55"/>
  <c r="AS27" i="40"/>
  <c r="AT27" i="40"/>
  <c r="AV27" i="58"/>
  <c r="AU27" i="43"/>
  <c r="AV27" i="43"/>
  <c r="AU27" i="70"/>
  <c r="AP28" i="71" s="1"/>
  <c r="AV27" i="70"/>
  <c r="AQ28" i="71" s="1"/>
  <c r="AU27" i="46"/>
  <c r="AV27" i="46"/>
  <c r="AU27" i="50"/>
  <c r="AV27" i="50"/>
  <c r="AU26" i="55"/>
  <c r="AV26" i="55"/>
  <c r="AU27" i="40"/>
  <c r="AV27" i="40"/>
  <c r="AW27" i="58"/>
  <c r="AX27" i="58"/>
  <c r="AW27" i="43"/>
  <c r="AX27" i="43"/>
  <c r="AW27" i="70"/>
  <c r="AP29" i="71" s="1"/>
  <c r="AX27" i="70"/>
  <c r="AQ29" i="71" s="1"/>
  <c r="AW27" i="46"/>
  <c r="AX27" i="46"/>
  <c r="AW27" i="50"/>
  <c r="AX27" i="50"/>
  <c r="AW27" i="40"/>
  <c r="AX27" i="40"/>
  <c r="AZ27" i="58"/>
  <c r="AY27" i="43"/>
  <c r="AZ27" i="43"/>
  <c r="AY27" i="70"/>
  <c r="AP30" i="71" s="1"/>
  <c r="AZ27" i="70"/>
  <c r="AQ30" i="71" s="1"/>
  <c r="AY27" i="46"/>
  <c r="AZ27" i="46"/>
  <c r="AY27" i="50"/>
  <c r="AZ27" i="50"/>
  <c r="AY26" i="55"/>
  <c r="AZ26" i="55"/>
  <c r="AY27" i="40"/>
  <c r="AZ27" i="40"/>
  <c r="BA27" i="58"/>
  <c r="BA27" i="43"/>
  <c r="BB27" i="43"/>
  <c r="BA27" i="70"/>
  <c r="AP31" i="71" s="1"/>
  <c r="BB27" i="70"/>
  <c r="AQ31" i="71" s="1"/>
  <c r="BA27" i="46"/>
  <c r="BB27" i="46"/>
  <c r="BA27" i="50"/>
  <c r="BB27" i="50"/>
  <c r="BA26" i="55"/>
  <c r="BB26" i="55"/>
  <c r="BA27" i="40"/>
  <c r="BB27" i="40"/>
  <c r="BC27" i="43"/>
  <c r="BD27" i="43"/>
  <c r="BC27" i="70"/>
  <c r="AP32" i="71" s="1"/>
  <c r="BD27" i="70"/>
  <c r="AQ32" i="71" s="1"/>
  <c r="BC27" i="46"/>
  <c r="BD27" i="46"/>
  <c r="BC27" i="50"/>
  <c r="BD27" i="50"/>
  <c r="BC26" i="55"/>
  <c r="BD26" i="55"/>
  <c r="BC27" i="40"/>
  <c r="BD27" i="40"/>
  <c r="BF27" i="58"/>
  <c r="BE27" i="43"/>
  <c r="BF27" i="43"/>
  <c r="BE27" i="70"/>
  <c r="AP33" i="71" s="1"/>
  <c r="BF27" i="70"/>
  <c r="AQ33" i="71" s="1"/>
  <c r="BE27" i="46"/>
  <c r="BF27" i="46"/>
  <c r="BE27" i="40"/>
  <c r="BF27" i="40"/>
  <c r="BH27" i="58"/>
  <c r="BG27" i="43"/>
  <c r="BH27" i="43"/>
  <c r="BG27" i="70"/>
  <c r="AP34" i="71" s="1"/>
  <c r="BH27" i="70"/>
  <c r="AQ34" i="71" s="1"/>
  <c r="BG27" i="46"/>
  <c r="BH27" i="46"/>
  <c r="BG27" i="50"/>
  <c r="BH27" i="50"/>
  <c r="BG26" i="55"/>
  <c r="BH26" i="55"/>
  <c r="BG27" i="40"/>
  <c r="BH27" i="40"/>
  <c r="BJ27" i="58"/>
  <c r="BI27" i="43"/>
  <c r="BJ27" i="43"/>
  <c r="BI27" i="70"/>
  <c r="AP35" i="71" s="1"/>
  <c r="BJ27" i="70"/>
  <c r="AQ35" i="71" s="1"/>
  <c r="BI27" i="46"/>
  <c r="BJ27" i="46"/>
  <c r="BI27" i="50"/>
  <c r="BJ27" i="50"/>
  <c r="BI26" i="55"/>
  <c r="BJ26" i="55"/>
  <c r="BI27" i="40"/>
  <c r="BJ27" i="40"/>
  <c r="BK27" i="43"/>
  <c r="BL27" i="43"/>
  <c r="BK27" i="70"/>
  <c r="AP36" i="71" s="1"/>
  <c r="BL27" i="70"/>
  <c r="AQ36" i="71" s="1"/>
  <c r="BK27" i="46"/>
  <c r="BL27" i="46"/>
  <c r="BK27" i="50"/>
  <c r="BL27" i="50"/>
  <c r="BK26" i="55"/>
  <c r="BL26" i="55"/>
  <c r="BK27" i="40"/>
  <c r="BL27" i="40"/>
  <c r="BM27" i="43"/>
  <c r="BN27" i="43"/>
  <c r="BM27" i="70"/>
  <c r="AP37" i="71" s="1"/>
  <c r="BN27" i="70"/>
  <c r="AQ37" i="71" s="1"/>
  <c r="BM27" i="46"/>
  <c r="BN27" i="46"/>
  <c r="BM27" i="50"/>
  <c r="BN27" i="50"/>
  <c r="BM26" i="55"/>
  <c r="BN26" i="55"/>
  <c r="BM27" i="40"/>
  <c r="BN27" i="40"/>
  <c r="BO27" i="43"/>
  <c r="BP27" i="43"/>
  <c r="BO27" i="70"/>
  <c r="AP38" i="71" s="1"/>
  <c r="BP27" i="70"/>
  <c r="AQ38" i="71" s="1"/>
  <c r="BO27" i="46"/>
  <c r="BP27" i="46"/>
  <c r="BO27" i="50"/>
  <c r="BP27" i="50"/>
  <c r="BO26" i="55"/>
  <c r="BP26" i="55"/>
  <c r="BO27" i="40"/>
  <c r="BP27" i="40"/>
  <c r="BQ27" i="43"/>
  <c r="BR27" i="43"/>
  <c r="BQ27" i="70"/>
  <c r="AP39" i="71" s="1"/>
  <c r="BR27" i="70"/>
  <c r="AQ39" i="71" s="1"/>
  <c r="BQ27" i="46"/>
  <c r="BR27" i="46"/>
  <c r="BQ27" i="50"/>
  <c r="BR27" i="50"/>
  <c r="BQ27" i="40"/>
  <c r="BR27" i="40"/>
  <c r="BS27" i="43"/>
  <c r="BT27" i="43"/>
  <c r="BS27" i="70"/>
  <c r="AP40" i="71" s="1"/>
  <c r="BT27" i="70"/>
  <c r="AQ40" i="71" s="1"/>
  <c r="BS27" i="46"/>
  <c r="BT27" i="46"/>
  <c r="BS27" i="50"/>
  <c r="BT27" i="50"/>
  <c r="BS26" i="55"/>
  <c r="BT26" i="55"/>
  <c r="BS27" i="40"/>
  <c r="BT27" i="40"/>
  <c r="BU27" i="43"/>
  <c r="BV27" i="43"/>
  <c r="BU27" i="70"/>
  <c r="AP41" i="71" s="1"/>
  <c r="BV27" i="70"/>
  <c r="AQ41" i="71" s="1"/>
  <c r="BU27" i="46"/>
  <c r="BV27" i="46"/>
  <c r="BU27" i="50"/>
  <c r="BV27" i="50"/>
  <c r="BU26" i="55"/>
  <c r="BV26" i="55"/>
  <c r="BU27" i="40"/>
  <c r="BV27" i="40"/>
  <c r="BW27" i="43"/>
  <c r="BX27" i="43"/>
  <c r="BW27" i="70"/>
  <c r="AP42" i="71" s="1"/>
  <c r="BX27" i="70"/>
  <c r="AQ42" i="71" s="1"/>
  <c r="BW27" i="46"/>
  <c r="BX27" i="46"/>
  <c r="BW27" i="50"/>
  <c r="BX27" i="50"/>
  <c r="BW26" i="55"/>
  <c r="BX26" i="55"/>
  <c r="BW27" i="40"/>
  <c r="BX27" i="40"/>
  <c r="BY27" i="43"/>
  <c r="BZ27" i="43"/>
  <c r="BY27" i="70"/>
  <c r="AP43" i="71" s="1"/>
  <c r="BZ27" i="70"/>
  <c r="AQ43" i="71" s="1"/>
  <c r="BY27" i="46"/>
  <c r="BZ27" i="46"/>
  <c r="BY27" i="50"/>
  <c r="BZ27" i="50"/>
  <c r="BY26" i="55"/>
  <c r="BZ26" i="55"/>
  <c r="BY27" i="40"/>
  <c r="BZ27" i="40"/>
  <c r="C28" i="43"/>
  <c r="AR6" i="44" s="1"/>
  <c r="D28" i="43"/>
  <c r="AS6" i="44" s="1"/>
  <c r="C28" i="70"/>
  <c r="AR6" i="71" s="1"/>
  <c r="D28" i="70"/>
  <c r="AS6" i="71" s="1"/>
  <c r="C28" i="46"/>
  <c r="D28" i="46"/>
  <c r="C28" i="50"/>
  <c r="D28" i="50"/>
  <c r="C28" i="55"/>
  <c r="D28" i="55"/>
  <c r="C28" i="40"/>
  <c r="D28" i="40"/>
  <c r="F28" i="58"/>
  <c r="E28" i="43"/>
  <c r="AR7" i="44" s="1"/>
  <c r="F28" i="43"/>
  <c r="AS7" i="44" s="1"/>
  <c r="E28" i="70"/>
  <c r="AR7" i="71" s="1"/>
  <c r="F28" i="70"/>
  <c r="AS7" i="71" s="1"/>
  <c r="E28" i="46"/>
  <c r="E28" i="50"/>
  <c r="E28" i="55"/>
  <c r="H28" i="70"/>
  <c r="AS8" i="71" s="1"/>
  <c r="H28" i="46"/>
  <c r="H28" i="50"/>
  <c r="H28" i="55"/>
  <c r="I28" i="58"/>
  <c r="J28" i="58"/>
  <c r="I28" i="43"/>
  <c r="J28" i="43"/>
  <c r="I28" i="70"/>
  <c r="AR9" i="71" s="1"/>
  <c r="J28" i="70"/>
  <c r="AS9" i="71" s="1"/>
  <c r="I28" i="46"/>
  <c r="J28" i="46"/>
  <c r="I28" i="50"/>
  <c r="J28" i="50"/>
  <c r="J27" i="55"/>
  <c r="L28" i="58"/>
  <c r="K28" i="43"/>
  <c r="L28" i="43"/>
  <c r="K28" i="70"/>
  <c r="AR10" i="71" s="1"/>
  <c r="L28" i="70"/>
  <c r="AS10" i="71" s="1"/>
  <c r="K28" i="46"/>
  <c r="L28" i="46"/>
  <c r="K28" i="50"/>
  <c r="L28" i="50"/>
  <c r="K27" i="55"/>
  <c r="L27" i="55"/>
  <c r="K28" i="40"/>
  <c r="L28" i="40"/>
  <c r="M28" i="43"/>
  <c r="N28" i="43"/>
  <c r="M28" i="70"/>
  <c r="AR11" i="71" s="1"/>
  <c r="N28" i="70"/>
  <c r="AS11" i="71" s="1"/>
  <c r="M28" i="46"/>
  <c r="N28" i="46"/>
  <c r="M28" i="50"/>
  <c r="N28" i="50"/>
  <c r="M27" i="55"/>
  <c r="N27" i="55"/>
  <c r="M28" i="40"/>
  <c r="N28" i="40"/>
  <c r="O28" i="43"/>
  <c r="P28" i="43"/>
  <c r="O28" i="70"/>
  <c r="AR12" i="71" s="1"/>
  <c r="P28" i="70"/>
  <c r="AS12" i="71" s="1"/>
  <c r="O28" i="46"/>
  <c r="P28" i="46"/>
  <c r="O28" i="50"/>
  <c r="P28" i="50"/>
  <c r="O27" i="55"/>
  <c r="P27" i="55"/>
  <c r="O28" i="40"/>
  <c r="P28" i="40"/>
  <c r="Q28" i="58"/>
  <c r="R28" i="58"/>
  <c r="Q28" i="43"/>
  <c r="R28" i="43"/>
  <c r="Q28" i="70"/>
  <c r="AR13" i="71" s="1"/>
  <c r="R28" i="70"/>
  <c r="AS13" i="71" s="1"/>
  <c r="Q28" i="46"/>
  <c r="R28" i="46"/>
  <c r="Q28" i="50"/>
  <c r="R28" i="50"/>
  <c r="Q27" i="55"/>
  <c r="Q28" i="40"/>
  <c r="R28" i="40"/>
  <c r="S28" i="58"/>
  <c r="T28" i="58"/>
  <c r="S28" i="43"/>
  <c r="T28" i="43"/>
  <c r="S28" i="70"/>
  <c r="AR14" i="71" s="1"/>
  <c r="T28" i="70"/>
  <c r="AS14" i="71" s="1"/>
  <c r="S28" i="46"/>
  <c r="T28" i="46"/>
  <c r="S28" i="50"/>
  <c r="T28" i="50"/>
  <c r="S27" i="55"/>
  <c r="T27" i="55"/>
  <c r="S28" i="40"/>
  <c r="T28" i="40"/>
  <c r="U28" i="58"/>
  <c r="V28" i="58"/>
  <c r="U28" i="43"/>
  <c r="V28" i="43"/>
  <c r="U28" i="70"/>
  <c r="AR15" i="71" s="1"/>
  <c r="V28" i="70"/>
  <c r="AS15" i="71" s="1"/>
  <c r="U28" i="46"/>
  <c r="U28" i="50"/>
  <c r="V28" i="50"/>
  <c r="U28" i="40"/>
  <c r="V28" i="40"/>
  <c r="X28" i="58"/>
  <c r="W28" i="43"/>
  <c r="X28" i="43"/>
  <c r="W28" i="70"/>
  <c r="AR16" i="71" s="1"/>
  <c r="X28" i="70"/>
  <c r="AS16" i="71" s="1"/>
  <c r="W28" i="46"/>
  <c r="X28" i="46"/>
  <c r="W28" i="50"/>
  <c r="X28" i="50"/>
  <c r="W27" i="55"/>
  <c r="X27" i="55"/>
  <c r="W28" i="40"/>
  <c r="X28" i="40"/>
  <c r="Y28" i="43"/>
  <c r="Z28" i="43"/>
  <c r="Y28" i="70"/>
  <c r="AR17" i="71" s="1"/>
  <c r="Z28" i="70"/>
  <c r="AS17" i="71" s="1"/>
  <c r="Y28" i="46"/>
  <c r="Z28" i="46"/>
  <c r="Y28" i="50"/>
  <c r="Z28" i="50"/>
  <c r="Y28" i="55"/>
  <c r="Z28" i="55"/>
  <c r="Y28" i="40"/>
  <c r="Z28" i="40"/>
  <c r="AB28" i="58"/>
  <c r="AA28" i="43"/>
  <c r="AB28" i="43"/>
  <c r="AA28" i="70"/>
  <c r="AR18" i="71" s="1"/>
  <c r="AB28" i="70"/>
  <c r="AS18" i="71" s="1"/>
  <c r="AA28" i="46"/>
  <c r="AB28" i="46"/>
  <c r="AA28" i="50"/>
  <c r="AB28" i="50"/>
  <c r="AA27" i="55"/>
  <c r="AB27" i="55"/>
  <c r="AA28" i="40"/>
  <c r="AB28" i="40"/>
  <c r="AD28" i="58"/>
  <c r="AC28" i="43"/>
  <c r="AD28" i="43"/>
  <c r="AC28" i="70"/>
  <c r="AR19" i="71" s="1"/>
  <c r="AD28" i="70"/>
  <c r="AS19" i="71" s="1"/>
  <c r="AC28" i="46"/>
  <c r="AD28" i="46"/>
  <c r="AC28" i="50"/>
  <c r="AD28" i="50"/>
  <c r="AC27" i="55"/>
  <c r="AD27" i="55"/>
  <c r="AC28" i="40"/>
  <c r="AD28" i="40"/>
  <c r="AF28" i="58"/>
  <c r="AE28" i="43"/>
  <c r="AF28" i="43"/>
  <c r="AE28" i="70"/>
  <c r="AR20" i="71" s="1"/>
  <c r="AF28" i="70"/>
  <c r="AS20" i="71" s="1"/>
  <c r="AE28" i="46"/>
  <c r="AF28" i="46"/>
  <c r="AE28" i="50"/>
  <c r="AF28" i="50"/>
  <c r="AE27" i="55"/>
  <c r="AF27" i="55"/>
  <c r="AE28" i="40"/>
  <c r="AF28" i="40"/>
  <c r="AG28" i="58"/>
  <c r="AH28" i="58"/>
  <c r="AG28" i="43"/>
  <c r="AH28" i="43"/>
  <c r="AG28" i="70"/>
  <c r="AR21" i="71" s="1"/>
  <c r="AH28" i="70"/>
  <c r="AS21" i="71" s="1"/>
  <c r="AG28" i="46"/>
  <c r="AH28" i="46"/>
  <c r="AG28" i="50"/>
  <c r="AH28" i="50"/>
  <c r="AG27" i="55"/>
  <c r="AH27" i="55"/>
  <c r="AG28" i="40"/>
  <c r="AH28" i="40"/>
  <c r="AI28" i="58"/>
  <c r="AI28" i="43"/>
  <c r="AJ28" i="43"/>
  <c r="AI28" i="70"/>
  <c r="AR22" i="71" s="1"/>
  <c r="AJ28" i="70"/>
  <c r="AS22" i="71" s="1"/>
  <c r="AI28" i="46"/>
  <c r="AJ28" i="46"/>
  <c r="AI28" i="50"/>
  <c r="AJ28" i="50"/>
  <c r="AI27" i="55"/>
  <c r="AJ27" i="55"/>
  <c r="AI28" i="40"/>
  <c r="AJ28" i="40"/>
  <c r="AK28" i="58"/>
  <c r="AL28" i="58"/>
  <c r="AK28" i="43"/>
  <c r="AL28" i="43"/>
  <c r="AK28" i="70"/>
  <c r="AR23" i="71" s="1"/>
  <c r="AL28" i="70"/>
  <c r="AS23" i="71" s="1"/>
  <c r="AK28" i="46"/>
  <c r="AL28" i="46"/>
  <c r="AK28" i="50"/>
  <c r="AL28" i="50"/>
  <c r="AK27" i="55"/>
  <c r="AL27" i="55"/>
  <c r="AK28" i="40"/>
  <c r="AL28" i="40"/>
  <c r="AM28" i="58"/>
  <c r="AN28" i="58"/>
  <c r="AM28" i="43"/>
  <c r="AN28" i="43"/>
  <c r="AM28" i="70"/>
  <c r="AR24" i="71" s="1"/>
  <c r="AN28" i="70"/>
  <c r="AS24" i="71" s="1"/>
  <c r="AM28" i="46"/>
  <c r="AN28" i="46"/>
  <c r="AM28" i="50"/>
  <c r="AN28" i="50"/>
  <c r="AM27" i="55"/>
  <c r="AN27" i="55"/>
  <c r="AM28" i="40"/>
  <c r="AN28" i="40"/>
  <c r="AO28" i="43"/>
  <c r="AP28" i="43"/>
  <c r="AO28" i="70"/>
  <c r="AR25" i="71" s="1"/>
  <c r="AP28" i="70"/>
  <c r="AS25" i="71" s="1"/>
  <c r="AO28" i="46"/>
  <c r="AP28" i="46"/>
  <c r="AO28" i="50"/>
  <c r="AP28" i="50"/>
  <c r="AO27" i="55"/>
  <c r="AP27" i="55"/>
  <c r="AR28" i="58"/>
  <c r="AQ28" i="43"/>
  <c r="AR28" i="43"/>
  <c r="AQ28" i="70"/>
  <c r="AR26" i="71" s="1"/>
  <c r="AR28" i="70"/>
  <c r="AS26" i="71" s="1"/>
  <c r="AQ28" i="46"/>
  <c r="AR28" i="46"/>
  <c r="AQ28" i="50"/>
  <c r="AR28" i="50"/>
  <c r="AQ27" i="55"/>
  <c r="AR27" i="55"/>
  <c r="AQ28" i="40"/>
  <c r="AR28" i="40"/>
  <c r="AT28" i="58"/>
  <c r="AS28" i="43"/>
  <c r="AT28" i="43"/>
  <c r="AS28" i="70"/>
  <c r="AR27" i="71" s="1"/>
  <c r="AT28" i="70"/>
  <c r="AS27" i="71" s="1"/>
  <c r="AS28" i="46"/>
  <c r="AT28" i="46"/>
  <c r="AS28" i="50"/>
  <c r="AT28" i="50"/>
  <c r="AS27" i="55"/>
  <c r="AT27" i="55"/>
  <c r="AS28" i="40"/>
  <c r="AT28" i="40"/>
  <c r="AU28" i="58"/>
  <c r="AU28" i="43"/>
  <c r="AV28" i="43"/>
  <c r="AU28" i="70"/>
  <c r="AR28" i="71" s="1"/>
  <c r="AV28" i="70"/>
  <c r="AS28" i="71" s="1"/>
  <c r="AU28" i="46"/>
  <c r="AV28" i="46"/>
  <c r="AU28" i="50"/>
  <c r="AV28" i="50"/>
  <c r="AU27" i="55"/>
  <c r="AV27" i="55"/>
  <c r="AU28" i="40"/>
  <c r="AV28" i="40"/>
  <c r="AW28" i="43"/>
  <c r="AX28" i="43"/>
  <c r="AW28" i="70"/>
  <c r="AR29" i="71" s="1"/>
  <c r="AX28" i="70"/>
  <c r="AS29" i="71" s="1"/>
  <c r="AW28" i="46"/>
  <c r="AX28" i="46"/>
  <c r="AW28" i="50"/>
  <c r="AX28" i="50"/>
  <c r="AW28" i="40"/>
  <c r="AX28" i="40"/>
  <c r="AY28" i="43"/>
  <c r="AZ28" i="43"/>
  <c r="AY28" i="70"/>
  <c r="AR30" i="71" s="1"/>
  <c r="AZ28" i="70"/>
  <c r="AS30" i="71" s="1"/>
  <c r="AY28" i="46"/>
  <c r="AZ28" i="46"/>
  <c r="AY28" i="50"/>
  <c r="AZ28" i="50"/>
  <c r="AY27" i="55"/>
  <c r="AZ27" i="55"/>
  <c r="AY28" i="40"/>
  <c r="AZ28" i="40"/>
  <c r="BA28" i="58"/>
  <c r="BB28" i="58"/>
  <c r="BA28" i="43"/>
  <c r="BB28" i="43"/>
  <c r="BA28" i="70"/>
  <c r="AR31" i="71" s="1"/>
  <c r="BB28" i="70"/>
  <c r="AS31" i="71" s="1"/>
  <c r="BA28" i="46"/>
  <c r="BB28" i="46"/>
  <c r="BA28" i="50"/>
  <c r="BB28" i="50"/>
  <c r="BA27" i="55"/>
  <c r="BB27" i="55"/>
  <c r="BA28" i="40"/>
  <c r="BB28" i="40"/>
  <c r="BD28" i="58"/>
  <c r="BC28" i="43"/>
  <c r="BD28" i="43"/>
  <c r="BC28" i="70"/>
  <c r="AR32" i="71" s="1"/>
  <c r="BD28" i="70"/>
  <c r="AS32" i="71" s="1"/>
  <c r="BC28" i="46"/>
  <c r="BD28" i="46"/>
  <c r="BC28" i="50"/>
  <c r="BD28" i="50"/>
  <c r="BC27" i="55"/>
  <c r="BD27" i="55"/>
  <c r="BC28" i="40"/>
  <c r="BD28" i="40"/>
  <c r="BE28" i="58"/>
  <c r="BF28" i="58"/>
  <c r="BE28" i="43"/>
  <c r="BF28" i="43"/>
  <c r="BE28" i="70"/>
  <c r="AR33" i="71" s="1"/>
  <c r="BF28" i="70"/>
  <c r="AS33" i="71" s="1"/>
  <c r="BE28" i="46"/>
  <c r="BF28" i="46"/>
  <c r="BE28" i="40"/>
  <c r="BF28" i="40"/>
  <c r="BH28" i="58"/>
  <c r="BG28" i="43"/>
  <c r="BH28" i="43"/>
  <c r="BG28" i="70"/>
  <c r="AR34" i="71" s="1"/>
  <c r="BG28" i="46"/>
  <c r="BH28" i="46"/>
  <c r="BG28" i="50"/>
  <c r="BH28" i="50"/>
  <c r="BG27" i="55"/>
  <c r="BH27" i="55"/>
  <c r="BG28" i="40"/>
  <c r="BH28" i="40"/>
  <c r="BI28" i="43"/>
  <c r="BJ28" i="43"/>
  <c r="BI28" i="70"/>
  <c r="AR35" i="71" s="1"/>
  <c r="BJ28" i="70"/>
  <c r="AS35" i="71" s="1"/>
  <c r="BI28" i="46"/>
  <c r="BJ28" i="46"/>
  <c r="BI28" i="50"/>
  <c r="BJ28" i="50"/>
  <c r="BI27" i="55"/>
  <c r="BJ27" i="55"/>
  <c r="BI28" i="40"/>
  <c r="BJ28" i="40"/>
  <c r="BK28" i="43"/>
  <c r="BL28" i="43"/>
  <c r="BK28" i="70"/>
  <c r="AR36" i="71" s="1"/>
  <c r="BL28" i="70"/>
  <c r="AS36" i="71" s="1"/>
  <c r="BK28" i="46"/>
  <c r="BL28" i="46"/>
  <c r="BK28" i="50"/>
  <c r="BL28" i="50"/>
  <c r="BK27" i="55"/>
  <c r="BL27" i="55"/>
  <c r="BK28" i="40"/>
  <c r="BL28" i="40"/>
  <c r="BM28" i="43"/>
  <c r="BN28" i="43"/>
  <c r="BM28" i="70"/>
  <c r="AR37" i="71" s="1"/>
  <c r="BN28" i="70"/>
  <c r="AS37" i="71" s="1"/>
  <c r="BM28" i="46"/>
  <c r="BN28" i="46"/>
  <c r="BM28" i="50"/>
  <c r="BN28" i="50"/>
  <c r="BM27" i="55"/>
  <c r="BN27" i="55"/>
  <c r="BM28" i="40"/>
  <c r="BN28" i="40"/>
  <c r="BO28" i="43"/>
  <c r="BP28" i="43"/>
  <c r="BO28" i="70"/>
  <c r="AR38" i="71" s="1"/>
  <c r="BP28" i="70"/>
  <c r="AS38" i="71" s="1"/>
  <c r="BO28" i="46"/>
  <c r="BP28" i="46"/>
  <c r="BO28" i="50"/>
  <c r="BP28" i="50"/>
  <c r="BO27" i="55"/>
  <c r="BP27" i="55"/>
  <c r="BO28" i="40"/>
  <c r="BP28" i="40"/>
  <c r="BQ28" i="43"/>
  <c r="BR28" i="43"/>
  <c r="BQ28" i="70"/>
  <c r="AR39" i="71" s="1"/>
  <c r="BR28" i="70"/>
  <c r="AS39" i="71" s="1"/>
  <c r="BQ28" i="46"/>
  <c r="BR28" i="46"/>
  <c r="BQ28" i="50"/>
  <c r="BR28" i="50"/>
  <c r="BQ28" i="40"/>
  <c r="BR28" i="40"/>
  <c r="BS28" i="43"/>
  <c r="BT28" i="43"/>
  <c r="BS28" i="70"/>
  <c r="AR40" i="71" s="1"/>
  <c r="BT28" i="70"/>
  <c r="AS40" i="71" s="1"/>
  <c r="BS28" i="46"/>
  <c r="BT28" i="46"/>
  <c r="BS28" i="50"/>
  <c r="BT28" i="50"/>
  <c r="BS27" i="55"/>
  <c r="BT27" i="55"/>
  <c r="BS28" i="40"/>
  <c r="BT28" i="40"/>
  <c r="BU28" i="43"/>
  <c r="BV28" i="43"/>
  <c r="BU28" i="70"/>
  <c r="AR41" i="71" s="1"/>
  <c r="BV28" i="70"/>
  <c r="AS41" i="71" s="1"/>
  <c r="BU28" i="46"/>
  <c r="BV28" i="46"/>
  <c r="BU28" i="50"/>
  <c r="BV28" i="50"/>
  <c r="BU27" i="55"/>
  <c r="BV27" i="55"/>
  <c r="BU28" i="40"/>
  <c r="BV28" i="40"/>
  <c r="BW28" i="43"/>
  <c r="BX28" i="43"/>
  <c r="BW28" i="70"/>
  <c r="AR42" i="71" s="1"/>
  <c r="BX28" i="70"/>
  <c r="AS42" i="71" s="1"/>
  <c r="BW28" i="46"/>
  <c r="BX28" i="46"/>
  <c r="BW28" i="50"/>
  <c r="BX28" i="50"/>
  <c r="BW27" i="55"/>
  <c r="BX27" i="55"/>
  <c r="BW28" i="40"/>
  <c r="BX28" i="40"/>
  <c r="BY28" i="43"/>
  <c r="BZ28" i="43"/>
  <c r="BY28" i="70"/>
  <c r="AR43" i="71" s="1"/>
  <c r="BZ28" i="70"/>
  <c r="AS43" i="71" s="1"/>
  <c r="BY28" i="46"/>
  <c r="BZ28" i="46"/>
  <c r="BY28" i="50"/>
  <c r="BZ28" i="50"/>
  <c r="BY27" i="55"/>
  <c r="BZ27" i="55"/>
  <c r="BY28" i="40"/>
  <c r="BZ28" i="40"/>
  <c r="C29" i="58"/>
  <c r="D29" i="58"/>
  <c r="C29" i="43"/>
  <c r="D29" i="43"/>
  <c r="AU6" i="44" s="1"/>
  <c r="F58" i="45" s="1"/>
  <c r="C29" i="70"/>
  <c r="AT6" i="71" s="1"/>
  <c r="D29" i="70"/>
  <c r="AU6" i="71" s="1"/>
  <c r="C29" i="46"/>
  <c r="D29" i="46"/>
  <c r="C29" i="50"/>
  <c r="D29" i="50"/>
  <c r="C29" i="55"/>
  <c r="D29" i="55"/>
  <c r="C29" i="40"/>
  <c r="D29" i="40"/>
  <c r="E29" i="58"/>
  <c r="F29" i="58"/>
  <c r="E29" i="43"/>
  <c r="AT7" i="44" s="1"/>
  <c r="F11" i="45" s="1"/>
  <c r="F29" i="43"/>
  <c r="AU7" i="44" s="1"/>
  <c r="F59" i="45" s="1"/>
  <c r="E29" i="70"/>
  <c r="AT7" i="71" s="1"/>
  <c r="F29" i="70"/>
  <c r="AU7" i="71" s="1"/>
  <c r="E29" i="46"/>
  <c r="E29" i="50"/>
  <c r="E29" i="55"/>
  <c r="H29" i="70"/>
  <c r="AU8" i="71" s="1"/>
  <c r="H29" i="46"/>
  <c r="H29" i="50"/>
  <c r="H29" i="55"/>
  <c r="I29" i="43"/>
  <c r="J29" i="43"/>
  <c r="I29" i="70"/>
  <c r="AT9" i="71" s="1"/>
  <c r="J29" i="70"/>
  <c r="AU9" i="71" s="1"/>
  <c r="I29" i="46"/>
  <c r="J29" i="46"/>
  <c r="I29" i="50"/>
  <c r="J29" i="50"/>
  <c r="J28" i="55"/>
  <c r="K29" i="43"/>
  <c r="L29" i="43"/>
  <c r="K29" i="70"/>
  <c r="AT10" i="71" s="1"/>
  <c r="L29" i="70"/>
  <c r="AU10" i="71" s="1"/>
  <c r="K29" i="46"/>
  <c r="L29" i="46"/>
  <c r="K29" i="50"/>
  <c r="L29" i="50"/>
  <c r="K28" i="55"/>
  <c r="L28" i="55"/>
  <c r="K29" i="40"/>
  <c r="L29" i="40"/>
  <c r="N29" i="58"/>
  <c r="M29" i="43"/>
  <c r="N29" i="43"/>
  <c r="M29" i="70"/>
  <c r="AT11" i="71" s="1"/>
  <c r="N29" i="70"/>
  <c r="AU11" i="71" s="1"/>
  <c r="M29" i="46"/>
  <c r="N29" i="46"/>
  <c r="M29" i="50"/>
  <c r="N29" i="50"/>
  <c r="M28" i="55"/>
  <c r="N28" i="55"/>
  <c r="M29" i="40"/>
  <c r="N29" i="40"/>
  <c r="P29" i="58"/>
  <c r="O29" i="43"/>
  <c r="P29" i="43"/>
  <c r="O29" i="70"/>
  <c r="AT12" i="71" s="1"/>
  <c r="P29" i="70"/>
  <c r="AU12" i="71" s="1"/>
  <c r="O29" i="46"/>
  <c r="P29" i="46"/>
  <c r="O29" i="50"/>
  <c r="P29" i="50"/>
  <c r="O28" i="55"/>
  <c r="P28" i="55"/>
  <c r="O29" i="40"/>
  <c r="P29" i="40"/>
  <c r="Q29" i="58"/>
  <c r="R29" i="58"/>
  <c r="Q29" i="43"/>
  <c r="R29" i="43"/>
  <c r="Q29" i="70"/>
  <c r="AT13" i="71" s="1"/>
  <c r="R29" i="70"/>
  <c r="AU13" i="71" s="1"/>
  <c r="Q29" i="46"/>
  <c r="R29" i="46"/>
  <c r="Q29" i="50"/>
  <c r="R29" i="50"/>
  <c r="Q28" i="55"/>
  <c r="R28" i="55"/>
  <c r="Q29" i="40"/>
  <c r="R29" i="40"/>
  <c r="S29" i="58"/>
  <c r="T29" i="58"/>
  <c r="S29" i="43"/>
  <c r="T29" i="43"/>
  <c r="S29" i="70"/>
  <c r="AT14" i="71" s="1"/>
  <c r="T29" i="70"/>
  <c r="AU14" i="71" s="1"/>
  <c r="S29" i="46"/>
  <c r="T29" i="46"/>
  <c r="S29" i="50"/>
  <c r="T29" i="50"/>
  <c r="S28" i="55"/>
  <c r="T28" i="55"/>
  <c r="S29" i="40"/>
  <c r="T29" i="40"/>
  <c r="U29" i="58"/>
  <c r="U29" i="43"/>
  <c r="V29" i="43"/>
  <c r="U29" i="70"/>
  <c r="AT15" i="71" s="1"/>
  <c r="V29" i="70"/>
  <c r="AU15" i="71" s="1"/>
  <c r="U29" i="46"/>
  <c r="V29" i="46"/>
  <c r="U29" i="50"/>
  <c r="V29" i="50"/>
  <c r="U29" i="40"/>
  <c r="V29" i="40"/>
  <c r="W29" i="43"/>
  <c r="X29" i="43"/>
  <c r="W29" i="70"/>
  <c r="AT16" i="71" s="1"/>
  <c r="X29" i="70"/>
  <c r="AU16" i="71" s="1"/>
  <c r="W29" i="46"/>
  <c r="X29" i="46"/>
  <c r="W29" i="50"/>
  <c r="X29" i="50"/>
  <c r="W28" i="55"/>
  <c r="X28" i="55"/>
  <c r="W29" i="40"/>
  <c r="X29" i="40"/>
  <c r="Z29" i="58"/>
  <c r="Y29" i="43"/>
  <c r="Z29" i="43"/>
  <c r="Y29" i="70"/>
  <c r="AT17" i="71" s="1"/>
  <c r="Z29" i="70"/>
  <c r="AU17" i="71" s="1"/>
  <c r="Y29" i="46"/>
  <c r="Z29" i="46"/>
  <c r="Y29" i="50"/>
  <c r="Z29" i="50"/>
  <c r="Y29" i="55"/>
  <c r="Z29" i="55"/>
  <c r="Y29" i="40"/>
  <c r="Z29" i="40"/>
  <c r="AB29" i="58"/>
  <c r="AA29" i="43"/>
  <c r="AB29" i="43"/>
  <c r="AA29" i="70"/>
  <c r="AT18" i="71" s="1"/>
  <c r="AB29" i="70"/>
  <c r="AU18" i="71" s="1"/>
  <c r="AA29" i="46"/>
  <c r="AB29" i="46"/>
  <c r="AA29" i="50"/>
  <c r="AB29" i="50"/>
  <c r="AA28" i="55"/>
  <c r="AB28" i="55"/>
  <c r="AA29" i="40"/>
  <c r="AB29" i="40"/>
  <c r="AC29" i="58"/>
  <c r="AD29" i="58"/>
  <c r="AC29" i="43"/>
  <c r="AD29" i="43"/>
  <c r="AC29" i="70"/>
  <c r="AT19" i="71" s="1"/>
  <c r="AD29" i="70"/>
  <c r="AU19" i="71" s="1"/>
  <c r="AC29" i="46"/>
  <c r="AD29" i="46"/>
  <c r="AC29" i="50"/>
  <c r="AD29" i="50"/>
  <c r="AC28" i="55"/>
  <c r="AD28" i="55"/>
  <c r="AC29" i="40"/>
  <c r="AD29" i="40"/>
  <c r="AE29" i="43"/>
  <c r="AF29" i="43"/>
  <c r="AE29" i="70"/>
  <c r="AT20" i="71" s="1"/>
  <c r="AF29" i="70"/>
  <c r="AU20" i="71" s="1"/>
  <c r="AE29" i="46"/>
  <c r="AF29" i="46"/>
  <c r="AE29" i="50"/>
  <c r="AF29" i="50"/>
  <c r="AE28" i="55"/>
  <c r="AF28" i="55"/>
  <c r="AE29" i="40"/>
  <c r="AF29" i="40"/>
  <c r="AG29" i="43"/>
  <c r="AH29" i="43"/>
  <c r="AG29" i="70"/>
  <c r="AT21" i="71" s="1"/>
  <c r="AH29" i="70"/>
  <c r="AU21" i="71" s="1"/>
  <c r="AG29" i="46"/>
  <c r="AH29" i="46"/>
  <c r="AG29" i="50"/>
  <c r="AH29" i="50"/>
  <c r="AG28" i="55"/>
  <c r="AH28" i="55"/>
  <c r="AG29" i="40"/>
  <c r="AH29" i="40"/>
  <c r="AI29" i="43"/>
  <c r="AJ29" i="43"/>
  <c r="AI29" i="70"/>
  <c r="AT22" i="71" s="1"/>
  <c r="AJ29" i="70"/>
  <c r="AU22" i="71" s="1"/>
  <c r="AI29" i="46"/>
  <c r="AJ29" i="46"/>
  <c r="AI29" i="50"/>
  <c r="AJ29" i="50"/>
  <c r="AI28" i="55"/>
  <c r="AJ28" i="55"/>
  <c r="AI29" i="40"/>
  <c r="AJ29" i="40"/>
  <c r="AL29" i="58"/>
  <c r="AK29" i="43"/>
  <c r="AL29" i="43"/>
  <c r="AK29" i="70"/>
  <c r="AT23" i="71" s="1"/>
  <c r="AL29" i="70"/>
  <c r="AU23" i="71" s="1"/>
  <c r="AK29" i="46"/>
  <c r="AL29" i="46"/>
  <c r="AK29" i="50"/>
  <c r="AL29" i="50"/>
  <c r="AK28" i="55"/>
  <c r="AL28" i="55"/>
  <c r="AK29" i="40"/>
  <c r="AL29" i="40"/>
  <c r="AM29" i="58"/>
  <c r="AN29" i="58"/>
  <c r="AM29" i="43"/>
  <c r="AN29" i="43"/>
  <c r="AM29" i="70"/>
  <c r="AT24" i="71" s="1"/>
  <c r="AN29" i="70"/>
  <c r="AU24" i="71" s="1"/>
  <c r="AM29" i="46"/>
  <c r="AN29" i="46"/>
  <c r="AM29" i="50"/>
  <c r="AN29" i="50"/>
  <c r="AM28" i="55"/>
  <c r="AN28" i="55"/>
  <c r="AM29" i="40"/>
  <c r="AN29" i="40"/>
  <c r="AO29" i="43"/>
  <c r="AO29" i="70"/>
  <c r="AT25" i="71" s="1"/>
  <c r="AP29" i="70"/>
  <c r="AU25" i="71" s="1"/>
  <c r="AO29" i="46"/>
  <c r="AP29" i="46"/>
  <c r="AO29" i="50"/>
  <c r="AP29" i="50"/>
  <c r="AO28" i="55"/>
  <c r="AP28" i="55"/>
  <c r="AR29" i="58"/>
  <c r="AQ29" i="43"/>
  <c r="AR29" i="43"/>
  <c r="AQ29" i="70"/>
  <c r="AT26" i="71" s="1"/>
  <c r="AR29" i="70"/>
  <c r="AU26" i="71" s="1"/>
  <c r="AQ29" i="46"/>
  <c r="AR29" i="46"/>
  <c r="AQ29" i="50"/>
  <c r="AR29" i="50"/>
  <c r="AQ28" i="55"/>
  <c r="AR28" i="55"/>
  <c r="AQ29" i="40"/>
  <c r="AR29" i="40"/>
  <c r="AS29" i="43"/>
  <c r="AT29" i="43"/>
  <c r="AS29" i="70"/>
  <c r="AT27" i="71" s="1"/>
  <c r="AT29" i="70"/>
  <c r="AU27" i="71" s="1"/>
  <c r="AS29" i="46"/>
  <c r="AT29" i="46"/>
  <c r="AS29" i="50"/>
  <c r="AT29" i="50"/>
  <c r="AS28" i="55"/>
  <c r="AT28" i="55"/>
  <c r="AS29" i="40"/>
  <c r="AT29" i="40"/>
  <c r="AU29" i="58"/>
  <c r="AU29" i="43"/>
  <c r="AV29" i="43"/>
  <c r="AU29" i="70"/>
  <c r="AT28" i="71" s="1"/>
  <c r="AV29" i="70"/>
  <c r="AU28" i="71" s="1"/>
  <c r="AU29" i="46"/>
  <c r="AV29" i="46"/>
  <c r="AU29" i="50"/>
  <c r="AV29" i="50"/>
  <c r="AU28" i="55"/>
  <c r="AV28" i="55"/>
  <c r="AU29" i="40"/>
  <c r="AV29" i="40"/>
  <c r="AW29" i="58"/>
  <c r="AX29" i="58"/>
  <c r="AW29" i="43"/>
  <c r="AX29" i="43"/>
  <c r="AW29" i="70"/>
  <c r="AT29" i="71" s="1"/>
  <c r="AX29" i="70"/>
  <c r="AU29" i="71" s="1"/>
  <c r="AW29" i="46"/>
  <c r="AX29" i="46"/>
  <c r="AW29" i="50"/>
  <c r="AX29" i="50"/>
  <c r="AW29" i="40"/>
  <c r="AX29" i="40"/>
  <c r="AZ29" i="58"/>
  <c r="AY29" i="43"/>
  <c r="AZ29" i="43"/>
  <c r="AY29" i="70"/>
  <c r="AT30" i="71" s="1"/>
  <c r="AZ29" i="70"/>
  <c r="AU30" i="71" s="1"/>
  <c r="AY29" i="46"/>
  <c r="AZ29" i="46"/>
  <c r="AY29" i="50"/>
  <c r="AZ29" i="50"/>
  <c r="AY28" i="55"/>
  <c r="AZ28" i="55"/>
  <c r="AY29" i="40"/>
  <c r="AZ29" i="40"/>
  <c r="BA29" i="58"/>
  <c r="BB29" i="58"/>
  <c r="BA29" i="43"/>
  <c r="BB29" i="43"/>
  <c r="BA29" i="70"/>
  <c r="AT31" i="71" s="1"/>
  <c r="BB29" i="70"/>
  <c r="AU31" i="71" s="1"/>
  <c r="BA29" i="46"/>
  <c r="BB29" i="46"/>
  <c r="BA29" i="50"/>
  <c r="BB29" i="50"/>
  <c r="BA28" i="55"/>
  <c r="BB28" i="55"/>
  <c r="BA29" i="40"/>
  <c r="BB29" i="40"/>
  <c r="BC29" i="58"/>
  <c r="BD29" i="43"/>
  <c r="BC29" i="70"/>
  <c r="AT32" i="71" s="1"/>
  <c r="BD29" i="70"/>
  <c r="AU32" i="71" s="1"/>
  <c r="BC29" i="46"/>
  <c r="BD29" i="46"/>
  <c r="BC29" i="50"/>
  <c r="BD29" i="50"/>
  <c r="BC28" i="55"/>
  <c r="BD28" i="55"/>
  <c r="BC29" i="40"/>
  <c r="BD29" i="40"/>
  <c r="BE29" i="43"/>
  <c r="BF29" i="43"/>
  <c r="BE29" i="70"/>
  <c r="AT33" i="71" s="1"/>
  <c r="BF29" i="70"/>
  <c r="AU33" i="71" s="1"/>
  <c r="BE29" i="46"/>
  <c r="BF29" i="46"/>
  <c r="BE29" i="40"/>
  <c r="BF29" i="40"/>
  <c r="BG29" i="43"/>
  <c r="BH29" i="43"/>
  <c r="BG29" i="70"/>
  <c r="AT34" i="71" s="1"/>
  <c r="BH29" i="70"/>
  <c r="AU34" i="71" s="1"/>
  <c r="BG29" i="46"/>
  <c r="BH29" i="46"/>
  <c r="BG29" i="50"/>
  <c r="BH29" i="50"/>
  <c r="BG28" i="55"/>
  <c r="BH28" i="55"/>
  <c r="BG29" i="40"/>
  <c r="BH29" i="40"/>
  <c r="BJ29" i="58"/>
  <c r="BI29" i="43"/>
  <c r="BJ29" i="43"/>
  <c r="BI29" i="70"/>
  <c r="AT35" i="71" s="1"/>
  <c r="BJ29" i="70"/>
  <c r="AU35" i="71" s="1"/>
  <c r="BI29" i="46"/>
  <c r="BJ29" i="46"/>
  <c r="BI29" i="50"/>
  <c r="BJ29" i="50"/>
  <c r="BI28" i="55"/>
  <c r="BJ28" i="55"/>
  <c r="BI29" i="40"/>
  <c r="BJ29" i="40"/>
  <c r="BK29" i="43"/>
  <c r="BL29" i="43"/>
  <c r="BK29" i="70"/>
  <c r="AT36" i="71" s="1"/>
  <c r="BL29" i="70"/>
  <c r="AU36" i="71" s="1"/>
  <c r="BK29" i="46"/>
  <c r="BL29" i="46"/>
  <c r="BK29" i="50"/>
  <c r="BL29" i="50"/>
  <c r="BK28" i="55"/>
  <c r="BL28" i="55"/>
  <c r="BK29" i="40"/>
  <c r="BL29" i="40"/>
  <c r="BM29" i="43"/>
  <c r="BN29" i="43"/>
  <c r="BM29" i="70"/>
  <c r="AT37" i="71" s="1"/>
  <c r="BN29" i="70"/>
  <c r="AU37" i="71" s="1"/>
  <c r="BM29" i="46"/>
  <c r="BN29" i="46"/>
  <c r="BM29" i="50"/>
  <c r="BN29" i="50"/>
  <c r="BM28" i="55"/>
  <c r="BN28" i="55"/>
  <c r="BM29" i="40"/>
  <c r="BN29" i="40"/>
  <c r="BO29" i="43"/>
  <c r="BP29" i="43"/>
  <c r="BO29" i="70"/>
  <c r="AT38" i="71" s="1"/>
  <c r="BP29" i="70"/>
  <c r="AU38" i="71" s="1"/>
  <c r="BO29" i="46"/>
  <c r="BP29" i="46"/>
  <c r="BO29" i="50"/>
  <c r="BP29" i="50"/>
  <c r="BO28" i="55"/>
  <c r="BP28" i="55"/>
  <c r="BO29" i="40"/>
  <c r="BP29" i="40"/>
  <c r="BQ29" i="43"/>
  <c r="BR29" i="43"/>
  <c r="BQ29" i="70"/>
  <c r="AT39" i="71" s="1"/>
  <c r="BR29" i="70"/>
  <c r="AU39" i="71" s="1"/>
  <c r="BQ29" i="46"/>
  <c r="BR29" i="46"/>
  <c r="BQ29" i="50"/>
  <c r="BR29" i="50"/>
  <c r="BQ29" i="40"/>
  <c r="BR29" i="40"/>
  <c r="BS29" i="43"/>
  <c r="BT29" i="43"/>
  <c r="BS29" i="70"/>
  <c r="AT40" i="71" s="1"/>
  <c r="BT29" i="70"/>
  <c r="AU40" i="71" s="1"/>
  <c r="BS29" i="46"/>
  <c r="BT29" i="46"/>
  <c r="BS29" i="50"/>
  <c r="BT29" i="50"/>
  <c r="BS28" i="55"/>
  <c r="BT28" i="55"/>
  <c r="BS29" i="40"/>
  <c r="BT29" i="40"/>
  <c r="BU29" i="43"/>
  <c r="BV29" i="43"/>
  <c r="BU29" i="70"/>
  <c r="AT41" i="71" s="1"/>
  <c r="BV29" i="70"/>
  <c r="AU41" i="71" s="1"/>
  <c r="BU29" i="46"/>
  <c r="BV29" i="46"/>
  <c r="BU29" i="50"/>
  <c r="BV29" i="50"/>
  <c r="BU28" i="55"/>
  <c r="BV28" i="55"/>
  <c r="BU29" i="40"/>
  <c r="BV29" i="40"/>
  <c r="BW29" i="43"/>
  <c r="BX29" i="43"/>
  <c r="BW29" i="70"/>
  <c r="AT42" i="71" s="1"/>
  <c r="BX29" i="70"/>
  <c r="AU42" i="71" s="1"/>
  <c r="BW29" i="46"/>
  <c r="BX29" i="46"/>
  <c r="BW29" i="50"/>
  <c r="BX29" i="50"/>
  <c r="BW28" i="55"/>
  <c r="BX28" i="55"/>
  <c r="BW29" i="40"/>
  <c r="BX29" i="40"/>
  <c r="BY29" i="43"/>
  <c r="BZ29" i="43"/>
  <c r="BY29" i="70"/>
  <c r="AT43" i="71" s="1"/>
  <c r="BZ29" i="70"/>
  <c r="AU43" i="71" s="1"/>
  <c r="BY29" i="46"/>
  <c r="BZ29" i="46"/>
  <c r="BY29" i="50"/>
  <c r="BZ29" i="50"/>
  <c r="BY28" i="55"/>
  <c r="BZ28" i="55"/>
  <c r="BY29" i="40"/>
  <c r="BZ29" i="40"/>
  <c r="C30" i="43"/>
  <c r="AV6" i="44" s="1"/>
  <c r="D30" i="43"/>
  <c r="AW6" i="44" s="1"/>
  <c r="C30" i="70"/>
  <c r="AV6" i="71" s="1"/>
  <c r="D30" i="70"/>
  <c r="AW6" i="71" s="1"/>
  <c r="C30" i="46"/>
  <c r="D30" i="46"/>
  <c r="C30" i="50"/>
  <c r="D30" i="50"/>
  <c r="C30" i="55"/>
  <c r="D30" i="55"/>
  <c r="C30" i="40"/>
  <c r="D30" i="40"/>
  <c r="E30" i="58"/>
  <c r="F30" i="58"/>
  <c r="E30" i="43"/>
  <c r="AV7" i="44" s="1"/>
  <c r="K11" i="45" s="1"/>
  <c r="F30" i="43"/>
  <c r="AW7" i="44" s="1"/>
  <c r="E30" i="70"/>
  <c r="AV7" i="71" s="1"/>
  <c r="F30" i="70"/>
  <c r="AW7" i="71" s="1"/>
  <c r="E30" i="46"/>
  <c r="E30" i="50"/>
  <c r="E30" i="55"/>
  <c r="H30" i="70"/>
  <c r="AW8" i="71" s="1"/>
  <c r="H30" i="46"/>
  <c r="H30" i="50"/>
  <c r="H30" i="55"/>
  <c r="I30" i="58"/>
  <c r="J30" i="58"/>
  <c r="I30" i="43"/>
  <c r="J30" i="43"/>
  <c r="I30" i="70"/>
  <c r="AV9" i="71" s="1"/>
  <c r="J30" i="70"/>
  <c r="AW9" i="71" s="1"/>
  <c r="I30" i="46"/>
  <c r="I30" i="50"/>
  <c r="J30" i="50"/>
  <c r="J29" i="55"/>
  <c r="K30" i="58"/>
  <c r="L30" i="58"/>
  <c r="K30" i="43"/>
  <c r="L30" i="43"/>
  <c r="K30" i="70"/>
  <c r="AV10" i="71" s="1"/>
  <c r="L30" i="70"/>
  <c r="AW10" i="71" s="1"/>
  <c r="K30" i="46"/>
  <c r="L30" i="46"/>
  <c r="K30" i="50"/>
  <c r="L30" i="50"/>
  <c r="K29" i="55"/>
  <c r="L29" i="55"/>
  <c r="K30" i="40"/>
  <c r="L30" i="40"/>
  <c r="M30" i="58"/>
  <c r="N30" i="58"/>
  <c r="M30" i="43"/>
  <c r="N30" i="43"/>
  <c r="M30" i="70"/>
  <c r="AV11" i="71" s="1"/>
  <c r="N30" i="70"/>
  <c r="AW11" i="71" s="1"/>
  <c r="M30" i="46"/>
  <c r="N30" i="46"/>
  <c r="M30" i="50"/>
  <c r="N30" i="50"/>
  <c r="M29" i="55"/>
  <c r="N29" i="55"/>
  <c r="M30" i="40"/>
  <c r="N30" i="40"/>
  <c r="O30" i="43"/>
  <c r="P30" i="43"/>
  <c r="O30" i="70"/>
  <c r="AV12" i="71" s="1"/>
  <c r="P30" i="70"/>
  <c r="AW12" i="71" s="1"/>
  <c r="O30" i="46"/>
  <c r="P30" i="46"/>
  <c r="O30" i="50"/>
  <c r="P30" i="50"/>
  <c r="O29" i="55"/>
  <c r="P29" i="55"/>
  <c r="O30" i="40"/>
  <c r="P30" i="40"/>
  <c r="Q30" i="43"/>
  <c r="R30" i="43"/>
  <c r="Q30" i="70"/>
  <c r="AV13" i="71" s="1"/>
  <c r="R30" i="70"/>
  <c r="AW13" i="71" s="1"/>
  <c r="Q30" i="46"/>
  <c r="R30" i="46"/>
  <c r="Q30" i="50"/>
  <c r="R30" i="50"/>
  <c r="Q29" i="55"/>
  <c r="R29" i="55"/>
  <c r="Q30" i="40"/>
  <c r="R30" i="40"/>
  <c r="S30" i="43"/>
  <c r="T30" i="43"/>
  <c r="S30" i="70"/>
  <c r="AV14" i="71" s="1"/>
  <c r="T30" i="70"/>
  <c r="AW14" i="71" s="1"/>
  <c r="S30" i="46"/>
  <c r="T30" i="46"/>
  <c r="S30" i="50"/>
  <c r="T30" i="50"/>
  <c r="S29" i="55"/>
  <c r="T29" i="55"/>
  <c r="S30" i="40"/>
  <c r="T30" i="40"/>
  <c r="U30" i="58"/>
  <c r="V30" i="58"/>
  <c r="U30" i="43"/>
  <c r="V30" i="43"/>
  <c r="U30" i="70"/>
  <c r="AV15" i="71" s="1"/>
  <c r="V30" i="70"/>
  <c r="AW15" i="71" s="1"/>
  <c r="U30" i="46"/>
  <c r="V30" i="46"/>
  <c r="U30" i="50"/>
  <c r="V30" i="50"/>
  <c r="U30" i="40"/>
  <c r="V30" i="40"/>
  <c r="W30" i="58"/>
  <c r="X30" i="58"/>
  <c r="W30" i="43"/>
  <c r="X30" i="43"/>
  <c r="W30" i="46"/>
  <c r="X30" i="46"/>
  <c r="W30" i="50"/>
  <c r="X30" i="50"/>
  <c r="W29" i="55"/>
  <c r="X29" i="55"/>
  <c r="W30" i="40"/>
  <c r="X30" i="40"/>
  <c r="Y30" i="58"/>
  <c r="Z30" i="58"/>
  <c r="Y30" i="43"/>
  <c r="Z30" i="43"/>
  <c r="Y30" i="70"/>
  <c r="AV17" i="71" s="1"/>
  <c r="Z30" i="70"/>
  <c r="AW17" i="71" s="1"/>
  <c r="Y30" i="46"/>
  <c r="Z30" i="46"/>
  <c r="Y30" i="50"/>
  <c r="Z30" i="50"/>
  <c r="Y30" i="55"/>
  <c r="Z30" i="55"/>
  <c r="Y30" i="40"/>
  <c r="Z30" i="40"/>
  <c r="AB30" i="58"/>
  <c r="AA30" i="43"/>
  <c r="AB30" i="43"/>
  <c r="AA30" i="70"/>
  <c r="AV18" i="71" s="1"/>
  <c r="AB30" i="70"/>
  <c r="AW18" i="71" s="1"/>
  <c r="AA30" i="46"/>
  <c r="AB30" i="46"/>
  <c r="AA30" i="50"/>
  <c r="AB30" i="50"/>
  <c r="AA29" i="55"/>
  <c r="AB29" i="55"/>
  <c r="AA30" i="40"/>
  <c r="AB30" i="40"/>
  <c r="AD30" i="58"/>
  <c r="AC30" i="43"/>
  <c r="AD30" i="43"/>
  <c r="AC30" i="70"/>
  <c r="AV19" i="71" s="1"/>
  <c r="AD30" i="70"/>
  <c r="AW19" i="71" s="1"/>
  <c r="AC30" i="46"/>
  <c r="AD30" i="46"/>
  <c r="AC30" i="50"/>
  <c r="AD30" i="50"/>
  <c r="AC29" i="55"/>
  <c r="AD29" i="55"/>
  <c r="AC30" i="40"/>
  <c r="AD30" i="40"/>
  <c r="AE30" i="43"/>
  <c r="AF30" i="43"/>
  <c r="AE30" i="70"/>
  <c r="AV20" i="71" s="1"/>
  <c r="AF30" i="70"/>
  <c r="AW20" i="71" s="1"/>
  <c r="AE30" i="46"/>
  <c r="AF30" i="46"/>
  <c r="AE30" i="50"/>
  <c r="AF30" i="50"/>
  <c r="AE29" i="55"/>
  <c r="AF29" i="55"/>
  <c r="AE30" i="40"/>
  <c r="AF30" i="40"/>
  <c r="AH30" i="58"/>
  <c r="AG30" i="43"/>
  <c r="AH30" i="43"/>
  <c r="AG30" i="70"/>
  <c r="AV21" i="71" s="1"/>
  <c r="AH30" i="70"/>
  <c r="AW21" i="71" s="1"/>
  <c r="AG30" i="46"/>
  <c r="AH30" i="46"/>
  <c r="AG30" i="50"/>
  <c r="AH30" i="50"/>
  <c r="AG29" i="55"/>
  <c r="AH29" i="55"/>
  <c r="AG30" i="40"/>
  <c r="AH30" i="40"/>
  <c r="AJ30" i="58"/>
  <c r="AI30" i="43"/>
  <c r="AJ30" i="43"/>
  <c r="AI30" i="70"/>
  <c r="AV22" i="71" s="1"/>
  <c r="AJ30" i="70"/>
  <c r="AW22" i="71" s="1"/>
  <c r="AI30" i="46"/>
  <c r="AJ30" i="46"/>
  <c r="AI30" i="50"/>
  <c r="AJ30" i="50"/>
  <c r="AI29" i="55"/>
  <c r="AJ29" i="55"/>
  <c r="AI30" i="40"/>
  <c r="AJ30" i="40"/>
  <c r="AK30" i="58"/>
  <c r="AL30" i="58"/>
  <c r="AK30" i="43"/>
  <c r="AK30" i="70"/>
  <c r="AV23" i="71" s="1"/>
  <c r="AL30" i="70"/>
  <c r="AW23" i="71" s="1"/>
  <c r="AK30" i="46"/>
  <c r="AL30" i="46"/>
  <c r="AK30" i="50"/>
  <c r="AL30" i="50"/>
  <c r="AK29" i="55"/>
  <c r="AL29" i="55"/>
  <c r="AK30" i="40"/>
  <c r="AL30" i="40"/>
  <c r="AM30" i="43"/>
  <c r="AN30" i="43"/>
  <c r="AM30" i="70"/>
  <c r="AV24" i="71" s="1"/>
  <c r="AN30" i="70"/>
  <c r="AW24" i="71" s="1"/>
  <c r="AM30" i="46"/>
  <c r="AN30" i="46"/>
  <c r="AM30" i="50"/>
  <c r="AN30" i="50"/>
  <c r="AM29" i="55"/>
  <c r="AN29" i="55"/>
  <c r="AM30" i="40"/>
  <c r="AN30" i="40"/>
  <c r="AO30" i="43"/>
  <c r="AP30" i="43"/>
  <c r="AO30" i="70"/>
  <c r="AV25" i="71" s="1"/>
  <c r="AP30" i="70"/>
  <c r="AW25" i="71" s="1"/>
  <c r="AO30" i="46"/>
  <c r="AP30" i="46"/>
  <c r="AO30" i="50"/>
  <c r="AP30" i="50"/>
  <c r="AO29" i="55"/>
  <c r="AP29" i="55"/>
  <c r="AQ30" i="58"/>
  <c r="AR30" i="58"/>
  <c r="AQ30" i="43"/>
  <c r="AR30" i="43"/>
  <c r="AQ30" i="70"/>
  <c r="AV26" i="71" s="1"/>
  <c r="AR30" i="70"/>
  <c r="AW26" i="71" s="1"/>
  <c r="AQ30" i="46"/>
  <c r="AR30" i="46"/>
  <c r="AQ30" i="50"/>
  <c r="AR30" i="50"/>
  <c r="AQ29" i="55"/>
  <c r="AR29" i="55"/>
  <c r="AQ30" i="40"/>
  <c r="AR30" i="40"/>
  <c r="AS30" i="58"/>
  <c r="AT30" i="58"/>
  <c r="AS30" i="43"/>
  <c r="AT30" i="43"/>
  <c r="AS30" i="70"/>
  <c r="AV27" i="71" s="1"/>
  <c r="AT30" i="70"/>
  <c r="AW27" i="71" s="1"/>
  <c r="AS30" i="46"/>
  <c r="AT30" i="46"/>
  <c r="AS30" i="50"/>
  <c r="AT30" i="50"/>
  <c r="AS29" i="55"/>
  <c r="AT29" i="55"/>
  <c r="AS30" i="40"/>
  <c r="AT30" i="40"/>
  <c r="AU30" i="58"/>
  <c r="AV30" i="58"/>
  <c r="AU30" i="43"/>
  <c r="AV30" i="43"/>
  <c r="AU30" i="70"/>
  <c r="AV28" i="71" s="1"/>
  <c r="AV30" i="70"/>
  <c r="AW28" i="71" s="1"/>
  <c r="AU30" i="46"/>
  <c r="AV30" i="46"/>
  <c r="AU30" i="50"/>
  <c r="AV30" i="50"/>
  <c r="AU29" i="55"/>
  <c r="AV29" i="55"/>
  <c r="AU30" i="40"/>
  <c r="AV30" i="40"/>
  <c r="AW30" i="58"/>
  <c r="AX30" i="58"/>
  <c r="AX30" i="43"/>
  <c r="AW30" i="70"/>
  <c r="AV29" i="71" s="1"/>
  <c r="AX30" i="70"/>
  <c r="AW29" i="71" s="1"/>
  <c r="AW30" i="46"/>
  <c r="AX30" i="46"/>
  <c r="AW30" i="50"/>
  <c r="AX30" i="50"/>
  <c r="AW30" i="40"/>
  <c r="AX30" i="40"/>
  <c r="AY30" i="43"/>
  <c r="AZ30" i="43"/>
  <c r="AY30" i="70"/>
  <c r="AV30" i="71" s="1"/>
  <c r="AZ30" i="70"/>
  <c r="AW30" i="71" s="1"/>
  <c r="AY30" i="46"/>
  <c r="AZ30" i="46"/>
  <c r="AY30" i="50"/>
  <c r="AZ30" i="50"/>
  <c r="AY29" i="55"/>
  <c r="AZ29" i="55"/>
  <c r="AY30" i="40"/>
  <c r="AZ30" i="40"/>
  <c r="BB30" i="58"/>
  <c r="BA30" i="43"/>
  <c r="BB30" i="43"/>
  <c r="BA30" i="70"/>
  <c r="AV31" i="71" s="1"/>
  <c r="BB30" i="70"/>
  <c r="AW31" i="71" s="1"/>
  <c r="BA30" i="46"/>
  <c r="BB30" i="46"/>
  <c r="BA30" i="50"/>
  <c r="BB30" i="50"/>
  <c r="BA29" i="55"/>
  <c r="BB29" i="55"/>
  <c r="BA30" i="40"/>
  <c r="BB30" i="40"/>
  <c r="BC30" i="43"/>
  <c r="BD30" i="43"/>
  <c r="BC30" i="70"/>
  <c r="AV32" i="71" s="1"/>
  <c r="BD30" i="70"/>
  <c r="AW32" i="71" s="1"/>
  <c r="BC30" i="46"/>
  <c r="BD30" i="46"/>
  <c r="BC30" i="50"/>
  <c r="BD30" i="50"/>
  <c r="BC29" i="55"/>
  <c r="BD29" i="55"/>
  <c r="BC30" i="40"/>
  <c r="BD30" i="40"/>
  <c r="BE30" i="43"/>
  <c r="BF30" i="43"/>
  <c r="BE30" i="70"/>
  <c r="AV33" i="71" s="1"/>
  <c r="BF30" i="70"/>
  <c r="AW33" i="71" s="1"/>
  <c r="BE30" i="46"/>
  <c r="BF30" i="46"/>
  <c r="BE30" i="40"/>
  <c r="BF30" i="40"/>
  <c r="BG30" i="58"/>
  <c r="BH30" i="58"/>
  <c r="BG30" i="43"/>
  <c r="BH30" i="43"/>
  <c r="BG30" i="70"/>
  <c r="AV34" i="71" s="1"/>
  <c r="BH30" i="70"/>
  <c r="AW34" i="71" s="1"/>
  <c r="BG30" i="46"/>
  <c r="BH30" i="46"/>
  <c r="BG30" i="50"/>
  <c r="BH30" i="50"/>
  <c r="BG29" i="55"/>
  <c r="BH29" i="55"/>
  <c r="BG30" i="40"/>
  <c r="BH30" i="40"/>
  <c r="BI30" i="58"/>
  <c r="BJ30" i="58"/>
  <c r="BI30" i="43"/>
  <c r="BJ30" i="43"/>
  <c r="BI30" i="70"/>
  <c r="AV35" i="71" s="1"/>
  <c r="BJ30" i="70"/>
  <c r="AW35" i="71" s="1"/>
  <c r="BI30" i="46"/>
  <c r="BJ30" i="46"/>
  <c r="BI30" i="50"/>
  <c r="BJ30" i="50"/>
  <c r="BI29" i="55"/>
  <c r="BJ29" i="55"/>
  <c r="BI30" i="40"/>
  <c r="BJ30" i="40"/>
  <c r="BK30" i="43"/>
  <c r="BL30" i="43"/>
  <c r="BK30" i="70"/>
  <c r="AV36" i="71" s="1"/>
  <c r="BL30" i="70"/>
  <c r="AW36" i="71" s="1"/>
  <c r="BK30" i="46"/>
  <c r="BL30" i="46"/>
  <c r="BK30" i="50"/>
  <c r="BL30" i="50"/>
  <c r="BK29" i="55"/>
  <c r="BL29" i="55"/>
  <c r="BK30" i="40"/>
  <c r="BL30" i="40"/>
  <c r="BM30" i="43"/>
  <c r="BN30" i="43"/>
  <c r="BM30" i="70"/>
  <c r="AV37" i="71" s="1"/>
  <c r="BN30" i="70"/>
  <c r="AW37" i="71" s="1"/>
  <c r="BM30" i="46"/>
  <c r="BN30" i="46"/>
  <c r="BM30" i="50"/>
  <c r="BN30" i="50"/>
  <c r="BM29" i="55"/>
  <c r="BN29" i="55"/>
  <c r="BM30" i="40"/>
  <c r="BN30" i="40"/>
  <c r="BO30" i="43"/>
  <c r="BP30" i="43"/>
  <c r="BO30" i="70"/>
  <c r="AV38" i="71" s="1"/>
  <c r="BP30" i="70"/>
  <c r="AW38" i="71" s="1"/>
  <c r="BO30" i="46"/>
  <c r="BP30" i="46"/>
  <c r="BO30" i="50"/>
  <c r="BP30" i="50"/>
  <c r="BO29" i="55"/>
  <c r="BP29" i="55"/>
  <c r="BO30" i="40"/>
  <c r="BP30" i="40"/>
  <c r="BQ30" i="43"/>
  <c r="BR30" i="43"/>
  <c r="BQ30" i="70"/>
  <c r="AV39" i="71" s="1"/>
  <c r="BR30" i="70"/>
  <c r="AW39" i="71" s="1"/>
  <c r="BQ30" i="46"/>
  <c r="BR30" i="46"/>
  <c r="BQ30" i="50"/>
  <c r="BR30" i="50"/>
  <c r="BQ30" i="40"/>
  <c r="BR30" i="40"/>
  <c r="BS30" i="43"/>
  <c r="BT30" i="43"/>
  <c r="BS30" i="70"/>
  <c r="AV40" i="71" s="1"/>
  <c r="BT30" i="70"/>
  <c r="AW40" i="71" s="1"/>
  <c r="BS30" i="46"/>
  <c r="BT30" i="46"/>
  <c r="BS30" i="50"/>
  <c r="BT30" i="50"/>
  <c r="BS29" i="55"/>
  <c r="BT29" i="55"/>
  <c r="BS30" i="40"/>
  <c r="BT30" i="40"/>
  <c r="BU30" i="43"/>
  <c r="BV30" i="43"/>
  <c r="BU30" i="70"/>
  <c r="AV41" i="71" s="1"/>
  <c r="BV30" i="70"/>
  <c r="AW41" i="71" s="1"/>
  <c r="BU30" i="46"/>
  <c r="BV30" i="46"/>
  <c r="BU30" i="50"/>
  <c r="BV30" i="50"/>
  <c r="BU29" i="55"/>
  <c r="BV29" i="55"/>
  <c r="BU30" i="40"/>
  <c r="BV30" i="40"/>
  <c r="BW30" i="43"/>
  <c r="BX30" i="43"/>
  <c r="BW30" i="70"/>
  <c r="AV42" i="71" s="1"/>
  <c r="BX30" i="70"/>
  <c r="AW42" i="71" s="1"/>
  <c r="BW30" i="46"/>
  <c r="BX30" i="46"/>
  <c r="BW30" i="50"/>
  <c r="BX30" i="50"/>
  <c r="BW29" i="55"/>
  <c r="BX29" i="55"/>
  <c r="BW30" i="40"/>
  <c r="BX30" i="40"/>
  <c r="BY30" i="43"/>
  <c r="BZ30" i="43"/>
  <c r="BY30" i="70"/>
  <c r="AV43" i="71" s="1"/>
  <c r="BZ30" i="70"/>
  <c r="AW43" i="71" s="1"/>
  <c r="BY30" i="46"/>
  <c r="BZ30" i="46"/>
  <c r="BY30" i="50"/>
  <c r="BZ30" i="50"/>
  <c r="BY29" i="55"/>
  <c r="BZ29" i="55"/>
  <c r="BY30" i="40"/>
  <c r="BZ30" i="40"/>
  <c r="C31" i="43"/>
  <c r="AX6" i="44" s="1"/>
  <c r="D31" i="43"/>
  <c r="AY6" i="44" s="1"/>
  <c r="C31" i="70"/>
  <c r="AX6" i="71" s="1"/>
  <c r="D31" i="70"/>
  <c r="AY6" i="71" s="1"/>
  <c r="C31" i="46"/>
  <c r="D31" i="46"/>
  <c r="C31" i="50"/>
  <c r="D31" i="50"/>
  <c r="C31" i="55"/>
  <c r="D31" i="55"/>
  <c r="C31" i="40"/>
  <c r="D31" i="40"/>
  <c r="E31" i="58"/>
  <c r="F31" i="58"/>
  <c r="E31" i="43"/>
  <c r="AX7" i="44" s="1"/>
  <c r="F31" i="43"/>
  <c r="AY7" i="44" s="1"/>
  <c r="E31" i="70"/>
  <c r="AX7" i="71" s="1"/>
  <c r="F31" i="70"/>
  <c r="AY7" i="71" s="1"/>
  <c r="E31" i="46"/>
  <c r="E31" i="50"/>
  <c r="E31" i="55"/>
  <c r="H31" i="46"/>
  <c r="H31" i="50"/>
  <c r="H31" i="55"/>
  <c r="J31" i="58"/>
  <c r="I31" i="43"/>
  <c r="J31" i="43"/>
  <c r="I31" i="70"/>
  <c r="AX9" i="71" s="1"/>
  <c r="J31" i="70"/>
  <c r="AY9" i="71" s="1"/>
  <c r="I31" i="46"/>
  <c r="J31" i="46"/>
  <c r="I31" i="50"/>
  <c r="J31" i="50"/>
  <c r="J30" i="55"/>
  <c r="K31" i="58"/>
  <c r="L31" i="58"/>
  <c r="K31" i="43"/>
  <c r="L31" i="43"/>
  <c r="K31" i="70"/>
  <c r="AX10" i="71" s="1"/>
  <c r="L31" i="70"/>
  <c r="AY10" i="71" s="1"/>
  <c r="K31" i="46"/>
  <c r="L31" i="46"/>
  <c r="K31" i="50"/>
  <c r="L31" i="50"/>
  <c r="K30" i="55"/>
  <c r="L30" i="55"/>
  <c r="K31" i="40"/>
  <c r="L31" i="40"/>
  <c r="M31" i="43"/>
  <c r="N31" i="43"/>
  <c r="M31" i="70"/>
  <c r="AX11" i="71" s="1"/>
  <c r="N31" i="70"/>
  <c r="AY11" i="71" s="1"/>
  <c r="M31" i="46"/>
  <c r="N31" i="46"/>
  <c r="M31" i="50"/>
  <c r="N31" i="50"/>
  <c r="M30" i="55"/>
  <c r="N30" i="55"/>
  <c r="M31" i="40"/>
  <c r="N31" i="40"/>
  <c r="O31" i="43"/>
  <c r="P31" i="43"/>
  <c r="O31" i="70"/>
  <c r="AX12" i="71" s="1"/>
  <c r="P31" i="70"/>
  <c r="AY12" i="71" s="1"/>
  <c r="O31" i="46"/>
  <c r="P31" i="46"/>
  <c r="O31" i="50"/>
  <c r="P31" i="50"/>
  <c r="O30" i="55"/>
  <c r="P30" i="55"/>
  <c r="O31" i="40"/>
  <c r="P31" i="40"/>
  <c r="Q31" i="43"/>
  <c r="R31" i="43"/>
  <c r="Q31" i="70"/>
  <c r="AX13" i="71" s="1"/>
  <c r="R31" i="70"/>
  <c r="AY13" i="71" s="1"/>
  <c r="Q31" i="46"/>
  <c r="R31" i="46"/>
  <c r="Q31" i="50"/>
  <c r="R31" i="50"/>
  <c r="Q30" i="55"/>
  <c r="R30" i="55"/>
  <c r="Q31" i="40"/>
  <c r="R31" i="40"/>
  <c r="T31" i="58"/>
  <c r="S31" i="43"/>
  <c r="T31" i="43"/>
  <c r="S31" i="70"/>
  <c r="AX14" i="71" s="1"/>
  <c r="T31" i="70"/>
  <c r="AY14" i="71" s="1"/>
  <c r="S31" i="46"/>
  <c r="T31" i="46"/>
  <c r="S31" i="50"/>
  <c r="T31" i="50"/>
  <c r="S30" i="55"/>
  <c r="T30" i="55"/>
  <c r="S31" i="40"/>
  <c r="T31" i="40"/>
  <c r="U31" i="43"/>
  <c r="V31" i="43"/>
  <c r="U31" i="70"/>
  <c r="AX15" i="71" s="1"/>
  <c r="V31" i="70"/>
  <c r="AY15" i="71" s="1"/>
  <c r="U31" i="46"/>
  <c r="V31" i="46"/>
  <c r="U31" i="50"/>
  <c r="V31" i="50"/>
  <c r="U31" i="40"/>
  <c r="V31" i="40"/>
  <c r="W31" i="58"/>
  <c r="X31" i="43"/>
  <c r="W31" i="70"/>
  <c r="AX16" i="71" s="1"/>
  <c r="X31" i="70"/>
  <c r="AY16" i="71" s="1"/>
  <c r="W31" i="46"/>
  <c r="X31" i="46"/>
  <c r="W31" i="50"/>
  <c r="X31" i="50"/>
  <c r="W30" i="55"/>
  <c r="X30" i="55"/>
  <c r="W31" i="40"/>
  <c r="X31" i="40"/>
  <c r="Y31" i="43"/>
  <c r="Z31" i="43"/>
  <c r="Y31" i="70"/>
  <c r="AX17" i="71" s="1"/>
  <c r="Z31" i="70"/>
  <c r="AY17" i="71" s="1"/>
  <c r="Y31" i="46"/>
  <c r="Z31" i="46"/>
  <c r="Y31" i="50"/>
  <c r="Z31" i="50"/>
  <c r="Y31" i="55"/>
  <c r="Z31" i="55"/>
  <c r="Y31" i="40"/>
  <c r="Z31" i="40"/>
  <c r="AB31" i="58"/>
  <c r="AA31" i="43"/>
  <c r="AB31" i="43"/>
  <c r="AA31" i="70"/>
  <c r="AX18" i="71" s="1"/>
  <c r="AB31" i="70"/>
  <c r="AY18" i="71" s="1"/>
  <c r="AA31" i="46"/>
  <c r="AB31" i="46"/>
  <c r="AA31" i="50"/>
  <c r="AB31" i="50"/>
  <c r="AA30" i="55"/>
  <c r="AB30" i="55"/>
  <c r="AA31" i="40"/>
  <c r="AB31" i="40"/>
  <c r="AC31" i="43"/>
  <c r="AD31" i="43"/>
  <c r="AC31" i="70"/>
  <c r="AX19" i="71" s="1"/>
  <c r="AD31" i="70"/>
  <c r="AY19" i="71" s="1"/>
  <c r="AC31" i="46"/>
  <c r="AD31" i="46"/>
  <c r="AC31" i="50"/>
  <c r="AD31" i="50"/>
  <c r="AC30" i="55"/>
  <c r="AD30" i="55"/>
  <c r="AC31" i="40"/>
  <c r="AD31" i="40"/>
  <c r="AE31" i="58"/>
  <c r="AF31" i="58"/>
  <c r="AE31" i="43"/>
  <c r="AF31" i="43"/>
  <c r="AE31" i="70"/>
  <c r="AX20" i="71" s="1"/>
  <c r="AE31" i="46"/>
  <c r="AF31" i="46"/>
  <c r="AE31" i="50"/>
  <c r="AF31" i="50"/>
  <c r="AE30" i="55"/>
  <c r="AF30" i="55"/>
  <c r="AE31" i="40"/>
  <c r="AF31" i="40"/>
  <c r="AH31" i="58"/>
  <c r="AG31" i="43"/>
  <c r="AH31" i="43"/>
  <c r="AG31" i="70"/>
  <c r="AX21" i="71" s="1"/>
  <c r="AH31" i="70"/>
  <c r="AY21" i="71" s="1"/>
  <c r="AG31" i="46"/>
  <c r="AH31" i="46"/>
  <c r="AG31" i="50"/>
  <c r="AH31" i="50"/>
  <c r="AG30" i="55"/>
  <c r="AH30" i="55"/>
  <c r="AG31" i="40"/>
  <c r="AH31" i="40"/>
  <c r="AI31" i="58"/>
  <c r="AI31" i="43"/>
  <c r="AJ31" i="43"/>
  <c r="AI31" i="70"/>
  <c r="AX22" i="71" s="1"/>
  <c r="AJ31" i="70"/>
  <c r="AY22" i="71" s="1"/>
  <c r="AI31" i="46"/>
  <c r="AJ31" i="46"/>
  <c r="AI31" i="50"/>
  <c r="AJ31" i="50"/>
  <c r="AI30" i="55"/>
  <c r="AJ30" i="55"/>
  <c r="AI31" i="40"/>
  <c r="AJ31" i="40"/>
  <c r="AK31" i="43"/>
  <c r="AL31" i="43"/>
  <c r="AK31" i="70"/>
  <c r="AX23" i="71" s="1"/>
  <c r="AL31" i="70"/>
  <c r="AY23" i="71" s="1"/>
  <c r="AK31" i="46"/>
  <c r="AL31" i="46"/>
  <c r="AK31" i="50"/>
  <c r="AL31" i="50"/>
  <c r="AK30" i="55"/>
  <c r="AL30" i="55"/>
  <c r="AK31" i="40"/>
  <c r="AL31" i="40"/>
  <c r="AN31" i="58"/>
  <c r="AM31" i="43"/>
  <c r="AN31" i="43"/>
  <c r="AM31" i="70"/>
  <c r="AX24" i="71" s="1"/>
  <c r="AN31" i="70"/>
  <c r="AY24" i="71" s="1"/>
  <c r="AM31" i="46"/>
  <c r="AN31" i="46"/>
  <c r="AM31" i="50"/>
  <c r="AN31" i="50"/>
  <c r="AM30" i="55"/>
  <c r="AN30" i="55"/>
  <c r="AM31" i="40"/>
  <c r="AN31" i="40"/>
  <c r="AO31" i="43"/>
  <c r="AP31" i="43"/>
  <c r="AO31" i="70"/>
  <c r="AX25" i="71" s="1"/>
  <c r="AP31" i="70"/>
  <c r="AY25" i="71" s="1"/>
  <c r="AO31" i="46"/>
  <c r="AP31" i="46"/>
  <c r="AO31" i="50"/>
  <c r="AP31" i="50"/>
  <c r="AO30" i="55"/>
  <c r="AP30" i="55"/>
  <c r="AQ31" i="58"/>
  <c r="AR31" i="58"/>
  <c r="AQ31" i="43"/>
  <c r="AR31" i="43"/>
  <c r="AQ31" i="70"/>
  <c r="AX26" i="71" s="1"/>
  <c r="AQ31" i="46"/>
  <c r="AR31" i="46"/>
  <c r="AQ31" i="50"/>
  <c r="AR31" i="50"/>
  <c r="AQ30" i="55"/>
  <c r="AR30" i="55"/>
  <c r="AQ31" i="40"/>
  <c r="AR31" i="40"/>
  <c r="AS31" i="58"/>
  <c r="AT31" i="58"/>
  <c r="AS31" i="43"/>
  <c r="AT31" i="43"/>
  <c r="AS31" i="70"/>
  <c r="AX27" i="71" s="1"/>
  <c r="AT31" i="70"/>
  <c r="AY27" i="71" s="1"/>
  <c r="AS31" i="46"/>
  <c r="AT31" i="46"/>
  <c r="AS31" i="50"/>
  <c r="AT31" i="50"/>
  <c r="AS30" i="55"/>
  <c r="AT30" i="55"/>
  <c r="AS31" i="40"/>
  <c r="AT31" i="40"/>
  <c r="AU31" i="43"/>
  <c r="AV31" i="43"/>
  <c r="AU31" i="70"/>
  <c r="AX28" i="71" s="1"/>
  <c r="AV31" i="70"/>
  <c r="AY28" i="71" s="1"/>
  <c r="AU31" i="46"/>
  <c r="AV31" i="46"/>
  <c r="AU31" i="50"/>
  <c r="AV31" i="50"/>
  <c r="AU30" i="55"/>
  <c r="AV30" i="55"/>
  <c r="AU31" i="40"/>
  <c r="AV31" i="40"/>
  <c r="AW31" i="58"/>
  <c r="AX31" i="58"/>
  <c r="AW31" i="43"/>
  <c r="AX31" i="43"/>
  <c r="AW31" i="70"/>
  <c r="AX29" i="71" s="1"/>
  <c r="AX31" i="70"/>
  <c r="AY29" i="71" s="1"/>
  <c r="AW31" i="46"/>
  <c r="AX31" i="46"/>
  <c r="AW31" i="50"/>
  <c r="AX31" i="50"/>
  <c r="AW31" i="40"/>
  <c r="AX31" i="40"/>
  <c r="AY31" i="43"/>
  <c r="AZ31" i="43"/>
  <c r="AY31" i="70"/>
  <c r="AX30" i="71" s="1"/>
  <c r="AZ31" i="70"/>
  <c r="AY30" i="71" s="1"/>
  <c r="AY31" i="46"/>
  <c r="AZ31" i="46"/>
  <c r="AY31" i="50"/>
  <c r="AZ31" i="50"/>
  <c r="AY30" i="55"/>
  <c r="AZ30" i="55"/>
  <c r="AY31" i="40"/>
  <c r="AZ31" i="40"/>
  <c r="BA31" i="58"/>
  <c r="BB31" i="58"/>
  <c r="BA31" i="43"/>
  <c r="BB31" i="43"/>
  <c r="BA31" i="70"/>
  <c r="AX31" i="71" s="1"/>
  <c r="BB31" i="70"/>
  <c r="AY31" i="71" s="1"/>
  <c r="BA31" i="46"/>
  <c r="BB31" i="46"/>
  <c r="BA31" i="50"/>
  <c r="BB31" i="50"/>
  <c r="BA30" i="55"/>
  <c r="BB30" i="55"/>
  <c r="BA31" i="40"/>
  <c r="BB31" i="40"/>
  <c r="BD31" i="58"/>
  <c r="BC31" i="43"/>
  <c r="BD31" i="43"/>
  <c r="BC31" i="70"/>
  <c r="AX32" i="71" s="1"/>
  <c r="BD31" i="70"/>
  <c r="AY32" i="71" s="1"/>
  <c r="BC31" i="46"/>
  <c r="BD31" i="46"/>
  <c r="BC31" i="50"/>
  <c r="BD31" i="50"/>
  <c r="BC30" i="55"/>
  <c r="BD30" i="55"/>
  <c r="BC31" i="40"/>
  <c r="BD31" i="40"/>
  <c r="BE31" i="58"/>
  <c r="BF31" i="58"/>
  <c r="BE31" i="43"/>
  <c r="BF31" i="43"/>
  <c r="BE31" i="70"/>
  <c r="AX33" i="71" s="1"/>
  <c r="BF31" i="70"/>
  <c r="AY33" i="71" s="1"/>
  <c r="BE31" i="46"/>
  <c r="BF31" i="46"/>
  <c r="BE31" i="40"/>
  <c r="BF31" i="40"/>
  <c r="BG31" i="43"/>
  <c r="BH31" i="43"/>
  <c r="BG31" i="70"/>
  <c r="AX34" i="71" s="1"/>
  <c r="BH31" i="70"/>
  <c r="AY34" i="71" s="1"/>
  <c r="BG31" i="46"/>
  <c r="BH31" i="46"/>
  <c r="BG31" i="50"/>
  <c r="BH31" i="50"/>
  <c r="BG30" i="55"/>
  <c r="BH30" i="55"/>
  <c r="BG31" i="40"/>
  <c r="BH31" i="40"/>
  <c r="BI31" i="58"/>
  <c r="BI31" i="43"/>
  <c r="BJ31" i="43"/>
  <c r="BI31" i="70"/>
  <c r="AX35" i="71" s="1"/>
  <c r="BJ31" i="70"/>
  <c r="AY35" i="71" s="1"/>
  <c r="BI31" i="46"/>
  <c r="BJ31" i="46"/>
  <c r="BI31" i="50"/>
  <c r="BJ31" i="50"/>
  <c r="BI30" i="55"/>
  <c r="BJ30" i="55"/>
  <c r="BI31" i="40"/>
  <c r="BJ31" i="40"/>
  <c r="BK31" i="43"/>
  <c r="BL31" i="43"/>
  <c r="BK31" i="70"/>
  <c r="AX36" i="71" s="1"/>
  <c r="BL31" i="70"/>
  <c r="AY36" i="71" s="1"/>
  <c r="BK31" i="46"/>
  <c r="BL31" i="46"/>
  <c r="BK31" i="50"/>
  <c r="BL31" i="50"/>
  <c r="BK30" i="55"/>
  <c r="BL30" i="55"/>
  <c r="BK31" i="40"/>
  <c r="BL31" i="40"/>
  <c r="BM31" i="43"/>
  <c r="BN31" i="43"/>
  <c r="BM31" i="70"/>
  <c r="AX37" i="71" s="1"/>
  <c r="BN31" i="70"/>
  <c r="AY37" i="71" s="1"/>
  <c r="BM31" i="46"/>
  <c r="BN31" i="46"/>
  <c r="BM31" i="50"/>
  <c r="BN31" i="50"/>
  <c r="BM30" i="55"/>
  <c r="BN30" i="55"/>
  <c r="BM31" i="40"/>
  <c r="BN31" i="40"/>
  <c r="BO31" i="43"/>
  <c r="BP31" i="43"/>
  <c r="BO31" i="70"/>
  <c r="AX38" i="71" s="1"/>
  <c r="BP31" i="70"/>
  <c r="AY38" i="71" s="1"/>
  <c r="BO31" i="46"/>
  <c r="BP31" i="46"/>
  <c r="BO31" i="50"/>
  <c r="BP31" i="50"/>
  <c r="BO30" i="55"/>
  <c r="BP30" i="55"/>
  <c r="BO31" i="40"/>
  <c r="BP31" i="40"/>
  <c r="BQ31" i="43"/>
  <c r="BR31" i="43"/>
  <c r="BQ31" i="70"/>
  <c r="AX39" i="71" s="1"/>
  <c r="BR31" i="70"/>
  <c r="AY39" i="71" s="1"/>
  <c r="BQ31" i="46"/>
  <c r="BR31" i="46"/>
  <c r="BQ31" i="50"/>
  <c r="BR31" i="50"/>
  <c r="BQ31" i="40"/>
  <c r="BR31" i="40"/>
  <c r="BS31" i="43"/>
  <c r="BT31" i="43"/>
  <c r="BS31" i="70"/>
  <c r="AX40" i="71" s="1"/>
  <c r="BT31" i="70"/>
  <c r="AY40" i="71" s="1"/>
  <c r="BS31" i="46"/>
  <c r="BT31" i="46"/>
  <c r="BS31" i="50"/>
  <c r="BT31" i="50"/>
  <c r="BS30" i="55"/>
  <c r="BT30" i="55"/>
  <c r="BS31" i="40"/>
  <c r="BT31" i="40"/>
  <c r="BU31" i="43"/>
  <c r="BV31" i="43"/>
  <c r="BU31" i="70"/>
  <c r="AX41" i="71" s="1"/>
  <c r="BV31" i="70"/>
  <c r="AY41" i="71" s="1"/>
  <c r="BU31" i="46"/>
  <c r="BV31" i="46"/>
  <c r="BU31" i="50"/>
  <c r="BV31" i="50"/>
  <c r="BU30" i="55"/>
  <c r="BV30" i="55"/>
  <c r="BU31" i="40"/>
  <c r="BV31" i="40"/>
  <c r="BW31" i="43"/>
  <c r="BX31" i="43"/>
  <c r="BW31" i="70"/>
  <c r="AX42" i="71" s="1"/>
  <c r="BX31" i="70"/>
  <c r="AY42" i="71" s="1"/>
  <c r="BW31" i="46"/>
  <c r="BX31" i="46"/>
  <c r="BW31" i="50"/>
  <c r="BX31" i="50"/>
  <c r="BW30" i="55"/>
  <c r="BX30" i="55"/>
  <c r="BW31" i="40"/>
  <c r="BX31" i="40"/>
  <c r="BY31" i="43"/>
  <c r="BZ31" i="43"/>
  <c r="BY31" i="70"/>
  <c r="AX43" i="71" s="1"/>
  <c r="BZ31" i="70"/>
  <c r="AY43" i="71" s="1"/>
  <c r="BY31" i="46"/>
  <c r="BZ31" i="46"/>
  <c r="BY31" i="50"/>
  <c r="BZ31" i="50"/>
  <c r="BY30" i="55"/>
  <c r="BZ30" i="55"/>
  <c r="BY31" i="40"/>
  <c r="BZ31" i="40"/>
  <c r="C32" i="43"/>
  <c r="AZ6" i="44" s="1"/>
  <c r="N10" i="45" s="1"/>
  <c r="D32" i="43"/>
  <c r="BA6" i="44" s="1"/>
  <c r="N58" i="45" s="1"/>
  <c r="C32" i="70"/>
  <c r="AZ6" i="71" s="1"/>
  <c r="D32" i="70"/>
  <c r="BA6" i="71" s="1"/>
  <c r="C32" i="46"/>
  <c r="D32" i="46"/>
  <c r="C32" i="50"/>
  <c r="D32" i="50"/>
  <c r="C32" i="55"/>
  <c r="D32" i="55"/>
  <c r="C32" i="40"/>
  <c r="D32" i="40"/>
  <c r="E32" i="58"/>
  <c r="F32" i="43"/>
  <c r="BA7" i="44" s="1"/>
  <c r="N59" i="45" s="1"/>
  <c r="E32" i="70"/>
  <c r="AZ7" i="71" s="1"/>
  <c r="F32" i="70"/>
  <c r="BA7" i="71" s="1"/>
  <c r="E32" i="46"/>
  <c r="E32" i="50"/>
  <c r="E32" i="55"/>
  <c r="H32" i="70"/>
  <c r="BA8" i="71" s="1"/>
  <c r="H32" i="46"/>
  <c r="H32" i="50"/>
  <c r="H32" i="55"/>
  <c r="J32" i="58"/>
  <c r="I32" i="43"/>
  <c r="J32" i="43"/>
  <c r="I32" i="70"/>
  <c r="AZ9" i="71" s="1"/>
  <c r="J32" i="70"/>
  <c r="BA9" i="71" s="1"/>
  <c r="I32" i="46"/>
  <c r="J32" i="46"/>
  <c r="I32" i="50"/>
  <c r="J32" i="50"/>
  <c r="J31" i="55"/>
  <c r="K32" i="43"/>
  <c r="L32" i="43"/>
  <c r="K32" i="70"/>
  <c r="AZ10" i="71" s="1"/>
  <c r="L32" i="70"/>
  <c r="BA10" i="71" s="1"/>
  <c r="K32" i="46"/>
  <c r="L32" i="46"/>
  <c r="K32" i="50"/>
  <c r="L32" i="50"/>
  <c r="K31" i="55"/>
  <c r="L31" i="55"/>
  <c r="K32" i="40"/>
  <c r="L32" i="40"/>
  <c r="M32" i="58"/>
  <c r="N32" i="58"/>
  <c r="M32" i="43"/>
  <c r="N32" i="43"/>
  <c r="M32" i="70"/>
  <c r="AZ11" i="71" s="1"/>
  <c r="N32" i="70"/>
  <c r="BA11" i="71" s="1"/>
  <c r="M32" i="50"/>
  <c r="N32" i="50"/>
  <c r="M31" i="55"/>
  <c r="N31" i="55"/>
  <c r="M32" i="40"/>
  <c r="N32" i="40"/>
  <c r="O32" i="58"/>
  <c r="P32" i="58"/>
  <c r="O32" i="43"/>
  <c r="P32" i="43"/>
  <c r="O32" i="70"/>
  <c r="AZ12" i="71" s="1"/>
  <c r="O32" i="46"/>
  <c r="P32" i="46"/>
  <c r="O32" i="50"/>
  <c r="P32" i="50"/>
  <c r="O31" i="55"/>
  <c r="P31" i="55"/>
  <c r="O32" i="40"/>
  <c r="P32" i="40"/>
  <c r="Q32" i="58"/>
  <c r="R32" i="58"/>
  <c r="Q32" i="43"/>
  <c r="R32" i="43"/>
  <c r="Q32" i="70"/>
  <c r="AZ13" i="71" s="1"/>
  <c r="R32" i="70"/>
  <c r="BA13" i="71" s="1"/>
  <c r="Q32" i="46"/>
  <c r="R32" i="46"/>
  <c r="Q32" i="50"/>
  <c r="R32" i="50"/>
  <c r="Q31" i="55"/>
  <c r="R31" i="55"/>
  <c r="Q32" i="40"/>
  <c r="R32" i="40"/>
  <c r="S32" i="43"/>
  <c r="T32" i="43"/>
  <c r="S32" i="70"/>
  <c r="AZ14" i="71" s="1"/>
  <c r="T32" i="70"/>
  <c r="BA14" i="71" s="1"/>
  <c r="S32" i="46"/>
  <c r="T32" i="46"/>
  <c r="S32" i="50"/>
  <c r="T32" i="50"/>
  <c r="S31" i="55"/>
  <c r="T31" i="55"/>
  <c r="S32" i="40"/>
  <c r="T32" i="40"/>
  <c r="U32" i="43"/>
  <c r="V32" i="43"/>
  <c r="U32" i="70"/>
  <c r="AZ15" i="71" s="1"/>
  <c r="V32" i="70"/>
  <c r="BA15" i="71" s="1"/>
  <c r="U32" i="46"/>
  <c r="V32" i="46"/>
  <c r="U32" i="50"/>
  <c r="V32" i="50"/>
  <c r="U32" i="40"/>
  <c r="V32" i="40"/>
  <c r="W32" i="43"/>
  <c r="X32" i="43"/>
  <c r="W32" i="70"/>
  <c r="AZ16" i="71" s="1"/>
  <c r="X32" i="70"/>
  <c r="BA16" i="71" s="1"/>
  <c r="W32" i="46"/>
  <c r="X32" i="46"/>
  <c r="W32" i="50"/>
  <c r="X32" i="50"/>
  <c r="W31" i="55"/>
  <c r="X31" i="55"/>
  <c r="W32" i="40"/>
  <c r="X32" i="40"/>
  <c r="Y32" i="58"/>
  <c r="Z32" i="58"/>
  <c r="Y32" i="43"/>
  <c r="Z32" i="43"/>
  <c r="Y32" i="70"/>
  <c r="AZ17" i="71" s="1"/>
  <c r="Z32" i="70"/>
  <c r="BA17" i="71" s="1"/>
  <c r="Y32" i="46"/>
  <c r="Y32" i="50"/>
  <c r="Z32" i="50"/>
  <c r="Y32" i="55"/>
  <c r="Z32" i="55"/>
  <c r="Y32" i="40"/>
  <c r="Z32" i="40"/>
  <c r="AA32" i="58"/>
  <c r="AB32" i="58"/>
  <c r="AA32" i="43"/>
  <c r="AB32" i="43"/>
  <c r="AA32" i="70"/>
  <c r="AZ18" i="71" s="1"/>
  <c r="AB32" i="70"/>
  <c r="BA18" i="71" s="1"/>
  <c r="AA32" i="46"/>
  <c r="AB32" i="46"/>
  <c r="AA32" i="50"/>
  <c r="AB32" i="50"/>
  <c r="AA31" i="55"/>
  <c r="AB31" i="55"/>
  <c r="AA32" i="40"/>
  <c r="AB32" i="40"/>
  <c r="AC32" i="43"/>
  <c r="AD32" i="43"/>
  <c r="AC32" i="70"/>
  <c r="AZ19" i="71" s="1"/>
  <c r="AD32" i="70"/>
  <c r="BA19" i="71" s="1"/>
  <c r="AC32" i="46"/>
  <c r="AD32" i="46"/>
  <c r="AC32" i="50"/>
  <c r="AD32" i="50"/>
  <c r="AC31" i="55"/>
  <c r="AD31" i="55"/>
  <c r="AC32" i="40"/>
  <c r="AD32" i="40"/>
  <c r="AE32" i="43"/>
  <c r="AF32" i="43"/>
  <c r="AE32" i="70"/>
  <c r="AZ20" i="71" s="1"/>
  <c r="AF32" i="70"/>
  <c r="BA20" i="71" s="1"/>
  <c r="AE32" i="46"/>
  <c r="AF32" i="46"/>
  <c r="AE32" i="50"/>
  <c r="AF32" i="50"/>
  <c r="AE31" i="55"/>
  <c r="AF31" i="55"/>
  <c r="AE32" i="40"/>
  <c r="AF32" i="40"/>
  <c r="AH32" i="58"/>
  <c r="AG32" i="43"/>
  <c r="AH32" i="43"/>
  <c r="AG32" i="70"/>
  <c r="AZ21" i="71" s="1"/>
  <c r="AH32" i="70"/>
  <c r="BA21" i="71" s="1"/>
  <c r="AG32" i="46"/>
  <c r="AH32" i="46"/>
  <c r="AG32" i="50"/>
  <c r="AH32" i="50"/>
  <c r="AG31" i="55"/>
  <c r="AH31" i="55"/>
  <c r="AG32" i="40"/>
  <c r="AH32" i="40"/>
  <c r="AI32" i="43"/>
  <c r="AJ32" i="43"/>
  <c r="AI32" i="70"/>
  <c r="AZ22" i="71" s="1"/>
  <c r="AJ32" i="70"/>
  <c r="BA22" i="71" s="1"/>
  <c r="AI32" i="46"/>
  <c r="AJ32" i="46"/>
  <c r="AI32" i="50"/>
  <c r="AJ32" i="50"/>
  <c r="AI31" i="55"/>
  <c r="AJ31" i="55"/>
  <c r="AI32" i="40"/>
  <c r="AJ32" i="40"/>
  <c r="AL32" i="58"/>
  <c r="AK32" i="43"/>
  <c r="AL32" i="43"/>
  <c r="AK32" i="70"/>
  <c r="AZ23" i="71" s="1"/>
  <c r="AL32" i="70"/>
  <c r="BA23" i="71" s="1"/>
  <c r="AK32" i="46"/>
  <c r="AL32" i="46"/>
  <c r="AK32" i="50"/>
  <c r="AL32" i="50"/>
  <c r="AK31" i="55"/>
  <c r="AL31" i="55"/>
  <c r="AK32" i="40"/>
  <c r="AL32" i="40"/>
  <c r="AN32" i="58"/>
  <c r="AM32" i="43"/>
  <c r="AN32" i="43"/>
  <c r="AM32" i="70"/>
  <c r="AZ24" i="71" s="1"/>
  <c r="AM32" i="46"/>
  <c r="AN32" i="46"/>
  <c r="AM32" i="50"/>
  <c r="AN32" i="50"/>
  <c r="AM31" i="55"/>
  <c r="AN31" i="55"/>
  <c r="AM32" i="40"/>
  <c r="AN32" i="40"/>
  <c r="AO32" i="43"/>
  <c r="AO32" i="70"/>
  <c r="AZ25" i="71" s="1"/>
  <c r="AP32" i="70"/>
  <c r="BA25" i="71" s="1"/>
  <c r="AO32" i="46"/>
  <c r="AP32" i="46"/>
  <c r="AO32" i="50"/>
  <c r="AP32" i="50"/>
  <c r="AO31" i="55"/>
  <c r="AP31" i="55"/>
  <c r="AQ32" i="43"/>
  <c r="AR32" i="43"/>
  <c r="AQ32" i="70"/>
  <c r="AZ26" i="71" s="1"/>
  <c r="AR32" i="70"/>
  <c r="BA26" i="71" s="1"/>
  <c r="AQ32" i="46"/>
  <c r="AR32" i="46"/>
  <c r="AQ32" i="50"/>
  <c r="AR32" i="50"/>
  <c r="AQ31" i="55"/>
  <c r="AR31" i="55"/>
  <c r="AQ32" i="40"/>
  <c r="AR32" i="40"/>
  <c r="AS32" i="58"/>
  <c r="AT32" i="58"/>
  <c r="AS32" i="43"/>
  <c r="AT32" i="43"/>
  <c r="AS32" i="70"/>
  <c r="AZ27" i="71" s="1"/>
  <c r="AT32" i="70"/>
  <c r="BA27" i="71" s="1"/>
  <c r="AS32" i="46"/>
  <c r="AT32" i="46"/>
  <c r="AS32" i="50"/>
  <c r="AT32" i="50"/>
  <c r="AS31" i="55"/>
  <c r="AT31" i="55"/>
  <c r="AS32" i="40"/>
  <c r="AT32" i="40"/>
  <c r="AU32" i="58"/>
  <c r="AU32" i="43"/>
  <c r="AV32" i="43"/>
  <c r="AU32" i="70"/>
  <c r="AZ28" i="71" s="1"/>
  <c r="AV32" i="70"/>
  <c r="BA28" i="71" s="1"/>
  <c r="AU32" i="46"/>
  <c r="AV32" i="46"/>
  <c r="AU32" i="50"/>
  <c r="AV32" i="50"/>
  <c r="AU31" i="55"/>
  <c r="AV31" i="55"/>
  <c r="AU32" i="40"/>
  <c r="AV32" i="40"/>
  <c r="AW32" i="58"/>
  <c r="AW32" i="43"/>
  <c r="AX32" i="43"/>
  <c r="AW32" i="70"/>
  <c r="AZ29" i="71" s="1"/>
  <c r="AX32" i="70"/>
  <c r="BA29" i="71" s="1"/>
  <c r="AW32" i="46"/>
  <c r="AX32" i="46"/>
  <c r="AW32" i="50"/>
  <c r="AX32" i="50"/>
  <c r="AW32" i="40"/>
  <c r="AX32" i="40"/>
  <c r="AY32" i="58"/>
  <c r="AZ32" i="58"/>
  <c r="AY32" i="43"/>
  <c r="AZ32" i="43"/>
  <c r="AY32" i="70"/>
  <c r="AZ30" i="71" s="1"/>
  <c r="AZ32" i="70"/>
  <c r="BA30" i="71" s="1"/>
  <c r="AY32" i="46"/>
  <c r="AZ32" i="46"/>
  <c r="AY32" i="50"/>
  <c r="AZ32" i="50"/>
  <c r="AY31" i="55"/>
  <c r="AZ31" i="55"/>
  <c r="AY32" i="40"/>
  <c r="AZ32" i="40"/>
  <c r="BA32" i="58"/>
  <c r="BA32" i="43"/>
  <c r="BB32" i="43"/>
  <c r="BA32" i="70"/>
  <c r="AZ31" i="71" s="1"/>
  <c r="BB32" i="70"/>
  <c r="BA31" i="71" s="1"/>
  <c r="BA32" i="46"/>
  <c r="BB32" i="46"/>
  <c r="BA32" i="50"/>
  <c r="BB32" i="50"/>
  <c r="BA31" i="55"/>
  <c r="BB31" i="55"/>
  <c r="BA32" i="40"/>
  <c r="BB32" i="40"/>
  <c r="BC32" i="58"/>
  <c r="BD32" i="58"/>
  <c r="BC32" i="43"/>
  <c r="BD32" i="43"/>
  <c r="BC32" i="70"/>
  <c r="AZ32" i="71" s="1"/>
  <c r="BD32" i="70"/>
  <c r="BA32" i="71" s="1"/>
  <c r="BC32" i="46"/>
  <c r="BD32" i="46"/>
  <c r="BC32" i="50"/>
  <c r="BD32" i="50"/>
  <c r="BC31" i="55"/>
  <c r="BD31" i="55"/>
  <c r="BC32" i="40"/>
  <c r="BD32" i="40"/>
  <c r="BF32" i="58"/>
  <c r="BE32" i="43"/>
  <c r="BF32" i="43"/>
  <c r="BE32" i="70"/>
  <c r="AZ33" i="71" s="1"/>
  <c r="BF32" i="70"/>
  <c r="BA33" i="71" s="1"/>
  <c r="BE32" i="46"/>
  <c r="BF32" i="46"/>
  <c r="BE32" i="40"/>
  <c r="BF32" i="40"/>
  <c r="BG32" i="43"/>
  <c r="BH32" i="43"/>
  <c r="BG32" i="70"/>
  <c r="AZ34" i="71" s="1"/>
  <c r="BH32" i="70"/>
  <c r="BA34" i="71" s="1"/>
  <c r="BG32" i="46"/>
  <c r="BH32" i="46"/>
  <c r="BG32" i="50"/>
  <c r="BH32" i="50"/>
  <c r="BG31" i="55"/>
  <c r="BH31" i="55"/>
  <c r="BG32" i="40"/>
  <c r="BH32" i="40"/>
  <c r="BI32" i="43"/>
  <c r="BJ32" i="43"/>
  <c r="BI32" i="70"/>
  <c r="AZ35" i="71" s="1"/>
  <c r="BJ32" i="70"/>
  <c r="BA35" i="71" s="1"/>
  <c r="BI32" i="46"/>
  <c r="BJ32" i="46"/>
  <c r="BI32" i="50"/>
  <c r="BJ32" i="50"/>
  <c r="BI31" i="55"/>
  <c r="BJ31" i="55"/>
  <c r="BI32" i="40"/>
  <c r="BJ32" i="40"/>
  <c r="BK32" i="43"/>
  <c r="BL32" i="43"/>
  <c r="BK32" i="70"/>
  <c r="AZ36" i="71" s="1"/>
  <c r="BL32" i="70"/>
  <c r="BA36" i="71" s="1"/>
  <c r="BK32" i="46"/>
  <c r="BL32" i="46"/>
  <c r="BK32" i="50"/>
  <c r="BL32" i="50"/>
  <c r="BK31" i="55"/>
  <c r="BL31" i="55"/>
  <c r="BK32" i="40"/>
  <c r="BL32" i="40"/>
  <c r="BM32" i="43"/>
  <c r="BN32" i="43"/>
  <c r="BM32" i="70"/>
  <c r="AZ37" i="71" s="1"/>
  <c r="BN32" i="70"/>
  <c r="BA37" i="71" s="1"/>
  <c r="BM32" i="46"/>
  <c r="BN32" i="46"/>
  <c r="BM32" i="50"/>
  <c r="BN32" i="50"/>
  <c r="BM31" i="55"/>
  <c r="BN31" i="55"/>
  <c r="BM32" i="40"/>
  <c r="BN32" i="40"/>
  <c r="BO32" i="43"/>
  <c r="BP32" i="43"/>
  <c r="BO32" i="70"/>
  <c r="AZ38" i="71" s="1"/>
  <c r="BP32" i="70"/>
  <c r="BA38" i="71" s="1"/>
  <c r="BO32" i="46"/>
  <c r="BP32" i="46"/>
  <c r="BO32" i="50"/>
  <c r="BP32" i="50"/>
  <c r="BO31" i="55"/>
  <c r="BP31" i="55"/>
  <c r="BO32" i="40"/>
  <c r="BP32" i="40"/>
  <c r="BQ32" i="43"/>
  <c r="BR32" i="43"/>
  <c r="BQ32" i="70"/>
  <c r="AZ39" i="71" s="1"/>
  <c r="BR32" i="70"/>
  <c r="BA39" i="71" s="1"/>
  <c r="BQ32" i="46"/>
  <c r="BR32" i="46"/>
  <c r="BQ32" i="50"/>
  <c r="BR32" i="50"/>
  <c r="BQ32" i="40"/>
  <c r="BR32" i="40"/>
  <c r="BS32" i="43"/>
  <c r="BT32" i="43"/>
  <c r="BS32" i="70"/>
  <c r="AZ40" i="71" s="1"/>
  <c r="BT32" i="70"/>
  <c r="BA40" i="71" s="1"/>
  <c r="BS32" i="46"/>
  <c r="BT32" i="46"/>
  <c r="BS32" i="50"/>
  <c r="BT32" i="50"/>
  <c r="BS31" i="55"/>
  <c r="BT31" i="55"/>
  <c r="BS32" i="40"/>
  <c r="BT32" i="40"/>
  <c r="BU32" i="43"/>
  <c r="BV32" i="43"/>
  <c r="BU32" i="70"/>
  <c r="AZ41" i="71" s="1"/>
  <c r="BV32" i="70"/>
  <c r="BA41" i="71" s="1"/>
  <c r="BU32" i="46"/>
  <c r="BV32" i="46"/>
  <c r="BU32" i="50"/>
  <c r="BV32" i="50"/>
  <c r="BU31" i="55"/>
  <c r="BV31" i="55"/>
  <c r="BU32" i="40"/>
  <c r="BV32" i="40"/>
  <c r="BW32" i="43"/>
  <c r="BX32" i="43"/>
  <c r="BW32" i="70"/>
  <c r="AZ42" i="71" s="1"/>
  <c r="BX32" i="70"/>
  <c r="BA42" i="71" s="1"/>
  <c r="BW32" i="46"/>
  <c r="BX32" i="46"/>
  <c r="BW32" i="50"/>
  <c r="BX32" i="50"/>
  <c r="BW31" i="55"/>
  <c r="BX31" i="55"/>
  <c r="BW32" i="40"/>
  <c r="BX32" i="40"/>
  <c r="BY32" i="43"/>
  <c r="BZ32" i="43"/>
  <c r="BY32" i="70"/>
  <c r="AZ43" i="71" s="1"/>
  <c r="BZ32" i="70"/>
  <c r="BA43" i="71" s="1"/>
  <c r="BY32" i="46"/>
  <c r="BZ32" i="46"/>
  <c r="BY32" i="50"/>
  <c r="BZ32" i="50"/>
  <c r="BY31" i="55"/>
  <c r="BZ31" i="55"/>
  <c r="BY32" i="40"/>
  <c r="BZ32" i="40"/>
  <c r="C33" i="43"/>
  <c r="D33" i="43"/>
  <c r="BC6" i="44" s="1"/>
  <c r="P58" i="45" s="1"/>
  <c r="C33" i="70"/>
  <c r="BB6" i="71" s="1"/>
  <c r="D33" i="70"/>
  <c r="BC6" i="71" s="1"/>
  <c r="C33" i="46"/>
  <c r="D33" i="46"/>
  <c r="C33" i="50"/>
  <c r="D33" i="50"/>
  <c r="C33" i="55"/>
  <c r="D33" i="55"/>
  <c r="C33" i="40"/>
  <c r="D33" i="40"/>
  <c r="E33" i="43"/>
  <c r="BB7" i="44" s="1"/>
  <c r="P11" i="45" s="1"/>
  <c r="F33" i="43"/>
  <c r="BC7" i="44" s="1"/>
  <c r="P59" i="45" s="1"/>
  <c r="E33" i="70"/>
  <c r="BB7" i="71" s="1"/>
  <c r="F33" i="70"/>
  <c r="BC7" i="71" s="1"/>
  <c r="E33" i="46"/>
  <c r="E33" i="50"/>
  <c r="E33" i="55"/>
  <c r="H33" i="70"/>
  <c r="BC8" i="71" s="1"/>
  <c r="H33" i="46"/>
  <c r="H33" i="50"/>
  <c r="H33" i="55"/>
  <c r="J33" i="58"/>
  <c r="I33" i="43"/>
  <c r="J33" i="43"/>
  <c r="I33" i="70"/>
  <c r="BB9" i="71" s="1"/>
  <c r="J33" i="70"/>
  <c r="BC9" i="71" s="1"/>
  <c r="I33" i="46"/>
  <c r="J33" i="46"/>
  <c r="I33" i="50"/>
  <c r="J33" i="50"/>
  <c r="J32" i="55"/>
  <c r="L33" i="58"/>
  <c r="K33" i="43"/>
  <c r="L33" i="43"/>
  <c r="K33" i="70"/>
  <c r="BB10" i="71" s="1"/>
  <c r="L33" i="70"/>
  <c r="BC10" i="71" s="1"/>
  <c r="K33" i="46"/>
  <c r="L33" i="46"/>
  <c r="K33" i="50"/>
  <c r="L33" i="50"/>
  <c r="K32" i="55"/>
  <c r="L32" i="55"/>
  <c r="K33" i="40"/>
  <c r="L33" i="40"/>
  <c r="M33" i="58"/>
  <c r="N33" i="58"/>
  <c r="M33" i="43"/>
  <c r="N33" i="43"/>
  <c r="M33" i="70"/>
  <c r="BB11" i="71" s="1"/>
  <c r="N33" i="70"/>
  <c r="BC11" i="71" s="1"/>
  <c r="M33" i="46"/>
  <c r="N33" i="46"/>
  <c r="M33" i="50"/>
  <c r="N33" i="50"/>
  <c r="M32" i="55"/>
  <c r="N32" i="55"/>
  <c r="M33" i="40"/>
  <c r="N33" i="40"/>
  <c r="O33" i="58"/>
  <c r="P33" i="58"/>
  <c r="O33" i="43"/>
  <c r="P33" i="43"/>
  <c r="O33" i="70"/>
  <c r="BB12" i="71" s="1"/>
  <c r="P33" i="70"/>
  <c r="BC12" i="71" s="1"/>
  <c r="O33" i="46"/>
  <c r="P33" i="46"/>
  <c r="O33" i="50"/>
  <c r="P33" i="50"/>
  <c r="O32" i="55"/>
  <c r="P32" i="55"/>
  <c r="O33" i="40"/>
  <c r="P33" i="40"/>
  <c r="R33" i="58"/>
  <c r="Q33" i="43"/>
  <c r="R33" i="43"/>
  <c r="Q33" i="70"/>
  <c r="BB13" i="71" s="1"/>
  <c r="R33" i="70"/>
  <c r="BC13" i="71" s="1"/>
  <c r="Q33" i="46"/>
  <c r="R33" i="46"/>
  <c r="Q33" i="50"/>
  <c r="R33" i="50"/>
  <c r="Q32" i="55"/>
  <c r="R32" i="55"/>
  <c r="Q33" i="40"/>
  <c r="R33" i="40"/>
  <c r="S33" i="43"/>
  <c r="T33" i="43"/>
  <c r="S33" i="70"/>
  <c r="BB14" i="71" s="1"/>
  <c r="T33" i="70"/>
  <c r="BC14" i="71" s="1"/>
  <c r="S33" i="46"/>
  <c r="T33" i="46"/>
  <c r="S33" i="50"/>
  <c r="T33" i="50"/>
  <c r="S32" i="55"/>
  <c r="T32" i="55"/>
  <c r="S33" i="40"/>
  <c r="T33" i="40"/>
  <c r="V33" i="58"/>
  <c r="U33" i="43"/>
  <c r="V33" i="43"/>
  <c r="U33" i="70"/>
  <c r="BB15" i="71" s="1"/>
  <c r="V33" i="70"/>
  <c r="BC15" i="71" s="1"/>
  <c r="U33" i="46"/>
  <c r="V33" i="46"/>
  <c r="U33" i="50"/>
  <c r="V33" i="50"/>
  <c r="U33" i="40"/>
  <c r="V33" i="40"/>
  <c r="X33" i="58"/>
  <c r="W33" i="43"/>
  <c r="X33" i="43"/>
  <c r="W33" i="70"/>
  <c r="BB16" i="71" s="1"/>
  <c r="X33" i="70"/>
  <c r="BC16" i="71" s="1"/>
  <c r="W33" i="46"/>
  <c r="X33" i="46"/>
  <c r="W33" i="50"/>
  <c r="X33" i="50"/>
  <c r="W32" i="55"/>
  <c r="X32" i="55"/>
  <c r="W33" i="40"/>
  <c r="X33" i="40"/>
  <c r="Y33" i="58"/>
  <c r="Z33" i="58"/>
  <c r="Y33" i="43"/>
  <c r="Z33" i="43"/>
  <c r="Y33" i="70"/>
  <c r="BB17" i="71" s="1"/>
  <c r="Z33" i="70"/>
  <c r="BC17" i="71" s="1"/>
  <c r="Y33" i="46"/>
  <c r="Z33" i="46"/>
  <c r="Y33" i="50"/>
  <c r="Z33" i="50"/>
  <c r="Y33" i="55"/>
  <c r="Z33" i="55"/>
  <c r="Y33" i="40"/>
  <c r="Z33" i="40"/>
  <c r="AB33" i="58"/>
  <c r="AA33" i="43"/>
  <c r="AB33" i="43"/>
  <c r="AA33" i="70"/>
  <c r="BB18" i="71" s="1"/>
  <c r="AB33" i="70"/>
  <c r="BC18" i="71" s="1"/>
  <c r="AA33" i="46"/>
  <c r="AB33" i="46"/>
  <c r="AA33" i="50"/>
  <c r="AB33" i="50"/>
  <c r="AA32" i="55"/>
  <c r="AB32" i="55"/>
  <c r="AA33" i="40"/>
  <c r="AB33" i="40"/>
  <c r="AC33" i="43"/>
  <c r="AD33" i="43"/>
  <c r="AC33" i="70"/>
  <c r="BB19" i="71" s="1"/>
  <c r="AD33" i="70"/>
  <c r="BC19" i="71" s="1"/>
  <c r="AC33" i="46"/>
  <c r="AD33" i="46"/>
  <c r="AC33" i="50"/>
  <c r="AD33" i="50"/>
  <c r="AC32" i="55"/>
  <c r="AD32" i="55"/>
  <c r="AC33" i="40"/>
  <c r="AD33" i="40"/>
  <c r="AE33" i="43"/>
  <c r="AF33" i="43"/>
  <c r="AE33" i="70"/>
  <c r="BB20" i="71" s="1"/>
  <c r="AF33" i="70"/>
  <c r="BC20" i="71" s="1"/>
  <c r="AE33" i="46"/>
  <c r="AF33" i="46"/>
  <c r="AE33" i="50"/>
  <c r="AF33" i="50"/>
  <c r="AE32" i="55"/>
  <c r="AF32" i="55"/>
  <c r="AE33" i="40"/>
  <c r="AF33" i="40"/>
  <c r="AG33" i="43"/>
  <c r="AH33" i="43"/>
  <c r="AG33" i="70"/>
  <c r="BB21" i="71" s="1"/>
  <c r="AH33" i="70"/>
  <c r="BC21" i="71" s="1"/>
  <c r="AG33" i="46"/>
  <c r="AH33" i="46"/>
  <c r="AG33" i="50"/>
  <c r="AH33" i="50"/>
  <c r="AG32" i="55"/>
  <c r="AH32" i="55"/>
  <c r="AG33" i="40"/>
  <c r="AH33" i="40"/>
  <c r="AI33" i="58"/>
  <c r="AJ33" i="58"/>
  <c r="AI33" i="43"/>
  <c r="AJ33" i="43"/>
  <c r="AI33" i="70"/>
  <c r="BB22" i="71" s="1"/>
  <c r="AJ33" i="70"/>
  <c r="BC22" i="71" s="1"/>
  <c r="AI33" i="46"/>
  <c r="AJ33" i="46"/>
  <c r="AI33" i="50"/>
  <c r="AJ33" i="50"/>
  <c r="AI32" i="55"/>
  <c r="AJ32" i="55"/>
  <c r="AI33" i="40"/>
  <c r="AJ33" i="40"/>
  <c r="AK33" i="58"/>
  <c r="AL33" i="58"/>
  <c r="AK33" i="43"/>
  <c r="AL33" i="43"/>
  <c r="AK33" i="70"/>
  <c r="BB23" i="71" s="1"/>
  <c r="AL33" i="70"/>
  <c r="BC23" i="71" s="1"/>
  <c r="AK33" i="46"/>
  <c r="AL33" i="46"/>
  <c r="AK33" i="50"/>
  <c r="AL33" i="50"/>
  <c r="AK32" i="55"/>
  <c r="AL32" i="55"/>
  <c r="AK33" i="40"/>
  <c r="AL33" i="40"/>
  <c r="AM33" i="43"/>
  <c r="AN33" i="43"/>
  <c r="AM33" i="70"/>
  <c r="BB24" i="71" s="1"/>
  <c r="AN33" i="70"/>
  <c r="BC24" i="71" s="1"/>
  <c r="AM33" i="46"/>
  <c r="AN33" i="46"/>
  <c r="AM33" i="50"/>
  <c r="AN33" i="50"/>
  <c r="AM32" i="55"/>
  <c r="AN32" i="55"/>
  <c r="AM33" i="40"/>
  <c r="AN33" i="40"/>
  <c r="AO33" i="43"/>
  <c r="AP33" i="43"/>
  <c r="AO33" i="70"/>
  <c r="BB25" i="71" s="1"/>
  <c r="AP33" i="70"/>
  <c r="BC25" i="71" s="1"/>
  <c r="AO33" i="46"/>
  <c r="AP33" i="46"/>
  <c r="AO33" i="50"/>
  <c r="AP33" i="50"/>
  <c r="AO32" i="55"/>
  <c r="AP32" i="55"/>
  <c r="AQ33" i="43"/>
  <c r="AR33" i="43"/>
  <c r="AQ33" i="70"/>
  <c r="BB26" i="71" s="1"/>
  <c r="AR33" i="70"/>
  <c r="BC26" i="71" s="1"/>
  <c r="AQ33" i="46"/>
  <c r="AR33" i="46"/>
  <c r="AQ33" i="50"/>
  <c r="AR33" i="50"/>
  <c r="AQ32" i="55"/>
  <c r="AR32" i="55"/>
  <c r="AQ33" i="40"/>
  <c r="AR33" i="40"/>
  <c r="AT33" i="58"/>
  <c r="AS33" i="43"/>
  <c r="AT33" i="43"/>
  <c r="AS33" i="70"/>
  <c r="BB27" i="71" s="1"/>
  <c r="AT33" i="70"/>
  <c r="BC27" i="71" s="1"/>
  <c r="AS33" i="46"/>
  <c r="AT33" i="46"/>
  <c r="AS33" i="50"/>
  <c r="AT33" i="50"/>
  <c r="AS32" i="55"/>
  <c r="AT32" i="55"/>
  <c r="AS33" i="40"/>
  <c r="AT33" i="40"/>
  <c r="AV33" i="58"/>
  <c r="AU33" i="43"/>
  <c r="AV33" i="43"/>
  <c r="AU33" i="70"/>
  <c r="BB28" i="71" s="1"/>
  <c r="AV33" i="70"/>
  <c r="BC28" i="71" s="1"/>
  <c r="AU33" i="46"/>
  <c r="AV33" i="46"/>
  <c r="AU33" i="50"/>
  <c r="AV33" i="50"/>
  <c r="AU32" i="55"/>
  <c r="AV32" i="55"/>
  <c r="AU33" i="40"/>
  <c r="AV33" i="40"/>
  <c r="AW33" i="58"/>
  <c r="AX33" i="58"/>
  <c r="AW33" i="43"/>
  <c r="AX33" i="43"/>
  <c r="AW33" i="70"/>
  <c r="BB29" i="71" s="1"/>
  <c r="AX33" i="70"/>
  <c r="BC29" i="71" s="1"/>
  <c r="AW33" i="46"/>
  <c r="AX33" i="46"/>
  <c r="AW33" i="50"/>
  <c r="AX33" i="50"/>
  <c r="AW33" i="40"/>
  <c r="AX33" i="40"/>
  <c r="AY33" i="58"/>
  <c r="AZ33" i="58"/>
  <c r="AY33" i="43"/>
  <c r="AZ33" i="43"/>
  <c r="AY33" i="70"/>
  <c r="BB30" i="71" s="1"/>
  <c r="AZ33" i="70"/>
  <c r="BC30" i="71" s="1"/>
  <c r="AY33" i="46"/>
  <c r="AZ33" i="46"/>
  <c r="AY33" i="50"/>
  <c r="AZ33" i="50"/>
  <c r="AY32" i="55"/>
  <c r="AZ32" i="55"/>
  <c r="AY33" i="40"/>
  <c r="AZ33" i="40"/>
  <c r="BA33" i="43"/>
  <c r="BB33" i="43"/>
  <c r="BA33" i="70"/>
  <c r="BB31" i="71" s="1"/>
  <c r="BB33" i="70"/>
  <c r="BC31" i="71" s="1"/>
  <c r="BA33" i="46"/>
  <c r="BB33" i="46"/>
  <c r="BA33" i="50"/>
  <c r="BB33" i="50"/>
  <c r="BA32" i="55"/>
  <c r="BB32" i="55"/>
  <c r="BA33" i="40"/>
  <c r="BB33" i="40"/>
  <c r="BC33" i="43"/>
  <c r="BD33" i="43"/>
  <c r="BC33" i="70"/>
  <c r="BB32" i="71" s="1"/>
  <c r="BD33" i="70"/>
  <c r="BC32" i="71" s="1"/>
  <c r="BC33" i="46"/>
  <c r="BD33" i="46"/>
  <c r="BC33" i="50"/>
  <c r="BD33" i="50"/>
  <c r="BC32" i="55"/>
  <c r="BD32" i="55"/>
  <c r="BC33" i="40"/>
  <c r="BD33" i="40"/>
  <c r="BE33" i="43"/>
  <c r="BF33" i="43"/>
  <c r="BE33" i="70"/>
  <c r="BB33" i="71" s="1"/>
  <c r="BF33" i="70"/>
  <c r="BC33" i="71" s="1"/>
  <c r="BE33" i="46"/>
  <c r="BF33" i="46"/>
  <c r="BE33" i="40"/>
  <c r="BF33" i="40"/>
  <c r="BH33" i="58"/>
  <c r="BG33" i="43"/>
  <c r="BH33" i="43"/>
  <c r="BG33" i="70"/>
  <c r="BB34" i="71" s="1"/>
  <c r="BH33" i="70"/>
  <c r="BC34" i="71" s="1"/>
  <c r="BG33" i="46"/>
  <c r="BH33" i="46"/>
  <c r="BG33" i="50"/>
  <c r="BH33" i="50"/>
  <c r="BG32" i="55"/>
  <c r="BH32" i="55"/>
  <c r="BG33" i="40"/>
  <c r="BH33" i="40"/>
  <c r="BI33" i="43"/>
  <c r="BJ33" i="43"/>
  <c r="BI33" i="70"/>
  <c r="BB35" i="71" s="1"/>
  <c r="BJ33" i="70"/>
  <c r="BC35" i="71" s="1"/>
  <c r="BI33" i="46"/>
  <c r="BJ33" i="46"/>
  <c r="BI33" i="50"/>
  <c r="BJ33" i="50"/>
  <c r="BI32" i="55"/>
  <c r="BJ32" i="55"/>
  <c r="BI33" i="40"/>
  <c r="BJ33" i="40"/>
  <c r="BK33" i="43"/>
  <c r="BL33" i="43"/>
  <c r="BK33" i="70"/>
  <c r="BB36" i="71" s="1"/>
  <c r="BL33" i="70"/>
  <c r="BC36" i="71" s="1"/>
  <c r="BK33" i="46"/>
  <c r="BL33" i="46"/>
  <c r="BK33" i="50"/>
  <c r="BL33" i="50"/>
  <c r="BK32" i="55"/>
  <c r="BL32" i="55"/>
  <c r="BK33" i="40"/>
  <c r="BL33" i="40"/>
  <c r="BM33" i="43"/>
  <c r="BN33" i="43"/>
  <c r="BM33" i="70"/>
  <c r="BB37" i="71" s="1"/>
  <c r="BN33" i="70"/>
  <c r="BC37" i="71" s="1"/>
  <c r="BM33" i="46"/>
  <c r="BN33" i="46"/>
  <c r="BM33" i="50"/>
  <c r="BN33" i="50"/>
  <c r="BM32" i="55"/>
  <c r="BN32" i="55"/>
  <c r="BM33" i="40"/>
  <c r="BN33" i="40"/>
  <c r="BO33" i="43"/>
  <c r="BP33" i="43"/>
  <c r="BO33" i="70"/>
  <c r="BB38" i="71" s="1"/>
  <c r="BP33" i="70"/>
  <c r="BC38" i="71" s="1"/>
  <c r="BO33" i="46"/>
  <c r="BP33" i="46"/>
  <c r="BO33" i="50"/>
  <c r="BP33" i="50"/>
  <c r="BO32" i="55"/>
  <c r="BP32" i="55"/>
  <c r="BO33" i="40"/>
  <c r="BP33" i="40"/>
  <c r="BQ33" i="43"/>
  <c r="BR33" i="43"/>
  <c r="BQ33" i="70"/>
  <c r="BB39" i="71" s="1"/>
  <c r="BR33" i="70"/>
  <c r="BC39" i="71" s="1"/>
  <c r="BQ33" i="46"/>
  <c r="BR33" i="46"/>
  <c r="BQ33" i="50"/>
  <c r="BR33" i="50"/>
  <c r="BQ33" i="40"/>
  <c r="BR33" i="40"/>
  <c r="BS33" i="43"/>
  <c r="BT33" i="43"/>
  <c r="BS33" i="70"/>
  <c r="BB40" i="71" s="1"/>
  <c r="BT33" i="70"/>
  <c r="BC40" i="71" s="1"/>
  <c r="BS33" i="46"/>
  <c r="BT33" i="46"/>
  <c r="BS33" i="50"/>
  <c r="BT33" i="50"/>
  <c r="BS32" i="55"/>
  <c r="BT32" i="55"/>
  <c r="BS33" i="40"/>
  <c r="BT33" i="40"/>
  <c r="BU33" i="43"/>
  <c r="BV33" i="43"/>
  <c r="BU33" i="70"/>
  <c r="BB41" i="71" s="1"/>
  <c r="BV33" i="70"/>
  <c r="BC41" i="71" s="1"/>
  <c r="BU33" i="46"/>
  <c r="BV33" i="46"/>
  <c r="BU33" i="50"/>
  <c r="BV33" i="50"/>
  <c r="BU32" i="55"/>
  <c r="BV32" i="55"/>
  <c r="BU33" i="40"/>
  <c r="BV33" i="40"/>
  <c r="BW33" i="43"/>
  <c r="BX33" i="43"/>
  <c r="BW33" i="70"/>
  <c r="BB42" i="71" s="1"/>
  <c r="BX33" i="70"/>
  <c r="BC42" i="71" s="1"/>
  <c r="BW33" i="46"/>
  <c r="BX33" i="46"/>
  <c r="BW33" i="50"/>
  <c r="BX33" i="50"/>
  <c r="BW32" i="55"/>
  <c r="BX32" i="55"/>
  <c r="BW33" i="40"/>
  <c r="BX33" i="40"/>
  <c r="BY33" i="43"/>
  <c r="BZ33" i="43"/>
  <c r="BY33" i="70"/>
  <c r="BB43" i="71" s="1"/>
  <c r="BZ33" i="70"/>
  <c r="BC43" i="71" s="1"/>
  <c r="BY33" i="46"/>
  <c r="BZ33" i="46"/>
  <c r="BY33" i="50"/>
  <c r="BZ33" i="50"/>
  <c r="BY32" i="55"/>
  <c r="BZ32" i="55"/>
  <c r="BY33" i="40"/>
  <c r="BZ33" i="40"/>
  <c r="C34" i="43"/>
  <c r="BD6" i="44" s="1"/>
  <c r="M10" i="45" s="1"/>
  <c r="D34" i="43"/>
  <c r="BE6" i="44" s="1"/>
  <c r="M58" i="45" s="1"/>
  <c r="C34" i="70"/>
  <c r="BD6" i="71" s="1"/>
  <c r="D34" i="70"/>
  <c r="BE6" i="71" s="1"/>
  <c r="C34" i="46"/>
  <c r="D34" i="46"/>
  <c r="C34" i="50"/>
  <c r="D34" i="50"/>
  <c r="C34" i="55"/>
  <c r="D34" i="55"/>
  <c r="C34" i="40"/>
  <c r="D34" i="40"/>
  <c r="F34" i="58"/>
  <c r="E34" i="43"/>
  <c r="BD7" i="44" s="1"/>
  <c r="M11" i="45" s="1"/>
  <c r="F34" i="43"/>
  <c r="BE7" i="44" s="1"/>
  <c r="M59" i="45" s="1"/>
  <c r="E34" i="70"/>
  <c r="BD7" i="71" s="1"/>
  <c r="F34" i="70"/>
  <c r="BE7" i="71" s="1"/>
  <c r="E34" i="46"/>
  <c r="E34" i="50"/>
  <c r="E34" i="55"/>
  <c r="H34" i="70"/>
  <c r="BE8" i="71" s="1"/>
  <c r="H34" i="46"/>
  <c r="H34" i="50"/>
  <c r="H34" i="55"/>
  <c r="I34" i="58"/>
  <c r="J34" i="58"/>
  <c r="I34" i="70"/>
  <c r="BD9" i="71" s="1"/>
  <c r="J34" i="70"/>
  <c r="BE9" i="71" s="1"/>
  <c r="I34" i="46"/>
  <c r="J34" i="46"/>
  <c r="I34" i="50"/>
  <c r="J34" i="50"/>
  <c r="J33" i="55"/>
  <c r="K34" i="43"/>
  <c r="L34" i="43"/>
  <c r="K34" i="70"/>
  <c r="BD10" i="71" s="1"/>
  <c r="L34" i="70"/>
  <c r="BE10" i="71" s="1"/>
  <c r="K34" i="46"/>
  <c r="L34" i="46"/>
  <c r="K34" i="50"/>
  <c r="L34" i="50"/>
  <c r="K33" i="55"/>
  <c r="L33" i="55"/>
  <c r="K34" i="40"/>
  <c r="L34" i="40"/>
  <c r="M34" i="43"/>
  <c r="BD11" i="44" s="1"/>
  <c r="M15" i="45" s="1"/>
  <c r="N34" i="43"/>
  <c r="BE11" i="44" s="1"/>
  <c r="M63" i="45" s="1"/>
  <c r="M34" i="70"/>
  <c r="BD11" i="71" s="1"/>
  <c r="N34" i="70"/>
  <c r="BE11" i="71" s="1"/>
  <c r="M34" i="46"/>
  <c r="N34" i="46"/>
  <c r="M34" i="50"/>
  <c r="N34" i="50"/>
  <c r="M33" i="55"/>
  <c r="N33" i="55"/>
  <c r="M34" i="40"/>
  <c r="N34" i="40"/>
  <c r="O34" i="43"/>
  <c r="P34" i="43"/>
  <c r="O34" i="70"/>
  <c r="BD12" i="71" s="1"/>
  <c r="P34" i="70"/>
  <c r="BE12" i="71" s="1"/>
  <c r="O34" i="46"/>
  <c r="P34" i="46"/>
  <c r="O34" i="50"/>
  <c r="P34" i="50"/>
  <c r="O33" i="55"/>
  <c r="P33" i="55"/>
  <c r="O34" i="40"/>
  <c r="P34" i="40"/>
  <c r="Q34" i="58"/>
  <c r="R34" i="58"/>
  <c r="Q34" i="43"/>
  <c r="R34" i="43"/>
  <c r="Q34" i="70"/>
  <c r="BD13" i="71" s="1"/>
  <c r="R34" i="70"/>
  <c r="BE13" i="71" s="1"/>
  <c r="Q34" i="46"/>
  <c r="R34" i="46"/>
  <c r="Q34" i="50"/>
  <c r="R34" i="50"/>
  <c r="Q33" i="55"/>
  <c r="R33" i="55"/>
  <c r="Q34" i="40"/>
  <c r="R34" i="40"/>
  <c r="S34" i="58"/>
  <c r="T34" i="58"/>
  <c r="S34" i="43"/>
  <c r="T34" i="43"/>
  <c r="S34" i="70"/>
  <c r="BD14" i="71" s="1"/>
  <c r="S34" i="46"/>
  <c r="T34" i="46"/>
  <c r="S34" i="50"/>
  <c r="T34" i="50"/>
  <c r="S33" i="55"/>
  <c r="T33" i="55"/>
  <c r="S34" i="40"/>
  <c r="T34" i="40"/>
  <c r="V34" i="58"/>
  <c r="U34" i="43"/>
  <c r="V34" i="43"/>
  <c r="U34" i="70"/>
  <c r="BD15" i="71" s="1"/>
  <c r="V34" i="70"/>
  <c r="BE15" i="71" s="1"/>
  <c r="U34" i="46"/>
  <c r="V34" i="46"/>
  <c r="U34" i="50"/>
  <c r="V34" i="50"/>
  <c r="U34" i="40"/>
  <c r="V34" i="40"/>
  <c r="W34" i="58"/>
  <c r="X34" i="58"/>
  <c r="W34" i="43"/>
  <c r="X34" i="43"/>
  <c r="W34" i="70"/>
  <c r="BD16" i="71" s="1"/>
  <c r="X34" i="70"/>
  <c r="BE16" i="71" s="1"/>
  <c r="W34" i="46"/>
  <c r="X34" i="46"/>
  <c r="W34" i="50"/>
  <c r="X34" i="50"/>
  <c r="W33" i="55"/>
  <c r="X33" i="55"/>
  <c r="W34" i="40"/>
  <c r="X34" i="40"/>
  <c r="Y34" i="43"/>
  <c r="Z34" i="43"/>
  <c r="Y34" i="70"/>
  <c r="BD17" i="71" s="1"/>
  <c r="Z34" i="70"/>
  <c r="BE17" i="71" s="1"/>
  <c r="Y34" i="46"/>
  <c r="Z34" i="46"/>
  <c r="Y34" i="50"/>
  <c r="Z34" i="50"/>
  <c r="Y34" i="55"/>
  <c r="Z34" i="55"/>
  <c r="Y34" i="40"/>
  <c r="Z34" i="40"/>
  <c r="AB34" i="58"/>
  <c r="AA34" i="43"/>
  <c r="AB34" i="43"/>
  <c r="AA34" i="70"/>
  <c r="BD18" i="71" s="1"/>
  <c r="AB34" i="70"/>
  <c r="BE18" i="71" s="1"/>
  <c r="AA34" i="46"/>
  <c r="AB34" i="46"/>
  <c r="AA34" i="50"/>
  <c r="AB34" i="50"/>
  <c r="AA33" i="55"/>
  <c r="AB33" i="55"/>
  <c r="AA34" i="40"/>
  <c r="AB34" i="40"/>
  <c r="AC34" i="58"/>
  <c r="AD34" i="58"/>
  <c r="AC34" i="43"/>
  <c r="AD34" i="43"/>
  <c r="AC34" i="70"/>
  <c r="BD19" i="71" s="1"/>
  <c r="AD34" i="70"/>
  <c r="BE19" i="71" s="1"/>
  <c r="AC34" i="46"/>
  <c r="AC34" i="50"/>
  <c r="AD34" i="50"/>
  <c r="AC33" i="55"/>
  <c r="AD33" i="55"/>
  <c r="AC34" i="40"/>
  <c r="AD34" i="40"/>
  <c r="AF34" i="58"/>
  <c r="AE34" i="43"/>
  <c r="AF34" i="43"/>
  <c r="AE34" i="70"/>
  <c r="BD20" i="71" s="1"/>
  <c r="AE34" i="46"/>
  <c r="AF34" i="46"/>
  <c r="AE34" i="50"/>
  <c r="AF34" i="50"/>
  <c r="AE33" i="55"/>
  <c r="AF33" i="55"/>
  <c r="AE34" i="40"/>
  <c r="AF34" i="40"/>
  <c r="AH34" i="58"/>
  <c r="AG34" i="43"/>
  <c r="AG34" i="70"/>
  <c r="BD21" i="71" s="1"/>
  <c r="AH34" i="70"/>
  <c r="BE21" i="71" s="1"/>
  <c r="AG34" i="46"/>
  <c r="AH34" i="46"/>
  <c r="AG34" i="50"/>
  <c r="AH34" i="50"/>
  <c r="AG33" i="55"/>
  <c r="AH33" i="55"/>
  <c r="AG34" i="40"/>
  <c r="AH34" i="40"/>
  <c r="AI34" i="43"/>
  <c r="AJ34" i="43"/>
  <c r="AI34" i="70"/>
  <c r="BD22" i="71" s="1"/>
  <c r="AJ34" i="70"/>
  <c r="BE22" i="71" s="1"/>
  <c r="AI34" i="46"/>
  <c r="AJ34" i="46"/>
  <c r="AI34" i="50"/>
  <c r="AJ34" i="50"/>
  <c r="AI33" i="55"/>
  <c r="AJ33" i="55"/>
  <c r="AI34" i="40"/>
  <c r="AJ34" i="40"/>
  <c r="AK34" i="43"/>
  <c r="AL34" i="43"/>
  <c r="AK34" i="70"/>
  <c r="BD23" i="71" s="1"/>
  <c r="AL34" i="70"/>
  <c r="BE23" i="71" s="1"/>
  <c r="AK34" i="46"/>
  <c r="AL34" i="46"/>
  <c r="AK34" i="50"/>
  <c r="AL34" i="50"/>
  <c r="AK33" i="55"/>
  <c r="AL33" i="55"/>
  <c r="AK34" i="40"/>
  <c r="AL34" i="40"/>
  <c r="AM34" i="43"/>
  <c r="AN34" i="43"/>
  <c r="AM34" i="70"/>
  <c r="BD24" i="71" s="1"/>
  <c r="AN34" i="70"/>
  <c r="BE24" i="71" s="1"/>
  <c r="AM34" i="46"/>
  <c r="AN34" i="46"/>
  <c r="AM34" i="50"/>
  <c r="AN34" i="50"/>
  <c r="AM33" i="55"/>
  <c r="AN33" i="55"/>
  <c r="AM34" i="40"/>
  <c r="AN34" i="40"/>
  <c r="AO34" i="43"/>
  <c r="AP34" i="43"/>
  <c r="AO34" i="70"/>
  <c r="BD25" i="71" s="1"/>
  <c r="AP34" i="70"/>
  <c r="BE25" i="71" s="1"/>
  <c r="AO34" i="46"/>
  <c r="AP34" i="46"/>
  <c r="AO34" i="50"/>
  <c r="AP34" i="50"/>
  <c r="AO33" i="55"/>
  <c r="AP33" i="55"/>
  <c r="AR34" i="58"/>
  <c r="AQ34" i="43"/>
  <c r="AR34" i="43"/>
  <c r="AQ34" i="70"/>
  <c r="BD26" i="71" s="1"/>
  <c r="AQ34" i="46"/>
  <c r="AR34" i="46"/>
  <c r="AQ34" i="50"/>
  <c r="AR34" i="50"/>
  <c r="AQ33" i="55"/>
  <c r="AR33" i="55"/>
  <c r="AQ34" i="40"/>
  <c r="AR34" i="40"/>
  <c r="AS34" i="58"/>
  <c r="AT34" i="58"/>
  <c r="AS34" i="43"/>
  <c r="BD27" i="44" s="1"/>
  <c r="M31" i="45" s="1"/>
  <c r="AT34" i="43"/>
  <c r="BE27" i="44" s="1"/>
  <c r="M79" i="45" s="1"/>
  <c r="AS34" i="70"/>
  <c r="BD27" i="71" s="1"/>
  <c r="AT34" i="70"/>
  <c r="BE27" i="71" s="1"/>
  <c r="AS34" i="46"/>
  <c r="AT34" i="46"/>
  <c r="AS34" i="50"/>
  <c r="AT34" i="50"/>
  <c r="AS33" i="55"/>
  <c r="AT33" i="55"/>
  <c r="AS34" i="40"/>
  <c r="AT34" i="40"/>
  <c r="AU34" i="43"/>
  <c r="AV34" i="43"/>
  <c r="AU34" i="70"/>
  <c r="BD28" i="71" s="1"/>
  <c r="AV34" i="70"/>
  <c r="BE28" i="71" s="1"/>
  <c r="AU34" i="46"/>
  <c r="AV34" i="46"/>
  <c r="AU34" i="50"/>
  <c r="AV34" i="50"/>
  <c r="AU33" i="55"/>
  <c r="AV33" i="55"/>
  <c r="AU34" i="40"/>
  <c r="AV34" i="40"/>
  <c r="AW34" i="43"/>
  <c r="AX34" i="43"/>
  <c r="AW34" i="70"/>
  <c r="BD29" i="71" s="1"/>
  <c r="AX34" i="70"/>
  <c r="BE29" i="71" s="1"/>
  <c r="AW34" i="46"/>
  <c r="AX34" i="46"/>
  <c r="AW34" i="50"/>
  <c r="AX34" i="50"/>
  <c r="AW34" i="40"/>
  <c r="AX34" i="40"/>
  <c r="AY34" i="58"/>
  <c r="AY34" i="43"/>
  <c r="AZ34" i="43"/>
  <c r="AY34" i="70"/>
  <c r="BD30" i="71" s="1"/>
  <c r="AZ34" i="70"/>
  <c r="BE30" i="71" s="1"/>
  <c r="AY34" i="46"/>
  <c r="AZ34" i="46"/>
  <c r="AY34" i="50"/>
  <c r="AZ34" i="50"/>
  <c r="AY33" i="55"/>
  <c r="AZ33" i="55"/>
  <c r="AY34" i="40"/>
  <c r="AZ34" i="40"/>
  <c r="BB34" i="58"/>
  <c r="BA34" i="43"/>
  <c r="BB34" i="43"/>
  <c r="BA34" i="70"/>
  <c r="BD31" i="71" s="1"/>
  <c r="BB34" i="70"/>
  <c r="BE31" i="71" s="1"/>
  <c r="BA34" i="46"/>
  <c r="BB34" i="46"/>
  <c r="BA34" i="50"/>
  <c r="BB34" i="50"/>
  <c r="BA33" i="55"/>
  <c r="BB33" i="55"/>
  <c r="BA34" i="40"/>
  <c r="BB34" i="40"/>
  <c r="BC34" i="58"/>
  <c r="BD34" i="58"/>
  <c r="BC34" i="43"/>
  <c r="BD34" i="43"/>
  <c r="BC34" i="70"/>
  <c r="BD32" i="71" s="1"/>
  <c r="BD34" i="70"/>
  <c r="BE32" i="71" s="1"/>
  <c r="BC34" i="46"/>
  <c r="BD34" i="46"/>
  <c r="BC34" i="50"/>
  <c r="BD34" i="50"/>
  <c r="BC33" i="55"/>
  <c r="BD33" i="55"/>
  <c r="BC34" i="40"/>
  <c r="BD34" i="40"/>
  <c r="BE34" i="58"/>
  <c r="BF34" i="58"/>
  <c r="BF34" i="43"/>
  <c r="BE34" i="70"/>
  <c r="BD33" i="71" s="1"/>
  <c r="BF34" i="70"/>
  <c r="BE33" i="71" s="1"/>
  <c r="BE34" i="46"/>
  <c r="BF34" i="46"/>
  <c r="BE34" i="40"/>
  <c r="BF34" i="40"/>
  <c r="BH34" i="58"/>
  <c r="BG34" i="43"/>
  <c r="BH34" i="43"/>
  <c r="BG34" i="70"/>
  <c r="BD34" i="71" s="1"/>
  <c r="BH34" i="70"/>
  <c r="BE34" i="71" s="1"/>
  <c r="BG34" i="46"/>
  <c r="BH34" i="46"/>
  <c r="BG34" i="50"/>
  <c r="BH34" i="50"/>
  <c r="BG33" i="55"/>
  <c r="BH33" i="55"/>
  <c r="BG34" i="40"/>
  <c r="BH34" i="40"/>
  <c r="BI34" i="43"/>
  <c r="BJ34" i="43"/>
  <c r="BI34" i="70"/>
  <c r="BD35" i="71" s="1"/>
  <c r="BJ34" i="70"/>
  <c r="BE35" i="71" s="1"/>
  <c r="BI34" i="46"/>
  <c r="BJ34" i="46"/>
  <c r="BI34" i="50"/>
  <c r="BJ34" i="50"/>
  <c r="BI33" i="55"/>
  <c r="BJ33" i="55"/>
  <c r="BI34" i="40"/>
  <c r="BJ34" i="40"/>
  <c r="BK34" i="43"/>
  <c r="BL34" i="43"/>
  <c r="BK34" i="70"/>
  <c r="BD36" i="71" s="1"/>
  <c r="BL34" i="70"/>
  <c r="BE36" i="71" s="1"/>
  <c r="BK34" i="46"/>
  <c r="BL34" i="46"/>
  <c r="BK34" i="50"/>
  <c r="BL34" i="50"/>
  <c r="BK33" i="55"/>
  <c r="BL33" i="55"/>
  <c r="BK34" i="40"/>
  <c r="BL34" i="40"/>
  <c r="BM34" i="43"/>
  <c r="BN34" i="43"/>
  <c r="BM34" i="70"/>
  <c r="BD37" i="71" s="1"/>
  <c r="BN34" i="70"/>
  <c r="BE37" i="71" s="1"/>
  <c r="BM34" i="46"/>
  <c r="BN34" i="46"/>
  <c r="BM34" i="50"/>
  <c r="BN34" i="50"/>
  <c r="BM33" i="55"/>
  <c r="BN33" i="55"/>
  <c r="BM34" i="40"/>
  <c r="BN34" i="40"/>
  <c r="BO34" i="43"/>
  <c r="BP34" i="43"/>
  <c r="BO34" i="70"/>
  <c r="BD38" i="71" s="1"/>
  <c r="BP34" i="70"/>
  <c r="BE38" i="71" s="1"/>
  <c r="BO34" i="46"/>
  <c r="BP34" i="46"/>
  <c r="BO34" i="50"/>
  <c r="BP34" i="50"/>
  <c r="BO33" i="55"/>
  <c r="BP33" i="55"/>
  <c r="BO34" i="40"/>
  <c r="BP34" i="40"/>
  <c r="BQ34" i="43"/>
  <c r="BR34" i="43"/>
  <c r="BQ34" i="70"/>
  <c r="BD39" i="71" s="1"/>
  <c r="BR34" i="70"/>
  <c r="BE39" i="71" s="1"/>
  <c r="BQ34" i="46"/>
  <c r="BR34" i="46"/>
  <c r="BQ34" i="50"/>
  <c r="BR34" i="50"/>
  <c r="BQ34" i="40"/>
  <c r="BR34" i="40"/>
  <c r="BS34" i="43"/>
  <c r="BT34" i="43"/>
  <c r="BS34" i="70"/>
  <c r="BD40" i="71" s="1"/>
  <c r="BT34" i="70"/>
  <c r="BE40" i="71" s="1"/>
  <c r="BS34" i="46"/>
  <c r="BT34" i="46"/>
  <c r="BS34" i="50"/>
  <c r="BT34" i="50"/>
  <c r="BS33" i="55"/>
  <c r="BT33" i="55"/>
  <c r="BS34" i="40"/>
  <c r="BT34" i="40"/>
  <c r="BU34" i="43"/>
  <c r="BV34" i="43"/>
  <c r="BU34" i="70"/>
  <c r="BD41" i="71" s="1"/>
  <c r="BV34" i="70"/>
  <c r="BE41" i="71" s="1"/>
  <c r="BU34" i="46"/>
  <c r="BV34" i="46"/>
  <c r="BU34" i="50"/>
  <c r="BV34" i="50"/>
  <c r="BU33" i="55"/>
  <c r="BV33" i="55"/>
  <c r="BU34" i="40"/>
  <c r="BV34" i="40"/>
  <c r="BW34" i="43"/>
  <c r="BX34" i="43"/>
  <c r="BW34" i="70"/>
  <c r="BD42" i="71" s="1"/>
  <c r="BX34" i="70"/>
  <c r="BE42" i="71" s="1"/>
  <c r="BW34" i="46"/>
  <c r="BX34" i="46"/>
  <c r="BW34" i="50"/>
  <c r="BX34" i="50"/>
  <c r="BW33" i="55"/>
  <c r="BX33" i="55"/>
  <c r="BW34" i="40"/>
  <c r="BX34" i="40"/>
  <c r="BY34" i="43"/>
  <c r="BZ34" i="43"/>
  <c r="BY34" i="70"/>
  <c r="BD43" i="71" s="1"/>
  <c r="BZ34" i="70"/>
  <c r="BE43" i="71" s="1"/>
  <c r="BY34" i="46"/>
  <c r="BZ34" i="46"/>
  <c r="BY34" i="50"/>
  <c r="BZ34" i="50"/>
  <c r="BY33" i="55"/>
  <c r="BZ33" i="55"/>
  <c r="BY34" i="40"/>
  <c r="BZ34" i="40"/>
  <c r="C35" i="50"/>
  <c r="D35" i="50"/>
  <c r="C35" i="40"/>
  <c r="BF6" i="42" s="1"/>
  <c r="N10" i="41" s="1"/>
  <c r="D35" i="40"/>
  <c r="BG6" i="42" s="1"/>
  <c r="N58" i="41" s="1"/>
  <c r="E35" i="58"/>
  <c r="BF7" i="57" s="1"/>
  <c r="N11" i="59" s="1"/>
  <c r="F35" i="58"/>
  <c r="BG7" i="57" s="1"/>
  <c r="N59" i="59" s="1"/>
  <c r="E35" i="43"/>
  <c r="F35" i="43"/>
  <c r="E35" i="70"/>
  <c r="BF7" i="71" s="1"/>
  <c r="F35" i="70"/>
  <c r="BG7" i="71" s="1"/>
  <c r="E35" i="46"/>
  <c r="E35" i="50"/>
  <c r="E35" i="55"/>
  <c r="H35" i="70"/>
  <c r="BG8" i="71" s="1"/>
  <c r="H35" i="46"/>
  <c r="H35" i="50"/>
  <c r="H35" i="55"/>
  <c r="BG9" i="42"/>
  <c r="N61" i="41" s="1"/>
  <c r="I35" i="43"/>
  <c r="J35" i="43"/>
  <c r="I35" i="70"/>
  <c r="BF9" i="71" s="1"/>
  <c r="J35" i="70"/>
  <c r="BG9" i="71" s="1"/>
  <c r="I35" i="46"/>
  <c r="J35" i="46"/>
  <c r="I35" i="50"/>
  <c r="J35" i="50"/>
  <c r="J34" i="55"/>
  <c r="K35" i="43"/>
  <c r="L35" i="43"/>
  <c r="K35" i="70"/>
  <c r="BF10" i="71" s="1"/>
  <c r="L35" i="70"/>
  <c r="BG10" i="71" s="1"/>
  <c r="K35" i="46"/>
  <c r="L35" i="46"/>
  <c r="K35" i="50"/>
  <c r="L35" i="50"/>
  <c r="K34" i="55"/>
  <c r="L34" i="55"/>
  <c r="K35" i="40"/>
  <c r="BF10" i="42" s="1"/>
  <c r="N14" i="41" s="1"/>
  <c r="L35" i="40"/>
  <c r="BG10" i="42" s="1"/>
  <c r="N62" i="41" s="1"/>
  <c r="M35" i="58"/>
  <c r="N35" i="58"/>
  <c r="M35" i="43"/>
  <c r="BF11" i="44" s="1"/>
  <c r="O15" i="45" s="1"/>
  <c r="N35" i="43"/>
  <c r="BG11" i="44" s="1"/>
  <c r="O63" i="45" s="1"/>
  <c r="N35" i="70"/>
  <c r="BG11" i="71" s="1"/>
  <c r="M35" i="46"/>
  <c r="N35" i="46"/>
  <c r="M35" i="50"/>
  <c r="N35" i="50"/>
  <c r="M34" i="55"/>
  <c r="N34" i="55"/>
  <c r="M35" i="40"/>
  <c r="BF11" i="42" s="1"/>
  <c r="N15" i="41" s="1"/>
  <c r="N35" i="40"/>
  <c r="BG11" i="42" s="1"/>
  <c r="N63" i="41" s="1"/>
  <c r="P35" i="58"/>
  <c r="O35" i="43"/>
  <c r="P35" i="43"/>
  <c r="O35" i="70"/>
  <c r="BF12" i="71" s="1"/>
  <c r="P35" i="70"/>
  <c r="BG12" i="71" s="1"/>
  <c r="O35" i="46"/>
  <c r="P35" i="46"/>
  <c r="O35" i="50"/>
  <c r="P35" i="50"/>
  <c r="O34" i="55"/>
  <c r="P34" i="55"/>
  <c r="O35" i="40"/>
  <c r="BF12" i="42" s="1"/>
  <c r="N16" i="41" s="1"/>
  <c r="P35" i="40"/>
  <c r="BG12" i="42" s="1"/>
  <c r="N64" i="41" s="1"/>
  <c r="R35" i="58"/>
  <c r="Q35" i="43"/>
  <c r="R35" i="43"/>
  <c r="Q35" i="70"/>
  <c r="BF13" i="71" s="1"/>
  <c r="R35" i="70"/>
  <c r="BG13" i="71" s="1"/>
  <c r="Q35" i="46"/>
  <c r="R35" i="46"/>
  <c r="Q35" i="50"/>
  <c r="R35" i="50"/>
  <c r="Q34" i="55"/>
  <c r="R34" i="55"/>
  <c r="Q35" i="40"/>
  <c r="BF13" i="42" s="1"/>
  <c r="N17" i="41" s="1"/>
  <c r="R35" i="40"/>
  <c r="BG13" i="42" s="1"/>
  <c r="N65" i="41" s="1"/>
  <c r="S35" i="58"/>
  <c r="T35" i="58"/>
  <c r="S35" i="43"/>
  <c r="S35" i="70"/>
  <c r="BF14" i="71" s="1"/>
  <c r="T35" i="70"/>
  <c r="BG14" i="71" s="1"/>
  <c r="S35" i="46"/>
  <c r="T35" i="46"/>
  <c r="S35" i="50"/>
  <c r="T35" i="50"/>
  <c r="S34" i="55"/>
  <c r="T34" i="55"/>
  <c r="S35" i="40"/>
  <c r="BF14" i="42" s="1"/>
  <c r="N18" i="41" s="1"/>
  <c r="T35" i="40"/>
  <c r="BG14" i="42" s="1"/>
  <c r="N66" i="41" s="1"/>
  <c r="U35" i="43"/>
  <c r="V35" i="43"/>
  <c r="U35" i="70"/>
  <c r="BF15" i="71" s="1"/>
  <c r="V35" i="70"/>
  <c r="BG15" i="71" s="1"/>
  <c r="U35" i="46"/>
  <c r="V35" i="46"/>
  <c r="U35" i="50"/>
  <c r="V35" i="50"/>
  <c r="U35" i="40"/>
  <c r="BF15" i="42" s="1"/>
  <c r="N19" i="41" s="1"/>
  <c r="V35" i="40"/>
  <c r="BG15" i="42" s="1"/>
  <c r="N67" i="41" s="1"/>
  <c r="W35" i="43"/>
  <c r="X35" i="43"/>
  <c r="W35" i="70"/>
  <c r="BF16" i="71" s="1"/>
  <c r="X35" i="70"/>
  <c r="BG16" i="71" s="1"/>
  <c r="W35" i="46"/>
  <c r="X35" i="46"/>
  <c r="W35" i="50"/>
  <c r="X35" i="50"/>
  <c r="W34" i="55"/>
  <c r="X34" i="55"/>
  <c r="W35" i="40"/>
  <c r="BF16" i="42" s="1"/>
  <c r="N20" i="41" s="1"/>
  <c r="X35" i="40"/>
  <c r="BG16" i="42" s="1"/>
  <c r="N68" i="41" s="1"/>
  <c r="Z35" i="58"/>
  <c r="Y35" i="43"/>
  <c r="Z35" i="43"/>
  <c r="Y35" i="70"/>
  <c r="BF17" i="71" s="1"/>
  <c r="Z35" i="70"/>
  <c r="BG17" i="71" s="1"/>
  <c r="Y35" i="46"/>
  <c r="Z35" i="46"/>
  <c r="Y35" i="50"/>
  <c r="Z35" i="50"/>
  <c r="Y35" i="55"/>
  <c r="Z35" i="55"/>
  <c r="Y35" i="40"/>
  <c r="BF17" i="42" s="1"/>
  <c r="N21" i="41" s="1"/>
  <c r="Z35" i="40"/>
  <c r="BG17" i="42" s="1"/>
  <c r="N69" i="41" s="1"/>
  <c r="AA35" i="58"/>
  <c r="AB35" i="58"/>
  <c r="AA35" i="43"/>
  <c r="AB35" i="43"/>
  <c r="AA35" i="70"/>
  <c r="BF18" i="71" s="1"/>
  <c r="AB35" i="70"/>
  <c r="BG18" i="71" s="1"/>
  <c r="AA35" i="46"/>
  <c r="AB35" i="46"/>
  <c r="AA35" i="50"/>
  <c r="AB35" i="50"/>
  <c r="AA34" i="55"/>
  <c r="AB34" i="55"/>
  <c r="AA35" i="40"/>
  <c r="BF18" i="42" s="1"/>
  <c r="N22" i="41" s="1"/>
  <c r="AB35" i="40"/>
  <c r="BG18" i="42" s="1"/>
  <c r="N70" i="41" s="1"/>
  <c r="AC35" i="58"/>
  <c r="AD35" i="58"/>
  <c r="AC35" i="43"/>
  <c r="AD35" i="43"/>
  <c r="AC35" i="70"/>
  <c r="BF19" i="71" s="1"/>
  <c r="AD35" i="70"/>
  <c r="BG19" i="71" s="1"/>
  <c r="AC35" i="46"/>
  <c r="AD35" i="46"/>
  <c r="AC35" i="50"/>
  <c r="AD35" i="50"/>
  <c r="AC34" i="55"/>
  <c r="AD34" i="55"/>
  <c r="AC35" i="40"/>
  <c r="BF19" i="42" s="1"/>
  <c r="N23" i="41" s="1"/>
  <c r="AD35" i="40"/>
  <c r="BG19" i="42" s="1"/>
  <c r="N71" i="41" s="1"/>
  <c r="AE35" i="58"/>
  <c r="AF35" i="58"/>
  <c r="AE35" i="43"/>
  <c r="AF35" i="43"/>
  <c r="AE35" i="70"/>
  <c r="BF20" i="71" s="1"/>
  <c r="AF35" i="70"/>
  <c r="BG20" i="71" s="1"/>
  <c r="AE35" i="46"/>
  <c r="AF35" i="46"/>
  <c r="AE35" i="50"/>
  <c r="AF35" i="50"/>
  <c r="AE34" i="55"/>
  <c r="AF34" i="55"/>
  <c r="AE35" i="40"/>
  <c r="BF20" i="42" s="1"/>
  <c r="N24" i="41" s="1"/>
  <c r="AF35" i="40"/>
  <c r="BG20" i="42" s="1"/>
  <c r="N72" i="41" s="1"/>
  <c r="AG35" i="43"/>
  <c r="AH35" i="43"/>
  <c r="AG35" i="70"/>
  <c r="BF21" i="71" s="1"/>
  <c r="AH35" i="70"/>
  <c r="BG21" i="71" s="1"/>
  <c r="AG35" i="46"/>
  <c r="AH35" i="46"/>
  <c r="AG35" i="50"/>
  <c r="AH35" i="50"/>
  <c r="AG34" i="55"/>
  <c r="AH34" i="55"/>
  <c r="AG35" i="40"/>
  <c r="BF21" i="42" s="1"/>
  <c r="N25" i="41" s="1"/>
  <c r="AH35" i="40"/>
  <c r="BG21" i="42" s="1"/>
  <c r="N73" i="41" s="1"/>
  <c r="AJ35" i="58"/>
  <c r="AI35" i="43"/>
  <c r="AJ35" i="43"/>
  <c r="AI35" i="70"/>
  <c r="BF22" i="71" s="1"/>
  <c r="AJ35" i="70"/>
  <c r="BG22" i="71" s="1"/>
  <c r="AI35" i="46"/>
  <c r="AJ35" i="46"/>
  <c r="AI35" i="50"/>
  <c r="AJ35" i="50"/>
  <c r="AI34" i="55"/>
  <c r="AJ34" i="55"/>
  <c r="AI35" i="40"/>
  <c r="BF22" i="42" s="1"/>
  <c r="N26" i="41" s="1"/>
  <c r="AJ35" i="40"/>
  <c r="BG22" i="42" s="1"/>
  <c r="N74" i="41" s="1"/>
  <c r="AK35" i="43"/>
  <c r="AL35" i="43"/>
  <c r="AK35" i="70"/>
  <c r="BF23" i="71" s="1"/>
  <c r="AL35" i="70"/>
  <c r="BG23" i="71" s="1"/>
  <c r="AK35" i="46"/>
  <c r="AL35" i="46"/>
  <c r="AK35" i="50"/>
  <c r="AL35" i="50"/>
  <c r="AK34" i="55"/>
  <c r="AL34" i="55"/>
  <c r="AK35" i="40"/>
  <c r="BF23" i="42" s="1"/>
  <c r="N27" i="41" s="1"/>
  <c r="AL35" i="40"/>
  <c r="BG23" i="42" s="1"/>
  <c r="N75" i="41" s="1"/>
  <c r="AM35" i="58"/>
  <c r="AN35" i="58"/>
  <c r="AM35" i="43"/>
  <c r="AN35" i="43"/>
  <c r="AM35" i="70"/>
  <c r="BF24" i="71" s="1"/>
  <c r="AN35" i="70"/>
  <c r="BG24" i="71" s="1"/>
  <c r="AM35" i="46"/>
  <c r="AN35" i="46"/>
  <c r="AM35" i="50"/>
  <c r="AN35" i="50"/>
  <c r="AM34" i="55"/>
  <c r="AN34" i="55"/>
  <c r="AM35" i="40"/>
  <c r="BF24" i="42" s="1"/>
  <c r="N28" i="41" s="1"/>
  <c r="AN35" i="40"/>
  <c r="BG24" i="42" s="1"/>
  <c r="N76" i="41" s="1"/>
  <c r="AO35" i="43"/>
  <c r="AP35" i="43"/>
  <c r="AO35" i="70"/>
  <c r="BF25" i="71" s="1"/>
  <c r="AP35" i="70"/>
  <c r="BG25" i="71" s="1"/>
  <c r="AO35" i="46"/>
  <c r="AP35" i="46"/>
  <c r="AO35" i="50"/>
  <c r="AP35" i="50"/>
  <c r="AO34" i="55"/>
  <c r="AP34" i="55"/>
  <c r="AQ35" i="43"/>
  <c r="AR35" i="43"/>
  <c r="AQ35" i="70"/>
  <c r="BF26" i="71" s="1"/>
  <c r="AR35" i="70"/>
  <c r="BG26" i="71" s="1"/>
  <c r="AQ35" i="46"/>
  <c r="AR35" i="46"/>
  <c r="AQ35" i="50"/>
  <c r="AR35" i="50"/>
  <c r="AQ34" i="55"/>
  <c r="AR34" i="55"/>
  <c r="AQ35" i="40"/>
  <c r="BF26" i="42" s="1"/>
  <c r="N30" i="41" s="1"/>
  <c r="AR35" i="40"/>
  <c r="BG26" i="42" s="1"/>
  <c r="N78" i="41" s="1"/>
  <c r="AS35" i="58"/>
  <c r="AS35" i="43"/>
  <c r="BF27" i="44" s="1"/>
  <c r="O31" i="45" s="1"/>
  <c r="AT35" i="43"/>
  <c r="BG27" i="44" s="1"/>
  <c r="O79" i="45" s="1"/>
  <c r="AS35" i="70"/>
  <c r="BF27" i="71" s="1"/>
  <c r="AT35" i="70"/>
  <c r="BG27" i="71" s="1"/>
  <c r="AS35" i="46"/>
  <c r="AT35" i="46"/>
  <c r="AS35" i="50"/>
  <c r="AT35" i="50"/>
  <c r="AS34" i="55"/>
  <c r="AT34" i="55"/>
  <c r="AS35" i="40"/>
  <c r="BF27" i="42" s="1"/>
  <c r="N31" i="41" s="1"/>
  <c r="AT35" i="40"/>
  <c r="BG27" i="42" s="1"/>
  <c r="N79" i="41" s="1"/>
  <c r="AU35" i="58"/>
  <c r="AU35" i="43"/>
  <c r="AV35" i="43"/>
  <c r="AU35" i="70"/>
  <c r="BF28" i="71" s="1"/>
  <c r="AV35" i="70"/>
  <c r="BG28" i="71" s="1"/>
  <c r="AU35" i="46"/>
  <c r="AV35" i="46"/>
  <c r="AU35" i="50"/>
  <c r="AV35" i="50"/>
  <c r="AU34" i="55"/>
  <c r="AV34" i="55"/>
  <c r="AU35" i="40"/>
  <c r="BF28" i="42" s="1"/>
  <c r="N32" i="41" s="1"/>
  <c r="AV35" i="40"/>
  <c r="BG28" i="42" s="1"/>
  <c r="N80" i="41" s="1"/>
  <c r="AX35" i="58"/>
  <c r="AW35" i="43"/>
  <c r="BF29" i="44" s="1"/>
  <c r="AX35" i="43"/>
  <c r="BG29" i="44" s="1"/>
  <c r="O81" i="45" s="1"/>
  <c r="AW35" i="70"/>
  <c r="BF29" i="71" s="1"/>
  <c r="AX35" i="70"/>
  <c r="BG29" i="71" s="1"/>
  <c r="AW35" i="46"/>
  <c r="AX35" i="46"/>
  <c r="AW35" i="50"/>
  <c r="AX35" i="50"/>
  <c r="AW35" i="40"/>
  <c r="BF29" i="42" s="1"/>
  <c r="N33" i="41" s="1"/>
  <c r="AX35" i="40"/>
  <c r="BG29" i="42" s="1"/>
  <c r="N81" i="41" s="1"/>
  <c r="AY35" i="58"/>
  <c r="AZ35" i="58"/>
  <c r="AY35" i="43"/>
  <c r="AZ35" i="43"/>
  <c r="AY35" i="70"/>
  <c r="BF30" i="71" s="1"/>
  <c r="AZ35" i="70"/>
  <c r="BG30" i="71" s="1"/>
  <c r="AY35" i="46"/>
  <c r="AZ35" i="46"/>
  <c r="AY35" i="50"/>
  <c r="AZ35" i="50"/>
  <c r="AY34" i="55"/>
  <c r="AZ34" i="55"/>
  <c r="AY35" i="40"/>
  <c r="BF30" i="42" s="1"/>
  <c r="N34" i="41" s="1"/>
  <c r="AZ35" i="40"/>
  <c r="BG30" i="42" s="1"/>
  <c r="N82" i="41" s="1"/>
  <c r="BA35" i="58"/>
  <c r="BA35" i="43"/>
  <c r="BB35" i="43"/>
  <c r="BA35" i="70"/>
  <c r="BF31" i="71" s="1"/>
  <c r="BB35" i="70"/>
  <c r="BG31" i="71" s="1"/>
  <c r="BA35" i="46"/>
  <c r="BB35" i="46"/>
  <c r="BA35" i="50"/>
  <c r="BB35" i="50"/>
  <c r="BA34" i="55"/>
  <c r="BB34" i="55"/>
  <c r="BA35" i="40"/>
  <c r="BF31" i="42" s="1"/>
  <c r="N35" i="41" s="1"/>
  <c r="BB35" i="40"/>
  <c r="BG31" i="42" s="1"/>
  <c r="N83" i="41" s="1"/>
  <c r="BC35" i="43"/>
  <c r="BD35" i="43"/>
  <c r="BC35" i="70"/>
  <c r="BF32" i="71" s="1"/>
  <c r="BD35" i="70"/>
  <c r="BG32" i="71" s="1"/>
  <c r="BC35" i="46"/>
  <c r="BD35" i="46"/>
  <c r="BC35" i="50"/>
  <c r="BD35" i="50"/>
  <c r="BC34" i="55"/>
  <c r="BD34" i="55"/>
  <c r="BC35" i="40"/>
  <c r="BF32" i="42" s="1"/>
  <c r="N36" i="41" s="1"/>
  <c r="BD35" i="40"/>
  <c r="BG32" i="42" s="1"/>
  <c r="N84" i="41" s="1"/>
  <c r="BE35" i="43"/>
  <c r="BF35" i="43"/>
  <c r="BE35" i="70"/>
  <c r="BF33" i="71" s="1"/>
  <c r="BF35" i="70"/>
  <c r="BG33" i="71" s="1"/>
  <c r="BE35" i="46"/>
  <c r="BF35" i="46"/>
  <c r="BE35" i="40"/>
  <c r="BF33" i="42" s="1"/>
  <c r="N37" i="41" s="1"/>
  <c r="BF35" i="40"/>
  <c r="BG33" i="42" s="1"/>
  <c r="N85" i="41" s="1"/>
  <c r="BG35" i="43"/>
  <c r="BH35" i="43"/>
  <c r="BG35" i="70"/>
  <c r="BF34" i="71" s="1"/>
  <c r="BH35" i="70"/>
  <c r="BG34" i="71" s="1"/>
  <c r="BG35" i="46"/>
  <c r="BH35" i="46"/>
  <c r="BG35" i="50"/>
  <c r="BH35" i="50"/>
  <c r="BG34" i="55"/>
  <c r="BH34" i="55"/>
  <c r="BG35" i="40"/>
  <c r="BF34" i="42" s="1"/>
  <c r="N38" i="41" s="1"/>
  <c r="BH35" i="40"/>
  <c r="BG34" i="42" s="1"/>
  <c r="N86" i="41" s="1"/>
  <c r="BI35" i="43"/>
  <c r="BJ35" i="43"/>
  <c r="BI35" i="70"/>
  <c r="BF35" i="71" s="1"/>
  <c r="BJ35" i="70"/>
  <c r="BG35" i="71" s="1"/>
  <c r="BI35" i="46"/>
  <c r="BJ35" i="46"/>
  <c r="BI35" i="50"/>
  <c r="BJ35" i="50"/>
  <c r="BI34" i="55"/>
  <c r="BJ34" i="55"/>
  <c r="BI35" i="40"/>
  <c r="BF35" i="42" s="1"/>
  <c r="N39" i="41" s="1"/>
  <c r="BJ35" i="40"/>
  <c r="BG35" i="42" s="1"/>
  <c r="N87" i="41" s="1"/>
  <c r="BL35" i="58"/>
  <c r="BK35" i="43"/>
  <c r="BL35" i="43"/>
  <c r="BK35" i="70"/>
  <c r="BF36" i="71" s="1"/>
  <c r="BL35" i="70"/>
  <c r="BG36" i="71" s="1"/>
  <c r="BK35" i="46"/>
  <c r="BL35" i="46"/>
  <c r="BK35" i="50"/>
  <c r="BL35" i="50"/>
  <c r="BK34" i="55"/>
  <c r="BL34" i="55"/>
  <c r="BK35" i="40"/>
  <c r="BF36" i="42" s="1"/>
  <c r="N40" i="41" s="1"/>
  <c r="BL35" i="40"/>
  <c r="BG36" i="42" s="1"/>
  <c r="N88" i="41" s="1"/>
  <c r="BM35" i="43"/>
  <c r="BN35" i="43"/>
  <c r="BM35" i="70"/>
  <c r="BF37" i="71" s="1"/>
  <c r="BN35" i="70"/>
  <c r="BG37" i="71" s="1"/>
  <c r="BM35" i="46"/>
  <c r="BN35" i="46"/>
  <c r="BM35" i="50"/>
  <c r="BN35" i="50"/>
  <c r="BM34" i="55"/>
  <c r="BN34" i="55"/>
  <c r="BM35" i="40"/>
  <c r="BF37" i="42" s="1"/>
  <c r="N41" i="41" s="1"/>
  <c r="BN35" i="40"/>
  <c r="BG37" i="42" s="1"/>
  <c r="N89" i="41" s="1"/>
  <c r="BO35" i="43"/>
  <c r="BP35" i="43"/>
  <c r="BO35" i="70"/>
  <c r="BF38" i="71" s="1"/>
  <c r="BP35" i="70"/>
  <c r="BG38" i="71" s="1"/>
  <c r="BO35" i="46"/>
  <c r="BP35" i="46"/>
  <c r="BO35" i="50"/>
  <c r="BP35" i="50"/>
  <c r="BO34" i="55"/>
  <c r="BP34" i="55"/>
  <c r="BO35" i="40"/>
  <c r="BF38" i="42" s="1"/>
  <c r="N42" i="41" s="1"/>
  <c r="BP35" i="40"/>
  <c r="BG38" i="42" s="1"/>
  <c r="N90" i="41" s="1"/>
  <c r="BQ35" i="58"/>
  <c r="BQ35" i="43"/>
  <c r="BR35" i="43"/>
  <c r="BQ35" i="70"/>
  <c r="BF39" i="71" s="1"/>
  <c r="BR35" i="70"/>
  <c r="BG39" i="71" s="1"/>
  <c r="BQ35" i="46"/>
  <c r="BR35" i="46"/>
  <c r="BQ35" i="50"/>
  <c r="BR35" i="50"/>
  <c r="BQ35" i="40"/>
  <c r="BF39" i="42" s="1"/>
  <c r="N43" i="41" s="1"/>
  <c r="BR35" i="40"/>
  <c r="BG39" i="42" s="1"/>
  <c r="N91" i="41" s="1"/>
  <c r="BS35" i="43"/>
  <c r="BT35" i="43"/>
  <c r="BS35" i="70"/>
  <c r="BF40" i="71" s="1"/>
  <c r="BT35" i="70"/>
  <c r="BG40" i="71" s="1"/>
  <c r="BS35" i="46"/>
  <c r="BT35" i="46"/>
  <c r="BS35" i="50"/>
  <c r="BT35" i="50"/>
  <c r="BS34" i="55"/>
  <c r="BT34" i="55"/>
  <c r="BS35" i="40"/>
  <c r="BF40" i="42" s="1"/>
  <c r="N44" i="41" s="1"/>
  <c r="BT35" i="40"/>
  <c r="BG40" i="42" s="1"/>
  <c r="N92" i="41" s="1"/>
  <c r="BV35" i="58"/>
  <c r="BU35" i="43"/>
  <c r="BV35" i="43"/>
  <c r="BU35" i="70"/>
  <c r="BF41" i="71" s="1"/>
  <c r="BV35" i="70"/>
  <c r="BG41" i="71" s="1"/>
  <c r="BU35" i="46"/>
  <c r="BV35" i="46"/>
  <c r="BU35" i="50"/>
  <c r="BV35" i="50"/>
  <c r="BU34" i="55"/>
  <c r="BV34" i="55"/>
  <c r="BU35" i="40"/>
  <c r="BF41" i="42" s="1"/>
  <c r="N45" i="41" s="1"/>
  <c r="BV35" i="40"/>
  <c r="BG41" i="42" s="1"/>
  <c r="N93" i="41" s="1"/>
  <c r="BX35" i="58"/>
  <c r="BW35" i="43"/>
  <c r="BX35" i="43"/>
  <c r="BW35" i="70"/>
  <c r="BF42" i="71" s="1"/>
  <c r="BX35" i="70"/>
  <c r="BG42" i="71" s="1"/>
  <c r="BW35" i="46"/>
  <c r="BX35" i="46"/>
  <c r="BW35" i="50"/>
  <c r="BX35" i="50"/>
  <c r="BW34" i="55"/>
  <c r="BX34" i="55"/>
  <c r="BW35" i="40"/>
  <c r="BF42" i="42" s="1"/>
  <c r="N46" i="41" s="1"/>
  <c r="BX35" i="40"/>
  <c r="BG42" i="42" s="1"/>
  <c r="N94" i="41" s="1"/>
  <c r="BZ35" i="58"/>
  <c r="BY35" i="43"/>
  <c r="BZ35" i="43"/>
  <c r="BY35" i="70"/>
  <c r="BF43" i="71" s="1"/>
  <c r="BZ35" i="70"/>
  <c r="BG43" i="71" s="1"/>
  <c r="BY35" i="46"/>
  <c r="BZ35" i="46"/>
  <c r="BY35" i="50"/>
  <c r="BZ35" i="50"/>
  <c r="BY34" i="55"/>
  <c r="BZ34" i="55"/>
  <c r="BY35" i="40"/>
  <c r="BF43" i="42" s="1"/>
  <c r="N47" i="41" s="1"/>
  <c r="BZ35" i="40"/>
  <c r="BG43" i="42" s="1"/>
  <c r="N95" i="41" s="1"/>
  <c r="C36" i="50"/>
  <c r="D36" i="50"/>
  <c r="C36" i="40"/>
  <c r="BH6" i="42" s="1"/>
  <c r="O10" i="41" s="1"/>
  <c r="D36" i="40"/>
  <c r="BI6" i="42" s="1"/>
  <c r="O58" i="41" s="1"/>
  <c r="E36" i="43"/>
  <c r="F36" i="43"/>
  <c r="E36" i="70"/>
  <c r="BH7" i="71" s="1"/>
  <c r="F36" i="70"/>
  <c r="BI7" i="71" s="1"/>
  <c r="E36" i="46"/>
  <c r="E36" i="50"/>
  <c r="E36" i="55"/>
  <c r="H36" i="70"/>
  <c r="BI8" i="71" s="1"/>
  <c r="H36" i="46"/>
  <c r="H36" i="50"/>
  <c r="H36" i="55"/>
  <c r="BI9" i="42"/>
  <c r="O61" i="41" s="1"/>
  <c r="J36" i="58"/>
  <c r="I36" i="43"/>
  <c r="J36" i="43"/>
  <c r="I36" i="70"/>
  <c r="BH9" i="71" s="1"/>
  <c r="J36" i="70"/>
  <c r="BI9" i="71" s="1"/>
  <c r="I36" i="46"/>
  <c r="J36" i="46"/>
  <c r="I36" i="50"/>
  <c r="J36" i="50"/>
  <c r="J35" i="55"/>
  <c r="K36" i="58"/>
  <c r="L36" i="58"/>
  <c r="K36" i="43"/>
  <c r="L36" i="43"/>
  <c r="K36" i="70"/>
  <c r="BH10" i="71" s="1"/>
  <c r="L36" i="70"/>
  <c r="BI10" i="71" s="1"/>
  <c r="K36" i="46"/>
  <c r="L36" i="46"/>
  <c r="K36" i="50"/>
  <c r="L36" i="50"/>
  <c r="K35" i="55"/>
  <c r="L35" i="55"/>
  <c r="K36" i="40"/>
  <c r="BH10" i="42" s="1"/>
  <c r="O14" i="41" s="1"/>
  <c r="L36" i="40"/>
  <c r="BI10" i="42" s="1"/>
  <c r="O62" i="41" s="1"/>
  <c r="M36" i="58"/>
  <c r="N36" i="58"/>
  <c r="M36" i="43"/>
  <c r="BH11" i="44" s="1"/>
  <c r="Q15" i="45" s="1"/>
  <c r="N36" i="43"/>
  <c r="BI11" i="44" s="1"/>
  <c r="Q63" i="45" s="1"/>
  <c r="M36" i="70"/>
  <c r="BH11" i="71" s="1"/>
  <c r="N36" i="70"/>
  <c r="BI11" i="71" s="1"/>
  <c r="M36" i="46"/>
  <c r="N36" i="46"/>
  <c r="M36" i="50"/>
  <c r="N36" i="50"/>
  <c r="M35" i="55"/>
  <c r="N35" i="55"/>
  <c r="M36" i="40"/>
  <c r="BH11" i="42" s="1"/>
  <c r="O15" i="41" s="1"/>
  <c r="N36" i="40"/>
  <c r="BI11" i="42" s="1"/>
  <c r="O63" i="41" s="1"/>
  <c r="P36" i="58"/>
  <c r="O36" i="43"/>
  <c r="P36" i="43"/>
  <c r="O36" i="70"/>
  <c r="BH12" i="71" s="1"/>
  <c r="P36" i="70"/>
  <c r="BI12" i="71" s="1"/>
  <c r="O36" i="46"/>
  <c r="P36" i="46"/>
  <c r="O36" i="50"/>
  <c r="P36" i="50"/>
  <c r="O35" i="55"/>
  <c r="P35" i="55"/>
  <c r="O36" i="40"/>
  <c r="BH12" i="42" s="1"/>
  <c r="O16" i="41" s="1"/>
  <c r="P36" i="40"/>
  <c r="BI12" i="42" s="1"/>
  <c r="O64" i="41" s="1"/>
  <c r="R36" i="58"/>
  <c r="Q36" i="43"/>
  <c r="R36" i="43"/>
  <c r="Q36" i="70"/>
  <c r="BH13" i="71" s="1"/>
  <c r="R36" i="70"/>
  <c r="BI13" i="71" s="1"/>
  <c r="Q36" i="46"/>
  <c r="R36" i="46"/>
  <c r="Q36" i="50"/>
  <c r="R36" i="50"/>
  <c r="Q35" i="55"/>
  <c r="R35" i="55"/>
  <c r="Q36" i="40"/>
  <c r="BH13" i="42" s="1"/>
  <c r="O17" i="41" s="1"/>
  <c r="R36" i="40"/>
  <c r="BI13" i="42" s="1"/>
  <c r="O65" i="41" s="1"/>
  <c r="S36" i="43"/>
  <c r="T36" i="43"/>
  <c r="S36" i="70"/>
  <c r="BH14" i="71" s="1"/>
  <c r="T36" i="70"/>
  <c r="BI14" i="71" s="1"/>
  <c r="S36" i="46"/>
  <c r="T36" i="46"/>
  <c r="S36" i="50"/>
  <c r="T36" i="50"/>
  <c r="S35" i="55"/>
  <c r="T35" i="55"/>
  <c r="S36" i="40"/>
  <c r="BH14" i="42" s="1"/>
  <c r="O18" i="41" s="1"/>
  <c r="T36" i="40"/>
  <c r="BI14" i="42" s="1"/>
  <c r="O66" i="41" s="1"/>
  <c r="V36" i="58"/>
  <c r="U36" i="43"/>
  <c r="V36" i="43"/>
  <c r="U36" i="70"/>
  <c r="BH15" i="71" s="1"/>
  <c r="V36" i="70"/>
  <c r="BI15" i="71" s="1"/>
  <c r="U36" i="46"/>
  <c r="V36" i="46"/>
  <c r="U36" i="50"/>
  <c r="V36" i="50"/>
  <c r="U36" i="40"/>
  <c r="BH15" i="42" s="1"/>
  <c r="O19" i="41" s="1"/>
  <c r="V36" i="40"/>
  <c r="BI15" i="42" s="1"/>
  <c r="O67" i="41" s="1"/>
  <c r="W36" i="58"/>
  <c r="X36" i="58"/>
  <c r="W36" i="43"/>
  <c r="X36" i="43"/>
  <c r="W36" i="70"/>
  <c r="BH16" i="71" s="1"/>
  <c r="X36" i="70"/>
  <c r="BI16" i="71" s="1"/>
  <c r="W36" i="46"/>
  <c r="X36" i="46"/>
  <c r="W36" i="50"/>
  <c r="X36" i="50"/>
  <c r="W35" i="55"/>
  <c r="X35" i="55"/>
  <c r="W36" i="40"/>
  <c r="BH16" i="42" s="1"/>
  <c r="O20" i="41" s="1"/>
  <c r="X36" i="40"/>
  <c r="BI16" i="42" s="1"/>
  <c r="O68" i="41" s="1"/>
  <c r="Y36" i="58"/>
  <c r="Z36" i="58"/>
  <c r="Y36" i="43"/>
  <c r="Z36" i="43"/>
  <c r="Y36" i="70"/>
  <c r="BH17" i="71" s="1"/>
  <c r="Z36" i="70"/>
  <c r="BI17" i="71" s="1"/>
  <c r="Y36" i="46"/>
  <c r="Z36" i="46"/>
  <c r="Y36" i="50"/>
  <c r="Z36" i="50"/>
  <c r="Y36" i="55"/>
  <c r="Z36" i="55"/>
  <c r="Y36" i="40"/>
  <c r="BH17" i="42" s="1"/>
  <c r="O21" i="41" s="1"/>
  <c r="Z36" i="40"/>
  <c r="BI17" i="42" s="1"/>
  <c r="O69" i="41" s="1"/>
  <c r="AA36" i="58"/>
  <c r="AB36" i="58"/>
  <c r="AA36" i="43"/>
  <c r="AB36" i="43"/>
  <c r="AA36" i="70"/>
  <c r="BH18" i="71" s="1"/>
  <c r="AB36" i="70"/>
  <c r="BI18" i="71" s="1"/>
  <c r="AA36" i="46"/>
  <c r="AB36" i="46"/>
  <c r="AA36" i="50"/>
  <c r="AB36" i="50"/>
  <c r="AA35" i="55"/>
  <c r="AB35" i="55"/>
  <c r="AA36" i="40"/>
  <c r="BH18" i="42" s="1"/>
  <c r="O22" i="41" s="1"/>
  <c r="AB36" i="40"/>
  <c r="BI18" i="42" s="1"/>
  <c r="O70" i="41" s="1"/>
  <c r="AC36" i="43"/>
  <c r="AD36" i="43"/>
  <c r="AC36" i="70"/>
  <c r="BH19" i="71" s="1"/>
  <c r="AD36" i="70"/>
  <c r="BI19" i="71" s="1"/>
  <c r="AC36" i="46"/>
  <c r="AD36" i="46"/>
  <c r="AC36" i="50"/>
  <c r="AD36" i="50"/>
  <c r="AC35" i="55"/>
  <c r="AD35" i="55"/>
  <c r="AC36" i="40"/>
  <c r="BH19" i="42" s="1"/>
  <c r="O23" i="41" s="1"/>
  <c r="AD36" i="40"/>
  <c r="BI19" i="42" s="1"/>
  <c r="O71" i="41" s="1"/>
  <c r="AE36" i="58"/>
  <c r="AF36" i="58"/>
  <c r="AE36" i="43"/>
  <c r="AF36" i="43"/>
  <c r="AE36" i="70"/>
  <c r="BH20" i="71" s="1"/>
  <c r="AF36" i="70"/>
  <c r="BI20" i="71" s="1"/>
  <c r="AE36" i="46"/>
  <c r="AF36" i="46"/>
  <c r="AE36" i="50"/>
  <c r="AF36" i="50"/>
  <c r="AE35" i="55"/>
  <c r="AF35" i="55"/>
  <c r="AE36" i="40"/>
  <c r="BH20" i="42" s="1"/>
  <c r="O24" i="41" s="1"/>
  <c r="AF36" i="40"/>
  <c r="BI20" i="42" s="1"/>
  <c r="O72" i="41" s="1"/>
  <c r="AH36" i="58"/>
  <c r="AG36" i="43"/>
  <c r="AH36" i="43"/>
  <c r="AG36" i="70"/>
  <c r="BH21" i="71" s="1"/>
  <c r="AH36" i="70"/>
  <c r="BI21" i="71" s="1"/>
  <c r="AG36" i="46"/>
  <c r="AH36" i="46"/>
  <c r="AG36" i="50"/>
  <c r="AH36" i="50"/>
  <c r="AG35" i="55"/>
  <c r="AH35" i="55"/>
  <c r="AG36" i="40"/>
  <c r="BH21" i="42" s="1"/>
  <c r="O25" i="41" s="1"/>
  <c r="AH36" i="40"/>
  <c r="BI21" i="42" s="1"/>
  <c r="O73" i="41" s="1"/>
  <c r="AJ36" i="58"/>
  <c r="AI36" i="43"/>
  <c r="AJ36" i="43"/>
  <c r="AI36" i="70"/>
  <c r="BH22" i="71" s="1"/>
  <c r="AJ36" i="70"/>
  <c r="BI22" i="71" s="1"/>
  <c r="AI36" i="46"/>
  <c r="AJ36" i="46"/>
  <c r="AI36" i="50"/>
  <c r="AJ36" i="50"/>
  <c r="AI35" i="55"/>
  <c r="AJ35" i="55"/>
  <c r="AI36" i="40"/>
  <c r="BH22" i="42" s="1"/>
  <c r="O26" i="41" s="1"/>
  <c r="AJ36" i="40"/>
  <c r="BI22" i="42" s="1"/>
  <c r="O74" i="41" s="1"/>
  <c r="AL36" i="58"/>
  <c r="AK36" i="43"/>
  <c r="AL36" i="43"/>
  <c r="AK36" i="70"/>
  <c r="BH23" i="71" s="1"/>
  <c r="AL36" i="70"/>
  <c r="BI23" i="71" s="1"/>
  <c r="AK36" i="46"/>
  <c r="AL36" i="46"/>
  <c r="AK36" i="50"/>
  <c r="AL36" i="50"/>
  <c r="AK35" i="55"/>
  <c r="AL35" i="55"/>
  <c r="AK36" i="40"/>
  <c r="BH23" i="42" s="1"/>
  <c r="O27" i="41" s="1"/>
  <c r="AL36" i="40"/>
  <c r="BI23" i="42" s="1"/>
  <c r="O75" i="41" s="1"/>
  <c r="AM36" i="43"/>
  <c r="AN36" i="43"/>
  <c r="AM36" i="70"/>
  <c r="BH24" i="71" s="1"/>
  <c r="AN36" i="70"/>
  <c r="BI24" i="71" s="1"/>
  <c r="AM36" i="46"/>
  <c r="AN36" i="46"/>
  <c r="AM36" i="50"/>
  <c r="AN36" i="50"/>
  <c r="AM35" i="55"/>
  <c r="AN35" i="55"/>
  <c r="AM36" i="40"/>
  <c r="BH24" i="42" s="1"/>
  <c r="O28" i="41" s="1"/>
  <c r="AN36" i="40"/>
  <c r="BI24" i="42" s="1"/>
  <c r="O76" i="41" s="1"/>
  <c r="BH25" i="42"/>
  <c r="O29" i="41" s="1"/>
  <c r="AO36" i="43"/>
  <c r="AP36" i="43"/>
  <c r="AO36" i="70"/>
  <c r="BH25" i="71" s="1"/>
  <c r="AP36" i="70"/>
  <c r="BI25" i="71" s="1"/>
  <c r="AO36" i="46"/>
  <c r="AP36" i="46"/>
  <c r="AO36" i="50"/>
  <c r="AP36" i="50"/>
  <c r="AO35" i="55"/>
  <c r="AP35" i="55"/>
  <c r="AQ36" i="43"/>
  <c r="AR36" i="43"/>
  <c r="AQ36" i="70"/>
  <c r="BH26" i="71" s="1"/>
  <c r="AR36" i="70"/>
  <c r="BI26" i="71" s="1"/>
  <c r="AQ36" i="46"/>
  <c r="AR36" i="46"/>
  <c r="AQ36" i="50"/>
  <c r="AR36" i="50"/>
  <c r="AQ35" i="55"/>
  <c r="AR35" i="55"/>
  <c r="AQ36" i="40"/>
  <c r="BH26" i="42" s="1"/>
  <c r="O30" i="41" s="1"/>
  <c r="AR36" i="40"/>
  <c r="BI26" i="42" s="1"/>
  <c r="O78" i="41" s="1"/>
  <c r="AT36" i="58"/>
  <c r="AS36" i="43"/>
  <c r="BH27" i="44" s="1"/>
  <c r="Q31" i="45" s="1"/>
  <c r="AT36" i="43"/>
  <c r="BI27" i="44" s="1"/>
  <c r="Q79" i="45" s="1"/>
  <c r="AS36" i="70"/>
  <c r="BH27" i="71" s="1"/>
  <c r="AT36" i="70"/>
  <c r="BI27" i="71" s="1"/>
  <c r="AS36" i="46"/>
  <c r="AT36" i="46"/>
  <c r="AS36" i="50"/>
  <c r="AT36" i="50"/>
  <c r="AS35" i="55"/>
  <c r="AT35" i="55"/>
  <c r="AS36" i="40"/>
  <c r="BH27" i="42" s="1"/>
  <c r="O31" i="41" s="1"/>
  <c r="AT36" i="40"/>
  <c r="BI27" i="42" s="1"/>
  <c r="O79" i="41" s="1"/>
  <c r="AU36" i="58"/>
  <c r="AV36" i="58"/>
  <c r="AU36" i="43"/>
  <c r="AV36" i="43"/>
  <c r="AU36" i="70"/>
  <c r="BH28" i="71" s="1"/>
  <c r="AV36" i="70"/>
  <c r="BI28" i="71" s="1"/>
  <c r="AU36" i="46"/>
  <c r="AV36" i="46"/>
  <c r="AU36" i="50"/>
  <c r="AV36" i="50"/>
  <c r="AU35" i="55"/>
  <c r="AV35" i="55"/>
  <c r="AU36" i="40"/>
  <c r="BH28" i="42" s="1"/>
  <c r="O32" i="41" s="1"/>
  <c r="AV36" i="40"/>
  <c r="BI28" i="42" s="1"/>
  <c r="O80" i="41" s="1"/>
  <c r="AW36" i="58"/>
  <c r="AW36" i="43"/>
  <c r="BH29" i="44" s="1"/>
  <c r="AX36" i="43"/>
  <c r="BI29" i="44" s="1"/>
  <c r="Q81" i="45" s="1"/>
  <c r="AW36" i="70"/>
  <c r="BH29" i="71" s="1"/>
  <c r="AX36" i="70"/>
  <c r="BI29" i="71" s="1"/>
  <c r="AW36" i="46"/>
  <c r="AX36" i="46"/>
  <c r="AW36" i="50"/>
  <c r="AX36" i="50"/>
  <c r="AW36" i="40"/>
  <c r="BH29" i="42" s="1"/>
  <c r="O33" i="41" s="1"/>
  <c r="AX36" i="40"/>
  <c r="BI29" i="42" s="1"/>
  <c r="O81" i="41" s="1"/>
  <c r="AY36" i="43"/>
  <c r="AZ36" i="43"/>
  <c r="AY36" i="70"/>
  <c r="BH30" i="71" s="1"/>
  <c r="AZ36" i="70"/>
  <c r="BI30" i="71" s="1"/>
  <c r="AY36" i="46"/>
  <c r="AZ36" i="46"/>
  <c r="AY36" i="50"/>
  <c r="AZ36" i="50"/>
  <c r="AY35" i="55"/>
  <c r="AZ35" i="55"/>
  <c r="AY36" i="40"/>
  <c r="BH30" i="42" s="1"/>
  <c r="O34" i="41" s="1"/>
  <c r="AZ36" i="40"/>
  <c r="BI30" i="42" s="1"/>
  <c r="O82" i="41" s="1"/>
  <c r="BA36" i="43"/>
  <c r="BB36" i="43"/>
  <c r="BA36" i="70"/>
  <c r="BH31" i="71" s="1"/>
  <c r="BB36" i="70"/>
  <c r="BI31" i="71" s="1"/>
  <c r="BA36" i="46"/>
  <c r="BB36" i="46"/>
  <c r="BA36" i="50"/>
  <c r="BB36" i="50"/>
  <c r="BA35" i="55"/>
  <c r="BB35" i="55"/>
  <c r="BA36" i="40"/>
  <c r="BH31" i="42" s="1"/>
  <c r="O35" i="41" s="1"/>
  <c r="BB36" i="40"/>
  <c r="BI31" i="42" s="1"/>
  <c r="O83" i="41" s="1"/>
  <c r="BC36" i="43"/>
  <c r="BD36" i="43"/>
  <c r="BC36" i="70"/>
  <c r="BH32" i="71" s="1"/>
  <c r="BD36" i="70"/>
  <c r="BI32" i="71" s="1"/>
  <c r="BC36" i="46"/>
  <c r="BD36" i="46"/>
  <c r="BC36" i="50"/>
  <c r="BD36" i="50"/>
  <c r="BC35" i="55"/>
  <c r="BD35" i="55"/>
  <c r="BC36" i="40"/>
  <c r="BH32" i="42" s="1"/>
  <c r="O36" i="41" s="1"/>
  <c r="BD36" i="40"/>
  <c r="BI32" i="42" s="1"/>
  <c r="O84" i="41" s="1"/>
  <c r="BF36" i="58"/>
  <c r="BE36" i="43"/>
  <c r="BF36" i="43"/>
  <c r="BE36" i="70"/>
  <c r="BH33" i="71" s="1"/>
  <c r="BF36" i="70"/>
  <c r="BI33" i="71" s="1"/>
  <c r="BE36" i="46"/>
  <c r="BF36" i="46"/>
  <c r="BE36" i="40"/>
  <c r="BH33" i="42" s="1"/>
  <c r="O37" i="41" s="1"/>
  <c r="BF36" i="40"/>
  <c r="BI33" i="42" s="1"/>
  <c r="O85" i="41" s="1"/>
  <c r="BG36" i="58"/>
  <c r="BH36" i="58"/>
  <c r="BG36" i="43"/>
  <c r="BH36" i="43"/>
  <c r="BG36" i="70"/>
  <c r="BH34" i="71" s="1"/>
  <c r="BH36" i="70"/>
  <c r="BI34" i="71" s="1"/>
  <c r="BG36" i="46"/>
  <c r="BH36" i="46"/>
  <c r="BG36" i="50"/>
  <c r="BH36" i="50"/>
  <c r="BG35" i="55"/>
  <c r="BH35" i="55"/>
  <c r="BG36" i="40"/>
  <c r="BH34" i="42" s="1"/>
  <c r="O38" i="41" s="1"/>
  <c r="BH36" i="40"/>
  <c r="BI34" i="42" s="1"/>
  <c r="O86" i="41" s="1"/>
  <c r="BI36" i="58"/>
  <c r="BJ36" i="58"/>
  <c r="BI36" i="43"/>
  <c r="BJ36" i="43"/>
  <c r="BI36" i="70"/>
  <c r="BH35" i="71" s="1"/>
  <c r="BJ36" i="70"/>
  <c r="BI35" i="71" s="1"/>
  <c r="BI36" i="46"/>
  <c r="BJ36" i="46"/>
  <c r="BI36" i="50"/>
  <c r="BJ36" i="50"/>
  <c r="BI35" i="55"/>
  <c r="BJ35" i="55"/>
  <c r="BI36" i="40"/>
  <c r="BH35" i="42" s="1"/>
  <c r="O39" i="41" s="1"/>
  <c r="BJ36" i="40"/>
  <c r="BI35" i="42" s="1"/>
  <c r="O87" i="41" s="1"/>
  <c r="BK36" i="43"/>
  <c r="BL36" i="43"/>
  <c r="BK36" i="70"/>
  <c r="BH36" i="71" s="1"/>
  <c r="BL36" i="70"/>
  <c r="BI36" i="71" s="1"/>
  <c r="BK36" i="46"/>
  <c r="BL36" i="46"/>
  <c r="BK36" i="50"/>
  <c r="BL36" i="50"/>
  <c r="BK35" i="55"/>
  <c r="BL35" i="55"/>
  <c r="BK36" i="40"/>
  <c r="BH36" i="42" s="1"/>
  <c r="O40" i="41" s="1"/>
  <c r="BL36" i="40"/>
  <c r="BI36" i="42" s="1"/>
  <c r="O88" i="41" s="1"/>
  <c r="BM36" i="43"/>
  <c r="BN36" i="43"/>
  <c r="BM36" i="70"/>
  <c r="BH37" i="71" s="1"/>
  <c r="BN36" i="70"/>
  <c r="BI37" i="71" s="1"/>
  <c r="BM36" i="46"/>
  <c r="BN36" i="46"/>
  <c r="BM36" i="50"/>
  <c r="BN36" i="50"/>
  <c r="BM35" i="55"/>
  <c r="BN35" i="55"/>
  <c r="BM36" i="40"/>
  <c r="BH37" i="42" s="1"/>
  <c r="O41" i="41" s="1"/>
  <c r="BN36" i="40"/>
  <c r="BI37" i="42" s="1"/>
  <c r="O89" i="41" s="1"/>
  <c r="BP36" i="58"/>
  <c r="BO36" i="43"/>
  <c r="BP36" i="43"/>
  <c r="BO36" i="70"/>
  <c r="BH38" i="71" s="1"/>
  <c r="BP36" i="70"/>
  <c r="BI38" i="71" s="1"/>
  <c r="BO36" i="46"/>
  <c r="BP36" i="46"/>
  <c r="BO36" i="50"/>
  <c r="BP36" i="50"/>
  <c r="BO35" i="55"/>
  <c r="BP35" i="55"/>
  <c r="BO36" i="40"/>
  <c r="BH38" i="42" s="1"/>
  <c r="O42" i="41" s="1"/>
  <c r="BP36" i="40"/>
  <c r="BI38" i="42" s="1"/>
  <c r="O90" i="41" s="1"/>
  <c r="BQ36" i="58"/>
  <c r="BQ36" i="43"/>
  <c r="BR36" i="43"/>
  <c r="BQ36" i="70"/>
  <c r="BH39" i="71" s="1"/>
  <c r="BR36" i="70"/>
  <c r="BI39" i="71" s="1"/>
  <c r="BQ36" i="46"/>
  <c r="BR36" i="46"/>
  <c r="BQ36" i="50"/>
  <c r="BR36" i="50"/>
  <c r="BQ36" i="40"/>
  <c r="BH39" i="42" s="1"/>
  <c r="O43" i="41" s="1"/>
  <c r="BR36" i="40"/>
  <c r="BI39" i="42" s="1"/>
  <c r="O91" i="41" s="1"/>
  <c r="BS36" i="58"/>
  <c r="BS36" i="43"/>
  <c r="BT36" i="43"/>
  <c r="BS36" i="70"/>
  <c r="BH40" i="71" s="1"/>
  <c r="BT36" i="70"/>
  <c r="BI40" i="71" s="1"/>
  <c r="BS36" i="46"/>
  <c r="BT36" i="46"/>
  <c r="BS36" i="50"/>
  <c r="BT36" i="50"/>
  <c r="BS35" i="55"/>
  <c r="BT35" i="55"/>
  <c r="BS36" i="40"/>
  <c r="BH40" i="42" s="1"/>
  <c r="O44" i="41" s="1"/>
  <c r="BT36" i="40"/>
  <c r="BI40" i="42" s="1"/>
  <c r="O92" i="41" s="1"/>
  <c r="BU36" i="58"/>
  <c r="BV36" i="58"/>
  <c r="BU36" i="43"/>
  <c r="BV36" i="43"/>
  <c r="BU36" i="70"/>
  <c r="BH41" i="71" s="1"/>
  <c r="BV36" i="70"/>
  <c r="BI41" i="71" s="1"/>
  <c r="BU36" i="46"/>
  <c r="BV36" i="46"/>
  <c r="BU36" i="50"/>
  <c r="BV36" i="50"/>
  <c r="BU35" i="55"/>
  <c r="BV35" i="55"/>
  <c r="BU36" i="40"/>
  <c r="BH41" i="42" s="1"/>
  <c r="O45" i="41" s="1"/>
  <c r="BV36" i="40"/>
  <c r="BI41" i="42" s="1"/>
  <c r="O93" i="41" s="1"/>
  <c r="BX36" i="58"/>
  <c r="BW36" i="43"/>
  <c r="BX36" i="43"/>
  <c r="BW36" i="70"/>
  <c r="BH42" i="71" s="1"/>
  <c r="BX36" i="70"/>
  <c r="BI42" i="71" s="1"/>
  <c r="BW36" i="46"/>
  <c r="BX36" i="46"/>
  <c r="BW36" i="50"/>
  <c r="BX36" i="50"/>
  <c r="BW35" i="55"/>
  <c r="BX35" i="55"/>
  <c r="BW36" i="40"/>
  <c r="BH42" i="42" s="1"/>
  <c r="O46" i="41" s="1"/>
  <c r="BX36" i="40"/>
  <c r="BI42" i="42" s="1"/>
  <c r="O94" i="41" s="1"/>
  <c r="BY36" i="43"/>
  <c r="BZ36" i="43"/>
  <c r="BY36" i="70"/>
  <c r="BH43" i="71" s="1"/>
  <c r="BZ36" i="70"/>
  <c r="BI43" i="71" s="1"/>
  <c r="BY36" i="46"/>
  <c r="BZ36" i="46"/>
  <c r="BY36" i="50"/>
  <c r="BZ36" i="50"/>
  <c r="BY35" i="55"/>
  <c r="BZ35" i="55"/>
  <c r="BY36" i="40"/>
  <c r="BH43" i="42" s="1"/>
  <c r="O47" i="41" s="1"/>
  <c r="BZ36" i="40"/>
  <c r="BI43" i="42" s="1"/>
  <c r="O95" i="41" s="1"/>
  <c r="C37" i="40"/>
  <c r="BJ6" i="42" s="1"/>
  <c r="P10" i="41" s="1"/>
  <c r="D37" i="40"/>
  <c r="BK6" i="42" s="1"/>
  <c r="P58" i="41" s="1"/>
  <c r="F37" i="58"/>
  <c r="BK7" i="57" s="1"/>
  <c r="E37" i="43"/>
  <c r="F37" i="43"/>
  <c r="E37" i="70"/>
  <c r="BJ7" i="71" s="1"/>
  <c r="F37" i="70"/>
  <c r="BK7" i="71" s="1"/>
  <c r="E37" i="46"/>
  <c r="E37" i="55"/>
  <c r="H37" i="70"/>
  <c r="BK8" i="71" s="1"/>
  <c r="H37" i="46"/>
  <c r="H37" i="55"/>
  <c r="BK9" i="42"/>
  <c r="P61" i="41" s="1"/>
  <c r="I37" i="43"/>
  <c r="J37" i="43"/>
  <c r="I37" i="70"/>
  <c r="BJ9" i="71" s="1"/>
  <c r="J37" i="70"/>
  <c r="BK9" i="71" s="1"/>
  <c r="I37" i="46"/>
  <c r="J37" i="46"/>
  <c r="J36" i="55"/>
  <c r="K37" i="43"/>
  <c r="L37" i="43"/>
  <c r="K37" i="70"/>
  <c r="BJ10" i="71" s="1"/>
  <c r="L37" i="70"/>
  <c r="BK10" i="71" s="1"/>
  <c r="K37" i="46"/>
  <c r="L37" i="46"/>
  <c r="K36" i="55"/>
  <c r="L36" i="55"/>
  <c r="K37" i="40"/>
  <c r="BJ10" i="42" s="1"/>
  <c r="P14" i="41" s="1"/>
  <c r="L37" i="40"/>
  <c r="BK10" i="42" s="1"/>
  <c r="P62" i="41" s="1"/>
  <c r="M37" i="43"/>
  <c r="BJ11" i="44" s="1"/>
  <c r="N37" i="43"/>
  <c r="BK11" i="44" s="1"/>
  <c r="M37" i="70"/>
  <c r="BJ11" i="71" s="1"/>
  <c r="N37" i="70"/>
  <c r="BK11" i="71" s="1"/>
  <c r="M37" i="46"/>
  <c r="N37" i="46"/>
  <c r="M36" i="55"/>
  <c r="N36" i="55"/>
  <c r="M37" i="40"/>
  <c r="BJ11" i="42" s="1"/>
  <c r="P15" i="41" s="1"/>
  <c r="N37" i="40"/>
  <c r="BK11" i="42" s="1"/>
  <c r="P63" i="41" s="1"/>
  <c r="O37" i="43"/>
  <c r="P37" i="43"/>
  <c r="O37" i="70"/>
  <c r="BJ12" i="71" s="1"/>
  <c r="P37" i="70"/>
  <c r="BK12" i="71" s="1"/>
  <c r="O37" i="46"/>
  <c r="P37" i="46"/>
  <c r="O36" i="55"/>
  <c r="P36" i="55"/>
  <c r="O37" i="40"/>
  <c r="BJ12" i="42" s="1"/>
  <c r="P16" i="41" s="1"/>
  <c r="P37" i="40"/>
  <c r="BK12" i="42" s="1"/>
  <c r="P64" i="41" s="1"/>
  <c r="R37" i="58"/>
  <c r="Q37" i="43"/>
  <c r="R37" i="43"/>
  <c r="Q37" i="70"/>
  <c r="BJ13" i="71" s="1"/>
  <c r="R37" i="70"/>
  <c r="BK13" i="71" s="1"/>
  <c r="Q37" i="46"/>
  <c r="BJ13" i="47" s="1"/>
  <c r="R37" i="46"/>
  <c r="BK13" i="47" s="1"/>
  <c r="R65" i="49" s="1"/>
  <c r="Q36" i="55"/>
  <c r="R36" i="55"/>
  <c r="Q37" i="40"/>
  <c r="BJ13" i="42" s="1"/>
  <c r="P17" i="41" s="1"/>
  <c r="R37" i="40"/>
  <c r="BK13" i="42" s="1"/>
  <c r="P65" i="41" s="1"/>
  <c r="T37" i="58"/>
  <c r="S37" i="43"/>
  <c r="T37" i="43"/>
  <c r="S37" i="70"/>
  <c r="BJ14" i="71" s="1"/>
  <c r="T37" i="70"/>
  <c r="BK14" i="71" s="1"/>
  <c r="S37" i="46"/>
  <c r="T37" i="46"/>
  <c r="S36" i="55"/>
  <c r="T36" i="55"/>
  <c r="S37" i="40"/>
  <c r="BJ14" i="42" s="1"/>
  <c r="P18" i="41" s="1"/>
  <c r="T37" i="40"/>
  <c r="BK14" i="42" s="1"/>
  <c r="P66" i="41" s="1"/>
  <c r="U37" i="58"/>
  <c r="U37" i="43"/>
  <c r="V37" i="43"/>
  <c r="U37" i="70"/>
  <c r="BJ15" i="71" s="1"/>
  <c r="V37" i="70"/>
  <c r="BK15" i="71" s="1"/>
  <c r="U37" i="46"/>
  <c r="V37" i="46"/>
  <c r="U37" i="40"/>
  <c r="BJ15" i="42" s="1"/>
  <c r="P19" i="41" s="1"/>
  <c r="V37" i="40"/>
  <c r="BK15" i="42" s="1"/>
  <c r="P67" i="41" s="1"/>
  <c r="W37" i="58"/>
  <c r="X37" i="58"/>
  <c r="W37" i="43"/>
  <c r="X37" i="43"/>
  <c r="W37" i="70"/>
  <c r="BJ16" i="71" s="1"/>
  <c r="X37" i="70"/>
  <c r="BK16" i="71" s="1"/>
  <c r="W37" i="46"/>
  <c r="X37" i="46"/>
  <c r="W36" i="55"/>
  <c r="X36" i="55"/>
  <c r="W37" i="40"/>
  <c r="BJ16" i="42" s="1"/>
  <c r="P20" i="41" s="1"/>
  <c r="X37" i="40"/>
  <c r="BK16" i="42" s="1"/>
  <c r="P68" i="41" s="1"/>
  <c r="Y37" i="43"/>
  <c r="Z37" i="43"/>
  <c r="Y37" i="70"/>
  <c r="BJ17" i="71" s="1"/>
  <c r="Z37" i="70"/>
  <c r="BK17" i="71" s="1"/>
  <c r="Y37" i="46"/>
  <c r="Z37" i="46"/>
  <c r="Y37" i="55"/>
  <c r="Z37" i="55"/>
  <c r="Y37" i="40"/>
  <c r="BJ17" i="42" s="1"/>
  <c r="P21" i="41" s="1"/>
  <c r="Z37" i="40"/>
  <c r="BK17" i="42" s="1"/>
  <c r="P69" i="41" s="1"/>
  <c r="AB37" i="58"/>
  <c r="AA37" i="43"/>
  <c r="AB37" i="43"/>
  <c r="AA37" i="70"/>
  <c r="BJ18" i="71" s="1"/>
  <c r="AB37" i="70"/>
  <c r="BK18" i="71" s="1"/>
  <c r="AA37" i="46"/>
  <c r="AB37" i="46"/>
  <c r="AA36" i="55"/>
  <c r="AB36" i="55"/>
  <c r="AA37" i="40"/>
  <c r="BJ18" i="42" s="1"/>
  <c r="P22" i="41" s="1"/>
  <c r="AB37" i="40"/>
  <c r="BK18" i="42" s="1"/>
  <c r="P70" i="41" s="1"/>
  <c r="AD37" i="58"/>
  <c r="AC37" i="43"/>
  <c r="AD37" i="43"/>
  <c r="AC37" i="70"/>
  <c r="BJ19" i="71" s="1"/>
  <c r="AD37" i="70"/>
  <c r="BK19" i="71" s="1"/>
  <c r="AC37" i="46"/>
  <c r="AD37" i="46"/>
  <c r="AC36" i="55"/>
  <c r="AD36" i="55"/>
  <c r="AC37" i="40"/>
  <c r="BJ19" i="42" s="1"/>
  <c r="P23" i="41" s="1"/>
  <c r="AD37" i="40"/>
  <c r="BK19" i="42" s="1"/>
  <c r="P71" i="41" s="1"/>
  <c r="AE37" i="58"/>
  <c r="AF37" i="58"/>
  <c r="AE37" i="43"/>
  <c r="AF37" i="43"/>
  <c r="AE37" i="70"/>
  <c r="BJ20" i="71" s="1"/>
  <c r="AF37" i="70"/>
  <c r="BK20" i="71" s="1"/>
  <c r="AE37" i="46"/>
  <c r="AF37" i="46"/>
  <c r="AE36" i="55"/>
  <c r="AF36" i="55"/>
  <c r="AE37" i="40"/>
  <c r="BJ20" i="42" s="1"/>
  <c r="P24" i="41" s="1"/>
  <c r="AF37" i="40"/>
  <c r="BK20" i="42" s="1"/>
  <c r="P72" i="41" s="1"/>
  <c r="AG37" i="58"/>
  <c r="AH37" i="58"/>
  <c r="AG37" i="43"/>
  <c r="AH37" i="43"/>
  <c r="AG37" i="70"/>
  <c r="BJ21" i="71" s="1"/>
  <c r="AH37" i="70"/>
  <c r="BK21" i="71" s="1"/>
  <c r="AG37" i="46"/>
  <c r="AH37" i="46"/>
  <c r="AG36" i="55"/>
  <c r="AH36" i="55"/>
  <c r="AG37" i="40"/>
  <c r="BJ21" i="42" s="1"/>
  <c r="P25" i="41" s="1"/>
  <c r="AH37" i="40"/>
  <c r="BK21" i="42" s="1"/>
  <c r="P73" i="41" s="1"/>
  <c r="AI37" i="58"/>
  <c r="AJ37" i="58"/>
  <c r="AI37" i="43"/>
  <c r="AJ37" i="43"/>
  <c r="AI37" i="70"/>
  <c r="BJ22" i="71" s="1"/>
  <c r="AJ37" i="70"/>
  <c r="BK22" i="71" s="1"/>
  <c r="AI37" i="46"/>
  <c r="AJ37" i="46"/>
  <c r="AI36" i="55"/>
  <c r="AJ36" i="55"/>
  <c r="AI37" i="40"/>
  <c r="BJ22" i="42" s="1"/>
  <c r="P26" i="41" s="1"/>
  <c r="AJ37" i="40"/>
  <c r="BK22" i="42" s="1"/>
  <c r="P74" i="41" s="1"/>
  <c r="AK37" i="43"/>
  <c r="AL37" i="43"/>
  <c r="AK37" i="70"/>
  <c r="BJ23" i="71" s="1"/>
  <c r="AL37" i="70"/>
  <c r="BK23" i="71" s="1"/>
  <c r="AK37" i="46"/>
  <c r="BJ23" i="47" s="1"/>
  <c r="R27" i="49" s="1"/>
  <c r="AL37" i="46"/>
  <c r="BK23" i="47" s="1"/>
  <c r="R75" i="49" s="1"/>
  <c r="AK36" i="55"/>
  <c r="AL36" i="55"/>
  <c r="AK37" i="40"/>
  <c r="BJ23" i="42" s="1"/>
  <c r="P27" i="41" s="1"/>
  <c r="AL37" i="40"/>
  <c r="BK23" i="42" s="1"/>
  <c r="P75" i="41" s="1"/>
  <c r="AM37" i="43"/>
  <c r="AN37" i="43"/>
  <c r="AM37" i="70"/>
  <c r="BJ24" i="71" s="1"/>
  <c r="AN37" i="70"/>
  <c r="BK24" i="71" s="1"/>
  <c r="AM37" i="46"/>
  <c r="AN37" i="46"/>
  <c r="AM36" i="55"/>
  <c r="AN36" i="55"/>
  <c r="AM37" i="40"/>
  <c r="BJ24" i="42" s="1"/>
  <c r="P28" i="41" s="1"/>
  <c r="AN37" i="40"/>
  <c r="BK24" i="42" s="1"/>
  <c r="P76" i="41" s="1"/>
  <c r="BJ25" i="42"/>
  <c r="P29" i="41" s="1"/>
  <c r="BK25" i="42"/>
  <c r="P77" i="41" s="1"/>
  <c r="AO37" i="43"/>
  <c r="AP37" i="43"/>
  <c r="AO37" i="70"/>
  <c r="BJ25" i="71" s="1"/>
  <c r="AP37" i="70"/>
  <c r="BK25" i="71" s="1"/>
  <c r="AO37" i="46"/>
  <c r="AP37" i="46"/>
  <c r="AO36" i="55"/>
  <c r="AP36" i="55"/>
  <c r="AQ37" i="58"/>
  <c r="AR37" i="58"/>
  <c r="AQ37" i="43"/>
  <c r="AR37" i="43"/>
  <c r="AQ37" i="70"/>
  <c r="BJ26" i="71" s="1"/>
  <c r="AR37" i="70"/>
  <c r="BK26" i="71" s="1"/>
  <c r="AQ37" i="46"/>
  <c r="AR37" i="46"/>
  <c r="AQ36" i="55"/>
  <c r="AR36" i="55"/>
  <c r="AQ37" i="40"/>
  <c r="BJ26" i="42" s="1"/>
  <c r="P30" i="41" s="1"/>
  <c r="AR37" i="40"/>
  <c r="BK26" i="42" s="1"/>
  <c r="P78" i="41" s="1"/>
  <c r="AS37" i="58"/>
  <c r="AT37" i="58"/>
  <c r="AS37" i="43"/>
  <c r="BJ27" i="44" s="1"/>
  <c r="AT37" i="43"/>
  <c r="BK27" i="44" s="1"/>
  <c r="AS37" i="70"/>
  <c r="BJ27" i="71" s="1"/>
  <c r="AT37" i="70"/>
  <c r="BK27" i="71" s="1"/>
  <c r="AS37" i="46"/>
  <c r="AT37" i="46"/>
  <c r="AS36" i="55"/>
  <c r="AT36" i="55"/>
  <c r="AS37" i="40"/>
  <c r="BJ27" i="42" s="1"/>
  <c r="P31" i="41" s="1"/>
  <c r="AT37" i="40"/>
  <c r="BK27" i="42" s="1"/>
  <c r="P79" i="41" s="1"/>
  <c r="AU37" i="58"/>
  <c r="AV37" i="58"/>
  <c r="AU37" i="43"/>
  <c r="AV37" i="43"/>
  <c r="AU37" i="70"/>
  <c r="BJ28" i="71" s="1"/>
  <c r="AV37" i="70"/>
  <c r="BK28" i="71" s="1"/>
  <c r="AU37" i="46"/>
  <c r="AV37" i="46"/>
  <c r="AU36" i="55"/>
  <c r="AV36" i="55"/>
  <c r="AU37" i="40"/>
  <c r="BJ28" i="42" s="1"/>
  <c r="P32" i="41" s="1"/>
  <c r="AV37" i="40"/>
  <c r="BK28" i="42" s="1"/>
  <c r="P80" i="41" s="1"/>
  <c r="AW37" i="43"/>
  <c r="AX37" i="43"/>
  <c r="AW37" i="70"/>
  <c r="BJ29" i="71" s="1"/>
  <c r="AX37" i="70"/>
  <c r="BK29" i="71" s="1"/>
  <c r="AW37" i="46"/>
  <c r="AX37" i="46"/>
  <c r="AW37" i="40"/>
  <c r="BJ29" i="42" s="1"/>
  <c r="P33" i="41" s="1"/>
  <c r="AX37" i="40"/>
  <c r="BK29" i="42" s="1"/>
  <c r="P81" i="41" s="1"/>
  <c r="AY37" i="43"/>
  <c r="AZ37" i="43"/>
  <c r="AY37" i="70"/>
  <c r="BJ30" i="71" s="1"/>
  <c r="AZ37" i="70"/>
  <c r="BK30" i="71" s="1"/>
  <c r="AY37" i="46"/>
  <c r="AZ37" i="46"/>
  <c r="AY36" i="55"/>
  <c r="AZ36" i="55"/>
  <c r="AY37" i="40"/>
  <c r="BJ30" i="42" s="1"/>
  <c r="P34" i="41" s="1"/>
  <c r="AZ37" i="40"/>
  <c r="BK30" i="42" s="1"/>
  <c r="P82" i="41" s="1"/>
  <c r="BA37" i="43"/>
  <c r="BB37" i="43"/>
  <c r="BA37" i="70"/>
  <c r="BJ31" i="71" s="1"/>
  <c r="BB37" i="70"/>
  <c r="BK31" i="71" s="1"/>
  <c r="BA37" i="46"/>
  <c r="BB37" i="46"/>
  <c r="BA36" i="55"/>
  <c r="BB36" i="55"/>
  <c r="BA37" i="40"/>
  <c r="BJ31" i="42" s="1"/>
  <c r="P35" i="41" s="1"/>
  <c r="BB37" i="40"/>
  <c r="BK31" i="42" s="1"/>
  <c r="P83" i="41" s="1"/>
  <c r="BC37" i="58"/>
  <c r="BD37" i="58"/>
  <c r="BC37" i="43"/>
  <c r="BD37" i="43"/>
  <c r="BC37" i="70"/>
  <c r="BJ32" i="71" s="1"/>
  <c r="BD37" i="70"/>
  <c r="BK32" i="71" s="1"/>
  <c r="BC37" i="46"/>
  <c r="BD37" i="46"/>
  <c r="BC36" i="55"/>
  <c r="BD36" i="55"/>
  <c r="BC37" i="40"/>
  <c r="BJ32" i="42" s="1"/>
  <c r="P36" i="41" s="1"/>
  <c r="BD37" i="40"/>
  <c r="BK32" i="42" s="1"/>
  <c r="P84" i="41" s="1"/>
  <c r="BE37" i="58"/>
  <c r="BE37" i="43"/>
  <c r="BF37" i="43"/>
  <c r="BE37" i="70"/>
  <c r="BJ33" i="71" s="1"/>
  <c r="BF37" i="70"/>
  <c r="BK33" i="71" s="1"/>
  <c r="BE37" i="46"/>
  <c r="BF37" i="46"/>
  <c r="BE37" i="40"/>
  <c r="BJ33" i="42" s="1"/>
  <c r="P37" i="41" s="1"/>
  <c r="BF37" i="40"/>
  <c r="BK33" i="42" s="1"/>
  <c r="P85" i="41" s="1"/>
  <c r="BG37" i="58"/>
  <c r="BH37" i="58"/>
  <c r="BG37" i="43"/>
  <c r="BH37" i="43"/>
  <c r="BG37" i="70"/>
  <c r="BJ34" i="71" s="1"/>
  <c r="BH37" i="70"/>
  <c r="BK34" i="71" s="1"/>
  <c r="BG37" i="46"/>
  <c r="BH37" i="46"/>
  <c r="BG36" i="55"/>
  <c r="BH36" i="55"/>
  <c r="BG37" i="40"/>
  <c r="BJ34" i="42" s="1"/>
  <c r="P38" i="41" s="1"/>
  <c r="BH37" i="40"/>
  <c r="BK34" i="42" s="1"/>
  <c r="P86" i="41" s="1"/>
  <c r="BI37" i="43"/>
  <c r="BJ37" i="43"/>
  <c r="BI37" i="70"/>
  <c r="BJ35" i="71" s="1"/>
  <c r="BJ37" i="70"/>
  <c r="BK35" i="71" s="1"/>
  <c r="BI37" i="46"/>
  <c r="BJ37" i="46"/>
  <c r="BI36" i="55"/>
  <c r="BJ36" i="55"/>
  <c r="BI37" i="40"/>
  <c r="BJ35" i="42" s="1"/>
  <c r="P39" i="41" s="1"/>
  <c r="BJ37" i="40"/>
  <c r="BK35" i="42" s="1"/>
  <c r="P87" i="41" s="1"/>
  <c r="BK37" i="58"/>
  <c r="BK37" i="43"/>
  <c r="BL37" i="43"/>
  <c r="BK37" i="70"/>
  <c r="BJ36" i="71" s="1"/>
  <c r="BL37" i="70"/>
  <c r="BK36" i="71" s="1"/>
  <c r="BK37" i="46"/>
  <c r="BL37" i="46"/>
  <c r="BL36" i="55"/>
  <c r="BK37" i="40"/>
  <c r="BJ36" i="42" s="1"/>
  <c r="P40" i="41" s="1"/>
  <c r="BL37" i="40"/>
  <c r="BK36" i="42" s="1"/>
  <c r="P88" i="41" s="1"/>
  <c r="BM37" i="58"/>
  <c r="BM37" i="43"/>
  <c r="BN37" i="43"/>
  <c r="BM37" i="70"/>
  <c r="BJ37" i="71" s="1"/>
  <c r="BN37" i="70"/>
  <c r="BK37" i="71" s="1"/>
  <c r="BM37" i="46"/>
  <c r="BN37" i="46"/>
  <c r="BM36" i="55"/>
  <c r="BN36" i="55"/>
  <c r="BM37" i="40"/>
  <c r="BJ37" i="42" s="1"/>
  <c r="P41" i="41" s="1"/>
  <c r="BN37" i="40"/>
  <c r="BK37" i="42" s="1"/>
  <c r="P89" i="41" s="1"/>
  <c r="BP37" i="58"/>
  <c r="BO37" i="43"/>
  <c r="BP37" i="43"/>
  <c r="BO37" i="70"/>
  <c r="BJ38" i="71" s="1"/>
  <c r="BP37" i="70"/>
  <c r="BK38" i="71" s="1"/>
  <c r="BO37" i="46"/>
  <c r="BP37" i="46"/>
  <c r="BO36" i="55"/>
  <c r="BP36" i="55"/>
  <c r="BO37" i="40"/>
  <c r="BJ38" i="42" s="1"/>
  <c r="P42" i="41" s="1"/>
  <c r="BP37" i="40"/>
  <c r="BK38" i="42" s="1"/>
  <c r="P90" i="41" s="1"/>
  <c r="BQ37" i="43"/>
  <c r="BR37" i="43"/>
  <c r="BQ37" i="70"/>
  <c r="BJ39" i="71" s="1"/>
  <c r="BR37" i="70"/>
  <c r="BK39" i="71" s="1"/>
  <c r="BQ37" i="46"/>
  <c r="BR37" i="46"/>
  <c r="BQ37" i="40"/>
  <c r="BJ39" i="42" s="1"/>
  <c r="P43" i="41" s="1"/>
  <c r="BR37" i="40"/>
  <c r="BK39" i="42" s="1"/>
  <c r="P91" i="41" s="1"/>
  <c r="BS37" i="43"/>
  <c r="BT37" i="43"/>
  <c r="BS37" i="70"/>
  <c r="BJ40" i="71" s="1"/>
  <c r="BT37" i="70"/>
  <c r="BK40" i="71" s="1"/>
  <c r="BS37" i="46"/>
  <c r="BT37" i="46"/>
  <c r="BS36" i="55"/>
  <c r="BT36" i="55"/>
  <c r="BS37" i="40"/>
  <c r="BJ40" i="42" s="1"/>
  <c r="P44" i="41" s="1"/>
  <c r="BT37" i="40"/>
  <c r="BK40" i="42" s="1"/>
  <c r="P92" i="41" s="1"/>
  <c r="BU37" i="43"/>
  <c r="BV37" i="43"/>
  <c r="BU37" i="70"/>
  <c r="BJ41" i="71" s="1"/>
  <c r="BV37" i="70"/>
  <c r="BK41" i="71" s="1"/>
  <c r="BU37" i="46"/>
  <c r="BV37" i="46"/>
  <c r="BU36" i="55"/>
  <c r="BV36" i="55"/>
  <c r="BU37" i="40"/>
  <c r="BJ41" i="42" s="1"/>
  <c r="P45" i="41" s="1"/>
  <c r="BV37" i="40"/>
  <c r="BK41" i="42" s="1"/>
  <c r="P93" i="41" s="1"/>
  <c r="BW37" i="43"/>
  <c r="BX37" i="43"/>
  <c r="BW37" i="70"/>
  <c r="BJ42" i="71" s="1"/>
  <c r="BX37" i="70"/>
  <c r="BK42" i="71" s="1"/>
  <c r="BW37" i="46"/>
  <c r="BX37" i="46"/>
  <c r="BW36" i="55"/>
  <c r="BX36" i="55"/>
  <c r="BW37" i="40"/>
  <c r="BJ42" i="42" s="1"/>
  <c r="P46" i="41" s="1"/>
  <c r="BX37" i="40"/>
  <c r="BK42" i="42" s="1"/>
  <c r="P94" i="41" s="1"/>
  <c r="BY37" i="43"/>
  <c r="BZ37" i="43"/>
  <c r="BY37" i="70"/>
  <c r="BJ43" i="71" s="1"/>
  <c r="BZ37" i="70"/>
  <c r="BK43" i="71" s="1"/>
  <c r="BY37" i="46"/>
  <c r="BZ37" i="46"/>
  <c r="BY36" i="55"/>
  <c r="BZ36" i="55"/>
  <c r="BY37" i="40"/>
  <c r="BJ43" i="42" s="1"/>
  <c r="P47" i="41" s="1"/>
  <c r="BZ37" i="40"/>
  <c r="BK43" i="42" s="1"/>
  <c r="P95" i="41" s="1"/>
  <c r="C38" i="40"/>
  <c r="BL6" i="42" s="1"/>
  <c r="Q10" i="41" s="1"/>
  <c r="D38" i="40"/>
  <c r="BM6" i="42" s="1"/>
  <c r="Q58" i="41" s="1"/>
  <c r="E38" i="58"/>
  <c r="BL7" i="57" s="1"/>
  <c r="E38" i="43"/>
  <c r="F38" i="43"/>
  <c r="E38" i="70"/>
  <c r="BL7" i="71" s="1"/>
  <c r="F38" i="70"/>
  <c r="E38" i="46"/>
  <c r="E38" i="55"/>
  <c r="H38" i="70"/>
  <c r="BM8" i="71" s="1"/>
  <c r="H38" i="46"/>
  <c r="H38" i="55"/>
  <c r="BM9" i="42"/>
  <c r="Q61" i="41" s="1"/>
  <c r="I38" i="43"/>
  <c r="J38" i="43"/>
  <c r="I38" i="70"/>
  <c r="BL9" i="71" s="1"/>
  <c r="J38" i="70"/>
  <c r="BM9" i="71" s="1"/>
  <c r="I38" i="46"/>
  <c r="J38" i="46"/>
  <c r="J37" i="55"/>
  <c r="K38" i="43"/>
  <c r="L38" i="43"/>
  <c r="K38" i="70"/>
  <c r="BL10" i="71" s="1"/>
  <c r="L38" i="70"/>
  <c r="BM10" i="71" s="1"/>
  <c r="K38" i="46"/>
  <c r="L38" i="46"/>
  <c r="K37" i="55"/>
  <c r="L37" i="55"/>
  <c r="K38" i="40"/>
  <c r="BL10" i="42" s="1"/>
  <c r="Q14" i="41" s="1"/>
  <c r="L38" i="40"/>
  <c r="BM10" i="42" s="1"/>
  <c r="Q62" i="41" s="1"/>
  <c r="M38" i="43"/>
  <c r="BL11" i="44" s="1"/>
  <c r="R15" i="45" s="1"/>
  <c r="N38" i="43"/>
  <c r="BM11" i="44" s="1"/>
  <c r="R63" i="45" s="1"/>
  <c r="M38" i="70"/>
  <c r="BL11" i="71" s="1"/>
  <c r="N38" i="70"/>
  <c r="BM11" i="71" s="1"/>
  <c r="M38" i="46"/>
  <c r="N38" i="46"/>
  <c r="M37" i="55"/>
  <c r="N37" i="55"/>
  <c r="M38" i="40"/>
  <c r="BL11" i="42" s="1"/>
  <c r="Q15" i="41" s="1"/>
  <c r="N38" i="40"/>
  <c r="BM11" i="42" s="1"/>
  <c r="Q63" i="41" s="1"/>
  <c r="O38" i="58"/>
  <c r="P38" i="58"/>
  <c r="O38" i="43"/>
  <c r="P38" i="43"/>
  <c r="O38" i="70"/>
  <c r="BL12" i="71" s="1"/>
  <c r="P38" i="70"/>
  <c r="BM12" i="71" s="1"/>
  <c r="O38" i="46"/>
  <c r="P38" i="46"/>
  <c r="O37" i="55"/>
  <c r="P37" i="55"/>
  <c r="O38" i="40"/>
  <c r="BL12" i="42" s="1"/>
  <c r="Q16" i="41" s="1"/>
  <c r="P38" i="40"/>
  <c r="BM12" i="42" s="1"/>
  <c r="Q64" i="41" s="1"/>
  <c r="Q38" i="58"/>
  <c r="R38" i="58"/>
  <c r="Q38" i="43"/>
  <c r="R38" i="43"/>
  <c r="Q38" i="70"/>
  <c r="BL13" i="71" s="1"/>
  <c r="R38" i="70"/>
  <c r="BM13" i="71" s="1"/>
  <c r="Q38" i="46"/>
  <c r="R38" i="46"/>
  <c r="Q37" i="55"/>
  <c r="R37" i="55"/>
  <c r="Q38" i="40"/>
  <c r="BL13" i="42" s="1"/>
  <c r="Q17" i="41" s="1"/>
  <c r="R38" i="40"/>
  <c r="BM13" i="42" s="1"/>
  <c r="Q65" i="41" s="1"/>
  <c r="T38" i="58"/>
  <c r="S38" i="43"/>
  <c r="T38" i="43"/>
  <c r="S38" i="70"/>
  <c r="BL14" i="71" s="1"/>
  <c r="T38" i="70"/>
  <c r="BM14" i="71" s="1"/>
  <c r="S38" i="46"/>
  <c r="T38" i="46"/>
  <c r="S37" i="55"/>
  <c r="T37" i="55"/>
  <c r="S38" i="40"/>
  <c r="BL14" i="42" s="1"/>
  <c r="Q18" i="41" s="1"/>
  <c r="T38" i="40"/>
  <c r="BM14" i="42" s="1"/>
  <c r="Q66" i="41" s="1"/>
  <c r="U38" i="43"/>
  <c r="V38" i="43"/>
  <c r="U38" i="70"/>
  <c r="BL15" i="71" s="1"/>
  <c r="V38" i="70"/>
  <c r="BM15" i="71" s="1"/>
  <c r="U38" i="46"/>
  <c r="V38" i="46"/>
  <c r="U38" i="40"/>
  <c r="BL15" i="42" s="1"/>
  <c r="Q19" i="41" s="1"/>
  <c r="V38" i="40"/>
  <c r="BM15" i="42" s="1"/>
  <c r="Q67" i="41" s="1"/>
  <c r="W38" i="43"/>
  <c r="X38" i="43"/>
  <c r="W38" i="70"/>
  <c r="BL16" i="71" s="1"/>
  <c r="X38" i="70"/>
  <c r="BM16" i="71" s="1"/>
  <c r="W38" i="46"/>
  <c r="X38" i="46"/>
  <c r="W37" i="55"/>
  <c r="X37" i="55"/>
  <c r="W38" i="40"/>
  <c r="BL16" i="42" s="1"/>
  <c r="Q20" i="41" s="1"/>
  <c r="X38" i="40"/>
  <c r="BM16" i="42" s="1"/>
  <c r="Q68" i="41" s="1"/>
  <c r="Y38" i="43"/>
  <c r="Z38" i="43"/>
  <c r="Y38" i="70"/>
  <c r="BL17" i="71" s="1"/>
  <c r="Z38" i="70"/>
  <c r="BM17" i="71" s="1"/>
  <c r="Y38" i="46"/>
  <c r="Z38" i="46"/>
  <c r="Y38" i="55"/>
  <c r="Z38" i="55"/>
  <c r="Y38" i="40"/>
  <c r="BL17" i="42" s="1"/>
  <c r="Q21" i="41" s="1"/>
  <c r="Z38" i="40"/>
  <c r="BM17" i="42" s="1"/>
  <c r="Q69" i="41" s="1"/>
  <c r="AA38" i="58"/>
  <c r="AB38" i="58"/>
  <c r="AA38" i="43"/>
  <c r="AB38" i="43"/>
  <c r="AA38" i="70"/>
  <c r="BL18" i="71" s="1"/>
  <c r="AB38" i="70"/>
  <c r="BM18" i="71" s="1"/>
  <c r="AA38" i="46"/>
  <c r="AB38" i="46"/>
  <c r="AA37" i="55"/>
  <c r="AB37" i="55"/>
  <c r="AA38" i="40"/>
  <c r="BL18" i="42" s="1"/>
  <c r="Q22" i="41" s="1"/>
  <c r="AB38" i="40"/>
  <c r="BM18" i="42" s="1"/>
  <c r="Q70" i="41" s="1"/>
  <c r="AD38" i="58"/>
  <c r="AC38" i="43"/>
  <c r="AD38" i="43"/>
  <c r="AC38" i="70"/>
  <c r="BL19" i="71" s="1"/>
  <c r="AD38" i="70"/>
  <c r="BM19" i="71" s="1"/>
  <c r="AC38" i="46"/>
  <c r="AD38" i="46"/>
  <c r="AC37" i="55"/>
  <c r="AD37" i="55"/>
  <c r="AC38" i="40"/>
  <c r="BL19" i="42" s="1"/>
  <c r="Q23" i="41" s="1"/>
  <c r="AD38" i="40"/>
  <c r="BM19" i="42" s="1"/>
  <c r="Q71" i="41" s="1"/>
  <c r="AE38" i="43"/>
  <c r="AF38" i="43"/>
  <c r="AE38" i="70"/>
  <c r="BL20" i="71" s="1"/>
  <c r="AF38" i="70"/>
  <c r="BM20" i="71" s="1"/>
  <c r="AE38" i="46"/>
  <c r="AF38" i="46"/>
  <c r="AE37" i="55"/>
  <c r="AF37" i="55"/>
  <c r="AE38" i="40"/>
  <c r="BL20" i="42" s="1"/>
  <c r="Q24" i="41" s="1"/>
  <c r="AF38" i="40"/>
  <c r="BM20" i="42" s="1"/>
  <c r="Q72" i="41" s="1"/>
  <c r="AG38" i="43"/>
  <c r="AH38" i="43"/>
  <c r="AG38" i="70"/>
  <c r="BL21" i="71" s="1"/>
  <c r="AH38" i="70"/>
  <c r="BM21" i="71" s="1"/>
  <c r="AG38" i="46"/>
  <c r="AH38" i="46"/>
  <c r="AG37" i="55"/>
  <c r="AH37" i="55"/>
  <c r="AG38" i="40"/>
  <c r="BL21" i="42" s="1"/>
  <c r="Q25" i="41" s="1"/>
  <c r="AH38" i="40"/>
  <c r="BM21" i="42" s="1"/>
  <c r="Q73" i="41" s="1"/>
  <c r="AI38" i="43"/>
  <c r="AJ38" i="43"/>
  <c r="AI38" i="70"/>
  <c r="BL22" i="71" s="1"/>
  <c r="AJ38" i="70"/>
  <c r="BM22" i="71" s="1"/>
  <c r="AI38" i="46"/>
  <c r="AJ38" i="46"/>
  <c r="AI37" i="55"/>
  <c r="AJ37" i="55"/>
  <c r="AI38" i="40"/>
  <c r="BL22" i="42" s="1"/>
  <c r="Q26" i="41" s="1"/>
  <c r="AJ38" i="40"/>
  <c r="BM22" i="42" s="1"/>
  <c r="Q74" i="41" s="1"/>
  <c r="AK38" i="58"/>
  <c r="AL38" i="58"/>
  <c r="AK38" i="43"/>
  <c r="AL38" i="43"/>
  <c r="AK38" i="70"/>
  <c r="BL23" i="71" s="1"/>
  <c r="AL38" i="70"/>
  <c r="BM23" i="71" s="1"/>
  <c r="AK38" i="46"/>
  <c r="AL38" i="46"/>
  <c r="AK37" i="55"/>
  <c r="AL37" i="55"/>
  <c r="AK38" i="40"/>
  <c r="BL23" i="42" s="1"/>
  <c r="Q27" i="41" s="1"/>
  <c r="AL38" i="40"/>
  <c r="BM23" i="42" s="1"/>
  <c r="Q75" i="41" s="1"/>
  <c r="AM38" i="58"/>
  <c r="AN38" i="58"/>
  <c r="AM38" i="43"/>
  <c r="AN38" i="43"/>
  <c r="AM38" i="70"/>
  <c r="BL24" i="71" s="1"/>
  <c r="AN38" i="70"/>
  <c r="BM24" i="71" s="1"/>
  <c r="AM38" i="46"/>
  <c r="AN38" i="46"/>
  <c r="AM37" i="55"/>
  <c r="AN37" i="55"/>
  <c r="AM38" i="40"/>
  <c r="BL24" i="42" s="1"/>
  <c r="Q28" i="41" s="1"/>
  <c r="AN38" i="40"/>
  <c r="BM24" i="42" s="1"/>
  <c r="Q76" i="41" s="1"/>
  <c r="AO38" i="43"/>
  <c r="AP38" i="43"/>
  <c r="AO38" i="70"/>
  <c r="BL25" i="71" s="1"/>
  <c r="AP38" i="70"/>
  <c r="BM25" i="71" s="1"/>
  <c r="AO38" i="46"/>
  <c r="AP38" i="46"/>
  <c r="AO37" i="55"/>
  <c r="AP37" i="55"/>
  <c r="AQ38" i="43"/>
  <c r="AR38" i="43"/>
  <c r="AQ38" i="70"/>
  <c r="BL26" i="71" s="1"/>
  <c r="AR38" i="70"/>
  <c r="BM26" i="71" s="1"/>
  <c r="AQ38" i="46"/>
  <c r="AR38" i="46"/>
  <c r="AQ37" i="55"/>
  <c r="AR37" i="55"/>
  <c r="AQ38" i="40"/>
  <c r="BL26" i="42" s="1"/>
  <c r="Q30" i="41" s="1"/>
  <c r="AR38" i="40"/>
  <c r="BM26" i="42" s="1"/>
  <c r="Q78" i="41" s="1"/>
  <c r="AS38" i="43"/>
  <c r="BL27" i="44" s="1"/>
  <c r="R31" i="45" s="1"/>
  <c r="AT38" i="43"/>
  <c r="BM27" i="44" s="1"/>
  <c r="R79" i="45" s="1"/>
  <c r="AS38" i="70"/>
  <c r="BL27" i="71" s="1"/>
  <c r="AT38" i="70"/>
  <c r="BM27" i="71" s="1"/>
  <c r="AS38" i="46"/>
  <c r="AT38" i="46"/>
  <c r="AS37" i="55"/>
  <c r="AT37" i="55"/>
  <c r="AS38" i="40"/>
  <c r="BL27" i="42" s="1"/>
  <c r="Q31" i="41" s="1"/>
  <c r="AT38" i="40"/>
  <c r="BM27" i="42" s="1"/>
  <c r="Q79" i="41" s="1"/>
  <c r="AV38" i="58"/>
  <c r="AU38" i="43"/>
  <c r="AV38" i="43"/>
  <c r="AU38" i="70"/>
  <c r="BL28" i="71" s="1"/>
  <c r="AV38" i="70"/>
  <c r="BM28" i="71" s="1"/>
  <c r="AU38" i="46"/>
  <c r="AV38" i="46"/>
  <c r="AU37" i="55"/>
  <c r="AV37" i="55"/>
  <c r="AU38" i="40"/>
  <c r="BL28" i="42" s="1"/>
  <c r="Q32" i="41" s="1"/>
  <c r="AV38" i="40"/>
  <c r="BM28" i="42" s="1"/>
  <c r="Q80" i="41" s="1"/>
  <c r="AW38" i="43"/>
  <c r="AX38" i="43"/>
  <c r="AW38" i="70"/>
  <c r="BL29" i="71" s="1"/>
  <c r="AX38" i="70"/>
  <c r="BM29" i="71" s="1"/>
  <c r="AW38" i="46"/>
  <c r="AX38" i="46"/>
  <c r="AW38" i="40"/>
  <c r="BL29" i="42" s="1"/>
  <c r="Q33" i="41" s="1"/>
  <c r="AX38" i="40"/>
  <c r="BM29" i="42" s="1"/>
  <c r="Q81" i="41" s="1"/>
  <c r="AY38" i="58"/>
  <c r="AZ38" i="58"/>
  <c r="AY38" i="43"/>
  <c r="AZ38" i="43"/>
  <c r="AY38" i="70"/>
  <c r="BL30" i="71" s="1"/>
  <c r="AZ38" i="70"/>
  <c r="BM30" i="71" s="1"/>
  <c r="AY38" i="46"/>
  <c r="AZ38" i="46"/>
  <c r="AY37" i="55"/>
  <c r="AZ37" i="55"/>
  <c r="AY38" i="40"/>
  <c r="BL30" i="42" s="1"/>
  <c r="Q34" i="41" s="1"/>
  <c r="AZ38" i="40"/>
  <c r="BM30" i="42" s="1"/>
  <c r="Q82" i="41" s="1"/>
  <c r="BA38" i="58"/>
  <c r="BA38" i="43"/>
  <c r="BB38" i="43"/>
  <c r="BA38" i="70"/>
  <c r="BL31" i="71" s="1"/>
  <c r="BB38" i="70"/>
  <c r="BM31" i="71" s="1"/>
  <c r="BA38" i="46"/>
  <c r="BB38" i="46"/>
  <c r="BA37" i="55"/>
  <c r="BB37" i="55"/>
  <c r="BA38" i="40"/>
  <c r="BL31" i="42" s="1"/>
  <c r="Q35" i="41" s="1"/>
  <c r="BB38" i="40"/>
  <c r="BM31" i="42" s="1"/>
  <c r="Q83" i="41" s="1"/>
  <c r="BC38" i="43"/>
  <c r="BD38" i="43"/>
  <c r="BC38" i="70"/>
  <c r="BL32" i="71" s="1"/>
  <c r="BD38" i="70"/>
  <c r="BM32" i="71" s="1"/>
  <c r="BC38" i="46"/>
  <c r="BD38" i="46"/>
  <c r="BC37" i="55"/>
  <c r="BD37" i="55"/>
  <c r="BC38" i="40"/>
  <c r="BL32" i="42" s="1"/>
  <c r="Q36" i="41" s="1"/>
  <c r="BD38" i="40"/>
  <c r="BM32" i="42" s="1"/>
  <c r="Q84" i="41" s="1"/>
  <c r="BE38" i="43"/>
  <c r="BF38" i="43"/>
  <c r="BE38" i="70"/>
  <c r="BL33" i="71" s="1"/>
  <c r="BF38" i="70"/>
  <c r="BM33" i="71" s="1"/>
  <c r="BE38" i="46"/>
  <c r="BF38" i="46"/>
  <c r="BE38" i="40"/>
  <c r="BL33" i="42" s="1"/>
  <c r="Q37" i="41" s="1"/>
  <c r="BF38" i="40"/>
  <c r="BM33" i="42" s="1"/>
  <c r="Q85" i="41" s="1"/>
  <c r="BG38" i="43"/>
  <c r="BH38" i="43"/>
  <c r="BG38" i="70"/>
  <c r="BL34" i="71" s="1"/>
  <c r="BH38" i="70"/>
  <c r="BM34" i="71" s="1"/>
  <c r="BG38" i="46"/>
  <c r="BH38" i="46"/>
  <c r="BG37" i="55"/>
  <c r="BH37" i="55"/>
  <c r="BG38" i="40"/>
  <c r="BL34" i="42" s="1"/>
  <c r="Q38" i="41" s="1"/>
  <c r="BH38" i="40"/>
  <c r="BM34" i="42" s="1"/>
  <c r="Q86" i="41" s="1"/>
  <c r="BI38" i="43"/>
  <c r="BJ38" i="43"/>
  <c r="BI38" i="70"/>
  <c r="BL35" i="71" s="1"/>
  <c r="BJ38" i="70"/>
  <c r="BM35" i="71" s="1"/>
  <c r="BI38" i="46"/>
  <c r="BJ38" i="46"/>
  <c r="BI37" i="55"/>
  <c r="BJ37" i="55"/>
  <c r="BI38" i="40"/>
  <c r="BL35" i="42" s="1"/>
  <c r="Q39" i="41" s="1"/>
  <c r="BJ38" i="40"/>
  <c r="BM35" i="42" s="1"/>
  <c r="Q87" i="41" s="1"/>
  <c r="BK38" i="58"/>
  <c r="BK38" i="43"/>
  <c r="BL38" i="43"/>
  <c r="BK38" i="70"/>
  <c r="BL36" i="71" s="1"/>
  <c r="BL38" i="70"/>
  <c r="BM36" i="71" s="1"/>
  <c r="BK38" i="46"/>
  <c r="BL38" i="46"/>
  <c r="BK37" i="55"/>
  <c r="BL37" i="55"/>
  <c r="BK38" i="40"/>
  <c r="BL36" i="42" s="1"/>
  <c r="Q40" i="41" s="1"/>
  <c r="BL38" i="40"/>
  <c r="BM36" i="42" s="1"/>
  <c r="Q88" i="41" s="1"/>
  <c r="BM38" i="58"/>
  <c r="BN38" i="58"/>
  <c r="BM38" i="43"/>
  <c r="BN38" i="43"/>
  <c r="BM38" i="70"/>
  <c r="BL37" i="71" s="1"/>
  <c r="BN38" i="70"/>
  <c r="BM37" i="71" s="1"/>
  <c r="BM38" i="46"/>
  <c r="BN38" i="46"/>
  <c r="BM37" i="55"/>
  <c r="BN37" i="55"/>
  <c r="BM38" i="40"/>
  <c r="BL37" i="42" s="1"/>
  <c r="Q41" i="41" s="1"/>
  <c r="BN38" i="40"/>
  <c r="BM37" i="42" s="1"/>
  <c r="Q89" i="41" s="1"/>
  <c r="BO38" i="43"/>
  <c r="BP38" i="43"/>
  <c r="BO38" i="70"/>
  <c r="BL38" i="71" s="1"/>
  <c r="BP38" i="70"/>
  <c r="BM38" i="71" s="1"/>
  <c r="BO38" i="46"/>
  <c r="BP38" i="46"/>
  <c r="BO37" i="55"/>
  <c r="BP37" i="55"/>
  <c r="BO38" i="40"/>
  <c r="BL38" i="42" s="1"/>
  <c r="Q42" i="41" s="1"/>
  <c r="BP38" i="40"/>
  <c r="BM38" i="42" s="1"/>
  <c r="Q90" i="41" s="1"/>
  <c r="BR38" i="58"/>
  <c r="BQ38" i="43"/>
  <c r="BR38" i="43"/>
  <c r="BQ38" i="70"/>
  <c r="BL39" i="71" s="1"/>
  <c r="BR38" i="70"/>
  <c r="BM39" i="71" s="1"/>
  <c r="BQ38" i="46"/>
  <c r="BR38" i="46"/>
  <c r="BQ38" i="40"/>
  <c r="BL39" i="42" s="1"/>
  <c r="Q43" i="41" s="1"/>
  <c r="BR38" i="40"/>
  <c r="BM39" i="42" s="1"/>
  <c r="Q91" i="41" s="1"/>
  <c r="BS38" i="43"/>
  <c r="BT38" i="43"/>
  <c r="BS38" i="70"/>
  <c r="BL40" i="71" s="1"/>
  <c r="BT38" i="70"/>
  <c r="BM40" i="71" s="1"/>
  <c r="BS38" i="46"/>
  <c r="BT38" i="46"/>
  <c r="BS37" i="55"/>
  <c r="BT37" i="55"/>
  <c r="BS38" i="40"/>
  <c r="BL40" i="42" s="1"/>
  <c r="Q44" i="41" s="1"/>
  <c r="BT38" i="40"/>
  <c r="BM40" i="42" s="1"/>
  <c r="Q92" i="41" s="1"/>
  <c r="BU38" i="43"/>
  <c r="BV38" i="43"/>
  <c r="BU38" i="70"/>
  <c r="BL41" i="71" s="1"/>
  <c r="BV38" i="70"/>
  <c r="BM41" i="71" s="1"/>
  <c r="BU38" i="46"/>
  <c r="BV38" i="46"/>
  <c r="BU37" i="55"/>
  <c r="BV37" i="55"/>
  <c r="BU38" i="40"/>
  <c r="BL41" i="42" s="1"/>
  <c r="Q45" i="41" s="1"/>
  <c r="BV38" i="40"/>
  <c r="BM41" i="42" s="1"/>
  <c r="Q93" i="41" s="1"/>
  <c r="BW38" i="58"/>
  <c r="BW38" i="43"/>
  <c r="BX38" i="43"/>
  <c r="BW38" i="70"/>
  <c r="BL42" i="71" s="1"/>
  <c r="BX38" i="70"/>
  <c r="BM42" i="71" s="1"/>
  <c r="BW38" i="46"/>
  <c r="BX38" i="46"/>
  <c r="BW37" i="55"/>
  <c r="BX37" i="55"/>
  <c r="BW38" i="40"/>
  <c r="BL42" i="42" s="1"/>
  <c r="Q46" i="41" s="1"/>
  <c r="BX38" i="40"/>
  <c r="BM42" i="42" s="1"/>
  <c r="Q94" i="41" s="1"/>
  <c r="BY38" i="58"/>
  <c r="BZ38" i="58"/>
  <c r="BY38" i="43"/>
  <c r="BZ38" i="43"/>
  <c r="BY38" i="70"/>
  <c r="BL43" i="71" s="1"/>
  <c r="BZ38" i="70"/>
  <c r="BM43" i="71" s="1"/>
  <c r="BY38" i="46"/>
  <c r="BZ38" i="46"/>
  <c r="BY37" i="55"/>
  <c r="BZ37" i="55"/>
  <c r="BY38" i="40"/>
  <c r="BL43" i="42" s="1"/>
  <c r="Q47" i="41" s="1"/>
  <c r="BZ38" i="40"/>
  <c r="BM43" i="42" s="1"/>
  <c r="Q95" i="41" s="1"/>
  <c r="C39" i="40"/>
  <c r="BN6" i="42" s="1"/>
  <c r="D39" i="40"/>
  <c r="BO6" i="42" s="1"/>
  <c r="E39" i="43"/>
  <c r="F39" i="43"/>
  <c r="E39" i="70"/>
  <c r="BN7" i="71" s="1"/>
  <c r="F39" i="70"/>
  <c r="E39" i="46"/>
  <c r="E39" i="55"/>
  <c r="H39" i="70"/>
  <c r="H39" i="46"/>
  <c r="H39" i="55"/>
  <c r="BO8" i="54" s="1"/>
  <c r="BO9" i="42"/>
  <c r="I39" i="43"/>
  <c r="J39" i="43"/>
  <c r="I39" i="70"/>
  <c r="BN9" i="71" s="1"/>
  <c r="J39" i="70"/>
  <c r="BO9" i="71" s="1"/>
  <c r="I39" i="46"/>
  <c r="J39" i="46"/>
  <c r="J38" i="55"/>
  <c r="K39" i="58"/>
  <c r="L39" i="58"/>
  <c r="K39" i="43"/>
  <c r="L39" i="43"/>
  <c r="K39" i="70"/>
  <c r="BN10" i="71" s="1"/>
  <c r="L39" i="70"/>
  <c r="BO10" i="71" s="1"/>
  <c r="K39" i="46"/>
  <c r="L39" i="46"/>
  <c r="K38" i="55"/>
  <c r="L38" i="55"/>
  <c r="K39" i="40"/>
  <c r="BN10" i="42" s="1"/>
  <c r="L39" i="40"/>
  <c r="BO10" i="42" s="1"/>
  <c r="M39" i="43"/>
  <c r="BN11" i="44" s="1"/>
  <c r="N39" i="43"/>
  <c r="BO11" i="44" s="1"/>
  <c r="M39" i="70"/>
  <c r="BN11" i="71" s="1"/>
  <c r="N39" i="70"/>
  <c r="BO11" i="71" s="1"/>
  <c r="M39" i="46"/>
  <c r="N39" i="46"/>
  <c r="M38" i="55"/>
  <c r="N38" i="55"/>
  <c r="M39" i="40"/>
  <c r="BN11" i="42" s="1"/>
  <c r="N39" i="40"/>
  <c r="BO11" i="42" s="1"/>
  <c r="O39" i="43"/>
  <c r="P39" i="43"/>
  <c r="O39" i="70"/>
  <c r="BN12" i="71" s="1"/>
  <c r="P39" i="70"/>
  <c r="BO12" i="71" s="1"/>
  <c r="O39" i="46"/>
  <c r="P39" i="46"/>
  <c r="O38" i="55"/>
  <c r="P38" i="55"/>
  <c r="O39" i="40"/>
  <c r="BN12" i="42" s="1"/>
  <c r="P39" i="40"/>
  <c r="BO12" i="42" s="1"/>
  <c r="Q39" i="43"/>
  <c r="R39" i="43"/>
  <c r="Q39" i="70"/>
  <c r="BN13" i="71" s="1"/>
  <c r="R39" i="70"/>
  <c r="BO13" i="71" s="1"/>
  <c r="Q39" i="46"/>
  <c r="R39" i="46"/>
  <c r="Q38" i="55"/>
  <c r="R38" i="55"/>
  <c r="Q39" i="40"/>
  <c r="BN13" i="42" s="1"/>
  <c r="R39" i="40"/>
  <c r="BO13" i="42" s="1"/>
  <c r="S39" i="58"/>
  <c r="T39" i="58"/>
  <c r="S39" i="43"/>
  <c r="T39" i="43"/>
  <c r="S39" i="70"/>
  <c r="BN14" i="71" s="1"/>
  <c r="T39" i="70"/>
  <c r="BO14" i="71" s="1"/>
  <c r="S39" i="46"/>
  <c r="T39" i="46"/>
  <c r="S39" i="40"/>
  <c r="BN14" i="42" s="1"/>
  <c r="T39" i="40"/>
  <c r="BO14" i="42" s="1"/>
  <c r="U39" i="43"/>
  <c r="V39" i="43"/>
  <c r="U39" i="70"/>
  <c r="BN15" i="71" s="1"/>
  <c r="V39" i="70"/>
  <c r="BO15" i="71" s="1"/>
  <c r="U39" i="46"/>
  <c r="V39" i="46"/>
  <c r="U39" i="40"/>
  <c r="BN15" i="42" s="1"/>
  <c r="V39" i="40"/>
  <c r="BO15" i="42" s="1"/>
  <c r="X39" i="58"/>
  <c r="W39" i="43"/>
  <c r="X39" i="43"/>
  <c r="W39" i="70"/>
  <c r="BN16" i="71" s="1"/>
  <c r="X39" i="70"/>
  <c r="BO16" i="71" s="1"/>
  <c r="W39" i="46"/>
  <c r="X39" i="46"/>
  <c r="W38" i="55"/>
  <c r="X38" i="55"/>
  <c r="W39" i="40"/>
  <c r="BN16" i="42" s="1"/>
  <c r="X39" i="40"/>
  <c r="BO16" i="42" s="1"/>
  <c r="Y39" i="43"/>
  <c r="Z39" i="43"/>
  <c r="Y39" i="70"/>
  <c r="BN17" i="71" s="1"/>
  <c r="Z39" i="70"/>
  <c r="BO17" i="71" s="1"/>
  <c r="Y39" i="46"/>
  <c r="Z39" i="46"/>
  <c r="Y39" i="55"/>
  <c r="Z39" i="55"/>
  <c r="Y39" i="40"/>
  <c r="BN17" i="42" s="1"/>
  <c r="Z39" i="40"/>
  <c r="BO17" i="42" s="1"/>
  <c r="AB39" i="58"/>
  <c r="AA39" i="43"/>
  <c r="AB39" i="43"/>
  <c r="AA39" i="70"/>
  <c r="BN18" i="71" s="1"/>
  <c r="AB39" i="70"/>
  <c r="BO18" i="71" s="1"/>
  <c r="AA39" i="46"/>
  <c r="AB39" i="46"/>
  <c r="AA38" i="55"/>
  <c r="AB38" i="55"/>
  <c r="AA39" i="40"/>
  <c r="BN18" i="42" s="1"/>
  <c r="AB39" i="40"/>
  <c r="BO18" i="42" s="1"/>
  <c r="AC39" i="43"/>
  <c r="AD39" i="43"/>
  <c r="AC39" i="70"/>
  <c r="BN19" i="71" s="1"/>
  <c r="AD39" i="70"/>
  <c r="BO19" i="71" s="1"/>
  <c r="AC39" i="46"/>
  <c r="AD39" i="46"/>
  <c r="AC38" i="55"/>
  <c r="AD38" i="55"/>
  <c r="AC39" i="40"/>
  <c r="BN19" i="42" s="1"/>
  <c r="AD39" i="40"/>
  <c r="BO19" i="42" s="1"/>
  <c r="AF39" i="58"/>
  <c r="AE39" i="43"/>
  <c r="AF39" i="43"/>
  <c r="AE39" i="70"/>
  <c r="BN20" i="71" s="1"/>
  <c r="AF39" i="70"/>
  <c r="BO20" i="71" s="1"/>
  <c r="AE39" i="46"/>
  <c r="AF39" i="46"/>
  <c r="AE38" i="55"/>
  <c r="AF38" i="55"/>
  <c r="AE39" i="40"/>
  <c r="BN20" i="42" s="1"/>
  <c r="AF39" i="40"/>
  <c r="BO20" i="42" s="1"/>
  <c r="AH39" i="58"/>
  <c r="AG39" i="43"/>
  <c r="AH39" i="43"/>
  <c r="AG39" i="70"/>
  <c r="BN21" i="71" s="1"/>
  <c r="AH39" i="70"/>
  <c r="BO21" i="71" s="1"/>
  <c r="AG39" i="46"/>
  <c r="AH39" i="46"/>
  <c r="AG38" i="55"/>
  <c r="AH38" i="55"/>
  <c r="AG39" i="40"/>
  <c r="BN21" i="42" s="1"/>
  <c r="AH39" i="40"/>
  <c r="BO21" i="42" s="1"/>
  <c r="AI39" i="58"/>
  <c r="AJ39" i="58"/>
  <c r="AI39" i="43"/>
  <c r="AJ39" i="43"/>
  <c r="AI39" i="70"/>
  <c r="BN22" i="71" s="1"/>
  <c r="AJ39" i="70"/>
  <c r="BO22" i="71" s="1"/>
  <c r="AI39" i="46"/>
  <c r="AJ39" i="46"/>
  <c r="AI38" i="55"/>
  <c r="AJ38" i="55"/>
  <c r="AI39" i="40"/>
  <c r="BN22" i="42" s="1"/>
  <c r="AJ39" i="40"/>
  <c r="BO22" i="42" s="1"/>
  <c r="AK39" i="58"/>
  <c r="AL39" i="58"/>
  <c r="AK39" i="43"/>
  <c r="AL39" i="43"/>
  <c r="AK39" i="70"/>
  <c r="BN23" i="71" s="1"/>
  <c r="AL39" i="70"/>
  <c r="BO23" i="71" s="1"/>
  <c r="AK39" i="46"/>
  <c r="AL39" i="46"/>
  <c r="AK38" i="55"/>
  <c r="AL38" i="55"/>
  <c r="AK39" i="40"/>
  <c r="BN23" i="42" s="1"/>
  <c r="AL39" i="40"/>
  <c r="BO23" i="42" s="1"/>
  <c r="AM39" i="58"/>
  <c r="AN39" i="58"/>
  <c r="AM39" i="43"/>
  <c r="AN39" i="43"/>
  <c r="AM39" i="70"/>
  <c r="BN24" i="71" s="1"/>
  <c r="AN39" i="70"/>
  <c r="BO24" i="71" s="1"/>
  <c r="AM39" i="46"/>
  <c r="AN39" i="46"/>
  <c r="AM38" i="55"/>
  <c r="AN38" i="55"/>
  <c r="AM39" i="40"/>
  <c r="BN24" i="42" s="1"/>
  <c r="AN39" i="40"/>
  <c r="BO24" i="42" s="1"/>
  <c r="BN25" i="42"/>
  <c r="AO39" i="43"/>
  <c r="AP39" i="43"/>
  <c r="AO39" i="70"/>
  <c r="BN25" i="71" s="1"/>
  <c r="AP39" i="70"/>
  <c r="BO25" i="71" s="1"/>
  <c r="AO39" i="46"/>
  <c r="AP39" i="46"/>
  <c r="AO38" i="55"/>
  <c r="AP38" i="55"/>
  <c r="AR39" i="58"/>
  <c r="AQ39" i="43"/>
  <c r="AR39" i="43"/>
  <c r="AQ39" i="70"/>
  <c r="BN26" i="71" s="1"/>
  <c r="AR39" i="70"/>
  <c r="BO26" i="71" s="1"/>
  <c r="AQ39" i="46"/>
  <c r="AR39" i="46"/>
  <c r="AQ38" i="55"/>
  <c r="AR38" i="55"/>
  <c r="AQ39" i="40"/>
  <c r="BN26" i="42" s="1"/>
  <c r="AR39" i="40"/>
  <c r="BO26" i="42" s="1"/>
  <c r="AS39" i="43"/>
  <c r="BN27" i="44" s="1"/>
  <c r="AT39" i="43"/>
  <c r="BO27" i="44" s="1"/>
  <c r="AS39" i="70"/>
  <c r="BN27" i="71" s="1"/>
  <c r="AT39" i="70"/>
  <c r="BO27" i="71" s="1"/>
  <c r="AS39" i="46"/>
  <c r="AT39" i="46"/>
  <c r="AS38" i="55"/>
  <c r="AT38" i="55"/>
  <c r="AS39" i="40"/>
  <c r="BN27" i="42" s="1"/>
  <c r="AT39" i="40"/>
  <c r="BO27" i="42" s="1"/>
  <c r="AU39" i="58"/>
  <c r="AV39" i="58"/>
  <c r="AU39" i="43"/>
  <c r="AV39" i="43"/>
  <c r="AU39" i="70"/>
  <c r="BN28" i="71" s="1"/>
  <c r="AV39" i="70"/>
  <c r="BO28" i="71" s="1"/>
  <c r="AU39" i="46"/>
  <c r="AV39" i="46"/>
  <c r="AU38" i="55"/>
  <c r="AV38" i="55"/>
  <c r="AU39" i="40"/>
  <c r="BN28" i="42" s="1"/>
  <c r="AV39" i="40"/>
  <c r="BO28" i="42" s="1"/>
  <c r="AW39" i="58"/>
  <c r="AW39" i="43"/>
  <c r="AX39" i="43"/>
  <c r="AW39" i="70"/>
  <c r="BN29" i="71" s="1"/>
  <c r="AX39" i="70"/>
  <c r="BO29" i="71" s="1"/>
  <c r="AW39" i="46"/>
  <c r="AX39" i="46"/>
  <c r="AW39" i="40"/>
  <c r="BN29" i="42" s="1"/>
  <c r="AX39" i="40"/>
  <c r="BO29" i="42" s="1"/>
  <c r="AY39" i="43"/>
  <c r="AZ39" i="43"/>
  <c r="AY39" i="70"/>
  <c r="BN30" i="71" s="1"/>
  <c r="AZ39" i="70"/>
  <c r="BO30" i="71" s="1"/>
  <c r="AY39" i="46"/>
  <c r="AZ39" i="46"/>
  <c r="AY38" i="55"/>
  <c r="AZ38" i="55"/>
  <c r="AY39" i="40"/>
  <c r="BN30" i="42" s="1"/>
  <c r="AZ39" i="40"/>
  <c r="BO30" i="42" s="1"/>
  <c r="BA39" i="43"/>
  <c r="BB39" i="43"/>
  <c r="BA39" i="70"/>
  <c r="BN31" i="71" s="1"/>
  <c r="BB39" i="70"/>
  <c r="BO31" i="71" s="1"/>
  <c r="BA39" i="46"/>
  <c r="BB39" i="46"/>
  <c r="BA38" i="55"/>
  <c r="BB38" i="55"/>
  <c r="BA39" i="40"/>
  <c r="BN31" i="42" s="1"/>
  <c r="BB39" i="40"/>
  <c r="BO31" i="42" s="1"/>
  <c r="BC39" i="43"/>
  <c r="BD39" i="43"/>
  <c r="BC39" i="70"/>
  <c r="BN32" i="71" s="1"/>
  <c r="BD39" i="70"/>
  <c r="BO32" i="71" s="1"/>
  <c r="BC39" i="46"/>
  <c r="BD39" i="46"/>
  <c r="BC38" i="55"/>
  <c r="BD38" i="55"/>
  <c r="BC39" i="40"/>
  <c r="BN32" i="42" s="1"/>
  <c r="BD39" i="40"/>
  <c r="BO32" i="42" s="1"/>
  <c r="BE39" i="43"/>
  <c r="BF39" i="43"/>
  <c r="BE39" i="70"/>
  <c r="BN33" i="71" s="1"/>
  <c r="BF39" i="70"/>
  <c r="BO33" i="71" s="1"/>
  <c r="BE39" i="46"/>
  <c r="BF39" i="46"/>
  <c r="BE39" i="40"/>
  <c r="BN33" i="42" s="1"/>
  <c r="BF39" i="40"/>
  <c r="BO33" i="42" s="1"/>
  <c r="BH39" i="58"/>
  <c r="BG39" i="43"/>
  <c r="BH39" i="43"/>
  <c r="BG39" i="70"/>
  <c r="BN34" i="71" s="1"/>
  <c r="BH39" i="70"/>
  <c r="BO34" i="71" s="1"/>
  <c r="BG39" i="46"/>
  <c r="BH39" i="46"/>
  <c r="BG38" i="55"/>
  <c r="BH38" i="55"/>
  <c r="BG39" i="40"/>
  <c r="BN34" i="42" s="1"/>
  <c r="BH39" i="40"/>
  <c r="BO34" i="42" s="1"/>
  <c r="BI39" i="43"/>
  <c r="BJ39" i="43"/>
  <c r="BI39" i="70"/>
  <c r="BN35" i="71" s="1"/>
  <c r="BJ39" i="70"/>
  <c r="BO35" i="71" s="1"/>
  <c r="BI39" i="46"/>
  <c r="BJ39" i="46"/>
  <c r="BI38" i="55"/>
  <c r="BJ38" i="55"/>
  <c r="BI39" i="40"/>
  <c r="BN35" i="42" s="1"/>
  <c r="BJ39" i="40"/>
  <c r="BO35" i="42" s="1"/>
  <c r="BK39" i="43"/>
  <c r="BL39" i="43"/>
  <c r="BK39" i="70"/>
  <c r="BN36" i="71" s="1"/>
  <c r="BL39" i="70"/>
  <c r="BO36" i="71" s="1"/>
  <c r="BK39" i="46"/>
  <c r="BL39" i="46"/>
  <c r="BK38" i="55"/>
  <c r="BL38" i="55"/>
  <c r="BK39" i="40"/>
  <c r="BN36" i="42" s="1"/>
  <c r="BL39" i="40"/>
  <c r="BO36" i="42" s="1"/>
  <c r="BM39" i="43"/>
  <c r="BN39" i="43"/>
  <c r="BM39" i="70"/>
  <c r="BN37" i="71" s="1"/>
  <c r="BN39" i="70"/>
  <c r="BO37" i="71" s="1"/>
  <c r="BM39" i="46"/>
  <c r="BN39" i="46"/>
  <c r="BM38" i="55"/>
  <c r="BN38" i="55"/>
  <c r="BM39" i="40"/>
  <c r="BN37" i="42" s="1"/>
  <c r="BN39" i="40"/>
  <c r="BO37" i="42" s="1"/>
  <c r="BO39" i="43"/>
  <c r="BP39" i="43"/>
  <c r="BO39" i="70"/>
  <c r="BN38" i="71" s="1"/>
  <c r="BP39" i="70"/>
  <c r="BO38" i="71" s="1"/>
  <c r="BO39" i="46"/>
  <c r="BP39" i="46"/>
  <c r="BO38" i="55"/>
  <c r="BP38" i="55"/>
  <c r="BO39" i="40"/>
  <c r="BN38" i="42" s="1"/>
  <c r="BP39" i="40"/>
  <c r="BO38" i="42" s="1"/>
  <c r="BQ39" i="43"/>
  <c r="BR39" i="43"/>
  <c r="BQ39" i="70"/>
  <c r="BN39" i="71" s="1"/>
  <c r="BR39" i="70"/>
  <c r="BO39" i="71" s="1"/>
  <c r="BQ39" i="46"/>
  <c r="BR39" i="46"/>
  <c r="BQ39" i="40"/>
  <c r="BN39" i="42" s="1"/>
  <c r="BR39" i="40"/>
  <c r="BO39" i="42" s="1"/>
  <c r="BS39" i="58"/>
  <c r="BT39" i="58"/>
  <c r="BS39" i="43"/>
  <c r="BT39" i="43"/>
  <c r="BS39" i="70"/>
  <c r="BN40" i="71" s="1"/>
  <c r="BT39" i="70"/>
  <c r="BO40" i="71" s="1"/>
  <c r="BS39" i="46"/>
  <c r="BT39" i="46"/>
  <c r="BS38" i="55"/>
  <c r="BT38" i="55"/>
  <c r="BS39" i="40"/>
  <c r="BN40" i="42" s="1"/>
  <c r="BT39" i="40"/>
  <c r="BO40" i="42" s="1"/>
  <c r="BU39" i="58"/>
  <c r="BU39" i="43"/>
  <c r="BV39" i="43"/>
  <c r="BU39" i="70"/>
  <c r="BN41" i="71" s="1"/>
  <c r="BV39" i="70"/>
  <c r="BO41" i="71" s="1"/>
  <c r="BU39" i="46"/>
  <c r="BV39" i="46"/>
  <c r="BU38" i="55"/>
  <c r="BV38" i="55"/>
  <c r="BU39" i="40"/>
  <c r="BN41" i="42" s="1"/>
  <c r="BV39" i="40"/>
  <c r="BO41" i="42" s="1"/>
  <c r="BW39" i="43"/>
  <c r="BX39" i="43"/>
  <c r="BW39" i="70"/>
  <c r="BN42" i="71" s="1"/>
  <c r="BX39" i="70"/>
  <c r="BO42" i="71" s="1"/>
  <c r="BW39" i="46"/>
  <c r="BX39" i="46"/>
  <c r="BW38" i="55"/>
  <c r="BX38" i="55"/>
  <c r="BW39" i="40"/>
  <c r="BN42" i="42" s="1"/>
  <c r="BX39" i="40"/>
  <c r="BO42" i="42" s="1"/>
  <c r="BY39" i="43"/>
  <c r="BZ39" i="43"/>
  <c r="BY39" i="70"/>
  <c r="BN43" i="71" s="1"/>
  <c r="BZ39" i="70"/>
  <c r="BO43" i="71" s="1"/>
  <c r="BY39" i="46"/>
  <c r="BZ39" i="46"/>
  <c r="BY38" i="55"/>
  <c r="BZ38" i="55"/>
  <c r="BY39" i="40"/>
  <c r="BN43" i="42" s="1"/>
  <c r="BZ39" i="40"/>
  <c r="BO43" i="42" s="1"/>
  <c r="C40" i="40"/>
  <c r="BP6" i="42" s="1"/>
  <c r="M10" i="41" s="1"/>
  <c r="D40" i="40"/>
  <c r="BQ6" i="42" s="1"/>
  <c r="M58" i="41" s="1"/>
  <c r="E40" i="43"/>
  <c r="F40" i="43"/>
  <c r="E40" i="70"/>
  <c r="BP7" i="71" s="1"/>
  <c r="F40" i="70"/>
  <c r="BQ7" i="71" s="1"/>
  <c r="E40" i="46"/>
  <c r="E40" i="55"/>
  <c r="BP7" i="54" s="1"/>
  <c r="L11" i="56" s="1"/>
  <c r="H40" i="70"/>
  <c r="H40" i="46"/>
  <c r="H40" i="55"/>
  <c r="BQ9" i="42"/>
  <c r="M61" i="41" s="1"/>
  <c r="J40" i="58"/>
  <c r="I40" i="43"/>
  <c r="J40" i="43"/>
  <c r="I40" i="70"/>
  <c r="BP9" i="71" s="1"/>
  <c r="J40" i="70"/>
  <c r="I40" i="46"/>
  <c r="J40" i="46"/>
  <c r="J39" i="55"/>
  <c r="L40" i="58"/>
  <c r="K40" i="43"/>
  <c r="L40" i="43"/>
  <c r="K40" i="70"/>
  <c r="BP10" i="71" s="1"/>
  <c r="L40" i="70"/>
  <c r="BQ10" i="71" s="1"/>
  <c r="K40" i="46"/>
  <c r="L40" i="46"/>
  <c r="K39" i="55"/>
  <c r="L39" i="55"/>
  <c r="K40" i="40"/>
  <c r="BP10" i="42" s="1"/>
  <c r="M14" i="41" s="1"/>
  <c r="L40" i="40"/>
  <c r="BQ10" i="42" s="1"/>
  <c r="M62" i="41" s="1"/>
  <c r="M40" i="43"/>
  <c r="BP11" i="44" s="1"/>
  <c r="N40" i="43"/>
  <c r="BQ11" i="44" s="1"/>
  <c r="M40" i="70"/>
  <c r="BP11" i="71" s="1"/>
  <c r="N40" i="70"/>
  <c r="BQ11" i="71" s="1"/>
  <c r="M40" i="46"/>
  <c r="BP11" i="47" s="1"/>
  <c r="BP5" i="47" s="1"/>
  <c r="N40" i="46"/>
  <c r="BQ11" i="47" s="1"/>
  <c r="BQ5" i="47" s="1"/>
  <c r="M39" i="55"/>
  <c r="N39" i="55"/>
  <c r="M40" i="40"/>
  <c r="BP11" i="42" s="1"/>
  <c r="M15" i="41" s="1"/>
  <c r="N40" i="40"/>
  <c r="BQ11" i="42" s="1"/>
  <c r="M63" i="41" s="1"/>
  <c r="O40" i="43"/>
  <c r="P40" i="43"/>
  <c r="O40" i="70"/>
  <c r="BP12" i="71" s="1"/>
  <c r="P40" i="70"/>
  <c r="BQ12" i="71" s="1"/>
  <c r="O40" i="46"/>
  <c r="P40" i="46"/>
  <c r="O39" i="55"/>
  <c r="P39" i="55"/>
  <c r="O40" i="40"/>
  <c r="BP12" i="42" s="1"/>
  <c r="M16" i="41" s="1"/>
  <c r="P40" i="40"/>
  <c r="BQ12" i="42" s="1"/>
  <c r="M64" i="41" s="1"/>
  <c r="Q40" i="43"/>
  <c r="R40" i="43"/>
  <c r="Q40" i="70"/>
  <c r="BP13" i="71" s="1"/>
  <c r="R40" i="70"/>
  <c r="BQ13" i="71" s="1"/>
  <c r="Q40" i="46"/>
  <c r="R40" i="46"/>
  <c r="Q39" i="55"/>
  <c r="R39" i="55"/>
  <c r="Q40" i="40"/>
  <c r="BP13" i="42" s="1"/>
  <c r="M17" i="41" s="1"/>
  <c r="R40" i="40"/>
  <c r="BQ13" i="42" s="1"/>
  <c r="M65" i="41" s="1"/>
  <c r="S40" i="58"/>
  <c r="T40" i="58"/>
  <c r="S40" i="43"/>
  <c r="T40" i="43"/>
  <c r="S40" i="70"/>
  <c r="BP14" i="71" s="1"/>
  <c r="T40" i="70"/>
  <c r="BQ14" i="71" s="1"/>
  <c r="S40" i="46"/>
  <c r="T40" i="46"/>
  <c r="S39" i="55"/>
  <c r="T39" i="55"/>
  <c r="S40" i="40"/>
  <c r="BP14" i="42" s="1"/>
  <c r="M18" i="41" s="1"/>
  <c r="T40" i="40"/>
  <c r="BQ14" i="42" s="1"/>
  <c r="M66" i="41" s="1"/>
  <c r="U40" i="58"/>
  <c r="V40" i="58"/>
  <c r="U40" i="43"/>
  <c r="V40" i="43"/>
  <c r="U40" i="70"/>
  <c r="BP15" i="71" s="1"/>
  <c r="V40" i="70"/>
  <c r="BQ15" i="71" s="1"/>
  <c r="U40" i="46"/>
  <c r="V40" i="46"/>
  <c r="U40" i="40"/>
  <c r="BP15" i="42" s="1"/>
  <c r="M19" i="41" s="1"/>
  <c r="V40" i="40"/>
  <c r="BQ15" i="42" s="1"/>
  <c r="M67" i="41" s="1"/>
  <c r="X40" i="58"/>
  <c r="W40" i="43"/>
  <c r="X40" i="43"/>
  <c r="W40" i="70"/>
  <c r="BP16" i="71" s="1"/>
  <c r="X40" i="70"/>
  <c r="BQ16" i="71" s="1"/>
  <c r="W40" i="46"/>
  <c r="X40" i="46"/>
  <c r="W39" i="55"/>
  <c r="X39" i="55"/>
  <c r="W40" i="40"/>
  <c r="BP16" i="42" s="1"/>
  <c r="M20" i="41" s="1"/>
  <c r="X40" i="40"/>
  <c r="BQ16" i="42" s="1"/>
  <c r="M68" i="41" s="1"/>
  <c r="Y40" i="43"/>
  <c r="Z40" i="43"/>
  <c r="Y40" i="70"/>
  <c r="BP17" i="71" s="1"/>
  <c r="Z40" i="70"/>
  <c r="BQ17" i="71" s="1"/>
  <c r="Y40" i="46"/>
  <c r="Z40" i="46"/>
  <c r="Y40" i="55"/>
  <c r="Z40" i="55"/>
  <c r="Y40" i="40"/>
  <c r="BP17" i="42" s="1"/>
  <c r="M21" i="41" s="1"/>
  <c r="Z40" i="40"/>
  <c r="BQ17" i="42" s="1"/>
  <c r="M69" i="41" s="1"/>
  <c r="AB40" i="58"/>
  <c r="AA40" i="43"/>
  <c r="AB40" i="43"/>
  <c r="AA40" i="70"/>
  <c r="BP18" i="71" s="1"/>
  <c r="AB40" i="70"/>
  <c r="BQ18" i="71" s="1"/>
  <c r="AA40" i="46"/>
  <c r="AB40" i="46"/>
  <c r="AA39" i="55"/>
  <c r="AB39" i="55"/>
  <c r="AA40" i="40"/>
  <c r="BP18" i="42" s="1"/>
  <c r="M22" i="41" s="1"/>
  <c r="AB40" i="40"/>
  <c r="BQ18" i="42" s="1"/>
  <c r="M70" i="41" s="1"/>
  <c r="AC40" i="43"/>
  <c r="AD40" i="43"/>
  <c r="AC40" i="70"/>
  <c r="BP19" i="71" s="1"/>
  <c r="AD40" i="70"/>
  <c r="BQ19" i="71" s="1"/>
  <c r="AC40" i="46"/>
  <c r="AD40" i="46"/>
  <c r="AC39" i="55"/>
  <c r="AD39" i="55"/>
  <c r="AC40" i="40"/>
  <c r="BP19" i="42" s="1"/>
  <c r="M23" i="41" s="1"/>
  <c r="AD40" i="40"/>
  <c r="BQ19" i="42" s="1"/>
  <c r="M71" i="41" s="1"/>
  <c r="AE40" i="58"/>
  <c r="AF40" i="58"/>
  <c r="AE40" i="43"/>
  <c r="AF40" i="43"/>
  <c r="AE40" i="70"/>
  <c r="BP20" i="71" s="1"/>
  <c r="AF40" i="70"/>
  <c r="BQ20" i="71" s="1"/>
  <c r="AE40" i="46"/>
  <c r="AF40" i="46"/>
  <c r="AE39" i="55"/>
  <c r="AF39" i="55"/>
  <c r="AE40" i="40"/>
  <c r="BP20" i="42" s="1"/>
  <c r="M24" i="41" s="1"/>
  <c r="AF40" i="40"/>
  <c r="BQ20" i="42" s="1"/>
  <c r="M72" i="41" s="1"/>
  <c r="AG40" i="58"/>
  <c r="AH40" i="58"/>
  <c r="AG40" i="43"/>
  <c r="AH40" i="43"/>
  <c r="AG40" i="70"/>
  <c r="BP21" i="71" s="1"/>
  <c r="AH40" i="70"/>
  <c r="BQ21" i="71" s="1"/>
  <c r="AG40" i="46"/>
  <c r="AH40" i="46"/>
  <c r="AG39" i="55"/>
  <c r="AH39" i="55"/>
  <c r="AG40" i="40"/>
  <c r="BP21" i="42" s="1"/>
  <c r="M25" i="41" s="1"/>
  <c r="AH40" i="40"/>
  <c r="BQ21" i="42" s="1"/>
  <c r="M73" i="41" s="1"/>
  <c r="AI40" i="43"/>
  <c r="AJ40" i="43"/>
  <c r="AI40" i="70"/>
  <c r="BP22" i="71" s="1"/>
  <c r="AJ40" i="70"/>
  <c r="BQ22" i="71" s="1"/>
  <c r="AI40" i="46"/>
  <c r="AJ40" i="46"/>
  <c r="AI39" i="55"/>
  <c r="AJ39" i="55"/>
  <c r="AI40" i="40"/>
  <c r="BP22" i="42" s="1"/>
  <c r="M26" i="41" s="1"/>
  <c r="AJ40" i="40"/>
  <c r="BQ22" i="42" s="1"/>
  <c r="M74" i="41" s="1"/>
  <c r="AK40" i="43"/>
  <c r="AL40" i="43"/>
  <c r="AK40" i="70"/>
  <c r="BP23" i="71" s="1"/>
  <c r="AL40" i="70"/>
  <c r="BQ23" i="71" s="1"/>
  <c r="AK40" i="46"/>
  <c r="AL40" i="46"/>
  <c r="AK39" i="55"/>
  <c r="AL39" i="55"/>
  <c r="AK40" i="40"/>
  <c r="BP23" i="42" s="1"/>
  <c r="M27" i="41" s="1"/>
  <c r="AL40" i="40"/>
  <c r="BQ23" i="42" s="1"/>
  <c r="M75" i="41" s="1"/>
  <c r="AM40" i="43"/>
  <c r="AN40" i="43"/>
  <c r="AM40" i="70"/>
  <c r="BP24" i="71" s="1"/>
  <c r="AN40" i="70"/>
  <c r="BQ24" i="71" s="1"/>
  <c r="AM40" i="46"/>
  <c r="AN40" i="46"/>
  <c r="AM39" i="55"/>
  <c r="AN39" i="55"/>
  <c r="AM40" i="40"/>
  <c r="BP24" i="42" s="1"/>
  <c r="M28" i="41" s="1"/>
  <c r="AN40" i="40"/>
  <c r="BQ24" i="42" s="1"/>
  <c r="M76" i="41" s="1"/>
  <c r="BP25" i="42"/>
  <c r="M29" i="41" s="1"/>
  <c r="BQ25" i="42"/>
  <c r="M77" i="41" s="1"/>
  <c r="AO40" i="43"/>
  <c r="AP40" i="43"/>
  <c r="AO40" i="70"/>
  <c r="BP25" i="71" s="1"/>
  <c r="AP40" i="70"/>
  <c r="BQ25" i="71" s="1"/>
  <c r="AO40" i="46"/>
  <c r="AP40" i="46"/>
  <c r="AO39" i="55"/>
  <c r="AP39" i="55"/>
  <c r="AQ40" i="58"/>
  <c r="AR40" i="58"/>
  <c r="AQ40" i="43"/>
  <c r="AR40" i="43"/>
  <c r="AQ40" i="70"/>
  <c r="BP26" i="71" s="1"/>
  <c r="AR40" i="70"/>
  <c r="BQ26" i="71" s="1"/>
  <c r="AQ40" i="46"/>
  <c r="AR40" i="46"/>
  <c r="AQ39" i="55"/>
  <c r="AR39" i="55"/>
  <c r="AQ40" i="40"/>
  <c r="BP26" i="42" s="1"/>
  <c r="M30" i="41" s="1"/>
  <c r="AR40" i="40"/>
  <c r="BQ26" i="42" s="1"/>
  <c r="M78" i="41" s="1"/>
  <c r="AS40" i="58"/>
  <c r="AT40" i="58"/>
  <c r="AS40" i="43"/>
  <c r="BP27" i="44" s="1"/>
  <c r="AT40" i="43"/>
  <c r="BQ27" i="44" s="1"/>
  <c r="AS40" i="70"/>
  <c r="BP27" i="71" s="1"/>
  <c r="AT40" i="70"/>
  <c r="BQ27" i="71" s="1"/>
  <c r="AS40" i="46"/>
  <c r="AT40" i="46"/>
  <c r="AS39" i="55"/>
  <c r="AT39" i="55"/>
  <c r="AS40" i="40"/>
  <c r="BP27" i="42" s="1"/>
  <c r="M31" i="41" s="1"/>
  <c r="AT40" i="40"/>
  <c r="BQ27" i="42" s="1"/>
  <c r="M79" i="41" s="1"/>
  <c r="AU40" i="43"/>
  <c r="BP28" i="44" s="1"/>
  <c r="AV40" i="43"/>
  <c r="BQ28" i="44" s="1"/>
  <c r="AU40" i="70"/>
  <c r="BP28" i="71" s="1"/>
  <c r="AV40" i="70"/>
  <c r="BQ28" i="71" s="1"/>
  <c r="AU40" i="46"/>
  <c r="AV40" i="46"/>
  <c r="AU39" i="55"/>
  <c r="AV39" i="55"/>
  <c r="AU40" i="40"/>
  <c r="BP28" i="42" s="1"/>
  <c r="M32" i="41" s="1"/>
  <c r="AV40" i="40"/>
  <c r="BQ28" i="42" s="1"/>
  <c r="M80" i="41" s="1"/>
  <c r="AW40" i="43"/>
  <c r="AX40" i="43"/>
  <c r="AW40" i="70"/>
  <c r="BP29" i="71" s="1"/>
  <c r="AX40" i="70"/>
  <c r="BQ29" i="71" s="1"/>
  <c r="AW40" i="46"/>
  <c r="AX40" i="46"/>
  <c r="AW40" i="40"/>
  <c r="BP29" i="42" s="1"/>
  <c r="M33" i="41" s="1"/>
  <c r="AX40" i="40"/>
  <c r="BQ29" i="42" s="1"/>
  <c r="M81" i="41" s="1"/>
  <c r="AY40" i="43"/>
  <c r="AZ40" i="43"/>
  <c r="AY40" i="70"/>
  <c r="BP30" i="71" s="1"/>
  <c r="AZ40" i="70"/>
  <c r="BQ30" i="71" s="1"/>
  <c r="AY40" i="46"/>
  <c r="AZ40" i="46"/>
  <c r="AY39" i="55"/>
  <c r="AZ39" i="55"/>
  <c r="AY40" i="40"/>
  <c r="BP30" i="42" s="1"/>
  <c r="M34" i="41" s="1"/>
  <c r="AZ40" i="40"/>
  <c r="BQ30" i="42" s="1"/>
  <c r="M82" i="41" s="1"/>
  <c r="BA40" i="43"/>
  <c r="BB40" i="43"/>
  <c r="BA40" i="70"/>
  <c r="BP31" i="71" s="1"/>
  <c r="BB40" i="70"/>
  <c r="BQ31" i="71" s="1"/>
  <c r="BA40" i="46"/>
  <c r="BB40" i="46"/>
  <c r="BA39" i="55"/>
  <c r="BB39" i="55"/>
  <c r="BA40" i="40"/>
  <c r="BP31" i="42" s="1"/>
  <c r="M35" i="41" s="1"/>
  <c r="BB40" i="40"/>
  <c r="BQ31" i="42" s="1"/>
  <c r="M83" i="41" s="1"/>
  <c r="BC40" i="58"/>
  <c r="BD40" i="58"/>
  <c r="BC40" i="43"/>
  <c r="BD40" i="43"/>
  <c r="BC40" i="70"/>
  <c r="BP32" i="71" s="1"/>
  <c r="BD40" i="70"/>
  <c r="BQ32" i="71" s="1"/>
  <c r="BC40" i="46"/>
  <c r="BD40" i="46"/>
  <c r="BC39" i="55"/>
  <c r="BD39" i="55"/>
  <c r="BC40" i="40"/>
  <c r="BP32" i="42" s="1"/>
  <c r="M36" i="41" s="1"/>
  <c r="BD40" i="40"/>
  <c r="BQ32" i="42" s="1"/>
  <c r="M84" i="41" s="1"/>
  <c r="BF40" i="58"/>
  <c r="BE40" i="43"/>
  <c r="BF40" i="43"/>
  <c r="BE40" i="70"/>
  <c r="BP33" i="71" s="1"/>
  <c r="BF40" i="70"/>
  <c r="BQ33" i="71" s="1"/>
  <c r="BE40" i="46"/>
  <c r="BF40" i="46"/>
  <c r="BE40" i="40"/>
  <c r="BP33" i="42" s="1"/>
  <c r="M37" i="41" s="1"/>
  <c r="BF40" i="40"/>
  <c r="BQ33" i="42" s="1"/>
  <c r="M85" i="41" s="1"/>
  <c r="BG40" i="43"/>
  <c r="BH40" i="43"/>
  <c r="BG40" i="70"/>
  <c r="BP34" i="71" s="1"/>
  <c r="BH40" i="70"/>
  <c r="BQ34" i="71" s="1"/>
  <c r="BG40" i="46"/>
  <c r="BH40" i="46"/>
  <c r="BG39" i="55"/>
  <c r="BH39" i="55"/>
  <c r="BG40" i="40"/>
  <c r="BP34" i="42" s="1"/>
  <c r="M38" i="41" s="1"/>
  <c r="BH40" i="40"/>
  <c r="BQ34" i="42" s="1"/>
  <c r="M86" i="41" s="1"/>
  <c r="BI40" i="43"/>
  <c r="BJ40" i="43"/>
  <c r="BI40" i="70"/>
  <c r="BP35" i="71" s="1"/>
  <c r="BJ40" i="70"/>
  <c r="BQ35" i="71" s="1"/>
  <c r="BI40" i="46"/>
  <c r="BJ40" i="46"/>
  <c r="BI39" i="55"/>
  <c r="BJ39" i="55"/>
  <c r="BI40" i="40"/>
  <c r="BP35" i="42" s="1"/>
  <c r="M39" i="41" s="1"/>
  <c r="BJ40" i="40"/>
  <c r="BQ35" i="42" s="1"/>
  <c r="M87" i="41" s="1"/>
  <c r="BK40" i="43"/>
  <c r="BL40" i="43"/>
  <c r="BK40" i="70"/>
  <c r="BP36" i="71" s="1"/>
  <c r="BL40" i="70"/>
  <c r="BQ36" i="71" s="1"/>
  <c r="BK40" i="46"/>
  <c r="BL40" i="46"/>
  <c r="BK39" i="55"/>
  <c r="BL39" i="55"/>
  <c r="BK40" i="40"/>
  <c r="BP36" i="42" s="1"/>
  <c r="M40" i="41" s="1"/>
  <c r="BL40" i="40"/>
  <c r="BQ36" i="42" s="1"/>
  <c r="M88" i="41" s="1"/>
  <c r="BM40" i="43"/>
  <c r="BN40" i="43"/>
  <c r="BM40" i="70"/>
  <c r="BP37" i="71" s="1"/>
  <c r="BN40" i="70"/>
  <c r="BQ37" i="71" s="1"/>
  <c r="BM40" i="46"/>
  <c r="BN40" i="46"/>
  <c r="BM39" i="55"/>
  <c r="BN39" i="55"/>
  <c r="BM40" i="40"/>
  <c r="BP37" i="42" s="1"/>
  <c r="M41" i="41" s="1"/>
  <c r="BN40" i="40"/>
  <c r="BQ37" i="42" s="1"/>
  <c r="M89" i="41" s="1"/>
  <c r="BO40" i="58"/>
  <c r="BP40" i="58"/>
  <c r="BO40" i="43"/>
  <c r="BP40" i="43"/>
  <c r="BO40" i="70"/>
  <c r="BP38" i="71" s="1"/>
  <c r="BP40" i="70"/>
  <c r="BQ38" i="71" s="1"/>
  <c r="BO40" i="46"/>
  <c r="BP40" i="46"/>
  <c r="BO39" i="55"/>
  <c r="BP39" i="55"/>
  <c r="BO40" i="40"/>
  <c r="BP38" i="42" s="1"/>
  <c r="M42" i="41" s="1"/>
  <c r="BP40" i="40"/>
  <c r="BQ38" i="42" s="1"/>
  <c r="M90" i="41" s="1"/>
  <c r="BQ40" i="58"/>
  <c r="BR40" i="58"/>
  <c r="BQ40" i="43"/>
  <c r="BR40" i="43"/>
  <c r="BQ40" i="70"/>
  <c r="BP39" i="71" s="1"/>
  <c r="BR40" i="70"/>
  <c r="BQ39" i="71" s="1"/>
  <c r="BQ40" i="46"/>
  <c r="BR40" i="46"/>
  <c r="BQ40" i="40"/>
  <c r="BP39" i="42" s="1"/>
  <c r="M43" i="41" s="1"/>
  <c r="BR40" i="40"/>
  <c r="BQ39" i="42" s="1"/>
  <c r="M91" i="41" s="1"/>
  <c r="BS40" i="43"/>
  <c r="BT40" i="43"/>
  <c r="BS40" i="70"/>
  <c r="BP40" i="71" s="1"/>
  <c r="BT40" i="70"/>
  <c r="BQ40" i="71" s="1"/>
  <c r="BS40" i="46"/>
  <c r="BT40" i="46"/>
  <c r="BS39" i="55"/>
  <c r="BT39" i="55"/>
  <c r="BS40" i="40"/>
  <c r="BP40" i="42" s="1"/>
  <c r="M44" i="41" s="1"/>
  <c r="BT40" i="40"/>
  <c r="BQ40" i="42" s="1"/>
  <c r="M92" i="41" s="1"/>
  <c r="BV40" i="58"/>
  <c r="BU40" i="43"/>
  <c r="BV40" i="43"/>
  <c r="BU40" i="70"/>
  <c r="BP41" i="71" s="1"/>
  <c r="BV40" i="70"/>
  <c r="BQ41" i="71" s="1"/>
  <c r="BU40" i="46"/>
  <c r="BV40" i="46"/>
  <c r="BU39" i="55"/>
  <c r="BV39" i="55"/>
  <c r="BU40" i="40"/>
  <c r="BP41" i="42" s="1"/>
  <c r="M45" i="41" s="1"/>
  <c r="BV40" i="40"/>
  <c r="BQ41" i="42" s="1"/>
  <c r="M93" i="41" s="1"/>
  <c r="BW40" i="43"/>
  <c r="BX40" i="43"/>
  <c r="BW40" i="70"/>
  <c r="BP42" i="71" s="1"/>
  <c r="BX40" i="70"/>
  <c r="BQ42" i="71" s="1"/>
  <c r="BW40" i="46"/>
  <c r="BX40" i="46"/>
  <c r="BW39" i="55"/>
  <c r="BX39" i="55"/>
  <c r="BW40" i="40"/>
  <c r="BP42" i="42" s="1"/>
  <c r="M46" i="41" s="1"/>
  <c r="BX40" i="40"/>
  <c r="BQ42" i="42" s="1"/>
  <c r="M94" i="41" s="1"/>
  <c r="BY40" i="43"/>
  <c r="BZ40" i="43"/>
  <c r="BY40" i="70"/>
  <c r="BP43" i="71" s="1"/>
  <c r="BZ40" i="70"/>
  <c r="BQ43" i="71" s="1"/>
  <c r="BY40" i="46"/>
  <c r="BZ40" i="46"/>
  <c r="BY39" i="55"/>
  <c r="BZ39" i="55"/>
  <c r="BY40" i="40"/>
  <c r="BP43" i="42" s="1"/>
  <c r="M47" i="41" s="1"/>
  <c r="BZ40" i="40"/>
  <c r="BQ43" i="42" s="1"/>
  <c r="M95" i="41" s="1"/>
  <c r="C41" i="40"/>
  <c r="BR6" i="42" s="1"/>
  <c r="D41" i="40"/>
  <c r="BS6" i="42" s="1"/>
  <c r="E41" i="58"/>
  <c r="BR7" i="57" s="1"/>
  <c r="M11" i="59" s="1"/>
  <c r="F41" i="58"/>
  <c r="BS7" i="57" s="1"/>
  <c r="M59" i="59" s="1"/>
  <c r="F41" i="43"/>
  <c r="E41" i="70"/>
  <c r="BR7" i="71" s="1"/>
  <c r="F41" i="70"/>
  <c r="BS7" i="71" s="1"/>
  <c r="E41" i="46"/>
  <c r="E41" i="55"/>
  <c r="H41" i="70"/>
  <c r="BS8" i="71" s="1"/>
  <c r="H41" i="46"/>
  <c r="H41" i="55"/>
  <c r="BS9" i="42"/>
  <c r="I41" i="58"/>
  <c r="J41" i="58"/>
  <c r="I41" i="43"/>
  <c r="J41" i="43"/>
  <c r="I41" i="70"/>
  <c r="BR9" i="71" s="1"/>
  <c r="J41" i="70"/>
  <c r="I41" i="46"/>
  <c r="J41" i="46"/>
  <c r="J40" i="55"/>
  <c r="K41" i="43"/>
  <c r="L41" i="43"/>
  <c r="K41" i="70"/>
  <c r="BR10" i="71" s="1"/>
  <c r="L41" i="70"/>
  <c r="K41" i="46"/>
  <c r="L41" i="46"/>
  <c r="K40" i="55"/>
  <c r="L40" i="55"/>
  <c r="K41" i="40"/>
  <c r="BR10" i="42" s="1"/>
  <c r="L41" i="40"/>
  <c r="BS10" i="42" s="1"/>
  <c r="N41" i="58"/>
  <c r="M41" i="43"/>
  <c r="BR11" i="44" s="1"/>
  <c r="N41" i="43"/>
  <c r="BS11" i="44" s="1"/>
  <c r="M41" i="70"/>
  <c r="BR11" i="71" s="1"/>
  <c r="N41" i="70"/>
  <c r="BS11" i="71" s="1"/>
  <c r="M41" i="46"/>
  <c r="N41" i="46"/>
  <c r="M40" i="55"/>
  <c r="N40" i="55"/>
  <c r="M41" i="40"/>
  <c r="BR11" i="42" s="1"/>
  <c r="N41" i="40"/>
  <c r="BS11" i="42" s="1"/>
  <c r="P41" i="58"/>
  <c r="O41" i="43"/>
  <c r="P41" i="43"/>
  <c r="O41" i="70"/>
  <c r="BR12" i="71" s="1"/>
  <c r="P41" i="70"/>
  <c r="BS12" i="71" s="1"/>
  <c r="O41" i="46"/>
  <c r="P41" i="46"/>
  <c r="O40" i="55"/>
  <c r="P40" i="55"/>
  <c r="O41" i="40"/>
  <c r="BR12" i="42" s="1"/>
  <c r="P41" i="40"/>
  <c r="BS12" i="42" s="1"/>
  <c r="Q41" i="43"/>
  <c r="R41" i="43"/>
  <c r="Q41" i="70"/>
  <c r="BR13" i="71" s="1"/>
  <c r="R41" i="70"/>
  <c r="BS13" i="71" s="1"/>
  <c r="Q41" i="46"/>
  <c r="R41" i="46"/>
  <c r="Q40" i="55"/>
  <c r="R40" i="55"/>
  <c r="Q41" i="40"/>
  <c r="BR13" i="42" s="1"/>
  <c r="R41" i="40"/>
  <c r="BS13" i="42" s="1"/>
  <c r="S41" i="43"/>
  <c r="T41" i="43"/>
  <c r="S41" i="70"/>
  <c r="BR14" i="71" s="1"/>
  <c r="T41" i="70"/>
  <c r="BS14" i="71" s="1"/>
  <c r="S41" i="46"/>
  <c r="T41" i="46"/>
  <c r="S40" i="55"/>
  <c r="T40" i="55"/>
  <c r="BQ14" i="54" s="1"/>
  <c r="L67" i="56" s="1"/>
  <c r="S41" i="40"/>
  <c r="BR14" i="42" s="1"/>
  <c r="T41" i="40"/>
  <c r="BS14" i="42" s="1"/>
  <c r="U41" i="43"/>
  <c r="V41" i="43"/>
  <c r="U41" i="70"/>
  <c r="BR15" i="71" s="1"/>
  <c r="V41" i="70"/>
  <c r="BS15" i="71" s="1"/>
  <c r="U41" i="46"/>
  <c r="V41" i="46"/>
  <c r="U41" i="40"/>
  <c r="BR15" i="42" s="1"/>
  <c r="V41" i="40"/>
  <c r="BS15" i="42" s="1"/>
  <c r="W41" i="43"/>
  <c r="X41" i="43"/>
  <c r="W41" i="70"/>
  <c r="BR16" i="71" s="1"/>
  <c r="X41" i="70"/>
  <c r="BS16" i="71" s="1"/>
  <c r="W41" i="46"/>
  <c r="X41" i="46"/>
  <c r="W40" i="55"/>
  <c r="X40" i="55"/>
  <c r="W41" i="40"/>
  <c r="BR16" i="42" s="1"/>
  <c r="X41" i="40"/>
  <c r="BS16" i="42" s="1"/>
  <c r="Z41" i="58"/>
  <c r="Y41" i="43"/>
  <c r="Z41" i="43"/>
  <c r="Y41" i="70"/>
  <c r="BR17" i="71" s="1"/>
  <c r="Z41" i="70"/>
  <c r="BS17" i="71" s="1"/>
  <c r="Y41" i="46"/>
  <c r="Z41" i="46"/>
  <c r="Y41" i="55"/>
  <c r="Z41" i="55"/>
  <c r="Y41" i="40"/>
  <c r="BR17" i="42" s="1"/>
  <c r="Z41" i="40"/>
  <c r="BS17" i="42" s="1"/>
  <c r="AA41" i="58"/>
  <c r="AB41" i="58"/>
  <c r="AA41" i="43"/>
  <c r="AB41" i="43"/>
  <c r="AB41" i="70"/>
  <c r="BS18" i="71" s="1"/>
  <c r="AA41" i="46"/>
  <c r="AB41" i="46"/>
  <c r="AA40" i="55"/>
  <c r="AB40" i="55"/>
  <c r="AA41" i="40"/>
  <c r="BR18" i="42" s="1"/>
  <c r="AB41" i="40"/>
  <c r="BS18" i="42" s="1"/>
  <c r="AC41" i="58"/>
  <c r="AD41" i="58"/>
  <c r="AD41" i="43"/>
  <c r="AC41" i="70"/>
  <c r="BR19" i="71" s="1"/>
  <c r="AD41" i="70"/>
  <c r="BS19" i="71" s="1"/>
  <c r="AC41" i="46"/>
  <c r="AD41" i="46"/>
  <c r="AC40" i="55"/>
  <c r="AD40" i="55"/>
  <c r="AC41" i="40"/>
  <c r="BR19" i="42" s="1"/>
  <c r="AD41" i="40"/>
  <c r="BS19" i="42" s="1"/>
  <c r="AF41" i="58"/>
  <c r="AE41" i="43"/>
  <c r="AF41" i="43"/>
  <c r="AE41" i="70"/>
  <c r="BR20" i="71" s="1"/>
  <c r="AF41" i="70"/>
  <c r="BS20" i="71" s="1"/>
  <c r="AE41" i="46"/>
  <c r="AF41" i="46"/>
  <c r="AE40" i="55"/>
  <c r="AF40" i="55"/>
  <c r="AE41" i="40"/>
  <c r="BR20" i="42" s="1"/>
  <c r="AF41" i="40"/>
  <c r="BS20" i="42" s="1"/>
  <c r="AG41" i="43"/>
  <c r="AH41" i="43"/>
  <c r="AG41" i="70"/>
  <c r="BR21" i="71" s="1"/>
  <c r="AH41" i="70"/>
  <c r="BS21" i="71" s="1"/>
  <c r="AG41" i="46"/>
  <c r="AH41" i="46"/>
  <c r="AG40" i="55"/>
  <c r="AH40" i="55"/>
  <c r="AG41" i="40"/>
  <c r="BR21" i="42" s="1"/>
  <c r="AH41" i="40"/>
  <c r="BS21" i="42" s="1"/>
  <c r="AI41" i="43"/>
  <c r="AJ41" i="43"/>
  <c r="AI41" i="70"/>
  <c r="BR22" i="71" s="1"/>
  <c r="AJ41" i="70"/>
  <c r="BS22" i="71" s="1"/>
  <c r="AI41" i="46"/>
  <c r="AJ41" i="46"/>
  <c r="AI40" i="55"/>
  <c r="AJ40" i="55"/>
  <c r="AI41" i="40"/>
  <c r="BR22" i="42" s="1"/>
  <c r="AJ41" i="40"/>
  <c r="BS22" i="42" s="1"/>
  <c r="AK41" i="43"/>
  <c r="AL41" i="43"/>
  <c r="AK41" i="70"/>
  <c r="BR23" i="71" s="1"/>
  <c r="AL41" i="70"/>
  <c r="BS23" i="71" s="1"/>
  <c r="AK41" i="46"/>
  <c r="AL41" i="46"/>
  <c r="AK40" i="55"/>
  <c r="AL40" i="55"/>
  <c r="AK41" i="40"/>
  <c r="BR23" i="42" s="1"/>
  <c r="AL41" i="40"/>
  <c r="BS23" i="42" s="1"/>
  <c r="AM41" i="58"/>
  <c r="AN41" i="58"/>
  <c r="AM41" i="43"/>
  <c r="AN41" i="43"/>
  <c r="AM41" i="70"/>
  <c r="BR24" i="71" s="1"/>
  <c r="AN41" i="70"/>
  <c r="BS24" i="71" s="1"/>
  <c r="AM41" i="46"/>
  <c r="AN41" i="46"/>
  <c r="AM40" i="55"/>
  <c r="AN40" i="55"/>
  <c r="AM41" i="40"/>
  <c r="BR24" i="42" s="1"/>
  <c r="AN41" i="40"/>
  <c r="BS24" i="42" s="1"/>
  <c r="AP41" i="43"/>
  <c r="AO41" i="70"/>
  <c r="BR25" i="71" s="1"/>
  <c r="AP41" i="70"/>
  <c r="BS25" i="71" s="1"/>
  <c r="AO41" i="46"/>
  <c r="AP41" i="46"/>
  <c r="AO40" i="55"/>
  <c r="AP40" i="55"/>
  <c r="AQ41" i="58"/>
  <c r="AR41" i="58"/>
  <c r="AQ41" i="43"/>
  <c r="AR41" i="43"/>
  <c r="AQ41" i="70"/>
  <c r="BR26" i="71" s="1"/>
  <c r="AR41" i="70"/>
  <c r="BS26" i="71" s="1"/>
  <c r="AQ41" i="46"/>
  <c r="AR41" i="46"/>
  <c r="AQ40" i="55"/>
  <c r="AR40" i="55"/>
  <c r="AQ41" i="40"/>
  <c r="BR26" i="42" s="1"/>
  <c r="AR41" i="40"/>
  <c r="BS26" i="42" s="1"/>
  <c r="AS41" i="43"/>
  <c r="BR27" i="44" s="1"/>
  <c r="AT41" i="43"/>
  <c r="BS27" i="44" s="1"/>
  <c r="AS41" i="70"/>
  <c r="BR27" i="71" s="1"/>
  <c r="AT41" i="70"/>
  <c r="BS27" i="71" s="1"/>
  <c r="AS41" i="46"/>
  <c r="AT41" i="46"/>
  <c r="AS40" i="55"/>
  <c r="AT40" i="55"/>
  <c r="AS41" i="40"/>
  <c r="BR27" i="42" s="1"/>
  <c r="AT41" i="40"/>
  <c r="BS27" i="42" s="1"/>
  <c r="AU41" i="43"/>
  <c r="AV41" i="43"/>
  <c r="AU41" i="70"/>
  <c r="BR28" i="71" s="1"/>
  <c r="AV41" i="70"/>
  <c r="BS28" i="71" s="1"/>
  <c r="AU41" i="46"/>
  <c r="AV41" i="46"/>
  <c r="AU40" i="55"/>
  <c r="AV40" i="55"/>
  <c r="AU41" i="40"/>
  <c r="BR28" i="42" s="1"/>
  <c r="AV41" i="40"/>
  <c r="BS28" i="42" s="1"/>
  <c r="AW41" i="43"/>
  <c r="AX41" i="43"/>
  <c r="AW41" i="70"/>
  <c r="BR29" i="71" s="1"/>
  <c r="AX41" i="70"/>
  <c r="BS29" i="71" s="1"/>
  <c r="AW41" i="46"/>
  <c r="AX41" i="46"/>
  <c r="AW41" i="40"/>
  <c r="BR29" i="42" s="1"/>
  <c r="AX41" i="40"/>
  <c r="BS29" i="42" s="1"/>
  <c r="AZ41" i="58"/>
  <c r="AY41" i="43"/>
  <c r="AZ41" i="43"/>
  <c r="AY41" i="70"/>
  <c r="BR30" i="71" s="1"/>
  <c r="AZ41" i="70"/>
  <c r="BS30" i="71" s="1"/>
  <c r="AY41" i="46"/>
  <c r="AZ41" i="46"/>
  <c r="AY40" i="55"/>
  <c r="AZ40" i="55"/>
  <c r="AY41" i="40"/>
  <c r="BR30" i="42" s="1"/>
  <c r="AZ41" i="40"/>
  <c r="BS30" i="42" s="1"/>
  <c r="BA41" i="58"/>
  <c r="BB41" i="43"/>
  <c r="BA41" i="70"/>
  <c r="BR31" i="71" s="1"/>
  <c r="BB41" i="70"/>
  <c r="BS31" i="71" s="1"/>
  <c r="BA41" i="46"/>
  <c r="BB41" i="46"/>
  <c r="BA40" i="55"/>
  <c r="BB40" i="55"/>
  <c r="BA41" i="40"/>
  <c r="BR31" i="42" s="1"/>
  <c r="BB41" i="40"/>
  <c r="BS31" i="42" s="1"/>
  <c r="BD41" i="58"/>
  <c r="BC41" i="43"/>
  <c r="BD41" i="43"/>
  <c r="BC41" i="70"/>
  <c r="BR32" i="71" s="1"/>
  <c r="BD41" i="70"/>
  <c r="BS32" i="71" s="1"/>
  <c r="BC41" i="46"/>
  <c r="BD41" i="46"/>
  <c r="BC40" i="55"/>
  <c r="BD40" i="55"/>
  <c r="BC41" i="40"/>
  <c r="BR32" i="42" s="1"/>
  <c r="BD41" i="40"/>
  <c r="BS32" i="42" s="1"/>
  <c r="BE41" i="43"/>
  <c r="BF41" i="43"/>
  <c r="BE41" i="70"/>
  <c r="BR33" i="71" s="1"/>
  <c r="BF41" i="70"/>
  <c r="BS33" i="71" s="1"/>
  <c r="BE41" i="46"/>
  <c r="BF41" i="46"/>
  <c r="BE41" i="40"/>
  <c r="BR33" i="42" s="1"/>
  <c r="BF41" i="40"/>
  <c r="BS33" i="42" s="1"/>
  <c r="BG41" i="43"/>
  <c r="BH41" i="43"/>
  <c r="BG41" i="70"/>
  <c r="BR34" i="71" s="1"/>
  <c r="BH41" i="70"/>
  <c r="BS34" i="71" s="1"/>
  <c r="BG41" i="46"/>
  <c r="BH41" i="46"/>
  <c r="BG40" i="55"/>
  <c r="BH40" i="55"/>
  <c r="BG41" i="40"/>
  <c r="BR34" i="42" s="1"/>
  <c r="BH41" i="40"/>
  <c r="BS34" i="42" s="1"/>
  <c r="BI41" i="43"/>
  <c r="BJ41" i="43"/>
  <c r="BI41" i="70"/>
  <c r="BR35" i="71" s="1"/>
  <c r="BJ41" i="70"/>
  <c r="BS35" i="71" s="1"/>
  <c r="BI41" i="46"/>
  <c r="BJ41" i="46"/>
  <c r="BI40" i="55"/>
  <c r="BJ40" i="55"/>
  <c r="BI41" i="40"/>
  <c r="BR35" i="42" s="1"/>
  <c r="BJ41" i="40"/>
  <c r="BS35" i="42" s="1"/>
  <c r="BL41" i="58"/>
  <c r="BK41" i="43"/>
  <c r="BL41" i="43"/>
  <c r="BK41" i="70"/>
  <c r="BR36" i="71" s="1"/>
  <c r="BL41" i="70"/>
  <c r="BS36" i="71" s="1"/>
  <c r="BK41" i="46"/>
  <c r="BL41" i="46"/>
  <c r="BK40" i="55"/>
  <c r="BL40" i="55"/>
  <c r="BK41" i="40"/>
  <c r="BR36" i="42" s="1"/>
  <c r="BL41" i="40"/>
  <c r="BS36" i="42" s="1"/>
  <c r="BN41" i="58"/>
  <c r="BM41" i="43"/>
  <c r="BN41" i="43"/>
  <c r="BM41" i="70"/>
  <c r="BR37" i="71" s="1"/>
  <c r="BN41" i="70"/>
  <c r="BS37" i="71" s="1"/>
  <c r="BM41" i="46"/>
  <c r="BN41" i="46"/>
  <c r="BM40" i="55"/>
  <c r="BN40" i="55"/>
  <c r="BM41" i="40"/>
  <c r="BR37" i="42" s="1"/>
  <c r="BN41" i="40"/>
  <c r="BS37" i="42" s="1"/>
  <c r="BO41" i="58"/>
  <c r="BP41" i="58"/>
  <c r="BO41" i="43"/>
  <c r="BP41" i="43"/>
  <c r="BO41" i="70"/>
  <c r="BR38" i="71" s="1"/>
  <c r="BP41" i="70"/>
  <c r="BS38" i="71" s="1"/>
  <c r="BO41" i="46"/>
  <c r="BP41" i="46"/>
  <c r="BO40" i="55"/>
  <c r="BP40" i="55"/>
  <c r="BO41" i="40"/>
  <c r="BR38" i="42" s="1"/>
  <c r="BP41" i="40"/>
  <c r="BS38" i="42" s="1"/>
  <c r="BQ41" i="43"/>
  <c r="BR41" i="43"/>
  <c r="BQ41" i="70"/>
  <c r="BR39" i="71" s="1"/>
  <c r="BR41" i="70"/>
  <c r="BS39" i="71" s="1"/>
  <c r="BQ41" i="46"/>
  <c r="BR41" i="46"/>
  <c r="BQ41" i="40"/>
  <c r="BR39" i="42" s="1"/>
  <c r="BR41" i="40"/>
  <c r="BS39" i="42" s="1"/>
  <c r="BS41" i="43"/>
  <c r="BT41" i="43"/>
  <c r="BS41" i="70"/>
  <c r="BR40" i="71" s="1"/>
  <c r="BT41" i="70"/>
  <c r="BS40" i="71" s="1"/>
  <c r="BS41" i="46"/>
  <c r="BT41" i="46"/>
  <c r="BS40" i="55"/>
  <c r="BT40" i="55"/>
  <c r="BS41" i="40"/>
  <c r="BR40" i="42" s="1"/>
  <c r="BT41" i="40"/>
  <c r="BS40" i="42" s="1"/>
  <c r="BU41" i="43"/>
  <c r="BV41" i="43"/>
  <c r="BU41" i="70"/>
  <c r="BR41" i="71" s="1"/>
  <c r="BV41" i="70"/>
  <c r="BS41" i="71" s="1"/>
  <c r="BU41" i="46"/>
  <c r="BV41" i="46"/>
  <c r="BU40" i="55"/>
  <c r="BV40" i="55"/>
  <c r="BU41" i="40"/>
  <c r="BR41" i="42" s="1"/>
  <c r="BV41" i="40"/>
  <c r="BS41" i="42" s="1"/>
  <c r="BX41" i="58"/>
  <c r="BW41" i="43"/>
  <c r="BX41" i="43"/>
  <c r="BW41" i="70"/>
  <c r="BR42" i="71" s="1"/>
  <c r="BX41" i="70"/>
  <c r="BS42" i="71" s="1"/>
  <c r="BW41" i="46"/>
  <c r="BX41" i="46"/>
  <c r="BW40" i="55"/>
  <c r="BX40" i="55"/>
  <c r="BW41" i="40"/>
  <c r="BR42" i="42" s="1"/>
  <c r="BX41" i="40"/>
  <c r="BS42" i="42" s="1"/>
  <c r="BY41" i="43"/>
  <c r="BZ41" i="43"/>
  <c r="BY41" i="70"/>
  <c r="BR43" i="71" s="1"/>
  <c r="BZ41" i="70"/>
  <c r="BS43" i="71" s="1"/>
  <c r="BY41" i="46"/>
  <c r="BZ41" i="46"/>
  <c r="BY40" i="55"/>
  <c r="BZ40" i="55"/>
  <c r="BY41" i="40"/>
  <c r="BR43" i="42" s="1"/>
  <c r="BZ41" i="40"/>
  <c r="BS43" i="42" s="1"/>
  <c r="C42" i="40"/>
  <c r="BT6" i="42" s="1"/>
  <c r="D42" i="40"/>
  <c r="BU6" i="42" s="1"/>
  <c r="E42" i="58"/>
  <c r="BT7" i="57" s="1"/>
  <c r="E42" i="43"/>
  <c r="F42" i="43"/>
  <c r="E42" i="70"/>
  <c r="BT7" i="71" s="1"/>
  <c r="F42" i="70"/>
  <c r="BU7" i="71" s="1"/>
  <c r="E42" i="46"/>
  <c r="E42" i="55"/>
  <c r="H42" i="70"/>
  <c r="BU8" i="71" s="1"/>
  <c r="H42" i="46"/>
  <c r="H42" i="55"/>
  <c r="BU9" i="42"/>
  <c r="I42" i="43"/>
  <c r="J42" i="43"/>
  <c r="I42" i="70"/>
  <c r="BT9" i="71" s="1"/>
  <c r="J42" i="70"/>
  <c r="BU9" i="71" s="1"/>
  <c r="I42" i="46"/>
  <c r="J42" i="46"/>
  <c r="J41" i="55"/>
  <c r="K42" i="58"/>
  <c r="L42" i="58"/>
  <c r="K42" i="43"/>
  <c r="L42" i="43"/>
  <c r="L42" i="70"/>
  <c r="K42" i="46"/>
  <c r="L42" i="46"/>
  <c r="K41" i="55"/>
  <c r="L41" i="55"/>
  <c r="K42" i="40"/>
  <c r="BT10" i="42" s="1"/>
  <c r="L42" i="40"/>
  <c r="BU10" i="42" s="1"/>
  <c r="M42" i="58"/>
  <c r="N42" i="58"/>
  <c r="N42" i="43"/>
  <c r="BU11" i="44" s="1"/>
  <c r="T63" i="45" s="1"/>
  <c r="M42" i="70"/>
  <c r="BT11" i="71" s="1"/>
  <c r="N42" i="70"/>
  <c r="M42" i="46"/>
  <c r="N42" i="46"/>
  <c r="M41" i="55"/>
  <c r="N41" i="55"/>
  <c r="M42" i="40"/>
  <c r="BT11" i="42" s="1"/>
  <c r="N42" i="40"/>
  <c r="BU11" i="42" s="1"/>
  <c r="P42" i="58"/>
  <c r="O42" i="43"/>
  <c r="P42" i="43"/>
  <c r="O42" i="70"/>
  <c r="BT12" i="71" s="1"/>
  <c r="P42" i="70"/>
  <c r="BU12" i="71" s="1"/>
  <c r="O42" i="46"/>
  <c r="P42" i="46"/>
  <c r="O41" i="55"/>
  <c r="P41" i="55"/>
  <c r="O42" i="40"/>
  <c r="BT12" i="42" s="1"/>
  <c r="P42" i="40"/>
  <c r="BU12" i="42" s="1"/>
  <c r="Q42" i="43"/>
  <c r="R42" i="43"/>
  <c r="Q42" i="70"/>
  <c r="BT13" i="71" s="1"/>
  <c r="R42" i="70"/>
  <c r="BU13" i="71" s="1"/>
  <c r="Q42" i="46"/>
  <c r="R42" i="46"/>
  <c r="Q41" i="55"/>
  <c r="R41" i="55"/>
  <c r="Q42" i="40"/>
  <c r="BT13" i="42" s="1"/>
  <c r="R42" i="40"/>
  <c r="BU13" i="42" s="1"/>
  <c r="S42" i="43"/>
  <c r="T42" i="43"/>
  <c r="S42" i="70"/>
  <c r="BT14" i="71" s="1"/>
  <c r="T42" i="70"/>
  <c r="BU14" i="71" s="1"/>
  <c r="S42" i="46"/>
  <c r="T42" i="46"/>
  <c r="S41" i="55"/>
  <c r="T41" i="55"/>
  <c r="S42" i="40"/>
  <c r="BT14" i="42" s="1"/>
  <c r="T42" i="40"/>
  <c r="BU14" i="42" s="1"/>
  <c r="U42" i="43"/>
  <c r="V42" i="43"/>
  <c r="U42" i="70"/>
  <c r="BT15" i="71" s="1"/>
  <c r="V42" i="70"/>
  <c r="BU15" i="71" s="1"/>
  <c r="U42" i="46"/>
  <c r="V42" i="46"/>
  <c r="U42" i="40"/>
  <c r="BT15" i="42" s="1"/>
  <c r="V42" i="40"/>
  <c r="BU15" i="42" s="1"/>
  <c r="W42" i="58"/>
  <c r="X42" i="58"/>
  <c r="W42" i="43"/>
  <c r="X42" i="43"/>
  <c r="W42" i="70"/>
  <c r="BT16" i="71" s="1"/>
  <c r="X42" i="70"/>
  <c r="BU16" i="71" s="1"/>
  <c r="W42" i="46"/>
  <c r="X42" i="46"/>
  <c r="W41" i="55"/>
  <c r="X41" i="55"/>
  <c r="W42" i="40"/>
  <c r="BT16" i="42" s="1"/>
  <c r="X42" i="40"/>
  <c r="BU16" i="42" s="1"/>
  <c r="Y42" i="58"/>
  <c r="Z42" i="58"/>
  <c r="Y42" i="43"/>
  <c r="Z42" i="43"/>
  <c r="Y42" i="70"/>
  <c r="BT17" i="71" s="1"/>
  <c r="Z42" i="70"/>
  <c r="BU17" i="71" s="1"/>
  <c r="Y42" i="46"/>
  <c r="Z42" i="46"/>
  <c r="Y42" i="55"/>
  <c r="Z42" i="55"/>
  <c r="Y42" i="40"/>
  <c r="BT17" i="42" s="1"/>
  <c r="Z42" i="40"/>
  <c r="BU17" i="42" s="1"/>
  <c r="AB42" i="58"/>
  <c r="AA42" i="43"/>
  <c r="AB42" i="43"/>
  <c r="AA42" i="70"/>
  <c r="BT18" i="71" s="1"/>
  <c r="AB42" i="70"/>
  <c r="BU18" i="71" s="1"/>
  <c r="AA42" i="46"/>
  <c r="AB42" i="46"/>
  <c r="AA41" i="55"/>
  <c r="AB41" i="55"/>
  <c r="AA42" i="40"/>
  <c r="BT18" i="42" s="1"/>
  <c r="AB42" i="40"/>
  <c r="BU18" i="42" s="1"/>
  <c r="AC42" i="43"/>
  <c r="AD42" i="43"/>
  <c r="AC42" i="70"/>
  <c r="BT19" i="71" s="1"/>
  <c r="AD42" i="70"/>
  <c r="BU19" i="71" s="1"/>
  <c r="AC42" i="46"/>
  <c r="AD42" i="46"/>
  <c r="AC41" i="55"/>
  <c r="AD41" i="55"/>
  <c r="AC42" i="40"/>
  <c r="BT19" i="42" s="1"/>
  <c r="AD42" i="40"/>
  <c r="BU19" i="42" s="1"/>
  <c r="AE42" i="43"/>
  <c r="AF42" i="43"/>
  <c r="AE42" i="70"/>
  <c r="BT20" i="71" s="1"/>
  <c r="AF42" i="70"/>
  <c r="BU20" i="71" s="1"/>
  <c r="AE42" i="46"/>
  <c r="AF42" i="46"/>
  <c r="AE41" i="55"/>
  <c r="AF41" i="55"/>
  <c r="AE42" i="40"/>
  <c r="BT20" i="42" s="1"/>
  <c r="AF42" i="40"/>
  <c r="BU20" i="42" s="1"/>
  <c r="AH42" i="58"/>
  <c r="AG42" i="43"/>
  <c r="AH42" i="43"/>
  <c r="AG42" i="70"/>
  <c r="BT21" i="71" s="1"/>
  <c r="AH42" i="70"/>
  <c r="BU21" i="71" s="1"/>
  <c r="AG42" i="46"/>
  <c r="AH42" i="46"/>
  <c r="AG41" i="55"/>
  <c r="AH41" i="55"/>
  <c r="AG42" i="40"/>
  <c r="BT21" i="42" s="1"/>
  <c r="AH42" i="40"/>
  <c r="BU21" i="42" s="1"/>
  <c r="AJ42" i="58"/>
  <c r="AI42" i="43"/>
  <c r="AJ42" i="43"/>
  <c r="AI42" i="70"/>
  <c r="BT22" i="71" s="1"/>
  <c r="AJ42" i="70"/>
  <c r="BU22" i="71" s="1"/>
  <c r="AI42" i="46"/>
  <c r="AJ42" i="46"/>
  <c r="AI41" i="55"/>
  <c r="AJ41" i="55"/>
  <c r="AI42" i="40"/>
  <c r="BT22" i="42" s="1"/>
  <c r="AJ42" i="40"/>
  <c r="BU22" i="42" s="1"/>
  <c r="AL42" i="58"/>
  <c r="AK42" i="43"/>
  <c r="AL42" i="43"/>
  <c r="AK42" i="70"/>
  <c r="BT23" i="71" s="1"/>
  <c r="AL42" i="70"/>
  <c r="BU23" i="71" s="1"/>
  <c r="AK42" i="46"/>
  <c r="AL42" i="46"/>
  <c r="AK41" i="55"/>
  <c r="AL41" i="55"/>
  <c r="AK42" i="40"/>
  <c r="BT23" i="42" s="1"/>
  <c r="AL42" i="40"/>
  <c r="BU23" i="42" s="1"/>
  <c r="AM42" i="43"/>
  <c r="AN42" i="43"/>
  <c r="AM42" i="70"/>
  <c r="BT24" i="71" s="1"/>
  <c r="AN42" i="70"/>
  <c r="BU24" i="71" s="1"/>
  <c r="AM42" i="46"/>
  <c r="AN42" i="46"/>
  <c r="AM41" i="55"/>
  <c r="AN41" i="55"/>
  <c r="AM42" i="40"/>
  <c r="BT24" i="42" s="1"/>
  <c r="AN42" i="40"/>
  <c r="BU24" i="42" s="1"/>
  <c r="BT25" i="42"/>
  <c r="BU25" i="42"/>
  <c r="AO42" i="43"/>
  <c r="AP42" i="43"/>
  <c r="AO42" i="70"/>
  <c r="BT25" i="71" s="1"/>
  <c r="AP42" i="70"/>
  <c r="BU25" i="71" s="1"/>
  <c r="AO42" i="46"/>
  <c r="AP42" i="46"/>
  <c r="AO41" i="55"/>
  <c r="AP41" i="55"/>
  <c r="AQ42" i="58"/>
  <c r="AR42" i="58"/>
  <c r="AQ42" i="43"/>
  <c r="AR42" i="43"/>
  <c r="AQ42" i="70"/>
  <c r="BT26" i="71" s="1"/>
  <c r="AR42" i="70"/>
  <c r="BU26" i="71" s="1"/>
  <c r="AQ42" i="46"/>
  <c r="AR42" i="46"/>
  <c r="AQ41" i="55"/>
  <c r="AR41" i="55"/>
  <c r="AQ42" i="40"/>
  <c r="BT26" i="42" s="1"/>
  <c r="AR42" i="40"/>
  <c r="BU26" i="42" s="1"/>
  <c r="AS42" i="43"/>
  <c r="BT27" i="44" s="1"/>
  <c r="T31" i="45" s="1"/>
  <c r="AT42" i="43"/>
  <c r="BU27" i="44" s="1"/>
  <c r="T79" i="45" s="1"/>
  <c r="AS42" i="70"/>
  <c r="BT27" i="71" s="1"/>
  <c r="AT42" i="70"/>
  <c r="BU27" i="71" s="1"/>
  <c r="AS42" i="46"/>
  <c r="AT42" i="46"/>
  <c r="AS41" i="55"/>
  <c r="AT41" i="55"/>
  <c r="AS42" i="40"/>
  <c r="BT27" i="42" s="1"/>
  <c r="AT42" i="40"/>
  <c r="BU27" i="42" s="1"/>
  <c r="AU42" i="58"/>
  <c r="AV42" i="58"/>
  <c r="AU42" i="43"/>
  <c r="AV42" i="43"/>
  <c r="AU42" i="70"/>
  <c r="BT28" i="71" s="1"/>
  <c r="AV42" i="70"/>
  <c r="BU28" i="71" s="1"/>
  <c r="AU42" i="46"/>
  <c r="AV42" i="46"/>
  <c r="AU41" i="55"/>
  <c r="AV41" i="55"/>
  <c r="AU42" i="40"/>
  <c r="BT28" i="42" s="1"/>
  <c r="AV42" i="40"/>
  <c r="BU28" i="42" s="1"/>
  <c r="AW42" i="58"/>
  <c r="AW42" i="43"/>
  <c r="AX42" i="43"/>
  <c r="AW42" i="70"/>
  <c r="BT29" i="71" s="1"/>
  <c r="AX42" i="70"/>
  <c r="BU29" i="71" s="1"/>
  <c r="AW42" i="46"/>
  <c r="AX42" i="46"/>
  <c r="AW42" i="40"/>
  <c r="BT29" i="42" s="1"/>
  <c r="AX42" i="40"/>
  <c r="BU29" i="42" s="1"/>
  <c r="AY42" i="43"/>
  <c r="AZ42" i="43"/>
  <c r="AY42" i="70"/>
  <c r="BT30" i="71" s="1"/>
  <c r="AZ42" i="70"/>
  <c r="BU30" i="71" s="1"/>
  <c r="AY42" i="46"/>
  <c r="AZ42" i="46"/>
  <c r="AY41" i="55"/>
  <c r="AZ41" i="55"/>
  <c r="AY42" i="40"/>
  <c r="BT30" i="42" s="1"/>
  <c r="AZ42" i="40"/>
  <c r="BU30" i="42" s="1"/>
  <c r="BA42" i="43"/>
  <c r="BB42" i="43"/>
  <c r="BA42" i="70"/>
  <c r="BT31" i="71" s="1"/>
  <c r="BB42" i="70"/>
  <c r="BU31" i="71" s="1"/>
  <c r="BA42" i="46"/>
  <c r="BB42" i="46"/>
  <c r="BA41" i="55"/>
  <c r="BB41" i="55"/>
  <c r="BA42" i="40"/>
  <c r="BT31" i="42" s="1"/>
  <c r="BB42" i="40"/>
  <c r="BU31" i="42" s="1"/>
  <c r="BC42" i="43"/>
  <c r="BD42" i="43"/>
  <c r="BC42" i="70"/>
  <c r="BT32" i="71" s="1"/>
  <c r="BD42" i="70"/>
  <c r="BU32" i="71" s="1"/>
  <c r="BC42" i="46"/>
  <c r="BD42" i="46"/>
  <c r="BC41" i="55"/>
  <c r="BD41" i="55"/>
  <c r="BC42" i="40"/>
  <c r="BT32" i="42" s="1"/>
  <c r="BD42" i="40"/>
  <c r="BU32" i="42" s="1"/>
  <c r="BF42" i="58"/>
  <c r="BE42" i="43"/>
  <c r="BF42" i="43"/>
  <c r="BE42" i="70"/>
  <c r="BT33" i="71" s="1"/>
  <c r="BF42" i="70"/>
  <c r="BU33" i="71" s="1"/>
  <c r="BE42" i="46"/>
  <c r="BF42" i="46"/>
  <c r="BE42" i="40"/>
  <c r="BT33" i="42" s="1"/>
  <c r="BF42" i="40"/>
  <c r="BU33" i="42" s="1"/>
  <c r="BG42" i="58"/>
  <c r="BH42" i="58"/>
  <c r="BG42" i="43"/>
  <c r="BH42" i="43"/>
  <c r="BH42" i="70"/>
  <c r="BU34" i="71" s="1"/>
  <c r="BG42" i="46"/>
  <c r="BH42" i="46"/>
  <c r="BG41" i="55"/>
  <c r="BH41" i="55"/>
  <c r="BG42" i="40"/>
  <c r="BT34" i="42" s="1"/>
  <c r="BH42" i="40"/>
  <c r="BU34" i="42" s="1"/>
  <c r="BJ42" i="58"/>
  <c r="BI42" i="43"/>
  <c r="BJ42" i="43"/>
  <c r="BI42" i="70"/>
  <c r="BT35" i="71" s="1"/>
  <c r="BJ42" i="70"/>
  <c r="BU35" i="71" s="1"/>
  <c r="BI42" i="46"/>
  <c r="BJ42" i="46"/>
  <c r="BI41" i="55"/>
  <c r="BJ41" i="55"/>
  <c r="BI42" i="40"/>
  <c r="BT35" i="42" s="1"/>
  <c r="BJ42" i="40"/>
  <c r="BU35" i="42" s="1"/>
  <c r="BK42" i="43"/>
  <c r="BL42" i="43"/>
  <c r="BK42" i="70"/>
  <c r="BT36" i="71" s="1"/>
  <c r="BL42" i="70"/>
  <c r="BU36" i="71" s="1"/>
  <c r="BK42" i="46"/>
  <c r="BL42" i="46"/>
  <c r="BK41" i="55"/>
  <c r="BL41" i="55"/>
  <c r="BK42" i="40"/>
  <c r="BT36" i="42" s="1"/>
  <c r="BL42" i="40"/>
  <c r="BU36" i="42" s="1"/>
  <c r="BM42" i="43"/>
  <c r="BN42" i="43"/>
  <c r="BM42" i="70"/>
  <c r="BT37" i="71" s="1"/>
  <c r="BN42" i="70"/>
  <c r="BU37" i="71" s="1"/>
  <c r="BM42" i="46"/>
  <c r="BN42" i="46"/>
  <c r="BM41" i="55"/>
  <c r="BN41" i="55"/>
  <c r="BM42" i="40"/>
  <c r="BT37" i="42" s="1"/>
  <c r="BN42" i="40"/>
  <c r="BU37" i="42" s="1"/>
  <c r="BO42" i="43"/>
  <c r="BP42" i="43"/>
  <c r="BO42" i="70"/>
  <c r="BT38" i="71" s="1"/>
  <c r="BP42" i="70"/>
  <c r="BU38" i="71" s="1"/>
  <c r="BO42" i="46"/>
  <c r="BP42" i="46"/>
  <c r="BO41" i="55"/>
  <c r="BP41" i="55"/>
  <c r="BO42" i="40"/>
  <c r="BT38" i="42" s="1"/>
  <c r="BP42" i="40"/>
  <c r="BU38" i="42" s="1"/>
  <c r="BQ42" i="43"/>
  <c r="BR42" i="43"/>
  <c r="BQ42" i="70"/>
  <c r="BT39" i="71" s="1"/>
  <c r="BR42" i="70"/>
  <c r="BU39" i="71" s="1"/>
  <c r="BQ42" i="46"/>
  <c r="BR42" i="46"/>
  <c r="BQ42" i="40"/>
  <c r="BT39" i="42" s="1"/>
  <c r="BR42" i="40"/>
  <c r="BU39" i="42" s="1"/>
  <c r="BS42" i="58"/>
  <c r="BT42" i="58"/>
  <c r="BS42" i="43"/>
  <c r="BT42" i="43"/>
  <c r="BT42" i="70"/>
  <c r="BU40" i="71" s="1"/>
  <c r="BS42" i="46"/>
  <c r="BT42" i="46"/>
  <c r="BS41" i="55"/>
  <c r="BT41" i="55"/>
  <c r="BS42" i="40"/>
  <c r="BT40" i="42" s="1"/>
  <c r="BT42" i="40"/>
  <c r="BU40" i="42" s="1"/>
  <c r="BU42" i="58"/>
  <c r="BV42" i="58"/>
  <c r="BU42" i="43"/>
  <c r="BV42" i="43"/>
  <c r="BU42" i="70"/>
  <c r="BT41" i="71" s="1"/>
  <c r="BV42" i="70"/>
  <c r="BU41" i="71" s="1"/>
  <c r="BU42" i="46"/>
  <c r="BV42" i="46"/>
  <c r="BU41" i="55"/>
  <c r="BV41" i="55"/>
  <c r="BU42" i="40"/>
  <c r="BT41" i="42" s="1"/>
  <c r="BV42" i="40"/>
  <c r="BU41" i="42" s="1"/>
  <c r="BW42" i="43"/>
  <c r="BX42" i="43"/>
  <c r="BW42" i="70"/>
  <c r="BT42" i="71" s="1"/>
  <c r="BX42" i="70"/>
  <c r="BU42" i="71" s="1"/>
  <c r="BW42" i="46"/>
  <c r="BX42" i="46"/>
  <c r="BW41" i="55"/>
  <c r="BX41" i="55"/>
  <c r="BW42" i="40"/>
  <c r="BT42" i="42" s="1"/>
  <c r="BX42" i="40"/>
  <c r="BU42" i="42" s="1"/>
  <c r="BY42" i="43"/>
  <c r="BZ42" i="43"/>
  <c r="BY42" i="70"/>
  <c r="BT43" i="71" s="1"/>
  <c r="BZ42" i="70"/>
  <c r="BU43" i="71" s="1"/>
  <c r="BY42" i="46"/>
  <c r="BZ42" i="46"/>
  <c r="BY41" i="55"/>
  <c r="BZ41" i="55"/>
  <c r="BY42" i="40"/>
  <c r="BT43" i="42" s="1"/>
  <c r="BZ42" i="40"/>
  <c r="BU43" i="42" s="1"/>
  <c r="C43" i="40"/>
  <c r="BV6" i="42" s="1"/>
  <c r="D43" i="40"/>
  <c r="BW6" i="42" s="1"/>
  <c r="E43" i="43"/>
  <c r="BF7" i="44" s="1"/>
  <c r="O11" i="45" s="1"/>
  <c r="F43" i="43"/>
  <c r="BG7" i="44" s="1"/>
  <c r="O59" i="45" s="1"/>
  <c r="E43" i="70"/>
  <c r="BV7" i="71" s="1"/>
  <c r="F43" i="70"/>
  <c r="BW7" i="71" s="1"/>
  <c r="E43" i="46"/>
  <c r="E43" i="55"/>
  <c r="H43" i="70"/>
  <c r="BW8" i="71" s="1"/>
  <c r="H43" i="46"/>
  <c r="H43" i="55"/>
  <c r="BW9" i="42"/>
  <c r="I43" i="43"/>
  <c r="J43" i="43"/>
  <c r="I43" i="70"/>
  <c r="BV9" i="71" s="1"/>
  <c r="J43" i="70"/>
  <c r="BW9" i="71" s="1"/>
  <c r="I43" i="46"/>
  <c r="J43" i="46"/>
  <c r="J42" i="55"/>
  <c r="K43" i="58"/>
  <c r="L43" i="58"/>
  <c r="K43" i="43"/>
  <c r="L43" i="43"/>
  <c r="K43" i="70"/>
  <c r="BV10" i="71" s="1"/>
  <c r="L43" i="70"/>
  <c r="BW10" i="71" s="1"/>
  <c r="K43" i="46"/>
  <c r="L43" i="46"/>
  <c r="K42" i="55"/>
  <c r="L42" i="55"/>
  <c r="K43" i="40"/>
  <c r="BV10" i="42" s="1"/>
  <c r="L43" i="40"/>
  <c r="BW10" i="42" s="1"/>
  <c r="M43" i="43"/>
  <c r="BV11" i="44" s="1"/>
  <c r="N43" i="43"/>
  <c r="BW11" i="44" s="1"/>
  <c r="M43" i="70"/>
  <c r="BV11" i="71" s="1"/>
  <c r="N43" i="70"/>
  <c r="M43" i="46"/>
  <c r="N43" i="46"/>
  <c r="M42" i="55"/>
  <c r="N42" i="55"/>
  <c r="M43" i="40"/>
  <c r="BV11" i="42" s="1"/>
  <c r="N43" i="40"/>
  <c r="BW11" i="42" s="1"/>
  <c r="O43" i="58"/>
  <c r="P43" i="58"/>
  <c r="O43" i="43"/>
  <c r="P43" i="43"/>
  <c r="O43" i="70"/>
  <c r="BV12" i="71" s="1"/>
  <c r="P43" i="70"/>
  <c r="O43" i="46"/>
  <c r="P43" i="46"/>
  <c r="O42" i="55"/>
  <c r="P42" i="55"/>
  <c r="O43" i="40"/>
  <c r="BV12" i="42" s="1"/>
  <c r="P43" i="40"/>
  <c r="BW12" i="42" s="1"/>
  <c r="Q43" i="43"/>
  <c r="R43" i="43"/>
  <c r="Q43" i="70"/>
  <c r="BV13" i="71" s="1"/>
  <c r="R43" i="70"/>
  <c r="BW13" i="71" s="1"/>
  <c r="Q43" i="46"/>
  <c r="R43" i="46"/>
  <c r="Q42" i="55"/>
  <c r="R42" i="55"/>
  <c r="Q43" i="40"/>
  <c r="BV13" i="42" s="1"/>
  <c r="R43" i="40"/>
  <c r="BW13" i="42" s="1"/>
  <c r="T43" i="58"/>
  <c r="S43" i="43"/>
  <c r="T43" i="43"/>
  <c r="S43" i="70"/>
  <c r="BV14" i="71" s="1"/>
  <c r="T43" i="70"/>
  <c r="BW14" i="71" s="1"/>
  <c r="S43" i="46"/>
  <c r="T43" i="46"/>
  <c r="S42" i="55"/>
  <c r="T42" i="55"/>
  <c r="S43" i="40"/>
  <c r="BV14" i="42" s="1"/>
  <c r="T43" i="40"/>
  <c r="BW14" i="42" s="1"/>
  <c r="U43" i="58"/>
  <c r="V43" i="58"/>
  <c r="U43" i="43"/>
  <c r="V43" i="43"/>
  <c r="U43" i="70"/>
  <c r="BV15" i="71" s="1"/>
  <c r="V43" i="70"/>
  <c r="BW15" i="71" s="1"/>
  <c r="U43" i="46"/>
  <c r="V43" i="46"/>
  <c r="U43" i="40"/>
  <c r="BV15" i="42" s="1"/>
  <c r="V43" i="40"/>
  <c r="BW15" i="42" s="1"/>
  <c r="W43" i="43"/>
  <c r="X43" i="43"/>
  <c r="W43" i="70"/>
  <c r="BV16" i="71" s="1"/>
  <c r="X43" i="70"/>
  <c r="BW16" i="71" s="1"/>
  <c r="W43" i="46"/>
  <c r="X43" i="46"/>
  <c r="W42" i="55"/>
  <c r="X42" i="55"/>
  <c r="W43" i="40"/>
  <c r="BV16" i="42" s="1"/>
  <c r="X43" i="40"/>
  <c r="BW16" i="42" s="1"/>
  <c r="Y43" i="43"/>
  <c r="Z43" i="43"/>
  <c r="Y43" i="70"/>
  <c r="BV17" i="71" s="1"/>
  <c r="Z43" i="70"/>
  <c r="BW17" i="71" s="1"/>
  <c r="Y43" i="46"/>
  <c r="Z43" i="46"/>
  <c r="Y43" i="55"/>
  <c r="Z43" i="55"/>
  <c r="Y43" i="40"/>
  <c r="BV17" i="42" s="1"/>
  <c r="Z43" i="40"/>
  <c r="BW17" i="42" s="1"/>
  <c r="AB43" i="58"/>
  <c r="AA43" i="43"/>
  <c r="AB43" i="43"/>
  <c r="AA43" i="70"/>
  <c r="BV18" i="71" s="1"/>
  <c r="AB43" i="70"/>
  <c r="BW18" i="71" s="1"/>
  <c r="AA43" i="46"/>
  <c r="AB43" i="46"/>
  <c r="AA42" i="55"/>
  <c r="AB42" i="55"/>
  <c r="AA43" i="40"/>
  <c r="BV18" i="42" s="1"/>
  <c r="AB43" i="40"/>
  <c r="BW18" i="42" s="1"/>
  <c r="AC43" i="43"/>
  <c r="AD43" i="43"/>
  <c r="AC43" i="70"/>
  <c r="BV19" i="71" s="1"/>
  <c r="AD43" i="70"/>
  <c r="BW19" i="71" s="1"/>
  <c r="AC43" i="46"/>
  <c r="AD43" i="46"/>
  <c r="AC42" i="55"/>
  <c r="AD42" i="55"/>
  <c r="AC43" i="40"/>
  <c r="BV19" i="42" s="1"/>
  <c r="AD43" i="40"/>
  <c r="BW19" i="42" s="1"/>
  <c r="AE43" i="58"/>
  <c r="AF43" i="58"/>
  <c r="AE43" i="43"/>
  <c r="AF43" i="43"/>
  <c r="AF43" i="70"/>
  <c r="BW20" i="71" s="1"/>
  <c r="AE43" i="46"/>
  <c r="AF43" i="46"/>
  <c r="AE42" i="55"/>
  <c r="AF42" i="55"/>
  <c r="AE43" i="40"/>
  <c r="BV20" i="42" s="1"/>
  <c r="AF43" i="40"/>
  <c r="BW20" i="42" s="1"/>
  <c r="AG43" i="58"/>
  <c r="AH43" i="58"/>
  <c r="AG43" i="43"/>
  <c r="AH43" i="43"/>
  <c r="AG43" i="70"/>
  <c r="BV21" i="71" s="1"/>
  <c r="AH43" i="70"/>
  <c r="BW21" i="71" s="1"/>
  <c r="AG43" i="46"/>
  <c r="AH43" i="46"/>
  <c r="AG42" i="55"/>
  <c r="AH42" i="55"/>
  <c r="AG43" i="40"/>
  <c r="BV21" i="42" s="1"/>
  <c r="AH43" i="40"/>
  <c r="BW21" i="42" s="1"/>
  <c r="AI43" i="43"/>
  <c r="AJ43" i="43"/>
  <c r="AI43" i="70"/>
  <c r="BV22" i="71" s="1"/>
  <c r="AJ43" i="70"/>
  <c r="BW22" i="71" s="1"/>
  <c r="AI43" i="46"/>
  <c r="AJ43" i="46"/>
  <c r="AI42" i="55"/>
  <c r="AJ42" i="55"/>
  <c r="AI43" i="40"/>
  <c r="BV22" i="42" s="1"/>
  <c r="AJ43" i="40"/>
  <c r="BW22" i="42" s="1"/>
  <c r="AK43" i="43"/>
  <c r="AL43" i="43"/>
  <c r="AK43" i="70"/>
  <c r="BV23" i="71" s="1"/>
  <c r="AL43" i="70"/>
  <c r="BW23" i="71" s="1"/>
  <c r="AK43" i="46"/>
  <c r="AL43" i="46"/>
  <c r="AK42" i="55"/>
  <c r="AL42" i="55"/>
  <c r="AK43" i="40"/>
  <c r="BV23" i="42" s="1"/>
  <c r="AL43" i="40"/>
  <c r="BW23" i="42" s="1"/>
  <c r="AM43" i="43"/>
  <c r="AN43" i="43"/>
  <c r="AM43" i="70"/>
  <c r="BV24" i="71" s="1"/>
  <c r="AN43" i="70"/>
  <c r="BW24" i="71" s="1"/>
  <c r="AM43" i="46"/>
  <c r="AN43" i="46"/>
  <c r="AM42" i="55"/>
  <c r="AN42" i="55"/>
  <c r="AM43" i="40"/>
  <c r="BV24" i="42" s="1"/>
  <c r="AN43" i="40"/>
  <c r="BW24" i="42" s="1"/>
  <c r="BV25" i="42"/>
  <c r="BW25" i="42"/>
  <c r="AO43" i="43"/>
  <c r="AP43" i="43"/>
  <c r="AO43" i="70"/>
  <c r="BV25" i="71" s="1"/>
  <c r="AP43" i="70"/>
  <c r="BW25" i="71" s="1"/>
  <c r="AO43" i="46"/>
  <c r="AP43" i="46"/>
  <c r="AO42" i="55"/>
  <c r="AP42" i="55"/>
  <c r="AQ43" i="58"/>
  <c r="AQ43" i="43"/>
  <c r="AR43" i="43"/>
  <c r="AQ43" i="70"/>
  <c r="BV26" i="71" s="1"/>
  <c r="AR43" i="70"/>
  <c r="BW26" i="71" s="1"/>
  <c r="AQ43" i="46"/>
  <c r="AR43" i="46"/>
  <c r="AQ42" i="55"/>
  <c r="AR42" i="55"/>
  <c r="AQ43" i="40"/>
  <c r="BV26" i="42" s="1"/>
  <c r="AR43" i="40"/>
  <c r="BW26" i="42" s="1"/>
  <c r="AS43" i="58"/>
  <c r="AT43" i="58"/>
  <c r="AT43" i="43"/>
  <c r="BW27" i="44" s="1"/>
  <c r="AS43" i="70"/>
  <c r="BV27" i="71" s="1"/>
  <c r="AT43" i="70"/>
  <c r="BW27" i="71" s="1"/>
  <c r="AS43" i="46"/>
  <c r="AT43" i="46"/>
  <c r="AS42" i="55"/>
  <c r="AT42" i="55"/>
  <c r="AS43" i="40"/>
  <c r="BV27" i="42" s="1"/>
  <c r="AT43" i="40"/>
  <c r="BW27" i="42" s="1"/>
  <c r="AU43" i="43"/>
  <c r="AV43" i="43"/>
  <c r="AU43" i="70"/>
  <c r="BV28" i="71" s="1"/>
  <c r="AV43" i="70"/>
  <c r="BW28" i="71" s="1"/>
  <c r="AU43" i="46"/>
  <c r="AV43" i="46"/>
  <c r="AU42" i="55"/>
  <c r="AV42" i="55"/>
  <c r="AU43" i="40"/>
  <c r="BV28" i="42" s="1"/>
  <c r="AV43" i="40"/>
  <c r="BW28" i="42" s="1"/>
  <c r="AW43" i="43"/>
  <c r="BV29" i="44" s="1"/>
  <c r="AX43" i="43"/>
  <c r="BW29" i="44" s="1"/>
  <c r="AW43" i="70"/>
  <c r="BV29" i="71" s="1"/>
  <c r="AX43" i="70"/>
  <c r="BW29" i="71" s="1"/>
  <c r="AW43" i="46"/>
  <c r="AX43" i="46"/>
  <c r="AW43" i="40"/>
  <c r="BV29" i="42" s="1"/>
  <c r="AX43" i="40"/>
  <c r="BW29" i="42" s="1"/>
  <c r="AY43" i="43"/>
  <c r="AZ43" i="43"/>
  <c r="AY43" i="70"/>
  <c r="BV30" i="71" s="1"/>
  <c r="AZ43" i="70"/>
  <c r="BW30" i="71" s="1"/>
  <c r="AY43" i="46"/>
  <c r="AZ43" i="46"/>
  <c r="AY42" i="55"/>
  <c r="AZ42" i="55"/>
  <c r="AY43" i="40"/>
  <c r="BV30" i="42" s="1"/>
  <c r="AZ43" i="40"/>
  <c r="BW30" i="42" s="1"/>
  <c r="BA43" i="43"/>
  <c r="BB43" i="43"/>
  <c r="BA43" i="70"/>
  <c r="BV31" i="71" s="1"/>
  <c r="BB43" i="70"/>
  <c r="BW31" i="71" s="1"/>
  <c r="BA43" i="46"/>
  <c r="BB43" i="46"/>
  <c r="BA42" i="55"/>
  <c r="BB42" i="55"/>
  <c r="BA43" i="40"/>
  <c r="BV31" i="42" s="1"/>
  <c r="BB43" i="40"/>
  <c r="BW31" i="42" s="1"/>
  <c r="BD43" i="58"/>
  <c r="BC43" i="43"/>
  <c r="BD43" i="43"/>
  <c r="BC43" i="70"/>
  <c r="BV32" i="71" s="1"/>
  <c r="BD43" i="70"/>
  <c r="BW32" i="71" s="1"/>
  <c r="BC43" i="46"/>
  <c r="BD43" i="46"/>
  <c r="BC42" i="55"/>
  <c r="BD42" i="55"/>
  <c r="BC43" i="40"/>
  <c r="BV32" i="42" s="1"/>
  <c r="BD43" i="40"/>
  <c r="BW32" i="42" s="1"/>
  <c r="BE43" i="43"/>
  <c r="BF43" i="43"/>
  <c r="BE43" i="70"/>
  <c r="BV33" i="71" s="1"/>
  <c r="BF43" i="70"/>
  <c r="BW33" i="71" s="1"/>
  <c r="BE43" i="46"/>
  <c r="BF43" i="46"/>
  <c r="BE43" i="40"/>
  <c r="BV33" i="42" s="1"/>
  <c r="BF43" i="40"/>
  <c r="BW33" i="42" s="1"/>
  <c r="BG43" i="43"/>
  <c r="BH43" i="43"/>
  <c r="BG43" i="70"/>
  <c r="BV34" i="71" s="1"/>
  <c r="BH43" i="70"/>
  <c r="BW34" i="71" s="1"/>
  <c r="BG43" i="46"/>
  <c r="BH43" i="46"/>
  <c r="BG42" i="55"/>
  <c r="BH42" i="55"/>
  <c r="BG43" i="40"/>
  <c r="BV34" i="42" s="1"/>
  <c r="BH43" i="40"/>
  <c r="BW34" i="42" s="1"/>
  <c r="BI43" i="43"/>
  <c r="BJ43" i="43"/>
  <c r="BI43" i="70"/>
  <c r="BV35" i="71" s="1"/>
  <c r="BJ43" i="70"/>
  <c r="BW35" i="71" s="1"/>
  <c r="BI43" i="46"/>
  <c r="BJ43" i="46"/>
  <c r="BI42" i="55"/>
  <c r="BJ42" i="55"/>
  <c r="BI43" i="40"/>
  <c r="BV35" i="42" s="1"/>
  <c r="BJ43" i="40"/>
  <c r="BW35" i="42" s="1"/>
  <c r="BK43" i="43"/>
  <c r="BL43" i="43"/>
  <c r="BK43" i="70"/>
  <c r="BV36" i="71" s="1"/>
  <c r="BL43" i="70"/>
  <c r="BW36" i="71" s="1"/>
  <c r="BK43" i="46"/>
  <c r="BL43" i="46"/>
  <c r="BK42" i="55"/>
  <c r="BL42" i="55"/>
  <c r="BK43" i="40"/>
  <c r="BV36" i="42" s="1"/>
  <c r="BL43" i="40"/>
  <c r="BW36" i="42" s="1"/>
  <c r="BM43" i="43"/>
  <c r="BN43" i="43"/>
  <c r="BM43" i="70"/>
  <c r="BV37" i="71" s="1"/>
  <c r="BN43" i="70"/>
  <c r="BW37" i="71" s="1"/>
  <c r="BM43" i="46"/>
  <c r="BN43" i="46"/>
  <c r="BM42" i="55"/>
  <c r="BN42" i="55"/>
  <c r="BM43" i="40"/>
  <c r="BV37" i="42" s="1"/>
  <c r="BN43" i="40"/>
  <c r="BW37" i="42" s="1"/>
  <c r="BP43" i="58"/>
  <c r="BO43" i="43"/>
  <c r="BP43" i="43"/>
  <c r="BO43" i="70"/>
  <c r="BV38" i="71" s="1"/>
  <c r="BP43" i="70"/>
  <c r="BW38" i="71" s="1"/>
  <c r="BO43" i="46"/>
  <c r="BP43" i="46"/>
  <c r="BO42" i="55"/>
  <c r="BP42" i="55"/>
  <c r="BO43" i="40"/>
  <c r="BV38" i="42" s="1"/>
  <c r="BP43" i="40"/>
  <c r="BW38" i="42" s="1"/>
  <c r="BQ43" i="43"/>
  <c r="BR43" i="43"/>
  <c r="BQ43" i="70"/>
  <c r="BV39" i="71" s="1"/>
  <c r="BR43" i="70"/>
  <c r="BW39" i="71" s="1"/>
  <c r="BQ43" i="46"/>
  <c r="BR43" i="46"/>
  <c r="BQ43" i="40"/>
  <c r="BV39" i="42" s="1"/>
  <c r="BR43" i="40"/>
  <c r="BW39" i="42" s="1"/>
  <c r="BS43" i="43"/>
  <c r="BT43" i="43"/>
  <c r="BS43" i="70"/>
  <c r="BV40" i="71" s="1"/>
  <c r="BT43" i="70"/>
  <c r="BW40" i="71" s="1"/>
  <c r="BS43" i="46"/>
  <c r="BT43" i="46"/>
  <c r="BS42" i="55"/>
  <c r="BT42" i="55"/>
  <c r="BS43" i="40"/>
  <c r="BV40" i="42" s="1"/>
  <c r="BT43" i="40"/>
  <c r="BW40" i="42" s="1"/>
  <c r="BU43" i="58"/>
  <c r="BU43" i="43"/>
  <c r="BV43" i="43"/>
  <c r="BU43" i="70"/>
  <c r="BV41" i="71" s="1"/>
  <c r="BV43" i="70"/>
  <c r="BW41" i="71" s="1"/>
  <c r="BU43" i="46"/>
  <c r="BV43" i="46"/>
  <c r="BU42" i="55"/>
  <c r="BV42" i="55"/>
  <c r="BU43" i="40"/>
  <c r="BV41" i="42" s="1"/>
  <c r="BV43" i="40"/>
  <c r="BW41" i="42" s="1"/>
  <c r="BW43" i="43"/>
  <c r="BX43" i="43"/>
  <c r="BW43" i="70"/>
  <c r="BV42" i="71" s="1"/>
  <c r="BX43" i="70"/>
  <c r="BW42" i="71" s="1"/>
  <c r="BW43" i="46"/>
  <c r="BX43" i="46"/>
  <c r="BW42" i="55"/>
  <c r="BX42" i="55"/>
  <c r="BW43" i="40"/>
  <c r="BV42" i="42" s="1"/>
  <c r="BX43" i="40"/>
  <c r="BW42" i="42" s="1"/>
  <c r="BY43" i="43"/>
  <c r="BZ43" i="43"/>
  <c r="BY43" i="70"/>
  <c r="BV43" i="71" s="1"/>
  <c r="BZ43" i="70"/>
  <c r="BW43" i="71" s="1"/>
  <c r="BY43" i="46"/>
  <c r="BZ43" i="46"/>
  <c r="BY42" i="55"/>
  <c r="BZ42" i="55"/>
  <c r="BY43" i="40"/>
  <c r="BV43" i="42" s="1"/>
  <c r="BZ43" i="40"/>
  <c r="BW43" i="42" s="1"/>
  <c r="C44" i="40"/>
  <c r="BX6" i="42" s="1"/>
  <c r="D44" i="40"/>
  <c r="BY6" i="42" s="1"/>
  <c r="E44" i="58"/>
  <c r="BX7" i="57" s="1"/>
  <c r="E44" i="43"/>
  <c r="BH7" i="44" s="1"/>
  <c r="Q11" i="45" s="1"/>
  <c r="F44" i="43"/>
  <c r="BI7" i="44" s="1"/>
  <c r="Q59" i="45" s="1"/>
  <c r="E44" i="70"/>
  <c r="BX7" i="71" s="1"/>
  <c r="F44" i="70"/>
  <c r="BY7" i="71" s="1"/>
  <c r="E44" i="46"/>
  <c r="E44" i="55"/>
  <c r="H44" i="70"/>
  <c r="BY8" i="71" s="1"/>
  <c r="H44" i="46"/>
  <c r="H44" i="55"/>
  <c r="BY9" i="42"/>
  <c r="I44" i="43"/>
  <c r="J44" i="43"/>
  <c r="I44" i="70"/>
  <c r="BX9" i="71" s="1"/>
  <c r="J44" i="70"/>
  <c r="BY9" i="71" s="1"/>
  <c r="I44" i="46"/>
  <c r="J44" i="46"/>
  <c r="J43" i="55"/>
  <c r="K44" i="43"/>
  <c r="L44" i="43"/>
  <c r="K44" i="70"/>
  <c r="BX10" i="71" s="1"/>
  <c r="L44" i="70"/>
  <c r="BY10" i="71" s="1"/>
  <c r="K44" i="46"/>
  <c r="L44" i="46"/>
  <c r="K43" i="55"/>
  <c r="L43" i="55"/>
  <c r="K44" i="40"/>
  <c r="BX10" i="42" s="1"/>
  <c r="L44" i="40"/>
  <c r="BY10" i="42" s="1"/>
  <c r="M44" i="43"/>
  <c r="BX11" i="44" s="1"/>
  <c r="N44" i="43"/>
  <c r="BY11" i="44" s="1"/>
  <c r="M44" i="70"/>
  <c r="BX11" i="71" s="1"/>
  <c r="N44" i="70"/>
  <c r="BY11" i="71" s="1"/>
  <c r="M44" i="46"/>
  <c r="N44" i="46"/>
  <c r="M43" i="55"/>
  <c r="N43" i="55"/>
  <c r="M44" i="40"/>
  <c r="BX11" i="42" s="1"/>
  <c r="N44" i="40"/>
  <c r="BY11" i="42" s="1"/>
  <c r="O44" i="58"/>
  <c r="P44" i="58"/>
  <c r="O44" i="43"/>
  <c r="P44" i="43"/>
  <c r="O44" i="70"/>
  <c r="BX12" i="71" s="1"/>
  <c r="P44" i="70"/>
  <c r="O44" i="46"/>
  <c r="P44" i="46"/>
  <c r="O43" i="55"/>
  <c r="P43" i="55"/>
  <c r="O44" i="40"/>
  <c r="BX12" i="42" s="1"/>
  <c r="P44" i="40"/>
  <c r="BY12" i="42" s="1"/>
  <c r="Q44" i="58"/>
  <c r="R44" i="58"/>
  <c r="R44" i="43"/>
  <c r="Q44" i="70"/>
  <c r="BX13" i="71" s="1"/>
  <c r="R44" i="70"/>
  <c r="Q44" i="46"/>
  <c r="R44" i="46"/>
  <c r="Q43" i="55"/>
  <c r="R43" i="55"/>
  <c r="Q44" i="40"/>
  <c r="BX13" i="42" s="1"/>
  <c r="R44" i="40"/>
  <c r="BY13" i="42" s="1"/>
  <c r="T44" i="58"/>
  <c r="S44" i="43"/>
  <c r="T44" i="43"/>
  <c r="S44" i="70"/>
  <c r="BX14" i="71" s="1"/>
  <c r="T44" i="70"/>
  <c r="BY14" i="71" s="1"/>
  <c r="S44" i="46"/>
  <c r="T44" i="46"/>
  <c r="S43" i="55"/>
  <c r="T43" i="55"/>
  <c r="S44" i="40"/>
  <c r="BX14" i="42" s="1"/>
  <c r="T44" i="40"/>
  <c r="BY14" i="42" s="1"/>
  <c r="U44" i="43"/>
  <c r="V44" i="43"/>
  <c r="U44" i="70"/>
  <c r="BX15" i="71" s="1"/>
  <c r="V44" i="70"/>
  <c r="BY15" i="71" s="1"/>
  <c r="U44" i="46"/>
  <c r="V44" i="46"/>
  <c r="U44" i="40"/>
  <c r="BX15" i="42" s="1"/>
  <c r="V44" i="40"/>
  <c r="BY15" i="42" s="1"/>
  <c r="W44" i="43"/>
  <c r="X44" i="43"/>
  <c r="W44" i="70"/>
  <c r="BX16" i="71" s="1"/>
  <c r="X44" i="70"/>
  <c r="BY16" i="71" s="1"/>
  <c r="W44" i="46"/>
  <c r="X44" i="46"/>
  <c r="W43" i="55"/>
  <c r="X43" i="55"/>
  <c r="W44" i="40"/>
  <c r="BX16" i="42" s="1"/>
  <c r="X44" i="40"/>
  <c r="BY16" i="42" s="1"/>
  <c r="Y44" i="43"/>
  <c r="Z44" i="43"/>
  <c r="Y44" i="70"/>
  <c r="BX17" i="71" s="1"/>
  <c r="Z44" i="70"/>
  <c r="BY17" i="71" s="1"/>
  <c r="Y44" i="46"/>
  <c r="Z44" i="46"/>
  <c r="Y44" i="55"/>
  <c r="Z44" i="55"/>
  <c r="Y44" i="40"/>
  <c r="BX17" i="42" s="1"/>
  <c r="Z44" i="40"/>
  <c r="BY17" i="42" s="1"/>
  <c r="AA44" i="58"/>
  <c r="AB44" i="58"/>
  <c r="AA44" i="43"/>
  <c r="AB44" i="43"/>
  <c r="AA44" i="70"/>
  <c r="BX18" i="71" s="1"/>
  <c r="AB44" i="70"/>
  <c r="BY18" i="71" s="1"/>
  <c r="AA44" i="46"/>
  <c r="AB44" i="46"/>
  <c r="AA43" i="55"/>
  <c r="AB43" i="55"/>
  <c r="AA44" i="40"/>
  <c r="BX18" i="42" s="1"/>
  <c r="AB44" i="40"/>
  <c r="BY18" i="42" s="1"/>
  <c r="AD44" i="58"/>
  <c r="AC44" i="43"/>
  <c r="AD44" i="43"/>
  <c r="AC44" i="70"/>
  <c r="BX19" i="71" s="1"/>
  <c r="AD44" i="70"/>
  <c r="BY19" i="71" s="1"/>
  <c r="AC44" i="46"/>
  <c r="AD44" i="46"/>
  <c r="AC43" i="55"/>
  <c r="AD43" i="55"/>
  <c r="AC44" i="40"/>
  <c r="BX19" i="42" s="1"/>
  <c r="AD44" i="40"/>
  <c r="BY19" i="42" s="1"/>
  <c r="AE44" i="43"/>
  <c r="AF44" i="43"/>
  <c r="AE44" i="70"/>
  <c r="BX20" i="71" s="1"/>
  <c r="AF44" i="70"/>
  <c r="BY20" i="71" s="1"/>
  <c r="AE44" i="46"/>
  <c r="AF44" i="46"/>
  <c r="AE43" i="55"/>
  <c r="AF43" i="55"/>
  <c r="AE44" i="40"/>
  <c r="BX20" i="42" s="1"/>
  <c r="AF44" i="40"/>
  <c r="BY20" i="42" s="1"/>
  <c r="AG44" i="58"/>
  <c r="AG44" i="43"/>
  <c r="AH44" i="43"/>
  <c r="AG44" i="70"/>
  <c r="BX21" i="71" s="1"/>
  <c r="AH44" i="70"/>
  <c r="BY21" i="71" s="1"/>
  <c r="AG44" i="46"/>
  <c r="AH44" i="46"/>
  <c r="AG43" i="55"/>
  <c r="AH43" i="55"/>
  <c r="AG44" i="40"/>
  <c r="BX21" i="42" s="1"/>
  <c r="AH44" i="40"/>
  <c r="BY21" i="42" s="1"/>
  <c r="AI44" i="43"/>
  <c r="AJ44" i="43"/>
  <c r="AI44" i="70"/>
  <c r="BX22" i="71" s="1"/>
  <c r="AJ44" i="70"/>
  <c r="BY22" i="71" s="1"/>
  <c r="AI44" i="46"/>
  <c r="AJ44" i="46"/>
  <c r="AI43" i="55"/>
  <c r="AJ43" i="55"/>
  <c r="AI44" i="40"/>
  <c r="BX22" i="42" s="1"/>
  <c r="AJ44" i="40"/>
  <c r="BY22" i="42" s="1"/>
  <c r="AK44" i="43"/>
  <c r="AL44" i="43"/>
  <c r="AK44" i="70"/>
  <c r="BX23" i="71" s="1"/>
  <c r="AL44" i="70"/>
  <c r="BY23" i="71" s="1"/>
  <c r="AK44" i="46"/>
  <c r="AL44" i="46"/>
  <c r="AK43" i="55"/>
  <c r="AL43" i="55"/>
  <c r="AK44" i="40"/>
  <c r="BX23" i="42" s="1"/>
  <c r="AL44" i="40"/>
  <c r="BY23" i="42" s="1"/>
  <c r="AM44" i="43"/>
  <c r="AN44" i="43"/>
  <c r="AM44" i="70"/>
  <c r="BX24" i="71" s="1"/>
  <c r="AN44" i="70"/>
  <c r="BY24" i="71" s="1"/>
  <c r="AM44" i="46"/>
  <c r="AN44" i="46"/>
  <c r="AM43" i="55"/>
  <c r="AN43" i="55"/>
  <c r="AM44" i="40"/>
  <c r="BX24" i="42" s="1"/>
  <c r="AN44" i="40"/>
  <c r="BY24" i="42" s="1"/>
  <c r="BY25" i="42"/>
  <c r="AO44" i="43"/>
  <c r="AP44" i="43"/>
  <c r="AO44" i="70"/>
  <c r="BX25" i="71" s="1"/>
  <c r="AP44" i="70"/>
  <c r="BY25" i="71" s="1"/>
  <c r="AO44" i="46"/>
  <c r="AP44" i="46"/>
  <c r="AO43" i="55"/>
  <c r="AP43" i="55"/>
  <c r="AQ44" i="43"/>
  <c r="AR44" i="43"/>
  <c r="AQ44" i="70"/>
  <c r="BX26" i="71" s="1"/>
  <c r="AR44" i="70"/>
  <c r="BY26" i="71" s="1"/>
  <c r="AQ44" i="46"/>
  <c r="AR44" i="46"/>
  <c r="AQ43" i="55"/>
  <c r="AR43" i="55"/>
  <c r="AQ44" i="40"/>
  <c r="BX26" i="42" s="1"/>
  <c r="AR44" i="40"/>
  <c r="BY26" i="42" s="1"/>
  <c r="AS44" i="43"/>
  <c r="BX27" i="44" s="1"/>
  <c r="AT44" i="43"/>
  <c r="BY27" i="44" s="1"/>
  <c r="AS44" i="70"/>
  <c r="BX27" i="71" s="1"/>
  <c r="AT44" i="70"/>
  <c r="BY27" i="71" s="1"/>
  <c r="AS44" i="46"/>
  <c r="AT44" i="46"/>
  <c r="AS43" i="55"/>
  <c r="AT43" i="55"/>
  <c r="AS44" i="40"/>
  <c r="BX27" i="42" s="1"/>
  <c r="AT44" i="40"/>
  <c r="BY27" i="42" s="1"/>
  <c r="AU44" i="43"/>
  <c r="AV44" i="43"/>
  <c r="AU44" i="70"/>
  <c r="BX28" i="71" s="1"/>
  <c r="AV44" i="70"/>
  <c r="BY28" i="71" s="1"/>
  <c r="AU44" i="46"/>
  <c r="AV44" i="46"/>
  <c r="AU43" i="55"/>
  <c r="AV43" i="55"/>
  <c r="AU44" i="40"/>
  <c r="BX28" i="42" s="1"/>
  <c r="AV44" i="40"/>
  <c r="BY28" i="42" s="1"/>
  <c r="AW44" i="43"/>
  <c r="AX44" i="43"/>
  <c r="AW44" i="70"/>
  <c r="BX29" i="71" s="1"/>
  <c r="AX44" i="70"/>
  <c r="BY29" i="71" s="1"/>
  <c r="AW44" i="46"/>
  <c r="AX44" i="46"/>
  <c r="AW44" i="40"/>
  <c r="BX29" i="42" s="1"/>
  <c r="AX44" i="40"/>
  <c r="BY29" i="42" s="1"/>
  <c r="AY44" i="58"/>
  <c r="AZ44" i="58"/>
  <c r="AY44" i="43"/>
  <c r="AZ44" i="43"/>
  <c r="AZ44" i="70"/>
  <c r="BY30" i="71" s="1"/>
  <c r="AY44" i="46"/>
  <c r="AZ44" i="46"/>
  <c r="AY43" i="55"/>
  <c r="AZ43" i="55"/>
  <c r="AY44" i="40"/>
  <c r="BX30" i="42" s="1"/>
  <c r="AZ44" i="40"/>
  <c r="BY30" i="42" s="1"/>
  <c r="BA44" i="43"/>
  <c r="BB44" i="43"/>
  <c r="BA44" i="70"/>
  <c r="BX31" i="71" s="1"/>
  <c r="BB44" i="70"/>
  <c r="BY31" i="71" s="1"/>
  <c r="BA44" i="46"/>
  <c r="BB44" i="46"/>
  <c r="BA43" i="55"/>
  <c r="BB43" i="55"/>
  <c r="BA44" i="40"/>
  <c r="BX31" i="42" s="1"/>
  <c r="BB44" i="40"/>
  <c r="BY31" i="42" s="1"/>
  <c r="BC44" i="43"/>
  <c r="BD44" i="43"/>
  <c r="BC44" i="70"/>
  <c r="BX32" i="71" s="1"/>
  <c r="BD44" i="70"/>
  <c r="BY32" i="71" s="1"/>
  <c r="BC44" i="46"/>
  <c r="BD44" i="46"/>
  <c r="BC43" i="55"/>
  <c r="BD43" i="55"/>
  <c r="BC44" i="40"/>
  <c r="BX32" i="42" s="1"/>
  <c r="BD44" i="40"/>
  <c r="BY32" i="42" s="1"/>
  <c r="BF44" i="58"/>
  <c r="BE44" i="43"/>
  <c r="BF44" i="43"/>
  <c r="BE44" i="70"/>
  <c r="BX33" i="71" s="1"/>
  <c r="BF44" i="70"/>
  <c r="BY33" i="71" s="1"/>
  <c r="BE44" i="46"/>
  <c r="BF44" i="46"/>
  <c r="BE44" i="40"/>
  <c r="BX33" i="42" s="1"/>
  <c r="BF44" i="40"/>
  <c r="BY33" i="42" s="1"/>
  <c r="BG44" i="43"/>
  <c r="BH44" i="43"/>
  <c r="BG44" i="70"/>
  <c r="BX34" i="71" s="1"/>
  <c r="BH44" i="70"/>
  <c r="BY34" i="71" s="1"/>
  <c r="BG44" i="46"/>
  <c r="BH44" i="46"/>
  <c r="BG43" i="55"/>
  <c r="BH43" i="55"/>
  <c r="BG44" i="40"/>
  <c r="BX34" i="42" s="1"/>
  <c r="BH44" i="40"/>
  <c r="BY34" i="42" s="1"/>
  <c r="BI44" i="43"/>
  <c r="BJ44" i="43"/>
  <c r="BI44" i="70"/>
  <c r="BX35" i="71" s="1"/>
  <c r="BJ44" i="70"/>
  <c r="BY35" i="71" s="1"/>
  <c r="BI44" i="46"/>
  <c r="BJ44" i="46"/>
  <c r="BI43" i="55"/>
  <c r="BJ43" i="55"/>
  <c r="BI44" i="40"/>
  <c r="BX35" i="42" s="1"/>
  <c r="BJ44" i="40"/>
  <c r="BY35" i="42" s="1"/>
  <c r="BK44" i="58"/>
  <c r="BK44" i="43"/>
  <c r="BL44" i="43"/>
  <c r="BK44" i="70"/>
  <c r="BX36" i="71" s="1"/>
  <c r="BL44" i="70"/>
  <c r="BY36" i="71" s="1"/>
  <c r="BK44" i="46"/>
  <c r="BL44" i="46"/>
  <c r="BK43" i="55"/>
  <c r="BL43" i="55"/>
  <c r="BK44" i="40"/>
  <c r="BX36" i="42" s="1"/>
  <c r="BL44" i="40"/>
  <c r="BY36" i="42" s="1"/>
  <c r="BM44" i="43"/>
  <c r="BN44" i="43"/>
  <c r="BM44" i="70"/>
  <c r="BX37" i="71" s="1"/>
  <c r="BN44" i="70"/>
  <c r="BY37" i="71" s="1"/>
  <c r="BM44" i="46"/>
  <c r="BN44" i="46"/>
  <c r="BM43" i="55"/>
  <c r="BN43" i="55"/>
  <c r="BM44" i="40"/>
  <c r="BX37" i="42" s="1"/>
  <c r="BN44" i="40"/>
  <c r="BY37" i="42" s="1"/>
  <c r="BO44" i="43"/>
  <c r="BP44" i="43"/>
  <c r="BO44" i="70"/>
  <c r="BX38" i="71" s="1"/>
  <c r="BP44" i="70"/>
  <c r="BY38" i="71" s="1"/>
  <c r="BO44" i="46"/>
  <c r="BP44" i="46"/>
  <c r="BO43" i="55"/>
  <c r="BP43" i="55"/>
  <c r="BO44" i="40"/>
  <c r="BX38" i="42" s="1"/>
  <c r="BP44" i="40"/>
  <c r="BY38" i="42" s="1"/>
  <c r="BQ44" i="43"/>
  <c r="BR44" i="43"/>
  <c r="BQ44" i="70"/>
  <c r="BX39" i="71" s="1"/>
  <c r="BR44" i="70"/>
  <c r="BY39" i="71" s="1"/>
  <c r="BQ44" i="46"/>
  <c r="BR44" i="46"/>
  <c r="BQ44" i="40"/>
  <c r="BX39" i="42" s="1"/>
  <c r="BR44" i="40"/>
  <c r="BY39" i="42" s="1"/>
  <c r="BS44" i="43"/>
  <c r="BT44" i="43"/>
  <c r="BS44" i="70"/>
  <c r="BX40" i="71" s="1"/>
  <c r="BT44" i="70"/>
  <c r="BY40" i="71" s="1"/>
  <c r="BS44" i="46"/>
  <c r="BT44" i="46"/>
  <c r="BS43" i="55"/>
  <c r="BT43" i="55"/>
  <c r="BS44" i="40"/>
  <c r="BX40" i="42" s="1"/>
  <c r="BT44" i="40"/>
  <c r="BY40" i="42" s="1"/>
  <c r="BU44" i="43"/>
  <c r="BV44" i="43"/>
  <c r="BU44" i="70"/>
  <c r="BX41" i="71" s="1"/>
  <c r="BV44" i="70"/>
  <c r="BY41" i="71" s="1"/>
  <c r="BU44" i="46"/>
  <c r="BV44" i="46"/>
  <c r="BU43" i="55"/>
  <c r="BV43" i="55"/>
  <c r="BU44" i="40"/>
  <c r="BX41" i="42" s="1"/>
  <c r="BV44" i="40"/>
  <c r="BY41" i="42" s="1"/>
  <c r="BW44" i="58"/>
  <c r="BX44" i="58"/>
  <c r="BW44" i="43"/>
  <c r="BX44" i="43"/>
  <c r="BW44" i="70"/>
  <c r="BX42" i="71" s="1"/>
  <c r="BX44" i="70"/>
  <c r="BY42" i="71" s="1"/>
  <c r="BW44" i="46"/>
  <c r="BX44" i="46"/>
  <c r="BW43" i="55"/>
  <c r="BX43" i="55"/>
  <c r="BW44" i="40"/>
  <c r="BX42" i="42" s="1"/>
  <c r="BX44" i="40"/>
  <c r="BY42" i="42" s="1"/>
  <c r="BY44" i="58"/>
  <c r="BY44" i="43"/>
  <c r="BZ44" i="43"/>
  <c r="BY44" i="70"/>
  <c r="BX43" i="71" s="1"/>
  <c r="BZ44" i="70"/>
  <c r="BY43" i="71" s="1"/>
  <c r="BY44" i="46"/>
  <c r="BZ44" i="46"/>
  <c r="BY43" i="55"/>
  <c r="BZ43" i="55"/>
  <c r="BY44" i="40"/>
  <c r="BX43" i="42" s="1"/>
  <c r="BZ44" i="40"/>
  <c r="BY43" i="42" s="1"/>
  <c r="B512" i="2"/>
  <c r="B513" i="2"/>
  <c r="B514" i="2"/>
  <c r="B515" i="2"/>
  <c r="B516" i="2"/>
  <c r="B517" i="2"/>
  <c r="B518" i="2"/>
  <c r="B519" i="2"/>
  <c r="B520" i="2"/>
  <c r="B521" i="2"/>
  <c r="B79" i="2"/>
  <c r="B80" i="2"/>
  <c r="B81" i="2"/>
  <c r="B82" i="2"/>
  <c r="B83" i="2"/>
  <c r="B84" i="2"/>
  <c r="B85" i="2"/>
  <c r="B86" i="2"/>
  <c r="B87" i="2"/>
  <c r="B88" i="2"/>
  <c r="WY459" i="2"/>
  <c r="WX459" i="2"/>
  <c r="WW459" i="2"/>
  <c r="WV459" i="2"/>
  <c r="WU459" i="2"/>
  <c r="WT459" i="2"/>
  <c r="WS459" i="2"/>
  <c r="WR459" i="2"/>
  <c r="WQ459" i="2"/>
  <c r="WP459" i="2"/>
  <c r="WO459" i="2"/>
  <c r="WN459" i="2"/>
  <c r="WY421" i="2"/>
  <c r="WX421" i="2"/>
  <c r="WW421" i="2"/>
  <c r="WV421" i="2"/>
  <c r="WU421" i="2"/>
  <c r="WT421" i="2"/>
  <c r="WS421" i="2"/>
  <c r="WR421" i="2"/>
  <c r="WQ421" i="2"/>
  <c r="WP421" i="2"/>
  <c r="WO421" i="2"/>
  <c r="WN421" i="2"/>
  <c r="WY383" i="2"/>
  <c r="WX383" i="2"/>
  <c r="WW383" i="2"/>
  <c r="WV383" i="2"/>
  <c r="WU383" i="2"/>
  <c r="WT383" i="2"/>
  <c r="WS383" i="2"/>
  <c r="WR383" i="2"/>
  <c r="WQ383" i="2"/>
  <c r="WP383" i="2"/>
  <c r="WO383" i="2"/>
  <c r="WN383" i="2"/>
  <c r="WY345" i="2"/>
  <c r="WX345" i="2"/>
  <c r="WW345" i="2"/>
  <c r="WV345" i="2"/>
  <c r="WU345" i="2"/>
  <c r="WT345" i="2"/>
  <c r="WS345" i="2"/>
  <c r="WQ345" i="2"/>
  <c r="WP345" i="2"/>
  <c r="WO345" i="2"/>
  <c r="WN345" i="2"/>
  <c r="WY307" i="2"/>
  <c r="WX307" i="2"/>
  <c r="WW307" i="2"/>
  <c r="WV307" i="2"/>
  <c r="WU307" i="2"/>
  <c r="WT307" i="2"/>
  <c r="WS307" i="2"/>
  <c r="WR307" i="2"/>
  <c r="WQ307" i="2"/>
  <c r="WP307" i="2"/>
  <c r="WO307" i="2"/>
  <c r="WN307" i="2"/>
  <c r="WY269" i="2"/>
  <c r="WX269" i="2"/>
  <c r="WW269" i="2"/>
  <c r="WV269" i="2"/>
  <c r="WU269" i="2"/>
  <c r="WT269" i="2"/>
  <c r="WS269" i="2"/>
  <c r="WR269" i="2"/>
  <c r="WQ269" i="2"/>
  <c r="WP269" i="2"/>
  <c r="WO269" i="2"/>
  <c r="WN269" i="2"/>
  <c r="WY231" i="2"/>
  <c r="WX231" i="2"/>
  <c r="WW231" i="2"/>
  <c r="WV231" i="2"/>
  <c r="WU231" i="2"/>
  <c r="WT231" i="2"/>
  <c r="WS231" i="2"/>
  <c r="WR231" i="2"/>
  <c r="WQ231" i="2"/>
  <c r="WP231" i="2"/>
  <c r="WO231" i="2"/>
  <c r="WN231" i="2"/>
  <c r="WY193" i="2"/>
  <c r="WX193" i="2"/>
  <c r="WW193" i="2"/>
  <c r="WV193" i="2"/>
  <c r="WU193" i="2"/>
  <c r="WT193" i="2"/>
  <c r="WS193" i="2"/>
  <c r="WR193" i="2"/>
  <c r="WQ193" i="2"/>
  <c r="WP193" i="2"/>
  <c r="WO193" i="2"/>
  <c r="WN193" i="2"/>
  <c r="WY155" i="2"/>
  <c r="WX155" i="2"/>
  <c r="WW155" i="2"/>
  <c r="WV155" i="2"/>
  <c r="WU155" i="2"/>
  <c r="WT155" i="2"/>
  <c r="WS155" i="2"/>
  <c r="WR155" i="2"/>
  <c r="WQ155" i="2"/>
  <c r="WP155" i="2"/>
  <c r="WO155" i="2"/>
  <c r="WN155" i="2"/>
  <c r="WY117" i="2"/>
  <c r="WX117" i="2"/>
  <c r="WW117" i="2"/>
  <c r="WV117" i="2"/>
  <c r="WU117" i="2"/>
  <c r="WT117" i="2"/>
  <c r="WS117" i="2"/>
  <c r="WR117" i="2"/>
  <c r="WQ117" i="2"/>
  <c r="WP117" i="2"/>
  <c r="WO117" i="2"/>
  <c r="WN117" i="2"/>
  <c r="WY79" i="2"/>
  <c r="WX79" i="2"/>
  <c r="WW79" i="2"/>
  <c r="WV79" i="2"/>
  <c r="WU79" i="2"/>
  <c r="WT79" i="2"/>
  <c r="WS79" i="2"/>
  <c r="WR79" i="2"/>
  <c r="WQ79" i="2"/>
  <c r="WP79" i="2"/>
  <c r="B9" i="46"/>
  <c r="B10" i="46"/>
  <c r="B11" i="46"/>
  <c r="B12" i="46"/>
  <c r="B13" i="46"/>
  <c r="B14" i="46"/>
  <c r="B15" i="46"/>
  <c r="B16" i="46"/>
  <c r="B17" i="46"/>
  <c r="B18" i="46"/>
  <c r="B19" i="46"/>
  <c r="B20" i="46"/>
  <c r="B21" i="46"/>
  <c r="B22" i="46"/>
  <c r="B23" i="46"/>
  <c r="B24" i="46"/>
  <c r="B25" i="46"/>
  <c r="B26" i="46"/>
  <c r="B27" i="46"/>
  <c r="B28" i="46"/>
  <c r="B29" i="46"/>
  <c r="B30" i="46"/>
  <c r="B31" i="46"/>
  <c r="B32" i="46"/>
  <c r="B33" i="46"/>
  <c r="B34" i="46"/>
  <c r="B8" i="46"/>
  <c r="B8" i="43"/>
  <c r="B9" i="43"/>
  <c r="B10" i="43"/>
  <c r="B11" i="43"/>
  <c r="B12" i="43"/>
  <c r="B13" i="43"/>
  <c r="B14" i="43"/>
  <c r="B15" i="43"/>
  <c r="B16" i="43"/>
  <c r="B17" i="43"/>
  <c r="B18" i="43"/>
  <c r="B19" i="43"/>
  <c r="B20" i="43"/>
  <c r="B21" i="43"/>
  <c r="B22" i="43"/>
  <c r="B23" i="43"/>
  <c r="B24" i="43"/>
  <c r="B25" i="43"/>
  <c r="B26" i="43"/>
  <c r="B27" i="43"/>
  <c r="B28" i="43"/>
  <c r="B29" i="43"/>
  <c r="B30" i="43"/>
  <c r="B31" i="43"/>
  <c r="B32" i="43"/>
  <c r="B33" i="43"/>
  <c r="B34" i="43"/>
  <c r="B9" i="58"/>
  <c r="B10" i="58"/>
  <c r="B11" i="58"/>
  <c r="B12" i="58"/>
  <c r="B13" i="58"/>
  <c r="B14" i="58"/>
  <c r="B15" i="58"/>
  <c r="B16" i="58"/>
  <c r="B17" i="58"/>
  <c r="B18" i="58"/>
  <c r="B19" i="58"/>
  <c r="B20" i="58"/>
  <c r="B21" i="58"/>
  <c r="B22" i="58"/>
  <c r="B23" i="58"/>
  <c r="B24" i="58"/>
  <c r="B25" i="58"/>
  <c r="B26" i="58"/>
  <c r="B27" i="58"/>
  <c r="B28" i="58"/>
  <c r="B29" i="58"/>
  <c r="B30" i="58"/>
  <c r="B31" i="58"/>
  <c r="B32" i="58"/>
  <c r="B33" i="58"/>
  <c r="B34" i="58"/>
  <c r="B8" i="58"/>
  <c r="X95" i="67"/>
  <c r="X94" i="67"/>
  <c r="X93" i="67"/>
  <c r="X92" i="67"/>
  <c r="X91" i="67"/>
  <c r="X90" i="67"/>
  <c r="X89" i="67"/>
  <c r="X88" i="67"/>
  <c r="X87" i="67"/>
  <c r="X86" i="67"/>
  <c r="X85" i="67"/>
  <c r="X84" i="67"/>
  <c r="X83" i="67"/>
  <c r="X82" i="67"/>
  <c r="X81" i="67"/>
  <c r="X80" i="67"/>
  <c r="X79" i="67"/>
  <c r="X78" i="67"/>
  <c r="X77" i="67"/>
  <c r="X76" i="67"/>
  <c r="X75" i="67"/>
  <c r="X74" i="67"/>
  <c r="X73" i="67"/>
  <c r="X72" i="67"/>
  <c r="X71" i="67"/>
  <c r="X70" i="67"/>
  <c r="X69" i="67"/>
  <c r="X68" i="67"/>
  <c r="X67" i="67"/>
  <c r="X66" i="67"/>
  <c r="X65" i="67"/>
  <c r="X64" i="67"/>
  <c r="X63" i="67"/>
  <c r="X62" i="67"/>
  <c r="X61" i="67"/>
  <c r="X60" i="67"/>
  <c r="X59" i="67"/>
  <c r="X58" i="67"/>
  <c r="AB57" i="67"/>
  <c r="AA57" i="67"/>
  <c r="Z57" i="67"/>
  <c r="Y57" i="67"/>
  <c r="R17" i="49" l="1"/>
  <c r="BJ5" i="47"/>
  <c r="D59" i="45"/>
  <c r="D58" i="45"/>
  <c r="K59" i="45"/>
  <c r="U11" i="45"/>
  <c r="U59" i="45"/>
  <c r="U10" i="45"/>
  <c r="U58" i="45"/>
  <c r="BK5" i="47"/>
  <c r="D11" i="45"/>
  <c r="XH84" i="2"/>
  <c r="G43" i="46"/>
  <c r="G20" i="55"/>
  <c r="G42" i="55"/>
  <c r="G44" i="55"/>
  <c r="G43" i="43"/>
  <c r="G42" i="46"/>
  <c r="G41" i="55"/>
  <c r="G40" i="43"/>
  <c r="G39" i="46"/>
  <c r="G38" i="55"/>
  <c r="G37" i="43"/>
  <c r="G36" i="46"/>
  <c r="G35" i="55"/>
  <c r="G34" i="55"/>
  <c r="G33" i="55"/>
  <c r="G32" i="55"/>
  <c r="G31" i="55"/>
  <c r="G30" i="55"/>
  <c r="G29" i="55"/>
  <c r="G28" i="55"/>
  <c r="G27" i="55"/>
  <c r="G26" i="55"/>
  <c r="G25" i="55"/>
  <c r="G24" i="55"/>
  <c r="G23" i="55"/>
  <c r="G21" i="50"/>
  <c r="CB21" i="50" s="1"/>
  <c r="G19" i="46"/>
  <c r="G18" i="46"/>
  <c r="G17" i="46"/>
  <c r="G16" i="46"/>
  <c r="G15" i="46"/>
  <c r="G14" i="46"/>
  <c r="G13" i="46"/>
  <c r="G12" i="46"/>
  <c r="G11" i="46"/>
  <c r="G10" i="46"/>
  <c r="G9" i="46"/>
  <c r="G22" i="55"/>
  <c r="G20" i="50"/>
  <c r="CB20" i="50" s="1"/>
  <c r="BV9" i="42"/>
  <c r="G42" i="70"/>
  <c r="BT8" i="71" s="1"/>
  <c r="BP9" i="42"/>
  <c r="M13" i="41" s="1"/>
  <c r="G40" i="58"/>
  <c r="G39" i="70"/>
  <c r="BN8" i="71" s="1"/>
  <c r="BJ9" i="42"/>
  <c r="P13" i="41" s="1"/>
  <c r="G36" i="70"/>
  <c r="BH8" i="71" s="1"/>
  <c r="G35" i="50"/>
  <c r="CB35" i="50" s="1"/>
  <c r="G34" i="50"/>
  <c r="CB34" i="50" s="1"/>
  <c r="G33" i="50"/>
  <c r="CB33" i="50" s="1"/>
  <c r="G32" i="50"/>
  <c r="CB32" i="50" s="1"/>
  <c r="G31" i="50"/>
  <c r="CB31" i="50" s="1"/>
  <c r="G30" i="50"/>
  <c r="CB30" i="50" s="1"/>
  <c r="G29" i="50"/>
  <c r="CB29" i="50" s="1"/>
  <c r="G28" i="50"/>
  <c r="CB28" i="50" s="1"/>
  <c r="G27" i="50"/>
  <c r="CB27" i="50" s="1"/>
  <c r="G26" i="50"/>
  <c r="CB26" i="50" s="1"/>
  <c r="G25" i="50"/>
  <c r="CB25" i="50" s="1"/>
  <c r="G24" i="50"/>
  <c r="CB24" i="50" s="1"/>
  <c r="G23" i="50"/>
  <c r="CB23" i="50" s="1"/>
  <c r="G21" i="46"/>
  <c r="G20" i="46"/>
  <c r="G19" i="70"/>
  <c r="Z8" i="71" s="1"/>
  <c r="Z5" i="71" s="1"/>
  <c r="G18" i="70"/>
  <c r="X8" i="71" s="1"/>
  <c r="X5" i="71" s="1"/>
  <c r="G17" i="70"/>
  <c r="V8" i="71" s="1"/>
  <c r="V5" i="71" s="1"/>
  <c r="G16" i="70"/>
  <c r="T8" i="71" s="1"/>
  <c r="T5" i="71" s="1"/>
  <c r="G15" i="70"/>
  <c r="R8" i="71" s="1"/>
  <c r="R5" i="71" s="1"/>
  <c r="G14" i="70"/>
  <c r="P8" i="71" s="1"/>
  <c r="G13" i="70"/>
  <c r="N8" i="71" s="1"/>
  <c r="G12" i="70"/>
  <c r="L8" i="71" s="1"/>
  <c r="G11" i="70"/>
  <c r="J8" i="71" s="1"/>
  <c r="G10" i="70"/>
  <c r="CB10" i="70" s="1"/>
  <c r="G9" i="70"/>
  <c r="F8" i="71" s="1"/>
  <c r="F5" i="71" s="1"/>
  <c r="G44" i="46"/>
  <c r="G43" i="55"/>
  <c r="G42" i="43"/>
  <c r="G41" i="46"/>
  <c r="G40" i="55"/>
  <c r="G39" i="43"/>
  <c r="G38" i="46"/>
  <c r="G37" i="55"/>
  <c r="G36" i="43"/>
  <c r="G35" i="46"/>
  <c r="G34" i="46"/>
  <c r="G33" i="46"/>
  <c r="G32" i="46"/>
  <c r="G31" i="46"/>
  <c r="G30" i="46"/>
  <c r="G29" i="46"/>
  <c r="G28" i="46"/>
  <c r="G27" i="46"/>
  <c r="G26" i="46"/>
  <c r="G25" i="46"/>
  <c r="G24" i="46"/>
  <c r="G23" i="46"/>
  <c r="G22" i="46"/>
  <c r="G21" i="70"/>
  <c r="AD8" i="71" s="1"/>
  <c r="AD5" i="71" s="1"/>
  <c r="G20" i="70"/>
  <c r="AB8" i="71" s="1"/>
  <c r="G19" i="43"/>
  <c r="G18" i="43"/>
  <c r="G17" i="43"/>
  <c r="G16" i="43"/>
  <c r="CB16" i="43" s="1"/>
  <c r="G15" i="43"/>
  <c r="G14" i="43"/>
  <c r="CB14" i="43" s="1"/>
  <c r="G13" i="43"/>
  <c r="G12" i="43"/>
  <c r="G11" i="43"/>
  <c r="G9" i="43"/>
  <c r="CB9" i="43" s="1"/>
  <c r="BT9" i="42"/>
  <c r="G41" i="70"/>
  <c r="BR8" i="71" s="1"/>
  <c r="BN9" i="42"/>
  <c r="G38" i="70"/>
  <c r="BL8" i="71" s="1"/>
  <c r="BH9" i="42"/>
  <c r="O13" i="41" s="1"/>
  <c r="G35" i="70"/>
  <c r="BF8" i="71" s="1"/>
  <c r="G34" i="70"/>
  <c r="BD8" i="71" s="1"/>
  <c r="BD5" i="71" s="1"/>
  <c r="G33" i="70"/>
  <c r="BB8" i="71" s="1"/>
  <c r="BB5" i="71" s="1"/>
  <c r="G32" i="70"/>
  <c r="AZ8" i="71" s="1"/>
  <c r="AZ5" i="71" s="1"/>
  <c r="G31" i="70"/>
  <c r="AX8" i="71" s="1"/>
  <c r="AX5" i="71" s="1"/>
  <c r="G30" i="70"/>
  <c r="AV8" i="71" s="1"/>
  <c r="G29" i="70"/>
  <c r="AT8" i="71" s="1"/>
  <c r="AT5" i="71" s="1"/>
  <c r="G28" i="70"/>
  <c r="AR8" i="71" s="1"/>
  <c r="AR5" i="71" s="1"/>
  <c r="G27" i="70"/>
  <c r="AP8" i="71" s="1"/>
  <c r="AP5" i="71" s="1"/>
  <c r="G26" i="70"/>
  <c r="AN8" i="71" s="1"/>
  <c r="AN5" i="71" s="1"/>
  <c r="G25" i="70"/>
  <c r="AL8" i="71" s="1"/>
  <c r="G24" i="70"/>
  <c r="AJ8" i="71" s="1"/>
  <c r="G23" i="70"/>
  <c r="AH8" i="71" s="1"/>
  <c r="G22" i="70"/>
  <c r="AF8" i="71" s="1"/>
  <c r="G21" i="43"/>
  <c r="G20" i="43"/>
  <c r="G19" i="58"/>
  <c r="G16" i="58"/>
  <c r="G15" i="58"/>
  <c r="G13" i="58"/>
  <c r="G11" i="58"/>
  <c r="G10" i="58"/>
  <c r="G40" i="46"/>
  <c r="G39" i="55"/>
  <c r="BN8" i="54" s="1"/>
  <c r="G38" i="43"/>
  <c r="G37" i="46"/>
  <c r="G36" i="55"/>
  <c r="G35" i="43"/>
  <c r="G34" i="43"/>
  <c r="G33" i="43"/>
  <c r="CB33" i="43" s="1"/>
  <c r="G32" i="43"/>
  <c r="G31" i="43"/>
  <c r="G30" i="43"/>
  <c r="G29" i="43"/>
  <c r="G28" i="43"/>
  <c r="CB28" i="43" s="1"/>
  <c r="G27" i="43"/>
  <c r="CB27" i="43" s="1"/>
  <c r="G26" i="43"/>
  <c r="CB26" i="43" s="1"/>
  <c r="G25" i="43"/>
  <c r="G24" i="43"/>
  <c r="CB24" i="43" s="1"/>
  <c r="G23" i="43"/>
  <c r="G22" i="43"/>
  <c r="CB22" i="43" s="1"/>
  <c r="G21" i="58"/>
  <c r="G19" i="55"/>
  <c r="G18" i="55"/>
  <c r="G17" i="55"/>
  <c r="G16" i="55"/>
  <c r="G15" i="55"/>
  <c r="G14" i="55"/>
  <c r="G13" i="55"/>
  <c r="G12" i="55"/>
  <c r="G11" i="55"/>
  <c r="G10" i="55"/>
  <c r="G9" i="55"/>
  <c r="G22" i="50"/>
  <c r="CB22" i="50" s="1"/>
  <c r="G44" i="70"/>
  <c r="BX8" i="71" s="1"/>
  <c r="G44" i="43"/>
  <c r="G41" i="43"/>
  <c r="BX9" i="42"/>
  <c r="G43" i="70"/>
  <c r="BV8" i="71" s="1"/>
  <c r="BR9" i="42"/>
  <c r="G40" i="70"/>
  <c r="BP8" i="71" s="1"/>
  <c r="BL9" i="42"/>
  <c r="Q13" i="41" s="1"/>
  <c r="G37" i="70"/>
  <c r="BJ8" i="71" s="1"/>
  <c r="G36" i="50"/>
  <c r="CB36" i="50" s="1"/>
  <c r="BF9" i="42"/>
  <c r="N13" i="41" s="1"/>
  <c r="G34" i="58"/>
  <c r="G33" i="58"/>
  <c r="G29" i="58"/>
  <c r="G28" i="58"/>
  <c r="G22" i="58"/>
  <c r="G21" i="55"/>
  <c r="G19" i="50"/>
  <c r="CB19" i="50" s="1"/>
  <c r="G18" i="50"/>
  <c r="CB18" i="50" s="1"/>
  <c r="G17" i="50"/>
  <c r="CB17" i="50" s="1"/>
  <c r="G16" i="50"/>
  <c r="CB16" i="50" s="1"/>
  <c r="G15" i="50"/>
  <c r="CB15" i="50" s="1"/>
  <c r="G14" i="50"/>
  <c r="CB14" i="50" s="1"/>
  <c r="G13" i="50"/>
  <c r="CB13" i="50" s="1"/>
  <c r="G12" i="50"/>
  <c r="CB12" i="50" s="1"/>
  <c r="G11" i="50"/>
  <c r="CB11" i="50" s="1"/>
  <c r="G10" i="50"/>
  <c r="CB10" i="50" s="1"/>
  <c r="G9" i="50"/>
  <c r="CB9" i="50" s="1"/>
  <c r="F14" i="46"/>
  <c r="F11" i="46"/>
  <c r="H42" i="43"/>
  <c r="F24" i="50"/>
  <c r="CC24" i="50" s="1"/>
  <c r="F27" i="55"/>
  <c r="F21" i="50"/>
  <c r="CC21" i="50" s="1"/>
  <c r="F19" i="46"/>
  <c r="F16" i="46"/>
  <c r="F43" i="46"/>
  <c r="F42" i="55"/>
  <c r="H41" i="58"/>
  <c r="F40" i="46"/>
  <c r="F39" i="55"/>
  <c r="H38" i="58"/>
  <c r="F37" i="46"/>
  <c r="F36" i="55"/>
  <c r="H34" i="58"/>
  <c r="H33" i="58"/>
  <c r="H32" i="58"/>
  <c r="H31" i="58"/>
  <c r="H29" i="58"/>
  <c r="H28" i="58"/>
  <c r="H26" i="58"/>
  <c r="H22" i="58"/>
  <c r="F19" i="55"/>
  <c r="F18" i="55"/>
  <c r="F17" i="55"/>
  <c r="F16" i="55"/>
  <c r="F15" i="55"/>
  <c r="F14" i="55"/>
  <c r="F13" i="55"/>
  <c r="F12" i="55"/>
  <c r="F11" i="55"/>
  <c r="F10" i="55"/>
  <c r="F9" i="55"/>
  <c r="XR159" i="2"/>
  <c r="XR122" i="2"/>
  <c r="F33" i="55"/>
  <c r="F28" i="55"/>
  <c r="F24" i="55"/>
  <c r="F35" i="50"/>
  <c r="CC35" i="50" s="1"/>
  <c r="F34" i="50"/>
  <c r="CC34" i="50" s="1"/>
  <c r="F26" i="50"/>
  <c r="CC26" i="50" s="1"/>
  <c r="XR86" i="2"/>
  <c r="XR84" i="2"/>
  <c r="XR123" i="2"/>
  <c r="F42" i="46"/>
  <c r="F32" i="55"/>
  <c r="F25" i="55"/>
  <c r="H43" i="43"/>
  <c r="H40" i="43"/>
  <c r="H37" i="43"/>
  <c r="F36" i="50"/>
  <c r="CC36" i="50" s="1"/>
  <c r="F21" i="55"/>
  <c r="F20" i="55"/>
  <c r="F19" i="50"/>
  <c r="CC19" i="50" s="1"/>
  <c r="F18" i="50"/>
  <c r="CC18" i="50" s="1"/>
  <c r="F17" i="50"/>
  <c r="CC17" i="50" s="1"/>
  <c r="F16" i="50"/>
  <c r="CC16" i="50" s="1"/>
  <c r="F15" i="50"/>
  <c r="CC15" i="50" s="1"/>
  <c r="F14" i="50"/>
  <c r="CC14" i="50" s="1"/>
  <c r="F13" i="50"/>
  <c r="CC13" i="50" s="1"/>
  <c r="F12" i="50"/>
  <c r="CC12" i="50" s="1"/>
  <c r="F11" i="50"/>
  <c r="CC11" i="50" s="1"/>
  <c r="F10" i="50"/>
  <c r="CC10" i="50" s="1"/>
  <c r="F9" i="50"/>
  <c r="CC9" i="50" s="1"/>
  <c r="XR160" i="2"/>
  <c r="XR83" i="2"/>
  <c r="F39" i="46"/>
  <c r="H37" i="58"/>
  <c r="F20" i="50"/>
  <c r="F13" i="46"/>
  <c r="H39" i="43"/>
  <c r="XR118" i="2"/>
  <c r="XR120" i="2"/>
  <c r="F41" i="55"/>
  <c r="F31" i="55"/>
  <c r="F23" i="55"/>
  <c r="F22" i="55"/>
  <c r="F18" i="46"/>
  <c r="F15" i="46"/>
  <c r="F10" i="46"/>
  <c r="F21" i="46"/>
  <c r="H19" i="43"/>
  <c r="CC19" i="43" s="1"/>
  <c r="H17" i="43"/>
  <c r="H13" i="43"/>
  <c r="H12" i="43"/>
  <c r="CC12" i="43" s="1"/>
  <c r="H11" i="43"/>
  <c r="H10" i="43"/>
  <c r="H9" i="43"/>
  <c r="CC9" i="43" s="1"/>
  <c r="XR121" i="2"/>
  <c r="XR88" i="2"/>
  <c r="F29" i="55"/>
  <c r="F33" i="50"/>
  <c r="CC33" i="50" s="1"/>
  <c r="F30" i="50"/>
  <c r="CC30" i="50" s="1"/>
  <c r="F27" i="50"/>
  <c r="CC27" i="50" s="1"/>
  <c r="F25" i="50"/>
  <c r="CC25" i="50" s="1"/>
  <c r="F22" i="50"/>
  <c r="H14" i="43"/>
  <c r="F44" i="46"/>
  <c r="F43" i="55"/>
  <c r="F41" i="46"/>
  <c r="F40" i="55"/>
  <c r="BQ7" i="54" s="1"/>
  <c r="L60" i="56" s="1"/>
  <c r="F38" i="46"/>
  <c r="F37" i="55"/>
  <c r="F35" i="46"/>
  <c r="F34" i="46"/>
  <c r="F33" i="46"/>
  <c r="F32" i="46"/>
  <c r="F30" i="46"/>
  <c r="F29" i="46"/>
  <c r="F28" i="46"/>
  <c r="F27" i="46"/>
  <c r="F26" i="46"/>
  <c r="F25" i="46"/>
  <c r="F24" i="46"/>
  <c r="F23" i="46"/>
  <c r="H21" i="43"/>
  <c r="H20" i="43"/>
  <c r="H19" i="58"/>
  <c r="H16" i="58"/>
  <c r="H14" i="58"/>
  <c r="H13" i="58"/>
  <c r="H10" i="58"/>
  <c r="XR119" i="2"/>
  <c r="XR156" i="2"/>
  <c r="F44" i="55"/>
  <c r="H40" i="58"/>
  <c r="F35" i="55"/>
  <c r="F17" i="46"/>
  <c r="H36" i="43"/>
  <c r="F31" i="50"/>
  <c r="CC31" i="50" s="1"/>
  <c r="F29" i="50"/>
  <c r="CC29" i="50" s="1"/>
  <c r="F28" i="50"/>
  <c r="CC28" i="50" s="1"/>
  <c r="F23" i="50"/>
  <c r="CC23" i="50" s="1"/>
  <c r="H15" i="43"/>
  <c r="XR162" i="2"/>
  <c r="XR163" i="2"/>
  <c r="XR82" i="2"/>
  <c r="H43" i="58"/>
  <c r="F38" i="55"/>
  <c r="F36" i="46"/>
  <c r="F34" i="55"/>
  <c r="BC7" i="54" s="1"/>
  <c r="F30" i="55"/>
  <c r="F26" i="55"/>
  <c r="F12" i="46"/>
  <c r="F9" i="46"/>
  <c r="F32" i="50"/>
  <c r="CC32" i="50" s="1"/>
  <c r="H18" i="43"/>
  <c r="H16" i="43"/>
  <c r="H44" i="43"/>
  <c r="H41" i="43"/>
  <c r="H38" i="43"/>
  <c r="H35" i="43"/>
  <c r="H34" i="43"/>
  <c r="H33" i="43"/>
  <c r="CC33" i="43" s="1"/>
  <c r="H32" i="43"/>
  <c r="H31" i="43"/>
  <c r="CC31" i="43" s="1"/>
  <c r="H30" i="43"/>
  <c r="H29" i="43"/>
  <c r="H28" i="43"/>
  <c r="CC28" i="43" s="1"/>
  <c r="H27" i="43"/>
  <c r="CC27" i="43" s="1"/>
  <c r="H26" i="43"/>
  <c r="CC26" i="43" s="1"/>
  <c r="H25" i="43"/>
  <c r="CC25" i="43" s="1"/>
  <c r="H24" i="43"/>
  <c r="CC24" i="43" s="1"/>
  <c r="H23" i="43"/>
  <c r="CC23" i="43" s="1"/>
  <c r="H22" i="43"/>
  <c r="CC22" i="43" s="1"/>
  <c r="H21" i="58"/>
  <c r="H20" i="58"/>
  <c r="XH47" i="2"/>
  <c r="XH83" i="2"/>
  <c r="XH50" i="2"/>
  <c r="XI83" i="2"/>
  <c r="XI48" i="2"/>
  <c r="XH48" i="2"/>
  <c r="B121" i="2"/>
  <c r="B120" i="2"/>
  <c r="B122" i="2"/>
  <c r="B119" i="2"/>
  <c r="B118" i="2"/>
  <c r="XH45" i="2"/>
  <c r="XH88" i="2"/>
  <c r="XI87" i="2"/>
  <c r="B117" i="2"/>
  <c r="XH81" i="2"/>
  <c r="B126" i="2"/>
  <c r="B125" i="2"/>
  <c r="B124" i="2"/>
  <c r="B123" i="2"/>
  <c r="XH85" i="2"/>
  <c r="XI46" i="2"/>
  <c r="XI80" i="2"/>
  <c r="XI45" i="2"/>
  <c r="XH43" i="2"/>
  <c r="XH87" i="2"/>
  <c r="XI85" i="2"/>
  <c r="XI86" i="2"/>
  <c r="XI49" i="2"/>
  <c r="XH80" i="2"/>
  <c r="XI47" i="2"/>
  <c r="XH82" i="2"/>
  <c r="XI42" i="2"/>
  <c r="XI43" i="2"/>
  <c r="XI84" i="2"/>
  <c r="XI82" i="2"/>
  <c r="BM7" i="42"/>
  <c r="Q59" i="41" s="1"/>
  <c r="BM8" i="42"/>
  <c r="Q60" i="41" s="1"/>
  <c r="AP29" i="58"/>
  <c r="AO41" i="58"/>
  <c r="BR25" i="42"/>
  <c r="XI50" i="2"/>
  <c r="AP41" i="58"/>
  <c r="BS25" i="42"/>
  <c r="AP28" i="58"/>
  <c r="BR8" i="42"/>
  <c r="BR7" i="42"/>
  <c r="AO38" i="58"/>
  <c r="BL25" i="42"/>
  <c r="Q29" i="41" s="1"/>
  <c r="AP20" i="58"/>
  <c r="BQ8" i="42"/>
  <c r="M60" i="41" s="1"/>
  <c r="BQ7" i="42"/>
  <c r="M59" i="41" s="1"/>
  <c r="BV8" i="42"/>
  <c r="BV7" i="42"/>
  <c r="BP8" i="42"/>
  <c r="M12" i="41" s="1"/>
  <c r="BP7" i="42"/>
  <c r="M11" i="41" s="1"/>
  <c r="BJ8" i="42"/>
  <c r="P12" i="41" s="1"/>
  <c r="BJ7" i="42"/>
  <c r="P11" i="41" s="1"/>
  <c r="AP22" i="58"/>
  <c r="XH44" i="2"/>
  <c r="XH86" i="2"/>
  <c r="AO44" i="58"/>
  <c r="BX25" i="42"/>
  <c r="BX7" i="42"/>
  <c r="BX8" i="42"/>
  <c r="BF8" i="42"/>
  <c r="N12" i="41" s="1"/>
  <c r="BF7" i="42"/>
  <c r="N11" i="41" s="1"/>
  <c r="AO29" i="58"/>
  <c r="AO22" i="58"/>
  <c r="XI44" i="2"/>
  <c r="XI81" i="2"/>
  <c r="BL8" i="42"/>
  <c r="Q12" i="41" s="1"/>
  <c r="BL7" i="42"/>
  <c r="Q11" i="41" s="1"/>
  <c r="AO26" i="58"/>
  <c r="XH49" i="2"/>
  <c r="BY8" i="42"/>
  <c r="BY7" i="42"/>
  <c r="AP26" i="58"/>
  <c r="AO35" i="58"/>
  <c r="BF25" i="42"/>
  <c r="N29" i="41" s="1"/>
  <c r="BW8" i="42"/>
  <c r="BW7" i="42"/>
  <c r="BK8" i="42"/>
  <c r="P60" i="41" s="1"/>
  <c r="BK7" i="42"/>
  <c r="P59" i="41" s="1"/>
  <c r="BU7" i="42"/>
  <c r="BU8" i="42"/>
  <c r="AP39" i="58"/>
  <c r="BO25" i="42"/>
  <c r="BO8" i="42"/>
  <c r="BO7" i="42"/>
  <c r="AP36" i="58"/>
  <c r="BI25" i="42"/>
  <c r="O77" i="41" s="1"/>
  <c r="BI8" i="42"/>
  <c r="O60" i="41" s="1"/>
  <c r="BI7" i="42"/>
  <c r="O59" i="41" s="1"/>
  <c r="AP19" i="58"/>
  <c r="AP18" i="58"/>
  <c r="AP17" i="58"/>
  <c r="AP16" i="58"/>
  <c r="AP15" i="58"/>
  <c r="AP14" i="58"/>
  <c r="AP13" i="58"/>
  <c r="AP12" i="58"/>
  <c r="AP11" i="58"/>
  <c r="AP10" i="58"/>
  <c r="XH42" i="2"/>
  <c r="AP21" i="58"/>
  <c r="BS8" i="42"/>
  <c r="BS7" i="42"/>
  <c r="AP38" i="58"/>
  <c r="BM25" i="42"/>
  <c r="Q77" i="41" s="1"/>
  <c r="AP35" i="58"/>
  <c r="BG25" i="42"/>
  <c r="N77" i="41" s="1"/>
  <c r="BG8" i="42"/>
  <c r="N60" i="41" s="1"/>
  <c r="BG7" i="42"/>
  <c r="N59" i="41" s="1"/>
  <c r="AP33" i="58"/>
  <c r="AP32" i="58"/>
  <c r="AP30" i="58"/>
  <c r="BT8" i="42"/>
  <c r="BT7" i="42"/>
  <c r="BN8" i="42"/>
  <c r="BN7" i="42"/>
  <c r="BH8" i="42"/>
  <c r="O12" i="41" s="1"/>
  <c r="BH7" i="42"/>
  <c r="O11" i="41" s="1"/>
  <c r="AO18" i="58"/>
  <c r="AO14" i="58"/>
  <c r="AO12" i="58"/>
  <c r="AO11" i="58"/>
  <c r="XH46" i="2"/>
  <c r="XI88" i="2"/>
  <c r="WW520" i="2"/>
  <c r="G89" i="7" s="1"/>
  <c r="WO519" i="2"/>
  <c r="WW514" i="2"/>
  <c r="G83" i="7" s="1"/>
  <c r="XA513" i="2"/>
  <c r="I82" i="7" s="1"/>
  <c r="WW517" i="2"/>
  <c r="G86" i="7" s="1"/>
  <c r="D36" i="58"/>
  <c r="WO513" i="2"/>
  <c r="D41" i="70"/>
  <c r="BS6" i="71" s="1"/>
  <c r="WS518" i="2"/>
  <c r="D35" i="70"/>
  <c r="BG6" i="71" s="1"/>
  <c r="BG5" i="71" s="1"/>
  <c r="WS512" i="2"/>
  <c r="WV520" i="2"/>
  <c r="C41" i="70"/>
  <c r="BR6" i="71" s="1"/>
  <c r="WR518" i="2"/>
  <c r="E40" i="7" s="1"/>
  <c r="WZ513" i="2"/>
  <c r="D43" i="46"/>
  <c r="WU520" i="2"/>
  <c r="F89" i="7" s="1"/>
  <c r="C44" i="43"/>
  <c r="BX6" i="44" s="1"/>
  <c r="WP521" i="2"/>
  <c r="C43" i="46"/>
  <c r="WT520" i="2"/>
  <c r="C42" i="55"/>
  <c r="WX519" i="2"/>
  <c r="C41" i="43"/>
  <c r="BR6" i="44" s="1"/>
  <c r="WP518" i="2"/>
  <c r="C40" i="46"/>
  <c r="WT517" i="2"/>
  <c r="C39" i="55"/>
  <c r="WX516" i="2"/>
  <c r="C38" i="43"/>
  <c r="BL6" i="44" s="1"/>
  <c r="R10" i="45" s="1"/>
  <c r="WP515" i="2"/>
  <c r="C37" i="46"/>
  <c r="WT514" i="2"/>
  <c r="C36" i="55"/>
  <c r="WX513" i="2"/>
  <c r="C35" i="43"/>
  <c r="BF6" i="44" s="1"/>
  <c r="O10" i="45" s="1"/>
  <c r="WP512" i="2"/>
  <c r="D41" i="58"/>
  <c r="WO518" i="2"/>
  <c r="D40" i="70"/>
  <c r="BQ6" i="71" s="1"/>
  <c r="WS517" i="2"/>
  <c r="XA515" i="2"/>
  <c r="I84" i="7" s="1"/>
  <c r="XA512" i="2"/>
  <c r="I81" i="7" s="1"/>
  <c r="C35" i="46"/>
  <c r="WT512" i="2"/>
  <c r="WO521" i="2"/>
  <c r="WW519" i="2"/>
  <c r="G88" i="7" s="1"/>
  <c r="WN521" i="2"/>
  <c r="C43" i="55"/>
  <c r="WX520" i="2"/>
  <c r="C41" i="58"/>
  <c r="WN518" i="2"/>
  <c r="XB193" i="2"/>
  <c r="XB231" i="2"/>
  <c r="XB269" i="2"/>
  <c r="XB307" i="2"/>
  <c r="XB383" i="2"/>
  <c r="XB421" i="2"/>
  <c r="XB459" i="2"/>
  <c r="D44" i="55"/>
  <c r="WY521" i="2"/>
  <c r="H90" i="7" s="1"/>
  <c r="D43" i="43"/>
  <c r="BW6" i="44" s="1"/>
  <c r="WQ520" i="2"/>
  <c r="D42" i="46"/>
  <c r="WU519" i="2"/>
  <c r="F88" i="7" s="1"/>
  <c r="D41" i="55"/>
  <c r="WY518" i="2"/>
  <c r="H87" i="7" s="1"/>
  <c r="D40" i="43"/>
  <c r="BQ6" i="44" s="1"/>
  <c r="WQ517" i="2"/>
  <c r="D39" i="46"/>
  <c r="WU516" i="2"/>
  <c r="F85" i="7" s="1"/>
  <c r="D38" i="55"/>
  <c r="WY515" i="2"/>
  <c r="H84" i="7" s="1"/>
  <c r="D37" i="43"/>
  <c r="BK6" i="44" s="1"/>
  <c r="WQ514" i="2"/>
  <c r="D36" i="46"/>
  <c r="WU513" i="2"/>
  <c r="F82" i="7" s="1"/>
  <c r="D35" i="55"/>
  <c r="WY512" i="2"/>
  <c r="H81" i="7" s="1"/>
  <c r="C36" i="43"/>
  <c r="BH6" i="44" s="1"/>
  <c r="Q10" i="45" s="1"/>
  <c r="WP513" i="2"/>
  <c r="WZ512" i="2"/>
  <c r="C44" i="46"/>
  <c r="WT521" i="2"/>
  <c r="C42" i="43"/>
  <c r="BT6" i="44" s="1"/>
  <c r="T10" i="45" s="1"/>
  <c r="WP519" i="2"/>
  <c r="D44" i="43"/>
  <c r="BY6" i="44" s="1"/>
  <c r="WQ521" i="2"/>
  <c r="D42" i="55"/>
  <c r="WY519" i="2"/>
  <c r="H88" i="7" s="1"/>
  <c r="D41" i="43"/>
  <c r="BS6" i="44" s="1"/>
  <c r="WQ518" i="2"/>
  <c r="D40" i="46"/>
  <c r="WU517" i="2"/>
  <c r="F86" i="7" s="1"/>
  <c r="D39" i="55"/>
  <c r="WY516" i="2"/>
  <c r="H85" i="7" s="1"/>
  <c r="D38" i="43"/>
  <c r="BM6" i="44" s="1"/>
  <c r="R58" i="45" s="1"/>
  <c r="WQ515" i="2"/>
  <c r="D37" i="46"/>
  <c r="WU514" i="2"/>
  <c r="F83" i="7" s="1"/>
  <c r="D36" i="55"/>
  <c r="WY513" i="2"/>
  <c r="H82" i="7" s="1"/>
  <c r="D35" i="43"/>
  <c r="BG6" i="44" s="1"/>
  <c r="O58" i="45" s="1"/>
  <c r="WQ512" i="2"/>
  <c r="D81" i="7" s="1"/>
  <c r="XA518" i="2"/>
  <c r="I87" i="7" s="1"/>
  <c r="WW516" i="2"/>
  <c r="G85" i="7" s="1"/>
  <c r="WO515" i="2"/>
  <c r="D37" i="70"/>
  <c r="BK6" i="71" s="1"/>
  <c r="BK5" i="71" s="1"/>
  <c r="WS514" i="2"/>
  <c r="D35" i="58"/>
  <c r="WO512" i="2"/>
  <c r="WV519" i="2"/>
  <c r="WZ518" i="2"/>
  <c r="WV516" i="2"/>
  <c r="WZ515" i="2"/>
  <c r="C38" i="58"/>
  <c r="WN515" i="2"/>
  <c r="C37" i="70"/>
  <c r="BJ6" i="71" s="1"/>
  <c r="WR514" i="2"/>
  <c r="E36" i="7" s="1"/>
  <c r="WV513" i="2"/>
  <c r="C35" i="58"/>
  <c r="WN512" i="2"/>
  <c r="C40" i="43"/>
  <c r="BP6" i="44" s="1"/>
  <c r="WP517" i="2"/>
  <c r="C37" i="43"/>
  <c r="BJ6" i="44" s="1"/>
  <c r="WP514" i="2"/>
  <c r="C35" i="55"/>
  <c r="WX512" i="2"/>
  <c r="XA520" i="2"/>
  <c r="I89" i="7" s="1"/>
  <c r="WO520" i="2"/>
  <c r="D42" i="70"/>
  <c r="BU6" i="71" s="1"/>
  <c r="WS519" i="2"/>
  <c r="WW518" i="2"/>
  <c r="G87" i="7" s="1"/>
  <c r="XA517" i="2"/>
  <c r="I86" i="7" s="1"/>
  <c r="D40" i="58"/>
  <c r="WO517" i="2"/>
  <c r="D39" i="70"/>
  <c r="BO6" i="71" s="1"/>
  <c r="WS516" i="2"/>
  <c r="WW515" i="2"/>
  <c r="G84" i="7" s="1"/>
  <c r="XA514" i="2"/>
  <c r="I83" i="7" s="1"/>
  <c r="WO514" i="2"/>
  <c r="D36" i="70"/>
  <c r="BI6" i="71" s="1"/>
  <c r="BI5" i="71" s="1"/>
  <c r="WS513" i="2"/>
  <c r="WW512" i="2"/>
  <c r="G81" i="7" s="1"/>
  <c r="D44" i="70"/>
  <c r="BY6" i="71" s="1"/>
  <c r="WS521" i="2"/>
  <c r="XA519" i="2"/>
  <c r="I88" i="7" s="1"/>
  <c r="WO516" i="2"/>
  <c r="D38" i="70"/>
  <c r="CC38" i="70" s="1"/>
  <c r="WS515" i="2"/>
  <c r="WN519" i="2"/>
  <c r="WZ516" i="2"/>
  <c r="C35" i="70"/>
  <c r="BF6" i="71" s="1"/>
  <c r="XA521" i="2"/>
  <c r="I90" i="7" s="1"/>
  <c r="D43" i="70"/>
  <c r="BW6" i="71" s="1"/>
  <c r="WS520" i="2"/>
  <c r="WW513" i="2"/>
  <c r="G82" i="7" s="1"/>
  <c r="WZ521" i="2"/>
  <c r="C40" i="70"/>
  <c r="BP6" i="71" s="1"/>
  <c r="WR517" i="2"/>
  <c r="E39" i="7" s="1"/>
  <c r="C44" i="55"/>
  <c r="WX521" i="2"/>
  <c r="C43" i="43"/>
  <c r="BV6" i="44" s="1"/>
  <c r="WP520" i="2"/>
  <c r="C42" i="46"/>
  <c r="WT519" i="2"/>
  <c r="C41" i="55"/>
  <c r="WX518" i="2"/>
  <c r="C39" i="46"/>
  <c r="WT516" i="2"/>
  <c r="C38" i="55"/>
  <c r="WX515" i="2"/>
  <c r="C36" i="46"/>
  <c r="WT513" i="2"/>
  <c r="WW521" i="2"/>
  <c r="G90" i="7" s="1"/>
  <c r="WV521" i="2"/>
  <c r="WZ520" i="2"/>
  <c r="C40" i="58"/>
  <c r="WN517" i="2"/>
  <c r="C39" i="70"/>
  <c r="BN6" i="71" s="1"/>
  <c r="WR516" i="2"/>
  <c r="E38" i="7" s="1"/>
  <c r="WV515" i="2"/>
  <c r="WZ514" i="2"/>
  <c r="WV512" i="2"/>
  <c r="C41" i="46"/>
  <c r="WT518" i="2"/>
  <c r="C40" i="55"/>
  <c r="WX517" i="2"/>
  <c r="C39" i="43"/>
  <c r="BN6" i="44" s="1"/>
  <c r="WP516" i="2"/>
  <c r="C38" i="46"/>
  <c r="WT515" i="2"/>
  <c r="C37" i="55"/>
  <c r="WX514" i="2"/>
  <c r="XA516" i="2"/>
  <c r="I85" i="7" s="1"/>
  <c r="C44" i="70"/>
  <c r="BX6" i="71" s="1"/>
  <c r="WR521" i="2"/>
  <c r="E43" i="7" s="1"/>
  <c r="WZ519" i="2"/>
  <c r="WV517" i="2"/>
  <c r="C39" i="58"/>
  <c r="WN516" i="2"/>
  <c r="C38" i="70"/>
  <c r="BL6" i="71" s="1"/>
  <c r="WR515" i="2"/>
  <c r="E37" i="7" s="1"/>
  <c r="WV514" i="2"/>
  <c r="C36" i="58"/>
  <c r="WN513" i="2"/>
  <c r="C43" i="70"/>
  <c r="BV6" i="71" s="1"/>
  <c r="WR520" i="2"/>
  <c r="E42" i="7" s="1"/>
  <c r="WN520" i="2"/>
  <c r="C42" i="70"/>
  <c r="BT6" i="71" s="1"/>
  <c r="WR519" i="2"/>
  <c r="E41" i="7" s="1"/>
  <c r="WV518" i="2"/>
  <c r="WZ517" i="2"/>
  <c r="C37" i="58"/>
  <c r="WN514" i="2"/>
  <c r="C36" i="70"/>
  <c r="BH6" i="71" s="1"/>
  <c r="WR513" i="2"/>
  <c r="E35" i="7" s="1"/>
  <c r="D44" i="46"/>
  <c r="WU521" i="2"/>
  <c r="F90" i="7" s="1"/>
  <c r="D43" i="55"/>
  <c r="WY520" i="2"/>
  <c r="H89" i="7" s="1"/>
  <c r="D42" i="43"/>
  <c r="BU6" i="44" s="1"/>
  <c r="T58" i="45" s="1"/>
  <c r="WQ519" i="2"/>
  <c r="D41" i="46"/>
  <c r="WU518" i="2"/>
  <c r="F87" i="7" s="1"/>
  <c r="D40" i="55"/>
  <c r="WY517" i="2"/>
  <c r="H86" i="7" s="1"/>
  <c r="D39" i="43"/>
  <c r="BO6" i="44" s="1"/>
  <c r="WQ516" i="2"/>
  <c r="D38" i="46"/>
  <c r="WU515" i="2"/>
  <c r="F84" i="7" s="1"/>
  <c r="D37" i="55"/>
  <c r="WY514" i="2"/>
  <c r="H83" i="7" s="1"/>
  <c r="D36" i="43"/>
  <c r="BI6" i="44" s="1"/>
  <c r="Q58" i="45" s="1"/>
  <c r="WQ513" i="2"/>
  <c r="D35" i="46"/>
  <c r="WU512" i="2"/>
  <c r="F81" i="7" s="1"/>
  <c r="XC231" i="2"/>
  <c r="P33" i="61" s="1"/>
  <c r="XC307" i="2"/>
  <c r="T33" i="61" s="1"/>
  <c r="XC383" i="2"/>
  <c r="X33" i="61" s="1"/>
  <c r="XC421" i="2"/>
  <c r="Z33" i="61" s="1"/>
  <c r="XC459" i="2"/>
  <c r="AB33" i="61" s="1"/>
  <c r="XC193" i="2"/>
  <c r="N33" i="61" s="1"/>
  <c r="XC269" i="2"/>
  <c r="R33" i="61" s="1"/>
  <c r="XC345" i="2"/>
  <c r="V33" i="61" s="1"/>
  <c r="T26" i="58"/>
  <c r="Z13" i="58"/>
  <c r="C28" i="58"/>
  <c r="BG24" i="70"/>
  <c r="AJ34" i="71" s="1"/>
  <c r="C23" i="58"/>
  <c r="BY7" i="55"/>
  <c r="BW7" i="55"/>
  <c r="BU7" i="55"/>
  <c r="BS7" i="55"/>
  <c r="BQ7" i="55"/>
  <c r="BO7" i="55"/>
  <c r="BM7" i="55"/>
  <c r="BI7" i="55"/>
  <c r="AW7" i="55"/>
  <c r="AK7" i="55"/>
  <c r="M7" i="55"/>
  <c r="AD32" i="58"/>
  <c r="AT12" i="58"/>
  <c r="BH7" i="55"/>
  <c r="AV7" i="55"/>
  <c r="AJ7" i="55"/>
  <c r="X7" i="55"/>
  <c r="L7" i="55"/>
  <c r="BK36" i="55"/>
  <c r="BK7" i="55" s="1"/>
  <c r="AX32" i="58"/>
  <c r="BA6" i="54"/>
  <c r="AL26" i="58"/>
  <c r="Z24" i="58"/>
  <c r="N24" i="58"/>
  <c r="N23" i="58"/>
  <c r="BF17" i="58"/>
  <c r="AA25" i="55"/>
  <c r="AA7" i="55" s="1"/>
  <c r="O25" i="55"/>
  <c r="O7" i="55" s="1"/>
  <c r="M24" i="58"/>
  <c r="AI18" i="55"/>
  <c r="AS17" i="58"/>
  <c r="I17" i="58"/>
  <c r="AU12" i="55"/>
  <c r="AU7" i="55" s="1"/>
  <c r="AS13" i="58"/>
  <c r="K12" i="55"/>
  <c r="K7" i="55" s="1"/>
  <c r="AS12" i="58"/>
  <c r="BG10" i="55"/>
  <c r="BG7" i="55" s="1"/>
  <c r="AS10" i="58"/>
  <c r="W7" i="55"/>
  <c r="AJ24" i="58"/>
  <c r="AP17" i="43"/>
  <c r="AF17" i="58"/>
  <c r="H15" i="58"/>
  <c r="AR12" i="58"/>
  <c r="J11" i="55"/>
  <c r="J7" i="55" s="1"/>
  <c r="AT8" i="55"/>
  <c r="AT7" i="55" s="1"/>
  <c r="V7" i="55"/>
  <c r="T9" i="58"/>
  <c r="AW17" i="46"/>
  <c r="AY13" i="70"/>
  <c r="N30" i="71" s="1"/>
  <c r="AQ13" i="58"/>
  <c r="BC9" i="58"/>
  <c r="AS8" i="55"/>
  <c r="AS7" i="55" s="1"/>
  <c r="AK9" i="46"/>
  <c r="AG7" i="55"/>
  <c r="U7" i="55"/>
  <c r="S9" i="58"/>
  <c r="S38" i="55"/>
  <c r="S7" i="55" s="1"/>
  <c r="BC29" i="43"/>
  <c r="AD33" i="58"/>
  <c r="R31" i="58"/>
  <c r="I40" i="58"/>
  <c r="T38" i="55"/>
  <c r="V29" i="58"/>
  <c r="BF26" i="58"/>
  <c r="AH26" i="58"/>
  <c r="AH25" i="58"/>
  <c r="J24" i="58"/>
  <c r="J23" i="58"/>
  <c r="BD7" i="55"/>
  <c r="AR7" i="55"/>
  <c r="AF7" i="55"/>
  <c r="AE16" i="55"/>
  <c r="AE7" i="55" s="1"/>
  <c r="BC7" i="55"/>
  <c r="AQ7" i="55"/>
  <c r="AH23" i="55"/>
  <c r="AK5" i="71"/>
  <c r="BB18" i="55"/>
  <c r="BB7" i="55" s="1"/>
  <c r="AP17" i="55"/>
  <c r="R17" i="55"/>
  <c r="AP14" i="55"/>
  <c r="R14" i="55"/>
  <c r="AP9" i="55"/>
  <c r="R9" i="55"/>
  <c r="AD7" i="55"/>
  <c r="P12" i="58"/>
  <c r="BA7" i="55"/>
  <c r="AO7" i="55"/>
  <c r="AC7" i="55"/>
  <c r="Q7" i="55"/>
  <c r="AS28" i="58"/>
  <c r="AZ7" i="55"/>
  <c r="AN7" i="55"/>
  <c r="AB7" i="55"/>
  <c r="P7" i="55"/>
  <c r="BJ14" i="58"/>
  <c r="AY7" i="55"/>
  <c r="AM7" i="55"/>
  <c r="R27" i="55"/>
  <c r="AL12" i="55"/>
  <c r="AL7" i="55" s="1"/>
  <c r="N12" i="55"/>
  <c r="N7" i="55" s="1"/>
  <c r="BZ7" i="55"/>
  <c r="BX7" i="55"/>
  <c r="BV7" i="55"/>
  <c r="BT7" i="55"/>
  <c r="BR7" i="55"/>
  <c r="BP7" i="55"/>
  <c r="BN7" i="55"/>
  <c r="BL7" i="55"/>
  <c r="BJ7" i="55"/>
  <c r="AX7" i="55"/>
  <c r="Q21" i="58"/>
  <c r="BR35" i="58"/>
  <c r="AF6" i="44"/>
  <c r="AC18" i="58"/>
  <c r="Q18" i="58"/>
  <c r="Y40" i="58"/>
  <c r="BE38" i="58"/>
  <c r="BF18" i="46"/>
  <c r="AL18" i="43"/>
  <c r="V18" i="46"/>
  <c r="AH41" i="58"/>
  <c r="AR44" i="58"/>
  <c r="BD33" i="58"/>
  <c r="Z22" i="58"/>
  <c r="BF20" i="58"/>
  <c r="AM18" i="58"/>
  <c r="BG42" i="70"/>
  <c r="BT34" i="71" s="1"/>
  <c r="AA42" i="58"/>
  <c r="K42" i="70"/>
  <c r="BT10" i="71" s="1"/>
  <c r="J34" i="43"/>
  <c r="BC33" i="58"/>
  <c r="AQ33" i="58"/>
  <c r="AE33" i="58"/>
  <c r="AO21" i="58"/>
  <c r="AC21" i="58"/>
  <c r="E21" i="58"/>
  <c r="BE20" i="58"/>
  <c r="BD20" i="58"/>
  <c r="W12" i="43"/>
  <c r="M12" i="58"/>
  <c r="AN18" i="58"/>
  <c r="BZ36" i="58"/>
  <c r="K34" i="58"/>
  <c r="I34" i="43"/>
  <c r="AO31" i="58"/>
  <c r="Q31" i="58"/>
  <c r="AW26" i="58"/>
  <c r="M26" i="58"/>
  <c r="AZ21" i="58"/>
  <c r="O16" i="58"/>
  <c r="C16" i="58"/>
  <c r="G42" i="71"/>
  <c r="AT44" i="58"/>
  <c r="AH44" i="58"/>
  <c r="BV43" i="58"/>
  <c r="N43" i="58"/>
  <c r="BB42" i="58"/>
  <c r="R42" i="58"/>
  <c r="BJ40" i="58"/>
  <c r="N40" i="58"/>
  <c r="BB39" i="58"/>
  <c r="AD39" i="58"/>
  <c r="AT38" i="58"/>
  <c r="J38" i="58"/>
  <c r="AL37" i="58"/>
  <c r="Z37" i="58"/>
  <c r="P31" i="58"/>
  <c r="BJ25" i="58"/>
  <c r="AX25" i="58"/>
  <c r="AL25" i="58"/>
  <c r="N25" i="58"/>
  <c r="AN22" i="58"/>
  <c r="AY21" i="58"/>
  <c r="AW21" i="43"/>
  <c r="AS21" i="46"/>
  <c r="AM21" i="58"/>
  <c r="AA21" i="58"/>
  <c r="C21" i="58"/>
  <c r="BA20" i="58"/>
  <c r="BE19" i="58"/>
  <c r="AS19" i="58"/>
  <c r="AQ19" i="43"/>
  <c r="AG19" i="58"/>
  <c r="AE19" i="43"/>
  <c r="U19" i="58"/>
  <c r="I19" i="58"/>
  <c r="BJ16" i="58"/>
  <c r="AX16" i="58"/>
  <c r="AL16" i="58"/>
  <c r="Z16" i="58"/>
  <c r="N16" i="58"/>
  <c r="BE13" i="58"/>
  <c r="AG13" i="58"/>
  <c r="AE13" i="43"/>
  <c r="U13" i="58"/>
  <c r="C13" i="46"/>
  <c r="BA10" i="58"/>
  <c r="H29" i="71"/>
  <c r="AO10" i="58"/>
  <c r="H23" i="71"/>
  <c r="AC10" i="58"/>
  <c r="Q10" i="58"/>
  <c r="E10" i="58"/>
  <c r="H6" i="44"/>
  <c r="J10" i="45" s="1"/>
  <c r="Z40" i="58"/>
  <c r="V44" i="58"/>
  <c r="AD42" i="58"/>
  <c r="F42" i="58"/>
  <c r="BU7" i="57" s="1"/>
  <c r="BB36" i="58"/>
  <c r="BF35" i="58"/>
  <c r="AW30" i="43"/>
  <c r="U44" i="58"/>
  <c r="I44" i="58"/>
  <c r="BM39" i="58"/>
  <c r="E39" i="58"/>
  <c r="BN7" i="57" s="1"/>
  <c r="AS38" i="58"/>
  <c r="AH18" i="46"/>
  <c r="AV43" i="58"/>
  <c r="T33" i="58"/>
  <c r="Q44" i="43"/>
  <c r="AS43" i="43"/>
  <c r="BV27" i="44" s="1"/>
  <c r="AE43" i="70"/>
  <c r="BV20" i="71" s="1"/>
  <c r="BW42" i="58"/>
  <c r="M42" i="43"/>
  <c r="BT11" i="44" s="1"/>
  <c r="T15" i="45" s="1"/>
  <c r="BC41" i="58"/>
  <c r="AO41" i="43"/>
  <c r="AC41" i="43"/>
  <c r="S41" i="58"/>
  <c r="G41" i="58"/>
  <c r="AH34" i="43"/>
  <c r="AD34" i="46"/>
  <c r="AW12" i="58"/>
  <c r="AK12" i="58"/>
  <c r="L9" i="71"/>
  <c r="AU34" i="58"/>
  <c r="AC31" i="58"/>
  <c r="V21" i="46"/>
  <c r="J21" i="46"/>
  <c r="D21" i="58"/>
  <c r="BC20" i="58"/>
  <c r="AY20" i="43"/>
  <c r="AZ31" i="58"/>
  <c r="D31" i="58"/>
  <c r="AY31" i="58"/>
  <c r="AM31" i="58"/>
  <c r="AA31" i="58"/>
  <c r="O31" i="58"/>
  <c r="C31" i="58"/>
  <c r="BH29" i="58"/>
  <c r="AV29" i="58"/>
  <c r="AJ29" i="58"/>
  <c r="X29" i="58"/>
  <c r="L29" i="58"/>
  <c r="BE27" i="58"/>
  <c r="AS27" i="58"/>
  <c r="AG27" i="58"/>
  <c r="U27" i="58"/>
  <c r="I27" i="58"/>
  <c r="AW25" i="58"/>
  <c r="AK25" i="58"/>
  <c r="M25" i="58"/>
  <c r="AM22" i="58"/>
  <c r="BJ21" i="58"/>
  <c r="BH21" i="43"/>
  <c r="BD21" i="46"/>
  <c r="AX21" i="58"/>
  <c r="AT21" i="70"/>
  <c r="AE27" i="71" s="1"/>
  <c r="BI16" i="58"/>
  <c r="AW16" i="58"/>
  <c r="Y16" i="58"/>
  <c r="M16" i="58"/>
  <c r="BJ10" i="43"/>
  <c r="BH10" i="70"/>
  <c r="CC10" i="70" s="1"/>
  <c r="AZ10" i="58"/>
  <c r="AN10" i="58"/>
  <c r="AL10" i="43"/>
  <c r="V10" i="46"/>
  <c r="P10" i="58"/>
  <c r="J10" i="46"/>
  <c r="I13" i="58"/>
  <c r="BR44" i="58"/>
  <c r="BN42" i="58"/>
  <c r="AP42" i="58"/>
  <c r="BZ39" i="58"/>
  <c r="BN39" i="58"/>
  <c r="AH38" i="58"/>
  <c r="BJ37" i="58"/>
  <c r="N37" i="58"/>
  <c r="AT35" i="58"/>
  <c r="AH35" i="58"/>
  <c r="V35" i="58"/>
  <c r="AM30" i="58"/>
  <c r="W30" i="70"/>
  <c r="AV16" i="71" s="1"/>
  <c r="C30" i="58"/>
  <c r="BQ44" i="58"/>
  <c r="AK43" i="58"/>
  <c r="Y43" i="58"/>
  <c r="M43" i="58"/>
  <c r="BM42" i="58"/>
  <c r="Q42" i="58"/>
  <c r="BE41" i="58"/>
  <c r="BU40" i="58"/>
  <c r="Q39" i="58"/>
  <c r="AG38" i="58"/>
  <c r="BM36" i="58"/>
  <c r="BJ34" i="58"/>
  <c r="Z34" i="58"/>
  <c r="BE33" i="58"/>
  <c r="I33" i="58"/>
  <c r="AZ18" i="58"/>
  <c r="BP44" i="58"/>
  <c r="BD44" i="58"/>
  <c r="X43" i="58"/>
  <c r="AZ42" i="58"/>
  <c r="Y34" i="58"/>
  <c r="AR33" i="58"/>
  <c r="BG20" i="58"/>
  <c r="BC44" i="58"/>
  <c r="BG43" i="58"/>
  <c r="W43" i="58"/>
  <c r="BK42" i="58"/>
  <c r="AM42" i="58"/>
  <c r="O42" i="58"/>
  <c r="AE41" i="58"/>
  <c r="AA41" i="70"/>
  <c r="BR18" i="71" s="1"/>
  <c r="E41" i="43"/>
  <c r="AV34" i="58"/>
  <c r="AR34" i="70"/>
  <c r="BE26" i="71" s="1"/>
  <c r="AJ34" i="58"/>
  <c r="AF34" i="70"/>
  <c r="BE20" i="71" s="1"/>
  <c r="T34" i="70"/>
  <c r="BE14" i="71" s="1"/>
  <c r="L34" i="58"/>
  <c r="S33" i="58"/>
  <c r="BA21" i="58"/>
  <c r="AD6" i="44"/>
  <c r="BI12" i="58"/>
  <c r="K12" i="43"/>
  <c r="BE34" i="43"/>
  <c r="AI34" i="58"/>
  <c r="AK26" i="58"/>
  <c r="Y26" i="58"/>
  <c r="AN21" i="58"/>
  <c r="AJ21" i="70"/>
  <c r="AE22" i="71" s="1"/>
  <c r="P21" i="58"/>
  <c r="L21" i="70"/>
  <c r="AE10" i="71" s="1"/>
  <c r="AY16" i="58"/>
  <c r="AM16" i="58"/>
  <c r="AA16" i="58"/>
  <c r="BJ31" i="58"/>
  <c r="Z31" i="58"/>
  <c r="N31" i="58"/>
  <c r="BG29" i="58"/>
  <c r="AI29" i="58"/>
  <c r="W29" i="58"/>
  <c r="K29" i="58"/>
  <c r="BH28" i="70"/>
  <c r="AS34" i="71" s="1"/>
  <c r="AS5" i="71" s="1"/>
  <c r="AZ28" i="58"/>
  <c r="V28" i="46"/>
  <c r="P28" i="58"/>
  <c r="D28" i="58"/>
  <c r="BD27" i="58"/>
  <c r="AR27" i="58"/>
  <c r="AF27" i="58"/>
  <c r="H27" i="58"/>
  <c r="AQ5" i="71"/>
  <c r="BH25" i="58"/>
  <c r="AV25" i="58"/>
  <c r="AF25" i="70"/>
  <c r="AM20" i="71" s="1"/>
  <c r="AM5" i="71" s="1"/>
  <c r="X25" i="58"/>
  <c r="R25" i="46"/>
  <c r="L25" i="58"/>
  <c r="BD23" i="58"/>
  <c r="AR23" i="58"/>
  <c r="T23" i="58"/>
  <c r="H23" i="58"/>
  <c r="BF22" i="58"/>
  <c r="BH16" i="58"/>
  <c r="BF16" i="43"/>
  <c r="BD16" i="70"/>
  <c r="U32" i="71" s="1"/>
  <c r="AV16" i="58"/>
  <c r="AT16" i="43"/>
  <c r="AR16" i="70"/>
  <c r="U26" i="71" s="1"/>
  <c r="AP16" i="46"/>
  <c r="AJ16" i="58"/>
  <c r="AH16" i="43"/>
  <c r="X16" i="58"/>
  <c r="V16" i="43"/>
  <c r="T16" i="70"/>
  <c r="U14" i="71" s="1"/>
  <c r="J16" i="43"/>
  <c r="H16" i="70"/>
  <c r="U8" i="71" s="1"/>
  <c r="AY10" i="58"/>
  <c r="AM10" i="58"/>
  <c r="H22" i="71"/>
  <c r="AA10" i="58"/>
  <c r="O10" i="58"/>
  <c r="BG34" i="58"/>
  <c r="AL31" i="58"/>
  <c r="AJ25" i="58"/>
  <c r="J44" i="58"/>
  <c r="BF38" i="58"/>
  <c r="BV37" i="58"/>
  <c r="T35" i="43"/>
  <c r="E18" i="58"/>
  <c r="AW43" i="58"/>
  <c r="BY42" i="58"/>
  <c r="AG41" i="58"/>
  <c r="BI40" i="58"/>
  <c r="BA39" i="58"/>
  <c r="BU37" i="58"/>
  <c r="AK37" i="58"/>
  <c r="Y37" i="58"/>
  <c r="AL34" i="58"/>
  <c r="U22" i="70"/>
  <c r="AF15" i="71" s="1"/>
  <c r="BH18" i="70"/>
  <c r="Y34" i="71" s="1"/>
  <c r="Z18" i="43"/>
  <c r="P18" i="58"/>
  <c r="J35" i="58"/>
  <c r="BY13" i="71"/>
  <c r="BY12" i="71"/>
  <c r="H44" i="58"/>
  <c r="BT43" i="58"/>
  <c r="BC5" i="71"/>
  <c r="M18" i="43"/>
  <c r="C18" i="58"/>
  <c r="BA41" i="43"/>
  <c r="BV44" i="58"/>
  <c r="BJ44" i="58"/>
  <c r="AX44" i="58"/>
  <c r="AL44" i="58"/>
  <c r="Z44" i="58"/>
  <c r="N44" i="58"/>
  <c r="BZ43" i="58"/>
  <c r="BN43" i="58"/>
  <c r="BB43" i="58"/>
  <c r="AP43" i="58"/>
  <c r="AD43" i="58"/>
  <c r="R43" i="58"/>
  <c r="BW12" i="71"/>
  <c r="BW11" i="71"/>
  <c r="F43" i="58"/>
  <c r="BW7" i="57" s="1"/>
  <c r="BR42" i="58"/>
  <c r="AT42" i="58"/>
  <c r="V42" i="58"/>
  <c r="J42" i="58"/>
  <c r="BV41" i="58"/>
  <c r="BJ41" i="58"/>
  <c r="AX41" i="58"/>
  <c r="AL41" i="58"/>
  <c r="BS9" i="71"/>
  <c r="BS10" i="71"/>
  <c r="BZ40" i="58"/>
  <c r="BN40" i="58"/>
  <c r="BB40" i="58"/>
  <c r="AP40" i="58"/>
  <c r="AD40" i="58"/>
  <c r="R40" i="58"/>
  <c r="F40" i="58"/>
  <c r="BQ7" i="57" s="1"/>
  <c r="H59" i="59" s="1"/>
  <c r="BR39" i="58"/>
  <c r="BF39" i="58"/>
  <c r="AT39" i="58"/>
  <c r="V39" i="58"/>
  <c r="J39" i="58"/>
  <c r="BO7" i="71"/>
  <c r="BO8" i="71"/>
  <c r="BV38" i="58"/>
  <c r="BJ38" i="58"/>
  <c r="AX38" i="58"/>
  <c r="Z38" i="58"/>
  <c r="N38" i="58"/>
  <c r="BZ37" i="58"/>
  <c r="BN37" i="58"/>
  <c r="BB37" i="58"/>
  <c r="AP37" i="58"/>
  <c r="AR32" i="58"/>
  <c r="AP32" i="43"/>
  <c r="AN32" i="70"/>
  <c r="BA24" i="71" s="1"/>
  <c r="AF32" i="58"/>
  <c r="Z32" i="46"/>
  <c r="T32" i="58"/>
  <c r="P32" i="70"/>
  <c r="BA12" i="71" s="1"/>
  <c r="N32" i="46"/>
  <c r="Y31" i="58"/>
  <c r="W31" i="43"/>
  <c r="M31" i="58"/>
  <c r="BF29" i="58"/>
  <c r="AT29" i="58"/>
  <c r="AH29" i="58"/>
  <c r="J29" i="58"/>
  <c r="BC27" i="58"/>
  <c r="AQ27" i="58"/>
  <c r="AE27" i="58"/>
  <c r="G27" i="58"/>
  <c r="BG25" i="58"/>
  <c r="AU25" i="58"/>
  <c r="AI25" i="58"/>
  <c r="AG25" i="43"/>
  <c r="AE25" i="70"/>
  <c r="AL20" i="71" s="1"/>
  <c r="W25" i="58"/>
  <c r="K25" i="58"/>
  <c r="BC23" i="58"/>
  <c r="AQ23" i="58"/>
  <c r="AE23" i="58"/>
  <c r="S23" i="58"/>
  <c r="G23" i="58"/>
  <c r="BE22" i="58"/>
  <c r="BD22" i="58"/>
  <c r="BF11" i="58"/>
  <c r="AT11" i="58"/>
  <c r="V11" i="58"/>
  <c r="AK31" i="58"/>
  <c r="BQ9" i="71"/>
  <c r="BQ8" i="71"/>
  <c r="BJ43" i="58"/>
  <c r="AX43" i="58"/>
  <c r="AL43" i="58"/>
  <c r="BR41" i="58"/>
  <c r="V41" i="58"/>
  <c r="AX40" i="58"/>
  <c r="AY30" i="58"/>
  <c r="AA30" i="58"/>
  <c r="O30" i="58"/>
  <c r="BA18" i="58"/>
  <c r="S20" i="58"/>
  <c r="U41" i="58"/>
  <c r="U38" i="58"/>
  <c r="BI37" i="58"/>
  <c r="AW37" i="58"/>
  <c r="N34" i="58"/>
  <c r="L18" i="70"/>
  <c r="Y10" i="71" s="1"/>
  <c r="D18" i="58"/>
  <c r="BX42" i="58"/>
  <c r="AW34" i="58"/>
  <c r="AK20" i="58"/>
  <c r="O18" i="58"/>
  <c r="X57" i="67"/>
  <c r="AU43" i="58"/>
  <c r="AI43" i="58"/>
  <c r="C42" i="58"/>
  <c r="BU44" i="58"/>
  <c r="AW44" i="58"/>
  <c r="AK44" i="58"/>
  <c r="Y44" i="58"/>
  <c r="M44" i="58"/>
  <c r="BY43" i="58"/>
  <c r="BM43" i="58"/>
  <c r="BA43" i="58"/>
  <c r="AO43" i="58"/>
  <c r="AC43" i="58"/>
  <c r="Q43" i="58"/>
  <c r="E43" i="58"/>
  <c r="BV7" i="57" s="1"/>
  <c r="BQ42" i="58"/>
  <c r="BE42" i="58"/>
  <c r="AS42" i="58"/>
  <c r="AG42" i="58"/>
  <c r="U42" i="58"/>
  <c r="I42" i="58"/>
  <c r="BU41" i="58"/>
  <c r="BI41" i="58"/>
  <c r="AW41" i="58"/>
  <c r="AK41" i="58"/>
  <c r="Y41" i="58"/>
  <c r="M41" i="58"/>
  <c r="BY40" i="58"/>
  <c r="BM40" i="58"/>
  <c r="BA40" i="58"/>
  <c r="AO40" i="58"/>
  <c r="AC40" i="58"/>
  <c r="Q40" i="58"/>
  <c r="E40" i="58"/>
  <c r="BP7" i="57" s="1"/>
  <c r="H11" i="59" s="1"/>
  <c r="BQ39" i="58"/>
  <c r="BE39" i="58"/>
  <c r="AS39" i="58"/>
  <c r="AG39" i="58"/>
  <c r="U39" i="58"/>
  <c r="I39" i="58"/>
  <c r="BU38" i="58"/>
  <c r="BI38" i="58"/>
  <c r="AW38" i="58"/>
  <c r="Y38" i="58"/>
  <c r="M38" i="58"/>
  <c r="BY37" i="58"/>
  <c r="BA37" i="58"/>
  <c r="AO37" i="58"/>
  <c r="AC37" i="58"/>
  <c r="Q37" i="58"/>
  <c r="BJ7" i="57"/>
  <c r="BE36" i="58"/>
  <c r="AS36" i="58"/>
  <c r="AG36" i="58"/>
  <c r="U36" i="58"/>
  <c r="I36" i="58"/>
  <c r="BU35" i="58"/>
  <c r="BI35" i="58"/>
  <c r="AW35" i="58"/>
  <c r="AK35" i="58"/>
  <c r="Y35" i="58"/>
  <c r="AQ32" i="58"/>
  <c r="AE32" i="58"/>
  <c r="S32" i="58"/>
  <c r="M32" i="46"/>
  <c r="G32" i="58"/>
  <c r="E32" i="43"/>
  <c r="AZ7" i="44" s="1"/>
  <c r="N11" i="45" s="1"/>
  <c r="BH31" i="58"/>
  <c r="AV31" i="58"/>
  <c r="AR31" i="70"/>
  <c r="AY26" i="71" s="1"/>
  <c r="AF31" i="70"/>
  <c r="AY20" i="71" s="1"/>
  <c r="X31" i="58"/>
  <c r="H31" i="70"/>
  <c r="AY8" i="71" s="1"/>
  <c r="F31" i="46"/>
  <c r="BE29" i="58"/>
  <c r="AS29" i="58"/>
  <c r="AG29" i="58"/>
  <c r="I29" i="58"/>
  <c r="BB27" i="58"/>
  <c r="AP27" i="58"/>
  <c r="R27" i="58"/>
  <c r="F27" i="58"/>
  <c r="AQ6" i="44"/>
  <c r="BB23" i="58"/>
  <c r="AV23" i="46"/>
  <c r="AP23" i="58"/>
  <c r="AD23" i="58"/>
  <c r="Z23" i="70"/>
  <c r="AI17" i="71" s="1"/>
  <c r="AI5" i="71" s="1"/>
  <c r="X23" i="46"/>
  <c r="R23" i="58"/>
  <c r="L23" i="46"/>
  <c r="F23" i="58"/>
  <c r="BI14" i="58"/>
  <c r="AW14" i="58"/>
  <c r="AK14" i="58"/>
  <c r="Y14" i="58"/>
  <c r="M14" i="58"/>
  <c r="BE11" i="58"/>
  <c r="AS11" i="58"/>
  <c r="AG11" i="58"/>
  <c r="U11" i="58"/>
  <c r="I11" i="58"/>
  <c r="AJ31" i="58"/>
  <c r="Z25" i="58"/>
  <c r="AK16" i="58"/>
  <c r="BZ42" i="58"/>
  <c r="AT41" i="58"/>
  <c r="BN36" i="58"/>
  <c r="AD36" i="58"/>
  <c r="X6" i="44"/>
  <c r="D10" i="45" s="1"/>
  <c r="BE44" i="58"/>
  <c r="BA42" i="58"/>
  <c r="AO42" i="58"/>
  <c r="AW40" i="58"/>
  <c r="AK40" i="58"/>
  <c r="AO39" i="58"/>
  <c r="AC39" i="58"/>
  <c r="I38" i="58"/>
  <c r="U33" i="58"/>
  <c r="AI20" i="43"/>
  <c r="BJ18" i="43"/>
  <c r="X18" i="70"/>
  <c r="Y16" i="71" s="1"/>
  <c r="J18" i="46"/>
  <c r="F36" i="58"/>
  <c r="BI7" i="57" s="1"/>
  <c r="BH43" i="58"/>
  <c r="AJ43" i="58"/>
  <c r="BL42" i="58"/>
  <c r="BI34" i="58"/>
  <c r="M34" i="58"/>
  <c r="AF33" i="58"/>
  <c r="BB20" i="43"/>
  <c r="AY18" i="58"/>
  <c r="AY44" i="70"/>
  <c r="BX30" i="71" s="1"/>
  <c r="AE44" i="58"/>
  <c r="G44" i="58"/>
  <c r="BT44" i="58"/>
  <c r="BH44" i="58"/>
  <c r="AV44" i="58"/>
  <c r="AJ44" i="58"/>
  <c r="X44" i="58"/>
  <c r="L44" i="58"/>
  <c r="BX43" i="58"/>
  <c r="BL43" i="58"/>
  <c r="AZ43" i="58"/>
  <c r="AN43" i="58"/>
  <c r="D43" i="58"/>
  <c r="BP42" i="58"/>
  <c r="BD42" i="58"/>
  <c r="AF42" i="58"/>
  <c r="T42" i="58"/>
  <c r="H42" i="58"/>
  <c r="BT41" i="58"/>
  <c r="BH41" i="58"/>
  <c r="AV41" i="58"/>
  <c r="AJ41" i="58"/>
  <c r="X41" i="58"/>
  <c r="L41" i="58"/>
  <c r="BX40" i="58"/>
  <c r="BL40" i="58"/>
  <c r="AZ40" i="58"/>
  <c r="AN40" i="58"/>
  <c r="P40" i="58"/>
  <c r="BP39" i="58"/>
  <c r="BD39" i="58"/>
  <c r="H39" i="58"/>
  <c r="BT38" i="58"/>
  <c r="BH38" i="58"/>
  <c r="AJ38" i="58"/>
  <c r="X38" i="58"/>
  <c r="L38" i="58"/>
  <c r="BX37" i="58"/>
  <c r="BL37" i="58"/>
  <c r="AZ37" i="58"/>
  <c r="AN37" i="58"/>
  <c r="P37" i="58"/>
  <c r="D37" i="58"/>
  <c r="BD36" i="58"/>
  <c r="AR36" i="58"/>
  <c r="T36" i="58"/>
  <c r="H36" i="58"/>
  <c r="BT35" i="58"/>
  <c r="BH35" i="58"/>
  <c r="AV35" i="58"/>
  <c r="X35" i="58"/>
  <c r="L35" i="58"/>
  <c r="BA30" i="58"/>
  <c r="AO30" i="58"/>
  <c r="AC30" i="58"/>
  <c r="Q30" i="58"/>
  <c r="BD29" i="58"/>
  <c r="AP29" i="43"/>
  <c r="AF29" i="58"/>
  <c r="BA23" i="58"/>
  <c r="AW23" i="70"/>
  <c r="AH29" i="71" s="1"/>
  <c r="AO23" i="58"/>
  <c r="AM23" i="43"/>
  <c r="AC23" i="58"/>
  <c r="AA23" i="43"/>
  <c r="Q23" i="58"/>
  <c r="E23" i="58"/>
  <c r="BH14" i="58"/>
  <c r="Q32" i="71"/>
  <c r="AV14" i="58"/>
  <c r="AJ14" i="58"/>
  <c r="X14" i="58"/>
  <c r="L14" i="58"/>
  <c r="BJ11" i="46"/>
  <c r="BD11" i="58"/>
  <c r="AZ11" i="70"/>
  <c r="K30" i="71" s="1"/>
  <c r="AX11" i="46"/>
  <c r="AP11" i="43"/>
  <c r="AF11" i="58"/>
  <c r="AD11" i="43"/>
  <c r="Z11" i="46"/>
  <c r="T11" i="58"/>
  <c r="P11" i="70"/>
  <c r="K12" i="71" s="1"/>
  <c r="N11" i="46"/>
  <c r="H11" i="58"/>
  <c r="F11" i="43"/>
  <c r="K7" i="44" s="1"/>
  <c r="D11" i="70"/>
  <c r="K6" i="71" s="1"/>
  <c r="Y25" i="58"/>
  <c r="BF41" i="58"/>
  <c r="AL40" i="58"/>
  <c r="R39" i="58"/>
  <c r="F39" i="58"/>
  <c r="BO7" i="57" s="1"/>
  <c r="V38" i="58"/>
  <c r="AX37" i="58"/>
  <c r="AS44" i="58"/>
  <c r="BI43" i="58"/>
  <c r="AC42" i="58"/>
  <c r="BQ41" i="58"/>
  <c r="AS41" i="58"/>
  <c r="M40" i="58"/>
  <c r="BY39" i="58"/>
  <c r="BQ38" i="58"/>
  <c r="M37" i="58"/>
  <c r="BY36" i="58"/>
  <c r="AX34" i="58"/>
  <c r="AS33" i="58"/>
  <c r="AG33" i="58"/>
  <c r="AX18" i="43"/>
  <c r="AF44" i="58"/>
  <c r="AK34" i="58"/>
  <c r="AJ20" i="58"/>
  <c r="AW18" i="43"/>
  <c r="AA18" i="58"/>
  <c r="BO44" i="58"/>
  <c r="AQ44" i="58"/>
  <c r="S44" i="58"/>
  <c r="BS43" i="58"/>
  <c r="BS42" i="70"/>
  <c r="BT40" i="71" s="1"/>
  <c r="AY42" i="58"/>
  <c r="BI44" i="58"/>
  <c r="BS44" i="58"/>
  <c r="BG44" i="58"/>
  <c r="AU44" i="58"/>
  <c r="AI44" i="58"/>
  <c r="W44" i="58"/>
  <c r="K44" i="58"/>
  <c r="BW43" i="58"/>
  <c r="BK43" i="58"/>
  <c r="AY43" i="58"/>
  <c r="AM43" i="58"/>
  <c r="AA43" i="58"/>
  <c r="C43" i="58"/>
  <c r="BO42" i="58"/>
  <c r="BC42" i="58"/>
  <c r="AE42" i="58"/>
  <c r="S42" i="58"/>
  <c r="G42" i="58"/>
  <c r="BS41" i="58"/>
  <c r="BG41" i="58"/>
  <c r="AU41" i="58"/>
  <c r="AI41" i="58"/>
  <c r="W41" i="58"/>
  <c r="K41" i="58"/>
  <c r="BW40" i="58"/>
  <c r="BK40" i="58"/>
  <c r="AY40" i="58"/>
  <c r="AM40" i="58"/>
  <c r="AA40" i="58"/>
  <c r="O40" i="58"/>
  <c r="BO39" i="58"/>
  <c r="BC39" i="58"/>
  <c r="AQ39" i="58"/>
  <c r="AE39" i="58"/>
  <c r="G39" i="58"/>
  <c r="BS38" i="58"/>
  <c r="BG38" i="58"/>
  <c r="AU38" i="58"/>
  <c r="AI38" i="58"/>
  <c r="W38" i="58"/>
  <c r="K38" i="58"/>
  <c r="BW37" i="58"/>
  <c r="AY37" i="58"/>
  <c r="AM37" i="58"/>
  <c r="AA37" i="58"/>
  <c r="O37" i="58"/>
  <c r="BO36" i="58"/>
  <c r="BC36" i="58"/>
  <c r="AQ36" i="58"/>
  <c r="S36" i="58"/>
  <c r="G36" i="58"/>
  <c r="BS35" i="58"/>
  <c r="BG35" i="58"/>
  <c r="AI35" i="58"/>
  <c r="W35" i="58"/>
  <c r="K35" i="58"/>
  <c r="AZ30" i="58"/>
  <c r="AN30" i="58"/>
  <c r="AL30" i="43"/>
  <c r="X30" i="70"/>
  <c r="AW16" i="71" s="1"/>
  <c r="AW5" i="71" s="1"/>
  <c r="P30" i="58"/>
  <c r="J30" i="46"/>
  <c r="D30" i="58"/>
  <c r="BG14" i="58"/>
  <c r="P26" i="71"/>
  <c r="AI14" i="58"/>
  <c r="P20" i="71"/>
  <c r="W14" i="58"/>
  <c r="K14" i="58"/>
  <c r="Z43" i="58"/>
  <c r="AF16" i="70"/>
  <c r="U20" i="71" s="1"/>
  <c r="AU5" i="71"/>
  <c r="AO27" i="58"/>
  <c r="AC27" i="58"/>
  <c r="E27" i="58"/>
  <c r="AP6" i="44"/>
  <c r="BH26" i="58"/>
  <c r="AV26" i="58"/>
  <c r="X26" i="58"/>
  <c r="L26" i="58"/>
  <c r="BE24" i="58"/>
  <c r="AS24" i="58"/>
  <c r="AG24" i="58"/>
  <c r="U24" i="58"/>
  <c r="BA22" i="58"/>
  <c r="AO17" i="58"/>
  <c r="AM17" i="43"/>
  <c r="E17" i="58"/>
  <c r="C17" i="43"/>
  <c r="BG16" i="58"/>
  <c r="W16" i="58"/>
  <c r="AT14" i="58"/>
  <c r="Q25" i="71"/>
  <c r="Q19" i="71"/>
  <c r="V14" i="58"/>
  <c r="AQ11" i="58"/>
  <c r="BE9" i="58"/>
  <c r="AG9" i="58"/>
  <c r="U9" i="58"/>
  <c r="I9" i="58"/>
  <c r="AA33" i="58"/>
  <c r="AQ29" i="58"/>
  <c r="AE29" i="58"/>
  <c r="AO28" i="58"/>
  <c r="AC28" i="58"/>
  <c r="E28" i="58"/>
  <c r="D27" i="58"/>
  <c r="BG26" i="58"/>
  <c r="AU26" i="58"/>
  <c r="W26" i="58"/>
  <c r="K26" i="58"/>
  <c r="BD24" i="58"/>
  <c r="T24" i="58"/>
  <c r="H24" i="58"/>
  <c r="AZ22" i="58"/>
  <c r="AO19" i="58"/>
  <c r="AC19" i="58"/>
  <c r="Q19" i="58"/>
  <c r="BA15" i="58"/>
  <c r="AO15" i="58"/>
  <c r="AC15" i="58"/>
  <c r="E15" i="58"/>
  <c r="R6" i="44"/>
  <c r="G10" i="45" s="1"/>
  <c r="AS14" i="58"/>
  <c r="AG14" i="58"/>
  <c r="I14" i="58"/>
  <c r="G36" i="71"/>
  <c r="BD9" i="58"/>
  <c r="AR9" i="58"/>
  <c r="G12" i="71"/>
  <c r="H9" i="58"/>
  <c r="AI16" i="58"/>
  <c r="AE11" i="58"/>
  <c r="AY27" i="58"/>
  <c r="AM27" i="58"/>
  <c r="AT26" i="58"/>
  <c r="V26" i="58"/>
  <c r="J26" i="58"/>
  <c r="BC24" i="58"/>
  <c r="S24" i="58"/>
  <c r="G24" i="58"/>
  <c r="M20" i="58"/>
  <c r="L20" i="58"/>
  <c r="AZ19" i="58"/>
  <c r="D19" i="58"/>
  <c r="AZ15" i="58"/>
  <c r="AT15" i="46"/>
  <c r="AN15" i="58"/>
  <c r="AL15" i="43"/>
  <c r="X15" i="70"/>
  <c r="S16" i="71" s="1"/>
  <c r="S5" i="71" s="1"/>
  <c r="V15" i="46"/>
  <c r="AR14" i="58"/>
  <c r="Q24" i="71"/>
  <c r="AL14" i="46"/>
  <c r="R14" i="43"/>
  <c r="Q6" i="71"/>
  <c r="BA11" i="58"/>
  <c r="AC11" i="58"/>
  <c r="AA11" i="43"/>
  <c r="Q11" i="58"/>
  <c r="J11" i="71"/>
  <c r="J6" i="44"/>
  <c r="H43" i="71"/>
  <c r="AQ9" i="58"/>
  <c r="AE9" i="58"/>
  <c r="G9" i="58"/>
  <c r="AA27" i="58"/>
  <c r="U14" i="58"/>
  <c r="BA36" i="58"/>
  <c r="AO36" i="58"/>
  <c r="AC36" i="58"/>
  <c r="Q36" i="58"/>
  <c r="E36" i="58"/>
  <c r="BH7" i="57" s="1"/>
  <c r="BE35" i="58"/>
  <c r="AG35" i="58"/>
  <c r="U35" i="58"/>
  <c r="I35" i="58"/>
  <c r="F33" i="58"/>
  <c r="BI32" i="58"/>
  <c r="AK32" i="58"/>
  <c r="BG31" i="58"/>
  <c r="AU31" i="58"/>
  <c r="AY28" i="58"/>
  <c r="AA28" i="58"/>
  <c r="O28" i="58"/>
  <c r="BE26" i="58"/>
  <c r="U26" i="58"/>
  <c r="BB24" i="58"/>
  <c r="AP24" i="58"/>
  <c r="R24" i="58"/>
  <c r="Q22" i="58"/>
  <c r="P22" i="58"/>
  <c r="K20" i="58"/>
  <c r="J20" i="58"/>
  <c r="AY19" i="58"/>
  <c r="AM19" i="58"/>
  <c r="AA19" i="58"/>
  <c r="AA15" i="58"/>
  <c r="C15" i="58"/>
  <c r="L41" i="71"/>
  <c r="BE12" i="58"/>
  <c r="AG12" i="58"/>
  <c r="AP9" i="58"/>
  <c r="G6" i="44"/>
  <c r="T14" i="58"/>
  <c r="AN42" i="58"/>
  <c r="BU11" i="71"/>
  <c r="BU10" i="71"/>
  <c r="D42" i="58"/>
  <c r="T41" i="58"/>
  <c r="BT40" i="58"/>
  <c r="BH40" i="58"/>
  <c r="AV40" i="58"/>
  <c r="AJ40" i="58"/>
  <c r="BX39" i="58"/>
  <c r="BL39" i="58"/>
  <c r="AZ39" i="58"/>
  <c r="P39" i="58"/>
  <c r="D39" i="58"/>
  <c r="BP38" i="58"/>
  <c r="BD38" i="58"/>
  <c r="AR38" i="58"/>
  <c r="AF38" i="58"/>
  <c r="BT37" i="58"/>
  <c r="L37" i="58"/>
  <c r="BL36" i="58"/>
  <c r="AZ36" i="58"/>
  <c r="AN36" i="58"/>
  <c r="BP35" i="58"/>
  <c r="BD35" i="58"/>
  <c r="AR35" i="58"/>
  <c r="H35" i="58"/>
  <c r="BA33" i="58"/>
  <c r="AO33" i="58"/>
  <c r="AC33" i="58"/>
  <c r="Q33" i="58"/>
  <c r="E33" i="58"/>
  <c r="BB6" i="44"/>
  <c r="P10" i="45" s="1"/>
  <c r="BH32" i="58"/>
  <c r="AV32" i="58"/>
  <c r="AJ32" i="58"/>
  <c r="X32" i="58"/>
  <c r="L32" i="58"/>
  <c r="BE30" i="58"/>
  <c r="AG30" i="58"/>
  <c r="BJ28" i="58"/>
  <c r="AX28" i="58"/>
  <c r="Z28" i="58"/>
  <c r="N28" i="58"/>
  <c r="BD26" i="58"/>
  <c r="AF26" i="58"/>
  <c r="AO5" i="71"/>
  <c r="BA24" i="58"/>
  <c r="AO24" i="58"/>
  <c r="Q24" i="58"/>
  <c r="O22" i="58"/>
  <c r="N22" i="58"/>
  <c r="I20" i="58"/>
  <c r="AS18" i="58"/>
  <c r="I18" i="58"/>
  <c r="BI17" i="58"/>
  <c r="AK17" i="58"/>
  <c r="Y17" i="58"/>
  <c r="M17" i="58"/>
  <c r="Q38" i="71"/>
  <c r="AW13" i="58"/>
  <c r="AK13" i="58"/>
  <c r="N15" i="71"/>
  <c r="M13" i="58"/>
  <c r="L40" i="71"/>
  <c r="BD12" i="58"/>
  <c r="M30" i="71"/>
  <c r="AF12" i="58"/>
  <c r="T12" i="58"/>
  <c r="N12" i="46"/>
  <c r="H12" i="58"/>
  <c r="BA9" i="58"/>
  <c r="AC9" i="58"/>
  <c r="E9" i="58"/>
  <c r="F6" i="44"/>
  <c r="BE14" i="58"/>
  <c r="AO9" i="58"/>
  <c r="BK36" i="58"/>
  <c r="AY36" i="58"/>
  <c r="AM36" i="58"/>
  <c r="O36" i="58"/>
  <c r="BO35" i="58"/>
  <c r="BC35" i="58"/>
  <c r="AQ35" i="58"/>
  <c r="G35" i="58"/>
  <c r="BA34" i="58"/>
  <c r="AO34" i="58"/>
  <c r="E34" i="58"/>
  <c r="AN33" i="58"/>
  <c r="BG32" i="58"/>
  <c r="AI32" i="58"/>
  <c r="W32" i="58"/>
  <c r="K32" i="58"/>
  <c r="BD30" i="58"/>
  <c r="AF30" i="58"/>
  <c r="T30" i="58"/>
  <c r="H30" i="58"/>
  <c r="BI28" i="58"/>
  <c r="AW28" i="58"/>
  <c r="Y28" i="58"/>
  <c r="M28" i="58"/>
  <c r="BC26" i="58"/>
  <c r="AE26" i="58"/>
  <c r="S26" i="58"/>
  <c r="G26" i="58"/>
  <c r="BA25" i="58"/>
  <c r="AO25" i="58"/>
  <c r="AC25" i="58"/>
  <c r="Q25" i="58"/>
  <c r="E25" i="58"/>
  <c r="AN24" i="58"/>
  <c r="D24" i="58"/>
  <c r="BG23" i="58"/>
  <c r="AI23" i="58"/>
  <c r="M22" i="58"/>
  <c r="AF21" i="58"/>
  <c r="X20" i="58"/>
  <c r="G20" i="58"/>
  <c r="BD18" i="58"/>
  <c r="AR18" i="58"/>
  <c r="T18" i="58"/>
  <c r="H18" i="58"/>
  <c r="BH17" i="58"/>
  <c r="AV17" i="58"/>
  <c r="X17" i="58"/>
  <c r="BI15" i="58"/>
  <c r="AW15" i="58"/>
  <c r="AK15" i="58"/>
  <c r="AI15" i="43"/>
  <c r="Y15" i="58"/>
  <c r="M15" i="58"/>
  <c r="BH13" i="58"/>
  <c r="BD13" i="70"/>
  <c r="O32" i="71" s="1"/>
  <c r="BB13" i="46"/>
  <c r="AV13" i="58"/>
  <c r="O26" i="71"/>
  <c r="AJ13" i="58"/>
  <c r="AH13" i="43"/>
  <c r="T13" i="70"/>
  <c r="O14" i="71" s="1"/>
  <c r="R13" i="46"/>
  <c r="BC12" i="58"/>
  <c r="AE12" i="58"/>
  <c r="S12" i="58"/>
  <c r="G12" i="58"/>
  <c r="H39" i="71"/>
  <c r="BE10" i="58"/>
  <c r="BC10" i="43"/>
  <c r="H31" i="71"/>
  <c r="AG10" i="58"/>
  <c r="G10" i="43"/>
  <c r="BF9" i="46"/>
  <c r="AV9" i="70"/>
  <c r="G28" i="71" s="1"/>
  <c r="X9" i="70"/>
  <c r="G16" i="71" s="1"/>
  <c r="L9" i="70"/>
  <c r="G10" i="71" s="1"/>
  <c r="J9" i="46"/>
  <c r="D9" i="58"/>
  <c r="AF22" i="58"/>
  <c r="AC17" i="58"/>
  <c r="AM15" i="58"/>
  <c r="BD14" i="58"/>
  <c r="S11" i="58"/>
  <c r="P34" i="58"/>
  <c r="D34" i="58"/>
  <c r="AM33" i="58"/>
  <c r="C33" i="58"/>
  <c r="BC30" i="58"/>
  <c r="AE30" i="58"/>
  <c r="S30" i="58"/>
  <c r="G30" i="58"/>
  <c r="AV28" i="58"/>
  <c r="AJ28" i="58"/>
  <c r="AN25" i="58"/>
  <c r="D25" i="58"/>
  <c r="AA24" i="58"/>
  <c r="BF23" i="58"/>
  <c r="AH23" i="58"/>
  <c r="AC22" i="58"/>
  <c r="BC21" i="58"/>
  <c r="AQ21" i="58"/>
  <c r="AE21" i="58"/>
  <c r="AQ20" i="58"/>
  <c r="W20" i="58"/>
  <c r="AB13" i="71"/>
  <c r="BC18" i="58"/>
  <c r="AQ18" i="58"/>
  <c r="S18" i="58"/>
  <c r="G18" i="58"/>
  <c r="AO16" i="58"/>
  <c r="E16" i="58"/>
  <c r="BG13" i="58"/>
  <c r="AI13" i="58"/>
  <c r="H37" i="71"/>
  <c r="AY9" i="58"/>
  <c r="AM9" i="58"/>
  <c r="AA9" i="58"/>
  <c r="C9" i="58"/>
  <c r="BB33" i="58"/>
  <c r="D33" i="58"/>
  <c r="F24" i="58"/>
  <c r="I10" i="58"/>
  <c r="W5" i="71"/>
  <c r="BS40" i="58"/>
  <c r="BG40" i="58"/>
  <c r="AU40" i="58"/>
  <c r="AI40" i="58"/>
  <c r="W40" i="58"/>
  <c r="K40" i="58"/>
  <c r="BW39" i="58"/>
  <c r="BK39" i="58"/>
  <c r="AY39" i="58"/>
  <c r="AA39" i="58"/>
  <c r="O39" i="58"/>
  <c r="BO38" i="58"/>
  <c r="BC38" i="58"/>
  <c r="AQ38" i="58"/>
  <c r="AE38" i="58"/>
  <c r="S38" i="58"/>
  <c r="G38" i="58"/>
  <c r="BS37" i="58"/>
  <c r="K37" i="58"/>
  <c r="BW36" i="58"/>
  <c r="BZ44" i="58"/>
  <c r="BN44" i="58"/>
  <c r="BB44" i="58"/>
  <c r="AP44" i="58"/>
  <c r="F44" i="58"/>
  <c r="BY7" i="57" s="1"/>
  <c r="BR43" i="58"/>
  <c r="BF43" i="58"/>
  <c r="J43" i="58"/>
  <c r="AZ34" i="58"/>
  <c r="AN34" i="58"/>
  <c r="AM34" i="58"/>
  <c r="AA34" i="58"/>
  <c r="O34" i="58"/>
  <c r="C34" i="58"/>
  <c r="BE32" i="58"/>
  <c r="AG32" i="58"/>
  <c r="U32" i="58"/>
  <c r="I32" i="58"/>
  <c r="R30" i="58"/>
  <c r="BI29" i="58"/>
  <c r="AK29" i="58"/>
  <c r="Y29" i="58"/>
  <c r="M29" i="58"/>
  <c r="BG28" i="58"/>
  <c r="W28" i="58"/>
  <c r="K28" i="58"/>
  <c r="AM25" i="58"/>
  <c r="C25" i="58"/>
  <c r="AG23" i="58"/>
  <c r="AA22" i="58"/>
  <c r="BB21" i="58"/>
  <c r="AD21" i="58"/>
  <c r="R21" i="58"/>
  <c r="BH20" i="58"/>
  <c r="AO20" i="58"/>
  <c r="U20" i="58"/>
  <c r="P20" i="70"/>
  <c r="AC12" i="71" s="1"/>
  <c r="AD18" i="58"/>
  <c r="F18" i="58"/>
  <c r="AZ16" i="58"/>
  <c r="AN16" i="58"/>
  <c r="P16" i="58"/>
  <c r="D16" i="58"/>
  <c r="L36" i="71"/>
  <c r="V32" i="58"/>
  <c r="C24" i="58"/>
  <c r="AX42" i="58"/>
  <c r="BB41" i="58"/>
  <c r="BJ39" i="58"/>
  <c r="N39" i="58"/>
  <c r="BB38" i="58"/>
  <c r="F38" i="58"/>
  <c r="BM7" i="57" s="1"/>
  <c r="BF37" i="58"/>
  <c r="V37" i="58"/>
  <c r="AX36" i="58"/>
  <c r="BN35" i="58"/>
  <c r="N27" i="58"/>
  <c r="J25" i="58"/>
  <c r="BJ24" i="58"/>
  <c r="BI21" i="58"/>
  <c r="Y21" i="58"/>
  <c r="M21" i="58"/>
  <c r="AI17" i="58"/>
  <c r="AE14" i="58"/>
  <c r="M6" i="44"/>
  <c r="I27" i="71"/>
  <c r="I9" i="71"/>
  <c r="U34" i="58"/>
  <c r="AG31" i="58"/>
  <c r="L27" i="58"/>
  <c r="BJ26" i="58"/>
  <c r="AT25" i="58"/>
  <c r="AX19" i="58"/>
  <c r="AR17" i="58"/>
  <c r="H17" i="58"/>
  <c r="Z39" i="58"/>
  <c r="J37" i="58"/>
  <c r="AN44" i="58"/>
  <c r="AR43" i="58"/>
  <c r="R41" i="58"/>
  <c r="I11" i="71"/>
  <c r="BM44" i="58"/>
  <c r="BA44" i="58"/>
  <c r="AC44" i="58"/>
  <c r="BQ43" i="58"/>
  <c r="BE43" i="58"/>
  <c r="BI42" i="58"/>
  <c r="AK42" i="58"/>
  <c r="BY41" i="58"/>
  <c r="BM41" i="58"/>
  <c r="BE40" i="58"/>
  <c r="BI39" i="58"/>
  <c r="Y39" i="58"/>
  <c r="AC38" i="58"/>
  <c r="BQ37" i="58"/>
  <c r="AK36" i="58"/>
  <c r="BY35" i="58"/>
  <c r="Q35" i="58"/>
  <c r="AG34" i="58"/>
  <c r="AO32" i="58"/>
  <c r="I31" i="58"/>
  <c r="AT6" i="44"/>
  <c r="F10" i="45" s="1"/>
  <c r="BI27" i="58"/>
  <c r="I25" i="58"/>
  <c r="W22" i="58"/>
  <c r="AK18" i="58"/>
  <c r="BE15" i="58"/>
  <c r="AG15" i="58"/>
  <c r="U15" i="58"/>
  <c r="I15" i="58"/>
  <c r="AO13" i="58"/>
  <c r="AC13" i="58"/>
  <c r="Q13" i="58"/>
  <c r="H33" i="71"/>
  <c r="AW10" i="58"/>
  <c r="Y10" i="58"/>
  <c r="M10" i="58"/>
  <c r="BI9" i="58"/>
  <c r="J27" i="58"/>
  <c r="AS25" i="58"/>
  <c r="AQ17" i="58"/>
  <c r="G17" i="58"/>
  <c r="BL38" i="58"/>
  <c r="I37" i="58"/>
  <c r="I43" i="58"/>
  <c r="Q41" i="58"/>
  <c r="BL44" i="58"/>
  <c r="D44" i="58"/>
  <c r="BX38" i="58"/>
  <c r="D38" i="58"/>
  <c r="BT36" i="58"/>
  <c r="D32" i="58"/>
  <c r="AI22" i="58"/>
  <c r="AW20" i="58"/>
  <c r="AV20" i="58"/>
  <c r="AG17" i="58"/>
  <c r="AZ13" i="58"/>
  <c r="O16" i="71"/>
  <c r="D13" i="58"/>
  <c r="BI11" i="58"/>
  <c r="J27" i="71"/>
  <c r="AK11" i="58"/>
  <c r="Y11" i="58"/>
  <c r="M11" i="58"/>
  <c r="I40" i="71"/>
  <c r="AP34" i="58"/>
  <c r="F32" i="58"/>
  <c r="AR25" i="58"/>
  <c r="D23" i="58"/>
  <c r="AH20" i="58"/>
  <c r="G14" i="58"/>
  <c r="AX39" i="58"/>
  <c r="BM35" i="58"/>
  <c r="AM44" i="58"/>
  <c r="C44" i="58"/>
  <c r="BO43" i="58"/>
  <c r="BC43" i="58"/>
  <c r="S43" i="58"/>
  <c r="G43" i="58"/>
  <c r="AI42" i="58"/>
  <c r="BW41" i="58"/>
  <c r="BK41" i="58"/>
  <c r="AY41" i="58"/>
  <c r="O41" i="58"/>
  <c r="BG39" i="58"/>
  <c r="W39" i="58"/>
  <c r="BO37" i="58"/>
  <c r="S37" i="58"/>
  <c r="AI36" i="58"/>
  <c r="BW35" i="58"/>
  <c r="BK35" i="58"/>
  <c r="O35" i="58"/>
  <c r="AQ34" i="58"/>
  <c r="AE34" i="58"/>
  <c r="BG33" i="58"/>
  <c r="AU33" i="58"/>
  <c r="W33" i="58"/>
  <c r="K33" i="58"/>
  <c r="AM32" i="58"/>
  <c r="C32" i="58"/>
  <c r="BC31" i="58"/>
  <c r="S31" i="58"/>
  <c r="G31" i="58"/>
  <c r="AI30" i="58"/>
  <c r="AY29" i="58"/>
  <c r="AA29" i="58"/>
  <c r="O29" i="58"/>
  <c r="BC28" i="58"/>
  <c r="AQ28" i="58"/>
  <c r="AE28" i="58"/>
  <c r="BG27" i="58"/>
  <c r="AU27" i="58"/>
  <c r="W27" i="58"/>
  <c r="K27" i="58"/>
  <c r="AM26" i="58"/>
  <c r="C26" i="58"/>
  <c r="BC25" i="58"/>
  <c r="S25" i="58"/>
  <c r="G25" i="58"/>
  <c r="AI24" i="58"/>
  <c r="BI23" i="58"/>
  <c r="AK23" i="58"/>
  <c r="Y23" i="58"/>
  <c r="M23" i="58"/>
  <c r="AG5" i="71"/>
  <c r="AT20" i="58"/>
  <c r="AU19" i="58"/>
  <c r="AQ15" i="58"/>
  <c r="AE15" i="58"/>
  <c r="AM13" i="58"/>
  <c r="AA13" i="58"/>
  <c r="L34" i="71"/>
  <c r="AM12" i="58"/>
  <c r="L10" i="71"/>
  <c r="AV11" i="58"/>
  <c r="H14" i="71"/>
  <c r="K10" i="58"/>
  <c r="BJ33" i="58"/>
  <c r="BB32" i="58"/>
  <c r="V31" i="58"/>
  <c r="H25" i="58"/>
  <c r="K22" i="58"/>
  <c r="AG20" i="58"/>
  <c r="M39" i="58"/>
  <c r="G37" i="58"/>
  <c r="BR36" i="58"/>
  <c r="BJ35" i="58"/>
  <c r="AL35" i="58"/>
  <c r="BF33" i="58"/>
  <c r="AH33" i="58"/>
  <c r="BJ32" i="58"/>
  <c r="AP31" i="58"/>
  <c r="AD31" i="58"/>
  <c r="BF30" i="58"/>
  <c r="AH27" i="58"/>
  <c r="AP25" i="58"/>
  <c r="AD25" i="58"/>
  <c r="AT24" i="58"/>
  <c r="BH23" i="58"/>
  <c r="BE21" i="58"/>
  <c r="AG21" i="58"/>
  <c r="U21" i="58"/>
  <c r="I21" i="58"/>
  <c r="AS20" i="58"/>
  <c r="AR20" i="58"/>
  <c r="AC20" i="58"/>
  <c r="BB15" i="58"/>
  <c r="BJ13" i="58"/>
  <c r="O21" i="71"/>
  <c r="AI11" i="58"/>
  <c r="BI33" i="58"/>
  <c r="AC32" i="58"/>
  <c r="U31" i="58"/>
  <c r="AF20" i="58"/>
  <c r="BV39" i="58"/>
  <c r="BR37" i="58"/>
  <c r="BB35" i="58"/>
  <c r="BZ41" i="58"/>
  <c r="S6" i="44"/>
  <c r="G58" i="45" s="1"/>
  <c r="AA37" i="71"/>
  <c r="AA5" i="71" s="1"/>
  <c r="M15" i="71"/>
  <c r="K41" i="71"/>
  <c r="K35" i="71"/>
  <c r="K17" i="71"/>
  <c r="AZ20" i="58"/>
  <c r="F20" i="58"/>
  <c r="R17" i="58"/>
  <c r="BJ15" i="58"/>
  <c r="BB14" i="58"/>
  <c r="V13" i="58"/>
  <c r="BD10" i="58"/>
  <c r="Q28" i="71"/>
  <c r="M20" i="71"/>
  <c r="M8" i="71"/>
  <c r="K22" i="71"/>
  <c r="K10" i="71"/>
  <c r="G14" i="71"/>
  <c r="N21" i="58"/>
  <c r="BF19" i="58"/>
  <c r="AV18" i="58"/>
  <c r="F14" i="58"/>
  <c r="AX12" i="58"/>
  <c r="R11" i="58"/>
  <c r="BJ9" i="58"/>
  <c r="AY23" i="58"/>
  <c r="BG21" i="58"/>
  <c r="AU21" i="58"/>
  <c r="BC19" i="58"/>
  <c r="AY17" i="58"/>
  <c r="BG15" i="58"/>
  <c r="AU15" i="58"/>
  <c r="P16" i="71"/>
  <c r="N42" i="71"/>
  <c r="BC13" i="58"/>
  <c r="AY11" i="58"/>
  <c r="H30" i="71"/>
  <c r="H24" i="71"/>
  <c r="H18" i="71"/>
  <c r="H6" i="71"/>
  <c r="BG9" i="58"/>
  <c r="AU9" i="58"/>
  <c r="AC33" i="71"/>
  <c r="BB17" i="58"/>
  <c r="BF13" i="58"/>
  <c r="CC22" i="70"/>
  <c r="CC33" i="70"/>
  <c r="CC17" i="70"/>
  <c r="V45" i="71" s="1"/>
  <c r="CC26" i="70"/>
  <c r="CC19" i="70"/>
  <c r="CC27" i="70"/>
  <c r="CC14" i="70"/>
  <c r="CC12" i="70"/>
  <c r="CC24" i="70"/>
  <c r="CC29" i="70"/>
  <c r="XB155" i="2"/>
  <c r="XC155" i="2"/>
  <c r="L33" i="61" s="1"/>
  <c r="XC117" i="2"/>
  <c r="J33" i="61" s="1"/>
  <c r="XB117" i="2"/>
  <c r="XC79" i="2"/>
  <c r="H33" i="61" s="1"/>
  <c r="XB79" i="2"/>
  <c r="H25" i="66"/>
  <c r="G25" i="66"/>
  <c r="E25" i="66"/>
  <c r="D25" i="66"/>
  <c r="C25" i="66"/>
  <c r="B25" i="66"/>
  <c r="F11" i="66"/>
  <c r="E11" i="66"/>
  <c r="D11" i="66"/>
  <c r="BI484" i="2"/>
  <c r="I6" i="55" s="1"/>
  <c r="BJ484" i="2"/>
  <c r="J6" i="55" s="1"/>
  <c r="BK484" i="2"/>
  <c r="I6" i="40" s="1"/>
  <c r="BL484" i="2"/>
  <c r="J6" i="40" s="1"/>
  <c r="BY484" i="2"/>
  <c r="K6" i="55" s="1"/>
  <c r="BZ484" i="2"/>
  <c r="L6" i="55" s="1"/>
  <c r="CO484" i="2"/>
  <c r="M6" i="55" s="1"/>
  <c r="CP484" i="2"/>
  <c r="N6" i="55" s="1"/>
  <c r="CW484" i="2"/>
  <c r="DE484" i="2"/>
  <c r="O6" i="55" s="1"/>
  <c r="DF484" i="2"/>
  <c r="P6" i="55" s="1"/>
  <c r="DU484" i="2"/>
  <c r="Q6" i="55" s="1"/>
  <c r="DV484" i="2"/>
  <c r="R6" i="55" s="1"/>
  <c r="EK484" i="2"/>
  <c r="S6" i="55" s="1"/>
  <c r="EL484" i="2"/>
  <c r="T6" i="55" s="1"/>
  <c r="FA484" i="2"/>
  <c r="U6" i="55" s="1"/>
  <c r="FB484" i="2"/>
  <c r="V6" i="55" s="1"/>
  <c r="FQ484" i="2"/>
  <c r="W6" i="55" s="1"/>
  <c r="FR484" i="2"/>
  <c r="X6" i="55" s="1"/>
  <c r="GW484" i="2"/>
  <c r="AA6" i="55" s="1"/>
  <c r="GX484" i="2"/>
  <c r="AB6" i="55" s="1"/>
  <c r="HM484" i="2"/>
  <c r="AC6" i="55" s="1"/>
  <c r="HN484" i="2"/>
  <c r="AD6" i="55" s="1"/>
  <c r="IC484" i="2"/>
  <c r="AE6" i="55" s="1"/>
  <c r="ID484" i="2"/>
  <c r="AF6" i="55" s="1"/>
  <c r="IS484" i="2"/>
  <c r="AG6" i="55" s="1"/>
  <c r="IT484" i="2"/>
  <c r="AH6" i="55" s="1"/>
  <c r="JI484" i="2"/>
  <c r="AI6" i="55" s="1"/>
  <c r="JJ484" i="2"/>
  <c r="AJ6" i="55" s="1"/>
  <c r="JY484" i="2"/>
  <c r="AK6" i="55" s="1"/>
  <c r="JZ484" i="2"/>
  <c r="AL6" i="55" s="1"/>
  <c r="KO484" i="2"/>
  <c r="AM6" i="55" s="1"/>
  <c r="KP484" i="2"/>
  <c r="AN6" i="55" s="1"/>
  <c r="LE484" i="2"/>
  <c r="AO6" i="55" s="1"/>
  <c r="LF484" i="2"/>
  <c r="AP6" i="55" s="1"/>
  <c r="LG484" i="2"/>
  <c r="AO6" i="40" s="1"/>
  <c r="LH484" i="2"/>
  <c r="AP6" i="40" s="1"/>
  <c r="LU484" i="2"/>
  <c r="AQ6" i="55" s="1"/>
  <c r="LV484" i="2"/>
  <c r="AR6" i="55" s="1"/>
  <c r="MK484" i="2"/>
  <c r="AS6" i="55" s="1"/>
  <c r="ML484" i="2"/>
  <c r="AT6" i="55" s="1"/>
  <c r="NA484" i="2"/>
  <c r="AU6" i="55" s="1"/>
  <c r="NB484" i="2"/>
  <c r="AV6" i="55" s="1"/>
  <c r="NQ484" i="2"/>
  <c r="AW6" i="55" s="1"/>
  <c r="NR484" i="2"/>
  <c r="AX6" i="55" s="1"/>
  <c r="OG484" i="2"/>
  <c r="AY6" i="55" s="1"/>
  <c r="OH484" i="2"/>
  <c r="AZ6" i="55" s="1"/>
  <c r="OW484" i="2"/>
  <c r="BA6" i="55" s="1"/>
  <c r="OX484" i="2"/>
  <c r="BB6" i="55" s="1"/>
  <c r="PM484" i="2"/>
  <c r="BC6" i="55" s="1"/>
  <c r="PN484" i="2"/>
  <c r="BD6" i="55" s="1"/>
  <c r="QC484" i="2"/>
  <c r="BE6" i="55" s="1"/>
  <c r="QD484" i="2"/>
  <c r="BF6" i="55" s="1"/>
  <c r="QS484" i="2"/>
  <c r="BG6" i="55" s="1"/>
  <c r="QT484" i="2"/>
  <c r="BH6" i="55" s="1"/>
  <c r="RI484" i="2"/>
  <c r="BI6" i="55" s="1"/>
  <c r="RJ484" i="2"/>
  <c r="BJ6" i="55" s="1"/>
  <c r="BL8" i="50"/>
  <c r="RY484" i="2"/>
  <c r="BK6" i="55" s="1"/>
  <c r="RZ484" i="2"/>
  <c r="BL6" i="55" s="1"/>
  <c r="BN8" i="50"/>
  <c r="SO484" i="2"/>
  <c r="BM6" i="55" s="1"/>
  <c r="SP484" i="2"/>
  <c r="BN6" i="55" s="1"/>
  <c r="BP8" i="50"/>
  <c r="TE484" i="2"/>
  <c r="BO6" i="55" s="1"/>
  <c r="TF484" i="2"/>
  <c r="BP6" i="55" s="1"/>
  <c r="BR8" i="50"/>
  <c r="TU484" i="2"/>
  <c r="BQ6" i="55" s="1"/>
  <c r="TV484" i="2"/>
  <c r="BR6" i="55" s="1"/>
  <c r="BT8" i="50"/>
  <c r="UK484" i="2"/>
  <c r="BS6" i="55" s="1"/>
  <c r="UL484" i="2"/>
  <c r="BT6" i="55" s="1"/>
  <c r="BV8" i="50"/>
  <c r="VA484" i="2"/>
  <c r="BU6" i="55" s="1"/>
  <c r="VB484" i="2"/>
  <c r="BV6" i="55" s="1"/>
  <c r="BX8" i="50"/>
  <c r="VQ484" i="2"/>
  <c r="BW6" i="55" s="1"/>
  <c r="VR484" i="2"/>
  <c r="BX6" i="55" s="1"/>
  <c r="BZ8" i="50"/>
  <c r="WG484" i="2"/>
  <c r="BY6" i="55" s="1"/>
  <c r="WH484" i="2"/>
  <c r="BZ6" i="55" s="1"/>
  <c r="D485" i="2"/>
  <c r="E485" i="2"/>
  <c r="C8" i="43" s="1"/>
  <c r="F485" i="2"/>
  <c r="D8" i="43" s="1"/>
  <c r="G485" i="2"/>
  <c r="C8" i="70" s="1"/>
  <c r="D6" i="71" s="1"/>
  <c r="H485" i="2"/>
  <c r="D8" i="70" s="1"/>
  <c r="E6" i="71" s="1"/>
  <c r="I485" i="2"/>
  <c r="C8" i="46" s="1"/>
  <c r="J485" i="2"/>
  <c r="D8" i="46" s="1"/>
  <c r="K485" i="2"/>
  <c r="C8" i="50" s="1"/>
  <c r="L485" i="2"/>
  <c r="D8" i="50" s="1"/>
  <c r="D7" i="50" s="1"/>
  <c r="M485" i="2"/>
  <c r="C8" i="55" s="1"/>
  <c r="N485" i="2"/>
  <c r="D8" i="55" s="1"/>
  <c r="O485" i="2"/>
  <c r="C8" i="40" s="1"/>
  <c r="D6" i="42" s="1"/>
  <c r="P485" i="2"/>
  <c r="D8" i="40" s="1"/>
  <c r="E6" i="42" s="1"/>
  <c r="I58" i="41" s="1"/>
  <c r="WP52" i="2"/>
  <c r="WQ52" i="2"/>
  <c r="WR52" i="2"/>
  <c r="WS52" i="2"/>
  <c r="WT52" i="2"/>
  <c r="WU52" i="2"/>
  <c r="WV52" i="2"/>
  <c r="WW52" i="2"/>
  <c r="WX52" i="2"/>
  <c r="WY52" i="2"/>
  <c r="WZ52" i="2"/>
  <c r="XA52" i="2"/>
  <c r="WP53" i="2"/>
  <c r="WQ53" i="2"/>
  <c r="WR53" i="2"/>
  <c r="WS53" i="2"/>
  <c r="WT53" i="2"/>
  <c r="WU53" i="2"/>
  <c r="WV53" i="2"/>
  <c r="WW53" i="2"/>
  <c r="WX53" i="2"/>
  <c r="WY53" i="2"/>
  <c r="WZ53" i="2"/>
  <c r="XA53" i="2"/>
  <c r="WP54" i="2"/>
  <c r="WQ54" i="2"/>
  <c r="WR54" i="2"/>
  <c r="WS54" i="2"/>
  <c r="WT54" i="2"/>
  <c r="WU54" i="2"/>
  <c r="WV54" i="2"/>
  <c r="WW54" i="2"/>
  <c r="WX54" i="2"/>
  <c r="WY54" i="2"/>
  <c r="WZ54" i="2"/>
  <c r="XA54" i="2"/>
  <c r="WP55" i="2"/>
  <c r="WQ55" i="2"/>
  <c r="WR55" i="2"/>
  <c r="WS55" i="2"/>
  <c r="WT55" i="2"/>
  <c r="WU55" i="2"/>
  <c r="WV55" i="2"/>
  <c r="WW55" i="2"/>
  <c r="WX55" i="2"/>
  <c r="WY55" i="2"/>
  <c r="WZ55" i="2"/>
  <c r="XA55" i="2"/>
  <c r="WP56" i="2"/>
  <c r="WQ56" i="2"/>
  <c r="WR56" i="2"/>
  <c r="WS56" i="2"/>
  <c r="WT56" i="2"/>
  <c r="WU56" i="2"/>
  <c r="WV56" i="2"/>
  <c r="WW56" i="2"/>
  <c r="WX56" i="2"/>
  <c r="WY56" i="2"/>
  <c r="WZ56" i="2"/>
  <c r="XA56" i="2"/>
  <c r="WP57" i="2"/>
  <c r="WQ57" i="2"/>
  <c r="WR57" i="2"/>
  <c r="WS57" i="2"/>
  <c r="WT57" i="2"/>
  <c r="WU57" i="2"/>
  <c r="WV57" i="2"/>
  <c r="WW57" i="2"/>
  <c r="WX57" i="2"/>
  <c r="WY57" i="2"/>
  <c r="WZ57" i="2"/>
  <c r="XA57" i="2"/>
  <c r="WP58" i="2"/>
  <c r="WQ58" i="2"/>
  <c r="WR58" i="2"/>
  <c r="WS58" i="2"/>
  <c r="WT58" i="2"/>
  <c r="WU58" i="2"/>
  <c r="WV58" i="2"/>
  <c r="WW58" i="2"/>
  <c r="WX58" i="2"/>
  <c r="WY58" i="2"/>
  <c r="WZ58" i="2"/>
  <c r="XA58" i="2"/>
  <c r="WP59" i="2"/>
  <c r="WQ59" i="2"/>
  <c r="WR59" i="2"/>
  <c r="WS59" i="2"/>
  <c r="WT59" i="2"/>
  <c r="WU59" i="2"/>
  <c r="WV59" i="2"/>
  <c r="WW59" i="2"/>
  <c r="WX59" i="2"/>
  <c r="WY59" i="2"/>
  <c r="WZ59" i="2"/>
  <c r="XA59" i="2"/>
  <c r="WP60" i="2"/>
  <c r="WQ60" i="2"/>
  <c r="WR60" i="2"/>
  <c r="WS60" i="2"/>
  <c r="WT60" i="2"/>
  <c r="WU60" i="2"/>
  <c r="WV60" i="2"/>
  <c r="WW60" i="2"/>
  <c r="WX60" i="2"/>
  <c r="WY60" i="2"/>
  <c r="WZ60" i="2"/>
  <c r="XA60" i="2"/>
  <c r="WP61" i="2"/>
  <c r="WQ61" i="2"/>
  <c r="WR61" i="2"/>
  <c r="WS61" i="2"/>
  <c r="WT61" i="2"/>
  <c r="WU61" i="2"/>
  <c r="WV61" i="2"/>
  <c r="WW61" i="2"/>
  <c r="WX61" i="2"/>
  <c r="WY61" i="2"/>
  <c r="WZ61" i="2"/>
  <c r="XA61" i="2"/>
  <c r="WP62" i="2"/>
  <c r="WQ62" i="2"/>
  <c r="WR62" i="2"/>
  <c r="WS62" i="2"/>
  <c r="WT62" i="2"/>
  <c r="WU62" i="2"/>
  <c r="WV62" i="2"/>
  <c r="WW62" i="2"/>
  <c r="WX62" i="2"/>
  <c r="WY62" i="2"/>
  <c r="WZ62" i="2"/>
  <c r="XA62" i="2"/>
  <c r="WP63" i="2"/>
  <c r="WQ63" i="2"/>
  <c r="WR63" i="2"/>
  <c r="WS63" i="2"/>
  <c r="WT63" i="2"/>
  <c r="WU63" i="2"/>
  <c r="WV63" i="2"/>
  <c r="WW63" i="2"/>
  <c r="WX63" i="2"/>
  <c r="WY63" i="2"/>
  <c r="WZ63" i="2"/>
  <c r="XA63" i="2"/>
  <c r="WP64" i="2"/>
  <c r="WQ64" i="2"/>
  <c r="WR64" i="2"/>
  <c r="WS64" i="2"/>
  <c r="WT64" i="2"/>
  <c r="WU64" i="2"/>
  <c r="WV64" i="2"/>
  <c r="WW64" i="2"/>
  <c r="WX64" i="2"/>
  <c r="WY64" i="2"/>
  <c r="WZ64" i="2"/>
  <c r="XA64" i="2"/>
  <c r="WP65" i="2"/>
  <c r="WQ65" i="2"/>
  <c r="WR65" i="2"/>
  <c r="WS65" i="2"/>
  <c r="WT65" i="2"/>
  <c r="WU65" i="2"/>
  <c r="WV65" i="2"/>
  <c r="WW65" i="2"/>
  <c r="WX65" i="2"/>
  <c r="WY65" i="2"/>
  <c r="WZ65" i="2"/>
  <c r="XA65" i="2"/>
  <c r="WP66" i="2"/>
  <c r="WQ66" i="2"/>
  <c r="WR66" i="2"/>
  <c r="WS66" i="2"/>
  <c r="WT66" i="2"/>
  <c r="WU66" i="2"/>
  <c r="WV66" i="2"/>
  <c r="WW66" i="2"/>
  <c r="WX66" i="2"/>
  <c r="WY66" i="2"/>
  <c r="WZ66" i="2"/>
  <c r="XA66" i="2"/>
  <c r="WP67" i="2"/>
  <c r="WQ67" i="2"/>
  <c r="WR67" i="2"/>
  <c r="WS67" i="2"/>
  <c r="WT67" i="2"/>
  <c r="WU67" i="2"/>
  <c r="WV67" i="2"/>
  <c r="WW67" i="2"/>
  <c r="WX67" i="2"/>
  <c r="WY67" i="2"/>
  <c r="WZ67" i="2"/>
  <c r="XA67" i="2"/>
  <c r="WP68" i="2"/>
  <c r="WQ68" i="2"/>
  <c r="WR68" i="2"/>
  <c r="WS68" i="2"/>
  <c r="WT68" i="2"/>
  <c r="WU68" i="2"/>
  <c r="WV68" i="2"/>
  <c r="WW68" i="2"/>
  <c r="WX68" i="2"/>
  <c r="WY68" i="2"/>
  <c r="WZ68" i="2"/>
  <c r="XA68" i="2"/>
  <c r="WP69" i="2"/>
  <c r="WQ69" i="2"/>
  <c r="WR69" i="2"/>
  <c r="WS69" i="2"/>
  <c r="WT69" i="2"/>
  <c r="WU69" i="2"/>
  <c r="WV69" i="2"/>
  <c r="WW69" i="2"/>
  <c r="WX69" i="2"/>
  <c r="WY69" i="2"/>
  <c r="WZ69" i="2"/>
  <c r="XA69" i="2"/>
  <c r="WP70" i="2"/>
  <c r="WQ70" i="2"/>
  <c r="WR70" i="2"/>
  <c r="WS70" i="2"/>
  <c r="WT70" i="2"/>
  <c r="WU70" i="2"/>
  <c r="WV70" i="2"/>
  <c r="WW70" i="2"/>
  <c r="WX70" i="2"/>
  <c r="WY70" i="2"/>
  <c r="WZ70" i="2"/>
  <c r="XA70" i="2"/>
  <c r="WP71" i="2"/>
  <c r="WQ71" i="2"/>
  <c r="WR71" i="2"/>
  <c r="WS71" i="2"/>
  <c r="WT71" i="2"/>
  <c r="WU71" i="2"/>
  <c r="WV71" i="2"/>
  <c r="WW71" i="2"/>
  <c r="WX71" i="2"/>
  <c r="WY71" i="2"/>
  <c r="WZ71" i="2"/>
  <c r="XA71" i="2"/>
  <c r="WP72" i="2"/>
  <c r="WQ72" i="2"/>
  <c r="WR72" i="2"/>
  <c r="WS72" i="2"/>
  <c r="WT72" i="2"/>
  <c r="WU72" i="2"/>
  <c r="WV72" i="2"/>
  <c r="WW72" i="2"/>
  <c r="WX72" i="2"/>
  <c r="WY72" i="2"/>
  <c r="WZ72" i="2"/>
  <c r="XA72" i="2"/>
  <c r="WP73" i="2"/>
  <c r="WQ73" i="2"/>
  <c r="WR73" i="2"/>
  <c r="WS73" i="2"/>
  <c r="WT73" i="2"/>
  <c r="WU73" i="2"/>
  <c r="WV73" i="2"/>
  <c r="WW73" i="2"/>
  <c r="WX73" i="2"/>
  <c r="WY73" i="2"/>
  <c r="WZ73" i="2"/>
  <c r="XA73" i="2"/>
  <c r="WP74" i="2"/>
  <c r="WQ74" i="2"/>
  <c r="WR74" i="2"/>
  <c r="WS74" i="2"/>
  <c r="WT74" i="2"/>
  <c r="WU74" i="2"/>
  <c r="WV74" i="2"/>
  <c r="WW74" i="2"/>
  <c r="WX74" i="2"/>
  <c r="WY74" i="2"/>
  <c r="WZ74" i="2"/>
  <c r="XA74" i="2"/>
  <c r="WP75" i="2"/>
  <c r="WQ75" i="2"/>
  <c r="WR75" i="2"/>
  <c r="WS75" i="2"/>
  <c r="WT75" i="2"/>
  <c r="WU75" i="2"/>
  <c r="WV75" i="2"/>
  <c r="WW75" i="2"/>
  <c r="WX75" i="2"/>
  <c r="WY75" i="2"/>
  <c r="WP76" i="2"/>
  <c r="WQ76" i="2"/>
  <c r="WR76" i="2"/>
  <c r="WS76" i="2"/>
  <c r="WT76" i="2"/>
  <c r="WU76" i="2"/>
  <c r="WV76" i="2"/>
  <c r="WW76" i="2"/>
  <c r="WX76" i="2"/>
  <c r="WY76" i="2"/>
  <c r="WP77" i="2"/>
  <c r="WQ77" i="2"/>
  <c r="WR77" i="2"/>
  <c r="WS77" i="2"/>
  <c r="WT77" i="2"/>
  <c r="WU77" i="2"/>
  <c r="WV77" i="2"/>
  <c r="WW77" i="2"/>
  <c r="WX77" i="2"/>
  <c r="WY77" i="2"/>
  <c r="WP78" i="2"/>
  <c r="WQ78" i="2"/>
  <c r="WR78" i="2"/>
  <c r="WS78" i="2"/>
  <c r="WT78" i="2"/>
  <c r="WU78" i="2"/>
  <c r="WV78" i="2"/>
  <c r="WW78" i="2"/>
  <c r="WX78" i="2"/>
  <c r="WY78" i="2"/>
  <c r="WP90" i="2"/>
  <c r="WQ90" i="2"/>
  <c r="WR90" i="2"/>
  <c r="WS90" i="2"/>
  <c r="WT90" i="2"/>
  <c r="WU90" i="2"/>
  <c r="WV90" i="2"/>
  <c r="WW90" i="2"/>
  <c r="WX90" i="2"/>
  <c r="WY90" i="2"/>
  <c r="WZ90" i="2"/>
  <c r="XA90" i="2"/>
  <c r="WP91" i="2"/>
  <c r="WQ91" i="2"/>
  <c r="WR91" i="2"/>
  <c r="WS91" i="2"/>
  <c r="WT91" i="2"/>
  <c r="WU91" i="2"/>
  <c r="WV91" i="2"/>
  <c r="WW91" i="2"/>
  <c r="WX91" i="2"/>
  <c r="WY91" i="2"/>
  <c r="WZ91" i="2"/>
  <c r="XA91" i="2"/>
  <c r="WP92" i="2"/>
  <c r="WQ92" i="2"/>
  <c r="WR92" i="2"/>
  <c r="WS92" i="2"/>
  <c r="WT92" i="2"/>
  <c r="WU92" i="2"/>
  <c r="WV92" i="2"/>
  <c r="WW92" i="2"/>
  <c r="WX92" i="2"/>
  <c r="WY92" i="2"/>
  <c r="WZ92" i="2"/>
  <c r="XA92" i="2"/>
  <c r="WP93" i="2"/>
  <c r="WQ93" i="2"/>
  <c r="WR93" i="2"/>
  <c r="WS93" i="2"/>
  <c r="WT93" i="2"/>
  <c r="WU93" i="2"/>
  <c r="WV93" i="2"/>
  <c r="WW93" i="2"/>
  <c r="WX93" i="2"/>
  <c r="WY93" i="2"/>
  <c r="WZ93" i="2"/>
  <c r="XA93" i="2"/>
  <c r="WP94" i="2"/>
  <c r="WQ94" i="2"/>
  <c r="WR94" i="2"/>
  <c r="WS94" i="2"/>
  <c r="WT94" i="2"/>
  <c r="WU94" i="2"/>
  <c r="WV94" i="2"/>
  <c r="WW94" i="2"/>
  <c r="WX94" i="2"/>
  <c r="WY94" i="2"/>
  <c r="WZ94" i="2"/>
  <c r="XA94" i="2"/>
  <c r="WP95" i="2"/>
  <c r="WQ95" i="2"/>
  <c r="WR95" i="2"/>
  <c r="WS95" i="2"/>
  <c r="WT95" i="2"/>
  <c r="WU95" i="2"/>
  <c r="WV95" i="2"/>
  <c r="WW95" i="2"/>
  <c r="WX95" i="2"/>
  <c r="WY95" i="2"/>
  <c r="WZ95" i="2"/>
  <c r="XA95" i="2"/>
  <c r="WP96" i="2"/>
  <c r="WQ96" i="2"/>
  <c r="WR96" i="2"/>
  <c r="WS96" i="2"/>
  <c r="WT96" i="2"/>
  <c r="WU96" i="2"/>
  <c r="WV96" i="2"/>
  <c r="WW96" i="2"/>
  <c r="WX96" i="2"/>
  <c r="WY96" i="2"/>
  <c r="WZ96" i="2"/>
  <c r="XA96" i="2"/>
  <c r="WP97" i="2"/>
  <c r="WQ97" i="2"/>
  <c r="WR97" i="2"/>
  <c r="WS97" i="2"/>
  <c r="WT97" i="2"/>
  <c r="WU97" i="2"/>
  <c r="WV97" i="2"/>
  <c r="WW97" i="2"/>
  <c r="WX97" i="2"/>
  <c r="WY97" i="2"/>
  <c r="WZ97" i="2"/>
  <c r="XA97" i="2"/>
  <c r="WP98" i="2"/>
  <c r="WQ98" i="2"/>
  <c r="WR98" i="2"/>
  <c r="WS98" i="2"/>
  <c r="WT98" i="2"/>
  <c r="WU98" i="2"/>
  <c r="WV98" i="2"/>
  <c r="WW98" i="2"/>
  <c r="WX98" i="2"/>
  <c r="WY98" i="2"/>
  <c r="WZ98" i="2"/>
  <c r="XA98" i="2"/>
  <c r="WP99" i="2"/>
  <c r="WQ99" i="2"/>
  <c r="WR99" i="2"/>
  <c r="WS99" i="2"/>
  <c r="WT99" i="2"/>
  <c r="WU99" i="2"/>
  <c r="WV99" i="2"/>
  <c r="WW99" i="2"/>
  <c r="WX99" i="2"/>
  <c r="WY99" i="2"/>
  <c r="WZ99" i="2"/>
  <c r="XA99" i="2"/>
  <c r="WP100" i="2"/>
  <c r="WQ100" i="2"/>
  <c r="WR100" i="2"/>
  <c r="WS100" i="2"/>
  <c r="WT100" i="2"/>
  <c r="WU100" i="2"/>
  <c r="WV100" i="2"/>
  <c r="WW100" i="2"/>
  <c r="WX100" i="2"/>
  <c r="WY100" i="2"/>
  <c r="WZ100" i="2"/>
  <c r="XA100" i="2"/>
  <c r="WP101" i="2"/>
  <c r="WQ101" i="2"/>
  <c r="WR101" i="2"/>
  <c r="WS101" i="2"/>
  <c r="WT101" i="2"/>
  <c r="WU101" i="2"/>
  <c r="WV101" i="2"/>
  <c r="WW101" i="2"/>
  <c r="WX101" i="2"/>
  <c r="WY101" i="2"/>
  <c r="WZ101" i="2"/>
  <c r="XA101" i="2"/>
  <c r="WP102" i="2"/>
  <c r="WQ102" i="2"/>
  <c r="WR102" i="2"/>
  <c r="WS102" i="2"/>
  <c r="WT102" i="2"/>
  <c r="WU102" i="2"/>
  <c r="WV102" i="2"/>
  <c r="WW102" i="2"/>
  <c r="WX102" i="2"/>
  <c r="WY102" i="2"/>
  <c r="WZ102" i="2"/>
  <c r="XA102" i="2"/>
  <c r="WP103" i="2"/>
  <c r="WQ103" i="2"/>
  <c r="WR103" i="2"/>
  <c r="WS103" i="2"/>
  <c r="WT103" i="2"/>
  <c r="WU103" i="2"/>
  <c r="WV103" i="2"/>
  <c r="WW103" i="2"/>
  <c r="WX103" i="2"/>
  <c r="WY103" i="2"/>
  <c r="WZ103" i="2"/>
  <c r="XA103" i="2"/>
  <c r="WP104" i="2"/>
  <c r="WQ104" i="2"/>
  <c r="WR104" i="2"/>
  <c r="WS104" i="2"/>
  <c r="WT104" i="2"/>
  <c r="WU104" i="2"/>
  <c r="WV104" i="2"/>
  <c r="WW104" i="2"/>
  <c r="WX104" i="2"/>
  <c r="WY104" i="2"/>
  <c r="WZ104" i="2"/>
  <c r="XA104" i="2"/>
  <c r="WP105" i="2"/>
  <c r="WQ105" i="2"/>
  <c r="WR105" i="2"/>
  <c r="WS105" i="2"/>
  <c r="WT105" i="2"/>
  <c r="WU105" i="2"/>
  <c r="WV105" i="2"/>
  <c r="WW105" i="2"/>
  <c r="WX105" i="2"/>
  <c r="WY105" i="2"/>
  <c r="WZ105" i="2"/>
  <c r="XA105" i="2"/>
  <c r="WP106" i="2"/>
  <c r="WQ106" i="2"/>
  <c r="WR106" i="2"/>
  <c r="WS106" i="2"/>
  <c r="WT106" i="2"/>
  <c r="WU106" i="2"/>
  <c r="WV106" i="2"/>
  <c r="WW106" i="2"/>
  <c r="WX106" i="2"/>
  <c r="WY106" i="2"/>
  <c r="WZ106" i="2"/>
  <c r="XA106" i="2"/>
  <c r="WP107" i="2"/>
  <c r="WQ107" i="2"/>
  <c r="WR107" i="2"/>
  <c r="WS107" i="2"/>
  <c r="WT107" i="2"/>
  <c r="WU107" i="2"/>
  <c r="WV107" i="2"/>
  <c r="WW107" i="2"/>
  <c r="WX107" i="2"/>
  <c r="WY107" i="2"/>
  <c r="WZ107" i="2"/>
  <c r="XA107" i="2"/>
  <c r="WP108" i="2"/>
  <c r="WQ108" i="2"/>
  <c r="WR108" i="2"/>
  <c r="WS108" i="2"/>
  <c r="WT108" i="2"/>
  <c r="WU108" i="2"/>
  <c r="WV108" i="2"/>
  <c r="WW108" i="2"/>
  <c r="WX108" i="2"/>
  <c r="WY108" i="2"/>
  <c r="WZ108" i="2"/>
  <c r="XA108" i="2"/>
  <c r="WP109" i="2"/>
  <c r="WQ109" i="2"/>
  <c r="WR109" i="2"/>
  <c r="WS109" i="2"/>
  <c r="WT109" i="2"/>
  <c r="WU109" i="2"/>
  <c r="WV109" i="2"/>
  <c r="WW109" i="2"/>
  <c r="WX109" i="2"/>
  <c r="WY109" i="2"/>
  <c r="WZ109" i="2"/>
  <c r="XA109" i="2"/>
  <c r="WP110" i="2"/>
  <c r="WQ110" i="2"/>
  <c r="WR110" i="2"/>
  <c r="WS110" i="2"/>
  <c r="WT110" i="2"/>
  <c r="WU110" i="2"/>
  <c r="WV110" i="2"/>
  <c r="WW110" i="2"/>
  <c r="WX110" i="2"/>
  <c r="WY110" i="2"/>
  <c r="WZ110" i="2"/>
  <c r="XA110" i="2"/>
  <c r="WP111" i="2"/>
  <c r="WQ111" i="2"/>
  <c r="WR111" i="2"/>
  <c r="WS111" i="2"/>
  <c r="WT111" i="2"/>
  <c r="WU111" i="2"/>
  <c r="WV111" i="2"/>
  <c r="WW111" i="2"/>
  <c r="WX111" i="2"/>
  <c r="WY111" i="2"/>
  <c r="WZ111" i="2"/>
  <c r="XA111" i="2"/>
  <c r="WP112" i="2"/>
  <c r="WQ112" i="2"/>
  <c r="WR112" i="2"/>
  <c r="WS112" i="2"/>
  <c r="WT112" i="2"/>
  <c r="WU112" i="2"/>
  <c r="WV112" i="2"/>
  <c r="WW112" i="2"/>
  <c r="WX112" i="2"/>
  <c r="WY112" i="2"/>
  <c r="WZ112" i="2"/>
  <c r="XA112" i="2"/>
  <c r="WP113" i="2"/>
  <c r="WQ113" i="2"/>
  <c r="WR113" i="2"/>
  <c r="WS113" i="2"/>
  <c r="WT113" i="2"/>
  <c r="WU113" i="2"/>
  <c r="WV113" i="2"/>
  <c r="WW113" i="2"/>
  <c r="WX113" i="2"/>
  <c r="WY113" i="2"/>
  <c r="WP114" i="2"/>
  <c r="WQ114" i="2"/>
  <c r="WR114" i="2"/>
  <c r="WS114" i="2"/>
  <c r="WT114" i="2"/>
  <c r="WU114" i="2"/>
  <c r="WV114" i="2"/>
  <c r="WW114" i="2"/>
  <c r="WX114" i="2"/>
  <c r="WY114" i="2"/>
  <c r="WP115" i="2"/>
  <c r="WQ115" i="2"/>
  <c r="WR115" i="2"/>
  <c r="WS115" i="2"/>
  <c r="WT115" i="2"/>
  <c r="WU115" i="2"/>
  <c r="WV115" i="2"/>
  <c r="WW115" i="2"/>
  <c r="WX115" i="2"/>
  <c r="WY115" i="2"/>
  <c r="WP116" i="2"/>
  <c r="WQ116" i="2"/>
  <c r="WR116" i="2"/>
  <c r="WS116" i="2"/>
  <c r="WT116" i="2"/>
  <c r="WU116" i="2"/>
  <c r="WV116" i="2"/>
  <c r="WW116" i="2"/>
  <c r="WX116" i="2"/>
  <c r="WY116" i="2"/>
  <c r="WP128" i="2"/>
  <c r="WQ128" i="2"/>
  <c r="WR128" i="2"/>
  <c r="WS128" i="2"/>
  <c r="WT128" i="2"/>
  <c r="WU128" i="2"/>
  <c r="WV128" i="2"/>
  <c r="WW128" i="2"/>
  <c r="WX128" i="2"/>
  <c r="WY128" i="2"/>
  <c r="WZ128" i="2"/>
  <c r="XA128" i="2"/>
  <c r="WP129" i="2"/>
  <c r="WQ129" i="2"/>
  <c r="WR129" i="2"/>
  <c r="WS129" i="2"/>
  <c r="WT129" i="2"/>
  <c r="WU129" i="2"/>
  <c r="WV129" i="2"/>
  <c r="WW129" i="2"/>
  <c r="WX129" i="2"/>
  <c r="WY129" i="2"/>
  <c r="WZ129" i="2"/>
  <c r="XA129" i="2"/>
  <c r="WP130" i="2"/>
  <c r="WQ130" i="2"/>
  <c r="WR130" i="2"/>
  <c r="WS130" i="2"/>
  <c r="WT130" i="2"/>
  <c r="WU130" i="2"/>
  <c r="WV130" i="2"/>
  <c r="WW130" i="2"/>
  <c r="WX130" i="2"/>
  <c r="WY130" i="2"/>
  <c r="WZ130" i="2"/>
  <c r="XA130" i="2"/>
  <c r="WP131" i="2"/>
  <c r="WQ131" i="2"/>
  <c r="WR131" i="2"/>
  <c r="WS131" i="2"/>
  <c r="WT131" i="2"/>
  <c r="WU131" i="2"/>
  <c r="WV131" i="2"/>
  <c r="WW131" i="2"/>
  <c r="WX131" i="2"/>
  <c r="WY131" i="2"/>
  <c r="WZ131" i="2"/>
  <c r="XA131" i="2"/>
  <c r="WP132" i="2"/>
  <c r="WQ132" i="2"/>
  <c r="WR132" i="2"/>
  <c r="WS132" i="2"/>
  <c r="WT132" i="2"/>
  <c r="WU132" i="2"/>
  <c r="WV132" i="2"/>
  <c r="WW132" i="2"/>
  <c r="WX132" i="2"/>
  <c r="WY132" i="2"/>
  <c r="WZ132" i="2"/>
  <c r="XA132" i="2"/>
  <c r="WP133" i="2"/>
  <c r="WQ133" i="2"/>
  <c r="WR133" i="2"/>
  <c r="WS133" i="2"/>
  <c r="WT133" i="2"/>
  <c r="WU133" i="2"/>
  <c r="WV133" i="2"/>
  <c r="WW133" i="2"/>
  <c r="WX133" i="2"/>
  <c r="WY133" i="2"/>
  <c r="WZ133" i="2"/>
  <c r="XA133" i="2"/>
  <c r="WP134" i="2"/>
  <c r="WQ134" i="2"/>
  <c r="WR134" i="2"/>
  <c r="WS134" i="2"/>
  <c r="WT134" i="2"/>
  <c r="WU134" i="2"/>
  <c r="WV134" i="2"/>
  <c r="WW134" i="2"/>
  <c r="WX134" i="2"/>
  <c r="WY134" i="2"/>
  <c r="WZ134" i="2"/>
  <c r="XA134" i="2"/>
  <c r="WP135" i="2"/>
  <c r="WQ135" i="2"/>
  <c r="WR135" i="2"/>
  <c r="WS135" i="2"/>
  <c r="WT135" i="2"/>
  <c r="WU135" i="2"/>
  <c r="WV135" i="2"/>
  <c r="WW135" i="2"/>
  <c r="WX135" i="2"/>
  <c r="WY135" i="2"/>
  <c r="WZ135" i="2"/>
  <c r="WP136" i="2"/>
  <c r="WQ136" i="2"/>
  <c r="WR136" i="2"/>
  <c r="WS136" i="2"/>
  <c r="WT136" i="2"/>
  <c r="WU136" i="2"/>
  <c r="WV136" i="2"/>
  <c r="WW136" i="2"/>
  <c r="WX136" i="2"/>
  <c r="WY136" i="2"/>
  <c r="WZ136" i="2"/>
  <c r="XA136" i="2"/>
  <c r="WP137" i="2"/>
  <c r="WQ137" i="2"/>
  <c r="WR137" i="2"/>
  <c r="WS137" i="2"/>
  <c r="WT137" i="2"/>
  <c r="WU137" i="2"/>
  <c r="WV137" i="2"/>
  <c r="WW137" i="2"/>
  <c r="WX137" i="2"/>
  <c r="WY137" i="2"/>
  <c r="WZ137" i="2"/>
  <c r="XA137" i="2"/>
  <c r="WP138" i="2"/>
  <c r="WQ138" i="2"/>
  <c r="WR138" i="2"/>
  <c r="WS138" i="2"/>
  <c r="WT138" i="2"/>
  <c r="WU138" i="2"/>
  <c r="WV138" i="2"/>
  <c r="WW138" i="2"/>
  <c r="WX138" i="2"/>
  <c r="WY138" i="2"/>
  <c r="WZ138" i="2"/>
  <c r="XA138" i="2"/>
  <c r="WP139" i="2"/>
  <c r="WQ139" i="2"/>
  <c r="WR139" i="2"/>
  <c r="WS139" i="2"/>
  <c r="WT139" i="2"/>
  <c r="WU139" i="2"/>
  <c r="WV139" i="2"/>
  <c r="WW139" i="2"/>
  <c r="WX139" i="2"/>
  <c r="WY139" i="2"/>
  <c r="WZ139" i="2"/>
  <c r="XA139" i="2"/>
  <c r="WP140" i="2"/>
  <c r="WQ140" i="2"/>
  <c r="WR140" i="2"/>
  <c r="WS140" i="2"/>
  <c r="WT140" i="2"/>
  <c r="WU140" i="2"/>
  <c r="WV140" i="2"/>
  <c r="WW140" i="2"/>
  <c r="WX140" i="2"/>
  <c r="WY140" i="2"/>
  <c r="WZ140" i="2"/>
  <c r="XA140" i="2"/>
  <c r="WP141" i="2"/>
  <c r="WQ141" i="2"/>
  <c r="WR141" i="2"/>
  <c r="WS141" i="2"/>
  <c r="WT141" i="2"/>
  <c r="WU141" i="2"/>
  <c r="WV141" i="2"/>
  <c r="WW141" i="2"/>
  <c r="WX141" i="2"/>
  <c r="WY141" i="2"/>
  <c r="WZ141" i="2"/>
  <c r="XA141" i="2"/>
  <c r="WP142" i="2"/>
  <c r="WQ142" i="2"/>
  <c r="WR142" i="2"/>
  <c r="WS142" i="2"/>
  <c r="WT142" i="2"/>
  <c r="WU142" i="2"/>
  <c r="WV142" i="2"/>
  <c r="WW142" i="2"/>
  <c r="WX142" i="2"/>
  <c r="WY142" i="2"/>
  <c r="WZ142" i="2"/>
  <c r="XA142" i="2"/>
  <c r="WP143" i="2"/>
  <c r="WQ143" i="2"/>
  <c r="WR143" i="2"/>
  <c r="WS143" i="2"/>
  <c r="WT143" i="2"/>
  <c r="WU143" i="2"/>
  <c r="WV143" i="2"/>
  <c r="WW143" i="2"/>
  <c r="WX143" i="2"/>
  <c r="WY143" i="2"/>
  <c r="WZ143" i="2"/>
  <c r="XA143" i="2"/>
  <c r="WP144" i="2"/>
  <c r="WQ144" i="2"/>
  <c r="WR144" i="2"/>
  <c r="WS144" i="2"/>
  <c r="WT144" i="2"/>
  <c r="WU144" i="2"/>
  <c r="WV144" i="2"/>
  <c r="WW144" i="2"/>
  <c r="WX144" i="2"/>
  <c r="WY144" i="2"/>
  <c r="WZ144" i="2"/>
  <c r="XA144" i="2"/>
  <c r="WP145" i="2"/>
  <c r="WQ145" i="2"/>
  <c r="WR145" i="2"/>
  <c r="WS145" i="2"/>
  <c r="WT145" i="2"/>
  <c r="WU145" i="2"/>
  <c r="WV145" i="2"/>
  <c r="WW145" i="2"/>
  <c r="WX145" i="2"/>
  <c r="WY145" i="2"/>
  <c r="WZ145" i="2"/>
  <c r="XA145" i="2"/>
  <c r="WP146" i="2"/>
  <c r="WQ146" i="2"/>
  <c r="WR146" i="2"/>
  <c r="WS146" i="2"/>
  <c r="WT146" i="2"/>
  <c r="WU146" i="2"/>
  <c r="WV146" i="2"/>
  <c r="WW146" i="2"/>
  <c r="WX146" i="2"/>
  <c r="WY146" i="2"/>
  <c r="WZ146" i="2"/>
  <c r="XA146" i="2"/>
  <c r="WP147" i="2"/>
  <c r="WQ147" i="2"/>
  <c r="WR147" i="2"/>
  <c r="WS147" i="2"/>
  <c r="WT147" i="2"/>
  <c r="WU147" i="2"/>
  <c r="WV147" i="2"/>
  <c r="WW147" i="2"/>
  <c r="WX147" i="2"/>
  <c r="WY147" i="2"/>
  <c r="WZ147" i="2"/>
  <c r="XA147" i="2"/>
  <c r="WP148" i="2"/>
  <c r="WQ148" i="2"/>
  <c r="WR148" i="2"/>
  <c r="WS148" i="2"/>
  <c r="WT148" i="2"/>
  <c r="WU148" i="2"/>
  <c r="WV148" i="2"/>
  <c r="WW148" i="2"/>
  <c r="WX148" i="2"/>
  <c r="WY148" i="2"/>
  <c r="WZ148" i="2"/>
  <c r="XA148" i="2"/>
  <c r="WP149" i="2"/>
  <c r="WQ149" i="2"/>
  <c r="WR149" i="2"/>
  <c r="WS149" i="2"/>
  <c r="WT149" i="2"/>
  <c r="WU149" i="2"/>
  <c r="WV149" i="2"/>
  <c r="WW149" i="2"/>
  <c r="WX149" i="2"/>
  <c r="WY149" i="2"/>
  <c r="WZ149" i="2"/>
  <c r="XA149" i="2"/>
  <c r="WP150" i="2"/>
  <c r="WQ150" i="2"/>
  <c r="WR150" i="2"/>
  <c r="WS150" i="2"/>
  <c r="WT150" i="2"/>
  <c r="WU150" i="2"/>
  <c r="WV150" i="2"/>
  <c r="WW150" i="2"/>
  <c r="WX150" i="2"/>
  <c r="WY150" i="2"/>
  <c r="WZ150" i="2"/>
  <c r="XA150" i="2"/>
  <c r="WP151" i="2"/>
  <c r="WQ151" i="2"/>
  <c r="WR151" i="2"/>
  <c r="WS151" i="2"/>
  <c r="WT151" i="2"/>
  <c r="WU151" i="2"/>
  <c r="WV151" i="2"/>
  <c r="WW151" i="2"/>
  <c r="WX151" i="2"/>
  <c r="WY151" i="2"/>
  <c r="WP152" i="2"/>
  <c r="WQ152" i="2"/>
  <c r="WR152" i="2"/>
  <c r="WS152" i="2"/>
  <c r="WT152" i="2"/>
  <c r="WU152" i="2"/>
  <c r="WV152" i="2"/>
  <c r="WW152" i="2"/>
  <c r="WX152" i="2"/>
  <c r="WY152" i="2"/>
  <c r="WP153" i="2"/>
  <c r="WQ153" i="2"/>
  <c r="WR153" i="2"/>
  <c r="WS153" i="2"/>
  <c r="WT153" i="2"/>
  <c r="WU153" i="2"/>
  <c r="WV153" i="2"/>
  <c r="WW153" i="2"/>
  <c r="WX153" i="2"/>
  <c r="WY153" i="2"/>
  <c r="WP154" i="2"/>
  <c r="WQ154" i="2"/>
  <c r="WR154" i="2"/>
  <c r="WS154" i="2"/>
  <c r="WT154" i="2"/>
  <c r="WU154" i="2"/>
  <c r="WV154" i="2"/>
  <c r="WW154" i="2"/>
  <c r="WX154" i="2"/>
  <c r="WY154" i="2"/>
  <c r="WP166" i="2"/>
  <c r="WQ166" i="2"/>
  <c r="WR166" i="2"/>
  <c r="WS166" i="2"/>
  <c r="WT166" i="2"/>
  <c r="WU166" i="2"/>
  <c r="WV166" i="2"/>
  <c r="WW166" i="2"/>
  <c r="WX166" i="2"/>
  <c r="WY166" i="2"/>
  <c r="WZ166" i="2"/>
  <c r="XA166" i="2"/>
  <c r="WP167" i="2"/>
  <c r="WQ167" i="2"/>
  <c r="WR167" i="2"/>
  <c r="WS167" i="2"/>
  <c r="WT167" i="2"/>
  <c r="WU167" i="2"/>
  <c r="WV167" i="2"/>
  <c r="WW167" i="2"/>
  <c r="WX167" i="2"/>
  <c r="WY167" i="2"/>
  <c r="WZ167" i="2"/>
  <c r="XA167" i="2"/>
  <c r="WP168" i="2"/>
  <c r="WQ168" i="2"/>
  <c r="WR168" i="2"/>
  <c r="WS168" i="2"/>
  <c r="WT168" i="2"/>
  <c r="WU168" i="2"/>
  <c r="WV168" i="2"/>
  <c r="WW168" i="2"/>
  <c r="WX168" i="2"/>
  <c r="WY168" i="2"/>
  <c r="WZ168" i="2"/>
  <c r="XA168" i="2"/>
  <c r="WP169" i="2"/>
  <c r="WQ169" i="2"/>
  <c r="WR169" i="2"/>
  <c r="WS169" i="2"/>
  <c r="WT169" i="2"/>
  <c r="WU169" i="2"/>
  <c r="WV169" i="2"/>
  <c r="WW169" i="2"/>
  <c r="WX169" i="2"/>
  <c r="WY169" i="2"/>
  <c r="WZ169" i="2"/>
  <c r="XA169" i="2"/>
  <c r="WP170" i="2"/>
  <c r="WQ170" i="2"/>
  <c r="WR170" i="2"/>
  <c r="WS170" i="2"/>
  <c r="WT170" i="2"/>
  <c r="WU170" i="2"/>
  <c r="WV170" i="2"/>
  <c r="WW170" i="2"/>
  <c r="WX170" i="2"/>
  <c r="WY170" i="2"/>
  <c r="WZ170" i="2"/>
  <c r="XA170" i="2"/>
  <c r="WP171" i="2"/>
  <c r="WQ171" i="2"/>
  <c r="WR171" i="2"/>
  <c r="WS171" i="2"/>
  <c r="WT171" i="2"/>
  <c r="WU171" i="2"/>
  <c r="WV171" i="2"/>
  <c r="WW171" i="2"/>
  <c r="WX171" i="2"/>
  <c r="WY171" i="2"/>
  <c r="WZ171" i="2"/>
  <c r="XA171" i="2"/>
  <c r="WP172" i="2"/>
  <c r="WQ172" i="2"/>
  <c r="WR172" i="2"/>
  <c r="WS172" i="2"/>
  <c r="WT172" i="2"/>
  <c r="WU172" i="2"/>
  <c r="WV172" i="2"/>
  <c r="WW172" i="2"/>
  <c r="WX172" i="2"/>
  <c r="WY172" i="2"/>
  <c r="WZ172" i="2"/>
  <c r="XA172" i="2"/>
  <c r="WP173" i="2"/>
  <c r="WQ173" i="2"/>
  <c r="WR173" i="2"/>
  <c r="WS173" i="2"/>
  <c r="WT173" i="2"/>
  <c r="WU173" i="2"/>
  <c r="WV173" i="2"/>
  <c r="WW173" i="2"/>
  <c r="WX173" i="2"/>
  <c r="WY173" i="2"/>
  <c r="WZ173" i="2"/>
  <c r="XA173" i="2"/>
  <c r="WP174" i="2"/>
  <c r="WQ174" i="2"/>
  <c r="WR174" i="2"/>
  <c r="WS174" i="2"/>
  <c r="WT174" i="2"/>
  <c r="WU174" i="2"/>
  <c r="WV174" i="2"/>
  <c r="WW174" i="2"/>
  <c r="WX174" i="2"/>
  <c r="WY174" i="2"/>
  <c r="WZ174" i="2"/>
  <c r="XA174" i="2"/>
  <c r="WP175" i="2"/>
  <c r="WQ175" i="2"/>
  <c r="WR175" i="2"/>
  <c r="WS175" i="2"/>
  <c r="WT175" i="2"/>
  <c r="WU175" i="2"/>
  <c r="WV175" i="2"/>
  <c r="WW175" i="2"/>
  <c r="WX175" i="2"/>
  <c r="WY175" i="2"/>
  <c r="WZ175" i="2"/>
  <c r="XA175" i="2"/>
  <c r="WP176" i="2"/>
  <c r="WQ176" i="2"/>
  <c r="WR176" i="2"/>
  <c r="WS176" i="2"/>
  <c r="WT176" i="2"/>
  <c r="WU176" i="2"/>
  <c r="WV176" i="2"/>
  <c r="WW176" i="2"/>
  <c r="WX176" i="2"/>
  <c r="WY176" i="2"/>
  <c r="WZ176" i="2"/>
  <c r="XA176" i="2"/>
  <c r="WP177" i="2"/>
  <c r="WQ177" i="2"/>
  <c r="WR177" i="2"/>
  <c r="WS177" i="2"/>
  <c r="WT177" i="2"/>
  <c r="WU177" i="2"/>
  <c r="WV177" i="2"/>
  <c r="WW177" i="2"/>
  <c r="WX177" i="2"/>
  <c r="WY177" i="2"/>
  <c r="WZ177" i="2"/>
  <c r="XA177" i="2"/>
  <c r="WP178" i="2"/>
  <c r="WQ178" i="2"/>
  <c r="WR178" i="2"/>
  <c r="WS178" i="2"/>
  <c r="WT178" i="2"/>
  <c r="WU178" i="2"/>
  <c r="WV178" i="2"/>
  <c r="WW178" i="2"/>
  <c r="WX178" i="2"/>
  <c r="WY178" i="2"/>
  <c r="WZ178" i="2"/>
  <c r="XA178" i="2"/>
  <c r="WP179" i="2"/>
  <c r="WQ179" i="2"/>
  <c r="WR179" i="2"/>
  <c r="WS179" i="2"/>
  <c r="WT179" i="2"/>
  <c r="WU179" i="2"/>
  <c r="WV179" i="2"/>
  <c r="WW179" i="2"/>
  <c r="WX179" i="2"/>
  <c r="WY179" i="2"/>
  <c r="WZ179" i="2"/>
  <c r="XA179" i="2"/>
  <c r="WP180" i="2"/>
  <c r="WQ180" i="2"/>
  <c r="WR180" i="2"/>
  <c r="WS180" i="2"/>
  <c r="WT180" i="2"/>
  <c r="WU180" i="2"/>
  <c r="WV180" i="2"/>
  <c r="WW180" i="2"/>
  <c r="WX180" i="2"/>
  <c r="WY180" i="2"/>
  <c r="WZ180" i="2"/>
  <c r="XA180" i="2"/>
  <c r="WP181" i="2"/>
  <c r="WQ181" i="2"/>
  <c r="WR181" i="2"/>
  <c r="WS181" i="2"/>
  <c r="WT181" i="2"/>
  <c r="WU181" i="2"/>
  <c r="WV181" i="2"/>
  <c r="WW181" i="2"/>
  <c r="WX181" i="2"/>
  <c r="WY181" i="2"/>
  <c r="WZ181" i="2"/>
  <c r="XA181" i="2"/>
  <c r="WP182" i="2"/>
  <c r="WQ182" i="2"/>
  <c r="WR182" i="2"/>
  <c r="WS182" i="2"/>
  <c r="WT182" i="2"/>
  <c r="WU182" i="2"/>
  <c r="WV182" i="2"/>
  <c r="WW182" i="2"/>
  <c r="WX182" i="2"/>
  <c r="WY182" i="2"/>
  <c r="WZ182" i="2"/>
  <c r="XA182" i="2"/>
  <c r="WP183" i="2"/>
  <c r="WQ183" i="2"/>
  <c r="WR183" i="2"/>
  <c r="WS183" i="2"/>
  <c r="WT183" i="2"/>
  <c r="WU183" i="2"/>
  <c r="WV183" i="2"/>
  <c r="WW183" i="2"/>
  <c r="WX183" i="2"/>
  <c r="WY183" i="2"/>
  <c r="WZ183" i="2"/>
  <c r="XA183" i="2"/>
  <c r="WP184" i="2"/>
  <c r="WQ184" i="2"/>
  <c r="WR184" i="2"/>
  <c r="WS184" i="2"/>
  <c r="WT184" i="2"/>
  <c r="WU184" i="2"/>
  <c r="WV184" i="2"/>
  <c r="WW184" i="2"/>
  <c r="WX184" i="2"/>
  <c r="WY184" i="2"/>
  <c r="WZ184" i="2"/>
  <c r="XA184" i="2"/>
  <c r="WP185" i="2"/>
  <c r="WQ185" i="2"/>
  <c r="WR185" i="2"/>
  <c r="WS185" i="2"/>
  <c r="WT185" i="2"/>
  <c r="WU185" i="2"/>
  <c r="WV185" i="2"/>
  <c r="WW185" i="2"/>
  <c r="WX185" i="2"/>
  <c r="WY185" i="2"/>
  <c r="WZ185" i="2"/>
  <c r="XA185" i="2"/>
  <c r="WP186" i="2"/>
  <c r="WQ186" i="2"/>
  <c r="WR186" i="2"/>
  <c r="WS186" i="2"/>
  <c r="WT186" i="2"/>
  <c r="WU186" i="2"/>
  <c r="WV186" i="2"/>
  <c r="WW186" i="2"/>
  <c r="WX186" i="2"/>
  <c r="WY186" i="2"/>
  <c r="WZ186" i="2"/>
  <c r="XA186" i="2"/>
  <c r="WP187" i="2"/>
  <c r="WQ187" i="2"/>
  <c r="WR187" i="2"/>
  <c r="WS187" i="2"/>
  <c r="WT187" i="2"/>
  <c r="WU187" i="2"/>
  <c r="WV187" i="2"/>
  <c r="WW187" i="2"/>
  <c r="WX187" i="2"/>
  <c r="WY187" i="2"/>
  <c r="WZ187" i="2"/>
  <c r="XA187" i="2"/>
  <c r="WP188" i="2"/>
  <c r="WQ188" i="2"/>
  <c r="WR188" i="2"/>
  <c r="WS188" i="2"/>
  <c r="WT188" i="2"/>
  <c r="WU188" i="2"/>
  <c r="WV188" i="2"/>
  <c r="WW188" i="2"/>
  <c r="WX188" i="2"/>
  <c r="WY188" i="2"/>
  <c r="WZ188" i="2"/>
  <c r="XA188" i="2"/>
  <c r="WP189" i="2"/>
  <c r="WQ189" i="2"/>
  <c r="WR189" i="2"/>
  <c r="WS189" i="2"/>
  <c r="WT189" i="2"/>
  <c r="WU189" i="2"/>
  <c r="WV189" i="2"/>
  <c r="WW189" i="2"/>
  <c r="WX189" i="2"/>
  <c r="WY189" i="2"/>
  <c r="WP190" i="2"/>
  <c r="WQ190" i="2"/>
  <c r="WR190" i="2"/>
  <c r="WS190" i="2"/>
  <c r="WT190" i="2"/>
  <c r="WU190" i="2"/>
  <c r="WV190" i="2"/>
  <c r="WW190" i="2"/>
  <c r="WX190" i="2"/>
  <c r="WY190" i="2"/>
  <c r="WP191" i="2"/>
  <c r="WQ191" i="2"/>
  <c r="WR191" i="2"/>
  <c r="WS191" i="2"/>
  <c r="WT191" i="2"/>
  <c r="WU191" i="2"/>
  <c r="WV191" i="2"/>
  <c r="WW191" i="2"/>
  <c r="WX191" i="2"/>
  <c r="WY191" i="2"/>
  <c r="WP192" i="2"/>
  <c r="WQ192" i="2"/>
  <c r="WR192" i="2"/>
  <c r="WS192" i="2"/>
  <c r="WT192" i="2"/>
  <c r="WU192" i="2"/>
  <c r="WV192" i="2"/>
  <c r="WW192" i="2"/>
  <c r="WX192" i="2"/>
  <c r="WY192" i="2"/>
  <c r="WP204" i="2"/>
  <c r="WQ204" i="2"/>
  <c r="WR204" i="2"/>
  <c r="WS204" i="2"/>
  <c r="WT204" i="2"/>
  <c r="WU204" i="2"/>
  <c r="WV204" i="2"/>
  <c r="WW204" i="2"/>
  <c r="WX204" i="2"/>
  <c r="WY204" i="2"/>
  <c r="WZ204" i="2"/>
  <c r="XA204" i="2"/>
  <c r="WP205" i="2"/>
  <c r="WQ205" i="2"/>
  <c r="WR205" i="2"/>
  <c r="WS205" i="2"/>
  <c r="WT205" i="2"/>
  <c r="WU205" i="2"/>
  <c r="WV205" i="2"/>
  <c r="WW205" i="2"/>
  <c r="WX205" i="2"/>
  <c r="WY205" i="2"/>
  <c r="WZ205" i="2"/>
  <c r="XA205" i="2"/>
  <c r="WP206" i="2"/>
  <c r="WQ206" i="2"/>
  <c r="WR206" i="2"/>
  <c r="WS206" i="2"/>
  <c r="WT206" i="2"/>
  <c r="WU206" i="2"/>
  <c r="WV206" i="2"/>
  <c r="WW206" i="2"/>
  <c r="WX206" i="2"/>
  <c r="WY206" i="2"/>
  <c r="WZ206" i="2"/>
  <c r="XA206" i="2"/>
  <c r="WP207" i="2"/>
  <c r="WQ207" i="2"/>
  <c r="WR207" i="2"/>
  <c r="WS207" i="2"/>
  <c r="WT207" i="2"/>
  <c r="WU207" i="2"/>
  <c r="WV207" i="2"/>
  <c r="WW207" i="2"/>
  <c r="WX207" i="2"/>
  <c r="WY207" i="2"/>
  <c r="WZ207" i="2"/>
  <c r="XA207" i="2"/>
  <c r="WP208" i="2"/>
  <c r="WQ208" i="2"/>
  <c r="WR208" i="2"/>
  <c r="WS208" i="2"/>
  <c r="WT208" i="2"/>
  <c r="WU208" i="2"/>
  <c r="WV208" i="2"/>
  <c r="WW208" i="2"/>
  <c r="WX208" i="2"/>
  <c r="WY208" i="2"/>
  <c r="WZ208" i="2"/>
  <c r="XA208" i="2"/>
  <c r="WP209" i="2"/>
  <c r="WQ209" i="2"/>
  <c r="WR209" i="2"/>
  <c r="WS209" i="2"/>
  <c r="WT209" i="2"/>
  <c r="WU209" i="2"/>
  <c r="WV209" i="2"/>
  <c r="WW209" i="2"/>
  <c r="WX209" i="2"/>
  <c r="WY209" i="2"/>
  <c r="WZ209" i="2"/>
  <c r="XA209" i="2"/>
  <c r="WP210" i="2"/>
  <c r="WQ210" i="2"/>
  <c r="WR210" i="2"/>
  <c r="WS210" i="2"/>
  <c r="WT210" i="2"/>
  <c r="WU210" i="2"/>
  <c r="WV210" i="2"/>
  <c r="WW210" i="2"/>
  <c r="WX210" i="2"/>
  <c r="WY210" i="2"/>
  <c r="WZ210" i="2"/>
  <c r="XA210" i="2"/>
  <c r="WP211" i="2"/>
  <c r="WQ211" i="2"/>
  <c r="WR211" i="2"/>
  <c r="WS211" i="2"/>
  <c r="WT211" i="2"/>
  <c r="WU211" i="2"/>
  <c r="WV211" i="2"/>
  <c r="WW211" i="2"/>
  <c r="WX211" i="2"/>
  <c r="WY211" i="2"/>
  <c r="WZ211" i="2"/>
  <c r="XA211" i="2"/>
  <c r="WP212" i="2"/>
  <c r="WQ212" i="2"/>
  <c r="WR212" i="2"/>
  <c r="WS212" i="2"/>
  <c r="WT212" i="2"/>
  <c r="WU212" i="2"/>
  <c r="WV212" i="2"/>
  <c r="WW212" i="2"/>
  <c r="WX212" i="2"/>
  <c r="WY212" i="2"/>
  <c r="WZ212" i="2"/>
  <c r="XA212" i="2"/>
  <c r="WP213" i="2"/>
  <c r="WQ213" i="2"/>
  <c r="WR213" i="2"/>
  <c r="WS213" i="2"/>
  <c r="WT213" i="2"/>
  <c r="WU213" i="2"/>
  <c r="WV213" i="2"/>
  <c r="WW213" i="2"/>
  <c r="WX213" i="2"/>
  <c r="WY213" i="2"/>
  <c r="WZ213" i="2"/>
  <c r="XA213" i="2"/>
  <c r="WP214" i="2"/>
  <c r="WQ214" i="2"/>
  <c r="WR214" i="2"/>
  <c r="WS214" i="2"/>
  <c r="WT214" i="2"/>
  <c r="WU214" i="2"/>
  <c r="WV214" i="2"/>
  <c r="WW214" i="2"/>
  <c r="WX214" i="2"/>
  <c r="WY214" i="2"/>
  <c r="WZ214" i="2"/>
  <c r="XA214" i="2"/>
  <c r="WP215" i="2"/>
  <c r="WQ215" i="2"/>
  <c r="WR215" i="2"/>
  <c r="WS215" i="2"/>
  <c r="WT215" i="2"/>
  <c r="WU215" i="2"/>
  <c r="WV215" i="2"/>
  <c r="WW215" i="2"/>
  <c r="WX215" i="2"/>
  <c r="WY215" i="2"/>
  <c r="WZ215" i="2"/>
  <c r="XA215" i="2"/>
  <c r="WP216" i="2"/>
  <c r="WQ216" i="2"/>
  <c r="WR216" i="2"/>
  <c r="WS216" i="2"/>
  <c r="WT216" i="2"/>
  <c r="WU216" i="2"/>
  <c r="WV216" i="2"/>
  <c r="WW216" i="2"/>
  <c r="WX216" i="2"/>
  <c r="WY216" i="2"/>
  <c r="WZ216" i="2"/>
  <c r="XA216" i="2"/>
  <c r="WP217" i="2"/>
  <c r="WQ217" i="2"/>
  <c r="WR217" i="2"/>
  <c r="WS217" i="2"/>
  <c r="WT217" i="2"/>
  <c r="WU217" i="2"/>
  <c r="WV217" i="2"/>
  <c r="WW217" i="2"/>
  <c r="WX217" i="2"/>
  <c r="WY217" i="2"/>
  <c r="WZ217" i="2"/>
  <c r="XA217" i="2"/>
  <c r="WP218" i="2"/>
  <c r="WQ218" i="2"/>
  <c r="WR218" i="2"/>
  <c r="WS218" i="2"/>
  <c r="WT218" i="2"/>
  <c r="WU218" i="2"/>
  <c r="WV218" i="2"/>
  <c r="WW218" i="2"/>
  <c r="WX218" i="2"/>
  <c r="WY218" i="2"/>
  <c r="WZ218" i="2"/>
  <c r="XA218" i="2"/>
  <c r="WP219" i="2"/>
  <c r="WQ219" i="2"/>
  <c r="WR219" i="2"/>
  <c r="WS219" i="2"/>
  <c r="WT219" i="2"/>
  <c r="WU219" i="2"/>
  <c r="WV219" i="2"/>
  <c r="WW219" i="2"/>
  <c r="WX219" i="2"/>
  <c r="WY219" i="2"/>
  <c r="WZ219" i="2"/>
  <c r="XA219" i="2"/>
  <c r="WP220" i="2"/>
  <c r="WQ220" i="2"/>
  <c r="WR220" i="2"/>
  <c r="WS220" i="2"/>
  <c r="WT220" i="2"/>
  <c r="WU220" i="2"/>
  <c r="WV220" i="2"/>
  <c r="WW220" i="2"/>
  <c r="WX220" i="2"/>
  <c r="WY220" i="2"/>
  <c r="WZ220" i="2"/>
  <c r="XA220" i="2"/>
  <c r="WP221" i="2"/>
  <c r="WQ221" i="2"/>
  <c r="WR221" i="2"/>
  <c r="WS221" i="2"/>
  <c r="WT221" i="2"/>
  <c r="WU221" i="2"/>
  <c r="WV221" i="2"/>
  <c r="WW221" i="2"/>
  <c r="WX221" i="2"/>
  <c r="WY221" i="2"/>
  <c r="WZ221" i="2"/>
  <c r="XA221" i="2"/>
  <c r="WP222" i="2"/>
  <c r="WQ222" i="2"/>
  <c r="WR222" i="2"/>
  <c r="WS222" i="2"/>
  <c r="WT222" i="2"/>
  <c r="WU222" i="2"/>
  <c r="WV222" i="2"/>
  <c r="WW222" i="2"/>
  <c r="WX222" i="2"/>
  <c r="WY222" i="2"/>
  <c r="WZ222" i="2"/>
  <c r="XA222" i="2"/>
  <c r="WP223" i="2"/>
  <c r="WQ223" i="2"/>
  <c r="WR223" i="2"/>
  <c r="WS223" i="2"/>
  <c r="WT223" i="2"/>
  <c r="WU223" i="2"/>
  <c r="WV223" i="2"/>
  <c r="WW223" i="2"/>
  <c r="WX223" i="2"/>
  <c r="WY223" i="2"/>
  <c r="WZ223" i="2"/>
  <c r="XA223" i="2"/>
  <c r="WP224" i="2"/>
  <c r="WQ224" i="2"/>
  <c r="WR224" i="2"/>
  <c r="WS224" i="2"/>
  <c r="WT224" i="2"/>
  <c r="WU224" i="2"/>
  <c r="WV224" i="2"/>
  <c r="WW224" i="2"/>
  <c r="WX224" i="2"/>
  <c r="WY224" i="2"/>
  <c r="WZ224" i="2"/>
  <c r="XA224" i="2"/>
  <c r="WP225" i="2"/>
  <c r="WQ225" i="2"/>
  <c r="WR225" i="2"/>
  <c r="WS225" i="2"/>
  <c r="WT225" i="2"/>
  <c r="WU225" i="2"/>
  <c r="WV225" i="2"/>
  <c r="WW225" i="2"/>
  <c r="WX225" i="2"/>
  <c r="WY225" i="2"/>
  <c r="WZ225" i="2"/>
  <c r="XA225" i="2"/>
  <c r="WP226" i="2"/>
  <c r="WQ226" i="2"/>
  <c r="WR226" i="2"/>
  <c r="WS226" i="2"/>
  <c r="WT226" i="2"/>
  <c r="WU226" i="2"/>
  <c r="WV226" i="2"/>
  <c r="WW226" i="2"/>
  <c r="WX226" i="2"/>
  <c r="WY226" i="2"/>
  <c r="WZ226" i="2"/>
  <c r="XA226" i="2"/>
  <c r="WP227" i="2"/>
  <c r="WQ227" i="2"/>
  <c r="WR227" i="2"/>
  <c r="WS227" i="2"/>
  <c r="WT227" i="2"/>
  <c r="WU227" i="2"/>
  <c r="WV227" i="2"/>
  <c r="WW227" i="2"/>
  <c r="WX227" i="2"/>
  <c r="WY227" i="2"/>
  <c r="WP228" i="2"/>
  <c r="WQ228" i="2"/>
  <c r="WR228" i="2"/>
  <c r="WS228" i="2"/>
  <c r="WT228" i="2"/>
  <c r="WU228" i="2"/>
  <c r="WV228" i="2"/>
  <c r="WW228" i="2"/>
  <c r="WX228" i="2"/>
  <c r="WY228" i="2"/>
  <c r="WP229" i="2"/>
  <c r="WQ229" i="2"/>
  <c r="WR229" i="2"/>
  <c r="WS229" i="2"/>
  <c r="WT229" i="2"/>
  <c r="WU229" i="2"/>
  <c r="WV229" i="2"/>
  <c r="WW229" i="2"/>
  <c r="WX229" i="2"/>
  <c r="WY229" i="2"/>
  <c r="WP230" i="2"/>
  <c r="WQ230" i="2"/>
  <c r="WR230" i="2"/>
  <c r="WS230" i="2"/>
  <c r="WT230" i="2"/>
  <c r="WU230" i="2"/>
  <c r="WV230" i="2"/>
  <c r="WW230" i="2"/>
  <c r="WX230" i="2"/>
  <c r="WY230" i="2"/>
  <c r="WP242" i="2"/>
  <c r="WQ242" i="2"/>
  <c r="WR242" i="2"/>
  <c r="WS242" i="2"/>
  <c r="WT242" i="2"/>
  <c r="WU242" i="2"/>
  <c r="WV242" i="2"/>
  <c r="WW242" i="2"/>
  <c r="WX242" i="2"/>
  <c r="WY242" i="2"/>
  <c r="WZ242" i="2"/>
  <c r="XA242" i="2"/>
  <c r="WP243" i="2"/>
  <c r="WQ243" i="2"/>
  <c r="WR243" i="2"/>
  <c r="WS243" i="2"/>
  <c r="WT243" i="2"/>
  <c r="WU243" i="2"/>
  <c r="WV243" i="2"/>
  <c r="WW243" i="2"/>
  <c r="WX243" i="2"/>
  <c r="WY243" i="2"/>
  <c r="WZ243" i="2"/>
  <c r="XA243" i="2"/>
  <c r="WP244" i="2"/>
  <c r="WQ244" i="2"/>
  <c r="WR244" i="2"/>
  <c r="WS244" i="2"/>
  <c r="WT244" i="2"/>
  <c r="WU244" i="2"/>
  <c r="WV244" i="2"/>
  <c r="WW244" i="2"/>
  <c r="WX244" i="2"/>
  <c r="WY244" i="2"/>
  <c r="WZ244" i="2"/>
  <c r="XA244" i="2"/>
  <c r="WP245" i="2"/>
  <c r="WQ245" i="2"/>
  <c r="WR245" i="2"/>
  <c r="WS245" i="2"/>
  <c r="WT245" i="2"/>
  <c r="WU245" i="2"/>
  <c r="WV245" i="2"/>
  <c r="WW245" i="2"/>
  <c r="WX245" i="2"/>
  <c r="WY245" i="2"/>
  <c r="WZ245" i="2"/>
  <c r="XA245" i="2"/>
  <c r="WP246" i="2"/>
  <c r="WQ246" i="2"/>
  <c r="WR246" i="2"/>
  <c r="WS246" i="2"/>
  <c r="WT246" i="2"/>
  <c r="WU246" i="2"/>
  <c r="WV246" i="2"/>
  <c r="WW246" i="2"/>
  <c r="WX246" i="2"/>
  <c r="WY246" i="2"/>
  <c r="WZ246" i="2"/>
  <c r="XA246" i="2"/>
  <c r="WP247" i="2"/>
  <c r="WQ247" i="2"/>
  <c r="WR247" i="2"/>
  <c r="WS247" i="2"/>
  <c r="WT247" i="2"/>
  <c r="WU247" i="2"/>
  <c r="WV247" i="2"/>
  <c r="WW247" i="2"/>
  <c r="WX247" i="2"/>
  <c r="WY247" i="2"/>
  <c r="WZ247" i="2"/>
  <c r="XA247" i="2"/>
  <c r="WP248" i="2"/>
  <c r="WQ248" i="2"/>
  <c r="WR248" i="2"/>
  <c r="WS248" i="2"/>
  <c r="WT248" i="2"/>
  <c r="WU248" i="2"/>
  <c r="WV248" i="2"/>
  <c r="WW248" i="2"/>
  <c r="WX248" i="2"/>
  <c r="WY248" i="2"/>
  <c r="WZ248" i="2"/>
  <c r="XA248" i="2"/>
  <c r="WP249" i="2"/>
  <c r="WQ249" i="2"/>
  <c r="WR249" i="2"/>
  <c r="WS249" i="2"/>
  <c r="WT249" i="2"/>
  <c r="WU249" i="2"/>
  <c r="WV249" i="2"/>
  <c r="WW249" i="2"/>
  <c r="WX249" i="2"/>
  <c r="WY249" i="2"/>
  <c r="WZ249" i="2"/>
  <c r="XA249" i="2"/>
  <c r="WP250" i="2"/>
  <c r="WQ250" i="2"/>
  <c r="WR250" i="2"/>
  <c r="WS250" i="2"/>
  <c r="WT250" i="2"/>
  <c r="WU250" i="2"/>
  <c r="WV250" i="2"/>
  <c r="WW250" i="2"/>
  <c r="WX250" i="2"/>
  <c r="WY250" i="2"/>
  <c r="WZ250" i="2"/>
  <c r="XA250" i="2"/>
  <c r="WP251" i="2"/>
  <c r="WQ251" i="2"/>
  <c r="WR251" i="2"/>
  <c r="WS251" i="2"/>
  <c r="WT251" i="2"/>
  <c r="WU251" i="2"/>
  <c r="WV251" i="2"/>
  <c r="WW251" i="2"/>
  <c r="WX251" i="2"/>
  <c r="WY251" i="2"/>
  <c r="WZ251" i="2"/>
  <c r="XA251" i="2"/>
  <c r="WP252" i="2"/>
  <c r="WQ252" i="2"/>
  <c r="WR252" i="2"/>
  <c r="WS252" i="2"/>
  <c r="WT252" i="2"/>
  <c r="WU252" i="2"/>
  <c r="WV252" i="2"/>
  <c r="WW252" i="2"/>
  <c r="WX252" i="2"/>
  <c r="WY252" i="2"/>
  <c r="WZ252" i="2"/>
  <c r="XA252" i="2"/>
  <c r="WP253" i="2"/>
  <c r="WQ253" i="2"/>
  <c r="WR253" i="2"/>
  <c r="WS253" i="2"/>
  <c r="WT253" i="2"/>
  <c r="WU253" i="2"/>
  <c r="WV253" i="2"/>
  <c r="WW253" i="2"/>
  <c r="WX253" i="2"/>
  <c r="WY253" i="2"/>
  <c r="WZ253" i="2"/>
  <c r="XA253" i="2"/>
  <c r="WP254" i="2"/>
  <c r="WQ254" i="2"/>
  <c r="WR254" i="2"/>
  <c r="WS254" i="2"/>
  <c r="WT254" i="2"/>
  <c r="WV254" i="2"/>
  <c r="WX254" i="2"/>
  <c r="WY254" i="2"/>
  <c r="WZ254" i="2"/>
  <c r="XA254" i="2"/>
  <c r="WP255" i="2"/>
  <c r="WQ255" i="2"/>
  <c r="WR255" i="2"/>
  <c r="WS255" i="2"/>
  <c r="WT255" i="2"/>
  <c r="WU255" i="2"/>
  <c r="WV255" i="2"/>
  <c r="WW255" i="2"/>
  <c r="WX255" i="2"/>
  <c r="WY255" i="2"/>
  <c r="WZ255" i="2"/>
  <c r="XA255" i="2"/>
  <c r="WP256" i="2"/>
  <c r="WQ256" i="2"/>
  <c r="WR256" i="2"/>
  <c r="WS256" i="2"/>
  <c r="WT256" i="2"/>
  <c r="WV256" i="2"/>
  <c r="WX256" i="2"/>
  <c r="WY256" i="2"/>
  <c r="WZ256" i="2"/>
  <c r="XA256" i="2"/>
  <c r="WP257" i="2"/>
  <c r="WQ257" i="2"/>
  <c r="WR257" i="2"/>
  <c r="WS257" i="2"/>
  <c r="WT257" i="2"/>
  <c r="WU257" i="2"/>
  <c r="WV257" i="2"/>
  <c r="WW257" i="2"/>
  <c r="WX257" i="2"/>
  <c r="WY257" i="2"/>
  <c r="WZ257" i="2"/>
  <c r="XA257" i="2"/>
  <c r="WP258" i="2"/>
  <c r="WQ258" i="2"/>
  <c r="WR258" i="2"/>
  <c r="WS258" i="2"/>
  <c r="WT258" i="2"/>
  <c r="WU258" i="2"/>
  <c r="WV258" i="2"/>
  <c r="WW258" i="2"/>
  <c r="WX258" i="2"/>
  <c r="WY258" i="2"/>
  <c r="WZ258" i="2"/>
  <c r="XA258" i="2"/>
  <c r="WP259" i="2"/>
  <c r="WQ259" i="2"/>
  <c r="WR259" i="2"/>
  <c r="WS259" i="2"/>
  <c r="WT259" i="2"/>
  <c r="WU259" i="2"/>
  <c r="WV259" i="2"/>
  <c r="WW259" i="2"/>
  <c r="WX259" i="2"/>
  <c r="WY259" i="2"/>
  <c r="WZ259" i="2"/>
  <c r="XA259" i="2"/>
  <c r="WP260" i="2"/>
  <c r="WQ260" i="2"/>
  <c r="WR260" i="2"/>
  <c r="WS260" i="2"/>
  <c r="WT260" i="2"/>
  <c r="WU260" i="2"/>
  <c r="WV260" i="2"/>
  <c r="WW260" i="2"/>
  <c r="WX260" i="2"/>
  <c r="WY260" i="2"/>
  <c r="WZ260" i="2"/>
  <c r="XA260" i="2"/>
  <c r="WP261" i="2"/>
  <c r="WQ261" i="2"/>
  <c r="WR261" i="2"/>
  <c r="WS261" i="2"/>
  <c r="WT261" i="2"/>
  <c r="WU261" i="2"/>
  <c r="WV261" i="2"/>
  <c r="WW261" i="2"/>
  <c r="WX261" i="2"/>
  <c r="WY261" i="2"/>
  <c r="WZ261" i="2"/>
  <c r="XA261" i="2"/>
  <c r="WP262" i="2"/>
  <c r="WQ262" i="2"/>
  <c r="WR262" i="2"/>
  <c r="WS262" i="2"/>
  <c r="WT262" i="2"/>
  <c r="WU262" i="2"/>
  <c r="WV262" i="2"/>
  <c r="WW262" i="2"/>
  <c r="WX262" i="2"/>
  <c r="WY262" i="2"/>
  <c r="WZ262" i="2"/>
  <c r="XA262" i="2"/>
  <c r="WP263" i="2"/>
  <c r="WQ263" i="2"/>
  <c r="WR263" i="2"/>
  <c r="WS263" i="2"/>
  <c r="WT263" i="2"/>
  <c r="WU263" i="2"/>
  <c r="WV263" i="2"/>
  <c r="WW263" i="2"/>
  <c r="WX263" i="2"/>
  <c r="WY263" i="2"/>
  <c r="WZ263" i="2"/>
  <c r="XA263" i="2"/>
  <c r="WP264" i="2"/>
  <c r="WQ264" i="2"/>
  <c r="WR264" i="2"/>
  <c r="WS264" i="2"/>
  <c r="WT264" i="2"/>
  <c r="WU264" i="2"/>
  <c r="WV264" i="2"/>
  <c r="WW264" i="2"/>
  <c r="WX264" i="2"/>
  <c r="WY264" i="2"/>
  <c r="WZ264" i="2"/>
  <c r="XA264" i="2"/>
  <c r="WP265" i="2"/>
  <c r="WQ265" i="2"/>
  <c r="WR265" i="2"/>
  <c r="WS265" i="2"/>
  <c r="WT265" i="2"/>
  <c r="WU265" i="2"/>
  <c r="WV265" i="2"/>
  <c r="WW265" i="2"/>
  <c r="WX265" i="2"/>
  <c r="WY265" i="2"/>
  <c r="WP266" i="2"/>
  <c r="WQ266" i="2"/>
  <c r="WR266" i="2"/>
  <c r="WS266" i="2"/>
  <c r="WT266" i="2"/>
  <c r="WU266" i="2"/>
  <c r="WV266" i="2"/>
  <c r="WW266" i="2"/>
  <c r="WX266" i="2"/>
  <c r="WY266" i="2"/>
  <c r="WP267" i="2"/>
  <c r="WQ267" i="2"/>
  <c r="WR267" i="2"/>
  <c r="WS267" i="2"/>
  <c r="WT267" i="2"/>
  <c r="WU267" i="2"/>
  <c r="WV267" i="2"/>
  <c r="WW267" i="2"/>
  <c r="WX267" i="2"/>
  <c r="WY267" i="2"/>
  <c r="WP268" i="2"/>
  <c r="WQ268" i="2"/>
  <c r="WR268" i="2"/>
  <c r="WS268" i="2"/>
  <c r="WT268" i="2"/>
  <c r="WU268" i="2"/>
  <c r="WV268" i="2"/>
  <c r="WW268" i="2"/>
  <c r="WX268" i="2"/>
  <c r="WY268" i="2"/>
  <c r="WP280" i="2"/>
  <c r="WQ280" i="2"/>
  <c r="WR280" i="2"/>
  <c r="WS280" i="2"/>
  <c r="WT280" i="2"/>
  <c r="WU280" i="2"/>
  <c r="WV280" i="2"/>
  <c r="WW280" i="2"/>
  <c r="WX280" i="2"/>
  <c r="WY280" i="2"/>
  <c r="WZ280" i="2"/>
  <c r="XA280" i="2"/>
  <c r="WP281" i="2"/>
  <c r="WQ281" i="2"/>
  <c r="WR281" i="2"/>
  <c r="WS281" i="2"/>
  <c r="WT281" i="2"/>
  <c r="WU281" i="2"/>
  <c r="WV281" i="2"/>
  <c r="WW281" i="2"/>
  <c r="WX281" i="2"/>
  <c r="WY281" i="2"/>
  <c r="WZ281" i="2"/>
  <c r="XA281" i="2"/>
  <c r="WP282" i="2"/>
  <c r="WQ282" i="2"/>
  <c r="WR282" i="2"/>
  <c r="WS282" i="2"/>
  <c r="WT282" i="2"/>
  <c r="WU282" i="2"/>
  <c r="WV282" i="2"/>
  <c r="WW282" i="2"/>
  <c r="WX282" i="2"/>
  <c r="WY282" i="2"/>
  <c r="WZ282" i="2"/>
  <c r="XA282" i="2"/>
  <c r="WP283" i="2"/>
  <c r="WQ283" i="2"/>
  <c r="WR283" i="2"/>
  <c r="WS283" i="2"/>
  <c r="WT283" i="2"/>
  <c r="WU283" i="2"/>
  <c r="WV283" i="2"/>
  <c r="WW283" i="2"/>
  <c r="WX283" i="2"/>
  <c r="WY283" i="2"/>
  <c r="WZ283" i="2"/>
  <c r="XA283" i="2"/>
  <c r="WP284" i="2"/>
  <c r="WQ284" i="2"/>
  <c r="WR284" i="2"/>
  <c r="WS284" i="2"/>
  <c r="WT284" i="2"/>
  <c r="WU284" i="2"/>
  <c r="WV284" i="2"/>
  <c r="WW284" i="2"/>
  <c r="WX284" i="2"/>
  <c r="WY284" i="2"/>
  <c r="WZ284" i="2"/>
  <c r="XA284" i="2"/>
  <c r="WP285" i="2"/>
  <c r="WQ285" i="2"/>
  <c r="WR285" i="2"/>
  <c r="WS285" i="2"/>
  <c r="WT285" i="2"/>
  <c r="WU285" i="2"/>
  <c r="WV285" i="2"/>
  <c r="WW285" i="2"/>
  <c r="WX285" i="2"/>
  <c r="WY285" i="2"/>
  <c r="WZ285" i="2"/>
  <c r="XA285" i="2"/>
  <c r="WP286" i="2"/>
  <c r="WQ286" i="2"/>
  <c r="WR286" i="2"/>
  <c r="WS286" i="2"/>
  <c r="WT286" i="2"/>
  <c r="WU286" i="2"/>
  <c r="WV286" i="2"/>
  <c r="WW286" i="2"/>
  <c r="WX286" i="2"/>
  <c r="WY286" i="2"/>
  <c r="WZ286" i="2"/>
  <c r="XA286" i="2"/>
  <c r="WP287" i="2"/>
  <c r="WQ287" i="2"/>
  <c r="WR287" i="2"/>
  <c r="WS287" i="2"/>
  <c r="WT287" i="2"/>
  <c r="WU287" i="2"/>
  <c r="WV287" i="2"/>
  <c r="WW287" i="2"/>
  <c r="WX287" i="2"/>
  <c r="WY287" i="2"/>
  <c r="WZ287" i="2"/>
  <c r="XA287" i="2"/>
  <c r="WP288" i="2"/>
  <c r="WQ288" i="2"/>
  <c r="WR288" i="2"/>
  <c r="WS288" i="2"/>
  <c r="WT288" i="2"/>
  <c r="WU288" i="2"/>
  <c r="WV288" i="2"/>
  <c r="WW288" i="2"/>
  <c r="WX288" i="2"/>
  <c r="WY288" i="2"/>
  <c r="WZ288" i="2"/>
  <c r="XA288" i="2"/>
  <c r="WP289" i="2"/>
  <c r="WQ289" i="2"/>
  <c r="WR289" i="2"/>
  <c r="WS289" i="2"/>
  <c r="WT289" i="2"/>
  <c r="WU289" i="2"/>
  <c r="WV289" i="2"/>
  <c r="WW289" i="2"/>
  <c r="WX289" i="2"/>
  <c r="WY289" i="2"/>
  <c r="WZ289" i="2"/>
  <c r="XA289" i="2"/>
  <c r="WP290" i="2"/>
  <c r="WQ290" i="2"/>
  <c r="WR290" i="2"/>
  <c r="WS290" i="2"/>
  <c r="WT290" i="2"/>
  <c r="WU290" i="2"/>
  <c r="WV290" i="2"/>
  <c r="WW290" i="2"/>
  <c r="WX290" i="2"/>
  <c r="WY290" i="2"/>
  <c r="WZ290" i="2"/>
  <c r="XA290" i="2"/>
  <c r="WP291" i="2"/>
  <c r="WQ291" i="2"/>
  <c r="WR291" i="2"/>
  <c r="WS291" i="2"/>
  <c r="WT291" i="2"/>
  <c r="WU291" i="2"/>
  <c r="WV291" i="2"/>
  <c r="WW291" i="2"/>
  <c r="WX291" i="2"/>
  <c r="WY291" i="2"/>
  <c r="WZ291" i="2"/>
  <c r="XA291" i="2"/>
  <c r="WP292" i="2"/>
  <c r="WQ292" i="2"/>
  <c r="WR292" i="2"/>
  <c r="WS292" i="2"/>
  <c r="WT292" i="2"/>
  <c r="WV292" i="2"/>
  <c r="WX292" i="2"/>
  <c r="WY292" i="2"/>
  <c r="WZ292" i="2"/>
  <c r="XA292" i="2"/>
  <c r="WP293" i="2"/>
  <c r="WQ293" i="2"/>
  <c r="WR293" i="2"/>
  <c r="WS293" i="2"/>
  <c r="WT293" i="2"/>
  <c r="WU293" i="2"/>
  <c r="WV293" i="2"/>
  <c r="WW293" i="2"/>
  <c r="WX293" i="2"/>
  <c r="WY293" i="2"/>
  <c r="WZ293" i="2"/>
  <c r="XA293" i="2"/>
  <c r="WP294" i="2"/>
  <c r="WQ294" i="2"/>
  <c r="WR294" i="2"/>
  <c r="WS294" i="2"/>
  <c r="WT294" i="2"/>
  <c r="WV294" i="2"/>
  <c r="WX294" i="2"/>
  <c r="WY294" i="2"/>
  <c r="WZ294" i="2"/>
  <c r="XA294" i="2"/>
  <c r="WP295" i="2"/>
  <c r="WQ295" i="2"/>
  <c r="WR295" i="2"/>
  <c r="WS295" i="2"/>
  <c r="WT295" i="2"/>
  <c r="WU295" i="2"/>
  <c r="WV295" i="2"/>
  <c r="WW295" i="2"/>
  <c r="WX295" i="2"/>
  <c r="WY295" i="2"/>
  <c r="WZ295" i="2"/>
  <c r="XA295" i="2"/>
  <c r="WP296" i="2"/>
  <c r="WQ296" i="2"/>
  <c r="WR296" i="2"/>
  <c r="WS296" i="2"/>
  <c r="WT296" i="2"/>
  <c r="WU296" i="2"/>
  <c r="WV296" i="2"/>
  <c r="WW296" i="2"/>
  <c r="WX296" i="2"/>
  <c r="WY296" i="2"/>
  <c r="WZ296" i="2"/>
  <c r="XA296" i="2"/>
  <c r="WP297" i="2"/>
  <c r="WQ297" i="2"/>
  <c r="WR297" i="2"/>
  <c r="WS297" i="2"/>
  <c r="WT297" i="2"/>
  <c r="WU297" i="2"/>
  <c r="WV297" i="2"/>
  <c r="WW297" i="2"/>
  <c r="WX297" i="2"/>
  <c r="WY297" i="2"/>
  <c r="WZ297" i="2"/>
  <c r="XA297" i="2"/>
  <c r="WP298" i="2"/>
  <c r="WQ298" i="2"/>
  <c r="WR298" i="2"/>
  <c r="WS298" i="2"/>
  <c r="WT298" i="2"/>
  <c r="WU298" i="2"/>
  <c r="WV298" i="2"/>
  <c r="WW298" i="2"/>
  <c r="WX298" i="2"/>
  <c r="WY298" i="2"/>
  <c r="WZ298" i="2"/>
  <c r="XA298" i="2"/>
  <c r="WP299" i="2"/>
  <c r="WQ299" i="2"/>
  <c r="WR299" i="2"/>
  <c r="WS299" i="2"/>
  <c r="WT299" i="2"/>
  <c r="WU299" i="2"/>
  <c r="WV299" i="2"/>
  <c r="WW299" i="2"/>
  <c r="WX299" i="2"/>
  <c r="WY299" i="2"/>
  <c r="WZ299" i="2"/>
  <c r="XA299" i="2"/>
  <c r="WP300" i="2"/>
  <c r="WQ300" i="2"/>
  <c r="WR300" i="2"/>
  <c r="WS300" i="2"/>
  <c r="WT300" i="2"/>
  <c r="WU300" i="2"/>
  <c r="WV300" i="2"/>
  <c r="WW300" i="2"/>
  <c r="WX300" i="2"/>
  <c r="WY300" i="2"/>
  <c r="WZ300" i="2"/>
  <c r="XA300" i="2"/>
  <c r="WP301" i="2"/>
  <c r="WQ301" i="2"/>
  <c r="WR301" i="2"/>
  <c r="WS301" i="2"/>
  <c r="WT301" i="2"/>
  <c r="WU301" i="2"/>
  <c r="WV301" i="2"/>
  <c r="WW301" i="2"/>
  <c r="WX301" i="2"/>
  <c r="WY301" i="2"/>
  <c r="WZ301" i="2"/>
  <c r="XA301" i="2"/>
  <c r="WP302" i="2"/>
  <c r="WQ302" i="2"/>
  <c r="WR302" i="2"/>
  <c r="WS302" i="2"/>
  <c r="WT302" i="2"/>
  <c r="WU302" i="2"/>
  <c r="WV302" i="2"/>
  <c r="WW302" i="2"/>
  <c r="WX302" i="2"/>
  <c r="WY302" i="2"/>
  <c r="WZ302" i="2"/>
  <c r="XA302" i="2"/>
  <c r="WP303" i="2"/>
  <c r="WQ303" i="2"/>
  <c r="WR303" i="2"/>
  <c r="WS303" i="2"/>
  <c r="WT303" i="2"/>
  <c r="WU303" i="2"/>
  <c r="WV303" i="2"/>
  <c r="WW303" i="2"/>
  <c r="WX303" i="2"/>
  <c r="WY303" i="2"/>
  <c r="WP304" i="2"/>
  <c r="WQ304" i="2"/>
  <c r="WR304" i="2"/>
  <c r="WS304" i="2"/>
  <c r="WT304" i="2"/>
  <c r="WU304" i="2"/>
  <c r="WV304" i="2"/>
  <c r="WW304" i="2"/>
  <c r="WX304" i="2"/>
  <c r="WY304" i="2"/>
  <c r="WP305" i="2"/>
  <c r="WQ305" i="2"/>
  <c r="WR305" i="2"/>
  <c r="WS305" i="2"/>
  <c r="WT305" i="2"/>
  <c r="WU305" i="2"/>
  <c r="WV305" i="2"/>
  <c r="WW305" i="2"/>
  <c r="WX305" i="2"/>
  <c r="WY305" i="2"/>
  <c r="WP306" i="2"/>
  <c r="WQ306" i="2"/>
  <c r="WR306" i="2"/>
  <c r="WS306" i="2"/>
  <c r="WT306" i="2"/>
  <c r="WU306" i="2"/>
  <c r="WV306" i="2"/>
  <c r="WW306" i="2"/>
  <c r="WX306" i="2"/>
  <c r="WY306" i="2"/>
  <c r="WP318" i="2"/>
  <c r="WQ318" i="2"/>
  <c r="WR318" i="2"/>
  <c r="WS318" i="2"/>
  <c r="WT318" i="2"/>
  <c r="WU318" i="2"/>
  <c r="WV318" i="2"/>
  <c r="WW318" i="2"/>
  <c r="WX318" i="2"/>
  <c r="WY318" i="2"/>
  <c r="WZ318" i="2"/>
  <c r="XA318" i="2"/>
  <c r="WP319" i="2"/>
  <c r="WQ319" i="2"/>
  <c r="WR319" i="2"/>
  <c r="WS319" i="2"/>
  <c r="WT319" i="2"/>
  <c r="WU319" i="2"/>
  <c r="WV319" i="2"/>
  <c r="WW319" i="2"/>
  <c r="WX319" i="2"/>
  <c r="WY319" i="2"/>
  <c r="WZ319" i="2"/>
  <c r="XA319" i="2"/>
  <c r="WP320" i="2"/>
  <c r="WQ320" i="2"/>
  <c r="WR320" i="2"/>
  <c r="WS320" i="2"/>
  <c r="WT320" i="2"/>
  <c r="WU320" i="2"/>
  <c r="WV320" i="2"/>
  <c r="WW320" i="2"/>
  <c r="WX320" i="2"/>
  <c r="WY320" i="2"/>
  <c r="WZ320" i="2"/>
  <c r="XA320" i="2"/>
  <c r="WP321" i="2"/>
  <c r="WQ321" i="2"/>
  <c r="WR321" i="2"/>
  <c r="WS321" i="2"/>
  <c r="WT321" i="2"/>
  <c r="WU321" i="2"/>
  <c r="WV321" i="2"/>
  <c r="WW321" i="2"/>
  <c r="WX321" i="2"/>
  <c r="WY321" i="2"/>
  <c r="WZ321" i="2"/>
  <c r="XA321" i="2"/>
  <c r="WP322" i="2"/>
  <c r="WQ322" i="2"/>
  <c r="WR322" i="2"/>
  <c r="WS322" i="2"/>
  <c r="WT322" i="2"/>
  <c r="WU322" i="2"/>
  <c r="WV322" i="2"/>
  <c r="WW322" i="2"/>
  <c r="WX322" i="2"/>
  <c r="WY322" i="2"/>
  <c r="WZ322" i="2"/>
  <c r="XA322" i="2"/>
  <c r="WP323" i="2"/>
  <c r="WQ323" i="2"/>
  <c r="WR323" i="2"/>
  <c r="WS323" i="2"/>
  <c r="WT323" i="2"/>
  <c r="WU323" i="2"/>
  <c r="WV323" i="2"/>
  <c r="WW323" i="2"/>
  <c r="WX323" i="2"/>
  <c r="WY323" i="2"/>
  <c r="WZ323" i="2"/>
  <c r="XA323" i="2"/>
  <c r="WP324" i="2"/>
  <c r="WQ324" i="2"/>
  <c r="WR324" i="2"/>
  <c r="WS324" i="2"/>
  <c r="WT324" i="2"/>
  <c r="WU324" i="2"/>
  <c r="WV324" i="2"/>
  <c r="WW324" i="2"/>
  <c r="WX324" i="2"/>
  <c r="WY324" i="2"/>
  <c r="WZ324" i="2"/>
  <c r="XA324" i="2"/>
  <c r="WP325" i="2"/>
  <c r="WQ325" i="2"/>
  <c r="WR325" i="2"/>
  <c r="WS325" i="2"/>
  <c r="WT325" i="2"/>
  <c r="WU325" i="2"/>
  <c r="WV325" i="2"/>
  <c r="WW325" i="2"/>
  <c r="WX325" i="2"/>
  <c r="WY325" i="2"/>
  <c r="WZ325" i="2"/>
  <c r="XA325" i="2"/>
  <c r="WP326" i="2"/>
  <c r="WQ326" i="2"/>
  <c r="WR326" i="2"/>
  <c r="WS326" i="2"/>
  <c r="WT326" i="2"/>
  <c r="WU326" i="2"/>
  <c r="WV326" i="2"/>
  <c r="WW326" i="2"/>
  <c r="WX326" i="2"/>
  <c r="WY326" i="2"/>
  <c r="WZ326" i="2"/>
  <c r="XA326" i="2"/>
  <c r="WP327" i="2"/>
  <c r="WQ327" i="2"/>
  <c r="WR327" i="2"/>
  <c r="WS327" i="2"/>
  <c r="WT327" i="2"/>
  <c r="WU327" i="2"/>
  <c r="WV327" i="2"/>
  <c r="WW327" i="2"/>
  <c r="WX327" i="2"/>
  <c r="WY327" i="2"/>
  <c r="WZ327" i="2"/>
  <c r="XA327" i="2"/>
  <c r="WP328" i="2"/>
  <c r="WQ328" i="2"/>
  <c r="WR328" i="2"/>
  <c r="WS328" i="2"/>
  <c r="WT328" i="2"/>
  <c r="WU328" i="2"/>
  <c r="WV328" i="2"/>
  <c r="WW328" i="2"/>
  <c r="WX328" i="2"/>
  <c r="WY328" i="2"/>
  <c r="WZ328" i="2"/>
  <c r="XA328" i="2"/>
  <c r="WP329" i="2"/>
  <c r="WQ329" i="2"/>
  <c r="WR329" i="2"/>
  <c r="WS329" i="2"/>
  <c r="WT329" i="2"/>
  <c r="WU329" i="2"/>
  <c r="WV329" i="2"/>
  <c r="WW329" i="2"/>
  <c r="WX329" i="2"/>
  <c r="WY329" i="2"/>
  <c r="WZ329" i="2"/>
  <c r="XA329" i="2"/>
  <c r="WP330" i="2"/>
  <c r="WQ330" i="2"/>
  <c r="WR330" i="2"/>
  <c r="WS330" i="2"/>
  <c r="WT330" i="2"/>
  <c r="WV330" i="2"/>
  <c r="WX330" i="2"/>
  <c r="WY330" i="2"/>
  <c r="WZ330" i="2"/>
  <c r="XA330" i="2"/>
  <c r="WP331" i="2"/>
  <c r="WQ331" i="2"/>
  <c r="WR331" i="2"/>
  <c r="WS331" i="2"/>
  <c r="WT331" i="2"/>
  <c r="WU331" i="2"/>
  <c r="WV331" i="2"/>
  <c r="WW331" i="2"/>
  <c r="WX331" i="2"/>
  <c r="WY331" i="2"/>
  <c r="WZ331" i="2"/>
  <c r="XA331" i="2"/>
  <c r="WP332" i="2"/>
  <c r="WQ332" i="2"/>
  <c r="WR332" i="2"/>
  <c r="WS332" i="2"/>
  <c r="WT332" i="2"/>
  <c r="WV332" i="2"/>
  <c r="WX332" i="2"/>
  <c r="WY332" i="2"/>
  <c r="WZ332" i="2"/>
  <c r="XA332" i="2"/>
  <c r="WP333" i="2"/>
  <c r="WQ333" i="2"/>
  <c r="WR333" i="2"/>
  <c r="WS333" i="2"/>
  <c r="WT333" i="2"/>
  <c r="WU333" i="2"/>
  <c r="WV333" i="2"/>
  <c r="WW333" i="2"/>
  <c r="WX333" i="2"/>
  <c r="WY333" i="2"/>
  <c r="WZ333" i="2"/>
  <c r="XA333" i="2"/>
  <c r="WP334" i="2"/>
  <c r="WQ334" i="2"/>
  <c r="WR334" i="2"/>
  <c r="WS334" i="2"/>
  <c r="WT334" i="2"/>
  <c r="WU334" i="2"/>
  <c r="WV334" i="2"/>
  <c r="WW334" i="2"/>
  <c r="WX334" i="2"/>
  <c r="WY334" i="2"/>
  <c r="WZ334" i="2"/>
  <c r="XA334" i="2"/>
  <c r="WP335" i="2"/>
  <c r="WQ335" i="2"/>
  <c r="WR335" i="2"/>
  <c r="WS335" i="2"/>
  <c r="WT335" i="2"/>
  <c r="WU335" i="2"/>
  <c r="WV335" i="2"/>
  <c r="WW335" i="2"/>
  <c r="WX335" i="2"/>
  <c r="WY335" i="2"/>
  <c r="WZ335" i="2"/>
  <c r="XA335" i="2"/>
  <c r="WP336" i="2"/>
  <c r="WQ336" i="2"/>
  <c r="WR336" i="2"/>
  <c r="WS336" i="2"/>
  <c r="WT336" i="2"/>
  <c r="WU336" i="2"/>
  <c r="WV336" i="2"/>
  <c r="WW336" i="2"/>
  <c r="WX336" i="2"/>
  <c r="WY336" i="2"/>
  <c r="WZ336" i="2"/>
  <c r="XA336" i="2"/>
  <c r="WP337" i="2"/>
  <c r="WQ337" i="2"/>
  <c r="WR337" i="2"/>
  <c r="WS337" i="2"/>
  <c r="WT337" i="2"/>
  <c r="WU337" i="2"/>
  <c r="WV337" i="2"/>
  <c r="WW337" i="2"/>
  <c r="WX337" i="2"/>
  <c r="WY337" i="2"/>
  <c r="WZ337" i="2"/>
  <c r="XA337" i="2"/>
  <c r="WP338" i="2"/>
  <c r="WQ338" i="2"/>
  <c r="WR338" i="2"/>
  <c r="WS338" i="2"/>
  <c r="WT338" i="2"/>
  <c r="WU338" i="2"/>
  <c r="WV338" i="2"/>
  <c r="WW338" i="2"/>
  <c r="WX338" i="2"/>
  <c r="WY338" i="2"/>
  <c r="WZ338" i="2"/>
  <c r="XA338" i="2"/>
  <c r="WP339" i="2"/>
  <c r="WQ339" i="2"/>
  <c r="WR339" i="2"/>
  <c r="WS339" i="2"/>
  <c r="WT339" i="2"/>
  <c r="WU339" i="2"/>
  <c r="WV339" i="2"/>
  <c r="WW339" i="2"/>
  <c r="WX339" i="2"/>
  <c r="WY339" i="2"/>
  <c r="WZ339" i="2"/>
  <c r="XA339" i="2"/>
  <c r="WP340" i="2"/>
  <c r="WQ340" i="2"/>
  <c r="WR340" i="2"/>
  <c r="WS340" i="2"/>
  <c r="WT340" i="2"/>
  <c r="WU340" i="2"/>
  <c r="WV340" i="2"/>
  <c r="WW340" i="2"/>
  <c r="WX340" i="2"/>
  <c r="WY340" i="2"/>
  <c r="WZ340" i="2"/>
  <c r="XA340" i="2"/>
  <c r="WP341" i="2"/>
  <c r="WQ341" i="2"/>
  <c r="WR341" i="2"/>
  <c r="WS341" i="2"/>
  <c r="WT341" i="2"/>
  <c r="WU341" i="2"/>
  <c r="WV341" i="2"/>
  <c r="WW341" i="2"/>
  <c r="WX341" i="2"/>
  <c r="WY341" i="2"/>
  <c r="WP342" i="2"/>
  <c r="WQ342" i="2"/>
  <c r="WR342" i="2"/>
  <c r="WS342" i="2"/>
  <c r="WT342" i="2"/>
  <c r="WU342" i="2"/>
  <c r="WV342" i="2"/>
  <c r="WW342" i="2"/>
  <c r="WX342" i="2"/>
  <c r="WY342" i="2"/>
  <c r="WP343" i="2"/>
  <c r="WQ343" i="2"/>
  <c r="WR343" i="2"/>
  <c r="WS343" i="2"/>
  <c r="WT343" i="2"/>
  <c r="WU343" i="2"/>
  <c r="WV343" i="2"/>
  <c r="WW343" i="2"/>
  <c r="WX343" i="2"/>
  <c r="WY343" i="2"/>
  <c r="WP344" i="2"/>
  <c r="WQ344" i="2"/>
  <c r="WR344" i="2"/>
  <c r="WS344" i="2"/>
  <c r="WT344" i="2"/>
  <c r="WU344" i="2"/>
  <c r="WV344" i="2"/>
  <c r="WW344" i="2"/>
  <c r="WX344" i="2"/>
  <c r="WY344" i="2"/>
  <c r="WP356" i="2"/>
  <c r="WQ356" i="2"/>
  <c r="WR356" i="2"/>
  <c r="WS356" i="2"/>
  <c r="WT356" i="2"/>
  <c r="WU356" i="2"/>
  <c r="WV356" i="2"/>
  <c r="WW356" i="2"/>
  <c r="WX356" i="2"/>
  <c r="WY356" i="2"/>
  <c r="WZ356" i="2"/>
  <c r="XA356" i="2"/>
  <c r="WP357" i="2"/>
  <c r="WQ357" i="2"/>
  <c r="WR357" i="2"/>
  <c r="WS357" i="2"/>
  <c r="WT357" i="2"/>
  <c r="WU357" i="2"/>
  <c r="WV357" i="2"/>
  <c r="WW357" i="2"/>
  <c r="WX357" i="2"/>
  <c r="WY357" i="2"/>
  <c r="WZ357" i="2"/>
  <c r="XA357" i="2"/>
  <c r="WP358" i="2"/>
  <c r="WQ358" i="2"/>
  <c r="WR358" i="2"/>
  <c r="WS358" i="2"/>
  <c r="WT358" i="2"/>
  <c r="WU358" i="2"/>
  <c r="WV358" i="2"/>
  <c r="WW358" i="2"/>
  <c r="WX358" i="2"/>
  <c r="WY358" i="2"/>
  <c r="WZ358" i="2"/>
  <c r="XA358" i="2"/>
  <c r="WP359" i="2"/>
  <c r="WQ359" i="2"/>
  <c r="WR359" i="2"/>
  <c r="WS359" i="2"/>
  <c r="WT359" i="2"/>
  <c r="WU359" i="2"/>
  <c r="WV359" i="2"/>
  <c r="WW359" i="2"/>
  <c r="WX359" i="2"/>
  <c r="WY359" i="2"/>
  <c r="WZ359" i="2"/>
  <c r="XA359" i="2"/>
  <c r="WP360" i="2"/>
  <c r="WQ360" i="2"/>
  <c r="WR360" i="2"/>
  <c r="WS360" i="2"/>
  <c r="WT360" i="2"/>
  <c r="WU360" i="2"/>
  <c r="WV360" i="2"/>
  <c r="WW360" i="2"/>
  <c r="WX360" i="2"/>
  <c r="WY360" i="2"/>
  <c r="WZ360" i="2"/>
  <c r="XA360" i="2"/>
  <c r="WP361" i="2"/>
  <c r="WQ361" i="2"/>
  <c r="WR361" i="2"/>
  <c r="WS361" i="2"/>
  <c r="WT361" i="2"/>
  <c r="WU361" i="2"/>
  <c r="WV361" i="2"/>
  <c r="WW361" i="2"/>
  <c r="WX361" i="2"/>
  <c r="WY361" i="2"/>
  <c r="WZ361" i="2"/>
  <c r="XA361" i="2"/>
  <c r="WP362" i="2"/>
  <c r="WQ362" i="2"/>
  <c r="WR362" i="2"/>
  <c r="WS362" i="2"/>
  <c r="WT362" i="2"/>
  <c r="WU362" i="2"/>
  <c r="WV362" i="2"/>
  <c r="WW362" i="2"/>
  <c r="WX362" i="2"/>
  <c r="WY362" i="2"/>
  <c r="WZ362" i="2"/>
  <c r="XA362" i="2"/>
  <c r="WP363" i="2"/>
  <c r="WQ363" i="2"/>
  <c r="WR363" i="2"/>
  <c r="WS363" i="2"/>
  <c r="WT363" i="2"/>
  <c r="WU363" i="2"/>
  <c r="WV363" i="2"/>
  <c r="WW363" i="2"/>
  <c r="WX363" i="2"/>
  <c r="WY363" i="2"/>
  <c r="WZ363" i="2"/>
  <c r="XA363" i="2"/>
  <c r="WP364" i="2"/>
  <c r="WQ364" i="2"/>
  <c r="WR364" i="2"/>
  <c r="WS364" i="2"/>
  <c r="WT364" i="2"/>
  <c r="WU364" i="2"/>
  <c r="WV364" i="2"/>
  <c r="WW364" i="2"/>
  <c r="WX364" i="2"/>
  <c r="WY364" i="2"/>
  <c r="WZ364" i="2"/>
  <c r="XA364" i="2"/>
  <c r="WP365" i="2"/>
  <c r="WQ365" i="2"/>
  <c r="WR365" i="2"/>
  <c r="WS365" i="2"/>
  <c r="WT365" i="2"/>
  <c r="WU365" i="2"/>
  <c r="WV365" i="2"/>
  <c r="WW365" i="2"/>
  <c r="WX365" i="2"/>
  <c r="WY365" i="2"/>
  <c r="WZ365" i="2"/>
  <c r="XA365" i="2"/>
  <c r="WP366" i="2"/>
  <c r="WQ366" i="2"/>
  <c r="WR366" i="2"/>
  <c r="WS366" i="2"/>
  <c r="WT366" i="2"/>
  <c r="WU366" i="2"/>
  <c r="WV366" i="2"/>
  <c r="WW366" i="2"/>
  <c r="WX366" i="2"/>
  <c r="WY366" i="2"/>
  <c r="WZ366" i="2"/>
  <c r="XA366" i="2"/>
  <c r="WP367" i="2"/>
  <c r="WQ367" i="2"/>
  <c r="WR367" i="2"/>
  <c r="WS367" i="2"/>
  <c r="WT367" i="2"/>
  <c r="WU367" i="2"/>
  <c r="WV367" i="2"/>
  <c r="WW367" i="2"/>
  <c r="WX367" i="2"/>
  <c r="WY367" i="2"/>
  <c r="WZ367" i="2"/>
  <c r="XA367" i="2"/>
  <c r="WP368" i="2"/>
  <c r="WQ368" i="2"/>
  <c r="WR368" i="2"/>
  <c r="WS368" i="2"/>
  <c r="WT368" i="2"/>
  <c r="WV368" i="2"/>
  <c r="WX368" i="2"/>
  <c r="WY368" i="2"/>
  <c r="WZ368" i="2"/>
  <c r="XA368" i="2"/>
  <c r="WP369" i="2"/>
  <c r="WQ369" i="2"/>
  <c r="WR369" i="2"/>
  <c r="WS369" i="2"/>
  <c r="WT369" i="2"/>
  <c r="WU369" i="2"/>
  <c r="WV369" i="2"/>
  <c r="WW369" i="2"/>
  <c r="WX369" i="2"/>
  <c r="WY369" i="2"/>
  <c r="WZ369" i="2"/>
  <c r="XA369" i="2"/>
  <c r="WP370" i="2"/>
  <c r="WQ370" i="2"/>
  <c r="WR370" i="2"/>
  <c r="WS370" i="2"/>
  <c r="WT370" i="2"/>
  <c r="WV370" i="2"/>
  <c r="WX370" i="2"/>
  <c r="WY370" i="2"/>
  <c r="WZ370" i="2"/>
  <c r="XA370" i="2"/>
  <c r="WP371" i="2"/>
  <c r="WQ371" i="2"/>
  <c r="WR371" i="2"/>
  <c r="WS371" i="2"/>
  <c r="WT371" i="2"/>
  <c r="WU371" i="2"/>
  <c r="WV371" i="2"/>
  <c r="WW371" i="2"/>
  <c r="WX371" i="2"/>
  <c r="WY371" i="2"/>
  <c r="WZ371" i="2"/>
  <c r="XA371" i="2"/>
  <c r="WP372" i="2"/>
  <c r="WQ372" i="2"/>
  <c r="WR372" i="2"/>
  <c r="WS372" i="2"/>
  <c r="WT372" i="2"/>
  <c r="WU372" i="2"/>
  <c r="WV372" i="2"/>
  <c r="WW372" i="2"/>
  <c r="WX372" i="2"/>
  <c r="WY372" i="2"/>
  <c r="WZ372" i="2"/>
  <c r="XA372" i="2"/>
  <c r="WP373" i="2"/>
  <c r="WQ373" i="2"/>
  <c r="WR373" i="2"/>
  <c r="WS373" i="2"/>
  <c r="WT373" i="2"/>
  <c r="WU373" i="2"/>
  <c r="WV373" i="2"/>
  <c r="WW373" i="2"/>
  <c r="WX373" i="2"/>
  <c r="WY373" i="2"/>
  <c r="WZ373" i="2"/>
  <c r="XA373" i="2"/>
  <c r="WP374" i="2"/>
  <c r="WQ374" i="2"/>
  <c r="WR374" i="2"/>
  <c r="WS374" i="2"/>
  <c r="WT374" i="2"/>
  <c r="WU374" i="2"/>
  <c r="WV374" i="2"/>
  <c r="WW374" i="2"/>
  <c r="WX374" i="2"/>
  <c r="WY374" i="2"/>
  <c r="WZ374" i="2"/>
  <c r="XA374" i="2"/>
  <c r="WP375" i="2"/>
  <c r="WQ375" i="2"/>
  <c r="WR375" i="2"/>
  <c r="WS375" i="2"/>
  <c r="WT375" i="2"/>
  <c r="WU375" i="2"/>
  <c r="WV375" i="2"/>
  <c r="WW375" i="2"/>
  <c r="WX375" i="2"/>
  <c r="WY375" i="2"/>
  <c r="WZ375" i="2"/>
  <c r="XA375" i="2"/>
  <c r="WP376" i="2"/>
  <c r="WQ376" i="2"/>
  <c r="WR376" i="2"/>
  <c r="WS376" i="2"/>
  <c r="WT376" i="2"/>
  <c r="WU376" i="2"/>
  <c r="WV376" i="2"/>
  <c r="WW376" i="2"/>
  <c r="WX376" i="2"/>
  <c r="WY376" i="2"/>
  <c r="WZ376" i="2"/>
  <c r="XA376" i="2"/>
  <c r="WP377" i="2"/>
  <c r="WQ377" i="2"/>
  <c r="WR377" i="2"/>
  <c r="WS377" i="2"/>
  <c r="WT377" i="2"/>
  <c r="WU377" i="2"/>
  <c r="WV377" i="2"/>
  <c r="WW377" i="2"/>
  <c r="WX377" i="2"/>
  <c r="WY377" i="2"/>
  <c r="WZ377" i="2"/>
  <c r="XA377" i="2"/>
  <c r="WP378" i="2"/>
  <c r="WQ378" i="2"/>
  <c r="WR378" i="2"/>
  <c r="WS378" i="2"/>
  <c r="WT378" i="2"/>
  <c r="WU378" i="2"/>
  <c r="WV378" i="2"/>
  <c r="WW378" i="2"/>
  <c r="WX378" i="2"/>
  <c r="WY378" i="2"/>
  <c r="WZ378" i="2"/>
  <c r="XA378" i="2"/>
  <c r="WP379" i="2"/>
  <c r="WQ379" i="2"/>
  <c r="WR379" i="2"/>
  <c r="WS379" i="2"/>
  <c r="WT379" i="2"/>
  <c r="WU379" i="2"/>
  <c r="WV379" i="2"/>
  <c r="WW379" i="2"/>
  <c r="WX379" i="2"/>
  <c r="WY379" i="2"/>
  <c r="WP380" i="2"/>
  <c r="WQ380" i="2"/>
  <c r="WR380" i="2"/>
  <c r="WS380" i="2"/>
  <c r="WT380" i="2"/>
  <c r="WU380" i="2"/>
  <c r="WV380" i="2"/>
  <c r="WW380" i="2"/>
  <c r="WX380" i="2"/>
  <c r="WY380" i="2"/>
  <c r="WP381" i="2"/>
  <c r="WQ381" i="2"/>
  <c r="WR381" i="2"/>
  <c r="WS381" i="2"/>
  <c r="WT381" i="2"/>
  <c r="WU381" i="2"/>
  <c r="WV381" i="2"/>
  <c r="WW381" i="2"/>
  <c r="WX381" i="2"/>
  <c r="WY381" i="2"/>
  <c r="WP382" i="2"/>
  <c r="WQ382" i="2"/>
  <c r="WR382" i="2"/>
  <c r="WS382" i="2"/>
  <c r="WT382" i="2"/>
  <c r="WU382" i="2"/>
  <c r="WV382" i="2"/>
  <c r="WW382" i="2"/>
  <c r="WX382" i="2"/>
  <c r="WY382" i="2"/>
  <c r="WP394" i="2"/>
  <c r="WQ394" i="2"/>
  <c r="WR394" i="2"/>
  <c r="WS394" i="2"/>
  <c r="WT394" i="2"/>
  <c r="WU394" i="2"/>
  <c r="WV394" i="2"/>
  <c r="WW394" i="2"/>
  <c r="WX394" i="2"/>
  <c r="WY394" i="2"/>
  <c r="WZ394" i="2"/>
  <c r="XA394" i="2"/>
  <c r="WP395" i="2"/>
  <c r="WQ395" i="2"/>
  <c r="WR395" i="2"/>
  <c r="WS395" i="2"/>
  <c r="WT395" i="2"/>
  <c r="WU395" i="2"/>
  <c r="WV395" i="2"/>
  <c r="WW395" i="2"/>
  <c r="WX395" i="2"/>
  <c r="WY395" i="2"/>
  <c r="WZ395" i="2"/>
  <c r="XA395" i="2"/>
  <c r="WP396" i="2"/>
  <c r="WQ396" i="2"/>
  <c r="WR396" i="2"/>
  <c r="WS396" i="2"/>
  <c r="WT396" i="2"/>
  <c r="WU396" i="2"/>
  <c r="WV396" i="2"/>
  <c r="WW396" i="2"/>
  <c r="WX396" i="2"/>
  <c r="WY396" i="2"/>
  <c r="WZ396" i="2"/>
  <c r="XA396" i="2"/>
  <c r="WP397" i="2"/>
  <c r="WQ397" i="2"/>
  <c r="WR397" i="2"/>
  <c r="WS397" i="2"/>
  <c r="WT397" i="2"/>
  <c r="WU397" i="2"/>
  <c r="WV397" i="2"/>
  <c r="WW397" i="2"/>
  <c r="WX397" i="2"/>
  <c r="WY397" i="2"/>
  <c r="WZ397" i="2"/>
  <c r="XA397" i="2"/>
  <c r="WP398" i="2"/>
  <c r="WQ398" i="2"/>
  <c r="WR398" i="2"/>
  <c r="WS398" i="2"/>
  <c r="WT398" i="2"/>
  <c r="WU398" i="2"/>
  <c r="WV398" i="2"/>
  <c r="WW398" i="2"/>
  <c r="WX398" i="2"/>
  <c r="WY398" i="2"/>
  <c r="WZ398" i="2"/>
  <c r="XA398" i="2"/>
  <c r="WP399" i="2"/>
  <c r="WQ399" i="2"/>
  <c r="WR399" i="2"/>
  <c r="WS399" i="2"/>
  <c r="WT399" i="2"/>
  <c r="WU399" i="2"/>
  <c r="WV399" i="2"/>
  <c r="WW399" i="2"/>
  <c r="WX399" i="2"/>
  <c r="WY399" i="2"/>
  <c r="WZ399" i="2"/>
  <c r="XA399" i="2"/>
  <c r="WP400" i="2"/>
  <c r="WQ400" i="2"/>
  <c r="WR400" i="2"/>
  <c r="WS400" i="2"/>
  <c r="WT400" i="2"/>
  <c r="WU400" i="2"/>
  <c r="WV400" i="2"/>
  <c r="WW400" i="2"/>
  <c r="WX400" i="2"/>
  <c r="WY400" i="2"/>
  <c r="WZ400" i="2"/>
  <c r="XA400" i="2"/>
  <c r="WP401" i="2"/>
  <c r="WQ401" i="2"/>
  <c r="WR401" i="2"/>
  <c r="WS401" i="2"/>
  <c r="WT401" i="2"/>
  <c r="WU401" i="2"/>
  <c r="WV401" i="2"/>
  <c r="WW401" i="2"/>
  <c r="WX401" i="2"/>
  <c r="WY401" i="2"/>
  <c r="WZ401" i="2"/>
  <c r="XA401" i="2"/>
  <c r="WP402" i="2"/>
  <c r="WQ402" i="2"/>
  <c r="WR402" i="2"/>
  <c r="WS402" i="2"/>
  <c r="WT402" i="2"/>
  <c r="WU402" i="2"/>
  <c r="WV402" i="2"/>
  <c r="WW402" i="2"/>
  <c r="WX402" i="2"/>
  <c r="WY402" i="2"/>
  <c r="WZ402" i="2"/>
  <c r="XA402" i="2"/>
  <c r="WP403" i="2"/>
  <c r="WQ403" i="2"/>
  <c r="WR403" i="2"/>
  <c r="WS403" i="2"/>
  <c r="WT403" i="2"/>
  <c r="WU403" i="2"/>
  <c r="WV403" i="2"/>
  <c r="WW403" i="2"/>
  <c r="WX403" i="2"/>
  <c r="WY403" i="2"/>
  <c r="WZ403" i="2"/>
  <c r="XA403" i="2"/>
  <c r="WP404" i="2"/>
  <c r="WQ404" i="2"/>
  <c r="WR404" i="2"/>
  <c r="WS404" i="2"/>
  <c r="WT404" i="2"/>
  <c r="WU404" i="2"/>
  <c r="WV404" i="2"/>
  <c r="WW404" i="2"/>
  <c r="WX404" i="2"/>
  <c r="WY404" i="2"/>
  <c r="WZ404" i="2"/>
  <c r="XA404" i="2"/>
  <c r="WP405" i="2"/>
  <c r="WQ405" i="2"/>
  <c r="WR405" i="2"/>
  <c r="WS405" i="2"/>
  <c r="WT405" i="2"/>
  <c r="WU405" i="2"/>
  <c r="WV405" i="2"/>
  <c r="WW405" i="2"/>
  <c r="WX405" i="2"/>
  <c r="WY405" i="2"/>
  <c r="WZ405" i="2"/>
  <c r="XA405" i="2"/>
  <c r="WP406" i="2"/>
  <c r="WQ406" i="2"/>
  <c r="WR406" i="2"/>
  <c r="WS406" i="2"/>
  <c r="WT406" i="2"/>
  <c r="WV406" i="2"/>
  <c r="WX406" i="2"/>
  <c r="WY406" i="2"/>
  <c r="WZ406" i="2"/>
  <c r="XA406" i="2"/>
  <c r="WP407" i="2"/>
  <c r="WQ407" i="2"/>
  <c r="WR407" i="2"/>
  <c r="WS407" i="2"/>
  <c r="WT407" i="2"/>
  <c r="WU407" i="2"/>
  <c r="WV407" i="2"/>
  <c r="WW407" i="2"/>
  <c r="WX407" i="2"/>
  <c r="WY407" i="2"/>
  <c r="WZ407" i="2"/>
  <c r="XA407" i="2"/>
  <c r="WP408" i="2"/>
  <c r="WQ408" i="2"/>
  <c r="WR408" i="2"/>
  <c r="WS408" i="2"/>
  <c r="WT408" i="2"/>
  <c r="WV408" i="2"/>
  <c r="WX408" i="2"/>
  <c r="WY408" i="2"/>
  <c r="WZ408" i="2"/>
  <c r="XA408" i="2"/>
  <c r="WP409" i="2"/>
  <c r="WQ409" i="2"/>
  <c r="WR409" i="2"/>
  <c r="WS409" i="2"/>
  <c r="WT409" i="2"/>
  <c r="WU409" i="2"/>
  <c r="WV409" i="2"/>
  <c r="WW409" i="2"/>
  <c r="WX409" i="2"/>
  <c r="WY409" i="2"/>
  <c r="WZ409" i="2"/>
  <c r="XA409" i="2"/>
  <c r="WP410" i="2"/>
  <c r="WQ410" i="2"/>
  <c r="WR410" i="2"/>
  <c r="WS410" i="2"/>
  <c r="WT410" i="2"/>
  <c r="WU410" i="2"/>
  <c r="WV410" i="2"/>
  <c r="WW410" i="2"/>
  <c r="WX410" i="2"/>
  <c r="WY410" i="2"/>
  <c r="WZ410" i="2"/>
  <c r="XA410" i="2"/>
  <c r="WP411" i="2"/>
  <c r="WQ411" i="2"/>
  <c r="WR411" i="2"/>
  <c r="WS411" i="2"/>
  <c r="WT411" i="2"/>
  <c r="WU411" i="2"/>
  <c r="WV411" i="2"/>
  <c r="WW411" i="2"/>
  <c r="WX411" i="2"/>
  <c r="WY411" i="2"/>
  <c r="WZ411" i="2"/>
  <c r="XA411" i="2"/>
  <c r="WP412" i="2"/>
  <c r="WQ412" i="2"/>
  <c r="WR412" i="2"/>
  <c r="WS412" i="2"/>
  <c r="WT412" i="2"/>
  <c r="WU412" i="2"/>
  <c r="WV412" i="2"/>
  <c r="WW412" i="2"/>
  <c r="WX412" i="2"/>
  <c r="WY412" i="2"/>
  <c r="WZ412" i="2"/>
  <c r="XA412" i="2"/>
  <c r="WP413" i="2"/>
  <c r="WQ413" i="2"/>
  <c r="WR413" i="2"/>
  <c r="WS413" i="2"/>
  <c r="WT413" i="2"/>
  <c r="WU413" i="2"/>
  <c r="WV413" i="2"/>
  <c r="WW413" i="2"/>
  <c r="WX413" i="2"/>
  <c r="WY413" i="2"/>
  <c r="WZ413" i="2"/>
  <c r="XA413" i="2"/>
  <c r="WP414" i="2"/>
  <c r="WQ414" i="2"/>
  <c r="WR414" i="2"/>
  <c r="WS414" i="2"/>
  <c r="WT414" i="2"/>
  <c r="WU414" i="2"/>
  <c r="WV414" i="2"/>
  <c r="WW414" i="2"/>
  <c r="WX414" i="2"/>
  <c r="WY414" i="2"/>
  <c r="WZ414" i="2"/>
  <c r="XA414" i="2"/>
  <c r="WP415" i="2"/>
  <c r="WQ415" i="2"/>
  <c r="WR415" i="2"/>
  <c r="WS415" i="2"/>
  <c r="WT415" i="2"/>
  <c r="WU415" i="2"/>
  <c r="WV415" i="2"/>
  <c r="WW415" i="2"/>
  <c r="WX415" i="2"/>
  <c r="WY415" i="2"/>
  <c r="WZ415" i="2"/>
  <c r="XA415" i="2"/>
  <c r="WP416" i="2"/>
  <c r="WQ416" i="2"/>
  <c r="WR416" i="2"/>
  <c r="WS416" i="2"/>
  <c r="WT416" i="2"/>
  <c r="WU416" i="2"/>
  <c r="WV416" i="2"/>
  <c r="WW416" i="2"/>
  <c r="WX416" i="2"/>
  <c r="WY416" i="2"/>
  <c r="WZ416" i="2"/>
  <c r="XA416" i="2"/>
  <c r="WP417" i="2"/>
  <c r="WQ417" i="2"/>
  <c r="WR417" i="2"/>
  <c r="WS417" i="2"/>
  <c r="WT417" i="2"/>
  <c r="WU417" i="2"/>
  <c r="WV417" i="2"/>
  <c r="WW417" i="2"/>
  <c r="WX417" i="2"/>
  <c r="WY417" i="2"/>
  <c r="WP418" i="2"/>
  <c r="WQ418" i="2"/>
  <c r="WR418" i="2"/>
  <c r="WS418" i="2"/>
  <c r="WT418" i="2"/>
  <c r="WU418" i="2"/>
  <c r="WV418" i="2"/>
  <c r="WW418" i="2"/>
  <c r="WX418" i="2"/>
  <c r="WY418" i="2"/>
  <c r="WP419" i="2"/>
  <c r="WQ419" i="2"/>
  <c r="WR419" i="2"/>
  <c r="WS419" i="2"/>
  <c r="WT419" i="2"/>
  <c r="WU419" i="2"/>
  <c r="WV419" i="2"/>
  <c r="WW419" i="2"/>
  <c r="WX419" i="2"/>
  <c r="WY419" i="2"/>
  <c r="WP420" i="2"/>
  <c r="WQ420" i="2"/>
  <c r="WR420" i="2"/>
  <c r="WS420" i="2"/>
  <c r="WT420" i="2"/>
  <c r="WU420" i="2"/>
  <c r="WV420" i="2"/>
  <c r="WW420" i="2"/>
  <c r="WX420" i="2"/>
  <c r="WY420" i="2"/>
  <c r="WP432" i="2"/>
  <c r="WQ432" i="2"/>
  <c r="WR432" i="2"/>
  <c r="WS432" i="2"/>
  <c r="WT432" i="2"/>
  <c r="WU432" i="2"/>
  <c r="WV432" i="2"/>
  <c r="WW432" i="2"/>
  <c r="WX432" i="2"/>
  <c r="WY432" i="2"/>
  <c r="WZ432" i="2"/>
  <c r="XA432" i="2"/>
  <c r="WP433" i="2"/>
  <c r="WQ433" i="2"/>
  <c r="WR433" i="2"/>
  <c r="WS433" i="2"/>
  <c r="WT433" i="2"/>
  <c r="WU433" i="2"/>
  <c r="WV433" i="2"/>
  <c r="WW433" i="2"/>
  <c r="WX433" i="2"/>
  <c r="WY433" i="2"/>
  <c r="WZ433" i="2"/>
  <c r="XA433" i="2"/>
  <c r="WP434" i="2"/>
  <c r="WQ434" i="2"/>
  <c r="WR434" i="2"/>
  <c r="WS434" i="2"/>
  <c r="WT434" i="2"/>
  <c r="WU434" i="2"/>
  <c r="WV434" i="2"/>
  <c r="WW434" i="2"/>
  <c r="WX434" i="2"/>
  <c r="WY434" i="2"/>
  <c r="WZ434" i="2"/>
  <c r="XA434" i="2"/>
  <c r="WP435" i="2"/>
  <c r="WQ435" i="2"/>
  <c r="WR435" i="2"/>
  <c r="WS435" i="2"/>
  <c r="WT435" i="2"/>
  <c r="WU435" i="2"/>
  <c r="WV435" i="2"/>
  <c r="WW435" i="2"/>
  <c r="WX435" i="2"/>
  <c r="WY435" i="2"/>
  <c r="WZ435" i="2"/>
  <c r="XA435" i="2"/>
  <c r="WP436" i="2"/>
  <c r="WQ436" i="2"/>
  <c r="WR436" i="2"/>
  <c r="WS436" i="2"/>
  <c r="WT436" i="2"/>
  <c r="WU436" i="2"/>
  <c r="WV436" i="2"/>
  <c r="WW436" i="2"/>
  <c r="WX436" i="2"/>
  <c r="WY436" i="2"/>
  <c r="WZ436" i="2"/>
  <c r="XA436" i="2"/>
  <c r="WP437" i="2"/>
  <c r="WQ437" i="2"/>
  <c r="WR437" i="2"/>
  <c r="WS437" i="2"/>
  <c r="WT437" i="2"/>
  <c r="WU437" i="2"/>
  <c r="WV437" i="2"/>
  <c r="WW437" i="2"/>
  <c r="WX437" i="2"/>
  <c r="WY437" i="2"/>
  <c r="WZ437" i="2"/>
  <c r="XA437" i="2"/>
  <c r="WP438" i="2"/>
  <c r="WQ438" i="2"/>
  <c r="WR438" i="2"/>
  <c r="WS438" i="2"/>
  <c r="WT438" i="2"/>
  <c r="WU438" i="2"/>
  <c r="WV438" i="2"/>
  <c r="WW438" i="2"/>
  <c r="WX438" i="2"/>
  <c r="WY438" i="2"/>
  <c r="WZ438" i="2"/>
  <c r="XA438" i="2"/>
  <c r="WP439" i="2"/>
  <c r="WQ439" i="2"/>
  <c r="WR439" i="2"/>
  <c r="WS439" i="2"/>
  <c r="WT439" i="2"/>
  <c r="WU439" i="2"/>
  <c r="WV439" i="2"/>
  <c r="WW439" i="2"/>
  <c r="WX439" i="2"/>
  <c r="WY439" i="2"/>
  <c r="WZ439" i="2"/>
  <c r="XA439" i="2"/>
  <c r="WP440" i="2"/>
  <c r="WQ440" i="2"/>
  <c r="WR440" i="2"/>
  <c r="WS440" i="2"/>
  <c r="WT440" i="2"/>
  <c r="WU440" i="2"/>
  <c r="WV440" i="2"/>
  <c r="WW440" i="2"/>
  <c r="WX440" i="2"/>
  <c r="WY440" i="2"/>
  <c r="WZ440" i="2"/>
  <c r="XA440" i="2"/>
  <c r="WP441" i="2"/>
  <c r="WQ441" i="2"/>
  <c r="WR441" i="2"/>
  <c r="WS441" i="2"/>
  <c r="WT441" i="2"/>
  <c r="WU441" i="2"/>
  <c r="WV441" i="2"/>
  <c r="WW441" i="2"/>
  <c r="WX441" i="2"/>
  <c r="WY441" i="2"/>
  <c r="WZ441" i="2"/>
  <c r="XA441" i="2"/>
  <c r="WP442" i="2"/>
  <c r="WQ442" i="2"/>
  <c r="WR442" i="2"/>
  <c r="WS442" i="2"/>
  <c r="WT442" i="2"/>
  <c r="WU442" i="2"/>
  <c r="WV442" i="2"/>
  <c r="WW442" i="2"/>
  <c r="WX442" i="2"/>
  <c r="WY442" i="2"/>
  <c r="WZ442" i="2"/>
  <c r="XA442" i="2"/>
  <c r="WP443" i="2"/>
  <c r="WQ443" i="2"/>
  <c r="WR443" i="2"/>
  <c r="WS443" i="2"/>
  <c r="WT443" i="2"/>
  <c r="WU443" i="2"/>
  <c r="WV443" i="2"/>
  <c r="WW443" i="2"/>
  <c r="WX443" i="2"/>
  <c r="WY443" i="2"/>
  <c r="WZ443" i="2"/>
  <c r="XA443" i="2"/>
  <c r="WP444" i="2"/>
  <c r="WQ444" i="2"/>
  <c r="WR444" i="2"/>
  <c r="WS444" i="2"/>
  <c r="WT444" i="2"/>
  <c r="WV444" i="2"/>
  <c r="WX444" i="2"/>
  <c r="WY444" i="2"/>
  <c r="WZ444" i="2"/>
  <c r="XA444" i="2"/>
  <c r="WP445" i="2"/>
  <c r="WQ445" i="2"/>
  <c r="WR445" i="2"/>
  <c r="WS445" i="2"/>
  <c r="WT445" i="2"/>
  <c r="WU445" i="2"/>
  <c r="WV445" i="2"/>
  <c r="WW445" i="2"/>
  <c r="WX445" i="2"/>
  <c r="WY445" i="2"/>
  <c r="WZ445" i="2"/>
  <c r="XA445" i="2"/>
  <c r="WP446" i="2"/>
  <c r="WQ446" i="2"/>
  <c r="WR446" i="2"/>
  <c r="WS446" i="2"/>
  <c r="WT446" i="2"/>
  <c r="WV446" i="2"/>
  <c r="WX446" i="2"/>
  <c r="WY446" i="2"/>
  <c r="WZ446" i="2"/>
  <c r="XA446" i="2"/>
  <c r="WP447" i="2"/>
  <c r="WQ447" i="2"/>
  <c r="WR447" i="2"/>
  <c r="WS447" i="2"/>
  <c r="WT447" i="2"/>
  <c r="WU447" i="2"/>
  <c r="WV447" i="2"/>
  <c r="WW447" i="2"/>
  <c r="WX447" i="2"/>
  <c r="WY447" i="2"/>
  <c r="WZ447" i="2"/>
  <c r="XA447" i="2"/>
  <c r="WP448" i="2"/>
  <c r="WQ448" i="2"/>
  <c r="WR448" i="2"/>
  <c r="WS448" i="2"/>
  <c r="WT448" i="2"/>
  <c r="WU448" i="2"/>
  <c r="WV448" i="2"/>
  <c r="WW448" i="2"/>
  <c r="WX448" i="2"/>
  <c r="WY448" i="2"/>
  <c r="WZ448" i="2"/>
  <c r="XA448" i="2"/>
  <c r="WP449" i="2"/>
  <c r="WQ449" i="2"/>
  <c r="WR449" i="2"/>
  <c r="WS449" i="2"/>
  <c r="WT449" i="2"/>
  <c r="WU449" i="2"/>
  <c r="WV449" i="2"/>
  <c r="WW449" i="2"/>
  <c r="WX449" i="2"/>
  <c r="WY449" i="2"/>
  <c r="WZ449" i="2"/>
  <c r="XA449" i="2"/>
  <c r="WP450" i="2"/>
  <c r="WQ450" i="2"/>
  <c r="WR450" i="2"/>
  <c r="WS450" i="2"/>
  <c r="WT450" i="2"/>
  <c r="WU450" i="2"/>
  <c r="WV450" i="2"/>
  <c r="WW450" i="2"/>
  <c r="WX450" i="2"/>
  <c r="WY450" i="2"/>
  <c r="WZ450" i="2"/>
  <c r="XA450" i="2"/>
  <c r="WP451" i="2"/>
  <c r="WQ451" i="2"/>
  <c r="WR451" i="2"/>
  <c r="WS451" i="2"/>
  <c r="WT451" i="2"/>
  <c r="WU451" i="2"/>
  <c r="WV451" i="2"/>
  <c r="WW451" i="2"/>
  <c r="WX451" i="2"/>
  <c r="WY451" i="2"/>
  <c r="WZ451" i="2"/>
  <c r="XA451" i="2"/>
  <c r="WP452" i="2"/>
  <c r="WQ452" i="2"/>
  <c r="WR452" i="2"/>
  <c r="WS452" i="2"/>
  <c r="WT452" i="2"/>
  <c r="WU452" i="2"/>
  <c r="WV452" i="2"/>
  <c r="WW452" i="2"/>
  <c r="WX452" i="2"/>
  <c r="WY452" i="2"/>
  <c r="WZ452" i="2"/>
  <c r="XA452" i="2"/>
  <c r="WP453" i="2"/>
  <c r="WQ453" i="2"/>
  <c r="WR453" i="2"/>
  <c r="WS453" i="2"/>
  <c r="WT453" i="2"/>
  <c r="WU453" i="2"/>
  <c r="WV453" i="2"/>
  <c r="WW453" i="2"/>
  <c r="WX453" i="2"/>
  <c r="WY453" i="2"/>
  <c r="WZ453" i="2"/>
  <c r="XA453" i="2"/>
  <c r="WP454" i="2"/>
  <c r="WQ454" i="2"/>
  <c r="WR454" i="2"/>
  <c r="WS454" i="2"/>
  <c r="WT454" i="2"/>
  <c r="WU454" i="2"/>
  <c r="WV454" i="2"/>
  <c r="WW454" i="2"/>
  <c r="WX454" i="2"/>
  <c r="WY454" i="2"/>
  <c r="WZ454" i="2"/>
  <c r="XA454" i="2"/>
  <c r="WP455" i="2"/>
  <c r="WQ455" i="2"/>
  <c r="WR455" i="2"/>
  <c r="WS455" i="2"/>
  <c r="WT455" i="2"/>
  <c r="WU455" i="2"/>
  <c r="WV455" i="2"/>
  <c r="WW455" i="2"/>
  <c r="WX455" i="2"/>
  <c r="WY455" i="2"/>
  <c r="WP456" i="2"/>
  <c r="WQ456" i="2"/>
  <c r="WR456" i="2"/>
  <c r="WS456" i="2"/>
  <c r="WT456" i="2"/>
  <c r="WU456" i="2"/>
  <c r="WV456" i="2"/>
  <c r="WW456" i="2"/>
  <c r="WX456" i="2"/>
  <c r="WY456" i="2"/>
  <c r="WP457" i="2"/>
  <c r="WQ457" i="2"/>
  <c r="WR457" i="2"/>
  <c r="WS457" i="2"/>
  <c r="WT457" i="2"/>
  <c r="WU457" i="2"/>
  <c r="WV457" i="2"/>
  <c r="WW457" i="2"/>
  <c r="WX457" i="2"/>
  <c r="WY457" i="2"/>
  <c r="WP458" i="2"/>
  <c r="WQ458" i="2"/>
  <c r="WR458" i="2"/>
  <c r="WS458" i="2"/>
  <c r="WT458" i="2"/>
  <c r="WU458" i="2"/>
  <c r="WV458" i="2"/>
  <c r="WW458" i="2"/>
  <c r="WX458" i="2"/>
  <c r="WY458" i="2"/>
  <c r="WR15" i="2"/>
  <c r="WS15" i="2"/>
  <c r="WR16" i="2"/>
  <c r="WS16" i="2"/>
  <c r="WR17" i="2"/>
  <c r="WS17" i="2"/>
  <c r="WR18" i="2"/>
  <c r="WS18" i="2"/>
  <c r="WR19" i="2"/>
  <c r="WS19" i="2"/>
  <c r="WR20" i="2"/>
  <c r="WS20" i="2"/>
  <c r="WR21" i="2"/>
  <c r="WS21" i="2"/>
  <c r="WR22" i="2"/>
  <c r="WS22" i="2"/>
  <c r="WR23" i="2"/>
  <c r="WS23" i="2"/>
  <c r="WR24" i="2"/>
  <c r="WS24" i="2"/>
  <c r="WR25" i="2"/>
  <c r="WS25" i="2"/>
  <c r="WR26" i="2"/>
  <c r="WS26" i="2"/>
  <c r="WR27" i="2"/>
  <c r="WS27" i="2"/>
  <c r="WR28" i="2"/>
  <c r="WS28" i="2"/>
  <c r="WR29" i="2"/>
  <c r="WS29" i="2"/>
  <c r="WR30" i="2"/>
  <c r="WS30" i="2"/>
  <c r="WR31" i="2"/>
  <c r="WS31" i="2"/>
  <c r="WR32" i="2"/>
  <c r="WS32" i="2"/>
  <c r="WR33" i="2"/>
  <c r="WS33" i="2"/>
  <c r="WR34" i="2"/>
  <c r="WS34" i="2"/>
  <c r="WR35" i="2"/>
  <c r="WS35" i="2"/>
  <c r="WR36" i="2"/>
  <c r="WS36" i="2"/>
  <c r="WR37" i="2"/>
  <c r="WS37" i="2"/>
  <c r="WR38" i="2"/>
  <c r="WS38" i="2"/>
  <c r="WR39" i="2"/>
  <c r="WS39" i="2"/>
  <c r="WR40" i="2"/>
  <c r="WS40" i="2"/>
  <c r="WR41" i="2"/>
  <c r="WS41" i="2"/>
  <c r="XV41" i="2" s="1"/>
  <c r="WS14" i="2"/>
  <c r="WR14" i="2"/>
  <c r="WN37" i="2"/>
  <c r="WO37" i="2"/>
  <c r="WP37" i="2"/>
  <c r="WQ37" i="2"/>
  <c r="WT37" i="2"/>
  <c r="WU37" i="2"/>
  <c r="WV37" i="2"/>
  <c r="WW37" i="2"/>
  <c r="WX37" i="2"/>
  <c r="WY37" i="2"/>
  <c r="WN38" i="2"/>
  <c r="WO38" i="2"/>
  <c r="WP38" i="2"/>
  <c r="WQ38" i="2"/>
  <c r="WT38" i="2"/>
  <c r="WU38" i="2"/>
  <c r="WV38" i="2"/>
  <c r="WW38" i="2"/>
  <c r="WX38" i="2"/>
  <c r="WY38" i="2"/>
  <c r="WN39" i="2"/>
  <c r="WO39" i="2"/>
  <c r="WP39" i="2"/>
  <c r="WQ39" i="2"/>
  <c r="WT39" i="2"/>
  <c r="WU39" i="2"/>
  <c r="WV39" i="2"/>
  <c r="WW39" i="2"/>
  <c r="WX39" i="2"/>
  <c r="WY39" i="2"/>
  <c r="WN40" i="2"/>
  <c r="WO40" i="2"/>
  <c r="WP40" i="2"/>
  <c r="WQ40" i="2"/>
  <c r="WT40" i="2"/>
  <c r="WU40" i="2"/>
  <c r="WV40" i="2"/>
  <c r="WW40" i="2"/>
  <c r="WX40" i="2"/>
  <c r="WY40" i="2"/>
  <c r="WN41" i="2"/>
  <c r="XK41" i="2" s="1"/>
  <c r="WO41" i="2"/>
  <c r="XT41" i="2" s="1"/>
  <c r="WP41" i="2"/>
  <c r="XL41" i="2" s="1"/>
  <c r="WQ41" i="2"/>
  <c r="XU41" i="2" s="1"/>
  <c r="WT41" i="2"/>
  <c r="XN41" i="2" s="1"/>
  <c r="WU41" i="2"/>
  <c r="XW41" i="2" s="1"/>
  <c r="WV41" i="2"/>
  <c r="XO41" i="2" s="1"/>
  <c r="WW41" i="2"/>
  <c r="XX41" i="2" s="1"/>
  <c r="WX41" i="2"/>
  <c r="XP41" i="2" s="1"/>
  <c r="WY41" i="2"/>
  <c r="XY41" i="2" s="1"/>
  <c r="B35" i="62"/>
  <c r="B36" i="62"/>
  <c r="B31" i="62"/>
  <c r="B32" i="62"/>
  <c r="B33" i="62"/>
  <c r="B34" i="62"/>
  <c r="H9" i="65"/>
  <c r="I9" i="65"/>
  <c r="H10" i="65"/>
  <c r="I10" i="65"/>
  <c r="H11" i="65"/>
  <c r="I11" i="65"/>
  <c r="H12" i="65"/>
  <c r="I12" i="65"/>
  <c r="H13" i="65"/>
  <c r="I13" i="65"/>
  <c r="H14" i="65"/>
  <c r="I14" i="65"/>
  <c r="H15" i="65"/>
  <c r="I15" i="65"/>
  <c r="H16" i="65"/>
  <c r="I16" i="65"/>
  <c r="H17" i="65"/>
  <c r="I17" i="65"/>
  <c r="H18" i="65"/>
  <c r="I18" i="65"/>
  <c r="H19" i="65"/>
  <c r="I19" i="65"/>
  <c r="H20" i="65"/>
  <c r="I20" i="65"/>
  <c r="H21" i="65"/>
  <c r="I21" i="65"/>
  <c r="H22" i="65"/>
  <c r="I22" i="65"/>
  <c r="H23" i="65"/>
  <c r="I23" i="65"/>
  <c r="H24" i="65"/>
  <c r="I24" i="65"/>
  <c r="H25" i="65"/>
  <c r="I25" i="65"/>
  <c r="H26" i="65"/>
  <c r="I26" i="65"/>
  <c r="H27" i="65"/>
  <c r="I27" i="65"/>
  <c r="H28" i="65"/>
  <c r="I28" i="65"/>
  <c r="H29" i="65"/>
  <c r="I29" i="65"/>
  <c r="H30" i="65"/>
  <c r="I30" i="65"/>
  <c r="H31" i="65"/>
  <c r="I31" i="65"/>
  <c r="H32" i="65"/>
  <c r="I32" i="65"/>
  <c r="H33" i="65"/>
  <c r="I33" i="65"/>
  <c r="H34" i="65"/>
  <c r="I34" i="65"/>
  <c r="H35" i="65"/>
  <c r="I35" i="65"/>
  <c r="H36" i="65"/>
  <c r="I36" i="65"/>
  <c r="H37" i="65"/>
  <c r="I37" i="65"/>
  <c r="H38" i="65"/>
  <c r="I38" i="65"/>
  <c r="H39" i="65"/>
  <c r="I39" i="65"/>
  <c r="H40" i="65"/>
  <c r="I40" i="65"/>
  <c r="H41" i="65"/>
  <c r="I41" i="65"/>
  <c r="H42" i="65"/>
  <c r="I42" i="65"/>
  <c r="H43" i="65"/>
  <c r="I43" i="65"/>
  <c r="H44" i="65"/>
  <c r="I44" i="65"/>
  <c r="H45" i="65"/>
  <c r="I45" i="65"/>
  <c r="X9" i="65"/>
  <c r="Y9" i="65"/>
  <c r="X10" i="65"/>
  <c r="Y10" i="65"/>
  <c r="X11" i="65"/>
  <c r="Y11" i="65"/>
  <c r="X12" i="65"/>
  <c r="Y12" i="65"/>
  <c r="X13" i="65"/>
  <c r="Y13" i="65"/>
  <c r="X14" i="65"/>
  <c r="Y14" i="65"/>
  <c r="X15" i="65"/>
  <c r="Y15" i="65"/>
  <c r="X16" i="65"/>
  <c r="Y16" i="65"/>
  <c r="X17" i="65"/>
  <c r="Y17" i="65"/>
  <c r="X18" i="65"/>
  <c r="Y18" i="65"/>
  <c r="X19" i="65"/>
  <c r="Y19" i="65"/>
  <c r="X20" i="65"/>
  <c r="Y20" i="65"/>
  <c r="X21" i="65"/>
  <c r="Y21" i="65"/>
  <c r="X22" i="65"/>
  <c r="Y22" i="65"/>
  <c r="X23" i="65"/>
  <c r="Y23" i="65"/>
  <c r="X24" i="65"/>
  <c r="Y24" i="65"/>
  <c r="X25" i="65"/>
  <c r="Y25" i="65"/>
  <c r="X26" i="65"/>
  <c r="Y26" i="65"/>
  <c r="X27" i="65"/>
  <c r="Y27" i="65"/>
  <c r="X28" i="65"/>
  <c r="Y28" i="65"/>
  <c r="X29" i="65"/>
  <c r="Y29" i="65"/>
  <c r="X30" i="65"/>
  <c r="Y30" i="65"/>
  <c r="X31" i="65"/>
  <c r="Y31" i="65"/>
  <c r="X32" i="65"/>
  <c r="Y32" i="65"/>
  <c r="X33" i="65"/>
  <c r="Y33" i="65"/>
  <c r="X34" i="65"/>
  <c r="Y34" i="65"/>
  <c r="X35" i="65"/>
  <c r="Y35" i="65"/>
  <c r="X36" i="65"/>
  <c r="Y36" i="65"/>
  <c r="X37" i="65"/>
  <c r="Y37" i="65"/>
  <c r="X38" i="65"/>
  <c r="Y38" i="65"/>
  <c r="X39" i="65"/>
  <c r="Y39" i="65"/>
  <c r="X40" i="65"/>
  <c r="Y40" i="65"/>
  <c r="X41" i="65"/>
  <c r="Y41" i="65"/>
  <c r="X42" i="65"/>
  <c r="Y42" i="65"/>
  <c r="X43" i="65"/>
  <c r="Y43" i="65"/>
  <c r="X44" i="65"/>
  <c r="Y44" i="65"/>
  <c r="X45" i="65"/>
  <c r="Y45" i="65"/>
  <c r="AN9" i="65"/>
  <c r="AO9" i="65"/>
  <c r="AN10" i="65"/>
  <c r="AO10" i="65"/>
  <c r="AN11" i="65"/>
  <c r="AO11" i="65"/>
  <c r="AN12" i="65"/>
  <c r="AO12" i="65"/>
  <c r="AN13" i="65"/>
  <c r="AO13" i="65"/>
  <c r="AN14" i="65"/>
  <c r="AO14" i="65"/>
  <c r="AN15" i="65"/>
  <c r="AO15" i="65"/>
  <c r="AN16" i="65"/>
  <c r="AO16" i="65"/>
  <c r="AN17" i="65"/>
  <c r="AO17" i="65"/>
  <c r="AN18" i="65"/>
  <c r="AO18" i="65"/>
  <c r="AN19" i="65"/>
  <c r="AO19" i="65"/>
  <c r="AN20" i="65"/>
  <c r="AO20" i="65"/>
  <c r="AN21" i="65"/>
  <c r="AO21" i="65"/>
  <c r="AN22" i="65"/>
  <c r="AO22" i="65"/>
  <c r="AN23" i="65"/>
  <c r="AO23" i="65"/>
  <c r="AN24" i="65"/>
  <c r="AO24" i="65"/>
  <c r="AN25" i="65"/>
  <c r="AO25" i="65"/>
  <c r="AN26" i="65"/>
  <c r="AO26" i="65"/>
  <c r="AN27" i="65"/>
  <c r="AO27" i="65"/>
  <c r="AN28" i="65"/>
  <c r="AO28" i="65"/>
  <c r="AN29" i="65"/>
  <c r="AO29" i="65"/>
  <c r="AN30" i="65"/>
  <c r="AO30" i="65"/>
  <c r="AN31" i="65"/>
  <c r="AO31" i="65"/>
  <c r="AN32" i="65"/>
  <c r="AO32" i="65"/>
  <c r="AN33" i="65"/>
  <c r="AO33" i="65"/>
  <c r="AN34" i="65"/>
  <c r="AO34" i="65"/>
  <c r="AN35" i="65"/>
  <c r="AO35" i="65"/>
  <c r="AN36" i="65"/>
  <c r="AO36" i="65"/>
  <c r="AN37" i="65"/>
  <c r="AO37" i="65"/>
  <c r="AN38" i="65"/>
  <c r="AO38" i="65"/>
  <c r="AN39" i="65"/>
  <c r="AO39" i="65"/>
  <c r="AN40" i="65"/>
  <c r="AO40" i="65"/>
  <c r="AN41" i="65"/>
  <c r="AO41" i="65"/>
  <c r="AN42" i="65"/>
  <c r="AO42" i="65"/>
  <c r="AN43" i="65"/>
  <c r="AO43" i="65"/>
  <c r="AN44" i="65"/>
  <c r="AO44" i="65"/>
  <c r="AN45" i="65"/>
  <c r="AO45" i="65"/>
  <c r="BD9" i="65"/>
  <c r="BE9" i="65"/>
  <c r="BD10" i="65"/>
  <c r="BE10" i="65"/>
  <c r="BD11" i="65"/>
  <c r="BE11" i="65"/>
  <c r="BD12" i="65"/>
  <c r="BE12" i="65"/>
  <c r="BD13" i="65"/>
  <c r="BE13" i="65"/>
  <c r="BD14" i="65"/>
  <c r="BE14" i="65"/>
  <c r="BD15" i="65"/>
  <c r="BE15" i="65"/>
  <c r="BD16" i="65"/>
  <c r="BE16" i="65"/>
  <c r="BD17" i="65"/>
  <c r="BE17" i="65"/>
  <c r="BD18" i="65"/>
  <c r="BE18" i="65"/>
  <c r="BD19" i="65"/>
  <c r="BE19" i="65"/>
  <c r="BD20" i="65"/>
  <c r="BE20" i="65"/>
  <c r="BD21" i="65"/>
  <c r="BE21" i="65"/>
  <c r="BD22" i="65"/>
  <c r="BE22" i="65"/>
  <c r="BD23" i="65"/>
  <c r="BE23" i="65"/>
  <c r="BD24" i="65"/>
  <c r="BE24" i="65"/>
  <c r="BD25" i="65"/>
  <c r="BE25" i="65"/>
  <c r="BD26" i="65"/>
  <c r="BE26" i="65"/>
  <c r="BD27" i="65"/>
  <c r="BE27" i="65"/>
  <c r="BD28" i="65"/>
  <c r="BE28" i="65"/>
  <c r="BD29" i="65"/>
  <c r="BE29" i="65"/>
  <c r="BD30" i="65"/>
  <c r="BE30" i="65"/>
  <c r="BD31" i="65"/>
  <c r="BE31" i="65"/>
  <c r="BD32" i="65"/>
  <c r="BE32" i="65"/>
  <c r="BD33" i="65"/>
  <c r="BE33" i="65"/>
  <c r="BD34" i="65"/>
  <c r="BE34" i="65"/>
  <c r="BD35" i="65"/>
  <c r="BE35" i="65"/>
  <c r="BD36" i="65"/>
  <c r="BE36" i="65"/>
  <c r="BD37" i="65"/>
  <c r="BE37" i="65"/>
  <c r="BD38" i="65"/>
  <c r="BE38" i="65"/>
  <c r="BD39" i="65"/>
  <c r="BE39" i="65"/>
  <c r="BD40" i="65"/>
  <c r="BE40" i="65"/>
  <c r="BD41" i="65"/>
  <c r="BE41" i="65"/>
  <c r="BD42" i="65"/>
  <c r="BE42" i="65"/>
  <c r="BD43" i="65"/>
  <c r="BE43" i="65"/>
  <c r="BD44" i="65"/>
  <c r="BE44" i="65"/>
  <c r="BD45" i="65"/>
  <c r="BE45" i="65"/>
  <c r="BT9" i="65"/>
  <c r="BU9" i="65"/>
  <c r="BT10" i="65"/>
  <c r="BU10" i="65"/>
  <c r="BT11" i="65"/>
  <c r="BU11" i="65"/>
  <c r="BT12" i="65"/>
  <c r="BU12" i="65"/>
  <c r="BT13" i="65"/>
  <c r="BU13" i="65"/>
  <c r="BT14" i="65"/>
  <c r="BU14" i="65"/>
  <c r="BT15" i="65"/>
  <c r="BU15" i="65"/>
  <c r="BT16" i="65"/>
  <c r="BU16" i="65"/>
  <c r="BT17" i="65"/>
  <c r="BU17" i="65"/>
  <c r="BT18" i="65"/>
  <c r="BU18" i="65"/>
  <c r="BT19" i="65"/>
  <c r="BU19" i="65"/>
  <c r="BT20" i="65"/>
  <c r="BU20" i="65"/>
  <c r="BT21" i="65"/>
  <c r="BU21" i="65"/>
  <c r="BT22" i="65"/>
  <c r="BU22" i="65"/>
  <c r="BT23" i="65"/>
  <c r="BU23" i="65"/>
  <c r="BT24" i="65"/>
  <c r="BU24" i="65"/>
  <c r="BT25" i="65"/>
  <c r="BU25" i="65"/>
  <c r="BT26" i="65"/>
  <c r="BU26" i="65"/>
  <c r="BT27" i="65"/>
  <c r="BU27" i="65"/>
  <c r="BT28" i="65"/>
  <c r="BU28" i="65"/>
  <c r="BT29" i="65"/>
  <c r="BU29" i="65"/>
  <c r="BT30" i="65"/>
  <c r="BU30" i="65"/>
  <c r="BT31" i="65"/>
  <c r="BU31" i="65"/>
  <c r="BT32" i="65"/>
  <c r="BU32" i="65"/>
  <c r="BT33" i="65"/>
  <c r="BU33" i="65"/>
  <c r="BT34" i="65"/>
  <c r="BU34" i="65"/>
  <c r="BT35" i="65"/>
  <c r="BU35" i="65"/>
  <c r="BT36" i="65"/>
  <c r="BU36" i="65"/>
  <c r="BT37" i="65"/>
  <c r="BU37" i="65"/>
  <c r="BT38" i="65"/>
  <c r="BU38" i="65"/>
  <c r="BT39" i="65"/>
  <c r="BU39" i="65"/>
  <c r="BT40" i="65"/>
  <c r="BU40" i="65"/>
  <c r="BT41" i="65"/>
  <c r="BU41" i="65"/>
  <c r="BT42" i="65"/>
  <c r="BU42" i="65"/>
  <c r="BT43" i="65"/>
  <c r="BU43" i="65"/>
  <c r="BT44" i="65"/>
  <c r="BU44" i="65"/>
  <c r="BT45" i="65"/>
  <c r="BU45" i="65"/>
  <c r="CJ9" i="65"/>
  <c r="CK9" i="65"/>
  <c r="CL9" i="65"/>
  <c r="CM9" i="65"/>
  <c r="CJ10" i="65"/>
  <c r="CK10" i="65"/>
  <c r="CL10" i="65"/>
  <c r="CM10" i="65"/>
  <c r="CJ11" i="65"/>
  <c r="CK11" i="65"/>
  <c r="CL11" i="65"/>
  <c r="CM11" i="65"/>
  <c r="CJ12" i="65"/>
  <c r="CK12" i="65"/>
  <c r="CL12" i="65"/>
  <c r="CM12" i="65"/>
  <c r="CJ13" i="65"/>
  <c r="CK13" i="65"/>
  <c r="CL13" i="65"/>
  <c r="CM13" i="65"/>
  <c r="CJ14" i="65"/>
  <c r="CK14" i="65"/>
  <c r="CL14" i="65"/>
  <c r="CM14" i="65"/>
  <c r="CJ15" i="65"/>
  <c r="CK15" i="65"/>
  <c r="CL15" i="65"/>
  <c r="CM15" i="65"/>
  <c r="CJ16" i="65"/>
  <c r="CK16" i="65"/>
  <c r="CL16" i="65"/>
  <c r="CM16" i="65"/>
  <c r="CJ17" i="65"/>
  <c r="CK17" i="65"/>
  <c r="CL17" i="65"/>
  <c r="CM17" i="65"/>
  <c r="CJ18" i="65"/>
  <c r="CK18" i="65"/>
  <c r="CL18" i="65"/>
  <c r="CM18" i="65"/>
  <c r="CJ19" i="65"/>
  <c r="CK19" i="65"/>
  <c r="CL19" i="65"/>
  <c r="CM19" i="65"/>
  <c r="CJ20" i="65"/>
  <c r="CK20" i="65"/>
  <c r="CL20" i="65"/>
  <c r="CM20" i="65"/>
  <c r="CJ21" i="65"/>
  <c r="CK21" i="65"/>
  <c r="CL21" i="65"/>
  <c r="CM21" i="65"/>
  <c r="CJ22" i="65"/>
  <c r="CK22" i="65"/>
  <c r="CL22" i="65"/>
  <c r="CM22" i="65"/>
  <c r="CJ23" i="65"/>
  <c r="CK23" i="65"/>
  <c r="CL23" i="65"/>
  <c r="CM23" i="65"/>
  <c r="CJ24" i="65"/>
  <c r="CK24" i="65"/>
  <c r="CL24" i="65"/>
  <c r="CM24" i="65"/>
  <c r="CJ25" i="65"/>
  <c r="CK25" i="65"/>
  <c r="CL25" i="65"/>
  <c r="CM25" i="65"/>
  <c r="CJ26" i="65"/>
  <c r="CK26" i="65"/>
  <c r="CL26" i="65"/>
  <c r="CM26" i="65"/>
  <c r="CJ27" i="65"/>
  <c r="CK27" i="65"/>
  <c r="CL27" i="65"/>
  <c r="CM27" i="65"/>
  <c r="CJ28" i="65"/>
  <c r="CK28" i="65"/>
  <c r="CL28" i="65"/>
  <c r="CM28" i="65"/>
  <c r="CJ29" i="65"/>
  <c r="CK29" i="65"/>
  <c r="CL29" i="65"/>
  <c r="CM29" i="65"/>
  <c r="CJ30" i="65"/>
  <c r="CK30" i="65"/>
  <c r="CL30" i="65"/>
  <c r="CM30" i="65"/>
  <c r="CJ31" i="65"/>
  <c r="CK31" i="65"/>
  <c r="CL31" i="65"/>
  <c r="CM31" i="65"/>
  <c r="CJ32" i="65"/>
  <c r="CK32" i="65"/>
  <c r="CL32" i="65"/>
  <c r="CM32" i="65"/>
  <c r="CJ33" i="65"/>
  <c r="CK33" i="65"/>
  <c r="CL33" i="65"/>
  <c r="CM33" i="65"/>
  <c r="CJ34" i="65"/>
  <c r="CK34" i="65"/>
  <c r="CL34" i="65"/>
  <c r="CM34" i="65"/>
  <c r="CJ35" i="65"/>
  <c r="CK35" i="65"/>
  <c r="CL35" i="65"/>
  <c r="CM35" i="65"/>
  <c r="CJ36" i="65"/>
  <c r="CK36" i="65"/>
  <c r="CL36" i="65"/>
  <c r="CM36" i="65"/>
  <c r="CL37" i="65"/>
  <c r="CM37" i="65"/>
  <c r="CJ38" i="65"/>
  <c r="CK38" i="65"/>
  <c r="CL38" i="65"/>
  <c r="CM38" i="65"/>
  <c r="CJ39" i="65"/>
  <c r="CK39" i="65"/>
  <c r="CL39" i="65"/>
  <c r="CM39" i="65"/>
  <c r="CJ40" i="65"/>
  <c r="CK40" i="65"/>
  <c r="CL40" i="65"/>
  <c r="CM40" i="65"/>
  <c r="CJ41" i="65"/>
  <c r="CK41" i="65"/>
  <c r="CL41" i="65"/>
  <c r="CM41" i="65"/>
  <c r="CJ42" i="65"/>
  <c r="CK42" i="65"/>
  <c r="CL42" i="65"/>
  <c r="CM42" i="65"/>
  <c r="CJ43" i="65"/>
  <c r="CK43" i="65"/>
  <c r="CL43" i="65"/>
  <c r="CM43" i="65"/>
  <c r="CJ44" i="65"/>
  <c r="CK44" i="65"/>
  <c r="CL44" i="65"/>
  <c r="CM44" i="65"/>
  <c r="CJ45" i="65"/>
  <c r="CK45" i="65"/>
  <c r="CL45" i="65"/>
  <c r="CM45" i="65"/>
  <c r="G431" i="2"/>
  <c r="H431" i="2"/>
  <c r="G393" i="2"/>
  <c r="H393" i="2"/>
  <c r="G355" i="2"/>
  <c r="H355" i="2"/>
  <c r="G317" i="2"/>
  <c r="H317" i="2"/>
  <c r="G279" i="2"/>
  <c r="H279" i="2"/>
  <c r="G241" i="2"/>
  <c r="H241" i="2"/>
  <c r="G203" i="2"/>
  <c r="CJ8" i="65" s="1"/>
  <c r="H203" i="2"/>
  <c r="CK8" i="65" s="1"/>
  <c r="G165" i="2"/>
  <c r="BT8" i="65" s="1"/>
  <c r="H165" i="2"/>
  <c r="BU8" i="65" s="1"/>
  <c r="G127" i="2"/>
  <c r="BD8" i="65" s="1"/>
  <c r="H127" i="2"/>
  <c r="BE8" i="65" s="1"/>
  <c r="G89" i="2"/>
  <c r="AN8" i="65" s="1"/>
  <c r="H89" i="2"/>
  <c r="AO8" i="65" s="1"/>
  <c r="G51" i="2"/>
  <c r="X8" i="65" s="1"/>
  <c r="H51" i="2"/>
  <c r="Y8" i="65" s="1"/>
  <c r="G13" i="2"/>
  <c r="H8" i="65" s="1"/>
  <c r="H13" i="2"/>
  <c r="I8" i="65" s="1"/>
  <c r="D431" i="2"/>
  <c r="E431" i="2"/>
  <c r="F431" i="2"/>
  <c r="I431" i="2"/>
  <c r="K431" i="2"/>
  <c r="L431" i="2"/>
  <c r="M431" i="2"/>
  <c r="N431" i="2"/>
  <c r="O431" i="2"/>
  <c r="P431" i="2"/>
  <c r="C431" i="2"/>
  <c r="D393" i="2"/>
  <c r="E393" i="2"/>
  <c r="F393" i="2"/>
  <c r="I393" i="2"/>
  <c r="K393" i="2"/>
  <c r="L393" i="2"/>
  <c r="M393" i="2"/>
  <c r="N393" i="2"/>
  <c r="O393" i="2"/>
  <c r="P393" i="2"/>
  <c r="C393" i="2"/>
  <c r="D355" i="2"/>
  <c r="E355" i="2"/>
  <c r="F355" i="2"/>
  <c r="I355" i="2"/>
  <c r="K355" i="2"/>
  <c r="L355" i="2"/>
  <c r="M355" i="2"/>
  <c r="N355" i="2"/>
  <c r="O355" i="2"/>
  <c r="P355" i="2"/>
  <c r="C355" i="2"/>
  <c r="D317" i="2"/>
  <c r="E317" i="2"/>
  <c r="F317" i="2"/>
  <c r="I317" i="2"/>
  <c r="K317" i="2"/>
  <c r="L317" i="2"/>
  <c r="M317" i="2"/>
  <c r="N317" i="2"/>
  <c r="O317" i="2"/>
  <c r="P317" i="2"/>
  <c r="C317" i="2"/>
  <c r="D279" i="2"/>
  <c r="E279" i="2"/>
  <c r="F279" i="2"/>
  <c r="I279" i="2"/>
  <c r="K279" i="2"/>
  <c r="L279" i="2"/>
  <c r="M279" i="2"/>
  <c r="N279" i="2"/>
  <c r="O279" i="2"/>
  <c r="P279" i="2"/>
  <c r="C279" i="2"/>
  <c r="D241" i="2"/>
  <c r="E241" i="2"/>
  <c r="F241" i="2"/>
  <c r="I241" i="2"/>
  <c r="K241" i="2"/>
  <c r="L241" i="2"/>
  <c r="M241" i="2"/>
  <c r="N241" i="2"/>
  <c r="O241" i="2"/>
  <c r="P241" i="2"/>
  <c r="C241" i="2"/>
  <c r="D203" i="2"/>
  <c r="E203" i="2"/>
  <c r="F203" i="2"/>
  <c r="I203" i="2"/>
  <c r="CL8" i="65" s="1"/>
  <c r="J203" i="2"/>
  <c r="CM8" i="65" s="1"/>
  <c r="K203" i="2"/>
  <c r="L203" i="2"/>
  <c r="M203" i="2"/>
  <c r="N203" i="2"/>
  <c r="O203" i="2"/>
  <c r="P203" i="2"/>
  <c r="C203" i="2"/>
  <c r="D165" i="2"/>
  <c r="E165" i="2"/>
  <c r="F165" i="2"/>
  <c r="I165" i="2"/>
  <c r="J165" i="2"/>
  <c r="K165" i="2"/>
  <c r="L165" i="2"/>
  <c r="M165" i="2"/>
  <c r="N165" i="2"/>
  <c r="O165" i="2"/>
  <c r="P165" i="2"/>
  <c r="C165" i="2"/>
  <c r="D127" i="2"/>
  <c r="E127" i="2"/>
  <c r="F127" i="2"/>
  <c r="I127" i="2"/>
  <c r="J127" i="2"/>
  <c r="K127" i="2"/>
  <c r="L127" i="2"/>
  <c r="M127" i="2"/>
  <c r="N127" i="2"/>
  <c r="O127" i="2"/>
  <c r="P127" i="2"/>
  <c r="C127" i="2"/>
  <c r="D89" i="2"/>
  <c r="E89" i="2"/>
  <c r="F89" i="2"/>
  <c r="I89" i="2"/>
  <c r="J89" i="2"/>
  <c r="K89" i="2"/>
  <c r="L89" i="2"/>
  <c r="M89" i="2"/>
  <c r="N89" i="2"/>
  <c r="O89" i="2"/>
  <c r="P89" i="2"/>
  <c r="C89" i="2"/>
  <c r="D51" i="2"/>
  <c r="E51" i="2"/>
  <c r="F51" i="2"/>
  <c r="I51" i="2"/>
  <c r="J51" i="2"/>
  <c r="K51" i="2"/>
  <c r="L51" i="2"/>
  <c r="M51" i="2"/>
  <c r="N51" i="2"/>
  <c r="O51" i="2"/>
  <c r="P51" i="2"/>
  <c r="C51" i="2"/>
  <c r="D13" i="2"/>
  <c r="E13" i="2"/>
  <c r="F13" i="2"/>
  <c r="I13" i="2"/>
  <c r="J13" i="2"/>
  <c r="K13" i="2"/>
  <c r="L13" i="2"/>
  <c r="M13" i="2"/>
  <c r="N13" i="2"/>
  <c r="O13" i="2"/>
  <c r="P13" i="2"/>
  <c r="C13" i="2"/>
  <c r="B510" i="2"/>
  <c r="B511" i="2"/>
  <c r="B486" i="2"/>
  <c r="B487" i="2"/>
  <c r="B488" i="2"/>
  <c r="B489" i="2"/>
  <c r="B490" i="2"/>
  <c r="B491" i="2"/>
  <c r="B492" i="2"/>
  <c r="B493" i="2"/>
  <c r="B494" i="2"/>
  <c r="B495" i="2"/>
  <c r="B496" i="2"/>
  <c r="B497" i="2"/>
  <c r="B498" i="2"/>
  <c r="B499" i="2"/>
  <c r="B500" i="2"/>
  <c r="B501" i="2"/>
  <c r="B502" i="2"/>
  <c r="B503" i="2"/>
  <c r="B504" i="2"/>
  <c r="B505" i="2"/>
  <c r="B506" i="2"/>
  <c r="B507" i="2"/>
  <c r="B508" i="2"/>
  <c r="B509" i="2"/>
  <c r="B53" i="2"/>
  <c r="B54" i="2"/>
  <c r="B55" i="2"/>
  <c r="B56" i="2"/>
  <c r="B57" i="2"/>
  <c r="B58" i="2"/>
  <c r="B59" i="2"/>
  <c r="B60" i="2"/>
  <c r="B61" i="2"/>
  <c r="B62" i="2"/>
  <c r="B63" i="2"/>
  <c r="B64" i="2"/>
  <c r="B65" i="2"/>
  <c r="B66" i="2"/>
  <c r="B67" i="2"/>
  <c r="B68" i="2"/>
  <c r="B69" i="2"/>
  <c r="B70" i="2"/>
  <c r="B71" i="2"/>
  <c r="B72" i="2"/>
  <c r="B73" i="2"/>
  <c r="B74" i="2"/>
  <c r="B75" i="2"/>
  <c r="B76" i="2"/>
  <c r="B77" i="2"/>
  <c r="B78" i="2"/>
  <c r="B52" i="2"/>
  <c r="CB28" i="70" l="1"/>
  <c r="CB9" i="70"/>
  <c r="CB29" i="43"/>
  <c r="CB43" i="46"/>
  <c r="I10" i="41"/>
  <c r="H8" i="71"/>
  <c r="H5" i="71" s="1"/>
  <c r="C7" i="50"/>
  <c r="K58" i="45"/>
  <c r="K10" i="45"/>
  <c r="CB7" i="44"/>
  <c r="XN519" i="2"/>
  <c r="I41" i="7"/>
  <c r="XK518" i="2"/>
  <c r="XX518" i="2" s="1"/>
  <c r="F40" i="7"/>
  <c r="XK513" i="2"/>
  <c r="XX513" i="2" s="1"/>
  <c r="F35" i="7"/>
  <c r="XM521" i="2"/>
  <c r="XY521" i="2" s="1"/>
  <c r="H43" i="7"/>
  <c r="XW515" i="2"/>
  <c r="E84" i="7"/>
  <c r="XW516" i="2"/>
  <c r="E85" i="7"/>
  <c r="XQ514" i="2"/>
  <c r="D36" i="7"/>
  <c r="XL516" i="2"/>
  <c r="G38" i="7"/>
  <c r="XP520" i="2"/>
  <c r="C42" i="7"/>
  <c r="XN518" i="2"/>
  <c r="I40" i="7"/>
  <c r="XW517" i="2"/>
  <c r="E86" i="7"/>
  <c r="XM516" i="2"/>
  <c r="XY516" i="2" s="1"/>
  <c r="H38" i="7"/>
  <c r="XL512" i="2"/>
  <c r="G34" i="7"/>
  <c r="XM515" i="2"/>
  <c r="XY515" i="2" s="1"/>
  <c r="H37" i="7"/>
  <c r="XU516" i="2"/>
  <c r="C85" i="7"/>
  <c r="XU517" i="2"/>
  <c r="C86" i="7"/>
  <c r="XQ517" i="2"/>
  <c r="D39" i="7"/>
  <c r="XL519" i="2"/>
  <c r="G41" i="7"/>
  <c r="XV521" i="2"/>
  <c r="D90" i="7"/>
  <c r="XP518" i="2"/>
  <c r="C40" i="7"/>
  <c r="XN514" i="2"/>
  <c r="I36" i="7"/>
  <c r="XU512" i="2"/>
  <c r="C81" i="7"/>
  <c r="XV514" i="2"/>
  <c r="D83" i="7"/>
  <c r="XV520" i="2"/>
  <c r="D89" i="7"/>
  <c r="XU518" i="2"/>
  <c r="C87" i="7"/>
  <c r="XK517" i="2"/>
  <c r="XX517" i="2" s="1"/>
  <c r="F39" i="7"/>
  <c r="XN513" i="2"/>
  <c r="I35" i="7"/>
  <c r="XP513" i="2"/>
  <c r="C35" i="7"/>
  <c r="XM514" i="2"/>
  <c r="XY514" i="2" s="1"/>
  <c r="H36" i="7"/>
  <c r="XL515" i="2"/>
  <c r="G37" i="7"/>
  <c r="XK516" i="2"/>
  <c r="XX516" i="2" s="1"/>
  <c r="F38" i="7"/>
  <c r="XN521" i="2"/>
  <c r="I43" i="7"/>
  <c r="XW521" i="2"/>
  <c r="E90" i="7"/>
  <c r="XP512" i="2"/>
  <c r="C34" i="7"/>
  <c r="XV515" i="2"/>
  <c r="D84" i="7"/>
  <c r="XQ519" i="2"/>
  <c r="D41" i="7"/>
  <c r="XM520" i="2"/>
  <c r="XY520" i="2" s="1"/>
  <c r="H42" i="7"/>
  <c r="XU519" i="2"/>
  <c r="C88" i="7"/>
  <c r="XV516" i="2"/>
  <c r="D85" i="7"/>
  <c r="XW514" i="2"/>
  <c r="E83" i="7"/>
  <c r="XQ512" i="2"/>
  <c r="D34" i="7"/>
  <c r="XQ518" i="2"/>
  <c r="D40" i="7"/>
  <c r="XL514" i="2"/>
  <c r="G36" i="7"/>
  <c r="XK515" i="2"/>
  <c r="XX515" i="2" s="1"/>
  <c r="F37" i="7"/>
  <c r="XM518" i="2"/>
  <c r="XY518" i="2" s="1"/>
  <c r="H40" i="7"/>
  <c r="XW520" i="2"/>
  <c r="E89" i="7"/>
  <c r="XW519" i="2"/>
  <c r="E88" i="7"/>
  <c r="XL513" i="2"/>
  <c r="G35" i="7"/>
  <c r="XK521" i="2"/>
  <c r="XX521" i="2" s="1"/>
  <c r="F43" i="7"/>
  <c r="XP521" i="2"/>
  <c r="C43" i="7"/>
  <c r="XL520" i="2"/>
  <c r="G42" i="7"/>
  <c r="XP514" i="2"/>
  <c r="C36" i="7"/>
  <c r="XP517" i="2"/>
  <c r="C39" i="7"/>
  <c r="XW513" i="2"/>
  <c r="E82" i="7"/>
  <c r="XU515" i="2"/>
  <c r="C84" i="7"/>
  <c r="XM513" i="2"/>
  <c r="XY513" i="2" s="1"/>
  <c r="H35" i="7"/>
  <c r="XM519" i="2"/>
  <c r="XY519" i="2" s="1"/>
  <c r="H41" i="7"/>
  <c r="XW512" i="2"/>
  <c r="E81" i="7"/>
  <c r="XQ516" i="2"/>
  <c r="D38" i="7"/>
  <c r="XK519" i="2"/>
  <c r="XX519" i="2" s="1"/>
  <c r="F41" i="7"/>
  <c r="XU520" i="2"/>
  <c r="C89" i="7"/>
  <c r="XN512" i="2"/>
  <c r="I34" i="7"/>
  <c r="XU521" i="2"/>
  <c r="C90" i="7"/>
  <c r="XN517" i="2"/>
  <c r="I39" i="7"/>
  <c r="XP516" i="2"/>
  <c r="C38" i="7"/>
  <c r="XN520" i="2"/>
  <c r="I42" i="7"/>
  <c r="XU514" i="2"/>
  <c r="C83" i="7"/>
  <c r="XP515" i="2"/>
  <c r="C37" i="7"/>
  <c r="XQ513" i="2"/>
  <c r="D35" i="7"/>
  <c r="XV517" i="2"/>
  <c r="D86" i="7"/>
  <c r="XK512" i="2"/>
  <c r="XX512" i="2" s="1"/>
  <c r="F34" i="7"/>
  <c r="XK514" i="2"/>
  <c r="XX514" i="2" s="1"/>
  <c r="F36" i="7"/>
  <c r="XK520" i="2"/>
  <c r="XX520" i="2" s="1"/>
  <c r="F42" i="7"/>
  <c r="XW518" i="2"/>
  <c r="E87" i="7"/>
  <c r="XL518" i="2"/>
  <c r="G40" i="7"/>
  <c r="XM517" i="2"/>
  <c r="XY517" i="2" s="1"/>
  <c r="H39" i="7"/>
  <c r="XL521" i="2"/>
  <c r="G43" i="7"/>
  <c r="XQ520" i="2"/>
  <c r="D42" i="7"/>
  <c r="XN516" i="2"/>
  <c r="I38" i="7"/>
  <c r="XM512" i="2"/>
  <c r="XY512" i="2" s="1"/>
  <c r="H34" i="7"/>
  <c r="XV518" i="2"/>
  <c r="D87" i="7"/>
  <c r="XV513" i="2"/>
  <c r="D82" i="7"/>
  <c r="XV519" i="2"/>
  <c r="D88" i="7"/>
  <c r="XL517" i="2"/>
  <c r="G39" i="7"/>
  <c r="XP519" i="2"/>
  <c r="C41" i="7"/>
  <c r="XN515" i="2"/>
  <c r="I37" i="7"/>
  <c r="XQ515" i="2"/>
  <c r="D37" i="7"/>
  <c r="XQ521" i="2"/>
  <c r="D43" i="7"/>
  <c r="XU513" i="2"/>
  <c r="C82" i="7"/>
  <c r="O6" i="43"/>
  <c r="CB21" i="70"/>
  <c r="CB36" i="46"/>
  <c r="CB30" i="43"/>
  <c r="CB37" i="43"/>
  <c r="CB24" i="55"/>
  <c r="CC39" i="46"/>
  <c r="CB23" i="55"/>
  <c r="CB29" i="55"/>
  <c r="CC29" i="55"/>
  <c r="CB20" i="55"/>
  <c r="CC42" i="46"/>
  <c r="CB26" i="70"/>
  <c r="CB40" i="46"/>
  <c r="CB43" i="55"/>
  <c r="CC20" i="43"/>
  <c r="CB32" i="70"/>
  <c r="CB21" i="43"/>
  <c r="CB37" i="55"/>
  <c r="CB39" i="46"/>
  <c r="CB40" i="43"/>
  <c r="CB18" i="70"/>
  <c r="CC39" i="55"/>
  <c r="CB42" i="55"/>
  <c r="CB13" i="43"/>
  <c r="CB36" i="43"/>
  <c r="CB28" i="55"/>
  <c r="CB17" i="70"/>
  <c r="CC34" i="55"/>
  <c r="CC41" i="46"/>
  <c r="CB9" i="55"/>
  <c r="CC21" i="43"/>
  <c r="CB27" i="70"/>
  <c r="CC36" i="46"/>
  <c r="AL5" i="71"/>
  <c r="CB15" i="55"/>
  <c r="CC32" i="55"/>
  <c r="CB33" i="70"/>
  <c r="CB39" i="55"/>
  <c r="CB31" i="70"/>
  <c r="CB27" i="55"/>
  <c r="CC35" i="46"/>
  <c r="CB12" i="70"/>
  <c r="CC21" i="55"/>
  <c r="CB34" i="55"/>
  <c r="CB22" i="55"/>
  <c r="CB19" i="70"/>
  <c r="CB33" i="55"/>
  <c r="CC37" i="55"/>
  <c r="CC38" i="43"/>
  <c r="CC43" i="46"/>
  <c r="CB14" i="55"/>
  <c r="XX38" i="2"/>
  <c r="XV15" i="2"/>
  <c r="XV21" i="2"/>
  <c r="XW37" i="2"/>
  <c r="XV39" i="2"/>
  <c r="XM27" i="2"/>
  <c r="CB38" i="46"/>
  <c r="CB41" i="55"/>
  <c r="CB26" i="55"/>
  <c r="XV27" i="2"/>
  <c r="CC40" i="46"/>
  <c r="CC22" i="55"/>
  <c r="XM33" i="2"/>
  <c r="BL5" i="71"/>
  <c r="CB35" i="43"/>
  <c r="CB21" i="55"/>
  <c r="CB38" i="43"/>
  <c r="CC26" i="55"/>
  <c r="BP5" i="71"/>
  <c r="CB13" i="55"/>
  <c r="CC17" i="43"/>
  <c r="XN37" i="2"/>
  <c r="CC13" i="43"/>
  <c r="CB32" i="55"/>
  <c r="XO38" i="2"/>
  <c r="CC39" i="43"/>
  <c r="CB34" i="70"/>
  <c r="CB15" i="43"/>
  <c r="CB37" i="46"/>
  <c r="CB15" i="70"/>
  <c r="CB41" i="46"/>
  <c r="CB44" i="55"/>
  <c r="CB16" i="70"/>
  <c r="CB31" i="43"/>
  <c r="CC37" i="46"/>
  <c r="XY39" i="2"/>
  <c r="CC31" i="55"/>
  <c r="AF5" i="71"/>
  <c r="CB19" i="55"/>
  <c r="CB11" i="43"/>
  <c r="CC40" i="55"/>
  <c r="AH5" i="71"/>
  <c r="CB39" i="43"/>
  <c r="CB42" i="46"/>
  <c r="CB29" i="70"/>
  <c r="CC30" i="43"/>
  <c r="CC33" i="55"/>
  <c r="CB40" i="55"/>
  <c r="CC40" i="43"/>
  <c r="CB30" i="55"/>
  <c r="CC42" i="43"/>
  <c r="CC41" i="43"/>
  <c r="CB25" i="43"/>
  <c r="CB31" i="55"/>
  <c r="XP39" i="2"/>
  <c r="XV33" i="2"/>
  <c r="XM15" i="2"/>
  <c r="XM21" i="2"/>
  <c r="XM25" i="2"/>
  <c r="XM19" i="2"/>
  <c r="XM31" i="2"/>
  <c r="XV37" i="2"/>
  <c r="XV31" i="2"/>
  <c r="XV25" i="2"/>
  <c r="XV19" i="2"/>
  <c r="XX40" i="2"/>
  <c r="XU38" i="2"/>
  <c r="XO40" i="2"/>
  <c r="XW40" i="2"/>
  <c r="XV36" i="2"/>
  <c r="XV30" i="2"/>
  <c r="XV24" i="2"/>
  <c r="XV18" i="2"/>
  <c r="XW39" i="2"/>
  <c r="XN39" i="2"/>
  <c r="XL38" i="2"/>
  <c r="XN40" i="2"/>
  <c r="XU37" i="2"/>
  <c r="XV38" i="2"/>
  <c r="XM37" i="2"/>
  <c r="XM36" i="2"/>
  <c r="XM18" i="2"/>
  <c r="XM30" i="2"/>
  <c r="XM14" i="2"/>
  <c r="XM24" i="2"/>
  <c r="XY40" i="2"/>
  <c r="XX39" i="2"/>
  <c r="XW38" i="2"/>
  <c r="XV32" i="2"/>
  <c r="XV26" i="2"/>
  <c r="XV20" i="2"/>
  <c r="XP40" i="2"/>
  <c r="XO39" i="2"/>
  <c r="XN38" i="2"/>
  <c r="XM32" i="2"/>
  <c r="XM26" i="2"/>
  <c r="XM20" i="2"/>
  <c r="XL39" i="2"/>
  <c r="XU40" i="2"/>
  <c r="XY37" i="2"/>
  <c r="XV35" i="2"/>
  <c r="XV29" i="2"/>
  <c r="XV23" i="2"/>
  <c r="XV17" i="2"/>
  <c r="XL40" i="2"/>
  <c r="XM35" i="2"/>
  <c r="XM17" i="2"/>
  <c r="XU39" i="2"/>
  <c r="XV14" i="2"/>
  <c r="XM23" i="2"/>
  <c r="XY38" i="2"/>
  <c r="XX37" i="2"/>
  <c r="XV40" i="2"/>
  <c r="XV34" i="2"/>
  <c r="XV28" i="2"/>
  <c r="XV22" i="2"/>
  <c r="XV16" i="2"/>
  <c r="XP37" i="2"/>
  <c r="XM29" i="2"/>
  <c r="XP38" i="2"/>
  <c r="XO37" i="2"/>
  <c r="XM34" i="2"/>
  <c r="XM22" i="2"/>
  <c r="XM16" i="2"/>
  <c r="BH5" i="71"/>
  <c r="CC44" i="70"/>
  <c r="YA41" i="2"/>
  <c r="BN5" i="71"/>
  <c r="XM39" i="2"/>
  <c r="XL37" i="2"/>
  <c r="XM38" i="2"/>
  <c r="CB36" i="70"/>
  <c r="CB11" i="70"/>
  <c r="BJ5" i="71"/>
  <c r="CB35" i="46"/>
  <c r="CB17" i="55"/>
  <c r="CC43" i="55"/>
  <c r="XM40" i="2"/>
  <c r="XM28" i="2"/>
  <c r="CC44" i="46"/>
  <c r="CC43" i="70"/>
  <c r="CB11" i="55"/>
  <c r="CC20" i="55"/>
  <c r="CB20" i="70"/>
  <c r="CB44" i="46"/>
  <c r="AV5" i="71"/>
  <c r="AJ5" i="71"/>
  <c r="CC16" i="55"/>
  <c r="CB14" i="70"/>
  <c r="CC29" i="43"/>
  <c r="CB39" i="70"/>
  <c r="CC15" i="43"/>
  <c r="CC28" i="55"/>
  <c r="AB5" i="71"/>
  <c r="CC44" i="55"/>
  <c r="CC10" i="55"/>
  <c r="XN14" i="2"/>
  <c r="CC24" i="55"/>
  <c r="CC15" i="55"/>
  <c r="CC36" i="55"/>
  <c r="XN474" i="2"/>
  <c r="G33" i="61"/>
  <c r="XL474" i="2"/>
  <c r="W33" i="61"/>
  <c r="XR383" i="2"/>
  <c r="XR345" i="2"/>
  <c r="CC37" i="43"/>
  <c r="CC14" i="43"/>
  <c r="AA33" i="61"/>
  <c r="XR459" i="2"/>
  <c r="CC30" i="55"/>
  <c r="Y33" i="61"/>
  <c r="XR421" i="2"/>
  <c r="CC19" i="55"/>
  <c r="I33" i="61"/>
  <c r="CC36" i="43"/>
  <c r="S33" i="61"/>
  <c r="XR307" i="2"/>
  <c r="XK472" i="2"/>
  <c r="CC41" i="55"/>
  <c r="Q33" i="61"/>
  <c r="XR269" i="2"/>
  <c r="CC42" i="55"/>
  <c r="O33" i="61"/>
  <c r="XR231" i="2"/>
  <c r="K33" i="61"/>
  <c r="M33" i="61"/>
  <c r="XR193" i="2"/>
  <c r="CC25" i="55"/>
  <c r="CC32" i="43"/>
  <c r="CC38" i="46"/>
  <c r="CC13" i="55"/>
  <c r="BR5" i="71"/>
  <c r="CC23" i="55"/>
  <c r="CC37" i="70"/>
  <c r="CB40" i="70"/>
  <c r="BO45" i="71" s="1"/>
  <c r="CB35" i="55"/>
  <c r="CC38" i="55"/>
  <c r="CB42" i="43"/>
  <c r="B161" i="2"/>
  <c r="B163" i="2"/>
  <c r="B157" i="2"/>
  <c r="B159" i="2"/>
  <c r="B160" i="2"/>
  <c r="B162" i="2"/>
  <c r="B164" i="2"/>
  <c r="B158" i="2"/>
  <c r="B155" i="2"/>
  <c r="B156" i="2"/>
  <c r="XF79" i="2"/>
  <c r="CC35" i="55"/>
  <c r="WJ484" i="2"/>
  <c r="BZ6" i="40" s="1"/>
  <c r="BZ8" i="40"/>
  <c r="VT484" i="2"/>
  <c r="BX6" i="40" s="1"/>
  <c r="BX8" i="40"/>
  <c r="VD484" i="2"/>
  <c r="BV6" i="40" s="1"/>
  <c r="BV8" i="40"/>
  <c r="UN484" i="2"/>
  <c r="BT6" i="40" s="1"/>
  <c r="BT8" i="40"/>
  <c r="TX484" i="2"/>
  <c r="BR6" i="40" s="1"/>
  <c r="BR8" i="40"/>
  <c r="TH484" i="2"/>
  <c r="BP6" i="40" s="1"/>
  <c r="BP8" i="40"/>
  <c r="SR484" i="2"/>
  <c r="BN6" i="40" s="1"/>
  <c r="BN8" i="40"/>
  <c r="SB484" i="2"/>
  <c r="BL6" i="40" s="1"/>
  <c r="BL8" i="40"/>
  <c r="RL484" i="2"/>
  <c r="BJ6" i="40" s="1"/>
  <c r="BJ8" i="40"/>
  <c r="OV484" i="2"/>
  <c r="BB6" i="50" s="1"/>
  <c r="BB8" i="50"/>
  <c r="BB7" i="50" s="1"/>
  <c r="AX8" i="40"/>
  <c r="LD484" i="2"/>
  <c r="AP6" i="50" s="1"/>
  <c r="AP8" i="50"/>
  <c r="AP7" i="50" s="1"/>
  <c r="KB484" i="2"/>
  <c r="AL6" i="40" s="1"/>
  <c r="AL8" i="40"/>
  <c r="HL484" i="2"/>
  <c r="AD6" i="50" s="1"/>
  <c r="AD8" i="50"/>
  <c r="AD7" i="50" s="1"/>
  <c r="GJ484" i="2"/>
  <c r="Z6" i="40" s="1"/>
  <c r="Z8" i="40"/>
  <c r="DT484" i="2"/>
  <c r="R6" i="50" s="1"/>
  <c r="R8" i="50"/>
  <c r="R7" i="50" s="1"/>
  <c r="CR484" i="2"/>
  <c r="N6" i="40" s="1"/>
  <c r="N8" i="40"/>
  <c r="AB484" i="2"/>
  <c r="F6" i="50" s="1"/>
  <c r="F8" i="50"/>
  <c r="F7" i="50" s="1"/>
  <c r="WI484" i="2"/>
  <c r="BY6" i="40" s="1"/>
  <c r="BY8" i="40"/>
  <c r="VS484" i="2"/>
  <c r="BW6" i="40" s="1"/>
  <c r="BW8" i="40"/>
  <c r="VC484" i="2"/>
  <c r="BU6" i="40" s="1"/>
  <c r="BU8" i="40"/>
  <c r="UM484" i="2"/>
  <c r="BS6" i="40" s="1"/>
  <c r="BS8" i="40"/>
  <c r="TW484" i="2"/>
  <c r="BQ6" i="40" s="1"/>
  <c r="BQ8" i="40"/>
  <c r="TG484" i="2"/>
  <c r="BO6" i="40" s="1"/>
  <c r="BO8" i="40"/>
  <c r="SQ484" i="2"/>
  <c r="BM6" i="40" s="1"/>
  <c r="BM8" i="40"/>
  <c r="SA484" i="2"/>
  <c r="BK6" i="40" s="1"/>
  <c r="BK8" i="40"/>
  <c r="RK484" i="2"/>
  <c r="BI6" i="40" s="1"/>
  <c r="BI8" i="40"/>
  <c r="OU484" i="2"/>
  <c r="BA6" i="50" s="1"/>
  <c r="BA8" i="50"/>
  <c r="BA7" i="50" s="1"/>
  <c r="NS484" i="2"/>
  <c r="AW6" i="40" s="1"/>
  <c r="AW8" i="40"/>
  <c r="LC484" i="2"/>
  <c r="AO6" i="50" s="1"/>
  <c r="AO8" i="50"/>
  <c r="AO7" i="50" s="1"/>
  <c r="KA484" i="2"/>
  <c r="AK6" i="40" s="1"/>
  <c r="AK8" i="40"/>
  <c r="HK484" i="2"/>
  <c r="AC6" i="50" s="1"/>
  <c r="AC8" i="50"/>
  <c r="AC7" i="50" s="1"/>
  <c r="GI484" i="2"/>
  <c r="Y6" i="40" s="1"/>
  <c r="Y8" i="40"/>
  <c r="DS484" i="2"/>
  <c r="Q6" i="50" s="1"/>
  <c r="Q8" i="50"/>
  <c r="Q7" i="50" s="1"/>
  <c r="CQ484" i="2"/>
  <c r="M6" i="40" s="1"/>
  <c r="M8" i="40"/>
  <c r="AA484" i="2"/>
  <c r="E6" i="50" s="1"/>
  <c r="E8" i="50"/>
  <c r="E7" i="50" s="1"/>
  <c r="QV484" i="2"/>
  <c r="BH6" i="40" s="1"/>
  <c r="BH8" i="40"/>
  <c r="OF484" i="2"/>
  <c r="AZ6" i="50" s="1"/>
  <c r="AZ8" i="50"/>
  <c r="AZ7" i="50" s="1"/>
  <c r="ND484" i="2"/>
  <c r="AV6" i="40" s="1"/>
  <c r="AV8" i="40"/>
  <c r="KN484" i="2"/>
  <c r="AN6" i="50" s="1"/>
  <c r="AN8" i="50"/>
  <c r="AN7" i="50" s="1"/>
  <c r="JL484" i="2"/>
  <c r="AJ6" i="40" s="1"/>
  <c r="AJ8" i="40"/>
  <c r="GV484" i="2"/>
  <c r="AB6" i="50" s="1"/>
  <c r="AB8" i="50"/>
  <c r="AB7" i="50" s="1"/>
  <c r="FT484" i="2"/>
  <c r="X6" i="40" s="1"/>
  <c r="X8" i="40"/>
  <c r="DD484" i="2"/>
  <c r="P6" i="50" s="1"/>
  <c r="P8" i="50"/>
  <c r="P7" i="50" s="1"/>
  <c r="CB484" i="2"/>
  <c r="L6" i="40" s="1"/>
  <c r="L8" i="40"/>
  <c r="T7" i="55"/>
  <c r="QU484" i="2"/>
  <c r="BG6" i="40" s="1"/>
  <c r="BG8" i="40"/>
  <c r="OE484" i="2"/>
  <c r="AY6" i="50" s="1"/>
  <c r="AY8" i="50"/>
  <c r="AY7" i="50" s="1"/>
  <c r="NC484" i="2"/>
  <c r="AU6" i="40" s="1"/>
  <c r="AU8" i="40"/>
  <c r="KM484" i="2"/>
  <c r="AM6" i="50" s="1"/>
  <c r="AM8" i="50"/>
  <c r="AM7" i="50" s="1"/>
  <c r="JK484" i="2"/>
  <c r="AI6" i="40" s="1"/>
  <c r="AI8" i="40"/>
  <c r="GU484" i="2"/>
  <c r="AA6" i="50" s="1"/>
  <c r="AA8" i="50"/>
  <c r="AA7" i="50" s="1"/>
  <c r="FS484" i="2"/>
  <c r="W6" i="40" s="1"/>
  <c r="W8" i="40"/>
  <c r="DC484" i="2"/>
  <c r="O6" i="50" s="1"/>
  <c r="O8" i="50"/>
  <c r="O7" i="50" s="1"/>
  <c r="CA484" i="2"/>
  <c r="K6" i="40" s="1"/>
  <c r="K8" i="40"/>
  <c r="CC41" i="70"/>
  <c r="RH484" i="2"/>
  <c r="BJ6" i="50" s="1"/>
  <c r="BJ8" i="50"/>
  <c r="BJ7" i="50" s="1"/>
  <c r="QF484" i="2"/>
  <c r="BF6" i="40" s="1"/>
  <c r="BF8" i="40"/>
  <c r="NP484" i="2"/>
  <c r="AX6" i="50" s="1"/>
  <c r="AX8" i="50"/>
  <c r="AX7" i="50" s="1"/>
  <c r="MN484" i="2"/>
  <c r="AT6" i="40" s="1"/>
  <c r="AT8" i="40"/>
  <c r="JX484" i="2"/>
  <c r="AL6" i="50" s="1"/>
  <c r="AL8" i="50"/>
  <c r="AL7" i="50" s="1"/>
  <c r="IV484" i="2"/>
  <c r="AH6" i="40" s="1"/>
  <c r="AH8" i="40"/>
  <c r="GF484" i="2"/>
  <c r="Z6" i="50" s="1"/>
  <c r="Z8" i="50"/>
  <c r="Z7" i="50" s="1"/>
  <c r="FD484" i="2"/>
  <c r="V6" i="40" s="1"/>
  <c r="V8" i="40"/>
  <c r="CN484" i="2"/>
  <c r="N6" i="50" s="1"/>
  <c r="N8" i="50"/>
  <c r="N7" i="50" s="1"/>
  <c r="WE484" i="2"/>
  <c r="BY6" i="50" s="1"/>
  <c r="BY8" i="50"/>
  <c r="BY7" i="50" s="1"/>
  <c r="VO484" i="2"/>
  <c r="BW6" i="50" s="1"/>
  <c r="BW8" i="50"/>
  <c r="BW7" i="50" s="1"/>
  <c r="UY484" i="2"/>
  <c r="BU6" i="50" s="1"/>
  <c r="BU8" i="50"/>
  <c r="BU7" i="50" s="1"/>
  <c r="UI484" i="2"/>
  <c r="BS6" i="50" s="1"/>
  <c r="BS8" i="50"/>
  <c r="BS7" i="50" s="1"/>
  <c r="TS484" i="2"/>
  <c r="BQ6" i="50" s="1"/>
  <c r="BQ8" i="50"/>
  <c r="BQ7" i="50" s="1"/>
  <c r="TC484" i="2"/>
  <c r="BO6" i="50" s="1"/>
  <c r="BO8" i="50"/>
  <c r="BO7" i="50" s="1"/>
  <c r="SM484" i="2"/>
  <c r="BM6" i="50" s="1"/>
  <c r="BM8" i="50"/>
  <c r="BM7" i="50" s="1"/>
  <c r="RW484" i="2"/>
  <c r="BK6" i="50" s="1"/>
  <c r="BK8" i="50"/>
  <c r="BK7" i="50" s="1"/>
  <c r="RG484" i="2"/>
  <c r="BI6" i="50" s="1"/>
  <c r="BI8" i="50"/>
  <c r="BI7" i="50" s="1"/>
  <c r="QE484" i="2"/>
  <c r="BE6" i="40" s="1"/>
  <c r="BE8" i="40"/>
  <c r="NO484" i="2"/>
  <c r="AW6" i="50" s="1"/>
  <c r="AW8" i="50"/>
  <c r="AW7" i="50" s="1"/>
  <c r="MM484" i="2"/>
  <c r="AS6" i="40" s="1"/>
  <c r="AS8" i="40"/>
  <c r="JW484" i="2"/>
  <c r="AK6" i="50" s="1"/>
  <c r="AK8" i="50"/>
  <c r="AK7" i="50" s="1"/>
  <c r="IU484" i="2"/>
  <c r="AG6" i="40" s="1"/>
  <c r="AG8" i="40"/>
  <c r="GE484" i="2"/>
  <c r="Y6" i="50" s="1"/>
  <c r="Y8" i="50"/>
  <c r="Y7" i="50" s="1"/>
  <c r="FC484" i="2"/>
  <c r="U6" i="40" s="1"/>
  <c r="U8" i="40"/>
  <c r="CM484" i="2"/>
  <c r="M6" i="50" s="1"/>
  <c r="M8" i="50"/>
  <c r="M7" i="50" s="1"/>
  <c r="BE7" i="55"/>
  <c r="QR484" i="2"/>
  <c r="BH6" i="50" s="1"/>
  <c r="BH8" i="50"/>
  <c r="BH7" i="50" s="1"/>
  <c r="PP484" i="2"/>
  <c r="BD6" i="40" s="1"/>
  <c r="BD8" i="40"/>
  <c r="MZ484" i="2"/>
  <c r="AV6" i="50" s="1"/>
  <c r="AV8" i="50"/>
  <c r="AV7" i="50" s="1"/>
  <c r="LX484" i="2"/>
  <c r="AR6" i="40" s="1"/>
  <c r="AR8" i="40"/>
  <c r="JH484" i="2"/>
  <c r="AJ6" i="50" s="1"/>
  <c r="AJ8" i="50"/>
  <c r="AJ7" i="50" s="1"/>
  <c r="IF484" i="2"/>
  <c r="AF6" i="40" s="1"/>
  <c r="AF8" i="40"/>
  <c r="FP484" i="2"/>
  <c r="X6" i="50" s="1"/>
  <c r="X8" i="50"/>
  <c r="X7" i="50" s="1"/>
  <c r="EN484" i="2"/>
  <c r="T6" i="40" s="1"/>
  <c r="T8" i="40"/>
  <c r="BX484" i="2"/>
  <c r="L6" i="50" s="1"/>
  <c r="L8" i="50"/>
  <c r="L7" i="50" s="1"/>
  <c r="AV484" i="2"/>
  <c r="H6" i="40" s="1"/>
  <c r="XE79" i="2"/>
  <c r="CC35" i="43"/>
  <c r="QQ484" i="2"/>
  <c r="BG6" i="50" s="1"/>
  <c r="BG8" i="50"/>
  <c r="BG7" i="50" s="1"/>
  <c r="PO484" i="2"/>
  <c r="BC6" i="40" s="1"/>
  <c r="BC8" i="40"/>
  <c r="MY484" i="2"/>
  <c r="AU6" i="50" s="1"/>
  <c r="AU8" i="50"/>
  <c r="AU7" i="50" s="1"/>
  <c r="LW484" i="2"/>
  <c r="AQ6" i="40" s="1"/>
  <c r="AQ8" i="40"/>
  <c r="JG484" i="2"/>
  <c r="AI6" i="50" s="1"/>
  <c r="AI8" i="50"/>
  <c r="AI7" i="50" s="1"/>
  <c r="IE484" i="2"/>
  <c r="AE6" i="40" s="1"/>
  <c r="AE8" i="40"/>
  <c r="FO484" i="2"/>
  <c r="W6" i="50" s="1"/>
  <c r="W8" i="50"/>
  <c r="W7" i="50" s="1"/>
  <c r="EM484" i="2"/>
  <c r="S6" i="40" s="1"/>
  <c r="S8" i="40"/>
  <c r="BW484" i="2"/>
  <c r="K6" i="50" s="1"/>
  <c r="K8" i="50"/>
  <c r="K7" i="50" s="1"/>
  <c r="AU484" i="2"/>
  <c r="G6" i="40" s="1"/>
  <c r="BV5" i="71"/>
  <c r="QB484" i="2"/>
  <c r="OZ484" i="2"/>
  <c r="BB6" i="40" s="1"/>
  <c r="BB8" i="40"/>
  <c r="MJ484" i="2"/>
  <c r="AT6" i="50" s="1"/>
  <c r="AT8" i="50"/>
  <c r="AT7" i="50" s="1"/>
  <c r="IR484" i="2"/>
  <c r="AH6" i="50" s="1"/>
  <c r="AH8" i="50"/>
  <c r="AH7" i="50" s="1"/>
  <c r="HP484" i="2"/>
  <c r="AD6" i="40" s="1"/>
  <c r="AD8" i="40"/>
  <c r="EZ484" i="2"/>
  <c r="V6" i="50" s="1"/>
  <c r="V8" i="50"/>
  <c r="V7" i="50" s="1"/>
  <c r="DX484" i="2"/>
  <c r="R6" i="40" s="1"/>
  <c r="R8" i="40"/>
  <c r="BH484" i="2"/>
  <c r="J6" i="50" s="1"/>
  <c r="J8" i="50"/>
  <c r="J7" i="50" s="1"/>
  <c r="AF484" i="2"/>
  <c r="CC27" i="55"/>
  <c r="CC18" i="55"/>
  <c r="QA484" i="2"/>
  <c r="OY484" i="2"/>
  <c r="BA6" i="40" s="1"/>
  <c r="BA8" i="40"/>
  <c r="MI484" i="2"/>
  <c r="AS6" i="50" s="1"/>
  <c r="AS8" i="50"/>
  <c r="AS7" i="50" s="1"/>
  <c r="IQ484" i="2"/>
  <c r="AG6" i="50" s="1"/>
  <c r="AG8" i="50"/>
  <c r="AG7" i="50" s="1"/>
  <c r="HO484" i="2"/>
  <c r="AC6" i="40" s="1"/>
  <c r="AC8" i="40"/>
  <c r="EY484" i="2"/>
  <c r="U6" i="50" s="1"/>
  <c r="U8" i="50"/>
  <c r="U7" i="50" s="1"/>
  <c r="DW484" i="2"/>
  <c r="Q6" i="40" s="1"/>
  <c r="Q8" i="40"/>
  <c r="BG484" i="2"/>
  <c r="I6" i="50" s="1"/>
  <c r="I8" i="50"/>
  <c r="I7" i="50" s="1"/>
  <c r="AE484" i="2"/>
  <c r="CB43" i="43"/>
  <c r="CB18" i="55"/>
  <c r="PL484" i="2"/>
  <c r="BD6" i="50" s="1"/>
  <c r="BD8" i="50"/>
  <c r="BD7" i="50" s="1"/>
  <c r="OJ484" i="2"/>
  <c r="AZ6" i="40" s="1"/>
  <c r="AZ8" i="40"/>
  <c r="LT484" i="2"/>
  <c r="AR6" i="50" s="1"/>
  <c r="AR8" i="50"/>
  <c r="AR7" i="50" s="1"/>
  <c r="KR484" i="2"/>
  <c r="AN6" i="40" s="1"/>
  <c r="AN8" i="40"/>
  <c r="IB484" i="2"/>
  <c r="AF6" i="50" s="1"/>
  <c r="AF8" i="50"/>
  <c r="AF7" i="50" s="1"/>
  <c r="GZ484" i="2"/>
  <c r="AB6" i="40" s="1"/>
  <c r="AB8" i="40"/>
  <c r="EJ484" i="2"/>
  <c r="T6" i="50" s="1"/>
  <c r="T8" i="50"/>
  <c r="T7" i="50" s="1"/>
  <c r="DH484" i="2"/>
  <c r="P6" i="40" s="1"/>
  <c r="P8" i="40"/>
  <c r="AR484" i="2"/>
  <c r="H6" i="50" s="1"/>
  <c r="H8" i="50"/>
  <c r="H7" i="50" s="1"/>
  <c r="PK484" i="2"/>
  <c r="BC6" i="50" s="1"/>
  <c r="BC8" i="50"/>
  <c r="BC7" i="50" s="1"/>
  <c r="OI484" i="2"/>
  <c r="AY6" i="40" s="1"/>
  <c r="AY8" i="40"/>
  <c r="LS484" i="2"/>
  <c r="AQ6" i="50" s="1"/>
  <c r="AQ8" i="50"/>
  <c r="AQ7" i="50" s="1"/>
  <c r="KQ484" i="2"/>
  <c r="AM6" i="40" s="1"/>
  <c r="AM8" i="40"/>
  <c r="IA484" i="2"/>
  <c r="AE6" i="50" s="1"/>
  <c r="AE8" i="50"/>
  <c r="AE7" i="50" s="1"/>
  <c r="GY484" i="2"/>
  <c r="AA6" i="40" s="1"/>
  <c r="AA8" i="40"/>
  <c r="EI484" i="2"/>
  <c r="S6" i="50" s="1"/>
  <c r="S8" i="50"/>
  <c r="S7" i="50" s="1"/>
  <c r="DG484" i="2"/>
  <c r="O6" i="40" s="1"/>
  <c r="O8" i="40"/>
  <c r="AQ484" i="2"/>
  <c r="G6" i="50" s="1"/>
  <c r="G8" i="50"/>
  <c r="G7" i="50" s="1"/>
  <c r="BM7" i="71"/>
  <c r="XC519" i="2"/>
  <c r="XT519" i="2" s="1"/>
  <c r="BM6" i="71"/>
  <c r="CB6" i="71" s="1"/>
  <c r="CC42" i="70"/>
  <c r="BX5" i="71"/>
  <c r="CB44" i="43"/>
  <c r="CB38" i="70"/>
  <c r="XB516" i="2"/>
  <c r="XO516" i="2" s="1"/>
  <c r="XC514" i="2"/>
  <c r="XT514" i="2" s="1"/>
  <c r="CC39" i="70"/>
  <c r="CC11" i="55"/>
  <c r="CC36" i="70"/>
  <c r="CC40" i="70"/>
  <c r="XF155" i="2"/>
  <c r="XB515" i="2"/>
  <c r="XO515" i="2" s="1"/>
  <c r="CC43" i="43"/>
  <c r="XB514" i="2"/>
  <c r="XO514" i="2" s="1"/>
  <c r="XB517" i="2"/>
  <c r="XO517" i="2" s="1"/>
  <c r="XC512" i="2"/>
  <c r="XT512" i="2" s="1"/>
  <c r="CC44" i="43"/>
  <c r="XB519" i="2"/>
  <c r="XO519" i="2" s="1"/>
  <c r="XE155" i="2"/>
  <c r="CB37" i="70"/>
  <c r="XC518" i="2"/>
  <c r="XT518" i="2" s="1"/>
  <c r="XB518" i="2"/>
  <c r="XO518" i="2" s="1"/>
  <c r="XC515" i="2"/>
  <c r="XT515" i="2" s="1"/>
  <c r="XC520" i="2"/>
  <c r="XT520" i="2" s="1"/>
  <c r="XB520" i="2"/>
  <c r="XO520" i="2" s="1"/>
  <c r="XB521" i="2"/>
  <c r="XO521" i="2" s="1"/>
  <c r="XF117" i="2"/>
  <c r="XC513" i="2"/>
  <c r="XT513" i="2" s="1"/>
  <c r="CC35" i="70"/>
  <c r="XB513" i="2"/>
  <c r="XO513" i="2" s="1"/>
  <c r="XC516" i="2"/>
  <c r="XT516" i="2" s="1"/>
  <c r="XC517" i="2"/>
  <c r="XT517" i="2" s="1"/>
  <c r="XC521" i="2"/>
  <c r="XT521" i="2" s="1"/>
  <c r="BA5" i="71"/>
  <c r="CB12" i="55"/>
  <c r="BQ5" i="71"/>
  <c r="AC5" i="71"/>
  <c r="CC20" i="70"/>
  <c r="CB22" i="70"/>
  <c r="CB20" i="43"/>
  <c r="CC18" i="43"/>
  <c r="CB19" i="43"/>
  <c r="CC12" i="55"/>
  <c r="CC14" i="55"/>
  <c r="CB13" i="70"/>
  <c r="CB41" i="70"/>
  <c r="Y5" i="71"/>
  <c r="CB10" i="55"/>
  <c r="AP7" i="55"/>
  <c r="CB24" i="70"/>
  <c r="CB12" i="43"/>
  <c r="CC11" i="43"/>
  <c r="BW5" i="71"/>
  <c r="N5" i="71"/>
  <c r="CC34" i="43"/>
  <c r="BT5" i="71"/>
  <c r="CC36" i="58"/>
  <c r="CC30" i="70"/>
  <c r="C7" i="70"/>
  <c r="CB34" i="43"/>
  <c r="AH7" i="55"/>
  <c r="BO5" i="71"/>
  <c r="CB18" i="43"/>
  <c r="J5" i="71"/>
  <c r="CC25" i="70"/>
  <c r="G5" i="71"/>
  <c r="BE5" i="71"/>
  <c r="CC9" i="55"/>
  <c r="P5" i="71"/>
  <c r="CB25" i="55"/>
  <c r="CB36" i="58"/>
  <c r="CB44" i="70"/>
  <c r="CB23" i="43"/>
  <c r="CC17" i="55"/>
  <c r="R7" i="55"/>
  <c r="CB38" i="58"/>
  <c r="CB37" i="58"/>
  <c r="CB39" i="58"/>
  <c r="CC21" i="70"/>
  <c r="BU5" i="71"/>
  <c r="CB42" i="70"/>
  <c r="CB38" i="55"/>
  <c r="BQ12" i="58"/>
  <c r="CC41" i="58"/>
  <c r="AE5" i="71"/>
  <c r="CB36" i="55"/>
  <c r="BF7" i="55"/>
  <c r="BR27" i="58"/>
  <c r="BR25" i="58"/>
  <c r="BO34" i="58"/>
  <c r="BO32" i="58"/>
  <c r="CC32" i="70"/>
  <c r="CC23" i="70"/>
  <c r="BY5" i="71"/>
  <c r="CC16" i="43"/>
  <c r="CC40" i="58"/>
  <c r="CC35" i="58"/>
  <c r="U5" i="71"/>
  <c r="CB16" i="55"/>
  <c r="BR26" i="58"/>
  <c r="BQ17" i="58"/>
  <c r="BQ15" i="58"/>
  <c r="O5" i="71"/>
  <c r="CB35" i="58"/>
  <c r="BS5" i="71"/>
  <c r="BQ16" i="58"/>
  <c r="CB10" i="43"/>
  <c r="CB40" i="58"/>
  <c r="CC9" i="70"/>
  <c r="BQ18" i="58"/>
  <c r="BQ10" i="58"/>
  <c r="GH484" i="2"/>
  <c r="Z6" i="55" s="1"/>
  <c r="Z8" i="55"/>
  <c r="Z7" i="55" s="1"/>
  <c r="CC11" i="70"/>
  <c r="L5" i="71"/>
  <c r="AI7" i="55"/>
  <c r="BR29" i="58"/>
  <c r="BO31" i="58"/>
  <c r="BQ11" i="58"/>
  <c r="BQ9" i="58"/>
  <c r="GG484" i="2"/>
  <c r="Y6" i="55" s="1"/>
  <c r="Y8" i="55"/>
  <c r="Y7" i="55" s="1"/>
  <c r="CB25" i="70"/>
  <c r="CB23" i="70"/>
  <c r="M5" i="71"/>
  <c r="CB41" i="58"/>
  <c r="AY5" i="71"/>
  <c r="CC10" i="43"/>
  <c r="CB41" i="43"/>
  <c r="CA6" i="71"/>
  <c r="B6" i="71"/>
  <c r="BZ8" i="70"/>
  <c r="WB484" i="2"/>
  <c r="BZ6" i="70" s="1"/>
  <c r="BX8" i="70"/>
  <c r="VL484" i="2"/>
  <c r="BX6" i="70" s="1"/>
  <c r="BV8" i="70"/>
  <c r="UV484" i="2"/>
  <c r="BV6" i="70" s="1"/>
  <c r="BT8" i="70"/>
  <c r="UF484" i="2"/>
  <c r="BT6" i="70" s="1"/>
  <c r="BR8" i="70"/>
  <c r="TP484" i="2"/>
  <c r="BR6" i="70" s="1"/>
  <c r="BP8" i="70"/>
  <c r="SZ484" i="2"/>
  <c r="BP6" i="70" s="1"/>
  <c r="BN8" i="70"/>
  <c r="SJ484" i="2"/>
  <c r="BN6" i="70" s="1"/>
  <c r="BL8" i="70"/>
  <c r="RT484" i="2"/>
  <c r="BL6" i="70" s="1"/>
  <c r="RD484" i="2"/>
  <c r="BJ6" i="70" s="1"/>
  <c r="BJ8" i="70"/>
  <c r="BH8" i="46"/>
  <c r="BB8" i="58"/>
  <c r="ON484" i="2"/>
  <c r="PB485" i="2"/>
  <c r="NZ484" i="2"/>
  <c r="AZ6" i="43" s="1"/>
  <c r="AZ8" i="43"/>
  <c r="AX8" i="70"/>
  <c r="NL484" i="2"/>
  <c r="AX6" i="70" s="1"/>
  <c r="AV8" i="46"/>
  <c r="AP8" i="58"/>
  <c r="KV484" i="2"/>
  <c r="LJ485" i="2"/>
  <c r="AN8" i="43"/>
  <c r="KH484" i="2"/>
  <c r="AN6" i="43" s="1"/>
  <c r="JT484" i="2"/>
  <c r="AL6" i="70" s="1"/>
  <c r="AL8" i="70"/>
  <c r="AJ8" i="46"/>
  <c r="AD8" i="58"/>
  <c r="HD484" i="2"/>
  <c r="HR485" i="2"/>
  <c r="AB8" i="43"/>
  <c r="GP484" i="2"/>
  <c r="AB6" i="43" s="1"/>
  <c r="Z8" i="70"/>
  <c r="GB484" i="2"/>
  <c r="Z6" i="70" s="1"/>
  <c r="X8" i="46"/>
  <c r="R8" i="58"/>
  <c r="DL484" i="2"/>
  <c r="DZ485" i="2"/>
  <c r="CX484" i="2"/>
  <c r="P6" i="43" s="1"/>
  <c r="P8" i="43"/>
  <c r="N8" i="70"/>
  <c r="CJ484" i="2"/>
  <c r="N6" i="70" s="1"/>
  <c r="L8" i="46"/>
  <c r="H8" i="55"/>
  <c r="AT484" i="2"/>
  <c r="H6" i="55" s="1"/>
  <c r="F8" i="58"/>
  <c r="AH485" i="2"/>
  <c r="T484" i="2"/>
  <c r="CB43" i="70"/>
  <c r="BN20" i="50"/>
  <c r="E6" i="44"/>
  <c r="H58" i="45" s="1"/>
  <c r="BY8" i="70"/>
  <c r="WA484" i="2"/>
  <c r="BY6" i="70" s="1"/>
  <c r="VK484" i="2"/>
  <c r="BW6" i="70" s="1"/>
  <c r="BW8" i="70"/>
  <c r="BU8" i="70"/>
  <c r="UU484" i="2"/>
  <c r="BU6" i="70" s="1"/>
  <c r="BS8" i="70"/>
  <c r="UE484" i="2"/>
  <c r="BS6" i="70" s="1"/>
  <c r="BQ8" i="70"/>
  <c r="TO484" i="2"/>
  <c r="BQ6" i="70" s="1"/>
  <c r="BO8" i="70"/>
  <c r="SY484" i="2"/>
  <c r="BO6" i="70" s="1"/>
  <c r="BM8" i="70"/>
  <c r="SI484" i="2"/>
  <c r="BM6" i="70" s="1"/>
  <c r="BK8" i="70"/>
  <c r="RS484" i="2"/>
  <c r="BK6" i="70" s="1"/>
  <c r="BI8" i="70"/>
  <c r="RC484" i="2"/>
  <c r="BI6" i="70" s="1"/>
  <c r="BG8" i="46"/>
  <c r="QO484" i="2"/>
  <c r="BG6" i="46" s="1"/>
  <c r="BA8" i="58"/>
  <c r="PA485" i="2"/>
  <c r="PA484" i="2" s="1"/>
  <c r="OM484" i="2"/>
  <c r="AY8" i="43"/>
  <c r="NY484" i="2"/>
  <c r="AY6" i="43" s="1"/>
  <c r="AW8" i="70"/>
  <c r="NK484" i="2"/>
  <c r="AW6" i="70" s="1"/>
  <c r="AU8" i="46"/>
  <c r="MW484" i="2"/>
  <c r="AU6" i="46" s="1"/>
  <c r="LI485" i="2"/>
  <c r="LI484" i="2" s="1"/>
  <c r="AO8" i="58"/>
  <c r="KU484" i="2"/>
  <c r="AM8" i="43"/>
  <c r="KG484" i="2"/>
  <c r="AM6" i="43" s="1"/>
  <c r="AK8" i="70"/>
  <c r="JS484" i="2"/>
  <c r="AK6" i="70" s="1"/>
  <c r="AI8" i="46"/>
  <c r="JE484" i="2"/>
  <c r="AI6" i="46" s="1"/>
  <c r="AC8" i="58"/>
  <c r="HC484" i="2"/>
  <c r="HQ485" i="2"/>
  <c r="HQ484" i="2" s="1"/>
  <c r="AA8" i="43"/>
  <c r="GO484" i="2"/>
  <c r="AA6" i="43" s="1"/>
  <c r="Y8" i="70"/>
  <c r="GA484" i="2"/>
  <c r="Y6" i="70" s="1"/>
  <c r="W8" i="46"/>
  <c r="FM484" i="2"/>
  <c r="W6" i="46" s="1"/>
  <c r="Q8" i="58"/>
  <c r="DK484" i="2"/>
  <c r="DY485" i="2"/>
  <c r="DY484" i="2" s="1"/>
  <c r="M8" i="70"/>
  <c r="K8" i="46"/>
  <c r="BU484" i="2"/>
  <c r="K6" i="46" s="1"/>
  <c r="G8" i="55"/>
  <c r="AS484" i="2"/>
  <c r="G6" i="55" s="1"/>
  <c r="AG485" i="2"/>
  <c r="AG484" i="2" s="1"/>
  <c r="E8" i="58"/>
  <c r="S484" i="2"/>
  <c r="CB43" i="58"/>
  <c r="K5" i="71"/>
  <c r="BR18" i="58"/>
  <c r="BR11" i="58"/>
  <c r="BC8" i="43"/>
  <c r="PE484" i="2"/>
  <c r="BC6" i="43" s="1"/>
  <c r="AS8" i="58"/>
  <c r="MO484" i="2"/>
  <c r="MA484" i="2"/>
  <c r="BV8" i="46"/>
  <c r="UX484" i="2"/>
  <c r="BV6" i="46" s="1"/>
  <c r="BN8" i="46"/>
  <c r="SL484" i="2"/>
  <c r="BN6" i="46" s="1"/>
  <c r="BD8" i="58"/>
  <c r="PR485" i="2"/>
  <c r="PD484" i="2"/>
  <c r="P8" i="70"/>
  <c r="CZ484" i="2"/>
  <c r="P6" i="70" s="1"/>
  <c r="F8" i="43"/>
  <c r="E7" i="44" s="1"/>
  <c r="H59" i="45" s="1"/>
  <c r="V484" i="2"/>
  <c r="F6" i="43" s="1"/>
  <c r="BU8" i="46"/>
  <c r="UW484" i="2"/>
  <c r="BU6" i="46" s="1"/>
  <c r="BM8" i="46"/>
  <c r="SK484" i="2"/>
  <c r="BM6" i="46" s="1"/>
  <c r="BK8" i="46"/>
  <c r="RU484" i="2"/>
  <c r="BK6" i="46" s="1"/>
  <c r="BI8" i="46"/>
  <c r="RE484" i="2"/>
  <c r="BI6" i="46" s="1"/>
  <c r="BC8" i="58"/>
  <c r="PC484" i="2"/>
  <c r="PQ485" i="2"/>
  <c r="PQ484" i="2" s="1"/>
  <c r="BX22" i="50"/>
  <c r="AB22" i="46"/>
  <c r="BZ8" i="43"/>
  <c r="VZ484" i="2"/>
  <c r="BZ6" i="43" s="1"/>
  <c r="BX8" i="43"/>
  <c r="VJ484" i="2"/>
  <c r="BX6" i="43" s="1"/>
  <c r="BV8" i="43"/>
  <c r="UT484" i="2"/>
  <c r="BV6" i="43" s="1"/>
  <c r="BT8" i="43"/>
  <c r="UD484" i="2"/>
  <c r="BT6" i="43" s="1"/>
  <c r="BR8" i="43"/>
  <c r="TN484" i="2"/>
  <c r="BR6" i="43" s="1"/>
  <c r="BP8" i="43"/>
  <c r="SX484" i="2"/>
  <c r="BP6" i="43" s="1"/>
  <c r="SH484" i="2"/>
  <c r="BN6" i="43" s="1"/>
  <c r="BN8" i="43"/>
  <c r="RR484" i="2"/>
  <c r="BL6" i="43" s="1"/>
  <c r="BL8" i="43"/>
  <c r="BJ8" i="43"/>
  <c r="RB484" i="2"/>
  <c r="BJ6" i="43" s="1"/>
  <c r="BH8" i="70"/>
  <c r="E34" i="71" s="1"/>
  <c r="QN484" i="2"/>
  <c r="BH6" i="70" s="1"/>
  <c r="BF8" i="46"/>
  <c r="AZ8" i="58"/>
  <c r="NX484" i="2"/>
  <c r="OL485" i="2"/>
  <c r="AX8" i="43"/>
  <c r="NJ484" i="2"/>
  <c r="AX6" i="43" s="1"/>
  <c r="AV8" i="70"/>
  <c r="MV484" i="2"/>
  <c r="AV6" i="70" s="1"/>
  <c r="AT8" i="46"/>
  <c r="AN8" i="58"/>
  <c r="KT485" i="2"/>
  <c r="KF484" i="2"/>
  <c r="AL8" i="43"/>
  <c r="JR484" i="2"/>
  <c r="AL6" i="43" s="1"/>
  <c r="AJ8" i="70"/>
  <c r="JD484" i="2"/>
  <c r="AJ6" i="70" s="1"/>
  <c r="AH8" i="46"/>
  <c r="GN484" i="2"/>
  <c r="AB8" i="58"/>
  <c r="Z8" i="43"/>
  <c r="FZ484" i="2"/>
  <c r="Z6" i="43" s="1"/>
  <c r="X8" i="70"/>
  <c r="FL484" i="2"/>
  <c r="X6" i="70" s="1"/>
  <c r="V8" i="46"/>
  <c r="P8" i="58"/>
  <c r="DJ485" i="2"/>
  <c r="CV484" i="2"/>
  <c r="N8" i="43"/>
  <c r="CH484" i="2"/>
  <c r="N6" i="43" s="1"/>
  <c r="L8" i="70"/>
  <c r="BT484" i="2"/>
  <c r="L6" i="70" s="1"/>
  <c r="J8" i="46"/>
  <c r="F8" i="55"/>
  <c r="AD484" i="2"/>
  <c r="F6" i="55" s="1"/>
  <c r="CB30" i="70"/>
  <c r="CC44" i="58"/>
  <c r="CB42" i="58"/>
  <c r="BR20" i="50"/>
  <c r="BP32" i="58"/>
  <c r="BR17" i="58"/>
  <c r="AY8" i="46"/>
  <c r="OC484" i="2"/>
  <c r="AY6" i="46" s="1"/>
  <c r="AO8" i="70"/>
  <c r="KY484" i="2"/>
  <c r="AO6" i="70" s="1"/>
  <c r="AE8" i="43"/>
  <c r="HU484" i="2"/>
  <c r="AE6" i="43" s="1"/>
  <c r="AL8" i="46"/>
  <c r="HF484" i="2"/>
  <c r="AD6" i="43" s="1"/>
  <c r="AD8" i="43"/>
  <c r="T8" i="58"/>
  <c r="EB484" i="2"/>
  <c r="EP485" i="2"/>
  <c r="H8" i="58"/>
  <c r="AJ484" i="2"/>
  <c r="AX485" i="2"/>
  <c r="BZ20" i="50"/>
  <c r="D8" i="58"/>
  <c r="R485" i="2"/>
  <c r="BY8" i="43"/>
  <c r="VY484" i="2"/>
  <c r="BY6" i="43" s="1"/>
  <c r="BW8" i="43"/>
  <c r="VI484" i="2"/>
  <c r="BW6" i="43" s="1"/>
  <c r="BU8" i="43"/>
  <c r="US484" i="2"/>
  <c r="BU6" i="43" s="1"/>
  <c r="BS8" i="43"/>
  <c r="UC484" i="2"/>
  <c r="BS6" i="43" s="1"/>
  <c r="BQ8" i="43"/>
  <c r="TM484" i="2"/>
  <c r="BQ6" i="43" s="1"/>
  <c r="BO8" i="43"/>
  <c r="SW484" i="2"/>
  <c r="BO6" i="43" s="1"/>
  <c r="SG484" i="2"/>
  <c r="BM6" i="43" s="1"/>
  <c r="BM8" i="43"/>
  <c r="BK8" i="43"/>
  <c r="RQ484" i="2"/>
  <c r="BK6" i="43" s="1"/>
  <c r="BI8" i="43"/>
  <c r="RA484" i="2"/>
  <c r="BI6" i="43" s="1"/>
  <c r="BG8" i="70"/>
  <c r="QM484" i="2"/>
  <c r="BG6" i="70" s="1"/>
  <c r="BE8" i="46"/>
  <c r="PY484" i="2"/>
  <c r="BE6" i="46" s="1"/>
  <c r="NW484" i="2"/>
  <c r="AY8" i="58"/>
  <c r="OK485" i="2"/>
  <c r="OK484" i="2" s="1"/>
  <c r="AU8" i="70"/>
  <c r="MU484" i="2"/>
  <c r="AU6" i="70" s="1"/>
  <c r="AS8" i="46"/>
  <c r="MG484" i="2"/>
  <c r="AS6" i="46" s="1"/>
  <c r="AM8" i="58"/>
  <c r="KE484" i="2"/>
  <c r="KS485" i="2"/>
  <c r="KS484" i="2" s="1"/>
  <c r="AK8" i="43"/>
  <c r="JQ484" i="2"/>
  <c r="AK6" i="43" s="1"/>
  <c r="AI8" i="70"/>
  <c r="JC484" i="2"/>
  <c r="AI6" i="70" s="1"/>
  <c r="AG8" i="46"/>
  <c r="IO484" i="2"/>
  <c r="AG6" i="46" s="1"/>
  <c r="GM484" i="2"/>
  <c r="HA484" i="2"/>
  <c r="AA8" i="58"/>
  <c r="Y8" i="43"/>
  <c r="FY484" i="2"/>
  <c r="Y6" i="43" s="1"/>
  <c r="W8" i="70"/>
  <c r="FK484" i="2"/>
  <c r="W6" i="70" s="1"/>
  <c r="U8" i="46"/>
  <c r="EW484" i="2"/>
  <c r="U6" i="46" s="1"/>
  <c r="CU484" i="2"/>
  <c r="DI485" i="2"/>
  <c r="DI484" i="2" s="1"/>
  <c r="O8" i="58"/>
  <c r="M8" i="43"/>
  <c r="CG484" i="2"/>
  <c r="M6" i="43" s="1"/>
  <c r="K8" i="70"/>
  <c r="BS484" i="2"/>
  <c r="K6" i="70" s="1"/>
  <c r="I8" i="46"/>
  <c r="BE484" i="2"/>
  <c r="I6" i="46" s="1"/>
  <c r="E8" i="55"/>
  <c r="AC484" i="2"/>
  <c r="CC18" i="70"/>
  <c r="CC31" i="70"/>
  <c r="CB44" i="58"/>
  <c r="CB17" i="43"/>
  <c r="V6" i="44"/>
  <c r="CB6" i="44" s="1"/>
  <c r="CC37" i="58"/>
  <c r="BR15" i="58"/>
  <c r="BR12" i="58"/>
  <c r="BR9" i="58"/>
  <c r="AC8" i="70"/>
  <c r="HG484" i="2"/>
  <c r="AC6" i="70" s="1"/>
  <c r="Q8" i="70"/>
  <c r="DO484" i="2"/>
  <c r="Q6" i="70" s="1"/>
  <c r="BP8" i="46"/>
  <c r="TB484" i="2"/>
  <c r="BP6" i="46" s="1"/>
  <c r="AB8" i="70"/>
  <c r="GR484" i="2"/>
  <c r="AB6" i="70" s="1"/>
  <c r="R8" i="43"/>
  <c r="DN484" i="2"/>
  <c r="R6" i="43" s="1"/>
  <c r="CC43" i="58"/>
  <c r="BW8" i="46"/>
  <c r="VM484" i="2"/>
  <c r="BW6" i="46" s="1"/>
  <c r="BO8" i="46"/>
  <c r="TA484" i="2"/>
  <c r="BO6" i="46" s="1"/>
  <c r="AO8" i="43"/>
  <c r="KW484" i="2"/>
  <c r="AO6" i="43" s="1"/>
  <c r="AM8" i="70"/>
  <c r="KI484" i="2"/>
  <c r="AM6" i="70" s="1"/>
  <c r="AK8" i="46"/>
  <c r="AK7" i="46" s="1"/>
  <c r="JU484" i="2"/>
  <c r="AK6" i="46" s="1"/>
  <c r="BZ22" i="50"/>
  <c r="RN485" i="2"/>
  <c r="BJ8" i="58"/>
  <c r="QZ484" i="2"/>
  <c r="BH8" i="43"/>
  <c r="QL484" i="2"/>
  <c r="BH6" i="43" s="1"/>
  <c r="BF8" i="70"/>
  <c r="PX484" i="2"/>
  <c r="BF6" i="70" s="1"/>
  <c r="BD8" i="46"/>
  <c r="AX8" i="58"/>
  <c r="NV485" i="2"/>
  <c r="NH484" i="2"/>
  <c r="AV8" i="43"/>
  <c r="MT484" i="2"/>
  <c r="AV6" i="43" s="1"/>
  <c r="AT8" i="70"/>
  <c r="MF484" i="2"/>
  <c r="AT6" i="70" s="1"/>
  <c r="AR8" i="46"/>
  <c r="AL8" i="58"/>
  <c r="JP484" i="2"/>
  <c r="KD485" i="2"/>
  <c r="AJ8" i="43"/>
  <c r="JB484" i="2"/>
  <c r="AJ6" i="43" s="1"/>
  <c r="AH8" i="70"/>
  <c r="IN484" i="2"/>
  <c r="AH6" i="70" s="1"/>
  <c r="AF8" i="46"/>
  <c r="GL485" i="2"/>
  <c r="FX484" i="2"/>
  <c r="Z8" i="58"/>
  <c r="X8" i="43"/>
  <c r="FJ484" i="2"/>
  <c r="X6" i="43" s="1"/>
  <c r="V8" i="70"/>
  <c r="EV484" i="2"/>
  <c r="V6" i="70" s="1"/>
  <c r="T8" i="46"/>
  <c r="CT485" i="2"/>
  <c r="N8" i="58"/>
  <c r="CF484" i="2"/>
  <c r="L8" i="43"/>
  <c r="BR484" i="2"/>
  <c r="L6" i="43" s="1"/>
  <c r="J8" i="70"/>
  <c r="BD484" i="2"/>
  <c r="J6" i="70" s="1"/>
  <c r="H8" i="46"/>
  <c r="BP34" i="58"/>
  <c r="AA8" i="46"/>
  <c r="GS484" i="2"/>
  <c r="AA6" i="46" s="1"/>
  <c r="U8" i="58"/>
  <c r="EQ484" i="2"/>
  <c r="FE485" i="2"/>
  <c r="FE484" i="2" s="1"/>
  <c r="O8" i="46"/>
  <c r="DA484" i="2"/>
  <c r="O6" i="46" s="1"/>
  <c r="E8" i="70"/>
  <c r="W484" i="2"/>
  <c r="E6" i="70" s="1"/>
  <c r="BP22" i="50"/>
  <c r="BR8" i="46"/>
  <c r="TR484" i="2"/>
  <c r="BR6" i="46" s="1"/>
  <c r="BJ8" i="46"/>
  <c r="KJ484" i="2"/>
  <c r="AN6" i="70" s="1"/>
  <c r="AN8" i="70"/>
  <c r="BY8" i="46"/>
  <c r="WC484" i="2"/>
  <c r="BY6" i="46" s="1"/>
  <c r="BQ8" i="46"/>
  <c r="TQ484" i="2"/>
  <c r="BQ6" i="46" s="1"/>
  <c r="AY8" i="70"/>
  <c r="OA484" i="2"/>
  <c r="AY6" i="70" s="1"/>
  <c r="AW8" i="46"/>
  <c r="NM484" i="2"/>
  <c r="AW6" i="46" s="1"/>
  <c r="LK484" i="2"/>
  <c r="LY485" i="2"/>
  <c r="LY484" i="2" s="1"/>
  <c r="AQ8" i="58"/>
  <c r="HE484" i="2"/>
  <c r="AC6" i="43" s="1"/>
  <c r="AC8" i="43"/>
  <c r="AA8" i="70"/>
  <c r="GQ484" i="2"/>
  <c r="AA6" i="70" s="1"/>
  <c r="Y8" i="46"/>
  <c r="GC484" i="2"/>
  <c r="Y6" i="46" s="1"/>
  <c r="S8" i="58"/>
  <c r="EA484" i="2"/>
  <c r="EO485" i="2"/>
  <c r="EO484" i="2" s="1"/>
  <c r="AI484" i="2"/>
  <c r="G8" i="58"/>
  <c r="AW485" i="2"/>
  <c r="AW484" i="2" s="1"/>
  <c r="CC34" i="70"/>
  <c r="BN22" i="50"/>
  <c r="BX20" i="50"/>
  <c r="BV22" i="50"/>
  <c r="BV20" i="50"/>
  <c r="RM485" i="2"/>
  <c r="RM484" i="2" s="1"/>
  <c r="BI8" i="58"/>
  <c r="QY484" i="2"/>
  <c r="BG8" i="43"/>
  <c r="QK484" i="2"/>
  <c r="BG6" i="43" s="1"/>
  <c r="BE8" i="70"/>
  <c r="PW484" i="2"/>
  <c r="BE6" i="70" s="1"/>
  <c r="BC8" i="46"/>
  <c r="PI484" i="2"/>
  <c r="BC6" i="46" s="1"/>
  <c r="AW8" i="58"/>
  <c r="NG484" i="2"/>
  <c r="AU8" i="43"/>
  <c r="MS484" i="2"/>
  <c r="AU6" i="43" s="1"/>
  <c r="AS8" i="70"/>
  <c r="ME484" i="2"/>
  <c r="AS6" i="70" s="1"/>
  <c r="AQ8" i="46"/>
  <c r="LQ484" i="2"/>
  <c r="AQ6" i="46" s="1"/>
  <c r="AK8" i="58"/>
  <c r="JO484" i="2"/>
  <c r="KC485" i="2"/>
  <c r="KC484" i="2" s="1"/>
  <c r="AI8" i="43"/>
  <c r="JA484" i="2"/>
  <c r="AI6" i="43" s="1"/>
  <c r="AG8" i="70"/>
  <c r="IM484" i="2"/>
  <c r="AG6" i="70" s="1"/>
  <c r="AE8" i="46"/>
  <c r="HY484" i="2"/>
  <c r="AE6" i="46" s="1"/>
  <c r="GK485" i="2"/>
  <c r="GK484" i="2" s="1"/>
  <c r="FW484" i="2"/>
  <c r="Y8" i="58"/>
  <c r="W8" i="43"/>
  <c r="FI484" i="2"/>
  <c r="W6" i="43" s="1"/>
  <c r="U8" i="70"/>
  <c r="EU484" i="2"/>
  <c r="U6" i="70" s="1"/>
  <c r="S8" i="46"/>
  <c r="EG484" i="2"/>
  <c r="S6" i="46" s="1"/>
  <c r="CS485" i="2"/>
  <c r="M8" i="58"/>
  <c r="CE484" i="2"/>
  <c r="K8" i="43"/>
  <c r="BQ484" i="2"/>
  <c r="K6" i="43" s="1"/>
  <c r="I8" i="70"/>
  <c r="BC484" i="2"/>
  <c r="I6" i="70" s="1"/>
  <c r="G8" i="46"/>
  <c r="AO484" i="2"/>
  <c r="G6" i="46" s="1"/>
  <c r="CC13" i="70"/>
  <c r="Q5" i="71"/>
  <c r="BP33" i="58"/>
  <c r="BR14" i="58"/>
  <c r="BR10" i="58"/>
  <c r="AM8" i="46"/>
  <c r="KK484" i="2"/>
  <c r="AM6" i="46" s="1"/>
  <c r="AK484" i="2"/>
  <c r="G6" i="43" s="1"/>
  <c r="G8" i="43"/>
  <c r="BZ8" i="46"/>
  <c r="WD484" i="2"/>
  <c r="BZ6" i="46" s="1"/>
  <c r="AZ8" i="70"/>
  <c r="OB484" i="2"/>
  <c r="AZ6" i="70" s="1"/>
  <c r="KX484" i="2"/>
  <c r="AP6" i="43" s="1"/>
  <c r="AP8" i="43"/>
  <c r="N8" i="46"/>
  <c r="BT22" i="50"/>
  <c r="QX485" i="2"/>
  <c r="BH8" i="58"/>
  <c r="QJ484" i="2"/>
  <c r="BF8" i="43"/>
  <c r="PV484" i="2"/>
  <c r="BF6" i="43" s="1"/>
  <c r="BD8" i="70"/>
  <c r="PH484" i="2"/>
  <c r="BD6" i="70" s="1"/>
  <c r="BB8" i="46"/>
  <c r="NF485" i="2"/>
  <c r="MR484" i="2"/>
  <c r="AV8" i="58"/>
  <c r="AT8" i="43"/>
  <c r="MD484" i="2"/>
  <c r="AT6" i="43" s="1"/>
  <c r="AR8" i="70"/>
  <c r="LP484" i="2"/>
  <c r="AR6" i="70" s="1"/>
  <c r="AP8" i="46"/>
  <c r="AJ8" i="58"/>
  <c r="IZ484" i="2"/>
  <c r="JN485" i="2"/>
  <c r="AH8" i="43"/>
  <c r="IL484" i="2"/>
  <c r="AH6" i="43" s="1"/>
  <c r="AF8" i="70"/>
  <c r="HX484" i="2"/>
  <c r="AF6" i="70" s="1"/>
  <c r="AD8" i="46"/>
  <c r="FV485" i="2"/>
  <c r="X8" i="58"/>
  <c r="FH484" i="2"/>
  <c r="V8" i="43"/>
  <c r="ET484" i="2"/>
  <c r="V6" i="43" s="1"/>
  <c r="T8" i="70"/>
  <c r="EF484" i="2"/>
  <c r="T6" i="70" s="1"/>
  <c r="R8" i="46"/>
  <c r="CD485" i="2"/>
  <c r="L8" i="58"/>
  <c r="BP484" i="2"/>
  <c r="J8" i="43"/>
  <c r="BB484" i="2"/>
  <c r="J6" i="43" s="1"/>
  <c r="H8" i="70"/>
  <c r="AN484" i="2"/>
  <c r="H6" i="70" s="1"/>
  <c r="F8" i="46"/>
  <c r="CC15" i="70"/>
  <c r="D7" i="70"/>
  <c r="BR19" i="58"/>
  <c r="BR13" i="58"/>
  <c r="BA8" i="70"/>
  <c r="OQ484" i="2"/>
  <c r="BA6" i="70" s="1"/>
  <c r="AQ8" i="43"/>
  <c r="LM484" i="2"/>
  <c r="AQ6" i="43" s="1"/>
  <c r="AG8" i="58"/>
  <c r="IW485" i="2"/>
  <c r="IW484" i="2" s="1"/>
  <c r="II484" i="2"/>
  <c r="BT8" i="46"/>
  <c r="UH484" i="2"/>
  <c r="BT6" i="46" s="1"/>
  <c r="BL8" i="46"/>
  <c r="RV484" i="2"/>
  <c r="BL6" i="46" s="1"/>
  <c r="OP484" i="2"/>
  <c r="BB6" i="43" s="1"/>
  <c r="BB8" i="43"/>
  <c r="BT20" i="50"/>
  <c r="QW485" i="2"/>
  <c r="QW484" i="2" s="1"/>
  <c r="BG8" i="58"/>
  <c r="QI484" i="2"/>
  <c r="BE8" i="43"/>
  <c r="PU484" i="2"/>
  <c r="BE6" i="43" s="1"/>
  <c r="PG484" i="2"/>
  <c r="BC6" i="70" s="1"/>
  <c r="BC8" i="70"/>
  <c r="BA8" i="46"/>
  <c r="OS484" i="2"/>
  <c r="BA6" i="46" s="1"/>
  <c r="MQ484" i="2"/>
  <c r="NE485" i="2"/>
  <c r="NE484" i="2" s="1"/>
  <c r="AU8" i="58"/>
  <c r="AS8" i="43"/>
  <c r="MC484" i="2"/>
  <c r="AS6" i="43" s="1"/>
  <c r="AQ8" i="70"/>
  <c r="LO484" i="2"/>
  <c r="AQ6" i="70" s="1"/>
  <c r="AO8" i="46"/>
  <c r="LA484" i="2"/>
  <c r="AO6" i="46" s="1"/>
  <c r="IY484" i="2"/>
  <c r="AI8" i="58"/>
  <c r="JM485" i="2"/>
  <c r="JM484" i="2" s="1"/>
  <c r="AG8" i="43"/>
  <c r="IK484" i="2"/>
  <c r="AG6" i="43" s="1"/>
  <c r="AE8" i="70"/>
  <c r="HW484" i="2"/>
  <c r="AE6" i="70" s="1"/>
  <c r="AC8" i="46"/>
  <c r="HI484" i="2"/>
  <c r="AC6" i="46" s="1"/>
  <c r="FG484" i="2"/>
  <c r="FU485" i="2"/>
  <c r="FU484" i="2" s="1"/>
  <c r="W8" i="58"/>
  <c r="U8" i="43"/>
  <c r="ES484" i="2"/>
  <c r="U6" i="43" s="1"/>
  <c r="S8" i="70"/>
  <c r="EE484" i="2"/>
  <c r="S6" i="70" s="1"/>
  <c r="Q8" i="46"/>
  <c r="DQ484" i="2"/>
  <c r="Q6" i="46" s="1"/>
  <c r="BO484" i="2"/>
  <c r="CC485" i="2"/>
  <c r="CC484" i="2" s="1"/>
  <c r="K8" i="58"/>
  <c r="I8" i="43"/>
  <c r="BA484" i="2"/>
  <c r="I6" i="43" s="1"/>
  <c r="AM484" i="2"/>
  <c r="G6" i="70" s="1"/>
  <c r="G8" i="70"/>
  <c r="E8" i="46"/>
  <c r="Y484" i="2"/>
  <c r="E6" i="46" s="1"/>
  <c r="CB32" i="43"/>
  <c r="CC16" i="70"/>
  <c r="CC38" i="58"/>
  <c r="CC42" i="58"/>
  <c r="BP31" i="58"/>
  <c r="BR16" i="58"/>
  <c r="BE8" i="58"/>
  <c r="PS484" i="2"/>
  <c r="QG485" i="2"/>
  <c r="QG484" i="2" s="1"/>
  <c r="S8" i="43"/>
  <c r="EC484" i="2"/>
  <c r="S6" i="43" s="1"/>
  <c r="I8" i="58"/>
  <c r="AY484" i="2"/>
  <c r="BM485" i="2"/>
  <c r="BM484" i="2" s="1"/>
  <c r="BX8" i="46"/>
  <c r="VN484" i="2"/>
  <c r="BX6" i="46" s="1"/>
  <c r="AX8" i="46"/>
  <c r="AR8" i="58"/>
  <c r="LZ485" i="2"/>
  <c r="LL484" i="2"/>
  <c r="AF8" i="58"/>
  <c r="IH485" i="2"/>
  <c r="HT484" i="2"/>
  <c r="Z8" i="46"/>
  <c r="BP20" i="50"/>
  <c r="BS8" i="46"/>
  <c r="UG484" i="2"/>
  <c r="BS6" i="46" s="1"/>
  <c r="OO484" i="2"/>
  <c r="BA6" i="43" s="1"/>
  <c r="BA8" i="43"/>
  <c r="HS484" i="2"/>
  <c r="AE8" i="58"/>
  <c r="IG485" i="2"/>
  <c r="IG484" i="2" s="1"/>
  <c r="Q8" i="43"/>
  <c r="DM484" i="2"/>
  <c r="Q6" i="43" s="1"/>
  <c r="O8" i="70"/>
  <c r="CY484" i="2"/>
  <c r="O6" i="70" s="1"/>
  <c r="M8" i="46"/>
  <c r="CK484" i="2"/>
  <c r="M6" i="46" s="1"/>
  <c r="U484" i="2"/>
  <c r="E6" i="43" s="1"/>
  <c r="E8" i="43"/>
  <c r="AB20" i="46"/>
  <c r="BR22" i="50"/>
  <c r="BF8" i="58"/>
  <c r="QH485" i="2"/>
  <c r="PT484" i="2"/>
  <c r="BD8" i="43"/>
  <c r="PF484" i="2"/>
  <c r="BD6" i="43" s="1"/>
  <c r="BB8" i="70"/>
  <c r="OR484" i="2"/>
  <c r="BB6" i="70" s="1"/>
  <c r="AZ8" i="46"/>
  <c r="AT8" i="58"/>
  <c r="MB484" i="2"/>
  <c r="LN484" i="2"/>
  <c r="AR6" i="43" s="1"/>
  <c r="AR8" i="43"/>
  <c r="KZ484" i="2"/>
  <c r="AP6" i="70" s="1"/>
  <c r="AP8" i="70"/>
  <c r="AN8" i="46"/>
  <c r="AH8" i="58"/>
  <c r="IX485" i="2"/>
  <c r="IJ484" i="2"/>
  <c r="HV484" i="2"/>
  <c r="AF6" i="43" s="1"/>
  <c r="AF8" i="43"/>
  <c r="AD8" i="70"/>
  <c r="HH484" i="2"/>
  <c r="AD6" i="70" s="1"/>
  <c r="AB8" i="46"/>
  <c r="V8" i="58"/>
  <c r="FF485" i="2"/>
  <c r="ER484" i="2"/>
  <c r="T8" i="43"/>
  <c r="ED484" i="2"/>
  <c r="T6" i="43" s="1"/>
  <c r="R8" i="70"/>
  <c r="DP484" i="2"/>
  <c r="R6" i="70" s="1"/>
  <c r="P8" i="46"/>
  <c r="J8" i="58"/>
  <c r="BN485" i="2"/>
  <c r="AZ484" i="2"/>
  <c r="H8" i="43"/>
  <c r="AL484" i="2"/>
  <c r="H6" i="43" s="1"/>
  <c r="F8" i="70"/>
  <c r="X484" i="2"/>
  <c r="F6" i="70" s="1"/>
  <c r="CC28" i="70"/>
  <c r="CC39" i="58"/>
  <c r="I34" i="71"/>
  <c r="I5" i="71" s="1"/>
  <c r="B97" i="2"/>
  <c r="B108" i="2"/>
  <c r="B96" i="2"/>
  <c r="B106" i="2"/>
  <c r="B91" i="2"/>
  <c r="B101" i="2"/>
  <c r="B109" i="2"/>
  <c r="B107" i="2"/>
  <c r="B94" i="2"/>
  <c r="B105" i="2"/>
  <c r="B116" i="2"/>
  <c r="B92" i="2"/>
  <c r="B114" i="2"/>
  <c r="B102" i="2"/>
  <c r="B112" i="2"/>
  <c r="B100" i="2"/>
  <c r="B90" i="2"/>
  <c r="B95" i="2"/>
  <c r="B93" i="2"/>
  <c r="B104" i="2"/>
  <c r="B115" i="2"/>
  <c r="B103" i="2"/>
  <c r="B113" i="2"/>
  <c r="B111" i="2"/>
  <c r="B99" i="2"/>
  <c r="B110" i="2"/>
  <c r="B98" i="2"/>
  <c r="WW495" i="2"/>
  <c r="G64" i="7" s="1"/>
  <c r="WX494" i="2"/>
  <c r="WZ492" i="2"/>
  <c r="WP490" i="2"/>
  <c r="WQ489" i="2"/>
  <c r="WR488" i="2"/>
  <c r="E10" i="7" s="1"/>
  <c r="WS487" i="2"/>
  <c r="WT486" i="2"/>
  <c r="CJ37" i="65"/>
  <c r="CJ7" i="65" s="1"/>
  <c r="CK37" i="65"/>
  <c r="CK7" i="65" s="1"/>
  <c r="WV485" i="2"/>
  <c r="WX493" i="2"/>
  <c r="BT7" i="65"/>
  <c r="BU7" i="65"/>
  <c r="CM7" i="65"/>
  <c r="CL7" i="65"/>
  <c r="BD7" i="65"/>
  <c r="BE7" i="65"/>
  <c r="AN7" i="65"/>
  <c r="AO7" i="65"/>
  <c r="X7" i="65"/>
  <c r="Y7" i="65"/>
  <c r="I7" i="65"/>
  <c r="H7" i="65"/>
  <c r="WV496" i="2"/>
  <c r="WV503" i="2"/>
  <c r="WS511" i="2"/>
  <c r="WU509" i="2"/>
  <c r="F78" i="7" s="1"/>
  <c r="WT510" i="2"/>
  <c r="WW507" i="2"/>
  <c r="G76" i="7" s="1"/>
  <c r="WY505" i="2"/>
  <c r="H74" i="7" s="1"/>
  <c r="WP502" i="2"/>
  <c r="WR500" i="2"/>
  <c r="E22" i="7" s="1"/>
  <c r="WV494" i="2"/>
  <c r="WY491" i="2"/>
  <c r="H60" i="7" s="1"/>
  <c r="XA489" i="2"/>
  <c r="I58" i="7" s="1"/>
  <c r="WZ498" i="2"/>
  <c r="WR498" i="2"/>
  <c r="E20" i="7" s="1"/>
  <c r="WW492" i="2"/>
  <c r="G61" i="7" s="1"/>
  <c r="WY490" i="2"/>
  <c r="H59" i="7" s="1"/>
  <c r="XA488" i="2"/>
  <c r="I57" i="7" s="1"/>
  <c r="WY503" i="2"/>
  <c r="H72" i="7" s="1"/>
  <c r="WP511" i="2"/>
  <c r="WR492" i="2"/>
  <c r="E14" i="7" s="1"/>
  <c r="WT490" i="2"/>
  <c r="WU489" i="2"/>
  <c r="F58" i="7" s="1"/>
  <c r="WX486" i="2"/>
  <c r="WY485" i="2"/>
  <c r="H54" i="7" s="1"/>
  <c r="WS493" i="2"/>
  <c r="WT492" i="2"/>
  <c r="WW489" i="2"/>
  <c r="G58" i="7" s="1"/>
  <c r="WX485" i="2"/>
  <c r="WX506" i="2"/>
  <c r="XA503" i="2"/>
  <c r="I72" i="7" s="1"/>
  <c r="WQ501" i="2"/>
  <c r="WU495" i="2"/>
  <c r="F64" i="7" s="1"/>
  <c r="WW493" i="2"/>
  <c r="G62" i="7" s="1"/>
  <c r="WX492" i="2"/>
  <c r="WZ490" i="2"/>
  <c r="WQ499" i="2"/>
  <c r="WR485" i="2"/>
  <c r="E7" i="7" s="1"/>
  <c r="WU508" i="2"/>
  <c r="F77" i="7" s="1"/>
  <c r="WR510" i="2"/>
  <c r="E32" i="7" s="1"/>
  <c r="XA501" i="2"/>
  <c r="I70" i="7" s="1"/>
  <c r="WY495" i="2"/>
  <c r="H64" i="7" s="1"/>
  <c r="WP492" i="2"/>
  <c r="WV486" i="2"/>
  <c r="WV508" i="2"/>
  <c r="WZ504" i="2"/>
  <c r="WS497" i="2"/>
  <c r="WT496" i="2"/>
  <c r="I484" i="2"/>
  <c r="C6" i="46" s="1"/>
  <c r="WP488" i="2"/>
  <c r="WQ487" i="2"/>
  <c r="WR486" i="2"/>
  <c r="E8" i="7" s="1"/>
  <c r="G484" i="2"/>
  <c r="C6" i="70" s="1"/>
  <c r="WS485" i="2"/>
  <c r="H484" i="2"/>
  <c r="D6" i="70" s="1"/>
  <c r="WS510" i="2"/>
  <c r="WQ511" i="2"/>
  <c r="WS509" i="2"/>
  <c r="WT508" i="2"/>
  <c r="WU507" i="2"/>
  <c r="F76" i="7" s="1"/>
  <c r="WV506" i="2"/>
  <c r="WW505" i="2"/>
  <c r="G74" i="7" s="1"/>
  <c r="WX504" i="2"/>
  <c r="WZ502" i="2"/>
  <c r="WP500" i="2"/>
  <c r="WQ510" i="2"/>
  <c r="WR509" i="2"/>
  <c r="E31" i="7" s="1"/>
  <c r="WW501" i="2"/>
  <c r="G70" i="7" s="1"/>
  <c r="WP510" i="2"/>
  <c r="WV495" i="2"/>
  <c r="WQ494" i="2"/>
  <c r="WZ487" i="2"/>
  <c r="WS502" i="2"/>
  <c r="L484" i="2"/>
  <c r="D6" i="50" s="1"/>
  <c r="WZ506" i="2"/>
  <c r="WW503" i="2"/>
  <c r="G72" i="7" s="1"/>
  <c r="WQ500" i="2"/>
  <c r="WW509" i="2"/>
  <c r="G78" i="7" s="1"/>
  <c r="K484" i="2"/>
  <c r="C6" i="50" s="1"/>
  <c r="WQ506" i="2"/>
  <c r="WX505" i="2"/>
  <c r="PN10" i="2"/>
  <c r="BO33" i="39" s="1"/>
  <c r="NW10" i="2"/>
  <c r="K31" i="39" s="1"/>
  <c r="JH10" i="2"/>
  <c r="BD23" i="39" s="1"/>
  <c r="Z90" i="52" s="1"/>
  <c r="WY506" i="2"/>
  <c r="H75" i="7" s="1"/>
  <c r="WQ502" i="2"/>
  <c r="WS499" i="2"/>
  <c r="XK498" i="2"/>
  <c r="WY493" i="2"/>
  <c r="H62" i="7" s="1"/>
  <c r="XA491" i="2"/>
  <c r="I60" i="7" s="1"/>
  <c r="WU485" i="2"/>
  <c r="F54" i="7" s="1"/>
  <c r="WY498" i="2"/>
  <c r="H67" i="7" s="1"/>
  <c r="XA498" i="2"/>
  <c r="I67" i="7" s="1"/>
  <c r="WU502" i="2"/>
  <c r="F71" i="7" s="1"/>
  <c r="WS508" i="2"/>
  <c r="WT507" i="2"/>
  <c r="WU506" i="2"/>
  <c r="F75" i="7" s="1"/>
  <c r="WV505" i="2"/>
  <c r="WW504" i="2"/>
  <c r="G73" i="7" s="1"/>
  <c r="WX503" i="2"/>
  <c r="WY502" i="2"/>
  <c r="H71" i="7" s="1"/>
  <c r="WZ501" i="2"/>
  <c r="XA500" i="2"/>
  <c r="I69" i="7" s="1"/>
  <c r="WP499" i="2"/>
  <c r="WQ498" i="2"/>
  <c r="WR497" i="2"/>
  <c r="E19" i="7" s="1"/>
  <c r="WS496" i="2"/>
  <c r="WT495" i="2"/>
  <c r="WU494" i="2"/>
  <c r="F63" i="7" s="1"/>
  <c r="WV493" i="2"/>
  <c r="WX491" i="2"/>
  <c r="WZ489" i="2"/>
  <c r="WP487" i="2"/>
  <c r="WQ486" i="2"/>
  <c r="WY504" i="2"/>
  <c r="H73" i="7" s="1"/>
  <c r="WR508" i="2"/>
  <c r="E30" i="7" s="1"/>
  <c r="XA487" i="2"/>
  <c r="I56" i="7" s="1"/>
  <c r="WQ485" i="2"/>
  <c r="WY511" i="2"/>
  <c r="H80" i="7" s="1"/>
  <c r="WZ510" i="2"/>
  <c r="WU492" i="2"/>
  <c r="F61" i="7" s="1"/>
  <c r="WX511" i="2"/>
  <c r="WW500" i="2"/>
  <c r="G69" i="7" s="1"/>
  <c r="WR493" i="2"/>
  <c r="E15" i="7" s="1"/>
  <c r="WW488" i="2"/>
  <c r="G57" i="7" s="1"/>
  <c r="O484" i="2"/>
  <c r="C6" i="40" s="1"/>
  <c r="WU496" i="2"/>
  <c r="F65" i="7" s="1"/>
  <c r="WW485" i="2"/>
  <c r="G54" i="7" s="1"/>
  <c r="WW511" i="2"/>
  <c r="G80" i="7" s="1"/>
  <c r="WX510" i="2"/>
  <c r="WY509" i="2"/>
  <c r="H78" i="7" s="1"/>
  <c r="WZ508" i="2"/>
  <c r="XA507" i="2"/>
  <c r="I76" i="7" s="1"/>
  <c r="WP506" i="2"/>
  <c r="WQ505" i="2"/>
  <c r="WR504" i="2"/>
  <c r="E26" i="7" s="1"/>
  <c r="WS503" i="2"/>
  <c r="WT502" i="2"/>
  <c r="WU501" i="2"/>
  <c r="F70" i="7" s="1"/>
  <c r="WV500" i="2"/>
  <c r="WX498" i="2"/>
  <c r="WY497" i="2"/>
  <c r="H66" i="7" s="1"/>
  <c r="WZ496" i="2"/>
  <c r="XA495" i="2"/>
  <c r="I64" i="7" s="1"/>
  <c r="WP494" i="2"/>
  <c r="WQ493" i="2"/>
  <c r="WS491" i="2"/>
  <c r="WV488" i="2"/>
  <c r="WW487" i="2"/>
  <c r="G56" i="7" s="1"/>
  <c r="N484" i="2"/>
  <c r="D6" i="55" s="1"/>
  <c r="WR511" i="2"/>
  <c r="E33" i="7" s="1"/>
  <c r="WV511" i="2"/>
  <c r="WW510" i="2"/>
  <c r="G79" i="7" s="1"/>
  <c r="WX509" i="2"/>
  <c r="WY508" i="2"/>
  <c r="H77" i="7" s="1"/>
  <c r="WZ507" i="2"/>
  <c r="XA506" i="2"/>
  <c r="I75" i="7" s="1"/>
  <c r="WP505" i="2"/>
  <c r="WQ504" i="2"/>
  <c r="WR503" i="2"/>
  <c r="E25" i="7" s="1"/>
  <c r="WT501" i="2"/>
  <c r="WV499" i="2"/>
  <c r="G21" i="7" s="1"/>
  <c r="WW498" i="2"/>
  <c r="G67" i="7" s="1"/>
  <c r="WX497" i="2"/>
  <c r="WY496" i="2"/>
  <c r="H65" i="7" s="1"/>
  <c r="WZ495" i="2"/>
  <c r="XA494" i="2"/>
  <c r="I63" i="7" s="1"/>
  <c r="WP493" i="2"/>
  <c r="WQ492" i="2"/>
  <c r="WR491" i="2"/>
  <c r="E13" i="7" s="1"/>
  <c r="WS490" i="2"/>
  <c r="WT489" i="2"/>
  <c r="WU488" i="2"/>
  <c r="F57" i="7" s="1"/>
  <c r="WV487" i="2"/>
  <c r="WW486" i="2"/>
  <c r="G55" i="7" s="1"/>
  <c r="M484" i="2"/>
  <c r="C6" i="55" s="1"/>
  <c r="WX501" i="2"/>
  <c r="WU511" i="2"/>
  <c r="F80" i="7" s="1"/>
  <c r="WV510" i="2"/>
  <c r="WX508" i="2"/>
  <c r="WY507" i="2"/>
  <c r="H76" i="7" s="1"/>
  <c r="XA505" i="2"/>
  <c r="I74" i="7" s="1"/>
  <c r="WP504" i="2"/>
  <c r="WQ503" i="2"/>
  <c r="WR502" i="2"/>
  <c r="E24" i="7" s="1"/>
  <c r="WS501" i="2"/>
  <c r="XK500" i="2"/>
  <c r="WV498" i="2"/>
  <c r="WX496" i="2"/>
  <c r="WZ494" i="2"/>
  <c r="XA493" i="2"/>
  <c r="I62" i="7" s="1"/>
  <c r="WQ491" i="2"/>
  <c r="WR490" i="2"/>
  <c r="E12" i="7" s="1"/>
  <c r="WS489" i="2"/>
  <c r="WT488" i="2"/>
  <c r="WU487" i="2"/>
  <c r="F56" i="7" s="1"/>
  <c r="WT511" i="2"/>
  <c r="WU510" i="2"/>
  <c r="F79" i="7" s="1"/>
  <c r="WV509" i="2"/>
  <c r="WW508" i="2"/>
  <c r="G77" i="7" s="1"/>
  <c r="WX507" i="2"/>
  <c r="WZ505" i="2"/>
  <c r="XA504" i="2"/>
  <c r="I73" i="7" s="1"/>
  <c r="WP503" i="2"/>
  <c r="WR501" i="2"/>
  <c r="E23" i="7" s="1"/>
  <c r="WS500" i="2"/>
  <c r="WV497" i="2"/>
  <c r="G19" i="7" s="1"/>
  <c r="WW496" i="2"/>
  <c r="G65" i="7" s="1"/>
  <c r="WX495" i="2"/>
  <c r="WY494" i="2"/>
  <c r="H63" i="7" s="1"/>
  <c r="WZ493" i="2"/>
  <c r="WP491" i="2"/>
  <c r="WQ490" i="2"/>
  <c r="WR489" i="2"/>
  <c r="E11" i="7" s="1"/>
  <c r="WS488" i="2"/>
  <c r="WT487" i="2"/>
  <c r="WU486" i="2"/>
  <c r="F55" i="7" s="1"/>
  <c r="WV501" i="2"/>
  <c r="WR499" i="2"/>
  <c r="E21" i="7" s="1"/>
  <c r="WT491" i="2"/>
  <c r="WR487" i="2"/>
  <c r="E9" i="7" s="1"/>
  <c r="WW494" i="2"/>
  <c r="G63" i="7" s="1"/>
  <c r="XA511" i="2"/>
  <c r="I80" i="7" s="1"/>
  <c r="WQ509" i="2"/>
  <c r="WS507" i="2"/>
  <c r="WT506" i="2"/>
  <c r="WU505" i="2"/>
  <c r="F74" i="7" s="1"/>
  <c r="WV504" i="2"/>
  <c r="WX502" i="2"/>
  <c r="WY501" i="2"/>
  <c r="H70" i="7" s="1"/>
  <c r="WZ500" i="2"/>
  <c r="XA499" i="2"/>
  <c r="I68" i="7" s="1"/>
  <c r="WP498" i="2"/>
  <c r="WQ497" i="2"/>
  <c r="WR496" i="2"/>
  <c r="E18" i="7" s="1"/>
  <c r="WS495" i="2"/>
  <c r="WT494" i="2"/>
  <c r="WU493" i="2"/>
  <c r="F62" i="7" s="1"/>
  <c r="WV492" i="2"/>
  <c r="WW491" i="2"/>
  <c r="G60" i="7" s="1"/>
  <c r="WX490" i="2"/>
  <c r="WY489" i="2"/>
  <c r="H58" i="7" s="1"/>
  <c r="WZ488" i="2"/>
  <c r="WP486" i="2"/>
  <c r="F484" i="2"/>
  <c r="D6" i="43" s="1"/>
  <c r="WZ511" i="2"/>
  <c r="XA510" i="2"/>
  <c r="I79" i="7" s="1"/>
  <c r="WP509" i="2"/>
  <c r="WQ508" i="2"/>
  <c r="WR507" i="2"/>
  <c r="E29" i="7" s="1"/>
  <c r="WS506" i="2"/>
  <c r="WT505" i="2"/>
  <c r="WU504" i="2"/>
  <c r="F73" i="7" s="1"/>
  <c r="WW502" i="2"/>
  <c r="G71" i="7" s="1"/>
  <c r="WY500" i="2"/>
  <c r="H69" i="7" s="1"/>
  <c r="WZ499" i="2"/>
  <c r="WP497" i="2"/>
  <c r="WQ496" i="2"/>
  <c r="WR495" i="2"/>
  <c r="E17" i="7" s="1"/>
  <c r="WS494" i="2"/>
  <c r="WT493" i="2"/>
  <c r="WV491" i="2"/>
  <c r="WW490" i="2"/>
  <c r="G59" i="7" s="1"/>
  <c r="WX489" i="2"/>
  <c r="WY488" i="2"/>
  <c r="H57" i="7" s="1"/>
  <c r="XA486" i="2"/>
  <c r="I55" i="7" s="1"/>
  <c r="E484" i="2"/>
  <c r="C6" i="43" s="1"/>
  <c r="XA509" i="2"/>
  <c r="I78" i="7" s="1"/>
  <c r="WP508" i="2"/>
  <c r="WQ507" i="2"/>
  <c r="WR506" i="2"/>
  <c r="E28" i="7" s="1"/>
  <c r="WS505" i="2"/>
  <c r="WT504" i="2"/>
  <c r="WU503" i="2"/>
  <c r="F72" i="7" s="1"/>
  <c r="WV502" i="2"/>
  <c r="WX500" i="2"/>
  <c r="WY499" i="2"/>
  <c r="H68" i="7" s="1"/>
  <c r="XA497" i="2"/>
  <c r="I66" i="7" s="1"/>
  <c r="WP496" i="2"/>
  <c r="WQ495" i="2"/>
  <c r="WR494" i="2"/>
  <c r="E16" i="7" s="1"/>
  <c r="WU491" i="2"/>
  <c r="F60" i="7" s="1"/>
  <c r="WV490" i="2"/>
  <c r="WX488" i="2"/>
  <c r="WY487" i="2"/>
  <c r="H56" i="7" s="1"/>
  <c r="WZ486" i="2"/>
  <c r="XA485" i="2"/>
  <c r="I54" i="7" s="1"/>
  <c r="D484" i="2"/>
  <c r="WT509" i="2"/>
  <c r="WY510" i="2"/>
  <c r="H79" i="7" s="1"/>
  <c r="WZ509" i="2"/>
  <c r="XA508" i="2"/>
  <c r="I77" i="7" s="1"/>
  <c r="WP507" i="2"/>
  <c r="WR505" i="2"/>
  <c r="E27" i="7" s="1"/>
  <c r="WS504" i="2"/>
  <c r="WT503" i="2"/>
  <c r="WX499" i="2"/>
  <c r="WZ497" i="2"/>
  <c r="XA496" i="2"/>
  <c r="I65" i="7" s="1"/>
  <c r="WP495" i="2"/>
  <c r="WS492" i="2"/>
  <c r="WU490" i="2"/>
  <c r="F59" i="7" s="1"/>
  <c r="WV489" i="2"/>
  <c r="WX487" i="2"/>
  <c r="WY486" i="2"/>
  <c r="H55" i="7" s="1"/>
  <c r="WZ485" i="2"/>
  <c r="P484" i="2"/>
  <c r="D6" i="40" s="1"/>
  <c r="WS486" i="2"/>
  <c r="WV507" i="2"/>
  <c r="WW506" i="2"/>
  <c r="G75" i="7" s="1"/>
  <c r="WZ503" i="2"/>
  <c r="XA502" i="2"/>
  <c r="I71" i="7" s="1"/>
  <c r="WP501" i="2"/>
  <c r="WS498" i="2"/>
  <c r="WT497" i="2"/>
  <c r="F19" i="7" s="1"/>
  <c r="WY492" i="2"/>
  <c r="H61" i="7" s="1"/>
  <c r="WZ491" i="2"/>
  <c r="XA490" i="2"/>
  <c r="I59" i="7" s="1"/>
  <c r="WP489" i="2"/>
  <c r="WQ488" i="2"/>
  <c r="WT485" i="2"/>
  <c r="WN455" i="2"/>
  <c r="WN306" i="2"/>
  <c r="WN304" i="2"/>
  <c r="WN302" i="2"/>
  <c r="TE9" i="2"/>
  <c r="BL39" i="39" s="1"/>
  <c r="QU9" i="2"/>
  <c r="BW35" i="39" s="1"/>
  <c r="U9" i="2"/>
  <c r="T8" i="39" s="1"/>
  <c r="WN454" i="2"/>
  <c r="WN452" i="2"/>
  <c r="WN451" i="2"/>
  <c r="WN449" i="2"/>
  <c r="WN446" i="2"/>
  <c r="G9" i="2"/>
  <c r="AE7" i="39" s="1"/>
  <c r="H8" i="2"/>
  <c r="AD7" i="39" s="1"/>
  <c r="WN305" i="2"/>
  <c r="NZ9" i="2"/>
  <c r="U31" i="39" s="1"/>
  <c r="Z82" i="45" s="1"/>
  <c r="WN456" i="2"/>
  <c r="WN453" i="2"/>
  <c r="WN447" i="2"/>
  <c r="H10" i="2"/>
  <c r="AH7" i="39" s="1"/>
  <c r="SA9" i="2"/>
  <c r="BW37" i="39" s="1"/>
  <c r="WN458" i="2"/>
  <c r="WN303" i="2"/>
  <c r="OF8" i="2"/>
  <c r="AZ31" i="39" s="1"/>
  <c r="X98" i="52" s="1"/>
  <c r="WN268" i="2"/>
  <c r="WN267" i="2"/>
  <c r="G8" i="2"/>
  <c r="G10" i="2"/>
  <c r="AG7" i="39" s="1"/>
  <c r="JE10" i="2"/>
  <c r="AR23" i="39" s="1"/>
  <c r="FT10" i="2"/>
  <c r="BZ17" i="39" s="1"/>
  <c r="EC10" i="2"/>
  <c r="V15" i="39" s="1"/>
  <c r="WO360" i="2"/>
  <c r="XC360" i="2" s="1"/>
  <c r="X10" i="61" s="1"/>
  <c r="WN254" i="2"/>
  <c r="VR8" i="2"/>
  <c r="BK43" i="39" s="1"/>
  <c r="RK10" i="2"/>
  <c r="BY36" i="39" s="1"/>
  <c r="WN281" i="2"/>
  <c r="TH9" i="2"/>
  <c r="BX39" i="39" s="1"/>
  <c r="WN320" i="2"/>
  <c r="WN450" i="2"/>
  <c r="SI7" i="2"/>
  <c r="AA38" i="39" s="1"/>
  <c r="IE7" i="2"/>
  <c r="BS21" i="39" s="1"/>
  <c r="WO435" i="2"/>
  <c r="XC435" i="2" s="1"/>
  <c r="AB9" i="61" s="1"/>
  <c r="WO381" i="2"/>
  <c r="XC381" i="2" s="1"/>
  <c r="X31" i="61" s="1"/>
  <c r="WO378" i="2"/>
  <c r="XC378" i="2" s="1"/>
  <c r="X28" i="61" s="1"/>
  <c r="WO373" i="2"/>
  <c r="XC373" i="2" s="1"/>
  <c r="X23" i="61" s="1"/>
  <c r="WO291" i="2"/>
  <c r="XC291" i="2" s="1"/>
  <c r="T17" i="61" s="1"/>
  <c r="WO282" i="2"/>
  <c r="XC282" i="2" s="1"/>
  <c r="T8" i="61" s="1"/>
  <c r="HV9" i="2"/>
  <c r="U21" i="39" s="1"/>
  <c r="Z72" i="45" s="1"/>
  <c r="UT9" i="2"/>
  <c r="U42" i="39" s="1"/>
  <c r="Z93" i="45" s="1"/>
  <c r="TP9" i="2"/>
  <c r="AF40" i="39" s="1"/>
  <c r="TA9" i="2"/>
  <c r="AP39" i="39" s="1"/>
  <c r="RW9" i="2"/>
  <c r="BA37" i="39" s="1"/>
  <c r="Y42" i="52" s="1"/>
  <c r="RG9" i="2"/>
  <c r="BA36" i="39" s="1"/>
  <c r="Y41" i="52" s="1"/>
  <c r="QR9" i="2"/>
  <c r="BB35" i="39" s="1"/>
  <c r="Y102" i="52" s="1"/>
  <c r="QC9" i="2"/>
  <c r="BL34" i="39" s="1"/>
  <c r="OY9" i="2"/>
  <c r="BW32" i="39" s="1"/>
  <c r="OJ9" i="2"/>
  <c r="BX31" i="39" s="1"/>
  <c r="NW9" i="2"/>
  <c r="I31" i="39" s="1"/>
  <c r="NH9" i="2"/>
  <c r="J30" i="39" s="1"/>
  <c r="MS9" i="2"/>
  <c r="T29" i="39" s="1"/>
  <c r="MD9" i="2"/>
  <c r="U28" i="39" s="1"/>
  <c r="Z79" i="45" s="1"/>
  <c r="LO9" i="2"/>
  <c r="AE27" i="39" s="1"/>
  <c r="KZ9" i="2"/>
  <c r="AF26" i="39" s="1"/>
  <c r="KK9" i="2"/>
  <c r="AP25" i="39" s="1"/>
  <c r="JW9" i="2"/>
  <c r="BA24" i="39" s="1"/>
  <c r="Y29" i="52" s="1"/>
  <c r="JH9" i="2"/>
  <c r="BB23" i="39" s="1"/>
  <c r="Y90" i="52" s="1"/>
  <c r="IS9" i="2"/>
  <c r="BL22" i="39" s="1"/>
  <c r="ID9" i="2"/>
  <c r="BM21" i="39" s="1"/>
  <c r="HO9" i="2"/>
  <c r="BW20" i="39" s="1"/>
  <c r="GZ9" i="2"/>
  <c r="BX19" i="39" s="1"/>
  <c r="GM9" i="2"/>
  <c r="I19" i="39" s="1"/>
  <c r="FX9" i="2"/>
  <c r="J18" i="39" s="1"/>
  <c r="FI9" i="2"/>
  <c r="T17" i="39" s="1"/>
  <c r="ET9" i="2"/>
  <c r="U16" i="39" s="1"/>
  <c r="Z67" i="45" s="1"/>
  <c r="EE9" i="2"/>
  <c r="AE15" i="39" s="1"/>
  <c r="DA9" i="2"/>
  <c r="AP13" i="39" s="1"/>
  <c r="CM9" i="2"/>
  <c r="BA12" i="39" s="1"/>
  <c r="Y17" i="52" s="1"/>
  <c r="BX9" i="2"/>
  <c r="BB11" i="39" s="1"/>
  <c r="Y78" i="52" s="1"/>
  <c r="BI9" i="2"/>
  <c r="BL10" i="39" s="1"/>
  <c r="AT9" i="2"/>
  <c r="BM9" i="39" s="1"/>
  <c r="AE9" i="2"/>
  <c r="BW8" i="39" s="1"/>
  <c r="UT7" i="2"/>
  <c r="Q42" i="39" s="1"/>
  <c r="X93" i="45" s="1"/>
  <c r="TD7" i="2"/>
  <c r="AX39" i="39" s="1"/>
  <c r="W106" i="52" s="1"/>
  <c r="PJ7" i="2"/>
  <c r="AM33" i="39" s="1"/>
  <c r="LR7" i="2"/>
  <c r="AM27" i="39" s="1"/>
  <c r="HL7" i="2"/>
  <c r="AX20" i="39" s="1"/>
  <c r="W87" i="52" s="1"/>
  <c r="QQ9" i="2"/>
  <c r="BA35" i="39" s="1"/>
  <c r="Y40" i="52" s="1"/>
  <c r="DM8" i="2"/>
  <c r="R14" i="39" s="1"/>
  <c r="CK8" i="2"/>
  <c r="AN12" i="39" s="1"/>
  <c r="U8" i="2"/>
  <c r="R8" i="39" s="1"/>
  <c r="QK7" i="2"/>
  <c r="P35" i="39" s="1"/>
  <c r="ME7" i="2"/>
  <c r="AA28" i="39" s="1"/>
  <c r="EG7" i="2"/>
  <c r="AL15" i="39" s="1"/>
  <c r="WN265" i="2"/>
  <c r="WO379" i="2"/>
  <c r="XC379" i="2" s="1"/>
  <c r="X29" i="61" s="1"/>
  <c r="WO375" i="2"/>
  <c r="XC375" i="2" s="1"/>
  <c r="X25" i="61" s="1"/>
  <c r="WO372" i="2"/>
  <c r="XC372" i="2" s="1"/>
  <c r="X22" i="61" s="1"/>
  <c r="WO289" i="2"/>
  <c r="XC289" i="2" s="1"/>
  <c r="T15" i="61" s="1"/>
  <c r="RK7" i="2"/>
  <c r="BS36" i="39" s="1"/>
  <c r="RL7" i="2"/>
  <c r="BT36" i="39" s="1"/>
  <c r="WN266" i="2"/>
  <c r="WO382" i="2"/>
  <c r="XC382" i="2" s="1"/>
  <c r="X32" i="61" s="1"/>
  <c r="WO371" i="2"/>
  <c r="XC371" i="2" s="1"/>
  <c r="X21" i="61" s="1"/>
  <c r="WO288" i="2"/>
  <c r="XC288" i="2" s="1"/>
  <c r="T14" i="61" s="1"/>
  <c r="WO280" i="2"/>
  <c r="XC280" i="2" s="1"/>
  <c r="QJ9" i="2"/>
  <c r="J35" i="39" s="1"/>
  <c r="DG9" i="2"/>
  <c r="BW13" i="39" s="1"/>
  <c r="VI9" i="2"/>
  <c r="T43" i="39" s="1"/>
  <c r="UE9" i="2"/>
  <c r="AE41" i="39" s="1"/>
  <c r="SL9" i="2"/>
  <c r="AQ38" i="39" s="1"/>
  <c r="PN9" i="2"/>
  <c r="BM33" i="39" s="1"/>
  <c r="DP9" i="2"/>
  <c r="AF14" i="39" s="1"/>
  <c r="SB7" i="2"/>
  <c r="BT37" i="39" s="1"/>
  <c r="QZ7" i="2"/>
  <c r="F36" i="39" s="1"/>
  <c r="KB7" i="2"/>
  <c r="BT24" i="39" s="1"/>
  <c r="JB7" i="2"/>
  <c r="Q23" i="39" s="1"/>
  <c r="X74" i="45" s="1"/>
  <c r="IN7" i="2"/>
  <c r="AB22" i="39" s="1"/>
  <c r="EH7" i="2"/>
  <c r="AM15" i="39" s="1"/>
  <c r="CR7" i="2"/>
  <c r="BT12" i="39" s="1"/>
  <c r="RK9" i="2"/>
  <c r="BW36" i="39" s="1"/>
  <c r="US7" i="2"/>
  <c r="P42" i="39" s="1"/>
  <c r="TQ7" i="2"/>
  <c r="AL40" i="39" s="1"/>
  <c r="NS7" i="2"/>
  <c r="BS30" i="39" s="1"/>
  <c r="MS7" i="2"/>
  <c r="P29" i="39" s="1"/>
  <c r="KA7" i="2"/>
  <c r="BS24" i="39" s="1"/>
  <c r="CQ7" i="2"/>
  <c r="BS12" i="39" s="1"/>
  <c r="RL9" i="2"/>
  <c r="BX36" i="39" s="1"/>
  <c r="WN445" i="2"/>
  <c r="WI9" i="2"/>
  <c r="BW44" i="39" s="1"/>
  <c r="VT9" i="2"/>
  <c r="BX43" i="39" s="1"/>
  <c r="UC9" i="2"/>
  <c r="T41" i="39" s="1"/>
  <c r="TN9" i="2"/>
  <c r="U40" i="39" s="1"/>
  <c r="Z91" i="45" s="1"/>
  <c r="SY9" i="2"/>
  <c r="AE39" i="39" s="1"/>
  <c r="SJ9" i="2"/>
  <c r="AF38" i="39" s="1"/>
  <c r="RU9" i="2"/>
  <c r="AP37" i="39" s="1"/>
  <c r="RD9" i="2"/>
  <c r="AF36" i="39" s="1"/>
  <c r="QO9" i="2"/>
  <c r="AP35" i="39" s="1"/>
  <c r="QA9" i="2"/>
  <c r="BA34" i="39" s="1"/>
  <c r="Y39" i="52" s="1"/>
  <c r="PL9" i="2"/>
  <c r="BB33" i="39" s="1"/>
  <c r="Y100" i="52" s="1"/>
  <c r="OW9" i="2"/>
  <c r="BL32" i="39" s="1"/>
  <c r="OH9" i="2"/>
  <c r="BM31" i="39" s="1"/>
  <c r="NS9" i="2"/>
  <c r="BW30" i="39" s="1"/>
  <c r="ND9" i="2"/>
  <c r="BX29" i="39" s="1"/>
  <c r="MQ9" i="2"/>
  <c r="I29" i="39" s="1"/>
  <c r="MB9" i="2"/>
  <c r="J28" i="39" s="1"/>
  <c r="LM9" i="2"/>
  <c r="T27" i="39" s="1"/>
  <c r="KX9" i="2"/>
  <c r="U26" i="39" s="1"/>
  <c r="Z77" i="45" s="1"/>
  <c r="KI9" i="2"/>
  <c r="AE25" i="39" s="1"/>
  <c r="JT9" i="2"/>
  <c r="AF24" i="39" s="1"/>
  <c r="JE9" i="2"/>
  <c r="AP23" i="39" s="1"/>
  <c r="IQ9" i="2"/>
  <c r="BA22" i="39" s="1"/>
  <c r="Y27" i="52" s="1"/>
  <c r="IB9" i="2"/>
  <c r="BB21" i="39" s="1"/>
  <c r="Y88" i="52" s="1"/>
  <c r="HM9" i="2"/>
  <c r="BL20" i="39" s="1"/>
  <c r="GX9" i="2"/>
  <c r="BM19" i="39" s="1"/>
  <c r="GI9" i="2"/>
  <c r="BW18" i="39" s="1"/>
  <c r="FT9" i="2"/>
  <c r="BX17" i="39" s="1"/>
  <c r="FG9" i="2"/>
  <c r="I17" i="39" s="1"/>
  <c r="ER9" i="2"/>
  <c r="J16" i="39" s="1"/>
  <c r="EC9" i="2"/>
  <c r="T15" i="39" s="1"/>
  <c r="DN9" i="2"/>
  <c r="U14" i="39" s="1"/>
  <c r="Z65" i="45" s="1"/>
  <c r="CY9" i="2"/>
  <c r="AE13" i="39" s="1"/>
  <c r="CJ9" i="2"/>
  <c r="AF12" i="39" s="1"/>
  <c r="BU9" i="2"/>
  <c r="AP11" i="39" s="1"/>
  <c r="BG9" i="2"/>
  <c r="BA10" i="39" s="1"/>
  <c r="Y15" i="52" s="1"/>
  <c r="AR9" i="2"/>
  <c r="BB9" i="39" s="1"/>
  <c r="Y76" i="52" s="1"/>
  <c r="AC9" i="2"/>
  <c r="BL8" i="39" s="1"/>
  <c r="WO458" i="2"/>
  <c r="XC458" i="2" s="1"/>
  <c r="AB32" i="61" s="1"/>
  <c r="WO457" i="2"/>
  <c r="XC457" i="2" s="1"/>
  <c r="AB31" i="61" s="1"/>
  <c r="WO456" i="2"/>
  <c r="XC456" i="2" s="1"/>
  <c r="AB30" i="61" s="1"/>
  <c r="WO455" i="2"/>
  <c r="XC455" i="2" s="1"/>
  <c r="AB29" i="61" s="1"/>
  <c r="WO454" i="2"/>
  <c r="XC454" i="2" s="1"/>
  <c r="AB28" i="61" s="1"/>
  <c r="WO453" i="2"/>
  <c r="XC453" i="2" s="1"/>
  <c r="AB27" i="61" s="1"/>
  <c r="WO452" i="2"/>
  <c r="XC452" i="2" s="1"/>
  <c r="AB26" i="61" s="1"/>
  <c r="WO451" i="2"/>
  <c r="XC451" i="2" s="1"/>
  <c r="AB25" i="61" s="1"/>
  <c r="WO450" i="2"/>
  <c r="XC450" i="2" s="1"/>
  <c r="AB24" i="61" s="1"/>
  <c r="WO449" i="2"/>
  <c r="XC449" i="2" s="1"/>
  <c r="AB23" i="61" s="1"/>
  <c r="WO448" i="2"/>
  <c r="XC448" i="2" s="1"/>
  <c r="AB22" i="61" s="1"/>
  <c r="WO447" i="2"/>
  <c r="XC447" i="2" s="1"/>
  <c r="AB21" i="61" s="1"/>
  <c r="WW446" i="2"/>
  <c r="MH7" i="2"/>
  <c r="AM28" i="39" s="1"/>
  <c r="WN457" i="2"/>
  <c r="WO377" i="2"/>
  <c r="XC377" i="2" s="1"/>
  <c r="X27" i="61" s="1"/>
  <c r="WO376" i="2"/>
  <c r="XC376" i="2" s="1"/>
  <c r="X26" i="61" s="1"/>
  <c r="WN420" i="2"/>
  <c r="WN415" i="2"/>
  <c r="WN414" i="2"/>
  <c r="WN376" i="2"/>
  <c r="WO369" i="2"/>
  <c r="XC369" i="2" s="1"/>
  <c r="X19" i="61" s="1"/>
  <c r="WH10" i="2"/>
  <c r="BO44" i="39" s="1"/>
  <c r="VS10" i="2"/>
  <c r="BY43" i="39" s="1"/>
  <c r="VD10" i="2"/>
  <c r="BZ42" i="39" s="1"/>
  <c r="TM10" i="2"/>
  <c r="V40" i="39" s="1"/>
  <c r="SX10" i="2"/>
  <c r="W39" i="39" s="1"/>
  <c r="AA90" i="45" s="1"/>
  <c r="SI10" i="2"/>
  <c r="AG38" i="39" s="1"/>
  <c r="RT10" i="2"/>
  <c r="AH37" i="39" s="1"/>
  <c r="RC10" i="2"/>
  <c r="AG36" i="39" s="1"/>
  <c r="QN10" i="2"/>
  <c r="AH35" i="39" s="1"/>
  <c r="PK10" i="2"/>
  <c r="BC33" i="39" s="1"/>
  <c r="Z38" i="52" s="1"/>
  <c r="OV10" i="2"/>
  <c r="BD32" i="39" s="1"/>
  <c r="Z99" i="52" s="1"/>
  <c r="WW330" i="2"/>
  <c r="AY9" i="2"/>
  <c r="I10" i="39" s="1"/>
  <c r="NJ7" i="2"/>
  <c r="Q30" i="39" s="1"/>
  <c r="X81" i="45" s="1"/>
  <c r="VO8" i="2"/>
  <c r="AY43" i="39" s="1"/>
  <c r="X48" i="52" s="1"/>
  <c r="TM8" i="2"/>
  <c r="R40" i="39" s="1"/>
  <c r="SK8" i="2"/>
  <c r="AN38" i="39" s="1"/>
  <c r="QE8" i="2"/>
  <c r="BU34" i="39" s="1"/>
  <c r="PE8" i="2"/>
  <c r="R33" i="39" s="1"/>
  <c r="NO8" i="2"/>
  <c r="AY30" i="39" s="1"/>
  <c r="X35" i="52" s="1"/>
  <c r="MA8" i="2"/>
  <c r="G28" i="39" s="1"/>
  <c r="JW8" i="2"/>
  <c r="AY24" i="39" s="1"/>
  <c r="X29" i="52" s="1"/>
  <c r="IU8" i="2"/>
  <c r="BU22" i="39" s="1"/>
  <c r="HG8" i="2"/>
  <c r="AC20" i="39" s="1"/>
  <c r="FQ8" i="2"/>
  <c r="BJ17" i="39" s="1"/>
  <c r="DA8" i="2"/>
  <c r="AN13" i="39" s="1"/>
  <c r="WN116" i="2"/>
  <c r="WN114" i="2"/>
  <c r="WN112" i="2"/>
  <c r="WN98" i="2"/>
  <c r="XB74" i="2"/>
  <c r="XB71" i="2"/>
  <c r="WI7" i="2"/>
  <c r="BS44" i="39" s="1"/>
  <c r="VI7" i="2"/>
  <c r="P43" i="39" s="1"/>
  <c r="UU7" i="2"/>
  <c r="AA42" i="39" s="1"/>
  <c r="UG7" i="2"/>
  <c r="AL41" i="39" s="1"/>
  <c r="TS7" i="2"/>
  <c r="AW40" i="39" s="1"/>
  <c r="W45" i="52" s="1"/>
  <c r="TE7" i="2"/>
  <c r="BH39" i="39" s="1"/>
  <c r="SQ7" i="2"/>
  <c r="BS38" i="39" s="1"/>
  <c r="RQ7" i="2"/>
  <c r="P37" i="39" s="1"/>
  <c r="RA7" i="2"/>
  <c r="P36" i="39" s="1"/>
  <c r="QM7" i="2"/>
  <c r="AA35" i="39" s="1"/>
  <c r="PY7" i="2"/>
  <c r="AL34" i="39" s="1"/>
  <c r="PK7" i="2"/>
  <c r="AW33" i="39" s="1"/>
  <c r="W38" i="52" s="1"/>
  <c r="OW7" i="2"/>
  <c r="BH32" i="39" s="1"/>
  <c r="OI7" i="2"/>
  <c r="BS31" i="39" s="1"/>
  <c r="NW7" i="2"/>
  <c r="E31" i="39" s="1"/>
  <c r="NI7" i="2"/>
  <c r="P30" i="39" s="1"/>
  <c r="MU7" i="2"/>
  <c r="AA29" i="39" s="1"/>
  <c r="MG7" i="2"/>
  <c r="AL28" i="39" s="1"/>
  <c r="LS7" i="2"/>
  <c r="AW27" i="39" s="1"/>
  <c r="W32" i="52" s="1"/>
  <c r="LE7" i="2"/>
  <c r="BH26" i="39" s="1"/>
  <c r="KQ7" i="2"/>
  <c r="BS25" i="39" s="1"/>
  <c r="KE7" i="2"/>
  <c r="E25" i="39" s="1"/>
  <c r="JQ7" i="2"/>
  <c r="P24" i="39" s="1"/>
  <c r="JC7" i="2"/>
  <c r="AA23" i="39" s="1"/>
  <c r="IO7" i="2"/>
  <c r="AL22" i="39" s="1"/>
  <c r="IA7" i="2"/>
  <c r="AW21" i="39" s="1"/>
  <c r="W26" i="52" s="1"/>
  <c r="HM7" i="2"/>
  <c r="BH20" i="39" s="1"/>
  <c r="GY7" i="2"/>
  <c r="BS19" i="39" s="1"/>
  <c r="GM7" i="2"/>
  <c r="E19" i="39" s="1"/>
  <c r="FY7" i="2"/>
  <c r="P18" i="39" s="1"/>
  <c r="FK7" i="2"/>
  <c r="AA17" i="39" s="1"/>
  <c r="EW7" i="2"/>
  <c r="AL16" i="39" s="1"/>
  <c r="EI7" i="2"/>
  <c r="AW15" i="39" s="1"/>
  <c r="W20" i="52" s="1"/>
  <c r="DU7" i="2"/>
  <c r="BH14" i="39" s="1"/>
  <c r="DG7" i="2"/>
  <c r="BS13" i="39" s="1"/>
  <c r="CU7" i="2"/>
  <c r="E13" i="39" s="1"/>
  <c r="CG7" i="2"/>
  <c r="P12" i="39" s="1"/>
  <c r="BS7" i="2"/>
  <c r="AA11" i="39" s="1"/>
  <c r="BE7" i="2"/>
  <c r="AL10" i="39" s="1"/>
  <c r="AQ7" i="2"/>
  <c r="AW9" i="39" s="1"/>
  <c r="W14" i="52" s="1"/>
  <c r="AC7" i="2"/>
  <c r="BH8" i="39" s="1"/>
  <c r="WN408" i="2"/>
  <c r="WN407" i="2"/>
  <c r="LT7" i="2"/>
  <c r="AX27" i="39" s="1"/>
  <c r="W94" i="52" s="1"/>
  <c r="KR7" i="2"/>
  <c r="BT25" i="39" s="1"/>
  <c r="KF7" i="2"/>
  <c r="F25" i="39" s="1"/>
  <c r="JD7" i="2"/>
  <c r="AB23" i="39" s="1"/>
  <c r="IB7" i="2"/>
  <c r="AX21" i="39" s="1"/>
  <c r="W88" i="52" s="1"/>
  <c r="GZ7" i="2"/>
  <c r="BT19" i="39" s="1"/>
  <c r="FZ7" i="2"/>
  <c r="Q18" i="39" s="1"/>
  <c r="X69" i="45" s="1"/>
  <c r="EX7" i="2"/>
  <c r="AM16" i="39" s="1"/>
  <c r="DH7" i="2"/>
  <c r="BT13" i="39" s="1"/>
  <c r="CH7" i="2"/>
  <c r="Q12" i="39" s="1"/>
  <c r="X63" i="45" s="1"/>
  <c r="BF7" i="2"/>
  <c r="AM10" i="39" s="1"/>
  <c r="AD7" i="2"/>
  <c r="BI8" i="39" s="1"/>
  <c r="WO396" i="2"/>
  <c r="XC396" i="2" s="1"/>
  <c r="Z8" i="61" s="1"/>
  <c r="WC8" i="2"/>
  <c r="AN44" i="39" s="1"/>
  <c r="QS8" i="2"/>
  <c r="BJ35" i="39" s="1"/>
  <c r="LM8" i="2"/>
  <c r="R27" i="39" s="1"/>
  <c r="W8" i="2"/>
  <c r="AC8" i="39" s="1"/>
  <c r="WN324" i="2"/>
  <c r="WO217" i="2"/>
  <c r="XC217" i="2" s="1"/>
  <c r="P19" i="61" s="1"/>
  <c r="WO143" i="2"/>
  <c r="XC143" i="2" s="1"/>
  <c r="L21" i="61" s="1"/>
  <c r="WB8" i="2"/>
  <c r="AD44" i="39" s="1"/>
  <c r="UL8" i="2"/>
  <c r="BK41" i="39" s="1"/>
  <c r="SX8" i="2"/>
  <c r="S39" i="39" s="1"/>
  <c r="Y90" i="45" s="1"/>
  <c r="RV8" i="2"/>
  <c r="AO37" i="39" s="1"/>
  <c r="QD8" i="2"/>
  <c r="BK34" i="39" s="1"/>
  <c r="OB8" i="2"/>
  <c r="AD31" i="39" s="1"/>
  <c r="ML8" i="2"/>
  <c r="BK28" i="39" s="1"/>
  <c r="KX8" i="2"/>
  <c r="S26" i="39" s="1"/>
  <c r="Y77" i="45" s="1"/>
  <c r="JV8" i="2"/>
  <c r="AO24" i="39" s="1"/>
  <c r="IF8" i="2"/>
  <c r="BV21" i="39" s="1"/>
  <c r="GR8" i="2"/>
  <c r="AD19" i="39" s="1"/>
  <c r="FP8" i="2"/>
  <c r="AZ17" i="39" s="1"/>
  <c r="X84" i="52" s="1"/>
  <c r="EB8" i="2"/>
  <c r="H15" i="39" s="1"/>
  <c r="BX8" i="2"/>
  <c r="AZ11" i="39" s="1"/>
  <c r="X78" i="52" s="1"/>
  <c r="WO110" i="2"/>
  <c r="XC110" i="2" s="1"/>
  <c r="J26" i="61" s="1"/>
  <c r="WO374" i="2"/>
  <c r="XC374" i="2" s="1"/>
  <c r="X24" i="61" s="1"/>
  <c r="WO404" i="2"/>
  <c r="XC404" i="2" s="1"/>
  <c r="Z16" i="61" s="1"/>
  <c r="WO264" i="2"/>
  <c r="XC264" i="2" s="1"/>
  <c r="R28" i="61" s="1"/>
  <c r="WN289" i="2"/>
  <c r="TF9" i="2"/>
  <c r="BM39" i="39" s="1"/>
  <c r="QI9" i="2"/>
  <c r="I35" i="39" s="1"/>
  <c r="HU9" i="2"/>
  <c r="T21" i="39" s="1"/>
  <c r="AZ9" i="2"/>
  <c r="J10" i="39" s="1"/>
  <c r="WN264" i="2"/>
  <c r="WN263" i="2"/>
  <c r="WN257" i="2"/>
  <c r="WN256" i="2"/>
  <c r="WW332" i="2"/>
  <c r="WN397" i="2"/>
  <c r="DE9" i="2"/>
  <c r="BL13" i="39" s="1"/>
  <c r="WD8" i="2"/>
  <c r="AO44" i="39" s="1"/>
  <c r="VP8" i="2"/>
  <c r="AZ43" i="39" s="1"/>
  <c r="X110" i="52" s="1"/>
  <c r="VB8" i="2"/>
  <c r="BK42" i="39" s="1"/>
  <c r="XC76" i="2"/>
  <c r="H30" i="61" s="1"/>
  <c r="XC59" i="2"/>
  <c r="H13" i="61" s="1"/>
  <c r="WJ7" i="2"/>
  <c r="BT44" i="39" s="1"/>
  <c r="VJ7" i="2"/>
  <c r="Q43" i="39" s="1"/>
  <c r="X94" i="45" s="1"/>
  <c r="UV7" i="2"/>
  <c r="AB42" i="39" s="1"/>
  <c r="UH7" i="2"/>
  <c r="AM41" i="39" s="1"/>
  <c r="TT7" i="2"/>
  <c r="AX40" i="39" s="1"/>
  <c r="W107" i="52" s="1"/>
  <c r="TF7" i="2"/>
  <c r="BI39" i="39" s="1"/>
  <c r="SR7" i="2"/>
  <c r="BT38" i="39" s="1"/>
  <c r="RR7" i="2"/>
  <c r="Q37" i="39" s="1"/>
  <c r="X88" i="45" s="1"/>
  <c r="RB7" i="2"/>
  <c r="Q36" i="39" s="1"/>
  <c r="X87" i="45" s="1"/>
  <c r="QN7" i="2"/>
  <c r="AB35" i="39" s="1"/>
  <c r="PZ7" i="2"/>
  <c r="AM34" i="39" s="1"/>
  <c r="PL7" i="2"/>
  <c r="AX33" i="39" s="1"/>
  <c r="W100" i="52" s="1"/>
  <c r="OX7" i="2"/>
  <c r="BI32" i="39" s="1"/>
  <c r="OJ7" i="2"/>
  <c r="BT31" i="39" s="1"/>
  <c r="NX7" i="2"/>
  <c r="F31" i="39" s="1"/>
  <c r="LF7" i="2"/>
  <c r="BI26" i="39" s="1"/>
  <c r="JR7" i="2"/>
  <c r="Q24" i="39" s="1"/>
  <c r="X75" i="45" s="1"/>
  <c r="IP7" i="2"/>
  <c r="AM22" i="39" s="1"/>
  <c r="HN7" i="2"/>
  <c r="BI20" i="39" s="1"/>
  <c r="GN7" i="2"/>
  <c r="F19" i="39" s="1"/>
  <c r="FL7" i="2"/>
  <c r="AB17" i="39" s="1"/>
  <c r="EJ7" i="2"/>
  <c r="AX15" i="39" s="1"/>
  <c r="W82" i="52" s="1"/>
  <c r="DV7" i="2"/>
  <c r="BI14" i="39" s="1"/>
  <c r="CV7" i="2"/>
  <c r="F13" i="39" s="1"/>
  <c r="BT7" i="2"/>
  <c r="AB11" i="39" s="1"/>
  <c r="AR7" i="2"/>
  <c r="AX9" i="39" s="1"/>
  <c r="W76" i="52" s="1"/>
  <c r="WO394" i="2"/>
  <c r="XC394" i="2" s="1"/>
  <c r="NT10" i="2"/>
  <c r="BZ30" i="39" s="1"/>
  <c r="JG10" i="2"/>
  <c r="BC23" i="39" s="1"/>
  <c r="Z28" i="52" s="1"/>
  <c r="GY10" i="2"/>
  <c r="BY19" i="39" s="1"/>
  <c r="WO249" i="2"/>
  <c r="XC249" i="2" s="1"/>
  <c r="R13" i="61" s="1"/>
  <c r="UM8" i="2"/>
  <c r="BU41" i="39" s="1"/>
  <c r="RG8" i="2"/>
  <c r="AY36" i="39" s="1"/>
  <c r="X41" i="52" s="1"/>
  <c r="OC8" i="2"/>
  <c r="AN31" i="39" s="1"/>
  <c r="KY8" i="2"/>
  <c r="AC26" i="39" s="1"/>
  <c r="EC8" i="2"/>
  <c r="R15" i="39" s="1"/>
  <c r="WO416" i="2"/>
  <c r="XC416" i="2" s="1"/>
  <c r="Z28" i="61" s="1"/>
  <c r="WN405" i="2"/>
  <c r="WN396" i="2"/>
  <c r="WO145" i="2"/>
  <c r="XC145" i="2" s="1"/>
  <c r="L23" i="61" s="1"/>
  <c r="WO129" i="2"/>
  <c r="XC129" i="2" s="1"/>
  <c r="L7" i="61" s="1"/>
  <c r="VN8" i="2"/>
  <c r="AO43" i="39" s="1"/>
  <c r="TX8" i="2"/>
  <c r="BV40" i="39" s="1"/>
  <c r="SJ8" i="2"/>
  <c r="AD38" i="39" s="1"/>
  <c r="QR8" i="2"/>
  <c r="AZ35" i="39" s="1"/>
  <c r="X102" i="52" s="1"/>
  <c r="PP8" i="2"/>
  <c r="BV33" i="39" s="1"/>
  <c r="OP8" i="2"/>
  <c r="S32" i="39" s="1"/>
  <c r="Y83" i="45" s="1"/>
  <c r="MZ8" i="2"/>
  <c r="AZ29" i="39" s="1"/>
  <c r="X96" i="52" s="1"/>
  <c r="LX8" i="2"/>
  <c r="BV27" i="39" s="1"/>
  <c r="KJ8" i="2"/>
  <c r="AD25" i="39" s="1"/>
  <c r="IT8" i="2"/>
  <c r="BK22" i="39" s="1"/>
  <c r="HT8" i="2"/>
  <c r="H21" i="39" s="1"/>
  <c r="GD8" i="2"/>
  <c r="AO18" i="39" s="1"/>
  <c r="FB8" i="2"/>
  <c r="BK16" i="39" s="1"/>
  <c r="DN8" i="2"/>
  <c r="S14" i="39" s="1"/>
  <c r="Y65" i="45" s="1"/>
  <c r="CL8" i="2"/>
  <c r="AO12" i="39" s="1"/>
  <c r="BJ8" i="2"/>
  <c r="BK10" i="39" s="1"/>
  <c r="AV8" i="2"/>
  <c r="BV9" i="39" s="1"/>
  <c r="V8" i="2"/>
  <c r="S8" i="39" s="1"/>
  <c r="Y59" i="45" s="1"/>
  <c r="WO106" i="2"/>
  <c r="XC106" i="2" s="1"/>
  <c r="J22" i="61" s="1"/>
  <c r="WO443" i="2"/>
  <c r="XC443" i="2" s="1"/>
  <c r="AB17" i="61" s="1"/>
  <c r="WO440" i="2"/>
  <c r="XC440" i="2" s="1"/>
  <c r="AB14" i="61" s="1"/>
  <c r="WO437" i="2"/>
  <c r="XC437" i="2" s="1"/>
  <c r="AB11" i="61" s="1"/>
  <c r="WO433" i="2"/>
  <c r="XC433" i="2" s="1"/>
  <c r="AB7" i="61" s="1"/>
  <c r="WO329" i="2"/>
  <c r="XC329" i="2" s="1"/>
  <c r="V17" i="61" s="1"/>
  <c r="WO328" i="2"/>
  <c r="XC328" i="2" s="1"/>
  <c r="V16" i="61" s="1"/>
  <c r="WO327" i="2"/>
  <c r="XC327" i="2" s="1"/>
  <c r="V15" i="61" s="1"/>
  <c r="WO326" i="2"/>
  <c r="XC326" i="2" s="1"/>
  <c r="V14" i="61" s="1"/>
  <c r="WO325" i="2"/>
  <c r="XC325" i="2" s="1"/>
  <c r="V13" i="61" s="1"/>
  <c r="WO324" i="2"/>
  <c r="XC324" i="2" s="1"/>
  <c r="V12" i="61" s="1"/>
  <c r="WO323" i="2"/>
  <c r="XC323" i="2" s="1"/>
  <c r="V11" i="61" s="1"/>
  <c r="WO322" i="2"/>
  <c r="XC322" i="2" s="1"/>
  <c r="V10" i="61" s="1"/>
  <c r="WO321" i="2"/>
  <c r="XC321" i="2" s="1"/>
  <c r="V9" i="61" s="1"/>
  <c r="WO320" i="2"/>
  <c r="XC320" i="2" s="1"/>
  <c r="V8" i="61" s="1"/>
  <c r="WO319" i="2"/>
  <c r="XC319" i="2" s="1"/>
  <c r="V7" i="61" s="1"/>
  <c r="WO318" i="2"/>
  <c r="XC318" i="2" s="1"/>
  <c r="WN294" i="2"/>
  <c r="WN448" i="2"/>
  <c r="PY10" i="2"/>
  <c r="AR34" i="39" s="1"/>
  <c r="WN280" i="2"/>
  <c r="MV7" i="2"/>
  <c r="AB29" i="39" s="1"/>
  <c r="WN182" i="2"/>
  <c r="WN130" i="2"/>
  <c r="VA8" i="2"/>
  <c r="BJ42" i="39" s="1"/>
  <c r="SY8" i="2"/>
  <c r="AC39" i="39" s="1"/>
  <c r="RW8" i="2"/>
  <c r="AY37" i="39" s="1"/>
  <c r="X42" i="52" s="1"/>
  <c r="PS8" i="2"/>
  <c r="G34" i="39" s="1"/>
  <c r="OQ8" i="2"/>
  <c r="AC32" i="39" s="1"/>
  <c r="NA8" i="2"/>
  <c r="BJ29" i="39" s="1"/>
  <c r="MM8" i="2"/>
  <c r="BU28" i="39" s="1"/>
  <c r="KK8" i="2"/>
  <c r="AN25" i="39" s="1"/>
  <c r="JI8" i="2"/>
  <c r="BJ23" i="39" s="1"/>
  <c r="II8" i="2"/>
  <c r="G22" i="39" s="1"/>
  <c r="HU8" i="2"/>
  <c r="R21" i="39" s="1"/>
  <c r="GS8" i="2"/>
  <c r="AN19" i="39" s="1"/>
  <c r="GE8" i="2"/>
  <c r="AY18" i="39" s="1"/>
  <c r="X23" i="52" s="1"/>
  <c r="FC8" i="2"/>
  <c r="BU16" i="39" s="1"/>
  <c r="EQ8" i="2"/>
  <c r="G16" i="39" s="1"/>
  <c r="DO8" i="2"/>
  <c r="AC14" i="39" s="1"/>
  <c r="CM8" i="2"/>
  <c r="AY12" i="39" s="1"/>
  <c r="X17" i="52" s="1"/>
  <c r="BY8" i="2"/>
  <c r="BJ11" i="39" s="1"/>
  <c r="BK8" i="2"/>
  <c r="BU10" i="39" s="1"/>
  <c r="AY8" i="2"/>
  <c r="G10" i="39" s="1"/>
  <c r="AK8" i="2"/>
  <c r="R9" i="39" s="1"/>
  <c r="WN115" i="2"/>
  <c r="WN113" i="2"/>
  <c r="WN111" i="2"/>
  <c r="WN103" i="2"/>
  <c r="WN97" i="2"/>
  <c r="WN325" i="2"/>
  <c r="WO181" i="2"/>
  <c r="XC181" i="2" s="1"/>
  <c r="N21" i="61" s="1"/>
  <c r="UZ8" i="2"/>
  <c r="AZ42" i="39" s="1"/>
  <c r="X109" i="52" s="1"/>
  <c r="RF8" i="2"/>
  <c r="AO36" i="39" s="1"/>
  <c r="PD8" i="2"/>
  <c r="H33" i="39" s="1"/>
  <c r="NN8" i="2"/>
  <c r="AO30" i="39" s="1"/>
  <c r="LL8" i="2"/>
  <c r="H27" i="39" s="1"/>
  <c r="JH8" i="2"/>
  <c r="AZ23" i="39" s="1"/>
  <c r="X90" i="52" s="1"/>
  <c r="HF8" i="2"/>
  <c r="S20" i="39" s="1"/>
  <c r="Y71" i="45" s="1"/>
  <c r="EN8" i="2"/>
  <c r="BV15" i="39" s="1"/>
  <c r="CZ8" i="2"/>
  <c r="AD13" i="39" s="1"/>
  <c r="AJ8" i="2"/>
  <c r="H9" i="39" s="1"/>
  <c r="WN444" i="2"/>
  <c r="WO442" i="2"/>
  <c r="XC442" i="2" s="1"/>
  <c r="AB16" i="61" s="1"/>
  <c r="WO441" i="2"/>
  <c r="XC441" i="2" s="1"/>
  <c r="AB15" i="61" s="1"/>
  <c r="WO439" i="2"/>
  <c r="XC439" i="2" s="1"/>
  <c r="AB13" i="61" s="1"/>
  <c r="WO438" i="2"/>
  <c r="XC438" i="2" s="1"/>
  <c r="AB12" i="61" s="1"/>
  <c r="WO436" i="2"/>
  <c r="XC436" i="2" s="1"/>
  <c r="AB10" i="61" s="1"/>
  <c r="WO434" i="2"/>
  <c r="XC434" i="2" s="1"/>
  <c r="AB8" i="61" s="1"/>
  <c r="WO432" i="2"/>
  <c r="XC432" i="2" s="1"/>
  <c r="SZ10" i="2"/>
  <c r="AH39" i="39" s="1"/>
  <c r="QQ10" i="2"/>
  <c r="BC35" i="39" s="1"/>
  <c r="Z40" i="52" s="1"/>
  <c r="WO445" i="2"/>
  <c r="XC445" i="2" s="1"/>
  <c r="AB19" i="61" s="1"/>
  <c r="WN443" i="2"/>
  <c r="WN442" i="2"/>
  <c r="WN437" i="2"/>
  <c r="WN436" i="2"/>
  <c r="WN432" i="2"/>
  <c r="WO415" i="2"/>
  <c r="XC415" i="2" s="1"/>
  <c r="Z27" i="61" s="1"/>
  <c r="WO414" i="2"/>
  <c r="XC414" i="2" s="1"/>
  <c r="Z26" i="61" s="1"/>
  <c r="WN323" i="2"/>
  <c r="WN322" i="2"/>
  <c r="WN321" i="2"/>
  <c r="WO306" i="2"/>
  <c r="XC306" i="2" s="1"/>
  <c r="T32" i="61" s="1"/>
  <c r="WO305" i="2"/>
  <c r="XC305" i="2" s="1"/>
  <c r="T31" i="61" s="1"/>
  <c r="WO304" i="2"/>
  <c r="XC304" i="2" s="1"/>
  <c r="T30" i="61" s="1"/>
  <c r="WO303" i="2"/>
  <c r="XC303" i="2" s="1"/>
  <c r="T29" i="61" s="1"/>
  <c r="K28" i="39"/>
  <c r="FS10" i="2"/>
  <c r="BY17" i="39" s="1"/>
  <c r="XB58" i="2"/>
  <c r="WN360" i="2"/>
  <c r="WG10" i="2"/>
  <c r="BN44" i="39" s="1"/>
  <c r="VR10" i="2"/>
  <c r="BO43" i="39" s="1"/>
  <c r="VC10" i="2"/>
  <c r="BY42" i="39" s="1"/>
  <c r="UN10" i="2"/>
  <c r="BZ41" i="39" s="1"/>
  <c r="SW10" i="2"/>
  <c r="V39" i="39" s="1"/>
  <c r="SH10" i="2"/>
  <c r="W38" i="39" s="1"/>
  <c r="AA89" i="45" s="1"/>
  <c r="RS10" i="2"/>
  <c r="AG37" i="39" s="1"/>
  <c r="RB10" i="2"/>
  <c r="W36" i="39" s="1"/>
  <c r="AA87" i="45" s="1"/>
  <c r="QM10" i="2"/>
  <c r="AG35" i="39" s="1"/>
  <c r="PX10" i="2"/>
  <c r="AH34" i="39" s="1"/>
  <c r="PI10" i="2"/>
  <c r="AR33" i="39" s="1"/>
  <c r="OU10" i="2"/>
  <c r="BC32" i="39" s="1"/>
  <c r="Z37" i="52" s="1"/>
  <c r="OF10" i="2"/>
  <c r="BD31" i="39" s="1"/>
  <c r="Z98" i="52" s="1"/>
  <c r="NQ10" i="2"/>
  <c r="BN30" i="39" s="1"/>
  <c r="NB10" i="2"/>
  <c r="BO29" i="39" s="1"/>
  <c r="MM10" i="2"/>
  <c r="BY28" i="39" s="1"/>
  <c r="LX10" i="2"/>
  <c r="BZ27" i="39" s="1"/>
  <c r="LK10" i="2"/>
  <c r="K27" i="39" s="1"/>
  <c r="KV10" i="2"/>
  <c r="L26" i="39" s="1"/>
  <c r="KG10" i="2"/>
  <c r="V25" i="39" s="1"/>
  <c r="JR10" i="2"/>
  <c r="W24" i="39" s="1"/>
  <c r="AA75" i="45" s="1"/>
  <c r="JC10" i="2"/>
  <c r="AG23" i="39" s="1"/>
  <c r="IN10" i="2"/>
  <c r="AH22" i="39" s="1"/>
  <c r="HY10" i="2"/>
  <c r="AR21" i="39" s="1"/>
  <c r="HK10" i="2"/>
  <c r="BC20" i="39" s="1"/>
  <c r="Z25" i="52" s="1"/>
  <c r="GV10" i="2"/>
  <c r="BD19" i="39" s="1"/>
  <c r="Z86" i="52" s="1"/>
  <c r="GG10" i="2"/>
  <c r="BN18" i="39" s="1"/>
  <c r="FR10" i="2"/>
  <c r="BO17" i="39" s="1"/>
  <c r="FC10" i="2"/>
  <c r="BY16" i="39" s="1"/>
  <c r="EN10" i="2"/>
  <c r="BZ15" i="39" s="1"/>
  <c r="EA10" i="2"/>
  <c r="K15" i="39" s="1"/>
  <c r="DL10" i="2"/>
  <c r="L14" i="39" s="1"/>
  <c r="CW10" i="2"/>
  <c r="V13" i="39" s="1"/>
  <c r="CH10" i="2"/>
  <c r="W12" i="39" s="1"/>
  <c r="AA63" i="45" s="1"/>
  <c r="BS10" i="2"/>
  <c r="AG11" i="39" s="1"/>
  <c r="BD10" i="2"/>
  <c r="AH10" i="39" s="1"/>
  <c r="AO10" i="2"/>
  <c r="AR9" i="39" s="1"/>
  <c r="AA10" i="2"/>
  <c r="BC8" i="39" s="1"/>
  <c r="Z13" i="52" s="1"/>
  <c r="WG9" i="2"/>
  <c r="BL44" i="39" s="1"/>
  <c r="VC9" i="2"/>
  <c r="BW42" i="39" s="1"/>
  <c r="WO192" i="2"/>
  <c r="XC192" i="2" s="1"/>
  <c r="N32" i="61" s="1"/>
  <c r="WO191" i="2"/>
  <c r="XC191" i="2" s="1"/>
  <c r="N31" i="61" s="1"/>
  <c r="WO190" i="2"/>
  <c r="XC190" i="2" s="1"/>
  <c r="N30" i="61" s="1"/>
  <c r="WO189" i="2"/>
  <c r="XC189" i="2" s="1"/>
  <c r="N29" i="61" s="1"/>
  <c r="WO182" i="2"/>
  <c r="XC182" i="2" s="1"/>
  <c r="N22" i="61" s="1"/>
  <c r="WO180" i="2"/>
  <c r="XC180" i="2" s="1"/>
  <c r="N20" i="61" s="1"/>
  <c r="WO178" i="2"/>
  <c r="XC178" i="2" s="1"/>
  <c r="N18" i="61" s="1"/>
  <c r="WO171" i="2"/>
  <c r="XC171" i="2" s="1"/>
  <c r="N11" i="61" s="1"/>
  <c r="WO169" i="2"/>
  <c r="XC169" i="2" s="1"/>
  <c r="N9" i="61" s="1"/>
  <c r="WO166" i="2"/>
  <c r="XC166" i="2" s="1"/>
  <c r="WO154" i="2"/>
  <c r="XC154" i="2" s="1"/>
  <c r="L32" i="61" s="1"/>
  <c r="WO153" i="2"/>
  <c r="XC153" i="2" s="1"/>
  <c r="L31" i="61" s="1"/>
  <c r="WO152" i="2"/>
  <c r="XC152" i="2" s="1"/>
  <c r="L30" i="61" s="1"/>
  <c r="WO151" i="2"/>
  <c r="XC151" i="2" s="1"/>
  <c r="L29" i="61" s="1"/>
  <c r="WO142" i="2"/>
  <c r="XC142" i="2" s="1"/>
  <c r="L20" i="61" s="1"/>
  <c r="WO139" i="2"/>
  <c r="XC139" i="2" s="1"/>
  <c r="L17" i="61" s="1"/>
  <c r="WO132" i="2"/>
  <c r="XC132" i="2" s="1"/>
  <c r="L10" i="61" s="1"/>
  <c r="WO131" i="2"/>
  <c r="XC131" i="2" s="1"/>
  <c r="L9" i="61" s="1"/>
  <c r="WO112" i="2"/>
  <c r="XC112" i="2" s="1"/>
  <c r="J28" i="61" s="1"/>
  <c r="WO111" i="2"/>
  <c r="XC111" i="2" s="1"/>
  <c r="J27" i="61" s="1"/>
  <c r="WO103" i="2"/>
  <c r="XC103" i="2" s="1"/>
  <c r="J19" i="61" s="1"/>
  <c r="WO102" i="2"/>
  <c r="XC102" i="2" s="1"/>
  <c r="J18" i="61" s="1"/>
  <c r="WO98" i="2"/>
  <c r="XC98" i="2" s="1"/>
  <c r="J14" i="61" s="1"/>
  <c r="WO97" i="2"/>
  <c r="XC97" i="2" s="1"/>
  <c r="J13" i="61" s="1"/>
  <c r="WO90" i="2"/>
  <c r="XC90" i="2" s="1"/>
  <c r="BZ7" i="2"/>
  <c r="BI11" i="39" s="1"/>
  <c r="VD7" i="2"/>
  <c r="BT42" i="39" s="1"/>
  <c r="PV7" i="2"/>
  <c r="Q34" i="39" s="1"/>
  <c r="X85" i="45" s="1"/>
  <c r="PH7" i="2"/>
  <c r="AB33" i="39" s="1"/>
  <c r="NR10" i="2"/>
  <c r="BO30" i="39" s="1"/>
  <c r="NC10" i="2"/>
  <c r="BY29" i="39" s="1"/>
  <c r="LL10" i="2"/>
  <c r="L27" i="39" s="1"/>
  <c r="JS10" i="2"/>
  <c r="AG24" i="39" s="1"/>
  <c r="IO10" i="2"/>
  <c r="AR22" i="39" s="1"/>
  <c r="HL10" i="2"/>
  <c r="BD20" i="39" s="1"/>
  <c r="Z87" i="52" s="1"/>
  <c r="GH10" i="2"/>
  <c r="BO18" i="39" s="1"/>
  <c r="EQ10" i="2"/>
  <c r="K16" i="39" s="1"/>
  <c r="CX10" i="2"/>
  <c r="W13" i="39" s="1"/>
  <c r="AA64" i="45" s="1"/>
  <c r="BT10" i="2"/>
  <c r="AH11" i="39" s="1"/>
  <c r="BE10" i="2"/>
  <c r="AR10" i="39" s="1"/>
  <c r="AB10" i="2"/>
  <c r="BD8" i="39" s="1"/>
  <c r="Z75" i="52" s="1"/>
  <c r="WN341" i="2"/>
  <c r="WN338" i="2"/>
  <c r="WO295" i="2"/>
  <c r="XC295" i="2" s="1"/>
  <c r="T21" i="61" s="1"/>
  <c r="WN228" i="2"/>
  <c r="WN225" i="2"/>
  <c r="WN221" i="2"/>
  <c r="WN218" i="2"/>
  <c r="WN215" i="2"/>
  <c r="WN211" i="2"/>
  <c r="WN208" i="2"/>
  <c r="WN205" i="2"/>
  <c r="XB70" i="2"/>
  <c r="WO402" i="2"/>
  <c r="XC402" i="2" s="1"/>
  <c r="Z14" i="61" s="1"/>
  <c r="LS10" i="2"/>
  <c r="BC27" i="39" s="1"/>
  <c r="Z32" i="52" s="1"/>
  <c r="IV10" i="2"/>
  <c r="BZ22" i="39" s="1"/>
  <c r="CA10" i="2"/>
  <c r="BY11" i="39" s="1"/>
  <c r="OG10" i="2"/>
  <c r="BN31" i="39" s="1"/>
  <c r="MN10" i="2"/>
  <c r="BZ28" i="39" s="1"/>
  <c r="KH10" i="2"/>
  <c r="W25" i="39" s="1"/>
  <c r="AA76" i="45" s="1"/>
  <c r="JD10" i="2"/>
  <c r="AH23" i="39" s="1"/>
  <c r="IA10" i="2"/>
  <c r="BC21" i="39" s="1"/>
  <c r="Z26" i="52" s="1"/>
  <c r="GW10" i="2"/>
  <c r="BN19" i="39" s="1"/>
  <c r="FD10" i="2"/>
  <c r="BZ16" i="39" s="1"/>
  <c r="EB10" i="2"/>
  <c r="L15" i="39" s="1"/>
  <c r="CI10" i="2"/>
  <c r="AG12" i="39" s="1"/>
  <c r="AQ10" i="2"/>
  <c r="BC9" i="39" s="1"/>
  <c r="Z14" i="52" s="1"/>
  <c r="WN343" i="2"/>
  <c r="WN337" i="2"/>
  <c r="WO244" i="2"/>
  <c r="XC244" i="2" s="1"/>
  <c r="R8" i="61" s="1"/>
  <c r="WN230" i="2"/>
  <c r="WN227" i="2"/>
  <c r="WN226" i="2"/>
  <c r="WN223" i="2"/>
  <c r="WN220" i="2"/>
  <c r="WN219" i="2"/>
  <c r="WN217" i="2"/>
  <c r="WN213" i="2"/>
  <c r="WN212" i="2"/>
  <c r="WN209" i="2"/>
  <c r="WN207" i="2"/>
  <c r="WN206" i="2"/>
  <c r="WN413" i="2"/>
  <c r="VB10" i="2"/>
  <c r="BO42" i="39" s="1"/>
  <c r="PW10" i="2"/>
  <c r="AG34" i="39" s="1"/>
  <c r="FB10" i="2"/>
  <c r="BO16" i="39" s="1"/>
  <c r="WE9" i="2"/>
  <c r="BA44" i="39" s="1"/>
  <c r="Y49" i="52" s="1"/>
  <c r="SG9" i="2"/>
  <c r="T38" i="39" s="1"/>
  <c r="QY8" i="2"/>
  <c r="G36" i="39" s="1"/>
  <c r="PS7" i="2"/>
  <c r="E34" i="39" s="1"/>
  <c r="KY7" i="2"/>
  <c r="AA26" i="39" s="1"/>
  <c r="FQ7" i="2"/>
  <c r="BH17" i="39" s="1"/>
  <c r="WO407" i="2"/>
  <c r="XC407" i="2" s="1"/>
  <c r="Z19" i="61" s="1"/>
  <c r="WW406" i="2"/>
  <c r="TC10" i="2"/>
  <c r="BC39" i="39" s="1"/>
  <c r="Z44" i="52" s="1"/>
  <c r="RZ10" i="2"/>
  <c r="BO37" i="39" s="1"/>
  <c r="LQ10" i="2"/>
  <c r="AR27" i="39" s="1"/>
  <c r="BZ10" i="2"/>
  <c r="BO11" i="39" s="1"/>
  <c r="WD10" i="2"/>
  <c r="AS44" i="39" s="1"/>
  <c r="VA10" i="2"/>
  <c r="BN42" i="39" s="1"/>
  <c r="UL10" i="2"/>
  <c r="BO41" i="39" s="1"/>
  <c r="TW10" i="2"/>
  <c r="BY40" i="39" s="1"/>
  <c r="TH10" i="2"/>
  <c r="BZ39" i="39" s="1"/>
  <c r="RQ10" i="2"/>
  <c r="V37" i="39" s="1"/>
  <c r="QZ10" i="2"/>
  <c r="L36" i="39" s="1"/>
  <c r="PV10" i="2"/>
  <c r="W34" i="39" s="1"/>
  <c r="AA85" i="45" s="1"/>
  <c r="PG10" i="2"/>
  <c r="AG33" i="39" s="1"/>
  <c r="OR10" i="2"/>
  <c r="AH32" i="39" s="1"/>
  <c r="OC10" i="2"/>
  <c r="AR31" i="39" s="1"/>
  <c r="NO10" i="2"/>
  <c r="BC30" i="39" s="1"/>
  <c r="Z35" i="52" s="1"/>
  <c r="MZ10" i="2"/>
  <c r="BD29" i="39" s="1"/>
  <c r="Z96" i="52" s="1"/>
  <c r="MK10" i="2"/>
  <c r="BN28" i="39" s="1"/>
  <c r="LV10" i="2"/>
  <c r="BO27" i="39" s="1"/>
  <c r="LG10" i="2"/>
  <c r="BY26" i="39" s="1"/>
  <c r="KR10" i="2"/>
  <c r="BZ25" i="39" s="1"/>
  <c r="KE10" i="2"/>
  <c r="K25" i="39" s="1"/>
  <c r="JP10" i="2"/>
  <c r="L24" i="39" s="1"/>
  <c r="JA10" i="2"/>
  <c r="V23" i="39" s="1"/>
  <c r="IL10" i="2"/>
  <c r="W22" i="39" s="1"/>
  <c r="AA73" i="45" s="1"/>
  <c r="HW10" i="2"/>
  <c r="AG21" i="39" s="1"/>
  <c r="HH10" i="2"/>
  <c r="AH20" i="39" s="1"/>
  <c r="GS10" i="2"/>
  <c r="AR19" i="39" s="1"/>
  <c r="GE10" i="2"/>
  <c r="BC18" i="39" s="1"/>
  <c r="Z23" i="52" s="1"/>
  <c r="FP10" i="2"/>
  <c r="BD17" i="39" s="1"/>
  <c r="Z84" i="52" s="1"/>
  <c r="FA10" i="2"/>
  <c r="BN16" i="39" s="1"/>
  <c r="EL10" i="2"/>
  <c r="BO15" i="39" s="1"/>
  <c r="DH10" i="2"/>
  <c r="BZ13" i="39" s="1"/>
  <c r="CU10" i="2"/>
  <c r="K13" i="39" s="1"/>
  <c r="CF10" i="2"/>
  <c r="L12" i="39" s="1"/>
  <c r="BQ10" i="2"/>
  <c r="V11" i="39" s="1"/>
  <c r="BB10" i="2"/>
  <c r="W10" i="39" s="1"/>
  <c r="AA61" i="45" s="1"/>
  <c r="AM10" i="2"/>
  <c r="AG9" i="39" s="1"/>
  <c r="X10" i="2"/>
  <c r="WN329" i="2"/>
  <c r="WN328" i="2"/>
  <c r="IZ8" i="2"/>
  <c r="H23" i="39" s="1"/>
  <c r="WO130" i="2"/>
  <c r="XC130" i="2" s="1"/>
  <c r="L8" i="61" s="1"/>
  <c r="KW10" i="2"/>
  <c r="V26" i="39" s="1"/>
  <c r="DM10" i="2"/>
  <c r="V14" i="39" s="1"/>
  <c r="WN340" i="2"/>
  <c r="WN229" i="2"/>
  <c r="WN224" i="2"/>
  <c r="WN216" i="2"/>
  <c r="WN210" i="2"/>
  <c r="WN204" i="2"/>
  <c r="XB59" i="2"/>
  <c r="XB56" i="2"/>
  <c r="WN404" i="2"/>
  <c r="WO403" i="2"/>
  <c r="XC403" i="2" s="1"/>
  <c r="Z15" i="61" s="1"/>
  <c r="QF10" i="2"/>
  <c r="BZ34" i="39" s="1"/>
  <c r="WE10" i="2"/>
  <c r="BC44" i="39" s="1"/>
  <c r="Z49" i="52" s="1"/>
  <c r="VQ10" i="2"/>
  <c r="BN43" i="39" s="1"/>
  <c r="UM10" i="2"/>
  <c r="BY41" i="39" s="1"/>
  <c r="TX10" i="2"/>
  <c r="BZ40" i="39" s="1"/>
  <c r="SG10" i="2"/>
  <c r="V38" i="39" s="1"/>
  <c r="RR10" i="2"/>
  <c r="W37" i="39" s="1"/>
  <c r="AA88" i="45" s="1"/>
  <c r="RA10" i="2"/>
  <c r="V36" i="39" s="1"/>
  <c r="QL10" i="2"/>
  <c r="W35" i="39" s="1"/>
  <c r="AA86" i="45" s="1"/>
  <c r="PH10" i="2"/>
  <c r="AH33" i="39" s="1"/>
  <c r="OS10" i="2"/>
  <c r="AR32" i="39" s="1"/>
  <c r="OE10" i="2"/>
  <c r="BC31" i="39" s="1"/>
  <c r="Z36" i="52" s="1"/>
  <c r="NP10" i="2"/>
  <c r="BD30" i="39" s="1"/>
  <c r="Z97" i="52" s="1"/>
  <c r="NA10" i="2"/>
  <c r="BN29" i="39" s="1"/>
  <c r="ML10" i="2"/>
  <c r="BO28" i="39" s="1"/>
  <c r="LW10" i="2"/>
  <c r="BY27" i="39" s="1"/>
  <c r="LH10" i="2"/>
  <c r="BZ26" i="39" s="1"/>
  <c r="KU10" i="2"/>
  <c r="K26" i="39" s="1"/>
  <c r="KF10" i="2"/>
  <c r="L25" i="39" s="1"/>
  <c r="JQ10" i="2"/>
  <c r="V24" i="39" s="1"/>
  <c r="JB10" i="2"/>
  <c r="W23" i="39" s="1"/>
  <c r="AA74" i="45" s="1"/>
  <c r="IM10" i="2"/>
  <c r="AG22" i="39" s="1"/>
  <c r="HX10" i="2"/>
  <c r="AH21" i="39" s="1"/>
  <c r="HI10" i="2"/>
  <c r="AR20" i="39" s="1"/>
  <c r="GU10" i="2"/>
  <c r="BC19" i="39" s="1"/>
  <c r="Z24" i="52" s="1"/>
  <c r="GF10" i="2"/>
  <c r="BD18" i="39" s="1"/>
  <c r="Z85" i="52" s="1"/>
  <c r="FQ10" i="2"/>
  <c r="BN17" i="39" s="1"/>
  <c r="EM10" i="2"/>
  <c r="BY15" i="39" s="1"/>
  <c r="DX10" i="2"/>
  <c r="BZ14" i="39" s="1"/>
  <c r="DK10" i="2"/>
  <c r="K14" i="39" s="1"/>
  <c r="CV10" i="2"/>
  <c r="L13" i="39" s="1"/>
  <c r="CG10" i="2"/>
  <c r="V12" i="39" s="1"/>
  <c r="BR10" i="2"/>
  <c r="W11" i="39" s="1"/>
  <c r="AA62" i="45" s="1"/>
  <c r="BC10" i="2"/>
  <c r="AG10" i="39" s="1"/>
  <c r="AN10" i="2"/>
  <c r="AH9" i="39" s="1"/>
  <c r="Y10" i="2"/>
  <c r="AR8" i="39" s="1"/>
  <c r="WO253" i="2"/>
  <c r="XC253" i="2" s="1"/>
  <c r="R17" i="61" s="1"/>
  <c r="WO252" i="2"/>
  <c r="XC252" i="2" s="1"/>
  <c r="R16" i="61" s="1"/>
  <c r="WO242" i="2"/>
  <c r="XC242" i="2" s="1"/>
  <c r="WA7" i="2"/>
  <c r="AA44" i="39" s="1"/>
  <c r="RE7" i="2"/>
  <c r="AL36" i="39" s="1"/>
  <c r="QQ7" i="2"/>
  <c r="AW35" i="39" s="1"/>
  <c r="W40" i="52" s="1"/>
  <c r="OO7" i="2"/>
  <c r="P32" i="39" s="1"/>
  <c r="LK7" i="2"/>
  <c r="E27" i="39" s="1"/>
  <c r="FO7" i="2"/>
  <c r="AW17" i="39" s="1"/>
  <c r="W22" i="52" s="1"/>
  <c r="RG7" i="2"/>
  <c r="AW36" i="39" s="1"/>
  <c r="W41" i="52" s="1"/>
  <c r="NA7" i="2"/>
  <c r="BH29" i="39" s="1"/>
  <c r="GS7" i="2"/>
  <c r="AL19" i="39" s="1"/>
  <c r="EQ7" i="2"/>
  <c r="E16" i="39" s="1"/>
  <c r="GO10" i="2"/>
  <c r="V19" i="39" s="1"/>
  <c r="VO10" i="2"/>
  <c r="BC43" i="39" s="1"/>
  <c r="Z48" i="52" s="1"/>
  <c r="QK10" i="2"/>
  <c r="V35" i="39" s="1"/>
  <c r="DW10" i="2"/>
  <c r="BY14" i="39" s="1"/>
  <c r="WN282" i="2"/>
  <c r="TB8" i="2"/>
  <c r="AO39" i="39" s="1"/>
  <c r="WO150" i="2"/>
  <c r="XC150" i="2" s="1"/>
  <c r="L28" i="61" s="1"/>
  <c r="WO397" i="2"/>
  <c r="XC397" i="2" s="1"/>
  <c r="Z9" i="61" s="1"/>
  <c r="TB10" i="2"/>
  <c r="AS39" i="39" s="1"/>
  <c r="QS10" i="2"/>
  <c r="BN35" i="39" s="1"/>
  <c r="JI10" i="2"/>
  <c r="BN23" i="39" s="1"/>
  <c r="IE10" i="2"/>
  <c r="BY21" i="39" s="1"/>
  <c r="GN10" i="2"/>
  <c r="L19" i="39" s="1"/>
  <c r="BY10" i="2"/>
  <c r="BN11" i="39" s="1"/>
  <c r="WO293" i="2"/>
  <c r="XC293" i="2" s="1"/>
  <c r="T19" i="61" s="1"/>
  <c r="EK10" i="2"/>
  <c r="BN15" i="39" s="1"/>
  <c r="BP10" i="2"/>
  <c r="L11" i="39" s="1"/>
  <c r="WO331" i="2"/>
  <c r="XC331" i="2" s="1"/>
  <c r="V19" i="61" s="1"/>
  <c r="WN318" i="2"/>
  <c r="WN296" i="2"/>
  <c r="WN295" i="2"/>
  <c r="VZ9" i="2"/>
  <c r="U44" i="39" s="1"/>
  <c r="Z95" i="45" s="1"/>
  <c r="VK9" i="2"/>
  <c r="AE43" i="39" s="1"/>
  <c r="UV9" i="2"/>
  <c r="AF42" i="39" s="1"/>
  <c r="UG9" i="2"/>
  <c r="AP41" i="39" s="1"/>
  <c r="TR9" i="2"/>
  <c r="AQ40" i="39" s="1"/>
  <c r="TC9" i="2"/>
  <c r="BA39" i="39" s="1"/>
  <c r="Y44" i="52" s="1"/>
  <c r="SO9" i="2"/>
  <c r="BL38" i="39" s="1"/>
  <c r="RZ9" i="2"/>
  <c r="BM37" i="39" s="1"/>
  <c r="RI9" i="2"/>
  <c r="BL36" i="39" s="1"/>
  <c r="QT9" i="2"/>
  <c r="BM35" i="39" s="1"/>
  <c r="QE9" i="2"/>
  <c r="BW34" i="39" s="1"/>
  <c r="PP9" i="2"/>
  <c r="BX33" i="39" s="1"/>
  <c r="PC9" i="2"/>
  <c r="I33" i="39" s="1"/>
  <c r="ON9" i="2"/>
  <c r="J32" i="39" s="1"/>
  <c r="NY9" i="2"/>
  <c r="T31" i="39" s="1"/>
  <c r="NJ9" i="2"/>
  <c r="U30" i="39" s="1"/>
  <c r="Z81" i="45" s="1"/>
  <c r="MU9" i="2"/>
  <c r="AE29" i="39" s="1"/>
  <c r="MF9" i="2"/>
  <c r="AF28" i="39" s="1"/>
  <c r="LQ9" i="2"/>
  <c r="AP27" i="39" s="1"/>
  <c r="LC9" i="2"/>
  <c r="BA26" i="39" s="1"/>
  <c r="Y31" i="52" s="1"/>
  <c r="KN9" i="2"/>
  <c r="BB25" i="39" s="1"/>
  <c r="Y92" i="52" s="1"/>
  <c r="JY9" i="2"/>
  <c r="BL24" i="39" s="1"/>
  <c r="JJ9" i="2"/>
  <c r="BM23" i="39" s="1"/>
  <c r="IU9" i="2"/>
  <c r="BW22" i="39" s="1"/>
  <c r="IF9" i="2"/>
  <c r="BX21" i="39" s="1"/>
  <c r="HS9" i="2"/>
  <c r="I21" i="39" s="1"/>
  <c r="HD9" i="2"/>
  <c r="J20" i="39" s="1"/>
  <c r="GO9" i="2"/>
  <c r="T19" i="39" s="1"/>
  <c r="FZ9" i="2"/>
  <c r="U18" i="39" s="1"/>
  <c r="Z69" i="45" s="1"/>
  <c r="FK9" i="2"/>
  <c r="AE17" i="39" s="1"/>
  <c r="EV9" i="2"/>
  <c r="AF16" i="39" s="1"/>
  <c r="EG9" i="2"/>
  <c r="AP15" i="39" s="1"/>
  <c r="DS9" i="2"/>
  <c r="BA14" i="39" s="1"/>
  <c r="Y19" i="52" s="1"/>
  <c r="DD9" i="2"/>
  <c r="BB13" i="39" s="1"/>
  <c r="Y80" i="52" s="1"/>
  <c r="CO9" i="2"/>
  <c r="BL12" i="39" s="1"/>
  <c r="BZ9" i="2"/>
  <c r="BM11" i="39" s="1"/>
  <c r="BK9" i="2"/>
  <c r="BW10" i="39" s="1"/>
  <c r="AV9" i="2"/>
  <c r="BX9" i="39" s="1"/>
  <c r="AI9" i="2"/>
  <c r="I9" i="39" s="1"/>
  <c r="T9" i="2"/>
  <c r="J8" i="39" s="1"/>
  <c r="LP8" i="2"/>
  <c r="AD27" i="39" s="1"/>
  <c r="BP8" i="2"/>
  <c r="H11" i="39" s="1"/>
  <c r="WO365" i="2"/>
  <c r="XC365" i="2" s="1"/>
  <c r="X15" i="61" s="1"/>
  <c r="WO363" i="2"/>
  <c r="XC363" i="2" s="1"/>
  <c r="X13" i="61" s="1"/>
  <c r="WO361" i="2"/>
  <c r="XC361" i="2" s="1"/>
  <c r="X11" i="61" s="1"/>
  <c r="SR10" i="2"/>
  <c r="BZ38" i="39" s="1"/>
  <c r="LU10" i="2"/>
  <c r="BN27" i="39" s="1"/>
  <c r="KQ10" i="2"/>
  <c r="BY25" i="39" s="1"/>
  <c r="WN368" i="2"/>
  <c r="VM10" i="2"/>
  <c r="AR43" i="39" s="1"/>
  <c r="QI10" i="2"/>
  <c r="K35" i="39" s="1"/>
  <c r="OA10" i="2"/>
  <c r="AG31" i="39" s="1"/>
  <c r="LT10" i="2"/>
  <c r="BD27" i="39" s="1"/>
  <c r="Z94" i="52" s="1"/>
  <c r="IY10" i="2"/>
  <c r="K23" i="39" s="1"/>
  <c r="AZ10" i="2"/>
  <c r="L10" i="39" s="1"/>
  <c r="WN330" i="2"/>
  <c r="CN9" i="2"/>
  <c r="BB12" i="39" s="1"/>
  <c r="Y79" i="52" s="1"/>
  <c r="VY9" i="2"/>
  <c r="T44" i="39" s="1"/>
  <c r="VJ9" i="2"/>
  <c r="U43" i="39" s="1"/>
  <c r="Z94" i="45" s="1"/>
  <c r="SM9" i="2"/>
  <c r="BA38" i="39" s="1"/>
  <c r="Y43" i="52" s="1"/>
  <c r="QS9" i="2"/>
  <c r="BL35" i="39" s="1"/>
  <c r="PO9" i="2"/>
  <c r="BW33" i="39" s="1"/>
  <c r="OM9" i="2"/>
  <c r="I32" i="39" s="1"/>
  <c r="NX9" i="2"/>
  <c r="J31" i="39" s="1"/>
  <c r="LP9" i="2"/>
  <c r="AF27" i="39" s="1"/>
  <c r="LA9" i="2"/>
  <c r="AP26" i="39" s="1"/>
  <c r="KM9" i="2"/>
  <c r="BA25" i="39" s="1"/>
  <c r="Y30" i="52" s="1"/>
  <c r="JX9" i="2"/>
  <c r="BB24" i="39" s="1"/>
  <c r="Y91" i="52" s="1"/>
  <c r="IT9" i="2"/>
  <c r="BM22" i="39" s="1"/>
  <c r="HP9" i="2"/>
  <c r="BX20" i="39" s="1"/>
  <c r="GN9" i="2"/>
  <c r="J19" i="39" s="1"/>
  <c r="EU9" i="2"/>
  <c r="AE16" i="39" s="1"/>
  <c r="EF9" i="2"/>
  <c r="AF15" i="39" s="1"/>
  <c r="BY9" i="2"/>
  <c r="BL11" i="39" s="1"/>
  <c r="S9" i="2"/>
  <c r="I8" i="39" s="1"/>
  <c r="WE8" i="2"/>
  <c r="AY44" i="39" s="1"/>
  <c r="X49" i="52" s="1"/>
  <c r="VQ8" i="2"/>
  <c r="BJ43" i="39" s="1"/>
  <c r="VC8" i="2"/>
  <c r="BU42" i="39" s="1"/>
  <c r="UC8" i="2"/>
  <c r="R41" i="39" s="1"/>
  <c r="TO8" i="2"/>
  <c r="AC40" i="39" s="1"/>
  <c r="TA8" i="2"/>
  <c r="AN39" i="39" s="1"/>
  <c r="SM8" i="2"/>
  <c r="AY38" i="39" s="1"/>
  <c r="X43" i="52" s="1"/>
  <c r="RY8" i="2"/>
  <c r="BJ37" i="39" s="1"/>
  <c r="RI8" i="2"/>
  <c r="BJ36" i="39" s="1"/>
  <c r="QU8" i="2"/>
  <c r="BU35" i="39" s="1"/>
  <c r="QI8" i="2"/>
  <c r="G35" i="39" s="1"/>
  <c r="PU8" i="2"/>
  <c r="R34" i="39" s="1"/>
  <c r="PG8" i="2"/>
  <c r="AC33" i="39" s="1"/>
  <c r="OS8" i="2"/>
  <c r="AN32" i="39" s="1"/>
  <c r="OE8" i="2"/>
  <c r="AY31" i="39" s="1"/>
  <c r="X36" i="52" s="1"/>
  <c r="NQ8" i="2"/>
  <c r="BJ30" i="39" s="1"/>
  <c r="NC8" i="2"/>
  <c r="BU29" i="39" s="1"/>
  <c r="MQ8" i="2"/>
  <c r="G29" i="39" s="1"/>
  <c r="MC8" i="2"/>
  <c r="R28" i="39" s="1"/>
  <c r="LO8" i="2"/>
  <c r="AC27" i="39" s="1"/>
  <c r="LA8" i="2"/>
  <c r="AN26" i="39" s="1"/>
  <c r="KM8" i="2"/>
  <c r="AY25" i="39" s="1"/>
  <c r="X30" i="52" s="1"/>
  <c r="JY8" i="2"/>
  <c r="BJ24" i="39" s="1"/>
  <c r="JK8" i="2"/>
  <c r="BU23" i="39" s="1"/>
  <c r="IY8" i="2"/>
  <c r="G23" i="39" s="1"/>
  <c r="IK8" i="2"/>
  <c r="R22" i="39" s="1"/>
  <c r="HW8" i="2"/>
  <c r="AC21" i="39" s="1"/>
  <c r="HI8" i="2"/>
  <c r="AN20" i="39" s="1"/>
  <c r="GU8" i="2"/>
  <c r="AY19" i="39" s="1"/>
  <c r="X24" i="52" s="1"/>
  <c r="GG8" i="2"/>
  <c r="BJ18" i="39" s="1"/>
  <c r="FS8" i="2"/>
  <c r="BU17" i="39" s="1"/>
  <c r="FG8" i="2"/>
  <c r="G17" i="39" s="1"/>
  <c r="ES8" i="2"/>
  <c r="R16" i="39" s="1"/>
  <c r="EE8" i="2"/>
  <c r="AC15" i="39" s="1"/>
  <c r="DQ8" i="2"/>
  <c r="AN14" i="39" s="1"/>
  <c r="DC8" i="2"/>
  <c r="AY13" i="39" s="1"/>
  <c r="X18" i="52" s="1"/>
  <c r="CO8" i="2"/>
  <c r="BJ12" i="39" s="1"/>
  <c r="CA8" i="2"/>
  <c r="BU11" i="39" s="1"/>
  <c r="BO8" i="2"/>
  <c r="G11" i="39" s="1"/>
  <c r="BA8" i="2"/>
  <c r="R10" i="39" s="1"/>
  <c r="AM8" i="2"/>
  <c r="AC9" i="39" s="1"/>
  <c r="Y8" i="2"/>
  <c r="AN8" i="39" s="1"/>
  <c r="VZ7" i="2"/>
  <c r="Q44" i="39" s="1"/>
  <c r="X95" i="45" s="1"/>
  <c r="VL7" i="2"/>
  <c r="AB43" i="39" s="1"/>
  <c r="UX7" i="2"/>
  <c r="AM42" i="39" s="1"/>
  <c r="UJ7" i="2"/>
  <c r="AX41" i="39" s="1"/>
  <c r="W108" i="52" s="1"/>
  <c r="TV7" i="2"/>
  <c r="BI40" i="39" s="1"/>
  <c r="TH7" i="2"/>
  <c r="BT39" i="39" s="1"/>
  <c r="SH7" i="2"/>
  <c r="Q38" i="39" s="1"/>
  <c r="X89" i="45" s="1"/>
  <c r="RT7" i="2"/>
  <c r="AB37" i="39" s="1"/>
  <c r="RD7" i="2"/>
  <c r="AB36" i="39" s="1"/>
  <c r="QP7" i="2"/>
  <c r="AM35" i="39" s="1"/>
  <c r="QB7" i="2"/>
  <c r="AX34" i="39" s="1"/>
  <c r="W101" i="52" s="1"/>
  <c r="PN7" i="2"/>
  <c r="BI33" i="39" s="1"/>
  <c r="OZ7" i="2"/>
  <c r="BT32" i="39" s="1"/>
  <c r="ON7" i="2"/>
  <c r="F32" i="39" s="1"/>
  <c r="NZ7" i="2"/>
  <c r="Q31" i="39" s="1"/>
  <c r="X82" i="45" s="1"/>
  <c r="NL7" i="2"/>
  <c r="AB30" i="39" s="1"/>
  <c r="MX7" i="2"/>
  <c r="AM29" i="39" s="1"/>
  <c r="MJ7" i="2"/>
  <c r="AX28" i="39" s="1"/>
  <c r="W95" i="52" s="1"/>
  <c r="LV7" i="2"/>
  <c r="BI27" i="39" s="1"/>
  <c r="LH7" i="2"/>
  <c r="BT26" i="39" s="1"/>
  <c r="KV7" i="2"/>
  <c r="F26" i="39" s="1"/>
  <c r="KH7" i="2"/>
  <c r="Q25" i="39" s="1"/>
  <c r="X76" i="45" s="1"/>
  <c r="JT7" i="2"/>
  <c r="AB24" i="39" s="1"/>
  <c r="JF7" i="2"/>
  <c r="AM23" i="39" s="1"/>
  <c r="IR7" i="2"/>
  <c r="AX22" i="39" s="1"/>
  <c r="W89" i="52" s="1"/>
  <c r="ID7" i="2"/>
  <c r="BI21" i="39" s="1"/>
  <c r="HP7" i="2"/>
  <c r="BT20" i="39" s="1"/>
  <c r="HD7" i="2"/>
  <c r="F20" i="39" s="1"/>
  <c r="GP7" i="2"/>
  <c r="Q19" i="39" s="1"/>
  <c r="X70" i="45" s="1"/>
  <c r="GB7" i="2"/>
  <c r="AB18" i="39" s="1"/>
  <c r="FN7" i="2"/>
  <c r="AM17" i="39" s="1"/>
  <c r="EZ7" i="2"/>
  <c r="AX16" i="39" s="1"/>
  <c r="W83" i="52" s="1"/>
  <c r="EL7" i="2"/>
  <c r="BI15" i="39" s="1"/>
  <c r="DX7" i="2"/>
  <c r="BT14" i="39" s="1"/>
  <c r="DL7" i="2"/>
  <c r="F14" i="39" s="1"/>
  <c r="CX7" i="2"/>
  <c r="Q13" i="39" s="1"/>
  <c r="X64" i="45" s="1"/>
  <c r="CJ7" i="2"/>
  <c r="AB12" i="39" s="1"/>
  <c r="BV7" i="2"/>
  <c r="AM11" i="39" s="1"/>
  <c r="BH7" i="2"/>
  <c r="AX10" i="39" s="1"/>
  <c r="W77" i="52" s="1"/>
  <c r="AT7" i="2"/>
  <c r="BI9" i="39" s="1"/>
  <c r="AF7" i="2"/>
  <c r="BT8" i="39" s="1"/>
  <c r="T7" i="2"/>
  <c r="F8" i="39" s="1"/>
  <c r="UN8" i="2"/>
  <c r="BV41" i="39" s="1"/>
  <c r="TN8" i="2"/>
  <c r="S40" i="39" s="1"/>
  <c r="Y91" i="45" s="1"/>
  <c r="SZ8" i="2"/>
  <c r="AD39" i="39" s="1"/>
  <c r="SL8" i="2"/>
  <c r="AO38" i="39" s="1"/>
  <c r="RX8" i="2"/>
  <c r="AZ37" i="39" s="1"/>
  <c r="X104" i="52" s="1"/>
  <c r="RH8" i="2"/>
  <c r="AZ36" i="39" s="1"/>
  <c r="X103" i="52" s="1"/>
  <c r="QT8" i="2"/>
  <c r="BK35" i="39" s="1"/>
  <c r="QF8" i="2"/>
  <c r="BV34" i="39" s="1"/>
  <c r="PT8" i="2"/>
  <c r="H34" i="39" s="1"/>
  <c r="PF8" i="2"/>
  <c r="S33" i="39" s="1"/>
  <c r="Y84" i="45" s="1"/>
  <c r="OR8" i="2"/>
  <c r="AD32" i="39" s="1"/>
  <c r="OD8" i="2"/>
  <c r="AO31" i="39" s="1"/>
  <c r="NP8" i="2"/>
  <c r="AZ30" i="39" s="1"/>
  <c r="X97" i="52" s="1"/>
  <c r="NB8" i="2"/>
  <c r="BK29" i="39" s="1"/>
  <c r="MN8" i="2"/>
  <c r="BV28" i="39" s="1"/>
  <c r="MB8" i="2"/>
  <c r="H28" i="39" s="1"/>
  <c r="LN8" i="2"/>
  <c r="S27" i="39" s="1"/>
  <c r="Y78" i="45" s="1"/>
  <c r="KZ8" i="2"/>
  <c r="AD26" i="39" s="1"/>
  <c r="KL8" i="2"/>
  <c r="AO25" i="39" s="1"/>
  <c r="JX8" i="2"/>
  <c r="AZ24" i="39" s="1"/>
  <c r="X91" i="52" s="1"/>
  <c r="JJ8" i="2"/>
  <c r="BK23" i="39" s="1"/>
  <c r="IV8" i="2"/>
  <c r="BV22" i="39" s="1"/>
  <c r="IJ8" i="2"/>
  <c r="H22" i="39" s="1"/>
  <c r="HV8" i="2"/>
  <c r="S21" i="39" s="1"/>
  <c r="Y72" i="45" s="1"/>
  <c r="HH8" i="2"/>
  <c r="AD20" i="39" s="1"/>
  <c r="GT8" i="2"/>
  <c r="AO19" i="39" s="1"/>
  <c r="GF8" i="2"/>
  <c r="AZ18" i="39" s="1"/>
  <c r="X85" i="52" s="1"/>
  <c r="FR8" i="2"/>
  <c r="BK17" i="39" s="1"/>
  <c r="FD8" i="2"/>
  <c r="BV16" i="39" s="1"/>
  <c r="ER8" i="2"/>
  <c r="H16" i="39" s="1"/>
  <c r="ED8" i="2"/>
  <c r="S15" i="39" s="1"/>
  <c r="Y66" i="45" s="1"/>
  <c r="DP8" i="2"/>
  <c r="AD14" i="39" s="1"/>
  <c r="DB8" i="2"/>
  <c r="AO13" i="39" s="1"/>
  <c r="CN8" i="2"/>
  <c r="AZ12" i="39" s="1"/>
  <c r="X79" i="52" s="1"/>
  <c r="BZ8" i="2"/>
  <c r="BK11" i="39" s="1"/>
  <c r="BL8" i="2"/>
  <c r="BV10" i="39" s="1"/>
  <c r="AZ8" i="2"/>
  <c r="H10" i="39" s="1"/>
  <c r="AL8" i="2"/>
  <c r="S9" i="39" s="1"/>
  <c r="Y60" i="45" s="1"/>
  <c r="X8" i="2"/>
  <c r="AD8" i="39" s="1"/>
  <c r="VY7" i="2"/>
  <c r="P44" i="39" s="1"/>
  <c r="VK7" i="2"/>
  <c r="AA43" i="39" s="1"/>
  <c r="UW7" i="2"/>
  <c r="AL42" i="39" s="1"/>
  <c r="UI7" i="2"/>
  <c r="AW41" i="39" s="1"/>
  <c r="W46" i="52" s="1"/>
  <c r="TU7" i="2"/>
  <c r="BH40" i="39" s="1"/>
  <c r="TG7" i="2"/>
  <c r="BS39" i="39" s="1"/>
  <c r="SG7" i="2"/>
  <c r="P38" i="39" s="1"/>
  <c r="RS7" i="2"/>
  <c r="AA37" i="39" s="1"/>
  <c r="RC7" i="2"/>
  <c r="AA36" i="39" s="1"/>
  <c r="QO7" i="2"/>
  <c r="AL35" i="39" s="1"/>
  <c r="QA7" i="2"/>
  <c r="AW34" i="39" s="1"/>
  <c r="W39" i="52" s="1"/>
  <c r="PM7" i="2"/>
  <c r="BH33" i="39" s="1"/>
  <c r="OY7" i="2"/>
  <c r="BS32" i="39" s="1"/>
  <c r="OM7" i="2"/>
  <c r="E32" i="39" s="1"/>
  <c r="NY7" i="2"/>
  <c r="P31" i="39" s="1"/>
  <c r="NK7" i="2"/>
  <c r="AA30" i="39" s="1"/>
  <c r="MW7" i="2"/>
  <c r="AL29" i="39" s="1"/>
  <c r="MI7" i="2"/>
  <c r="AW28" i="39" s="1"/>
  <c r="W33" i="52" s="1"/>
  <c r="LU7" i="2"/>
  <c r="BH27" i="39" s="1"/>
  <c r="LG7" i="2"/>
  <c r="BS26" i="39" s="1"/>
  <c r="KU7" i="2"/>
  <c r="E26" i="39" s="1"/>
  <c r="KG7" i="2"/>
  <c r="P25" i="39" s="1"/>
  <c r="JS7" i="2"/>
  <c r="AA24" i="39" s="1"/>
  <c r="JE7" i="2"/>
  <c r="AL23" i="39" s="1"/>
  <c r="IQ7" i="2"/>
  <c r="AW22" i="39" s="1"/>
  <c r="W27" i="52" s="1"/>
  <c r="IC7" i="2"/>
  <c r="BH21" i="39" s="1"/>
  <c r="HO7" i="2"/>
  <c r="BS20" i="39" s="1"/>
  <c r="HC7" i="2"/>
  <c r="E20" i="39" s="1"/>
  <c r="GO7" i="2"/>
  <c r="P19" i="39" s="1"/>
  <c r="GA7" i="2"/>
  <c r="AA18" i="39" s="1"/>
  <c r="FM7" i="2"/>
  <c r="AL17" i="39" s="1"/>
  <c r="EY7" i="2"/>
  <c r="AW16" i="39" s="1"/>
  <c r="W21" i="52" s="1"/>
  <c r="EK7" i="2"/>
  <c r="BH15" i="39" s="1"/>
  <c r="DW7" i="2"/>
  <c r="BS14" i="39" s="1"/>
  <c r="DK7" i="2"/>
  <c r="E14" i="39" s="1"/>
  <c r="CW7" i="2"/>
  <c r="P13" i="39" s="1"/>
  <c r="CI7" i="2"/>
  <c r="AA12" i="39" s="1"/>
  <c r="BU7" i="2"/>
  <c r="AL11" i="39" s="1"/>
  <c r="BG7" i="2"/>
  <c r="AW10" i="39" s="1"/>
  <c r="W15" i="52" s="1"/>
  <c r="AS7" i="2"/>
  <c r="BH9" i="39" s="1"/>
  <c r="AE7" i="2"/>
  <c r="BS8" i="39" s="1"/>
  <c r="S7" i="2"/>
  <c r="E8" i="39" s="1"/>
  <c r="RL10" i="2"/>
  <c r="BZ36" i="39" s="1"/>
  <c r="WN419" i="2"/>
  <c r="WN418" i="2"/>
  <c r="WN416" i="2"/>
  <c r="XC77" i="2"/>
  <c r="H31" i="61" s="1"/>
  <c r="XC69" i="2"/>
  <c r="H23" i="61" s="1"/>
  <c r="XC57" i="2"/>
  <c r="H11" i="61" s="1"/>
  <c r="XC56" i="2"/>
  <c r="H10" i="61" s="1"/>
  <c r="WN382" i="2"/>
  <c r="WN375" i="2"/>
  <c r="WN374" i="2"/>
  <c r="WN373" i="2"/>
  <c r="WN253" i="2"/>
  <c r="WN252" i="2"/>
  <c r="WN251" i="2"/>
  <c r="WN250" i="2"/>
  <c r="WN249" i="2"/>
  <c r="WN248" i="2"/>
  <c r="WN247" i="2"/>
  <c r="WN246" i="2"/>
  <c r="WN245" i="2"/>
  <c r="WN244" i="2"/>
  <c r="WN243" i="2"/>
  <c r="WN242" i="2"/>
  <c r="WO230" i="2"/>
  <c r="XC230" i="2" s="1"/>
  <c r="P32" i="61" s="1"/>
  <c r="WO229" i="2"/>
  <c r="XC229" i="2" s="1"/>
  <c r="P31" i="61" s="1"/>
  <c r="WO228" i="2"/>
  <c r="XC228" i="2" s="1"/>
  <c r="P30" i="61" s="1"/>
  <c r="WO227" i="2"/>
  <c r="XC227" i="2" s="1"/>
  <c r="P29" i="61" s="1"/>
  <c r="WO226" i="2"/>
  <c r="XC226" i="2" s="1"/>
  <c r="P28" i="61" s="1"/>
  <c r="WO225" i="2"/>
  <c r="XC225" i="2" s="1"/>
  <c r="P27" i="61" s="1"/>
  <c r="WO224" i="2"/>
  <c r="XC224" i="2" s="1"/>
  <c r="P26" i="61" s="1"/>
  <c r="WO223" i="2"/>
  <c r="XC223" i="2" s="1"/>
  <c r="P25" i="61" s="1"/>
  <c r="WO222" i="2"/>
  <c r="XC222" i="2" s="1"/>
  <c r="P24" i="61" s="1"/>
  <c r="WO221" i="2"/>
  <c r="XC221" i="2" s="1"/>
  <c r="P23" i="61" s="1"/>
  <c r="WO220" i="2"/>
  <c r="XC220" i="2" s="1"/>
  <c r="P22" i="61" s="1"/>
  <c r="WO219" i="2"/>
  <c r="XC219" i="2" s="1"/>
  <c r="P21" i="61" s="1"/>
  <c r="WO218" i="2"/>
  <c r="XC218" i="2" s="1"/>
  <c r="P20" i="61" s="1"/>
  <c r="WO216" i="2"/>
  <c r="XC216" i="2" s="1"/>
  <c r="P18" i="61" s="1"/>
  <c r="WO215" i="2"/>
  <c r="XC215" i="2" s="1"/>
  <c r="P17" i="61" s="1"/>
  <c r="WO214" i="2"/>
  <c r="XC214" i="2" s="1"/>
  <c r="P16" i="61" s="1"/>
  <c r="WO213" i="2"/>
  <c r="XC213" i="2" s="1"/>
  <c r="P15" i="61" s="1"/>
  <c r="WO212" i="2"/>
  <c r="XC212" i="2" s="1"/>
  <c r="P14" i="61" s="1"/>
  <c r="WO211" i="2"/>
  <c r="XC211" i="2" s="1"/>
  <c r="P13" i="61" s="1"/>
  <c r="WO210" i="2"/>
  <c r="XC210" i="2" s="1"/>
  <c r="P12" i="61" s="1"/>
  <c r="WO209" i="2"/>
  <c r="XC209" i="2" s="1"/>
  <c r="P11" i="61" s="1"/>
  <c r="WO208" i="2"/>
  <c r="XC208" i="2" s="1"/>
  <c r="P10" i="61" s="1"/>
  <c r="WO207" i="2"/>
  <c r="XC207" i="2" s="1"/>
  <c r="P9" i="61" s="1"/>
  <c r="WO206" i="2"/>
  <c r="XC206" i="2" s="1"/>
  <c r="P8" i="61" s="1"/>
  <c r="WO205" i="2"/>
  <c r="XC205" i="2" s="1"/>
  <c r="P7" i="61" s="1"/>
  <c r="WO204" i="2"/>
  <c r="XC204" i="2" s="1"/>
  <c r="WH9" i="2"/>
  <c r="BM44" i="39" s="1"/>
  <c r="TM9" i="2"/>
  <c r="T40" i="39" s="1"/>
  <c r="WN191" i="2"/>
  <c r="WN190" i="2"/>
  <c r="WN181" i="2"/>
  <c r="WN179" i="2"/>
  <c r="WN170" i="2"/>
  <c r="WN166" i="2"/>
  <c r="WN154" i="2"/>
  <c r="WN152" i="2"/>
  <c r="WN151" i="2"/>
  <c r="WN140" i="2"/>
  <c r="WN139" i="2"/>
  <c r="WN131" i="2"/>
  <c r="WW256" i="2"/>
  <c r="WN365" i="2"/>
  <c r="WN363" i="2"/>
  <c r="WO281" i="2"/>
  <c r="XC281" i="2" s="1"/>
  <c r="T7" i="61" s="1"/>
  <c r="WO268" i="2"/>
  <c r="XC268" i="2" s="1"/>
  <c r="R32" i="61" s="1"/>
  <c r="WO267" i="2"/>
  <c r="XC267" i="2" s="1"/>
  <c r="R31" i="61" s="1"/>
  <c r="WO266" i="2"/>
  <c r="XC266" i="2" s="1"/>
  <c r="R30" i="61" s="1"/>
  <c r="WO265" i="2"/>
  <c r="XC265" i="2" s="1"/>
  <c r="R29" i="61" s="1"/>
  <c r="WN192" i="2"/>
  <c r="WN189" i="2"/>
  <c r="WN172" i="2"/>
  <c r="WN153" i="2"/>
  <c r="WN143" i="2"/>
  <c r="WN132" i="2"/>
  <c r="WN433" i="2"/>
  <c r="WO338" i="2"/>
  <c r="XC338" i="2" s="1"/>
  <c r="V26" i="61" s="1"/>
  <c r="WO337" i="2"/>
  <c r="XC337" i="2" s="1"/>
  <c r="V25" i="61" s="1"/>
  <c r="WO333" i="2"/>
  <c r="XC333" i="2" s="1"/>
  <c r="V21" i="61" s="1"/>
  <c r="TV10" i="2"/>
  <c r="BO40" i="39" s="1"/>
  <c r="PF10" i="2"/>
  <c r="W33" i="39" s="1"/>
  <c r="AA84" i="45" s="1"/>
  <c r="MJ10" i="2"/>
  <c r="BD28" i="39" s="1"/>
  <c r="Z95" i="52" s="1"/>
  <c r="IZ10" i="2"/>
  <c r="L23" i="39" s="1"/>
  <c r="GR10" i="2"/>
  <c r="AH19" i="39" s="1"/>
  <c r="DV10" i="2"/>
  <c r="BO14" i="39" s="1"/>
  <c r="CE10" i="2"/>
  <c r="K12" i="39" s="1"/>
  <c r="BA10" i="2"/>
  <c r="V10" i="39" s="1"/>
  <c r="RR9" i="2"/>
  <c r="U37" i="39" s="1"/>
  <c r="Z88" i="45" s="1"/>
  <c r="OE9" i="2"/>
  <c r="BA31" i="39" s="1"/>
  <c r="Y36" i="52" s="1"/>
  <c r="KU9" i="2"/>
  <c r="I26" i="39" s="1"/>
  <c r="HX9" i="2"/>
  <c r="AF21" i="39" s="1"/>
  <c r="DK9" i="2"/>
  <c r="I14" i="39" s="1"/>
  <c r="BC9" i="2"/>
  <c r="AE10" i="39" s="1"/>
  <c r="WO185" i="2"/>
  <c r="XC185" i="2" s="1"/>
  <c r="N25" i="61" s="1"/>
  <c r="WO172" i="2"/>
  <c r="XC172" i="2" s="1"/>
  <c r="N12" i="61" s="1"/>
  <c r="UX8" i="2"/>
  <c r="AO42" i="39" s="1"/>
  <c r="RT8" i="2"/>
  <c r="AD37" i="39" s="1"/>
  <c r="OZ8" i="2"/>
  <c r="BV32" i="39" s="1"/>
  <c r="LV8" i="2"/>
  <c r="BK27" i="39" s="1"/>
  <c r="IR8" i="2"/>
  <c r="AZ22" i="39" s="1"/>
  <c r="X89" i="52" s="1"/>
  <c r="EZ8" i="2"/>
  <c r="AZ16" i="39" s="1"/>
  <c r="X83" i="52" s="1"/>
  <c r="AT8" i="2"/>
  <c r="BK9" i="39" s="1"/>
  <c r="UK10" i="2"/>
  <c r="BN41" i="39" s="1"/>
  <c r="PU10" i="2"/>
  <c r="V34" i="39" s="1"/>
  <c r="MY10" i="2"/>
  <c r="BC29" i="39" s="1"/>
  <c r="Z34" i="52" s="1"/>
  <c r="JO10" i="2"/>
  <c r="K24" i="39" s="1"/>
  <c r="HG10" i="2"/>
  <c r="AG20" i="39" s="1"/>
  <c r="DG10" i="2"/>
  <c r="BY13" i="39" s="1"/>
  <c r="W10" i="2"/>
  <c r="UM9" i="2"/>
  <c r="BW41" i="39" s="1"/>
  <c r="PW9" i="2"/>
  <c r="AE34" i="39" s="1"/>
  <c r="LW9" i="2"/>
  <c r="BW27" i="39" s="1"/>
  <c r="HI9" i="2"/>
  <c r="AP20" i="39" s="1"/>
  <c r="DX9" i="2"/>
  <c r="BX14" i="39" s="1"/>
  <c r="Y9" i="2"/>
  <c r="AP8" i="39" s="1"/>
  <c r="WO183" i="2"/>
  <c r="XC183" i="2" s="1"/>
  <c r="N23" i="61" s="1"/>
  <c r="WO170" i="2"/>
  <c r="XC170" i="2" s="1"/>
  <c r="N10" i="61" s="1"/>
  <c r="VR9" i="2"/>
  <c r="BM43" i="39" s="1"/>
  <c r="QM9" i="2"/>
  <c r="AE35" i="39" s="1"/>
  <c r="NQ9" i="2"/>
  <c r="BL30" i="39" s="1"/>
  <c r="KG9" i="2"/>
  <c r="T25" i="39" s="1"/>
  <c r="GG9" i="2"/>
  <c r="BL18" i="39" s="1"/>
  <c r="EA9" i="2"/>
  <c r="I15" i="39" s="1"/>
  <c r="BS9" i="2"/>
  <c r="AE11" i="39" s="1"/>
  <c r="UK8" i="2"/>
  <c r="BJ41" i="39" s="1"/>
  <c r="HS8" i="2"/>
  <c r="G21" i="39" s="1"/>
  <c r="WN336" i="2"/>
  <c r="VB9" i="2"/>
  <c r="BM42" i="39" s="1"/>
  <c r="OS9" i="2"/>
  <c r="AP32" i="39" s="1"/>
  <c r="LH9" i="2"/>
  <c r="BX26" i="39" s="1"/>
  <c r="IM9" i="2"/>
  <c r="AE22" i="39" s="1"/>
  <c r="FB9" i="2"/>
  <c r="BM16" i="39" s="1"/>
  <c r="BR9" i="2"/>
  <c r="U11" i="39" s="1"/>
  <c r="Z62" i="45" s="1"/>
  <c r="WO188" i="2"/>
  <c r="XC188" i="2" s="1"/>
  <c r="N28" i="61" s="1"/>
  <c r="WO168" i="2"/>
  <c r="XC168" i="2" s="1"/>
  <c r="N8" i="61" s="1"/>
  <c r="TV8" i="2"/>
  <c r="BK40" i="39" s="1"/>
  <c r="RD8" i="2"/>
  <c r="AD36" i="39" s="1"/>
  <c r="MX8" i="2"/>
  <c r="AO29" i="39" s="1"/>
  <c r="KH8" i="2"/>
  <c r="S25" i="39" s="1"/>
  <c r="Y76" i="45" s="1"/>
  <c r="GP8" i="2"/>
  <c r="S19" i="39" s="1"/>
  <c r="Y70" i="45" s="1"/>
  <c r="DL8" i="2"/>
  <c r="H14" i="39" s="1"/>
  <c r="T8" i="2"/>
  <c r="H8" i="39" s="1"/>
  <c r="AY10" i="2"/>
  <c r="K10" i="39" s="1"/>
  <c r="WN259" i="2"/>
  <c r="IZ9" i="2"/>
  <c r="J23" i="39" s="1"/>
  <c r="UT8" i="2"/>
  <c r="S42" i="39" s="1"/>
  <c r="Y93" i="45" s="1"/>
  <c r="JB8" i="2"/>
  <c r="S23" i="39" s="1"/>
  <c r="Y74" i="45" s="1"/>
  <c r="AP8" i="2"/>
  <c r="AO9" i="39" s="1"/>
  <c r="WO137" i="2"/>
  <c r="GZ8" i="2"/>
  <c r="BV19" i="39" s="1"/>
  <c r="WO96" i="2"/>
  <c r="XC96" i="2" s="1"/>
  <c r="J12" i="61" s="1"/>
  <c r="WN406" i="2"/>
  <c r="DD10" i="2"/>
  <c r="BD13" i="39" s="1"/>
  <c r="Z80" i="52" s="1"/>
  <c r="WW294" i="2"/>
  <c r="IY9" i="2"/>
  <c r="I23" i="39" s="1"/>
  <c r="WN300" i="2"/>
  <c r="VT8" i="2"/>
  <c r="BV43" i="39" s="1"/>
  <c r="WO380" i="2"/>
  <c r="XC380" i="2" s="1"/>
  <c r="X30" i="61" s="1"/>
  <c r="VD9" i="2"/>
  <c r="BX42" i="39" s="1"/>
  <c r="RT9" i="2"/>
  <c r="AF37" i="39" s="1"/>
  <c r="PY9" i="2"/>
  <c r="AP34" i="39" s="1"/>
  <c r="OG9" i="2"/>
  <c r="BL31" i="39" s="1"/>
  <c r="NC9" i="2"/>
  <c r="BW29" i="39" s="1"/>
  <c r="LL9" i="2"/>
  <c r="J27" i="39" s="1"/>
  <c r="KH9" i="2"/>
  <c r="U25" i="39" s="1"/>
  <c r="Z76" i="45" s="1"/>
  <c r="IO9" i="2"/>
  <c r="AP22" i="39" s="1"/>
  <c r="GW9" i="2"/>
  <c r="BL19" i="39" s="1"/>
  <c r="FS9" i="2"/>
  <c r="BW17" i="39" s="1"/>
  <c r="EQ9" i="2"/>
  <c r="I16" i="39" s="1"/>
  <c r="DM9" i="2"/>
  <c r="T14" i="39" s="1"/>
  <c r="BT9" i="2"/>
  <c r="AF11" i="39" s="1"/>
  <c r="BE9" i="2"/>
  <c r="AP10" i="39" s="1"/>
  <c r="AB9" i="2"/>
  <c r="BB8" i="39" s="1"/>
  <c r="Y75" i="52" s="1"/>
  <c r="WN222" i="2"/>
  <c r="WN440" i="2"/>
  <c r="WN435" i="2"/>
  <c r="WN379" i="2"/>
  <c r="WN377" i="2"/>
  <c r="WN371" i="2"/>
  <c r="WO336" i="2"/>
  <c r="XC336" i="2" s="1"/>
  <c r="V24" i="61" s="1"/>
  <c r="WB10" i="2"/>
  <c r="AH44" i="39" s="1"/>
  <c r="UI10" i="2"/>
  <c r="BC41" i="39" s="1"/>
  <c r="Z46" i="52" s="1"/>
  <c r="TF10" i="2"/>
  <c r="BO39" i="39" s="1"/>
  <c r="OP10" i="2"/>
  <c r="W32" i="39" s="1"/>
  <c r="AA83" i="45" s="1"/>
  <c r="NL10" i="2"/>
  <c r="AH30" i="39" s="1"/>
  <c r="LE10" i="2"/>
  <c r="BN26" i="39" s="1"/>
  <c r="JL10" i="2"/>
  <c r="BZ23" i="39" s="1"/>
  <c r="HU10" i="2"/>
  <c r="V21" i="39" s="1"/>
  <c r="GB10" i="2"/>
  <c r="AH18" i="39" s="1"/>
  <c r="EJ10" i="2"/>
  <c r="BD15" i="39" s="1"/>
  <c r="Z82" i="52" s="1"/>
  <c r="DF10" i="2"/>
  <c r="BO13" i="39" s="1"/>
  <c r="BO10" i="2"/>
  <c r="K11" i="39" s="1"/>
  <c r="AK10" i="2"/>
  <c r="V9" i="39" s="1"/>
  <c r="WN292" i="2"/>
  <c r="WO262" i="2"/>
  <c r="XC262" i="2" s="1"/>
  <c r="R26" i="61" s="1"/>
  <c r="WO260" i="2"/>
  <c r="XC260" i="2" s="1"/>
  <c r="R24" i="61" s="1"/>
  <c r="WO258" i="2"/>
  <c r="XC258" i="2" s="1"/>
  <c r="R22" i="61" s="1"/>
  <c r="WD9" i="2"/>
  <c r="AQ44" i="39" s="1"/>
  <c r="VO9" i="2"/>
  <c r="BA43" i="39" s="1"/>
  <c r="Y48" i="52" s="1"/>
  <c r="VA9" i="2"/>
  <c r="BL42" i="39" s="1"/>
  <c r="UL9" i="2"/>
  <c r="BM41" i="39" s="1"/>
  <c r="CU9" i="2"/>
  <c r="I13" i="39" s="1"/>
  <c r="WN175" i="2"/>
  <c r="WI8" i="2"/>
  <c r="BU44" i="39" s="1"/>
  <c r="UU8" i="2"/>
  <c r="AC42" i="39" s="1"/>
  <c r="UG8" i="2"/>
  <c r="AN41" i="39" s="1"/>
  <c r="EW8" i="2"/>
  <c r="AN16" i="39" s="1"/>
  <c r="EI8" i="2"/>
  <c r="AY15" i="39" s="1"/>
  <c r="X20" i="52" s="1"/>
  <c r="AQ8" i="2"/>
  <c r="AY9" i="39" s="1"/>
  <c r="X14" i="52" s="1"/>
  <c r="WN133" i="2"/>
  <c r="UW8" i="2"/>
  <c r="AN42" i="39" s="1"/>
  <c r="RC8" i="2"/>
  <c r="AC36" i="39" s="1"/>
  <c r="IQ8" i="2"/>
  <c r="AY22" i="39" s="1"/>
  <c r="X27" i="52" s="1"/>
  <c r="DK8" i="2"/>
  <c r="G14" i="39" s="1"/>
  <c r="CW8" i="2"/>
  <c r="R13" i="39" s="1"/>
  <c r="VS9" i="2"/>
  <c r="BW43" i="39" s="1"/>
  <c r="SX9" i="2"/>
  <c r="U39" i="39" s="1"/>
  <c r="Z90" i="45" s="1"/>
  <c r="RC9" i="2"/>
  <c r="AE36" i="39" s="1"/>
  <c r="OV9" i="2"/>
  <c r="BB32" i="39" s="1"/>
  <c r="Y99" i="52" s="1"/>
  <c r="MN9" i="2"/>
  <c r="BX28" i="39" s="1"/>
  <c r="JD9" i="2"/>
  <c r="AF23" i="39" s="1"/>
  <c r="CX9" i="2"/>
  <c r="U13" i="39" s="1"/>
  <c r="Z64" i="45" s="1"/>
  <c r="WN441" i="2"/>
  <c r="WW292" i="2"/>
  <c r="SW9" i="2"/>
  <c r="T39" i="39" s="1"/>
  <c r="RB9" i="2"/>
  <c r="U36" i="39" s="1"/>
  <c r="Z87" i="45" s="1"/>
  <c r="PI9" i="2"/>
  <c r="AP33" i="39" s="1"/>
  <c r="NB9" i="2"/>
  <c r="BM29" i="39" s="1"/>
  <c r="LK9" i="2"/>
  <c r="I27" i="39" s="1"/>
  <c r="JC9" i="2"/>
  <c r="AE23" i="39" s="1"/>
  <c r="HY9" i="2"/>
  <c r="AP21" i="39" s="1"/>
  <c r="FR9" i="2"/>
  <c r="BM17" i="39" s="1"/>
  <c r="DL9" i="2"/>
  <c r="J14" i="39" s="1"/>
  <c r="CH9" i="2"/>
  <c r="U12" i="39" s="1"/>
  <c r="Z63" i="45" s="1"/>
  <c r="AA9" i="2"/>
  <c r="BA8" i="39" s="1"/>
  <c r="Y13" i="52" s="1"/>
  <c r="UY8" i="2"/>
  <c r="AY42" i="39" s="1"/>
  <c r="X47" i="52" s="1"/>
  <c r="SI8" i="2"/>
  <c r="AC38" i="39" s="1"/>
  <c r="RE8" i="2"/>
  <c r="AN36" i="39" s="1"/>
  <c r="QC8" i="2"/>
  <c r="BJ34" i="39" s="1"/>
  <c r="PO8" i="2"/>
  <c r="BU33" i="39" s="1"/>
  <c r="OO8" i="2"/>
  <c r="R32" i="39" s="1"/>
  <c r="NM8" i="2"/>
  <c r="AN30" i="39" s="1"/>
  <c r="MK8" i="2"/>
  <c r="BJ28" i="39" s="1"/>
  <c r="KW8" i="2"/>
  <c r="R26" i="39" s="1"/>
  <c r="JU8" i="2"/>
  <c r="AN24" i="39" s="1"/>
  <c r="IS8" i="2"/>
  <c r="BJ22" i="39" s="1"/>
  <c r="IE8" i="2"/>
  <c r="BU21" i="39" s="1"/>
  <c r="HE8" i="2"/>
  <c r="R20" i="39" s="1"/>
  <c r="GQ8" i="2"/>
  <c r="AC19" i="39" s="1"/>
  <c r="FO8" i="2"/>
  <c r="AY17" i="39" s="1"/>
  <c r="X22" i="52" s="1"/>
  <c r="EM8" i="2"/>
  <c r="BU15" i="39" s="1"/>
  <c r="QL7" i="2"/>
  <c r="Q35" i="39" s="1"/>
  <c r="X86" i="45" s="1"/>
  <c r="NT7" i="2"/>
  <c r="BT30" i="39" s="1"/>
  <c r="GX7" i="2"/>
  <c r="BI19" i="39" s="1"/>
  <c r="GJ7" i="2"/>
  <c r="BT18" i="39" s="1"/>
  <c r="CF7" i="2"/>
  <c r="F12" i="39" s="1"/>
  <c r="WC10" i="2"/>
  <c r="AR44" i="39" s="1"/>
  <c r="UY10" i="2"/>
  <c r="BC42" i="39" s="1"/>
  <c r="Z47" i="52" s="1"/>
  <c r="QJ10" i="2"/>
  <c r="L35" i="39" s="1"/>
  <c r="OB10" i="2"/>
  <c r="AH31" i="39" s="1"/>
  <c r="LF10" i="2"/>
  <c r="BO26" i="39" s="1"/>
  <c r="IK10" i="2"/>
  <c r="V22" i="39" s="1"/>
  <c r="GC10" i="2"/>
  <c r="AR18" i="39" s="1"/>
  <c r="CR10" i="2"/>
  <c r="BZ12" i="39" s="1"/>
  <c r="QL9" i="2"/>
  <c r="U35" i="39" s="1"/>
  <c r="Z86" i="45" s="1"/>
  <c r="NA9" i="2"/>
  <c r="BL29" i="39" s="1"/>
  <c r="GF9" i="2"/>
  <c r="BB18" i="39" s="1"/>
  <c r="Y85" i="52" s="1"/>
  <c r="WO187" i="2"/>
  <c r="XC187" i="2" s="1"/>
  <c r="N27" i="61" s="1"/>
  <c r="WO179" i="2"/>
  <c r="XC179" i="2" s="1"/>
  <c r="N19" i="61" s="1"/>
  <c r="WO176" i="2"/>
  <c r="XC176" i="2" s="1"/>
  <c r="N16" i="61" s="1"/>
  <c r="WO174" i="2"/>
  <c r="XC174" i="2" s="1"/>
  <c r="N14" i="61" s="1"/>
  <c r="VZ8" i="2"/>
  <c r="S44" i="39" s="1"/>
  <c r="Y95" i="45" s="1"/>
  <c r="TH8" i="2"/>
  <c r="BV39" i="39" s="1"/>
  <c r="QP8" i="2"/>
  <c r="AO35" i="39" s="1"/>
  <c r="ON8" i="2"/>
  <c r="H32" i="39" s="1"/>
  <c r="MJ8" i="2"/>
  <c r="AZ28" i="39" s="1"/>
  <c r="X95" i="52" s="1"/>
  <c r="JT8" i="2"/>
  <c r="AD24" i="39" s="1"/>
  <c r="ID8" i="2"/>
  <c r="BK21" i="39" s="1"/>
  <c r="GB8" i="2"/>
  <c r="AD18" i="39" s="1"/>
  <c r="DX8" i="2"/>
  <c r="BV14" i="39" s="1"/>
  <c r="CJ8" i="2"/>
  <c r="AD12" i="39" s="1"/>
  <c r="AF8" i="2"/>
  <c r="BV8" i="39" s="1"/>
  <c r="AV10" i="2"/>
  <c r="BZ9" i="39" s="1"/>
  <c r="WN150" i="2"/>
  <c r="WN146" i="2"/>
  <c r="WO420" i="2"/>
  <c r="XC420" i="2" s="1"/>
  <c r="Z32" i="61" s="1"/>
  <c r="WO419" i="2"/>
  <c r="XC419" i="2" s="1"/>
  <c r="Z31" i="61" s="1"/>
  <c r="WO418" i="2"/>
  <c r="XC418" i="2" s="1"/>
  <c r="Z30" i="61" s="1"/>
  <c r="WO417" i="2"/>
  <c r="XC417" i="2" s="1"/>
  <c r="Z29" i="61" s="1"/>
  <c r="WO413" i="2"/>
  <c r="XC413" i="2" s="1"/>
  <c r="Z25" i="61" s="1"/>
  <c r="WO412" i="2"/>
  <c r="XC412" i="2" s="1"/>
  <c r="Z24" i="61" s="1"/>
  <c r="WO411" i="2"/>
  <c r="XC411" i="2" s="1"/>
  <c r="Z23" i="61" s="1"/>
  <c r="WO410" i="2"/>
  <c r="XC410" i="2" s="1"/>
  <c r="Z22" i="61" s="1"/>
  <c r="WO409" i="2"/>
  <c r="XC409" i="2" s="1"/>
  <c r="Z21" i="61" s="1"/>
  <c r="WN403" i="2"/>
  <c r="WN402" i="2"/>
  <c r="WN401" i="2"/>
  <c r="WN400" i="2"/>
  <c r="WN399" i="2"/>
  <c r="WN398" i="2"/>
  <c r="WN395" i="2"/>
  <c r="WN394" i="2"/>
  <c r="WO367" i="2"/>
  <c r="XC367" i="2" s="1"/>
  <c r="X17" i="61" s="1"/>
  <c r="WO366" i="2"/>
  <c r="XC366" i="2" s="1"/>
  <c r="X16" i="61" s="1"/>
  <c r="WO364" i="2"/>
  <c r="WO362" i="2"/>
  <c r="XC362" i="2" s="1"/>
  <c r="X12" i="61" s="1"/>
  <c r="WO359" i="2"/>
  <c r="XC359" i="2" s="1"/>
  <c r="X9" i="61" s="1"/>
  <c r="WO358" i="2"/>
  <c r="XC358" i="2" s="1"/>
  <c r="X8" i="61" s="1"/>
  <c r="WO357" i="2"/>
  <c r="XC357" i="2" s="1"/>
  <c r="X7" i="61" s="1"/>
  <c r="WO356" i="2"/>
  <c r="XC356" i="2" s="1"/>
  <c r="WJ10" i="2"/>
  <c r="BZ44" i="39" s="1"/>
  <c r="US10" i="2"/>
  <c r="V42" i="39" s="1"/>
  <c r="UD10" i="2"/>
  <c r="W41" i="39" s="1"/>
  <c r="AA92" i="45" s="1"/>
  <c r="TO10" i="2"/>
  <c r="AG40" i="39" s="1"/>
  <c r="SK10" i="2"/>
  <c r="AR38" i="39" s="1"/>
  <c r="RV10" i="2"/>
  <c r="AS37" i="39" s="1"/>
  <c r="RE10" i="2"/>
  <c r="AR36" i="39" s="1"/>
  <c r="QB10" i="2"/>
  <c r="BD34" i="39" s="1"/>
  <c r="Z101" i="52" s="1"/>
  <c r="PM10" i="2"/>
  <c r="BN33" i="39" s="1"/>
  <c r="OX10" i="2"/>
  <c r="BO32" i="39" s="1"/>
  <c r="OI10" i="2"/>
  <c r="BY31" i="39" s="1"/>
  <c r="NG10" i="2"/>
  <c r="K30" i="39" s="1"/>
  <c r="MR10" i="2"/>
  <c r="L29" i="39" s="1"/>
  <c r="MC10" i="2"/>
  <c r="V28" i="39" s="1"/>
  <c r="LN10" i="2"/>
  <c r="W27" i="39" s="1"/>
  <c r="AA78" i="45" s="1"/>
  <c r="KY10" i="2"/>
  <c r="AG26" i="39" s="1"/>
  <c r="KJ10" i="2"/>
  <c r="AH25" i="39" s="1"/>
  <c r="JU10" i="2"/>
  <c r="AR24" i="39" s="1"/>
  <c r="IR10" i="2"/>
  <c r="BD22" i="39" s="1"/>
  <c r="Z89" i="52" s="1"/>
  <c r="IC10" i="2"/>
  <c r="BN21" i="39" s="1"/>
  <c r="HN10" i="2"/>
  <c r="BO20" i="39" s="1"/>
  <c r="GJ10" i="2"/>
  <c r="BZ18" i="39" s="1"/>
  <c r="FW10" i="2"/>
  <c r="K18" i="39" s="1"/>
  <c r="FH10" i="2"/>
  <c r="L17" i="39" s="1"/>
  <c r="ES10" i="2"/>
  <c r="V16" i="39" s="1"/>
  <c r="ED10" i="2"/>
  <c r="W15" i="39" s="1"/>
  <c r="AA66" i="45" s="1"/>
  <c r="DO10" i="2"/>
  <c r="AG14" i="39" s="1"/>
  <c r="CZ10" i="2"/>
  <c r="AH13" i="39" s="1"/>
  <c r="CK10" i="2"/>
  <c r="AR12" i="39" s="1"/>
  <c r="BW10" i="2"/>
  <c r="BC11" i="39" s="1"/>
  <c r="Z16" i="52" s="1"/>
  <c r="BH10" i="2"/>
  <c r="BD10" i="39" s="1"/>
  <c r="Z77" i="52" s="1"/>
  <c r="AS10" i="2"/>
  <c r="BN9" i="39" s="1"/>
  <c r="AD10" i="2"/>
  <c r="BO8" i="39" s="1"/>
  <c r="WN327" i="2"/>
  <c r="WN299" i="2"/>
  <c r="WN297" i="2"/>
  <c r="WN438" i="2"/>
  <c r="WN380" i="2"/>
  <c r="WN372" i="2"/>
  <c r="WO334" i="2"/>
  <c r="XC334" i="2" s="1"/>
  <c r="V22" i="61" s="1"/>
  <c r="UN9" i="2"/>
  <c r="BX41" i="39" s="1"/>
  <c r="SH9" i="2"/>
  <c r="U38" i="39" s="1"/>
  <c r="Z89" i="45" s="1"/>
  <c r="PX9" i="2"/>
  <c r="AF34" i="39" s="1"/>
  <c r="OF9" i="2"/>
  <c r="BB31" i="39" s="1"/>
  <c r="Y98" i="52" s="1"/>
  <c r="MM9" i="2"/>
  <c r="BW28" i="39" s="1"/>
  <c r="KV9" i="2"/>
  <c r="J26" i="39" s="1"/>
  <c r="IN9" i="2"/>
  <c r="AF22" i="39" s="1"/>
  <c r="HK9" i="2"/>
  <c r="BA20" i="39" s="1"/>
  <c r="Y25" i="52" s="1"/>
  <c r="FC9" i="2"/>
  <c r="BW16" i="39" s="1"/>
  <c r="CW9" i="2"/>
  <c r="T13" i="39" s="1"/>
  <c r="AO9" i="2"/>
  <c r="AP9" i="39" s="1"/>
  <c r="WA8" i="2"/>
  <c r="AC44" i="39" s="1"/>
  <c r="TW8" i="2"/>
  <c r="BU40" i="39" s="1"/>
  <c r="SW8" i="2"/>
  <c r="R39" i="39" s="1"/>
  <c r="RU8" i="2"/>
  <c r="AN37" i="39" s="1"/>
  <c r="QQ8" i="2"/>
  <c r="AY35" i="39" s="1"/>
  <c r="X40" i="52" s="1"/>
  <c r="PC8" i="2"/>
  <c r="G33" i="39" s="1"/>
  <c r="OA8" i="2"/>
  <c r="AC31" i="39" s="1"/>
  <c r="MY8" i="2"/>
  <c r="AY29" i="39" s="1"/>
  <c r="X34" i="52" s="1"/>
  <c r="LW8" i="2"/>
  <c r="BU27" i="39" s="1"/>
  <c r="LK8" i="2"/>
  <c r="G27" i="39" s="1"/>
  <c r="KI8" i="2"/>
  <c r="AC25" i="39" s="1"/>
  <c r="JG8" i="2"/>
  <c r="AY23" i="39" s="1"/>
  <c r="X28" i="52" s="1"/>
  <c r="FA8" i="2"/>
  <c r="BJ16" i="39" s="1"/>
  <c r="WO370" i="2"/>
  <c r="WW370" i="2"/>
  <c r="VN10" i="2"/>
  <c r="AS43" i="39" s="1"/>
  <c r="TG10" i="2"/>
  <c r="BY39" i="39" s="1"/>
  <c r="QY10" i="2"/>
  <c r="K36" i="39" s="1"/>
  <c r="OQ10" i="2"/>
  <c r="AG32" i="39" s="1"/>
  <c r="NM10" i="2"/>
  <c r="AR30" i="39" s="1"/>
  <c r="KB10" i="2"/>
  <c r="BZ24" i="39" s="1"/>
  <c r="HV10" i="2"/>
  <c r="W21" i="39" s="1"/>
  <c r="AA72" i="45" s="1"/>
  <c r="FO10" i="2"/>
  <c r="BC17" i="39" s="1"/>
  <c r="Z22" i="52" s="1"/>
  <c r="AL10" i="2"/>
  <c r="W9" i="39" s="1"/>
  <c r="AA60" i="45" s="1"/>
  <c r="WN335" i="2"/>
  <c r="TX9" i="2"/>
  <c r="BX40" i="39" s="1"/>
  <c r="RA9" i="2"/>
  <c r="T36" i="39" s="1"/>
  <c r="NP9" i="2"/>
  <c r="BB30" i="39" s="1"/>
  <c r="Y97" i="52" s="1"/>
  <c r="KF9" i="2"/>
  <c r="J25" i="39" s="1"/>
  <c r="JQ9" i="2"/>
  <c r="T24" i="39" s="1"/>
  <c r="GU9" i="2"/>
  <c r="BA19" i="39" s="1"/>
  <c r="Y24" i="52" s="1"/>
  <c r="EM9" i="2"/>
  <c r="BW15" i="39" s="1"/>
  <c r="CV9" i="2"/>
  <c r="J13" i="39" s="1"/>
  <c r="AN9" i="2"/>
  <c r="AF9" i="39" s="1"/>
  <c r="WO186" i="2"/>
  <c r="XC186" i="2" s="1"/>
  <c r="N26" i="61" s="1"/>
  <c r="WO177" i="2"/>
  <c r="XC177" i="2" s="1"/>
  <c r="N17" i="61" s="1"/>
  <c r="WO175" i="2"/>
  <c r="XC175" i="2" s="1"/>
  <c r="N15" i="61" s="1"/>
  <c r="WO167" i="2"/>
  <c r="XC167" i="2" s="1"/>
  <c r="N7" i="61" s="1"/>
  <c r="UJ8" i="2"/>
  <c r="AZ41" i="39" s="1"/>
  <c r="X108" i="52" s="1"/>
  <c r="SH8" i="2"/>
  <c r="S38" i="39" s="1"/>
  <c r="Y89" i="45" s="1"/>
  <c r="QB8" i="2"/>
  <c r="AZ34" i="39" s="1"/>
  <c r="X101" i="52" s="1"/>
  <c r="NZ8" i="2"/>
  <c r="S31" i="39" s="1"/>
  <c r="Y82" i="45" s="1"/>
  <c r="LH8" i="2"/>
  <c r="BV26" i="39" s="1"/>
  <c r="JF8" i="2"/>
  <c r="AO23" i="39" s="1"/>
  <c r="HD8" i="2"/>
  <c r="H20" i="39" s="1"/>
  <c r="FN8" i="2"/>
  <c r="AO17" i="39" s="1"/>
  <c r="CX8" i="2"/>
  <c r="S13" i="39" s="1"/>
  <c r="Y64" i="45" s="1"/>
  <c r="BV8" i="2"/>
  <c r="AO11" i="39" s="1"/>
  <c r="UE7" i="2"/>
  <c r="AA41" i="39" s="1"/>
  <c r="TC7" i="2"/>
  <c r="AW39" i="39" s="1"/>
  <c r="W44" i="52" s="1"/>
  <c r="FI7" i="2"/>
  <c r="P17" i="39" s="1"/>
  <c r="UX10" i="2"/>
  <c r="AS42" i="39" s="1"/>
  <c r="SB10" i="2"/>
  <c r="BZ37" i="39" s="1"/>
  <c r="PE10" i="2"/>
  <c r="V33" i="39" s="1"/>
  <c r="MW10" i="2"/>
  <c r="AR29" i="39" s="1"/>
  <c r="KP10" i="2"/>
  <c r="BO25" i="39" s="1"/>
  <c r="HF10" i="2"/>
  <c r="W20" i="39" s="1"/>
  <c r="AA71" i="45" s="1"/>
  <c r="EY10" i="2"/>
  <c r="BC16" i="39" s="1"/>
  <c r="Z21" i="52" s="1"/>
  <c r="CQ10" i="2"/>
  <c r="BY12" i="39" s="1"/>
  <c r="WO263" i="2"/>
  <c r="XC263" i="2" s="1"/>
  <c r="R27" i="61" s="1"/>
  <c r="WO259" i="2"/>
  <c r="XC259" i="2" s="1"/>
  <c r="R23" i="61" s="1"/>
  <c r="WN183" i="2"/>
  <c r="WN370" i="2"/>
  <c r="UH10" i="2"/>
  <c r="AS41" i="39" s="1"/>
  <c r="RJ10" i="2"/>
  <c r="BO36" i="39" s="1"/>
  <c r="KO10" i="2"/>
  <c r="BN25" i="39" s="1"/>
  <c r="AJ10" i="2"/>
  <c r="L9" i="39" s="1"/>
  <c r="WN262" i="2"/>
  <c r="WN260" i="2"/>
  <c r="UF8" i="2"/>
  <c r="AD41" i="39" s="1"/>
  <c r="WO149" i="2"/>
  <c r="XC149" i="2" s="1"/>
  <c r="L27" i="61" s="1"/>
  <c r="WO138" i="2"/>
  <c r="XC138" i="2" s="1"/>
  <c r="L16" i="61" s="1"/>
  <c r="WO105" i="2"/>
  <c r="XC105" i="2" s="1"/>
  <c r="J21" i="61" s="1"/>
  <c r="WO92" i="2"/>
  <c r="XC92" i="2" s="1"/>
  <c r="J8" i="61" s="1"/>
  <c r="WO405" i="2"/>
  <c r="XC405" i="2" s="1"/>
  <c r="Z17" i="61" s="1"/>
  <c r="WO400" i="2"/>
  <c r="XC400" i="2" s="1"/>
  <c r="Z12" i="61" s="1"/>
  <c r="WO398" i="2"/>
  <c r="XC398" i="2" s="1"/>
  <c r="Z10" i="61" s="1"/>
  <c r="OY10" i="2"/>
  <c r="BY32" i="39" s="1"/>
  <c r="ID10" i="2"/>
  <c r="BO21" i="39" s="1"/>
  <c r="WO299" i="2"/>
  <c r="XC299" i="2" s="1"/>
  <c r="T25" i="61" s="1"/>
  <c r="WO286" i="2"/>
  <c r="XC286" i="2" s="1"/>
  <c r="T12" i="61" s="1"/>
  <c r="TC8" i="2"/>
  <c r="AY39" i="39" s="1"/>
  <c r="X44" i="52" s="1"/>
  <c r="WN105" i="2"/>
  <c r="WN95" i="2"/>
  <c r="WN417" i="2"/>
  <c r="WN411" i="2"/>
  <c r="WN410" i="2"/>
  <c r="WN369" i="2"/>
  <c r="WN366" i="2"/>
  <c r="WN362" i="2"/>
  <c r="WN359" i="2"/>
  <c r="WN356" i="2"/>
  <c r="WI10" i="2"/>
  <c r="BY44" i="39" s="1"/>
  <c r="UC10" i="2"/>
  <c r="V41" i="39" s="1"/>
  <c r="SY10" i="2"/>
  <c r="AG39" i="39" s="1"/>
  <c r="RU10" i="2"/>
  <c r="AR37" i="39" s="1"/>
  <c r="QO10" i="2"/>
  <c r="AR35" i="39" s="1"/>
  <c r="PL10" i="2"/>
  <c r="BD33" i="39" s="1"/>
  <c r="Z100" i="52" s="1"/>
  <c r="NS10" i="2"/>
  <c r="BY30" i="39" s="1"/>
  <c r="MB10" i="2"/>
  <c r="L28" i="39" s="1"/>
  <c r="WO285" i="2"/>
  <c r="XC285" i="2" s="1"/>
  <c r="T11" i="61" s="1"/>
  <c r="XC78" i="2"/>
  <c r="H32" i="61" s="1"/>
  <c r="XC74" i="2"/>
  <c r="H28" i="61" s="1"/>
  <c r="XC72" i="2"/>
  <c r="H26" i="61" s="1"/>
  <c r="XC67" i="2"/>
  <c r="H21" i="61" s="1"/>
  <c r="XC65" i="2"/>
  <c r="H19" i="61" s="1"/>
  <c r="XC64" i="2"/>
  <c r="H18" i="61" s="1"/>
  <c r="XC62" i="2"/>
  <c r="H16" i="61" s="1"/>
  <c r="XC60" i="2"/>
  <c r="H14" i="61" s="1"/>
  <c r="XC55" i="2"/>
  <c r="H9" i="61" s="1"/>
  <c r="XC53" i="2"/>
  <c r="H7" i="61" s="1"/>
  <c r="SI9" i="2"/>
  <c r="AE38" i="39" s="1"/>
  <c r="QN9" i="2"/>
  <c r="AF35" i="39" s="1"/>
  <c r="PK9" i="2"/>
  <c r="BA33" i="39" s="1"/>
  <c r="Y38" i="52" s="1"/>
  <c r="NR9" i="2"/>
  <c r="BM30" i="39" s="1"/>
  <c r="MA9" i="2"/>
  <c r="I28" i="39" s="1"/>
  <c r="KW9" i="2"/>
  <c r="T26" i="39" s="1"/>
  <c r="JS9" i="2"/>
  <c r="AE24" i="39" s="1"/>
  <c r="IA9" i="2"/>
  <c r="BA21" i="39" s="1"/>
  <c r="Y26" i="52" s="1"/>
  <c r="HL9" i="2"/>
  <c r="BB20" i="39" s="1"/>
  <c r="Y87" i="52" s="1"/>
  <c r="GH9" i="2"/>
  <c r="BM18" i="39" s="1"/>
  <c r="FD9" i="2"/>
  <c r="BX16" i="39" s="1"/>
  <c r="EB9" i="2"/>
  <c r="J15" i="39" s="1"/>
  <c r="AQ9" i="2"/>
  <c r="BA9" i="39" s="1"/>
  <c r="Y14" i="52" s="1"/>
  <c r="WN214" i="2"/>
  <c r="WN439" i="2"/>
  <c r="WN434" i="2"/>
  <c r="WN381" i="2"/>
  <c r="WN378" i="2"/>
  <c r="WN293" i="2"/>
  <c r="RS9" i="2"/>
  <c r="AE37" i="39" s="1"/>
  <c r="OU9" i="2"/>
  <c r="BA32" i="39" s="1"/>
  <c r="Y37" i="52" s="1"/>
  <c r="LX9" i="2"/>
  <c r="BX27" i="39" s="1"/>
  <c r="JR9" i="2"/>
  <c r="U24" i="39" s="1"/>
  <c r="Z75" i="45" s="1"/>
  <c r="GV9" i="2"/>
  <c r="BB19" i="39" s="1"/>
  <c r="Y86" i="52" s="1"/>
  <c r="EN9" i="2"/>
  <c r="BX15" i="39" s="1"/>
  <c r="BD9" i="2"/>
  <c r="AF10" i="39" s="1"/>
  <c r="VM8" i="2"/>
  <c r="AN43" i="39" s="1"/>
  <c r="GC8" i="2"/>
  <c r="AN18" i="39" s="1"/>
  <c r="EZ10" i="2"/>
  <c r="BD16" i="39" s="1"/>
  <c r="Z83" i="52" s="1"/>
  <c r="VQ9" i="2"/>
  <c r="BL43" i="39" s="1"/>
  <c r="PH9" i="2"/>
  <c r="AF33" i="39" s="1"/>
  <c r="ML9" i="2"/>
  <c r="BM28" i="39" s="1"/>
  <c r="JB9" i="2"/>
  <c r="U23" i="39" s="1"/>
  <c r="Z74" i="45" s="1"/>
  <c r="FQ9" i="2"/>
  <c r="BL17" i="39" s="1"/>
  <c r="CG9" i="2"/>
  <c r="T12" i="39" s="1"/>
  <c r="WO184" i="2"/>
  <c r="XC184" i="2" s="1"/>
  <c r="N24" i="61" s="1"/>
  <c r="WO173" i="2"/>
  <c r="XC173" i="2" s="1"/>
  <c r="N13" i="61" s="1"/>
  <c r="VL8" i="2"/>
  <c r="AD43" i="39" s="1"/>
  <c r="PN8" i="2"/>
  <c r="BK33" i="39" s="1"/>
  <c r="NL8" i="2"/>
  <c r="AD30" i="39" s="1"/>
  <c r="KV8" i="2"/>
  <c r="H26" i="39" s="1"/>
  <c r="HP8" i="2"/>
  <c r="BV20" i="39" s="1"/>
  <c r="EL8" i="2"/>
  <c r="BK15" i="39" s="1"/>
  <c r="BH8" i="2"/>
  <c r="AZ10" i="39" s="1"/>
  <c r="X77" i="52" s="1"/>
  <c r="TU10" i="2"/>
  <c r="BN40" i="39" s="1"/>
  <c r="SQ10" i="2"/>
  <c r="BY38" i="39" s="1"/>
  <c r="QV10" i="2"/>
  <c r="BZ35" i="39" s="1"/>
  <c r="PT10" i="2"/>
  <c r="L34" i="39" s="1"/>
  <c r="MI10" i="2"/>
  <c r="BC28" i="39" s="1"/>
  <c r="Z33" i="52" s="1"/>
  <c r="KA10" i="2"/>
  <c r="BY24" i="39" s="1"/>
  <c r="IJ10" i="2"/>
  <c r="L22" i="39" s="1"/>
  <c r="GQ10" i="2"/>
  <c r="AG19" i="39" s="1"/>
  <c r="FM10" i="2"/>
  <c r="AR17" i="39" s="1"/>
  <c r="DU10" i="2"/>
  <c r="BN14" i="39" s="1"/>
  <c r="CB10" i="2"/>
  <c r="BZ11" i="39" s="1"/>
  <c r="V10" i="2"/>
  <c r="W8" i="39" s="1"/>
  <c r="AA59" i="45" s="1"/>
  <c r="WO261" i="2"/>
  <c r="XC261" i="2" s="1"/>
  <c r="R25" i="61" s="1"/>
  <c r="WO257" i="2"/>
  <c r="XC257" i="2" s="1"/>
  <c r="R21" i="61" s="1"/>
  <c r="WN188" i="2"/>
  <c r="WN173" i="2"/>
  <c r="RA8" i="2"/>
  <c r="R36" i="39" s="1"/>
  <c r="WN138" i="2"/>
  <c r="WO332" i="2"/>
  <c r="WN261" i="2"/>
  <c r="WN258" i="2"/>
  <c r="PF9" i="2"/>
  <c r="U33" i="39" s="1"/>
  <c r="Z84" i="45" s="1"/>
  <c r="W9" i="2"/>
  <c r="AE8" i="39" s="1"/>
  <c r="TD8" i="2"/>
  <c r="AZ39" i="39" s="1"/>
  <c r="X106" i="52" s="1"/>
  <c r="PJ8" i="2"/>
  <c r="AO33" i="39" s="1"/>
  <c r="NH8" i="2"/>
  <c r="H30" i="39" s="1"/>
  <c r="DF8" i="2"/>
  <c r="BK13" i="39" s="1"/>
  <c r="WO147" i="2"/>
  <c r="XC147" i="2" s="1"/>
  <c r="L25" i="61" s="1"/>
  <c r="WO135" i="2"/>
  <c r="SR8" i="2"/>
  <c r="BV38" i="39" s="1"/>
  <c r="RB8" i="2"/>
  <c r="S36" i="39" s="1"/>
  <c r="Y87" i="45" s="1"/>
  <c r="OX8" i="2"/>
  <c r="BK32" i="39" s="1"/>
  <c r="LF8" i="2"/>
  <c r="BK26" i="39" s="1"/>
  <c r="WO104" i="2"/>
  <c r="XC104" i="2" s="1"/>
  <c r="J20" i="61" s="1"/>
  <c r="WO94" i="2"/>
  <c r="XC94" i="2" s="1"/>
  <c r="J10" i="61" s="1"/>
  <c r="AI10" i="2"/>
  <c r="K9" i="39" s="1"/>
  <c r="WO287" i="2"/>
  <c r="XC287" i="2" s="1"/>
  <c r="T13" i="61" s="1"/>
  <c r="DF9" i="2"/>
  <c r="BM13" i="39" s="1"/>
  <c r="WN148" i="2"/>
  <c r="RY10" i="2"/>
  <c r="BN37" i="39" s="1"/>
  <c r="HP10" i="2"/>
  <c r="BZ20" i="39" s="1"/>
  <c r="WO401" i="2"/>
  <c r="XC401" i="2" s="1"/>
  <c r="Z13" i="61" s="1"/>
  <c r="WO399" i="2"/>
  <c r="XC399" i="2" s="1"/>
  <c r="Z11" i="61" s="1"/>
  <c r="WO395" i="2"/>
  <c r="XC395" i="2" s="1"/>
  <c r="Z7" i="61" s="1"/>
  <c r="HO10" i="2"/>
  <c r="BY20" i="39" s="1"/>
  <c r="WO298" i="2"/>
  <c r="XC298" i="2" s="1"/>
  <c r="T24" i="61" s="1"/>
  <c r="WN106" i="2"/>
  <c r="WN104" i="2"/>
  <c r="WN93" i="2"/>
  <c r="UZ7" i="2"/>
  <c r="AX42" i="39" s="1"/>
  <c r="W109" i="52" s="1"/>
  <c r="TX7" i="2"/>
  <c r="BT40" i="39" s="1"/>
  <c r="PP7" i="2"/>
  <c r="BT33" i="39" s="1"/>
  <c r="WN412" i="2"/>
  <c r="WN409" i="2"/>
  <c r="WN367" i="2"/>
  <c r="WN364" i="2"/>
  <c r="WN361" i="2"/>
  <c r="WN358" i="2"/>
  <c r="WN357" i="2"/>
  <c r="VT10" i="2"/>
  <c r="BZ43" i="39" s="1"/>
  <c r="TN10" i="2"/>
  <c r="W40" i="39" s="1"/>
  <c r="AA91" i="45" s="1"/>
  <c r="SJ10" i="2"/>
  <c r="AH38" i="39" s="1"/>
  <c r="RD10" i="2"/>
  <c r="AH36" i="39" s="1"/>
  <c r="QA10" i="2"/>
  <c r="BC34" i="39" s="1"/>
  <c r="Z39" i="52" s="1"/>
  <c r="OW10" i="2"/>
  <c r="BN32" i="39" s="1"/>
  <c r="OH10" i="2"/>
  <c r="BO31" i="39" s="1"/>
  <c r="ND10" i="2"/>
  <c r="BZ29" i="39" s="1"/>
  <c r="MQ10" i="2"/>
  <c r="K29" i="39" s="1"/>
  <c r="LM10" i="2"/>
  <c r="V27" i="39" s="1"/>
  <c r="KX10" i="2"/>
  <c r="W26" i="39" s="1"/>
  <c r="AA77" i="45" s="1"/>
  <c r="KI10" i="2"/>
  <c r="AG25" i="39" s="1"/>
  <c r="JT10" i="2"/>
  <c r="AH24" i="39" s="1"/>
  <c r="IQ10" i="2"/>
  <c r="BC22" i="39" s="1"/>
  <c r="Z27" i="52" s="1"/>
  <c r="IB10" i="2"/>
  <c r="BD21" i="39" s="1"/>
  <c r="Z88" i="52" s="1"/>
  <c r="HM10" i="2"/>
  <c r="BN20" i="39" s="1"/>
  <c r="GX10" i="2"/>
  <c r="BO19" i="39" s="1"/>
  <c r="GI10" i="2"/>
  <c r="BY18" i="39" s="1"/>
  <c r="FG10" i="2"/>
  <c r="K17" i="39" s="1"/>
  <c r="ER10" i="2"/>
  <c r="L16" i="39" s="1"/>
  <c r="DN10" i="2"/>
  <c r="W14" i="39" s="1"/>
  <c r="AA65" i="45" s="1"/>
  <c r="CY10" i="2"/>
  <c r="AG13" i="39" s="1"/>
  <c r="CJ10" i="2"/>
  <c r="AH12" i="39" s="1"/>
  <c r="BU10" i="2"/>
  <c r="AR11" i="39" s="1"/>
  <c r="BG10" i="2"/>
  <c r="BC10" i="39" s="1"/>
  <c r="Z15" i="52" s="1"/>
  <c r="AR10" i="2"/>
  <c r="BD9" i="39" s="1"/>
  <c r="Z76" i="52" s="1"/>
  <c r="AC10" i="2"/>
  <c r="BN8" i="39" s="1"/>
  <c r="WN331" i="2"/>
  <c r="XC75" i="2"/>
  <c r="H29" i="61" s="1"/>
  <c r="XC73" i="2"/>
  <c r="H27" i="61" s="1"/>
  <c r="XC71" i="2"/>
  <c r="H25" i="61" s="1"/>
  <c r="XC70" i="2"/>
  <c r="H24" i="61" s="1"/>
  <c r="XC68" i="2"/>
  <c r="H22" i="61" s="1"/>
  <c r="XC66" i="2"/>
  <c r="H20" i="61" s="1"/>
  <c r="XC63" i="2"/>
  <c r="H17" i="61" s="1"/>
  <c r="XC61" i="2"/>
  <c r="H15" i="61" s="1"/>
  <c r="XC58" i="2"/>
  <c r="H12" i="61" s="1"/>
  <c r="XC54" i="2"/>
  <c r="H8" i="61" s="1"/>
  <c r="XC52" i="2"/>
  <c r="WW408" i="2"/>
  <c r="WW368" i="2"/>
  <c r="WN291" i="2"/>
  <c r="WN290" i="2"/>
  <c r="WN288" i="2"/>
  <c r="WN287" i="2"/>
  <c r="WN286" i="2"/>
  <c r="WN285" i="2"/>
  <c r="WN284" i="2"/>
  <c r="WN283" i="2"/>
  <c r="WO251" i="2"/>
  <c r="WO250" i="2"/>
  <c r="XC250" i="2" s="1"/>
  <c r="R14" i="61" s="1"/>
  <c r="WO248" i="2"/>
  <c r="XC248" i="2" s="1"/>
  <c r="R12" i="61" s="1"/>
  <c r="WO247" i="2"/>
  <c r="XC247" i="2" s="1"/>
  <c r="R11" i="61" s="1"/>
  <c r="WO246" i="2"/>
  <c r="XC246" i="2" s="1"/>
  <c r="R10" i="61" s="1"/>
  <c r="WO245" i="2"/>
  <c r="XC245" i="2" s="1"/>
  <c r="R9" i="61" s="1"/>
  <c r="WO243" i="2"/>
  <c r="XC243" i="2" s="1"/>
  <c r="R7" i="61" s="1"/>
  <c r="WJ9" i="2"/>
  <c r="BX44" i="39" s="1"/>
  <c r="US9" i="2"/>
  <c r="T42" i="39" s="1"/>
  <c r="UD9" i="2"/>
  <c r="U41" i="39" s="1"/>
  <c r="Z92" i="45" s="1"/>
  <c r="TO9" i="2"/>
  <c r="AE40" i="39" s="1"/>
  <c r="SZ9" i="2"/>
  <c r="AF39" i="39" s="1"/>
  <c r="SK9" i="2"/>
  <c r="AP38" i="39" s="1"/>
  <c r="RV9" i="2"/>
  <c r="AQ37" i="39" s="1"/>
  <c r="RE9" i="2"/>
  <c r="AP36" i="39" s="1"/>
  <c r="QB9" i="2"/>
  <c r="BB34" i="39" s="1"/>
  <c r="Y101" i="52" s="1"/>
  <c r="PM9" i="2"/>
  <c r="BL33" i="39" s="1"/>
  <c r="OX9" i="2"/>
  <c r="BM32" i="39" s="1"/>
  <c r="OI9" i="2"/>
  <c r="BW31" i="39" s="1"/>
  <c r="NT9" i="2"/>
  <c r="BX30" i="39" s="1"/>
  <c r="NG9" i="2"/>
  <c r="I30" i="39" s="1"/>
  <c r="MR9" i="2"/>
  <c r="J29" i="39" s="1"/>
  <c r="MC9" i="2"/>
  <c r="T28" i="39" s="1"/>
  <c r="LN9" i="2"/>
  <c r="U27" i="39" s="1"/>
  <c r="Z78" i="45" s="1"/>
  <c r="KY9" i="2"/>
  <c r="AE26" i="39" s="1"/>
  <c r="KJ9" i="2"/>
  <c r="AF25" i="39" s="1"/>
  <c r="JU9" i="2"/>
  <c r="AP24" i="39" s="1"/>
  <c r="JG9" i="2"/>
  <c r="BA23" i="39" s="1"/>
  <c r="Y28" i="52" s="1"/>
  <c r="IR9" i="2"/>
  <c r="BB22" i="39" s="1"/>
  <c r="Y89" i="52" s="1"/>
  <c r="IC9" i="2"/>
  <c r="BL21" i="39" s="1"/>
  <c r="HN9" i="2"/>
  <c r="BM20" i="39" s="1"/>
  <c r="GY9" i="2"/>
  <c r="BW19" i="39" s="1"/>
  <c r="GJ9" i="2"/>
  <c r="BX18" i="39" s="1"/>
  <c r="FW9" i="2"/>
  <c r="I18" i="39" s="1"/>
  <c r="FH9" i="2"/>
  <c r="J17" i="39" s="1"/>
  <c r="ES9" i="2"/>
  <c r="T16" i="39" s="1"/>
  <c r="ED9" i="2"/>
  <c r="U15" i="39" s="1"/>
  <c r="Z66" i="45" s="1"/>
  <c r="DO9" i="2"/>
  <c r="AE14" i="39" s="1"/>
  <c r="CZ9" i="2"/>
  <c r="AF13" i="39" s="1"/>
  <c r="CK9" i="2"/>
  <c r="AP12" i="39" s="1"/>
  <c r="BW9" i="2"/>
  <c r="BA11" i="39" s="1"/>
  <c r="Y16" i="52" s="1"/>
  <c r="BH9" i="2"/>
  <c r="BB10" i="39" s="1"/>
  <c r="Y77" i="52" s="1"/>
  <c r="AS9" i="2"/>
  <c r="BL9" i="39" s="1"/>
  <c r="AD9" i="2"/>
  <c r="BM8" i="39" s="1"/>
  <c r="XB78" i="2"/>
  <c r="XB77" i="2"/>
  <c r="XB76" i="2"/>
  <c r="XB75" i="2"/>
  <c r="XB73" i="2"/>
  <c r="XB72" i="2"/>
  <c r="XB69" i="2"/>
  <c r="XB68" i="2"/>
  <c r="XB67" i="2"/>
  <c r="XB66" i="2"/>
  <c r="XB65" i="2"/>
  <c r="XB64" i="2"/>
  <c r="XB63" i="2"/>
  <c r="XB62" i="2"/>
  <c r="XB61" i="2"/>
  <c r="XB60" i="2"/>
  <c r="XB57" i="2"/>
  <c r="XB55" i="2"/>
  <c r="XB54" i="2"/>
  <c r="XB53" i="2"/>
  <c r="XB52" i="2"/>
  <c r="QZ9" i="2"/>
  <c r="J36" i="39" s="1"/>
  <c r="PV9" i="2"/>
  <c r="U34" i="39" s="1"/>
  <c r="Z85" i="45" s="1"/>
  <c r="OC9" i="2"/>
  <c r="AP31" i="39" s="1"/>
  <c r="MZ9" i="2"/>
  <c r="BB29" i="39" s="1"/>
  <c r="Y96" i="52" s="1"/>
  <c r="LV9" i="2"/>
  <c r="BM27" i="39" s="1"/>
  <c r="KR9" i="2"/>
  <c r="BX25" i="39" s="1"/>
  <c r="JP9" i="2"/>
  <c r="J24" i="39" s="1"/>
  <c r="IL9" i="2"/>
  <c r="U22" i="39" s="1"/>
  <c r="Z73" i="45" s="1"/>
  <c r="HH9" i="2"/>
  <c r="AF20" i="39" s="1"/>
  <c r="GE9" i="2"/>
  <c r="BA18" i="39" s="1"/>
  <c r="Y23" i="52" s="1"/>
  <c r="FA9" i="2"/>
  <c r="BL16" i="39" s="1"/>
  <c r="DW9" i="2"/>
  <c r="BW14" i="39" s="1"/>
  <c r="BB9" i="2"/>
  <c r="U10" i="39" s="1"/>
  <c r="Z61" i="45" s="1"/>
  <c r="X9" i="2"/>
  <c r="WN187" i="2"/>
  <c r="WN185" i="2"/>
  <c r="WN180" i="2"/>
  <c r="WN178" i="2"/>
  <c r="WN176" i="2"/>
  <c r="WN174" i="2"/>
  <c r="WN169" i="2"/>
  <c r="WN167" i="2"/>
  <c r="TS8" i="2"/>
  <c r="AY40" i="39" s="1"/>
  <c r="X45" i="52" s="1"/>
  <c r="RQ8" i="2"/>
  <c r="R37" i="39" s="1"/>
  <c r="CU8" i="2"/>
  <c r="G13" i="39" s="1"/>
  <c r="WN137" i="2"/>
  <c r="WN128" i="2"/>
  <c r="VY8" i="2"/>
  <c r="R44" i="39" s="1"/>
  <c r="TU8" i="2"/>
  <c r="BJ40" i="39" s="1"/>
  <c r="SG8" i="2"/>
  <c r="R38" i="39" s="1"/>
  <c r="QA8" i="2"/>
  <c r="AY34" i="39" s="1"/>
  <c r="X39" i="52" s="1"/>
  <c r="OY8" i="2"/>
  <c r="BU32" i="39" s="1"/>
  <c r="NY8" i="2"/>
  <c r="R31" i="39" s="1"/>
  <c r="MW8" i="2"/>
  <c r="AN29" i="39" s="1"/>
  <c r="LU8" i="2"/>
  <c r="BJ27" i="39" s="1"/>
  <c r="KU8" i="2"/>
  <c r="G26" i="39" s="1"/>
  <c r="JS8" i="2"/>
  <c r="AC24" i="39" s="1"/>
  <c r="HO8" i="2"/>
  <c r="BU20" i="39" s="1"/>
  <c r="GO8" i="2"/>
  <c r="R19" i="39" s="1"/>
  <c r="GA8" i="2"/>
  <c r="AC18" i="39" s="1"/>
  <c r="FM8" i="2"/>
  <c r="AN17" i="39" s="1"/>
  <c r="EY8" i="2"/>
  <c r="AY16" i="39" s="1"/>
  <c r="X21" i="52" s="1"/>
  <c r="SL7" i="2"/>
  <c r="AM38" i="39" s="1"/>
  <c r="LN7" i="2"/>
  <c r="Q27" i="39" s="1"/>
  <c r="X78" i="45" s="1"/>
  <c r="JJ7" i="2"/>
  <c r="BI23" i="39" s="1"/>
  <c r="HV7" i="2"/>
  <c r="Q21" i="39" s="1"/>
  <c r="X72" i="45" s="1"/>
  <c r="DP7" i="2"/>
  <c r="AB14" i="39" s="1"/>
  <c r="TP7" i="2"/>
  <c r="AB40" i="39" s="1"/>
  <c r="TB7" i="2"/>
  <c r="AM39" i="39" s="1"/>
  <c r="RZ7" i="2"/>
  <c r="BI37" i="39" s="1"/>
  <c r="QV7" i="2"/>
  <c r="BT35" i="39" s="1"/>
  <c r="OF7" i="2"/>
  <c r="AX31" i="39" s="1"/>
  <c r="W98" i="52" s="1"/>
  <c r="ND7" i="2"/>
  <c r="BT29" i="39" s="1"/>
  <c r="MD7" i="2"/>
  <c r="Q28" i="39" s="1"/>
  <c r="X79" i="45" s="1"/>
  <c r="LB7" i="2"/>
  <c r="AM26" i="39" s="1"/>
  <c r="JZ7" i="2"/>
  <c r="BI24" i="39" s="1"/>
  <c r="IZ7" i="2"/>
  <c r="F23" i="39" s="1"/>
  <c r="HX7" i="2"/>
  <c r="AB21" i="39" s="1"/>
  <c r="HJ7" i="2"/>
  <c r="AM20" i="39" s="1"/>
  <c r="GH7" i="2"/>
  <c r="BI18" i="39" s="1"/>
  <c r="FT7" i="2"/>
  <c r="BT17" i="39" s="1"/>
  <c r="FH7" i="2"/>
  <c r="F17" i="39" s="1"/>
  <c r="ET7" i="2"/>
  <c r="Q16" i="39" s="1"/>
  <c r="X67" i="45" s="1"/>
  <c r="DR7" i="2"/>
  <c r="AM14" i="39" s="1"/>
  <c r="DD7" i="2"/>
  <c r="AX13" i="39" s="1"/>
  <c r="W80" i="52" s="1"/>
  <c r="CP7" i="2"/>
  <c r="BI12" i="39" s="1"/>
  <c r="CB7" i="2"/>
  <c r="BT11" i="39" s="1"/>
  <c r="BP7" i="2"/>
  <c r="F11" i="39" s="1"/>
  <c r="BB7" i="2"/>
  <c r="Q10" i="39" s="1"/>
  <c r="X61" i="45" s="1"/>
  <c r="AN7" i="2"/>
  <c r="AB9" i="39" s="1"/>
  <c r="Z7" i="2"/>
  <c r="AM8" i="39" s="1"/>
  <c r="H9" i="2"/>
  <c r="AF7" i="39" s="1"/>
  <c r="WA10" i="2"/>
  <c r="AG44" i="39" s="1"/>
  <c r="UW10" i="2"/>
  <c r="AR42" i="39" s="1"/>
  <c r="TE10" i="2"/>
  <c r="BN39" i="39" s="1"/>
  <c r="SA10" i="2"/>
  <c r="BY37" i="39" s="1"/>
  <c r="PS10" i="2"/>
  <c r="K34" i="39" s="1"/>
  <c r="OO10" i="2"/>
  <c r="V32" i="39" s="1"/>
  <c r="NK10" i="2"/>
  <c r="AG30" i="39" s="1"/>
  <c r="MG10" i="2"/>
  <c r="AR28" i="39" s="1"/>
  <c r="LD10" i="2"/>
  <c r="BD26" i="39" s="1"/>
  <c r="Z93" i="52" s="1"/>
  <c r="JK10" i="2"/>
  <c r="BY23" i="39" s="1"/>
  <c r="HT10" i="2"/>
  <c r="L21" i="39" s="1"/>
  <c r="HE10" i="2"/>
  <c r="V20" i="39" s="1"/>
  <c r="GP10" i="2"/>
  <c r="W19" i="39" s="1"/>
  <c r="AA70" i="45" s="1"/>
  <c r="FL10" i="2"/>
  <c r="AH17" i="39" s="1"/>
  <c r="EW10" i="2"/>
  <c r="AR16" i="39" s="1"/>
  <c r="EI10" i="2"/>
  <c r="BC15" i="39" s="1"/>
  <c r="Z20" i="52" s="1"/>
  <c r="DT10" i="2"/>
  <c r="BD14" i="39" s="1"/>
  <c r="Z81" i="52" s="1"/>
  <c r="DE10" i="2"/>
  <c r="BN13" i="39" s="1"/>
  <c r="CP10" i="2"/>
  <c r="BO12" i="39" s="1"/>
  <c r="BL10" i="2"/>
  <c r="BZ10" i="39" s="1"/>
  <c r="U10" i="2"/>
  <c r="V8" i="39" s="1"/>
  <c r="WO343" i="2"/>
  <c r="XC343" i="2" s="1"/>
  <c r="V31" i="61" s="1"/>
  <c r="WO341" i="2"/>
  <c r="XC341" i="2" s="1"/>
  <c r="V29" i="61" s="1"/>
  <c r="WO339" i="2"/>
  <c r="XC339" i="2" s="1"/>
  <c r="V27" i="61" s="1"/>
  <c r="WO335" i="2"/>
  <c r="XC335" i="2" s="1"/>
  <c r="V23" i="61" s="1"/>
  <c r="WO302" i="2"/>
  <c r="XC302" i="2" s="1"/>
  <c r="T28" i="61" s="1"/>
  <c r="WO301" i="2"/>
  <c r="XC301" i="2" s="1"/>
  <c r="T27" i="61" s="1"/>
  <c r="WO297" i="2"/>
  <c r="XC297" i="2" s="1"/>
  <c r="T23" i="61" s="1"/>
  <c r="WC9" i="2"/>
  <c r="AP44" i="39" s="1"/>
  <c r="UY9" i="2"/>
  <c r="BA42" i="39" s="1"/>
  <c r="Y47" i="52" s="1"/>
  <c r="TV9" i="2"/>
  <c r="BM40" i="39" s="1"/>
  <c r="SR9" i="2"/>
  <c r="BX38" i="39" s="1"/>
  <c r="PU9" i="2"/>
  <c r="T34" i="39" s="1"/>
  <c r="OB9" i="2"/>
  <c r="AF31" i="39" s="1"/>
  <c r="MY9" i="2"/>
  <c r="BA29" i="39" s="1"/>
  <c r="Y34" i="52" s="1"/>
  <c r="LU9" i="2"/>
  <c r="BL27" i="39" s="1"/>
  <c r="KQ9" i="2"/>
  <c r="BW25" i="39" s="1"/>
  <c r="JO9" i="2"/>
  <c r="I24" i="39" s="1"/>
  <c r="GR9" i="2"/>
  <c r="AF19" i="39" s="1"/>
  <c r="FO9" i="2"/>
  <c r="BA17" i="39" s="1"/>
  <c r="Y22" i="52" s="1"/>
  <c r="EK9" i="2"/>
  <c r="BL15" i="39" s="1"/>
  <c r="CE9" i="2"/>
  <c r="I12" i="39" s="1"/>
  <c r="BA9" i="2"/>
  <c r="T10" i="39" s="1"/>
  <c r="WO146" i="2"/>
  <c r="XC146" i="2" s="1"/>
  <c r="L24" i="61" s="1"/>
  <c r="WO141" i="2"/>
  <c r="XC141" i="2" s="1"/>
  <c r="L19" i="61" s="1"/>
  <c r="WO136" i="2"/>
  <c r="XC136" i="2" s="1"/>
  <c r="L14" i="61" s="1"/>
  <c r="WO133" i="2"/>
  <c r="XC133" i="2" s="1"/>
  <c r="L11" i="61" s="1"/>
  <c r="WJ8" i="2"/>
  <c r="BV44" i="39" s="1"/>
  <c r="UV8" i="2"/>
  <c r="AD42" i="39" s="1"/>
  <c r="UH8" i="2"/>
  <c r="AO41" i="39" s="1"/>
  <c r="TF8" i="2"/>
  <c r="BK39" i="39" s="1"/>
  <c r="RR8" i="2"/>
  <c r="S37" i="39" s="1"/>
  <c r="Y88" i="45" s="1"/>
  <c r="QN8" i="2"/>
  <c r="AD35" i="39" s="1"/>
  <c r="PZ8" i="2"/>
  <c r="AO34" i="39" s="1"/>
  <c r="NX8" i="2"/>
  <c r="H31" i="39" s="1"/>
  <c r="MV8" i="2"/>
  <c r="AD29" i="39" s="1"/>
  <c r="LT8" i="2"/>
  <c r="AZ27" i="39" s="1"/>
  <c r="X94" i="52" s="1"/>
  <c r="KF8" i="2"/>
  <c r="H25" i="39" s="1"/>
  <c r="IP8" i="2"/>
  <c r="AO22" i="39" s="1"/>
  <c r="HN8" i="2"/>
  <c r="BK20" i="39" s="1"/>
  <c r="EJ8" i="2"/>
  <c r="AZ15" i="39" s="1"/>
  <c r="X82" i="52" s="1"/>
  <c r="VK10" i="2"/>
  <c r="AG43" i="39" s="1"/>
  <c r="UV10" i="2"/>
  <c r="AH42" i="39" s="1"/>
  <c r="TR10" i="2"/>
  <c r="AS40" i="39" s="1"/>
  <c r="SO10" i="2"/>
  <c r="BN38" i="39" s="1"/>
  <c r="QT10" i="2"/>
  <c r="BO35" i="39" s="1"/>
  <c r="QE10" i="2"/>
  <c r="BY34" i="39" s="1"/>
  <c r="PC10" i="2"/>
  <c r="K33" i="39" s="1"/>
  <c r="NY10" i="2"/>
  <c r="V31" i="39" s="1"/>
  <c r="NJ10" i="2"/>
  <c r="W30" i="39" s="1"/>
  <c r="AA81" i="45" s="1"/>
  <c r="MF10" i="2"/>
  <c r="AH28" i="39" s="1"/>
  <c r="KN10" i="2"/>
  <c r="BD25" i="39" s="1"/>
  <c r="Z92" i="52" s="1"/>
  <c r="JY10" i="2"/>
  <c r="BN24" i="39" s="1"/>
  <c r="IU10" i="2"/>
  <c r="BY22" i="39" s="1"/>
  <c r="IF10" i="2"/>
  <c r="BZ21" i="39" s="1"/>
  <c r="HD10" i="2"/>
  <c r="L20" i="39" s="1"/>
  <c r="FK10" i="2"/>
  <c r="AG17" i="39" s="1"/>
  <c r="EV10" i="2"/>
  <c r="AH16" i="39" s="1"/>
  <c r="DS10" i="2"/>
  <c r="BC14" i="39" s="1"/>
  <c r="Z19" i="52" s="1"/>
  <c r="CO10" i="2"/>
  <c r="BN12" i="39" s="1"/>
  <c r="WN344" i="2"/>
  <c r="WN342" i="2"/>
  <c r="WN339" i="2"/>
  <c r="WN334" i="2"/>
  <c r="WN333" i="2"/>
  <c r="WN301" i="2"/>
  <c r="VM9" i="2"/>
  <c r="AP43" i="39" s="1"/>
  <c r="UI9" i="2"/>
  <c r="BA41" i="39" s="1"/>
  <c r="Y46" i="52" s="1"/>
  <c r="SB9" i="2"/>
  <c r="BX37" i="39" s="1"/>
  <c r="PE9" i="2"/>
  <c r="T33" i="39" s="1"/>
  <c r="OA9" i="2"/>
  <c r="AE31" i="39" s="1"/>
  <c r="MW9" i="2"/>
  <c r="AP29" i="39" s="1"/>
  <c r="LT9" i="2"/>
  <c r="BB27" i="39" s="1"/>
  <c r="Y94" i="52" s="1"/>
  <c r="KP9" i="2"/>
  <c r="BM25" i="39" s="1"/>
  <c r="JL9" i="2"/>
  <c r="BX23" i="39" s="1"/>
  <c r="GQ9" i="2"/>
  <c r="AE19" i="39" s="1"/>
  <c r="FM9" i="2"/>
  <c r="AP17" i="39" s="1"/>
  <c r="EJ9" i="2"/>
  <c r="BB15" i="39" s="1"/>
  <c r="Y82" i="52" s="1"/>
  <c r="CQ9" i="2"/>
  <c r="BW12" i="39" s="1"/>
  <c r="CB9" i="2"/>
  <c r="BX11" i="39" s="1"/>
  <c r="AK9" i="2"/>
  <c r="T9" i="39" s="1"/>
  <c r="WN149" i="2"/>
  <c r="WN145" i="2"/>
  <c r="WN144" i="2"/>
  <c r="WN135" i="2"/>
  <c r="WN129" i="2"/>
  <c r="PK8" i="2"/>
  <c r="AY33" i="39" s="1"/>
  <c r="X38" i="52" s="1"/>
  <c r="MU8" i="2"/>
  <c r="AC29" i="39" s="1"/>
  <c r="BE8" i="2"/>
  <c r="AN10" i="39" s="1"/>
  <c r="FR7" i="2"/>
  <c r="BI17" i="39" s="1"/>
  <c r="WO340" i="2"/>
  <c r="XC340" i="2" s="1"/>
  <c r="V28" i="61" s="1"/>
  <c r="WE7" i="2"/>
  <c r="AW44" i="39" s="1"/>
  <c r="W49" i="52" s="1"/>
  <c r="VQ7" i="2"/>
  <c r="BH43" i="39" s="1"/>
  <c r="VC7" i="2"/>
  <c r="BS42" i="39" s="1"/>
  <c r="UC7" i="2"/>
  <c r="P41" i="39" s="1"/>
  <c r="TO7" i="2"/>
  <c r="AA40" i="39" s="1"/>
  <c r="TA7" i="2"/>
  <c r="AL39" i="39" s="1"/>
  <c r="SM7" i="2"/>
  <c r="AW38" i="39" s="1"/>
  <c r="W43" i="52" s="1"/>
  <c r="RY7" i="2"/>
  <c r="BH37" i="39" s="1"/>
  <c r="RI7" i="2"/>
  <c r="BH36" i="39" s="1"/>
  <c r="QU7" i="2"/>
  <c r="BS35" i="39" s="1"/>
  <c r="QI7" i="2"/>
  <c r="E35" i="39" s="1"/>
  <c r="PU7" i="2"/>
  <c r="P34" i="39" s="1"/>
  <c r="PG7" i="2"/>
  <c r="AA33" i="39" s="1"/>
  <c r="OS7" i="2"/>
  <c r="AL32" i="39" s="1"/>
  <c r="OE7" i="2"/>
  <c r="AW31" i="39" s="1"/>
  <c r="W36" i="52" s="1"/>
  <c r="NQ7" i="2"/>
  <c r="BH30" i="39" s="1"/>
  <c r="NC7" i="2"/>
  <c r="BS29" i="39" s="1"/>
  <c r="MQ7" i="2"/>
  <c r="E29" i="39" s="1"/>
  <c r="MC7" i="2"/>
  <c r="P28" i="39" s="1"/>
  <c r="LO7" i="2"/>
  <c r="AA27" i="39" s="1"/>
  <c r="LA7" i="2"/>
  <c r="AL26" i="39" s="1"/>
  <c r="KM7" i="2"/>
  <c r="AW25" i="39" s="1"/>
  <c r="W30" i="52" s="1"/>
  <c r="JY7" i="2"/>
  <c r="BH24" i="39" s="1"/>
  <c r="JK7" i="2"/>
  <c r="BS23" i="39" s="1"/>
  <c r="IY7" i="2"/>
  <c r="E23" i="39" s="1"/>
  <c r="IK7" i="2"/>
  <c r="P22" i="39" s="1"/>
  <c r="HW7" i="2"/>
  <c r="AA21" i="39" s="1"/>
  <c r="HI7" i="2"/>
  <c r="AL20" i="39" s="1"/>
  <c r="GU7" i="2"/>
  <c r="AW19" i="39" s="1"/>
  <c r="W24" i="52" s="1"/>
  <c r="GG7" i="2"/>
  <c r="BH18" i="39" s="1"/>
  <c r="FS7" i="2"/>
  <c r="BS17" i="39" s="1"/>
  <c r="FG7" i="2"/>
  <c r="E17" i="39" s="1"/>
  <c r="ES7" i="2"/>
  <c r="P16" i="39" s="1"/>
  <c r="EE7" i="2"/>
  <c r="AA15" i="39" s="1"/>
  <c r="DQ7" i="2"/>
  <c r="AL14" i="39" s="1"/>
  <c r="DC7" i="2"/>
  <c r="AW13" i="39" s="1"/>
  <c r="W18" i="52" s="1"/>
  <c r="CO7" i="2"/>
  <c r="BH12" i="39" s="1"/>
  <c r="CA7" i="2"/>
  <c r="BS11" i="39" s="1"/>
  <c r="BO7" i="2"/>
  <c r="E11" i="39" s="1"/>
  <c r="BA7" i="2"/>
  <c r="P10" i="39" s="1"/>
  <c r="AM7" i="2"/>
  <c r="AA9" i="39" s="1"/>
  <c r="Y7" i="2"/>
  <c r="AL8" i="39" s="1"/>
  <c r="G7" i="2"/>
  <c r="VZ10" i="2"/>
  <c r="W44" i="39" s="1"/>
  <c r="AA95" i="45" s="1"/>
  <c r="UG10" i="2"/>
  <c r="AR41" i="39" s="1"/>
  <c r="RI10" i="2"/>
  <c r="BN36" i="39" s="1"/>
  <c r="PP10" i="2"/>
  <c r="BZ33" i="39" s="1"/>
  <c r="ON10" i="2"/>
  <c r="L32" i="39" s="1"/>
  <c r="MU10" i="2"/>
  <c r="AG29" i="39" s="1"/>
  <c r="LC10" i="2"/>
  <c r="BC26" i="39" s="1"/>
  <c r="Z31" i="52" s="1"/>
  <c r="JJ10" i="2"/>
  <c r="BO23" i="39" s="1"/>
  <c r="HS10" i="2"/>
  <c r="K21" i="39" s="1"/>
  <c r="FZ10" i="2"/>
  <c r="W18" i="39" s="1"/>
  <c r="AA69" i="45" s="1"/>
  <c r="EG10" i="2"/>
  <c r="AR15" i="39" s="1"/>
  <c r="BK10" i="2"/>
  <c r="BY10" i="39" s="1"/>
  <c r="T10" i="2"/>
  <c r="L8" i="39" s="1"/>
  <c r="WN298" i="2"/>
  <c r="WN255" i="2"/>
  <c r="WW254" i="2"/>
  <c r="WB9" i="2"/>
  <c r="AF44" i="39" s="1"/>
  <c r="UX9" i="2"/>
  <c r="AQ42" i="39" s="1"/>
  <c r="TU9" i="2"/>
  <c r="BL40" i="39" s="1"/>
  <c r="SQ9" i="2"/>
  <c r="BW38" i="39" s="1"/>
  <c r="QV9" i="2"/>
  <c r="BX35" i="39" s="1"/>
  <c r="PT9" i="2"/>
  <c r="J34" i="39" s="1"/>
  <c r="OP9" i="2"/>
  <c r="U32" i="39" s="1"/>
  <c r="Z83" i="45" s="1"/>
  <c r="NL9" i="2"/>
  <c r="AF30" i="39" s="1"/>
  <c r="MI9" i="2"/>
  <c r="BA28" i="39" s="1"/>
  <c r="Y33" i="52" s="1"/>
  <c r="LE9" i="2"/>
  <c r="BL26" i="39" s="1"/>
  <c r="KA9" i="2"/>
  <c r="BW24" i="39" s="1"/>
  <c r="IJ9" i="2"/>
  <c r="J22" i="39" s="1"/>
  <c r="HF9" i="2"/>
  <c r="U20" i="39" s="1"/>
  <c r="Z71" i="45" s="1"/>
  <c r="GB9" i="2"/>
  <c r="AF18" i="39" s="1"/>
  <c r="EY9" i="2"/>
  <c r="BA16" i="39" s="1"/>
  <c r="Y21" i="52" s="1"/>
  <c r="DU9" i="2"/>
  <c r="BL14" i="39" s="1"/>
  <c r="BO9" i="2"/>
  <c r="I11" i="39" s="1"/>
  <c r="V9" i="2"/>
  <c r="U8" i="39" s="1"/>
  <c r="Z59" i="45" s="1"/>
  <c r="WN147" i="2"/>
  <c r="WN141" i="2"/>
  <c r="VY10" i="2"/>
  <c r="V44" i="39" s="1"/>
  <c r="VJ10" i="2"/>
  <c r="W43" i="39" s="1"/>
  <c r="AA94" i="45" s="1"/>
  <c r="UU10" i="2"/>
  <c r="AG42" i="39" s="1"/>
  <c r="UF10" i="2"/>
  <c r="AH41" i="39" s="1"/>
  <c r="TQ10" i="2"/>
  <c r="AR40" i="39" s="1"/>
  <c r="SM10" i="2"/>
  <c r="BC38" i="39" s="1"/>
  <c r="Z43" i="52" s="1"/>
  <c r="RH10" i="2"/>
  <c r="BD36" i="39" s="1"/>
  <c r="Z103" i="52" s="1"/>
  <c r="QD10" i="2"/>
  <c r="BO34" i="39" s="1"/>
  <c r="PO10" i="2"/>
  <c r="BY33" i="39" s="1"/>
  <c r="OZ10" i="2"/>
  <c r="BZ32" i="39" s="1"/>
  <c r="OM10" i="2"/>
  <c r="K32" i="39" s="1"/>
  <c r="NX10" i="2"/>
  <c r="L31" i="39" s="1"/>
  <c r="NI10" i="2"/>
  <c r="V30" i="39" s="1"/>
  <c r="MT10" i="2"/>
  <c r="W29" i="39" s="1"/>
  <c r="AA80" i="45" s="1"/>
  <c r="ME10" i="2"/>
  <c r="AG28" i="39" s="1"/>
  <c r="LP10" i="2"/>
  <c r="AH27" i="39" s="1"/>
  <c r="LA10" i="2"/>
  <c r="AR26" i="39" s="1"/>
  <c r="KM10" i="2"/>
  <c r="BC25" i="39" s="1"/>
  <c r="Z30" i="52" s="1"/>
  <c r="JX10" i="2"/>
  <c r="BD24" i="39" s="1"/>
  <c r="Z91" i="52" s="1"/>
  <c r="IT10" i="2"/>
  <c r="BO22" i="39" s="1"/>
  <c r="HC10" i="2"/>
  <c r="K20" i="39" s="1"/>
  <c r="FY10" i="2"/>
  <c r="V18" i="39" s="1"/>
  <c r="FJ10" i="2"/>
  <c r="W17" i="39" s="1"/>
  <c r="AA68" i="45" s="1"/>
  <c r="EU10" i="2"/>
  <c r="AG16" i="39" s="1"/>
  <c r="EF10" i="2"/>
  <c r="AH15" i="39" s="1"/>
  <c r="DQ10" i="2"/>
  <c r="AR14" i="39" s="1"/>
  <c r="DC10" i="2"/>
  <c r="BC13" i="39" s="1"/>
  <c r="Z18" i="52" s="1"/>
  <c r="CN10" i="2"/>
  <c r="BD12" i="39" s="1"/>
  <c r="Z79" i="52" s="1"/>
  <c r="BJ10" i="2"/>
  <c r="BO10" i="39" s="1"/>
  <c r="AU10" i="2"/>
  <c r="BY9" i="39" s="1"/>
  <c r="AF10" i="2"/>
  <c r="BZ8" i="39" s="1"/>
  <c r="S10" i="2"/>
  <c r="K8" i="39" s="1"/>
  <c r="WA9" i="2"/>
  <c r="AE44" i="39" s="1"/>
  <c r="VL9" i="2"/>
  <c r="AF43" i="39" s="1"/>
  <c r="UW9" i="2"/>
  <c r="AP42" i="39" s="1"/>
  <c r="UH9" i="2"/>
  <c r="AQ41" i="39" s="1"/>
  <c r="TS9" i="2"/>
  <c r="BA40" i="39" s="1"/>
  <c r="Y45" i="52" s="1"/>
  <c r="SP9" i="2"/>
  <c r="BM38" i="39" s="1"/>
  <c r="RJ9" i="2"/>
  <c r="BM36" i="39" s="1"/>
  <c r="QF9" i="2"/>
  <c r="BX34" i="39" s="1"/>
  <c r="PS9" i="2"/>
  <c r="I34" i="39" s="1"/>
  <c r="PD9" i="2"/>
  <c r="J33" i="39" s="1"/>
  <c r="OO9" i="2"/>
  <c r="T32" i="39" s="1"/>
  <c r="NK9" i="2"/>
  <c r="AE30" i="39" s="1"/>
  <c r="MV9" i="2"/>
  <c r="AF29" i="39" s="1"/>
  <c r="MG9" i="2"/>
  <c r="AP28" i="39" s="1"/>
  <c r="LS9" i="2"/>
  <c r="BA27" i="39" s="1"/>
  <c r="Y32" i="52" s="1"/>
  <c r="LD9" i="2"/>
  <c r="BB26" i="39" s="1"/>
  <c r="Y93" i="52" s="1"/>
  <c r="KO9" i="2"/>
  <c r="BL25" i="39" s="1"/>
  <c r="JZ9" i="2"/>
  <c r="BM24" i="39" s="1"/>
  <c r="JK9" i="2"/>
  <c r="BW23" i="39" s="1"/>
  <c r="IV9" i="2"/>
  <c r="BX22" i="39" s="1"/>
  <c r="II9" i="2"/>
  <c r="I22" i="39" s="1"/>
  <c r="HT9" i="2"/>
  <c r="J21" i="39" s="1"/>
  <c r="HE9" i="2"/>
  <c r="T20" i="39" s="1"/>
  <c r="GP9" i="2"/>
  <c r="U19" i="39" s="1"/>
  <c r="Z70" i="45" s="1"/>
  <c r="GA9" i="2"/>
  <c r="AE18" i="39" s="1"/>
  <c r="FL9" i="2"/>
  <c r="AF17" i="39" s="1"/>
  <c r="EW9" i="2"/>
  <c r="AP16" i="39" s="1"/>
  <c r="EI9" i="2"/>
  <c r="BA15" i="39" s="1"/>
  <c r="Y20" i="52" s="1"/>
  <c r="DT9" i="2"/>
  <c r="BB14" i="39" s="1"/>
  <c r="Y81" i="52" s="1"/>
  <c r="CP9" i="2"/>
  <c r="BM12" i="39" s="1"/>
  <c r="CA9" i="2"/>
  <c r="BW11" i="39" s="1"/>
  <c r="BL9" i="2"/>
  <c r="BX10" i="39" s="1"/>
  <c r="AJ9" i="2"/>
  <c r="J9" i="39" s="1"/>
  <c r="MR8" i="2"/>
  <c r="H29" i="39" s="1"/>
  <c r="HX8" i="2"/>
  <c r="AD21" i="39" s="1"/>
  <c r="WH8" i="2"/>
  <c r="BK44" i="39" s="1"/>
  <c r="TR8" i="2"/>
  <c r="AO40" i="39" s="1"/>
  <c r="SP8" i="2"/>
  <c r="BK38" i="39" s="1"/>
  <c r="SB8" i="2"/>
  <c r="BV37" i="39" s="1"/>
  <c r="QZ8" i="2"/>
  <c r="H36" i="39" s="1"/>
  <c r="HL8" i="2"/>
  <c r="AZ20" i="39" s="1"/>
  <c r="X87" i="52" s="1"/>
  <c r="AB8" i="2"/>
  <c r="AZ8" i="39" s="1"/>
  <c r="X75" i="52" s="1"/>
  <c r="WO109" i="2"/>
  <c r="XC109" i="2" s="1"/>
  <c r="J25" i="61" s="1"/>
  <c r="WO99" i="2"/>
  <c r="XC99" i="2" s="1"/>
  <c r="J15" i="61" s="1"/>
  <c r="WO91" i="2"/>
  <c r="SK7" i="2"/>
  <c r="AL38" i="39" s="1"/>
  <c r="GE7" i="2"/>
  <c r="AW18" i="39" s="1"/>
  <c r="W23" i="52" s="1"/>
  <c r="TW9" i="2"/>
  <c r="BW40" i="39" s="1"/>
  <c r="RQ9" i="2"/>
  <c r="T37" i="39" s="1"/>
  <c r="QK9" i="2"/>
  <c r="T35" i="39" s="1"/>
  <c r="PG9" i="2"/>
  <c r="AE33" i="39" s="1"/>
  <c r="OR9" i="2"/>
  <c r="AF32" i="39" s="1"/>
  <c r="NO9" i="2"/>
  <c r="BA30" i="39" s="1"/>
  <c r="Y35" i="52" s="1"/>
  <c r="MK9" i="2"/>
  <c r="BL28" i="39" s="1"/>
  <c r="LG9" i="2"/>
  <c r="BW26" i="39" s="1"/>
  <c r="KE9" i="2"/>
  <c r="I25" i="39" s="1"/>
  <c r="JA9" i="2"/>
  <c r="T23" i="39" s="1"/>
  <c r="HW9" i="2"/>
  <c r="AE21" i="39" s="1"/>
  <c r="GS9" i="2"/>
  <c r="AP19" i="39" s="1"/>
  <c r="FP9" i="2"/>
  <c r="BB17" i="39" s="1"/>
  <c r="Y84" i="52" s="1"/>
  <c r="EL9" i="2"/>
  <c r="BM15" i="39" s="1"/>
  <c r="DH9" i="2"/>
  <c r="BX13" i="39" s="1"/>
  <c r="CF9" i="2"/>
  <c r="J12" i="39" s="1"/>
  <c r="BQ9" i="2"/>
  <c r="T11" i="39" s="1"/>
  <c r="AM9" i="2"/>
  <c r="AE9" i="39" s="1"/>
  <c r="WN186" i="2"/>
  <c r="WN184" i="2"/>
  <c r="WN177" i="2"/>
  <c r="WN171" i="2"/>
  <c r="WN168" i="2"/>
  <c r="QM8" i="2"/>
  <c r="AC35" i="39" s="1"/>
  <c r="PY8" i="2"/>
  <c r="AN34" i="39" s="1"/>
  <c r="OW8" i="2"/>
  <c r="BJ32" i="39" s="1"/>
  <c r="NI8" i="2"/>
  <c r="R30" i="39" s="1"/>
  <c r="MG8" i="2"/>
  <c r="AN28" i="39" s="1"/>
  <c r="LS8" i="2"/>
  <c r="AY27" i="39" s="1"/>
  <c r="X32" i="52" s="1"/>
  <c r="FY8" i="2"/>
  <c r="R18" i="39" s="1"/>
  <c r="CG8" i="2"/>
  <c r="R12" i="39" s="1"/>
  <c r="WN142" i="2"/>
  <c r="WN136" i="2"/>
  <c r="WN134" i="2"/>
  <c r="VK8" i="2"/>
  <c r="AC43" i="39" s="1"/>
  <c r="UI8" i="2"/>
  <c r="AY41" i="39" s="1"/>
  <c r="X46" i="52" s="1"/>
  <c r="TG8" i="2"/>
  <c r="BU39" i="39" s="1"/>
  <c r="RS8" i="2"/>
  <c r="AC37" i="39" s="1"/>
  <c r="QO8" i="2"/>
  <c r="AN35" i="39" s="1"/>
  <c r="PM8" i="2"/>
  <c r="BJ33" i="39" s="1"/>
  <c r="OM8" i="2"/>
  <c r="G32" i="39" s="1"/>
  <c r="NK8" i="2"/>
  <c r="AC30" i="39" s="1"/>
  <c r="MI8" i="2"/>
  <c r="AY28" i="39" s="1"/>
  <c r="X33" i="52" s="1"/>
  <c r="LG8" i="2"/>
  <c r="BU26" i="39" s="1"/>
  <c r="KG8" i="2"/>
  <c r="R25" i="39" s="1"/>
  <c r="JE8" i="2"/>
  <c r="AN23" i="39" s="1"/>
  <c r="IC8" i="2"/>
  <c r="BJ21" i="39" s="1"/>
  <c r="HC8" i="2"/>
  <c r="G20" i="39" s="1"/>
  <c r="EK8" i="2"/>
  <c r="BJ15" i="39" s="1"/>
  <c r="DW8" i="2"/>
  <c r="BU14" i="39" s="1"/>
  <c r="CI8" i="2"/>
  <c r="AC12" i="39" s="1"/>
  <c r="BU8" i="2"/>
  <c r="AN11" i="39" s="1"/>
  <c r="BG8" i="2"/>
  <c r="AY10" i="39" s="1"/>
  <c r="X15" i="52" s="1"/>
  <c r="AS8" i="2"/>
  <c r="BJ9" i="39" s="1"/>
  <c r="AE8" i="2"/>
  <c r="BU8" i="39" s="1"/>
  <c r="S8" i="2"/>
  <c r="G8" i="39" s="1"/>
  <c r="UN7" i="2"/>
  <c r="BT41" i="39" s="1"/>
  <c r="SZ7" i="2"/>
  <c r="AB39" i="39" s="1"/>
  <c r="RX7" i="2"/>
  <c r="AX37" i="39" s="1"/>
  <c r="W104" i="52" s="1"/>
  <c r="KZ7" i="2"/>
  <c r="AB26" i="39" s="1"/>
  <c r="JX7" i="2"/>
  <c r="AX24" i="39" s="1"/>
  <c r="W91" i="52" s="1"/>
  <c r="IV7" i="2"/>
  <c r="BT22" i="39" s="1"/>
  <c r="IJ7" i="2"/>
  <c r="HH7" i="2"/>
  <c r="AB20" i="39" s="1"/>
  <c r="ER7" i="2"/>
  <c r="F16" i="39" s="1"/>
  <c r="ED7" i="2"/>
  <c r="Q15" i="39" s="1"/>
  <c r="X66" i="45" s="1"/>
  <c r="DB7" i="2"/>
  <c r="AM13" i="39" s="1"/>
  <c r="WF7" i="2"/>
  <c r="AX44" i="39" s="1"/>
  <c r="W111" i="52" s="1"/>
  <c r="VR7" i="2"/>
  <c r="BI43" i="39" s="1"/>
  <c r="UD7" i="2"/>
  <c r="Q41" i="39" s="1"/>
  <c r="X92" i="45" s="1"/>
  <c r="SN7" i="2"/>
  <c r="AX38" i="39" s="1"/>
  <c r="W105" i="52" s="1"/>
  <c r="RJ7" i="2"/>
  <c r="BI36" i="39" s="1"/>
  <c r="QJ7" i="2"/>
  <c r="F35" i="39" s="1"/>
  <c r="OT7" i="2"/>
  <c r="AM32" i="39" s="1"/>
  <c r="NR7" i="2"/>
  <c r="BI30" i="39" s="1"/>
  <c r="MR7" i="2"/>
  <c r="F29" i="39" s="1"/>
  <c r="LP7" i="2"/>
  <c r="AB27" i="39" s="1"/>
  <c r="KN7" i="2"/>
  <c r="AX25" i="39" s="1"/>
  <c r="W92" i="52" s="1"/>
  <c r="JL7" i="2"/>
  <c r="BT23" i="39" s="1"/>
  <c r="IL7" i="2"/>
  <c r="Q22" i="39" s="1"/>
  <c r="X73" i="45" s="1"/>
  <c r="GV7" i="2"/>
  <c r="AX19" i="39" s="1"/>
  <c r="W86" i="52" s="1"/>
  <c r="EF7" i="2"/>
  <c r="AB15" i="39" s="1"/>
  <c r="H7" i="2"/>
  <c r="AB7" i="39" s="1"/>
  <c r="VL10" i="2"/>
  <c r="AH43" i="39" s="1"/>
  <c r="TS10" i="2"/>
  <c r="BC40" i="39" s="1"/>
  <c r="Z45" i="52" s="1"/>
  <c r="SP10" i="2"/>
  <c r="BO38" i="39" s="1"/>
  <c r="QU10" i="2"/>
  <c r="BY35" i="39" s="1"/>
  <c r="PD10" i="2"/>
  <c r="L33" i="39" s="1"/>
  <c r="NZ10" i="2"/>
  <c r="W31" i="39" s="1"/>
  <c r="AA82" i="45" s="1"/>
  <c r="MV10" i="2"/>
  <c r="AH29" i="39" s="1"/>
  <c r="JZ10" i="2"/>
  <c r="BO24" i="39" s="1"/>
  <c r="II10" i="2"/>
  <c r="K22" i="39" s="1"/>
  <c r="GA10" i="2"/>
  <c r="AG18" i="39" s="1"/>
  <c r="WO344" i="2"/>
  <c r="XC344" i="2" s="1"/>
  <c r="V32" i="61" s="1"/>
  <c r="WO342" i="2"/>
  <c r="XC342" i="2" s="1"/>
  <c r="V30" i="61" s="1"/>
  <c r="WO300" i="2"/>
  <c r="XC300" i="2" s="1"/>
  <c r="T26" i="61" s="1"/>
  <c r="WO296" i="2"/>
  <c r="XC296" i="2" s="1"/>
  <c r="T22" i="61" s="1"/>
  <c r="WO255" i="2"/>
  <c r="XC255" i="2" s="1"/>
  <c r="R19" i="61" s="1"/>
  <c r="VN9" i="2"/>
  <c r="AQ43" i="39" s="1"/>
  <c r="UK9" i="2"/>
  <c r="BL41" i="39" s="1"/>
  <c r="TG9" i="2"/>
  <c r="BW39" i="39" s="1"/>
  <c r="QY9" i="2"/>
  <c r="I36" i="39" s="1"/>
  <c r="OQ9" i="2"/>
  <c r="AE32" i="39" s="1"/>
  <c r="NM9" i="2"/>
  <c r="AP30" i="39" s="1"/>
  <c r="MJ9" i="2"/>
  <c r="BB28" i="39" s="1"/>
  <c r="Y95" i="52" s="1"/>
  <c r="LF9" i="2"/>
  <c r="BM26" i="39" s="1"/>
  <c r="KB9" i="2"/>
  <c r="BX24" i="39" s="1"/>
  <c r="IK9" i="2"/>
  <c r="T22" i="39" s="1"/>
  <c r="HG9" i="2"/>
  <c r="AE20" i="39" s="1"/>
  <c r="GC9" i="2"/>
  <c r="AP18" i="39" s="1"/>
  <c r="EZ9" i="2"/>
  <c r="BB16" i="39" s="1"/>
  <c r="Y83" i="52" s="1"/>
  <c r="DV9" i="2"/>
  <c r="BM14" i="39" s="1"/>
  <c r="CR9" i="2"/>
  <c r="BX12" i="39" s="1"/>
  <c r="BP9" i="2"/>
  <c r="J11" i="39" s="1"/>
  <c r="AL9" i="2"/>
  <c r="U9" i="39" s="1"/>
  <c r="Z60" i="45" s="1"/>
  <c r="WO148" i="2"/>
  <c r="XC148" i="2" s="1"/>
  <c r="L26" i="61" s="1"/>
  <c r="WO144" i="2"/>
  <c r="XC144" i="2" s="1"/>
  <c r="L22" i="61" s="1"/>
  <c r="WO140" i="2"/>
  <c r="XC140" i="2" s="1"/>
  <c r="L18" i="61" s="1"/>
  <c r="WO134" i="2"/>
  <c r="XC134" i="2" s="1"/>
  <c r="L12" i="61" s="1"/>
  <c r="WO128" i="2"/>
  <c r="XC128" i="2" s="1"/>
  <c r="VJ8" i="2"/>
  <c r="S43" i="39" s="1"/>
  <c r="Y94" i="45" s="1"/>
  <c r="TT8" i="2"/>
  <c r="AZ40" i="39" s="1"/>
  <c r="X107" i="52" s="1"/>
  <c r="PL8" i="2"/>
  <c r="AZ33" i="39" s="1"/>
  <c r="X100" i="52" s="1"/>
  <c r="OJ8" i="2"/>
  <c r="BV31" i="39" s="1"/>
  <c r="NJ8" i="2"/>
  <c r="S30" i="39" s="1"/>
  <c r="Y81" i="45" s="1"/>
  <c r="MH8" i="2"/>
  <c r="AO28" i="39" s="1"/>
  <c r="KR8" i="2"/>
  <c r="BV25" i="39" s="1"/>
  <c r="JR8" i="2"/>
  <c r="S24" i="39" s="1"/>
  <c r="Y75" i="45" s="1"/>
  <c r="JD8" i="2"/>
  <c r="AD23" i="39" s="1"/>
  <c r="IB8" i="2"/>
  <c r="AZ21" i="39" s="1"/>
  <c r="X88" i="52" s="1"/>
  <c r="GN8" i="2"/>
  <c r="H19" i="39" s="1"/>
  <c r="FZ8" i="2"/>
  <c r="S18" i="39" s="1"/>
  <c r="Y69" i="45" s="1"/>
  <c r="FL8" i="2"/>
  <c r="AD17" i="39" s="1"/>
  <c r="EX8" i="2"/>
  <c r="AO16" i="39" s="1"/>
  <c r="DV8" i="2"/>
  <c r="BK14" i="39" s="1"/>
  <c r="DH8" i="2"/>
  <c r="BV13" i="39" s="1"/>
  <c r="CV8" i="2"/>
  <c r="H13" i="39" s="1"/>
  <c r="CH8" i="2"/>
  <c r="S12" i="39" s="1"/>
  <c r="Y63" i="45" s="1"/>
  <c r="BT8" i="2"/>
  <c r="AD11" i="39" s="1"/>
  <c r="BF8" i="2"/>
  <c r="AO10" i="39" s="1"/>
  <c r="AR8" i="2"/>
  <c r="AZ9" i="39" s="1"/>
  <c r="X76" i="52" s="1"/>
  <c r="AD8" i="2"/>
  <c r="BK8" i="39" s="1"/>
  <c r="WW444" i="2"/>
  <c r="VI10" i="2"/>
  <c r="V43" i="39" s="1"/>
  <c r="UT10" i="2"/>
  <c r="W42" i="39" s="1"/>
  <c r="AA93" i="45" s="1"/>
  <c r="UE10" i="2"/>
  <c r="AG41" i="39" s="1"/>
  <c r="TP10" i="2"/>
  <c r="AH40" i="39" s="1"/>
  <c r="TA10" i="2"/>
  <c r="AR39" i="39" s="1"/>
  <c r="SL10" i="2"/>
  <c r="AS38" i="39" s="1"/>
  <c r="RW10" i="2"/>
  <c r="BC37" i="39" s="1"/>
  <c r="Z42" i="52" s="1"/>
  <c r="RG10" i="2"/>
  <c r="BC36" i="39" s="1"/>
  <c r="Z41" i="52" s="1"/>
  <c r="QR10" i="2"/>
  <c r="BD35" i="39" s="1"/>
  <c r="Z102" i="52" s="1"/>
  <c r="QC10" i="2"/>
  <c r="BN34" i="39" s="1"/>
  <c r="OJ10" i="2"/>
  <c r="BZ31" i="39" s="1"/>
  <c r="NH10" i="2"/>
  <c r="L30" i="39" s="1"/>
  <c r="MS10" i="2"/>
  <c r="V29" i="39" s="1"/>
  <c r="MD10" i="2"/>
  <c r="W28" i="39" s="1"/>
  <c r="AA79" i="45" s="1"/>
  <c r="LO10" i="2"/>
  <c r="AG27" i="39" s="1"/>
  <c r="KZ10" i="2"/>
  <c r="AH26" i="39" s="1"/>
  <c r="KK10" i="2"/>
  <c r="AR25" i="39" s="1"/>
  <c r="JW10" i="2"/>
  <c r="BC24" i="39" s="1"/>
  <c r="Z29" i="52" s="1"/>
  <c r="IS10" i="2"/>
  <c r="BN22" i="39" s="1"/>
  <c r="GZ10" i="2"/>
  <c r="BZ19" i="39" s="1"/>
  <c r="GM10" i="2"/>
  <c r="K19" i="39" s="1"/>
  <c r="FX10" i="2"/>
  <c r="L18" i="39" s="1"/>
  <c r="FI10" i="2"/>
  <c r="V17" i="39" s="1"/>
  <c r="ET10" i="2"/>
  <c r="W16" i="39" s="1"/>
  <c r="AA67" i="45" s="1"/>
  <c r="EE10" i="2"/>
  <c r="AG15" i="39" s="1"/>
  <c r="DP10" i="2"/>
  <c r="AH14" i="39" s="1"/>
  <c r="DA10" i="2"/>
  <c r="AR13" i="39" s="1"/>
  <c r="CM10" i="2"/>
  <c r="BC12" i="39" s="1"/>
  <c r="Z17" i="52" s="1"/>
  <c r="BX10" i="2"/>
  <c r="BD11" i="39" s="1"/>
  <c r="Z78" i="52" s="1"/>
  <c r="BI10" i="2"/>
  <c r="BN10" i="39" s="1"/>
  <c r="AT10" i="2"/>
  <c r="BO9" i="39" s="1"/>
  <c r="AE10" i="2"/>
  <c r="BY8" i="39" s="1"/>
  <c r="WN332" i="2"/>
  <c r="WG8" i="2"/>
  <c r="BJ44" i="39" s="1"/>
  <c r="VS8" i="2"/>
  <c r="BU43" i="39" s="1"/>
  <c r="US8" i="2"/>
  <c r="R42" i="39" s="1"/>
  <c r="UE8" i="2"/>
  <c r="AC41" i="39" s="1"/>
  <c r="TQ8" i="2"/>
  <c r="AN40" i="39" s="1"/>
  <c r="SO8" i="2"/>
  <c r="BJ38" i="39" s="1"/>
  <c r="SA8" i="2"/>
  <c r="BU37" i="39" s="1"/>
  <c r="QK8" i="2"/>
  <c r="R35" i="39" s="1"/>
  <c r="PW8" i="2"/>
  <c r="AC34" i="39" s="1"/>
  <c r="PI8" i="2"/>
  <c r="AN33" i="39" s="1"/>
  <c r="OU8" i="2"/>
  <c r="AY32" i="39" s="1"/>
  <c r="X37" i="52" s="1"/>
  <c r="OG8" i="2"/>
  <c r="BJ31" i="39" s="1"/>
  <c r="NS8" i="2"/>
  <c r="BU30" i="39" s="1"/>
  <c r="NG8" i="2"/>
  <c r="G30" i="39" s="1"/>
  <c r="MS8" i="2"/>
  <c r="R29" i="39" s="1"/>
  <c r="ME8" i="2"/>
  <c r="AC28" i="39" s="1"/>
  <c r="LQ8" i="2"/>
  <c r="AN27" i="39" s="1"/>
  <c r="LC8" i="2"/>
  <c r="AY26" i="39" s="1"/>
  <c r="X31" i="52" s="1"/>
  <c r="KO8" i="2"/>
  <c r="BJ25" i="39" s="1"/>
  <c r="KA8" i="2"/>
  <c r="BU24" i="39" s="1"/>
  <c r="JO8" i="2"/>
  <c r="G24" i="39" s="1"/>
  <c r="JA8" i="2"/>
  <c r="R23" i="39" s="1"/>
  <c r="IM8" i="2"/>
  <c r="AC22" i="39" s="1"/>
  <c r="HY8" i="2"/>
  <c r="AN21" i="39" s="1"/>
  <c r="HK8" i="2"/>
  <c r="AY20" i="39" s="1"/>
  <c r="X25" i="52" s="1"/>
  <c r="GW8" i="2"/>
  <c r="BJ19" i="39" s="1"/>
  <c r="GI8" i="2"/>
  <c r="BU18" i="39" s="1"/>
  <c r="FW8" i="2"/>
  <c r="G18" i="39" s="1"/>
  <c r="FI8" i="2"/>
  <c r="R17" i="39" s="1"/>
  <c r="EU8" i="2"/>
  <c r="AC16" i="39" s="1"/>
  <c r="EG8" i="2"/>
  <c r="AN15" i="39" s="1"/>
  <c r="DS8" i="2"/>
  <c r="AY14" i="39" s="1"/>
  <c r="X19" i="52" s="1"/>
  <c r="DE8" i="2"/>
  <c r="BJ13" i="39" s="1"/>
  <c r="CQ8" i="2"/>
  <c r="BU12" i="39" s="1"/>
  <c r="CE8" i="2"/>
  <c r="G12" i="39" s="1"/>
  <c r="BQ8" i="2"/>
  <c r="R11" i="39" s="1"/>
  <c r="BC8" i="2"/>
  <c r="AC10" i="39" s="1"/>
  <c r="AO8" i="2"/>
  <c r="AN9" i="39" s="1"/>
  <c r="AA8" i="2"/>
  <c r="AY8" i="39" s="1"/>
  <c r="X13" i="52" s="1"/>
  <c r="WN110" i="2"/>
  <c r="WN109" i="2"/>
  <c r="WN108" i="2"/>
  <c r="WN107" i="2"/>
  <c r="WN102" i="2"/>
  <c r="WN101" i="2"/>
  <c r="WN100" i="2"/>
  <c r="WN99" i="2"/>
  <c r="WN96" i="2"/>
  <c r="WN94" i="2"/>
  <c r="WN92" i="2"/>
  <c r="WN91" i="2"/>
  <c r="WN90" i="2"/>
  <c r="WB7" i="2"/>
  <c r="AB44" i="39" s="1"/>
  <c r="VN7" i="2"/>
  <c r="AM43" i="39" s="1"/>
  <c r="UL7" i="2"/>
  <c r="BI41" i="39" s="1"/>
  <c r="SX7" i="2"/>
  <c r="Q39" i="39" s="1"/>
  <c r="X90" i="45" s="1"/>
  <c r="SJ7" i="2"/>
  <c r="AB38" i="39" s="1"/>
  <c r="RV7" i="2"/>
  <c r="AM37" i="39" s="1"/>
  <c r="RF7" i="2"/>
  <c r="AM36" i="39" s="1"/>
  <c r="QR7" i="2"/>
  <c r="AX35" i="39" s="1"/>
  <c r="W102" i="52" s="1"/>
  <c r="QD7" i="2"/>
  <c r="BI34" i="39" s="1"/>
  <c r="PD7" i="2"/>
  <c r="F33" i="39" s="1"/>
  <c r="OP7" i="2"/>
  <c r="Q32" i="39" s="1"/>
  <c r="X83" i="45" s="1"/>
  <c r="OB7" i="2"/>
  <c r="AB31" i="39" s="1"/>
  <c r="NN7" i="2"/>
  <c r="AM30" i="39" s="1"/>
  <c r="MZ7" i="2"/>
  <c r="AX29" i="39" s="1"/>
  <c r="W96" i="52" s="1"/>
  <c r="ML7" i="2"/>
  <c r="BI28" i="39" s="1"/>
  <c r="LX7" i="2"/>
  <c r="BT27" i="39" s="1"/>
  <c r="LL7" i="2"/>
  <c r="F27" i="39" s="1"/>
  <c r="KX7" i="2"/>
  <c r="Q26" i="39" s="1"/>
  <c r="X77" i="45" s="1"/>
  <c r="KJ7" i="2"/>
  <c r="AB25" i="39" s="1"/>
  <c r="JV7" i="2"/>
  <c r="AM24" i="39" s="1"/>
  <c r="JH7" i="2"/>
  <c r="AX23" i="39" s="1"/>
  <c r="W90" i="52" s="1"/>
  <c r="IT7" i="2"/>
  <c r="BI22" i="39" s="1"/>
  <c r="IF7" i="2"/>
  <c r="BT21" i="39" s="1"/>
  <c r="HT7" i="2"/>
  <c r="F21" i="39" s="1"/>
  <c r="HF7" i="2"/>
  <c r="Q20" i="39" s="1"/>
  <c r="X71" i="45" s="1"/>
  <c r="GR7" i="2"/>
  <c r="AB19" i="39" s="1"/>
  <c r="GD7" i="2"/>
  <c r="AM18" i="39" s="1"/>
  <c r="FP7" i="2"/>
  <c r="AX17" i="39" s="1"/>
  <c r="W84" i="52" s="1"/>
  <c r="FB7" i="2"/>
  <c r="BI16" i="39" s="1"/>
  <c r="EN7" i="2"/>
  <c r="BT15" i="39" s="1"/>
  <c r="EB7" i="2"/>
  <c r="F15" i="39" s="1"/>
  <c r="DN7" i="2"/>
  <c r="Q14" i="39" s="1"/>
  <c r="X65" i="45" s="1"/>
  <c r="CZ7" i="2"/>
  <c r="AB13" i="39" s="1"/>
  <c r="CL7" i="2"/>
  <c r="AM12" i="39" s="1"/>
  <c r="BX7" i="2"/>
  <c r="AX11" i="39" s="1"/>
  <c r="W78" i="52" s="1"/>
  <c r="BJ7" i="2"/>
  <c r="BI10" i="39" s="1"/>
  <c r="AV7" i="2"/>
  <c r="BT9" i="39" s="1"/>
  <c r="AJ7" i="2"/>
  <c r="F9" i="39" s="1"/>
  <c r="V7" i="2"/>
  <c r="Q8" i="39" s="1"/>
  <c r="X59" i="45" s="1"/>
  <c r="QL8" i="2"/>
  <c r="S35" i="39" s="1"/>
  <c r="Y86" i="45" s="1"/>
  <c r="PX8" i="2"/>
  <c r="AD34" i="39" s="1"/>
  <c r="OV8" i="2"/>
  <c r="AZ32" i="39" s="1"/>
  <c r="X99" i="52" s="1"/>
  <c r="OH8" i="2"/>
  <c r="BK31" i="39" s="1"/>
  <c r="MT8" i="2"/>
  <c r="S29" i="39" s="1"/>
  <c r="Y80" i="45" s="1"/>
  <c r="MF8" i="2"/>
  <c r="AD28" i="39" s="1"/>
  <c r="LR8" i="2"/>
  <c r="AO27" i="39" s="1"/>
  <c r="LD8" i="2"/>
  <c r="AZ26" i="39" s="1"/>
  <c r="X93" i="52" s="1"/>
  <c r="KP8" i="2"/>
  <c r="BK25" i="39" s="1"/>
  <c r="KB8" i="2"/>
  <c r="BV24" i="39" s="1"/>
  <c r="JP8" i="2"/>
  <c r="H24" i="39" s="1"/>
  <c r="IN8" i="2"/>
  <c r="AD22" i="39" s="1"/>
  <c r="HZ8" i="2"/>
  <c r="AO21" i="39" s="1"/>
  <c r="GX8" i="2"/>
  <c r="BK19" i="39" s="1"/>
  <c r="GJ8" i="2"/>
  <c r="BV18" i="39" s="1"/>
  <c r="FX8" i="2"/>
  <c r="H18" i="39" s="1"/>
  <c r="FJ8" i="2"/>
  <c r="S17" i="39" s="1"/>
  <c r="Y68" i="45" s="1"/>
  <c r="EV8" i="2"/>
  <c r="AD16" i="39" s="1"/>
  <c r="EH8" i="2"/>
  <c r="AO15" i="39" s="1"/>
  <c r="DT8" i="2"/>
  <c r="AZ14" i="39" s="1"/>
  <c r="X81" i="52" s="1"/>
  <c r="CR8" i="2"/>
  <c r="BV12" i="39" s="1"/>
  <c r="CF8" i="2"/>
  <c r="H12" i="39" s="1"/>
  <c r="BR8" i="2"/>
  <c r="S11" i="39" s="1"/>
  <c r="Y62" i="45" s="1"/>
  <c r="BD8" i="2"/>
  <c r="AD10" i="39" s="1"/>
  <c r="WO116" i="2"/>
  <c r="XC116" i="2" s="1"/>
  <c r="J32" i="61" s="1"/>
  <c r="WO115" i="2"/>
  <c r="XC115" i="2" s="1"/>
  <c r="J31" i="61" s="1"/>
  <c r="WO114" i="2"/>
  <c r="XC114" i="2" s="1"/>
  <c r="J30" i="61" s="1"/>
  <c r="WO113" i="2"/>
  <c r="XC113" i="2" s="1"/>
  <c r="J29" i="61" s="1"/>
  <c r="WO108" i="2"/>
  <c r="XC108" i="2" s="1"/>
  <c r="J24" i="61" s="1"/>
  <c r="WO107" i="2"/>
  <c r="XC107" i="2" s="1"/>
  <c r="J23" i="61" s="1"/>
  <c r="WO101" i="2"/>
  <c r="XC101" i="2" s="1"/>
  <c r="J17" i="61" s="1"/>
  <c r="WO100" i="2"/>
  <c r="XC100" i="2" s="1"/>
  <c r="J16" i="61" s="1"/>
  <c r="WO95" i="2"/>
  <c r="XC95" i="2" s="1"/>
  <c r="J11" i="61" s="1"/>
  <c r="WO93" i="2"/>
  <c r="XC93" i="2" s="1"/>
  <c r="J9" i="61" s="1"/>
  <c r="WC7" i="2"/>
  <c r="AL44" i="39" s="1"/>
  <c r="VO7" i="2"/>
  <c r="AW43" i="39" s="1"/>
  <c r="W48" i="52" s="1"/>
  <c r="VA7" i="2"/>
  <c r="BH42" i="39" s="1"/>
  <c r="UM7" i="2"/>
  <c r="BS41" i="39" s="1"/>
  <c r="TM7" i="2"/>
  <c r="P40" i="39" s="1"/>
  <c r="SY7" i="2"/>
  <c r="AA39" i="39" s="1"/>
  <c r="RW7" i="2"/>
  <c r="AW37" i="39" s="1"/>
  <c r="W42" i="52" s="1"/>
  <c r="QS7" i="2"/>
  <c r="BH35" i="39" s="1"/>
  <c r="QE7" i="2"/>
  <c r="BS34" i="39" s="1"/>
  <c r="PE7" i="2"/>
  <c r="P33" i="39" s="1"/>
  <c r="OQ7" i="2"/>
  <c r="AA32" i="39" s="1"/>
  <c r="OC7" i="2"/>
  <c r="AL31" i="39" s="1"/>
  <c r="NO7" i="2"/>
  <c r="AW30" i="39" s="1"/>
  <c r="W35" i="52" s="1"/>
  <c r="MM7" i="2"/>
  <c r="BS28" i="39" s="1"/>
  <c r="MA7" i="2"/>
  <c r="E28" i="39" s="1"/>
  <c r="LM7" i="2"/>
  <c r="P27" i="39" s="1"/>
  <c r="KK7" i="2"/>
  <c r="AL25" i="39" s="1"/>
  <c r="JW7" i="2"/>
  <c r="AW24" i="39" s="1"/>
  <c r="W29" i="52" s="1"/>
  <c r="JI7" i="2"/>
  <c r="BH23" i="39" s="1"/>
  <c r="IU7" i="2"/>
  <c r="BS22" i="39" s="1"/>
  <c r="II7" i="2"/>
  <c r="E22" i="39" s="1"/>
  <c r="HU7" i="2"/>
  <c r="P21" i="39" s="1"/>
  <c r="HG7" i="2"/>
  <c r="AA20" i="39" s="1"/>
  <c r="FC7" i="2"/>
  <c r="BS16" i="39" s="1"/>
  <c r="EC7" i="2"/>
  <c r="P15" i="39" s="1"/>
  <c r="DO7" i="2"/>
  <c r="AA14" i="39" s="1"/>
  <c r="DA7" i="2"/>
  <c r="AL13" i="39" s="1"/>
  <c r="CM7" i="2"/>
  <c r="AW12" i="39" s="1"/>
  <c r="W17" i="52" s="1"/>
  <c r="BY7" i="2"/>
  <c r="BH11" i="39" s="1"/>
  <c r="BK7" i="2"/>
  <c r="BS10" i="39" s="1"/>
  <c r="AY7" i="2"/>
  <c r="E10" i="39" s="1"/>
  <c r="AK7" i="2"/>
  <c r="P9" i="39" s="1"/>
  <c r="W7" i="2"/>
  <c r="AA8" i="39" s="1"/>
  <c r="RL8" i="2"/>
  <c r="BV36" i="39" s="1"/>
  <c r="WN326" i="2"/>
  <c r="WN319" i="2"/>
  <c r="WO290" i="2"/>
  <c r="XC290" i="2" s="1"/>
  <c r="T16" i="61" s="1"/>
  <c r="WO284" i="2"/>
  <c r="XC284" i="2" s="1"/>
  <c r="T10" i="61" s="1"/>
  <c r="WO283" i="2"/>
  <c r="XC283" i="2" s="1"/>
  <c r="T9" i="61" s="1"/>
  <c r="UU9" i="2"/>
  <c r="AE42" i="39" s="1"/>
  <c r="UF9" i="2"/>
  <c r="AF41" i="39" s="1"/>
  <c r="TQ9" i="2"/>
  <c r="AP40" i="39" s="1"/>
  <c r="TB9" i="2"/>
  <c r="AQ39" i="39" s="1"/>
  <c r="RY9" i="2"/>
  <c r="BL37" i="39" s="1"/>
  <c r="RH9" i="2"/>
  <c r="BB36" i="39" s="1"/>
  <c r="Y103" i="52" s="1"/>
  <c r="QD9" i="2"/>
  <c r="BM34" i="39" s="1"/>
  <c r="OZ9" i="2"/>
  <c r="BX32" i="39" s="1"/>
  <c r="NI9" i="2"/>
  <c r="T30" i="39" s="1"/>
  <c r="MT9" i="2"/>
  <c r="U29" i="39" s="1"/>
  <c r="Z80" i="45" s="1"/>
  <c r="ME9" i="2"/>
  <c r="AE28" i="39" s="1"/>
  <c r="JI9" i="2"/>
  <c r="BL23" i="39" s="1"/>
  <c r="IE9" i="2"/>
  <c r="BW21" i="39" s="1"/>
  <c r="HC9" i="2"/>
  <c r="I20" i="39" s="1"/>
  <c r="FY9" i="2"/>
  <c r="T18" i="39" s="1"/>
  <c r="FJ9" i="2"/>
  <c r="U17" i="39" s="1"/>
  <c r="Z68" i="45" s="1"/>
  <c r="DQ9" i="2"/>
  <c r="AP14" i="39" s="1"/>
  <c r="DC9" i="2"/>
  <c r="BA13" i="39" s="1"/>
  <c r="Y18" i="52" s="1"/>
  <c r="BJ9" i="2"/>
  <c r="BM10" i="39" s="1"/>
  <c r="AU9" i="2"/>
  <c r="BW9" i="39" s="1"/>
  <c r="AF9" i="2"/>
  <c r="BX8" i="39" s="1"/>
  <c r="WF8" i="2"/>
  <c r="AZ44" i="39" s="1"/>
  <c r="X111" i="52" s="1"/>
  <c r="VD8" i="2"/>
  <c r="BV42" i="39" s="1"/>
  <c r="UD8" i="2"/>
  <c r="S41" i="39" s="1"/>
  <c r="Y92" i="45" s="1"/>
  <c r="TP8" i="2"/>
  <c r="AD40" i="39" s="1"/>
  <c r="SN8" i="2"/>
  <c r="AZ38" i="39" s="1"/>
  <c r="X105" i="52" s="1"/>
  <c r="RZ8" i="2"/>
  <c r="BK37" i="39" s="1"/>
  <c r="RJ8" i="2"/>
  <c r="BK36" i="39" s="1"/>
  <c r="QV8" i="2"/>
  <c r="BV35" i="39" s="1"/>
  <c r="QJ8" i="2"/>
  <c r="H35" i="39" s="1"/>
  <c r="PV8" i="2"/>
  <c r="S34" i="39" s="1"/>
  <c r="Y85" i="45" s="1"/>
  <c r="PH8" i="2"/>
  <c r="AD33" i="39" s="1"/>
  <c r="OT8" i="2"/>
  <c r="AO32" i="39" s="1"/>
  <c r="NR8" i="2"/>
  <c r="BK30" i="39" s="1"/>
  <c r="ND8" i="2"/>
  <c r="BV29" i="39" s="1"/>
  <c r="MD8" i="2"/>
  <c r="S28" i="39" s="1"/>
  <c r="Y79" i="45" s="1"/>
  <c r="LB8" i="2"/>
  <c r="AO26" i="39" s="1"/>
  <c r="KN8" i="2"/>
  <c r="AZ25" i="39" s="1"/>
  <c r="X92" i="52" s="1"/>
  <c r="JZ8" i="2"/>
  <c r="BK24" i="39" s="1"/>
  <c r="JL8" i="2"/>
  <c r="BV23" i="39" s="1"/>
  <c r="IL8" i="2"/>
  <c r="S22" i="39" s="1"/>
  <c r="Y73" i="45" s="1"/>
  <c r="HJ8" i="2"/>
  <c r="AO20" i="39" s="1"/>
  <c r="GV8" i="2"/>
  <c r="AZ19" i="39" s="1"/>
  <c r="X86" i="52" s="1"/>
  <c r="GH8" i="2"/>
  <c r="BK18" i="39" s="1"/>
  <c r="FT8" i="2"/>
  <c r="BV17" i="39" s="1"/>
  <c r="FH8" i="2"/>
  <c r="H17" i="39" s="1"/>
  <c r="ET8" i="2"/>
  <c r="S16" i="39" s="1"/>
  <c r="Y67" i="45" s="1"/>
  <c r="EF8" i="2"/>
  <c r="AD15" i="39" s="1"/>
  <c r="DR8" i="2"/>
  <c r="AO14" i="39" s="1"/>
  <c r="DD8" i="2"/>
  <c r="AZ13" i="39" s="1"/>
  <c r="X80" i="52" s="1"/>
  <c r="CP8" i="2"/>
  <c r="BK12" i="39" s="1"/>
  <c r="CB8" i="2"/>
  <c r="BV11" i="39" s="1"/>
  <c r="BB8" i="2"/>
  <c r="S10" i="39" s="1"/>
  <c r="Y61" i="45" s="1"/>
  <c r="AN8" i="2"/>
  <c r="AD9" i="39" s="1"/>
  <c r="Z8" i="2"/>
  <c r="AO8" i="39" s="1"/>
  <c r="VM7" i="2"/>
  <c r="AL43" i="39" s="1"/>
  <c r="UY7" i="2"/>
  <c r="AW42" i="39" s="1"/>
  <c r="W47" i="52" s="1"/>
  <c r="UK7" i="2"/>
  <c r="BH41" i="39" s="1"/>
  <c r="TW7" i="2"/>
  <c r="BS40" i="39" s="1"/>
  <c r="SW7" i="2"/>
  <c r="P39" i="39" s="1"/>
  <c r="RU7" i="2"/>
  <c r="AL37" i="39" s="1"/>
  <c r="QC7" i="2"/>
  <c r="BH34" i="39" s="1"/>
  <c r="PO7" i="2"/>
  <c r="BS33" i="39" s="1"/>
  <c r="PC7" i="2"/>
  <c r="E33" i="39" s="1"/>
  <c r="OA7" i="2"/>
  <c r="AA31" i="39" s="1"/>
  <c r="NM7" i="2"/>
  <c r="AL30" i="39" s="1"/>
  <c r="MY7" i="2"/>
  <c r="AW29" i="39" s="1"/>
  <c r="W34" i="52" s="1"/>
  <c r="MK7" i="2"/>
  <c r="BH28" i="39" s="1"/>
  <c r="LW7" i="2"/>
  <c r="BS27" i="39" s="1"/>
  <c r="KW7" i="2"/>
  <c r="P26" i="39" s="1"/>
  <c r="KI7" i="2"/>
  <c r="AA25" i="39" s="1"/>
  <c r="JU7" i="2"/>
  <c r="AL24" i="39" s="1"/>
  <c r="JG7" i="2"/>
  <c r="AW23" i="39" s="1"/>
  <c r="W28" i="52" s="1"/>
  <c r="IS7" i="2"/>
  <c r="BH22" i="39" s="1"/>
  <c r="HS7" i="2"/>
  <c r="E21" i="39" s="1"/>
  <c r="HE7" i="2"/>
  <c r="P20" i="39" s="1"/>
  <c r="GQ7" i="2"/>
  <c r="AA19" i="39" s="1"/>
  <c r="GC7" i="2"/>
  <c r="AL18" i="39" s="1"/>
  <c r="FA7" i="2"/>
  <c r="BH16" i="39" s="1"/>
  <c r="EM7" i="2"/>
  <c r="BS15" i="39" s="1"/>
  <c r="EA7" i="2"/>
  <c r="E15" i="39" s="1"/>
  <c r="DM7" i="2"/>
  <c r="P14" i="39" s="1"/>
  <c r="CY7" i="2"/>
  <c r="AA13" i="39" s="1"/>
  <c r="CK7" i="2"/>
  <c r="AL12" i="39" s="1"/>
  <c r="BW7" i="2"/>
  <c r="AW11" i="39" s="1"/>
  <c r="W16" i="52" s="1"/>
  <c r="BI7" i="2"/>
  <c r="BH10" i="39" s="1"/>
  <c r="AU7" i="2"/>
  <c r="BS9" i="39" s="1"/>
  <c r="AI7" i="2"/>
  <c r="E9" i="39" s="1"/>
  <c r="U7" i="2"/>
  <c r="P8" i="39" s="1"/>
  <c r="EA8" i="2"/>
  <c r="G15" i="39" s="1"/>
  <c r="CY8" i="2"/>
  <c r="AC13" i="39" s="1"/>
  <c r="BW8" i="2"/>
  <c r="AY11" i="39" s="1"/>
  <c r="X16" i="52" s="1"/>
  <c r="BI8" i="2"/>
  <c r="BJ10" i="39" s="1"/>
  <c r="AU8" i="2"/>
  <c r="BU9" i="39" s="1"/>
  <c r="AI8" i="2"/>
  <c r="G9" i="39" s="1"/>
  <c r="WH7" i="2"/>
  <c r="BI44" i="39" s="1"/>
  <c r="VT7" i="2"/>
  <c r="BT43" i="39" s="1"/>
  <c r="UF7" i="2"/>
  <c r="AB41" i="39" s="1"/>
  <c r="TR7" i="2"/>
  <c r="AM40" i="39" s="1"/>
  <c r="SP7" i="2"/>
  <c r="BI38" i="39" s="1"/>
  <c r="PX7" i="2"/>
  <c r="AB34" i="39" s="1"/>
  <c r="OV7" i="2"/>
  <c r="AX32" i="39" s="1"/>
  <c r="W99" i="52" s="1"/>
  <c r="OH7" i="2"/>
  <c r="BI31" i="39" s="1"/>
  <c r="NH7" i="2"/>
  <c r="F30" i="39" s="1"/>
  <c r="MT7" i="2"/>
  <c r="Q29" i="39" s="1"/>
  <c r="X80" i="45" s="1"/>
  <c r="MF7" i="2"/>
  <c r="AB28" i="39" s="1"/>
  <c r="LD7" i="2"/>
  <c r="AX26" i="39" s="1"/>
  <c r="W93" i="52" s="1"/>
  <c r="KP7" i="2"/>
  <c r="BI25" i="39" s="1"/>
  <c r="JP7" i="2"/>
  <c r="F24" i="39" s="1"/>
  <c r="HZ7" i="2"/>
  <c r="AM21" i="39" s="1"/>
  <c r="FX7" i="2"/>
  <c r="F18" i="39" s="1"/>
  <c r="FJ7" i="2"/>
  <c r="Q17" i="39" s="1"/>
  <c r="X68" i="45" s="1"/>
  <c r="EV7" i="2"/>
  <c r="AB16" i="39" s="1"/>
  <c r="DT7" i="2"/>
  <c r="AX14" i="39" s="1"/>
  <c r="W81" i="52" s="1"/>
  <c r="DF7" i="2"/>
  <c r="BI13" i="39" s="1"/>
  <c r="BR7" i="2"/>
  <c r="Q11" i="39" s="1"/>
  <c r="X62" i="45" s="1"/>
  <c r="BD7" i="2"/>
  <c r="AB10" i="39" s="1"/>
  <c r="AP7" i="2"/>
  <c r="AM9" i="39" s="1"/>
  <c r="AB7" i="2"/>
  <c r="AX8" i="39" s="1"/>
  <c r="W75" i="52" s="1"/>
  <c r="WG7" i="2"/>
  <c r="BH44" i="39" s="1"/>
  <c r="VS7" i="2"/>
  <c r="BS43" i="39" s="1"/>
  <c r="SO7" i="2"/>
  <c r="BH38" i="39" s="1"/>
  <c r="SA7" i="2"/>
  <c r="BS37" i="39" s="1"/>
  <c r="QY7" i="2"/>
  <c r="E36" i="39" s="1"/>
  <c r="PW7" i="2"/>
  <c r="AA34" i="39" s="1"/>
  <c r="PI7" i="2"/>
  <c r="AL33" i="39" s="1"/>
  <c r="OU7" i="2"/>
  <c r="AW32" i="39" s="1"/>
  <c r="W37" i="52" s="1"/>
  <c r="OG7" i="2"/>
  <c r="BH31" i="39" s="1"/>
  <c r="NG7" i="2"/>
  <c r="E30" i="39" s="1"/>
  <c r="LQ7" i="2"/>
  <c r="AL27" i="39" s="1"/>
  <c r="LC7" i="2"/>
  <c r="AW26" i="39" s="1"/>
  <c r="W31" i="52" s="1"/>
  <c r="KO7" i="2"/>
  <c r="BH25" i="39" s="1"/>
  <c r="JO7" i="2"/>
  <c r="E24" i="39" s="1"/>
  <c r="JA7" i="2"/>
  <c r="P23" i="39" s="1"/>
  <c r="IM7" i="2"/>
  <c r="AA22" i="39" s="1"/>
  <c r="HY7" i="2"/>
  <c r="AL21" i="39" s="1"/>
  <c r="HK7" i="2"/>
  <c r="AW20" i="39" s="1"/>
  <c r="W25" i="52" s="1"/>
  <c r="GW7" i="2"/>
  <c r="BH19" i="39" s="1"/>
  <c r="GI7" i="2"/>
  <c r="BS18" i="39" s="1"/>
  <c r="FW7" i="2"/>
  <c r="E18" i="39" s="1"/>
  <c r="EU7" i="2"/>
  <c r="AA16" i="39" s="1"/>
  <c r="DS7" i="2"/>
  <c r="AW14" i="39" s="1"/>
  <c r="W19" i="52" s="1"/>
  <c r="DE7" i="2"/>
  <c r="BH13" i="39" s="1"/>
  <c r="CE7" i="2"/>
  <c r="E12" i="39" s="1"/>
  <c r="BQ7" i="2"/>
  <c r="P11" i="39" s="1"/>
  <c r="BC7" i="2"/>
  <c r="AA10" i="39" s="1"/>
  <c r="AO7" i="2"/>
  <c r="AL9" i="39" s="1"/>
  <c r="AA7" i="2"/>
  <c r="AW8" i="39" s="1"/>
  <c r="W13" i="52" s="1"/>
  <c r="VI8" i="2"/>
  <c r="R43" i="39" s="1"/>
  <c r="TE8" i="2"/>
  <c r="BJ39" i="39" s="1"/>
  <c r="SQ8" i="2"/>
  <c r="BU38" i="39" s="1"/>
  <c r="OI8" i="2"/>
  <c r="BU31" i="39" s="1"/>
  <c r="NW8" i="2"/>
  <c r="G31" i="39" s="1"/>
  <c r="LE8" i="2"/>
  <c r="BJ26" i="39" s="1"/>
  <c r="KQ8" i="2"/>
  <c r="BU25" i="39" s="1"/>
  <c r="KE8" i="2"/>
  <c r="G25" i="39" s="1"/>
  <c r="JQ8" i="2"/>
  <c r="R24" i="39" s="1"/>
  <c r="JC8" i="2"/>
  <c r="AC23" i="39" s="1"/>
  <c r="IO8" i="2"/>
  <c r="AN22" i="39" s="1"/>
  <c r="IA8" i="2"/>
  <c r="AY21" i="39" s="1"/>
  <c r="X26" i="52" s="1"/>
  <c r="HM8" i="2"/>
  <c r="BJ20" i="39" s="1"/>
  <c r="GY8" i="2"/>
  <c r="BU19" i="39" s="1"/>
  <c r="GM8" i="2"/>
  <c r="G19" i="39" s="1"/>
  <c r="FK8" i="2"/>
  <c r="AC17" i="39" s="1"/>
  <c r="DU8" i="2"/>
  <c r="BJ14" i="39" s="1"/>
  <c r="DG8" i="2"/>
  <c r="BU13" i="39" s="1"/>
  <c r="BS8" i="2"/>
  <c r="AC11" i="39" s="1"/>
  <c r="AC8" i="2"/>
  <c r="BJ8" i="39" s="1"/>
  <c r="WD7" i="2"/>
  <c r="AM44" i="39" s="1"/>
  <c r="VP7" i="2"/>
  <c r="AX43" i="39" s="1"/>
  <c r="W110" i="52" s="1"/>
  <c r="VB7" i="2"/>
  <c r="BI42" i="39" s="1"/>
  <c r="TN7" i="2"/>
  <c r="Q40" i="39" s="1"/>
  <c r="X91" i="45" s="1"/>
  <c r="RH7" i="2"/>
  <c r="AX36" i="39" s="1"/>
  <c r="W103" i="52" s="1"/>
  <c r="QT7" i="2"/>
  <c r="BI35" i="39" s="1"/>
  <c r="QF7" i="2"/>
  <c r="BT34" i="39" s="1"/>
  <c r="PT7" i="2"/>
  <c r="F34" i="39" s="1"/>
  <c r="PF7" i="2"/>
  <c r="Q33" i="39" s="1"/>
  <c r="X84" i="45" s="1"/>
  <c r="OR7" i="2"/>
  <c r="AB32" i="39" s="1"/>
  <c r="OD7" i="2"/>
  <c r="AM31" i="39" s="1"/>
  <c r="NP7" i="2"/>
  <c r="AX30" i="39" s="1"/>
  <c r="W97" i="52" s="1"/>
  <c r="NB7" i="2"/>
  <c r="BI29" i="39" s="1"/>
  <c r="MN7" i="2"/>
  <c r="BT28" i="39" s="1"/>
  <c r="MB7" i="2"/>
  <c r="F28" i="39" s="1"/>
  <c r="KL7" i="2"/>
  <c r="AM25" i="39" s="1"/>
  <c r="GT7" i="2"/>
  <c r="AM19" i="39" s="1"/>
  <c r="GF7" i="2"/>
  <c r="AX18" i="39" s="1"/>
  <c r="W85" i="52" s="1"/>
  <c r="FD7" i="2"/>
  <c r="BT16" i="39" s="1"/>
  <c r="CN7" i="2"/>
  <c r="AX12" i="39" s="1"/>
  <c r="W79" i="52" s="1"/>
  <c r="BL7" i="2"/>
  <c r="BT10" i="39" s="1"/>
  <c r="AZ7" i="2"/>
  <c r="F10" i="39" s="1"/>
  <c r="AL7" i="2"/>
  <c r="Q9" i="39" s="1"/>
  <c r="X60" i="45" s="1"/>
  <c r="X7" i="2"/>
  <c r="AB8" i="39" s="1"/>
  <c r="RK8" i="2"/>
  <c r="BU36" i="39" s="1"/>
  <c r="WP127" i="2"/>
  <c r="WQ241" i="2"/>
  <c r="WU127" i="2"/>
  <c r="WS203" i="2"/>
  <c r="XA431" i="2"/>
  <c r="WV89" i="2"/>
  <c r="XA317" i="2"/>
  <c r="WP89" i="2"/>
  <c r="WP241" i="2"/>
  <c r="WU51" i="2"/>
  <c r="WX241" i="2"/>
  <c r="XA165" i="2"/>
  <c r="WW127" i="2"/>
  <c r="WX203" i="2"/>
  <c r="WX89" i="2"/>
  <c r="WU203" i="2"/>
  <c r="WW89" i="2"/>
  <c r="WQ51" i="2"/>
  <c r="XB40" i="2"/>
  <c r="WY355" i="2"/>
  <c r="XA393" i="2"/>
  <c r="WV203" i="2"/>
  <c r="WX431" i="2"/>
  <c r="WQ355" i="2"/>
  <c r="WS355" i="2"/>
  <c r="WT279" i="2"/>
  <c r="WV165" i="2"/>
  <c r="WR431" i="2"/>
  <c r="WQ279" i="2"/>
  <c r="WU165" i="2"/>
  <c r="WR355" i="2"/>
  <c r="WT431" i="2"/>
  <c r="XA279" i="2"/>
  <c r="WT241" i="2"/>
  <c r="WY393" i="2"/>
  <c r="WV431" i="2"/>
  <c r="WP317" i="2"/>
  <c r="WZ431" i="2"/>
  <c r="WV393" i="2"/>
  <c r="WT393" i="2"/>
  <c r="WP355" i="2"/>
  <c r="WZ317" i="2"/>
  <c r="WX165" i="2"/>
  <c r="WS279" i="2"/>
  <c r="WY431" i="2"/>
  <c r="WX393" i="2"/>
  <c r="WZ393" i="2"/>
  <c r="WV317" i="2"/>
  <c r="WX317" i="2"/>
  <c r="WR165" i="2"/>
  <c r="WW165" i="2"/>
  <c r="WZ127" i="2"/>
  <c r="WQ431" i="2"/>
  <c r="WT317" i="2"/>
  <c r="WS241" i="2"/>
  <c r="XA203" i="2"/>
  <c r="WQ203" i="2"/>
  <c r="WQ165" i="2"/>
  <c r="WV51" i="2"/>
  <c r="WT51" i="2"/>
  <c r="WT203" i="2"/>
  <c r="WR203" i="2"/>
  <c r="WS431" i="2"/>
  <c r="WR279" i="2"/>
  <c r="WR241" i="2"/>
  <c r="WP203" i="2"/>
  <c r="WX127" i="2"/>
  <c r="WQ127" i="2"/>
  <c r="XA51" i="2"/>
  <c r="WT355" i="2"/>
  <c r="WS89" i="2"/>
  <c r="WP431" i="2"/>
  <c r="WQ393" i="2"/>
  <c r="WS393" i="2"/>
  <c r="WS317" i="2"/>
  <c r="WT127" i="2"/>
  <c r="WR393" i="2"/>
  <c r="WX355" i="2"/>
  <c r="WP165" i="2"/>
  <c r="WS127" i="2"/>
  <c r="XA355" i="2"/>
  <c r="WQ317" i="2"/>
  <c r="WZ203" i="2"/>
  <c r="WY51" i="2"/>
  <c r="XA89" i="2"/>
  <c r="WT89" i="2"/>
  <c r="WP393" i="2"/>
  <c r="WV355" i="2"/>
  <c r="WZ355" i="2"/>
  <c r="WP279" i="2"/>
  <c r="WY203" i="2"/>
  <c r="WZ89" i="2"/>
  <c r="WX51" i="2"/>
  <c r="WR89" i="2"/>
  <c r="WP51" i="2"/>
  <c r="WZ165" i="2"/>
  <c r="WW203" i="2"/>
  <c r="WY165" i="2"/>
  <c r="WS165" i="2"/>
  <c r="WY127" i="2"/>
  <c r="WY89" i="2"/>
  <c r="WR51" i="2"/>
  <c r="WW51" i="2"/>
  <c r="WV279" i="2"/>
  <c r="WZ279" i="2"/>
  <c r="WV127" i="2"/>
  <c r="WY279" i="2"/>
  <c r="XA241" i="2"/>
  <c r="WT165" i="2"/>
  <c r="WU89" i="2"/>
  <c r="WS51" i="2"/>
  <c r="WX279" i="2"/>
  <c r="WV241" i="2"/>
  <c r="WZ241" i="2"/>
  <c r="WR127" i="2"/>
  <c r="WQ89" i="2"/>
  <c r="WY241" i="2"/>
  <c r="WY317" i="2"/>
  <c r="WZ51" i="2"/>
  <c r="XC41" i="2"/>
  <c r="WS13" i="2"/>
  <c r="XB39" i="2"/>
  <c r="XC39" i="2"/>
  <c r="XC40" i="2"/>
  <c r="XB41" i="2"/>
  <c r="XC38" i="2"/>
  <c r="RK472" i="2"/>
  <c r="XC37" i="2"/>
  <c r="XB37" i="2"/>
  <c r="WR13" i="2"/>
  <c r="XB38" i="2"/>
  <c r="RK475" i="2"/>
  <c r="RL475" i="2"/>
  <c r="RK474" i="2"/>
  <c r="RL472" i="2"/>
  <c r="RK473" i="2"/>
  <c r="RK471" i="2"/>
  <c r="RL471" i="2"/>
  <c r="RL473" i="2"/>
  <c r="RL474" i="2"/>
  <c r="DK25" i="65"/>
  <c r="DJ25" i="65"/>
  <c r="V48" i="52" l="1"/>
  <c r="V96" i="52"/>
  <c r="V34" i="52"/>
  <c r="V85" i="52"/>
  <c r="V49" i="52"/>
  <c r="V98" i="52"/>
  <c r="V79" i="52"/>
  <c r="V90" i="52"/>
  <c r="V102" i="52"/>
  <c r="V40" i="52"/>
  <c r="V97" i="52"/>
  <c r="V93" i="52"/>
  <c r="V39" i="52"/>
  <c r="V36" i="52"/>
  <c r="V99" i="52"/>
  <c r="V91" i="52"/>
  <c r="V78" i="52"/>
  <c r="V31" i="52"/>
  <c r="V83" i="52"/>
  <c r="V101" i="52"/>
  <c r="V92" i="52"/>
  <c r="V87" i="52"/>
  <c r="V44" i="52"/>
  <c r="V75" i="52"/>
  <c r="V84" i="52"/>
  <c r="V94" i="52"/>
  <c r="V32" i="52"/>
  <c r="V95" i="52"/>
  <c r="V45" i="52"/>
  <c r="V80" i="52"/>
  <c r="V76" i="52"/>
  <c r="V81" i="52"/>
  <c r="V33" i="52"/>
  <c r="V77" i="52"/>
  <c r="V41" i="52"/>
  <c r="V37" i="52"/>
  <c r="V103" i="52"/>
  <c r="V47" i="52"/>
  <c r="V100" i="52"/>
  <c r="V42" i="52"/>
  <c r="V86" i="52"/>
  <c r="V46" i="52"/>
  <c r="V89" i="52"/>
  <c r="V43" i="52"/>
  <c r="V82" i="52"/>
  <c r="V88" i="52"/>
  <c r="V38" i="52"/>
  <c r="V35" i="52"/>
  <c r="F22" i="39"/>
  <c r="CE22" i="39" s="1"/>
  <c r="C71" i="26" s="1"/>
  <c r="IX7" i="2"/>
  <c r="AI25" i="35" s="1"/>
  <c r="BV7" i="50"/>
  <c r="BN7" i="50"/>
  <c r="BT7" i="50"/>
  <c r="BR7" i="50"/>
  <c r="BX7" i="50"/>
  <c r="BP7" i="50"/>
  <c r="BZ7" i="50"/>
  <c r="CB8" i="50"/>
  <c r="CB7" i="50" s="1"/>
  <c r="XR517" i="2"/>
  <c r="XR520" i="2"/>
  <c r="XR516" i="2"/>
  <c r="XV488" i="2"/>
  <c r="D57" i="7"/>
  <c r="XW486" i="2"/>
  <c r="E55" i="7"/>
  <c r="XK503" i="2"/>
  <c r="XX503" i="2" s="1"/>
  <c r="F25" i="7"/>
  <c r="XM488" i="2"/>
  <c r="XY488" i="2" s="1"/>
  <c r="H10" i="7"/>
  <c r="XW505" i="2"/>
  <c r="E74" i="7"/>
  <c r="XW494" i="2"/>
  <c r="E63" i="7"/>
  <c r="XQ509" i="2"/>
  <c r="D31" i="7"/>
  <c r="XW495" i="2"/>
  <c r="E64" i="7"/>
  <c r="XV509" i="2"/>
  <c r="D78" i="7"/>
  <c r="XQ491" i="2"/>
  <c r="D13" i="7"/>
  <c r="XM507" i="2"/>
  <c r="XY507" i="2" s="1"/>
  <c r="H29" i="7"/>
  <c r="XM496" i="2"/>
  <c r="XY496" i="2" s="1"/>
  <c r="H18" i="7"/>
  <c r="XM501" i="2"/>
  <c r="XY501" i="2" s="1"/>
  <c r="H23" i="7"/>
  <c r="XM498" i="2"/>
  <c r="XY498" i="2" s="1"/>
  <c r="H20" i="7"/>
  <c r="XV498" i="2"/>
  <c r="D67" i="7"/>
  <c r="XM505" i="2"/>
  <c r="XY505" i="2" s="1"/>
  <c r="H27" i="7"/>
  <c r="XQ510" i="2"/>
  <c r="D32" i="7"/>
  <c r="XV511" i="2"/>
  <c r="D80" i="7"/>
  <c r="XL508" i="2"/>
  <c r="G30" i="7"/>
  <c r="XQ502" i="2"/>
  <c r="D24" i="7"/>
  <c r="XK486" i="2"/>
  <c r="XX486" i="2" s="1"/>
  <c r="F8" i="7"/>
  <c r="XR521" i="2"/>
  <c r="XR514" i="2"/>
  <c r="XQ489" i="2"/>
  <c r="D11" i="7"/>
  <c r="XW504" i="2"/>
  <c r="E73" i="7"/>
  <c r="XL490" i="2"/>
  <c r="G12" i="7"/>
  <c r="XL498" i="2"/>
  <c r="G20" i="7"/>
  <c r="XM497" i="2"/>
  <c r="H19" i="7"/>
  <c r="XL511" i="2"/>
  <c r="G33" i="7"/>
  <c r="XL500" i="2"/>
  <c r="G22" i="7"/>
  <c r="XQ499" i="2"/>
  <c r="D21" i="7"/>
  <c r="XV506" i="2"/>
  <c r="D75" i="7"/>
  <c r="XW510" i="2"/>
  <c r="E79" i="7"/>
  <c r="XL486" i="2"/>
  <c r="G8" i="7"/>
  <c r="XV501" i="2"/>
  <c r="D70" i="7"/>
  <c r="XQ511" i="2"/>
  <c r="D33" i="7"/>
  <c r="XW487" i="2"/>
  <c r="E56" i="7"/>
  <c r="XN485" i="2"/>
  <c r="I7" i="7"/>
  <c r="XV507" i="2"/>
  <c r="D76" i="7"/>
  <c r="XV496" i="2"/>
  <c r="D65" i="7"/>
  <c r="XN511" i="2"/>
  <c r="I33" i="7"/>
  <c r="XV497" i="2"/>
  <c r="D66" i="7"/>
  <c r="XN493" i="2"/>
  <c r="I15" i="7"/>
  <c r="XL509" i="2"/>
  <c r="G31" i="7"/>
  <c r="XQ492" i="2"/>
  <c r="D14" i="7"/>
  <c r="XR515" i="2"/>
  <c r="XN491" i="2"/>
  <c r="I13" i="7"/>
  <c r="XQ507" i="2"/>
  <c r="D29" i="7"/>
  <c r="XQ508" i="2"/>
  <c r="D30" i="7"/>
  <c r="XQ497" i="2"/>
  <c r="D19" i="7"/>
  <c r="XQ498" i="2"/>
  <c r="D20" i="7"/>
  <c r="XW501" i="2"/>
  <c r="E70" i="7"/>
  <c r="XL487" i="2"/>
  <c r="G9" i="7"/>
  <c r="XK502" i="2"/>
  <c r="XX502" i="2" s="1"/>
  <c r="F24" i="7"/>
  <c r="XV486" i="2"/>
  <c r="D55" i="7"/>
  <c r="XN501" i="2"/>
  <c r="I23" i="7"/>
  <c r="XV510" i="2"/>
  <c r="D79" i="7"/>
  <c r="XW485" i="2"/>
  <c r="E54" i="7"/>
  <c r="XM506" i="2"/>
  <c r="XY506" i="2" s="1"/>
  <c r="H28" i="7"/>
  <c r="XK510" i="2"/>
  <c r="XX510" i="2" s="1"/>
  <c r="F32" i="7"/>
  <c r="XV489" i="2"/>
  <c r="D58" i="7"/>
  <c r="XM487" i="2"/>
  <c r="XY487" i="2" s="1"/>
  <c r="H9" i="7"/>
  <c r="XV495" i="2"/>
  <c r="D64" i="7"/>
  <c r="XN499" i="2"/>
  <c r="I21" i="7"/>
  <c r="XQ486" i="2"/>
  <c r="D8" i="7"/>
  <c r="XK491" i="2"/>
  <c r="XX491" i="2" s="1"/>
  <c r="F13" i="7"/>
  <c r="XM495" i="2"/>
  <c r="XY495" i="2" s="1"/>
  <c r="H17" i="7"/>
  <c r="XK511" i="2"/>
  <c r="XX511" i="2" s="1"/>
  <c r="F33" i="7"/>
  <c r="XK501" i="2"/>
  <c r="XX501" i="2" s="1"/>
  <c r="F23" i="7"/>
  <c r="XW503" i="2"/>
  <c r="E72" i="7"/>
  <c r="XQ487" i="2"/>
  <c r="D9" i="7"/>
  <c r="XV500" i="2"/>
  <c r="D69" i="7"/>
  <c r="XQ500" i="2"/>
  <c r="D22" i="7"/>
  <c r="XM485" i="2"/>
  <c r="XY485" i="2" s="1"/>
  <c r="H7" i="7"/>
  <c r="XQ490" i="2"/>
  <c r="D12" i="7"/>
  <c r="XL489" i="2"/>
  <c r="G11" i="7"/>
  <c r="XN509" i="2"/>
  <c r="I31" i="7"/>
  <c r="XQ496" i="2"/>
  <c r="D18" i="7"/>
  <c r="XN488" i="2"/>
  <c r="I10" i="7"/>
  <c r="XN500" i="2"/>
  <c r="I22" i="7"/>
  <c r="XV503" i="2"/>
  <c r="D72" i="7"/>
  <c r="XK489" i="2"/>
  <c r="XX489" i="2" s="1"/>
  <c r="F11" i="7"/>
  <c r="XL488" i="2"/>
  <c r="G10" i="7"/>
  <c r="XN489" i="2"/>
  <c r="I11" i="7"/>
  <c r="XM503" i="2"/>
  <c r="XY503" i="2" s="1"/>
  <c r="H25" i="7"/>
  <c r="XN502" i="2"/>
  <c r="I24" i="7"/>
  <c r="XW511" i="2"/>
  <c r="E80" i="7"/>
  <c r="I14" i="7"/>
  <c r="XW498" i="2"/>
  <c r="E67" i="7"/>
  <c r="XL501" i="2"/>
  <c r="G23" i="7"/>
  <c r="XK488" i="2"/>
  <c r="XX488" i="2" s="1"/>
  <c r="F10" i="7"/>
  <c r="XQ504" i="2"/>
  <c r="D26" i="7"/>
  <c r="XW490" i="2"/>
  <c r="E59" i="7"/>
  <c r="XV504" i="2"/>
  <c r="D73" i="7"/>
  <c r="XW491" i="2"/>
  <c r="E60" i="7"/>
  <c r="XV505" i="2"/>
  <c r="D74" i="7"/>
  <c r="XM491" i="2"/>
  <c r="XY491" i="2" s="1"/>
  <c r="H13" i="7"/>
  <c r="XW499" i="2"/>
  <c r="E68" i="7"/>
  <c r="XN506" i="2"/>
  <c r="I28" i="7"/>
  <c r="XM504" i="2"/>
  <c r="XY504" i="2" s="1"/>
  <c r="H26" i="7"/>
  <c r="XV487" i="2"/>
  <c r="D56" i="7"/>
  <c r="XK492" i="2"/>
  <c r="XX492" i="2" s="1"/>
  <c r="F14" i="7"/>
  <c r="XL503" i="2"/>
  <c r="G25" i="7"/>
  <c r="XM494" i="2"/>
  <c r="XY494" i="2" s="1"/>
  <c r="H16" i="7"/>
  <c r="XQ501" i="2"/>
  <c r="D23" i="7"/>
  <c r="XW492" i="2"/>
  <c r="E61" i="7"/>
  <c r="XK509" i="2"/>
  <c r="XX509" i="2" s="1"/>
  <c r="F31" i="7"/>
  <c r="XM490" i="2"/>
  <c r="XY490" i="2" s="1"/>
  <c r="H12" i="7"/>
  <c r="XM502" i="2"/>
  <c r="XY502" i="2" s="1"/>
  <c r="H24" i="7"/>
  <c r="XW500" i="2"/>
  <c r="E69" i="7"/>
  <c r="XW489" i="2"/>
  <c r="E58" i="7"/>
  <c r="XQ505" i="2"/>
  <c r="D27" i="7"/>
  <c r="XV493" i="2"/>
  <c r="D62" i="7"/>
  <c r="XQ506" i="2"/>
  <c r="D28" i="7"/>
  <c r="XM511" i="2"/>
  <c r="XY511" i="2" s="1"/>
  <c r="H33" i="7"/>
  <c r="XL493" i="2"/>
  <c r="G15" i="7"/>
  <c r="XL505" i="2"/>
  <c r="G27" i="7"/>
  <c r="XV502" i="2"/>
  <c r="D71" i="7"/>
  <c r="XQ488" i="2"/>
  <c r="D10" i="7"/>
  <c r="XW493" i="2"/>
  <c r="E62" i="7"/>
  <c r="XN498" i="2"/>
  <c r="I20" i="7"/>
  <c r="XL496" i="2"/>
  <c r="G18" i="7"/>
  <c r="XQ495" i="2"/>
  <c r="D17" i="7"/>
  <c r="XM500" i="2"/>
  <c r="XY500" i="2" s="1"/>
  <c r="H22" i="7"/>
  <c r="XM489" i="2"/>
  <c r="XY489" i="2" s="1"/>
  <c r="H11" i="7"/>
  <c r="XK505" i="2"/>
  <c r="XX505" i="2" s="1"/>
  <c r="F27" i="7"/>
  <c r="XL504" i="2"/>
  <c r="G26" i="7"/>
  <c r="XK487" i="2"/>
  <c r="XX487" i="2" s="1"/>
  <c r="F9" i="7"/>
  <c r="XV492" i="2"/>
  <c r="D61" i="7"/>
  <c r="XQ494" i="2"/>
  <c r="D16" i="7"/>
  <c r="XW502" i="2"/>
  <c r="E71" i="7"/>
  <c r="XL506" i="2"/>
  <c r="G28" i="7"/>
  <c r="XV499" i="2"/>
  <c r="D68" i="7"/>
  <c r="XM493" i="2"/>
  <c r="XY493" i="2" s="1"/>
  <c r="H15" i="7"/>
  <c r="XN503" i="2"/>
  <c r="I25" i="7"/>
  <c r="XL502" i="2"/>
  <c r="G24" i="7"/>
  <c r="XW506" i="2"/>
  <c r="E75" i="7"/>
  <c r="XL492" i="2"/>
  <c r="G14" i="7"/>
  <c r="XW488" i="2"/>
  <c r="E57" i="7"/>
  <c r="XQ503" i="2"/>
  <c r="D25" i="7"/>
  <c r="XV491" i="2"/>
  <c r="D60" i="7"/>
  <c r="XM508" i="2"/>
  <c r="XY508" i="2" s="1"/>
  <c r="H30" i="7"/>
  <c r="XQ493" i="2"/>
  <c r="D15" i="7"/>
  <c r="XN507" i="2"/>
  <c r="I29" i="7"/>
  <c r="XN508" i="2"/>
  <c r="I30" i="7"/>
  <c r="XN510" i="2"/>
  <c r="I32" i="7"/>
  <c r="XK495" i="2"/>
  <c r="XX495" i="2" s="1"/>
  <c r="F17" i="7"/>
  <c r="XK507" i="2"/>
  <c r="XX507" i="2" s="1"/>
  <c r="F29" i="7"/>
  <c r="XN487" i="2"/>
  <c r="I9" i="7"/>
  <c r="XK496" i="2"/>
  <c r="XX496" i="2" s="1"/>
  <c r="F18" i="7"/>
  <c r="XN490" i="2"/>
  <c r="I12" i="7"/>
  <c r="XM486" i="2"/>
  <c r="XY486" i="2" s="1"/>
  <c r="H8" i="7"/>
  <c r="XL485" i="2"/>
  <c r="G7" i="7"/>
  <c r="XN497" i="2"/>
  <c r="I19" i="7"/>
  <c r="XN486" i="2"/>
  <c r="I8" i="7"/>
  <c r="XL491" i="2"/>
  <c r="G13" i="7"/>
  <c r="XK506" i="2"/>
  <c r="XX506" i="2" s="1"/>
  <c r="F28" i="7"/>
  <c r="XL510" i="2"/>
  <c r="G32" i="7"/>
  <c r="XN496" i="2"/>
  <c r="I18" i="7"/>
  <c r="XW496" i="2"/>
  <c r="E65" i="7"/>
  <c r="XW508" i="2"/>
  <c r="E77" i="7"/>
  <c r="XV494" i="2"/>
  <c r="D63" i="7"/>
  <c r="XK508" i="2"/>
  <c r="XX508" i="2" s="1"/>
  <c r="F30" i="7"/>
  <c r="XW497" i="2"/>
  <c r="E66" i="7"/>
  <c r="XM492" i="2"/>
  <c r="XY492" i="2" s="1"/>
  <c r="H14" i="7"/>
  <c r="XL494" i="2"/>
  <c r="G16" i="7"/>
  <c r="XK485" i="2"/>
  <c r="XX485" i="2" s="1"/>
  <c r="F7" i="7"/>
  <c r="XL507" i="2"/>
  <c r="G29" i="7"/>
  <c r="XM499" i="2"/>
  <c r="H21" i="7"/>
  <c r="XK504" i="2"/>
  <c r="XX504" i="2" s="1"/>
  <c r="F26" i="7"/>
  <c r="XK493" i="2"/>
  <c r="XX493" i="2" s="1"/>
  <c r="F15" i="7"/>
  <c r="XV508" i="2"/>
  <c r="D77" i="7"/>
  <c r="XK494" i="2"/>
  <c r="XX494" i="2" s="1"/>
  <c r="F16" i="7"/>
  <c r="XW507" i="2"/>
  <c r="E76" i="7"/>
  <c r="XV490" i="2"/>
  <c r="D59" i="7"/>
  <c r="XN505" i="2"/>
  <c r="I27" i="7"/>
  <c r="XN494" i="2"/>
  <c r="I16" i="7"/>
  <c r="XN495" i="2"/>
  <c r="I17" i="7"/>
  <c r="XM509" i="2"/>
  <c r="XY509" i="2" s="1"/>
  <c r="H31" i="7"/>
  <c r="XM510" i="2"/>
  <c r="XY510" i="2" s="1"/>
  <c r="H32" i="7"/>
  <c r="XV485" i="2"/>
  <c r="D54" i="7"/>
  <c r="XL495" i="2"/>
  <c r="G17" i="7"/>
  <c r="XW509" i="2"/>
  <c r="E78" i="7"/>
  <c r="XN504" i="2"/>
  <c r="I26" i="7"/>
  <c r="XK490" i="2"/>
  <c r="XX490" i="2" s="1"/>
  <c r="F12" i="7"/>
  <c r="B195" i="2"/>
  <c r="B134" i="2"/>
  <c r="CJ29" i="39"/>
  <c r="F30" i="26" s="1"/>
  <c r="CJ28" i="39"/>
  <c r="F29" i="26" s="1"/>
  <c r="CF24" i="39"/>
  <c r="D25" i="26" s="1"/>
  <c r="CJ34" i="39"/>
  <c r="F35" i="26" s="1"/>
  <c r="CH13" i="39"/>
  <c r="E14" i="26" s="1"/>
  <c r="CG11" i="39"/>
  <c r="D60" i="26" s="1"/>
  <c r="CH32" i="39"/>
  <c r="E33" i="26" s="1"/>
  <c r="CF29" i="39"/>
  <c r="D30" i="26" s="1"/>
  <c r="CH19" i="39"/>
  <c r="E20" i="26" s="1"/>
  <c r="CG26" i="39"/>
  <c r="D75" i="26" s="1"/>
  <c r="CF23" i="39"/>
  <c r="D24" i="26" s="1"/>
  <c r="CG33" i="39"/>
  <c r="D82" i="26" s="1"/>
  <c r="CG17" i="39"/>
  <c r="D66" i="26" s="1"/>
  <c r="CF25" i="39"/>
  <c r="D26" i="26" s="1"/>
  <c r="CJ25" i="39"/>
  <c r="F26" i="26" s="1"/>
  <c r="CH8" i="39"/>
  <c r="E9" i="26" s="1"/>
  <c r="CJ23" i="39"/>
  <c r="F24" i="26" s="1"/>
  <c r="CH20" i="39"/>
  <c r="E21" i="26" s="1"/>
  <c r="CH30" i="39"/>
  <c r="E31" i="26" s="1"/>
  <c r="CJ12" i="39"/>
  <c r="F13" i="26" s="1"/>
  <c r="CF32" i="39"/>
  <c r="D33" i="26" s="1"/>
  <c r="CF13" i="39"/>
  <c r="D14" i="26" s="1"/>
  <c r="CF28" i="39"/>
  <c r="D29" i="26" s="1"/>
  <c r="CJ15" i="39"/>
  <c r="F16" i="26" s="1"/>
  <c r="CF35" i="39"/>
  <c r="D36" i="26" s="1"/>
  <c r="CG21" i="39"/>
  <c r="D70" i="26" s="1"/>
  <c r="CJ17" i="39"/>
  <c r="F18" i="26" s="1"/>
  <c r="CG35" i="39"/>
  <c r="D84" i="26" s="1"/>
  <c r="CH24" i="39"/>
  <c r="E25" i="26" s="1"/>
  <c r="CH22" i="39"/>
  <c r="E23" i="26" s="1"/>
  <c r="CH35" i="39"/>
  <c r="E36" i="26" s="1"/>
  <c r="CJ20" i="39"/>
  <c r="F21" i="26" s="1"/>
  <c r="CG32" i="39"/>
  <c r="D81" i="26" s="1"/>
  <c r="CJ35" i="39"/>
  <c r="F36" i="26" s="1"/>
  <c r="CF14" i="39"/>
  <c r="D15" i="26" s="1"/>
  <c r="CG9" i="39"/>
  <c r="D58" i="26" s="1"/>
  <c r="CF18" i="39"/>
  <c r="D19" i="26" s="1"/>
  <c r="CJ13" i="39"/>
  <c r="F14" i="26" s="1"/>
  <c r="CF15" i="39"/>
  <c r="D16" i="26" s="1"/>
  <c r="CG25" i="39"/>
  <c r="D74" i="26" s="1"/>
  <c r="CF20" i="39"/>
  <c r="D21" i="26" s="1"/>
  <c r="CF17" i="39"/>
  <c r="D18" i="26" s="1"/>
  <c r="CH21" i="39"/>
  <c r="E22" i="26" s="1"/>
  <c r="CG16" i="39"/>
  <c r="D65" i="26" s="1"/>
  <c r="CG28" i="39"/>
  <c r="D77" i="26" s="1"/>
  <c r="CJ19" i="39"/>
  <c r="F20" i="26" s="1"/>
  <c r="CF19" i="39"/>
  <c r="D20" i="26" s="1"/>
  <c r="CH10" i="39"/>
  <c r="E11" i="26" s="1"/>
  <c r="CH16" i="39"/>
  <c r="E17" i="26" s="1"/>
  <c r="CJ10" i="39"/>
  <c r="F11" i="26" s="1"/>
  <c r="CJ22" i="39"/>
  <c r="F23" i="26" s="1"/>
  <c r="CF10" i="39"/>
  <c r="D11" i="26" s="1"/>
  <c r="CG23" i="39"/>
  <c r="D72" i="26" s="1"/>
  <c r="CJ18" i="39"/>
  <c r="F19" i="26" s="1"/>
  <c r="CJ32" i="39"/>
  <c r="F33" i="26" s="1"/>
  <c r="CF31" i="39"/>
  <c r="D32" i="26" s="1"/>
  <c r="CF36" i="39"/>
  <c r="D37" i="26" s="1"/>
  <c r="CG14" i="39"/>
  <c r="D63" i="26" s="1"/>
  <c r="CF27" i="39"/>
  <c r="D28" i="26" s="1"/>
  <c r="CG13" i="39"/>
  <c r="D62" i="26" s="1"/>
  <c r="CG19" i="39"/>
  <c r="D68" i="26" s="1"/>
  <c r="CF26" i="39"/>
  <c r="D27" i="26" s="1"/>
  <c r="CF22" i="39"/>
  <c r="D23" i="26" s="1"/>
  <c r="CF30" i="39"/>
  <c r="D31" i="26" s="1"/>
  <c r="CG36" i="39"/>
  <c r="D85" i="26" s="1"/>
  <c r="CF9" i="39"/>
  <c r="D10" i="26" s="1"/>
  <c r="CJ33" i="39"/>
  <c r="F34" i="26" s="1"/>
  <c r="CH15" i="39"/>
  <c r="E16" i="26" s="1"/>
  <c r="CH9" i="39"/>
  <c r="E10" i="26" s="1"/>
  <c r="CG15" i="39"/>
  <c r="D64" i="26" s="1"/>
  <c r="CG34" i="39"/>
  <c r="D83" i="26" s="1"/>
  <c r="CF34" i="39"/>
  <c r="D35" i="26" s="1"/>
  <c r="CJ16" i="39"/>
  <c r="F17" i="26" s="1"/>
  <c r="CH11" i="39"/>
  <c r="E12" i="26" s="1"/>
  <c r="CH27" i="39"/>
  <c r="E28" i="26" s="1"/>
  <c r="CJ9" i="39"/>
  <c r="F10" i="26" s="1"/>
  <c r="CF8" i="39"/>
  <c r="D9" i="26" s="1"/>
  <c r="CH25" i="39"/>
  <c r="E26" i="26" s="1"/>
  <c r="CG12" i="39"/>
  <c r="D61" i="26" s="1"/>
  <c r="CF11" i="39"/>
  <c r="D12" i="26" s="1"/>
  <c r="CH28" i="39"/>
  <c r="E29" i="26" s="1"/>
  <c r="CG10" i="39"/>
  <c r="D59" i="26" s="1"/>
  <c r="CG22" i="39"/>
  <c r="D71" i="26" s="1"/>
  <c r="CH33" i="39"/>
  <c r="E34" i="26" s="1"/>
  <c r="CH14" i="39"/>
  <c r="E15" i="26" s="1"/>
  <c r="CG18" i="39"/>
  <c r="D67" i="26" s="1"/>
  <c r="CH34" i="39"/>
  <c r="E35" i="26" s="1"/>
  <c r="CG8" i="39"/>
  <c r="D57" i="26" s="1"/>
  <c r="CF21" i="39"/>
  <c r="D22" i="26" s="1"/>
  <c r="CH17" i="39"/>
  <c r="E18" i="26" s="1"/>
  <c r="CJ24" i="39"/>
  <c r="F25" i="26" s="1"/>
  <c r="CG31" i="39"/>
  <c r="D80" i="26" s="1"/>
  <c r="CH26" i="39"/>
  <c r="E27" i="26" s="1"/>
  <c r="CJ26" i="39"/>
  <c r="F27" i="26" s="1"/>
  <c r="CH23" i="39"/>
  <c r="E24" i="26" s="1"/>
  <c r="CH36" i="39"/>
  <c r="E37" i="26" s="1"/>
  <c r="CG27" i="39"/>
  <c r="D76" i="26" s="1"/>
  <c r="CH29" i="39"/>
  <c r="E30" i="26" s="1"/>
  <c r="CJ21" i="39"/>
  <c r="F22" i="26" s="1"/>
  <c r="CJ36" i="39"/>
  <c r="F37" i="26" s="1"/>
  <c r="CF12" i="39"/>
  <c r="D13" i="26" s="1"/>
  <c r="CG29" i="39"/>
  <c r="D78" i="26" s="1"/>
  <c r="CF16" i="39"/>
  <c r="D17" i="26" s="1"/>
  <c r="CJ27" i="39"/>
  <c r="F28" i="26" s="1"/>
  <c r="CH18" i="39"/>
  <c r="E19" i="26" s="1"/>
  <c r="CH31" i="39"/>
  <c r="E32" i="26" s="1"/>
  <c r="CJ30" i="39"/>
  <c r="F31" i="26" s="1"/>
  <c r="CJ14" i="39"/>
  <c r="F15" i="26" s="1"/>
  <c r="CG24" i="39"/>
  <c r="D73" i="26" s="1"/>
  <c r="CG20" i="39"/>
  <c r="D69" i="26" s="1"/>
  <c r="CF33" i="39"/>
  <c r="D34" i="26" s="1"/>
  <c r="CJ31" i="39"/>
  <c r="F32" i="26" s="1"/>
  <c r="CJ11" i="39"/>
  <c r="F12" i="26" s="1"/>
  <c r="XK37" i="2"/>
  <c r="XR37" i="2" s="1"/>
  <c r="XK39" i="2"/>
  <c r="XX498" i="2"/>
  <c r="XT40" i="2"/>
  <c r="XK38" i="2"/>
  <c r="XR38" i="2" s="1"/>
  <c r="XK40" i="2"/>
  <c r="AC7" i="39"/>
  <c r="AC6" i="39" s="1"/>
  <c r="G7" i="39"/>
  <c r="XT37" i="2"/>
  <c r="Z7" i="39"/>
  <c r="XT38" i="2"/>
  <c r="XT39" i="2"/>
  <c r="Z9" i="39"/>
  <c r="CE9" i="39"/>
  <c r="C58" i="26" s="1"/>
  <c r="CD13" i="39"/>
  <c r="Z32" i="39"/>
  <c r="CE32" i="39"/>
  <c r="C81" i="26" s="1"/>
  <c r="CE28" i="39"/>
  <c r="C77" i="26" s="1"/>
  <c r="Z28" i="39"/>
  <c r="CD9" i="39"/>
  <c r="CD24" i="39"/>
  <c r="Z37" i="39"/>
  <c r="Z14" i="39"/>
  <c r="CE14" i="39"/>
  <c r="C63" i="26" s="1"/>
  <c r="CE8" i="39"/>
  <c r="C57" i="26" s="1"/>
  <c r="CD16" i="39"/>
  <c r="Z10" i="39"/>
  <c r="CE10" i="39"/>
  <c r="Z19" i="39"/>
  <c r="CE19" i="39"/>
  <c r="C68" i="26" s="1"/>
  <c r="CD26" i="39"/>
  <c r="CD17" i="39"/>
  <c r="CD27" i="39"/>
  <c r="Z38" i="39"/>
  <c r="Z20" i="39"/>
  <c r="CE20" i="39"/>
  <c r="C69" i="26" s="1"/>
  <c r="CD21" i="39"/>
  <c r="Z18" i="39"/>
  <c r="CE18" i="39"/>
  <c r="C67" i="26" s="1"/>
  <c r="Z17" i="39"/>
  <c r="CE17" i="39"/>
  <c r="CD12" i="39"/>
  <c r="CD14" i="39"/>
  <c r="Z44" i="39"/>
  <c r="Z31" i="39"/>
  <c r="CE31" i="39"/>
  <c r="Z26" i="39"/>
  <c r="CE26" i="39"/>
  <c r="C75" i="26" s="1"/>
  <c r="Z33" i="39"/>
  <c r="CE33" i="39"/>
  <c r="C82" i="26" s="1"/>
  <c r="Z42" i="39"/>
  <c r="CD29" i="39"/>
  <c r="Z22" i="39"/>
  <c r="Z24" i="39"/>
  <c r="CE24" i="39"/>
  <c r="C73" i="26" s="1"/>
  <c r="Z27" i="39"/>
  <c r="CE27" i="39"/>
  <c r="C76" i="26" s="1"/>
  <c r="Z36" i="39"/>
  <c r="CE36" i="39"/>
  <c r="C85" i="26" s="1"/>
  <c r="CD36" i="39"/>
  <c r="CD33" i="39"/>
  <c r="Z16" i="39"/>
  <c r="CE16" i="39"/>
  <c r="C65" i="26" s="1"/>
  <c r="CD31" i="39"/>
  <c r="Z11" i="39"/>
  <c r="CE11" i="39"/>
  <c r="C60" i="26" s="1"/>
  <c r="CD11" i="39"/>
  <c r="CE23" i="39"/>
  <c r="C72" i="26" s="1"/>
  <c r="Z23" i="39"/>
  <c r="CD35" i="39"/>
  <c r="CD20" i="39"/>
  <c r="CD28" i="39"/>
  <c r="CD34" i="39"/>
  <c r="CD19" i="39"/>
  <c r="CD18" i="39"/>
  <c r="Z13" i="39"/>
  <c r="CE13" i="39"/>
  <c r="C62" i="26" s="1"/>
  <c r="Z43" i="39"/>
  <c r="CD22" i="39"/>
  <c r="CD15" i="39"/>
  <c r="CD30" i="39"/>
  <c r="Z12" i="39"/>
  <c r="CE12" i="39"/>
  <c r="C61" i="26" s="1"/>
  <c r="XZ514" i="2"/>
  <c r="YA514" i="2" s="1"/>
  <c r="CE29" i="39"/>
  <c r="C78" i="26" s="1"/>
  <c r="Z29" i="39"/>
  <c r="Z21" i="39"/>
  <c r="CE21" i="39"/>
  <c r="C70" i="26" s="1"/>
  <c r="CD25" i="39"/>
  <c r="CD32" i="39"/>
  <c r="CD8" i="39"/>
  <c r="Z30" i="39"/>
  <c r="CE30" i="39"/>
  <c r="Z34" i="39"/>
  <c r="CE34" i="39"/>
  <c r="C83" i="26" s="1"/>
  <c r="CE15" i="39"/>
  <c r="C64" i="26" s="1"/>
  <c r="Z15" i="39"/>
  <c r="Z39" i="39"/>
  <c r="CD10" i="39"/>
  <c r="Z41" i="39"/>
  <c r="Z25" i="39"/>
  <c r="CE25" i="39"/>
  <c r="C74" i="26" s="1"/>
  <c r="Z40" i="39"/>
  <c r="CE35" i="39"/>
  <c r="C84" i="26" s="1"/>
  <c r="Z35" i="39"/>
  <c r="CD23" i="39"/>
  <c r="F31" i="61"/>
  <c r="D31" i="61" s="1"/>
  <c r="F32" i="61"/>
  <c r="D32" i="61" s="1"/>
  <c r="F30" i="61"/>
  <c r="D30" i="61" s="1"/>
  <c r="F29" i="61"/>
  <c r="D29" i="61" s="1"/>
  <c r="XR518" i="2"/>
  <c r="XZ518" i="2"/>
  <c r="YA518" i="2" s="1"/>
  <c r="XR513" i="2"/>
  <c r="XZ513" i="2"/>
  <c r="YA513" i="2" s="1"/>
  <c r="XZ520" i="2"/>
  <c r="YA520" i="2" s="1"/>
  <c r="XR519" i="2"/>
  <c r="XZ519" i="2"/>
  <c r="YA519" i="2" s="1"/>
  <c r="XX500" i="2"/>
  <c r="XZ516" i="2"/>
  <c r="YA516" i="2" s="1"/>
  <c r="XZ517" i="2"/>
  <c r="YA517" i="2" s="1"/>
  <c r="XZ521" i="2"/>
  <c r="YA521" i="2" s="1"/>
  <c r="XZ515" i="2"/>
  <c r="YA515" i="2" s="1"/>
  <c r="XB358" i="2"/>
  <c r="G17" i="61"/>
  <c r="XB297" i="2"/>
  <c r="XB151" i="2"/>
  <c r="XB368" i="2"/>
  <c r="XB442" i="2"/>
  <c r="XB101" i="2"/>
  <c r="XB141" i="2"/>
  <c r="XB129" i="2"/>
  <c r="XB342" i="2"/>
  <c r="G8" i="61"/>
  <c r="G23" i="61"/>
  <c r="XR69" i="2"/>
  <c r="XB331" i="2"/>
  <c r="XB148" i="2"/>
  <c r="XB188" i="2"/>
  <c r="XB410" i="2"/>
  <c r="XB370" i="2"/>
  <c r="XB433" i="2"/>
  <c r="XB363" i="2"/>
  <c r="XB181" i="2"/>
  <c r="XB247" i="2"/>
  <c r="XB224" i="2"/>
  <c r="XB206" i="2"/>
  <c r="XB225" i="2"/>
  <c r="XB323" i="2"/>
  <c r="XB280" i="2"/>
  <c r="XB289" i="2"/>
  <c r="XB98" i="2"/>
  <c r="XB320" i="2"/>
  <c r="XB267" i="2"/>
  <c r="AD6" i="39"/>
  <c r="XB306" i="2"/>
  <c r="XK497" i="2"/>
  <c r="XK474" i="2"/>
  <c r="G31" i="61"/>
  <c r="XB438" i="2"/>
  <c r="XB189" i="2"/>
  <c r="G24" i="61"/>
  <c r="XB361" i="2"/>
  <c r="XB400" i="2"/>
  <c r="XB253" i="2"/>
  <c r="E29" i="61"/>
  <c r="XB102" i="2"/>
  <c r="XB147" i="2"/>
  <c r="XB135" i="2"/>
  <c r="XB344" i="2"/>
  <c r="XB169" i="2"/>
  <c r="G9" i="61"/>
  <c r="G26" i="61"/>
  <c r="XB411" i="2"/>
  <c r="XB183" i="2"/>
  <c r="XB132" i="2"/>
  <c r="XB365" i="2"/>
  <c r="XB190" i="2"/>
  <c r="XB248" i="2"/>
  <c r="XB229" i="2"/>
  <c r="XB207" i="2"/>
  <c r="XB337" i="2"/>
  <c r="XB228" i="2"/>
  <c r="XB112" i="2"/>
  <c r="XB457" i="2"/>
  <c r="XB268" i="2"/>
  <c r="XB455" i="2"/>
  <c r="XB257" i="2"/>
  <c r="XB381" i="2"/>
  <c r="XB445" i="2"/>
  <c r="XB107" i="2"/>
  <c r="XB144" i="2"/>
  <c r="K22" i="61" s="1"/>
  <c r="XB174" i="2"/>
  <c r="G11" i="61"/>
  <c r="G27" i="61"/>
  <c r="XB93" i="2"/>
  <c r="XB417" i="2"/>
  <c r="XB335" i="2"/>
  <c r="XB394" i="2"/>
  <c r="XR394" i="2" s="1"/>
  <c r="XB292" i="2"/>
  <c r="XB143" i="2"/>
  <c r="XB191" i="2"/>
  <c r="XB249" i="2"/>
  <c r="XB340" i="2"/>
  <c r="XB209" i="2"/>
  <c r="XB343" i="2"/>
  <c r="XB360" i="2"/>
  <c r="XB448" i="2"/>
  <c r="XB397" i="2"/>
  <c r="XB114" i="2"/>
  <c r="XE38" i="2" s="1"/>
  <c r="XB281" i="2"/>
  <c r="XB446" i="2"/>
  <c r="XK499" i="2"/>
  <c r="XK473" i="2"/>
  <c r="XB419" i="2"/>
  <c r="XB444" i="2"/>
  <c r="E32" i="61"/>
  <c r="XB319" i="2"/>
  <c r="XB108" i="2"/>
  <c r="XB145" i="2"/>
  <c r="XB176" i="2"/>
  <c r="G14" i="61"/>
  <c r="G29" i="61"/>
  <c r="XR75" i="2"/>
  <c r="XB283" i="2"/>
  <c r="XB104" i="2"/>
  <c r="XB95" i="2"/>
  <c r="XB372" i="2"/>
  <c r="XB395" i="2"/>
  <c r="XB153" i="2"/>
  <c r="XB131" i="2"/>
  <c r="XB250" i="2"/>
  <c r="XB416" i="2"/>
  <c r="XB212" i="2"/>
  <c r="XB338" i="2"/>
  <c r="G12" i="61"/>
  <c r="XB432" i="2"/>
  <c r="XB294" i="2"/>
  <c r="XB407" i="2"/>
  <c r="XB116" i="2"/>
  <c r="XE40" i="2" s="1"/>
  <c r="XB303" i="2"/>
  <c r="XB449" i="2"/>
  <c r="XN473" i="2"/>
  <c r="XL473" i="2"/>
  <c r="XR79" i="2"/>
  <c r="XB180" i="2"/>
  <c r="G16" i="61"/>
  <c r="BL22" i="50"/>
  <c r="CC22" i="50" s="1"/>
  <c r="XL499" i="2"/>
  <c r="XB260" i="2"/>
  <c r="XB219" i="2"/>
  <c r="XB326" i="2"/>
  <c r="XB109" i="2"/>
  <c r="XB149" i="2"/>
  <c r="XB178" i="2"/>
  <c r="G15" i="61"/>
  <c r="G30" i="61"/>
  <c r="XB284" i="2"/>
  <c r="XB357" i="2"/>
  <c r="XB106" i="2"/>
  <c r="XB293" i="2"/>
  <c r="XB105" i="2"/>
  <c r="XB380" i="2"/>
  <c r="XB398" i="2"/>
  <c r="XB300" i="2"/>
  <c r="XB259" i="2"/>
  <c r="XB172" i="2"/>
  <c r="XB139" i="2"/>
  <c r="XB251" i="2"/>
  <c r="XB418" i="2"/>
  <c r="XB213" i="2"/>
  <c r="XB341" i="2"/>
  <c r="XB436" i="2"/>
  <c r="XB256" i="2"/>
  <c r="XB408" i="2"/>
  <c r="XB265" i="2"/>
  <c r="XB458" i="2"/>
  <c r="XB451" i="2"/>
  <c r="XR117" i="2"/>
  <c r="XL472" i="2"/>
  <c r="XB110" i="2"/>
  <c r="XB378" i="2"/>
  <c r="XB371" i="2"/>
  <c r="XB396" i="2"/>
  <c r="XB254" i="2"/>
  <c r="XB168" i="2"/>
  <c r="XB258" i="2"/>
  <c r="XB377" i="2"/>
  <c r="XB263" i="2"/>
  <c r="E31" i="61"/>
  <c r="XB92" i="2"/>
  <c r="XB134" i="2"/>
  <c r="XB171" i="2"/>
  <c r="XB128" i="2"/>
  <c r="XB187" i="2"/>
  <c r="G18" i="61"/>
  <c r="XB287" i="2"/>
  <c r="XB364" i="2"/>
  <c r="XB261" i="2"/>
  <c r="XB434" i="2"/>
  <c r="XB356" i="2"/>
  <c r="XB262" i="2"/>
  <c r="XB299" i="2"/>
  <c r="XB401" i="2"/>
  <c r="XB146" i="2"/>
  <c r="XB379" i="2"/>
  <c r="XB152" i="2"/>
  <c r="XB373" i="2"/>
  <c r="XB295" i="2"/>
  <c r="G10" i="61"/>
  <c r="XB328" i="2"/>
  <c r="XB220" i="2"/>
  <c r="XB208" i="2"/>
  <c r="XB443" i="2"/>
  <c r="XB97" i="2"/>
  <c r="XB264" i="2"/>
  <c r="XB376" i="2"/>
  <c r="XB447" i="2"/>
  <c r="XM474" i="2"/>
  <c r="XB175" i="2"/>
  <c r="XB140" i="2"/>
  <c r="XB452" i="2"/>
  <c r="XR155" i="2"/>
  <c r="XB192" i="2"/>
  <c r="XB454" i="2"/>
  <c r="XB94" i="2"/>
  <c r="XB136" i="2"/>
  <c r="XB177" i="2"/>
  <c r="XB301" i="2"/>
  <c r="XB137" i="2"/>
  <c r="AF8" i="39"/>
  <c r="G19" i="61"/>
  <c r="XR65" i="2"/>
  <c r="XB288" i="2"/>
  <c r="XB367" i="2"/>
  <c r="XB439" i="2"/>
  <c r="XB327" i="2"/>
  <c r="XB402" i="2"/>
  <c r="XB150" i="2"/>
  <c r="XB435" i="2"/>
  <c r="XB406" i="2"/>
  <c r="XB154" i="2"/>
  <c r="XB243" i="2"/>
  <c r="XB374" i="2"/>
  <c r="XB296" i="2"/>
  <c r="G13" i="61"/>
  <c r="XB329" i="2"/>
  <c r="XB223" i="2"/>
  <c r="XB211" i="2"/>
  <c r="XB103" i="2"/>
  <c r="XB414" i="2"/>
  <c r="XB453" i="2"/>
  <c r="XM472" i="2"/>
  <c r="XQ474" i="2"/>
  <c r="XB217" i="2"/>
  <c r="XB185" i="2"/>
  <c r="XB404" i="2"/>
  <c r="XB325" i="2"/>
  <c r="XB96" i="2"/>
  <c r="XB142" i="2"/>
  <c r="XB184" i="2"/>
  <c r="XB255" i="2"/>
  <c r="XB333" i="2"/>
  <c r="G20" i="61"/>
  <c r="XB290" i="2"/>
  <c r="XB409" i="2"/>
  <c r="XB138" i="2"/>
  <c r="XB362" i="2"/>
  <c r="XB403" i="2"/>
  <c r="XB441" i="2"/>
  <c r="XB440" i="2"/>
  <c r="XB336" i="2"/>
  <c r="XB166" i="2"/>
  <c r="XR166" i="2" s="1"/>
  <c r="XB244" i="2"/>
  <c r="XB375" i="2"/>
  <c r="XB318" i="2"/>
  <c r="XB204" i="2"/>
  <c r="AH8" i="39"/>
  <c r="XB226" i="2"/>
  <c r="XB215" i="2"/>
  <c r="XB111" i="2"/>
  <c r="XB130" i="2"/>
  <c r="XB324" i="2"/>
  <c r="XB415" i="2"/>
  <c r="XB266" i="2"/>
  <c r="XB456" i="2"/>
  <c r="XN472" i="2"/>
  <c r="XB285" i="2"/>
  <c r="XB399" i="2"/>
  <c r="XB437" i="2"/>
  <c r="AB6" i="39"/>
  <c r="G32" i="61"/>
  <c r="XB405" i="2"/>
  <c r="XB332" i="2"/>
  <c r="E30" i="61"/>
  <c r="XB99" i="2"/>
  <c r="XB186" i="2"/>
  <c r="XB298" i="2"/>
  <c r="XB334" i="2"/>
  <c r="G21" i="61"/>
  <c r="XB291" i="2"/>
  <c r="XB412" i="2"/>
  <c r="XB366" i="2"/>
  <c r="XB133" i="2"/>
  <c r="XB222" i="2"/>
  <c r="XB170" i="2"/>
  <c r="XB245" i="2"/>
  <c r="XB382" i="2"/>
  <c r="XB210" i="2"/>
  <c r="XB227" i="2"/>
  <c r="XB218" i="2"/>
  <c r="XB321" i="2"/>
  <c r="XB113" i="2"/>
  <c r="XB182" i="2"/>
  <c r="G25" i="61"/>
  <c r="XB420" i="2"/>
  <c r="XB302" i="2"/>
  <c r="BL20" i="50"/>
  <c r="XL497" i="2"/>
  <c r="XQ473" i="2"/>
  <c r="XB90" i="2"/>
  <c r="XB252" i="2"/>
  <c r="XB286" i="2"/>
  <c r="XB205" i="2"/>
  <c r="XB100" i="2"/>
  <c r="XB339" i="2"/>
  <c r="G7" i="61"/>
  <c r="G22" i="61"/>
  <c r="XB173" i="2"/>
  <c r="XB369" i="2"/>
  <c r="XB179" i="2"/>
  <c r="XB246" i="2"/>
  <c r="XB330" i="2"/>
  <c r="XB282" i="2"/>
  <c r="XB216" i="2"/>
  <c r="XB413" i="2"/>
  <c r="XB230" i="2"/>
  <c r="XB221" i="2"/>
  <c r="XB322" i="2"/>
  <c r="XB115" i="2"/>
  <c r="G28" i="61"/>
  <c r="XB450" i="2"/>
  <c r="XB305" i="2"/>
  <c r="XB304" i="2"/>
  <c r="XM473" i="2"/>
  <c r="XF41" i="2"/>
  <c r="F33" i="61"/>
  <c r="D33" i="61" s="1"/>
  <c r="AG8" i="39"/>
  <c r="CJ8" i="39" s="1"/>
  <c r="F9" i="26" s="1"/>
  <c r="XE41" i="2"/>
  <c r="E33" i="61"/>
  <c r="AA7" i="39"/>
  <c r="XF68" i="2"/>
  <c r="XF52" i="2"/>
  <c r="B193" i="2"/>
  <c r="XF71" i="2"/>
  <c r="B196" i="2"/>
  <c r="B201" i="2"/>
  <c r="B202" i="2"/>
  <c r="B199" i="2"/>
  <c r="B200" i="2"/>
  <c r="B198" i="2"/>
  <c r="B194" i="2"/>
  <c r="B197" i="2"/>
  <c r="XF95" i="2"/>
  <c r="XF57" i="2"/>
  <c r="XF60" i="2"/>
  <c r="XF138" i="2"/>
  <c r="XI79" i="2"/>
  <c r="BE6" i="50"/>
  <c r="XF98" i="2"/>
  <c r="XF105" i="2"/>
  <c r="XF73" i="2"/>
  <c r="XF55" i="2"/>
  <c r="XF69" i="2"/>
  <c r="F6" i="40"/>
  <c r="XF58" i="2"/>
  <c r="XF128" i="2"/>
  <c r="E6" i="40"/>
  <c r="XF91" i="2"/>
  <c r="BM5" i="71"/>
  <c r="BF6" i="50"/>
  <c r="XF130" i="2"/>
  <c r="C6" i="71"/>
  <c r="XF101" i="2"/>
  <c r="XF64" i="2"/>
  <c r="XF131" i="2"/>
  <c r="XF74" i="2"/>
  <c r="XF92" i="2"/>
  <c r="XF54" i="2"/>
  <c r="XF56" i="2"/>
  <c r="XF145" i="2"/>
  <c r="XF63" i="2"/>
  <c r="XF141" i="2"/>
  <c r="XF150" i="2"/>
  <c r="XF132" i="2"/>
  <c r="XF129" i="2"/>
  <c r="XF113" i="2"/>
  <c r="XF66" i="2"/>
  <c r="XF67" i="2"/>
  <c r="XF143" i="2"/>
  <c r="XF153" i="2"/>
  <c r="XF114" i="2"/>
  <c r="XF75" i="2"/>
  <c r="XF154" i="2"/>
  <c r="XF76" i="2"/>
  <c r="XF72" i="2"/>
  <c r="XF93" i="2"/>
  <c r="XF115" i="2"/>
  <c r="XF94" i="2"/>
  <c r="XF134" i="2"/>
  <c r="XF116" i="2"/>
  <c r="XF133" i="2"/>
  <c r="XF77" i="2"/>
  <c r="XF106" i="2"/>
  <c r="XF135" i="2"/>
  <c r="XF78" i="2"/>
  <c r="XF148" i="2"/>
  <c r="XF108" i="2"/>
  <c r="XF137" i="2"/>
  <c r="XF149" i="2"/>
  <c r="XF97" i="2"/>
  <c r="XF112" i="2"/>
  <c r="XF144" i="2"/>
  <c r="XF90" i="2"/>
  <c r="XF147" i="2"/>
  <c r="XF96" i="2"/>
  <c r="XF65" i="2"/>
  <c r="XF139" i="2"/>
  <c r="XF110" i="2"/>
  <c r="XF70" i="2"/>
  <c r="XF109" i="2"/>
  <c r="XF107" i="2"/>
  <c r="XF152" i="2"/>
  <c r="XF103" i="2"/>
  <c r="XF62" i="2"/>
  <c r="XF111" i="2"/>
  <c r="XF100" i="2"/>
  <c r="XF53" i="2"/>
  <c r="XF146" i="2"/>
  <c r="XF151" i="2"/>
  <c r="BR28" i="58"/>
  <c r="BR23" i="58"/>
  <c r="BO33" i="58"/>
  <c r="BQ19" i="58"/>
  <c r="RX484" i="2"/>
  <c r="BL6" i="50" s="1"/>
  <c r="RF484" i="2"/>
  <c r="BJ6" i="46" s="1"/>
  <c r="VP484" i="2"/>
  <c r="BX6" i="50" s="1"/>
  <c r="LR484" i="2"/>
  <c r="AR6" i="46" s="1"/>
  <c r="NN484" i="2"/>
  <c r="AX6" i="46" s="1"/>
  <c r="HJ484" i="2"/>
  <c r="AD6" i="46" s="1"/>
  <c r="CC8" i="55"/>
  <c r="CB8" i="55"/>
  <c r="Z484" i="2"/>
  <c r="F6" i="46" s="1"/>
  <c r="BR30" i="58"/>
  <c r="PZ484" i="2"/>
  <c r="BF6" i="46" s="1"/>
  <c r="DB484" i="2"/>
  <c r="P6" i="46" s="1"/>
  <c r="UZ484" i="2"/>
  <c r="BV6" i="50" s="1"/>
  <c r="OD484" i="2"/>
  <c r="AZ6" i="46" s="1"/>
  <c r="BQ14" i="58"/>
  <c r="BQ13" i="58"/>
  <c r="EX484" i="2"/>
  <c r="V6" i="46" s="1"/>
  <c r="UJ484" i="2"/>
  <c r="BT6" i="50" s="1"/>
  <c r="HZ484" i="2"/>
  <c r="AF6" i="46" s="1"/>
  <c r="KL484" i="2"/>
  <c r="AN6" i="46" s="1"/>
  <c r="AP484" i="2"/>
  <c r="H6" i="46" s="1"/>
  <c r="WF484" i="2"/>
  <c r="BZ6" i="50" s="1"/>
  <c r="TT484" i="2"/>
  <c r="BR6" i="50" s="1"/>
  <c r="DR484" i="2"/>
  <c r="R6" i="46" s="1"/>
  <c r="CC8" i="43"/>
  <c r="SN484" i="2"/>
  <c r="BN6" i="50" s="1"/>
  <c r="BV20" i="58"/>
  <c r="TD484" i="2"/>
  <c r="BP6" i="50" s="1"/>
  <c r="EH484" i="2"/>
  <c r="T6" i="46" s="1"/>
  <c r="BR24" i="58"/>
  <c r="BV484" i="2"/>
  <c r="L6" i="46" s="1"/>
  <c r="BN22" i="58"/>
  <c r="GT484" i="2"/>
  <c r="AB6" i="46" s="1"/>
  <c r="BH7" i="70"/>
  <c r="FN484" i="2"/>
  <c r="X6" i="46" s="1"/>
  <c r="BZ22" i="58"/>
  <c r="BP20" i="58"/>
  <c r="BV22" i="58"/>
  <c r="BX22" i="58"/>
  <c r="BP22" i="58"/>
  <c r="BT22" i="58"/>
  <c r="BS33" i="58"/>
  <c r="BP9" i="58"/>
  <c r="BK24" i="58"/>
  <c r="BY14" i="58"/>
  <c r="BY26" i="58"/>
  <c r="BN9" i="58"/>
  <c r="SU484" i="2"/>
  <c r="TI485" i="2"/>
  <c r="BO8" i="58"/>
  <c r="BS11" i="58"/>
  <c r="BS23" i="58"/>
  <c r="J22" i="46"/>
  <c r="BZ26" i="58"/>
  <c r="BT13" i="58"/>
  <c r="BT25" i="58"/>
  <c r="AJ20" i="46"/>
  <c r="BZ27" i="58"/>
  <c r="BY33" i="58"/>
  <c r="BU10" i="58"/>
  <c r="BU22" i="58"/>
  <c r="BS34" i="58"/>
  <c r="BP21" i="58"/>
  <c r="D15" i="71"/>
  <c r="U7" i="70"/>
  <c r="BV12" i="58"/>
  <c r="BV24" i="58"/>
  <c r="Z20" i="46"/>
  <c r="BX32" i="58"/>
  <c r="BP29" i="58"/>
  <c r="D7" i="71"/>
  <c r="E7" i="70"/>
  <c r="BW12" i="58"/>
  <c r="BW18" i="58"/>
  <c r="BW24" i="58"/>
  <c r="BW30" i="58"/>
  <c r="R20" i="46"/>
  <c r="BQ28" i="58"/>
  <c r="D10" i="71"/>
  <c r="K7" i="70"/>
  <c r="D34" i="71"/>
  <c r="BG7" i="70"/>
  <c r="BX10" i="58"/>
  <c r="BX16" i="58"/>
  <c r="BX28" i="58"/>
  <c r="BM9" i="58"/>
  <c r="BM15" i="58"/>
  <c r="BM21" i="58"/>
  <c r="BM27" i="58"/>
  <c r="BK33" i="58"/>
  <c r="BN12" i="58"/>
  <c r="BO19" i="58"/>
  <c r="E12" i="71"/>
  <c r="P7" i="70"/>
  <c r="BQ24" i="58"/>
  <c r="E38" i="71"/>
  <c r="BP7" i="70"/>
  <c r="BS22" i="58"/>
  <c r="BZ30" i="58"/>
  <c r="BK12" i="58"/>
  <c r="BS12" i="58"/>
  <c r="BS24" i="58"/>
  <c r="V22" i="46"/>
  <c r="BZ29" i="58"/>
  <c r="GD484" i="2"/>
  <c r="Z6" i="46" s="1"/>
  <c r="BC7" i="70"/>
  <c r="D32" i="71"/>
  <c r="BT26" i="58"/>
  <c r="AV20" i="46"/>
  <c r="BZ28" i="58"/>
  <c r="BB22" i="46"/>
  <c r="BU11" i="58"/>
  <c r="BU23" i="58"/>
  <c r="L22" i="46"/>
  <c r="BN19" i="58"/>
  <c r="BN32" i="58"/>
  <c r="BV13" i="58"/>
  <c r="BV25" i="58"/>
  <c r="AL20" i="46"/>
  <c r="BN13" i="58"/>
  <c r="BO15" i="58"/>
  <c r="BN31" i="58"/>
  <c r="J20" i="46"/>
  <c r="BK13" i="58"/>
  <c r="BK19" i="58"/>
  <c r="BK25" i="58"/>
  <c r="BU31" i="58"/>
  <c r="BO9" i="58"/>
  <c r="BL11" i="58"/>
  <c r="BL17" i="58"/>
  <c r="BL23" i="58"/>
  <c r="BL29" i="58"/>
  <c r="BY9" i="58"/>
  <c r="BY15" i="58"/>
  <c r="BY21" i="58"/>
  <c r="BY27" i="58"/>
  <c r="BW33" i="58"/>
  <c r="BN14" i="58"/>
  <c r="BY32" i="58"/>
  <c r="AR22" i="46"/>
  <c r="D23" i="71"/>
  <c r="AK7" i="70"/>
  <c r="D38" i="71"/>
  <c r="BO7" i="70"/>
  <c r="C6" i="44"/>
  <c r="BN25" i="58"/>
  <c r="BK18" i="58"/>
  <c r="BL28" i="58"/>
  <c r="UP485" i="2"/>
  <c r="BT8" i="58"/>
  <c r="BL8" i="58"/>
  <c r="SD485" i="2"/>
  <c r="E19" i="71"/>
  <c r="AD7" i="70"/>
  <c r="BS13" i="58"/>
  <c r="BS25" i="58"/>
  <c r="AH22" i="46"/>
  <c r="BL32" i="58"/>
  <c r="BT15" i="58"/>
  <c r="BT27" i="58"/>
  <c r="BH20" i="46"/>
  <c r="BN29" i="58"/>
  <c r="BP13" i="58"/>
  <c r="D31" i="71"/>
  <c r="BA7" i="70"/>
  <c r="E14" i="71"/>
  <c r="T7" i="70"/>
  <c r="OT484" i="2"/>
  <c r="BB6" i="46" s="1"/>
  <c r="BU12" i="58"/>
  <c r="BU24" i="58"/>
  <c r="X22" i="46"/>
  <c r="BX31" i="58"/>
  <c r="BN34" i="58"/>
  <c r="BQ26" i="58"/>
  <c r="BV14" i="58"/>
  <c r="BV26" i="58"/>
  <c r="BZ15" i="58"/>
  <c r="BO18" i="58"/>
  <c r="BZ34" i="58"/>
  <c r="BQ23" i="58"/>
  <c r="E27" i="71"/>
  <c r="AT7" i="70"/>
  <c r="BW13" i="58"/>
  <c r="BW19" i="58"/>
  <c r="BW25" i="58"/>
  <c r="BU32" i="58"/>
  <c r="BO20" i="58"/>
  <c r="BX11" i="58"/>
  <c r="BX17" i="58"/>
  <c r="BX23" i="58"/>
  <c r="BX29" i="58"/>
  <c r="BQ27" i="58"/>
  <c r="BF484" i="2"/>
  <c r="J6" i="46" s="1"/>
  <c r="E16" i="71"/>
  <c r="X7" i="70"/>
  <c r="BM10" i="58"/>
  <c r="BM16" i="58"/>
  <c r="BM22" i="58"/>
  <c r="BM28" i="58"/>
  <c r="BK34" i="58"/>
  <c r="BN15" i="58"/>
  <c r="R22" i="46"/>
  <c r="BP16" i="58"/>
  <c r="E39" i="71"/>
  <c r="BR7" i="70"/>
  <c r="E20" i="71"/>
  <c r="AF7" i="70"/>
  <c r="N20" i="46"/>
  <c r="BK30" i="58"/>
  <c r="D43" i="71"/>
  <c r="BY7" i="70"/>
  <c r="VV485" i="2"/>
  <c r="BX8" i="58"/>
  <c r="BN8" i="58"/>
  <c r="ST485" i="2"/>
  <c r="UA484" i="2"/>
  <c r="BS8" i="58"/>
  <c r="UO485" i="2"/>
  <c r="BS14" i="58"/>
  <c r="BS26" i="58"/>
  <c r="AT22" i="46"/>
  <c r="AP20" i="46"/>
  <c r="BT16" i="58"/>
  <c r="BT28" i="58"/>
  <c r="BN30" i="58"/>
  <c r="BP18" i="58"/>
  <c r="BU13" i="58"/>
  <c r="BU25" i="58"/>
  <c r="AJ22" i="46"/>
  <c r="BX33" i="58"/>
  <c r="BD20" i="46"/>
  <c r="AT20" i="46"/>
  <c r="D9" i="71"/>
  <c r="I7" i="70"/>
  <c r="D33" i="71"/>
  <c r="BE7" i="70"/>
  <c r="BV15" i="58"/>
  <c r="BV27" i="58"/>
  <c r="AX20" i="46"/>
  <c r="BZ16" i="58"/>
  <c r="BO24" i="58"/>
  <c r="D30" i="71"/>
  <c r="AY7" i="70"/>
  <c r="H20" i="46"/>
  <c r="BQ30" i="58"/>
  <c r="BK14" i="58"/>
  <c r="BK20" i="58"/>
  <c r="BK26" i="58"/>
  <c r="BU33" i="58"/>
  <c r="BO29" i="58"/>
  <c r="H22" i="46"/>
  <c r="BR21" i="58"/>
  <c r="D28" i="71"/>
  <c r="AU7" i="70"/>
  <c r="BL12" i="58"/>
  <c r="BL18" i="58"/>
  <c r="BL24" i="58"/>
  <c r="BL30" i="58"/>
  <c r="BY10" i="58"/>
  <c r="BY16" i="58"/>
  <c r="BY22" i="58"/>
  <c r="BY28" i="58"/>
  <c r="BW34" i="58"/>
  <c r="D39" i="71"/>
  <c r="BQ7" i="70"/>
  <c r="E17" i="71"/>
  <c r="Z7" i="70"/>
  <c r="QP484" i="2"/>
  <c r="BH6" i="46" s="1"/>
  <c r="VF485" i="2"/>
  <c r="BV8" i="58"/>
  <c r="BU21" i="58"/>
  <c r="BV11" i="58"/>
  <c r="BL10" i="58"/>
  <c r="BY8" i="58"/>
  <c r="VW484" i="2"/>
  <c r="WK485" i="2"/>
  <c r="BZ8" i="58"/>
  <c r="WL485" i="2"/>
  <c r="BR8" i="58"/>
  <c r="TZ485" i="2"/>
  <c r="BS15" i="58"/>
  <c r="BS27" i="58"/>
  <c r="BF22" i="46"/>
  <c r="BO10" i="58"/>
  <c r="D12" i="71"/>
  <c r="O7" i="70"/>
  <c r="BT17" i="58"/>
  <c r="BT29" i="58"/>
  <c r="AN20" i="46"/>
  <c r="BL31" i="58"/>
  <c r="BP24" i="58"/>
  <c r="BQ21" i="58"/>
  <c r="BU14" i="58"/>
  <c r="BU26" i="58"/>
  <c r="AV22" i="46"/>
  <c r="BB20" i="46"/>
  <c r="CL484" i="2"/>
  <c r="N6" i="46" s="1"/>
  <c r="BV16" i="58"/>
  <c r="BV28" i="58"/>
  <c r="BJ20" i="46"/>
  <c r="BN18" i="58"/>
  <c r="BO30" i="58"/>
  <c r="BW14" i="58"/>
  <c r="BW20" i="58"/>
  <c r="BW26" i="58"/>
  <c r="BU34" i="58"/>
  <c r="BM34" i="58"/>
  <c r="E18" i="71"/>
  <c r="AB7" i="70"/>
  <c r="BX12" i="58"/>
  <c r="BX18" i="58"/>
  <c r="BX24" i="58"/>
  <c r="BX30" i="58"/>
  <c r="MH484" i="2"/>
  <c r="AT6" i="46" s="1"/>
  <c r="CB34" i="71"/>
  <c r="C34" i="71"/>
  <c r="BM11" i="58"/>
  <c r="BM17" i="58"/>
  <c r="BM23" i="58"/>
  <c r="BM29" i="58"/>
  <c r="P22" i="46"/>
  <c r="BP27" i="58"/>
  <c r="V20" i="46"/>
  <c r="D17" i="71"/>
  <c r="Y7" i="70"/>
  <c r="E40" i="71"/>
  <c r="BT7" i="70"/>
  <c r="BS10" i="58"/>
  <c r="BZ25" i="58"/>
  <c r="BZ10" i="58"/>
  <c r="VE485" i="2"/>
  <c r="BU8" i="58"/>
  <c r="UQ484" i="2"/>
  <c r="E13" i="71"/>
  <c r="R7" i="70"/>
  <c r="BS16" i="58"/>
  <c r="BS28" i="58"/>
  <c r="BO14" i="58"/>
  <c r="BP11" i="58"/>
  <c r="BQ22" i="58"/>
  <c r="D26" i="71"/>
  <c r="AQ7" i="70"/>
  <c r="BT18" i="58"/>
  <c r="BT30" i="58"/>
  <c r="BZ13" i="58"/>
  <c r="BX34" i="58"/>
  <c r="BP30" i="58"/>
  <c r="BQ25" i="58"/>
  <c r="E8" i="71"/>
  <c r="H7" i="70"/>
  <c r="LB484" i="2"/>
  <c r="AP6" i="46" s="1"/>
  <c r="E32" i="71"/>
  <c r="BD7" i="70"/>
  <c r="BU15" i="58"/>
  <c r="BU27" i="58"/>
  <c r="BH22" i="46"/>
  <c r="BO11" i="58"/>
  <c r="BV17" i="58"/>
  <c r="BV29" i="58"/>
  <c r="BZ19" i="58"/>
  <c r="BM32" i="58"/>
  <c r="E21" i="71"/>
  <c r="AH7" i="70"/>
  <c r="BK9" i="58"/>
  <c r="BK15" i="58"/>
  <c r="BK21" i="58"/>
  <c r="BK27" i="58"/>
  <c r="P20" i="46"/>
  <c r="AD22" i="46"/>
  <c r="BP12" i="58"/>
  <c r="BL13" i="58"/>
  <c r="BL19" i="58"/>
  <c r="BL25" i="58"/>
  <c r="BV31" i="58"/>
  <c r="E10" i="71"/>
  <c r="L7" i="70"/>
  <c r="BY11" i="58"/>
  <c r="BY17" i="58"/>
  <c r="BY23" i="58"/>
  <c r="BY29" i="58"/>
  <c r="BN21" i="58"/>
  <c r="BN33" i="58"/>
  <c r="D40" i="71"/>
  <c r="BS7" i="70"/>
  <c r="E35" i="71"/>
  <c r="BJ7" i="70"/>
  <c r="X20" i="46"/>
  <c r="AZ20" i="46"/>
  <c r="E9" i="71"/>
  <c r="J7" i="70"/>
  <c r="BL33" i="58"/>
  <c r="BL16" i="58"/>
  <c r="BT14" i="58"/>
  <c r="SS485" i="2"/>
  <c r="BM8" i="58"/>
  <c r="SE484" i="2"/>
  <c r="BS17" i="58"/>
  <c r="BS29" i="58"/>
  <c r="BO21" i="58"/>
  <c r="BP17" i="58"/>
  <c r="BQ29" i="58"/>
  <c r="BT19" i="58"/>
  <c r="BR31" i="58"/>
  <c r="BN17" i="58"/>
  <c r="F20" i="46"/>
  <c r="BZ31" i="58"/>
  <c r="BU16" i="58"/>
  <c r="BU28" i="58"/>
  <c r="BO17" i="58"/>
  <c r="D27" i="71"/>
  <c r="AS7" i="70"/>
  <c r="BV18" i="58"/>
  <c r="BV30" i="58"/>
  <c r="AX22" i="46"/>
  <c r="BZ21" i="58"/>
  <c r="BY34" i="58"/>
  <c r="D18" i="71"/>
  <c r="AA7" i="70"/>
  <c r="E24" i="71"/>
  <c r="AN7" i="70"/>
  <c r="T22" i="46"/>
  <c r="CB8" i="70"/>
  <c r="BW9" i="58"/>
  <c r="BW15" i="58"/>
  <c r="BW21" i="58"/>
  <c r="BW27" i="58"/>
  <c r="BN10" i="58"/>
  <c r="BP14" i="58"/>
  <c r="D13" i="71"/>
  <c r="Q7" i="70"/>
  <c r="AH20" i="46"/>
  <c r="D22" i="71"/>
  <c r="AI7" i="70"/>
  <c r="BX13" i="58"/>
  <c r="BX19" i="58"/>
  <c r="BX25" i="58"/>
  <c r="BV32" i="58"/>
  <c r="D25" i="71"/>
  <c r="AO7" i="70"/>
  <c r="BM12" i="58"/>
  <c r="BM18" i="58"/>
  <c r="BM24" i="58"/>
  <c r="BM30" i="58"/>
  <c r="AN22" i="46"/>
  <c r="AR20" i="46"/>
  <c r="E11" i="71"/>
  <c r="N7" i="70"/>
  <c r="MX484" i="2"/>
  <c r="AV6" i="46" s="1"/>
  <c r="E41" i="71"/>
  <c r="BV7" i="70"/>
  <c r="BV23" i="58"/>
  <c r="BS18" i="58"/>
  <c r="BS30" i="58"/>
  <c r="BZ9" i="58"/>
  <c r="BO25" i="58"/>
  <c r="BP19" i="58"/>
  <c r="BR32" i="58"/>
  <c r="BO13" i="58"/>
  <c r="BU17" i="58"/>
  <c r="BU29" i="58"/>
  <c r="N22" i="46"/>
  <c r="BO22" i="58"/>
  <c r="BV19" i="58"/>
  <c r="BT31" i="58"/>
  <c r="BK10" i="58"/>
  <c r="BK16" i="58"/>
  <c r="BK22" i="58"/>
  <c r="BK28" i="58"/>
  <c r="BN11" i="58"/>
  <c r="BP23" i="58"/>
  <c r="E6" i="55"/>
  <c r="BL14" i="58"/>
  <c r="BL26" i="58"/>
  <c r="BV33" i="58"/>
  <c r="IP484" i="2"/>
  <c r="AH6" i="46" s="1"/>
  <c r="E28" i="71"/>
  <c r="AV7" i="70"/>
  <c r="BY12" i="58"/>
  <c r="BY18" i="58"/>
  <c r="BY24" i="58"/>
  <c r="BY30" i="58"/>
  <c r="BN26" i="58"/>
  <c r="D35" i="71"/>
  <c r="BI7" i="70"/>
  <c r="D41" i="71"/>
  <c r="BU7" i="70"/>
  <c r="D37" i="71"/>
  <c r="BM7" i="70"/>
  <c r="BQ8" i="58"/>
  <c r="TY485" i="2"/>
  <c r="TK484" i="2"/>
  <c r="E7" i="71"/>
  <c r="F7" i="70"/>
  <c r="CC8" i="70"/>
  <c r="CC7" i="70" s="1"/>
  <c r="B4" i="70" s="1"/>
  <c r="E31" i="71"/>
  <c r="BB7" i="70"/>
  <c r="BS19" i="58"/>
  <c r="BQ31" i="58"/>
  <c r="BZ11" i="58"/>
  <c r="BO28" i="58"/>
  <c r="BP25" i="58"/>
  <c r="D20" i="71"/>
  <c r="AE7" i="70"/>
  <c r="BT9" i="58"/>
  <c r="BT21" i="58"/>
  <c r="BR33" i="58"/>
  <c r="BO16" i="58"/>
  <c r="E26" i="71"/>
  <c r="AR7" i="70"/>
  <c r="BU18" i="58"/>
  <c r="BU30" i="58"/>
  <c r="Z22" i="46"/>
  <c r="BO27" i="58"/>
  <c r="BT32" i="58"/>
  <c r="BZ23" i="58"/>
  <c r="BP10" i="58"/>
  <c r="E15" i="71"/>
  <c r="V7" i="70"/>
  <c r="PJ484" i="2"/>
  <c r="BD6" i="46" s="1"/>
  <c r="BW10" i="58"/>
  <c r="BW16" i="58"/>
  <c r="BW22" i="58"/>
  <c r="BW28" i="58"/>
  <c r="BZ12" i="58"/>
  <c r="BZ33" i="58"/>
  <c r="D19" i="71"/>
  <c r="AC7" i="70"/>
  <c r="E6" i="57"/>
  <c r="BX14" i="58"/>
  <c r="BX26" i="58"/>
  <c r="BV34" i="58"/>
  <c r="JV484" i="2"/>
  <c r="AL6" i="46" s="1"/>
  <c r="BM13" i="58"/>
  <c r="BM19" i="58"/>
  <c r="BM25" i="58"/>
  <c r="BK31" i="58"/>
  <c r="AZ22" i="46"/>
  <c r="BN28" i="58"/>
  <c r="D42" i="71"/>
  <c r="BW7" i="70"/>
  <c r="E36" i="71"/>
  <c r="BL7" i="70"/>
  <c r="E42" i="71"/>
  <c r="BX7" i="70"/>
  <c r="BQ34" i="58"/>
  <c r="BT24" i="58"/>
  <c r="E33" i="71"/>
  <c r="BF7" i="70"/>
  <c r="BQ20" i="58"/>
  <c r="E23" i="71"/>
  <c r="AL7" i="70"/>
  <c r="D8" i="71"/>
  <c r="G7" i="70"/>
  <c r="BK8" i="58"/>
  <c r="RO484" i="2"/>
  <c r="SC485" i="2"/>
  <c r="BP8" i="58"/>
  <c r="TJ485" i="2"/>
  <c r="SV484" i="2"/>
  <c r="BS20" i="58"/>
  <c r="BQ32" i="58"/>
  <c r="BN16" i="58"/>
  <c r="BM33" i="58"/>
  <c r="BP28" i="58"/>
  <c r="AF22" i="46"/>
  <c r="BT10" i="58"/>
  <c r="BR34" i="58"/>
  <c r="BN23" i="58"/>
  <c r="BO23" i="58"/>
  <c r="BF20" i="46"/>
  <c r="BU19" i="58"/>
  <c r="BS31" i="58"/>
  <c r="AL22" i="46"/>
  <c r="BY31" i="58"/>
  <c r="E30" i="71"/>
  <c r="AZ7" i="70"/>
  <c r="D21" i="71"/>
  <c r="AG7" i="70"/>
  <c r="BV9" i="58"/>
  <c r="BV21" i="58"/>
  <c r="BT33" i="58"/>
  <c r="BZ24" i="58"/>
  <c r="BP15" i="58"/>
  <c r="BK11" i="58"/>
  <c r="BK17" i="58"/>
  <c r="BK23" i="58"/>
  <c r="BK29" i="58"/>
  <c r="BZ14" i="58"/>
  <c r="T20" i="46"/>
  <c r="D16" i="71"/>
  <c r="W7" i="70"/>
  <c r="BL9" i="58"/>
  <c r="BL15" i="58"/>
  <c r="BL21" i="58"/>
  <c r="BL27" i="58"/>
  <c r="BY13" i="58"/>
  <c r="BY19" i="58"/>
  <c r="BY25" i="58"/>
  <c r="BW31" i="58"/>
  <c r="BL34" i="58"/>
  <c r="D11" i="71"/>
  <c r="D36" i="71"/>
  <c r="BK7" i="70"/>
  <c r="JF484" i="2"/>
  <c r="AJ6" i="46" s="1"/>
  <c r="E29" i="71"/>
  <c r="AX7" i="70"/>
  <c r="D14" i="71"/>
  <c r="S7" i="70"/>
  <c r="BT12" i="58"/>
  <c r="BM31" i="58"/>
  <c r="BU9" i="58"/>
  <c r="BP26" i="58"/>
  <c r="BY20" i="58"/>
  <c r="BW32" i="58"/>
  <c r="BO12" i="58"/>
  <c r="VU485" i="2"/>
  <c r="BW8" i="58"/>
  <c r="VG484" i="2"/>
  <c r="E25" i="71"/>
  <c r="AP7" i="70"/>
  <c r="BS9" i="58"/>
  <c r="BS21" i="58"/>
  <c r="BQ33" i="58"/>
  <c r="BZ17" i="58"/>
  <c r="AP22" i="46"/>
  <c r="BZ32" i="58"/>
  <c r="BD22" i="46"/>
  <c r="BT11" i="58"/>
  <c r="BT23" i="58"/>
  <c r="L20" i="46"/>
  <c r="BN24" i="58"/>
  <c r="BO26" i="58"/>
  <c r="BU20" i="58"/>
  <c r="BS32" i="58"/>
  <c r="BJ22" i="46"/>
  <c r="F22" i="46"/>
  <c r="BV10" i="58"/>
  <c r="BT34" i="58"/>
  <c r="BN27" i="58"/>
  <c r="BW11" i="58"/>
  <c r="BW17" i="58"/>
  <c r="BW23" i="58"/>
  <c r="BW29" i="58"/>
  <c r="BZ18" i="58"/>
  <c r="D24" i="71"/>
  <c r="AM7" i="70"/>
  <c r="BX9" i="58"/>
  <c r="BX15" i="58"/>
  <c r="BX21" i="58"/>
  <c r="BX27" i="58"/>
  <c r="AF20" i="46"/>
  <c r="E22" i="71"/>
  <c r="AJ7" i="70"/>
  <c r="BM14" i="58"/>
  <c r="BM20" i="58"/>
  <c r="BM26" i="58"/>
  <c r="BK32" i="58"/>
  <c r="AD20" i="46"/>
  <c r="C7" i="44"/>
  <c r="D29" i="71"/>
  <c r="AW7" i="70"/>
  <c r="E37" i="71"/>
  <c r="BN7" i="70"/>
  <c r="E43" i="71"/>
  <c r="BZ7" i="70"/>
  <c r="TL9" i="2"/>
  <c r="J40" i="39" s="1"/>
  <c r="WO504" i="2"/>
  <c r="C73" i="7" s="1"/>
  <c r="WO492" i="2"/>
  <c r="C61" i="7" s="1"/>
  <c r="B131" i="2"/>
  <c r="B140" i="2"/>
  <c r="B132" i="2"/>
  <c r="B151" i="2"/>
  <c r="B152" i="2"/>
  <c r="B145" i="2"/>
  <c r="B147" i="2"/>
  <c r="B149" i="2"/>
  <c r="WO510" i="2"/>
  <c r="C79" i="7" s="1"/>
  <c r="B136" i="2"/>
  <c r="B153" i="2"/>
  <c r="B128" i="2"/>
  <c r="B130" i="2"/>
  <c r="B139" i="2"/>
  <c r="B146" i="2"/>
  <c r="B133" i="2"/>
  <c r="WN506" i="2"/>
  <c r="B148" i="2"/>
  <c r="B138" i="2"/>
  <c r="B154" i="2"/>
  <c r="B129" i="2"/>
  <c r="B142" i="2"/>
  <c r="B141" i="2"/>
  <c r="VX9" i="2"/>
  <c r="J44" i="39" s="1"/>
  <c r="B137" i="2"/>
  <c r="B150" i="2"/>
  <c r="B143" i="2"/>
  <c r="B144" i="2"/>
  <c r="B135" i="2"/>
  <c r="WO494" i="2"/>
  <c r="C63" i="7" s="1"/>
  <c r="VN11" i="2"/>
  <c r="F93" i="5" s="1"/>
  <c r="IQ11" i="2"/>
  <c r="G24" i="5" s="1"/>
  <c r="WN497" i="2"/>
  <c r="WW499" i="2"/>
  <c r="RU11" i="2"/>
  <c r="F39" i="5" s="1"/>
  <c r="WW497" i="2"/>
  <c r="WN507" i="2"/>
  <c r="WN505" i="2"/>
  <c r="WN494" i="2"/>
  <c r="WO489" i="2"/>
  <c r="C58" i="7" s="1"/>
  <c r="RK11" i="2"/>
  <c r="I38" i="5" s="1"/>
  <c r="WN504" i="2"/>
  <c r="SY11" i="2"/>
  <c r="E41" i="5" s="1"/>
  <c r="IT11" i="2"/>
  <c r="H72" i="5" s="1"/>
  <c r="WT484" i="2"/>
  <c r="WO498" i="2"/>
  <c r="C67" i="7" s="1"/>
  <c r="WW279" i="2"/>
  <c r="WX484" i="2"/>
  <c r="WO508" i="2"/>
  <c r="C77" i="7" s="1"/>
  <c r="WO488" i="2"/>
  <c r="C57" i="7" s="1"/>
  <c r="WN493" i="2"/>
  <c r="WQ484" i="2"/>
  <c r="WN490" i="2"/>
  <c r="WN510" i="2"/>
  <c r="WN496" i="2"/>
  <c r="WN503" i="2"/>
  <c r="UR9" i="2"/>
  <c r="J42" i="39" s="1"/>
  <c r="WN509" i="2"/>
  <c r="WS484" i="2"/>
  <c r="WO511" i="2"/>
  <c r="C80" i="7" s="1"/>
  <c r="AC11" i="2"/>
  <c r="H10" i="5" s="1"/>
  <c r="WN502" i="2"/>
  <c r="WN489" i="2"/>
  <c r="WO502" i="2"/>
  <c r="C71" i="7" s="1"/>
  <c r="WO491" i="2"/>
  <c r="C60" i="7" s="1"/>
  <c r="GM11" i="2"/>
  <c r="C21" i="5" s="1"/>
  <c r="WV484" i="2"/>
  <c r="WZ484" i="2"/>
  <c r="B3" i="42" s="1"/>
  <c r="WN501" i="2"/>
  <c r="WN486" i="2"/>
  <c r="WO487" i="2"/>
  <c r="C56" i="7" s="1"/>
  <c r="WO493" i="2"/>
  <c r="C62" i="7" s="1"/>
  <c r="WO501" i="2"/>
  <c r="C70" i="7" s="1"/>
  <c r="WN491" i="2"/>
  <c r="G11" i="2"/>
  <c r="E9" i="5" s="1"/>
  <c r="WO256" i="2"/>
  <c r="WN495" i="2"/>
  <c r="JM8" i="2"/>
  <c r="AJ26" i="35" s="1"/>
  <c r="UB9" i="2"/>
  <c r="J41" i="39" s="1"/>
  <c r="WO486" i="2"/>
  <c r="C55" i="7" s="1"/>
  <c r="WY484" i="2"/>
  <c r="WN500" i="2"/>
  <c r="WN499" i="2"/>
  <c r="NA11" i="2"/>
  <c r="H31" i="5" s="1"/>
  <c r="WO509" i="2"/>
  <c r="C78" i="7" s="1"/>
  <c r="WN508" i="2"/>
  <c r="WN487" i="2"/>
  <c r="UQ8" i="2"/>
  <c r="AU11" i="2"/>
  <c r="I11" i="5" s="1"/>
  <c r="EG11" i="2"/>
  <c r="F17" i="5" s="1"/>
  <c r="RG11" i="2"/>
  <c r="G38" i="5" s="1"/>
  <c r="IN11" i="2"/>
  <c r="E72" i="5" s="1"/>
  <c r="WO496" i="2"/>
  <c r="C65" i="7" s="1"/>
  <c r="WO485" i="2"/>
  <c r="C54" i="7" s="1"/>
  <c r="WN488" i="2"/>
  <c r="WO506" i="2"/>
  <c r="C75" i="7" s="1"/>
  <c r="WO503" i="2"/>
  <c r="C72" i="7" s="1"/>
  <c r="WN511" i="2"/>
  <c r="LQ11" i="2"/>
  <c r="F29" i="5" s="1"/>
  <c r="WW431" i="2"/>
  <c r="UC11" i="2"/>
  <c r="D43" i="5" s="1"/>
  <c r="WO490" i="2"/>
  <c r="C59" i="7" s="1"/>
  <c r="WN498" i="2"/>
  <c r="WO500" i="2"/>
  <c r="C69" i="7" s="1"/>
  <c r="WN492" i="2"/>
  <c r="WO495" i="2"/>
  <c r="C64" i="7" s="1"/>
  <c r="WO505" i="2"/>
  <c r="C74" i="7" s="1"/>
  <c r="WO507" i="2"/>
  <c r="C76" i="7" s="1"/>
  <c r="KB11" i="2"/>
  <c r="I74" i="5" s="1"/>
  <c r="KR11" i="2"/>
  <c r="I75" i="5" s="1"/>
  <c r="LY9" i="2"/>
  <c r="AR27" i="35" s="1"/>
  <c r="X11" i="2"/>
  <c r="E58" i="5" s="1"/>
  <c r="MS11" i="2"/>
  <c r="D31" i="5" s="1"/>
  <c r="CN11" i="2"/>
  <c r="G62" i="5" s="1"/>
  <c r="AG10" i="2"/>
  <c r="F28" i="35" s="1"/>
  <c r="NQ11" i="2"/>
  <c r="H32" i="5" s="1"/>
  <c r="FE7" i="2"/>
  <c r="V25" i="35" s="1"/>
  <c r="QQ11" i="2"/>
  <c r="G37" i="5" s="1"/>
  <c r="RD11" i="2"/>
  <c r="E86" i="5" s="1"/>
  <c r="GD9" i="2"/>
  <c r="VX7" i="2"/>
  <c r="AR11" i="2"/>
  <c r="G59" i="5" s="1"/>
  <c r="LY10" i="2"/>
  <c r="AR28" i="35" s="1"/>
  <c r="PR8" i="2"/>
  <c r="BE26" i="35" s="1"/>
  <c r="MO8" i="2"/>
  <c r="AT26" i="35" s="1"/>
  <c r="MY11" i="2"/>
  <c r="G31" i="5" s="1"/>
  <c r="PT11" i="2"/>
  <c r="C84" i="5" s="1"/>
  <c r="RF10" i="2"/>
  <c r="AS36" i="39" s="1"/>
  <c r="CK36" i="39" s="1"/>
  <c r="F85" i="26" s="1"/>
  <c r="AD11" i="2"/>
  <c r="VC11" i="2"/>
  <c r="I44" i="5" s="1"/>
  <c r="LB10" i="2"/>
  <c r="HO11" i="2"/>
  <c r="I22" i="5" s="1"/>
  <c r="JQ11" i="2"/>
  <c r="D26" i="5" s="1"/>
  <c r="BK11" i="2"/>
  <c r="I12" i="5" s="1"/>
  <c r="VH7" i="2"/>
  <c r="PR7" i="2"/>
  <c r="BE25" i="35" s="1"/>
  <c r="NG11" i="2"/>
  <c r="C32" i="5" s="1"/>
  <c r="TW11" i="2"/>
  <c r="I42" i="5" s="1"/>
  <c r="IV11" i="2"/>
  <c r="I72" i="5" s="1"/>
  <c r="RQ11" i="2"/>
  <c r="D39" i="5" s="1"/>
  <c r="BG11" i="2"/>
  <c r="G12" i="5" s="1"/>
  <c r="UA8" i="2"/>
  <c r="JX11" i="2"/>
  <c r="G74" i="5" s="1"/>
  <c r="OF11" i="2"/>
  <c r="G81" i="5" s="1"/>
  <c r="AT11" i="2"/>
  <c r="H59" i="5" s="1"/>
  <c r="GL7" i="2"/>
  <c r="AA25" i="35" s="1"/>
  <c r="EI11" i="2"/>
  <c r="G17" i="5" s="1"/>
  <c r="AE11" i="2"/>
  <c r="I10" i="5" s="1"/>
  <c r="JN8" i="2"/>
  <c r="AK26" i="35" s="1"/>
  <c r="SV8" i="2"/>
  <c r="SU7" i="2"/>
  <c r="KC8" i="2"/>
  <c r="AL26" i="35" s="1"/>
  <c r="FR11" i="2"/>
  <c r="H67" i="5" s="1"/>
  <c r="HA9" i="2"/>
  <c r="AB27" i="35" s="1"/>
  <c r="MW11" i="2"/>
  <c r="F31" i="5" s="1"/>
  <c r="EL11" i="2"/>
  <c r="H65" i="5" s="1"/>
  <c r="PY11" i="2"/>
  <c r="F36" i="5" s="1"/>
  <c r="XF40" i="2"/>
  <c r="JE11" i="2"/>
  <c r="F25" i="5" s="1"/>
  <c r="FU8" i="2"/>
  <c r="X26" i="35" s="1"/>
  <c r="TU11" i="2"/>
  <c r="H42" i="5" s="1"/>
  <c r="DU11" i="2"/>
  <c r="H16" i="5" s="1"/>
  <c r="HP11" i="2"/>
  <c r="I70" i="5" s="1"/>
  <c r="KD8" i="2"/>
  <c r="AM26" i="35" s="1"/>
  <c r="VY11" i="2"/>
  <c r="D46" i="5" s="1"/>
  <c r="WW241" i="2"/>
  <c r="JB11" i="2"/>
  <c r="D73" i="5" s="1"/>
  <c r="JY11" i="2"/>
  <c r="H26" i="5" s="1"/>
  <c r="XF39" i="2"/>
  <c r="SO11" i="2"/>
  <c r="H40" i="5" s="1"/>
  <c r="QE11" i="2"/>
  <c r="I36" i="5" s="1"/>
  <c r="TA11" i="2"/>
  <c r="F41" i="5" s="1"/>
  <c r="TG11" i="2"/>
  <c r="I41" i="5" s="1"/>
  <c r="NZ11" i="2"/>
  <c r="D81" i="5" s="1"/>
  <c r="JL11" i="2"/>
  <c r="I73" i="5" s="1"/>
  <c r="MI11" i="2"/>
  <c r="G30" i="5" s="1"/>
  <c r="KM11" i="2"/>
  <c r="G27" i="5" s="1"/>
  <c r="PN11" i="2"/>
  <c r="H83" i="5" s="1"/>
  <c r="JS11" i="2"/>
  <c r="E26" i="5" s="1"/>
  <c r="RT11" i="2"/>
  <c r="E87" i="5" s="1"/>
  <c r="CD8" i="2"/>
  <c r="M26" i="35" s="1"/>
  <c r="KF11" i="2"/>
  <c r="C75" i="5" s="1"/>
  <c r="RR11" i="2"/>
  <c r="D87" i="5" s="1"/>
  <c r="SZ11" i="2"/>
  <c r="E89" i="5" s="1"/>
  <c r="BT11" i="2"/>
  <c r="E61" i="5" s="1"/>
  <c r="WJ11" i="2"/>
  <c r="I94" i="5" s="1"/>
  <c r="FP11" i="2"/>
  <c r="G67" i="5" s="1"/>
  <c r="BE11" i="2"/>
  <c r="F12" i="5" s="1"/>
  <c r="NW11" i="2"/>
  <c r="C33" i="5" s="1"/>
  <c r="WW317" i="2"/>
  <c r="IY11" i="2"/>
  <c r="C25" i="5" s="1"/>
  <c r="OK10" i="2"/>
  <c r="AZ28" i="35" s="1"/>
  <c r="WA11" i="2"/>
  <c r="E46" i="5" s="1"/>
  <c r="BZ11" i="2"/>
  <c r="H61" i="5" s="1"/>
  <c r="OI11" i="2"/>
  <c r="I33" i="5" s="1"/>
  <c r="FQ11" i="2"/>
  <c r="H19" i="5" s="1"/>
  <c r="OD10" i="2"/>
  <c r="GV11" i="2"/>
  <c r="G69" i="5" s="1"/>
  <c r="VR11" i="2"/>
  <c r="H93" i="5" s="1"/>
  <c r="LF11" i="2"/>
  <c r="H76" i="5" s="1"/>
  <c r="UH11" i="2"/>
  <c r="F91" i="5" s="1"/>
  <c r="LD11" i="2"/>
  <c r="G76" i="5" s="1"/>
  <c r="HR7" i="2"/>
  <c r="AE25" i="35" s="1"/>
  <c r="UK11" i="2"/>
  <c r="H43" i="5" s="1"/>
  <c r="FY11" i="2"/>
  <c r="D20" i="5" s="1"/>
  <c r="NU9" i="2"/>
  <c r="AX27" i="35" s="1"/>
  <c r="EF11" i="2"/>
  <c r="E65" i="5" s="1"/>
  <c r="NI11" i="2"/>
  <c r="D32" i="5" s="1"/>
  <c r="KE11" i="2"/>
  <c r="C27" i="5" s="1"/>
  <c r="QC11" i="2"/>
  <c r="H36" i="5" s="1"/>
  <c r="RW11" i="2"/>
  <c r="G39" i="5" s="1"/>
  <c r="VZ11" i="2"/>
  <c r="D94" i="5" s="1"/>
  <c r="FI11" i="2"/>
  <c r="D19" i="5" s="1"/>
  <c r="CX11" i="2"/>
  <c r="D63" i="5" s="1"/>
  <c r="TH11" i="2"/>
  <c r="I89" i="5" s="1"/>
  <c r="PA9" i="2"/>
  <c r="BB27" i="35" s="1"/>
  <c r="JM10" i="2"/>
  <c r="AJ28" i="35" s="1"/>
  <c r="OG11" i="2"/>
  <c r="H33" i="5" s="1"/>
  <c r="JT11" i="2"/>
  <c r="E74" i="5" s="1"/>
  <c r="XF38" i="2"/>
  <c r="Z9" i="2"/>
  <c r="AQ8" i="39" s="1"/>
  <c r="GC11" i="2"/>
  <c r="F20" i="5" s="1"/>
  <c r="LX11" i="2"/>
  <c r="I77" i="5" s="1"/>
  <c r="U11" i="2"/>
  <c r="D10" i="5" s="1"/>
  <c r="QV11" i="2"/>
  <c r="I85" i="5" s="1"/>
  <c r="RL11" i="2"/>
  <c r="I86" i="5" s="1"/>
  <c r="QG8" i="2"/>
  <c r="BF26" i="35" s="1"/>
  <c r="SL11" i="2"/>
  <c r="F88" i="5" s="1"/>
  <c r="AG8" i="2"/>
  <c r="F26" i="35" s="1"/>
  <c r="LG11" i="2"/>
  <c r="I28" i="5" s="1"/>
  <c r="VG7" i="2"/>
  <c r="JO11" i="2"/>
  <c r="C26" i="5" s="1"/>
  <c r="QS11" i="2"/>
  <c r="H37" i="5" s="1"/>
  <c r="SA11" i="2"/>
  <c r="I39" i="5" s="1"/>
  <c r="DH11" i="2"/>
  <c r="I63" i="5" s="1"/>
  <c r="OJ11" i="2"/>
  <c r="I81" i="5" s="1"/>
  <c r="KN11" i="2"/>
  <c r="G75" i="5" s="1"/>
  <c r="FT11" i="2"/>
  <c r="I67" i="5" s="1"/>
  <c r="XF37" i="2"/>
  <c r="OB11" i="2"/>
  <c r="E81" i="5" s="1"/>
  <c r="FE8" i="2"/>
  <c r="V26" i="35" s="1"/>
  <c r="LS11" i="2"/>
  <c r="G29" i="5" s="1"/>
  <c r="KD7" i="2"/>
  <c r="AM25" i="35" s="1"/>
  <c r="BU11" i="2"/>
  <c r="F13" i="5" s="1"/>
  <c r="SB11" i="2"/>
  <c r="I87" i="5" s="1"/>
  <c r="DP11" i="2"/>
  <c r="E64" i="5" s="1"/>
  <c r="VX10" i="2"/>
  <c r="L44" i="39" s="1"/>
  <c r="LB9" i="2"/>
  <c r="DG11" i="2"/>
  <c r="I15" i="5" s="1"/>
  <c r="SW11" i="2"/>
  <c r="D41" i="5" s="1"/>
  <c r="HC11" i="2"/>
  <c r="C22" i="5" s="1"/>
  <c r="NE7" i="2"/>
  <c r="AV25" i="35" s="1"/>
  <c r="IC11" i="2"/>
  <c r="H23" i="5" s="1"/>
  <c r="GF11" i="2"/>
  <c r="G68" i="5" s="1"/>
  <c r="GP11" i="2"/>
  <c r="D69" i="5" s="1"/>
  <c r="DY8" i="2"/>
  <c r="R26" i="35" s="1"/>
  <c r="GN11" i="2"/>
  <c r="C69" i="5" s="1"/>
  <c r="HA10" i="2"/>
  <c r="AB28" i="35" s="1"/>
  <c r="DI10" i="2"/>
  <c r="P28" i="35" s="1"/>
  <c r="QN11" i="2"/>
  <c r="E85" i="5" s="1"/>
  <c r="QW9" i="2"/>
  <c r="BH27" i="35" s="1"/>
  <c r="OA11" i="2"/>
  <c r="E33" i="5" s="1"/>
  <c r="HU11" i="2"/>
  <c r="D23" i="5" s="1"/>
  <c r="QY11" i="2"/>
  <c r="C38" i="5" s="1"/>
  <c r="RM9" i="2"/>
  <c r="BJ27" i="35" s="1"/>
  <c r="IL11" i="2"/>
  <c r="D72" i="5" s="1"/>
  <c r="AS11" i="2"/>
  <c r="H11" i="5" s="1"/>
  <c r="RM8" i="2"/>
  <c r="BJ26" i="35" s="1"/>
  <c r="LE11" i="2"/>
  <c r="H28" i="5" s="1"/>
  <c r="IU11" i="2"/>
  <c r="I24" i="5" s="1"/>
  <c r="LH11" i="2"/>
  <c r="I76" i="5" s="1"/>
  <c r="QW10" i="2"/>
  <c r="BH28" i="35" s="1"/>
  <c r="DW11" i="2"/>
  <c r="I16" i="5" s="1"/>
  <c r="LV11" i="2"/>
  <c r="H77" i="5" s="1"/>
  <c r="QW7" i="2"/>
  <c r="BH25" i="35" s="1"/>
  <c r="QI11" i="2"/>
  <c r="C37" i="5" s="1"/>
  <c r="FE10" i="2"/>
  <c r="V28" i="35" s="1"/>
  <c r="WN317" i="2"/>
  <c r="AI11" i="2"/>
  <c r="C11" i="5" s="1"/>
  <c r="CR11" i="2"/>
  <c r="I62" i="5" s="1"/>
  <c r="MZ11" i="2"/>
  <c r="G79" i="5" s="1"/>
  <c r="CG11" i="2"/>
  <c r="D14" i="5" s="1"/>
  <c r="UV11" i="2"/>
  <c r="E92" i="5" s="1"/>
  <c r="HL11" i="2"/>
  <c r="G70" i="5" s="1"/>
  <c r="DI8" i="2"/>
  <c r="P26" i="35" s="1"/>
  <c r="JD11" i="2"/>
  <c r="E73" i="5" s="1"/>
  <c r="NP11" i="2"/>
  <c r="G80" i="5" s="1"/>
  <c r="BI11" i="2"/>
  <c r="H12" i="5" s="1"/>
  <c r="TB11" i="2"/>
  <c r="F89" i="5" s="1"/>
  <c r="AY11" i="2"/>
  <c r="C12" i="5" s="1"/>
  <c r="BM7" i="2"/>
  <c r="J25" i="35" s="1"/>
  <c r="RY11" i="2"/>
  <c r="H39" i="5" s="1"/>
  <c r="WO127" i="2"/>
  <c r="GA11" i="2"/>
  <c r="E20" i="5" s="1"/>
  <c r="GS11" i="2"/>
  <c r="F21" i="5" s="1"/>
  <c r="QM11" i="2"/>
  <c r="E37" i="5" s="1"/>
  <c r="SE7" i="2"/>
  <c r="AL11" i="2"/>
  <c r="KQ11" i="2"/>
  <c r="I27" i="5" s="1"/>
  <c r="OP11" i="2"/>
  <c r="D82" i="5" s="1"/>
  <c r="PA10" i="2"/>
  <c r="BB28" i="35" s="1"/>
  <c r="HN11" i="2"/>
  <c r="H70" i="5" s="1"/>
  <c r="AZ11" i="2"/>
  <c r="C60" i="5" s="1"/>
  <c r="IJ11" i="2"/>
  <c r="C72" i="5" s="1"/>
  <c r="MH9" i="2"/>
  <c r="HQ10" i="2"/>
  <c r="AD28" i="35" s="1"/>
  <c r="CC9" i="2"/>
  <c r="L27" i="35" s="1"/>
  <c r="EQ11" i="2"/>
  <c r="C18" i="5" s="1"/>
  <c r="VT11" i="2"/>
  <c r="I93" i="5" s="1"/>
  <c r="UL11" i="2"/>
  <c r="H91" i="5" s="1"/>
  <c r="VK11" i="2"/>
  <c r="E45" i="5" s="1"/>
  <c r="BN8" i="2"/>
  <c r="K26" i="35" s="1"/>
  <c r="AH7" i="2"/>
  <c r="V11" i="2"/>
  <c r="D58" i="5" s="1"/>
  <c r="ML11" i="2"/>
  <c r="H78" i="5" s="1"/>
  <c r="MJ11" i="2"/>
  <c r="G78" i="5" s="1"/>
  <c r="QK11" i="2"/>
  <c r="D37" i="5" s="1"/>
  <c r="NE10" i="2"/>
  <c r="AV28" i="35" s="1"/>
  <c r="RI11" i="2"/>
  <c r="H38" i="5" s="1"/>
  <c r="MU11" i="2"/>
  <c r="E31" i="5" s="1"/>
  <c r="LJ8" i="2"/>
  <c r="AQ26" i="35" s="1"/>
  <c r="DR9" i="2"/>
  <c r="AQ14" i="39" s="1"/>
  <c r="CI14" i="39" s="1"/>
  <c r="E63" i="26" s="1"/>
  <c r="PZ10" i="2"/>
  <c r="JR11" i="2"/>
  <c r="D74" i="5" s="1"/>
  <c r="IG10" i="2"/>
  <c r="AF28" i="35" s="1"/>
  <c r="NE9" i="2"/>
  <c r="AV27" i="35" s="1"/>
  <c r="HQ7" i="2"/>
  <c r="AD25" i="35" s="1"/>
  <c r="W11" i="2"/>
  <c r="E10" i="5" s="1"/>
  <c r="RZ11" i="2"/>
  <c r="H87" i="5" s="1"/>
  <c r="QW8" i="2"/>
  <c r="BH26" i="35" s="1"/>
  <c r="AV11" i="2"/>
  <c r="I59" i="5" s="1"/>
  <c r="ED11" i="2"/>
  <c r="D65" i="5" s="1"/>
  <c r="IW10" i="2"/>
  <c r="AH28" i="35" s="1"/>
  <c r="HB8" i="2"/>
  <c r="AC26" i="35" s="1"/>
  <c r="BF9" i="2"/>
  <c r="PL11" i="2"/>
  <c r="G83" i="5" s="1"/>
  <c r="FF7" i="2"/>
  <c r="W25" i="35" s="1"/>
  <c r="OM11" i="2"/>
  <c r="C34" i="5" s="1"/>
  <c r="QZ11" i="2"/>
  <c r="C86" i="5" s="1"/>
  <c r="FG11" i="2"/>
  <c r="C19" i="5" s="1"/>
  <c r="FU7" i="2"/>
  <c r="X25" i="35" s="1"/>
  <c r="DZ8" i="2"/>
  <c r="S26" i="35" s="1"/>
  <c r="TX11" i="2"/>
  <c r="I90" i="5" s="1"/>
  <c r="DX11" i="2"/>
  <c r="I64" i="5" s="1"/>
  <c r="KU11" i="2"/>
  <c r="C28" i="5" s="1"/>
  <c r="GO11" i="2"/>
  <c r="D21" i="5" s="1"/>
  <c r="EP8" i="2"/>
  <c r="U26" i="35" s="1"/>
  <c r="RO10" i="2"/>
  <c r="CC8" i="2"/>
  <c r="L26" i="35" s="1"/>
  <c r="QG10" i="2"/>
  <c r="BF28" i="35" s="1"/>
  <c r="SG11" i="2"/>
  <c r="D40" i="5" s="1"/>
  <c r="LY8" i="2"/>
  <c r="AR26" i="35" s="1"/>
  <c r="LI10" i="2"/>
  <c r="AP28" i="35" s="1"/>
  <c r="GB11" i="2"/>
  <c r="E68" i="5" s="1"/>
  <c r="CF11" i="2"/>
  <c r="C62" i="5" s="1"/>
  <c r="FU9" i="2"/>
  <c r="X27" i="35" s="1"/>
  <c r="UT11" i="2"/>
  <c r="D92" i="5" s="1"/>
  <c r="BS11" i="2"/>
  <c r="E13" i="5" s="1"/>
  <c r="WN241" i="2"/>
  <c r="OX11" i="2"/>
  <c r="H82" i="5" s="1"/>
  <c r="GQ11" i="2"/>
  <c r="E21" i="5" s="1"/>
  <c r="EE11" i="2"/>
  <c r="E17" i="5" s="1"/>
  <c r="Y11" i="2"/>
  <c r="F10" i="5" s="1"/>
  <c r="TF11" i="2"/>
  <c r="H89" i="5" s="1"/>
  <c r="DA11" i="2"/>
  <c r="F15" i="5" s="1"/>
  <c r="VA11" i="2"/>
  <c r="H44" i="5" s="1"/>
  <c r="GJ11" i="2"/>
  <c r="I68" i="5" s="1"/>
  <c r="QR11" i="2"/>
  <c r="G85" i="5" s="1"/>
  <c r="NU8" i="2"/>
  <c r="AX26" i="35" s="1"/>
  <c r="HI11" i="2"/>
  <c r="F22" i="5" s="1"/>
  <c r="PQ10" i="2"/>
  <c r="BD28" i="35" s="1"/>
  <c r="MV11" i="2"/>
  <c r="E79" i="5" s="1"/>
  <c r="LU11" i="2"/>
  <c r="H29" i="5" s="1"/>
  <c r="TS11" i="2"/>
  <c r="G42" i="5" s="1"/>
  <c r="ES11" i="2"/>
  <c r="D18" i="5" s="1"/>
  <c r="RA11" i="2"/>
  <c r="D38" i="5" s="1"/>
  <c r="UG11" i="2"/>
  <c r="F43" i="5" s="1"/>
  <c r="HA7" i="2"/>
  <c r="AB25" i="35" s="1"/>
  <c r="RX9" i="2"/>
  <c r="BB37" i="39" s="1"/>
  <c r="Y104" i="52" s="1"/>
  <c r="LR9" i="2"/>
  <c r="TN11" i="2"/>
  <c r="D90" i="5" s="1"/>
  <c r="IA11" i="2"/>
  <c r="G23" i="5" s="1"/>
  <c r="PI11" i="2"/>
  <c r="F35" i="5" s="1"/>
  <c r="BR11" i="2"/>
  <c r="D61" i="5" s="1"/>
  <c r="EA11" i="2"/>
  <c r="C17" i="5" s="1"/>
  <c r="LW11" i="2"/>
  <c r="I29" i="5" s="1"/>
  <c r="ME11" i="2"/>
  <c r="E30" i="5" s="1"/>
  <c r="DO11" i="2"/>
  <c r="E16" i="5" s="1"/>
  <c r="MM11" i="2"/>
  <c r="I30" i="5" s="1"/>
  <c r="VO11" i="2"/>
  <c r="G45" i="5" s="1"/>
  <c r="GX11" i="2"/>
  <c r="H69" i="5" s="1"/>
  <c r="KJ11" i="2"/>
  <c r="E75" i="5" s="1"/>
  <c r="NS11" i="2"/>
  <c r="I32" i="5" s="1"/>
  <c r="IB11" i="2"/>
  <c r="G71" i="5" s="1"/>
  <c r="EY11" i="2"/>
  <c r="G18" i="5" s="1"/>
  <c r="OK9" i="2"/>
  <c r="AZ27" i="35" s="1"/>
  <c r="BM9" i="2"/>
  <c r="J27" i="35" s="1"/>
  <c r="NU10" i="2"/>
  <c r="AX28" i="35" s="1"/>
  <c r="JZ11" i="2"/>
  <c r="H74" i="5" s="1"/>
  <c r="GE11" i="2"/>
  <c r="G20" i="5" s="1"/>
  <c r="MC11" i="2"/>
  <c r="D30" i="5" s="1"/>
  <c r="WW355" i="2"/>
  <c r="PK11" i="2"/>
  <c r="G35" i="5" s="1"/>
  <c r="UU11" i="2"/>
  <c r="E44" i="5" s="1"/>
  <c r="AW10" i="2"/>
  <c r="H28" i="35" s="1"/>
  <c r="DR10" i="2"/>
  <c r="VJ11" i="2"/>
  <c r="D93" i="5" s="1"/>
  <c r="GL8" i="2"/>
  <c r="AA26" i="35" s="1"/>
  <c r="DJ7" i="2"/>
  <c r="Q25" i="35" s="1"/>
  <c r="JH11" i="2"/>
  <c r="G73" i="5" s="1"/>
  <c r="QD11" i="2"/>
  <c r="H84" i="5" s="1"/>
  <c r="NE8" i="2"/>
  <c r="AV26" i="35" s="1"/>
  <c r="US11" i="2"/>
  <c r="D44" i="5" s="1"/>
  <c r="FZ11" i="2"/>
  <c r="D68" i="5" s="1"/>
  <c r="PB7" i="2"/>
  <c r="BC25" i="35" s="1"/>
  <c r="RS11" i="2"/>
  <c r="E39" i="5" s="1"/>
  <c r="KY11" i="2"/>
  <c r="E28" i="5" s="1"/>
  <c r="SH11" i="2"/>
  <c r="D88" i="5" s="1"/>
  <c r="GG11" i="2"/>
  <c r="H20" i="5" s="1"/>
  <c r="MH10" i="2"/>
  <c r="AS28" i="39" s="1"/>
  <c r="CK28" i="39" s="1"/>
  <c r="F77" i="26" s="1"/>
  <c r="WF10" i="2"/>
  <c r="BD44" i="39" s="1"/>
  <c r="Z111" i="52" s="1"/>
  <c r="HM11" i="2"/>
  <c r="H22" i="5" s="1"/>
  <c r="Z10" i="2"/>
  <c r="AS8" i="39" s="1"/>
  <c r="IP9" i="2"/>
  <c r="XB242" i="2"/>
  <c r="VB11" i="2"/>
  <c r="H92" i="5" s="1"/>
  <c r="PW11" i="2"/>
  <c r="E36" i="5" s="1"/>
  <c r="MK11" i="2"/>
  <c r="H30" i="5" s="1"/>
  <c r="GH11" i="2"/>
  <c r="H68" i="5" s="1"/>
  <c r="EC11" i="2"/>
  <c r="D17" i="5" s="1"/>
  <c r="NO11" i="2"/>
  <c r="G32" i="5" s="1"/>
  <c r="IH8" i="2"/>
  <c r="AG26" i="35" s="1"/>
  <c r="EN11" i="2"/>
  <c r="I65" i="5" s="1"/>
  <c r="KX11" i="2"/>
  <c r="D76" i="5" s="1"/>
  <c r="DS11" i="2"/>
  <c r="G16" i="5" s="1"/>
  <c r="PM11" i="2"/>
  <c r="H35" i="5" s="1"/>
  <c r="UW11" i="2"/>
  <c r="F44" i="5" s="1"/>
  <c r="KC9" i="2"/>
  <c r="AL27" i="35" s="1"/>
  <c r="PQ8" i="2"/>
  <c r="BD26" i="35" s="1"/>
  <c r="UA10" i="2"/>
  <c r="FD11" i="2"/>
  <c r="I66" i="5" s="1"/>
  <c r="QO11" i="2"/>
  <c r="F37" i="5" s="1"/>
  <c r="RN8" i="2"/>
  <c r="BK26" i="35" s="1"/>
  <c r="QB11" i="2"/>
  <c r="G84" i="5" s="1"/>
  <c r="EO9" i="2"/>
  <c r="T27" i="35" s="1"/>
  <c r="EX9" i="2"/>
  <c r="CY11" i="2"/>
  <c r="E15" i="5" s="1"/>
  <c r="ET11" i="2"/>
  <c r="D66" i="5" s="1"/>
  <c r="ND11" i="2"/>
  <c r="I79" i="5" s="1"/>
  <c r="VD11" i="2"/>
  <c r="I92" i="5" s="1"/>
  <c r="LM11" i="2"/>
  <c r="D29" i="5" s="1"/>
  <c r="UR10" i="2"/>
  <c r="L42" i="39" s="1"/>
  <c r="RH11" i="2"/>
  <c r="G86" i="5" s="1"/>
  <c r="VI11" i="2"/>
  <c r="D45" i="5" s="1"/>
  <c r="OU11" i="2"/>
  <c r="G34" i="5" s="1"/>
  <c r="BD11" i="2"/>
  <c r="E60" i="5" s="1"/>
  <c r="LI7" i="2"/>
  <c r="AP25" i="35" s="1"/>
  <c r="GK10" i="2"/>
  <c r="Z28" i="35" s="1"/>
  <c r="H11" i="2"/>
  <c r="E57" i="5" s="1"/>
  <c r="SK11" i="2"/>
  <c r="F40" i="5" s="1"/>
  <c r="SM11" i="2"/>
  <c r="G40" i="5" s="1"/>
  <c r="UX11" i="2"/>
  <c r="F92" i="5" s="1"/>
  <c r="CA11" i="2"/>
  <c r="I13" i="5" s="1"/>
  <c r="OS11" i="2"/>
  <c r="F34" i="5" s="1"/>
  <c r="PQ9" i="2"/>
  <c r="BD27" i="35" s="1"/>
  <c r="EV11" i="2"/>
  <c r="E66" i="5" s="1"/>
  <c r="QT11" i="2"/>
  <c r="H85" i="5" s="1"/>
  <c r="NY11" i="2"/>
  <c r="D33" i="5" s="1"/>
  <c r="AQ11" i="2"/>
  <c r="G11" i="5" s="1"/>
  <c r="TC11" i="2"/>
  <c r="G41" i="5" s="1"/>
  <c r="BH11" i="2"/>
  <c r="G60" i="5" s="1"/>
  <c r="IR11" i="2"/>
  <c r="G72" i="5" s="1"/>
  <c r="AF11" i="2"/>
  <c r="IE11" i="2"/>
  <c r="I23" i="5" s="1"/>
  <c r="WI11" i="2"/>
  <c r="I46" i="5" s="1"/>
  <c r="UJ9" i="2"/>
  <c r="BB41" i="39" s="1"/>
  <c r="Y108" i="52" s="1"/>
  <c r="CL10" i="2"/>
  <c r="DB9" i="2"/>
  <c r="UQ10" i="2"/>
  <c r="MN11" i="2"/>
  <c r="I78" i="5" s="1"/>
  <c r="JC11" i="2"/>
  <c r="E25" i="5" s="1"/>
  <c r="RM7" i="2"/>
  <c r="BJ25" i="35" s="1"/>
  <c r="EO8" i="2"/>
  <c r="T26" i="35" s="1"/>
  <c r="PV11" i="2"/>
  <c r="D84" i="5" s="1"/>
  <c r="OC11" i="2"/>
  <c r="F33" i="5" s="1"/>
  <c r="FB11" i="2"/>
  <c r="H66" i="5" s="1"/>
  <c r="LZ7" i="2"/>
  <c r="AS25" i="35" s="1"/>
  <c r="SJ11" i="2"/>
  <c r="E88" i="5" s="1"/>
  <c r="GZ11" i="2"/>
  <c r="I69" i="5" s="1"/>
  <c r="JA11" i="2"/>
  <c r="D25" i="5" s="1"/>
  <c r="IW9" i="2"/>
  <c r="AH27" i="35" s="1"/>
  <c r="BJ11" i="2"/>
  <c r="H60" i="5" s="1"/>
  <c r="LA11" i="2"/>
  <c r="F28" i="5" s="1"/>
  <c r="JM7" i="2"/>
  <c r="AJ25" i="35" s="1"/>
  <c r="WE11" i="2"/>
  <c r="G46" i="5" s="1"/>
  <c r="AW9" i="2"/>
  <c r="H27" i="35" s="1"/>
  <c r="FK11" i="2"/>
  <c r="E19" i="5" s="1"/>
  <c r="EK11" i="2"/>
  <c r="H17" i="5" s="1"/>
  <c r="MD11" i="2"/>
  <c r="D78" i="5" s="1"/>
  <c r="WW393" i="2"/>
  <c r="SI11" i="2"/>
  <c r="E40" i="5" s="1"/>
  <c r="CJ11" i="2"/>
  <c r="E62" i="5" s="1"/>
  <c r="IS11" i="2"/>
  <c r="H24" i="5" s="1"/>
  <c r="T11" i="2"/>
  <c r="C58" i="5" s="1"/>
  <c r="NL11" i="2"/>
  <c r="E80" i="5" s="1"/>
  <c r="AW8" i="2"/>
  <c r="H26" i="35" s="1"/>
  <c r="BY11" i="2"/>
  <c r="H13" i="5" s="1"/>
  <c r="OW11" i="2"/>
  <c r="H34" i="5" s="1"/>
  <c r="UZ9" i="2"/>
  <c r="BB42" i="39" s="1"/>
  <c r="Y109" i="52" s="1"/>
  <c r="OT10" i="2"/>
  <c r="SF8" i="2"/>
  <c r="AM11" i="2"/>
  <c r="E11" i="5" s="1"/>
  <c r="UR7" i="2"/>
  <c r="FN10" i="2"/>
  <c r="SV10" i="2"/>
  <c r="L39" i="39" s="1"/>
  <c r="NB11" i="2"/>
  <c r="H79" i="5" s="1"/>
  <c r="WD11" i="2"/>
  <c r="F94" i="5" s="1"/>
  <c r="NM11" i="2"/>
  <c r="F32" i="5" s="1"/>
  <c r="AX8" i="2"/>
  <c r="I26" i="35" s="1"/>
  <c r="QX8" i="2"/>
  <c r="BI26" i="35" s="1"/>
  <c r="OZ11" i="2"/>
  <c r="I82" i="5" s="1"/>
  <c r="HG11" i="2"/>
  <c r="E22" i="5" s="1"/>
  <c r="JP11" i="2"/>
  <c r="C74" i="5" s="1"/>
  <c r="SX11" i="2"/>
  <c r="D89" i="5" s="1"/>
  <c r="CQ11" i="2"/>
  <c r="I14" i="5" s="1"/>
  <c r="KG11" i="2"/>
  <c r="D27" i="5" s="1"/>
  <c r="KS9" i="2"/>
  <c r="AN27" i="35" s="1"/>
  <c r="QF11" i="2"/>
  <c r="I84" i="5" s="1"/>
  <c r="LP11" i="2"/>
  <c r="E77" i="5" s="1"/>
  <c r="UF11" i="2"/>
  <c r="E91" i="5" s="1"/>
  <c r="ON11" i="2"/>
  <c r="C82" i="5" s="1"/>
  <c r="PU11" i="2"/>
  <c r="D36" i="5" s="1"/>
  <c r="DD11" i="2"/>
  <c r="G63" i="5" s="1"/>
  <c r="QA11" i="2"/>
  <c r="G36" i="5" s="1"/>
  <c r="FO11" i="2"/>
  <c r="G19" i="5" s="1"/>
  <c r="CW11" i="2"/>
  <c r="D15" i="5" s="1"/>
  <c r="DL11" i="2"/>
  <c r="C64" i="5" s="1"/>
  <c r="WN127" i="2"/>
  <c r="WO292" i="2"/>
  <c r="WO444" i="2"/>
  <c r="WN51" i="2"/>
  <c r="WN355" i="2"/>
  <c r="XB359" i="2"/>
  <c r="CS10" i="2"/>
  <c r="N28" i="35" s="1"/>
  <c r="DI9" i="2"/>
  <c r="P27" i="35" s="1"/>
  <c r="GK7" i="2"/>
  <c r="Z25" i="35" s="1"/>
  <c r="FW11" i="2"/>
  <c r="C20" i="5" s="1"/>
  <c r="KI11" i="2"/>
  <c r="E27" i="5" s="1"/>
  <c r="KS7" i="2"/>
  <c r="AN25" i="35" s="1"/>
  <c r="CM11" i="2"/>
  <c r="G14" i="5" s="1"/>
  <c r="CS7" i="2"/>
  <c r="N25" i="35" s="1"/>
  <c r="HR8" i="2"/>
  <c r="AE26" i="35" s="1"/>
  <c r="HD11" i="2"/>
  <c r="C70" i="5" s="1"/>
  <c r="MA11" i="2"/>
  <c r="C30" i="5" s="1"/>
  <c r="MO7" i="2"/>
  <c r="AT25" i="35" s="1"/>
  <c r="GW11" i="2"/>
  <c r="H21" i="5" s="1"/>
  <c r="HA8" i="2"/>
  <c r="AB26" i="35" s="1"/>
  <c r="WO203" i="2"/>
  <c r="AH8" i="2"/>
  <c r="RN7" i="2"/>
  <c r="BK25" i="35" s="1"/>
  <c r="HQ8" i="2"/>
  <c r="AD26" i="35" s="1"/>
  <c r="DK11" i="2"/>
  <c r="C16" i="5" s="1"/>
  <c r="DY9" i="2"/>
  <c r="R27" i="35" s="1"/>
  <c r="HZ9" i="2"/>
  <c r="VW9" i="2"/>
  <c r="MP7" i="2"/>
  <c r="AU25" i="35" s="1"/>
  <c r="MB11" i="2"/>
  <c r="C78" i="5" s="1"/>
  <c r="HK11" i="2"/>
  <c r="G22" i="5" s="1"/>
  <c r="PH11" i="2"/>
  <c r="E83" i="5" s="1"/>
  <c r="MO10" i="2"/>
  <c r="AT28" i="35" s="1"/>
  <c r="MG11" i="2"/>
  <c r="F30" i="5" s="1"/>
  <c r="BN7" i="2"/>
  <c r="K25" i="35" s="1"/>
  <c r="JN7" i="2"/>
  <c r="AK25" i="35" s="1"/>
  <c r="IZ11" i="2"/>
  <c r="C73" i="5" s="1"/>
  <c r="HV11" i="2"/>
  <c r="D71" i="5" s="1"/>
  <c r="WO51" i="2"/>
  <c r="FU10" i="2"/>
  <c r="X28" i="35" s="1"/>
  <c r="TT9" i="2"/>
  <c r="BB40" i="39" s="1"/>
  <c r="Y107" i="52" s="1"/>
  <c r="MX9" i="2"/>
  <c r="AQ29" i="39" s="1"/>
  <c r="CI29" i="39" s="1"/>
  <c r="E78" i="26" s="1"/>
  <c r="XC137" i="2"/>
  <c r="IH7" i="2"/>
  <c r="AG25" i="35" s="1"/>
  <c r="OV11" i="2"/>
  <c r="G82" i="5" s="1"/>
  <c r="CE11" i="2"/>
  <c r="C14" i="5" s="1"/>
  <c r="IW8" i="2"/>
  <c r="AH26" i="35" s="1"/>
  <c r="CC7" i="2"/>
  <c r="L25" i="35" s="1"/>
  <c r="BO11" i="2"/>
  <c r="C13" i="5" s="1"/>
  <c r="IG7" i="2"/>
  <c r="AF25" i="35" s="1"/>
  <c r="HW11" i="2"/>
  <c r="E23" i="5" s="1"/>
  <c r="OE11" i="2"/>
  <c r="G33" i="5" s="1"/>
  <c r="OK7" i="2"/>
  <c r="AZ25" i="35" s="1"/>
  <c r="OL8" i="2"/>
  <c r="BA26" i="35" s="1"/>
  <c r="NX11" i="2"/>
  <c r="C81" i="5" s="1"/>
  <c r="BP11" i="2"/>
  <c r="C61" i="5" s="1"/>
  <c r="JJ11" i="2"/>
  <c r="H73" i="5" s="1"/>
  <c r="WN165" i="2"/>
  <c r="XB167" i="2"/>
  <c r="XR167" i="2" s="1"/>
  <c r="XC251" i="2"/>
  <c r="WO294" i="2"/>
  <c r="EO7" i="2"/>
  <c r="T25" i="35" s="1"/>
  <c r="CH11" i="2"/>
  <c r="D62" i="5" s="1"/>
  <c r="XC91" i="2"/>
  <c r="WO89" i="2"/>
  <c r="QG9" i="2"/>
  <c r="BF27" i="35" s="1"/>
  <c r="PS11" i="2"/>
  <c r="C36" i="5" s="1"/>
  <c r="HF11" i="2"/>
  <c r="D70" i="5" s="1"/>
  <c r="CO11" i="2"/>
  <c r="H14" i="5" s="1"/>
  <c r="PQ7" i="2"/>
  <c r="BD25" i="35" s="1"/>
  <c r="PG11" i="2"/>
  <c r="E35" i="5" s="1"/>
  <c r="WN431" i="2"/>
  <c r="S11" i="2"/>
  <c r="C10" i="5" s="1"/>
  <c r="DV11" i="2"/>
  <c r="H64" i="5" s="1"/>
  <c r="CC10" i="2"/>
  <c r="L28" i="35" s="1"/>
  <c r="XC364" i="2"/>
  <c r="XB91" i="2"/>
  <c r="WN89" i="2"/>
  <c r="AA11" i="2"/>
  <c r="G10" i="5" s="1"/>
  <c r="AG9" i="2"/>
  <c r="F27" i="35" s="1"/>
  <c r="VH10" i="2"/>
  <c r="L43" i="39" s="1"/>
  <c r="CZ11" i="2"/>
  <c r="E63" i="5" s="1"/>
  <c r="HB7" i="2"/>
  <c r="AC25" i="35" s="1"/>
  <c r="GI11" i="2"/>
  <c r="I20" i="5" s="1"/>
  <c r="NF7" i="2"/>
  <c r="AW25" i="35" s="1"/>
  <c r="MT11" i="2"/>
  <c r="D79" i="5" s="1"/>
  <c r="DY7" i="2"/>
  <c r="R25" i="35" s="1"/>
  <c r="DM11" i="2"/>
  <c r="D16" i="5" s="1"/>
  <c r="DZ7" i="2"/>
  <c r="S25" i="35" s="1"/>
  <c r="DN11" i="2"/>
  <c r="D64" i="5" s="1"/>
  <c r="DY10" i="2"/>
  <c r="R28" i="35" s="1"/>
  <c r="ID11" i="2"/>
  <c r="H71" i="5" s="1"/>
  <c r="IG9" i="2"/>
  <c r="AF27" i="35" s="1"/>
  <c r="KT7" i="2"/>
  <c r="AO25" i="35" s="1"/>
  <c r="NV7" i="2"/>
  <c r="AY25" i="35" s="1"/>
  <c r="NH11" i="2"/>
  <c r="C80" i="5" s="1"/>
  <c r="BW11" i="2"/>
  <c r="G13" i="5" s="1"/>
  <c r="EP7" i="2"/>
  <c r="U25" i="35" s="1"/>
  <c r="EB11" i="2"/>
  <c r="C65" i="5" s="1"/>
  <c r="BM8" i="2"/>
  <c r="J26" i="35" s="1"/>
  <c r="IG8" i="2"/>
  <c r="AF26" i="35" s="1"/>
  <c r="KT8" i="2"/>
  <c r="AO26" i="35" s="1"/>
  <c r="KH11" i="2"/>
  <c r="D75" i="5" s="1"/>
  <c r="HJ9" i="2"/>
  <c r="AQ20" i="39" s="1"/>
  <c r="CI20" i="39" s="1"/>
  <c r="E69" i="26" s="1"/>
  <c r="NN9" i="2"/>
  <c r="WO406" i="2"/>
  <c r="WO165" i="2"/>
  <c r="DI7" i="2"/>
  <c r="P25" i="35" s="1"/>
  <c r="PA7" i="2"/>
  <c r="BB25" i="35" s="1"/>
  <c r="NF8" i="2"/>
  <c r="AW26" i="35" s="1"/>
  <c r="PD11" i="2"/>
  <c r="C83" i="5" s="1"/>
  <c r="IK11" i="2"/>
  <c r="D24" i="5" s="1"/>
  <c r="IW7" i="2"/>
  <c r="AH25" i="35" s="1"/>
  <c r="VQ11" i="2"/>
  <c r="H45" i="5" s="1"/>
  <c r="UY11" i="2"/>
  <c r="G44" i="5" s="1"/>
  <c r="TV11" i="2"/>
  <c r="H90" i="5" s="1"/>
  <c r="WN279" i="2"/>
  <c r="VG8" i="2"/>
  <c r="CD7" i="2"/>
  <c r="M25" i="35" s="1"/>
  <c r="FE9" i="2"/>
  <c r="V27" i="35" s="1"/>
  <c r="LK11" i="2"/>
  <c r="C29" i="5" s="1"/>
  <c r="BB11" i="2"/>
  <c r="D60" i="5" s="1"/>
  <c r="VS11" i="2"/>
  <c r="I45" i="5" s="1"/>
  <c r="KS10" i="2"/>
  <c r="AN28" i="35" s="1"/>
  <c r="CV11" i="2"/>
  <c r="C63" i="5" s="1"/>
  <c r="DJ8" i="2"/>
  <c r="Q26" i="35" s="1"/>
  <c r="NJ11" i="2"/>
  <c r="D80" i="5" s="1"/>
  <c r="LY7" i="2"/>
  <c r="AR25" i="35" s="1"/>
  <c r="UI11" i="2"/>
  <c r="G43" i="5" s="1"/>
  <c r="GK9" i="2"/>
  <c r="Z27" i="35" s="1"/>
  <c r="WO368" i="2"/>
  <c r="WN203" i="2"/>
  <c r="XB214" i="2"/>
  <c r="XR214" i="2" s="1"/>
  <c r="JM9" i="2"/>
  <c r="AJ27" i="35" s="1"/>
  <c r="BM10" i="2"/>
  <c r="J28" i="35" s="1"/>
  <c r="OT9" i="2"/>
  <c r="AQ32" i="39" s="1"/>
  <c r="CI32" i="39" s="1"/>
  <c r="E81" i="26" s="1"/>
  <c r="JK11" i="2"/>
  <c r="I25" i="5" s="1"/>
  <c r="CP11" i="2"/>
  <c r="H62" i="5" s="1"/>
  <c r="OY11" i="2"/>
  <c r="I34" i="5" s="1"/>
  <c r="KW11" i="2"/>
  <c r="D28" i="5" s="1"/>
  <c r="VM11" i="2"/>
  <c r="F45" i="5" s="1"/>
  <c r="WC11" i="2"/>
  <c r="F46" i="5" s="1"/>
  <c r="QH8" i="2"/>
  <c r="BG26" i="35" s="1"/>
  <c r="RV11" i="2"/>
  <c r="F87" i="5" s="1"/>
  <c r="SF7" i="2"/>
  <c r="DQ11" i="2"/>
  <c r="F16" i="5" s="1"/>
  <c r="MX10" i="2"/>
  <c r="GU11" i="2"/>
  <c r="G21" i="5" s="1"/>
  <c r="FV8" i="2"/>
  <c r="Y26" i="35" s="1"/>
  <c r="CT8" i="2"/>
  <c r="O26" i="35" s="1"/>
  <c r="FM11" i="2"/>
  <c r="F19" i="5" s="1"/>
  <c r="OO11" i="2"/>
  <c r="D34" i="5" s="1"/>
  <c r="VW10" i="2"/>
  <c r="TL10" i="2"/>
  <c r="L40" i="39" s="1"/>
  <c r="SV7" i="2"/>
  <c r="F39" i="39" s="1"/>
  <c r="CE39" i="39" s="1"/>
  <c r="C88" i="26" s="1"/>
  <c r="SU9" i="2"/>
  <c r="AG7" i="2"/>
  <c r="F25" i="35" s="1"/>
  <c r="QJ11" i="2"/>
  <c r="C85" i="5" s="1"/>
  <c r="OR11" i="2"/>
  <c r="E82" i="5" s="1"/>
  <c r="BQ11" i="2"/>
  <c r="D13" i="5" s="1"/>
  <c r="FX11" i="2"/>
  <c r="C68" i="5" s="1"/>
  <c r="DC11" i="2"/>
  <c r="G15" i="5" s="1"/>
  <c r="II11" i="2"/>
  <c r="C24" i="5" s="1"/>
  <c r="LO11" i="2"/>
  <c r="E29" i="5" s="1"/>
  <c r="PB8" i="2"/>
  <c r="BC26" i="35" s="1"/>
  <c r="QX7" i="2"/>
  <c r="BI25" i="35" s="1"/>
  <c r="QL11" i="2"/>
  <c r="D85" i="5" s="1"/>
  <c r="PO11" i="2"/>
  <c r="I35" i="5" s="1"/>
  <c r="CB11" i="2"/>
  <c r="I61" i="5" s="1"/>
  <c r="FH11" i="2"/>
  <c r="C67" i="5" s="1"/>
  <c r="RF9" i="2"/>
  <c r="AQ36" i="39" s="1"/>
  <c r="CI36" i="39" s="1"/>
  <c r="E85" i="26" s="1"/>
  <c r="PP11" i="2"/>
  <c r="I83" i="5" s="1"/>
  <c r="PJ10" i="2"/>
  <c r="EH9" i="2"/>
  <c r="FN9" i="2"/>
  <c r="AQ17" i="39" s="1"/>
  <c r="CI17" i="39" s="1"/>
  <c r="E66" i="26" s="1"/>
  <c r="TK8" i="2"/>
  <c r="UR8" i="2"/>
  <c r="JF9" i="2"/>
  <c r="AQ23" i="39" s="1"/>
  <c r="CI23" i="39" s="1"/>
  <c r="E72" i="26" s="1"/>
  <c r="OK8" i="2"/>
  <c r="AZ26" i="35" s="1"/>
  <c r="OQ11" i="2"/>
  <c r="E34" i="5" s="1"/>
  <c r="KS8" i="2"/>
  <c r="AN26" i="35" s="1"/>
  <c r="LZ8" i="2"/>
  <c r="AS26" i="35" s="1"/>
  <c r="CU11" i="2"/>
  <c r="C15" i="5" s="1"/>
  <c r="CT7" i="2"/>
  <c r="O25" i="35" s="1"/>
  <c r="KV11" i="2"/>
  <c r="C76" i="5" s="1"/>
  <c r="LL11" i="2"/>
  <c r="C77" i="5" s="1"/>
  <c r="QG7" i="2"/>
  <c r="BF25" i="35" s="1"/>
  <c r="AJ11" i="2"/>
  <c r="GR11" i="2"/>
  <c r="E69" i="5" s="1"/>
  <c r="CS8" i="2"/>
  <c r="N26" i="35" s="1"/>
  <c r="EW11" i="2"/>
  <c r="F18" i="5" s="1"/>
  <c r="FV7" i="2"/>
  <c r="Y25" i="35" s="1"/>
  <c r="GK8" i="2"/>
  <c r="Z26" i="35" s="1"/>
  <c r="VG10" i="2"/>
  <c r="SN10" i="2"/>
  <c r="BD38" i="39" s="1"/>
  <c r="Z105" i="52" s="1"/>
  <c r="UB10" i="2"/>
  <c r="L41" i="39" s="1"/>
  <c r="SE10" i="2"/>
  <c r="RO9" i="2"/>
  <c r="BF10" i="2"/>
  <c r="UB7" i="2"/>
  <c r="UA9" i="2"/>
  <c r="I41" i="39" s="1"/>
  <c r="CH41" i="39" s="1"/>
  <c r="E42" i="26" s="1"/>
  <c r="TT10" i="2"/>
  <c r="BD40" i="39" s="1"/>
  <c r="Z107" i="52" s="1"/>
  <c r="SU8" i="2"/>
  <c r="G39" i="39" s="1"/>
  <c r="CF39" i="39" s="1"/>
  <c r="D40" i="26" s="1"/>
  <c r="WO254" i="2"/>
  <c r="UB8" i="2"/>
  <c r="H41" i="39" s="1"/>
  <c r="CG41" i="39" s="1"/>
  <c r="D90" i="26" s="1"/>
  <c r="LI9" i="2"/>
  <c r="AP27" i="35" s="1"/>
  <c r="OL7" i="2"/>
  <c r="BA25" i="35" s="1"/>
  <c r="BL11" i="2"/>
  <c r="I60" i="5" s="1"/>
  <c r="PF11" i="2"/>
  <c r="D83" i="5" s="1"/>
  <c r="KO11" i="2"/>
  <c r="H27" i="5" s="1"/>
  <c r="WG11" i="2"/>
  <c r="H46" i="5" s="1"/>
  <c r="HS11" i="2"/>
  <c r="C23" i="5" s="1"/>
  <c r="AW7" i="2"/>
  <c r="H25" i="35" s="1"/>
  <c r="WB11" i="2"/>
  <c r="E94" i="5" s="1"/>
  <c r="RJ11" i="2"/>
  <c r="H86" i="5" s="1"/>
  <c r="KZ11" i="2"/>
  <c r="E76" i="5" s="1"/>
  <c r="VL11" i="2"/>
  <c r="E93" i="5" s="1"/>
  <c r="FS11" i="2"/>
  <c r="I19" i="5" s="1"/>
  <c r="DF11" i="2"/>
  <c r="H63" i="5" s="1"/>
  <c r="EM11" i="2"/>
  <c r="I17" i="5" s="1"/>
  <c r="VX8" i="2"/>
  <c r="UJ10" i="2"/>
  <c r="BD41" i="39" s="1"/>
  <c r="Z108" i="52" s="1"/>
  <c r="TD9" i="2"/>
  <c r="BB39" i="39" s="1"/>
  <c r="Y106" i="52" s="1"/>
  <c r="LN11" i="2"/>
  <c r="D77" i="5" s="1"/>
  <c r="IO11" i="2"/>
  <c r="F24" i="5" s="1"/>
  <c r="TO11" i="2"/>
  <c r="E42" i="5" s="1"/>
  <c r="FF8" i="2"/>
  <c r="W26" i="35" s="1"/>
  <c r="JV9" i="2"/>
  <c r="HZ10" i="2"/>
  <c r="AS21" i="39" s="1"/>
  <c r="CK21" i="39" s="1"/>
  <c r="F70" i="26" s="1"/>
  <c r="BV10" i="2"/>
  <c r="HH11" i="2"/>
  <c r="E70" i="5" s="1"/>
  <c r="SP11" i="2"/>
  <c r="H88" i="5" s="1"/>
  <c r="AO11" i="2"/>
  <c r="F11" i="5" s="1"/>
  <c r="HQ9" i="2"/>
  <c r="AD27" i="35" s="1"/>
  <c r="QU11" i="2"/>
  <c r="I37" i="5" s="1"/>
  <c r="SR11" i="2"/>
  <c r="I88" i="5" s="1"/>
  <c r="KA11" i="2"/>
  <c r="I26" i="5" s="1"/>
  <c r="RM10" i="2"/>
  <c r="BJ28" i="35" s="1"/>
  <c r="UM11" i="2"/>
  <c r="I43" i="5" s="1"/>
  <c r="WF9" i="2"/>
  <c r="BB44" i="39" s="1"/>
  <c r="Y111" i="52" s="1"/>
  <c r="VG9" i="2"/>
  <c r="HJ10" i="2"/>
  <c r="RO7" i="2"/>
  <c r="E37" i="39" s="1"/>
  <c r="CD37" i="39" s="1"/>
  <c r="LR10" i="2"/>
  <c r="FL11" i="2"/>
  <c r="E67" i="5" s="1"/>
  <c r="AX7" i="2"/>
  <c r="I25" i="35" s="1"/>
  <c r="UQ9" i="2"/>
  <c r="UQ7" i="2"/>
  <c r="TD10" i="2"/>
  <c r="BD39" i="39" s="1"/>
  <c r="Z106" i="52" s="1"/>
  <c r="SU10" i="2"/>
  <c r="SE9" i="2"/>
  <c r="UE11" i="2"/>
  <c r="E43" i="5" s="1"/>
  <c r="RB11" i="2"/>
  <c r="D86" i="5" s="1"/>
  <c r="RP8" i="2"/>
  <c r="WO408" i="2"/>
  <c r="SQ11" i="2"/>
  <c r="I40" i="5" s="1"/>
  <c r="KP11" i="2"/>
  <c r="H75" i="5" s="1"/>
  <c r="WH11" i="2"/>
  <c r="H94" i="5" s="1"/>
  <c r="JG11" i="2"/>
  <c r="G25" i="5" s="1"/>
  <c r="TP11" i="2"/>
  <c r="E90" i="5" s="1"/>
  <c r="JW11" i="2"/>
  <c r="G26" i="5" s="1"/>
  <c r="TQ11" i="2"/>
  <c r="F42" i="5" s="1"/>
  <c r="NC11" i="2"/>
  <c r="I31" i="5" s="1"/>
  <c r="RE11" i="2"/>
  <c r="F38" i="5" s="1"/>
  <c r="RC11" i="2"/>
  <c r="E38" i="5" s="1"/>
  <c r="SE8" i="2"/>
  <c r="G38" i="39" s="1"/>
  <c r="CF38" i="39" s="1"/>
  <c r="D39" i="26" s="1"/>
  <c r="UZ10" i="2"/>
  <c r="BD42" i="39" s="1"/>
  <c r="Z109" i="52" s="1"/>
  <c r="OH11" i="2"/>
  <c r="H81" i="5" s="1"/>
  <c r="RX10" i="2"/>
  <c r="BD37" i="39" s="1"/>
  <c r="Z104" i="52" s="1"/>
  <c r="DB10" i="2"/>
  <c r="WO330" i="2"/>
  <c r="PA8" i="2"/>
  <c r="BB26" i="35" s="1"/>
  <c r="HY11" i="2"/>
  <c r="F23" i="5" s="1"/>
  <c r="DT11" i="2"/>
  <c r="G64" i="5" s="1"/>
  <c r="FA11" i="2"/>
  <c r="H18" i="5" s="1"/>
  <c r="FC11" i="2"/>
  <c r="I18" i="5" s="1"/>
  <c r="MR11" i="2"/>
  <c r="C79" i="5" s="1"/>
  <c r="NK11" i="2"/>
  <c r="E32" i="5" s="1"/>
  <c r="TK10" i="2"/>
  <c r="TK7" i="2"/>
  <c r="E40" i="39" s="1"/>
  <c r="CD40" i="39" s="1"/>
  <c r="EJ11" i="2"/>
  <c r="G65" i="5" s="1"/>
  <c r="IM11" i="2"/>
  <c r="E24" i="5" s="1"/>
  <c r="PX11" i="2"/>
  <c r="E84" i="5" s="1"/>
  <c r="NR11" i="2"/>
  <c r="H80" i="5" s="1"/>
  <c r="TL8" i="2"/>
  <c r="QP10" i="2"/>
  <c r="KL10" i="2"/>
  <c r="PJ9" i="2"/>
  <c r="AQ33" i="39" s="1"/>
  <c r="CI33" i="39" s="1"/>
  <c r="E82" i="26" s="1"/>
  <c r="GT10" i="2"/>
  <c r="OD9" i="2"/>
  <c r="VW7" i="2"/>
  <c r="KC7" i="2"/>
  <c r="AL25" i="35" s="1"/>
  <c r="AK11" i="2"/>
  <c r="D11" i="5" s="1"/>
  <c r="BC11" i="2"/>
  <c r="E12" i="5" s="1"/>
  <c r="IX8" i="2"/>
  <c r="AI26" i="35" s="1"/>
  <c r="PE11" i="2"/>
  <c r="D35" i="5" s="1"/>
  <c r="DE11" i="2"/>
  <c r="H15" i="5" s="1"/>
  <c r="BV9" i="2"/>
  <c r="AQ11" i="39" s="1"/>
  <c r="CI11" i="39" s="1"/>
  <c r="E60" i="26" s="1"/>
  <c r="JV10" i="2"/>
  <c r="AP9" i="2"/>
  <c r="AQ9" i="39" s="1"/>
  <c r="CI9" i="39" s="1"/>
  <c r="E58" i="26" s="1"/>
  <c r="NN10" i="2"/>
  <c r="SN9" i="2"/>
  <c r="BB38" i="39" s="1"/>
  <c r="Y105" i="52" s="1"/>
  <c r="QP9" i="2"/>
  <c r="AQ35" i="39" s="1"/>
  <c r="CI35" i="39" s="1"/>
  <c r="E84" i="26" s="1"/>
  <c r="QH7" i="2"/>
  <c r="BG25" i="35" s="1"/>
  <c r="FJ11" i="2"/>
  <c r="D67" i="5" s="1"/>
  <c r="JI11" i="2"/>
  <c r="H25" i="5" s="1"/>
  <c r="HT11" i="2"/>
  <c r="C71" i="5" s="1"/>
  <c r="LC11" i="2"/>
  <c r="G28" i="5" s="1"/>
  <c r="TR11" i="2"/>
  <c r="F90" i="5" s="1"/>
  <c r="MQ11" i="2"/>
  <c r="C31" i="5" s="1"/>
  <c r="KC10" i="2"/>
  <c r="AL28" i="35" s="1"/>
  <c r="PZ9" i="2"/>
  <c r="AQ34" i="39" s="1"/>
  <c r="CI34" i="39" s="1"/>
  <c r="E83" i="26" s="1"/>
  <c r="IP10" i="2"/>
  <c r="AS22" i="39" s="1"/>
  <c r="CK22" i="39" s="1"/>
  <c r="F71" i="26" s="1"/>
  <c r="AP10" i="2"/>
  <c r="EH10" i="2"/>
  <c r="JF10" i="2"/>
  <c r="UA7" i="2"/>
  <c r="KL9" i="2"/>
  <c r="WN393" i="2"/>
  <c r="ER11" i="2"/>
  <c r="C66" i="5" s="1"/>
  <c r="PC11" i="2"/>
  <c r="C35" i="5" s="1"/>
  <c r="MF11" i="2"/>
  <c r="E78" i="5" s="1"/>
  <c r="BX11" i="2"/>
  <c r="G61" i="5" s="1"/>
  <c r="IF11" i="2"/>
  <c r="I71" i="5" s="1"/>
  <c r="RO8" i="2"/>
  <c r="VH8" i="2"/>
  <c r="GD10" i="2"/>
  <c r="VP9" i="2"/>
  <c r="BB43" i="39" s="1"/>
  <c r="Y110" i="52" s="1"/>
  <c r="EX10" i="2"/>
  <c r="TK9" i="2"/>
  <c r="TL7" i="2"/>
  <c r="F40" i="39" s="1"/>
  <c r="CE40" i="39" s="1"/>
  <c r="C89" i="26" s="1"/>
  <c r="VW8" i="2"/>
  <c r="VP10" i="2"/>
  <c r="BD43" i="39" s="1"/>
  <c r="Z110" i="52" s="1"/>
  <c r="GT9" i="2"/>
  <c r="AQ19" i="39" s="1"/>
  <c r="CI19" i="39" s="1"/>
  <c r="E68" i="26" s="1"/>
  <c r="CL9" i="2"/>
  <c r="RP7" i="2"/>
  <c r="F37" i="39" s="1"/>
  <c r="CE37" i="39" s="1"/>
  <c r="C86" i="26" s="1"/>
  <c r="WO446" i="2"/>
  <c r="LJ7" i="2"/>
  <c r="AQ25" i="35" s="1"/>
  <c r="EO10" i="2"/>
  <c r="T28" i="35" s="1"/>
  <c r="GY11" i="2"/>
  <c r="I21" i="5" s="1"/>
  <c r="TE11" i="2"/>
  <c r="H41" i="5" s="1"/>
  <c r="EU11" i="2"/>
  <c r="E18" i="5" s="1"/>
  <c r="NU7" i="2"/>
  <c r="AX25" i="35" s="1"/>
  <c r="AB11" i="2"/>
  <c r="CK11" i="2"/>
  <c r="F14" i="5" s="1"/>
  <c r="JU11" i="2"/>
  <c r="F26" i="5" s="1"/>
  <c r="MP8" i="2"/>
  <c r="AU26" i="35" s="1"/>
  <c r="UD11" i="2"/>
  <c r="D91" i="5" s="1"/>
  <c r="KK11" i="2"/>
  <c r="F27" i="5" s="1"/>
  <c r="UN11" i="2"/>
  <c r="I91" i="5" s="1"/>
  <c r="HE11" i="2"/>
  <c r="D22" i="5" s="1"/>
  <c r="BA11" i="2"/>
  <c r="D12" i="5" s="1"/>
  <c r="LT11" i="2"/>
  <c r="G77" i="5" s="1"/>
  <c r="AN11" i="2"/>
  <c r="E59" i="5" s="1"/>
  <c r="HX11" i="2"/>
  <c r="E71" i="5" s="1"/>
  <c r="LI8" i="2"/>
  <c r="AP26" i="35" s="1"/>
  <c r="EZ11" i="2"/>
  <c r="G66" i="5" s="1"/>
  <c r="MO9" i="2"/>
  <c r="AT27" i="35" s="1"/>
  <c r="TM11" i="2"/>
  <c r="D42" i="5" s="1"/>
  <c r="XC203" i="2"/>
  <c r="XC165" i="2"/>
  <c r="XC51" i="2"/>
  <c r="XB51" i="2"/>
  <c r="WR471" i="2"/>
  <c r="WR472" i="2"/>
  <c r="WR10" i="2"/>
  <c r="G12" i="6" s="1"/>
  <c r="WS471" i="2"/>
  <c r="WS472" i="2"/>
  <c r="WS8" i="2"/>
  <c r="E33" i="6" s="1"/>
  <c r="WR7" i="2"/>
  <c r="D12" i="6" s="1"/>
  <c r="WR474" i="2"/>
  <c r="WR8" i="2"/>
  <c r="E12" i="6" s="1"/>
  <c r="WS7" i="2"/>
  <c r="D33" i="6" s="1"/>
  <c r="WS9" i="2"/>
  <c r="F33" i="6" s="1"/>
  <c r="XA15" i="2"/>
  <c r="XZ15" i="2" s="1"/>
  <c r="XA16" i="2"/>
  <c r="XZ16" i="2" s="1"/>
  <c r="XA17" i="2"/>
  <c r="XZ17" i="2" s="1"/>
  <c r="XA18" i="2"/>
  <c r="XZ18" i="2" s="1"/>
  <c r="XA19" i="2"/>
  <c r="XZ19" i="2" s="1"/>
  <c r="XA20" i="2"/>
  <c r="XZ20" i="2" s="1"/>
  <c r="XA21" i="2"/>
  <c r="XA22" i="2"/>
  <c r="XZ22" i="2" s="1"/>
  <c r="XA23" i="2"/>
  <c r="XZ23" i="2" s="1"/>
  <c r="XA24" i="2"/>
  <c r="XZ24" i="2" s="1"/>
  <c r="XA25" i="2"/>
  <c r="XZ25" i="2" s="1"/>
  <c r="XA26" i="2"/>
  <c r="XZ26" i="2" s="1"/>
  <c r="XA27" i="2"/>
  <c r="XZ27" i="2" s="1"/>
  <c r="XA28" i="2"/>
  <c r="XZ28" i="2" s="1"/>
  <c r="XA29" i="2"/>
  <c r="XZ29" i="2" s="1"/>
  <c r="XA30" i="2"/>
  <c r="XZ30" i="2" s="1"/>
  <c r="XA31" i="2"/>
  <c r="XZ31" i="2" s="1"/>
  <c r="XA32" i="2"/>
  <c r="XZ32" i="2" s="1"/>
  <c r="XA33" i="2"/>
  <c r="XZ33" i="2" s="1"/>
  <c r="XA34" i="2"/>
  <c r="XZ34" i="2" s="1"/>
  <c r="XA35" i="2"/>
  <c r="XZ35" i="2" s="1"/>
  <c r="XA36" i="2"/>
  <c r="XZ36" i="2" s="1"/>
  <c r="XA14" i="2"/>
  <c r="WZ15" i="2"/>
  <c r="XQ15" i="2" s="1"/>
  <c r="WZ16" i="2"/>
  <c r="XQ16" i="2" s="1"/>
  <c r="WZ17" i="2"/>
  <c r="XQ17" i="2" s="1"/>
  <c r="WZ18" i="2"/>
  <c r="XQ18" i="2" s="1"/>
  <c r="WZ19" i="2"/>
  <c r="XQ19" i="2" s="1"/>
  <c r="WZ20" i="2"/>
  <c r="XQ20" i="2" s="1"/>
  <c r="WZ21" i="2"/>
  <c r="XQ21" i="2" s="1"/>
  <c r="WZ22" i="2"/>
  <c r="XQ22" i="2" s="1"/>
  <c r="WZ23" i="2"/>
  <c r="XQ23" i="2" s="1"/>
  <c r="WZ24" i="2"/>
  <c r="XQ24" i="2" s="1"/>
  <c r="WZ25" i="2"/>
  <c r="XQ25" i="2" s="1"/>
  <c r="WZ26" i="2"/>
  <c r="XQ26" i="2" s="1"/>
  <c r="WZ27" i="2"/>
  <c r="XQ27" i="2" s="1"/>
  <c r="WZ28" i="2"/>
  <c r="XQ28" i="2" s="1"/>
  <c r="WZ29" i="2"/>
  <c r="XQ29" i="2" s="1"/>
  <c r="WZ30" i="2"/>
  <c r="XQ30" i="2" s="1"/>
  <c r="WZ31" i="2"/>
  <c r="XQ31" i="2" s="1"/>
  <c r="WZ32" i="2"/>
  <c r="XQ32" i="2" s="1"/>
  <c r="WZ33" i="2"/>
  <c r="XQ33" i="2" s="1"/>
  <c r="WZ34" i="2"/>
  <c r="XQ34" i="2" s="1"/>
  <c r="WZ35" i="2"/>
  <c r="XQ35" i="2" s="1"/>
  <c r="WZ36" i="2"/>
  <c r="XQ36" i="2" s="1"/>
  <c r="WZ14" i="2"/>
  <c r="XQ14" i="2" s="1"/>
  <c r="WY15" i="2"/>
  <c r="XY15" i="2" s="1"/>
  <c r="WY16" i="2"/>
  <c r="XY16" i="2" s="1"/>
  <c r="WY17" i="2"/>
  <c r="XY17" i="2" s="1"/>
  <c r="WY18" i="2"/>
  <c r="XY18" i="2" s="1"/>
  <c r="WY19" i="2"/>
  <c r="XY19" i="2" s="1"/>
  <c r="WY20" i="2"/>
  <c r="XY20" i="2" s="1"/>
  <c r="WY21" i="2"/>
  <c r="XY21" i="2" s="1"/>
  <c r="WY22" i="2"/>
  <c r="XY22" i="2" s="1"/>
  <c r="WY23" i="2"/>
  <c r="XY23" i="2" s="1"/>
  <c r="WY24" i="2"/>
  <c r="XY24" i="2" s="1"/>
  <c r="WY25" i="2"/>
  <c r="XY25" i="2" s="1"/>
  <c r="WY26" i="2"/>
  <c r="XY26" i="2" s="1"/>
  <c r="WY27" i="2"/>
  <c r="XY27" i="2" s="1"/>
  <c r="WY28" i="2"/>
  <c r="XY28" i="2" s="1"/>
  <c r="WY29" i="2"/>
  <c r="XY29" i="2" s="1"/>
  <c r="WY30" i="2"/>
  <c r="XY30" i="2" s="1"/>
  <c r="WY31" i="2"/>
  <c r="XY31" i="2" s="1"/>
  <c r="WY32" i="2"/>
  <c r="XY32" i="2" s="1"/>
  <c r="WY33" i="2"/>
  <c r="XY33" i="2" s="1"/>
  <c r="WY34" i="2"/>
  <c r="XY34" i="2" s="1"/>
  <c r="WY35" i="2"/>
  <c r="XY35" i="2" s="1"/>
  <c r="WY36" i="2"/>
  <c r="XY36" i="2" s="1"/>
  <c r="WY14" i="2"/>
  <c r="XY14" i="2" s="1"/>
  <c r="WX15" i="2"/>
  <c r="XP15" i="2" s="1"/>
  <c r="WX16" i="2"/>
  <c r="XP16" i="2" s="1"/>
  <c r="WX17" i="2"/>
  <c r="XP17" i="2" s="1"/>
  <c r="WX18" i="2"/>
  <c r="XP18" i="2" s="1"/>
  <c r="WX19" i="2"/>
  <c r="XP19" i="2" s="1"/>
  <c r="WX20" i="2"/>
  <c r="XP20" i="2" s="1"/>
  <c r="WX21" i="2"/>
  <c r="XP21" i="2" s="1"/>
  <c r="WX22" i="2"/>
  <c r="XP22" i="2" s="1"/>
  <c r="WX23" i="2"/>
  <c r="XP23" i="2" s="1"/>
  <c r="WX24" i="2"/>
  <c r="XP24" i="2" s="1"/>
  <c r="WX25" i="2"/>
  <c r="XP25" i="2" s="1"/>
  <c r="WX26" i="2"/>
  <c r="XP26" i="2" s="1"/>
  <c r="WX27" i="2"/>
  <c r="XP27" i="2" s="1"/>
  <c r="WX28" i="2"/>
  <c r="XP28" i="2" s="1"/>
  <c r="WX29" i="2"/>
  <c r="XP29" i="2" s="1"/>
  <c r="WX30" i="2"/>
  <c r="XP30" i="2" s="1"/>
  <c r="WX31" i="2"/>
  <c r="XP31" i="2" s="1"/>
  <c r="WX32" i="2"/>
  <c r="XP32" i="2" s="1"/>
  <c r="WX33" i="2"/>
  <c r="XP33" i="2" s="1"/>
  <c r="WX34" i="2"/>
  <c r="XP34" i="2" s="1"/>
  <c r="WX35" i="2"/>
  <c r="XP35" i="2" s="1"/>
  <c r="WX36" i="2"/>
  <c r="XP36" i="2" s="1"/>
  <c r="WX14" i="2"/>
  <c r="XP14" i="2" s="1"/>
  <c r="WW15" i="2"/>
  <c r="XX15" i="2" s="1"/>
  <c r="WW16" i="2"/>
  <c r="XX16" i="2" s="1"/>
  <c r="WW17" i="2"/>
  <c r="XX17" i="2" s="1"/>
  <c r="WW18" i="2"/>
  <c r="XX18" i="2" s="1"/>
  <c r="WW19" i="2"/>
  <c r="XX19" i="2" s="1"/>
  <c r="WW20" i="2"/>
  <c r="XX20" i="2" s="1"/>
  <c r="WW21" i="2"/>
  <c r="XX21" i="2" s="1"/>
  <c r="WW22" i="2"/>
  <c r="XX22" i="2" s="1"/>
  <c r="WW23" i="2"/>
  <c r="XX23" i="2" s="1"/>
  <c r="WW24" i="2"/>
  <c r="XX24" i="2" s="1"/>
  <c r="WW25" i="2"/>
  <c r="XX25" i="2" s="1"/>
  <c r="WW26" i="2"/>
  <c r="XX26" i="2" s="1"/>
  <c r="WW27" i="2"/>
  <c r="XX27" i="2" s="1"/>
  <c r="WW28" i="2"/>
  <c r="XX28" i="2" s="1"/>
  <c r="WW29" i="2"/>
  <c r="XX29" i="2" s="1"/>
  <c r="WW30" i="2"/>
  <c r="XX30" i="2" s="1"/>
  <c r="WW31" i="2"/>
  <c r="XX31" i="2" s="1"/>
  <c r="WW32" i="2"/>
  <c r="XX32" i="2" s="1"/>
  <c r="WW33" i="2"/>
  <c r="XX33" i="2" s="1"/>
  <c r="WW34" i="2"/>
  <c r="XX34" i="2" s="1"/>
  <c r="WW35" i="2"/>
  <c r="XX35" i="2" s="1"/>
  <c r="WW36" i="2"/>
  <c r="XX36" i="2" s="1"/>
  <c r="WV15" i="2"/>
  <c r="XO15" i="2" s="1"/>
  <c r="WV16" i="2"/>
  <c r="XO16" i="2" s="1"/>
  <c r="WV17" i="2"/>
  <c r="XO17" i="2" s="1"/>
  <c r="WV18" i="2"/>
  <c r="XO18" i="2" s="1"/>
  <c r="WV19" i="2"/>
  <c r="XO19" i="2" s="1"/>
  <c r="WV20" i="2"/>
  <c r="XO20" i="2" s="1"/>
  <c r="WV21" i="2"/>
  <c r="XO21" i="2" s="1"/>
  <c r="WV22" i="2"/>
  <c r="XO22" i="2" s="1"/>
  <c r="WV23" i="2"/>
  <c r="XO23" i="2" s="1"/>
  <c r="WV24" i="2"/>
  <c r="XO24" i="2" s="1"/>
  <c r="WV25" i="2"/>
  <c r="XO25" i="2" s="1"/>
  <c r="WV26" i="2"/>
  <c r="XO26" i="2" s="1"/>
  <c r="WV27" i="2"/>
  <c r="XO27" i="2" s="1"/>
  <c r="WV28" i="2"/>
  <c r="XO28" i="2" s="1"/>
  <c r="WV29" i="2"/>
  <c r="XO29" i="2" s="1"/>
  <c r="WV30" i="2"/>
  <c r="XO30" i="2" s="1"/>
  <c r="WV31" i="2"/>
  <c r="XO31" i="2" s="1"/>
  <c r="WV32" i="2"/>
  <c r="XO32" i="2" s="1"/>
  <c r="WV33" i="2"/>
  <c r="XO33" i="2" s="1"/>
  <c r="WV34" i="2"/>
  <c r="XO34" i="2" s="1"/>
  <c r="WV35" i="2"/>
  <c r="XO35" i="2" s="1"/>
  <c r="WV36" i="2"/>
  <c r="XO36" i="2" s="1"/>
  <c r="WV14" i="2"/>
  <c r="XO14" i="2" s="1"/>
  <c r="WU15" i="2"/>
  <c r="XW15" i="2" s="1"/>
  <c r="WU16" i="2"/>
  <c r="XW16" i="2" s="1"/>
  <c r="WU18" i="2"/>
  <c r="XW18" i="2" s="1"/>
  <c r="WU19" i="2"/>
  <c r="XW19" i="2" s="1"/>
  <c r="WU20" i="2"/>
  <c r="XW20" i="2" s="1"/>
  <c r="WU21" i="2"/>
  <c r="XW21" i="2" s="1"/>
  <c r="WU22" i="2"/>
  <c r="XW22" i="2" s="1"/>
  <c r="WU23" i="2"/>
  <c r="XW23" i="2" s="1"/>
  <c r="WU24" i="2"/>
  <c r="XW24" i="2" s="1"/>
  <c r="WU25" i="2"/>
  <c r="XW25" i="2" s="1"/>
  <c r="WU26" i="2"/>
  <c r="WU27" i="2"/>
  <c r="XW27" i="2" s="1"/>
  <c r="WU29" i="2"/>
  <c r="XW29" i="2" s="1"/>
  <c r="WU30" i="2"/>
  <c r="XW30" i="2" s="1"/>
  <c r="WU31" i="2"/>
  <c r="XW31" i="2" s="1"/>
  <c r="WU32" i="2"/>
  <c r="XW32" i="2" s="1"/>
  <c r="WU33" i="2"/>
  <c r="XW33" i="2" s="1"/>
  <c r="WU34" i="2"/>
  <c r="XW34" i="2" s="1"/>
  <c r="WU35" i="2"/>
  <c r="XW35" i="2" s="1"/>
  <c r="WU36" i="2"/>
  <c r="XW36" i="2" s="1"/>
  <c r="WU14" i="2"/>
  <c r="XW14" i="2" s="1"/>
  <c r="WT15" i="2"/>
  <c r="XN15" i="2" s="1"/>
  <c r="WT16" i="2"/>
  <c r="XN16" i="2" s="1"/>
  <c r="WT17" i="2"/>
  <c r="XN17" i="2" s="1"/>
  <c r="WT18" i="2"/>
  <c r="XN18" i="2" s="1"/>
  <c r="WT19" i="2"/>
  <c r="XN19" i="2" s="1"/>
  <c r="WT20" i="2"/>
  <c r="XN20" i="2" s="1"/>
  <c r="WT21" i="2"/>
  <c r="XN21" i="2" s="1"/>
  <c r="WT22" i="2"/>
  <c r="XN22" i="2" s="1"/>
  <c r="WT23" i="2"/>
  <c r="XN23" i="2" s="1"/>
  <c r="WT24" i="2"/>
  <c r="XN24" i="2" s="1"/>
  <c r="WT25" i="2"/>
  <c r="XN25" i="2" s="1"/>
  <c r="WT26" i="2"/>
  <c r="XN26" i="2" s="1"/>
  <c r="WT27" i="2"/>
  <c r="XN27" i="2" s="1"/>
  <c r="WT29" i="2"/>
  <c r="XN29" i="2" s="1"/>
  <c r="WT30" i="2"/>
  <c r="XN30" i="2" s="1"/>
  <c r="WT31" i="2"/>
  <c r="XN31" i="2" s="1"/>
  <c r="WT32" i="2"/>
  <c r="XN32" i="2" s="1"/>
  <c r="WT33" i="2"/>
  <c r="XN33" i="2" s="1"/>
  <c r="WT34" i="2"/>
  <c r="XN34" i="2" s="1"/>
  <c r="WT35" i="2"/>
  <c r="XN35" i="2" s="1"/>
  <c r="WT36" i="2"/>
  <c r="XN36" i="2" s="1"/>
  <c r="WQ15" i="2"/>
  <c r="XU15" i="2" s="1"/>
  <c r="WQ16" i="2"/>
  <c r="XU16" i="2" s="1"/>
  <c r="WQ17" i="2"/>
  <c r="XU17" i="2" s="1"/>
  <c r="WQ18" i="2"/>
  <c r="XU18" i="2" s="1"/>
  <c r="WQ20" i="2"/>
  <c r="XU20" i="2" s="1"/>
  <c r="WQ21" i="2"/>
  <c r="XU21" i="2" s="1"/>
  <c r="WQ22" i="2"/>
  <c r="XU22" i="2" s="1"/>
  <c r="WQ23" i="2"/>
  <c r="XU23" i="2" s="1"/>
  <c r="WQ24" i="2"/>
  <c r="XU24" i="2" s="1"/>
  <c r="WQ25" i="2"/>
  <c r="XU25" i="2" s="1"/>
  <c r="WQ26" i="2"/>
  <c r="XU26" i="2" s="1"/>
  <c r="WQ27" i="2"/>
  <c r="XU27" i="2" s="1"/>
  <c r="WQ28" i="2"/>
  <c r="XU28" i="2" s="1"/>
  <c r="WQ29" i="2"/>
  <c r="XU29" i="2" s="1"/>
  <c r="WQ30" i="2"/>
  <c r="XU30" i="2" s="1"/>
  <c r="WQ33" i="2"/>
  <c r="XU33" i="2" s="1"/>
  <c r="WQ34" i="2"/>
  <c r="XU34" i="2" s="1"/>
  <c r="WQ35" i="2"/>
  <c r="XU35" i="2" s="1"/>
  <c r="WQ36" i="2"/>
  <c r="XU36" i="2" s="1"/>
  <c r="WP15" i="2"/>
  <c r="XL15" i="2" s="1"/>
  <c r="WP16" i="2"/>
  <c r="XL16" i="2" s="1"/>
  <c r="WP17" i="2"/>
  <c r="XL17" i="2" s="1"/>
  <c r="WP18" i="2"/>
  <c r="XL18" i="2" s="1"/>
  <c r="WP19" i="2"/>
  <c r="XL19" i="2" s="1"/>
  <c r="WP20" i="2"/>
  <c r="XL20" i="2" s="1"/>
  <c r="WP21" i="2"/>
  <c r="XL21" i="2" s="1"/>
  <c r="WP22" i="2"/>
  <c r="XL22" i="2" s="1"/>
  <c r="WP23" i="2"/>
  <c r="XL23" i="2" s="1"/>
  <c r="WP24" i="2"/>
  <c r="XL24" i="2" s="1"/>
  <c r="WP25" i="2"/>
  <c r="XL25" i="2" s="1"/>
  <c r="WP26" i="2"/>
  <c r="XL26" i="2" s="1"/>
  <c r="WP27" i="2"/>
  <c r="XL27" i="2" s="1"/>
  <c r="WP28" i="2"/>
  <c r="XL28" i="2" s="1"/>
  <c r="WP29" i="2"/>
  <c r="XL29" i="2" s="1"/>
  <c r="WP30" i="2"/>
  <c r="XL30" i="2" s="1"/>
  <c r="WP31" i="2"/>
  <c r="XL31" i="2" s="1"/>
  <c r="WP32" i="2"/>
  <c r="XL32" i="2" s="1"/>
  <c r="WP33" i="2"/>
  <c r="XL33" i="2" s="1"/>
  <c r="WP34" i="2"/>
  <c r="XL34" i="2" s="1"/>
  <c r="WP35" i="2"/>
  <c r="XL35" i="2" s="1"/>
  <c r="WP36" i="2"/>
  <c r="XL36" i="2" s="1"/>
  <c r="WP14" i="2"/>
  <c r="XL14" i="2" s="1"/>
  <c r="WO15" i="2"/>
  <c r="XT15" i="2" s="1"/>
  <c r="WO16" i="2"/>
  <c r="XT16" i="2" s="1"/>
  <c r="WO17" i="2"/>
  <c r="XT17" i="2" s="1"/>
  <c r="WO18" i="2"/>
  <c r="XT18" i="2" s="1"/>
  <c r="WO19" i="2"/>
  <c r="XT19" i="2" s="1"/>
  <c r="WO20" i="2"/>
  <c r="XT20" i="2" s="1"/>
  <c r="WO21" i="2"/>
  <c r="XT21" i="2" s="1"/>
  <c r="WO22" i="2"/>
  <c r="XT22" i="2" s="1"/>
  <c r="WO23" i="2"/>
  <c r="XT23" i="2" s="1"/>
  <c r="WO24" i="2"/>
  <c r="XT24" i="2" s="1"/>
  <c r="WO25" i="2"/>
  <c r="XT25" i="2" s="1"/>
  <c r="WO26" i="2"/>
  <c r="WO27" i="2"/>
  <c r="XT27" i="2" s="1"/>
  <c r="WO28" i="2"/>
  <c r="WO29" i="2"/>
  <c r="XT29" i="2" s="1"/>
  <c r="WO30" i="2"/>
  <c r="XT30" i="2" s="1"/>
  <c r="WO31" i="2"/>
  <c r="XT31" i="2" s="1"/>
  <c r="WO32" i="2"/>
  <c r="XT32" i="2" s="1"/>
  <c r="WO33" i="2"/>
  <c r="XT33" i="2" s="1"/>
  <c r="WO34" i="2"/>
  <c r="XT34" i="2" s="1"/>
  <c r="WO35" i="2"/>
  <c r="XT35" i="2" s="1"/>
  <c r="WO36" i="2"/>
  <c r="XT36" i="2" s="1"/>
  <c r="WO14" i="2"/>
  <c r="XT14" i="2" s="1"/>
  <c r="WN36" i="2"/>
  <c r="XK36" i="2" s="1"/>
  <c r="WN34" i="2"/>
  <c r="XK34" i="2" s="1"/>
  <c r="WN33" i="2"/>
  <c r="XK33" i="2" s="1"/>
  <c r="WN32" i="2"/>
  <c r="XK32" i="2" s="1"/>
  <c r="WN31" i="2"/>
  <c r="XK31" i="2" s="1"/>
  <c r="WN30" i="2"/>
  <c r="XK30" i="2" s="1"/>
  <c r="WN29" i="2"/>
  <c r="XK29" i="2" s="1"/>
  <c r="WN28" i="2"/>
  <c r="XK28" i="2" s="1"/>
  <c r="WN27" i="2"/>
  <c r="XK27" i="2" s="1"/>
  <c r="WN26" i="2"/>
  <c r="XK26" i="2" s="1"/>
  <c r="WN25" i="2"/>
  <c r="XK25" i="2" s="1"/>
  <c r="WN24" i="2"/>
  <c r="XK24" i="2" s="1"/>
  <c r="WN23" i="2"/>
  <c r="XK23" i="2" s="1"/>
  <c r="WN22" i="2"/>
  <c r="XK22" i="2" s="1"/>
  <c r="WN21" i="2"/>
  <c r="XK21" i="2" s="1"/>
  <c r="WN20" i="2"/>
  <c r="XK20" i="2" s="1"/>
  <c r="WN19" i="2"/>
  <c r="XK19" i="2" s="1"/>
  <c r="WN18" i="2"/>
  <c r="XK18" i="2" s="1"/>
  <c r="WN17" i="2"/>
  <c r="XK17" i="2" s="1"/>
  <c r="WN16" i="2"/>
  <c r="XK16" i="2" s="1"/>
  <c r="WN15" i="2"/>
  <c r="XK15" i="2" s="1"/>
  <c r="WN14" i="2"/>
  <c r="XK14" i="2" s="1"/>
  <c r="M52" i="7"/>
  <c r="V110" i="52" l="1"/>
  <c r="V105" i="52"/>
  <c r="V111" i="52"/>
  <c r="V107" i="52"/>
  <c r="V108" i="52"/>
  <c r="V104" i="52"/>
  <c r="V106" i="52"/>
  <c r="V109" i="52"/>
  <c r="CC20" i="50"/>
  <c r="BL7" i="50"/>
  <c r="XW484" i="2"/>
  <c r="XB487" i="2"/>
  <c r="XO487" i="2" s="1"/>
  <c r="C9" i="7"/>
  <c r="XB489" i="2"/>
  <c r="XO489" i="2" s="1"/>
  <c r="C11" i="7"/>
  <c r="XB493" i="2"/>
  <c r="XO493" i="2" s="1"/>
  <c r="C15" i="7"/>
  <c r="XB494" i="2"/>
  <c r="XO494" i="2" s="1"/>
  <c r="C16" i="7"/>
  <c r="XB511" i="2"/>
  <c r="XO511" i="2" s="1"/>
  <c r="C33" i="7"/>
  <c r="XB508" i="2"/>
  <c r="XO508" i="2" s="1"/>
  <c r="C30" i="7"/>
  <c r="XB491" i="2"/>
  <c r="XO491" i="2" s="1"/>
  <c r="C13" i="7"/>
  <c r="XB502" i="2"/>
  <c r="XO502" i="2" s="1"/>
  <c r="C24" i="7"/>
  <c r="XB505" i="2"/>
  <c r="XO505" i="2" s="1"/>
  <c r="C27" i="7"/>
  <c r="XB507" i="2"/>
  <c r="XO507" i="2" s="1"/>
  <c r="C29" i="7"/>
  <c r="XY497" i="2"/>
  <c r="G66" i="7"/>
  <c r="XB488" i="2"/>
  <c r="XO488" i="2" s="1"/>
  <c r="C10" i="7"/>
  <c r="XB499" i="2"/>
  <c r="C21" i="7"/>
  <c r="XB500" i="2"/>
  <c r="XO500" i="2" s="1"/>
  <c r="C22" i="7"/>
  <c r="XB486" i="2"/>
  <c r="XO486" i="2" s="1"/>
  <c r="C8" i="7"/>
  <c r="XB509" i="2"/>
  <c r="XO509" i="2" s="1"/>
  <c r="C31" i="7"/>
  <c r="XY499" i="2"/>
  <c r="G68" i="7"/>
  <c r="XB492" i="2"/>
  <c r="C14" i="7"/>
  <c r="XB501" i="2"/>
  <c r="XO501" i="2" s="1"/>
  <c r="C23" i="7"/>
  <c r="XB497" i="2"/>
  <c r="C19" i="7"/>
  <c r="XB503" i="2"/>
  <c r="XO503" i="2" s="1"/>
  <c r="C25" i="7"/>
  <c r="XB498" i="2"/>
  <c r="XO498" i="2" s="1"/>
  <c r="C20" i="7"/>
  <c r="XB496" i="2"/>
  <c r="XO496" i="2" s="1"/>
  <c r="C18" i="7"/>
  <c r="XB510" i="2"/>
  <c r="XO510" i="2" s="1"/>
  <c r="C32" i="7"/>
  <c r="XB504" i="2"/>
  <c r="XO504" i="2" s="1"/>
  <c r="C26" i="7"/>
  <c r="XB506" i="2"/>
  <c r="XO506" i="2" s="1"/>
  <c r="C28" i="7"/>
  <c r="XB495" i="2"/>
  <c r="XO495" i="2" s="1"/>
  <c r="C17" i="7"/>
  <c r="XB490" i="2"/>
  <c r="XO490" i="2" s="1"/>
  <c r="C12" i="7"/>
  <c r="XM484" i="2"/>
  <c r="XR39" i="2"/>
  <c r="B232" i="2"/>
  <c r="CI41" i="39"/>
  <c r="E90" i="26" s="1"/>
  <c r="CK40" i="39"/>
  <c r="F89" i="26" s="1"/>
  <c r="CK44" i="39"/>
  <c r="F93" i="26" s="1"/>
  <c r="CK42" i="39"/>
  <c r="F91" i="26" s="1"/>
  <c r="CK43" i="39"/>
  <c r="F92" i="26" s="1"/>
  <c r="CI44" i="39"/>
  <c r="E93" i="26" s="1"/>
  <c r="CK41" i="39"/>
  <c r="F90" i="26" s="1"/>
  <c r="CI40" i="39"/>
  <c r="E89" i="26" s="1"/>
  <c r="CI42" i="39"/>
  <c r="E91" i="26" s="1"/>
  <c r="XR40" i="2"/>
  <c r="CK39" i="39"/>
  <c r="F88" i="26" s="1"/>
  <c r="GL10" i="2"/>
  <c r="AA28" i="35" s="1"/>
  <c r="AS18" i="39"/>
  <c r="CK18" i="39" s="1"/>
  <c r="F67" i="26" s="1"/>
  <c r="EP10" i="2"/>
  <c r="U28" i="35" s="1"/>
  <c r="AS15" i="39"/>
  <c r="CK15" i="39" s="1"/>
  <c r="F64" i="26" s="1"/>
  <c r="WK7" i="2"/>
  <c r="BZ25" i="35" s="1"/>
  <c r="E44" i="39"/>
  <c r="CD44" i="39" s="1"/>
  <c r="C45" i="26" s="1"/>
  <c r="LZ10" i="2"/>
  <c r="AS28" i="35" s="1"/>
  <c r="AS27" i="39"/>
  <c r="CK27" i="39" s="1"/>
  <c r="F76" i="26" s="1"/>
  <c r="IX9" i="2"/>
  <c r="AI27" i="35" s="1"/>
  <c r="AQ22" i="39"/>
  <c r="CI22" i="39" s="1"/>
  <c r="E71" i="26" s="1"/>
  <c r="OL10" i="2"/>
  <c r="BA28" i="35" s="1"/>
  <c r="AS31" i="39"/>
  <c r="CK31" i="39" s="1"/>
  <c r="F80" i="26" s="1"/>
  <c r="CI8" i="39"/>
  <c r="E57" i="26" s="1"/>
  <c r="CK8" i="39"/>
  <c r="F57" i="26" s="1"/>
  <c r="NF10" i="2"/>
  <c r="AW28" i="35" s="1"/>
  <c r="AS29" i="39"/>
  <c r="CK29" i="39" s="1"/>
  <c r="F78" i="26" s="1"/>
  <c r="IH9" i="2"/>
  <c r="AG27" i="35" s="1"/>
  <c r="AQ21" i="39"/>
  <c r="CI21" i="39" s="1"/>
  <c r="E70" i="26" s="1"/>
  <c r="XT26" i="2"/>
  <c r="CT9" i="2"/>
  <c r="O27" i="35" s="1"/>
  <c r="AQ12" i="39"/>
  <c r="CI12" i="39" s="1"/>
  <c r="E61" i="26" s="1"/>
  <c r="KD10" i="2"/>
  <c r="AM28" i="35" s="1"/>
  <c r="AS24" i="39"/>
  <c r="CK24" i="39" s="1"/>
  <c r="F73" i="26" s="1"/>
  <c r="KT10" i="2"/>
  <c r="AO28" i="35" s="1"/>
  <c r="AS25" i="39"/>
  <c r="CK25" i="39" s="1"/>
  <c r="F74" i="26" s="1"/>
  <c r="KD9" i="2"/>
  <c r="AM27" i="35" s="1"/>
  <c r="AQ24" i="39"/>
  <c r="CI24" i="39" s="1"/>
  <c r="E73" i="26" s="1"/>
  <c r="TI9" i="2"/>
  <c r="BP27" i="35" s="1"/>
  <c r="I39" i="39"/>
  <c r="CH39" i="39" s="1"/>
  <c r="E40" i="26" s="1"/>
  <c r="ST7" i="2"/>
  <c r="BO25" i="35" s="1"/>
  <c r="F38" i="39"/>
  <c r="CE38" i="39" s="1"/>
  <c r="C87" i="26" s="1"/>
  <c r="VE10" i="2"/>
  <c r="BV28" i="35" s="1"/>
  <c r="K42" i="39"/>
  <c r="CJ42" i="39" s="1"/>
  <c r="F43" i="26" s="1"/>
  <c r="SC10" i="2"/>
  <c r="BL28" i="35" s="1"/>
  <c r="K37" i="39"/>
  <c r="CJ37" i="39" s="1"/>
  <c r="F38" i="26" s="1"/>
  <c r="WL7" i="2"/>
  <c r="CA25" i="35" s="1"/>
  <c r="F44" i="39"/>
  <c r="CE44" i="39" s="1"/>
  <c r="C93" i="26" s="1"/>
  <c r="VV8" i="2"/>
  <c r="BY26" i="35" s="1"/>
  <c r="H43" i="39"/>
  <c r="CG43" i="39" s="1"/>
  <c r="D92" i="26" s="1"/>
  <c r="AX10" i="2"/>
  <c r="I28" i="35" s="1"/>
  <c r="AS9" i="39"/>
  <c r="CK9" i="39" s="1"/>
  <c r="F58" i="26" s="1"/>
  <c r="VV7" i="2"/>
  <c r="BY25" i="35" s="1"/>
  <c r="F43" i="39"/>
  <c r="CE43" i="39" s="1"/>
  <c r="C92" i="26" s="1"/>
  <c r="QX10" i="2"/>
  <c r="BI28" i="35" s="1"/>
  <c r="AS35" i="39"/>
  <c r="CK35" i="39" s="1"/>
  <c r="F84" i="26" s="1"/>
  <c r="SS9" i="2"/>
  <c r="BN27" i="35" s="1"/>
  <c r="I38" i="39"/>
  <c r="CH38" i="39" s="1"/>
  <c r="E39" i="26" s="1"/>
  <c r="FV10" i="2"/>
  <c r="Y28" i="35" s="1"/>
  <c r="AS17" i="39"/>
  <c r="CK17" i="39" s="1"/>
  <c r="F66" i="26" s="1"/>
  <c r="DJ9" i="2"/>
  <c r="Q27" i="35" s="1"/>
  <c r="AQ13" i="39"/>
  <c r="CI13" i="39" s="1"/>
  <c r="E62" i="26" s="1"/>
  <c r="BN9" i="2"/>
  <c r="K27" i="35" s="1"/>
  <c r="AQ10" i="39"/>
  <c r="CI10" i="39" s="1"/>
  <c r="E59" i="26" s="1"/>
  <c r="QH10" i="2"/>
  <c r="BG28" i="35" s="1"/>
  <c r="AS34" i="39"/>
  <c r="CK34" i="39" s="1"/>
  <c r="F83" i="26" s="1"/>
  <c r="GL9" i="2"/>
  <c r="AA27" i="35" s="1"/>
  <c r="AQ18" i="39"/>
  <c r="CI18" i="39" s="1"/>
  <c r="E67" i="26" s="1"/>
  <c r="SC8" i="2"/>
  <c r="BL26" i="35" s="1"/>
  <c r="G37" i="39"/>
  <c r="CF37" i="39" s="1"/>
  <c r="D38" i="26" s="1"/>
  <c r="TZ8" i="2"/>
  <c r="BS26" i="35" s="1"/>
  <c r="H40" i="39"/>
  <c r="CG40" i="39" s="1"/>
  <c r="D89" i="26" s="1"/>
  <c r="TI10" i="2"/>
  <c r="BP28" i="35" s="1"/>
  <c r="K39" i="39"/>
  <c r="CJ39" i="39" s="1"/>
  <c r="F40" i="26" s="1"/>
  <c r="VF7" i="2"/>
  <c r="BW25" i="35" s="1"/>
  <c r="F42" i="39"/>
  <c r="CE42" i="39" s="1"/>
  <c r="C91" i="26" s="1"/>
  <c r="CT10" i="2"/>
  <c r="O28" i="35" s="1"/>
  <c r="AS12" i="39"/>
  <c r="CK12" i="39" s="1"/>
  <c r="F61" i="26" s="1"/>
  <c r="DZ10" i="2"/>
  <c r="S28" i="35" s="1"/>
  <c r="AS14" i="39"/>
  <c r="CK14" i="39" s="1"/>
  <c r="F63" i="26" s="1"/>
  <c r="LJ10" i="2"/>
  <c r="AQ28" i="35" s="1"/>
  <c r="AS26" i="39"/>
  <c r="CK26" i="39" s="1"/>
  <c r="F75" i="26" s="1"/>
  <c r="XT28" i="2"/>
  <c r="NV10" i="2"/>
  <c r="AY28" i="35" s="1"/>
  <c r="AS30" i="39"/>
  <c r="CK30" i="39" s="1"/>
  <c r="F79" i="26" s="1"/>
  <c r="HB10" i="2"/>
  <c r="AC28" i="35" s="1"/>
  <c r="AS19" i="39"/>
  <c r="CK19" i="39" s="1"/>
  <c r="F68" i="26" s="1"/>
  <c r="VU7" i="2"/>
  <c r="BX25" i="35" s="1"/>
  <c r="E43" i="39"/>
  <c r="CD43" i="39" s="1"/>
  <c r="C44" i="26" s="1"/>
  <c r="VE8" i="2"/>
  <c r="BV26" i="35" s="1"/>
  <c r="G42" i="39"/>
  <c r="CF42" i="39" s="1"/>
  <c r="D43" i="26" s="1"/>
  <c r="WK8" i="2"/>
  <c r="BZ26" i="35" s="1"/>
  <c r="G44" i="39"/>
  <c r="CF44" i="39" s="1"/>
  <c r="D45" i="26" s="1"/>
  <c r="VF8" i="2"/>
  <c r="BW26" i="35" s="1"/>
  <c r="H42" i="39"/>
  <c r="CG42" i="39" s="1"/>
  <c r="D91" i="26" s="1"/>
  <c r="WK10" i="2"/>
  <c r="BZ28" i="35" s="1"/>
  <c r="K44" i="39"/>
  <c r="CJ44" i="39" s="1"/>
  <c r="F45" i="26" s="1"/>
  <c r="SS7" i="2"/>
  <c r="BN25" i="35" s="1"/>
  <c r="E38" i="39"/>
  <c r="CD38" i="39" s="1"/>
  <c r="C39" i="26" s="1"/>
  <c r="UO8" i="2"/>
  <c r="BT26" i="35" s="1"/>
  <c r="G41" i="39"/>
  <c r="CF41" i="39" s="1"/>
  <c r="D42" i="26" s="1"/>
  <c r="CD10" i="2"/>
  <c r="M28" i="35" s="1"/>
  <c r="AS11" i="39"/>
  <c r="CK11" i="39" s="1"/>
  <c r="F60" i="26" s="1"/>
  <c r="WK9" i="2"/>
  <c r="BZ27" i="35" s="1"/>
  <c r="I44" i="39"/>
  <c r="CH44" i="39" s="1"/>
  <c r="E45" i="26" s="1"/>
  <c r="FF9" i="2"/>
  <c r="W27" i="35" s="1"/>
  <c r="AQ16" i="39"/>
  <c r="CI16" i="39" s="1"/>
  <c r="E65" i="26" s="1"/>
  <c r="VE7" i="2"/>
  <c r="BV25" i="35" s="1"/>
  <c r="E42" i="39"/>
  <c r="CD42" i="39" s="1"/>
  <c r="C43" i="26" s="1"/>
  <c r="UP7" i="2"/>
  <c r="BU25" i="35" s="1"/>
  <c r="F41" i="39"/>
  <c r="CE41" i="39" s="1"/>
  <c r="TY8" i="2"/>
  <c r="BR26" i="35" s="1"/>
  <c r="G40" i="39"/>
  <c r="CF40" i="39" s="1"/>
  <c r="D41" i="26" s="1"/>
  <c r="VU8" i="2"/>
  <c r="BX26" i="35" s="1"/>
  <c r="G43" i="39"/>
  <c r="CF43" i="39" s="1"/>
  <c r="D44" i="26" s="1"/>
  <c r="ST8" i="2"/>
  <c r="BO26" i="35" s="1"/>
  <c r="H38" i="39"/>
  <c r="CG38" i="39" s="1"/>
  <c r="D87" i="26" s="1"/>
  <c r="UO10" i="2"/>
  <c r="BT28" i="35" s="1"/>
  <c r="K41" i="39"/>
  <c r="CJ41" i="39" s="1"/>
  <c r="F42" i="26" s="1"/>
  <c r="LZ9" i="2"/>
  <c r="AS27" i="35" s="1"/>
  <c r="AQ27" i="39"/>
  <c r="CI27" i="39" s="1"/>
  <c r="E76" i="26" s="1"/>
  <c r="TY9" i="2"/>
  <c r="BR27" i="35" s="1"/>
  <c r="I40" i="39"/>
  <c r="CH40" i="39" s="1"/>
  <c r="E41" i="26" s="1"/>
  <c r="KT9" i="2"/>
  <c r="AO27" i="35" s="1"/>
  <c r="AQ25" i="39"/>
  <c r="CI25" i="39" s="1"/>
  <c r="E74" i="26" s="1"/>
  <c r="VE9" i="2"/>
  <c r="BV27" i="35" s="1"/>
  <c r="I42" i="39"/>
  <c r="CH42" i="39" s="1"/>
  <c r="E43" i="26" s="1"/>
  <c r="BN10" i="2"/>
  <c r="K28" i="35" s="1"/>
  <c r="AS10" i="39"/>
  <c r="CK10" i="39" s="1"/>
  <c r="F59" i="26" s="1"/>
  <c r="NV9" i="2"/>
  <c r="AY27" i="35" s="1"/>
  <c r="AQ30" i="39"/>
  <c r="CI30" i="39" s="1"/>
  <c r="E79" i="26" s="1"/>
  <c r="PB10" i="2"/>
  <c r="BC28" i="35" s="1"/>
  <c r="AS32" i="39"/>
  <c r="CK32" i="39" s="1"/>
  <c r="F81" i="26" s="1"/>
  <c r="LJ9" i="2"/>
  <c r="AQ27" i="35" s="1"/>
  <c r="AQ26" i="39"/>
  <c r="CI26" i="39" s="1"/>
  <c r="E75" i="26" s="1"/>
  <c r="SD8" i="2"/>
  <c r="BM26" i="35" s="1"/>
  <c r="H37" i="39"/>
  <c r="CG37" i="39" s="1"/>
  <c r="D86" i="26" s="1"/>
  <c r="HR10" i="2"/>
  <c r="AE28" i="35" s="1"/>
  <c r="AS20" i="39"/>
  <c r="CK20" i="39" s="1"/>
  <c r="F69" i="26" s="1"/>
  <c r="FF10" i="2"/>
  <c r="W28" i="35" s="1"/>
  <c r="AS16" i="39"/>
  <c r="CK16" i="39" s="1"/>
  <c r="F65" i="26" s="1"/>
  <c r="UO7" i="2"/>
  <c r="BT25" i="35" s="1"/>
  <c r="E41" i="39"/>
  <c r="CD41" i="39" s="1"/>
  <c r="C42" i="26" s="1"/>
  <c r="DJ10" i="2"/>
  <c r="Q28" i="35" s="1"/>
  <c r="AS13" i="39"/>
  <c r="CK13" i="39" s="1"/>
  <c r="F62" i="26" s="1"/>
  <c r="SC9" i="2"/>
  <c r="BL27" i="35" s="1"/>
  <c r="I37" i="39"/>
  <c r="CH37" i="39" s="1"/>
  <c r="E38" i="26" s="1"/>
  <c r="EP9" i="2"/>
  <c r="U27" i="35" s="1"/>
  <c r="AQ15" i="39"/>
  <c r="CI15" i="39" s="1"/>
  <c r="E64" i="26" s="1"/>
  <c r="TI7" i="2"/>
  <c r="BP25" i="35" s="1"/>
  <c r="E39" i="39"/>
  <c r="CD39" i="39" s="1"/>
  <c r="OL9" i="2"/>
  <c r="BA27" i="35" s="1"/>
  <c r="AQ31" i="39"/>
  <c r="CI31" i="39" s="1"/>
  <c r="E80" i="26" s="1"/>
  <c r="TY10" i="2"/>
  <c r="BR28" i="35" s="1"/>
  <c r="K40" i="39"/>
  <c r="CJ40" i="39" s="1"/>
  <c r="F41" i="26" s="1"/>
  <c r="VU10" i="2"/>
  <c r="BX28" i="35" s="1"/>
  <c r="K43" i="39"/>
  <c r="CJ43" i="39" s="1"/>
  <c r="F44" i="26" s="1"/>
  <c r="VU9" i="2"/>
  <c r="BX27" i="35" s="1"/>
  <c r="I43" i="39"/>
  <c r="CH43" i="39" s="1"/>
  <c r="E44" i="26" s="1"/>
  <c r="JN10" i="2"/>
  <c r="AK28" i="35" s="1"/>
  <c r="AS23" i="39"/>
  <c r="CK23" i="39" s="1"/>
  <c r="F72" i="26" s="1"/>
  <c r="WL8" i="2"/>
  <c r="CA26" i="35" s="1"/>
  <c r="H44" i="39"/>
  <c r="CG44" i="39" s="1"/>
  <c r="D93" i="26" s="1"/>
  <c r="SS10" i="2"/>
  <c r="BN28" i="35" s="1"/>
  <c r="K38" i="39"/>
  <c r="CJ38" i="39" s="1"/>
  <c r="F39" i="26" s="1"/>
  <c r="PR10" i="2"/>
  <c r="BE28" i="35" s="1"/>
  <c r="AS33" i="39"/>
  <c r="CK33" i="39" s="1"/>
  <c r="F82" i="26" s="1"/>
  <c r="MP9" i="2"/>
  <c r="AU27" i="35" s="1"/>
  <c r="AQ28" i="39"/>
  <c r="CI28" i="39" s="1"/>
  <c r="E77" i="26" s="1"/>
  <c r="TJ8" i="2"/>
  <c r="BQ26" i="35" s="1"/>
  <c r="H39" i="39"/>
  <c r="CG39" i="39" s="1"/>
  <c r="D88" i="26" s="1"/>
  <c r="XB431" i="2"/>
  <c r="XE107" i="2"/>
  <c r="YA40" i="2"/>
  <c r="XE110" i="2"/>
  <c r="XE112" i="2"/>
  <c r="Z8" i="39"/>
  <c r="YA37" i="2"/>
  <c r="XE75" i="2"/>
  <c r="Y7" i="39"/>
  <c r="R10" i="59"/>
  <c r="YA39" i="2"/>
  <c r="YA38" i="2"/>
  <c r="YA30" i="2"/>
  <c r="C18" i="26"/>
  <c r="CB17" i="39"/>
  <c r="XR20" i="2"/>
  <c r="C34" i="26"/>
  <c r="CB33" i="39"/>
  <c r="YA16" i="2"/>
  <c r="C20" i="26"/>
  <c r="CB19" i="39"/>
  <c r="C80" i="26"/>
  <c r="C22" i="26"/>
  <c r="CB21" i="39"/>
  <c r="C27" i="26"/>
  <c r="CB26" i="39"/>
  <c r="XR19" i="2"/>
  <c r="YA18" i="2"/>
  <c r="XR36" i="2"/>
  <c r="C19" i="26"/>
  <c r="CB18" i="39"/>
  <c r="C41" i="26"/>
  <c r="YA29" i="2"/>
  <c r="YA27" i="2"/>
  <c r="YA15" i="2"/>
  <c r="C37" i="26"/>
  <c r="CB36" i="39"/>
  <c r="CC36" i="39" s="1"/>
  <c r="C10" i="26"/>
  <c r="CB9" i="39"/>
  <c r="XY13" i="2"/>
  <c r="XY471" i="2" s="1"/>
  <c r="XY475" i="2" s="1"/>
  <c r="XR24" i="2"/>
  <c r="C16" i="26"/>
  <c r="CB15" i="39"/>
  <c r="XR32" i="2"/>
  <c r="C79" i="26"/>
  <c r="C23" i="26"/>
  <c r="CB22" i="39"/>
  <c r="C35" i="26"/>
  <c r="CB34" i="39"/>
  <c r="C15" i="26"/>
  <c r="CB14" i="39"/>
  <c r="YA35" i="2"/>
  <c r="XR15" i="2"/>
  <c r="YA34" i="2"/>
  <c r="YA22" i="2"/>
  <c r="XR16" i="2"/>
  <c r="C24" i="26"/>
  <c r="CB23" i="39"/>
  <c r="C33" i="26"/>
  <c r="CB32" i="39"/>
  <c r="C21" i="26"/>
  <c r="CB20" i="39"/>
  <c r="C13" i="26"/>
  <c r="C28" i="26"/>
  <c r="CB27" i="39"/>
  <c r="C17" i="26"/>
  <c r="CB16" i="39"/>
  <c r="C25" i="26"/>
  <c r="CB24" i="39"/>
  <c r="C14" i="26"/>
  <c r="CB13" i="39"/>
  <c r="C12" i="26"/>
  <c r="CB11" i="39"/>
  <c r="YA24" i="2"/>
  <c r="YA33" i="2"/>
  <c r="C11" i="26"/>
  <c r="CB10" i="39"/>
  <c r="C32" i="26"/>
  <c r="CB31" i="39"/>
  <c r="C30" i="26"/>
  <c r="CB29" i="39"/>
  <c r="C9" i="26"/>
  <c r="CB8" i="39"/>
  <c r="C59" i="26"/>
  <c r="XR17" i="2"/>
  <c r="XR29" i="2"/>
  <c r="YA20" i="2"/>
  <c r="C26" i="26"/>
  <c r="CB25" i="39"/>
  <c r="C31" i="26"/>
  <c r="CB30" i="39"/>
  <c r="C36" i="26"/>
  <c r="CB35" i="39"/>
  <c r="C38" i="26"/>
  <c r="C66" i="26"/>
  <c r="YA25" i="2"/>
  <c r="YA36" i="2"/>
  <c r="C29" i="26"/>
  <c r="CB28" i="39"/>
  <c r="YA23" i="2"/>
  <c r="XR18" i="2"/>
  <c r="XR30" i="2"/>
  <c r="XR25" i="2"/>
  <c r="XR14" i="2"/>
  <c r="XR26" i="2"/>
  <c r="XE141" i="2"/>
  <c r="XV13" i="2"/>
  <c r="XV471" i="2" s="1"/>
  <c r="XV475" i="2" s="1"/>
  <c r="XZ14" i="2"/>
  <c r="XR33" i="2"/>
  <c r="XR27" i="2"/>
  <c r="XR22" i="2"/>
  <c r="XR34" i="2"/>
  <c r="XH41" i="2"/>
  <c r="XR21" i="2"/>
  <c r="XR31" i="2"/>
  <c r="XR23" i="2"/>
  <c r="XE63" i="2"/>
  <c r="XE138" i="2"/>
  <c r="XC504" i="2"/>
  <c r="XT504" i="2" s="1"/>
  <c r="XU504" i="2"/>
  <c r="XE69" i="2"/>
  <c r="XC491" i="2"/>
  <c r="XT491" i="2" s="1"/>
  <c r="XU491" i="2"/>
  <c r="XC494" i="2"/>
  <c r="XT494" i="2" s="1"/>
  <c r="XU494" i="2"/>
  <c r="XE114" i="2"/>
  <c r="XC502" i="2"/>
  <c r="XT502" i="2" s="1"/>
  <c r="XU502" i="2"/>
  <c r="XC489" i="2"/>
  <c r="XT489" i="2" s="1"/>
  <c r="XU489" i="2"/>
  <c r="XC503" i="2"/>
  <c r="XT503" i="2" s="1"/>
  <c r="XU503" i="2"/>
  <c r="XC509" i="2"/>
  <c r="XT509" i="2" s="1"/>
  <c r="XU509" i="2"/>
  <c r="XC488" i="2"/>
  <c r="XT488" i="2" s="1"/>
  <c r="XU488" i="2"/>
  <c r="XC510" i="2"/>
  <c r="XT510" i="2" s="1"/>
  <c r="XU510" i="2"/>
  <c r="XC507" i="2"/>
  <c r="XT507" i="2" s="1"/>
  <c r="XU507" i="2"/>
  <c r="XC506" i="2"/>
  <c r="XT506" i="2" s="1"/>
  <c r="XU506" i="2"/>
  <c r="XC501" i="2"/>
  <c r="XT501" i="2" s="1"/>
  <c r="XU501" i="2"/>
  <c r="XC505" i="2"/>
  <c r="XT505" i="2" s="1"/>
  <c r="XU505" i="2"/>
  <c r="XC493" i="2"/>
  <c r="XT493" i="2" s="1"/>
  <c r="XU493" i="2"/>
  <c r="XC511" i="2"/>
  <c r="XT511" i="2" s="1"/>
  <c r="XU511" i="2"/>
  <c r="XC508" i="2"/>
  <c r="XT508" i="2" s="1"/>
  <c r="XU508" i="2"/>
  <c r="XC495" i="2"/>
  <c r="XT495" i="2" s="1"/>
  <c r="XU495" i="2"/>
  <c r="XC485" i="2"/>
  <c r="XT485" i="2" s="1"/>
  <c r="XC487" i="2"/>
  <c r="XT487" i="2" s="1"/>
  <c r="XU487" i="2"/>
  <c r="XC496" i="2"/>
  <c r="XT496" i="2" s="1"/>
  <c r="XU496" i="2"/>
  <c r="XC500" i="2"/>
  <c r="XT500" i="2" s="1"/>
  <c r="XU500" i="2"/>
  <c r="XC486" i="2"/>
  <c r="XT486" i="2" s="1"/>
  <c r="XU486" i="2"/>
  <c r="XC498" i="2"/>
  <c r="XT498" i="2" s="1"/>
  <c r="XU498" i="2"/>
  <c r="XE154" i="2"/>
  <c r="XE72" i="2"/>
  <c r="XE104" i="2"/>
  <c r="XE59" i="2"/>
  <c r="XE93" i="2"/>
  <c r="XE95" i="2"/>
  <c r="XE100" i="2"/>
  <c r="XE78" i="2"/>
  <c r="XH40" i="2" s="1"/>
  <c r="XE145" i="2"/>
  <c r="XE153" i="2"/>
  <c r="XE116" i="2"/>
  <c r="XC490" i="2"/>
  <c r="XT490" i="2" s="1"/>
  <c r="XU490" i="2"/>
  <c r="XU492" i="2"/>
  <c r="XE128" i="2"/>
  <c r="XE143" i="2"/>
  <c r="XE67" i="2"/>
  <c r="XE130" i="2"/>
  <c r="XE96" i="2"/>
  <c r="XE65" i="2"/>
  <c r="XE54" i="2"/>
  <c r="XE77" i="2"/>
  <c r="XE136" i="2"/>
  <c r="XE76" i="2"/>
  <c r="XH38" i="2" s="1"/>
  <c r="XE140" i="2"/>
  <c r="XE57" i="2"/>
  <c r="XE135" i="2"/>
  <c r="XE99" i="2"/>
  <c r="XE66" i="2"/>
  <c r="XE137" i="2"/>
  <c r="XE101" i="2"/>
  <c r="XE98" i="2"/>
  <c r="XE144" i="2"/>
  <c r="XE151" i="2"/>
  <c r="XE55" i="2"/>
  <c r="AH6" i="39"/>
  <c r="XE64" i="2"/>
  <c r="AF6" i="39"/>
  <c r="XE61" i="2"/>
  <c r="XP509" i="2"/>
  <c r="XE102" i="2"/>
  <c r="XK484" i="2"/>
  <c r="XE103" i="2"/>
  <c r="XE148" i="2"/>
  <c r="XE146" i="2"/>
  <c r="XE60" i="2"/>
  <c r="XE58" i="2"/>
  <c r="XB279" i="2"/>
  <c r="XE139" i="2"/>
  <c r="XP486" i="2"/>
  <c r="XP508" i="2"/>
  <c r="XE133" i="2"/>
  <c r="XE113" i="2"/>
  <c r="XE97" i="2"/>
  <c r="W9" i="61"/>
  <c r="XR359" i="2"/>
  <c r="AH9" i="2"/>
  <c r="XP503" i="2"/>
  <c r="XR74" i="2"/>
  <c r="O32" i="61"/>
  <c r="XR230" i="2"/>
  <c r="XR71" i="2"/>
  <c r="O29" i="61"/>
  <c r="XR227" i="2"/>
  <c r="K11" i="61"/>
  <c r="XR133" i="2"/>
  <c r="I27" i="61"/>
  <c r="XR111" i="2"/>
  <c r="U13" i="61"/>
  <c r="XR325" i="2"/>
  <c r="K32" i="61"/>
  <c r="XR154" i="2"/>
  <c r="Q28" i="61"/>
  <c r="XR264" i="2"/>
  <c r="U16" i="61"/>
  <c r="XR328" i="2"/>
  <c r="XR128" i="2"/>
  <c r="Y8" i="61"/>
  <c r="XR396" i="2"/>
  <c r="AA25" i="61"/>
  <c r="XR451" i="2"/>
  <c r="U29" i="61"/>
  <c r="XR341" i="2"/>
  <c r="I11" i="61"/>
  <c r="XR95" i="2"/>
  <c r="K23" i="61"/>
  <c r="XR145" i="2"/>
  <c r="Q12" i="61"/>
  <c r="XR248" i="2"/>
  <c r="I18" i="61"/>
  <c r="S15" i="61"/>
  <c r="XR289" i="2"/>
  <c r="Q11" i="61"/>
  <c r="XR247" i="2"/>
  <c r="M28" i="61"/>
  <c r="XR188" i="2"/>
  <c r="U30" i="61"/>
  <c r="XR342" i="2"/>
  <c r="XB393" i="2"/>
  <c r="XR91" i="2"/>
  <c r="AH10" i="2"/>
  <c r="XP495" i="2"/>
  <c r="M19" i="61"/>
  <c r="XR179" i="2"/>
  <c r="XR90" i="2"/>
  <c r="W25" i="61"/>
  <c r="XR375" i="2"/>
  <c r="Y15" i="61"/>
  <c r="XR403" i="2"/>
  <c r="U17" i="61"/>
  <c r="XR329" i="2"/>
  <c r="AA13" i="61"/>
  <c r="XR439" i="2"/>
  <c r="S27" i="61"/>
  <c r="XR301" i="2"/>
  <c r="XP506" i="2"/>
  <c r="XP507" i="2"/>
  <c r="XR56" i="2"/>
  <c r="K24" i="61"/>
  <c r="XR146" i="2"/>
  <c r="Q25" i="61"/>
  <c r="XR261" i="2"/>
  <c r="Q23" i="61"/>
  <c r="XR259" i="2"/>
  <c r="I22" i="61"/>
  <c r="XR106" i="2"/>
  <c r="K27" i="61"/>
  <c r="XR149" i="2"/>
  <c r="XR62" i="2"/>
  <c r="S20" i="61"/>
  <c r="XR294" i="2"/>
  <c r="Q14" i="61"/>
  <c r="XR250" i="2"/>
  <c r="Y31" i="61"/>
  <c r="XR419" i="2"/>
  <c r="Y9" i="61"/>
  <c r="U23" i="61"/>
  <c r="XR335" i="2"/>
  <c r="XR144" i="2"/>
  <c r="XP504" i="2"/>
  <c r="I28" i="61"/>
  <c r="XR112" i="2"/>
  <c r="XR55" i="2"/>
  <c r="M29" i="61"/>
  <c r="XR189" i="2"/>
  <c r="XP473" i="2"/>
  <c r="K29" i="61"/>
  <c r="XR151" i="2"/>
  <c r="XE52" i="2"/>
  <c r="XP489" i="2"/>
  <c r="Y25" i="61"/>
  <c r="XR413" i="2"/>
  <c r="U27" i="61"/>
  <c r="XR339" i="2"/>
  <c r="O12" i="61"/>
  <c r="XR210" i="2"/>
  <c r="U22" i="61"/>
  <c r="XR334" i="2"/>
  <c r="AA11" i="61"/>
  <c r="XR437" i="2"/>
  <c r="AA30" i="61"/>
  <c r="XR456" i="2"/>
  <c r="O17" i="61"/>
  <c r="XR215" i="2"/>
  <c r="U21" i="61"/>
  <c r="XR333" i="2"/>
  <c r="Y16" i="61"/>
  <c r="XR404" i="2"/>
  <c r="XR59" i="2"/>
  <c r="Y18" i="61"/>
  <c r="XR406" i="2"/>
  <c r="XP501" i="2"/>
  <c r="Q27" i="61"/>
  <c r="XR263" i="2"/>
  <c r="AA32" i="61"/>
  <c r="XR458" i="2"/>
  <c r="O15" i="61"/>
  <c r="XR213" i="2"/>
  <c r="I20" i="61"/>
  <c r="I24" i="61"/>
  <c r="XR108" i="2"/>
  <c r="XP496" i="2"/>
  <c r="M30" i="61"/>
  <c r="XR190" i="2"/>
  <c r="XR280" i="2"/>
  <c r="M21" i="61"/>
  <c r="XR181" i="2"/>
  <c r="K26" i="61"/>
  <c r="XR148" i="2"/>
  <c r="K7" i="61"/>
  <c r="XR129" i="2"/>
  <c r="G25" i="35"/>
  <c r="XE111" i="2"/>
  <c r="XI41" i="2"/>
  <c r="XP510" i="2"/>
  <c r="W16" i="61"/>
  <c r="XR366" i="2"/>
  <c r="Q8" i="61"/>
  <c r="XR244" i="2"/>
  <c r="AA27" i="61"/>
  <c r="XR453" i="2"/>
  <c r="W17" i="61"/>
  <c r="XR367" i="2"/>
  <c r="M17" i="61"/>
  <c r="XR177" i="2"/>
  <c r="AA26" i="61"/>
  <c r="XR452" i="2"/>
  <c r="XP493" i="2"/>
  <c r="I13" i="61"/>
  <c r="XR97" i="2"/>
  <c r="Y13" i="61"/>
  <c r="XR401" i="2"/>
  <c r="W14" i="61"/>
  <c r="XR364" i="2"/>
  <c r="M11" i="61"/>
  <c r="XR171" i="2"/>
  <c r="W21" i="61"/>
  <c r="XR371" i="2"/>
  <c r="S26" i="61"/>
  <c r="XR300" i="2"/>
  <c r="W7" i="61"/>
  <c r="XR357" i="2"/>
  <c r="I25" i="61"/>
  <c r="XR109" i="2"/>
  <c r="XR432" i="2"/>
  <c r="K9" i="61"/>
  <c r="XR131" i="2"/>
  <c r="AA22" i="61"/>
  <c r="XR448" i="2"/>
  <c r="Q13" i="61"/>
  <c r="XR249" i="2"/>
  <c r="Y29" i="61"/>
  <c r="XR417" i="2"/>
  <c r="I23" i="61"/>
  <c r="XR107" i="2"/>
  <c r="XP490" i="2"/>
  <c r="O30" i="61"/>
  <c r="XR228" i="2"/>
  <c r="AA12" i="61"/>
  <c r="XR438" i="2"/>
  <c r="S32" i="61"/>
  <c r="XR306" i="2"/>
  <c r="S23" i="61"/>
  <c r="XR297" i="2"/>
  <c r="XL13" i="2"/>
  <c r="O18" i="61"/>
  <c r="XR216" i="2"/>
  <c r="W19" i="61"/>
  <c r="XR369" i="2"/>
  <c r="I16" i="61"/>
  <c r="XR100" i="2"/>
  <c r="M22" i="61"/>
  <c r="XR182" i="2"/>
  <c r="W32" i="61"/>
  <c r="XR382" i="2"/>
  <c r="S24" i="61"/>
  <c r="XR298" i="2"/>
  <c r="U20" i="61"/>
  <c r="XR332" i="2"/>
  <c r="Y11" i="61"/>
  <c r="XR399" i="2"/>
  <c r="Q30" i="61"/>
  <c r="XR266" i="2"/>
  <c r="O28" i="61"/>
  <c r="XR226" i="2"/>
  <c r="W12" i="61"/>
  <c r="XR362" i="2"/>
  <c r="Q19" i="61"/>
  <c r="XR255" i="2"/>
  <c r="M25" i="61"/>
  <c r="XR185" i="2"/>
  <c r="AA9" i="61"/>
  <c r="XR435" i="2"/>
  <c r="XP487" i="2"/>
  <c r="S21" i="61"/>
  <c r="XR295" i="2"/>
  <c r="W27" i="61"/>
  <c r="XR377" i="2"/>
  <c r="Q29" i="61"/>
  <c r="XR265" i="2"/>
  <c r="M20" i="61"/>
  <c r="XR180" i="2"/>
  <c r="AA23" i="61"/>
  <c r="XR449" i="2"/>
  <c r="XR58" i="2"/>
  <c r="S9" i="61"/>
  <c r="XR283" i="2"/>
  <c r="W15" i="61"/>
  <c r="XR365" i="2"/>
  <c r="M9" i="61"/>
  <c r="XR77" i="2"/>
  <c r="U11" i="61"/>
  <c r="XR323" i="2"/>
  <c r="W13" i="61"/>
  <c r="XR363" i="2"/>
  <c r="U19" i="61"/>
  <c r="XR331" i="2"/>
  <c r="K19" i="61"/>
  <c r="XR141" i="2"/>
  <c r="XR63" i="2"/>
  <c r="BL22" i="58"/>
  <c r="XP499" i="2"/>
  <c r="Y24" i="61"/>
  <c r="XR412" i="2"/>
  <c r="Y26" i="61"/>
  <c r="XR414" i="2"/>
  <c r="S22" i="61"/>
  <c r="XR296" i="2"/>
  <c r="S14" i="61"/>
  <c r="XR288" i="2"/>
  <c r="K14" i="61"/>
  <c r="K18" i="61"/>
  <c r="S25" i="61"/>
  <c r="XR299" i="2"/>
  <c r="S13" i="61"/>
  <c r="XR287" i="2"/>
  <c r="K12" i="61"/>
  <c r="XR134" i="2"/>
  <c r="W28" i="61"/>
  <c r="XR378" i="2"/>
  <c r="Y30" i="61"/>
  <c r="XR418" i="2"/>
  <c r="Y10" i="61"/>
  <c r="XR398" i="2"/>
  <c r="S10" i="61"/>
  <c r="XR284" i="2"/>
  <c r="K31" i="61"/>
  <c r="XR153" i="2"/>
  <c r="U7" i="61"/>
  <c r="XR319" i="2"/>
  <c r="W10" i="61"/>
  <c r="XR360" i="2"/>
  <c r="M31" i="61"/>
  <c r="XR191" i="2"/>
  <c r="I9" i="61"/>
  <c r="U25" i="61"/>
  <c r="XR337" i="2"/>
  <c r="Q17" i="61"/>
  <c r="XR253" i="2"/>
  <c r="D59" i="5"/>
  <c r="I31" i="61"/>
  <c r="XR115" i="2"/>
  <c r="S8" i="61"/>
  <c r="XR282" i="2"/>
  <c r="M13" i="61"/>
  <c r="XR173" i="2"/>
  <c r="O7" i="61"/>
  <c r="XR205" i="2"/>
  <c r="I29" i="61"/>
  <c r="XR113" i="2"/>
  <c r="Q9" i="61"/>
  <c r="XR245" i="2"/>
  <c r="S11" i="61"/>
  <c r="XR285" i="2"/>
  <c r="Y27" i="61"/>
  <c r="XR415" i="2"/>
  <c r="K16" i="61"/>
  <c r="XR138" i="2"/>
  <c r="M24" i="61"/>
  <c r="XR184" i="2"/>
  <c r="K28" i="61"/>
  <c r="XR150" i="2"/>
  <c r="AA17" i="61"/>
  <c r="XR443" i="2"/>
  <c r="W23" i="61"/>
  <c r="XR373" i="2"/>
  <c r="Q22" i="61"/>
  <c r="XR258" i="2"/>
  <c r="Y20" i="61"/>
  <c r="XR408" i="2"/>
  <c r="XR76" i="2"/>
  <c r="U14" i="61"/>
  <c r="XR326" i="2"/>
  <c r="S29" i="61"/>
  <c r="XR303" i="2"/>
  <c r="XR73" i="2"/>
  <c r="K10" i="61"/>
  <c r="XR132" i="2"/>
  <c r="U32" i="61"/>
  <c r="XR344" i="2"/>
  <c r="Q31" i="61"/>
  <c r="XR267" i="2"/>
  <c r="O27" i="61"/>
  <c r="XR225" i="2"/>
  <c r="AA7" i="61"/>
  <c r="XR433" i="2"/>
  <c r="I17" i="61"/>
  <c r="XR101" i="2"/>
  <c r="XE129" i="2"/>
  <c r="XE149" i="2"/>
  <c r="S30" i="61"/>
  <c r="XR304" i="2"/>
  <c r="XR68" i="2"/>
  <c r="S17" i="61"/>
  <c r="XR291" i="2"/>
  <c r="M26" i="61"/>
  <c r="XR186" i="2"/>
  <c r="U24" i="61"/>
  <c r="XR336" i="2"/>
  <c r="O19" i="61"/>
  <c r="XR217" i="2"/>
  <c r="I19" i="61"/>
  <c r="XR103" i="2"/>
  <c r="I10" i="61"/>
  <c r="XR94" i="2"/>
  <c r="M15" i="61"/>
  <c r="XR175" i="2"/>
  <c r="Q26" i="61"/>
  <c r="XR262" i="2"/>
  <c r="XR64" i="2"/>
  <c r="I26" i="61"/>
  <c r="XR110" i="2"/>
  <c r="Q15" i="61"/>
  <c r="XR251" i="2"/>
  <c r="W30" i="61"/>
  <c r="XR380" i="2"/>
  <c r="U26" i="61"/>
  <c r="XR338" i="2"/>
  <c r="Y7" i="61"/>
  <c r="XR395" i="2"/>
  <c r="XR60" i="2"/>
  <c r="AA20" i="61"/>
  <c r="XR446" i="2"/>
  <c r="U31" i="61"/>
  <c r="XR343" i="2"/>
  <c r="K21" i="61"/>
  <c r="XR143" i="2"/>
  <c r="AA19" i="61"/>
  <c r="XR445" i="2"/>
  <c r="AA29" i="61"/>
  <c r="XR455" i="2"/>
  <c r="O9" i="61"/>
  <c r="XR207" i="2"/>
  <c r="Y12" i="61"/>
  <c r="XR400" i="2"/>
  <c r="XR54" i="2"/>
  <c r="G58" i="5"/>
  <c r="C59" i="5"/>
  <c r="G26" i="35"/>
  <c r="XE39" i="2"/>
  <c r="XE94" i="2"/>
  <c r="XE147" i="2"/>
  <c r="XE105" i="2"/>
  <c r="XE91" i="2"/>
  <c r="XE108" i="2"/>
  <c r="XE56" i="2"/>
  <c r="XE152" i="2"/>
  <c r="U10" i="61"/>
  <c r="XR322" i="2"/>
  <c r="U18" i="61"/>
  <c r="XR330" i="2"/>
  <c r="S12" i="61"/>
  <c r="XR286" i="2"/>
  <c r="U9" i="61"/>
  <c r="XR321" i="2"/>
  <c r="M10" i="61"/>
  <c r="XR170" i="2"/>
  <c r="XR67" i="2"/>
  <c r="Y17" i="61"/>
  <c r="XR405" i="2"/>
  <c r="U12" i="61"/>
  <c r="XR324" i="2"/>
  <c r="XR204" i="2"/>
  <c r="Y21" i="61"/>
  <c r="XR409" i="2"/>
  <c r="K20" i="61"/>
  <c r="W24" i="61"/>
  <c r="XR374" i="2"/>
  <c r="Y14" i="61"/>
  <c r="XR402" i="2"/>
  <c r="AA21" i="61"/>
  <c r="XR447" i="2"/>
  <c r="O10" i="61"/>
  <c r="XR208" i="2"/>
  <c r="M8" i="61"/>
  <c r="XR168" i="2"/>
  <c r="Q20" i="61"/>
  <c r="XR256" i="2"/>
  <c r="O21" i="61"/>
  <c r="XR219" i="2"/>
  <c r="XP505" i="2"/>
  <c r="I32" i="61"/>
  <c r="XR116" i="2"/>
  <c r="XR57" i="2"/>
  <c r="M23" i="61"/>
  <c r="XR183" i="2"/>
  <c r="K13" i="61"/>
  <c r="XR135" i="2"/>
  <c r="U8" i="61"/>
  <c r="XR320" i="2"/>
  <c r="O8" i="61"/>
  <c r="XR206" i="2"/>
  <c r="W20" i="61"/>
  <c r="XR370" i="2"/>
  <c r="W8" i="61"/>
  <c r="XR358" i="2"/>
  <c r="XE37" i="2"/>
  <c r="BL20" i="58"/>
  <c r="XP497" i="2"/>
  <c r="XE70" i="2"/>
  <c r="XE106" i="2"/>
  <c r="XE73" i="2"/>
  <c r="XE109" i="2"/>
  <c r="S31" i="61"/>
  <c r="XR305" i="2"/>
  <c r="XR53" i="2"/>
  <c r="XP500" i="2"/>
  <c r="S28" i="61"/>
  <c r="XR302" i="2"/>
  <c r="XR78" i="2"/>
  <c r="XP502" i="2"/>
  <c r="AA14" i="61"/>
  <c r="XR440" i="2"/>
  <c r="O13" i="61"/>
  <c r="XR211" i="2"/>
  <c r="AA28" i="61"/>
  <c r="XR454" i="2"/>
  <c r="K30" i="61"/>
  <c r="XR152" i="2"/>
  <c r="XR356" i="2"/>
  <c r="I8" i="61"/>
  <c r="XR92" i="2"/>
  <c r="K17" i="61"/>
  <c r="XR139" i="2"/>
  <c r="I21" i="61"/>
  <c r="XR105" i="2"/>
  <c r="XP498" i="2"/>
  <c r="O14" i="61"/>
  <c r="XR212" i="2"/>
  <c r="W22" i="61"/>
  <c r="XR372" i="2"/>
  <c r="S7" i="61"/>
  <c r="XR281" i="2"/>
  <c r="O11" i="61"/>
  <c r="XR209" i="2"/>
  <c r="S18" i="61"/>
  <c r="XR292" i="2"/>
  <c r="W31" i="61"/>
  <c r="XR381" i="2"/>
  <c r="Q32" i="61"/>
  <c r="XR268" i="2"/>
  <c r="O31" i="61"/>
  <c r="XR229" i="2"/>
  <c r="W11" i="61"/>
  <c r="XR361" i="2"/>
  <c r="AA16" i="61"/>
  <c r="XR442" i="2"/>
  <c r="XR52" i="2"/>
  <c r="XB127" i="2"/>
  <c r="I58" i="5"/>
  <c r="XE71" i="2"/>
  <c r="XE115" i="2"/>
  <c r="XE134" i="2"/>
  <c r="XE92" i="2"/>
  <c r="XE150" i="2"/>
  <c r="O23" i="61"/>
  <c r="XR221" i="2"/>
  <c r="O20" i="61"/>
  <c r="XR218" i="2"/>
  <c r="O24" i="61"/>
  <c r="XR222" i="2"/>
  <c r="I15" i="61"/>
  <c r="XP494" i="2"/>
  <c r="K8" i="61"/>
  <c r="XR130" i="2"/>
  <c r="XR318" i="2"/>
  <c r="S16" i="61"/>
  <c r="XR290" i="2"/>
  <c r="I12" i="61"/>
  <c r="XR96" i="2"/>
  <c r="Q7" i="61"/>
  <c r="XR243" i="2"/>
  <c r="U15" i="61"/>
  <c r="XR327" i="2"/>
  <c r="W26" i="61"/>
  <c r="XR376" i="2"/>
  <c r="O22" i="61"/>
  <c r="XR220" i="2"/>
  <c r="M27" i="61"/>
  <c r="XR187" i="2"/>
  <c r="Q18" i="61"/>
  <c r="XR254" i="2"/>
  <c r="XP511" i="2"/>
  <c r="AA10" i="61"/>
  <c r="XR436" i="2"/>
  <c r="Q24" i="61"/>
  <c r="XR260" i="2"/>
  <c r="XP491" i="2"/>
  <c r="Y19" i="61"/>
  <c r="XR407" i="2"/>
  <c r="M16" i="61"/>
  <c r="XR176" i="2"/>
  <c r="AA18" i="61"/>
  <c r="XR444" i="2"/>
  <c r="Y23" i="61"/>
  <c r="XR411" i="2"/>
  <c r="K25" i="61"/>
  <c r="XR147" i="2"/>
  <c r="XR70" i="2"/>
  <c r="I14" i="61"/>
  <c r="XR98" i="2"/>
  <c r="O26" i="61"/>
  <c r="XR224" i="2"/>
  <c r="Y22" i="61"/>
  <c r="XR410" i="2"/>
  <c r="XR242" i="2"/>
  <c r="H58" i="5"/>
  <c r="XE132" i="2"/>
  <c r="XE142" i="2"/>
  <c r="XI55" i="2"/>
  <c r="XE74" i="2"/>
  <c r="XE68" i="2"/>
  <c r="AA24" i="61"/>
  <c r="XR450" i="2"/>
  <c r="Q10" i="61"/>
  <c r="XR246" i="2"/>
  <c r="Q16" i="61"/>
  <c r="XR252" i="2"/>
  <c r="Y32" i="61"/>
  <c r="XR420" i="2"/>
  <c r="XP488" i="2"/>
  <c r="AA15" i="61"/>
  <c r="XR441" i="2"/>
  <c r="XR66" i="2"/>
  <c r="O25" i="61"/>
  <c r="XR223" i="2"/>
  <c r="K15" i="61"/>
  <c r="XR137" i="2"/>
  <c r="M32" i="61"/>
  <c r="XR192" i="2"/>
  <c r="W29" i="61"/>
  <c r="XR379" i="2"/>
  <c r="AA8" i="61"/>
  <c r="XR434" i="2"/>
  <c r="XP472" i="2"/>
  <c r="M12" i="61"/>
  <c r="XR172" i="2"/>
  <c r="S19" i="61"/>
  <c r="XR293" i="2"/>
  <c r="M18" i="61"/>
  <c r="XR178" i="2"/>
  <c r="Y28" i="61"/>
  <c r="XR416" i="2"/>
  <c r="XP492" i="2"/>
  <c r="I30" i="61"/>
  <c r="XR114" i="2"/>
  <c r="U28" i="61"/>
  <c r="XR340" i="2"/>
  <c r="M14" i="61"/>
  <c r="XR174" i="2"/>
  <c r="Q21" i="61"/>
  <c r="XR257" i="2"/>
  <c r="AA31" i="61"/>
  <c r="XR457" i="2"/>
  <c r="XR72" i="2"/>
  <c r="W18" i="61"/>
  <c r="XR368" i="2"/>
  <c r="XL484" i="2"/>
  <c r="XF61" i="2"/>
  <c r="L15" i="61"/>
  <c r="RN10" i="2"/>
  <c r="BK28" i="35" s="1"/>
  <c r="RN9" i="2"/>
  <c r="BK27" i="35" s="1"/>
  <c r="XB89" i="2"/>
  <c r="I7" i="61"/>
  <c r="XF136" i="2"/>
  <c r="X14" i="61"/>
  <c r="XC89" i="2"/>
  <c r="J7" i="61"/>
  <c r="AG6" i="39"/>
  <c r="XB203" i="2"/>
  <c r="O16" i="61"/>
  <c r="XF99" i="2"/>
  <c r="R15" i="61"/>
  <c r="XB165" i="2"/>
  <c r="M7" i="61"/>
  <c r="AA6" i="39"/>
  <c r="XI57" i="2"/>
  <c r="B240" i="2"/>
  <c r="B235" i="2"/>
  <c r="B239" i="2"/>
  <c r="B234" i="2"/>
  <c r="B236" i="2"/>
  <c r="B233" i="2"/>
  <c r="B238" i="2"/>
  <c r="B237" i="2"/>
  <c r="B231" i="2"/>
  <c r="XI58" i="2"/>
  <c r="XI62" i="2"/>
  <c r="XI54" i="2"/>
  <c r="XI37" i="2"/>
  <c r="XI39" i="2"/>
  <c r="XI73" i="2"/>
  <c r="XI74" i="2"/>
  <c r="XI56" i="2"/>
  <c r="XI77" i="2"/>
  <c r="XI65" i="2"/>
  <c r="XI76" i="2"/>
  <c r="XI72" i="2"/>
  <c r="XI59" i="2"/>
  <c r="XI75" i="2"/>
  <c r="XI53" i="2"/>
  <c r="XI68" i="2"/>
  <c r="XI38" i="2"/>
  <c r="XI67" i="2"/>
  <c r="XI78" i="2"/>
  <c r="XI69" i="2"/>
  <c r="XI52" i="2"/>
  <c r="XI70" i="2"/>
  <c r="XI40" i="2"/>
  <c r="XI71" i="2"/>
  <c r="XI63" i="2"/>
  <c r="XE53" i="2"/>
  <c r="XB241" i="2"/>
  <c r="XE90" i="2"/>
  <c r="XB355" i="2"/>
  <c r="XE131" i="2"/>
  <c r="XE62" i="2"/>
  <c r="BZ20" i="58"/>
  <c r="UB484" i="2"/>
  <c r="BR22" i="58"/>
  <c r="BN20" i="58"/>
  <c r="ST484" i="2"/>
  <c r="FF484" i="2"/>
  <c r="UR484" i="2"/>
  <c r="SF484" i="2"/>
  <c r="BT20" i="58"/>
  <c r="HB484" i="2"/>
  <c r="VH484" i="2"/>
  <c r="BX20" i="58"/>
  <c r="NF484" i="2"/>
  <c r="AX484" i="2"/>
  <c r="RP484" i="2"/>
  <c r="DZ484" i="2"/>
  <c r="JN484" i="2"/>
  <c r="VF484" i="2"/>
  <c r="TL484" i="2"/>
  <c r="LJ484" i="2"/>
  <c r="TJ484" i="2"/>
  <c r="CB11" i="58"/>
  <c r="QH484" i="2"/>
  <c r="GL484" i="2"/>
  <c r="VV484" i="2"/>
  <c r="CD484" i="2"/>
  <c r="AH484" i="2"/>
  <c r="CB33" i="58"/>
  <c r="EP484" i="2"/>
  <c r="VX484" i="2"/>
  <c r="BN484" i="2"/>
  <c r="PB484" i="2"/>
  <c r="WL484" i="2"/>
  <c r="CB31" i="58"/>
  <c r="MP484" i="2"/>
  <c r="CC8" i="58"/>
  <c r="PR484" i="2"/>
  <c r="CB16" i="58"/>
  <c r="LZ484" i="2"/>
  <c r="IX484" i="2"/>
  <c r="OL484" i="2"/>
  <c r="TZ484" i="2"/>
  <c r="AL7" i="46"/>
  <c r="CC25" i="58"/>
  <c r="BR20" i="58"/>
  <c r="CB10" i="58"/>
  <c r="FV484" i="2"/>
  <c r="TY484" i="2"/>
  <c r="CB17" i="58"/>
  <c r="UP484" i="2"/>
  <c r="CA42" i="71"/>
  <c r="B42" i="71"/>
  <c r="CA37" i="71"/>
  <c r="B37" i="71"/>
  <c r="CB18" i="71"/>
  <c r="C18" i="71"/>
  <c r="KT484" i="2"/>
  <c r="CB39" i="71"/>
  <c r="C39" i="71"/>
  <c r="CB29" i="71"/>
  <c r="C29" i="71"/>
  <c r="CC9" i="58"/>
  <c r="CA25" i="71"/>
  <c r="B25" i="71"/>
  <c r="CB27" i="58"/>
  <c r="CA28" i="71"/>
  <c r="B28" i="71"/>
  <c r="CB20" i="58"/>
  <c r="CA38" i="71"/>
  <c r="B38" i="71"/>
  <c r="CC17" i="58"/>
  <c r="CB13" i="58"/>
  <c r="CB24" i="58"/>
  <c r="CC11" i="58"/>
  <c r="HR484" i="2"/>
  <c r="IH484" i="2"/>
  <c r="CA16" i="71"/>
  <c r="B16" i="71"/>
  <c r="CA21" i="71"/>
  <c r="B21" i="71"/>
  <c r="CA13" i="71"/>
  <c r="B13" i="71"/>
  <c r="CC19" i="58"/>
  <c r="CB21" i="58"/>
  <c r="CB32" i="71"/>
  <c r="C32" i="71"/>
  <c r="RN484" i="2"/>
  <c r="CB17" i="71"/>
  <c r="C17" i="71"/>
  <c r="CB14" i="58"/>
  <c r="QX484" i="2"/>
  <c r="CA23" i="71"/>
  <c r="B23" i="71"/>
  <c r="CB22" i="71"/>
  <c r="C22" i="71"/>
  <c r="CB25" i="71"/>
  <c r="C25" i="71"/>
  <c r="CA36" i="71"/>
  <c r="B36" i="71"/>
  <c r="CA20" i="71"/>
  <c r="B20" i="71"/>
  <c r="CB31" i="71"/>
  <c r="C31" i="71"/>
  <c r="CA35" i="71"/>
  <c r="B35" i="71"/>
  <c r="CB28" i="71"/>
  <c r="C28" i="71"/>
  <c r="CC10" i="58"/>
  <c r="CA43" i="71"/>
  <c r="B43" i="71"/>
  <c r="CC28" i="58"/>
  <c r="CB33" i="71"/>
  <c r="C33" i="71"/>
  <c r="CB15" i="71"/>
  <c r="C15" i="71"/>
  <c r="CA41" i="71"/>
  <c r="B41" i="71"/>
  <c r="CB30" i="71"/>
  <c r="C30" i="71"/>
  <c r="CB35" i="71"/>
  <c r="C35" i="71"/>
  <c r="CC13" i="58"/>
  <c r="CB15" i="58"/>
  <c r="CA39" i="71"/>
  <c r="B39" i="71"/>
  <c r="CC30" i="58"/>
  <c r="CB30" i="58"/>
  <c r="CB27" i="71"/>
  <c r="C27" i="71"/>
  <c r="VE484" i="2"/>
  <c r="CB18" i="58"/>
  <c r="C38" i="71"/>
  <c r="CB38" i="71"/>
  <c r="CA24" i="71"/>
  <c r="B24" i="71"/>
  <c r="CB32" i="58"/>
  <c r="CB26" i="71"/>
  <c r="C26" i="71"/>
  <c r="CB8" i="71"/>
  <c r="C8" i="71"/>
  <c r="CC24" i="58"/>
  <c r="C16" i="71"/>
  <c r="CB16" i="71"/>
  <c r="CB19" i="71"/>
  <c r="C19" i="71"/>
  <c r="UO484" i="2"/>
  <c r="CB43" i="71"/>
  <c r="C43" i="71"/>
  <c r="CC27" i="58"/>
  <c r="CB7" i="71"/>
  <c r="C7" i="71"/>
  <c r="E5" i="71"/>
  <c r="CC16" i="58"/>
  <c r="CA40" i="71"/>
  <c r="B40" i="71"/>
  <c r="CB9" i="58"/>
  <c r="C40" i="71"/>
  <c r="CB40" i="71"/>
  <c r="CA12" i="71"/>
  <c r="B12" i="71"/>
  <c r="CT484" i="2"/>
  <c r="CA34" i="71"/>
  <c r="B34" i="71"/>
  <c r="CC34" i="58"/>
  <c r="CC21" i="58"/>
  <c r="CB29" i="58"/>
  <c r="CA8" i="71"/>
  <c r="B8" i="71"/>
  <c r="CB42" i="71"/>
  <c r="C42" i="71"/>
  <c r="CC26" i="58"/>
  <c r="CB28" i="58"/>
  <c r="CB41" i="71"/>
  <c r="C41" i="71"/>
  <c r="CB24" i="71"/>
  <c r="C24" i="71"/>
  <c r="CC33" i="58"/>
  <c r="CA26" i="71"/>
  <c r="B26" i="71"/>
  <c r="CB13" i="71"/>
  <c r="C13" i="71"/>
  <c r="TI484" i="2"/>
  <c r="CB34" i="58"/>
  <c r="CB14" i="71"/>
  <c r="C14" i="71"/>
  <c r="CB37" i="71"/>
  <c r="C37" i="71"/>
  <c r="CB10" i="71"/>
  <c r="C10" i="71"/>
  <c r="CB21" i="71"/>
  <c r="C21" i="71"/>
  <c r="CA17" i="71"/>
  <c r="B17" i="71"/>
  <c r="CC18" i="58"/>
  <c r="CA30" i="71"/>
  <c r="B30" i="71"/>
  <c r="CA33" i="71"/>
  <c r="B33" i="71"/>
  <c r="CC32" i="58"/>
  <c r="CC29" i="58"/>
  <c r="CB25" i="58"/>
  <c r="CB12" i="71"/>
  <c r="C12" i="71"/>
  <c r="CA10" i="71"/>
  <c r="B10" i="71"/>
  <c r="CC15" i="58"/>
  <c r="CB23" i="58"/>
  <c r="CB23" i="71"/>
  <c r="C23" i="71"/>
  <c r="C36" i="71"/>
  <c r="CB36" i="71"/>
  <c r="VU484" i="2"/>
  <c r="CC14" i="58"/>
  <c r="CB22" i="58"/>
  <c r="CA18" i="71"/>
  <c r="B18" i="71"/>
  <c r="CA27" i="71"/>
  <c r="B27" i="71"/>
  <c r="DJ484" i="2"/>
  <c r="CC12" i="58"/>
  <c r="C20" i="71"/>
  <c r="CB20" i="71"/>
  <c r="CA31" i="71"/>
  <c r="B31" i="71"/>
  <c r="KD484" i="2"/>
  <c r="CA32" i="71"/>
  <c r="B32" i="71"/>
  <c r="CB12" i="58"/>
  <c r="WK484" i="2"/>
  <c r="CA29" i="71"/>
  <c r="B29" i="71"/>
  <c r="SS484" i="2"/>
  <c r="CA14" i="71"/>
  <c r="B14" i="71"/>
  <c r="CA19" i="71"/>
  <c r="B19" i="71"/>
  <c r="CB11" i="71"/>
  <c r="C11" i="71"/>
  <c r="CA22" i="71"/>
  <c r="B22" i="71"/>
  <c r="CB9" i="71"/>
  <c r="C9" i="71"/>
  <c r="CC31" i="58"/>
  <c r="CB26" i="58"/>
  <c r="CA9" i="71"/>
  <c r="B9" i="71"/>
  <c r="CC23" i="58"/>
  <c r="CB19" i="58"/>
  <c r="SC484" i="2"/>
  <c r="CA7" i="71"/>
  <c r="B7" i="71"/>
  <c r="D5" i="71"/>
  <c r="CA15" i="71"/>
  <c r="B15" i="71"/>
  <c r="TZ9" i="2"/>
  <c r="BS27" i="35" s="1"/>
  <c r="VH9" i="2"/>
  <c r="SF9" i="2"/>
  <c r="SV9" i="2"/>
  <c r="SN11" i="2"/>
  <c r="G88" i="5" s="1"/>
  <c r="B181" i="2"/>
  <c r="B167" i="2"/>
  <c r="B184" i="2"/>
  <c r="WW484" i="2"/>
  <c r="B175" i="2"/>
  <c r="B176" i="2"/>
  <c r="B172" i="2"/>
  <c r="B177" i="2"/>
  <c r="B186" i="2"/>
  <c r="B185" i="2"/>
  <c r="B170" i="2"/>
  <c r="B168" i="2"/>
  <c r="B188" i="2"/>
  <c r="B189" i="2"/>
  <c r="B173" i="2"/>
  <c r="B179" i="2"/>
  <c r="B183" i="2"/>
  <c r="B178" i="2"/>
  <c r="B166" i="2"/>
  <c r="B182" i="2"/>
  <c r="B180" i="2"/>
  <c r="B190" i="2"/>
  <c r="B174" i="2"/>
  <c r="B192" i="2"/>
  <c r="B187" i="2"/>
  <c r="B171" i="2"/>
  <c r="B191" i="2"/>
  <c r="B169" i="2"/>
  <c r="WF11" i="2"/>
  <c r="G94" i="5" s="1"/>
  <c r="WO393" i="2"/>
  <c r="BV11" i="2"/>
  <c r="UP9" i="2"/>
  <c r="BU27" i="35" s="1"/>
  <c r="WO497" i="2"/>
  <c r="OT11" i="2"/>
  <c r="VP11" i="2"/>
  <c r="G93" i="5" s="1"/>
  <c r="QP11" i="2"/>
  <c r="WO499" i="2"/>
  <c r="PA11" i="2"/>
  <c r="AP11" i="2"/>
  <c r="NU11" i="2"/>
  <c r="UZ11" i="2"/>
  <c r="G92" i="5" s="1"/>
  <c r="DB11" i="2"/>
  <c r="RP10" i="2"/>
  <c r="L37" i="39" s="1"/>
  <c r="CK37" i="39" s="1"/>
  <c r="F86" i="26" s="1"/>
  <c r="PJ11" i="2"/>
  <c r="LB11" i="2"/>
  <c r="PZ11" i="2"/>
  <c r="PQ11" i="2"/>
  <c r="WO241" i="2"/>
  <c r="EO11" i="2"/>
  <c r="WL10" i="2"/>
  <c r="CA28" i="35" s="1"/>
  <c r="MH11" i="2"/>
  <c r="FE11" i="2"/>
  <c r="HZ11" i="2"/>
  <c r="CD9" i="2"/>
  <c r="M27" i="35" s="1"/>
  <c r="MP10" i="2"/>
  <c r="AU28" i="35" s="1"/>
  <c r="AW11" i="2"/>
  <c r="QG11" i="2"/>
  <c r="HQ11" i="2"/>
  <c r="DR11" i="2"/>
  <c r="KC11" i="2"/>
  <c r="UJ11" i="2"/>
  <c r="G91" i="5" s="1"/>
  <c r="AG11" i="2"/>
  <c r="MX11" i="2"/>
  <c r="KS11" i="2"/>
  <c r="GT11" i="2"/>
  <c r="UQ11" i="2"/>
  <c r="MO11" i="2"/>
  <c r="NE11" i="2"/>
  <c r="DI11" i="2"/>
  <c r="QH9" i="2"/>
  <c r="BG27" i="35" s="1"/>
  <c r="TJ10" i="2"/>
  <c r="BQ28" i="35" s="1"/>
  <c r="BM11" i="2"/>
  <c r="IW11" i="2"/>
  <c r="RX11" i="2"/>
  <c r="G87" i="5" s="1"/>
  <c r="NF9" i="2"/>
  <c r="AW27" i="35" s="1"/>
  <c r="QW11" i="2"/>
  <c r="TD11" i="2"/>
  <c r="G89" i="5" s="1"/>
  <c r="JV11" i="2"/>
  <c r="PR9" i="2"/>
  <c r="BE27" i="35" s="1"/>
  <c r="LI11" i="2"/>
  <c r="DZ9" i="2"/>
  <c r="S27" i="35" s="1"/>
  <c r="CL11" i="2"/>
  <c r="LR11" i="2"/>
  <c r="VF9" i="2"/>
  <c r="BW27" i="35" s="1"/>
  <c r="GK11" i="2"/>
  <c r="Z11" i="2"/>
  <c r="TZ10" i="2"/>
  <c r="BS28" i="35" s="1"/>
  <c r="CC11" i="2"/>
  <c r="RP9" i="2"/>
  <c r="J37" i="39" s="1"/>
  <c r="CI37" i="39" s="1"/>
  <c r="E86" i="26" s="1"/>
  <c r="FN11" i="2"/>
  <c r="FU11" i="2"/>
  <c r="HB9" i="2"/>
  <c r="AC27" i="35" s="1"/>
  <c r="IH10" i="2"/>
  <c r="AG28" i="35" s="1"/>
  <c r="OD11" i="2"/>
  <c r="JM11" i="2"/>
  <c r="VV10" i="2"/>
  <c r="BY28" i="35" s="1"/>
  <c r="OK11" i="2"/>
  <c r="WL9" i="2"/>
  <c r="CA27" i="35" s="1"/>
  <c r="HA11" i="2"/>
  <c r="RM11" i="2"/>
  <c r="UP10" i="2"/>
  <c r="BU28" i="35" s="1"/>
  <c r="EH11" i="2"/>
  <c r="SF10" i="2"/>
  <c r="WO279" i="2"/>
  <c r="UB11" i="2"/>
  <c r="C91" i="5" s="1"/>
  <c r="UP8" i="2"/>
  <c r="BU26" i="35" s="1"/>
  <c r="NN11" i="2"/>
  <c r="TI8" i="2"/>
  <c r="BP26" i="35" s="1"/>
  <c r="SU11" i="2"/>
  <c r="UR11" i="2"/>
  <c r="C92" i="5" s="1"/>
  <c r="DY11" i="2"/>
  <c r="TY7" i="2"/>
  <c r="BR25" i="35" s="1"/>
  <c r="TK11" i="2"/>
  <c r="UA11" i="2"/>
  <c r="UO9" i="2"/>
  <c r="BT27" i="35" s="1"/>
  <c r="VG11" i="2"/>
  <c r="AX9" i="2"/>
  <c r="I27" i="35" s="1"/>
  <c r="SD7" i="2"/>
  <c r="BM25" i="35" s="1"/>
  <c r="JF11" i="2"/>
  <c r="VX11" i="2"/>
  <c r="C94" i="5" s="1"/>
  <c r="PB9" i="2"/>
  <c r="BC27" i="35" s="1"/>
  <c r="IG11" i="2"/>
  <c r="EX11" i="2"/>
  <c r="QX9" i="2"/>
  <c r="BI27" i="35" s="1"/>
  <c r="IX10" i="2"/>
  <c r="AI28" i="35" s="1"/>
  <c r="IP11" i="2"/>
  <c r="GD11" i="2"/>
  <c r="TT11" i="2"/>
  <c r="G90" i="5" s="1"/>
  <c r="RF11" i="2"/>
  <c r="BF11" i="2"/>
  <c r="TJ7" i="2"/>
  <c r="BQ25" i="35" s="1"/>
  <c r="TL11" i="2"/>
  <c r="C90" i="5" s="1"/>
  <c r="TZ7" i="2"/>
  <c r="BS25" i="35" s="1"/>
  <c r="SE11" i="2"/>
  <c r="SS8" i="2"/>
  <c r="BN26" i="35" s="1"/>
  <c r="RO11" i="2"/>
  <c r="SC7" i="2"/>
  <c r="BL25" i="35" s="1"/>
  <c r="LY11" i="2"/>
  <c r="VW11" i="2"/>
  <c r="KL11" i="2"/>
  <c r="HR9" i="2"/>
  <c r="AE27" i="35" s="1"/>
  <c r="HJ11" i="2"/>
  <c r="WO317" i="2"/>
  <c r="FV9" i="2"/>
  <c r="Y27" i="35" s="1"/>
  <c r="VF10" i="2"/>
  <c r="BW28" i="35" s="1"/>
  <c r="JN9" i="2"/>
  <c r="AK27" i="35" s="1"/>
  <c r="WO431" i="2"/>
  <c r="WO355" i="2"/>
  <c r="XB23" i="2"/>
  <c r="XB15" i="2"/>
  <c r="XB27" i="2"/>
  <c r="XC34" i="2"/>
  <c r="XC23" i="2"/>
  <c r="XB18" i="2"/>
  <c r="XC33" i="2"/>
  <c r="XB17" i="2"/>
  <c r="XB29" i="2"/>
  <c r="XC20" i="2"/>
  <c r="XB30" i="2"/>
  <c r="XB19" i="2"/>
  <c r="XB31" i="2"/>
  <c r="XC18" i="2"/>
  <c r="XB21" i="2"/>
  <c r="XC16" i="2"/>
  <c r="XB26" i="2"/>
  <c r="XB16" i="2"/>
  <c r="XC21" i="2"/>
  <c r="XB20" i="2"/>
  <c r="XC29" i="2"/>
  <c r="WS10" i="2"/>
  <c r="G33" i="6" s="1"/>
  <c r="C33" i="6" s="1"/>
  <c r="XB33" i="2"/>
  <c r="XB22" i="2"/>
  <c r="XB34" i="2"/>
  <c r="XC27" i="2"/>
  <c r="XC15" i="2"/>
  <c r="XA13" i="2"/>
  <c r="XC30" i="2"/>
  <c r="WZ13" i="2"/>
  <c r="XB32" i="2"/>
  <c r="WY13" i="2"/>
  <c r="WX13" i="2"/>
  <c r="XC26" i="2"/>
  <c r="WP13" i="2"/>
  <c r="XC25" i="2"/>
  <c r="XB36" i="2"/>
  <c r="XB24" i="2"/>
  <c r="WO13" i="2"/>
  <c r="WV13" i="2"/>
  <c r="XB25" i="2"/>
  <c r="XC36" i="2"/>
  <c r="XC24" i="2"/>
  <c r="XC35" i="2"/>
  <c r="XC22" i="2"/>
  <c r="XB14" i="2"/>
  <c r="DA45" i="65"/>
  <c r="AT29" i="35" l="1"/>
  <c r="U93" i="25"/>
  <c r="AR29" i="35"/>
  <c r="U89" i="25"/>
  <c r="BJ29" i="35"/>
  <c r="U125" i="25"/>
  <c r="L29" i="35"/>
  <c r="U25" i="25"/>
  <c r="BH29" i="35"/>
  <c r="U121" i="25"/>
  <c r="AN29" i="35"/>
  <c r="U81" i="25"/>
  <c r="V29" i="35"/>
  <c r="U45" i="25"/>
  <c r="AX29" i="35"/>
  <c r="U101" i="25"/>
  <c r="R29" i="35"/>
  <c r="U37" i="25"/>
  <c r="F29" i="35"/>
  <c r="U13" i="25"/>
  <c r="AB29" i="35"/>
  <c r="U57" i="25"/>
  <c r="BB29" i="35"/>
  <c r="U109" i="25"/>
  <c r="AH29" i="35"/>
  <c r="U69" i="25"/>
  <c r="J29" i="35"/>
  <c r="U21" i="25"/>
  <c r="AL29" i="35"/>
  <c r="U77" i="25"/>
  <c r="AF29" i="35"/>
  <c r="U65" i="25"/>
  <c r="AJ29" i="35"/>
  <c r="U73" i="25"/>
  <c r="BD29" i="35"/>
  <c r="U113" i="25"/>
  <c r="X29" i="35"/>
  <c r="U49" i="25"/>
  <c r="Z29" i="35"/>
  <c r="U53" i="25"/>
  <c r="AD29" i="35"/>
  <c r="U61" i="25"/>
  <c r="P29" i="35"/>
  <c r="U33" i="25"/>
  <c r="BF29" i="35"/>
  <c r="U117" i="25"/>
  <c r="T29" i="35"/>
  <c r="U41" i="25"/>
  <c r="AP29" i="35"/>
  <c r="U85" i="25"/>
  <c r="AV29" i="35"/>
  <c r="U97" i="25"/>
  <c r="H29" i="35"/>
  <c r="U17" i="25"/>
  <c r="AZ29" i="35"/>
  <c r="U105" i="25"/>
  <c r="XY484" i="2"/>
  <c r="XU499" i="2"/>
  <c r="C68" i="7"/>
  <c r="XU497" i="2"/>
  <c r="C66" i="7"/>
  <c r="XH65" i="2"/>
  <c r="CC19" i="39"/>
  <c r="XO499" i="2"/>
  <c r="CC17" i="39"/>
  <c r="CC22" i="39"/>
  <c r="CC9" i="39"/>
  <c r="CC29" i="39"/>
  <c r="CC11" i="39"/>
  <c r="CC18" i="39"/>
  <c r="CC41" i="39"/>
  <c r="CB43" i="39"/>
  <c r="CC20" i="39"/>
  <c r="XH62" i="2"/>
  <c r="CC8" i="39"/>
  <c r="CB39" i="39"/>
  <c r="C40" i="26"/>
  <c r="CB42" i="39"/>
  <c r="XH72" i="2"/>
  <c r="C90" i="26"/>
  <c r="CC44" i="39"/>
  <c r="CB38" i="39"/>
  <c r="CC27" i="39"/>
  <c r="XH74" i="2"/>
  <c r="XH55" i="2"/>
  <c r="CC35" i="39"/>
  <c r="CC10" i="39"/>
  <c r="CC13" i="39"/>
  <c r="CC32" i="39"/>
  <c r="XH69" i="2"/>
  <c r="CC28" i="39"/>
  <c r="CC14" i="39"/>
  <c r="VH11" i="2"/>
  <c r="C93" i="5" s="1"/>
  <c r="J43" i="39"/>
  <c r="CI43" i="39" s="1"/>
  <c r="E92" i="26" s="1"/>
  <c r="XT13" i="2"/>
  <c r="XT471" i="2" s="1"/>
  <c r="XT475" i="2" s="1"/>
  <c r="CB41" i="39"/>
  <c r="CC24" i="39"/>
  <c r="CC23" i="39"/>
  <c r="CB44" i="39"/>
  <c r="CC25" i="39"/>
  <c r="CC15" i="39"/>
  <c r="ST9" i="2"/>
  <c r="BO27" i="35" s="1"/>
  <c r="J38" i="39"/>
  <c r="CI38" i="39" s="1"/>
  <c r="E87" i="26" s="1"/>
  <c r="XH68" i="2"/>
  <c r="CC16" i="39"/>
  <c r="XH59" i="2"/>
  <c r="XH63" i="2"/>
  <c r="CB37" i="39"/>
  <c r="CC37" i="39" s="1"/>
  <c r="CC26" i="39"/>
  <c r="CC42" i="39"/>
  <c r="CC12" i="39"/>
  <c r="CC33" i="39"/>
  <c r="CC34" i="39"/>
  <c r="XH75" i="2"/>
  <c r="XH57" i="2"/>
  <c r="CB40" i="39"/>
  <c r="CC40" i="39" s="1"/>
  <c r="CC21" i="39"/>
  <c r="ST10" i="2"/>
  <c r="BO28" i="35" s="1"/>
  <c r="L38" i="39"/>
  <c r="CK38" i="39" s="1"/>
  <c r="F87" i="26" s="1"/>
  <c r="TJ9" i="2"/>
  <c r="BQ27" i="35" s="1"/>
  <c r="J39" i="39"/>
  <c r="CI39" i="39" s="1"/>
  <c r="E88" i="26" s="1"/>
  <c r="CC31" i="39"/>
  <c r="XH64" i="2"/>
  <c r="XH78" i="2"/>
  <c r="XH54" i="2"/>
  <c r="XH70" i="2"/>
  <c r="XH67" i="2"/>
  <c r="XH60" i="2"/>
  <c r="XH58" i="2"/>
  <c r="XH76" i="2"/>
  <c r="XH66" i="2"/>
  <c r="XV7" i="2"/>
  <c r="XY7" i="2"/>
  <c r="XH71" i="2"/>
  <c r="XH37" i="2"/>
  <c r="XH39" i="2"/>
  <c r="XH77" i="2"/>
  <c r="XR511" i="2"/>
  <c r="XZ511" i="2"/>
  <c r="YA511" i="2" s="1"/>
  <c r="XR494" i="2"/>
  <c r="XZ494" i="2"/>
  <c r="YA494" i="2" s="1"/>
  <c r="XR510" i="2"/>
  <c r="XZ510" i="2"/>
  <c r="YA510" i="2" s="1"/>
  <c r="XR507" i="2"/>
  <c r="XZ507" i="2"/>
  <c r="YA507" i="2" s="1"/>
  <c r="XR505" i="2"/>
  <c r="XZ505" i="2"/>
  <c r="YA505" i="2" s="1"/>
  <c r="XL471" i="2"/>
  <c r="XL475" i="2" s="1"/>
  <c r="XL7" i="2"/>
  <c r="XR508" i="2"/>
  <c r="XZ508" i="2"/>
  <c r="YA508" i="2" s="1"/>
  <c r="XR495" i="2"/>
  <c r="XZ495" i="2"/>
  <c r="YA495" i="2" s="1"/>
  <c r="XR501" i="2"/>
  <c r="XZ501" i="2"/>
  <c r="YA501" i="2" s="1"/>
  <c r="XR493" i="2"/>
  <c r="XZ493" i="2"/>
  <c r="YA493" i="2" s="1"/>
  <c r="XR489" i="2"/>
  <c r="XZ489" i="2"/>
  <c r="YA489" i="2" s="1"/>
  <c r="XR498" i="2"/>
  <c r="XZ498" i="2"/>
  <c r="YA498" i="2" s="1"/>
  <c r="XR488" i="2"/>
  <c r="XZ488" i="2"/>
  <c r="YA488" i="2" s="1"/>
  <c r="XR504" i="2"/>
  <c r="XZ504" i="2"/>
  <c r="YA504" i="2" s="1"/>
  <c r="XR496" i="2"/>
  <c r="XZ496" i="2"/>
  <c r="YA496" i="2" s="1"/>
  <c r="XR491" i="2"/>
  <c r="XZ491" i="2"/>
  <c r="YA491" i="2" s="1"/>
  <c r="XR500" i="2"/>
  <c r="XZ500" i="2"/>
  <c r="YA500" i="2" s="1"/>
  <c r="XR486" i="2"/>
  <c r="XZ486" i="2"/>
  <c r="YA486" i="2" s="1"/>
  <c r="XR487" i="2"/>
  <c r="XZ487" i="2"/>
  <c r="YA487" i="2" s="1"/>
  <c r="XR503" i="2"/>
  <c r="XZ503" i="2"/>
  <c r="YA503" i="2" s="1"/>
  <c r="XH53" i="2"/>
  <c r="XR509" i="2"/>
  <c r="XZ509" i="2"/>
  <c r="YA509" i="2" s="1"/>
  <c r="XR506" i="2"/>
  <c r="XZ506" i="2"/>
  <c r="YA506" i="2" s="1"/>
  <c r="XR490" i="2"/>
  <c r="XZ490" i="2"/>
  <c r="YA490" i="2" s="1"/>
  <c r="XR502" i="2"/>
  <c r="XZ502" i="2"/>
  <c r="YA502" i="2" s="1"/>
  <c r="XH61" i="2"/>
  <c r="XH56" i="2"/>
  <c r="XO497" i="2"/>
  <c r="XH73" i="2"/>
  <c r="C31" i="61"/>
  <c r="C29" i="61"/>
  <c r="HR11" i="2"/>
  <c r="F70" i="5"/>
  <c r="BN11" i="2"/>
  <c r="F60" i="5"/>
  <c r="RN11" i="2"/>
  <c r="F86" i="5"/>
  <c r="OL11" i="2"/>
  <c r="F81" i="5"/>
  <c r="CT11" i="2"/>
  <c r="F62" i="5"/>
  <c r="QH11" i="2"/>
  <c r="F84" i="5"/>
  <c r="PB11" i="2"/>
  <c r="F82" i="5"/>
  <c r="KT11" i="2"/>
  <c r="F75" i="5"/>
  <c r="VU11" i="2"/>
  <c r="C45" i="5"/>
  <c r="LJ11" i="2"/>
  <c r="F76" i="5"/>
  <c r="XI61" i="2"/>
  <c r="XR99" i="2"/>
  <c r="WK11" i="2"/>
  <c r="C46" i="5"/>
  <c r="GL11" i="2"/>
  <c r="F68" i="5"/>
  <c r="PR11" i="2"/>
  <c r="F83" i="5"/>
  <c r="G28" i="35"/>
  <c r="SD10" i="2"/>
  <c r="BM28" i="35" s="1"/>
  <c r="CD11" i="2"/>
  <c r="F61" i="5"/>
  <c r="XR93" i="2"/>
  <c r="IX11" i="2"/>
  <c r="F72" i="5"/>
  <c r="UO11" i="2"/>
  <c r="C43" i="5"/>
  <c r="TY11" i="2"/>
  <c r="C42" i="5"/>
  <c r="EP11" i="2"/>
  <c r="F65" i="5"/>
  <c r="FV11" i="2"/>
  <c r="F67" i="5"/>
  <c r="KD11" i="2"/>
  <c r="F74" i="5"/>
  <c r="VE11" i="2"/>
  <c r="C44" i="5"/>
  <c r="DJ11" i="2"/>
  <c r="F63" i="5"/>
  <c r="XR169" i="2"/>
  <c r="XR165" i="2" s="1"/>
  <c r="FF11" i="2"/>
  <c r="F66" i="5"/>
  <c r="XO473" i="2"/>
  <c r="XE14" i="2"/>
  <c r="HB11" i="2"/>
  <c r="F69" i="5"/>
  <c r="XO472" i="2"/>
  <c r="SS11" i="2"/>
  <c r="C40" i="5"/>
  <c r="NF11" i="2"/>
  <c r="F79" i="5"/>
  <c r="MP11" i="2"/>
  <c r="F78" i="5"/>
  <c r="AX11" i="2"/>
  <c r="F59" i="5"/>
  <c r="TI11" i="2"/>
  <c r="C41" i="5"/>
  <c r="AH11" i="2"/>
  <c r="V13" i="25" s="1"/>
  <c r="F58" i="5"/>
  <c r="G27" i="35"/>
  <c r="XR241" i="2"/>
  <c r="XI60" i="2"/>
  <c r="C32" i="61"/>
  <c r="XR203" i="2"/>
  <c r="XP474" i="2"/>
  <c r="XR397" i="2"/>
  <c r="XR393" i="2" s="1"/>
  <c r="SD9" i="2"/>
  <c r="BM27" i="35" s="1"/>
  <c r="JN11" i="2"/>
  <c r="F73" i="5"/>
  <c r="F80" i="5"/>
  <c r="QX11" i="2"/>
  <c r="F85" i="5"/>
  <c r="CC22" i="58"/>
  <c r="C30" i="61"/>
  <c r="XR431" i="2"/>
  <c r="SC11" i="2"/>
  <c r="C39" i="5"/>
  <c r="IH11" i="2"/>
  <c r="F71" i="5"/>
  <c r="LZ11" i="2"/>
  <c r="F77" i="5"/>
  <c r="DZ11" i="2"/>
  <c r="F64" i="5"/>
  <c r="XR317" i="2"/>
  <c r="XR355" i="2"/>
  <c r="XR279" i="2"/>
  <c r="XF18" i="2"/>
  <c r="F10" i="61"/>
  <c r="D10" i="61" s="1"/>
  <c r="XE27" i="2"/>
  <c r="E19" i="61"/>
  <c r="C19" i="61" s="1"/>
  <c r="XE24" i="2"/>
  <c r="E16" i="61"/>
  <c r="C16" i="61" s="1"/>
  <c r="XF25" i="2"/>
  <c r="F17" i="61"/>
  <c r="D17" i="61" s="1"/>
  <c r="XF26" i="2"/>
  <c r="F18" i="61"/>
  <c r="XE34" i="2"/>
  <c r="E26" i="61"/>
  <c r="C26" i="61" s="1"/>
  <c r="XE33" i="2"/>
  <c r="E25" i="61"/>
  <c r="C25" i="61" s="1"/>
  <c r="XE36" i="2"/>
  <c r="E28" i="61"/>
  <c r="C28" i="61" s="1"/>
  <c r="XE23" i="2"/>
  <c r="E15" i="61"/>
  <c r="C15" i="61" s="1"/>
  <c r="XF27" i="2"/>
  <c r="F19" i="61"/>
  <c r="D19" i="61" s="1"/>
  <c r="XF35" i="2"/>
  <c r="F27" i="61"/>
  <c r="D27" i="61" s="1"/>
  <c r="XE20" i="2"/>
  <c r="E12" i="61"/>
  <c r="C12" i="61" s="1"/>
  <c r="XE17" i="2"/>
  <c r="E9" i="61"/>
  <c r="C9" i="61" s="1"/>
  <c r="XF24" i="2"/>
  <c r="F16" i="61"/>
  <c r="D16" i="61" s="1"/>
  <c r="XE32" i="2"/>
  <c r="E24" i="61"/>
  <c r="C24" i="61" s="1"/>
  <c r="XF21" i="2"/>
  <c r="F13" i="61"/>
  <c r="XF33" i="2"/>
  <c r="F25" i="61"/>
  <c r="D25" i="61" s="1"/>
  <c r="XE22" i="2"/>
  <c r="E14" i="61"/>
  <c r="C14" i="61" s="1"/>
  <c r="XF22" i="2"/>
  <c r="F14" i="61"/>
  <c r="D14" i="61" s="1"/>
  <c r="XE30" i="2"/>
  <c r="E22" i="61"/>
  <c r="C22" i="61" s="1"/>
  <c r="XF29" i="2"/>
  <c r="F21" i="61"/>
  <c r="D21" i="61" s="1"/>
  <c r="XF36" i="2"/>
  <c r="F28" i="61"/>
  <c r="D28" i="61" s="1"/>
  <c r="XE16" i="2"/>
  <c r="E8" i="61"/>
  <c r="C8" i="61" s="1"/>
  <c r="XF30" i="2"/>
  <c r="F22" i="61"/>
  <c r="D22" i="61" s="1"/>
  <c r="XE15" i="2"/>
  <c r="E7" i="61"/>
  <c r="C7" i="61" s="1"/>
  <c r="XE19" i="2"/>
  <c r="E11" i="61"/>
  <c r="C11" i="61" s="1"/>
  <c r="XE18" i="2"/>
  <c r="E10" i="61"/>
  <c r="C10" i="61" s="1"/>
  <c r="XE31" i="2"/>
  <c r="E23" i="61"/>
  <c r="C23" i="61" s="1"/>
  <c r="XF20" i="2"/>
  <c r="F12" i="61"/>
  <c r="D12" i="61" s="1"/>
  <c r="XE29" i="2"/>
  <c r="E21" i="61"/>
  <c r="C21" i="61" s="1"/>
  <c r="XE25" i="2"/>
  <c r="E17" i="61"/>
  <c r="C17" i="61" s="1"/>
  <c r="XE26" i="2"/>
  <c r="E18" i="61"/>
  <c r="C18" i="61" s="1"/>
  <c r="XF16" i="2"/>
  <c r="F8" i="61"/>
  <c r="D8" i="61" s="1"/>
  <c r="XF23" i="2"/>
  <c r="F15" i="61"/>
  <c r="D15" i="61" s="1"/>
  <c r="XF15" i="2"/>
  <c r="F7" i="61"/>
  <c r="D7" i="61" s="1"/>
  <c r="XE21" i="2"/>
  <c r="E13" i="61"/>
  <c r="C13" i="61" s="1"/>
  <c r="XF34" i="2"/>
  <c r="F26" i="61"/>
  <c r="D26" i="61" s="1"/>
  <c r="B274" i="2"/>
  <c r="B272" i="2"/>
  <c r="B269" i="2"/>
  <c r="B270" i="2"/>
  <c r="B275" i="2"/>
  <c r="B277" i="2"/>
  <c r="B276" i="2"/>
  <c r="B273" i="2"/>
  <c r="B271" i="2"/>
  <c r="B278" i="2"/>
  <c r="XE127" i="2"/>
  <c r="XE10" i="2" s="1"/>
  <c r="XE51" i="2"/>
  <c r="XE8" i="2" s="1"/>
  <c r="XH52" i="2"/>
  <c r="SD484" i="2"/>
  <c r="CC20" i="58"/>
  <c r="CB5" i="71"/>
  <c r="C5" i="71"/>
  <c r="VV9" i="2"/>
  <c r="BY27" i="35" s="1"/>
  <c r="SV11" i="2"/>
  <c r="B213" i="2"/>
  <c r="B207" i="2"/>
  <c r="B229" i="2"/>
  <c r="B218" i="2"/>
  <c r="B211" i="2"/>
  <c r="B224" i="2"/>
  <c r="B222" i="2"/>
  <c r="B209" i="2"/>
  <c r="B220" i="2"/>
  <c r="B227" i="2"/>
  <c r="B215" i="2"/>
  <c r="B204" i="2"/>
  <c r="B221" i="2"/>
  <c r="B217" i="2"/>
  <c r="B225" i="2"/>
  <c r="B226" i="2"/>
  <c r="B210" i="2"/>
  <c r="B212" i="2"/>
  <c r="B208" i="2"/>
  <c r="B228" i="2"/>
  <c r="B223" i="2"/>
  <c r="B205" i="2"/>
  <c r="B230" i="2"/>
  <c r="B216" i="2"/>
  <c r="B206" i="2"/>
  <c r="B214" i="2"/>
  <c r="B219" i="2"/>
  <c r="WL11" i="2"/>
  <c r="WO484" i="2"/>
  <c r="SF11" i="2"/>
  <c r="UP11" i="2"/>
  <c r="VF11" i="2"/>
  <c r="RP11" i="2"/>
  <c r="TZ11" i="2"/>
  <c r="WS11" i="2"/>
  <c r="Z3" i="39" s="1"/>
  <c r="EP23" i="65"/>
  <c r="AG29" i="35" l="1"/>
  <c r="V65" i="25"/>
  <c r="Y29" i="35"/>
  <c r="V49" i="25"/>
  <c r="BU29" i="35"/>
  <c r="V145" i="25"/>
  <c r="I29" i="35"/>
  <c r="V17" i="25"/>
  <c r="BX29" i="35"/>
  <c r="U153" i="25"/>
  <c r="BK29" i="35"/>
  <c r="V125" i="25"/>
  <c r="AC29" i="35"/>
  <c r="V57" i="25"/>
  <c r="BW29" i="35"/>
  <c r="V149" i="25"/>
  <c r="BP29" i="35"/>
  <c r="U137" i="25"/>
  <c r="W29" i="35"/>
  <c r="V45" i="25"/>
  <c r="U29" i="35"/>
  <c r="V41" i="25"/>
  <c r="CA29" i="35"/>
  <c r="V157" i="25"/>
  <c r="BR29" i="35"/>
  <c r="U141" i="25"/>
  <c r="AW29" i="35"/>
  <c r="V97" i="25"/>
  <c r="AA29" i="35"/>
  <c r="V53" i="25"/>
  <c r="BC29" i="35"/>
  <c r="V109" i="25"/>
  <c r="AE29" i="35"/>
  <c r="V61" i="25"/>
  <c r="AS29" i="35"/>
  <c r="V89" i="25"/>
  <c r="M29" i="35"/>
  <c r="V25" i="25"/>
  <c r="AQ29" i="35"/>
  <c r="V85" i="25"/>
  <c r="Q29" i="35"/>
  <c r="V33" i="25"/>
  <c r="BT29" i="35"/>
  <c r="U145" i="25"/>
  <c r="O29" i="35"/>
  <c r="V29" i="25"/>
  <c r="BL29" i="35"/>
  <c r="U129" i="25"/>
  <c r="BZ29" i="35"/>
  <c r="U157" i="25"/>
  <c r="BG29" i="35"/>
  <c r="V117" i="25"/>
  <c r="BS29" i="35"/>
  <c r="V141" i="25"/>
  <c r="AM29" i="35"/>
  <c r="V77" i="25"/>
  <c r="AK29" i="35"/>
  <c r="V73" i="25"/>
  <c r="AU29" i="35"/>
  <c r="V93" i="25"/>
  <c r="BE29" i="35"/>
  <c r="V113" i="25"/>
  <c r="AO29" i="35"/>
  <c r="V81" i="25"/>
  <c r="K29" i="35"/>
  <c r="V21" i="25"/>
  <c r="BI29" i="35"/>
  <c r="V121" i="25"/>
  <c r="BN29" i="35"/>
  <c r="U133" i="25"/>
  <c r="S29" i="35"/>
  <c r="V37" i="25"/>
  <c r="BV29" i="35"/>
  <c r="U149" i="25"/>
  <c r="AI29" i="35"/>
  <c r="V69" i="25"/>
  <c r="BA29" i="35"/>
  <c r="V105" i="25"/>
  <c r="XR499" i="2"/>
  <c r="VV11" i="2"/>
  <c r="XZ499" i="2"/>
  <c r="XT7" i="2"/>
  <c r="CC39" i="39"/>
  <c r="CC43" i="39"/>
  <c r="CC38" i="39"/>
  <c r="XH21" i="2"/>
  <c r="XH22" i="2"/>
  <c r="XH34" i="2"/>
  <c r="XH29" i="2"/>
  <c r="XH20" i="2"/>
  <c r="XH16" i="2"/>
  <c r="XH31" i="2"/>
  <c r="XH18" i="2"/>
  <c r="XH32" i="2"/>
  <c r="XH23" i="2"/>
  <c r="XH24" i="2"/>
  <c r="XH19" i="2"/>
  <c r="XH27" i="2"/>
  <c r="XH26" i="2"/>
  <c r="XH30" i="2"/>
  <c r="XH36" i="2"/>
  <c r="XH25" i="2"/>
  <c r="XH15" i="2"/>
  <c r="XH17" i="2"/>
  <c r="XH33" i="2"/>
  <c r="XH14" i="2"/>
  <c r="XR497" i="2"/>
  <c r="XZ497" i="2"/>
  <c r="XR474" i="2"/>
  <c r="XI16" i="2"/>
  <c r="XI29" i="2"/>
  <c r="G29" i="35"/>
  <c r="XR136" i="2"/>
  <c r="XR473" i="2"/>
  <c r="XR61" i="2"/>
  <c r="XR51" i="2" s="1"/>
  <c r="XI23" i="2"/>
  <c r="SD11" i="2"/>
  <c r="C87" i="5"/>
  <c r="XI24" i="2"/>
  <c r="TJ11" i="2"/>
  <c r="C89" i="5"/>
  <c r="XI34" i="2"/>
  <c r="XI22" i="2"/>
  <c r="XI18" i="2"/>
  <c r="ST11" i="2"/>
  <c r="C88" i="5"/>
  <c r="XI30" i="2"/>
  <c r="XI27" i="2"/>
  <c r="XI36" i="2"/>
  <c r="XI15" i="2"/>
  <c r="XI20" i="2"/>
  <c r="XI33" i="2"/>
  <c r="XI35" i="2"/>
  <c r="XI26" i="2"/>
  <c r="XI25" i="2"/>
  <c r="XO474" i="2"/>
  <c r="Z6" i="39"/>
  <c r="B308" i="2"/>
  <c r="B309" i="2"/>
  <c r="B307" i="2"/>
  <c r="B312" i="2"/>
  <c r="B316" i="2"/>
  <c r="B314" i="2"/>
  <c r="B315" i="2"/>
  <c r="B313" i="2"/>
  <c r="B311" i="2"/>
  <c r="B310" i="2"/>
  <c r="C3" i="71"/>
  <c r="B5" i="70"/>
  <c r="B6" i="70" s="1"/>
  <c r="CC6" i="70"/>
  <c r="H15" i="66"/>
  <c r="B242" i="2"/>
  <c r="B243" i="2"/>
  <c r="B253" i="2"/>
  <c r="B257" i="2"/>
  <c r="B261" i="2"/>
  <c r="B263" i="2"/>
  <c r="B265" i="2"/>
  <c r="B256" i="2"/>
  <c r="B252" i="2"/>
  <c r="B266" i="2"/>
  <c r="B255" i="2"/>
  <c r="B258" i="2"/>
  <c r="B267" i="2"/>
  <c r="B244" i="2"/>
  <c r="B246" i="2"/>
  <c r="B259" i="2"/>
  <c r="B262" i="2"/>
  <c r="B247" i="2"/>
  <c r="B254" i="2"/>
  <c r="B250" i="2"/>
  <c r="B260" i="2"/>
  <c r="B245" i="2"/>
  <c r="B251" i="2"/>
  <c r="B264" i="2"/>
  <c r="B249" i="2"/>
  <c r="B268" i="2"/>
  <c r="B248" i="2"/>
  <c r="FP8" i="65"/>
  <c r="BO29" i="35" l="1"/>
  <c r="V133" i="25"/>
  <c r="BY29" i="35"/>
  <c r="V153" i="25"/>
  <c r="BQ29" i="35"/>
  <c r="V137" i="25"/>
  <c r="BM29" i="35"/>
  <c r="V129" i="25"/>
  <c r="B350" i="2"/>
  <c r="B347" i="2"/>
  <c r="B353" i="2"/>
  <c r="B354" i="2"/>
  <c r="B348" i="2"/>
  <c r="B349" i="2"/>
  <c r="B345" i="2"/>
  <c r="B351" i="2"/>
  <c r="B346" i="2"/>
  <c r="B352" i="2"/>
  <c r="B292" i="2"/>
  <c r="B282" i="2"/>
  <c r="B281" i="2"/>
  <c r="B303" i="2"/>
  <c r="B280" i="2"/>
  <c r="B289" i="2"/>
  <c r="B285" i="2"/>
  <c r="B296" i="2"/>
  <c r="B301" i="2"/>
  <c r="B286" i="2"/>
  <c r="B283" i="2"/>
  <c r="B300" i="2"/>
  <c r="B293" i="2"/>
  <c r="B299" i="2"/>
  <c r="B306" i="2"/>
  <c r="B298" i="2"/>
  <c r="B297" i="2"/>
  <c r="B304" i="2"/>
  <c r="B295" i="2"/>
  <c r="B294" i="2"/>
  <c r="B302" i="2"/>
  <c r="B305" i="2"/>
  <c r="B288" i="2"/>
  <c r="B284" i="2"/>
  <c r="B290" i="2"/>
  <c r="B291" i="2"/>
  <c r="B287" i="2"/>
  <c r="BG42" i="65"/>
  <c r="B386" i="2" l="1"/>
  <c r="B384" i="2"/>
  <c r="B391" i="2"/>
  <c r="B385" i="2"/>
  <c r="B387" i="2"/>
  <c r="B392" i="2"/>
  <c r="B390" i="2"/>
  <c r="B389" i="2"/>
  <c r="B383" i="2"/>
  <c r="B388" i="2"/>
  <c r="B333" i="2"/>
  <c r="B335" i="2"/>
  <c r="B321" i="2"/>
  <c r="B318" i="2"/>
  <c r="B325" i="2"/>
  <c r="B340" i="2"/>
  <c r="B336" i="2"/>
  <c r="B324" i="2"/>
  <c r="B341" i="2"/>
  <c r="B329" i="2"/>
  <c r="B332" i="2"/>
  <c r="B344" i="2"/>
  <c r="B339" i="2"/>
  <c r="B328" i="2"/>
  <c r="B337" i="2"/>
  <c r="B334" i="2"/>
  <c r="B331" i="2"/>
  <c r="B320" i="2"/>
  <c r="B343" i="2"/>
  <c r="B319" i="2"/>
  <c r="B322" i="2"/>
  <c r="B323" i="2"/>
  <c r="B326" i="2"/>
  <c r="B342" i="2"/>
  <c r="B338" i="2"/>
  <c r="B327" i="2"/>
  <c r="B330" i="2"/>
  <c r="B423" i="2" l="1"/>
  <c r="B421" i="2"/>
  <c r="B424" i="2"/>
  <c r="B425" i="2"/>
  <c r="B426" i="2"/>
  <c r="B429" i="2"/>
  <c r="B428" i="2"/>
  <c r="B430" i="2"/>
  <c r="B427" i="2"/>
  <c r="B422" i="2"/>
  <c r="B364" i="2"/>
  <c r="B369" i="2"/>
  <c r="B371" i="2"/>
  <c r="B361" i="2"/>
  <c r="B372" i="2"/>
  <c r="B382" i="2"/>
  <c r="B378" i="2"/>
  <c r="B368" i="2"/>
  <c r="B360" i="2"/>
  <c r="B375" i="2"/>
  <c r="B370" i="2"/>
  <c r="B363" i="2"/>
  <c r="B365" i="2"/>
  <c r="B357" i="2"/>
  <c r="B367" i="2"/>
  <c r="B356" i="2"/>
  <c r="B377" i="2"/>
  <c r="B376" i="2"/>
  <c r="B366" i="2"/>
  <c r="B379" i="2"/>
  <c r="B380" i="2"/>
  <c r="B358" i="2"/>
  <c r="B362" i="2"/>
  <c r="B373" i="2"/>
  <c r="B374" i="2"/>
  <c r="B381" i="2"/>
  <c r="B359" i="2"/>
  <c r="DA26" i="65"/>
  <c r="B462" i="2" l="1"/>
  <c r="B459" i="2"/>
  <c r="B466" i="2"/>
  <c r="B465" i="2"/>
  <c r="B468" i="2"/>
  <c r="B461" i="2"/>
  <c r="B467" i="2"/>
  <c r="B460" i="2"/>
  <c r="B463" i="2"/>
  <c r="B464" i="2"/>
  <c r="B411" i="2"/>
  <c r="B404" i="2"/>
  <c r="B406" i="2"/>
  <c r="B407" i="2"/>
  <c r="B400" i="2"/>
  <c r="B414" i="2"/>
  <c r="B403" i="2"/>
  <c r="B416" i="2"/>
  <c r="B402" i="2"/>
  <c r="B415" i="2"/>
  <c r="B401" i="2"/>
  <c r="B420" i="2"/>
  <c r="B397" i="2"/>
  <c r="B396" i="2"/>
  <c r="B394" i="2"/>
  <c r="B408" i="2"/>
  <c r="B410" i="2"/>
  <c r="B419" i="2"/>
  <c r="B418" i="2"/>
  <c r="B405" i="2"/>
  <c r="B413" i="2"/>
  <c r="B399" i="2"/>
  <c r="B395" i="2"/>
  <c r="B412" i="2"/>
  <c r="B417" i="2"/>
  <c r="B398" i="2"/>
  <c r="B409" i="2"/>
  <c r="FK31" i="65"/>
  <c r="FJ31" i="65"/>
  <c r="FI31" i="65"/>
  <c r="FH31" i="65"/>
  <c r="FG31" i="65"/>
  <c r="FF31" i="65"/>
  <c r="FE31" i="65"/>
  <c r="FD31" i="65"/>
  <c r="FC31" i="65"/>
  <c r="FB31" i="65"/>
  <c r="FY31" i="65"/>
  <c r="FX31" i="65"/>
  <c r="FW31" i="65"/>
  <c r="FV31" i="65"/>
  <c r="FU31" i="65"/>
  <c r="FT31" i="65"/>
  <c r="FS31" i="65"/>
  <c r="FR31" i="65"/>
  <c r="FQ31" i="65"/>
  <c r="FP31" i="65"/>
  <c r="EO31" i="65"/>
  <c r="EP31" i="65"/>
  <c r="EQ31" i="65"/>
  <c r="ER31" i="65"/>
  <c r="ES31" i="65"/>
  <c r="ET31" i="65"/>
  <c r="EU31" i="65"/>
  <c r="EV31" i="65"/>
  <c r="EW31" i="65"/>
  <c r="EN31" i="65"/>
  <c r="B455" i="2" l="1"/>
  <c r="B435" i="2"/>
  <c r="B442" i="2"/>
  <c r="B457" i="2"/>
  <c r="B458" i="2"/>
  <c r="B449" i="2"/>
  <c r="B448" i="2"/>
  <c r="B439" i="2"/>
  <c r="B452" i="2"/>
  <c r="B447" i="2"/>
  <c r="B437" i="2"/>
  <c r="B446" i="2"/>
  <c r="B453" i="2"/>
  <c r="B438" i="2"/>
  <c r="B436" i="2"/>
  <c r="B451" i="2"/>
  <c r="B432" i="2"/>
  <c r="B445" i="2"/>
  <c r="B456" i="2"/>
  <c r="B454" i="2"/>
  <c r="B450" i="2"/>
  <c r="B441" i="2"/>
  <c r="B433" i="2"/>
  <c r="B443" i="2"/>
  <c r="B434" i="2"/>
  <c r="B440" i="2"/>
  <c r="B444" i="2"/>
  <c r="IE31" i="65"/>
  <c r="IF31" i="65"/>
  <c r="HZ31" i="65"/>
  <c r="HY31" i="65"/>
  <c r="HX31" i="65"/>
  <c r="IG31" i="65"/>
  <c r="IA31" i="65"/>
  <c r="IC31" i="65"/>
  <c r="IB31" i="65"/>
  <c r="ID31" i="65"/>
  <c r="AW30" i="65" l="1"/>
  <c r="AV30" i="65"/>
  <c r="AU30" i="65"/>
  <c r="AT30" i="65"/>
  <c r="AS30" i="65"/>
  <c r="AR30" i="65"/>
  <c r="AQ30" i="65"/>
  <c r="AP30" i="65"/>
  <c r="AM30" i="65"/>
  <c r="AL30" i="65"/>
  <c r="AK30" i="65"/>
  <c r="AJ30" i="65"/>
  <c r="AG30" i="65"/>
  <c r="AF30" i="65"/>
  <c r="AE30" i="65"/>
  <c r="AD30" i="65"/>
  <c r="AC30" i="65"/>
  <c r="AB30" i="65"/>
  <c r="AA30" i="65"/>
  <c r="Z30" i="65"/>
  <c r="W30" i="65"/>
  <c r="V30" i="65"/>
  <c r="U30" i="65"/>
  <c r="T30" i="65"/>
  <c r="E30" i="65"/>
  <c r="F30" i="65"/>
  <c r="G30" i="65"/>
  <c r="J30" i="65"/>
  <c r="K30" i="65"/>
  <c r="L30" i="65"/>
  <c r="M30" i="65"/>
  <c r="N30" i="65"/>
  <c r="O30" i="65"/>
  <c r="P30" i="65"/>
  <c r="Q30" i="65"/>
  <c r="D30" i="65"/>
  <c r="DM25" i="65"/>
  <c r="DN25" i="65"/>
  <c r="DO25" i="65"/>
  <c r="DP25" i="65"/>
  <c r="DQ25" i="65"/>
  <c r="DR25" i="65"/>
  <c r="DS25" i="65"/>
  <c r="DT25" i="65"/>
  <c r="DU25" i="65"/>
  <c r="DL25" i="65"/>
  <c r="CV16" i="65"/>
  <c r="CW16" i="65"/>
  <c r="CX16" i="65"/>
  <c r="CY16" i="65"/>
  <c r="CZ16" i="65"/>
  <c r="DA16" i="65"/>
  <c r="DB16" i="65"/>
  <c r="DC16" i="65"/>
  <c r="DD16" i="65"/>
  <c r="DE16" i="65"/>
  <c r="DF16" i="65"/>
  <c r="DG16" i="65"/>
  <c r="EA16" i="65"/>
  <c r="EB16" i="65"/>
  <c r="EC16" i="65"/>
  <c r="ED16" i="65"/>
  <c r="EE16" i="65"/>
  <c r="DM16" i="65"/>
  <c r="DN16" i="65"/>
  <c r="DO16" i="65"/>
  <c r="DP16" i="65"/>
  <c r="DQ16" i="65"/>
  <c r="DL16" i="65"/>
  <c r="DZ16" i="65"/>
  <c r="C72" i="61"/>
  <c r="WU406" i="2" l="1"/>
  <c r="XC406" i="2" s="1"/>
  <c r="Z18" i="61" s="1"/>
  <c r="WU408" i="2"/>
  <c r="XC408" i="2" s="1"/>
  <c r="Z20" i="61" s="1"/>
  <c r="WU444" i="2"/>
  <c r="WU446" i="2"/>
  <c r="XC446" i="2" s="1"/>
  <c r="AB20" i="61" s="1"/>
  <c r="WU368" i="2"/>
  <c r="XC368" i="2" s="1"/>
  <c r="X18" i="61" s="1"/>
  <c r="WU370" i="2"/>
  <c r="XC370" i="2" s="1"/>
  <c r="X20" i="61" s="1"/>
  <c r="J355" i="2"/>
  <c r="J393" i="2"/>
  <c r="J431" i="2"/>
  <c r="GJ30" i="65"/>
  <c r="GE30" i="65"/>
  <c r="GK30" i="65"/>
  <c r="GI30" i="65"/>
  <c r="HL16" i="65"/>
  <c r="GN30" i="65"/>
  <c r="HK16" i="65"/>
  <c r="GL30" i="65"/>
  <c r="HI16" i="65"/>
  <c r="DI16" i="65"/>
  <c r="GH30" i="65"/>
  <c r="DH16" i="65"/>
  <c r="GG30" i="65"/>
  <c r="GF30" i="65"/>
  <c r="DW25" i="65"/>
  <c r="GD30" i="65"/>
  <c r="S30" i="65"/>
  <c r="HN16" i="65"/>
  <c r="AI30" i="65"/>
  <c r="AY30" i="65"/>
  <c r="HJ16" i="65"/>
  <c r="GC30" i="65"/>
  <c r="R30" i="65"/>
  <c r="AH30" i="65"/>
  <c r="AX30" i="65"/>
  <c r="HM16" i="65"/>
  <c r="DV25" i="65"/>
  <c r="GM30" i="65"/>
  <c r="I43" i="25"/>
  <c r="XF142" i="2" l="1"/>
  <c r="XR142" i="2" s="1"/>
  <c r="WU431" i="2"/>
  <c r="WU393" i="2"/>
  <c r="XC393" i="2"/>
  <c r="XC444" i="2"/>
  <c r="XC355" i="2"/>
  <c r="WU355" i="2"/>
  <c r="GO30" i="65"/>
  <c r="GP30" i="65"/>
  <c r="XC431" i="2" l="1"/>
  <c r="AB18" i="61"/>
  <c r="XF140" i="2"/>
  <c r="WS474" i="2"/>
  <c r="FB36" i="65"/>
  <c r="XF127" i="2" l="1"/>
  <c r="XF10" i="2" s="1"/>
  <c r="WQ32" i="2"/>
  <c r="WQ31" i="2"/>
  <c r="WQ19" i="2"/>
  <c r="WU17" i="2"/>
  <c r="XW17" i="2" s="1"/>
  <c r="WQ14" i="2"/>
  <c r="XU14" i="2" s="1"/>
  <c r="XC32" i="2" l="1"/>
  <c r="XF32" i="2" s="1"/>
  <c r="XU32" i="2"/>
  <c r="YA17" i="2"/>
  <c r="XC19" i="2"/>
  <c r="F11" i="61" s="1"/>
  <c r="D11" i="61" s="1"/>
  <c r="XU19" i="2"/>
  <c r="XC31" i="2"/>
  <c r="XF31" i="2" s="1"/>
  <c r="XU31" i="2"/>
  <c r="XR140" i="2"/>
  <c r="XR127" i="2" s="1"/>
  <c r="XR472" i="2" s="1"/>
  <c r="XQ472" i="2"/>
  <c r="WQ13" i="2"/>
  <c r="XC17" i="2"/>
  <c r="XF19" i="2" l="1"/>
  <c r="XI19" i="2" s="1"/>
  <c r="XU13" i="2"/>
  <c r="XU7" i="2" s="1"/>
  <c r="YA31" i="2"/>
  <c r="YA32" i="2"/>
  <c r="F23" i="61"/>
  <c r="D23" i="61" s="1"/>
  <c r="YA19" i="2"/>
  <c r="F24" i="61"/>
  <c r="D24" i="61" s="1"/>
  <c r="XI31" i="2"/>
  <c r="XI32" i="2"/>
  <c r="XF17" i="2"/>
  <c r="F9" i="61"/>
  <c r="D9" i="61" s="1"/>
  <c r="D22" i="46"/>
  <c r="WU292" i="2"/>
  <c r="WU294" i="2"/>
  <c r="XC294" i="2" s="1"/>
  <c r="T20" i="61" s="1"/>
  <c r="WU330" i="2"/>
  <c r="WU332" i="2"/>
  <c r="XC332" i="2" s="1"/>
  <c r="V20" i="61" s="1"/>
  <c r="WU254" i="2"/>
  <c r="WU256" i="2"/>
  <c r="XC256" i="2" s="1"/>
  <c r="R20" i="61" s="1"/>
  <c r="J241" i="2"/>
  <c r="J279" i="2"/>
  <c r="J317" i="2"/>
  <c r="XC254" i="2" l="1"/>
  <c r="XC241" i="2" s="1"/>
  <c r="XW26" i="2"/>
  <c r="XU471" i="2"/>
  <c r="XU475" i="2" s="1"/>
  <c r="XI17" i="2"/>
  <c r="XF104" i="2"/>
  <c r="WU279" i="2"/>
  <c r="WU317" i="2"/>
  <c r="XC330" i="2"/>
  <c r="XC292" i="2"/>
  <c r="D20" i="46"/>
  <c r="WU241" i="2"/>
  <c r="WU497" i="2"/>
  <c r="J484" i="2"/>
  <c r="WS473" i="2"/>
  <c r="WS475" i="2" s="1"/>
  <c r="WN35" i="2"/>
  <c r="WT28" i="2"/>
  <c r="XN28" i="2" s="1"/>
  <c r="XX497" i="2" l="1"/>
  <c r="F66" i="7"/>
  <c r="R18" i="61"/>
  <c r="YA26" i="2"/>
  <c r="XP13" i="2"/>
  <c r="XP471" i="2" s="1"/>
  <c r="XP475" i="2" s="1"/>
  <c r="XK35" i="2"/>
  <c r="XN13" i="2"/>
  <c r="XR28" i="2"/>
  <c r="XC499" i="2"/>
  <c r="XT499" i="2" s="1"/>
  <c r="XX499" i="2"/>
  <c r="XI66" i="2"/>
  <c r="XC279" i="2"/>
  <c r="T18" i="61"/>
  <c r="XC317" i="2"/>
  <c r="V18" i="61"/>
  <c r="XF102" i="2"/>
  <c r="XR102" i="2" s="1"/>
  <c r="D6" i="46"/>
  <c r="WU484" i="2"/>
  <c r="XC497" i="2"/>
  <c r="R484" i="2"/>
  <c r="XB35" i="2"/>
  <c r="WN13" i="2"/>
  <c r="XB28" i="2"/>
  <c r="XO13" i="2" s="1"/>
  <c r="WT13" i="2"/>
  <c r="XP7" i="2" l="1"/>
  <c r="XR35" i="2"/>
  <c r="XK13" i="2"/>
  <c r="XK7" i="2" s="1"/>
  <c r="XN471" i="2"/>
  <c r="XN475" i="2" s="1"/>
  <c r="XN7" i="2"/>
  <c r="XO471" i="2"/>
  <c r="XO475" i="2" s="1"/>
  <c r="XO7" i="2"/>
  <c r="XT497" i="2"/>
  <c r="YA499" i="2"/>
  <c r="XX484" i="2"/>
  <c r="XR104" i="2"/>
  <c r="XR89" i="2" s="1"/>
  <c r="XE35" i="2"/>
  <c r="E27" i="61"/>
  <c r="C27" i="61" s="1"/>
  <c r="XE28" i="2"/>
  <c r="E20" i="61"/>
  <c r="C20" i="61" s="1"/>
  <c r="D18" i="61"/>
  <c r="XI64" i="2"/>
  <c r="XF89" i="2"/>
  <c r="XF9" i="2" s="1"/>
  <c r="XB13" i="2"/>
  <c r="WW14" i="2"/>
  <c r="XX14" i="2" s="1"/>
  <c r="XK471" i="2" l="1"/>
  <c r="XK475" i="2" s="1"/>
  <c r="YA14" i="2"/>
  <c r="XI51" i="2"/>
  <c r="XI8" i="2" s="1"/>
  <c r="XH28" i="2"/>
  <c r="XX13" i="2"/>
  <c r="XH35" i="2"/>
  <c r="YA497" i="2"/>
  <c r="XE13" i="2"/>
  <c r="XE7" i="2" s="1"/>
  <c r="WW13" i="2"/>
  <c r="XC14" i="2"/>
  <c r="WU28" i="2"/>
  <c r="XW28" i="2" s="1"/>
  <c r="XH13" i="2" l="1"/>
  <c r="XH7" i="2" s="1"/>
  <c r="YA28" i="2"/>
  <c r="XX7" i="2"/>
  <c r="XX471" i="2"/>
  <c r="XX475" i="2" s="1"/>
  <c r="XF14" i="2"/>
  <c r="XI14" i="2" s="1"/>
  <c r="XC28" i="2"/>
  <c r="WU13" i="2"/>
  <c r="V19" i="65"/>
  <c r="XW13" i="2" l="1"/>
  <c r="XF28" i="2"/>
  <c r="F20" i="61"/>
  <c r="D20" i="61" s="1"/>
  <c r="XC13" i="2"/>
  <c r="E6" i="61"/>
  <c r="C47" i="61"/>
  <c r="D47" i="61"/>
  <c r="C48" i="61"/>
  <c r="D48" i="61"/>
  <c r="C49" i="61"/>
  <c r="D49" i="61"/>
  <c r="C50" i="61"/>
  <c r="D50" i="61"/>
  <c r="C51" i="61"/>
  <c r="D51" i="61"/>
  <c r="C52" i="61"/>
  <c r="D52" i="61"/>
  <c r="C53" i="61"/>
  <c r="D53" i="61"/>
  <c r="C54" i="61"/>
  <c r="D54" i="61"/>
  <c r="C55" i="61"/>
  <c r="D55" i="61"/>
  <c r="C56" i="61"/>
  <c r="D56" i="61"/>
  <c r="C57" i="61"/>
  <c r="D57" i="61"/>
  <c r="C58" i="61"/>
  <c r="D58" i="61"/>
  <c r="C59" i="61"/>
  <c r="D59" i="61"/>
  <c r="C60" i="61"/>
  <c r="D60" i="61"/>
  <c r="C61" i="61"/>
  <c r="D61" i="61"/>
  <c r="C62" i="61"/>
  <c r="D62" i="61"/>
  <c r="C63" i="61"/>
  <c r="D63" i="61"/>
  <c r="C64" i="61"/>
  <c r="D64" i="61"/>
  <c r="C65" i="61"/>
  <c r="D65" i="61"/>
  <c r="C66" i="61"/>
  <c r="D66" i="61"/>
  <c r="C67" i="61"/>
  <c r="D67" i="61"/>
  <c r="C68" i="61"/>
  <c r="D68" i="61"/>
  <c r="C69" i="61"/>
  <c r="D69" i="61"/>
  <c r="C70" i="61"/>
  <c r="D70" i="61"/>
  <c r="C71" i="61"/>
  <c r="D71" i="61"/>
  <c r="D72" i="61"/>
  <c r="D46" i="61"/>
  <c r="C46" i="61"/>
  <c r="XW7" i="2" l="1"/>
  <c r="XW471" i="2"/>
  <c r="XW475" i="2" s="1"/>
  <c r="XF13" i="2"/>
  <c r="XF7" i="2" s="1"/>
  <c r="XI28" i="2"/>
  <c r="BN10" i="54"/>
  <c r="BO10" i="54"/>
  <c r="BN11" i="54"/>
  <c r="BO11" i="54"/>
  <c r="BN12" i="54"/>
  <c r="BO12" i="54"/>
  <c r="BN13" i="54"/>
  <c r="BN14" i="54"/>
  <c r="BO14" i="54"/>
  <c r="BN9" i="54"/>
  <c r="BO9" i="54"/>
  <c r="BN15" i="54"/>
  <c r="BO15" i="54"/>
  <c r="BN16" i="54"/>
  <c r="BO16" i="54"/>
  <c r="BN17" i="54"/>
  <c r="BO17" i="54"/>
  <c r="XQ13" i="2" l="1"/>
  <c r="Z7" i="58"/>
  <c r="X7" i="58"/>
  <c r="U7" i="58"/>
  <c r="I7" i="58"/>
  <c r="G7" i="55"/>
  <c r="G7" i="58"/>
  <c r="E7" i="55"/>
  <c r="E7" i="58"/>
  <c r="S7" i="58"/>
  <c r="Q7" i="58"/>
  <c r="O7" i="58"/>
  <c r="M7" i="58"/>
  <c r="Y7" i="43"/>
  <c r="F7" i="55"/>
  <c r="Y7" i="58"/>
  <c r="W7" i="58"/>
  <c r="Y7" i="40"/>
  <c r="H7" i="58"/>
  <c r="L7" i="46"/>
  <c r="W7" i="43"/>
  <c r="V7" i="58"/>
  <c r="H7" i="55"/>
  <c r="T7" i="58"/>
  <c r="R7" i="58"/>
  <c r="V7" i="46"/>
  <c r="J7" i="46"/>
  <c r="H7" i="46"/>
  <c r="F7" i="46"/>
  <c r="T7" i="46"/>
  <c r="R7" i="46"/>
  <c r="P7" i="46"/>
  <c r="N7" i="46"/>
  <c r="K7" i="46"/>
  <c r="Z7" i="46"/>
  <c r="X7" i="46"/>
  <c r="U7" i="46"/>
  <c r="I7" i="46"/>
  <c r="G7" i="46"/>
  <c r="E7" i="46"/>
  <c r="S7" i="46"/>
  <c r="Q7" i="46"/>
  <c r="O7" i="46"/>
  <c r="M7" i="46"/>
  <c r="L7" i="40"/>
  <c r="J7" i="58"/>
  <c r="F7" i="58"/>
  <c r="Y7" i="46"/>
  <c r="W7" i="46"/>
  <c r="V7" i="40"/>
  <c r="V7" i="43"/>
  <c r="J7" i="40"/>
  <c r="J7" i="43"/>
  <c r="H7" i="40"/>
  <c r="H7" i="43"/>
  <c r="F7" i="40"/>
  <c r="F7" i="43"/>
  <c r="T7" i="40"/>
  <c r="T7" i="43"/>
  <c r="R7" i="40"/>
  <c r="R7" i="43"/>
  <c r="P7" i="40"/>
  <c r="P7" i="43"/>
  <c r="N7" i="40"/>
  <c r="N7" i="43"/>
  <c r="K7" i="40"/>
  <c r="K7" i="43"/>
  <c r="W7" i="40"/>
  <c r="Z7" i="40"/>
  <c r="Z7" i="43"/>
  <c r="X7" i="40"/>
  <c r="X7" i="43"/>
  <c r="U7" i="40"/>
  <c r="U7" i="43"/>
  <c r="I7" i="40"/>
  <c r="I7" i="43"/>
  <c r="G7" i="40"/>
  <c r="G7" i="43"/>
  <c r="E7" i="40"/>
  <c r="E7" i="43"/>
  <c r="S7" i="40"/>
  <c r="S7" i="43"/>
  <c r="Q7" i="40"/>
  <c r="Q7" i="43"/>
  <c r="O7" i="40"/>
  <c r="O7" i="43"/>
  <c r="M7" i="40"/>
  <c r="M7" i="43"/>
  <c r="L7" i="58"/>
  <c r="P7" i="58"/>
  <c r="N7" i="58"/>
  <c r="K7" i="58"/>
  <c r="L7" i="43"/>
  <c r="BO43" i="54"/>
  <c r="BN43" i="54"/>
  <c r="BO42" i="54"/>
  <c r="BN42" i="54"/>
  <c r="BO41" i="54"/>
  <c r="BN41" i="54"/>
  <c r="BO40" i="54"/>
  <c r="BN40" i="54"/>
  <c r="BO39" i="54"/>
  <c r="BN39" i="54"/>
  <c r="BO38" i="54"/>
  <c r="BN38" i="54"/>
  <c r="BO37" i="54"/>
  <c r="BN37" i="54"/>
  <c r="BO36" i="54"/>
  <c r="BN36" i="54"/>
  <c r="BO35" i="54"/>
  <c r="BN35" i="54"/>
  <c r="BO34" i="54"/>
  <c r="BN34" i="54"/>
  <c r="BO33" i="54"/>
  <c r="BN33" i="54"/>
  <c r="BO32" i="54"/>
  <c r="BN32" i="54"/>
  <c r="BO31" i="54"/>
  <c r="BN31" i="54"/>
  <c r="BO30" i="54"/>
  <c r="BN30" i="54"/>
  <c r="BO29" i="54"/>
  <c r="BN29" i="54"/>
  <c r="BO28" i="54"/>
  <c r="BN28" i="54"/>
  <c r="BO27" i="54"/>
  <c r="BN27" i="54"/>
  <c r="BO26" i="54"/>
  <c r="BN26" i="54"/>
  <c r="BO25" i="54"/>
  <c r="BN25" i="54"/>
  <c r="BO24" i="54"/>
  <c r="BN24" i="54"/>
  <c r="BO23" i="54"/>
  <c r="BN23" i="54"/>
  <c r="BO22" i="54"/>
  <c r="BN22" i="54"/>
  <c r="BO21" i="54"/>
  <c r="BN21" i="54"/>
  <c r="BO20" i="54"/>
  <c r="BN20" i="54"/>
  <c r="BO19" i="54"/>
  <c r="BN19" i="54"/>
  <c r="BO13" i="54"/>
  <c r="BO7" i="54"/>
  <c r="BN7" i="54"/>
  <c r="BO6" i="54"/>
  <c r="BN6" i="54"/>
  <c r="XQ471" i="2" l="1"/>
  <c r="XQ475" i="2" s="1"/>
  <c r="XQ7" i="2"/>
  <c r="D7" i="43"/>
  <c r="C7" i="40"/>
  <c r="D7" i="46"/>
  <c r="C7" i="43"/>
  <c r="C7" i="46"/>
  <c r="C7" i="55"/>
  <c r="B1" i="55" s="1"/>
  <c r="D7" i="58"/>
  <c r="D7" i="40"/>
  <c r="D7" i="55"/>
  <c r="B4" i="55" s="1"/>
  <c r="BN18" i="54"/>
  <c r="CB22" i="46"/>
  <c r="CB32" i="46"/>
  <c r="BO18" i="54"/>
  <c r="CC22" i="46"/>
  <c r="CB19" i="46"/>
  <c r="CB25" i="46"/>
  <c r="CC26" i="46"/>
  <c r="CC30" i="46"/>
  <c r="CB12" i="46"/>
  <c r="CB14" i="46"/>
  <c r="CC19" i="46"/>
  <c r="CC34" i="46"/>
  <c r="CC24" i="46"/>
  <c r="CC9" i="46"/>
  <c r="CB33" i="46"/>
  <c r="CB15" i="46"/>
  <c r="CB27" i="46"/>
  <c r="AO7" i="58"/>
  <c r="AZ7" i="58"/>
  <c r="BD7" i="58"/>
  <c r="BH7" i="58"/>
  <c r="BP7" i="58"/>
  <c r="AC7" i="58"/>
  <c r="AG7" i="58"/>
  <c r="AK7" i="58"/>
  <c r="BA7" i="58"/>
  <c r="BI7" i="58"/>
  <c r="BL7" i="58"/>
  <c r="AE7" i="46"/>
  <c r="AI7" i="46"/>
  <c r="AQ7" i="46"/>
  <c r="AU7" i="46"/>
  <c r="AY7" i="46"/>
  <c r="BC7" i="46"/>
  <c r="BS7" i="46"/>
  <c r="AD7" i="46"/>
  <c r="AP7" i="46"/>
  <c r="AT7" i="46"/>
  <c r="BB7" i="46"/>
  <c r="BF7" i="46"/>
  <c r="BJ7" i="46"/>
  <c r="BZ7" i="46"/>
  <c r="BY7" i="58"/>
  <c r="BX7" i="58"/>
  <c r="BW7" i="46"/>
  <c r="BV7" i="46"/>
  <c r="BU7" i="58"/>
  <c r="BT7" i="58"/>
  <c r="BQ7" i="58"/>
  <c r="BR7" i="46"/>
  <c r="BN7" i="46"/>
  <c r="BM7" i="58"/>
  <c r="BK7" i="46"/>
  <c r="BG7" i="46"/>
  <c r="BE7" i="58"/>
  <c r="AX7" i="46"/>
  <c r="AV7" i="58"/>
  <c r="AS7" i="58"/>
  <c r="AM7" i="46"/>
  <c r="AE7" i="43"/>
  <c r="AE7" i="40"/>
  <c r="AI7" i="43"/>
  <c r="AI7" i="40"/>
  <c r="AM7" i="43"/>
  <c r="AM7" i="40"/>
  <c r="AQ7" i="43"/>
  <c r="AQ7" i="40"/>
  <c r="AU7" i="43"/>
  <c r="AU7" i="40"/>
  <c r="AY7" i="43"/>
  <c r="AY7" i="40"/>
  <c r="BC7" i="43"/>
  <c r="BC7" i="40"/>
  <c r="BG7" i="43"/>
  <c r="BG7" i="40"/>
  <c r="BK7" i="43"/>
  <c r="BK7" i="40"/>
  <c r="BO7" i="40"/>
  <c r="BS7" i="43"/>
  <c r="BS7" i="40"/>
  <c r="BW7" i="43"/>
  <c r="BW7" i="40"/>
  <c r="AF7" i="43"/>
  <c r="AF7" i="40"/>
  <c r="AJ7" i="43"/>
  <c r="AJ7" i="40"/>
  <c r="AN7" i="43"/>
  <c r="AN7" i="40"/>
  <c r="AR7" i="43"/>
  <c r="AR7" i="40"/>
  <c r="AV7" i="43"/>
  <c r="AV7" i="40"/>
  <c r="AZ7" i="43"/>
  <c r="AZ7" i="40"/>
  <c r="BD7" i="43"/>
  <c r="BD7" i="40"/>
  <c r="BH7" i="43"/>
  <c r="BH7" i="40"/>
  <c r="BL7" i="43"/>
  <c r="BL7" i="40"/>
  <c r="BP7" i="40"/>
  <c r="BT7" i="43"/>
  <c r="BT7" i="40"/>
  <c r="BX7" i="43"/>
  <c r="BX7" i="40"/>
  <c r="AF7" i="58"/>
  <c r="AJ7" i="58"/>
  <c r="AN7" i="58"/>
  <c r="AR7" i="58"/>
  <c r="AF7" i="46"/>
  <c r="AJ7" i="46"/>
  <c r="AN7" i="46"/>
  <c r="AP7" i="58"/>
  <c r="AR7" i="46"/>
  <c r="AT7" i="58"/>
  <c r="AV7" i="46"/>
  <c r="AZ7" i="46"/>
  <c r="BB7" i="58"/>
  <c r="BD7" i="46"/>
  <c r="BF7" i="58"/>
  <c r="BH7" i="46"/>
  <c r="BJ7" i="58"/>
  <c r="BL7" i="46"/>
  <c r="BN7" i="58"/>
  <c r="BR7" i="58"/>
  <c r="BT7" i="46"/>
  <c r="BV7" i="58"/>
  <c r="BX7" i="46"/>
  <c r="BZ7" i="58"/>
  <c r="AC7" i="43"/>
  <c r="AG7" i="43"/>
  <c r="AG7" i="40"/>
  <c r="AK7" i="40"/>
  <c r="AO7" i="40"/>
  <c r="AS7" i="40"/>
  <c r="BA7" i="40"/>
  <c r="BE7" i="40"/>
  <c r="BI7" i="40"/>
  <c r="BM7" i="40"/>
  <c r="BQ7" i="43"/>
  <c r="BU7" i="43"/>
  <c r="BY7" i="43"/>
  <c r="AC7" i="40"/>
  <c r="AK7" i="43"/>
  <c r="AD7" i="43"/>
  <c r="AD7" i="40"/>
  <c r="AH7" i="43"/>
  <c r="AH7" i="40"/>
  <c r="AL7" i="43"/>
  <c r="AL7" i="40"/>
  <c r="AP7" i="43"/>
  <c r="AP7" i="40"/>
  <c r="AT7" i="43"/>
  <c r="AT7" i="40"/>
  <c r="BB7" i="40"/>
  <c r="BF7" i="43"/>
  <c r="BF7" i="40"/>
  <c r="BJ7" i="43"/>
  <c r="BJ7" i="40"/>
  <c r="BN7" i="43"/>
  <c r="BN7" i="40"/>
  <c r="BR7" i="43"/>
  <c r="BR7" i="40"/>
  <c r="BV7" i="43"/>
  <c r="BV7" i="40"/>
  <c r="BZ7" i="43"/>
  <c r="BZ7" i="40"/>
  <c r="AD7" i="58"/>
  <c r="AH7" i="58"/>
  <c r="AL7" i="58"/>
  <c r="AO7" i="43"/>
  <c r="AS7" i="43"/>
  <c r="BE7" i="43"/>
  <c r="BI7" i="43"/>
  <c r="BM7" i="43"/>
  <c r="BQ7" i="40"/>
  <c r="BU7" i="40"/>
  <c r="BY7" i="40"/>
  <c r="AA7" i="58"/>
  <c r="AC7" i="46"/>
  <c r="AE7" i="58"/>
  <c r="AI7" i="58"/>
  <c r="AM7" i="58"/>
  <c r="AO7" i="46"/>
  <c r="AQ7" i="58"/>
  <c r="AS7" i="46"/>
  <c r="AU7" i="58"/>
  <c r="AY7" i="58"/>
  <c r="BA7" i="46"/>
  <c r="BC7" i="58"/>
  <c r="BE7" i="46"/>
  <c r="BG7" i="58"/>
  <c r="BI7" i="46"/>
  <c r="BK7" i="58"/>
  <c r="BM7" i="46"/>
  <c r="BO7" i="58"/>
  <c r="BQ7" i="46"/>
  <c r="BS7" i="58"/>
  <c r="BU7" i="46"/>
  <c r="BW7" i="58"/>
  <c r="BY7" i="46"/>
  <c r="CB9" i="46"/>
  <c r="CC13" i="46"/>
  <c r="CB16" i="46"/>
  <c r="CB17" i="46"/>
  <c r="CB18" i="46"/>
  <c r="CB20" i="46"/>
  <c r="CB21" i="46"/>
  <c r="CB24" i="46"/>
  <c r="CC29" i="46"/>
  <c r="CB31" i="46"/>
  <c r="CC12" i="46"/>
  <c r="CC16" i="46"/>
  <c r="CC17" i="46"/>
  <c r="CC18" i="46"/>
  <c r="CC20" i="46"/>
  <c r="CC21" i="46"/>
  <c r="CB23" i="46"/>
  <c r="CC25" i="46"/>
  <c r="CC31" i="46"/>
  <c r="CB10" i="46"/>
  <c r="CB11" i="46"/>
  <c r="CC14" i="46"/>
  <c r="CC23" i="46"/>
  <c r="CB28" i="46"/>
  <c r="CB30" i="46"/>
  <c r="CC33" i="46"/>
  <c r="CC10" i="46"/>
  <c r="CC11" i="46"/>
  <c r="CB13" i="46"/>
  <c r="CC15" i="46"/>
  <c r="CB26" i="46"/>
  <c r="CC27" i="46"/>
  <c r="CC28" i="46"/>
  <c r="CB29" i="46"/>
  <c r="CC32" i="46"/>
  <c r="AX7" i="43"/>
  <c r="CB34" i="46"/>
  <c r="AW7" i="46"/>
  <c r="AW7" i="40"/>
  <c r="BB7" i="43"/>
  <c r="BA7" i="43"/>
  <c r="AG7" i="46"/>
  <c r="CB8" i="46"/>
  <c r="AH7" i="46"/>
  <c r="CC8" i="46"/>
  <c r="BP7" i="46"/>
  <c r="BO7" i="46"/>
  <c r="BP7" i="43"/>
  <c r="BO7" i="43"/>
  <c r="EZ44" i="65"/>
  <c r="FA44" i="65"/>
  <c r="FB44" i="65"/>
  <c r="FC44" i="65"/>
  <c r="FD44" i="65"/>
  <c r="FE44" i="65"/>
  <c r="FF44" i="65"/>
  <c r="FG44" i="65"/>
  <c r="FH44" i="65"/>
  <c r="FI44" i="65"/>
  <c r="FJ44" i="65"/>
  <c r="FK44" i="65"/>
  <c r="CB7" i="46" l="1"/>
  <c r="CC7" i="46"/>
  <c r="AW7" i="58"/>
  <c r="AX7" i="58"/>
  <c r="FL44" i="65"/>
  <c r="FM44" i="65"/>
  <c r="AA7" i="43"/>
  <c r="AB7" i="40"/>
  <c r="AA7" i="40"/>
  <c r="B1" i="40" s="1"/>
  <c r="AA7" i="46"/>
  <c r="B1" i="46" s="1"/>
  <c r="AB7" i="46"/>
  <c r="B4" i="46" s="1"/>
  <c r="AB7" i="58"/>
  <c r="AB7" i="43"/>
  <c r="CC7" i="43"/>
  <c r="B4" i="43" s="1"/>
  <c r="B4" i="58" l="1"/>
  <c r="FC22" i="65"/>
  <c r="DJ44" i="65" l="1"/>
  <c r="DK44" i="65"/>
  <c r="DL44" i="65"/>
  <c r="DM44" i="65"/>
  <c r="DN44" i="65"/>
  <c r="DO44" i="65"/>
  <c r="DP44" i="65"/>
  <c r="DQ44" i="65"/>
  <c r="DR44" i="65"/>
  <c r="DS44" i="65"/>
  <c r="DT44" i="65"/>
  <c r="DU44" i="65"/>
  <c r="DX44" i="65"/>
  <c r="DY44" i="65"/>
  <c r="DZ44" i="65"/>
  <c r="EA44" i="65"/>
  <c r="EB44" i="65"/>
  <c r="EC44" i="65"/>
  <c r="ED44" i="65"/>
  <c r="EE44" i="65"/>
  <c r="EF44" i="65"/>
  <c r="EG44" i="65"/>
  <c r="EH44" i="65"/>
  <c r="EI44" i="65"/>
  <c r="EL44" i="65"/>
  <c r="EM44" i="65"/>
  <c r="EN44" i="65"/>
  <c r="EO44" i="65"/>
  <c r="EP44" i="65"/>
  <c r="EQ44" i="65"/>
  <c r="ER44" i="65"/>
  <c r="ES44" i="65"/>
  <c r="ET44" i="65"/>
  <c r="EU44" i="65"/>
  <c r="EV44" i="65"/>
  <c r="EW44" i="65"/>
  <c r="EY44" i="65" l="1"/>
  <c r="EK44" i="65"/>
  <c r="DW44" i="65"/>
  <c r="EX44" i="65"/>
  <c r="EJ44" i="65"/>
  <c r="DV44" i="65"/>
  <c r="CV44" i="65" l="1"/>
  <c r="CW44" i="65"/>
  <c r="CX44" i="65"/>
  <c r="HI44" i="65" s="1"/>
  <c r="CY44" i="65"/>
  <c r="HJ44" i="65" s="1"/>
  <c r="CZ44" i="65"/>
  <c r="HK44" i="65" s="1"/>
  <c r="DA44" i="65"/>
  <c r="HL44" i="65" s="1"/>
  <c r="DB44" i="65"/>
  <c r="HM44" i="65" s="1"/>
  <c r="DC44" i="65"/>
  <c r="HN44" i="65" s="1"/>
  <c r="DD44" i="65"/>
  <c r="HO44" i="65" s="1"/>
  <c r="DE44" i="65"/>
  <c r="HP44" i="65" s="1"/>
  <c r="DF44" i="65"/>
  <c r="HQ44" i="65" s="1"/>
  <c r="DG44" i="65"/>
  <c r="HR44" i="65" s="1"/>
  <c r="HH44" i="65" l="1"/>
  <c r="HT44" i="65" s="1"/>
  <c r="DI44" i="65"/>
  <c r="HG44" i="65"/>
  <c r="HS44" i="65" s="1"/>
  <c r="DH44" i="65"/>
  <c r="D44" i="62" l="1"/>
  <c r="A61" i="62"/>
  <c r="B30" i="62"/>
  <c r="B29" i="62"/>
  <c r="B28" i="62"/>
  <c r="B27" i="62"/>
  <c r="B26" i="62"/>
  <c r="B25" i="62"/>
  <c r="B24" i="62"/>
  <c r="B23" i="62"/>
  <c r="B22" i="62"/>
  <c r="B21" i="62"/>
  <c r="B20" i="62"/>
  <c r="B19" i="62"/>
  <c r="B18" i="62"/>
  <c r="B17" i="62"/>
  <c r="B16" i="62"/>
  <c r="B15" i="62"/>
  <c r="B14" i="62"/>
  <c r="B13" i="62"/>
  <c r="B12" i="62"/>
  <c r="B11" i="62"/>
  <c r="B10" i="62"/>
  <c r="B9" i="62"/>
  <c r="B8" i="62"/>
  <c r="E45" i="62" l="1"/>
  <c r="B7" i="7"/>
  <c r="B54" i="7" s="1"/>
  <c r="L7" i="7"/>
  <c r="L8" i="7" s="1"/>
  <c r="L9" i="7" s="1"/>
  <c r="L10" i="7" s="1"/>
  <c r="L11" i="7" s="1"/>
  <c r="L12" i="7" s="1"/>
  <c r="L13" i="7" s="1"/>
  <c r="L14" i="7" s="1"/>
  <c r="L15" i="7" s="1"/>
  <c r="L16" i="7" s="1"/>
  <c r="L17" i="7" s="1"/>
  <c r="L18" i="7" s="1"/>
  <c r="L19" i="7" s="1"/>
  <c r="L20" i="7" s="1"/>
  <c r="L21" i="7" s="1"/>
  <c r="L22" i="7" s="1"/>
  <c r="BP36" i="65" l="1"/>
  <c r="T22" i="65" l="1"/>
  <c r="U22" i="65"/>
  <c r="V22" i="65"/>
  <c r="W22" i="65"/>
  <c r="Z22" i="65"/>
  <c r="AA22" i="65"/>
  <c r="AB22" i="65"/>
  <c r="AC22" i="65"/>
  <c r="AD22" i="65"/>
  <c r="AE22" i="65"/>
  <c r="AF22" i="65"/>
  <c r="AG22" i="65"/>
  <c r="AI22" i="65" l="1"/>
  <c r="AH22" i="65"/>
  <c r="T15" i="65"/>
  <c r="U15" i="65"/>
  <c r="T37" i="65" l="1"/>
  <c r="U37" i="65"/>
  <c r="V37" i="65"/>
  <c r="W37" i="65"/>
  <c r="Z37" i="65"/>
  <c r="AA37" i="65"/>
  <c r="AB37" i="65"/>
  <c r="AC37" i="65"/>
  <c r="AD37" i="65"/>
  <c r="AE37" i="65"/>
  <c r="AF37" i="65"/>
  <c r="AG37" i="65"/>
  <c r="AJ37" i="65"/>
  <c r="AK37" i="65"/>
  <c r="AL37" i="65"/>
  <c r="AM37" i="65"/>
  <c r="AP37" i="65"/>
  <c r="AQ37" i="65"/>
  <c r="AR37" i="65"/>
  <c r="AS37" i="65"/>
  <c r="AT37" i="65"/>
  <c r="AU37" i="65"/>
  <c r="AV37" i="65"/>
  <c r="AW37" i="65"/>
  <c r="AZ37" i="65"/>
  <c r="BA37" i="65"/>
  <c r="BB37" i="65"/>
  <c r="BC37" i="65"/>
  <c r="BF37" i="65"/>
  <c r="BG37" i="65"/>
  <c r="BH37" i="65"/>
  <c r="BI37" i="65"/>
  <c r="BJ37" i="65"/>
  <c r="BK37" i="65"/>
  <c r="BL37" i="65"/>
  <c r="BM37" i="65"/>
  <c r="BP37" i="65"/>
  <c r="BQ37" i="65"/>
  <c r="BR37" i="65"/>
  <c r="BS37" i="65"/>
  <c r="BV37" i="65"/>
  <c r="BW37" i="65"/>
  <c r="BX37" i="65"/>
  <c r="BY37" i="65"/>
  <c r="BZ37" i="65"/>
  <c r="CA37" i="65"/>
  <c r="CB37" i="65"/>
  <c r="CC37" i="65"/>
  <c r="CF37" i="65"/>
  <c r="CG37" i="65"/>
  <c r="CH37" i="65"/>
  <c r="CI37" i="65"/>
  <c r="CN37" i="65"/>
  <c r="CO37" i="65"/>
  <c r="CP37" i="65"/>
  <c r="CQ37" i="65"/>
  <c r="CR37" i="65"/>
  <c r="CS37" i="65"/>
  <c r="HA37" i="65" l="1"/>
  <c r="GZ37" i="65"/>
  <c r="GU37" i="65"/>
  <c r="GY37" i="65"/>
  <c r="GX37" i="65"/>
  <c r="GW37" i="65"/>
  <c r="GV37" i="65"/>
  <c r="GT37" i="65"/>
  <c r="CU37" i="65"/>
  <c r="CE37" i="65"/>
  <c r="GS37" i="65"/>
  <c r="BO37" i="65"/>
  <c r="AY37" i="65"/>
  <c r="AI37" i="65"/>
  <c r="CT37" i="65"/>
  <c r="CD37" i="65"/>
  <c r="GR37" i="65"/>
  <c r="BN37" i="65"/>
  <c r="AX37" i="65"/>
  <c r="AH37" i="65"/>
  <c r="HC37" i="65"/>
  <c r="HB37" i="65"/>
  <c r="FX14" i="65"/>
  <c r="FY14" i="65"/>
  <c r="FN14" i="65"/>
  <c r="FO14" i="65"/>
  <c r="FP14" i="65"/>
  <c r="FQ14" i="65"/>
  <c r="FR14" i="65"/>
  <c r="FS14" i="65"/>
  <c r="FT14" i="65"/>
  <c r="FU14" i="65"/>
  <c r="FV14" i="65"/>
  <c r="FW14" i="65"/>
  <c r="HE37" i="65" l="1"/>
  <c r="GA14" i="65"/>
  <c r="FZ14" i="65"/>
  <c r="HD37" i="65"/>
  <c r="W95" i="45"/>
  <c r="W94" i="45"/>
  <c r="W93" i="45"/>
  <c r="W92" i="45"/>
  <c r="W91" i="45"/>
  <c r="W90" i="45"/>
  <c r="W89" i="45"/>
  <c r="W88" i="45"/>
  <c r="W87" i="45"/>
  <c r="W86" i="45"/>
  <c r="W85" i="45"/>
  <c r="W84" i="45"/>
  <c r="W83" i="45"/>
  <c r="W82" i="45"/>
  <c r="W81" i="45"/>
  <c r="W80" i="45"/>
  <c r="W79" i="45"/>
  <c r="W78" i="45"/>
  <c r="W77" i="45"/>
  <c r="W76" i="45"/>
  <c r="W75" i="45"/>
  <c r="W74" i="45"/>
  <c r="W73" i="45"/>
  <c r="W72" i="45"/>
  <c r="W71" i="45"/>
  <c r="W70" i="45"/>
  <c r="W69" i="45"/>
  <c r="W68" i="45"/>
  <c r="W67" i="45"/>
  <c r="W66" i="45"/>
  <c r="W65" i="45"/>
  <c r="W64" i="45"/>
  <c r="W63" i="45"/>
  <c r="W62" i="45"/>
  <c r="W61" i="45"/>
  <c r="W60" i="45"/>
  <c r="W59" i="45"/>
  <c r="BI44" i="47" l="1"/>
  <c r="BH44" i="47"/>
  <c r="BG44" i="47"/>
  <c r="BF44" i="47"/>
  <c r="BE44" i="47"/>
  <c r="BD44" i="47"/>
  <c r="BC44" i="47"/>
  <c r="BB44" i="47"/>
  <c r="BA44" i="47"/>
  <c r="AZ44" i="47"/>
  <c r="AY44" i="47"/>
  <c r="AX44" i="47"/>
  <c r="AW44" i="47"/>
  <c r="AV44" i="47"/>
  <c r="AU44" i="47"/>
  <c r="AT44" i="47"/>
  <c r="AS44" i="47"/>
  <c r="AR44" i="47"/>
  <c r="AQ44" i="47"/>
  <c r="AP44" i="47"/>
  <c r="AO44" i="47"/>
  <c r="AN44" i="47"/>
  <c r="AM44" i="47" l="1"/>
  <c r="AL44" i="47"/>
  <c r="AK44" i="47"/>
  <c r="AJ44" i="47"/>
  <c r="AI44" i="47"/>
  <c r="AH44" i="47"/>
  <c r="E35" i="57" l="1"/>
  <c r="D35" i="44"/>
  <c r="E35" i="44"/>
  <c r="H87" i="45" s="1"/>
  <c r="D35" i="47"/>
  <c r="M39" i="49" s="1"/>
  <c r="E35" i="47"/>
  <c r="M87" i="49" s="1"/>
  <c r="D35" i="51"/>
  <c r="H41" i="52" s="1"/>
  <c r="E35" i="51"/>
  <c r="H103" i="52" s="1"/>
  <c r="D35" i="54"/>
  <c r="K39" i="56" s="1"/>
  <c r="E35" i="54"/>
  <c r="K88" i="56" s="1"/>
  <c r="D35" i="42"/>
  <c r="E35" i="42"/>
  <c r="I87" i="41" s="1"/>
  <c r="G35" i="57"/>
  <c r="F35" i="44"/>
  <c r="G35" i="44"/>
  <c r="F35" i="47"/>
  <c r="K39" i="49" s="1"/>
  <c r="G35" i="47"/>
  <c r="K87" i="49" s="1"/>
  <c r="F35" i="51"/>
  <c r="G35" i="51"/>
  <c r="F35" i="54"/>
  <c r="I39" i="56" s="1"/>
  <c r="G35" i="54"/>
  <c r="I88" i="56" s="1"/>
  <c r="F35" i="42"/>
  <c r="K39" i="41" s="1"/>
  <c r="G35" i="42"/>
  <c r="K87" i="41" s="1"/>
  <c r="I35" i="57"/>
  <c r="H35" i="44"/>
  <c r="J39" i="45" s="1"/>
  <c r="I35" i="44"/>
  <c r="J87" i="45" s="1"/>
  <c r="H35" i="47"/>
  <c r="I35" i="47"/>
  <c r="H35" i="51"/>
  <c r="I35" i="51"/>
  <c r="H35" i="54"/>
  <c r="I35" i="54"/>
  <c r="H35" i="42"/>
  <c r="I35" i="42"/>
  <c r="K35" i="57"/>
  <c r="O87" i="59" s="1"/>
  <c r="J35" i="44"/>
  <c r="K35" i="44"/>
  <c r="J35" i="47"/>
  <c r="K35" i="47"/>
  <c r="J35" i="51"/>
  <c r="K35" i="51"/>
  <c r="J35" i="54"/>
  <c r="K35" i="54"/>
  <c r="J35" i="42"/>
  <c r="K35" i="42"/>
  <c r="M35" i="57"/>
  <c r="L35" i="44"/>
  <c r="M35" i="44"/>
  <c r="L35" i="47"/>
  <c r="L39" i="49" s="1"/>
  <c r="M35" i="47"/>
  <c r="L87" i="49" s="1"/>
  <c r="L35" i="51"/>
  <c r="M41" i="52" s="1"/>
  <c r="M35" i="51"/>
  <c r="M103" i="52" s="1"/>
  <c r="L35" i="54"/>
  <c r="M35" i="54"/>
  <c r="L35" i="42"/>
  <c r="L39" i="41" s="1"/>
  <c r="M35" i="42"/>
  <c r="L87" i="41" s="1"/>
  <c r="O35" i="57"/>
  <c r="E87" i="59" s="1"/>
  <c r="N35" i="44"/>
  <c r="U39" i="45" s="1"/>
  <c r="O35" i="44"/>
  <c r="U87" i="45" s="1"/>
  <c r="N35" i="47"/>
  <c r="O35" i="47"/>
  <c r="N35" i="51"/>
  <c r="O35" i="51"/>
  <c r="N35" i="54"/>
  <c r="O35" i="54"/>
  <c r="N35" i="42"/>
  <c r="O35" i="42"/>
  <c r="Q35" i="57"/>
  <c r="P35" i="44"/>
  <c r="Q35" i="44"/>
  <c r="P35" i="47"/>
  <c r="F39" i="49" s="1"/>
  <c r="Q35" i="47"/>
  <c r="F87" i="49" s="1"/>
  <c r="P35" i="51"/>
  <c r="K41" i="52" s="1"/>
  <c r="Q35" i="51"/>
  <c r="K103" i="52" s="1"/>
  <c r="P35" i="54"/>
  <c r="H39" i="56" s="1"/>
  <c r="Q35" i="54"/>
  <c r="H88" i="56" s="1"/>
  <c r="P35" i="42"/>
  <c r="F39" i="41" s="1"/>
  <c r="Q35" i="42"/>
  <c r="F87" i="41" s="1"/>
  <c r="S35" i="57"/>
  <c r="G87" i="59" s="1"/>
  <c r="R35" i="44"/>
  <c r="G39" i="45" s="1"/>
  <c r="S35" i="44"/>
  <c r="G87" i="45" s="1"/>
  <c r="R35" i="47"/>
  <c r="S35" i="47"/>
  <c r="R35" i="51"/>
  <c r="S35" i="51"/>
  <c r="R35" i="54"/>
  <c r="S35" i="54"/>
  <c r="R35" i="42"/>
  <c r="S35" i="42"/>
  <c r="U35" i="57"/>
  <c r="T35" i="44"/>
  <c r="S39" i="45" s="1"/>
  <c r="U35" i="44"/>
  <c r="S87" i="45" s="1"/>
  <c r="T35" i="47"/>
  <c r="U35" i="47"/>
  <c r="T35" i="51"/>
  <c r="U35" i="51"/>
  <c r="T35" i="42"/>
  <c r="U35" i="42"/>
  <c r="W35" i="57"/>
  <c r="L87" i="59" s="1"/>
  <c r="V35" i="44"/>
  <c r="W35" i="44"/>
  <c r="V35" i="47"/>
  <c r="W35" i="47"/>
  <c r="V35" i="51"/>
  <c r="W35" i="51"/>
  <c r="V35" i="42"/>
  <c r="W35" i="42"/>
  <c r="Y35" i="57"/>
  <c r="X35" i="44"/>
  <c r="Y35" i="44"/>
  <c r="X35" i="47"/>
  <c r="Y35" i="47"/>
  <c r="X35" i="51"/>
  <c r="Y35" i="51"/>
  <c r="X35" i="54"/>
  <c r="Y35" i="54"/>
  <c r="X35" i="42"/>
  <c r="Y35" i="42"/>
  <c r="AA35" i="57"/>
  <c r="Z35" i="44"/>
  <c r="AA35" i="44"/>
  <c r="Z35" i="47"/>
  <c r="AA35" i="47"/>
  <c r="Z35" i="51"/>
  <c r="AA35" i="51"/>
  <c r="Z35" i="54"/>
  <c r="AA35" i="54"/>
  <c r="Z35" i="42"/>
  <c r="AA35" i="42"/>
  <c r="AC35" i="57"/>
  <c r="AB35" i="44"/>
  <c r="AC35" i="44"/>
  <c r="AB35" i="47"/>
  <c r="AC35" i="47"/>
  <c r="AB35" i="51"/>
  <c r="AC35" i="51"/>
  <c r="AB35" i="54"/>
  <c r="AC35" i="54"/>
  <c r="AB35" i="42"/>
  <c r="AC35" i="42"/>
  <c r="AE35" i="57"/>
  <c r="AD35" i="44"/>
  <c r="AE35" i="44"/>
  <c r="AD35" i="47"/>
  <c r="I39" i="49" s="1"/>
  <c r="AE35" i="47"/>
  <c r="I87" i="49" s="1"/>
  <c r="AD35" i="51"/>
  <c r="I41" i="52" s="1"/>
  <c r="AE35" i="51"/>
  <c r="I103" i="52" s="1"/>
  <c r="AD35" i="54"/>
  <c r="J39" i="56" s="1"/>
  <c r="AE35" i="54"/>
  <c r="J88" i="56" s="1"/>
  <c r="AD35" i="42"/>
  <c r="J39" i="41" s="1"/>
  <c r="AE35" i="42"/>
  <c r="J87" i="41" s="1"/>
  <c r="AG35" i="57"/>
  <c r="J87" i="59" s="1"/>
  <c r="AF35" i="44"/>
  <c r="AG35" i="44"/>
  <c r="AF35" i="47"/>
  <c r="AF35" i="51"/>
  <c r="AG35" i="51"/>
  <c r="AF35" i="54"/>
  <c r="AG35" i="54"/>
  <c r="AF35" i="42"/>
  <c r="AG35" i="42"/>
  <c r="AI35" i="57"/>
  <c r="AH35" i="44"/>
  <c r="AI35" i="44"/>
  <c r="AH35" i="47"/>
  <c r="S39" i="49" s="1"/>
  <c r="AI35" i="47"/>
  <c r="S87" i="49" s="1"/>
  <c r="AH35" i="51"/>
  <c r="AI35" i="51"/>
  <c r="AH35" i="54"/>
  <c r="AH35" i="42"/>
  <c r="AI35" i="42"/>
  <c r="AK35" i="57"/>
  <c r="AJ35" i="44"/>
  <c r="AK35" i="44"/>
  <c r="AJ35" i="47"/>
  <c r="C39" i="49" s="1"/>
  <c r="AK35" i="47"/>
  <c r="C87" i="49" s="1"/>
  <c r="AJ35" i="51"/>
  <c r="E41" i="52" s="1"/>
  <c r="AK35" i="51"/>
  <c r="E103" i="52" s="1"/>
  <c r="AJ35" i="54"/>
  <c r="C39" i="56" s="1"/>
  <c r="AK35" i="54"/>
  <c r="C88" i="56" s="1"/>
  <c r="AJ35" i="42"/>
  <c r="C39" i="41" s="1"/>
  <c r="AK35" i="42"/>
  <c r="C87" i="41" s="1"/>
  <c r="AM35" i="57"/>
  <c r="AL35" i="44"/>
  <c r="E39" i="45" s="1"/>
  <c r="AM35" i="44"/>
  <c r="E87" i="45" s="1"/>
  <c r="AL35" i="47"/>
  <c r="E39" i="49" s="1"/>
  <c r="AM35" i="47"/>
  <c r="E87" i="49" s="1"/>
  <c r="AL35" i="51"/>
  <c r="G41" i="52" s="1"/>
  <c r="AM35" i="51"/>
  <c r="G103" i="52" s="1"/>
  <c r="AL35" i="54"/>
  <c r="E39" i="56" s="1"/>
  <c r="AM35" i="54"/>
  <c r="E88" i="56" s="1"/>
  <c r="AL35" i="42"/>
  <c r="E39" i="41" s="1"/>
  <c r="AM35" i="42"/>
  <c r="E87" i="41" s="1"/>
  <c r="AO35" i="57"/>
  <c r="AN35" i="47"/>
  <c r="D39" i="49" s="1"/>
  <c r="AO35" i="47"/>
  <c r="D87" i="49" s="1"/>
  <c r="AN35" i="51"/>
  <c r="J41" i="52" s="1"/>
  <c r="AO35" i="51"/>
  <c r="J103" i="52" s="1"/>
  <c r="AN35" i="54"/>
  <c r="G39" i="56" s="1"/>
  <c r="AO35" i="54"/>
  <c r="G88" i="56" s="1"/>
  <c r="AN35" i="42"/>
  <c r="D39" i="41" s="1"/>
  <c r="AO35" i="42"/>
  <c r="D87" i="41" s="1"/>
  <c r="AQ35" i="57"/>
  <c r="AP35" i="47"/>
  <c r="H39" i="49" s="1"/>
  <c r="AQ35" i="47"/>
  <c r="H87" i="49" s="1"/>
  <c r="AP35" i="51"/>
  <c r="L41" i="52" s="1"/>
  <c r="AQ35" i="51"/>
  <c r="L103" i="52" s="1"/>
  <c r="AP35" i="54"/>
  <c r="F39" i="56" s="1"/>
  <c r="AQ35" i="54"/>
  <c r="F88" i="56" s="1"/>
  <c r="AP35" i="42"/>
  <c r="H39" i="41" s="1"/>
  <c r="AQ35" i="42"/>
  <c r="H87" i="41" s="1"/>
  <c r="AS35" i="57"/>
  <c r="K87" i="59" s="1"/>
  <c r="AR35" i="47"/>
  <c r="AS35" i="47"/>
  <c r="AR35" i="51"/>
  <c r="AS35" i="51"/>
  <c r="AR35" i="54"/>
  <c r="AS35" i="54"/>
  <c r="AR35" i="42"/>
  <c r="AS35" i="42"/>
  <c r="AU35" i="57"/>
  <c r="AT35" i="47"/>
  <c r="G39" i="49" s="1"/>
  <c r="AU35" i="47"/>
  <c r="G87" i="49" s="1"/>
  <c r="AT35" i="51"/>
  <c r="F41" i="52" s="1"/>
  <c r="AU35" i="51"/>
  <c r="F103" i="52" s="1"/>
  <c r="AT35" i="54"/>
  <c r="D39" i="56" s="1"/>
  <c r="AU35" i="54"/>
  <c r="D88" i="56" s="1"/>
  <c r="AT35" i="42"/>
  <c r="G39" i="41" s="1"/>
  <c r="AU35" i="42"/>
  <c r="G87" i="41" s="1"/>
  <c r="AW35" i="57"/>
  <c r="AV35" i="51"/>
  <c r="AW35" i="51"/>
  <c r="AV35" i="54"/>
  <c r="AW35" i="54"/>
  <c r="AV35" i="42"/>
  <c r="AW35" i="42"/>
  <c r="AY35" i="57"/>
  <c r="AX35" i="51"/>
  <c r="AY35" i="51"/>
  <c r="AX35" i="54"/>
  <c r="AY35" i="54"/>
  <c r="AX35" i="42"/>
  <c r="AY35" i="42"/>
  <c r="BA35" i="57"/>
  <c r="AZ35" i="51"/>
  <c r="BA35" i="51"/>
  <c r="AZ35" i="54"/>
  <c r="BA35" i="54"/>
  <c r="AZ35" i="42"/>
  <c r="BA35" i="42"/>
  <c r="BC35" i="57"/>
  <c r="BB35" i="51"/>
  <c r="P41" i="52" s="1"/>
  <c r="BC35" i="51"/>
  <c r="P103" i="52" s="1"/>
  <c r="BB35" i="54"/>
  <c r="BC35" i="54"/>
  <c r="BB35" i="42"/>
  <c r="BC35" i="42"/>
  <c r="BE35" i="57"/>
  <c r="BD35" i="51"/>
  <c r="O41" i="52" s="1"/>
  <c r="BE35" i="51"/>
  <c r="O103" i="52" s="1"/>
  <c r="BD35" i="54"/>
  <c r="BE35" i="54"/>
  <c r="BD35" i="42"/>
  <c r="BE35" i="42"/>
  <c r="BG35" i="57"/>
  <c r="N87" i="59" s="1"/>
  <c r="BF35" i="51"/>
  <c r="Q41" i="52" s="1"/>
  <c r="BG35" i="51"/>
  <c r="Q103" i="52" s="1"/>
  <c r="BF35" i="54"/>
  <c r="BG35" i="54"/>
  <c r="BI35" i="57"/>
  <c r="BH35" i="51"/>
  <c r="BI35" i="51"/>
  <c r="BH35" i="54"/>
  <c r="BI35" i="54"/>
  <c r="BJ35" i="54"/>
  <c r="BK35" i="54"/>
  <c r="BL35" i="54"/>
  <c r="BM35" i="54"/>
  <c r="BP35" i="54"/>
  <c r="L39" i="56" s="1"/>
  <c r="BQ35" i="54"/>
  <c r="L88" i="56" s="1"/>
  <c r="BR35" i="54"/>
  <c r="BS35" i="54"/>
  <c r="BT35" i="54"/>
  <c r="BU35" i="54"/>
  <c r="BV35" i="54"/>
  <c r="BW35" i="54"/>
  <c r="BX35" i="54"/>
  <c r="BY35" i="54"/>
  <c r="F35" i="57"/>
  <c r="H35" i="57"/>
  <c r="E39" i="59" s="1"/>
  <c r="J35" i="57"/>
  <c r="O39" i="59" s="1"/>
  <c r="L35" i="57"/>
  <c r="N35" i="57"/>
  <c r="P35" i="57"/>
  <c r="R35" i="57"/>
  <c r="G39" i="59" s="1"/>
  <c r="T35" i="57"/>
  <c r="V35" i="57"/>
  <c r="L39" i="59" s="1"/>
  <c r="X35" i="57"/>
  <c r="Z35" i="57"/>
  <c r="AB35" i="57"/>
  <c r="AD35" i="57"/>
  <c r="AF35" i="57"/>
  <c r="J39" i="59" s="1"/>
  <c r="AH35" i="57"/>
  <c r="AJ35" i="57"/>
  <c r="AL35" i="57"/>
  <c r="AN35" i="57"/>
  <c r="AP35" i="57"/>
  <c r="AR35" i="57"/>
  <c r="K39" i="59" s="1"/>
  <c r="AT35" i="57"/>
  <c r="AV35" i="57"/>
  <c r="AX35" i="57"/>
  <c r="AZ35" i="57"/>
  <c r="BB35" i="57"/>
  <c r="BD35" i="57"/>
  <c r="BF35" i="57"/>
  <c r="N39" i="59" s="1"/>
  <c r="BH35" i="57"/>
  <c r="D35" i="57"/>
  <c r="D39" i="59" s="1"/>
  <c r="E43" i="57"/>
  <c r="D43" i="44"/>
  <c r="E43" i="44"/>
  <c r="H95" i="45" s="1"/>
  <c r="D43" i="47"/>
  <c r="M47" i="49" s="1"/>
  <c r="E43" i="47"/>
  <c r="M95" i="49" s="1"/>
  <c r="D43" i="51"/>
  <c r="H49" i="52" s="1"/>
  <c r="E43" i="51"/>
  <c r="H111" i="52" s="1"/>
  <c r="D43" i="54"/>
  <c r="K47" i="56" s="1"/>
  <c r="E43" i="54"/>
  <c r="K96" i="56" s="1"/>
  <c r="D43" i="42"/>
  <c r="E43" i="42"/>
  <c r="I95" i="41" s="1"/>
  <c r="G43" i="57"/>
  <c r="F43" i="44"/>
  <c r="G43" i="44"/>
  <c r="F43" i="47"/>
  <c r="K47" i="49" s="1"/>
  <c r="G43" i="47"/>
  <c r="K95" i="49" s="1"/>
  <c r="F43" i="51"/>
  <c r="G43" i="51"/>
  <c r="F43" i="54"/>
  <c r="I47" i="56" s="1"/>
  <c r="G43" i="54"/>
  <c r="I96" i="56" s="1"/>
  <c r="F43" i="42"/>
  <c r="K47" i="41" s="1"/>
  <c r="G43" i="42"/>
  <c r="K95" i="41" s="1"/>
  <c r="I43" i="57"/>
  <c r="H43" i="44"/>
  <c r="J47" i="45" s="1"/>
  <c r="I43" i="44"/>
  <c r="J95" i="45" s="1"/>
  <c r="H43" i="47"/>
  <c r="I43" i="47"/>
  <c r="H43" i="51"/>
  <c r="I43" i="51"/>
  <c r="H43" i="54"/>
  <c r="I43" i="54"/>
  <c r="H43" i="42"/>
  <c r="I43" i="42"/>
  <c r="K43" i="57"/>
  <c r="O95" i="59" s="1"/>
  <c r="J43" i="44"/>
  <c r="K43" i="44"/>
  <c r="J43" i="47"/>
  <c r="K43" i="47"/>
  <c r="J43" i="51"/>
  <c r="K43" i="51"/>
  <c r="J43" i="54"/>
  <c r="K43" i="54"/>
  <c r="J43" i="42"/>
  <c r="K43" i="42"/>
  <c r="M43" i="57"/>
  <c r="L43" i="44"/>
  <c r="M43" i="44"/>
  <c r="L43" i="47"/>
  <c r="L47" i="49" s="1"/>
  <c r="M43" i="47"/>
  <c r="L95" i="49" s="1"/>
  <c r="L43" i="51"/>
  <c r="M49" i="52" s="1"/>
  <c r="M43" i="51"/>
  <c r="M111" i="52" s="1"/>
  <c r="L43" i="54"/>
  <c r="M43" i="54"/>
  <c r="L43" i="42"/>
  <c r="L47" i="41" s="1"/>
  <c r="M43" i="42"/>
  <c r="L95" i="41" s="1"/>
  <c r="O43" i="57"/>
  <c r="E95" i="59" s="1"/>
  <c r="N43" i="44"/>
  <c r="U47" i="45" s="1"/>
  <c r="O43" i="44"/>
  <c r="U95" i="45" s="1"/>
  <c r="N43" i="47"/>
  <c r="O43" i="47"/>
  <c r="N43" i="51"/>
  <c r="O43" i="51"/>
  <c r="N43" i="54"/>
  <c r="O43" i="54"/>
  <c r="N43" i="42"/>
  <c r="O43" i="42"/>
  <c r="Q43" i="57"/>
  <c r="P43" i="44"/>
  <c r="Q43" i="44"/>
  <c r="P43" i="47"/>
  <c r="F47" i="49" s="1"/>
  <c r="Q43" i="47"/>
  <c r="F95" i="49" s="1"/>
  <c r="P43" i="51"/>
  <c r="K49" i="52" s="1"/>
  <c r="Q43" i="51"/>
  <c r="K111" i="52" s="1"/>
  <c r="P43" i="54"/>
  <c r="H47" i="56" s="1"/>
  <c r="Q43" i="54"/>
  <c r="H96" i="56" s="1"/>
  <c r="P43" i="42"/>
  <c r="F47" i="41" s="1"/>
  <c r="Q43" i="42"/>
  <c r="F95" i="41" s="1"/>
  <c r="S43" i="57"/>
  <c r="G95" i="59" s="1"/>
  <c r="R43" i="44"/>
  <c r="G47" i="45" s="1"/>
  <c r="S43" i="44"/>
  <c r="G95" i="45" s="1"/>
  <c r="R43" i="47"/>
  <c r="S43" i="47"/>
  <c r="R43" i="51"/>
  <c r="S43" i="51"/>
  <c r="R43" i="54"/>
  <c r="S43" i="54"/>
  <c r="R43" i="42"/>
  <c r="S43" i="42"/>
  <c r="U43" i="57"/>
  <c r="T43" i="44"/>
  <c r="S47" i="45" s="1"/>
  <c r="U43" i="44"/>
  <c r="S95" i="45" s="1"/>
  <c r="T43" i="47"/>
  <c r="U43" i="47"/>
  <c r="T43" i="51"/>
  <c r="U43" i="51"/>
  <c r="T43" i="54"/>
  <c r="U43" i="54"/>
  <c r="T43" i="42"/>
  <c r="U43" i="42"/>
  <c r="W43" i="57"/>
  <c r="L95" i="59" s="1"/>
  <c r="V43" i="44"/>
  <c r="W43" i="44"/>
  <c r="V43" i="47"/>
  <c r="W43" i="47"/>
  <c r="V43" i="51"/>
  <c r="W43" i="51"/>
  <c r="V43" i="54"/>
  <c r="W43" i="54"/>
  <c r="V43" i="42"/>
  <c r="W43" i="42"/>
  <c r="Y43" i="57"/>
  <c r="X43" i="44"/>
  <c r="Y43" i="44"/>
  <c r="X43" i="47"/>
  <c r="Y43" i="47"/>
  <c r="X43" i="51"/>
  <c r="Y43" i="51"/>
  <c r="X43" i="54"/>
  <c r="Y43" i="54"/>
  <c r="X43" i="42"/>
  <c r="Y43" i="42"/>
  <c r="AA43" i="57"/>
  <c r="Z43" i="44"/>
  <c r="AA43" i="44"/>
  <c r="Z43" i="47"/>
  <c r="AA43" i="47"/>
  <c r="Z43" i="51"/>
  <c r="AA43" i="51"/>
  <c r="Z43" i="54"/>
  <c r="AA43" i="54"/>
  <c r="Z43" i="42"/>
  <c r="AA43" i="42"/>
  <c r="AC43" i="57"/>
  <c r="AB43" i="44"/>
  <c r="AC43" i="44"/>
  <c r="AB43" i="47"/>
  <c r="AC43" i="47"/>
  <c r="AB43" i="51"/>
  <c r="AC43" i="51"/>
  <c r="AB43" i="54"/>
  <c r="AC43" i="54"/>
  <c r="AB43" i="42"/>
  <c r="AC43" i="42"/>
  <c r="AE43" i="57"/>
  <c r="AD43" i="44"/>
  <c r="AE43" i="44"/>
  <c r="AD43" i="47"/>
  <c r="I47" i="49" s="1"/>
  <c r="AE43" i="47"/>
  <c r="I95" i="49" s="1"/>
  <c r="AD43" i="51"/>
  <c r="I49" i="52" s="1"/>
  <c r="AE43" i="51"/>
  <c r="I111" i="52" s="1"/>
  <c r="AD43" i="54"/>
  <c r="J47" i="56" s="1"/>
  <c r="AE43" i="54"/>
  <c r="J96" i="56" s="1"/>
  <c r="AD43" i="42"/>
  <c r="J47" i="41" s="1"/>
  <c r="AE43" i="42"/>
  <c r="J95" i="41" s="1"/>
  <c r="AG43" i="57"/>
  <c r="J95" i="59" s="1"/>
  <c r="AF43" i="44"/>
  <c r="AG43" i="44"/>
  <c r="AF43" i="47"/>
  <c r="AG43" i="47"/>
  <c r="AF43" i="51"/>
  <c r="AG43" i="51"/>
  <c r="AF43" i="54"/>
  <c r="AG43" i="54"/>
  <c r="AF43" i="42"/>
  <c r="AG43" i="42"/>
  <c r="AI43" i="57"/>
  <c r="AH43" i="44"/>
  <c r="AI43" i="44"/>
  <c r="AH43" i="47"/>
  <c r="S47" i="49" s="1"/>
  <c r="AI43" i="47"/>
  <c r="S95" i="49" s="1"/>
  <c r="AH43" i="51"/>
  <c r="AI43" i="51"/>
  <c r="AH43" i="54"/>
  <c r="AI43" i="54"/>
  <c r="AH43" i="42"/>
  <c r="AI43" i="42"/>
  <c r="AK43" i="57"/>
  <c r="AJ43" i="44"/>
  <c r="AK43" i="44"/>
  <c r="AJ43" i="47"/>
  <c r="C47" i="49" s="1"/>
  <c r="AK43" i="47"/>
  <c r="C95" i="49" s="1"/>
  <c r="AJ43" i="51"/>
  <c r="E49" i="52" s="1"/>
  <c r="AK43" i="51"/>
  <c r="E111" i="52" s="1"/>
  <c r="AJ43" i="42"/>
  <c r="C47" i="41" s="1"/>
  <c r="AK43" i="42"/>
  <c r="C95" i="41" s="1"/>
  <c r="AM43" i="57"/>
  <c r="AL43" i="44"/>
  <c r="E47" i="45" s="1"/>
  <c r="AM43" i="44"/>
  <c r="E95" i="45" s="1"/>
  <c r="AL43" i="47"/>
  <c r="E47" i="49" s="1"/>
  <c r="AM43" i="47"/>
  <c r="E95" i="49" s="1"/>
  <c r="AL43" i="51"/>
  <c r="G49" i="52" s="1"/>
  <c r="AM43" i="51"/>
  <c r="G111" i="52" s="1"/>
  <c r="AL43" i="42"/>
  <c r="E47" i="41" s="1"/>
  <c r="AM43" i="42"/>
  <c r="E95" i="41" s="1"/>
  <c r="AO43" i="57"/>
  <c r="AN43" i="47"/>
  <c r="D47" i="49" s="1"/>
  <c r="AO43" i="47"/>
  <c r="D95" i="49" s="1"/>
  <c r="AN43" i="51"/>
  <c r="J49" i="52" s="1"/>
  <c r="AO43" i="51"/>
  <c r="J111" i="52" s="1"/>
  <c r="AN43" i="54"/>
  <c r="G47" i="56" s="1"/>
  <c r="AO43" i="54"/>
  <c r="G96" i="56" s="1"/>
  <c r="AN43" i="42"/>
  <c r="D47" i="41" s="1"/>
  <c r="AO43" i="42"/>
  <c r="D95" i="41" s="1"/>
  <c r="AQ43" i="57"/>
  <c r="AP43" i="47"/>
  <c r="H47" i="49" s="1"/>
  <c r="AQ43" i="47"/>
  <c r="H95" i="49" s="1"/>
  <c r="AP43" i="51"/>
  <c r="L49" i="52" s="1"/>
  <c r="AQ43" i="51"/>
  <c r="L111" i="52" s="1"/>
  <c r="AP43" i="54"/>
  <c r="F47" i="56" s="1"/>
  <c r="AQ43" i="54"/>
  <c r="F96" i="56" s="1"/>
  <c r="AP43" i="42"/>
  <c r="H47" i="41" s="1"/>
  <c r="AQ43" i="42"/>
  <c r="H95" i="41" s="1"/>
  <c r="AS43" i="57"/>
  <c r="K95" i="59" s="1"/>
  <c r="AR43" i="47"/>
  <c r="AS43" i="47"/>
  <c r="AR43" i="51"/>
  <c r="AS43" i="51"/>
  <c r="AR43" i="54"/>
  <c r="AS43" i="54"/>
  <c r="AR43" i="42"/>
  <c r="AS43" i="42"/>
  <c r="AU43" i="57"/>
  <c r="AT43" i="47"/>
  <c r="G47" i="49" s="1"/>
  <c r="AU43" i="47"/>
  <c r="G95" i="49" s="1"/>
  <c r="AT43" i="51"/>
  <c r="F49" i="52" s="1"/>
  <c r="AU43" i="51"/>
  <c r="F111" i="52" s="1"/>
  <c r="AT43" i="54"/>
  <c r="D47" i="56" s="1"/>
  <c r="AU43" i="54"/>
  <c r="D96" i="56" s="1"/>
  <c r="AT43" i="42"/>
  <c r="G47" i="41" s="1"/>
  <c r="AU43" i="42"/>
  <c r="G95" i="41" s="1"/>
  <c r="AW43" i="57"/>
  <c r="AV43" i="51"/>
  <c r="AW43" i="51"/>
  <c r="AV43" i="54"/>
  <c r="AW43" i="54"/>
  <c r="AV43" i="42"/>
  <c r="AW43" i="42"/>
  <c r="AY43" i="57"/>
  <c r="AX43" i="51"/>
  <c r="AY43" i="51"/>
  <c r="AX43" i="54"/>
  <c r="AX43" i="42"/>
  <c r="AY43" i="42"/>
  <c r="BA43" i="57"/>
  <c r="AZ43" i="51"/>
  <c r="BA43" i="51"/>
  <c r="AZ43" i="54"/>
  <c r="BA43" i="54"/>
  <c r="AZ43" i="42"/>
  <c r="BA43" i="42"/>
  <c r="BC43" i="57"/>
  <c r="BB43" i="51"/>
  <c r="P49" i="52" s="1"/>
  <c r="BC43" i="51"/>
  <c r="P111" i="52" s="1"/>
  <c r="BB43" i="54"/>
  <c r="BC43" i="54"/>
  <c r="BB43" i="42"/>
  <c r="BC43" i="42"/>
  <c r="BE43" i="57"/>
  <c r="BD43" i="51"/>
  <c r="O49" i="52" s="1"/>
  <c r="BE43" i="51"/>
  <c r="O111" i="52" s="1"/>
  <c r="BD43" i="54"/>
  <c r="BE43" i="54"/>
  <c r="BD43" i="42"/>
  <c r="BE43" i="42"/>
  <c r="BG43" i="57"/>
  <c r="N95" i="59" s="1"/>
  <c r="BF43" i="51"/>
  <c r="BG43" i="51"/>
  <c r="Q111" i="52" s="1"/>
  <c r="BF43" i="54"/>
  <c r="BG43" i="54"/>
  <c r="BI43" i="57"/>
  <c r="BH43" i="51"/>
  <c r="BI43" i="51"/>
  <c r="BH43" i="54"/>
  <c r="BI43" i="54"/>
  <c r="BJ43" i="54"/>
  <c r="BK43" i="54"/>
  <c r="BL43" i="54"/>
  <c r="BM43" i="54"/>
  <c r="BP43" i="54"/>
  <c r="L47" i="56" s="1"/>
  <c r="BQ43" i="54"/>
  <c r="L96" i="56" s="1"/>
  <c r="BR43" i="54"/>
  <c r="BS43" i="54"/>
  <c r="BT43" i="54"/>
  <c r="BU43" i="54"/>
  <c r="BV43" i="54"/>
  <c r="BW43" i="54"/>
  <c r="BX43" i="54"/>
  <c r="BY43" i="54"/>
  <c r="F43" i="57"/>
  <c r="H43" i="57"/>
  <c r="E47" i="59" s="1"/>
  <c r="J43" i="57"/>
  <c r="O47" i="59" s="1"/>
  <c r="L43" i="57"/>
  <c r="N43" i="57"/>
  <c r="P43" i="57"/>
  <c r="R43" i="57"/>
  <c r="G47" i="59" s="1"/>
  <c r="T43" i="57"/>
  <c r="V43" i="57"/>
  <c r="L47" i="59" s="1"/>
  <c r="X43" i="57"/>
  <c r="Z43" i="57"/>
  <c r="AB43" i="57"/>
  <c r="AD43" i="57"/>
  <c r="AF43" i="57"/>
  <c r="J47" i="59" s="1"/>
  <c r="AH43" i="57"/>
  <c r="AJ43" i="57"/>
  <c r="AL43" i="57"/>
  <c r="AN43" i="57"/>
  <c r="AP43" i="57"/>
  <c r="AR43" i="57"/>
  <c r="K47" i="59" s="1"/>
  <c r="AT43" i="57"/>
  <c r="AV43" i="57"/>
  <c r="AX43" i="57"/>
  <c r="AZ43" i="57"/>
  <c r="BB43" i="57"/>
  <c r="BD43" i="57"/>
  <c r="BF43" i="57"/>
  <c r="N47" i="59" s="1"/>
  <c r="BH43" i="57"/>
  <c r="D43" i="57"/>
  <c r="D47" i="59" s="1"/>
  <c r="E42" i="57"/>
  <c r="D42" i="44"/>
  <c r="E42" i="44"/>
  <c r="H94" i="45" s="1"/>
  <c r="D42" i="47"/>
  <c r="M46" i="49" s="1"/>
  <c r="E42" i="47"/>
  <c r="M94" i="49" s="1"/>
  <c r="D42" i="51"/>
  <c r="H48" i="52" s="1"/>
  <c r="E42" i="51"/>
  <c r="H110" i="52" s="1"/>
  <c r="D42" i="54"/>
  <c r="K46" i="56" s="1"/>
  <c r="E42" i="54"/>
  <c r="K95" i="56" s="1"/>
  <c r="D42" i="42"/>
  <c r="E42" i="42"/>
  <c r="I94" i="41" s="1"/>
  <c r="G42" i="57"/>
  <c r="F42" i="44"/>
  <c r="G42" i="44"/>
  <c r="F42" i="47"/>
  <c r="K46" i="49" s="1"/>
  <c r="G42" i="47"/>
  <c r="K94" i="49" s="1"/>
  <c r="F42" i="51"/>
  <c r="G42" i="51"/>
  <c r="F42" i="54"/>
  <c r="I46" i="56" s="1"/>
  <c r="G42" i="54"/>
  <c r="I95" i="56" s="1"/>
  <c r="F42" i="42"/>
  <c r="K46" i="41" s="1"/>
  <c r="G42" i="42"/>
  <c r="K94" i="41" s="1"/>
  <c r="I42" i="57"/>
  <c r="H42" i="44"/>
  <c r="J46" i="45" s="1"/>
  <c r="I42" i="44"/>
  <c r="J94" i="45" s="1"/>
  <c r="H42" i="47"/>
  <c r="I42" i="47"/>
  <c r="H42" i="51"/>
  <c r="I42" i="51"/>
  <c r="H42" i="54"/>
  <c r="I42" i="54"/>
  <c r="H42" i="42"/>
  <c r="I42" i="42"/>
  <c r="K42" i="57"/>
  <c r="O94" i="59" s="1"/>
  <c r="J42" i="44"/>
  <c r="K42" i="44"/>
  <c r="J42" i="47"/>
  <c r="K42" i="47"/>
  <c r="J42" i="51"/>
  <c r="K42" i="51"/>
  <c r="J42" i="54"/>
  <c r="K42" i="54"/>
  <c r="J42" i="42"/>
  <c r="K42" i="42"/>
  <c r="M42" i="57"/>
  <c r="L42" i="44"/>
  <c r="M42" i="44"/>
  <c r="L42" i="47"/>
  <c r="L46" i="49" s="1"/>
  <c r="M42" i="47"/>
  <c r="L94" i="49" s="1"/>
  <c r="L42" i="51"/>
  <c r="M48" i="52" s="1"/>
  <c r="M42" i="51"/>
  <c r="M110" i="52" s="1"/>
  <c r="L42" i="54"/>
  <c r="M42" i="54"/>
  <c r="L42" i="42"/>
  <c r="L46" i="41" s="1"/>
  <c r="M42" i="42"/>
  <c r="L94" i="41" s="1"/>
  <c r="O42" i="57"/>
  <c r="E94" i="59" s="1"/>
  <c r="N42" i="44"/>
  <c r="U46" i="45" s="1"/>
  <c r="O42" i="44"/>
  <c r="U94" i="45" s="1"/>
  <c r="N42" i="47"/>
  <c r="O42" i="47"/>
  <c r="N42" i="51"/>
  <c r="O42" i="51"/>
  <c r="N42" i="54"/>
  <c r="O42" i="54"/>
  <c r="N42" i="42"/>
  <c r="O42" i="42"/>
  <c r="Q42" i="57"/>
  <c r="P42" i="44"/>
  <c r="Q42" i="44"/>
  <c r="P42" i="47"/>
  <c r="F46" i="49" s="1"/>
  <c r="Q42" i="47"/>
  <c r="F94" i="49" s="1"/>
  <c r="P42" i="51"/>
  <c r="K48" i="52" s="1"/>
  <c r="Q42" i="51"/>
  <c r="K110" i="52" s="1"/>
  <c r="P42" i="54"/>
  <c r="H46" i="56" s="1"/>
  <c r="Q42" i="54"/>
  <c r="H95" i="56" s="1"/>
  <c r="P42" i="42"/>
  <c r="F46" i="41" s="1"/>
  <c r="Q42" i="42"/>
  <c r="F94" i="41" s="1"/>
  <c r="S42" i="57"/>
  <c r="G94" i="59" s="1"/>
  <c r="R42" i="44"/>
  <c r="G46" i="45" s="1"/>
  <c r="S42" i="44"/>
  <c r="G94" i="45" s="1"/>
  <c r="R42" i="47"/>
  <c r="S42" i="47"/>
  <c r="R42" i="51"/>
  <c r="S42" i="51"/>
  <c r="R42" i="54"/>
  <c r="S42" i="54"/>
  <c r="R42" i="42"/>
  <c r="S42" i="42"/>
  <c r="U42" i="57"/>
  <c r="T42" i="44"/>
  <c r="S46" i="45" s="1"/>
  <c r="U42" i="44"/>
  <c r="S94" i="45" s="1"/>
  <c r="T42" i="47"/>
  <c r="U42" i="47"/>
  <c r="T42" i="51"/>
  <c r="U42" i="51"/>
  <c r="T42" i="54"/>
  <c r="U42" i="54"/>
  <c r="T42" i="42"/>
  <c r="U42" i="42"/>
  <c r="W42" i="57"/>
  <c r="L94" i="59" s="1"/>
  <c r="V42" i="44"/>
  <c r="W42" i="44"/>
  <c r="V42" i="47"/>
  <c r="W42" i="47"/>
  <c r="V42" i="51"/>
  <c r="W42" i="51"/>
  <c r="V42" i="54"/>
  <c r="W42" i="54"/>
  <c r="V42" i="42"/>
  <c r="W42" i="42"/>
  <c r="Y42" i="57"/>
  <c r="X42" i="44"/>
  <c r="Y42" i="44"/>
  <c r="X42" i="47"/>
  <c r="Y42" i="47"/>
  <c r="X42" i="51"/>
  <c r="Y42" i="51"/>
  <c r="X42" i="54"/>
  <c r="Y42" i="54"/>
  <c r="X42" i="42"/>
  <c r="Y42" i="42"/>
  <c r="AA42" i="57"/>
  <c r="Z42" i="44"/>
  <c r="AA42" i="44"/>
  <c r="Z42" i="47"/>
  <c r="AA42" i="47"/>
  <c r="Z42" i="51"/>
  <c r="AA42" i="51"/>
  <c r="Z42" i="54"/>
  <c r="AA42" i="54"/>
  <c r="Z42" i="42"/>
  <c r="AA42" i="42"/>
  <c r="AC42" i="57"/>
  <c r="AB42" i="44"/>
  <c r="AC42" i="44"/>
  <c r="AB42" i="47"/>
  <c r="AC42" i="47"/>
  <c r="AB42" i="51"/>
  <c r="AC42" i="51"/>
  <c r="AB42" i="54"/>
  <c r="AC42" i="54"/>
  <c r="AB42" i="42"/>
  <c r="AC42" i="42"/>
  <c r="AE42" i="57"/>
  <c r="AD42" i="44"/>
  <c r="AE42" i="44"/>
  <c r="AD42" i="47"/>
  <c r="I46" i="49" s="1"/>
  <c r="AE42" i="47"/>
  <c r="I94" i="49" s="1"/>
  <c r="AD42" i="51"/>
  <c r="I48" i="52" s="1"/>
  <c r="AE42" i="51"/>
  <c r="I110" i="52" s="1"/>
  <c r="AD42" i="54"/>
  <c r="J46" i="56" s="1"/>
  <c r="AE42" i="54"/>
  <c r="J95" i="56" s="1"/>
  <c r="AD42" i="42"/>
  <c r="J46" i="41" s="1"/>
  <c r="AE42" i="42"/>
  <c r="J94" i="41" s="1"/>
  <c r="AG42" i="57"/>
  <c r="J94" i="59" s="1"/>
  <c r="AF42" i="44"/>
  <c r="AG42" i="44"/>
  <c r="AF42" i="47"/>
  <c r="AG42" i="47"/>
  <c r="AF42" i="51"/>
  <c r="AG42" i="51"/>
  <c r="AF42" i="54"/>
  <c r="AG42" i="54"/>
  <c r="AF42" i="42"/>
  <c r="AG42" i="42"/>
  <c r="AI42" i="57"/>
  <c r="AH42" i="44"/>
  <c r="AI42" i="44"/>
  <c r="AH42" i="47"/>
  <c r="S46" i="49" s="1"/>
  <c r="AI42" i="47"/>
  <c r="S94" i="49" s="1"/>
  <c r="AH42" i="51"/>
  <c r="AI42" i="51"/>
  <c r="AH42" i="42"/>
  <c r="AI42" i="42"/>
  <c r="AK42" i="57"/>
  <c r="AJ42" i="44"/>
  <c r="AK42" i="44"/>
  <c r="AJ42" i="47"/>
  <c r="C46" i="49" s="1"/>
  <c r="AK42" i="47"/>
  <c r="C94" i="49" s="1"/>
  <c r="AJ42" i="51"/>
  <c r="E48" i="52" s="1"/>
  <c r="AK42" i="51"/>
  <c r="E110" i="52" s="1"/>
  <c r="AJ42" i="42"/>
  <c r="C46" i="41" s="1"/>
  <c r="AK42" i="42"/>
  <c r="C94" i="41" s="1"/>
  <c r="AM42" i="57"/>
  <c r="AL42" i="44"/>
  <c r="E46" i="45" s="1"/>
  <c r="AM42" i="44"/>
  <c r="E94" i="45" s="1"/>
  <c r="AL42" i="47"/>
  <c r="E46" i="49" s="1"/>
  <c r="AM42" i="47"/>
  <c r="E94" i="49" s="1"/>
  <c r="AL42" i="51"/>
  <c r="G48" i="52" s="1"/>
  <c r="AM42" i="51"/>
  <c r="G110" i="52" s="1"/>
  <c r="AL42" i="54"/>
  <c r="E46" i="56" s="1"/>
  <c r="AM42" i="54"/>
  <c r="E95" i="56" s="1"/>
  <c r="AL42" i="42"/>
  <c r="E46" i="41" s="1"/>
  <c r="AM42" i="42"/>
  <c r="E94" i="41" s="1"/>
  <c r="AO42" i="57"/>
  <c r="AN42" i="47"/>
  <c r="D46" i="49" s="1"/>
  <c r="AO42" i="47"/>
  <c r="D94" i="49" s="1"/>
  <c r="AN42" i="51"/>
  <c r="J48" i="52" s="1"/>
  <c r="AO42" i="51"/>
  <c r="J110" i="52" s="1"/>
  <c r="AN42" i="54"/>
  <c r="G46" i="56" s="1"/>
  <c r="AO42" i="54"/>
  <c r="G95" i="56" s="1"/>
  <c r="AN42" i="42"/>
  <c r="D46" i="41" s="1"/>
  <c r="AO42" i="42"/>
  <c r="D94" i="41" s="1"/>
  <c r="AQ42" i="57"/>
  <c r="AP42" i="47"/>
  <c r="H46" i="49" s="1"/>
  <c r="AQ42" i="47"/>
  <c r="H94" i="49" s="1"/>
  <c r="AP42" i="51"/>
  <c r="L48" i="52" s="1"/>
  <c r="AQ42" i="51"/>
  <c r="L110" i="52" s="1"/>
  <c r="AP42" i="54"/>
  <c r="F46" i="56" s="1"/>
  <c r="AQ42" i="54"/>
  <c r="F95" i="56" s="1"/>
  <c r="AP42" i="42"/>
  <c r="H46" i="41" s="1"/>
  <c r="AQ42" i="42"/>
  <c r="H94" i="41" s="1"/>
  <c r="AS42" i="57"/>
  <c r="K94" i="59" s="1"/>
  <c r="AR42" i="47"/>
  <c r="AS42" i="47"/>
  <c r="AR42" i="51"/>
  <c r="AS42" i="51"/>
  <c r="AR42" i="54"/>
  <c r="AS42" i="54"/>
  <c r="AR42" i="42"/>
  <c r="AS42" i="42"/>
  <c r="AU42" i="57"/>
  <c r="AT42" i="47"/>
  <c r="G46" i="49" s="1"/>
  <c r="AU42" i="47"/>
  <c r="G94" i="49" s="1"/>
  <c r="AT42" i="51"/>
  <c r="F48" i="52" s="1"/>
  <c r="AU42" i="51"/>
  <c r="F110" i="52" s="1"/>
  <c r="AT42" i="54"/>
  <c r="D46" i="56" s="1"/>
  <c r="AU42" i="54"/>
  <c r="D95" i="56" s="1"/>
  <c r="AT42" i="42"/>
  <c r="G46" i="41" s="1"/>
  <c r="AU42" i="42"/>
  <c r="G94" i="41" s="1"/>
  <c r="AW42" i="57"/>
  <c r="AV42" i="51"/>
  <c r="AW42" i="51"/>
  <c r="AV42" i="54"/>
  <c r="AV42" i="42"/>
  <c r="AW42" i="42"/>
  <c r="AY42" i="57"/>
  <c r="AX42" i="51"/>
  <c r="AY42" i="51"/>
  <c r="AX42" i="54"/>
  <c r="AY42" i="54"/>
  <c r="AX42" i="42"/>
  <c r="AY42" i="42"/>
  <c r="BA42" i="57"/>
  <c r="AZ42" i="51"/>
  <c r="BA42" i="51"/>
  <c r="AZ42" i="54"/>
  <c r="BA42" i="54"/>
  <c r="AZ42" i="42"/>
  <c r="BA42" i="42"/>
  <c r="BC42" i="57"/>
  <c r="BB42" i="51"/>
  <c r="P48" i="52" s="1"/>
  <c r="BC42" i="51"/>
  <c r="P110" i="52" s="1"/>
  <c r="BB42" i="54"/>
  <c r="BC42" i="54"/>
  <c r="BB42" i="42"/>
  <c r="BC42" i="42"/>
  <c r="BE42" i="57"/>
  <c r="BD42" i="51"/>
  <c r="O48" i="52" s="1"/>
  <c r="BE42" i="51"/>
  <c r="O110" i="52" s="1"/>
  <c r="BD42" i="54"/>
  <c r="BE42" i="54"/>
  <c r="BD42" i="42"/>
  <c r="BE42" i="42"/>
  <c r="BG42" i="57"/>
  <c r="N94" i="59" s="1"/>
  <c r="BF42" i="51"/>
  <c r="Q48" i="52" s="1"/>
  <c r="BG42" i="51"/>
  <c r="Q110" i="52" s="1"/>
  <c r="BF42" i="54"/>
  <c r="BG42" i="54"/>
  <c r="BI42" i="57"/>
  <c r="BH42" i="51"/>
  <c r="BI42" i="51"/>
  <c r="BH42" i="54"/>
  <c r="BI42" i="54"/>
  <c r="BJ42" i="54"/>
  <c r="BK42" i="54"/>
  <c r="BL42" i="54"/>
  <c r="BM42" i="54"/>
  <c r="BP42" i="54"/>
  <c r="L46" i="56" s="1"/>
  <c r="BQ42" i="54"/>
  <c r="L95" i="56" s="1"/>
  <c r="BR42" i="54"/>
  <c r="BS42" i="54"/>
  <c r="BT42" i="54"/>
  <c r="BU42" i="54"/>
  <c r="BV42" i="54"/>
  <c r="BW42" i="54"/>
  <c r="BX42" i="54"/>
  <c r="BY42" i="54"/>
  <c r="F42" i="57"/>
  <c r="H42" i="57"/>
  <c r="E46" i="59" s="1"/>
  <c r="J42" i="57"/>
  <c r="O46" i="59" s="1"/>
  <c r="L42" i="57"/>
  <c r="N42" i="57"/>
  <c r="P42" i="57"/>
  <c r="R42" i="57"/>
  <c r="G46" i="59" s="1"/>
  <c r="T42" i="57"/>
  <c r="V42" i="57"/>
  <c r="L46" i="59" s="1"/>
  <c r="X42" i="57"/>
  <c r="Z42" i="57"/>
  <c r="AB42" i="57"/>
  <c r="AD42" i="57"/>
  <c r="AF42" i="57"/>
  <c r="J46" i="59" s="1"/>
  <c r="AH42" i="57"/>
  <c r="AJ42" i="57"/>
  <c r="AL42" i="57"/>
  <c r="AN42" i="57"/>
  <c r="AP42" i="57"/>
  <c r="AR42" i="57"/>
  <c r="K46" i="59" s="1"/>
  <c r="AT42" i="57"/>
  <c r="AV42" i="57"/>
  <c r="AX42" i="57"/>
  <c r="AZ42" i="57"/>
  <c r="BB42" i="57"/>
  <c r="BD42" i="57"/>
  <c r="BF42" i="57"/>
  <c r="N46" i="59" s="1"/>
  <c r="BH42" i="57"/>
  <c r="D42" i="57"/>
  <c r="D46" i="59" s="1"/>
  <c r="E41" i="57"/>
  <c r="D41" i="44"/>
  <c r="E41" i="44"/>
  <c r="H93" i="45" s="1"/>
  <c r="D41" i="47"/>
  <c r="M45" i="49" s="1"/>
  <c r="E41" i="47"/>
  <c r="M93" i="49" s="1"/>
  <c r="D41" i="51"/>
  <c r="H47" i="52" s="1"/>
  <c r="E41" i="51"/>
  <c r="H109" i="52" s="1"/>
  <c r="D41" i="54"/>
  <c r="K45" i="56" s="1"/>
  <c r="E41" i="54"/>
  <c r="K94" i="56" s="1"/>
  <c r="D41" i="42"/>
  <c r="E41" i="42"/>
  <c r="I93" i="41" s="1"/>
  <c r="G41" i="57"/>
  <c r="F41" i="44"/>
  <c r="G41" i="44"/>
  <c r="F41" i="47"/>
  <c r="K45" i="49" s="1"/>
  <c r="G41" i="47"/>
  <c r="K93" i="49" s="1"/>
  <c r="F41" i="51"/>
  <c r="G41" i="51"/>
  <c r="F41" i="54"/>
  <c r="I45" i="56" s="1"/>
  <c r="G41" i="54"/>
  <c r="I94" i="56" s="1"/>
  <c r="F41" i="42"/>
  <c r="K45" i="41" s="1"/>
  <c r="G41" i="42"/>
  <c r="K93" i="41" s="1"/>
  <c r="I41" i="57"/>
  <c r="H41" i="44"/>
  <c r="J45" i="45" s="1"/>
  <c r="I41" i="44"/>
  <c r="J93" i="45" s="1"/>
  <c r="H41" i="47"/>
  <c r="I41" i="47"/>
  <c r="H41" i="51"/>
  <c r="I41" i="51"/>
  <c r="H41" i="54"/>
  <c r="I41" i="54"/>
  <c r="H41" i="42"/>
  <c r="I41" i="42"/>
  <c r="K41" i="57"/>
  <c r="O93" i="59" s="1"/>
  <c r="J41" i="44"/>
  <c r="K41" i="44"/>
  <c r="J41" i="47"/>
  <c r="K41" i="47"/>
  <c r="J41" i="51"/>
  <c r="K41" i="51"/>
  <c r="J41" i="54"/>
  <c r="K41" i="54"/>
  <c r="J41" i="42"/>
  <c r="K41" i="42"/>
  <c r="M41" i="57"/>
  <c r="L41" i="44"/>
  <c r="M41" i="44"/>
  <c r="L41" i="47"/>
  <c r="L45" i="49" s="1"/>
  <c r="M41" i="47"/>
  <c r="L93" i="49" s="1"/>
  <c r="L41" i="51"/>
  <c r="M47" i="52" s="1"/>
  <c r="M41" i="51"/>
  <c r="M109" i="52" s="1"/>
  <c r="L41" i="54"/>
  <c r="M41" i="54"/>
  <c r="L41" i="42"/>
  <c r="L45" i="41" s="1"/>
  <c r="M41" i="42"/>
  <c r="L93" i="41" s="1"/>
  <c r="O41" i="57"/>
  <c r="E93" i="59" s="1"/>
  <c r="N41" i="44"/>
  <c r="U45" i="45" s="1"/>
  <c r="O41" i="44"/>
  <c r="U93" i="45" s="1"/>
  <c r="N41" i="47"/>
  <c r="O41" i="47"/>
  <c r="N41" i="51"/>
  <c r="O41" i="51"/>
  <c r="N41" i="54"/>
  <c r="O41" i="54"/>
  <c r="N41" i="42"/>
  <c r="O41" i="42"/>
  <c r="Q41" i="57"/>
  <c r="P41" i="44"/>
  <c r="Q41" i="44"/>
  <c r="P41" i="47"/>
  <c r="F45" i="49" s="1"/>
  <c r="Q41" i="47"/>
  <c r="F93" i="49" s="1"/>
  <c r="P41" i="51"/>
  <c r="K47" i="52" s="1"/>
  <c r="Q41" i="51"/>
  <c r="K109" i="52" s="1"/>
  <c r="P41" i="54"/>
  <c r="H45" i="56" s="1"/>
  <c r="Q41" i="54"/>
  <c r="H94" i="56" s="1"/>
  <c r="P41" i="42"/>
  <c r="F45" i="41" s="1"/>
  <c r="Q41" i="42"/>
  <c r="F93" i="41" s="1"/>
  <c r="S41" i="57"/>
  <c r="G93" i="59" s="1"/>
  <c r="R41" i="44"/>
  <c r="G45" i="45" s="1"/>
  <c r="S41" i="44"/>
  <c r="G93" i="45" s="1"/>
  <c r="R41" i="47"/>
  <c r="S41" i="47"/>
  <c r="R41" i="51"/>
  <c r="S41" i="51"/>
  <c r="R41" i="54"/>
  <c r="S41" i="54"/>
  <c r="R41" i="42"/>
  <c r="S41" i="42"/>
  <c r="U41" i="57"/>
  <c r="T41" i="44"/>
  <c r="S45" i="45" s="1"/>
  <c r="U41" i="44"/>
  <c r="S93" i="45" s="1"/>
  <c r="T41" i="47"/>
  <c r="U41" i="47"/>
  <c r="T41" i="51"/>
  <c r="U41" i="51"/>
  <c r="T41" i="54"/>
  <c r="U41" i="54"/>
  <c r="T41" i="42"/>
  <c r="U41" i="42"/>
  <c r="W41" i="57"/>
  <c r="L93" i="59" s="1"/>
  <c r="V41" i="44"/>
  <c r="W41" i="44"/>
  <c r="V41" i="47"/>
  <c r="W41" i="47"/>
  <c r="V41" i="51"/>
  <c r="W41" i="51"/>
  <c r="V41" i="54"/>
  <c r="W41" i="54"/>
  <c r="V41" i="42"/>
  <c r="W41" i="42"/>
  <c r="Y41" i="57"/>
  <c r="X41" i="44"/>
  <c r="Y41" i="44"/>
  <c r="X41" i="47"/>
  <c r="Y41" i="47"/>
  <c r="X41" i="51"/>
  <c r="Y41" i="51"/>
  <c r="X41" i="54"/>
  <c r="Y41" i="54"/>
  <c r="X41" i="42"/>
  <c r="Y41" i="42"/>
  <c r="AA41" i="57"/>
  <c r="Z41" i="44"/>
  <c r="AA41" i="44"/>
  <c r="Z41" i="47"/>
  <c r="AA41" i="47"/>
  <c r="Z41" i="51"/>
  <c r="AA41" i="51"/>
  <c r="Z41" i="54"/>
  <c r="AA41" i="54"/>
  <c r="Z41" i="42"/>
  <c r="AA41" i="42"/>
  <c r="AC41" i="57"/>
  <c r="AB41" i="44"/>
  <c r="AC41" i="44"/>
  <c r="AB41" i="47"/>
  <c r="AC41" i="47"/>
  <c r="AB41" i="51"/>
  <c r="AC41" i="51"/>
  <c r="AB41" i="54"/>
  <c r="AC41" i="54"/>
  <c r="AB41" i="42"/>
  <c r="AC41" i="42"/>
  <c r="AE41" i="57"/>
  <c r="AD41" i="44"/>
  <c r="AE41" i="44"/>
  <c r="AD41" i="47"/>
  <c r="I45" i="49" s="1"/>
  <c r="AE41" i="47"/>
  <c r="I93" i="49" s="1"/>
  <c r="AD41" i="51"/>
  <c r="I47" i="52" s="1"/>
  <c r="AE41" i="51"/>
  <c r="I109" i="52" s="1"/>
  <c r="AD41" i="54"/>
  <c r="J45" i="56" s="1"/>
  <c r="AE41" i="54"/>
  <c r="J94" i="56" s="1"/>
  <c r="AD41" i="42"/>
  <c r="J45" i="41" s="1"/>
  <c r="AE41" i="42"/>
  <c r="J93" i="41" s="1"/>
  <c r="AG41" i="57"/>
  <c r="J93" i="59" s="1"/>
  <c r="AF41" i="44"/>
  <c r="AG41" i="44"/>
  <c r="AF41" i="47"/>
  <c r="AF41" i="51"/>
  <c r="AG41" i="51"/>
  <c r="AF41" i="42"/>
  <c r="AG41" i="42"/>
  <c r="AI41" i="57"/>
  <c r="AH41" i="44"/>
  <c r="AI41" i="44"/>
  <c r="AH41" i="47"/>
  <c r="S45" i="49" s="1"/>
  <c r="AI41" i="47"/>
  <c r="S93" i="49" s="1"/>
  <c r="AH41" i="51"/>
  <c r="AI41" i="51"/>
  <c r="AH41" i="42"/>
  <c r="AI41" i="42"/>
  <c r="AK41" i="57"/>
  <c r="AJ41" i="44"/>
  <c r="AK41" i="44"/>
  <c r="AJ41" i="47"/>
  <c r="C45" i="49" s="1"/>
  <c r="AK41" i="47"/>
  <c r="C93" i="49" s="1"/>
  <c r="AJ41" i="51"/>
  <c r="E47" i="52" s="1"/>
  <c r="AK41" i="51"/>
  <c r="E109" i="52" s="1"/>
  <c r="AJ41" i="54"/>
  <c r="C45" i="56" s="1"/>
  <c r="AK41" i="54"/>
  <c r="C94" i="56" s="1"/>
  <c r="AJ41" i="42"/>
  <c r="C45" i="41" s="1"/>
  <c r="AK41" i="42"/>
  <c r="C93" i="41" s="1"/>
  <c r="AM41" i="57"/>
  <c r="AL41" i="44"/>
  <c r="E45" i="45" s="1"/>
  <c r="AM41" i="44"/>
  <c r="E93" i="45" s="1"/>
  <c r="AL41" i="47"/>
  <c r="E45" i="49" s="1"/>
  <c r="AM41" i="47"/>
  <c r="E93" i="49" s="1"/>
  <c r="AL41" i="51"/>
  <c r="G47" i="52" s="1"/>
  <c r="AM41" i="51"/>
  <c r="G109" i="52" s="1"/>
  <c r="AL41" i="54"/>
  <c r="E45" i="56" s="1"/>
  <c r="AM41" i="54"/>
  <c r="E94" i="56" s="1"/>
  <c r="AL41" i="42"/>
  <c r="E45" i="41" s="1"/>
  <c r="AM41" i="42"/>
  <c r="E93" i="41" s="1"/>
  <c r="AO41" i="57"/>
  <c r="AN41" i="47"/>
  <c r="D45" i="49" s="1"/>
  <c r="AO41" i="47"/>
  <c r="D93" i="49" s="1"/>
  <c r="AN41" i="51"/>
  <c r="J47" i="52" s="1"/>
  <c r="AO41" i="51"/>
  <c r="J109" i="52" s="1"/>
  <c r="AN41" i="54"/>
  <c r="G45" i="56" s="1"/>
  <c r="AO41" i="54"/>
  <c r="G94" i="56" s="1"/>
  <c r="AN41" i="42"/>
  <c r="D45" i="41" s="1"/>
  <c r="AO41" i="42"/>
  <c r="D93" i="41" s="1"/>
  <c r="AQ41" i="57"/>
  <c r="AP41" i="47"/>
  <c r="H45" i="49" s="1"/>
  <c r="AQ41" i="47"/>
  <c r="H93" i="49" s="1"/>
  <c r="AP41" i="51"/>
  <c r="L47" i="52" s="1"/>
  <c r="AQ41" i="51"/>
  <c r="L109" i="52" s="1"/>
  <c r="AP41" i="54"/>
  <c r="F45" i="56" s="1"/>
  <c r="AQ41" i="54"/>
  <c r="F94" i="56" s="1"/>
  <c r="AP41" i="42"/>
  <c r="H45" i="41" s="1"/>
  <c r="AQ41" i="42"/>
  <c r="H93" i="41" s="1"/>
  <c r="AS41" i="57"/>
  <c r="K93" i="59" s="1"/>
  <c r="AR41" i="47"/>
  <c r="AS41" i="47"/>
  <c r="AR41" i="51"/>
  <c r="AS41" i="51"/>
  <c r="AR41" i="54"/>
  <c r="AS41" i="54"/>
  <c r="AR41" i="42"/>
  <c r="AS41" i="42"/>
  <c r="AU41" i="57"/>
  <c r="AT41" i="47"/>
  <c r="G45" i="49" s="1"/>
  <c r="AU41" i="47"/>
  <c r="G93" i="49" s="1"/>
  <c r="AT41" i="51"/>
  <c r="F47" i="52" s="1"/>
  <c r="AU41" i="51"/>
  <c r="F109" i="52" s="1"/>
  <c r="AT41" i="54"/>
  <c r="D45" i="56" s="1"/>
  <c r="AT41" i="42"/>
  <c r="G45" i="41" s="1"/>
  <c r="AU41" i="42"/>
  <c r="G93" i="41" s="1"/>
  <c r="AW41" i="57"/>
  <c r="AV41" i="51"/>
  <c r="AW41" i="51"/>
  <c r="AV41" i="54"/>
  <c r="AW41" i="54"/>
  <c r="AV41" i="42"/>
  <c r="AW41" i="42"/>
  <c r="AY41" i="57"/>
  <c r="AX41" i="51"/>
  <c r="AY41" i="51"/>
  <c r="AX41" i="54"/>
  <c r="AY41" i="54"/>
  <c r="AX41" i="42"/>
  <c r="AY41" i="42"/>
  <c r="BA41" i="57"/>
  <c r="AZ41" i="51"/>
  <c r="BA41" i="51"/>
  <c r="AZ41" i="54"/>
  <c r="BA41" i="54"/>
  <c r="AZ41" i="42"/>
  <c r="BA41" i="42"/>
  <c r="BC41" i="57"/>
  <c r="BB41" i="51"/>
  <c r="P47" i="52" s="1"/>
  <c r="BC41" i="51"/>
  <c r="P109" i="52" s="1"/>
  <c r="BB41" i="54"/>
  <c r="BC41" i="54"/>
  <c r="BB41" i="42"/>
  <c r="BC41" i="42"/>
  <c r="BE41" i="57"/>
  <c r="BD41" i="51"/>
  <c r="O47" i="52" s="1"/>
  <c r="BE41" i="51"/>
  <c r="O109" i="52" s="1"/>
  <c r="BD41" i="54"/>
  <c r="BE41" i="54"/>
  <c r="BD41" i="42"/>
  <c r="BE41" i="42"/>
  <c r="BG41" i="57"/>
  <c r="N93" i="59" s="1"/>
  <c r="BF41" i="51"/>
  <c r="Q47" i="52" s="1"/>
  <c r="BG41" i="51"/>
  <c r="Q109" i="52" s="1"/>
  <c r="BF41" i="54"/>
  <c r="BG41" i="54"/>
  <c r="BI41" i="57"/>
  <c r="BH41" i="51"/>
  <c r="BI41" i="51"/>
  <c r="BH41" i="54"/>
  <c r="BI41" i="54"/>
  <c r="BJ41" i="54"/>
  <c r="BK41" i="54"/>
  <c r="BL41" i="54"/>
  <c r="BM41" i="54"/>
  <c r="BP41" i="54"/>
  <c r="L45" i="56" s="1"/>
  <c r="BQ41" i="54"/>
  <c r="L94" i="56" s="1"/>
  <c r="BR41" i="54"/>
  <c r="BS41" i="54"/>
  <c r="BT41" i="54"/>
  <c r="BU41" i="54"/>
  <c r="BV41" i="54"/>
  <c r="BW41" i="54"/>
  <c r="BX41" i="54"/>
  <c r="BY41" i="54"/>
  <c r="F41" i="57"/>
  <c r="H41" i="57"/>
  <c r="E45" i="59" s="1"/>
  <c r="J41" i="57"/>
  <c r="O45" i="59" s="1"/>
  <c r="L41" i="57"/>
  <c r="N41" i="57"/>
  <c r="P41" i="57"/>
  <c r="R41" i="57"/>
  <c r="G45" i="59" s="1"/>
  <c r="T41" i="57"/>
  <c r="V41" i="57"/>
  <c r="L45" i="59" s="1"/>
  <c r="X41" i="57"/>
  <c r="Z41" i="57"/>
  <c r="AB41" i="57"/>
  <c r="AD41" i="57"/>
  <c r="AF41" i="57"/>
  <c r="J45" i="59" s="1"/>
  <c r="AH41" i="57"/>
  <c r="AJ41" i="57"/>
  <c r="AL41" i="57"/>
  <c r="AN41" i="57"/>
  <c r="AP41" i="57"/>
  <c r="AR41" i="57"/>
  <c r="K45" i="59" s="1"/>
  <c r="AT41" i="57"/>
  <c r="AV41" i="57"/>
  <c r="AX41" i="57"/>
  <c r="AZ41" i="57"/>
  <c r="BB41" i="57"/>
  <c r="BD41" i="57"/>
  <c r="BF41" i="57"/>
  <c r="N45" i="59" s="1"/>
  <c r="BH41" i="57"/>
  <c r="D41" i="57"/>
  <c r="D45" i="59" s="1"/>
  <c r="E40" i="57"/>
  <c r="D40" i="44"/>
  <c r="E40" i="44"/>
  <c r="H92" i="45" s="1"/>
  <c r="D40" i="47"/>
  <c r="M44" i="49" s="1"/>
  <c r="E40" i="47"/>
  <c r="M92" i="49" s="1"/>
  <c r="D40" i="42"/>
  <c r="E40" i="42"/>
  <c r="I92" i="41" s="1"/>
  <c r="G40" i="57"/>
  <c r="F40" i="44"/>
  <c r="G40" i="44"/>
  <c r="F40" i="47"/>
  <c r="K44" i="49" s="1"/>
  <c r="G40" i="47"/>
  <c r="K92" i="49" s="1"/>
  <c r="F40" i="42"/>
  <c r="K44" i="41" s="1"/>
  <c r="G40" i="42"/>
  <c r="K92" i="41" s="1"/>
  <c r="I40" i="57"/>
  <c r="H40" i="44"/>
  <c r="J44" i="45" s="1"/>
  <c r="I40" i="44"/>
  <c r="J92" i="45" s="1"/>
  <c r="H40" i="47"/>
  <c r="I40" i="47"/>
  <c r="H40" i="42"/>
  <c r="I40" i="42"/>
  <c r="K40" i="57"/>
  <c r="O92" i="59" s="1"/>
  <c r="J40" i="44"/>
  <c r="K40" i="44"/>
  <c r="J40" i="47"/>
  <c r="K40" i="47"/>
  <c r="J40" i="42"/>
  <c r="K40" i="42"/>
  <c r="M40" i="57"/>
  <c r="L40" i="44"/>
  <c r="M40" i="44"/>
  <c r="L40" i="47"/>
  <c r="L44" i="49" s="1"/>
  <c r="M40" i="47"/>
  <c r="L92" i="49" s="1"/>
  <c r="L40" i="42"/>
  <c r="L44" i="41" s="1"/>
  <c r="M40" i="42"/>
  <c r="L92" i="41" s="1"/>
  <c r="O40" i="57"/>
  <c r="E92" i="59" s="1"/>
  <c r="N40" i="44"/>
  <c r="U44" i="45" s="1"/>
  <c r="O40" i="44"/>
  <c r="U92" i="45" s="1"/>
  <c r="N40" i="47"/>
  <c r="O40" i="47"/>
  <c r="N40" i="42"/>
  <c r="O40" i="42"/>
  <c r="Q40" i="57"/>
  <c r="P40" i="44"/>
  <c r="Q40" i="44"/>
  <c r="P40" i="47"/>
  <c r="F44" i="49" s="1"/>
  <c r="Q40" i="47"/>
  <c r="F92" i="49" s="1"/>
  <c r="P40" i="42"/>
  <c r="F44" i="41" s="1"/>
  <c r="Q40" i="42"/>
  <c r="F92" i="41" s="1"/>
  <c r="S40" i="57"/>
  <c r="G92" i="59" s="1"/>
  <c r="R40" i="44"/>
  <c r="G44" i="45" s="1"/>
  <c r="S40" i="44"/>
  <c r="G92" i="45" s="1"/>
  <c r="R40" i="47"/>
  <c r="S40" i="47"/>
  <c r="R40" i="42"/>
  <c r="S40" i="42"/>
  <c r="U40" i="57"/>
  <c r="T40" i="44"/>
  <c r="S44" i="45" s="1"/>
  <c r="U40" i="44"/>
  <c r="S92" i="45" s="1"/>
  <c r="T40" i="47"/>
  <c r="U40" i="47"/>
  <c r="T40" i="42"/>
  <c r="U40" i="42"/>
  <c r="W40" i="57"/>
  <c r="L92" i="59" s="1"/>
  <c r="V40" i="44"/>
  <c r="W40" i="44"/>
  <c r="V40" i="47"/>
  <c r="W40" i="47"/>
  <c r="V40" i="42"/>
  <c r="W40" i="42"/>
  <c r="Y40" i="57"/>
  <c r="X40" i="44"/>
  <c r="Y40" i="44"/>
  <c r="X40" i="47"/>
  <c r="Y40" i="47"/>
  <c r="X40" i="42"/>
  <c r="Y40" i="42"/>
  <c r="AA40" i="57"/>
  <c r="Z40" i="44"/>
  <c r="AA40" i="44"/>
  <c r="Z40" i="47"/>
  <c r="AA40" i="47"/>
  <c r="Z40" i="42"/>
  <c r="AA40" i="42"/>
  <c r="AC40" i="57"/>
  <c r="AB40" i="44"/>
  <c r="AC40" i="44"/>
  <c r="AB40" i="47"/>
  <c r="AC40" i="47"/>
  <c r="AB40" i="42"/>
  <c r="AC40" i="42"/>
  <c r="AE40" i="57"/>
  <c r="AD40" i="44"/>
  <c r="AE40" i="44"/>
  <c r="AD40" i="47"/>
  <c r="I44" i="49" s="1"/>
  <c r="AE40" i="47"/>
  <c r="I92" i="49" s="1"/>
  <c r="AD40" i="42"/>
  <c r="J44" i="41" s="1"/>
  <c r="AE40" i="42"/>
  <c r="J92" i="41" s="1"/>
  <c r="AG40" i="57"/>
  <c r="J92" i="59" s="1"/>
  <c r="AF40" i="44"/>
  <c r="AG40" i="44"/>
  <c r="AF40" i="47"/>
  <c r="AG40" i="47"/>
  <c r="AF40" i="42"/>
  <c r="AG40" i="42"/>
  <c r="AI40" i="57"/>
  <c r="AH40" i="44"/>
  <c r="AI40" i="44"/>
  <c r="AH40" i="47"/>
  <c r="S44" i="49" s="1"/>
  <c r="AI40" i="47"/>
  <c r="S92" i="49" s="1"/>
  <c r="AH40" i="42"/>
  <c r="AI40" i="42"/>
  <c r="AK40" i="57"/>
  <c r="AJ40" i="44"/>
  <c r="AK40" i="44"/>
  <c r="AJ40" i="47"/>
  <c r="C44" i="49" s="1"/>
  <c r="AK40" i="47"/>
  <c r="C92" i="49" s="1"/>
  <c r="AJ40" i="42"/>
  <c r="C44" i="41" s="1"/>
  <c r="AK40" i="42"/>
  <c r="C92" i="41" s="1"/>
  <c r="AM40" i="57"/>
  <c r="AL40" i="44"/>
  <c r="E44" i="45" s="1"/>
  <c r="AM40" i="44"/>
  <c r="E92" i="45" s="1"/>
  <c r="AL40" i="47"/>
  <c r="E44" i="49" s="1"/>
  <c r="AM40" i="47"/>
  <c r="E92" i="49" s="1"/>
  <c r="AL40" i="42"/>
  <c r="E44" i="41" s="1"/>
  <c r="AM40" i="42"/>
  <c r="E92" i="41" s="1"/>
  <c r="AO40" i="57"/>
  <c r="AN40" i="47"/>
  <c r="D44" i="49" s="1"/>
  <c r="AO40" i="47"/>
  <c r="D92" i="49" s="1"/>
  <c r="AN40" i="42"/>
  <c r="D44" i="41" s="1"/>
  <c r="AO40" i="42"/>
  <c r="D92" i="41" s="1"/>
  <c r="AQ40" i="57"/>
  <c r="AP40" i="47"/>
  <c r="H44" i="49" s="1"/>
  <c r="AQ40" i="47"/>
  <c r="H92" i="49" s="1"/>
  <c r="AP40" i="42"/>
  <c r="H44" i="41" s="1"/>
  <c r="AQ40" i="42"/>
  <c r="H92" i="41" s="1"/>
  <c r="AS40" i="57"/>
  <c r="K92" i="59" s="1"/>
  <c r="AR40" i="47"/>
  <c r="AS40" i="47"/>
  <c r="AR40" i="42"/>
  <c r="AS40" i="42"/>
  <c r="AU40" i="57"/>
  <c r="AT40" i="47"/>
  <c r="G44" i="49" s="1"/>
  <c r="AU40" i="47"/>
  <c r="G92" i="49" s="1"/>
  <c r="AT40" i="42"/>
  <c r="G44" i="41" s="1"/>
  <c r="AU40" i="42"/>
  <c r="G92" i="41" s="1"/>
  <c r="AW40" i="57"/>
  <c r="AV40" i="42"/>
  <c r="AW40" i="42"/>
  <c r="AY40" i="57"/>
  <c r="AX40" i="42"/>
  <c r="AY40" i="42"/>
  <c r="BA40" i="57"/>
  <c r="AZ40" i="42"/>
  <c r="BA40" i="42"/>
  <c r="BC40" i="57"/>
  <c r="BB40" i="42"/>
  <c r="BC40" i="42"/>
  <c r="BE40" i="57"/>
  <c r="BD40" i="42"/>
  <c r="BE40" i="42"/>
  <c r="BG40" i="57"/>
  <c r="N92" i="59" s="1"/>
  <c r="BI40" i="57"/>
  <c r="F40" i="57"/>
  <c r="H40" i="57"/>
  <c r="E44" i="59" s="1"/>
  <c r="J40" i="57"/>
  <c r="O44" i="59" s="1"/>
  <c r="L40" i="57"/>
  <c r="N40" i="57"/>
  <c r="P40" i="57"/>
  <c r="R40" i="57"/>
  <c r="G44" i="59" s="1"/>
  <c r="T40" i="57"/>
  <c r="V40" i="57"/>
  <c r="L44" i="59" s="1"/>
  <c r="X40" i="57"/>
  <c r="Z40" i="57"/>
  <c r="AB40" i="57"/>
  <c r="AD40" i="57"/>
  <c r="AF40" i="57"/>
  <c r="J44" i="59" s="1"/>
  <c r="AH40" i="57"/>
  <c r="AJ40" i="57"/>
  <c r="AL40" i="57"/>
  <c r="AN40" i="57"/>
  <c r="AP40" i="57"/>
  <c r="AR40" i="57"/>
  <c r="K44" i="59" s="1"/>
  <c r="AT40" i="57"/>
  <c r="AV40" i="57"/>
  <c r="AX40" i="57"/>
  <c r="AZ40" i="57"/>
  <c r="BB40" i="57"/>
  <c r="BD40" i="57"/>
  <c r="BF40" i="57"/>
  <c r="N44" i="59" s="1"/>
  <c r="BH40" i="57"/>
  <c r="D40" i="57"/>
  <c r="D44" i="59" s="1"/>
  <c r="E39" i="57"/>
  <c r="D39" i="44"/>
  <c r="D39" i="47"/>
  <c r="M43" i="49" s="1"/>
  <c r="E39" i="47"/>
  <c r="M91" i="49" s="1"/>
  <c r="D39" i="51"/>
  <c r="H45" i="52" s="1"/>
  <c r="E39" i="51"/>
  <c r="H107" i="52" s="1"/>
  <c r="D39" i="54"/>
  <c r="K43" i="56" s="1"/>
  <c r="E39" i="54"/>
  <c r="K92" i="56" s="1"/>
  <c r="D39" i="42"/>
  <c r="E39" i="42"/>
  <c r="I91" i="41" s="1"/>
  <c r="G39" i="57"/>
  <c r="F39" i="44"/>
  <c r="G39" i="44"/>
  <c r="F39" i="47"/>
  <c r="K43" i="49" s="1"/>
  <c r="G39" i="47"/>
  <c r="K91" i="49" s="1"/>
  <c r="F39" i="51"/>
  <c r="G39" i="51"/>
  <c r="F39" i="54"/>
  <c r="I43" i="56" s="1"/>
  <c r="G39" i="54"/>
  <c r="I92" i="56" s="1"/>
  <c r="F39" i="42"/>
  <c r="K43" i="41" s="1"/>
  <c r="G39" i="42"/>
  <c r="K91" i="41" s="1"/>
  <c r="I39" i="57"/>
  <c r="H39" i="44"/>
  <c r="J43" i="45" s="1"/>
  <c r="I39" i="44"/>
  <c r="J91" i="45" s="1"/>
  <c r="H39" i="47"/>
  <c r="I39" i="47"/>
  <c r="H39" i="51"/>
  <c r="I39" i="51"/>
  <c r="H39" i="54"/>
  <c r="I39" i="54"/>
  <c r="H39" i="42"/>
  <c r="I39" i="42"/>
  <c r="K39" i="57"/>
  <c r="O91" i="59" s="1"/>
  <c r="J39" i="44"/>
  <c r="K39" i="44"/>
  <c r="J39" i="47"/>
  <c r="K39" i="47"/>
  <c r="J39" i="51"/>
  <c r="K39" i="51"/>
  <c r="J39" i="54"/>
  <c r="K39" i="54"/>
  <c r="J39" i="42"/>
  <c r="K39" i="42"/>
  <c r="M39" i="57"/>
  <c r="L39" i="44"/>
  <c r="M39" i="44"/>
  <c r="L39" i="47"/>
  <c r="L43" i="49" s="1"/>
  <c r="M39" i="47"/>
  <c r="L91" i="49" s="1"/>
  <c r="L39" i="51"/>
  <c r="M45" i="52" s="1"/>
  <c r="M39" i="51"/>
  <c r="M107" i="52" s="1"/>
  <c r="L39" i="54"/>
  <c r="M39" i="54"/>
  <c r="L39" i="42"/>
  <c r="L43" i="41" s="1"/>
  <c r="M39" i="42"/>
  <c r="L91" i="41" s="1"/>
  <c r="O39" i="57"/>
  <c r="E91" i="59" s="1"/>
  <c r="N39" i="44"/>
  <c r="U43" i="45" s="1"/>
  <c r="O39" i="44"/>
  <c r="U91" i="45" s="1"/>
  <c r="N39" i="47"/>
  <c r="O39" i="47"/>
  <c r="N39" i="51"/>
  <c r="O39" i="51"/>
  <c r="N39" i="54"/>
  <c r="O39" i="54"/>
  <c r="N39" i="42"/>
  <c r="O39" i="42"/>
  <c r="Q39" i="57"/>
  <c r="P39" i="44"/>
  <c r="Q39" i="44"/>
  <c r="P39" i="47"/>
  <c r="F43" i="49" s="1"/>
  <c r="Q39" i="47"/>
  <c r="F91" i="49" s="1"/>
  <c r="P39" i="51"/>
  <c r="K45" i="52" s="1"/>
  <c r="Q39" i="51"/>
  <c r="K107" i="52" s="1"/>
  <c r="P39" i="54"/>
  <c r="H43" i="56" s="1"/>
  <c r="Q39" i="54"/>
  <c r="H92" i="56" s="1"/>
  <c r="P39" i="42"/>
  <c r="F43" i="41" s="1"/>
  <c r="Q39" i="42"/>
  <c r="F91" i="41" s="1"/>
  <c r="S39" i="57"/>
  <c r="G91" i="59" s="1"/>
  <c r="R39" i="44"/>
  <c r="G43" i="45" s="1"/>
  <c r="S39" i="44"/>
  <c r="G91" i="45" s="1"/>
  <c r="R39" i="47"/>
  <c r="S39" i="47"/>
  <c r="R39" i="51"/>
  <c r="S39" i="51"/>
  <c r="R39" i="54"/>
  <c r="S39" i="54"/>
  <c r="R39" i="42"/>
  <c r="S39" i="42"/>
  <c r="U39" i="57"/>
  <c r="T39" i="44"/>
  <c r="S43" i="45" s="1"/>
  <c r="U39" i="44"/>
  <c r="S91" i="45" s="1"/>
  <c r="T39" i="47"/>
  <c r="U39" i="47"/>
  <c r="T39" i="51"/>
  <c r="U39" i="51"/>
  <c r="T39" i="54"/>
  <c r="U39" i="54"/>
  <c r="T39" i="42"/>
  <c r="U39" i="42"/>
  <c r="W39" i="57"/>
  <c r="L91" i="59" s="1"/>
  <c r="V39" i="44"/>
  <c r="W39" i="44"/>
  <c r="V39" i="47"/>
  <c r="W39" i="47"/>
  <c r="V39" i="51"/>
  <c r="W39" i="51"/>
  <c r="V39" i="54"/>
  <c r="W39" i="54"/>
  <c r="V39" i="42"/>
  <c r="W39" i="42"/>
  <c r="Y39" i="57"/>
  <c r="X39" i="44"/>
  <c r="Y39" i="44"/>
  <c r="X39" i="47"/>
  <c r="Y39" i="47"/>
  <c r="X39" i="51"/>
  <c r="Y39" i="51"/>
  <c r="X39" i="54"/>
  <c r="Y39" i="54"/>
  <c r="X39" i="42"/>
  <c r="Y39" i="42"/>
  <c r="AA39" i="57"/>
  <c r="Z39" i="44"/>
  <c r="AA39" i="44"/>
  <c r="Z39" i="47"/>
  <c r="AA39" i="47"/>
  <c r="Z39" i="51"/>
  <c r="AA39" i="51"/>
  <c r="Z39" i="54"/>
  <c r="AA39" i="54"/>
  <c r="Z39" i="42"/>
  <c r="AA39" i="42"/>
  <c r="AC39" i="57"/>
  <c r="AB39" i="44"/>
  <c r="AC39" i="44"/>
  <c r="AB39" i="47"/>
  <c r="AC39" i="47"/>
  <c r="AB39" i="51"/>
  <c r="AC39" i="51"/>
  <c r="AB39" i="42"/>
  <c r="AC39" i="42"/>
  <c r="AE39" i="57"/>
  <c r="AD39" i="44"/>
  <c r="AD39" i="47"/>
  <c r="I43" i="49" s="1"/>
  <c r="AE39" i="47"/>
  <c r="I91" i="49" s="1"/>
  <c r="AD39" i="51"/>
  <c r="I45" i="52" s="1"/>
  <c r="AE39" i="51"/>
  <c r="I107" i="52" s="1"/>
  <c r="AD39" i="42"/>
  <c r="J43" i="41" s="1"/>
  <c r="AE39" i="42"/>
  <c r="J91" i="41" s="1"/>
  <c r="AG39" i="57"/>
  <c r="J91" i="59" s="1"/>
  <c r="AF39" i="44"/>
  <c r="AG39" i="44"/>
  <c r="AF39" i="47"/>
  <c r="AG39" i="47"/>
  <c r="AF39" i="51"/>
  <c r="AG39" i="51"/>
  <c r="AF39" i="54"/>
  <c r="AG39" i="54"/>
  <c r="AF39" i="42"/>
  <c r="AG39" i="42"/>
  <c r="AI39" i="57"/>
  <c r="AH39" i="44"/>
  <c r="AI39" i="44"/>
  <c r="AH39" i="47"/>
  <c r="S43" i="49" s="1"/>
  <c r="AI39" i="47"/>
  <c r="S91" i="49" s="1"/>
  <c r="AH39" i="51"/>
  <c r="AI39" i="51"/>
  <c r="AH39" i="54"/>
  <c r="AI39" i="54"/>
  <c r="AH39" i="42"/>
  <c r="AI39" i="42"/>
  <c r="AK39" i="57"/>
  <c r="AJ39" i="44"/>
  <c r="AK39" i="44"/>
  <c r="AJ39" i="47"/>
  <c r="C43" i="49" s="1"/>
  <c r="AK39" i="47"/>
  <c r="C91" i="49" s="1"/>
  <c r="AJ39" i="51"/>
  <c r="E45" i="52" s="1"/>
  <c r="AK39" i="51"/>
  <c r="E107" i="52" s="1"/>
  <c r="AJ39" i="54"/>
  <c r="C43" i="56" s="1"/>
  <c r="AK39" i="54"/>
  <c r="C92" i="56" s="1"/>
  <c r="AJ39" i="42"/>
  <c r="C43" i="41" s="1"/>
  <c r="AK39" i="42"/>
  <c r="C91" i="41" s="1"/>
  <c r="AM39" i="57"/>
  <c r="AL39" i="44"/>
  <c r="E43" i="45" s="1"/>
  <c r="AM39" i="44"/>
  <c r="E91" i="45" s="1"/>
  <c r="AL39" i="47"/>
  <c r="E43" i="49" s="1"/>
  <c r="AM39" i="47"/>
  <c r="E91" i="49" s="1"/>
  <c r="AL39" i="51"/>
  <c r="G45" i="52" s="1"/>
  <c r="AM39" i="51"/>
  <c r="G107" i="52" s="1"/>
  <c r="AL39" i="54"/>
  <c r="E43" i="56" s="1"/>
  <c r="AM39" i="54"/>
  <c r="E92" i="56" s="1"/>
  <c r="AL39" i="42"/>
  <c r="E43" i="41" s="1"/>
  <c r="AM39" i="42"/>
  <c r="E91" i="41" s="1"/>
  <c r="AO39" i="57"/>
  <c r="AN39" i="47"/>
  <c r="D43" i="49" s="1"/>
  <c r="AO39" i="47"/>
  <c r="D91" i="49" s="1"/>
  <c r="AN39" i="51"/>
  <c r="J45" i="52" s="1"/>
  <c r="AO39" i="51"/>
  <c r="J107" i="52" s="1"/>
  <c r="AN39" i="54"/>
  <c r="G43" i="56" s="1"/>
  <c r="AO39" i="54"/>
  <c r="G92" i="56" s="1"/>
  <c r="AN39" i="42"/>
  <c r="D43" i="41" s="1"/>
  <c r="AO39" i="42"/>
  <c r="D91" i="41" s="1"/>
  <c r="AQ39" i="57"/>
  <c r="AP39" i="47"/>
  <c r="H43" i="49" s="1"/>
  <c r="AQ39" i="47"/>
  <c r="H91" i="49" s="1"/>
  <c r="AP39" i="51"/>
  <c r="L45" i="52" s="1"/>
  <c r="AQ39" i="51"/>
  <c r="L107" i="52" s="1"/>
  <c r="AP39" i="54"/>
  <c r="F43" i="56" s="1"/>
  <c r="AP39" i="42"/>
  <c r="H43" i="41" s="1"/>
  <c r="AQ39" i="42"/>
  <c r="H91" i="41" s="1"/>
  <c r="AS39" i="57"/>
  <c r="K91" i="59" s="1"/>
  <c r="AR39" i="47"/>
  <c r="AS39" i="47"/>
  <c r="AR39" i="51"/>
  <c r="AS39" i="51"/>
  <c r="AR39" i="54"/>
  <c r="AS39" i="54"/>
  <c r="AR39" i="42"/>
  <c r="AS39" i="42"/>
  <c r="AU39" i="57"/>
  <c r="AT39" i="47"/>
  <c r="G43" i="49" s="1"/>
  <c r="AU39" i="47"/>
  <c r="G91" i="49" s="1"/>
  <c r="AT39" i="51"/>
  <c r="F45" i="52" s="1"/>
  <c r="AU39" i="51"/>
  <c r="F107" i="52" s="1"/>
  <c r="AT39" i="54"/>
  <c r="D43" i="56" s="1"/>
  <c r="AU39" i="54"/>
  <c r="D92" i="56" s="1"/>
  <c r="AT39" i="42"/>
  <c r="G43" i="41" s="1"/>
  <c r="AU39" i="42"/>
  <c r="G91" i="41" s="1"/>
  <c r="AW39" i="57"/>
  <c r="AV39" i="51"/>
  <c r="AW39" i="51"/>
  <c r="AV39" i="54"/>
  <c r="AW39" i="54"/>
  <c r="AV39" i="42"/>
  <c r="AW39" i="42"/>
  <c r="AY39" i="57"/>
  <c r="AX39" i="51"/>
  <c r="AY39" i="51"/>
  <c r="AX39" i="54"/>
  <c r="AY39" i="54"/>
  <c r="AX39" i="42"/>
  <c r="AY39" i="42"/>
  <c r="BA39" i="57"/>
  <c r="AZ39" i="51"/>
  <c r="BA39" i="51"/>
  <c r="AZ39" i="54"/>
  <c r="BA39" i="54"/>
  <c r="AZ39" i="42"/>
  <c r="BA39" i="42"/>
  <c r="BC39" i="57"/>
  <c r="BB39" i="51"/>
  <c r="P45" i="52" s="1"/>
  <c r="BC39" i="51"/>
  <c r="P107" i="52" s="1"/>
  <c r="BB39" i="54"/>
  <c r="BC39" i="54"/>
  <c r="BB39" i="42"/>
  <c r="BC39" i="42"/>
  <c r="BE39" i="57"/>
  <c r="BD39" i="51"/>
  <c r="O45" i="52" s="1"/>
  <c r="BE39" i="51"/>
  <c r="O107" i="52" s="1"/>
  <c r="BD39" i="54"/>
  <c r="BE39" i="54"/>
  <c r="BD39" i="42"/>
  <c r="BE39" i="42"/>
  <c r="BG39" i="57"/>
  <c r="N91" i="59" s="1"/>
  <c r="BF39" i="51"/>
  <c r="Q45" i="52" s="1"/>
  <c r="BG39" i="51"/>
  <c r="Q107" i="52" s="1"/>
  <c r="BF39" i="54"/>
  <c r="BG39" i="54"/>
  <c r="BI39" i="57"/>
  <c r="BH39" i="51"/>
  <c r="BI39" i="51"/>
  <c r="BH39" i="54"/>
  <c r="BI39" i="54"/>
  <c r="BJ39" i="54"/>
  <c r="BK39" i="54"/>
  <c r="BL39" i="54"/>
  <c r="BM39" i="54"/>
  <c r="BP39" i="54"/>
  <c r="L43" i="56" s="1"/>
  <c r="BQ39" i="54"/>
  <c r="L92" i="56" s="1"/>
  <c r="BR39" i="54"/>
  <c r="BS39" i="54"/>
  <c r="BT39" i="54"/>
  <c r="BU39" i="54"/>
  <c r="BV39" i="54"/>
  <c r="BW39" i="54"/>
  <c r="BX39" i="54"/>
  <c r="BY39" i="54"/>
  <c r="F39" i="57"/>
  <c r="H39" i="57"/>
  <c r="E43" i="59" s="1"/>
  <c r="J39" i="57"/>
  <c r="O43" i="59" s="1"/>
  <c r="L39" i="57"/>
  <c r="N39" i="57"/>
  <c r="P39" i="57"/>
  <c r="R39" i="57"/>
  <c r="G43" i="59" s="1"/>
  <c r="T39" i="57"/>
  <c r="V39" i="57"/>
  <c r="L43" i="59" s="1"/>
  <c r="X39" i="57"/>
  <c r="Z39" i="57"/>
  <c r="AB39" i="57"/>
  <c r="AD39" i="57"/>
  <c r="AF39" i="57"/>
  <c r="J43" i="59" s="1"/>
  <c r="AH39" i="57"/>
  <c r="AJ39" i="57"/>
  <c r="AL39" i="57"/>
  <c r="AN39" i="57"/>
  <c r="AP39" i="57"/>
  <c r="AR39" i="57"/>
  <c r="K43" i="59" s="1"/>
  <c r="AT39" i="57"/>
  <c r="AV39" i="57"/>
  <c r="AX39" i="57"/>
  <c r="AZ39" i="57"/>
  <c r="BB39" i="57"/>
  <c r="BD39" i="57"/>
  <c r="BF39" i="57"/>
  <c r="N43" i="59" s="1"/>
  <c r="BH39" i="57"/>
  <c r="D39" i="57"/>
  <c r="D43" i="59" s="1"/>
  <c r="E38" i="57"/>
  <c r="D38" i="44"/>
  <c r="E38" i="44"/>
  <c r="H90" i="45" s="1"/>
  <c r="D38" i="47"/>
  <c r="M42" i="49" s="1"/>
  <c r="E38" i="47"/>
  <c r="M90" i="49" s="1"/>
  <c r="D38" i="51"/>
  <c r="H44" i="52" s="1"/>
  <c r="E38" i="51"/>
  <c r="H106" i="52" s="1"/>
  <c r="D38" i="54"/>
  <c r="K42" i="56" s="1"/>
  <c r="E38" i="54"/>
  <c r="K91" i="56" s="1"/>
  <c r="D38" i="42"/>
  <c r="E38" i="42"/>
  <c r="I90" i="41" s="1"/>
  <c r="G38" i="57"/>
  <c r="F38" i="44"/>
  <c r="G38" i="44"/>
  <c r="F38" i="47"/>
  <c r="K42" i="49" s="1"/>
  <c r="G38" i="47"/>
  <c r="K90" i="49" s="1"/>
  <c r="F38" i="51"/>
  <c r="G38" i="51"/>
  <c r="F38" i="54"/>
  <c r="I42" i="56" s="1"/>
  <c r="G38" i="54"/>
  <c r="I91" i="56" s="1"/>
  <c r="F38" i="42"/>
  <c r="K42" i="41" s="1"/>
  <c r="G38" i="42"/>
  <c r="K90" i="41" s="1"/>
  <c r="I38" i="57"/>
  <c r="H38" i="44"/>
  <c r="J42" i="45" s="1"/>
  <c r="I38" i="44"/>
  <c r="J90" i="45" s="1"/>
  <c r="H38" i="47"/>
  <c r="I38" i="47"/>
  <c r="H38" i="51"/>
  <c r="I38" i="51"/>
  <c r="H38" i="54"/>
  <c r="I38" i="54"/>
  <c r="H38" i="42"/>
  <c r="I38" i="42"/>
  <c r="K38" i="57"/>
  <c r="O90" i="59" s="1"/>
  <c r="J38" i="44"/>
  <c r="K38" i="44"/>
  <c r="J38" i="47"/>
  <c r="K38" i="47"/>
  <c r="J38" i="51"/>
  <c r="K38" i="51"/>
  <c r="J38" i="54"/>
  <c r="K38" i="54"/>
  <c r="J38" i="42"/>
  <c r="K38" i="42"/>
  <c r="M38" i="57"/>
  <c r="L38" i="44"/>
  <c r="M38" i="44"/>
  <c r="L38" i="47"/>
  <c r="L42" i="49" s="1"/>
  <c r="M38" i="47"/>
  <c r="L90" i="49" s="1"/>
  <c r="L38" i="51"/>
  <c r="M44" i="52" s="1"/>
  <c r="M38" i="51"/>
  <c r="M106" i="52" s="1"/>
  <c r="L38" i="54"/>
  <c r="M38" i="54"/>
  <c r="L38" i="42"/>
  <c r="L42" i="41" s="1"/>
  <c r="M38" i="42"/>
  <c r="L90" i="41" s="1"/>
  <c r="O38" i="57"/>
  <c r="E90" i="59" s="1"/>
  <c r="N38" i="44"/>
  <c r="U42" i="45" s="1"/>
  <c r="O38" i="44"/>
  <c r="U90" i="45" s="1"/>
  <c r="N38" i="47"/>
  <c r="O38" i="47"/>
  <c r="N38" i="51"/>
  <c r="O38" i="51"/>
  <c r="N38" i="54"/>
  <c r="O38" i="54"/>
  <c r="N38" i="42"/>
  <c r="O38" i="42"/>
  <c r="Q38" i="57"/>
  <c r="P38" i="44"/>
  <c r="Q38" i="44"/>
  <c r="P38" i="47"/>
  <c r="F42" i="49" s="1"/>
  <c r="Q38" i="47"/>
  <c r="F90" i="49" s="1"/>
  <c r="P38" i="51"/>
  <c r="K44" i="52" s="1"/>
  <c r="Q38" i="51"/>
  <c r="K106" i="52" s="1"/>
  <c r="P38" i="54"/>
  <c r="H42" i="56" s="1"/>
  <c r="Q38" i="54"/>
  <c r="H91" i="56" s="1"/>
  <c r="P38" i="42"/>
  <c r="F42" i="41" s="1"/>
  <c r="Q38" i="42"/>
  <c r="F90" i="41" s="1"/>
  <c r="S38" i="57"/>
  <c r="G90" i="59" s="1"/>
  <c r="R38" i="44"/>
  <c r="G42" i="45" s="1"/>
  <c r="S38" i="44"/>
  <c r="G90" i="45" s="1"/>
  <c r="R38" i="47"/>
  <c r="S38" i="47"/>
  <c r="R38" i="51"/>
  <c r="S38" i="51"/>
  <c r="R38" i="54"/>
  <c r="S38" i="54"/>
  <c r="R38" i="42"/>
  <c r="S38" i="42"/>
  <c r="U38" i="57"/>
  <c r="T38" i="44"/>
  <c r="S42" i="45" s="1"/>
  <c r="U38" i="44"/>
  <c r="S90" i="45" s="1"/>
  <c r="T38" i="47"/>
  <c r="U38" i="47"/>
  <c r="T38" i="51"/>
  <c r="U38" i="51"/>
  <c r="T38" i="54"/>
  <c r="U38" i="54"/>
  <c r="T38" i="42"/>
  <c r="U38" i="42"/>
  <c r="W38" i="57"/>
  <c r="L90" i="59" s="1"/>
  <c r="V38" i="44"/>
  <c r="W38" i="44"/>
  <c r="V38" i="47"/>
  <c r="W38" i="47"/>
  <c r="V38" i="51"/>
  <c r="W38" i="51"/>
  <c r="V38" i="54"/>
  <c r="W38" i="54"/>
  <c r="V38" i="42"/>
  <c r="W38" i="42"/>
  <c r="Y38" i="57"/>
  <c r="X38" i="44"/>
  <c r="Y38" i="44"/>
  <c r="X38" i="47"/>
  <c r="Y38" i="47"/>
  <c r="X38" i="51"/>
  <c r="Y38" i="51"/>
  <c r="X38" i="54"/>
  <c r="Y38" i="54"/>
  <c r="X38" i="42"/>
  <c r="Y38" i="42"/>
  <c r="AA38" i="57"/>
  <c r="Z38" i="44"/>
  <c r="AA38" i="44"/>
  <c r="Z38" i="47"/>
  <c r="AA38" i="47"/>
  <c r="Z38" i="51"/>
  <c r="AA38" i="51"/>
  <c r="Z38" i="42"/>
  <c r="AA38" i="42"/>
  <c r="AC38" i="57"/>
  <c r="AB38" i="44"/>
  <c r="AC38" i="44"/>
  <c r="AB38" i="47"/>
  <c r="AC38" i="47"/>
  <c r="AB38" i="51"/>
  <c r="AC38" i="51"/>
  <c r="AB38" i="42"/>
  <c r="AC38" i="42"/>
  <c r="AE38" i="57"/>
  <c r="AD38" i="44"/>
  <c r="AE38" i="44"/>
  <c r="AD38" i="47"/>
  <c r="I42" i="49" s="1"/>
  <c r="AE38" i="47"/>
  <c r="I90" i="49" s="1"/>
  <c r="AD38" i="51"/>
  <c r="I44" i="52" s="1"/>
  <c r="AE38" i="51"/>
  <c r="I106" i="52" s="1"/>
  <c r="AD38" i="54"/>
  <c r="J42" i="56" s="1"/>
  <c r="AE38" i="54"/>
  <c r="J91" i="56" s="1"/>
  <c r="AD38" i="42"/>
  <c r="J42" i="41" s="1"/>
  <c r="AE38" i="42"/>
  <c r="J90" i="41" s="1"/>
  <c r="AG38" i="57"/>
  <c r="J90" i="59" s="1"/>
  <c r="AF38" i="44"/>
  <c r="AG38" i="44"/>
  <c r="AF38" i="47"/>
  <c r="AG38" i="47"/>
  <c r="AF38" i="51"/>
  <c r="AG38" i="51"/>
  <c r="AF38" i="54"/>
  <c r="AG38" i="54"/>
  <c r="AF38" i="42"/>
  <c r="AG38" i="42"/>
  <c r="AI38" i="57"/>
  <c r="AH38" i="44"/>
  <c r="AI38" i="44"/>
  <c r="AH38" i="47"/>
  <c r="S42" i="49" s="1"/>
  <c r="AI38" i="47"/>
  <c r="S90" i="49" s="1"/>
  <c r="AH38" i="51"/>
  <c r="AI38" i="51"/>
  <c r="AH38" i="54"/>
  <c r="AI38" i="54"/>
  <c r="AH38" i="42"/>
  <c r="AI38" i="42"/>
  <c r="AK38" i="57"/>
  <c r="AJ38" i="44"/>
  <c r="AK38" i="44"/>
  <c r="AJ38" i="47"/>
  <c r="C42" i="49" s="1"/>
  <c r="AK38" i="47"/>
  <c r="C90" i="49" s="1"/>
  <c r="AJ38" i="51"/>
  <c r="E44" i="52" s="1"/>
  <c r="AK38" i="51"/>
  <c r="E106" i="52" s="1"/>
  <c r="AJ38" i="54"/>
  <c r="C42" i="56" s="1"/>
  <c r="AK38" i="54"/>
  <c r="C91" i="56" s="1"/>
  <c r="AJ38" i="42"/>
  <c r="C42" i="41" s="1"/>
  <c r="AK38" i="42"/>
  <c r="C90" i="41" s="1"/>
  <c r="AM38" i="57"/>
  <c r="AL38" i="44"/>
  <c r="E42" i="45" s="1"/>
  <c r="AM38" i="44"/>
  <c r="E90" i="45" s="1"/>
  <c r="AL38" i="47"/>
  <c r="E42" i="49" s="1"/>
  <c r="AM38" i="47"/>
  <c r="E90" i="49" s="1"/>
  <c r="AL38" i="51"/>
  <c r="G44" i="52" s="1"/>
  <c r="AM38" i="51"/>
  <c r="G106" i="52" s="1"/>
  <c r="AL38" i="54"/>
  <c r="E42" i="56" s="1"/>
  <c r="AM38" i="54"/>
  <c r="E91" i="56" s="1"/>
  <c r="AL38" i="42"/>
  <c r="E42" i="41" s="1"/>
  <c r="AM38" i="42"/>
  <c r="E90" i="41" s="1"/>
  <c r="AO38" i="57"/>
  <c r="AN38" i="47"/>
  <c r="D42" i="49" s="1"/>
  <c r="AO38" i="47"/>
  <c r="D90" i="49" s="1"/>
  <c r="AN38" i="51"/>
  <c r="J44" i="52" s="1"/>
  <c r="AO38" i="51"/>
  <c r="J106" i="52" s="1"/>
  <c r="AN38" i="54"/>
  <c r="G42" i="56" s="1"/>
  <c r="AN38" i="42"/>
  <c r="D42" i="41" s="1"/>
  <c r="AO38" i="42"/>
  <c r="D90" i="41" s="1"/>
  <c r="AQ38" i="57"/>
  <c r="AP38" i="47"/>
  <c r="H42" i="49" s="1"/>
  <c r="AQ38" i="47"/>
  <c r="H90" i="49" s="1"/>
  <c r="AP38" i="51"/>
  <c r="L44" i="52" s="1"/>
  <c r="AQ38" i="51"/>
  <c r="L106" i="52" s="1"/>
  <c r="AP38" i="54"/>
  <c r="F42" i="56" s="1"/>
  <c r="AQ38" i="54"/>
  <c r="F91" i="56" s="1"/>
  <c r="AP38" i="42"/>
  <c r="H42" i="41" s="1"/>
  <c r="AQ38" i="42"/>
  <c r="H90" i="41" s="1"/>
  <c r="AS38" i="57"/>
  <c r="K90" i="59" s="1"/>
  <c r="AR38" i="47"/>
  <c r="AS38" i="47"/>
  <c r="AR38" i="51"/>
  <c r="AS38" i="51"/>
  <c r="AR38" i="54"/>
  <c r="AS38" i="54"/>
  <c r="AR38" i="42"/>
  <c r="AS38" i="42"/>
  <c r="AU38" i="57"/>
  <c r="AT38" i="47"/>
  <c r="G42" i="49" s="1"/>
  <c r="AU38" i="47"/>
  <c r="G90" i="49" s="1"/>
  <c r="AT38" i="51"/>
  <c r="F44" i="52" s="1"/>
  <c r="AU38" i="51"/>
  <c r="F106" i="52" s="1"/>
  <c r="AT38" i="54"/>
  <c r="D42" i="56" s="1"/>
  <c r="AU38" i="54"/>
  <c r="D91" i="56" s="1"/>
  <c r="AT38" i="42"/>
  <c r="G42" i="41" s="1"/>
  <c r="AU38" i="42"/>
  <c r="G90" i="41" s="1"/>
  <c r="AW38" i="57"/>
  <c r="AV38" i="51"/>
  <c r="AW38" i="51"/>
  <c r="AV38" i="54"/>
  <c r="AW38" i="54"/>
  <c r="AV38" i="42"/>
  <c r="AW38" i="42"/>
  <c r="AY38" i="57"/>
  <c r="AX38" i="51"/>
  <c r="AY38" i="51"/>
  <c r="AX38" i="54"/>
  <c r="AY38" i="54"/>
  <c r="AX38" i="42"/>
  <c r="AY38" i="42"/>
  <c r="BA38" i="57"/>
  <c r="AZ38" i="51"/>
  <c r="BA38" i="51"/>
  <c r="AZ38" i="54"/>
  <c r="BA38" i="54"/>
  <c r="AZ38" i="42"/>
  <c r="BA38" i="42"/>
  <c r="BC38" i="57"/>
  <c r="BB38" i="51"/>
  <c r="P44" i="52" s="1"/>
  <c r="BC38" i="51"/>
  <c r="P106" i="52" s="1"/>
  <c r="BB38" i="54"/>
  <c r="BC38" i="54"/>
  <c r="BB38" i="42"/>
  <c r="BC38" i="42"/>
  <c r="BE38" i="57"/>
  <c r="BD38" i="51"/>
  <c r="O44" i="52" s="1"/>
  <c r="BE38" i="51"/>
  <c r="O106" i="52" s="1"/>
  <c r="BD38" i="54"/>
  <c r="BE38" i="54"/>
  <c r="BD38" i="42"/>
  <c r="BE38" i="42"/>
  <c r="BG38" i="57"/>
  <c r="N90" i="59" s="1"/>
  <c r="BF38" i="51"/>
  <c r="Q44" i="52" s="1"/>
  <c r="BG38" i="51"/>
  <c r="Q106" i="52" s="1"/>
  <c r="BF38" i="54"/>
  <c r="BG38" i="54"/>
  <c r="BI38" i="57"/>
  <c r="BH38" i="51"/>
  <c r="BI38" i="51"/>
  <c r="BH38" i="54"/>
  <c r="BI38" i="54"/>
  <c r="BJ38" i="54"/>
  <c r="BK38" i="54"/>
  <c r="BL38" i="54"/>
  <c r="BM38" i="54"/>
  <c r="BP38" i="54"/>
  <c r="L42" i="56" s="1"/>
  <c r="BQ38" i="54"/>
  <c r="L91" i="56" s="1"/>
  <c r="BR38" i="54"/>
  <c r="BS38" i="54"/>
  <c r="BT38" i="54"/>
  <c r="BU38" i="54"/>
  <c r="BV38" i="54"/>
  <c r="BW38" i="54"/>
  <c r="BX38" i="54"/>
  <c r="BY38" i="54"/>
  <c r="F38" i="57"/>
  <c r="H38" i="57"/>
  <c r="E42" i="59" s="1"/>
  <c r="J38" i="57"/>
  <c r="O42" i="59" s="1"/>
  <c r="L38" i="57"/>
  <c r="N38" i="57"/>
  <c r="P38" i="57"/>
  <c r="R38" i="57"/>
  <c r="G42" i="59" s="1"/>
  <c r="T38" i="57"/>
  <c r="V38" i="57"/>
  <c r="L42" i="59" s="1"/>
  <c r="X38" i="57"/>
  <c r="Z38" i="57"/>
  <c r="AB38" i="57"/>
  <c r="AD38" i="57"/>
  <c r="AF38" i="57"/>
  <c r="J42" i="59" s="1"/>
  <c r="AH38" i="57"/>
  <c r="AJ38" i="57"/>
  <c r="AL38" i="57"/>
  <c r="AN38" i="57"/>
  <c r="AP38" i="57"/>
  <c r="AR38" i="57"/>
  <c r="K42" i="59" s="1"/>
  <c r="AT38" i="57"/>
  <c r="AV38" i="57"/>
  <c r="AX38" i="57"/>
  <c r="AZ38" i="57"/>
  <c r="BB38" i="57"/>
  <c r="BD38" i="57"/>
  <c r="BF38" i="57"/>
  <c r="N42" i="59" s="1"/>
  <c r="BH38" i="57"/>
  <c r="D38" i="57"/>
  <c r="D42" i="59" s="1"/>
  <c r="E37" i="57"/>
  <c r="D37" i="44"/>
  <c r="E37" i="44"/>
  <c r="H89" i="45" s="1"/>
  <c r="D37" i="47"/>
  <c r="M41" i="49" s="1"/>
  <c r="E37" i="47"/>
  <c r="M89" i="49" s="1"/>
  <c r="D37" i="51"/>
  <c r="H43" i="52" s="1"/>
  <c r="E37" i="51"/>
  <c r="H105" i="52" s="1"/>
  <c r="D37" i="54"/>
  <c r="K41" i="56" s="1"/>
  <c r="E37" i="54"/>
  <c r="K90" i="56" s="1"/>
  <c r="D37" i="42"/>
  <c r="E37" i="42"/>
  <c r="I89" i="41" s="1"/>
  <c r="G37" i="57"/>
  <c r="F37" i="44"/>
  <c r="G37" i="44"/>
  <c r="F37" i="47"/>
  <c r="K41" i="49" s="1"/>
  <c r="G37" i="47"/>
  <c r="K89" i="49" s="1"/>
  <c r="F37" i="51"/>
  <c r="G37" i="51"/>
  <c r="F37" i="54"/>
  <c r="I41" i="56" s="1"/>
  <c r="G37" i="54"/>
  <c r="I90" i="56" s="1"/>
  <c r="F37" i="42"/>
  <c r="K41" i="41" s="1"/>
  <c r="G37" i="42"/>
  <c r="K89" i="41" s="1"/>
  <c r="I37" i="57"/>
  <c r="H37" i="44"/>
  <c r="J41" i="45" s="1"/>
  <c r="I37" i="44"/>
  <c r="J89" i="45" s="1"/>
  <c r="H37" i="47"/>
  <c r="I37" i="47"/>
  <c r="H37" i="51"/>
  <c r="I37" i="51"/>
  <c r="H37" i="54"/>
  <c r="I37" i="54"/>
  <c r="H37" i="42"/>
  <c r="I37" i="42"/>
  <c r="K37" i="57"/>
  <c r="O89" i="59" s="1"/>
  <c r="J37" i="44"/>
  <c r="K37" i="44"/>
  <c r="J37" i="47"/>
  <c r="K37" i="47"/>
  <c r="J37" i="51"/>
  <c r="K37" i="51"/>
  <c r="J37" i="54"/>
  <c r="K37" i="54"/>
  <c r="J37" i="42"/>
  <c r="K37" i="42"/>
  <c r="M37" i="57"/>
  <c r="L37" i="44"/>
  <c r="M37" i="44"/>
  <c r="L37" i="47"/>
  <c r="L41" i="49" s="1"/>
  <c r="M37" i="47"/>
  <c r="L89" i="49" s="1"/>
  <c r="L37" i="51"/>
  <c r="M43" i="52" s="1"/>
  <c r="M37" i="51"/>
  <c r="M105" i="52" s="1"/>
  <c r="L37" i="54"/>
  <c r="M37" i="54"/>
  <c r="L37" i="42"/>
  <c r="L41" i="41" s="1"/>
  <c r="M37" i="42"/>
  <c r="L89" i="41" s="1"/>
  <c r="O37" i="57"/>
  <c r="E89" i="59" s="1"/>
  <c r="N37" i="44"/>
  <c r="U41" i="45" s="1"/>
  <c r="O37" i="44"/>
  <c r="U89" i="45" s="1"/>
  <c r="N37" i="47"/>
  <c r="O37" i="47"/>
  <c r="N37" i="51"/>
  <c r="O37" i="51"/>
  <c r="N37" i="54"/>
  <c r="O37" i="54"/>
  <c r="N37" i="42"/>
  <c r="O37" i="42"/>
  <c r="Q37" i="57"/>
  <c r="P37" i="44"/>
  <c r="Q37" i="44"/>
  <c r="P37" i="47"/>
  <c r="F41" i="49" s="1"/>
  <c r="Q37" i="47"/>
  <c r="F89" i="49" s="1"/>
  <c r="P37" i="51"/>
  <c r="K43" i="52" s="1"/>
  <c r="Q37" i="51"/>
  <c r="K105" i="52" s="1"/>
  <c r="P37" i="54"/>
  <c r="H41" i="56" s="1"/>
  <c r="Q37" i="54"/>
  <c r="H90" i="56" s="1"/>
  <c r="P37" i="42"/>
  <c r="F41" i="41" s="1"/>
  <c r="Q37" i="42"/>
  <c r="F89" i="41" s="1"/>
  <c r="S37" i="57"/>
  <c r="G89" i="59" s="1"/>
  <c r="R37" i="44"/>
  <c r="G41" i="45" s="1"/>
  <c r="S37" i="44"/>
  <c r="G89" i="45" s="1"/>
  <c r="R37" i="47"/>
  <c r="S37" i="47"/>
  <c r="R37" i="51"/>
  <c r="S37" i="51"/>
  <c r="R37" i="54"/>
  <c r="S37" i="54"/>
  <c r="R37" i="42"/>
  <c r="S37" i="42"/>
  <c r="U37" i="57"/>
  <c r="T37" i="44"/>
  <c r="S41" i="45" s="1"/>
  <c r="U37" i="44"/>
  <c r="S89" i="45" s="1"/>
  <c r="T37" i="47"/>
  <c r="U37" i="47"/>
  <c r="T37" i="51"/>
  <c r="U37" i="51"/>
  <c r="T37" i="54"/>
  <c r="U37" i="54"/>
  <c r="T37" i="42"/>
  <c r="U37" i="42"/>
  <c r="W37" i="57"/>
  <c r="L89" i="59" s="1"/>
  <c r="V37" i="44"/>
  <c r="W37" i="44"/>
  <c r="V37" i="47"/>
  <c r="W37" i="47"/>
  <c r="V37" i="51"/>
  <c r="W37" i="51"/>
  <c r="V37" i="54"/>
  <c r="W37" i="54"/>
  <c r="V37" i="42"/>
  <c r="W37" i="42"/>
  <c r="Y37" i="57"/>
  <c r="X37" i="44"/>
  <c r="Y37" i="44"/>
  <c r="X37" i="47"/>
  <c r="Y37" i="47"/>
  <c r="X37" i="51"/>
  <c r="Y37" i="51"/>
  <c r="X37" i="42"/>
  <c r="Y37" i="42"/>
  <c r="AA37" i="57"/>
  <c r="Z37" i="44"/>
  <c r="AA37" i="44"/>
  <c r="Z37" i="47"/>
  <c r="AA37" i="47"/>
  <c r="Z37" i="51"/>
  <c r="AA37" i="51"/>
  <c r="Z37" i="42"/>
  <c r="AA37" i="42"/>
  <c r="AC37" i="57"/>
  <c r="AB37" i="44"/>
  <c r="AC37" i="44"/>
  <c r="AB37" i="47"/>
  <c r="AC37" i="47"/>
  <c r="AB37" i="51"/>
  <c r="AC37" i="51"/>
  <c r="AB37" i="54"/>
  <c r="AC37" i="54"/>
  <c r="AB37" i="42"/>
  <c r="AC37" i="42"/>
  <c r="AE37" i="57"/>
  <c r="AD37" i="44"/>
  <c r="AE37" i="44"/>
  <c r="AD37" i="47"/>
  <c r="I41" i="49" s="1"/>
  <c r="AE37" i="47"/>
  <c r="I89" i="49" s="1"/>
  <c r="AD37" i="51"/>
  <c r="I43" i="52" s="1"/>
  <c r="AE37" i="51"/>
  <c r="I105" i="52" s="1"/>
  <c r="AD37" i="54"/>
  <c r="J41" i="56" s="1"/>
  <c r="AE37" i="54"/>
  <c r="J90" i="56" s="1"/>
  <c r="AD37" i="42"/>
  <c r="J41" i="41" s="1"/>
  <c r="AE37" i="42"/>
  <c r="J89" i="41" s="1"/>
  <c r="AG37" i="57"/>
  <c r="J89" i="59" s="1"/>
  <c r="AF37" i="44"/>
  <c r="AG37" i="44"/>
  <c r="AF37" i="47"/>
  <c r="AG37" i="47"/>
  <c r="AF37" i="51"/>
  <c r="AG37" i="51"/>
  <c r="AF37" i="54"/>
  <c r="AG37" i="54"/>
  <c r="AF37" i="42"/>
  <c r="AG37" i="42"/>
  <c r="AI37" i="57"/>
  <c r="AH37" i="44"/>
  <c r="AI37" i="44"/>
  <c r="AH37" i="47"/>
  <c r="S41" i="49" s="1"/>
  <c r="AI37" i="47"/>
  <c r="S89" i="49" s="1"/>
  <c r="AH37" i="51"/>
  <c r="AI37" i="51"/>
  <c r="AH37" i="54"/>
  <c r="AI37" i="54"/>
  <c r="AH37" i="42"/>
  <c r="AI37" i="42"/>
  <c r="AK37" i="57"/>
  <c r="AJ37" i="44"/>
  <c r="AK37" i="44"/>
  <c r="AJ37" i="47"/>
  <c r="C41" i="49" s="1"/>
  <c r="AK37" i="47"/>
  <c r="C89" i="49" s="1"/>
  <c r="AJ37" i="51"/>
  <c r="E43" i="52" s="1"/>
  <c r="AK37" i="51"/>
  <c r="E105" i="52" s="1"/>
  <c r="AJ37" i="54"/>
  <c r="C41" i="56" s="1"/>
  <c r="AK37" i="54"/>
  <c r="C90" i="56" s="1"/>
  <c r="AJ37" i="42"/>
  <c r="C41" i="41" s="1"/>
  <c r="AK37" i="42"/>
  <c r="C89" i="41" s="1"/>
  <c r="AM37" i="57"/>
  <c r="AL37" i="44"/>
  <c r="E41" i="45" s="1"/>
  <c r="AM37" i="44"/>
  <c r="E89" i="45" s="1"/>
  <c r="AL37" i="47"/>
  <c r="E41" i="49" s="1"/>
  <c r="AM37" i="47"/>
  <c r="E89" i="49" s="1"/>
  <c r="AL37" i="51"/>
  <c r="G43" i="52" s="1"/>
  <c r="AM37" i="51"/>
  <c r="G105" i="52" s="1"/>
  <c r="AL37" i="54"/>
  <c r="E41" i="56" s="1"/>
  <c r="AL37" i="42"/>
  <c r="E41" i="41" s="1"/>
  <c r="AM37" i="42"/>
  <c r="E89" i="41" s="1"/>
  <c r="AO37" i="57"/>
  <c r="AN37" i="47"/>
  <c r="D41" i="49" s="1"/>
  <c r="AO37" i="47"/>
  <c r="D89" i="49" s="1"/>
  <c r="AN37" i="51"/>
  <c r="J43" i="52" s="1"/>
  <c r="AO37" i="51"/>
  <c r="J105" i="52" s="1"/>
  <c r="AN37" i="54"/>
  <c r="G41" i="56" s="1"/>
  <c r="AO37" i="54"/>
  <c r="G90" i="56" s="1"/>
  <c r="AN37" i="42"/>
  <c r="D41" i="41" s="1"/>
  <c r="AO37" i="42"/>
  <c r="D89" i="41" s="1"/>
  <c r="AQ37" i="57"/>
  <c r="AP37" i="47"/>
  <c r="H41" i="49" s="1"/>
  <c r="AQ37" i="47"/>
  <c r="H89" i="49" s="1"/>
  <c r="AP37" i="51"/>
  <c r="L43" i="52" s="1"/>
  <c r="AQ37" i="51"/>
  <c r="L105" i="52" s="1"/>
  <c r="AP37" i="54"/>
  <c r="F41" i="56" s="1"/>
  <c r="AQ37" i="54"/>
  <c r="F90" i="56" s="1"/>
  <c r="AP37" i="42"/>
  <c r="H41" i="41" s="1"/>
  <c r="AQ37" i="42"/>
  <c r="H89" i="41" s="1"/>
  <c r="AS37" i="57"/>
  <c r="K89" i="59" s="1"/>
  <c r="AR37" i="47"/>
  <c r="AS37" i="47"/>
  <c r="AR37" i="51"/>
  <c r="AS37" i="51"/>
  <c r="AR37" i="54"/>
  <c r="AS37" i="54"/>
  <c r="AR37" i="42"/>
  <c r="AS37" i="42"/>
  <c r="AU37" i="57"/>
  <c r="AT37" i="47"/>
  <c r="G41" i="49" s="1"/>
  <c r="AU37" i="47"/>
  <c r="G89" i="49" s="1"/>
  <c r="AT37" i="51"/>
  <c r="F43" i="52" s="1"/>
  <c r="AU37" i="51"/>
  <c r="F105" i="52" s="1"/>
  <c r="AT37" i="54"/>
  <c r="D41" i="56" s="1"/>
  <c r="AU37" i="54"/>
  <c r="D90" i="56" s="1"/>
  <c r="AT37" i="42"/>
  <c r="G41" i="41" s="1"/>
  <c r="AU37" i="42"/>
  <c r="G89" i="41" s="1"/>
  <c r="AW37" i="57"/>
  <c r="AV37" i="51"/>
  <c r="AW37" i="51"/>
  <c r="AV37" i="54"/>
  <c r="AW37" i="54"/>
  <c r="AV37" i="42"/>
  <c r="AW37" i="42"/>
  <c r="AY37" i="57"/>
  <c r="AX37" i="51"/>
  <c r="AY37" i="51"/>
  <c r="AX37" i="54"/>
  <c r="AY37" i="54"/>
  <c r="AX37" i="42"/>
  <c r="AY37" i="42"/>
  <c r="BA37" i="57"/>
  <c r="AZ37" i="51"/>
  <c r="BA37" i="51"/>
  <c r="AZ37" i="54"/>
  <c r="BA37" i="54"/>
  <c r="AZ37" i="42"/>
  <c r="BA37" i="42"/>
  <c r="BC37" i="57"/>
  <c r="BB37" i="51"/>
  <c r="P43" i="52" s="1"/>
  <c r="BC37" i="51"/>
  <c r="P105" i="52" s="1"/>
  <c r="BB37" i="54"/>
  <c r="BC37" i="54"/>
  <c r="BB37" i="42"/>
  <c r="BC37" i="42"/>
  <c r="BE37" i="57"/>
  <c r="BD37" i="51"/>
  <c r="O43" i="52" s="1"/>
  <c r="BE37" i="51"/>
  <c r="O105" i="52" s="1"/>
  <c r="BD37" i="54"/>
  <c r="BE37" i="54"/>
  <c r="BD37" i="42"/>
  <c r="BE37" i="42"/>
  <c r="BG37" i="57"/>
  <c r="N89" i="59" s="1"/>
  <c r="BF37" i="51"/>
  <c r="Q43" i="52" s="1"/>
  <c r="BG37" i="51"/>
  <c r="Q105" i="52" s="1"/>
  <c r="BF37" i="54"/>
  <c r="BG37" i="54"/>
  <c r="BI37" i="57"/>
  <c r="BH37" i="51"/>
  <c r="BI37" i="51"/>
  <c r="BH37" i="54"/>
  <c r="BI37" i="54"/>
  <c r="BJ37" i="54"/>
  <c r="BK37" i="54"/>
  <c r="BL37" i="54"/>
  <c r="BP37" i="54"/>
  <c r="L41" i="56" s="1"/>
  <c r="BQ37" i="54"/>
  <c r="L90" i="56" s="1"/>
  <c r="BR37" i="54"/>
  <c r="BT37" i="54"/>
  <c r="BU37" i="54"/>
  <c r="BV37" i="54"/>
  <c r="BW37" i="54"/>
  <c r="BX37" i="54"/>
  <c r="BY37" i="54"/>
  <c r="F37" i="57"/>
  <c r="H37" i="57"/>
  <c r="E41" i="59" s="1"/>
  <c r="J37" i="57"/>
  <c r="O41" i="59" s="1"/>
  <c r="L37" i="57"/>
  <c r="N37" i="57"/>
  <c r="P37" i="57"/>
  <c r="R37" i="57"/>
  <c r="G41" i="59" s="1"/>
  <c r="T37" i="57"/>
  <c r="V37" i="57"/>
  <c r="L41" i="59" s="1"/>
  <c r="X37" i="57"/>
  <c r="Z37" i="57"/>
  <c r="AB37" i="57"/>
  <c r="AD37" i="57"/>
  <c r="AF37" i="57"/>
  <c r="J41" i="59" s="1"/>
  <c r="AH37" i="57"/>
  <c r="AJ37" i="57"/>
  <c r="AL37" i="57"/>
  <c r="AN37" i="57"/>
  <c r="AP37" i="57"/>
  <c r="AR37" i="57"/>
  <c r="K41" i="59" s="1"/>
  <c r="AT37" i="57"/>
  <c r="AV37" i="57"/>
  <c r="AX37" i="57"/>
  <c r="AZ37" i="57"/>
  <c r="BB37" i="57"/>
  <c r="BD37" i="57"/>
  <c r="BF37" i="57"/>
  <c r="N41" i="59" s="1"/>
  <c r="BH37" i="57"/>
  <c r="D37" i="57"/>
  <c r="D41" i="59" s="1"/>
  <c r="E36" i="57"/>
  <c r="D36" i="44"/>
  <c r="E36" i="44"/>
  <c r="H88" i="45" s="1"/>
  <c r="D36" i="47"/>
  <c r="M40" i="49" s="1"/>
  <c r="E36" i="47"/>
  <c r="M88" i="49" s="1"/>
  <c r="D36" i="51"/>
  <c r="H42" i="52" s="1"/>
  <c r="E36" i="51"/>
  <c r="H104" i="52" s="1"/>
  <c r="D36" i="54"/>
  <c r="K40" i="56" s="1"/>
  <c r="E36" i="54"/>
  <c r="K89" i="56" s="1"/>
  <c r="D36" i="42"/>
  <c r="E36" i="42"/>
  <c r="I88" i="41" s="1"/>
  <c r="G36" i="57"/>
  <c r="F36" i="44"/>
  <c r="G36" i="44"/>
  <c r="F36" i="47"/>
  <c r="K40" i="49" s="1"/>
  <c r="G36" i="47"/>
  <c r="K88" i="49" s="1"/>
  <c r="F36" i="51"/>
  <c r="G36" i="51"/>
  <c r="F36" i="54"/>
  <c r="I40" i="56" s="1"/>
  <c r="G36" i="54"/>
  <c r="I89" i="56" s="1"/>
  <c r="F36" i="42"/>
  <c r="K40" i="41" s="1"/>
  <c r="G36" i="42"/>
  <c r="K88" i="41" s="1"/>
  <c r="I36" i="57"/>
  <c r="H36" i="44"/>
  <c r="J40" i="45" s="1"/>
  <c r="I36" i="44"/>
  <c r="J88" i="45" s="1"/>
  <c r="H36" i="47"/>
  <c r="I36" i="47"/>
  <c r="H36" i="51"/>
  <c r="I36" i="51"/>
  <c r="H36" i="54"/>
  <c r="I36" i="54"/>
  <c r="H36" i="42"/>
  <c r="I36" i="42"/>
  <c r="K36" i="57"/>
  <c r="O88" i="59" s="1"/>
  <c r="J36" i="44"/>
  <c r="K36" i="44"/>
  <c r="J36" i="47"/>
  <c r="K36" i="47"/>
  <c r="J36" i="51"/>
  <c r="K36" i="51"/>
  <c r="J36" i="54"/>
  <c r="K36" i="54"/>
  <c r="J36" i="42"/>
  <c r="K36" i="42"/>
  <c r="M36" i="57"/>
  <c r="L36" i="44"/>
  <c r="M36" i="44"/>
  <c r="L36" i="47"/>
  <c r="L40" i="49" s="1"/>
  <c r="M36" i="47"/>
  <c r="L88" i="49" s="1"/>
  <c r="L36" i="51"/>
  <c r="M42" i="52" s="1"/>
  <c r="M36" i="51"/>
  <c r="M104" i="52" s="1"/>
  <c r="L36" i="54"/>
  <c r="M36" i="54"/>
  <c r="L36" i="42"/>
  <c r="L40" i="41" s="1"/>
  <c r="M36" i="42"/>
  <c r="L88" i="41" s="1"/>
  <c r="O36" i="57"/>
  <c r="E88" i="59" s="1"/>
  <c r="N36" i="44"/>
  <c r="U40" i="45" s="1"/>
  <c r="O36" i="44"/>
  <c r="U88" i="45" s="1"/>
  <c r="N36" i="47"/>
  <c r="O36" i="47"/>
  <c r="N36" i="51"/>
  <c r="O36" i="51"/>
  <c r="N36" i="54"/>
  <c r="O36" i="54"/>
  <c r="N36" i="42"/>
  <c r="O36" i="42"/>
  <c r="Q36" i="57"/>
  <c r="P36" i="44"/>
  <c r="Q36" i="44"/>
  <c r="P36" i="47"/>
  <c r="F40" i="49" s="1"/>
  <c r="Q36" i="47"/>
  <c r="F88" i="49" s="1"/>
  <c r="P36" i="51"/>
  <c r="K42" i="52" s="1"/>
  <c r="Q36" i="51"/>
  <c r="K104" i="52" s="1"/>
  <c r="P36" i="54"/>
  <c r="H40" i="56" s="1"/>
  <c r="Q36" i="54"/>
  <c r="H89" i="56" s="1"/>
  <c r="P36" i="42"/>
  <c r="F40" i="41" s="1"/>
  <c r="Q36" i="42"/>
  <c r="F88" i="41" s="1"/>
  <c r="S36" i="57"/>
  <c r="G88" i="59" s="1"/>
  <c r="R36" i="44"/>
  <c r="G40" i="45" s="1"/>
  <c r="S36" i="44"/>
  <c r="G88" i="45" s="1"/>
  <c r="R36" i="47"/>
  <c r="S36" i="47"/>
  <c r="R36" i="51"/>
  <c r="S36" i="51"/>
  <c r="R36" i="54"/>
  <c r="S36" i="54"/>
  <c r="R36" i="42"/>
  <c r="S36" i="42"/>
  <c r="U36" i="57"/>
  <c r="T36" i="44"/>
  <c r="S40" i="45" s="1"/>
  <c r="U36" i="44"/>
  <c r="S88" i="45" s="1"/>
  <c r="T36" i="47"/>
  <c r="U36" i="47"/>
  <c r="T36" i="51"/>
  <c r="U36" i="51"/>
  <c r="T36" i="54"/>
  <c r="U36" i="54"/>
  <c r="T36" i="42"/>
  <c r="U36" i="42"/>
  <c r="W36" i="57"/>
  <c r="L88" i="59" s="1"/>
  <c r="V36" i="44"/>
  <c r="W36" i="44"/>
  <c r="V36" i="47"/>
  <c r="W36" i="47"/>
  <c r="V36" i="51"/>
  <c r="W36" i="51"/>
  <c r="V36" i="42"/>
  <c r="W36" i="42"/>
  <c r="Y36" i="57"/>
  <c r="X36" i="44"/>
  <c r="Y36" i="44"/>
  <c r="X36" i="47"/>
  <c r="Y36" i="47"/>
  <c r="X36" i="51"/>
  <c r="Y36" i="51"/>
  <c r="X36" i="42"/>
  <c r="Y36" i="42"/>
  <c r="AA36" i="57"/>
  <c r="Z36" i="44"/>
  <c r="AA36" i="44"/>
  <c r="Z36" i="47"/>
  <c r="AA36" i="47"/>
  <c r="Z36" i="51"/>
  <c r="AA36" i="51"/>
  <c r="Z36" i="54"/>
  <c r="AA36" i="54"/>
  <c r="Z36" i="42"/>
  <c r="AA36" i="42"/>
  <c r="AC36" i="57"/>
  <c r="AB36" i="44"/>
  <c r="AC36" i="44"/>
  <c r="AB36" i="47"/>
  <c r="AC36" i="47"/>
  <c r="AB36" i="51"/>
  <c r="AC36" i="51"/>
  <c r="AB36" i="54"/>
  <c r="AC36" i="54"/>
  <c r="AB36" i="42"/>
  <c r="AC36" i="42"/>
  <c r="AE36" i="57"/>
  <c r="AD36" i="44"/>
  <c r="AE36" i="44"/>
  <c r="AD36" i="47"/>
  <c r="I40" i="49" s="1"/>
  <c r="AE36" i="47"/>
  <c r="I88" i="49" s="1"/>
  <c r="AD36" i="51"/>
  <c r="I42" i="52" s="1"/>
  <c r="AE36" i="51"/>
  <c r="I104" i="52" s="1"/>
  <c r="AD36" i="54"/>
  <c r="J40" i="56" s="1"/>
  <c r="AE36" i="54"/>
  <c r="J89" i="56" s="1"/>
  <c r="AD36" i="42"/>
  <c r="J40" i="41" s="1"/>
  <c r="AE36" i="42"/>
  <c r="J88" i="41" s="1"/>
  <c r="AG36" i="57"/>
  <c r="J88" i="59" s="1"/>
  <c r="AF36" i="44"/>
  <c r="AG36" i="44"/>
  <c r="AF36" i="47"/>
  <c r="AG36" i="47"/>
  <c r="AF36" i="51"/>
  <c r="AG36" i="51"/>
  <c r="AF36" i="54"/>
  <c r="AG36" i="54"/>
  <c r="AF36" i="42"/>
  <c r="AG36" i="42"/>
  <c r="AI36" i="57"/>
  <c r="AH36" i="44"/>
  <c r="AI36" i="44"/>
  <c r="AH36" i="47"/>
  <c r="S40" i="49" s="1"/>
  <c r="AI36" i="47"/>
  <c r="S88" i="49" s="1"/>
  <c r="AH36" i="51"/>
  <c r="AI36" i="51"/>
  <c r="AH36" i="54"/>
  <c r="AI36" i="54"/>
  <c r="AH36" i="42"/>
  <c r="AI36" i="42"/>
  <c r="AK36" i="57"/>
  <c r="AJ36" i="44"/>
  <c r="AK36" i="44"/>
  <c r="AJ36" i="47"/>
  <c r="C40" i="49" s="1"/>
  <c r="AK36" i="47"/>
  <c r="C88" i="49" s="1"/>
  <c r="AJ36" i="51"/>
  <c r="E42" i="52" s="1"/>
  <c r="AK36" i="51"/>
  <c r="E104" i="52" s="1"/>
  <c r="AJ36" i="54"/>
  <c r="C40" i="56" s="1"/>
  <c r="AJ36" i="42"/>
  <c r="C40" i="41" s="1"/>
  <c r="AK36" i="42"/>
  <c r="C88" i="41" s="1"/>
  <c r="AM36" i="57"/>
  <c r="AL36" i="44"/>
  <c r="E40" i="45" s="1"/>
  <c r="AM36" i="44"/>
  <c r="E88" i="45" s="1"/>
  <c r="AL36" i="47"/>
  <c r="E40" i="49" s="1"/>
  <c r="AM36" i="47"/>
  <c r="E88" i="49" s="1"/>
  <c r="AL36" i="51"/>
  <c r="G42" i="52" s="1"/>
  <c r="AM36" i="51"/>
  <c r="G104" i="52" s="1"/>
  <c r="AL36" i="54"/>
  <c r="E40" i="56" s="1"/>
  <c r="AM36" i="54"/>
  <c r="E89" i="56" s="1"/>
  <c r="AL36" i="42"/>
  <c r="E40" i="41" s="1"/>
  <c r="AM36" i="42"/>
  <c r="E88" i="41" s="1"/>
  <c r="AO36" i="57"/>
  <c r="AN36" i="47"/>
  <c r="D40" i="49" s="1"/>
  <c r="AO36" i="47"/>
  <c r="D88" i="49" s="1"/>
  <c r="AN36" i="51"/>
  <c r="J42" i="52" s="1"/>
  <c r="AO36" i="51"/>
  <c r="J104" i="52" s="1"/>
  <c r="AN36" i="54"/>
  <c r="G40" i="56" s="1"/>
  <c r="AO36" i="54"/>
  <c r="G89" i="56" s="1"/>
  <c r="AN36" i="42"/>
  <c r="D40" i="41" s="1"/>
  <c r="AO36" i="42"/>
  <c r="D88" i="41" s="1"/>
  <c r="AQ36" i="57"/>
  <c r="AP36" i="47"/>
  <c r="H40" i="49" s="1"/>
  <c r="AQ36" i="47"/>
  <c r="H88" i="49" s="1"/>
  <c r="AP36" i="51"/>
  <c r="L42" i="52" s="1"/>
  <c r="AQ36" i="51"/>
  <c r="L104" i="52" s="1"/>
  <c r="AP36" i="54"/>
  <c r="F40" i="56" s="1"/>
  <c r="AQ36" i="54"/>
  <c r="F89" i="56" s="1"/>
  <c r="AP36" i="42"/>
  <c r="H40" i="41" s="1"/>
  <c r="AQ36" i="42"/>
  <c r="H88" i="41" s="1"/>
  <c r="AS36" i="57"/>
  <c r="K88" i="59" s="1"/>
  <c r="AR36" i="47"/>
  <c r="AS36" i="47"/>
  <c r="AR36" i="51"/>
  <c r="AS36" i="51"/>
  <c r="AR36" i="54"/>
  <c r="AS36" i="54"/>
  <c r="AR36" i="42"/>
  <c r="AS36" i="42"/>
  <c r="AU36" i="57"/>
  <c r="AT36" i="47"/>
  <c r="G40" i="49" s="1"/>
  <c r="AU36" i="47"/>
  <c r="G88" i="49" s="1"/>
  <c r="AT36" i="51"/>
  <c r="F42" i="52" s="1"/>
  <c r="AU36" i="51"/>
  <c r="F104" i="52" s="1"/>
  <c r="AT36" i="54"/>
  <c r="D40" i="56" s="1"/>
  <c r="AU36" i="54"/>
  <c r="D89" i="56" s="1"/>
  <c r="AT36" i="42"/>
  <c r="G40" i="41" s="1"/>
  <c r="AU36" i="42"/>
  <c r="G88" i="41" s="1"/>
  <c r="AW36" i="57"/>
  <c r="AV36" i="51"/>
  <c r="AW36" i="51"/>
  <c r="AV36" i="54"/>
  <c r="AW36" i="54"/>
  <c r="AV36" i="42"/>
  <c r="AW36" i="42"/>
  <c r="AY36" i="57"/>
  <c r="AX36" i="51"/>
  <c r="AY36" i="51"/>
  <c r="AX36" i="54"/>
  <c r="AY36" i="54"/>
  <c r="AX36" i="42"/>
  <c r="AY36" i="42"/>
  <c r="BA36" i="57"/>
  <c r="AZ36" i="51"/>
  <c r="BA36" i="51"/>
  <c r="AZ36" i="54"/>
  <c r="BA36" i="54"/>
  <c r="AZ36" i="42"/>
  <c r="BA36" i="42"/>
  <c r="BC36" i="57"/>
  <c r="BB36" i="51"/>
  <c r="P42" i="52" s="1"/>
  <c r="BC36" i="51"/>
  <c r="P104" i="52" s="1"/>
  <c r="BB36" i="54"/>
  <c r="BC36" i="54"/>
  <c r="BB36" i="42"/>
  <c r="BC36" i="42"/>
  <c r="BE36" i="57"/>
  <c r="BD36" i="51"/>
  <c r="O42" i="52" s="1"/>
  <c r="BE36" i="51"/>
  <c r="O104" i="52" s="1"/>
  <c r="BD36" i="54"/>
  <c r="BE36" i="54"/>
  <c r="BD36" i="42"/>
  <c r="BE36" i="42"/>
  <c r="BG36" i="57"/>
  <c r="N88" i="59" s="1"/>
  <c r="BF36" i="51"/>
  <c r="Q42" i="52" s="1"/>
  <c r="BG36" i="51"/>
  <c r="Q104" i="52" s="1"/>
  <c r="BF36" i="54"/>
  <c r="BG36" i="54"/>
  <c r="BI36" i="57"/>
  <c r="BH36" i="51"/>
  <c r="BI36" i="51"/>
  <c r="BH36" i="54"/>
  <c r="BI36" i="54"/>
  <c r="BJ36" i="54"/>
  <c r="BK36" i="54"/>
  <c r="BL36" i="54"/>
  <c r="BM36" i="54"/>
  <c r="BP36" i="54"/>
  <c r="L40" i="56" s="1"/>
  <c r="BQ36" i="54"/>
  <c r="L89" i="56" s="1"/>
  <c r="BR36" i="54"/>
  <c r="BS36" i="54"/>
  <c r="BT36" i="54"/>
  <c r="BU36" i="54"/>
  <c r="BV36" i="54"/>
  <c r="BW36" i="54"/>
  <c r="BX36" i="54"/>
  <c r="BY36" i="54"/>
  <c r="F36" i="57"/>
  <c r="H36" i="57"/>
  <c r="E40" i="59" s="1"/>
  <c r="J36" i="57"/>
  <c r="O40" i="59" s="1"/>
  <c r="L36" i="57"/>
  <c r="N36" i="57"/>
  <c r="P36" i="57"/>
  <c r="R36" i="57"/>
  <c r="G40" i="59" s="1"/>
  <c r="T36" i="57"/>
  <c r="V36" i="57"/>
  <c r="L40" i="59" s="1"/>
  <c r="X36" i="57"/>
  <c r="Z36" i="57"/>
  <c r="AB36" i="57"/>
  <c r="AD36" i="57"/>
  <c r="AF36" i="57"/>
  <c r="J40" i="59" s="1"/>
  <c r="AH36" i="57"/>
  <c r="AJ36" i="57"/>
  <c r="AL36" i="57"/>
  <c r="AN36" i="57"/>
  <c r="AP36" i="57"/>
  <c r="AR36" i="57"/>
  <c r="K40" i="59" s="1"/>
  <c r="AT36" i="57"/>
  <c r="AV36" i="57"/>
  <c r="AX36" i="57"/>
  <c r="AZ36" i="57"/>
  <c r="BB36" i="57"/>
  <c r="BD36" i="57"/>
  <c r="BF36" i="57"/>
  <c r="N40" i="59" s="1"/>
  <c r="BH36" i="57"/>
  <c r="D36" i="57"/>
  <c r="D40" i="59" s="1"/>
  <c r="E34" i="57"/>
  <c r="D34" i="44"/>
  <c r="E34" i="44"/>
  <c r="H86" i="45" s="1"/>
  <c r="D34" i="47"/>
  <c r="M38" i="49" s="1"/>
  <c r="E34" i="47"/>
  <c r="M86" i="49" s="1"/>
  <c r="D34" i="51"/>
  <c r="H40" i="52" s="1"/>
  <c r="E34" i="51"/>
  <c r="H102" i="52" s="1"/>
  <c r="D34" i="54"/>
  <c r="K38" i="56" s="1"/>
  <c r="E34" i="54"/>
  <c r="K87" i="56" s="1"/>
  <c r="D34" i="42"/>
  <c r="E34" i="42"/>
  <c r="I86" i="41" s="1"/>
  <c r="G34" i="57"/>
  <c r="F34" i="44"/>
  <c r="G34" i="44"/>
  <c r="F34" i="47"/>
  <c r="K38" i="49" s="1"/>
  <c r="G34" i="47"/>
  <c r="K86" i="49" s="1"/>
  <c r="F34" i="51"/>
  <c r="G34" i="51"/>
  <c r="F34" i="54"/>
  <c r="I38" i="56" s="1"/>
  <c r="G34" i="54"/>
  <c r="I87" i="56" s="1"/>
  <c r="F34" i="42"/>
  <c r="K38" i="41" s="1"/>
  <c r="G34" i="42"/>
  <c r="K86" i="41" s="1"/>
  <c r="I34" i="57"/>
  <c r="H34" i="44"/>
  <c r="J38" i="45" s="1"/>
  <c r="I34" i="44"/>
  <c r="J86" i="45" s="1"/>
  <c r="H34" i="47"/>
  <c r="I34" i="47"/>
  <c r="H34" i="51"/>
  <c r="I34" i="51"/>
  <c r="H34" i="54"/>
  <c r="I34" i="54"/>
  <c r="H34" i="42"/>
  <c r="I34" i="42"/>
  <c r="K34" i="57"/>
  <c r="O86" i="59" s="1"/>
  <c r="J34" i="44"/>
  <c r="K34" i="44"/>
  <c r="J34" i="47"/>
  <c r="K34" i="47"/>
  <c r="J34" i="51"/>
  <c r="K34" i="51"/>
  <c r="J34" i="54"/>
  <c r="K34" i="54"/>
  <c r="J34" i="42"/>
  <c r="K34" i="42"/>
  <c r="M34" i="57"/>
  <c r="L34" i="44"/>
  <c r="M34" i="44"/>
  <c r="L34" i="47"/>
  <c r="L38" i="49" s="1"/>
  <c r="M34" i="47"/>
  <c r="L86" i="49" s="1"/>
  <c r="L34" i="51"/>
  <c r="M40" i="52" s="1"/>
  <c r="M34" i="51"/>
  <c r="M102" i="52" s="1"/>
  <c r="L34" i="54"/>
  <c r="M34" i="54"/>
  <c r="L34" i="42"/>
  <c r="L38" i="41" s="1"/>
  <c r="M34" i="42"/>
  <c r="L86" i="41" s="1"/>
  <c r="O34" i="57"/>
  <c r="E86" i="59" s="1"/>
  <c r="N34" i="44"/>
  <c r="U38" i="45" s="1"/>
  <c r="O34" i="44"/>
  <c r="U86" i="45" s="1"/>
  <c r="N34" i="47"/>
  <c r="O34" i="47"/>
  <c r="N34" i="51"/>
  <c r="O34" i="51"/>
  <c r="N34" i="54"/>
  <c r="O34" i="54"/>
  <c r="N34" i="42"/>
  <c r="O34" i="42"/>
  <c r="Q34" i="57"/>
  <c r="P34" i="44"/>
  <c r="Q34" i="44"/>
  <c r="P34" i="47"/>
  <c r="F38" i="49" s="1"/>
  <c r="Q34" i="47"/>
  <c r="F86" i="49" s="1"/>
  <c r="P34" i="51"/>
  <c r="K40" i="52" s="1"/>
  <c r="Q34" i="51"/>
  <c r="K102" i="52" s="1"/>
  <c r="P34" i="54"/>
  <c r="H38" i="56" s="1"/>
  <c r="Q34" i="54"/>
  <c r="H87" i="56" s="1"/>
  <c r="P34" i="42"/>
  <c r="F38" i="41" s="1"/>
  <c r="Q34" i="42"/>
  <c r="F86" i="41" s="1"/>
  <c r="S34" i="57"/>
  <c r="G86" i="59" s="1"/>
  <c r="R34" i="44"/>
  <c r="G38" i="45" s="1"/>
  <c r="S34" i="44"/>
  <c r="G86" i="45" s="1"/>
  <c r="R34" i="47"/>
  <c r="S34" i="47"/>
  <c r="R34" i="51"/>
  <c r="S34" i="51"/>
  <c r="R34" i="42"/>
  <c r="S34" i="42"/>
  <c r="U34" i="57"/>
  <c r="T34" i="44"/>
  <c r="S38" i="45" s="1"/>
  <c r="U34" i="44"/>
  <c r="S86" i="45" s="1"/>
  <c r="T34" i="47"/>
  <c r="U34" i="47"/>
  <c r="T34" i="51"/>
  <c r="U34" i="51"/>
  <c r="T34" i="42"/>
  <c r="U34" i="42"/>
  <c r="W34" i="57"/>
  <c r="L86" i="59" s="1"/>
  <c r="V34" i="44"/>
  <c r="W34" i="44"/>
  <c r="V34" i="47"/>
  <c r="W34" i="47"/>
  <c r="V34" i="51"/>
  <c r="W34" i="51"/>
  <c r="V34" i="54"/>
  <c r="W34" i="54"/>
  <c r="V34" i="42"/>
  <c r="W34" i="42"/>
  <c r="Y34" i="57"/>
  <c r="X34" i="44"/>
  <c r="Y34" i="44"/>
  <c r="X34" i="47"/>
  <c r="Y34" i="47"/>
  <c r="X34" i="51"/>
  <c r="Y34" i="51"/>
  <c r="X34" i="54"/>
  <c r="Y34" i="54"/>
  <c r="X34" i="42"/>
  <c r="Y34" i="42"/>
  <c r="AA34" i="57"/>
  <c r="Z34" i="44"/>
  <c r="AA34" i="44"/>
  <c r="Z34" i="47"/>
  <c r="AA34" i="47"/>
  <c r="Z34" i="51"/>
  <c r="AA34" i="51"/>
  <c r="Z34" i="54"/>
  <c r="AA34" i="54"/>
  <c r="Z34" i="42"/>
  <c r="AA34" i="42"/>
  <c r="AC34" i="57"/>
  <c r="AB34" i="44"/>
  <c r="AC34" i="44"/>
  <c r="AB34" i="47"/>
  <c r="AC34" i="47"/>
  <c r="AB34" i="51"/>
  <c r="AC34" i="51"/>
  <c r="AB34" i="54"/>
  <c r="AC34" i="54"/>
  <c r="AB34" i="42"/>
  <c r="AC34" i="42"/>
  <c r="AE34" i="57"/>
  <c r="AD34" i="44"/>
  <c r="AE34" i="44"/>
  <c r="AD34" i="47"/>
  <c r="I38" i="49" s="1"/>
  <c r="AE34" i="47"/>
  <c r="I86" i="49" s="1"/>
  <c r="AD34" i="51"/>
  <c r="I40" i="52" s="1"/>
  <c r="AE34" i="51"/>
  <c r="I102" i="52" s="1"/>
  <c r="AD34" i="54"/>
  <c r="J38" i="56" s="1"/>
  <c r="AE34" i="54"/>
  <c r="J87" i="56" s="1"/>
  <c r="AD34" i="42"/>
  <c r="J38" i="41" s="1"/>
  <c r="AE34" i="42"/>
  <c r="J86" i="41" s="1"/>
  <c r="AG34" i="57"/>
  <c r="J86" i="59" s="1"/>
  <c r="AF34" i="44"/>
  <c r="AG34" i="44"/>
  <c r="AF34" i="47"/>
  <c r="AG34" i="47"/>
  <c r="AF34" i="51"/>
  <c r="AG34" i="51"/>
  <c r="AF34" i="54"/>
  <c r="AF34" i="42"/>
  <c r="AG34" i="42"/>
  <c r="AI34" i="57"/>
  <c r="AH34" i="44"/>
  <c r="AI34" i="44"/>
  <c r="AH34" i="47"/>
  <c r="S38" i="49" s="1"/>
  <c r="AI34" i="47"/>
  <c r="S86" i="49" s="1"/>
  <c r="AH34" i="51"/>
  <c r="AI34" i="51"/>
  <c r="AH34" i="54"/>
  <c r="AI34" i="54"/>
  <c r="AH34" i="42"/>
  <c r="AI34" i="42"/>
  <c r="AK34" i="57"/>
  <c r="AJ34" i="44"/>
  <c r="AK34" i="44"/>
  <c r="AJ34" i="47"/>
  <c r="C38" i="49" s="1"/>
  <c r="AK34" i="47"/>
  <c r="C86" i="49" s="1"/>
  <c r="AJ34" i="51"/>
  <c r="E40" i="52" s="1"/>
  <c r="AK34" i="51"/>
  <c r="E102" i="52" s="1"/>
  <c r="AJ34" i="54"/>
  <c r="C38" i="56" s="1"/>
  <c r="AK34" i="54"/>
  <c r="C87" i="56" s="1"/>
  <c r="AJ34" i="42"/>
  <c r="C38" i="41" s="1"/>
  <c r="AK34" i="42"/>
  <c r="C86" i="41" s="1"/>
  <c r="AM34" i="57"/>
  <c r="AL34" i="44"/>
  <c r="E38" i="45" s="1"/>
  <c r="AM34" i="44"/>
  <c r="E86" i="45" s="1"/>
  <c r="AL34" i="47"/>
  <c r="E38" i="49" s="1"/>
  <c r="AM34" i="47"/>
  <c r="E86" i="49" s="1"/>
  <c r="AL34" i="51"/>
  <c r="G40" i="52" s="1"/>
  <c r="AM34" i="51"/>
  <c r="G102" i="52" s="1"/>
  <c r="AL34" i="54"/>
  <c r="E38" i="56" s="1"/>
  <c r="AM34" i="54"/>
  <c r="E87" i="56" s="1"/>
  <c r="AL34" i="42"/>
  <c r="E38" i="41" s="1"/>
  <c r="AM34" i="42"/>
  <c r="E86" i="41" s="1"/>
  <c r="AO34" i="57"/>
  <c r="AN34" i="47"/>
  <c r="D38" i="49" s="1"/>
  <c r="AO34" i="47"/>
  <c r="D86" i="49" s="1"/>
  <c r="AN34" i="51"/>
  <c r="J40" i="52" s="1"/>
  <c r="AO34" i="51"/>
  <c r="J102" i="52" s="1"/>
  <c r="AN34" i="54"/>
  <c r="G38" i="56" s="1"/>
  <c r="AO34" i="54"/>
  <c r="G87" i="56" s="1"/>
  <c r="AN34" i="42"/>
  <c r="D38" i="41" s="1"/>
  <c r="AO34" i="42"/>
  <c r="D86" i="41" s="1"/>
  <c r="AQ34" i="57"/>
  <c r="AP34" i="47"/>
  <c r="H38" i="49" s="1"/>
  <c r="AQ34" i="47"/>
  <c r="H86" i="49" s="1"/>
  <c r="AP34" i="51"/>
  <c r="L40" i="52" s="1"/>
  <c r="AQ34" i="51"/>
  <c r="L102" i="52" s="1"/>
  <c r="AP34" i="54"/>
  <c r="F38" i="56" s="1"/>
  <c r="AQ34" i="54"/>
  <c r="F87" i="56" s="1"/>
  <c r="AP34" i="42"/>
  <c r="H38" i="41" s="1"/>
  <c r="AQ34" i="42"/>
  <c r="H86" i="41" s="1"/>
  <c r="AS34" i="57"/>
  <c r="K86" i="59" s="1"/>
  <c r="AR34" i="47"/>
  <c r="AS34" i="47"/>
  <c r="AR34" i="51"/>
  <c r="AS34" i="51"/>
  <c r="AR34" i="54"/>
  <c r="AS34" i="54"/>
  <c r="AR34" i="42"/>
  <c r="AS34" i="42"/>
  <c r="AU34" i="57"/>
  <c r="AT34" i="47"/>
  <c r="G38" i="49" s="1"/>
  <c r="AU34" i="47"/>
  <c r="G86" i="49" s="1"/>
  <c r="AT34" i="51"/>
  <c r="F40" i="52" s="1"/>
  <c r="AU34" i="51"/>
  <c r="F102" i="52" s="1"/>
  <c r="AT34" i="54"/>
  <c r="D38" i="56" s="1"/>
  <c r="AU34" i="54"/>
  <c r="D87" i="56" s="1"/>
  <c r="AT34" i="42"/>
  <c r="G38" i="41" s="1"/>
  <c r="AU34" i="42"/>
  <c r="G86" i="41" s="1"/>
  <c r="AW34" i="57"/>
  <c r="AV34" i="51"/>
  <c r="AW34" i="51"/>
  <c r="AV34" i="54"/>
  <c r="AW34" i="54"/>
  <c r="AV34" i="42"/>
  <c r="AW34" i="42"/>
  <c r="AY34" i="57"/>
  <c r="AX34" i="51"/>
  <c r="AY34" i="51"/>
  <c r="AX34" i="54"/>
  <c r="AY34" i="54"/>
  <c r="AX34" i="42"/>
  <c r="AY34" i="42"/>
  <c r="BA34" i="57"/>
  <c r="AZ34" i="51"/>
  <c r="BA34" i="51"/>
  <c r="AZ34" i="54"/>
  <c r="BA34" i="54"/>
  <c r="AZ34" i="42"/>
  <c r="BA34" i="42"/>
  <c r="BC34" i="57"/>
  <c r="BB34" i="51"/>
  <c r="P40" i="52" s="1"/>
  <c r="BC34" i="51"/>
  <c r="P102" i="52" s="1"/>
  <c r="BB34" i="54"/>
  <c r="BC34" i="54"/>
  <c r="BB34" i="42"/>
  <c r="BC34" i="42"/>
  <c r="BE34" i="57"/>
  <c r="BD34" i="51"/>
  <c r="O40" i="52" s="1"/>
  <c r="BE34" i="51"/>
  <c r="O102" i="52" s="1"/>
  <c r="BD34" i="54"/>
  <c r="BE34" i="54"/>
  <c r="BD34" i="42"/>
  <c r="BE34" i="42"/>
  <c r="BG34" i="57"/>
  <c r="N86" i="59" s="1"/>
  <c r="BF34" i="51"/>
  <c r="Q40" i="52" s="1"/>
  <c r="BG34" i="51"/>
  <c r="Q102" i="52" s="1"/>
  <c r="BF34" i="54"/>
  <c r="BG34" i="54"/>
  <c r="BI34" i="57"/>
  <c r="BH34" i="51"/>
  <c r="BI34" i="51"/>
  <c r="BH34" i="54"/>
  <c r="BI34" i="54"/>
  <c r="BJ34" i="54"/>
  <c r="BK34" i="54"/>
  <c r="BL34" i="54"/>
  <c r="BM34" i="54"/>
  <c r="BP34" i="54"/>
  <c r="L38" i="56" s="1"/>
  <c r="BQ34" i="54"/>
  <c r="L87" i="56" s="1"/>
  <c r="BR34" i="54"/>
  <c r="BS34" i="54"/>
  <c r="BT34" i="54"/>
  <c r="BU34" i="54"/>
  <c r="BV34" i="54"/>
  <c r="BW34" i="54"/>
  <c r="BX34" i="54"/>
  <c r="BY34" i="54"/>
  <c r="F34" i="57"/>
  <c r="H34" i="57"/>
  <c r="E38" i="59" s="1"/>
  <c r="J34" i="57"/>
  <c r="O38" i="59" s="1"/>
  <c r="L34" i="57"/>
  <c r="N34" i="57"/>
  <c r="P34" i="57"/>
  <c r="R34" i="57"/>
  <c r="G38" i="59" s="1"/>
  <c r="T34" i="57"/>
  <c r="V34" i="57"/>
  <c r="L38" i="59" s="1"/>
  <c r="X34" i="57"/>
  <c r="Z34" i="57"/>
  <c r="AB34" i="57"/>
  <c r="AD34" i="57"/>
  <c r="AF34" i="57"/>
  <c r="J38" i="59" s="1"/>
  <c r="AH34" i="57"/>
  <c r="AJ34" i="57"/>
  <c r="AL34" i="57"/>
  <c r="AN34" i="57"/>
  <c r="AP34" i="57"/>
  <c r="AR34" i="57"/>
  <c r="K38" i="59" s="1"/>
  <c r="AT34" i="57"/>
  <c r="AV34" i="57"/>
  <c r="AX34" i="57"/>
  <c r="AZ34" i="57"/>
  <c r="BB34" i="57"/>
  <c r="BD34" i="57"/>
  <c r="BF34" i="57"/>
  <c r="N38" i="59" s="1"/>
  <c r="BH34" i="57"/>
  <c r="D34" i="57"/>
  <c r="D38" i="59" s="1"/>
  <c r="E33" i="57"/>
  <c r="D33" i="44"/>
  <c r="E33" i="44"/>
  <c r="H85" i="45" s="1"/>
  <c r="D33" i="47"/>
  <c r="M37" i="49" s="1"/>
  <c r="E33" i="47"/>
  <c r="M85" i="49" s="1"/>
  <c r="D33" i="51"/>
  <c r="H39" i="52" s="1"/>
  <c r="E33" i="51"/>
  <c r="H101" i="52" s="1"/>
  <c r="D33" i="54"/>
  <c r="K37" i="56" s="1"/>
  <c r="E33" i="54"/>
  <c r="K86" i="56" s="1"/>
  <c r="D33" i="42"/>
  <c r="E33" i="42"/>
  <c r="I85" i="41" s="1"/>
  <c r="G33" i="57"/>
  <c r="F33" i="44"/>
  <c r="G33" i="44"/>
  <c r="F33" i="47"/>
  <c r="K37" i="49" s="1"/>
  <c r="G33" i="47"/>
  <c r="K85" i="49" s="1"/>
  <c r="F33" i="51"/>
  <c r="G33" i="51"/>
  <c r="F33" i="54"/>
  <c r="I37" i="56" s="1"/>
  <c r="G33" i="54"/>
  <c r="I86" i="56" s="1"/>
  <c r="F33" i="42"/>
  <c r="K37" i="41" s="1"/>
  <c r="G33" i="42"/>
  <c r="K85" i="41" s="1"/>
  <c r="I33" i="57"/>
  <c r="H33" i="44"/>
  <c r="J37" i="45" s="1"/>
  <c r="I33" i="44"/>
  <c r="J85" i="45" s="1"/>
  <c r="H33" i="47"/>
  <c r="I33" i="47"/>
  <c r="H33" i="51"/>
  <c r="I33" i="51"/>
  <c r="H33" i="54"/>
  <c r="I33" i="54"/>
  <c r="H33" i="42"/>
  <c r="I33" i="42"/>
  <c r="K33" i="57"/>
  <c r="O85" i="59" s="1"/>
  <c r="J33" i="44"/>
  <c r="K33" i="44"/>
  <c r="J33" i="47"/>
  <c r="K33" i="47"/>
  <c r="J33" i="51"/>
  <c r="K33" i="51"/>
  <c r="J33" i="54"/>
  <c r="K33" i="54"/>
  <c r="J33" i="42"/>
  <c r="K33" i="42"/>
  <c r="M33" i="57"/>
  <c r="L33" i="44"/>
  <c r="M33" i="44"/>
  <c r="L33" i="47"/>
  <c r="L37" i="49" s="1"/>
  <c r="M33" i="47"/>
  <c r="L85" i="49" s="1"/>
  <c r="L33" i="51"/>
  <c r="M39" i="52" s="1"/>
  <c r="M33" i="51"/>
  <c r="M101" i="52" s="1"/>
  <c r="L33" i="54"/>
  <c r="M33" i="54"/>
  <c r="L33" i="42"/>
  <c r="L37" i="41" s="1"/>
  <c r="M33" i="42"/>
  <c r="L85" i="41" s="1"/>
  <c r="O33" i="57"/>
  <c r="E85" i="59" s="1"/>
  <c r="N33" i="44"/>
  <c r="U37" i="45" s="1"/>
  <c r="O33" i="44"/>
  <c r="U85" i="45" s="1"/>
  <c r="N33" i="47"/>
  <c r="O33" i="47"/>
  <c r="N33" i="51"/>
  <c r="O33" i="51"/>
  <c r="N33" i="54"/>
  <c r="O33" i="54"/>
  <c r="N33" i="42"/>
  <c r="O33" i="42"/>
  <c r="Q33" i="57"/>
  <c r="P33" i="44"/>
  <c r="Q33" i="44"/>
  <c r="P33" i="47"/>
  <c r="F37" i="49" s="1"/>
  <c r="Q33" i="47"/>
  <c r="F85" i="49" s="1"/>
  <c r="P33" i="51"/>
  <c r="K39" i="52" s="1"/>
  <c r="Q33" i="51"/>
  <c r="K101" i="52" s="1"/>
  <c r="P33" i="42"/>
  <c r="F37" i="41" s="1"/>
  <c r="Q33" i="42"/>
  <c r="F85" i="41" s="1"/>
  <c r="S33" i="57"/>
  <c r="G85" i="59" s="1"/>
  <c r="R33" i="44"/>
  <c r="G37" i="45" s="1"/>
  <c r="S33" i="44"/>
  <c r="G85" i="45" s="1"/>
  <c r="R33" i="47"/>
  <c r="S33" i="47"/>
  <c r="R33" i="51"/>
  <c r="S33" i="51"/>
  <c r="R33" i="42"/>
  <c r="S33" i="42"/>
  <c r="U33" i="57"/>
  <c r="T33" i="44"/>
  <c r="S37" i="45" s="1"/>
  <c r="U33" i="44"/>
  <c r="S85" i="45" s="1"/>
  <c r="T33" i="47"/>
  <c r="U33" i="47"/>
  <c r="T33" i="51"/>
  <c r="U33" i="51"/>
  <c r="T33" i="54"/>
  <c r="U33" i="54"/>
  <c r="T33" i="42"/>
  <c r="U33" i="42"/>
  <c r="W33" i="57"/>
  <c r="L85" i="59" s="1"/>
  <c r="V33" i="44"/>
  <c r="W33" i="44"/>
  <c r="V33" i="47"/>
  <c r="W33" i="47"/>
  <c r="V33" i="51"/>
  <c r="W33" i="51"/>
  <c r="V33" i="54"/>
  <c r="W33" i="54"/>
  <c r="V33" i="42"/>
  <c r="W33" i="42"/>
  <c r="Y33" i="57"/>
  <c r="X33" i="44"/>
  <c r="Y33" i="44"/>
  <c r="X33" i="47"/>
  <c r="Y33" i="47"/>
  <c r="X33" i="51"/>
  <c r="Y33" i="51"/>
  <c r="X33" i="54"/>
  <c r="Y33" i="54"/>
  <c r="X33" i="42"/>
  <c r="Y33" i="42"/>
  <c r="AA33" i="57"/>
  <c r="Z33" i="44"/>
  <c r="AA33" i="44"/>
  <c r="Z33" i="47"/>
  <c r="AA33" i="47"/>
  <c r="Z33" i="51"/>
  <c r="AA33" i="51"/>
  <c r="Z33" i="54"/>
  <c r="AA33" i="54"/>
  <c r="Z33" i="42"/>
  <c r="AA33" i="42"/>
  <c r="AC33" i="57"/>
  <c r="AB33" i="44"/>
  <c r="AC33" i="44"/>
  <c r="AB33" i="47"/>
  <c r="AC33" i="47"/>
  <c r="AB33" i="51"/>
  <c r="AC33" i="51"/>
  <c r="AB33" i="54"/>
  <c r="AC33" i="54"/>
  <c r="AB33" i="42"/>
  <c r="AC33" i="42"/>
  <c r="AE33" i="57"/>
  <c r="AD33" i="44"/>
  <c r="AE33" i="44"/>
  <c r="AD33" i="47"/>
  <c r="I37" i="49" s="1"/>
  <c r="AE33" i="47"/>
  <c r="I85" i="49" s="1"/>
  <c r="AD33" i="51"/>
  <c r="I39" i="52" s="1"/>
  <c r="AE33" i="51"/>
  <c r="I101" i="52" s="1"/>
  <c r="AD33" i="54"/>
  <c r="J37" i="56" s="1"/>
  <c r="AD33" i="42"/>
  <c r="J37" i="41" s="1"/>
  <c r="AE33" i="42"/>
  <c r="J85" i="41" s="1"/>
  <c r="AG33" i="57"/>
  <c r="J85" i="59" s="1"/>
  <c r="AF33" i="44"/>
  <c r="AG33" i="44"/>
  <c r="AF33" i="47"/>
  <c r="AG33" i="47"/>
  <c r="AF33" i="51"/>
  <c r="AG33" i="51"/>
  <c r="AF33" i="54"/>
  <c r="AG33" i="54"/>
  <c r="AF33" i="42"/>
  <c r="AG33" i="42"/>
  <c r="AI33" i="57"/>
  <c r="AH33" i="44"/>
  <c r="AI33" i="44"/>
  <c r="AH33" i="47"/>
  <c r="S37" i="49" s="1"/>
  <c r="AI33" i="47"/>
  <c r="S85" i="49" s="1"/>
  <c r="AH33" i="51"/>
  <c r="AI33" i="51"/>
  <c r="AH33" i="54"/>
  <c r="AI33" i="54"/>
  <c r="AH33" i="42"/>
  <c r="AI33" i="42"/>
  <c r="AK33" i="57"/>
  <c r="AJ33" i="44"/>
  <c r="AK33" i="44"/>
  <c r="AJ33" i="47"/>
  <c r="C37" i="49" s="1"/>
  <c r="AK33" i="47"/>
  <c r="C85" i="49" s="1"/>
  <c r="AJ33" i="51"/>
  <c r="E39" i="52" s="1"/>
  <c r="AK33" i="51"/>
  <c r="E101" i="52" s="1"/>
  <c r="AJ33" i="54"/>
  <c r="C37" i="56" s="1"/>
  <c r="AK33" i="54"/>
  <c r="C86" i="56" s="1"/>
  <c r="AJ33" i="42"/>
  <c r="C37" i="41" s="1"/>
  <c r="AK33" i="42"/>
  <c r="C85" i="41" s="1"/>
  <c r="AM33" i="57"/>
  <c r="AL33" i="44"/>
  <c r="E37" i="45" s="1"/>
  <c r="AM33" i="44"/>
  <c r="E85" i="45" s="1"/>
  <c r="AL33" i="47"/>
  <c r="E37" i="49" s="1"/>
  <c r="AM33" i="47"/>
  <c r="E85" i="49" s="1"/>
  <c r="AL33" i="51"/>
  <c r="G39" i="52" s="1"/>
  <c r="AM33" i="51"/>
  <c r="G101" i="52" s="1"/>
  <c r="AL33" i="54"/>
  <c r="E37" i="56" s="1"/>
  <c r="AM33" i="54"/>
  <c r="E86" i="56" s="1"/>
  <c r="AL33" i="42"/>
  <c r="E37" i="41" s="1"/>
  <c r="AM33" i="42"/>
  <c r="E85" i="41" s="1"/>
  <c r="AO33" i="57"/>
  <c r="AN33" i="47"/>
  <c r="D37" i="49" s="1"/>
  <c r="AO33" i="47"/>
  <c r="D85" i="49" s="1"/>
  <c r="AN33" i="51"/>
  <c r="J39" i="52" s="1"/>
  <c r="AO33" i="51"/>
  <c r="J101" i="52" s="1"/>
  <c r="AN33" i="54"/>
  <c r="G37" i="56" s="1"/>
  <c r="AO33" i="54"/>
  <c r="G86" i="56" s="1"/>
  <c r="AN33" i="42"/>
  <c r="D37" i="41" s="1"/>
  <c r="AO33" i="42"/>
  <c r="D85" i="41" s="1"/>
  <c r="AQ33" i="57"/>
  <c r="AP33" i="47"/>
  <c r="H37" i="49" s="1"/>
  <c r="AQ33" i="47"/>
  <c r="H85" i="49" s="1"/>
  <c r="AP33" i="51"/>
  <c r="L39" i="52" s="1"/>
  <c r="AQ33" i="51"/>
  <c r="L101" i="52" s="1"/>
  <c r="AP33" i="54"/>
  <c r="F37" i="56" s="1"/>
  <c r="AQ33" i="54"/>
  <c r="F86" i="56" s="1"/>
  <c r="AP33" i="42"/>
  <c r="H37" i="41" s="1"/>
  <c r="AQ33" i="42"/>
  <c r="H85" i="41" s="1"/>
  <c r="AS33" i="57"/>
  <c r="K85" i="59" s="1"/>
  <c r="AR33" i="47"/>
  <c r="AS33" i="47"/>
  <c r="AR33" i="51"/>
  <c r="AS33" i="51"/>
  <c r="AR33" i="54"/>
  <c r="AS33" i="54"/>
  <c r="AR33" i="42"/>
  <c r="AS33" i="42"/>
  <c r="AU33" i="57"/>
  <c r="AT33" i="47"/>
  <c r="G37" i="49" s="1"/>
  <c r="AU33" i="47"/>
  <c r="G85" i="49" s="1"/>
  <c r="AT33" i="51"/>
  <c r="F39" i="52" s="1"/>
  <c r="AU33" i="51"/>
  <c r="F101" i="52" s="1"/>
  <c r="AT33" i="54"/>
  <c r="D37" i="56" s="1"/>
  <c r="AU33" i="54"/>
  <c r="D86" i="56" s="1"/>
  <c r="AT33" i="42"/>
  <c r="G37" i="41" s="1"/>
  <c r="AU33" i="42"/>
  <c r="G85" i="41" s="1"/>
  <c r="AW33" i="57"/>
  <c r="AV33" i="51"/>
  <c r="AW33" i="51"/>
  <c r="AV33" i="54"/>
  <c r="AW33" i="54"/>
  <c r="AV33" i="42"/>
  <c r="AW33" i="42"/>
  <c r="AY33" i="57"/>
  <c r="AX33" i="51"/>
  <c r="AY33" i="51"/>
  <c r="AX33" i="54"/>
  <c r="AY33" i="54"/>
  <c r="AX33" i="42"/>
  <c r="AY33" i="42"/>
  <c r="BA33" i="57"/>
  <c r="AZ33" i="51"/>
  <c r="BA33" i="51"/>
  <c r="AZ33" i="54"/>
  <c r="BA33" i="54"/>
  <c r="AZ33" i="42"/>
  <c r="BA33" i="42"/>
  <c r="BC33" i="57"/>
  <c r="BB33" i="51"/>
  <c r="P39" i="52" s="1"/>
  <c r="BC33" i="51"/>
  <c r="P101" i="52" s="1"/>
  <c r="BB33" i="54"/>
  <c r="BC33" i="54"/>
  <c r="BB33" i="42"/>
  <c r="BC33" i="42"/>
  <c r="BE33" i="57"/>
  <c r="BD33" i="51"/>
  <c r="O39" i="52" s="1"/>
  <c r="BE33" i="51"/>
  <c r="O101" i="52" s="1"/>
  <c r="BD33" i="54"/>
  <c r="BE33" i="54"/>
  <c r="BD33" i="42"/>
  <c r="BE33" i="42"/>
  <c r="BG33" i="57"/>
  <c r="N85" i="59" s="1"/>
  <c r="BF33" i="51"/>
  <c r="Q39" i="52" s="1"/>
  <c r="BG33" i="51"/>
  <c r="Q101" i="52" s="1"/>
  <c r="BF33" i="54"/>
  <c r="BG33" i="54"/>
  <c r="BI33" i="57"/>
  <c r="BH33" i="51"/>
  <c r="BI33" i="51"/>
  <c r="BH33" i="54"/>
  <c r="BI33" i="54"/>
  <c r="BJ33" i="54"/>
  <c r="BK33" i="54"/>
  <c r="BL33" i="54"/>
  <c r="BM33" i="54"/>
  <c r="BP33" i="54"/>
  <c r="L37" i="56" s="1"/>
  <c r="BQ33" i="54"/>
  <c r="L86" i="56" s="1"/>
  <c r="BR33" i="54"/>
  <c r="BS33" i="54"/>
  <c r="BT33" i="54"/>
  <c r="BU33" i="54"/>
  <c r="BV33" i="54"/>
  <c r="BW33" i="54"/>
  <c r="BX33" i="54"/>
  <c r="BY33" i="54"/>
  <c r="F33" i="57"/>
  <c r="H33" i="57"/>
  <c r="E37" i="59" s="1"/>
  <c r="J33" i="57"/>
  <c r="O37" i="59" s="1"/>
  <c r="L33" i="57"/>
  <c r="N33" i="57"/>
  <c r="P33" i="57"/>
  <c r="R33" i="57"/>
  <c r="G37" i="59" s="1"/>
  <c r="T33" i="57"/>
  <c r="V33" i="57"/>
  <c r="L37" i="59" s="1"/>
  <c r="X33" i="57"/>
  <c r="Z33" i="57"/>
  <c r="AB33" i="57"/>
  <c r="AD33" i="57"/>
  <c r="AF33" i="57"/>
  <c r="J37" i="59" s="1"/>
  <c r="AH33" i="57"/>
  <c r="AJ33" i="57"/>
  <c r="AL33" i="57"/>
  <c r="AN33" i="57"/>
  <c r="AP33" i="57"/>
  <c r="AR33" i="57"/>
  <c r="K37" i="59" s="1"/>
  <c r="AT33" i="57"/>
  <c r="AV33" i="57"/>
  <c r="AX33" i="57"/>
  <c r="AZ33" i="57"/>
  <c r="BB33" i="57"/>
  <c r="BD33" i="57"/>
  <c r="BF33" i="57"/>
  <c r="N37" i="59" s="1"/>
  <c r="BH33" i="57"/>
  <c r="D33" i="57"/>
  <c r="D37" i="59" s="1"/>
  <c r="E32" i="57"/>
  <c r="D32" i="44"/>
  <c r="E32" i="44"/>
  <c r="H84" i="45" s="1"/>
  <c r="D32" i="47"/>
  <c r="M36" i="49" s="1"/>
  <c r="E32" i="47"/>
  <c r="M84" i="49" s="1"/>
  <c r="D32" i="51"/>
  <c r="H38" i="52" s="1"/>
  <c r="E32" i="51"/>
  <c r="H100" i="52" s="1"/>
  <c r="D32" i="54"/>
  <c r="K36" i="56" s="1"/>
  <c r="E32" i="54"/>
  <c r="K85" i="56" s="1"/>
  <c r="D32" i="42"/>
  <c r="E32" i="42"/>
  <c r="I84" i="41" s="1"/>
  <c r="G32" i="57"/>
  <c r="F32" i="44"/>
  <c r="G32" i="44"/>
  <c r="F32" i="47"/>
  <c r="K36" i="49" s="1"/>
  <c r="G32" i="47"/>
  <c r="K84" i="49" s="1"/>
  <c r="F32" i="51"/>
  <c r="G32" i="51"/>
  <c r="F32" i="54"/>
  <c r="I36" i="56" s="1"/>
  <c r="G32" i="54"/>
  <c r="I85" i="56" s="1"/>
  <c r="F32" i="42"/>
  <c r="K36" i="41" s="1"/>
  <c r="G32" i="42"/>
  <c r="K84" i="41" s="1"/>
  <c r="I32" i="57"/>
  <c r="H32" i="44"/>
  <c r="J36" i="45" s="1"/>
  <c r="I32" i="44"/>
  <c r="J84" i="45" s="1"/>
  <c r="H32" i="47"/>
  <c r="I32" i="47"/>
  <c r="H32" i="51"/>
  <c r="I32" i="51"/>
  <c r="H32" i="54"/>
  <c r="I32" i="54"/>
  <c r="H32" i="42"/>
  <c r="I32" i="42"/>
  <c r="K32" i="57"/>
  <c r="O84" i="59" s="1"/>
  <c r="J32" i="44"/>
  <c r="K32" i="44"/>
  <c r="J32" i="47"/>
  <c r="K32" i="47"/>
  <c r="J32" i="51"/>
  <c r="K32" i="51"/>
  <c r="J32" i="54"/>
  <c r="K32" i="54"/>
  <c r="J32" i="42"/>
  <c r="K32" i="42"/>
  <c r="M32" i="57"/>
  <c r="L32" i="44"/>
  <c r="M32" i="44"/>
  <c r="L32" i="47"/>
  <c r="L36" i="49" s="1"/>
  <c r="M32" i="47"/>
  <c r="L84" i="49" s="1"/>
  <c r="L32" i="51"/>
  <c r="M38" i="52" s="1"/>
  <c r="M32" i="51"/>
  <c r="M100" i="52" s="1"/>
  <c r="L32" i="54"/>
  <c r="M32" i="54"/>
  <c r="L32" i="42"/>
  <c r="L36" i="41" s="1"/>
  <c r="M32" i="42"/>
  <c r="L84" i="41" s="1"/>
  <c r="O32" i="57"/>
  <c r="E84" i="59" s="1"/>
  <c r="N32" i="44"/>
  <c r="U36" i="45" s="1"/>
  <c r="O32" i="44"/>
  <c r="U84" i="45" s="1"/>
  <c r="N32" i="47"/>
  <c r="O32" i="47"/>
  <c r="N32" i="51"/>
  <c r="O32" i="51"/>
  <c r="N32" i="42"/>
  <c r="O32" i="42"/>
  <c r="Q32" i="57"/>
  <c r="P32" i="44"/>
  <c r="Q32" i="44"/>
  <c r="P32" i="47"/>
  <c r="F36" i="49" s="1"/>
  <c r="Q32" i="47"/>
  <c r="F84" i="49" s="1"/>
  <c r="P32" i="51"/>
  <c r="K38" i="52" s="1"/>
  <c r="Q32" i="51"/>
  <c r="K100" i="52" s="1"/>
  <c r="P32" i="42"/>
  <c r="F36" i="41" s="1"/>
  <c r="Q32" i="42"/>
  <c r="F84" i="41" s="1"/>
  <c r="S32" i="57"/>
  <c r="G84" i="59" s="1"/>
  <c r="R32" i="44"/>
  <c r="G36" i="45" s="1"/>
  <c r="S32" i="44"/>
  <c r="G84" i="45" s="1"/>
  <c r="R32" i="47"/>
  <c r="S32" i="47"/>
  <c r="R32" i="51"/>
  <c r="S32" i="51"/>
  <c r="R32" i="54"/>
  <c r="S32" i="54"/>
  <c r="R32" i="42"/>
  <c r="S32" i="42"/>
  <c r="U32" i="57"/>
  <c r="T32" i="44"/>
  <c r="S36" i="45" s="1"/>
  <c r="U32" i="44"/>
  <c r="S84" i="45" s="1"/>
  <c r="T32" i="47"/>
  <c r="U32" i="47"/>
  <c r="T32" i="51"/>
  <c r="U32" i="51"/>
  <c r="T32" i="54"/>
  <c r="U32" i="54"/>
  <c r="T32" i="42"/>
  <c r="U32" i="42"/>
  <c r="W32" i="57"/>
  <c r="L84" i="59" s="1"/>
  <c r="V32" i="44"/>
  <c r="W32" i="44"/>
  <c r="V32" i="47"/>
  <c r="W32" i="47"/>
  <c r="V32" i="51"/>
  <c r="W32" i="51"/>
  <c r="V32" i="54"/>
  <c r="W32" i="54"/>
  <c r="V32" i="42"/>
  <c r="W32" i="42"/>
  <c r="Y32" i="57"/>
  <c r="X32" i="44"/>
  <c r="Y32" i="44"/>
  <c r="X32" i="47"/>
  <c r="Y32" i="47"/>
  <c r="X32" i="51"/>
  <c r="Y32" i="51"/>
  <c r="X32" i="54"/>
  <c r="Y32" i="54"/>
  <c r="X32" i="42"/>
  <c r="Y32" i="42"/>
  <c r="AA32" i="57"/>
  <c r="Z32" i="44"/>
  <c r="AA32" i="44"/>
  <c r="Z32" i="47"/>
  <c r="AA32" i="47"/>
  <c r="Z32" i="51"/>
  <c r="AA32" i="51"/>
  <c r="Z32" i="54"/>
  <c r="AA32" i="54"/>
  <c r="Z32" i="42"/>
  <c r="AA32" i="42"/>
  <c r="AC32" i="57"/>
  <c r="AB32" i="44"/>
  <c r="AC32" i="44"/>
  <c r="AB32" i="47"/>
  <c r="AC32" i="47"/>
  <c r="AB32" i="51"/>
  <c r="AC32" i="51"/>
  <c r="AB32" i="54"/>
  <c r="AB32" i="42"/>
  <c r="AC32" i="42"/>
  <c r="AE32" i="57"/>
  <c r="AD32" i="44"/>
  <c r="AE32" i="44"/>
  <c r="AD32" i="47"/>
  <c r="I36" i="49" s="1"/>
  <c r="AE32" i="47"/>
  <c r="I84" i="49" s="1"/>
  <c r="AD32" i="51"/>
  <c r="I38" i="52" s="1"/>
  <c r="AE32" i="51"/>
  <c r="I100" i="52" s="1"/>
  <c r="AD32" i="54"/>
  <c r="J36" i="56" s="1"/>
  <c r="AE32" i="54"/>
  <c r="J85" i="56" s="1"/>
  <c r="AD32" i="42"/>
  <c r="J36" i="41" s="1"/>
  <c r="AE32" i="42"/>
  <c r="J84" i="41" s="1"/>
  <c r="AG32" i="57"/>
  <c r="J84" i="59" s="1"/>
  <c r="AF32" i="44"/>
  <c r="AG32" i="44"/>
  <c r="AF32" i="47"/>
  <c r="AG32" i="47"/>
  <c r="AF32" i="51"/>
  <c r="AG32" i="51"/>
  <c r="AF32" i="54"/>
  <c r="AG32" i="54"/>
  <c r="AF32" i="42"/>
  <c r="AG32" i="42"/>
  <c r="AI32" i="57"/>
  <c r="AH32" i="44"/>
  <c r="AI32" i="44"/>
  <c r="AH32" i="47"/>
  <c r="S36" i="49" s="1"/>
  <c r="AI32" i="47"/>
  <c r="S84" i="49" s="1"/>
  <c r="AH32" i="51"/>
  <c r="AI32" i="51"/>
  <c r="AH32" i="54"/>
  <c r="AI32" i="54"/>
  <c r="AH32" i="42"/>
  <c r="AI32" i="42"/>
  <c r="AK32" i="57"/>
  <c r="AJ32" i="44"/>
  <c r="AK32" i="44"/>
  <c r="AJ32" i="47"/>
  <c r="C36" i="49" s="1"/>
  <c r="AK32" i="47"/>
  <c r="C84" i="49" s="1"/>
  <c r="AJ32" i="51"/>
  <c r="E38" i="52" s="1"/>
  <c r="AK32" i="51"/>
  <c r="E100" i="52" s="1"/>
  <c r="AJ32" i="54"/>
  <c r="C36" i="56" s="1"/>
  <c r="AK32" i="54"/>
  <c r="C85" i="56" s="1"/>
  <c r="AJ32" i="42"/>
  <c r="C36" i="41" s="1"/>
  <c r="AK32" i="42"/>
  <c r="C84" i="41" s="1"/>
  <c r="AM32" i="57"/>
  <c r="AL32" i="44"/>
  <c r="E36" i="45" s="1"/>
  <c r="AM32" i="44"/>
  <c r="E84" i="45" s="1"/>
  <c r="AL32" i="47"/>
  <c r="E36" i="49" s="1"/>
  <c r="AM32" i="47"/>
  <c r="E84" i="49" s="1"/>
  <c r="AL32" i="51"/>
  <c r="G38" i="52" s="1"/>
  <c r="AM32" i="51"/>
  <c r="G100" i="52" s="1"/>
  <c r="AL32" i="54"/>
  <c r="E36" i="56" s="1"/>
  <c r="AM32" i="54"/>
  <c r="E85" i="56" s="1"/>
  <c r="AL32" i="42"/>
  <c r="E36" i="41" s="1"/>
  <c r="AM32" i="42"/>
  <c r="E84" i="41" s="1"/>
  <c r="AO32" i="57"/>
  <c r="AN32" i="47"/>
  <c r="D36" i="49" s="1"/>
  <c r="AO32" i="47"/>
  <c r="D84" i="49" s="1"/>
  <c r="AN32" i="51"/>
  <c r="J38" i="52" s="1"/>
  <c r="AO32" i="51"/>
  <c r="J100" i="52" s="1"/>
  <c r="AN32" i="54"/>
  <c r="G36" i="56" s="1"/>
  <c r="AO32" i="54"/>
  <c r="G85" i="56" s="1"/>
  <c r="AN32" i="42"/>
  <c r="D36" i="41" s="1"/>
  <c r="AO32" i="42"/>
  <c r="D84" i="41" s="1"/>
  <c r="AQ32" i="57"/>
  <c r="AP32" i="47"/>
  <c r="H36" i="49" s="1"/>
  <c r="AQ32" i="47"/>
  <c r="H84" i="49" s="1"/>
  <c r="AP32" i="51"/>
  <c r="L38" i="52" s="1"/>
  <c r="AQ32" i="51"/>
  <c r="L100" i="52" s="1"/>
  <c r="AP32" i="54"/>
  <c r="F36" i="56" s="1"/>
  <c r="AQ32" i="54"/>
  <c r="F85" i="56" s="1"/>
  <c r="AP32" i="42"/>
  <c r="H36" i="41" s="1"/>
  <c r="AQ32" i="42"/>
  <c r="H84" i="41" s="1"/>
  <c r="AS32" i="57"/>
  <c r="K84" i="59" s="1"/>
  <c r="AR32" i="47"/>
  <c r="AS32" i="47"/>
  <c r="AR32" i="51"/>
  <c r="AS32" i="51"/>
  <c r="AR32" i="54"/>
  <c r="AS32" i="54"/>
  <c r="AR32" i="42"/>
  <c r="AS32" i="42"/>
  <c r="AU32" i="57"/>
  <c r="AT32" i="47"/>
  <c r="G36" i="49" s="1"/>
  <c r="AU32" i="47"/>
  <c r="G84" i="49" s="1"/>
  <c r="AT32" i="51"/>
  <c r="F38" i="52" s="1"/>
  <c r="AU32" i="51"/>
  <c r="F100" i="52" s="1"/>
  <c r="AT32" i="54"/>
  <c r="D36" i="56" s="1"/>
  <c r="AU32" i="54"/>
  <c r="D85" i="56" s="1"/>
  <c r="AT32" i="42"/>
  <c r="G36" i="41" s="1"/>
  <c r="AU32" i="42"/>
  <c r="G84" i="41" s="1"/>
  <c r="AW32" i="57"/>
  <c r="AV32" i="51"/>
  <c r="AW32" i="51"/>
  <c r="AV32" i="54"/>
  <c r="AW32" i="54"/>
  <c r="AV32" i="42"/>
  <c r="AW32" i="42"/>
  <c r="AY32" i="57"/>
  <c r="AX32" i="51"/>
  <c r="AY32" i="51"/>
  <c r="AX32" i="54"/>
  <c r="AY32" i="54"/>
  <c r="AX32" i="42"/>
  <c r="AY32" i="42"/>
  <c r="BA32" i="57"/>
  <c r="AZ32" i="51"/>
  <c r="BA32" i="51"/>
  <c r="AZ32" i="54"/>
  <c r="BA32" i="54"/>
  <c r="AZ32" i="42"/>
  <c r="BA32" i="42"/>
  <c r="BC32" i="57"/>
  <c r="BB32" i="51"/>
  <c r="P38" i="52" s="1"/>
  <c r="BC32" i="51"/>
  <c r="P100" i="52" s="1"/>
  <c r="BB32" i="54"/>
  <c r="BC32" i="54"/>
  <c r="BB32" i="42"/>
  <c r="BC32" i="42"/>
  <c r="BE32" i="57"/>
  <c r="BD32" i="51"/>
  <c r="O38" i="52" s="1"/>
  <c r="BE32" i="51"/>
  <c r="O100" i="52" s="1"/>
  <c r="BD32" i="54"/>
  <c r="BE32" i="54"/>
  <c r="BD32" i="42"/>
  <c r="BE32" i="42"/>
  <c r="BG32" i="57"/>
  <c r="N84" i="59" s="1"/>
  <c r="BF32" i="51"/>
  <c r="Q38" i="52" s="1"/>
  <c r="BG32" i="51"/>
  <c r="Q100" i="52" s="1"/>
  <c r="BF32" i="54"/>
  <c r="BG32" i="54"/>
  <c r="BI32" i="57"/>
  <c r="BH32" i="51"/>
  <c r="BI32" i="51"/>
  <c r="BH32" i="54"/>
  <c r="BI32" i="54"/>
  <c r="BJ32" i="54"/>
  <c r="BK32" i="54"/>
  <c r="BL32" i="54"/>
  <c r="BM32" i="54"/>
  <c r="BP32" i="54"/>
  <c r="L36" i="56" s="1"/>
  <c r="BQ32" i="54"/>
  <c r="L85" i="56" s="1"/>
  <c r="BR32" i="54"/>
  <c r="BS32" i="54"/>
  <c r="BT32" i="54"/>
  <c r="BU32" i="54"/>
  <c r="BV32" i="54"/>
  <c r="BW32" i="54"/>
  <c r="BX32" i="54"/>
  <c r="BY32" i="54"/>
  <c r="F32" i="57"/>
  <c r="H32" i="57"/>
  <c r="E36" i="59" s="1"/>
  <c r="J32" i="57"/>
  <c r="O36" i="59" s="1"/>
  <c r="L32" i="57"/>
  <c r="N32" i="57"/>
  <c r="P32" i="57"/>
  <c r="R32" i="57"/>
  <c r="G36" i="59" s="1"/>
  <c r="T32" i="57"/>
  <c r="V32" i="57"/>
  <c r="L36" i="59" s="1"/>
  <c r="X32" i="57"/>
  <c r="Z32" i="57"/>
  <c r="AB32" i="57"/>
  <c r="AD32" i="57"/>
  <c r="AF32" i="57"/>
  <c r="J36" i="59" s="1"/>
  <c r="AH32" i="57"/>
  <c r="AJ32" i="57"/>
  <c r="AL32" i="57"/>
  <c r="AN32" i="57"/>
  <c r="AP32" i="57"/>
  <c r="AR32" i="57"/>
  <c r="K36" i="59" s="1"/>
  <c r="AT32" i="57"/>
  <c r="AV32" i="57"/>
  <c r="AX32" i="57"/>
  <c r="AZ32" i="57"/>
  <c r="BB32" i="57"/>
  <c r="BD32" i="57"/>
  <c r="BF32" i="57"/>
  <c r="N36" i="59" s="1"/>
  <c r="BH32" i="57"/>
  <c r="D32" i="57"/>
  <c r="D36" i="59" s="1"/>
  <c r="E31" i="57"/>
  <c r="D31" i="44"/>
  <c r="E31" i="44"/>
  <c r="H83" i="45" s="1"/>
  <c r="D31" i="47"/>
  <c r="M35" i="49" s="1"/>
  <c r="E31" i="47"/>
  <c r="M83" i="49" s="1"/>
  <c r="D31" i="51"/>
  <c r="H37" i="52" s="1"/>
  <c r="E31" i="51"/>
  <c r="H99" i="52" s="1"/>
  <c r="D31" i="54"/>
  <c r="K35" i="56" s="1"/>
  <c r="E31" i="54"/>
  <c r="K84" i="56" s="1"/>
  <c r="D31" i="42"/>
  <c r="E31" i="42"/>
  <c r="I83" i="41" s="1"/>
  <c r="G31" i="57"/>
  <c r="F31" i="44"/>
  <c r="G31" i="44"/>
  <c r="F31" i="47"/>
  <c r="K35" i="49" s="1"/>
  <c r="G31" i="47"/>
  <c r="K83" i="49" s="1"/>
  <c r="F31" i="51"/>
  <c r="G31" i="51"/>
  <c r="F31" i="54"/>
  <c r="I35" i="56" s="1"/>
  <c r="G31" i="54"/>
  <c r="I84" i="56" s="1"/>
  <c r="F31" i="42"/>
  <c r="K35" i="41" s="1"/>
  <c r="G31" i="42"/>
  <c r="K83" i="41" s="1"/>
  <c r="I31" i="57"/>
  <c r="H31" i="44"/>
  <c r="J35" i="45" s="1"/>
  <c r="I31" i="44"/>
  <c r="J83" i="45" s="1"/>
  <c r="H31" i="47"/>
  <c r="I31" i="47"/>
  <c r="H31" i="51"/>
  <c r="I31" i="51"/>
  <c r="H31" i="54"/>
  <c r="I31" i="54"/>
  <c r="H31" i="42"/>
  <c r="I31" i="42"/>
  <c r="K31" i="57"/>
  <c r="O83" i="59" s="1"/>
  <c r="J31" i="44"/>
  <c r="K31" i="44"/>
  <c r="J31" i="47"/>
  <c r="K31" i="47"/>
  <c r="J31" i="51"/>
  <c r="K31" i="51"/>
  <c r="J31" i="54"/>
  <c r="K31" i="54"/>
  <c r="J31" i="42"/>
  <c r="K31" i="42"/>
  <c r="M31" i="57"/>
  <c r="L31" i="44"/>
  <c r="M31" i="44"/>
  <c r="L31" i="47"/>
  <c r="L35" i="49" s="1"/>
  <c r="M31" i="47"/>
  <c r="L83" i="49" s="1"/>
  <c r="L31" i="51"/>
  <c r="M37" i="52" s="1"/>
  <c r="M31" i="51"/>
  <c r="M99" i="52" s="1"/>
  <c r="L31" i="54"/>
  <c r="M31" i="54"/>
  <c r="L31" i="42"/>
  <c r="L35" i="41" s="1"/>
  <c r="M31" i="42"/>
  <c r="L83" i="41" s="1"/>
  <c r="O31" i="57"/>
  <c r="E83" i="59" s="1"/>
  <c r="N31" i="44"/>
  <c r="U35" i="45" s="1"/>
  <c r="O31" i="44"/>
  <c r="U83" i="45" s="1"/>
  <c r="N31" i="47"/>
  <c r="O31" i="47"/>
  <c r="N31" i="51"/>
  <c r="O31" i="51"/>
  <c r="N31" i="42"/>
  <c r="O31" i="42"/>
  <c r="Q31" i="57"/>
  <c r="P31" i="44"/>
  <c r="Q31" i="44"/>
  <c r="P31" i="47"/>
  <c r="F35" i="49" s="1"/>
  <c r="Q31" i="47"/>
  <c r="F83" i="49" s="1"/>
  <c r="P31" i="51"/>
  <c r="K37" i="52" s="1"/>
  <c r="Q31" i="51"/>
  <c r="K99" i="52" s="1"/>
  <c r="P31" i="54"/>
  <c r="H35" i="56" s="1"/>
  <c r="Q31" i="54"/>
  <c r="H84" i="56" s="1"/>
  <c r="P31" i="42"/>
  <c r="F35" i="41" s="1"/>
  <c r="Q31" i="42"/>
  <c r="F83" i="41" s="1"/>
  <c r="S31" i="57"/>
  <c r="G83" i="59" s="1"/>
  <c r="R31" i="44"/>
  <c r="G35" i="45" s="1"/>
  <c r="S31" i="44"/>
  <c r="G83" i="45" s="1"/>
  <c r="R31" i="47"/>
  <c r="S31" i="47"/>
  <c r="R31" i="51"/>
  <c r="S31" i="51"/>
  <c r="R31" i="54"/>
  <c r="S31" i="54"/>
  <c r="R31" i="42"/>
  <c r="S31" i="42"/>
  <c r="U31" i="57"/>
  <c r="T31" i="44"/>
  <c r="S35" i="45" s="1"/>
  <c r="U31" i="44"/>
  <c r="S83" i="45" s="1"/>
  <c r="T31" i="47"/>
  <c r="U31" i="47"/>
  <c r="T31" i="51"/>
  <c r="U31" i="51"/>
  <c r="T31" i="54"/>
  <c r="U31" i="54"/>
  <c r="T31" i="42"/>
  <c r="U31" i="42"/>
  <c r="W31" i="57"/>
  <c r="L83" i="59" s="1"/>
  <c r="V31" i="44"/>
  <c r="W31" i="44"/>
  <c r="V31" i="47"/>
  <c r="W31" i="47"/>
  <c r="V31" i="51"/>
  <c r="W31" i="51"/>
  <c r="V31" i="54"/>
  <c r="W31" i="54"/>
  <c r="V31" i="42"/>
  <c r="W31" i="42"/>
  <c r="Y31" i="57"/>
  <c r="X31" i="44"/>
  <c r="Y31" i="44"/>
  <c r="X31" i="47"/>
  <c r="Y31" i="47"/>
  <c r="X31" i="51"/>
  <c r="Y31" i="51"/>
  <c r="X31" i="54"/>
  <c r="Y31" i="54"/>
  <c r="X31" i="42"/>
  <c r="Y31" i="42"/>
  <c r="AA31" i="57"/>
  <c r="Z31" i="44"/>
  <c r="AA31" i="44"/>
  <c r="Z31" i="47"/>
  <c r="AA31" i="47"/>
  <c r="Z31" i="51"/>
  <c r="AA31" i="51"/>
  <c r="Z31" i="54"/>
  <c r="Z31" i="42"/>
  <c r="AA31" i="42"/>
  <c r="AC31" i="57"/>
  <c r="AB31" i="44"/>
  <c r="AC31" i="44"/>
  <c r="AB31" i="47"/>
  <c r="AC31" i="47"/>
  <c r="AB31" i="51"/>
  <c r="AC31" i="51"/>
  <c r="AB31" i="54"/>
  <c r="AC31" i="54"/>
  <c r="AB31" i="42"/>
  <c r="AC31" i="42"/>
  <c r="AE31" i="57"/>
  <c r="AD31" i="44"/>
  <c r="AE31" i="44"/>
  <c r="AD31" i="47"/>
  <c r="I35" i="49" s="1"/>
  <c r="AE31" i="47"/>
  <c r="I83" i="49" s="1"/>
  <c r="AD31" i="51"/>
  <c r="I37" i="52" s="1"/>
  <c r="AE31" i="51"/>
  <c r="I99" i="52" s="1"/>
  <c r="AD31" i="54"/>
  <c r="J35" i="56" s="1"/>
  <c r="AE31" i="54"/>
  <c r="J84" i="56" s="1"/>
  <c r="AD31" i="42"/>
  <c r="J35" i="41" s="1"/>
  <c r="AE31" i="42"/>
  <c r="J83" i="41" s="1"/>
  <c r="AG31" i="57"/>
  <c r="J83" i="59" s="1"/>
  <c r="AF31" i="44"/>
  <c r="AG31" i="44"/>
  <c r="AF31" i="47"/>
  <c r="AG31" i="47"/>
  <c r="AF31" i="51"/>
  <c r="AG31" i="51"/>
  <c r="AF31" i="54"/>
  <c r="AG31" i="54"/>
  <c r="AF31" i="42"/>
  <c r="AG31" i="42"/>
  <c r="AI31" i="57"/>
  <c r="AH31" i="44"/>
  <c r="AI31" i="44"/>
  <c r="AH31" i="47"/>
  <c r="S35" i="49" s="1"/>
  <c r="AI31" i="47"/>
  <c r="S83" i="49" s="1"/>
  <c r="AH31" i="51"/>
  <c r="AI31" i="51"/>
  <c r="AH31" i="54"/>
  <c r="AI31" i="54"/>
  <c r="AH31" i="42"/>
  <c r="AI31" i="42"/>
  <c r="AK31" i="57"/>
  <c r="AJ31" i="44"/>
  <c r="AK31" i="44"/>
  <c r="AJ31" i="47"/>
  <c r="C35" i="49" s="1"/>
  <c r="AK31" i="47"/>
  <c r="C83" i="49" s="1"/>
  <c r="AJ31" i="51"/>
  <c r="E37" i="52" s="1"/>
  <c r="AK31" i="51"/>
  <c r="E99" i="52" s="1"/>
  <c r="AJ31" i="54"/>
  <c r="C35" i="56" s="1"/>
  <c r="AK31" i="54"/>
  <c r="C84" i="56" s="1"/>
  <c r="AJ31" i="42"/>
  <c r="C35" i="41" s="1"/>
  <c r="AK31" i="42"/>
  <c r="C83" i="41" s="1"/>
  <c r="AM31" i="57"/>
  <c r="AL31" i="44"/>
  <c r="E35" i="45" s="1"/>
  <c r="AM31" i="44"/>
  <c r="E83" i="45" s="1"/>
  <c r="AL31" i="47"/>
  <c r="E35" i="49" s="1"/>
  <c r="AM31" i="47"/>
  <c r="E83" i="49" s="1"/>
  <c r="AL31" i="51"/>
  <c r="G37" i="52" s="1"/>
  <c r="AM31" i="51"/>
  <c r="G99" i="52" s="1"/>
  <c r="AL31" i="54"/>
  <c r="E35" i="56" s="1"/>
  <c r="AM31" i="54"/>
  <c r="E84" i="56" s="1"/>
  <c r="AL31" i="42"/>
  <c r="E35" i="41" s="1"/>
  <c r="AM31" i="42"/>
  <c r="E83" i="41" s="1"/>
  <c r="AO31" i="57"/>
  <c r="AN31" i="47"/>
  <c r="D35" i="49" s="1"/>
  <c r="AO31" i="47"/>
  <c r="D83" i="49" s="1"/>
  <c r="AN31" i="51"/>
  <c r="J37" i="52" s="1"/>
  <c r="AO31" i="51"/>
  <c r="J99" i="52" s="1"/>
  <c r="AN31" i="54"/>
  <c r="G35" i="56" s="1"/>
  <c r="AO31" i="54"/>
  <c r="G84" i="56" s="1"/>
  <c r="AN31" i="42"/>
  <c r="D35" i="41" s="1"/>
  <c r="AO31" i="42"/>
  <c r="D83" i="41" s="1"/>
  <c r="AQ31" i="57"/>
  <c r="AP31" i="47"/>
  <c r="H35" i="49" s="1"/>
  <c r="AQ31" i="47"/>
  <c r="H83" i="49" s="1"/>
  <c r="AP31" i="51"/>
  <c r="L37" i="52" s="1"/>
  <c r="AQ31" i="51"/>
  <c r="L99" i="52" s="1"/>
  <c r="AP31" i="54"/>
  <c r="F35" i="56" s="1"/>
  <c r="AQ31" i="54"/>
  <c r="F84" i="56" s="1"/>
  <c r="AP31" i="42"/>
  <c r="H35" i="41" s="1"/>
  <c r="AQ31" i="42"/>
  <c r="H83" i="41" s="1"/>
  <c r="AS31" i="57"/>
  <c r="K83" i="59" s="1"/>
  <c r="AR31" i="47"/>
  <c r="AS31" i="47"/>
  <c r="AR31" i="51"/>
  <c r="AS31" i="51"/>
  <c r="AR31" i="54"/>
  <c r="AS31" i="54"/>
  <c r="AR31" i="42"/>
  <c r="AS31" i="42"/>
  <c r="AU31" i="57"/>
  <c r="AT31" i="47"/>
  <c r="G35" i="49" s="1"/>
  <c r="AU31" i="47"/>
  <c r="G83" i="49" s="1"/>
  <c r="AT31" i="51"/>
  <c r="F37" i="52" s="1"/>
  <c r="AU31" i="51"/>
  <c r="F99" i="52" s="1"/>
  <c r="AT31" i="54"/>
  <c r="D35" i="56" s="1"/>
  <c r="AU31" i="54"/>
  <c r="D84" i="56" s="1"/>
  <c r="AT31" i="42"/>
  <c r="G35" i="41" s="1"/>
  <c r="AU31" i="42"/>
  <c r="G83" i="41" s="1"/>
  <c r="AW31" i="57"/>
  <c r="AV31" i="51"/>
  <c r="AW31" i="51"/>
  <c r="AV31" i="54"/>
  <c r="AW31" i="54"/>
  <c r="AV31" i="42"/>
  <c r="AW31" i="42"/>
  <c r="AY31" i="57"/>
  <c r="AX31" i="51"/>
  <c r="AY31" i="51"/>
  <c r="AX31" i="54"/>
  <c r="AY31" i="54"/>
  <c r="AX31" i="42"/>
  <c r="AY31" i="42"/>
  <c r="BA31" i="57"/>
  <c r="AZ31" i="51"/>
  <c r="BA31" i="51"/>
  <c r="AZ31" i="54"/>
  <c r="BA31" i="54"/>
  <c r="AZ31" i="42"/>
  <c r="BA31" i="42"/>
  <c r="BC31" i="57"/>
  <c r="BB31" i="51"/>
  <c r="P37" i="52" s="1"/>
  <c r="BC31" i="51"/>
  <c r="P99" i="52" s="1"/>
  <c r="BB31" i="54"/>
  <c r="BC31" i="54"/>
  <c r="BB31" i="42"/>
  <c r="BC31" i="42"/>
  <c r="BE31" i="57"/>
  <c r="BD31" i="51"/>
  <c r="O37" i="52" s="1"/>
  <c r="BE31" i="51"/>
  <c r="O99" i="52" s="1"/>
  <c r="BD31" i="54"/>
  <c r="BE31" i="54"/>
  <c r="BD31" i="42"/>
  <c r="BE31" i="42"/>
  <c r="BG31" i="57"/>
  <c r="N83" i="59" s="1"/>
  <c r="BF31" i="51"/>
  <c r="Q37" i="52" s="1"/>
  <c r="BG31" i="51"/>
  <c r="Q99" i="52" s="1"/>
  <c r="BF31" i="54"/>
  <c r="BG31" i="54"/>
  <c r="BI31" i="57"/>
  <c r="BH31" i="51"/>
  <c r="BI31" i="51"/>
  <c r="BH31" i="54"/>
  <c r="BI31" i="54"/>
  <c r="BJ31" i="54"/>
  <c r="BK31" i="54"/>
  <c r="BL31" i="54"/>
  <c r="BM31" i="54"/>
  <c r="BP31" i="54"/>
  <c r="L35" i="56" s="1"/>
  <c r="BQ31" i="54"/>
  <c r="L84" i="56" s="1"/>
  <c r="BR31" i="54"/>
  <c r="BS31" i="54"/>
  <c r="BT31" i="54"/>
  <c r="BU31" i="54"/>
  <c r="BV31" i="54"/>
  <c r="BW31" i="54"/>
  <c r="BX31" i="54"/>
  <c r="BY31" i="54"/>
  <c r="F31" i="57"/>
  <c r="H31" i="57"/>
  <c r="E35" i="59" s="1"/>
  <c r="J31" i="57"/>
  <c r="O35" i="59" s="1"/>
  <c r="L31" i="57"/>
  <c r="N31" i="57"/>
  <c r="P31" i="57"/>
  <c r="R31" i="57"/>
  <c r="G35" i="59" s="1"/>
  <c r="T31" i="57"/>
  <c r="V31" i="57"/>
  <c r="L35" i="59" s="1"/>
  <c r="X31" i="57"/>
  <c r="Z31" i="57"/>
  <c r="AB31" i="57"/>
  <c r="AD31" i="57"/>
  <c r="AF31" i="57"/>
  <c r="J35" i="59" s="1"/>
  <c r="AH31" i="57"/>
  <c r="AJ31" i="57"/>
  <c r="AL31" i="57"/>
  <c r="AN31" i="57"/>
  <c r="AP31" i="57"/>
  <c r="AR31" i="57"/>
  <c r="K35" i="59" s="1"/>
  <c r="AT31" i="57"/>
  <c r="AV31" i="57"/>
  <c r="AX31" i="57"/>
  <c r="AZ31" i="57"/>
  <c r="BB31" i="57"/>
  <c r="BD31" i="57"/>
  <c r="BF31" i="57"/>
  <c r="N35" i="59" s="1"/>
  <c r="BH31" i="57"/>
  <c r="D31" i="57"/>
  <c r="D35" i="59" s="1"/>
  <c r="E30" i="57"/>
  <c r="D30" i="44"/>
  <c r="E30" i="44"/>
  <c r="H82" i="45" s="1"/>
  <c r="D30" i="47"/>
  <c r="M34" i="49" s="1"/>
  <c r="E30" i="47"/>
  <c r="M82" i="49" s="1"/>
  <c r="D30" i="51"/>
  <c r="H36" i="52" s="1"/>
  <c r="E30" i="51"/>
  <c r="H98" i="52" s="1"/>
  <c r="D30" i="54"/>
  <c r="K34" i="56" s="1"/>
  <c r="E30" i="54"/>
  <c r="K83" i="56" s="1"/>
  <c r="D30" i="42"/>
  <c r="E30" i="42"/>
  <c r="I82" i="41" s="1"/>
  <c r="G30" i="57"/>
  <c r="F30" i="44"/>
  <c r="G30" i="44"/>
  <c r="F30" i="47"/>
  <c r="K34" i="49" s="1"/>
  <c r="G30" i="47"/>
  <c r="K82" i="49" s="1"/>
  <c r="F30" i="51"/>
  <c r="G30" i="51"/>
  <c r="F30" i="54"/>
  <c r="I34" i="56" s="1"/>
  <c r="G30" i="54"/>
  <c r="I83" i="56" s="1"/>
  <c r="F30" i="42"/>
  <c r="K34" i="41" s="1"/>
  <c r="G30" i="42"/>
  <c r="K82" i="41" s="1"/>
  <c r="I30" i="57"/>
  <c r="H30" i="44"/>
  <c r="J34" i="45" s="1"/>
  <c r="I30" i="44"/>
  <c r="J82" i="45" s="1"/>
  <c r="H30" i="47"/>
  <c r="I30" i="47"/>
  <c r="H30" i="51"/>
  <c r="I30" i="51"/>
  <c r="H30" i="54"/>
  <c r="I30" i="54"/>
  <c r="H30" i="42"/>
  <c r="I30" i="42"/>
  <c r="K30" i="57"/>
  <c r="O82" i="59" s="1"/>
  <c r="J30" i="44"/>
  <c r="K30" i="44"/>
  <c r="J30" i="47"/>
  <c r="K30" i="47"/>
  <c r="J30" i="51"/>
  <c r="K30" i="51"/>
  <c r="J30" i="54"/>
  <c r="K30" i="54"/>
  <c r="J30" i="42"/>
  <c r="K30" i="42"/>
  <c r="M30" i="57"/>
  <c r="L30" i="44"/>
  <c r="M30" i="44"/>
  <c r="L30" i="47"/>
  <c r="L34" i="49" s="1"/>
  <c r="M30" i="47"/>
  <c r="L82" i="49" s="1"/>
  <c r="L30" i="51"/>
  <c r="M36" i="52" s="1"/>
  <c r="M30" i="51"/>
  <c r="M98" i="52" s="1"/>
  <c r="L30" i="54"/>
  <c r="M30" i="54"/>
  <c r="L30" i="42"/>
  <c r="L34" i="41" s="1"/>
  <c r="M30" i="42"/>
  <c r="L82" i="41" s="1"/>
  <c r="O30" i="57"/>
  <c r="E82" i="59" s="1"/>
  <c r="N30" i="44"/>
  <c r="U34" i="45" s="1"/>
  <c r="O30" i="44"/>
  <c r="U82" i="45" s="1"/>
  <c r="N30" i="47"/>
  <c r="O30" i="47"/>
  <c r="N30" i="51"/>
  <c r="O30" i="51"/>
  <c r="N30" i="54"/>
  <c r="O30" i="54"/>
  <c r="N30" i="42"/>
  <c r="O30" i="42"/>
  <c r="Q30" i="57"/>
  <c r="P30" i="44"/>
  <c r="Q30" i="44"/>
  <c r="P30" i="47"/>
  <c r="F34" i="49" s="1"/>
  <c r="Q30" i="47"/>
  <c r="F82" i="49" s="1"/>
  <c r="P30" i="51"/>
  <c r="K36" i="52" s="1"/>
  <c r="Q30" i="51"/>
  <c r="K98" i="52" s="1"/>
  <c r="P30" i="54"/>
  <c r="H34" i="56" s="1"/>
  <c r="Q30" i="54"/>
  <c r="H83" i="56" s="1"/>
  <c r="P30" i="42"/>
  <c r="F34" i="41" s="1"/>
  <c r="Q30" i="42"/>
  <c r="F82" i="41" s="1"/>
  <c r="S30" i="57"/>
  <c r="G82" i="59" s="1"/>
  <c r="R30" i="44"/>
  <c r="G34" i="45" s="1"/>
  <c r="S30" i="44"/>
  <c r="G82" i="45" s="1"/>
  <c r="R30" i="47"/>
  <c r="S30" i="47"/>
  <c r="R30" i="51"/>
  <c r="S30" i="51"/>
  <c r="R30" i="54"/>
  <c r="S30" i="54"/>
  <c r="R30" i="42"/>
  <c r="S30" i="42"/>
  <c r="U30" i="57"/>
  <c r="T30" i="44"/>
  <c r="S34" i="45" s="1"/>
  <c r="U30" i="44"/>
  <c r="S82" i="45" s="1"/>
  <c r="T30" i="47"/>
  <c r="U30" i="47"/>
  <c r="T30" i="51"/>
  <c r="U30" i="51"/>
  <c r="T30" i="54"/>
  <c r="U30" i="54"/>
  <c r="T30" i="42"/>
  <c r="U30" i="42"/>
  <c r="W30" i="57"/>
  <c r="L82" i="59" s="1"/>
  <c r="V30" i="44"/>
  <c r="W30" i="44"/>
  <c r="V30" i="47"/>
  <c r="W30" i="47"/>
  <c r="V30" i="51"/>
  <c r="W30" i="51"/>
  <c r="V30" i="54"/>
  <c r="W30" i="54"/>
  <c r="V30" i="42"/>
  <c r="W30" i="42"/>
  <c r="Y30" i="57"/>
  <c r="X30" i="44"/>
  <c r="Y30" i="44"/>
  <c r="X30" i="47"/>
  <c r="Y30" i="47"/>
  <c r="X30" i="51"/>
  <c r="Y30" i="51"/>
  <c r="X30" i="54"/>
  <c r="X30" i="42"/>
  <c r="Y30" i="42"/>
  <c r="AA30" i="57"/>
  <c r="Z30" i="44"/>
  <c r="AA30" i="44"/>
  <c r="Z30" i="47"/>
  <c r="AA30" i="47"/>
  <c r="Z30" i="51"/>
  <c r="AA30" i="51"/>
  <c r="Z30" i="54"/>
  <c r="AA30" i="54"/>
  <c r="Z30" i="42"/>
  <c r="AA30" i="42"/>
  <c r="AC30" i="57"/>
  <c r="AB30" i="44"/>
  <c r="AC30" i="44"/>
  <c r="AB30" i="47"/>
  <c r="AC30" i="47"/>
  <c r="AB30" i="51"/>
  <c r="AC30" i="51"/>
  <c r="AB30" i="54"/>
  <c r="AC30" i="54"/>
  <c r="AB30" i="42"/>
  <c r="AC30" i="42"/>
  <c r="AE30" i="57"/>
  <c r="AD30" i="44"/>
  <c r="AE30" i="44"/>
  <c r="AD30" i="47"/>
  <c r="I34" i="49" s="1"/>
  <c r="AE30" i="47"/>
  <c r="I82" i="49" s="1"/>
  <c r="AD30" i="51"/>
  <c r="I36" i="52" s="1"/>
  <c r="AE30" i="51"/>
  <c r="I98" i="52" s="1"/>
  <c r="AD30" i="54"/>
  <c r="J34" i="56" s="1"/>
  <c r="AE30" i="54"/>
  <c r="J83" i="56" s="1"/>
  <c r="AD30" i="42"/>
  <c r="J34" i="41" s="1"/>
  <c r="AE30" i="42"/>
  <c r="J82" i="41" s="1"/>
  <c r="AG30" i="57"/>
  <c r="J82" i="59" s="1"/>
  <c r="AF30" i="44"/>
  <c r="AG30" i="44"/>
  <c r="AF30" i="47"/>
  <c r="AG30" i="47"/>
  <c r="AF30" i="51"/>
  <c r="AG30" i="51"/>
  <c r="AF30" i="54"/>
  <c r="AG30" i="54"/>
  <c r="AF30" i="42"/>
  <c r="AG30" i="42"/>
  <c r="AI30" i="57"/>
  <c r="AH30" i="44"/>
  <c r="AI30" i="44"/>
  <c r="AH30" i="47"/>
  <c r="S34" i="49" s="1"/>
  <c r="AI30" i="47"/>
  <c r="S82" i="49" s="1"/>
  <c r="AH30" i="51"/>
  <c r="AI30" i="51"/>
  <c r="AH30" i="54"/>
  <c r="AI30" i="54"/>
  <c r="AH30" i="42"/>
  <c r="AI30" i="42"/>
  <c r="AK30" i="57"/>
  <c r="AJ30" i="44"/>
  <c r="AK30" i="44"/>
  <c r="AJ30" i="47"/>
  <c r="C34" i="49" s="1"/>
  <c r="AK30" i="47"/>
  <c r="C82" i="49" s="1"/>
  <c r="AJ30" i="51"/>
  <c r="E36" i="52" s="1"/>
  <c r="AK30" i="51"/>
  <c r="E98" i="52" s="1"/>
  <c r="AJ30" i="54"/>
  <c r="C34" i="56" s="1"/>
  <c r="AK30" i="54"/>
  <c r="C83" i="56" s="1"/>
  <c r="AJ30" i="42"/>
  <c r="C34" i="41" s="1"/>
  <c r="AK30" i="42"/>
  <c r="C82" i="41" s="1"/>
  <c r="AM30" i="57"/>
  <c r="AL30" i="44"/>
  <c r="E34" i="45" s="1"/>
  <c r="AM30" i="44"/>
  <c r="E82" i="45" s="1"/>
  <c r="AL30" i="47"/>
  <c r="E34" i="49" s="1"/>
  <c r="AM30" i="47"/>
  <c r="E82" i="49" s="1"/>
  <c r="AL30" i="51"/>
  <c r="G36" i="52" s="1"/>
  <c r="AM30" i="51"/>
  <c r="G98" i="52" s="1"/>
  <c r="AL30" i="54"/>
  <c r="E34" i="56" s="1"/>
  <c r="AM30" i="54"/>
  <c r="E83" i="56" s="1"/>
  <c r="AL30" i="42"/>
  <c r="E34" i="41" s="1"/>
  <c r="AM30" i="42"/>
  <c r="E82" i="41" s="1"/>
  <c r="AO30" i="57"/>
  <c r="AN30" i="47"/>
  <c r="D34" i="49" s="1"/>
  <c r="AO30" i="47"/>
  <c r="D82" i="49" s="1"/>
  <c r="AN30" i="51"/>
  <c r="J36" i="52" s="1"/>
  <c r="AO30" i="51"/>
  <c r="J98" i="52" s="1"/>
  <c r="AN30" i="54"/>
  <c r="G34" i="56" s="1"/>
  <c r="AO30" i="54"/>
  <c r="G83" i="56" s="1"/>
  <c r="AN30" i="42"/>
  <c r="D34" i="41" s="1"/>
  <c r="AO30" i="42"/>
  <c r="D82" i="41" s="1"/>
  <c r="AQ30" i="57"/>
  <c r="AP30" i="47"/>
  <c r="H34" i="49" s="1"/>
  <c r="AQ30" i="47"/>
  <c r="H82" i="49" s="1"/>
  <c r="AP30" i="51"/>
  <c r="L36" i="52" s="1"/>
  <c r="AQ30" i="51"/>
  <c r="L98" i="52" s="1"/>
  <c r="AP30" i="54"/>
  <c r="F34" i="56" s="1"/>
  <c r="AQ30" i="54"/>
  <c r="F83" i="56" s="1"/>
  <c r="AP30" i="42"/>
  <c r="H34" i="41" s="1"/>
  <c r="AQ30" i="42"/>
  <c r="H82" i="41" s="1"/>
  <c r="AS30" i="57"/>
  <c r="K82" i="59" s="1"/>
  <c r="AR30" i="47"/>
  <c r="AS30" i="47"/>
  <c r="AR30" i="51"/>
  <c r="AS30" i="51"/>
  <c r="AR30" i="54"/>
  <c r="AS30" i="54"/>
  <c r="AR30" i="42"/>
  <c r="AS30" i="42"/>
  <c r="AU30" i="57"/>
  <c r="AT30" i="47"/>
  <c r="G34" i="49" s="1"/>
  <c r="AU30" i="47"/>
  <c r="G82" i="49" s="1"/>
  <c r="AT30" i="51"/>
  <c r="F36" i="52" s="1"/>
  <c r="AU30" i="51"/>
  <c r="F98" i="52" s="1"/>
  <c r="AT30" i="54"/>
  <c r="D34" i="56" s="1"/>
  <c r="AU30" i="54"/>
  <c r="D83" i="56" s="1"/>
  <c r="AT30" i="42"/>
  <c r="G34" i="41" s="1"/>
  <c r="AU30" i="42"/>
  <c r="G82" i="41" s="1"/>
  <c r="AW30" i="57"/>
  <c r="AV30" i="51"/>
  <c r="AW30" i="51"/>
  <c r="AV30" i="54"/>
  <c r="AW30" i="54"/>
  <c r="AV30" i="42"/>
  <c r="AW30" i="42"/>
  <c r="AY30" i="57"/>
  <c r="AX30" i="51"/>
  <c r="AY30" i="51"/>
  <c r="AX30" i="54"/>
  <c r="AY30" i="54"/>
  <c r="AX30" i="42"/>
  <c r="AY30" i="42"/>
  <c r="BA30" i="57"/>
  <c r="AZ30" i="51"/>
  <c r="BA30" i="51"/>
  <c r="AZ30" i="54"/>
  <c r="BA30" i="54"/>
  <c r="AZ30" i="42"/>
  <c r="BA30" i="42"/>
  <c r="BC30" i="57"/>
  <c r="BB30" i="51"/>
  <c r="P36" i="52" s="1"/>
  <c r="BC30" i="51"/>
  <c r="P98" i="52" s="1"/>
  <c r="BB30" i="54"/>
  <c r="BC30" i="54"/>
  <c r="BB30" i="42"/>
  <c r="BC30" i="42"/>
  <c r="BE30" i="57"/>
  <c r="BD30" i="51"/>
  <c r="O36" i="52" s="1"/>
  <c r="BE30" i="51"/>
  <c r="O98" i="52" s="1"/>
  <c r="BD30" i="54"/>
  <c r="BE30" i="54"/>
  <c r="BD30" i="42"/>
  <c r="BE30" i="42"/>
  <c r="BG30" i="57"/>
  <c r="N82" i="59" s="1"/>
  <c r="BF30" i="51"/>
  <c r="Q36" i="52" s="1"/>
  <c r="BG30" i="51"/>
  <c r="Q98" i="52" s="1"/>
  <c r="BF30" i="54"/>
  <c r="BG30" i="54"/>
  <c r="BI30" i="57"/>
  <c r="BH30" i="54"/>
  <c r="BI30" i="54"/>
  <c r="BJ30" i="54"/>
  <c r="BK30" i="54"/>
  <c r="BL30" i="54"/>
  <c r="BM30" i="54"/>
  <c r="BP30" i="54"/>
  <c r="L34" i="56" s="1"/>
  <c r="BQ30" i="54"/>
  <c r="L83" i="56" s="1"/>
  <c r="BR30" i="54"/>
  <c r="BS30" i="54"/>
  <c r="BT30" i="54"/>
  <c r="BU30" i="54"/>
  <c r="BV30" i="54"/>
  <c r="BW30" i="54"/>
  <c r="BX30" i="54"/>
  <c r="BY30" i="54"/>
  <c r="F30" i="57"/>
  <c r="H30" i="57"/>
  <c r="E34" i="59" s="1"/>
  <c r="J30" i="57"/>
  <c r="O34" i="59" s="1"/>
  <c r="L30" i="57"/>
  <c r="N30" i="57"/>
  <c r="P30" i="57"/>
  <c r="R30" i="57"/>
  <c r="G34" i="59" s="1"/>
  <c r="T30" i="57"/>
  <c r="V30" i="57"/>
  <c r="L34" i="59" s="1"/>
  <c r="X30" i="57"/>
  <c r="Z30" i="57"/>
  <c r="AB30" i="57"/>
  <c r="AD30" i="57"/>
  <c r="AF30" i="57"/>
  <c r="J34" i="59" s="1"/>
  <c r="AH30" i="57"/>
  <c r="AJ30" i="57"/>
  <c r="AL30" i="57"/>
  <c r="AN30" i="57"/>
  <c r="AP30" i="57"/>
  <c r="AR30" i="57"/>
  <c r="K34" i="59" s="1"/>
  <c r="AT30" i="57"/>
  <c r="AV30" i="57"/>
  <c r="AX30" i="57"/>
  <c r="AZ30" i="57"/>
  <c r="BB30" i="57"/>
  <c r="BD30" i="57"/>
  <c r="BF30" i="57"/>
  <c r="N34" i="59" s="1"/>
  <c r="BH30" i="57"/>
  <c r="D30" i="57"/>
  <c r="D34" i="59" s="1"/>
  <c r="E29" i="57"/>
  <c r="E29" i="44"/>
  <c r="H81" i="45" s="1"/>
  <c r="D29" i="47"/>
  <c r="M33" i="49" s="1"/>
  <c r="E29" i="47"/>
  <c r="M81" i="49" s="1"/>
  <c r="D29" i="51"/>
  <c r="H35" i="52" s="1"/>
  <c r="E29" i="51"/>
  <c r="H97" i="52" s="1"/>
  <c r="D29" i="54"/>
  <c r="K33" i="56" s="1"/>
  <c r="E29" i="54"/>
  <c r="K82" i="56" s="1"/>
  <c r="D29" i="42"/>
  <c r="E29" i="42"/>
  <c r="I81" i="41" s="1"/>
  <c r="G29" i="57"/>
  <c r="F29" i="44"/>
  <c r="G29" i="44"/>
  <c r="F29" i="47"/>
  <c r="K33" i="49" s="1"/>
  <c r="G29" i="47"/>
  <c r="K81" i="49" s="1"/>
  <c r="F29" i="51"/>
  <c r="G29" i="51"/>
  <c r="F29" i="54"/>
  <c r="I33" i="56" s="1"/>
  <c r="G29" i="54"/>
  <c r="I82" i="56" s="1"/>
  <c r="F29" i="42"/>
  <c r="K33" i="41" s="1"/>
  <c r="G29" i="42"/>
  <c r="K81" i="41" s="1"/>
  <c r="I29" i="57"/>
  <c r="H29" i="44"/>
  <c r="J33" i="45" s="1"/>
  <c r="I29" i="44"/>
  <c r="J81" i="45" s="1"/>
  <c r="H29" i="47"/>
  <c r="I29" i="47"/>
  <c r="H29" i="51"/>
  <c r="I29" i="51"/>
  <c r="H29" i="54"/>
  <c r="I29" i="54"/>
  <c r="H29" i="42"/>
  <c r="I29" i="42"/>
  <c r="K29" i="57"/>
  <c r="O81" i="59" s="1"/>
  <c r="J29" i="44"/>
  <c r="K29" i="44"/>
  <c r="J29" i="47"/>
  <c r="K29" i="47"/>
  <c r="J29" i="51"/>
  <c r="K29" i="51"/>
  <c r="J29" i="54"/>
  <c r="K29" i="54"/>
  <c r="J29" i="42"/>
  <c r="K29" i="42"/>
  <c r="M29" i="57"/>
  <c r="L29" i="44"/>
  <c r="M29" i="44"/>
  <c r="L29" i="47"/>
  <c r="L33" i="49" s="1"/>
  <c r="M29" i="47"/>
  <c r="L81" i="49" s="1"/>
  <c r="L29" i="51"/>
  <c r="M35" i="52" s="1"/>
  <c r="M29" i="51"/>
  <c r="M97" i="52" s="1"/>
  <c r="L29" i="54"/>
  <c r="M29" i="54"/>
  <c r="L29" i="42"/>
  <c r="L33" i="41" s="1"/>
  <c r="M29" i="42"/>
  <c r="L81" i="41" s="1"/>
  <c r="O29" i="57"/>
  <c r="E81" i="59" s="1"/>
  <c r="N29" i="44"/>
  <c r="U33" i="45" s="1"/>
  <c r="O29" i="44"/>
  <c r="U81" i="45" s="1"/>
  <c r="N29" i="47"/>
  <c r="O29" i="47"/>
  <c r="N29" i="51"/>
  <c r="O29" i="51"/>
  <c r="N29" i="54"/>
  <c r="O29" i="54"/>
  <c r="N29" i="42"/>
  <c r="O29" i="42"/>
  <c r="Q29" i="57"/>
  <c r="P29" i="44"/>
  <c r="Q29" i="44"/>
  <c r="P29" i="47"/>
  <c r="F33" i="49" s="1"/>
  <c r="Q29" i="47"/>
  <c r="F81" i="49" s="1"/>
  <c r="P29" i="51"/>
  <c r="K35" i="52" s="1"/>
  <c r="Q29" i="51"/>
  <c r="K97" i="52" s="1"/>
  <c r="P29" i="54"/>
  <c r="H33" i="56" s="1"/>
  <c r="Q29" i="54"/>
  <c r="H82" i="56" s="1"/>
  <c r="P29" i="42"/>
  <c r="F33" i="41" s="1"/>
  <c r="Q29" i="42"/>
  <c r="F81" i="41" s="1"/>
  <c r="S29" i="57"/>
  <c r="G81" i="59" s="1"/>
  <c r="R29" i="44"/>
  <c r="G33" i="45" s="1"/>
  <c r="S29" i="44"/>
  <c r="G81" i="45" s="1"/>
  <c r="R29" i="47"/>
  <c r="S29" i="47"/>
  <c r="R29" i="51"/>
  <c r="S29" i="51"/>
  <c r="R29" i="54"/>
  <c r="S29" i="54"/>
  <c r="R29" i="42"/>
  <c r="U29" i="57"/>
  <c r="T29" i="44"/>
  <c r="S33" i="45" s="1"/>
  <c r="U29" i="44"/>
  <c r="S81" i="45" s="1"/>
  <c r="T29" i="47"/>
  <c r="U29" i="47"/>
  <c r="T29" i="51"/>
  <c r="U29" i="51"/>
  <c r="T29" i="54"/>
  <c r="U29" i="54"/>
  <c r="T29" i="42"/>
  <c r="U29" i="42"/>
  <c r="W29" i="57"/>
  <c r="L81" i="59" s="1"/>
  <c r="V29" i="44"/>
  <c r="W29" i="44"/>
  <c r="V29" i="47"/>
  <c r="W29" i="47"/>
  <c r="V29" i="51"/>
  <c r="W29" i="51"/>
  <c r="V29" i="54"/>
  <c r="V29" i="42"/>
  <c r="W29" i="42"/>
  <c r="Y29" i="57"/>
  <c r="X29" i="44"/>
  <c r="Y29" i="44"/>
  <c r="X29" i="47"/>
  <c r="Y29" i="47"/>
  <c r="X29" i="51"/>
  <c r="Y29" i="51"/>
  <c r="X29" i="54"/>
  <c r="Y29" i="54"/>
  <c r="X29" i="42"/>
  <c r="Y29" i="42"/>
  <c r="AA29" i="57"/>
  <c r="Z29" i="44"/>
  <c r="AA29" i="44"/>
  <c r="Z29" i="47"/>
  <c r="AA29" i="47"/>
  <c r="Z29" i="51"/>
  <c r="AA29" i="51"/>
  <c r="Z29" i="54"/>
  <c r="AA29" i="54"/>
  <c r="Z29" i="42"/>
  <c r="AA29" i="42"/>
  <c r="AC29" i="57"/>
  <c r="AB29" i="44"/>
  <c r="AC29" i="44"/>
  <c r="AB29" i="47"/>
  <c r="AC29" i="47"/>
  <c r="AB29" i="51"/>
  <c r="AC29" i="51"/>
  <c r="AB29" i="54"/>
  <c r="AC29" i="54"/>
  <c r="AB29" i="42"/>
  <c r="AC29" i="42"/>
  <c r="AE29" i="57"/>
  <c r="AD29" i="44"/>
  <c r="AE29" i="44"/>
  <c r="AD29" i="47"/>
  <c r="I33" i="49" s="1"/>
  <c r="AE29" i="47"/>
  <c r="I81" i="49" s="1"/>
  <c r="AD29" i="51"/>
  <c r="I35" i="52" s="1"/>
  <c r="AE29" i="51"/>
  <c r="I97" i="52" s="1"/>
  <c r="AD29" i="54"/>
  <c r="J33" i="56" s="1"/>
  <c r="AE29" i="54"/>
  <c r="J82" i="56" s="1"/>
  <c r="AD29" i="42"/>
  <c r="J33" i="41" s="1"/>
  <c r="AE29" i="42"/>
  <c r="J81" i="41" s="1"/>
  <c r="AG29" i="57"/>
  <c r="J81" i="59" s="1"/>
  <c r="AF29" i="44"/>
  <c r="AG29" i="44"/>
  <c r="AF29" i="47"/>
  <c r="AG29" i="47"/>
  <c r="AF29" i="51"/>
  <c r="AG29" i="51"/>
  <c r="AF29" i="54"/>
  <c r="AG29" i="54"/>
  <c r="AF29" i="42"/>
  <c r="AG29" i="42"/>
  <c r="AI29" i="57"/>
  <c r="AH29" i="44"/>
  <c r="AI29" i="44"/>
  <c r="AH29" i="47"/>
  <c r="S33" i="49" s="1"/>
  <c r="AI29" i="47"/>
  <c r="S81" i="49" s="1"/>
  <c r="AH29" i="51"/>
  <c r="AI29" i="51"/>
  <c r="AH29" i="54"/>
  <c r="AI29" i="54"/>
  <c r="AH29" i="42"/>
  <c r="AI29" i="42"/>
  <c r="AK29" i="57"/>
  <c r="AJ29" i="44"/>
  <c r="AK29" i="44"/>
  <c r="AJ29" i="47"/>
  <c r="C33" i="49" s="1"/>
  <c r="AK29" i="47"/>
  <c r="C81" i="49" s="1"/>
  <c r="AJ29" i="51"/>
  <c r="E35" i="52" s="1"/>
  <c r="AK29" i="51"/>
  <c r="E97" i="52" s="1"/>
  <c r="AJ29" i="54"/>
  <c r="C33" i="56" s="1"/>
  <c r="AK29" i="54"/>
  <c r="C82" i="56" s="1"/>
  <c r="AJ29" i="42"/>
  <c r="C33" i="41" s="1"/>
  <c r="AK29" i="42"/>
  <c r="C81" i="41" s="1"/>
  <c r="AM29" i="57"/>
  <c r="AL29" i="44"/>
  <c r="E33" i="45" s="1"/>
  <c r="AM29" i="44"/>
  <c r="E81" i="45" s="1"/>
  <c r="AL29" i="47"/>
  <c r="E33" i="49" s="1"/>
  <c r="AM29" i="47"/>
  <c r="E81" i="49" s="1"/>
  <c r="AL29" i="51"/>
  <c r="G35" i="52" s="1"/>
  <c r="AM29" i="51"/>
  <c r="G97" i="52" s="1"/>
  <c r="AL29" i="54"/>
  <c r="E33" i="56" s="1"/>
  <c r="AM29" i="54"/>
  <c r="E82" i="56" s="1"/>
  <c r="AL29" i="42"/>
  <c r="E33" i="41" s="1"/>
  <c r="AM29" i="42"/>
  <c r="E81" i="41" s="1"/>
  <c r="AO29" i="57"/>
  <c r="AN29" i="47"/>
  <c r="D33" i="49" s="1"/>
  <c r="AO29" i="47"/>
  <c r="D81" i="49" s="1"/>
  <c r="AN29" i="51"/>
  <c r="J35" i="52" s="1"/>
  <c r="AO29" i="51"/>
  <c r="J97" i="52" s="1"/>
  <c r="AN29" i="54"/>
  <c r="G33" i="56" s="1"/>
  <c r="AO29" i="54"/>
  <c r="G82" i="56" s="1"/>
  <c r="AN29" i="42"/>
  <c r="D33" i="41" s="1"/>
  <c r="AO29" i="42"/>
  <c r="D81" i="41" s="1"/>
  <c r="AQ29" i="57"/>
  <c r="AP29" i="47"/>
  <c r="H33" i="49" s="1"/>
  <c r="AQ29" i="47"/>
  <c r="H81" i="49" s="1"/>
  <c r="AP29" i="51"/>
  <c r="L35" i="52" s="1"/>
  <c r="AQ29" i="51"/>
  <c r="L97" i="52" s="1"/>
  <c r="AP29" i="54"/>
  <c r="F33" i="56" s="1"/>
  <c r="AQ29" i="54"/>
  <c r="F82" i="56" s="1"/>
  <c r="AP29" i="42"/>
  <c r="H33" i="41" s="1"/>
  <c r="AQ29" i="42"/>
  <c r="H81" i="41" s="1"/>
  <c r="AS29" i="57"/>
  <c r="K81" i="59" s="1"/>
  <c r="AR29" i="47"/>
  <c r="AS29" i="47"/>
  <c r="AR29" i="51"/>
  <c r="AS29" i="51"/>
  <c r="AR29" i="54"/>
  <c r="AS29" i="54"/>
  <c r="AR29" i="42"/>
  <c r="AS29" i="42"/>
  <c r="AU29" i="57"/>
  <c r="AT29" i="47"/>
  <c r="G33" i="49" s="1"/>
  <c r="AU29" i="47"/>
  <c r="G81" i="49" s="1"/>
  <c r="AT29" i="51"/>
  <c r="F35" i="52" s="1"/>
  <c r="AU29" i="51"/>
  <c r="F97" i="52" s="1"/>
  <c r="AT29" i="54"/>
  <c r="D33" i="56" s="1"/>
  <c r="AU29" i="54"/>
  <c r="D82" i="56" s="1"/>
  <c r="AT29" i="42"/>
  <c r="G33" i="41" s="1"/>
  <c r="AU29" i="42"/>
  <c r="G81" i="41" s="1"/>
  <c r="AW29" i="57"/>
  <c r="AV29" i="51"/>
  <c r="AW29" i="51"/>
  <c r="AV29" i="54"/>
  <c r="AW29" i="54"/>
  <c r="AV29" i="42"/>
  <c r="AW29" i="42"/>
  <c r="AY29" i="57"/>
  <c r="AX29" i="51"/>
  <c r="AY29" i="51"/>
  <c r="AX29" i="54"/>
  <c r="AY29" i="54"/>
  <c r="AX29" i="42"/>
  <c r="AY29" i="42"/>
  <c r="BA29" i="57"/>
  <c r="AZ29" i="51"/>
  <c r="BA29" i="51"/>
  <c r="AZ29" i="54"/>
  <c r="BA29" i="54"/>
  <c r="AZ29" i="42"/>
  <c r="BA29" i="42"/>
  <c r="BC29" i="57"/>
  <c r="BB29" i="51"/>
  <c r="P35" i="52" s="1"/>
  <c r="BC29" i="51"/>
  <c r="P97" i="52" s="1"/>
  <c r="BB29" i="54"/>
  <c r="BC29" i="54"/>
  <c r="BB29" i="42"/>
  <c r="BC29" i="42"/>
  <c r="BE29" i="57"/>
  <c r="BD29" i="51"/>
  <c r="O35" i="52" s="1"/>
  <c r="BE29" i="51"/>
  <c r="O97" i="52" s="1"/>
  <c r="BD29" i="54"/>
  <c r="BE29" i="54"/>
  <c r="BD29" i="42"/>
  <c r="BE29" i="42"/>
  <c r="BG29" i="57"/>
  <c r="N81" i="59" s="1"/>
  <c r="BF29" i="51"/>
  <c r="Q35" i="52" s="1"/>
  <c r="BG29" i="51"/>
  <c r="Q97" i="52" s="1"/>
  <c r="BF29" i="54"/>
  <c r="BG29" i="54"/>
  <c r="BI29" i="57"/>
  <c r="BH29" i="51"/>
  <c r="BI29" i="51"/>
  <c r="BH29" i="54"/>
  <c r="BI29" i="54"/>
  <c r="BJ29" i="54"/>
  <c r="BK29" i="54"/>
  <c r="BL29" i="54"/>
  <c r="BM29" i="54"/>
  <c r="BP29" i="54"/>
  <c r="L33" i="56" s="1"/>
  <c r="BQ29" i="54"/>
  <c r="L82" i="56" s="1"/>
  <c r="BR29" i="54"/>
  <c r="BS29" i="54"/>
  <c r="BT29" i="54"/>
  <c r="BU29" i="54"/>
  <c r="BV29" i="54"/>
  <c r="BW29" i="54"/>
  <c r="BX29" i="54"/>
  <c r="BY29" i="54"/>
  <c r="F29" i="57"/>
  <c r="H29" i="57"/>
  <c r="E33" i="59" s="1"/>
  <c r="J29" i="57"/>
  <c r="O33" i="59" s="1"/>
  <c r="L29" i="57"/>
  <c r="N29" i="57"/>
  <c r="P29" i="57"/>
  <c r="R29" i="57"/>
  <c r="G33" i="59" s="1"/>
  <c r="T29" i="57"/>
  <c r="V29" i="57"/>
  <c r="L33" i="59" s="1"/>
  <c r="X29" i="57"/>
  <c r="Z29" i="57"/>
  <c r="AB29" i="57"/>
  <c r="AD29" i="57"/>
  <c r="AF29" i="57"/>
  <c r="J33" i="59" s="1"/>
  <c r="AH29" i="57"/>
  <c r="AJ29" i="57"/>
  <c r="AL29" i="57"/>
  <c r="AN29" i="57"/>
  <c r="AP29" i="57"/>
  <c r="AR29" i="57"/>
  <c r="K33" i="59" s="1"/>
  <c r="AT29" i="57"/>
  <c r="AV29" i="57"/>
  <c r="AX29" i="57"/>
  <c r="AZ29" i="57"/>
  <c r="BB29" i="57"/>
  <c r="BD29" i="57"/>
  <c r="BF29" i="57"/>
  <c r="N33" i="59" s="1"/>
  <c r="BH29" i="57"/>
  <c r="D29" i="57"/>
  <c r="D33" i="59" s="1"/>
  <c r="E28" i="57"/>
  <c r="D28" i="44"/>
  <c r="E28" i="44"/>
  <c r="H80" i="45" s="1"/>
  <c r="D28" i="47"/>
  <c r="M32" i="49" s="1"/>
  <c r="E28" i="47"/>
  <c r="M80" i="49" s="1"/>
  <c r="D28" i="51"/>
  <c r="H34" i="52" s="1"/>
  <c r="E28" i="51"/>
  <c r="H96" i="52" s="1"/>
  <c r="D28" i="54"/>
  <c r="K32" i="56" s="1"/>
  <c r="E28" i="54"/>
  <c r="K81" i="56" s="1"/>
  <c r="D28" i="42"/>
  <c r="E28" i="42"/>
  <c r="I80" i="41" s="1"/>
  <c r="G28" i="57"/>
  <c r="F28" i="44"/>
  <c r="G28" i="44"/>
  <c r="F28" i="47"/>
  <c r="K32" i="49" s="1"/>
  <c r="G28" i="47"/>
  <c r="K80" i="49" s="1"/>
  <c r="F28" i="51"/>
  <c r="G28" i="51"/>
  <c r="F28" i="54"/>
  <c r="I32" i="56" s="1"/>
  <c r="G28" i="54"/>
  <c r="I81" i="56" s="1"/>
  <c r="F28" i="42"/>
  <c r="K32" i="41" s="1"/>
  <c r="G28" i="42"/>
  <c r="K80" i="41" s="1"/>
  <c r="I28" i="57"/>
  <c r="H28" i="44"/>
  <c r="J32" i="45" s="1"/>
  <c r="I28" i="44"/>
  <c r="J80" i="45" s="1"/>
  <c r="H28" i="47"/>
  <c r="I28" i="47"/>
  <c r="H28" i="51"/>
  <c r="I28" i="51"/>
  <c r="H28" i="54"/>
  <c r="I28" i="54"/>
  <c r="H28" i="42"/>
  <c r="I28" i="42"/>
  <c r="K28" i="57"/>
  <c r="O80" i="59" s="1"/>
  <c r="J28" i="44"/>
  <c r="K28" i="44"/>
  <c r="J28" i="47"/>
  <c r="K28" i="47"/>
  <c r="J28" i="51"/>
  <c r="K28" i="51"/>
  <c r="J28" i="54"/>
  <c r="K28" i="54"/>
  <c r="J28" i="42"/>
  <c r="K28" i="42"/>
  <c r="M28" i="57"/>
  <c r="L28" i="44"/>
  <c r="M28" i="44"/>
  <c r="L28" i="47"/>
  <c r="L32" i="49" s="1"/>
  <c r="M28" i="47"/>
  <c r="L80" i="49" s="1"/>
  <c r="L28" i="51"/>
  <c r="M34" i="52" s="1"/>
  <c r="M28" i="51"/>
  <c r="M96" i="52" s="1"/>
  <c r="L28" i="54"/>
  <c r="M28" i="54"/>
  <c r="L28" i="42"/>
  <c r="L32" i="41" s="1"/>
  <c r="M28" i="42"/>
  <c r="L80" i="41" s="1"/>
  <c r="O28" i="57"/>
  <c r="E80" i="59" s="1"/>
  <c r="N28" i="44"/>
  <c r="U32" i="45" s="1"/>
  <c r="O28" i="44"/>
  <c r="U80" i="45" s="1"/>
  <c r="N28" i="47"/>
  <c r="O28" i="47"/>
  <c r="N28" i="51"/>
  <c r="O28" i="51"/>
  <c r="N28" i="54"/>
  <c r="O28" i="54"/>
  <c r="N28" i="42"/>
  <c r="O28" i="42"/>
  <c r="Q28" i="57"/>
  <c r="P28" i="44"/>
  <c r="Q28" i="44"/>
  <c r="P28" i="47"/>
  <c r="F32" i="49" s="1"/>
  <c r="Q28" i="47"/>
  <c r="F80" i="49" s="1"/>
  <c r="P28" i="51"/>
  <c r="K34" i="52" s="1"/>
  <c r="Q28" i="51"/>
  <c r="K96" i="52" s="1"/>
  <c r="P28" i="54"/>
  <c r="H32" i="56" s="1"/>
  <c r="Q28" i="54"/>
  <c r="H81" i="56" s="1"/>
  <c r="P28" i="42"/>
  <c r="F32" i="41" s="1"/>
  <c r="Q28" i="42"/>
  <c r="F80" i="41" s="1"/>
  <c r="S28" i="57"/>
  <c r="G80" i="59" s="1"/>
  <c r="R28" i="44"/>
  <c r="G32" i="45" s="1"/>
  <c r="S28" i="44"/>
  <c r="G80" i="45" s="1"/>
  <c r="R28" i="47"/>
  <c r="S28" i="47"/>
  <c r="R28" i="51"/>
  <c r="S28" i="51"/>
  <c r="R28" i="54"/>
  <c r="S28" i="54"/>
  <c r="R28" i="42"/>
  <c r="S28" i="42"/>
  <c r="U28" i="57"/>
  <c r="T28" i="44"/>
  <c r="S32" i="45" s="1"/>
  <c r="U28" i="44"/>
  <c r="S80" i="45" s="1"/>
  <c r="T28" i="47"/>
  <c r="U28" i="47"/>
  <c r="T28" i="51"/>
  <c r="U28" i="51"/>
  <c r="T28" i="54"/>
  <c r="T28" i="42"/>
  <c r="U28" i="42"/>
  <c r="W28" i="57"/>
  <c r="L80" i="59" s="1"/>
  <c r="V28" i="44"/>
  <c r="W28" i="44"/>
  <c r="V28" i="47"/>
  <c r="W28" i="47"/>
  <c r="V28" i="51"/>
  <c r="W28" i="51"/>
  <c r="V28" i="54"/>
  <c r="W28" i="54"/>
  <c r="V28" i="42"/>
  <c r="W28" i="42"/>
  <c r="Y28" i="57"/>
  <c r="X28" i="44"/>
  <c r="Y28" i="44"/>
  <c r="X28" i="47"/>
  <c r="Y28" i="47"/>
  <c r="X28" i="51"/>
  <c r="Y28" i="51"/>
  <c r="X28" i="54"/>
  <c r="Y28" i="54"/>
  <c r="X28" i="42"/>
  <c r="Y28" i="42"/>
  <c r="AA28" i="57"/>
  <c r="Z28" i="44"/>
  <c r="AA28" i="44"/>
  <c r="Z28" i="47"/>
  <c r="AA28" i="47"/>
  <c r="Z28" i="51"/>
  <c r="AA28" i="51"/>
  <c r="Z28" i="54"/>
  <c r="AA28" i="54"/>
  <c r="Z28" i="42"/>
  <c r="AA28" i="42"/>
  <c r="AC28" i="57"/>
  <c r="AB28" i="44"/>
  <c r="AC28" i="44"/>
  <c r="AB28" i="47"/>
  <c r="AC28" i="47"/>
  <c r="AB28" i="51"/>
  <c r="AC28" i="51"/>
  <c r="AB28" i="54"/>
  <c r="AC28" i="54"/>
  <c r="AB28" i="42"/>
  <c r="AC28" i="42"/>
  <c r="AE28" i="57"/>
  <c r="AD28" i="44"/>
  <c r="AE28" i="44"/>
  <c r="AD28" i="47"/>
  <c r="I32" i="49" s="1"/>
  <c r="AE28" i="47"/>
  <c r="I80" i="49" s="1"/>
  <c r="AD28" i="51"/>
  <c r="I34" i="52" s="1"/>
  <c r="AE28" i="51"/>
  <c r="I96" i="52" s="1"/>
  <c r="AD28" i="54"/>
  <c r="J32" i="56" s="1"/>
  <c r="AE28" i="54"/>
  <c r="J81" i="56" s="1"/>
  <c r="AD28" i="42"/>
  <c r="J32" i="41" s="1"/>
  <c r="AE28" i="42"/>
  <c r="J80" i="41" s="1"/>
  <c r="AG28" i="57"/>
  <c r="J80" i="59" s="1"/>
  <c r="AF28" i="44"/>
  <c r="AG28" i="44"/>
  <c r="AF28" i="47"/>
  <c r="AG28" i="47"/>
  <c r="AF28" i="51"/>
  <c r="AG28" i="51"/>
  <c r="AF28" i="54"/>
  <c r="AG28" i="54"/>
  <c r="AF28" i="42"/>
  <c r="AG28" i="42"/>
  <c r="AI28" i="57"/>
  <c r="AH28" i="44"/>
  <c r="AI28" i="44"/>
  <c r="AH28" i="47"/>
  <c r="S32" i="49" s="1"/>
  <c r="AI28" i="47"/>
  <c r="S80" i="49" s="1"/>
  <c r="AH28" i="51"/>
  <c r="AI28" i="51"/>
  <c r="AH28" i="54"/>
  <c r="AI28" i="54"/>
  <c r="AH28" i="42"/>
  <c r="AI28" i="42"/>
  <c r="AK28" i="57"/>
  <c r="AJ28" i="44"/>
  <c r="AK28" i="44"/>
  <c r="AJ28" i="47"/>
  <c r="C32" i="49" s="1"/>
  <c r="AK28" i="47"/>
  <c r="C80" i="49" s="1"/>
  <c r="AJ28" i="51"/>
  <c r="E34" i="52" s="1"/>
  <c r="AK28" i="51"/>
  <c r="E96" i="52" s="1"/>
  <c r="AJ28" i="54"/>
  <c r="C32" i="56" s="1"/>
  <c r="AK28" i="54"/>
  <c r="C81" i="56" s="1"/>
  <c r="AJ28" i="42"/>
  <c r="C32" i="41" s="1"/>
  <c r="AK28" i="42"/>
  <c r="C80" i="41" s="1"/>
  <c r="AM28" i="57"/>
  <c r="AL28" i="44"/>
  <c r="E32" i="45" s="1"/>
  <c r="AM28" i="44"/>
  <c r="E80" i="45" s="1"/>
  <c r="AL28" i="47"/>
  <c r="E32" i="49" s="1"/>
  <c r="AM28" i="47"/>
  <c r="E80" i="49" s="1"/>
  <c r="AL28" i="51"/>
  <c r="G34" i="52" s="1"/>
  <c r="AM28" i="51"/>
  <c r="G96" i="52" s="1"/>
  <c r="AL28" i="54"/>
  <c r="E32" i="56" s="1"/>
  <c r="AM28" i="54"/>
  <c r="E81" i="56" s="1"/>
  <c r="AL28" i="42"/>
  <c r="E32" i="41" s="1"/>
  <c r="AM28" i="42"/>
  <c r="E80" i="41" s="1"/>
  <c r="AO28" i="57"/>
  <c r="AN28" i="47"/>
  <c r="D32" i="49" s="1"/>
  <c r="AO28" i="47"/>
  <c r="D80" i="49" s="1"/>
  <c r="AN28" i="51"/>
  <c r="J34" i="52" s="1"/>
  <c r="AO28" i="51"/>
  <c r="J96" i="52" s="1"/>
  <c r="AN28" i="54"/>
  <c r="G32" i="56" s="1"/>
  <c r="AO28" i="54"/>
  <c r="G81" i="56" s="1"/>
  <c r="AN28" i="42"/>
  <c r="D32" i="41" s="1"/>
  <c r="AO28" i="42"/>
  <c r="D80" i="41" s="1"/>
  <c r="AQ28" i="57"/>
  <c r="AP28" i="47"/>
  <c r="H32" i="49" s="1"/>
  <c r="AQ28" i="47"/>
  <c r="H80" i="49" s="1"/>
  <c r="AP28" i="51"/>
  <c r="L34" i="52" s="1"/>
  <c r="AQ28" i="51"/>
  <c r="L96" i="52" s="1"/>
  <c r="AP28" i="54"/>
  <c r="F32" i="56" s="1"/>
  <c r="AQ28" i="54"/>
  <c r="F81" i="56" s="1"/>
  <c r="AP28" i="42"/>
  <c r="H32" i="41" s="1"/>
  <c r="AQ28" i="42"/>
  <c r="H80" i="41" s="1"/>
  <c r="AS28" i="57"/>
  <c r="K80" i="59" s="1"/>
  <c r="AR28" i="47"/>
  <c r="AS28" i="47"/>
  <c r="AR28" i="51"/>
  <c r="AS28" i="51"/>
  <c r="AR28" i="54"/>
  <c r="AS28" i="54"/>
  <c r="AR28" i="42"/>
  <c r="AS28" i="42"/>
  <c r="AU28" i="57"/>
  <c r="AT28" i="47"/>
  <c r="G32" i="49" s="1"/>
  <c r="AU28" i="47"/>
  <c r="G80" i="49" s="1"/>
  <c r="AT28" i="51"/>
  <c r="F34" i="52" s="1"/>
  <c r="AU28" i="51"/>
  <c r="F96" i="52" s="1"/>
  <c r="AT28" i="54"/>
  <c r="D32" i="56" s="1"/>
  <c r="AU28" i="54"/>
  <c r="D81" i="56" s="1"/>
  <c r="AT28" i="42"/>
  <c r="G32" i="41" s="1"/>
  <c r="AU28" i="42"/>
  <c r="G80" i="41" s="1"/>
  <c r="AW28" i="57"/>
  <c r="AV28" i="51"/>
  <c r="AW28" i="51"/>
  <c r="AV28" i="54"/>
  <c r="AW28" i="54"/>
  <c r="AV28" i="42"/>
  <c r="AW28" i="42"/>
  <c r="AY28" i="57"/>
  <c r="AX28" i="51"/>
  <c r="AY28" i="51"/>
  <c r="AX28" i="54"/>
  <c r="AY28" i="54"/>
  <c r="AX28" i="42"/>
  <c r="AY28" i="42"/>
  <c r="BA28" i="57"/>
  <c r="AZ28" i="51"/>
  <c r="BA28" i="51"/>
  <c r="AZ28" i="54"/>
  <c r="BA28" i="54"/>
  <c r="AZ28" i="42"/>
  <c r="BA28" i="42"/>
  <c r="BC28" i="57"/>
  <c r="BB28" i="51"/>
  <c r="P34" i="52" s="1"/>
  <c r="BC28" i="51"/>
  <c r="P96" i="52" s="1"/>
  <c r="BB28" i="54"/>
  <c r="BC28" i="54"/>
  <c r="BB28" i="42"/>
  <c r="BC28" i="42"/>
  <c r="BE28" i="57"/>
  <c r="BD28" i="51"/>
  <c r="O34" i="52" s="1"/>
  <c r="BE28" i="51"/>
  <c r="O96" i="52" s="1"/>
  <c r="BD28" i="54"/>
  <c r="BE28" i="54"/>
  <c r="BD28" i="42"/>
  <c r="BE28" i="42"/>
  <c r="BG28" i="57"/>
  <c r="N80" i="59" s="1"/>
  <c r="BF28" i="51"/>
  <c r="Q34" i="52" s="1"/>
  <c r="BG28" i="51"/>
  <c r="Q96" i="52" s="1"/>
  <c r="BF28" i="54"/>
  <c r="BG28" i="54"/>
  <c r="BI28" i="57"/>
  <c r="BH28" i="51"/>
  <c r="BI28" i="51"/>
  <c r="BH28" i="54"/>
  <c r="BI28" i="54"/>
  <c r="BJ28" i="54"/>
  <c r="BK28" i="54"/>
  <c r="BL28" i="54"/>
  <c r="BM28" i="54"/>
  <c r="BP28" i="54"/>
  <c r="L32" i="56" s="1"/>
  <c r="BQ28" i="54"/>
  <c r="L81" i="56" s="1"/>
  <c r="BR28" i="54"/>
  <c r="BS28" i="54"/>
  <c r="BT28" i="54"/>
  <c r="BU28" i="54"/>
  <c r="BV28" i="54"/>
  <c r="BW28" i="54"/>
  <c r="BX28" i="54"/>
  <c r="BY28" i="54"/>
  <c r="F28" i="57"/>
  <c r="H28" i="57"/>
  <c r="E32" i="59" s="1"/>
  <c r="J28" i="57"/>
  <c r="O32" i="59" s="1"/>
  <c r="L28" i="57"/>
  <c r="N28" i="57"/>
  <c r="P28" i="57"/>
  <c r="R28" i="57"/>
  <c r="G32" i="59" s="1"/>
  <c r="T28" i="57"/>
  <c r="V28" i="57"/>
  <c r="L32" i="59" s="1"/>
  <c r="X28" i="57"/>
  <c r="Z28" i="57"/>
  <c r="AB28" i="57"/>
  <c r="AD28" i="57"/>
  <c r="AF28" i="57"/>
  <c r="J32" i="59" s="1"/>
  <c r="AH28" i="57"/>
  <c r="AJ28" i="57"/>
  <c r="AL28" i="57"/>
  <c r="AN28" i="57"/>
  <c r="AP28" i="57"/>
  <c r="AR28" i="57"/>
  <c r="K32" i="59" s="1"/>
  <c r="AT28" i="57"/>
  <c r="AV28" i="57"/>
  <c r="AX28" i="57"/>
  <c r="AZ28" i="57"/>
  <c r="BB28" i="57"/>
  <c r="BD28" i="57"/>
  <c r="BF28" i="57"/>
  <c r="N32" i="59" s="1"/>
  <c r="BH28" i="57"/>
  <c r="D28" i="57"/>
  <c r="D32" i="59" s="1"/>
  <c r="Q9" i="41"/>
  <c r="E27" i="57"/>
  <c r="D27" i="44"/>
  <c r="E27" i="44"/>
  <c r="H79" i="45" s="1"/>
  <c r="D27" i="47"/>
  <c r="M31" i="49" s="1"/>
  <c r="E27" i="47"/>
  <c r="M79" i="49" s="1"/>
  <c r="D27" i="51"/>
  <c r="H33" i="52" s="1"/>
  <c r="E27" i="51"/>
  <c r="H95" i="52" s="1"/>
  <c r="D27" i="54"/>
  <c r="K31" i="56" s="1"/>
  <c r="E27" i="54"/>
  <c r="K80" i="56" s="1"/>
  <c r="D27" i="42"/>
  <c r="E27" i="42"/>
  <c r="I79" i="41" s="1"/>
  <c r="G27" i="57"/>
  <c r="F27" i="44"/>
  <c r="G27" i="44"/>
  <c r="F27" i="47"/>
  <c r="K31" i="49" s="1"/>
  <c r="G27" i="47"/>
  <c r="K79" i="49" s="1"/>
  <c r="F27" i="51"/>
  <c r="G27" i="51"/>
  <c r="F27" i="54"/>
  <c r="I31" i="56" s="1"/>
  <c r="G27" i="54"/>
  <c r="I80" i="56" s="1"/>
  <c r="F27" i="42"/>
  <c r="K31" i="41" s="1"/>
  <c r="G27" i="42"/>
  <c r="K79" i="41" s="1"/>
  <c r="I27" i="57"/>
  <c r="H27" i="44"/>
  <c r="J31" i="45" s="1"/>
  <c r="I27" i="44"/>
  <c r="J79" i="45" s="1"/>
  <c r="H27" i="47"/>
  <c r="I27" i="47"/>
  <c r="H27" i="51"/>
  <c r="I27" i="51"/>
  <c r="H27" i="54"/>
  <c r="I27" i="54"/>
  <c r="H27" i="42"/>
  <c r="I27" i="42"/>
  <c r="K27" i="57"/>
  <c r="O79" i="59" s="1"/>
  <c r="J27" i="44"/>
  <c r="K27" i="44"/>
  <c r="J27" i="47"/>
  <c r="K27" i="47"/>
  <c r="J27" i="51"/>
  <c r="K27" i="51"/>
  <c r="J27" i="54"/>
  <c r="K27" i="54"/>
  <c r="J27" i="42"/>
  <c r="K27" i="42"/>
  <c r="M27" i="57"/>
  <c r="L27" i="44"/>
  <c r="M27" i="44"/>
  <c r="L27" i="47"/>
  <c r="L31" i="49" s="1"/>
  <c r="M27" i="47"/>
  <c r="L79" i="49" s="1"/>
  <c r="L27" i="51"/>
  <c r="M33" i="52" s="1"/>
  <c r="M27" i="51"/>
  <c r="M95" i="52" s="1"/>
  <c r="L27" i="54"/>
  <c r="M27" i="54"/>
  <c r="L27" i="42"/>
  <c r="L31" i="41" s="1"/>
  <c r="M27" i="42"/>
  <c r="L79" i="41" s="1"/>
  <c r="O27" i="57"/>
  <c r="E79" i="59" s="1"/>
  <c r="N27" i="44"/>
  <c r="U31" i="45" s="1"/>
  <c r="O27" i="44"/>
  <c r="U79" i="45" s="1"/>
  <c r="N27" i="47"/>
  <c r="O27" i="47"/>
  <c r="N27" i="51"/>
  <c r="O27" i="51"/>
  <c r="N27" i="54"/>
  <c r="O27" i="54"/>
  <c r="N27" i="42"/>
  <c r="O27" i="42"/>
  <c r="Q27" i="57"/>
  <c r="P27" i="44"/>
  <c r="Q27" i="44"/>
  <c r="P27" i="47"/>
  <c r="F31" i="49" s="1"/>
  <c r="Q27" i="47"/>
  <c r="F79" i="49" s="1"/>
  <c r="P27" i="51"/>
  <c r="K33" i="52" s="1"/>
  <c r="Q27" i="51"/>
  <c r="K95" i="52" s="1"/>
  <c r="P27" i="54"/>
  <c r="H31" i="56" s="1"/>
  <c r="Q27" i="54"/>
  <c r="H80" i="56" s="1"/>
  <c r="P27" i="42"/>
  <c r="F31" i="41" s="1"/>
  <c r="Q27" i="42"/>
  <c r="F79" i="41" s="1"/>
  <c r="S27" i="57"/>
  <c r="G79" i="59" s="1"/>
  <c r="R27" i="44"/>
  <c r="G31" i="45" s="1"/>
  <c r="S27" i="44"/>
  <c r="G79" i="45" s="1"/>
  <c r="R27" i="47"/>
  <c r="S27" i="47"/>
  <c r="R27" i="51"/>
  <c r="S27" i="51"/>
  <c r="R27" i="54"/>
  <c r="R27" i="42"/>
  <c r="S27" i="42"/>
  <c r="U27" i="57"/>
  <c r="T27" i="44"/>
  <c r="S31" i="45" s="1"/>
  <c r="U27" i="44"/>
  <c r="S79" i="45" s="1"/>
  <c r="T27" i="47"/>
  <c r="U27" i="47"/>
  <c r="T27" i="51"/>
  <c r="U27" i="51"/>
  <c r="T27" i="54"/>
  <c r="U27" i="54"/>
  <c r="T27" i="42"/>
  <c r="U27" i="42"/>
  <c r="W27" i="57"/>
  <c r="L79" i="59" s="1"/>
  <c r="V27" i="44"/>
  <c r="W27" i="44"/>
  <c r="V27" i="47"/>
  <c r="W27" i="47"/>
  <c r="V27" i="51"/>
  <c r="W27" i="51"/>
  <c r="V27" i="54"/>
  <c r="W27" i="54"/>
  <c r="V27" i="42"/>
  <c r="W27" i="42"/>
  <c r="Y27" i="57"/>
  <c r="X27" i="44"/>
  <c r="Y27" i="44"/>
  <c r="X27" i="47"/>
  <c r="Y27" i="47"/>
  <c r="X27" i="51"/>
  <c r="Y27" i="51"/>
  <c r="X27" i="54"/>
  <c r="Y27" i="54"/>
  <c r="X27" i="42"/>
  <c r="Y27" i="42"/>
  <c r="AA27" i="57"/>
  <c r="Z27" i="44"/>
  <c r="AA27" i="44"/>
  <c r="Z27" i="47"/>
  <c r="AA27" i="47"/>
  <c r="Z27" i="51"/>
  <c r="AA27" i="51"/>
  <c r="Z27" i="54"/>
  <c r="AA27" i="54"/>
  <c r="Z27" i="42"/>
  <c r="AA27" i="42"/>
  <c r="AC27" i="57"/>
  <c r="AB27" i="44"/>
  <c r="AC27" i="44"/>
  <c r="AB27" i="47"/>
  <c r="AC27" i="47"/>
  <c r="AB27" i="51"/>
  <c r="AC27" i="51"/>
  <c r="AB27" i="54"/>
  <c r="AC27" i="54"/>
  <c r="AB27" i="42"/>
  <c r="AC27" i="42"/>
  <c r="AE27" i="57"/>
  <c r="AD27" i="44"/>
  <c r="AE27" i="44"/>
  <c r="AD27" i="47"/>
  <c r="I31" i="49" s="1"/>
  <c r="AE27" i="47"/>
  <c r="I79" i="49" s="1"/>
  <c r="AD27" i="51"/>
  <c r="I33" i="52" s="1"/>
  <c r="AE27" i="51"/>
  <c r="I95" i="52" s="1"/>
  <c r="AD27" i="54"/>
  <c r="J31" i="56" s="1"/>
  <c r="AE27" i="54"/>
  <c r="J80" i="56" s="1"/>
  <c r="AD27" i="42"/>
  <c r="J31" i="41" s="1"/>
  <c r="AE27" i="42"/>
  <c r="J79" i="41" s="1"/>
  <c r="AG27" i="57"/>
  <c r="J79" i="59" s="1"/>
  <c r="AF27" i="44"/>
  <c r="AG27" i="44"/>
  <c r="AF27" i="47"/>
  <c r="AG27" i="47"/>
  <c r="AF27" i="51"/>
  <c r="AG27" i="51"/>
  <c r="AF27" i="54"/>
  <c r="AG27" i="54"/>
  <c r="AF27" i="42"/>
  <c r="AG27" i="42"/>
  <c r="AI27" i="57"/>
  <c r="AH27" i="44"/>
  <c r="AI27" i="44"/>
  <c r="AH27" i="47"/>
  <c r="S31" i="49" s="1"/>
  <c r="AI27" i="47"/>
  <c r="S79" i="49" s="1"/>
  <c r="AH27" i="51"/>
  <c r="AI27" i="51"/>
  <c r="AH27" i="54"/>
  <c r="AI27" i="54"/>
  <c r="AH27" i="42"/>
  <c r="AI27" i="42"/>
  <c r="AK27" i="57"/>
  <c r="AJ27" i="44"/>
  <c r="AK27" i="44"/>
  <c r="AJ27" i="47"/>
  <c r="C31" i="49" s="1"/>
  <c r="AK27" i="47"/>
  <c r="C79" i="49" s="1"/>
  <c r="AJ27" i="51"/>
  <c r="E33" i="52" s="1"/>
  <c r="AK27" i="51"/>
  <c r="E95" i="52" s="1"/>
  <c r="AJ27" i="54"/>
  <c r="C31" i="56" s="1"/>
  <c r="AK27" i="54"/>
  <c r="C80" i="56" s="1"/>
  <c r="AJ27" i="42"/>
  <c r="C31" i="41" s="1"/>
  <c r="AK27" i="42"/>
  <c r="C79" i="41" s="1"/>
  <c r="AM27" i="57"/>
  <c r="AL27" i="44"/>
  <c r="E31" i="45" s="1"/>
  <c r="AM27" i="44"/>
  <c r="E79" i="45" s="1"/>
  <c r="AL27" i="47"/>
  <c r="E31" i="49" s="1"/>
  <c r="AM27" i="47"/>
  <c r="E79" i="49" s="1"/>
  <c r="AL27" i="51"/>
  <c r="G33" i="52" s="1"/>
  <c r="AM27" i="51"/>
  <c r="G95" i="52" s="1"/>
  <c r="AL27" i="54"/>
  <c r="E31" i="56" s="1"/>
  <c r="AM27" i="54"/>
  <c r="E80" i="56" s="1"/>
  <c r="AL27" i="42"/>
  <c r="E31" i="41" s="1"/>
  <c r="AM27" i="42"/>
  <c r="E79" i="41" s="1"/>
  <c r="AO27" i="57"/>
  <c r="AN27" i="47"/>
  <c r="D31" i="49" s="1"/>
  <c r="AO27" i="47"/>
  <c r="D79" i="49" s="1"/>
  <c r="AN27" i="51"/>
  <c r="J33" i="52" s="1"/>
  <c r="AO27" i="51"/>
  <c r="J95" i="52" s="1"/>
  <c r="AN27" i="54"/>
  <c r="G31" i="56" s="1"/>
  <c r="AO27" i="54"/>
  <c r="G80" i="56" s="1"/>
  <c r="AN27" i="42"/>
  <c r="D31" i="41" s="1"/>
  <c r="AO27" i="42"/>
  <c r="D79" i="41" s="1"/>
  <c r="AQ27" i="57"/>
  <c r="AP27" i="47"/>
  <c r="H31" i="49" s="1"/>
  <c r="AQ27" i="47"/>
  <c r="H79" i="49" s="1"/>
  <c r="AP27" i="51"/>
  <c r="L33" i="52" s="1"/>
  <c r="AQ27" i="51"/>
  <c r="L95" i="52" s="1"/>
  <c r="AP27" i="54"/>
  <c r="F31" i="56" s="1"/>
  <c r="AQ27" i="54"/>
  <c r="F80" i="56" s="1"/>
  <c r="AP27" i="42"/>
  <c r="H31" i="41" s="1"/>
  <c r="AQ27" i="42"/>
  <c r="H79" i="41" s="1"/>
  <c r="AS27" i="57"/>
  <c r="K79" i="59" s="1"/>
  <c r="AR27" i="47"/>
  <c r="AS27" i="47"/>
  <c r="AR27" i="51"/>
  <c r="AS27" i="51"/>
  <c r="AR27" i="54"/>
  <c r="AS27" i="54"/>
  <c r="AR27" i="42"/>
  <c r="AS27" i="42"/>
  <c r="AU27" i="57"/>
  <c r="AT27" i="47"/>
  <c r="G31" i="49" s="1"/>
  <c r="AU27" i="47"/>
  <c r="G79" i="49" s="1"/>
  <c r="AT27" i="51"/>
  <c r="F33" i="52" s="1"/>
  <c r="AU27" i="51"/>
  <c r="F95" i="52" s="1"/>
  <c r="AT27" i="54"/>
  <c r="D31" i="56" s="1"/>
  <c r="AU27" i="54"/>
  <c r="D80" i="56" s="1"/>
  <c r="AT27" i="42"/>
  <c r="G31" i="41" s="1"/>
  <c r="AU27" i="42"/>
  <c r="G79" i="41" s="1"/>
  <c r="AW27" i="57"/>
  <c r="AV27" i="51"/>
  <c r="AW27" i="51"/>
  <c r="AV27" i="54"/>
  <c r="AW27" i="54"/>
  <c r="AV27" i="42"/>
  <c r="AW27" i="42"/>
  <c r="AY27" i="57"/>
  <c r="AX27" i="51"/>
  <c r="AY27" i="51"/>
  <c r="AX27" i="54"/>
  <c r="AY27" i="54"/>
  <c r="AX27" i="42"/>
  <c r="AY27" i="42"/>
  <c r="BA27" i="57"/>
  <c r="AZ27" i="51"/>
  <c r="BA27" i="51"/>
  <c r="AZ27" i="54"/>
  <c r="BA27" i="54"/>
  <c r="AZ27" i="42"/>
  <c r="BA27" i="42"/>
  <c r="BC27" i="57"/>
  <c r="BB27" i="51"/>
  <c r="P33" i="52" s="1"/>
  <c r="BC27" i="51"/>
  <c r="P95" i="52" s="1"/>
  <c r="BB27" i="54"/>
  <c r="BC27" i="54"/>
  <c r="BB27" i="42"/>
  <c r="BC27" i="42"/>
  <c r="BD27" i="51"/>
  <c r="O33" i="52" s="1"/>
  <c r="BE27" i="51"/>
  <c r="O95" i="52" s="1"/>
  <c r="BD27" i="54"/>
  <c r="BE27" i="54"/>
  <c r="BD27" i="42"/>
  <c r="BE27" i="42"/>
  <c r="BG27" i="57"/>
  <c r="N79" i="59" s="1"/>
  <c r="BF27" i="51"/>
  <c r="Q33" i="52" s="1"/>
  <c r="BG27" i="51"/>
  <c r="Q95" i="52" s="1"/>
  <c r="BF27" i="54"/>
  <c r="BG27" i="54"/>
  <c r="BI27" i="57"/>
  <c r="BH27" i="51"/>
  <c r="BI27" i="51"/>
  <c r="BH27" i="54"/>
  <c r="BI27" i="54"/>
  <c r="BJ27" i="54"/>
  <c r="BK27" i="54"/>
  <c r="BL27" i="54"/>
  <c r="BM27" i="54"/>
  <c r="BP27" i="54"/>
  <c r="L31" i="56" s="1"/>
  <c r="BQ27" i="54"/>
  <c r="L80" i="56" s="1"/>
  <c r="BR27" i="54"/>
  <c r="BS27" i="54"/>
  <c r="BT27" i="54"/>
  <c r="BU27" i="54"/>
  <c r="BV27" i="54"/>
  <c r="BW27" i="54"/>
  <c r="BX27" i="54"/>
  <c r="BY27" i="54"/>
  <c r="F27" i="57"/>
  <c r="H27" i="57"/>
  <c r="E31" i="59" s="1"/>
  <c r="J27" i="57"/>
  <c r="O31" i="59" s="1"/>
  <c r="L27" i="57"/>
  <c r="N27" i="57"/>
  <c r="P27" i="57"/>
  <c r="R27" i="57"/>
  <c r="G31" i="59" s="1"/>
  <c r="V27" i="57"/>
  <c r="L31" i="59" s="1"/>
  <c r="X27" i="57"/>
  <c r="Z27" i="57"/>
  <c r="AD27" i="57"/>
  <c r="AF27" i="57"/>
  <c r="J31" i="59" s="1"/>
  <c r="AH27" i="57"/>
  <c r="AL27" i="57"/>
  <c r="AN27" i="57"/>
  <c r="AP27" i="57"/>
  <c r="AT27" i="57"/>
  <c r="AV27" i="57"/>
  <c r="AX27" i="57"/>
  <c r="BB27" i="57"/>
  <c r="BD27" i="57"/>
  <c r="BF27" i="57"/>
  <c r="N31" i="59" s="1"/>
  <c r="BH27" i="57"/>
  <c r="D27" i="57"/>
  <c r="D31" i="59" s="1"/>
  <c r="E26" i="57"/>
  <c r="D26" i="44"/>
  <c r="E26" i="44"/>
  <c r="H78" i="45" s="1"/>
  <c r="D26" i="47"/>
  <c r="M30" i="49" s="1"/>
  <c r="E26" i="47"/>
  <c r="M78" i="49" s="1"/>
  <c r="D26" i="51"/>
  <c r="H32" i="52" s="1"/>
  <c r="E26" i="51"/>
  <c r="H94" i="52" s="1"/>
  <c r="D26" i="54"/>
  <c r="K30" i="56" s="1"/>
  <c r="E26" i="54"/>
  <c r="K79" i="56" s="1"/>
  <c r="D26" i="42"/>
  <c r="E26" i="42"/>
  <c r="I78" i="41" s="1"/>
  <c r="G26" i="57"/>
  <c r="F26" i="44"/>
  <c r="G26" i="44"/>
  <c r="F26" i="47"/>
  <c r="K30" i="49" s="1"/>
  <c r="G26" i="47"/>
  <c r="K78" i="49" s="1"/>
  <c r="F26" i="51"/>
  <c r="G26" i="51"/>
  <c r="F26" i="54"/>
  <c r="I30" i="56" s="1"/>
  <c r="G26" i="54"/>
  <c r="I79" i="56" s="1"/>
  <c r="F26" i="42"/>
  <c r="K30" i="41" s="1"/>
  <c r="G26" i="42"/>
  <c r="K78" i="41" s="1"/>
  <c r="I26" i="57"/>
  <c r="H26" i="44"/>
  <c r="J30" i="45" s="1"/>
  <c r="I26" i="44"/>
  <c r="J78" i="45" s="1"/>
  <c r="H26" i="47"/>
  <c r="I26" i="47"/>
  <c r="H26" i="51"/>
  <c r="I26" i="51"/>
  <c r="H26" i="54"/>
  <c r="I26" i="54"/>
  <c r="H26" i="42"/>
  <c r="I26" i="42"/>
  <c r="K26" i="57"/>
  <c r="O78" i="59" s="1"/>
  <c r="J26" i="44"/>
  <c r="K26" i="44"/>
  <c r="J26" i="47"/>
  <c r="K26" i="47"/>
  <c r="J26" i="51"/>
  <c r="K26" i="51"/>
  <c r="J26" i="54"/>
  <c r="K26" i="54"/>
  <c r="J26" i="42"/>
  <c r="K26" i="42"/>
  <c r="M26" i="57"/>
  <c r="L26" i="44"/>
  <c r="M26" i="44"/>
  <c r="L26" i="47"/>
  <c r="L30" i="49" s="1"/>
  <c r="M26" i="47"/>
  <c r="L78" i="49" s="1"/>
  <c r="L26" i="51"/>
  <c r="M32" i="52" s="1"/>
  <c r="M26" i="51"/>
  <c r="M94" i="52" s="1"/>
  <c r="L26" i="54"/>
  <c r="M26" i="54"/>
  <c r="L26" i="42"/>
  <c r="L30" i="41" s="1"/>
  <c r="M26" i="42"/>
  <c r="L78" i="41" s="1"/>
  <c r="O26" i="57"/>
  <c r="E78" i="59" s="1"/>
  <c r="N26" i="44"/>
  <c r="U30" i="45" s="1"/>
  <c r="O26" i="44"/>
  <c r="U78" i="45" s="1"/>
  <c r="N26" i="47"/>
  <c r="O26" i="47"/>
  <c r="N26" i="51"/>
  <c r="O26" i="51"/>
  <c r="N26" i="54"/>
  <c r="O26" i="54"/>
  <c r="N26" i="42"/>
  <c r="O26" i="42"/>
  <c r="Q26" i="57"/>
  <c r="P26" i="44"/>
  <c r="Q26" i="44"/>
  <c r="P26" i="47"/>
  <c r="F30" i="49" s="1"/>
  <c r="Q26" i="47"/>
  <c r="F78" i="49" s="1"/>
  <c r="P26" i="51"/>
  <c r="K32" i="52" s="1"/>
  <c r="Q26" i="51"/>
  <c r="K94" i="52" s="1"/>
  <c r="P26" i="54"/>
  <c r="H30" i="56" s="1"/>
  <c r="P26" i="42"/>
  <c r="F30" i="41" s="1"/>
  <c r="Q26" i="42"/>
  <c r="F78" i="41" s="1"/>
  <c r="S26" i="57"/>
  <c r="G78" i="59" s="1"/>
  <c r="R26" i="44"/>
  <c r="G30" i="45" s="1"/>
  <c r="S26" i="44"/>
  <c r="G78" i="45" s="1"/>
  <c r="R26" i="47"/>
  <c r="S26" i="47"/>
  <c r="R26" i="51"/>
  <c r="S26" i="51"/>
  <c r="R26" i="54"/>
  <c r="S26" i="54"/>
  <c r="R26" i="42"/>
  <c r="S26" i="42"/>
  <c r="U26" i="57"/>
  <c r="T26" i="44"/>
  <c r="S30" i="45" s="1"/>
  <c r="U26" i="44"/>
  <c r="S78" i="45" s="1"/>
  <c r="T26" i="47"/>
  <c r="U26" i="47"/>
  <c r="T26" i="51"/>
  <c r="U26" i="51"/>
  <c r="T26" i="54"/>
  <c r="U26" i="54"/>
  <c r="T26" i="42"/>
  <c r="U26" i="42"/>
  <c r="W26" i="57"/>
  <c r="L78" i="59" s="1"/>
  <c r="V26" i="44"/>
  <c r="W26" i="44"/>
  <c r="V26" i="47"/>
  <c r="W26" i="47"/>
  <c r="V26" i="51"/>
  <c r="W26" i="51"/>
  <c r="V26" i="54"/>
  <c r="W26" i="54"/>
  <c r="V26" i="42"/>
  <c r="W26" i="42"/>
  <c r="X26" i="44"/>
  <c r="Y26" i="44"/>
  <c r="X26" i="47"/>
  <c r="Y26" i="47"/>
  <c r="X26" i="51"/>
  <c r="Y26" i="51"/>
  <c r="X26" i="54"/>
  <c r="Y26" i="54"/>
  <c r="X26" i="42"/>
  <c r="Y26" i="42"/>
  <c r="AA26" i="57"/>
  <c r="Z26" i="44"/>
  <c r="AA26" i="44"/>
  <c r="Z26" i="47"/>
  <c r="AA26" i="47"/>
  <c r="Z26" i="51"/>
  <c r="AA26" i="51"/>
  <c r="Z26" i="54"/>
  <c r="AA26" i="54"/>
  <c r="Z26" i="42"/>
  <c r="AA26" i="42"/>
  <c r="AC26" i="57"/>
  <c r="AB26" i="44"/>
  <c r="AC26" i="44"/>
  <c r="AB26" i="47"/>
  <c r="AC26" i="47"/>
  <c r="AB26" i="51"/>
  <c r="AC26" i="51"/>
  <c r="AB26" i="54"/>
  <c r="AC26" i="54"/>
  <c r="AB26" i="42"/>
  <c r="AC26" i="42"/>
  <c r="AE26" i="57"/>
  <c r="AD26" i="44"/>
  <c r="AE26" i="44"/>
  <c r="AD26" i="47"/>
  <c r="I30" i="49" s="1"/>
  <c r="AE26" i="47"/>
  <c r="I78" i="49" s="1"/>
  <c r="AD26" i="51"/>
  <c r="I32" i="52" s="1"/>
  <c r="AE26" i="51"/>
  <c r="I94" i="52" s="1"/>
  <c r="AD26" i="54"/>
  <c r="J30" i="56" s="1"/>
  <c r="AE26" i="54"/>
  <c r="J79" i="56" s="1"/>
  <c r="AD26" i="42"/>
  <c r="J30" i="41" s="1"/>
  <c r="AE26" i="42"/>
  <c r="J78" i="41" s="1"/>
  <c r="AG26" i="57"/>
  <c r="J78" i="59" s="1"/>
  <c r="AF26" i="44"/>
  <c r="AG26" i="44"/>
  <c r="AF26" i="47"/>
  <c r="AG26" i="47"/>
  <c r="AF26" i="51"/>
  <c r="AG26" i="51"/>
  <c r="AF26" i="54"/>
  <c r="AG26" i="54"/>
  <c r="AF26" i="42"/>
  <c r="AG26" i="42"/>
  <c r="AI26" i="57"/>
  <c r="AH26" i="44"/>
  <c r="AI26" i="44"/>
  <c r="AH26" i="47"/>
  <c r="S30" i="49" s="1"/>
  <c r="AI26" i="47"/>
  <c r="S78" i="49" s="1"/>
  <c r="AH26" i="51"/>
  <c r="AI26" i="51"/>
  <c r="AH26" i="54"/>
  <c r="AI26" i="54"/>
  <c r="AH26" i="42"/>
  <c r="AI26" i="42"/>
  <c r="AK26" i="57"/>
  <c r="AJ26" i="44"/>
  <c r="AK26" i="44"/>
  <c r="AJ26" i="47"/>
  <c r="C30" i="49" s="1"/>
  <c r="AK26" i="47"/>
  <c r="C78" i="49" s="1"/>
  <c r="AJ26" i="51"/>
  <c r="E32" i="52" s="1"/>
  <c r="AK26" i="51"/>
  <c r="E94" i="52" s="1"/>
  <c r="AJ26" i="54"/>
  <c r="C30" i="56" s="1"/>
  <c r="AK26" i="54"/>
  <c r="C79" i="56" s="1"/>
  <c r="AJ26" i="42"/>
  <c r="C30" i="41" s="1"/>
  <c r="AK26" i="42"/>
  <c r="C78" i="41" s="1"/>
  <c r="AM26" i="57"/>
  <c r="AL26" i="44"/>
  <c r="E30" i="45" s="1"/>
  <c r="AM26" i="44"/>
  <c r="E78" i="45" s="1"/>
  <c r="AL26" i="47"/>
  <c r="E30" i="49" s="1"/>
  <c r="AM26" i="47"/>
  <c r="E78" i="49" s="1"/>
  <c r="AL26" i="51"/>
  <c r="G32" i="52" s="1"/>
  <c r="AM26" i="51"/>
  <c r="G94" i="52" s="1"/>
  <c r="AL26" i="54"/>
  <c r="E30" i="56" s="1"/>
  <c r="AM26" i="54"/>
  <c r="E79" i="56" s="1"/>
  <c r="AL26" i="42"/>
  <c r="E30" i="41" s="1"/>
  <c r="AM26" i="42"/>
  <c r="E78" i="41" s="1"/>
  <c r="AO26" i="57"/>
  <c r="AN26" i="47"/>
  <c r="D30" i="49" s="1"/>
  <c r="AO26" i="47"/>
  <c r="D78" i="49" s="1"/>
  <c r="AN26" i="51"/>
  <c r="J32" i="52" s="1"/>
  <c r="AO26" i="51"/>
  <c r="J94" i="52" s="1"/>
  <c r="AN26" i="54"/>
  <c r="G30" i="56" s="1"/>
  <c r="AO26" i="54"/>
  <c r="G79" i="56" s="1"/>
  <c r="AN26" i="42"/>
  <c r="D30" i="41" s="1"/>
  <c r="AO26" i="42"/>
  <c r="D78" i="41" s="1"/>
  <c r="AQ26" i="57"/>
  <c r="AP26" i="47"/>
  <c r="H30" i="49" s="1"/>
  <c r="AQ26" i="47"/>
  <c r="H78" i="49" s="1"/>
  <c r="AP26" i="51"/>
  <c r="L32" i="52" s="1"/>
  <c r="AQ26" i="51"/>
  <c r="L94" i="52" s="1"/>
  <c r="AP26" i="54"/>
  <c r="F30" i="56" s="1"/>
  <c r="AQ26" i="54"/>
  <c r="F79" i="56" s="1"/>
  <c r="AP26" i="42"/>
  <c r="H30" i="41" s="1"/>
  <c r="AQ26" i="42"/>
  <c r="H78" i="41" s="1"/>
  <c r="AS26" i="57"/>
  <c r="K78" i="59" s="1"/>
  <c r="AR26" i="47"/>
  <c r="AS26" i="47"/>
  <c r="AR26" i="51"/>
  <c r="AS26" i="51"/>
  <c r="AR26" i="54"/>
  <c r="AS26" i="54"/>
  <c r="AR26" i="42"/>
  <c r="AS26" i="42"/>
  <c r="AU26" i="57"/>
  <c r="AU26" i="47"/>
  <c r="G78" i="49" s="1"/>
  <c r="AT26" i="51"/>
  <c r="F32" i="52" s="1"/>
  <c r="AU26" i="51"/>
  <c r="F94" i="52" s="1"/>
  <c r="AT26" i="54"/>
  <c r="D30" i="56" s="1"/>
  <c r="AU26" i="54"/>
  <c r="D79" i="56" s="1"/>
  <c r="AT26" i="42"/>
  <c r="G30" i="41" s="1"/>
  <c r="AU26" i="42"/>
  <c r="G78" i="41" s="1"/>
  <c r="AV26" i="51"/>
  <c r="AW26" i="51"/>
  <c r="AV26" i="54"/>
  <c r="AW26" i="54"/>
  <c r="AV26" i="42"/>
  <c r="AW26" i="42"/>
  <c r="AY26" i="57"/>
  <c r="AX26" i="51"/>
  <c r="AY26" i="51"/>
  <c r="AX26" i="54"/>
  <c r="AY26" i="54"/>
  <c r="AX26" i="42"/>
  <c r="AY26" i="42"/>
  <c r="BA26" i="57"/>
  <c r="AZ26" i="51"/>
  <c r="BA26" i="51"/>
  <c r="AZ26" i="54"/>
  <c r="BA26" i="54"/>
  <c r="AZ26" i="42"/>
  <c r="BA26" i="42"/>
  <c r="BC26" i="57"/>
  <c r="BB26" i="51"/>
  <c r="P32" i="52" s="1"/>
  <c r="BC26" i="51"/>
  <c r="P94" i="52" s="1"/>
  <c r="BB26" i="54"/>
  <c r="BC26" i="54"/>
  <c r="BB26" i="42"/>
  <c r="BC26" i="42"/>
  <c r="BD26" i="51"/>
  <c r="O32" i="52" s="1"/>
  <c r="BE26" i="51"/>
  <c r="O94" i="52" s="1"/>
  <c r="BD26" i="54"/>
  <c r="BE26" i="54"/>
  <c r="BD26" i="42"/>
  <c r="BE26" i="42"/>
  <c r="BG26" i="57"/>
  <c r="N78" i="59" s="1"/>
  <c r="BF26" i="51"/>
  <c r="BG26" i="51"/>
  <c r="Q94" i="52" s="1"/>
  <c r="BF26" i="54"/>
  <c r="BG26" i="54"/>
  <c r="BI26" i="57"/>
  <c r="BH26" i="51"/>
  <c r="BI26" i="51"/>
  <c r="BH26" i="54"/>
  <c r="BI26" i="54"/>
  <c r="BJ26" i="54"/>
  <c r="BK26" i="54"/>
  <c r="BL26" i="54"/>
  <c r="BM26" i="54"/>
  <c r="BP26" i="54"/>
  <c r="L30" i="56" s="1"/>
  <c r="BQ26" i="54"/>
  <c r="L79" i="56" s="1"/>
  <c r="BR26" i="54"/>
  <c r="BS26" i="54"/>
  <c r="BT26" i="54"/>
  <c r="BU26" i="54"/>
  <c r="BV26" i="54"/>
  <c r="BW26" i="54"/>
  <c r="BX26" i="54"/>
  <c r="BY26" i="54"/>
  <c r="F26" i="57"/>
  <c r="H26" i="57"/>
  <c r="E30" i="59" s="1"/>
  <c r="J26" i="57"/>
  <c r="O30" i="59" s="1"/>
  <c r="L26" i="57"/>
  <c r="N26" i="57"/>
  <c r="P26" i="57"/>
  <c r="R26" i="57"/>
  <c r="G30" i="59" s="1"/>
  <c r="T26" i="57"/>
  <c r="V26" i="57"/>
  <c r="L30" i="59" s="1"/>
  <c r="X26" i="57"/>
  <c r="Z26" i="57"/>
  <c r="AB26" i="57"/>
  <c r="AD26" i="57"/>
  <c r="AF26" i="57"/>
  <c r="J30" i="59" s="1"/>
  <c r="AH26" i="57"/>
  <c r="AJ26" i="57"/>
  <c r="AL26" i="57"/>
  <c r="AN26" i="57"/>
  <c r="AP26" i="57"/>
  <c r="AR26" i="57"/>
  <c r="K30" i="59" s="1"/>
  <c r="AT26" i="57"/>
  <c r="AV26" i="57"/>
  <c r="AX26" i="57"/>
  <c r="BB26" i="57"/>
  <c r="BD26" i="57"/>
  <c r="BF26" i="57"/>
  <c r="N30" i="59" s="1"/>
  <c r="BH26" i="57"/>
  <c r="D26" i="57"/>
  <c r="D30" i="59" s="1"/>
  <c r="E25" i="57"/>
  <c r="D25" i="44"/>
  <c r="E25" i="44"/>
  <c r="H77" i="45" s="1"/>
  <c r="D25" i="47"/>
  <c r="M29" i="49" s="1"/>
  <c r="E25" i="47"/>
  <c r="M77" i="49" s="1"/>
  <c r="D25" i="51"/>
  <c r="H31" i="52" s="1"/>
  <c r="E25" i="51"/>
  <c r="H93" i="52" s="1"/>
  <c r="D25" i="54"/>
  <c r="K29" i="56" s="1"/>
  <c r="E25" i="54"/>
  <c r="K78" i="56" s="1"/>
  <c r="D25" i="42"/>
  <c r="I29" i="41" s="1"/>
  <c r="E25" i="42"/>
  <c r="I77" i="41" s="1"/>
  <c r="G25" i="57"/>
  <c r="F25" i="44"/>
  <c r="G25" i="44"/>
  <c r="F25" i="47"/>
  <c r="K29" i="49" s="1"/>
  <c r="G25" i="47"/>
  <c r="K77" i="49" s="1"/>
  <c r="F25" i="51"/>
  <c r="G25" i="51"/>
  <c r="F25" i="54"/>
  <c r="I29" i="56" s="1"/>
  <c r="G25" i="54"/>
  <c r="I78" i="56" s="1"/>
  <c r="F25" i="42"/>
  <c r="K29" i="41" s="1"/>
  <c r="G25" i="42"/>
  <c r="K77" i="41" s="1"/>
  <c r="I25" i="57"/>
  <c r="H25" i="44"/>
  <c r="J29" i="45" s="1"/>
  <c r="I25" i="44"/>
  <c r="J77" i="45" s="1"/>
  <c r="H25" i="47"/>
  <c r="I25" i="47"/>
  <c r="H25" i="51"/>
  <c r="I25" i="51"/>
  <c r="H25" i="54"/>
  <c r="I25" i="54"/>
  <c r="H25" i="42"/>
  <c r="I25" i="42"/>
  <c r="K25" i="57"/>
  <c r="O77" i="59" s="1"/>
  <c r="J25" i="44"/>
  <c r="K25" i="44"/>
  <c r="J25" i="47"/>
  <c r="K25" i="47"/>
  <c r="J25" i="51"/>
  <c r="K25" i="51"/>
  <c r="J25" i="54"/>
  <c r="K25" i="54"/>
  <c r="J25" i="42"/>
  <c r="K25" i="42"/>
  <c r="M25" i="57"/>
  <c r="L25" i="44"/>
  <c r="M25" i="44"/>
  <c r="L25" i="47"/>
  <c r="L29" i="49" s="1"/>
  <c r="M25" i="47"/>
  <c r="L77" i="49" s="1"/>
  <c r="L25" i="51"/>
  <c r="M31" i="52" s="1"/>
  <c r="M25" i="51"/>
  <c r="M93" i="52" s="1"/>
  <c r="L25" i="54"/>
  <c r="M25" i="54"/>
  <c r="L25" i="42"/>
  <c r="L29" i="41" s="1"/>
  <c r="M25" i="42"/>
  <c r="L77" i="41" s="1"/>
  <c r="O25" i="57"/>
  <c r="E77" i="59" s="1"/>
  <c r="N25" i="44"/>
  <c r="U29" i="45" s="1"/>
  <c r="O25" i="44"/>
  <c r="U77" i="45" s="1"/>
  <c r="N25" i="47"/>
  <c r="O25" i="47"/>
  <c r="N25" i="51"/>
  <c r="O25" i="51"/>
  <c r="N25" i="54"/>
  <c r="N25" i="42"/>
  <c r="O25" i="42"/>
  <c r="Q25" i="57"/>
  <c r="P25" i="44"/>
  <c r="Q25" i="44"/>
  <c r="P25" i="47"/>
  <c r="F29" i="49" s="1"/>
  <c r="Q25" i="47"/>
  <c r="F77" i="49" s="1"/>
  <c r="P25" i="51"/>
  <c r="K31" i="52" s="1"/>
  <c r="Q25" i="51"/>
  <c r="K93" i="52" s="1"/>
  <c r="P25" i="54"/>
  <c r="H29" i="56" s="1"/>
  <c r="Q25" i="54"/>
  <c r="H78" i="56" s="1"/>
  <c r="P25" i="42"/>
  <c r="F29" i="41" s="1"/>
  <c r="Q25" i="42"/>
  <c r="F77" i="41" s="1"/>
  <c r="S25" i="57"/>
  <c r="G77" i="59" s="1"/>
  <c r="R25" i="44"/>
  <c r="G29" i="45" s="1"/>
  <c r="S25" i="44"/>
  <c r="G77" i="45" s="1"/>
  <c r="R25" i="47"/>
  <c r="S25" i="47"/>
  <c r="R25" i="51"/>
  <c r="S25" i="51"/>
  <c r="R25" i="54"/>
  <c r="S25" i="54"/>
  <c r="R25" i="42"/>
  <c r="S25" i="42"/>
  <c r="U25" i="57"/>
  <c r="T25" i="44"/>
  <c r="S29" i="45" s="1"/>
  <c r="U25" i="44"/>
  <c r="S77" i="45" s="1"/>
  <c r="T25" i="47"/>
  <c r="U25" i="47"/>
  <c r="T25" i="51"/>
  <c r="U25" i="51"/>
  <c r="T25" i="54"/>
  <c r="U25" i="54"/>
  <c r="T25" i="42"/>
  <c r="U25" i="42"/>
  <c r="W25" i="57"/>
  <c r="L77" i="59" s="1"/>
  <c r="V25" i="44"/>
  <c r="W25" i="44"/>
  <c r="W25" i="47"/>
  <c r="V25" i="51"/>
  <c r="W25" i="51"/>
  <c r="V25" i="54"/>
  <c r="W25" i="54"/>
  <c r="V25" i="42"/>
  <c r="W25" i="42"/>
  <c r="Y25" i="57"/>
  <c r="X25" i="44"/>
  <c r="Y25" i="44"/>
  <c r="X25" i="47"/>
  <c r="Y25" i="47"/>
  <c r="X25" i="51"/>
  <c r="Y25" i="51"/>
  <c r="X25" i="54"/>
  <c r="Y25" i="54"/>
  <c r="X25" i="42"/>
  <c r="Y25" i="42"/>
  <c r="AA25" i="57"/>
  <c r="Z25" i="44"/>
  <c r="AA25" i="44"/>
  <c r="Z25" i="47"/>
  <c r="AA25" i="47"/>
  <c r="Z25" i="51"/>
  <c r="AA25" i="51"/>
  <c r="Z25" i="54"/>
  <c r="AA25" i="54"/>
  <c r="Z25" i="42"/>
  <c r="AA25" i="42"/>
  <c r="AC25" i="57"/>
  <c r="AB25" i="44"/>
  <c r="AC25" i="44"/>
  <c r="AB25" i="47"/>
  <c r="AC25" i="47"/>
  <c r="AB25" i="51"/>
  <c r="AC25" i="51"/>
  <c r="AB25" i="54"/>
  <c r="AC25" i="54"/>
  <c r="AB25" i="42"/>
  <c r="AC25" i="42"/>
  <c r="AE25" i="57"/>
  <c r="AD25" i="44"/>
  <c r="AE25" i="44"/>
  <c r="AD25" i="47"/>
  <c r="I29" i="49" s="1"/>
  <c r="AE25" i="47"/>
  <c r="I77" i="49" s="1"/>
  <c r="AD25" i="51"/>
  <c r="I31" i="52" s="1"/>
  <c r="AE25" i="51"/>
  <c r="I93" i="52" s="1"/>
  <c r="AD25" i="54"/>
  <c r="J29" i="56" s="1"/>
  <c r="AE25" i="54"/>
  <c r="J78" i="56" s="1"/>
  <c r="AD25" i="42"/>
  <c r="J29" i="41" s="1"/>
  <c r="AE25" i="42"/>
  <c r="J77" i="41" s="1"/>
  <c r="AF25" i="44"/>
  <c r="AG25" i="44"/>
  <c r="AF25" i="47"/>
  <c r="AG25" i="47"/>
  <c r="AF25" i="51"/>
  <c r="AG25" i="51"/>
  <c r="AF25" i="54"/>
  <c r="AG25" i="54"/>
  <c r="AF25" i="42"/>
  <c r="AG25" i="42"/>
  <c r="AI25" i="57"/>
  <c r="AH25" i="44"/>
  <c r="AI25" i="44"/>
  <c r="AH25" i="47"/>
  <c r="S29" i="49" s="1"/>
  <c r="AI25" i="47"/>
  <c r="S77" i="49" s="1"/>
  <c r="AH25" i="51"/>
  <c r="AI25" i="51"/>
  <c r="AH25" i="54"/>
  <c r="AI25" i="54"/>
  <c r="AH25" i="42"/>
  <c r="AI25" i="42"/>
  <c r="AK25" i="57"/>
  <c r="AJ25" i="44"/>
  <c r="AJ25" i="47"/>
  <c r="C29" i="49" s="1"/>
  <c r="AK25" i="47"/>
  <c r="C77" i="49" s="1"/>
  <c r="AJ25" i="51"/>
  <c r="E31" i="52" s="1"/>
  <c r="AK25" i="51"/>
  <c r="E93" i="52" s="1"/>
  <c r="AJ25" i="54"/>
  <c r="C29" i="56" s="1"/>
  <c r="AK25" i="54"/>
  <c r="C78" i="56" s="1"/>
  <c r="AJ25" i="42"/>
  <c r="C29" i="41" s="1"/>
  <c r="AK25" i="42"/>
  <c r="C77" i="41" s="1"/>
  <c r="AM25" i="57"/>
  <c r="AL25" i="44"/>
  <c r="E29" i="45" s="1"/>
  <c r="AM25" i="44"/>
  <c r="E77" i="45" s="1"/>
  <c r="AM25" i="47"/>
  <c r="E77" i="49" s="1"/>
  <c r="AL25" i="51"/>
  <c r="G31" i="52" s="1"/>
  <c r="AM25" i="51"/>
  <c r="G93" i="52" s="1"/>
  <c r="AL25" i="54"/>
  <c r="E29" i="56" s="1"/>
  <c r="AM25" i="54"/>
  <c r="E78" i="56" s="1"/>
  <c r="AL25" i="42"/>
  <c r="E29" i="41" s="1"/>
  <c r="AM25" i="42"/>
  <c r="E77" i="41" s="1"/>
  <c r="AN25" i="47"/>
  <c r="D29" i="49" s="1"/>
  <c r="AO25" i="47"/>
  <c r="D77" i="49" s="1"/>
  <c r="AN25" i="51"/>
  <c r="J31" i="52" s="1"/>
  <c r="AO25" i="51"/>
  <c r="J93" i="52" s="1"/>
  <c r="AN25" i="54"/>
  <c r="G29" i="56" s="1"/>
  <c r="AO25" i="54"/>
  <c r="G78" i="56" s="1"/>
  <c r="AN25" i="42"/>
  <c r="D29" i="41" s="1"/>
  <c r="AO25" i="42"/>
  <c r="D77" i="41" s="1"/>
  <c r="AQ25" i="57"/>
  <c r="AP25" i="47"/>
  <c r="H29" i="49" s="1"/>
  <c r="AQ25" i="47"/>
  <c r="H77" i="49" s="1"/>
  <c r="AP25" i="51"/>
  <c r="L31" i="52" s="1"/>
  <c r="AQ25" i="51"/>
  <c r="L93" i="52" s="1"/>
  <c r="AP25" i="54"/>
  <c r="F29" i="56" s="1"/>
  <c r="AQ25" i="54"/>
  <c r="F78" i="56" s="1"/>
  <c r="AP25" i="42"/>
  <c r="H29" i="41" s="1"/>
  <c r="AQ25" i="42"/>
  <c r="H77" i="41" s="1"/>
  <c r="AS25" i="57"/>
  <c r="K77" i="59" s="1"/>
  <c r="AR25" i="47"/>
  <c r="AS25" i="47"/>
  <c r="AR25" i="51"/>
  <c r="AS25" i="51"/>
  <c r="AR25" i="54"/>
  <c r="AS25" i="54"/>
  <c r="AR25" i="42"/>
  <c r="AS25" i="42"/>
  <c r="AU25" i="57"/>
  <c r="AU25" i="47"/>
  <c r="G77" i="49" s="1"/>
  <c r="AT25" i="51"/>
  <c r="F31" i="52" s="1"/>
  <c r="AU25" i="51"/>
  <c r="F93" i="52" s="1"/>
  <c r="AT25" i="54"/>
  <c r="D29" i="56" s="1"/>
  <c r="AU25" i="54"/>
  <c r="D78" i="56" s="1"/>
  <c r="AT25" i="42"/>
  <c r="G29" i="41" s="1"/>
  <c r="AU25" i="42"/>
  <c r="G77" i="41" s="1"/>
  <c r="AV25" i="51"/>
  <c r="AW25" i="51"/>
  <c r="AV25" i="54"/>
  <c r="AW25" i="54"/>
  <c r="AV25" i="42"/>
  <c r="AW25" i="42"/>
  <c r="AY25" i="57"/>
  <c r="AX25" i="51"/>
  <c r="AY25" i="51"/>
  <c r="AX25" i="54"/>
  <c r="AY25" i="54"/>
  <c r="AX25" i="42"/>
  <c r="AY25" i="42"/>
  <c r="BA25" i="57"/>
  <c r="AZ25" i="51"/>
  <c r="BA25" i="51"/>
  <c r="AZ25" i="54"/>
  <c r="BA25" i="54"/>
  <c r="AZ25" i="42"/>
  <c r="BA25" i="42"/>
  <c r="BC25" i="57"/>
  <c r="BB25" i="51"/>
  <c r="P31" i="52" s="1"/>
  <c r="BC25" i="51"/>
  <c r="P93" i="52" s="1"/>
  <c r="BB25" i="54"/>
  <c r="BC25" i="54"/>
  <c r="BB25" i="42"/>
  <c r="BC25" i="42"/>
  <c r="BD25" i="51"/>
  <c r="O31" i="52" s="1"/>
  <c r="BE25" i="51"/>
  <c r="O93" i="52" s="1"/>
  <c r="BD25" i="54"/>
  <c r="BE25" i="54"/>
  <c r="BD25" i="42"/>
  <c r="BE25" i="42"/>
  <c r="BG25" i="57"/>
  <c r="N77" i="59" s="1"/>
  <c r="BF25" i="51"/>
  <c r="Q31" i="52" s="1"/>
  <c r="BG25" i="51"/>
  <c r="Q93" i="52" s="1"/>
  <c r="BF25" i="54"/>
  <c r="BG25" i="54"/>
  <c r="BI25" i="57"/>
  <c r="BH25" i="51"/>
  <c r="BI25" i="51"/>
  <c r="BH25" i="54"/>
  <c r="BI25" i="54"/>
  <c r="BJ25" i="54"/>
  <c r="BK25" i="54"/>
  <c r="BL25" i="54"/>
  <c r="BM25" i="54"/>
  <c r="BP25" i="54"/>
  <c r="L29" i="56" s="1"/>
  <c r="BQ25" i="54"/>
  <c r="L78" i="56" s="1"/>
  <c r="BR25" i="54"/>
  <c r="BS25" i="54"/>
  <c r="BT25" i="54"/>
  <c r="BU25" i="54"/>
  <c r="BV25" i="54"/>
  <c r="BW25" i="54"/>
  <c r="BX25" i="54"/>
  <c r="BY25" i="54"/>
  <c r="F25" i="57"/>
  <c r="H25" i="57"/>
  <c r="E29" i="59" s="1"/>
  <c r="J25" i="57"/>
  <c r="O29" i="59" s="1"/>
  <c r="L25" i="57"/>
  <c r="N25" i="57"/>
  <c r="P25" i="57"/>
  <c r="R25" i="57"/>
  <c r="G29" i="59" s="1"/>
  <c r="V25" i="57"/>
  <c r="L29" i="59" s="1"/>
  <c r="X25" i="57"/>
  <c r="Z25" i="57"/>
  <c r="AD25" i="57"/>
  <c r="AF25" i="57"/>
  <c r="J29" i="59" s="1"/>
  <c r="AH25" i="57"/>
  <c r="AJ25" i="57"/>
  <c r="AL25" i="57"/>
  <c r="AN25" i="57"/>
  <c r="AP25" i="57"/>
  <c r="AR25" i="57"/>
  <c r="K29" i="59" s="1"/>
  <c r="AT25" i="57"/>
  <c r="AV25" i="57"/>
  <c r="AX25" i="57"/>
  <c r="AZ25" i="57"/>
  <c r="BB25" i="57"/>
  <c r="BD25" i="57"/>
  <c r="BF25" i="57"/>
  <c r="N29" i="59" s="1"/>
  <c r="D25" i="57"/>
  <c r="D29" i="59" s="1"/>
  <c r="E24" i="57"/>
  <c r="D24" i="44"/>
  <c r="E24" i="44"/>
  <c r="H76" i="45" s="1"/>
  <c r="D24" i="47"/>
  <c r="M28" i="49" s="1"/>
  <c r="E24" i="47"/>
  <c r="M76" i="49" s="1"/>
  <c r="D24" i="51"/>
  <c r="H30" i="52" s="1"/>
  <c r="E24" i="51"/>
  <c r="H92" i="52" s="1"/>
  <c r="D24" i="54"/>
  <c r="K28" i="56" s="1"/>
  <c r="E24" i="54"/>
  <c r="K77" i="56" s="1"/>
  <c r="D24" i="42"/>
  <c r="E24" i="42"/>
  <c r="I76" i="41" s="1"/>
  <c r="G24" i="57"/>
  <c r="F24" i="44"/>
  <c r="G24" i="44"/>
  <c r="F24" i="47"/>
  <c r="K28" i="49" s="1"/>
  <c r="G24" i="47"/>
  <c r="K76" i="49" s="1"/>
  <c r="F24" i="51"/>
  <c r="G24" i="51"/>
  <c r="F24" i="54"/>
  <c r="I28" i="56" s="1"/>
  <c r="G24" i="54"/>
  <c r="I77" i="56" s="1"/>
  <c r="F24" i="42"/>
  <c r="K28" i="41" s="1"/>
  <c r="G24" i="42"/>
  <c r="K76" i="41" s="1"/>
  <c r="I24" i="57"/>
  <c r="H24" i="44"/>
  <c r="J28" i="45" s="1"/>
  <c r="I24" i="44"/>
  <c r="J76" i="45" s="1"/>
  <c r="H24" i="47"/>
  <c r="I24" i="47"/>
  <c r="H24" i="51"/>
  <c r="I24" i="51"/>
  <c r="H24" i="54"/>
  <c r="I24" i="54"/>
  <c r="H24" i="42"/>
  <c r="I24" i="42"/>
  <c r="K24" i="57"/>
  <c r="O76" i="59" s="1"/>
  <c r="J24" i="44"/>
  <c r="K24" i="44"/>
  <c r="J24" i="47"/>
  <c r="K24" i="47"/>
  <c r="J24" i="51"/>
  <c r="K24" i="51"/>
  <c r="J24" i="54"/>
  <c r="K24" i="54"/>
  <c r="J24" i="42"/>
  <c r="K24" i="42"/>
  <c r="M24" i="57"/>
  <c r="L24" i="44"/>
  <c r="M24" i="44"/>
  <c r="L24" i="47"/>
  <c r="L28" i="49" s="1"/>
  <c r="M24" i="47"/>
  <c r="L76" i="49" s="1"/>
  <c r="L24" i="51"/>
  <c r="M30" i="52" s="1"/>
  <c r="M24" i="51"/>
  <c r="M92" i="52" s="1"/>
  <c r="L24" i="54"/>
  <c r="M24" i="54"/>
  <c r="L24" i="42"/>
  <c r="L28" i="41" s="1"/>
  <c r="M24" i="42"/>
  <c r="L76" i="41" s="1"/>
  <c r="O24" i="57"/>
  <c r="E76" i="59" s="1"/>
  <c r="N24" i="44"/>
  <c r="U28" i="45" s="1"/>
  <c r="O24" i="44"/>
  <c r="U76" i="45" s="1"/>
  <c r="N24" i="47"/>
  <c r="O24" i="47"/>
  <c r="N24" i="51"/>
  <c r="O24" i="51"/>
  <c r="N24" i="54"/>
  <c r="O24" i="54"/>
  <c r="N24" i="42"/>
  <c r="O24" i="42"/>
  <c r="Q24" i="57"/>
  <c r="P24" i="44"/>
  <c r="Q24" i="44"/>
  <c r="P24" i="47"/>
  <c r="F28" i="49" s="1"/>
  <c r="Q24" i="47"/>
  <c r="F76" i="49" s="1"/>
  <c r="P24" i="51"/>
  <c r="K30" i="52" s="1"/>
  <c r="Q24" i="51"/>
  <c r="K92" i="52" s="1"/>
  <c r="P24" i="54"/>
  <c r="H28" i="56" s="1"/>
  <c r="Q24" i="54"/>
  <c r="H77" i="56" s="1"/>
  <c r="P24" i="42"/>
  <c r="F28" i="41" s="1"/>
  <c r="Q24" i="42"/>
  <c r="F76" i="41" s="1"/>
  <c r="S24" i="57"/>
  <c r="G76" i="59" s="1"/>
  <c r="R24" i="44"/>
  <c r="G28" i="45" s="1"/>
  <c r="S24" i="44"/>
  <c r="G76" i="45" s="1"/>
  <c r="R24" i="47"/>
  <c r="S24" i="47"/>
  <c r="R24" i="51"/>
  <c r="S24" i="51"/>
  <c r="R24" i="54"/>
  <c r="S24" i="54"/>
  <c r="R24" i="42"/>
  <c r="S24" i="42"/>
  <c r="U24" i="57"/>
  <c r="T24" i="44"/>
  <c r="S28" i="45" s="1"/>
  <c r="U24" i="44"/>
  <c r="S76" i="45" s="1"/>
  <c r="T24" i="47"/>
  <c r="U24" i="47"/>
  <c r="T24" i="51"/>
  <c r="U24" i="51"/>
  <c r="T24" i="54"/>
  <c r="U24" i="54"/>
  <c r="T24" i="42"/>
  <c r="U24" i="42"/>
  <c r="W24" i="57"/>
  <c r="L76" i="59" s="1"/>
  <c r="V24" i="44"/>
  <c r="W24" i="44"/>
  <c r="V24" i="47"/>
  <c r="W24" i="47"/>
  <c r="V24" i="51"/>
  <c r="W24" i="51"/>
  <c r="V24" i="54"/>
  <c r="W24" i="54"/>
  <c r="V24" i="42"/>
  <c r="W24" i="42"/>
  <c r="X24" i="44"/>
  <c r="Y24" i="44"/>
  <c r="X24" i="47"/>
  <c r="Y24" i="47"/>
  <c r="X24" i="51"/>
  <c r="Y24" i="51"/>
  <c r="X24" i="54"/>
  <c r="Y24" i="54"/>
  <c r="X24" i="42"/>
  <c r="Y24" i="42"/>
  <c r="AA24" i="57"/>
  <c r="Z24" i="44"/>
  <c r="AA24" i="44"/>
  <c r="Z24" i="47"/>
  <c r="AA24" i="47"/>
  <c r="Z24" i="51"/>
  <c r="AA24" i="51"/>
  <c r="Z24" i="54"/>
  <c r="AA24" i="54"/>
  <c r="Z24" i="42"/>
  <c r="AA24" i="42"/>
  <c r="AC24" i="57"/>
  <c r="AB24" i="44"/>
  <c r="AC24" i="44"/>
  <c r="AB24" i="47"/>
  <c r="AC24" i="47"/>
  <c r="AB24" i="51"/>
  <c r="AC24" i="51"/>
  <c r="AB24" i="54"/>
  <c r="AC24" i="54"/>
  <c r="AB24" i="42"/>
  <c r="AC24" i="42"/>
  <c r="AE24" i="57"/>
  <c r="AD24" i="44"/>
  <c r="AE24" i="44"/>
  <c r="AD24" i="47"/>
  <c r="I28" i="49" s="1"/>
  <c r="AE24" i="47"/>
  <c r="I76" i="49" s="1"/>
  <c r="AD24" i="51"/>
  <c r="I30" i="52" s="1"/>
  <c r="AE24" i="51"/>
  <c r="I92" i="52" s="1"/>
  <c r="AD24" i="54"/>
  <c r="J28" i="56" s="1"/>
  <c r="AE24" i="54"/>
  <c r="J77" i="56" s="1"/>
  <c r="AD24" i="42"/>
  <c r="J28" i="41" s="1"/>
  <c r="AE24" i="42"/>
  <c r="J76" i="41" s="1"/>
  <c r="AG24" i="57"/>
  <c r="J76" i="59" s="1"/>
  <c r="AF24" i="44"/>
  <c r="AG24" i="44"/>
  <c r="AF24" i="47"/>
  <c r="AG24" i="47"/>
  <c r="AF24" i="51"/>
  <c r="AG24" i="51"/>
  <c r="AF24" i="54"/>
  <c r="AG24" i="54"/>
  <c r="AF24" i="42"/>
  <c r="AG24" i="42"/>
  <c r="AI24" i="57"/>
  <c r="AH24" i="44"/>
  <c r="AI24" i="44"/>
  <c r="AH24" i="47"/>
  <c r="S28" i="49" s="1"/>
  <c r="AI24" i="47"/>
  <c r="S76" i="49" s="1"/>
  <c r="AH24" i="51"/>
  <c r="AI24" i="51"/>
  <c r="AH24" i="54"/>
  <c r="AI24" i="54"/>
  <c r="AH24" i="42"/>
  <c r="AI24" i="42"/>
  <c r="AK24" i="57"/>
  <c r="AJ24" i="44"/>
  <c r="AJ24" i="47"/>
  <c r="C28" i="49" s="1"/>
  <c r="AK24" i="47"/>
  <c r="C76" i="49" s="1"/>
  <c r="AJ24" i="51"/>
  <c r="E30" i="52" s="1"/>
  <c r="AK24" i="51"/>
  <c r="E92" i="52" s="1"/>
  <c r="AJ24" i="54"/>
  <c r="C28" i="56" s="1"/>
  <c r="AK24" i="54"/>
  <c r="C77" i="56" s="1"/>
  <c r="AJ24" i="42"/>
  <c r="C28" i="41" s="1"/>
  <c r="AK24" i="42"/>
  <c r="C76" i="41" s="1"/>
  <c r="AM24" i="57"/>
  <c r="AL24" i="44"/>
  <c r="E28" i="45" s="1"/>
  <c r="AM24" i="44"/>
  <c r="E76" i="45" s="1"/>
  <c r="AM24" i="47"/>
  <c r="E76" i="49" s="1"/>
  <c r="AL24" i="51"/>
  <c r="G30" i="52" s="1"/>
  <c r="AM24" i="51"/>
  <c r="G92" i="52" s="1"/>
  <c r="AL24" i="54"/>
  <c r="E28" i="56" s="1"/>
  <c r="AM24" i="54"/>
  <c r="E77" i="56" s="1"/>
  <c r="AL24" i="42"/>
  <c r="E28" i="41" s="1"/>
  <c r="AM24" i="42"/>
  <c r="E76" i="41" s="1"/>
  <c r="AN24" i="47"/>
  <c r="D28" i="49" s="1"/>
  <c r="AO24" i="47"/>
  <c r="D76" i="49" s="1"/>
  <c r="AN24" i="51"/>
  <c r="J30" i="52" s="1"/>
  <c r="AO24" i="51"/>
  <c r="J92" i="52" s="1"/>
  <c r="AN24" i="54"/>
  <c r="G28" i="56" s="1"/>
  <c r="AO24" i="54"/>
  <c r="G77" i="56" s="1"/>
  <c r="AN24" i="42"/>
  <c r="D28" i="41" s="1"/>
  <c r="AO24" i="42"/>
  <c r="D76" i="41" s="1"/>
  <c r="AQ24" i="57"/>
  <c r="AP24" i="47"/>
  <c r="H28" i="49" s="1"/>
  <c r="AQ24" i="47"/>
  <c r="H76" i="49" s="1"/>
  <c r="AP24" i="51"/>
  <c r="L30" i="52" s="1"/>
  <c r="AQ24" i="51"/>
  <c r="L92" i="52" s="1"/>
  <c r="AP24" i="54"/>
  <c r="F28" i="56" s="1"/>
  <c r="AQ24" i="54"/>
  <c r="F77" i="56" s="1"/>
  <c r="AP24" i="42"/>
  <c r="H28" i="41" s="1"/>
  <c r="AQ24" i="42"/>
  <c r="H76" i="41" s="1"/>
  <c r="AS24" i="57"/>
  <c r="K76" i="59" s="1"/>
  <c r="AR24" i="47"/>
  <c r="AS24" i="47"/>
  <c r="AR24" i="51"/>
  <c r="AS24" i="51"/>
  <c r="AR24" i="54"/>
  <c r="AS24" i="54"/>
  <c r="AR24" i="42"/>
  <c r="AS24" i="42"/>
  <c r="AU24" i="57"/>
  <c r="AU24" i="47"/>
  <c r="G76" i="49" s="1"/>
  <c r="AT24" i="51"/>
  <c r="F30" i="52" s="1"/>
  <c r="AU24" i="51"/>
  <c r="F92" i="52" s="1"/>
  <c r="AT24" i="54"/>
  <c r="D28" i="56" s="1"/>
  <c r="AU24" i="54"/>
  <c r="D77" i="56" s="1"/>
  <c r="AT24" i="42"/>
  <c r="G28" i="41" s="1"/>
  <c r="AU24" i="42"/>
  <c r="G76" i="41" s="1"/>
  <c r="AV24" i="51"/>
  <c r="AW24" i="51"/>
  <c r="AV24" i="54"/>
  <c r="AW24" i="54"/>
  <c r="AV24" i="42"/>
  <c r="AW24" i="42"/>
  <c r="AY24" i="57"/>
  <c r="AX24" i="51"/>
  <c r="AY24" i="51"/>
  <c r="AX24" i="54"/>
  <c r="AY24" i="54"/>
  <c r="AX24" i="42"/>
  <c r="AY24" i="42"/>
  <c r="BA24" i="57"/>
  <c r="AZ24" i="51"/>
  <c r="BA24" i="51"/>
  <c r="AZ24" i="54"/>
  <c r="BA24" i="54"/>
  <c r="AZ24" i="42"/>
  <c r="BA24" i="42"/>
  <c r="BC24" i="57"/>
  <c r="BB24" i="51"/>
  <c r="P30" i="52" s="1"/>
  <c r="BC24" i="51"/>
  <c r="P92" i="52" s="1"/>
  <c r="BB24" i="54"/>
  <c r="BC24" i="54"/>
  <c r="BB24" i="42"/>
  <c r="BC24" i="42"/>
  <c r="BD24" i="51"/>
  <c r="O30" i="52" s="1"/>
  <c r="BE24" i="51"/>
  <c r="O92" i="52" s="1"/>
  <c r="BD24" i="54"/>
  <c r="BE24" i="54"/>
  <c r="BD24" i="42"/>
  <c r="BE24" i="42"/>
  <c r="BG24" i="57"/>
  <c r="N76" i="59" s="1"/>
  <c r="BF24" i="51"/>
  <c r="Q30" i="52" s="1"/>
  <c r="BG24" i="51"/>
  <c r="Q92" i="52" s="1"/>
  <c r="BF24" i="54"/>
  <c r="BG24" i="54"/>
  <c r="BI24" i="57"/>
  <c r="BH24" i="51"/>
  <c r="BI24" i="51"/>
  <c r="BH24" i="54"/>
  <c r="BI24" i="54"/>
  <c r="BJ24" i="54"/>
  <c r="BK24" i="54"/>
  <c r="BL24" i="54"/>
  <c r="BM24" i="54"/>
  <c r="BP24" i="54"/>
  <c r="L28" i="56" s="1"/>
  <c r="BQ24" i="54"/>
  <c r="L77" i="56" s="1"/>
  <c r="BR24" i="54"/>
  <c r="BS24" i="54"/>
  <c r="BT24" i="54"/>
  <c r="BU24" i="54"/>
  <c r="BV24" i="54"/>
  <c r="BW24" i="54"/>
  <c r="BX24" i="54"/>
  <c r="BY24" i="54"/>
  <c r="F24" i="57"/>
  <c r="H24" i="57"/>
  <c r="E28" i="59" s="1"/>
  <c r="J24" i="57"/>
  <c r="O28" i="59" s="1"/>
  <c r="L24" i="57"/>
  <c r="N24" i="57"/>
  <c r="P24" i="57"/>
  <c r="R24" i="57"/>
  <c r="G28" i="59" s="1"/>
  <c r="T24" i="57"/>
  <c r="V24" i="57"/>
  <c r="L28" i="59" s="1"/>
  <c r="X24" i="57"/>
  <c r="Z24" i="57"/>
  <c r="AB24" i="57"/>
  <c r="AD24" i="57"/>
  <c r="AF24" i="57"/>
  <c r="J28" i="59" s="1"/>
  <c r="AH24" i="57"/>
  <c r="AJ24" i="57"/>
  <c r="AL24" i="57"/>
  <c r="AN24" i="57"/>
  <c r="AP24" i="57"/>
  <c r="AT24" i="57"/>
  <c r="AV24" i="57"/>
  <c r="AX24" i="57"/>
  <c r="AZ24" i="57"/>
  <c r="BB24" i="57"/>
  <c r="BD24" i="57"/>
  <c r="BF24" i="57"/>
  <c r="N28" i="59" s="1"/>
  <c r="D24" i="57"/>
  <c r="D28" i="59" s="1"/>
  <c r="E23" i="57"/>
  <c r="D23" i="44"/>
  <c r="E23" i="44"/>
  <c r="H75" i="45" s="1"/>
  <c r="D23" i="47"/>
  <c r="M27" i="49" s="1"/>
  <c r="E23" i="47"/>
  <c r="M75" i="49" s="1"/>
  <c r="D23" i="51"/>
  <c r="H29" i="52" s="1"/>
  <c r="E23" i="51"/>
  <c r="H91" i="52" s="1"/>
  <c r="D23" i="54"/>
  <c r="K27" i="56" s="1"/>
  <c r="E23" i="54"/>
  <c r="K76" i="56" s="1"/>
  <c r="G23" i="57"/>
  <c r="F23" i="44"/>
  <c r="G23" i="44"/>
  <c r="F23" i="47"/>
  <c r="K27" i="49" s="1"/>
  <c r="G23" i="47"/>
  <c r="K75" i="49" s="1"/>
  <c r="F23" i="51"/>
  <c r="G23" i="51"/>
  <c r="F23" i="54"/>
  <c r="I27" i="56" s="1"/>
  <c r="G23" i="54"/>
  <c r="I76" i="56" s="1"/>
  <c r="I23" i="57"/>
  <c r="H23" i="44"/>
  <c r="J27" i="45" s="1"/>
  <c r="I23" i="44"/>
  <c r="J75" i="45" s="1"/>
  <c r="H23" i="47"/>
  <c r="I23" i="47"/>
  <c r="H23" i="51"/>
  <c r="I23" i="51"/>
  <c r="H23" i="54"/>
  <c r="I23" i="54"/>
  <c r="K23" i="57"/>
  <c r="O75" i="59" s="1"/>
  <c r="J23" i="44"/>
  <c r="K23" i="44"/>
  <c r="J23" i="47"/>
  <c r="K23" i="47"/>
  <c r="J23" i="51"/>
  <c r="K23" i="51"/>
  <c r="J23" i="54"/>
  <c r="K23" i="54"/>
  <c r="M23" i="57"/>
  <c r="L23" i="44"/>
  <c r="M23" i="44"/>
  <c r="L23" i="47"/>
  <c r="L27" i="49" s="1"/>
  <c r="M23" i="47"/>
  <c r="L75" i="49" s="1"/>
  <c r="L23" i="51"/>
  <c r="M29" i="52" s="1"/>
  <c r="M23" i="51"/>
  <c r="M91" i="52" s="1"/>
  <c r="L23" i="54"/>
  <c r="M23" i="54"/>
  <c r="O23" i="57"/>
  <c r="E75" i="59" s="1"/>
  <c r="N23" i="44"/>
  <c r="U27" i="45" s="1"/>
  <c r="O23" i="44"/>
  <c r="U75" i="45" s="1"/>
  <c r="N23" i="47"/>
  <c r="O23" i="47"/>
  <c r="N23" i="51"/>
  <c r="O23" i="51"/>
  <c r="N23" i="54"/>
  <c r="O23" i="54"/>
  <c r="Q23" i="57"/>
  <c r="P23" i="44"/>
  <c r="Q23" i="44"/>
  <c r="P23" i="47"/>
  <c r="F27" i="49" s="1"/>
  <c r="Q23" i="47"/>
  <c r="F75" i="49" s="1"/>
  <c r="P23" i="51"/>
  <c r="K29" i="52" s="1"/>
  <c r="Q23" i="51"/>
  <c r="K91" i="52" s="1"/>
  <c r="P23" i="54"/>
  <c r="H27" i="56" s="1"/>
  <c r="Q23" i="54"/>
  <c r="H76" i="56" s="1"/>
  <c r="S23" i="57"/>
  <c r="G75" i="59" s="1"/>
  <c r="R23" i="44"/>
  <c r="G27" i="45" s="1"/>
  <c r="S23" i="44"/>
  <c r="G75" i="45" s="1"/>
  <c r="R23" i="47"/>
  <c r="S23" i="47"/>
  <c r="R23" i="51"/>
  <c r="S23" i="51"/>
  <c r="R23" i="54"/>
  <c r="S23" i="54"/>
  <c r="U23" i="57"/>
  <c r="T23" i="44"/>
  <c r="S27" i="45" s="1"/>
  <c r="U23" i="44"/>
  <c r="S75" i="45" s="1"/>
  <c r="T23" i="47"/>
  <c r="U23" i="47"/>
  <c r="T23" i="51"/>
  <c r="U23" i="51"/>
  <c r="T23" i="54"/>
  <c r="U23" i="54"/>
  <c r="W23" i="57"/>
  <c r="L75" i="59" s="1"/>
  <c r="V23" i="44"/>
  <c r="W23" i="44"/>
  <c r="W23" i="47"/>
  <c r="V23" i="51"/>
  <c r="W23" i="51"/>
  <c r="V23" i="54"/>
  <c r="W23" i="54"/>
  <c r="Y23" i="57"/>
  <c r="X23" i="44"/>
  <c r="Y23" i="44"/>
  <c r="X23" i="47"/>
  <c r="Y23" i="47"/>
  <c r="X23" i="51"/>
  <c r="Y23" i="51"/>
  <c r="X23" i="54"/>
  <c r="Y23" i="54"/>
  <c r="AA23" i="57"/>
  <c r="Z23" i="44"/>
  <c r="AA23" i="44"/>
  <c r="Z23" i="47"/>
  <c r="AA23" i="47"/>
  <c r="Z23" i="51"/>
  <c r="AA23" i="51"/>
  <c r="Z23" i="54"/>
  <c r="AA23" i="54"/>
  <c r="AC23" i="57"/>
  <c r="AB23" i="44"/>
  <c r="AC23" i="44"/>
  <c r="AB23" i="47"/>
  <c r="AC23" i="47"/>
  <c r="AB23" i="51"/>
  <c r="AC23" i="51"/>
  <c r="AB23" i="54"/>
  <c r="AC23" i="54"/>
  <c r="AE23" i="57"/>
  <c r="AD23" i="44"/>
  <c r="AE23" i="44"/>
  <c r="AD23" i="47"/>
  <c r="I27" i="49" s="1"/>
  <c r="AE23" i="47"/>
  <c r="I75" i="49" s="1"/>
  <c r="AD23" i="51"/>
  <c r="I29" i="52" s="1"/>
  <c r="AE23" i="51"/>
  <c r="I91" i="52" s="1"/>
  <c r="AD23" i="54"/>
  <c r="J27" i="56" s="1"/>
  <c r="AE23" i="54"/>
  <c r="J76" i="56" s="1"/>
  <c r="AF23" i="44"/>
  <c r="AG23" i="44"/>
  <c r="AF23" i="47"/>
  <c r="AG23" i="47"/>
  <c r="AF23" i="51"/>
  <c r="AG23" i="51"/>
  <c r="AF23" i="54"/>
  <c r="AG23" i="54"/>
  <c r="AI23" i="57"/>
  <c r="AH23" i="44"/>
  <c r="AI23" i="44"/>
  <c r="AH23" i="47"/>
  <c r="S27" i="49" s="1"/>
  <c r="AI23" i="47"/>
  <c r="S75" i="49" s="1"/>
  <c r="AH23" i="51"/>
  <c r="AI23" i="51"/>
  <c r="AH23" i="54"/>
  <c r="AI23" i="54"/>
  <c r="AK23" i="57"/>
  <c r="AJ23" i="44"/>
  <c r="AJ23" i="47"/>
  <c r="C27" i="49" s="1"/>
  <c r="AK23" i="47"/>
  <c r="C75" i="49" s="1"/>
  <c r="AJ23" i="51"/>
  <c r="E29" i="52" s="1"/>
  <c r="AK23" i="51"/>
  <c r="E91" i="52" s="1"/>
  <c r="AJ23" i="54"/>
  <c r="C27" i="56" s="1"/>
  <c r="AK23" i="54"/>
  <c r="C76" i="56" s="1"/>
  <c r="AM23" i="57"/>
  <c r="AL23" i="44"/>
  <c r="E27" i="45" s="1"/>
  <c r="AM23" i="44"/>
  <c r="E75" i="45" s="1"/>
  <c r="AM23" i="47"/>
  <c r="E75" i="49" s="1"/>
  <c r="AL23" i="51"/>
  <c r="G29" i="52" s="1"/>
  <c r="AM23" i="51"/>
  <c r="G91" i="52" s="1"/>
  <c r="AL23" i="54"/>
  <c r="E27" i="56" s="1"/>
  <c r="AM23" i="54"/>
  <c r="E76" i="56" s="1"/>
  <c r="AN23" i="47"/>
  <c r="D27" i="49" s="1"/>
  <c r="AO23" i="47"/>
  <c r="D75" i="49" s="1"/>
  <c r="AN23" i="51"/>
  <c r="J29" i="52" s="1"/>
  <c r="AO23" i="51"/>
  <c r="J91" i="52" s="1"/>
  <c r="AN23" i="54"/>
  <c r="G27" i="56" s="1"/>
  <c r="AO23" i="54"/>
  <c r="G76" i="56" s="1"/>
  <c r="AQ23" i="57"/>
  <c r="AP23" i="47"/>
  <c r="H27" i="49" s="1"/>
  <c r="AQ23" i="47"/>
  <c r="H75" i="49" s="1"/>
  <c r="AP23" i="51"/>
  <c r="L29" i="52" s="1"/>
  <c r="AQ23" i="51"/>
  <c r="L91" i="52" s="1"/>
  <c r="AP23" i="54"/>
  <c r="F27" i="56" s="1"/>
  <c r="AQ23" i="54"/>
  <c r="F76" i="56" s="1"/>
  <c r="AS23" i="57"/>
  <c r="K75" i="59" s="1"/>
  <c r="AR23" i="47"/>
  <c r="AS23" i="47"/>
  <c r="AR23" i="51"/>
  <c r="AS23" i="51"/>
  <c r="AR23" i="54"/>
  <c r="AS23" i="54"/>
  <c r="AU23" i="57"/>
  <c r="AU23" i="47"/>
  <c r="G75" i="49" s="1"/>
  <c r="AT23" i="51"/>
  <c r="F29" i="52" s="1"/>
  <c r="AU23" i="51"/>
  <c r="F91" i="52" s="1"/>
  <c r="AT23" i="54"/>
  <c r="D27" i="56" s="1"/>
  <c r="AU23" i="54"/>
  <c r="D76" i="56" s="1"/>
  <c r="AV23" i="51"/>
  <c r="AW23" i="51"/>
  <c r="AV23" i="54"/>
  <c r="AW23" i="54"/>
  <c r="AY23" i="57"/>
  <c r="AX23" i="51"/>
  <c r="AY23" i="51"/>
  <c r="AX23" i="54"/>
  <c r="AY23" i="54"/>
  <c r="BA23" i="57"/>
  <c r="AZ23" i="51"/>
  <c r="BA23" i="51"/>
  <c r="AZ23" i="54"/>
  <c r="BA23" i="54"/>
  <c r="BC23" i="57"/>
  <c r="BB23" i="51"/>
  <c r="P29" i="52" s="1"/>
  <c r="BC23" i="51"/>
  <c r="P91" i="52" s="1"/>
  <c r="BB23" i="54"/>
  <c r="BC23" i="54"/>
  <c r="BD23" i="51"/>
  <c r="O29" i="52" s="1"/>
  <c r="BE23" i="51"/>
  <c r="O91" i="52" s="1"/>
  <c r="BD23" i="54"/>
  <c r="BE23" i="54"/>
  <c r="BG23" i="57"/>
  <c r="N75" i="59" s="1"/>
  <c r="BF23" i="51"/>
  <c r="Q29" i="52" s="1"/>
  <c r="BG23" i="51"/>
  <c r="Q91" i="52" s="1"/>
  <c r="BF23" i="54"/>
  <c r="BG23" i="54"/>
  <c r="BI23" i="57"/>
  <c r="BH23" i="51"/>
  <c r="BI23" i="51"/>
  <c r="BH23" i="54"/>
  <c r="BI23" i="54"/>
  <c r="BJ23" i="54"/>
  <c r="BK23" i="54"/>
  <c r="BL23" i="54"/>
  <c r="BM23" i="54"/>
  <c r="BP23" i="54"/>
  <c r="L27" i="56" s="1"/>
  <c r="BQ23" i="54"/>
  <c r="L76" i="56" s="1"/>
  <c r="BR23" i="54"/>
  <c r="BS23" i="54"/>
  <c r="BT23" i="54"/>
  <c r="BU23" i="54"/>
  <c r="BV23" i="54"/>
  <c r="BW23" i="54"/>
  <c r="BX23" i="54"/>
  <c r="BY23" i="54"/>
  <c r="F23" i="57"/>
  <c r="H23" i="57"/>
  <c r="E27" i="59" s="1"/>
  <c r="J23" i="57"/>
  <c r="O27" i="59" s="1"/>
  <c r="L23" i="57"/>
  <c r="N23" i="57"/>
  <c r="P23" i="57"/>
  <c r="R23" i="57"/>
  <c r="G27" i="59" s="1"/>
  <c r="V23" i="57"/>
  <c r="L27" i="59" s="1"/>
  <c r="X23" i="57"/>
  <c r="Z23" i="57"/>
  <c r="AD23" i="57"/>
  <c r="AF23" i="57"/>
  <c r="J27" i="59" s="1"/>
  <c r="AH23" i="57"/>
  <c r="AJ23" i="57"/>
  <c r="AL23" i="57"/>
  <c r="AN23" i="57"/>
  <c r="AP23" i="57"/>
  <c r="AR23" i="57"/>
  <c r="K27" i="59" s="1"/>
  <c r="AT23" i="57"/>
  <c r="AV23" i="57"/>
  <c r="AX23" i="57"/>
  <c r="BB23" i="57"/>
  <c r="BD23" i="57"/>
  <c r="BF23" i="57"/>
  <c r="N27" i="59" s="1"/>
  <c r="BH23" i="57"/>
  <c r="D23" i="57"/>
  <c r="D27" i="59" s="1"/>
  <c r="E22" i="57"/>
  <c r="D22" i="44"/>
  <c r="E22" i="44"/>
  <c r="H74" i="45" s="1"/>
  <c r="D22" i="47"/>
  <c r="M26" i="49" s="1"/>
  <c r="E22" i="47"/>
  <c r="M74" i="49" s="1"/>
  <c r="G22" i="57"/>
  <c r="F22" i="44"/>
  <c r="G22" i="44"/>
  <c r="F22" i="47"/>
  <c r="K26" i="49" s="1"/>
  <c r="G22" i="47"/>
  <c r="K74" i="49" s="1"/>
  <c r="I22" i="57"/>
  <c r="H22" i="44"/>
  <c r="J26" i="45" s="1"/>
  <c r="I22" i="44"/>
  <c r="J74" i="45" s="1"/>
  <c r="H22" i="47"/>
  <c r="I22" i="47"/>
  <c r="K22" i="57"/>
  <c r="O74" i="59" s="1"/>
  <c r="J22" i="44"/>
  <c r="K22" i="44"/>
  <c r="J22" i="47"/>
  <c r="K22" i="47"/>
  <c r="M22" i="57"/>
  <c r="L22" i="44"/>
  <c r="M22" i="44"/>
  <c r="L22" i="47"/>
  <c r="L26" i="49" s="1"/>
  <c r="M22" i="47"/>
  <c r="L74" i="49" s="1"/>
  <c r="O22" i="57"/>
  <c r="E74" i="59" s="1"/>
  <c r="N22" i="44"/>
  <c r="U26" i="45" s="1"/>
  <c r="O22" i="44"/>
  <c r="U74" i="45" s="1"/>
  <c r="N22" i="47"/>
  <c r="O22" i="47"/>
  <c r="Q22" i="57"/>
  <c r="P22" i="44"/>
  <c r="Q22" i="44"/>
  <c r="P22" i="47"/>
  <c r="F26" i="49" s="1"/>
  <c r="Q22" i="47"/>
  <c r="F74" i="49" s="1"/>
  <c r="S22" i="57"/>
  <c r="G74" i="59" s="1"/>
  <c r="R22" i="44"/>
  <c r="G26" i="45" s="1"/>
  <c r="S22" i="44"/>
  <c r="G74" i="45" s="1"/>
  <c r="R22" i="47"/>
  <c r="S22" i="47"/>
  <c r="U22" i="57"/>
  <c r="T22" i="44"/>
  <c r="S26" i="45" s="1"/>
  <c r="U22" i="44"/>
  <c r="S74" i="45" s="1"/>
  <c r="T22" i="47"/>
  <c r="U22" i="47"/>
  <c r="W22" i="57"/>
  <c r="L74" i="59" s="1"/>
  <c r="V22" i="44"/>
  <c r="W22" i="44"/>
  <c r="V22" i="47"/>
  <c r="W22" i="47"/>
  <c r="X22" i="44"/>
  <c r="Y22" i="44"/>
  <c r="X22" i="47"/>
  <c r="Y22" i="47"/>
  <c r="AA22" i="57"/>
  <c r="Z22" i="44"/>
  <c r="AA22" i="44"/>
  <c r="Z22" i="47"/>
  <c r="AA22" i="47"/>
  <c r="AC22" i="57"/>
  <c r="AB22" i="44"/>
  <c r="AC22" i="44"/>
  <c r="AB22" i="47"/>
  <c r="AC22" i="47"/>
  <c r="AE22" i="57"/>
  <c r="AD22" i="44"/>
  <c r="AE22" i="44"/>
  <c r="AD22" i="47"/>
  <c r="I26" i="49" s="1"/>
  <c r="AE22" i="47"/>
  <c r="I74" i="49" s="1"/>
  <c r="AG22" i="57"/>
  <c r="J74" i="59" s="1"/>
  <c r="AF22" i="44"/>
  <c r="AG22" i="44"/>
  <c r="AF22" i="47"/>
  <c r="AG22" i="47"/>
  <c r="AI22" i="57"/>
  <c r="AH22" i="44"/>
  <c r="AI22" i="44"/>
  <c r="AH22" i="47"/>
  <c r="S26" i="49" s="1"/>
  <c r="AI22" i="47"/>
  <c r="S74" i="49" s="1"/>
  <c r="AK22" i="57"/>
  <c r="AJ22" i="44"/>
  <c r="AK22" i="44"/>
  <c r="AJ22" i="47"/>
  <c r="C26" i="49" s="1"/>
  <c r="AK22" i="47"/>
  <c r="C74" i="49" s="1"/>
  <c r="AM22" i="57"/>
  <c r="AL22" i="44"/>
  <c r="E26" i="45" s="1"/>
  <c r="AM22" i="44"/>
  <c r="E74" i="45" s="1"/>
  <c r="AL22" i="47"/>
  <c r="E26" i="49" s="1"/>
  <c r="AM22" i="47"/>
  <c r="E74" i="49" s="1"/>
  <c r="AO22" i="57"/>
  <c r="AN22" i="47"/>
  <c r="D26" i="49" s="1"/>
  <c r="AO22" i="47"/>
  <c r="D74" i="49" s="1"/>
  <c r="AQ22" i="57"/>
  <c r="AP22" i="47"/>
  <c r="H26" i="49" s="1"/>
  <c r="AQ22" i="47"/>
  <c r="H74" i="49" s="1"/>
  <c r="AS22" i="57"/>
  <c r="K74" i="59" s="1"/>
  <c r="AR22" i="47"/>
  <c r="AS22" i="47"/>
  <c r="AU22" i="57"/>
  <c r="AT22" i="47"/>
  <c r="G26" i="49" s="1"/>
  <c r="AU22" i="47"/>
  <c r="G74" i="49" s="1"/>
  <c r="AY22" i="57"/>
  <c r="BA22" i="57"/>
  <c r="BC22" i="57"/>
  <c r="BE22" i="57"/>
  <c r="BG22" i="57"/>
  <c r="N74" i="59" s="1"/>
  <c r="BI22" i="57"/>
  <c r="F22" i="57"/>
  <c r="H22" i="57"/>
  <c r="E26" i="59" s="1"/>
  <c r="J22" i="57"/>
  <c r="O26" i="59" s="1"/>
  <c r="L22" i="57"/>
  <c r="N22" i="57"/>
  <c r="P22" i="57"/>
  <c r="R22" i="57"/>
  <c r="G26" i="59" s="1"/>
  <c r="T22" i="57"/>
  <c r="V22" i="57"/>
  <c r="L26" i="59" s="1"/>
  <c r="X22" i="57"/>
  <c r="Z22" i="57"/>
  <c r="AB22" i="57"/>
  <c r="AD22" i="57"/>
  <c r="AF22" i="57"/>
  <c r="J26" i="59" s="1"/>
  <c r="AH22" i="57"/>
  <c r="AJ22" i="57"/>
  <c r="AL22" i="57"/>
  <c r="AN22" i="57"/>
  <c r="AP22" i="57"/>
  <c r="AR22" i="57"/>
  <c r="K26" i="59" s="1"/>
  <c r="AT22" i="57"/>
  <c r="AV22" i="57"/>
  <c r="AX22" i="57"/>
  <c r="AZ22" i="57"/>
  <c r="BB22" i="57"/>
  <c r="BD22" i="57"/>
  <c r="BF22" i="57"/>
  <c r="N26" i="59" s="1"/>
  <c r="BH22" i="57"/>
  <c r="D22" i="57"/>
  <c r="D26" i="59" s="1"/>
  <c r="E21" i="57"/>
  <c r="D21" i="44"/>
  <c r="E21" i="44"/>
  <c r="H73" i="45" s="1"/>
  <c r="D21" i="47"/>
  <c r="M25" i="49" s="1"/>
  <c r="E21" i="47"/>
  <c r="M73" i="49" s="1"/>
  <c r="D21" i="51"/>
  <c r="H27" i="52" s="1"/>
  <c r="E21" i="51"/>
  <c r="H89" i="52" s="1"/>
  <c r="D21" i="54"/>
  <c r="K25" i="56" s="1"/>
  <c r="E21" i="54"/>
  <c r="K74" i="56" s="1"/>
  <c r="G21" i="57"/>
  <c r="F21" i="44"/>
  <c r="G21" i="44"/>
  <c r="F21" i="47"/>
  <c r="K25" i="49" s="1"/>
  <c r="G21" i="47"/>
  <c r="K73" i="49" s="1"/>
  <c r="F21" i="51"/>
  <c r="G21" i="51"/>
  <c r="F21" i="54"/>
  <c r="I25" i="56" s="1"/>
  <c r="G21" i="54"/>
  <c r="I74" i="56" s="1"/>
  <c r="I21" i="57"/>
  <c r="H21" i="44"/>
  <c r="J25" i="45" s="1"/>
  <c r="I21" i="44"/>
  <c r="J73" i="45" s="1"/>
  <c r="H21" i="47"/>
  <c r="I21" i="47"/>
  <c r="H21" i="51"/>
  <c r="I21" i="51"/>
  <c r="H21" i="54"/>
  <c r="I21" i="54"/>
  <c r="K21" i="57"/>
  <c r="O73" i="59" s="1"/>
  <c r="J21" i="44"/>
  <c r="K21" i="44"/>
  <c r="J21" i="47"/>
  <c r="K21" i="47"/>
  <c r="J21" i="51"/>
  <c r="K21" i="51"/>
  <c r="J21" i="54"/>
  <c r="K21" i="54"/>
  <c r="M21" i="57"/>
  <c r="L21" i="44"/>
  <c r="M21" i="44"/>
  <c r="L21" i="47"/>
  <c r="L25" i="49" s="1"/>
  <c r="M21" i="47"/>
  <c r="L73" i="49" s="1"/>
  <c r="L21" i="51"/>
  <c r="M27" i="52" s="1"/>
  <c r="M21" i="51"/>
  <c r="M89" i="52" s="1"/>
  <c r="L21" i="54"/>
  <c r="M21" i="54"/>
  <c r="O21" i="57"/>
  <c r="E73" i="59" s="1"/>
  <c r="N21" i="44"/>
  <c r="U25" i="45" s="1"/>
  <c r="O21" i="44"/>
  <c r="U73" i="45" s="1"/>
  <c r="N21" i="47"/>
  <c r="O21" i="47"/>
  <c r="N21" i="51"/>
  <c r="O21" i="51"/>
  <c r="N21" i="54"/>
  <c r="O21" i="54"/>
  <c r="Q21" i="57"/>
  <c r="P21" i="44"/>
  <c r="Q21" i="44"/>
  <c r="P21" i="47"/>
  <c r="F25" i="49" s="1"/>
  <c r="Q21" i="47"/>
  <c r="F73" i="49" s="1"/>
  <c r="P21" i="51"/>
  <c r="K27" i="52" s="1"/>
  <c r="Q21" i="51"/>
  <c r="K89" i="52" s="1"/>
  <c r="P21" i="54"/>
  <c r="H25" i="56" s="1"/>
  <c r="Q21" i="54"/>
  <c r="H74" i="56" s="1"/>
  <c r="S21" i="57"/>
  <c r="G73" i="59" s="1"/>
  <c r="R21" i="44"/>
  <c r="G25" i="45" s="1"/>
  <c r="S21" i="44"/>
  <c r="G73" i="45" s="1"/>
  <c r="R21" i="47"/>
  <c r="S21" i="47"/>
  <c r="R21" i="51"/>
  <c r="S21" i="51"/>
  <c r="R21" i="54"/>
  <c r="S21" i="54"/>
  <c r="U21" i="57"/>
  <c r="T21" i="44"/>
  <c r="S25" i="45" s="1"/>
  <c r="U21" i="44"/>
  <c r="S73" i="45" s="1"/>
  <c r="T21" i="47"/>
  <c r="U21" i="47"/>
  <c r="T21" i="51"/>
  <c r="U21" i="51"/>
  <c r="T21" i="54"/>
  <c r="U21" i="54"/>
  <c r="W21" i="57"/>
  <c r="L73" i="59" s="1"/>
  <c r="V21" i="44"/>
  <c r="W21" i="44"/>
  <c r="W21" i="47"/>
  <c r="V21" i="51"/>
  <c r="W21" i="51"/>
  <c r="V21" i="54"/>
  <c r="W21" i="54"/>
  <c r="Y21" i="57"/>
  <c r="X21" i="44"/>
  <c r="Y21" i="44"/>
  <c r="X21" i="47"/>
  <c r="Y21" i="47"/>
  <c r="X21" i="51"/>
  <c r="Y21" i="51"/>
  <c r="X21" i="54"/>
  <c r="Y21" i="54"/>
  <c r="AA21" i="57"/>
  <c r="AA21" i="44"/>
  <c r="Z21" i="47"/>
  <c r="AA21" i="47"/>
  <c r="Z21" i="51"/>
  <c r="AA21" i="51"/>
  <c r="Z21" i="54"/>
  <c r="AA21" i="54"/>
  <c r="AC21" i="57"/>
  <c r="AB21" i="44"/>
  <c r="AC21" i="44"/>
  <c r="AB21" i="47"/>
  <c r="AC21" i="47"/>
  <c r="AB21" i="51"/>
  <c r="AC21" i="51"/>
  <c r="AB21" i="54"/>
  <c r="AC21" i="54"/>
  <c r="AE21" i="57"/>
  <c r="AD21" i="44"/>
  <c r="AE21" i="44"/>
  <c r="AD21" i="47"/>
  <c r="I25" i="49" s="1"/>
  <c r="AE21" i="47"/>
  <c r="I73" i="49" s="1"/>
  <c r="AD21" i="51"/>
  <c r="I27" i="52" s="1"/>
  <c r="AE21" i="51"/>
  <c r="I89" i="52" s="1"/>
  <c r="AD21" i="54"/>
  <c r="J25" i="56" s="1"/>
  <c r="AE21" i="54"/>
  <c r="J74" i="56" s="1"/>
  <c r="AF21" i="44"/>
  <c r="AG21" i="44"/>
  <c r="AF21" i="47"/>
  <c r="AG21" i="47"/>
  <c r="AF21" i="51"/>
  <c r="AG21" i="51"/>
  <c r="AF21" i="54"/>
  <c r="AG21" i="54"/>
  <c r="AI21" i="57"/>
  <c r="AH21" i="44"/>
  <c r="AI21" i="44"/>
  <c r="AH21" i="47"/>
  <c r="S25" i="49" s="1"/>
  <c r="AI21" i="47"/>
  <c r="S73" i="49" s="1"/>
  <c r="AH21" i="51"/>
  <c r="AI21" i="51"/>
  <c r="AH21" i="54"/>
  <c r="AI21" i="54"/>
  <c r="AK21" i="57"/>
  <c r="AJ21" i="44"/>
  <c r="AJ21" i="47"/>
  <c r="C25" i="49" s="1"/>
  <c r="AK21" i="47"/>
  <c r="C73" i="49" s="1"/>
  <c r="AJ21" i="51"/>
  <c r="E27" i="52" s="1"/>
  <c r="AK21" i="51"/>
  <c r="E89" i="52" s="1"/>
  <c r="AJ21" i="54"/>
  <c r="C25" i="56" s="1"/>
  <c r="AK21" i="54"/>
  <c r="C74" i="56" s="1"/>
  <c r="AM21" i="57"/>
  <c r="AL21" i="44"/>
  <c r="E25" i="45" s="1"/>
  <c r="AM21" i="44"/>
  <c r="E73" i="45" s="1"/>
  <c r="AM21" i="47"/>
  <c r="E73" i="49" s="1"/>
  <c r="AL21" i="51"/>
  <c r="G27" i="52" s="1"/>
  <c r="AM21" i="51"/>
  <c r="G89" i="52" s="1"/>
  <c r="AL21" i="54"/>
  <c r="E25" i="56" s="1"/>
  <c r="AM21" i="54"/>
  <c r="E74" i="56" s="1"/>
  <c r="AN21" i="47"/>
  <c r="D25" i="49" s="1"/>
  <c r="AO21" i="47"/>
  <c r="D73" i="49" s="1"/>
  <c r="AN21" i="51"/>
  <c r="J27" i="52" s="1"/>
  <c r="AO21" i="51"/>
  <c r="J89" i="52" s="1"/>
  <c r="AN21" i="54"/>
  <c r="G25" i="56" s="1"/>
  <c r="AO21" i="54"/>
  <c r="G74" i="56" s="1"/>
  <c r="AQ21" i="57"/>
  <c r="AP21" i="47"/>
  <c r="H25" i="49" s="1"/>
  <c r="AQ21" i="47"/>
  <c r="H73" i="49" s="1"/>
  <c r="AP21" i="51"/>
  <c r="L27" i="52" s="1"/>
  <c r="AQ21" i="51"/>
  <c r="L89" i="52" s="1"/>
  <c r="AP21" i="54"/>
  <c r="F25" i="56" s="1"/>
  <c r="AQ21" i="54"/>
  <c r="F74" i="56" s="1"/>
  <c r="AS21" i="57"/>
  <c r="K73" i="59" s="1"/>
  <c r="AR21" i="47"/>
  <c r="AS21" i="47"/>
  <c r="AR21" i="51"/>
  <c r="AS21" i="51"/>
  <c r="AR21" i="54"/>
  <c r="AS21" i="54"/>
  <c r="AU21" i="57"/>
  <c r="AT21" i="47"/>
  <c r="G25" i="49" s="1"/>
  <c r="AU21" i="47"/>
  <c r="G73" i="49" s="1"/>
  <c r="AT21" i="51"/>
  <c r="F27" i="52" s="1"/>
  <c r="AU21" i="51"/>
  <c r="F89" i="52" s="1"/>
  <c r="AT21" i="54"/>
  <c r="D25" i="56" s="1"/>
  <c r="AU21" i="54"/>
  <c r="D74" i="56" s="1"/>
  <c r="AV21" i="51"/>
  <c r="AW21" i="51"/>
  <c r="AV21" i="54"/>
  <c r="AW21" i="54"/>
  <c r="AY21" i="57"/>
  <c r="AX21" i="51"/>
  <c r="AY21" i="51"/>
  <c r="AX21" i="54"/>
  <c r="AY21" i="54"/>
  <c r="BA21" i="57"/>
  <c r="AZ21" i="51"/>
  <c r="BA21" i="51"/>
  <c r="AZ21" i="54"/>
  <c r="BA21" i="54"/>
  <c r="BC21" i="57"/>
  <c r="BB21" i="51"/>
  <c r="P27" i="52" s="1"/>
  <c r="BC21" i="51"/>
  <c r="P89" i="52" s="1"/>
  <c r="BB21" i="54"/>
  <c r="BC21" i="54"/>
  <c r="BD21" i="51"/>
  <c r="O27" i="52" s="1"/>
  <c r="BE21" i="51"/>
  <c r="O89" i="52" s="1"/>
  <c r="BD21" i="54"/>
  <c r="BE21" i="54"/>
  <c r="BG21" i="57"/>
  <c r="N73" i="59" s="1"/>
  <c r="BF21" i="51"/>
  <c r="Q27" i="52" s="1"/>
  <c r="BG21" i="51"/>
  <c r="Q89" i="52" s="1"/>
  <c r="BF21" i="54"/>
  <c r="BG21" i="54"/>
  <c r="BI21" i="57"/>
  <c r="BH21" i="51"/>
  <c r="BI21" i="51"/>
  <c r="BH21" i="54"/>
  <c r="BI21" i="54"/>
  <c r="BJ21" i="54"/>
  <c r="BK21" i="54"/>
  <c r="BL21" i="54"/>
  <c r="BM21" i="54"/>
  <c r="BP21" i="54"/>
  <c r="L25" i="56" s="1"/>
  <c r="BQ21" i="54"/>
  <c r="L74" i="56" s="1"/>
  <c r="BR21" i="54"/>
  <c r="BS21" i="54"/>
  <c r="BT21" i="54"/>
  <c r="BU21" i="54"/>
  <c r="BV21" i="54"/>
  <c r="BW21" i="54"/>
  <c r="BX21" i="54"/>
  <c r="BY21" i="54"/>
  <c r="F21" i="57"/>
  <c r="H21" i="57"/>
  <c r="E25" i="59" s="1"/>
  <c r="J21" i="57"/>
  <c r="O25" i="59" s="1"/>
  <c r="L21" i="57"/>
  <c r="N21" i="57"/>
  <c r="P21" i="57"/>
  <c r="R21" i="57"/>
  <c r="G25" i="59" s="1"/>
  <c r="T21" i="57"/>
  <c r="V21" i="57"/>
  <c r="L25" i="59" s="1"/>
  <c r="X21" i="57"/>
  <c r="Z21" i="57"/>
  <c r="AD21" i="57"/>
  <c r="AF21" i="57"/>
  <c r="J25" i="59" s="1"/>
  <c r="AH21" i="57"/>
  <c r="AL21" i="57"/>
  <c r="AN21" i="57"/>
  <c r="AP21" i="57"/>
  <c r="AT21" i="57"/>
  <c r="AV21" i="57"/>
  <c r="AX21" i="57"/>
  <c r="BB21" i="57"/>
  <c r="BD21" i="57"/>
  <c r="BF21" i="57"/>
  <c r="N25" i="59" s="1"/>
  <c r="BH21" i="57"/>
  <c r="D21" i="57"/>
  <c r="D25" i="59" s="1"/>
  <c r="E20" i="57"/>
  <c r="D20" i="44"/>
  <c r="E20" i="44"/>
  <c r="H72" i="45" s="1"/>
  <c r="D20" i="47"/>
  <c r="M24" i="49" s="1"/>
  <c r="E20" i="47"/>
  <c r="M72" i="49" s="1"/>
  <c r="D20" i="51"/>
  <c r="H26" i="52" s="1"/>
  <c r="E20" i="51"/>
  <c r="H88" i="52" s="1"/>
  <c r="D20" i="54"/>
  <c r="K24" i="56" s="1"/>
  <c r="E20" i="54"/>
  <c r="K73" i="56" s="1"/>
  <c r="G20" i="57"/>
  <c r="F20" i="44"/>
  <c r="G20" i="44"/>
  <c r="F20" i="47"/>
  <c r="K24" i="49" s="1"/>
  <c r="G20" i="47"/>
  <c r="K72" i="49" s="1"/>
  <c r="F20" i="51"/>
  <c r="G20" i="51"/>
  <c r="F20" i="54"/>
  <c r="I24" i="56" s="1"/>
  <c r="G20" i="54"/>
  <c r="I73" i="56" s="1"/>
  <c r="I20" i="57"/>
  <c r="H20" i="44"/>
  <c r="J24" i="45" s="1"/>
  <c r="I20" i="44"/>
  <c r="J72" i="45" s="1"/>
  <c r="H20" i="47"/>
  <c r="I20" i="47"/>
  <c r="H20" i="51"/>
  <c r="I20" i="51"/>
  <c r="H20" i="54"/>
  <c r="I20" i="54"/>
  <c r="K20" i="57"/>
  <c r="O72" i="59" s="1"/>
  <c r="J20" i="44"/>
  <c r="K20" i="44"/>
  <c r="J20" i="47"/>
  <c r="K20" i="47"/>
  <c r="J20" i="51"/>
  <c r="K20" i="51"/>
  <c r="J20" i="54"/>
  <c r="K20" i="54"/>
  <c r="M20" i="57"/>
  <c r="L20" i="44"/>
  <c r="M20" i="44"/>
  <c r="L20" i="47"/>
  <c r="L24" i="49" s="1"/>
  <c r="M20" i="47"/>
  <c r="L72" i="49" s="1"/>
  <c r="L20" i="51"/>
  <c r="M26" i="52" s="1"/>
  <c r="M20" i="51"/>
  <c r="M88" i="52" s="1"/>
  <c r="L20" i="54"/>
  <c r="M20" i="54"/>
  <c r="O20" i="57"/>
  <c r="E72" i="59" s="1"/>
  <c r="N20" i="44"/>
  <c r="U24" i="45" s="1"/>
  <c r="O20" i="44"/>
  <c r="U72" i="45" s="1"/>
  <c r="N20" i="47"/>
  <c r="O20" i="47"/>
  <c r="N20" i="51"/>
  <c r="O20" i="51"/>
  <c r="N20" i="54"/>
  <c r="O20" i="54"/>
  <c r="Q20" i="57"/>
  <c r="P20" i="44"/>
  <c r="Q20" i="44"/>
  <c r="P20" i="47"/>
  <c r="F24" i="49" s="1"/>
  <c r="Q20" i="47"/>
  <c r="F72" i="49" s="1"/>
  <c r="P20" i="51"/>
  <c r="K26" i="52" s="1"/>
  <c r="Q20" i="51"/>
  <c r="K88" i="52" s="1"/>
  <c r="P20" i="54"/>
  <c r="H24" i="56" s="1"/>
  <c r="Q20" i="54"/>
  <c r="H73" i="56" s="1"/>
  <c r="S20" i="57"/>
  <c r="G72" i="59" s="1"/>
  <c r="R20" i="44"/>
  <c r="G24" i="45" s="1"/>
  <c r="S20" i="44"/>
  <c r="G72" i="45" s="1"/>
  <c r="R20" i="47"/>
  <c r="S20" i="47"/>
  <c r="R20" i="51"/>
  <c r="S20" i="51"/>
  <c r="R20" i="54"/>
  <c r="S20" i="54"/>
  <c r="U20" i="57"/>
  <c r="T20" i="44"/>
  <c r="S24" i="45" s="1"/>
  <c r="T20" i="47"/>
  <c r="U20" i="47"/>
  <c r="T20" i="51"/>
  <c r="U20" i="51"/>
  <c r="T20" i="54"/>
  <c r="U20" i="54"/>
  <c r="W20" i="57"/>
  <c r="L72" i="59" s="1"/>
  <c r="V20" i="44"/>
  <c r="W20" i="44"/>
  <c r="V20" i="47"/>
  <c r="W20" i="47"/>
  <c r="V20" i="51"/>
  <c r="W20" i="51"/>
  <c r="V20" i="54"/>
  <c r="W20" i="54"/>
  <c r="X20" i="44"/>
  <c r="Y20" i="44"/>
  <c r="X20" i="47"/>
  <c r="Y20" i="47"/>
  <c r="X20" i="51"/>
  <c r="Y20" i="51"/>
  <c r="X20" i="54"/>
  <c r="Y20" i="54"/>
  <c r="AA20" i="57"/>
  <c r="Z20" i="44"/>
  <c r="AA20" i="44"/>
  <c r="Z20" i="47"/>
  <c r="AA20" i="47"/>
  <c r="Z20" i="51"/>
  <c r="AA20" i="51"/>
  <c r="Z20" i="54"/>
  <c r="AA20" i="54"/>
  <c r="AC20" i="57"/>
  <c r="AB20" i="44"/>
  <c r="AC20" i="44"/>
  <c r="AB20" i="47"/>
  <c r="AC20" i="47"/>
  <c r="AB20" i="51"/>
  <c r="AC20" i="51"/>
  <c r="AB20" i="54"/>
  <c r="AC20" i="54"/>
  <c r="AE20" i="57"/>
  <c r="AD20" i="44"/>
  <c r="AE20" i="44"/>
  <c r="AD20" i="47"/>
  <c r="I24" i="49" s="1"/>
  <c r="AE20" i="47"/>
  <c r="I72" i="49" s="1"/>
  <c r="AD20" i="51"/>
  <c r="I26" i="52" s="1"/>
  <c r="AE20" i="51"/>
  <c r="I88" i="52" s="1"/>
  <c r="AD20" i="54"/>
  <c r="J24" i="56" s="1"/>
  <c r="AE20" i="54"/>
  <c r="J73" i="56" s="1"/>
  <c r="AG20" i="57"/>
  <c r="J72" i="59" s="1"/>
  <c r="AF20" i="44"/>
  <c r="AG20" i="44"/>
  <c r="AF20" i="47"/>
  <c r="AG20" i="47"/>
  <c r="AF20" i="51"/>
  <c r="AG20" i="51"/>
  <c r="AF20" i="54"/>
  <c r="AG20" i="54"/>
  <c r="AI20" i="57"/>
  <c r="AI20" i="44"/>
  <c r="AH20" i="47"/>
  <c r="S24" i="49" s="1"/>
  <c r="AI20" i="47"/>
  <c r="S72" i="49" s="1"/>
  <c r="AH20" i="51"/>
  <c r="AI20" i="51"/>
  <c r="AH20" i="54"/>
  <c r="AI20" i="54"/>
  <c r="AK20" i="57"/>
  <c r="AJ20" i="44"/>
  <c r="AK20" i="44"/>
  <c r="AJ20" i="47"/>
  <c r="C24" i="49" s="1"/>
  <c r="AK20" i="47"/>
  <c r="C72" i="49" s="1"/>
  <c r="AJ20" i="51"/>
  <c r="E26" i="52" s="1"/>
  <c r="AK20" i="51"/>
  <c r="E88" i="52" s="1"/>
  <c r="AJ20" i="54"/>
  <c r="C24" i="56" s="1"/>
  <c r="AK20" i="54"/>
  <c r="C73" i="56" s="1"/>
  <c r="AM20" i="57"/>
  <c r="AL20" i="44"/>
  <c r="E24" i="45" s="1"/>
  <c r="AM20" i="44"/>
  <c r="E72" i="45" s="1"/>
  <c r="AL20" i="47"/>
  <c r="E24" i="49" s="1"/>
  <c r="AM20" i="47"/>
  <c r="E72" i="49" s="1"/>
  <c r="AL20" i="51"/>
  <c r="G26" i="52" s="1"/>
  <c r="AM20" i="51"/>
  <c r="G88" i="52" s="1"/>
  <c r="AL20" i="54"/>
  <c r="E24" i="56" s="1"/>
  <c r="AM20" i="54"/>
  <c r="E73" i="56" s="1"/>
  <c r="AO20" i="57"/>
  <c r="AN20" i="47"/>
  <c r="D24" i="49" s="1"/>
  <c r="AO20" i="47"/>
  <c r="D72" i="49" s="1"/>
  <c r="AN20" i="54"/>
  <c r="G24" i="56" s="1"/>
  <c r="AO20" i="54"/>
  <c r="G73" i="56" s="1"/>
  <c r="AQ20" i="57"/>
  <c r="AP20" i="47"/>
  <c r="H24" i="49" s="1"/>
  <c r="AQ20" i="47"/>
  <c r="H72" i="49" s="1"/>
  <c r="AP20" i="51"/>
  <c r="L26" i="52" s="1"/>
  <c r="AQ20" i="51"/>
  <c r="L88" i="52" s="1"/>
  <c r="AP20" i="54"/>
  <c r="F24" i="56" s="1"/>
  <c r="AQ20" i="54"/>
  <c r="F73" i="56" s="1"/>
  <c r="AS20" i="57"/>
  <c r="K72" i="59" s="1"/>
  <c r="AR20" i="47"/>
  <c r="AS20" i="47"/>
  <c r="AR20" i="51"/>
  <c r="AS20" i="51"/>
  <c r="AR20" i="54"/>
  <c r="AS20" i="54"/>
  <c r="AU20" i="57"/>
  <c r="AT20" i="47"/>
  <c r="G24" i="49" s="1"/>
  <c r="AU20" i="47"/>
  <c r="G72" i="49" s="1"/>
  <c r="AT20" i="51"/>
  <c r="F26" i="52" s="1"/>
  <c r="AU20" i="51"/>
  <c r="F88" i="52" s="1"/>
  <c r="AT20" i="54"/>
  <c r="D24" i="56" s="1"/>
  <c r="AU20" i="54"/>
  <c r="D73" i="56" s="1"/>
  <c r="AV20" i="51"/>
  <c r="AW20" i="51"/>
  <c r="AV20" i="54"/>
  <c r="AW20" i="54"/>
  <c r="AY20" i="57"/>
  <c r="AX20" i="51"/>
  <c r="AY20" i="51"/>
  <c r="AX20" i="54"/>
  <c r="AY20" i="54"/>
  <c r="BA20" i="57"/>
  <c r="AZ20" i="51"/>
  <c r="BA20" i="51"/>
  <c r="AZ20" i="54"/>
  <c r="BA20" i="54"/>
  <c r="BC20" i="57"/>
  <c r="BB20" i="51"/>
  <c r="P26" i="52" s="1"/>
  <c r="BC20" i="51"/>
  <c r="P88" i="52" s="1"/>
  <c r="BB20" i="54"/>
  <c r="BC20" i="54"/>
  <c r="BD20" i="51"/>
  <c r="O26" i="52" s="1"/>
  <c r="BE20" i="51"/>
  <c r="O88" i="52" s="1"/>
  <c r="BD20" i="54"/>
  <c r="BE20" i="54"/>
  <c r="BG20" i="57"/>
  <c r="N72" i="59" s="1"/>
  <c r="BF20" i="51"/>
  <c r="Q26" i="52" s="1"/>
  <c r="BG20" i="51"/>
  <c r="Q88" i="52" s="1"/>
  <c r="BF20" i="54"/>
  <c r="BG20" i="54"/>
  <c r="BI20" i="57"/>
  <c r="BH20" i="51"/>
  <c r="BI20" i="51"/>
  <c r="BH20" i="54"/>
  <c r="BI20" i="54"/>
  <c r="BJ20" i="54"/>
  <c r="BK20" i="54"/>
  <c r="BL20" i="54"/>
  <c r="BM20" i="54"/>
  <c r="BP20" i="54"/>
  <c r="L24" i="56" s="1"/>
  <c r="BQ20" i="54"/>
  <c r="L73" i="56" s="1"/>
  <c r="BR20" i="54"/>
  <c r="BS20" i="54"/>
  <c r="BT20" i="54"/>
  <c r="BU20" i="54"/>
  <c r="BV20" i="54"/>
  <c r="BW20" i="54"/>
  <c r="BX20" i="54"/>
  <c r="BY20" i="54"/>
  <c r="F20" i="57"/>
  <c r="H20" i="57"/>
  <c r="E24" i="59" s="1"/>
  <c r="J20" i="57"/>
  <c r="O24" i="59" s="1"/>
  <c r="L20" i="57"/>
  <c r="N20" i="57"/>
  <c r="P20" i="57"/>
  <c r="R20" i="57"/>
  <c r="G24" i="59" s="1"/>
  <c r="T20" i="57"/>
  <c r="V20" i="57"/>
  <c r="L24" i="59" s="1"/>
  <c r="X20" i="57"/>
  <c r="Z20" i="57"/>
  <c r="AB20" i="57"/>
  <c r="AD20" i="57"/>
  <c r="AF20" i="57"/>
  <c r="J24" i="59" s="1"/>
  <c r="AH20" i="57"/>
  <c r="AJ20" i="57"/>
  <c r="AL20" i="57"/>
  <c r="AN20" i="57"/>
  <c r="AP20" i="57"/>
  <c r="AT20" i="57"/>
  <c r="AV20" i="57"/>
  <c r="AX20" i="57"/>
  <c r="BB20" i="57"/>
  <c r="BD20" i="57"/>
  <c r="BF20" i="57"/>
  <c r="N24" i="59" s="1"/>
  <c r="D20" i="57"/>
  <c r="D24" i="59" s="1"/>
  <c r="E19" i="57"/>
  <c r="D19" i="44"/>
  <c r="E19" i="44"/>
  <c r="H71" i="45" s="1"/>
  <c r="D19" i="47"/>
  <c r="M23" i="49" s="1"/>
  <c r="E19" i="47"/>
  <c r="M71" i="49" s="1"/>
  <c r="D19" i="51"/>
  <c r="H25" i="52" s="1"/>
  <c r="E19" i="51"/>
  <c r="H87" i="52" s="1"/>
  <c r="D19" i="54"/>
  <c r="K23" i="56" s="1"/>
  <c r="E19" i="54"/>
  <c r="K72" i="56" s="1"/>
  <c r="G19" i="57"/>
  <c r="F19" i="44"/>
  <c r="G19" i="44"/>
  <c r="F19" i="47"/>
  <c r="K23" i="49" s="1"/>
  <c r="G19" i="47"/>
  <c r="K71" i="49" s="1"/>
  <c r="F19" i="51"/>
  <c r="G19" i="51"/>
  <c r="F19" i="54"/>
  <c r="I23" i="56" s="1"/>
  <c r="G19" i="54"/>
  <c r="I72" i="56" s="1"/>
  <c r="I19" i="57"/>
  <c r="H19" i="44"/>
  <c r="J23" i="45" s="1"/>
  <c r="I19" i="44"/>
  <c r="J71" i="45" s="1"/>
  <c r="H19" i="47"/>
  <c r="I19" i="47"/>
  <c r="H19" i="51"/>
  <c r="I19" i="51"/>
  <c r="H19" i="54"/>
  <c r="I19" i="54"/>
  <c r="K19" i="57"/>
  <c r="O71" i="59" s="1"/>
  <c r="J19" i="44"/>
  <c r="K19" i="44"/>
  <c r="J19" i="47"/>
  <c r="K19" i="47"/>
  <c r="J19" i="51"/>
  <c r="K19" i="51"/>
  <c r="J19" i="54"/>
  <c r="K19" i="54"/>
  <c r="M19" i="57"/>
  <c r="L19" i="44"/>
  <c r="M19" i="44"/>
  <c r="L19" i="47"/>
  <c r="L23" i="49" s="1"/>
  <c r="M19" i="47"/>
  <c r="L71" i="49" s="1"/>
  <c r="L19" i="51"/>
  <c r="M25" i="52" s="1"/>
  <c r="M19" i="51"/>
  <c r="M87" i="52" s="1"/>
  <c r="L19" i="54"/>
  <c r="M19" i="54"/>
  <c r="O19" i="57"/>
  <c r="E71" i="59" s="1"/>
  <c r="N19" i="44"/>
  <c r="U23" i="45" s="1"/>
  <c r="O19" i="44"/>
  <c r="U71" i="45" s="1"/>
  <c r="N19" i="47"/>
  <c r="O19" i="47"/>
  <c r="N19" i="51"/>
  <c r="O19" i="51"/>
  <c r="N19" i="54"/>
  <c r="O19" i="54"/>
  <c r="Q19" i="57"/>
  <c r="P19" i="44"/>
  <c r="Q19" i="44"/>
  <c r="P19" i="47"/>
  <c r="F23" i="49" s="1"/>
  <c r="Q19" i="47"/>
  <c r="F71" i="49" s="1"/>
  <c r="P19" i="51"/>
  <c r="K25" i="52" s="1"/>
  <c r="Q19" i="51"/>
  <c r="K87" i="52" s="1"/>
  <c r="P19" i="54"/>
  <c r="H23" i="56" s="1"/>
  <c r="Q19" i="54"/>
  <c r="H72" i="56" s="1"/>
  <c r="S19" i="57"/>
  <c r="G71" i="59" s="1"/>
  <c r="R19" i="44"/>
  <c r="G23" i="45" s="1"/>
  <c r="S19" i="44"/>
  <c r="G71" i="45" s="1"/>
  <c r="R19" i="47"/>
  <c r="S19" i="47"/>
  <c r="R19" i="51"/>
  <c r="S19" i="51"/>
  <c r="R19" i="54"/>
  <c r="S19" i="54"/>
  <c r="U19" i="57"/>
  <c r="T19" i="44"/>
  <c r="S23" i="45" s="1"/>
  <c r="U19" i="44"/>
  <c r="S71" i="45" s="1"/>
  <c r="T19" i="47"/>
  <c r="U19" i="47"/>
  <c r="T19" i="51"/>
  <c r="U19" i="51"/>
  <c r="T19" i="54"/>
  <c r="U19" i="54"/>
  <c r="W19" i="57"/>
  <c r="L71" i="59" s="1"/>
  <c r="V19" i="44"/>
  <c r="W19" i="44"/>
  <c r="W19" i="47"/>
  <c r="V19" i="51"/>
  <c r="W19" i="51"/>
  <c r="V19" i="54"/>
  <c r="W19" i="54"/>
  <c r="Y19" i="57"/>
  <c r="X19" i="44"/>
  <c r="Y19" i="44"/>
  <c r="X19" i="47"/>
  <c r="Y19" i="47"/>
  <c r="X19" i="51"/>
  <c r="Y19" i="51"/>
  <c r="X19" i="54"/>
  <c r="Y19" i="54"/>
  <c r="AA19" i="57"/>
  <c r="AA19" i="44"/>
  <c r="Z19" i="47"/>
  <c r="AA19" i="47"/>
  <c r="Z19" i="51"/>
  <c r="AA19" i="51"/>
  <c r="Z19" i="54"/>
  <c r="AA19" i="54"/>
  <c r="AC19" i="57"/>
  <c r="AB19" i="44"/>
  <c r="AC19" i="44"/>
  <c r="AB19" i="47"/>
  <c r="AC19" i="47"/>
  <c r="AB19" i="51"/>
  <c r="AC19" i="51"/>
  <c r="AB19" i="54"/>
  <c r="AC19" i="54"/>
  <c r="AE19" i="57"/>
  <c r="AD19" i="44"/>
  <c r="AE19" i="44"/>
  <c r="AD19" i="47"/>
  <c r="I23" i="49" s="1"/>
  <c r="AE19" i="47"/>
  <c r="I71" i="49" s="1"/>
  <c r="AD19" i="51"/>
  <c r="I25" i="52" s="1"/>
  <c r="AE19" i="51"/>
  <c r="I87" i="52" s="1"/>
  <c r="AD19" i="54"/>
  <c r="J23" i="56" s="1"/>
  <c r="AE19" i="54"/>
  <c r="J72" i="56" s="1"/>
  <c r="AF19" i="44"/>
  <c r="AG19" i="44"/>
  <c r="AF19" i="47"/>
  <c r="AG19" i="47"/>
  <c r="AF19" i="51"/>
  <c r="AG19" i="51"/>
  <c r="AF19" i="54"/>
  <c r="AG19" i="54"/>
  <c r="AI19" i="57"/>
  <c r="AH19" i="44"/>
  <c r="AI19" i="44"/>
  <c r="AH19" i="47"/>
  <c r="S23" i="49" s="1"/>
  <c r="AI19" i="47"/>
  <c r="S71" i="49" s="1"/>
  <c r="AH19" i="51"/>
  <c r="AI19" i="51"/>
  <c r="AH19" i="54"/>
  <c r="AI19" i="54"/>
  <c r="AK19" i="57"/>
  <c r="AJ19" i="44"/>
  <c r="AK19" i="44"/>
  <c r="AJ19" i="47"/>
  <c r="C23" i="49" s="1"/>
  <c r="AK19" i="47"/>
  <c r="C71" i="49" s="1"/>
  <c r="AJ19" i="51"/>
  <c r="E25" i="52" s="1"/>
  <c r="AK19" i="51"/>
  <c r="E87" i="52" s="1"/>
  <c r="AJ19" i="54"/>
  <c r="C23" i="56" s="1"/>
  <c r="AK19" i="54"/>
  <c r="C72" i="56" s="1"/>
  <c r="AM19" i="57"/>
  <c r="AL19" i="44"/>
  <c r="E23" i="45" s="1"/>
  <c r="AM19" i="44"/>
  <c r="E71" i="45" s="1"/>
  <c r="AM19" i="47"/>
  <c r="E71" i="49" s="1"/>
  <c r="AL19" i="51"/>
  <c r="G25" i="52" s="1"/>
  <c r="AM19" i="51"/>
  <c r="G87" i="52" s="1"/>
  <c r="AL19" i="54"/>
  <c r="E23" i="56" s="1"/>
  <c r="AM19" i="54"/>
  <c r="E72" i="56" s="1"/>
  <c r="AN19" i="47"/>
  <c r="D23" i="49" s="1"/>
  <c r="AO19" i="47"/>
  <c r="D71" i="49" s="1"/>
  <c r="AN19" i="54"/>
  <c r="G23" i="56" s="1"/>
  <c r="AO19" i="54"/>
  <c r="G72" i="56" s="1"/>
  <c r="AQ19" i="57"/>
  <c r="AP19" i="47"/>
  <c r="H23" i="49" s="1"/>
  <c r="AQ19" i="47"/>
  <c r="H71" i="49" s="1"/>
  <c r="AP19" i="51"/>
  <c r="L25" i="52" s="1"/>
  <c r="AQ19" i="51"/>
  <c r="L87" i="52" s="1"/>
  <c r="AP19" i="54"/>
  <c r="F23" i="56" s="1"/>
  <c r="AQ19" i="54"/>
  <c r="F72" i="56" s="1"/>
  <c r="AS19" i="57"/>
  <c r="K71" i="59" s="1"/>
  <c r="AR19" i="47"/>
  <c r="AS19" i="47"/>
  <c r="AR19" i="51"/>
  <c r="AS19" i="51"/>
  <c r="AR19" i="54"/>
  <c r="AS19" i="54"/>
  <c r="AU19" i="57"/>
  <c r="AU19" i="47"/>
  <c r="G71" i="49" s="1"/>
  <c r="AT19" i="51"/>
  <c r="F25" i="52" s="1"/>
  <c r="AU19" i="51"/>
  <c r="F87" i="52" s="1"/>
  <c r="AT19" i="54"/>
  <c r="D23" i="56" s="1"/>
  <c r="AU19" i="54"/>
  <c r="D72" i="56" s="1"/>
  <c r="AV19" i="51"/>
  <c r="AW19" i="51"/>
  <c r="AV19" i="54"/>
  <c r="AW19" i="54"/>
  <c r="AY19" i="57"/>
  <c r="AX19" i="51"/>
  <c r="AY19" i="51"/>
  <c r="AX19" i="54"/>
  <c r="AY19" i="54"/>
  <c r="BA19" i="57"/>
  <c r="AZ19" i="51"/>
  <c r="BA19" i="51"/>
  <c r="AZ19" i="54"/>
  <c r="BA19" i="54"/>
  <c r="BC19" i="57"/>
  <c r="BB19" i="51"/>
  <c r="P25" i="52" s="1"/>
  <c r="BC19" i="51"/>
  <c r="P87" i="52" s="1"/>
  <c r="BB19" i="54"/>
  <c r="BC19" i="54"/>
  <c r="BD19" i="51"/>
  <c r="O25" i="52" s="1"/>
  <c r="BE19" i="51"/>
  <c r="O87" i="52" s="1"/>
  <c r="BD19" i="54"/>
  <c r="BE19" i="54"/>
  <c r="BG19" i="57"/>
  <c r="N71" i="59" s="1"/>
  <c r="BF19" i="51"/>
  <c r="Q25" i="52" s="1"/>
  <c r="BG19" i="51"/>
  <c r="Q87" i="52" s="1"/>
  <c r="BF19" i="54"/>
  <c r="BG19" i="54"/>
  <c r="BI19" i="57"/>
  <c r="BH19" i="51"/>
  <c r="BI19" i="51"/>
  <c r="BH19" i="54"/>
  <c r="BI19" i="54"/>
  <c r="BJ19" i="54"/>
  <c r="BK19" i="54"/>
  <c r="BL19" i="54"/>
  <c r="BM19" i="54"/>
  <c r="BP19" i="54"/>
  <c r="L23" i="56" s="1"/>
  <c r="BQ19" i="54"/>
  <c r="L72" i="56" s="1"/>
  <c r="BR19" i="54"/>
  <c r="BS19" i="54"/>
  <c r="BT19" i="54"/>
  <c r="BU19" i="54"/>
  <c r="BV19" i="54"/>
  <c r="BW19" i="54"/>
  <c r="BX19" i="54"/>
  <c r="BY19" i="54"/>
  <c r="F19" i="57"/>
  <c r="H19" i="57"/>
  <c r="E23" i="59" s="1"/>
  <c r="J19" i="57"/>
  <c r="O23" i="59" s="1"/>
  <c r="N19" i="57"/>
  <c r="P19" i="57"/>
  <c r="R19" i="57"/>
  <c r="G23" i="59" s="1"/>
  <c r="T19" i="57"/>
  <c r="V19" i="57"/>
  <c r="L23" i="59" s="1"/>
  <c r="X19" i="57"/>
  <c r="Z19" i="57"/>
  <c r="AD19" i="57"/>
  <c r="AF19" i="57"/>
  <c r="J23" i="59" s="1"/>
  <c r="AH19" i="57"/>
  <c r="AL19" i="57"/>
  <c r="AN19" i="57"/>
  <c r="AP19" i="57"/>
  <c r="AT19" i="57"/>
  <c r="AV19" i="57"/>
  <c r="AX19" i="57"/>
  <c r="BB19" i="57"/>
  <c r="BD19" i="57"/>
  <c r="BF19" i="57"/>
  <c r="N23" i="59" s="1"/>
  <c r="D19" i="57"/>
  <c r="D23" i="59" s="1"/>
  <c r="E18" i="57"/>
  <c r="D18" i="44"/>
  <c r="D18" i="47"/>
  <c r="M22" i="49" s="1"/>
  <c r="E18" i="47"/>
  <c r="M70" i="49" s="1"/>
  <c r="D18" i="51"/>
  <c r="H24" i="52" s="1"/>
  <c r="D18" i="54"/>
  <c r="K22" i="56" s="1"/>
  <c r="E18" i="54"/>
  <c r="K71" i="56" s="1"/>
  <c r="G18" i="57"/>
  <c r="F18" i="44"/>
  <c r="G18" i="44"/>
  <c r="G18" i="47"/>
  <c r="K70" i="49" s="1"/>
  <c r="F18" i="51"/>
  <c r="G18" i="51"/>
  <c r="G18" i="54"/>
  <c r="I71" i="56" s="1"/>
  <c r="I18" i="57"/>
  <c r="H18" i="44"/>
  <c r="J22" i="45" s="1"/>
  <c r="I18" i="44"/>
  <c r="J70" i="45" s="1"/>
  <c r="H18" i="47"/>
  <c r="I18" i="47"/>
  <c r="H18" i="51"/>
  <c r="I18" i="51"/>
  <c r="H18" i="54"/>
  <c r="I18" i="54"/>
  <c r="K18" i="57"/>
  <c r="O70" i="59" s="1"/>
  <c r="K18" i="44"/>
  <c r="J18" i="47"/>
  <c r="K18" i="47"/>
  <c r="K18" i="51"/>
  <c r="J18" i="54"/>
  <c r="K18" i="54"/>
  <c r="M18" i="57"/>
  <c r="L18" i="44"/>
  <c r="M18" i="44"/>
  <c r="L18" i="47"/>
  <c r="L22" i="49" s="1"/>
  <c r="M18" i="47"/>
  <c r="L70" i="49" s="1"/>
  <c r="L18" i="51"/>
  <c r="M24" i="52" s="1"/>
  <c r="M18" i="51"/>
  <c r="M86" i="52" s="1"/>
  <c r="L18" i="54"/>
  <c r="M18" i="54"/>
  <c r="O18" i="57"/>
  <c r="E70" i="59" s="1"/>
  <c r="N18" i="44"/>
  <c r="U22" i="45" s="1"/>
  <c r="O18" i="44"/>
  <c r="U70" i="45" s="1"/>
  <c r="N18" i="47"/>
  <c r="O18" i="47"/>
  <c r="N18" i="51"/>
  <c r="O18" i="51"/>
  <c r="N18" i="54"/>
  <c r="O18" i="54"/>
  <c r="P18" i="44"/>
  <c r="Q18" i="44"/>
  <c r="P18" i="47"/>
  <c r="F22" i="49" s="1"/>
  <c r="Q18" i="47"/>
  <c r="F70" i="49" s="1"/>
  <c r="P18" i="51"/>
  <c r="K24" i="52" s="1"/>
  <c r="Q18" i="51"/>
  <c r="K86" i="52" s="1"/>
  <c r="P18" i="54"/>
  <c r="H22" i="56" s="1"/>
  <c r="Q18" i="54"/>
  <c r="H71" i="56" s="1"/>
  <c r="S18" i="57"/>
  <c r="G70" i="59" s="1"/>
  <c r="S18" i="44"/>
  <c r="G70" i="45" s="1"/>
  <c r="R18" i="47"/>
  <c r="S18" i="47"/>
  <c r="R18" i="51"/>
  <c r="S18" i="51"/>
  <c r="R18" i="54"/>
  <c r="S18" i="54"/>
  <c r="U18" i="57"/>
  <c r="T18" i="44"/>
  <c r="S22" i="45" s="1"/>
  <c r="T18" i="47"/>
  <c r="U18" i="47"/>
  <c r="T18" i="51"/>
  <c r="U18" i="51"/>
  <c r="T18" i="54"/>
  <c r="U18" i="54"/>
  <c r="W18" i="57"/>
  <c r="L70" i="59" s="1"/>
  <c r="V18" i="44"/>
  <c r="W18" i="44"/>
  <c r="V18" i="47"/>
  <c r="W18" i="47"/>
  <c r="V18" i="51"/>
  <c r="W18" i="51"/>
  <c r="V18" i="54"/>
  <c r="W18" i="54"/>
  <c r="X18" i="44"/>
  <c r="Y18" i="44"/>
  <c r="X18" i="47"/>
  <c r="Y18" i="47"/>
  <c r="X18" i="51"/>
  <c r="Y18" i="51"/>
  <c r="X18" i="54"/>
  <c r="Y18" i="54"/>
  <c r="AA18" i="57"/>
  <c r="AA18" i="44"/>
  <c r="Z18" i="47"/>
  <c r="AA18" i="47"/>
  <c r="Z18" i="51"/>
  <c r="AA18" i="51"/>
  <c r="Z18" i="54"/>
  <c r="AA18" i="54"/>
  <c r="AC18" i="57"/>
  <c r="AB18" i="44"/>
  <c r="AB18" i="47"/>
  <c r="AC18" i="47"/>
  <c r="AB18" i="51"/>
  <c r="AC18" i="51"/>
  <c r="AB18" i="54"/>
  <c r="AC18" i="54"/>
  <c r="AE18" i="57"/>
  <c r="AD18" i="44"/>
  <c r="AE18" i="44"/>
  <c r="AD18" i="47"/>
  <c r="I22" i="49" s="1"/>
  <c r="AE18" i="47"/>
  <c r="I70" i="49" s="1"/>
  <c r="AD18" i="51"/>
  <c r="I24" i="52" s="1"/>
  <c r="AE18" i="51"/>
  <c r="I86" i="52" s="1"/>
  <c r="AD18" i="54"/>
  <c r="J22" i="56" s="1"/>
  <c r="AE18" i="54"/>
  <c r="J71" i="56" s="1"/>
  <c r="AG18" i="57"/>
  <c r="J70" i="59" s="1"/>
  <c r="AF18" i="44"/>
  <c r="AG18" i="44"/>
  <c r="AF18" i="47"/>
  <c r="AG18" i="47"/>
  <c r="AF18" i="51"/>
  <c r="AG18" i="51"/>
  <c r="AF18" i="54"/>
  <c r="AG18" i="54"/>
  <c r="AI18" i="57"/>
  <c r="AI18" i="44"/>
  <c r="AH18" i="47"/>
  <c r="S22" i="49" s="1"/>
  <c r="AI18" i="47"/>
  <c r="S70" i="49" s="1"/>
  <c r="AH18" i="51"/>
  <c r="AI18" i="51"/>
  <c r="AH18" i="54"/>
  <c r="AI18" i="54"/>
  <c r="AK18" i="57"/>
  <c r="AJ18" i="44"/>
  <c r="AJ18" i="47"/>
  <c r="C22" i="49" s="1"/>
  <c r="AK18" i="47"/>
  <c r="C70" i="49" s="1"/>
  <c r="AJ18" i="54"/>
  <c r="C22" i="56" s="1"/>
  <c r="AK18" i="54"/>
  <c r="C71" i="56" s="1"/>
  <c r="AM18" i="57"/>
  <c r="AL18" i="44"/>
  <c r="E22" i="45" s="1"/>
  <c r="AM18" i="44"/>
  <c r="E70" i="45" s="1"/>
  <c r="AM18" i="47"/>
  <c r="E70" i="49" s="1"/>
  <c r="AL18" i="51"/>
  <c r="G24" i="52" s="1"/>
  <c r="AM18" i="51"/>
  <c r="G86" i="52" s="1"/>
  <c r="AL18" i="54"/>
  <c r="E22" i="56" s="1"/>
  <c r="AM18" i="54"/>
  <c r="E71" i="56" s="1"/>
  <c r="AN18" i="47"/>
  <c r="D22" i="49" s="1"/>
  <c r="AO18" i="47"/>
  <c r="D70" i="49" s="1"/>
  <c r="AN18" i="51"/>
  <c r="J24" i="52" s="1"/>
  <c r="AO18" i="51"/>
  <c r="J86" i="52" s="1"/>
  <c r="AN18" i="54"/>
  <c r="G22" i="56" s="1"/>
  <c r="AO18" i="54"/>
  <c r="G71" i="56" s="1"/>
  <c r="AQ18" i="57"/>
  <c r="AP18" i="47"/>
  <c r="H22" i="49" s="1"/>
  <c r="AQ18" i="47"/>
  <c r="H70" i="49" s="1"/>
  <c r="AP18" i="51"/>
  <c r="L24" i="52" s="1"/>
  <c r="AQ18" i="51"/>
  <c r="L86" i="52" s="1"/>
  <c r="AP18" i="54"/>
  <c r="F22" i="56" s="1"/>
  <c r="AQ18" i="54"/>
  <c r="F71" i="56" s="1"/>
  <c r="AS18" i="57"/>
  <c r="K70" i="59" s="1"/>
  <c r="AR18" i="47"/>
  <c r="AS18" i="47"/>
  <c r="AR18" i="51"/>
  <c r="AS18" i="51"/>
  <c r="AR18" i="54"/>
  <c r="AS18" i="54"/>
  <c r="AU18" i="57"/>
  <c r="AU18" i="47"/>
  <c r="G70" i="49" s="1"/>
  <c r="AT18" i="51"/>
  <c r="F24" i="52" s="1"/>
  <c r="AU18" i="51"/>
  <c r="F86" i="52" s="1"/>
  <c r="AT18" i="54"/>
  <c r="D22" i="56" s="1"/>
  <c r="AU18" i="54"/>
  <c r="D71" i="56" s="1"/>
  <c r="AV18" i="51"/>
  <c r="AW18" i="51"/>
  <c r="AV18" i="54"/>
  <c r="AW18" i="54"/>
  <c r="AY18" i="57"/>
  <c r="AX18" i="51"/>
  <c r="AY18" i="51"/>
  <c r="AX18" i="54"/>
  <c r="AY18" i="54"/>
  <c r="BA18" i="57"/>
  <c r="AZ18" i="51"/>
  <c r="BA18" i="51"/>
  <c r="AZ18" i="54"/>
  <c r="BA18" i="54"/>
  <c r="BC18" i="57"/>
  <c r="BB18" i="51"/>
  <c r="P24" i="52" s="1"/>
  <c r="BC18" i="51"/>
  <c r="P86" i="52" s="1"/>
  <c r="BB18" i="54"/>
  <c r="BC18" i="54"/>
  <c r="BD18" i="51"/>
  <c r="O24" i="52" s="1"/>
  <c r="BE18" i="51"/>
  <c r="O86" i="52" s="1"/>
  <c r="BD18" i="54"/>
  <c r="BE18" i="54"/>
  <c r="BG18" i="57"/>
  <c r="N70" i="59" s="1"/>
  <c r="BF18" i="51"/>
  <c r="Q24" i="52" s="1"/>
  <c r="BG18" i="51"/>
  <c r="Q86" i="52" s="1"/>
  <c r="BF18" i="54"/>
  <c r="BG18" i="54"/>
  <c r="BI18" i="57"/>
  <c r="BH18" i="51"/>
  <c r="BI18" i="51"/>
  <c r="BH18" i="54"/>
  <c r="BI18" i="54"/>
  <c r="BJ18" i="54"/>
  <c r="BK18" i="54"/>
  <c r="BL18" i="54"/>
  <c r="BM18" i="54"/>
  <c r="BP18" i="54"/>
  <c r="L22" i="56" s="1"/>
  <c r="BQ18" i="54"/>
  <c r="L71" i="56" s="1"/>
  <c r="BR18" i="54"/>
  <c r="BS18" i="54"/>
  <c r="BT18" i="54"/>
  <c r="BU18" i="54"/>
  <c r="BV18" i="54"/>
  <c r="BW18" i="54"/>
  <c r="BX18" i="54"/>
  <c r="F18" i="57"/>
  <c r="H18" i="57"/>
  <c r="E22" i="59" s="1"/>
  <c r="J18" i="57"/>
  <c r="O22" i="59" s="1"/>
  <c r="N18" i="57"/>
  <c r="P18" i="57"/>
  <c r="R18" i="57"/>
  <c r="G22" i="59" s="1"/>
  <c r="T18" i="57"/>
  <c r="V18" i="57"/>
  <c r="L22" i="59" s="1"/>
  <c r="X18" i="57"/>
  <c r="Z18" i="57"/>
  <c r="AB18" i="57"/>
  <c r="AD18" i="57"/>
  <c r="AF18" i="57"/>
  <c r="J22" i="59" s="1"/>
  <c r="AH18" i="57"/>
  <c r="AJ18" i="57"/>
  <c r="AL18" i="57"/>
  <c r="AN18" i="57"/>
  <c r="AP18" i="57"/>
  <c r="AT18" i="57"/>
  <c r="AV18" i="57"/>
  <c r="AX18" i="57"/>
  <c r="AZ18" i="57"/>
  <c r="BB18" i="57"/>
  <c r="BD18" i="57"/>
  <c r="BF18" i="57"/>
  <c r="N22" i="59" s="1"/>
  <c r="BH18" i="57"/>
  <c r="D18" i="57"/>
  <c r="D22" i="59" s="1"/>
  <c r="E17" i="57"/>
  <c r="D17" i="44"/>
  <c r="D17" i="47"/>
  <c r="M21" i="49" s="1"/>
  <c r="E17" i="47"/>
  <c r="M69" i="49" s="1"/>
  <c r="D17" i="51"/>
  <c r="H23" i="52" s="1"/>
  <c r="E17" i="51"/>
  <c r="H85" i="52" s="1"/>
  <c r="D17" i="54"/>
  <c r="K21" i="56" s="1"/>
  <c r="E17" i="54"/>
  <c r="K70" i="56" s="1"/>
  <c r="G17" i="57"/>
  <c r="F17" i="44"/>
  <c r="G17" i="44"/>
  <c r="G17" i="47"/>
  <c r="K69" i="49" s="1"/>
  <c r="F17" i="51"/>
  <c r="G17" i="51"/>
  <c r="G17" i="54"/>
  <c r="I70" i="56" s="1"/>
  <c r="I17" i="57"/>
  <c r="H17" i="44"/>
  <c r="J21" i="45" s="1"/>
  <c r="I17" i="44"/>
  <c r="J69" i="45" s="1"/>
  <c r="H17" i="47"/>
  <c r="I17" i="47"/>
  <c r="H17" i="51"/>
  <c r="I17" i="51"/>
  <c r="H17" i="54"/>
  <c r="I17" i="54"/>
  <c r="K17" i="57"/>
  <c r="O69" i="59" s="1"/>
  <c r="K17" i="44"/>
  <c r="J17" i="47"/>
  <c r="K17" i="47"/>
  <c r="K17" i="51"/>
  <c r="J17" i="54"/>
  <c r="K17" i="54"/>
  <c r="M17" i="57"/>
  <c r="L17" i="44"/>
  <c r="M17" i="44"/>
  <c r="L17" i="47"/>
  <c r="L21" i="49" s="1"/>
  <c r="M17" i="47"/>
  <c r="L69" i="49" s="1"/>
  <c r="L17" i="51"/>
  <c r="M23" i="52" s="1"/>
  <c r="M17" i="51"/>
  <c r="M85" i="52" s="1"/>
  <c r="L17" i="54"/>
  <c r="M17" i="54"/>
  <c r="O17" i="57"/>
  <c r="E69" i="59" s="1"/>
  <c r="N17" i="44"/>
  <c r="U21" i="45" s="1"/>
  <c r="O17" i="44"/>
  <c r="U69" i="45" s="1"/>
  <c r="N17" i="47"/>
  <c r="O17" i="47"/>
  <c r="N17" i="51"/>
  <c r="O17" i="51"/>
  <c r="N17" i="54"/>
  <c r="O17" i="54"/>
  <c r="P17" i="44"/>
  <c r="Q17" i="44"/>
  <c r="P17" i="47"/>
  <c r="F21" i="49" s="1"/>
  <c r="Q17" i="47"/>
  <c r="F69" i="49" s="1"/>
  <c r="P17" i="51"/>
  <c r="K23" i="52" s="1"/>
  <c r="Q17" i="51"/>
  <c r="K85" i="52" s="1"/>
  <c r="P17" i="54"/>
  <c r="H21" i="56" s="1"/>
  <c r="Q17" i="54"/>
  <c r="H70" i="56" s="1"/>
  <c r="S17" i="57"/>
  <c r="G69" i="59" s="1"/>
  <c r="S17" i="44"/>
  <c r="G69" i="45" s="1"/>
  <c r="R17" i="47"/>
  <c r="S17" i="47"/>
  <c r="R17" i="51"/>
  <c r="S17" i="51"/>
  <c r="R17" i="54"/>
  <c r="S17" i="54"/>
  <c r="U17" i="57"/>
  <c r="T17" i="44"/>
  <c r="S21" i="45" s="1"/>
  <c r="T17" i="47"/>
  <c r="U17" i="47"/>
  <c r="T17" i="51"/>
  <c r="U17" i="51"/>
  <c r="T17" i="54"/>
  <c r="U17" i="54"/>
  <c r="W17" i="57"/>
  <c r="L69" i="59" s="1"/>
  <c r="V17" i="44"/>
  <c r="W17" i="44"/>
  <c r="W17" i="47"/>
  <c r="V17" i="51"/>
  <c r="W17" i="51"/>
  <c r="V17" i="54"/>
  <c r="W17" i="54"/>
  <c r="X17" i="44"/>
  <c r="Y17" i="44"/>
  <c r="X17" i="47"/>
  <c r="Y17" i="47"/>
  <c r="X17" i="51"/>
  <c r="Y17" i="51"/>
  <c r="X17" i="54"/>
  <c r="Y17" i="54"/>
  <c r="AA17" i="57"/>
  <c r="AA17" i="44"/>
  <c r="Z17" i="47"/>
  <c r="AA17" i="47"/>
  <c r="Z17" i="51"/>
  <c r="AA17" i="51"/>
  <c r="Z17" i="54"/>
  <c r="AA17" i="54"/>
  <c r="AC17" i="57"/>
  <c r="AB17" i="44"/>
  <c r="AB17" i="47"/>
  <c r="AC17" i="47"/>
  <c r="AB17" i="51"/>
  <c r="AC17" i="51"/>
  <c r="AB17" i="54"/>
  <c r="AC17" i="54"/>
  <c r="AE17" i="57"/>
  <c r="AD17" i="44"/>
  <c r="AE17" i="44"/>
  <c r="AD17" i="47"/>
  <c r="I21" i="49" s="1"/>
  <c r="AE17" i="47"/>
  <c r="I69" i="49" s="1"/>
  <c r="AD17" i="51"/>
  <c r="I23" i="52" s="1"/>
  <c r="AE17" i="51"/>
  <c r="I85" i="52" s="1"/>
  <c r="AD17" i="54"/>
  <c r="J21" i="56" s="1"/>
  <c r="AE17" i="54"/>
  <c r="J70" i="56" s="1"/>
  <c r="AF17" i="44"/>
  <c r="AG17" i="44"/>
  <c r="AF17" i="47"/>
  <c r="AG17" i="47"/>
  <c r="AF17" i="51"/>
  <c r="AG17" i="51"/>
  <c r="AF17" i="54"/>
  <c r="AG17" i="54"/>
  <c r="AI17" i="57"/>
  <c r="AI17" i="44"/>
  <c r="AH17" i="47"/>
  <c r="S21" i="49" s="1"/>
  <c r="AI17" i="47"/>
  <c r="S69" i="49" s="1"/>
  <c r="AH17" i="54"/>
  <c r="AI17" i="54"/>
  <c r="AK17" i="57"/>
  <c r="AJ17" i="44"/>
  <c r="AJ17" i="47"/>
  <c r="C21" i="49" s="1"/>
  <c r="AK17" i="47"/>
  <c r="C69" i="49" s="1"/>
  <c r="AJ17" i="54"/>
  <c r="C21" i="56" s="1"/>
  <c r="AK17" i="54"/>
  <c r="C70" i="56" s="1"/>
  <c r="AM17" i="57"/>
  <c r="AL17" i="44"/>
  <c r="E21" i="45" s="1"/>
  <c r="AM17" i="44"/>
  <c r="E69" i="45" s="1"/>
  <c r="AM17" i="47"/>
  <c r="E69" i="49" s="1"/>
  <c r="AL17" i="51"/>
  <c r="G23" i="52" s="1"/>
  <c r="AM17" i="51"/>
  <c r="G85" i="52" s="1"/>
  <c r="AL17" i="54"/>
  <c r="E21" i="56" s="1"/>
  <c r="AM17" i="54"/>
  <c r="E70" i="56" s="1"/>
  <c r="AN17" i="47"/>
  <c r="D21" i="49" s="1"/>
  <c r="AO17" i="47"/>
  <c r="D69" i="49" s="1"/>
  <c r="AN17" i="51"/>
  <c r="J23" i="52" s="1"/>
  <c r="AO17" i="51"/>
  <c r="J85" i="52" s="1"/>
  <c r="AN17" i="54"/>
  <c r="G21" i="56" s="1"/>
  <c r="AO17" i="54"/>
  <c r="G70" i="56" s="1"/>
  <c r="AQ17" i="57"/>
  <c r="AP17" i="47"/>
  <c r="H21" i="49" s="1"/>
  <c r="AQ17" i="47"/>
  <c r="H69" i="49" s="1"/>
  <c r="AP17" i="51"/>
  <c r="L23" i="52" s="1"/>
  <c r="AQ17" i="51"/>
  <c r="L85" i="52" s="1"/>
  <c r="AP17" i="54"/>
  <c r="F21" i="56" s="1"/>
  <c r="AQ17" i="54"/>
  <c r="F70" i="56" s="1"/>
  <c r="AS17" i="57"/>
  <c r="K69" i="59" s="1"/>
  <c r="AR17" i="47"/>
  <c r="AS17" i="47"/>
  <c r="AR17" i="51"/>
  <c r="AS17" i="51"/>
  <c r="AR17" i="54"/>
  <c r="AS17" i="54"/>
  <c r="AU17" i="57"/>
  <c r="AU17" i="47"/>
  <c r="G69" i="49" s="1"/>
  <c r="AT17" i="51"/>
  <c r="F23" i="52" s="1"/>
  <c r="AU17" i="51"/>
  <c r="F85" i="52" s="1"/>
  <c r="AT17" i="54"/>
  <c r="D21" i="56" s="1"/>
  <c r="AU17" i="54"/>
  <c r="D70" i="56" s="1"/>
  <c r="AV17" i="51"/>
  <c r="AW17" i="51"/>
  <c r="AV17" i="54"/>
  <c r="AW17" i="54"/>
  <c r="AY17" i="57"/>
  <c r="AX17" i="51"/>
  <c r="AY17" i="51"/>
  <c r="AX17" i="54"/>
  <c r="AY17" i="54"/>
  <c r="BA17" i="57"/>
  <c r="AZ17" i="51"/>
  <c r="BA17" i="51"/>
  <c r="AZ17" i="54"/>
  <c r="BA17" i="54"/>
  <c r="BC17" i="57"/>
  <c r="BB17" i="51"/>
  <c r="P23" i="52" s="1"/>
  <c r="BC17" i="51"/>
  <c r="P85" i="52" s="1"/>
  <c r="BB17" i="54"/>
  <c r="BC17" i="54"/>
  <c r="BD17" i="51"/>
  <c r="O23" i="52" s="1"/>
  <c r="BE17" i="51"/>
  <c r="O85" i="52" s="1"/>
  <c r="BD17" i="54"/>
  <c r="BE17" i="54"/>
  <c r="BG17" i="57"/>
  <c r="N69" i="59" s="1"/>
  <c r="BF17" i="51"/>
  <c r="Q23" i="52" s="1"/>
  <c r="BG17" i="51"/>
  <c r="Q85" i="52" s="1"/>
  <c r="BF17" i="54"/>
  <c r="BG17" i="54"/>
  <c r="BI17" i="57"/>
  <c r="BH17" i="51"/>
  <c r="BI17" i="51"/>
  <c r="BH17" i="54"/>
  <c r="BI17" i="54"/>
  <c r="BJ17" i="54"/>
  <c r="BK17" i="54"/>
  <c r="BL17" i="54"/>
  <c r="BM17" i="54"/>
  <c r="BP17" i="54"/>
  <c r="L21" i="56" s="1"/>
  <c r="BQ17" i="54"/>
  <c r="L70" i="56" s="1"/>
  <c r="BR17" i="54"/>
  <c r="BS17" i="54"/>
  <c r="BT17" i="54"/>
  <c r="BU17" i="54"/>
  <c r="BV17" i="54"/>
  <c r="BX17" i="54"/>
  <c r="BY17" i="54"/>
  <c r="F17" i="57"/>
  <c r="H17" i="57"/>
  <c r="E21" i="59" s="1"/>
  <c r="J17" i="57"/>
  <c r="O21" i="59" s="1"/>
  <c r="N17" i="57"/>
  <c r="P17" i="57"/>
  <c r="R17" i="57"/>
  <c r="G21" i="59" s="1"/>
  <c r="T17" i="57"/>
  <c r="V17" i="57"/>
  <c r="L21" i="59" s="1"/>
  <c r="X17" i="57"/>
  <c r="Z17" i="57"/>
  <c r="AD17" i="57"/>
  <c r="AF17" i="57"/>
  <c r="J21" i="59" s="1"/>
  <c r="AH17" i="57"/>
  <c r="AL17" i="57"/>
  <c r="AN17" i="57"/>
  <c r="AP17" i="57"/>
  <c r="AT17" i="57"/>
  <c r="AV17" i="57"/>
  <c r="AX17" i="57"/>
  <c r="BB17" i="57"/>
  <c r="BD17" i="57"/>
  <c r="BF17" i="57"/>
  <c r="N21" i="59" s="1"/>
  <c r="D17" i="57"/>
  <c r="D21" i="59" s="1"/>
  <c r="E16" i="57"/>
  <c r="D16" i="44"/>
  <c r="E16" i="44"/>
  <c r="H68" i="45" s="1"/>
  <c r="D16" i="47"/>
  <c r="M20" i="49" s="1"/>
  <c r="E16" i="47"/>
  <c r="M68" i="49" s="1"/>
  <c r="D16" i="51"/>
  <c r="H22" i="52" s="1"/>
  <c r="E16" i="51"/>
  <c r="H84" i="52" s="1"/>
  <c r="D16" i="54"/>
  <c r="K20" i="56" s="1"/>
  <c r="E16" i="54"/>
  <c r="K69" i="56" s="1"/>
  <c r="G16" i="57"/>
  <c r="F16" i="44"/>
  <c r="G16" i="44"/>
  <c r="F16" i="47"/>
  <c r="K20" i="49" s="1"/>
  <c r="G16" i="47"/>
  <c r="K68" i="49" s="1"/>
  <c r="F16" i="51"/>
  <c r="G16" i="51"/>
  <c r="F16" i="54"/>
  <c r="I20" i="56" s="1"/>
  <c r="G16" i="54"/>
  <c r="I69" i="56" s="1"/>
  <c r="H16" i="44"/>
  <c r="J20" i="45" s="1"/>
  <c r="I16" i="44"/>
  <c r="J68" i="45" s="1"/>
  <c r="H16" i="47"/>
  <c r="I16" i="47"/>
  <c r="H16" i="51"/>
  <c r="I16" i="51"/>
  <c r="H16" i="54"/>
  <c r="I16" i="54"/>
  <c r="K16" i="57"/>
  <c r="O68" i="59" s="1"/>
  <c r="J16" i="44"/>
  <c r="K16" i="44"/>
  <c r="J16" i="47"/>
  <c r="K16" i="47"/>
  <c r="J16" i="51"/>
  <c r="K16" i="51"/>
  <c r="J16" i="54"/>
  <c r="K16" i="54"/>
  <c r="M16" i="57"/>
  <c r="L16" i="44"/>
  <c r="M16" i="44"/>
  <c r="L16" i="47"/>
  <c r="L20" i="49" s="1"/>
  <c r="M16" i="47"/>
  <c r="L68" i="49" s="1"/>
  <c r="L16" i="51"/>
  <c r="M22" i="52" s="1"/>
  <c r="M16" i="51"/>
  <c r="M84" i="52" s="1"/>
  <c r="L16" i="54"/>
  <c r="M16" i="54"/>
  <c r="O16" i="57"/>
  <c r="E68" i="59" s="1"/>
  <c r="N16" i="44"/>
  <c r="U20" i="45" s="1"/>
  <c r="O16" i="44"/>
  <c r="U68" i="45" s="1"/>
  <c r="N16" i="47"/>
  <c r="O16" i="47"/>
  <c r="N16" i="51"/>
  <c r="O16" i="51"/>
  <c r="N16" i="54"/>
  <c r="O16" i="54"/>
  <c r="P16" i="44"/>
  <c r="Q16" i="44"/>
  <c r="P16" i="47"/>
  <c r="F20" i="49" s="1"/>
  <c r="Q16" i="47"/>
  <c r="F68" i="49" s="1"/>
  <c r="P16" i="51"/>
  <c r="K22" i="52" s="1"/>
  <c r="Q16" i="51"/>
  <c r="K84" i="52" s="1"/>
  <c r="P16" i="54"/>
  <c r="H20" i="56" s="1"/>
  <c r="Q16" i="54"/>
  <c r="H69" i="56" s="1"/>
  <c r="S16" i="57"/>
  <c r="G68" i="59" s="1"/>
  <c r="S16" i="44"/>
  <c r="G68" i="45" s="1"/>
  <c r="R16" i="47"/>
  <c r="S16" i="47"/>
  <c r="R16" i="51"/>
  <c r="S16" i="51"/>
  <c r="R16" i="54"/>
  <c r="S16" i="54"/>
  <c r="U16" i="57"/>
  <c r="T16" i="44"/>
  <c r="S20" i="45" s="1"/>
  <c r="T16" i="47"/>
  <c r="U16" i="47"/>
  <c r="T16" i="51"/>
  <c r="U16" i="51"/>
  <c r="T16" i="54"/>
  <c r="U16" i="54"/>
  <c r="W16" i="57"/>
  <c r="L68" i="59" s="1"/>
  <c r="V16" i="44"/>
  <c r="W16" i="44"/>
  <c r="V16" i="47"/>
  <c r="W16" i="47"/>
  <c r="V16" i="51"/>
  <c r="W16" i="51"/>
  <c r="V16" i="54"/>
  <c r="W16" i="54"/>
  <c r="X16" i="44"/>
  <c r="Y16" i="44"/>
  <c r="X16" i="47"/>
  <c r="Y16" i="47"/>
  <c r="X16" i="51"/>
  <c r="Y16" i="51"/>
  <c r="X16" i="54"/>
  <c r="Y16" i="54"/>
  <c r="AA16" i="57"/>
  <c r="Z16" i="44"/>
  <c r="AA16" i="44"/>
  <c r="Z16" i="47"/>
  <c r="AA16" i="47"/>
  <c r="Z16" i="51"/>
  <c r="AA16" i="51"/>
  <c r="Z16" i="54"/>
  <c r="AA16" i="54"/>
  <c r="AC16" i="57"/>
  <c r="AB16" i="44"/>
  <c r="AC16" i="44"/>
  <c r="AB16" i="47"/>
  <c r="AC16" i="47"/>
  <c r="AB16" i="51"/>
  <c r="AC16" i="51"/>
  <c r="AB16" i="54"/>
  <c r="AC16" i="54"/>
  <c r="AE16" i="57"/>
  <c r="AD16" i="44"/>
  <c r="AE16" i="44"/>
  <c r="AD16" i="47"/>
  <c r="I20" i="49" s="1"/>
  <c r="AE16" i="47"/>
  <c r="I68" i="49" s="1"/>
  <c r="AD16" i="51"/>
  <c r="I22" i="52" s="1"/>
  <c r="AE16" i="51"/>
  <c r="I84" i="52" s="1"/>
  <c r="AD16" i="54"/>
  <c r="J20" i="56" s="1"/>
  <c r="AE16" i="54"/>
  <c r="J69" i="56" s="1"/>
  <c r="AG16" i="57"/>
  <c r="J68" i="59" s="1"/>
  <c r="AF16" i="44"/>
  <c r="AG16" i="44"/>
  <c r="AF16" i="47"/>
  <c r="AG16" i="47"/>
  <c r="AG16" i="51"/>
  <c r="AF16" i="54"/>
  <c r="AG16" i="54"/>
  <c r="AI16" i="57"/>
  <c r="AH16" i="44"/>
  <c r="AI16" i="44"/>
  <c r="AH16" i="47"/>
  <c r="S20" i="49" s="1"/>
  <c r="AI16" i="47"/>
  <c r="S68" i="49" s="1"/>
  <c r="AH16" i="54"/>
  <c r="AI16" i="54"/>
  <c r="AK16" i="57"/>
  <c r="AJ16" i="44"/>
  <c r="AK16" i="44"/>
  <c r="AJ16" i="47"/>
  <c r="C20" i="49" s="1"/>
  <c r="AK16" i="47"/>
  <c r="C68" i="49" s="1"/>
  <c r="AJ16" i="51"/>
  <c r="E22" i="52" s="1"/>
  <c r="AK16" i="51"/>
  <c r="E84" i="52" s="1"/>
  <c r="AJ16" i="54"/>
  <c r="C20" i="56" s="1"/>
  <c r="AK16" i="54"/>
  <c r="C69" i="56" s="1"/>
  <c r="AM16" i="57"/>
  <c r="AL16" i="44"/>
  <c r="E20" i="45" s="1"/>
  <c r="AM16" i="44"/>
  <c r="E68" i="45" s="1"/>
  <c r="AM16" i="47"/>
  <c r="E68" i="49" s="1"/>
  <c r="AL16" i="51"/>
  <c r="G22" i="52" s="1"/>
  <c r="AM16" i="51"/>
  <c r="G84" i="52" s="1"/>
  <c r="AL16" i="54"/>
  <c r="E20" i="56" s="1"/>
  <c r="AM16" i="54"/>
  <c r="E69" i="56" s="1"/>
  <c r="AN16" i="47"/>
  <c r="D20" i="49" s="1"/>
  <c r="AO16" i="47"/>
  <c r="D68" i="49" s="1"/>
  <c r="AN16" i="51"/>
  <c r="J22" i="52" s="1"/>
  <c r="AO16" i="51"/>
  <c r="J84" i="52" s="1"/>
  <c r="AN16" i="54"/>
  <c r="G20" i="56" s="1"/>
  <c r="AO16" i="54"/>
  <c r="G69" i="56" s="1"/>
  <c r="AQ16" i="57"/>
  <c r="AP16" i="47"/>
  <c r="H20" i="49" s="1"/>
  <c r="AQ16" i="47"/>
  <c r="H68" i="49" s="1"/>
  <c r="AP16" i="51"/>
  <c r="L22" i="52" s="1"/>
  <c r="AQ16" i="51"/>
  <c r="L84" i="52" s="1"/>
  <c r="AP16" i="54"/>
  <c r="F20" i="56" s="1"/>
  <c r="AQ16" i="54"/>
  <c r="F69" i="56" s="1"/>
  <c r="AS16" i="57"/>
  <c r="K68" i="59" s="1"/>
  <c r="AR16" i="47"/>
  <c r="AS16" i="47"/>
  <c r="AR16" i="51"/>
  <c r="AS16" i="51"/>
  <c r="AR16" i="54"/>
  <c r="AS16" i="54"/>
  <c r="AU16" i="57"/>
  <c r="AT16" i="47"/>
  <c r="G20" i="49" s="1"/>
  <c r="AU16" i="47"/>
  <c r="G68" i="49" s="1"/>
  <c r="AT16" i="51"/>
  <c r="F22" i="52" s="1"/>
  <c r="AU16" i="51"/>
  <c r="F84" i="52" s="1"/>
  <c r="AT16" i="54"/>
  <c r="D20" i="56" s="1"/>
  <c r="AU16" i="54"/>
  <c r="D69" i="56" s="1"/>
  <c r="AV16" i="51"/>
  <c r="AW16" i="51"/>
  <c r="AV16" i="54"/>
  <c r="AW16" i="54"/>
  <c r="AY16" i="57"/>
  <c r="AX16" i="51"/>
  <c r="AY16" i="51"/>
  <c r="AX16" i="54"/>
  <c r="AY16" i="54"/>
  <c r="BA16" i="57"/>
  <c r="AZ16" i="51"/>
  <c r="BA16" i="51"/>
  <c r="AZ16" i="54"/>
  <c r="BA16" i="54"/>
  <c r="BC16" i="57"/>
  <c r="BB16" i="51"/>
  <c r="P22" i="52" s="1"/>
  <c r="BC16" i="51"/>
  <c r="P84" i="52" s="1"/>
  <c r="BB16" i="54"/>
  <c r="BC16" i="54"/>
  <c r="BD16" i="51"/>
  <c r="O22" i="52" s="1"/>
  <c r="BE16" i="51"/>
  <c r="O84" i="52" s="1"/>
  <c r="BD16" i="54"/>
  <c r="BE16" i="54"/>
  <c r="BG16" i="57"/>
  <c r="N68" i="59" s="1"/>
  <c r="BF16" i="51"/>
  <c r="Q22" i="52" s="1"/>
  <c r="BG16" i="51"/>
  <c r="Q84" i="52" s="1"/>
  <c r="BF16" i="54"/>
  <c r="BG16" i="54"/>
  <c r="BI16" i="57"/>
  <c r="BH16" i="51"/>
  <c r="BI16" i="51"/>
  <c r="BH16" i="54"/>
  <c r="BI16" i="54"/>
  <c r="BJ16" i="54"/>
  <c r="BK16" i="54"/>
  <c r="BL16" i="54"/>
  <c r="BM16" i="54"/>
  <c r="BP16" i="54"/>
  <c r="L20" i="56" s="1"/>
  <c r="BQ16" i="54"/>
  <c r="L69" i="56" s="1"/>
  <c r="BR16" i="54"/>
  <c r="BS16" i="54"/>
  <c r="BT16" i="54"/>
  <c r="BV16" i="54"/>
  <c r="BW16" i="54"/>
  <c r="BX16" i="54"/>
  <c r="BY16" i="54"/>
  <c r="F16" i="57"/>
  <c r="H16" i="57"/>
  <c r="E20" i="59" s="1"/>
  <c r="J16" i="57"/>
  <c r="O20" i="59" s="1"/>
  <c r="N16" i="57"/>
  <c r="P16" i="57"/>
  <c r="R16" i="57"/>
  <c r="G20" i="59" s="1"/>
  <c r="T16" i="57"/>
  <c r="V16" i="57"/>
  <c r="L20" i="59" s="1"/>
  <c r="X16" i="57"/>
  <c r="Z16" i="57"/>
  <c r="AB16" i="57"/>
  <c r="AD16" i="57"/>
  <c r="AF16" i="57"/>
  <c r="J20" i="59" s="1"/>
  <c r="AH16" i="57"/>
  <c r="AJ16" i="57"/>
  <c r="AL16" i="57"/>
  <c r="AN16" i="57"/>
  <c r="AP16" i="57"/>
  <c r="AR16" i="57"/>
  <c r="K20" i="59" s="1"/>
  <c r="AT16" i="57"/>
  <c r="AV16" i="57"/>
  <c r="AX16" i="57"/>
  <c r="AZ16" i="57"/>
  <c r="BB16" i="57"/>
  <c r="BD16" i="57"/>
  <c r="BF16" i="57"/>
  <c r="N20" i="59" s="1"/>
  <c r="BH16" i="57"/>
  <c r="D16" i="57"/>
  <c r="D20" i="59" s="1"/>
  <c r="E15" i="57"/>
  <c r="D15" i="44"/>
  <c r="E15" i="44"/>
  <c r="H67" i="45" s="1"/>
  <c r="D15" i="47"/>
  <c r="M19" i="49" s="1"/>
  <c r="E15" i="47"/>
  <c r="M67" i="49" s="1"/>
  <c r="D15" i="51"/>
  <c r="H21" i="52" s="1"/>
  <c r="E15" i="51"/>
  <c r="H83" i="52" s="1"/>
  <c r="D15" i="54"/>
  <c r="K19" i="56" s="1"/>
  <c r="E15" i="54"/>
  <c r="K68" i="56" s="1"/>
  <c r="G15" i="57"/>
  <c r="F15" i="44"/>
  <c r="G15" i="44"/>
  <c r="F15" i="47"/>
  <c r="K19" i="49" s="1"/>
  <c r="G15" i="47"/>
  <c r="K67" i="49" s="1"/>
  <c r="F15" i="51"/>
  <c r="G15" i="51"/>
  <c r="F15" i="54"/>
  <c r="I19" i="56" s="1"/>
  <c r="G15" i="54"/>
  <c r="I68" i="56" s="1"/>
  <c r="I15" i="57"/>
  <c r="H15" i="44"/>
  <c r="J19" i="45" s="1"/>
  <c r="I15" i="44"/>
  <c r="J67" i="45" s="1"/>
  <c r="H15" i="47"/>
  <c r="I15" i="47"/>
  <c r="H15" i="51"/>
  <c r="I15" i="51"/>
  <c r="H15" i="54"/>
  <c r="I15" i="54"/>
  <c r="K15" i="57"/>
  <c r="O67" i="59" s="1"/>
  <c r="J15" i="44"/>
  <c r="K15" i="44"/>
  <c r="J15" i="47"/>
  <c r="K15" i="47"/>
  <c r="J15" i="51"/>
  <c r="K15" i="51"/>
  <c r="J15" i="54"/>
  <c r="K15" i="54"/>
  <c r="M15" i="57"/>
  <c r="L15" i="44"/>
  <c r="M15" i="44"/>
  <c r="L15" i="47"/>
  <c r="L19" i="49" s="1"/>
  <c r="M15" i="47"/>
  <c r="L67" i="49" s="1"/>
  <c r="L15" i="51"/>
  <c r="M21" i="52" s="1"/>
  <c r="M15" i="51"/>
  <c r="M83" i="52" s="1"/>
  <c r="L15" i="54"/>
  <c r="M15" i="54"/>
  <c r="O15" i="57"/>
  <c r="E67" i="59" s="1"/>
  <c r="N15" i="44"/>
  <c r="U19" i="45" s="1"/>
  <c r="O15" i="44"/>
  <c r="U67" i="45" s="1"/>
  <c r="N15" i="47"/>
  <c r="O15" i="47"/>
  <c r="N15" i="51"/>
  <c r="O15" i="51"/>
  <c r="N15" i="54"/>
  <c r="O15" i="54"/>
  <c r="Q15" i="57"/>
  <c r="P15" i="44"/>
  <c r="Q15" i="44"/>
  <c r="P15" i="47"/>
  <c r="F19" i="49" s="1"/>
  <c r="Q15" i="47"/>
  <c r="F67" i="49" s="1"/>
  <c r="P15" i="51"/>
  <c r="K21" i="52" s="1"/>
  <c r="Q15" i="51"/>
  <c r="K83" i="52" s="1"/>
  <c r="P15" i="54"/>
  <c r="H19" i="56" s="1"/>
  <c r="Q15" i="54"/>
  <c r="H68" i="56" s="1"/>
  <c r="S15" i="57"/>
  <c r="G67" i="59" s="1"/>
  <c r="R15" i="44"/>
  <c r="G19" i="45" s="1"/>
  <c r="S15" i="44"/>
  <c r="G67" i="45" s="1"/>
  <c r="R15" i="47"/>
  <c r="S15" i="47"/>
  <c r="R15" i="51"/>
  <c r="S15" i="51"/>
  <c r="R15" i="54"/>
  <c r="S15" i="54"/>
  <c r="U15" i="57"/>
  <c r="T15" i="44"/>
  <c r="S19" i="45" s="1"/>
  <c r="U15" i="44"/>
  <c r="S67" i="45" s="1"/>
  <c r="T15" i="47"/>
  <c r="U15" i="47"/>
  <c r="T15" i="51"/>
  <c r="U15" i="51"/>
  <c r="T15" i="54"/>
  <c r="U15" i="54"/>
  <c r="W15" i="57"/>
  <c r="L67" i="59" s="1"/>
  <c r="V15" i="44"/>
  <c r="W15" i="44"/>
  <c r="V15" i="47"/>
  <c r="W15" i="47"/>
  <c r="V15" i="51"/>
  <c r="W15" i="51"/>
  <c r="V15" i="54"/>
  <c r="W15" i="54"/>
  <c r="Y15" i="57"/>
  <c r="X15" i="44"/>
  <c r="Y15" i="44"/>
  <c r="X15" i="47"/>
  <c r="Y15" i="47"/>
  <c r="X15" i="51"/>
  <c r="Y15" i="51"/>
  <c r="X15" i="54"/>
  <c r="Y15" i="54"/>
  <c r="AA15" i="57"/>
  <c r="Z15" i="44"/>
  <c r="AA15" i="44"/>
  <c r="Z15" i="47"/>
  <c r="AA15" i="47"/>
  <c r="Z15" i="51"/>
  <c r="AA15" i="51"/>
  <c r="Z15" i="54"/>
  <c r="AA15" i="54"/>
  <c r="AC15" i="57"/>
  <c r="AB15" i="44"/>
  <c r="AC15" i="44"/>
  <c r="AB15" i="47"/>
  <c r="AC15" i="47"/>
  <c r="AB15" i="51"/>
  <c r="AC15" i="51"/>
  <c r="AC15" i="54"/>
  <c r="AE15" i="57"/>
  <c r="AD15" i="44"/>
  <c r="AE15" i="44"/>
  <c r="AD15" i="47"/>
  <c r="I19" i="49" s="1"/>
  <c r="AE15" i="47"/>
  <c r="I67" i="49" s="1"/>
  <c r="AD15" i="54"/>
  <c r="J19" i="56" s="1"/>
  <c r="AE15" i="54"/>
  <c r="J68" i="56" s="1"/>
  <c r="AG15" i="57"/>
  <c r="J67" i="59" s="1"/>
  <c r="AF15" i="44"/>
  <c r="AG15" i="44"/>
  <c r="AF15" i="47"/>
  <c r="AG15" i="47"/>
  <c r="AF15" i="51"/>
  <c r="AF15" i="54"/>
  <c r="AG15" i="54"/>
  <c r="AI15" i="57"/>
  <c r="AH15" i="44"/>
  <c r="AI15" i="44"/>
  <c r="AH15" i="47"/>
  <c r="S19" i="49" s="1"/>
  <c r="AI15" i="47"/>
  <c r="S67" i="49" s="1"/>
  <c r="AH15" i="51"/>
  <c r="AI15" i="51"/>
  <c r="AH15" i="54"/>
  <c r="AI15" i="54"/>
  <c r="AK15" i="57"/>
  <c r="AJ15" i="44"/>
  <c r="AK15" i="44"/>
  <c r="AJ15" i="47"/>
  <c r="C19" i="49" s="1"/>
  <c r="AK15" i="47"/>
  <c r="C67" i="49" s="1"/>
  <c r="AJ15" i="51"/>
  <c r="E21" i="52" s="1"/>
  <c r="AK15" i="51"/>
  <c r="E83" i="52" s="1"/>
  <c r="AJ15" i="54"/>
  <c r="C19" i="56" s="1"/>
  <c r="AK15" i="54"/>
  <c r="C68" i="56" s="1"/>
  <c r="AM15" i="57"/>
  <c r="AL15" i="44"/>
  <c r="E19" i="45" s="1"/>
  <c r="AM15" i="44"/>
  <c r="E67" i="45" s="1"/>
  <c r="AL15" i="47"/>
  <c r="E19" i="49" s="1"/>
  <c r="AM15" i="47"/>
  <c r="E67" i="49" s="1"/>
  <c r="AL15" i="51"/>
  <c r="G21" i="52" s="1"/>
  <c r="AM15" i="51"/>
  <c r="G83" i="52" s="1"/>
  <c r="AL15" i="54"/>
  <c r="E19" i="56" s="1"/>
  <c r="AM15" i="54"/>
  <c r="E68" i="56" s="1"/>
  <c r="AN15" i="47"/>
  <c r="D19" i="49" s="1"/>
  <c r="AO15" i="47"/>
  <c r="D67" i="49" s="1"/>
  <c r="AN15" i="51"/>
  <c r="J21" i="52" s="1"/>
  <c r="AO15" i="51"/>
  <c r="J83" i="52" s="1"/>
  <c r="AN15" i="54"/>
  <c r="G19" i="56" s="1"/>
  <c r="AO15" i="54"/>
  <c r="G68" i="56" s="1"/>
  <c r="AQ15" i="57"/>
  <c r="AP15" i="47"/>
  <c r="H19" i="49" s="1"/>
  <c r="AQ15" i="47"/>
  <c r="H67" i="49" s="1"/>
  <c r="AP15" i="51"/>
  <c r="L21" i="52" s="1"/>
  <c r="AQ15" i="51"/>
  <c r="L83" i="52" s="1"/>
  <c r="AP15" i="54"/>
  <c r="F19" i="56" s="1"/>
  <c r="AQ15" i="54"/>
  <c r="F68" i="56" s="1"/>
  <c r="AS15" i="57"/>
  <c r="K67" i="59" s="1"/>
  <c r="AR15" i="47"/>
  <c r="AS15" i="47"/>
  <c r="AR15" i="51"/>
  <c r="AS15" i="51"/>
  <c r="AR15" i="54"/>
  <c r="AS15" i="54"/>
  <c r="AU15" i="57"/>
  <c r="AT15" i="47"/>
  <c r="G19" i="49" s="1"/>
  <c r="AU15" i="47"/>
  <c r="G67" i="49" s="1"/>
  <c r="AT15" i="51"/>
  <c r="F21" i="52" s="1"/>
  <c r="AU15" i="51"/>
  <c r="F83" i="52" s="1"/>
  <c r="AT15" i="54"/>
  <c r="D19" i="56" s="1"/>
  <c r="AU15" i="54"/>
  <c r="D68" i="56" s="1"/>
  <c r="AW15" i="57"/>
  <c r="AV15" i="51"/>
  <c r="AW15" i="51"/>
  <c r="AV15" i="54"/>
  <c r="AW15" i="54"/>
  <c r="AY15" i="57"/>
  <c r="AX15" i="51"/>
  <c r="AY15" i="51"/>
  <c r="AX15" i="54"/>
  <c r="AY15" i="54"/>
  <c r="BA15" i="57"/>
  <c r="AZ15" i="51"/>
  <c r="BA15" i="51"/>
  <c r="AZ15" i="54"/>
  <c r="BA15" i="54"/>
  <c r="BC15" i="57"/>
  <c r="BB15" i="51"/>
  <c r="P21" i="52" s="1"/>
  <c r="BC15" i="51"/>
  <c r="P83" i="52" s="1"/>
  <c r="BB15" i="54"/>
  <c r="BC15" i="54"/>
  <c r="BE15" i="57"/>
  <c r="BD15" i="51"/>
  <c r="O21" i="52" s="1"/>
  <c r="BE15" i="51"/>
  <c r="O83" i="52" s="1"/>
  <c r="BD15" i="54"/>
  <c r="BE15" i="54"/>
  <c r="BG15" i="57"/>
  <c r="N67" i="59" s="1"/>
  <c r="BF15" i="51"/>
  <c r="Q21" i="52" s="1"/>
  <c r="BG15" i="51"/>
  <c r="Q83" i="52" s="1"/>
  <c r="BF15" i="54"/>
  <c r="BG15" i="54"/>
  <c r="BI15" i="57"/>
  <c r="BH15" i="51"/>
  <c r="BI15" i="51"/>
  <c r="BH15" i="54"/>
  <c r="BI15" i="54"/>
  <c r="BJ15" i="54"/>
  <c r="BK15" i="54"/>
  <c r="BL15" i="54"/>
  <c r="BM15" i="54"/>
  <c r="BP15" i="54"/>
  <c r="L19" i="56" s="1"/>
  <c r="BQ15" i="54"/>
  <c r="L68" i="56" s="1"/>
  <c r="BR15" i="54"/>
  <c r="BS15" i="54"/>
  <c r="BT15" i="54"/>
  <c r="BU15" i="54"/>
  <c r="BV15" i="54"/>
  <c r="BW15" i="54"/>
  <c r="BX15" i="54"/>
  <c r="BY15" i="54"/>
  <c r="F15" i="57"/>
  <c r="H15" i="57"/>
  <c r="E19" i="59" s="1"/>
  <c r="J15" i="57"/>
  <c r="O19" i="59" s="1"/>
  <c r="L15" i="57"/>
  <c r="N15" i="57"/>
  <c r="P15" i="57"/>
  <c r="R15" i="57"/>
  <c r="G19" i="59" s="1"/>
  <c r="T15" i="57"/>
  <c r="V15" i="57"/>
  <c r="L19" i="59" s="1"/>
  <c r="X15" i="57"/>
  <c r="Z15" i="57"/>
  <c r="AB15" i="57"/>
  <c r="AD15" i="57"/>
  <c r="AF15" i="57"/>
  <c r="J19" i="59" s="1"/>
  <c r="AH15" i="57"/>
  <c r="AJ15" i="57"/>
  <c r="AL15" i="57"/>
  <c r="AN15" i="57"/>
  <c r="AP15" i="57"/>
  <c r="AR15" i="57"/>
  <c r="K19" i="59" s="1"/>
  <c r="AT15" i="57"/>
  <c r="AV15" i="57"/>
  <c r="AX15" i="57"/>
  <c r="AZ15" i="57"/>
  <c r="BB15" i="57"/>
  <c r="BD15" i="57"/>
  <c r="BF15" i="57"/>
  <c r="N19" i="59" s="1"/>
  <c r="BH15" i="57"/>
  <c r="D15" i="57"/>
  <c r="D19" i="59" s="1"/>
  <c r="E14" i="57"/>
  <c r="D14" i="44"/>
  <c r="E14" i="44"/>
  <c r="H66" i="45" s="1"/>
  <c r="D14" i="47"/>
  <c r="M18" i="49" s="1"/>
  <c r="E14" i="47"/>
  <c r="M66" i="49" s="1"/>
  <c r="D14" i="51"/>
  <c r="H20" i="52" s="1"/>
  <c r="E14" i="51"/>
  <c r="H82" i="52" s="1"/>
  <c r="D14" i="54"/>
  <c r="K18" i="56" s="1"/>
  <c r="E14" i="54"/>
  <c r="K67" i="56" s="1"/>
  <c r="G14" i="57"/>
  <c r="F14" i="44"/>
  <c r="G14" i="44"/>
  <c r="F14" i="47"/>
  <c r="K18" i="49" s="1"/>
  <c r="G14" i="47"/>
  <c r="K66" i="49" s="1"/>
  <c r="F14" i="51"/>
  <c r="G14" i="51"/>
  <c r="F14" i="54"/>
  <c r="I18" i="56" s="1"/>
  <c r="G14" i="54"/>
  <c r="I67" i="56" s="1"/>
  <c r="H14" i="44"/>
  <c r="J18" i="45" s="1"/>
  <c r="I14" i="44"/>
  <c r="J66" i="45" s="1"/>
  <c r="H14" i="47"/>
  <c r="I14" i="47"/>
  <c r="H14" i="51"/>
  <c r="I14" i="51"/>
  <c r="H14" i="54"/>
  <c r="I14" i="54"/>
  <c r="K14" i="57"/>
  <c r="O66" i="59" s="1"/>
  <c r="J14" i="44"/>
  <c r="K14" i="44"/>
  <c r="J14" i="47"/>
  <c r="K14" i="47"/>
  <c r="J14" i="51"/>
  <c r="K14" i="51"/>
  <c r="J14" i="54"/>
  <c r="K14" i="54"/>
  <c r="M14" i="57"/>
  <c r="L14" i="44"/>
  <c r="L14" i="47"/>
  <c r="L18" i="49" s="1"/>
  <c r="M14" i="47"/>
  <c r="L66" i="49" s="1"/>
  <c r="L14" i="51"/>
  <c r="M20" i="52" s="1"/>
  <c r="M14" i="51"/>
  <c r="M82" i="52" s="1"/>
  <c r="L14" i="54"/>
  <c r="M14" i="54"/>
  <c r="O14" i="57"/>
  <c r="E66" i="59" s="1"/>
  <c r="N14" i="44"/>
  <c r="U18" i="45" s="1"/>
  <c r="O14" i="44"/>
  <c r="U66" i="45" s="1"/>
  <c r="O14" i="47"/>
  <c r="N14" i="51"/>
  <c r="O14" i="51"/>
  <c r="N14" i="54"/>
  <c r="O14" i="54"/>
  <c r="P14" i="44"/>
  <c r="Q14" i="44"/>
  <c r="P14" i="47"/>
  <c r="F18" i="49" s="1"/>
  <c r="Q14" i="47"/>
  <c r="F66" i="49" s="1"/>
  <c r="P14" i="51"/>
  <c r="K20" i="52" s="1"/>
  <c r="Q14" i="51"/>
  <c r="K82" i="52" s="1"/>
  <c r="P14" i="54"/>
  <c r="H18" i="56" s="1"/>
  <c r="Q14" i="54"/>
  <c r="H67" i="56" s="1"/>
  <c r="S14" i="57"/>
  <c r="G66" i="59" s="1"/>
  <c r="S14" i="44"/>
  <c r="G66" i="45" s="1"/>
  <c r="R14" i="47"/>
  <c r="S14" i="47"/>
  <c r="R14" i="51"/>
  <c r="S14" i="51"/>
  <c r="R14" i="54"/>
  <c r="S14" i="54"/>
  <c r="U14" i="57"/>
  <c r="T14" i="44"/>
  <c r="S18" i="45" s="1"/>
  <c r="T14" i="47"/>
  <c r="U14" i="47"/>
  <c r="T14" i="51"/>
  <c r="U14" i="51"/>
  <c r="T14" i="54"/>
  <c r="U14" i="54"/>
  <c r="W14" i="57"/>
  <c r="L66" i="59" s="1"/>
  <c r="V14" i="44"/>
  <c r="W14" i="44"/>
  <c r="V14" i="47"/>
  <c r="W14" i="47"/>
  <c r="V14" i="51"/>
  <c r="W14" i="51"/>
  <c r="V14" i="54"/>
  <c r="W14" i="54"/>
  <c r="X14" i="44"/>
  <c r="Y14" i="44"/>
  <c r="X14" i="47"/>
  <c r="Y14" i="47"/>
  <c r="X14" i="51"/>
  <c r="Y14" i="51"/>
  <c r="X14" i="54"/>
  <c r="Y14" i="54"/>
  <c r="AA14" i="57"/>
  <c r="Z14" i="44"/>
  <c r="AA14" i="44"/>
  <c r="Z14" i="47"/>
  <c r="AA14" i="47"/>
  <c r="Z14" i="51"/>
  <c r="AA14" i="51"/>
  <c r="Z14" i="54"/>
  <c r="AA14" i="54"/>
  <c r="AC14" i="57"/>
  <c r="AB14" i="44"/>
  <c r="AB14" i="47"/>
  <c r="AC14" i="47"/>
  <c r="AB14" i="54"/>
  <c r="AC14" i="54"/>
  <c r="AE14" i="57"/>
  <c r="AD14" i="44"/>
  <c r="AE14" i="44"/>
  <c r="AD14" i="47"/>
  <c r="I18" i="49" s="1"/>
  <c r="AE14" i="47"/>
  <c r="I66" i="49" s="1"/>
  <c r="AD14" i="54"/>
  <c r="J18" i="56" s="1"/>
  <c r="AE14" i="54"/>
  <c r="J67" i="56" s="1"/>
  <c r="AG14" i="57"/>
  <c r="J66" i="59" s="1"/>
  <c r="AF14" i="44"/>
  <c r="AG14" i="44"/>
  <c r="AF14" i="47"/>
  <c r="AG14" i="47"/>
  <c r="AF14" i="51"/>
  <c r="AG14" i="51"/>
  <c r="AF14" i="54"/>
  <c r="AG14" i="54"/>
  <c r="AI14" i="57"/>
  <c r="AH14" i="44"/>
  <c r="AI14" i="44"/>
  <c r="AH14" i="47"/>
  <c r="S18" i="49" s="1"/>
  <c r="AI14" i="47"/>
  <c r="S66" i="49" s="1"/>
  <c r="AH14" i="51"/>
  <c r="AI14" i="51"/>
  <c r="AH14" i="54"/>
  <c r="AI14" i="54"/>
  <c r="AK14" i="57"/>
  <c r="AJ14" i="44"/>
  <c r="AJ14" i="47"/>
  <c r="C18" i="49" s="1"/>
  <c r="AK14" i="47"/>
  <c r="C66" i="49" s="1"/>
  <c r="AJ14" i="51"/>
  <c r="E20" i="52" s="1"/>
  <c r="AK14" i="51"/>
  <c r="E82" i="52" s="1"/>
  <c r="AJ14" i="54"/>
  <c r="C18" i="56" s="1"/>
  <c r="AK14" i="54"/>
  <c r="C67" i="56" s="1"/>
  <c r="AM14" i="57"/>
  <c r="AL14" i="44"/>
  <c r="E18" i="45" s="1"/>
  <c r="AM14" i="44"/>
  <c r="E66" i="45" s="1"/>
  <c r="AL14" i="47"/>
  <c r="E18" i="49" s="1"/>
  <c r="AM14" i="47"/>
  <c r="E66" i="49" s="1"/>
  <c r="AL14" i="51"/>
  <c r="G20" i="52" s="1"/>
  <c r="AM14" i="51"/>
  <c r="G82" i="52" s="1"/>
  <c r="AL14" i="54"/>
  <c r="E18" i="56" s="1"/>
  <c r="AM14" i="54"/>
  <c r="E67" i="56" s="1"/>
  <c r="AO14" i="57"/>
  <c r="AN14" i="47"/>
  <c r="D18" i="49" s="1"/>
  <c r="AO14" i="47"/>
  <c r="D66" i="49" s="1"/>
  <c r="AN14" i="51"/>
  <c r="J20" i="52" s="1"/>
  <c r="AO14" i="51"/>
  <c r="J82" i="52" s="1"/>
  <c r="AN14" i="54"/>
  <c r="G18" i="56" s="1"/>
  <c r="AO14" i="54"/>
  <c r="G67" i="56" s="1"/>
  <c r="AQ14" i="57"/>
  <c r="AP14" i="47"/>
  <c r="H18" i="49" s="1"/>
  <c r="AQ14" i="47"/>
  <c r="H66" i="49" s="1"/>
  <c r="AP14" i="51"/>
  <c r="L20" i="52" s="1"/>
  <c r="AQ14" i="51"/>
  <c r="L82" i="52" s="1"/>
  <c r="AP14" i="54"/>
  <c r="F18" i="56" s="1"/>
  <c r="AQ14" i="54"/>
  <c r="F67" i="56" s="1"/>
  <c r="AR14" i="47"/>
  <c r="AS14" i="47"/>
  <c r="AR14" i="51"/>
  <c r="AS14" i="51"/>
  <c r="AR14" i="54"/>
  <c r="AS14" i="54"/>
  <c r="AU14" i="57"/>
  <c r="AT14" i="47"/>
  <c r="G18" i="49" s="1"/>
  <c r="AU14" i="47"/>
  <c r="G66" i="49" s="1"/>
  <c r="AT14" i="51"/>
  <c r="F20" i="52" s="1"/>
  <c r="AU14" i="51"/>
  <c r="F82" i="52" s="1"/>
  <c r="AT14" i="54"/>
  <c r="D18" i="56" s="1"/>
  <c r="AU14" i="54"/>
  <c r="D67" i="56" s="1"/>
  <c r="AW14" i="57"/>
  <c r="AV14" i="51"/>
  <c r="AW14" i="51"/>
  <c r="AV14" i="54"/>
  <c r="AW14" i="54"/>
  <c r="AY14" i="57"/>
  <c r="AX14" i="51"/>
  <c r="AY14" i="51"/>
  <c r="AX14" i="54"/>
  <c r="AY14" i="54"/>
  <c r="AZ14" i="51"/>
  <c r="BA14" i="51"/>
  <c r="AZ14" i="54"/>
  <c r="BA14" i="54"/>
  <c r="BC14" i="57"/>
  <c r="BB14" i="51"/>
  <c r="P20" i="52" s="1"/>
  <c r="BC14" i="51"/>
  <c r="P82" i="52" s="1"/>
  <c r="BB14" i="54"/>
  <c r="BC14" i="54"/>
  <c r="BD14" i="51"/>
  <c r="O20" i="52" s="1"/>
  <c r="BE14" i="51"/>
  <c r="O82" i="52" s="1"/>
  <c r="BD14" i="54"/>
  <c r="BE14" i="54"/>
  <c r="BG14" i="57"/>
  <c r="N66" i="59" s="1"/>
  <c r="BF14" i="51"/>
  <c r="Q20" i="52" s="1"/>
  <c r="BG14" i="51"/>
  <c r="Q82" i="52" s="1"/>
  <c r="BF14" i="54"/>
  <c r="BG14" i="54"/>
  <c r="BI14" i="57"/>
  <c r="BH14" i="51"/>
  <c r="BI14" i="51"/>
  <c r="BH14" i="54"/>
  <c r="BI14" i="54"/>
  <c r="BJ14" i="54"/>
  <c r="BK14" i="54"/>
  <c r="BL14" i="54"/>
  <c r="BM14" i="54"/>
  <c r="BP14" i="54"/>
  <c r="L18" i="56" s="1"/>
  <c r="BR14" i="54"/>
  <c r="BS14" i="54"/>
  <c r="BT14" i="54"/>
  <c r="BU14" i="54"/>
  <c r="BV14" i="54"/>
  <c r="BW14" i="54"/>
  <c r="BX14" i="54"/>
  <c r="BY14" i="54"/>
  <c r="F14" i="57"/>
  <c r="H14" i="57"/>
  <c r="E18" i="59" s="1"/>
  <c r="J14" i="57"/>
  <c r="O18" i="59" s="1"/>
  <c r="L14" i="57"/>
  <c r="N14" i="57"/>
  <c r="P14" i="57"/>
  <c r="R14" i="57"/>
  <c r="G18" i="59" s="1"/>
  <c r="T14" i="57"/>
  <c r="V14" i="57"/>
  <c r="L18" i="59" s="1"/>
  <c r="X14" i="57"/>
  <c r="Z14" i="57"/>
  <c r="AB14" i="57"/>
  <c r="AD14" i="57"/>
  <c r="AF14" i="57"/>
  <c r="J18" i="59" s="1"/>
  <c r="AH14" i="57"/>
  <c r="AJ14" i="57"/>
  <c r="AL14" i="57"/>
  <c r="AN14" i="57"/>
  <c r="AP14" i="57"/>
  <c r="AR14" i="57"/>
  <c r="K18" i="59" s="1"/>
  <c r="AT14" i="57"/>
  <c r="AV14" i="57"/>
  <c r="AX14" i="57"/>
  <c r="AZ14" i="57"/>
  <c r="BB14" i="57"/>
  <c r="BD14" i="57"/>
  <c r="BF14" i="57"/>
  <c r="N18" i="59" s="1"/>
  <c r="BH14" i="57"/>
  <c r="D14" i="57"/>
  <c r="D18" i="59" s="1"/>
  <c r="E13" i="57"/>
  <c r="D13" i="44"/>
  <c r="E13" i="44"/>
  <c r="H65" i="45" s="1"/>
  <c r="D13" i="47"/>
  <c r="M17" i="49" s="1"/>
  <c r="E13" i="47"/>
  <c r="M65" i="49" s="1"/>
  <c r="D13" i="51"/>
  <c r="H19" i="52" s="1"/>
  <c r="E13" i="51"/>
  <c r="H81" i="52" s="1"/>
  <c r="D13" i="54"/>
  <c r="K17" i="56" s="1"/>
  <c r="E13" i="54"/>
  <c r="K66" i="56" s="1"/>
  <c r="G13" i="57"/>
  <c r="F13" i="44"/>
  <c r="G13" i="44"/>
  <c r="F13" i="47"/>
  <c r="K17" i="49" s="1"/>
  <c r="G13" i="47"/>
  <c r="K65" i="49" s="1"/>
  <c r="F13" i="51"/>
  <c r="G13" i="51"/>
  <c r="F13" i="54"/>
  <c r="I17" i="56" s="1"/>
  <c r="G13" i="54"/>
  <c r="I66" i="56" s="1"/>
  <c r="I13" i="57"/>
  <c r="H13" i="44"/>
  <c r="J17" i="45" s="1"/>
  <c r="I13" i="44"/>
  <c r="J65" i="45" s="1"/>
  <c r="H13" i="47"/>
  <c r="I13" i="47"/>
  <c r="H13" i="51"/>
  <c r="I13" i="51"/>
  <c r="H13" i="54"/>
  <c r="I13" i="54"/>
  <c r="K13" i="57"/>
  <c r="O65" i="59" s="1"/>
  <c r="J13" i="44"/>
  <c r="K13" i="44"/>
  <c r="J13" i="47"/>
  <c r="K13" i="47"/>
  <c r="J13" i="51"/>
  <c r="K13" i="51"/>
  <c r="J13" i="54"/>
  <c r="K13" i="54"/>
  <c r="M13" i="57"/>
  <c r="L13" i="44"/>
  <c r="M13" i="44"/>
  <c r="L13" i="47"/>
  <c r="L17" i="49" s="1"/>
  <c r="M13" i="47"/>
  <c r="L65" i="49" s="1"/>
  <c r="L13" i="51"/>
  <c r="M19" i="52" s="1"/>
  <c r="M13" i="51"/>
  <c r="M81" i="52" s="1"/>
  <c r="L13" i="54"/>
  <c r="M13" i="54"/>
  <c r="O13" i="57"/>
  <c r="E65" i="59" s="1"/>
  <c r="N13" i="44"/>
  <c r="U17" i="45" s="1"/>
  <c r="O13" i="44"/>
  <c r="U65" i="45" s="1"/>
  <c r="N13" i="47"/>
  <c r="O13" i="47"/>
  <c r="N13" i="51"/>
  <c r="O13" i="51"/>
  <c r="N13" i="54"/>
  <c r="O13" i="54"/>
  <c r="Q13" i="57"/>
  <c r="P13" i="44"/>
  <c r="Q13" i="44"/>
  <c r="P13" i="47"/>
  <c r="F17" i="49" s="1"/>
  <c r="Q13" i="47"/>
  <c r="F65" i="49" s="1"/>
  <c r="P13" i="51"/>
  <c r="K19" i="52" s="1"/>
  <c r="Q13" i="51"/>
  <c r="K81" i="52" s="1"/>
  <c r="P13" i="54"/>
  <c r="H17" i="56" s="1"/>
  <c r="Q13" i="54"/>
  <c r="H66" i="56" s="1"/>
  <c r="S13" i="57"/>
  <c r="G65" i="59" s="1"/>
  <c r="R13" i="44"/>
  <c r="G17" i="45" s="1"/>
  <c r="S13" i="44"/>
  <c r="G65" i="45" s="1"/>
  <c r="R13" i="47"/>
  <c r="S13" i="47"/>
  <c r="R13" i="51"/>
  <c r="S13" i="51"/>
  <c r="R13" i="54"/>
  <c r="S13" i="54"/>
  <c r="U13" i="57"/>
  <c r="T13" i="44"/>
  <c r="S17" i="45" s="1"/>
  <c r="U13" i="44"/>
  <c r="S65" i="45" s="1"/>
  <c r="T13" i="47"/>
  <c r="U13" i="47"/>
  <c r="T13" i="51"/>
  <c r="U13" i="51"/>
  <c r="T13" i="54"/>
  <c r="U13" i="54"/>
  <c r="W13" i="57"/>
  <c r="L65" i="59" s="1"/>
  <c r="V13" i="44"/>
  <c r="W13" i="44"/>
  <c r="V13" i="47"/>
  <c r="W13" i="47"/>
  <c r="V13" i="51"/>
  <c r="W13" i="51"/>
  <c r="V13" i="54"/>
  <c r="W13" i="54"/>
  <c r="Y13" i="57"/>
  <c r="X13" i="44"/>
  <c r="Y13" i="44"/>
  <c r="X13" i="47"/>
  <c r="Y13" i="47"/>
  <c r="X13" i="51"/>
  <c r="Y13" i="51"/>
  <c r="X13" i="54"/>
  <c r="Y13" i="54"/>
  <c r="AA13" i="57"/>
  <c r="Z13" i="44"/>
  <c r="AA13" i="44"/>
  <c r="Z13" i="47"/>
  <c r="AA13" i="47"/>
  <c r="Z13" i="51"/>
  <c r="AA13" i="51"/>
  <c r="Z13" i="54"/>
  <c r="AA13" i="54"/>
  <c r="AC13" i="57"/>
  <c r="AB13" i="44"/>
  <c r="AB13" i="47"/>
  <c r="AC13" i="47"/>
  <c r="AB13" i="54"/>
  <c r="AE13" i="57"/>
  <c r="AD13" i="44"/>
  <c r="AE13" i="44"/>
  <c r="AD13" i="47"/>
  <c r="I17" i="49" s="1"/>
  <c r="AE13" i="47"/>
  <c r="I65" i="49" s="1"/>
  <c r="AD13" i="51"/>
  <c r="I19" i="52" s="1"/>
  <c r="AE13" i="51"/>
  <c r="I81" i="52" s="1"/>
  <c r="AD13" i="54"/>
  <c r="J17" i="56" s="1"/>
  <c r="AE13" i="54"/>
  <c r="J66" i="56" s="1"/>
  <c r="AG13" i="57"/>
  <c r="J65" i="59" s="1"/>
  <c r="AF13" i="44"/>
  <c r="AG13" i="44"/>
  <c r="AF13" i="47"/>
  <c r="AG13" i="47"/>
  <c r="AF13" i="51"/>
  <c r="AG13" i="51"/>
  <c r="AF13" i="54"/>
  <c r="AG13" i="54"/>
  <c r="AI13" i="57"/>
  <c r="AH13" i="44"/>
  <c r="AI13" i="44"/>
  <c r="AH13" i="47"/>
  <c r="S17" i="49" s="1"/>
  <c r="AI13" i="47"/>
  <c r="S65" i="49" s="1"/>
  <c r="AH13" i="51"/>
  <c r="AI13" i="51"/>
  <c r="AH13" i="54"/>
  <c r="AI13" i="54"/>
  <c r="AK13" i="57"/>
  <c r="AJ13" i="44"/>
  <c r="AK13" i="44"/>
  <c r="AJ13" i="47"/>
  <c r="C17" i="49" s="1"/>
  <c r="AK13" i="47"/>
  <c r="C65" i="49" s="1"/>
  <c r="AJ13" i="51"/>
  <c r="E19" i="52" s="1"/>
  <c r="AK13" i="51"/>
  <c r="E81" i="52" s="1"/>
  <c r="AJ13" i="54"/>
  <c r="C17" i="56" s="1"/>
  <c r="AK13" i="54"/>
  <c r="C66" i="56" s="1"/>
  <c r="AM13" i="57"/>
  <c r="AL13" i="44"/>
  <c r="E17" i="45" s="1"/>
  <c r="AM13" i="44"/>
  <c r="E65" i="45" s="1"/>
  <c r="AL13" i="47"/>
  <c r="E17" i="49" s="1"/>
  <c r="AM13" i="47"/>
  <c r="E65" i="49" s="1"/>
  <c r="AL13" i="51"/>
  <c r="G19" i="52" s="1"/>
  <c r="AM13" i="51"/>
  <c r="G81" i="52" s="1"/>
  <c r="AL13" i="54"/>
  <c r="E17" i="56" s="1"/>
  <c r="AM13" i="54"/>
  <c r="E66" i="56" s="1"/>
  <c r="AO13" i="57"/>
  <c r="AN13" i="47"/>
  <c r="D17" i="49" s="1"/>
  <c r="AO13" i="47"/>
  <c r="D65" i="49" s="1"/>
  <c r="AN13" i="51"/>
  <c r="J19" i="52" s="1"/>
  <c r="AO13" i="51"/>
  <c r="J81" i="52" s="1"/>
  <c r="AN13" i="54"/>
  <c r="G17" i="56" s="1"/>
  <c r="AO13" i="54"/>
  <c r="G66" i="56" s="1"/>
  <c r="AQ13" i="57"/>
  <c r="AP13" i="47"/>
  <c r="H17" i="49" s="1"/>
  <c r="AQ13" i="47"/>
  <c r="H65" i="49" s="1"/>
  <c r="AP13" i="51"/>
  <c r="L19" i="52" s="1"/>
  <c r="AQ13" i="51"/>
  <c r="L81" i="52" s="1"/>
  <c r="AP13" i="54"/>
  <c r="F17" i="56" s="1"/>
  <c r="AQ13" i="54"/>
  <c r="F66" i="56" s="1"/>
  <c r="AS13" i="57"/>
  <c r="K65" i="59" s="1"/>
  <c r="AR13" i="47"/>
  <c r="AS13" i="47"/>
  <c r="AR13" i="51"/>
  <c r="AS13" i="51"/>
  <c r="AR13" i="54"/>
  <c r="AS13" i="54"/>
  <c r="AU13" i="57"/>
  <c r="AU13" i="47"/>
  <c r="G65" i="49" s="1"/>
  <c r="AT13" i="51"/>
  <c r="F19" i="52" s="1"/>
  <c r="AU13" i="51"/>
  <c r="F81" i="52" s="1"/>
  <c r="AT13" i="54"/>
  <c r="D17" i="56" s="1"/>
  <c r="AU13" i="54"/>
  <c r="D66" i="56" s="1"/>
  <c r="AW13" i="57"/>
  <c r="AV13" i="51"/>
  <c r="AW13" i="51"/>
  <c r="AV13" i="54"/>
  <c r="AW13" i="54"/>
  <c r="AY13" i="57"/>
  <c r="AX13" i="51"/>
  <c r="AY13" i="51"/>
  <c r="AX13" i="54"/>
  <c r="AY13" i="54"/>
  <c r="BA13" i="57"/>
  <c r="AZ13" i="51"/>
  <c r="BA13" i="51"/>
  <c r="AZ13" i="54"/>
  <c r="BA13" i="54"/>
  <c r="BC13" i="57"/>
  <c r="BB13" i="51"/>
  <c r="P19" i="52" s="1"/>
  <c r="BC13" i="51"/>
  <c r="P81" i="52" s="1"/>
  <c r="BB13" i="54"/>
  <c r="BC13" i="54"/>
  <c r="BE13" i="57"/>
  <c r="BD13" i="51"/>
  <c r="O19" i="52" s="1"/>
  <c r="BE13" i="51"/>
  <c r="O81" i="52" s="1"/>
  <c r="BD13" i="54"/>
  <c r="BE13" i="54"/>
  <c r="BG13" i="57"/>
  <c r="N65" i="59" s="1"/>
  <c r="BF13" i="51"/>
  <c r="Q19" i="52" s="1"/>
  <c r="BG13" i="51"/>
  <c r="Q81" i="52" s="1"/>
  <c r="BF13" i="54"/>
  <c r="BG13" i="54"/>
  <c r="BI13" i="57"/>
  <c r="BH13" i="51"/>
  <c r="BI13" i="51"/>
  <c r="BH13" i="54"/>
  <c r="BI13" i="54"/>
  <c r="BJ13" i="54"/>
  <c r="BK13" i="54"/>
  <c r="BL13" i="54"/>
  <c r="BM13" i="54"/>
  <c r="BR13" i="54"/>
  <c r="BS13" i="54"/>
  <c r="BT13" i="54"/>
  <c r="BV13" i="54"/>
  <c r="BW13" i="54"/>
  <c r="BX13" i="54"/>
  <c r="BY13" i="54"/>
  <c r="F13" i="57"/>
  <c r="H13" i="57"/>
  <c r="E17" i="59" s="1"/>
  <c r="J13" i="57"/>
  <c r="O17" i="59" s="1"/>
  <c r="L13" i="57"/>
  <c r="N13" i="57"/>
  <c r="P13" i="57"/>
  <c r="R13" i="57"/>
  <c r="G17" i="59" s="1"/>
  <c r="T13" i="57"/>
  <c r="V13" i="57"/>
  <c r="L17" i="59" s="1"/>
  <c r="X13" i="57"/>
  <c r="Z13" i="57"/>
  <c r="AB13" i="57"/>
  <c r="AD13" i="57"/>
  <c r="AF13" i="57"/>
  <c r="J17" i="59" s="1"/>
  <c r="AH13" i="57"/>
  <c r="AJ13" i="57"/>
  <c r="AL13" i="57"/>
  <c r="AN13" i="57"/>
  <c r="AP13" i="57"/>
  <c r="AR13" i="57"/>
  <c r="K17" i="59" s="1"/>
  <c r="AT13" i="57"/>
  <c r="AV13" i="57"/>
  <c r="AX13" i="57"/>
  <c r="AZ13" i="57"/>
  <c r="BB13" i="57"/>
  <c r="BD13" i="57"/>
  <c r="BF13" i="57"/>
  <c r="N17" i="59" s="1"/>
  <c r="BH13" i="57"/>
  <c r="D13" i="57"/>
  <c r="D17" i="59" s="1"/>
  <c r="E12" i="57"/>
  <c r="D12" i="44"/>
  <c r="D12" i="47"/>
  <c r="M16" i="49" s="1"/>
  <c r="E12" i="47"/>
  <c r="M64" i="49" s="1"/>
  <c r="D12" i="51"/>
  <c r="H18" i="52" s="1"/>
  <c r="E12" i="51"/>
  <c r="H80" i="52" s="1"/>
  <c r="D12" i="54"/>
  <c r="K16" i="56" s="1"/>
  <c r="E12" i="54"/>
  <c r="K65" i="56" s="1"/>
  <c r="F12" i="44"/>
  <c r="G12" i="44"/>
  <c r="F12" i="47"/>
  <c r="K16" i="49" s="1"/>
  <c r="G12" i="47"/>
  <c r="K64" i="49" s="1"/>
  <c r="F12" i="51"/>
  <c r="G12" i="51"/>
  <c r="F12" i="54"/>
  <c r="I16" i="56" s="1"/>
  <c r="G12" i="54"/>
  <c r="I65" i="56" s="1"/>
  <c r="I12" i="57"/>
  <c r="H12" i="44"/>
  <c r="J16" i="45" s="1"/>
  <c r="I12" i="44"/>
  <c r="J64" i="45" s="1"/>
  <c r="H12" i="47"/>
  <c r="I12" i="47"/>
  <c r="H12" i="51"/>
  <c r="I12" i="51"/>
  <c r="H12" i="54"/>
  <c r="I12" i="54"/>
  <c r="J12" i="44"/>
  <c r="K12" i="44"/>
  <c r="J12" i="47"/>
  <c r="K12" i="47"/>
  <c r="J12" i="51"/>
  <c r="K12" i="51"/>
  <c r="J12" i="54"/>
  <c r="K12" i="54"/>
  <c r="M12" i="57"/>
  <c r="L12" i="44"/>
  <c r="M12" i="44"/>
  <c r="L12" i="47"/>
  <c r="L16" i="49" s="1"/>
  <c r="M12" i="47"/>
  <c r="L64" i="49" s="1"/>
  <c r="L12" i="51"/>
  <c r="M18" i="52" s="1"/>
  <c r="M12" i="51"/>
  <c r="M80" i="52" s="1"/>
  <c r="L12" i="54"/>
  <c r="M12" i="54"/>
  <c r="N12" i="44"/>
  <c r="U16" i="45" s="1"/>
  <c r="O12" i="44"/>
  <c r="U64" i="45" s="1"/>
  <c r="N12" i="47"/>
  <c r="O12" i="47"/>
  <c r="N12" i="51"/>
  <c r="O12" i="51"/>
  <c r="N12" i="54"/>
  <c r="O12" i="54"/>
  <c r="Q12" i="57"/>
  <c r="P12" i="44"/>
  <c r="Q12" i="44"/>
  <c r="P12" i="47"/>
  <c r="F16" i="49" s="1"/>
  <c r="Q12" i="47"/>
  <c r="F64" i="49" s="1"/>
  <c r="P12" i="51"/>
  <c r="K18" i="52" s="1"/>
  <c r="Q12" i="51"/>
  <c r="K80" i="52" s="1"/>
  <c r="P12" i="54"/>
  <c r="H16" i="56" s="1"/>
  <c r="Q12" i="54"/>
  <c r="H65" i="56" s="1"/>
  <c r="R12" i="44"/>
  <c r="G16" i="45" s="1"/>
  <c r="S12" i="44"/>
  <c r="G64" i="45" s="1"/>
  <c r="R12" i="47"/>
  <c r="S12" i="47"/>
  <c r="R12" i="51"/>
  <c r="S12" i="51"/>
  <c r="R12" i="54"/>
  <c r="S12" i="54"/>
  <c r="U12" i="57"/>
  <c r="T12" i="44"/>
  <c r="S16" i="45" s="1"/>
  <c r="U12" i="44"/>
  <c r="S64" i="45" s="1"/>
  <c r="T12" i="47"/>
  <c r="U12" i="47"/>
  <c r="T12" i="51"/>
  <c r="U12" i="51"/>
  <c r="T12" i="54"/>
  <c r="U12" i="54"/>
  <c r="V12" i="44"/>
  <c r="W12" i="44"/>
  <c r="V12" i="47"/>
  <c r="W12" i="47"/>
  <c r="V12" i="51"/>
  <c r="W12" i="51"/>
  <c r="V12" i="54"/>
  <c r="W12" i="54"/>
  <c r="Y12" i="57"/>
  <c r="X12" i="44"/>
  <c r="Y12" i="44"/>
  <c r="X12" i="47"/>
  <c r="Y12" i="47"/>
  <c r="X12" i="54"/>
  <c r="Y12" i="54"/>
  <c r="Z12" i="44"/>
  <c r="AA12" i="44"/>
  <c r="Z12" i="47"/>
  <c r="AA12" i="47"/>
  <c r="Z12" i="51"/>
  <c r="AA12" i="51"/>
  <c r="Z12" i="54"/>
  <c r="AA12" i="54"/>
  <c r="AC12" i="57"/>
  <c r="AB12" i="44"/>
  <c r="AC12" i="44"/>
  <c r="AB12" i="47"/>
  <c r="AC12" i="47"/>
  <c r="AB12" i="51"/>
  <c r="AC12" i="51"/>
  <c r="AB12" i="54"/>
  <c r="AC12" i="54"/>
  <c r="AD12" i="44"/>
  <c r="AE12" i="44"/>
  <c r="AD12" i="47"/>
  <c r="I16" i="49" s="1"/>
  <c r="AE12" i="47"/>
  <c r="I64" i="49" s="1"/>
  <c r="AD12" i="51"/>
  <c r="I18" i="52" s="1"/>
  <c r="AE12" i="51"/>
  <c r="I80" i="52" s="1"/>
  <c r="AD12" i="54"/>
  <c r="J16" i="56" s="1"/>
  <c r="AE12" i="54"/>
  <c r="J65" i="56" s="1"/>
  <c r="AG12" i="57"/>
  <c r="J64" i="59" s="1"/>
  <c r="AF12" i="44"/>
  <c r="AG12" i="44"/>
  <c r="AF12" i="47"/>
  <c r="AG12" i="47"/>
  <c r="AF12" i="51"/>
  <c r="AG12" i="51"/>
  <c r="AF12" i="54"/>
  <c r="AG12" i="54"/>
  <c r="AI12" i="44"/>
  <c r="AH12" i="47"/>
  <c r="S16" i="49" s="1"/>
  <c r="AI12" i="47"/>
  <c r="S64" i="49" s="1"/>
  <c r="AH12" i="51"/>
  <c r="AI12" i="51"/>
  <c r="AH12" i="54"/>
  <c r="AI12" i="54"/>
  <c r="AK12" i="57"/>
  <c r="AJ12" i="44"/>
  <c r="AK12" i="44"/>
  <c r="AJ12" i="47"/>
  <c r="C16" i="49" s="1"/>
  <c r="AK12" i="47"/>
  <c r="C64" i="49" s="1"/>
  <c r="AJ12" i="51"/>
  <c r="E18" i="52" s="1"/>
  <c r="AK12" i="51"/>
  <c r="E80" i="52" s="1"/>
  <c r="AJ12" i="54"/>
  <c r="C16" i="56" s="1"/>
  <c r="AK12" i="54"/>
  <c r="C65" i="56" s="1"/>
  <c r="AL12" i="44"/>
  <c r="E16" i="45" s="1"/>
  <c r="AM12" i="44"/>
  <c r="E64" i="45" s="1"/>
  <c r="AL12" i="47"/>
  <c r="E16" i="49" s="1"/>
  <c r="AM12" i="47"/>
  <c r="E64" i="49" s="1"/>
  <c r="AL12" i="51"/>
  <c r="G18" i="52" s="1"/>
  <c r="AM12" i="51"/>
  <c r="G80" i="52" s="1"/>
  <c r="AL12" i="54"/>
  <c r="E16" i="56" s="1"/>
  <c r="AM12" i="54"/>
  <c r="E65" i="56" s="1"/>
  <c r="AN12" i="47"/>
  <c r="D16" i="49" s="1"/>
  <c r="AO12" i="47"/>
  <c r="D64" i="49" s="1"/>
  <c r="AN12" i="51"/>
  <c r="J18" i="52" s="1"/>
  <c r="AO12" i="51"/>
  <c r="J80" i="52" s="1"/>
  <c r="AN12" i="54"/>
  <c r="G16" i="56" s="1"/>
  <c r="AO12" i="54"/>
  <c r="G65" i="56" s="1"/>
  <c r="AP12" i="47"/>
  <c r="H16" i="49" s="1"/>
  <c r="AQ12" i="47"/>
  <c r="H64" i="49" s="1"/>
  <c r="AP12" i="51"/>
  <c r="L18" i="52" s="1"/>
  <c r="AQ12" i="51"/>
  <c r="L80" i="52" s="1"/>
  <c r="AP12" i="54"/>
  <c r="F16" i="56" s="1"/>
  <c r="AQ12" i="54"/>
  <c r="F65" i="56" s="1"/>
  <c r="AS12" i="57"/>
  <c r="K64" i="59" s="1"/>
  <c r="AR12" i="47"/>
  <c r="AS12" i="47"/>
  <c r="AR12" i="51"/>
  <c r="AS12" i="51"/>
  <c r="AR12" i="54"/>
  <c r="AS12" i="54"/>
  <c r="AT12" i="47"/>
  <c r="G16" i="49" s="1"/>
  <c r="AU12" i="47"/>
  <c r="G64" i="49" s="1"/>
  <c r="AT12" i="51"/>
  <c r="F18" i="52" s="1"/>
  <c r="AU12" i="51"/>
  <c r="F80" i="52" s="1"/>
  <c r="AT12" i="54"/>
  <c r="D16" i="56" s="1"/>
  <c r="AU12" i="54"/>
  <c r="D65" i="56" s="1"/>
  <c r="AW12" i="57"/>
  <c r="AV12" i="51"/>
  <c r="AW12" i="51"/>
  <c r="AV12" i="54"/>
  <c r="AW12" i="54"/>
  <c r="AX12" i="51"/>
  <c r="AY12" i="51"/>
  <c r="AX12" i="54"/>
  <c r="AY12" i="54"/>
  <c r="BA12" i="57"/>
  <c r="AZ12" i="51"/>
  <c r="BA12" i="51"/>
  <c r="AZ12" i="54"/>
  <c r="BA12" i="54"/>
  <c r="BB12" i="51"/>
  <c r="P18" i="52" s="1"/>
  <c r="BC12" i="51"/>
  <c r="P80" i="52" s="1"/>
  <c r="BB12" i="54"/>
  <c r="BC12" i="54"/>
  <c r="BE12" i="57"/>
  <c r="BD12" i="51"/>
  <c r="O18" i="52" s="1"/>
  <c r="BE12" i="51"/>
  <c r="O80" i="52" s="1"/>
  <c r="BD12" i="54"/>
  <c r="BE12" i="54"/>
  <c r="BF12" i="51"/>
  <c r="Q18" i="52" s="1"/>
  <c r="BG12" i="51"/>
  <c r="Q80" i="52" s="1"/>
  <c r="BF12" i="54"/>
  <c r="BG12" i="54"/>
  <c r="BI12" i="57"/>
  <c r="BH12" i="51"/>
  <c r="BI12" i="51"/>
  <c r="BH12" i="54"/>
  <c r="BI12" i="54"/>
  <c r="BJ12" i="54"/>
  <c r="BK12" i="54"/>
  <c r="BL12" i="54"/>
  <c r="BR12" i="54"/>
  <c r="BS12" i="54"/>
  <c r="BT12" i="54"/>
  <c r="BU12" i="54"/>
  <c r="BV12" i="54"/>
  <c r="BW12" i="54"/>
  <c r="F12" i="57"/>
  <c r="H12" i="57"/>
  <c r="E16" i="59" s="1"/>
  <c r="J12" i="57"/>
  <c r="O16" i="59" s="1"/>
  <c r="L12" i="57"/>
  <c r="N12" i="57"/>
  <c r="P12" i="57"/>
  <c r="R12" i="57"/>
  <c r="G16" i="59" s="1"/>
  <c r="T12" i="57"/>
  <c r="V12" i="57"/>
  <c r="L16" i="59" s="1"/>
  <c r="X12" i="57"/>
  <c r="Z12" i="57"/>
  <c r="AB12" i="57"/>
  <c r="AD12" i="57"/>
  <c r="AF12" i="57"/>
  <c r="J16" i="59" s="1"/>
  <c r="AH12" i="57"/>
  <c r="AJ12" i="57"/>
  <c r="AL12" i="57"/>
  <c r="AN12" i="57"/>
  <c r="AP12" i="57"/>
  <c r="AR12" i="57"/>
  <c r="K16" i="59" s="1"/>
  <c r="AT12" i="57"/>
  <c r="AV12" i="57"/>
  <c r="AX12" i="57"/>
  <c r="AZ12" i="57"/>
  <c r="BB12" i="57"/>
  <c r="BD12" i="57"/>
  <c r="BF12" i="57"/>
  <c r="N16" i="59" s="1"/>
  <c r="BH12" i="57"/>
  <c r="D12" i="57"/>
  <c r="D16" i="59" s="1"/>
  <c r="E11" i="57"/>
  <c r="D11" i="44"/>
  <c r="E11" i="44"/>
  <c r="H63" i="45" s="1"/>
  <c r="D11" i="47"/>
  <c r="M15" i="49" s="1"/>
  <c r="E11" i="47"/>
  <c r="M63" i="49" s="1"/>
  <c r="D11" i="51"/>
  <c r="H17" i="52" s="1"/>
  <c r="E11" i="51"/>
  <c r="H79" i="52" s="1"/>
  <c r="D11" i="54"/>
  <c r="K15" i="56" s="1"/>
  <c r="E11" i="54"/>
  <c r="K64" i="56" s="1"/>
  <c r="G11" i="57"/>
  <c r="F11" i="44"/>
  <c r="G11" i="44"/>
  <c r="F11" i="47"/>
  <c r="K15" i="49" s="1"/>
  <c r="G11" i="47"/>
  <c r="K63" i="49" s="1"/>
  <c r="F11" i="51"/>
  <c r="G11" i="51"/>
  <c r="F11" i="54"/>
  <c r="I15" i="56" s="1"/>
  <c r="G11" i="54"/>
  <c r="I64" i="56" s="1"/>
  <c r="I11" i="57"/>
  <c r="H11" i="44"/>
  <c r="J15" i="45" s="1"/>
  <c r="I11" i="44"/>
  <c r="J63" i="45" s="1"/>
  <c r="H11" i="47"/>
  <c r="I11" i="47"/>
  <c r="H11" i="51"/>
  <c r="I11" i="51"/>
  <c r="H11" i="54"/>
  <c r="I11" i="54"/>
  <c r="K11" i="57"/>
  <c r="O63" i="59" s="1"/>
  <c r="J11" i="44"/>
  <c r="K11" i="44"/>
  <c r="J11" i="47"/>
  <c r="K11" i="47"/>
  <c r="J11" i="51"/>
  <c r="J11" i="54"/>
  <c r="K11" i="54"/>
  <c r="M11" i="57"/>
  <c r="L11" i="44"/>
  <c r="M11" i="44"/>
  <c r="L11" i="47"/>
  <c r="L15" i="49" s="1"/>
  <c r="M11" i="47"/>
  <c r="L63" i="49" s="1"/>
  <c r="L11" i="51"/>
  <c r="M17" i="52" s="1"/>
  <c r="M11" i="51"/>
  <c r="M79" i="52" s="1"/>
  <c r="L11" i="54"/>
  <c r="M11" i="54"/>
  <c r="O11" i="57"/>
  <c r="E63" i="59" s="1"/>
  <c r="N11" i="44"/>
  <c r="U15" i="45" s="1"/>
  <c r="O11" i="44"/>
  <c r="U63" i="45" s="1"/>
  <c r="N11" i="47"/>
  <c r="O11" i="47"/>
  <c r="N11" i="51"/>
  <c r="O11" i="51"/>
  <c r="N11" i="54"/>
  <c r="O11" i="54"/>
  <c r="Q11" i="57"/>
  <c r="Q11" i="44"/>
  <c r="P11" i="47"/>
  <c r="F15" i="49" s="1"/>
  <c r="Q11" i="47"/>
  <c r="F63" i="49" s="1"/>
  <c r="P11" i="51"/>
  <c r="K17" i="52" s="1"/>
  <c r="Q11" i="51"/>
  <c r="K79" i="52" s="1"/>
  <c r="P11" i="54"/>
  <c r="H15" i="56" s="1"/>
  <c r="Q11" i="54"/>
  <c r="H64" i="56" s="1"/>
  <c r="S11" i="57"/>
  <c r="G63" i="59" s="1"/>
  <c r="R11" i="44"/>
  <c r="G15" i="45" s="1"/>
  <c r="S11" i="44"/>
  <c r="G63" i="45" s="1"/>
  <c r="R11" i="47"/>
  <c r="S11" i="47"/>
  <c r="R11" i="51"/>
  <c r="S11" i="51"/>
  <c r="R11" i="54"/>
  <c r="S11" i="54"/>
  <c r="U11" i="57"/>
  <c r="T11" i="44"/>
  <c r="S15" i="45" s="1"/>
  <c r="U11" i="44"/>
  <c r="S63" i="45" s="1"/>
  <c r="T11" i="47"/>
  <c r="U11" i="47"/>
  <c r="T11" i="51"/>
  <c r="U11" i="51"/>
  <c r="T11" i="54"/>
  <c r="U11" i="54"/>
  <c r="W11" i="57"/>
  <c r="L63" i="59" s="1"/>
  <c r="V11" i="44"/>
  <c r="W11" i="44"/>
  <c r="V11" i="47"/>
  <c r="W11" i="47"/>
  <c r="V11" i="54"/>
  <c r="W11" i="54"/>
  <c r="Y11" i="57"/>
  <c r="X11" i="44"/>
  <c r="Y11" i="44"/>
  <c r="X11" i="47"/>
  <c r="Y11" i="47"/>
  <c r="X11" i="54"/>
  <c r="Y11" i="54"/>
  <c r="AA11" i="57"/>
  <c r="Z11" i="44"/>
  <c r="Z11" i="47"/>
  <c r="AA11" i="47"/>
  <c r="Z11" i="51"/>
  <c r="AA11" i="51"/>
  <c r="Z11" i="54"/>
  <c r="AA11" i="54"/>
  <c r="AC11" i="57"/>
  <c r="AB11" i="44"/>
  <c r="AC11" i="44"/>
  <c r="AB11" i="47"/>
  <c r="AC11" i="47"/>
  <c r="AB11" i="51"/>
  <c r="AC11" i="51"/>
  <c r="AB11" i="54"/>
  <c r="AC11" i="54"/>
  <c r="AE11" i="57"/>
  <c r="AD11" i="44"/>
  <c r="AE11" i="44"/>
  <c r="AD11" i="47"/>
  <c r="I15" i="49" s="1"/>
  <c r="AE11" i="47"/>
  <c r="I63" i="49" s="1"/>
  <c r="AD11" i="51"/>
  <c r="I17" i="52" s="1"/>
  <c r="AE11" i="51"/>
  <c r="I79" i="52" s="1"/>
  <c r="AD11" i="54"/>
  <c r="J15" i="56" s="1"/>
  <c r="AE11" i="54"/>
  <c r="J64" i="56" s="1"/>
  <c r="AG11" i="57"/>
  <c r="J63" i="59" s="1"/>
  <c r="AF11" i="44"/>
  <c r="AG11" i="44"/>
  <c r="AF11" i="47"/>
  <c r="AG11" i="47"/>
  <c r="AF11" i="51"/>
  <c r="AG11" i="51"/>
  <c r="AF11" i="54"/>
  <c r="AG11" i="54"/>
  <c r="AI11" i="57"/>
  <c r="AH11" i="44"/>
  <c r="AI11" i="44"/>
  <c r="AH11" i="47"/>
  <c r="S15" i="49" s="1"/>
  <c r="AI11" i="47"/>
  <c r="S63" i="49" s="1"/>
  <c r="AH11" i="51"/>
  <c r="AI11" i="51"/>
  <c r="AH11" i="54"/>
  <c r="AI11" i="54"/>
  <c r="AK11" i="57"/>
  <c r="AJ11" i="44"/>
  <c r="AK11" i="44"/>
  <c r="AK11" i="47"/>
  <c r="C63" i="49" s="1"/>
  <c r="AJ11" i="51"/>
  <c r="E17" i="52" s="1"/>
  <c r="AK11" i="51"/>
  <c r="E79" i="52" s="1"/>
  <c r="AJ11" i="54"/>
  <c r="C15" i="56" s="1"/>
  <c r="AK11" i="54"/>
  <c r="C64" i="56" s="1"/>
  <c r="AM11" i="57"/>
  <c r="AL11" i="44"/>
  <c r="E15" i="45" s="1"/>
  <c r="AM11" i="44"/>
  <c r="E63" i="45" s="1"/>
  <c r="AL11" i="47"/>
  <c r="E15" i="49" s="1"/>
  <c r="AM11" i="47"/>
  <c r="E63" i="49" s="1"/>
  <c r="AL11" i="51"/>
  <c r="G17" i="52" s="1"/>
  <c r="AM11" i="51"/>
  <c r="G79" i="52" s="1"/>
  <c r="AL11" i="54"/>
  <c r="E15" i="56" s="1"/>
  <c r="AM11" i="54"/>
  <c r="E64" i="56" s="1"/>
  <c r="AO11" i="57"/>
  <c r="AN11" i="47"/>
  <c r="D15" i="49" s="1"/>
  <c r="AO11" i="47"/>
  <c r="D63" i="49" s="1"/>
  <c r="AN11" i="51"/>
  <c r="J17" i="52" s="1"/>
  <c r="AO11" i="51"/>
  <c r="J79" i="52" s="1"/>
  <c r="AN11" i="54"/>
  <c r="G15" i="56" s="1"/>
  <c r="AO11" i="54"/>
  <c r="G64" i="56" s="1"/>
  <c r="AQ11" i="57"/>
  <c r="AP11" i="47"/>
  <c r="H15" i="49" s="1"/>
  <c r="AQ11" i="47"/>
  <c r="H63" i="49" s="1"/>
  <c r="AP11" i="51"/>
  <c r="L17" i="52" s="1"/>
  <c r="AQ11" i="51"/>
  <c r="L79" i="52" s="1"/>
  <c r="AP11" i="54"/>
  <c r="F15" i="56" s="1"/>
  <c r="AQ11" i="54"/>
  <c r="F64" i="56" s="1"/>
  <c r="AS11" i="57"/>
  <c r="K63" i="59" s="1"/>
  <c r="AR11" i="47"/>
  <c r="AS11" i="47"/>
  <c r="AR11" i="51"/>
  <c r="AS11" i="51"/>
  <c r="AR11" i="54"/>
  <c r="AS11" i="54"/>
  <c r="AU11" i="57"/>
  <c r="AT11" i="47"/>
  <c r="G15" i="49" s="1"/>
  <c r="AU11" i="47"/>
  <c r="G63" i="49" s="1"/>
  <c r="AT11" i="51"/>
  <c r="F17" i="52" s="1"/>
  <c r="AU11" i="51"/>
  <c r="F79" i="52" s="1"/>
  <c r="AT11" i="54"/>
  <c r="D15" i="56" s="1"/>
  <c r="AU11" i="54"/>
  <c r="D64" i="56" s="1"/>
  <c r="AW11" i="57"/>
  <c r="AV11" i="51"/>
  <c r="AW11" i="51"/>
  <c r="AV11" i="54"/>
  <c r="AW11" i="54"/>
  <c r="AY11" i="57"/>
  <c r="AX11" i="51"/>
  <c r="AY11" i="51"/>
  <c r="AX11" i="54"/>
  <c r="AY11" i="54"/>
  <c r="BA11" i="57"/>
  <c r="AZ11" i="51"/>
  <c r="BA11" i="51"/>
  <c r="AZ11" i="54"/>
  <c r="BA11" i="54"/>
  <c r="BC11" i="57"/>
  <c r="BB11" i="51"/>
  <c r="P17" i="52" s="1"/>
  <c r="BC11" i="51"/>
  <c r="P79" i="52" s="1"/>
  <c r="BB11" i="54"/>
  <c r="BC11" i="54"/>
  <c r="BE11" i="57"/>
  <c r="BD11" i="51"/>
  <c r="O17" i="52" s="1"/>
  <c r="BE11" i="51"/>
  <c r="O79" i="52" s="1"/>
  <c r="BD11" i="54"/>
  <c r="BE11" i="54"/>
  <c r="BG11" i="57"/>
  <c r="N63" i="59" s="1"/>
  <c r="BF11" i="51"/>
  <c r="Q17" i="52" s="1"/>
  <c r="BG11" i="51"/>
  <c r="Q79" i="52" s="1"/>
  <c r="BF11" i="54"/>
  <c r="BG11" i="54"/>
  <c r="BI11" i="57"/>
  <c r="BH11" i="51"/>
  <c r="BI11" i="51"/>
  <c r="BH11" i="54"/>
  <c r="BI11" i="54"/>
  <c r="BJ11" i="54"/>
  <c r="BL11" i="54"/>
  <c r="BM11" i="54"/>
  <c r="BP11" i="54"/>
  <c r="L15" i="56" s="1"/>
  <c r="BQ11" i="54"/>
  <c r="L64" i="56" s="1"/>
  <c r="BR11" i="54"/>
  <c r="BS11" i="54"/>
  <c r="BT11" i="54"/>
  <c r="BU11" i="54"/>
  <c r="H11" i="57"/>
  <c r="E15" i="59" s="1"/>
  <c r="J11" i="57"/>
  <c r="O15" i="59" s="1"/>
  <c r="L11" i="57"/>
  <c r="N11" i="57"/>
  <c r="P11" i="57"/>
  <c r="R11" i="57"/>
  <c r="G15" i="59" s="1"/>
  <c r="T11" i="57"/>
  <c r="X11" i="57"/>
  <c r="Z11" i="57"/>
  <c r="AB11" i="57"/>
  <c r="AF11" i="57"/>
  <c r="J15" i="59" s="1"/>
  <c r="AH11" i="57"/>
  <c r="AJ11" i="57"/>
  <c r="AN11" i="57"/>
  <c r="AP11" i="57"/>
  <c r="AR11" i="57"/>
  <c r="K15" i="59" s="1"/>
  <c r="AT11" i="57"/>
  <c r="AV11" i="57"/>
  <c r="AX11" i="57"/>
  <c r="AZ11" i="57"/>
  <c r="BD11" i="57"/>
  <c r="BF11" i="57"/>
  <c r="N15" i="59" s="1"/>
  <c r="BH11" i="57"/>
  <c r="D11" i="57"/>
  <c r="D15" i="59" s="1"/>
  <c r="E10" i="57"/>
  <c r="D10" i="44"/>
  <c r="E10" i="44"/>
  <c r="H62" i="45" s="1"/>
  <c r="D10" i="47"/>
  <c r="M14" i="49" s="1"/>
  <c r="E10" i="47"/>
  <c r="M62" i="49" s="1"/>
  <c r="D10" i="51"/>
  <c r="H16" i="52" s="1"/>
  <c r="E10" i="51"/>
  <c r="H78" i="52" s="1"/>
  <c r="D10" i="54"/>
  <c r="K14" i="56" s="1"/>
  <c r="E10" i="54"/>
  <c r="K63" i="56" s="1"/>
  <c r="G10" i="57"/>
  <c r="F10" i="44"/>
  <c r="G10" i="44"/>
  <c r="F10" i="47"/>
  <c r="K14" i="49" s="1"/>
  <c r="G10" i="47"/>
  <c r="K62" i="49" s="1"/>
  <c r="F10" i="51"/>
  <c r="G10" i="51"/>
  <c r="F10" i="54"/>
  <c r="I14" i="56" s="1"/>
  <c r="G10" i="54"/>
  <c r="I63" i="56" s="1"/>
  <c r="I10" i="57"/>
  <c r="H10" i="44"/>
  <c r="J14" i="45" s="1"/>
  <c r="I10" i="44"/>
  <c r="J62" i="45" s="1"/>
  <c r="H10" i="47"/>
  <c r="I10" i="47"/>
  <c r="H10" i="51"/>
  <c r="I10" i="51"/>
  <c r="H10" i="54"/>
  <c r="I10" i="54"/>
  <c r="K10" i="57"/>
  <c r="O62" i="59" s="1"/>
  <c r="J10" i="44"/>
  <c r="K10" i="44"/>
  <c r="J10" i="47"/>
  <c r="K10" i="47"/>
  <c r="J10" i="51"/>
  <c r="K10" i="51"/>
  <c r="J10" i="54"/>
  <c r="K10" i="54"/>
  <c r="M10" i="57"/>
  <c r="L10" i="44"/>
  <c r="M10" i="44"/>
  <c r="L10" i="47"/>
  <c r="L14" i="49" s="1"/>
  <c r="M10" i="47"/>
  <c r="L62" i="49" s="1"/>
  <c r="L10" i="51"/>
  <c r="M16" i="52" s="1"/>
  <c r="M10" i="51"/>
  <c r="M78" i="52" s="1"/>
  <c r="L10" i="54"/>
  <c r="M10" i="54"/>
  <c r="O10" i="57"/>
  <c r="E62" i="59" s="1"/>
  <c r="N10" i="44"/>
  <c r="O10" i="44"/>
  <c r="N10" i="47"/>
  <c r="O10" i="47"/>
  <c r="N10" i="51"/>
  <c r="O10" i="51"/>
  <c r="N10" i="54"/>
  <c r="O10" i="54"/>
  <c r="Q10" i="57"/>
  <c r="P10" i="44"/>
  <c r="Q10" i="44"/>
  <c r="P10" i="47"/>
  <c r="F14" i="49" s="1"/>
  <c r="Q10" i="47"/>
  <c r="F62" i="49" s="1"/>
  <c r="P10" i="51"/>
  <c r="K16" i="52" s="1"/>
  <c r="Q10" i="51"/>
  <c r="K78" i="52" s="1"/>
  <c r="P10" i="54"/>
  <c r="H14" i="56" s="1"/>
  <c r="Q10" i="54"/>
  <c r="H63" i="56" s="1"/>
  <c r="S10" i="57"/>
  <c r="G62" i="59" s="1"/>
  <c r="R10" i="44"/>
  <c r="G14" i="45" s="1"/>
  <c r="S10" i="44"/>
  <c r="G62" i="45" s="1"/>
  <c r="R10" i="47"/>
  <c r="S10" i="47"/>
  <c r="R10" i="51"/>
  <c r="S10" i="51"/>
  <c r="R10" i="54"/>
  <c r="S10" i="54"/>
  <c r="U10" i="57"/>
  <c r="T10" i="44"/>
  <c r="S14" i="45" s="1"/>
  <c r="U10" i="44"/>
  <c r="S62" i="45" s="1"/>
  <c r="T10" i="47"/>
  <c r="U10" i="47"/>
  <c r="T10" i="54"/>
  <c r="U10" i="54"/>
  <c r="W10" i="57"/>
  <c r="L62" i="59" s="1"/>
  <c r="V10" i="44"/>
  <c r="W10" i="44"/>
  <c r="V10" i="47"/>
  <c r="W10" i="47"/>
  <c r="V10" i="54"/>
  <c r="W10" i="54"/>
  <c r="Y10" i="57"/>
  <c r="X10" i="44"/>
  <c r="Y10" i="44"/>
  <c r="X10" i="47"/>
  <c r="Y10" i="47"/>
  <c r="X10" i="51"/>
  <c r="Y10" i="51"/>
  <c r="X10" i="54"/>
  <c r="Y10" i="54"/>
  <c r="AA10" i="57"/>
  <c r="Z10" i="44"/>
  <c r="AA10" i="44"/>
  <c r="Z10" i="47"/>
  <c r="AA10" i="47"/>
  <c r="Z10" i="51"/>
  <c r="AA10" i="51"/>
  <c r="Z10" i="54"/>
  <c r="AA10" i="54"/>
  <c r="AC10" i="57"/>
  <c r="AB10" i="44"/>
  <c r="AC10" i="44"/>
  <c r="AB10" i="47"/>
  <c r="AC10" i="47"/>
  <c r="AB10" i="51"/>
  <c r="AC10" i="51"/>
  <c r="AB10" i="54"/>
  <c r="AC10" i="54"/>
  <c r="AE10" i="57"/>
  <c r="AD10" i="44"/>
  <c r="AE10" i="44"/>
  <c r="AD10" i="47"/>
  <c r="I14" i="49" s="1"/>
  <c r="AE10" i="47"/>
  <c r="I62" i="49" s="1"/>
  <c r="AD10" i="51"/>
  <c r="I16" i="52" s="1"/>
  <c r="AE10" i="51"/>
  <c r="I78" i="52" s="1"/>
  <c r="AD10" i="54"/>
  <c r="J14" i="56" s="1"/>
  <c r="AE10" i="54"/>
  <c r="J63" i="56" s="1"/>
  <c r="AG10" i="57"/>
  <c r="J62" i="59" s="1"/>
  <c r="AF10" i="44"/>
  <c r="AG10" i="44"/>
  <c r="AF10" i="47"/>
  <c r="AG10" i="47"/>
  <c r="AF10" i="51"/>
  <c r="AG10" i="51"/>
  <c r="AF10" i="54"/>
  <c r="AG10" i="54"/>
  <c r="AI10" i="57"/>
  <c r="AH10" i="44"/>
  <c r="AI10" i="44"/>
  <c r="AH10" i="47"/>
  <c r="S14" i="49" s="1"/>
  <c r="AI10" i="47"/>
  <c r="S62" i="49" s="1"/>
  <c r="AH10" i="51"/>
  <c r="AI10" i="51"/>
  <c r="AH10" i="54"/>
  <c r="AI10" i="54"/>
  <c r="AK10" i="57"/>
  <c r="AJ10" i="44"/>
  <c r="AK10" i="44"/>
  <c r="AJ10" i="47"/>
  <c r="C14" i="49" s="1"/>
  <c r="AK10" i="47"/>
  <c r="C62" i="49" s="1"/>
  <c r="AJ10" i="51"/>
  <c r="E16" i="52" s="1"/>
  <c r="AK10" i="51"/>
  <c r="E78" i="52" s="1"/>
  <c r="AJ10" i="54"/>
  <c r="C14" i="56" s="1"/>
  <c r="AK10" i="54"/>
  <c r="C63" i="56" s="1"/>
  <c r="AM10" i="57"/>
  <c r="AL10" i="44"/>
  <c r="E14" i="45" s="1"/>
  <c r="AM10" i="44"/>
  <c r="E62" i="45" s="1"/>
  <c r="AL10" i="47"/>
  <c r="E14" i="49" s="1"/>
  <c r="AM10" i="47"/>
  <c r="E62" i="49" s="1"/>
  <c r="AL10" i="51"/>
  <c r="G16" i="52" s="1"/>
  <c r="AM10" i="51"/>
  <c r="G78" i="52" s="1"/>
  <c r="AL10" i="54"/>
  <c r="E14" i="56" s="1"/>
  <c r="AM10" i="54"/>
  <c r="E63" i="56" s="1"/>
  <c r="AO10" i="57"/>
  <c r="AN10" i="47"/>
  <c r="D14" i="49" s="1"/>
  <c r="AO10" i="47"/>
  <c r="D62" i="49" s="1"/>
  <c r="AN10" i="51"/>
  <c r="J16" i="52" s="1"/>
  <c r="AO10" i="51"/>
  <c r="J78" i="52" s="1"/>
  <c r="AN10" i="54"/>
  <c r="G14" i="56" s="1"/>
  <c r="AO10" i="54"/>
  <c r="G63" i="56" s="1"/>
  <c r="AQ10" i="57"/>
  <c r="AP10" i="47"/>
  <c r="H14" i="49" s="1"/>
  <c r="AQ10" i="47"/>
  <c r="H62" i="49" s="1"/>
  <c r="AP10" i="51"/>
  <c r="L16" i="52" s="1"/>
  <c r="AQ10" i="51"/>
  <c r="L78" i="52" s="1"/>
  <c r="AP10" i="54"/>
  <c r="F14" i="56" s="1"/>
  <c r="AQ10" i="54"/>
  <c r="F63" i="56" s="1"/>
  <c r="AS10" i="57"/>
  <c r="K62" i="59" s="1"/>
  <c r="AR10" i="47"/>
  <c r="AS10" i="47"/>
  <c r="AR10" i="51"/>
  <c r="AS10" i="51"/>
  <c r="AR10" i="54"/>
  <c r="AS10" i="54"/>
  <c r="AU10" i="57"/>
  <c r="AT10" i="47"/>
  <c r="G14" i="49" s="1"/>
  <c r="AU10" i="47"/>
  <c r="G62" i="49" s="1"/>
  <c r="AT10" i="51"/>
  <c r="F16" i="52" s="1"/>
  <c r="AU10" i="51"/>
  <c r="F78" i="52" s="1"/>
  <c r="AT10" i="54"/>
  <c r="D14" i="56" s="1"/>
  <c r="AU10" i="54"/>
  <c r="D63" i="56" s="1"/>
  <c r="AW10" i="57"/>
  <c r="AV10" i="51"/>
  <c r="AW10" i="51"/>
  <c r="AV10" i="54"/>
  <c r="AW10" i="54"/>
  <c r="AY10" i="57"/>
  <c r="AX10" i="51"/>
  <c r="AY10" i="51"/>
  <c r="AX10" i="54"/>
  <c r="AY10" i="54"/>
  <c r="BA10" i="57"/>
  <c r="AZ10" i="51"/>
  <c r="BA10" i="51"/>
  <c r="AZ10" i="54"/>
  <c r="BA10" i="54"/>
  <c r="BC10" i="57"/>
  <c r="BB10" i="51"/>
  <c r="P16" i="52" s="1"/>
  <c r="BC10" i="51"/>
  <c r="P78" i="52" s="1"/>
  <c r="BB10" i="54"/>
  <c r="BC10" i="54"/>
  <c r="BE10" i="57"/>
  <c r="BD10" i="51"/>
  <c r="O16" i="52" s="1"/>
  <c r="BE10" i="51"/>
  <c r="O78" i="52" s="1"/>
  <c r="BD10" i="54"/>
  <c r="BE10" i="54"/>
  <c r="BG10" i="57"/>
  <c r="N62" i="59" s="1"/>
  <c r="BF10" i="51"/>
  <c r="Q16" i="52" s="1"/>
  <c r="BG10" i="51"/>
  <c r="Q78" i="52" s="1"/>
  <c r="BF10" i="54"/>
  <c r="BG10" i="54"/>
  <c r="BI10" i="57"/>
  <c r="BH10" i="51"/>
  <c r="BI10" i="51"/>
  <c r="BH10" i="54"/>
  <c r="BJ10" i="54"/>
  <c r="BK10" i="54"/>
  <c r="BL10" i="54"/>
  <c r="BM10" i="54"/>
  <c r="BP10" i="54"/>
  <c r="L14" i="56" s="1"/>
  <c r="BQ10" i="54"/>
  <c r="L63" i="56" s="1"/>
  <c r="BR10" i="54"/>
  <c r="BS10" i="54"/>
  <c r="BX10" i="54"/>
  <c r="BY10" i="54"/>
  <c r="H10" i="57"/>
  <c r="E14" i="59" s="1"/>
  <c r="J10" i="57"/>
  <c r="O14" i="59" s="1"/>
  <c r="L10" i="57"/>
  <c r="P10" i="57"/>
  <c r="R10" i="57"/>
  <c r="G14" i="59" s="1"/>
  <c r="T10" i="57"/>
  <c r="X10" i="57"/>
  <c r="Z10" i="57"/>
  <c r="AB10" i="57"/>
  <c r="AF10" i="57"/>
  <c r="J14" i="59" s="1"/>
  <c r="AH10" i="57"/>
  <c r="AJ10" i="57"/>
  <c r="AL10" i="57"/>
  <c r="AN10" i="57"/>
  <c r="AP10" i="57"/>
  <c r="AR10" i="57"/>
  <c r="K14" i="59" s="1"/>
  <c r="AT10" i="57"/>
  <c r="AV10" i="57"/>
  <c r="AX10" i="57"/>
  <c r="AZ10" i="57"/>
  <c r="BB10" i="57"/>
  <c r="BD10" i="57"/>
  <c r="BF10" i="57"/>
  <c r="N14" i="59" s="1"/>
  <c r="BH10" i="57"/>
  <c r="D10" i="57"/>
  <c r="D14" i="59" s="1"/>
  <c r="E9" i="57"/>
  <c r="D9" i="44"/>
  <c r="E9" i="44"/>
  <c r="H61" i="45" s="1"/>
  <c r="D9" i="47"/>
  <c r="M13" i="49" s="1"/>
  <c r="E9" i="47"/>
  <c r="M61" i="49" s="1"/>
  <c r="D9" i="51"/>
  <c r="H15" i="52" s="1"/>
  <c r="E9" i="51"/>
  <c r="H77" i="52" s="1"/>
  <c r="D9" i="54"/>
  <c r="K13" i="56" s="1"/>
  <c r="E9" i="54"/>
  <c r="K62" i="56" s="1"/>
  <c r="G9" i="57"/>
  <c r="F9" i="44"/>
  <c r="G9" i="44"/>
  <c r="F9" i="47"/>
  <c r="K13" i="49" s="1"/>
  <c r="G9" i="47"/>
  <c r="K61" i="49" s="1"/>
  <c r="F9" i="51"/>
  <c r="G9" i="51"/>
  <c r="F9" i="54"/>
  <c r="I13" i="56" s="1"/>
  <c r="G9" i="54"/>
  <c r="I62" i="56" s="1"/>
  <c r="I9" i="57"/>
  <c r="H9" i="44"/>
  <c r="J13" i="45" s="1"/>
  <c r="I9" i="44"/>
  <c r="J61" i="45" s="1"/>
  <c r="H9" i="47"/>
  <c r="I9" i="47"/>
  <c r="H9" i="51"/>
  <c r="I9" i="51"/>
  <c r="H9" i="54"/>
  <c r="I9" i="54"/>
  <c r="K9" i="57"/>
  <c r="O61" i="59" s="1"/>
  <c r="J9" i="44"/>
  <c r="J9" i="47"/>
  <c r="K9" i="47"/>
  <c r="J9" i="51"/>
  <c r="K9" i="51"/>
  <c r="J9" i="54"/>
  <c r="K9" i="54"/>
  <c r="M9" i="57"/>
  <c r="L9" i="44"/>
  <c r="M9" i="44"/>
  <c r="L9" i="47"/>
  <c r="L13" i="49" s="1"/>
  <c r="M9" i="47"/>
  <c r="L61" i="49" s="1"/>
  <c r="L9" i="51"/>
  <c r="M15" i="52" s="1"/>
  <c r="M9" i="51"/>
  <c r="M77" i="52" s="1"/>
  <c r="L9" i="54"/>
  <c r="M9" i="54"/>
  <c r="O9" i="57"/>
  <c r="E61" i="59" s="1"/>
  <c r="N9" i="44"/>
  <c r="O9" i="44"/>
  <c r="N9" i="47"/>
  <c r="O9" i="47"/>
  <c r="N9" i="51"/>
  <c r="O9" i="51"/>
  <c r="N9" i="54"/>
  <c r="O9" i="54"/>
  <c r="Q9" i="57"/>
  <c r="P9" i="44"/>
  <c r="Q9" i="44"/>
  <c r="P9" i="47"/>
  <c r="F13" i="49" s="1"/>
  <c r="Q9" i="47"/>
  <c r="F61" i="49" s="1"/>
  <c r="P9" i="51"/>
  <c r="K15" i="52" s="1"/>
  <c r="Q9" i="51"/>
  <c r="K77" i="52" s="1"/>
  <c r="P9" i="54"/>
  <c r="H13" i="56" s="1"/>
  <c r="Q9" i="54"/>
  <c r="H62" i="56" s="1"/>
  <c r="S9" i="57"/>
  <c r="G61" i="59" s="1"/>
  <c r="R9" i="44"/>
  <c r="G13" i="45" s="1"/>
  <c r="S9" i="44"/>
  <c r="G61" i="45" s="1"/>
  <c r="R9" i="47"/>
  <c r="S9" i="47"/>
  <c r="R9" i="51"/>
  <c r="S9" i="51"/>
  <c r="R9" i="54"/>
  <c r="S9" i="54"/>
  <c r="U9" i="57"/>
  <c r="T9" i="44"/>
  <c r="S13" i="45" s="1"/>
  <c r="U9" i="44"/>
  <c r="S61" i="45" s="1"/>
  <c r="T9" i="47"/>
  <c r="U9" i="47"/>
  <c r="T9" i="54"/>
  <c r="U9" i="54"/>
  <c r="W9" i="57"/>
  <c r="L61" i="59" s="1"/>
  <c r="V9" i="44"/>
  <c r="W9" i="44"/>
  <c r="V9" i="47"/>
  <c r="W9" i="47"/>
  <c r="V9" i="51"/>
  <c r="W9" i="51"/>
  <c r="V9" i="54"/>
  <c r="W9" i="54"/>
  <c r="Y9" i="57"/>
  <c r="X9" i="44"/>
  <c r="Y9" i="44"/>
  <c r="X9" i="47"/>
  <c r="Y9" i="47"/>
  <c r="X9" i="51"/>
  <c r="Y9" i="51"/>
  <c r="X9" i="54"/>
  <c r="Y9" i="54"/>
  <c r="AA9" i="57"/>
  <c r="AA9" i="44"/>
  <c r="Z9" i="47"/>
  <c r="AA9" i="47"/>
  <c r="Z9" i="51"/>
  <c r="AA9" i="51"/>
  <c r="Z9" i="54"/>
  <c r="AA9" i="54"/>
  <c r="AC9" i="57"/>
  <c r="AB9" i="44"/>
  <c r="AC9" i="44"/>
  <c r="AB9" i="47"/>
  <c r="AC9" i="47"/>
  <c r="AB9" i="51"/>
  <c r="AC9" i="51"/>
  <c r="AB9" i="54"/>
  <c r="AC9" i="54"/>
  <c r="AE9" i="57"/>
  <c r="AD9" i="44"/>
  <c r="AE9" i="44"/>
  <c r="AD9" i="47"/>
  <c r="I13" i="49" s="1"/>
  <c r="AE9" i="47"/>
  <c r="I61" i="49" s="1"/>
  <c r="AD9" i="51"/>
  <c r="I15" i="52" s="1"/>
  <c r="AE9" i="51"/>
  <c r="I77" i="52" s="1"/>
  <c r="AD9" i="54"/>
  <c r="J13" i="56" s="1"/>
  <c r="AE9" i="54"/>
  <c r="J62" i="56" s="1"/>
  <c r="AG9" i="57"/>
  <c r="J61" i="59" s="1"/>
  <c r="AF9" i="44"/>
  <c r="AG9" i="44"/>
  <c r="AF9" i="47"/>
  <c r="AG9" i="47"/>
  <c r="AF9" i="51"/>
  <c r="AG9" i="51"/>
  <c r="AF9" i="54"/>
  <c r="AG9" i="54"/>
  <c r="AI9" i="57"/>
  <c r="AH9" i="44"/>
  <c r="AI9" i="44"/>
  <c r="AH9" i="47"/>
  <c r="S13" i="49" s="1"/>
  <c r="AI9" i="47"/>
  <c r="S61" i="49" s="1"/>
  <c r="AH9" i="51"/>
  <c r="AI9" i="51"/>
  <c r="AH9" i="54"/>
  <c r="AI9" i="54"/>
  <c r="AK9" i="57"/>
  <c r="AJ9" i="44"/>
  <c r="AK9" i="44"/>
  <c r="AJ9" i="47"/>
  <c r="C13" i="49" s="1"/>
  <c r="AK9" i="47"/>
  <c r="C61" i="49" s="1"/>
  <c r="AJ9" i="51"/>
  <c r="E15" i="52" s="1"/>
  <c r="AK9" i="51"/>
  <c r="E77" i="52" s="1"/>
  <c r="AJ9" i="54"/>
  <c r="C13" i="56" s="1"/>
  <c r="AK9" i="54"/>
  <c r="C62" i="56" s="1"/>
  <c r="AM9" i="57"/>
  <c r="AL9" i="44"/>
  <c r="E13" i="45" s="1"/>
  <c r="AM9" i="44"/>
  <c r="E61" i="45" s="1"/>
  <c r="AL9" i="47"/>
  <c r="E13" i="49" s="1"/>
  <c r="AM9" i="47"/>
  <c r="E61" i="49" s="1"/>
  <c r="AL9" i="51"/>
  <c r="G15" i="52" s="1"/>
  <c r="AM9" i="51"/>
  <c r="G77" i="52" s="1"/>
  <c r="AL9" i="54"/>
  <c r="E13" i="56" s="1"/>
  <c r="AM9" i="54"/>
  <c r="E62" i="56" s="1"/>
  <c r="AO9" i="57"/>
  <c r="AN9" i="47"/>
  <c r="D13" i="49" s="1"/>
  <c r="AO9" i="47"/>
  <c r="D61" i="49" s="1"/>
  <c r="AN9" i="51"/>
  <c r="J15" i="52" s="1"/>
  <c r="AO9" i="51"/>
  <c r="J77" i="52" s="1"/>
  <c r="AN9" i="54"/>
  <c r="G13" i="56" s="1"/>
  <c r="AO9" i="54"/>
  <c r="G62" i="56" s="1"/>
  <c r="AQ9" i="57"/>
  <c r="AP9" i="47"/>
  <c r="H13" i="49" s="1"/>
  <c r="AQ9" i="47"/>
  <c r="H61" i="49" s="1"/>
  <c r="AP9" i="51"/>
  <c r="L15" i="52" s="1"/>
  <c r="AQ9" i="51"/>
  <c r="L77" i="52" s="1"/>
  <c r="AP9" i="54"/>
  <c r="F13" i="56" s="1"/>
  <c r="AQ9" i="54"/>
  <c r="F62" i="56" s="1"/>
  <c r="AS9" i="57"/>
  <c r="K61" i="59" s="1"/>
  <c r="AR9" i="47"/>
  <c r="AS9" i="47"/>
  <c r="AR9" i="51"/>
  <c r="AS9" i="51"/>
  <c r="AR9" i="54"/>
  <c r="AS9" i="54"/>
  <c r="AU9" i="57"/>
  <c r="AT9" i="47"/>
  <c r="G13" i="49" s="1"/>
  <c r="AU9" i="47"/>
  <c r="G61" i="49" s="1"/>
  <c r="AT9" i="51"/>
  <c r="F15" i="52" s="1"/>
  <c r="AU9" i="51"/>
  <c r="F77" i="52" s="1"/>
  <c r="AT9" i="54"/>
  <c r="D13" i="56" s="1"/>
  <c r="AU9" i="54"/>
  <c r="D62" i="56" s="1"/>
  <c r="AW9" i="57"/>
  <c r="AV9" i="51"/>
  <c r="AW9" i="51"/>
  <c r="AV9" i="54"/>
  <c r="AW9" i="54"/>
  <c r="AY9" i="57"/>
  <c r="AX9" i="51"/>
  <c r="AY9" i="51"/>
  <c r="AX9" i="54"/>
  <c r="AY9" i="54"/>
  <c r="BA9" i="57"/>
  <c r="AZ9" i="51"/>
  <c r="BA9" i="51"/>
  <c r="AZ9" i="54"/>
  <c r="BA9" i="54"/>
  <c r="BC9" i="57"/>
  <c r="BB9" i="51"/>
  <c r="P15" i="52" s="1"/>
  <c r="BC9" i="51"/>
  <c r="P77" i="52" s="1"/>
  <c r="BB9" i="54"/>
  <c r="BC9" i="54"/>
  <c r="BE9" i="57"/>
  <c r="BD9" i="51"/>
  <c r="O15" i="52" s="1"/>
  <c r="BE9" i="51"/>
  <c r="O77" i="52" s="1"/>
  <c r="BD9" i="54"/>
  <c r="BE9" i="54"/>
  <c r="BG9" i="57"/>
  <c r="N61" i="59" s="1"/>
  <c r="BF9" i="51"/>
  <c r="Q15" i="52" s="1"/>
  <c r="BG9" i="51"/>
  <c r="Q77" i="52" s="1"/>
  <c r="BF9" i="54"/>
  <c r="BI9" i="57"/>
  <c r="BH9" i="51"/>
  <c r="BI9" i="51"/>
  <c r="BH9" i="54"/>
  <c r="BI9" i="54"/>
  <c r="BJ9" i="54"/>
  <c r="BK9" i="54"/>
  <c r="BL9" i="54"/>
  <c r="BM9" i="54"/>
  <c r="BP9" i="54"/>
  <c r="L13" i="56" s="1"/>
  <c r="BQ9" i="54"/>
  <c r="L62" i="56" s="1"/>
  <c r="BV9" i="54"/>
  <c r="BW9" i="54"/>
  <c r="BX9" i="54"/>
  <c r="BY9" i="54"/>
  <c r="F9" i="57"/>
  <c r="H9" i="57"/>
  <c r="E13" i="59" s="1"/>
  <c r="J9" i="57"/>
  <c r="O13" i="59" s="1"/>
  <c r="L9" i="57"/>
  <c r="N9" i="57"/>
  <c r="P9" i="57"/>
  <c r="R9" i="57"/>
  <c r="G13" i="59" s="1"/>
  <c r="T9" i="57"/>
  <c r="V9" i="57"/>
  <c r="L13" i="59" s="1"/>
  <c r="X9" i="57"/>
  <c r="Z9" i="57"/>
  <c r="AB9" i="57"/>
  <c r="AD9" i="57"/>
  <c r="AF9" i="57"/>
  <c r="J13" i="59" s="1"/>
  <c r="AH9" i="57"/>
  <c r="AJ9" i="57"/>
  <c r="AL9" i="57"/>
  <c r="AN9" i="57"/>
  <c r="AP9" i="57"/>
  <c r="AR9" i="57"/>
  <c r="K13" i="59" s="1"/>
  <c r="AT9" i="57"/>
  <c r="AV9" i="57"/>
  <c r="AX9" i="57"/>
  <c r="AZ9" i="57"/>
  <c r="BB9" i="57"/>
  <c r="BD9" i="57"/>
  <c r="BF9" i="57"/>
  <c r="N13" i="59" s="1"/>
  <c r="BH9" i="57"/>
  <c r="D9" i="57"/>
  <c r="D13" i="59" s="1"/>
  <c r="E8" i="57"/>
  <c r="D8" i="44"/>
  <c r="E8" i="44"/>
  <c r="H60" i="45" s="1"/>
  <c r="D8" i="51"/>
  <c r="H14" i="52" s="1"/>
  <c r="E8" i="51"/>
  <c r="H76" i="52" s="1"/>
  <c r="D8" i="54"/>
  <c r="K12" i="56" s="1"/>
  <c r="E8" i="54"/>
  <c r="K61" i="56" s="1"/>
  <c r="G8" i="57"/>
  <c r="F8" i="44"/>
  <c r="G8" i="44"/>
  <c r="F8" i="51"/>
  <c r="G8" i="51"/>
  <c r="F8" i="54"/>
  <c r="I12" i="56" s="1"/>
  <c r="G8" i="54"/>
  <c r="I61" i="56" s="1"/>
  <c r="I8" i="57"/>
  <c r="H8" i="44"/>
  <c r="J12" i="45" s="1"/>
  <c r="I8" i="44"/>
  <c r="J60" i="45" s="1"/>
  <c r="H8" i="51"/>
  <c r="I8" i="51"/>
  <c r="H8" i="54"/>
  <c r="I8" i="54"/>
  <c r="K8" i="57"/>
  <c r="O60" i="59" s="1"/>
  <c r="K8" i="44"/>
  <c r="J8" i="51"/>
  <c r="K8" i="51"/>
  <c r="J8" i="54"/>
  <c r="K8" i="54"/>
  <c r="M8" i="57"/>
  <c r="L8" i="44"/>
  <c r="M8" i="44"/>
  <c r="L8" i="51"/>
  <c r="M14" i="52" s="1"/>
  <c r="M8" i="51"/>
  <c r="M76" i="52" s="1"/>
  <c r="L8" i="54"/>
  <c r="M8" i="54"/>
  <c r="O8" i="57"/>
  <c r="E60" i="59" s="1"/>
  <c r="N8" i="44"/>
  <c r="O8" i="44"/>
  <c r="N8" i="51"/>
  <c r="O8" i="51"/>
  <c r="N8" i="54"/>
  <c r="O8" i="54"/>
  <c r="Q8" i="57"/>
  <c r="P8" i="44"/>
  <c r="Q8" i="44"/>
  <c r="P8" i="51"/>
  <c r="K14" i="52" s="1"/>
  <c r="Q8" i="51"/>
  <c r="K76" i="52" s="1"/>
  <c r="P8" i="54"/>
  <c r="H12" i="56" s="1"/>
  <c r="Q8" i="54"/>
  <c r="H61" i="56" s="1"/>
  <c r="S8" i="57"/>
  <c r="G60" i="59" s="1"/>
  <c r="R8" i="44"/>
  <c r="G12" i="45" s="1"/>
  <c r="S8" i="44"/>
  <c r="G60" i="45" s="1"/>
  <c r="R8" i="51"/>
  <c r="S8" i="51"/>
  <c r="R8" i="54"/>
  <c r="S8" i="54"/>
  <c r="U8" i="57"/>
  <c r="T8" i="44"/>
  <c r="S12" i="45" s="1"/>
  <c r="T8" i="51"/>
  <c r="U8" i="51"/>
  <c r="T8" i="54"/>
  <c r="U8" i="54"/>
  <c r="W8" i="57"/>
  <c r="L60" i="59" s="1"/>
  <c r="V8" i="44"/>
  <c r="W8" i="44"/>
  <c r="V8" i="51"/>
  <c r="W8" i="51"/>
  <c r="V8" i="54"/>
  <c r="W8" i="54"/>
  <c r="Y8" i="57"/>
  <c r="X8" i="44"/>
  <c r="Y8" i="44"/>
  <c r="X8" i="51"/>
  <c r="Y8" i="51"/>
  <c r="X8" i="54"/>
  <c r="Y8" i="54"/>
  <c r="AA8" i="57"/>
  <c r="Z8" i="44"/>
  <c r="AA8" i="44"/>
  <c r="Z8" i="51"/>
  <c r="AA8" i="51"/>
  <c r="Z8" i="54"/>
  <c r="AA8" i="54"/>
  <c r="AC8" i="57"/>
  <c r="AB8" i="44"/>
  <c r="AC8" i="44"/>
  <c r="AB8" i="51"/>
  <c r="AC8" i="51"/>
  <c r="AB8" i="54"/>
  <c r="AC8" i="54"/>
  <c r="AE8" i="57"/>
  <c r="AD8" i="44"/>
  <c r="AE8" i="44"/>
  <c r="AD8" i="51"/>
  <c r="I14" i="52" s="1"/>
  <c r="AE8" i="51"/>
  <c r="I76" i="52" s="1"/>
  <c r="AD8" i="54"/>
  <c r="J12" i="56" s="1"/>
  <c r="AE8" i="54"/>
  <c r="J61" i="56" s="1"/>
  <c r="AG8" i="57"/>
  <c r="J60" i="59" s="1"/>
  <c r="AF8" i="44"/>
  <c r="AG8" i="44"/>
  <c r="AF8" i="51"/>
  <c r="AG8" i="51"/>
  <c r="AF8" i="54"/>
  <c r="AG8" i="54"/>
  <c r="AI8" i="57"/>
  <c r="AH8" i="44"/>
  <c r="AI8" i="44"/>
  <c r="AH8" i="51"/>
  <c r="AI8" i="51"/>
  <c r="AH8" i="54"/>
  <c r="AI8" i="54"/>
  <c r="AK8" i="57"/>
  <c r="AJ8" i="44"/>
  <c r="AK8" i="44"/>
  <c r="AJ8" i="51"/>
  <c r="E14" i="52" s="1"/>
  <c r="AK8" i="51"/>
  <c r="E76" i="52" s="1"/>
  <c r="AJ8" i="54"/>
  <c r="C12" i="56" s="1"/>
  <c r="AK8" i="54"/>
  <c r="C61" i="56" s="1"/>
  <c r="AM8" i="57"/>
  <c r="AL8" i="44"/>
  <c r="E12" i="45" s="1"/>
  <c r="AM8" i="44"/>
  <c r="E60" i="45" s="1"/>
  <c r="AL8" i="51"/>
  <c r="G14" i="52" s="1"/>
  <c r="AM8" i="51"/>
  <c r="G76" i="52" s="1"/>
  <c r="AL8" i="54"/>
  <c r="E12" i="56" s="1"/>
  <c r="AM8" i="54"/>
  <c r="E61" i="56" s="1"/>
  <c r="AO8" i="57"/>
  <c r="AN8" i="51"/>
  <c r="J14" i="52" s="1"/>
  <c r="AO8" i="51"/>
  <c r="J76" i="52" s="1"/>
  <c r="AN8" i="54"/>
  <c r="G12" i="56" s="1"/>
  <c r="AO8" i="54"/>
  <c r="G61" i="56" s="1"/>
  <c r="AQ8" i="57"/>
  <c r="AP8" i="51"/>
  <c r="L14" i="52" s="1"/>
  <c r="AQ8" i="51"/>
  <c r="L76" i="52" s="1"/>
  <c r="AP8" i="54"/>
  <c r="F12" i="56" s="1"/>
  <c r="AQ8" i="54"/>
  <c r="F61" i="56" s="1"/>
  <c r="AS8" i="57"/>
  <c r="K60" i="59" s="1"/>
  <c r="AR8" i="51"/>
  <c r="AS8" i="51"/>
  <c r="AR8" i="54"/>
  <c r="AS8" i="54"/>
  <c r="AU8" i="57"/>
  <c r="AT8" i="51"/>
  <c r="F14" i="52" s="1"/>
  <c r="AU8" i="51"/>
  <c r="F76" i="52" s="1"/>
  <c r="AT8" i="54"/>
  <c r="D12" i="56" s="1"/>
  <c r="AU8" i="54"/>
  <c r="D61" i="56" s="1"/>
  <c r="AW8" i="57"/>
  <c r="AV8" i="51"/>
  <c r="AW8" i="51"/>
  <c r="AV8" i="54"/>
  <c r="AW8" i="54"/>
  <c r="AY8" i="57"/>
  <c r="AX8" i="51"/>
  <c r="AY8" i="51"/>
  <c r="AX8" i="54"/>
  <c r="AY8" i="54"/>
  <c r="BA8" i="57"/>
  <c r="AZ8" i="51"/>
  <c r="BA8" i="51"/>
  <c r="AZ8" i="54"/>
  <c r="BA8" i="54"/>
  <c r="BC8" i="57"/>
  <c r="BB8" i="51"/>
  <c r="P14" i="52" s="1"/>
  <c r="BC8" i="51"/>
  <c r="P76" i="52" s="1"/>
  <c r="BB8" i="54"/>
  <c r="BC8" i="54"/>
  <c r="BE8" i="57"/>
  <c r="BD8" i="51"/>
  <c r="O14" i="52" s="1"/>
  <c r="BE8" i="51"/>
  <c r="O76" i="52" s="1"/>
  <c r="BD8" i="54"/>
  <c r="BG8" i="57"/>
  <c r="N60" i="59" s="1"/>
  <c r="BF8" i="51"/>
  <c r="Q14" i="52" s="1"/>
  <c r="BG8" i="51"/>
  <c r="Q76" i="52" s="1"/>
  <c r="BF8" i="54"/>
  <c r="BG8" i="54"/>
  <c r="BI8" i="57"/>
  <c r="BH8" i="51"/>
  <c r="BI8" i="51"/>
  <c r="BH8" i="54"/>
  <c r="BI8" i="54"/>
  <c r="BJ8" i="54"/>
  <c r="BK8" i="54"/>
  <c r="BL8" i="54"/>
  <c r="BM8" i="54"/>
  <c r="BT8" i="54"/>
  <c r="BU8" i="54"/>
  <c r="BV8" i="54"/>
  <c r="BW8" i="54"/>
  <c r="BX8" i="54"/>
  <c r="BY8" i="54"/>
  <c r="F8" i="57"/>
  <c r="H8" i="57"/>
  <c r="E12" i="59" s="1"/>
  <c r="J8" i="57"/>
  <c r="O12" i="59" s="1"/>
  <c r="L8" i="57"/>
  <c r="N8" i="57"/>
  <c r="P8" i="57"/>
  <c r="R8" i="57"/>
  <c r="G12" i="59" s="1"/>
  <c r="T8" i="57"/>
  <c r="V8" i="57"/>
  <c r="L12" i="59" s="1"/>
  <c r="X8" i="57"/>
  <c r="Z8" i="57"/>
  <c r="AB8" i="57"/>
  <c r="AD8" i="57"/>
  <c r="AF8" i="57"/>
  <c r="J12" i="59" s="1"/>
  <c r="AH8" i="57"/>
  <c r="AJ8" i="57"/>
  <c r="AL8" i="57"/>
  <c r="AN8" i="57"/>
  <c r="AP8" i="57"/>
  <c r="AR8" i="57"/>
  <c r="K12" i="59" s="1"/>
  <c r="AT8" i="57"/>
  <c r="AV8" i="57"/>
  <c r="AX8" i="57"/>
  <c r="AZ8" i="57"/>
  <c r="BB8" i="57"/>
  <c r="BD8" i="57"/>
  <c r="BF8" i="57"/>
  <c r="N12" i="59" s="1"/>
  <c r="BH8" i="57"/>
  <c r="D8" i="57"/>
  <c r="D12" i="59" s="1"/>
  <c r="E7" i="57"/>
  <c r="D7" i="44"/>
  <c r="H59" i="67"/>
  <c r="D7" i="47"/>
  <c r="M11" i="49" s="1"/>
  <c r="E7" i="47"/>
  <c r="M59" i="49" s="1"/>
  <c r="D7" i="51"/>
  <c r="H13" i="52" s="1"/>
  <c r="E7" i="51"/>
  <c r="H75" i="52" s="1"/>
  <c r="D7" i="54"/>
  <c r="K11" i="56" s="1"/>
  <c r="E7" i="54"/>
  <c r="K60" i="56" s="1"/>
  <c r="G7" i="57"/>
  <c r="F7" i="47"/>
  <c r="K11" i="49" s="1"/>
  <c r="G7" i="47"/>
  <c r="K59" i="49" s="1"/>
  <c r="F7" i="51"/>
  <c r="G7" i="51"/>
  <c r="F7" i="54"/>
  <c r="I11" i="56" s="1"/>
  <c r="G7" i="54"/>
  <c r="I60" i="56" s="1"/>
  <c r="I7" i="57"/>
  <c r="H7" i="47"/>
  <c r="I7" i="47"/>
  <c r="H7" i="51"/>
  <c r="I7" i="51"/>
  <c r="H7" i="54"/>
  <c r="I7" i="54"/>
  <c r="K7" i="57"/>
  <c r="O59" i="59" s="1"/>
  <c r="J7" i="47"/>
  <c r="K7" i="47"/>
  <c r="J7" i="51"/>
  <c r="K7" i="51"/>
  <c r="J7" i="54"/>
  <c r="K7" i="54"/>
  <c r="M7" i="57"/>
  <c r="L7" i="47"/>
  <c r="L11" i="49" s="1"/>
  <c r="M7" i="47"/>
  <c r="L59" i="49" s="1"/>
  <c r="L7" i="51"/>
  <c r="M13" i="52" s="1"/>
  <c r="M7" i="51"/>
  <c r="M75" i="52" s="1"/>
  <c r="L7" i="54"/>
  <c r="M7" i="54"/>
  <c r="O7" i="57"/>
  <c r="E59" i="59" s="1"/>
  <c r="N7" i="47"/>
  <c r="O7" i="47"/>
  <c r="N7" i="51"/>
  <c r="O7" i="51"/>
  <c r="N7" i="54"/>
  <c r="O7" i="54"/>
  <c r="Q7" i="57"/>
  <c r="P7" i="47"/>
  <c r="F11" i="49" s="1"/>
  <c r="Q7" i="47"/>
  <c r="F59" i="49" s="1"/>
  <c r="P7" i="51"/>
  <c r="K13" i="52" s="1"/>
  <c r="Q7" i="51"/>
  <c r="K75" i="52" s="1"/>
  <c r="P7" i="54"/>
  <c r="H11" i="56" s="1"/>
  <c r="Q7" i="54"/>
  <c r="H60" i="56" s="1"/>
  <c r="S7" i="57"/>
  <c r="G59" i="59" s="1"/>
  <c r="R7" i="47"/>
  <c r="S7" i="47"/>
  <c r="R7" i="51"/>
  <c r="S7" i="51"/>
  <c r="R7" i="54"/>
  <c r="S7" i="54"/>
  <c r="U7" i="57"/>
  <c r="T7" i="47"/>
  <c r="U7" i="47"/>
  <c r="T7" i="51"/>
  <c r="U7" i="51"/>
  <c r="T7" i="54"/>
  <c r="U7" i="54"/>
  <c r="W7" i="57"/>
  <c r="L59" i="59" s="1"/>
  <c r="V7" i="47"/>
  <c r="W7" i="47"/>
  <c r="V7" i="51"/>
  <c r="W7" i="51"/>
  <c r="V7" i="54"/>
  <c r="W7" i="54"/>
  <c r="Y7" i="57"/>
  <c r="X7" i="47"/>
  <c r="Y7" i="47"/>
  <c r="X7" i="51"/>
  <c r="Y7" i="51"/>
  <c r="X7" i="54"/>
  <c r="Y7" i="54"/>
  <c r="AA7" i="57"/>
  <c r="Z7" i="47"/>
  <c r="AA7" i="47"/>
  <c r="Z7" i="51"/>
  <c r="AA7" i="51"/>
  <c r="Z7" i="54"/>
  <c r="AA7" i="54"/>
  <c r="AC7" i="57"/>
  <c r="AB7" i="47"/>
  <c r="AC7" i="47"/>
  <c r="AB7" i="51"/>
  <c r="AC7" i="51"/>
  <c r="AB7" i="54"/>
  <c r="AC7" i="54"/>
  <c r="AE7" i="57"/>
  <c r="AD7" i="47"/>
  <c r="I11" i="49" s="1"/>
  <c r="AE7" i="47"/>
  <c r="I59" i="49" s="1"/>
  <c r="AD7" i="51"/>
  <c r="I13" i="52" s="1"/>
  <c r="AE7" i="51"/>
  <c r="I75" i="52" s="1"/>
  <c r="AD7" i="54"/>
  <c r="J11" i="56" s="1"/>
  <c r="AE7" i="54"/>
  <c r="J60" i="56" s="1"/>
  <c r="AG7" i="57"/>
  <c r="J59" i="59" s="1"/>
  <c r="AF7" i="47"/>
  <c r="AG7" i="47"/>
  <c r="AF7" i="51"/>
  <c r="AG7" i="51"/>
  <c r="AF7" i="54"/>
  <c r="AG7" i="54"/>
  <c r="AI7" i="57"/>
  <c r="AH7" i="47"/>
  <c r="S11" i="49" s="1"/>
  <c r="AI7" i="47"/>
  <c r="S59" i="49" s="1"/>
  <c r="AH7" i="51"/>
  <c r="AI7" i="51"/>
  <c r="AH7" i="54"/>
  <c r="AI7" i="54"/>
  <c r="AK7" i="57"/>
  <c r="AJ7" i="47"/>
  <c r="C11" i="49" s="1"/>
  <c r="AK7" i="47"/>
  <c r="C59" i="49" s="1"/>
  <c r="AJ7" i="51"/>
  <c r="E13" i="52" s="1"/>
  <c r="AK7" i="51"/>
  <c r="E75" i="52" s="1"/>
  <c r="AJ7" i="54"/>
  <c r="C11" i="56" s="1"/>
  <c r="AK7" i="54"/>
  <c r="C60" i="56" s="1"/>
  <c r="AM7" i="57"/>
  <c r="AL7" i="47"/>
  <c r="E11" i="49" s="1"/>
  <c r="AM7" i="47"/>
  <c r="E59" i="49" s="1"/>
  <c r="AL7" i="51"/>
  <c r="G13" i="52" s="1"/>
  <c r="AM7" i="51"/>
  <c r="G75" i="52" s="1"/>
  <c r="AL7" i="54"/>
  <c r="E11" i="56" s="1"/>
  <c r="AM7" i="54"/>
  <c r="E60" i="56" s="1"/>
  <c r="AO7" i="57"/>
  <c r="AN7" i="47"/>
  <c r="D11" i="49" s="1"/>
  <c r="AO7" i="47"/>
  <c r="D59" i="49" s="1"/>
  <c r="AN7" i="51"/>
  <c r="J13" i="52" s="1"/>
  <c r="AO7" i="51"/>
  <c r="J75" i="52" s="1"/>
  <c r="AN7" i="54"/>
  <c r="G11" i="56" s="1"/>
  <c r="AO7" i="54"/>
  <c r="G60" i="56" s="1"/>
  <c r="AQ7" i="57"/>
  <c r="AP7" i="47"/>
  <c r="H11" i="49" s="1"/>
  <c r="AQ7" i="47"/>
  <c r="H59" i="49" s="1"/>
  <c r="AP7" i="51"/>
  <c r="L13" i="52" s="1"/>
  <c r="AQ7" i="51"/>
  <c r="L75" i="52" s="1"/>
  <c r="AP7" i="54"/>
  <c r="F11" i="56" s="1"/>
  <c r="AQ7" i="54"/>
  <c r="F60" i="56" s="1"/>
  <c r="AS7" i="57"/>
  <c r="K59" i="59" s="1"/>
  <c r="AR7" i="47"/>
  <c r="AS7" i="47"/>
  <c r="AR7" i="51"/>
  <c r="AS7" i="51"/>
  <c r="AR7" i="54"/>
  <c r="AS7" i="54"/>
  <c r="AU7" i="57"/>
  <c r="AT7" i="47"/>
  <c r="G11" i="49" s="1"/>
  <c r="AU7" i="47"/>
  <c r="G59" i="49" s="1"/>
  <c r="AT7" i="51"/>
  <c r="F13" i="52" s="1"/>
  <c r="AU7" i="51"/>
  <c r="F75" i="52" s="1"/>
  <c r="AT7" i="54"/>
  <c r="D11" i="56" s="1"/>
  <c r="AU7" i="54"/>
  <c r="D60" i="56" s="1"/>
  <c r="AW7" i="57"/>
  <c r="AV7" i="51"/>
  <c r="AW7" i="51"/>
  <c r="AV7" i="54"/>
  <c r="AW7" i="54"/>
  <c r="AY7" i="57"/>
  <c r="AX7" i="51"/>
  <c r="AY7" i="51"/>
  <c r="AX7" i="54"/>
  <c r="AY7" i="54"/>
  <c r="BA7" i="57"/>
  <c r="AZ7" i="51"/>
  <c r="BA7" i="51"/>
  <c r="AZ7" i="54"/>
  <c r="BA7" i="54"/>
  <c r="BC7" i="57"/>
  <c r="BB7" i="51"/>
  <c r="P13" i="52" s="1"/>
  <c r="BC7" i="51"/>
  <c r="P75" i="52" s="1"/>
  <c r="BB7" i="54"/>
  <c r="BE7" i="57"/>
  <c r="BD7" i="51"/>
  <c r="O13" i="52" s="1"/>
  <c r="BE7" i="51"/>
  <c r="O75" i="52" s="1"/>
  <c r="BD7" i="54"/>
  <c r="BE7" i="54"/>
  <c r="BF7" i="51"/>
  <c r="Q13" i="52" s="1"/>
  <c r="BG7" i="51"/>
  <c r="Q75" i="52" s="1"/>
  <c r="BF7" i="54"/>
  <c r="BG7" i="54"/>
  <c r="BH7" i="51"/>
  <c r="BI7" i="51"/>
  <c r="BH7" i="54"/>
  <c r="BI7" i="54"/>
  <c r="BJ7" i="54"/>
  <c r="BK7" i="54"/>
  <c r="BL7" i="54"/>
  <c r="BM7" i="54"/>
  <c r="BR7" i="54"/>
  <c r="BS7" i="54"/>
  <c r="BT7" i="54"/>
  <c r="BU7" i="54"/>
  <c r="BV7" i="54"/>
  <c r="BW7" i="54"/>
  <c r="BX7" i="54"/>
  <c r="BY7" i="54"/>
  <c r="F7" i="57"/>
  <c r="H7" i="57"/>
  <c r="E11" i="59" s="1"/>
  <c r="J7" i="57"/>
  <c r="O11" i="59" s="1"/>
  <c r="L7" i="57"/>
  <c r="N7" i="57"/>
  <c r="P7" i="57"/>
  <c r="R7" i="57"/>
  <c r="G11" i="59" s="1"/>
  <c r="T7" i="57"/>
  <c r="V7" i="57"/>
  <c r="L11" i="59" s="1"/>
  <c r="X7" i="57"/>
  <c r="Z7" i="57"/>
  <c r="AB7" i="57"/>
  <c r="AD7" i="57"/>
  <c r="AF7" i="57"/>
  <c r="J11" i="59" s="1"/>
  <c r="AH7" i="57"/>
  <c r="AJ7" i="57"/>
  <c r="AL7" i="57"/>
  <c r="AN7" i="57"/>
  <c r="AP7" i="57"/>
  <c r="AR7" i="57"/>
  <c r="K11" i="59" s="1"/>
  <c r="AT7" i="57"/>
  <c r="AV7" i="57"/>
  <c r="AX7" i="57"/>
  <c r="AZ7" i="57"/>
  <c r="BB7" i="57"/>
  <c r="BD7" i="57"/>
  <c r="D7" i="57"/>
  <c r="D11" i="59" s="1"/>
  <c r="D6" i="44"/>
  <c r="H58" i="67"/>
  <c r="D6" i="47"/>
  <c r="M10" i="49" s="1"/>
  <c r="E6" i="47"/>
  <c r="M58" i="49" s="1"/>
  <c r="G6" i="57"/>
  <c r="F6" i="47"/>
  <c r="K10" i="49" s="1"/>
  <c r="G6" i="47"/>
  <c r="K58" i="49" s="1"/>
  <c r="H6" i="47"/>
  <c r="I6" i="47"/>
  <c r="K6" i="57"/>
  <c r="O58" i="59" s="1"/>
  <c r="J6" i="47"/>
  <c r="K6" i="47"/>
  <c r="L6" i="47"/>
  <c r="L10" i="49" s="1"/>
  <c r="M6" i="47"/>
  <c r="L58" i="49" s="1"/>
  <c r="O6" i="57"/>
  <c r="J58" i="67"/>
  <c r="N6" i="47"/>
  <c r="O6" i="47"/>
  <c r="P6" i="47"/>
  <c r="F10" i="49" s="1"/>
  <c r="Q6" i="47"/>
  <c r="F58" i="49" s="1"/>
  <c r="S6" i="57"/>
  <c r="G58" i="59" s="1"/>
  <c r="R6" i="47"/>
  <c r="S6" i="47"/>
  <c r="T6" i="47"/>
  <c r="U6" i="47"/>
  <c r="W6" i="57"/>
  <c r="L58" i="59" s="1"/>
  <c r="V6" i="47"/>
  <c r="W6" i="47"/>
  <c r="X6" i="47"/>
  <c r="Y6" i="47"/>
  <c r="AA6" i="57"/>
  <c r="Z6" i="47"/>
  <c r="AA6" i="47"/>
  <c r="AB6" i="47"/>
  <c r="AC6" i="47"/>
  <c r="AE6" i="57"/>
  <c r="AD6" i="47"/>
  <c r="I10" i="49" s="1"/>
  <c r="AE6" i="47"/>
  <c r="I58" i="49" s="1"/>
  <c r="AF6" i="47"/>
  <c r="AG6" i="47"/>
  <c r="AI6" i="57"/>
  <c r="AH6" i="47"/>
  <c r="S10" i="49" s="1"/>
  <c r="AI6" i="47"/>
  <c r="S58" i="49" s="1"/>
  <c r="AJ6" i="47"/>
  <c r="C10" i="49" s="1"/>
  <c r="AK6" i="47"/>
  <c r="C58" i="49" s="1"/>
  <c r="AM6" i="57"/>
  <c r="AL6" i="47"/>
  <c r="E10" i="49" s="1"/>
  <c r="AM6" i="47"/>
  <c r="E58" i="49" s="1"/>
  <c r="AN6" i="47"/>
  <c r="D10" i="49" s="1"/>
  <c r="AO6" i="47"/>
  <c r="D58" i="49" s="1"/>
  <c r="AQ6" i="57"/>
  <c r="AP6" i="47"/>
  <c r="H10" i="49" s="1"/>
  <c r="AQ6" i="47"/>
  <c r="H58" i="49" s="1"/>
  <c r="AR6" i="47"/>
  <c r="AS6" i="47"/>
  <c r="AU6" i="57"/>
  <c r="AT6" i="47"/>
  <c r="G10" i="49" s="1"/>
  <c r="AU6" i="47"/>
  <c r="G58" i="49" s="1"/>
  <c r="AY6" i="57"/>
  <c r="BC6" i="57"/>
  <c r="BG6" i="57"/>
  <c r="N58" i="59" s="1"/>
  <c r="D109" i="52" l="1"/>
  <c r="B86" i="41"/>
  <c r="B76" i="41"/>
  <c r="B91" i="41"/>
  <c r="B77" i="41"/>
  <c r="B88" i="41"/>
  <c r="B84" i="41"/>
  <c r="B95" i="41"/>
  <c r="B90" i="41"/>
  <c r="B94" i="41"/>
  <c r="B81" i="41"/>
  <c r="B83" i="41"/>
  <c r="B93" i="41"/>
  <c r="B80" i="41"/>
  <c r="B79" i="41"/>
  <c r="B29" i="41"/>
  <c r="B82" i="41"/>
  <c r="B78" i="41"/>
  <c r="B85" i="41"/>
  <c r="B89" i="41"/>
  <c r="B92" i="41"/>
  <c r="B87" i="41"/>
  <c r="D29" i="52"/>
  <c r="D91" i="52"/>
  <c r="C27" i="42"/>
  <c r="C31" i="42"/>
  <c r="C32" i="42"/>
  <c r="C33" i="42"/>
  <c r="C34" i="42"/>
  <c r="C36" i="42"/>
  <c r="I31" i="41"/>
  <c r="B31" i="41" s="1"/>
  <c r="B27" i="42"/>
  <c r="I35" i="41"/>
  <c r="B35" i="41" s="1"/>
  <c r="B31" i="42"/>
  <c r="D100" i="52"/>
  <c r="I36" i="41"/>
  <c r="B36" i="41" s="1"/>
  <c r="B32" i="42"/>
  <c r="I37" i="41"/>
  <c r="B37" i="41" s="1"/>
  <c r="B33" i="42"/>
  <c r="B34" i="42"/>
  <c r="I38" i="41"/>
  <c r="B38" i="41" s="1"/>
  <c r="B36" i="42"/>
  <c r="I40" i="41"/>
  <c r="B40" i="41" s="1"/>
  <c r="C35" i="42"/>
  <c r="C26" i="42"/>
  <c r="C41" i="42"/>
  <c r="C42" i="42"/>
  <c r="C43" i="42"/>
  <c r="I39" i="41"/>
  <c r="B39" i="41" s="1"/>
  <c r="B35" i="42"/>
  <c r="I30" i="41"/>
  <c r="B30" i="41" s="1"/>
  <c r="B26" i="42"/>
  <c r="I45" i="41"/>
  <c r="B45" i="41" s="1"/>
  <c r="B41" i="42"/>
  <c r="B42" i="42"/>
  <c r="I46" i="41"/>
  <c r="B46" i="41" s="1"/>
  <c r="B43" i="42"/>
  <c r="I47" i="41"/>
  <c r="B47" i="41" s="1"/>
  <c r="D22" i="52"/>
  <c r="C28" i="42"/>
  <c r="I32" i="41"/>
  <c r="B32" i="41" s="1"/>
  <c r="B28" i="42"/>
  <c r="D43" i="52"/>
  <c r="C40" i="42"/>
  <c r="I44" i="41"/>
  <c r="B44" i="41" s="1"/>
  <c r="B40" i="42"/>
  <c r="C39" i="42"/>
  <c r="C24" i="42"/>
  <c r="B29" i="42"/>
  <c r="I33" i="41"/>
  <c r="B33" i="41" s="1"/>
  <c r="C30" i="42"/>
  <c r="C37" i="42"/>
  <c r="C38" i="42"/>
  <c r="B39" i="42"/>
  <c r="I43" i="41"/>
  <c r="B43" i="41" s="1"/>
  <c r="I28" i="41"/>
  <c r="B28" i="41" s="1"/>
  <c r="B24" i="42"/>
  <c r="B30" i="42"/>
  <c r="I34" i="41"/>
  <c r="B34" i="41" s="1"/>
  <c r="I41" i="41"/>
  <c r="B41" i="41" s="1"/>
  <c r="B37" i="42"/>
  <c r="D44" i="52"/>
  <c r="B38" i="42"/>
  <c r="I42" i="41"/>
  <c r="B42" i="41" s="1"/>
  <c r="C25" i="42"/>
  <c r="B25" i="42"/>
  <c r="D30" i="52"/>
  <c r="D33" i="52"/>
  <c r="D96" i="52"/>
  <c r="D97" i="52"/>
  <c r="D75" i="52"/>
  <c r="D76" i="52"/>
  <c r="D15" i="52"/>
  <c r="D89" i="52"/>
  <c r="D34" i="52"/>
  <c r="D35" i="52"/>
  <c r="D101" i="52"/>
  <c r="D42" i="52"/>
  <c r="D107" i="52"/>
  <c r="D13" i="52"/>
  <c r="D14" i="52"/>
  <c r="D79" i="52"/>
  <c r="D27" i="52"/>
  <c r="D93" i="52"/>
  <c r="D39" i="52"/>
  <c r="D45" i="52"/>
  <c r="D111" i="52"/>
  <c r="D31" i="52"/>
  <c r="D103" i="52"/>
  <c r="D104" i="52"/>
  <c r="D47" i="52"/>
  <c r="D78" i="52"/>
  <c r="D80" i="52"/>
  <c r="Q49" i="52"/>
  <c r="D49" i="52" s="1"/>
  <c r="Q32" i="52"/>
  <c r="D32" i="52" s="1"/>
  <c r="D106" i="52"/>
  <c r="D18" i="52"/>
  <c r="D19" i="52"/>
  <c r="D94" i="52"/>
  <c r="D38" i="52"/>
  <c r="D77" i="52"/>
  <c r="D17" i="52"/>
  <c r="D99" i="52"/>
  <c r="D110" i="52"/>
  <c r="D84" i="52"/>
  <c r="D98" i="52"/>
  <c r="D37" i="52"/>
  <c r="D102" i="52"/>
  <c r="D105" i="52"/>
  <c r="D48" i="52"/>
  <c r="D36" i="52"/>
  <c r="D40" i="52"/>
  <c r="D16" i="52"/>
  <c r="D81" i="52"/>
  <c r="D92" i="52"/>
  <c r="D95" i="52"/>
  <c r="D41" i="52"/>
  <c r="F60" i="59"/>
  <c r="D17" i="45"/>
  <c r="F71" i="59"/>
  <c r="D76" i="45"/>
  <c r="D81" i="45"/>
  <c r="D78" i="45"/>
  <c r="D70" i="45"/>
  <c r="D85" i="45"/>
  <c r="D32" i="45"/>
  <c r="D83" i="45"/>
  <c r="D60" i="45"/>
  <c r="D82" i="45"/>
  <c r="D86" i="45"/>
  <c r="F41" i="59"/>
  <c r="F91" i="59"/>
  <c r="D93" i="45"/>
  <c r="F24" i="59"/>
  <c r="D84" i="45"/>
  <c r="F59" i="59"/>
  <c r="D69" i="45"/>
  <c r="F40" i="59"/>
  <c r="F73" i="59"/>
  <c r="F47" i="59"/>
  <c r="F92" i="59"/>
  <c r="F45" i="59"/>
  <c r="D73" i="45"/>
  <c r="D33" i="45"/>
  <c r="D90" i="45"/>
  <c r="D92" i="45"/>
  <c r="D66" i="45"/>
  <c r="D68" i="45"/>
  <c r="F14" i="59"/>
  <c r="D72" i="45"/>
  <c r="F33" i="59"/>
  <c r="D24" i="45"/>
  <c r="D80" i="45"/>
  <c r="F93" i="59"/>
  <c r="D65" i="45"/>
  <c r="D67" i="45"/>
  <c r="F20" i="59"/>
  <c r="F44" i="59"/>
  <c r="D47" i="51"/>
  <c r="AJ46" i="51"/>
  <c r="D46" i="51"/>
  <c r="D75" i="45"/>
  <c r="F87" i="59"/>
  <c r="D15" i="45"/>
  <c r="D64" i="45"/>
  <c r="D28" i="45"/>
  <c r="F90" i="59"/>
  <c r="D95" i="45"/>
  <c r="D61" i="45"/>
  <c r="D62" i="45"/>
  <c r="F36" i="59"/>
  <c r="D89" i="45"/>
  <c r="F42" i="59"/>
  <c r="C42" i="59" s="1"/>
  <c r="D71" i="45"/>
  <c r="D74" i="45"/>
  <c r="F75" i="59"/>
  <c r="D77" i="45"/>
  <c r="D94" i="45"/>
  <c r="U12" i="45"/>
  <c r="U60" i="45"/>
  <c r="D46" i="45"/>
  <c r="D79" i="45"/>
  <c r="D91" i="45"/>
  <c r="U14" i="45"/>
  <c r="U62" i="45"/>
  <c r="U13" i="45"/>
  <c r="U61" i="45"/>
  <c r="F16" i="59"/>
  <c r="F65" i="59"/>
  <c r="D88" i="45"/>
  <c r="D87" i="45"/>
  <c r="F22" i="59"/>
  <c r="F77" i="59"/>
  <c r="F83" i="59"/>
  <c r="F67" i="59"/>
  <c r="D40" i="45"/>
  <c r="D39" i="45"/>
  <c r="F88" i="59"/>
  <c r="D27" i="45"/>
  <c r="D36" i="45"/>
  <c r="F95" i="59"/>
  <c r="F61" i="59"/>
  <c r="F84" i="59"/>
  <c r="F62" i="59"/>
  <c r="F89" i="59"/>
  <c r="F35" i="59"/>
  <c r="F38" i="59"/>
  <c r="F19" i="59"/>
  <c r="D34" i="45"/>
  <c r="D38" i="45"/>
  <c r="F94" i="59"/>
  <c r="D31" i="45"/>
  <c r="F34" i="59"/>
  <c r="F82" i="59"/>
  <c r="F86" i="59"/>
  <c r="D43" i="45"/>
  <c r="F79" i="59"/>
  <c r="F26" i="59"/>
  <c r="F15" i="59"/>
  <c r="F63" i="59"/>
  <c r="F80" i="59"/>
  <c r="F81" i="59"/>
  <c r="F85" i="59"/>
  <c r="D12" i="45"/>
  <c r="H13" i="45"/>
  <c r="D14" i="45"/>
  <c r="D16" i="45"/>
  <c r="H16" i="45"/>
  <c r="H18" i="45"/>
  <c r="H31" i="45"/>
  <c r="H37" i="45"/>
  <c r="D18" i="45"/>
  <c r="H21" i="45"/>
  <c r="D41" i="45"/>
  <c r="H42" i="45"/>
  <c r="H47" i="45"/>
  <c r="CA6" i="44"/>
  <c r="H10" i="45"/>
  <c r="B6" i="44"/>
  <c r="H14" i="45"/>
  <c r="D19" i="45"/>
  <c r="H22" i="45"/>
  <c r="H24" i="45"/>
  <c r="D30" i="45"/>
  <c r="H30" i="45"/>
  <c r="H36" i="45"/>
  <c r="D37" i="45"/>
  <c r="H27" i="45"/>
  <c r="H41" i="45"/>
  <c r="D45" i="45"/>
  <c r="H46" i="45"/>
  <c r="H17" i="45"/>
  <c r="D29" i="45"/>
  <c r="H29" i="45"/>
  <c r="H25" i="45"/>
  <c r="H32" i="45"/>
  <c r="D35" i="45"/>
  <c r="H35" i="45"/>
  <c r="H45" i="45"/>
  <c r="D20" i="45"/>
  <c r="H34" i="45"/>
  <c r="H20" i="45"/>
  <c r="F25" i="59"/>
  <c r="H12" i="45"/>
  <c r="H19" i="45"/>
  <c r="H40" i="45"/>
  <c r="H44" i="45"/>
  <c r="H23" i="45"/>
  <c r="B7" i="44"/>
  <c r="CA7" i="44"/>
  <c r="H11" i="45"/>
  <c r="D26" i="45"/>
  <c r="F28" i="59"/>
  <c r="F32" i="59"/>
  <c r="H38" i="45"/>
  <c r="H43" i="45"/>
  <c r="D44" i="45"/>
  <c r="H39" i="45"/>
  <c r="H15" i="45"/>
  <c r="H26" i="45"/>
  <c r="H28" i="45"/>
  <c r="D42" i="45"/>
  <c r="D47" i="45"/>
  <c r="F18" i="59"/>
  <c r="C18" i="59" s="1"/>
  <c r="F30" i="59"/>
  <c r="F46" i="59"/>
  <c r="F13" i="59"/>
  <c r="F23" i="59"/>
  <c r="F27" i="59"/>
  <c r="F29" i="59"/>
  <c r="F12" i="59"/>
  <c r="F31" i="59"/>
  <c r="F17" i="59"/>
  <c r="F43" i="59"/>
  <c r="F39" i="59"/>
  <c r="F11" i="59"/>
  <c r="F21" i="59"/>
  <c r="F37" i="59"/>
  <c r="G94" i="67"/>
  <c r="G86" i="67"/>
  <c r="B34" i="51"/>
  <c r="G16" i="67"/>
  <c r="G23" i="67"/>
  <c r="G67" i="67"/>
  <c r="C31" i="51"/>
  <c r="C39" i="51"/>
  <c r="C7" i="51"/>
  <c r="C25" i="51"/>
  <c r="C29" i="51"/>
  <c r="B31" i="51"/>
  <c r="B39" i="51"/>
  <c r="C43" i="51"/>
  <c r="C32" i="51"/>
  <c r="C36" i="51"/>
  <c r="B43" i="51"/>
  <c r="C23" i="51"/>
  <c r="C24" i="51"/>
  <c r="C26" i="51"/>
  <c r="G82" i="67"/>
  <c r="B32" i="51"/>
  <c r="B36" i="51"/>
  <c r="C37" i="51"/>
  <c r="B7" i="51"/>
  <c r="B23" i="51"/>
  <c r="B24" i="51"/>
  <c r="B26" i="51"/>
  <c r="C28" i="51"/>
  <c r="B37" i="51"/>
  <c r="C35" i="51"/>
  <c r="C8" i="51"/>
  <c r="C27" i="51"/>
  <c r="B28" i="51"/>
  <c r="C41" i="51"/>
  <c r="B35" i="51"/>
  <c r="B29" i="51"/>
  <c r="B8" i="51"/>
  <c r="B27" i="51"/>
  <c r="C33" i="51"/>
  <c r="B41" i="51"/>
  <c r="B33" i="51"/>
  <c r="C38" i="51"/>
  <c r="B25" i="51"/>
  <c r="C21" i="51"/>
  <c r="B38" i="51"/>
  <c r="B21" i="51"/>
  <c r="C42" i="51"/>
  <c r="C34" i="51"/>
  <c r="B42" i="51"/>
  <c r="G63" i="67"/>
  <c r="G35" i="67"/>
  <c r="G46" i="67"/>
  <c r="G24" i="67"/>
  <c r="B19" i="54"/>
  <c r="C23" i="54"/>
  <c r="B23" i="54"/>
  <c r="B14" i="54"/>
  <c r="B27" i="54"/>
  <c r="C20" i="54"/>
  <c r="B20" i="54"/>
  <c r="B15" i="54"/>
  <c r="C24" i="54"/>
  <c r="B30" i="54"/>
  <c r="C21" i="54"/>
  <c r="B24" i="54"/>
  <c r="B26" i="54"/>
  <c r="B25" i="54"/>
  <c r="B16" i="54"/>
  <c r="C19" i="54"/>
  <c r="C15" i="54"/>
  <c r="B21" i="54"/>
  <c r="B28" i="54"/>
  <c r="B29" i="54"/>
  <c r="H65" i="67"/>
  <c r="D67" i="59"/>
  <c r="H77" i="67"/>
  <c r="G83" i="67"/>
  <c r="B33" i="57"/>
  <c r="H85" i="67"/>
  <c r="C36" i="57"/>
  <c r="H62" i="67"/>
  <c r="B37" i="57"/>
  <c r="C39" i="57"/>
  <c r="C40" i="57"/>
  <c r="B9" i="57"/>
  <c r="B12" i="57"/>
  <c r="D65" i="59"/>
  <c r="C13" i="57"/>
  <c r="B15" i="57"/>
  <c r="D77" i="59"/>
  <c r="H79" i="67"/>
  <c r="B31" i="57"/>
  <c r="D85" i="59"/>
  <c r="C33" i="57"/>
  <c r="H89" i="67"/>
  <c r="B40" i="57"/>
  <c r="B41" i="57"/>
  <c r="B8" i="57"/>
  <c r="H60" i="67"/>
  <c r="H76" i="67"/>
  <c r="D61" i="59"/>
  <c r="C9" i="57"/>
  <c r="G13" i="67"/>
  <c r="G62" i="67"/>
  <c r="B14" i="57"/>
  <c r="H72" i="67"/>
  <c r="H74" i="67"/>
  <c r="H81" i="67"/>
  <c r="B34" i="57"/>
  <c r="D63" i="59"/>
  <c r="C11" i="57"/>
  <c r="C30" i="57"/>
  <c r="G65" i="67"/>
  <c r="H73" i="67"/>
  <c r="D79" i="59"/>
  <c r="H86" i="67"/>
  <c r="D89" i="59"/>
  <c r="C37" i="57"/>
  <c r="H95" i="67"/>
  <c r="H63" i="67"/>
  <c r="H66" i="67"/>
  <c r="B7" i="57"/>
  <c r="C8" i="57"/>
  <c r="C10" i="57"/>
  <c r="G17" i="67"/>
  <c r="H80" i="67"/>
  <c r="D81" i="59"/>
  <c r="C29" i="57"/>
  <c r="G34" i="67"/>
  <c r="H83" i="67"/>
  <c r="B38" i="57"/>
  <c r="G93" i="67"/>
  <c r="D69" i="59"/>
  <c r="G72" i="67"/>
  <c r="D73" i="59"/>
  <c r="B28" i="57"/>
  <c r="B30" i="57"/>
  <c r="G84" i="67"/>
  <c r="C34" i="57"/>
  <c r="G45" i="67"/>
  <c r="H94" i="67"/>
  <c r="C43" i="57"/>
  <c r="D59" i="59"/>
  <c r="C7" i="57"/>
  <c r="B22" i="57"/>
  <c r="H75" i="67"/>
  <c r="C28" i="57"/>
  <c r="D83" i="59"/>
  <c r="C31" i="57"/>
  <c r="B36" i="57"/>
  <c r="B35" i="57"/>
  <c r="B13" i="57"/>
  <c r="H71" i="67"/>
  <c r="H78" i="67"/>
  <c r="B29" i="57"/>
  <c r="B32" i="57"/>
  <c r="H90" i="67"/>
  <c r="H93" i="67"/>
  <c r="C42" i="57"/>
  <c r="D75" i="59"/>
  <c r="H87" i="67"/>
  <c r="H84" i="67"/>
  <c r="B43" i="57"/>
  <c r="H61" i="67"/>
  <c r="H67" i="67"/>
  <c r="D71" i="59"/>
  <c r="G80" i="67"/>
  <c r="G37" i="67"/>
  <c r="H88" i="67"/>
  <c r="C38" i="57"/>
  <c r="D93" i="59"/>
  <c r="C41" i="57"/>
  <c r="H68" i="67"/>
  <c r="H82" i="67"/>
  <c r="C32" i="57"/>
  <c r="B39" i="57"/>
  <c r="H92" i="67"/>
  <c r="B42" i="57"/>
  <c r="D87" i="59"/>
  <c r="C35" i="57"/>
  <c r="V92" i="67"/>
  <c r="V75" i="67"/>
  <c r="V44" i="67"/>
  <c r="V95" i="67"/>
  <c r="V47" i="67"/>
  <c r="V65" i="67"/>
  <c r="V86" i="67"/>
  <c r="V93" i="67"/>
  <c r="G89" i="67"/>
  <c r="V70" i="67"/>
  <c r="V31" i="67"/>
  <c r="V85" i="67"/>
  <c r="V60" i="67"/>
  <c r="V33" i="67"/>
  <c r="V37" i="67"/>
  <c r="V26" i="67"/>
  <c r="V19" i="67"/>
  <c r="U71" i="67"/>
  <c r="U27" i="67"/>
  <c r="U67" i="67"/>
  <c r="G92" i="67"/>
  <c r="V13" i="67"/>
  <c r="U61" i="67"/>
  <c r="U19" i="67"/>
  <c r="V68" i="67"/>
  <c r="G25" i="67"/>
  <c r="G29" i="67"/>
  <c r="G31" i="67"/>
  <c r="G44" i="67"/>
  <c r="G95" i="67"/>
  <c r="G39" i="67"/>
  <c r="G60" i="67"/>
  <c r="V62" i="67"/>
  <c r="V63" i="67"/>
  <c r="G21" i="67"/>
  <c r="G33" i="67"/>
  <c r="U89" i="67"/>
  <c r="G91" i="67"/>
  <c r="G47" i="67"/>
  <c r="V22" i="67"/>
  <c r="V71" i="67"/>
  <c r="U90" i="67"/>
  <c r="V67" i="67"/>
  <c r="V59" i="67"/>
  <c r="G71" i="67"/>
  <c r="V72" i="67"/>
  <c r="V40" i="67"/>
  <c r="G41" i="67"/>
  <c r="U95" i="67"/>
  <c r="V87" i="67"/>
  <c r="H11" i="67"/>
  <c r="H13" i="67"/>
  <c r="G11" i="67"/>
  <c r="J15" i="67"/>
  <c r="G68" i="67"/>
  <c r="J69" i="67"/>
  <c r="G74" i="67"/>
  <c r="G78" i="67"/>
  <c r="J30" i="67"/>
  <c r="J34" i="67"/>
  <c r="J85" i="67"/>
  <c r="J90" i="67"/>
  <c r="J93" i="67"/>
  <c r="H47" i="67"/>
  <c r="J63" i="67"/>
  <c r="J78" i="67"/>
  <c r="J31" i="67"/>
  <c r="J82" i="67"/>
  <c r="J59" i="67"/>
  <c r="G64" i="67"/>
  <c r="H17" i="67"/>
  <c r="G18" i="67"/>
  <c r="H18" i="67"/>
  <c r="G20" i="67"/>
  <c r="J21" i="67"/>
  <c r="H24" i="67"/>
  <c r="G26" i="67"/>
  <c r="H28" i="67"/>
  <c r="G30" i="67"/>
  <c r="G81" i="67"/>
  <c r="J81" i="67"/>
  <c r="H36" i="67"/>
  <c r="J37" i="67"/>
  <c r="G38" i="67"/>
  <c r="J42" i="67"/>
  <c r="G43" i="67"/>
  <c r="J45" i="67"/>
  <c r="J87" i="67"/>
  <c r="J11" i="67"/>
  <c r="G61" i="67"/>
  <c r="J61" i="67"/>
  <c r="H16" i="67"/>
  <c r="H23" i="67"/>
  <c r="J80" i="67"/>
  <c r="J33" i="67"/>
  <c r="H40" i="67"/>
  <c r="J89" i="67"/>
  <c r="J94" i="67"/>
  <c r="J39" i="67"/>
  <c r="J13" i="67"/>
  <c r="G15" i="67"/>
  <c r="J65" i="67"/>
  <c r="J72" i="67"/>
  <c r="G32" i="67"/>
  <c r="J32" i="67"/>
  <c r="J41" i="67"/>
  <c r="G90" i="67"/>
  <c r="H43" i="67"/>
  <c r="J46" i="67"/>
  <c r="H14" i="67"/>
  <c r="J17" i="67"/>
  <c r="J71" i="67"/>
  <c r="J24" i="67"/>
  <c r="H29" i="67"/>
  <c r="G85" i="67"/>
  <c r="H38" i="67"/>
  <c r="G42" i="67"/>
  <c r="J95" i="67"/>
  <c r="H35" i="67"/>
  <c r="J84" i="67"/>
  <c r="J47" i="67"/>
  <c r="H20" i="67"/>
  <c r="H10" i="67"/>
  <c r="G12" i="67"/>
  <c r="J62" i="67"/>
  <c r="J18" i="67"/>
  <c r="J22" i="67"/>
  <c r="H25" i="67"/>
  <c r="J74" i="67"/>
  <c r="G28" i="67"/>
  <c r="J28" i="67"/>
  <c r="H31" i="67"/>
  <c r="J36" i="67"/>
  <c r="J88" i="67"/>
  <c r="G87" i="67"/>
  <c r="J14" i="67"/>
  <c r="J67" i="67"/>
  <c r="J26" i="67"/>
  <c r="G27" i="67"/>
  <c r="J75" i="67"/>
  <c r="H30" i="67"/>
  <c r="H34" i="67"/>
  <c r="J40" i="67"/>
  <c r="J92" i="67"/>
  <c r="H44" i="67"/>
  <c r="H12" i="67"/>
  <c r="G14" i="67"/>
  <c r="H15" i="67"/>
  <c r="J64" i="67"/>
  <c r="G19" i="67"/>
  <c r="J19" i="67"/>
  <c r="J68" i="67"/>
  <c r="J73" i="67"/>
  <c r="H26" i="67"/>
  <c r="J27" i="67"/>
  <c r="J77" i="67"/>
  <c r="H37" i="67"/>
  <c r="J86" i="67"/>
  <c r="H42" i="67"/>
  <c r="J91" i="67"/>
  <c r="J44" i="67"/>
  <c r="H45" i="67"/>
  <c r="J60" i="67"/>
  <c r="J16" i="67"/>
  <c r="J20" i="67"/>
  <c r="H22" i="67"/>
  <c r="J25" i="67"/>
  <c r="J29" i="67"/>
  <c r="J83" i="67"/>
  <c r="J38" i="67"/>
  <c r="G88" i="67"/>
  <c r="J43" i="67"/>
  <c r="H39" i="67"/>
  <c r="J66" i="67"/>
  <c r="H19" i="67"/>
  <c r="H21" i="67"/>
  <c r="J70" i="67"/>
  <c r="J23" i="67"/>
  <c r="H27" i="67"/>
  <c r="J76" i="67"/>
  <c r="J10" i="67"/>
  <c r="J12" i="67"/>
  <c r="G22" i="67"/>
  <c r="G79" i="67"/>
  <c r="J79" i="67"/>
  <c r="H32" i="67"/>
  <c r="J35" i="67"/>
  <c r="G36" i="67"/>
  <c r="G40" i="67"/>
  <c r="H41" i="67"/>
  <c r="H46" i="67"/>
  <c r="B74" i="56"/>
  <c r="B77" i="56"/>
  <c r="B80" i="56"/>
  <c r="B82" i="56"/>
  <c r="B78" i="56"/>
  <c r="B88" i="56"/>
  <c r="BE14" i="57"/>
  <c r="Y14" i="57"/>
  <c r="F66" i="59" s="1"/>
  <c r="AW16" i="57"/>
  <c r="AO16" i="57"/>
  <c r="Y16" i="57"/>
  <c r="F68" i="59" s="1"/>
  <c r="R16" i="44"/>
  <c r="G20" i="45" s="1"/>
  <c r="AZ17" i="57"/>
  <c r="L16" i="57"/>
  <c r="B16" i="57" s="1"/>
  <c r="BE16" i="57"/>
  <c r="BH17" i="57"/>
  <c r="AJ17" i="57"/>
  <c r="L17" i="57"/>
  <c r="AO12" i="57"/>
  <c r="AK14" i="44"/>
  <c r="Q14" i="57"/>
  <c r="AL16" i="47"/>
  <c r="E20" i="49" s="1"/>
  <c r="U16" i="44"/>
  <c r="S68" i="45" s="1"/>
  <c r="AC14" i="44"/>
  <c r="I14" i="57"/>
  <c r="AO15" i="57"/>
  <c r="C15" i="57" s="1"/>
  <c r="BA16" i="44"/>
  <c r="N68" i="45" s="1"/>
  <c r="Q16" i="57"/>
  <c r="I16" i="57"/>
  <c r="AR17" i="57"/>
  <c r="K21" i="59" s="1"/>
  <c r="AB17" i="57"/>
  <c r="V21" i="67"/>
  <c r="BE17" i="57"/>
  <c r="BB17" i="47"/>
  <c r="O21" i="49" s="1"/>
  <c r="BA17" i="44"/>
  <c r="N69" i="45" s="1"/>
  <c r="AX17" i="44"/>
  <c r="AW17" i="57"/>
  <c r="AT17" i="47"/>
  <c r="G21" i="49" s="1"/>
  <c r="AP17" i="44"/>
  <c r="AO17" i="57"/>
  <c r="AL17" i="47"/>
  <c r="E21" i="49" s="1"/>
  <c r="AK17" i="44"/>
  <c r="AH17" i="44"/>
  <c r="AG17" i="57"/>
  <c r="J69" i="59" s="1"/>
  <c r="AC17" i="44"/>
  <c r="Z17" i="44"/>
  <c r="D21" i="45" s="1"/>
  <c r="Y17" i="57"/>
  <c r="F69" i="59" s="1"/>
  <c r="V17" i="47"/>
  <c r="U17" i="44"/>
  <c r="S69" i="45" s="1"/>
  <c r="R17" i="44"/>
  <c r="G21" i="45" s="1"/>
  <c r="Q17" i="57"/>
  <c r="J17" i="51"/>
  <c r="J17" i="44"/>
  <c r="F17" i="54"/>
  <c r="F17" i="47"/>
  <c r="K21" i="49" s="1"/>
  <c r="E17" i="44"/>
  <c r="H69" i="45" s="1"/>
  <c r="AR18" i="57"/>
  <c r="K22" i="59" s="1"/>
  <c r="L18" i="57"/>
  <c r="BI18" i="44"/>
  <c r="Q70" i="45" s="1"/>
  <c r="BE18" i="57"/>
  <c r="BB18" i="47"/>
  <c r="O22" i="49" s="1"/>
  <c r="AX18" i="44"/>
  <c r="AW18" i="57"/>
  <c r="AT18" i="47"/>
  <c r="G22" i="49" s="1"/>
  <c r="AS18" i="44"/>
  <c r="AP18" i="44"/>
  <c r="AO18" i="57"/>
  <c r="AL18" i="47"/>
  <c r="E22" i="49" s="1"/>
  <c r="AK18" i="44"/>
  <c r="AH18" i="44"/>
  <c r="AC18" i="44"/>
  <c r="Z18" i="44"/>
  <c r="D22" i="45" s="1"/>
  <c r="Y18" i="57"/>
  <c r="F70" i="59" s="1"/>
  <c r="U18" i="44"/>
  <c r="S70" i="45" s="1"/>
  <c r="R18" i="44"/>
  <c r="G22" i="45" s="1"/>
  <c r="Q18" i="57"/>
  <c r="J18" i="51"/>
  <c r="J18" i="44"/>
  <c r="F18" i="54"/>
  <c r="F18" i="47"/>
  <c r="K22" i="49" s="1"/>
  <c r="E18" i="51"/>
  <c r="H86" i="52" s="1"/>
  <c r="E18" i="44"/>
  <c r="H70" i="45" s="1"/>
  <c r="BH19" i="57"/>
  <c r="AZ19" i="57"/>
  <c r="AR19" i="57"/>
  <c r="K23" i="59" s="1"/>
  <c r="AJ19" i="57"/>
  <c r="AB19" i="57"/>
  <c r="L19" i="57"/>
  <c r="BE19" i="57"/>
  <c r="AW19" i="57"/>
  <c r="AT19" i="47"/>
  <c r="G23" i="49" s="1"/>
  <c r="AO19" i="57"/>
  <c r="AL19" i="47"/>
  <c r="E23" i="49" s="1"/>
  <c r="Z19" i="44"/>
  <c r="BH20" i="57"/>
  <c r="AR20" i="57"/>
  <c r="K24" i="59" s="1"/>
  <c r="BF20" i="44"/>
  <c r="O24" i="45" s="1"/>
  <c r="AH20" i="44"/>
  <c r="Y20" i="57"/>
  <c r="F72" i="59" s="1"/>
  <c r="AZ21" i="57"/>
  <c r="AJ21" i="57"/>
  <c r="BI21" i="44"/>
  <c r="Q73" i="45" s="1"/>
  <c r="BE21" i="57"/>
  <c r="AX21" i="44"/>
  <c r="AO21" i="57"/>
  <c r="AL21" i="47"/>
  <c r="E25" i="49" s="1"/>
  <c r="V21" i="47"/>
  <c r="AS22" i="44"/>
  <c r="U74" i="67" s="1"/>
  <c r="Y22" i="57"/>
  <c r="F74" i="59" s="1"/>
  <c r="AB23" i="57"/>
  <c r="T23" i="57"/>
  <c r="BA14" i="57"/>
  <c r="AS14" i="57"/>
  <c r="K66" i="59" s="1"/>
  <c r="AP19" i="44"/>
  <c r="U23" i="67" s="1"/>
  <c r="AG19" i="57"/>
  <c r="J71" i="59" s="1"/>
  <c r="V19" i="47"/>
  <c r="AZ20" i="57"/>
  <c r="BE20" i="57"/>
  <c r="AW20" i="57"/>
  <c r="U20" i="44"/>
  <c r="S72" i="45" s="1"/>
  <c r="AR21" i="57"/>
  <c r="K25" i="59" s="1"/>
  <c r="AB21" i="57"/>
  <c r="BA21" i="44"/>
  <c r="N73" i="45" s="1"/>
  <c r="AW21" i="57"/>
  <c r="AP21" i="44"/>
  <c r="AK21" i="44"/>
  <c r="AG21" i="57"/>
  <c r="J73" i="59" s="1"/>
  <c r="Z21" i="44"/>
  <c r="AW22" i="57"/>
  <c r="AZ23" i="57"/>
  <c r="V27" i="67"/>
  <c r="BI23" i="44"/>
  <c r="BE23" i="57"/>
  <c r="BA23" i="44"/>
  <c r="N75" i="45" s="1"/>
  <c r="AW23" i="57"/>
  <c r="AT23" i="47"/>
  <c r="G27" i="49" s="1"/>
  <c r="AP23" i="44"/>
  <c r="AO23" i="57"/>
  <c r="AL23" i="47"/>
  <c r="E27" i="49" s="1"/>
  <c r="AK23" i="44"/>
  <c r="AG23" i="57"/>
  <c r="J75" i="59" s="1"/>
  <c r="V23" i="47"/>
  <c r="BH24" i="57"/>
  <c r="AR24" i="57"/>
  <c r="K28" i="59" s="1"/>
  <c r="V28" i="67"/>
  <c r="BF24" i="44"/>
  <c r="O28" i="45" s="1"/>
  <c r="BE24" i="57"/>
  <c r="BA24" i="44"/>
  <c r="N76" i="45" s="1"/>
  <c r="AW24" i="57"/>
  <c r="AT24" i="47"/>
  <c r="G28" i="49" s="1"/>
  <c r="AS24" i="44"/>
  <c r="AO24" i="57"/>
  <c r="AL24" i="47"/>
  <c r="E28" i="49" s="1"/>
  <c r="AK24" i="44"/>
  <c r="Y24" i="57"/>
  <c r="F76" i="59" s="1"/>
  <c r="BH25" i="57"/>
  <c r="AB25" i="57"/>
  <c r="T25" i="57"/>
  <c r="BI25" i="44"/>
  <c r="Q77" i="45" s="1"/>
  <c r="BE25" i="57"/>
  <c r="BA25" i="44"/>
  <c r="N77" i="45" s="1"/>
  <c r="AW25" i="57"/>
  <c r="AT25" i="47"/>
  <c r="G29" i="49" s="1"/>
  <c r="AP25" i="44"/>
  <c r="AO25" i="57"/>
  <c r="AL25" i="47"/>
  <c r="E29" i="49" s="1"/>
  <c r="AK25" i="44"/>
  <c r="AG25" i="57"/>
  <c r="J77" i="59" s="1"/>
  <c r="V25" i="47"/>
  <c r="AZ26" i="57"/>
  <c r="B26" i="57" s="1"/>
  <c r="V30" i="67"/>
  <c r="BI26" i="44"/>
  <c r="Q78" i="45" s="1"/>
  <c r="BE26" i="57"/>
  <c r="AW26" i="57"/>
  <c r="AT26" i="47"/>
  <c r="G30" i="49" s="1"/>
  <c r="Y26" i="57"/>
  <c r="F78" i="59" s="1"/>
  <c r="AZ27" i="57"/>
  <c r="AR27" i="57"/>
  <c r="K31" i="59" s="1"/>
  <c r="AJ27" i="57"/>
  <c r="AB27" i="57"/>
  <c r="T27" i="57"/>
  <c r="R79" i="67"/>
  <c r="BE27" i="57"/>
  <c r="C27" i="57" s="1"/>
  <c r="AG5" i="44"/>
  <c r="AD5" i="44"/>
  <c r="V5" i="44"/>
  <c r="Q5" i="44"/>
  <c r="I5" i="44"/>
  <c r="AI5" i="44"/>
  <c r="AF5" i="44"/>
  <c r="H5" i="44"/>
  <c r="BV5" i="57"/>
  <c r="BN5" i="57"/>
  <c r="BF6" i="57"/>
  <c r="AX6" i="57"/>
  <c r="AX5" i="57" s="1"/>
  <c r="AP6" i="57"/>
  <c r="AH6" i="57"/>
  <c r="Z6" i="57"/>
  <c r="Z5" i="57" s="1"/>
  <c r="R6" i="57"/>
  <c r="G10" i="59" s="1"/>
  <c r="J6" i="57"/>
  <c r="D64" i="59"/>
  <c r="AC13" i="54"/>
  <c r="D66" i="59"/>
  <c r="D68" i="59"/>
  <c r="D70" i="59"/>
  <c r="D72" i="59"/>
  <c r="D74" i="59"/>
  <c r="D76" i="59"/>
  <c r="D78" i="59"/>
  <c r="BT5" i="57"/>
  <c r="BL5" i="57"/>
  <c r="BD6" i="57"/>
  <c r="BD5" i="57" s="1"/>
  <c r="AV6" i="57"/>
  <c r="AN6" i="57"/>
  <c r="AF6" i="57"/>
  <c r="X6" i="57"/>
  <c r="P6" i="57"/>
  <c r="P5" i="57" s="1"/>
  <c r="H6" i="57"/>
  <c r="BI6" i="57"/>
  <c r="BA6" i="57"/>
  <c r="AS6" i="57"/>
  <c r="K58" i="59" s="1"/>
  <c r="AK6" i="57"/>
  <c r="AK5" i="57" s="1"/>
  <c r="AC6" i="57"/>
  <c r="AC5" i="57" s="1"/>
  <c r="U6" i="57"/>
  <c r="U5" i="57" s="1"/>
  <c r="M6" i="57"/>
  <c r="M5" i="57" s="1"/>
  <c r="D60" i="59"/>
  <c r="D62" i="59"/>
  <c r="BS5" i="57"/>
  <c r="BK5" i="57"/>
  <c r="BC12" i="57"/>
  <c r="BC5" i="57" s="1"/>
  <c r="AU12" i="57"/>
  <c r="AM12" i="57"/>
  <c r="AE12" i="57"/>
  <c r="AE5" i="57" s="1"/>
  <c r="W12" i="57"/>
  <c r="O12" i="57"/>
  <c r="E64" i="59" s="1"/>
  <c r="G12" i="57"/>
  <c r="D91" i="59"/>
  <c r="D92" i="59"/>
  <c r="BR5" i="57"/>
  <c r="BJ5" i="57"/>
  <c r="BB6" i="57"/>
  <c r="AT6" i="57"/>
  <c r="AL6" i="51"/>
  <c r="G12" i="52" s="1"/>
  <c r="AD6" i="51"/>
  <c r="I12" i="52" s="1"/>
  <c r="V6" i="51"/>
  <c r="N6" i="57"/>
  <c r="F6" i="51"/>
  <c r="E58" i="59"/>
  <c r="AD10" i="57"/>
  <c r="V10" i="57"/>
  <c r="L14" i="59" s="1"/>
  <c r="N10" i="57"/>
  <c r="F10" i="57"/>
  <c r="BB11" i="57"/>
  <c r="AL11" i="57"/>
  <c r="AD11" i="57"/>
  <c r="V11" i="57"/>
  <c r="L15" i="59" s="1"/>
  <c r="F11" i="57"/>
  <c r="D80" i="59"/>
  <c r="D82" i="59"/>
  <c r="D84" i="59"/>
  <c r="D86" i="59"/>
  <c r="D88" i="59"/>
  <c r="D90" i="59"/>
  <c r="D94" i="59"/>
  <c r="D95" i="59"/>
  <c r="BH6" i="57"/>
  <c r="AZ6" i="57"/>
  <c r="AR6" i="57"/>
  <c r="K10" i="59" s="1"/>
  <c r="AJ6" i="57"/>
  <c r="AB6" i="57"/>
  <c r="T6" i="57"/>
  <c r="L6" i="57"/>
  <c r="BE6" i="57"/>
  <c r="AW6" i="57"/>
  <c r="AO6" i="57"/>
  <c r="AG6" i="57"/>
  <c r="J58" i="59" s="1"/>
  <c r="Y6" i="57"/>
  <c r="F58" i="59" s="1"/>
  <c r="Q6" i="57"/>
  <c r="I6" i="57"/>
  <c r="BW5" i="57"/>
  <c r="BO5" i="57"/>
  <c r="BG12" i="57"/>
  <c r="AY12" i="57"/>
  <c r="AY5" i="57" s="1"/>
  <c r="AQ12" i="57"/>
  <c r="AI12" i="57"/>
  <c r="AA12" i="57"/>
  <c r="AA5" i="57" s="1"/>
  <c r="S12" i="57"/>
  <c r="K12" i="57"/>
  <c r="BQ12" i="54"/>
  <c r="L65" i="56" s="1"/>
  <c r="BQ13" i="54"/>
  <c r="L66" i="56" s="1"/>
  <c r="B81" i="56"/>
  <c r="B83" i="56"/>
  <c r="B84" i="56"/>
  <c r="BP12" i="54"/>
  <c r="L16" i="56" s="1"/>
  <c r="B16" i="56" s="1"/>
  <c r="BP13" i="54"/>
  <c r="B67" i="56"/>
  <c r="B71" i="56"/>
  <c r="B72" i="56"/>
  <c r="B76" i="56"/>
  <c r="AU6" i="51"/>
  <c r="F74" i="52" s="1"/>
  <c r="AE6" i="51"/>
  <c r="I74" i="52" s="1"/>
  <c r="AJ6" i="51"/>
  <c r="E12" i="52" s="1"/>
  <c r="AB6" i="51"/>
  <c r="T6" i="51"/>
  <c r="L6" i="51"/>
  <c r="M12" i="52" s="1"/>
  <c r="B39" i="56"/>
  <c r="B32" i="56"/>
  <c r="B33" i="56"/>
  <c r="B34" i="56"/>
  <c r="B35" i="56"/>
  <c r="B38" i="56"/>
  <c r="B42" i="56"/>
  <c r="B41" i="56"/>
  <c r="B18" i="56"/>
  <c r="B24" i="56"/>
  <c r="B25" i="56"/>
  <c r="B27" i="56"/>
  <c r="B28" i="56"/>
  <c r="B29" i="56"/>
  <c r="B30" i="56"/>
  <c r="B31" i="56"/>
  <c r="B40" i="56"/>
  <c r="BW6" i="54"/>
  <c r="BT6" i="54"/>
  <c r="BG6" i="54"/>
  <c r="BD6" i="54"/>
  <c r="AY6" i="54"/>
  <c r="AV6" i="54"/>
  <c r="AQ6" i="54"/>
  <c r="F59" i="56" s="1"/>
  <c r="AN6" i="54"/>
  <c r="G10" i="56" s="1"/>
  <c r="AI6" i="54"/>
  <c r="AF6" i="54"/>
  <c r="AA6" i="54"/>
  <c r="X6" i="54"/>
  <c r="S6" i="54"/>
  <c r="P6" i="54"/>
  <c r="H10" i="56" s="1"/>
  <c r="K6" i="54"/>
  <c r="H6" i="54"/>
  <c r="BY6" i="54"/>
  <c r="BV6" i="54"/>
  <c r="BQ6" i="54"/>
  <c r="L59" i="56" s="1"/>
  <c r="BI6" i="54"/>
  <c r="BF6" i="54"/>
  <c r="AX6" i="54"/>
  <c r="AS6" i="54"/>
  <c r="AP6" i="54"/>
  <c r="F10" i="56" s="1"/>
  <c r="AK6" i="54"/>
  <c r="C59" i="56" s="1"/>
  <c r="AH6" i="54"/>
  <c r="AC6" i="54"/>
  <c r="Z6" i="54"/>
  <c r="U6" i="54"/>
  <c r="R6" i="54"/>
  <c r="M6" i="54"/>
  <c r="J6" i="54"/>
  <c r="E6" i="54"/>
  <c r="K59" i="56" s="1"/>
  <c r="BX6" i="54"/>
  <c r="BS6" i="54"/>
  <c r="BP6" i="54"/>
  <c r="L10" i="56" s="1"/>
  <c r="BK6" i="54"/>
  <c r="BH6" i="54"/>
  <c r="BC6" i="54"/>
  <c r="AZ6" i="54"/>
  <c r="AU6" i="54"/>
  <c r="D59" i="56" s="1"/>
  <c r="AR6" i="54"/>
  <c r="AM6" i="54"/>
  <c r="E59" i="56" s="1"/>
  <c r="AJ6" i="54"/>
  <c r="C10" i="56" s="1"/>
  <c r="AE6" i="54"/>
  <c r="J59" i="56" s="1"/>
  <c r="W6" i="54"/>
  <c r="W6" i="51"/>
  <c r="T6" i="54"/>
  <c r="O6" i="54"/>
  <c r="L6" i="54"/>
  <c r="G6" i="54"/>
  <c r="I59" i="56" s="1"/>
  <c r="G6" i="51"/>
  <c r="D6" i="54"/>
  <c r="K10" i="56" s="1"/>
  <c r="BU13" i="54"/>
  <c r="BU6" i="54"/>
  <c r="BR6" i="54"/>
  <c r="BJ6" i="54"/>
  <c r="BE6" i="54"/>
  <c r="BB6" i="54"/>
  <c r="AW6" i="54"/>
  <c r="AT6" i="54"/>
  <c r="D10" i="56" s="1"/>
  <c r="AO6" i="54"/>
  <c r="G59" i="56" s="1"/>
  <c r="AL6" i="54"/>
  <c r="E10" i="56" s="1"/>
  <c r="AG6" i="54"/>
  <c r="AD6" i="54"/>
  <c r="J10" i="56" s="1"/>
  <c r="Y6" i="54"/>
  <c r="V6" i="54"/>
  <c r="Q6" i="54"/>
  <c r="H59" i="56" s="1"/>
  <c r="N6" i="54"/>
  <c r="I6" i="54"/>
  <c r="F6" i="54"/>
  <c r="I10" i="56" s="1"/>
  <c r="BU22" i="54"/>
  <c r="BR22" i="54"/>
  <c r="BM22" i="54"/>
  <c r="BJ22" i="54"/>
  <c r="BE22" i="51"/>
  <c r="O90" i="52" s="1"/>
  <c r="BE22" i="54"/>
  <c r="BB22" i="51"/>
  <c r="P28" i="52" s="1"/>
  <c r="BB22" i="54"/>
  <c r="AW22" i="51"/>
  <c r="AW22" i="54"/>
  <c r="AT22" i="51"/>
  <c r="F28" i="52" s="1"/>
  <c r="AT22" i="54"/>
  <c r="D26" i="56" s="1"/>
  <c r="AO22" i="51"/>
  <c r="J90" i="52" s="1"/>
  <c r="AO22" i="54"/>
  <c r="G75" i="56" s="1"/>
  <c r="AL22" i="51"/>
  <c r="G28" i="52" s="1"/>
  <c r="AL22" i="54"/>
  <c r="E26" i="56" s="1"/>
  <c r="AG22" i="51"/>
  <c r="AG22" i="54"/>
  <c r="AD22" i="51"/>
  <c r="I28" i="52" s="1"/>
  <c r="AD22" i="54"/>
  <c r="J26" i="56" s="1"/>
  <c r="Y22" i="51"/>
  <c r="Y22" i="54"/>
  <c r="V22" i="51"/>
  <c r="V22" i="54"/>
  <c r="Q22" i="51"/>
  <c r="K90" i="52" s="1"/>
  <c r="Q22" i="54"/>
  <c r="H75" i="56" s="1"/>
  <c r="N22" i="51"/>
  <c r="N22" i="54"/>
  <c r="I22" i="51"/>
  <c r="I22" i="54"/>
  <c r="F22" i="51"/>
  <c r="F22" i="54"/>
  <c r="I26" i="56" s="1"/>
  <c r="BK11" i="54"/>
  <c r="Y30" i="54"/>
  <c r="C30" i="54" s="1"/>
  <c r="N31" i="54"/>
  <c r="B31" i="54" s="1"/>
  <c r="BL6" i="54"/>
  <c r="B60" i="56"/>
  <c r="Q32" i="54"/>
  <c r="H85" i="56" s="1"/>
  <c r="B85" i="56" s="1"/>
  <c r="N32" i="54"/>
  <c r="C7" i="54"/>
  <c r="Q33" i="54"/>
  <c r="H86" i="56" s="1"/>
  <c r="AG34" i="54"/>
  <c r="B87" i="56" s="1"/>
  <c r="BW11" i="54"/>
  <c r="B64" i="56" s="1"/>
  <c r="Y36" i="54"/>
  <c r="BV10" i="54"/>
  <c r="B14" i="56" s="1"/>
  <c r="V36" i="54"/>
  <c r="BY11" i="54"/>
  <c r="Y37" i="54"/>
  <c r="AO38" i="54"/>
  <c r="G91" i="56" s="1"/>
  <c r="B91" i="56" s="1"/>
  <c r="AE39" i="54"/>
  <c r="J92" i="56" s="1"/>
  <c r="BX40" i="54"/>
  <c r="BS40" i="54"/>
  <c r="BP40" i="54"/>
  <c r="L44" i="56" s="1"/>
  <c r="BK40" i="54"/>
  <c r="BH40" i="51"/>
  <c r="BH40" i="54"/>
  <c r="BC40" i="51"/>
  <c r="P108" i="52" s="1"/>
  <c r="BC40" i="54"/>
  <c r="AZ40" i="51"/>
  <c r="AZ40" i="54"/>
  <c r="AU40" i="51"/>
  <c r="F108" i="52" s="1"/>
  <c r="AU40" i="54"/>
  <c r="D93" i="56" s="1"/>
  <c r="AR40" i="51"/>
  <c r="AR40" i="54"/>
  <c r="AM40" i="51"/>
  <c r="G108" i="52" s="1"/>
  <c r="AM40" i="54"/>
  <c r="E93" i="56" s="1"/>
  <c r="AJ40" i="51"/>
  <c r="E46" i="52" s="1"/>
  <c r="AJ40" i="54"/>
  <c r="C44" i="56" s="1"/>
  <c r="AE40" i="51"/>
  <c r="I108" i="52" s="1"/>
  <c r="AB40" i="51"/>
  <c r="AB40" i="54"/>
  <c r="W40" i="51"/>
  <c r="W40" i="54"/>
  <c r="T40" i="51"/>
  <c r="T40" i="54"/>
  <c r="O40" i="51"/>
  <c r="O40" i="54"/>
  <c r="L40" i="51"/>
  <c r="M46" i="52" s="1"/>
  <c r="L40" i="54"/>
  <c r="G40" i="51"/>
  <c r="G40" i="54"/>
  <c r="I93" i="56" s="1"/>
  <c r="D40" i="51"/>
  <c r="H46" i="52" s="1"/>
  <c r="D40" i="54"/>
  <c r="K44" i="56" s="1"/>
  <c r="AU41" i="54"/>
  <c r="D94" i="56" s="1"/>
  <c r="AW42" i="54"/>
  <c r="AL43" i="54"/>
  <c r="E47" i="56" s="1"/>
  <c r="BU10" i="54"/>
  <c r="W35" i="54"/>
  <c r="BT9" i="54"/>
  <c r="T35" i="54"/>
  <c r="BW22" i="54"/>
  <c r="BT22" i="54"/>
  <c r="BL22" i="54"/>
  <c r="BG22" i="51"/>
  <c r="Q90" i="52" s="1"/>
  <c r="BG22" i="54"/>
  <c r="BD22" i="51"/>
  <c r="O28" i="52" s="1"/>
  <c r="BD22" i="54"/>
  <c r="AY22" i="51"/>
  <c r="AY22" i="54"/>
  <c r="AV22" i="51"/>
  <c r="AV22" i="54"/>
  <c r="AQ22" i="51"/>
  <c r="L90" i="52" s="1"/>
  <c r="AQ22" i="54"/>
  <c r="F75" i="56" s="1"/>
  <c r="AN22" i="51"/>
  <c r="J28" i="52" s="1"/>
  <c r="AN22" i="54"/>
  <c r="G26" i="56" s="1"/>
  <c r="AI22" i="51"/>
  <c r="AI22" i="54"/>
  <c r="AF22" i="51"/>
  <c r="AF22" i="54"/>
  <c r="AA22" i="51"/>
  <c r="AA22" i="54"/>
  <c r="X22" i="51"/>
  <c r="X22" i="54"/>
  <c r="S22" i="51"/>
  <c r="S22" i="54"/>
  <c r="P22" i="51"/>
  <c r="K28" i="52" s="1"/>
  <c r="P22" i="54"/>
  <c r="H26" i="56" s="1"/>
  <c r="K22" i="51"/>
  <c r="K22" i="54"/>
  <c r="H22" i="51"/>
  <c r="H22" i="54"/>
  <c r="O25" i="54"/>
  <c r="C25" i="54" s="1"/>
  <c r="BM12" i="54"/>
  <c r="AA31" i="54"/>
  <c r="P32" i="54"/>
  <c r="H36" i="56" s="1"/>
  <c r="B36" i="56" s="1"/>
  <c r="BQ8" i="54"/>
  <c r="L61" i="56" s="1"/>
  <c r="S33" i="54"/>
  <c r="B7" i="54"/>
  <c r="P33" i="54"/>
  <c r="H37" i="56" s="1"/>
  <c r="B37" i="56" s="1"/>
  <c r="S34" i="54"/>
  <c r="BS8" i="54"/>
  <c r="BV11" i="54"/>
  <c r="X36" i="54"/>
  <c r="BY12" i="54"/>
  <c r="AA37" i="54"/>
  <c r="BX11" i="54"/>
  <c r="X37" i="54"/>
  <c r="AA38" i="54"/>
  <c r="AD39" i="54"/>
  <c r="J43" i="56" s="1"/>
  <c r="B43" i="56" s="1"/>
  <c r="BU40" i="54"/>
  <c r="BR40" i="54"/>
  <c r="BM40" i="54"/>
  <c r="BJ40" i="54"/>
  <c r="BE40" i="51"/>
  <c r="O108" i="52" s="1"/>
  <c r="BE40" i="54"/>
  <c r="BB40" i="51"/>
  <c r="P46" i="52" s="1"/>
  <c r="BB40" i="54"/>
  <c r="AW40" i="51"/>
  <c r="AW40" i="54"/>
  <c r="AT40" i="51"/>
  <c r="F46" i="52" s="1"/>
  <c r="AT40" i="54"/>
  <c r="D44" i="56" s="1"/>
  <c r="AO40" i="51"/>
  <c r="J108" i="52" s="1"/>
  <c r="AO40" i="54"/>
  <c r="G93" i="56" s="1"/>
  <c r="AL40" i="51"/>
  <c r="G46" i="52" s="1"/>
  <c r="AL40" i="54"/>
  <c r="E44" i="56" s="1"/>
  <c r="AG40" i="51"/>
  <c r="AD40" i="51"/>
  <c r="I46" i="52" s="1"/>
  <c r="Y40" i="51"/>
  <c r="Y40" i="54"/>
  <c r="V40" i="51"/>
  <c r="V40" i="54"/>
  <c r="Q40" i="51"/>
  <c r="K108" i="52" s="1"/>
  <c r="Q40" i="54"/>
  <c r="H93" i="56" s="1"/>
  <c r="N40" i="51"/>
  <c r="N40" i="54"/>
  <c r="I40" i="51"/>
  <c r="I40" i="54"/>
  <c r="F40" i="51"/>
  <c r="F40" i="54"/>
  <c r="I44" i="56" s="1"/>
  <c r="B68" i="56"/>
  <c r="AG41" i="54"/>
  <c r="AI42" i="54"/>
  <c r="AY43" i="54"/>
  <c r="BT10" i="54"/>
  <c r="V35" i="54"/>
  <c r="BY22" i="54"/>
  <c r="BV22" i="54"/>
  <c r="BQ22" i="54"/>
  <c r="L75" i="56" s="1"/>
  <c r="BI22" i="51"/>
  <c r="BI22" i="54"/>
  <c r="BF22" i="51"/>
  <c r="Q28" i="52" s="1"/>
  <c r="BF22" i="54"/>
  <c r="BA22" i="51"/>
  <c r="BA22" i="54"/>
  <c r="AX22" i="51"/>
  <c r="AX22" i="54"/>
  <c r="AS22" i="51"/>
  <c r="AS22" i="54"/>
  <c r="AP22" i="51"/>
  <c r="L28" i="52" s="1"/>
  <c r="AP22" i="54"/>
  <c r="F26" i="56" s="1"/>
  <c r="AK22" i="51"/>
  <c r="E90" i="52" s="1"/>
  <c r="AK22" i="54"/>
  <c r="C75" i="56" s="1"/>
  <c r="AH22" i="51"/>
  <c r="AH22" i="54"/>
  <c r="AC22" i="51"/>
  <c r="AC22" i="54"/>
  <c r="Z22" i="51"/>
  <c r="Z22" i="54"/>
  <c r="U22" i="51"/>
  <c r="U22" i="54"/>
  <c r="R22" i="51"/>
  <c r="R22" i="54"/>
  <c r="M22" i="51"/>
  <c r="M90" i="52" s="1"/>
  <c r="M22" i="54"/>
  <c r="J22" i="51"/>
  <c r="J22" i="54"/>
  <c r="E22" i="51"/>
  <c r="H90" i="52" s="1"/>
  <c r="E22" i="54"/>
  <c r="K75" i="56" s="1"/>
  <c r="Q26" i="54"/>
  <c r="BG9" i="54"/>
  <c r="U28" i="54"/>
  <c r="C28" i="54" s="1"/>
  <c r="AC32" i="54"/>
  <c r="BP8" i="54"/>
  <c r="L12" i="56" s="1"/>
  <c r="R33" i="54"/>
  <c r="BS9" i="54"/>
  <c r="U34" i="54"/>
  <c r="BR8" i="54"/>
  <c r="R34" i="54"/>
  <c r="BW17" i="54"/>
  <c r="B70" i="56" s="1"/>
  <c r="AK36" i="54"/>
  <c r="C89" i="56" s="1"/>
  <c r="B89" i="56" s="1"/>
  <c r="BX12" i="54"/>
  <c r="Z37" i="54"/>
  <c r="AC38" i="54"/>
  <c r="Z38" i="54"/>
  <c r="AQ39" i="54"/>
  <c r="F92" i="56" s="1"/>
  <c r="AC39" i="54"/>
  <c r="BW40" i="54"/>
  <c r="BT40" i="54"/>
  <c r="BL40" i="54"/>
  <c r="BG40" i="51"/>
  <c r="Q108" i="52" s="1"/>
  <c r="BG40" i="54"/>
  <c r="BD40" i="51"/>
  <c r="O46" i="52" s="1"/>
  <c r="BD40" i="54"/>
  <c r="AY40" i="51"/>
  <c r="AY40" i="54"/>
  <c r="AV40" i="51"/>
  <c r="AV40" i="54"/>
  <c r="AQ40" i="51"/>
  <c r="L108" i="52" s="1"/>
  <c r="AQ40" i="54"/>
  <c r="F93" i="56" s="1"/>
  <c r="AN40" i="51"/>
  <c r="J46" i="52" s="1"/>
  <c r="AN40" i="54"/>
  <c r="G44" i="56" s="1"/>
  <c r="AI40" i="51"/>
  <c r="AI40" i="54"/>
  <c r="AF40" i="51"/>
  <c r="AA40" i="51"/>
  <c r="AA40" i="54"/>
  <c r="X40" i="51"/>
  <c r="X40" i="54"/>
  <c r="S40" i="51"/>
  <c r="S40" i="54"/>
  <c r="P40" i="51"/>
  <c r="K46" i="52" s="1"/>
  <c r="P40" i="54"/>
  <c r="H44" i="56" s="1"/>
  <c r="K40" i="51"/>
  <c r="K40" i="54"/>
  <c r="H40" i="51"/>
  <c r="H40" i="54"/>
  <c r="AI41" i="54"/>
  <c r="AF41" i="54"/>
  <c r="B45" i="56" s="1"/>
  <c r="B19" i="56"/>
  <c r="AK42" i="54"/>
  <c r="C95" i="56" s="1"/>
  <c r="B95" i="56" s="1"/>
  <c r="AH42" i="54"/>
  <c r="AK43" i="54"/>
  <c r="C96" i="56" s="1"/>
  <c r="BX22" i="54"/>
  <c r="BS22" i="54"/>
  <c r="BP22" i="54"/>
  <c r="L26" i="56" s="1"/>
  <c r="BK22" i="54"/>
  <c r="BH22" i="51"/>
  <c r="BH22" i="54"/>
  <c r="BC22" i="51"/>
  <c r="P90" i="52" s="1"/>
  <c r="BC22" i="54"/>
  <c r="AZ22" i="51"/>
  <c r="AZ22" i="54"/>
  <c r="AU22" i="51"/>
  <c r="F90" i="52" s="1"/>
  <c r="AU22" i="54"/>
  <c r="D75" i="56" s="1"/>
  <c r="AR22" i="51"/>
  <c r="AR22" i="54"/>
  <c r="AM22" i="51"/>
  <c r="G90" i="52" s="1"/>
  <c r="AM22" i="54"/>
  <c r="E75" i="56" s="1"/>
  <c r="AJ22" i="51"/>
  <c r="E28" i="52" s="1"/>
  <c r="AJ22" i="54"/>
  <c r="C26" i="56" s="1"/>
  <c r="AE22" i="51"/>
  <c r="I90" i="52" s="1"/>
  <c r="AE22" i="54"/>
  <c r="J75" i="56" s="1"/>
  <c r="AB22" i="51"/>
  <c r="AB22" i="54"/>
  <c r="W22" i="51"/>
  <c r="W22" i="54"/>
  <c r="T22" i="51"/>
  <c r="T22" i="54"/>
  <c r="O22" i="51"/>
  <c r="O22" i="54"/>
  <c r="L22" i="51"/>
  <c r="M28" i="52" s="1"/>
  <c r="L22" i="54"/>
  <c r="G22" i="51"/>
  <c r="G22" i="54"/>
  <c r="I75" i="56" s="1"/>
  <c r="D22" i="51"/>
  <c r="H28" i="52" s="1"/>
  <c r="D22" i="54"/>
  <c r="K26" i="56" s="1"/>
  <c r="BE8" i="54"/>
  <c r="S27" i="54"/>
  <c r="C27" i="54" s="1"/>
  <c r="BI10" i="54"/>
  <c r="W29" i="54"/>
  <c r="C29" i="54" s="1"/>
  <c r="BM6" i="54"/>
  <c r="O31" i="54"/>
  <c r="O32" i="54"/>
  <c r="C14" i="54"/>
  <c r="AE33" i="54"/>
  <c r="J86" i="56" s="1"/>
  <c r="BR9" i="54"/>
  <c r="T34" i="54"/>
  <c r="BW10" i="54"/>
  <c r="B63" i="56" s="1"/>
  <c r="W36" i="54"/>
  <c r="BY18" i="54"/>
  <c r="C18" i="54" s="1"/>
  <c r="AM37" i="54"/>
  <c r="E90" i="56" s="1"/>
  <c r="AB38" i="54"/>
  <c r="AB39" i="54"/>
  <c r="BY40" i="54"/>
  <c r="BV40" i="54"/>
  <c r="BQ40" i="54"/>
  <c r="L93" i="56" s="1"/>
  <c r="BI40" i="51"/>
  <c r="BI40" i="54"/>
  <c r="BF40" i="51"/>
  <c r="Q46" i="52" s="1"/>
  <c r="BF40" i="54"/>
  <c r="BA40" i="51"/>
  <c r="BA40" i="54"/>
  <c r="AX40" i="51"/>
  <c r="AX40" i="54"/>
  <c r="AS40" i="51"/>
  <c r="AP40" i="51"/>
  <c r="L46" i="52" s="1"/>
  <c r="AP40" i="54"/>
  <c r="F44" i="56" s="1"/>
  <c r="AK40" i="51"/>
  <c r="E108" i="52" s="1"/>
  <c r="AK40" i="54"/>
  <c r="C93" i="56" s="1"/>
  <c r="AH40" i="51"/>
  <c r="AH40" i="54"/>
  <c r="AC40" i="51"/>
  <c r="AC40" i="54"/>
  <c r="Z40" i="51"/>
  <c r="Z40" i="54"/>
  <c r="U40" i="51"/>
  <c r="U40" i="54"/>
  <c r="R40" i="51"/>
  <c r="R40" i="54"/>
  <c r="M40" i="51"/>
  <c r="M108" i="52" s="1"/>
  <c r="M40" i="54"/>
  <c r="J40" i="51"/>
  <c r="J40" i="54"/>
  <c r="E40" i="51"/>
  <c r="H108" i="52" s="1"/>
  <c r="E40" i="54"/>
  <c r="K93" i="56" s="1"/>
  <c r="AH41" i="54"/>
  <c r="AJ42" i="54"/>
  <c r="C46" i="56" s="1"/>
  <c r="B46" i="56" s="1"/>
  <c r="AM43" i="54"/>
  <c r="E96" i="56" s="1"/>
  <c r="AJ43" i="54"/>
  <c r="C47" i="56" s="1"/>
  <c r="BU16" i="54"/>
  <c r="AI35" i="54"/>
  <c r="BU9" i="54"/>
  <c r="U35" i="54"/>
  <c r="V58" i="67"/>
  <c r="V57" i="67" s="1"/>
  <c r="K9" i="44"/>
  <c r="K5" i="44" s="1"/>
  <c r="BG10" i="44"/>
  <c r="O62" i="45" s="1"/>
  <c r="AJ11" i="47"/>
  <c r="C15" i="49" s="1"/>
  <c r="P11" i="44"/>
  <c r="P5" i="44" s="1"/>
  <c r="BI12" i="44"/>
  <c r="Q64" i="45" s="1"/>
  <c r="AH12" i="44"/>
  <c r="E12" i="44"/>
  <c r="H64" i="45" s="1"/>
  <c r="BA13" i="44"/>
  <c r="N65" i="45" s="1"/>
  <c r="AT13" i="47"/>
  <c r="G17" i="49" s="1"/>
  <c r="AS13" i="44"/>
  <c r="AC13" i="44"/>
  <c r="BI14" i="44"/>
  <c r="BB14" i="47"/>
  <c r="O18" i="49" s="1"/>
  <c r="U14" i="44"/>
  <c r="S66" i="45" s="1"/>
  <c r="R14" i="44"/>
  <c r="G18" i="45" s="1"/>
  <c r="N14" i="47"/>
  <c r="M14" i="44"/>
  <c r="M5" i="44" s="1"/>
  <c r="AM6" i="51"/>
  <c r="G74" i="52" s="1"/>
  <c r="AA11" i="44"/>
  <c r="AA5" i="44" s="1"/>
  <c r="K11" i="51"/>
  <c r="AO6" i="51"/>
  <c r="J74" i="52" s="1"/>
  <c r="AG6" i="51"/>
  <c r="Y6" i="51"/>
  <c r="Q6" i="51"/>
  <c r="K74" i="52" s="1"/>
  <c r="I6" i="51"/>
  <c r="BF6" i="51"/>
  <c r="Q12" i="52" s="1"/>
  <c r="BA6" i="51"/>
  <c r="U10" i="51"/>
  <c r="U9" i="51"/>
  <c r="C9" i="51" s="1"/>
  <c r="AP6" i="51"/>
  <c r="L12" i="52" s="1"/>
  <c r="AH6" i="51"/>
  <c r="Z6" i="51"/>
  <c r="R6" i="51"/>
  <c r="J6" i="51"/>
  <c r="BH6" i="51"/>
  <c r="BC6" i="51"/>
  <c r="P74" i="52" s="1"/>
  <c r="AZ6" i="51"/>
  <c r="AQ6" i="51"/>
  <c r="L74" i="52" s="1"/>
  <c r="AI6" i="51"/>
  <c r="AB5" i="44"/>
  <c r="AA6" i="51"/>
  <c r="W5" i="44"/>
  <c r="T5" i="44"/>
  <c r="S6" i="51"/>
  <c r="O6" i="51"/>
  <c r="L5" i="44"/>
  <c r="K6" i="51"/>
  <c r="D6" i="51"/>
  <c r="H12" i="52" s="1"/>
  <c r="T9" i="51"/>
  <c r="B9" i="51" s="1"/>
  <c r="T10" i="51"/>
  <c r="W11" i="51"/>
  <c r="W10" i="51"/>
  <c r="Y12" i="51"/>
  <c r="C12" i="51" s="1"/>
  <c r="Y11" i="51"/>
  <c r="AD15" i="51"/>
  <c r="I21" i="52" s="1"/>
  <c r="D21" i="52" s="1"/>
  <c r="AD14" i="51"/>
  <c r="I20" i="52" s="1"/>
  <c r="D20" i="52" s="1"/>
  <c r="AO20" i="51"/>
  <c r="AO19" i="51"/>
  <c r="BI30" i="51"/>
  <c r="C30" i="51" s="1"/>
  <c r="BI6" i="51"/>
  <c r="AX6" i="51"/>
  <c r="E6" i="51"/>
  <c r="H74" i="52" s="1"/>
  <c r="AB14" i="51"/>
  <c r="AB13" i="51"/>
  <c r="AE14" i="51"/>
  <c r="I82" i="52" s="1"/>
  <c r="D82" i="52" s="1"/>
  <c r="AE15" i="51"/>
  <c r="I83" i="52" s="1"/>
  <c r="D83" i="52" s="1"/>
  <c r="AN6" i="51"/>
  <c r="J12" i="52" s="1"/>
  <c r="AF6" i="51"/>
  <c r="X6" i="51"/>
  <c r="P6" i="51"/>
  <c r="K12" i="52" s="1"/>
  <c r="H6" i="51"/>
  <c r="BE6" i="51"/>
  <c r="O74" i="52" s="1"/>
  <c r="BB6" i="51"/>
  <c r="P12" i="52" s="1"/>
  <c r="AW6" i="51"/>
  <c r="AT6" i="51"/>
  <c r="F12" i="52" s="1"/>
  <c r="AS6" i="51"/>
  <c r="AK6" i="51"/>
  <c r="E74" i="52" s="1"/>
  <c r="AC6" i="51"/>
  <c r="U6" i="51"/>
  <c r="N6" i="51"/>
  <c r="M6" i="51"/>
  <c r="M74" i="52" s="1"/>
  <c r="V10" i="51"/>
  <c r="V11" i="51"/>
  <c r="X11" i="51"/>
  <c r="X12" i="51"/>
  <c r="B12" i="51" s="1"/>
  <c r="AG15" i="51"/>
  <c r="AF16" i="51"/>
  <c r="AI17" i="51"/>
  <c r="AI16" i="51"/>
  <c r="C16" i="51" s="1"/>
  <c r="AN20" i="51"/>
  <c r="J26" i="52" s="1"/>
  <c r="D26" i="52" s="1"/>
  <c r="AN19" i="51"/>
  <c r="J25" i="52" s="1"/>
  <c r="D25" i="52" s="1"/>
  <c r="BH30" i="51"/>
  <c r="B30" i="51" s="1"/>
  <c r="BG6" i="51"/>
  <c r="Q74" i="52" s="1"/>
  <c r="BD6" i="51"/>
  <c r="O12" i="52" s="1"/>
  <c r="AY6" i="51"/>
  <c r="AV6" i="51"/>
  <c r="AC13" i="51"/>
  <c r="AC14" i="51"/>
  <c r="AH16" i="51"/>
  <c r="AH17" i="51"/>
  <c r="AK18" i="51"/>
  <c r="E86" i="52" s="1"/>
  <c r="AK17" i="51"/>
  <c r="E85" i="52" s="1"/>
  <c r="D85" i="52" s="1"/>
  <c r="AJ17" i="51"/>
  <c r="E23" i="52" s="1"/>
  <c r="D23" i="52" s="1"/>
  <c r="AJ18" i="51"/>
  <c r="E24" i="52" s="1"/>
  <c r="D24" i="52" s="1"/>
  <c r="BG6" i="47"/>
  <c r="BD6" i="47"/>
  <c r="Q10" i="49" s="1"/>
  <c r="AY6" i="47"/>
  <c r="P58" i="49" s="1"/>
  <c r="AV6" i="47"/>
  <c r="N10" i="49" s="1"/>
  <c r="BG7" i="47"/>
  <c r="BD7" i="47"/>
  <c r="Q11" i="49" s="1"/>
  <c r="AY7" i="47"/>
  <c r="P59" i="49" s="1"/>
  <c r="AV7" i="47"/>
  <c r="N11" i="49" s="1"/>
  <c r="AQ8" i="47"/>
  <c r="AN8" i="47"/>
  <c r="AI8" i="47"/>
  <c r="AF8" i="47"/>
  <c r="AA8" i="47"/>
  <c r="AA5" i="47" s="1"/>
  <c r="X8" i="47"/>
  <c r="X5" i="47" s="1"/>
  <c r="S8" i="47"/>
  <c r="P8" i="47"/>
  <c r="K8" i="47"/>
  <c r="H8" i="47"/>
  <c r="BG9" i="47"/>
  <c r="BD9" i="47"/>
  <c r="Q13" i="49" s="1"/>
  <c r="AY9" i="47"/>
  <c r="P61" i="49" s="1"/>
  <c r="AV9" i="47"/>
  <c r="N13" i="49" s="1"/>
  <c r="BG10" i="47"/>
  <c r="BD10" i="47"/>
  <c r="Q14" i="49" s="1"/>
  <c r="AY10" i="47"/>
  <c r="P62" i="49" s="1"/>
  <c r="AV10" i="47"/>
  <c r="N14" i="49" s="1"/>
  <c r="BG11" i="47"/>
  <c r="BD11" i="47"/>
  <c r="Q15" i="49" s="1"/>
  <c r="AY11" i="47"/>
  <c r="P63" i="49" s="1"/>
  <c r="AV11" i="47"/>
  <c r="N15" i="49" s="1"/>
  <c r="BI12" i="47"/>
  <c r="BF12" i="47"/>
  <c r="BA12" i="47"/>
  <c r="AX12" i="47"/>
  <c r="P16" i="49" s="1"/>
  <c r="BI13" i="47"/>
  <c r="BF13" i="47"/>
  <c r="BA13" i="47"/>
  <c r="AX13" i="47"/>
  <c r="P17" i="49" s="1"/>
  <c r="BI14" i="47"/>
  <c r="BF14" i="47"/>
  <c r="BA14" i="47"/>
  <c r="AX14" i="47"/>
  <c r="P18" i="49" s="1"/>
  <c r="BI15" i="47"/>
  <c r="BF15" i="47"/>
  <c r="BA15" i="47"/>
  <c r="AX15" i="47"/>
  <c r="P19" i="49" s="1"/>
  <c r="BI16" i="47"/>
  <c r="BF16" i="47"/>
  <c r="BA16" i="47"/>
  <c r="AX16" i="47"/>
  <c r="P20" i="49" s="1"/>
  <c r="BI17" i="47"/>
  <c r="BF17" i="47"/>
  <c r="BA17" i="47"/>
  <c r="AX17" i="47"/>
  <c r="P21" i="49" s="1"/>
  <c r="BI18" i="47"/>
  <c r="BF18" i="47"/>
  <c r="BA18" i="47"/>
  <c r="AX18" i="47"/>
  <c r="P22" i="49" s="1"/>
  <c r="BI19" i="47"/>
  <c r="BF19" i="47"/>
  <c r="BA19" i="47"/>
  <c r="AX19" i="47"/>
  <c r="P23" i="49" s="1"/>
  <c r="BI20" i="47"/>
  <c r="BF20" i="47"/>
  <c r="BA20" i="47"/>
  <c r="AX20" i="47"/>
  <c r="P24" i="49" s="1"/>
  <c r="BI21" i="47"/>
  <c r="BF21" i="47"/>
  <c r="BA21" i="47"/>
  <c r="AX21" i="47"/>
  <c r="P25" i="49" s="1"/>
  <c r="BI22" i="47"/>
  <c r="BF22" i="47"/>
  <c r="BA22" i="47"/>
  <c r="AX22" i="47"/>
  <c r="P26" i="49" s="1"/>
  <c r="BI23" i="47"/>
  <c r="BF23" i="47"/>
  <c r="BA23" i="47"/>
  <c r="AX23" i="47"/>
  <c r="P27" i="49" s="1"/>
  <c r="BI24" i="47"/>
  <c r="BF24" i="47"/>
  <c r="BA24" i="47"/>
  <c r="AX24" i="47"/>
  <c r="P28" i="49" s="1"/>
  <c r="BI25" i="47"/>
  <c r="BF25" i="47"/>
  <c r="BA25" i="47"/>
  <c r="AX25" i="47"/>
  <c r="P29" i="49" s="1"/>
  <c r="BI26" i="47"/>
  <c r="BF26" i="47"/>
  <c r="BA26" i="47"/>
  <c r="AX26" i="47"/>
  <c r="P30" i="49" s="1"/>
  <c r="BI27" i="47"/>
  <c r="BF27" i="47"/>
  <c r="BA27" i="47"/>
  <c r="AX27" i="47"/>
  <c r="P31" i="49" s="1"/>
  <c r="BE28" i="47"/>
  <c r="Q80" i="49" s="1"/>
  <c r="BB28" i="47"/>
  <c r="O32" i="49" s="1"/>
  <c r="AW28" i="47"/>
  <c r="N80" i="49" s="1"/>
  <c r="BE29" i="47"/>
  <c r="Q81" i="49" s="1"/>
  <c r="BB29" i="47"/>
  <c r="O33" i="49" s="1"/>
  <c r="AW29" i="47"/>
  <c r="N81" i="49" s="1"/>
  <c r="BE30" i="47"/>
  <c r="Q82" i="49" s="1"/>
  <c r="BB30" i="47"/>
  <c r="O34" i="49" s="1"/>
  <c r="AW30" i="47"/>
  <c r="N82" i="49" s="1"/>
  <c r="BE31" i="47"/>
  <c r="Q83" i="49" s="1"/>
  <c r="BB31" i="47"/>
  <c r="O35" i="49" s="1"/>
  <c r="AW31" i="47"/>
  <c r="N83" i="49" s="1"/>
  <c r="BE32" i="47"/>
  <c r="Q84" i="49" s="1"/>
  <c r="BB32" i="47"/>
  <c r="O36" i="49" s="1"/>
  <c r="AW32" i="47"/>
  <c r="N84" i="49" s="1"/>
  <c r="BE33" i="47"/>
  <c r="Q85" i="49" s="1"/>
  <c r="BB33" i="47"/>
  <c r="O37" i="49" s="1"/>
  <c r="AW33" i="47"/>
  <c r="N85" i="49" s="1"/>
  <c r="BE34" i="47"/>
  <c r="Q86" i="49" s="1"/>
  <c r="BB34" i="47"/>
  <c r="O38" i="49" s="1"/>
  <c r="AW34" i="47"/>
  <c r="N86" i="49" s="1"/>
  <c r="BE36" i="47"/>
  <c r="Q88" i="49" s="1"/>
  <c r="BB36" i="47"/>
  <c r="O40" i="49" s="1"/>
  <c r="AW36" i="47"/>
  <c r="N88" i="49" s="1"/>
  <c r="BH37" i="47"/>
  <c r="BE37" i="47"/>
  <c r="Q89" i="49" s="1"/>
  <c r="BB37" i="47"/>
  <c r="O41" i="49" s="1"/>
  <c r="AW37" i="47"/>
  <c r="N89" i="49" s="1"/>
  <c r="BE38" i="47"/>
  <c r="Q90" i="49" s="1"/>
  <c r="BB38" i="47"/>
  <c r="O42" i="49" s="1"/>
  <c r="AW38" i="47"/>
  <c r="N90" i="49" s="1"/>
  <c r="BI39" i="47"/>
  <c r="BC39" i="47"/>
  <c r="O91" i="49" s="1"/>
  <c r="AZ39" i="47"/>
  <c r="BG40" i="47"/>
  <c r="BD40" i="47"/>
  <c r="Q44" i="49" s="1"/>
  <c r="AY40" i="47"/>
  <c r="P92" i="49" s="1"/>
  <c r="AV40" i="47"/>
  <c r="N44" i="49" s="1"/>
  <c r="BI41" i="47"/>
  <c r="BC41" i="47"/>
  <c r="O93" i="49" s="1"/>
  <c r="AZ41" i="47"/>
  <c r="BE42" i="47"/>
  <c r="Q94" i="49" s="1"/>
  <c r="BB42" i="47"/>
  <c r="O46" i="49" s="1"/>
  <c r="AW42" i="47"/>
  <c r="N94" i="49" s="1"/>
  <c r="BE43" i="47"/>
  <c r="Q95" i="49" s="1"/>
  <c r="BB43" i="47"/>
  <c r="O47" i="49" s="1"/>
  <c r="AW43" i="47"/>
  <c r="N95" i="49" s="1"/>
  <c r="BF35" i="47"/>
  <c r="BA35" i="47"/>
  <c r="AX35" i="47"/>
  <c r="P39" i="49" s="1"/>
  <c r="BI6" i="47"/>
  <c r="BF6" i="47"/>
  <c r="BA6" i="47"/>
  <c r="AX6" i="47"/>
  <c r="P10" i="49" s="1"/>
  <c r="BI7" i="47"/>
  <c r="BF7" i="47"/>
  <c r="BA7" i="47"/>
  <c r="AX7" i="47"/>
  <c r="P11" i="49" s="1"/>
  <c r="AS8" i="47"/>
  <c r="AS5" i="47" s="1"/>
  <c r="AP8" i="47"/>
  <c r="AK8" i="47"/>
  <c r="AH8" i="47"/>
  <c r="AC8" i="47"/>
  <c r="Z8" i="47"/>
  <c r="Z5" i="47" s="1"/>
  <c r="U8" i="47"/>
  <c r="U5" i="47" s="1"/>
  <c r="R8" i="47"/>
  <c r="M8" i="47"/>
  <c r="J8" i="47"/>
  <c r="E8" i="47"/>
  <c r="M60" i="49" s="1"/>
  <c r="BI9" i="47"/>
  <c r="BF9" i="47"/>
  <c r="BA9" i="47"/>
  <c r="AX9" i="47"/>
  <c r="P13" i="49" s="1"/>
  <c r="BI10" i="47"/>
  <c r="BF10" i="47"/>
  <c r="BA10" i="47"/>
  <c r="AX10" i="47"/>
  <c r="P14" i="49" s="1"/>
  <c r="BI11" i="47"/>
  <c r="BF11" i="47"/>
  <c r="BA11" i="47"/>
  <c r="AX11" i="47"/>
  <c r="P15" i="49" s="1"/>
  <c r="BH12" i="47"/>
  <c r="BC12" i="47"/>
  <c r="O64" i="49" s="1"/>
  <c r="AZ12" i="47"/>
  <c r="BH13" i="47"/>
  <c r="BC13" i="47"/>
  <c r="O65" i="49" s="1"/>
  <c r="AZ13" i="47"/>
  <c r="BH14" i="47"/>
  <c r="BC14" i="47"/>
  <c r="O66" i="49" s="1"/>
  <c r="AZ14" i="47"/>
  <c r="BH15" i="47"/>
  <c r="BC15" i="47"/>
  <c r="O67" i="49" s="1"/>
  <c r="AZ15" i="47"/>
  <c r="BH16" i="47"/>
  <c r="BC16" i="47"/>
  <c r="O68" i="49" s="1"/>
  <c r="AZ16" i="47"/>
  <c r="BH17" i="47"/>
  <c r="BC17" i="47"/>
  <c r="O69" i="49" s="1"/>
  <c r="AZ17" i="47"/>
  <c r="BH18" i="47"/>
  <c r="BC18" i="47"/>
  <c r="O70" i="49" s="1"/>
  <c r="AZ18" i="47"/>
  <c r="BH19" i="47"/>
  <c r="BC19" i="47"/>
  <c r="O71" i="49" s="1"/>
  <c r="AZ19" i="47"/>
  <c r="BH20" i="47"/>
  <c r="BC20" i="47"/>
  <c r="O72" i="49" s="1"/>
  <c r="AZ20" i="47"/>
  <c r="BH21" i="47"/>
  <c r="BC21" i="47"/>
  <c r="O73" i="49" s="1"/>
  <c r="AZ21" i="47"/>
  <c r="BH22" i="47"/>
  <c r="BC22" i="47"/>
  <c r="O74" i="49" s="1"/>
  <c r="AZ22" i="47"/>
  <c r="BH23" i="47"/>
  <c r="BC23" i="47"/>
  <c r="O75" i="49" s="1"/>
  <c r="AZ23" i="47"/>
  <c r="BH24" i="47"/>
  <c r="BC24" i="47"/>
  <c r="O76" i="49" s="1"/>
  <c r="AZ24" i="47"/>
  <c r="BH25" i="47"/>
  <c r="BC25" i="47"/>
  <c r="O77" i="49" s="1"/>
  <c r="AZ25" i="47"/>
  <c r="BH26" i="47"/>
  <c r="BC26" i="47"/>
  <c r="O78" i="49" s="1"/>
  <c r="AZ26" i="47"/>
  <c r="BH27" i="47"/>
  <c r="BC27" i="47"/>
  <c r="O79" i="49" s="1"/>
  <c r="AZ27" i="47"/>
  <c r="BG28" i="47"/>
  <c r="BD28" i="47"/>
  <c r="Q32" i="49" s="1"/>
  <c r="AY28" i="47"/>
  <c r="P80" i="49" s="1"/>
  <c r="AV28" i="47"/>
  <c r="N32" i="49" s="1"/>
  <c r="BG29" i="47"/>
  <c r="BD29" i="47"/>
  <c r="Q33" i="49" s="1"/>
  <c r="AY29" i="47"/>
  <c r="P81" i="49" s="1"/>
  <c r="AV29" i="47"/>
  <c r="N33" i="49" s="1"/>
  <c r="BG30" i="47"/>
  <c r="BD30" i="47"/>
  <c r="Q34" i="49" s="1"/>
  <c r="AY30" i="47"/>
  <c r="P82" i="49" s="1"/>
  <c r="AV30" i="47"/>
  <c r="N34" i="49" s="1"/>
  <c r="BG31" i="47"/>
  <c r="BD31" i="47"/>
  <c r="Q35" i="49" s="1"/>
  <c r="AY31" i="47"/>
  <c r="P83" i="49" s="1"/>
  <c r="AV31" i="47"/>
  <c r="N35" i="49" s="1"/>
  <c r="BG32" i="47"/>
  <c r="BD32" i="47"/>
  <c r="Q36" i="49" s="1"/>
  <c r="AY32" i="47"/>
  <c r="P84" i="49" s="1"/>
  <c r="AV32" i="47"/>
  <c r="N36" i="49" s="1"/>
  <c r="BG33" i="47"/>
  <c r="BD33" i="47"/>
  <c r="Q37" i="49" s="1"/>
  <c r="AY33" i="47"/>
  <c r="P85" i="49" s="1"/>
  <c r="AV33" i="47"/>
  <c r="N37" i="49" s="1"/>
  <c r="BG34" i="47"/>
  <c r="BD34" i="47"/>
  <c r="Q38" i="49" s="1"/>
  <c r="AY34" i="47"/>
  <c r="P86" i="49" s="1"/>
  <c r="AV34" i="47"/>
  <c r="N38" i="49" s="1"/>
  <c r="BG36" i="47"/>
  <c r="BD36" i="47"/>
  <c r="Q40" i="49" s="1"/>
  <c r="AY36" i="47"/>
  <c r="P88" i="49" s="1"/>
  <c r="AV36" i="47"/>
  <c r="N40" i="49" s="1"/>
  <c r="BD37" i="47"/>
  <c r="Q41" i="49" s="1"/>
  <c r="AY37" i="47"/>
  <c r="P89" i="49" s="1"/>
  <c r="AV37" i="47"/>
  <c r="N41" i="49" s="1"/>
  <c r="BG38" i="47"/>
  <c r="BD38" i="47"/>
  <c r="Q42" i="49" s="1"/>
  <c r="AY38" i="47"/>
  <c r="P90" i="49" s="1"/>
  <c r="AV38" i="47"/>
  <c r="N42" i="49" s="1"/>
  <c r="BH39" i="47"/>
  <c r="BE39" i="47"/>
  <c r="Q91" i="49" s="1"/>
  <c r="BB39" i="47"/>
  <c r="O43" i="49" s="1"/>
  <c r="AW39" i="47"/>
  <c r="N91" i="49" s="1"/>
  <c r="BI40" i="47"/>
  <c r="BF40" i="47"/>
  <c r="BA40" i="47"/>
  <c r="AX40" i="47"/>
  <c r="P44" i="49" s="1"/>
  <c r="BH41" i="47"/>
  <c r="BE41" i="47"/>
  <c r="Q93" i="49" s="1"/>
  <c r="BB41" i="47"/>
  <c r="O45" i="49" s="1"/>
  <c r="AW41" i="47"/>
  <c r="N93" i="49" s="1"/>
  <c r="BG42" i="47"/>
  <c r="BD42" i="47"/>
  <c r="Q46" i="49" s="1"/>
  <c r="AY42" i="47"/>
  <c r="P94" i="49" s="1"/>
  <c r="AV42" i="47"/>
  <c r="N46" i="49" s="1"/>
  <c r="BG43" i="47"/>
  <c r="BD43" i="47"/>
  <c r="Q47" i="49" s="1"/>
  <c r="AY43" i="47"/>
  <c r="P95" i="49" s="1"/>
  <c r="AV43" i="47"/>
  <c r="N47" i="49" s="1"/>
  <c r="BI35" i="47"/>
  <c r="BC35" i="47"/>
  <c r="O87" i="49" s="1"/>
  <c r="AZ35" i="47"/>
  <c r="BH6" i="47"/>
  <c r="BC6" i="47"/>
  <c r="O58" i="49" s="1"/>
  <c r="AZ6" i="47"/>
  <c r="BH7" i="47"/>
  <c r="BC7" i="47"/>
  <c r="O59" i="49" s="1"/>
  <c r="AZ7" i="47"/>
  <c r="AU8" i="47"/>
  <c r="AR8" i="47"/>
  <c r="AR5" i="47" s="1"/>
  <c r="AM8" i="47"/>
  <c r="AJ8" i="47"/>
  <c r="C12" i="49" s="1"/>
  <c r="AE8" i="47"/>
  <c r="AB8" i="47"/>
  <c r="W8" i="47"/>
  <c r="W5" i="47" s="1"/>
  <c r="T8" i="47"/>
  <c r="T5" i="47" s="1"/>
  <c r="O8" i="47"/>
  <c r="O5" i="47" s="1"/>
  <c r="L8" i="47"/>
  <c r="G8" i="47"/>
  <c r="D8" i="47"/>
  <c r="M12" i="49" s="1"/>
  <c r="BH9" i="47"/>
  <c r="BC9" i="47"/>
  <c r="O61" i="49" s="1"/>
  <c r="AZ9" i="47"/>
  <c r="BH10" i="47"/>
  <c r="BC10" i="47"/>
  <c r="O62" i="49" s="1"/>
  <c r="AZ10" i="47"/>
  <c r="BH11" i="47"/>
  <c r="BC11" i="47"/>
  <c r="O63" i="49" s="1"/>
  <c r="AZ11" i="47"/>
  <c r="BE12" i="47"/>
  <c r="Q64" i="49" s="1"/>
  <c r="BB12" i="47"/>
  <c r="O16" i="49" s="1"/>
  <c r="AW12" i="47"/>
  <c r="N64" i="49" s="1"/>
  <c r="BE13" i="47"/>
  <c r="Q65" i="49" s="1"/>
  <c r="BB13" i="47"/>
  <c r="O17" i="49" s="1"/>
  <c r="AW13" i="47"/>
  <c r="N65" i="49" s="1"/>
  <c r="BE14" i="47"/>
  <c r="Q66" i="49" s="1"/>
  <c r="AW14" i="47"/>
  <c r="N66" i="49" s="1"/>
  <c r="BE15" i="47"/>
  <c r="Q67" i="49" s="1"/>
  <c r="BB15" i="47"/>
  <c r="O19" i="49" s="1"/>
  <c r="AW15" i="47"/>
  <c r="N67" i="49" s="1"/>
  <c r="BE16" i="47"/>
  <c r="Q68" i="49" s="1"/>
  <c r="BB16" i="47"/>
  <c r="O20" i="49" s="1"/>
  <c r="AW16" i="47"/>
  <c r="N68" i="49" s="1"/>
  <c r="BE17" i="47"/>
  <c r="Q69" i="49" s="1"/>
  <c r="AW17" i="47"/>
  <c r="N69" i="49" s="1"/>
  <c r="BE18" i="47"/>
  <c r="Q70" i="49" s="1"/>
  <c r="AW18" i="47"/>
  <c r="N70" i="49" s="1"/>
  <c r="BE19" i="47"/>
  <c r="Q71" i="49" s="1"/>
  <c r="BB19" i="47"/>
  <c r="O23" i="49" s="1"/>
  <c r="AW19" i="47"/>
  <c r="N71" i="49" s="1"/>
  <c r="BE20" i="47"/>
  <c r="Q72" i="49" s="1"/>
  <c r="BB20" i="47"/>
  <c r="O24" i="49" s="1"/>
  <c r="AW20" i="47"/>
  <c r="N72" i="49" s="1"/>
  <c r="BE21" i="47"/>
  <c r="Q73" i="49" s="1"/>
  <c r="BB21" i="47"/>
  <c r="O25" i="49" s="1"/>
  <c r="AW21" i="47"/>
  <c r="N73" i="49" s="1"/>
  <c r="BE22" i="47"/>
  <c r="Q74" i="49" s="1"/>
  <c r="BB22" i="47"/>
  <c r="O26" i="49" s="1"/>
  <c r="AW22" i="47"/>
  <c r="N74" i="49" s="1"/>
  <c r="BE23" i="47"/>
  <c r="Q75" i="49" s="1"/>
  <c r="BB23" i="47"/>
  <c r="O27" i="49" s="1"/>
  <c r="AW23" i="47"/>
  <c r="N75" i="49" s="1"/>
  <c r="BE24" i="47"/>
  <c r="Q76" i="49" s="1"/>
  <c r="BB24" i="47"/>
  <c r="O28" i="49" s="1"/>
  <c r="AW24" i="47"/>
  <c r="N76" i="49" s="1"/>
  <c r="BE25" i="47"/>
  <c r="Q77" i="49" s="1"/>
  <c r="BB25" i="47"/>
  <c r="O29" i="49" s="1"/>
  <c r="AW25" i="47"/>
  <c r="N77" i="49" s="1"/>
  <c r="BE26" i="47"/>
  <c r="Q78" i="49" s="1"/>
  <c r="BB26" i="47"/>
  <c r="O30" i="49" s="1"/>
  <c r="AW26" i="47"/>
  <c r="N78" i="49" s="1"/>
  <c r="BE27" i="47"/>
  <c r="Q79" i="49" s="1"/>
  <c r="BB27" i="47"/>
  <c r="O31" i="49" s="1"/>
  <c r="AW27" i="47"/>
  <c r="N79" i="49" s="1"/>
  <c r="BI28" i="47"/>
  <c r="BF28" i="47"/>
  <c r="BA28" i="47"/>
  <c r="AX28" i="47"/>
  <c r="P32" i="49" s="1"/>
  <c r="BI29" i="47"/>
  <c r="BF29" i="47"/>
  <c r="BA29" i="47"/>
  <c r="AX29" i="47"/>
  <c r="P33" i="49" s="1"/>
  <c r="BI30" i="47"/>
  <c r="BF30" i="47"/>
  <c r="BA30" i="47"/>
  <c r="AX30" i="47"/>
  <c r="P34" i="49" s="1"/>
  <c r="BI31" i="47"/>
  <c r="BF31" i="47"/>
  <c r="BA31" i="47"/>
  <c r="AX31" i="47"/>
  <c r="P35" i="49" s="1"/>
  <c r="BI32" i="47"/>
  <c r="BF32" i="47"/>
  <c r="BA32" i="47"/>
  <c r="AX32" i="47"/>
  <c r="P36" i="49" s="1"/>
  <c r="BI33" i="47"/>
  <c r="BF33" i="47"/>
  <c r="BA33" i="47"/>
  <c r="AX33" i="47"/>
  <c r="P37" i="49" s="1"/>
  <c r="BI34" i="47"/>
  <c r="BF34" i="47"/>
  <c r="BA34" i="47"/>
  <c r="AX34" i="47"/>
  <c r="P38" i="49" s="1"/>
  <c r="BI36" i="47"/>
  <c r="BF36" i="47"/>
  <c r="BA36" i="47"/>
  <c r="AX36" i="47"/>
  <c r="P40" i="49" s="1"/>
  <c r="BF37" i="47"/>
  <c r="BA37" i="47"/>
  <c r="AX37" i="47"/>
  <c r="P41" i="49" s="1"/>
  <c r="BI38" i="47"/>
  <c r="BF38" i="47"/>
  <c r="BA38" i="47"/>
  <c r="AX38" i="47"/>
  <c r="P42" i="49" s="1"/>
  <c r="BD39" i="47"/>
  <c r="Q43" i="49" s="1"/>
  <c r="AY39" i="47"/>
  <c r="P91" i="49" s="1"/>
  <c r="AV39" i="47"/>
  <c r="N43" i="49" s="1"/>
  <c r="BH40" i="47"/>
  <c r="BC40" i="47"/>
  <c r="O92" i="49" s="1"/>
  <c r="AZ40" i="47"/>
  <c r="BD41" i="47"/>
  <c r="Q45" i="49" s="1"/>
  <c r="AY41" i="47"/>
  <c r="P93" i="49" s="1"/>
  <c r="AV41" i="47"/>
  <c r="N45" i="49" s="1"/>
  <c r="BI42" i="47"/>
  <c r="BF42" i="47"/>
  <c r="BA42" i="47"/>
  <c r="AX42" i="47"/>
  <c r="P46" i="49" s="1"/>
  <c r="BI43" i="47"/>
  <c r="BF43" i="47"/>
  <c r="BA43" i="47"/>
  <c r="AX43" i="47"/>
  <c r="P47" i="49" s="1"/>
  <c r="BH35" i="47"/>
  <c r="BE35" i="47"/>
  <c r="Q87" i="49" s="1"/>
  <c r="BB35" i="47"/>
  <c r="O39" i="49" s="1"/>
  <c r="AW35" i="47"/>
  <c r="N87" i="49" s="1"/>
  <c r="AR6" i="51"/>
  <c r="BE6" i="47"/>
  <c r="Q58" i="49" s="1"/>
  <c r="BB6" i="47"/>
  <c r="O10" i="49" s="1"/>
  <c r="AW6" i="47"/>
  <c r="N58" i="49" s="1"/>
  <c r="BE7" i="47"/>
  <c r="Q59" i="49" s="1"/>
  <c r="BB7" i="47"/>
  <c r="O11" i="49" s="1"/>
  <c r="AW7" i="47"/>
  <c r="N59" i="49" s="1"/>
  <c r="AT8" i="47"/>
  <c r="G12" i="49" s="1"/>
  <c r="AO8" i="47"/>
  <c r="AL8" i="47"/>
  <c r="E12" i="49" s="1"/>
  <c r="AG8" i="47"/>
  <c r="AD8" i="47"/>
  <c r="Y8" i="47"/>
  <c r="Y5" i="47" s="1"/>
  <c r="V8" i="47"/>
  <c r="Q8" i="47"/>
  <c r="N8" i="47"/>
  <c r="I8" i="47"/>
  <c r="F8" i="47"/>
  <c r="K12" i="49" s="1"/>
  <c r="BE9" i="47"/>
  <c r="Q61" i="49" s="1"/>
  <c r="AW9" i="47"/>
  <c r="N61" i="49" s="1"/>
  <c r="BE10" i="47"/>
  <c r="Q62" i="49" s="1"/>
  <c r="BB10" i="47"/>
  <c r="O14" i="49" s="1"/>
  <c r="AW10" i="47"/>
  <c r="N62" i="49" s="1"/>
  <c r="BE11" i="47"/>
  <c r="Q63" i="49" s="1"/>
  <c r="BB11" i="47"/>
  <c r="O15" i="49" s="1"/>
  <c r="AW11" i="47"/>
  <c r="N63" i="49" s="1"/>
  <c r="BG12" i="47"/>
  <c r="BD12" i="47"/>
  <c r="Q16" i="49" s="1"/>
  <c r="AY12" i="47"/>
  <c r="P64" i="49" s="1"/>
  <c r="AV12" i="47"/>
  <c r="N16" i="49" s="1"/>
  <c r="BG13" i="47"/>
  <c r="BD13" i="47"/>
  <c r="Q17" i="49" s="1"/>
  <c r="AY13" i="47"/>
  <c r="P65" i="49" s="1"/>
  <c r="AV13" i="47"/>
  <c r="N17" i="49" s="1"/>
  <c r="BG14" i="47"/>
  <c r="BD14" i="47"/>
  <c r="Q18" i="49" s="1"/>
  <c r="AY14" i="47"/>
  <c r="P66" i="49" s="1"/>
  <c r="AV14" i="47"/>
  <c r="N18" i="49" s="1"/>
  <c r="BG15" i="47"/>
  <c r="BD15" i="47"/>
  <c r="Q19" i="49" s="1"/>
  <c r="AY15" i="47"/>
  <c r="P67" i="49" s="1"/>
  <c r="AV15" i="47"/>
  <c r="N19" i="49" s="1"/>
  <c r="BG16" i="47"/>
  <c r="BD16" i="47"/>
  <c r="Q20" i="49" s="1"/>
  <c r="AY16" i="47"/>
  <c r="P68" i="49" s="1"/>
  <c r="AV16" i="47"/>
  <c r="N20" i="49" s="1"/>
  <c r="BG17" i="47"/>
  <c r="BD17" i="47"/>
  <c r="Q21" i="49" s="1"/>
  <c r="AY17" i="47"/>
  <c r="P69" i="49" s="1"/>
  <c r="AV17" i="47"/>
  <c r="N21" i="49" s="1"/>
  <c r="BG18" i="47"/>
  <c r="BD18" i="47"/>
  <c r="Q22" i="49" s="1"/>
  <c r="AY18" i="47"/>
  <c r="P70" i="49" s="1"/>
  <c r="AV18" i="47"/>
  <c r="N22" i="49" s="1"/>
  <c r="BG19" i="47"/>
  <c r="BD19" i="47"/>
  <c r="Q23" i="49" s="1"/>
  <c r="AY19" i="47"/>
  <c r="P71" i="49" s="1"/>
  <c r="AV19" i="47"/>
  <c r="N23" i="49" s="1"/>
  <c r="BG20" i="47"/>
  <c r="BD20" i="47"/>
  <c r="Q24" i="49" s="1"/>
  <c r="AY20" i="47"/>
  <c r="P72" i="49" s="1"/>
  <c r="AV20" i="47"/>
  <c r="N24" i="49" s="1"/>
  <c r="BG21" i="47"/>
  <c r="BD21" i="47"/>
  <c r="Q25" i="49" s="1"/>
  <c r="AY21" i="47"/>
  <c r="P73" i="49" s="1"/>
  <c r="AV21" i="47"/>
  <c r="N25" i="49" s="1"/>
  <c r="BG22" i="47"/>
  <c r="BD22" i="47"/>
  <c r="Q26" i="49" s="1"/>
  <c r="AY22" i="47"/>
  <c r="P74" i="49" s="1"/>
  <c r="AV22" i="47"/>
  <c r="N26" i="49" s="1"/>
  <c r="BG23" i="47"/>
  <c r="BD23" i="47"/>
  <c r="Q27" i="49" s="1"/>
  <c r="AY23" i="47"/>
  <c r="P75" i="49" s="1"/>
  <c r="AV23" i="47"/>
  <c r="N27" i="49" s="1"/>
  <c r="BG24" i="47"/>
  <c r="BD24" i="47"/>
  <c r="Q28" i="49" s="1"/>
  <c r="AY24" i="47"/>
  <c r="P76" i="49" s="1"/>
  <c r="AV24" i="47"/>
  <c r="N28" i="49" s="1"/>
  <c r="BG25" i="47"/>
  <c r="BD25" i="47"/>
  <c r="Q29" i="49" s="1"/>
  <c r="AY25" i="47"/>
  <c r="P77" i="49" s="1"/>
  <c r="AV25" i="47"/>
  <c r="N29" i="49" s="1"/>
  <c r="BG26" i="47"/>
  <c r="BD26" i="47"/>
  <c r="Q30" i="49" s="1"/>
  <c r="AY26" i="47"/>
  <c r="P78" i="49" s="1"/>
  <c r="AV26" i="47"/>
  <c r="N30" i="49" s="1"/>
  <c r="BG27" i="47"/>
  <c r="BD27" i="47"/>
  <c r="Q31" i="49" s="1"/>
  <c r="AY27" i="47"/>
  <c r="P79" i="49" s="1"/>
  <c r="AV27" i="47"/>
  <c r="N31" i="49" s="1"/>
  <c r="BH28" i="47"/>
  <c r="BC28" i="47"/>
  <c r="O80" i="49" s="1"/>
  <c r="AZ28" i="47"/>
  <c r="BH29" i="47"/>
  <c r="BC29" i="47"/>
  <c r="O81" i="49" s="1"/>
  <c r="AZ29" i="47"/>
  <c r="BH30" i="47"/>
  <c r="BC30" i="47"/>
  <c r="O82" i="49" s="1"/>
  <c r="AZ30" i="47"/>
  <c r="BH31" i="47"/>
  <c r="BC31" i="47"/>
  <c r="O83" i="49" s="1"/>
  <c r="AZ31" i="47"/>
  <c r="BH32" i="47"/>
  <c r="BC32" i="47"/>
  <c r="O84" i="49" s="1"/>
  <c r="AZ32" i="47"/>
  <c r="BH33" i="47"/>
  <c r="BC33" i="47"/>
  <c r="O85" i="49" s="1"/>
  <c r="AZ33" i="47"/>
  <c r="BH34" i="47"/>
  <c r="BC34" i="47"/>
  <c r="O86" i="49" s="1"/>
  <c r="AZ34" i="47"/>
  <c r="BH36" i="47"/>
  <c r="BC36" i="47"/>
  <c r="O88" i="49" s="1"/>
  <c r="AZ36" i="47"/>
  <c r="BI37" i="47"/>
  <c r="BC37" i="47"/>
  <c r="O89" i="49" s="1"/>
  <c r="AZ37" i="47"/>
  <c r="BH38" i="47"/>
  <c r="BC38" i="47"/>
  <c r="O90" i="49" s="1"/>
  <c r="AZ38" i="47"/>
  <c r="BF39" i="47"/>
  <c r="BA39" i="47"/>
  <c r="AX39" i="47"/>
  <c r="P43" i="49" s="1"/>
  <c r="BE40" i="47"/>
  <c r="Q92" i="49" s="1"/>
  <c r="BB40" i="47"/>
  <c r="O44" i="49" s="1"/>
  <c r="AW40" i="47"/>
  <c r="N92" i="49" s="1"/>
  <c r="BF41" i="47"/>
  <c r="BA41" i="47"/>
  <c r="AX41" i="47"/>
  <c r="P45" i="49" s="1"/>
  <c r="BH42" i="47"/>
  <c r="BC42" i="47"/>
  <c r="O94" i="49" s="1"/>
  <c r="AZ42" i="47"/>
  <c r="BH43" i="47"/>
  <c r="BC43" i="47"/>
  <c r="O95" i="49" s="1"/>
  <c r="AZ43" i="47"/>
  <c r="BD35" i="47"/>
  <c r="Q39" i="49" s="1"/>
  <c r="AY35" i="47"/>
  <c r="P87" i="49" s="1"/>
  <c r="AV35" i="47"/>
  <c r="N39" i="49" s="1"/>
  <c r="P58" i="67"/>
  <c r="P57" i="67" s="1"/>
  <c r="V10" i="67"/>
  <c r="V9" i="67" s="1"/>
  <c r="U10" i="67"/>
  <c r="U9" i="67" s="1"/>
  <c r="R59" i="67"/>
  <c r="V12" i="67"/>
  <c r="BI8" i="44"/>
  <c r="BF8" i="44"/>
  <c r="BA8" i="44"/>
  <c r="N60" i="45" s="1"/>
  <c r="AX8" i="44"/>
  <c r="AS8" i="44"/>
  <c r="U8" i="44"/>
  <c r="S60" i="45" s="1"/>
  <c r="J8" i="44"/>
  <c r="BI9" i="44"/>
  <c r="BF9" i="44"/>
  <c r="O13" i="45" s="1"/>
  <c r="BA9" i="44"/>
  <c r="N61" i="45" s="1"/>
  <c r="AX9" i="44"/>
  <c r="AS9" i="44"/>
  <c r="AP9" i="44"/>
  <c r="Z9" i="44"/>
  <c r="V14" i="67"/>
  <c r="BI10" i="44"/>
  <c r="BF10" i="44"/>
  <c r="O14" i="45" s="1"/>
  <c r="BA10" i="44"/>
  <c r="N62" i="45" s="1"/>
  <c r="AX10" i="44"/>
  <c r="AS10" i="44"/>
  <c r="AP10" i="44"/>
  <c r="V15" i="67"/>
  <c r="BA11" i="44"/>
  <c r="N63" i="45" s="1"/>
  <c r="AX11" i="44"/>
  <c r="AS11" i="44"/>
  <c r="AP11" i="44"/>
  <c r="BH12" i="44"/>
  <c r="Q16" i="45" s="1"/>
  <c r="BC12" i="44"/>
  <c r="P64" i="45" s="1"/>
  <c r="AZ12" i="44"/>
  <c r="N16" i="45" s="1"/>
  <c r="AU12" i="44"/>
  <c r="F64" i="45" s="1"/>
  <c r="AR12" i="44"/>
  <c r="BH13" i="44"/>
  <c r="Q17" i="45" s="1"/>
  <c r="BC13" i="44"/>
  <c r="P65" i="45" s="1"/>
  <c r="AZ13" i="44"/>
  <c r="N17" i="45" s="1"/>
  <c r="AU13" i="44"/>
  <c r="F65" i="45" s="1"/>
  <c r="AR13" i="44"/>
  <c r="BH14" i="44"/>
  <c r="Q18" i="45" s="1"/>
  <c r="BC14" i="44"/>
  <c r="P66" i="45" s="1"/>
  <c r="AZ14" i="44"/>
  <c r="N18" i="45" s="1"/>
  <c r="AU14" i="44"/>
  <c r="F66" i="45" s="1"/>
  <c r="AR14" i="44"/>
  <c r="BH15" i="44"/>
  <c r="Q19" i="45" s="1"/>
  <c r="BC15" i="44"/>
  <c r="P67" i="45" s="1"/>
  <c r="AZ15" i="44"/>
  <c r="N19" i="45" s="1"/>
  <c r="AU15" i="44"/>
  <c r="F67" i="45" s="1"/>
  <c r="AR15" i="44"/>
  <c r="BH16" i="44"/>
  <c r="Q20" i="45" s="1"/>
  <c r="BC16" i="44"/>
  <c r="P68" i="45" s="1"/>
  <c r="AZ16" i="44"/>
  <c r="N20" i="45" s="1"/>
  <c r="AU16" i="44"/>
  <c r="F68" i="45" s="1"/>
  <c r="AR16" i="44"/>
  <c r="BH17" i="44"/>
  <c r="Q21" i="45" s="1"/>
  <c r="BC17" i="44"/>
  <c r="P69" i="45" s="1"/>
  <c r="AZ17" i="44"/>
  <c r="N21" i="45" s="1"/>
  <c r="AU17" i="44"/>
  <c r="F69" i="45" s="1"/>
  <c r="AR17" i="44"/>
  <c r="BH18" i="44"/>
  <c r="Q22" i="45" s="1"/>
  <c r="BC18" i="44"/>
  <c r="P70" i="45" s="1"/>
  <c r="AZ18" i="44"/>
  <c r="N22" i="45" s="1"/>
  <c r="AU18" i="44"/>
  <c r="F70" i="45" s="1"/>
  <c r="AR18" i="44"/>
  <c r="BH19" i="44"/>
  <c r="BC19" i="44"/>
  <c r="P71" i="45" s="1"/>
  <c r="AZ19" i="44"/>
  <c r="N23" i="45" s="1"/>
  <c r="AU19" i="44"/>
  <c r="F71" i="45" s="1"/>
  <c r="AR19" i="44"/>
  <c r="BH20" i="44"/>
  <c r="BC20" i="44"/>
  <c r="P72" i="45" s="1"/>
  <c r="AZ20" i="44"/>
  <c r="N24" i="45" s="1"/>
  <c r="AU20" i="44"/>
  <c r="F72" i="45" s="1"/>
  <c r="AR20" i="44"/>
  <c r="BH21" i="44"/>
  <c r="BC21" i="44"/>
  <c r="P73" i="45" s="1"/>
  <c r="AZ21" i="44"/>
  <c r="N25" i="45" s="1"/>
  <c r="AU21" i="44"/>
  <c r="F73" i="45" s="1"/>
  <c r="AR21" i="44"/>
  <c r="BH22" i="44"/>
  <c r="Q26" i="45" s="1"/>
  <c r="BC22" i="44"/>
  <c r="P74" i="45" s="1"/>
  <c r="AZ22" i="44"/>
  <c r="N26" i="45" s="1"/>
  <c r="AU22" i="44"/>
  <c r="F74" i="45" s="1"/>
  <c r="AR22" i="44"/>
  <c r="U26" i="67" s="1"/>
  <c r="BH23" i="44"/>
  <c r="Q27" i="45" s="1"/>
  <c r="BC23" i="44"/>
  <c r="P75" i="45" s="1"/>
  <c r="AZ23" i="44"/>
  <c r="N27" i="45" s="1"/>
  <c r="AU23" i="44"/>
  <c r="F75" i="45" s="1"/>
  <c r="AR23" i="44"/>
  <c r="BH24" i="44"/>
  <c r="Q28" i="45" s="1"/>
  <c r="BC24" i="44"/>
  <c r="P76" i="45" s="1"/>
  <c r="AZ24" i="44"/>
  <c r="N28" i="45" s="1"/>
  <c r="AU24" i="44"/>
  <c r="F76" i="45" s="1"/>
  <c r="AR24" i="44"/>
  <c r="U28" i="67" s="1"/>
  <c r="BH25" i="44"/>
  <c r="Q29" i="45" s="1"/>
  <c r="BC25" i="44"/>
  <c r="P77" i="45" s="1"/>
  <c r="AZ25" i="44"/>
  <c r="N29" i="45" s="1"/>
  <c r="AU25" i="44"/>
  <c r="F77" i="45" s="1"/>
  <c r="AR25" i="44"/>
  <c r="BH26" i="44"/>
  <c r="Q30" i="45" s="1"/>
  <c r="BC26" i="44"/>
  <c r="P78" i="45" s="1"/>
  <c r="AZ26" i="44"/>
  <c r="N30" i="45" s="1"/>
  <c r="AU26" i="44"/>
  <c r="F78" i="45" s="1"/>
  <c r="AR26" i="44"/>
  <c r="BC27" i="44"/>
  <c r="P79" i="45" s="1"/>
  <c r="AZ27" i="44"/>
  <c r="N31" i="45" s="1"/>
  <c r="AU27" i="44"/>
  <c r="F79" i="45" s="1"/>
  <c r="AR27" i="44"/>
  <c r="BH28" i="44"/>
  <c r="Q32" i="45" s="1"/>
  <c r="BC28" i="44"/>
  <c r="P80" i="45" s="1"/>
  <c r="AZ28" i="44"/>
  <c r="N32" i="45" s="1"/>
  <c r="AU28" i="44"/>
  <c r="F80" i="45" s="1"/>
  <c r="AR28" i="44"/>
  <c r="Q33" i="45"/>
  <c r="BC29" i="44"/>
  <c r="P81" i="45" s="1"/>
  <c r="AZ29" i="44"/>
  <c r="N33" i="45" s="1"/>
  <c r="AU29" i="44"/>
  <c r="F81" i="45" s="1"/>
  <c r="AR29" i="44"/>
  <c r="BH30" i="44"/>
  <c r="BC30" i="44"/>
  <c r="P82" i="45" s="1"/>
  <c r="AZ30" i="44"/>
  <c r="N34" i="45" s="1"/>
  <c r="AU30" i="44"/>
  <c r="F82" i="45" s="1"/>
  <c r="AR30" i="44"/>
  <c r="BH31" i="44"/>
  <c r="Q35" i="45" s="1"/>
  <c r="BC31" i="44"/>
  <c r="P83" i="45" s="1"/>
  <c r="AZ31" i="44"/>
  <c r="N35" i="45" s="1"/>
  <c r="AU31" i="44"/>
  <c r="F83" i="45" s="1"/>
  <c r="AR31" i="44"/>
  <c r="BH32" i="44"/>
  <c r="Q36" i="45" s="1"/>
  <c r="BC32" i="44"/>
  <c r="P84" i="45" s="1"/>
  <c r="AZ32" i="44"/>
  <c r="N36" i="45" s="1"/>
  <c r="AU32" i="44"/>
  <c r="F84" i="45" s="1"/>
  <c r="AR32" i="44"/>
  <c r="BH33" i="44"/>
  <c r="Q37" i="45" s="1"/>
  <c r="BC33" i="44"/>
  <c r="P85" i="45" s="1"/>
  <c r="AZ33" i="44"/>
  <c r="N37" i="45" s="1"/>
  <c r="AU33" i="44"/>
  <c r="F85" i="45" s="1"/>
  <c r="AR33" i="44"/>
  <c r="BH34" i="44"/>
  <c r="Q38" i="45" s="1"/>
  <c r="BC34" i="44"/>
  <c r="P86" i="45" s="1"/>
  <c r="AZ34" i="44"/>
  <c r="N38" i="45" s="1"/>
  <c r="AU34" i="44"/>
  <c r="F86" i="45" s="1"/>
  <c r="AR34" i="44"/>
  <c r="BH36" i="44"/>
  <c r="Q40" i="45" s="1"/>
  <c r="BC36" i="44"/>
  <c r="P88" i="45" s="1"/>
  <c r="AZ36" i="44"/>
  <c r="N40" i="45" s="1"/>
  <c r="AU36" i="44"/>
  <c r="F88" i="45" s="1"/>
  <c r="AR36" i="44"/>
  <c r="BI37" i="44"/>
  <c r="Q89" i="45" s="1"/>
  <c r="BC37" i="44"/>
  <c r="P89" i="45" s="1"/>
  <c r="AZ37" i="44"/>
  <c r="N41" i="45" s="1"/>
  <c r="AU37" i="44"/>
  <c r="F89" i="45" s="1"/>
  <c r="AR37" i="44"/>
  <c r="BH38" i="44"/>
  <c r="Q42" i="45" s="1"/>
  <c r="BC38" i="44"/>
  <c r="P90" i="45" s="1"/>
  <c r="AZ38" i="44"/>
  <c r="N42" i="45" s="1"/>
  <c r="AU38" i="44"/>
  <c r="F90" i="45" s="1"/>
  <c r="AR38" i="44"/>
  <c r="V43" i="67"/>
  <c r="BF39" i="44"/>
  <c r="O43" i="45" s="1"/>
  <c r="BA39" i="44"/>
  <c r="N91" i="45" s="1"/>
  <c r="AX39" i="44"/>
  <c r="AS39" i="44"/>
  <c r="AP39" i="44"/>
  <c r="U43" i="67" s="1"/>
  <c r="BE40" i="44"/>
  <c r="M92" i="45" s="1"/>
  <c r="BB40" i="44"/>
  <c r="P44" i="45" s="1"/>
  <c r="AW40" i="44"/>
  <c r="K92" i="45" s="1"/>
  <c r="AT40" i="44"/>
  <c r="F44" i="45" s="1"/>
  <c r="AO40" i="44"/>
  <c r="I92" i="45" s="1"/>
  <c r="BF41" i="44"/>
  <c r="O45" i="45" s="1"/>
  <c r="BA41" i="44"/>
  <c r="N93" i="45" s="1"/>
  <c r="AX41" i="44"/>
  <c r="K45" i="67" s="1"/>
  <c r="AS41" i="44"/>
  <c r="AP41" i="44"/>
  <c r="BH42" i="44"/>
  <c r="Q46" i="45" s="1"/>
  <c r="BC42" i="44"/>
  <c r="P94" i="45" s="1"/>
  <c r="AZ42" i="44"/>
  <c r="N46" i="45" s="1"/>
  <c r="AU42" i="44"/>
  <c r="F94" i="45" s="1"/>
  <c r="AR42" i="44"/>
  <c r="BH43" i="44"/>
  <c r="Q47" i="45" s="1"/>
  <c r="BC43" i="44"/>
  <c r="P95" i="45" s="1"/>
  <c r="AZ43" i="44"/>
  <c r="N47" i="45" s="1"/>
  <c r="AU43" i="44"/>
  <c r="F95" i="45" s="1"/>
  <c r="AR43" i="44"/>
  <c r="U47" i="67" s="1"/>
  <c r="BG35" i="44"/>
  <c r="O87" i="45" s="1"/>
  <c r="BD35" i="44"/>
  <c r="M39" i="45" s="1"/>
  <c r="AY35" i="44"/>
  <c r="AV35" i="44"/>
  <c r="K39" i="45" s="1"/>
  <c r="AQ35" i="44"/>
  <c r="U87" i="67" s="1"/>
  <c r="AN35" i="44"/>
  <c r="I39" i="45" s="1"/>
  <c r="M58" i="67"/>
  <c r="O58" i="67"/>
  <c r="O57" i="67" s="1"/>
  <c r="T58" i="67"/>
  <c r="T57" i="67" s="1"/>
  <c r="I58" i="67"/>
  <c r="R10" i="67"/>
  <c r="R9" i="67" s="1"/>
  <c r="D58" i="67"/>
  <c r="AM5" i="44"/>
  <c r="AJ5" i="44"/>
  <c r="O5" i="44"/>
  <c r="G5" i="44"/>
  <c r="BH8" i="44"/>
  <c r="Q12" i="45" s="1"/>
  <c r="BC8" i="44"/>
  <c r="P60" i="45" s="1"/>
  <c r="AZ8" i="44"/>
  <c r="N12" i="45" s="1"/>
  <c r="AU8" i="44"/>
  <c r="F60" i="45" s="1"/>
  <c r="AR8" i="44"/>
  <c r="BH9" i="44"/>
  <c r="Q13" i="45" s="1"/>
  <c r="BC9" i="44"/>
  <c r="P61" i="45" s="1"/>
  <c r="AZ9" i="44"/>
  <c r="N13" i="45" s="1"/>
  <c r="AU9" i="44"/>
  <c r="F61" i="45" s="1"/>
  <c r="AR9" i="44"/>
  <c r="U13" i="67" s="1"/>
  <c r="BH10" i="44"/>
  <c r="Q14" i="45" s="1"/>
  <c r="BC10" i="44"/>
  <c r="P62" i="45" s="1"/>
  <c r="AZ10" i="44"/>
  <c r="N14" i="45" s="1"/>
  <c r="AU10" i="44"/>
  <c r="F62" i="45" s="1"/>
  <c r="AR10" i="44"/>
  <c r="BC11" i="44"/>
  <c r="P63" i="45" s="1"/>
  <c r="AZ11" i="44"/>
  <c r="N15" i="45" s="1"/>
  <c r="AU11" i="44"/>
  <c r="F63" i="45" s="1"/>
  <c r="AR11" i="44"/>
  <c r="BE12" i="44"/>
  <c r="M64" i="45" s="1"/>
  <c r="BB12" i="44"/>
  <c r="P16" i="45" s="1"/>
  <c r="AW12" i="44"/>
  <c r="K64" i="45" s="1"/>
  <c r="AT12" i="44"/>
  <c r="F16" i="45" s="1"/>
  <c r="AO12" i="44"/>
  <c r="I64" i="45" s="1"/>
  <c r="BE13" i="44"/>
  <c r="M65" i="45" s="1"/>
  <c r="BB13" i="44"/>
  <c r="P17" i="45" s="1"/>
  <c r="AW13" i="44"/>
  <c r="K65" i="45" s="1"/>
  <c r="AT13" i="44"/>
  <c r="F17" i="45" s="1"/>
  <c r="AO13" i="44"/>
  <c r="I65" i="45" s="1"/>
  <c r="BE14" i="44"/>
  <c r="M66" i="45" s="1"/>
  <c r="BB14" i="44"/>
  <c r="P18" i="45" s="1"/>
  <c r="AW14" i="44"/>
  <c r="AT14" i="44"/>
  <c r="F18" i="45" s="1"/>
  <c r="AO14" i="44"/>
  <c r="I66" i="45" s="1"/>
  <c r="BE15" i="44"/>
  <c r="M67" i="45" s="1"/>
  <c r="BB15" i="44"/>
  <c r="P19" i="45" s="1"/>
  <c r="AW15" i="44"/>
  <c r="K67" i="45" s="1"/>
  <c r="AT15" i="44"/>
  <c r="F19" i="45" s="1"/>
  <c r="AO15" i="44"/>
  <c r="I67" i="45" s="1"/>
  <c r="BE16" i="44"/>
  <c r="M68" i="45" s="1"/>
  <c r="BB16" i="44"/>
  <c r="P20" i="45" s="1"/>
  <c r="AW16" i="44"/>
  <c r="K68" i="45" s="1"/>
  <c r="AT16" i="44"/>
  <c r="F20" i="45" s="1"/>
  <c r="AO16" i="44"/>
  <c r="I68" i="45" s="1"/>
  <c r="BE17" i="44"/>
  <c r="M69" i="45" s="1"/>
  <c r="BB17" i="44"/>
  <c r="P21" i="45" s="1"/>
  <c r="AW17" i="44"/>
  <c r="AT17" i="44"/>
  <c r="F21" i="45" s="1"/>
  <c r="AO17" i="44"/>
  <c r="I69" i="45" s="1"/>
  <c r="BE18" i="44"/>
  <c r="M70" i="45" s="1"/>
  <c r="BB18" i="44"/>
  <c r="P22" i="45" s="1"/>
  <c r="AW18" i="44"/>
  <c r="AT18" i="44"/>
  <c r="F22" i="45" s="1"/>
  <c r="AO18" i="44"/>
  <c r="I70" i="45" s="1"/>
  <c r="BE19" i="44"/>
  <c r="M71" i="45" s="1"/>
  <c r="BB19" i="44"/>
  <c r="P23" i="45" s="1"/>
  <c r="AW19" i="44"/>
  <c r="K71" i="45" s="1"/>
  <c r="AT19" i="44"/>
  <c r="F23" i="45" s="1"/>
  <c r="AO19" i="44"/>
  <c r="I71" i="45" s="1"/>
  <c r="BE20" i="44"/>
  <c r="M72" i="45" s="1"/>
  <c r="BB20" i="44"/>
  <c r="P24" i="45" s="1"/>
  <c r="AW20" i="44"/>
  <c r="K72" i="45" s="1"/>
  <c r="AT20" i="44"/>
  <c r="F24" i="45" s="1"/>
  <c r="AO20" i="44"/>
  <c r="I72" i="45" s="1"/>
  <c r="U73" i="67"/>
  <c r="BE21" i="44"/>
  <c r="M73" i="45" s="1"/>
  <c r="BB21" i="44"/>
  <c r="P25" i="45" s="1"/>
  <c r="AW21" i="44"/>
  <c r="AT21" i="44"/>
  <c r="F25" i="45" s="1"/>
  <c r="AO21" i="44"/>
  <c r="I73" i="45" s="1"/>
  <c r="BE22" i="44"/>
  <c r="M74" i="45" s="1"/>
  <c r="BB22" i="44"/>
  <c r="P26" i="45" s="1"/>
  <c r="AW22" i="44"/>
  <c r="K74" i="45" s="1"/>
  <c r="AT22" i="44"/>
  <c r="F26" i="45" s="1"/>
  <c r="AO22" i="44"/>
  <c r="I74" i="45" s="1"/>
  <c r="BE23" i="44"/>
  <c r="M75" i="45" s="1"/>
  <c r="BB23" i="44"/>
  <c r="P27" i="45" s="1"/>
  <c r="AW23" i="44"/>
  <c r="AT23" i="44"/>
  <c r="F27" i="45" s="1"/>
  <c r="AO23" i="44"/>
  <c r="I75" i="45" s="1"/>
  <c r="BE24" i="44"/>
  <c r="M76" i="45" s="1"/>
  <c r="BB24" i="44"/>
  <c r="P28" i="45" s="1"/>
  <c r="AW24" i="44"/>
  <c r="AT24" i="44"/>
  <c r="F28" i="45" s="1"/>
  <c r="AO24" i="44"/>
  <c r="I76" i="45" s="1"/>
  <c r="BE25" i="44"/>
  <c r="M77" i="45" s="1"/>
  <c r="BB25" i="44"/>
  <c r="P29" i="45" s="1"/>
  <c r="AW25" i="44"/>
  <c r="AT25" i="44"/>
  <c r="F29" i="45" s="1"/>
  <c r="AO25" i="44"/>
  <c r="I77" i="45" s="1"/>
  <c r="BE26" i="44"/>
  <c r="M78" i="45" s="1"/>
  <c r="BB26" i="44"/>
  <c r="P30" i="45" s="1"/>
  <c r="AW26" i="44"/>
  <c r="K78" i="45" s="1"/>
  <c r="AT26" i="44"/>
  <c r="F30" i="45" s="1"/>
  <c r="AO26" i="44"/>
  <c r="I78" i="45" s="1"/>
  <c r="BB27" i="44"/>
  <c r="P31" i="45" s="1"/>
  <c r="AW27" i="44"/>
  <c r="K79" i="45" s="1"/>
  <c r="AT27" i="44"/>
  <c r="F31" i="45" s="1"/>
  <c r="AO27" i="44"/>
  <c r="I79" i="45" s="1"/>
  <c r="BE28" i="44"/>
  <c r="M80" i="45" s="1"/>
  <c r="BB28" i="44"/>
  <c r="P32" i="45" s="1"/>
  <c r="AW28" i="44"/>
  <c r="K80" i="45" s="1"/>
  <c r="AT28" i="44"/>
  <c r="F32" i="45" s="1"/>
  <c r="AO28" i="44"/>
  <c r="I80" i="45" s="1"/>
  <c r="BE29" i="44"/>
  <c r="M81" i="45" s="1"/>
  <c r="BB29" i="44"/>
  <c r="P33" i="45" s="1"/>
  <c r="AW29" i="44"/>
  <c r="K81" i="45" s="1"/>
  <c r="AT29" i="44"/>
  <c r="F33" i="45" s="1"/>
  <c r="AO29" i="44"/>
  <c r="I81" i="45" s="1"/>
  <c r="BE30" i="44"/>
  <c r="M82" i="45" s="1"/>
  <c r="BB30" i="44"/>
  <c r="P34" i="45" s="1"/>
  <c r="AW30" i="44"/>
  <c r="K82" i="45" s="1"/>
  <c r="AT30" i="44"/>
  <c r="F34" i="45" s="1"/>
  <c r="AO30" i="44"/>
  <c r="I82" i="45" s="1"/>
  <c r="BE31" i="44"/>
  <c r="M83" i="45" s="1"/>
  <c r="BB31" i="44"/>
  <c r="P35" i="45" s="1"/>
  <c r="AW31" i="44"/>
  <c r="K83" i="45" s="1"/>
  <c r="AT31" i="44"/>
  <c r="F35" i="45" s="1"/>
  <c r="AO31" i="44"/>
  <c r="I83" i="45" s="1"/>
  <c r="BE32" i="44"/>
  <c r="M84" i="45" s="1"/>
  <c r="BB32" i="44"/>
  <c r="P36" i="45" s="1"/>
  <c r="AW32" i="44"/>
  <c r="K84" i="45" s="1"/>
  <c r="AT32" i="44"/>
  <c r="F36" i="45" s="1"/>
  <c r="AO32" i="44"/>
  <c r="I84" i="45" s="1"/>
  <c r="BE33" i="44"/>
  <c r="M85" i="45" s="1"/>
  <c r="BB33" i="44"/>
  <c r="P37" i="45" s="1"/>
  <c r="AW33" i="44"/>
  <c r="K85" i="45" s="1"/>
  <c r="AT33" i="44"/>
  <c r="F37" i="45" s="1"/>
  <c r="AO33" i="44"/>
  <c r="I85" i="45" s="1"/>
  <c r="BE34" i="44"/>
  <c r="M86" i="45" s="1"/>
  <c r="BB34" i="44"/>
  <c r="P38" i="45" s="1"/>
  <c r="AW34" i="44"/>
  <c r="K86" i="45" s="1"/>
  <c r="AT34" i="44"/>
  <c r="F38" i="45" s="1"/>
  <c r="AO34" i="44"/>
  <c r="I86" i="45" s="1"/>
  <c r="BE36" i="44"/>
  <c r="M88" i="45" s="1"/>
  <c r="BB36" i="44"/>
  <c r="P40" i="45" s="1"/>
  <c r="AW36" i="44"/>
  <c r="K88" i="45" s="1"/>
  <c r="AT36" i="44"/>
  <c r="F40" i="45" s="1"/>
  <c r="AO36" i="44"/>
  <c r="I88" i="45" s="1"/>
  <c r="BH37" i="44"/>
  <c r="BE37" i="44"/>
  <c r="M89" i="45" s="1"/>
  <c r="BB37" i="44"/>
  <c r="P41" i="45" s="1"/>
  <c r="AW37" i="44"/>
  <c r="K89" i="45" s="1"/>
  <c r="AT37" i="44"/>
  <c r="F41" i="45" s="1"/>
  <c r="AO37" i="44"/>
  <c r="I89" i="45" s="1"/>
  <c r="BE38" i="44"/>
  <c r="M90" i="45" s="1"/>
  <c r="BB38" i="44"/>
  <c r="P42" i="45" s="1"/>
  <c r="AW38" i="44"/>
  <c r="K90" i="45" s="1"/>
  <c r="AT38" i="44"/>
  <c r="F42" i="45" s="1"/>
  <c r="AO38" i="44"/>
  <c r="I90" i="45" s="1"/>
  <c r="BI39" i="44"/>
  <c r="BC39" i="44"/>
  <c r="P91" i="45" s="1"/>
  <c r="AZ39" i="44"/>
  <c r="N43" i="45" s="1"/>
  <c r="AU39" i="44"/>
  <c r="F91" i="45" s="1"/>
  <c r="AR39" i="44"/>
  <c r="U44" i="67"/>
  <c r="BG40" i="44"/>
  <c r="O92" i="45" s="1"/>
  <c r="BD40" i="44"/>
  <c r="M44" i="45" s="1"/>
  <c r="AY40" i="44"/>
  <c r="AV40" i="44"/>
  <c r="K44" i="45" s="1"/>
  <c r="AQ40" i="44"/>
  <c r="AN40" i="44"/>
  <c r="I44" i="45" s="1"/>
  <c r="BI41" i="44"/>
  <c r="Q93" i="45" s="1"/>
  <c r="BC41" i="44"/>
  <c r="P93" i="45" s="1"/>
  <c r="AZ41" i="44"/>
  <c r="N45" i="45" s="1"/>
  <c r="AU41" i="44"/>
  <c r="F93" i="45" s="1"/>
  <c r="AR41" i="44"/>
  <c r="BE42" i="44"/>
  <c r="M94" i="45" s="1"/>
  <c r="BB42" i="44"/>
  <c r="P46" i="45" s="1"/>
  <c r="AW42" i="44"/>
  <c r="K94" i="45" s="1"/>
  <c r="AT42" i="44"/>
  <c r="F46" i="45" s="1"/>
  <c r="AO42" i="44"/>
  <c r="I94" i="45" s="1"/>
  <c r="BE43" i="44"/>
  <c r="M95" i="45" s="1"/>
  <c r="BB43" i="44"/>
  <c r="P47" i="45" s="1"/>
  <c r="AW43" i="44"/>
  <c r="K95" i="45" s="1"/>
  <c r="AT43" i="44"/>
  <c r="F47" i="45" s="1"/>
  <c r="AO43" i="44"/>
  <c r="I95" i="45" s="1"/>
  <c r="BF35" i="44"/>
  <c r="O39" i="45" s="1"/>
  <c r="BA35" i="44"/>
  <c r="N87" i="45" s="1"/>
  <c r="AX35" i="44"/>
  <c r="AS35" i="44"/>
  <c r="AP35" i="44"/>
  <c r="N58" i="67"/>
  <c r="N57" i="67" s="1"/>
  <c r="S58" i="67"/>
  <c r="AL5" i="44"/>
  <c r="Y5" i="44"/>
  <c r="N5" i="44"/>
  <c r="F5" i="44"/>
  <c r="K59" i="67"/>
  <c r="BE8" i="44"/>
  <c r="M60" i="45" s="1"/>
  <c r="BB8" i="44"/>
  <c r="P12" i="45" s="1"/>
  <c r="AW8" i="44"/>
  <c r="K60" i="45" s="1"/>
  <c r="AT8" i="44"/>
  <c r="F12" i="45" s="1"/>
  <c r="AO8" i="44"/>
  <c r="I60" i="45" s="1"/>
  <c r="BE9" i="44"/>
  <c r="M61" i="45" s="1"/>
  <c r="BB9" i="44"/>
  <c r="P13" i="45" s="1"/>
  <c r="AW9" i="44"/>
  <c r="K61" i="45" s="1"/>
  <c r="AT9" i="44"/>
  <c r="F13" i="45" s="1"/>
  <c r="AO9" i="44"/>
  <c r="I61" i="45" s="1"/>
  <c r="BE10" i="44"/>
  <c r="M62" i="45" s="1"/>
  <c r="BB10" i="44"/>
  <c r="P14" i="45" s="1"/>
  <c r="AW10" i="44"/>
  <c r="K62" i="45" s="1"/>
  <c r="AT10" i="44"/>
  <c r="F14" i="45" s="1"/>
  <c r="AO10" i="44"/>
  <c r="I62" i="45" s="1"/>
  <c r="BB11" i="44"/>
  <c r="P15" i="45" s="1"/>
  <c r="AW11" i="44"/>
  <c r="K63" i="45" s="1"/>
  <c r="AT11" i="44"/>
  <c r="F15" i="45" s="1"/>
  <c r="AO11" i="44"/>
  <c r="I63" i="45" s="1"/>
  <c r="V64" i="67"/>
  <c r="BG12" i="44"/>
  <c r="BD12" i="44"/>
  <c r="M16" i="45" s="1"/>
  <c r="AY12" i="44"/>
  <c r="AV12" i="44"/>
  <c r="K16" i="45" s="1"/>
  <c r="AQ12" i="44"/>
  <c r="AN12" i="44"/>
  <c r="I16" i="45" s="1"/>
  <c r="BG13" i="44"/>
  <c r="O65" i="45" s="1"/>
  <c r="BD13" i="44"/>
  <c r="M17" i="45" s="1"/>
  <c r="AY13" i="44"/>
  <c r="AV13" i="44"/>
  <c r="K17" i="45" s="1"/>
  <c r="AQ13" i="44"/>
  <c r="U65" i="67" s="1"/>
  <c r="AN13" i="44"/>
  <c r="I17" i="45" s="1"/>
  <c r="V66" i="67"/>
  <c r="BG14" i="44"/>
  <c r="O66" i="45" s="1"/>
  <c r="BD14" i="44"/>
  <c r="M18" i="45" s="1"/>
  <c r="AY14" i="44"/>
  <c r="AV14" i="44"/>
  <c r="K18" i="45" s="1"/>
  <c r="AQ14" i="44"/>
  <c r="AN14" i="44"/>
  <c r="I18" i="45" s="1"/>
  <c r="BG15" i="44"/>
  <c r="O67" i="45" s="1"/>
  <c r="BD15" i="44"/>
  <c r="M19" i="45" s="1"/>
  <c r="AY15" i="44"/>
  <c r="AV15" i="44"/>
  <c r="K19" i="45" s="1"/>
  <c r="AQ15" i="44"/>
  <c r="AN15" i="44"/>
  <c r="I19" i="45" s="1"/>
  <c r="BG16" i="44"/>
  <c r="O68" i="45" s="1"/>
  <c r="BD16" i="44"/>
  <c r="M20" i="45" s="1"/>
  <c r="AY16" i="44"/>
  <c r="AV16" i="44"/>
  <c r="K20" i="45" s="1"/>
  <c r="AQ16" i="44"/>
  <c r="U68" i="67" s="1"/>
  <c r="AN16" i="44"/>
  <c r="I20" i="45" s="1"/>
  <c r="V69" i="67"/>
  <c r="BG17" i="44"/>
  <c r="O69" i="45" s="1"/>
  <c r="BD17" i="44"/>
  <c r="M21" i="45" s="1"/>
  <c r="AY17" i="44"/>
  <c r="AV17" i="44"/>
  <c r="K21" i="45" s="1"/>
  <c r="AQ17" i="44"/>
  <c r="AN17" i="44"/>
  <c r="I21" i="45" s="1"/>
  <c r="BG18" i="44"/>
  <c r="O70" i="45" s="1"/>
  <c r="BD18" i="44"/>
  <c r="M22" i="45" s="1"/>
  <c r="AY18" i="44"/>
  <c r="AV18" i="44"/>
  <c r="K22" i="45" s="1"/>
  <c r="AQ18" i="44"/>
  <c r="U70" i="67" s="1"/>
  <c r="AN18" i="44"/>
  <c r="I22" i="45" s="1"/>
  <c r="BG19" i="44"/>
  <c r="O71" i="45" s="1"/>
  <c r="BD19" i="44"/>
  <c r="M23" i="45" s="1"/>
  <c r="AY19" i="44"/>
  <c r="AV19" i="44"/>
  <c r="K23" i="45" s="1"/>
  <c r="AQ19" i="44"/>
  <c r="AN19" i="44"/>
  <c r="I23" i="45" s="1"/>
  <c r="BG20" i="44"/>
  <c r="O72" i="45" s="1"/>
  <c r="BD20" i="44"/>
  <c r="M24" i="45" s="1"/>
  <c r="AY20" i="44"/>
  <c r="AV20" i="44"/>
  <c r="K24" i="45" s="1"/>
  <c r="AQ20" i="44"/>
  <c r="U72" i="67" s="1"/>
  <c r="AN20" i="44"/>
  <c r="I24" i="45" s="1"/>
  <c r="V73" i="67"/>
  <c r="U25" i="67"/>
  <c r="BG21" i="44"/>
  <c r="O73" i="45" s="1"/>
  <c r="BD21" i="44"/>
  <c r="M25" i="45" s="1"/>
  <c r="AY21" i="44"/>
  <c r="AV21" i="44"/>
  <c r="K25" i="45" s="1"/>
  <c r="AQ21" i="44"/>
  <c r="AN21" i="44"/>
  <c r="I25" i="45" s="1"/>
  <c r="V74" i="67"/>
  <c r="BG22" i="44"/>
  <c r="O74" i="45" s="1"/>
  <c r="BD22" i="44"/>
  <c r="M26" i="45" s="1"/>
  <c r="AY22" i="44"/>
  <c r="AV22" i="44"/>
  <c r="K26" i="45" s="1"/>
  <c r="AQ22" i="44"/>
  <c r="AN22" i="44"/>
  <c r="I26" i="45" s="1"/>
  <c r="BG23" i="44"/>
  <c r="O75" i="45" s="1"/>
  <c r="BD23" i="44"/>
  <c r="M27" i="45" s="1"/>
  <c r="AY23" i="44"/>
  <c r="AV23" i="44"/>
  <c r="K27" i="45" s="1"/>
  <c r="AQ23" i="44"/>
  <c r="AN23" i="44"/>
  <c r="I27" i="45" s="1"/>
  <c r="V76" i="67"/>
  <c r="BG24" i="44"/>
  <c r="O76" i="45" s="1"/>
  <c r="BD24" i="44"/>
  <c r="M28" i="45" s="1"/>
  <c r="AY24" i="44"/>
  <c r="AV24" i="44"/>
  <c r="K28" i="45" s="1"/>
  <c r="AQ24" i="44"/>
  <c r="U76" i="67" s="1"/>
  <c r="AN24" i="44"/>
  <c r="I28" i="45" s="1"/>
  <c r="V77" i="67"/>
  <c r="BG25" i="44"/>
  <c r="O77" i="45" s="1"/>
  <c r="BD25" i="44"/>
  <c r="M29" i="45" s="1"/>
  <c r="AY25" i="44"/>
  <c r="AV25" i="44"/>
  <c r="K29" i="45" s="1"/>
  <c r="AQ25" i="44"/>
  <c r="AN25" i="44"/>
  <c r="I29" i="45" s="1"/>
  <c r="V78" i="67"/>
  <c r="BG26" i="44"/>
  <c r="O78" i="45" s="1"/>
  <c r="BD26" i="44"/>
  <c r="M30" i="45" s="1"/>
  <c r="AY26" i="44"/>
  <c r="AV26" i="44"/>
  <c r="K30" i="45" s="1"/>
  <c r="AQ26" i="44"/>
  <c r="U78" i="67" s="1"/>
  <c r="AN26" i="44"/>
  <c r="I30" i="45" s="1"/>
  <c r="V79" i="67"/>
  <c r="AY27" i="44"/>
  <c r="AV27" i="44"/>
  <c r="K31" i="45" s="1"/>
  <c r="AQ27" i="44"/>
  <c r="AN27" i="44"/>
  <c r="I31" i="45" s="1"/>
  <c r="V80" i="67"/>
  <c r="BG28" i="44"/>
  <c r="O80" i="45" s="1"/>
  <c r="BD28" i="44"/>
  <c r="M32" i="45" s="1"/>
  <c r="AY28" i="44"/>
  <c r="K80" i="67" s="1"/>
  <c r="AV28" i="44"/>
  <c r="K32" i="45" s="1"/>
  <c r="AQ28" i="44"/>
  <c r="AN28" i="44"/>
  <c r="I32" i="45" s="1"/>
  <c r="V81" i="67"/>
  <c r="BD29" i="44"/>
  <c r="M33" i="45" s="1"/>
  <c r="AY29" i="44"/>
  <c r="AV29" i="44"/>
  <c r="K33" i="45" s="1"/>
  <c r="AQ29" i="44"/>
  <c r="U81" i="67" s="1"/>
  <c r="AN29" i="44"/>
  <c r="I33" i="45" s="1"/>
  <c r="V82" i="67"/>
  <c r="BG30" i="44"/>
  <c r="O82" i="45" s="1"/>
  <c r="BD30" i="44"/>
  <c r="M34" i="45" s="1"/>
  <c r="AY30" i="44"/>
  <c r="AV30" i="44"/>
  <c r="K34" i="45" s="1"/>
  <c r="AQ30" i="44"/>
  <c r="U82" i="67" s="1"/>
  <c r="AN30" i="44"/>
  <c r="I34" i="45" s="1"/>
  <c r="V83" i="67"/>
  <c r="BG31" i="44"/>
  <c r="O83" i="45" s="1"/>
  <c r="BD31" i="44"/>
  <c r="M35" i="45" s="1"/>
  <c r="AY31" i="44"/>
  <c r="AV31" i="44"/>
  <c r="K35" i="45" s="1"/>
  <c r="AQ31" i="44"/>
  <c r="U83" i="67" s="1"/>
  <c r="AN31" i="44"/>
  <c r="I35" i="45" s="1"/>
  <c r="V84" i="67"/>
  <c r="BG32" i="44"/>
  <c r="O84" i="45" s="1"/>
  <c r="BD32" i="44"/>
  <c r="M36" i="45" s="1"/>
  <c r="AY32" i="44"/>
  <c r="AV32" i="44"/>
  <c r="K36" i="45" s="1"/>
  <c r="AQ32" i="44"/>
  <c r="U84" i="67" s="1"/>
  <c r="AN32" i="44"/>
  <c r="I36" i="45" s="1"/>
  <c r="BG33" i="44"/>
  <c r="O85" i="45" s="1"/>
  <c r="BD33" i="44"/>
  <c r="M37" i="45" s="1"/>
  <c r="AY33" i="44"/>
  <c r="AV33" i="44"/>
  <c r="K37" i="45" s="1"/>
  <c r="AQ33" i="44"/>
  <c r="U85" i="67" s="1"/>
  <c r="AN33" i="44"/>
  <c r="I37" i="45" s="1"/>
  <c r="BG34" i="44"/>
  <c r="O86" i="45" s="1"/>
  <c r="BD34" i="44"/>
  <c r="M38" i="45" s="1"/>
  <c r="AY34" i="44"/>
  <c r="AV34" i="44"/>
  <c r="K38" i="45" s="1"/>
  <c r="AQ34" i="44"/>
  <c r="U86" i="67" s="1"/>
  <c r="AN34" i="44"/>
  <c r="I38" i="45" s="1"/>
  <c r="V88" i="67"/>
  <c r="BG36" i="44"/>
  <c r="O88" i="45" s="1"/>
  <c r="BD36" i="44"/>
  <c r="M40" i="45" s="1"/>
  <c r="AY36" i="44"/>
  <c r="AV36" i="44"/>
  <c r="K40" i="45" s="1"/>
  <c r="AQ36" i="44"/>
  <c r="AN36" i="44"/>
  <c r="I40" i="45" s="1"/>
  <c r="V89" i="67"/>
  <c r="BG37" i="44"/>
  <c r="O89" i="45" s="1"/>
  <c r="BD37" i="44"/>
  <c r="M41" i="45" s="1"/>
  <c r="AY37" i="44"/>
  <c r="AV37" i="44"/>
  <c r="K41" i="45" s="1"/>
  <c r="AQ37" i="44"/>
  <c r="AN37" i="44"/>
  <c r="I41" i="45" s="1"/>
  <c r="V90" i="67"/>
  <c r="BG38" i="44"/>
  <c r="O90" i="45" s="1"/>
  <c r="BD38" i="44"/>
  <c r="M42" i="45" s="1"/>
  <c r="AY38" i="44"/>
  <c r="AV38" i="44"/>
  <c r="K42" i="45" s="1"/>
  <c r="AQ38" i="44"/>
  <c r="AN38" i="44"/>
  <c r="I42" i="45" s="1"/>
  <c r="BH39" i="44"/>
  <c r="BE39" i="44"/>
  <c r="M91" i="45" s="1"/>
  <c r="BB39" i="44"/>
  <c r="P43" i="45" s="1"/>
  <c r="AW39" i="44"/>
  <c r="K91" i="45" s="1"/>
  <c r="AT39" i="44"/>
  <c r="F43" i="45" s="1"/>
  <c r="AO39" i="44"/>
  <c r="I91" i="45" s="1"/>
  <c r="BI40" i="44"/>
  <c r="Q92" i="45" s="1"/>
  <c r="BF40" i="44"/>
  <c r="O44" i="45" s="1"/>
  <c r="BA40" i="44"/>
  <c r="N92" i="45" s="1"/>
  <c r="AX40" i="44"/>
  <c r="AS40" i="44"/>
  <c r="U92" i="67" s="1"/>
  <c r="AP40" i="44"/>
  <c r="V45" i="67"/>
  <c r="BH41" i="44"/>
  <c r="Q45" i="45" s="1"/>
  <c r="BE41" i="44"/>
  <c r="M93" i="45" s="1"/>
  <c r="BB41" i="44"/>
  <c r="P45" i="45" s="1"/>
  <c r="AW41" i="44"/>
  <c r="K93" i="45" s="1"/>
  <c r="AT41" i="44"/>
  <c r="F45" i="45" s="1"/>
  <c r="AO41" i="44"/>
  <c r="I93" i="45" s="1"/>
  <c r="V94" i="67"/>
  <c r="BG42" i="44"/>
  <c r="O94" i="45" s="1"/>
  <c r="BD42" i="44"/>
  <c r="M46" i="45" s="1"/>
  <c r="AY42" i="44"/>
  <c r="AV42" i="44"/>
  <c r="K46" i="45" s="1"/>
  <c r="AQ42" i="44"/>
  <c r="U94" i="67" s="1"/>
  <c r="AN42" i="44"/>
  <c r="I46" i="45" s="1"/>
  <c r="BG43" i="44"/>
  <c r="O95" i="45" s="1"/>
  <c r="BD43" i="44"/>
  <c r="M47" i="45" s="1"/>
  <c r="AY43" i="44"/>
  <c r="AV43" i="44"/>
  <c r="K47" i="45" s="1"/>
  <c r="AQ43" i="44"/>
  <c r="AN43" i="44"/>
  <c r="I47" i="45" s="1"/>
  <c r="BI35" i="44"/>
  <c r="Q87" i="45" s="1"/>
  <c r="BC35" i="44"/>
  <c r="P87" i="45" s="1"/>
  <c r="AZ35" i="44"/>
  <c r="N39" i="45" s="1"/>
  <c r="AU35" i="44"/>
  <c r="F87" i="45" s="1"/>
  <c r="AR35" i="44"/>
  <c r="Q58" i="67"/>
  <c r="Q57" i="67" s="1"/>
  <c r="E58" i="67"/>
  <c r="X5" i="44"/>
  <c r="S5" i="44"/>
  <c r="U59" i="67"/>
  <c r="BG8" i="44"/>
  <c r="O60" i="45" s="1"/>
  <c r="BD8" i="44"/>
  <c r="M12" i="45" s="1"/>
  <c r="AY8" i="44"/>
  <c r="AV8" i="44"/>
  <c r="K12" i="45" s="1"/>
  <c r="AQ8" i="44"/>
  <c r="AN8" i="44"/>
  <c r="I12" i="45" s="1"/>
  <c r="V61" i="67"/>
  <c r="BG9" i="44"/>
  <c r="O61" i="45" s="1"/>
  <c r="BD9" i="44"/>
  <c r="M13" i="45" s="1"/>
  <c r="AY9" i="44"/>
  <c r="AV9" i="44"/>
  <c r="K13" i="45" s="1"/>
  <c r="AQ9" i="44"/>
  <c r="AN9" i="44"/>
  <c r="I13" i="45" s="1"/>
  <c r="BD10" i="44"/>
  <c r="M14" i="45" s="1"/>
  <c r="AY10" i="44"/>
  <c r="AV10" i="44"/>
  <c r="K14" i="45" s="1"/>
  <c r="AQ10" i="44"/>
  <c r="U62" i="67" s="1"/>
  <c r="AN10" i="44"/>
  <c r="I14" i="45" s="1"/>
  <c r="AY11" i="44"/>
  <c r="AV11" i="44"/>
  <c r="K15" i="45" s="1"/>
  <c r="AQ11" i="44"/>
  <c r="U63" i="67" s="1"/>
  <c r="AN11" i="44"/>
  <c r="I15" i="45" s="1"/>
  <c r="V16" i="67"/>
  <c r="BF12" i="44"/>
  <c r="O16" i="45" s="1"/>
  <c r="BA12" i="44"/>
  <c r="N64" i="45" s="1"/>
  <c r="AX12" i="44"/>
  <c r="AS12" i="44"/>
  <c r="U64" i="67" s="1"/>
  <c r="AP12" i="44"/>
  <c r="V17" i="67"/>
  <c r="BI13" i="44"/>
  <c r="BF13" i="44"/>
  <c r="O17" i="45" s="1"/>
  <c r="AX13" i="44"/>
  <c r="AP13" i="44"/>
  <c r="U17" i="67" s="1"/>
  <c r="V18" i="67"/>
  <c r="BF14" i="44"/>
  <c r="O18" i="45" s="1"/>
  <c r="BA14" i="44"/>
  <c r="N66" i="45" s="1"/>
  <c r="AX14" i="44"/>
  <c r="AS14" i="44"/>
  <c r="AP14" i="44"/>
  <c r="BI15" i="44"/>
  <c r="BF15" i="44"/>
  <c r="O19" i="45" s="1"/>
  <c r="BA15" i="44"/>
  <c r="N67" i="45" s="1"/>
  <c r="AX15" i="44"/>
  <c r="AS15" i="44"/>
  <c r="AP15" i="44"/>
  <c r="V20" i="67"/>
  <c r="BI16" i="44"/>
  <c r="BF16" i="44"/>
  <c r="O20" i="45" s="1"/>
  <c r="AX16" i="44"/>
  <c r="AS16" i="44"/>
  <c r="AP16" i="44"/>
  <c r="BI17" i="44"/>
  <c r="BF17" i="44"/>
  <c r="O21" i="45" s="1"/>
  <c r="AS17" i="44"/>
  <c r="BF18" i="44"/>
  <c r="O22" i="45" s="1"/>
  <c r="BA18" i="44"/>
  <c r="N70" i="45" s="1"/>
  <c r="V23" i="67"/>
  <c r="BI19" i="44"/>
  <c r="Q71" i="45" s="1"/>
  <c r="BF19" i="44"/>
  <c r="O23" i="45" s="1"/>
  <c r="BA19" i="44"/>
  <c r="N71" i="45" s="1"/>
  <c r="AX19" i="44"/>
  <c r="AS19" i="44"/>
  <c r="V24" i="67"/>
  <c r="BI20" i="44"/>
  <c r="BA20" i="44"/>
  <c r="N72" i="45" s="1"/>
  <c r="AX20" i="44"/>
  <c r="AS20" i="44"/>
  <c r="AP20" i="44"/>
  <c r="U24" i="67" s="1"/>
  <c r="BF21" i="44"/>
  <c r="O25" i="45" s="1"/>
  <c r="AS21" i="44"/>
  <c r="BI22" i="44"/>
  <c r="BF22" i="44"/>
  <c r="O26" i="45" s="1"/>
  <c r="BA22" i="44"/>
  <c r="AX22" i="44"/>
  <c r="AP22" i="44"/>
  <c r="BF23" i="44"/>
  <c r="O27" i="45" s="1"/>
  <c r="AX23" i="44"/>
  <c r="AS23" i="44"/>
  <c r="BI24" i="44"/>
  <c r="AX24" i="44"/>
  <c r="AP24" i="44"/>
  <c r="V29" i="67"/>
  <c r="BF25" i="44"/>
  <c r="O29" i="45" s="1"/>
  <c r="AX25" i="44"/>
  <c r="AS25" i="44"/>
  <c r="U77" i="67" s="1"/>
  <c r="BF26" i="44"/>
  <c r="O30" i="45" s="1"/>
  <c r="BA26" i="44"/>
  <c r="N78" i="45" s="1"/>
  <c r="AX26" i="44"/>
  <c r="K30" i="67" s="1"/>
  <c r="AS26" i="44"/>
  <c r="AP26" i="44"/>
  <c r="BA27" i="44"/>
  <c r="N79" i="45" s="1"/>
  <c r="AX27" i="44"/>
  <c r="AS27" i="44"/>
  <c r="U79" i="67" s="1"/>
  <c r="AP27" i="44"/>
  <c r="U31" i="67" s="1"/>
  <c r="V32" i="67"/>
  <c r="BI28" i="44"/>
  <c r="Q80" i="45" s="1"/>
  <c r="BF28" i="44"/>
  <c r="O32" i="45" s="1"/>
  <c r="BA28" i="44"/>
  <c r="N80" i="45" s="1"/>
  <c r="AX28" i="44"/>
  <c r="AS28" i="44"/>
  <c r="U80" i="67" s="1"/>
  <c r="AP28" i="44"/>
  <c r="U32" i="67" s="1"/>
  <c r="O33" i="45"/>
  <c r="BA29" i="44"/>
  <c r="N81" i="45" s="1"/>
  <c r="AX29" i="44"/>
  <c r="AS29" i="44"/>
  <c r="AP29" i="44"/>
  <c r="U33" i="67" s="1"/>
  <c r="V34" i="67"/>
  <c r="BI30" i="44"/>
  <c r="Q82" i="45" s="1"/>
  <c r="BF30" i="44"/>
  <c r="O34" i="45" s="1"/>
  <c r="BA30" i="44"/>
  <c r="N82" i="45" s="1"/>
  <c r="AX30" i="44"/>
  <c r="AS30" i="44"/>
  <c r="AP30" i="44"/>
  <c r="U34" i="67" s="1"/>
  <c r="V35" i="67"/>
  <c r="BI31" i="44"/>
  <c r="Q83" i="45" s="1"/>
  <c r="BF31" i="44"/>
  <c r="BA31" i="44"/>
  <c r="N83" i="45" s="1"/>
  <c r="AX31" i="44"/>
  <c r="AS31" i="44"/>
  <c r="AP31" i="44"/>
  <c r="U35" i="67" s="1"/>
  <c r="V36" i="67"/>
  <c r="BI32" i="44"/>
  <c r="BF32" i="44"/>
  <c r="O36" i="45" s="1"/>
  <c r="BA32" i="44"/>
  <c r="N84" i="45" s="1"/>
  <c r="AX32" i="44"/>
  <c r="AS32" i="44"/>
  <c r="AP32" i="44"/>
  <c r="U36" i="67" s="1"/>
  <c r="BI33" i="44"/>
  <c r="BF33" i="44"/>
  <c r="O37" i="45" s="1"/>
  <c r="BA33" i="44"/>
  <c r="N85" i="45" s="1"/>
  <c r="AX33" i="44"/>
  <c r="AS33" i="44"/>
  <c r="AP33" i="44"/>
  <c r="V38" i="67"/>
  <c r="BI34" i="44"/>
  <c r="BF34" i="44"/>
  <c r="O38" i="45" s="1"/>
  <c r="BA34" i="44"/>
  <c r="N86" i="45" s="1"/>
  <c r="AX34" i="44"/>
  <c r="AS34" i="44"/>
  <c r="AP34" i="44"/>
  <c r="U38" i="67" s="1"/>
  <c r="BI36" i="44"/>
  <c r="BF36" i="44"/>
  <c r="O40" i="45" s="1"/>
  <c r="BA36" i="44"/>
  <c r="N88" i="45" s="1"/>
  <c r="AX36" i="44"/>
  <c r="AS36" i="44"/>
  <c r="AP36" i="44"/>
  <c r="U40" i="67" s="1"/>
  <c r="V41" i="67"/>
  <c r="BF37" i="44"/>
  <c r="O41" i="45" s="1"/>
  <c r="BA37" i="44"/>
  <c r="N89" i="45" s="1"/>
  <c r="AX37" i="44"/>
  <c r="AS37" i="44"/>
  <c r="AP37" i="44"/>
  <c r="V42" i="67"/>
  <c r="BI38" i="44"/>
  <c r="BF38" i="44"/>
  <c r="O42" i="45" s="1"/>
  <c r="BA38" i="44"/>
  <c r="N90" i="45" s="1"/>
  <c r="AX38" i="44"/>
  <c r="AS38" i="44"/>
  <c r="AP38" i="44"/>
  <c r="BG39" i="44"/>
  <c r="O91" i="45" s="1"/>
  <c r="BD39" i="44"/>
  <c r="M43" i="45" s="1"/>
  <c r="AY39" i="44"/>
  <c r="AV39" i="44"/>
  <c r="K43" i="45" s="1"/>
  <c r="AQ39" i="44"/>
  <c r="U91" i="67" s="1"/>
  <c r="AN39" i="44"/>
  <c r="I43" i="45" s="1"/>
  <c r="BH40" i="44"/>
  <c r="BC40" i="44"/>
  <c r="P92" i="45" s="1"/>
  <c r="AZ40" i="44"/>
  <c r="N44" i="45" s="1"/>
  <c r="AU40" i="44"/>
  <c r="F92" i="45" s="1"/>
  <c r="AR40" i="44"/>
  <c r="BG41" i="44"/>
  <c r="O93" i="45" s="1"/>
  <c r="BD41" i="44"/>
  <c r="M45" i="45" s="1"/>
  <c r="AY41" i="44"/>
  <c r="AV41" i="44"/>
  <c r="K45" i="45" s="1"/>
  <c r="AQ41" i="44"/>
  <c r="AN41" i="44"/>
  <c r="I45" i="45" s="1"/>
  <c r="V46" i="67"/>
  <c r="BI42" i="44"/>
  <c r="Q94" i="45" s="1"/>
  <c r="BF42" i="44"/>
  <c r="O46" i="45" s="1"/>
  <c r="BA42" i="44"/>
  <c r="N94" i="45" s="1"/>
  <c r="AX42" i="44"/>
  <c r="AS42" i="44"/>
  <c r="AP42" i="44"/>
  <c r="BI43" i="44"/>
  <c r="BF43" i="44"/>
  <c r="O47" i="45" s="1"/>
  <c r="BA43" i="44"/>
  <c r="N95" i="45" s="1"/>
  <c r="AX43" i="44"/>
  <c r="AS43" i="44"/>
  <c r="AP43" i="44"/>
  <c r="V39" i="67"/>
  <c r="BH35" i="44"/>
  <c r="BE35" i="44"/>
  <c r="M87" i="45" s="1"/>
  <c r="BB35" i="44"/>
  <c r="P39" i="45" s="1"/>
  <c r="AW35" i="44"/>
  <c r="K87" i="45" s="1"/>
  <c r="AT35" i="44"/>
  <c r="F39" i="45" s="1"/>
  <c r="AO35" i="44"/>
  <c r="I87" i="45" s="1"/>
  <c r="D8" i="42"/>
  <c r="I12" i="41" s="1"/>
  <c r="E8" i="42"/>
  <c r="I60" i="41" s="1"/>
  <c r="D9" i="42"/>
  <c r="I13" i="41" s="1"/>
  <c r="E9" i="42"/>
  <c r="I61" i="41" s="1"/>
  <c r="D10" i="42"/>
  <c r="E10" i="42"/>
  <c r="I62" i="41" s="1"/>
  <c r="D12" i="42"/>
  <c r="E12" i="42"/>
  <c r="I64" i="41" s="1"/>
  <c r="D13" i="42"/>
  <c r="E13" i="42"/>
  <c r="I65" i="41" s="1"/>
  <c r="D14" i="42"/>
  <c r="E14" i="42"/>
  <c r="I66" i="41" s="1"/>
  <c r="D15" i="42"/>
  <c r="E15" i="42"/>
  <c r="I67" i="41" s="1"/>
  <c r="D16" i="42"/>
  <c r="E16" i="42"/>
  <c r="I68" i="41" s="1"/>
  <c r="D17" i="42"/>
  <c r="E17" i="42"/>
  <c r="I69" i="41" s="1"/>
  <c r="D18" i="42"/>
  <c r="E18" i="42"/>
  <c r="I70" i="41" s="1"/>
  <c r="D19" i="42"/>
  <c r="E19" i="42"/>
  <c r="I71" i="41" s="1"/>
  <c r="D20" i="42"/>
  <c r="E20" i="42"/>
  <c r="I72" i="41" s="1"/>
  <c r="D21" i="42"/>
  <c r="E21" i="42"/>
  <c r="I73" i="41" s="1"/>
  <c r="D22" i="42"/>
  <c r="E22" i="42"/>
  <c r="I74" i="41" s="1"/>
  <c r="D23" i="42"/>
  <c r="E23" i="42"/>
  <c r="I75" i="41" s="1"/>
  <c r="F8" i="42"/>
  <c r="K12" i="41" s="1"/>
  <c r="G8" i="42"/>
  <c r="K60" i="41" s="1"/>
  <c r="F9" i="42"/>
  <c r="K13" i="41" s="1"/>
  <c r="G9" i="42"/>
  <c r="K61" i="41" s="1"/>
  <c r="F10" i="42"/>
  <c r="K14" i="41" s="1"/>
  <c r="G10" i="42"/>
  <c r="K62" i="41" s="1"/>
  <c r="F12" i="42"/>
  <c r="K16" i="41" s="1"/>
  <c r="G12" i="42"/>
  <c r="K64" i="41" s="1"/>
  <c r="F13" i="42"/>
  <c r="K17" i="41" s="1"/>
  <c r="G13" i="42"/>
  <c r="K65" i="41" s="1"/>
  <c r="F14" i="42"/>
  <c r="K18" i="41" s="1"/>
  <c r="G14" i="42"/>
  <c r="K66" i="41" s="1"/>
  <c r="F15" i="42"/>
  <c r="K19" i="41" s="1"/>
  <c r="G15" i="42"/>
  <c r="K67" i="41" s="1"/>
  <c r="F16" i="42"/>
  <c r="K20" i="41" s="1"/>
  <c r="G16" i="42"/>
  <c r="K68" i="41" s="1"/>
  <c r="F17" i="42"/>
  <c r="K21" i="41" s="1"/>
  <c r="G17" i="42"/>
  <c r="K69" i="41" s="1"/>
  <c r="F18" i="42"/>
  <c r="K22" i="41" s="1"/>
  <c r="G18" i="42"/>
  <c r="K70" i="41" s="1"/>
  <c r="F19" i="42"/>
  <c r="K23" i="41" s="1"/>
  <c r="G19" i="42"/>
  <c r="K71" i="41" s="1"/>
  <c r="F20" i="42"/>
  <c r="K24" i="41" s="1"/>
  <c r="G20" i="42"/>
  <c r="K72" i="41" s="1"/>
  <c r="F21" i="42"/>
  <c r="K25" i="41" s="1"/>
  <c r="G21" i="42"/>
  <c r="K73" i="41" s="1"/>
  <c r="F22" i="42"/>
  <c r="K26" i="41" s="1"/>
  <c r="G22" i="42"/>
  <c r="K74" i="41" s="1"/>
  <c r="F23" i="42"/>
  <c r="K27" i="41" s="1"/>
  <c r="G23" i="42"/>
  <c r="K75" i="41" s="1"/>
  <c r="H8" i="42"/>
  <c r="I8" i="42"/>
  <c r="H9" i="42"/>
  <c r="I9" i="42"/>
  <c r="H10" i="42"/>
  <c r="I10" i="42"/>
  <c r="H12" i="42"/>
  <c r="I12" i="42"/>
  <c r="H13" i="42"/>
  <c r="I13" i="42"/>
  <c r="H14" i="42"/>
  <c r="I14" i="42"/>
  <c r="H15" i="42"/>
  <c r="I15" i="42"/>
  <c r="H16" i="42"/>
  <c r="I16" i="42"/>
  <c r="H17" i="42"/>
  <c r="I17" i="42"/>
  <c r="H18" i="42"/>
  <c r="I18" i="42"/>
  <c r="H19" i="42"/>
  <c r="I19" i="42"/>
  <c r="H20" i="42"/>
  <c r="I20" i="42"/>
  <c r="H21" i="42"/>
  <c r="I21" i="42"/>
  <c r="H22" i="42"/>
  <c r="I22" i="42"/>
  <c r="H23" i="42"/>
  <c r="I23" i="42"/>
  <c r="J8" i="42"/>
  <c r="K8" i="42"/>
  <c r="J9" i="42"/>
  <c r="K9" i="42"/>
  <c r="J10" i="42"/>
  <c r="K10" i="42"/>
  <c r="J12" i="42"/>
  <c r="K12" i="42"/>
  <c r="J13" i="42"/>
  <c r="K13" i="42"/>
  <c r="J14" i="42"/>
  <c r="K14" i="42"/>
  <c r="J15" i="42"/>
  <c r="K15" i="42"/>
  <c r="J16" i="42"/>
  <c r="K16" i="42"/>
  <c r="J17" i="42"/>
  <c r="K17" i="42"/>
  <c r="J18" i="42"/>
  <c r="K18" i="42"/>
  <c r="J19" i="42"/>
  <c r="K19" i="42"/>
  <c r="J20" i="42"/>
  <c r="K20" i="42"/>
  <c r="J21" i="42"/>
  <c r="K21" i="42"/>
  <c r="J22" i="42"/>
  <c r="K22" i="42"/>
  <c r="J23" i="42"/>
  <c r="K23" i="42"/>
  <c r="L8" i="42"/>
  <c r="L12" i="41" s="1"/>
  <c r="M8" i="42"/>
  <c r="L60" i="41" s="1"/>
  <c r="L9" i="42"/>
  <c r="L13" i="41" s="1"/>
  <c r="M9" i="42"/>
  <c r="L61" i="41" s="1"/>
  <c r="L10" i="42"/>
  <c r="L14" i="41" s="1"/>
  <c r="M10" i="42"/>
  <c r="L62" i="41" s="1"/>
  <c r="L12" i="42"/>
  <c r="L16" i="41" s="1"/>
  <c r="M12" i="42"/>
  <c r="L64" i="41" s="1"/>
  <c r="L13" i="42"/>
  <c r="L17" i="41" s="1"/>
  <c r="M13" i="42"/>
  <c r="L65" i="41" s="1"/>
  <c r="L14" i="42"/>
  <c r="L18" i="41" s="1"/>
  <c r="M14" i="42"/>
  <c r="L66" i="41" s="1"/>
  <c r="L15" i="42"/>
  <c r="L19" i="41" s="1"/>
  <c r="M15" i="42"/>
  <c r="L67" i="41" s="1"/>
  <c r="L16" i="42"/>
  <c r="L20" i="41" s="1"/>
  <c r="M16" i="42"/>
  <c r="L68" i="41" s="1"/>
  <c r="L17" i="42"/>
  <c r="L21" i="41" s="1"/>
  <c r="M17" i="42"/>
  <c r="L69" i="41" s="1"/>
  <c r="L18" i="42"/>
  <c r="L22" i="41" s="1"/>
  <c r="M18" i="42"/>
  <c r="L70" i="41" s="1"/>
  <c r="L19" i="42"/>
  <c r="L23" i="41" s="1"/>
  <c r="M19" i="42"/>
  <c r="L71" i="41" s="1"/>
  <c r="L20" i="42"/>
  <c r="L24" i="41" s="1"/>
  <c r="M20" i="42"/>
  <c r="L72" i="41" s="1"/>
  <c r="L21" i="42"/>
  <c r="L25" i="41" s="1"/>
  <c r="M21" i="42"/>
  <c r="L73" i="41" s="1"/>
  <c r="L22" i="42"/>
  <c r="L26" i="41" s="1"/>
  <c r="M22" i="42"/>
  <c r="L74" i="41" s="1"/>
  <c r="L23" i="42"/>
  <c r="L27" i="41" s="1"/>
  <c r="M23" i="42"/>
  <c r="L75" i="41" s="1"/>
  <c r="N8" i="42"/>
  <c r="O8" i="42"/>
  <c r="N9" i="42"/>
  <c r="O9" i="42"/>
  <c r="N10" i="42"/>
  <c r="O10" i="42"/>
  <c r="N12" i="42"/>
  <c r="O12" i="42"/>
  <c r="N13" i="42"/>
  <c r="O13" i="42"/>
  <c r="N14" i="42"/>
  <c r="O14" i="42"/>
  <c r="N15" i="42"/>
  <c r="O15" i="42"/>
  <c r="N16" i="42"/>
  <c r="O16" i="42"/>
  <c r="N17" i="42"/>
  <c r="O17" i="42"/>
  <c r="N18" i="42"/>
  <c r="O18" i="42"/>
  <c r="N19" i="42"/>
  <c r="O19" i="42"/>
  <c r="N20" i="42"/>
  <c r="O20" i="42"/>
  <c r="N21" i="42"/>
  <c r="O21" i="42"/>
  <c r="N22" i="42"/>
  <c r="O22" i="42"/>
  <c r="N23" i="42"/>
  <c r="O23" i="42"/>
  <c r="P8" i="42"/>
  <c r="F12" i="41" s="1"/>
  <c r="Q8" i="42"/>
  <c r="F60" i="41" s="1"/>
  <c r="P9" i="42"/>
  <c r="F13" i="41" s="1"/>
  <c r="Q9" i="42"/>
  <c r="F61" i="41" s="1"/>
  <c r="P10" i="42"/>
  <c r="F14" i="41" s="1"/>
  <c r="Q10" i="42"/>
  <c r="F62" i="41" s="1"/>
  <c r="P12" i="42"/>
  <c r="F16" i="41" s="1"/>
  <c r="Q12" i="42"/>
  <c r="F64" i="41" s="1"/>
  <c r="P13" i="42"/>
  <c r="F17" i="41" s="1"/>
  <c r="Q13" i="42"/>
  <c r="F65" i="41" s="1"/>
  <c r="P14" i="42"/>
  <c r="F18" i="41" s="1"/>
  <c r="Q14" i="42"/>
  <c r="F66" i="41" s="1"/>
  <c r="P15" i="42"/>
  <c r="F19" i="41" s="1"/>
  <c r="Q15" i="42"/>
  <c r="F67" i="41" s="1"/>
  <c r="P16" i="42"/>
  <c r="F20" i="41" s="1"/>
  <c r="Q16" i="42"/>
  <c r="F68" i="41" s="1"/>
  <c r="P17" i="42"/>
  <c r="F21" i="41" s="1"/>
  <c r="Q17" i="42"/>
  <c r="F69" i="41" s="1"/>
  <c r="P18" i="42"/>
  <c r="F22" i="41" s="1"/>
  <c r="Q18" i="42"/>
  <c r="F70" i="41" s="1"/>
  <c r="P19" i="42"/>
  <c r="F23" i="41" s="1"/>
  <c r="Q19" i="42"/>
  <c r="F71" i="41" s="1"/>
  <c r="P20" i="42"/>
  <c r="F24" i="41" s="1"/>
  <c r="Q20" i="42"/>
  <c r="F72" i="41" s="1"/>
  <c r="P21" i="42"/>
  <c r="F25" i="41" s="1"/>
  <c r="Q21" i="42"/>
  <c r="F73" i="41" s="1"/>
  <c r="P22" i="42"/>
  <c r="F26" i="41" s="1"/>
  <c r="Q22" i="42"/>
  <c r="F74" i="41" s="1"/>
  <c r="P23" i="42"/>
  <c r="F27" i="41" s="1"/>
  <c r="Q23" i="42"/>
  <c r="F75" i="41" s="1"/>
  <c r="R8" i="42"/>
  <c r="S8" i="42"/>
  <c r="R9" i="42"/>
  <c r="S9" i="42"/>
  <c r="R10" i="42"/>
  <c r="S10" i="42"/>
  <c r="R12" i="42"/>
  <c r="S12" i="42"/>
  <c r="R13" i="42"/>
  <c r="S13" i="42"/>
  <c r="R14" i="42"/>
  <c r="S14" i="42"/>
  <c r="R15" i="42"/>
  <c r="S15" i="42"/>
  <c r="R16" i="42"/>
  <c r="S16" i="42"/>
  <c r="R17" i="42"/>
  <c r="S17" i="42"/>
  <c r="R18" i="42"/>
  <c r="S18" i="42"/>
  <c r="R19" i="42"/>
  <c r="S19" i="42"/>
  <c r="R20" i="42"/>
  <c r="S20" i="42"/>
  <c r="R21" i="42"/>
  <c r="S21" i="42"/>
  <c r="R22" i="42"/>
  <c r="S22" i="42"/>
  <c r="R23" i="42"/>
  <c r="S23" i="42"/>
  <c r="T8" i="42"/>
  <c r="U8" i="42"/>
  <c r="T9" i="42"/>
  <c r="U9" i="42"/>
  <c r="T10" i="42"/>
  <c r="U10" i="42"/>
  <c r="T12" i="42"/>
  <c r="U12" i="42"/>
  <c r="T13" i="42"/>
  <c r="U13" i="42"/>
  <c r="T14" i="42"/>
  <c r="U14" i="42"/>
  <c r="T15" i="42"/>
  <c r="U15" i="42"/>
  <c r="T16" i="42"/>
  <c r="U16" i="42"/>
  <c r="T17" i="42"/>
  <c r="U17" i="42"/>
  <c r="T18" i="42"/>
  <c r="U18" i="42"/>
  <c r="T19" i="42"/>
  <c r="U19" i="42"/>
  <c r="T20" i="42"/>
  <c r="U20" i="42"/>
  <c r="T21" i="42"/>
  <c r="U21" i="42"/>
  <c r="T22" i="42"/>
  <c r="U22" i="42"/>
  <c r="T23" i="42"/>
  <c r="U23" i="42"/>
  <c r="V8" i="42"/>
  <c r="W8" i="42"/>
  <c r="V9" i="42"/>
  <c r="W9" i="42"/>
  <c r="V10" i="42"/>
  <c r="W10" i="42"/>
  <c r="V12" i="42"/>
  <c r="W12" i="42"/>
  <c r="V13" i="42"/>
  <c r="W13" i="42"/>
  <c r="V14" i="42"/>
  <c r="W14" i="42"/>
  <c r="V15" i="42"/>
  <c r="W15" i="42"/>
  <c r="V16" i="42"/>
  <c r="W16" i="42"/>
  <c r="V17" i="42"/>
  <c r="W17" i="42"/>
  <c r="V18" i="42"/>
  <c r="W18" i="42"/>
  <c r="V19" i="42"/>
  <c r="W19" i="42"/>
  <c r="V20" i="42"/>
  <c r="W20" i="42"/>
  <c r="V21" i="42"/>
  <c r="W21" i="42"/>
  <c r="V22" i="42"/>
  <c r="W22" i="42"/>
  <c r="V23" i="42"/>
  <c r="W23" i="42"/>
  <c r="X8" i="42"/>
  <c r="Y8" i="42"/>
  <c r="X9" i="42"/>
  <c r="Y9" i="42"/>
  <c r="X10" i="42"/>
  <c r="Y10" i="42"/>
  <c r="X12" i="42"/>
  <c r="Y12" i="42"/>
  <c r="X13" i="42"/>
  <c r="Y13" i="42"/>
  <c r="X14" i="42"/>
  <c r="Y14" i="42"/>
  <c r="X15" i="42"/>
  <c r="Y15" i="42"/>
  <c r="X16" i="42"/>
  <c r="Y16" i="42"/>
  <c r="X17" i="42"/>
  <c r="Y17" i="42"/>
  <c r="X18" i="42"/>
  <c r="Y18" i="42"/>
  <c r="X19" i="42"/>
  <c r="Y19" i="42"/>
  <c r="X20" i="42"/>
  <c r="Y20" i="42"/>
  <c r="X21" i="42"/>
  <c r="Y21" i="42"/>
  <c r="X22" i="42"/>
  <c r="Y22" i="42"/>
  <c r="X23" i="42"/>
  <c r="Y23" i="42"/>
  <c r="Z8" i="42"/>
  <c r="AA8" i="42"/>
  <c r="Z9" i="42"/>
  <c r="AA9" i="42"/>
  <c r="Z10" i="42"/>
  <c r="AA10" i="42"/>
  <c r="Z12" i="42"/>
  <c r="AA12" i="42"/>
  <c r="Z13" i="42"/>
  <c r="AA13" i="42"/>
  <c r="Z14" i="42"/>
  <c r="AA14" i="42"/>
  <c r="Z15" i="42"/>
  <c r="AA15" i="42"/>
  <c r="Z16" i="42"/>
  <c r="AA16" i="42"/>
  <c r="Z17" i="42"/>
  <c r="AA17" i="42"/>
  <c r="Z18" i="42"/>
  <c r="AA18" i="42"/>
  <c r="Z19" i="42"/>
  <c r="AA19" i="42"/>
  <c r="Z20" i="42"/>
  <c r="AA20" i="42"/>
  <c r="Z21" i="42"/>
  <c r="AA21" i="42"/>
  <c r="Z22" i="42"/>
  <c r="AA22" i="42"/>
  <c r="Z23" i="42"/>
  <c r="AA23" i="42"/>
  <c r="AB8" i="42"/>
  <c r="AC8" i="42"/>
  <c r="AB9" i="42"/>
  <c r="AC9" i="42"/>
  <c r="AB10" i="42"/>
  <c r="AC10" i="42"/>
  <c r="AB12" i="42"/>
  <c r="AC12" i="42"/>
  <c r="AB13" i="42"/>
  <c r="AC13" i="42"/>
  <c r="AB14" i="42"/>
  <c r="AC14" i="42"/>
  <c r="AB15" i="42"/>
  <c r="AC15" i="42"/>
  <c r="AB16" i="42"/>
  <c r="AC16" i="42"/>
  <c r="AB17" i="42"/>
  <c r="AC17" i="42"/>
  <c r="AB18" i="42"/>
  <c r="AC18" i="42"/>
  <c r="AB19" i="42"/>
  <c r="AC19" i="42"/>
  <c r="AB20" i="42"/>
  <c r="AC20" i="42"/>
  <c r="AB21" i="42"/>
  <c r="AC21" i="42"/>
  <c r="AB22" i="42"/>
  <c r="AC22" i="42"/>
  <c r="AB23" i="42"/>
  <c r="AC23" i="42"/>
  <c r="AD8" i="42"/>
  <c r="J12" i="41" s="1"/>
  <c r="AE8" i="42"/>
  <c r="J60" i="41" s="1"/>
  <c r="AD9" i="42"/>
  <c r="J13" i="41" s="1"/>
  <c r="AE9" i="42"/>
  <c r="J61" i="41" s="1"/>
  <c r="AD10" i="42"/>
  <c r="J14" i="41" s="1"/>
  <c r="AE10" i="42"/>
  <c r="J62" i="41" s="1"/>
  <c r="AD12" i="42"/>
  <c r="J16" i="41" s="1"/>
  <c r="AE12" i="42"/>
  <c r="J64" i="41" s="1"/>
  <c r="AD13" i="42"/>
  <c r="J17" i="41" s="1"/>
  <c r="AE13" i="42"/>
  <c r="J65" i="41" s="1"/>
  <c r="AD14" i="42"/>
  <c r="J18" i="41" s="1"/>
  <c r="AE14" i="42"/>
  <c r="J66" i="41" s="1"/>
  <c r="AD15" i="42"/>
  <c r="J19" i="41" s="1"/>
  <c r="AE15" i="42"/>
  <c r="J67" i="41" s="1"/>
  <c r="AD16" i="42"/>
  <c r="J20" i="41" s="1"/>
  <c r="AE16" i="42"/>
  <c r="J68" i="41" s="1"/>
  <c r="AD17" i="42"/>
  <c r="J21" i="41" s="1"/>
  <c r="AE17" i="42"/>
  <c r="J69" i="41" s="1"/>
  <c r="AD18" i="42"/>
  <c r="J22" i="41" s="1"/>
  <c r="AE18" i="42"/>
  <c r="J70" i="41" s="1"/>
  <c r="AD19" i="42"/>
  <c r="J23" i="41" s="1"/>
  <c r="AE19" i="42"/>
  <c r="J71" i="41" s="1"/>
  <c r="AD20" i="42"/>
  <c r="J24" i="41" s="1"/>
  <c r="AE20" i="42"/>
  <c r="J72" i="41" s="1"/>
  <c r="AD21" i="42"/>
  <c r="J25" i="41" s="1"/>
  <c r="AE21" i="42"/>
  <c r="J73" i="41" s="1"/>
  <c r="AD22" i="42"/>
  <c r="J26" i="41" s="1"/>
  <c r="AE22" i="42"/>
  <c r="J74" i="41" s="1"/>
  <c r="AD23" i="42"/>
  <c r="J27" i="41" s="1"/>
  <c r="AE23" i="42"/>
  <c r="J75" i="41" s="1"/>
  <c r="AF8" i="42"/>
  <c r="AG8" i="42"/>
  <c r="AF9" i="42"/>
  <c r="AG9" i="42"/>
  <c r="AF10" i="42"/>
  <c r="AG10" i="42"/>
  <c r="AF12" i="42"/>
  <c r="AG12" i="42"/>
  <c r="AF13" i="42"/>
  <c r="AG13" i="42"/>
  <c r="AF14" i="42"/>
  <c r="AG14" i="42"/>
  <c r="AF15" i="42"/>
  <c r="AG15" i="42"/>
  <c r="AF16" i="42"/>
  <c r="AG16" i="42"/>
  <c r="AF17" i="42"/>
  <c r="AG17" i="42"/>
  <c r="AF18" i="42"/>
  <c r="AG18" i="42"/>
  <c r="AF19" i="42"/>
  <c r="AG19" i="42"/>
  <c r="AF20" i="42"/>
  <c r="AG20" i="42"/>
  <c r="AF21" i="42"/>
  <c r="AG21" i="42"/>
  <c r="AF22" i="42"/>
  <c r="AG22" i="42"/>
  <c r="AF23" i="42"/>
  <c r="AG23" i="42"/>
  <c r="AH8" i="42"/>
  <c r="AI8" i="42"/>
  <c r="AH9" i="42"/>
  <c r="AI9" i="42"/>
  <c r="AH10" i="42"/>
  <c r="AI10" i="42"/>
  <c r="AH12" i="42"/>
  <c r="AI12" i="42"/>
  <c r="AH13" i="42"/>
  <c r="AI13" i="42"/>
  <c r="AH14" i="42"/>
  <c r="AI14" i="42"/>
  <c r="AH15" i="42"/>
  <c r="AI15" i="42"/>
  <c r="AH16" i="42"/>
  <c r="AI16" i="42"/>
  <c r="AH17" i="42"/>
  <c r="AI17" i="42"/>
  <c r="AH18" i="42"/>
  <c r="AI18" i="42"/>
  <c r="AH19" i="42"/>
  <c r="AI19" i="42"/>
  <c r="AH20" i="42"/>
  <c r="AI20" i="42"/>
  <c r="AH21" i="42"/>
  <c r="AI21" i="42"/>
  <c r="AH22" i="42"/>
  <c r="AI22" i="42"/>
  <c r="AH23" i="42"/>
  <c r="AI23" i="42"/>
  <c r="AJ8" i="42"/>
  <c r="C12" i="41" s="1"/>
  <c r="AK8" i="42"/>
  <c r="C60" i="41" s="1"/>
  <c r="AJ9" i="42"/>
  <c r="C13" i="41" s="1"/>
  <c r="AK9" i="42"/>
  <c r="C61" i="41" s="1"/>
  <c r="AJ10" i="42"/>
  <c r="C14" i="41" s="1"/>
  <c r="AK10" i="42"/>
  <c r="C62" i="41" s="1"/>
  <c r="AJ12" i="42"/>
  <c r="C16" i="41" s="1"/>
  <c r="AK12" i="42"/>
  <c r="C64" i="41" s="1"/>
  <c r="AJ13" i="42"/>
  <c r="C17" i="41" s="1"/>
  <c r="AK13" i="42"/>
  <c r="C65" i="41" s="1"/>
  <c r="AJ14" i="42"/>
  <c r="C18" i="41" s="1"/>
  <c r="AK14" i="42"/>
  <c r="C66" i="41" s="1"/>
  <c r="AJ15" i="42"/>
  <c r="C19" i="41" s="1"/>
  <c r="AK15" i="42"/>
  <c r="C67" i="41" s="1"/>
  <c r="AJ16" i="42"/>
  <c r="C20" i="41" s="1"/>
  <c r="AK16" i="42"/>
  <c r="C68" i="41" s="1"/>
  <c r="AJ17" i="42"/>
  <c r="C21" i="41" s="1"/>
  <c r="AK17" i="42"/>
  <c r="C69" i="41" s="1"/>
  <c r="AJ18" i="42"/>
  <c r="C22" i="41" s="1"/>
  <c r="AK18" i="42"/>
  <c r="C70" i="41" s="1"/>
  <c r="AJ19" i="42"/>
  <c r="C23" i="41" s="1"/>
  <c r="AK19" i="42"/>
  <c r="C71" i="41" s="1"/>
  <c r="AJ20" i="42"/>
  <c r="C24" i="41" s="1"/>
  <c r="AK20" i="42"/>
  <c r="C72" i="41" s="1"/>
  <c r="AJ21" i="42"/>
  <c r="C25" i="41" s="1"/>
  <c r="AK21" i="42"/>
  <c r="C73" i="41" s="1"/>
  <c r="AJ22" i="42"/>
  <c r="C26" i="41" s="1"/>
  <c r="AK22" i="42"/>
  <c r="C74" i="41" s="1"/>
  <c r="AJ23" i="42"/>
  <c r="C27" i="41" s="1"/>
  <c r="AK23" i="42"/>
  <c r="C75" i="41" s="1"/>
  <c r="AL8" i="42"/>
  <c r="E12" i="41" s="1"/>
  <c r="AM8" i="42"/>
  <c r="E60" i="41" s="1"/>
  <c r="AL9" i="42"/>
  <c r="E13" i="41" s="1"/>
  <c r="AM9" i="42"/>
  <c r="E61" i="41" s="1"/>
  <c r="AL10" i="42"/>
  <c r="E14" i="41" s="1"/>
  <c r="AM10" i="42"/>
  <c r="E62" i="41" s="1"/>
  <c r="AL12" i="42"/>
  <c r="E16" i="41" s="1"/>
  <c r="AM12" i="42"/>
  <c r="E64" i="41" s="1"/>
  <c r="AL13" i="42"/>
  <c r="E17" i="41" s="1"/>
  <c r="AM13" i="42"/>
  <c r="E65" i="41" s="1"/>
  <c r="AL14" i="42"/>
  <c r="E18" i="41" s="1"/>
  <c r="AM14" i="42"/>
  <c r="E66" i="41" s="1"/>
  <c r="AL15" i="42"/>
  <c r="E19" i="41" s="1"/>
  <c r="AM15" i="42"/>
  <c r="E67" i="41" s="1"/>
  <c r="AL16" i="42"/>
  <c r="E20" i="41" s="1"/>
  <c r="AM16" i="42"/>
  <c r="E68" i="41" s="1"/>
  <c r="AL17" i="42"/>
  <c r="E21" i="41" s="1"/>
  <c r="AM17" i="42"/>
  <c r="E69" i="41" s="1"/>
  <c r="AL18" i="42"/>
  <c r="E22" i="41" s="1"/>
  <c r="AM18" i="42"/>
  <c r="E70" i="41" s="1"/>
  <c r="AL19" i="42"/>
  <c r="E23" i="41" s="1"/>
  <c r="AM19" i="42"/>
  <c r="E71" i="41" s="1"/>
  <c r="AL20" i="42"/>
  <c r="E24" i="41" s="1"/>
  <c r="AM20" i="42"/>
  <c r="E72" i="41" s="1"/>
  <c r="AL21" i="42"/>
  <c r="E25" i="41" s="1"/>
  <c r="AM21" i="42"/>
  <c r="E73" i="41" s="1"/>
  <c r="AL22" i="42"/>
  <c r="E26" i="41" s="1"/>
  <c r="AM22" i="42"/>
  <c r="E74" i="41" s="1"/>
  <c r="AL23" i="42"/>
  <c r="E27" i="41" s="1"/>
  <c r="AM23" i="42"/>
  <c r="E75" i="41" s="1"/>
  <c r="AN8" i="42"/>
  <c r="D12" i="41" s="1"/>
  <c r="AO8" i="42"/>
  <c r="D60" i="41" s="1"/>
  <c r="AN9" i="42"/>
  <c r="D13" i="41" s="1"/>
  <c r="AO9" i="42"/>
  <c r="D61" i="41" s="1"/>
  <c r="AN10" i="42"/>
  <c r="D14" i="41" s="1"/>
  <c r="AO10" i="42"/>
  <c r="D62" i="41" s="1"/>
  <c r="AN12" i="42"/>
  <c r="D16" i="41" s="1"/>
  <c r="AO12" i="42"/>
  <c r="D64" i="41" s="1"/>
  <c r="AN13" i="42"/>
  <c r="D17" i="41" s="1"/>
  <c r="AO13" i="42"/>
  <c r="D65" i="41" s="1"/>
  <c r="AN14" i="42"/>
  <c r="D18" i="41" s="1"/>
  <c r="AO14" i="42"/>
  <c r="D66" i="41" s="1"/>
  <c r="AN15" i="42"/>
  <c r="D19" i="41" s="1"/>
  <c r="AO15" i="42"/>
  <c r="D67" i="41" s="1"/>
  <c r="AN16" i="42"/>
  <c r="D20" i="41" s="1"/>
  <c r="AO16" i="42"/>
  <c r="D68" i="41" s="1"/>
  <c r="AN17" i="42"/>
  <c r="D21" i="41" s="1"/>
  <c r="AO17" i="42"/>
  <c r="D69" i="41" s="1"/>
  <c r="AN18" i="42"/>
  <c r="D22" i="41" s="1"/>
  <c r="AO18" i="42"/>
  <c r="D70" i="41" s="1"/>
  <c r="AN19" i="42"/>
  <c r="D23" i="41" s="1"/>
  <c r="AO19" i="42"/>
  <c r="D71" i="41" s="1"/>
  <c r="AN20" i="42"/>
  <c r="D24" i="41" s="1"/>
  <c r="AO20" i="42"/>
  <c r="D72" i="41" s="1"/>
  <c r="AN21" i="42"/>
  <c r="D25" i="41" s="1"/>
  <c r="AO21" i="42"/>
  <c r="D73" i="41" s="1"/>
  <c r="AN22" i="42"/>
  <c r="D26" i="41" s="1"/>
  <c r="AO22" i="42"/>
  <c r="D74" i="41" s="1"/>
  <c r="AN23" i="42"/>
  <c r="D27" i="41" s="1"/>
  <c r="AO23" i="42"/>
  <c r="D75" i="41" s="1"/>
  <c r="AP8" i="42"/>
  <c r="H12" i="41" s="1"/>
  <c r="AQ8" i="42"/>
  <c r="H60" i="41" s="1"/>
  <c r="AP9" i="42"/>
  <c r="H13" i="41" s="1"/>
  <c r="AQ9" i="42"/>
  <c r="H61" i="41" s="1"/>
  <c r="AP10" i="42"/>
  <c r="H14" i="41" s="1"/>
  <c r="AQ10" i="42"/>
  <c r="H62" i="41" s="1"/>
  <c r="AP12" i="42"/>
  <c r="H16" i="41" s="1"/>
  <c r="AQ12" i="42"/>
  <c r="H64" i="41" s="1"/>
  <c r="AP13" i="42"/>
  <c r="H17" i="41" s="1"/>
  <c r="AQ13" i="42"/>
  <c r="H65" i="41" s="1"/>
  <c r="AP14" i="42"/>
  <c r="H18" i="41" s="1"/>
  <c r="AQ14" i="42"/>
  <c r="H66" i="41" s="1"/>
  <c r="AP15" i="42"/>
  <c r="H19" i="41" s="1"/>
  <c r="AQ15" i="42"/>
  <c r="H67" i="41" s="1"/>
  <c r="AP16" i="42"/>
  <c r="H20" i="41" s="1"/>
  <c r="AQ16" i="42"/>
  <c r="H68" i="41" s="1"/>
  <c r="AP17" i="42"/>
  <c r="H21" i="41" s="1"/>
  <c r="AQ17" i="42"/>
  <c r="H69" i="41" s="1"/>
  <c r="AP18" i="42"/>
  <c r="H22" i="41" s="1"/>
  <c r="AQ18" i="42"/>
  <c r="H70" i="41" s="1"/>
  <c r="AP19" i="42"/>
  <c r="H23" i="41" s="1"/>
  <c r="AQ19" i="42"/>
  <c r="H71" i="41" s="1"/>
  <c r="AP20" i="42"/>
  <c r="H24" i="41" s="1"/>
  <c r="AQ20" i="42"/>
  <c r="H72" i="41" s="1"/>
  <c r="AP21" i="42"/>
  <c r="H25" i="41" s="1"/>
  <c r="AQ21" i="42"/>
  <c r="H73" i="41" s="1"/>
  <c r="AP22" i="42"/>
  <c r="H26" i="41" s="1"/>
  <c r="AQ22" i="42"/>
  <c r="H74" i="41" s="1"/>
  <c r="AP23" i="42"/>
  <c r="H27" i="41" s="1"/>
  <c r="AQ23" i="42"/>
  <c r="H75" i="41" s="1"/>
  <c r="AR8" i="42"/>
  <c r="AS8" i="42"/>
  <c r="AR9" i="42"/>
  <c r="AS9" i="42"/>
  <c r="AR10" i="42"/>
  <c r="AS10" i="42"/>
  <c r="AR12" i="42"/>
  <c r="AS12" i="42"/>
  <c r="AR13" i="42"/>
  <c r="AS13" i="42"/>
  <c r="AR14" i="42"/>
  <c r="AS14" i="42"/>
  <c r="AR15" i="42"/>
  <c r="AS15" i="42"/>
  <c r="AR16" i="42"/>
  <c r="AS16" i="42"/>
  <c r="AR17" i="42"/>
  <c r="AS17" i="42"/>
  <c r="AR18" i="42"/>
  <c r="AS18" i="42"/>
  <c r="AR19" i="42"/>
  <c r="AS19" i="42"/>
  <c r="AR20" i="42"/>
  <c r="AS20" i="42"/>
  <c r="AR21" i="42"/>
  <c r="AS21" i="42"/>
  <c r="AR22" i="42"/>
  <c r="AS22" i="42"/>
  <c r="AR23" i="42"/>
  <c r="AS23" i="42"/>
  <c r="AT8" i="42"/>
  <c r="G12" i="41" s="1"/>
  <c r="AU8" i="42"/>
  <c r="G60" i="41" s="1"/>
  <c r="AT9" i="42"/>
  <c r="G13" i="41" s="1"/>
  <c r="AU9" i="42"/>
  <c r="G61" i="41" s="1"/>
  <c r="AT10" i="42"/>
  <c r="G14" i="41" s="1"/>
  <c r="AU10" i="42"/>
  <c r="G62" i="41" s="1"/>
  <c r="AT12" i="42"/>
  <c r="G16" i="41" s="1"/>
  <c r="AU12" i="42"/>
  <c r="G64" i="41" s="1"/>
  <c r="AT13" i="42"/>
  <c r="G17" i="41" s="1"/>
  <c r="AU13" i="42"/>
  <c r="G65" i="41" s="1"/>
  <c r="AT14" i="42"/>
  <c r="G18" i="41" s="1"/>
  <c r="AU14" i="42"/>
  <c r="G66" i="41" s="1"/>
  <c r="AT15" i="42"/>
  <c r="G19" i="41" s="1"/>
  <c r="AU15" i="42"/>
  <c r="G67" i="41" s="1"/>
  <c r="AT16" i="42"/>
  <c r="G20" i="41" s="1"/>
  <c r="AU16" i="42"/>
  <c r="G68" i="41" s="1"/>
  <c r="AT17" i="42"/>
  <c r="G21" i="41" s="1"/>
  <c r="AU17" i="42"/>
  <c r="G69" i="41" s="1"/>
  <c r="AT18" i="42"/>
  <c r="G22" i="41" s="1"/>
  <c r="AU18" i="42"/>
  <c r="G70" i="41" s="1"/>
  <c r="AT19" i="42"/>
  <c r="G23" i="41" s="1"/>
  <c r="AU19" i="42"/>
  <c r="G71" i="41" s="1"/>
  <c r="AT20" i="42"/>
  <c r="G24" i="41" s="1"/>
  <c r="AU20" i="42"/>
  <c r="G72" i="41" s="1"/>
  <c r="AT21" i="42"/>
  <c r="G25" i="41" s="1"/>
  <c r="AU21" i="42"/>
  <c r="G73" i="41" s="1"/>
  <c r="AT22" i="42"/>
  <c r="G26" i="41" s="1"/>
  <c r="AU22" i="42"/>
  <c r="G74" i="41" s="1"/>
  <c r="AT23" i="42"/>
  <c r="G27" i="41" s="1"/>
  <c r="AU23" i="42"/>
  <c r="G75" i="41" s="1"/>
  <c r="AV8" i="42"/>
  <c r="AW8" i="42"/>
  <c r="AV9" i="42"/>
  <c r="AW9" i="42"/>
  <c r="AV10" i="42"/>
  <c r="AW10" i="42"/>
  <c r="AV12" i="42"/>
  <c r="AW12" i="42"/>
  <c r="AV13" i="42"/>
  <c r="AW13" i="42"/>
  <c r="AV14" i="42"/>
  <c r="AW14" i="42"/>
  <c r="AV15" i="42"/>
  <c r="AW15" i="42"/>
  <c r="AV16" i="42"/>
  <c r="AW16" i="42"/>
  <c r="AV17" i="42"/>
  <c r="AW17" i="42"/>
  <c r="AV18" i="42"/>
  <c r="AW18" i="42"/>
  <c r="AV19" i="42"/>
  <c r="AW19" i="42"/>
  <c r="AV20" i="42"/>
  <c r="AW20" i="42"/>
  <c r="AV21" i="42"/>
  <c r="AW21" i="42"/>
  <c r="AV22" i="42"/>
  <c r="AW22" i="42"/>
  <c r="AV23" i="42"/>
  <c r="AW23" i="42"/>
  <c r="AX8" i="42"/>
  <c r="AY8" i="42"/>
  <c r="AX9" i="42"/>
  <c r="AY9" i="42"/>
  <c r="AX10" i="42"/>
  <c r="AY10" i="42"/>
  <c r="AX12" i="42"/>
  <c r="AY12" i="42"/>
  <c r="AX13" i="42"/>
  <c r="AY13" i="42"/>
  <c r="AX14" i="42"/>
  <c r="AY14" i="42"/>
  <c r="AX15" i="42"/>
  <c r="AY15" i="42"/>
  <c r="AX16" i="42"/>
  <c r="AY16" i="42"/>
  <c r="AX17" i="42"/>
  <c r="AY17" i="42"/>
  <c r="AX18" i="42"/>
  <c r="AY18" i="42"/>
  <c r="AX19" i="42"/>
  <c r="AY19" i="42"/>
  <c r="AX20" i="42"/>
  <c r="AY20" i="42"/>
  <c r="AX21" i="42"/>
  <c r="AY21" i="42"/>
  <c r="AX22" i="42"/>
  <c r="AY22" i="42"/>
  <c r="AX23" i="42"/>
  <c r="AY23" i="42"/>
  <c r="AZ8" i="42"/>
  <c r="BA8" i="42"/>
  <c r="AZ9" i="42"/>
  <c r="BA9" i="42"/>
  <c r="AZ10" i="42"/>
  <c r="BA10" i="42"/>
  <c r="AZ12" i="42"/>
  <c r="BA12" i="42"/>
  <c r="AZ13" i="42"/>
  <c r="BA13" i="42"/>
  <c r="AZ14" i="42"/>
  <c r="BA14" i="42"/>
  <c r="AZ15" i="42"/>
  <c r="BA15" i="42"/>
  <c r="AZ16" i="42"/>
  <c r="BA16" i="42"/>
  <c r="AZ17" i="42"/>
  <c r="BA17" i="42"/>
  <c r="AZ18" i="42"/>
  <c r="BA18" i="42"/>
  <c r="AZ19" i="42"/>
  <c r="BA19" i="42"/>
  <c r="AZ20" i="42"/>
  <c r="BA20" i="42"/>
  <c r="AZ21" i="42"/>
  <c r="BA21" i="42"/>
  <c r="AZ22" i="42"/>
  <c r="BA22" i="42"/>
  <c r="AZ23" i="42"/>
  <c r="BA23" i="42"/>
  <c r="BB8" i="42"/>
  <c r="BC8" i="42"/>
  <c r="BB9" i="42"/>
  <c r="BC9" i="42"/>
  <c r="BB10" i="42"/>
  <c r="BC10" i="42"/>
  <c r="BB12" i="42"/>
  <c r="BC12" i="42"/>
  <c r="BB13" i="42"/>
  <c r="BC13" i="42"/>
  <c r="BB14" i="42"/>
  <c r="BC14" i="42"/>
  <c r="BB15" i="42"/>
  <c r="BC15" i="42"/>
  <c r="BB16" i="42"/>
  <c r="BC16" i="42"/>
  <c r="BB17" i="42"/>
  <c r="BC17" i="42"/>
  <c r="BB18" i="42"/>
  <c r="BC18" i="42"/>
  <c r="BB19" i="42"/>
  <c r="BC19" i="42"/>
  <c r="BB20" i="42"/>
  <c r="BC20" i="42"/>
  <c r="BB21" i="42"/>
  <c r="BC21" i="42"/>
  <c r="BB22" i="42"/>
  <c r="BC22" i="42"/>
  <c r="BB23" i="42"/>
  <c r="BC23" i="42"/>
  <c r="BD8" i="42"/>
  <c r="BE8" i="42"/>
  <c r="BD9" i="42"/>
  <c r="BE9" i="42"/>
  <c r="BD10" i="42"/>
  <c r="BE10" i="42"/>
  <c r="BD12" i="42"/>
  <c r="BE12" i="42"/>
  <c r="BD13" i="42"/>
  <c r="BE13" i="42"/>
  <c r="BD14" i="42"/>
  <c r="BE14" i="42"/>
  <c r="BD15" i="42"/>
  <c r="BE15" i="42"/>
  <c r="BD16" i="42"/>
  <c r="BE16" i="42"/>
  <c r="BD17" i="42"/>
  <c r="BE17" i="42"/>
  <c r="BD18" i="42"/>
  <c r="BE18" i="42"/>
  <c r="BD19" i="42"/>
  <c r="BE19" i="42"/>
  <c r="BD20" i="42"/>
  <c r="BE20" i="42"/>
  <c r="BD21" i="42"/>
  <c r="BE21" i="42"/>
  <c r="BD22" i="42"/>
  <c r="BE22" i="42"/>
  <c r="BD23" i="42"/>
  <c r="BE23" i="42"/>
  <c r="D7" i="42"/>
  <c r="E7" i="42"/>
  <c r="I59" i="41" s="1"/>
  <c r="F7" i="42"/>
  <c r="K11" i="41" s="1"/>
  <c r="G7" i="42"/>
  <c r="K59" i="41" s="1"/>
  <c r="H7" i="42"/>
  <c r="I7" i="42"/>
  <c r="J7" i="42"/>
  <c r="K7" i="42"/>
  <c r="L7" i="42"/>
  <c r="L11" i="41" s="1"/>
  <c r="M7" i="42"/>
  <c r="L59" i="41" s="1"/>
  <c r="N7" i="42"/>
  <c r="O7" i="42"/>
  <c r="P7" i="42"/>
  <c r="F11" i="41" s="1"/>
  <c r="Q7" i="42"/>
  <c r="F59" i="41" s="1"/>
  <c r="R7" i="42"/>
  <c r="S7" i="42"/>
  <c r="T7" i="42"/>
  <c r="U7" i="42"/>
  <c r="V7" i="42"/>
  <c r="W7" i="42"/>
  <c r="X7" i="42"/>
  <c r="Y7" i="42"/>
  <c r="Z7" i="42"/>
  <c r="AA7" i="42"/>
  <c r="AB7" i="42"/>
  <c r="AC7" i="42"/>
  <c r="AD7" i="42"/>
  <c r="J11" i="41" s="1"/>
  <c r="AE7" i="42"/>
  <c r="J59" i="41" s="1"/>
  <c r="AF7" i="42"/>
  <c r="AG7" i="42"/>
  <c r="AH7" i="42"/>
  <c r="AI7" i="42"/>
  <c r="AJ7" i="42"/>
  <c r="C11" i="41" s="1"/>
  <c r="AK7" i="42"/>
  <c r="C59" i="41" s="1"/>
  <c r="AL7" i="42"/>
  <c r="E11" i="41" s="1"/>
  <c r="AM7" i="42"/>
  <c r="E59" i="41" s="1"/>
  <c r="AN7" i="42"/>
  <c r="D11" i="41" s="1"/>
  <c r="AO7" i="42"/>
  <c r="D59" i="41" s="1"/>
  <c r="AP7" i="42"/>
  <c r="H11" i="41" s="1"/>
  <c r="AQ7" i="42"/>
  <c r="H59" i="41" s="1"/>
  <c r="AR7" i="42"/>
  <c r="AS7" i="42"/>
  <c r="AT7" i="42"/>
  <c r="G11" i="41" s="1"/>
  <c r="AU7" i="42"/>
  <c r="G59" i="41" s="1"/>
  <c r="AV7" i="42"/>
  <c r="AW7" i="42"/>
  <c r="AX7" i="42"/>
  <c r="AY7" i="42"/>
  <c r="AZ7" i="42"/>
  <c r="BA7" i="42"/>
  <c r="BB7" i="42"/>
  <c r="BC7" i="42"/>
  <c r="BD7" i="42"/>
  <c r="BE7" i="42"/>
  <c r="C485" i="2"/>
  <c r="B485" i="2"/>
  <c r="B65" i="56" l="1"/>
  <c r="D86" i="52"/>
  <c r="B70" i="41"/>
  <c r="B75" i="41"/>
  <c r="B69" i="41"/>
  <c r="B62" i="41"/>
  <c r="B64" i="41"/>
  <c r="B59" i="41"/>
  <c r="B74" i="41"/>
  <c r="B73" i="41"/>
  <c r="B12" i="41"/>
  <c r="B92" i="56"/>
  <c r="B68" i="41"/>
  <c r="B13" i="41"/>
  <c r="B67" i="41"/>
  <c r="B72" i="41"/>
  <c r="B66" i="41"/>
  <c r="B60" i="41"/>
  <c r="B61" i="41"/>
  <c r="B71" i="41"/>
  <c r="B65" i="41"/>
  <c r="B47" i="56"/>
  <c r="B61" i="56"/>
  <c r="B96" i="56"/>
  <c r="B86" i="56"/>
  <c r="C20" i="42"/>
  <c r="I24" i="41"/>
  <c r="B24" i="41" s="1"/>
  <c r="B20" i="42"/>
  <c r="I18" i="41"/>
  <c r="B18" i="41" s="1"/>
  <c r="B14" i="42"/>
  <c r="B94" i="56"/>
  <c r="C14" i="42"/>
  <c r="C19" i="42"/>
  <c r="C13" i="42"/>
  <c r="B19" i="42"/>
  <c r="I23" i="41"/>
  <c r="B23" i="41" s="1"/>
  <c r="I17" i="41"/>
  <c r="B17" i="41" s="1"/>
  <c r="B13" i="42"/>
  <c r="B12" i="56"/>
  <c r="C18" i="42"/>
  <c r="C12" i="42"/>
  <c r="B13" i="54"/>
  <c r="L17" i="56"/>
  <c r="B17" i="56" s="1"/>
  <c r="B18" i="42"/>
  <c r="I22" i="41"/>
  <c r="B22" i="41" s="1"/>
  <c r="I16" i="41"/>
  <c r="B16" i="41" s="1"/>
  <c r="B12" i="42"/>
  <c r="C23" i="42"/>
  <c r="C17" i="42"/>
  <c r="C10" i="42"/>
  <c r="B23" i="42"/>
  <c r="I27" i="41"/>
  <c r="B27" i="41" s="1"/>
  <c r="B17" i="42"/>
  <c r="I21" i="41"/>
  <c r="B21" i="41" s="1"/>
  <c r="B10" i="42"/>
  <c r="I14" i="41"/>
  <c r="B14" i="41" s="1"/>
  <c r="B18" i="54"/>
  <c r="I22" i="56"/>
  <c r="B22" i="56" s="1"/>
  <c r="C22" i="42"/>
  <c r="C16" i="42"/>
  <c r="B17" i="54"/>
  <c r="I21" i="56"/>
  <c r="B21" i="56" s="1"/>
  <c r="I26" i="41"/>
  <c r="B26" i="41" s="1"/>
  <c r="B22" i="42"/>
  <c r="I20" i="41"/>
  <c r="B20" i="41" s="1"/>
  <c r="B16" i="42"/>
  <c r="C21" i="42"/>
  <c r="C15" i="42"/>
  <c r="I25" i="41"/>
  <c r="B25" i="41" s="1"/>
  <c r="B21" i="42"/>
  <c r="I19" i="41"/>
  <c r="B19" i="41" s="1"/>
  <c r="B15" i="42"/>
  <c r="C26" i="54"/>
  <c r="H79" i="56"/>
  <c r="B79" i="56" s="1"/>
  <c r="C7" i="42"/>
  <c r="I11" i="41"/>
  <c r="B11" i="41" s="1"/>
  <c r="B7" i="42"/>
  <c r="C9" i="42"/>
  <c r="B9" i="42"/>
  <c r="C8" i="42"/>
  <c r="B8" i="42"/>
  <c r="D28" i="52"/>
  <c r="C19" i="51"/>
  <c r="J87" i="52"/>
  <c r="D87" i="52" s="1"/>
  <c r="D108" i="52"/>
  <c r="C20" i="51"/>
  <c r="J88" i="52"/>
  <c r="D88" i="52" s="1"/>
  <c r="D90" i="52"/>
  <c r="D46" i="52"/>
  <c r="B19" i="51"/>
  <c r="B20" i="51"/>
  <c r="B15" i="51"/>
  <c r="I8" i="52"/>
  <c r="AQ5" i="47"/>
  <c r="H60" i="49"/>
  <c r="H57" i="49" s="1"/>
  <c r="AE5" i="47"/>
  <c r="I60" i="49"/>
  <c r="AO5" i="47"/>
  <c r="D60" i="49"/>
  <c r="AM5" i="47"/>
  <c r="E60" i="49"/>
  <c r="E57" i="49" s="1"/>
  <c r="M5" i="47"/>
  <c r="L60" i="49"/>
  <c r="L57" i="49" s="1"/>
  <c r="AU5" i="47"/>
  <c r="G60" i="49"/>
  <c r="G57" i="49" s="1"/>
  <c r="I5" i="47"/>
  <c r="G5" i="47"/>
  <c r="K60" i="49"/>
  <c r="K57" i="49" s="1"/>
  <c r="Q5" i="47"/>
  <c r="F60" i="49"/>
  <c r="AH5" i="47"/>
  <c r="S12" i="49"/>
  <c r="S9" i="49" s="1"/>
  <c r="AK5" i="47"/>
  <c r="C60" i="49"/>
  <c r="C57" i="49" s="1"/>
  <c r="AI5" i="47"/>
  <c r="S60" i="49"/>
  <c r="S57" i="49" s="1"/>
  <c r="R90" i="67"/>
  <c r="Q90" i="45"/>
  <c r="K74" i="67"/>
  <c r="N74" i="45"/>
  <c r="K76" i="45"/>
  <c r="R85" i="67"/>
  <c r="Q85" i="45"/>
  <c r="K64" i="67"/>
  <c r="O64" i="45"/>
  <c r="O57" i="45" s="1"/>
  <c r="R60" i="67"/>
  <c r="Q60" i="45"/>
  <c r="K70" i="45"/>
  <c r="R74" i="67"/>
  <c r="Q74" i="45"/>
  <c r="R68" i="67"/>
  <c r="Q68" i="45"/>
  <c r="K75" i="45"/>
  <c r="K66" i="45"/>
  <c r="R86" i="67"/>
  <c r="Q86" i="45"/>
  <c r="H5" i="47"/>
  <c r="K73" i="45"/>
  <c r="K69" i="45"/>
  <c r="D63" i="45"/>
  <c r="R76" i="67"/>
  <c r="Q76" i="45"/>
  <c r="P5" i="47"/>
  <c r="F12" i="49"/>
  <c r="F9" i="49" s="1"/>
  <c r="R66" i="67"/>
  <c r="Q66" i="45"/>
  <c r="R95" i="67"/>
  <c r="Q95" i="45"/>
  <c r="R88" i="67"/>
  <c r="Q88" i="45"/>
  <c r="R61" i="67"/>
  <c r="Q61" i="45"/>
  <c r="AP5" i="47"/>
  <c r="H12" i="49"/>
  <c r="R65" i="67"/>
  <c r="Q65" i="45"/>
  <c r="R91" i="67"/>
  <c r="Q91" i="45"/>
  <c r="R72" i="67"/>
  <c r="Q72" i="45"/>
  <c r="R69" i="67"/>
  <c r="Q69" i="45"/>
  <c r="R67" i="67"/>
  <c r="Q67" i="45"/>
  <c r="R84" i="67"/>
  <c r="Q84" i="45"/>
  <c r="R62" i="67"/>
  <c r="Q62" i="45"/>
  <c r="L5" i="47"/>
  <c r="L12" i="49"/>
  <c r="L9" i="49" s="1"/>
  <c r="R75" i="67"/>
  <c r="Q75" i="45"/>
  <c r="AD5" i="47"/>
  <c r="I12" i="49"/>
  <c r="AN5" i="47"/>
  <c r="D12" i="49"/>
  <c r="K5" i="57"/>
  <c r="O64" i="59"/>
  <c r="K77" i="45"/>
  <c r="CA12" i="44"/>
  <c r="F10" i="59"/>
  <c r="F9" i="59" s="1"/>
  <c r="S5" i="57"/>
  <c r="G64" i="59"/>
  <c r="G57" i="59" s="1"/>
  <c r="CA21" i="44"/>
  <c r="CA19" i="44"/>
  <c r="BG5" i="57"/>
  <c r="N64" i="59"/>
  <c r="W5" i="57"/>
  <c r="L64" i="59"/>
  <c r="L57" i="59" s="1"/>
  <c r="CA18" i="44"/>
  <c r="CA20" i="44"/>
  <c r="F64" i="59"/>
  <c r="F57" i="59" s="1"/>
  <c r="CA17" i="44"/>
  <c r="CB9" i="44"/>
  <c r="D13" i="45"/>
  <c r="CB20" i="44"/>
  <c r="CA13" i="44"/>
  <c r="CB43" i="44"/>
  <c r="CB24" i="44"/>
  <c r="R39" i="67"/>
  <c r="Q39" i="45"/>
  <c r="CA24" i="44"/>
  <c r="CA34" i="44"/>
  <c r="CB18" i="44"/>
  <c r="CB17" i="44"/>
  <c r="CB38" i="44"/>
  <c r="CB11" i="44"/>
  <c r="CB33" i="44"/>
  <c r="D25" i="45"/>
  <c r="CA22" i="44"/>
  <c r="CA40" i="44"/>
  <c r="CA42" i="44"/>
  <c r="CB27" i="44"/>
  <c r="CB19" i="44"/>
  <c r="R43" i="67"/>
  <c r="Q43" i="45"/>
  <c r="R41" i="67"/>
  <c r="Q41" i="45"/>
  <c r="R34" i="67"/>
  <c r="Q34" i="45"/>
  <c r="CA36" i="44"/>
  <c r="CA16" i="44"/>
  <c r="CA41" i="44"/>
  <c r="CB12" i="44"/>
  <c r="CA32" i="44"/>
  <c r="CA10" i="44"/>
  <c r="CA14" i="44"/>
  <c r="K27" i="67"/>
  <c r="R24" i="67"/>
  <c r="Q24" i="45"/>
  <c r="CB15" i="44"/>
  <c r="CB13" i="44"/>
  <c r="CB10" i="44"/>
  <c r="R44" i="67"/>
  <c r="Q44" i="45"/>
  <c r="K12" i="67"/>
  <c r="O12" i="45"/>
  <c r="CB16" i="44"/>
  <c r="CB29" i="44"/>
  <c r="CB41" i="44"/>
  <c r="CA31" i="44"/>
  <c r="CB42" i="44"/>
  <c r="CA37" i="44"/>
  <c r="K35" i="67"/>
  <c r="O35" i="45"/>
  <c r="CA11" i="44"/>
  <c r="CB21" i="44"/>
  <c r="CB31" i="44"/>
  <c r="CB37" i="44"/>
  <c r="CB32" i="44"/>
  <c r="CA26" i="44"/>
  <c r="CA35" i="44"/>
  <c r="CA30" i="44"/>
  <c r="CA28" i="44"/>
  <c r="CB26" i="44"/>
  <c r="CB39" i="44"/>
  <c r="CB35" i="44"/>
  <c r="CA15" i="44"/>
  <c r="CA25" i="44"/>
  <c r="CA43" i="44"/>
  <c r="R23" i="67"/>
  <c r="Q23" i="45"/>
  <c r="CB36" i="44"/>
  <c r="CB28" i="44"/>
  <c r="CB25" i="44"/>
  <c r="CA23" i="44"/>
  <c r="CB40" i="44"/>
  <c r="CA33" i="44"/>
  <c r="CA39" i="44"/>
  <c r="CB23" i="44"/>
  <c r="D23" i="45"/>
  <c r="CB14" i="44"/>
  <c r="CA38" i="44"/>
  <c r="CA9" i="44"/>
  <c r="R25" i="67"/>
  <c r="Q25" i="45"/>
  <c r="CB34" i="44"/>
  <c r="CB30" i="44"/>
  <c r="CB22" i="44"/>
  <c r="CA27" i="44"/>
  <c r="H5" i="57"/>
  <c r="E10" i="59"/>
  <c r="E9" i="59" s="1"/>
  <c r="AF5" i="57"/>
  <c r="J10" i="59"/>
  <c r="BF5" i="57"/>
  <c r="N10" i="59"/>
  <c r="N9" i="59" s="1"/>
  <c r="R5" i="57"/>
  <c r="J5" i="57"/>
  <c r="O10" i="59"/>
  <c r="O9" i="59" s="1"/>
  <c r="C59" i="59"/>
  <c r="C32" i="59"/>
  <c r="C37" i="59"/>
  <c r="C15" i="51"/>
  <c r="C17" i="51"/>
  <c r="B11" i="51"/>
  <c r="B17" i="51"/>
  <c r="N5" i="47"/>
  <c r="B16" i="51"/>
  <c r="B10" i="51"/>
  <c r="C11" i="51"/>
  <c r="B18" i="51"/>
  <c r="C10" i="51"/>
  <c r="B6" i="51"/>
  <c r="B37" i="54"/>
  <c r="C22" i="51"/>
  <c r="C87" i="59"/>
  <c r="B43" i="54"/>
  <c r="B13" i="51"/>
  <c r="C14" i="51"/>
  <c r="C13" i="51"/>
  <c r="C6" i="51"/>
  <c r="B40" i="51"/>
  <c r="C40" i="51"/>
  <c r="C38" i="54"/>
  <c r="C11" i="59"/>
  <c r="C83" i="59"/>
  <c r="B22" i="51"/>
  <c r="C18" i="51"/>
  <c r="B14" i="51"/>
  <c r="C32" i="54"/>
  <c r="B38" i="54"/>
  <c r="C44" i="59"/>
  <c r="C12" i="59"/>
  <c r="B39" i="47"/>
  <c r="C39" i="54"/>
  <c r="B35" i="54"/>
  <c r="B25" i="57"/>
  <c r="AB5" i="47"/>
  <c r="C8" i="54"/>
  <c r="B36" i="54"/>
  <c r="B43" i="44"/>
  <c r="C30" i="47"/>
  <c r="C23" i="57"/>
  <c r="C31" i="54"/>
  <c r="C16" i="59"/>
  <c r="B8" i="54"/>
  <c r="B12" i="54"/>
  <c r="C67" i="59"/>
  <c r="B32" i="54"/>
  <c r="C10" i="54"/>
  <c r="B42" i="54"/>
  <c r="C42" i="54"/>
  <c r="B34" i="54"/>
  <c r="C36" i="54"/>
  <c r="C11" i="54"/>
  <c r="B18" i="57"/>
  <c r="C63" i="59"/>
  <c r="B24" i="57"/>
  <c r="B25" i="44"/>
  <c r="C32" i="44"/>
  <c r="C28" i="44"/>
  <c r="C26" i="44"/>
  <c r="B22" i="47"/>
  <c r="C11" i="47"/>
  <c r="V5" i="47"/>
  <c r="B27" i="47"/>
  <c r="B43" i="47"/>
  <c r="B34" i="47"/>
  <c r="B30" i="47"/>
  <c r="C36" i="47"/>
  <c r="C35" i="54"/>
  <c r="C34" i="54"/>
  <c r="B11" i="54"/>
  <c r="C40" i="59"/>
  <c r="B23" i="47"/>
  <c r="B21" i="57"/>
  <c r="C43" i="54"/>
  <c r="C13" i="54"/>
  <c r="C34" i="59"/>
  <c r="B23" i="44"/>
  <c r="B39" i="54"/>
  <c r="B10" i="54"/>
  <c r="C21" i="57"/>
  <c r="B41" i="44"/>
  <c r="B15" i="47"/>
  <c r="B10" i="47"/>
  <c r="C9" i="47"/>
  <c r="C12" i="47"/>
  <c r="C33" i="54"/>
  <c r="C23" i="44"/>
  <c r="C12" i="54"/>
  <c r="C89" i="59"/>
  <c r="B33" i="54"/>
  <c r="B27" i="57"/>
  <c r="C33" i="47"/>
  <c r="B28" i="44"/>
  <c r="B39" i="44"/>
  <c r="B36" i="44"/>
  <c r="AL5" i="47"/>
  <c r="C24" i="47"/>
  <c r="C22" i="47"/>
  <c r="C31" i="47"/>
  <c r="B6" i="47"/>
  <c r="B14" i="47"/>
  <c r="B12" i="44"/>
  <c r="C65" i="59"/>
  <c r="C39" i="59"/>
  <c r="B23" i="57"/>
  <c r="C17" i="57"/>
  <c r="C41" i="54"/>
  <c r="B17" i="47"/>
  <c r="C14" i="57"/>
  <c r="C16" i="47"/>
  <c r="C28" i="47"/>
  <c r="B40" i="44"/>
  <c r="C93" i="59"/>
  <c r="B19" i="44"/>
  <c r="B17" i="44"/>
  <c r="B16" i="44"/>
  <c r="B36" i="47"/>
  <c r="B31" i="47"/>
  <c r="C42" i="47"/>
  <c r="B33" i="44"/>
  <c r="B26" i="44"/>
  <c r="C38" i="44"/>
  <c r="B35" i="44"/>
  <c r="B16" i="47"/>
  <c r="C26" i="47"/>
  <c r="C18" i="47"/>
  <c r="B40" i="47"/>
  <c r="B12" i="47"/>
  <c r="B7" i="47"/>
  <c r="B14" i="44"/>
  <c r="B21" i="44"/>
  <c r="B15" i="44"/>
  <c r="C36" i="44"/>
  <c r="C33" i="44"/>
  <c r="B20" i="47"/>
  <c r="AT5" i="47"/>
  <c r="B41" i="47"/>
  <c r="C20" i="47"/>
  <c r="B32" i="47"/>
  <c r="C29" i="47"/>
  <c r="C13" i="59"/>
  <c r="B18" i="47"/>
  <c r="C9" i="54"/>
  <c r="B24" i="44"/>
  <c r="C15" i="47"/>
  <c r="B22" i="44"/>
  <c r="F5" i="47"/>
  <c r="AJ5" i="47"/>
  <c r="B37" i="47"/>
  <c r="C43" i="47"/>
  <c r="B6" i="54"/>
  <c r="C6" i="57"/>
  <c r="C38" i="59"/>
  <c r="B19" i="47"/>
  <c r="B21" i="47"/>
  <c r="B18" i="44"/>
  <c r="B17" i="57"/>
  <c r="B41" i="54"/>
  <c r="C10" i="47"/>
  <c r="B28" i="47"/>
  <c r="B11" i="47"/>
  <c r="C85" i="59"/>
  <c r="B37" i="44"/>
  <c r="B9" i="44"/>
  <c r="C40" i="47"/>
  <c r="B38" i="47"/>
  <c r="C17" i="47"/>
  <c r="B42" i="47"/>
  <c r="B33" i="47"/>
  <c r="B29" i="47"/>
  <c r="C32" i="47"/>
  <c r="B9" i="54"/>
  <c r="C19" i="57"/>
  <c r="B10" i="44"/>
  <c r="C13" i="47"/>
  <c r="C21" i="44"/>
  <c r="B35" i="47"/>
  <c r="C23" i="47"/>
  <c r="C38" i="47"/>
  <c r="B22" i="54"/>
  <c r="C22" i="54"/>
  <c r="C26" i="59"/>
  <c r="B25" i="47"/>
  <c r="C18" i="57"/>
  <c r="C17" i="54"/>
  <c r="C16" i="54"/>
  <c r="B30" i="44"/>
  <c r="B13" i="47"/>
  <c r="B26" i="47"/>
  <c r="B38" i="44"/>
  <c r="C14" i="47"/>
  <c r="B19" i="57"/>
  <c r="B42" i="44"/>
  <c r="B13" i="44"/>
  <c r="B31" i="44"/>
  <c r="C7" i="47"/>
  <c r="C34" i="47"/>
  <c r="B24" i="47"/>
  <c r="B20" i="44"/>
  <c r="C16" i="57"/>
  <c r="C20" i="44"/>
  <c r="B27" i="44"/>
  <c r="C22" i="44"/>
  <c r="C40" i="44"/>
  <c r="B34" i="44"/>
  <c r="B32" i="44"/>
  <c r="C27" i="47"/>
  <c r="C25" i="47"/>
  <c r="C21" i="47"/>
  <c r="C19" i="47"/>
  <c r="C6" i="54"/>
  <c r="C25" i="57"/>
  <c r="C8" i="44"/>
  <c r="C41" i="44"/>
  <c r="C12" i="57"/>
  <c r="C14" i="44"/>
  <c r="M57" i="49"/>
  <c r="C12" i="44"/>
  <c r="C18" i="44"/>
  <c r="C42" i="44"/>
  <c r="C24" i="57"/>
  <c r="C11" i="44"/>
  <c r="E5" i="47"/>
  <c r="C24" i="44"/>
  <c r="C37" i="44"/>
  <c r="C27" i="44"/>
  <c r="J5" i="47"/>
  <c r="AF5" i="47"/>
  <c r="C34" i="44"/>
  <c r="C6" i="47"/>
  <c r="S5" i="47"/>
  <c r="C61" i="59"/>
  <c r="C35" i="44"/>
  <c r="B10" i="57"/>
  <c r="B20" i="57"/>
  <c r="AC5" i="47"/>
  <c r="C10" i="44"/>
  <c r="C81" i="59"/>
  <c r="C16" i="44"/>
  <c r="C31" i="44"/>
  <c r="C22" i="57"/>
  <c r="C29" i="44"/>
  <c r="C35" i="59"/>
  <c r="C43" i="44"/>
  <c r="R5" i="47"/>
  <c r="K5" i="47"/>
  <c r="C13" i="44"/>
  <c r="C45" i="59"/>
  <c r="C17" i="44"/>
  <c r="C30" i="44"/>
  <c r="C15" i="44"/>
  <c r="C9" i="44"/>
  <c r="C19" i="44"/>
  <c r="C20" i="57"/>
  <c r="B11" i="44"/>
  <c r="Q485" i="2"/>
  <c r="Q484" i="2" s="1"/>
  <c r="C8" i="58"/>
  <c r="C26" i="57"/>
  <c r="C25" i="44"/>
  <c r="D5" i="47"/>
  <c r="B11" i="57"/>
  <c r="U14" i="67"/>
  <c r="K28" i="67"/>
  <c r="K43" i="67"/>
  <c r="K10" i="67"/>
  <c r="K9" i="67" s="1"/>
  <c r="K42" i="67"/>
  <c r="K41" i="67"/>
  <c r="K86" i="67"/>
  <c r="K84" i="67"/>
  <c r="K67" i="67"/>
  <c r="K24" i="67"/>
  <c r="K87" i="67"/>
  <c r="K14" i="67"/>
  <c r="K38" i="67"/>
  <c r="K36" i="67"/>
  <c r="K34" i="67"/>
  <c r="K33" i="67"/>
  <c r="U46" i="67"/>
  <c r="K83" i="67"/>
  <c r="K81" i="67"/>
  <c r="U11" i="67"/>
  <c r="U45" i="67"/>
  <c r="R31" i="67"/>
  <c r="U15" i="67"/>
  <c r="K22" i="67"/>
  <c r="J57" i="67"/>
  <c r="U42" i="67"/>
  <c r="R80" i="67"/>
  <c r="K29" i="67"/>
  <c r="R92" i="67"/>
  <c r="R47" i="67"/>
  <c r="K92" i="67"/>
  <c r="R30" i="67"/>
  <c r="K77" i="67"/>
  <c r="R26" i="67"/>
  <c r="V25" i="67"/>
  <c r="U58" i="67"/>
  <c r="U57" i="67" s="1"/>
  <c r="R11" i="67"/>
  <c r="R89" i="67"/>
  <c r="R40" i="67"/>
  <c r="R18" i="67"/>
  <c r="R64" i="67"/>
  <c r="K18" i="67"/>
  <c r="K75" i="67"/>
  <c r="K78" i="67"/>
  <c r="U88" i="67"/>
  <c r="K31" i="67"/>
  <c r="K25" i="67"/>
  <c r="K65" i="67"/>
  <c r="K21" i="67"/>
  <c r="K91" i="67"/>
  <c r="K40" i="67"/>
  <c r="K79" i="67"/>
  <c r="K73" i="67"/>
  <c r="U60" i="67"/>
  <c r="K70" i="67"/>
  <c r="R46" i="67"/>
  <c r="R29" i="67"/>
  <c r="R27" i="67"/>
  <c r="R16" i="67"/>
  <c r="R78" i="67"/>
  <c r="K69" i="67"/>
  <c r="R82" i="67"/>
  <c r="K72" i="67"/>
  <c r="K71" i="67"/>
  <c r="R42" i="67"/>
  <c r="R28" i="67"/>
  <c r="R17" i="67"/>
  <c r="K16" i="67"/>
  <c r="U29" i="67"/>
  <c r="R94" i="67"/>
  <c r="U93" i="67"/>
  <c r="R71" i="67"/>
  <c r="K47" i="67"/>
  <c r="K46" i="67"/>
  <c r="K93" i="67"/>
  <c r="U75" i="67"/>
  <c r="K62" i="67"/>
  <c r="U39" i="67"/>
  <c r="R12" i="67"/>
  <c r="R38" i="67"/>
  <c r="R19" i="67"/>
  <c r="R63" i="67"/>
  <c r="K60" i="67"/>
  <c r="U41" i="67"/>
  <c r="K13" i="67"/>
  <c r="U69" i="67"/>
  <c r="U66" i="67"/>
  <c r="K63" i="67"/>
  <c r="K95" i="67"/>
  <c r="K94" i="67"/>
  <c r="K44" i="67"/>
  <c r="K90" i="67"/>
  <c r="R13" i="67"/>
  <c r="R37" i="67"/>
  <c r="R20" i="67"/>
  <c r="R58" i="67"/>
  <c r="R57" i="67" s="1"/>
  <c r="R87" i="67"/>
  <c r="K23" i="67"/>
  <c r="K19" i="67"/>
  <c r="K17" i="67"/>
  <c r="K85" i="67"/>
  <c r="K82" i="67"/>
  <c r="R14" i="67"/>
  <c r="R36" i="67"/>
  <c r="R21" i="67"/>
  <c r="R73" i="67"/>
  <c r="R70" i="67"/>
  <c r="K39" i="67"/>
  <c r="R83" i="67"/>
  <c r="K32" i="67"/>
  <c r="K89" i="67"/>
  <c r="K68" i="67"/>
  <c r="R33" i="67"/>
  <c r="K76" i="67"/>
  <c r="U16" i="67"/>
  <c r="K37" i="67"/>
  <c r="R32" i="67"/>
  <c r="K26" i="67"/>
  <c r="K88" i="67"/>
  <c r="U37" i="67"/>
  <c r="U30" i="67"/>
  <c r="R81" i="67"/>
  <c r="R45" i="67"/>
  <c r="R93" i="67"/>
  <c r="R15" i="67"/>
  <c r="R35" i="67"/>
  <c r="R22" i="67"/>
  <c r="R77" i="67"/>
  <c r="K20" i="67"/>
  <c r="U21" i="67"/>
  <c r="U22" i="67"/>
  <c r="K66" i="67"/>
  <c r="J9" i="67"/>
  <c r="J9" i="45"/>
  <c r="K61" i="67"/>
  <c r="J57" i="45"/>
  <c r="K15" i="67"/>
  <c r="U18" i="67"/>
  <c r="U20" i="67"/>
  <c r="Q39" i="67"/>
  <c r="M92" i="67"/>
  <c r="L92" i="67" s="1"/>
  <c r="Q38" i="67"/>
  <c r="P74" i="67"/>
  <c r="Q20" i="67"/>
  <c r="E18" i="67"/>
  <c r="N32" i="67"/>
  <c r="E74" i="67"/>
  <c r="N22" i="67"/>
  <c r="N19" i="67"/>
  <c r="N17" i="67"/>
  <c r="T13" i="67"/>
  <c r="N87" i="67"/>
  <c r="E45" i="67"/>
  <c r="T24" i="67"/>
  <c r="M17" i="67"/>
  <c r="L17" i="67" s="1"/>
  <c r="F94" i="67"/>
  <c r="F46" i="67"/>
  <c r="O80" i="67"/>
  <c r="P61" i="67"/>
  <c r="I45" i="67"/>
  <c r="I41" i="67"/>
  <c r="E35" i="67"/>
  <c r="Q33" i="67"/>
  <c r="E26" i="67"/>
  <c r="Q25" i="67"/>
  <c r="Q18" i="67"/>
  <c r="Q87" i="67"/>
  <c r="Q95" i="67"/>
  <c r="Q94" i="67"/>
  <c r="Q45" i="67"/>
  <c r="O43" i="67"/>
  <c r="E71" i="67"/>
  <c r="E70" i="67"/>
  <c r="E69" i="67"/>
  <c r="E68" i="67"/>
  <c r="E67" i="67"/>
  <c r="E66" i="67"/>
  <c r="E65" i="67"/>
  <c r="E64" i="67"/>
  <c r="T14" i="67"/>
  <c r="S59" i="67"/>
  <c r="E87" i="67"/>
  <c r="I47" i="67"/>
  <c r="I46" i="67"/>
  <c r="E92" i="67"/>
  <c r="E43" i="67"/>
  <c r="I42" i="67"/>
  <c r="E41" i="67"/>
  <c r="N89" i="67"/>
  <c r="N88" i="67"/>
  <c r="N86" i="67"/>
  <c r="N85" i="67"/>
  <c r="N84" i="67"/>
  <c r="N83" i="67"/>
  <c r="N82" i="67"/>
  <c r="N81" i="67"/>
  <c r="N80" i="67"/>
  <c r="N79" i="67"/>
  <c r="N78" i="67"/>
  <c r="N77" i="67"/>
  <c r="N76" i="67"/>
  <c r="I27" i="67"/>
  <c r="T25" i="67"/>
  <c r="O20" i="67"/>
  <c r="M18" i="67"/>
  <c r="L18" i="67" s="1"/>
  <c r="N65" i="67"/>
  <c r="I16" i="67"/>
  <c r="I63" i="67"/>
  <c r="T61" i="67"/>
  <c r="O87" i="67"/>
  <c r="D94" i="67"/>
  <c r="S92" i="67"/>
  <c r="F42" i="67"/>
  <c r="F90" i="67"/>
  <c r="F89" i="67"/>
  <c r="F41" i="67"/>
  <c r="T85" i="67"/>
  <c r="I83" i="67"/>
  <c r="M81" i="67"/>
  <c r="L81" i="67" s="1"/>
  <c r="P32" i="67"/>
  <c r="O79" i="67"/>
  <c r="D77" i="67"/>
  <c r="F76" i="67"/>
  <c r="F28" i="67"/>
  <c r="D75" i="67"/>
  <c r="O73" i="67"/>
  <c r="P24" i="67"/>
  <c r="I70" i="67"/>
  <c r="T68" i="67"/>
  <c r="F65" i="67"/>
  <c r="F17" i="67"/>
  <c r="D64" i="67"/>
  <c r="Q14" i="67"/>
  <c r="Q12" i="67"/>
  <c r="Q81" i="67"/>
  <c r="Q30" i="67"/>
  <c r="Q23" i="67"/>
  <c r="P83" i="67"/>
  <c r="I93" i="67"/>
  <c r="E79" i="67"/>
  <c r="E78" i="67"/>
  <c r="E77" i="67"/>
  <c r="E76" i="67"/>
  <c r="E75" i="67"/>
  <c r="E73" i="67"/>
  <c r="E72" i="67"/>
  <c r="N23" i="67"/>
  <c r="N21" i="67"/>
  <c r="N20" i="67"/>
  <c r="N18" i="67"/>
  <c r="N16" i="67"/>
  <c r="I15" i="67"/>
  <c r="I10" i="67"/>
  <c r="N95" i="67"/>
  <c r="N94" i="67"/>
  <c r="N45" i="67"/>
  <c r="N44" i="67"/>
  <c r="N43" i="67"/>
  <c r="N90" i="67"/>
  <c r="M41" i="67"/>
  <c r="L41" i="67" s="1"/>
  <c r="M40" i="67"/>
  <c r="L40" i="67" s="1"/>
  <c r="M38" i="67"/>
  <c r="L38" i="67" s="1"/>
  <c r="M37" i="67"/>
  <c r="L37" i="67" s="1"/>
  <c r="M36" i="67"/>
  <c r="L36" i="67" s="1"/>
  <c r="M35" i="67"/>
  <c r="L35" i="67" s="1"/>
  <c r="M34" i="67"/>
  <c r="L34" i="67" s="1"/>
  <c r="M33" i="67"/>
  <c r="L33" i="67" s="1"/>
  <c r="M32" i="67"/>
  <c r="L32" i="67" s="1"/>
  <c r="M31" i="67"/>
  <c r="L31" i="67" s="1"/>
  <c r="M30" i="67"/>
  <c r="L30" i="67" s="1"/>
  <c r="M29" i="67"/>
  <c r="L29" i="67" s="1"/>
  <c r="M28" i="67"/>
  <c r="L28" i="67" s="1"/>
  <c r="N75" i="67"/>
  <c r="I26" i="67"/>
  <c r="T23" i="67"/>
  <c r="D21" i="67"/>
  <c r="O19" i="67"/>
  <c r="N64" i="67"/>
  <c r="I62" i="67"/>
  <c r="T60" i="67"/>
  <c r="L58" i="67"/>
  <c r="L57" i="67" s="1"/>
  <c r="M57" i="67"/>
  <c r="D95" i="67"/>
  <c r="T86" i="67"/>
  <c r="I84" i="67"/>
  <c r="M82" i="67"/>
  <c r="L82" i="67" s="1"/>
  <c r="P33" i="67"/>
  <c r="D78" i="67"/>
  <c r="F77" i="67"/>
  <c r="F29" i="67"/>
  <c r="F27" i="67"/>
  <c r="F75" i="67"/>
  <c r="D74" i="67"/>
  <c r="O72" i="67"/>
  <c r="M71" i="67"/>
  <c r="L71" i="67" s="1"/>
  <c r="I69" i="67"/>
  <c r="T67" i="67"/>
  <c r="F64" i="67"/>
  <c r="F16" i="67"/>
  <c r="E11" i="67"/>
  <c r="Q11" i="67"/>
  <c r="Q16" i="67"/>
  <c r="N33" i="67"/>
  <c r="E25" i="67"/>
  <c r="P72" i="67"/>
  <c r="P95" i="67"/>
  <c r="I92" i="67"/>
  <c r="Q41" i="67"/>
  <c r="P85" i="67"/>
  <c r="Q31" i="67"/>
  <c r="P71" i="67"/>
  <c r="Q19" i="67"/>
  <c r="S15" i="67"/>
  <c r="Q62" i="67"/>
  <c r="S12" i="67"/>
  <c r="S11" i="67"/>
  <c r="N42" i="67"/>
  <c r="E80" i="67"/>
  <c r="Q80" i="67"/>
  <c r="Q79" i="67"/>
  <c r="Q78" i="67"/>
  <c r="Q77" i="67"/>
  <c r="Q76" i="67"/>
  <c r="Q75" i="67"/>
  <c r="Q74" i="67"/>
  <c r="Q73" i="67"/>
  <c r="Q72" i="67"/>
  <c r="T15" i="67"/>
  <c r="S60" i="67"/>
  <c r="D11" i="67"/>
  <c r="T10" i="67"/>
  <c r="T9" i="67" s="1"/>
  <c r="I40" i="67"/>
  <c r="I38" i="67"/>
  <c r="I37" i="67"/>
  <c r="I36" i="67"/>
  <c r="I35" i="67"/>
  <c r="I34" i="67"/>
  <c r="I33" i="67"/>
  <c r="I32" i="67"/>
  <c r="I31" i="67"/>
  <c r="I30" i="67"/>
  <c r="I29" i="67"/>
  <c r="I28" i="67"/>
  <c r="T26" i="67"/>
  <c r="S70" i="67"/>
  <c r="O21" i="67"/>
  <c r="M19" i="67"/>
  <c r="L19" i="67" s="1"/>
  <c r="N66" i="67"/>
  <c r="I17" i="67"/>
  <c r="T62" i="67"/>
  <c r="F11" i="67"/>
  <c r="F59" i="67"/>
  <c r="P39" i="67"/>
  <c r="O95" i="67"/>
  <c r="D44" i="67"/>
  <c r="D90" i="67"/>
  <c r="F88" i="67"/>
  <c r="F40" i="67"/>
  <c r="T84" i="67"/>
  <c r="I82" i="67"/>
  <c r="M80" i="67"/>
  <c r="L80" i="67" s="1"/>
  <c r="P31" i="67"/>
  <c r="O78" i="67"/>
  <c r="D76" i="67"/>
  <c r="O74" i="67"/>
  <c r="P25" i="67"/>
  <c r="M72" i="67"/>
  <c r="L72" i="67" s="1"/>
  <c r="I71" i="67"/>
  <c r="T69" i="67"/>
  <c r="F66" i="67"/>
  <c r="F18" i="67"/>
  <c r="D65" i="67"/>
  <c r="E13" i="67"/>
  <c r="E12" i="67"/>
  <c r="G77" i="67"/>
  <c r="E27" i="67"/>
  <c r="S87" i="67"/>
  <c r="E47" i="67"/>
  <c r="T93" i="67"/>
  <c r="M43" i="67"/>
  <c r="L43" i="67" s="1"/>
  <c r="E37" i="67"/>
  <c r="Q35" i="67"/>
  <c r="P80" i="67"/>
  <c r="P75" i="67"/>
  <c r="Q26" i="67"/>
  <c r="P92" i="67"/>
  <c r="E90" i="67"/>
  <c r="Q71" i="67"/>
  <c r="Q70" i="67"/>
  <c r="Q69" i="67"/>
  <c r="Q68" i="67"/>
  <c r="Q67" i="67"/>
  <c r="Q66" i="67"/>
  <c r="Q65" i="67"/>
  <c r="Q64" i="67"/>
  <c r="S61" i="67"/>
  <c r="D12" i="67"/>
  <c r="T39" i="67"/>
  <c r="T47" i="67"/>
  <c r="T46" i="67"/>
  <c r="Q93" i="67"/>
  <c r="Q92" i="67"/>
  <c r="T42" i="67"/>
  <c r="T27" i="67"/>
  <c r="S72" i="67"/>
  <c r="S71" i="67"/>
  <c r="D22" i="67"/>
  <c r="M20" i="67"/>
  <c r="L20" i="67" s="1"/>
  <c r="N67" i="67"/>
  <c r="I18" i="67"/>
  <c r="T16" i="67"/>
  <c r="T63" i="67"/>
  <c r="F60" i="67"/>
  <c r="F12" i="67"/>
  <c r="D59" i="67"/>
  <c r="M87" i="67"/>
  <c r="L87" i="67" s="1"/>
  <c r="P47" i="67"/>
  <c r="O94" i="67"/>
  <c r="D89" i="67"/>
  <c r="D88" i="67"/>
  <c r="F86" i="67"/>
  <c r="F38" i="67"/>
  <c r="T83" i="67"/>
  <c r="I81" i="67"/>
  <c r="M79" i="67"/>
  <c r="L79" i="67" s="1"/>
  <c r="P30" i="67"/>
  <c r="O77" i="67"/>
  <c r="O75" i="67"/>
  <c r="P26" i="67"/>
  <c r="M73" i="67"/>
  <c r="L73" i="67" s="1"/>
  <c r="T70" i="67"/>
  <c r="F67" i="67"/>
  <c r="F19" i="67"/>
  <c r="D66" i="67"/>
  <c r="O64" i="67"/>
  <c r="Q13" i="67"/>
  <c r="D39" i="67"/>
  <c r="T92" i="67"/>
  <c r="I43" i="67"/>
  <c r="P88" i="67"/>
  <c r="E32" i="67"/>
  <c r="Q28" i="67"/>
  <c r="N15" i="67"/>
  <c r="E62" i="67"/>
  <c r="S10" i="67"/>
  <c r="S47" i="67"/>
  <c r="S46" i="67"/>
  <c r="S93" i="67"/>
  <c r="E44" i="67"/>
  <c r="N41" i="67"/>
  <c r="N40" i="67"/>
  <c r="N38" i="67"/>
  <c r="N37" i="67"/>
  <c r="N36" i="67"/>
  <c r="N35" i="67"/>
  <c r="N34" i="67"/>
  <c r="S62" i="67"/>
  <c r="D13" i="67"/>
  <c r="O11" i="67"/>
  <c r="T91" i="67"/>
  <c r="T41" i="67"/>
  <c r="T40" i="67"/>
  <c r="T38" i="67"/>
  <c r="T37" i="67"/>
  <c r="T36" i="67"/>
  <c r="T35" i="67"/>
  <c r="T34" i="67"/>
  <c r="T33" i="67"/>
  <c r="T32" i="67"/>
  <c r="T31" i="67"/>
  <c r="T30" i="67"/>
  <c r="T29" i="67"/>
  <c r="T28" i="67"/>
  <c r="S73" i="67"/>
  <c r="D24" i="67"/>
  <c r="D23" i="67"/>
  <c r="O22" i="67"/>
  <c r="M21" i="67"/>
  <c r="L21" i="67" s="1"/>
  <c r="N68" i="67"/>
  <c r="I19" i="67"/>
  <c r="T17" i="67"/>
  <c r="F61" i="67"/>
  <c r="F13" i="67"/>
  <c r="D60" i="67"/>
  <c r="M95" i="67"/>
  <c r="L95" i="67" s="1"/>
  <c r="P46" i="67"/>
  <c r="O45" i="67"/>
  <c r="O44" i="67"/>
  <c r="O90" i="67"/>
  <c r="O89" i="67"/>
  <c r="D86" i="67"/>
  <c r="F85" i="67"/>
  <c r="F37" i="67"/>
  <c r="T82" i="67"/>
  <c r="I80" i="67"/>
  <c r="M78" i="67"/>
  <c r="L78" i="67" s="1"/>
  <c r="P29" i="67"/>
  <c r="O76" i="67"/>
  <c r="P27" i="67"/>
  <c r="M74" i="67"/>
  <c r="L74" i="67" s="1"/>
  <c r="I72" i="67"/>
  <c r="T71" i="67"/>
  <c r="F68" i="67"/>
  <c r="F20" i="67"/>
  <c r="D67" i="67"/>
  <c r="O65" i="67"/>
  <c r="P16" i="67"/>
  <c r="E63" i="67"/>
  <c r="H64" i="67"/>
  <c r="Q29" i="67"/>
  <c r="G75" i="67"/>
  <c r="G10" i="67"/>
  <c r="G9" i="67" s="1"/>
  <c r="S74" i="67"/>
  <c r="D25" i="67"/>
  <c r="N69" i="67"/>
  <c r="I20" i="67"/>
  <c r="T18" i="67"/>
  <c r="F62" i="67"/>
  <c r="F14" i="67"/>
  <c r="D61" i="67"/>
  <c r="O59" i="67"/>
  <c r="I39" i="67"/>
  <c r="M94" i="67"/>
  <c r="L94" i="67" s="1"/>
  <c r="P42" i="67"/>
  <c r="P41" i="67"/>
  <c r="O88" i="67"/>
  <c r="D85" i="67"/>
  <c r="F84" i="67"/>
  <c r="F36" i="67"/>
  <c r="T81" i="67"/>
  <c r="I79" i="67"/>
  <c r="M77" i="67"/>
  <c r="L77" i="67" s="1"/>
  <c r="P28" i="67"/>
  <c r="M75" i="67"/>
  <c r="L75" i="67" s="1"/>
  <c r="I73" i="67"/>
  <c r="F69" i="67"/>
  <c r="F21" i="67"/>
  <c r="D68" i="67"/>
  <c r="O66" i="67"/>
  <c r="P17" i="67"/>
  <c r="M64" i="67"/>
  <c r="L64" i="67" s="1"/>
  <c r="E14" i="67"/>
  <c r="E28" i="67"/>
  <c r="P73" i="67"/>
  <c r="S13" i="67"/>
  <c r="D87" i="67"/>
  <c r="E86" i="67"/>
  <c r="F93" i="67"/>
  <c r="F45" i="67"/>
  <c r="Q43" i="67"/>
  <c r="E34" i="67"/>
  <c r="Q32" i="67"/>
  <c r="Q44" i="67"/>
  <c r="S23" i="67"/>
  <c r="S22" i="67"/>
  <c r="S21" i="67"/>
  <c r="S20" i="67"/>
  <c r="S19" i="67"/>
  <c r="S18" i="67"/>
  <c r="S17" i="67"/>
  <c r="S16" i="67"/>
  <c r="D15" i="67"/>
  <c r="O13" i="67"/>
  <c r="M11" i="67"/>
  <c r="L11" i="67" s="1"/>
  <c r="D10" i="67"/>
  <c r="S95" i="67"/>
  <c r="S94" i="67"/>
  <c r="S44" i="67"/>
  <c r="S90" i="67"/>
  <c r="S89" i="67"/>
  <c r="S75" i="67"/>
  <c r="D26" i="67"/>
  <c r="O24" i="67"/>
  <c r="O23" i="67"/>
  <c r="M22" i="67"/>
  <c r="L22" i="67" s="1"/>
  <c r="I21" i="67"/>
  <c r="T19" i="67"/>
  <c r="S64" i="67"/>
  <c r="F63" i="67"/>
  <c r="F15" i="67"/>
  <c r="D62" i="67"/>
  <c r="O60" i="67"/>
  <c r="P11" i="67"/>
  <c r="I95" i="67"/>
  <c r="M45" i="67"/>
  <c r="L45" i="67" s="1"/>
  <c r="M44" i="67"/>
  <c r="L44" i="67" s="1"/>
  <c r="M90" i="67"/>
  <c r="L90" i="67" s="1"/>
  <c r="M89" i="67"/>
  <c r="L89" i="67" s="1"/>
  <c r="P40" i="67"/>
  <c r="O86" i="67"/>
  <c r="D84" i="67"/>
  <c r="F35" i="67"/>
  <c r="F83" i="67"/>
  <c r="T80" i="67"/>
  <c r="I78" i="67"/>
  <c r="M76" i="67"/>
  <c r="L76" i="67" s="1"/>
  <c r="I74" i="67"/>
  <c r="T72" i="67"/>
  <c r="F22" i="67"/>
  <c r="F70" i="67"/>
  <c r="D69" i="67"/>
  <c r="O67" i="67"/>
  <c r="P18" i="67"/>
  <c r="M65" i="67"/>
  <c r="L65" i="67" s="1"/>
  <c r="P63" i="67"/>
  <c r="G59" i="67"/>
  <c r="P76" i="67"/>
  <c r="S28" i="67"/>
  <c r="P94" i="67"/>
  <c r="F92" i="67"/>
  <c r="F44" i="67"/>
  <c r="Q40" i="67"/>
  <c r="P84" i="67"/>
  <c r="E31" i="67"/>
  <c r="E23" i="67"/>
  <c r="P70" i="67"/>
  <c r="P65" i="67"/>
  <c r="Q63" i="67"/>
  <c r="T43" i="67"/>
  <c r="Q89" i="67"/>
  <c r="Q88" i="67"/>
  <c r="Q86" i="67"/>
  <c r="Q85" i="67"/>
  <c r="Q84" i="67"/>
  <c r="Q83" i="67"/>
  <c r="Q82" i="67"/>
  <c r="S32" i="67"/>
  <c r="O14" i="67"/>
  <c r="M12" i="67"/>
  <c r="L12" i="67" s="1"/>
  <c r="N59" i="67"/>
  <c r="D47" i="67"/>
  <c r="D46" i="67"/>
  <c r="D93" i="67"/>
  <c r="F91" i="67"/>
  <c r="F43" i="67"/>
  <c r="D42" i="67"/>
  <c r="D41" i="67"/>
  <c r="S88" i="67"/>
  <c r="S86" i="67"/>
  <c r="S85" i="67"/>
  <c r="S84" i="67"/>
  <c r="S83" i="67"/>
  <c r="S82" i="67"/>
  <c r="S81" i="67"/>
  <c r="S80" i="67"/>
  <c r="S79" i="67"/>
  <c r="S78" i="67"/>
  <c r="S77" i="67"/>
  <c r="S76" i="67"/>
  <c r="D27" i="67"/>
  <c r="O25" i="67"/>
  <c r="N70" i="67"/>
  <c r="T20" i="67"/>
  <c r="S65" i="67"/>
  <c r="D16" i="67"/>
  <c r="D63" i="67"/>
  <c r="O61" i="67"/>
  <c r="P12" i="67"/>
  <c r="M59" i="67"/>
  <c r="L59" i="67" s="1"/>
  <c r="F58" i="67"/>
  <c r="F57" i="67" s="1"/>
  <c r="F10" i="67"/>
  <c r="F9" i="67" s="1"/>
  <c r="T87" i="67"/>
  <c r="I94" i="67"/>
  <c r="N93" i="67"/>
  <c r="N92" i="67"/>
  <c r="M88" i="67"/>
  <c r="L88" i="67" s="1"/>
  <c r="P38" i="67"/>
  <c r="O85" i="67"/>
  <c r="D83" i="67"/>
  <c r="F82" i="67"/>
  <c r="F34" i="67"/>
  <c r="T79" i="67"/>
  <c r="I77" i="67"/>
  <c r="I75" i="67"/>
  <c r="T73" i="67"/>
  <c r="F71" i="67"/>
  <c r="F23" i="67"/>
  <c r="D70" i="67"/>
  <c r="O68" i="67"/>
  <c r="P19" i="67"/>
  <c r="M66" i="67"/>
  <c r="L66" i="67" s="1"/>
  <c r="I64" i="67"/>
  <c r="Q15" i="67"/>
  <c r="G76" i="67"/>
  <c r="H70" i="67"/>
  <c r="G66" i="67"/>
  <c r="G58" i="67"/>
  <c r="E46" i="67"/>
  <c r="D92" i="67"/>
  <c r="S43" i="67"/>
  <c r="P90" i="67"/>
  <c r="E36" i="67"/>
  <c r="Q34" i="67"/>
  <c r="P69" i="67"/>
  <c r="N12" i="67"/>
  <c r="N11" i="67"/>
  <c r="S42" i="67"/>
  <c r="S41" i="67"/>
  <c r="O15" i="67"/>
  <c r="M13" i="67"/>
  <c r="L13" i="67" s="1"/>
  <c r="N60" i="67"/>
  <c r="I11" i="67"/>
  <c r="O10" i="67"/>
  <c r="O9" i="67" s="1"/>
  <c r="D91" i="67"/>
  <c r="D40" i="67"/>
  <c r="D38" i="67"/>
  <c r="D37" i="67"/>
  <c r="D36" i="67"/>
  <c r="D35" i="67"/>
  <c r="D34" i="67"/>
  <c r="D33" i="67"/>
  <c r="D32" i="67"/>
  <c r="D31" i="67"/>
  <c r="D30" i="67"/>
  <c r="D29" i="67"/>
  <c r="D28" i="67"/>
  <c r="O26" i="67"/>
  <c r="M24" i="67"/>
  <c r="L24" i="67" s="1"/>
  <c r="M23" i="67"/>
  <c r="L23" i="67" s="1"/>
  <c r="T21" i="67"/>
  <c r="S66" i="67"/>
  <c r="D17" i="67"/>
  <c r="O62" i="67"/>
  <c r="P13" i="67"/>
  <c r="M60" i="67"/>
  <c r="L60" i="67" s="1"/>
  <c r="T95" i="67"/>
  <c r="E93" i="67"/>
  <c r="I44" i="67"/>
  <c r="E91" i="67"/>
  <c r="I90" i="67"/>
  <c r="E89" i="67"/>
  <c r="M86" i="67"/>
  <c r="L86" i="67" s="1"/>
  <c r="P37" i="67"/>
  <c r="O84" i="67"/>
  <c r="D82" i="67"/>
  <c r="F81" i="67"/>
  <c r="F33" i="67"/>
  <c r="T78" i="67"/>
  <c r="I76" i="67"/>
  <c r="T74" i="67"/>
  <c r="D71" i="67"/>
  <c r="O69" i="67"/>
  <c r="P20" i="67"/>
  <c r="M67" i="67"/>
  <c r="L67" i="67" s="1"/>
  <c r="I65" i="67"/>
  <c r="E15" i="67"/>
  <c r="N13" i="67"/>
  <c r="G73" i="67"/>
  <c r="G70" i="67"/>
  <c r="H69" i="67"/>
  <c r="S45" i="67"/>
  <c r="E40" i="67"/>
  <c r="Q37" i="67"/>
  <c r="Q91" i="67"/>
  <c r="P87" i="67"/>
  <c r="O93" i="67"/>
  <c r="E42" i="67"/>
  <c r="P86" i="67"/>
  <c r="Q24" i="67"/>
  <c r="Q22" i="67"/>
  <c r="P68" i="67"/>
  <c r="E17" i="67"/>
  <c r="E60" i="67"/>
  <c r="E59" i="67"/>
  <c r="N9" i="45"/>
  <c r="N10" i="67"/>
  <c r="N9" i="67" s="1"/>
  <c r="M14" i="67"/>
  <c r="L14" i="67" s="1"/>
  <c r="N61" i="67"/>
  <c r="I12" i="67"/>
  <c r="O39" i="67"/>
  <c r="O47" i="67"/>
  <c r="O46" i="67"/>
  <c r="O42" i="67"/>
  <c r="O27" i="67"/>
  <c r="M25" i="67"/>
  <c r="L25" i="67" s="1"/>
  <c r="N72" i="67"/>
  <c r="N71" i="67"/>
  <c r="I22" i="67"/>
  <c r="S67" i="67"/>
  <c r="D18" i="67"/>
  <c r="O16" i="67"/>
  <c r="O63" i="67"/>
  <c r="P14" i="67"/>
  <c r="M61" i="67"/>
  <c r="L61" i="67" s="1"/>
  <c r="I59" i="67"/>
  <c r="S39" i="67"/>
  <c r="T94" i="67"/>
  <c r="I88" i="67"/>
  <c r="M85" i="67"/>
  <c r="L85" i="67" s="1"/>
  <c r="P36" i="67"/>
  <c r="O83" i="67"/>
  <c r="D81" i="67"/>
  <c r="F32" i="67"/>
  <c r="F80" i="67"/>
  <c r="T77" i="67"/>
  <c r="T75" i="67"/>
  <c r="F24" i="67"/>
  <c r="F72" i="67"/>
  <c r="O70" i="67"/>
  <c r="P21" i="67"/>
  <c r="M68" i="67"/>
  <c r="L68" i="67" s="1"/>
  <c r="I66" i="67"/>
  <c r="T64" i="67"/>
  <c r="P59" i="67"/>
  <c r="E10" i="67"/>
  <c r="Q10" i="67"/>
  <c r="Q9" i="67" s="1"/>
  <c r="P79" i="67"/>
  <c r="P78" i="67"/>
  <c r="E22" i="67"/>
  <c r="E19" i="67"/>
  <c r="Q46" i="67"/>
  <c r="P45" i="67"/>
  <c r="O92" i="67"/>
  <c r="E38" i="67"/>
  <c r="Q36" i="67"/>
  <c r="P81" i="67"/>
  <c r="E20" i="67"/>
  <c r="P66" i="67"/>
  <c r="Q17" i="67"/>
  <c r="P64" i="67"/>
  <c r="S14" i="67"/>
  <c r="E39" i="67"/>
  <c r="N39" i="67"/>
  <c r="N47" i="67"/>
  <c r="N46" i="67"/>
  <c r="P93" i="67"/>
  <c r="S91" i="67"/>
  <c r="S40" i="67"/>
  <c r="S38" i="67"/>
  <c r="S37" i="67"/>
  <c r="S36" i="67"/>
  <c r="S35" i="67"/>
  <c r="S34" i="67"/>
  <c r="S33" i="67"/>
  <c r="M15" i="67"/>
  <c r="L15" i="67" s="1"/>
  <c r="N62" i="67"/>
  <c r="I13" i="67"/>
  <c r="T11" i="67"/>
  <c r="M10" i="67"/>
  <c r="O91" i="67"/>
  <c r="O41" i="67"/>
  <c r="O40" i="67"/>
  <c r="O38" i="67"/>
  <c r="O37" i="67"/>
  <c r="O36" i="67"/>
  <c r="O35" i="67"/>
  <c r="O34" i="67"/>
  <c r="O33" i="67"/>
  <c r="O32" i="67"/>
  <c r="O31" i="67"/>
  <c r="O30" i="67"/>
  <c r="O29" i="67"/>
  <c r="O28" i="67"/>
  <c r="M26" i="67"/>
  <c r="L26" i="67" s="1"/>
  <c r="N73" i="67"/>
  <c r="I24" i="67"/>
  <c r="I23" i="67"/>
  <c r="S68" i="67"/>
  <c r="D19" i="67"/>
  <c r="O17" i="67"/>
  <c r="P15" i="67"/>
  <c r="M62" i="67"/>
  <c r="L62" i="67" s="1"/>
  <c r="I60" i="67"/>
  <c r="F87" i="67"/>
  <c r="F39" i="67"/>
  <c r="T45" i="67"/>
  <c r="T44" i="67"/>
  <c r="T90" i="67"/>
  <c r="T89" i="67"/>
  <c r="I86" i="67"/>
  <c r="M84" i="67"/>
  <c r="L84" i="67" s="1"/>
  <c r="P35" i="67"/>
  <c r="O82" i="67"/>
  <c r="D80" i="67"/>
  <c r="F79" i="67"/>
  <c r="F31" i="67"/>
  <c r="T76" i="67"/>
  <c r="F73" i="67"/>
  <c r="F25" i="67"/>
  <c r="D72" i="67"/>
  <c r="O71" i="67"/>
  <c r="P22" i="67"/>
  <c r="M69" i="67"/>
  <c r="L69" i="67" s="1"/>
  <c r="I67" i="67"/>
  <c r="T65" i="67"/>
  <c r="E30" i="67"/>
  <c r="G69" i="67"/>
  <c r="E21" i="67"/>
  <c r="Q47" i="67"/>
  <c r="P82" i="67"/>
  <c r="E29" i="67"/>
  <c r="E16" i="67"/>
  <c r="D45" i="67"/>
  <c r="Q90" i="67"/>
  <c r="I89" i="67"/>
  <c r="E88" i="67"/>
  <c r="E85" i="67"/>
  <c r="E84" i="67"/>
  <c r="E83" i="67"/>
  <c r="E82" i="67"/>
  <c r="E81" i="67"/>
  <c r="S31" i="67"/>
  <c r="S30" i="67"/>
  <c r="S29" i="67"/>
  <c r="S27" i="67"/>
  <c r="S26" i="67"/>
  <c r="S25" i="67"/>
  <c r="S24" i="67"/>
  <c r="S63" i="67"/>
  <c r="D14" i="67"/>
  <c r="O12" i="67"/>
  <c r="I87" i="67"/>
  <c r="M93" i="67"/>
  <c r="L93" i="67" s="1"/>
  <c r="P44" i="67"/>
  <c r="Q42" i="67"/>
  <c r="P89" i="67"/>
  <c r="E33" i="67"/>
  <c r="P77" i="67"/>
  <c r="E24" i="67"/>
  <c r="Q21" i="67"/>
  <c r="P67" i="67"/>
  <c r="N14" i="67"/>
  <c r="E61" i="67"/>
  <c r="Q61" i="67"/>
  <c r="Q60" i="67"/>
  <c r="Q59" i="67"/>
  <c r="E95" i="67"/>
  <c r="E94" i="67"/>
  <c r="D43" i="67"/>
  <c r="N31" i="67"/>
  <c r="N30" i="67"/>
  <c r="N29" i="67"/>
  <c r="N28" i="67"/>
  <c r="N27" i="67"/>
  <c r="N26" i="67"/>
  <c r="N25" i="67"/>
  <c r="N24" i="67"/>
  <c r="N63" i="67"/>
  <c r="I14" i="67"/>
  <c r="T12" i="67"/>
  <c r="M39" i="67"/>
  <c r="L39" i="67" s="1"/>
  <c r="M47" i="67"/>
  <c r="L47" i="67" s="1"/>
  <c r="M46" i="67"/>
  <c r="L46" i="67" s="1"/>
  <c r="P43" i="67"/>
  <c r="M42" i="67"/>
  <c r="L42" i="67" s="1"/>
  <c r="M27" i="67"/>
  <c r="L27" i="67" s="1"/>
  <c r="N74" i="67"/>
  <c r="I25" i="67"/>
  <c r="T22" i="67"/>
  <c r="S69" i="67"/>
  <c r="D20" i="67"/>
  <c r="O18" i="67"/>
  <c r="M16" i="67"/>
  <c r="L16" i="67" s="1"/>
  <c r="M63" i="67"/>
  <c r="L63" i="67" s="1"/>
  <c r="I61" i="67"/>
  <c r="T59" i="67"/>
  <c r="P9" i="45"/>
  <c r="P10" i="67"/>
  <c r="P9" i="67" s="1"/>
  <c r="F95" i="67"/>
  <c r="F47" i="67"/>
  <c r="T88" i="67"/>
  <c r="I85" i="67"/>
  <c r="M83" i="67"/>
  <c r="L83" i="67" s="1"/>
  <c r="P34" i="67"/>
  <c r="O81" i="67"/>
  <c r="D79" i="67"/>
  <c r="F78" i="67"/>
  <c r="F30" i="67"/>
  <c r="F74" i="67"/>
  <c r="F26" i="67"/>
  <c r="D73" i="67"/>
  <c r="P23" i="67"/>
  <c r="M70" i="67"/>
  <c r="L70" i="67" s="1"/>
  <c r="I68" i="67"/>
  <c r="T66" i="67"/>
  <c r="Q27" i="67"/>
  <c r="WN485" i="2"/>
  <c r="J5" i="44"/>
  <c r="B66" i="56"/>
  <c r="B69" i="56"/>
  <c r="I73" i="59"/>
  <c r="I71" i="59"/>
  <c r="I79" i="59"/>
  <c r="I69" i="59"/>
  <c r="I5" i="51"/>
  <c r="C77" i="59"/>
  <c r="C31" i="59"/>
  <c r="C29" i="59"/>
  <c r="I23" i="59"/>
  <c r="C22" i="59"/>
  <c r="C23" i="59"/>
  <c r="C70" i="59"/>
  <c r="I24" i="59"/>
  <c r="C25" i="59"/>
  <c r="I75" i="59"/>
  <c r="C79" i="59"/>
  <c r="C72" i="59"/>
  <c r="C92" i="59"/>
  <c r="C69" i="59"/>
  <c r="I78" i="59"/>
  <c r="AC5" i="44"/>
  <c r="AH5" i="44"/>
  <c r="BQ5" i="57"/>
  <c r="C21" i="59"/>
  <c r="C30" i="59"/>
  <c r="I29" i="59"/>
  <c r="C76" i="59"/>
  <c r="I28" i="59"/>
  <c r="C75" i="59"/>
  <c r="C27" i="59"/>
  <c r="C24" i="59"/>
  <c r="C66" i="59"/>
  <c r="C71" i="59"/>
  <c r="I36" i="59"/>
  <c r="I21" i="59"/>
  <c r="C68" i="59"/>
  <c r="I77" i="59"/>
  <c r="I76" i="59"/>
  <c r="Q5" i="57"/>
  <c r="AG5" i="57"/>
  <c r="AW5" i="57"/>
  <c r="BM5" i="57"/>
  <c r="T5" i="57"/>
  <c r="AJ5" i="57"/>
  <c r="AZ5" i="57"/>
  <c r="BP5" i="57"/>
  <c r="BY5" i="57"/>
  <c r="R5" i="44"/>
  <c r="C78" i="59"/>
  <c r="C73" i="59"/>
  <c r="I5" i="57"/>
  <c r="AO5" i="57"/>
  <c r="BE5" i="57"/>
  <c r="BU5" i="57"/>
  <c r="L5" i="57"/>
  <c r="AB5" i="57"/>
  <c r="BX5" i="57"/>
  <c r="BA5" i="57"/>
  <c r="AR5" i="51"/>
  <c r="I44" i="59"/>
  <c r="I15" i="59"/>
  <c r="I27" i="59"/>
  <c r="L5" i="51"/>
  <c r="Q5" i="51"/>
  <c r="I68" i="59"/>
  <c r="H5" i="51"/>
  <c r="I67" i="59"/>
  <c r="I35" i="59"/>
  <c r="C94" i="59"/>
  <c r="C86" i="59"/>
  <c r="AT5" i="51"/>
  <c r="L71" i="52"/>
  <c r="P5" i="51"/>
  <c r="I74" i="59"/>
  <c r="AL5" i="51"/>
  <c r="C20" i="59"/>
  <c r="AD5" i="51"/>
  <c r="U5" i="44"/>
  <c r="I17" i="59"/>
  <c r="G5" i="51"/>
  <c r="AM5" i="57"/>
  <c r="I61" i="59"/>
  <c r="M9" i="49"/>
  <c r="I59" i="59"/>
  <c r="BA6" i="42"/>
  <c r="AX6" i="42"/>
  <c r="AS6" i="42"/>
  <c r="AP6" i="42"/>
  <c r="H10" i="41" s="1"/>
  <c r="AK6" i="42"/>
  <c r="C58" i="41" s="1"/>
  <c r="AH6" i="42"/>
  <c r="AC6" i="42"/>
  <c r="Z6" i="42"/>
  <c r="U6" i="42"/>
  <c r="R6" i="42"/>
  <c r="M6" i="42"/>
  <c r="L58" i="41" s="1"/>
  <c r="J6" i="42"/>
  <c r="BC6" i="42"/>
  <c r="AZ6" i="42"/>
  <c r="AU6" i="42"/>
  <c r="G58" i="41" s="1"/>
  <c r="AR6" i="42"/>
  <c r="AM6" i="42"/>
  <c r="E58" i="41" s="1"/>
  <c r="AJ6" i="42"/>
  <c r="C10" i="41" s="1"/>
  <c r="AE6" i="42"/>
  <c r="J58" i="41" s="1"/>
  <c r="AB6" i="42"/>
  <c r="W6" i="42"/>
  <c r="T6" i="42"/>
  <c r="O6" i="42"/>
  <c r="L6" i="42"/>
  <c r="L10" i="41" s="1"/>
  <c r="G9" i="45"/>
  <c r="BE6" i="42"/>
  <c r="BB6" i="42"/>
  <c r="AW6" i="42"/>
  <c r="AT6" i="42"/>
  <c r="G10" i="41" s="1"/>
  <c r="AO6" i="42"/>
  <c r="D58" i="41" s="1"/>
  <c r="AL6" i="42"/>
  <c r="E10" i="41" s="1"/>
  <c r="AG6" i="42"/>
  <c r="AD6" i="42"/>
  <c r="J10" i="41" s="1"/>
  <c r="Y6" i="42"/>
  <c r="V6" i="42"/>
  <c r="Q6" i="42"/>
  <c r="F58" i="41" s="1"/>
  <c r="N6" i="42"/>
  <c r="I6" i="42"/>
  <c r="BD6" i="42"/>
  <c r="AY6" i="42"/>
  <c r="AV6" i="42"/>
  <c r="AQ6" i="42"/>
  <c r="H58" i="41" s="1"/>
  <c r="AN6" i="42"/>
  <c r="D10" i="41" s="1"/>
  <c r="AI6" i="42"/>
  <c r="AF6" i="42"/>
  <c r="AA6" i="42"/>
  <c r="X6" i="42"/>
  <c r="S6" i="42"/>
  <c r="P6" i="42"/>
  <c r="F10" i="41" s="1"/>
  <c r="K6" i="42"/>
  <c r="H6" i="42"/>
  <c r="I93" i="59"/>
  <c r="X5" i="51"/>
  <c r="Z5" i="51"/>
  <c r="AB5" i="51"/>
  <c r="I71" i="52"/>
  <c r="C95" i="59"/>
  <c r="C91" i="59"/>
  <c r="C82" i="59"/>
  <c r="E57" i="59"/>
  <c r="C33" i="59"/>
  <c r="D5" i="51"/>
  <c r="R5" i="51"/>
  <c r="C84" i="59"/>
  <c r="O5" i="57"/>
  <c r="AU5" i="57"/>
  <c r="I62" i="59"/>
  <c r="I11" i="59"/>
  <c r="I65" i="59"/>
  <c r="AS5" i="51"/>
  <c r="I42" i="59"/>
  <c r="B42" i="59" s="1"/>
  <c r="C41" i="59"/>
  <c r="I37" i="59"/>
  <c r="K57" i="59"/>
  <c r="I13" i="59"/>
  <c r="I33" i="59"/>
  <c r="C47" i="59"/>
  <c r="C36" i="59"/>
  <c r="I34" i="59"/>
  <c r="I32" i="59"/>
  <c r="I26" i="59"/>
  <c r="I20" i="59"/>
  <c r="I66" i="59"/>
  <c r="L8" i="52"/>
  <c r="I45" i="59"/>
  <c r="C80" i="59"/>
  <c r="I31" i="59"/>
  <c r="I92" i="59"/>
  <c r="C43" i="59"/>
  <c r="I63" i="59"/>
  <c r="I91" i="59"/>
  <c r="P71" i="52"/>
  <c r="AU5" i="51"/>
  <c r="I12" i="59"/>
  <c r="I30" i="59"/>
  <c r="I72" i="59"/>
  <c r="C62" i="59"/>
  <c r="C60" i="59"/>
  <c r="E58" i="56"/>
  <c r="C46" i="59"/>
  <c r="I38" i="59"/>
  <c r="I16" i="59"/>
  <c r="I14" i="59"/>
  <c r="I60" i="59"/>
  <c r="I25" i="59"/>
  <c r="I19" i="59"/>
  <c r="G5" i="57"/>
  <c r="I82" i="59"/>
  <c r="I80" i="59"/>
  <c r="C90" i="59"/>
  <c r="C88" i="59"/>
  <c r="I41" i="59"/>
  <c r="I88" i="59"/>
  <c r="I84" i="59"/>
  <c r="C14" i="59"/>
  <c r="I39" i="59"/>
  <c r="I46" i="59"/>
  <c r="I90" i="59"/>
  <c r="I47" i="59"/>
  <c r="I83" i="59"/>
  <c r="I89" i="59"/>
  <c r="I94" i="59"/>
  <c r="I85" i="59"/>
  <c r="I87" i="59"/>
  <c r="I95" i="59"/>
  <c r="I43" i="59"/>
  <c r="I40" i="59"/>
  <c r="I86" i="59"/>
  <c r="C15" i="59"/>
  <c r="F6" i="57"/>
  <c r="V6" i="57"/>
  <c r="AL6" i="57"/>
  <c r="C19" i="59"/>
  <c r="B62" i="56"/>
  <c r="K9" i="59"/>
  <c r="BB5" i="57"/>
  <c r="I18" i="59"/>
  <c r="B18" i="59" s="1"/>
  <c r="C17" i="59"/>
  <c r="AS5" i="57"/>
  <c r="BI5" i="57"/>
  <c r="X5" i="57"/>
  <c r="AN5" i="57"/>
  <c r="AI5" i="57"/>
  <c r="AP5" i="57"/>
  <c r="AD6" i="57"/>
  <c r="AD5" i="57" s="1"/>
  <c r="C28" i="59"/>
  <c r="I22" i="59"/>
  <c r="Y5" i="57"/>
  <c r="AR5" i="57"/>
  <c r="BH5" i="57"/>
  <c r="N5" i="57"/>
  <c r="AT5" i="57"/>
  <c r="D58" i="59"/>
  <c r="D57" i="59" s="1"/>
  <c r="E5" i="57"/>
  <c r="AV5" i="57"/>
  <c r="C74" i="59"/>
  <c r="AQ5" i="57"/>
  <c r="M57" i="59"/>
  <c r="AH5" i="57"/>
  <c r="M9" i="59"/>
  <c r="B59" i="56"/>
  <c r="F58" i="56"/>
  <c r="B75" i="56"/>
  <c r="I58" i="56"/>
  <c r="M8" i="52"/>
  <c r="D58" i="56"/>
  <c r="P8" i="52"/>
  <c r="AK5" i="51"/>
  <c r="AN5" i="51"/>
  <c r="G8" i="52"/>
  <c r="J5" i="51"/>
  <c r="AP5" i="51"/>
  <c r="B15" i="56"/>
  <c r="B11" i="56"/>
  <c r="AI5" i="54"/>
  <c r="Y5" i="51"/>
  <c r="B13" i="56"/>
  <c r="AA5" i="51"/>
  <c r="K5" i="51"/>
  <c r="M5" i="51"/>
  <c r="U5" i="51"/>
  <c r="AV5" i="54"/>
  <c r="B26" i="56"/>
  <c r="BL5" i="54"/>
  <c r="W5" i="51"/>
  <c r="T5" i="51"/>
  <c r="AO5" i="51"/>
  <c r="B20" i="56"/>
  <c r="O5" i="51"/>
  <c r="AM5" i="51"/>
  <c r="AC5" i="51"/>
  <c r="N5" i="51"/>
  <c r="AF5" i="51"/>
  <c r="K8" i="52"/>
  <c r="E5" i="51"/>
  <c r="O71" i="52"/>
  <c r="BO5" i="54"/>
  <c r="AG40" i="54"/>
  <c r="BA5" i="54"/>
  <c r="BN5" i="54"/>
  <c r="I5" i="54"/>
  <c r="Q5" i="54"/>
  <c r="Y5" i="54"/>
  <c r="AO5" i="54"/>
  <c r="AW5" i="54"/>
  <c r="BE5" i="54"/>
  <c r="D5" i="54"/>
  <c r="O5" i="54"/>
  <c r="W5" i="54"/>
  <c r="AB5" i="54"/>
  <c r="AM5" i="54"/>
  <c r="AR5" i="54"/>
  <c r="AZ5" i="54"/>
  <c r="BH5" i="54"/>
  <c r="BP5" i="54"/>
  <c r="BX5" i="54"/>
  <c r="J5" i="54"/>
  <c r="R5" i="54"/>
  <c r="AH5" i="54"/>
  <c r="BI5" i="54"/>
  <c r="F5" i="51"/>
  <c r="AG5" i="51"/>
  <c r="O8" i="52"/>
  <c r="CC8" i="50"/>
  <c r="CC7" i="50" s="1"/>
  <c r="S5" i="51"/>
  <c r="AQ5" i="51"/>
  <c r="AF40" i="54"/>
  <c r="V5" i="54"/>
  <c r="AT5" i="54"/>
  <c r="BR5" i="54"/>
  <c r="T5" i="54"/>
  <c r="AC5" i="54"/>
  <c r="BO44" i="54"/>
  <c r="BV5" i="54"/>
  <c r="K5" i="54"/>
  <c r="S5" i="54"/>
  <c r="AA5" i="54"/>
  <c r="AQ5" i="54"/>
  <c r="AY5" i="54"/>
  <c r="BG5" i="54"/>
  <c r="BT5" i="54"/>
  <c r="G71" i="52"/>
  <c r="M71" i="52"/>
  <c r="F71" i="52"/>
  <c r="F8" i="52"/>
  <c r="AD40" i="54"/>
  <c r="AE40" i="54"/>
  <c r="F5" i="54"/>
  <c r="N5" i="54"/>
  <c r="AL5" i="54"/>
  <c r="BB5" i="54"/>
  <c r="BJ5" i="54"/>
  <c r="L5" i="54"/>
  <c r="AJ5" i="54"/>
  <c r="AU5" i="54"/>
  <c r="BC5" i="54"/>
  <c r="BK5" i="54"/>
  <c r="M5" i="54"/>
  <c r="Z5" i="54"/>
  <c r="AX5" i="54"/>
  <c r="BF5" i="54"/>
  <c r="E71" i="52"/>
  <c r="AS40" i="54"/>
  <c r="AS5" i="54" s="1"/>
  <c r="BU5" i="54"/>
  <c r="G5" i="54"/>
  <c r="E5" i="54"/>
  <c r="U5" i="54"/>
  <c r="AK5" i="54"/>
  <c r="AP5" i="54"/>
  <c r="BQ5" i="54"/>
  <c r="BY5" i="54"/>
  <c r="H5" i="54"/>
  <c r="P5" i="54"/>
  <c r="X5" i="54"/>
  <c r="AN5" i="54"/>
  <c r="BD5" i="54"/>
  <c r="BW5" i="54"/>
  <c r="AI5" i="51"/>
  <c r="V5" i="51"/>
  <c r="AE5" i="51"/>
  <c r="K9" i="49"/>
  <c r="AJ5" i="51"/>
  <c r="AH5" i="51"/>
  <c r="R9" i="49"/>
  <c r="Z5" i="44"/>
  <c r="AW8" i="47"/>
  <c r="AW5" i="47" s="1"/>
  <c r="BE8" i="47"/>
  <c r="AZ8" i="47"/>
  <c r="AZ5" i="47" s="1"/>
  <c r="BH8" i="47"/>
  <c r="BH5" i="47" s="1"/>
  <c r="AZ5" i="51"/>
  <c r="BH5" i="51"/>
  <c r="BP5" i="51"/>
  <c r="BX5" i="51"/>
  <c r="AX8" i="47"/>
  <c r="BF8" i="47"/>
  <c r="BF5" i="47" s="1"/>
  <c r="BN5" i="51"/>
  <c r="AX5" i="51"/>
  <c r="BF5" i="51"/>
  <c r="BV5" i="51"/>
  <c r="AY8" i="47"/>
  <c r="BG8" i="47"/>
  <c r="BB9" i="47"/>
  <c r="O13" i="49" s="1"/>
  <c r="BB8" i="47"/>
  <c r="O12" i="49" s="1"/>
  <c r="BB5" i="51"/>
  <c r="BJ5" i="51"/>
  <c r="BR5" i="51"/>
  <c r="BC8" i="47"/>
  <c r="O60" i="49" s="1"/>
  <c r="O57" i="49" s="1"/>
  <c r="J57" i="49"/>
  <c r="R57" i="49"/>
  <c r="AW5" i="51"/>
  <c r="BE5" i="51"/>
  <c r="BM5" i="51"/>
  <c r="BU5" i="51"/>
  <c r="BC5" i="51"/>
  <c r="BK5" i="51"/>
  <c r="BA8" i="47"/>
  <c r="BA5" i="47" s="1"/>
  <c r="BI8" i="47"/>
  <c r="BI5" i="47" s="1"/>
  <c r="BA5" i="51"/>
  <c r="BI5" i="51"/>
  <c r="BQ5" i="51"/>
  <c r="BY5" i="51"/>
  <c r="AV8" i="47"/>
  <c r="AV5" i="47" s="1"/>
  <c r="AV5" i="51"/>
  <c r="BD8" i="47"/>
  <c r="BD5" i="51"/>
  <c r="BL5" i="51"/>
  <c r="BT5" i="51"/>
  <c r="AY5" i="51"/>
  <c r="BO5" i="51"/>
  <c r="BW5" i="51"/>
  <c r="AR5" i="44"/>
  <c r="AZ5" i="44"/>
  <c r="BH5" i="44"/>
  <c r="BP5" i="44"/>
  <c r="BX5" i="44"/>
  <c r="AQ5" i="44"/>
  <c r="AY5" i="44"/>
  <c r="BG5" i="44"/>
  <c r="BO5" i="44"/>
  <c r="BW5" i="44"/>
  <c r="AO5" i="44"/>
  <c r="AW5" i="44"/>
  <c r="BE5" i="44"/>
  <c r="BM5" i="44"/>
  <c r="BU5" i="44"/>
  <c r="AX5" i="44"/>
  <c r="BN5" i="44"/>
  <c r="AU5" i="44"/>
  <c r="BC5" i="44"/>
  <c r="BK5" i="44"/>
  <c r="AK5" i="44"/>
  <c r="AS5" i="44"/>
  <c r="AN5" i="44"/>
  <c r="AV5" i="44"/>
  <c r="BD5" i="44"/>
  <c r="BL5" i="44"/>
  <c r="BT5" i="44"/>
  <c r="AT5" i="44"/>
  <c r="BB5" i="44"/>
  <c r="BJ5" i="44"/>
  <c r="BR5" i="44"/>
  <c r="AP8" i="44"/>
  <c r="B8" i="44" s="1"/>
  <c r="BI5" i="44"/>
  <c r="BY5" i="44"/>
  <c r="C484" i="2"/>
  <c r="I9" i="56" l="1"/>
  <c r="C64" i="59"/>
  <c r="L9" i="56"/>
  <c r="AE5" i="54"/>
  <c r="J93" i="56"/>
  <c r="J58" i="56" s="1"/>
  <c r="B6" i="42"/>
  <c r="AD5" i="54"/>
  <c r="J44" i="56"/>
  <c r="J9" i="56" s="1"/>
  <c r="C6" i="42"/>
  <c r="Q9" i="45"/>
  <c r="O9" i="45"/>
  <c r="J8" i="52"/>
  <c r="K71" i="52"/>
  <c r="Q57" i="45"/>
  <c r="E8" i="52"/>
  <c r="BE5" i="47"/>
  <c r="Q60" i="49"/>
  <c r="Q57" i="49" s="1"/>
  <c r="AY5" i="47"/>
  <c r="P60" i="49"/>
  <c r="P57" i="49" s="1"/>
  <c r="N60" i="49"/>
  <c r="N12" i="49"/>
  <c r="BC5" i="47"/>
  <c r="O9" i="49"/>
  <c r="BD5" i="47"/>
  <c r="Q12" i="49"/>
  <c r="Q9" i="49" s="1"/>
  <c r="AX5" i="47"/>
  <c r="P12" i="49"/>
  <c r="P9" i="49" s="1"/>
  <c r="CB8" i="44"/>
  <c r="CA8" i="44"/>
  <c r="V5" i="57"/>
  <c r="L10" i="59"/>
  <c r="L9" i="59" s="1"/>
  <c r="XP485" i="2"/>
  <c r="XP484" i="2" s="1"/>
  <c r="C7" i="7"/>
  <c r="C44" i="7" s="1"/>
  <c r="C28" i="67"/>
  <c r="B28" i="67" s="1"/>
  <c r="C58" i="67"/>
  <c r="B58" i="67" s="1"/>
  <c r="B57" i="67" s="1"/>
  <c r="C15" i="67"/>
  <c r="B15" i="67" s="1"/>
  <c r="C40" i="67"/>
  <c r="B40" i="67" s="1"/>
  <c r="B37" i="59"/>
  <c r="B59" i="59"/>
  <c r="B32" i="59"/>
  <c r="H8" i="52"/>
  <c r="B87" i="59"/>
  <c r="B11" i="59"/>
  <c r="B83" i="59"/>
  <c r="H71" i="52"/>
  <c r="B12" i="59"/>
  <c r="B44" i="59"/>
  <c r="B89" i="59"/>
  <c r="B1" i="50"/>
  <c r="K58" i="56"/>
  <c r="B63" i="59"/>
  <c r="B16" i="59"/>
  <c r="BB5" i="47"/>
  <c r="B40" i="59"/>
  <c r="K9" i="56"/>
  <c r="B85" i="59"/>
  <c r="B93" i="59"/>
  <c r="B39" i="59"/>
  <c r="B65" i="59"/>
  <c r="B38" i="59"/>
  <c r="B67" i="59"/>
  <c r="B26" i="59"/>
  <c r="B34" i="59"/>
  <c r="B61" i="59"/>
  <c r="C40" i="54"/>
  <c r="B40" i="54"/>
  <c r="B45" i="59"/>
  <c r="B13" i="59"/>
  <c r="CB8" i="58"/>
  <c r="CB7" i="58" s="1"/>
  <c r="D6" i="57"/>
  <c r="D10" i="59" s="1"/>
  <c r="C7" i="58"/>
  <c r="B1" i="58" s="1"/>
  <c r="C26" i="67"/>
  <c r="B26" i="67" s="1"/>
  <c r="B8" i="47"/>
  <c r="C8" i="47"/>
  <c r="C20" i="67"/>
  <c r="B20" i="67" s="1"/>
  <c r="I9" i="45"/>
  <c r="C11" i="67"/>
  <c r="B11" i="67" s="1"/>
  <c r="C81" i="67"/>
  <c r="B81" i="67" s="1"/>
  <c r="B35" i="59"/>
  <c r="C69" i="67"/>
  <c r="B69" i="67" s="1"/>
  <c r="B9" i="47"/>
  <c r="C71" i="67"/>
  <c r="B71" i="67" s="1"/>
  <c r="E57" i="67"/>
  <c r="E9" i="67"/>
  <c r="E9" i="45"/>
  <c r="C46" i="67"/>
  <c r="B46" i="67" s="1"/>
  <c r="C25" i="67"/>
  <c r="B25" i="67" s="1"/>
  <c r="C47" i="45"/>
  <c r="C62" i="67"/>
  <c r="B62" i="67" s="1"/>
  <c r="I9" i="67"/>
  <c r="E57" i="45"/>
  <c r="C34" i="67"/>
  <c r="B34" i="67" s="1"/>
  <c r="C43" i="67"/>
  <c r="B43" i="67" s="1"/>
  <c r="C80" i="67"/>
  <c r="B80" i="67" s="1"/>
  <c r="C39" i="67"/>
  <c r="B39" i="67" s="1"/>
  <c r="C29" i="67"/>
  <c r="B29" i="67" s="1"/>
  <c r="C35" i="67"/>
  <c r="B35" i="67" s="1"/>
  <c r="C84" i="67"/>
  <c r="B84" i="67" s="1"/>
  <c r="C86" i="67"/>
  <c r="B86" i="67" s="1"/>
  <c r="C45" i="67"/>
  <c r="B45" i="67" s="1"/>
  <c r="C18" i="67"/>
  <c r="B18" i="67" s="1"/>
  <c r="C32" i="67"/>
  <c r="B32" i="67" s="1"/>
  <c r="C63" i="67"/>
  <c r="B63" i="67" s="1"/>
  <c r="C23" i="45"/>
  <c r="C33" i="67"/>
  <c r="B33" i="67" s="1"/>
  <c r="C16" i="67"/>
  <c r="B16" i="67" s="1"/>
  <c r="C41" i="67"/>
  <c r="B41" i="67" s="1"/>
  <c r="C68" i="67"/>
  <c r="B68" i="67" s="1"/>
  <c r="C77" i="67"/>
  <c r="B77" i="67" s="1"/>
  <c r="C16" i="45"/>
  <c r="C89" i="67"/>
  <c r="B89" i="67" s="1"/>
  <c r="C76" i="67"/>
  <c r="B76" i="67" s="1"/>
  <c r="C13" i="67"/>
  <c r="B13" i="67" s="1"/>
  <c r="C15" i="45"/>
  <c r="C17" i="67"/>
  <c r="B17" i="67" s="1"/>
  <c r="C91" i="67"/>
  <c r="C42" i="67"/>
  <c r="B42" i="67" s="1"/>
  <c r="C67" i="67"/>
  <c r="B67" i="67" s="1"/>
  <c r="C95" i="67"/>
  <c r="B95" i="67" s="1"/>
  <c r="C93" i="67"/>
  <c r="B93" i="67" s="1"/>
  <c r="C44" i="45"/>
  <c r="C75" i="67"/>
  <c r="B75" i="67" s="1"/>
  <c r="C21" i="67"/>
  <c r="B21" i="67" s="1"/>
  <c r="C34" i="45"/>
  <c r="C79" i="67"/>
  <c r="B79" i="67" s="1"/>
  <c r="C90" i="67"/>
  <c r="B90" i="67" s="1"/>
  <c r="C78" i="67"/>
  <c r="B78" i="67" s="1"/>
  <c r="C70" i="67"/>
  <c r="B70" i="67" s="1"/>
  <c r="C30" i="67"/>
  <c r="B30" i="67" s="1"/>
  <c r="C36" i="67"/>
  <c r="B36" i="67" s="1"/>
  <c r="C60" i="67"/>
  <c r="B60" i="67" s="1"/>
  <c r="C44" i="67"/>
  <c r="B44" i="67" s="1"/>
  <c r="C64" i="67"/>
  <c r="B64" i="67" s="1"/>
  <c r="C73" i="67"/>
  <c r="B73" i="67" s="1"/>
  <c r="C19" i="67"/>
  <c r="B19" i="67" s="1"/>
  <c r="C31" i="67"/>
  <c r="B31" i="67" s="1"/>
  <c r="C37" i="67"/>
  <c r="B37" i="67" s="1"/>
  <c r="C92" i="67"/>
  <c r="B92" i="67" s="1"/>
  <c r="C87" i="67"/>
  <c r="B87" i="67" s="1"/>
  <c r="C85" i="67"/>
  <c r="B85" i="67" s="1"/>
  <c r="C12" i="67"/>
  <c r="B12" i="67" s="1"/>
  <c r="C74" i="67"/>
  <c r="B74" i="67" s="1"/>
  <c r="C94" i="67"/>
  <c r="B94" i="67" s="1"/>
  <c r="S57" i="67"/>
  <c r="V11" i="67"/>
  <c r="C83" i="67"/>
  <c r="B83" i="67" s="1"/>
  <c r="C23" i="67"/>
  <c r="B23" i="67" s="1"/>
  <c r="C66" i="67"/>
  <c r="B66" i="67" s="1"/>
  <c r="C59" i="67"/>
  <c r="B59" i="67" s="1"/>
  <c r="C38" i="67"/>
  <c r="B38" i="67" s="1"/>
  <c r="C27" i="67"/>
  <c r="B27" i="67" s="1"/>
  <c r="C61" i="67"/>
  <c r="B61" i="67" s="1"/>
  <c r="C65" i="67"/>
  <c r="B65" i="67" s="1"/>
  <c r="S9" i="45"/>
  <c r="C22" i="67"/>
  <c r="B22" i="67" s="1"/>
  <c r="C14" i="67"/>
  <c r="B14" i="67" s="1"/>
  <c r="C72" i="67"/>
  <c r="B72" i="67" s="1"/>
  <c r="C29" i="45"/>
  <c r="C45" i="45"/>
  <c r="C82" i="67"/>
  <c r="B82" i="67" s="1"/>
  <c r="C47" i="67"/>
  <c r="B47" i="67" s="1"/>
  <c r="C24" i="67"/>
  <c r="B24" i="67" s="1"/>
  <c r="C88" i="67"/>
  <c r="B88" i="67" s="1"/>
  <c r="U12" i="67"/>
  <c r="S9" i="67"/>
  <c r="C37" i="45"/>
  <c r="G57" i="67"/>
  <c r="BA5" i="44"/>
  <c r="K58" i="67"/>
  <c r="K57" i="67" s="1"/>
  <c r="C28" i="45"/>
  <c r="C38" i="45"/>
  <c r="C17" i="45"/>
  <c r="D57" i="67"/>
  <c r="C24" i="45"/>
  <c r="G57" i="45"/>
  <c r="S57" i="45"/>
  <c r="C13" i="45"/>
  <c r="K11" i="67"/>
  <c r="C20" i="45"/>
  <c r="L10" i="67"/>
  <c r="M9" i="67"/>
  <c r="C10" i="67"/>
  <c r="C9" i="67" s="1"/>
  <c r="D9" i="67"/>
  <c r="P60" i="67"/>
  <c r="P62" i="67"/>
  <c r="WN484" i="2"/>
  <c r="B68" i="59"/>
  <c r="I81" i="59"/>
  <c r="B81" i="59" s="1"/>
  <c r="B31" i="59"/>
  <c r="B77" i="59"/>
  <c r="Q71" i="52"/>
  <c r="B22" i="59"/>
  <c r="B29" i="59"/>
  <c r="L30" i="45"/>
  <c r="L41" i="45"/>
  <c r="L36" i="45"/>
  <c r="B86" i="59"/>
  <c r="B79" i="59"/>
  <c r="B30" i="59"/>
  <c r="B24" i="59"/>
  <c r="L47" i="45"/>
  <c r="B27" i="49"/>
  <c r="B92" i="59"/>
  <c r="B58" i="49"/>
  <c r="L42" i="45"/>
  <c r="B44" i="49"/>
  <c r="B74" i="59"/>
  <c r="B14" i="59"/>
  <c r="B42" i="49"/>
  <c r="L35" i="45"/>
  <c r="B75" i="59"/>
  <c r="J9" i="59"/>
  <c r="B69" i="59"/>
  <c r="B30" i="49"/>
  <c r="B31" i="49"/>
  <c r="I70" i="59"/>
  <c r="B70" i="59" s="1"/>
  <c r="L34" i="45"/>
  <c r="B10" i="49"/>
  <c r="L38" i="45"/>
  <c r="L27" i="45"/>
  <c r="L88" i="45"/>
  <c r="L16" i="45"/>
  <c r="L20" i="45"/>
  <c r="L37" i="45"/>
  <c r="L21" i="45"/>
  <c r="B43" i="49"/>
  <c r="C80" i="45"/>
  <c r="C65" i="45"/>
  <c r="B36" i="59"/>
  <c r="B38" i="49"/>
  <c r="B18" i="49"/>
  <c r="B23" i="49"/>
  <c r="L25" i="45"/>
  <c r="B26" i="49"/>
  <c r="L31" i="45"/>
  <c r="B32" i="49"/>
  <c r="B21" i="59"/>
  <c r="B71" i="59"/>
  <c r="L23" i="45"/>
  <c r="L24" i="45"/>
  <c r="B61" i="49"/>
  <c r="L78" i="45"/>
  <c r="L81" i="45"/>
  <c r="L71" i="45"/>
  <c r="B47" i="49"/>
  <c r="B73" i="59"/>
  <c r="CC7" i="58"/>
  <c r="CC2" i="58" s="1"/>
  <c r="B88" i="49"/>
  <c r="L76" i="45"/>
  <c r="B22" i="49"/>
  <c r="B76" i="59"/>
  <c r="B27" i="59"/>
  <c r="C92" i="45"/>
  <c r="L77" i="45"/>
  <c r="L86" i="45"/>
  <c r="C72" i="45"/>
  <c r="C74" i="45"/>
  <c r="B83" i="49"/>
  <c r="B17" i="59"/>
  <c r="B14" i="49"/>
  <c r="B21" i="49"/>
  <c r="L74" i="45"/>
  <c r="B25" i="49"/>
  <c r="B94" i="49"/>
  <c r="B15" i="59"/>
  <c r="G9" i="56"/>
  <c r="B91" i="59"/>
  <c r="B90" i="59"/>
  <c r="L90" i="45"/>
  <c r="B46" i="59"/>
  <c r="B95" i="59"/>
  <c r="E9" i="56"/>
  <c r="B36" i="49"/>
  <c r="B84" i="59"/>
  <c r="C83" i="45"/>
  <c r="C70" i="45"/>
  <c r="B78" i="59"/>
  <c r="C79" i="45"/>
  <c r="B82" i="49"/>
  <c r="B94" i="59"/>
  <c r="L45" i="45"/>
  <c r="B92" i="49"/>
  <c r="F9" i="56"/>
  <c r="C87" i="45"/>
  <c r="C86" i="45"/>
  <c r="B86" i="49"/>
  <c r="B84" i="49"/>
  <c r="L83" i="45"/>
  <c r="B82" i="59"/>
  <c r="B33" i="59"/>
  <c r="B80" i="59"/>
  <c r="B80" i="49"/>
  <c r="L79" i="45"/>
  <c r="C77" i="45"/>
  <c r="B77" i="49"/>
  <c r="B74" i="49"/>
  <c r="C68" i="45"/>
  <c r="B67" i="49"/>
  <c r="L66" i="45"/>
  <c r="B66" i="59"/>
  <c r="B66" i="49"/>
  <c r="L65" i="45"/>
  <c r="B63" i="49"/>
  <c r="R9" i="45"/>
  <c r="B15" i="49"/>
  <c r="B62" i="59"/>
  <c r="L61" i="45"/>
  <c r="L13" i="45"/>
  <c r="B60" i="59"/>
  <c r="E9" i="49"/>
  <c r="G9" i="49"/>
  <c r="J9" i="49"/>
  <c r="D9" i="49"/>
  <c r="I9" i="49"/>
  <c r="H9" i="49"/>
  <c r="L59" i="45"/>
  <c r="B23" i="59"/>
  <c r="B19" i="59"/>
  <c r="B28" i="59"/>
  <c r="B41" i="59"/>
  <c r="C82" i="45"/>
  <c r="L69" i="45"/>
  <c r="L19" i="45"/>
  <c r="C90" i="45"/>
  <c r="C43" i="45"/>
  <c r="L62" i="45"/>
  <c r="B25" i="59"/>
  <c r="C69" i="45"/>
  <c r="L95" i="45"/>
  <c r="L32" i="45"/>
  <c r="L94" i="45"/>
  <c r="B20" i="59"/>
  <c r="B47" i="59"/>
  <c r="L33" i="45"/>
  <c r="L18" i="45"/>
  <c r="C35" i="45"/>
  <c r="L89" i="45"/>
  <c r="B11" i="49"/>
  <c r="O57" i="59"/>
  <c r="B43" i="59"/>
  <c r="U9" i="45"/>
  <c r="C12" i="45"/>
  <c r="L82" i="45"/>
  <c r="H9" i="59"/>
  <c r="C66" i="45"/>
  <c r="L46" i="45"/>
  <c r="L73" i="45"/>
  <c r="C41" i="45"/>
  <c r="C78" i="45"/>
  <c r="C81" i="45"/>
  <c r="B88" i="59"/>
  <c r="L75" i="45"/>
  <c r="B24" i="49"/>
  <c r="C5" i="57"/>
  <c r="J57" i="59"/>
  <c r="I64" i="59"/>
  <c r="L68" i="45"/>
  <c r="L70" i="45"/>
  <c r="B72" i="59"/>
  <c r="C19" i="45"/>
  <c r="C22" i="45"/>
  <c r="C27" i="45"/>
  <c r="B59" i="49"/>
  <c r="L17" i="45"/>
  <c r="C67" i="45"/>
  <c r="L29" i="45"/>
  <c r="L92" i="45"/>
  <c r="B19" i="49"/>
  <c r="N57" i="59"/>
  <c r="L80" i="45"/>
  <c r="L64" i="45"/>
  <c r="B75" i="49"/>
  <c r="L72" i="45"/>
  <c r="B71" i="49"/>
  <c r="B45" i="49"/>
  <c r="C62" i="45"/>
  <c r="L84" i="45"/>
  <c r="B68" i="49"/>
  <c r="B78" i="49"/>
  <c r="L43" i="45"/>
  <c r="L85" i="45"/>
  <c r="L22" i="45"/>
  <c r="B33" i="49"/>
  <c r="B95" i="49"/>
  <c r="D74" i="52"/>
  <c r="C94" i="45"/>
  <c r="C89" i="45"/>
  <c r="C36" i="45"/>
  <c r="L44" i="45"/>
  <c r="C75" i="45"/>
  <c r="L12" i="45"/>
  <c r="C71" i="45"/>
  <c r="C31" i="45"/>
  <c r="C40" i="45"/>
  <c r="B90" i="49"/>
  <c r="L93" i="45"/>
  <c r="L60" i="45"/>
  <c r="C18" i="45"/>
  <c r="C25" i="45"/>
  <c r="C88" i="45"/>
  <c r="C46" i="45"/>
  <c r="L39" i="45"/>
  <c r="L26" i="45"/>
  <c r="C93" i="45"/>
  <c r="C85" i="45"/>
  <c r="C42" i="45"/>
  <c r="L67" i="45"/>
  <c r="C84" i="45"/>
  <c r="B73" i="49"/>
  <c r="B17" i="49"/>
  <c r="B29" i="49"/>
  <c r="B34" i="49"/>
  <c r="B46" i="49"/>
  <c r="B28" i="49"/>
  <c r="Q8" i="52"/>
  <c r="I58" i="59"/>
  <c r="C58" i="59"/>
  <c r="H57" i="59"/>
  <c r="L63" i="45"/>
  <c r="C73" i="45"/>
  <c r="C21" i="45"/>
  <c r="L28" i="45"/>
  <c r="L87" i="45"/>
  <c r="B40" i="49"/>
  <c r="B35" i="49"/>
  <c r="B20" i="49"/>
  <c r="G9" i="59"/>
  <c r="AL5" i="57"/>
  <c r="F5" i="57"/>
  <c r="C60" i="45"/>
  <c r="C95" i="45"/>
  <c r="B16" i="49"/>
  <c r="B37" i="49"/>
  <c r="N71" i="52"/>
  <c r="C64" i="45"/>
  <c r="C76" i="45"/>
  <c r="C39" i="45"/>
  <c r="C26" i="45"/>
  <c r="C32" i="45"/>
  <c r="L40" i="45"/>
  <c r="B79" i="49"/>
  <c r="B85" i="49"/>
  <c r="BQ5" i="44"/>
  <c r="L14" i="45"/>
  <c r="B41" i="49"/>
  <c r="AG5" i="54"/>
  <c r="C30" i="45"/>
  <c r="CB7" i="55"/>
  <c r="C59" i="45"/>
  <c r="B70" i="49"/>
  <c r="B65" i="49"/>
  <c r="AF5" i="54"/>
  <c r="C9" i="56"/>
  <c r="B10" i="56"/>
  <c r="N8" i="52"/>
  <c r="D12" i="52"/>
  <c r="B69" i="49"/>
  <c r="B62" i="49"/>
  <c r="B76" i="49"/>
  <c r="B81" i="49"/>
  <c r="B39" i="49"/>
  <c r="BV5" i="44"/>
  <c r="B5" i="51"/>
  <c r="B13" i="49"/>
  <c r="C9" i="49"/>
  <c r="R57" i="45"/>
  <c r="C11" i="45"/>
  <c r="C61" i="45"/>
  <c r="C63" i="45"/>
  <c r="L11" i="45"/>
  <c r="C14" i="45"/>
  <c r="L58" i="45"/>
  <c r="D57" i="45"/>
  <c r="T57" i="45"/>
  <c r="BF5" i="44"/>
  <c r="F9" i="45"/>
  <c r="L10" i="45"/>
  <c r="AP5" i="44"/>
  <c r="F57" i="45"/>
  <c r="M9" i="45"/>
  <c r="D9" i="45"/>
  <c r="E10" i="65"/>
  <c r="U10" i="65"/>
  <c r="AK10" i="65"/>
  <c r="BA10" i="65"/>
  <c r="BQ10" i="65"/>
  <c r="CG10" i="65"/>
  <c r="CW10" i="65"/>
  <c r="DK10" i="65"/>
  <c r="DY10" i="65"/>
  <c r="EM10" i="65"/>
  <c r="FA10" i="65"/>
  <c r="FO10" i="65"/>
  <c r="EL10" i="65"/>
  <c r="EZ10" i="65"/>
  <c r="FN10" i="65"/>
  <c r="CV10" i="65"/>
  <c r="DJ10" i="65"/>
  <c r="DX10" i="65"/>
  <c r="AZ10" i="65"/>
  <c r="BP10" i="65"/>
  <c r="CF10" i="65"/>
  <c r="D10" i="65"/>
  <c r="T10" i="65"/>
  <c r="AJ10" i="65"/>
  <c r="DA12" i="65"/>
  <c r="DO12" i="65"/>
  <c r="EC12" i="65"/>
  <c r="E8" i="65"/>
  <c r="U8" i="65"/>
  <c r="AK8" i="65"/>
  <c r="G8" i="65"/>
  <c r="W8" i="65"/>
  <c r="AM8" i="65"/>
  <c r="K8" i="65"/>
  <c r="AA8" i="65"/>
  <c r="AQ8" i="65"/>
  <c r="M8" i="65"/>
  <c r="AC8" i="65"/>
  <c r="AS8" i="65"/>
  <c r="O8" i="65"/>
  <c r="AE8" i="65"/>
  <c r="AU8" i="65"/>
  <c r="Q8" i="65"/>
  <c r="AG8" i="65"/>
  <c r="AW8" i="65"/>
  <c r="BA8" i="65"/>
  <c r="BQ8" i="65"/>
  <c r="CG8" i="65"/>
  <c r="BC8" i="65"/>
  <c r="BS8" i="65"/>
  <c r="CI8" i="65"/>
  <c r="BG8" i="65"/>
  <c r="BW8" i="65"/>
  <c r="BI8" i="65"/>
  <c r="BY8" i="65"/>
  <c r="BK8" i="65"/>
  <c r="CA8" i="65"/>
  <c r="CQ8" i="65"/>
  <c r="BM8" i="65"/>
  <c r="CC8" i="65"/>
  <c r="CS8" i="65"/>
  <c r="CW8" i="65"/>
  <c r="DK8" i="65"/>
  <c r="DY8" i="65"/>
  <c r="CY8" i="65"/>
  <c r="DM8" i="65"/>
  <c r="EA8" i="65"/>
  <c r="DA8" i="65"/>
  <c r="DO8" i="65"/>
  <c r="EC8" i="65"/>
  <c r="DC8" i="65"/>
  <c r="DQ8" i="65"/>
  <c r="EE8" i="65"/>
  <c r="DE8" i="65"/>
  <c r="DS8" i="65"/>
  <c r="EG8" i="65"/>
  <c r="DG8" i="65"/>
  <c r="DU8" i="65"/>
  <c r="EI8" i="65"/>
  <c r="EM8" i="65"/>
  <c r="FA8" i="65"/>
  <c r="FO8" i="65"/>
  <c r="EO8" i="65"/>
  <c r="FC8" i="65"/>
  <c r="FQ8" i="65"/>
  <c r="EQ8" i="65"/>
  <c r="FE8" i="65"/>
  <c r="FS8" i="65"/>
  <c r="ES8" i="65"/>
  <c r="FG8" i="65"/>
  <c r="EU8" i="65"/>
  <c r="FI8" i="65"/>
  <c r="FW8" i="65"/>
  <c r="EW8" i="65"/>
  <c r="FK8" i="65"/>
  <c r="FY8" i="65"/>
  <c r="E9" i="65"/>
  <c r="U9" i="65"/>
  <c r="AK9" i="65"/>
  <c r="W9" i="65"/>
  <c r="AM9" i="65"/>
  <c r="K9" i="65"/>
  <c r="AA9" i="65"/>
  <c r="AQ9" i="65"/>
  <c r="M9" i="65"/>
  <c r="AC9" i="65"/>
  <c r="AS9" i="65"/>
  <c r="O9" i="65"/>
  <c r="AE9" i="65"/>
  <c r="AU9" i="65"/>
  <c r="AG9" i="65"/>
  <c r="AW9" i="65"/>
  <c r="BA9" i="65"/>
  <c r="BQ9" i="65"/>
  <c r="CG9" i="65"/>
  <c r="BC9" i="65"/>
  <c r="BS9" i="65"/>
  <c r="CI9" i="65"/>
  <c r="BG9" i="65"/>
  <c r="BW9" i="65"/>
  <c r="BI9" i="65"/>
  <c r="BY9" i="65"/>
  <c r="CO9" i="65"/>
  <c r="BK9" i="65"/>
  <c r="CA9" i="65"/>
  <c r="CQ9" i="65"/>
  <c r="BM9" i="65"/>
  <c r="CC9" i="65"/>
  <c r="CS9" i="65"/>
  <c r="CW9" i="65"/>
  <c r="DK9" i="65"/>
  <c r="DY9" i="65"/>
  <c r="CY9" i="65"/>
  <c r="DM9" i="65"/>
  <c r="EA9" i="65"/>
  <c r="DA9" i="65"/>
  <c r="DO9" i="65"/>
  <c r="EC9" i="65"/>
  <c r="DC9" i="65"/>
  <c r="DQ9" i="65"/>
  <c r="EE9" i="65"/>
  <c r="DE9" i="65"/>
  <c r="DS9" i="65"/>
  <c r="EG9" i="65"/>
  <c r="DG9" i="65"/>
  <c r="DU9" i="65"/>
  <c r="EI9" i="65"/>
  <c r="EM9" i="65"/>
  <c r="FA9" i="65"/>
  <c r="FO9" i="65"/>
  <c r="EO9" i="65"/>
  <c r="FC9" i="65"/>
  <c r="FQ9" i="65"/>
  <c r="EQ9" i="65"/>
  <c r="FE9" i="65"/>
  <c r="FS9" i="65"/>
  <c r="ES9" i="65"/>
  <c r="FG9" i="65"/>
  <c r="FU9" i="65"/>
  <c r="EU9" i="65"/>
  <c r="FI9" i="65"/>
  <c r="EW9" i="65"/>
  <c r="FK9" i="65"/>
  <c r="FY9" i="65"/>
  <c r="G10" i="65"/>
  <c r="W10" i="65"/>
  <c r="AM10" i="65"/>
  <c r="K10" i="65"/>
  <c r="AA10" i="65"/>
  <c r="AQ10" i="65"/>
  <c r="M10" i="65"/>
  <c r="AC10" i="65"/>
  <c r="AS10" i="65"/>
  <c r="O10" i="65"/>
  <c r="AE10" i="65"/>
  <c r="AU10" i="65"/>
  <c r="Q10" i="65"/>
  <c r="AG10" i="65"/>
  <c r="AW10" i="65"/>
  <c r="BC10" i="65"/>
  <c r="BS10" i="65"/>
  <c r="CI10" i="65"/>
  <c r="BG10" i="65"/>
  <c r="BW10" i="65"/>
  <c r="BI10" i="65"/>
  <c r="BY10" i="65"/>
  <c r="CO10" i="65"/>
  <c r="BK10" i="65"/>
  <c r="CA10" i="65"/>
  <c r="CQ10" i="65"/>
  <c r="BM10" i="65"/>
  <c r="CC10" i="65"/>
  <c r="CS10" i="65"/>
  <c r="CY10" i="65"/>
  <c r="DM10" i="65"/>
  <c r="EA10" i="65"/>
  <c r="DA10" i="65"/>
  <c r="DO10" i="65"/>
  <c r="EC10" i="65"/>
  <c r="DC10" i="65"/>
  <c r="DQ10" i="65"/>
  <c r="EE10" i="65"/>
  <c r="DE10" i="65"/>
  <c r="DS10" i="65"/>
  <c r="EG10" i="65"/>
  <c r="DG10" i="65"/>
  <c r="DU10" i="65"/>
  <c r="EI10" i="65"/>
  <c r="EO10" i="65"/>
  <c r="FC10" i="65"/>
  <c r="FQ10" i="65"/>
  <c r="EQ10" i="65"/>
  <c r="FE10" i="65"/>
  <c r="FS10" i="65"/>
  <c r="ES10" i="65"/>
  <c r="FG10" i="65"/>
  <c r="FU10" i="65"/>
  <c r="EU10" i="65"/>
  <c r="FI10" i="65"/>
  <c r="FW10" i="65"/>
  <c r="EW10" i="65"/>
  <c r="FK10" i="65"/>
  <c r="FY10" i="65"/>
  <c r="E11" i="65"/>
  <c r="U11" i="65"/>
  <c r="AK11" i="65"/>
  <c r="W11" i="65"/>
  <c r="AM11" i="65"/>
  <c r="K11" i="65"/>
  <c r="AA11" i="65"/>
  <c r="AQ11" i="65"/>
  <c r="M11" i="65"/>
  <c r="AC11" i="65"/>
  <c r="AS11" i="65"/>
  <c r="O11" i="65"/>
  <c r="AE11" i="65"/>
  <c r="AU11" i="65"/>
  <c r="Q11" i="65"/>
  <c r="AG11" i="65"/>
  <c r="AW11" i="65"/>
  <c r="BA11" i="65"/>
  <c r="BQ11" i="65"/>
  <c r="CG11" i="65"/>
  <c r="BC11" i="65"/>
  <c r="BS11" i="65"/>
  <c r="CI11" i="65"/>
  <c r="BG11" i="65"/>
  <c r="BW11" i="65"/>
  <c r="BI11" i="65"/>
  <c r="BY11" i="65"/>
  <c r="CO11" i="65"/>
  <c r="BK11" i="65"/>
  <c r="CA11" i="65"/>
  <c r="CQ11" i="65"/>
  <c r="BM11" i="65"/>
  <c r="CC11" i="65"/>
  <c r="CS11" i="65"/>
  <c r="CW11" i="65"/>
  <c r="DK11" i="65"/>
  <c r="DY11" i="65"/>
  <c r="CY11" i="65"/>
  <c r="DM11" i="65"/>
  <c r="EA11" i="65"/>
  <c r="DA11" i="65"/>
  <c r="DO11" i="65"/>
  <c r="EC11" i="65"/>
  <c r="DC11" i="65"/>
  <c r="DQ11" i="65"/>
  <c r="EE11" i="65"/>
  <c r="DE11" i="65"/>
  <c r="DS11" i="65"/>
  <c r="EG11" i="65"/>
  <c r="DG11" i="65"/>
  <c r="DU11" i="65"/>
  <c r="EI11" i="65"/>
  <c r="EM11" i="65"/>
  <c r="FA11" i="65"/>
  <c r="FO11" i="65"/>
  <c r="EO11" i="65"/>
  <c r="FC11" i="65"/>
  <c r="FQ11" i="65"/>
  <c r="EQ11" i="65"/>
  <c r="FE11" i="65"/>
  <c r="FS11" i="65"/>
  <c r="ES11" i="65"/>
  <c r="FG11" i="65"/>
  <c r="FU11" i="65"/>
  <c r="EU11" i="65"/>
  <c r="FI11" i="65"/>
  <c r="FW11" i="65"/>
  <c r="EW11" i="65"/>
  <c r="FK11" i="65"/>
  <c r="FY11" i="65"/>
  <c r="E12" i="65"/>
  <c r="U12" i="65"/>
  <c r="AK12" i="65"/>
  <c r="G12" i="65"/>
  <c r="W12" i="65"/>
  <c r="AM12" i="65"/>
  <c r="K12" i="65"/>
  <c r="AA12" i="65"/>
  <c r="AQ12" i="65"/>
  <c r="M12" i="65"/>
  <c r="AC12" i="65"/>
  <c r="AS12" i="65"/>
  <c r="O12" i="65"/>
  <c r="AE12" i="65"/>
  <c r="AU12" i="65"/>
  <c r="Q12" i="65"/>
  <c r="AG12" i="65"/>
  <c r="AW12" i="65"/>
  <c r="BA12" i="65"/>
  <c r="BQ12" i="65"/>
  <c r="CG12" i="65"/>
  <c r="BC12" i="65"/>
  <c r="BS12" i="65"/>
  <c r="CI12" i="65"/>
  <c r="BG12" i="65"/>
  <c r="BW12" i="65"/>
  <c r="BI12" i="65"/>
  <c r="BY12" i="65"/>
  <c r="CO12" i="65"/>
  <c r="BK12" i="65"/>
  <c r="CA12" i="65"/>
  <c r="CQ12" i="65"/>
  <c r="BM12" i="65"/>
  <c r="CC12" i="65"/>
  <c r="CS12" i="65"/>
  <c r="CW12" i="65"/>
  <c r="DK12" i="65"/>
  <c r="DY12" i="65"/>
  <c r="CY12" i="65"/>
  <c r="DM12" i="65"/>
  <c r="EA12" i="65"/>
  <c r="DC12" i="65"/>
  <c r="DQ12" i="65"/>
  <c r="EE12" i="65"/>
  <c r="DE12" i="65"/>
  <c r="DS12" i="65"/>
  <c r="EG12" i="65"/>
  <c r="DG12" i="65"/>
  <c r="DU12" i="65"/>
  <c r="EI12" i="65"/>
  <c r="EM12" i="65"/>
  <c r="FA12" i="65"/>
  <c r="FO12" i="65"/>
  <c r="EO12" i="65"/>
  <c r="FC12" i="65"/>
  <c r="FQ12" i="65"/>
  <c r="EQ12" i="65"/>
  <c r="FE12" i="65"/>
  <c r="FS12" i="65"/>
  <c r="ES12" i="65"/>
  <c r="FG12" i="65"/>
  <c r="FU12" i="65"/>
  <c r="EU12" i="65"/>
  <c r="FI12" i="65"/>
  <c r="FW12" i="65"/>
  <c r="EW12" i="65"/>
  <c r="FK12" i="65"/>
  <c r="FY12" i="65"/>
  <c r="E13" i="65"/>
  <c r="U13" i="65"/>
  <c r="AK13" i="65"/>
  <c r="G13" i="65"/>
  <c r="W13" i="65"/>
  <c r="AM13" i="65"/>
  <c r="K13" i="65"/>
  <c r="AA13" i="65"/>
  <c r="AQ13" i="65"/>
  <c r="M13" i="65"/>
  <c r="AC13" i="65"/>
  <c r="AS13" i="65"/>
  <c r="O13" i="65"/>
  <c r="AE13" i="65"/>
  <c r="AU13" i="65"/>
  <c r="Q13" i="65"/>
  <c r="AG13" i="65"/>
  <c r="AW13" i="65"/>
  <c r="BA13" i="65"/>
  <c r="BQ13" i="65"/>
  <c r="CG13" i="65"/>
  <c r="BC13" i="65"/>
  <c r="BS13" i="65"/>
  <c r="CI13" i="65"/>
  <c r="BG13" i="65"/>
  <c r="BW13" i="65"/>
  <c r="BI13" i="65"/>
  <c r="BY13" i="65"/>
  <c r="CO13" i="65"/>
  <c r="BK13" i="65"/>
  <c r="CA13" i="65"/>
  <c r="CQ13" i="65"/>
  <c r="BM13" i="65"/>
  <c r="CC13" i="65"/>
  <c r="CW13" i="65"/>
  <c r="DK13" i="65"/>
  <c r="DY13" i="65"/>
  <c r="CY13" i="65"/>
  <c r="DM13" i="65"/>
  <c r="EA13" i="65"/>
  <c r="DA13" i="65"/>
  <c r="DO13" i="65"/>
  <c r="EC13" i="65"/>
  <c r="DC13" i="65"/>
  <c r="DQ13" i="65"/>
  <c r="EE13" i="65"/>
  <c r="DE13" i="65"/>
  <c r="DS13" i="65"/>
  <c r="EG13" i="65"/>
  <c r="DG13" i="65"/>
  <c r="DU13" i="65"/>
  <c r="EI13" i="65"/>
  <c r="EM13" i="65"/>
  <c r="FA13" i="65"/>
  <c r="FO13" i="65"/>
  <c r="EO13" i="65"/>
  <c r="FC13" i="65"/>
  <c r="FQ13" i="65"/>
  <c r="EQ13" i="65"/>
  <c r="FE13" i="65"/>
  <c r="FS13" i="65"/>
  <c r="ES13" i="65"/>
  <c r="FG13" i="65"/>
  <c r="FU13" i="65"/>
  <c r="FI13" i="65"/>
  <c r="FW13" i="65"/>
  <c r="EW13" i="65"/>
  <c r="FK13" i="65"/>
  <c r="FY13" i="65"/>
  <c r="E14" i="65"/>
  <c r="U14" i="65"/>
  <c r="AK14" i="65"/>
  <c r="G14" i="65"/>
  <c r="W14" i="65"/>
  <c r="AM14" i="65"/>
  <c r="K14" i="65"/>
  <c r="AA14" i="65"/>
  <c r="AQ14" i="65"/>
  <c r="M14" i="65"/>
  <c r="AC14" i="65"/>
  <c r="AS14" i="65"/>
  <c r="O14" i="65"/>
  <c r="AE14" i="65"/>
  <c r="AU14" i="65"/>
  <c r="Q14" i="65"/>
  <c r="AG14" i="65"/>
  <c r="AW14" i="65"/>
  <c r="BA14" i="65"/>
  <c r="BQ14" i="65"/>
  <c r="CG14" i="65"/>
  <c r="BC14" i="65"/>
  <c r="BS14" i="65"/>
  <c r="CI14" i="65"/>
  <c r="BW14" i="65"/>
  <c r="BI14" i="65"/>
  <c r="BY14" i="65"/>
  <c r="CO14" i="65"/>
  <c r="BK14" i="65"/>
  <c r="CA14" i="65"/>
  <c r="CQ14" i="65"/>
  <c r="BM14" i="65"/>
  <c r="CC14" i="65"/>
  <c r="CS14" i="65"/>
  <c r="CW14" i="65"/>
  <c r="DK14" i="65"/>
  <c r="DY14" i="65"/>
  <c r="CY14" i="65"/>
  <c r="DM14" i="65"/>
  <c r="EA14" i="65"/>
  <c r="DA14" i="65"/>
  <c r="DO14" i="65"/>
  <c r="EC14" i="65"/>
  <c r="DC14" i="65"/>
  <c r="DQ14" i="65"/>
  <c r="EE14" i="65"/>
  <c r="DE14" i="65"/>
  <c r="DS14" i="65"/>
  <c r="EG14" i="65"/>
  <c r="DG14" i="65"/>
  <c r="DU14" i="65"/>
  <c r="EI14" i="65"/>
  <c r="EM14" i="65"/>
  <c r="FA14" i="65"/>
  <c r="EO14" i="65"/>
  <c r="FC14" i="65"/>
  <c r="EQ14" i="65"/>
  <c r="FE14" i="65"/>
  <c r="ES14" i="65"/>
  <c r="FG14" i="65"/>
  <c r="EU14" i="65"/>
  <c r="FI14" i="65"/>
  <c r="EW14" i="65"/>
  <c r="FK14" i="65"/>
  <c r="E15" i="65"/>
  <c r="G15" i="65"/>
  <c r="W15" i="65"/>
  <c r="AM15" i="65"/>
  <c r="K15" i="65"/>
  <c r="AA15" i="65"/>
  <c r="AQ15" i="65"/>
  <c r="M15" i="65"/>
  <c r="AC15" i="65"/>
  <c r="AS15" i="65"/>
  <c r="O15" i="65"/>
  <c r="AE15" i="65"/>
  <c r="Q15" i="65"/>
  <c r="AG15" i="65"/>
  <c r="AW15" i="65"/>
  <c r="BA15" i="65"/>
  <c r="BQ15" i="65"/>
  <c r="CG15" i="65"/>
  <c r="BC15" i="65"/>
  <c r="BS15" i="65"/>
  <c r="CI15" i="65"/>
  <c r="BG15" i="65"/>
  <c r="BW15" i="65"/>
  <c r="BI15" i="65"/>
  <c r="BY15" i="65"/>
  <c r="CO15" i="65"/>
  <c r="BK15" i="65"/>
  <c r="CA15" i="65"/>
  <c r="CQ15" i="65"/>
  <c r="BM15" i="65"/>
  <c r="CC15" i="65"/>
  <c r="CS15" i="65"/>
  <c r="CW15" i="65"/>
  <c r="DK15" i="65"/>
  <c r="DY15" i="65"/>
  <c r="CY15" i="65"/>
  <c r="DM15" i="65"/>
  <c r="EA15" i="65"/>
  <c r="DA15" i="65"/>
  <c r="DO15" i="65"/>
  <c r="EC15" i="65"/>
  <c r="DC15" i="65"/>
  <c r="DQ15" i="65"/>
  <c r="EE15" i="65"/>
  <c r="DE15" i="65"/>
  <c r="DS15" i="65"/>
  <c r="EG15" i="65"/>
  <c r="DG15" i="65"/>
  <c r="DU15" i="65"/>
  <c r="EI15" i="65"/>
  <c r="EM15" i="65"/>
  <c r="FA15" i="65"/>
  <c r="FO15" i="65"/>
  <c r="EO15" i="65"/>
  <c r="FC15" i="65"/>
  <c r="FQ15" i="65"/>
  <c r="EQ15" i="65"/>
  <c r="FE15" i="65"/>
  <c r="FS15" i="65"/>
  <c r="ES15" i="65"/>
  <c r="FG15" i="65"/>
  <c r="FU15" i="65"/>
  <c r="EU15" i="65"/>
  <c r="FI15" i="65"/>
  <c r="FW15" i="65"/>
  <c r="EW15" i="65"/>
  <c r="FK15" i="65"/>
  <c r="FY15" i="65"/>
  <c r="E16" i="65"/>
  <c r="U16" i="65"/>
  <c r="G16" i="65"/>
  <c r="AM16" i="65"/>
  <c r="K16" i="65"/>
  <c r="AA16" i="65"/>
  <c r="M16" i="65"/>
  <c r="AC16" i="65"/>
  <c r="AS16" i="65"/>
  <c r="O16" i="65"/>
  <c r="AE16" i="65"/>
  <c r="AU16" i="65"/>
  <c r="AG16" i="65"/>
  <c r="AW16" i="65"/>
  <c r="BA16" i="65"/>
  <c r="BQ16" i="65"/>
  <c r="CG16" i="65"/>
  <c r="BC16" i="65"/>
  <c r="BS16" i="65"/>
  <c r="CI16" i="65"/>
  <c r="BG16" i="65"/>
  <c r="BW16" i="65"/>
  <c r="BI16" i="65"/>
  <c r="CO16" i="65"/>
  <c r="BK16" i="65"/>
  <c r="CA16" i="65"/>
  <c r="CQ16" i="65"/>
  <c r="BM16" i="65"/>
  <c r="CC16" i="65"/>
  <c r="CS16" i="65"/>
  <c r="DK16" i="65"/>
  <c r="DY16" i="65"/>
  <c r="DS16" i="65"/>
  <c r="EG16" i="65"/>
  <c r="EI16" i="65"/>
  <c r="EM16" i="65"/>
  <c r="FA16" i="65"/>
  <c r="FO16" i="65"/>
  <c r="EO16" i="65"/>
  <c r="FC16" i="65"/>
  <c r="FQ16" i="65"/>
  <c r="EQ16" i="65"/>
  <c r="FE16" i="65"/>
  <c r="FS16" i="65"/>
  <c r="ES16" i="65"/>
  <c r="FG16" i="65"/>
  <c r="FU16" i="65"/>
  <c r="EU16" i="65"/>
  <c r="FI16" i="65"/>
  <c r="FW16" i="65"/>
  <c r="EW16" i="65"/>
  <c r="FK16" i="65"/>
  <c r="FY16" i="65"/>
  <c r="E17" i="65"/>
  <c r="U17" i="65"/>
  <c r="AK17" i="65"/>
  <c r="G17" i="65"/>
  <c r="W17" i="65"/>
  <c r="AM17" i="65"/>
  <c r="K17" i="65"/>
  <c r="AA17" i="65"/>
  <c r="AQ17" i="65"/>
  <c r="M17" i="65"/>
  <c r="AC17" i="65"/>
  <c r="AS17" i="65"/>
  <c r="O17" i="65"/>
  <c r="AE17" i="65"/>
  <c r="AU17" i="65"/>
  <c r="Q17" i="65"/>
  <c r="AG17" i="65"/>
  <c r="AW17" i="65"/>
  <c r="BA17" i="65"/>
  <c r="BQ17" i="65"/>
  <c r="CG17" i="65"/>
  <c r="BC17" i="65"/>
  <c r="BS17" i="65"/>
  <c r="CI17" i="65"/>
  <c r="BG17" i="65"/>
  <c r="BW17" i="65"/>
  <c r="BI17" i="65"/>
  <c r="BY17" i="65"/>
  <c r="CO17" i="65"/>
  <c r="BK17" i="65"/>
  <c r="CA17" i="65"/>
  <c r="CQ17" i="65"/>
  <c r="BM17" i="65"/>
  <c r="CC17" i="65"/>
  <c r="CS17" i="65"/>
  <c r="CW17" i="65"/>
  <c r="DK17" i="65"/>
  <c r="DY17" i="65"/>
  <c r="CY17" i="65"/>
  <c r="DM17" i="65"/>
  <c r="EA17" i="65"/>
  <c r="DA17" i="65"/>
  <c r="DO17" i="65"/>
  <c r="EC17" i="65"/>
  <c r="DC17" i="65"/>
  <c r="DQ17" i="65"/>
  <c r="EE17" i="65"/>
  <c r="DE17" i="65"/>
  <c r="DS17" i="65"/>
  <c r="EG17" i="65"/>
  <c r="DG17" i="65"/>
  <c r="DU17" i="65"/>
  <c r="EI17" i="65"/>
  <c r="EM17" i="65"/>
  <c r="FA17" i="65"/>
  <c r="FO17" i="65"/>
  <c r="EO17" i="65"/>
  <c r="FC17" i="65"/>
  <c r="FQ17" i="65"/>
  <c r="EQ17" i="65"/>
  <c r="FE17" i="65"/>
  <c r="FS17" i="65"/>
  <c r="ES17" i="65"/>
  <c r="FG17" i="65"/>
  <c r="FU17" i="65"/>
  <c r="EU17" i="65"/>
  <c r="FI17" i="65"/>
  <c r="FW17" i="65"/>
  <c r="EW17" i="65"/>
  <c r="FK17" i="65"/>
  <c r="FY17" i="65"/>
  <c r="E18" i="65"/>
  <c r="U18" i="65"/>
  <c r="AK18" i="65"/>
  <c r="G18" i="65"/>
  <c r="W18" i="65"/>
  <c r="AM18" i="65"/>
  <c r="K18" i="65"/>
  <c r="AA18" i="65"/>
  <c r="AQ18" i="65"/>
  <c r="M18" i="65"/>
  <c r="AC18" i="65"/>
  <c r="AS18" i="65"/>
  <c r="O18" i="65"/>
  <c r="AE18" i="65"/>
  <c r="AU18" i="65"/>
  <c r="AG18" i="65"/>
  <c r="AW18" i="65"/>
  <c r="BA18" i="65"/>
  <c r="BQ18" i="65"/>
  <c r="BC18" i="65"/>
  <c r="BS18" i="65"/>
  <c r="CI18" i="65"/>
  <c r="BG18" i="65"/>
  <c r="BW18" i="65"/>
  <c r="BY18" i="65"/>
  <c r="CO18" i="65"/>
  <c r="BK18" i="65"/>
  <c r="CA18" i="65"/>
  <c r="BM18" i="65"/>
  <c r="CC18" i="65"/>
  <c r="CS18" i="65"/>
  <c r="CW18" i="65"/>
  <c r="DK18" i="65"/>
  <c r="DY18" i="65"/>
  <c r="CY18" i="65"/>
  <c r="EA18" i="65"/>
  <c r="DA18" i="65"/>
  <c r="DO18" i="65"/>
  <c r="EC18" i="65"/>
  <c r="DC18" i="65"/>
  <c r="DQ18" i="65"/>
  <c r="EE18" i="65"/>
  <c r="DE18" i="65"/>
  <c r="DS18" i="65"/>
  <c r="EG18" i="65"/>
  <c r="DG18" i="65"/>
  <c r="DU18" i="65"/>
  <c r="EI18" i="65"/>
  <c r="EM18" i="65"/>
  <c r="FA18" i="65"/>
  <c r="FO18" i="65"/>
  <c r="EO18" i="65"/>
  <c r="FC18" i="65"/>
  <c r="FQ18" i="65"/>
  <c r="EQ18" i="65"/>
  <c r="FE18" i="65"/>
  <c r="FS18" i="65"/>
  <c r="FG18" i="65"/>
  <c r="FU18" i="65"/>
  <c r="EU18" i="65"/>
  <c r="FI18" i="65"/>
  <c r="FW18" i="65"/>
  <c r="EW18" i="65"/>
  <c r="FK18" i="65"/>
  <c r="FY18" i="65"/>
  <c r="E19" i="65"/>
  <c r="U19" i="65"/>
  <c r="AK19" i="65"/>
  <c r="G19" i="65"/>
  <c r="W19" i="65"/>
  <c r="AM19" i="65"/>
  <c r="K19" i="65"/>
  <c r="AA19" i="65"/>
  <c r="AQ19" i="65"/>
  <c r="M19" i="65"/>
  <c r="AC19" i="65"/>
  <c r="AS19" i="65"/>
  <c r="O19" i="65"/>
  <c r="AE19" i="65"/>
  <c r="AU19" i="65"/>
  <c r="Q19" i="65"/>
  <c r="AG19" i="65"/>
  <c r="AW19" i="65"/>
  <c r="BA19" i="65"/>
  <c r="BQ19" i="65"/>
  <c r="BC19" i="65"/>
  <c r="BS19" i="65"/>
  <c r="CI19" i="65"/>
  <c r="BG19" i="65"/>
  <c r="BW19" i="65"/>
  <c r="BI19" i="65"/>
  <c r="BY19" i="65"/>
  <c r="CO19" i="65"/>
  <c r="BK19" i="65"/>
  <c r="CA19" i="65"/>
  <c r="CQ19" i="65"/>
  <c r="BM19" i="65"/>
  <c r="CC19" i="65"/>
  <c r="CS19" i="65"/>
  <c r="CW19" i="65"/>
  <c r="DK19" i="65"/>
  <c r="DY19" i="65"/>
  <c r="CY19" i="65"/>
  <c r="DM19" i="65"/>
  <c r="EA19" i="65"/>
  <c r="DA19" i="65"/>
  <c r="DO19" i="65"/>
  <c r="EC19" i="65"/>
  <c r="DC19" i="65"/>
  <c r="DQ19" i="65"/>
  <c r="EE19" i="65"/>
  <c r="DE19" i="65"/>
  <c r="DS19" i="65"/>
  <c r="EG19" i="65"/>
  <c r="DG19" i="65"/>
  <c r="EI19" i="65"/>
  <c r="EM19" i="65"/>
  <c r="FA19" i="65"/>
  <c r="FO19" i="65"/>
  <c r="EO19" i="65"/>
  <c r="FC19" i="65"/>
  <c r="FQ19" i="65"/>
  <c r="EQ19" i="65"/>
  <c r="FE19" i="65"/>
  <c r="FS19" i="65"/>
  <c r="ES19" i="65"/>
  <c r="FG19" i="65"/>
  <c r="FU19" i="65"/>
  <c r="EU19" i="65"/>
  <c r="FI19" i="65"/>
  <c r="FW19" i="65"/>
  <c r="EW19" i="65"/>
  <c r="FK19" i="65"/>
  <c r="FY19" i="65"/>
  <c r="E20" i="65"/>
  <c r="U20" i="65"/>
  <c r="AK20" i="65"/>
  <c r="G20" i="65"/>
  <c r="W20" i="65"/>
  <c r="AM20" i="65"/>
  <c r="K20" i="65"/>
  <c r="AA20" i="65"/>
  <c r="AQ20" i="65"/>
  <c r="M20" i="65"/>
  <c r="AC20" i="65"/>
  <c r="AS20" i="65"/>
  <c r="O20" i="65"/>
  <c r="AE20" i="65"/>
  <c r="AU20" i="65"/>
  <c r="Q20" i="65"/>
  <c r="AG20" i="65"/>
  <c r="AW20" i="65"/>
  <c r="BA20" i="65"/>
  <c r="BQ20" i="65"/>
  <c r="CG20" i="65"/>
  <c r="BC20" i="65"/>
  <c r="BS20" i="65"/>
  <c r="CI20" i="65"/>
  <c r="BG20" i="65"/>
  <c r="BW20" i="65"/>
  <c r="BI20" i="65"/>
  <c r="BY20" i="65"/>
  <c r="CO20" i="65"/>
  <c r="BK20" i="65"/>
  <c r="CA20" i="65"/>
  <c r="CQ20" i="65"/>
  <c r="BM20" i="65"/>
  <c r="CC20" i="65"/>
  <c r="CS20" i="65"/>
  <c r="CW20" i="65"/>
  <c r="DK20" i="65"/>
  <c r="CY20" i="65"/>
  <c r="DM20" i="65"/>
  <c r="EA20" i="65"/>
  <c r="DA20" i="65"/>
  <c r="DO20" i="65"/>
  <c r="EC20" i="65"/>
  <c r="DC20" i="65"/>
  <c r="DQ20" i="65"/>
  <c r="EE20" i="65"/>
  <c r="DE20" i="65"/>
  <c r="DS20" i="65"/>
  <c r="DG20" i="65"/>
  <c r="DU20" i="65"/>
  <c r="EI20" i="65"/>
  <c r="EM20" i="65"/>
  <c r="FA20" i="65"/>
  <c r="FO20" i="65"/>
  <c r="EO20" i="65"/>
  <c r="FC20" i="65"/>
  <c r="FQ20" i="65"/>
  <c r="EQ20" i="65"/>
  <c r="FE20" i="65"/>
  <c r="ES20" i="65"/>
  <c r="FG20" i="65"/>
  <c r="FU20" i="65"/>
  <c r="EU20" i="65"/>
  <c r="FI20" i="65"/>
  <c r="EW20" i="65"/>
  <c r="FK20" i="65"/>
  <c r="FY20" i="65"/>
  <c r="E21" i="65"/>
  <c r="U21" i="65"/>
  <c r="AK21" i="65"/>
  <c r="G21" i="65"/>
  <c r="W21" i="65"/>
  <c r="AM21" i="65"/>
  <c r="K21" i="65"/>
  <c r="AA21" i="65"/>
  <c r="AQ21" i="65"/>
  <c r="M21" i="65"/>
  <c r="AC21" i="65"/>
  <c r="AS21" i="65"/>
  <c r="O21" i="65"/>
  <c r="AE21" i="65"/>
  <c r="AU21" i="65"/>
  <c r="Q21" i="65"/>
  <c r="AG21" i="65"/>
  <c r="AW21" i="65"/>
  <c r="BA21" i="65"/>
  <c r="BQ21" i="65"/>
  <c r="CG21" i="65"/>
  <c r="BC21" i="65"/>
  <c r="BS21" i="65"/>
  <c r="CI21" i="65"/>
  <c r="BG21" i="65"/>
  <c r="BW21" i="65"/>
  <c r="BI21" i="65"/>
  <c r="BY21" i="65"/>
  <c r="CO21" i="65"/>
  <c r="BK21" i="65"/>
  <c r="CA21" i="65"/>
  <c r="CQ21" i="65"/>
  <c r="BM21" i="65"/>
  <c r="CC21" i="65"/>
  <c r="CS21" i="65"/>
  <c r="CW21" i="65"/>
  <c r="DK21" i="65"/>
  <c r="DY21" i="65"/>
  <c r="CY21" i="65"/>
  <c r="DM21" i="65"/>
  <c r="EA21" i="65"/>
  <c r="DA21" i="65"/>
  <c r="DO21" i="65"/>
  <c r="EC21" i="65"/>
  <c r="DC21" i="65"/>
  <c r="DQ21" i="65"/>
  <c r="EE21" i="65"/>
  <c r="DE21" i="65"/>
  <c r="DS21" i="65"/>
  <c r="EG21" i="65"/>
  <c r="DG21" i="65"/>
  <c r="DU21" i="65"/>
  <c r="EI21" i="65"/>
  <c r="EM21" i="65"/>
  <c r="FA21" i="65"/>
  <c r="FO21" i="65"/>
  <c r="EO21" i="65"/>
  <c r="FC21" i="65"/>
  <c r="FQ21" i="65"/>
  <c r="EQ21" i="65"/>
  <c r="FE21" i="65"/>
  <c r="FS21" i="65"/>
  <c r="ES21" i="65"/>
  <c r="FG21" i="65"/>
  <c r="FU21" i="65"/>
  <c r="EU21" i="65"/>
  <c r="FI21" i="65"/>
  <c r="FW21" i="65"/>
  <c r="EW21" i="65"/>
  <c r="FK21" i="65"/>
  <c r="FY21" i="65"/>
  <c r="E22" i="65"/>
  <c r="AK22" i="65"/>
  <c r="AM22" i="65"/>
  <c r="K22" i="65"/>
  <c r="AQ22" i="65"/>
  <c r="M22" i="65"/>
  <c r="AS22" i="65"/>
  <c r="O22" i="65"/>
  <c r="AU22" i="65"/>
  <c r="Q22" i="65"/>
  <c r="AW22" i="65"/>
  <c r="BA22" i="65"/>
  <c r="BQ22" i="65"/>
  <c r="BC22" i="65"/>
  <c r="BS22" i="65"/>
  <c r="CI22" i="65"/>
  <c r="BG22" i="65"/>
  <c r="BW22" i="65"/>
  <c r="BI22" i="65"/>
  <c r="BY22" i="65"/>
  <c r="CO22" i="65"/>
  <c r="BK22" i="65"/>
  <c r="CA22" i="65"/>
  <c r="BM22" i="65"/>
  <c r="CS22" i="65"/>
  <c r="CW22" i="65"/>
  <c r="DK22" i="65"/>
  <c r="CY22" i="65"/>
  <c r="DM22" i="65"/>
  <c r="EA22" i="65"/>
  <c r="DO22" i="65"/>
  <c r="EC22" i="65"/>
  <c r="DC22" i="65"/>
  <c r="DQ22" i="65"/>
  <c r="EE22" i="65"/>
  <c r="DS22" i="65"/>
  <c r="EG22" i="65"/>
  <c r="DG22" i="65"/>
  <c r="DU22" i="65"/>
  <c r="EI22" i="65"/>
  <c r="EM22" i="65"/>
  <c r="FA22" i="65"/>
  <c r="FO22" i="65"/>
  <c r="EO22" i="65"/>
  <c r="FE22" i="65"/>
  <c r="FS22" i="65"/>
  <c r="ES22" i="65"/>
  <c r="FG22" i="65"/>
  <c r="FU22" i="65"/>
  <c r="EU22" i="65"/>
  <c r="FI22" i="65"/>
  <c r="FW22" i="65"/>
  <c r="EW22" i="65"/>
  <c r="FK22" i="65"/>
  <c r="FY22" i="65"/>
  <c r="E23" i="65"/>
  <c r="U23" i="65"/>
  <c r="AK23" i="65"/>
  <c r="G23" i="65"/>
  <c r="W23" i="65"/>
  <c r="AM23" i="65"/>
  <c r="K23" i="65"/>
  <c r="AA23" i="65"/>
  <c r="AQ23" i="65"/>
  <c r="M23" i="65"/>
  <c r="AC23" i="65"/>
  <c r="AS23" i="65"/>
  <c r="O23" i="65"/>
  <c r="AE23" i="65"/>
  <c r="AU23" i="65"/>
  <c r="Q23" i="65"/>
  <c r="AG23" i="65"/>
  <c r="AW23" i="65"/>
  <c r="BA23" i="65"/>
  <c r="BQ23" i="65"/>
  <c r="CG23" i="65"/>
  <c r="BC23" i="65"/>
  <c r="BS23" i="65"/>
  <c r="CI23" i="65"/>
  <c r="BG23" i="65"/>
  <c r="BW23" i="65"/>
  <c r="BI23" i="65"/>
  <c r="BY23" i="65"/>
  <c r="CO23" i="65"/>
  <c r="BK23" i="65"/>
  <c r="CA23" i="65"/>
  <c r="CQ23" i="65"/>
  <c r="BM23" i="65"/>
  <c r="CC23" i="65"/>
  <c r="CS23" i="65"/>
  <c r="CW23" i="65"/>
  <c r="DK23" i="65"/>
  <c r="DY23" i="65"/>
  <c r="CY23" i="65"/>
  <c r="DM23" i="65"/>
  <c r="EA23" i="65"/>
  <c r="DA23" i="65"/>
  <c r="DO23" i="65"/>
  <c r="EC23" i="65"/>
  <c r="DC23" i="65"/>
  <c r="DQ23" i="65"/>
  <c r="EE23" i="65"/>
  <c r="DE23" i="65"/>
  <c r="DS23" i="65"/>
  <c r="EG23" i="65"/>
  <c r="DG23" i="65"/>
  <c r="DU23" i="65"/>
  <c r="EI23" i="65"/>
  <c r="EM23" i="65"/>
  <c r="FA23" i="65"/>
  <c r="FO23" i="65"/>
  <c r="EO23" i="65"/>
  <c r="FC23" i="65"/>
  <c r="FQ23" i="65"/>
  <c r="EQ23" i="65"/>
  <c r="FE23" i="65"/>
  <c r="FS23" i="65"/>
  <c r="ES23" i="65"/>
  <c r="FG23" i="65"/>
  <c r="FU23" i="65"/>
  <c r="EU23" i="65"/>
  <c r="FI23" i="65"/>
  <c r="FW23" i="65"/>
  <c r="EW23" i="65"/>
  <c r="FK23" i="65"/>
  <c r="FY23" i="65"/>
  <c r="E24" i="65"/>
  <c r="U24" i="65"/>
  <c r="AK24" i="65"/>
  <c r="G24" i="65"/>
  <c r="W24" i="65"/>
  <c r="K24" i="65"/>
  <c r="AA24" i="65"/>
  <c r="AQ24" i="65"/>
  <c r="M24" i="65"/>
  <c r="AC24" i="65"/>
  <c r="AS24" i="65"/>
  <c r="O24" i="65"/>
  <c r="AU24" i="65"/>
  <c r="Q24" i="65"/>
  <c r="AG24" i="65"/>
  <c r="AW24" i="65"/>
  <c r="BA24" i="65"/>
  <c r="BQ24" i="65"/>
  <c r="CG24" i="65"/>
  <c r="BC24" i="65"/>
  <c r="BS24" i="65"/>
  <c r="CI24" i="65"/>
  <c r="BG24" i="65"/>
  <c r="BW24" i="65"/>
  <c r="BI24" i="65"/>
  <c r="BY24" i="65"/>
  <c r="BK24" i="65"/>
  <c r="CA24" i="65"/>
  <c r="CQ24" i="65"/>
  <c r="BM24" i="65"/>
  <c r="CC24" i="65"/>
  <c r="CS24" i="65"/>
  <c r="CW24" i="65"/>
  <c r="DK24" i="65"/>
  <c r="DY24" i="65"/>
  <c r="CY24" i="65"/>
  <c r="DM24" i="65"/>
  <c r="EA24" i="65"/>
  <c r="DA24" i="65"/>
  <c r="DO24" i="65"/>
  <c r="EC24" i="65"/>
  <c r="DC24" i="65"/>
  <c r="DQ24" i="65"/>
  <c r="EE24" i="65"/>
  <c r="DE24" i="65"/>
  <c r="DS24" i="65"/>
  <c r="EG24" i="65"/>
  <c r="DG24" i="65"/>
  <c r="DU24" i="65"/>
  <c r="EI24" i="65"/>
  <c r="EM24" i="65"/>
  <c r="FA24" i="65"/>
  <c r="FO24" i="65"/>
  <c r="EO24" i="65"/>
  <c r="FC24" i="65"/>
  <c r="FQ24" i="65"/>
  <c r="EQ24" i="65"/>
  <c r="FE24" i="65"/>
  <c r="FS24" i="65"/>
  <c r="ES24" i="65"/>
  <c r="FG24" i="65"/>
  <c r="FU24" i="65"/>
  <c r="EU24" i="65"/>
  <c r="FI24" i="65"/>
  <c r="FW24" i="65"/>
  <c r="EW24" i="65"/>
  <c r="FK24" i="65"/>
  <c r="FY24" i="65"/>
  <c r="E25" i="65"/>
  <c r="U25" i="65"/>
  <c r="AK25" i="65"/>
  <c r="G25" i="65"/>
  <c r="AM25" i="65"/>
  <c r="K25" i="65"/>
  <c r="AA25" i="65"/>
  <c r="AQ25" i="65"/>
  <c r="M25" i="65"/>
  <c r="AC25" i="65"/>
  <c r="AS25" i="65"/>
  <c r="O25" i="65"/>
  <c r="AE25" i="65"/>
  <c r="AU25" i="65"/>
  <c r="Q25" i="65"/>
  <c r="AG25" i="65"/>
  <c r="AW25" i="65"/>
  <c r="BA25" i="65"/>
  <c r="BQ25" i="65"/>
  <c r="CG25" i="65"/>
  <c r="BC25" i="65"/>
  <c r="BS25" i="65"/>
  <c r="CI25" i="65"/>
  <c r="BG25" i="65"/>
  <c r="BW25" i="65"/>
  <c r="BI25" i="65"/>
  <c r="BY25" i="65"/>
  <c r="CO25" i="65"/>
  <c r="BK25" i="65"/>
  <c r="CA25" i="65"/>
  <c r="CQ25" i="65"/>
  <c r="BM25" i="65"/>
  <c r="CC25" i="65"/>
  <c r="CS25" i="65"/>
  <c r="CW25" i="65"/>
  <c r="DY25" i="65"/>
  <c r="CY25" i="65"/>
  <c r="EA25" i="65"/>
  <c r="DA25" i="65"/>
  <c r="EE25" i="65"/>
  <c r="DE25" i="65"/>
  <c r="EG25" i="65"/>
  <c r="DG25" i="65"/>
  <c r="EI25" i="65"/>
  <c r="EM25" i="65"/>
  <c r="FO25" i="65"/>
  <c r="EO25" i="65"/>
  <c r="FC25" i="65"/>
  <c r="EQ25" i="65"/>
  <c r="FE25" i="65"/>
  <c r="FS25" i="65"/>
  <c r="ES25" i="65"/>
  <c r="FG25" i="65"/>
  <c r="FU25" i="65"/>
  <c r="EU25" i="65"/>
  <c r="FI25" i="65"/>
  <c r="FW25" i="65"/>
  <c r="EW25" i="65"/>
  <c r="FK25" i="65"/>
  <c r="E26" i="65"/>
  <c r="U26" i="65"/>
  <c r="AK26" i="65"/>
  <c r="G26" i="65"/>
  <c r="W26" i="65"/>
  <c r="AM26" i="65"/>
  <c r="K26" i="65"/>
  <c r="AA26" i="65"/>
  <c r="AQ26" i="65"/>
  <c r="M26" i="65"/>
  <c r="AC26" i="65"/>
  <c r="AS26" i="65"/>
  <c r="AE26" i="65"/>
  <c r="AU26" i="65"/>
  <c r="Q26" i="65"/>
  <c r="AG26" i="65"/>
  <c r="AW26" i="65"/>
  <c r="BA26" i="65"/>
  <c r="BQ26" i="65"/>
  <c r="CG26" i="65"/>
  <c r="BC26" i="65"/>
  <c r="BS26" i="65"/>
  <c r="CI26" i="65"/>
  <c r="BG26" i="65"/>
  <c r="BW26" i="65"/>
  <c r="BI26" i="65"/>
  <c r="BY26" i="65"/>
  <c r="CO26" i="65"/>
  <c r="BK26" i="65"/>
  <c r="CA26" i="65"/>
  <c r="CQ26" i="65"/>
  <c r="BM26" i="65"/>
  <c r="CC26" i="65"/>
  <c r="CS26" i="65"/>
  <c r="CW26" i="65"/>
  <c r="DK26" i="65"/>
  <c r="DY26" i="65"/>
  <c r="CY26" i="65"/>
  <c r="DM26" i="65"/>
  <c r="EA26" i="65"/>
  <c r="DO26" i="65"/>
  <c r="EC26" i="65"/>
  <c r="DC26" i="65"/>
  <c r="DQ26" i="65"/>
  <c r="DE26" i="65"/>
  <c r="DS26" i="65"/>
  <c r="EG26" i="65"/>
  <c r="DG26" i="65"/>
  <c r="DU26" i="65"/>
  <c r="EI26" i="65"/>
  <c r="EM26" i="65"/>
  <c r="FA26" i="65"/>
  <c r="EO26" i="65"/>
  <c r="FC26" i="65"/>
  <c r="FQ26" i="65"/>
  <c r="EQ26" i="65"/>
  <c r="FE26" i="65"/>
  <c r="FS26" i="65"/>
  <c r="ES26" i="65"/>
  <c r="FG26" i="65"/>
  <c r="FU26" i="65"/>
  <c r="EU26" i="65"/>
  <c r="FI26" i="65"/>
  <c r="EW26" i="65"/>
  <c r="FK26" i="65"/>
  <c r="E27" i="65"/>
  <c r="U27" i="65"/>
  <c r="AK27" i="65"/>
  <c r="G27" i="65"/>
  <c r="W27" i="65"/>
  <c r="AM27" i="65"/>
  <c r="K27" i="65"/>
  <c r="AA27" i="65"/>
  <c r="AQ27" i="65"/>
  <c r="M27" i="65"/>
  <c r="AC27" i="65"/>
  <c r="AS27" i="65"/>
  <c r="O27" i="65"/>
  <c r="AE27" i="65"/>
  <c r="AU27" i="65"/>
  <c r="Q27" i="65"/>
  <c r="AG27" i="65"/>
  <c r="AW27" i="65"/>
  <c r="BA27" i="65"/>
  <c r="BQ27" i="65"/>
  <c r="CG27" i="65"/>
  <c r="BC27" i="65"/>
  <c r="BS27" i="65"/>
  <c r="CI27" i="65"/>
  <c r="BG27" i="65"/>
  <c r="BW27" i="65"/>
  <c r="BI27" i="65"/>
  <c r="BY27" i="65"/>
  <c r="CO27" i="65"/>
  <c r="BK27" i="65"/>
  <c r="CA27" i="65"/>
  <c r="CQ27" i="65"/>
  <c r="BM27" i="65"/>
  <c r="CC27" i="65"/>
  <c r="CS27" i="65"/>
  <c r="CW27" i="65"/>
  <c r="DK27" i="65"/>
  <c r="DY27" i="65"/>
  <c r="CY27" i="65"/>
  <c r="DM27" i="65"/>
  <c r="EA27" i="65"/>
  <c r="DA27" i="65"/>
  <c r="DO27" i="65"/>
  <c r="EC27" i="65"/>
  <c r="DC27" i="65"/>
  <c r="DQ27" i="65"/>
  <c r="DE27" i="65"/>
  <c r="DS27" i="65"/>
  <c r="EG27" i="65"/>
  <c r="DG27" i="65"/>
  <c r="DU27" i="65"/>
  <c r="EI27" i="65"/>
  <c r="EM27" i="65"/>
  <c r="FA27" i="65"/>
  <c r="EO27" i="65"/>
  <c r="FC27" i="65"/>
  <c r="FQ27" i="65"/>
  <c r="EQ27" i="65"/>
  <c r="FE27" i="65"/>
  <c r="FS27" i="65"/>
  <c r="ES27" i="65"/>
  <c r="FG27" i="65"/>
  <c r="FU27" i="65"/>
  <c r="EU27" i="65"/>
  <c r="FI27" i="65"/>
  <c r="EW27" i="65"/>
  <c r="FK27" i="65"/>
  <c r="FY27" i="65"/>
  <c r="E28" i="65"/>
  <c r="U28" i="65"/>
  <c r="AK28" i="65"/>
  <c r="G28" i="65"/>
  <c r="W28" i="65"/>
  <c r="AM28" i="65"/>
  <c r="K28" i="65"/>
  <c r="AA28" i="65"/>
  <c r="AQ28" i="65"/>
  <c r="M28" i="65"/>
  <c r="AC28" i="65"/>
  <c r="AS28" i="65"/>
  <c r="O28" i="65"/>
  <c r="AE28" i="65"/>
  <c r="AU28" i="65"/>
  <c r="Q28" i="65"/>
  <c r="AG28" i="65"/>
  <c r="AW28" i="65"/>
  <c r="BA28" i="65"/>
  <c r="BQ28" i="65"/>
  <c r="BC28" i="65"/>
  <c r="BS28" i="65"/>
  <c r="CI28" i="65"/>
  <c r="BG28" i="65"/>
  <c r="BW28" i="65"/>
  <c r="BI28" i="65"/>
  <c r="BY28" i="65"/>
  <c r="CO28" i="65"/>
  <c r="BK28" i="65"/>
  <c r="CA28" i="65"/>
  <c r="BM28" i="65"/>
  <c r="CC28" i="65"/>
  <c r="CS28" i="65"/>
  <c r="CW28" i="65"/>
  <c r="DK28" i="65"/>
  <c r="DY28" i="65"/>
  <c r="CY28" i="65"/>
  <c r="DM28" i="65"/>
  <c r="EA28" i="65"/>
  <c r="DA28" i="65"/>
  <c r="DO28" i="65"/>
  <c r="DC28" i="65"/>
  <c r="DQ28" i="65"/>
  <c r="EE28" i="65"/>
  <c r="DE28" i="65"/>
  <c r="DS28" i="65"/>
  <c r="EG28" i="65"/>
  <c r="DG28" i="65"/>
  <c r="DU28" i="65"/>
  <c r="EI28" i="65"/>
  <c r="FA28" i="65"/>
  <c r="FO28" i="65"/>
  <c r="EO28" i="65"/>
  <c r="FC28" i="65"/>
  <c r="FQ28" i="65"/>
  <c r="EQ28" i="65"/>
  <c r="FE28" i="65"/>
  <c r="FS28" i="65"/>
  <c r="ES28" i="65"/>
  <c r="FG28" i="65"/>
  <c r="FU28" i="65"/>
  <c r="FI28" i="65"/>
  <c r="FW28" i="65"/>
  <c r="EW28" i="65"/>
  <c r="FK28" i="65"/>
  <c r="FY28" i="65"/>
  <c r="E29" i="65"/>
  <c r="U29" i="65"/>
  <c r="AK29" i="65"/>
  <c r="G29" i="65"/>
  <c r="W29" i="65"/>
  <c r="AM29" i="65"/>
  <c r="K29" i="65"/>
  <c r="AA29" i="65"/>
  <c r="AQ29" i="65"/>
  <c r="M29" i="65"/>
  <c r="AC29" i="65"/>
  <c r="AS29" i="65"/>
  <c r="O29" i="65"/>
  <c r="AE29" i="65"/>
  <c r="AU29" i="65"/>
  <c r="Q29" i="65"/>
  <c r="AG29" i="65"/>
  <c r="AW29" i="65"/>
  <c r="BQ29" i="65"/>
  <c r="CG29" i="65"/>
  <c r="BC29" i="65"/>
  <c r="BS29" i="65"/>
  <c r="CI29" i="65"/>
  <c r="BG29" i="65"/>
  <c r="BW29" i="65"/>
  <c r="BI29" i="65"/>
  <c r="BY29" i="65"/>
  <c r="CO29" i="65"/>
  <c r="BK29" i="65"/>
  <c r="CA29" i="65"/>
  <c r="BM29" i="65"/>
  <c r="CC29" i="65"/>
  <c r="CS29" i="65"/>
  <c r="CW29" i="65"/>
  <c r="DK29" i="65"/>
  <c r="DY29" i="65"/>
  <c r="CY29" i="65"/>
  <c r="DM29" i="65"/>
  <c r="EA29" i="65"/>
  <c r="DA29" i="65"/>
  <c r="DO29" i="65"/>
  <c r="EC29" i="65"/>
  <c r="DC29" i="65"/>
  <c r="DQ29" i="65"/>
  <c r="EE29" i="65"/>
  <c r="DE29" i="65"/>
  <c r="DS29" i="65"/>
  <c r="EG29" i="65"/>
  <c r="DG29" i="65"/>
  <c r="DU29" i="65"/>
  <c r="EI29" i="65"/>
  <c r="EM29" i="65"/>
  <c r="FA29" i="65"/>
  <c r="FO29" i="65"/>
  <c r="EO29" i="65"/>
  <c r="FC29" i="65"/>
  <c r="FQ29" i="65"/>
  <c r="EQ29" i="65"/>
  <c r="FE29" i="65"/>
  <c r="FS29" i="65"/>
  <c r="ES29" i="65"/>
  <c r="FG29" i="65"/>
  <c r="FU29" i="65"/>
  <c r="EU29" i="65"/>
  <c r="FI29" i="65"/>
  <c r="FW29" i="65"/>
  <c r="EW29" i="65"/>
  <c r="FK29" i="65"/>
  <c r="FY29" i="65"/>
  <c r="BA30" i="65"/>
  <c r="BQ30" i="65"/>
  <c r="CG30" i="65"/>
  <c r="BC30" i="65"/>
  <c r="BS30" i="65"/>
  <c r="CI30" i="65"/>
  <c r="BG30" i="65"/>
  <c r="BW30" i="65"/>
  <c r="BI30" i="65"/>
  <c r="BY30" i="65"/>
  <c r="CO30" i="65"/>
  <c r="BK30" i="65"/>
  <c r="CA30" i="65"/>
  <c r="CQ30" i="65"/>
  <c r="BM30" i="65"/>
  <c r="CC30" i="65"/>
  <c r="CS30" i="65"/>
  <c r="CW30" i="65"/>
  <c r="DK30" i="65"/>
  <c r="DY30" i="65"/>
  <c r="CY30" i="65"/>
  <c r="EA30" i="65"/>
  <c r="DA30" i="65"/>
  <c r="DO30" i="65"/>
  <c r="EC30" i="65"/>
  <c r="DC30" i="65"/>
  <c r="DQ30" i="65"/>
  <c r="EE30" i="65"/>
  <c r="DE30" i="65"/>
  <c r="DS30" i="65"/>
  <c r="EG30" i="65"/>
  <c r="DG30" i="65"/>
  <c r="DU30" i="65"/>
  <c r="EI30" i="65"/>
  <c r="EM30" i="65"/>
  <c r="FA30" i="65"/>
  <c r="FO30" i="65"/>
  <c r="EO30" i="65"/>
  <c r="FC30" i="65"/>
  <c r="FQ30" i="65"/>
  <c r="EQ30" i="65"/>
  <c r="FE30" i="65"/>
  <c r="FS30" i="65"/>
  <c r="ES30" i="65"/>
  <c r="FG30" i="65"/>
  <c r="EU30" i="65"/>
  <c r="FI30" i="65"/>
  <c r="FW30" i="65"/>
  <c r="EW30" i="65"/>
  <c r="FK30" i="65"/>
  <c r="FY30" i="65"/>
  <c r="E31" i="65"/>
  <c r="U31" i="65"/>
  <c r="AK31" i="65"/>
  <c r="G31" i="65"/>
  <c r="W31" i="65"/>
  <c r="AM31" i="65"/>
  <c r="K31" i="65"/>
  <c r="AA31" i="65"/>
  <c r="AQ31" i="65"/>
  <c r="M31" i="65"/>
  <c r="AC31" i="65"/>
  <c r="AS31" i="65"/>
  <c r="O31" i="65"/>
  <c r="AE31" i="65"/>
  <c r="AU31" i="65"/>
  <c r="Q31" i="65"/>
  <c r="AG31" i="65"/>
  <c r="AW31" i="65"/>
  <c r="BA31" i="65"/>
  <c r="BQ31" i="65"/>
  <c r="CG31" i="65"/>
  <c r="BC31" i="65"/>
  <c r="BS31" i="65"/>
  <c r="CI31" i="65"/>
  <c r="BG31" i="65"/>
  <c r="BW31" i="65"/>
  <c r="BI31" i="65"/>
  <c r="BY31" i="65"/>
  <c r="CO31" i="65"/>
  <c r="BK31" i="65"/>
  <c r="CA31" i="65"/>
  <c r="CQ31" i="65"/>
  <c r="CC31" i="65"/>
  <c r="CS31" i="65"/>
  <c r="CW31" i="65"/>
  <c r="DK31" i="65"/>
  <c r="DY31" i="65"/>
  <c r="CY31" i="65"/>
  <c r="DM31" i="65"/>
  <c r="EA31" i="65"/>
  <c r="DA31" i="65"/>
  <c r="DO31" i="65"/>
  <c r="EC31" i="65"/>
  <c r="DC31" i="65"/>
  <c r="DQ31" i="65"/>
  <c r="EE31" i="65"/>
  <c r="DE31" i="65"/>
  <c r="DS31" i="65"/>
  <c r="DG31" i="65"/>
  <c r="DU31" i="65"/>
  <c r="EI31" i="65"/>
  <c r="EM31" i="65"/>
  <c r="FA31" i="65"/>
  <c r="FM31" i="65" s="1"/>
  <c r="FO31" i="65"/>
  <c r="GA31" i="65" s="1"/>
  <c r="NP474" i="2"/>
  <c r="NR474" i="2"/>
  <c r="E32" i="65"/>
  <c r="U32" i="65"/>
  <c r="AK32" i="65"/>
  <c r="G32" i="65"/>
  <c r="W32" i="65"/>
  <c r="AM32" i="65"/>
  <c r="K32" i="65"/>
  <c r="AA32" i="65"/>
  <c r="AQ32" i="65"/>
  <c r="M32" i="65"/>
  <c r="AC32" i="65"/>
  <c r="AS32" i="65"/>
  <c r="O32" i="65"/>
  <c r="AE32" i="65"/>
  <c r="AU32" i="65"/>
  <c r="Q32" i="65"/>
  <c r="AG32" i="65"/>
  <c r="AW32" i="65"/>
  <c r="BA32" i="65"/>
  <c r="BQ32" i="65"/>
  <c r="CG32" i="65"/>
  <c r="BC32" i="65"/>
  <c r="BS32" i="65"/>
  <c r="CI32" i="65"/>
  <c r="BG32" i="65"/>
  <c r="BW32" i="65"/>
  <c r="BI32" i="65"/>
  <c r="BY32" i="65"/>
  <c r="CO32" i="65"/>
  <c r="BK32" i="65"/>
  <c r="CA32" i="65"/>
  <c r="CQ32" i="65"/>
  <c r="BM32" i="65"/>
  <c r="CC32" i="65"/>
  <c r="CS32" i="65"/>
  <c r="CW32" i="65"/>
  <c r="DK32" i="65"/>
  <c r="DY32" i="65"/>
  <c r="DM32" i="65"/>
  <c r="EA32" i="65"/>
  <c r="DA32" i="65"/>
  <c r="DO32" i="65"/>
  <c r="EC32" i="65"/>
  <c r="DC32" i="65"/>
  <c r="DQ32" i="65"/>
  <c r="EE32" i="65"/>
  <c r="DE32" i="65"/>
  <c r="DS32" i="65"/>
  <c r="EG32" i="65"/>
  <c r="DG32" i="65"/>
  <c r="DU32" i="65"/>
  <c r="EI32" i="65"/>
  <c r="EM32" i="65"/>
  <c r="FA32" i="65"/>
  <c r="FO32" i="65"/>
  <c r="EO32" i="65"/>
  <c r="FC32" i="65"/>
  <c r="FQ32" i="65"/>
  <c r="EQ32" i="65"/>
  <c r="FE32" i="65"/>
  <c r="FS32" i="65"/>
  <c r="ES32" i="65"/>
  <c r="FG32" i="65"/>
  <c r="FU32" i="65"/>
  <c r="EU32" i="65"/>
  <c r="FI32" i="65"/>
  <c r="FW32" i="65"/>
  <c r="EW32" i="65"/>
  <c r="FK32" i="65"/>
  <c r="FY32" i="65"/>
  <c r="E33" i="65"/>
  <c r="U33" i="65"/>
  <c r="AK33" i="65"/>
  <c r="G33" i="65"/>
  <c r="W33" i="65"/>
  <c r="AM33" i="65"/>
  <c r="K33" i="65"/>
  <c r="AA33" i="65"/>
  <c r="AQ33" i="65"/>
  <c r="M33" i="65"/>
  <c r="AC33" i="65"/>
  <c r="AS33" i="65"/>
  <c r="O33" i="65"/>
  <c r="AE33" i="65"/>
  <c r="AU33" i="65"/>
  <c r="Q33" i="65"/>
  <c r="AG33" i="65"/>
  <c r="AW33" i="65"/>
  <c r="BA33" i="65"/>
  <c r="BQ33" i="65"/>
  <c r="CG33" i="65"/>
  <c r="BC33" i="65"/>
  <c r="BS33" i="65"/>
  <c r="CI33" i="65"/>
  <c r="BG33" i="65"/>
  <c r="BW33" i="65"/>
  <c r="BY33" i="65"/>
  <c r="CO33" i="65"/>
  <c r="BK33" i="65"/>
  <c r="CA33" i="65"/>
  <c r="CQ33" i="65"/>
  <c r="BM33" i="65"/>
  <c r="CC33" i="65"/>
  <c r="CS33" i="65"/>
  <c r="CW33" i="65"/>
  <c r="DK33" i="65"/>
  <c r="DY33" i="65"/>
  <c r="CY33" i="65"/>
  <c r="DM33" i="65"/>
  <c r="EA33" i="65"/>
  <c r="DA33" i="65"/>
  <c r="DO33" i="65"/>
  <c r="EC33" i="65"/>
  <c r="DC33" i="65"/>
  <c r="DQ33" i="65"/>
  <c r="EE33" i="65"/>
  <c r="DE33" i="65"/>
  <c r="DS33" i="65"/>
  <c r="EG33" i="65"/>
  <c r="DG33" i="65"/>
  <c r="DU33" i="65"/>
  <c r="EI33" i="65"/>
  <c r="EM33" i="65"/>
  <c r="FA33" i="65"/>
  <c r="FO33" i="65"/>
  <c r="EO33" i="65"/>
  <c r="FC33" i="65"/>
  <c r="FQ33" i="65"/>
  <c r="EQ33" i="65"/>
  <c r="FE33" i="65"/>
  <c r="FS33" i="65"/>
  <c r="ES33" i="65"/>
  <c r="FG33" i="65"/>
  <c r="FU33" i="65"/>
  <c r="EU33" i="65"/>
  <c r="FI33" i="65"/>
  <c r="FW33" i="65"/>
  <c r="EW33" i="65"/>
  <c r="FK33" i="65"/>
  <c r="FY33" i="65"/>
  <c r="E34" i="65"/>
  <c r="U34" i="65"/>
  <c r="AK34" i="65"/>
  <c r="G34" i="65"/>
  <c r="W34" i="65"/>
  <c r="AM34" i="65"/>
  <c r="K34" i="65"/>
  <c r="AA34" i="65"/>
  <c r="AQ34" i="65"/>
  <c r="M34" i="65"/>
  <c r="AC34" i="65"/>
  <c r="AS34" i="65"/>
  <c r="O34" i="65"/>
  <c r="AE34" i="65"/>
  <c r="AU34" i="65"/>
  <c r="Q34" i="65"/>
  <c r="AG34" i="65"/>
  <c r="AW34" i="65"/>
  <c r="BA34" i="65"/>
  <c r="BQ34" i="65"/>
  <c r="CG34" i="65"/>
  <c r="BC34" i="65"/>
  <c r="BS34" i="65"/>
  <c r="CI34" i="65"/>
  <c r="BG34" i="65"/>
  <c r="BW34" i="65"/>
  <c r="BI34" i="65"/>
  <c r="BY34" i="65"/>
  <c r="CO34" i="65"/>
  <c r="BK34" i="65"/>
  <c r="CA34" i="65"/>
  <c r="CQ34" i="65"/>
  <c r="BM34" i="65"/>
  <c r="CC34" i="65"/>
  <c r="CS34" i="65"/>
  <c r="CW34" i="65"/>
  <c r="DK34" i="65"/>
  <c r="DY34" i="65"/>
  <c r="CY34" i="65"/>
  <c r="DM34" i="65"/>
  <c r="EA34" i="65"/>
  <c r="DA34" i="65"/>
  <c r="DO34" i="65"/>
  <c r="EC34" i="65"/>
  <c r="DC34" i="65"/>
  <c r="DQ34" i="65"/>
  <c r="EE34" i="65"/>
  <c r="DE34" i="65"/>
  <c r="DS34" i="65"/>
  <c r="EG34" i="65"/>
  <c r="DG34" i="65"/>
  <c r="DU34" i="65"/>
  <c r="EI34" i="65"/>
  <c r="EM34" i="65"/>
  <c r="FA34" i="65"/>
  <c r="FO34" i="65"/>
  <c r="EO34" i="65"/>
  <c r="FC34" i="65"/>
  <c r="FQ34" i="65"/>
  <c r="EQ34" i="65"/>
  <c r="FE34" i="65"/>
  <c r="FS34" i="65"/>
  <c r="ES34" i="65"/>
  <c r="FG34" i="65"/>
  <c r="FU34" i="65"/>
  <c r="EU34" i="65"/>
  <c r="FI34" i="65"/>
  <c r="FW34" i="65"/>
  <c r="EW34" i="65"/>
  <c r="FK34" i="65"/>
  <c r="FY34" i="65"/>
  <c r="E35" i="65"/>
  <c r="AK35" i="65"/>
  <c r="G35" i="65"/>
  <c r="W35" i="65"/>
  <c r="AM35" i="65"/>
  <c r="K35" i="65"/>
  <c r="AA35" i="65"/>
  <c r="AQ35" i="65"/>
  <c r="M35" i="65"/>
  <c r="AC35" i="65"/>
  <c r="AS35" i="65"/>
  <c r="O35" i="65"/>
  <c r="AU35" i="65"/>
  <c r="AG35" i="65"/>
  <c r="AW35" i="65"/>
  <c r="BA35" i="65"/>
  <c r="BQ35" i="65"/>
  <c r="CG35" i="65"/>
  <c r="BC35" i="65"/>
  <c r="BS35" i="65"/>
  <c r="CI35" i="65"/>
  <c r="BG35" i="65"/>
  <c r="BW35" i="65"/>
  <c r="BI35" i="65"/>
  <c r="BY35" i="65"/>
  <c r="CO35" i="65"/>
  <c r="CA35" i="65"/>
  <c r="CQ35" i="65"/>
  <c r="BM35" i="65"/>
  <c r="CC35" i="65"/>
  <c r="CS35" i="65"/>
  <c r="CW35" i="65"/>
  <c r="DK35" i="65"/>
  <c r="DY35" i="65"/>
  <c r="DM35" i="65"/>
  <c r="EA35" i="65"/>
  <c r="DA35" i="65"/>
  <c r="DO35" i="65"/>
  <c r="EC35" i="65"/>
  <c r="DC35" i="65"/>
  <c r="DQ35" i="65"/>
  <c r="EE35" i="65"/>
  <c r="DE35" i="65"/>
  <c r="DS35" i="65"/>
  <c r="EG35" i="65"/>
  <c r="DU35" i="65"/>
  <c r="EI35" i="65"/>
  <c r="EM35" i="65"/>
  <c r="FA35" i="65"/>
  <c r="FO35" i="65"/>
  <c r="EO35" i="65"/>
  <c r="FC35" i="65"/>
  <c r="FQ35" i="65"/>
  <c r="EQ35" i="65"/>
  <c r="FE35" i="65"/>
  <c r="FS35" i="65"/>
  <c r="FG35" i="65"/>
  <c r="FU35" i="65"/>
  <c r="EU35" i="65"/>
  <c r="FI35" i="65"/>
  <c r="FW35" i="65"/>
  <c r="EW35" i="65"/>
  <c r="FK35" i="65"/>
  <c r="FY35" i="65"/>
  <c r="E36" i="65"/>
  <c r="U36" i="65"/>
  <c r="AK36" i="65"/>
  <c r="G36" i="65"/>
  <c r="W36" i="65"/>
  <c r="AM36" i="65"/>
  <c r="K36" i="65"/>
  <c r="AA36" i="65"/>
  <c r="AQ36" i="65"/>
  <c r="M36" i="65"/>
  <c r="AC36" i="65"/>
  <c r="AS36" i="65"/>
  <c r="O36" i="65"/>
  <c r="AE36" i="65"/>
  <c r="AU36" i="65"/>
  <c r="AG36" i="65"/>
  <c r="AW36" i="65"/>
  <c r="BA36" i="65"/>
  <c r="BQ36" i="65"/>
  <c r="CG36" i="65"/>
  <c r="BC36" i="65"/>
  <c r="BS36" i="65"/>
  <c r="CI36" i="65"/>
  <c r="BG36" i="65"/>
  <c r="BW36" i="65"/>
  <c r="BI36" i="65"/>
  <c r="BY36" i="65"/>
  <c r="CO36" i="65"/>
  <c r="BK36" i="65"/>
  <c r="CA36" i="65"/>
  <c r="CQ36" i="65"/>
  <c r="BM36" i="65"/>
  <c r="CC36" i="65"/>
  <c r="CS36" i="65"/>
  <c r="CW36" i="65"/>
  <c r="DK36" i="65"/>
  <c r="DY36" i="65"/>
  <c r="CY36" i="65"/>
  <c r="DM36" i="65"/>
  <c r="EA36" i="65"/>
  <c r="DO36" i="65"/>
  <c r="EC36" i="65"/>
  <c r="DC36" i="65"/>
  <c r="DQ36" i="65"/>
  <c r="EE36" i="65"/>
  <c r="DE36" i="65"/>
  <c r="DS36" i="65"/>
  <c r="EG36" i="65"/>
  <c r="DU36" i="65"/>
  <c r="EI36" i="65"/>
  <c r="EM36" i="65"/>
  <c r="FA36" i="65"/>
  <c r="FO36" i="65"/>
  <c r="EO36" i="65"/>
  <c r="FC36" i="65"/>
  <c r="FQ36" i="65"/>
  <c r="EQ36" i="65"/>
  <c r="FE36" i="65"/>
  <c r="FS36" i="65"/>
  <c r="FG36" i="65"/>
  <c r="FU36" i="65"/>
  <c r="EU36" i="65"/>
  <c r="FI36" i="65"/>
  <c r="FW36" i="65"/>
  <c r="EW36" i="65"/>
  <c r="FK36" i="65"/>
  <c r="FY36" i="65"/>
  <c r="E37" i="65"/>
  <c r="G37" i="65"/>
  <c r="GF37" i="65" s="1"/>
  <c r="K37" i="65"/>
  <c r="GH37" i="65" s="1"/>
  <c r="O37" i="65"/>
  <c r="GL37" i="65" s="1"/>
  <c r="Q37" i="65"/>
  <c r="GN37" i="65" s="1"/>
  <c r="DK37" i="65"/>
  <c r="DY37" i="65"/>
  <c r="CY37" i="65"/>
  <c r="DM37" i="65"/>
  <c r="EA37" i="65"/>
  <c r="EC37" i="65"/>
  <c r="DC37" i="65"/>
  <c r="DQ37" i="65"/>
  <c r="EE37" i="65"/>
  <c r="DE37" i="65"/>
  <c r="DS37" i="65"/>
  <c r="EG37" i="65"/>
  <c r="DG37" i="65"/>
  <c r="DU37" i="65"/>
  <c r="EI37" i="65"/>
  <c r="EM37" i="65"/>
  <c r="FA37" i="65"/>
  <c r="FO37" i="65"/>
  <c r="FC37" i="65"/>
  <c r="FQ37" i="65"/>
  <c r="EQ37" i="65"/>
  <c r="FE37" i="65"/>
  <c r="FS37" i="65"/>
  <c r="ES37" i="65"/>
  <c r="FG37" i="65"/>
  <c r="FU37" i="65"/>
  <c r="EU37" i="65"/>
  <c r="FI37" i="65"/>
  <c r="FW37" i="65"/>
  <c r="FK37" i="65"/>
  <c r="FY37" i="65"/>
  <c r="E38" i="65"/>
  <c r="U38" i="65"/>
  <c r="AK38" i="65"/>
  <c r="G38" i="65"/>
  <c r="W38" i="65"/>
  <c r="AM38" i="65"/>
  <c r="K38" i="65"/>
  <c r="AA38" i="65"/>
  <c r="AQ38" i="65"/>
  <c r="M38" i="65"/>
  <c r="AC38" i="65"/>
  <c r="AS38" i="65"/>
  <c r="O38" i="65"/>
  <c r="AE38" i="65"/>
  <c r="AU38" i="65"/>
  <c r="Q38" i="65"/>
  <c r="AG38" i="65"/>
  <c r="AW38" i="65"/>
  <c r="BA38" i="65"/>
  <c r="BQ38" i="65"/>
  <c r="CG38" i="65"/>
  <c r="BC38" i="65"/>
  <c r="BS38" i="65"/>
  <c r="CI38" i="65"/>
  <c r="BG38" i="65"/>
  <c r="BW38" i="65"/>
  <c r="BI38" i="65"/>
  <c r="BY38" i="65"/>
  <c r="CO38" i="65"/>
  <c r="BK38" i="65"/>
  <c r="CA38" i="65"/>
  <c r="CQ38" i="65"/>
  <c r="CC38" i="65"/>
  <c r="CS38" i="65"/>
  <c r="CW38" i="65"/>
  <c r="DK38" i="65"/>
  <c r="CY38" i="65"/>
  <c r="DM38" i="65"/>
  <c r="EA38" i="65"/>
  <c r="DA38" i="65"/>
  <c r="DO38" i="65"/>
  <c r="EC38" i="65"/>
  <c r="DC38" i="65"/>
  <c r="DQ38" i="65"/>
  <c r="EE38" i="65"/>
  <c r="DE38" i="65"/>
  <c r="DS38" i="65"/>
  <c r="EG38" i="65"/>
  <c r="DG38" i="65"/>
  <c r="DU38" i="65"/>
  <c r="EI38" i="65"/>
  <c r="EM38" i="65"/>
  <c r="FA38" i="65"/>
  <c r="FO38" i="65"/>
  <c r="EO38" i="65"/>
  <c r="FC38" i="65"/>
  <c r="EQ38" i="65"/>
  <c r="FE38" i="65"/>
  <c r="FS38" i="65"/>
  <c r="ES38" i="65"/>
  <c r="FG38" i="65"/>
  <c r="FU38" i="65"/>
  <c r="EU38" i="65"/>
  <c r="FI38" i="65"/>
  <c r="FW38" i="65"/>
  <c r="EW38" i="65"/>
  <c r="FK38" i="65"/>
  <c r="FY38" i="65"/>
  <c r="E39" i="65"/>
  <c r="U39" i="65"/>
  <c r="AK39" i="65"/>
  <c r="G39" i="65"/>
  <c r="W39" i="65"/>
  <c r="AM39" i="65"/>
  <c r="K39" i="65"/>
  <c r="AA39" i="65"/>
  <c r="AQ39" i="65"/>
  <c r="M39" i="65"/>
  <c r="AC39" i="65"/>
  <c r="AS39" i="65"/>
  <c r="O39" i="65"/>
  <c r="AE39" i="65"/>
  <c r="AU39" i="65"/>
  <c r="Q39" i="65"/>
  <c r="AG39" i="65"/>
  <c r="AW39" i="65"/>
  <c r="BA39" i="65"/>
  <c r="BQ39" i="65"/>
  <c r="CG39" i="65"/>
  <c r="BS39" i="65"/>
  <c r="CI39" i="65"/>
  <c r="BG39" i="65"/>
  <c r="BW39" i="65"/>
  <c r="BI39" i="65"/>
  <c r="BY39" i="65"/>
  <c r="CO39" i="65"/>
  <c r="BK39" i="65"/>
  <c r="CA39" i="65"/>
  <c r="CQ39" i="65"/>
  <c r="BM39" i="65"/>
  <c r="CC39" i="65"/>
  <c r="CW39" i="65"/>
  <c r="DK39" i="65"/>
  <c r="DY39" i="65"/>
  <c r="CY39" i="65"/>
  <c r="DM39" i="65"/>
  <c r="EA39" i="65"/>
  <c r="EC39" i="65"/>
  <c r="DC39" i="65"/>
  <c r="DQ39" i="65"/>
  <c r="EE39" i="65"/>
  <c r="EG39" i="65"/>
  <c r="DG39" i="65"/>
  <c r="DU39" i="65"/>
  <c r="EI39" i="65"/>
  <c r="EM39" i="65"/>
  <c r="FA39" i="65"/>
  <c r="FO39" i="65"/>
  <c r="EO39" i="65"/>
  <c r="FC39" i="65"/>
  <c r="FQ39" i="65"/>
  <c r="EQ39" i="65"/>
  <c r="FE39" i="65"/>
  <c r="FS39" i="65"/>
  <c r="ES39" i="65"/>
  <c r="FG39" i="65"/>
  <c r="FU39" i="65"/>
  <c r="EU39" i="65"/>
  <c r="FI39" i="65"/>
  <c r="FW39" i="65"/>
  <c r="EW39" i="65"/>
  <c r="FK39" i="65"/>
  <c r="FY39" i="65"/>
  <c r="E40" i="65"/>
  <c r="U40" i="65"/>
  <c r="AK40" i="65"/>
  <c r="G40" i="65"/>
  <c r="W40" i="65"/>
  <c r="AM40" i="65"/>
  <c r="K40" i="65"/>
  <c r="AA40" i="65"/>
  <c r="AQ40" i="65"/>
  <c r="M40" i="65"/>
  <c r="AC40" i="65"/>
  <c r="AS40" i="65"/>
  <c r="O40" i="65"/>
  <c r="AE40" i="65"/>
  <c r="AU40" i="65"/>
  <c r="Q40" i="65"/>
  <c r="AG40" i="65"/>
  <c r="AW40" i="65"/>
  <c r="BA40" i="65"/>
  <c r="BQ40" i="65"/>
  <c r="CG40" i="65"/>
  <c r="BC40" i="65"/>
  <c r="BS40" i="65"/>
  <c r="CI40" i="65"/>
  <c r="BG40" i="65"/>
  <c r="BW40" i="65"/>
  <c r="BI40" i="65"/>
  <c r="BY40" i="65"/>
  <c r="CO40" i="65"/>
  <c r="BK40" i="65"/>
  <c r="CA40" i="65"/>
  <c r="CQ40" i="65"/>
  <c r="BM40" i="65"/>
  <c r="CC40" i="65"/>
  <c r="CS40" i="65"/>
  <c r="CW40" i="65"/>
  <c r="DK40" i="65"/>
  <c r="DY40" i="65"/>
  <c r="CY40" i="65"/>
  <c r="DM40" i="65"/>
  <c r="EA40" i="65"/>
  <c r="DA40" i="65"/>
  <c r="DO40" i="65"/>
  <c r="EC40" i="65"/>
  <c r="DC40" i="65"/>
  <c r="DQ40" i="65"/>
  <c r="EE40" i="65"/>
  <c r="DE40" i="65"/>
  <c r="DS40" i="65"/>
  <c r="EG40" i="65"/>
  <c r="DG40" i="65"/>
  <c r="DU40" i="65"/>
  <c r="EI40" i="65"/>
  <c r="EM40" i="65"/>
  <c r="FA40" i="65"/>
  <c r="FO40" i="65"/>
  <c r="EO40" i="65"/>
  <c r="FC40" i="65"/>
  <c r="FQ40" i="65"/>
  <c r="EQ40" i="65"/>
  <c r="FE40" i="65"/>
  <c r="FS40" i="65"/>
  <c r="ES40" i="65"/>
  <c r="FG40" i="65"/>
  <c r="FU40" i="65"/>
  <c r="EU40" i="65"/>
  <c r="FI40" i="65"/>
  <c r="FW40" i="65"/>
  <c r="EW40" i="65"/>
  <c r="FK40" i="65"/>
  <c r="FY40" i="65"/>
  <c r="E41" i="65"/>
  <c r="U41" i="65"/>
  <c r="AK41" i="65"/>
  <c r="G41" i="65"/>
  <c r="W41" i="65"/>
  <c r="AM41" i="65"/>
  <c r="K41" i="65"/>
  <c r="AA41" i="65"/>
  <c r="AQ41" i="65"/>
  <c r="M41" i="65"/>
  <c r="AC41" i="65"/>
  <c r="AS41" i="65"/>
  <c r="O41" i="65"/>
  <c r="AE41" i="65"/>
  <c r="AU41" i="65"/>
  <c r="Q41" i="65"/>
  <c r="AG41" i="65"/>
  <c r="AW41" i="65"/>
  <c r="BA41" i="65"/>
  <c r="BQ41" i="65"/>
  <c r="CG41" i="65"/>
  <c r="BC41" i="65"/>
  <c r="BS41" i="65"/>
  <c r="CI41" i="65"/>
  <c r="BG41" i="65"/>
  <c r="BW41" i="65"/>
  <c r="BI41" i="65"/>
  <c r="BY41" i="65"/>
  <c r="CO41" i="65"/>
  <c r="BK41" i="65"/>
  <c r="CA41" i="65"/>
  <c r="CQ41" i="65"/>
  <c r="BM41" i="65"/>
  <c r="CC41" i="65"/>
  <c r="CS41" i="65"/>
  <c r="CW41" i="65"/>
  <c r="DK41" i="65"/>
  <c r="DY41" i="65"/>
  <c r="DC41" i="65"/>
  <c r="DQ41" i="65"/>
  <c r="DE41" i="65"/>
  <c r="DS41" i="65"/>
  <c r="EG41" i="65"/>
  <c r="DG41" i="65"/>
  <c r="DU41" i="65"/>
  <c r="EI41" i="65"/>
  <c r="EM41" i="65"/>
  <c r="FA41" i="65"/>
  <c r="FO41" i="65"/>
  <c r="EO41" i="65"/>
  <c r="FC41" i="65"/>
  <c r="FQ41" i="65"/>
  <c r="EQ41" i="65"/>
  <c r="FE41" i="65"/>
  <c r="FS41" i="65"/>
  <c r="ES41" i="65"/>
  <c r="FG41" i="65"/>
  <c r="FU41" i="65"/>
  <c r="EU41" i="65"/>
  <c r="FI41" i="65"/>
  <c r="FW41" i="65"/>
  <c r="EW41" i="65"/>
  <c r="FY41" i="65"/>
  <c r="E42" i="65"/>
  <c r="U42" i="65"/>
  <c r="AK42" i="65"/>
  <c r="G42" i="65"/>
  <c r="W42" i="65"/>
  <c r="AM42" i="65"/>
  <c r="K42" i="65"/>
  <c r="AA42" i="65"/>
  <c r="AQ42" i="65"/>
  <c r="M42" i="65"/>
  <c r="AC42" i="65"/>
  <c r="AS42" i="65"/>
  <c r="O42" i="65"/>
  <c r="AE42" i="65"/>
  <c r="AU42" i="65"/>
  <c r="Q42" i="65"/>
  <c r="AG42" i="65"/>
  <c r="AW42" i="65"/>
  <c r="BA42" i="65"/>
  <c r="BQ42" i="65"/>
  <c r="CG42" i="65"/>
  <c r="BC42" i="65"/>
  <c r="CI42" i="65"/>
  <c r="BW42" i="65"/>
  <c r="BI42" i="65"/>
  <c r="BY42" i="65"/>
  <c r="CO42" i="65"/>
  <c r="BK42" i="65"/>
  <c r="CA42" i="65"/>
  <c r="CQ42" i="65"/>
  <c r="BM42" i="65"/>
  <c r="CC42" i="65"/>
  <c r="CW42" i="65"/>
  <c r="DK42" i="65"/>
  <c r="DY42" i="65"/>
  <c r="CY42" i="65"/>
  <c r="DM42" i="65"/>
  <c r="EA42" i="65"/>
  <c r="DA42" i="65"/>
  <c r="DO42" i="65"/>
  <c r="EC42" i="65"/>
  <c r="DC42" i="65"/>
  <c r="DQ42" i="65"/>
  <c r="EE42" i="65"/>
  <c r="DE42" i="65"/>
  <c r="DS42" i="65"/>
  <c r="EG42" i="65"/>
  <c r="DG42" i="65"/>
  <c r="DU42" i="65"/>
  <c r="EI42" i="65"/>
  <c r="EM42" i="65"/>
  <c r="FA42" i="65"/>
  <c r="FO42" i="65"/>
  <c r="EO42" i="65"/>
  <c r="FC42" i="65"/>
  <c r="EQ42" i="65"/>
  <c r="FE42" i="65"/>
  <c r="FS42" i="65"/>
  <c r="ES42" i="65"/>
  <c r="FG42" i="65"/>
  <c r="FU42" i="65"/>
  <c r="EU42" i="65"/>
  <c r="FI42" i="65"/>
  <c r="FW42" i="65"/>
  <c r="EW42" i="65"/>
  <c r="FK42" i="65"/>
  <c r="FY42" i="65"/>
  <c r="E43" i="65"/>
  <c r="U43" i="65"/>
  <c r="AK43" i="65"/>
  <c r="G43" i="65"/>
  <c r="W43" i="65"/>
  <c r="AM43" i="65"/>
  <c r="M43" i="65"/>
  <c r="AC43" i="65"/>
  <c r="AS43" i="65"/>
  <c r="O43" i="65"/>
  <c r="AE43" i="65"/>
  <c r="AU43" i="65"/>
  <c r="Q43" i="65"/>
  <c r="AG43" i="65"/>
  <c r="AW43" i="65"/>
  <c r="BA43" i="65"/>
  <c r="BQ43" i="65"/>
  <c r="CG43" i="65"/>
  <c r="BC43" i="65"/>
  <c r="BS43" i="65"/>
  <c r="CI43" i="65"/>
  <c r="BG43" i="65"/>
  <c r="BW43" i="65"/>
  <c r="BI43" i="65"/>
  <c r="BY43" i="65"/>
  <c r="CO43" i="65"/>
  <c r="BK43" i="65"/>
  <c r="CA43" i="65"/>
  <c r="CQ43" i="65"/>
  <c r="BM43" i="65"/>
  <c r="CC43" i="65"/>
  <c r="CS43" i="65"/>
  <c r="CW43" i="65"/>
  <c r="DK43" i="65"/>
  <c r="DY43" i="65"/>
  <c r="CY43" i="65"/>
  <c r="DM43" i="65"/>
  <c r="EA43" i="65"/>
  <c r="DA43" i="65"/>
  <c r="DO43" i="65"/>
  <c r="EC43" i="65"/>
  <c r="DC43" i="65"/>
  <c r="DQ43" i="65"/>
  <c r="EE43" i="65"/>
  <c r="DE43" i="65"/>
  <c r="DS43" i="65"/>
  <c r="EG43" i="65"/>
  <c r="EM43" i="65"/>
  <c r="FA43" i="65"/>
  <c r="FO43" i="65"/>
  <c r="EO43" i="65"/>
  <c r="FC43" i="65"/>
  <c r="FQ43" i="65"/>
  <c r="FE43" i="65"/>
  <c r="FS43" i="65"/>
  <c r="ES43" i="65"/>
  <c r="FG43" i="65"/>
  <c r="FU43" i="65"/>
  <c r="EU43" i="65"/>
  <c r="FI43" i="65"/>
  <c r="FW43" i="65"/>
  <c r="E44" i="65"/>
  <c r="U44" i="65"/>
  <c r="AK44" i="65"/>
  <c r="G44" i="65"/>
  <c r="W44" i="65"/>
  <c r="AM44" i="65"/>
  <c r="K44" i="65"/>
  <c r="AA44" i="65"/>
  <c r="AQ44" i="65"/>
  <c r="M44" i="65"/>
  <c r="AC44" i="65"/>
  <c r="AS44" i="65"/>
  <c r="O44" i="65"/>
  <c r="AE44" i="65"/>
  <c r="AU44" i="65"/>
  <c r="Q44" i="65"/>
  <c r="AG44" i="65"/>
  <c r="AW44" i="65"/>
  <c r="BA44" i="65"/>
  <c r="BQ44" i="65"/>
  <c r="CG44" i="65"/>
  <c r="BC44" i="65"/>
  <c r="BS44" i="65"/>
  <c r="CI44" i="65"/>
  <c r="BG44" i="65"/>
  <c r="BW44" i="65"/>
  <c r="BI44" i="65"/>
  <c r="BY44" i="65"/>
  <c r="CO44" i="65"/>
  <c r="BK44" i="65"/>
  <c r="CA44" i="65"/>
  <c r="CQ44" i="65"/>
  <c r="BM44" i="65"/>
  <c r="CC44" i="65"/>
  <c r="CS44" i="65"/>
  <c r="FQ44" i="65"/>
  <c r="HY44" i="65" s="1"/>
  <c r="FS44" i="65"/>
  <c r="IA44" i="65" s="1"/>
  <c r="FU44" i="65"/>
  <c r="IC44" i="65" s="1"/>
  <c r="FW44" i="65"/>
  <c r="IE44" i="65" s="1"/>
  <c r="FY44" i="65"/>
  <c r="IG44" i="65" s="1"/>
  <c r="E45" i="65"/>
  <c r="AK45" i="65"/>
  <c r="G45" i="65"/>
  <c r="W45" i="65"/>
  <c r="AM45" i="65"/>
  <c r="K45" i="65"/>
  <c r="AA45" i="65"/>
  <c r="AQ45" i="65"/>
  <c r="M45" i="65"/>
  <c r="AC45" i="65"/>
  <c r="AS45" i="65"/>
  <c r="O45" i="65"/>
  <c r="AE45" i="65"/>
  <c r="AU45" i="65"/>
  <c r="Q45" i="65"/>
  <c r="AG45" i="65"/>
  <c r="AW45" i="65"/>
  <c r="BA45" i="65"/>
  <c r="BQ45" i="65"/>
  <c r="CG45" i="65"/>
  <c r="BC45" i="65"/>
  <c r="BS45" i="65"/>
  <c r="CI45" i="65"/>
  <c r="BG45" i="65"/>
  <c r="BW45" i="65"/>
  <c r="BI45" i="65"/>
  <c r="BY45" i="65"/>
  <c r="CO45" i="65"/>
  <c r="BK45" i="65"/>
  <c r="CA45" i="65"/>
  <c r="CQ45" i="65"/>
  <c r="BM45" i="65"/>
  <c r="CC45" i="65"/>
  <c r="CS45" i="65"/>
  <c r="CW45" i="65"/>
  <c r="DK45" i="65"/>
  <c r="DY45" i="65"/>
  <c r="CY45" i="65"/>
  <c r="DM45" i="65"/>
  <c r="EA45" i="65"/>
  <c r="DO45" i="65"/>
  <c r="EC45" i="65"/>
  <c r="DC45" i="65"/>
  <c r="DQ45" i="65"/>
  <c r="EE45" i="65"/>
  <c r="DE45" i="65"/>
  <c r="DS45" i="65"/>
  <c r="EG45" i="65"/>
  <c r="DG45" i="65"/>
  <c r="DU45" i="65"/>
  <c r="EI45" i="65"/>
  <c r="EM45" i="65"/>
  <c r="FA45" i="65"/>
  <c r="FO45" i="65"/>
  <c r="EO45" i="65"/>
  <c r="FC45" i="65"/>
  <c r="FQ45" i="65"/>
  <c r="EQ45" i="65"/>
  <c r="FE45" i="65"/>
  <c r="FS45" i="65"/>
  <c r="ES45" i="65"/>
  <c r="FG45" i="65"/>
  <c r="FU45" i="65"/>
  <c r="EU45" i="65"/>
  <c r="FI45" i="65"/>
  <c r="FW45" i="65"/>
  <c r="EW45" i="65"/>
  <c r="FK45" i="65"/>
  <c r="FY45" i="65"/>
  <c r="D8" i="65"/>
  <c r="T8" i="65"/>
  <c r="F8" i="65"/>
  <c r="V8" i="65"/>
  <c r="AL8" i="65"/>
  <c r="J8" i="65"/>
  <c r="Z8" i="65"/>
  <c r="AP8" i="65"/>
  <c r="L8" i="65"/>
  <c r="AB8" i="65"/>
  <c r="AR8" i="65"/>
  <c r="N8" i="65"/>
  <c r="AD8" i="65"/>
  <c r="P8" i="65"/>
  <c r="AF8" i="65"/>
  <c r="AV8" i="65"/>
  <c r="D9" i="65"/>
  <c r="T9" i="65"/>
  <c r="AJ9" i="65"/>
  <c r="F9" i="65"/>
  <c r="V9" i="65"/>
  <c r="AL9" i="65"/>
  <c r="J9" i="65"/>
  <c r="Z9" i="65"/>
  <c r="AP9" i="65"/>
  <c r="L9" i="65"/>
  <c r="AB9" i="65"/>
  <c r="AR9" i="65"/>
  <c r="N9" i="65"/>
  <c r="AD9" i="65"/>
  <c r="AT9" i="65"/>
  <c r="P9" i="65"/>
  <c r="AF9" i="65"/>
  <c r="AV9" i="65"/>
  <c r="F10" i="65"/>
  <c r="V10" i="65"/>
  <c r="AL10" i="65"/>
  <c r="J10" i="65"/>
  <c r="Z10" i="65"/>
  <c r="AP10" i="65"/>
  <c r="L10" i="65"/>
  <c r="AB10" i="65"/>
  <c r="AR10" i="65"/>
  <c r="N10" i="65"/>
  <c r="AD10" i="65"/>
  <c r="AT10" i="65"/>
  <c r="P10" i="65"/>
  <c r="AF10" i="65"/>
  <c r="AV10" i="65"/>
  <c r="D11" i="65"/>
  <c r="T11" i="65"/>
  <c r="AJ11" i="65"/>
  <c r="F11" i="65"/>
  <c r="V11" i="65"/>
  <c r="AL11" i="65"/>
  <c r="J11" i="65"/>
  <c r="Z11" i="65"/>
  <c r="AP11" i="65"/>
  <c r="L11" i="65"/>
  <c r="AB11" i="65"/>
  <c r="AR11" i="65"/>
  <c r="N11" i="65"/>
  <c r="AD11" i="65"/>
  <c r="AT11" i="65"/>
  <c r="P11" i="65"/>
  <c r="AF11" i="65"/>
  <c r="AV11" i="65"/>
  <c r="D12" i="65"/>
  <c r="T12" i="65"/>
  <c r="AJ12" i="65"/>
  <c r="F12" i="65"/>
  <c r="V12" i="65"/>
  <c r="AL12" i="65"/>
  <c r="J12" i="65"/>
  <c r="Z12" i="65"/>
  <c r="AP12" i="65"/>
  <c r="L12" i="65"/>
  <c r="AB12" i="65"/>
  <c r="AR12" i="65"/>
  <c r="N12" i="65"/>
  <c r="AD12" i="65"/>
  <c r="AT12" i="65"/>
  <c r="P12" i="65"/>
  <c r="AF12" i="65"/>
  <c r="AV12" i="65"/>
  <c r="D13" i="65"/>
  <c r="T13" i="65"/>
  <c r="AJ13" i="65"/>
  <c r="F13" i="65"/>
  <c r="V13" i="65"/>
  <c r="AL13" i="65"/>
  <c r="J13" i="65"/>
  <c r="Z13" i="65"/>
  <c r="AP13" i="65"/>
  <c r="L13" i="65"/>
  <c r="AB13" i="65"/>
  <c r="AR13" i="65"/>
  <c r="N13" i="65"/>
  <c r="AD13" i="65"/>
  <c r="AT13" i="65"/>
  <c r="P13" i="65"/>
  <c r="AF13" i="65"/>
  <c r="AV13" i="65"/>
  <c r="D14" i="65"/>
  <c r="T14" i="65"/>
  <c r="AJ14" i="65"/>
  <c r="F14" i="65"/>
  <c r="V14" i="65"/>
  <c r="AL14" i="65"/>
  <c r="J14" i="65"/>
  <c r="Z14" i="65"/>
  <c r="AP14" i="65"/>
  <c r="L14" i="65"/>
  <c r="AB14" i="65"/>
  <c r="AR14" i="65"/>
  <c r="N14" i="65"/>
  <c r="AD14" i="65"/>
  <c r="AT14" i="65"/>
  <c r="P14" i="65"/>
  <c r="AF14" i="65"/>
  <c r="AV14" i="65"/>
  <c r="D15" i="65"/>
  <c r="AJ15" i="65"/>
  <c r="F15" i="65"/>
  <c r="V15" i="65"/>
  <c r="AL15" i="65"/>
  <c r="J15" i="65"/>
  <c r="Z15" i="65"/>
  <c r="AP15" i="65"/>
  <c r="L15" i="65"/>
  <c r="AB15" i="65"/>
  <c r="AR15" i="65"/>
  <c r="N15" i="65"/>
  <c r="AD15" i="65"/>
  <c r="AT15" i="65"/>
  <c r="P15" i="65"/>
  <c r="AF15" i="65"/>
  <c r="AV15" i="65"/>
  <c r="D16" i="65"/>
  <c r="T16" i="65"/>
  <c r="AJ16" i="65"/>
  <c r="F16" i="65"/>
  <c r="V16" i="65"/>
  <c r="AL16" i="65"/>
  <c r="J16" i="65"/>
  <c r="Z16" i="65"/>
  <c r="AP16" i="65"/>
  <c r="L16" i="65"/>
  <c r="AB16" i="65"/>
  <c r="AR16" i="65"/>
  <c r="N16" i="65"/>
  <c r="AD16" i="65"/>
  <c r="AT16" i="65"/>
  <c r="P16" i="65"/>
  <c r="AF16" i="65"/>
  <c r="AV16" i="65"/>
  <c r="D17" i="65"/>
  <c r="T17" i="65"/>
  <c r="AJ17" i="65"/>
  <c r="F17" i="65"/>
  <c r="V17" i="65"/>
  <c r="AL17" i="65"/>
  <c r="J17" i="65"/>
  <c r="Z17" i="65"/>
  <c r="AP17" i="65"/>
  <c r="L17" i="65"/>
  <c r="AB17" i="65"/>
  <c r="AR17" i="65"/>
  <c r="N17" i="65"/>
  <c r="AD17" i="65"/>
  <c r="AT17" i="65"/>
  <c r="P17" i="65"/>
  <c r="AF17" i="65"/>
  <c r="AV17" i="65"/>
  <c r="D18" i="65"/>
  <c r="T18" i="65"/>
  <c r="AJ18" i="65"/>
  <c r="F18" i="65"/>
  <c r="V18" i="65"/>
  <c r="AL18" i="65"/>
  <c r="J18" i="65"/>
  <c r="Z18" i="65"/>
  <c r="AP18" i="65"/>
  <c r="L18" i="65"/>
  <c r="AB18" i="65"/>
  <c r="AR18" i="65"/>
  <c r="N18" i="65"/>
  <c r="AD18" i="65"/>
  <c r="AT18" i="65"/>
  <c r="P18" i="65"/>
  <c r="AV18" i="65"/>
  <c r="D19" i="65"/>
  <c r="T19" i="65"/>
  <c r="AJ19" i="65"/>
  <c r="F19" i="65"/>
  <c r="AL19" i="65"/>
  <c r="J19" i="65"/>
  <c r="Z19" i="65"/>
  <c r="AP19" i="65"/>
  <c r="L19" i="65"/>
  <c r="AB19" i="65"/>
  <c r="AR19" i="65"/>
  <c r="N19" i="65"/>
  <c r="AD19" i="65"/>
  <c r="AT19" i="65"/>
  <c r="P19" i="65"/>
  <c r="AF19" i="65"/>
  <c r="AV19" i="65"/>
  <c r="D20" i="65"/>
  <c r="T20" i="65"/>
  <c r="AJ20" i="65"/>
  <c r="F20" i="65"/>
  <c r="V20" i="65"/>
  <c r="AL20" i="65"/>
  <c r="J20" i="65"/>
  <c r="Z20" i="65"/>
  <c r="AP20" i="65"/>
  <c r="L20" i="65"/>
  <c r="AB20" i="65"/>
  <c r="AR20" i="65"/>
  <c r="N20" i="65"/>
  <c r="AD20" i="65"/>
  <c r="AT20" i="65"/>
  <c r="P20" i="65"/>
  <c r="AF20" i="65"/>
  <c r="AV20" i="65"/>
  <c r="D21" i="65"/>
  <c r="T21" i="65"/>
  <c r="AJ21" i="65"/>
  <c r="F21" i="65"/>
  <c r="V21" i="65"/>
  <c r="AL21" i="65"/>
  <c r="J21" i="65"/>
  <c r="Z21" i="65"/>
  <c r="AP21" i="65"/>
  <c r="L21" i="65"/>
  <c r="AB21" i="65"/>
  <c r="N21" i="65"/>
  <c r="AD21" i="65"/>
  <c r="AT21" i="65"/>
  <c r="P21" i="65"/>
  <c r="AF21" i="65"/>
  <c r="AV21" i="65"/>
  <c r="D22" i="65"/>
  <c r="AJ22" i="65"/>
  <c r="F22" i="65"/>
  <c r="AL22" i="65"/>
  <c r="J22" i="65"/>
  <c r="AP22" i="65"/>
  <c r="AR22" i="65"/>
  <c r="N22" i="65"/>
  <c r="AT22" i="65"/>
  <c r="P22" i="65"/>
  <c r="AV22" i="65"/>
  <c r="D23" i="65"/>
  <c r="T23" i="65"/>
  <c r="AJ23" i="65"/>
  <c r="F23" i="65"/>
  <c r="V23" i="65"/>
  <c r="AL23" i="65"/>
  <c r="J23" i="65"/>
  <c r="Z23" i="65"/>
  <c r="AP23" i="65"/>
  <c r="L23" i="65"/>
  <c r="AB23" i="65"/>
  <c r="AR23" i="65"/>
  <c r="N23" i="65"/>
  <c r="AD23" i="65"/>
  <c r="AT23" i="65"/>
  <c r="P23" i="65"/>
  <c r="AF23" i="65"/>
  <c r="AV23" i="65"/>
  <c r="D24" i="65"/>
  <c r="T24" i="65"/>
  <c r="AJ24" i="65"/>
  <c r="F24" i="65"/>
  <c r="V24" i="65"/>
  <c r="AL24" i="65"/>
  <c r="J24" i="65"/>
  <c r="Z24" i="65"/>
  <c r="AP24" i="65"/>
  <c r="L24" i="65"/>
  <c r="AB24" i="65"/>
  <c r="AR24" i="65"/>
  <c r="N24" i="65"/>
  <c r="AD24" i="65"/>
  <c r="AT24" i="65"/>
  <c r="P24" i="65"/>
  <c r="AF24" i="65"/>
  <c r="AV24" i="65"/>
  <c r="D25" i="65"/>
  <c r="T25" i="65"/>
  <c r="AJ25" i="65"/>
  <c r="F25" i="65"/>
  <c r="V25" i="65"/>
  <c r="AL25" i="65"/>
  <c r="J25" i="65"/>
  <c r="Z25" i="65"/>
  <c r="AP25" i="65"/>
  <c r="L25" i="65"/>
  <c r="AB25" i="65"/>
  <c r="AR25" i="65"/>
  <c r="N25" i="65"/>
  <c r="AD25" i="65"/>
  <c r="AT25" i="65"/>
  <c r="P25" i="65"/>
  <c r="AF25" i="65"/>
  <c r="AV25" i="65"/>
  <c r="D26" i="65"/>
  <c r="T26" i="65"/>
  <c r="AJ26" i="65"/>
  <c r="F26" i="65"/>
  <c r="V26" i="65"/>
  <c r="AL26" i="65"/>
  <c r="J26" i="65"/>
  <c r="Z26" i="65"/>
  <c r="AP26" i="65"/>
  <c r="L26" i="65"/>
  <c r="AB26" i="65"/>
  <c r="AR26" i="65"/>
  <c r="N26" i="65"/>
  <c r="AD26" i="65"/>
  <c r="AT26" i="65"/>
  <c r="P26" i="65"/>
  <c r="AF26" i="65"/>
  <c r="AV26" i="65"/>
  <c r="D27" i="65"/>
  <c r="T27" i="65"/>
  <c r="AJ27" i="65"/>
  <c r="F27" i="65"/>
  <c r="V27" i="65"/>
  <c r="AL27" i="65"/>
  <c r="J27" i="65"/>
  <c r="Z27" i="65"/>
  <c r="AP27" i="65"/>
  <c r="L27" i="65"/>
  <c r="AB27" i="65"/>
  <c r="AR27" i="65"/>
  <c r="N27" i="65"/>
  <c r="AD27" i="65"/>
  <c r="AT27" i="65"/>
  <c r="P27" i="65"/>
  <c r="AF27" i="65"/>
  <c r="AV27" i="65"/>
  <c r="D28" i="65"/>
  <c r="T28" i="65"/>
  <c r="AJ28" i="65"/>
  <c r="F28" i="65"/>
  <c r="V28" i="65"/>
  <c r="AL28" i="65"/>
  <c r="J28" i="65"/>
  <c r="Z28" i="65"/>
  <c r="AP28" i="65"/>
  <c r="L28" i="65"/>
  <c r="AB28" i="65"/>
  <c r="AR28" i="65"/>
  <c r="N28" i="65"/>
  <c r="AD28" i="65"/>
  <c r="AT28" i="65"/>
  <c r="P28" i="65"/>
  <c r="AF28" i="65"/>
  <c r="AV28" i="65"/>
  <c r="D29" i="65"/>
  <c r="T29" i="65"/>
  <c r="AJ29" i="65"/>
  <c r="F29" i="65"/>
  <c r="V29" i="65"/>
  <c r="AL29" i="65"/>
  <c r="J29" i="65"/>
  <c r="Z29" i="65"/>
  <c r="AP29" i="65"/>
  <c r="L29" i="65"/>
  <c r="AB29" i="65"/>
  <c r="AR29" i="65"/>
  <c r="N29" i="65"/>
  <c r="AD29" i="65"/>
  <c r="AT29" i="65"/>
  <c r="P29" i="65"/>
  <c r="AF29" i="65"/>
  <c r="AV29" i="65"/>
  <c r="MY471" i="2"/>
  <c r="D31" i="65"/>
  <c r="T31" i="65"/>
  <c r="AJ31" i="65"/>
  <c r="F31" i="65"/>
  <c r="V31" i="65"/>
  <c r="AL31" i="65"/>
  <c r="J31" i="65"/>
  <c r="Z31" i="65"/>
  <c r="AP31" i="65"/>
  <c r="L31" i="65"/>
  <c r="AB31" i="65"/>
  <c r="AR31" i="65"/>
  <c r="AD31" i="65"/>
  <c r="AT31" i="65"/>
  <c r="P31" i="65"/>
  <c r="AF31" i="65"/>
  <c r="AV31" i="65"/>
  <c r="D32" i="65"/>
  <c r="T32" i="65"/>
  <c r="AJ32" i="65"/>
  <c r="F32" i="65"/>
  <c r="V32" i="65"/>
  <c r="AL32" i="65"/>
  <c r="J32" i="65"/>
  <c r="Z32" i="65"/>
  <c r="AP32" i="65"/>
  <c r="L32" i="65"/>
  <c r="AB32" i="65"/>
  <c r="AR32" i="65"/>
  <c r="N32" i="65"/>
  <c r="AD32" i="65"/>
  <c r="AT32" i="65"/>
  <c r="P32" i="65"/>
  <c r="AF32" i="65"/>
  <c r="AV32" i="65"/>
  <c r="T33" i="65"/>
  <c r="AJ33" i="65"/>
  <c r="F33" i="65"/>
  <c r="V33" i="65"/>
  <c r="AL33" i="65"/>
  <c r="J33" i="65"/>
  <c r="Z33" i="65"/>
  <c r="AP33" i="65"/>
  <c r="L33" i="65"/>
  <c r="AB33" i="65"/>
  <c r="AR33" i="65"/>
  <c r="AD33" i="65"/>
  <c r="AT33" i="65"/>
  <c r="P33" i="65"/>
  <c r="AF33" i="65"/>
  <c r="AV33" i="65"/>
  <c r="D34" i="65"/>
  <c r="T34" i="65"/>
  <c r="AJ34" i="65"/>
  <c r="F34" i="65"/>
  <c r="V34" i="65"/>
  <c r="AL34" i="65"/>
  <c r="J34" i="65"/>
  <c r="Z34" i="65"/>
  <c r="AP34" i="65"/>
  <c r="L34" i="65"/>
  <c r="AB34" i="65"/>
  <c r="AR34" i="65"/>
  <c r="N34" i="65"/>
  <c r="AD34" i="65"/>
  <c r="AT34" i="65"/>
  <c r="P34" i="65"/>
  <c r="AF34" i="65"/>
  <c r="AV34" i="65"/>
  <c r="D35" i="65"/>
  <c r="T35" i="65"/>
  <c r="AJ35" i="65"/>
  <c r="F35" i="65"/>
  <c r="V35" i="65"/>
  <c r="AL35" i="65"/>
  <c r="J35" i="65"/>
  <c r="Z35" i="65"/>
  <c r="AP35" i="65"/>
  <c r="L35" i="65"/>
  <c r="AB35" i="65"/>
  <c r="AR35" i="65"/>
  <c r="N35" i="65"/>
  <c r="AD35" i="65"/>
  <c r="AT35" i="65"/>
  <c r="P35" i="65"/>
  <c r="AF35" i="65"/>
  <c r="AV35" i="65"/>
  <c r="D36" i="65"/>
  <c r="T36" i="65"/>
  <c r="AJ36" i="65"/>
  <c r="F36" i="65"/>
  <c r="V36" i="65"/>
  <c r="AL36" i="65"/>
  <c r="J36" i="65"/>
  <c r="Z36" i="65"/>
  <c r="AP36" i="65"/>
  <c r="L36" i="65"/>
  <c r="AB36" i="65"/>
  <c r="AR36" i="65"/>
  <c r="N36" i="65"/>
  <c r="AD36" i="65"/>
  <c r="AT36" i="65"/>
  <c r="P36" i="65"/>
  <c r="AF36" i="65"/>
  <c r="AV36" i="65"/>
  <c r="F37" i="65"/>
  <c r="GE37" i="65" s="1"/>
  <c r="J37" i="65"/>
  <c r="GG37" i="65" s="1"/>
  <c r="L37" i="65"/>
  <c r="GI37" i="65" s="1"/>
  <c r="D38" i="65"/>
  <c r="T38" i="65"/>
  <c r="AJ38" i="65"/>
  <c r="F38" i="65"/>
  <c r="V38" i="65"/>
  <c r="AL38" i="65"/>
  <c r="J38" i="65"/>
  <c r="Z38" i="65"/>
  <c r="AP38" i="65"/>
  <c r="L38" i="65"/>
  <c r="AB38" i="65"/>
  <c r="AR38" i="65"/>
  <c r="N38" i="65"/>
  <c r="AD38" i="65"/>
  <c r="AT38" i="65"/>
  <c r="P38" i="65"/>
  <c r="AF38" i="65"/>
  <c r="AV38" i="65"/>
  <c r="D39" i="65"/>
  <c r="T39" i="65"/>
  <c r="AJ39" i="65"/>
  <c r="F39" i="65"/>
  <c r="V39" i="65"/>
  <c r="AL39" i="65"/>
  <c r="J39" i="65"/>
  <c r="Z39" i="65"/>
  <c r="AP39" i="65"/>
  <c r="L39" i="65"/>
  <c r="AB39" i="65"/>
  <c r="AR39" i="65"/>
  <c r="N39" i="65"/>
  <c r="AD39" i="65"/>
  <c r="AT39" i="65"/>
  <c r="P39" i="65"/>
  <c r="AF39" i="65"/>
  <c r="AV39" i="65"/>
  <c r="D40" i="65"/>
  <c r="T40" i="65"/>
  <c r="AJ40" i="65"/>
  <c r="F40" i="65"/>
  <c r="V40" i="65"/>
  <c r="AL40" i="65"/>
  <c r="J40" i="65"/>
  <c r="Z40" i="65"/>
  <c r="AP40" i="65"/>
  <c r="L40" i="65"/>
  <c r="AB40" i="65"/>
  <c r="AR40" i="65"/>
  <c r="N40" i="65"/>
  <c r="AD40" i="65"/>
  <c r="AT40" i="65"/>
  <c r="P40" i="65"/>
  <c r="AF40" i="65"/>
  <c r="AV40" i="65"/>
  <c r="D41" i="65"/>
  <c r="T41" i="65"/>
  <c r="AJ41" i="65"/>
  <c r="F41" i="65"/>
  <c r="V41" i="65"/>
  <c r="AL41" i="65"/>
  <c r="J41" i="65"/>
  <c r="Z41" i="65"/>
  <c r="AP41" i="65"/>
  <c r="L41" i="65"/>
  <c r="AB41" i="65"/>
  <c r="AR41" i="65"/>
  <c r="N41" i="65"/>
  <c r="AD41" i="65"/>
  <c r="AT41" i="65"/>
  <c r="P41" i="65"/>
  <c r="AF41" i="65"/>
  <c r="AV41" i="65"/>
  <c r="D42" i="65"/>
  <c r="T42" i="65"/>
  <c r="AJ42" i="65"/>
  <c r="F42" i="65"/>
  <c r="AL42" i="65"/>
  <c r="J42" i="65"/>
  <c r="Z42" i="65"/>
  <c r="AP42" i="65"/>
  <c r="L42" i="65"/>
  <c r="AB42" i="65"/>
  <c r="AR42" i="65"/>
  <c r="N42" i="65"/>
  <c r="AD42" i="65"/>
  <c r="AT42" i="65"/>
  <c r="P42" i="65"/>
  <c r="AV42" i="65"/>
  <c r="D43" i="65"/>
  <c r="T43" i="65"/>
  <c r="AJ43" i="65"/>
  <c r="F43" i="65"/>
  <c r="V43" i="65"/>
  <c r="AL43" i="65"/>
  <c r="J43" i="65"/>
  <c r="Z43" i="65"/>
  <c r="AP43" i="65"/>
  <c r="L43" i="65"/>
  <c r="AB43" i="65"/>
  <c r="AR43" i="65"/>
  <c r="N43" i="65"/>
  <c r="AD43" i="65"/>
  <c r="AT43" i="65"/>
  <c r="P43" i="65"/>
  <c r="AF43" i="65"/>
  <c r="AV43" i="65"/>
  <c r="D44" i="65"/>
  <c r="T44" i="65"/>
  <c r="AJ44" i="65"/>
  <c r="F44" i="65"/>
  <c r="AL44" i="65"/>
  <c r="J44" i="65"/>
  <c r="Z44" i="65"/>
  <c r="AP44" i="65"/>
  <c r="L44" i="65"/>
  <c r="AB44" i="65"/>
  <c r="AR44" i="65"/>
  <c r="N44" i="65"/>
  <c r="AD44" i="65"/>
  <c r="AT44" i="65"/>
  <c r="P44" i="65"/>
  <c r="AV44" i="65"/>
  <c r="D45" i="65"/>
  <c r="T45" i="65"/>
  <c r="AJ45" i="65"/>
  <c r="F45" i="65"/>
  <c r="V45" i="65"/>
  <c r="AL45" i="65"/>
  <c r="J45" i="65"/>
  <c r="Z45" i="65"/>
  <c r="AP45" i="65"/>
  <c r="L45" i="65"/>
  <c r="AB45" i="65"/>
  <c r="AR45" i="65"/>
  <c r="N45" i="65"/>
  <c r="AD45" i="65"/>
  <c r="AT45" i="65"/>
  <c r="P45" i="65"/>
  <c r="AF45" i="65"/>
  <c r="AV45" i="65"/>
  <c r="AZ8" i="65"/>
  <c r="BP8" i="65"/>
  <c r="CF8" i="65"/>
  <c r="BB8" i="65"/>
  <c r="BR8" i="65"/>
  <c r="CH8" i="65"/>
  <c r="BF8" i="65"/>
  <c r="BV8" i="65"/>
  <c r="BH8" i="65"/>
  <c r="BX8" i="65"/>
  <c r="CN8" i="65"/>
  <c r="BJ8" i="65"/>
  <c r="BZ8" i="65"/>
  <c r="CP8" i="65"/>
  <c r="BL8" i="65"/>
  <c r="CB8" i="65"/>
  <c r="CR8" i="65"/>
  <c r="AZ9" i="65"/>
  <c r="BP9" i="65"/>
  <c r="CF9" i="65"/>
  <c r="BB9" i="65"/>
  <c r="BR9" i="65"/>
  <c r="CH9" i="65"/>
  <c r="BF9" i="65"/>
  <c r="BV9" i="65"/>
  <c r="BH9" i="65"/>
  <c r="BX9" i="65"/>
  <c r="CN9" i="65"/>
  <c r="BJ9" i="65"/>
  <c r="BZ9" i="65"/>
  <c r="CP9" i="65"/>
  <c r="BL9" i="65"/>
  <c r="CB9" i="65"/>
  <c r="CR9" i="65"/>
  <c r="BB10" i="65"/>
  <c r="BR10" i="65"/>
  <c r="CH10" i="65"/>
  <c r="BF10" i="65"/>
  <c r="BV10" i="65"/>
  <c r="BH10" i="65"/>
  <c r="BX10" i="65"/>
  <c r="CN10" i="65"/>
  <c r="BJ10" i="65"/>
  <c r="BZ10" i="65"/>
  <c r="CP10" i="65"/>
  <c r="BL10" i="65"/>
  <c r="CB10" i="65"/>
  <c r="CR10" i="65"/>
  <c r="AZ11" i="65"/>
  <c r="BP11" i="65"/>
  <c r="CF11" i="65"/>
  <c r="BB11" i="65"/>
  <c r="BR11" i="65"/>
  <c r="CH11" i="65"/>
  <c r="BF11" i="65"/>
  <c r="BV11" i="65"/>
  <c r="BH11" i="65"/>
  <c r="BX11" i="65"/>
  <c r="CN11" i="65"/>
  <c r="BJ11" i="65"/>
  <c r="BZ11" i="65"/>
  <c r="CP11" i="65"/>
  <c r="BL11" i="65"/>
  <c r="CB11" i="65"/>
  <c r="CR11" i="65"/>
  <c r="AZ12" i="65"/>
  <c r="BP12" i="65"/>
  <c r="CF12" i="65"/>
  <c r="BB12" i="65"/>
  <c r="BR12" i="65"/>
  <c r="CH12" i="65"/>
  <c r="BF12" i="65"/>
  <c r="BV12" i="65"/>
  <c r="BH12" i="65"/>
  <c r="BX12" i="65"/>
  <c r="CN12" i="65"/>
  <c r="BJ12" i="65"/>
  <c r="BZ12" i="65"/>
  <c r="CP12" i="65"/>
  <c r="BL12" i="65"/>
  <c r="CB12" i="65"/>
  <c r="CR12" i="65"/>
  <c r="AZ13" i="65"/>
  <c r="BP13" i="65"/>
  <c r="CF13" i="65"/>
  <c r="BB13" i="65"/>
  <c r="BR13" i="65"/>
  <c r="CH13" i="65"/>
  <c r="BF13" i="65"/>
  <c r="BV13" i="65"/>
  <c r="BH13" i="65"/>
  <c r="BX13" i="65"/>
  <c r="CN13" i="65"/>
  <c r="BJ13" i="65"/>
  <c r="CP13" i="65"/>
  <c r="BL13" i="65"/>
  <c r="CB13" i="65"/>
  <c r="CR13" i="65"/>
  <c r="AZ14" i="65"/>
  <c r="BP14" i="65"/>
  <c r="CF14" i="65"/>
  <c r="BB14" i="65"/>
  <c r="BR14" i="65"/>
  <c r="CH14" i="65"/>
  <c r="BF14" i="65"/>
  <c r="BV14" i="65"/>
  <c r="BH14" i="65"/>
  <c r="BX14" i="65"/>
  <c r="CN14" i="65"/>
  <c r="BJ14" i="65"/>
  <c r="BZ14" i="65"/>
  <c r="CP14" i="65"/>
  <c r="BL14" i="65"/>
  <c r="CB14" i="65"/>
  <c r="CR14" i="65"/>
  <c r="AZ15" i="65"/>
  <c r="CF15" i="65"/>
  <c r="BB15" i="65"/>
  <c r="BR15" i="65"/>
  <c r="CH15" i="65"/>
  <c r="BF15" i="65"/>
  <c r="BV15" i="65"/>
  <c r="BH15" i="65"/>
  <c r="BX15" i="65"/>
  <c r="CN15" i="65"/>
  <c r="BJ15" i="65"/>
  <c r="CP15" i="65"/>
  <c r="BL15" i="65"/>
  <c r="CB15" i="65"/>
  <c r="CR15" i="65"/>
  <c r="AZ16" i="65"/>
  <c r="BP16" i="65"/>
  <c r="CF16" i="65"/>
  <c r="BB16" i="65"/>
  <c r="BR16" i="65"/>
  <c r="CH16" i="65"/>
  <c r="BF16" i="65"/>
  <c r="BV16" i="65"/>
  <c r="BH16" i="65"/>
  <c r="BX16" i="65"/>
  <c r="CN16" i="65"/>
  <c r="BJ16" i="65"/>
  <c r="BZ16" i="65"/>
  <c r="CP16" i="65"/>
  <c r="BL16" i="65"/>
  <c r="CB16" i="65"/>
  <c r="CR16" i="65"/>
  <c r="AZ17" i="65"/>
  <c r="BP17" i="65"/>
  <c r="CF17" i="65"/>
  <c r="BB17" i="65"/>
  <c r="BR17" i="65"/>
  <c r="CH17" i="65"/>
  <c r="BF17" i="65"/>
  <c r="BV17" i="65"/>
  <c r="BH17" i="65"/>
  <c r="BX17" i="65"/>
  <c r="CN17" i="65"/>
  <c r="BJ17" i="65"/>
  <c r="BZ17" i="65"/>
  <c r="CP17" i="65"/>
  <c r="BL17" i="65"/>
  <c r="CB17" i="65"/>
  <c r="CR17" i="65"/>
  <c r="AZ18" i="65"/>
  <c r="BP18" i="65"/>
  <c r="CF18" i="65"/>
  <c r="BB18" i="65"/>
  <c r="BR18" i="65"/>
  <c r="CH18" i="65"/>
  <c r="BF18" i="65"/>
  <c r="BV18" i="65"/>
  <c r="BH18" i="65"/>
  <c r="BX18" i="65"/>
  <c r="CN18" i="65"/>
  <c r="BJ18" i="65"/>
  <c r="BZ18" i="65"/>
  <c r="CP18" i="65"/>
  <c r="BL18" i="65"/>
  <c r="CB18" i="65"/>
  <c r="CR18" i="65"/>
  <c r="AZ19" i="65"/>
  <c r="BP19" i="65"/>
  <c r="CF19" i="65"/>
  <c r="BB19" i="65"/>
  <c r="BR19" i="65"/>
  <c r="CH19" i="65"/>
  <c r="BF19" i="65"/>
  <c r="BV19" i="65"/>
  <c r="BH19" i="65"/>
  <c r="BX19" i="65"/>
  <c r="CN19" i="65"/>
  <c r="BJ19" i="65"/>
  <c r="BZ19" i="65"/>
  <c r="CP19" i="65"/>
  <c r="BL19" i="65"/>
  <c r="CB19" i="65"/>
  <c r="CR19" i="65"/>
  <c r="AZ20" i="65"/>
  <c r="BP20" i="65"/>
  <c r="CF20" i="65"/>
  <c r="BB20" i="65"/>
  <c r="BR20" i="65"/>
  <c r="CH20" i="65"/>
  <c r="BF20" i="65"/>
  <c r="BV20" i="65"/>
  <c r="BH20" i="65"/>
  <c r="BX20" i="65"/>
  <c r="CN20" i="65"/>
  <c r="BJ20" i="65"/>
  <c r="BZ20" i="65"/>
  <c r="CP20" i="65"/>
  <c r="BL20" i="65"/>
  <c r="CB20" i="65"/>
  <c r="CR20" i="65"/>
  <c r="AZ21" i="65"/>
  <c r="BP21" i="65"/>
  <c r="CF21" i="65"/>
  <c r="BB21" i="65"/>
  <c r="BR21" i="65"/>
  <c r="CH21" i="65"/>
  <c r="BF21" i="65"/>
  <c r="BV21" i="65"/>
  <c r="BH21" i="65"/>
  <c r="BX21" i="65"/>
  <c r="CN21" i="65"/>
  <c r="BJ21" i="65"/>
  <c r="BZ21" i="65"/>
  <c r="CP21" i="65"/>
  <c r="BL21" i="65"/>
  <c r="CB21" i="65"/>
  <c r="CR21" i="65"/>
  <c r="AZ22" i="65"/>
  <c r="BP22" i="65"/>
  <c r="CF22" i="65"/>
  <c r="BB22" i="65"/>
  <c r="BR22" i="65"/>
  <c r="CH22" i="65"/>
  <c r="BF22" i="65"/>
  <c r="BV22" i="65"/>
  <c r="BH22" i="65"/>
  <c r="BX22" i="65"/>
  <c r="CN22" i="65"/>
  <c r="BJ22" i="65"/>
  <c r="BZ22" i="65"/>
  <c r="CP22" i="65"/>
  <c r="BL22" i="65"/>
  <c r="CB22" i="65"/>
  <c r="CR22" i="65"/>
  <c r="AZ23" i="65"/>
  <c r="BP23" i="65"/>
  <c r="CF23" i="65"/>
  <c r="BB23" i="65"/>
  <c r="BR23" i="65"/>
  <c r="CH23" i="65"/>
  <c r="BF23" i="65"/>
  <c r="BV23" i="65"/>
  <c r="BH23" i="65"/>
  <c r="BX23" i="65"/>
  <c r="CN23" i="65"/>
  <c r="BJ23" i="65"/>
  <c r="BZ23" i="65"/>
  <c r="CP23" i="65"/>
  <c r="BL23" i="65"/>
  <c r="CB23" i="65"/>
  <c r="CR23" i="65"/>
  <c r="AZ24" i="65"/>
  <c r="BP24" i="65"/>
  <c r="CF24" i="65"/>
  <c r="BB24" i="65"/>
  <c r="BR24" i="65"/>
  <c r="CH24" i="65"/>
  <c r="BF24" i="65"/>
  <c r="BV24" i="65"/>
  <c r="BH24" i="65"/>
  <c r="BX24" i="65"/>
  <c r="CN24" i="65"/>
  <c r="BJ24" i="65"/>
  <c r="BZ24" i="65"/>
  <c r="CP24" i="65"/>
  <c r="BL24" i="65"/>
  <c r="CB24" i="65"/>
  <c r="CR24" i="65"/>
  <c r="AZ25" i="65"/>
  <c r="BP25" i="65"/>
  <c r="CF25" i="65"/>
  <c r="BB25" i="65"/>
  <c r="BR25" i="65"/>
  <c r="CH25" i="65"/>
  <c r="BF25" i="65"/>
  <c r="BV25" i="65"/>
  <c r="BH25" i="65"/>
  <c r="BX25" i="65"/>
  <c r="CN25" i="65"/>
  <c r="BJ25" i="65"/>
  <c r="BZ25" i="65"/>
  <c r="CP25" i="65"/>
  <c r="BL25" i="65"/>
  <c r="CB25" i="65"/>
  <c r="CR25" i="65"/>
  <c r="AZ26" i="65"/>
  <c r="BP26" i="65"/>
  <c r="CF26" i="65"/>
  <c r="BB26" i="65"/>
  <c r="BR26" i="65"/>
  <c r="CH26" i="65"/>
  <c r="BF26" i="65"/>
  <c r="BV26" i="65"/>
  <c r="BH26" i="65"/>
  <c r="BX26" i="65"/>
  <c r="CN26" i="65"/>
  <c r="BJ26" i="65"/>
  <c r="BZ26" i="65"/>
  <c r="CP26" i="65"/>
  <c r="BL26" i="65"/>
  <c r="CB26" i="65"/>
  <c r="CR26" i="65"/>
  <c r="AZ27" i="65"/>
  <c r="BP27" i="65"/>
  <c r="CF27" i="65"/>
  <c r="BB27" i="65"/>
  <c r="BR27" i="65"/>
  <c r="CH27" i="65"/>
  <c r="BF27" i="65"/>
  <c r="BV27" i="65"/>
  <c r="BH27" i="65"/>
  <c r="BX27" i="65"/>
  <c r="CN27" i="65"/>
  <c r="BJ27" i="65"/>
  <c r="BZ27" i="65"/>
  <c r="CP27" i="65"/>
  <c r="BL27" i="65"/>
  <c r="CB27" i="65"/>
  <c r="CR27" i="65"/>
  <c r="AZ28" i="65"/>
  <c r="BP28" i="65"/>
  <c r="CF28" i="65"/>
  <c r="BB28" i="65"/>
  <c r="BR28" i="65"/>
  <c r="CH28" i="65"/>
  <c r="BF28" i="65"/>
  <c r="BV28" i="65"/>
  <c r="BH28" i="65"/>
  <c r="BX28" i="65"/>
  <c r="CN28" i="65"/>
  <c r="BJ28" i="65"/>
  <c r="BZ28" i="65"/>
  <c r="CP28" i="65"/>
  <c r="BL28" i="65"/>
  <c r="CB28" i="65"/>
  <c r="CR28" i="65"/>
  <c r="AZ29" i="65"/>
  <c r="BP29" i="65"/>
  <c r="CF29" i="65"/>
  <c r="BB29" i="65"/>
  <c r="BR29" i="65"/>
  <c r="CH29" i="65"/>
  <c r="BF29" i="65"/>
  <c r="BV29" i="65"/>
  <c r="BH29" i="65"/>
  <c r="BX29" i="65"/>
  <c r="CN29" i="65"/>
  <c r="BJ29" i="65"/>
  <c r="BZ29" i="65"/>
  <c r="CP29" i="65"/>
  <c r="BL29" i="65"/>
  <c r="CB29" i="65"/>
  <c r="CR29" i="65"/>
  <c r="AZ30" i="65"/>
  <c r="BP30" i="65"/>
  <c r="CF30" i="65"/>
  <c r="BB30" i="65"/>
  <c r="BR30" i="65"/>
  <c r="CH30" i="65"/>
  <c r="BF30" i="65"/>
  <c r="BV30" i="65"/>
  <c r="BH30" i="65"/>
  <c r="BX30" i="65"/>
  <c r="CN30" i="65"/>
  <c r="BJ30" i="65"/>
  <c r="BZ30" i="65"/>
  <c r="CP30" i="65"/>
  <c r="BL30" i="65"/>
  <c r="CB30" i="65"/>
  <c r="CR30" i="65"/>
  <c r="AZ31" i="65"/>
  <c r="BP31" i="65"/>
  <c r="CF31" i="65"/>
  <c r="BB31" i="65"/>
  <c r="BR31" i="65"/>
  <c r="CH31" i="65"/>
  <c r="BF31" i="65"/>
  <c r="BV31" i="65"/>
  <c r="BH31" i="65"/>
  <c r="BX31" i="65"/>
  <c r="CN31" i="65"/>
  <c r="BJ31" i="65"/>
  <c r="BZ31" i="65"/>
  <c r="CP31" i="65"/>
  <c r="BL31" i="65"/>
  <c r="CB31" i="65"/>
  <c r="CR31" i="65"/>
  <c r="AZ32" i="65"/>
  <c r="BP32" i="65"/>
  <c r="CF32" i="65"/>
  <c r="BB32" i="65"/>
  <c r="BR32" i="65"/>
  <c r="CH32" i="65"/>
  <c r="BF32" i="65"/>
  <c r="BV32" i="65"/>
  <c r="BH32" i="65"/>
  <c r="BX32" i="65"/>
  <c r="CN32" i="65"/>
  <c r="BJ32" i="65"/>
  <c r="BZ32" i="65"/>
  <c r="CP32" i="65"/>
  <c r="BL32" i="65"/>
  <c r="CB32" i="65"/>
  <c r="CR32" i="65"/>
  <c r="AZ33" i="65"/>
  <c r="BP33" i="65"/>
  <c r="CF33" i="65"/>
  <c r="BB33" i="65"/>
  <c r="BR33" i="65"/>
  <c r="CH33" i="65"/>
  <c r="BF33" i="65"/>
  <c r="BV33" i="65"/>
  <c r="BH33" i="65"/>
  <c r="BX33" i="65"/>
  <c r="CN33" i="65"/>
  <c r="BJ33" i="65"/>
  <c r="BZ33" i="65"/>
  <c r="CP33" i="65"/>
  <c r="BL33" i="65"/>
  <c r="CB33" i="65"/>
  <c r="CR33" i="65"/>
  <c r="AZ34" i="65"/>
  <c r="BP34" i="65"/>
  <c r="CF34" i="65"/>
  <c r="BB34" i="65"/>
  <c r="BR34" i="65"/>
  <c r="CH34" i="65"/>
  <c r="BF34" i="65"/>
  <c r="BV34" i="65"/>
  <c r="BH34" i="65"/>
  <c r="BX34" i="65"/>
  <c r="CN34" i="65"/>
  <c r="BJ34" i="65"/>
  <c r="BZ34" i="65"/>
  <c r="CP34" i="65"/>
  <c r="BL34" i="65"/>
  <c r="CB34" i="65"/>
  <c r="CR34" i="65"/>
  <c r="AZ35" i="65"/>
  <c r="CF35" i="65"/>
  <c r="BB35" i="65"/>
  <c r="BR35" i="65"/>
  <c r="CH35" i="65"/>
  <c r="BF35" i="65"/>
  <c r="BV35" i="65"/>
  <c r="BH35" i="65"/>
  <c r="BX35" i="65"/>
  <c r="CN35" i="65"/>
  <c r="BJ35" i="65"/>
  <c r="BZ35" i="65"/>
  <c r="CP35" i="65"/>
  <c r="BL35" i="65"/>
  <c r="CB35" i="65"/>
  <c r="CR35" i="65"/>
  <c r="AZ36" i="65"/>
  <c r="CF36" i="65"/>
  <c r="BB36" i="65"/>
  <c r="BR36" i="65"/>
  <c r="CH36" i="65"/>
  <c r="BF36" i="65"/>
  <c r="BV36" i="65"/>
  <c r="BH36" i="65"/>
  <c r="BX36" i="65"/>
  <c r="CN36" i="65"/>
  <c r="BJ36" i="65"/>
  <c r="BZ36" i="65"/>
  <c r="CP36" i="65"/>
  <c r="BL36" i="65"/>
  <c r="CB36" i="65"/>
  <c r="CR36" i="65"/>
  <c r="AZ38" i="65"/>
  <c r="BP38" i="65"/>
  <c r="CF38" i="65"/>
  <c r="BR38" i="65"/>
  <c r="CH38" i="65"/>
  <c r="BF38" i="65"/>
  <c r="BV38" i="65"/>
  <c r="BH38" i="65"/>
  <c r="BX38" i="65"/>
  <c r="CN38" i="65"/>
  <c r="BJ38" i="65"/>
  <c r="BZ38" i="65"/>
  <c r="CP38" i="65"/>
  <c r="BL38" i="65"/>
  <c r="CB38" i="65"/>
  <c r="CR38" i="65"/>
  <c r="AZ39" i="65"/>
  <c r="BP39" i="65"/>
  <c r="CF39" i="65"/>
  <c r="BB39" i="65"/>
  <c r="BR39" i="65"/>
  <c r="CH39" i="65"/>
  <c r="BF39" i="65"/>
  <c r="BV39" i="65"/>
  <c r="BH39" i="65"/>
  <c r="BX39" i="65"/>
  <c r="CN39" i="65"/>
  <c r="BJ39" i="65"/>
  <c r="BZ39" i="65"/>
  <c r="CP39" i="65"/>
  <c r="BL39" i="65"/>
  <c r="CB39" i="65"/>
  <c r="CR39" i="65"/>
  <c r="AZ40" i="65"/>
  <c r="BP40" i="65"/>
  <c r="CF40" i="65"/>
  <c r="BB40" i="65"/>
  <c r="BR40" i="65"/>
  <c r="CH40" i="65"/>
  <c r="BF40" i="65"/>
  <c r="BV40" i="65"/>
  <c r="BH40" i="65"/>
  <c r="BX40" i="65"/>
  <c r="CN40" i="65"/>
  <c r="BJ40" i="65"/>
  <c r="BZ40" i="65"/>
  <c r="CP40" i="65"/>
  <c r="BL40" i="65"/>
  <c r="CB40" i="65"/>
  <c r="CR40" i="65"/>
  <c r="AZ41" i="65"/>
  <c r="BP41" i="65"/>
  <c r="CF41" i="65"/>
  <c r="BB41" i="65"/>
  <c r="BR41" i="65"/>
  <c r="CH41" i="65"/>
  <c r="BF41" i="65"/>
  <c r="BV41" i="65"/>
  <c r="BX41" i="65"/>
  <c r="CN41" i="65"/>
  <c r="BJ41" i="65"/>
  <c r="BZ41" i="65"/>
  <c r="CP41" i="65"/>
  <c r="BL41" i="65"/>
  <c r="CB41" i="65"/>
  <c r="CR41" i="65"/>
  <c r="AZ42" i="65"/>
  <c r="BP42" i="65"/>
  <c r="CF42" i="65"/>
  <c r="BB42" i="65"/>
  <c r="BR42" i="65"/>
  <c r="CH42" i="65"/>
  <c r="BF42" i="65"/>
  <c r="BV42" i="65"/>
  <c r="BH42" i="65"/>
  <c r="BX42" i="65"/>
  <c r="CN42" i="65"/>
  <c r="BJ42" i="65"/>
  <c r="BZ42" i="65"/>
  <c r="CP42" i="65"/>
  <c r="BL42" i="65"/>
  <c r="CB42" i="65"/>
  <c r="CR42" i="65"/>
  <c r="AZ43" i="65"/>
  <c r="BP43" i="65"/>
  <c r="CF43" i="65"/>
  <c r="BB43" i="65"/>
  <c r="BR43" i="65"/>
  <c r="CH43" i="65"/>
  <c r="BF43" i="65"/>
  <c r="BV43" i="65"/>
  <c r="BH43" i="65"/>
  <c r="BX43" i="65"/>
  <c r="CN43" i="65"/>
  <c r="BJ43" i="65"/>
  <c r="BZ43" i="65"/>
  <c r="CP43" i="65"/>
  <c r="BL43" i="65"/>
  <c r="CB43" i="65"/>
  <c r="CR43" i="65"/>
  <c r="AZ44" i="65"/>
  <c r="BP44" i="65"/>
  <c r="CF44" i="65"/>
  <c r="BR44" i="65"/>
  <c r="CH44" i="65"/>
  <c r="BF44" i="65"/>
  <c r="BV44" i="65"/>
  <c r="BH44" i="65"/>
  <c r="BX44" i="65"/>
  <c r="CN44" i="65"/>
  <c r="BJ44" i="65"/>
  <c r="BZ44" i="65"/>
  <c r="CP44" i="65"/>
  <c r="CB44" i="65"/>
  <c r="CR44" i="65"/>
  <c r="AZ45" i="65"/>
  <c r="BP45" i="65"/>
  <c r="CF45" i="65"/>
  <c r="BB45" i="65"/>
  <c r="BR45" i="65"/>
  <c r="CH45" i="65"/>
  <c r="BF45" i="65"/>
  <c r="BV45" i="65"/>
  <c r="BH45" i="65"/>
  <c r="CN45" i="65"/>
  <c r="BJ45" i="65"/>
  <c r="BZ45" i="65"/>
  <c r="CP45" i="65"/>
  <c r="BL45" i="65"/>
  <c r="CB45" i="65"/>
  <c r="CR45" i="65"/>
  <c r="CV8" i="65"/>
  <c r="DJ8" i="65"/>
  <c r="DX8" i="65"/>
  <c r="CX8" i="65"/>
  <c r="DL8" i="65"/>
  <c r="DZ8" i="65"/>
  <c r="CZ8" i="65"/>
  <c r="DN8" i="65"/>
  <c r="EB8" i="65"/>
  <c r="DB8" i="65"/>
  <c r="DP8" i="65"/>
  <c r="ED8" i="65"/>
  <c r="DD8" i="65"/>
  <c r="DR8" i="65"/>
  <c r="DF8" i="65"/>
  <c r="DT8" i="65"/>
  <c r="EH8" i="65"/>
  <c r="CV9" i="65"/>
  <c r="DJ9" i="65"/>
  <c r="DX9" i="65"/>
  <c r="CX9" i="65"/>
  <c r="DL9" i="65"/>
  <c r="DZ9" i="65"/>
  <c r="CZ9" i="65"/>
  <c r="DN9" i="65"/>
  <c r="EB9" i="65"/>
  <c r="DB9" i="65"/>
  <c r="DP9" i="65"/>
  <c r="ED9" i="65"/>
  <c r="DD9" i="65"/>
  <c r="DR9" i="65"/>
  <c r="EF9" i="65"/>
  <c r="DF9" i="65"/>
  <c r="DT9" i="65"/>
  <c r="EH9" i="65"/>
  <c r="CX10" i="65"/>
  <c r="DL10" i="65"/>
  <c r="DZ10" i="65"/>
  <c r="CZ10" i="65"/>
  <c r="DN10" i="65"/>
  <c r="EB10" i="65"/>
  <c r="DB10" i="65"/>
  <c r="DP10" i="65"/>
  <c r="ED10" i="65"/>
  <c r="DD10" i="65"/>
  <c r="DR10" i="65"/>
  <c r="EF10" i="65"/>
  <c r="DF10" i="65"/>
  <c r="DT10" i="65"/>
  <c r="EH10" i="65"/>
  <c r="CV11" i="65"/>
  <c r="DJ11" i="65"/>
  <c r="DX11" i="65"/>
  <c r="CX11" i="65"/>
  <c r="DL11" i="65"/>
  <c r="DZ11" i="65"/>
  <c r="CZ11" i="65"/>
  <c r="DN11" i="65"/>
  <c r="EB11" i="65"/>
  <c r="DB11" i="65"/>
  <c r="DP11" i="65"/>
  <c r="ED11" i="65"/>
  <c r="DD11" i="65"/>
  <c r="DR11" i="65"/>
  <c r="EF11" i="65"/>
  <c r="DF11" i="65"/>
  <c r="DT11" i="65"/>
  <c r="EH11" i="65"/>
  <c r="CV12" i="65"/>
  <c r="DJ12" i="65"/>
  <c r="DX12" i="65"/>
  <c r="CX12" i="65"/>
  <c r="DL12" i="65"/>
  <c r="DZ12" i="65"/>
  <c r="CZ12" i="65"/>
  <c r="DN12" i="65"/>
  <c r="EB12" i="65"/>
  <c r="DB12" i="65"/>
  <c r="DP12" i="65"/>
  <c r="ED12" i="65"/>
  <c r="DD12" i="65"/>
  <c r="DR12" i="65"/>
  <c r="EF12" i="65"/>
  <c r="DF12" i="65"/>
  <c r="DT12" i="65"/>
  <c r="EH12" i="65"/>
  <c r="CV13" i="65"/>
  <c r="DX13" i="65"/>
  <c r="CX13" i="65"/>
  <c r="DL13" i="65"/>
  <c r="DZ13" i="65"/>
  <c r="CZ13" i="65"/>
  <c r="DN13" i="65"/>
  <c r="EB13" i="65"/>
  <c r="DB13" i="65"/>
  <c r="DP13" i="65"/>
  <c r="ED13" i="65"/>
  <c r="DD13" i="65"/>
  <c r="DR13" i="65"/>
  <c r="EF13" i="65"/>
  <c r="DF13" i="65"/>
  <c r="DT13" i="65"/>
  <c r="EH13" i="65"/>
  <c r="CV14" i="65"/>
  <c r="DJ14" i="65"/>
  <c r="DX14" i="65"/>
  <c r="CX14" i="65"/>
  <c r="DL14" i="65"/>
  <c r="DZ14" i="65"/>
  <c r="CZ14" i="65"/>
  <c r="DN14" i="65"/>
  <c r="EB14" i="65"/>
  <c r="DB14" i="65"/>
  <c r="DP14" i="65"/>
  <c r="ED14" i="65"/>
  <c r="DD14" i="65"/>
  <c r="DR14" i="65"/>
  <c r="EF14" i="65"/>
  <c r="DF14" i="65"/>
  <c r="DT14" i="65"/>
  <c r="EH14" i="65"/>
  <c r="CV15" i="65"/>
  <c r="DJ15" i="65"/>
  <c r="DX15" i="65"/>
  <c r="CX15" i="65"/>
  <c r="DL15" i="65"/>
  <c r="DZ15" i="65"/>
  <c r="CZ15" i="65"/>
  <c r="DN15" i="65"/>
  <c r="EB15" i="65"/>
  <c r="DB15" i="65"/>
  <c r="DP15" i="65"/>
  <c r="ED15" i="65"/>
  <c r="DD15" i="65"/>
  <c r="DR15" i="65"/>
  <c r="EF15" i="65"/>
  <c r="DF15" i="65"/>
  <c r="DT15" i="65"/>
  <c r="EH15" i="65"/>
  <c r="DJ16" i="65"/>
  <c r="DX16" i="65"/>
  <c r="DR16" i="65"/>
  <c r="EF16" i="65"/>
  <c r="DT16" i="65"/>
  <c r="EH16" i="65"/>
  <c r="CV17" i="65"/>
  <c r="DJ17" i="65"/>
  <c r="DX17" i="65"/>
  <c r="CX17" i="65"/>
  <c r="DL17" i="65"/>
  <c r="DZ17" i="65"/>
  <c r="CZ17" i="65"/>
  <c r="DN17" i="65"/>
  <c r="EB17" i="65"/>
  <c r="DB17" i="65"/>
  <c r="DP17" i="65"/>
  <c r="ED17" i="65"/>
  <c r="DD17" i="65"/>
  <c r="DR17" i="65"/>
  <c r="EF17" i="65"/>
  <c r="DF17" i="65"/>
  <c r="DT17" i="65"/>
  <c r="EH17" i="65"/>
  <c r="CV18" i="65"/>
  <c r="DJ18" i="65"/>
  <c r="DX18" i="65"/>
  <c r="CX18" i="65"/>
  <c r="DL18" i="65"/>
  <c r="DZ18" i="65"/>
  <c r="CZ18" i="65"/>
  <c r="DN18" i="65"/>
  <c r="EB18" i="65"/>
  <c r="DB18" i="65"/>
  <c r="DP18" i="65"/>
  <c r="ED18" i="65"/>
  <c r="DD18" i="65"/>
  <c r="DR18" i="65"/>
  <c r="EF18" i="65"/>
  <c r="DF18" i="65"/>
  <c r="DT18" i="65"/>
  <c r="EH18" i="65"/>
  <c r="CV19" i="65"/>
  <c r="DJ19" i="65"/>
  <c r="DX19" i="65"/>
  <c r="CX19" i="65"/>
  <c r="DL19" i="65"/>
  <c r="DZ19" i="65"/>
  <c r="CZ19" i="65"/>
  <c r="DN19" i="65"/>
  <c r="EB19" i="65"/>
  <c r="DB19" i="65"/>
  <c r="DP19" i="65"/>
  <c r="ED19" i="65"/>
  <c r="DD19" i="65"/>
  <c r="DR19" i="65"/>
  <c r="EF19" i="65"/>
  <c r="DF19" i="65"/>
  <c r="DT19" i="65"/>
  <c r="EH19" i="65"/>
  <c r="CV20" i="65"/>
  <c r="DJ20" i="65"/>
  <c r="DX20" i="65"/>
  <c r="CX20" i="65"/>
  <c r="DL20" i="65"/>
  <c r="DZ20" i="65"/>
  <c r="CZ20" i="65"/>
  <c r="DN20" i="65"/>
  <c r="EB20" i="65"/>
  <c r="DB20" i="65"/>
  <c r="DP20" i="65"/>
  <c r="ED20" i="65"/>
  <c r="DD20" i="65"/>
  <c r="DR20" i="65"/>
  <c r="EF20" i="65"/>
  <c r="DF20" i="65"/>
  <c r="DT20" i="65"/>
  <c r="EH20" i="65"/>
  <c r="CV21" i="65"/>
  <c r="DJ21" i="65"/>
  <c r="DX21" i="65"/>
  <c r="CX21" i="65"/>
  <c r="DL21" i="65"/>
  <c r="DZ21" i="65"/>
  <c r="CZ21" i="65"/>
  <c r="DN21" i="65"/>
  <c r="EB21" i="65"/>
  <c r="DB21" i="65"/>
  <c r="DP21" i="65"/>
  <c r="ED21" i="65"/>
  <c r="DD21" i="65"/>
  <c r="DR21" i="65"/>
  <c r="EF21" i="65"/>
  <c r="DF21" i="65"/>
  <c r="DT21" i="65"/>
  <c r="EH21" i="65"/>
  <c r="CV22" i="65"/>
  <c r="DJ22" i="65"/>
  <c r="DX22" i="65"/>
  <c r="CX22" i="65"/>
  <c r="DL22" i="65"/>
  <c r="DZ22" i="65"/>
  <c r="CZ22" i="65"/>
  <c r="DN22" i="65"/>
  <c r="EB22" i="65"/>
  <c r="DB22" i="65"/>
  <c r="DP22" i="65"/>
  <c r="ED22" i="65"/>
  <c r="DD22" i="65"/>
  <c r="DR22" i="65"/>
  <c r="EF22" i="65"/>
  <c r="DF22" i="65"/>
  <c r="DT22" i="65"/>
  <c r="EH22" i="65"/>
  <c r="CV23" i="65"/>
  <c r="DJ23" i="65"/>
  <c r="DX23" i="65"/>
  <c r="CX23" i="65"/>
  <c r="DL23" i="65"/>
  <c r="DZ23" i="65"/>
  <c r="CZ23" i="65"/>
  <c r="DN23" i="65"/>
  <c r="EB23" i="65"/>
  <c r="DB23" i="65"/>
  <c r="DP23" i="65"/>
  <c r="ED23" i="65"/>
  <c r="DD23" i="65"/>
  <c r="DR23" i="65"/>
  <c r="EF23" i="65"/>
  <c r="DF23" i="65"/>
  <c r="DT23" i="65"/>
  <c r="EH23" i="65"/>
  <c r="CV24" i="65"/>
  <c r="DJ24" i="65"/>
  <c r="DX24" i="65"/>
  <c r="CX24" i="65"/>
  <c r="DL24" i="65"/>
  <c r="DZ24" i="65"/>
  <c r="CZ24" i="65"/>
  <c r="DN24" i="65"/>
  <c r="EB24" i="65"/>
  <c r="DB24" i="65"/>
  <c r="DP24" i="65"/>
  <c r="ED24" i="65"/>
  <c r="DD24" i="65"/>
  <c r="DR24" i="65"/>
  <c r="EF24" i="65"/>
  <c r="DF24" i="65"/>
  <c r="DT24" i="65"/>
  <c r="EH24" i="65"/>
  <c r="CV25" i="65"/>
  <c r="CX25" i="65"/>
  <c r="DZ25" i="65"/>
  <c r="CZ25" i="65"/>
  <c r="EB25" i="65"/>
  <c r="DB25" i="65"/>
  <c r="ED25" i="65"/>
  <c r="DD25" i="65"/>
  <c r="EF25" i="65"/>
  <c r="DF25" i="65"/>
  <c r="EH25" i="65"/>
  <c r="CV26" i="65"/>
  <c r="DJ26" i="65"/>
  <c r="DX26" i="65"/>
  <c r="CX26" i="65"/>
  <c r="DL26" i="65"/>
  <c r="DZ26" i="65"/>
  <c r="CZ26" i="65"/>
  <c r="DN26" i="65"/>
  <c r="EB26" i="65"/>
  <c r="DB26" i="65"/>
  <c r="DP26" i="65"/>
  <c r="ED26" i="65"/>
  <c r="DD26" i="65"/>
  <c r="DR26" i="65"/>
  <c r="EF26" i="65"/>
  <c r="DF26" i="65"/>
  <c r="DT26" i="65"/>
  <c r="EH26" i="65"/>
  <c r="CV27" i="65"/>
  <c r="DJ27" i="65"/>
  <c r="DX27" i="65"/>
  <c r="CX27" i="65"/>
  <c r="DL27" i="65"/>
  <c r="DZ27" i="65"/>
  <c r="CZ27" i="65"/>
  <c r="DN27" i="65"/>
  <c r="EB27" i="65"/>
  <c r="DB27" i="65"/>
  <c r="DP27" i="65"/>
  <c r="ED27" i="65"/>
  <c r="DD27" i="65"/>
  <c r="DR27" i="65"/>
  <c r="EF27" i="65"/>
  <c r="DF27" i="65"/>
  <c r="DT27" i="65"/>
  <c r="EH27" i="65"/>
  <c r="CV28" i="65"/>
  <c r="DJ28" i="65"/>
  <c r="DX28" i="65"/>
  <c r="CX28" i="65"/>
  <c r="DL28" i="65"/>
  <c r="DZ28" i="65"/>
  <c r="CZ28" i="65"/>
  <c r="DN28" i="65"/>
  <c r="EB28" i="65"/>
  <c r="DB28" i="65"/>
  <c r="DP28" i="65"/>
  <c r="ED28" i="65"/>
  <c r="DD28" i="65"/>
  <c r="DR28" i="65"/>
  <c r="EF28" i="65"/>
  <c r="DF28" i="65"/>
  <c r="DT28" i="65"/>
  <c r="EH28" i="65"/>
  <c r="CV29" i="65"/>
  <c r="DJ29" i="65"/>
  <c r="DX29" i="65"/>
  <c r="CX29" i="65"/>
  <c r="DL29" i="65"/>
  <c r="DZ29" i="65"/>
  <c r="CZ29" i="65"/>
  <c r="DN29" i="65"/>
  <c r="EB29" i="65"/>
  <c r="DB29" i="65"/>
  <c r="DP29" i="65"/>
  <c r="ED29" i="65"/>
  <c r="DD29" i="65"/>
  <c r="DR29" i="65"/>
  <c r="EF29" i="65"/>
  <c r="DF29" i="65"/>
  <c r="DT29" i="65"/>
  <c r="EH29" i="65"/>
  <c r="CV30" i="65"/>
  <c r="DJ30" i="65"/>
  <c r="DX30" i="65"/>
  <c r="CX30" i="65"/>
  <c r="DL30" i="65"/>
  <c r="DZ30" i="65"/>
  <c r="CZ30" i="65"/>
  <c r="DN30" i="65"/>
  <c r="EB30" i="65"/>
  <c r="DB30" i="65"/>
  <c r="DP30" i="65"/>
  <c r="ED30" i="65"/>
  <c r="DD30" i="65"/>
  <c r="DR30" i="65"/>
  <c r="EF30" i="65"/>
  <c r="DF30" i="65"/>
  <c r="DT30" i="65"/>
  <c r="EH30" i="65"/>
  <c r="CV31" i="65"/>
  <c r="DJ31" i="65"/>
  <c r="DX31" i="65"/>
  <c r="CX31" i="65"/>
  <c r="DL31" i="65"/>
  <c r="DZ31" i="65"/>
  <c r="CZ31" i="65"/>
  <c r="EB31" i="65"/>
  <c r="DB31" i="65"/>
  <c r="DP31" i="65"/>
  <c r="ED31" i="65"/>
  <c r="DD31" i="65"/>
  <c r="DR31" i="65"/>
  <c r="EF31" i="65"/>
  <c r="DF31" i="65"/>
  <c r="DT31" i="65"/>
  <c r="EH31" i="65"/>
  <c r="CV32" i="65"/>
  <c r="DJ32" i="65"/>
  <c r="DX32" i="65"/>
  <c r="CX32" i="65"/>
  <c r="DL32" i="65"/>
  <c r="DZ32" i="65"/>
  <c r="CZ32" i="65"/>
  <c r="DN32" i="65"/>
  <c r="EB32" i="65"/>
  <c r="DB32" i="65"/>
  <c r="DP32" i="65"/>
  <c r="ED32" i="65"/>
  <c r="DD32" i="65"/>
  <c r="DR32" i="65"/>
  <c r="EF32" i="65"/>
  <c r="DF32" i="65"/>
  <c r="DT32" i="65"/>
  <c r="EH32" i="65"/>
  <c r="CV33" i="65"/>
  <c r="DJ33" i="65"/>
  <c r="DX33" i="65"/>
  <c r="CX33" i="65"/>
  <c r="DL33" i="65"/>
  <c r="DZ33" i="65"/>
  <c r="CZ33" i="65"/>
  <c r="DN33" i="65"/>
  <c r="EB33" i="65"/>
  <c r="DB33" i="65"/>
  <c r="DP33" i="65"/>
  <c r="ED33" i="65"/>
  <c r="DD33" i="65"/>
  <c r="DR33" i="65"/>
  <c r="EF33" i="65"/>
  <c r="DF33" i="65"/>
  <c r="DT33" i="65"/>
  <c r="EH33" i="65"/>
  <c r="CV34" i="65"/>
  <c r="DX34" i="65"/>
  <c r="CX34" i="65"/>
  <c r="DL34" i="65"/>
  <c r="DZ34" i="65"/>
  <c r="CZ34" i="65"/>
  <c r="DN34" i="65"/>
  <c r="EB34" i="65"/>
  <c r="DB34" i="65"/>
  <c r="DP34" i="65"/>
  <c r="ED34" i="65"/>
  <c r="DR34" i="65"/>
  <c r="EF34" i="65"/>
  <c r="DF34" i="65"/>
  <c r="DT34" i="65"/>
  <c r="EH34" i="65"/>
  <c r="CV35" i="65"/>
  <c r="DJ35" i="65"/>
  <c r="DX35" i="65"/>
  <c r="CX35" i="65"/>
  <c r="DL35" i="65"/>
  <c r="DZ35" i="65"/>
  <c r="CZ35" i="65"/>
  <c r="DN35" i="65"/>
  <c r="EB35" i="65"/>
  <c r="DB35" i="65"/>
  <c r="DP35" i="65"/>
  <c r="ED35" i="65"/>
  <c r="DD35" i="65"/>
  <c r="DR35" i="65"/>
  <c r="EF35" i="65"/>
  <c r="DF35" i="65"/>
  <c r="DT35" i="65"/>
  <c r="EH35" i="65"/>
  <c r="CV36" i="65"/>
  <c r="DJ36" i="65"/>
  <c r="DX36" i="65"/>
  <c r="CX36" i="65"/>
  <c r="DL36" i="65"/>
  <c r="DZ36" i="65"/>
  <c r="CZ36" i="65"/>
  <c r="DN36" i="65"/>
  <c r="EB36" i="65"/>
  <c r="DB36" i="65"/>
  <c r="DP36" i="65"/>
  <c r="ED36" i="65"/>
  <c r="DD36" i="65"/>
  <c r="DR36" i="65"/>
  <c r="EF36" i="65"/>
  <c r="DF36" i="65"/>
  <c r="DT36" i="65"/>
  <c r="EH36" i="65"/>
  <c r="CV37" i="65"/>
  <c r="DJ37" i="65"/>
  <c r="DX37" i="65"/>
  <c r="CX37" i="65"/>
  <c r="DL37" i="65"/>
  <c r="DZ37" i="65"/>
  <c r="CZ37" i="65"/>
  <c r="DN37" i="65"/>
  <c r="EB37" i="65"/>
  <c r="DB37" i="65"/>
  <c r="DP37" i="65"/>
  <c r="ED37" i="65"/>
  <c r="DD37" i="65"/>
  <c r="DR37" i="65"/>
  <c r="EF37" i="65"/>
  <c r="DF37" i="65"/>
  <c r="DT37" i="65"/>
  <c r="EH37" i="65"/>
  <c r="CV38" i="65"/>
  <c r="DJ38" i="65"/>
  <c r="DX38" i="65"/>
  <c r="CX38" i="65"/>
  <c r="DL38" i="65"/>
  <c r="DZ38" i="65"/>
  <c r="CZ38" i="65"/>
  <c r="DN38" i="65"/>
  <c r="EB38" i="65"/>
  <c r="DB38" i="65"/>
  <c r="DP38" i="65"/>
  <c r="ED38" i="65"/>
  <c r="DD38" i="65"/>
  <c r="DR38" i="65"/>
  <c r="EF38" i="65"/>
  <c r="DF38" i="65"/>
  <c r="DT38" i="65"/>
  <c r="EH38" i="65"/>
  <c r="CV39" i="65"/>
  <c r="DJ39" i="65"/>
  <c r="DX39" i="65"/>
  <c r="CX39" i="65"/>
  <c r="DL39" i="65"/>
  <c r="DZ39" i="65"/>
  <c r="CZ39" i="65"/>
  <c r="DN39" i="65"/>
  <c r="EB39" i="65"/>
  <c r="DB39" i="65"/>
  <c r="DP39" i="65"/>
  <c r="ED39" i="65"/>
  <c r="DD39" i="65"/>
  <c r="DR39" i="65"/>
  <c r="EF39" i="65"/>
  <c r="DF39" i="65"/>
  <c r="DT39" i="65"/>
  <c r="EH39" i="65"/>
  <c r="CV40" i="65"/>
  <c r="DJ40" i="65"/>
  <c r="DX40" i="65"/>
  <c r="CX40" i="65"/>
  <c r="DL40" i="65"/>
  <c r="DZ40" i="65"/>
  <c r="DN40" i="65"/>
  <c r="EB40" i="65"/>
  <c r="DB40" i="65"/>
  <c r="DP40" i="65"/>
  <c r="ED40" i="65"/>
  <c r="DD40" i="65"/>
  <c r="DR40" i="65"/>
  <c r="EF40" i="65"/>
  <c r="DF40" i="65"/>
  <c r="DT40" i="65"/>
  <c r="EH40" i="65"/>
  <c r="CV41" i="65"/>
  <c r="DJ41" i="65"/>
  <c r="DX41" i="65"/>
  <c r="CX41" i="65"/>
  <c r="DL41" i="65"/>
  <c r="DZ41" i="65"/>
  <c r="CZ41" i="65"/>
  <c r="DN41" i="65"/>
  <c r="EB41" i="65"/>
  <c r="DB41" i="65"/>
  <c r="DP41" i="65"/>
  <c r="ED41" i="65"/>
  <c r="DD41" i="65"/>
  <c r="DR41" i="65"/>
  <c r="EF41" i="65"/>
  <c r="DF41" i="65"/>
  <c r="DT41" i="65"/>
  <c r="EH41" i="65"/>
  <c r="CV42" i="65"/>
  <c r="DX42" i="65"/>
  <c r="CX42" i="65"/>
  <c r="DL42" i="65"/>
  <c r="DZ42" i="65"/>
  <c r="CZ42" i="65"/>
  <c r="DN42" i="65"/>
  <c r="EB42" i="65"/>
  <c r="DB42" i="65"/>
  <c r="DP42" i="65"/>
  <c r="ED42" i="65"/>
  <c r="DD42" i="65"/>
  <c r="DR42" i="65"/>
  <c r="EF42" i="65"/>
  <c r="DF42" i="65"/>
  <c r="DT42" i="65"/>
  <c r="EH42" i="65"/>
  <c r="CV43" i="65"/>
  <c r="DJ43" i="65"/>
  <c r="DX43" i="65"/>
  <c r="CX43" i="65"/>
  <c r="DL43" i="65"/>
  <c r="DZ43" i="65"/>
  <c r="CZ43" i="65"/>
  <c r="DN43" i="65"/>
  <c r="EB43" i="65"/>
  <c r="DB43" i="65"/>
  <c r="DP43" i="65"/>
  <c r="ED43" i="65"/>
  <c r="DD43" i="65"/>
  <c r="DR43" i="65"/>
  <c r="EF43" i="65"/>
  <c r="DF43" i="65"/>
  <c r="DT43" i="65"/>
  <c r="EH43" i="65"/>
  <c r="CV45" i="65"/>
  <c r="DJ45" i="65"/>
  <c r="DX45" i="65"/>
  <c r="CX45" i="65"/>
  <c r="DL45" i="65"/>
  <c r="DZ45" i="65"/>
  <c r="CZ45" i="65"/>
  <c r="DN45" i="65"/>
  <c r="EB45" i="65"/>
  <c r="DB45" i="65"/>
  <c r="DP45" i="65"/>
  <c r="ED45" i="65"/>
  <c r="DD45" i="65"/>
  <c r="DR45" i="65"/>
  <c r="EF45" i="65"/>
  <c r="DF45" i="65"/>
  <c r="DT45" i="65"/>
  <c r="EH45" i="65"/>
  <c r="EL8" i="65"/>
  <c r="EZ8" i="65"/>
  <c r="FN8" i="65"/>
  <c r="EN8" i="65"/>
  <c r="FB8" i="65"/>
  <c r="FD8" i="65"/>
  <c r="FR8" i="65"/>
  <c r="ER8" i="65"/>
  <c r="FF8" i="65"/>
  <c r="FT8" i="65"/>
  <c r="ET8" i="65"/>
  <c r="FH8" i="65"/>
  <c r="FV8" i="65"/>
  <c r="EV8" i="65"/>
  <c r="FJ8" i="65"/>
  <c r="FX8" i="65"/>
  <c r="EL9" i="65"/>
  <c r="EZ9" i="65"/>
  <c r="FN9" i="65"/>
  <c r="EN9" i="65"/>
  <c r="FB9" i="65"/>
  <c r="FP9" i="65"/>
  <c r="EP9" i="65"/>
  <c r="FD9" i="65"/>
  <c r="FR9" i="65"/>
  <c r="ER9" i="65"/>
  <c r="FF9" i="65"/>
  <c r="FT9" i="65"/>
  <c r="ET9" i="65"/>
  <c r="FH9" i="65"/>
  <c r="FV9" i="65"/>
  <c r="EV9" i="65"/>
  <c r="FJ9" i="65"/>
  <c r="FX9" i="65"/>
  <c r="EN10" i="65"/>
  <c r="FB10" i="65"/>
  <c r="FP10" i="65"/>
  <c r="EP10" i="65"/>
  <c r="FD10" i="65"/>
  <c r="FR10" i="65"/>
  <c r="ER10" i="65"/>
  <c r="FF10" i="65"/>
  <c r="FT10" i="65"/>
  <c r="ET10" i="65"/>
  <c r="FH10" i="65"/>
  <c r="FV10" i="65"/>
  <c r="EV10" i="65"/>
  <c r="FJ10" i="65"/>
  <c r="FX10" i="65"/>
  <c r="EL11" i="65"/>
  <c r="EZ11" i="65"/>
  <c r="FN11" i="65"/>
  <c r="EN11" i="65"/>
  <c r="FB11" i="65"/>
  <c r="FP11" i="65"/>
  <c r="EP11" i="65"/>
  <c r="FD11" i="65"/>
  <c r="FR11" i="65"/>
  <c r="ER11" i="65"/>
  <c r="FF11" i="65"/>
  <c r="FT11" i="65"/>
  <c r="ET11" i="65"/>
  <c r="FH11" i="65"/>
  <c r="FV11" i="65"/>
  <c r="EV11" i="65"/>
  <c r="FJ11" i="65"/>
  <c r="FX11" i="65"/>
  <c r="EL12" i="65"/>
  <c r="EZ12" i="65"/>
  <c r="FN12" i="65"/>
  <c r="EN12" i="65"/>
  <c r="FB12" i="65"/>
  <c r="FP12" i="65"/>
  <c r="EP12" i="65"/>
  <c r="FD12" i="65"/>
  <c r="FR12" i="65"/>
  <c r="ER12" i="65"/>
  <c r="FF12" i="65"/>
  <c r="FT12" i="65"/>
  <c r="ET12" i="65"/>
  <c r="FH12" i="65"/>
  <c r="FV12" i="65"/>
  <c r="EV12" i="65"/>
  <c r="FJ12" i="65"/>
  <c r="FX12" i="65"/>
  <c r="EL13" i="65"/>
  <c r="EZ13" i="65"/>
  <c r="FN13" i="65"/>
  <c r="EN13" i="65"/>
  <c r="FB13" i="65"/>
  <c r="FP13" i="65"/>
  <c r="EP13" i="65"/>
  <c r="FD13" i="65"/>
  <c r="FR13" i="65"/>
  <c r="ER13" i="65"/>
  <c r="FF13" i="65"/>
  <c r="FT13" i="65"/>
  <c r="ET13" i="65"/>
  <c r="FH13" i="65"/>
  <c r="FV13" i="65"/>
  <c r="EV13" i="65"/>
  <c r="FJ13" i="65"/>
  <c r="FX13" i="65"/>
  <c r="EL14" i="65"/>
  <c r="EZ14" i="65"/>
  <c r="EN14" i="65"/>
  <c r="FB14" i="65"/>
  <c r="EP14" i="65"/>
  <c r="FD14" i="65"/>
  <c r="ER14" i="65"/>
  <c r="FF14" i="65"/>
  <c r="ET14" i="65"/>
  <c r="FH14" i="65"/>
  <c r="EV14" i="65"/>
  <c r="EL15" i="65"/>
  <c r="EZ15" i="65"/>
  <c r="FN15" i="65"/>
  <c r="EN15" i="65"/>
  <c r="FB15" i="65"/>
  <c r="FP15" i="65"/>
  <c r="EP15" i="65"/>
  <c r="FD15" i="65"/>
  <c r="FR15" i="65"/>
  <c r="ER15" i="65"/>
  <c r="FF15" i="65"/>
  <c r="FT15" i="65"/>
  <c r="ET15" i="65"/>
  <c r="FH15" i="65"/>
  <c r="FV15" i="65"/>
  <c r="EV15" i="65"/>
  <c r="FJ15" i="65"/>
  <c r="FX15" i="65"/>
  <c r="EL16" i="65"/>
  <c r="EZ16" i="65"/>
  <c r="FN16" i="65"/>
  <c r="FB16" i="65"/>
  <c r="FP16" i="65"/>
  <c r="EP16" i="65"/>
  <c r="FD16" i="65"/>
  <c r="FR16" i="65"/>
  <c r="ER16" i="65"/>
  <c r="FF16" i="65"/>
  <c r="FT16" i="65"/>
  <c r="ET16" i="65"/>
  <c r="FH16" i="65"/>
  <c r="FV16" i="65"/>
  <c r="EV16" i="65"/>
  <c r="FJ16" i="65"/>
  <c r="FX16" i="65"/>
  <c r="EL17" i="65"/>
  <c r="EZ17" i="65"/>
  <c r="FN17" i="65"/>
  <c r="EN17" i="65"/>
  <c r="FB17" i="65"/>
  <c r="FP17" i="65"/>
  <c r="EP17" i="65"/>
  <c r="FD17" i="65"/>
  <c r="FR17" i="65"/>
  <c r="ER17" i="65"/>
  <c r="FF17" i="65"/>
  <c r="FT17" i="65"/>
  <c r="ET17" i="65"/>
  <c r="FH17" i="65"/>
  <c r="FV17" i="65"/>
  <c r="EV17" i="65"/>
  <c r="FJ17" i="65"/>
  <c r="FX17" i="65"/>
  <c r="EL18" i="65"/>
  <c r="EZ18" i="65"/>
  <c r="FN18" i="65"/>
  <c r="FB18" i="65"/>
  <c r="FP18" i="65"/>
  <c r="EP18" i="65"/>
  <c r="FD18" i="65"/>
  <c r="FR18" i="65"/>
  <c r="ER18" i="65"/>
  <c r="FF18" i="65"/>
  <c r="FT18" i="65"/>
  <c r="ET18" i="65"/>
  <c r="FH18" i="65"/>
  <c r="FV18" i="65"/>
  <c r="EV18" i="65"/>
  <c r="FJ18" i="65"/>
  <c r="FX18" i="65"/>
  <c r="EL19" i="65"/>
  <c r="EZ19" i="65"/>
  <c r="FN19" i="65"/>
  <c r="EN19" i="65"/>
  <c r="FB19" i="65"/>
  <c r="FP19" i="65"/>
  <c r="EP19" i="65"/>
  <c r="FD19" i="65"/>
  <c r="FR19" i="65"/>
  <c r="ER19" i="65"/>
  <c r="FF19" i="65"/>
  <c r="FT19" i="65"/>
  <c r="ET19" i="65"/>
  <c r="FH19" i="65"/>
  <c r="FV19" i="65"/>
  <c r="EV19" i="65"/>
  <c r="FJ19" i="65"/>
  <c r="FX19" i="65"/>
  <c r="EL20" i="65"/>
  <c r="EZ20" i="65"/>
  <c r="FN20" i="65"/>
  <c r="EN20" i="65"/>
  <c r="FB20" i="65"/>
  <c r="FP20" i="65"/>
  <c r="EP20" i="65"/>
  <c r="FD20" i="65"/>
  <c r="FR20" i="65"/>
  <c r="ER20" i="65"/>
  <c r="FF20" i="65"/>
  <c r="FT20" i="65"/>
  <c r="ET20" i="65"/>
  <c r="FH20" i="65"/>
  <c r="FV20" i="65"/>
  <c r="EV20" i="65"/>
  <c r="FJ20" i="65"/>
  <c r="FX20" i="65"/>
  <c r="EL21" i="65"/>
  <c r="EZ21" i="65"/>
  <c r="FN21" i="65"/>
  <c r="EN21" i="65"/>
  <c r="FB21" i="65"/>
  <c r="FP21" i="65"/>
  <c r="EP21" i="65"/>
  <c r="FD21" i="65"/>
  <c r="FR21" i="65"/>
  <c r="ER21" i="65"/>
  <c r="FF21" i="65"/>
  <c r="FT21" i="65"/>
  <c r="ET21" i="65"/>
  <c r="FH21" i="65"/>
  <c r="FV21" i="65"/>
  <c r="EV21" i="65"/>
  <c r="FJ21" i="65"/>
  <c r="FX21" i="65"/>
  <c r="EL22" i="65"/>
  <c r="EZ22" i="65"/>
  <c r="FN22" i="65"/>
  <c r="EN22" i="65"/>
  <c r="FB22" i="65"/>
  <c r="FP22" i="65"/>
  <c r="EP22" i="65"/>
  <c r="FD22" i="65"/>
  <c r="FR22" i="65"/>
  <c r="ER22" i="65"/>
  <c r="FF22" i="65"/>
  <c r="FT22" i="65"/>
  <c r="ET22" i="65"/>
  <c r="FH22" i="65"/>
  <c r="FV22" i="65"/>
  <c r="FJ22" i="65"/>
  <c r="FX22" i="65"/>
  <c r="EL23" i="65"/>
  <c r="EZ23" i="65"/>
  <c r="FN23" i="65"/>
  <c r="EN23" i="65"/>
  <c r="FB23" i="65"/>
  <c r="FP23" i="65"/>
  <c r="FD23" i="65"/>
  <c r="FR23" i="65"/>
  <c r="ER23" i="65"/>
  <c r="FF23" i="65"/>
  <c r="FT23" i="65"/>
  <c r="ET23" i="65"/>
  <c r="FH23" i="65"/>
  <c r="FV23" i="65"/>
  <c r="EV23" i="65"/>
  <c r="FJ23" i="65"/>
  <c r="FX23" i="65"/>
  <c r="EL24" i="65"/>
  <c r="EZ24" i="65"/>
  <c r="FN24" i="65"/>
  <c r="EN24" i="65"/>
  <c r="FP24" i="65"/>
  <c r="EP24" i="65"/>
  <c r="FD24" i="65"/>
  <c r="FR24" i="65"/>
  <c r="ER24" i="65"/>
  <c r="FF24" i="65"/>
  <c r="FT24" i="65"/>
  <c r="ET24" i="65"/>
  <c r="FH24" i="65"/>
  <c r="FV24" i="65"/>
  <c r="EV24" i="65"/>
  <c r="FJ24" i="65"/>
  <c r="FX24" i="65"/>
  <c r="EL25" i="65"/>
  <c r="EZ25" i="65"/>
  <c r="FN25" i="65"/>
  <c r="EN25" i="65"/>
  <c r="FB25" i="65"/>
  <c r="FP25" i="65"/>
  <c r="EP25" i="65"/>
  <c r="FD25" i="65"/>
  <c r="FR25" i="65"/>
  <c r="ER25" i="65"/>
  <c r="FF25" i="65"/>
  <c r="FT25" i="65"/>
  <c r="ET25" i="65"/>
  <c r="FH25" i="65"/>
  <c r="FV25" i="65"/>
  <c r="EV25" i="65"/>
  <c r="FJ25" i="65"/>
  <c r="FX25" i="65"/>
  <c r="EL26" i="65"/>
  <c r="EZ26" i="65"/>
  <c r="FN26" i="65"/>
  <c r="EN26" i="65"/>
  <c r="FB26" i="65"/>
  <c r="FP26" i="65"/>
  <c r="EP26" i="65"/>
  <c r="FD26" i="65"/>
  <c r="FR26" i="65"/>
  <c r="ER26" i="65"/>
  <c r="FF26" i="65"/>
  <c r="FT26" i="65"/>
  <c r="ET26" i="65"/>
  <c r="FH26" i="65"/>
  <c r="FV26" i="65"/>
  <c r="EV26" i="65"/>
  <c r="FJ26" i="65"/>
  <c r="FX26" i="65"/>
  <c r="EL27" i="65"/>
  <c r="EZ27" i="65"/>
  <c r="FN27" i="65"/>
  <c r="EN27" i="65"/>
  <c r="FB27" i="65"/>
  <c r="FP27" i="65"/>
  <c r="EP27" i="65"/>
  <c r="FD27" i="65"/>
  <c r="FR27" i="65"/>
  <c r="ER27" i="65"/>
  <c r="FF27" i="65"/>
  <c r="FT27" i="65"/>
  <c r="ET27" i="65"/>
  <c r="FH27" i="65"/>
  <c r="FV27" i="65"/>
  <c r="EV27" i="65"/>
  <c r="FJ27" i="65"/>
  <c r="FX27" i="65"/>
  <c r="EL28" i="65"/>
  <c r="EZ28" i="65"/>
  <c r="FN28" i="65"/>
  <c r="EN28" i="65"/>
  <c r="FB28" i="65"/>
  <c r="FP28" i="65"/>
  <c r="EP28" i="65"/>
  <c r="FD28" i="65"/>
  <c r="FR28" i="65"/>
  <c r="ER28" i="65"/>
  <c r="FF28" i="65"/>
  <c r="FT28" i="65"/>
  <c r="ET28" i="65"/>
  <c r="FH28" i="65"/>
  <c r="FV28" i="65"/>
  <c r="EV28" i="65"/>
  <c r="FJ28" i="65"/>
  <c r="FX28" i="65"/>
  <c r="EL29" i="65"/>
  <c r="EZ29" i="65"/>
  <c r="FN29" i="65"/>
  <c r="EN29" i="65"/>
  <c r="FB29" i="65"/>
  <c r="FP29" i="65"/>
  <c r="EP29" i="65"/>
  <c r="FD29" i="65"/>
  <c r="FR29" i="65"/>
  <c r="ER29" i="65"/>
  <c r="FF29" i="65"/>
  <c r="FT29" i="65"/>
  <c r="ET29" i="65"/>
  <c r="FH29" i="65"/>
  <c r="FV29" i="65"/>
  <c r="EV29" i="65"/>
  <c r="FJ29" i="65"/>
  <c r="FX29" i="65"/>
  <c r="EL30" i="65"/>
  <c r="EZ30" i="65"/>
  <c r="FN30" i="65"/>
  <c r="EN30" i="65"/>
  <c r="FB30" i="65"/>
  <c r="FP30" i="65"/>
  <c r="EP30" i="65"/>
  <c r="FD30" i="65"/>
  <c r="FR30" i="65"/>
  <c r="ER30" i="65"/>
  <c r="FF30" i="65"/>
  <c r="FT30" i="65"/>
  <c r="ET30" i="65"/>
  <c r="FH30" i="65"/>
  <c r="FV30" i="65"/>
  <c r="EV30" i="65"/>
  <c r="FJ30" i="65"/>
  <c r="FX30" i="65"/>
  <c r="EL31" i="65"/>
  <c r="EZ31" i="65"/>
  <c r="FL31" i="65" s="1"/>
  <c r="FN31" i="65"/>
  <c r="FZ31" i="65" s="1"/>
  <c r="EL32" i="65"/>
  <c r="EZ32" i="65"/>
  <c r="FN32" i="65"/>
  <c r="EN32" i="65"/>
  <c r="FB32" i="65"/>
  <c r="FP32" i="65"/>
  <c r="EP32" i="65"/>
  <c r="FD32" i="65"/>
  <c r="FR32" i="65"/>
  <c r="ER32" i="65"/>
  <c r="FF32" i="65"/>
  <c r="FT32" i="65"/>
  <c r="ET32" i="65"/>
  <c r="FH32" i="65"/>
  <c r="FV32" i="65"/>
  <c r="EV32" i="65"/>
  <c r="FJ32" i="65"/>
  <c r="FX32" i="65"/>
  <c r="EL33" i="65"/>
  <c r="EZ33" i="65"/>
  <c r="FN33" i="65"/>
  <c r="EN33" i="65"/>
  <c r="FB33" i="65"/>
  <c r="FP33" i="65"/>
  <c r="EP33" i="65"/>
  <c r="FD33" i="65"/>
  <c r="FR33" i="65"/>
  <c r="ER33" i="65"/>
  <c r="FF33" i="65"/>
  <c r="FT33" i="65"/>
  <c r="ET33" i="65"/>
  <c r="FH33" i="65"/>
  <c r="FV33" i="65"/>
  <c r="EV33" i="65"/>
  <c r="FJ33" i="65"/>
  <c r="FX33" i="65"/>
  <c r="EL34" i="65"/>
  <c r="EZ34" i="65"/>
  <c r="FN34" i="65"/>
  <c r="EN34" i="65"/>
  <c r="FB34" i="65"/>
  <c r="FP34" i="65"/>
  <c r="EP34" i="65"/>
  <c r="FD34" i="65"/>
  <c r="FR34" i="65"/>
  <c r="ER34" i="65"/>
  <c r="FF34" i="65"/>
  <c r="FT34" i="65"/>
  <c r="ET34" i="65"/>
  <c r="FH34" i="65"/>
  <c r="FV34" i="65"/>
  <c r="EV34" i="65"/>
  <c r="FJ34" i="65"/>
  <c r="FX34" i="65"/>
  <c r="EL35" i="65"/>
  <c r="EZ35" i="65"/>
  <c r="FN35" i="65"/>
  <c r="EN35" i="65"/>
  <c r="FB35" i="65"/>
  <c r="FP35" i="65"/>
  <c r="EP35" i="65"/>
  <c r="FD35" i="65"/>
  <c r="FR35" i="65"/>
  <c r="ER35" i="65"/>
  <c r="FF35" i="65"/>
  <c r="FT35" i="65"/>
  <c r="ET35" i="65"/>
  <c r="FV35" i="65"/>
  <c r="EV35" i="65"/>
  <c r="FJ35" i="65"/>
  <c r="FX35" i="65"/>
  <c r="EL36" i="65"/>
  <c r="EZ36" i="65"/>
  <c r="FN36" i="65"/>
  <c r="EN36" i="65"/>
  <c r="FP36" i="65"/>
  <c r="EP36" i="65"/>
  <c r="FD36" i="65"/>
  <c r="ER36" i="65"/>
  <c r="FF36" i="65"/>
  <c r="FT36" i="65"/>
  <c r="ET36" i="65"/>
  <c r="FH36" i="65"/>
  <c r="FV36" i="65"/>
  <c r="EV36" i="65"/>
  <c r="FJ36" i="65"/>
  <c r="FX36" i="65"/>
  <c r="EL37" i="65"/>
  <c r="EZ37" i="65"/>
  <c r="EN37" i="65"/>
  <c r="FB37" i="65"/>
  <c r="FP37" i="65"/>
  <c r="EP37" i="65"/>
  <c r="FD37" i="65"/>
  <c r="FR37" i="65"/>
  <c r="ER37" i="65"/>
  <c r="FF37" i="65"/>
  <c r="FT37" i="65"/>
  <c r="ET37" i="65"/>
  <c r="FH37" i="65"/>
  <c r="FV37" i="65"/>
  <c r="EV37" i="65"/>
  <c r="FX37" i="65"/>
  <c r="EL38" i="65"/>
  <c r="EZ38" i="65"/>
  <c r="FN38" i="65"/>
  <c r="EN38" i="65"/>
  <c r="FB38" i="65"/>
  <c r="FP38" i="65"/>
  <c r="EP38" i="65"/>
  <c r="FD38" i="65"/>
  <c r="FR38" i="65"/>
  <c r="ER38" i="65"/>
  <c r="FF38" i="65"/>
  <c r="FT38" i="65"/>
  <c r="ET38" i="65"/>
  <c r="FH38" i="65"/>
  <c r="FV38" i="65"/>
  <c r="EV38" i="65"/>
  <c r="FJ38" i="65"/>
  <c r="FX38" i="65"/>
  <c r="EL39" i="65"/>
  <c r="EZ39" i="65"/>
  <c r="FN39" i="65"/>
  <c r="EN39" i="65"/>
  <c r="FB39" i="65"/>
  <c r="FP39" i="65"/>
  <c r="EP39" i="65"/>
  <c r="FD39" i="65"/>
  <c r="FR39" i="65"/>
  <c r="ER39" i="65"/>
  <c r="FF39" i="65"/>
  <c r="FT39" i="65"/>
  <c r="ET39" i="65"/>
  <c r="FH39" i="65"/>
  <c r="FV39" i="65"/>
  <c r="FJ39" i="65"/>
  <c r="FX39" i="65"/>
  <c r="EL40" i="65"/>
  <c r="EZ40" i="65"/>
  <c r="FN40" i="65"/>
  <c r="EN40" i="65"/>
  <c r="FB40" i="65"/>
  <c r="FP40" i="65"/>
  <c r="EP40" i="65"/>
  <c r="FD40" i="65"/>
  <c r="FR40" i="65"/>
  <c r="ER40" i="65"/>
  <c r="FF40" i="65"/>
  <c r="FT40" i="65"/>
  <c r="ET40" i="65"/>
  <c r="FH40" i="65"/>
  <c r="FV40" i="65"/>
  <c r="EV40" i="65"/>
  <c r="FJ40" i="65"/>
  <c r="FX40" i="65"/>
  <c r="EL41" i="65"/>
  <c r="EZ41" i="65"/>
  <c r="FN41" i="65"/>
  <c r="EN41" i="65"/>
  <c r="FB41" i="65"/>
  <c r="FP41" i="65"/>
  <c r="EP41" i="65"/>
  <c r="FD41" i="65"/>
  <c r="FR41" i="65"/>
  <c r="ER41" i="65"/>
  <c r="FF41" i="65"/>
  <c r="FT41" i="65"/>
  <c r="ET41" i="65"/>
  <c r="FH41" i="65"/>
  <c r="FV41" i="65"/>
  <c r="EV41" i="65"/>
  <c r="FJ41" i="65"/>
  <c r="FX41" i="65"/>
  <c r="EL42" i="65"/>
  <c r="EZ42" i="65"/>
  <c r="FN42" i="65"/>
  <c r="EN42" i="65"/>
  <c r="FB42" i="65"/>
  <c r="FP42" i="65"/>
  <c r="EP42" i="65"/>
  <c r="FD42" i="65"/>
  <c r="FR42" i="65"/>
  <c r="ER42" i="65"/>
  <c r="FF42" i="65"/>
  <c r="FT42" i="65"/>
  <c r="ET42" i="65"/>
  <c r="FH42" i="65"/>
  <c r="FV42" i="65"/>
  <c r="EV42" i="65"/>
  <c r="FJ42" i="65"/>
  <c r="FX42" i="65"/>
  <c r="EL43" i="65"/>
  <c r="EZ43" i="65"/>
  <c r="FN43" i="65"/>
  <c r="EN43" i="65"/>
  <c r="FB43" i="65"/>
  <c r="FP43" i="65"/>
  <c r="EP43" i="65"/>
  <c r="FD43" i="65"/>
  <c r="FR43" i="65"/>
  <c r="ER43" i="65"/>
  <c r="FF43" i="65"/>
  <c r="FT43" i="65"/>
  <c r="ET43" i="65"/>
  <c r="FH43" i="65"/>
  <c r="FV43" i="65"/>
  <c r="EV43" i="65"/>
  <c r="FJ43" i="65"/>
  <c r="FX43" i="65"/>
  <c r="FP44" i="65"/>
  <c r="HX44" i="65" s="1"/>
  <c r="FV44" i="65"/>
  <c r="ID44" i="65" s="1"/>
  <c r="FX44" i="65"/>
  <c r="IF44" i="65" s="1"/>
  <c r="EL45" i="65"/>
  <c r="EZ45" i="65"/>
  <c r="FN45" i="65"/>
  <c r="EN45" i="65"/>
  <c r="FB45" i="65"/>
  <c r="FP45" i="65"/>
  <c r="EP45" i="65"/>
  <c r="FD45" i="65"/>
  <c r="FR45" i="65"/>
  <c r="ER45" i="65"/>
  <c r="FF45" i="65"/>
  <c r="FT45" i="65"/>
  <c r="ET45" i="65"/>
  <c r="FH45" i="65"/>
  <c r="FV45" i="65"/>
  <c r="EV45" i="65"/>
  <c r="FJ45" i="65"/>
  <c r="FX45" i="65"/>
  <c r="EW43" i="65"/>
  <c r="DG43" i="65"/>
  <c r="DU43" i="65"/>
  <c r="EI43" i="65"/>
  <c r="FK43" i="65"/>
  <c r="FY43" i="65"/>
  <c r="WJ474" i="2"/>
  <c r="VZ474" i="2"/>
  <c r="VT474" i="2"/>
  <c r="VP474" i="2"/>
  <c r="VJ474" i="2"/>
  <c r="TH474" i="2"/>
  <c r="NT474" i="2"/>
  <c r="JX474" i="2"/>
  <c r="JL474" i="2"/>
  <c r="JB474" i="2"/>
  <c r="IV474" i="2"/>
  <c r="VS474" i="2"/>
  <c r="QA474" i="2"/>
  <c r="PE474" i="2"/>
  <c r="OI474" i="2"/>
  <c r="NO474" i="2"/>
  <c r="LC474" i="2"/>
  <c r="KQ474" i="2"/>
  <c r="JK474" i="2"/>
  <c r="VR474" i="2"/>
  <c r="VN474" i="2"/>
  <c r="UL474" i="2"/>
  <c r="UB474" i="2"/>
  <c r="PZ474" i="2"/>
  <c r="NN474" i="2"/>
  <c r="MX474" i="2"/>
  <c r="FN474" i="2"/>
  <c r="EH474" i="2"/>
  <c r="DR474" i="2"/>
  <c r="WG474" i="2"/>
  <c r="VW474" i="2"/>
  <c r="VQ474" i="2"/>
  <c r="SO474" i="2"/>
  <c r="RU474" i="2"/>
  <c r="NQ474" i="2"/>
  <c r="LU474" i="2"/>
  <c r="LA474" i="2"/>
  <c r="KO474" i="2"/>
  <c r="KE474" i="2"/>
  <c r="JU474" i="2"/>
  <c r="JI474" i="2"/>
  <c r="IY474" i="2"/>
  <c r="IC474" i="2"/>
  <c r="HS474" i="2"/>
  <c r="GW474" i="2"/>
  <c r="GC474" i="2"/>
  <c r="FQ474" i="2"/>
  <c r="FG474" i="2"/>
  <c r="CO474" i="2"/>
  <c r="CE474" i="2"/>
  <c r="BI474" i="2"/>
  <c r="AY474" i="2"/>
  <c r="CR474" i="2"/>
  <c r="CN474" i="2"/>
  <c r="BX474" i="2"/>
  <c r="VR473" i="2"/>
  <c r="VN473" i="2"/>
  <c r="VH473" i="2"/>
  <c r="UH473" i="2"/>
  <c r="TL473" i="2"/>
  <c r="QD473" i="2"/>
  <c r="PT473" i="2"/>
  <c r="JJ473" i="2"/>
  <c r="IZ473" i="2"/>
  <c r="BJ473" i="2"/>
  <c r="AZ473" i="2"/>
  <c r="AD473" i="2"/>
  <c r="FN472" i="2"/>
  <c r="EH472" i="2"/>
  <c r="DR472" i="2"/>
  <c r="DF472" i="2"/>
  <c r="CV472" i="2"/>
  <c r="CF472" i="2"/>
  <c r="AZ472" i="2"/>
  <c r="VQ473" i="2"/>
  <c r="VM473" i="2"/>
  <c r="VG473" i="2"/>
  <c r="JY473" i="2"/>
  <c r="EG473" i="2"/>
  <c r="CO473" i="2"/>
  <c r="EQ472" i="2"/>
  <c r="EG472" i="2"/>
  <c r="BF474" i="2"/>
  <c r="Z474" i="2"/>
  <c r="WF473" i="2"/>
  <c r="VT473" i="2"/>
  <c r="VP473" i="2"/>
  <c r="VJ473" i="2"/>
  <c r="SN473" i="2"/>
  <c r="JH473" i="2"/>
  <c r="ED473" i="2"/>
  <c r="DH473" i="2"/>
  <c r="CX473" i="2"/>
  <c r="CR473" i="2"/>
  <c r="CN473" i="2"/>
  <c r="CH473" i="2"/>
  <c r="CB473" i="2"/>
  <c r="CN472" i="2"/>
  <c r="VS473" i="2"/>
  <c r="VO473" i="2"/>
  <c r="VI473" i="2"/>
  <c r="SQ473" i="2"/>
  <c r="QE473" i="2"/>
  <c r="MY473" i="2"/>
  <c r="KW473" i="2"/>
  <c r="EI473" i="2"/>
  <c r="EC473" i="2"/>
  <c r="GE472" i="2"/>
  <c r="FS472" i="2"/>
  <c r="FI472" i="2"/>
  <c r="EM472" i="2"/>
  <c r="EC472" i="2"/>
  <c r="CM472" i="2"/>
  <c r="BG472" i="2"/>
  <c r="AA472" i="2"/>
  <c r="N473" i="2"/>
  <c r="D473" i="2"/>
  <c r="J474" i="2"/>
  <c r="QP472" i="2"/>
  <c r="QZ472" i="2"/>
  <c r="RH472" i="2"/>
  <c r="UB472" i="2"/>
  <c r="C473" i="2"/>
  <c r="HU472" i="2"/>
  <c r="IE472" i="2"/>
  <c r="JA472" i="2"/>
  <c r="JK472" i="2"/>
  <c r="LM472" i="2"/>
  <c r="PO472" i="2"/>
  <c r="QA472" i="2"/>
  <c r="RA472" i="2"/>
  <c r="RE472" i="2"/>
  <c r="RI472" i="2"/>
  <c r="HV472" i="2"/>
  <c r="JB472" i="2"/>
  <c r="JL472" i="2"/>
  <c r="QB472" i="2"/>
  <c r="QR472" i="2"/>
  <c r="RB472" i="2"/>
  <c r="RF472" i="2"/>
  <c r="RJ472" i="2"/>
  <c r="SX472" i="2"/>
  <c r="VP472" i="2"/>
  <c r="WJ472" i="2"/>
  <c r="F471" i="2"/>
  <c r="CA471" i="2"/>
  <c r="BQ471" i="2"/>
  <c r="BG471" i="2"/>
  <c r="AE471" i="2"/>
  <c r="EL471" i="2"/>
  <c r="FH471" i="2"/>
  <c r="GH471" i="2"/>
  <c r="GN471" i="2"/>
  <c r="HD471" i="2"/>
  <c r="HT471" i="2"/>
  <c r="HZ471" i="2"/>
  <c r="IZ471" i="2"/>
  <c r="MR471" i="2"/>
  <c r="QZ471" i="2"/>
  <c r="RH471" i="2"/>
  <c r="BJ471" i="2"/>
  <c r="AZ471" i="2"/>
  <c r="J472" i="2"/>
  <c r="DS471" i="2"/>
  <c r="EC471" i="2"/>
  <c r="EM471" i="2"/>
  <c r="HU471" i="2"/>
  <c r="JG471" i="2"/>
  <c r="JQ471" i="2"/>
  <c r="KM471" i="2"/>
  <c r="MC471" i="2"/>
  <c r="NC471" i="2"/>
  <c r="PO471" i="2"/>
  <c r="QA471" i="2"/>
  <c r="RQ471" i="2"/>
  <c r="HY472" i="2"/>
  <c r="II472" i="2"/>
  <c r="IS472" i="2"/>
  <c r="JO472" i="2"/>
  <c r="KK472" i="2"/>
  <c r="MA472" i="2"/>
  <c r="MK472" i="2"/>
  <c r="MW472" i="2"/>
  <c r="QY472" i="2"/>
  <c r="RG472" i="2"/>
  <c r="RO472" i="2"/>
  <c r="UW472" i="2"/>
  <c r="VG472" i="2"/>
  <c r="WC472" i="2"/>
  <c r="Y471" i="2"/>
  <c r="CH471" i="2"/>
  <c r="CN471" i="2"/>
  <c r="CR471" i="2"/>
  <c r="CX471" i="2"/>
  <c r="IF471" i="2"/>
  <c r="JH471" i="2"/>
  <c r="RB471" i="2"/>
  <c r="SN471" i="2"/>
  <c r="VT471" i="2"/>
  <c r="WF471" i="2"/>
  <c r="BR471" i="2"/>
  <c r="CU471" i="2"/>
  <c r="DE471" i="2"/>
  <c r="DQ471" i="2"/>
  <c r="EA471" i="2"/>
  <c r="EK471" i="2"/>
  <c r="HC471" i="2"/>
  <c r="IY471" i="2"/>
  <c r="JI471" i="2"/>
  <c r="WC471" i="2"/>
  <c r="B64" i="59" l="1"/>
  <c r="I10" i="59"/>
  <c r="I9" i="59" s="1"/>
  <c r="AW8" i="43"/>
  <c r="NI484" i="2"/>
  <c r="AW6" i="43" s="1"/>
  <c r="NU485" i="2"/>
  <c r="NU484" i="2" s="1"/>
  <c r="WP485" i="2"/>
  <c r="D7" i="7" s="1"/>
  <c r="XU485" i="2"/>
  <c r="XU484" i="2" s="1"/>
  <c r="C57" i="67"/>
  <c r="CB2" i="58"/>
  <c r="B34" i="45"/>
  <c r="B47" i="45"/>
  <c r="B6" i="57"/>
  <c r="B5" i="57" s="1"/>
  <c r="D9" i="59"/>
  <c r="D5" i="57"/>
  <c r="B16" i="45"/>
  <c r="B44" i="45"/>
  <c r="B23" i="45"/>
  <c r="B45" i="45"/>
  <c r="B29" i="45"/>
  <c r="B37" i="45"/>
  <c r="B17" i="45"/>
  <c r="B38" i="45"/>
  <c r="B24" i="45"/>
  <c r="B28" i="45"/>
  <c r="B13" i="45"/>
  <c r="B20" i="45"/>
  <c r="B10" i="67"/>
  <c r="B9" i="67" s="1"/>
  <c r="L9" i="67"/>
  <c r="HY18" i="65"/>
  <c r="HN18" i="65"/>
  <c r="GJ15" i="65"/>
  <c r="HO24" i="65"/>
  <c r="HK23" i="65"/>
  <c r="HO22" i="65"/>
  <c r="HK21" i="65"/>
  <c r="HO20" i="65"/>
  <c r="HK19" i="65"/>
  <c r="HO18" i="65"/>
  <c r="HK17" i="65"/>
  <c r="HK15" i="65"/>
  <c r="HO14" i="65"/>
  <c r="HK13" i="65"/>
  <c r="HZ14" i="65"/>
  <c r="D20" i="35"/>
  <c r="E20" i="35"/>
  <c r="HB43" i="65"/>
  <c r="GT43" i="65"/>
  <c r="GX42" i="65"/>
  <c r="HB41" i="65"/>
  <c r="HA25" i="65"/>
  <c r="GH25" i="65"/>
  <c r="IG21" i="65"/>
  <c r="HY21" i="65"/>
  <c r="HN21" i="65"/>
  <c r="HC21" i="65"/>
  <c r="GU21" i="65"/>
  <c r="GJ21" i="65"/>
  <c r="IG20" i="65"/>
  <c r="GJ18" i="65"/>
  <c r="IG17" i="65"/>
  <c r="HY17" i="65"/>
  <c r="ID39" i="65"/>
  <c r="HZ38" i="65"/>
  <c r="HK30" i="65"/>
  <c r="HO29" i="65"/>
  <c r="HK28" i="65"/>
  <c r="HO27" i="65"/>
  <c r="HK26" i="65"/>
  <c r="HM25" i="65"/>
  <c r="GG21" i="65"/>
  <c r="GK20" i="65"/>
  <c r="GG19" i="65"/>
  <c r="GW26" i="65"/>
  <c r="GJ19" i="65"/>
  <c r="IG18" i="65"/>
  <c r="IG15" i="65"/>
  <c r="HY15" i="65"/>
  <c r="HN15" i="65"/>
  <c r="HC15" i="65"/>
  <c r="GU15" i="65"/>
  <c r="D13" i="35"/>
  <c r="E13" i="35"/>
  <c r="D14" i="35"/>
  <c r="D18" i="35"/>
  <c r="D17" i="35"/>
  <c r="IE24" i="65"/>
  <c r="HL24" i="65"/>
  <c r="E17" i="35"/>
  <c r="Q13" i="2"/>
  <c r="D12" i="35" s="1"/>
  <c r="D16" i="35"/>
  <c r="R13" i="2"/>
  <c r="E16" i="35"/>
  <c r="E23" i="35"/>
  <c r="E15" i="35"/>
  <c r="ID43" i="65"/>
  <c r="HZ42" i="65"/>
  <c r="IF36" i="65"/>
  <c r="HO33" i="65"/>
  <c r="HK32" i="65"/>
  <c r="HO31" i="65"/>
  <c r="HN19" i="65"/>
  <c r="HC19" i="65"/>
  <c r="GU19" i="65"/>
  <c r="IB37" i="65"/>
  <c r="HM45" i="65"/>
  <c r="HI43" i="65"/>
  <c r="HK34" i="65"/>
  <c r="GK29" i="65"/>
  <c r="GG28" i="65"/>
  <c r="GK27" i="65"/>
  <c r="GG26" i="65"/>
  <c r="GK25" i="65"/>
  <c r="GG24" i="65"/>
  <c r="IE23" i="65"/>
  <c r="HL23" i="65"/>
  <c r="HA23" i="65"/>
  <c r="GH23" i="65"/>
  <c r="IE22" i="65"/>
  <c r="HC20" i="65"/>
  <c r="GU20" i="65"/>
  <c r="GJ20" i="65"/>
  <c r="IG19" i="65"/>
  <c r="HY19" i="65"/>
  <c r="IB39" i="65"/>
  <c r="IF38" i="65"/>
  <c r="HX38" i="65"/>
  <c r="HO39" i="65"/>
  <c r="HK38" i="65"/>
  <c r="HO37" i="65"/>
  <c r="HK36" i="65"/>
  <c r="HO35" i="65"/>
  <c r="IC41" i="65"/>
  <c r="HR41" i="65"/>
  <c r="GH24" i="65"/>
  <c r="HN20" i="65"/>
  <c r="GJ16" i="65"/>
  <c r="ID45" i="65"/>
  <c r="IB43" i="65"/>
  <c r="IF42" i="65"/>
  <c r="HX42" i="65"/>
  <c r="IB41" i="65"/>
  <c r="IF40" i="65"/>
  <c r="HX40" i="65"/>
  <c r="HO41" i="65"/>
  <c r="HB36" i="65"/>
  <c r="GT36" i="65"/>
  <c r="GN42" i="65"/>
  <c r="GF42" i="65"/>
  <c r="HY20" i="65"/>
  <c r="GU16" i="65"/>
  <c r="HK45" i="65"/>
  <c r="HO43" i="65"/>
  <c r="HK42" i="65"/>
  <c r="GT41" i="65"/>
  <c r="GX40" i="65"/>
  <c r="HB39" i="65"/>
  <c r="GT39" i="65"/>
  <c r="GX38" i="65"/>
  <c r="HA24" i="65"/>
  <c r="HC16" i="65"/>
  <c r="HN17" i="65"/>
  <c r="HC17" i="65"/>
  <c r="GU17" i="65"/>
  <c r="GJ17" i="65"/>
  <c r="IG16" i="65"/>
  <c r="HY16" i="65"/>
  <c r="IB45" i="65"/>
  <c r="GX44" i="65"/>
  <c r="GW44" i="65"/>
  <c r="GL44" i="65"/>
  <c r="HY43" i="65"/>
  <c r="GT45" i="65"/>
  <c r="GU18" i="65"/>
  <c r="HB45" i="65"/>
  <c r="HL45" i="65"/>
  <c r="HA45" i="65"/>
  <c r="GH45" i="65"/>
  <c r="GY22" i="65"/>
  <c r="HO12" i="65"/>
  <c r="HK11" i="65"/>
  <c r="HO10" i="65"/>
  <c r="HQ9" i="65"/>
  <c r="HI9" i="65"/>
  <c r="IA25" i="65"/>
  <c r="IE14" i="65"/>
  <c r="JO471" i="2"/>
  <c r="HQ41" i="65"/>
  <c r="HM40" i="65"/>
  <c r="HI39" i="65"/>
  <c r="HQ37" i="65"/>
  <c r="HM36" i="65"/>
  <c r="HI35" i="65"/>
  <c r="HQ33" i="65"/>
  <c r="HM32" i="65"/>
  <c r="HI31" i="65"/>
  <c r="HQ29" i="65"/>
  <c r="HM28" i="65"/>
  <c r="HJ26" i="65"/>
  <c r="IC25" i="65"/>
  <c r="HC25" i="65"/>
  <c r="GJ25" i="65"/>
  <c r="GW25" i="65"/>
  <c r="HP24" i="65"/>
  <c r="GW24" i="65"/>
  <c r="HP23" i="65"/>
  <c r="GW23" i="65"/>
  <c r="GU22" i="65"/>
  <c r="IC21" i="65"/>
  <c r="HJ21" i="65"/>
  <c r="GN21" i="65"/>
  <c r="IC20" i="65"/>
  <c r="HJ20" i="65"/>
  <c r="GN20" i="65"/>
  <c r="IC19" i="65"/>
  <c r="HI27" i="65"/>
  <c r="HY24" i="65"/>
  <c r="HC24" i="65"/>
  <c r="GJ24" i="65"/>
  <c r="HY23" i="65"/>
  <c r="HJ19" i="65"/>
  <c r="GN19" i="65"/>
  <c r="IC17" i="65"/>
  <c r="IF45" i="65"/>
  <c r="GT40" i="65"/>
  <c r="HL26" i="65"/>
  <c r="HA26" i="65"/>
  <c r="GH26" i="65"/>
  <c r="HB38" i="65"/>
  <c r="HI24" i="65"/>
  <c r="HQ22" i="65"/>
  <c r="HM21" i="65"/>
  <c r="HI20" i="65"/>
  <c r="HQ18" i="65"/>
  <c r="HM17" i="65"/>
  <c r="HM15" i="65"/>
  <c r="HI14" i="65"/>
  <c r="HQ12" i="65"/>
  <c r="HM11" i="65"/>
  <c r="HI10" i="65"/>
  <c r="GV45" i="65"/>
  <c r="GZ42" i="65"/>
  <c r="HX23" i="65"/>
  <c r="IF21" i="65"/>
  <c r="IB20" i="65"/>
  <c r="HX19" i="65"/>
  <c r="IF17" i="65"/>
  <c r="IB16" i="65"/>
  <c r="HX15" i="65"/>
  <c r="IB13" i="65"/>
  <c r="HX12" i="65"/>
  <c r="IF10" i="65"/>
  <c r="HZ9" i="65"/>
  <c r="HP29" i="65"/>
  <c r="GW29" i="65"/>
  <c r="HP28" i="65"/>
  <c r="GW28" i="65"/>
  <c r="HP27" i="65"/>
  <c r="GW27" i="65"/>
  <c r="HP26" i="65"/>
  <c r="GL22" i="65"/>
  <c r="GL14" i="65"/>
  <c r="IA13" i="65"/>
  <c r="GL13" i="65"/>
  <c r="IA12" i="65"/>
  <c r="HC12" i="65"/>
  <c r="GJ12" i="65"/>
  <c r="HY11" i="65"/>
  <c r="HC11" i="65"/>
  <c r="GJ11" i="65"/>
  <c r="HY10" i="65"/>
  <c r="GY10" i="65"/>
  <c r="IG9" i="65"/>
  <c r="HN9" i="65"/>
  <c r="GU9" i="65"/>
  <c r="HL12" i="65"/>
  <c r="HI25" i="65"/>
  <c r="GK35" i="65"/>
  <c r="GK22" i="65"/>
  <c r="GK17" i="65"/>
  <c r="HJ25" i="65"/>
  <c r="IA14" i="65"/>
  <c r="GE22" i="65"/>
  <c r="GG15" i="65"/>
  <c r="HA38" i="65"/>
  <c r="GH38" i="65"/>
  <c r="GJ31" i="65"/>
  <c r="HY30" i="65"/>
  <c r="HC30" i="65"/>
  <c r="IC29" i="65"/>
  <c r="HJ29" i="65"/>
  <c r="IG14" i="65"/>
  <c r="HJ22" i="65"/>
  <c r="CN7" i="65"/>
  <c r="Z7" i="65"/>
  <c r="FL36" i="65"/>
  <c r="GM17" i="65"/>
  <c r="GM13" i="65"/>
  <c r="GI12" i="65"/>
  <c r="GE11" i="65"/>
  <c r="GK9" i="65"/>
  <c r="HL43" i="65"/>
  <c r="IC42" i="65"/>
  <c r="HJ42" i="65"/>
  <c r="GY39" i="65"/>
  <c r="GF39" i="65"/>
  <c r="HR38" i="65"/>
  <c r="GY38" i="65"/>
  <c r="GF38" i="65"/>
  <c r="HR37" i="65"/>
  <c r="HA31" i="65"/>
  <c r="GH31" i="65"/>
  <c r="HA30" i="65"/>
  <c r="IA29" i="65"/>
  <c r="GL29" i="65"/>
  <c r="IA28" i="65"/>
  <c r="GL28" i="65"/>
  <c r="IA27" i="65"/>
  <c r="GL27" i="65"/>
  <c r="IA26" i="65"/>
  <c r="GY26" i="65"/>
  <c r="GF26" i="65"/>
  <c r="GU25" i="65"/>
  <c r="IG24" i="65"/>
  <c r="HN24" i="65"/>
  <c r="GU24" i="65"/>
  <c r="IG23" i="65"/>
  <c r="HN23" i="65"/>
  <c r="HP13" i="65"/>
  <c r="GW13" i="65"/>
  <c r="HP12" i="65"/>
  <c r="GU12" i="65"/>
  <c r="IG11" i="65"/>
  <c r="HN11" i="65"/>
  <c r="GU11" i="65"/>
  <c r="IG10" i="65"/>
  <c r="HL10" i="65"/>
  <c r="GL10" i="65"/>
  <c r="HY9" i="65"/>
  <c r="HC9" i="65"/>
  <c r="GJ9" i="65"/>
  <c r="HX45" i="65"/>
  <c r="HX43" i="65"/>
  <c r="IF41" i="65"/>
  <c r="IB40" i="65"/>
  <c r="HX39" i="65"/>
  <c r="IB36" i="65"/>
  <c r="HO42" i="65"/>
  <c r="HK41" i="65"/>
  <c r="HO38" i="65"/>
  <c r="HK37" i="65"/>
  <c r="HK33" i="65"/>
  <c r="HO30" i="65"/>
  <c r="HK29" i="65"/>
  <c r="HO26" i="65"/>
  <c r="HO23" i="65"/>
  <c r="HK22" i="65"/>
  <c r="HO19" i="65"/>
  <c r="HK18" i="65"/>
  <c r="HO13" i="65"/>
  <c r="HK12" i="65"/>
  <c r="HM9" i="65"/>
  <c r="GX43" i="65"/>
  <c r="GT42" i="65"/>
  <c r="HB40" i="65"/>
  <c r="GX39" i="65"/>
  <c r="GG43" i="65"/>
  <c r="GG29" i="65"/>
  <c r="GK26" i="65"/>
  <c r="GG25" i="65"/>
  <c r="GK14" i="65"/>
  <c r="GG13" i="65"/>
  <c r="GK10" i="65"/>
  <c r="GE9" i="65"/>
  <c r="IG45" i="65"/>
  <c r="HN45" i="65"/>
  <c r="GL45" i="65"/>
  <c r="HA44" i="65"/>
  <c r="GH44" i="65"/>
  <c r="HC43" i="65"/>
  <c r="GJ43" i="65"/>
  <c r="HA42" i="65"/>
  <c r="IE38" i="65"/>
  <c r="HL38" i="65"/>
  <c r="IE37" i="65"/>
  <c r="HN31" i="65"/>
  <c r="GU31" i="65"/>
  <c r="IG30" i="65"/>
  <c r="HN30" i="65"/>
  <c r="GU30" i="65"/>
  <c r="HR29" i="65"/>
  <c r="IE25" i="65"/>
  <c r="GL25" i="65"/>
  <c r="IA24" i="65"/>
  <c r="IA23" i="65"/>
  <c r="GL23" i="65"/>
  <c r="HR21" i="65"/>
  <c r="GY21" i="65"/>
  <c r="GF21" i="65"/>
  <c r="HR20" i="65"/>
  <c r="GY20" i="65"/>
  <c r="GF20" i="65"/>
  <c r="GY19" i="65"/>
  <c r="GF19" i="65"/>
  <c r="HR18" i="65"/>
  <c r="GF18" i="65"/>
  <c r="HR17" i="65"/>
  <c r="GY17" i="65"/>
  <c r="GF17" i="65"/>
  <c r="IC15" i="65"/>
  <c r="HJ15" i="65"/>
  <c r="GN15" i="65"/>
  <c r="GN14" i="65"/>
  <c r="IC13" i="65"/>
  <c r="HJ13" i="65"/>
  <c r="GN13" i="65"/>
  <c r="IC12" i="65"/>
  <c r="GL12" i="65"/>
  <c r="IA11" i="65"/>
  <c r="GL11" i="65"/>
  <c r="IA10" i="65"/>
  <c r="HA10" i="65"/>
  <c r="GF10" i="65"/>
  <c r="HP9" i="65"/>
  <c r="GW9" i="65"/>
  <c r="GW17" i="65"/>
  <c r="GH14" i="65"/>
  <c r="HA13" i="65"/>
  <c r="GH13" i="65"/>
  <c r="GY12" i="65"/>
  <c r="GF12" i="65"/>
  <c r="HR11" i="65"/>
  <c r="GY11" i="65"/>
  <c r="HP10" i="65"/>
  <c r="GU10" i="65"/>
  <c r="IC9" i="65"/>
  <c r="HJ9" i="65"/>
  <c r="EK37" i="65"/>
  <c r="HR43" i="65"/>
  <c r="ID41" i="65"/>
  <c r="HZ40" i="65"/>
  <c r="ID37" i="65"/>
  <c r="IB22" i="65"/>
  <c r="HX21" i="65"/>
  <c r="IF19" i="65"/>
  <c r="IB18" i="65"/>
  <c r="HX17" i="65"/>
  <c r="IF15" i="65"/>
  <c r="IF12" i="65"/>
  <c r="IB11" i="65"/>
  <c r="HX10" i="65"/>
  <c r="HQ43" i="65"/>
  <c r="HM42" i="65"/>
  <c r="HI41" i="65"/>
  <c r="HQ39" i="65"/>
  <c r="HM38" i="65"/>
  <c r="HI37" i="65"/>
  <c r="HQ35" i="65"/>
  <c r="HM34" i="65"/>
  <c r="HI33" i="65"/>
  <c r="HQ31" i="65"/>
  <c r="HM30" i="65"/>
  <c r="HI29" i="65"/>
  <c r="HQ27" i="65"/>
  <c r="HM26" i="65"/>
  <c r="HQ24" i="65"/>
  <c r="HM23" i="65"/>
  <c r="HI22" i="65"/>
  <c r="HQ20" i="65"/>
  <c r="HM19" i="65"/>
  <c r="HI18" i="65"/>
  <c r="HQ14" i="65"/>
  <c r="HM13" i="65"/>
  <c r="HI12" i="65"/>
  <c r="HQ10" i="65"/>
  <c r="HK9" i="65"/>
  <c r="GZ44" i="65"/>
  <c r="GV43" i="65"/>
  <c r="GI14" i="65"/>
  <c r="GE13" i="65"/>
  <c r="GM11" i="65"/>
  <c r="GI10" i="65"/>
  <c r="IE45" i="65"/>
  <c r="HA43" i="65"/>
  <c r="GF43" i="65"/>
  <c r="HR42" i="65"/>
  <c r="GY42" i="65"/>
  <c r="HJ39" i="65"/>
  <c r="GN39" i="65"/>
  <c r="IC38" i="65"/>
  <c r="HJ38" i="65"/>
  <c r="IC37" i="65"/>
  <c r="HL31" i="65"/>
  <c r="IE30" i="65"/>
  <c r="HL30" i="65"/>
  <c r="FM10" i="65"/>
  <c r="IF43" i="65"/>
  <c r="IB42" i="65"/>
  <c r="HX41" i="65"/>
  <c r="IB38" i="65"/>
  <c r="HX37" i="65"/>
  <c r="HO45" i="65"/>
  <c r="HK43" i="65"/>
  <c r="HO40" i="65"/>
  <c r="HK39" i="65"/>
  <c r="HO36" i="65"/>
  <c r="HK35" i="65"/>
  <c r="HO32" i="65"/>
  <c r="HO28" i="65"/>
  <c r="HK27" i="65"/>
  <c r="HK24" i="65"/>
  <c r="HO21" i="65"/>
  <c r="HK20" i="65"/>
  <c r="HO17" i="65"/>
  <c r="HO15" i="65"/>
  <c r="HK14" i="65"/>
  <c r="HO11" i="65"/>
  <c r="HK10" i="65"/>
  <c r="HB42" i="65"/>
  <c r="GX36" i="65"/>
  <c r="GK28" i="65"/>
  <c r="GG27" i="65"/>
  <c r="GK24" i="65"/>
  <c r="GG23" i="65"/>
  <c r="GK21" i="65"/>
  <c r="GG20" i="65"/>
  <c r="GK12" i="65"/>
  <c r="GG11" i="65"/>
  <c r="GM9" i="65"/>
  <c r="HY45" i="65"/>
  <c r="GW45" i="65"/>
  <c r="HN43" i="65"/>
  <c r="GU43" i="65"/>
  <c r="IE42" i="65"/>
  <c r="HL42" i="65"/>
  <c r="GJ42" i="65"/>
  <c r="HY41" i="65"/>
  <c r="EK39" i="65"/>
  <c r="HA39" i="65"/>
  <c r="GH39" i="65"/>
  <c r="HJ17" i="65"/>
  <c r="GN17" i="65"/>
  <c r="IC16" i="65"/>
  <c r="HR15" i="65"/>
  <c r="GY15" i="65"/>
  <c r="HR13" i="65"/>
  <c r="GY13" i="65"/>
  <c r="GF13" i="65"/>
  <c r="HR12" i="65"/>
  <c r="GW12" i="65"/>
  <c r="HP11" i="65"/>
  <c r="GW11" i="65"/>
  <c r="HN10" i="65"/>
  <c r="GN10" i="65"/>
  <c r="IA9" i="65"/>
  <c r="GL9" i="65"/>
  <c r="HL13" i="65"/>
  <c r="IE12" i="65"/>
  <c r="HJ12" i="65"/>
  <c r="GN12" i="65"/>
  <c r="IC11" i="65"/>
  <c r="HJ11" i="65"/>
  <c r="GN11" i="65"/>
  <c r="IC10" i="65"/>
  <c r="HC10" i="65"/>
  <c r="GH10" i="65"/>
  <c r="HR9" i="65"/>
  <c r="GY9" i="65"/>
  <c r="VO474" i="2"/>
  <c r="FT44" i="65"/>
  <c r="IB44" i="65" s="1"/>
  <c r="FZ34" i="65"/>
  <c r="FZ32" i="65"/>
  <c r="HV8" i="65"/>
  <c r="EL7" i="65"/>
  <c r="HG43" i="65"/>
  <c r="DH43" i="65"/>
  <c r="HG41" i="65"/>
  <c r="DH41" i="65"/>
  <c r="TA473" i="2"/>
  <c r="CZ40" i="65"/>
  <c r="HK40" i="65" s="1"/>
  <c r="HG39" i="65"/>
  <c r="DH39" i="65"/>
  <c r="HG37" i="65"/>
  <c r="DH37" i="65"/>
  <c r="HG35" i="65"/>
  <c r="DH35" i="65"/>
  <c r="HG33" i="65"/>
  <c r="DH33" i="65"/>
  <c r="HG31" i="65"/>
  <c r="DH31" i="65"/>
  <c r="HG29" i="65"/>
  <c r="DH29" i="65"/>
  <c r="HG27" i="65"/>
  <c r="DH27" i="65"/>
  <c r="HG24" i="65"/>
  <c r="DH24" i="65"/>
  <c r="HG22" i="65"/>
  <c r="DH22" i="65"/>
  <c r="HG20" i="65"/>
  <c r="DH20" i="65"/>
  <c r="HG18" i="65"/>
  <c r="DH18" i="65"/>
  <c r="DV16" i="65"/>
  <c r="HG16" i="65"/>
  <c r="HG14" i="65"/>
  <c r="DH14" i="65"/>
  <c r="HG12" i="65"/>
  <c r="DH12" i="65"/>
  <c r="HM8" i="65"/>
  <c r="DB7" i="65"/>
  <c r="CT34" i="65"/>
  <c r="CT32" i="65"/>
  <c r="CT30" i="65"/>
  <c r="CT28" i="65"/>
  <c r="CT26" i="65"/>
  <c r="CT24" i="65"/>
  <c r="CT22" i="65"/>
  <c r="CT20" i="65"/>
  <c r="CT18" i="65"/>
  <c r="CT16" i="65"/>
  <c r="CT14" i="65"/>
  <c r="CT12" i="65"/>
  <c r="RI471" i="2"/>
  <c r="P37" i="65"/>
  <c r="GM37" i="65" s="1"/>
  <c r="VM474" i="2"/>
  <c r="FR44" i="65"/>
  <c r="HZ44" i="65" s="1"/>
  <c r="FZ42" i="65"/>
  <c r="FZ40" i="65"/>
  <c r="FZ38" i="65"/>
  <c r="FL34" i="65"/>
  <c r="FL32" i="65"/>
  <c r="ID8" i="65"/>
  <c r="ET7" i="65"/>
  <c r="EJ9" i="65"/>
  <c r="EB7" i="65"/>
  <c r="CT45" i="65"/>
  <c r="CT43" i="65"/>
  <c r="CT41" i="65"/>
  <c r="CT39" i="65"/>
  <c r="CT36" i="65"/>
  <c r="CD34" i="65"/>
  <c r="CD32" i="65"/>
  <c r="CD30" i="65"/>
  <c r="CD28" i="65"/>
  <c r="CD26" i="65"/>
  <c r="CD24" i="65"/>
  <c r="CD22" i="65"/>
  <c r="CD20" i="65"/>
  <c r="CD18" i="65"/>
  <c r="CD16" i="65"/>
  <c r="CD14" i="65"/>
  <c r="CD12" i="65"/>
  <c r="RG471" i="2"/>
  <c r="N37" i="65"/>
  <c r="GK37" i="65" s="1"/>
  <c r="AH15" i="65"/>
  <c r="GC9" i="65"/>
  <c r="B9" i="65"/>
  <c r="R9" i="65"/>
  <c r="GG8" i="65"/>
  <c r="J7" i="65"/>
  <c r="HW45" i="65"/>
  <c r="EY45" i="65"/>
  <c r="GA43" i="65"/>
  <c r="GS43" i="65"/>
  <c r="BO43" i="65"/>
  <c r="AY42" i="65"/>
  <c r="CE41" i="65"/>
  <c r="FM40" i="65"/>
  <c r="CE40" i="65"/>
  <c r="FM39" i="65"/>
  <c r="FM36" i="65"/>
  <c r="CE36" i="65"/>
  <c r="FM35" i="65"/>
  <c r="CE35" i="65"/>
  <c r="FM34" i="65"/>
  <c r="CE34" i="65"/>
  <c r="FM33" i="65"/>
  <c r="CE33" i="65"/>
  <c r="FM32" i="65"/>
  <c r="CE32" i="65"/>
  <c r="HW31" i="65"/>
  <c r="II31" i="65" s="1"/>
  <c r="EY31" i="65"/>
  <c r="GS31" i="65"/>
  <c r="HW30" i="65"/>
  <c r="EY30" i="65"/>
  <c r="GS30" i="65"/>
  <c r="BO30" i="65"/>
  <c r="HH29" i="65"/>
  <c r="DI29" i="65"/>
  <c r="GD29" i="65"/>
  <c r="S29" i="65"/>
  <c r="HH28" i="65"/>
  <c r="DI28" i="65"/>
  <c r="S28" i="65"/>
  <c r="HH27" i="65"/>
  <c r="DI27" i="65"/>
  <c r="GD27" i="65"/>
  <c r="S27" i="65"/>
  <c r="KB474" i="2"/>
  <c r="FY25" i="65"/>
  <c r="IG25" i="65" s="1"/>
  <c r="JR474" i="2"/>
  <c r="FQ25" i="65"/>
  <c r="HY25" i="65" s="1"/>
  <c r="JV473" i="2"/>
  <c r="EC25" i="65"/>
  <c r="HL25" i="65" s="1"/>
  <c r="JH472" i="2"/>
  <c r="CO24" i="65"/>
  <c r="GY24" i="65" s="1"/>
  <c r="JB471" i="2"/>
  <c r="AM24" i="65"/>
  <c r="AY24" i="65" s="1"/>
  <c r="HT473" i="2"/>
  <c r="DY22" i="65"/>
  <c r="EK22" i="65" s="1"/>
  <c r="HZ472" i="2"/>
  <c r="GA21" i="65"/>
  <c r="CU21" i="65"/>
  <c r="GX474" i="2"/>
  <c r="FW20" i="65"/>
  <c r="IE20" i="65" s="1"/>
  <c r="CU20" i="65"/>
  <c r="GA19" i="65"/>
  <c r="FX472" i="2"/>
  <c r="CG19" i="65"/>
  <c r="CU19" i="65" s="1"/>
  <c r="GA18" i="65"/>
  <c r="FR472" i="2"/>
  <c r="CQ18" i="65"/>
  <c r="HA18" i="65" s="1"/>
  <c r="FH472" i="2"/>
  <c r="CG18" i="65"/>
  <c r="GS18" i="65" s="1"/>
  <c r="GA17" i="65"/>
  <c r="CU17" i="65"/>
  <c r="GA16" i="65"/>
  <c r="CU16" i="65"/>
  <c r="EH471" i="2"/>
  <c r="AQ16" i="65"/>
  <c r="GH16" i="65" s="1"/>
  <c r="GA15" i="65"/>
  <c r="CU15" i="65"/>
  <c r="DW14" i="65"/>
  <c r="S14" i="65"/>
  <c r="GD14" i="65"/>
  <c r="HH13" i="65"/>
  <c r="DI13" i="65"/>
  <c r="FL42" i="65"/>
  <c r="FL40" i="65"/>
  <c r="FL38" i="65"/>
  <c r="HV36" i="65"/>
  <c r="EX36" i="65"/>
  <c r="HZ35" i="65"/>
  <c r="ID34" i="65"/>
  <c r="HV34" i="65"/>
  <c r="EX34" i="65"/>
  <c r="HZ33" i="65"/>
  <c r="ID32" i="65"/>
  <c r="HV32" i="65"/>
  <c r="EX32" i="65"/>
  <c r="IB30" i="65"/>
  <c r="IF29" i="65"/>
  <c r="HX29" i="65"/>
  <c r="IB28" i="65"/>
  <c r="IF27" i="65"/>
  <c r="HX27" i="65"/>
  <c r="IB26" i="65"/>
  <c r="IF25" i="65"/>
  <c r="HX25" i="65"/>
  <c r="IB24" i="65"/>
  <c r="IF23" i="65"/>
  <c r="FZ23" i="65"/>
  <c r="FZ21" i="65"/>
  <c r="FZ19" i="65"/>
  <c r="FZ17" i="65"/>
  <c r="FZ15" i="65"/>
  <c r="HX14" i="65"/>
  <c r="FZ12" i="65"/>
  <c r="FP7" i="65"/>
  <c r="HK25" i="65"/>
  <c r="DV9" i="65"/>
  <c r="CD43" i="65"/>
  <c r="CD41" i="65"/>
  <c r="CD39" i="65"/>
  <c r="GR36" i="65"/>
  <c r="BN36" i="65"/>
  <c r="GV35" i="65"/>
  <c r="GZ34" i="65"/>
  <c r="GR34" i="65"/>
  <c r="BN34" i="65"/>
  <c r="GV33" i="65"/>
  <c r="GZ32" i="65"/>
  <c r="GR32" i="65"/>
  <c r="BN32" i="65"/>
  <c r="GV31" i="65"/>
  <c r="GZ30" i="65"/>
  <c r="GR30" i="65"/>
  <c r="BN30" i="65"/>
  <c r="B30" i="65"/>
  <c r="GV29" i="65"/>
  <c r="GZ28" i="65"/>
  <c r="GR28" i="65"/>
  <c r="BN28" i="65"/>
  <c r="GV27" i="65"/>
  <c r="GZ26" i="65"/>
  <c r="GR26" i="65"/>
  <c r="BN26" i="65"/>
  <c r="GV25" i="65"/>
  <c r="GZ24" i="65"/>
  <c r="GR24" i="65"/>
  <c r="BN24" i="65"/>
  <c r="GV23" i="65"/>
  <c r="GZ22" i="65"/>
  <c r="GR22" i="65"/>
  <c r="BN22" i="65"/>
  <c r="GV21" i="65"/>
  <c r="GZ20" i="65"/>
  <c r="GR20" i="65"/>
  <c r="BN20" i="65"/>
  <c r="GV19" i="65"/>
  <c r="GZ18" i="65"/>
  <c r="GR18" i="65"/>
  <c r="BN18" i="65"/>
  <c r="GV17" i="65"/>
  <c r="GZ16" i="65"/>
  <c r="GR16" i="65"/>
  <c r="BN16" i="65"/>
  <c r="GV15" i="65"/>
  <c r="GZ14" i="65"/>
  <c r="GR14" i="65"/>
  <c r="BN14" i="65"/>
  <c r="GV13" i="65"/>
  <c r="GZ12" i="65"/>
  <c r="GR12" i="65"/>
  <c r="BN12" i="65"/>
  <c r="GV11" i="65"/>
  <c r="GZ10" i="65"/>
  <c r="HB9" i="65"/>
  <c r="GT9" i="65"/>
  <c r="GX8" i="65"/>
  <c r="GM45" i="65"/>
  <c r="GE45" i="65"/>
  <c r="GI44" i="65"/>
  <c r="GM43" i="65"/>
  <c r="GE43" i="65"/>
  <c r="GI42" i="65"/>
  <c r="GM41" i="65"/>
  <c r="GE41" i="65"/>
  <c r="GI40" i="65"/>
  <c r="GM39" i="65"/>
  <c r="GE39" i="65"/>
  <c r="GI38" i="65"/>
  <c r="GI36" i="65"/>
  <c r="GM35" i="65"/>
  <c r="GE35" i="65"/>
  <c r="GI34" i="65"/>
  <c r="GM33" i="65"/>
  <c r="GE33" i="65"/>
  <c r="IG43" i="65"/>
  <c r="GC29" i="65"/>
  <c r="B29" i="65"/>
  <c r="R29" i="65"/>
  <c r="GC27" i="65"/>
  <c r="B27" i="65"/>
  <c r="R27" i="65"/>
  <c r="GC25" i="65"/>
  <c r="R25" i="65"/>
  <c r="GC23" i="65"/>
  <c r="B23" i="65"/>
  <c r="R23" i="65"/>
  <c r="GC22" i="65"/>
  <c r="GC20" i="65"/>
  <c r="R20" i="65"/>
  <c r="B20" i="65"/>
  <c r="AH9" i="65"/>
  <c r="FM45" i="65"/>
  <c r="GS45" i="65"/>
  <c r="BO45" i="65"/>
  <c r="VH474" i="2"/>
  <c r="FO44" i="65"/>
  <c r="C44" i="65" s="1"/>
  <c r="GD44" i="65"/>
  <c r="S44" i="65"/>
  <c r="CE43" i="65"/>
  <c r="CU41" i="65"/>
  <c r="GA40" i="65"/>
  <c r="CU40" i="65"/>
  <c r="GA39" i="65"/>
  <c r="GN38" i="65"/>
  <c r="GA36" i="65"/>
  <c r="CU36" i="65"/>
  <c r="GA35" i="65"/>
  <c r="CU35" i="65"/>
  <c r="GA34" i="65"/>
  <c r="CU34" i="65"/>
  <c r="GA33" i="65"/>
  <c r="CU33" i="65"/>
  <c r="GA32" i="65"/>
  <c r="CU32" i="65"/>
  <c r="CE31" i="65"/>
  <c r="FM30" i="65"/>
  <c r="CE30" i="65"/>
  <c r="DW29" i="65"/>
  <c r="AI29" i="65"/>
  <c r="DW28" i="65"/>
  <c r="GD28" i="65"/>
  <c r="AI28" i="65"/>
  <c r="DW27" i="65"/>
  <c r="AI27" i="65"/>
  <c r="HH26" i="65"/>
  <c r="DI26" i="65"/>
  <c r="KP471" i="2"/>
  <c r="O26" i="65"/>
  <c r="S26" i="65" s="1"/>
  <c r="GD26" i="65"/>
  <c r="JX473" i="2"/>
  <c r="DC25" i="65"/>
  <c r="HN25" i="65" s="1"/>
  <c r="GS25" i="65"/>
  <c r="BO25" i="65"/>
  <c r="HW24" i="65"/>
  <c r="EY24" i="65"/>
  <c r="GS24" i="65"/>
  <c r="BO24" i="65"/>
  <c r="HW23" i="65"/>
  <c r="EY23" i="65"/>
  <c r="GS23" i="65"/>
  <c r="BO23" i="65"/>
  <c r="EK14" i="65"/>
  <c r="AI14" i="65"/>
  <c r="DW13" i="65"/>
  <c r="AI13" i="65"/>
  <c r="FC7" i="65"/>
  <c r="DQ7" i="65"/>
  <c r="AC7" i="65"/>
  <c r="AX10" i="65"/>
  <c r="GA10" i="65"/>
  <c r="GD13" i="65"/>
  <c r="S13" i="65"/>
  <c r="IG8" i="65"/>
  <c r="HY8" i="65"/>
  <c r="HN8" i="65"/>
  <c r="HC8" i="65"/>
  <c r="GU8" i="65"/>
  <c r="GJ8" i="65"/>
  <c r="AH10" i="65"/>
  <c r="GI32" i="65"/>
  <c r="GM31" i="65"/>
  <c r="GE31" i="65"/>
  <c r="GM26" i="65"/>
  <c r="GM22" i="65"/>
  <c r="GM19" i="65"/>
  <c r="GE19" i="65"/>
  <c r="GI18" i="65"/>
  <c r="GE17" i="65"/>
  <c r="GI16" i="65"/>
  <c r="GM15" i="65"/>
  <c r="GE15" i="65"/>
  <c r="AX13" i="65"/>
  <c r="AX11" i="65"/>
  <c r="AV7" i="65"/>
  <c r="AL7" i="65"/>
  <c r="FM43" i="65"/>
  <c r="EK42" i="65"/>
  <c r="AI42" i="65"/>
  <c r="HA41" i="65"/>
  <c r="GS41" i="65"/>
  <c r="BO41" i="65"/>
  <c r="GH41" i="65"/>
  <c r="IE40" i="65"/>
  <c r="HW40" i="65"/>
  <c r="EY40" i="65"/>
  <c r="HL40" i="65"/>
  <c r="HA40" i="65"/>
  <c r="GS40" i="65"/>
  <c r="BO40" i="65"/>
  <c r="GH40" i="65"/>
  <c r="IE39" i="65"/>
  <c r="HW39" i="65"/>
  <c r="EY39" i="65"/>
  <c r="AY39" i="65"/>
  <c r="RP473" i="2"/>
  <c r="DY38" i="65"/>
  <c r="EK38" i="65" s="1"/>
  <c r="AY38" i="65"/>
  <c r="QZ473" i="2"/>
  <c r="CW37" i="65"/>
  <c r="CW7" i="65" s="1"/>
  <c r="IE36" i="65"/>
  <c r="HW36" i="65"/>
  <c r="QP473" i="2"/>
  <c r="DA36" i="65"/>
  <c r="HL36" i="65" s="1"/>
  <c r="HA36" i="65"/>
  <c r="GS36" i="65"/>
  <c r="BO36" i="65"/>
  <c r="GH36" i="65"/>
  <c r="IE35" i="65"/>
  <c r="HW35" i="65"/>
  <c r="HL35" i="65"/>
  <c r="QD472" i="2"/>
  <c r="BK35" i="65"/>
  <c r="HA35" i="65" s="1"/>
  <c r="GS35" i="65"/>
  <c r="GH35" i="65"/>
  <c r="IE34" i="65"/>
  <c r="HW34" i="65"/>
  <c r="EY34" i="65"/>
  <c r="HL34" i="65"/>
  <c r="HA34" i="65"/>
  <c r="GS34" i="65"/>
  <c r="BO34" i="65"/>
  <c r="GH34" i="65"/>
  <c r="IE33" i="65"/>
  <c r="HW33" i="65"/>
  <c r="EY33" i="65"/>
  <c r="HL33" i="65"/>
  <c r="HA33" i="65"/>
  <c r="GS33" i="65"/>
  <c r="GH33" i="65"/>
  <c r="IE32" i="65"/>
  <c r="HW32" i="65"/>
  <c r="EY32" i="65"/>
  <c r="HL32" i="65"/>
  <c r="HA32" i="65"/>
  <c r="GS32" i="65"/>
  <c r="BO32" i="65"/>
  <c r="GH32" i="65"/>
  <c r="MZ474" i="2"/>
  <c r="FU30" i="65"/>
  <c r="IC30" i="65" s="1"/>
  <c r="LD473" i="2"/>
  <c r="EE27" i="65"/>
  <c r="HN27" i="65" s="1"/>
  <c r="KR474" i="2"/>
  <c r="FY26" i="65"/>
  <c r="IG26" i="65" s="1"/>
  <c r="KN473" i="2"/>
  <c r="EE26" i="65"/>
  <c r="HN26" i="65" s="1"/>
  <c r="JR471" i="2"/>
  <c r="W25" i="65"/>
  <c r="GF25" i="65" s="1"/>
  <c r="HR22" i="65"/>
  <c r="DW22" i="65"/>
  <c r="FM21" i="65"/>
  <c r="CE21" i="65"/>
  <c r="FM20" i="65"/>
  <c r="CE20" i="65"/>
  <c r="FM19" i="65"/>
  <c r="CE19" i="65"/>
  <c r="FM18" i="65"/>
  <c r="CE18" i="65"/>
  <c r="FM17" i="65"/>
  <c r="CE17" i="65"/>
  <c r="FM16" i="65"/>
  <c r="FM15" i="65"/>
  <c r="CE15" i="65"/>
  <c r="IC14" i="65"/>
  <c r="HP14" i="65"/>
  <c r="HH14" i="65"/>
  <c r="DI14" i="65"/>
  <c r="CR472" i="2"/>
  <c r="CS13" i="65"/>
  <c r="CU13" i="65" s="1"/>
  <c r="CU12" i="65"/>
  <c r="GA11" i="65"/>
  <c r="CU11" i="65"/>
  <c r="AD474" i="2"/>
  <c r="FW9" i="65"/>
  <c r="GA9" i="65" s="1"/>
  <c r="CU9" i="65"/>
  <c r="GC10" i="65"/>
  <c r="B10" i="65"/>
  <c r="R10" i="65"/>
  <c r="HW10" i="65"/>
  <c r="EY10" i="65"/>
  <c r="FL29" i="65"/>
  <c r="FL27" i="65"/>
  <c r="FL25" i="65"/>
  <c r="HV23" i="65"/>
  <c r="EX23" i="65"/>
  <c r="HZ22" i="65"/>
  <c r="ID21" i="65"/>
  <c r="HV21" i="65"/>
  <c r="EX21" i="65"/>
  <c r="HZ20" i="65"/>
  <c r="ID19" i="65"/>
  <c r="HV19" i="65"/>
  <c r="EX19" i="65"/>
  <c r="HZ18" i="65"/>
  <c r="ID17" i="65"/>
  <c r="HV17" i="65"/>
  <c r="EX17" i="65"/>
  <c r="HZ16" i="65"/>
  <c r="ID15" i="65"/>
  <c r="HV15" i="65"/>
  <c r="EX15" i="65"/>
  <c r="HV14" i="65"/>
  <c r="EX14" i="65"/>
  <c r="RI474" i="2"/>
  <c r="FJ37" i="65"/>
  <c r="IF37" i="65" s="1"/>
  <c r="SQ474" i="2"/>
  <c r="EV39" i="65"/>
  <c r="IF39" i="65" s="1"/>
  <c r="FZ35" i="65"/>
  <c r="FZ33" i="65"/>
  <c r="FL9" i="65"/>
  <c r="FD7" i="65"/>
  <c r="HG45" i="65"/>
  <c r="DH45" i="65"/>
  <c r="DH42" i="65"/>
  <c r="HG40" i="65"/>
  <c r="HG38" i="65"/>
  <c r="DH38" i="65"/>
  <c r="HG36" i="65"/>
  <c r="DH36" i="65"/>
  <c r="PM473" i="2"/>
  <c r="DD34" i="65"/>
  <c r="HO34" i="65" s="1"/>
  <c r="HG32" i="65"/>
  <c r="DH32" i="65"/>
  <c r="HG30" i="65"/>
  <c r="DH30" i="65"/>
  <c r="HG28" i="65"/>
  <c r="DH28" i="65"/>
  <c r="HG26" i="65"/>
  <c r="DH26" i="65"/>
  <c r="DH25" i="65"/>
  <c r="HG23" i="65"/>
  <c r="DH23" i="65"/>
  <c r="HG21" i="65"/>
  <c r="DH21" i="65"/>
  <c r="HG19" i="65"/>
  <c r="DH19" i="65"/>
  <c r="HG17" i="65"/>
  <c r="DH17" i="65"/>
  <c r="HG15" i="65"/>
  <c r="DH15" i="65"/>
  <c r="DH13" i="65"/>
  <c r="HG11" i="65"/>
  <c r="DH11" i="65"/>
  <c r="HQ8" i="65"/>
  <c r="DF7" i="65"/>
  <c r="HI8" i="65"/>
  <c r="CX7" i="65"/>
  <c r="VS472" i="2"/>
  <c r="BL44" i="65"/>
  <c r="HB44" i="65" s="1"/>
  <c r="VI472" i="2"/>
  <c r="BB44" i="65"/>
  <c r="GT44" i="65" s="1"/>
  <c r="TS472" i="2"/>
  <c r="BH41" i="65"/>
  <c r="GX41" i="65" s="1"/>
  <c r="RQ472" i="2"/>
  <c r="BB38" i="65"/>
  <c r="GT38" i="65" s="1"/>
  <c r="CT35" i="65"/>
  <c r="CT33" i="65"/>
  <c r="CT31" i="65"/>
  <c r="CT29" i="65"/>
  <c r="CT27" i="65"/>
  <c r="CT25" i="65"/>
  <c r="CT23" i="65"/>
  <c r="CT21" i="65"/>
  <c r="CT19" i="65"/>
  <c r="CT17" i="65"/>
  <c r="CT15" i="65"/>
  <c r="CT13" i="65"/>
  <c r="CT11" i="65"/>
  <c r="CR7" i="65"/>
  <c r="CH7" i="65"/>
  <c r="GC28" i="65"/>
  <c r="B28" i="65"/>
  <c r="R28" i="65"/>
  <c r="GC26" i="65"/>
  <c r="B26" i="65"/>
  <c r="R26" i="65"/>
  <c r="GC24" i="65"/>
  <c r="R24" i="65"/>
  <c r="IA471" i="2"/>
  <c r="L22" i="65"/>
  <c r="GI22" i="65" s="1"/>
  <c r="R21" i="65"/>
  <c r="GC21" i="65"/>
  <c r="AD7" i="65"/>
  <c r="T7" i="65"/>
  <c r="AH8" i="65"/>
  <c r="HH45" i="65"/>
  <c r="DI45" i="65"/>
  <c r="S45" i="65"/>
  <c r="GS44" i="65"/>
  <c r="BO44" i="65"/>
  <c r="DW43" i="65"/>
  <c r="AY41" i="65"/>
  <c r="EK40" i="65"/>
  <c r="AY40" i="65"/>
  <c r="EK36" i="65"/>
  <c r="AY36" i="65"/>
  <c r="EK35" i="65"/>
  <c r="AY35" i="65"/>
  <c r="EK34" i="65"/>
  <c r="AY34" i="65"/>
  <c r="EK33" i="65"/>
  <c r="AY33" i="65"/>
  <c r="EK32" i="65"/>
  <c r="AY32" i="65"/>
  <c r="FZ45" i="65"/>
  <c r="FZ43" i="65"/>
  <c r="FZ41" i="65"/>
  <c r="FZ39" i="65"/>
  <c r="QY474" i="2"/>
  <c r="FN37" i="65"/>
  <c r="FZ37" i="65" s="1"/>
  <c r="QO474" i="2"/>
  <c r="FR36" i="65"/>
  <c r="FZ36" i="65" s="1"/>
  <c r="QC474" i="2"/>
  <c r="FH35" i="65"/>
  <c r="FH7" i="65" s="1"/>
  <c r="FL33" i="65"/>
  <c r="JA474" i="2"/>
  <c r="FB24" i="65"/>
  <c r="B24" i="65" s="1"/>
  <c r="IE474" i="2"/>
  <c r="EV22" i="65"/>
  <c r="IF22" i="65" s="1"/>
  <c r="HX22" i="65"/>
  <c r="IB21" i="65"/>
  <c r="IF20" i="65"/>
  <c r="HX20" i="65"/>
  <c r="IB19" i="65"/>
  <c r="IF18" i="65"/>
  <c r="FI474" i="2"/>
  <c r="EN18" i="65"/>
  <c r="HX18" i="65" s="1"/>
  <c r="IB17" i="65"/>
  <c r="IF16" i="65"/>
  <c r="EC474" i="2"/>
  <c r="EN16" i="65"/>
  <c r="HX16" i="65" s="1"/>
  <c r="IB15" i="65"/>
  <c r="FL45" i="65"/>
  <c r="FL43" i="65"/>
  <c r="FL41" i="65"/>
  <c r="FL39" i="65"/>
  <c r="HV45" i="65"/>
  <c r="EX45" i="65"/>
  <c r="HV43" i="65"/>
  <c r="EX43" i="65"/>
  <c r="HV41" i="65"/>
  <c r="EX41" i="65"/>
  <c r="HV39" i="65"/>
  <c r="EX37" i="65"/>
  <c r="FZ30" i="65"/>
  <c r="FZ28" i="65"/>
  <c r="FZ26" i="65"/>
  <c r="FZ24" i="65"/>
  <c r="FL22" i="65"/>
  <c r="FL20" i="65"/>
  <c r="FL18" i="65"/>
  <c r="FL16" i="65"/>
  <c r="FL13" i="65"/>
  <c r="FL11" i="65"/>
  <c r="HX8" i="65"/>
  <c r="FL30" i="65"/>
  <c r="FL28" i="65"/>
  <c r="FL26" i="65"/>
  <c r="HZ23" i="65"/>
  <c r="ID22" i="65"/>
  <c r="HV22" i="65"/>
  <c r="HZ21" i="65"/>
  <c r="ID20" i="65"/>
  <c r="HV20" i="65"/>
  <c r="EX20" i="65"/>
  <c r="HZ19" i="65"/>
  <c r="ID18" i="65"/>
  <c r="HV18" i="65"/>
  <c r="HZ17" i="65"/>
  <c r="ID16" i="65"/>
  <c r="HV16" i="65"/>
  <c r="HZ15" i="65"/>
  <c r="HZ45" i="65"/>
  <c r="VG474" i="2"/>
  <c r="FN44" i="65"/>
  <c r="HZ43" i="65"/>
  <c r="ID42" i="65"/>
  <c r="HV42" i="65"/>
  <c r="EX42" i="65"/>
  <c r="HZ41" i="65"/>
  <c r="ID40" i="65"/>
  <c r="HV40" i="65"/>
  <c r="EX40" i="65"/>
  <c r="HZ39" i="65"/>
  <c r="ID38" i="65"/>
  <c r="HV38" i="65"/>
  <c r="EX38" i="65"/>
  <c r="HZ37" i="65"/>
  <c r="ID36" i="65"/>
  <c r="FZ29" i="65"/>
  <c r="FZ27" i="65"/>
  <c r="FZ25" i="65"/>
  <c r="FL23" i="65"/>
  <c r="FL21" i="65"/>
  <c r="FL19" i="65"/>
  <c r="FL17" i="65"/>
  <c r="FL15" i="65"/>
  <c r="FL12" i="65"/>
  <c r="FF7" i="65"/>
  <c r="HQ45" i="65"/>
  <c r="HI45" i="65"/>
  <c r="HM43" i="65"/>
  <c r="HQ42" i="65"/>
  <c r="HI42" i="65"/>
  <c r="HM41" i="65"/>
  <c r="HQ40" i="65"/>
  <c r="HI40" i="65"/>
  <c r="HM39" i="65"/>
  <c r="HQ38" i="65"/>
  <c r="HI38" i="65"/>
  <c r="HM37" i="65"/>
  <c r="HQ36" i="65"/>
  <c r="HI36" i="65"/>
  <c r="HM35" i="65"/>
  <c r="HQ34" i="65"/>
  <c r="HI34" i="65"/>
  <c r="HM33" i="65"/>
  <c r="HQ32" i="65"/>
  <c r="HI32" i="65"/>
  <c r="HM31" i="65"/>
  <c r="HQ30" i="65"/>
  <c r="HI30" i="65"/>
  <c r="HM29" i="65"/>
  <c r="HQ28" i="65"/>
  <c r="HI28" i="65"/>
  <c r="HM27" i="65"/>
  <c r="HQ26" i="65"/>
  <c r="HI26" i="65"/>
  <c r="HM24" i="65"/>
  <c r="HQ23" i="65"/>
  <c r="HI23" i="65"/>
  <c r="HM22" i="65"/>
  <c r="HQ21" i="65"/>
  <c r="HI21" i="65"/>
  <c r="HM20" i="65"/>
  <c r="HQ19" i="65"/>
  <c r="HI19" i="65"/>
  <c r="HM18" i="65"/>
  <c r="HQ17" i="65"/>
  <c r="HI17" i="65"/>
  <c r="HQ15" i="65"/>
  <c r="HI15" i="65"/>
  <c r="HM14" i="65"/>
  <c r="HQ13" i="65"/>
  <c r="HI13" i="65"/>
  <c r="HM12" i="65"/>
  <c r="HQ11" i="65"/>
  <c r="HI11" i="65"/>
  <c r="HM10" i="65"/>
  <c r="HO9" i="65"/>
  <c r="HG9" i="65"/>
  <c r="DH9" i="65"/>
  <c r="HK8" i="65"/>
  <c r="GZ45" i="65"/>
  <c r="GR45" i="65"/>
  <c r="BN45" i="65"/>
  <c r="GV44" i="65"/>
  <c r="GZ43" i="65"/>
  <c r="GR43" i="65"/>
  <c r="BN43" i="65"/>
  <c r="GV42" i="65"/>
  <c r="GZ41" i="65"/>
  <c r="GR41" i="65"/>
  <c r="GV40" i="65"/>
  <c r="GZ39" i="65"/>
  <c r="GR39" i="65"/>
  <c r="BN39" i="65"/>
  <c r="GV38" i="65"/>
  <c r="GZ36" i="65"/>
  <c r="CT9" i="65"/>
  <c r="AX45" i="65"/>
  <c r="HZ13" i="65"/>
  <c r="ID12" i="65"/>
  <c r="HV12" i="65"/>
  <c r="EX12" i="65"/>
  <c r="HZ11" i="65"/>
  <c r="ID10" i="65"/>
  <c r="IF9" i="65"/>
  <c r="HX9" i="65"/>
  <c r="IB8" i="65"/>
  <c r="ER7" i="65"/>
  <c r="EJ45" i="65"/>
  <c r="EJ42" i="65"/>
  <c r="EJ40" i="65"/>
  <c r="EJ38" i="65"/>
  <c r="EJ36" i="65"/>
  <c r="EJ34" i="65"/>
  <c r="EJ32" i="65"/>
  <c r="EJ30" i="65"/>
  <c r="EJ28" i="65"/>
  <c r="EJ26" i="65"/>
  <c r="EJ23" i="65"/>
  <c r="EJ21" i="65"/>
  <c r="EJ19" i="65"/>
  <c r="EJ17" i="65"/>
  <c r="EJ15" i="65"/>
  <c r="EJ13" i="65"/>
  <c r="EJ11" i="65"/>
  <c r="EH7" i="65"/>
  <c r="DZ7" i="65"/>
  <c r="CD9" i="65"/>
  <c r="BV7" i="65"/>
  <c r="AH45" i="65"/>
  <c r="AH43" i="65"/>
  <c r="AH41" i="65"/>
  <c r="AH39" i="65"/>
  <c r="AH35" i="65"/>
  <c r="AH33" i="65"/>
  <c r="AH31" i="65"/>
  <c r="AX28" i="65"/>
  <c r="AX26" i="65"/>
  <c r="AX24" i="65"/>
  <c r="AH19" i="65"/>
  <c r="AH17" i="65"/>
  <c r="GC15" i="65"/>
  <c r="R15" i="65"/>
  <c r="GG14" i="65"/>
  <c r="GK13" i="65"/>
  <c r="R13" i="65"/>
  <c r="GC13" i="65"/>
  <c r="GG12" i="65"/>
  <c r="GK11" i="65"/>
  <c r="GC11" i="65"/>
  <c r="B11" i="65"/>
  <c r="R11" i="65"/>
  <c r="GG10" i="65"/>
  <c r="GI9" i="65"/>
  <c r="GM8" i="65"/>
  <c r="F7" i="65"/>
  <c r="IC45" i="65"/>
  <c r="HR45" i="65"/>
  <c r="EK45" i="65"/>
  <c r="AY45" i="65"/>
  <c r="CU44" i="65"/>
  <c r="IE43" i="65"/>
  <c r="HJ43" i="65"/>
  <c r="GY43" i="65"/>
  <c r="GN43" i="65"/>
  <c r="GD43" i="65"/>
  <c r="IA42" i="65"/>
  <c r="HP42" i="65"/>
  <c r="HH42" i="65"/>
  <c r="DI42" i="65"/>
  <c r="IF35" i="65"/>
  <c r="HX35" i="65"/>
  <c r="IB34" i="65"/>
  <c r="IF33" i="65"/>
  <c r="HX33" i="65"/>
  <c r="IB32" i="65"/>
  <c r="HV31" i="65"/>
  <c r="IH31" i="65" s="1"/>
  <c r="EX31" i="65"/>
  <c r="HZ30" i="65"/>
  <c r="ID29" i="65"/>
  <c r="HV29" i="65"/>
  <c r="EX29" i="65"/>
  <c r="HZ28" i="65"/>
  <c r="ID27" i="65"/>
  <c r="HV27" i="65"/>
  <c r="EX27" i="65"/>
  <c r="HZ26" i="65"/>
  <c r="ID25" i="65"/>
  <c r="HV25" i="65"/>
  <c r="EX25" i="65"/>
  <c r="HZ24" i="65"/>
  <c r="ID23" i="65"/>
  <c r="DG474" i="2"/>
  <c r="FJ14" i="65"/>
  <c r="IF14" i="65" s="1"/>
  <c r="FZ9" i="65"/>
  <c r="DV45" i="65"/>
  <c r="UA473" i="2"/>
  <c r="DJ42" i="65"/>
  <c r="DV42" i="65" s="1"/>
  <c r="DV40" i="65"/>
  <c r="DV38" i="65"/>
  <c r="DV36" i="65"/>
  <c r="PC473" i="2"/>
  <c r="DJ34" i="65"/>
  <c r="DV34" i="65" s="1"/>
  <c r="DV32" i="65"/>
  <c r="NM473" i="2"/>
  <c r="DN31" i="65"/>
  <c r="HK31" i="65" s="1"/>
  <c r="DV30" i="65"/>
  <c r="DV28" i="65"/>
  <c r="DV26" i="65"/>
  <c r="JO473" i="2"/>
  <c r="DX25" i="65"/>
  <c r="EJ25" i="65" s="1"/>
  <c r="DV23" i="65"/>
  <c r="DV21" i="65"/>
  <c r="DV19" i="65"/>
  <c r="DV17" i="65"/>
  <c r="DV15" i="65"/>
  <c r="CE473" i="2"/>
  <c r="DJ13" i="65"/>
  <c r="DV13" i="65" s="1"/>
  <c r="DV11" i="65"/>
  <c r="DT7" i="65"/>
  <c r="DL7" i="65"/>
  <c r="WE472" i="2"/>
  <c r="BX45" i="65"/>
  <c r="B45" i="65" s="1"/>
  <c r="HB35" i="65"/>
  <c r="GT35" i="65"/>
  <c r="GX34" i="65"/>
  <c r="HB33" i="65"/>
  <c r="GT33" i="65"/>
  <c r="GX32" i="65"/>
  <c r="HB31" i="65"/>
  <c r="GT31" i="65"/>
  <c r="GX30" i="65"/>
  <c r="HB29" i="65"/>
  <c r="GT29" i="65"/>
  <c r="GX28" i="65"/>
  <c r="HB27" i="65"/>
  <c r="GT27" i="65"/>
  <c r="GX26" i="65"/>
  <c r="HB25" i="65"/>
  <c r="GT25" i="65"/>
  <c r="GX24" i="65"/>
  <c r="HB23" i="65"/>
  <c r="GT23" i="65"/>
  <c r="GX22" i="65"/>
  <c r="HB21" i="65"/>
  <c r="GT21" i="65"/>
  <c r="GX20" i="65"/>
  <c r="HB19" i="65"/>
  <c r="GT19" i="65"/>
  <c r="GX18" i="65"/>
  <c r="HB17" i="65"/>
  <c r="GT17" i="65"/>
  <c r="GX16" i="65"/>
  <c r="HB15" i="65"/>
  <c r="GT15" i="65"/>
  <c r="GX14" i="65"/>
  <c r="HB13" i="65"/>
  <c r="GT13" i="65"/>
  <c r="GX12" i="65"/>
  <c r="HB11" i="65"/>
  <c r="GT11" i="65"/>
  <c r="GX10" i="65"/>
  <c r="GZ9" i="65"/>
  <c r="GR9" i="65"/>
  <c r="BN9" i="65"/>
  <c r="GV8" i="65"/>
  <c r="BF7" i="65"/>
  <c r="GK45" i="65"/>
  <c r="GC45" i="65"/>
  <c r="R45" i="65"/>
  <c r="GG44" i="65"/>
  <c r="GK43" i="65"/>
  <c r="GC43" i="65"/>
  <c r="R43" i="65"/>
  <c r="B43" i="65"/>
  <c r="GG42" i="65"/>
  <c r="GK41" i="65"/>
  <c r="GC41" i="65"/>
  <c r="R41" i="65"/>
  <c r="GG40" i="65"/>
  <c r="GK39" i="65"/>
  <c r="GC39" i="65"/>
  <c r="R39" i="65"/>
  <c r="GG38" i="65"/>
  <c r="QY471" i="2"/>
  <c r="D37" i="65"/>
  <c r="GG36" i="65"/>
  <c r="GC35" i="65"/>
  <c r="R35" i="65"/>
  <c r="GG34" i="65"/>
  <c r="OW471" i="2"/>
  <c r="N33" i="65"/>
  <c r="GK33" i="65" s="1"/>
  <c r="OM471" i="2"/>
  <c r="D33" i="65"/>
  <c r="GG32" i="65"/>
  <c r="DW31" i="65"/>
  <c r="AI31" i="65"/>
  <c r="FM29" i="65"/>
  <c r="CE29" i="65"/>
  <c r="FM28" i="65"/>
  <c r="CE28" i="65"/>
  <c r="FM27" i="65"/>
  <c r="CE27" i="65"/>
  <c r="FM26" i="65"/>
  <c r="GS26" i="65"/>
  <c r="BO26" i="65"/>
  <c r="EY25" i="65"/>
  <c r="HH25" i="65"/>
  <c r="S25" i="65"/>
  <c r="GD25" i="65"/>
  <c r="HH24" i="65"/>
  <c r="DI24" i="65"/>
  <c r="S24" i="65"/>
  <c r="GD24" i="65"/>
  <c r="HH23" i="65"/>
  <c r="DI23" i="65"/>
  <c r="C23" i="65"/>
  <c r="GD23" i="65"/>
  <c r="S23" i="65"/>
  <c r="HZ474" i="2"/>
  <c r="EQ22" i="65"/>
  <c r="IA22" i="65" s="1"/>
  <c r="FP474" i="2"/>
  <c r="ES18" i="65"/>
  <c r="IC18" i="65" s="1"/>
  <c r="FP472" i="2"/>
  <c r="BI18" i="65"/>
  <c r="GY18" i="65" s="1"/>
  <c r="FT471" i="2"/>
  <c r="Q18" i="65"/>
  <c r="GN18" i="65" s="1"/>
  <c r="EN471" i="2"/>
  <c r="Q16" i="65"/>
  <c r="GN16" i="65" s="1"/>
  <c r="IF13" i="65"/>
  <c r="HX13" i="65"/>
  <c r="IB12" i="65"/>
  <c r="IF11" i="65"/>
  <c r="HX11" i="65"/>
  <c r="IB10" i="65"/>
  <c r="ID9" i="65"/>
  <c r="HV9" i="65"/>
  <c r="EX9" i="65"/>
  <c r="I474" i="2"/>
  <c r="EP8" i="65"/>
  <c r="EX8" i="65" s="1"/>
  <c r="M473" i="2"/>
  <c r="EF8" i="65"/>
  <c r="EF7" i="65" s="1"/>
  <c r="CT44" i="65"/>
  <c r="CT42" i="65"/>
  <c r="CT40" i="65"/>
  <c r="CT38" i="65"/>
  <c r="PS472" i="2"/>
  <c r="BP35" i="65"/>
  <c r="CD35" i="65" s="1"/>
  <c r="CD33" i="65"/>
  <c r="CD31" i="65"/>
  <c r="CD29" i="65"/>
  <c r="CD27" i="65"/>
  <c r="CD25" i="65"/>
  <c r="CD23" i="65"/>
  <c r="CD21" i="65"/>
  <c r="CD19" i="65"/>
  <c r="CD17" i="65"/>
  <c r="DU472" i="2"/>
  <c r="BZ15" i="65"/>
  <c r="GZ15" i="65" s="1"/>
  <c r="DK472" i="2"/>
  <c r="BP15" i="65"/>
  <c r="GR15" i="65" s="1"/>
  <c r="CO472" i="2"/>
  <c r="BZ13" i="65"/>
  <c r="CD11" i="65"/>
  <c r="CB7" i="65"/>
  <c r="BR7" i="65"/>
  <c r="VS471" i="2"/>
  <c r="AF44" i="65"/>
  <c r="GM44" i="65" s="1"/>
  <c r="VI471" i="2"/>
  <c r="V44" i="65"/>
  <c r="UM471" i="2"/>
  <c r="AF42" i="65"/>
  <c r="GM42" i="65" s="1"/>
  <c r="UC471" i="2"/>
  <c r="V42" i="65"/>
  <c r="GM38" i="65"/>
  <c r="GI33" i="65"/>
  <c r="HK471" i="2"/>
  <c r="AR21" i="65"/>
  <c r="B21" i="65" s="1"/>
  <c r="FS471" i="2"/>
  <c r="AF18" i="65"/>
  <c r="AH18" i="65" s="1"/>
  <c r="GM14" i="65"/>
  <c r="GE14" i="65"/>
  <c r="GI13" i="65"/>
  <c r="GM12" i="65"/>
  <c r="GE12" i="65"/>
  <c r="GI11" i="65"/>
  <c r="GM10" i="65"/>
  <c r="GE10" i="65"/>
  <c r="GG9" i="65"/>
  <c r="IA45" i="65"/>
  <c r="HP45" i="65"/>
  <c r="IC43" i="65"/>
  <c r="HP43" i="65"/>
  <c r="HH43" i="65"/>
  <c r="DI43" i="65"/>
  <c r="GW43" i="65"/>
  <c r="GL43" i="65"/>
  <c r="IG42" i="65"/>
  <c r="HN42" i="65"/>
  <c r="GA41" i="65"/>
  <c r="AI41" i="65"/>
  <c r="DW40" i="65"/>
  <c r="HV35" i="65"/>
  <c r="EX35" i="65"/>
  <c r="HZ34" i="65"/>
  <c r="ID33" i="65"/>
  <c r="HV33" i="65"/>
  <c r="EX33" i="65"/>
  <c r="HZ32" i="65"/>
  <c r="IF30" i="65"/>
  <c r="HX30" i="65"/>
  <c r="IB29" i="65"/>
  <c r="IF28" i="65"/>
  <c r="HX28" i="65"/>
  <c r="IB27" i="65"/>
  <c r="IF26" i="65"/>
  <c r="HX26" i="65"/>
  <c r="IB25" i="65"/>
  <c r="IF24" i="65"/>
  <c r="IB23" i="65"/>
  <c r="FZ22" i="65"/>
  <c r="FZ20" i="65"/>
  <c r="FZ18" i="65"/>
  <c r="FZ16" i="65"/>
  <c r="ID14" i="65"/>
  <c r="FZ13" i="65"/>
  <c r="FZ11" i="65"/>
  <c r="FX7" i="65"/>
  <c r="HQ25" i="65"/>
  <c r="HQ16" i="65"/>
  <c r="DR7" i="65"/>
  <c r="DV8" i="65"/>
  <c r="CD44" i="65"/>
  <c r="CD42" i="65"/>
  <c r="CD40" i="65"/>
  <c r="CD38" i="65"/>
  <c r="GZ35" i="65"/>
  <c r="BN35" i="65"/>
  <c r="GV34" i="65"/>
  <c r="GZ33" i="65"/>
  <c r="GR33" i="65"/>
  <c r="BN33" i="65"/>
  <c r="GV32" i="65"/>
  <c r="GZ31" i="65"/>
  <c r="GR31" i="65"/>
  <c r="BN31" i="65"/>
  <c r="GV30" i="65"/>
  <c r="GZ29" i="65"/>
  <c r="GR29" i="65"/>
  <c r="BN29" i="65"/>
  <c r="GV28" i="65"/>
  <c r="GZ27" i="65"/>
  <c r="GR27" i="65"/>
  <c r="BN27" i="65"/>
  <c r="GV26" i="65"/>
  <c r="GZ25" i="65"/>
  <c r="GR25" i="65"/>
  <c r="BN25" i="65"/>
  <c r="GV24" i="65"/>
  <c r="GZ23" i="65"/>
  <c r="GR23" i="65"/>
  <c r="BN23" i="65"/>
  <c r="GV22" i="65"/>
  <c r="GZ21" i="65"/>
  <c r="GR21" i="65"/>
  <c r="BN21" i="65"/>
  <c r="GV20" i="65"/>
  <c r="GZ19" i="65"/>
  <c r="GR19" i="65"/>
  <c r="BN19" i="65"/>
  <c r="GV18" i="65"/>
  <c r="GZ17" i="65"/>
  <c r="GR17" i="65"/>
  <c r="BN17" i="65"/>
  <c r="GV16" i="65"/>
  <c r="BN15" i="65"/>
  <c r="GV14" i="65"/>
  <c r="GR13" i="65"/>
  <c r="BN13" i="65"/>
  <c r="GV12" i="65"/>
  <c r="GZ11" i="65"/>
  <c r="GR11" i="65"/>
  <c r="BN11" i="65"/>
  <c r="GV10" i="65"/>
  <c r="GX9" i="65"/>
  <c r="HB8" i="65"/>
  <c r="GT8" i="65"/>
  <c r="GI45" i="65"/>
  <c r="GI43" i="65"/>
  <c r="GI41" i="65"/>
  <c r="GM40" i="65"/>
  <c r="GE40" i="65"/>
  <c r="GI39" i="65"/>
  <c r="GE38" i="65"/>
  <c r="GM36" i="65"/>
  <c r="GE36" i="65"/>
  <c r="GI35" i="65"/>
  <c r="GM34" i="65"/>
  <c r="GE34" i="65"/>
  <c r="GM32" i="65"/>
  <c r="GE32" i="65"/>
  <c r="GI31" i="65"/>
  <c r="GE29" i="65"/>
  <c r="HG8" i="65"/>
  <c r="CV7" i="65"/>
  <c r="DH8" i="65"/>
  <c r="GR44" i="65"/>
  <c r="GR42" i="65"/>
  <c r="BN42" i="65"/>
  <c r="GV41" i="65"/>
  <c r="GZ40" i="65"/>
  <c r="GR40" i="65"/>
  <c r="BN40" i="65"/>
  <c r="GV39" i="65"/>
  <c r="GZ38" i="65"/>
  <c r="GR38" i="65"/>
  <c r="GV36" i="65"/>
  <c r="CP7" i="65"/>
  <c r="CF7" i="65"/>
  <c r="CT8" i="65"/>
  <c r="AX44" i="65"/>
  <c r="AX42" i="65"/>
  <c r="AX40" i="65"/>
  <c r="AX38" i="65"/>
  <c r="AX36" i="65"/>
  <c r="AX34" i="65"/>
  <c r="AX32" i="65"/>
  <c r="GM29" i="65"/>
  <c r="GI28" i="65"/>
  <c r="GM27" i="65"/>
  <c r="GE27" i="65"/>
  <c r="GI26" i="65"/>
  <c r="GE25" i="65"/>
  <c r="GI24" i="65"/>
  <c r="GE23" i="65"/>
  <c r="GM20" i="65"/>
  <c r="GE20" i="65"/>
  <c r="GI19" i="65"/>
  <c r="AX18" i="65"/>
  <c r="AX16" i="65"/>
  <c r="GC14" i="65"/>
  <c r="AH14" i="65"/>
  <c r="AH12" i="65"/>
  <c r="GI8" i="65"/>
  <c r="AB7" i="65"/>
  <c r="HC45" i="65"/>
  <c r="GU45" i="65"/>
  <c r="GJ45" i="65"/>
  <c r="GY44" i="65"/>
  <c r="GN44" i="65"/>
  <c r="GF44" i="65"/>
  <c r="FM42" i="65"/>
  <c r="GS42" i="65"/>
  <c r="BO42" i="65"/>
  <c r="IB14" i="65"/>
  <c r="ID13" i="65"/>
  <c r="HV13" i="65"/>
  <c r="EX13" i="65"/>
  <c r="HZ12" i="65"/>
  <c r="ID11" i="65"/>
  <c r="HV11" i="65"/>
  <c r="EX11" i="65"/>
  <c r="HZ10" i="65"/>
  <c r="IB9" i="65"/>
  <c r="IF8" i="65"/>
  <c r="FZ8" i="65"/>
  <c r="EJ43" i="65"/>
  <c r="EJ41" i="65"/>
  <c r="EJ39" i="65"/>
  <c r="EJ37" i="65"/>
  <c r="EJ35" i="65"/>
  <c r="EJ33" i="65"/>
  <c r="EJ31" i="65"/>
  <c r="EJ29" i="65"/>
  <c r="EJ27" i="65"/>
  <c r="HO25" i="65"/>
  <c r="EJ24" i="65"/>
  <c r="EJ22" i="65"/>
  <c r="EJ20" i="65"/>
  <c r="EJ18" i="65"/>
  <c r="HO16" i="65"/>
  <c r="EJ14" i="65"/>
  <c r="EJ12" i="65"/>
  <c r="ED7" i="65"/>
  <c r="CD8" i="65"/>
  <c r="AH40" i="65"/>
  <c r="AH38" i="65"/>
  <c r="AH36" i="65"/>
  <c r="AH34" i="65"/>
  <c r="AH32" i="65"/>
  <c r="AX29" i="65"/>
  <c r="AX27" i="65"/>
  <c r="AX25" i="65"/>
  <c r="AX23" i="65"/>
  <c r="AX20" i="65"/>
  <c r="AH16" i="65"/>
  <c r="R14" i="65"/>
  <c r="GC12" i="65"/>
  <c r="B12" i="65"/>
  <c r="R12" i="65"/>
  <c r="CU45" i="65"/>
  <c r="AY44" i="65"/>
  <c r="HW42" i="65"/>
  <c r="EY42" i="65"/>
  <c r="HX36" i="65"/>
  <c r="IB35" i="65"/>
  <c r="IF34" i="65"/>
  <c r="HX34" i="65"/>
  <c r="IB33" i="65"/>
  <c r="IF32" i="65"/>
  <c r="HX32" i="65"/>
  <c r="ID30" i="65"/>
  <c r="HV30" i="65"/>
  <c r="EX30" i="65"/>
  <c r="HZ29" i="65"/>
  <c r="ID28" i="65"/>
  <c r="HV28" i="65"/>
  <c r="EX28" i="65"/>
  <c r="HZ27" i="65"/>
  <c r="ID26" i="65"/>
  <c r="HV26" i="65"/>
  <c r="EX26" i="65"/>
  <c r="HZ25" i="65"/>
  <c r="ID24" i="65"/>
  <c r="HV24" i="65"/>
  <c r="EX24" i="65"/>
  <c r="FV7" i="65"/>
  <c r="FL8" i="65"/>
  <c r="EZ7" i="65"/>
  <c r="DV43" i="65"/>
  <c r="DV41" i="65"/>
  <c r="DV39" i="65"/>
  <c r="DV37" i="65"/>
  <c r="DV35" i="65"/>
  <c r="DV33" i="65"/>
  <c r="DV29" i="65"/>
  <c r="DV27" i="65"/>
  <c r="DV24" i="65"/>
  <c r="DV22" i="65"/>
  <c r="DV20" i="65"/>
  <c r="DV18" i="65"/>
  <c r="EJ16" i="65"/>
  <c r="DV14" i="65"/>
  <c r="DV12" i="65"/>
  <c r="DP7" i="65"/>
  <c r="CD36" i="65"/>
  <c r="GX35" i="65"/>
  <c r="HB34" i="65"/>
  <c r="GT34" i="65"/>
  <c r="GX33" i="65"/>
  <c r="HB32" i="65"/>
  <c r="GT32" i="65"/>
  <c r="GX31" i="65"/>
  <c r="HB30" i="65"/>
  <c r="GT30" i="65"/>
  <c r="GX29" i="65"/>
  <c r="HB28" i="65"/>
  <c r="GT28" i="65"/>
  <c r="GX27" i="65"/>
  <c r="HB26" i="65"/>
  <c r="GT26" i="65"/>
  <c r="GX25" i="65"/>
  <c r="HB24" i="65"/>
  <c r="GT24" i="65"/>
  <c r="GX23" i="65"/>
  <c r="HB22" i="65"/>
  <c r="GT22" i="65"/>
  <c r="GX21" i="65"/>
  <c r="HB20" i="65"/>
  <c r="GT20" i="65"/>
  <c r="GX19" i="65"/>
  <c r="HB18" i="65"/>
  <c r="GT18" i="65"/>
  <c r="GX17" i="65"/>
  <c r="HB16" i="65"/>
  <c r="GT16" i="65"/>
  <c r="GX15" i="65"/>
  <c r="HB14" i="65"/>
  <c r="GT14" i="65"/>
  <c r="GX13" i="65"/>
  <c r="HB12" i="65"/>
  <c r="GT12" i="65"/>
  <c r="GX11" i="65"/>
  <c r="HB10" i="65"/>
  <c r="GT10" i="65"/>
  <c r="GV9" i="65"/>
  <c r="GZ8" i="65"/>
  <c r="BJ7" i="65"/>
  <c r="GR8" i="65"/>
  <c r="BN8" i="65"/>
  <c r="AZ7" i="65"/>
  <c r="GG45" i="65"/>
  <c r="GK44" i="65"/>
  <c r="AX43" i="65"/>
  <c r="AX41" i="65"/>
  <c r="AX39" i="65"/>
  <c r="AX35" i="65"/>
  <c r="AX33" i="65"/>
  <c r="AX31" i="65"/>
  <c r="GI29" i="65"/>
  <c r="GM28" i="65"/>
  <c r="GE28" i="65"/>
  <c r="GI27" i="65"/>
  <c r="GE26" i="65"/>
  <c r="GI25" i="65"/>
  <c r="GM24" i="65"/>
  <c r="GE24" i="65"/>
  <c r="GI23" i="65"/>
  <c r="GM21" i="65"/>
  <c r="GE21" i="65"/>
  <c r="GI20" i="65"/>
  <c r="AX19" i="65"/>
  <c r="AX17" i="65"/>
  <c r="AX15" i="65"/>
  <c r="AH13" i="65"/>
  <c r="AH11" i="65"/>
  <c r="GE8" i="65"/>
  <c r="HJ45" i="65"/>
  <c r="GY45" i="65"/>
  <c r="GN45" i="65"/>
  <c r="GF45" i="65"/>
  <c r="HC44" i="65"/>
  <c r="GU44" i="65"/>
  <c r="GJ44" i="65"/>
  <c r="HW43" i="65"/>
  <c r="DW42" i="65"/>
  <c r="GW42" i="65"/>
  <c r="GL42" i="65"/>
  <c r="GD42" i="65"/>
  <c r="S42" i="65"/>
  <c r="IA41" i="65"/>
  <c r="HP41" i="65"/>
  <c r="AI39" i="65"/>
  <c r="DW38" i="65"/>
  <c r="AI38" i="65"/>
  <c r="MT473" i="2"/>
  <c r="DM30" i="65"/>
  <c r="DW30" i="65" s="1"/>
  <c r="HC26" i="65"/>
  <c r="GU26" i="65"/>
  <c r="GJ26" i="65"/>
  <c r="GY25" i="65"/>
  <c r="GN25" i="65"/>
  <c r="IC24" i="65"/>
  <c r="HR24" i="65"/>
  <c r="HJ24" i="65"/>
  <c r="GN24" i="65"/>
  <c r="IC23" i="65"/>
  <c r="HR23" i="65"/>
  <c r="HJ23" i="65"/>
  <c r="GY23" i="65"/>
  <c r="GN23" i="65"/>
  <c r="GF23" i="65"/>
  <c r="IC22" i="65"/>
  <c r="GJ22" i="65"/>
  <c r="IE21" i="65"/>
  <c r="HW21" i="65"/>
  <c r="EY21" i="65"/>
  <c r="HL21" i="65"/>
  <c r="HA21" i="65"/>
  <c r="GS21" i="65"/>
  <c r="BO21" i="65"/>
  <c r="GH21" i="65"/>
  <c r="HW20" i="65"/>
  <c r="EY20" i="65"/>
  <c r="HL20" i="65"/>
  <c r="HA20" i="65"/>
  <c r="GS20" i="65"/>
  <c r="BO20" i="65"/>
  <c r="GH20" i="65"/>
  <c r="IE19" i="65"/>
  <c r="HW19" i="65"/>
  <c r="EY19" i="65"/>
  <c r="HL19" i="65"/>
  <c r="HA19" i="65"/>
  <c r="BO19" i="65"/>
  <c r="GH19" i="65"/>
  <c r="IE18" i="65"/>
  <c r="HW18" i="65"/>
  <c r="HL18" i="65"/>
  <c r="GH18" i="65"/>
  <c r="IE17" i="65"/>
  <c r="HW17" i="65"/>
  <c r="EY17" i="65"/>
  <c r="HL17" i="65"/>
  <c r="HA17" i="65"/>
  <c r="GS17" i="65"/>
  <c r="BO17" i="65"/>
  <c r="GH17" i="65"/>
  <c r="IE16" i="65"/>
  <c r="HW16" i="65"/>
  <c r="EY16" i="65"/>
  <c r="HA16" i="65"/>
  <c r="GS16" i="65"/>
  <c r="BO16" i="65"/>
  <c r="IE15" i="65"/>
  <c r="HW15" i="65"/>
  <c r="EY15" i="65"/>
  <c r="HL15" i="65"/>
  <c r="HA15" i="65"/>
  <c r="GS15" i="65"/>
  <c r="BO15" i="65"/>
  <c r="GH15" i="65"/>
  <c r="CE12" i="65"/>
  <c r="FM11" i="65"/>
  <c r="CE11" i="65"/>
  <c r="FM9" i="65"/>
  <c r="CE9" i="65"/>
  <c r="FI7" i="65"/>
  <c r="FM8" i="65"/>
  <c r="CA7" i="65"/>
  <c r="CE8" i="65"/>
  <c r="BQ7" i="65"/>
  <c r="CT10" i="65"/>
  <c r="EK10" i="65"/>
  <c r="HH39" i="65"/>
  <c r="GW39" i="65"/>
  <c r="GL39" i="65"/>
  <c r="GD39" i="65"/>
  <c r="S39" i="65"/>
  <c r="IA38" i="65"/>
  <c r="HP38" i="65"/>
  <c r="DI38" i="65"/>
  <c r="GW38" i="65"/>
  <c r="GL38" i="65"/>
  <c r="GD38" i="65"/>
  <c r="S38" i="65"/>
  <c r="IA37" i="65"/>
  <c r="HP37" i="65"/>
  <c r="HR31" i="65"/>
  <c r="HJ31" i="65"/>
  <c r="GY31" i="65"/>
  <c r="GN31" i="65"/>
  <c r="GF31" i="65"/>
  <c r="HR30" i="65"/>
  <c r="GY30" i="65"/>
  <c r="IG29" i="65"/>
  <c r="HY29" i="65"/>
  <c r="HN29" i="65"/>
  <c r="HC29" i="65"/>
  <c r="GU29" i="65"/>
  <c r="GJ29" i="65"/>
  <c r="IG28" i="65"/>
  <c r="HY28" i="65"/>
  <c r="HN28" i="65"/>
  <c r="HC28" i="65"/>
  <c r="GU28" i="65"/>
  <c r="GJ28" i="65"/>
  <c r="IG27" i="65"/>
  <c r="HY27" i="65"/>
  <c r="HC27" i="65"/>
  <c r="GU27" i="65"/>
  <c r="GJ27" i="65"/>
  <c r="HY26" i="65"/>
  <c r="CU26" i="65"/>
  <c r="AY25" i="65"/>
  <c r="EK24" i="65"/>
  <c r="EK23" i="65"/>
  <c r="AY23" i="65"/>
  <c r="GU14" i="65"/>
  <c r="GJ14" i="65"/>
  <c r="IG13" i="65"/>
  <c r="HY13" i="65"/>
  <c r="HN13" i="65"/>
  <c r="GU13" i="65"/>
  <c r="GJ13" i="65"/>
  <c r="IG12" i="65"/>
  <c r="HY12" i="65"/>
  <c r="HN12" i="65"/>
  <c r="HA12" i="65"/>
  <c r="GS12" i="65"/>
  <c r="BO12" i="65"/>
  <c r="GH12" i="65"/>
  <c r="IE11" i="65"/>
  <c r="HW11" i="65"/>
  <c r="EY11" i="65"/>
  <c r="HL11" i="65"/>
  <c r="HA11" i="65"/>
  <c r="GS11" i="65"/>
  <c r="BO11" i="65"/>
  <c r="GH11" i="65"/>
  <c r="IE10" i="65"/>
  <c r="HR10" i="65"/>
  <c r="HJ10" i="65"/>
  <c r="GW10" i="65"/>
  <c r="GJ10" i="65"/>
  <c r="HW9" i="65"/>
  <c r="EY9" i="65"/>
  <c r="HL9" i="65"/>
  <c r="HA9" i="65"/>
  <c r="GS9" i="65"/>
  <c r="BO9" i="65"/>
  <c r="GH9" i="65"/>
  <c r="IE8" i="65"/>
  <c r="HW8" i="65"/>
  <c r="EY8" i="65"/>
  <c r="HL8" i="65"/>
  <c r="HA8" i="65"/>
  <c r="GS8" i="65"/>
  <c r="BO8" i="65"/>
  <c r="GH8" i="65"/>
  <c r="CD10" i="65"/>
  <c r="DW10" i="65"/>
  <c r="NQ471" i="2"/>
  <c r="N31" i="65"/>
  <c r="GK31" i="65" s="1"/>
  <c r="GC31" i="65"/>
  <c r="AH28" i="65"/>
  <c r="AH26" i="65"/>
  <c r="AH24" i="65"/>
  <c r="AH21" i="65"/>
  <c r="GK19" i="65"/>
  <c r="GC19" i="65"/>
  <c r="B19" i="65"/>
  <c r="R19" i="65"/>
  <c r="GG18" i="65"/>
  <c r="GC17" i="65"/>
  <c r="R17" i="65"/>
  <c r="B17" i="65"/>
  <c r="GG16" i="65"/>
  <c r="GK15" i="65"/>
  <c r="M471" i="2"/>
  <c r="AT8" i="65"/>
  <c r="AT7" i="65" s="1"/>
  <c r="C471" i="2"/>
  <c r="AJ8" i="65"/>
  <c r="DW45" i="65"/>
  <c r="VX471" i="2"/>
  <c r="U45" i="65"/>
  <c r="AI45" i="65" s="1"/>
  <c r="CE44" i="65"/>
  <c r="EK43" i="65"/>
  <c r="UD474" i="2"/>
  <c r="FQ42" i="65"/>
  <c r="GA42" i="65" s="1"/>
  <c r="UN472" i="2"/>
  <c r="CS42" i="65"/>
  <c r="HC42" i="65" s="1"/>
  <c r="UD472" i="2"/>
  <c r="BS42" i="65"/>
  <c r="BS7" i="65" s="1"/>
  <c r="TX474" i="2"/>
  <c r="FK41" i="65"/>
  <c r="FK7" i="65" s="1"/>
  <c r="GY41" i="65"/>
  <c r="GN41" i="65"/>
  <c r="GF41" i="65"/>
  <c r="IC40" i="65"/>
  <c r="HR40" i="65"/>
  <c r="HJ40" i="65"/>
  <c r="GY40" i="65"/>
  <c r="GN40" i="65"/>
  <c r="GF40" i="65"/>
  <c r="IC39" i="65"/>
  <c r="HR39" i="65"/>
  <c r="SR472" i="2"/>
  <c r="CS39" i="65"/>
  <c r="HC39" i="65" s="1"/>
  <c r="RR474" i="2"/>
  <c r="FQ38" i="65"/>
  <c r="HY38" i="65" s="1"/>
  <c r="RF471" i="2"/>
  <c r="M37" i="65"/>
  <c r="GJ37" i="65" s="1"/>
  <c r="QR474" i="2"/>
  <c r="ES36" i="65"/>
  <c r="IC36" i="65" s="1"/>
  <c r="QV473" i="2"/>
  <c r="DG36" i="65"/>
  <c r="HR36" i="65" s="1"/>
  <c r="HJ36" i="65"/>
  <c r="GY36" i="65"/>
  <c r="QV471" i="2"/>
  <c r="Q36" i="65"/>
  <c r="GN36" i="65" s="1"/>
  <c r="GF36" i="65"/>
  <c r="QB474" i="2"/>
  <c r="ES35" i="65"/>
  <c r="IC35" i="65" s="1"/>
  <c r="QF473" i="2"/>
  <c r="DG35" i="65"/>
  <c r="HR35" i="65" s="1"/>
  <c r="PV473" i="2"/>
  <c r="CY35" i="65"/>
  <c r="HJ35" i="65" s="1"/>
  <c r="GY35" i="65"/>
  <c r="QF471" i="2"/>
  <c r="Q35" i="65"/>
  <c r="GN35" i="65" s="1"/>
  <c r="GF35" i="65"/>
  <c r="IC34" i="65"/>
  <c r="HR34" i="65"/>
  <c r="HJ34" i="65"/>
  <c r="GY34" i="65"/>
  <c r="GN34" i="65"/>
  <c r="GF34" i="65"/>
  <c r="IC33" i="65"/>
  <c r="HR33" i="65"/>
  <c r="HJ33" i="65"/>
  <c r="OV472" i="2"/>
  <c r="BI33" i="65"/>
  <c r="GY33" i="65" s="1"/>
  <c r="GN33" i="65"/>
  <c r="GF33" i="65"/>
  <c r="IC32" i="65"/>
  <c r="HR32" i="65"/>
  <c r="NZ473" i="2"/>
  <c r="CY32" i="65"/>
  <c r="HJ32" i="65" s="1"/>
  <c r="GY32" i="65"/>
  <c r="GN32" i="65"/>
  <c r="GF32" i="65"/>
  <c r="NR473" i="2"/>
  <c r="EG31" i="65"/>
  <c r="EK31" i="65" s="1"/>
  <c r="AY31" i="65"/>
  <c r="EK30" i="65"/>
  <c r="GA29" i="65"/>
  <c r="ML472" i="2"/>
  <c r="CQ29" i="65"/>
  <c r="CU29" i="65" s="1"/>
  <c r="GA28" i="65"/>
  <c r="LR473" i="2"/>
  <c r="EC28" i="65"/>
  <c r="EK28" i="65" s="1"/>
  <c r="LV472" i="2"/>
  <c r="CQ28" i="65"/>
  <c r="HA28" i="65" s="1"/>
  <c r="LL472" i="2"/>
  <c r="CG28" i="65"/>
  <c r="GS28" i="65" s="1"/>
  <c r="LF474" i="2"/>
  <c r="FW27" i="65"/>
  <c r="IE27" i="65" s="1"/>
  <c r="KV474" i="2"/>
  <c r="FO27" i="65"/>
  <c r="CU27" i="65"/>
  <c r="KP474" i="2"/>
  <c r="FW26" i="65"/>
  <c r="IE26" i="65" s="1"/>
  <c r="KF474" i="2"/>
  <c r="FO26" i="65"/>
  <c r="HW26" i="65" s="1"/>
  <c r="CE26" i="65"/>
  <c r="JP474" i="2"/>
  <c r="FA25" i="65"/>
  <c r="FM25" i="65" s="1"/>
  <c r="DW24" i="65"/>
  <c r="JJ471" i="2"/>
  <c r="AE24" i="65"/>
  <c r="GL24" i="65" s="1"/>
  <c r="DW23" i="65"/>
  <c r="AI23" i="65"/>
  <c r="IF472" i="2"/>
  <c r="CC22" i="65"/>
  <c r="HC22" i="65" s="1"/>
  <c r="GH22" i="65"/>
  <c r="GJ473" i="2"/>
  <c r="DU19" i="65"/>
  <c r="HR19" i="65" s="1"/>
  <c r="FJ473" i="2"/>
  <c r="DM18" i="65"/>
  <c r="HJ18" i="65" s="1"/>
  <c r="EN473" i="2"/>
  <c r="DU16" i="65"/>
  <c r="HR16" i="65" s="1"/>
  <c r="EJ472" i="2"/>
  <c r="BY16" i="65"/>
  <c r="GY16" i="65" s="1"/>
  <c r="ED471" i="2"/>
  <c r="W16" i="65"/>
  <c r="GF16" i="65" s="1"/>
  <c r="AI15" i="65"/>
  <c r="HN14" i="65"/>
  <c r="HC14" i="65"/>
  <c r="CU14" i="65"/>
  <c r="GA13" i="65"/>
  <c r="GA12" i="65"/>
  <c r="L474" i="2"/>
  <c r="FU8" i="65"/>
  <c r="EI7" i="65"/>
  <c r="L472" i="2"/>
  <c r="CO8" i="65"/>
  <c r="AW7" i="65"/>
  <c r="GR10" i="65"/>
  <c r="BN10" i="65"/>
  <c r="HH10" i="65"/>
  <c r="DI10" i="65"/>
  <c r="GF15" i="65"/>
  <c r="HY14" i="65"/>
  <c r="CE14" i="65"/>
  <c r="FM13" i="65"/>
  <c r="CE13" i="65"/>
  <c r="FM12" i="65"/>
  <c r="FG7" i="65"/>
  <c r="AG7" i="65"/>
  <c r="EJ10" i="65"/>
  <c r="CU10" i="65"/>
  <c r="GD40" i="65"/>
  <c r="AI40" i="65"/>
  <c r="SH472" i="2"/>
  <c r="BC39" i="65"/>
  <c r="GU39" i="65" s="1"/>
  <c r="GJ39" i="65"/>
  <c r="IG38" i="65"/>
  <c r="HN38" i="65"/>
  <c r="SB472" i="2"/>
  <c r="BM38" i="65"/>
  <c r="HC38" i="65" s="1"/>
  <c r="GU38" i="65"/>
  <c r="GJ38" i="65"/>
  <c r="RJ474" i="2"/>
  <c r="EW37" i="65"/>
  <c r="IG37" i="65" s="1"/>
  <c r="RB474" i="2"/>
  <c r="EO37" i="65"/>
  <c r="HY37" i="65" s="1"/>
  <c r="HN37" i="65"/>
  <c r="DW36" i="65"/>
  <c r="AI36" i="65"/>
  <c r="DW35" i="65"/>
  <c r="QD471" i="2"/>
  <c r="AE35" i="65"/>
  <c r="GL35" i="65" s="1"/>
  <c r="PT471" i="2"/>
  <c r="U35" i="65"/>
  <c r="GD35" i="65" s="1"/>
  <c r="DW34" i="65"/>
  <c r="AI34" i="65"/>
  <c r="DW33" i="65"/>
  <c r="AI33" i="65"/>
  <c r="DW32" i="65"/>
  <c r="AI32" i="65"/>
  <c r="HH31" i="65"/>
  <c r="DI31" i="65"/>
  <c r="GW31" i="65"/>
  <c r="GL31" i="65"/>
  <c r="GD31" i="65"/>
  <c r="S31" i="65"/>
  <c r="IA30" i="65"/>
  <c r="HP30" i="65"/>
  <c r="HH30" i="65"/>
  <c r="DI30" i="65"/>
  <c r="GW30" i="65"/>
  <c r="IE29" i="65"/>
  <c r="HW29" i="65"/>
  <c r="EY29" i="65"/>
  <c r="HL29" i="65"/>
  <c r="MB472" i="2"/>
  <c r="BA29" i="65"/>
  <c r="BA7" i="65" s="1"/>
  <c r="GH29" i="65"/>
  <c r="LV474" i="2"/>
  <c r="EU28" i="65"/>
  <c r="IE28" i="65" s="1"/>
  <c r="LL474" i="2"/>
  <c r="EM28" i="65"/>
  <c r="BO28" i="65"/>
  <c r="GH28" i="65"/>
  <c r="EY27" i="65"/>
  <c r="HL27" i="65"/>
  <c r="HA27" i="65"/>
  <c r="GS27" i="65"/>
  <c r="BO27" i="65"/>
  <c r="GH27" i="65"/>
  <c r="EY26" i="65"/>
  <c r="HV474" i="2"/>
  <c r="FQ22" i="65"/>
  <c r="HY22" i="65" s="1"/>
  <c r="HN22" i="65"/>
  <c r="ID472" i="2"/>
  <c r="CQ22" i="65"/>
  <c r="HA22" i="65" s="1"/>
  <c r="HT472" i="2"/>
  <c r="CG22" i="65"/>
  <c r="HV471" i="2"/>
  <c r="G22" i="65"/>
  <c r="GF22" i="65" s="1"/>
  <c r="EK21" i="65"/>
  <c r="AY21" i="65"/>
  <c r="GT474" i="2"/>
  <c r="FS20" i="65"/>
  <c r="GX473" i="2"/>
  <c r="EG20" i="65"/>
  <c r="HP20" i="65" s="1"/>
  <c r="GN473" i="2"/>
  <c r="DY20" i="65"/>
  <c r="AY20" i="65"/>
  <c r="EK19" i="65"/>
  <c r="AY19" i="65"/>
  <c r="EK18" i="65"/>
  <c r="AY18" i="65"/>
  <c r="EK17" i="65"/>
  <c r="AY17" i="65"/>
  <c r="HP16" i="65"/>
  <c r="EB471" i="2"/>
  <c r="AK16" i="65"/>
  <c r="GD16" i="65" s="1"/>
  <c r="EK15" i="65"/>
  <c r="DV471" i="2"/>
  <c r="AU15" i="65"/>
  <c r="AU7" i="65" s="1"/>
  <c r="DL471" i="2"/>
  <c r="AK15" i="65"/>
  <c r="GD15" i="65" s="1"/>
  <c r="FM14" i="65"/>
  <c r="GS14" i="65"/>
  <c r="CP474" i="2"/>
  <c r="EU13" i="65"/>
  <c r="IE13" i="65" s="1"/>
  <c r="HW13" i="65"/>
  <c r="GS13" i="65"/>
  <c r="BO13" i="65"/>
  <c r="HW12" i="65"/>
  <c r="EY12" i="65"/>
  <c r="BB471" i="2"/>
  <c r="G11" i="65"/>
  <c r="GF11" i="65" s="1"/>
  <c r="AF471" i="2"/>
  <c r="Q9" i="65"/>
  <c r="GN9" i="65" s="1"/>
  <c r="V471" i="2"/>
  <c r="G9" i="65"/>
  <c r="GF9" i="65" s="1"/>
  <c r="HR8" i="65"/>
  <c r="HJ8" i="65"/>
  <c r="GN8" i="65"/>
  <c r="GF8" i="65"/>
  <c r="DV10" i="65"/>
  <c r="CE10" i="65"/>
  <c r="GM25" i="65"/>
  <c r="GM23" i="65"/>
  <c r="GG22" i="65"/>
  <c r="GE18" i="65"/>
  <c r="GI17" i="65"/>
  <c r="GM16" i="65"/>
  <c r="GE16" i="65"/>
  <c r="GI15" i="65"/>
  <c r="AX14" i="65"/>
  <c r="AX12" i="65"/>
  <c r="HH41" i="65"/>
  <c r="GW41" i="65"/>
  <c r="GL41" i="65"/>
  <c r="GD41" i="65"/>
  <c r="S41" i="65"/>
  <c r="IA40" i="65"/>
  <c r="HP40" i="65"/>
  <c r="HH40" i="65"/>
  <c r="DI40" i="65"/>
  <c r="GW40" i="65"/>
  <c r="GL40" i="65"/>
  <c r="C40" i="65"/>
  <c r="S40" i="65"/>
  <c r="IA39" i="65"/>
  <c r="CU38" i="65"/>
  <c r="GA37" i="65"/>
  <c r="GD37" i="65"/>
  <c r="IA36" i="65"/>
  <c r="HP36" i="65"/>
  <c r="HH36" i="65"/>
  <c r="GW36" i="65"/>
  <c r="GL36" i="65"/>
  <c r="GD36" i="65"/>
  <c r="IA35" i="65"/>
  <c r="HP35" i="65"/>
  <c r="HH35" i="65"/>
  <c r="GW35" i="65"/>
  <c r="IA34" i="65"/>
  <c r="HP34" i="65"/>
  <c r="HH34" i="65"/>
  <c r="DI34" i="65"/>
  <c r="GW34" i="65"/>
  <c r="GL34" i="65"/>
  <c r="GD34" i="65"/>
  <c r="S34" i="65"/>
  <c r="C34" i="65"/>
  <c r="IA33" i="65"/>
  <c r="HP33" i="65"/>
  <c r="HH33" i="65"/>
  <c r="DI33" i="65"/>
  <c r="GW33" i="65"/>
  <c r="GL33" i="65"/>
  <c r="GD33" i="65"/>
  <c r="S33" i="65"/>
  <c r="IA32" i="65"/>
  <c r="HP32" i="65"/>
  <c r="HH32" i="65"/>
  <c r="GW32" i="65"/>
  <c r="GL32" i="65"/>
  <c r="GD32" i="65"/>
  <c r="S32" i="65"/>
  <c r="GN26" i="65"/>
  <c r="HR25" i="65"/>
  <c r="AY22" i="65"/>
  <c r="DW21" i="65"/>
  <c r="AI21" i="65"/>
  <c r="DW20" i="65"/>
  <c r="AI20" i="65"/>
  <c r="AI19" i="65"/>
  <c r="AI18" i="65"/>
  <c r="DW17" i="65"/>
  <c r="AI17" i="65"/>
  <c r="EK16" i="65"/>
  <c r="GL16" i="65"/>
  <c r="DW15" i="65"/>
  <c r="S15" i="65"/>
  <c r="HW14" i="65"/>
  <c r="EY14" i="65"/>
  <c r="HL14" i="65"/>
  <c r="HA14" i="65"/>
  <c r="EK12" i="65"/>
  <c r="AY12" i="65"/>
  <c r="EK11" i="65"/>
  <c r="AY11" i="65"/>
  <c r="EK9" i="65"/>
  <c r="AY9" i="65"/>
  <c r="EK8" i="65"/>
  <c r="AY8" i="65"/>
  <c r="HG10" i="65"/>
  <c r="DH10" i="65"/>
  <c r="GS10" i="65"/>
  <c r="BO10" i="65"/>
  <c r="GH42" i="65"/>
  <c r="IE41" i="65"/>
  <c r="HW41" i="65"/>
  <c r="EY41" i="65"/>
  <c r="HN39" i="65"/>
  <c r="CE39" i="65"/>
  <c r="FM38" i="65"/>
  <c r="CE38" i="65"/>
  <c r="FM37" i="65"/>
  <c r="HC23" i="65"/>
  <c r="GU23" i="65"/>
  <c r="GJ23" i="65"/>
  <c r="IG22" i="65"/>
  <c r="BO22" i="65"/>
  <c r="GD22" i="65"/>
  <c r="IA21" i="65"/>
  <c r="HP21" i="65"/>
  <c r="HH21" i="65"/>
  <c r="DI21" i="65"/>
  <c r="GW21" i="65"/>
  <c r="GL21" i="65"/>
  <c r="C21" i="65"/>
  <c r="GD21" i="65"/>
  <c r="S21" i="65"/>
  <c r="DI20" i="65"/>
  <c r="GW20" i="65"/>
  <c r="GL20" i="65"/>
  <c r="GD20" i="65"/>
  <c r="S20" i="65"/>
  <c r="IA19" i="65"/>
  <c r="HP19" i="65"/>
  <c r="HH19" i="65"/>
  <c r="DI19" i="65"/>
  <c r="GW19" i="65"/>
  <c r="GL19" i="65"/>
  <c r="GD19" i="65"/>
  <c r="S19" i="65"/>
  <c r="IA18" i="65"/>
  <c r="HP18" i="65"/>
  <c r="HH18" i="65"/>
  <c r="DI18" i="65"/>
  <c r="GW18" i="65"/>
  <c r="GL18" i="65"/>
  <c r="GD18" i="65"/>
  <c r="IA17" i="65"/>
  <c r="HP17" i="65"/>
  <c r="DI17" i="65"/>
  <c r="HH17" i="65"/>
  <c r="GL17" i="65"/>
  <c r="GD17" i="65"/>
  <c r="S17" i="65"/>
  <c r="C17" i="65"/>
  <c r="IA16" i="65"/>
  <c r="HH16" i="65"/>
  <c r="GW16" i="65"/>
  <c r="IA15" i="65"/>
  <c r="HP15" i="65"/>
  <c r="HH15" i="65"/>
  <c r="DI15" i="65"/>
  <c r="GW15" i="65"/>
  <c r="GF14" i="65"/>
  <c r="DW12" i="65"/>
  <c r="AI12" i="65"/>
  <c r="DW11" i="65"/>
  <c r="AI11" i="65"/>
  <c r="DW9" i="65"/>
  <c r="AI9" i="65"/>
  <c r="FE7" i="65"/>
  <c r="DK7" i="65"/>
  <c r="DW8" i="65"/>
  <c r="BW7" i="65"/>
  <c r="AI8" i="65"/>
  <c r="FZ10" i="65"/>
  <c r="AY10" i="65"/>
  <c r="GS39" i="65"/>
  <c r="HW38" i="65"/>
  <c r="EY38" i="65"/>
  <c r="GS38" i="65"/>
  <c r="HW37" i="65"/>
  <c r="GY29" i="65"/>
  <c r="GN29" i="65"/>
  <c r="GF29" i="65"/>
  <c r="IC28" i="65"/>
  <c r="HR28" i="65"/>
  <c r="HJ28" i="65"/>
  <c r="GY28" i="65"/>
  <c r="GN28" i="65"/>
  <c r="GF28" i="65"/>
  <c r="IC27" i="65"/>
  <c r="HR27" i="65"/>
  <c r="HJ27" i="65"/>
  <c r="GY27" i="65"/>
  <c r="GN27" i="65"/>
  <c r="GF27" i="65"/>
  <c r="IC26" i="65"/>
  <c r="HR26" i="65"/>
  <c r="AY26" i="65"/>
  <c r="HP25" i="65"/>
  <c r="CU25" i="65"/>
  <c r="GA24" i="65"/>
  <c r="GA23" i="65"/>
  <c r="CU23" i="65"/>
  <c r="FM22" i="65"/>
  <c r="HC18" i="65"/>
  <c r="HH12" i="65"/>
  <c r="DI12" i="65"/>
  <c r="GD12" i="65"/>
  <c r="C12" i="65"/>
  <c r="S12" i="65"/>
  <c r="HH11" i="65"/>
  <c r="DI11" i="65"/>
  <c r="GD11" i="65"/>
  <c r="HH9" i="65"/>
  <c r="DI9" i="65"/>
  <c r="GD9" i="65"/>
  <c r="IA8" i="65"/>
  <c r="HP8" i="65"/>
  <c r="HH8" i="65"/>
  <c r="DI8" i="65"/>
  <c r="GW8" i="65"/>
  <c r="GL8" i="65"/>
  <c r="FL10" i="65"/>
  <c r="AI10" i="65"/>
  <c r="GC44" i="65"/>
  <c r="R44" i="65"/>
  <c r="GK42" i="65"/>
  <c r="GC42" i="65"/>
  <c r="R42" i="65"/>
  <c r="GG41" i="65"/>
  <c r="GK40" i="65"/>
  <c r="GC40" i="65"/>
  <c r="R40" i="65"/>
  <c r="GG39" i="65"/>
  <c r="GK38" i="65"/>
  <c r="GC38" i="65"/>
  <c r="R38" i="65"/>
  <c r="GK36" i="65"/>
  <c r="GC36" i="65"/>
  <c r="R36" i="65"/>
  <c r="GG35" i="65"/>
  <c r="GK34" i="65"/>
  <c r="GC34" i="65"/>
  <c r="R34" i="65"/>
  <c r="GG33" i="65"/>
  <c r="GK32" i="65"/>
  <c r="GC32" i="65"/>
  <c r="R32" i="65"/>
  <c r="B32" i="65"/>
  <c r="GG31" i="65"/>
  <c r="AH29" i="65"/>
  <c r="AH27" i="65"/>
  <c r="AH25" i="65"/>
  <c r="GK23" i="65"/>
  <c r="AH23" i="65"/>
  <c r="AX22" i="65"/>
  <c r="AH20" i="65"/>
  <c r="GK18" i="65"/>
  <c r="R18" i="65"/>
  <c r="GC18" i="65"/>
  <c r="GG17" i="65"/>
  <c r="GK16" i="65"/>
  <c r="GC16" i="65"/>
  <c r="R16" i="65"/>
  <c r="AX9" i="65"/>
  <c r="AP7" i="65"/>
  <c r="GA45" i="65"/>
  <c r="CE45" i="65"/>
  <c r="AI44" i="65"/>
  <c r="CU43" i="65"/>
  <c r="HC41" i="65"/>
  <c r="GU41" i="65"/>
  <c r="GJ41" i="65"/>
  <c r="IG40" i="65"/>
  <c r="HY40" i="65"/>
  <c r="HN40" i="65"/>
  <c r="HC40" i="65"/>
  <c r="GU40" i="65"/>
  <c r="GJ40" i="65"/>
  <c r="IG39" i="65"/>
  <c r="HY39" i="65"/>
  <c r="HJ37" i="65"/>
  <c r="IG36" i="65"/>
  <c r="HY36" i="65"/>
  <c r="HN36" i="65"/>
  <c r="HC36" i="65"/>
  <c r="GU36" i="65"/>
  <c r="GJ36" i="65"/>
  <c r="IG35" i="65"/>
  <c r="HY35" i="65"/>
  <c r="HN35" i="65"/>
  <c r="HC35" i="65"/>
  <c r="GU35" i="65"/>
  <c r="GJ35" i="65"/>
  <c r="IG34" i="65"/>
  <c r="HY34" i="65"/>
  <c r="HN34" i="65"/>
  <c r="HC34" i="65"/>
  <c r="GU34" i="65"/>
  <c r="GJ34" i="65"/>
  <c r="IG33" i="65"/>
  <c r="HY33" i="65"/>
  <c r="HN33" i="65"/>
  <c r="HC33" i="65"/>
  <c r="GU33" i="65"/>
  <c r="GJ33" i="65"/>
  <c r="IG32" i="65"/>
  <c r="HY32" i="65"/>
  <c r="HN32" i="65"/>
  <c r="HC32" i="65"/>
  <c r="GU32" i="65"/>
  <c r="GJ32" i="65"/>
  <c r="CU31" i="65"/>
  <c r="CU30" i="65"/>
  <c r="EK29" i="65"/>
  <c r="AY29" i="65"/>
  <c r="AY28" i="65"/>
  <c r="AY27" i="65"/>
  <c r="DW26" i="65"/>
  <c r="AI26" i="65"/>
  <c r="CE25" i="65"/>
  <c r="FM24" i="65"/>
  <c r="CE24" i="65"/>
  <c r="FM23" i="65"/>
  <c r="CE23" i="65"/>
  <c r="HW22" i="65"/>
  <c r="GN22" i="65"/>
  <c r="HR14" i="65"/>
  <c r="HJ14" i="65"/>
  <c r="GY14" i="65"/>
  <c r="AY14" i="65"/>
  <c r="EK13" i="65"/>
  <c r="AY13" i="65"/>
  <c r="CI7" i="65"/>
  <c r="AS7" i="65"/>
  <c r="HV10" i="65"/>
  <c r="EX10" i="65"/>
  <c r="GD10" i="65"/>
  <c r="C10" i="65"/>
  <c r="S10" i="65"/>
  <c r="GD8" i="65"/>
  <c r="R8" i="65"/>
  <c r="S8" i="65"/>
  <c r="E7" i="65"/>
  <c r="OD473" i="2"/>
  <c r="LR472" i="2"/>
  <c r="SB471" i="2"/>
  <c r="QT474" i="2"/>
  <c r="OX474" i="2"/>
  <c r="PT474" i="2"/>
  <c r="PN472" i="2"/>
  <c r="OX472" i="2"/>
  <c r="LF471" i="2"/>
  <c r="QD474" i="2"/>
  <c r="PT472" i="2"/>
  <c r="IF473" i="2"/>
  <c r="EA472" i="2"/>
  <c r="DW474" i="2"/>
  <c r="OM473" i="2"/>
  <c r="NQ473" i="2"/>
  <c r="IY473" i="2"/>
  <c r="HS473" i="2"/>
  <c r="GI474" i="2"/>
  <c r="JW473" i="2"/>
  <c r="MA471" i="2"/>
  <c r="JY471" i="2"/>
  <c r="HS471" i="2"/>
  <c r="CQ471" i="2"/>
  <c r="CG471" i="2"/>
  <c r="BK471" i="2"/>
  <c r="WH472" i="2"/>
  <c r="UT471" i="2"/>
  <c r="GZ474" i="2"/>
  <c r="GV473" i="2"/>
  <c r="EN474" i="2"/>
  <c r="EN472" i="2"/>
  <c r="ED472" i="2"/>
  <c r="UY474" i="2"/>
  <c r="SM474" i="2"/>
  <c r="SA474" i="2"/>
  <c r="RQ474" i="2"/>
  <c r="SE473" i="2"/>
  <c r="RU473" i="2"/>
  <c r="RG473" i="2"/>
  <c r="QO473" i="2"/>
  <c r="QC473" i="2"/>
  <c r="PS473" i="2"/>
  <c r="PI473" i="2"/>
  <c r="OW473" i="2"/>
  <c r="NG473" i="2"/>
  <c r="MW473" i="2"/>
  <c r="MK473" i="2"/>
  <c r="MA473" i="2"/>
  <c r="LE473" i="2"/>
  <c r="KK473" i="2"/>
  <c r="JI473" i="2"/>
  <c r="GW473" i="2"/>
  <c r="GM473" i="2"/>
  <c r="EW473" i="2"/>
  <c r="DQ473" i="2"/>
  <c r="WI472" i="2"/>
  <c r="VY472" i="2"/>
  <c r="US472" i="2"/>
  <c r="TC472" i="2"/>
  <c r="SQ472" i="2"/>
  <c r="SG472" i="2"/>
  <c r="RW472" i="2"/>
  <c r="VX472" i="2"/>
  <c r="UD471" i="2"/>
  <c r="SR471" i="2"/>
  <c r="IA474" i="2"/>
  <c r="GU474" i="2"/>
  <c r="FY474" i="2"/>
  <c r="FO474" i="2"/>
  <c r="DM474" i="2"/>
  <c r="CM474" i="2"/>
  <c r="BG474" i="2"/>
  <c r="BA471" i="2"/>
  <c r="VX474" i="2"/>
  <c r="PY474" i="2"/>
  <c r="OS474" i="2"/>
  <c r="MM474" i="2"/>
  <c r="MC474" i="2"/>
  <c r="LS474" i="2"/>
  <c r="LG474" i="2"/>
  <c r="KW474" i="2"/>
  <c r="KM474" i="2"/>
  <c r="KA474" i="2"/>
  <c r="JQ474" i="2"/>
  <c r="JG474" i="2"/>
  <c r="NW472" i="2"/>
  <c r="LU472" i="2"/>
  <c r="LK472" i="2"/>
  <c r="KE472" i="2"/>
  <c r="IY472" i="2"/>
  <c r="IC472" i="2"/>
  <c r="FQ472" i="2"/>
  <c r="FG472" i="2"/>
  <c r="EK472" i="2"/>
  <c r="CU472" i="2"/>
  <c r="US471" i="2"/>
  <c r="TF472" i="2"/>
  <c r="SF474" i="2"/>
  <c r="SF472" i="2"/>
  <c r="RZ474" i="2"/>
  <c r="RP474" i="2"/>
  <c r="QZ474" i="2"/>
  <c r="MT474" i="2"/>
  <c r="MZ473" i="2"/>
  <c r="LT472" i="2"/>
  <c r="LD474" i="2"/>
  <c r="KN474" i="2"/>
  <c r="JZ473" i="2"/>
  <c r="IC471" i="2"/>
  <c r="VO475" i="2"/>
  <c r="IB472" i="2"/>
  <c r="HP474" i="2"/>
  <c r="GJ474" i="2"/>
  <c r="GJ472" i="2"/>
  <c r="FJ474" i="2"/>
  <c r="FT472" i="2"/>
  <c r="FJ472" i="2"/>
  <c r="EJ475" i="2"/>
  <c r="QE474" i="2"/>
  <c r="OY474" i="2"/>
  <c r="OO474" i="2"/>
  <c r="OE474" i="2"/>
  <c r="MW474" i="2"/>
  <c r="MK474" i="2"/>
  <c r="MA474" i="2"/>
  <c r="LE474" i="2"/>
  <c r="KU474" i="2"/>
  <c r="JO474" i="2"/>
  <c r="JE474" i="2"/>
  <c r="IS474" i="2"/>
  <c r="QE472" i="2"/>
  <c r="PU472" i="2"/>
  <c r="OO472" i="2"/>
  <c r="MY472" i="2"/>
  <c r="LS472" i="2"/>
  <c r="LG472" i="2"/>
  <c r="KW472" i="2"/>
  <c r="KM472" i="2"/>
  <c r="JG472" i="2"/>
  <c r="IA472" i="2"/>
  <c r="GU472" i="2"/>
  <c r="EI472" i="2"/>
  <c r="DM472" i="2"/>
  <c r="CG472" i="2"/>
  <c r="BW472" i="2"/>
  <c r="BK472" i="2"/>
  <c r="WG471" i="2"/>
  <c r="VW471" i="2"/>
  <c r="VA471" i="2"/>
  <c r="UQ471" i="2"/>
  <c r="PS471" i="2"/>
  <c r="TD474" i="2"/>
  <c r="TD472" i="2"/>
  <c r="TH471" i="2"/>
  <c r="SN474" i="2"/>
  <c r="SR473" i="2"/>
  <c r="SH473" i="2"/>
  <c r="SH471" i="2"/>
  <c r="RX474" i="2"/>
  <c r="RX472" i="2"/>
  <c r="RR471" i="2"/>
  <c r="RF474" i="2"/>
  <c r="NH472" i="2"/>
  <c r="NN471" i="2"/>
  <c r="NB474" i="2"/>
  <c r="MR474" i="2"/>
  <c r="MX473" i="2"/>
  <c r="NB472" i="2"/>
  <c r="MR472" i="2"/>
  <c r="MH474" i="2"/>
  <c r="ML473" i="2"/>
  <c r="MB473" i="2"/>
  <c r="MB471" i="2"/>
  <c r="LV473" i="2"/>
  <c r="LL471" i="2"/>
  <c r="LF473" i="2"/>
  <c r="KV473" i="2"/>
  <c r="LB472" i="2"/>
  <c r="KP473" i="2"/>
  <c r="HV473" i="2"/>
  <c r="UM473" i="2"/>
  <c r="SW473" i="2"/>
  <c r="VP475" i="2"/>
  <c r="AB472" i="2"/>
  <c r="P471" i="2"/>
  <c r="EJ471" i="2"/>
  <c r="UQ474" i="2"/>
  <c r="UG474" i="2"/>
  <c r="TU474" i="2"/>
  <c r="TK474" i="2"/>
  <c r="TA474" i="2"/>
  <c r="SE474" i="2"/>
  <c r="PS474" i="2"/>
  <c r="WI474" i="2"/>
  <c r="OM474" i="2"/>
  <c r="NC474" i="2"/>
  <c r="LM474" i="2"/>
  <c r="KG474" i="2"/>
  <c r="GY474" i="2"/>
  <c r="GE474" i="2"/>
  <c r="FS474" i="2"/>
  <c r="CG474" i="2"/>
  <c r="BW474" i="2"/>
  <c r="BK474" i="2"/>
  <c r="BA474" i="2"/>
  <c r="S474" i="2"/>
  <c r="TC473" i="2"/>
  <c r="SG473" i="2"/>
  <c r="PU473" i="2"/>
  <c r="JK473" i="2"/>
  <c r="JA473" i="2"/>
  <c r="GY473" i="2"/>
  <c r="DS473" i="2"/>
  <c r="CM473" i="2"/>
  <c r="UK472" i="2"/>
  <c r="UA472" i="2"/>
  <c r="RY472" i="2"/>
  <c r="QC472" i="2"/>
  <c r="LQ472" i="2"/>
  <c r="KU472" i="2"/>
  <c r="JY472" i="2"/>
  <c r="HM472" i="2"/>
  <c r="HC472" i="2"/>
  <c r="GS472" i="2"/>
  <c r="GG472" i="2"/>
  <c r="FM472" i="2"/>
  <c r="FA472" i="2"/>
  <c r="CE472" i="2"/>
  <c r="BU472" i="2"/>
  <c r="BI472" i="2"/>
  <c r="AY472" i="2"/>
  <c r="O472" i="2"/>
  <c r="E472" i="2"/>
  <c r="WE471" i="2"/>
  <c r="SM471" i="2"/>
  <c r="SA471" i="2"/>
  <c r="QU471" i="2"/>
  <c r="NO471" i="2"/>
  <c r="MM471" i="2"/>
  <c r="KA471" i="2"/>
  <c r="IU471" i="2"/>
  <c r="IK471" i="2"/>
  <c r="HY471" i="2"/>
  <c r="GE471" i="2"/>
  <c r="VZ472" i="2"/>
  <c r="VJ471" i="2"/>
  <c r="TF473" i="2"/>
  <c r="SV473" i="2"/>
  <c r="SL474" i="2"/>
  <c r="SF473" i="2"/>
  <c r="SL472" i="2"/>
  <c r="RZ473" i="2"/>
  <c r="RV472" i="2"/>
  <c r="RH473" i="2"/>
  <c r="OJ473" i="2"/>
  <c r="MN474" i="2"/>
  <c r="MD474" i="2"/>
  <c r="MJ473" i="2"/>
  <c r="MD472" i="2"/>
  <c r="LN474" i="2"/>
  <c r="LN472" i="2"/>
  <c r="LT471" i="2"/>
  <c r="KX474" i="2"/>
  <c r="KH474" i="2"/>
  <c r="GV474" i="2"/>
  <c r="GF474" i="2"/>
  <c r="GF472" i="2"/>
  <c r="GJ471" i="2"/>
  <c r="FT473" i="2"/>
  <c r="DT472" i="2"/>
  <c r="DB471" i="2"/>
  <c r="CF474" i="2"/>
  <c r="CP472" i="2"/>
  <c r="BZ474" i="2"/>
  <c r="BX472" i="2"/>
  <c r="CB471" i="2"/>
  <c r="BH474" i="2"/>
  <c r="BH472" i="2"/>
  <c r="JW475" i="2"/>
  <c r="JK475" i="2"/>
  <c r="JA475" i="2"/>
  <c r="IQ475" i="2"/>
  <c r="VY474" i="2"/>
  <c r="RA474" i="2"/>
  <c r="QQ474" i="2"/>
  <c r="NA473" i="2"/>
  <c r="MQ473" i="2"/>
  <c r="GS473" i="2"/>
  <c r="E473" i="2"/>
  <c r="TG472" i="2"/>
  <c r="SW472" i="2"/>
  <c r="SM472" i="2"/>
  <c r="LU471" i="2"/>
  <c r="LK471" i="2"/>
  <c r="LA471" i="2"/>
  <c r="KE471" i="2"/>
  <c r="GG471" i="2"/>
  <c r="VX473" i="2"/>
  <c r="WH471" i="2"/>
  <c r="VR472" i="2"/>
  <c r="UJ471" i="2"/>
  <c r="PZ473" i="2"/>
  <c r="PZ471" i="2"/>
  <c r="PJ473" i="2"/>
  <c r="PD472" i="2"/>
  <c r="ON474" i="2"/>
  <c r="OT473" i="2"/>
  <c r="ON472" i="2"/>
  <c r="OH472" i="2"/>
  <c r="IB471" i="2"/>
  <c r="GX472" i="2"/>
  <c r="FN471" i="2"/>
  <c r="CH474" i="2"/>
  <c r="CH472" i="2"/>
  <c r="BJ474" i="2"/>
  <c r="AZ474" i="2"/>
  <c r="BJ472" i="2"/>
  <c r="AI475" i="2"/>
  <c r="MI475" i="2"/>
  <c r="LW475" i="2"/>
  <c r="LM475" i="2"/>
  <c r="LC475" i="2"/>
  <c r="KQ475" i="2"/>
  <c r="KG475" i="2"/>
  <c r="HO475" i="2"/>
  <c r="HE475" i="2"/>
  <c r="GU475" i="2"/>
  <c r="GI475" i="2"/>
  <c r="WJ475" i="2"/>
  <c r="VZ475" i="2"/>
  <c r="UL475" i="2"/>
  <c r="UB475" i="2"/>
  <c r="QR475" i="2"/>
  <c r="QB475" i="2"/>
  <c r="PL475" i="2"/>
  <c r="OV475" i="2"/>
  <c r="OF475" i="2"/>
  <c r="PU474" i="2"/>
  <c r="LQ474" i="2"/>
  <c r="CU474" i="2"/>
  <c r="PK472" i="2"/>
  <c r="OE472" i="2"/>
  <c r="MC472" i="2"/>
  <c r="GI472" i="2"/>
  <c r="FO472" i="2"/>
  <c r="I472" i="2"/>
  <c r="TU471" i="2"/>
  <c r="TK471" i="2"/>
  <c r="TA471" i="2"/>
  <c r="SE471" i="2"/>
  <c r="RA475" i="2"/>
  <c r="RA471" i="2"/>
  <c r="NG471" i="2"/>
  <c r="IC475" i="2"/>
  <c r="EG471" i="2"/>
  <c r="DK475" i="2"/>
  <c r="DA475" i="2"/>
  <c r="CO475" i="2"/>
  <c r="CE475" i="2"/>
  <c r="BU475" i="2"/>
  <c r="BI475" i="2"/>
  <c r="AY475" i="2"/>
  <c r="AO475" i="2"/>
  <c r="AA475" i="2"/>
  <c r="O475" i="2"/>
  <c r="E475" i="2"/>
  <c r="VD475" i="2"/>
  <c r="UR475" i="2"/>
  <c r="TT472" i="2"/>
  <c r="SX471" i="2"/>
  <c r="MH472" i="2"/>
  <c r="KP475" i="2"/>
  <c r="KF475" i="2"/>
  <c r="JV475" i="2"/>
  <c r="JF475" i="2"/>
  <c r="IP475" i="2"/>
  <c r="WC474" i="2"/>
  <c r="II474" i="2"/>
  <c r="HY474" i="2"/>
  <c r="HM474" i="2"/>
  <c r="GS474" i="2"/>
  <c r="GG474" i="2"/>
  <c r="FA474" i="2"/>
  <c r="BE474" i="2"/>
  <c r="K474" i="2"/>
  <c r="TG473" i="2"/>
  <c r="SM473" i="2"/>
  <c r="MS473" i="2"/>
  <c r="MI473" i="2"/>
  <c r="LW473" i="2"/>
  <c r="LC473" i="2"/>
  <c r="IU473" i="2"/>
  <c r="HO473" i="2"/>
  <c r="HE473" i="2"/>
  <c r="GU473" i="2"/>
  <c r="FO473" i="2"/>
  <c r="ES473" i="2"/>
  <c r="WG472" i="2"/>
  <c r="NA475" i="2"/>
  <c r="MQ475" i="2"/>
  <c r="WI475" i="2"/>
  <c r="VY471" i="2"/>
  <c r="VY475" i="2"/>
  <c r="VC475" i="2"/>
  <c r="US475" i="2"/>
  <c r="UI475" i="2"/>
  <c r="TW475" i="2"/>
  <c r="TM475" i="2"/>
  <c r="TC475" i="2"/>
  <c r="SQ475" i="2"/>
  <c r="SG475" i="2"/>
  <c r="RW475" i="2"/>
  <c r="RE471" i="2"/>
  <c r="RE475" i="2"/>
  <c r="QQ475" i="2"/>
  <c r="QE475" i="2"/>
  <c r="PU475" i="2"/>
  <c r="PK475" i="2"/>
  <c r="OY475" i="2"/>
  <c r="OO475" i="2"/>
  <c r="OE475" i="2"/>
  <c r="NS475" i="2"/>
  <c r="NI475" i="2"/>
  <c r="LM471" i="2"/>
  <c r="IE471" i="2"/>
  <c r="IE475" i="2"/>
  <c r="GI471" i="2"/>
  <c r="FY475" i="2"/>
  <c r="FO475" i="2"/>
  <c r="FC475" i="2"/>
  <c r="ES475" i="2"/>
  <c r="EI475" i="2"/>
  <c r="DW475" i="2"/>
  <c r="DM475" i="2"/>
  <c r="CO471" i="2"/>
  <c r="BI471" i="2"/>
  <c r="AY471" i="2"/>
  <c r="VZ471" i="2"/>
  <c r="VB474" i="2"/>
  <c r="UR474" i="2"/>
  <c r="UT473" i="2"/>
  <c r="TB475" i="2"/>
  <c r="RV475" i="2"/>
  <c r="QR471" i="2"/>
  <c r="QF474" i="2"/>
  <c r="QF472" i="2"/>
  <c r="QB471" i="2"/>
  <c r="OP474" i="2"/>
  <c r="OJ472" i="2"/>
  <c r="NP471" i="2"/>
  <c r="NP475" i="2"/>
  <c r="ND475" i="2"/>
  <c r="MT475" i="2"/>
  <c r="MN475" i="2"/>
  <c r="MD471" i="2"/>
  <c r="MD475" i="2"/>
  <c r="LX471" i="2"/>
  <c r="LX475" i="2"/>
  <c r="LN471" i="2"/>
  <c r="LN475" i="2"/>
  <c r="LH475" i="2"/>
  <c r="KX471" i="2"/>
  <c r="KX475" i="2"/>
  <c r="HL471" i="2"/>
  <c r="HL475" i="2"/>
  <c r="GV471" i="2"/>
  <c r="GV475" i="2"/>
  <c r="GF471" i="2"/>
  <c r="GF475" i="2"/>
  <c r="FP475" i="2"/>
  <c r="EZ475" i="2"/>
  <c r="DT475" i="2"/>
  <c r="DF475" i="2"/>
  <c r="CV475" i="2"/>
  <c r="CP475" i="2"/>
  <c r="CF475" i="2"/>
  <c r="BX475" i="2"/>
  <c r="BH475" i="2"/>
  <c r="AT475" i="2"/>
  <c r="AB475" i="2"/>
  <c r="L475" i="2"/>
  <c r="MY475" i="2"/>
  <c r="WG475" i="2"/>
  <c r="VW475" i="2"/>
  <c r="VM475" i="2"/>
  <c r="VA475" i="2"/>
  <c r="UQ475" i="2"/>
  <c r="UG475" i="2"/>
  <c r="TU475" i="2"/>
  <c r="TK475" i="2"/>
  <c r="TA475" i="2"/>
  <c r="SO475" i="2"/>
  <c r="SE475" i="2"/>
  <c r="RU475" i="2"/>
  <c r="QY475" i="2"/>
  <c r="QO475" i="2"/>
  <c r="QC475" i="2"/>
  <c r="PS475" i="2"/>
  <c r="PI475" i="2"/>
  <c r="OW475" i="2"/>
  <c r="OM475" i="2"/>
  <c r="OC475" i="2"/>
  <c r="NQ475" i="2"/>
  <c r="NG475" i="2"/>
  <c r="FW475" i="2"/>
  <c r="FM475" i="2"/>
  <c r="FA475" i="2"/>
  <c r="EQ475" i="2"/>
  <c r="EG475" i="2"/>
  <c r="DU475" i="2"/>
  <c r="TX475" i="2"/>
  <c r="TH475" i="2"/>
  <c r="SX475" i="2"/>
  <c r="SR475" i="2"/>
  <c r="SH475" i="2"/>
  <c r="SB475" i="2"/>
  <c r="RR475" i="2"/>
  <c r="NN475" i="2"/>
  <c r="NB475" i="2"/>
  <c r="MR475" i="2"/>
  <c r="ML475" i="2"/>
  <c r="MB475" i="2"/>
  <c r="LV475" i="2"/>
  <c r="LL475" i="2"/>
  <c r="LF475" i="2"/>
  <c r="KV475" i="2"/>
  <c r="IB475" i="2"/>
  <c r="HJ475" i="2"/>
  <c r="GT475" i="2"/>
  <c r="GD475" i="2"/>
  <c r="FN475" i="2"/>
  <c r="EX475" i="2"/>
  <c r="EH475" i="2"/>
  <c r="DR475" i="2"/>
  <c r="MG475" i="2"/>
  <c r="LU475" i="2"/>
  <c r="LK475" i="2"/>
  <c r="LA475" i="2"/>
  <c r="KO475" i="2"/>
  <c r="KE475" i="2"/>
  <c r="JU475" i="2"/>
  <c r="JI475" i="2"/>
  <c r="IY475" i="2"/>
  <c r="IO475" i="2"/>
  <c r="IA475" i="2"/>
  <c r="HM475" i="2"/>
  <c r="HC475" i="2"/>
  <c r="GS475" i="2"/>
  <c r="GG475" i="2"/>
  <c r="WH475" i="2"/>
  <c r="VX475" i="2"/>
  <c r="VN475" i="2"/>
  <c r="UJ475" i="2"/>
  <c r="QP475" i="2"/>
  <c r="PZ475" i="2"/>
  <c r="PJ475" i="2"/>
  <c r="OT475" i="2"/>
  <c r="OD475" i="2"/>
  <c r="DD475" i="2"/>
  <c r="CN475" i="2"/>
  <c r="BV475" i="2"/>
  <c r="BF475" i="2"/>
  <c r="AR475" i="2"/>
  <c r="Z475" i="2"/>
  <c r="J475" i="2"/>
  <c r="DG475" i="2"/>
  <c r="CW471" i="2"/>
  <c r="CW475" i="2"/>
  <c r="CM475" i="2"/>
  <c r="CA475" i="2"/>
  <c r="BQ475" i="2"/>
  <c r="BG475" i="2"/>
  <c r="AU471" i="2"/>
  <c r="AU475" i="2"/>
  <c r="AK475" i="2"/>
  <c r="Y475" i="2"/>
  <c r="M475" i="2"/>
  <c r="C475" i="2"/>
  <c r="VB471" i="2"/>
  <c r="VB475" i="2"/>
  <c r="RJ471" i="2"/>
  <c r="RJ475" i="2"/>
  <c r="KN475" i="2"/>
  <c r="KB475" i="2"/>
  <c r="JR475" i="2"/>
  <c r="JL473" i="2"/>
  <c r="JB473" i="2"/>
  <c r="JL471" i="2"/>
  <c r="JL475" i="2"/>
  <c r="JB475" i="2"/>
  <c r="IR474" i="2"/>
  <c r="IV475" i="2"/>
  <c r="IL475" i="2"/>
  <c r="IB474" i="2"/>
  <c r="DQ474" i="2"/>
  <c r="MW475" i="2"/>
  <c r="WE475" i="2"/>
  <c r="VS475" i="2"/>
  <c r="VI475" i="2"/>
  <c r="UY475" i="2"/>
  <c r="UM475" i="2"/>
  <c r="UC475" i="2"/>
  <c r="TS475" i="2"/>
  <c r="TG475" i="2"/>
  <c r="SW475" i="2"/>
  <c r="SM475" i="2"/>
  <c r="SA475" i="2"/>
  <c r="RQ475" i="2"/>
  <c r="QU475" i="2"/>
  <c r="QK475" i="2"/>
  <c r="QA475" i="2"/>
  <c r="PO475" i="2"/>
  <c r="PE475" i="2"/>
  <c r="OU475" i="2"/>
  <c r="OI475" i="2"/>
  <c r="NY475" i="2"/>
  <c r="NO475" i="2"/>
  <c r="HY475" i="2"/>
  <c r="FS475" i="2"/>
  <c r="FI475" i="2"/>
  <c r="EY475" i="2"/>
  <c r="EM475" i="2"/>
  <c r="EC475" i="2"/>
  <c r="DS475" i="2"/>
  <c r="TV475" i="2"/>
  <c r="TL475" i="2"/>
  <c r="TF475" i="2"/>
  <c r="SV475" i="2"/>
  <c r="SF475" i="2"/>
  <c r="RZ475" i="2"/>
  <c r="RP475" i="2"/>
  <c r="RH475" i="2"/>
  <c r="NJ475" i="2"/>
  <c r="MZ475" i="2"/>
  <c r="MJ475" i="2"/>
  <c r="LT475" i="2"/>
  <c r="LD475" i="2"/>
  <c r="JF474" i="2"/>
  <c r="HP475" i="2"/>
  <c r="HF475" i="2"/>
  <c r="GZ475" i="2"/>
  <c r="GP475" i="2"/>
  <c r="GJ475" i="2"/>
  <c r="FZ475" i="2"/>
  <c r="FT475" i="2"/>
  <c r="FJ475" i="2"/>
  <c r="FD475" i="2"/>
  <c r="ET475" i="2"/>
  <c r="EN475" i="2"/>
  <c r="ED475" i="2"/>
  <c r="DX475" i="2"/>
  <c r="DN475" i="2"/>
  <c r="MM475" i="2"/>
  <c r="MC475" i="2"/>
  <c r="LS475" i="2"/>
  <c r="LG475" i="2"/>
  <c r="KW475" i="2"/>
  <c r="KM475" i="2"/>
  <c r="KA475" i="2"/>
  <c r="JQ475" i="2"/>
  <c r="JG475" i="2"/>
  <c r="IU475" i="2"/>
  <c r="IK475" i="2"/>
  <c r="HK475" i="2"/>
  <c r="GY475" i="2"/>
  <c r="GO475" i="2"/>
  <c r="GE475" i="2"/>
  <c r="WF475" i="2"/>
  <c r="VT475" i="2"/>
  <c r="VJ475" i="2"/>
  <c r="UH475" i="2"/>
  <c r="RF475" i="2"/>
  <c r="QV475" i="2"/>
  <c r="QL475" i="2"/>
  <c r="QF475" i="2"/>
  <c r="PV475" i="2"/>
  <c r="PP475" i="2"/>
  <c r="PF475" i="2"/>
  <c r="OZ475" i="2"/>
  <c r="OP475" i="2"/>
  <c r="OJ475" i="2"/>
  <c r="NZ475" i="2"/>
  <c r="HV475" i="2"/>
  <c r="CL475" i="2"/>
  <c r="CB475" i="2"/>
  <c r="BR475" i="2"/>
  <c r="BL475" i="2"/>
  <c r="BB475" i="2"/>
  <c r="AP475" i="2"/>
  <c r="AF475" i="2"/>
  <c r="V475" i="2"/>
  <c r="P475" i="2"/>
  <c r="F475" i="2"/>
  <c r="HU475" i="2"/>
  <c r="DE475" i="2"/>
  <c r="CU475" i="2"/>
  <c r="CK475" i="2"/>
  <c r="BY475" i="2"/>
  <c r="BO475" i="2"/>
  <c r="BE475" i="2"/>
  <c r="AS475" i="2"/>
  <c r="AE475" i="2"/>
  <c r="U475" i="2"/>
  <c r="K475" i="2"/>
  <c r="UZ475" i="2"/>
  <c r="KL475" i="2"/>
  <c r="JZ475" i="2"/>
  <c r="JP475" i="2"/>
  <c r="JJ475" i="2"/>
  <c r="IZ475" i="2"/>
  <c r="IT475" i="2"/>
  <c r="IJ475" i="2"/>
  <c r="DL475" i="2"/>
  <c r="NC475" i="2"/>
  <c r="MS475" i="2"/>
  <c r="WC475" i="2"/>
  <c r="VQ475" i="2"/>
  <c r="VG475" i="2"/>
  <c r="UW475" i="2"/>
  <c r="UK475" i="2"/>
  <c r="UA475" i="2"/>
  <c r="TQ475" i="2"/>
  <c r="TE475" i="2"/>
  <c r="SU475" i="2"/>
  <c r="SK475" i="2"/>
  <c r="RY475" i="2"/>
  <c r="RO475" i="2"/>
  <c r="QS475" i="2"/>
  <c r="QI475" i="2"/>
  <c r="PY475" i="2"/>
  <c r="PM475" i="2"/>
  <c r="PC475" i="2"/>
  <c r="OS475" i="2"/>
  <c r="OG475" i="2"/>
  <c r="NW475" i="2"/>
  <c r="NM475" i="2"/>
  <c r="FQ475" i="2"/>
  <c r="FG475" i="2"/>
  <c r="EW475" i="2"/>
  <c r="EK475" i="2"/>
  <c r="EA475" i="2"/>
  <c r="DQ475" i="2"/>
  <c r="TD475" i="2"/>
  <c r="SN475" i="2"/>
  <c r="RX475" i="2"/>
  <c r="RB475" i="2"/>
  <c r="NR475" i="2"/>
  <c r="NH475" i="2"/>
  <c r="MX475" i="2"/>
  <c r="MH475" i="2"/>
  <c r="LR475" i="2"/>
  <c r="LB475" i="2"/>
  <c r="HT475" i="2"/>
  <c r="HN475" i="2"/>
  <c r="HD475" i="2"/>
  <c r="GX475" i="2"/>
  <c r="GN475" i="2"/>
  <c r="GH475" i="2"/>
  <c r="FX475" i="2"/>
  <c r="FR475" i="2"/>
  <c r="FH475" i="2"/>
  <c r="FB475" i="2"/>
  <c r="ER475" i="2"/>
  <c r="EL475" i="2"/>
  <c r="EB475" i="2"/>
  <c r="DV475" i="2"/>
  <c r="RI475" i="2"/>
  <c r="MK475" i="2"/>
  <c r="MA475" i="2"/>
  <c r="LQ475" i="2"/>
  <c r="LE475" i="2"/>
  <c r="KU475" i="2"/>
  <c r="KK475" i="2"/>
  <c r="JY475" i="2"/>
  <c r="JO475" i="2"/>
  <c r="JE475" i="2"/>
  <c r="IS475" i="2"/>
  <c r="II475" i="2"/>
  <c r="HS475" i="2"/>
  <c r="HI475" i="2"/>
  <c r="GW475" i="2"/>
  <c r="GM475" i="2"/>
  <c r="GC475" i="2"/>
  <c r="WD475" i="2"/>
  <c r="VR475" i="2"/>
  <c r="VH475" i="2"/>
  <c r="UN475" i="2"/>
  <c r="UD475" i="2"/>
  <c r="QZ475" i="2"/>
  <c r="QT475" i="2"/>
  <c r="QJ475" i="2"/>
  <c r="QD475" i="2"/>
  <c r="PT475" i="2"/>
  <c r="PN475" i="2"/>
  <c r="PD475" i="2"/>
  <c r="OX475" i="2"/>
  <c r="ON475" i="2"/>
  <c r="OH475" i="2"/>
  <c r="NX475" i="2"/>
  <c r="DH475" i="2"/>
  <c r="CX475" i="2"/>
  <c r="CR475" i="2"/>
  <c r="CH475" i="2"/>
  <c r="BZ475" i="2"/>
  <c r="BP475" i="2"/>
  <c r="BJ475" i="2"/>
  <c r="AZ475" i="2"/>
  <c r="AV475" i="2"/>
  <c r="AL475" i="2"/>
  <c r="AD475" i="2"/>
  <c r="T475" i="2"/>
  <c r="N475" i="2"/>
  <c r="D475" i="2"/>
  <c r="RG475" i="2"/>
  <c r="DC475" i="2"/>
  <c r="CQ475" i="2"/>
  <c r="CG475" i="2"/>
  <c r="BW475" i="2"/>
  <c r="BK475" i="2"/>
  <c r="BA475" i="2"/>
  <c r="AQ475" i="2"/>
  <c r="AC475" i="2"/>
  <c r="S475" i="2"/>
  <c r="I475" i="2"/>
  <c r="UT475" i="2"/>
  <c r="KR475" i="2"/>
  <c r="KH475" i="2"/>
  <c r="JX475" i="2"/>
  <c r="JH475" i="2"/>
  <c r="IR475" i="2"/>
  <c r="IF475" i="2"/>
  <c r="AJ475" i="2"/>
  <c r="OH474" i="2"/>
  <c r="KL472" i="2"/>
  <c r="KF471" i="2"/>
  <c r="JV474" i="2"/>
  <c r="JV471" i="2"/>
  <c r="JJ474" i="2"/>
  <c r="JF471" i="2"/>
  <c r="IT474" i="2"/>
  <c r="ID474" i="2"/>
  <c r="HT474" i="2"/>
  <c r="CF471" i="2"/>
  <c r="BL472" i="2"/>
  <c r="BH471" i="2"/>
  <c r="HN472" i="2"/>
  <c r="HD472" i="2"/>
  <c r="HJ471" i="2"/>
  <c r="GN474" i="2"/>
  <c r="GH474" i="2"/>
  <c r="FX474" i="2"/>
  <c r="GD473" i="2"/>
  <c r="GH472" i="2"/>
  <c r="FR474" i="2"/>
  <c r="FH474" i="2"/>
  <c r="FN473" i="2"/>
  <c r="EX473" i="2"/>
  <c r="FB472" i="2"/>
  <c r="EL472" i="2"/>
  <c r="EB472" i="2"/>
  <c r="BL471" i="2"/>
  <c r="SG474" i="2"/>
  <c r="TU473" i="2"/>
  <c r="OC473" i="2"/>
  <c r="KU473" i="2"/>
  <c r="IC473" i="2"/>
  <c r="HI473" i="2"/>
  <c r="FQ473" i="2"/>
  <c r="KB473" i="2"/>
  <c r="K79" i="25"/>
  <c r="JU473" i="2"/>
  <c r="HS472" i="2"/>
  <c r="WI471" i="2"/>
  <c r="SQ471" i="2"/>
  <c r="SG471" i="2"/>
  <c r="QE471" i="2"/>
  <c r="FW474" i="2"/>
  <c r="FM474" i="2"/>
  <c r="EQ474" i="2"/>
  <c r="AS474" i="2"/>
  <c r="WI473" i="2"/>
  <c r="VY473" i="2"/>
  <c r="SA473" i="2"/>
  <c r="RQ473" i="2"/>
  <c r="RE473" i="2"/>
  <c r="QA473" i="2"/>
  <c r="KQ473" i="2"/>
  <c r="KG473" i="2"/>
  <c r="JG473" i="2"/>
  <c r="IA473" i="2"/>
  <c r="CG473" i="2"/>
  <c r="UQ472" i="2"/>
  <c r="JA471" i="2"/>
  <c r="O471" i="2"/>
  <c r="E471" i="2"/>
  <c r="WF474" i="2"/>
  <c r="VD471" i="2"/>
  <c r="QB473" i="2"/>
  <c r="NZ472" i="2"/>
  <c r="IJ472" i="2"/>
  <c r="CV471" i="2"/>
  <c r="CP471" i="2"/>
  <c r="BL474" i="2"/>
  <c r="BB472" i="2"/>
  <c r="JI472" i="2"/>
  <c r="FP471" i="2"/>
  <c r="RO474" i="2"/>
  <c r="HC474" i="2"/>
  <c r="EG474" i="2"/>
  <c r="CK474" i="2"/>
  <c r="AE474" i="2"/>
  <c r="U474" i="2"/>
  <c r="UY473" i="2"/>
  <c r="UC473" i="2"/>
  <c r="OU473" i="2"/>
  <c r="NO473" i="2"/>
  <c r="NC473" i="2"/>
  <c r="IK473" i="2"/>
  <c r="CQ473" i="2"/>
  <c r="VW472" i="2"/>
  <c r="SE472" i="2"/>
  <c r="CQ472" i="2"/>
  <c r="JW471" i="2"/>
  <c r="JK471" i="2"/>
  <c r="DA471" i="2"/>
  <c r="WF472" i="2"/>
  <c r="WJ471" i="2"/>
  <c r="UR471" i="2"/>
  <c r="OZ474" i="2"/>
  <c r="KF473" i="2"/>
  <c r="IZ474" i="2"/>
  <c r="IJ474" i="2"/>
  <c r="IT472" i="2"/>
  <c r="ID471" i="2"/>
  <c r="CP473" i="2"/>
  <c r="CF473" i="2"/>
  <c r="RG474" i="2"/>
  <c r="JJ472" i="2"/>
  <c r="SN472" i="2"/>
  <c r="IZ472" i="2"/>
  <c r="CE471" i="2"/>
  <c r="QC471" i="2"/>
  <c r="FM471" i="2"/>
  <c r="SF471" i="2"/>
  <c r="JX472" i="2"/>
  <c r="CM471" i="2"/>
  <c r="NG474" i="2"/>
  <c r="KK474" i="2"/>
  <c r="JY474" i="2"/>
  <c r="VC474" i="2"/>
  <c r="RW474" i="2"/>
  <c r="NH474" i="2"/>
  <c r="HD474" i="2"/>
  <c r="VB473" i="2"/>
  <c r="UJ473" i="2"/>
  <c r="TN471" i="2"/>
  <c r="PD474" i="2"/>
  <c r="NN473" i="2"/>
  <c r="LR474" i="2"/>
  <c r="GN472" i="2"/>
  <c r="GT471" i="2"/>
  <c r="UW473" i="2"/>
  <c r="QS473" i="2"/>
  <c r="MG473" i="2"/>
  <c r="KE473" i="2"/>
  <c r="PN474" i="2"/>
  <c r="VQ472" i="2"/>
  <c r="GY471" i="2"/>
  <c r="GO471" i="2"/>
  <c r="NA474" i="2"/>
  <c r="HI474" i="2"/>
  <c r="PO474" i="2"/>
  <c r="Y474" i="2"/>
  <c r="FG471" i="2"/>
  <c r="VN472" i="2"/>
  <c r="GD474" i="2"/>
  <c r="WH474" i="2"/>
  <c r="MN473" i="2"/>
  <c r="OJ474" i="2"/>
  <c r="PI474" i="2"/>
  <c r="MQ474" i="2"/>
  <c r="UG473" i="2"/>
  <c r="TK473" i="2"/>
  <c r="QY473" i="2"/>
  <c r="IO473" i="2"/>
  <c r="FG473" i="2"/>
  <c r="OF471" i="2"/>
  <c r="GZ473" i="2"/>
  <c r="OP473" i="2"/>
  <c r="JX471" i="2"/>
  <c r="GT473" i="2"/>
  <c r="DH474" i="2"/>
  <c r="AB474" i="2"/>
  <c r="S18" i="35"/>
  <c r="EA473" i="2"/>
  <c r="CK473" i="2"/>
  <c r="BO473" i="2"/>
  <c r="QU472" i="2"/>
  <c r="NS472" i="2"/>
  <c r="NT473" i="2"/>
  <c r="JP471" i="2"/>
  <c r="HN474" i="2"/>
  <c r="EL473" i="2"/>
  <c r="TX471" i="2"/>
  <c r="KB471" i="2"/>
  <c r="HF474" i="2"/>
  <c r="EZ471" i="2"/>
  <c r="ED474" i="2"/>
  <c r="BV474" i="2"/>
  <c r="AF474" i="2"/>
  <c r="RY474" i="2"/>
  <c r="HU474" i="2"/>
  <c r="EM474" i="2"/>
  <c r="AC474" i="2"/>
  <c r="CU473" i="2"/>
  <c r="OY472" i="2"/>
  <c r="TS471" i="2"/>
  <c r="M7" i="2"/>
  <c r="BH7" i="39" s="1"/>
  <c r="PJ474" i="2"/>
  <c r="P474" i="2"/>
  <c r="OW474" i="2"/>
  <c r="AA474" i="2"/>
  <c r="BY473" i="2"/>
  <c r="K473" i="2"/>
  <c r="VC472" i="2"/>
  <c r="FI471" i="2"/>
  <c r="E10" i="2"/>
  <c r="V7" i="39" s="1"/>
  <c r="UR473" i="2"/>
  <c r="RB473" i="2"/>
  <c r="PF474" i="2"/>
  <c r="ER474" i="2"/>
  <c r="OC474" i="2"/>
  <c r="NY474" i="2"/>
  <c r="DS474" i="2"/>
  <c r="DT474" i="2"/>
  <c r="DU474" i="2"/>
  <c r="DK474" i="2"/>
  <c r="F474" i="2"/>
  <c r="OV473" i="2"/>
  <c r="SX474" i="2"/>
  <c r="EW474" i="2"/>
  <c r="FW471" i="2"/>
  <c r="CL474" i="2"/>
  <c r="OD471" i="2"/>
  <c r="GW471" i="2"/>
  <c r="GM471" i="2"/>
  <c r="GO474" i="2"/>
  <c r="GP474" i="2"/>
  <c r="GM474" i="2"/>
  <c r="GP473" i="2"/>
  <c r="GO473" i="2"/>
  <c r="NR472" i="2"/>
  <c r="NQ472" i="2"/>
  <c r="NG472" i="2"/>
  <c r="NI472" i="2"/>
  <c r="QK471" i="2"/>
  <c r="QL471" i="2"/>
  <c r="KO473" i="2"/>
  <c r="ES474" i="2"/>
  <c r="FB474" i="2"/>
  <c r="EX474" i="2"/>
  <c r="MY474" i="2"/>
  <c r="MS474" i="2"/>
  <c r="WD474" i="2"/>
  <c r="JH474" i="2"/>
  <c r="NS474" i="2"/>
  <c r="NI474" i="2"/>
  <c r="NM474" i="2"/>
  <c r="QJ474" i="2"/>
  <c r="TB474" i="2"/>
  <c r="AA6" i="61"/>
  <c r="AR474" i="2"/>
  <c r="AP474" i="2"/>
  <c r="RV474" i="2"/>
  <c r="HO474" i="2"/>
  <c r="HE474" i="2"/>
  <c r="HL474" i="2"/>
  <c r="VA474" i="2"/>
  <c r="UT474" i="2"/>
  <c r="UZ474" i="2"/>
  <c r="UW474" i="2"/>
  <c r="US474" i="2"/>
  <c r="PM474" i="2"/>
  <c r="PL474" i="2"/>
  <c r="PC474" i="2"/>
  <c r="PK474" i="2"/>
  <c r="EI474" i="2"/>
  <c r="EK474" i="2"/>
  <c r="EL474" i="2"/>
  <c r="EJ474" i="2"/>
  <c r="EA474" i="2"/>
  <c r="EB474" i="2"/>
  <c r="TN474" i="2"/>
  <c r="TQ474" i="2"/>
  <c r="TW474" i="2"/>
  <c r="TM474" i="2"/>
  <c r="EZ474" i="2"/>
  <c r="FD474" i="2"/>
  <c r="ET474" i="2"/>
  <c r="FC474" i="2"/>
  <c r="DA474" i="2"/>
  <c r="CX474" i="2"/>
  <c r="CW474" i="2"/>
  <c r="CV474" i="2"/>
  <c r="DG473" i="2"/>
  <c r="CW473" i="2"/>
  <c r="DD473" i="2"/>
  <c r="CV473" i="2"/>
  <c r="DC473" i="2"/>
  <c r="N474" i="2"/>
  <c r="D474" i="2"/>
  <c r="M474" i="2"/>
  <c r="C474" i="2"/>
  <c r="O474" i="2"/>
  <c r="E474" i="2"/>
  <c r="LB474" i="2"/>
  <c r="LH474" i="2"/>
  <c r="BB474" i="2"/>
  <c r="CA474" i="2"/>
  <c r="BQ474" i="2"/>
  <c r="BP474" i="2"/>
  <c r="BY474" i="2"/>
  <c r="BU474" i="2"/>
  <c r="CB474" i="2"/>
  <c r="BR474" i="2"/>
  <c r="BO474" i="2"/>
  <c r="FZ473" i="2"/>
  <c r="PY471" i="2"/>
  <c r="PM471" i="2"/>
  <c r="TX472" i="2"/>
  <c r="SB474" i="2"/>
  <c r="RR472" i="2"/>
  <c r="PJ472" i="2"/>
  <c r="NB471" i="2"/>
  <c r="UM474" i="2"/>
  <c r="UC474" i="2"/>
  <c r="TG474" i="2"/>
  <c r="SW474" i="2"/>
  <c r="LW474" i="2"/>
  <c r="GW472" i="2"/>
  <c r="HN473" i="2"/>
  <c r="FX473" i="2"/>
  <c r="TE474" i="2"/>
  <c r="SU474" i="2"/>
  <c r="LK474" i="2"/>
  <c r="FI473" i="2"/>
  <c r="DW473" i="2"/>
  <c r="DM473" i="2"/>
  <c r="T474" i="2"/>
  <c r="JF473" i="2"/>
  <c r="TS473" i="2"/>
  <c r="QU473" i="2"/>
  <c r="QK473" i="2"/>
  <c r="PO473" i="2"/>
  <c r="PE473" i="2"/>
  <c r="OI473" i="2"/>
  <c r="NY473" i="2"/>
  <c r="LM473" i="2"/>
  <c r="GI473" i="2"/>
  <c r="FY473" i="2"/>
  <c r="FC473" i="2"/>
  <c r="CA473" i="2"/>
  <c r="BQ473" i="2"/>
  <c r="JQ473" i="2"/>
  <c r="VQ471" i="2"/>
  <c r="VG471" i="2"/>
  <c r="GV472" i="2"/>
  <c r="AI474" i="2"/>
  <c r="QI473" i="2"/>
  <c r="DB473" i="2"/>
  <c r="GP471" i="2"/>
  <c r="GO472" i="2"/>
  <c r="GX471" i="2"/>
  <c r="VI474" i="2"/>
  <c r="WE474" i="2"/>
  <c r="TS474" i="2"/>
  <c r="RE474" i="2"/>
  <c r="QU474" i="2"/>
  <c r="QK474" i="2"/>
  <c r="JW474" i="2"/>
  <c r="HK474" i="2"/>
  <c r="EY474" i="2"/>
  <c r="CQ474" i="2"/>
  <c r="UK473" i="2"/>
  <c r="SK473" i="2"/>
  <c r="PY473" i="2"/>
  <c r="OS473" i="2"/>
  <c r="FM473" i="2"/>
  <c r="EQ473" i="2"/>
  <c r="DE473" i="2"/>
  <c r="VO472" i="2"/>
  <c r="UI472" i="2"/>
  <c r="TM472" i="2"/>
  <c r="PE472" i="2"/>
  <c r="JW472" i="2"/>
  <c r="CW472" i="2"/>
  <c r="JR473" i="2"/>
  <c r="HP473" i="2"/>
  <c r="HF473" i="2"/>
  <c r="GZ471" i="2"/>
  <c r="FJ471" i="2"/>
  <c r="FD473" i="2"/>
  <c r="ET473" i="2"/>
  <c r="DX474" i="2"/>
  <c r="DN474" i="2"/>
  <c r="DT473" i="2"/>
  <c r="DT471" i="2"/>
  <c r="DF474" i="2"/>
  <c r="F472" i="2"/>
  <c r="GU471" i="2"/>
  <c r="UN473" i="2"/>
  <c r="UJ472" i="2"/>
  <c r="ON473" i="2"/>
  <c r="MB474" i="2"/>
  <c r="MH473" i="2"/>
  <c r="JV472" i="2"/>
  <c r="IP474" i="2"/>
  <c r="BZ473" i="2"/>
  <c r="V474" i="2"/>
  <c r="L473" i="2"/>
  <c r="BV473" i="2"/>
  <c r="DE474" i="2"/>
  <c r="VC473" i="2"/>
  <c r="EM473" i="2"/>
  <c r="AQ473" i="2"/>
  <c r="PM472" i="2"/>
  <c r="PC472" i="2"/>
  <c r="VC471" i="2"/>
  <c r="OE471" i="2"/>
  <c r="IQ471" i="2"/>
  <c r="UD473" i="2"/>
  <c r="TT474" i="2"/>
  <c r="OD474" i="2"/>
  <c r="OH473" i="2"/>
  <c r="NX473" i="2"/>
  <c r="HJ474" i="2"/>
  <c r="EJ473" i="2"/>
  <c r="DD474" i="2"/>
  <c r="AV473" i="2"/>
  <c r="DC474" i="2"/>
  <c r="AO474" i="2"/>
  <c r="US473" i="2"/>
  <c r="PK473" i="2"/>
  <c r="OE473" i="2"/>
  <c r="LG473" i="2"/>
  <c r="GE473" i="2"/>
  <c r="DV474" i="2"/>
  <c r="DL474" i="2"/>
  <c r="AT474" i="2"/>
  <c r="IU472" i="2"/>
  <c r="IK472" i="2"/>
  <c r="FC472" i="2"/>
  <c r="BA472" i="2"/>
  <c r="UG471" i="2"/>
  <c r="RU471" i="2"/>
  <c r="JU471" i="2"/>
  <c r="GS471" i="2"/>
  <c r="TR474" i="2"/>
  <c r="TF474" i="2"/>
  <c r="SV474" i="2"/>
  <c r="RH474" i="2"/>
  <c r="QV472" i="2"/>
  <c r="PP474" i="2"/>
  <c r="NJ474" i="2"/>
  <c r="ND474" i="2"/>
  <c r="IL474" i="2"/>
  <c r="IF474" i="2"/>
  <c r="HP472" i="2"/>
  <c r="FZ474" i="2"/>
  <c r="FT474" i="2"/>
  <c r="EZ473" i="2"/>
  <c r="EH473" i="2"/>
  <c r="DX471" i="2"/>
  <c r="EK473" i="2"/>
  <c r="DU473" i="2"/>
  <c r="DK473" i="2"/>
  <c r="DA473" i="2"/>
  <c r="AO473" i="2"/>
  <c r="QQ472" i="2"/>
  <c r="MQ471" i="2"/>
  <c r="WH473" i="2"/>
  <c r="WD472" i="2"/>
  <c r="VN471" i="2"/>
  <c r="TH473" i="2"/>
  <c r="RJ473" i="2"/>
  <c r="MT471" i="2"/>
  <c r="LT474" i="2"/>
  <c r="DN473" i="2"/>
  <c r="CL473" i="2"/>
  <c r="BL473" i="2"/>
  <c r="P473" i="2"/>
  <c r="F473" i="2"/>
  <c r="TC474" i="2"/>
  <c r="PE471" i="2"/>
  <c r="NX474" i="2"/>
  <c r="QO472" i="2"/>
  <c r="QP471" i="2"/>
  <c r="KL474" i="2"/>
  <c r="BP473" i="2"/>
  <c r="AI473" i="2"/>
  <c r="Y473" i="2"/>
  <c r="NA471" i="2"/>
  <c r="ND471" i="2"/>
  <c r="DH471" i="2"/>
  <c r="BF472" i="2"/>
  <c r="T473" i="2"/>
  <c r="RY473" i="2"/>
  <c r="LA473" i="2"/>
  <c r="HY473" i="2"/>
  <c r="UZ473" i="2"/>
  <c r="VD472" i="2"/>
  <c r="UT472" i="2"/>
  <c r="UL472" i="2"/>
  <c r="TV474" i="2"/>
  <c r="TL474" i="2"/>
  <c r="QL473" i="2"/>
  <c r="PV471" i="2"/>
  <c r="PL472" i="2"/>
  <c r="OV474" i="2"/>
  <c r="OZ473" i="2"/>
  <c r="OF474" i="2"/>
  <c r="OJ471" i="2"/>
  <c r="NZ471" i="2"/>
  <c r="NJ473" i="2"/>
  <c r="LX474" i="2"/>
  <c r="KR472" i="2"/>
  <c r="IV473" i="2"/>
  <c r="IL473" i="2"/>
  <c r="IR472" i="2"/>
  <c r="IL471" i="2"/>
  <c r="DD472" i="2"/>
  <c r="SR474" i="2"/>
  <c r="SH474" i="2"/>
  <c r="SP474" i="2"/>
  <c r="SK474" i="2"/>
  <c r="SO473" i="2"/>
  <c r="QO471" i="2"/>
  <c r="MR473" i="2"/>
  <c r="NB473" i="2"/>
  <c r="ND473" i="2"/>
  <c r="PV474" i="2"/>
  <c r="JE473" i="2"/>
  <c r="NH473" i="2"/>
  <c r="NS473" i="2"/>
  <c r="NI473" i="2"/>
  <c r="NP473" i="2"/>
  <c r="EB473" i="2"/>
  <c r="FR473" i="2"/>
  <c r="FP473" i="2"/>
  <c r="FS473" i="2"/>
  <c r="FH473" i="2"/>
  <c r="JP473" i="2"/>
  <c r="KA473" i="2"/>
  <c r="JU472" i="2"/>
  <c r="JR472" i="2"/>
  <c r="JP472" i="2"/>
  <c r="JZ472" i="2"/>
  <c r="KA472" i="2"/>
  <c r="JQ472" i="2"/>
  <c r="KB472" i="2"/>
  <c r="JZ471" i="2"/>
  <c r="DV473" i="2"/>
  <c r="DL473" i="2"/>
  <c r="DR473" i="2"/>
  <c r="DX473" i="2"/>
  <c r="HJ473" i="2"/>
  <c r="HD473" i="2"/>
  <c r="HM473" i="2"/>
  <c r="HL473" i="2"/>
  <c r="HK473" i="2"/>
  <c r="HC473" i="2"/>
  <c r="DB474" i="2"/>
  <c r="BG473" i="2"/>
  <c r="BB473" i="2"/>
  <c r="BI473" i="2"/>
  <c r="AY473" i="2"/>
  <c r="BE473" i="2"/>
  <c r="BA473" i="2"/>
  <c r="BF473" i="2"/>
  <c r="BH473" i="2"/>
  <c r="BK473" i="2"/>
  <c r="QV474" i="2"/>
  <c r="QP474" i="2"/>
  <c r="QS474" i="2"/>
  <c r="QL474" i="2"/>
  <c r="QI474" i="2"/>
  <c r="QR473" i="2"/>
  <c r="QJ473" i="2"/>
  <c r="QT473" i="2"/>
  <c r="QQ473" i="2"/>
  <c r="QI472" i="2"/>
  <c r="QL472" i="2"/>
  <c r="MJ474" i="2"/>
  <c r="MG474" i="2"/>
  <c r="MI474" i="2"/>
  <c r="GC473" i="2"/>
  <c r="FW473" i="2"/>
  <c r="GH473" i="2"/>
  <c r="GF473" i="2"/>
  <c r="GG473" i="2"/>
  <c r="VW473" i="2"/>
  <c r="WE473" i="2"/>
  <c r="VZ473" i="2"/>
  <c r="WC473" i="2"/>
  <c r="WD473" i="2"/>
  <c r="WJ473" i="2"/>
  <c r="WG473" i="2"/>
  <c r="IQ474" i="2"/>
  <c r="IO474" i="2"/>
  <c r="IK474" i="2"/>
  <c r="IU474" i="2"/>
  <c r="IS473" i="2"/>
  <c r="RW473" i="2"/>
  <c r="RV473" i="2"/>
  <c r="SB473" i="2"/>
  <c r="RR473" i="2"/>
  <c r="RO473" i="2"/>
  <c r="RX473" i="2"/>
  <c r="UJ474" i="2"/>
  <c r="UN474" i="2"/>
  <c r="UK474" i="2"/>
  <c r="UA474" i="2"/>
  <c r="UH474" i="2"/>
  <c r="UI474" i="2"/>
  <c r="UI473" i="2"/>
  <c r="UB473" i="2"/>
  <c r="UL473" i="2"/>
  <c r="KR473" i="2"/>
  <c r="KL473" i="2"/>
  <c r="KH473" i="2"/>
  <c r="KM473" i="2"/>
  <c r="RI473" i="2"/>
  <c r="RA473" i="2"/>
  <c r="RF473" i="2"/>
  <c r="VH472" i="2"/>
  <c r="VM472" i="2"/>
  <c r="VJ472" i="2"/>
  <c r="VT472" i="2"/>
  <c r="VR471" i="2"/>
  <c r="VH471" i="2"/>
  <c r="VM471" i="2"/>
  <c r="VO471" i="2"/>
  <c r="VP471" i="2"/>
  <c r="FB473" i="2"/>
  <c r="ER473" i="2"/>
  <c r="FA473" i="2"/>
  <c r="EY473" i="2"/>
  <c r="OG474" i="2"/>
  <c r="NW474" i="2"/>
  <c r="NZ474" i="2"/>
  <c r="AZ20" i="35"/>
  <c r="OF473" i="2"/>
  <c r="OG473" i="2"/>
  <c r="NW473" i="2"/>
  <c r="AQ474" i="2"/>
  <c r="AV474" i="2"/>
  <c r="AL474" i="2"/>
  <c r="AJ474" i="2"/>
  <c r="I20" i="35"/>
  <c r="AL473" i="2"/>
  <c r="AJ473" i="2"/>
  <c r="AT473" i="2"/>
  <c r="AU473" i="2"/>
  <c r="AK473" i="2"/>
  <c r="AR473" i="2"/>
  <c r="BW473" i="2"/>
  <c r="BX473" i="2"/>
  <c r="BU473" i="2"/>
  <c r="BR473" i="2"/>
  <c r="IE473" i="2"/>
  <c r="HU473" i="2"/>
  <c r="IB473" i="2"/>
  <c r="TQ473" i="2"/>
  <c r="TX473" i="2"/>
  <c r="TW473" i="2"/>
  <c r="TM473" i="2"/>
  <c r="TV473" i="2"/>
  <c r="UQ473" i="2"/>
  <c r="VA473" i="2"/>
  <c r="UX473" i="2"/>
  <c r="CL472" i="2"/>
  <c r="CK472" i="2"/>
  <c r="CL471" i="2"/>
  <c r="CK471" i="2"/>
  <c r="PN473" i="2"/>
  <c r="PD473" i="2"/>
  <c r="PF473" i="2"/>
  <c r="PP473" i="2"/>
  <c r="PL473" i="2"/>
  <c r="PP472" i="2"/>
  <c r="PI472" i="2"/>
  <c r="PF472" i="2"/>
  <c r="PP471" i="2"/>
  <c r="PN471" i="2"/>
  <c r="PC471" i="2"/>
  <c r="PJ471" i="2"/>
  <c r="PF471" i="2"/>
  <c r="LT473" i="2"/>
  <c r="LU473" i="2"/>
  <c r="LK473" i="2"/>
  <c r="LS473" i="2"/>
  <c r="LQ473" i="2"/>
  <c r="LL473" i="2"/>
  <c r="LX473" i="2"/>
  <c r="LN473" i="2"/>
  <c r="DF473" i="2"/>
  <c r="TE473" i="2"/>
  <c r="SX473" i="2"/>
  <c r="SU473" i="2"/>
  <c r="TD473" i="2"/>
  <c r="TB473" i="2"/>
  <c r="I473" i="2"/>
  <c r="V6" i="61"/>
  <c r="O473" i="2"/>
  <c r="J473" i="2"/>
  <c r="MM473" i="2"/>
  <c r="MC473" i="2"/>
  <c r="MD473" i="2"/>
  <c r="OU474" i="2"/>
  <c r="U6" i="61"/>
  <c r="OY473" i="2"/>
  <c r="OO473" i="2"/>
  <c r="OX473" i="2"/>
  <c r="LB473" i="2"/>
  <c r="LH473" i="2"/>
  <c r="KX473" i="2"/>
  <c r="GM472" i="2"/>
  <c r="GZ472" i="2"/>
  <c r="GP472" i="2"/>
  <c r="GY472" i="2"/>
  <c r="GT472" i="2"/>
  <c r="PD471" i="2"/>
  <c r="PL471" i="2"/>
  <c r="PK471" i="2"/>
  <c r="PI471" i="2"/>
  <c r="SA472" i="2"/>
  <c r="RU472" i="2"/>
  <c r="RP472" i="2"/>
  <c r="RZ472" i="2"/>
  <c r="VA472" i="2"/>
  <c r="VB472" i="2"/>
  <c r="UX472" i="2"/>
  <c r="UZ472" i="2"/>
  <c r="UY472" i="2"/>
  <c r="UR472" i="2"/>
  <c r="UM472" i="2"/>
  <c r="UH472" i="2"/>
  <c r="UG472" i="2"/>
  <c r="UC472" i="2"/>
  <c r="WD471" i="2"/>
  <c r="SK472" i="2"/>
  <c r="SO472" i="2"/>
  <c r="SP472" i="2"/>
  <c r="QS472" i="2"/>
  <c r="QT472" i="2"/>
  <c r="QJ472" i="2"/>
  <c r="QK472" i="2"/>
  <c r="QT471" i="2"/>
  <c r="QS471" i="2"/>
  <c r="QI471" i="2"/>
  <c r="QQ471" i="2"/>
  <c r="QJ471" i="2"/>
  <c r="FZ472" i="2"/>
  <c r="FW472" i="2"/>
  <c r="H20" i="35"/>
  <c r="AB6" i="61"/>
  <c r="Z6" i="61"/>
  <c r="TV472" i="2"/>
  <c r="TL472" i="2"/>
  <c r="OT474" i="2"/>
  <c r="ML474" i="2"/>
  <c r="JZ474" i="2"/>
  <c r="AS473" i="2"/>
  <c r="AE473" i="2"/>
  <c r="U473" i="2"/>
  <c r="HO471" i="2"/>
  <c r="MZ471" i="2"/>
  <c r="IJ471" i="2"/>
  <c r="NO472" i="2"/>
  <c r="Y472" i="2"/>
  <c r="C472" i="2"/>
  <c r="UW471" i="2"/>
  <c r="OG471" i="2"/>
  <c r="NW471" i="2"/>
  <c r="CB472" i="2"/>
  <c r="BX471" i="2"/>
  <c r="AT471" i="2"/>
  <c r="FR471" i="2"/>
  <c r="AP473" i="2"/>
  <c r="AB473" i="2"/>
  <c r="IQ473" i="2"/>
  <c r="AC473" i="2"/>
  <c r="DK471" i="2"/>
  <c r="PV472" i="2"/>
  <c r="NJ472" i="2"/>
  <c r="ND472" i="2"/>
  <c r="KH471" i="2"/>
  <c r="IL472" i="2"/>
  <c r="Z473" i="2"/>
  <c r="FY472" i="2"/>
  <c r="AA473" i="2"/>
  <c r="AV472" i="2"/>
  <c r="AL472" i="2"/>
  <c r="AF473" i="2"/>
  <c r="IQ472" i="2"/>
  <c r="M472" i="2"/>
  <c r="KK471" i="2"/>
  <c r="FQ471" i="2"/>
  <c r="MZ472" i="2"/>
  <c r="KH472" i="2"/>
  <c r="KN471" i="2"/>
  <c r="GC472" i="2"/>
  <c r="GD472" i="2"/>
  <c r="B36" i="45"/>
  <c r="NM472" i="2"/>
  <c r="NN472" i="2"/>
  <c r="NP472" i="2"/>
  <c r="FD472" i="2"/>
  <c r="ET472" i="2"/>
  <c r="FB471" i="2"/>
  <c r="FA471" i="2"/>
  <c r="JE472" i="2"/>
  <c r="JF472" i="2"/>
  <c r="JE471" i="2"/>
  <c r="PY472" i="2"/>
  <c r="PZ472" i="2"/>
  <c r="PU471" i="2"/>
  <c r="IP473" i="2"/>
  <c r="IO471" i="2"/>
  <c r="IP471" i="2"/>
  <c r="IT473" i="2"/>
  <c r="IJ473" i="2"/>
  <c r="IR473" i="2"/>
  <c r="II473" i="2"/>
  <c r="IP472" i="2"/>
  <c r="IV472" i="2"/>
  <c r="IO472" i="2"/>
  <c r="IR471" i="2"/>
  <c r="II471" i="2"/>
  <c r="IT471" i="2"/>
  <c r="IV471" i="2"/>
  <c r="IS471" i="2"/>
  <c r="MX472" i="2"/>
  <c r="NA472" i="2"/>
  <c r="NC472" i="2"/>
  <c r="MS472" i="2"/>
  <c r="MT472" i="2"/>
  <c r="MQ472" i="2"/>
  <c r="MS471" i="2"/>
  <c r="MX471" i="2"/>
  <c r="MW471" i="2"/>
  <c r="FO471" i="2"/>
  <c r="EI471" i="2"/>
  <c r="AQ472" i="2"/>
  <c r="AJ472" i="2"/>
  <c r="S473" i="2"/>
  <c r="V473" i="2"/>
  <c r="BE472" i="2"/>
  <c r="DS472" i="2"/>
  <c r="DX472" i="2"/>
  <c r="DN472" i="2"/>
  <c r="DL472" i="2"/>
  <c r="DW472" i="2"/>
  <c r="DV472" i="2"/>
  <c r="DQ472" i="2"/>
  <c r="DU471" i="2"/>
  <c r="DN471" i="2"/>
  <c r="DM471" i="2"/>
  <c r="DR471" i="2"/>
  <c r="DW471" i="2"/>
  <c r="Q17" i="35"/>
  <c r="P17" i="35"/>
  <c r="DH472" i="2"/>
  <c r="DA472" i="2"/>
  <c r="DE472" i="2"/>
  <c r="DC472" i="2"/>
  <c r="DG472" i="2"/>
  <c r="CX472" i="2"/>
  <c r="DC471" i="2"/>
  <c r="DF471" i="2"/>
  <c r="DG471" i="2"/>
  <c r="DD471" i="2"/>
  <c r="TU472" i="2"/>
  <c r="TK472" i="2"/>
  <c r="N472" i="2"/>
  <c r="P472" i="2"/>
  <c r="D472" i="2"/>
  <c r="K472" i="2"/>
  <c r="HE472" i="2"/>
  <c r="HF472" i="2"/>
  <c r="HI472" i="2"/>
  <c r="HJ472" i="2"/>
  <c r="HL472" i="2"/>
  <c r="HO472" i="2"/>
  <c r="HK472" i="2"/>
  <c r="HI471" i="2"/>
  <c r="HP471" i="2"/>
  <c r="HE471" i="2"/>
  <c r="HF471" i="2"/>
  <c r="HM471" i="2"/>
  <c r="HN471" i="2"/>
  <c r="KQ472" i="2"/>
  <c r="KG472" i="2"/>
  <c r="KN472" i="2"/>
  <c r="KO472" i="2"/>
  <c r="KP472" i="2"/>
  <c r="KF472" i="2"/>
  <c r="KO471" i="2"/>
  <c r="KR471" i="2"/>
  <c r="KG471" i="2"/>
  <c r="KQ471" i="2"/>
  <c r="KL471" i="2"/>
  <c r="NT471" i="2"/>
  <c r="NJ471" i="2"/>
  <c r="NM471" i="2"/>
  <c r="NS471" i="2"/>
  <c r="NI471" i="2"/>
  <c r="NH471" i="2"/>
  <c r="NR471" i="2"/>
  <c r="TQ472" i="2"/>
  <c r="BY471" i="2"/>
  <c r="BO471" i="2"/>
  <c r="TR472" i="2"/>
  <c r="LD471" i="2"/>
  <c r="BV472" i="2"/>
  <c r="BZ471" i="2"/>
  <c r="BP471" i="2"/>
  <c r="AT472" i="2"/>
  <c r="Z472" i="2"/>
  <c r="OI472" i="2"/>
  <c r="NY472" i="2"/>
  <c r="TQ471" i="2"/>
  <c r="RY471" i="2"/>
  <c r="RO471" i="2"/>
  <c r="TH472" i="2"/>
  <c r="OH471" i="2"/>
  <c r="TW472" i="2"/>
  <c r="OG472" i="2"/>
  <c r="TW471" i="2"/>
  <c r="TN472" i="2"/>
  <c r="LF472" i="2"/>
  <c r="KV472" i="2"/>
  <c r="LB471" i="2"/>
  <c r="V472" i="2"/>
  <c r="TR471" i="2"/>
  <c r="RV471" i="2"/>
  <c r="AR471" i="2"/>
  <c r="UL471" i="2"/>
  <c r="UB471" i="2"/>
  <c r="OZ472" i="2"/>
  <c r="OP472" i="2"/>
  <c r="OV471" i="2"/>
  <c r="MN471" i="2"/>
  <c r="LD472" i="2"/>
  <c r="AP471" i="2"/>
  <c r="NX472" i="2"/>
  <c r="UY471" i="2"/>
  <c r="LV471" i="2"/>
  <c r="TE472" i="2"/>
  <c r="OW472" i="2"/>
  <c r="OM472" i="2"/>
  <c r="OC472" i="2"/>
  <c r="LE472" i="2"/>
  <c r="AO472" i="2"/>
  <c r="OU471" i="2"/>
  <c r="OI471" i="2"/>
  <c r="NY471" i="2"/>
  <c r="LG471" i="2"/>
  <c r="AS471" i="2"/>
  <c r="U471" i="2"/>
  <c r="TB472" i="2"/>
  <c r="LH472" i="2"/>
  <c r="KX472" i="2"/>
  <c r="ER472" i="2"/>
  <c r="AV471" i="2"/>
  <c r="AL471" i="2"/>
  <c r="AD471" i="2"/>
  <c r="ES472" i="2"/>
  <c r="ES471" i="2"/>
  <c r="ET471" i="2"/>
  <c r="EW472" i="2"/>
  <c r="EX472" i="2"/>
  <c r="EX471" i="2"/>
  <c r="EW471" i="2"/>
  <c r="FC471" i="2"/>
  <c r="FD471" i="2"/>
  <c r="EZ472" i="2"/>
  <c r="EY472" i="2"/>
  <c r="EY471" i="2"/>
  <c r="EQ471" i="2"/>
  <c r="ER471" i="2"/>
  <c r="AR472" i="2"/>
  <c r="AU472" i="2"/>
  <c r="AS472" i="2"/>
  <c r="AP472" i="2"/>
  <c r="AI472" i="2"/>
  <c r="AK472" i="2"/>
  <c r="AI471" i="2"/>
  <c r="AK471" i="2"/>
  <c r="AQ471" i="2"/>
  <c r="AO471" i="2"/>
  <c r="AJ471" i="2"/>
  <c r="P6" i="61"/>
  <c r="LC472" i="2"/>
  <c r="LA472" i="2"/>
  <c r="AE472" i="2"/>
  <c r="AC472" i="2"/>
  <c r="S472" i="2"/>
  <c r="U472" i="2"/>
  <c r="AD472" i="2"/>
  <c r="T472" i="2"/>
  <c r="OT471" i="2"/>
  <c r="OU472" i="2"/>
  <c r="OT472" i="2"/>
  <c r="OS472" i="2"/>
  <c r="BZ472" i="2"/>
  <c r="O6" i="61"/>
  <c r="BO472" i="2"/>
  <c r="BP472" i="2"/>
  <c r="BY472" i="2"/>
  <c r="BQ472" i="2"/>
  <c r="BR472" i="2"/>
  <c r="CA472" i="2"/>
  <c r="BU471" i="2"/>
  <c r="BW471" i="2"/>
  <c r="BV471" i="2"/>
  <c r="OD472" i="2"/>
  <c r="SV471" i="2"/>
  <c r="TF471" i="2"/>
  <c r="TE471" i="2"/>
  <c r="SU472" i="2"/>
  <c r="SV472" i="2"/>
  <c r="TA472" i="2"/>
  <c r="MM472" i="2"/>
  <c r="MJ472" i="2"/>
  <c r="MI472" i="2"/>
  <c r="MN472" i="2"/>
  <c r="MG472" i="2"/>
  <c r="LW472" i="2"/>
  <c r="LX472" i="2"/>
  <c r="OF472" i="2"/>
  <c r="NX471" i="2"/>
  <c r="OC471" i="2"/>
  <c r="TT471" i="2"/>
  <c r="TM471" i="2"/>
  <c r="RP471" i="2"/>
  <c r="RX471" i="2"/>
  <c r="RZ471" i="2"/>
  <c r="RW471" i="2"/>
  <c r="UI471" i="2"/>
  <c r="UK471" i="2"/>
  <c r="UA471" i="2"/>
  <c r="UN471" i="2"/>
  <c r="UH471" i="2"/>
  <c r="AF472" i="2"/>
  <c r="S471" i="2"/>
  <c r="AA471" i="2"/>
  <c r="Z471" i="2"/>
  <c r="AB471" i="2"/>
  <c r="T471" i="2"/>
  <c r="AC471" i="2"/>
  <c r="LC471" i="2"/>
  <c r="LH471" i="2"/>
  <c r="KU471" i="2"/>
  <c r="KV471" i="2"/>
  <c r="LE471" i="2"/>
  <c r="KW471" i="2"/>
  <c r="MG471" i="2"/>
  <c r="MK471" i="2"/>
  <c r="MJ471" i="2"/>
  <c r="MI471" i="2"/>
  <c r="ML471" i="2"/>
  <c r="MH471" i="2"/>
  <c r="LW471" i="2"/>
  <c r="LR471" i="2"/>
  <c r="LS471" i="2"/>
  <c r="LQ471" i="2"/>
  <c r="UZ471" i="2"/>
  <c r="TC471" i="2"/>
  <c r="SU471" i="2"/>
  <c r="SO471" i="2"/>
  <c r="SP471" i="2"/>
  <c r="SL471" i="2"/>
  <c r="SK471" i="2"/>
  <c r="OP471" i="2"/>
  <c r="GC471" i="2"/>
  <c r="FX471" i="2"/>
  <c r="I6" i="61"/>
  <c r="FZ471" i="2"/>
  <c r="GD471" i="2"/>
  <c r="FY471" i="2"/>
  <c r="L471" i="2"/>
  <c r="K471" i="2"/>
  <c r="N471" i="2"/>
  <c r="D471" i="2"/>
  <c r="I471" i="2"/>
  <c r="J471" i="2"/>
  <c r="TL471" i="2"/>
  <c r="TV471" i="2"/>
  <c r="SW471" i="2"/>
  <c r="TD471" i="2"/>
  <c r="TG471" i="2"/>
  <c r="OS471" i="2"/>
  <c r="OZ471" i="2"/>
  <c r="OY471" i="2"/>
  <c r="ON471" i="2"/>
  <c r="OO471" i="2"/>
  <c r="OX471" i="2"/>
  <c r="B60" i="45"/>
  <c r="B30" i="45"/>
  <c r="T6" i="61"/>
  <c r="BE471" i="2"/>
  <c r="BF471" i="2"/>
  <c r="AU474" i="2"/>
  <c r="AK474" i="2"/>
  <c r="B41" i="45"/>
  <c r="AG18" i="35"/>
  <c r="B92" i="45"/>
  <c r="S6" i="61"/>
  <c r="B78" i="45"/>
  <c r="B76" i="45"/>
  <c r="B31" i="45"/>
  <c r="B72" i="45"/>
  <c r="B35" i="45"/>
  <c r="B42" i="45"/>
  <c r="B94" i="45"/>
  <c r="L15" i="45"/>
  <c r="B15" i="45" s="1"/>
  <c r="B21" i="45"/>
  <c r="B88" i="45"/>
  <c r="B71" i="45"/>
  <c r="B69" i="45"/>
  <c r="B27" i="45"/>
  <c r="B81" i="45"/>
  <c r="B90" i="45"/>
  <c r="B80" i="45"/>
  <c r="B83" i="45"/>
  <c r="B43" i="45"/>
  <c r="B86" i="45"/>
  <c r="B25" i="45"/>
  <c r="B74" i="45"/>
  <c r="B77" i="45"/>
  <c r="TB471" i="2"/>
  <c r="B73" i="45"/>
  <c r="J6" i="61"/>
  <c r="B87" i="45"/>
  <c r="B65" i="45"/>
  <c r="B95" i="45"/>
  <c r="B85" i="45"/>
  <c r="B89" i="45"/>
  <c r="B68" i="45"/>
  <c r="B79" i="45"/>
  <c r="B58" i="41"/>
  <c r="B70" i="45"/>
  <c r="I57" i="59"/>
  <c r="N6" i="61"/>
  <c r="R152" i="25"/>
  <c r="V93" i="41"/>
  <c r="R151" i="25"/>
  <c r="U93" i="41"/>
  <c r="CB2" i="55"/>
  <c r="B40" i="45"/>
  <c r="B82" i="45"/>
  <c r="B32" i="45"/>
  <c r="B75" i="45"/>
  <c r="B22" i="45"/>
  <c r="M6" i="61"/>
  <c r="B67" i="45"/>
  <c r="B66" i="45"/>
  <c r="B18" i="45"/>
  <c r="F6" i="61"/>
  <c r="T9" i="49"/>
  <c r="AA11" i="42"/>
  <c r="AA5" i="42" s="1"/>
  <c r="CC19" i="40"/>
  <c r="U11" i="42"/>
  <c r="U5" i="42" s="1"/>
  <c r="CC16" i="40"/>
  <c r="F11" i="42"/>
  <c r="CB9" i="40"/>
  <c r="AE11" i="42"/>
  <c r="CC21" i="40"/>
  <c r="I11" i="42"/>
  <c r="I5" i="42" s="1"/>
  <c r="CC10" i="40"/>
  <c r="AK11" i="42"/>
  <c r="CC24" i="40"/>
  <c r="R11" i="42"/>
  <c r="P9" i="41" s="1"/>
  <c r="CB15" i="40"/>
  <c r="Z11" i="42"/>
  <c r="Z5" i="42" s="1"/>
  <c r="CB19" i="40"/>
  <c r="AH11" i="42"/>
  <c r="AH5" i="42" s="1"/>
  <c r="CB23" i="40"/>
  <c r="AL11" i="42"/>
  <c r="CB25" i="40"/>
  <c r="AT11" i="42"/>
  <c r="CB29" i="40"/>
  <c r="BB11" i="42"/>
  <c r="BB5" i="42" s="1"/>
  <c r="CB33" i="40"/>
  <c r="BJ5" i="42"/>
  <c r="AQ11" i="42"/>
  <c r="CC27" i="40"/>
  <c r="AY11" i="42"/>
  <c r="AY5" i="42" s="1"/>
  <c r="CC31" i="40"/>
  <c r="AI11" i="42"/>
  <c r="AI5" i="42" s="1"/>
  <c r="CC23" i="40"/>
  <c r="AC11" i="42"/>
  <c r="CC20" i="40"/>
  <c r="H11" i="42"/>
  <c r="H5" i="42" s="1"/>
  <c r="CB10" i="40"/>
  <c r="Q11" i="42"/>
  <c r="F63" i="41" s="1"/>
  <c r="CC14" i="40"/>
  <c r="L11" i="42"/>
  <c r="CB12" i="40"/>
  <c r="T11" i="42"/>
  <c r="T5" i="42" s="1"/>
  <c r="CB16" i="40"/>
  <c r="AB11" i="42"/>
  <c r="CB20" i="40"/>
  <c r="BP5" i="42"/>
  <c r="AN11" i="42"/>
  <c r="CB26" i="40"/>
  <c r="AV11" i="42"/>
  <c r="AV5" i="42" s="1"/>
  <c r="CB30" i="40"/>
  <c r="BD11" i="42"/>
  <c r="BD5" i="42" s="1"/>
  <c r="CB34" i="40"/>
  <c r="AS11" i="42"/>
  <c r="AS5" i="42" s="1"/>
  <c r="CC28" i="40"/>
  <c r="BA11" i="42"/>
  <c r="BA5" i="42" s="1"/>
  <c r="CC32" i="40"/>
  <c r="BI5" i="42"/>
  <c r="BU5" i="42"/>
  <c r="BX5" i="42"/>
  <c r="N9" i="41"/>
  <c r="J11" i="42"/>
  <c r="CB11" i="40"/>
  <c r="K11" i="42"/>
  <c r="CC11" i="40"/>
  <c r="O11" i="42"/>
  <c r="O5" i="42" s="1"/>
  <c r="CC13" i="40"/>
  <c r="E11" i="42"/>
  <c r="I63" i="41" s="1"/>
  <c r="CC8" i="40"/>
  <c r="Y11" i="42"/>
  <c r="Y5" i="42" s="1"/>
  <c r="CC18" i="40"/>
  <c r="N11" i="42"/>
  <c r="N5" i="42" s="1"/>
  <c r="CB13" i="40"/>
  <c r="V11" i="42"/>
  <c r="V5" i="42" s="1"/>
  <c r="CB17" i="40"/>
  <c r="AD11" i="42"/>
  <c r="CB21" i="40"/>
  <c r="AM11" i="42"/>
  <c r="CC25" i="40"/>
  <c r="AP11" i="42"/>
  <c r="CB27" i="40"/>
  <c r="AX11" i="42"/>
  <c r="AX5" i="42" s="1"/>
  <c r="CB31" i="40"/>
  <c r="AU11" i="42"/>
  <c r="CC29" i="40"/>
  <c r="BC11" i="42"/>
  <c r="BC5" i="42" s="1"/>
  <c r="CC33" i="40"/>
  <c r="BK5" i="42"/>
  <c r="BW5" i="42"/>
  <c r="S11" i="42"/>
  <c r="P57" i="41" s="1"/>
  <c r="M11" i="42"/>
  <c r="CC12" i="40"/>
  <c r="D11" i="42"/>
  <c r="CB8" i="40"/>
  <c r="W11" i="42"/>
  <c r="W5" i="42" s="1"/>
  <c r="CC17" i="40"/>
  <c r="G11" i="42"/>
  <c r="CC9" i="40"/>
  <c r="AG11" i="42"/>
  <c r="AG5" i="42" s="1"/>
  <c r="CC22" i="40"/>
  <c r="P11" i="42"/>
  <c r="CB14" i="40"/>
  <c r="X11" i="42"/>
  <c r="X5" i="42" s="1"/>
  <c r="CB18" i="40"/>
  <c r="AF11" i="42"/>
  <c r="CB22" i="40"/>
  <c r="AJ11" i="42"/>
  <c r="CB24" i="40"/>
  <c r="AR11" i="42"/>
  <c r="AR5" i="42" s="1"/>
  <c r="CB28" i="40"/>
  <c r="AZ11" i="42"/>
  <c r="AZ5" i="42" s="1"/>
  <c r="CB32" i="40"/>
  <c r="AO11" i="42"/>
  <c r="CC26" i="40"/>
  <c r="AW11" i="42"/>
  <c r="AW5" i="42" s="1"/>
  <c r="CC30" i="40"/>
  <c r="BE11" i="42"/>
  <c r="BE5" i="42" s="1"/>
  <c r="CC34" i="40"/>
  <c r="BQ5" i="42"/>
  <c r="BY5" i="42"/>
  <c r="BT5" i="42"/>
  <c r="B62" i="45"/>
  <c r="B61" i="45"/>
  <c r="B59" i="45"/>
  <c r="B10" i="41"/>
  <c r="B12" i="45"/>
  <c r="B46" i="45"/>
  <c r="B19" i="45"/>
  <c r="AD21" i="35"/>
  <c r="B84" i="45"/>
  <c r="B14" i="45"/>
  <c r="D8" i="52"/>
  <c r="B39" i="45"/>
  <c r="B64" i="45"/>
  <c r="B26" i="45"/>
  <c r="B93" i="45"/>
  <c r="B5" i="54"/>
  <c r="U15" i="35"/>
  <c r="B63" i="45"/>
  <c r="BD18" i="35"/>
  <c r="B58" i="59"/>
  <c r="B57" i="59" s="1"/>
  <c r="C57" i="59"/>
  <c r="C10" i="59"/>
  <c r="AZ15" i="35"/>
  <c r="I15" i="35"/>
  <c r="B93" i="56"/>
  <c r="H58" i="56"/>
  <c r="AT15" i="35"/>
  <c r="L15" i="35"/>
  <c r="B60" i="49"/>
  <c r="H21" i="35"/>
  <c r="Q18" i="35"/>
  <c r="H9" i="56"/>
  <c r="B44" i="56"/>
  <c r="D9" i="56"/>
  <c r="B23" i="56"/>
  <c r="X13" i="35"/>
  <c r="K9" i="45"/>
  <c r="J19" i="35"/>
  <c r="K57" i="45"/>
  <c r="B12" i="49"/>
  <c r="B9" i="49" s="1"/>
  <c r="BP18" i="35"/>
  <c r="AZ18" i="35"/>
  <c r="V18" i="35"/>
  <c r="BF17" i="35"/>
  <c r="BQ16" i="35"/>
  <c r="AU15" i="35"/>
  <c r="AQ15" i="35"/>
  <c r="AJ15" i="35"/>
  <c r="X15" i="35"/>
  <c r="Q15" i="35"/>
  <c r="BY15" i="35"/>
  <c r="AH15" i="35"/>
  <c r="AD15" i="35"/>
  <c r="R15" i="35"/>
  <c r="N15" i="35"/>
  <c r="BC15" i="35"/>
  <c r="AA15" i="35"/>
  <c r="K15" i="35"/>
  <c r="WY472" i="2"/>
  <c r="AB17" i="35"/>
  <c r="BE15" i="35"/>
  <c r="AM15" i="35"/>
  <c r="AV15" i="35"/>
  <c r="BX15" i="35"/>
  <c r="AC15" i="35"/>
  <c r="BD15" i="35"/>
  <c r="C10" i="45"/>
  <c r="B11" i="45"/>
  <c r="AG16" i="35"/>
  <c r="BF15" i="35"/>
  <c r="BP15" i="35"/>
  <c r="J15" i="35"/>
  <c r="AW15" i="35"/>
  <c r="AS15" i="35"/>
  <c r="L16" i="35"/>
  <c r="AU16" i="35"/>
  <c r="W16" i="35"/>
  <c r="N9" i="49"/>
  <c r="C58" i="45"/>
  <c r="B58" i="45" s="1"/>
  <c r="B5" i="47"/>
  <c r="T9" i="45"/>
  <c r="AV14" i="35"/>
  <c r="BZ14" i="35"/>
  <c r="X23" i="35"/>
  <c r="N21" i="35"/>
  <c r="VD473" i="2"/>
  <c r="BF18" i="35"/>
  <c r="T18" i="35"/>
  <c r="P18" i="35"/>
  <c r="BJ18" i="35"/>
  <c r="AH18" i="35"/>
  <c r="Z18" i="35"/>
  <c r="W17" i="35"/>
  <c r="AL17" i="35"/>
  <c r="BK17" i="35"/>
  <c r="BR17" i="35"/>
  <c r="BC16" i="35"/>
  <c r="N19" i="35"/>
  <c r="BO18" i="35"/>
  <c r="AK18" i="35"/>
  <c r="AA18" i="35"/>
  <c r="K18" i="35"/>
  <c r="BE18" i="35"/>
  <c r="B4" i="50"/>
  <c r="AG35" i="47"/>
  <c r="AG41" i="47"/>
  <c r="E39" i="44"/>
  <c r="H91" i="45" s="1"/>
  <c r="AZ21" i="35"/>
  <c r="Z21" i="35"/>
  <c r="Q23" i="35"/>
  <c r="AA19" i="35"/>
  <c r="AF19" i="35"/>
  <c r="DA37" i="65"/>
  <c r="N14" i="35"/>
  <c r="BU14" i="35"/>
  <c r="P14" i="35"/>
  <c r="V23" i="35"/>
  <c r="U14" i="35"/>
  <c r="L21" i="35"/>
  <c r="L19" i="35"/>
  <c r="BF19" i="35"/>
  <c r="D15" i="35"/>
  <c r="D23" i="35"/>
  <c r="BA13" i="35"/>
  <c r="BX13" i="35"/>
  <c r="BG13" i="35"/>
  <c r="AJ13" i="35"/>
  <c r="P13" i="35"/>
  <c r="BE13" i="35"/>
  <c r="AL13" i="35"/>
  <c r="BG14" i="35"/>
  <c r="AR14" i="35"/>
  <c r="AF14" i="35"/>
  <c r="AB14" i="35"/>
  <c r="J14" i="35"/>
  <c r="BK14" i="35"/>
  <c r="BA14" i="35"/>
  <c r="AT14" i="35"/>
  <c r="AH14" i="35"/>
  <c r="AD14" i="35"/>
  <c r="L14" i="35"/>
  <c r="AZ23" i="35"/>
  <c r="Z23" i="35"/>
  <c r="P23" i="35"/>
  <c r="J23" i="35"/>
  <c r="V22" i="35"/>
  <c r="L22" i="35"/>
  <c r="AF22" i="35"/>
  <c r="Z22" i="35"/>
  <c r="H22" i="35"/>
  <c r="J21" i="35"/>
  <c r="Q20" i="35"/>
  <c r="AB19" i="35"/>
  <c r="X19" i="35"/>
  <c r="P19" i="35"/>
  <c r="H19" i="35"/>
  <c r="BD19" i="35"/>
  <c r="AH19" i="35"/>
  <c r="AK19" i="35"/>
  <c r="U19" i="35"/>
  <c r="Q19" i="35"/>
  <c r="AT18" i="35"/>
  <c r="R18" i="35"/>
  <c r="J18" i="35"/>
  <c r="BR18" i="35"/>
  <c r="BB18" i="35"/>
  <c r="AJ18" i="35"/>
  <c r="AB18" i="35"/>
  <c r="L18" i="35"/>
  <c r="BZ17" i="35"/>
  <c r="AW17" i="35"/>
  <c r="BT16" i="35"/>
  <c r="R16" i="35"/>
  <c r="BU16" i="35"/>
  <c r="AB16" i="35"/>
  <c r="AS16" i="35"/>
  <c r="Q16" i="35"/>
  <c r="BS15" i="35"/>
  <c r="BO15" i="35"/>
  <c r="BG15" i="35"/>
  <c r="AO15" i="35"/>
  <c r="AK15" i="35"/>
  <c r="AG15" i="35"/>
  <c r="BT15" i="35"/>
  <c r="BJ15" i="35"/>
  <c r="AP15" i="35"/>
  <c r="AL15" i="35"/>
  <c r="Z15" i="35"/>
  <c r="V15" i="35"/>
  <c r="BZ15" i="35"/>
  <c r="W15" i="35"/>
  <c r="S15" i="35"/>
  <c r="O15" i="35"/>
  <c r="CA15" i="35"/>
  <c r="BV15" i="35"/>
  <c r="BR15" i="35"/>
  <c r="BN15" i="35"/>
  <c r="BB15" i="35"/>
  <c r="AR15" i="35"/>
  <c r="AN15" i="35"/>
  <c r="AF15" i="35"/>
  <c r="T15" i="35"/>
  <c r="P15" i="35"/>
  <c r="H15" i="35"/>
  <c r="BK15" i="35"/>
  <c r="BA15" i="35"/>
  <c r="AI15" i="35"/>
  <c r="AE15" i="35"/>
  <c r="Y15" i="35"/>
  <c r="M15" i="35"/>
  <c r="AH13" i="35"/>
  <c r="BC13" i="35"/>
  <c r="L13" i="35"/>
  <c r="BO13" i="35"/>
  <c r="AN13" i="35"/>
  <c r="BU13" i="35"/>
  <c r="N13" i="35"/>
  <c r="BS14" i="35"/>
  <c r="AN14" i="35"/>
  <c r="V14" i="35"/>
  <c r="BQ14" i="35"/>
  <c r="AL14" i="35"/>
  <c r="Z14" i="35"/>
  <c r="AD23" i="35"/>
  <c r="L23" i="35"/>
  <c r="AB23" i="35"/>
  <c r="N23" i="35"/>
  <c r="J22" i="35"/>
  <c r="AI19" i="35"/>
  <c r="AQ19" i="35"/>
  <c r="BS19" i="35"/>
  <c r="AV18" i="35"/>
  <c r="V17" i="35"/>
  <c r="BD17" i="35"/>
  <c r="BZ13" i="35"/>
  <c r="AF13" i="35"/>
  <c r="AR13" i="35"/>
  <c r="T13" i="35"/>
  <c r="BK13" i="35"/>
  <c r="AP13" i="35"/>
  <c r="Z13" i="35"/>
  <c r="J13" i="35"/>
  <c r="BX14" i="35"/>
  <c r="BC14" i="35"/>
  <c r="R14" i="35"/>
  <c r="T14" i="35"/>
  <c r="H23" i="35"/>
  <c r="AD22" i="35"/>
  <c r="R21" i="35"/>
  <c r="R13" i="35"/>
  <c r="BS13" i="35"/>
  <c r="AV13" i="35"/>
  <c r="AB13" i="35"/>
  <c r="H13" i="35"/>
  <c r="BQ13" i="35"/>
  <c r="AT13" i="35"/>
  <c r="AD13" i="35"/>
  <c r="BO14" i="35"/>
  <c r="AJ14" i="35"/>
  <c r="BE14" i="35"/>
  <c r="AP14" i="35"/>
  <c r="H14" i="35"/>
  <c r="AF23" i="35"/>
  <c r="R23" i="35"/>
  <c r="AB22" i="35"/>
  <c r="P22" i="35"/>
  <c r="AC19" i="35"/>
  <c r="BQ19" i="35"/>
  <c r="BE19" i="35"/>
  <c r="AG19" i="35"/>
  <c r="AD18" i="35"/>
  <c r="BN18" i="35"/>
  <c r="AP18" i="35"/>
  <c r="X18" i="35"/>
  <c r="BQ17" i="35"/>
  <c r="AM14" i="35"/>
  <c r="BP14" i="35"/>
  <c r="AK14" i="35"/>
  <c r="S14" i="35"/>
  <c r="CA14" i="35"/>
  <c r="O23" i="35"/>
  <c r="AE23" i="35"/>
  <c r="R22" i="35"/>
  <c r="X22" i="35"/>
  <c r="AZ22" i="35"/>
  <c r="CA13" i="35"/>
  <c r="BN14" i="35"/>
  <c r="M13" i="35"/>
  <c r="E18" i="35"/>
  <c r="S23" i="35"/>
  <c r="K23" i="35"/>
  <c r="BA23" i="35"/>
  <c r="AA23" i="35"/>
  <c r="W23" i="35"/>
  <c r="M23" i="35"/>
  <c r="I23" i="35"/>
  <c r="AG23" i="35"/>
  <c r="AC23" i="35"/>
  <c r="Y23" i="35"/>
  <c r="AB21" i="35"/>
  <c r="BG18" i="35"/>
  <c r="BC18" i="35"/>
  <c r="AW18" i="35"/>
  <c r="AQ18" i="35"/>
  <c r="AC18" i="35"/>
  <c r="Y18" i="35"/>
  <c r="U18" i="35"/>
  <c r="M18" i="35"/>
  <c r="I18" i="35"/>
  <c r="BQ18" i="35"/>
  <c r="BK18" i="35"/>
  <c r="BA18" i="35"/>
  <c r="AU18" i="35"/>
  <c r="AM18" i="35"/>
  <c r="AE18" i="35"/>
  <c r="W18" i="35"/>
  <c r="O18" i="35"/>
  <c r="T17" i="35"/>
  <c r="AC17" i="35"/>
  <c r="AD17" i="35"/>
  <c r="H17" i="35"/>
  <c r="BX17" i="35"/>
  <c r="AE17" i="35"/>
  <c r="M17" i="35"/>
  <c r="I17" i="35"/>
  <c r="AT17" i="35"/>
  <c r="AP17" i="35"/>
  <c r="X17" i="35"/>
  <c r="N17" i="35"/>
  <c r="BE17" i="35"/>
  <c r="AG17" i="35"/>
  <c r="Y17" i="35"/>
  <c r="O17" i="35"/>
  <c r="BB17" i="35"/>
  <c r="AV17" i="35"/>
  <c r="AR17" i="35"/>
  <c r="Z17" i="35"/>
  <c r="BO17" i="35"/>
  <c r="AL20" i="35"/>
  <c r="AD19" i="35"/>
  <c r="Z19" i="35"/>
  <c r="M19" i="35"/>
  <c r="I19" i="35"/>
  <c r="W19" i="35"/>
  <c r="BB19" i="35"/>
  <c r="Y19" i="35"/>
  <c r="BA19" i="35"/>
  <c r="AU19" i="35"/>
  <c r="K19" i="35"/>
  <c r="BO19" i="35"/>
  <c r="BC19" i="35"/>
  <c r="AM19" i="35"/>
  <c r="BY13" i="35"/>
  <c r="BT13" i="35"/>
  <c r="AG13" i="35"/>
  <c r="W13" i="35"/>
  <c r="BN13" i="35"/>
  <c r="AM13" i="35"/>
  <c r="BY14" i="35"/>
  <c r="BT14" i="35"/>
  <c r="BJ14" i="35"/>
  <c r="BD14" i="35"/>
  <c r="AZ14" i="35"/>
  <c r="AS14" i="35"/>
  <c r="AO14" i="35"/>
  <c r="AG14" i="35"/>
  <c r="AC14" i="35"/>
  <c r="O14" i="35"/>
  <c r="K14" i="35"/>
  <c r="BV14" i="35"/>
  <c r="BR14" i="35"/>
  <c r="BF14" i="35"/>
  <c r="BB14" i="35"/>
  <c r="AU14" i="35"/>
  <c r="AQ14" i="35"/>
  <c r="AI14" i="35"/>
  <c r="AE14" i="35"/>
  <c r="AA14" i="35"/>
  <c r="Q14" i="35"/>
  <c r="I14" i="35"/>
  <c r="X21" i="35"/>
  <c r="H16" i="35"/>
  <c r="I16" i="35"/>
  <c r="AD16" i="35"/>
  <c r="Z16" i="35"/>
  <c r="V16" i="35"/>
  <c r="N16" i="35"/>
  <c r="J16" i="35"/>
  <c r="AE16" i="35"/>
  <c r="AA16" i="35"/>
  <c r="S16" i="35"/>
  <c r="O16" i="35"/>
  <c r="K16" i="35"/>
  <c r="BN16" i="35"/>
  <c r="BB16" i="35"/>
  <c r="AL16" i="35"/>
  <c r="AF16" i="35"/>
  <c r="X16" i="35"/>
  <c r="T16" i="35"/>
  <c r="P16" i="35"/>
  <c r="BX16" i="35"/>
  <c r="BS16" i="35"/>
  <c r="BO16" i="35"/>
  <c r="AM16" i="35"/>
  <c r="AC16" i="35"/>
  <c r="Y16" i="35"/>
  <c r="U16" i="35"/>
  <c r="M16" i="35"/>
  <c r="BY16" i="35"/>
  <c r="BJ16" i="35"/>
  <c r="BD16" i="35"/>
  <c r="AT16" i="35"/>
  <c r="AN16" i="35"/>
  <c r="BZ16" i="35"/>
  <c r="BK16" i="35"/>
  <c r="BE16" i="35"/>
  <c r="BA16" i="35"/>
  <c r="AO16" i="35"/>
  <c r="AK16" i="35"/>
  <c r="CA16" i="35"/>
  <c r="BV16" i="35"/>
  <c r="BF16" i="35"/>
  <c r="AV16" i="35"/>
  <c r="AR16" i="35"/>
  <c r="BG16" i="35"/>
  <c r="AW16" i="35"/>
  <c r="BP16" i="35"/>
  <c r="AZ16" i="35"/>
  <c r="AA17" i="35"/>
  <c r="S17" i="35"/>
  <c r="BY17" i="35"/>
  <c r="BP17" i="35"/>
  <c r="BJ17" i="35"/>
  <c r="AZ17" i="35"/>
  <c r="J17" i="35"/>
  <c r="AU17" i="35"/>
  <c r="AQ17" i="35"/>
  <c r="K17" i="35"/>
  <c r="CA17" i="35"/>
  <c r="BN17" i="35"/>
  <c r="AN17" i="35"/>
  <c r="AO17" i="35"/>
  <c r="AK17" i="35"/>
  <c r="E14" i="35"/>
  <c r="Y13" i="35"/>
  <c r="Y14" i="35"/>
  <c r="D19" i="35"/>
  <c r="BK19" i="35"/>
  <c r="AE19" i="35"/>
  <c r="S19" i="35"/>
  <c r="O19" i="35"/>
  <c r="BG19" i="35"/>
  <c r="AW19" i="35"/>
  <c r="J20" i="35"/>
  <c r="O20" i="35"/>
  <c r="Z20" i="35"/>
  <c r="U20" i="35"/>
  <c r="BB20" i="35"/>
  <c r="AU20" i="35"/>
  <c r="AI20" i="35"/>
  <c r="R20" i="35"/>
  <c r="BG20" i="35"/>
  <c r="AF20" i="35"/>
  <c r="BE20" i="35"/>
  <c r="AC20" i="35"/>
  <c r="P20" i="35"/>
  <c r="V19" i="35"/>
  <c r="R19" i="35"/>
  <c r="AT19" i="35"/>
  <c r="AP19" i="35"/>
  <c r="BP19" i="35"/>
  <c r="BJ19" i="35"/>
  <c r="BN19" i="35"/>
  <c r="AV19" i="35"/>
  <c r="AJ19" i="35"/>
  <c r="BF20" i="35"/>
  <c r="BC20" i="35"/>
  <c r="AP20" i="35"/>
  <c r="BP20" i="35"/>
  <c r="AG20" i="35"/>
  <c r="K20" i="35"/>
  <c r="BA20" i="35"/>
  <c r="AD20" i="35"/>
  <c r="L20" i="35"/>
  <c r="D22" i="35"/>
  <c r="AH12" i="35"/>
  <c r="BJ13" i="35"/>
  <c r="S13" i="35"/>
  <c r="BB13" i="35"/>
  <c r="X14" i="35"/>
  <c r="AI13" i="35"/>
  <c r="BF13" i="35"/>
  <c r="AE13" i="35"/>
  <c r="AA13" i="35"/>
  <c r="O13" i="35"/>
  <c r="K13" i="35"/>
  <c r="AU13" i="35"/>
  <c r="AQ13" i="35"/>
  <c r="BP13" i="35"/>
  <c r="BD13" i="35"/>
  <c r="AZ13" i="35"/>
  <c r="AS13" i="35"/>
  <c r="AK13" i="35"/>
  <c r="AC13" i="35"/>
  <c r="U13" i="35"/>
  <c r="Q13" i="35"/>
  <c r="I13" i="35"/>
  <c r="DO41" i="65"/>
  <c r="I9" i="2"/>
  <c r="AP7" i="39" s="1"/>
  <c r="DE39" i="65"/>
  <c r="BF22" i="35"/>
  <c r="BM15" i="35"/>
  <c r="F21" i="35"/>
  <c r="BL15" i="35"/>
  <c r="BG22" i="35"/>
  <c r="BB23" i="35"/>
  <c r="AU22" i="35"/>
  <c r="BP21" i="35"/>
  <c r="BK23" i="35"/>
  <c r="BS23" i="35"/>
  <c r="BH17" i="35"/>
  <c r="AY16" i="35"/>
  <c r="BL13" i="35"/>
  <c r="I22" i="35"/>
  <c r="O22" i="35"/>
  <c r="BT21" i="35"/>
  <c r="BS21" i="35"/>
  <c r="BZ23" i="35"/>
  <c r="G15" i="35"/>
  <c r="BF23" i="35"/>
  <c r="AO23" i="35"/>
  <c r="BT20" i="35"/>
  <c r="Q22" i="35"/>
  <c r="AL23" i="35"/>
  <c r="BO21" i="35"/>
  <c r="AK22" i="35"/>
  <c r="AR23" i="35"/>
  <c r="T24" i="59"/>
  <c r="BW20" i="35"/>
  <c r="BU20" i="35"/>
  <c r="BZ22" i="35"/>
  <c r="BH15" i="35"/>
  <c r="BE21" i="35"/>
  <c r="AX13" i="35"/>
  <c r="AY20" i="35"/>
  <c r="BW19" i="35"/>
  <c r="BU22" i="35"/>
  <c r="AC22" i="35"/>
  <c r="AH23" i="35"/>
  <c r="AJ23" i="35"/>
  <c r="BK22" i="35"/>
  <c r="F23" i="35"/>
  <c r="AY22" i="35"/>
  <c r="M21" i="35"/>
  <c r="AL22" i="35"/>
  <c r="T22" i="35"/>
  <c r="BO23" i="35"/>
  <c r="AJ21" i="35"/>
  <c r="BI13" i="35"/>
  <c r="G17" i="35"/>
  <c r="AX23" i="35"/>
  <c r="AW21" i="35"/>
  <c r="BU19" i="35"/>
  <c r="BB21" i="35"/>
  <c r="BP23" i="35"/>
  <c r="G19" i="35"/>
  <c r="AX19" i="35"/>
  <c r="AY18" i="35"/>
  <c r="BL17" i="35"/>
  <c r="AO22" i="35"/>
  <c r="K42" i="25"/>
  <c r="M10" i="2"/>
  <c r="BN7" i="39" s="1"/>
  <c r="C10" i="2"/>
  <c r="K7" i="39" s="1"/>
  <c r="EA41" i="65"/>
  <c r="DO39" i="65"/>
  <c r="O74" i="56"/>
  <c r="L9" i="2"/>
  <c r="BB7" i="39" s="1"/>
  <c r="Y74" i="52" s="1"/>
  <c r="AQ43" i="65"/>
  <c r="AY43" i="65" s="1"/>
  <c r="P56" i="25"/>
  <c r="J43" i="25"/>
  <c r="N10" i="2"/>
  <c r="BO7" i="39" s="1"/>
  <c r="N8" i="2"/>
  <c r="BK7" i="39" s="1"/>
  <c r="BU23" i="35"/>
  <c r="BT23" i="35"/>
  <c r="BI18" i="35"/>
  <c r="F20" i="35"/>
  <c r="F16" i="35"/>
  <c r="AY13" i="35"/>
  <c r="BL20" i="35"/>
  <c r="BW23" i="35"/>
  <c r="AQ22" i="35"/>
  <c r="BG23" i="35"/>
  <c r="BY23" i="35"/>
  <c r="AN22" i="35"/>
  <c r="BE23" i="35"/>
  <c r="G20" i="35"/>
  <c r="F17" i="35"/>
  <c r="F13" i="35"/>
  <c r="AY14" i="35"/>
  <c r="AW23" i="35"/>
  <c r="BM17" i="35"/>
  <c r="AP23" i="35"/>
  <c r="AR22" i="35"/>
  <c r="AN23" i="35"/>
  <c r="G14" i="35"/>
  <c r="F14" i="35"/>
  <c r="AY17" i="35"/>
  <c r="AU23" i="35"/>
  <c r="BM22" i="35"/>
  <c r="AQ23" i="35"/>
  <c r="AS21" i="35"/>
  <c r="BY21" i="35"/>
  <c r="BX22" i="35"/>
  <c r="BW14" i="35"/>
  <c r="BT19" i="35"/>
  <c r="AX18" i="35"/>
  <c r="BL18" i="35"/>
  <c r="AP22" i="35"/>
  <c r="AS23" i="35"/>
  <c r="BX23" i="35"/>
  <c r="O56" i="25"/>
  <c r="T32" i="59"/>
  <c r="S85" i="59"/>
  <c r="C9" i="2"/>
  <c r="I7" i="39" s="1"/>
  <c r="K9" i="2"/>
  <c r="BA7" i="39" s="1"/>
  <c r="Y12" i="52" s="1"/>
  <c r="T17" i="41"/>
  <c r="X14" i="49"/>
  <c r="O7" i="2"/>
  <c r="BS7" i="39" s="1"/>
  <c r="K43" i="25"/>
  <c r="M8" i="2"/>
  <c r="BJ7" i="39" s="1"/>
  <c r="K8" i="2"/>
  <c r="AY7" i="39" s="1"/>
  <c r="X12" i="52" s="1"/>
  <c r="C8" i="2"/>
  <c r="AA43" i="65"/>
  <c r="AA7" i="65" s="1"/>
  <c r="DA39" i="65"/>
  <c r="T72" i="41"/>
  <c r="J44" i="25"/>
  <c r="O67" i="56"/>
  <c r="P10" i="2"/>
  <c r="BZ7" i="39" s="1"/>
  <c r="N9" i="2"/>
  <c r="BM7" i="39" s="1"/>
  <c r="P8" i="2"/>
  <c r="BV7" i="39" s="1"/>
  <c r="L7" i="2"/>
  <c r="AX7" i="39" s="1"/>
  <c r="W74" i="52" s="1"/>
  <c r="T59" i="41"/>
  <c r="F8" i="2"/>
  <c r="S7" i="39" s="1"/>
  <c r="Y58" i="45" s="1"/>
  <c r="Y57" i="45" s="1"/>
  <c r="DA22" i="65"/>
  <c r="HL22" i="65" s="1"/>
  <c r="P9" i="2"/>
  <c r="BX7" i="39" s="1"/>
  <c r="O95" i="56"/>
  <c r="EQ43" i="65"/>
  <c r="IA43" i="65" s="1"/>
  <c r="R92" i="59"/>
  <c r="O68" i="56"/>
  <c r="L10" i="2"/>
  <c r="BD7" i="39" s="1"/>
  <c r="Z74" i="52" s="1"/>
  <c r="L8" i="2"/>
  <c r="AZ7" i="39" s="1"/>
  <c r="X74" i="52" s="1"/>
  <c r="F7" i="2"/>
  <c r="Q7" i="39" s="1"/>
  <c r="X58" i="45" s="1"/>
  <c r="AH17" i="35"/>
  <c r="AI17" i="35"/>
  <c r="BY19" i="35"/>
  <c r="BY20" i="35"/>
  <c r="AO19" i="35"/>
  <c r="AS19" i="35"/>
  <c r="CA19" i="35"/>
  <c r="CA20" i="35"/>
  <c r="BV20" i="35"/>
  <c r="BW16" i="35"/>
  <c r="AA22" i="35"/>
  <c r="W22" i="35"/>
  <c r="E22" i="35"/>
  <c r="BX19" i="35"/>
  <c r="BX20" i="35"/>
  <c r="AN19" i="35"/>
  <c r="AR19" i="35"/>
  <c r="BZ19" i="35"/>
  <c r="BZ20" i="35"/>
  <c r="AG22" i="35"/>
  <c r="S22" i="35"/>
  <c r="AO20" i="35"/>
  <c r="AS18" i="35"/>
  <c r="BA22" i="35"/>
  <c r="Y22" i="35"/>
  <c r="AN20" i="35"/>
  <c r="AR18" i="35"/>
  <c r="BV19" i="35"/>
  <c r="BW17" i="35"/>
  <c r="AE22" i="35"/>
  <c r="K22" i="35"/>
  <c r="BC22" i="35"/>
  <c r="AM23" i="35"/>
  <c r="BQ22" i="35"/>
  <c r="AK23" i="35"/>
  <c r="BH13" i="35"/>
  <c r="BH23" i="35"/>
  <c r="BI23" i="35"/>
  <c r="AT23" i="35"/>
  <c r="BL22" i="35"/>
  <c r="BM21" i="35"/>
  <c r="BM14" i="35"/>
  <c r="AW14" i="35"/>
  <c r="AM22" i="35"/>
  <c r="U22" i="35"/>
  <c r="CA23" i="35"/>
  <c r="BH14" i="35"/>
  <c r="BI16" i="35"/>
  <c r="BD23" i="35"/>
  <c r="G23" i="35"/>
  <c r="AX16" i="35"/>
  <c r="AT22" i="35"/>
  <c r="BL23" i="35"/>
  <c r="BM23" i="35"/>
  <c r="BM19" i="35"/>
  <c r="U23" i="35"/>
  <c r="BR23" i="35"/>
  <c r="BN23" i="35"/>
  <c r="CA22" i="35"/>
  <c r="AI23" i="35"/>
  <c r="BH19" i="35"/>
  <c r="BI21" i="35"/>
  <c r="BI17" i="35"/>
  <c r="BJ23" i="35"/>
  <c r="AX17" i="35"/>
  <c r="AV22" i="35"/>
  <c r="BM20" i="35"/>
  <c r="BV22" i="35"/>
  <c r="BC23" i="35"/>
  <c r="BR22" i="35"/>
  <c r="BN22" i="35"/>
  <c r="AI22" i="35"/>
  <c r="BQ23" i="35"/>
  <c r="BH20" i="35"/>
  <c r="BH21" i="35"/>
  <c r="BI14" i="35"/>
  <c r="BJ22" i="35"/>
  <c r="BD22" i="35"/>
  <c r="G22" i="35"/>
  <c r="G13" i="35"/>
  <c r="AV23" i="35"/>
  <c r="BL21" i="35"/>
  <c r="BM13" i="35"/>
  <c r="BV23" i="35"/>
  <c r="AW13" i="35"/>
  <c r="Z42" i="49"/>
  <c r="Z41" i="49"/>
  <c r="Z22" i="49"/>
  <c r="T14" i="59"/>
  <c r="I10" i="2"/>
  <c r="AR7" i="39" s="1"/>
  <c r="P12" i="56"/>
  <c r="Z45" i="49"/>
  <c r="Q44" i="56"/>
  <c r="T20" i="59"/>
  <c r="P33" i="56"/>
  <c r="U12" i="41"/>
  <c r="M9" i="2"/>
  <c r="BL7" i="39" s="1"/>
  <c r="R47" i="59"/>
  <c r="R39" i="59"/>
  <c r="R37" i="59"/>
  <c r="G58" i="25"/>
  <c r="X21" i="49"/>
  <c r="R11" i="59"/>
  <c r="I8" i="2"/>
  <c r="AN7" i="39" s="1"/>
  <c r="Q41" i="59"/>
  <c r="Q36" i="59"/>
  <c r="Y34" i="67"/>
  <c r="Y33" i="67"/>
  <c r="Q33" i="59"/>
  <c r="Q31" i="59"/>
  <c r="Y30" i="67"/>
  <c r="Q28" i="59"/>
  <c r="S94" i="59"/>
  <c r="V13" i="41"/>
  <c r="O10" i="2"/>
  <c r="BY7" i="39" s="1"/>
  <c r="K10" i="2"/>
  <c r="BC7" i="39" s="1"/>
  <c r="Z12" i="52" s="1"/>
  <c r="S44" i="59"/>
  <c r="P43" i="56"/>
  <c r="U40" i="41"/>
  <c r="O55" i="25"/>
  <c r="U11" i="41"/>
  <c r="O9" i="2"/>
  <c r="BW7" i="39" s="1"/>
  <c r="R43" i="59"/>
  <c r="R26" i="59"/>
  <c r="Y44" i="67"/>
  <c r="Y41" i="67"/>
  <c r="Y13" i="67"/>
  <c r="Q32" i="56"/>
  <c r="Q24" i="56"/>
  <c r="Z18" i="49"/>
  <c r="P34" i="56"/>
  <c r="P26" i="56"/>
  <c r="E9" i="2"/>
  <c r="T7" i="39" s="1"/>
  <c r="O47" i="56"/>
  <c r="T44" i="41"/>
  <c r="X41" i="49"/>
  <c r="O39" i="56"/>
  <c r="O37" i="56"/>
  <c r="T27" i="41"/>
  <c r="O54" i="25"/>
  <c r="X17" i="49"/>
  <c r="X15" i="49"/>
  <c r="O11" i="56"/>
  <c r="O8" i="2"/>
  <c r="BU7" i="39" s="1"/>
  <c r="E8" i="2"/>
  <c r="R7" i="39" s="1"/>
  <c r="Y45" i="67"/>
  <c r="Y32" i="67"/>
  <c r="Q29" i="59"/>
  <c r="I7" i="2"/>
  <c r="AL7" i="39" s="1"/>
  <c r="Y25" i="67"/>
  <c r="Q25" i="59"/>
  <c r="Q23" i="59"/>
  <c r="Y22" i="67"/>
  <c r="Q17" i="59"/>
  <c r="Y16" i="67"/>
  <c r="C7" i="2"/>
  <c r="E7" i="39" s="1"/>
  <c r="DM41" i="65"/>
  <c r="Z89" i="49"/>
  <c r="X89" i="49"/>
  <c r="Y12" i="67"/>
  <c r="Y11" i="67"/>
  <c r="Q11" i="59"/>
  <c r="E7" i="2"/>
  <c r="P7" i="39" s="1"/>
  <c r="X95" i="49"/>
  <c r="S90" i="59"/>
  <c r="DS39" i="65"/>
  <c r="DS7" i="65" s="1"/>
  <c r="Y81" i="49"/>
  <c r="Y24" i="67"/>
  <c r="Y21" i="67"/>
  <c r="Q21" i="59"/>
  <c r="Q18" i="59"/>
  <c r="Y15" i="67"/>
  <c r="Q15" i="59"/>
  <c r="K7" i="2"/>
  <c r="AW7" i="39" s="1"/>
  <c r="W12" i="52" s="1"/>
  <c r="K43" i="65"/>
  <c r="T91" i="59"/>
  <c r="EC41" i="65"/>
  <c r="DA41" i="65"/>
  <c r="CY41" i="65"/>
  <c r="T82" i="41"/>
  <c r="DO37" i="65"/>
  <c r="DW37" i="65" s="1"/>
  <c r="T84" i="41"/>
  <c r="Q77" i="56"/>
  <c r="U76" i="41"/>
  <c r="U80" i="41"/>
  <c r="O79" i="56"/>
  <c r="V75" i="41"/>
  <c r="O69" i="56"/>
  <c r="F9" i="2"/>
  <c r="U7" i="39" s="1"/>
  <c r="Z58" i="45" s="1"/>
  <c r="Z57" i="45" s="1"/>
  <c r="J8" i="2"/>
  <c r="AO7" i="39" s="1"/>
  <c r="D8" i="2"/>
  <c r="H7" i="39" s="1"/>
  <c r="P7" i="2"/>
  <c r="BT7" i="39" s="1"/>
  <c r="J7" i="2"/>
  <c r="AM7" i="39" s="1"/>
  <c r="D7" i="2"/>
  <c r="F7" i="39" s="1"/>
  <c r="Q12" i="59"/>
  <c r="T70" i="41"/>
  <c r="P55" i="25"/>
  <c r="P54" i="25"/>
  <c r="T67" i="41"/>
  <c r="O62" i="56"/>
  <c r="V60" i="41"/>
  <c r="J10" i="2"/>
  <c r="AS7" i="39" s="1"/>
  <c r="D10" i="2"/>
  <c r="L7" i="39" s="1"/>
  <c r="J9" i="2"/>
  <c r="AQ7" i="39" s="1"/>
  <c r="D9" i="2"/>
  <c r="J7" i="39" s="1"/>
  <c r="Q76" i="56"/>
  <c r="T68" i="41"/>
  <c r="R66" i="59"/>
  <c r="N7" i="2"/>
  <c r="BI7" i="39" s="1"/>
  <c r="R60" i="59"/>
  <c r="X74" i="49"/>
  <c r="T69" i="41"/>
  <c r="N43" i="25"/>
  <c r="P63" i="56"/>
  <c r="Q61" i="56"/>
  <c r="Z11" i="49"/>
  <c r="Y47" i="49"/>
  <c r="U46" i="41"/>
  <c r="P45" i="56"/>
  <c r="S45" i="59"/>
  <c r="U43" i="41"/>
  <c r="P42" i="56"/>
  <c r="S42" i="59"/>
  <c r="Z37" i="49"/>
  <c r="Z29" i="49"/>
  <c r="Z40" i="49"/>
  <c r="V39" i="41"/>
  <c r="Q38" i="56"/>
  <c r="T38" i="59"/>
  <c r="V36" i="41"/>
  <c r="Q35" i="56"/>
  <c r="T35" i="59"/>
  <c r="Z32" i="49"/>
  <c r="V31" i="41"/>
  <c r="Q30" i="56"/>
  <c r="T30" i="59"/>
  <c r="V28" i="41"/>
  <c r="Q27" i="56"/>
  <c r="T27" i="59"/>
  <c r="Z24" i="49"/>
  <c r="V23" i="41"/>
  <c r="Q22" i="56"/>
  <c r="T22" i="59"/>
  <c r="V20" i="41"/>
  <c r="Q19" i="56"/>
  <c r="T19" i="59"/>
  <c r="Q16" i="56"/>
  <c r="Z16" i="49"/>
  <c r="T16" i="59"/>
  <c r="V14" i="41"/>
  <c r="Q13" i="56"/>
  <c r="T13" i="59"/>
  <c r="U47" i="41"/>
  <c r="P46" i="56"/>
  <c r="S46" i="59"/>
  <c r="Y43" i="49"/>
  <c r="U42" i="41"/>
  <c r="P41" i="56"/>
  <c r="O94" i="56"/>
  <c r="V92" i="41"/>
  <c r="U95" i="41"/>
  <c r="S95" i="59"/>
  <c r="S80" i="59"/>
  <c r="Z77" i="49"/>
  <c r="R74" i="59"/>
  <c r="U73" i="41"/>
  <c r="Y73" i="49"/>
  <c r="T65" i="41"/>
  <c r="R65" i="59"/>
  <c r="Z63" i="49"/>
  <c r="X63" i="49"/>
  <c r="S65" i="59"/>
  <c r="O66" i="56"/>
  <c r="Y63" i="49"/>
  <c r="F10" i="2"/>
  <c r="W7" i="39" s="1"/>
  <c r="AA58" i="45" s="1"/>
  <c r="AA57" i="45" s="1"/>
  <c r="AU5" i="42" l="1"/>
  <c r="G63" i="41"/>
  <c r="G57" i="41" s="1"/>
  <c r="M5" i="42"/>
  <c r="L63" i="41"/>
  <c r="L57" i="41" s="1"/>
  <c r="AE5" i="42"/>
  <c r="J63" i="41"/>
  <c r="J57" i="41" s="1"/>
  <c r="AQ5" i="42"/>
  <c r="H63" i="41"/>
  <c r="H57" i="41" s="1"/>
  <c r="AO5" i="42"/>
  <c r="D63" i="41"/>
  <c r="D57" i="41" s="1"/>
  <c r="G5" i="42"/>
  <c r="K63" i="41"/>
  <c r="K57" i="41" s="1"/>
  <c r="AM5" i="42"/>
  <c r="E63" i="41"/>
  <c r="E57" i="41" s="1"/>
  <c r="AK5" i="42"/>
  <c r="C63" i="41"/>
  <c r="C57" i="41" s="1"/>
  <c r="AN5" i="42"/>
  <c r="D15" i="41"/>
  <c r="D9" i="41" s="1"/>
  <c r="B11" i="42"/>
  <c r="B5" i="42" s="1"/>
  <c r="I15" i="41"/>
  <c r="I9" i="41" s="1"/>
  <c r="P5" i="42"/>
  <c r="F15" i="41"/>
  <c r="F9" i="41" s="1"/>
  <c r="AP5" i="42"/>
  <c r="H15" i="41"/>
  <c r="H9" i="41" s="1"/>
  <c r="E5" i="42"/>
  <c r="C11" i="42"/>
  <c r="AT5" i="42"/>
  <c r="G15" i="41"/>
  <c r="G9" i="41" s="1"/>
  <c r="AL5" i="42"/>
  <c r="E15" i="41"/>
  <c r="E9" i="41" s="1"/>
  <c r="AD5" i="42"/>
  <c r="J15" i="41"/>
  <c r="J9" i="41" s="1"/>
  <c r="AJ5" i="42"/>
  <c r="C15" i="41"/>
  <c r="L5" i="42"/>
  <c r="L15" i="41"/>
  <c r="L9" i="41" s="1"/>
  <c r="F5" i="42"/>
  <c r="K15" i="41"/>
  <c r="K9" i="41" s="1"/>
  <c r="W58" i="45"/>
  <c r="X57" i="45"/>
  <c r="W57" i="45" s="1"/>
  <c r="XQ485" i="2"/>
  <c r="XQ484" i="2" s="1"/>
  <c r="WP484" i="2"/>
  <c r="XB485" i="2"/>
  <c r="CB8" i="43"/>
  <c r="CB7" i="43" s="1"/>
  <c r="B1" i="43" s="1"/>
  <c r="AW7" i="43"/>
  <c r="D29" i="44"/>
  <c r="CI7" i="39"/>
  <c r="E56" i="26" s="1"/>
  <c r="CK7" i="39"/>
  <c r="CJ7" i="39"/>
  <c r="CH7" i="39"/>
  <c r="CG7" i="39"/>
  <c r="CF7" i="39"/>
  <c r="Q10" i="59"/>
  <c r="CD7" i="39"/>
  <c r="CE7" i="39"/>
  <c r="H91" i="67"/>
  <c r="H57" i="67" s="1"/>
  <c r="AG5" i="47"/>
  <c r="Z47" i="45"/>
  <c r="AA47" i="67"/>
  <c r="AA28" i="45"/>
  <c r="AB28" i="67"/>
  <c r="Z43" i="45"/>
  <c r="AA43" i="67"/>
  <c r="AA20" i="45"/>
  <c r="AB20" i="67"/>
  <c r="AA39" i="45"/>
  <c r="AB39" i="67"/>
  <c r="Y18" i="45"/>
  <c r="Z18" i="67"/>
  <c r="AA31" i="45"/>
  <c r="AB31" i="67"/>
  <c r="Z46" i="45"/>
  <c r="AA46" i="67"/>
  <c r="Y29" i="45"/>
  <c r="Z29" i="67"/>
  <c r="Z40" i="45"/>
  <c r="AA40" i="67"/>
  <c r="Y19" i="45"/>
  <c r="Z19" i="67"/>
  <c r="Z42" i="45"/>
  <c r="AA42" i="67"/>
  <c r="AA14" i="45"/>
  <c r="AB14" i="67"/>
  <c r="AA23" i="45"/>
  <c r="AB23" i="67"/>
  <c r="AA38" i="45"/>
  <c r="AB38" i="67"/>
  <c r="Z37" i="45"/>
  <c r="AA37" i="67"/>
  <c r="Y26" i="45"/>
  <c r="Z26" i="67"/>
  <c r="Y17" i="45"/>
  <c r="Z17" i="67"/>
  <c r="Y27" i="45"/>
  <c r="Z27" i="67"/>
  <c r="AA36" i="45"/>
  <c r="AB36" i="67"/>
  <c r="Q7" i="2"/>
  <c r="D25" i="35" s="1"/>
  <c r="B25" i="35" s="1"/>
  <c r="FU7" i="65"/>
  <c r="GF24" i="65"/>
  <c r="GP24" i="65" s="1"/>
  <c r="R8" i="2"/>
  <c r="E26" i="35" s="1"/>
  <c r="R7" i="2"/>
  <c r="E25" i="35" s="1"/>
  <c r="C25" i="35" s="1"/>
  <c r="R9" i="2"/>
  <c r="E27" i="35" s="1"/>
  <c r="C27" i="35" s="1"/>
  <c r="R10" i="2"/>
  <c r="E28" i="35" s="1"/>
  <c r="C28" i="35" s="1"/>
  <c r="Q9" i="2"/>
  <c r="D27" i="35" s="1"/>
  <c r="Q8" i="2"/>
  <c r="D26" i="35" s="1"/>
  <c r="B26" i="35" s="1"/>
  <c r="Q10" i="2"/>
  <c r="D28" i="35" s="1"/>
  <c r="B28" i="35" s="1"/>
  <c r="B40" i="65"/>
  <c r="O7" i="65"/>
  <c r="AM7" i="65"/>
  <c r="GS19" i="65"/>
  <c r="HE19" i="65" s="1"/>
  <c r="EK25" i="65"/>
  <c r="GA30" i="65"/>
  <c r="GW22" i="65"/>
  <c r="GL26" i="65"/>
  <c r="GP26" i="65" s="1"/>
  <c r="HH22" i="65"/>
  <c r="B38" i="65"/>
  <c r="IE9" i="65"/>
  <c r="II9" i="65" s="1"/>
  <c r="GH43" i="65"/>
  <c r="GP43" i="65" s="1"/>
  <c r="GA20" i="65"/>
  <c r="BK7" i="65"/>
  <c r="D7" i="65"/>
  <c r="EK27" i="65"/>
  <c r="EY22" i="65"/>
  <c r="IH10" i="65"/>
  <c r="EK26" i="65"/>
  <c r="B16" i="65"/>
  <c r="AI25" i="65"/>
  <c r="P7" i="65"/>
  <c r="B36" i="65"/>
  <c r="GP13" i="65"/>
  <c r="CU24" i="65"/>
  <c r="FY7" i="65"/>
  <c r="CO7" i="65"/>
  <c r="DI25" i="65"/>
  <c r="S16" i="65"/>
  <c r="HC13" i="65"/>
  <c r="HE13" i="65" s="1"/>
  <c r="HH38" i="65"/>
  <c r="HT38" i="65" s="1"/>
  <c r="C19" i="65"/>
  <c r="B39" i="65"/>
  <c r="GP31" i="65"/>
  <c r="B41" i="65"/>
  <c r="EX39" i="65"/>
  <c r="BN41" i="65"/>
  <c r="FB7" i="65"/>
  <c r="ID35" i="65"/>
  <c r="ID7" i="65" s="1"/>
  <c r="BO38" i="65"/>
  <c r="FN7" i="65"/>
  <c r="C11" i="65"/>
  <c r="DD7" i="65"/>
  <c r="CZ7" i="65"/>
  <c r="DH40" i="65"/>
  <c r="HX24" i="65"/>
  <c r="IH24" i="65" s="1"/>
  <c r="EV7" i="65"/>
  <c r="DV31" i="65"/>
  <c r="DV7" i="65" s="1"/>
  <c r="FT7" i="65"/>
  <c r="HD10" i="65"/>
  <c r="B14" i="65"/>
  <c r="CS7" i="65"/>
  <c r="FL37" i="65"/>
  <c r="HZ36" i="65"/>
  <c r="IH36" i="65" s="1"/>
  <c r="HT43" i="65"/>
  <c r="B44" i="65"/>
  <c r="CG7" i="65"/>
  <c r="BI7" i="65"/>
  <c r="HL28" i="65"/>
  <c r="HT28" i="65" s="1"/>
  <c r="B13" i="65"/>
  <c r="CE22" i="65"/>
  <c r="B42" i="65"/>
  <c r="S22" i="65"/>
  <c r="C35" i="65"/>
  <c r="EK20" i="65"/>
  <c r="C8" i="65"/>
  <c r="W7" i="65"/>
  <c r="GI21" i="65"/>
  <c r="GI7" i="65" s="1"/>
  <c r="FL24" i="65"/>
  <c r="GP12" i="65"/>
  <c r="GO17" i="65"/>
  <c r="FM41" i="65"/>
  <c r="FM7" i="65" s="1"/>
  <c r="R31" i="65"/>
  <c r="FS7" i="65"/>
  <c r="HD43" i="65"/>
  <c r="GA22" i="65"/>
  <c r="IH11" i="65"/>
  <c r="HO8" i="65"/>
  <c r="HO7" i="65" s="1"/>
  <c r="EX16" i="65"/>
  <c r="DW16" i="65"/>
  <c r="IH38" i="65"/>
  <c r="U7" i="65"/>
  <c r="DI35" i="65"/>
  <c r="HT10" i="65"/>
  <c r="EY18" i="65"/>
  <c r="BP7" i="65"/>
  <c r="GL15" i="65"/>
  <c r="C15" i="65"/>
  <c r="DW41" i="65"/>
  <c r="IH40" i="65"/>
  <c r="IH16" i="65"/>
  <c r="GP19" i="65"/>
  <c r="IH32" i="65"/>
  <c r="HT16" i="65"/>
  <c r="GP37" i="65"/>
  <c r="BX7" i="35"/>
  <c r="GP41" i="65"/>
  <c r="GP11" i="65"/>
  <c r="EY37" i="65"/>
  <c r="HT21" i="65"/>
  <c r="HS10" i="65"/>
  <c r="DI32" i="65"/>
  <c r="Q7" i="65"/>
  <c r="GA25" i="65"/>
  <c r="AF7" i="65"/>
  <c r="HD40" i="65"/>
  <c r="II37" i="65"/>
  <c r="AY16" i="65"/>
  <c r="EG7" i="65"/>
  <c r="B18" i="65"/>
  <c r="HT11" i="65"/>
  <c r="CU39" i="65"/>
  <c r="EY13" i="65"/>
  <c r="HP31" i="65"/>
  <c r="HT31" i="65" s="1"/>
  <c r="HE17" i="65"/>
  <c r="GE44" i="65"/>
  <c r="GO44" i="65" s="1"/>
  <c r="HL39" i="65"/>
  <c r="GM18" i="65"/>
  <c r="GO18" i="65" s="1"/>
  <c r="AH44" i="65"/>
  <c r="DJ7" i="65"/>
  <c r="BN44" i="65"/>
  <c r="C18" i="65"/>
  <c r="GS22" i="65"/>
  <c r="CE42" i="65"/>
  <c r="GA27" i="65"/>
  <c r="BB7" i="65"/>
  <c r="B8" i="65"/>
  <c r="B34" i="65"/>
  <c r="GP9" i="65"/>
  <c r="HT12" i="65"/>
  <c r="GP21" i="65"/>
  <c r="BZ7" i="65"/>
  <c r="BN38" i="65"/>
  <c r="S18" i="65"/>
  <c r="AR7" i="65"/>
  <c r="BL7" i="65"/>
  <c r="HT9" i="65"/>
  <c r="V7" i="65"/>
  <c r="S11" i="65"/>
  <c r="L7" i="65"/>
  <c r="GP36" i="65"/>
  <c r="FQ7" i="65"/>
  <c r="AK7" i="65"/>
  <c r="HT40" i="65"/>
  <c r="II29" i="65"/>
  <c r="BY7" i="65"/>
  <c r="B31" i="65"/>
  <c r="HE11" i="65"/>
  <c r="HE12" i="65"/>
  <c r="HV37" i="65"/>
  <c r="IH37" i="65" s="1"/>
  <c r="HS19" i="65"/>
  <c r="C27" i="65"/>
  <c r="HJ41" i="65"/>
  <c r="II21" i="65"/>
  <c r="HS28" i="65"/>
  <c r="HS36" i="65"/>
  <c r="DI36" i="65"/>
  <c r="CU28" i="65"/>
  <c r="GO19" i="65"/>
  <c r="HJ30" i="65"/>
  <c r="HT30" i="65" s="1"/>
  <c r="IH26" i="65"/>
  <c r="IH30" i="65"/>
  <c r="EX22" i="65"/>
  <c r="EN7" i="65"/>
  <c r="IH39" i="65"/>
  <c r="HE9" i="65"/>
  <c r="GP42" i="65"/>
  <c r="IH22" i="65"/>
  <c r="BH7" i="65"/>
  <c r="HD36" i="65"/>
  <c r="HD31" i="65"/>
  <c r="C13" i="65"/>
  <c r="C26" i="65"/>
  <c r="GP10" i="65"/>
  <c r="II22" i="65"/>
  <c r="GP33" i="65"/>
  <c r="GO36" i="65"/>
  <c r="AE7" i="65"/>
  <c r="HH20" i="65"/>
  <c r="HT20" i="65" s="1"/>
  <c r="HE10" i="65"/>
  <c r="AI16" i="65"/>
  <c r="GY8" i="65"/>
  <c r="HE8" i="65" s="1"/>
  <c r="GP38" i="65"/>
  <c r="BO18" i="65"/>
  <c r="GO27" i="65"/>
  <c r="HD42" i="65"/>
  <c r="EC7" i="65"/>
  <c r="AX21" i="65"/>
  <c r="DW39" i="65"/>
  <c r="C16" i="65"/>
  <c r="GP18" i="65"/>
  <c r="IA20" i="65"/>
  <c r="II20" i="65" s="1"/>
  <c r="S35" i="65"/>
  <c r="DG7" i="65"/>
  <c r="C42" i="65"/>
  <c r="HD44" i="65"/>
  <c r="AH42" i="65"/>
  <c r="HT42" i="65"/>
  <c r="HS9" i="65"/>
  <c r="IH20" i="65"/>
  <c r="CU18" i="65"/>
  <c r="HK7" i="65"/>
  <c r="TT475" i="2"/>
  <c r="EE41" i="65"/>
  <c r="C41" i="65" s="1"/>
  <c r="GP34" i="65"/>
  <c r="HT15" i="65"/>
  <c r="GP17" i="65"/>
  <c r="HT18" i="65"/>
  <c r="DY7" i="65"/>
  <c r="DW18" i="65"/>
  <c r="HT34" i="65"/>
  <c r="S36" i="65"/>
  <c r="IC8" i="65"/>
  <c r="IC7" i="65" s="1"/>
  <c r="HW27" i="65"/>
  <c r="II27" i="65" s="1"/>
  <c r="GS29" i="65"/>
  <c r="BO29" i="65"/>
  <c r="GA26" i="65"/>
  <c r="K7" i="65"/>
  <c r="EU7" i="65"/>
  <c r="GP29" i="65"/>
  <c r="II19" i="65"/>
  <c r="HE21" i="65"/>
  <c r="GO28" i="65"/>
  <c r="IH13" i="65"/>
  <c r="IH33" i="65"/>
  <c r="GK8" i="65"/>
  <c r="GK7" i="65" s="1"/>
  <c r="HE18" i="65"/>
  <c r="C25" i="65"/>
  <c r="B35" i="65"/>
  <c r="GO45" i="65"/>
  <c r="IH42" i="65"/>
  <c r="IH18" i="65"/>
  <c r="IH43" i="65"/>
  <c r="HT45" i="65"/>
  <c r="HS11" i="65"/>
  <c r="HS32" i="65"/>
  <c r="HG42" i="65"/>
  <c r="HS42" i="65" s="1"/>
  <c r="IH19" i="65"/>
  <c r="FW7" i="65"/>
  <c r="II35" i="65"/>
  <c r="CC7" i="65"/>
  <c r="II23" i="65"/>
  <c r="GO23" i="65"/>
  <c r="GO43" i="65"/>
  <c r="HD12" i="65"/>
  <c r="HD18" i="65"/>
  <c r="HD24" i="65"/>
  <c r="S9" i="65"/>
  <c r="II38" i="65"/>
  <c r="C20" i="65"/>
  <c r="II14" i="65"/>
  <c r="C32" i="65"/>
  <c r="C36" i="65"/>
  <c r="G7" i="65"/>
  <c r="II13" i="65"/>
  <c r="EA7" i="65"/>
  <c r="HD8" i="65"/>
  <c r="GE42" i="65"/>
  <c r="HY42" i="65"/>
  <c r="HY7" i="65" s="1"/>
  <c r="N7" i="65"/>
  <c r="GP23" i="65"/>
  <c r="IH27" i="65"/>
  <c r="HS23" i="65"/>
  <c r="DH34" i="65"/>
  <c r="II10" i="65"/>
  <c r="EO7" i="65"/>
  <c r="HE45" i="65"/>
  <c r="GO34" i="65"/>
  <c r="HT29" i="65"/>
  <c r="GO9" i="65"/>
  <c r="HS20" i="65"/>
  <c r="HS33" i="65"/>
  <c r="HS43" i="65"/>
  <c r="P73" i="56"/>
  <c r="DE22" i="65"/>
  <c r="DI22" i="65" s="1"/>
  <c r="GO16" i="65"/>
  <c r="GO40" i="65"/>
  <c r="C9" i="65"/>
  <c r="BO39" i="65"/>
  <c r="HT17" i="65"/>
  <c r="GP20" i="65"/>
  <c r="DW19" i="65"/>
  <c r="GP32" i="65"/>
  <c r="GA38" i="65"/>
  <c r="HA29" i="65"/>
  <c r="HA7" i="65" s="1"/>
  <c r="AI35" i="65"/>
  <c r="GP40" i="65"/>
  <c r="C39" i="65"/>
  <c r="HE15" i="65"/>
  <c r="II16" i="65"/>
  <c r="IH28" i="65"/>
  <c r="CT7" i="65"/>
  <c r="HD11" i="65"/>
  <c r="HD17" i="65"/>
  <c r="HD23" i="65"/>
  <c r="HD29" i="65"/>
  <c r="GR35" i="65"/>
  <c r="HD35" i="65" s="1"/>
  <c r="DX7" i="65"/>
  <c r="GO35" i="65"/>
  <c r="FR7" i="65"/>
  <c r="IB7" i="65"/>
  <c r="IH45" i="65"/>
  <c r="FL35" i="65"/>
  <c r="GO26" i="65"/>
  <c r="HG13" i="65"/>
  <c r="HS13" i="65" s="1"/>
  <c r="HG34" i="65"/>
  <c r="HS34" i="65" s="1"/>
  <c r="HS45" i="65"/>
  <c r="IH14" i="65"/>
  <c r="BO33" i="65"/>
  <c r="II40" i="65"/>
  <c r="HE24" i="65"/>
  <c r="B25" i="65"/>
  <c r="HD30" i="65"/>
  <c r="GP27" i="65"/>
  <c r="C30" i="65"/>
  <c r="HE39" i="65"/>
  <c r="HT33" i="65"/>
  <c r="GN7" i="65"/>
  <c r="AI24" i="65"/>
  <c r="DO7" i="65"/>
  <c r="EJ8" i="65"/>
  <c r="EJ7" i="65" s="1"/>
  <c r="II18" i="65"/>
  <c r="HT25" i="65"/>
  <c r="GV7" i="65"/>
  <c r="GO11" i="65"/>
  <c r="FZ44" i="65"/>
  <c r="FZ7" i="65" s="1"/>
  <c r="HV44" i="65"/>
  <c r="IH44" i="65" s="1"/>
  <c r="IG41" i="65"/>
  <c r="II41" i="65" s="1"/>
  <c r="HG25" i="65"/>
  <c r="HS25" i="65" s="1"/>
  <c r="HE33" i="65"/>
  <c r="II34" i="65"/>
  <c r="EW7" i="65"/>
  <c r="HT26" i="65"/>
  <c r="GO25" i="65"/>
  <c r="HM7" i="65"/>
  <c r="HS22" i="65"/>
  <c r="HS35" i="65"/>
  <c r="X64" i="49"/>
  <c r="BG14" i="65"/>
  <c r="HL37" i="65"/>
  <c r="II26" i="65"/>
  <c r="HE28" i="65"/>
  <c r="GP39" i="65"/>
  <c r="HE20" i="65"/>
  <c r="IF7" i="65"/>
  <c r="CD13" i="65"/>
  <c r="HT23" i="65"/>
  <c r="GC37" i="65"/>
  <c r="GO37" i="65" s="1"/>
  <c r="B37" i="65"/>
  <c r="R37" i="65"/>
  <c r="IH9" i="65"/>
  <c r="FL14" i="65"/>
  <c r="GU42" i="65"/>
  <c r="HE42" i="65" s="1"/>
  <c r="HS15" i="65"/>
  <c r="IH15" i="65"/>
  <c r="IH21" i="65"/>
  <c r="GO10" i="65"/>
  <c r="CE16" i="65"/>
  <c r="GO15" i="65"/>
  <c r="II24" i="65"/>
  <c r="HD14" i="65"/>
  <c r="HD20" i="65"/>
  <c r="HD26" i="65"/>
  <c r="HT27" i="65"/>
  <c r="HE30" i="65"/>
  <c r="GP16" i="65"/>
  <c r="GP35" i="65"/>
  <c r="FA7" i="65"/>
  <c r="HW25" i="65"/>
  <c r="II25" i="65" s="1"/>
  <c r="HD9" i="65"/>
  <c r="IH29" i="65"/>
  <c r="HD39" i="65"/>
  <c r="FJ7" i="65"/>
  <c r="HS26" i="65"/>
  <c r="AQ7" i="65"/>
  <c r="HE36" i="65"/>
  <c r="M7" i="65"/>
  <c r="HD32" i="65"/>
  <c r="CD45" i="65"/>
  <c r="C28" i="65"/>
  <c r="HE43" i="65"/>
  <c r="BX7" i="65"/>
  <c r="HS12" i="65"/>
  <c r="HS24" i="65"/>
  <c r="HS37" i="65"/>
  <c r="HT32" i="65"/>
  <c r="HT36" i="65"/>
  <c r="DI41" i="65"/>
  <c r="GP28" i="65"/>
  <c r="C38" i="65"/>
  <c r="II15" i="65"/>
  <c r="HD25" i="65"/>
  <c r="HZ8" i="65"/>
  <c r="EP7" i="65"/>
  <c r="C24" i="65"/>
  <c r="GO13" i="65"/>
  <c r="GX45" i="65"/>
  <c r="HD45" i="65" s="1"/>
  <c r="HS17" i="65"/>
  <c r="CU8" i="65"/>
  <c r="BO35" i="65"/>
  <c r="II39" i="65"/>
  <c r="HE41" i="65"/>
  <c r="GJ7" i="65"/>
  <c r="HE25" i="65"/>
  <c r="GO20" i="65"/>
  <c r="DN7" i="65"/>
  <c r="II30" i="65"/>
  <c r="HL41" i="65"/>
  <c r="HP39" i="65"/>
  <c r="GO32" i="65"/>
  <c r="GP22" i="65"/>
  <c r="CY7" i="65"/>
  <c r="AY15" i="65"/>
  <c r="HW28" i="65"/>
  <c r="II28" i="65" s="1"/>
  <c r="EY28" i="65"/>
  <c r="GO31" i="65"/>
  <c r="DA7" i="65"/>
  <c r="DI39" i="65"/>
  <c r="HD38" i="65"/>
  <c r="GZ13" i="65"/>
  <c r="GZ7" i="65" s="1"/>
  <c r="CD15" i="65"/>
  <c r="HE26" i="65"/>
  <c r="GC33" i="65"/>
  <c r="GO33" i="65" s="1"/>
  <c r="B33" i="65"/>
  <c r="R33" i="65"/>
  <c r="HE44" i="65"/>
  <c r="GO22" i="65"/>
  <c r="HE32" i="65"/>
  <c r="II33" i="65"/>
  <c r="HE35" i="65"/>
  <c r="BC7" i="65"/>
  <c r="R22" i="65"/>
  <c r="HT13" i="65"/>
  <c r="HS14" i="65"/>
  <c r="HS27" i="65"/>
  <c r="HS39" i="65"/>
  <c r="HT8" i="65"/>
  <c r="II12" i="65"/>
  <c r="CU22" i="65"/>
  <c r="HE27" i="65"/>
  <c r="DM7" i="65"/>
  <c r="GT7" i="65"/>
  <c r="GO39" i="65"/>
  <c r="HD19" i="65"/>
  <c r="S43" i="65"/>
  <c r="IH12" i="65"/>
  <c r="GD45" i="65"/>
  <c r="GP45" i="65" s="1"/>
  <c r="HI7" i="65"/>
  <c r="HS38" i="65"/>
  <c r="IH17" i="65"/>
  <c r="IH23" i="65"/>
  <c r="CQ7" i="65"/>
  <c r="EY36" i="65"/>
  <c r="B22" i="65"/>
  <c r="HD16" i="65"/>
  <c r="HD22" i="65"/>
  <c r="HD28" i="65"/>
  <c r="II45" i="65"/>
  <c r="HS16" i="65"/>
  <c r="GO38" i="65"/>
  <c r="HT19" i="65"/>
  <c r="C33" i="65"/>
  <c r="HT35" i="65"/>
  <c r="DU7" i="65"/>
  <c r="EM7" i="65"/>
  <c r="II11" i="65"/>
  <c r="II17" i="65"/>
  <c r="AI43" i="65"/>
  <c r="IH25" i="65"/>
  <c r="C43" i="65"/>
  <c r="HD41" i="65"/>
  <c r="C45" i="65"/>
  <c r="HS30" i="65"/>
  <c r="II36" i="65"/>
  <c r="GP44" i="65"/>
  <c r="GO29" i="65"/>
  <c r="GO41" i="65"/>
  <c r="HD34" i="65"/>
  <c r="GP14" i="65"/>
  <c r="HS29" i="65"/>
  <c r="C37" i="65"/>
  <c r="HR7" i="65"/>
  <c r="HT14" i="65"/>
  <c r="HE16" i="65"/>
  <c r="EY43" i="65"/>
  <c r="HB7" i="65"/>
  <c r="HD15" i="65"/>
  <c r="HD21" i="65"/>
  <c r="HD27" i="65"/>
  <c r="HD33" i="65"/>
  <c r="CU42" i="65"/>
  <c r="HT24" i="65"/>
  <c r="GO14" i="65"/>
  <c r="IH41" i="65"/>
  <c r="HQ7" i="65"/>
  <c r="HS21" i="65"/>
  <c r="HS40" i="65"/>
  <c r="FO7" i="65"/>
  <c r="HE40" i="65"/>
  <c r="HE23" i="65"/>
  <c r="GA44" i="65"/>
  <c r="HW44" i="65"/>
  <c r="II44" i="65" s="1"/>
  <c r="IH34" i="65"/>
  <c r="C29" i="65"/>
  <c r="GG7" i="65"/>
  <c r="EQ7" i="65"/>
  <c r="HE38" i="65"/>
  <c r="S37" i="65"/>
  <c r="ES7" i="65"/>
  <c r="AX8" i="65"/>
  <c r="AJ7" i="65"/>
  <c r="II43" i="65"/>
  <c r="GO12" i="65"/>
  <c r="GC8" i="65"/>
  <c r="GP25" i="65"/>
  <c r="B15" i="65"/>
  <c r="EX18" i="65"/>
  <c r="GO24" i="65"/>
  <c r="GA8" i="65"/>
  <c r="II32" i="65"/>
  <c r="HE34" i="65"/>
  <c r="EY35" i="65"/>
  <c r="HH37" i="65"/>
  <c r="DI37" i="65"/>
  <c r="DC7" i="65"/>
  <c r="HS18" i="65"/>
  <c r="HS31" i="65"/>
  <c r="HS41" i="65"/>
  <c r="GP8" i="65"/>
  <c r="E25" i="62"/>
  <c r="E20" i="62"/>
  <c r="E21" i="62"/>
  <c r="H13" i="62"/>
  <c r="H28" i="62"/>
  <c r="G25" i="62"/>
  <c r="G13" i="62"/>
  <c r="H22" i="62"/>
  <c r="H56" i="62" s="1"/>
  <c r="G9" i="62"/>
  <c r="I10" i="62"/>
  <c r="J13" i="62"/>
  <c r="J45" i="62"/>
  <c r="J19" i="62"/>
  <c r="E27" i="62"/>
  <c r="E26" i="62"/>
  <c r="E30" i="62"/>
  <c r="H19" i="62"/>
  <c r="G28" i="62"/>
  <c r="G50" i="62"/>
  <c r="K6" i="61"/>
  <c r="G14" i="62"/>
  <c r="G12" i="62"/>
  <c r="H12" i="62"/>
  <c r="I13" i="62"/>
  <c r="I14" i="62"/>
  <c r="I29" i="62"/>
  <c r="J54" i="62"/>
  <c r="J26" i="62"/>
  <c r="F18" i="62"/>
  <c r="E29" i="62"/>
  <c r="E18" i="62"/>
  <c r="E36" i="62"/>
  <c r="E9" i="62"/>
  <c r="H31" i="62"/>
  <c r="G34" i="62"/>
  <c r="G20" i="62"/>
  <c r="G60" i="62" s="1"/>
  <c r="G59" i="62"/>
  <c r="G30" i="62"/>
  <c r="J21" i="62"/>
  <c r="I15" i="62"/>
  <c r="R6" i="61"/>
  <c r="J8" i="62" s="1"/>
  <c r="J52" i="62" s="1"/>
  <c r="J16" i="62"/>
  <c r="F11" i="62"/>
  <c r="E24" i="62"/>
  <c r="E23" i="62"/>
  <c r="E15" i="62"/>
  <c r="G26" i="62"/>
  <c r="G27" i="62"/>
  <c r="G36" i="62"/>
  <c r="H24" i="62"/>
  <c r="L6" i="61"/>
  <c r="J32" i="62"/>
  <c r="I19" i="62"/>
  <c r="J22" i="62"/>
  <c r="J56" i="62" s="1"/>
  <c r="J12" i="62"/>
  <c r="F35" i="62"/>
  <c r="E35" i="62"/>
  <c r="H9" i="62"/>
  <c r="G33" i="62"/>
  <c r="H30" i="62"/>
  <c r="H51" i="62"/>
  <c r="I46" i="62"/>
  <c r="I21" i="62"/>
  <c r="J28" i="62"/>
  <c r="Q6" i="61"/>
  <c r="I8" i="62" s="1"/>
  <c r="I52" i="62" s="1"/>
  <c r="J34" i="62"/>
  <c r="J18" i="62"/>
  <c r="F17" i="62"/>
  <c r="F19" i="62"/>
  <c r="X6" i="61"/>
  <c r="L8" i="62" s="1"/>
  <c r="L52" i="62" s="1"/>
  <c r="E13" i="62"/>
  <c r="F25" i="62"/>
  <c r="G23" i="62"/>
  <c r="H25" i="62"/>
  <c r="H10" i="62"/>
  <c r="H36" i="62"/>
  <c r="H20" i="62"/>
  <c r="H60" i="62" s="1"/>
  <c r="I11" i="62"/>
  <c r="I22" i="62"/>
  <c r="I56" i="62" s="1"/>
  <c r="J11" i="62"/>
  <c r="I51" i="62"/>
  <c r="J30" i="62"/>
  <c r="F16" i="62"/>
  <c r="F21" i="62"/>
  <c r="F15" i="62"/>
  <c r="E31" i="62"/>
  <c r="H45" i="62"/>
  <c r="G29" i="62"/>
  <c r="G54" i="62"/>
  <c r="H16" i="62"/>
  <c r="H26" i="62"/>
  <c r="I25" i="62"/>
  <c r="J17" i="62"/>
  <c r="J36" i="62"/>
  <c r="F20" i="62"/>
  <c r="F14" i="62"/>
  <c r="F23" i="62"/>
  <c r="F54" i="62"/>
  <c r="E11" i="62"/>
  <c r="H17" i="62"/>
  <c r="H27" i="62"/>
  <c r="G17" i="62"/>
  <c r="H32" i="62"/>
  <c r="I45" i="62"/>
  <c r="I20" i="62"/>
  <c r="I60" i="62" s="1"/>
  <c r="I27" i="62"/>
  <c r="J23" i="62"/>
  <c r="J59" i="62"/>
  <c r="I26" i="62"/>
  <c r="F26" i="62"/>
  <c r="G6" i="61"/>
  <c r="G32" i="62"/>
  <c r="G10" i="62"/>
  <c r="H33" i="62"/>
  <c r="G18" i="62"/>
  <c r="G35" i="62"/>
  <c r="G55" i="62" s="1"/>
  <c r="I12" i="62"/>
  <c r="I32" i="62"/>
  <c r="I33" i="62"/>
  <c r="J29" i="62"/>
  <c r="F31" i="62"/>
  <c r="E12" i="62"/>
  <c r="F24" i="62"/>
  <c r="G16" i="62"/>
  <c r="H34" i="62"/>
  <c r="G24" i="62"/>
  <c r="I16" i="62"/>
  <c r="I18" i="62"/>
  <c r="J35" i="62"/>
  <c r="J55" i="62" s="1"/>
  <c r="H6" i="61"/>
  <c r="E17" i="62"/>
  <c r="G22" i="62"/>
  <c r="G56" i="62" s="1"/>
  <c r="I28" i="62"/>
  <c r="J51" i="62"/>
  <c r="J50" i="62"/>
  <c r="J46" i="62"/>
  <c r="J24" i="62"/>
  <c r="F36" i="62"/>
  <c r="E19" i="62"/>
  <c r="E46" i="62"/>
  <c r="H11" i="62"/>
  <c r="G31" i="62"/>
  <c r="H29" i="62"/>
  <c r="I34" i="62"/>
  <c r="I9" i="62"/>
  <c r="J20" i="62"/>
  <c r="J60" i="62" s="1"/>
  <c r="J14" i="62"/>
  <c r="J25" i="62"/>
  <c r="J9" i="62"/>
  <c r="J15" i="62"/>
  <c r="J27" i="62"/>
  <c r="J33" i="62"/>
  <c r="W6" i="61"/>
  <c r="P90" i="56"/>
  <c r="Y7" i="35"/>
  <c r="SL475" i="2"/>
  <c r="OK473" i="2"/>
  <c r="L9" i="35"/>
  <c r="N12" i="35"/>
  <c r="WX9" i="2"/>
  <c r="WO9" i="2"/>
  <c r="WZ10" i="2"/>
  <c r="WW10" i="2"/>
  <c r="S58" i="41"/>
  <c r="XA7" i="2"/>
  <c r="AA1" i="39" s="1"/>
  <c r="UX475" i="2"/>
  <c r="W10" i="49"/>
  <c r="WT7" i="2"/>
  <c r="WO8" i="2"/>
  <c r="WP10" i="2"/>
  <c r="P12" i="35"/>
  <c r="WN7" i="2"/>
  <c r="WZ9" i="2"/>
  <c r="X10" i="49"/>
  <c r="WT8" i="2"/>
  <c r="WQ10" i="2"/>
  <c r="W1" i="39" s="1"/>
  <c r="N59" i="56"/>
  <c r="WY7" i="2"/>
  <c r="WV7" i="2"/>
  <c r="WQ8" i="2"/>
  <c r="WY8" i="2"/>
  <c r="WN10" i="2"/>
  <c r="WV9" i="2"/>
  <c r="WY10" i="2"/>
  <c r="WX10" i="2"/>
  <c r="WZ7" i="2"/>
  <c r="WN8" i="2"/>
  <c r="WP9" i="2"/>
  <c r="WV8" i="2"/>
  <c r="WT9" i="2"/>
  <c r="WX7" i="2"/>
  <c r="WW7" i="2"/>
  <c r="T58" i="59"/>
  <c r="WO10" i="2"/>
  <c r="WP8" i="2"/>
  <c r="WT10" i="2"/>
  <c r="WX8" i="2"/>
  <c r="WP7" i="2"/>
  <c r="T10" i="41"/>
  <c r="WZ8" i="2"/>
  <c r="WQ7" i="2"/>
  <c r="XA9" i="2"/>
  <c r="AE1" i="39" s="1"/>
  <c r="XA10" i="2"/>
  <c r="AG1" i="39" s="1"/>
  <c r="WN9" i="2"/>
  <c r="Q58" i="59"/>
  <c r="WO7" i="2"/>
  <c r="F1" i="39" s="1"/>
  <c r="WV10" i="2"/>
  <c r="G14" i="6" s="1"/>
  <c r="WW8" i="2"/>
  <c r="HZ475" i="2"/>
  <c r="Y72" i="49"/>
  <c r="OK475" i="2"/>
  <c r="GK475" i="2"/>
  <c r="TN475" i="2"/>
  <c r="TR475" i="2"/>
  <c r="HA475" i="2"/>
  <c r="SP475" i="2"/>
  <c r="IG475" i="2"/>
  <c r="DJ475" i="2"/>
  <c r="WL475" i="2"/>
  <c r="CC475" i="2"/>
  <c r="AI12" i="35"/>
  <c r="IX475" i="2"/>
  <c r="BT12" i="35"/>
  <c r="UO475" i="2"/>
  <c r="Y12" i="35"/>
  <c r="FV475" i="2"/>
  <c r="DB475" i="2"/>
  <c r="BO12" i="35"/>
  <c r="ST475" i="2"/>
  <c r="U12" i="35"/>
  <c r="EP475" i="2"/>
  <c r="AW475" i="2"/>
  <c r="BZ12" i="35"/>
  <c r="WK475" i="2"/>
  <c r="BX12" i="35"/>
  <c r="VU475" i="2"/>
  <c r="AD12" i="35"/>
  <c r="HQ475" i="2"/>
  <c r="CT475" i="2"/>
  <c r="R12" i="35"/>
  <c r="DY475" i="2"/>
  <c r="DI475" i="2"/>
  <c r="FE475" i="2"/>
  <c r="ID475" i="2"/>
  <c r="QX475" i="2"/>
  <c r="NF475" i="2"/>
  <c r="SC475" i="2"/>
  <c r="NU475" i="2"/>
  <c r="W12" i="35"/>
  <c r="FF475" i="2"/>
  <c r="EO475" i="2"/>
  <c r="LI475" i="2"/>
  <c r="VF475" i="2"/>
  <c r="AG475" i="2"/>
  <c r="DZ475" i="2"/>
  <c r="IH475" i="2"/>
  <c r="AA12" i="35"/>
  <c r="GL475" i="2"/>
  <c r="AT12" i="35"/>
  <c r="MO475" i="2"/>
  <c r="Q475" i="2"/>
  <c r="IW475" i="2"/>
  <c r="PB475" i="2"/>
  <c r="AK12" i="35"/>
  <c r="JN475" i="2"/>
  <c r="AE12" i="35"/>
  <c r="HR475" i="2"/>
  <c r="OL475" i="2"/>
  <c r="TZ475" i="2"/>
  <c r="AO12" i="35"/>
  <c r="KT475" i="2"/>
  <c r="AM12" i="35"/>
  <c r="KD475" i="2"/>
  <c r="BQ12" i="35"/>
  <c r="TJ475" i="2"/>
  <c r="BU12" i="35"/>
  <c r="UP475" i="2"/>
  <c r="BP12" i="35"/>
  <c r="BP6" i="35" s="1"/>
  <c r="TI475" i="2"/>
  <c r="AQ12" i="35"/>
  <c r="LJ475" i="2"/>
  <c r="BN475" i="2"/>
  <c r="BK12" i="35"/>
  <c r="BK6" i="35" s="1"/>
  <c r="RN475" i="2"/>
  <c r="SD475" i="2"/>
  <c r="AH475" i="2"/>
  <c r="PR475" i="2"/>
  <c r="AJ12" i="35"/>
  <c r="JM475" i="2"/>
  <c r="BD12" i="35"/>
  <c r="BD6" i="35" s="1"/>
  <c r="PQ475" i="2"/>
  <c r="AU12" i="35"/>
  <c r="MP475" i="2"/>
  <c r="BM475" i="2"/>
  <c r="M12" i="35"/>
  <c r="CD475" i="2"/>
  <c r="AC12" i="35"/>
  <c r="HB475" i="2"/>
  <c r="E12" i="35"/>
  <c r="R475" i="2"/>
  <c r="PA475" i="2"/>
  <c r="AR12" i="35"/>
  <c r="LY475" i="2"/>
  <c r="BJ12" i="35"/>
  <c r="RM475" i="2"/>
  <c r="KS475" i="2"/>
  <c r="BR12" i="35"/>
  <c r="TY475" i="2"/>
  <c r="QW475" i="2"/>
  <c r="BN12" i="35"/>
  <c r="SS475" i="2"/>
  <c r="NE475" i="2"/>
  <c r="BY12" i="35"/>
  <c r="VV475" i="2"/>
  <c r="BV12" i="35"/>
  <c r="VE475" i="2"/>
  <c r="AX475" i="2"/>
  <c r="AS12" i="35"/>
  <c r="LZ475" i="2"/>
  <c r="AL12" i="35"/>
  <c r="KC475" i="2"/>
  <c r="X12" i="35"/>
  <c r="FU475" i="2"/>
  <c r="H9" i="35"/>
  <c r="K8" i="35"/>
  <c r="E11" i="2"/>
  <c r="D9" i="5" s="1"/>
  <c r="T12" i="35"/>
  <c r="Y6" i="61"/>
  <c r="Y5" i="61" s="1"/>
  <c r="BS12" i="35"/>
  <c r="N18" i="35"/>
  <c r="AB15" i="35"/>
  <c r="AB7" i="35" s="1"/>
  <c r="AV12" i="35"/>
  <c r="AL18" i="35"/>
  <c r="AH22" i="35"/>
  <c r="V13" i="35"/>
  <c r="W14" i="35"/>
  <c r="R34" i="59"/>
  <c r="BH22" i="35"/>
  <c r="BH9" i="35" s="1"/>
  <c r="AX21" i="35"/>
  <c r="BF7" i="35"/>
  <c r="L33" i="62"/>
  <c r="K24" i="62"/>
  <c r="T19" i="35"/>
  <c r="T20" i="35"/>
  <c r="K17" i="62"/>
  <c r="G68" i="25"/>
  <c r="I8" i="35"/>
  <c r="J8" i="35"/>
  <c r="L27" i="62"/>
  <c r="VV471" i="2"/>
  <c r="L45" i="62"/>
  <c r="L11" i="62"/>
  <c r="K27" i="62"/>
  <c r="K29" i="62"/>
  <c r="K54" i="62"/>
  <c r="O8" i="35"/>
  <c r="N7" i="35"/>
  <c r="L34" i="62"/>
  <c r="K50" i="62"/>
  <c r="K33" i="62"/>
  <c r="K9" i="62"/>
  <c r="K15" i="62"/>
  <c r="BP8" i="35"/>
  <c r="Q473" i="2"/>
  <c r="K25" i="62"/>
  <c r="V5" i="61"/>
  <c r="AC7" i="35"/>
  <c r="KC471" i="2"/>
  <c r="KD471" i="2"/>
  <c r="FU471" i="2"/>
  <c r="H7" i="35"/>
  <c r="R472" i="2"/>
  <c r="FV471" i="2"/>
  <c r="L36" i="62"/>
  <c r="K51" i="62"/>
  <c r="K32" i="62"/>
  <c r="P8" i="35"/>
  <c r="J7" i="35"/>
  <c r="L22" i="62"/>
  <c r="L56" i="62" s="1"/>
  <c r="AK7" i="35"/>
  <c r="AV7" i="35"/>
  <c r="AG7" i="35"/>
  <c r="F19" i="35"/>
  <c r="I59" i="62"/>
  <c r="I36" i="62"/>
  <c r="P7" i="35"/>
  <c r="Q7" i="35"/>
  <c r="L50" i="62"/>
  <c r="W7" i="35"/>
  <c r="E32" i="62"/>
  <c r="H59" i="62"/>
  <c r="P5" i="61"/>
  <c r="E59" i="62"/>
  <c r="AT7" i="35"/>
  <c r="K2" i="61"/>
  <c r="MP471" i="2"/>
  <c r="TI471" i="2"/>
  <c r="U8" i="35"/>
  <c r="L29" i="62"/>
  <c r="T5" i="61"/>
  <c r="K26" i="62"/>
  <c r="F33" i="62"/>
  <c r="L20" i="62"/>
  <c r="L60" i="62" s="1"/>
  <c r="L24" i="62"/>
  <c r="K16" i="62"/>
  <c r="K11" i="62"/>
  <c r="K23" i="62"/>
  <c r="L26" i="62"/>
  <c r="L59" i="62"/>
  <c r="K14" i="62"/>
  <c r="K30" i="62"/>
  <c r="K13" i="62"/>
  <c r="K31" i="62"/>
  <c r="L14" i="62"/>
  <c r="L32" i="62"/>
  <c r="K20" i="62"/>
  <c r="K60" i="62" s="1"/>
  <c r="K34" i="62"/>
  <c r="L17" i="62"/>
  <c r="K19" i="62"/>
  <c r="L16" i="62"/>
  <c r="L51" i="62"/>
  <c r="L23" i="62"/>
  <c r="K21" i="62"/>
  <c r="L18" i="62"/>
  <c r="L9" i="62"/>
  <c r="L35" i="62"/>
  <c r="L55" i="62" s="1"/>
  <c r="K35" i="62"/>
  <c r="K55" i="62" s="1"/>
  <c r="K45" i="62"/>
  <c r="L46" i="62"/>
  <c r="K46" i="62"/>
  <c r="L21" i="62"/>
  <c r="K10" i="62"/>
  <c r="L12" i="62"/>
  <c r="L13" i="62"/>
  <c r="L28" i="62"/>
  <c r="L19" i="62"/>
  <c r="K36" i="62"/>
  <c r="L30" i="62"/>
  <c r="L31" i="62"/>
  <c r="Z5" i="61"/>
  <c r="K59" i="62"/>
  <c r="K12" i="62"/>
  <c r="K28" i="62"/>
  <c r="L10" i="62"/>
  <c r="K22" i="62"/>
  <c r="K56" i="62" s="1"/>
  <c r="AD9" i="35"/>
  <c r="PB471" i="2"/>
  <c r="HQ474" i="2"/>
  <c r="AL7" i="35"/>
  <c r="PB472" i="2"/>
  <c r="J9" i="35"/>
  <c r="QH473" i="2"/>
  <c r="L9" i="45"/>
  <c r="S5" i="61"/>
  <c r="BE7" i="35"/>
  <c r="O5" i="61"/>
  <c r="E50" i="62"/>
  <c r="L54" i="62"/>
  <c r="L25" i="62"/>
  <c r="G51" i="62"/>
  <c r="F32" i="62"/>
  <c r="AD8" i="35"/>
  <c r="V7" i="35"/>
  <c r="D7" i="35"/>
  <c r="BA8" i="35"/>
  <c r="BM472" i="2"/>
  <c r="H18" i="35"/>
  <c r="H8" i="35" s="1"/>
  <c r="AW473" i="2"/>
  <c r="BU15" i="35"/>
  <c r="AB5" i="42"/>
  <c r="BG5" i="42"/>
  <c r="AJ16" i="35"/>
  <c r="JM472" i="2"/>
  <c r="BS18" i="35"/>
  <c r="TZ473" i="2"/>
  <c r="U17" i="35"/>
  <c r="U7" i="35" s="1"/>
  <c r="AF18" i="35"/>
  <c r="AF8" i="35" s="1"/>
  <c r="XA473" i="2"/>
  <c r="AU7" i="35"/>
  <c r="IW473" i="2"/>
  <c r="BW21" i="35"/>
  <c r="BW9" i="35" s="1"/>
  <c r="G2" i="61"/>
  <c r="I5" i="61"/>
  <c r="AB5" i="61"/>
  <c r="M5" i="61"/>
  <c r="J5" i="61"/>
  <c r="AA5" i="61"/>
  <c r="N5" i="61"/>
  <c r="HA471" i="2"/>
  <c r="BB7" i="35"/>
  <c r="I7" i="35"/>
  <c r="Z7" i="35"/>
  <c r="L8" i="35"/>
  <c r="AZ9" i="35"/>
  <c r="I2" i="61"/>
  <c r="AZ7" i="35"/>
  <c r="AP8" i="35"/>
  <c r="BS5" i="42"/>
  <c r="AG8" i="35"/>
  <c r="AW7" i="35"/>
  <c r="Z9" i="35"/>
  <c r="BF8" i="35"/>
  <c r="BP7" i="35"/>
  <c r="Y89" i="49"/>
  <c r="HA472" i="2"/>
  <c r="FF472" i="2"/>
  <c r="HB471" i="2"/>
  <c r="AX473" i="2"/>
  <c r="CS471" i="2"/>
  <c r="LZ472" i="2"/>
  <c r="PA471" i="2"/>
  <c r="OK474" i="2"/>
  <c r="KC473" i="2"/>
  <c r="J2" i="61"/>
  <c r="G147" i="25"/>
  <c r="UO472" i="2"/>
  <c r="VU472" i="2"/>
  <c r="AX471" i="2"/>
  <c r="TI472" i="2"/>
  <c r="OK471" i="2"/>
  <c r="HB473" i="2"/>
  <c r="HB472" i="2"/>
  <c r="QH472" i="2"/>
  <c r="IX473" i="2"/>
  <c r="IG473" i="2"/>
  <c r="OL473" i="2"/>
  <c r="CC473" i="2"/>
  <c r="BO5" i="42"/>
  <c r="F57" i="41"/>
  <c r="HA473" i="2"/>
  <c r="HR473" i="2"/>
  <c r="TJ472" i="2"/>
  <c r="BM473" i="2"/>
  <c r="WL471" i="2"/>
  <c r="R473" i="2"/>
  <c r="BD7" i="35"/>
  <c r="BL5" i="42"/>
  <c r="LY471" i="2"/>
  <c r="N57" i="41"/>
  <c r="AX472" i="2"/>
  <c r="VU471" i="2"/>
  <c r="PR472" i="2"/>
  <c r="CT473" i="2"/>
  <c r="AW474" i="2"/>
  <c r="DJ473" i="2"/>
  <c r="KS471" i="2"/>
  <c r="FV472" i="2"/>
  <c r="RN471" i="2"/>
  <c r="Q8" i="35"/>
  <c r="EO473" i="2"/>
  <c r="OK472" i="2"/>
  <c r="IH472" i="2"/>
  <c r="J5" i="42"/>
  <c r="NF472" i="2"/>
  <c r="LY472" i="2"/>
  <c r="LJ471" i="2"/>
  <c r="HQ471" i="2"/>
  <c r="AW472" i="2"/>
  <c r="HR472" i="2"/>
  <c r="WY474" i="2"/>
  <c r="TJ471" i="2"/>
  <c r="IH471" i="2"/>
  <c r="BZ7" i="35"/>
  <c r="AH6" i="35"/>
  <c r="PA472" i="2"/>
  <c r="AB9" i="35"/>
  <c r="AE20" i="35"/>
  <c r="AE8" i="35" s="1"/>
  <c r="BR19" i="35"/>
  <c r="AQ20" i="35"/>
  <c r="AQ8" i="35" s="1"/>
  <c r="AA20" i="35"/>
  <c r="AA8" i="35" s="1"/>
  <c r="GL473" i="2"/>
  <c r="X20" i="35"/>
  <c r="X8" i="35" s="1"/>
  <c r="FU473" i="2"/>
  <c r="BS17" i="35"/>
  <c r="BS7" i="35" s="1"/>
  <c r="TZ472" i="2"/>
  <c r="BV17" i="35"/>
  <c r="BV7" i="35" s="1"/>
  <c r="AO13" i="35"/>
  <c r="KT471" i="2"/>
  <c r="BV13" i="35"/>
  <c r="VE471" i="2"/>
  <c r="BR13" i="35"/>
  <c r="AF12" i="35"/>
  <c r="AZ12" i="35"/>
  <c r="Q12" i="35"/>
  <c r="DJ471" i="2"/>
  <c r="CA12" i="35"/>
  <c r="LI471" i="2"/>
  <c r="AP12" i="35"/>
  <c r="K12" i="35"/>
  <c r="BN471" i="2"/>
  <c r="L12" i="35"/>
  <c r="CC471" i="2"/>
  <c r="E19" i="35"/>
  <c r="KC472" i="2"/>
  <c r="GK473" i="2"/>
  <c r="DZ473" i="2"/>
  <c r="JN471" i="2"/>
  <c r="Q472" i="2"/>
  <c r="TJ473" i="2"/>
  <c r="CD472" i="2"/>
  <c r="JN472" i="2"/>
  <c r="DJ472" i="2"/>
  <c r="AN12" i="35"/>
  <c r="MO472" i="2"/>
  <c r="GK474" i="2"/>
  <c r="SS472" i="2"/>
  <c r="MP473" i="2"/>
  <c r="KD472" i="2"/>
  <c r="BN472" i="2"/>
  <c r="DY474" i="2"/>
  <c r="AW471" i="2"/>
  <c r="OL471" i="2"/>
  <c r="PA473" i="2"/>
  <c r="CC474" i="2"/>
  <c r="DI472" i="2"/>
  <c r="IW471" i="2"/>
  <c r="UO471" i="2"/>
  <c r="NE472" i="2"/>
  <c r="RM471" i="2"/>
  <c r="Q5" i="42"/>
  <c r="DY471" i="2"/>
  <c r="BN7" i="35"/>
  <c r="G100" i="25"/>
  <c r="NU473" i="2"/>
  <c r="H2" i="61"/>
  <c r="FF471" i="2"/>
  <c r="BK7" i="35"/>
  <c r="AR7" i="35"/>
  <c r="HR471" i="2"/>
  <c r="WK471" i="2"/>
  <c r="AC8" i="35"/>
  <c r="BG8" i="35"/>
  <c r="RN472" i="2"/>
  <c r="N22" i="35"/>
  <c r="N9" i="35" s="1"/>
  <c r="CS474" i="2"/>
  <c r="L17" i="35"/>
  <c r="L7" i="35" s="1"/>
  <c r="CC472" i="2"/>
  <c r="AL19" i="35"/>
  <c r="BG17" i="35"/>
  <c r="BG7" i="35" s="1"/>
  <c r="BR16" i="35"/>
  <c r="BR7" i="35" s="1"/>
  <c r="TY472" i="2"/>
  <c r="BQ20" i="35"/>
  <c r="BQ8" i="35" s="1"/>
  <c r="AM17" i="35"/>
  <c r="AM7" i="35" s="1"/>
  <c r="AI18" i="35"/>
  <c r="AI8" i="35" s="1"/>
  <c r="P21" i="35"/>
  <c r="P9" i="35" s="1"/>
  <c r="DI474" i="2"/>
  <c r="BQ15" i="35"/>
  <c r="BQ7" i="35" s="1"/>
  <c r="AA7" i="35"/>
  <c r="BC8" i="35"/>
  <c r="WY471" i="2"/>
  <c r="UP472" i="2"/>
  <c r="IG474" i="2"/>
  <c r="BE8" i="35"/>
  <c r="R9" i="35"/>
  <c r="AX20" i="35"/>
  <c r="AX8" i="35" s="1"/>
  <c r="U21" i="35"/>
  <c r="U9" i="35" s="1"/>
  <c r="I119" i="25"/>
  <c r="M148" i="25"/>
  <c r="R8" i="35"/>
  <c r="TY471" i="2"/>
  <c r="F2" i="61"/>
  <c r="WX471" i="2"/>
  <c r="J160" i="25"/>
  <c r="M160" i="25"/>
  <c r="P160" i="25"/>
  <c r="Q96" i="56"/>
  <c r="I160" i="25"/>
  <c r="O160" i="25"/>
  <c r="Q47" i="56"/>
  <c r="R160" i="25"/>
  <c r="V95" i="41"/>
  <c r="L160" i="25"/>
  <c r="Z95" i="49"/>
  <c r="N160" i="25"/>
  <c r="Q160" i="25"/>
  <c r="V47" i="41"/>
  <c r="K160" i="25"/>
  <c r="Z47" i="49"/>
  <c r="P159" i="25"/>
  <c r="P96" i="56"/>
  <c r="L159" i="25"/>
  <c r="Y95" i="49"/>
  <c r="N159" i="25"/>
  <c r="M159" i="25"/>
  <c r="O159" i="25"/>
  <c r="P47" i="56"/>
  <c r="R158" i="25"/>
  <c r="T95" i="41"/>
  <c r="I158" i="25"/>
  <c r="K158" i="25"/>
  <c r="X47" i="49"/>
  <c r="J158" i="25"/>
  <c r="M158" i="25"/>
  <c r="P158" i="25"/>
  <c r="O96" i="56"/>
  <c r="N158" i="25"/>
  <c r="Q158" i="25"/>
  <c r="T47" i="41"/>
  <c r="I157" i="25"/>
  <c r="Y47" i="67"/>
  <c r="K157" i="25"/>
  <c r="N96" i="56"/>
  <c r="R157" i="25"/>
  <c r="L157" i="25"/>
  <c r="Q157" i="25"/>
  <c r="O157" i="25"/>
  <c r="J157" i="25"/>
  <c r="M157" i="25"/>
  <c r="M156" i="25"/>
  <c r="I156" i="25"/>
  <c r="J156" i="25"/>
  <c r="L156" i="25"/>
  <c r="Z94" i="49"/>
  <c r="R156" i="25"/>
  <c r="V94" i="41"/>
  <c r="O156" i="25"/>
  <c r="Q46" i="56"/>
  <c r="K156" i="25"/>
  <c r="Z46" i="49"/>
  <c r="N156" i="25"/>
  <c r="Q156" i="25"/>
  <c r="V46" i="41"/>
  <c r="P156" i="25"/>
  <c r="Q95" i="56"/>
  <c r="R155" i="25"/>
  <c r="U94" i="41"/>
  <c r="L155" i="25"/>
  <c r="Y94" i="49"/>
  <c r="M155" i="25"/>
  <c r="K155" i="25"/>
  <c r="Y46" i="49"/>
  <c r="N155" i="25"/>
  <c r="P155" i="25"/>
  <c r="P95" i="56"/>
  <c r="J155" i="25"/>
  <c r="M154" i="25"/>
  <c r="I154" i="25"/>
  <c r="R154" i="25"/>
  <c r="T94" i="41"/>
  <c r="Q154" i="25"/>
  <c r="T46" i="41"/>
  <c r="K154" i="25"/>
  <c r="X46" i="49"/>
  <c r="N154" i="25"/>
  <c r="L154" i="25"/>
  <c r="X94" i="49"/>
  <c r="O154" i="25"/>
  <c r="O46" i="56"/>
  <c r="J153" i="25"/>
  <c r="I153" i="25"/>
  <c r="Y46" i="67"/>
  <c r="P153" i="25"/>
  <c r="W94" i="49"/>
  <c r="O153" i="25"/>
  <c r="S94" i="41"/>
  <c r="W46" i="49"/>
  <c r="Q153" i="25"/>
  <c r="WQ474" i="2"/>
  <c r="I152" i="25"/>
  <c r="M152" i="25"/>
  <c r="Q152" i="25"/>
  <c r="V45" i="41"/>
  <c r="J152" i="25"/>
  <c r="N152" i="25"/>
  <c r="P152" i="25"/>
  <c r="Q94" i="56"/>
  <c r="O152" i="25"/>
  <c r="Q45" i="56"/>
  <c r="K151" i="25"/>
  <c r="Y45" i="49"/>
  <c r="N151" i="25"/>
  <c r="Q151" i="25"/>
  <c r="U45" i="41"/>
  <c r="I151" i="25"/>
  <c r="P151" i="25"/>
  <c r="P94" i="56"/>
  <c r="J151" i="25"/>
  <c r="L151" i="25"/>
  <c r="Y93" i="49"/>
  <c r="K150" i="25"/>
  <c r="X45" i="49"/>
  <c r="M150" i="25"/>
  <c r="O150" i="25"/>
  <c r="O45" i="56"/>
  <c r="L150" i="25"/>
  <c r="X93" i="49"/>
  <c r="Q150" i="25"/>
  <c r="T45" i="41"/>
  <c r="R150" i="25"/>
  <c r="T93" i="41"/>
  <c r="I150" i="25"/>
  <c r="S93" i="41"/>
  <c r="P149" i="25"/>
  <c r="X45" i="45"/>
  <c r="K149" i="25"/>
  <c r="S45" i="41"/>
  <c r="N149" i="25"/>
  <c r="M149" i="25"/>
  <c r="O149" i="25"/>
  <c r="J149" i="25"/>
  <c r="K148" i="25"/>
  <c r="Z44" i="49"/>
  <c r="N148" i="25"/>
  <c r="P148" i="25"/>
  <c r="Q93" i="56"/>
  <c r="Q148" i="25"/>
  <c r="V44" i="41"/>
  <c r="L148" i="25"/>
  <c r="Z92" i="49"/>
  <c r="I148" i="25"/>
  <c r="J147" i="25"/>
  <c r="M147" i="25"/>
  <c r="K147" i="25"/>
  <c r="Y44" i="49"/>
  <c r="Q147" i="25"/>
  <c r="U44" i="41"/>
  <c r="R147" i="25"/>
  <c r="U92" i="41"/>
  <c r="I147" i="25"/>
  <c r="P147" i="25"/>
  <c r="P93" i="56"/>
  <c r="N147" i="25"/>
  <c r="O147" i="25"/>
  <c r="P44" i="56"/>
  <c r="L147" i="25"/>
  <c r="Y92" i="49"/>
  <c r="R146" i="25"/>
  <c r="T92" i="41"/>
  <c r="K146" i="25"/>
  <c r="X44" i="49"/>
  <c r="N146" i="25"/>
  <c r="M146" i="25"/>
  <c r="P146" i="25"/>
  <c r="O93" i="56"/>
  <c r="I146" i="25"/>
  <c r="L146" i="25"/>
  <c r="X92" i="49"/>
  <c r="O146" i="25"/>
  <c r="O44" i="56"/>
  <c r="J146" i="25"/>
  <c r="W44" i="49"/>
  <c r="N93" i="56"/>
  <c r="J145" i="25"/>
  <c r="O145" i="25"/>
  <c r="W92" i="49"/>
  <c r="M145" i="25"/>
  <c r="Q145" i="25"/>
  <c r="R145" i="25"/>
  <c r="X44" i="45"/>
  <c r="P144" i="25"/>
  <c r="Q92" i="56"/>
  <c r="M144" i="25"/>
  <c r="R144" i="25"/>
  <c r="V91" i="41"/>
  <c r="N144" i="25"/>
  <c r="O144" i="25"/>
  <c r="Q43" i="56"/>
  <c r="K144" i="25"/>
  <c r="Z43" i="49"/>
  <c r="Q144" i="25"/>
  <c r="V43" i="41"/>
  <c r="I144" i="25"/>
  <c r="L144" i="25"/>
  <c r="Z91" i="49"/>
  <c r="J144" i="25"/>
  <c r="N143" i="25"/>
  <c r="R143" i="25"/>
  <c r="U91" i="41"/>
  <c r="P143" i="25"/>
  <c r="P92" i="56"/>
  <c r="M143" i="25"/>
  <c r="Q142" i="25"/>
  <c r="T43" i="41"/>
  <c r="K142" i="25"/>
  <c r="X43" i="49"/>
  <c r="L142" i="25"/>
  <c r="X91" i="49"/>
  <c r="P142" i="25"/>
  <c r="O92" i="56"/>
  <c r="R142" i="25"/>
  <c r="T91" i="41"/>
  <c r="O142" i="25"/>
  <c r="O43" i="56"/>
  <c r="I142" i="25"/>
  <c r="N142" i="25"/>
  <c r="J142" i="25"/>
  <c r="M142" i="25"/>
  <c r="N92" i="56"/>
  <c r="S91" i="41"/>
  <c r="O141" i="25"/>
  <c r="L141" i="25"/>
  <c r="I141" i="25"/>
  <c r="Y43" i="67"/>
  <c r="K141" i="25"/>
  <c r="Q141" i="25"/>
  <c r="J141" i="25"/>
  <c r="M140" i="25"/>
  <c r="L140" i="25"/>
  <c r="Z90" i="49"/>
  <c r="O140" i="25"/>
  <c r="Q42" i="56"/>
  <c r="I140" i="25"/>
  <c r="R140" i="25"/>
  <c r="V90" i="41"/>
  <c r="P140" i="25"/>
  <c r="Q91" i="56"/>
  <c r="J140" i="25"/>
  <c r="Q140" i="25"/>
  <c r="V42" i="41"/>
  <c r="P139" i="25"/>
  <c r="P91" i="56"/>
  <c r="N139" i="25"/>
  <c r="M139" i="25"/>
  <c r="R139" i="25"/>
  <c r="U90" i="41"/>
  <c r="K139" i="25"/>
  <c r="Y42" i="49"/>
  <c r="L139" i="25"/>
  <c r="Y90" i="49"/>
  <c r="J139" i="25"/>
  <c r="Q138" i="25"/>
  <c r="T42" i="41"/>
  <c r="J138" i="25"/>
  <c r="R138" i="25"/>
  <c r="T90" i="41"/>
  <c r="O138" i="25"/>
  <c r="O42" i="56"/>
  <c r="K138" i="25"/>
  <c r="X42" i="49"/>
  <c r="N138" i="25"/>
  <c r="L138" i="25"/>
  <c r="X90" i="49"/>
  <c r="I138" i="25"/>
  <c r="P138" i="25"/>
  <c r="O91" i="56"/>
  <c r="W90" i="49"/>
  <c r="Q137" i="25"/>
  <c r="I137" i="25"/>
  <c r="Y42" i="67"/>
  <c r="K137" i="25"/>
  <c r="N137" i="25"/>
  <c r="S90" i="41"/>
  <c r="M137" i="25"/>
  <c r="N91" i="56"/>
  <c r="O137" i="25"/>
  <c r="R136" i="25"/>
  <c r="V89" i="41"/>
  <c r="Q136" i="25"/>
  <c r="V41" i="41"/>
  <c r="P136" i="25"/>
  <c r="Q90" i="56"/>
  <c r="J136" i="25"/>
  <c r="I136" i="25"/>
  <c r="O136" i="25"/>
  <c r="Q41" i="56"/>
  <c r="N136" i="25"/>
  <c r="M136" i="25"/>
  <c r="K135" i="25"/>
  <c r="Y41" i="49"/>
  <c r="I135" i="25"/>
  <c r="N135" i="25"/>
  <c r="Q135" i="25"/>
  <c r="U41" i="41"/>
  <c r="R135" i="25"/>
  <c r="U89" i="41"/>
  <c r="J135" i="25"/>
  <c r="R134" i="25"/>
  <c r="T89" i="41"/>
  <c r="M134" i="25"/>
  <c r="I134" i="25"/>
  <c r="Q134" i="25"/>
  <c r="T41" i="41"/>
  <c r="P134" i="25"/>
  <c r="O90" i="56"/>
  <c r="J134" i="25"/>
  <c r="O134" i="25"/>
  <c r="O41" i="56"/>
  <c r="W41" i="49"/>
  <c r="S41" i="41"/>
  <c r="M133" i="25"/>
  <c r="N133" i="25"/>
  <c r="O133" i="25"/>
  <c r="W89" i="49"/>
  <c r="S89" i="41"/>
  <c r="N90" i="56"/>
  <c r="X41" i="45"/>
  <c r="O132" i="25"/>
  <c r="Q40" i="56"/>
  <c r="P132" i="25"/>
  <c r="Q89" i="56"/>
  <c r="Q132" i="25"/>
  <c r="V40" i="41"/>
  <c r="L132" i="25"/>
  <c r="Z88" i="49"/>
  <c r="N132" i="25"/>
  <c r="I132" i="25"/>
  <c r="M132" i="25"/>
  <c r="J132" i="25"/>
  <c r="R132" i="25"/>
  <c r="V88" i="41"/>
  <c r="N131" i="25"/>
  <c r="K131" i="25"/>
  <c r="Y40" i="49"/>
  <c r="P131" i="25"/>
  <c r="P89" i="56"/>
  <c r="O131" i="25"/>
  <c r="P40" i="56"/>
  <c r="M131" i="25"/>
  <c r="L131" i="25"/>
  <c r="Y88" i="49"/>
  <c r="R131" i="25"/>
  <c r="U88" i="41"/>
  <c r="J131" i="25"/>
  <c r="K130" i="25"/>
  <c r="X40" i="49"/>
  <c r="L130" i="25"/>
  <c r="X88" i="49"/>
  <c r="O130" i="25"/>
  <c r="O40" i="56"/>
  <c r="I130" i="25"/>
  <c r="P130" i="25"/>
  <c r="O89" i="56"/>
  <c r="R130" i="25"/>
  <c r="T88" i="41"/>
  <c r="Q130" i="25"/>
  <c r="T40" i="41"/>
  <c r="N130" i="25"/>
  <c r="S88" i="41"/>
  <c r="I129" i="25"/>
  <c r="Y40" i="67"/>
  <c r="J129" i="25"/>
  <c r="N89" i="56"/>
  <c r="W88" i="49"/>
  <c r="K129" i="25"/>
  <c r="Q129" i="25"/>
  <c r="N40" i="56"/>
  <c r="M129" i="25"/>
  <c r="O128" i="25"/>
  <c r="Q39" i="56"/>
  <c r="K128" i="25"/>
  <c r="Z39" i="49"/>
  <c r="R128" i="25"/>
  <c r="V87" i="41"/>
  <c r="N128" i="25"/>
  <c r="M128" i="25"/>
  <c r="J128" i="25"/>
  <c r="P128" i="25"/>
  <c r="Q88" i="56"/>
  <c r="L128" i="25"/>
  <c r="Z87" i="49"/>
  <c r="J127" i="25"/>
  <c r="K127" i="25"/>
  <c r="Y39" i="49"/>
  <c r="O127" i="25"/>
  <c r="P39" i="56"/>
  <c r="N127" i="25"/>
  <c r="P127" i="25"/>
  <c r="P88" i="56"/>
  <c r="Q127" i="25"/>
  <c r="U39" i="41"/>
  <c r="I127" i="25"/>
  <c r="R127" i="25"/>
  <c r="U87" i="41"/>
  <c r="M127" i="25"/>
  <c r="M126" i="25"/>
  <c r="N126" i="25"/>
  <c r="P126" i="25"/>
  <c r="O88" i="56"/>
  <c r="K126" i="25"/>
  <c r="X39" i="49"/>
  <c r="L126" i="25"/>
  <c r="X87" i="49"/>
  <c r="I126" i="25"/>
  <c r="R126" i="25"/>
  <c r="T87" i="41"/>
  <c r="Q126" i="25"/>
  <c r="T39" i="41"/>
  <c r="N88" i="56"/>
  <c r="W87" i="49"/>
  <c r="Q125" i="25"/>
  <c r="S87" i="41"/>
  <c r="W39" i="49"/>
  <c r="M125" i="25"/>
  <c r="J125" i="25"/>
  <c r="O125" i="25"/>
  <c r="I125" i="25"/>
  <c r="Y39" i="67"/>
  <c r="P124" i="25"/>
  <c r="Q87" i="56"/>
  <c r="M124" i="25"/>
  <c r="Q124" i="25"/>
  <c r="V38" i="41"/>
  <c r="R124" i="25"/>
  <c r="V86" i="41"/>
  <c r="K124" i="25"/>
  <c r="Z38" i="49"/>
  <c r="L124" i="25"/>
  <c r="Z86" i="49"/>
  <c r="J124" i="25"/>
  <c r="Q123" i="25"/>
  <c r="U38" i="41"/>
  <c r="K123" i="25"/>
  <c r="Y38" i="49"/>
  <c r="L123" i="25"/>
  <c r="Y86" i="49"/>
  <c r="J123" i="25"/>
  <c r="P123" i="25"/>
  <c r="P87" i="56"/>
  <c r="N123" i="25"/>
  <c r="O123" i="25"/>
  <c r="P38" i="56"/>
  <c r="I123" i="25"/>
  <c r="M123" i="25"/>
  <c r="R123" i="25"/>
  <c r="U86" i="41"/>
  <c r="P122" i="25"/>
  <c r="O87" i="56"/>
  <c r="R122" i="25"/>
  <c r="T86" i="41"/>
  <c r="O122" i="25"/>
  <c r="O38" i="56"/>
  <c r="K122" i="25"/>
  <c r="X38" i="49"/>
  <c r="I122" i="25"/>
  <c r="L122" i="25"/>
  <c r="X86" i="49"/>
  <c r="Q122" i="25"/>
  <c r="T38" i="41"/>
  <c r="M122" i="25"/>
  <c r="N122" i="25"/>
  <c r="S86" i="41"/>
  <c r="W86" i="49"/>
  <c r="W38" i="49"/>
  <c r="O121" i="25"/>
  <c r="N121" i="25"/>
  <c r="I121" i="25"/>
  <c r="Y38" i="67"/>
  <c r="N87" i="56"/>
  <c r="S38" i="41"/>
  <c r="J121" i="25"/>
  <c r="M120" i="25"/>
  <c r="Q120" i="25"/>
  <c r="V37" i="41"/>
  <c r="N120" i="25"/>
  <c r="J120" i="25"/>
  <c r="O120" i="25"/>
  <c r="Q37" i="56"/>
  <c r="P120" i="25"/>
  <c r="Q86" i="56"/>
  <c r="R120" i="25"/>
  <c r="V85" i="41"/>
  <c r="L120" i="25"/>
  <c r="Z85" i="49"/>
  <c r="I120" i="25"/>
  <c r="L119" i="25"/>
  <c r="Y85" i="49"/>
  <c r="P119" i="25"/>
  <c r="P86" i="56"/>
  <c r="R119" i="25"/>
  <c r="U85" i="41"/>
  <c r="K119" i="25"/>
  <c r="Y37" i="49"/>
  <c r="Q119" i="25"/>
  <c r="U37" i="41"/>
  <c r="O119" i="25"/>
  <c r="P37" i="56"/>
  <c r="M119" i="25"/>
  <c r="N119" i="25"/>
  <c r="J119" i="25"/>
  <c r="R118" i="25"/>
  <c r="T85" i="41"/>
  <c r="M118" i="25"/>
  <c r="I118" i="25"/>
  <c r="J118" i="25"/>
  <c r="P118" i="25"/>
  <c r="O86" i="56"/>
  <c r="N118" i="25"/>
  <c r="L118" i="25"/>
  <c r="X85" i="49"/>
  <c r="K118" i="25"/>
  <c r="X37" i="49"/>
  <c r="Q118" i="25"/>
  <c r="T37" i="41"/>
  <c r="O117" i="25"/>
  <c r="W85" i="49"/>
  <c r="K117" i="25"/>
  <c r="I117" i="25"/>
  <c r="Y37" i="67"/>
  <c r="N86" i="56"/>
  <c r="S37" i="41"/>
  <c r="S85" i="41"/>
  <c r="J116" i="25"/>
  <c r="N116" i="25"/>
  <c r="P116" i="25"/>
  <c r="Q85" i="56"/>
  <c r="M116" i="25"/>
  <c r="R116" i="25"/>
  <c r="V84" i="41"/>
  <c r="WT474" i="2"/>
  <c r="K116" i="25"/>
  <c r="Z36" i="49"/>
  <c r="O116" i="25"/>
  <c r="Q36" i="56"/>
  <c r="L116" i="25"/>
  <c r="Z84" i="49"/>
  <c r="P115" i="25"/>
  <c r="P85" i="56"/>
  <c r="R115" i="25"/>
  <c r="U84" i="41"/>
  <c r="I115" i="25"/>
  <c r="K115" i="25"/>
  <c r="Y36" i="49"/>
  <c r="L115" i="25"/>
  <c r="Y84" i="49"/>
  <c r="Q115" i="25"/>
  <c r="U36" i="41"/>
  <c r="M115" i="25"/>
  <c r="O115" i="25"/>
  <c r="P36" i="56"/>
  <c r="J115" i="25"/>
  <c r="N115" i="25"/>
  <c r="O114" i="25"/>
  <c r="O36" i="56"/>
  <c r="K114" i="25"/>
  <c r="X36" i="49"/>
  <c r="M114" i="25"/>
  <c r="Q114" i="25"/>
  <c r="T36" i="41"/>
  <c r="N114" i="25"/>
  <c r="L114" i="25"/>
  <c r="X84" i="49"/>
  <c r="P114" i="25"/>
  <c r="O85" i="56"/>
  <c r="I114" i="25"/>
  <c r="M113" i="25"/>
  <c r="R113" i="25"/>
  <c r="I113" i="25"/>
  <c r="Y36" i="67"/>
  <c r="N113" i="25"/>
  <c r="J113" i="25"/>
  <c r="W84" i="49"/>
  <c r="W36" i="49"/>
  <c r="N85" i="56"/>
  <c r="N36" i="56"/>
  <c r="Q113" i="25"/>
  <c r="N112" i="25"/>
  <c r="I112" i="25"/>
  <c r="M112" i="25"/>
  <c r="L112" i="25"/>
  <c r="Z83" i="49"/>
  <c r="P112" i="25"/>
  <c r="Q84" i="56"/>
  <c r="R112" i="25"/>
  <c r="V83" i="41"/>
  <c r="K112" i="25"/>
  <c r="Z35" i="49"/>
  <c r="Q112" i="25"/>
  <c r="V35" i="41"/>
  <c r="J112" i="25"/>
  <c r="PB473" i="2"/>
  <c r="N111" i="25"/>
  <c r="Q111" i="25"/>
  <c r="U35" i="41"/>
  <c r="I111" i="25"/>
  <c r="M111" i="25"/>
  <c r="K111" i="25"/>
  <c r="Y35" i="49"/>
  <c r="P111" i="25"/>
  <c r="P84" i="56"/>
  <c r="L111" i="25"/>
  <c r="Y83" i="49"/>
  <c r="R111" i="25"/>
  <c r="U83" i="41"/>
  <c r="J111" i="25"/>
  <c r="O111" i="25"/>
  <c r="P35" i="56"/>
  <c r="M110" i="25"/>
  <c r="L110" i="25"/>
  <c r="X83" i="49"/>
  <c r="J110" i="25"/>
  <c r="R110" i="25"/>
  <c r="T83" i="41"/>
  <c r="N110" i="25"/>
  <c r="Q110" i="25"/>
  <c r="T35" i="41"/>
  <c r="I110" i="25"/>
  <c r="P110" i="25"/>
  <c r="O84" i="56"/>
  <c r="O110" i="25"/>
  <c r="O35" i="56"/>
  <c r="K110" i="25"/>
  <c r="X35" i="49"/>
  <c r="W83" i="49"/>
  <c r="N109" i="25"/>
  <c r="S35" i="41"/>
  <c r="N84" i="56"/>
  <c r="S83" i="41"/>
  <c r="K109" i="25"/>
  <c r="M109" i="25"/>
  <c r="O109" i="25"/>
  <c r="P108" i="25"/>
  <c r="Q83" i="56"/>
  <c r="I108" i="25"/>
  <c r="J108" i="25"/>
  <c r="Q108" i="25"/>
  <c r="V34" i="41"/>
  <c r="R108" i="25"/>
  <c r="V82" i="41"/>
  <c r="O108" i="25"/>
  <c r="Q34" i="56"/>
  <c r="K108" i="25"/>
  <c r="Z34" i="49"/>
  <c r="N108" i="25"/>
  <c r="L108" i="25"/>
  <c r="Z82" i="49"/>
  <c r="I107" i="25"/>
  <c r="Q107" i="25"/>
  <c r="U34" i="41"/>
  <c r="J107" i="25"/>
  <c r="M107" i="25"/>
  <c r="N107" i="25"/>
  <c r="R107" i="25"/>
  <c r="U82" i="41"/>
  <c r="P107" i="25"/>
  <c r="P83" i="56"/>
  <c r="L107" i="25"/>
  <c r="Y82" i="49"/>
  <c r="K107" i="25"/>
  <c r="Y34" i="49"/>
  <c r="N106" i="25"/>
  <c r="L106" i="25"/>
  <c r="X82" i="49"/>
  <c r="O106" i="25"/>
  <c r="O34" i="56"/>
  <c r="P106" i="25"/>
  <c r="O83" i="56"/>
  <c r="I106" i="25"/>
  <c r="M106" i="25"/>
  <c r="Q106" i="25"/>
  <c r="T34" i="41"/>
  <c r="K106" i="25"/>
  <c r="X34" i="49"/>
  <c r="R105" i="25"/>
  <c r="W82" i="49"/>
  <c r="M105" i="25"/>
  <c r="N83" i="56"/>
  <c r="BA12" i="35"/>
  <c r="S34" i="41"/>
  <c r="X34" i="45"/>
  <c r="O105" i="25"/>
  <c r="W34" i="49"/>
  <c r="J105" i="25"/>
  <c r="R104" i="25"/>
  <c r="V81" i="41"/>
  <c r="O104" i="25"/>
  <c r="Q33" i="56"/>
  <c r="J104" i="25"/>
  <c r="P104" i="25"/>
  <c r="Q82" i="56"/>
  <c r="L104" i="25"/>
  <c r="Z81" i="49"/>
  <c r="K104" i="25"/>
  <c r="Z33" i="49"/>
  <c r="N104" i="25"/>
  <c r="I104" i="25"/>
  <c r="Q104" i="25"/>
  <c r="V33" i="41"/>
  <c r="R103" i="25"/>
  <c r="U81" i="41"/>
  <c r="P103" i="25"/>
  <c r="P82" i="56"/>
  <c r="M103" i="25"/>
  <c r="I103" i="25"/>
  <c r="J103" i="25"/>
  <c r="N103" i="25"/>
  <c r="K103" i="25"/>
  <c r="Y33" i="49"/>
  <c r="Q103" i="25"/>
  <c r="U33" i="41"/>
  <c r="J102" i="25"/>
  <c r="K102" i="25"/>
  <c r="X33" i="49"/>
  <c r="P102" i="25"/>
  <c r="O82" i="56"/>
  <c r="I102" i="25"/>
  <c r="M102" i="25"/>
  <c r="L102" i="25"/>
  <c r="X81" i="49"/>
  <c r="O102" i="25"/>
  <c r="O33" i="56"/>
  <c r="Q102" i="25"/>
  <c r="T33" i="41"/>
  <c r="X33" i="45"/>
  <c r="O101" i="25"/>
  <c r="N82" i="56"/>
  <c r="M101" i="25"/>
  <c r="N101" i="25"/>
  <c r="S81" i="41"/>
  <c r="W33" i="49"/>
  <c r="S33" i="41"/>
  <c r="L101" i="25"/>
  <c r="R100" i="25"/>
  <c r="V80" i="41"/>
  <c r="I100" i="25"/>
  <c r="J100" i="25"/>
  <c r="L100" i="25"/>
  <c r="Z80" i="49"/>
  <c r="P100" i="25"/>
  <c r="Q81" i="56"/>
  <c r="M100" i="25"/>
  <c r="Q100" i="25"/>
  <c r="V32" i="41"/>
  <c r="N100" i="25"/>
  <c r="J99" i="25"/>
  <c r="I99" i="25"/>
  <c r="P99" i="25"/>
  <c r="P81" i="56"/>
  <c r="L99" i="25"/>
  <c r="Y80" i="49"/>
  <c r="M99" i="25"/>
  <c r="Q99" i="25"/>
  <c r="U32" i="41"/>
  <c r="N99" i="25"/>
  <c r="K99" i="25"/>
  <c r="Y32" i="49"/>
  <c r="O99" i="25"/>
  <c r="P32" i="56"/>
  <c r="N98" i="25"/>
  <c r="Q98" i="25"/>
  <c r="T32" i="41"/>
  <c r="I98" i="25"/>
  <c r="O98" i="25"/>
  <c r="O32" i="56"/>
  <c r="R98" i="25"/>
  <c r="T80" i="41"/>
  <c r="L98" i="25"/>
  <c r="X80" i="49"/>
  <c r="P98" i="25"/>
  <c r="O81" i="56"/>
  <c r="K98" i="25"/>
  <c r="X32" i="49"/>
  <c r="J97" i="25"/>
  <c r="M97" i="25"/>
  <c r="N81" i="56"/>
  <c r="X32" i="45"/>
  <c r="K97" i="25"/>
  <c r="R97" i="25"/>
  <c r="O97" i="25"/>
  <c r="W80" i="49"/>
  <c r="S32" i="41"/>
  <c r="NE471" i="2"/>
  <c r="J96" i="25"/>
  <c r="R96" i="25"/>
  <c r="V79" i="41"/>
  <c r="O96" i="25"/>
  <c r="Q31" i="56"/>
  <c r="M96" i="25"/>
  <c r="L96" i="25"/>
  <c r="Z79" i="49"/>
  <c r="P96" i="25"/>
  <c r="Q80" i="56"/>
  <c r="N96" i="25"/>
  <c r="K96" i="25"/>
  <c r="Z31" i="49"/>
  <c r="K95" i="25"/>
  <c r="Y31" i="49"/>
  <c r="O95" i="25"/>
  <c r="P31" i="56"/>
  <c r="P95" i="25"/>
  <c r="P80" i="56"/>
  <c r="Q95" i="25"/>
  <c r="U31" i="41"/>
  <c r="I95" i="25"/>
  <c r="N95" i="25"/>
  <c r="J95" i="25"/>
  <c r="L95" i="25"/>
  <c r="Y79" i="49"/>
  <c r="M95" i="25"/>
  <c r="R95" i="25"/>
  <c r="U79" i="41"/>
  <c r="R94" i="25"/>
  <c r="T79" i="41"/>
  <c r="I94" i="25"/>
  <c r="L94" i="25"/>
  <c r="X79" i="49"/>
  <c r="O94" i="25"/>
  <c r="O31" i="56"/>
  <c r="K94" i="25"/>
  <c r="X31" i="49"/>
  <c r="P94" i="25"/>
  <c r="O80" i="56"/>
  <c r="N94" i="25"/>
  <c r="Q94" i="25"/>
  <c r="T31" i="41"/>
  <c r="M94" i="25"/>
  <c r="N80" i="56"/>
  <c r="N31" i="56"/>
  <c r="S79" i="41"/>
  <c r="W31" i="49"/>
  <c r="Q93" i="25"/>
  <c r="W79" i="49"/>
  <c r="J93" i="25"/>
  <c r="I93" i="25"/>
  <c r="Y31" i="67"/>
  <c r="J92" i="25"/>
  <c r="K92" i="25"/>
  <c r="Z30" i="49"/>
  <c r="I92" i="25"/>
  <c r="R92" i="25"/>
  <c r="V78" i="41"/>
  <c r="P92" i="25"/>
  <c r="Q79" i="56"/>
  <c r="M92" i="25"/>
  <c r="L92" i="25"/>
  <c r="Z78" i="49"/>
  <c r="Q92" i="25"/>
  <c r="V30" i="41"/>
  <c r="R91" i="25"/>
  <c r="U78" i="41"/>
  <c r="N91" i="25"/>
  <c r="J91" i="25"/>
  <c r="M91" i="25"/>
  <c r="P91" i="25"/>
  <c r="P79" i="56"/>
  <c r="Q91" i="25"/>
  <c r="U30" i="41"/>
  <c r="I91" i="25"/>
  <c r="O91" i="25"/>
  <c r="P30" i="56"/>
  <c r="K91" i="25"/>
  <c r="Y30" i="49"/>
  <c r="L91" i="25"/>
  <c r="Y78" i="49"/>
  <c r="K90" i="25"/>
  <c r="X30" i="49"/>
  <c r="R90" i="25"/>
  <c r="T78" i="41"/>
  <c r="O90" i="25"/>
  <c r="O30" i="56"/>
  <c r="Q90" i="25"/>
  <c r="T30" i="41"/>
  <c r="N90" i="25"/>
  <c r="L90" i="25"/>
  <c r="X78" i="49"/>
  <c r="M90" i="25"/>
  <c r="I90" i="25"/>
  <c r="S78" i="41"/>
  <c r="X30" i="45"/>
  <c r="J89" i="25"/>
  <c r="S30" i="41"/>
  <c r="W30" i="49"/>
  <c r="O89" i="25"/>
  <c r="W78" i="49"/>
  <c r="N89" i="25"/>
  <c r="P89" i="25"/>
  <c r="O88" i="25"/>
  <c r="Q29" i="56"/>
  <c r="I88" i="25"/>
  <c r="P88" i="25"/>
  <c r="Q78" i="56"/>
  <c r="R88" i="25"/>
  <c r="V77" i="41"/>
  <c r="J88" i="25"/>
  <c r="Q88" i="25"/>
  <c r="V29" i="41"/>
  <c r="M88" i="25"/>
  <c r="N88" i="25"/>
  <c r="L87" i="25"/>
  <c r="Y77" i="49"/>
  <c r="M87" i="25"/>
  <c r="Q87" i="25"/>
  <c r="U29" i="41"/>
  <c r="R87" i="25"/>
  <c r="U77" i="41"/>
  <c r="P87" i="25"/>
  <c r="P78" i="56"/>
  <c r="I87" i="25"/>
  <c r="O87" i="25"/>
  <c r="P29" i="56"/>
  <c r="K87" i="25"/>
  <c r="Y29" i="49"/>
  <c r="L86" i="25"/>
  <c r="X77" i="49"/>
  <c r="K86" i="25"/>
  <c r="X29" i="49"/>
  <c r="R86" i="25"/>
  <c r="T77" i="41"/>
  <c r="O86" i="25"/>
  <c r="O29" i="56"/>
  <c r="J86" i="25"/>
  <c r="WZ472" i="2"/>
  <c r="P86" i="25"/>
  <c r="O78" i="56"/>
  <c r="N86" i="25"/>
  <c r="Q86" i="25"/>
  <c r="T29" i="41"/>
  <c r="N29" i="56"/>
  <c r="S77" i="41"/>
  <c r="S29" i="41"/>
  <c r="I85" i="25"/>
  <c r="Y29" i="67"/>
  <c r="K85" i="25"/>
  <c r="J85" i="25"/>
  <c r="L85" i="25"/>
  <c r="N78" i="56"/>
  <c r="M85" i="25"/>
  <c r="N85" i="25"/>
  <c r="R84" i="25"/>
  <c r="V76" i="41"/>
  <c r="N84" i="25"/>
  <c r="O84" i="25"/>
  <c r="Q28" i="56"/>
  <c r="M84" i="25"/>
  <c r="K84" i="25"/>
  <c r="Z28" i="49"/>
  <c r="J84" i="25"/>
  <c r="L84" i="25"/>
  <c r="Z76" i="49"/>
  <c r="K83" i="25"/>
  <c r="Y28" i="49"/>
  <c r="O83" i="25"/>
  <c r="P28" i="56"/>
  <c r="L83" i="25"/>
  <c r="Y76" i="49"/>
  <c r="I83" i="25"/>
  <c r="N83" i="25"/>
  <c r="Q83" i="25"/>
  <c r="U28" i="41"/>
  <c r="P83" i="25"/>
  <c r="P77" i="56"/>
  <c r="M83" i="25"/>
  <c r="AO7" i="35"/>
  <c r="R82" i="25"/>
  <c r="T76" i="41"/>
  <c r="I82" i="25"/>
  <c r="P82" i="25"/>
  <c r="O77" i="56"/>
  <c r="K82" i="25"/>
  <c r="X28" i="49"/>
  <c r="M82" i="25"/>
  <c r="O82" i="25"/>
  <c r="O28" i="56"/>
  <c r="N82" i="25"/>
  <c r="Q82" i="25"/>
  <c r="T28" i="41"/>
  <c r="J82" i="25"/>
  <c r="L82" i="25"/>
  <c r="X76" i="49"/>
  <c r="Q81" i="25"/>
  <c r="J81" i="25"/>
  <c r="W28" i="49"/>
  <c r="N28" i="56"/>
  <c r="R81" i="25"/>
  <c r="W76" i="49"/>
  <c r="I81" i="25"/>
  <c r="Y28" i="67"/>
  <c r="P81" i="25"/>
  <c r="I80" i="25"/>
  <c r="N80" i="25"/>
  <c r="K80" i="25"/>
  <c r="Z27" i="49"/>
  <c r="Q80" i="25"/>
  <c r="V27" i="41"/>
  <c r="M80" i="25"/>
  <c r="J80" i="25"/>
  <c r="L80" i="25"/>
  <c r="Z75" i="49"/>
  <c r="I79" i="25"/>
  <c r="Y27" i="49"/>
  <c r="R79" i="25"/>
  <c r="U75" i="41"/>
  <c r="P79" i="25"/>
  <c r="P76" i="56"/>
  <c r="J79" i="25"/>
  <c r="M79" i="25"/>
  <c r="Q79" i="25"/>
  <c r="U27" i="41"/>
  <c r="O79" i="25"/>
  <c r="P27" i="56"/>
  <c r="N79" i="25"/>
  <c r="L79" i="25"/>
  <c r="Y75" i="49"/>
  <c r="M78" i="25"/>
  <c r="N78" i="25"/>
  <c r="J78" i="25"/>
  <c r="L78" i="25"/>
  <c r="X75" i="49"/>
  <c r="R78" i="25"/>
  <c r="T75" i="41"/>
  <c r="O78" i="25"/>
  <c r="O27" i="56"/>
  <c r="P78" i="25"/>
  <c r="O76" i="56"/>
  <c r="K78" i="25"/>
  <c r="X27" i="49"/>
  <c r="P77" i="25"/>
  <c r="W27" i="49"/>
  <c r="R77" i="25"/>
  <c r="W75" i="49"/>
  <c r="I77" i="25"/>
  <c r="Y27" i="67"/>
  <c r="O77" i="25"/>
  <c r="Q77" i="25"/>
  <c r="O76" i="25"/>
  <c r="Q26" i="56"/>
  <c r="N76" i="25"/>
  <c r="I76" i="25"/>
  <c r="P76" i="25"/>
  <c r="Q75" i="56"/>
  <c r="L76" i="25"/>
  <c r="Z74" i="49"/>
  <c r="Q76" i="25"/>
  <c r="V26" i="41"/>
  <c r="J76" i="25"/>
  <c r="K76" i="25"/>
  <c r="Z26" i="49"/>
  <c r="R76" i="25"/>
  <c r="V74" i="41"/>
  <c r="R75" i="25"/>
  <c r="U74" i="41"/>
  <c r="J75" i="25"/>
  <c r="I75" i="25"/>
  <c r="K75" i="25"/>
  <c r="Y26" i="49"/>
  <c r="L75" i="25"/>
  <c r="Y74" i="49"/>
  <c r="Q75" i="25"/>
  <c r="U26" i="41"/>
  <c r="N75" i="25"/>
  <c r="P75" i="25"/>
  <c r="P75" i="56"/>
  <c r="M75" i="25"/>
  <c r="N74" i="25"/>
  <c r="P74" i="25"/>
  <c r="O75" i="56"/>
  <c r="J74" i="25"/>
  <c r="M74" i="25"/>
  <c r="K74" i="25"/>
  <c r="X26" i="49"/>
  <c r="R74" i="25"/>
  <c r="T74" i="41"/>
  <c r="Q74" i="25"/>
  <c r="T26" i="41"/>
  <c r="O74" i="25"/>
  <c r="O26" i="56"/>
  <c r="S74" i="41"/>
  <c r="O73" i="25"/>
  <c r="L73" i="25"/>
  <c r="I73" i="25"/>
  <c r="Y26" i="67"/>
  <c r="N75" i="56"/>
  <c r="M73" i="25"/>
  <c r="W26" i="49"/>
  <c r="S26" i="41"/>
  <c r="K72" i="25"/>
  <c r="Z25" i="49"/>
  <c r="N72" i="25"/>
  <c r="L72" i="25"/>
  <c r="Z73" i="49"/>
  <c r="Q72" i="25"/>
  <c r="V25" i="41"/>
  <c r="R72" i="25"/>
  <c r="V73" i="41"/>
  <c r="O72" i="25"/>
  <c r="Q25" i="56"/>
  <c r="I72" i="25"/>
  <c r="P72" i="25"/>
  <c r="Q74" i="56"/>
  <c r="J71" i="25"/>
  <c r="Q71" i="25"/>
  <c r="U25" i="41"/>
  <c r="K71" i="25"/>
  <c r="Y25" i="49"/>
  <c r="O71" i="25"/>
  <c r="P25" i="56"/>
  <c r="N71" i="25"/>
  <c r="M71" i="25"/>
  <c r="I71" i="25"/>
  <c r="P71" i="25"/>
  <c r="P74" i="56"/>
  <c r="M70" i="25"/>
  <c r="Q70" i="25"/>
  <c r="T25" i="41"/>
  <c r="K70" i="25"/>
  <c r="X25" i="49"/>
  <c r="N70" i="25"/>
  <c r="I70" i="25"/>
  <c r="L70" i="25"/>
  <c r="X73" i="49"/>
  <c r="O70" i="25"/>
  <c r="O25" i="56"/>
  <c r="R70" i="25"/>
  <c r="T73" i="41"/>
  <c r="J70" i="25"/>
  <c r="L69" i="25"/>
  <c r="M69" i="25"/>
  <c r="R69" i="25"/>
  <c r="P69" i="25"/>
  <c r="N25" i="56"/>
  <c r="J69" i="25"/>
  <c r="S25" i="41"/>
  <c r="W25" i="49"/>
  <c r="X25" i="45"/>
  <c r="I68" i="25"/>
  <c r="M68" i="25"/>
  <c r="R68" i="25"/>
  <c r="V72" i="41"/>
  <c r="L68" i="25"/>
  <c r="Z72" i="49"/>
  <c r="P68" i="25"/>
  <c r="Q73" i="56"/>
  <c r="Q68" i="25"/>
  <c r="V24" i="41"/>
  <c r="N68" i="25"/>
  <c r="J68" i="25"/>
  <c r="M67" i="25"/>
  <c r="K67" i="25"/>
  <c r="Y24" i="49"/>
  <c r="Q67" i="25"/>
  <c r="U24" i="41"/>
  <c r="N67" i="25"/>
  <c r="J67" i="25"/>
  <c r="R67" i="25"/>
  <c r="U72" i="41"/>
  <c r="O67" i="25"/>
  <c r="P24" i="56"/>
  <c r="I67" i="25"/>
  <c r="Q66" i="25"/>
  <c r="T24" i="41"/>
  <c r="L66" i="25"/>
  <c r="X72" i="49"/>
  <c r="O66" i="25"/>
  <c r="O24" i="56"/>
  <c r="K66" i="25"/>
  <c r="X24" i="49"/>
  <c r="P66" i="25"/>
  <c r="O73" i="56"/>
  <c r="J66" i="25"/>
  <c r="I66" i="25"/>
  <c r="X24" i="45"/>
  <c r="M65" i="25"/>
  <c r="R65" i="25"/>
  <c r="IG471" i="2"/>
  <c r="K65" i="25"/>
  <c r="N65" i="25"/>
  <c r="O65" i="25"/>
  <c r="S24" i="41"/>
  <c r="E2" i="61"/>
  <c r="L65" i="25"/>
  <c r="P65" i="25"/>
  <c r="J64" i="25"/>
  <c r="O64" i="25"/>
  <c r="Q23" i="56"/>
  <c r="K64" i="25"/>
  <c r="Z23" i="49"/>
  <c r="L64" i="25"/>
  <c r="Z71" i="49"/>
  <c r="M64" i="25"/>
  <c r="N64" i="25"/>
  <c r="P64" i="25"/>
  <c r="Q72" i="56"/>
  <c r="R64" i="25"/>
  <c r="V71" i="41"/>
  <c r="R63" i="25"/>
  <c r="U71" i="41"/>
  <c r="Q63" i="25"/>
  <c r="U23" i="41"/>
  <c r="P63" i="25"/>
  <c r="P72" i="56"/>
  <c r="K63" i="25"/>
  <c r="Y23" i="49"/>
  <c r="M63" i="25"/>
  <c r="N63" i="25"/>
  <c r="I63" i="25"/>
  <c r="L63" i="25"/>
  <c r="Y71" i="49"/>
  <c r="J63" i="25"/>
  <c r="O63" i="25"/>
  <c r="P23" i="56"/>
  <c r="M62" i="25"/>
  <c r="Q62" i="25"/>
  <c r="T23" i="41"/>
  <c r="O62" i="25"/>
  <c r="O23" i="56"/>
  <c r="K62" i="25"/>
  <c r="X23" i="49"/>
  <c r="I62" i="25"/>
  <c r="L62" i="25"/>
  <c r="X71" i="49"/>
  <c r="R62" i="25"/>
  <c r="T71" i="41"/>
  <c r="P62" i="25"/>
  <c r="O72" i="56"/>
  <c r="J62" i="25"/>
  <c r="N62" i="25"/>
  <c r="S71" i="41"/>
  <c r="N72" i="56"/>
  <c r="I61" i="25"/>
  <c r="Y23" i="67"/>
  <c r="N23" i="56"/>
  <c r="W23" i="49"/>
  <c r="Q61" i="25"/>
  <c r="W71" i="49"/>
  <c r="P60" i="25"/>
  <c r="Q71" i="56"/>
  <c r="L60" i="25"/>
  <c r="Z70" i="49"/>
  <c r="M60" i="25"/>
  <c r="N60" i="25"/>
  <c r="J60" i="25"/>
  <c r="I60" i="25"/>
  <c r="Q60" i="25"/>
  <c r="V22" i="41"/>
  <c r="R60" i="25"/>
  <c r="V70" i="41"/>
  <c r="P59" i="25"/>
  <c r="P71" i="56"/>
  <c r="M59" i="25"/>
  <c r="I59" i="25"/>
  <c r="R59" i="25"/>
  <c r="U70" i="41"/>
  <c r="Q59" i="25"/>
  <c r="U22" i="41"/>
  <c r="O59" i="25"/>
  <c r="P22" i="56"/>
  <c r="L59" i="25"/>
  <c r="Y70" i="49"/>
  <c r="N59" i="25"/>
  <c r="J59" i="25"/>
  <c r="K59" i="25"/>
  <c r="Y22" i="49"/>
  <c r="J58" i="25"/>
  <c r="P58" i="25"/>
  <c r="O71" i="56"/>
  <c r="L58" i="25"/>
  <c r="X70" i="49"/>
  <c r="M58" i="25"/>
  <c r="I58" i="25"/>
  <c r="N58" i="25"/>
  <c r="O58" i="25"/>
  <c r="O22" i="56"/>
  <c r="K58" i="25"/>
  <c r="X22" i="49"/>
  <c r="Q58" i="25"/>
  <c r="T22" i="41"/>
  <c r="X22" i="45"/>
  <c r="S22" i="41"/>
  <c r="O57" i="25"/>
  <c r="W70" i="49"/>
  <c r="N71" i="56"/>
  <c r="K57" i="25"/>
  <c r="R57" i="25"/>
  <c r="R56" i="25"/>
  <c r="V69" i="41"/>
  <c r="M56" i="25"/>
  <c r="Q21" i="56"/>
  <c r="N56" i="25"/>
  <c r="Q70" i="56"/>
  <c r="L56" i="25"/>
  <c r="Z69" i="49"/>
  <c r="K56" i="25"/>
  <c r="Z21" i="49"/>
  <c r="J56" i="25"/>
  <c r="Q56" i="25"/>
  <c r="V21" i="41"/>
  <c r="I56" i="25"/>
  <c r="K55" i="25"/>
  <c r="Y21" i="49"/>
  <c r="M55" i="25"/>
  <c r="P21" i="56"/>
  <c r="I55" i="25"/>
  <c r="N55" i="25"/>
  <c r="P70" i="56"/>
  <c r="Q55" i="25"/>
  <c r="U21" i="41"/>
  <c r="R55" i="25"/>
  <c r="U69" i="41"/>
  <c r="J55" i="25"/>
  <c r="L55" i="25"/>
  <c r="Y69" i="49"/>
  <c r="GK472" i="2"/>
  <c r="O21" i="56"/>
  <c r="J54" i="25"/>
  <c r="Q54" i="25"/>
  <c r="T21" i="41"/>
  <c r="I54" i="25"/>
  <c r="L54" i="25"/>
  <c r="X69" i="49"/>
  <c r="N54" i="25"/>
  <c r="O70" i="56"/>
  <c r="S21" i="41"/>
  <c r="W69" i="49"/>
  <c r="M53" i="25"/>
  <c r="R53" i="25"/>
  <c r="X21" i="45"/>
  <c r="K53" i="25"/>
  <c r="M52" i="25"/>
  <c r="J52" i="25"/>
  <c r="P52" i="25"/>
  <c r="Q69" i="56"/>
  <c r="R52" i="25"/>
  <c r="V68" i="41"/>
  <c r="K52" i="25"/>
  <c r="Z20" i="49"/>
  <c r="N52" i="25"/>
  <c r="O52" i="25"/>
  <c r="Q20" i="56"/>
  <c r="L52" i="25"/>
  <c r="Z68" i="49"/>
  <c r="K51" i="25"/>
  <c r="Y20" i="49"/>
  <c r="O51" i="25"/>
  <c r="P20" i="56"/>
  <c r="I51" i="25"/>
  <c r="R51" i="25"/>
  <c r="U68" i="41"/>
  <c r="Q51" i="25"/>
  <c r="U20" i="41"/>
  <c r="M51" i="25"/>
  <c r="L51" i="25"/>
  <c r="Y68" i="49"/>
  <c r="J51" i="25"/>
  <c r="P51" i="25"/>
  <c r="P69" i="56"/>
  <c r="I50" i="25"/>
  <c r="L50" i="25"/>
  <c r="X68" i="49"/>
  <c r="M50" i="25"/>
  <c r="O50" i="25"/>
  <c r="O20" i="56"/>
  <c r="N50" i="25"/>
  <c r="Q50" i="25"/>
  <c r="T20" i="41"/>
  <c r="K50" i="25"/>
  <c r="X20" i="49"/>
  <c r="W20" i="49"/>
  <c r="N20" i="56"/>
  <c r="P49" i="25"/>
  <c r="Q49" i="25"/>
  <c r="R49" i="25"/>
  <c r="J49" i="25"/>
  <c r="W68" i="49"/>
  <c r="I49" i="25"/>
  <c r="Y20" i="67"/>
  <c r="N49" i="25"/>
  <c r="J48" i="25"/>
  <c r="N48" i="25"/>
  <c r="R48" i="25"/>
  <c r="V67" i="41"/>
  <c r="I48" i="25"/>
  <c r="L48" i="25"/>
  <c r="Z67" i="49"/>
  <c r="Q48" i="25"/>
  <c r="V19" i="41"/>
  <c r="P48" i="25"/>
  <c r="Q68" i="56"/>
  <c r="K48" i="25"/>
  <c r="Z19" i="49"/>
  <c r="WQ473" i="2"/>
  <c r="L47" i="25"/>
  <c r="Y67" i="49"/>
  <c r="R47" i="25"/>
  <c r="U67" i="41"/>
  <c r="I47" i="25"/>
  <c r="P47" i="25"/>
  <c r="P68" i="56"/>
  <c r="J47" i="25"/>
  <c r="O47" i="25"/>
  <c r="P19" i="56"/>
  <c r="K47" i="25"/>
  <c r="Y19" i="49"/>
  <c r="M47" i="25"/>
  <c r="N47" i="25"/>
  <c r="Q47" i="25"/>
  <c r="U19" i="41"/>
  <c r="J46" i="25"/>
  <c r="L46" i="25"/>
  <c r="X67" i="49"/>
  <c r="K46" i="25"/>
  <c r="X19" i="49"/>
  <c r="N46" i="25"/>
  <c r="Q46" i="25"/>
  <c r="T19" i="41"/>
  <c r="M46" i="25"/>
  <c r="WT472" i="2"/>
  <c r="O46" i="25"/>
  <c r="O19" i="56"/>
  <c r="O45" i="25"/>
  <c r="S19" i="41"/>
  <c r="P45" i="25"/>
  <c r="W19" i="49"/>
  <c r="R45" i="25"/>
  <c r="I45" i="25"/>
  <c r="Y19" i="67"/>
  <c r="M45" i="25"/>
  <c r="W67" i="49"/>
  <c r="L44" i="25"/>
  <c r="Z66" i="49"/>
  <c r="R44" i="25"/>
  <c r="V66" i="41"/>
  <c r="Q44" i="25"/>
  <c r="V18" i="41"/>
  <c r="N44" i="25"/>
  <c r="O44" i="25"/>
  <c r="Q18" i="56"/>
  <c r="P44" i="25"/>
  <c r="Q67" i="56"/>
  <c r="I44" i="25"/>
  <c r="EP473" i="2"/>
  <c r="O43" i="25"/>
  <c r="P18" i="56"/>
  <c r="R43" i="25"/>
  <c r="U66" i="41"/>
  <c r="Q43" i="25"/>
  <c r="U18" i="41"/>
  <c r="L43" i="25"/>
  <c r="Y66" i="49"/>
  <c r="P43" i="25"/>
  <c r="P67" i="56"/>
  <c r="Y18" i="49"/>
  <c r="M43" i="25"/>
  <c r="R42" i="25"/>
  <c r="T66" i="41"/>
  <c r="M42" i="25"/>
  <c r="X18" i="49"/>
  <c r="L42" i="25"/>
  <c r="X66" i="49"/>
  <c r="Q42" i="25"/>
  <c r="T18" i="41"/>
  <c r="N42" i="25"/>
  <c r="O42" i="25"/>
  <c r="O18" i="56"/>
  <c r="M41" i="25"/>
  <c r="EO471" i="2"/>
  <c r="W66" i="49"/>
  <c r="N18" i="56"/>
  <c r="S66" i="41"/>
  <c r="P41" i="25"/>
  <c r="K41" i="25"/>
  <c r="J41" i="25"/>
  <c r="S18" i="41"/>
  <c r="I41" i="25"/>
  <c r="Y18" i="67"/>
  <c r="R40" i="25"/>
  <c r="V65" i="41"/>
  <c r="M40" i="25"/>
  <c r="N40" i="25"/>
  <c r="P40" i="25"/>
  <c r="Q66" i="56"/>
  <c r="I40" i="25"/>
  <c r="O40" i="25"/>
  <c r="Q17" i="56"/>
  <c r="K40" i="25"/>
  <c r="Z17" i="49"/>
  <c r="Q40" i="25"/>
  <c r="V17" i="41"/>
  <c r="J40" i="25"/>
  <c r="L40" i="25"/>
  <c r="Z65" i="49"/>
  <c r="DY473" i="2"/>
  <c r="I39" i="25"/>
  <c r="K39" i="25"/>
  <c r="Y17" i="49"/>
  <c r="L39" i="25"/>
  <c r="Y65" i="49"/>
  <c r="Q39" i="25"/>
  <c r="U17" i="41"/>
  <c r="P39" i="25"/>
  <c r="P66" i="56"/>
  <c r="O39" i="25"/>
  <c r="P17" i="56"/>
  <c r="R39" i="25"/>
  <c r="U65" i="41"/>
  <c r="N38" i="25"/>
  <c r="O38" i="25"/>
  <c r="O17" i="56"/>
  <c r="M38" i="25"/>
  <c r="L38" i="25"/>
  <c r="X65" i="49"/>
  <c r="DZ471" i="2"/>
  <c r="N17" i="56"/>
  <c r="I37" i="25"/>
  <c r="Y17" i="67"/>
  <c r="W65" i="49"/>
  <c r="N37" i="25"/>
  <c r="J37" i="25"/>
  <c r="K37" i="25"/>
  <c r="R37" i="25"/>
  <c r="M37" i="25"/>
  <c r="P37" i="25"/>
  <c r="Q37" i="25"/>
  <c r="R36" i="25"/>
  <c r="V64" i="41"/>
  <c r="I36" i="25"/>
  <c r="L36" i="25"/>
  <c r="Z64" i="49"/>
  <c r="J36" i="25"/>
  <c r="P36" i="25"/>
  <c r="Q65" i="56"/>
  <c r="M36" i="25"/>
  <c r="N36" i="25"/>
  <c r="Q36" i="25"/>
  <c r="V16" i="41"/>
  <c r="K35" i="25"/>
  <c r="Y16" i="49"/>
  <c r="P35" i="25"/>
  <c r="P65" i="56"/>
  <c r="N35" i="25"/>
  <c r="J35" i="25"/>
  <c r="R35" i="25"/>
  <c r="U64" i="41"/>
  <c r="I35" i="25"/>
  <c r="Q35" i="25"/>
  <c r="U16" i="41"/>
  <c r="O35" i="25"/>
  <c r="P16" i="56"/>
  <c r="M35" i="25"/>
  <c r="L35" i="25"/>
  <c r="Y64" i="49"/>
  <c r="I34" i="25"/>
  <c r="R34" i="25"/>
  <c r="T64" i="41"/>
  <c r="P34" i="25"/>
  <c r="O65" i="56"/>
  <c r="K34" i="25"/>
  <c r="X16" i="49"/>
  <c r="M34" i="25"/>
  <c r="J34" i="25"/>
  <c r="Q34" i="25"/>
  <c r="T16" i="41"/>
  <c r="O34" i="25"/>
  <c r="O16" i="56"/>
  <c r="S64" i="41"/>
  <c r="S16" i="41"/>
  <c r="N33" i="25"/>
  <c r="O33" i="25"/>
  <c r="L33" i="25"/>
  <c r="N65" i="56"/>
  <c r="X16" i="45"/>
  <c r="K33" i="25"/>
  <c r="M32" i="25"/>
  <c r="P32" i="25"/>
  <c r="Q64" i="56"/>
  <c r="O32" i="25"/>
  <c r="Q15" i="56"/>
  <c r="N32" i="25"/>
  <c r="J32" i="25"/>
  <c r="R32" i="25"/>
  <c r="V63" i="41"/>
  <c r="K32" i="25"/>
  <c r="Z15" i="49"/>
  <c r="Q32" i="25"/>
  <c r="V15" i="41"/>
  <c r="I32" i="25"/>
  <c r="P31" i="25"/>
  <c r="P64" i="56"/>
  <c r="O31" i="25"/>
  <c r="P15" i="56"/>
  <c r="J31" i="25"/>
  <c r="K31" i="25"/>
  <c r="Y15" i="49"/>
  <c r="M31" i="25"/>
  <c r="BM5" i="42"/>
  <c r="AC5" i="42"/>
  <c r="N31" i="25"/>
  <c r="I31" i="25"/>
  <c r="BV5" i="42"/>
  <c r="BN5" i="42"/>
  <c r="R5" i="42"/>
  <c r="R31" i="25"/>
  <c r="U63" i="41"/>
  <c r="Q31" i="25"/>
  <c r="U15" i="41"/>
  <c r="K5" i="42"/>
  <c r="WW472" i="2"/>
  <c r="CS472" i="2"/>
  <c r="P30" i="25"/>
  <c r="O64" i="56"/>
  <c r="I57" i="41"/>
  <c r="N30" i="25"/>
  <c r="O30" i="25"/>
  <c r="O15" i="56"/>
  <c r="WP472" i="2"/>
  <c r="M57" i="41"/>
  <c r="Q57" i="41"/>
  <c r="R30" i="25"/>
  <c r="T63" i="41"/>
  <c r="Q30" i="25"/>
  <c r="T15" i="41"/>
  <c r="I30" i="25"/>
  <c r="M30" i="25"/>
  <c r="BR5" i="42"/>
  <c r="BF5" i="42"/>
  <c r="O9" i="41"/>
  <c r="S63" i="41"/>
  <c r="CT471" i="2"/>
  <c r="BH5" i="42"/>
  <c r="D5" i="42"/>
  <c r="J29" i="25"/>
  <c r="N15" i="56"/>
  <c r="O12" i="35"/>
  <c r="O57" i="41"/>
  <c r="L29" i="25"/>
  <c r="X15" i="45"/>
  <c r="S15" i="41"/>
  <c r="N64" i="56"/>
  <c r="K29" i="25"/>
  <c r="AF5" i="42"/>
  <c r="CB7" i="40"/>
  <c r="CB2" i="40" s="1"/>
  <c r="M9" i="41"/>
  <c r="P28" i="25"/>
  <c r="Q63" i="56"/>
  <c r="M28" i="25"/>
  <c r="K28" i="25"/>
  <c r="Z14" i="49"/>
  <c r="R28" i="25"/>
  <c r="V62" i="41"/>
  <c r="O28" i="25"/>
  <c r="Q14" i="56"/>
  <c r="J28" i="25"/>
  <c r="L28" i="25"/>
  <c r="Z62" i="49"/>
  <c r="M27" i="25"/>
  <c r="I27" i="25"/>
  <c r="J27" i="25"/>
  <c r="O27" i="25"/>
  <c r="P14" i="56"/>
  <c r="Q27" i="25"/>
  <c r="U14" i="41"/>
  <c r="K27" i="25"/>
  <c r="Y14" i="49"/>
  <c r="L27" i="25"/>
  <c r="Y62" i="49"/>
  <c r="R27" i="25"/>
  <c r="U62" i="41"/>
  <c r="M26" i="25"/>
  <c r="I26" i="25"/>
  <c r="O26" i="25"/>
  <c r="O14" i="56"/>
  <c r="Q26" i="25"/>
  <c r="T14" i="41"/>
  <c r="R26" i="25"/>
  <c r="T62" i="41"/>
  <c r="P26" i="25"/>
  <c r="O63" i="56"/>
  <c r="N26" i="25"/>
  <c r="WQ472" i="2"/>
  <c r="L26" i="25"/>
  <c r="X62" i="49"/>
  <c r="N63" i="56"/>
  <c r="N14" i="56"/>
  <c r="I25" i="25"/>
  <c r="Y14" i="67"/>
  <c r="S14" i="41"/>
  <c r="W62" i="49"/>
  <c r="S62" i="41"/>
  <c r="K25" i="25"/>
  <c r="N25" i="25"/>
  <c r="J25" i="25"/>
  <c r="BM474" i="2"/>
  <c r="M24" i="25"/>
  <c r="I24" i="25"/>
  <c r="P24" i="25"/>
  <c r="Q62" i="56"/>
  <c r="K24" i="25"/>
  <c r="Z13" i="49"/>
  <c r="R24" i="25"/>
  <c r="V61" i="41"/>
  <c r="J24" i="25"/>
  <c r="N24" i="25"/>
  <c r="L24" i="25"/>
  <c r="Z61" i="49"/>
  <c r="L23" i="25"/>
  <c r="Y61" i="49"/>
  <c r="R23" i="25"/>
  <c r="U61" i="41"/>
  <c r="O23" i="25"/>
  <c r="P13" i="56"/>
  <c r="P23" i="25"/>
  <c r="P62" i="56"/>
  <c r="K23" i="25"/>
  <c r="Y13" i="49"/>
  <c r="J23" i="25"/>
  <c r="M23" i="25"/>
  <c r="N23" i="25"/>
  <c r="Q23" i="25"/>
  <c r="U13" i="41"/>
  <c r="I23" i="25"/>
  <c r="L22" i="25"/>
  <c r="X61" i="49"/>
  <c r="M22" i="25"/>
  <c r="I22" i="25"/>
  <c r="Q22" i="25"/>
  <c r="T13" i="41"/>
  <c r="R22" i="25"/>
  <c r="T61" i="41"/>
  <c r="O22" i="25"/>
  <c r="O13" i="56"/>
  <c r="K22" i="25"/>
  <c r="X13" i="49"/>
  <c r="WQ471" i="2"/>
  <c r="S61" i="41"/>
  <c r="W13" i="49"/>
  <c r="X13" i="45"/>
  <c r="W61" i="49"/>
  <c r="P21" i="25"/>
  <c r="Q21" i="25"/>
  <c r="O21" i="25"/>
  <c r="J21" i="25"/>
  <c r="O20" i="25"/>
  <c r="Q12" i="56"/>
  <c r="Q20" i="25"/>
  <c r="V12" i="41"/>
  <c r="L20" i="25"/>
  <c r="Z60" i="49"/>
  <c r="I20" i="25"/>
  <c r="J20" i="25"/>
  <c r="N20" i="25"/>
  <c r="K20" i="25"/>
  <c r="Z12" i="49"/>
  <c r="K19" i="25"/>
  <c r="Y12" i="49"/>
  <c r="R19" i="25"/>
  <c r="U60" i="41"/>
  <c r="P19" i="25"/>
  <c r="P61" i="56"/>
  <c r="J19" i="25"/>
  <c r="I19" i="25"/>
  <c r="M19" i="25"/>
  <c r="L19" i="25"/>
  <c r="Y60" i="49"/>
  <c r="Q18" i="25"/>
  <c r="T12" i="41"/>
  <c r="N18" i="25"/>
  <c r="K18" i="25"/>
  <c r="X12" i="49"/>
  <c r="L18" i="25"/>
  <c r="X60" i="49"/>
  <c r="P18" i="25"/>
  <c r="O61" i="56"/>
  <c r="I18" i="25"/>
  <c r="O18" i="25"/>
  <c r="O12" i="56"/>
  <c r="R18" i="25"/>
  <c r="T60" i="41"/>
  <c r="N17" i="25"/>
  <c r="O17" i="25"/>
  <c r="X12" i="45"/>
  <c r="M17" i="25"/>
  <c r="R17" i="25"/>
  <c r="Q17" i="25"/>
  <c r="W60" i="49"/>
  <c r="W12" i="49"/>
  <c r="J17" i="25"/>
  <c r="WZ471" i="2"/>
  <c r="N61" i="56"/>
  <c r="Q16" i="25"/>
  <c r="V11" i="41"/>
  <c r="N16" i="25"/>
  <c r="J16" i="25"/>
  <c r="I16" i="25"/>
  <c r="R16" i="25"/>
  <c r="V59" i="41"/>
  <c r="O16" i="25"/>
  <c r="Q11" i="56"/>
  <c r="L16" i="25"/>
  <c r="Z59" i="49"/>
  <c r="P16" i="25"/>
  <c r="Q60" i="56"/>
  <c r="P15" i="25"/>
  <c r="P60" i="56"/>
  <c r="L15" i="25"/>
  <c r="Y59" i="49"/>
  <c r="N15" i="25"/>
  <c r="J15" i="25"/>
  <c r="I15" i="25"/>
  <c r="M15" i="25"/>
  <c r="K15" i="25"/>
  <c r="Y11" i="49"/>
  <c r="R15" i="25"/>
  <c r="U59" i="41"/>
  <c r="O15" i="25"/>
  <c r="P11" i="56"/>
  <c r="L14" i="25"/>
  <c r="X59" i="49"/>
  <c r="M14" i="25"/>
  <c r="P14" i="25"/>
  <c r="O60" i="56"/>
  <c r="K14" i="25"/>
  <c r="X11" i="49"/>
  <c r="I14" i="25"/>
  <c r="Q14" i="25"/>
  <c r="T11" i="41"/>
  <c r="J14" i="25"/>
  <c r="W59" i="49"/>
  <c r="X11" i="45"/>
  <c r="K13" i="25"/>
  <c r="O13" i="25"/>
  <c r="N13" i="25"/>
  <c r="N60" i="56"/>
  <c r="Q13" i="25"/>
  <c r="M13" i="25"/>
  <c r="R13" i="25"/>
  <c r="L12" i="25"/>
  <c r="Q12" i="25"/>
  <c r="K12" i="25"/>
  <c r="XA474" i="2"/>
  <c r="N12" i="25"/>
  <c r="R12" i="25"/>
  <c r="P12" i="25"/>
  <c r="O12" i="25"/>
  <c r="M12" i="25"/>
  <c r="I12" i="25"/>
  <c r="AB10" i="67"/>
  <c r="WW473" i="2"/>
  <c r="R11" i="25"/>
  <c r="P11" i="25"/>
  <c r="K11" i="25"/>
  <c r="L11" i="25"/>
  <c r="Y58" i="49"/>
  <c r="O11" i="25"/>
  <c r="J11" i="25"/>
  <c r="Q11" i="25"/>
  <c r="M11" i="25"/>
  <c r="N11" i="25"/>
  <c r="I11" i="25"/>
  <c r="AA10" i="67"/>
  <c r="J10" i="25"/>
  <c r="R10" i="25"/>
  <c r="I10" i="25"/>
  <c r="Z10" i="67"/>
  <c r="N10" i="25"/>
  <c r="M10" i="25"/>
  <c r="P10" i="25"/>
  <c r="L10" i="25"/>
  <c r="O10" i="25"/>
  <c r="N10" i="56"/>
  <c r="J9" i="25"/>
  <c r="Q9" i="25"/>
  <c r="W58" i="49"/>
  <c r="BY7" i="35"/>
  <c r="K7" i="35"/>
  <c r="AE7" i="35"/>
  <c r="BC17" i="35"/>
  <c r="BC7" i="35" s="1"/>
  <c r="PQ472" i="2"/>
  <c r="X9" i="35"/>
  <c r="AF21" i="35"/>
  <c r="AF9" i="35" s="1"/>
  <c r="EP472" i="2"/>
  <c r="Y91" i="49"/>
  <c r="G52" i="25"/>
  <c r="IH473" i="2"/>
  <c r="HQ472" i="2"/>
  <c r="AU8" i="35"/>
  <c r="WK472" i="2"/>
  <c r="CD471" i="2"/>
  <c r="FU474" i="2"/>
  <c r="BC12" i="35"/>
  <c r="DI471" i="2"/>
  <c r="WV471" i="2"/>
  <c r="B9" i="56"/>
  <c r="BG35" i="47"/>
  <c r="QG472" i="2"/>
  <c r="Q61" i="59"/>
  <c r="H150" i="25"/>
  <c r="R93" i="59"/>
  <c r="Q93" i="59"/>
  <c r="H24" i="25"/>
  <c r="T61" i="59"/>
  <c r="G19" i="25"/>
  <c r="S12" i="59"/>
  <c r="Q64" i="59"/>
  <c r="G20" i="25"/>
  <c r="T12" i="59"/>
  <c r="Q62" i="59"/>
  <c r="Q71" i="59"/>
  <c r="Q72" i="59"/>
  <c r="H20" i="25"/>
  <c r="T60" i="59"/>
  <c r="H60" i="25"/>
  <c r="T70" i="59"/>
  <c r="H84" i="25"/>
  <c r="T76" i="59"/>
  <c r="Q88" i="59"/>
  <c r="H102" i="25"/>
  <c r="R81" i="59"/>
  <c r="H106" i="25"/>
  <c r="R82" i="59"/>
  <c r="H157" i="25"/>
  <c r="H86" i="25"/>
  <c r="R77" i="59"/>
  <c r="Q77" i="59"/>
  <c r="Q83" i="59"/>
  <c r="H156" i="25"/>
  <c r="T94" i="59"/>
  <c r="G108" i="25"/>
  <c r="T34" i="59"/>
  <c r="G109" i="25"/>
  <c r="Q35" i="59"/>
  <c r="G70" i="25"/>
  <c r="R25" i="59"/>
  <c r="G78" i="25"/>
  <c r="R27" i="59"/>
  <c r="G91" i="25"/>
  <c r="S30" i="59"/>
  <c r="G127" i="25"/>
  <c r="S39" i="59"/>
  <c r="G54" i="25"/>
  <c r="R21" i="59"/>
  <c r="G62" i="25"/>
  <c r="R23" i="59"/>
  <c r="G47" i="25"/>
  <c r="S19" i="59"/>
  <c r="G75" i="25"/>
  <c r="S26" i="59"/>
  <c r="G84" i="25"/>
  <c r="T28" i="59"/>
  <c r="G40" i="25"/>
  <c r="T17" i="59"/>
  <c r="G130" i="25"/>
  <c r="R40" i="59"/>
  <c r="G56" i="25"/>
  <c r="T21" i="59"/>
  <c r="H141" i="25"/>
  <c r="H151" i="25"/>
  <c r="S93" i="59"/>
  <c r="Q67" i="59"/>
  <c r="H143" i="25"/>
  <c r="S91" i="59"/>
  <c r="H62" i="25"/>
  <c r="R71" i="59"/>
  <c r="H137" i="25"/>
  <c r="G73" i="25"/>
  <c r="Q26" i="59"/>
  <c r="G10" i="25"/>
  <c r="G66" i="25"/>
  <c r="R24" i="59"/>
  <c r="G31" i="25"/>
  <c r="S15" i="59"/>
  <c r="G99" i="25"/>
  <c r="S32" i="59"/>
  <c r="G105" i="25"/>
  <c r="Q34" i="59"/>
  <c r="G11" i="25"/>
  <c r="S10" i="59"/>
  <c r="G115" i="25"/>
  <c r="S36" i="59"/>
  <c r="G120" i="25"/>
  <c r="T37" i="59"/>
  <c r="H32" i="25"/>
  <c r="T63" i="59"/>
  <c r="H118" i="25"/>
  <c r="R85" i="59"/>
  <c r="H154" i="25"/>
  <c r="R94" i="59"/>
  <c r="H47" i="25"/>
  <c r="S67" i="59"/>
  <c r="G18" i="25"/>
  <c r="R12" i="59"/>
  <c r="G63" i="25"/>
  <c r="S23" i="59"/>
  <c r="G12" i="25"/>
  <c r="T10" i="59"/>
  <c r="G15" i="25"/>
  <c r="S11" i="59"/>
  <c r="BB12" i="35"/>
  <c r="H142" i="25"/>
  <c r="R91" i="59"/>
  <c r="Q79" i="59"/>
  <c r="H59" i="25"/>
  <c r="S70" i="59"/>
  <c r="H34" i="25"/>
  <c r="R64" i="59"/>
  <c r="H43" i="25"/>
  <c r="S66" i="59"/>
  <c r="H11" i="25"/>
  <c r="H26" i="25"/>
  <c r="R62" i="59"/>
  <c r="Q68" i="59"/>
  <c r="H66" i="25"/>
  <c r="R72" i="59"/>
  <c r="H76" i="25"/>
  <c r="T74" i="59"/>
  <c r="Q76" i="59"/>
  <c r="H10" i="25"/>
  <c r="H100" i="25"/>
  <c r="T80" i="59"/>
  <c r="H124" i="25"/>
  <c r="T86" i="59"/>
  <c r="H130" i="25"/>
  <c r="R88" i="59"/>
  <c r="H97" i="25"/>
  <c r="H107" i="25"/>
  <c r="S82" i="59"/>
  <c r="H90" i="25"/>
  <c r="R78" i="59"/>
  <c r="H95" i="25"/>
  <c r="S79" i="59"/>
  <c r="H104" i="25"/>
  <c r="T81" i="59"/>
  <c r="H115" i="25"/>
  <c r="S84" i="59"/>
  <c r="H126" i="25"/>
  <c r="R87" i="59"/>
  <c r="H140" i="25"/>
  <c r="T90" i="59"/>
  <c r="H88" i="25"/>
  <c r="T77" i="59"/>
  <c r="H158" i="25"/>
  <c r="R95" i="59"/>
  <c r="G137" i="25"/>
  <c r="Q42" i="59"/>
  <c r="G138" i="25"/>
  <c r="R42" i="59"/>
  <c r="G72" i="25"/>
  <c r="T25" i="59"/>
  <c r="G38" i="25"/>
  <c r="R17" i="59"/>
  <c r="G102" i="25"/>
  <c r="R33" i="59"/>
  <c r="G110" i="25"/>
  <c r="R35" i="59"/>
  <c r="G153" i="25"/>
  <c r="Q46" i="59"/>
  <c r="G86" i="25"/>
  <c r="R29" i="59"/>
  <c r="G94" i="25"/>
  <c r="R31" i="59"/>
  <c r="G79" i="25"/>
  <c r="S27" i="59"/>
  <c r="G135" i="25"/>
  <c r="S41" i="59"/>
  <c r="G83" i="25"/>
  <c r="S28" i="59"/>
  <c r="H51" i="25"/>
  <c r="S68" i="59"/>
  <c r="H71" i="25"/>
  <c r="S73" i="59"/>
  <c r="H80" i="25"/>
  <c r="T75" i="59"/>
  <c r="H98" i="25"/>
  <c r="R80" i="59"/>
  <c r="H48" i="25"/>
  <c r="T67" i="59"/>
  <c r="H123" i="25"/>
  <c r="S86" i="59"/>
  <c r="H127" i="25"/>
  <c r="S87" i="59"/>
  <c r="H68" i="25"/>
  <c r="T72" i="59"/>
  <c r="H134" i="25"/>
  <c r="R89" i="59"/>
  <c r="G34" i="25"/>
  <c r="R16" i="59"/>
  <c r="G131" i="25"/>
  <c r="S40" i="59"/>
  <c r="G71" i="25"/>
  <c r="S25" i="59"/>
  <c r="G141" i="25"/>
  <c r="Q43" i="59"/>
  <c r="G157" i="25"/>
  <c r="Q47" i="59"/>
  <c r="G150" i="25"/>
  <c r="R45" i="59"/>
  <c r="G16" i="25"/>
  <c r="T11" i="59"/>
  <c r="H114" i="25"/>
  <c r="R84" i="59"/>
  <c r="H120" i="25"/>
  <c r="T85" i="59"/>
  <c r="H37" i="25"/>
  <c r="H64" i="25"/>
  <c r="T71" i="59"/>
  <c r="H135" i="25"/>
  <c r="S89" i="59"/>
  <c r="H147" i="25"/>
  <c r="S92" i="59"/>
  <c r="G77" i="25"/>
  <c r="Q27" i="59"/>
  <c r="H92" i="25"/>
  <c r="T78" i="59"/>
  <c r="G144" i="25"/>
  <c r="T43" i="59"/>
  <c r="G33" i="25"/>
  <c r="Q16" i="59"/>
  <c r="G39" i="25"/>
  <c r="S17" i="59"/>
  <c r="H17" i="25"/>
  <c r="G89" i="25"/>
  <c r="Q30" i="59"/>
  <c r="R471" i="2"/>
  <c r="H23" i="25"/>
  <c r="S61" i="59"/>
  <c r="G146" i="25"/>
  <c r="R44" i="59"/>
  <c r="Q69" i="59"/>
  <c r="H28" i="25"/>
  <c r="T62" i="59"/>
  <c r="Q75" i="59"/>
  <c r="Q59" i="59"/>
  <c r="H35" i="25"/>
  <c r="S64" i="59"/>
  <c r="H44" i="25"/>
  <c r="T66" i="59"/>
  <c r="H27" i="25"/>
  <c r="S62" i="59"/>
  <c r="Q70" i="59"/>
  <c r="H67" i="25"/>
  <c r="S72" i="59"/>
  <c r="H82" i="25"/>
  <c r="R76" i="59"/>
  <c r="H73" i="25"/>
  <c r="Q78" i="59"/>
  <c r="H103" i="25"/>
  <c r="S81" i="59"/>
  <c r="H131" i="25"/>
  <c r="S88" i="59"/>
  <c r="Q81" i="59"/>
  <c r="H108" i="25"/>
  <c r="T82" i="59"/>
  <c r="H94" i="25"/>
  <c r="R79" i="59"/>
  <c r="Q84" i="59"/>
  <c r="H116" i="25"/>
  <c r="T84" i="59"/>
  <c r="H110" i="25"/>
  <c r="R83" i="59"/>
  <c r="H87" i="25"/>
  <c r="S77" i="59"/>
  <c r="G23" i="25"/>
  <c r="S13" i="59"/>
  <c r="G55" i="25"/>
  <c r="S21" i="59"/>
  <c r="G143" i="25"/>
  <c r="S43" i="59"/>
  <c r="G104" i="25"/>
  <c r="T33" i="59"/>
  <c r="G128" i="25"/>
  <c r="T39" i="59"/>
  <c r="G145" i="25"/>
  <c r="Q44" i="59"/>
  <c r="G27" i="25"/>
  <c r="S14" i="59"/>
  <c r="G49" i="25"/>
  <c r="Q20" i="59"/>
  <c r="G22" i="25"/>
  <c r="R13" i="59"/>
  <c r="R22" i="59"/>
  <c r="G116" i="25"/>
  <c r="T36" i="59"/>
  <c r="G156" i="25"/>
  <c r="T46" i="59"/>
  <c r="H31" i="25"/>
  <c r="S63" i="59"/>
  <c r="H153" i="25"/>
  <c r="H36" i="25"/>
  <c r="T64" i="59"/>
  <c r="Q73" i="59"/>
  <c r="H148" i="25"/>
  <c r="T92" i="59"/>
  <c r="H136" i="25"/>
  <c r="T89" i="59"/>
  <c r="G45" i="25"/>
  <c r="Q19" i="59"/>
  <c r="G117" i="25"/>
  <c r="Q37" i="59"/>
  <c r="G42" i="25"/>
  <c r="R18" i="59"/>
  <c r="G98" i="25"/>
  <c r="R32" i="59"/>
  <c r="G35" i="25"/>
  <c r="S16" i="59"/>
  <c r="G95" i="25"/>
  <c r="S31" i="59"/>
  <c r="G149" i="25"/>
  <c r="Q45" i="59"/>
  <c r="G154" i="25"/>
  <c r="R46" i="59"/>
  <c r="G51" i="25"/>
  <c r="S20" i="59"/>
  <c r="G125" i="25"/>
  <c r="Q39" i="59"/>
  <c r="G67" i="25"/>
  <c r="S24" i="59"/>
  <c r="G107" i="25"/>
  <c r="S34" i="59"/>
  <c r="G88" i="25"/>
  <c r="T29" i="59"/>
  <c r="G96" i="25"/>
  <c r="T31" i="59"/>
  <c r="G148" i="25"/>
  <c r="T44" i="59"/>
  <c r="H30" i="25"/>
  <c r="R63" i="59"/>
  <c r="H52" i="25"/>
  <c r="T68" i="59"/>
  <c r="H56" i="25"/>
  <c r="T69" i="59"/>
  <c r="H79" i="25"/>
  <c r="S75" i="59"/>
  <c r="H72" i="25"/>
  <c r="T73" i="59"/>
  <c r="G44" i="25"/>
  <c r="T18" i="59"/>
  <c r="G152" i="25"/>
  <c r="T45" i="59"/>
  <c r="G159" i="25"/>
  <c r="S47" i="59"/>
  <c r="G57" i="25"/>
  <c r="Q22" i="59"/>
  <c r="G26" i="25"/>
  <c r="R14" i="59"/>
  <c r="H96" i="25"/>
  <c r="T79" i="59"/>
  <c r="G82" i="25"/>
  <c r="R28" i="59"/>
  <c r="G50" i="25"/>
  <c r="R20" i="59"/>
  <c r="G114" i="25"/>
  <c r="R36" i="59"/>
  <c r="DY472" i="2"/>
  <c r="H15" i="25"/>
  <c r="S59" i="59"/>
  <c r="H58" i="25"/>
  <c r="R70" i="59"/>
  <c r="H78" i="25"/>
  <c r="R75" i="59"/>
  <c r="H83" i="25"/>
  <c r="S76" i="59"/>
  <c r="H40" i="25"/>
  <c r="T65" i="59"/>
  <c r="H75" i="25"/>
  <c r="S74" i="59"/>
  <c r="H132" i="25"/>
  <c r="T88" i="59"/>
  <c r="Q82" i="59"/>
  <c r="Q86" i="59"/>
  <c r="Q87" i="59"/>
  <c r="H160" i="25"/>
  <c r="T95" i="59"/>
  <c r="H112" i="25"/>
  <c r="T83" i="59"/>
  <c r="Q89" i="59"/>
  <c r="H152" i="25"/>
  <c r="T93" i="59"/>
  <c r="G21" i="25"/>
  <c r="Q13" i="59"/>
  <c r="G129" i="25"/>
  <c r="Q40" i="59"/>
  <c r="G59" i="25"/>
  <c r="S22" i="59"/>
  <c r="G87" i="25"/>
  <c r="S29" i="59"/>
  <c r="G119" i="25"/>
  <c r="S37" i="59"/>
  <c r="G76" i="25"/>
  <c r="T26" i="59"/>
  <c r="G132" i="25"/>
  <c r="T40" i="59"/>
  <c r="G46" i="25"/>
  <c r="R19" i="59"/>
  <c r="G123" i="25"/>
  <c r="S38" i="59"/>
  <c r="G90" i="25"/>
  <c r="R30" i="59"/>
  <c r="G122" i="25"/>
  <c r="R38" i="59"/>
  <c r="G43" i="25"/>
  <c r="S18" i="59"/>
  <c r="G32" i="25"/>
  <c r="T15" i="59"/>
  <c r="G160" i="25"/>
  <c r="T47" i="59"/>
  <c r="H55" i="25"/>
  <c r="S69" i="59"/>
  <c r="H41" i="25"/>
  <c r="H111" i="25"/>
  <c r="S83" i="59"/>
  <c r="H122" i="25"/>
  <c r="R86" i="59"/>
  <c r="H128" i="25"/>
  <c r="T87" i="59"/>
  <c r="H138" i="25"/>
  <c r="R90" i="59"/>
  <c r="Q63" i="59"/>
  <c r="G25" i="25"/>
  <c r="Q14" i="59"/>
  <c r="G30" i="25"/>
  <c r="R15" i="59"/>
  <c r="G65" i="25"/>
  <c r="Q24" i="59"/>
  <c r="G134" i="25"/>
  <c r="R41" i="59"/>
  <c r="G140" i="25"/>
  <c r="T42" i="59"/>
  <c r="G64" i="25"/>
  <c r="T23" i="59"/>
  <c r="G136" i="25"/>
  <c r="T41" i="59"/>
  <c r="H22" i="25"/>
  <c r="R61" i="59"/>
  <c r="H50" i="25"/>
  <c r="R68" i="59"/>
  <c r="G97" i="25"/>
  <c r="Q32" i="59"/>
  <c r="G121" i="25"/>
  <c r="Q38" i="59"/>
  <c r="H91" i="25"/>
  <c r="S78" i="59"/>
  <c r="H145" i="25"/>
  <c r="H19" i="25"/>
  <c r="S60" i="59"/>
  <c r="H14" i="25"/>
  <c r="R59" i="59"/>
  <c r="H16" i="25"/>
  <c r="T59" i="59"/>
  <c r="H54" i="25"/>
  <c r="R69" i="59"/>
  <c r="H117" i="25"/>
  <c r="G103" i="25"/>
  <c r="S33" i="59"/>
  <c r="G111" i="25"/>
  <c r="S35" i="59"/>
  <c r="H63" i="25"/>
  <c r="S71" i="59"/>
  <c r="H46" i="25"/>
  <c r="R67" i="59"/>
  <c r="H70" i="25"/>
  <c r="R73" i="59"/>
  <c r="WY473" i="2"/>
  <c r="C9" i="59"/>
  <c r="B10" i="59"/>
  <c r="B9" i="59" s="1"/>
  <c r="B10" i="45"/>
  <c r="X7" i="35"/>
  <c r="D71" i="52"/>
  <c r="J71" i="52"/>
  <c r="WU472" i="2"/>
  <c r="BL9" i="35"/>
  <c r="BM9" i="35"/>
  <c r="BM37" i="54"/>
  <c r="BS37" i="54"/>
  <c r="G28" i="25"/>
  <c r="BT17" i="35"/>
  <c r="BT7" i="35" s="1"/>
  <c r="VV472" i="2"/>
  <c r="R17" i="35"/>
  <c r="R7" i="35" s="1"/>
  <c r="M14" i="35"/>
  <c r="Q474" i="2"/>
  <c r="AB12" i="35"/>
  <c r="KS472" i="2"/>
  <c r="D21" i="35"/>
  <c r="FE472" i="2"/>
  <c r="MP472" i="2"/>
  <c r="GL472" i="2"/>
  <c r="AN7" i="35"/>
  <c r="BI20" i="35"/>
  <c r="T23" i="35"/>
  <c r="B23" i="35" s="1"/>
  <c r="BI22" i="35"/>
  <c r="BI9" i="35" s="1"/>
  <c r="VF474" i="2"/>
  <c r="WP471" i="2"/>
  <c r="IX471" i="2"/>
  <c r="BN473" i="2"/>
  <c r="BE12" i="35"/>
  <c r="WO473" i="2"/>
  <c r="Q471" i="2"/>
  <c r="J12" i="35"/>
  <c r="WU471" i="2"/>
  <c r="MO471" i="2"/>
  <c r="LZ471" i="2"/>
  <c r="BM471" i="2"/>
  <c r="Z12" i="35"/>
  <c r="TI473" i="2"/>
  <c r="QG473" i="2"/>
  <c r="HQ473" i="2"/>
  <c r="LI473" i="2"/>
  <c r="AG12" i="35"/>
  <c r="BO7" i="35"/>
  <c r="T7" i="35"/>
  <c r="GK471" i="2"/>
  <c r="JM471" i="2"/>
  <c r="EP471" i="2"/>
  <c r="GL471" i="2"/>
  <c r="KT472" i="2"/>
  <c r="CT472" i="2"/>
  <c r="BG37" i="47"/>
  <c r="C37" i="47" s="1"/>
  <c r="WU473" i="2"/>
  <c r="BG39" i="47"/>
  <c r="B64" i="49"/>
  <c r="WU474" i="2"/>
  <c r="WZ473" i="2"/>
  <c r="E5" i="44"/>
  <c r="I91" i="67"/>
  <c r="I57" i="67" s="1"/>
  <c r="AE39" i="44"/>
  <c r="V91" i="67" s="1"/>
  <c r="WX473" i="2"/>
  <c r="ST472" i="2"/>
  <c r="EO472" i="2"/>
  <c r="SS471" i="2"/>
  <c r="RM472" i="2"/>
  <c r="DZ472" i="2"/>
  <c r="XA471" i="2"/>
  <c r="WX472" i="2"/>
  <c r="FU472" i="2"/>
  <c r="VF472" i="2"/>
  <c r="VF473" i="2"/>
  <c r="DB472" i="2"/>
  <c r="WT471" i="2"/>
  <c r="PR471" i="2"/>
  <c r="TT473" i="2"/>
  <c r="R474" i="2"/>
  <c r="S12" i="35"/>
  <c r="PR473" i="2"/>
  <c r="DI473" i="2"/>
  <c r="S7" i="35"/>
  <c r="WW471" i="2"/>
  <c r="BJ7" i="35"/>
  <c r="Z8" i="35"/>
  <c r="CA7" i="35"/>
  <c r="O7" i="35"/>
  <c r="OL472" i="2"/>
  <c r="IG472" i="2"/>
  <c r="AD7" i="35"/>
  <c r="M7" i="35"/>
  <c r="AJ17" i="35"/>
  <c r="WL472" i="2"/>
  <c r="BU17" i="35"/>
  <c r="AS17" i="35"/>
  <c r="AS7" i="35" s="1"/>
  <c r="BA17" i="35"/>
  <c r="BA7" i="35" s="1"/>
  <c r="AF17" i="35"/>
  <c r="AF7" i="35" s="1"/>
  <c r="TZ471" i="2"/>
  <c r="WO471" i="2"/>
  <c r="PQ471" i="2"/>
  <c r="ST471" i="2"/>
  <c r="WP473" i="2"/>
  <c r="VE472" i="2"/>
  <c r="UP471" i="2"/>
  <c r="LJ473" i="2"/>
  <c r="BB8" i="35"/>
  <c r="HA474" i="2"/>
  <c r="QW474" i="2"/>
  <c r="WO472" i="2"/>
  <c r="AZ19" i="35"/>
  <c r="AZ8" i="35" s="1"/>
  <c r="AH20" i="35"/>
  <c r="AH8" i="35" s="1"/>
  <c r="AW20" i="35"/>
  <c r="AW8" i="35" s="1"/>
  <c r="NF473" i="2"/>
  <c r="S20" i="35"/>
  <c r="S8" i="35" s="1"/>
  <c r="AV20" i="35"/>
  <c r="AV8" i="35" s="1"/>
  <c r="NE473" i="2"/>
  <c r="V20" i="35"/>
  <c r="V8" i="35" s="1"/>
  <c r="FE473" i="2"/>
  <c r="BR20" i="35"/>
  <c r="TY473" i="2"/>
  <c r="AT20" i="35"/>
  <c r="AT8" i="35" s="1"/>
  <c r="MO473" i="2"/>
  <c r="Y20" i="35"/>
  <c r="Y8" i="35" s="1"/>
  <c r="FV473" i="2"/>
  <c r="BD20" i="35"/>
  <c r="BD8" i="35" s="1"/>
  <c r="PQ473" i="2"/>
  <c r="AB20" i="35"/>
  <c r="AB8" i="35" s="1"/>
  <c r="AJ20" i="35"/>
  <c r="AJ8" i="35" s="1"/>
  <c r="JM473" i="2"/>
  <c r="BS20" i="35"/>
  <c r="AM20" i="35"/>
  <c r="AM8" i="35" s="1"/>
  <c r="KD473" i="2"/>
  <c r="WT473" i="2"/>
  <c r="AK20" i="35"/>
  <c r="AK8" i="35" s="1"/>
  <c r="JN473" i="2"/>
  <c r="M20" i="35"/>
  <c r="M8" i="35" s="1"/>
  <c r="CD473" i="2"/>
  <c r="WX474" i="2"/>
  <c r="WW474" i="2"/>
  <c r="WP474" i="2"/>
  <c r="SC474" i="2"/>
  <c r="WV472" i="2"/>
  <c r="WV473" i="2"/>
  <c r="WO474" i="2"/>
  <c r="WN472" i="2"/>
  <c r="WZ474" i="2"/>
  <c r="WV474" i="2"/>
  <c r="WN471" i="2"/>
  <c r="WN473" i="2"/>
  <c r="ID473" i="2"/>
  <c r="WN474" i="2"/>
  <c r="BF21" i="35"/>
  <c r="BF9" i="35" s="1"/>
  <c r="QG474" i="2"/>
  <c r="N53" i="25"/>
  <c r="BO20" i="35"/>
  <c r="BO8" i="35" s="1"/>
  <c r="ST473" i="2"/>
  <c r="BW18" i="35"/>
  <c r="BW8" i="35" s="1"/>
  <c r="BP22" i="35"/>
  <c r="BP9" i="35" s="1"/>
  <c r="TI474" i="2"/>
  <c r="P70" i="25"/>
  <c r="J130" i="25"/>
  <c r="AH21" i="35"/>
  <c r="IW474" i="2"/>
  <c r="BZ21" i="35"/>
  <c r="BZ9" i="35" s="1"/>
  <c r="WK474" i="2"/>
  <c r="AP16" i="35"/>
  <c r="AP7" i="35" s="1"/>
  <c r="LI472" i="2"/>
  <c r="BO22" i="35"/>
  <c r="BO9" i="35" s="1"/>
  <c r="ST474" i="2"/>
  <c r="BS22" i="35"/>
  <c r="BS9" i="35" s="1"/>
  <c r="TZ474" i="2"/>
  <c r="P145" i="25"/>
  <c r="P154" i="25"/>
  <c r="L53" i="25"/>
  <c r="HZ473" i="2"/>
  <c r="L105" i="25"/>
  <c r="R14" i="25"/>
  <c r="J18" i="25"/>
  <c r="R25" i="25"/>
  <c r="J83" i="25"/>
  <c r="N9" i="25"/>
  <c r="L11" i="2"/>
  <c r="G57" i="5" s="1"/>
  <c r="L13" i="25"/>
  <c r="H29" i="25"/>
  <c r="Q38" i="25"/>
  <c r="AN21" i="35"/>
  <c r="AN9" i="35" s="1"/>
  <c r="KS474" i="2"/>
  <c r="AU21" i="35"/>
  <c r="AU9" i="35" s="1"/>
  <c r="MP474" i="2"/>
  <c r="F15" i="35"/>
  <c r="F7" i="35" s="1"/>
  <c r="AG472" i="2"/>
  <c r="BL12" i="35"/>
  <c r="SC471" i="2"/>
  <c r="AL21" i="35"/>
  <c r="AL9" i="35" s="1"/>
  <c r="KC474" i="2"/>
  <c r="BG21" i="35"/>
  <c r="BG9" i="35" s="1"/>
  <c r="QH474" i="2"/>
  <c r="SC472" i="2"/>
  <c r="BL16" i="35"/>
  <c r="BL7" i="35" s="1"/>
  <c r="BB22" i="35"/>
  <c r="BB9" i="35" s="1"/>
  <c r="PA474" i="2"/>
  <c r="AW22" i="35"/>
  <c r="AW9" i="35" s="1"/>
  <c r="NF474" i="2"/>
  <c r="F12" i="35"/>
  <c r="AG471" i="2"/>
  <c r="BK20" i="35"/>
  <c r="BK8" i="35" s="1"/>
  <c r="RN473" i="2"/>
  <c r="BT18" i="35"/>
  <c r="BT8" i="35" s="1"/>
  <c r="UO473" i="2"/>
  <c r="R41" i="25"/>
  <c r="N77" i="25"/>
  <c r="J133" i="25"/>
  <c r="H146" i="25"/>
  <c r="H45" i="25"/>
  <c r="P105" i="25"/>
  <c r="J150" i="25"/>
  <c r="J42" i="25"/>
  <c r="P29" i="25"/>
  <c r="R66" i="25"/>
  <c r="AY19" i="35"/>
  <c r="AY8" i="35" s="1"/>
  <c r="NV473" i="2"/>
  <c r="AQ21" i="35"/>
  <c r="AQ9" i="35" s="1"/>
  <c r="LJ474" i="2"/>
  <c r="F18" i="35"/>
  <c r="AG473" i="2"/>
  <c r="BW13" i="35"/>
  <c r="AP21" i="35"/>
  <c r="AP9" i="35" s="1"/>
  <c r="LI474" i="2"/>
  <c r="AY23" i="35"/>
  <c r="C23" i="35" s="1"/>
  <c r="BT22" i="35"/>
  <c r="BT9" i="35" s="1"/>
  <c r="UO474" i="2"/>
  <c r="WU10" i="2"/>
  <c r="UX474" i="2"/>
  <c r="N145" i="25"/>
  <c r="P13" i="25"/>
  <c r="L21" i="25"/>
  <c r="J65" i="25"/>
  <c r="L81" i="25"/>
  <c r="P42" i="25"/>
  <c r="L61" i="25"/>
  <c r="L77" i="25"/>
  <c r="Q101" i="25"/>
  <c r="K26" i="25"/>
  <c r="I86" i="25"/>
  <c r="H119" i="25"/>
  <c r="AR21" i="35"/>
  <c r="AR9" i="35" s="1"/>
  <c r="LY474" i="2"/>
  <c r="G16" i="35"/>
  <c r="G7" i="35" s="1"/>
  <c r="AH472" i="2"/>
  <c r="AX22" i="35"/>
  <c r="NU474" i="2"/>
  <c r="AQ16" i="35"/>
  <c r="AQ7" i="35" s="1"/>
  <c r="LJ472" i="2"/>
  <c r="BX21" i="35"/>
  <c r="BX9" i="35" s="1"/>
  <c r="VU474" i="2"/>
  <c r="AX14" i="35"/>
  <c r="BE22" i="35"/>
  <c r="BE9" i="35" s="1"/>
  <c r="PR474" i="2"/>
  <c r="VF471" i="2"/>
  <c r="BW12" i="35"/>
  <c r="AY21" i="35"/>
  <c r="NV474" i="2"/>
  <c r="P46" i="25"/>
  <c r="N51" i="25"/>
  <c r="L129" i="25"/>
  <c r="N73" i="25"/>
  <c r="P109" i="25"/>
  <c r="N14" i="25"/>
  <c r="N57" i="25"/>
  <c r="H69" i="25"/>
  <c r="J26" i="25"/>
  <c r="SL473" i="2"/>
  <c r="R141" i="25"/>
  <c r="N153" i="25"/>
  <c r="BL14" i="35"/>
  <c r="V12" i="35"/>
  <c r="FE471" i="2"/>
  <c r="BK21" i="35"/>
  <c r="BK9" i="35" s="1"/>
  <c r="RN474" i="2"/>
  <c r="V21" i="35"/>
  <c r="V9" i="35" s="1"/>
  <c r="FE474" i="2"/>
  <c r="AX12" i="35"/>
  <c r="NU471" i="2"/>
  <c r="G18" i="35"/>
  <c r="G8" i="35" s="1"/>
  <c r="AH473" i="2"/>
  <c r="P20" i="25"/>
  <c r="R54" i="25"/>
  <c r="H77" i="25"/>
  <c r="H13" i="25"/>
  <c r="N21" i="25"/>
  <c r="P67" i="25"/>
  <c r="N81" i="25"/>
  <c r="P22" i="25"/>
  <c r="H49" i="25"/>
  <c r="R58" i="25"/>
  <c r="R61" i="25"/>
  <c r="H81" i="25"/>
  <c r="G17" i="25"/>
  <c r="N45" i="25"/>
  <c r="P50" i="25"/>
  <c r="J77" i="25"/>
  <c r="P93" i="25"/>
  <c r="R114" i="25"/>
  <c r="J126" i="25"/>
  <c r="J87" i="25"/>
  <c r="R89" i="25"/>
  <c r="N93" i="25"/>
  <c r="P97" i="25"/>
  <c r="L117" i="25"/>
  <c r="R121" i="25"/>
  <c r="R125" i="25"/>
  <c r="J98" i="25"/>
  <c r="R137" i="25"/>
  <c r="TR473" i="2"/>
  <c r="L145" i="25"/>
  <c r="R149" i="25"/>
  <c r="K21" i="25"/>
  <c r="I29" i="25"/>
  <c r="K45" i="25"/>
  <c r="I65" i="25"/>
  <c r="Q69" i="25"/>
  <c r="N92" i="25"/>
  <c r="N124" i="25"/>
  <c r="N134" i="25"/>
  <c r="H139" i="25"/>
  <c r="L158" i="25"/>
  <c r="I17" i="25"/>
  <c r="O29" i="25"/>
  <c r="O41" i="25"/>
  <c r="O53" i="25"/>
  <c r="M61" i="25"/>
  <c r="P85" i="25"/>
  <c r="P117" i="25"/>
  <c r="M25" i="25"/>
  <c r="G37" i="25"/>
  <c r="M49" i="25"/>
  <c r="I69" i="25"/>
  <c r="K9" i="25"/>
  <c r="I11" i="2"/>
  <c r="F9" i="5" s="1"/>
  <c r="Q89" i="25"/>
  <c r="Q105" i="25"/>
  <c r="M117" i="25"/>
  <c r="K30" i="25"/>
  <c r="I74" i="25"/>
  <c r="O126" i="25"/>
  <c r="O107" i="25"/>
  <c r="K44" i="25"/>
  <c r="O100" i="25"/>
  <c r="I21" i="25"/>
  <c r="K93" i="25"/>
  <c r="K121" i="25"/>
  <c r="K133" i="25"/>
  <c r="M153" i="25"/>
  <c r="M18" i="25"/>
  <c r="M39" i="25"/>
  <c r="Q24" i="25"/>
  <c r="M48" i="25"/>
  <c r="H155" i="25"/>
  <c r="M29" i="25"/>
  <c r="G81" i="25"/>
  <c r="K89" i="25"/>
  <c r="I105" i="25"/>
  <c r="Q117" i="25"/>
  <c r="G133" i="25"/>
  <c r="K54" i="25"/>
  <c r="M66" i="25"/>
  <c r="G126" i="25"/>
  <c r="G158" i="25"/>
  <c r="Q19" i="25"/>
  <c r="I38" i="25"/>
  <c r="O19" i="25"/>
  <c r="K140" i="25"/>
  <c r="BH12" i="35"/>
  <c r="QW471" i="2"/>
  <c r="K21" i="35"/>
  <c r="K9" i="35" s="1"/>
  <c r="BN474" i="2"/>
  <c r="AO21" i="35"/>
  <c r="AO9" i="35" s="1"/>
  <c r="KT474" i="2"/>
  <c r="SD472" i="2"/>
  <c r="BM16" i="35"/>
  <c r="BM7" i="35" s="1"/>
  <c r="AT21" i="35"/>
  <c r="AT9" i="35" s="1"/>
  <c r="MO474" i="2"/>
  <c r="AM21" i="35"/>
  <c r="AM9" i="35" s="1"/>
  <c r="KD474" i="2"/>
  <c r="AC21" i="35"/>
  <c r="AC9" i="35" s="1"/>
  <c r="HB474" i="2"/>
  <c r="BI19" i="35"/>
  <c r="QX473" i="2"/>
  <c r="AJ22" i="35"/>
  <c r="AJ9" i="35" s="1"/>
  <c r="JM474" i="2"/>
  <c r="T21" i="35"/>
  <c r="EO474" i="2"/>
  <c r="I21" i="35"/>
  <c r="I9" i="35" s="1"/>
  <c r="AX474" i="2"/>
  <c r="BY22" i="35"/>
  <c r="BY9" i="35" s="1"/>
  <c r="VV474" i="2"/>
  <c r="EP474" i="2"/>
  <c r="AA21" i="35"/>
  <c r="AA9" i="35" s="1"/>
  <c r="GL474" i="2"/>
  <c r="BA21" i="35"/>
  <c r="BA9" i="35" s="1"/>
  <c r="OL474" i="2"/>
  <c r="BV18" i="35"/>
  <c r="BV8" i="35" s="1"/>
  <c r="VE473" i="2"/>
  <c r="AO18" i="35"/>
  <c r="KT473" i="2"/>
  <c r="N28" i="25"/>
  <c r="L57" i="25"/>
  <c r="N61" i="25"/>
  <c r="N69" i="25"/>
  <c r="H18" i="25"/>
  <c r="R21" i="25"/>
  <c r="L45" i="25"/>
  <c r="R46" i="25"/>
  <c r="L49" i="25"/>
  <c r="H57" i="25"/>
  <c r="H9" i="25"/>
  <c r="D11" i="2"/>
  <c r="C57" i="5" s="1"/>
  <c r="L17" i="25"/>
  <c r="N29" i="25"/>
  <c r="P61" i="25"/>
  <c r="H89" i="25"/>
  <c r="R83" i="25"/>
  <c r="J94" i="25"/>
  <c r="N117" i="25"/>
  <c r="L121" i="25"/>
  <c r="N87" i="25"/>
  <c r="R93" i="25"/>
  <c r="P101" i="25"/>
  <c r="N129" i="25"/>
  <c r="R133" i="25"/>
  <c r="J106" i="25"/>
  <c r="L125" i="25"/>
  <c r="P141" i="25"/>
  <c r="N150" i="25"/>
  <c r="L153" i="25"/>
  <c r="M21" i="25"/>
  <c r="Q33" i="25"/>
  <c r="G53" i="25"/>
  <c r="R129" i="25"/>
  <c r="SP473" i="2"/>
  <c r="I9" i="25"/>
  <c r="K17" i="25"/>
  <c r="Q29" i="25"/>
  <c r="Q53" i="25"/>
  <c r="K69" i="25"/>
  <c r="L136" i="25"/>
  <c r="N141" i="25"/>
  <c r="G9" i="25"/>
  <c r="C11" i="2"/>
  <c r="C9" i="5" s="1"/>
  <c r="O25" i="25"/>
  <c r="Q41" i="25"/>
  <c r="O49" i="25"/>
  <c r="O61" i="25"/>
  <c r="Q73" i="25"/>
  <c r="I97" i="25"/>
  <c r="I109" i="25"/>
  <c r="M141" i="25"/>
  <c r="Q10" i="25"/>
  <c r="O11" i="2"/>
  <c r="I9" i="5" s="1"/>
  <c r="Q78" i="25"/>
  <c r="O118" i="25"/>
  <c r="K77" i="25"/>
  <c r="O85" i="25"/>
  <c r="M93" i="25"/>
  <c r="M121" i="25"/>
  <c r="Q133" i="25"/>
  <c r="M54" i="25"/>
  <c r="G74" i="25"/>
  <c r="N157" i="25"/>
  <c r="M81" i="25"/>
  <c r="G93" i="25"/>
  <c r="K10" i="25"/>
  <c r="M98" i="25"/>
  <c r="G118" i="25"/>
  <c r="M130" i="25"/>
  <c r="SC473" i="2"/>
  <c r="BL19" i="35"/>
  <c r="BL8" i="35" s="1"/>
  <c r="AY12" i="35"/>
  <c r="NV471" i="2"/>
  <c r="BI12" i="35"/>
  <c r="QX471" i="2"/>
  <c r="AK21" i="35"/>
  <c r="AK9" i="35" s="1"/>
  <c r="JN474" i="2"/>
  <c r="O21" i="35"/>
  <c r="O9" i="35" s="1"/>
  <c r="CT474" i="2"/>
  <c r="AS22" i="35"/>
  <c r="AS9" i="35" s="1"/>
  <c r="LZ474" i="2"/>
  <c r="AV21" i="35"/>
  <c r="AV9" i="35" s="1"/>
  <c r="NE474" i="2"/>
  <c r="W21" i="35"/>
  <c r="W9" i="35" s="1"/>
  <c r="FF474" i="2"/>
  <c r="QW473" i="2"/>
  <c r="BH18" i="35"/>
  <c r="BH8" i="35" s="1"/>
  <c r="BQ21" i="35"/>
  <c r="BQ9" i="35" s="1"/>
  <c r="TJ474" i="2"/>
  <c r="FF473" i="2"/>
  <c r="W20" i="35"/>
  <c r="W8" i="35" s="1"/>
  <c r="AW12" i="35"/>
  <c r="NF471" i="2"/>
  <c r="BM18" i="35"/>
  <c r="BM8" i="35" s="1"/>
  <c r="SD473" i="2"/>
  <c r="AX15" i="35"/>
  <c r="NU472" i="2"/>
  <c r="AI21" i="35"/>
  <c r="AI9" i="35" s="1"/>
  <c r="IX474" i="2"/>
  <c r="AE21" i="35"/>
  <c r="AE9" i="35" s="1"/>
  <c r="HR474" i="2"/>
  <c r="CA18" i="35"/>
  <c r="CA8" i="35" s="1"/>
  <c r="WL473" i="2"/>
  <c r="BY18" i="35"/>
  <c r="BY8" i="35" s="1"/>
  <c r="VV473" i="2"/>
  <c r="BU18" i="35"/>
  <c r="BU8" i="35" s="1"/>
  <c r="UP473" i="2"/>
  <c r="R29" i="25"/>
  <c r="P33" i="25"/>
  <c r="N39" i="25"/>
  <c r="H33" i="25"/>
  <c r="H42" i="25"/>
  <c r="J61" i="25"/>
  <c r="H12" i="25"/>
  <c r="N27" i="25"/>
  <c r="J57" i="25"/>
  <c r="L9" i="25"/>
  <c r="J11" i="2"/>
  <c r="F57" i="5" s="1"/>
  <c r="P17" i="25"/>
  <c r="P25" i="25"/>
  <c r="P53" i="25"/>
  <c r="P57" i="25"/>
  <c r="R80" i="25"/>
  <c r="L89" i="25"/>
  <c r="J101" i="25"/>
  <c r="R117" i="25"/>
  <c r="P121" i="25"/>
  <c r="P84" i="25"/>
  <c r="N97" i="25"/>
  <c r="H101" i="25"/>
  <c r="J122" i="25"/>
  <c r="N125" i="25"/>
  <c r="J109" i="25"/>
  <c r="H113" i="25"/>
  <c r="R106" i="25"/>
  <c r="M9" i="25"/>
  <c r="K11" i="2"/>
  <c r="G9" i="5" s="1"/>
  <c r="O37" i="25"/>
  <c r="I53" i="25"/>
  <c r="Q65" i="25"/>
  <c r="L103" i="25"/>
  <c r="H133" i="25"/>
  <c r="G13" i="25"/>
  <c r="M33" i="25"/>
  <c r="K49" i="25"/>
  <c r="M57" i="25"/>
  <c r="K73" i="25"/>
  <c r="J137" i="25"/>
  <c r="I33" i="25"/>
  <c r="I57" i="25"/>
  <c r="K81" i="25"/>
  <c r="Q97" i="25"/>
  <c r="Q109" i="25"/>
  <c r="I149" i="25"/>
  <c r="O14" i="25"/>
  <c r="K38" i="25"/>
  <c r="O158" i="25"/>
  <c r="I131" i="25"/>
  <c r="M77" i="25"/>
  <c r="Q85" i="25"/>
  <c r="K101" i="25"/>
  <c r="K113" i="25"/>
  <c r="I145" i="25"/>
  <c r="M86" i="25"/>
  <c r="G106" i="25"/>
  <c r="G142" i="25"/>
  <c r="Q131" i="25"/>
  <c r="O81" i="25"/>
  <c r="G101" i="25"/>
  <c r="G113" i="25"/>
  <c r="Q121" i="25"/>
  <c r="G14" i="25"/>
  <c r="I46" i="25"/>
  <c r="O148" i="25"/>
  <c r="I124" i="25"/>
  <c r="F22" i="35"/>
  <c r="AG474" i="2"/>
  <c r="S21" i="35"/>
  <c r="S9" i="35" s="1"/>
  <c r="DZ474" i="2"/>
  <c r="G12" i="35"/>
  <c r="AH471" i="2"/>
  <c r="BJ20" i="35"/>
  <c r="BJ8" i="35" s="1"/>
  <c r="RM473" i="2"/>
  <c r="BH16" i="35"/>
  <c r="BH7" i="35" s="1"/>
  <c r="QW472" i="2"/>
  <c r="SD474" i="2"/>
  <c r="BJ21" i="35"/>
  <c r="BJ9" i="35" s="1"/>
  <c r="RM474" i="2"/>
  <c r="BN21" i="35"/>
  <c r="BN9" i="35" s="1"/>
  <c r="SS474" i="2"/>
  <c r="AN18" i="35"/>
  <c r="KS473" i="2"/>
  <c r="AI16" i="35"/>
  <c r="IX472" i="2"/>
  <c r="M22" i="35"/>
  <c r="CD474" i="2"/>
  <c r="BW15" i="35"/>
  <c r="BW7" i="35" s="1"/>
  <c r="AG21" i="35"/>
  <c r="AG9" i="35" s="1"/>
  <c r="IH474" i="2"/>
  <c r="P27" i="25"/>
  <c r="N41" i="25"/>
  <c r="J53" i="25"/>
  <c r="L74" i="25"/>
  <c r="P9" i="25"/>
  <c r="N11" i="2"/>
  <c r="H57" i="5" s="1"/>
  <c r="L37" i="25"/>
  <c r="R50" i="25"/>
  <c r="N66" i="25"/>
  <c r="P80" i="25"/>
  <c r="R20" i="25"/>
  <c r="H25" i="25"/>
  <c r="N34" i="25"/>
  <c r="H61" i="25"/>
  <c r="H65" i="25"/>
  <c r="R9" i="25"/>
  <c r="P11" i="2"/>
  <c r="I57" i="5" s="1"/>
  <c r="J13" i="25"/>
  <c r="J22" i="25"/>
  <c r="J45" i="25"/>
  <c r="P90" i="25"/>
  <c r="R99" i="25"/>
  <c r="N102" i="25"/>
  <c r="N105" i="25"/>
  <c r="R109" i="25"/>
  <c r="P113" i="25"/>
  <c r="H129" i="25"/>
  <c r="L133" i="25"/>
  <c r="R101" i="25"/>
  <c r="H105" i="25"/>
  <c r="L109" i="25"/>
  <c r="P125" i="25"/>
  <c r="P129" i="25"/>
  <c r="R85" i="25"/>
  <c r="L97" i="25"/>
  <c r="L113" i="25"/>
  <c r="J117" i="25"/>
  <c r="H121" i="25"/>
  <c r="H125" i="25"/>
  <c r="L93" i="25"/>
  <c r="P137" i="25"/>
  <c r="TN473" i="2"/>
  <c r="H144" i="25"/>
  <c r="WU7" i="2"/>
  <c r="UX471" i="2"/>
  <c r="O9" i="25"/>
  <c r="M11" i="2"/>
  <c r="H9" i="5" s="1"/>
  <c r="G29" i="25"/>
  <c r="G41" i="25"/>
  <c r="Q57" i="25"/>
  <c r="O69" i="25"/>
  <c r="P133" i="25"/>
  <c r="L137" i="25"/>
  <c r="I13" i="25"/>
  <c r="Q25" i="25"/>
  <c r="K61" i="25"/>
  <c r="H85" i="25"/>
  <c r="H109" i="25"/>
  <c r="L134" i="25"/>
  <c r="Q45" i="25"/>
  <c r="G61" i="25"/>
  <c r="G69" i="25"/>
  <c r="G85" i="25"/>
  <c r="K105" i="25"/>
  <c r="O113" i="25"/>
  <c r="O129" i="25"/>
  <c r="Q149" i="25"/>
  <c r="K134" i="25"/>
  <c r="Q146" i="25"/>
  <c r="O75" i="25"/>
  <c r="O68" i="25"/>
  <c r="M89" i="25"/>
  <c r="I133" i="25"/>
  <c r="K153" i="25"/>
  <c r="Q15" i="25"/>
  <c r="O143" i="25"/>
  <c r="N140" i="25"/>
  <c r="I89" i="25"/>
  <c r="O93" i="25"/>
  <c r="I101" i="25"/>
  <c r="K125" i="25"/>
  <c r="K145" i="25"/>
  <c r="I78" i="25"/>
  <c r="M138" i="25"/>
  <c r="O103" i="25"/>
  <c r="K152" i="25"/>
  <c r="K60" i="25"/>
  <c r="K136" i="25"/>
  <c r="CA21" i="35"/>
  <c r="CA9" i="35" s="1"/>
  <c r="WL474" i="2"/>
  <c r="E21" i="35"/>
  <c r="BM12" i="35"/>
  <c r="SD471" i="2"/>
  <c r="BD21" i="35"/>
  <c r="BD9" i="35" s="1"/>
  <c r="PQ474" i="2"/>
  <c r="QX474" i="2"/>
  <c r="Y21" i="35"/>
  <c r="Y9" i="35" s="1"/>
  <c r="FV474" i="2"/>
  <c r="G21" i="35"/>
  <c r="G9" i="35" s="1"/>
  <c r="AH474" i="2"/>
  <c r="BN20" i="35"/>
  <c r="BN8" i="35" s="1"/>
  <c r="SS473" i="2"/>
  <c r="BC21" i="35"/>
  <c r="BC9" i="35" s="1"/>
  <c r="PB474" i="2"/>
  <c r="VD474" i="2"/>
  <c r="QX472" i="2"/>
  <c r="BI15" i="35"/>
  <c r="BI7" i="35" s="1"/>
  <c r="BR21" i="35"/>
  <c r="BR9" i="35" s="1"/>
  <c r="TY474" i="2"/>
  <c r="Q21" i="35"/>
  <c r="Q9" i="35" s="1"/>
  <c r="DJ474" i="2"/>
  <c r="BZ18" i="35"/>
  <c r="BZ8" i="35" s="1"/>
  <c r="WK473" i="2"/>
  <c r="BX18" i="35"/>
  <c r="BX8" i="35" s="1"/>
  <c r="VU473" i="2"/>
  <c r="AH16" i="35"/>
  <c r="IW472" i="2"/>
  <c r="BV21" i="35"/>
  <c r="BV9" i="35" s="1"/>
  <c r="VE474" i="2"/>
  <c r="BU21" i="35"/>
  <c r="BU9" i="35" s="1"/>
  <c r="UP474" i="2"/>
  <c r="AS20" i="35"/>
  <c r="LZ473" i="2"/>
  <c r="L25" i="25"/>
  <c r="L30" i="25"/>
  <c r="H38" i="25"/>
  <c r="P73" i="25"/>
  <c r="H74" i="25"/>
  <c r="H99" i="25"/>
  <c r="O135" i="25"/>
  <c r="M151" i="25"/>
  <c r="Q159" i="25"/>
  <c r="O24" i="25"/>
  <c r="K36" i="25"/>
  <c r="O48" i="25"/>
  <c r="O60" i="25"/>
  <c r="M76" i="25"/>
  <c r="Q84" i="25"/>
  <c r="Q96" i="25"/>
  <c r="O112" i="25"/>
  <c r="O124" i="25"/>
  <c r="M72" i="25"/>
  <c r="I143" i="25"/>
  <c r="I155" i="25"/>
  <c r="J12" i="25"/>
  <c r="F11" i="2"/>
  <c r="D57" i="5" s="1"/>
  <c r="H21" i="25"/>
  <c r="J30" i="25"/>
  <c r="J38" i="25"/>
  <c r="R38" i="25"/>
  <c r="J50" i="25"/>
  <c r="J90" i="25"/>
  <c r="J148" i="25"/>
  <c r="R148" i="25"/>
  <c r="I139" i="25"/>
  <c r="G155" i="25"/>
  <c r="M16" i="25"/>
  <c r="I28" i="25"/>
  <c r="O36" i="25"/>
  <c r="I52" i="25"/>
  <c r="I64" i="25"/>
  <c r="G80" i="25"/>
  <c r="G92" i="25"/>
  <c r="K100" i="25"/>
  <c r="I116" i="25"/>
  <c r="I128" i="25"/>
  <c r="K88" i="25"/>
  <c r="M135" i="25"/>
  <c r="Q143" i="25"/>
  <c r="Q155" i="25"/>
  <c r="D8" i="35"/>
  <c r="N22" i="25"/>
  <c r="L31" i="25"/>
  <c r="P38" i="25"/>
  <c r="L32" i="25"/>
  <c r="J39" i="25"/>
  <c r="H53" i="25"/>
  <c r="L71" i="25"/>
  <c r="H93" i="25"/>
  <c r="R71" i="25"/>
  <c r="L88" i="25"/>
  <c r="J114" i="25"/>
  <c r="R153" i="25"/>
  <c r="P157" i="25"/>
  <c r="R159" i="25"/>
  <c r="J143" i="25"/>
  <c r="H149" i="25"/>
  <c r="J159" i="25"/>
  <c r="I42" i="25"/>
  <c r="Q139" i="25"/>
  <c r="O155" i="25"/>
  <c r="M20" i="25"/>
  <c r="Q28" i="25"/>
  <c r="M44" i="25"/>
  <c r="Q52" i="25"/>
  <c r="Q64" i="25"/>
  <c r="O80" i="25"/>
  <c r="O92" i="25"/>
  <c r="M108" i="25"/>
  <c r="Q116" i="25"/>
  <c r="Q128" i="25"/>
  <c r="M104" i="25"/>
  <c r="G139" i="25"/>
  <c r="G151" i="25"/>
  <c r="K159" i="25"/>
  <c r="E7" i="35"/>
  <c r="AR20" i="35"/>
  <c r="LY473" i="2"/>
  <c r="N19" i="25"/>
  <c r="J33" i="25"/>
  <c r="H39" i="25"/>
  <c r="R33" i="25"/>
  <c r="L41" i="25"/>
  <c r="J73" i="25"/>
  <c r="R73" i="25"/>
  <c r="J72" i="25"/>
  <c r="J154" i="25"/>
  <c r="H159" i="25"/>
  <c r="P150" i="25"/>
  <c r="K143" i="25"/>
  <c r="I159" i="25"/>
  <c r="G24" i="25"/>
  <c r="G36" i="25"/>
  <c r="G48" i="25"/>
  <c r="G60" i="25"/>
  <c r="K68" i="25"/>
  <c r="I84" i="25"/>
  <c r="I96" i="25"/>
  <c r="G112" i="25"/>
  <c r="G124" i="25"/>
  <c r="K132" i="25"/>
  <c r="K120" i="25"/>
  <c r="O139" i="25"/>
  <c r="O151" i="25"/>
  <c r="K16" i="25"/>
  <c r="D6" i="35"/>
  <c r="B15" i="41" l="1"/>
  <c r="C9" i="41"/>
  <c r="B63" i="41"/>
  <c r="M12" i="62"/>
  <c r="CA29" i="44"/>
  <c r="CA5" i="44" s="1"/>
  <c r="H33" i="45"/>
  <c r="C33" i="45" s="1"/>
  <c r="N24" i="62"/>
  <c r="M32" i="62"/>
  <c r="M27" i="62"/>
  <c r="M29" i="62"/>
  <c r="N32" i="62"/>
  <c r="N26" i="62"/>
  <c r="M26" i="62"/>
  <c r="E60" i="62"/>
  <c r="M20" i="62"/>
  <c r="M60" i="62" s="1"/>
  <c r="M25" i="62"/>
  <c r="N36" i="62"/>
  <c r="N19" i="62"/>
  <c r="E55" i="62"/>
  <c r="N17" i="62"/>
  <c r="M9" i="62"/>
  <c r="N11" i="62"/>
  <c r="M36" i="62"/>
  <c r="N33" i="62"/>
  <c r="N20" i="62"/>
  <c r="N60" i="62" s="1"/>
  <c r="N25" i="62"/>
  <c r="M13" i="62"/>
  <c r="N16" i="62"/>
  <c r="XO485" i="2"/>
  <c r="H33" i="67"/>
  <c r="H9" i="67" s="1"/>
  <c r="D5" i="44"/>
  <c r="B29" i="44"/>
  <c r="B5" i="44" s="1"/>
  <c r="CI6" i="39"/>
  <c r="F8" i="26"/>
  <c r="CJ6" i="39"/>
  <c r="F56" i="26"/>
  <c r="CK6" i="39"/>
  <c r="E8" i="26"/>
  <c r="D8" i="26"/>
  <c r="CF6" i="39"/>
  <c r="D56" i="26"/>
  <c r="C56" i="26"/>
  <c r="CC7" i="39"/>
  <c r="CE6" i="39"/>
  <c r="C8" i="26"/>
  <c r="CB7" i="39"/>
  <c r="CD6" i="39"/>
  <c r="F57" i="49"/>
  <c r="G15" i="6"/>
  <c r="E13" i="6"/>
  <c r="D15" i="6"/>
  <c r="F14" i="6"/>
  <c r="F16" i="6"/>
  <c r="E16" i="6"/>
  <c r="F13" i="6"/>
  <c r="E14" i="6"/>
  <c r="G16" i="6"/>
  <c r="D11" i="6"/>
  <c r="D14" i="6"/>
  <c r="E15" i="6"/>
  <c r="F11" i="6"/>
  <c r="G11" i="6"/>
  <c r="G13" i="6"/>
  <c r="F15" i="6"/>
  <c r="D16" i="6"/>
  <c r="D13" i="6"/>
  <c r="C14" i="35"/>
  <c r="D6" i="61"/>
  <c r="E8" i="62"/>
  <c r="C6" i="61"/>
  <c r="GF7" i="65"/>
  <c r="B22" i="35"/>
  <c r="B19" i="35"/>
  <c r="B13" i="35"/>
  <c r="C58" i="56"/>
  <c r="C37" i="54"/>
  <c r="V11" i="35"/>
  <c r="B18" i="35"/>
  <c r="C13" i="35"/>
  <c r="C22" i="35"/>
  <c r="B14" i="35"/>
  <c r="B16" i="35"/>
  <c r="AW6" i="35"/>
  <c r="AW10" i="35" s="1"/>
  <c r="AW11" i="35"/>
  <c r="K6" i="35"/>
  <c r="K10" i="35" s="1"/>
  <c r="K11" i="35"/>
  <c r="Q6" i="35"/>
  <c r="Q10" i="35" s="1"/>
  <c r="Q11" i="35"/>
  <c r="BY6" i="35"/>
  <c r="BY10" i="35" s="1"/>
  <c r="BY11" i="35"/>
  <c r="M11" i="35"/>
  <c r="BK11" i="35"/>
  <c r="AM6" i="35"/>
  <c r="AM10" i="35" s="1"/>
  <c r="AM11" i="35"/>
  <c r="AH11" i="35"/>
  <c r="AG6" i="35"/>
  <c r="AG10" i="35" s="1"/>
  <c r="AG11" i="35"/>
  <c r="AZ6" i="35"/>
  <c r="AZ10" i="35" s="1"/>
  <c r="AZ11" i="35"/>
  <c r="T6" i="35"/>
  <c r="T11" i="35"/>
  <c r="AT6" i="35"/>
  <c r="AT10" i="35" s="1"/>
  <c r="AT11" i="35"/>
  <c r="R6" i="35"/>
  <c r="R10" i="35" s="1"/>
  <c r="R11" i="35"/>
  <c r="BZ6" i="35"/>
  <c r="BZ10" i="35" s="1"/>
  <c r="BZ11" i="35"/>
  <c r="X6" i="35"/>
  <c r="X10" i="35" s="1"/>
  <c r="X11" i="35"/>
  <c r="BJ6" i="35"/>
  <c r="BJ10" i="35" s="1"/>
  <c r="BJ11" i="35"/>
  <c r="AO11" i="35"/>
  <c r="Y6" i="35"/>
  <c r="Y10" i="35" s="1"/>
  <c r="Y11" i="35"/>
  <c r="N6" i="35"/>
  <c r="B15" i="35"/>
  <c r="BI6" i="35"/>
  <c r="BI11" i="35"/>
  <c r="E8" i="35"/>
  <c r="C19" i="35"/>
  <c r="AF6" i="35"/>
  <c r="AF10" i="35" s="1"/>
  <c r="AF11" i="35"/>
  <c r="BN6" i="35"/>
  <c r="BN10" i="35" s="1"/>
  <c r="BN11" i="35"/>
  <c r="AU6" i="35"/>
  <c r="AU10" i="35" s="1"/>
  <c r="AU11" i="35"/>
  <c r="AQ6" i="35"/>
  <c r="AQ10" i="35" s="1"/>
  <c r="AQ11" i="35"/>
  <c r="AA6" i="35"/>
  <c r="AA10" i="35" s="1"/>
  <c r="AA11" i="35"/>
  <c r="BH6" i="35"/>
  <c r="BH10" i="35" s="1"/>
  <c r="BH11" i="35"/>
  <c r="BL11" i="35"/>
  <c r="BC6" i="35"/>
  <c r="BC10" i="35" s="1"/>
  <c r="BC11" i="35"/>
  <c r="AL6" i="35"/>
  <c r="AL11" i="35"/>
  <c r="AR6" i="35"/>
  <c r="AR11" i="35"/>
  <c r="BT6" i="35"/>
  <c r="BT10" i="35" s="1"/>
  <c r="BT11" i="35"/>
  <c r="P6" i="35"/>
  <c r="P10" i="35" s="1"/>
  <c r="P11" i="35"/>
  <c r="C16" i="35"/>
  <c r="AY6" i="35"/>
  <c r="AX11" i="35"/>
  <c r="BW11" i="35"/>
  <c r="L6" i="35"/>
  <c r="L10" i="35" s="1"/>
  <c r="L11" i="35"/>
  <c r="BD11" i="35"/>
  <c r="BP11" i="35"/>
  <c r="C20" i="35"/>
  <c r="G11" i="35"/>
  <c r="Z6" i="35"/>
  <c r="Z10" i="35" s="1"/>
  <c r="Z11" i="35"/>
  <c r="BA6" i="35"/>
  <c r="BA10" i="35" s="1"/>
  <c r="BA11" i="35"/>
  <c r="AS6" i="35"/>
  <c r="AS11" i="35"/>
  <c r="AE6" i="35"/>
  <c r="AE10" i="35" s="1"/>
  <c r="AE11" i="35"/>
  <c r="H6" i="35"/>
  <c r="H10" i="35" s="1"/>
  <c r="H11" i="35"/>
  <c r="AI6" i="35"/>
  <c r="AI11" i="35"/>
  <c r="C17" i="35"/>
  <c r="AJ6" i="35"/>
  <c r="AJ11" i="35"/>
  <c r="BM6" i="35"/>
  <c r="BM10" i="35" s="1"/>
  <c r="BM11" i="35"/>
  <c r="D9" i="35"/>
  <c r="D10" i="35" s="1"/>
  <c r="B21" i="35"/>
  <c r="AP6" i="35"/>
  <c r="AP10" i="35" s="1"/>
  <c r="AP11" i="35"/>
  <c r="I6" i="35"/>
  <c r="I10" i="35" s="1"/>
  <c r="I11" i="35"/>
  <c r="E6" i="35"/>
  <c r="E11" i="35"/>
  <c r="BU6" i="35"/>
  <c r="BU11" i="35"/>
  <c r="AK6" i="35"/>
  <c r="AK10" i="35" s="1"/>
  <c r="AK11" i="35"/>
  <c r="U6" i="35"/>
  <c r="U10" i="35" s="1"/>
  <c r="U11" i="35"/>
  <c r="S6" i="35"/>
  <c r="S10" i="35" s="1"/>
  <c r="S11" i="35"/>
  <c r="BR11" i="35"/>
  <c r="AD6" i="35"/>
  <c r="AD10" i="35" s="1"/>
  <c r="AD11" i="35"/>
  <c r="D11" i="35"/>
  <c r="C18" i="35"/>
  <c r="F6" i="35"/>
  <c r="F11" i="35"/>
  <c r="BE6" i="35"/>
  <c r="BE10" i="35" s="1"/>
  <c r="BE11" i="35"/>
  <c r="AB6" i="35"/>
  <c r="AB10" i="35" s="1"/>
  <c r="AB11" i="35"/>
  <c r="BB6" i="35"/>
  <c r="BB10" i="35" s="1"/>
  <c r="BB11" i="35"/>
  <c r="O6" i="35"/>
  <c r="O10" i="35" s="1"/>
  <c r="O11" i="35"/>
  <c r="CA6" i="35"/>
  <c r="CA10" i="35" s="1"/>
  <c r="CA11" i="35"/>
  <c r="AV6" i="35"/>
  <c r="AV10" i="35" s="1"/>
  <c r="AV11" i="35"/>
  <c r="BS6" i="35"/>
  <c r="BS11" i="35"/>
  <c r="BV11" i="35"/>
  <c r="AC6" i="35"/>
  <c r="AC10" i="35" s="1"/>
  <c r="AC11" i="35"/>
  <c r="BQ6" i="35"/>
  <c r="BQ10" i="35" s="1"/>
  <c r="BQ11" i="35"/>
  <c r="BO6" i="35"/>
  <c r="BO10" i="35" s="1"/>
  <c r="BO11" i="35"/>
  <c r="B17" i="35"/>
  <c r="J6" i="35"/>
  <c r="J10" i="35" s="1"/>
  <c r="J11" i="35"/>
  <c r="AN6" i="35"/>
  <c r="AN11" i="35"/>
  <c r="E9" i="35"/>
  <c r="C21" i="35"/>
  <c r="W11" i="35"/>
  <c r="BX6" i="35"/>
  <c r="BX10" i="35" s="1"/>
  <c r="BX11" i="35"/>
  <c r="C35" i="47"/>
  <c r="CB5" i="44"/>
  <c r="C39" i="47"/>
  <c r="C39" i="44"/>
  <c r="Z12" i="45"/>
  <c r="AA12" i="67"/>
  <c r="Z18" i="45"/>
  <c r="AA18" i="67"/>
  <c r="Y22" i="45"/>
  <c r="Z22" i="67"/>
  <c r="Z22" i="45"/>
  <c r="AA22" i="67"/>
  <c r="Y25" i="45"/>
  <c r="Z25" i="67"/>
  <c r="Z25" i="45"/>
  <c r="AA25" i="67"/>
  <c r="AA27" i="45"/>
  <c r="AB27" i="67"/>
  <c r="Y32" i="45"/>
  <c r="Z32" i="67"/>
  <c r="Z32" i="45"/>
  <c r="AA32" i="67"/>
  <c r="Z34" i="45"/>
  <c r="AA34" i="67"/>
  <c r="Y37" i="45"/>
  <c r="Z37" i="67"/>
  <c r="Z39" i="45"/>
  <c r="AA39" i="67"/>
  <c r="Z17" i="45"/>
  <c r="AA17" i="67"/>
  <c r="AA19" i="45"/>
  <c r="AB19" i="67"/>
  <c r="AA22" i="45"/>
  <c r="AB22" i="67"/>
  <c r="AA37" i="45"/>
  <c r="AB37" i="67"/>
  <c r="Z41" i="45"/>
  <c r="AA41" i="67"/>
  <c r="Z16" i="45"/>
  <c r="AA16" i="67"/>
  <c r="Z23" i="45"/>
  <c r="AA23" i="67"/>
  <c r="Y24" i="45"/>
  <c r="Z24" i="67"/>
  <c r="Z36" i="45"/>
  <c r="AA36" i="67"/>
  <c r="AA40" i="45"/>
  <c r="AB40" i="67"/>
  <c r="Y42" i="45"/>
  <c r="Z42" i="67"/>
  <c r="Y43" i="45"/>
  <c r="Z43" i="67"/>
  <c r="Z45" i="45"/>
  <c r="AA45" i="67"/>
  <c r="X10" i="45"/>
  <c r="Y10" i="67"/>
  <c r="Z11" i="45"/>
  <c r="AA11" i="67"/>
  <c r="Y20" i="45"/>
  <c r="Z20" i="67"/>
  <c r="Z44" i="45"/>
  <c r="AA44" i="67"/>
  <c r="AA44" i="45"/>
  <c r="AB44" i="67"/>
  <c r="AA12" i="45"/>
  <c r="AB12" i="67"/>
  <c r="Z13" i="45"/>
  <c r="AA13" i="67"/>
  <c r="Z24" i="45"/>
  <c r="AA24" i="67"/>
  <c r="AA25" i="45"/>
  <c r="AB25" i="67"/>
  <c r="Y35" i="45"/>
  <c r="Z35" i="67"/>
  <c r="Y38" i="45"/>
  <c r="Z38" i="67"/>
  <c r="X35" i="45"/>
  <c r="Y35" i="67"/>
  <c r="Z14" i="45"/>
  <c r="AA14" i="67"/>
  <c r="Z20" i="45"/>
  <c r="AA20" i="67"/>
  <c r="AA26" i="45"/>
  <c r="AB26" i="67"/>
  <c r="AA32" i="45"/>
  <c r="AB32" i="67"/>
  <c r="AA33" i="45"/>
  <c r="AB33" i="67"/>
  <c r="Y36" i="45"/>
  <c r="Z36" i="67"/>
  <c r="AA15" i="45"/>
  <c r="AB15" i="67"/>
  <c r="AA17" i="45"/>
  <c r="AB17" i="67"/>
  <c r="Z19" i="45"/>
  <c r="AA19" i="67"/>
  <c r="AA21" i="45"/>
  <c r="AB21" i="67"/>
  <c r="Y31" i="45"/>
  <c r="Z31" i="67"/>
  <c r="Z33" i="45"/>
  <c r="AA33" i="67"/>
  <c r="AA34" i="45"/>
  <c r="AB34" i="67"/>
  <c r="AA43" i="45"/>
  <c r="AB43" i="67"/>
  <c r="Y45" i="45"/>
  <c r="Z45" i="67"/>
  <c r="AA13" i="45"/>
  <c r="AB13" i="67"/>
  <c r="Z15" i="45"/>
  <c r="AA15" i="67"/>
  <c r="Z38" i="45"/>
  <c r="AA38" i="67"/>
  <c r="Y40" i="45"/>
  <c r="Z40" i="67"/>
  <c r="AA42" i="45"/>
  <c r="AB42" i="67"/>
  <c r="Y44" i="45"/>
  <c r="Z44" i="67"/>
  <c r="Y11" i="45"/>
  <c r="Z11" i="67"/>
  <c r="Y12" i="45"/>
  <c r="Z12" i="67"/>
  <c r="Y14" i="45"/>
  <c r="Z14" i="67"/>
  <c r="Y15" i="45"/>
  <c r="Z15" i="67"/>
  <c r="AA16" i="45"/>
  <c r="AB16" i="67"/>
  <c r="Y30" i="45"/>
  <c r="Z30" i="67"/>
  <c r="Z30" i="45"/>
  <c r="AA30" i="67"/>
  <c r="AA30" i="45"/>
  <c r="AB30" i="67"/>
  <c r="Z31" i="45"/>
  <c r="AA31" i="67"/>
  <c r="Z35" i="45"/>
  <c r="AA35" i="67"/>
  <c r="Y39" i="45"/>
  <c r="Z39" i="67"/>
  <c r="Y46" i="45"/>
  <c r="Z46" i="67"/>
  <c r="AA11" i="45"/>
  <c r="AB11" i="67"/>
  <c r="Y21" i="45"/>
  <c r="Z21" i="67"/>
  <c r="Y23" i="45"/>
  <c r="Z23" i="67"/>
  <c r="AA35" i="45"/>
  <c r="AB35" i="67"/>
  <c r="AA46" i="45"/>
  <c r="AB46" i="67"/>
  <c r="Y47" i="45"/>
  <c r="Z47" i="67"/>
  <c r="Y13" i="45"/>
  <c r="Z13" i="67"/>
  <c r="Z21" i="45"/>
  <c r="AA21" i="67"/>
  <c r="AA24" i="45"/>
  <c r="AB24" i="67"/>
  <c r="Z27" i="45"/>
  <c r="AA27" i="67"/>
  <c r="Y28" i="45"/>
  <c r="Z28" i="67"/>
  <c r="Z29" i="45"/>
  <c r="AA29" i="67"/>
  <c r="Y34" i="45"/>
  <c r="Z34" i="67"/>
  <c r="AA45" i="45"/>
  <c r="AB45" i="67"/>
  <c r="Y16" i="45"/>
  <c r="Z16" i="67"/>
  <c r="AA18" i="45"/>
  <c r="AB18" i="67"/>
  <c r="Z26" i="45"/>
  <c r="AA26" i="67"/>
  <c r="Z28" i="45"/>
  <c r="AA28" i="67"/>
  <c r="AA29" i="45"/>
  <c r="AB29" i="67"/>
  <c r="Y33" i="45"/>
  <c r="Z33" i="67"/>
  <c r="Y41" i="45"/>
  <c r="Z41" i="67"/>
  <c r="AA41" i="45"/>
  <c r="AB41" i="67"/>
  <c r="AA47" i="45"/>
  <c r="AB47" i="67"/>
  <c r="AX9" i="35"/>
  <c r="WQ475" i="2"/>
  <c r="WN475" i="2"/>
  <c r="H1" i="39"/>
  <c r="WZ475" i="2"/>
  <c r="WT475" i="2"/>
  <c r="WU475" i="2"/>
  <c r="WX475" i="2"/>
  <c r="WY475" i="2"/>
  <c r="XC7" i="2"/>
  <c r="XB10" i="2"/>
  <c r="XB7" i="2"/>
  <c r="E10" i="6"/>
  <c r="XB8" i="2"/>
  <c r="XC10" i="2"/>
  <c r="WO475" i="2"/>
  <c r="WW475" i="2"/>
  <c r="WP475" i="2"/>
  <c r="WV475" i="2"/>
  <c r="J1" i="39"/>
  <c r="R11" i="2"/>
  <c r="Q11" i="2"/>
  <c r="IH35" i="65"/>
  <c r="HE22" i="65"/>
  <c r="V6" i="35"/>
  <c r="V10" i="35" s="1"/>
  <c r="WU8" i="2"/>
  <c r="AO1" i="39" s="1"/>
  <c r="GH7" i="65"/>
  <c r="L34" i="25"/>
  <c r="D34" i="25" s="1"/>
  <c r="GL7" i="65"/>
  <c r="IE7" i="65"/>
  <c r="HS8" i="65"/>
  <c r="HS7" i="65" s="1"/>
  <c r="DH7" i="65"/>
  <c r="BV6" i="35"/>
  <c r="BV10" i="35" s="1"/>
  <c r="GO21" i="65"/>
  <c r="GY7" i="65"/>
  <c r="GM7" i="65"/>
  <c r="HZ7" i="65"/>
  <c r="HX7" i="65"/>
  <c r="GE7" i="65"/>
  <c r="II8" i="65"/>
  <c r="CE7" i="65"/>
  <c r="AH7" i="65"/>
  <c r="AX7" i="65"/>
  <c r="GU7" i="65"/>
  <c r="GP15" i="65"/>
  <c r="GP7" i="65" s="1"/>
  <c r="HT39" i="65"/>
  <c r="BN7" i="65"/>
  <c r="IA7" i="65"/>
  <c r="FL7" i="65"/>
  <c r="P135" i="25"/>
  <c r="P7" i="25" s="1"/>
  <c r="WY9" i="2"/>
  <c r="F36" i="6" s="1"/>
  <c r="DW7" i="65"/>
  <c r="HH7" i="65"/>
  <c r="AY7" i="65"/>
  <c r="HJ7" i="65"/>
  <c r="EX7" i="65"/>
  <c r="GS7" i="65"/>
  <c r="HL7" i="65"/>
  <c r="HT37" i="65"/>
  <c r="IH8" i="65"/>
  <c r="II42" i="65"/>
  <c r="DI7" i="65"/>
  <c r="S7" i="65"/>
  <c r="G46" i="62"/>
  <c r="C22" i="65"/>
  <c r="AD17" i="61"/>
  <c r="GA7" i="65"/>
  <c r="GO42" i="65"/>
  <c r="R7" i="65"/>
  <c r="CD7" i="65"/>
  <c r="B7" i="65"/>
  <c r="AI7" i="65"/>
  <c r="EY7" i="65"/>
  <c r="AE10" i="61"/>
  <c r="AD29" i="61"/>
  <c r="HP22" i="65"/>
  <c r="DE7" i="65"/>
  <c r="HW7" i="65"/>
  <c r="AE17" i="61"/>
  <c r="GX7" i="65"/>
  <c r="AD18" i="61"/>
  <c r="HG7" i="65"/>
  <c r="AD28" i="61"/>
  <c r="G19" i="62"/>
  <c r="M19" i="62" s="1"/>
  <c r="I31" i="62"/>
  <c r="C31" i="62" s="1"/>
  <c r="GD7" i="65"/>
  <c r="HD13" i="65"/>
  <c r="HD7" i="65" s="1"/>
  <c r="IG7" i="65"/>
  <c r="HN41" i="65"/>
  <c r="HN7" i="65" s="1"/>
  <c r="EE7" i="65"/>
  <c r="AD7" i="61"/>
  <c r="K8" i="62"/>
  <c r="K52" i="62" s="1"/>
  <c r="AD11" i="61"/>
  <c r="GC7" i="65"/>
  <c r="GO8" i="65"/>
  <c r="CU7" i="65"/>
  <c r="GW14" i="65"/>
  <c r="C14" i="65"/>
  <c r="BO14" i="65"/>
  <c r="BG7" i="65"/>
  <c r="HV7" i="65"/>
  <c r="GR7" i="65"/>
  <c r="HE29" i="65"/>
  <c r="EK41" i="65"/>
  <c r="EK7" i="65" s="1"/>
  <c r="AD27" i="61"/>
  <c r="AE8" i="61"/>
  <c r="F10" i="62"/>
  <c r="AD20" i="61"/>
  <c r="E22" i="62"/>
  <c r="AD13" i="61"/>
  <c r="G15" i="62"/>
  <c r="C15" i="62" s="1"/>
  <c r="H54" i="62"/>
  <c r="F12" i="62"/>
  <c r="D12" i="62" s="1"/>
  <c r="G11" i="62"/>
  <c r="C11" i="62" s="1"/>
  <c r="AD9" i="61"/>
  <c r="AE30" i="61"/>
  <c r="AD32" i="61"/>
  <c r="I17" i="62"/>
  <c r="C17" i="62" s="1"/>
  <c r="F8" i="62"/>
  <c r="AE7" i="61"/>
  <c r="AE31" i="61"/>
  <c r="AE27" i="61"/>
  <c r="G45" i="62"/>
  <c r="I24" i="62"/>
  <c r="I53" i="62" s="1"/>
  <c r="AD22" i="61"/>
  <c r="I23" i="62"/>
  <c r="C23" i="62" s="1"/>
  <c r="E51" i="62"/>
  <c r="AE24" i="61"/>
  <c r="AD15" i="61"/>
  <c r="AE23" i="61"/>
  <c r="F13" i="62"/>
  <c r="AE11" i="61"/>
  <c r="AE16" i="61"/>
  <c r="H18" i="62"/>
  <c r="D18" i="62" s="1"/>
  <c r="AD26" i="61"/>
  <c r="E28" i="62"/>
  <c r="F29" i="62"/>
  <c r="D29" i="62" s="1"/>
  <c r="F9" i="62"/>
  <c r="E34" i="62"/>
  <c r="F5" i="61"/>
  <c r="AE12" i="61"/>
  <c r="AE6" i="61"/>
  <c r="AD31" i="61"/>
  <c r="AD19" i="61"/>
  <c r="AE29" i="61"/>
  <c r="AO6" i="35"/>
  <c r="AH9" i="35"/>
  <c r="AE19" i="61"/>
  <c r="AD21" i="61"/>
  <c r="H5" i="61"/>
  <c r="AE14" i="61"/>
  <c r="AD30" i="61"/>
  <c r="BS8" i="35"/>
  <c r="AD6" i="61"/>
  <c r="AE20" i="61"/>
  <c r="AD24" i="61"/>
  <c r="AD23" i="61"/>
  <c r="E33" i="62"/>
  <c r="C33" i="62" s="1"/>
  <c r="H21" i="62"/>
  <c r="D21" i="62" s="1"/>
  <c r="G8" i="62"/>
  <c r="G52" i="62" s="1"/>
  <c r="H14" i="62"/>
  <c r="D14" i="62" s="1"/>
  <c r="I54" i="62"/>
  <c r="WW9" i="2"/>
  <c r="F35" i="6" s="1"/>
  <c r="F22" i="62"/>
  <c r="N22" i="62" s="1"/>
  <c r="N56" i="62" s="1"/>
  <c r="AE9" i="61"/>
  <c r="J10" i="62"/>
  <c r="I47" i="62"/>
  <c r="H8" i="62"/>
  <c r="H52" i="62" s="1"/>
  <c r="I30" i="62"/>
  <c r="C30" i="62" s="1"/>
  <c r="J31" i="62"/>
  <c r="N31" i="62" s="1"/>
  <c r="AD25" i="61"/>
  <c r="AE15" i="61"/>
  <c r="AE18" i="61"/>
  <c r="AE22" i="61"/>
  <c r="AD34" i="61"/>
  <c r="AD10" i="61"/>
  <c r="G21" i="62"/>
  <c r="C21" i="62" s="1"/>
  <c r="I50" i="62"/>
  <c r="AD16" i="61"/>
  <c r="AE33" i="61"/>
  <c r="AE21" i="61"/>
  <c r="E5" i="61"/>
  <c r="AD8" i="61"/>
  <c r="AE32" i="61"/>
  <c r="AE28" i="61"/>
  <c r="AE26" i="61"/>
  <c r="AE25" i="61"/>
  <c r="Q5" i="61"/>
  <c r="R5" i="61"/>
  <c r="V1" i="61" s="1"/>
  <c r="J2" i="62" s="1"/>
  <c r="G5" i="61"/>
  <c r="AD12" i="61"/>
  <c r="E10" i="62"/>
  <c r="M10" i="62" s="1"/>
  <c r="F34" i="62"/>
  <c r="H23" i="62"/>
  <c r="D23" i="62" s="1"/>
  <c r="E16" i="62"/>
  <c r="F28" i="62"/>
  <c r="AD14" i="61"/>
  <c r="AE34" i="61"/>
  <c r="H50" i="62"/>
  <c r="K5" i="61"/>
  <c r="O1" i="61" s="1"/>
  <c r="G2" i="62" s="1"/>
  <c r="F30" i="62"/>
  <c r="F27" i="62"/>
  <c r="D27" i="62" s="1"/>
  <c r="H35" i="62"/>
  <c r="H55" i="62" s="1"/>
  <c r="F8" i="35"/>
  <c r="H46" i="62"/>
  <c r="E14" i="62"/>
  <c r="M14" i="62" s="1"/>
  <c r="L135" i="25"/>
  <c r="W6" i="35"/>
  <c r="W10" i="35" s="1"/>
  <c r="D72" i="25"/>
  <c r="BR6" i="35"/>
  <c r="BR8" i="35"/>
  <c r="AL8" i="35"/>
  <c r="D119" i="25"/>
  <c r="WU9" i="2"/>
  <c r="WY11" i="2"/>
  <c r="C3" i="54" s="1"/>
  <c r="WT11" i="2"/>
  <c r="WZ11" i="2"/>
  <c r="WQ11" i="2"/>
  <c r="WV11" i="2"/>
  <c r="F53" i="62"/>
  <c r="WX11" i="2"/>
  <c r="WP11" i="2"/>
  <c r="WQ9" i="2"/>
  <c r="F32" i="6" s="1"/>
  <c r="WN11" i="2"/>
  <c r="WO11" i="2"/>
  <c r="C76" i="25"/>
  <c r="T8" i="35"/>
  <c r="BP10" i="35"/>
  <c r="BU7" i="35"/>
  <c r="C88" i="25"/>
  <c r="D126" i="25"/>
  <c r="C132" i="25"/>
  <c r="AK38" i="39"/>
  <c r="V89" i="49"/>
  <c r="D128" i="25"/>
  <c r="C58" i="25"/>
  <c r="D51" i="25"/>
  <c r="C42" i="25"/>
  <c r="C43" i="25"/>
  <c r="C144" i="25"/>
  <c r="D144" i="25"/>
  <c r="D88" i="25"/>
  <c r="K53" i="62"/>
  <c r="W5" i="61"/>
  <c r="AA1" i="61" s="1"/>
  <c r="K2" i="62" s="1"/>
  <c r="L57" i="62"/>
  <c r="D120" i="25"/>
  <c r="C72" i="25"/>
  <c r="K18" i="62"/>
  <c r="K49" i="62" s="1"/>
  <c r="D131" i="25"/>
  <c r="J58" i="62"/>
  <c r="XB474" i="2"/>
  <c r="J53" i="62"/>
  <c r="X5" i="61"/>
  <c r="AB1" i="61" s="1"/>
  <c r="L2" i="62" s="1"/>
  <c r="XC473" i="2"/>
  <c r="I57" i="62"/>
  <c r="C95" i="25"/>
  <c r="L15" i="62"/>
  <c r="L7" i="62" s="1"/>
  <c r="XC474" i="2"/>
  <c r="J57" i="62"/>
  <c r="BR42" i="39"/>
  <c r="J49" i="62"/>
  <c r="J48" i="62"/>
  <c r="D76" i="25"/>
  <c r="AJ7" i="35"/>
  <c r="J47" i="62"/>
  <c r="I49" i="62"/>
  <c r="C15" i="25"/>
  <c r="D36" i="62"/>
  <c r="H48" i="62"/>
  <c r="C9" i="62"/>
  <c r="H53" i="62"/>
  <c r="D136" i="25"/>
  <c r="O23" i="39"/>
  <c r="H58" i="62"/>
  <c r="G57" i="62"/>
  <c r="O16" i="39"/>
  <c r="V41" i="49"/>
  <c r="L48" i="62"/>
  <c r="G58" i="62"/>
  <c r="E48" i="62"/>
  <c r="C29" i="62"/>
  <c r="H57" i="62"/>
  <c r="C32" i="62"/>
  <c r="D11" i="62"/>
  <c r="D33" i="62"/>
  <c r="G48" i="62"/>
  <c r="C27" i="62"/>
  <c r="AV39" i="39"/>
  <c r="XB472" i="2"/>
  <c r="G53" i="62"/>
  <c r="E53" i="62"/>
  <c r="D24" i="62"/>
  <c r="C12" i="62"/>
  <c r="C25" i="62"/>
  <c r="E49" i="62"/>
  <c r="C13" i="62"/>
  <c r="D26" i="62"/>
  <c r="AU19" i="39"/>
  <c r="K57" i="62"/>
  <c r="C156" i="25"/>
  <c r="D17" i="62"/>
  <c r="K58" i="62"/>
  <c r="D16" i="62"/>
  <c r="B34" i="5"/>
  <c r="B82" i="5"/>
  <c r="K48" i="62"/>
  <c r="D32" i="62"/>
  <c r="D20" i="62"/>
  <c r="O27" i="39"/>
  <c r="I1" i="39"/>
  <c r="F10" i="6"/>
  <c r="E1" i="39"/>
  <c r="D10" i="6"/>
  <c r="K1" i="39"/>
  <c r="G10" i="6"/>
  <c r="K47" i="62"/>
  <c r="R1" i="39"/>
  <c r="E11" i="6"/>
  <c r="C20" i="62"/>
  <c r="F60" i="62"/>
  <c r="L58" i="62"/>
  <c r="L49" i="62"/>
  <c r="C36" i="62"/>
  <c r="C108" i="25"/>
  <c r="C134" i="25"/>
  <c r="C51" i="25"/>
  <c r="D160" i="25"/>
  <c r="D19" i="62"/>
  <c r="L47" i="62"/>
  <c r="C20" i="25"/>
  <c r="D60" i="25"/>
  <c r="D104" i="25"/>
  <c r="F50" i="62"/>
  <c r="D155" i="25"/>
  <c r="C123" i="25"/>
  <c r="C59" i="25"/>
  <c r="D132" i="25"/>
  <c r="C75" i="25"/>
  <c r="C120" i="25"/>
  <c r="C104" i="25"/>
  <c r="D139" i="25"/>
  <c r="D58" i="25"/>
  <c r="D138" i="25"/>
  <c r="D156" i="25"/>
  <c r="D140" i="25"/>
  <c r="C62" i="25"/>
  <c r="C146" i="25"/>
  <c r="F59" i="62"/>
  <c r="D82" i="25"/>
  <c r="C102" i="25"/>
  <c r="C110" i="25"/>
  <c r="D25" i="62"/>
  <c r="C11" i="25"/>
  <c r="K61" i="62"/>
  <c r="C142" i="25"/>
  <c r="D103" i="25"/>
  <c r="D122" i="25"/>
  <c r="D124" i="25"/>
  <c r="L143" i="25"/>
  <c r="D143" i="25" s="1"/>
  <c r="C152" i="25"/>
  <c r="D94" i="25"/>
  <c r="D28" i="25"/>
  <c r="C30" i="25"/>
  <c r="D146" i="25"/>
  <c r="F47" i="62"/>
  <c r="L53" i="62"/>
  <c r="C26" i="62"/>
  <c r="F46" i="62"/>
  <c r="F55" i="62"/>
  <c r="C100" i="25"/>
  <c r="D26" i="25"/>
  <c r="C160" i="25"/>
  <c r="C90" i="25"/>
  <c r="C87" i="25"/>
  <c r="D75" i="25"/>
  <c r="D79" i="25"/>
  <c r="C67" i="25"/>
  <c r="D147" i="25"/>
  <c r="D64" i="25"/>
  <c r="C71" i="25"/>
  <c r="D68" i="25"/>
  <c r="C83" i="25"/>
  <c r="C79" i="25"/>
  <c r="D115" i="25"/>
  <c r="D95" i="25"/>
  <c r="D107" i="25"/>
  <c r="C115" i="25"/>
  <c r="E54" i="62"/>
  <c r="E47" i="62"/>
  <c r="D54" i="25"/>
  <c r="E58" i="62"/>
  <c r="C147" i="25"/>
  <c r="D35" i="25"/>
  <c r="C22" i="25"/>
  <c r="C23" i="25"/>
  <c r="C27" i="25"/>
  <c r="D48" i="25"/>
  <c r="C55" i="25"/>
  <c r="C70" i="25"/>
  <c r="C94" i="25"/>
  <c r="C99" i="25"/>
  <c r="D108" i="25"/>
  <c r="D110" i="25"/>
  <c r="D111" i="25"/>
  <c r="C111" i="25"/>
  <c r="D116" i="25"/>
  <c r="C127" i="25"/>
  <c r="D151" i="25"/>
  <c r="C103" i="25"/>
  <c r="D84" i="25"/>
  <c r="C66" i="25"/>
  <c r="C18" i="25"/>
  <c r="C107" i="25"/>
  <c r="D130" i="25"/>
  <c r="D78" i="25"/>
  <c r="C136" i="25"/>
  <c r="C138" i="25"/>
  <c r="D65" i="25"/>
  <c r="D37" i="25"/>
  <c r="C140" i="25"/>
  <c r="C39" i="25"/>
  <c r="D70" i="25"/>
  <c r="D55" i="25"/>
  <c r="C91" i="25"/>
  <c r="D114" i="25"/>
  <c r="C129" i="25"/>
  <c r="C148" i="25"/>
  <c r="C106" i="25"/>
  <c r="C130" i="25"/>
  <c r="C98" i="25"/>
  <c r="C141" i="25"/>
  <c r="D158" i="25"/>
  <c r="D92" i="25"/>
  <c r="D98" i="25"/>
  <c r="C26" i="25"/>
  <c r="D91" i="25"/>
  <c r="C32" i="25"/>
  <c r="C119" i="25"/>
  <c r="D56" i="25"/>
  <c r="C154" i="25"/>
  <c r="D153" i="25"/>
  <c r="C56" i="25"/>
  <c r="C114" i="25"/>
  <c r="C82" i="25"/>
  <c r="C157" i="25"/>
  <c r="D123" i="25"/>
  <c r="D100" i="25"/>
  <c r="XB471" i="2"/>
  <c r="D154" i="25"/>
  <c r="BD10" i="35"/>
  <c r="T9" i="35"/>
  <c r="D150" i="25"/>
  <c r="D63" i="25"/>
  <c r="D52" i="25"/>
  <c r="D44" i="25"/>
  <c r="C34" i="25"/>
  <c r="D24" i="25"/>
  <c r="C63" i="25"/>
  <c r="C122" i="25"/>
  <c r="C50" i="25"/>
  <c r="D96" i="25"/>
  <c r="C150" i="25"/>
  <c r="D59" i="25"/>
  <c r="D118" i="25"/>
  <c r="D62" i="25"/>
  <c r="AJ30" i="39"/>
  <c r="D36" i="25"/>
  <c r="D142" i="25"/>
  <c r="D18" i="25"/>
  <c r="AV8" i="39"/>
  <c r="BG33" i="39"/>
  <c r="V61" i="49"/>
  <c r="D50" i="25"/>
  <c r="O28" i="39"/>
  <c r="C41" i="25"/>
  <c r="XC471" i="2"/>
  <c r="BQ22" i="39"/>
  <c r="AV12" i="39"/>
  <c r="O24" i="39"/>
  <c r="O12" i="39"/>
  <c r="M14" i="56"/>
  <c r="C125" i="25"/>
  <c r="AJ7" i="39"/>
  <c r="V69" i="49"/>
  <c r="AK9" i="39"/>
  <c r="V15" i="52"/>
  <c r="N38" i="39"/>
  <c r="C12" i="25"/>
  <c r="AV19" i="39"/>
  <c r="R78" i="41"/>
  <c r="R37" i="41"/>
  <c r="BF7" i="39"/>
  <c r="O8" i="39"/>
  <c r="R64" i="41"/>
  <c r="AJ17" i="39"/>
  <c r="M93" i="56"/>
  <c r="BG13" i="39"/>
  <c r="BF20" i="39"/>
  <c r="AK14" i="39"/>
  <c r="BQ15" i="39"/>
  <c r="BR15" i="39"/>
  <c r="O17" i="39"/>
  <c r="O29" i="39"/>
  <c r="V80" i="49"/>
  <c r="BQ34" i="39"/>
  <c r="O37" i="39"/>
  <c r="M60" i="56"/>
  <c r="BG39" i="39"/>
  <c r="O44" i="39"/>
  <c r="AJ35" i="39"/>
  <c r="BR38" i="39"/>
  <c r="AU38" i="39"/>
  <c r="BG9" i="39"/>
  <c r="BG12" i="39"/>
  <c r="V14" i="52"/>
  <c r="BF17" i="39"/>
  <c r="AU7" i="39"/>
  <c r="AU8" i="39"/>
  <c r="BG8" i="39"/>
  <c r="M61" i="56"/>
  <c r="AV9" i="39"/>
  <c r="M64" i="56"/>
  <c r="AV31" i="39"/>
  <c r="AK8" i="39"/>
  <c r="AK34" i="39"/>
  <c r="O38" i="39"/>
  <c r="BR39" i="39"/>
  <c r="AU11" i="39"/>
  <c r="AU20" i="39"/>
  <c r="M82" i="56"/>
  <c r="M84" i="56"/>
  <c r="R89" i="41"/>
  <c r="R90" i="41"/>
  <c r="N41" i="39"/>
  <c r="AK41" i="39"/>
  <c r="V71" i="49"/>
  <c r="M72" i="56"/>
  <c r="AJ38" i="39"/>
  <c r="BG41" i="39"/>
  <c r="R93" i="41"/>
  <c r="O20" i="39"/>
  <c r="AV10" i="39"/>
  <c r="AU13" i="39"/>
  <c r="M23" i="56"/>
  <c r="AV24" i="39"/>
  <c r="AK32" i="39"/>
  <c r="O33" i="39"/>
  <c r="V85" i="49"/>
  <c r="D11" i="25"/>
  <c r="N8" i="39"/>
  <c r="D16" i="25"/>
  <c r="C35" i="25"/>
  <c r="O19" i="39"/>
  <c r="AK7" i="39"/>
  <c r="V92" i="49"/>
  <c r="D86" i="25"/>
  <c r="N31" i="39"/>
  <c r="AV43" i="39"/>
  <c r="BG32" i="39"/>
  <c r="BG44" i="39"/>
  <c r="AU44" i="39"/>
  <c r="AV44" i="39"/>
  <c r="M96" i="56"/>
  <c r="S47" i="41"/>
  <c r="R47" i="41" s="1"/>
  <c r="BQ44" i="39"/>
  <c r="S95" i="41"/>
  <c r="R95" i="41" s="1"/>
  <c r="BR44" i="39"/>
  <c r="W47" i="49"/>
  <c r="V47" i="49" s="1"/>
  <c r="AJ44" i="39"/>
  <c r="N47" i="56"/>
  <c r="M47" i="56" s="1"/>
  <c r="BF44" i="39"/>
  <c r="W95" i="49"/>
  <c r="V95" i="49" s="1"/>
  <c r="AK44" i="39"/>
  <c r="X47" i="45"/>
  <c r="N44" i="39"/>
  <c r="BR43" i="39"/>
  <c r="O43" i="39"/>
  <c r="AU43" i="39"/>
  <c r="V46" i="49"/>
  <c r="R94" i="41"/>
  <c r="AJ43" i="39"/>
  <c r="V94" i="49"/>
  <c r="AK43" i="39"/>
  <c r="S46" i="41"/>
  <c r="R46" i="41" s="1"/>
  <c r="BQ43" i="39"/>
  <c r="X46" i="45"/>
  <c r="N43" i="39"/>
  <c r="N46" i="56"/>
  <c r="M46" i="56" s="1"/>
  <c r="BF43" i="39"/>
  <c r="N95" i="56"/>
  <c r="M95" i="56" s="1"/>
  <c r="BG43" i="39"/>
  <c r="O42" i="39"/>
  <c r="AU42" i="39"/>
  <c r="L152" i="25"/>
  <c r="D152" i="25" s="1"/>
  <c r="Z93" i="49"/>
  <c r="AV42" i="39"/>
  <c r="BQ42" i="39"/>
  <c r="N42" i="39"/>
  <c r="R45" i="41"/>
  <c r="D34" i="6"/>
  <c r="N45" i="56"/>
  <c r="M45" i="56" s="1"/>
  <c r="BF42" i="39"/>
  <c r="W45" i="49"/>
  <c r="V45" i="49" s="1"/>
  <c r="AJ42" i="39"/>
  <c r="N94" i="56"/>
  <c r="M94" i="56" s="1"/>
  <c r="BG42" i="39"/>
  <c r="AV41" i="39"/>
  <c r="O41" i="39"/>
  <c r="AJ41" i="39"/>
  <c r="V44" i="49"/>
  <c r="S44" i="41"/>
  <c r="R44" i="41" s="1"/>
  <c r="BQ41" i="39"/>
  <c r="N44" i="56"/>
  <c r="M44" i="56" s="1"/>
  <c r="BF41" i="39"/>
  <c r="S92" i="41"/>
  <c r="R92" i="41" s="1"/>
  <c r="BR41" i="39"/>
  <c r="AU41" i="39"/>
  <c r="AV40" i="39"/>
  <c r="BG40" i="39"/>
  <c r="AU40" i="39"/>
  <c r="M92" i="56"/>
  <c r="O40" i="39"/>
  <c r="BR40" i="39"/>
  <c r="R91" i="41"/>
  <c r="S43" i="41"/>
  <c r="R43" i="41" s="1"/>
  <c r="BQ40" i="39"/>
  <c r="W91" i="49"/>
  <c r="V91" i="49" s="1"/>
  <c r="AK40" i="39"/>
  <c r="W43" i="49"/>
  <c r="V43" i="49" s="1"/>
  <c r="AJ40" i="39"/>
  <c r="X43" i="45"/>
  <c r="N40" i="39"/>
  <c r="N43" i="56"/>
  <c r="M43" i="56" s="1"/>
  <c r="BF40" i="39"/>
  <c r="AU39" i="39"/>
  <c r="O39" i="39"/>
  <c r="M91" i="56"/>
  <c r="V90" i="49"/>
  <c r="AK39" i="39"/>
  <c r="C137" i="25"/>
  <c r="W42" i="49"/>
  <c r="V42" i="49" s="1"/>
  <c r="AJ39" i="39"/>
  <c r="S42" i="41"/>
  <c r="R42" i="41" s="1"/>
  <c r="BQ39" i="39"/>
  <c r="N42" i="56"/>
  <c r="M42" i="56" s="1"/>
  <c r="BF39" i="39"/>
  <c r="X42" i="45"/>
  <c r="N39" i="39"/>
  <c r="BG38" i="39"/>
  <c r="AV38" i="39"/>
  <c r="M90" i="56"/>
  <c r="D134" i="25"/>
  <c r="BQ38" i="39"/>
  <c r="R41" i="41"/>
  <c r="N41" i="56"/>
  <c r="M41" i="56" s="1"/>
  <c r="BF38" i="39"/>
  <c r="AV37" i="39"/>
  <c r="AU37" i="39"/>
  <c r="V88" i="49"/>
  <c r="BF37" i="39"/>
  <c r="BG37" i="39"/>
  <c r="AK37" i="39"/>
  <c r="R88" i="41"/>
  <c r="M40" i="56"/>
  <c r="M89" i="56"/>
  <c r="BR37" i="39"/>
  <c r="W40" i="49"/>
  <c r="V40" i="49" s="1"/>
  <c r="AJ37" i="39"/>
  <c r="N37" i="39"/>
  <c r="X40" i="45"/>
  <c r="S40" i="41"/>
  <c r="R40" i="41" s="1"/>
  <c r="BQ37" i="39"/>
  <c r="BR36" i="39"/>
  <c r="AV36" i="39"/>
  <c r="AJ36" i="39"/>
  <c r="V39" i="49"/>
  <c r="BG36" i="39"/>
  <c r="O36" i="39"/>
  <c r="M88" i="56"/>
  <c r="R87" i="41"/>
  <c r="L127" i="25"/>
  <c r="D127" i="25" s="1"/>
  <c r="X39" i="45"/>
  <c r="N36" i="39"/>
  <c r="N39" i="56"/>
  <c r="M39" i="56" s="1"/>
  <c r="BF36" i="39"/>
  <c r="V30" i="52"/>
  <c r="AU36" i="39"/>
  <c r="S39" i="41"/>
  <c r="R39" i="41" s="1"/>
  <c r="BQ36" i="39"/>
  <c r="O35" i="39"/>
  <c r="BR35" i="39"/>
  <c r="AK35" i="39"/>
  <c r="AU35" i="39"/>
  <c r="R86" i="41"/>
  <c r="BQ35" i="39"/>
  <c r="BG35" i="39"/>
  <c r="AV35" i="39"/>
  <c r="M87" i="56"/>
  <c r="V38" i="49"/>
  <c r="R38" i="41"/>
  <c r="V86" i="49"/>
  <c r="X38" i="45"/>
  <c r="N35" i="39"/>
  <c r="N38" i="56"/>
  <c r="M38" i="56" s="1"/>
  <c r="BF35" i="39"/>
  <c r="AU34" i="39"/>
  <c r="BG34" i="39"/>
  <c r="AV34" i="39"/>
  <c r="M86" i="56"/>
  <c r="BR34" i="39"/>
  <c r="R85" i="41"/>
  <c r="O34" i="39"/>
  <c r="N34" i="39"/>
  <c r="X37" i="45"/>
  <c r="W37" i="49"/>
  <c r="V37" i="49" s="1"/>
  <c r="AJ34" i="39"/>
  <c r="N37" i="56"/>
  <c r="M37" i="56" s="1"/>
  <c r="BF34" i="39"/>
  <c r="M85" i="56"/>
  <c r="AU33" i="39"/>
  <c r="BF33" i="39"/>
  <c r="M36" i="56"/>
  <c r="AK33" i="39"/>
  <c r="AV33" i="39"/>
  <c r="V84" i="49"/>
  <c r="AJ33" i="39"/>
  <c r="V36" i="49"/>
  <c r="S36" i="41"/>
  <c r="R36" i="41" s="1"/>
  <c r="BQ33" i="39"/>
  <c r="S84" i="41"/>
  <c r="R84" i="41" s="1"/>
  <c r="BR33" i="39"/>
  <c r="X36" i="45"/>
  <c r="N33" i="39"/>
  <c r="R83" i="41"/>
  <c r="D112" i="25"/>
  <c r="O32" i="39"/>
  <c r="BR32" i="39"/>
  <c r="R35" i="41"/>
  <c r="AV32" i="39"/>
  <c r="V83" i="49"/>
  <c r="N32" i="39"/>
  <c r="AU32" i="39"/>
  <c r="BQ32" i="39"/>
  <c r="W35" i="49"/>
  <c r="V35" i="49" s="1"/>
  <c r="AJ32" i="39"/>
  <c r="N35" i="56"/>
  <c r="M35" i="56" s="1"/>
  <c r="BF32" i="39"/>
  <c r="BG31" i="39"/>
  <c r="O31" i="39"/>
  <c r="M83" i="56"/>
  <c r="V34" i="49"/>
  <c r="BQ31" i="39"/>
  <c r="AK31" i="39"/>
  <c r="V82" i="49"/>
  <c r="AU31" i="39"/>
  <c r="AJ31" i="39"/>
  <c r="R34" i="41"/>
  <c r="N34" i="56"/>
  <c r="M34" i="56" s="1"/>
  <c r="BF31" i="39"/>
  <c r="S82" i="41"/>
  <c r="R82" i="41" s="1"/>
  <c r="BR31" i="39"/>
  <c r="O30" i="39"/>
  <c r="BQ30" i="39"/>
  <c r="BG30" i="39"/>
  <c r="N30" i="39"/>
  <c r="R33" i="41"/>
  <c r="V33" i="49"/>
  <c r="V29" i="52"/>
  <c r="AU30" i="39"/>
  <c r="N33" i="56"/>
  <c r="M33" i="56" s="1"/>
  <c r="BF30" i="39"/>
  <c r="AK30" i="39"/>
  <c r="W81" i="49"/>
  <c r="V81" i="49" s="1"/>
  <c r="AV30" i="39"/>
  <c r="BG29" i="39"/>
  <c r="R32" i="41"/>
  <c r="N29" i="39"/>
  <c r="BQ29" i="39"/>
  <c r="AV29" i="39"/>
  <c r="AK29" i="39"/>
  <c r="M81" i="56"/>
  <c r="N32" i="56"/>
  <c r="M32" i="56" s="1"/>
  <c r="BF29" i="39"/>
  <c r="W32" i="49"/>
  <c r="V32" i="49" s="1"/>
  <c r="AJ29" i="39"/>
  <c r="V28" i="52"/>
  <c r="AU29" i="39"/>
  <c r="S80" i="41"/>
  <c r="R80" i="41" s="1"/>
  <c r="BR29" i="39"/>
  <c r="AU28" i="39"/>
  <c r="AJ28" i="39"/>
  <c r="BG28" i="39"/>
  <c r="V79" i="49"/>
  <c r="AV28" i="39"/>
  <c r="R79" i="41"/>
  <c r="BF28" i="39"/>
  <c r="BR28" i="39"/>
  <c r="AK28" i="39"/>
  <c r="V31" i="49"/>
  <c r="M31" i="56"/>
  <c r="M80" i="56"/>
  <c r="V27" i="52"/>
  <c r="X31" i="45"/>
  <c r="N28" i="39"/>
  <c r="S31" i="41"/>
  <c r="R31" i="41" s="1"/>
  <c r="BQ28" i="39"/>
  <c r="AK27" i="39"/>
  <c r="V78" i="49"/>
  <c r="BQ27" i="39"/>
  <c r="R30" i="41"/>
  <c r="V26" i="52"/>
  <c r="AJ27" i="39"/>
  <c r="N27" i="39"/>
  <c r="BR27" i="39"/>
  <c r="V30" i="49"/>
  <c r="AU27" i="39"/>
  <c r="AV27" i="39"/>
  <c r="N30" i="56"/>
  <c r="M30" i="56" s="1"/>
  <c r="BF27" i="39"/>
  <c r="N79" i="56"/>
  <c r="M79" i="56" s="1"/>
  <c r="BG27" i="39"/>
  <c r="BG26" i="39"/>
  <c r="O26" i="39"/>
  <c r="R29" i="41"/>
  <c r="BF26" i="39"/>
  <c r="M29" i="56"/>
  <c r="BR26" i="39"/>
  <c r="M78" i="56"/>
  <c r="R77" i="41"/>
  <c r="BQ26" i="39"/>
  <c r="AV26" i="39"/>
  <c r="N26" i="39"/>
  <c r="X29" i="45"/>
  <c r="V25" i="52"/>
  <c r="AU26" i="39"/>
  <c r="W77" i="49"/>
  <c r="V77" i="49" s="1"/>
  <c r="AK26" i="39"/>
  <c r="W29" i="49"/>
  <c r="V29" i="49" s="1"/>
  <c r="AJ26" i="39"/>
  <c r="AJ25" i="39"/>
  <c r="AU25" i="39"/>
  <c r="AV25" i="39"/>
  <c r="V28" i="49"/>
  <c r="AK25" i="39"/>
  <c r="BF25" i="39"/>
  <c r="V24" i="52"/>
  <c r="O25" i="39"/>
  <c r="V76" i="49"/>
  <c r="M28" i="56"/>
  <c r="S28" i="41"/>
  <c r="R28" i="41" s="1"/>
  <c r="BQ25" i="39"/>
  <c r="X28" i="45"/>
  <c r="N25" i="39"/>
  <c r="S76" i="41"/>
  <c r="R76" i="41" s="1"/>
  <c r="BR25" i="39"/>
  <c r="N77" i="56"/>
  <c r="M77" i="56" s="1"/>
  <c r="BG25" i="39"/>
  <c r="AJ24" i="39"/>
  <c r="AK24" i="39"/>
  <c r="AU24" i="39"/>
  <c r="V75" i="49"/>
  <c r="V23" i="52"/>
  <c r="V27" i="49"/>
  <c r="N27" i="56"/>
  <c r="M27" i="56" s="1"/>
  <c r="BF24" i="39"/>
  <c r="S27" i="41"/>
  <c r="R27" i="41" s="1"/>
  <c r="BQ24" i="39"/>
  <c r="X27" i="45"/>
  <c r="N24" i="39"/>
  <c r="S75" i="41"/>
  <c r="R75" i="41" s="1"/>
  <c r="BR24" i="39"/>
  <c r="N76" i="56"/>
  <c r="M76" i="56" s="1"/>
  <c r="BG24" i="39"/>
  <c r="R26" i="41"/>
  <c r="AV23" i="39"/>
  <c r="AJ23" i="39"/>
  <c r="V26" i="49"/>
  <c r="S6" i="39"/>
  <c r="BQ23" i="39"/>
  <c r="BG23" i="39"/>
  <c r="M75" i="56"/>
  <c r="BR23" i="39"/>
  <c r="R74" i="41"/>
  <c r="W74" i="49"/>
  <c r="V74" i="49" s="1"/>
  <c r="AK23" i="39"/>
  <c r="V22" i="52"/>
  <c r="AU23" i="39"/>
  <c r="X26" i="45"/>
  <c r="N23" i="39"/>
  <c r="N26" i="56"/>
  <c r="M26" i="56" s="1"/>
  <c r="BF23" i="39"/>
  <c r="N22" i="39"/>
  <c r="R25" i="41"/>
  <c r="BF22" i="39"/>
  <c r="AV22" i="39"/>
  <c r="AJ22" i="39"/>
  <c r="O22" i="39"/>
  <c r="V25" i="49"/>
  <c r="M25" i="56"/>
  <c r="S73" i="41"/>
  <c r="R73" i="41" s="1"/>
  <c r="BR22" i="39"/>
  <c r="W73" i="49"/>
  <c r="V73" i="49" s="1"/>
  <c r="AK22" i="39"/>
  <c r="N74" i="56"/>
  <c r="M74" i="56" s="1"/>
  <c r="BG22" i="39"/>
  <c r="V21" i="52"/>
  <c r="AU22" i="39"/>
  <c r="O21" i="39"/>
  <c r="N21" i="39"/>
  <c r="BQ21" i="39"/>
  <c r="R24" i="41"/>
  <c r="V20" i="52"/>
  <c r="AU21" i="39"/>
  <c r="N73" i="56"/>
  <c r="M73" i="56" s="1"/>
  <c r="BG21" i="39"/>
  <c r="N24" i="56"/>
  <c r="M24" i="56" s="1"/>
  <c r="BF21" i="39"/>
  <c r="W24" i="49"/>
  <c r="V24" i="49" s="1"/>
  <c r="AJ21" i="39"/>
  <c r="S72" i="41"/>
  <c r="R72" i="41" s="1"/>
  <c r="BR21" i="39"/>
  <c r="AK21" i="39"/>
  <c r="W72" i="49"/>
  <c r="V72" i="49" s="1"/>
  <c r="AV21" i="39"/>
  <c r="R71" i="41"/>
  <c r="V23" i="49"/>
  <c r="AV20" i="39"/>
  <c r="BG20" i="39"/>
  <c r="AK20" i="39"/>
  <c r="AJ20" i="39"/>
  <c r="BR20" i="39"/>
  <c r="S23" i="41"/>
  <c r="R23" i="41" s="1"/>
  <c r="BQ20" i="39"/>
  <c r="N20" i="39"/>
  <c r="X23" i="45"/>
  <c r="AK19" i="39"/>
  <c r="N19" i="39"/>
  <c r="BG19" i="39"/>
  <c r="M71" i="56"/>
  <c r="V70" i="49"/>
  <c r="BQ19" i="39"/>
  <c r="R22" i="41"/>
  <c r="W22" i="49"/>
  <c r="V22" i="49" s="1"/>
  <c r="AJ19" i="39"/>
  <c r="S70" i="41"/>
  <c r="R70" i="41" s="1"/>
  <c r="BR19" i="39"/>
  <c r="N22" i="56"/>
  <c r="M22" i="56" s="1"/>
  <c r="BF19" i="39"/>
  <c r="AV18" i="39"/>
  <c r="O18" i="39"/>
  <c r="BQ18" i="39"/>
  <c r="R21" i="41"/>
  <c r="AK18" i="39"/>
  <c r="N18" i="39"/>
  <c r="AU18" i="39"/>
  <c r="N21" i="56"/>
  <c r="M21" i="56" s="1"/>
  <c r="BF18" i="39"/>
  <c r="W21" i="49"/>
  <c r="V21" i="49" s="1"/>
  <c r="AJ18" i="39"/>
  <c r="S69" i="41"/>
  <c r="R69" i="41" s="1"/>
  <c r="BR18" i="39"/>
  <c r="N70" i="56"/>
  <c r="M70" i="56" s="1"/>
  <c r="BG18" i="39"/>
  <c r="AK17" i="39"/>
  <c r="V68" i="49"/>
  <c r="AU17" i="39"/>
  <c r="V19" i="52"/>
  <c r="V20" i="49"/>
  <c r="M20" i="56"/>
  <c r="AV17" i="39"/>
  <c r="X20" i="45"/>
  <c r="N17" i="39"/>
  <c r="S20" i="41"/>
  <c r="R20" i="41" s="1"/>
  <c r="BQ17" i="39"/>
  <c r="S68" i="41"/>
  <c r="R68" i="41" s="1"/>
  <c r="BR17" i="39"/>
  <c r="N69" i="56"/>
  <c r="M69" i="56" s="1"/>
  <c r="BG17" i="39"/>
  <c r="BT6" i="39"/>
  <c r="R19" i="41"/>
  <c r="C47" i="25"/>
  <c r="D47" i="25"/>
  <c r="AV16" i="39"/>
  <c r="AK16" i="39"/>
  <c r="AJ16" i="39"/>
  <c r="BQ16" i="39"/>
  <c r="V67" i="49"/>
  <c r="V19" i="49"/>
  <c r="C46" i="25"/>
  <c r="D45" i="25"/>
  <c r="V18" i="52"/>
  <c r="AU16" i="39"/>
  <c r="S67" i="41"/>
  <c r="R67" i="41" s="1"/>
  <c r="BR16" i="39"/>
  <c r="N68" i="56"/>
  <c r="M68" i="56" s="1"/>
  <c r="BG16" i="39"/>
  <c r="X19" i="45"/>
  <c r="N16" i="39"/>
  <c r="N19" i="56"/>
  <c r="M19" i="56" s="1"/>
  <c r="BF16" i="39"/>
  <c r="AK15" i="39"/>
  <c r="O15" i="39"/>
  <c r="AV15" i="39"/>
  <c r="C44" i="25"/>
  <c r="D43" i="25"/>
  <c r="BF15" i="39"/>
  <c r="M18" i="56"/>
  <c r="V66" i="49"/>
  <c r="R18" i="41"/>
  <c r="R66" i="41"/>
  <c r="X18" i="45"/>
  <c r="N15" i="39"/>
  <c r="N67" i="56"/>
  <c r="M67" i="56" s="1"/>
  <c r="BG15" i="39"/>
  <c r="W18" i="49"/>
  <c r="V18" i="49" s="1"/>
  <c r="AJ15" i="39"/>
  <c r="V17" i="52"/>
  <c r="AU15" i="39"/>
  <c r="O14" i="39"/>
  <c r="W6" i="39"/>
  <c r="D40" i="25"/>
  <c r="C40" i="25"/>
  <c r="M17" i="56"/>
  <c r="BF14" i="39"/>
  <c r="V65" i="49"/>
  <c r="S17" i="41"/>
  <c r="R17" i="41" s="1"/>
  <c r="BQ14" i="39"/>
  <c r="V16" i="52"/>
  <c r="AU14" i="39"/>
  <c r="W17" i="49"/>
  <c r="V17" i="49" s="1"/>
  <c r="AJ14" i="39"/>
  <c r="AV14" i="39"/>
  <c r="X17" i="45"/>
  <c r="N14" i="39"/>
  <c r="AL6" i="39"/>
  <c r="N66" i="56"/>
  <c r="M66" i="56" s="1"/>
  <c r="BG14" i="39"/>
  <c r="S65" i="41"/>
  <c r="R65" i="41" s="1"/>
  <c r="BR14" i="39"/>
  <c r="P6" i="39"/>
  <c r="O13" i="39"/>
  <c r="BQ13" i="39"/>
  <c r="BR13" i="39"/>
  <c r="M65" i="56"/>
  <c r="R16" i="41"/>
  <c r="N13" i="39"/>
  <c r="W16" i="49"/>
  <c r="V16" i="49" s="1"/>
  <c r="AJ13" i="39"/>
  <c r="W64" i="49"/>
  <c r="V64" i="49" s="1"/>
  <c r="AK13" i="39"/>
  <c r="AV13" i="39"/>
  <c r="N16" i="56"/>
  <c r="M16" i="56" s="1"/>
  <c r="BF13" i="39"/>
  <c r="M15" i="56"/>
  <c r="BR12" i="39"/>
  <c r="D32" i="25"/>
  <c r="R63" i="41"/>
  <c r="C31" i="25"/>
  <c r="D31" i="25"/>
  <c r="N12" i="39"/>
  <c r="B57" i="41"/>
  <c r="B9" i="41"/>
  <c r="BQ12" i="39"/>
  <c r="R15" i="41"/>
  <c r="BF12" i="39"/>
  <c r="AU12" i="39"/>
  <c r="W63" i="49"/>
  <c r="V63" i="49" s="1"/>
  <c r="AK12" i="39"/>
  <c r="W15" i="49"/>
  <c r="V15" i="49" s="1"/>
  <c r="AJ12" i="39"/>
  <c r="O11" i="39"/>
  <c r="V13" i="52"/>
  <c r="BF11" i="39"/>
  <c r="R62" i="41"/>
  <c r="BR11" i="39"/>
  <c r="V62" i="49"/>
  <c r="M63" i="56"/>
  <c r="BQ11" i="39"/>
  <c r="R14" i="41"/>
  <c r="AK11" i="39"/>
  <c r="BG11" i="39"/>
  <c r="AV11" i="39"/>
  <c r="W14" i="49"/>
  <c r="V14" i="49" s="1"/>
  <c r="AJ11" i="39"/>
  <c r="X14" i="45"/>
  <c r="N11" i="39"/>
  <c r="BR10" i="39"/>
  <c r="R61" i="41"/>
  <c r="O10" i="39"/>
  <c r="N10" i="39"/>
  <c r="AK10" i="39"/>
  <c r="AJ10" i="39"/>
  <c r="AU10" i="39"/>
  <c r="D23" i="25"/>
  <c r="V13" i="49"/>
  <c r="BU6" i="39"/>
  <c r="T9" i="41"/>
  <c r="N13" i="56"/>
  <c r="M13" i="56" s="1"/>
  <c r="BF10" i="39"/>
  <c r="N62" i="56"/>
  <c r="M62" i="56" s="1"/>
  <c r="BG10" i="39"/>
  <c r="BH6" i="39"/>
  <c r="S13" i="41"/>
  <c r="R13" i="41" s="1"/>
  <c r="BQ10" i="39"/>
  <c r="BI6" i="39"/>
  <c r="O9" i="39"/>
  <c r="N9" i="39"/>
  <c r="U6" i="39"/>
  <c r="AU9" i="39"/>
  <c r="AN6" i="39"/>
  <c r="V12" i="49"/>
  <c r="X9" i="49"/>
  <c r="V60" i="49"/>
  <c r="AJ9" i="39"/>
  <c r="B11" i="5"/>
  <c r="N12" i="56"/>
  <c r="M12" i="56" s="1"/>
  <c r="BF9" i="39"/>
  <c r="S60" i="41"/>
  <c r="R60" i="41" s="1"/>
  <c r="BR9" i="39"/>
  <c r="S12" i="41"/>
  <c r="R12" i="41" s="1"/>
  <c r="BQ9" i="39"/>
  <c r="D15" i="25"/>
  <c r="V59" i="49"/>
  <c r="AX6" i="39"/>
  <c r="AW6" i="39"/>
  <c r="N11" i="56"/>
  <c r="M11" i="56" s="1"/>
  <c r="BF8" i="39"/>
  <c r="S59" i="41"/>
  <c r="R59" i="41" s="1"/>
  <c r="BR8" i="39"/>
  <c r="S11" i="41"/>
  <c r="R11" i="41" s="1"/>
  <c r="BQ8" i="39"/>
  <c r="W11" i="49"/>
  <c r="V11" i="49" s="1"/>
  <c r="AJ8" i="39"/>
  <c r="AR1" i="39"/>
  <c r="V1" i="39"/>
  <c r="BC1" i="39"/>
  <c r="G36" i="6"/>
  <c r="BO1" i="39"/>
  <c r="AA10" i="45"/>
  <c r="V6" i="39"/>
  <c r="Z10" i="49"/>
  <c r="Z9" i="49" s="1"/>
  <c r="AR6" i="39"/>
  <c r="Z58" i="49"/>
  <c r="Q10" i="56"/>
  <c r="Q9" i="56" s="1"/>
  <c r="BN6" i="39"/>
  <c r="V58" i="41"/>
  <c r="V57" i="41" s="1"/>
  <c r="BZ6" i="39"/>
  <c r="BN1" i="39"/>
  <c r="G37" i="6"/>
  <c r="BZ1" i="39"/>
  <c r="G35" i="6"/>
  <c r="BD1" i="39"/>
  <c r="Z8" i="52"/>
  <c r="BC6" i="39"/>
  <c r="V10" i="41"/>
  <c r="V9" i="41" s="1"/>
  <c r="BY6" i="39"/>
  <c r="BY1" i="39"/>
  <c r="G34" i="6"/>
  <c r="AS1" i="39"/>
  <c r="Q59" i="56"/>
  <c r="Q58" i="56" s="1"/>
  <c r="BO6" i="39"/>
  <c r="Z71" i="52"/>
  <c r="BD6" i="39"/>
  <c r="AV7" i="39"/>
  <c r="BG7" i="39"/>
  <c r="BR7" i="39"/>
  <c r="BL1" i="39"/>
  <c r="P59" i="56"/>
  <c r="P58" i="56" s="1"/>
  <c r="BM6" i="39"/>
  <c r="BA1" i="39"/>
  <c r="T1" i="39"/>
  <c r="N7" i="39"/>
  <c r="Y71" i="52"/>
  <c r="BB6" i="39"/>
  <c r="U10" i="41"/>
  <c r="U9" i="41" s="1"/>
  <c r="BW6" i="39"/>
  <c r="AP1" i="39"/>
  <c r="P10" i="56"/>
  <c r="P9" i="56" s="1"/>
  <c r="BL6" i="39"/>
  <c r="Y10" i="49"/>
  <c r="Y9" i="49" s="1"/>
  <c r="AP6" i="39"/>
  <c r="U58" i="41"/>
  <c r="U57" i="41" s="1"/>
  <c r="BX6" i="39"/>
  <c r="BW1" i="39"/>
  <c r="F37" i="6"/>
  <c r="BX1" i="39"/>
  <c r="Z10" i="45"/>
  <c r="T6" i="39"/>
  <c r="Y8" i="52"/>
  <c r="BA6" i="39"/>
  <c r="BJ1" i="39"/>
  <c r="BU1" i="39"/>
  <c r="O10" i="56"/>
  <c r="O9" i="56" s="1"/>
  <c r="BJ6" i="39"/>
  <c r="O59" i="56"/>
  <c r="O58" i="56" s="1"/>
  <c r="BK6" i="39"/>
  <c r="X71" i="52"/>
  <c r="AZ6" i="39"/>
  <c r="T58" i="41"/>
  <c r="AN1" i="39"/>
  <c r="D10" i="25"/>
  <c r="X58" i="49"/>
  <c r="X57" i="49" s="1"/>
  <c r="AO6" i="39"/>
  <c r="X8" i="52"/>
  <c r="AY6" i="39"/>
  <c r="Y10" i="45"/>
  <c r="R6" i="39"/>
  <c r="E36" i="6"/>
  <c r="BK1" i="39"/>
  <c r="E35" i="6"/>
  <c r="AZ1" i="39"/>
  <c r="E32" i="6"/>
  <c r="S1" i="39"/>
  <c r="AY1" i="39"/>
  <c r="D37" i="6"/>
  <c r="BT1" i="39"/>
  <c r="D36" i="6"/>
  <c r="BI1" i="39"/>
  <c r="P1" i="39"/>
  <c r="D35" i="6"/>
  <c r="AX1" i="39"/>
  <c r="O7" i="39"/>
  <c r="Q6" i="39"/>
  <c r="AW1" i="39"/>
  <c r="BS1" i="39"/>
  <c r="BH1" i="39"/>
  <c r="AL1" i="39"/>
  <c r="S10" i="41"/>
  <c r="BQ7" i="39"/>
  <c r="BS6" i="39"/>
  <c r="D7" i="39"/>
  <c r="C9" i="39"/>
  <c r="D83" i="25"/>
  <c r="C86" i="25"/>
  <c r="C18" i="39"/>
  <c r="D46" i="25"/>
  <c r="C7" i="39"/>
  <c r="B36" i="5"/>
  <c r="C8" i="39"/>
  <c r="D38" i="39"/>
  <c r="P12" i="59"/>
  <c r="D41" i="25"/>
  <c r="D93" i="25"/>
  <c r="P11" i="59"/>
  <c r="P82" i="59"/>
  <c r="C14" i="39"/>
  <c r="D33" i="39"/>
  <c r="D22" i="25"/>
  <c r="D49" i="25"/>
  <c r="E6" i="39"/>
  <c r="D27" i="39"/>
  <c r="P59" i="59"/>
  <c r="D25" i="39"/>
  <c r="C30" i="39"/>
  <c r="D36" i="39"/>
  <c r="P70" i="59"/>
  <c r="G1" i="39"/>
  <c r="Q92" i="59"/>
  <c r="P92" i="59" s="1"/>
  <c r="D41" i="39"/>
  <c r="P38" i="59"/>
  <c r="C35" i="39"/>
  <c r="C21" i="39"/>
  <c r="P24" i="59"/>
  <c r="P14" i="59"/>
  <c r="C11" i="39"/>
  <c r="Q66" i="59"/>
  <c r="P66" i="59" s="1"/>
  <c r="D15" i="39"/>
  <c r="P36" i="59"/>
  <c r="P86" i="59"/>
  <c r="P73" i="59"/>
  <c r="P31" i="59"/>
  <c r="D30" i="39"/>
  <c r="D19" i="39"/>
  <c r="D8" i="39"/>
  <c r="P41" i="59"/>
  <c r="P25" i="59"/>
  <c r="P18" i="59"/>
  <c r="P68" i="59"/>
  <c r="P79" i="59"/>
  <c r="T9" i="59"/>
  <c r="K6" i="39"/>
  <c r="P34" i="59"/>
  <c r="C31" i="39"/>
  <c r="R9" i="59"/>
  <c r="G6" i="39"/>
  <c r="Q90" i="59"/>
  <c r="P90" i="59" s="1"/>
  <c r="D39" i="39"/>
  <c r="P77" i="59"/>
  <c r="D20" i="39"/>
  <c r="D42" i="39"/>
  <c r="P45" i="59"/>
  <c r="C42" i="39"/>
  <c r="P19" i="59"/>
  <c r="C16" i="39"/>
  <c r="P20" i="59"/>
  <c r="C17" i="39"/>
  <c r="P44" i="59"/>
  <c r="C41" i="39"/>
  <c r="P30" i="59"/>
  <c r="C27" i="39"/>
  <c r="P27" i="59"/>
  <c r="C24" i="39"/>
  <c r="Q65" i="59"/>
  <c r="P65" i="59" s="1"/>
  <c r="D14" i="39"/>
  <c r="P43" i="59"/>
  <c r="C40" i="39"/>
  <c r="P46" i="59"/>
  <c r="C43" i="39"/>
  <c r="C25" i="39"/>
  <c r="P42" i="59"/>
  <c r="C39" i="39"/>
  <c r="C20" i="39"/>
  <c r="C12" i="39"/>
  <c r="Q80" i="59"/>
  <c r="P80" i="59" s="1"/>
  <c r="D29" i="39"/>
  <c r="R58" i="59"/>
  <c r="R57" i="59" s="1"/>
  <c r="H6" i="39"/>
  <c r="P35" i="59"/>
  <c r="C32" i="39"/>
  <c r="C26" i="39"/>
  <c r="D32" i="39"/>
  <c r="P71" i="59"/>
  <c r="P93" i="59"/>
  <c r="Q85" i="59"/>
  <c r="P85" i="59" s="1"/>
  <c r="D34" i="39"/>
  <c r="P32" i="59"/>
  <c r="C29" i="39"/>
  <c r="D12" i="39"/>
  <c r="P33" i="59"/>
  <c r="P40" i="59"/>
  <c r="C37" i="39"/>
  <c r="P89" i="59"/>
  <c r="P21" i="59"/>
  <c r="P87" i="59"/>
  <c r="D31" i="39"/>
  <c r="L6" i="39"/>
  <c r="P17" i="59"/>
  <c r="P84" i="59"/>
  <c r="P78" i="59"/>
  <c r="F6" i="39"/>
  <c r="P75" i="59"/>
  <c r="D18" i="39"/>
  <c r="P28" i="59"/>
  <c r="P23" i="59"/>
  <c r="P15" i="59"/>
  <c r="P76" i="59"/>
  <c r="S9" i="59"/>
  <c r="I6" i="39"/>
  <c r="P26" i="59"/>
  <c r="C23" i="39"/>
  <c r="D16" i="39"/>
  <c r="Q91" i="59"/>
  <c r="P91" i="59" s="1"/>
  <c r="D40" i="39"/>
  <c r="P29" i="59"/>
  <c r="P83" i="59"/>
  <c r="D37" i="39"/>
  <c r="D21" i="39"/>
  <c r="D11" i="39"/>
  <c r="D13" i="39"/>
  <c r="D10" i="39"/>
  <c r="G31" i="6"/>
  <c r="L1" i="39"/>
  <c r="P63" i="59"/>
  <c r="C33" i="39"/>
  <c r="P13" i="59"/>
  <c r="C10" i="39"/>
  <c r="D35" i="39"/>
  <c r="T57" i="59"/>
  <c r="P22" i="59"/>
  <c r="C19" i="39"/>
  <c r="P39" i="59"/>
  <c r="C36" i="39"/>
  <c r="P37" i="59"/>
  <c r="C34" i="39"/>
  <c r="D22" i="39"/>
  <c r="Q94" i="59"/>
  <c r="P94" i="59" s="1"/>
  <c r="D43" i="39"/>
  <c r="C28" i="39"/>
  <c r="P81" i="59"/>
  <c r="Q74" i="59"/>
  <c r="P74" i="59" s="1"/>
  <c r="D23" i="39"/>
  <c r="D24" i="39"/>
  <c r="P69" i="59"/>
  <c r="Q60" i="59"/>
  <c r="P60" i="59" s="1"/>
  <c r="D9" i="39"/>
  <c r="P16" i="59"/>
  <c r="C13" i="39"/>
  <c r="P47" i="59"/>
  <c r="C44" i="39"/>
  <c r="C38" i="39"/>
  <c r="C22" i="39"/>
  <c r="C15" i="39"/>
  <c r="D17" i="39"/>
  <c r="S58" i="59"/>
  <c r="S57" i="59" s="1"/>
  <c r="J6" i="39"/>
  <c r="D28" i="39"/>
  <c r="P67" i="59"/>
  <c r="D26" i="39"/>
  <c r="Q95" i="59"/>
  <c r="P95" i="59" s="1"/>
  <c r="D44" i="39"/>
  <c r="P88" i="59"/>
  <c r="P72" i="59"/>
  <c r="P62" i="59"/>
  <c r="P64" i="59"/>
  <c r="P61" i="59"/>
  <c r="CC7" i="55"/>
  <c r="CC2" i="55" s="1"/>
  <c r="B91" i="49"/>
  <c r="BS5" i="54"/>
  <c r="G58" i="56"/>
  <c r="BM5" i="54"/>
  <c r="M6" i="35"/>
  <c r="C78" i="25"/>
  <c r="B89" i="49"/>
  <c r="BG41" i="47"/>
  <c r="C41" i="47" s="1"/>
  <c r="N91" i="67"/>
  <c r="AE5" i="44"/>
  <c r="U57" i="45"/>
  <c r="M91" i="67"/>
  <c r="L91" i="67" s="1"/>
  <c r="B91" i="67" s="1"/>
  <c r="P91" i="67"/>
  <c r="I57" i="45"/>
  <c r="BS5" i="44"/>
  <c r="H57" i="45"/>
  <c r="B31" i="5"/>
  <c r="D80" i="25"/>
  <c r="C73" i="25"/>
  <c r="C49" i="25"/>
  <c r="D90" i="25"/>
  <c r="C74" i="25"/>
  <c r="C124" i="25"/>
  <c r="C96" i="25"/>
  <c r="C48" i="25"/>
  <c r="B66" i="5"/>
  <c r="D99" i="25"/>
  <c r="D74" i="25"/>
  <c r="AY9" i="35"/>
  <c r="D157" i="25"/>
  <c r="C153" i="25"/>
  <c r="D117" i="25"/>
  <c r="D66" i="25"/>
  <c r="D14" i="25"/>
  <c r="B23" i="5"/>
  <c r="B68" i="5"/>
  <c r="D39" i="25"/>
  <c r="C112" i="25"/>
  <c r="C84" i="25"/>
  <c r="C60" i="25"/>
  <c r="C36" i="25"/>
  <c r="B65" i="5"/>
  <c r="C29" i="25"/>
  <c r="B33" i="5"/>
  <c r="D42" i="25"/>
  <c r="B32" i="5"/>
  <c r="B76" i="5"/>
  <c r="D53" i="25"/>
  <c r="B77" i="5"/>
  <c r="B79" i="5"/>
  <c r="D121" i="25"/>
  <c r="D97" i="25"/>
  <c r="D61" i="25"/>
  <c r="D69" i="25"/>
  <c r="D105" i="25"/>
  <c r="B39" i="5"/>
  <c r="B78" i="5"/>
  <c r="B67" i="5"/>
  <c r="C68" i="25"/>
  <c r="B27" i="5"/>
  <c r="B21" i="5"/>
  <c r="B15" i="5"/>
  <c r="B83" i="5"/>
  <c r="B28" i="5"/>
  <c r="B84" i="5"/>
  <c r="B81" i="5"/>
  <c r="B72" i="5"/>
  <c r="B30" i="5"/>
  <c r="B18" i="5"/>
  <c r="B87" i="5"/>
  <c r="C135" i="25"/>
  <c r="B93" i="5"/>
  <c r="D159" i="25"/>
  <c r="C85" i="25"/>
  <c r="D30" i="25"/>
  <c r="B24" i="5"/>
  <c r="B25" i="5"/>
  <c r="C159" i="25"/>
  <c r="C69" i="25"/>
  <c r="D109" i="25"/>
  <c r="D125" i="25"/>
  <c r="C126" i="25"/>
  <c r="D145" i="25"/>
  <c r="AX6" i="35"/>
  <c r="BW6" i="35"/>
  <c r="BW10" i="35" s="1"/>
  <c r="C14" i="25"/>
  <c r="C19" i="25"/>
  <c r="D27" i="25"/>
  <c r="BL6" i="35"/>
  <c r="BL10" i="35" s="1"/>
  <c r="L67" i="25"/>
  <c r="D67" i="25" s="1"/>
  <c r="B71" i="5"/>
  <c r="BK10" i="35"/>
  <c r="C52" i="25"/>
  <c r="C61" i="25"/>
  <c r="D85" i="25"/>
  <c r="B43" i="5"/>
  <c r="C10" i="25"/>
  <c r="D141" i="25"/>
  <c r="D106" i="25"/>
  <c r="D20" i="25"/>
  <c r="AH7" i="35"/>
  <c r="L149" i="25"/>
  <c r="D149" i="25" s="1"/>
  <c r="B92" i="5"/>
  <c r="D129" i="25"/>
  <c r="C113" i="25"/>
  <c r="C149" i="25"/>
  <c r="C57" i="25"/>
  <c r="D137" i="25"/>
  <c r="C77" i="25"/>
  <c r="D89" i="25"/>
  <c r="D29" i="25"/>
  <c r="D9" i="25"/>
  <c r="AO8" i="35"/>
  <c r="C133" i="25"/>
  <c r="C105" i="25"/>
  <c r="C81" i="25"/>
  <c r="C25" i="25"/>
  <c r="C65" i="25"/>
  <c r="B58" i="5"/>
  <c r="Q7" i="25"/>
  <c r="B62" i="5"/>
  <c r="C89" i="25"/>
  <c r="M9" i="35"/>
  <c r="AI7" i="35"/>
  <c r="AN8" i="35"/>
  <c r="C145" i="25"/>
  <c r="D133" i="25"/>
  <c r="D113" i="25"/>
  <c r="B70" i="5"/>
  <c r="C97" i="25"/>
  <c r="B69" i="5"/>
  <c r="C117" i="25"/>
  <c r="B16" i="5"/>
  <c r="B89" i="5"/>
  <c r="C17" i="25"/>
  <c r="D13" i="25"/>
  <c r="C101" i="25"/>
  <c r="C33" i="25"/>
  <c r="C13" i="25"/>
  <c r="D101" i="25"/>
  <c r="AX7" i="35"/>
  <c r="C93" i="25"/>
  <c r="C9" i="25"/>
  <c r="B20" i="5"/>
  <c r="B86" i="5"/>
  <c r="D17" i="25"/>
  <c r="D57" i="25"/>
  <c r="C54" i="25"/>
  <c r="C37" i="25"/>
  <c r="C45" i="25"/>
  <c r="D87" i="25"/>
  <c r="B74" i="5"/>
  <c r="B75" i="5"/>
  <c r="B46" i="5"/>
  <c r="B94" i="5"/>
  <c r="B40" i="5"/>
  <c r="B19" i="5"/>
  <c r="B85" i="5"/>
  <c r="G6" i="35"/>
  <c r="G10" i="35" s="1"/>
  <c r="F9" i="35"/>
  <c r="C131" i="25"/>
  <c r="C118" i="25"/>
  <c r="C109" i="25"/>
  <c r="C53" i="25"/>
  <c r="BI8" i="35"/>
  <c r="C38" i="25"/>
  <c r="C158" i="25"/>
  <c r="C121" i="25"/>
  <c r="C21" i="25"/>
  <c r="D81" i="25"/>
  <c r="D77" i="25"/>
  <c r="C16" i="25"/>
  <c r="K7" i="25"/>
  <c r="D73" i="25"/>
  <c r="B17" i="5"/>
  <c r="B35" i="5"/>
  <c r="B29" i="5"/>
  <c r="B22" i="5"/>
  <c r="I7" i="25"/>
  <c r="B45" i="5"/>
  <c r="D31" i="6"/>
  <c r="C28" i="25"/>
  <c r="C143" i="25"/>
  <c r="D38" i="25"/>
  <c r="D25" i="25"/>
  <c r="B37" i="5"/>
  <c r="B41" i="5"/>
  <c r="C116" i="25"/>
  <c r="C92" i="25"/>
  <c r="C64" i="25"/>
  <c r="C155" i="25"/>
  <c r="G32" i="6"/>
  <c r="O7" i="25"/>
  <c r="F31" i="6"/>
  <c r="D33" i="25"/>
  <c r="B44" i="5"/>
  <c r="C139" i="25"/>
  <c r="D71" i="25"/>
  <c r="B38" i="5"/>
  <c r="B26" i="5"/>
  <c r="B91" i="5"/>
  <c r="D21" i="25"/>
  <c r="H7" i="25"/>
  <c r="B73" i="5"/>
  <c r="E31" i="6"/>
  <c r="AS8" i="35"/>
  <c r="C24" i="25"/>
  <c r="G7" i="25"/>
  <c r="N7" i="25"/>
  <c r="D19" i="25"/>
  <c r="AR8" i="35"/>
  <c r="C151" i="25"/>
  <c r="C128" i="25"/>
  <c r="C80" i="25"/>
  <c r="M7" i="25"/>
  <c r="D148" i="25"/>
  <c r="D12" i="25"/>
  <c r="J7" i="25"/>
  <c r="B42" i="5"/>
  <c r="T85" i="25" l="1"/>
  <c r="T49" i="25"/>
  <c r="S57" i="25"/>
  <c r="T145" i="25"/>
  <c r="T33" i="25"/>
  <c r="S145" i="25"/>
  <c r="H9" i="45"/>
  <c r="S69" i="25"/>
  <c r="S17" i="25"/>
  <c r="T13" i="25"/>
  <c r="T73" i="25"/>
  <c r="T117" i="25"/>
  <c r="S37" i="25"/>
  <c r="S101" i="25"/>
  <c r="S29" i="25"/>
  <c r="S153" i="25"/>
  <c r="S73" i="25"/>
  <c r="S125" i="25"/>
  <c r="S133" i="25"/>
  <c r="T149" i="25"/>
  <c r="S9" i="25"/>
  <c r="S93" i="25"/>
  <c r="S97" i="25"/>
  <c r="T137" i="25"/>
  <c r="T53" i="25"/>
  <c r="S41" i="25"/>
  <c r="S53" i="25"/>
  <c r="S65" i="25"/>
  <c r="S149" i="25"/>
  <c r="S61" i="25"/>
  <c r="S109" i="25"/>
  <c r="S13" i="25"/>
  <c r="T113" i="25"/>
  <c r="S25" i="25"/>
  <c r="S113" i="25"/>
  <c r="T125" i="25"/>
  <c r="S137" i="25"/>
  <c r="D29" i="35"/>
  <c r="U9" i="25"/>
  <c r="S129" i="25"/>
  <c r="T105" i="25"/>
  <c r="T25" i="25"/>
  <c r="S45" i="25"/>
  <c r="S33" i="25"/>
  <c r="S81" i="25"/>
  <c r="T129" i="25"/>
  <c r="T109" i="25"/>
  <c r="S49" i="25"/>
  <c r="E29" i="35"/>
  <c r="V9" i="25"/>
  <c r="S21" i="25"/>
  <c r="T17" i="25"/>
  <c r="T9" i="25"/>
  <c r="T97" i="25"/>
  <c r="T41" i="25"/>
  <c r="S141" i="25"/>
  <c r="T37" i="25"/>
  <c r="T77" i="25"/>
  <c r="T69" i="25"/>
  <c r="T157" i="25"/>
  <c r="S157" i="25"/>
  <c r="T81" i="25"/>
  <c r="T57" i="25"/>
  <c r="T61" i="25"/>
  <c r="T93" i="25"/>
  <c r="S121" i="25"/>
  <c r="S89" i="25"/>
  <c r="T29" i="25"/>
  <c r="T121" i="25"/>
  <c r="T65" i="25"/>
  <c r="T153" i="25"/>
  <c r="S117" i="25"/>
  <c r="T89" i="25"/>
  <c r="T141" i="25"/>
  <c r="S85" i="25"/>
  <c r="T21" i="25"/>
  <c r="S77" i="25"/>
  <c r="T45" i="25"/>
  <c r="S105" i="25"/>
  <c r="N53" i="62"/>
  <c r="B33" i="45"/>
  <c r="B9" i="45" s="1"/>
  <c r="C9" i="45"/>
  <c r="D13" i="62"/>
  <c r="N13" i="62"/>
  <c r="E56" i="62"/>
  <c r="M22" i="62"/>
  <c r="M56" i="62" s="1"/>
  <c r="M24" i="62"/>
  <c r="M53" i="62" s="1"/>
  <c r="C34" i="62"/>
  <c r="M34" i="62"/>
  <c r="N18" i="62"/>
  <c r="M31" i="62"/>
  <c r="M21" i="62"/>
  <c r="N21" i="62"/>
  <c r="M33" i="62"/>
  <c r="M15" i="62"/>
  <c r="D28" i="62"/>
  <c r="N28" i="62"/>
  <c r="N29" i="62"/>
  <c r="D9" i="62"/>
  <c r="N9" i="62"/>
  <c r="N10" i="62"/>
  <c r="C16" i="62"/>
  <c r="M16" i="62"/>
  <c r="M18" i="62"/>
  <c r="M23" i="62"/>
  <c r="C28" i="62"/>
  <c r="M28" i="62"/>
  <c r="M57" i="62" s="1"/>
  <c r="E52" i="62"/>
  <c r="M8" i="62"/>
  <c r="D30" i="62"/>
  <c r="N30" i="62"/>
  <c r="M17" i="62"/>
  <c r="N14" i="62"/>
  <c r="D34" i="62"/>
  <c r="N34" i="62"/>
  <c r="F52" i="62"/>
  <c r="N8" i="62"/>
  <c r="N27" i="62"/>
  <c r="N23" i="62"/>
  <c r="N12" i="62"/>
  <c r="M30" i="62"/>
  <c r="M48" i="62" s="1"/>
  <c r="M11" i="62"/>
  <c r="N35" i="62"/>
  <c r="N55" i="62" s="1"/>
  <c r="XZ485" i="2"/>
  <c r="XR485" i="2"/>
  <c r="AO10" i="35"/>
  <c r="AR10" i="35"/>
  <c r="W21" i="45"/>
  <c r="W29" i="45"/>
  <c r="AH1" i="39"/>
  <c r="B3" i="54"/>
  <c r="C13" i="6"/>
  <c r="B3" i="51"/>
  <c r="AD1" i="39"/>
  <c r="AB1" i="39"/>
  <c r="AN10" i="35"/>
  <c r="W30" i="45"/>
  <c r="W38" i="45"/>
  <c r="W14" i="45"/>
  <c r="W44" i="45"/>
  <c r="W41" i="45"/>
  <c r="W15" i="45"/>
  <c r="W40" i="45"/>
  <c r="AS10" i="35"/>
  <c r="W18" i="45"/>
  <c r="E10" i="35"/>
  <c r="BI10" i="35"/>
  <c r="AI10" i="35"/>
  <c r="AJ10" i="35"/>
  <c r="BU10" i="35"/>
  <c r="BS10" i="35"/>
  <c r="AL10" i="35"/>
  <c r="CB5" i="58"/>
  <c r="B3" i="57"/>
  <c r="G13" i="66"/>
  <c r="O3" i="39"/>
  <c r="CB2" i="44"/>
  <c r="C3" i="44" s="1"/>
  <c r="CC6" i="43"/>
  <c r="CB2" i="71"/>
  <c r="H14" i="66"/>
  <c r="N3" i="39"/>
  <c r="CB6" i="43"/>
  <c r="CA2" i="71"/>
  <c r="CA2" i="44"/>
  <c r="B3" i="44" s="1"/>
  <c r="G14" i="66"/>
  <c r="BQ3" i="39"/>
  <c r="G19" i="66"/>
  <c r="BF3" i="39"/>
  <c r="G18" i="66"/>
  <c r="AJ3" i="39"/>
  <c r="B3" i="47"/>
  <c r="B2" i="46"/>
  <c r="G16" i="66"/>
  <c r="BG3" i="39"/>
  <c r="H18" i="66"/>
  <c r="AU3" i="39"/>
  <c r="G17" i="66"/>
  <c r="BG5" i="47"/>
  <c r="CC5" i="58"/>
  <c r="C3" i="57"/>
  <c r="H13" i="66"/>
  <c r="W24" i="45"/>
  <c r="W11" i="45"/>
  <c r="W35" i="45"/>
  <c r="W32" i="45"/>
  <c r="W16" i="45"/>
  <c r="AH10" i="35"/>
  <c r="W39" i="45"/>
  <c r="W46" i="45"/>
  <c r="W47" i="45"/>
  <c r="W33" i="45"/>
  <c r="W12" i="45"/>
  <c r="W23" i="45"/>
  <c r="W36" i="45"/>
  <c r="W13" i="45"/>
  <c r="W27" i="45"/>
  <c r="W45" i="45"/>
  <c r="W22" i="45"/>
  <c r="W19" i="45"/>
  <c r="W37" i="45"/>
  <c r="X17" i="67"/>
  <c r="Y9" i="45"/>
  <c r="W26" i="45"/>
  <c r="W20" i="45"/>
  <c r="X39" i="67"/>
  <c r="W34" i="45"/>
  <c r="X19" i="67"/>
  <c r="X40" i="67"/>
  <c r="X26" i="67"/>
  <c r="X27" i="67"/>
  <c r="X42" i="67"/>
  <c r="X28" i="67"/>
  <c r="X20" i="67"/>
  <c r="AB9" i="67"/>
  <c r="W25" i="45"/>
  <c r="X41" i="67"/>
  <c r="X23" i="67"/>
  <c r="X18" i="67"/>
  <c r="Z9" i="67"/>
  <c r="X38" i="67"/>
  <c r="X36" i="67"/>
  <c r="X31" i="67"/>
  <c r="X43" i="67"/>
  <c r="X11" i="67"/>
  <c r="X29" i="67"/>
  <c r="X47" i="67"/>
  <c r="X46" i="67"/>
  <c r="AA9" i="45"/>
  <c r="W28" i="45"/>
  <c r="X12" i="67"/>
  <c r="X37" i="67"/>
  <c r="X25" i="67"/>
  <c r="W42" i="45"/>
  <c r="AA9" i="67"/>
  <c r="X35" i="67"/>
  <c r="X10" i="67"/>
  <c r="Y9" i="67"/>
  <c r="X14" i="67"/>
  <c r="X30" i="67"/>
  <c r="X24" i="67"/>
  <c r="X16" i="67"/>
  <c r="X22" i="67"/>
  <c r="W31" i="45"/>
  <c r="X33" i="67"/>
  <c r="X44" i="67"/>
  <c r="W17" i="45"/>
  <c r="W43" i="45"/>
  <c r="X32" i="67"/>
  <c r="X45" i="67"/>
  <c r="X21" i="67"/>
  <c r="X15" i="67"/>
  <c r="Z9" i="45"/>
  <c r="X34" i="67"/>
  <c r="X13" i="67"/>
  <c r="AF34" i="61"/>
  <c r="XC9" i="2"/>
  <c r="E34" i="6"/>
  <c r="BM1" i="39"/>
  <c r="F58" i="62"/>
  <c r="IH7" i="65"/>
  <c r="II7" i="65"/>
  <c r="AF27" i="61"/>
  <c r="AF16" i="61"/>
  <c r="E57" i="62"/>
  <c r="AF32" i="61"/>
  <c r="H47" i="62"/>
  <c r="AF21" i="61"/>
  <c r="D135" i="25"/>
  <c r="T133" i="25" s="1"/>
  <c r="AF12" i="61"/>
  <c r="F48" i="62"/>
  <c r="AF10" i="61"/>
  <c r="G49" i="62"/>
  <c r="AF8" i="61"/>
  <c r="AF6" i="61"/>
  <c r="AF11" i="61"/>
  <c r="AF7" i="61"/>
  <c r="C19" i="62"/>
  <c r="AF17" i="61"/>
  <c r="AF9" i="61"/>
  <c r="HT41" i="65"/>
  <c r="F57" i="62"/>
  <c r="F51" i="62"/>
  <c r="AF31" i="61"/>
  <c r="GO7" i="65"/>
  <c r="AF22" i="61"/>
  <c r="AF14" i="61"/>
  <c r="J1" i="61"/>
  <c r="F2" i="62" s="1"/>
  <c r="AF18" i="61"/>
  <c r="U1" i="39"/>
  <c r="AF29" i="61"/>
  <c r="AF20" i="61"/>
  <c r="BB1" i="39"/>
  <c r="F45" i="62"/>
  <c r="AF26" i="61"/>
  <c r="C22" i="62"/>
  <c r="AF28" i="61"/>
  <c r="GW7" i="65"/>
  <c r="HE14" i="65"/>
  <c r="AF19" i="61"/>
  <c r="AF15" i="61"/>
  <c r="E7" i="62"/>
  <c r="AF30" i="61"/>
  <c r="D10" i="62"/>
  <c r="HT22" i="65"/>
  <c r="HP7" i="65"/>
  <c r="I58" i="62"/>
  <c r="G47" i="62"/>
  <c r="C24" i="62"/>
  <c r="F10" i="35"/>
  <c r="C8" i="62"/>
  <c r="H61" i="62"/>
  <c r="F7" i="62"/>
  <c r="AF23" i="61"/>
  <c r="H49" i="62"/>
  <c r="J7" i="62"/>
  <c r="AF24" i="61"/>
  <c r="C10" i="62"/>
  <c r="H56" i="5"/>
  <c r="F61" i="62"/>
  <c r="AF25" i="61"/>
  <c r="G8" i="5"/>
  <c r="G61" i="62"/>
  <c r="B90" i="5"/>
  <c r="J61" i="62"/>
  <c r="J44" i="62" s="1"/>
  <c r="F56" i="62"/>
  <c r="D22" i="62"/>
  <c r="D35" i="62"/>
  <c r="I48" i="62"/>
  <c r="G7" i="62"/>
  <c r="D8" i="62"/>
  <c r="F49" i="62"/>
  <c r="D31" i="62"/>
  <c r="WW11" i="2"/>
  <c r="C3" i="51" s="1"/>
  <c r="I8" i="5"/>
  <c r="B9" i="5"/>
  <c r="I1" i="61"/>
  <c r="E2" i="62" s="1"/>
  <c r="I61" i="62"/>
  <c r="T10" i="35"/>
  <c r="H8" i="5"/>
  <c r="B88" i="5"/>
  <c r="E61" i="62"/>
  <c r="E44" i="62" s="1"/>
  <c r="C14" i="62"/>
  <c r="BR10" i="35"/>
  <c r="WU11" i="2"/>
  <c r="J40" i="7"/>
  <c r="E129" i="25"/>
  <c r="K7" i="62"/>
  <c r="C18" i="62"/>
  <c r="L61" i="62"/>
  <c r="L44" i="62" s="1"/>
  <c r="F113" i="25"/>
  <c r="J12" i="7"/>
  <c r="F49" i="25"/>
  <c r="F41" i="25"/>
  <c r="J24" i="7"/>
  <c r="J20" i="7"/>
  <c r="J23" i="7"/>
  <c r="J27" i="7"/>
  <c r="J42" i="7"/>
  <c r="N15" i="7" s="1"/>
  <c r="O15" i="7" s="1"/>
  <c r="J43" i="7"/>
  <c r="J25" i="7"/>
  <c r="N19" i="7" s="1"/>
  <c r="O19" i="7" s="1"/>
  <c r="J7" i="7"/>
  <c r="J35" i="7"/>
  <c r="J26" i="7"/>
  <c r="J19" i="7"/>
  <c r="N21" i="7" s="1"/>
  <c r="O21" i="7" s="1"/>
  <c r="J29" i="7"/>
  <c r="J32" i="7"/>
  <c r="J15" i="7"/>
  <c r="J18" i="7"/>
  <c r="J38" i="7"/>
  <c r="J36" i="7"/>
  <c r="N7" i="7"/>
  <c r="O7" i="7" s="1"/>
  <c r="J9" i="7"/>
  <c r="J8" i="7"/>
  <c r="J14" i="7"/>
  <c r="J13" i="7"/>
  <c r="J41" i="7"/>
  <c r="N20" i="7"/>
  <c r="O20" i="7" s="1"/>
  <c r="J10" i="7"/>
  <c r="J37" i="7"/>
  <c r="J22" i="7"/>
  <c r="J31" i="7"/>
  <c r="J11" i="7"/>
  <c r="J16" i="7"/>
  <c r="J21" i="7"/>
  <c r="N17" i="7" s="1"/>
  <c r="O17" i="7" s="1"/>
  <c r="J17" i="7"/>
  <c r="N6" i="7"/>
  <c r="O6" i="7" s="1"/>
  <c r="J39" i="7"/>
  <c r="J33" i="7"/>
  <c r="J30" i="7"/>
  <c r="J28" i="7"/>
  <c r="N9" i="7" s="1"/>
  <c r="O9" i="7" s="1"/>
  <c r="F153" i="25"/>
  <c r="I44" i="7"/>
  <c r="K44" i="62"/>
  <c r="E97" i="25"/>
  <c r="E101" i="25"/>
  <c r="F93" i="25"/>
  <c r="F45" i="25"/>
  <c r="F157" i="25"/>
  <c r="F53" i="25"/>
  <c r="V58" i="49"/>
  <c r="AM1" i="39"/>
  <c r="W10" i="45"/>
  <c r="W9" i="49"/>
  <c r="V9" i="49" s="1"/>
  <c r="AS6" i="39"/>
  <c r="M10" i="56"/>
  <c r="M9" i="56" s="1"/>
  <c r="R58" i="41"/>
  <c r="Z57" i="49"/>
  <c r="W93" i="49"/>
  <c r="V93" i="49" s="1"/>
  <c r="AM6" i="39"/>
  <c r="W8" i="52"/>
  <c r="Y87" i="49"/>
  <c r="AK36" i="39"/>
  <c r="AV6" i="39"/>
  <c r="E41" i="25"/>
  <c r="W71" i="52"/>
  <c r="S57" i="41"/>
  <c r="C15" i="6"/>
  <c r="V12" i="52"/>
  <c r="V8" i="52" s="1"/>
  <c r="V74" i="52"/>
  <c r="V71" i="52" s="1"/>
  <c r="D44" i="7"/>
  <c r="AU6" i="39"/>
  <c r="M10" i="35"/>
  <c r="X9" i="45"/>
  <c r="N6" i="39"/>
  <c r="C16" i="6"/>
  <c r="O6" i="39"/>
  <c r="C35" i="6"/>
  <c r="BG6" i="39"/>
  <c r="AJ6" i="39"/>
  <c r="D7" i="6"/>
  <c r="N58" i="56"/>
  <c r="BQ6" i="39"/>
  <c r="F44" i="7"/>
  <c r="N9" i="56"/>
  <c r="BF6" i="39"/>
  <c r="C36" i="6"/>
  <c r="C14" i="6"/>
  <c r="M59" i="56"/>
  <c r="M58" i="56" s="1"/>
  <c r="G7" i="6"/>
  <c r="G28" i="6"/>
  <c r="V10" i="49"/>
  <c r="F34" i="6"/>
  <c r="AQ1" i="39"/>
  <c r="R10" i="41"/>
  <c r="S9" i="41"/>
  <c r="R9" i="41" s="1"/>
  <c r="E65" i="25"/>
  <c r="E57" i="25"/>
  <c r="C9" i="35"/>
  <c r="C91" i="45"/>
  <c r="C57" i="45" s="1"/>
  <c r="C6" i="39"/>
  <c r="D6" i="39"/>
  <c r="D3" i="39"/>
  <c r="B5" i="58"/>
  <c r="Q57" i="59"/>
  <c r="P10" i="59"/>
  <c r="P9" i="59" s="1"/>
  <c r="C3" i="39"/>
  <c r="B2" i="58"/>
  <c r="AX10" i="35"/>
  <c r="E81" i="25"/>
  <c r="P58" i="59"/>
  <c r="P57" i="59" s="1"/>
  <c r="Q9" i="59"/>
  <c r="B90" i="56"/>
  <c r="B73" i="56"/>
  <c r="L58" i="56"/>
  <c r="C5" i="54"/>
  <c r="O2" i="25"/>
  <c r="B2" i="55"/>
  <c r="P2" i="25"/>
  <c r="B5" i="55"/>
  <c r="E109" i="25"/>
  <c r="F105" i="25"/>
  <c r="E17" i="25"/>
  <c r="T57" i="49"/>
  <c r="B9" i="35"/>
  <c r="E49" i="25"/>
  <c r="I57" i="49"/>
  <c r="M2" i="25"/>
  <c r="B2" i="50"/>
  <c r="C5" i="51"/>
  <c r="BS5" i="51"/>
  <c r="BG5" i="51"/>
  <c r="E73" i="25"/>
  <c r="I2" i="25"/>
  <c r="B2" i="43"/>
  <c r="K2" i="25"/>
  <c r="J2" i="25"/>
  <c r="B5" i="43"/>
  <c r="B6" i="43" s="1"/>
  <c r="N57" i="45"/>
  <c r="P57" i="45"/>
  <c r="C5" i="44"/>
  <c r="A3" i="67" s="1"/>
  <c r="L7" i="25"/>
  <c r="G44" i="7"/>
  <c r="Q2" i="25"/>
  <c r="B2" i="40"/>
  <c r="F29" i="25"/>
  <c r="J79" i="7"/>
  <c r="E45" i="25"/>
  <c r="F117" i="25"/>
  <c r="F109" i="25"/>
  <c r="F149" i="25"/>
  <c r="C8" i="35"/>
  <c r="F85" i="25"/>
  <c r="B7" i="35"/>
  <c r="E29" i="25"/>
  <c r="F61" i="25"/>
  <c r="F97" i="25"/>
  <c r="F121" i="25"/>
  <c r="B63" i="5"/>
  <c r="J71" i="7"/>
  <c r="B64" i="5"/>
  <c r="J85" i="7"/>
  <c r="H44" i="7"/>
  <c r="J59" i="7"/>
  <c r="J57" i="7"/>
  <c r="H91" i="7"/>
  <c r="P20" i="7"/>
  <c r="Q20" i="7" s="1"/>
  <c r="J66" i="7"/>
  <c r="P21" i="7" s="1"/>
  <c r="Q21" i="7" s="1"/>
  <c r="J55" i="7"/>
  <c r="J67" i="7"/>
  <c r="J68" i="7"/>
  <c r="P17" i="7" s="1"/>
  <c r="Q17" i="7" s="1"/>
  <c r="J73" i="7"/>
  <c r="J64" i="7"/>
  <c r="J77" i="7"/>
  <c r="J76" i="7"/>
  <c r="J60" i="7"/>
  <c r="J84" i="7"/>
  <c r="J88" i="7"/>
  <c r="P6" i="7"/>
  <c r="J70" i="7"/>
  <c r="J83" i="7"/>
  <c r="J69" i="7"/>
  <c r="J65" i="7"/>
  <c r="J82" i="7"/>
  <c r="J72" i="7"/>
  <c r="P19" i="7" s="1"/>
  <c r="Q19" i="7" s="1"/>
  <c r="J54" i="7"/>
  <c r="J78" i="7"/>
  <c r="P7" i="7"/>
  <c r="J80" i="7"/>
  <c r="J87" i="7"/>
  <c r="J90" i="7"/>
  <c r="J89" i="7"/>
  <c r="P15" i="7" s="1"/>
  <c r="Q15" i="7" s="1"/>
  <c r="E85" i="25"/>
  <c r="J75" i="7"/>
  <c r="P9" i="7" s="1"/>
  <c r="J74" i="7"/>
  <c r="P18" i="7" s="1"/>
  <c r="Q18" i="7" s="1"/>
  <c r="F125" i="25"/>
  <c r="E69" i="25"/>
  <c r="F65" i="25"/>
  <c r="F81" i="25"/>
  <c r="E93" i="25"/>
  <c r="E105" i="25"/>
  <c r="F129" i="25"/>
  <c r="E53" i="25"/>
  <c r="F57" i="25"/>
  <c r="E33" i="25"/>
  <c r="E145" i="25"/>
  <c r="E117" i="25"/>
  <c r="E133" i="25"/>
  <c r="C164" i="25"/>
  <c r="F137" i="25"/>
  <c r="E157" i="25"/>
  <c r="F77" i="25"/>
  <c r="E121" i="25"/>
  <c r="E37" i="25"/>
  <c r="C163" i="25"/>
  <c r="E9" i="25"/>
  <c r="J62" i="7"/>
  <c r="F13" i="25"/>
  <c r="F89" i="25"/>
  <c r="E77" i="25"/>
  <c r="F21" i="25"/>
  <c r="D163" i="25"/>
  <c r="G2" i="25"/>
  <c r="E153" i="25"/>
  <c r="F73" i="25"/>
  <c r="F56" i="5"/>
  <c r="B61" i="5"/>
  <c r="D166" i="25"/>
  <c r="F9" i="25"/>
  <c r="E125" i="25"/>
  <c r="F141" i="25"/>
  <c r="E7" i="6"/>
  <c r="C11" i="6"/>
  <c r="C7" i="25"/>
  <c r="D56" i="5"/>
  <c r="B57" i="5"/>
  <c r="F69" i="25"/>
  <c r="B59" i="5"/>
  <c r="G56" i="5"/>
  <c r="C8" i="5"/>
  <c r="B12" i="5"/>
  <c r="E61" i="25"/>
  <c r="F37" i="25"/>
  <c r="E141" i="25"/>
  <c r="C10" i="6"/>
  <c r="D8" i="5"/>
  <c r="B13" i="5"/>
  <c r="E149" i="25"/>
  <c r="F17" i="25"/>
  <c r="E21" i="25"/>
  <c r="H2" i="25"/>
  <c r="E89" i="25"/>
  <c r="E25" i="25"/>
  <c r="C31" i="6"/>
  <c r="E13" i="25"/>
  <c r="C166" i="25"/>
  <c r="F145" i="25"/>
  <c r="F8" i="5"/>
  <c r="B10" i="5"/>
  <c r="E137" i="25"/>
  <c r="C165" i="25"/>
  <c r="F33" i="25"/>
  <c r="B60" i="5"/>
  <c r="C56" i="5"/>
  <c r="E113" i="25"/>
  <c r="F25" i="25"/>
  <c r="S7" i="25" l="1"/>
  <c r="CA1" i="44"/>
  <c r="N48" i="62"/>
  <c r="N52" i="62"/>
  <c r="M52" i="62"/>
  <c r="N57" i="62"/>
  <c r="YA485" i="2"/>
  <c r="C34" i="6"/>
  <c r="AK3" i="39"/>
  <c r="C3" i="47"/>
  <c r="B5" i="46"/>
  <c r="H16" i="66"/>
  <c r="AV3" i="39"/>
  <c r="H17" i="66"/>
  <c r="W9" i="45"/>
  <c r="X9" i="67"/>
  <c r="F133" i="25"/>
  <c r="D165" i="25"/>
  <c r="B89" i="26"/>
  <c r="HT7" i="65"/>
  <c r="I44" i="62"/>
  <c r="H44" i="62"/>
  <c r="G44" i="62"/>
  <c r="F44" i="62"/>
  <c r="F39" i="62" s="1"/>
  <c r="E39" i="62"/>
  <c r="B5" i="50"/>
  <c r="B6" i="50" s="1"/>
  <c r="N2" i="25"/>
  <c r="B87" i="26"/>
  <c r="B61" i="26"/>
  <c r="B62" i="26"/>
  <c r="B58" i="26"/>
  <c r="B39" i="26"/>
  <c r="H39" i="26" s="1"/>
  <c r="B74" i="26"/>
  <c r="B16" i="26"/>
  <c r="H16" i="26" s="1"/>
  <c r="B75" i="26"/>
  <c r="B77" i="26"/>
  <c r="B60" i="26"/>
  <c r="B63" i="26"/>
  <c r="B36" i="26"/>
  <c r="H36" i="26" s="1"/>
  <c r="B17" i="26"/>
  <c r="H17" i="26" s="1"/>
  <c r="B22" i="26"/>
  <c r="H22" i="26" s="1"/>
  <c r="P8" i="7"/>
  <c r="R6" i="7"/>
  <c r="P10" i="7"/>
  <c r="P22" i="7"/>
  <c r="Q22" i="7" s="1"/>
  <c r="P14" i="7"/>
  <c r="Q14" i="7" s="1"/>
  <c r="N12" i="7"/>
  <c r="O12" i="7" s="1"/>
  <c r="P12" i="7"/>
  <c r="N11" i="7"/>
  <c r="O11" i="7" s="1"/>
  <c r="P11" i="7"/>
  <c r="N13" i="7"/>
  <c r="O13" i="7" s="1"/>
  <c r="P13" i="7"/>
  <c r="Q13" i="7" s="1"/>
  <c r="B41" i="26"/>
  <c r="H41" i="26" s="1"/>
  <c r="B65" i="26"/>
  <c r="B33" i="26"/>
  <c r="H33" i="26" s="1"/>
  <c r="B29" i="26"/>
  <c r="H29" i="26" s="1"/>
  <c r="B42" i="26"/>
  <c r="H42" i="26" s="1"/>
  <c r="B92" i="26"/>
  <c r="B23" i="26"/>
  <c r="H23" i="26" s="1"/>
  <c r="N14" i="7"/>
  <c r="O14" i="7" s="1"/>
  <c r="B80" i="26"/>
  <c r="N10" i="7"/>
  <c r="O10" i="7" s="1"/>
  <c r="N18" i="7"/>
  <c r="O18" i="7" s="1"/>
  <c r="N8" i="7"/>
  <c r="O8" i="7" s="1"/>
  <c r="B59" i="26"/>
  <c r="B72" i="26"/>
  <c r="N22" i="7"/>
  <c r="O22" i="7" s="1"/>
  <c r="C7" i="26"/>
  <c r="B38" i="26"/>
  <c r="H38" i="26" s="1"/>
  <c r="B45" i="26"/>
  <c r="H45" i="26" s="1"/>
  <c r="B40" i="26"/>
  <c r="H40" i="26" s="1"/>
  <c r="B93" i="26"/>
  <c r="B20" i="26"/>
  <c r="H20" i="26" s="1"/>
  <c r="F91" i="7"/>
  <c r="B32" i="26"/>
  <c r="H32" i="26" s="1"/>
  <c r="B56" i="26"/>
  <c r="B37" i="26"/>
  <c r="H37" i="26" s="1"/>
  <c r="B26" i="26"/>
  <c r="H26" i="26" s="1"/>
  <c r="B78" i="26"/>
  <c r="B57" i="26"/>
  <c r="B69" i="26"/>
  <c r="B31" i="26"/>
  <c r="H31" i="26" s="1"/>
  <c r="B81" i="26"/>
  <c r="B14" i="26"/>
  <c r="H14" i="26" s="1"/>
  <c r="B27" i="26"/>
  <c r="H27" i="26" s="1"/>
  <c r="C1" i="39"/>
  <c r="B30" i="26"/>
  <c r="H30" i="26" s="1"/>
  <c r="B86" i="26"/>
  <c r="B85" i="26"/>
  <c r="B83" i="26"/>
  <c r="B44" i="26"/>
  <c r="H44" i="26" s="1"/>
  <c r="B90" i="26"/>
  <c r="B88" i="26"/>
  <c r="B64" i="26"/>
  <c r="B67" i="26"/>
  <c r="B66" i="26"/>
  <c r="B10" i="26"/>
  <c r="H10" i="26" s="1"/>
  <c r="B11" i="26"/>
  <c r="H11" i="26" s="1"/>
  <c r="W57" i="49"/>
  <c r="Y57" i="49"/>
  <c r="V87" i="49"/>
  <c r="V57" i="49" s="1"/>
  <c r="B71" i="26"/>
  <c r="B24" i="26"/>
  <c r="H24" i="26" s="1"/>
  <c r="F28" i="6"/>
  <c r="B18" i="26"/>
  <c r="H18" i="26" s="1"/>
  <c r="C5" i="47"/>
  <c r="B93" i="49"/>
  <c r="B58" i="56"/>
  <c r="B6" i="58"/>
  <c r="B6" i="55"/>
  <c r="E2" i="25"/>
  <c r="B87" i="49"/>
  <c r="D57" i="49"/>
  <c r="B72" i="49"/>
  <c r="N57" i="49"/>
  <c r="L91" i="45"/>
  <c r="M57" i="45"/>
  <c r="L2" i="25"/>
  <c r="B68" i="26"/>
  <c r="B76" i="26"/>
  <c r="B34" i="26"/>
  <c r="H34" i="26" s="1"/>
  <c r="B28" i="26"/>
  <c r="H28" i="26" s="1"/>
  <c r="B70" i="26"/>
  <c r="B43" i="26"/>
  <c r="H43" i="26" s="1"/>
  <c r="B91" i="26"/>
  <c r="B12" i="26"/>
  <c r="H12" i="26" s="1"/>
  <c r="J56" i="7"/>
  <c r="C91" i="7"/>
  <c r="J58" i="7"/>
  <c r="J86" i="7"/>
  <c r="G91" i="7"/>
  <c r="B25" i="26"/>
  <c r="H25" i="26" s="1"/>
  <c r="B21" i="26"/>
  <c r="H21" i="26" s="1"/>
  <c r="C168" i="25"/>
  <c r="B35" i="26"/>
  <c r="H35" i="26" s="1"/>
  <c r="B8" i="26"/>
  <c r="H8" i="26" s="1"/>
  <c r="B19" i="26"/>
  <c r="H19" i="26" s="1"/>
  <c r="B15" i="26"/>
  <c r="H15" i="26" s="1"/>
  <c r="D7" i="26"/>
  <c r="F55" i="26"/>
  <c r="B73" i="26"/>
  <c r="F7" i="26"/>
  <c r="B9" i="26"/>
  <c r="H9" i="26" s="1"/>
  <c r="D91" i="7"/>
  <c r="J63" i="7"/>
  <c r="J81" i="7"/>
  <c r="P16" i="7" s="1"/>
  <c r="Q16" i="7" s="1"/>
  <c r="E7" i="25"/>
  <c r="B82" i="26"/>
  <c r="B84" i="26"/>
  <c r="C55" i="26"/>
  <c r="E55" i="26" l="1"/>
  <c r="N24" i="7"/>
  <c r="O24" i="7" s="1"/>
  <c r="B57" i="49"/>
  <c r="B6" i="46"/>
  <c r="L57" i="45"/>
  <c r="B91" i="45"/>
  <c r="B57" i="45" s="1"/>
  <c r="AQ6" i="39"/>
  <c r="AK42" i="39"/>
  <c r="AK6" i="39" s="1"/>
  <c r="D2" i="25" l="1"/>
  <c r="D2" i="39"/>
  <c r="D32" i="6" l="1"/>
  <c r="C32" i="6" s="1"/>
  <c r="Q1" i="39"/>
  <c r="D28" i="6" l="1"/>
  <c r="QH471" i="2"/>
  <c r="BG12" i="35" l="1"/>
  <c r="QH475" i="2"/>
  <c r="BG11" i="35" l="1"/>
  <c r="C12" i="35"/>
  <c r="BG6" i="35"/>
  <c r="BG10" i="35" s="1"/>
  <c r="C6" i="35" l="1"/>
  <c r="QG13" i="2" l="1"/>
  <c r="QG475" i="2" s="1"/>
  <c r="BF12" i="35" l="1"/>
  <c r="B12" i="35" s="1"/>
  <c r="B6" i="35" s="1"/>
  <c r="QG471" i="2"/>
  <c r="N20" i="35"/>
  <c r="N11" i="35" s="1"/>
  <c r="WR345" i="2"/>
  <c r="XB345" i="2" s="1"/>
  <c r="M35" i="70"/>
  <c r="CI317" i="2"/>
  <c r="CI9" i="2" s="1"/>
  <c r="BF11" i="35" l="1"/>
  <c r="BF6" i="35"/>
  <c r="BF10" i="35" s="1"/>
  <c r="XM41" i="2"/>
  <c r="CS473" i="2"/>
  <c r="CS475" i="2"/>
  <c r="AE12" i="39"/>
  <c r="CS9" i="2"/>
  <c r="N27" i="35" s="1"/>
  <c r="B27" i="35" s="1"/>
  <c r="B29" i="35" s="1"/>
  <c r="WR9" i="2"/>
  <c r="CI11" i="2"/>
  <c r="U33" i="61"/>
  <c r="XE117" i="2"/>
  <c r="XB317" i="2"/>
  <c r="XB473" i="2" s="1"/>
  <c r="XB475" i="2" s="1"/>
  <c r="CB35" i="70"/>
  <c r="CB7" i="70" s="1"/>
  <c r="B1" i="70" s="1"/>
  <c r="M7" i="70"/>
  <c r="BF11" i="71"/>
  <c r="CS484" i="2"/>
  <c r="N8" i="35"/>
  <c r="N10" i="35" s="1"/>
  <c r="XV512" i="2"/>
  <c r="XV484" i="2" s="1"/>
  <c r="WR512" i="2"/>
  <c r="E34" i="7" s="1"/>
  <c r="E44" i="7" s="1"/>
  <c r="WR317" i="2"/>
  <c r="WR473" i="2" s="1"/>
  <c r="WR475" i="2" s="1"/>
  <c r="CI484" i="2"/>
  <c r="B20" i="35"/>
  <c r="J34" i="7" l="1"/>
  <c r="J44" i="7" s="1"/>
  <c r="M2" i="7" s="1"/>
  <c r="XB512" i="2"/>
  <c r="WR484" i="2"/>
  <c r="M6" i="70"/>
  <c r="B479" i="2"/>
  <c r="XR41" i="2"/>
  <c r="XR13" i="2" s="1"/>
  <c r="XR471" i="2" s="1"/>
  <c r="XR475" i="2" s="1"/>
  <c r="XM13" i="2"/>
  <c r="XM7" i="2" s="1"/>
  <c r="CA11" i="71"/>
  <c r="CA5" i="71" s="1"/>
  <c r="BF5" i="71"/>
  <c r="B11" i="71"/>
  <c r="B5" i="71" s="1"/>
  <c r="XE89" i="2"/>
  <c r="XE9" i="2" s="1"/>
  <c r="XE11" i="2" s="1"/>
  <c r="XH79" i="2"/>
  <c r="XH51" i="2" s="1"/>
  <c r="XH8" i="2" s="1"/>
  <c r="XH9" i="2" s="1"/>
  <c r="C33" i="61"/>
  <c r="C5" i="61" s="1"/>
  <c r="AD33" i="61"/>
  <c r="AF33" i="61" s="1"/>
  <c r="I35" i="62"/>
  <c r="M35" i="62" s="1"/>
  <c r="U5" i="61"/>
  <c r="U1" i="61" s="1"/>
  <c r="I2" i="62" s="1"/>
  <c r="WR11" i="2"/>
  <c r="E14" i="5"/>
  <c r="B14" i="5" s="1"/>
  <c r="B8" i="5" s="1"/>
  <c r="CS11" i="2"/>
  <c r="B8" i="35"/>
  <c r="B10" i="35" s="1"/>
  <c r="B11" i="35"/>
  <c r="XB9" i="2"/>
  <c r="AF1" i="39" s="1"/>
  <c r="F12" i="6"/>
  <c r="AE6" i="39"/>
  <c r="Y12" i="39" s="1"/>
  <c r="CH12" i="39"/>
  <c r="N29" i="35" l="1"/>
  <c r="U29" i="25"/>
  <c r="U7" i="25" s="1"/>
  <c r="N16" i="7"/>
  <c r="O16" i="7" s="1"/>
  <c r="M55" i="62"/>
  <c r="M7" i="62"/>
  <c r="XO512" i="2"/>
  <c r="XB484" i="2"/>
  <c r="XR7" i="2"/>
  <c r="XM471" i="2"/>
  <c r="XM475" i="2" s="1"/>
  <c r="C12" i="6"/>
  <c r="C7" i="6" s="1"/>
  <c r="F7" i="6"/>
  <c r="G15" i="66"/>
  <c r="G11" i="66" s="1"/>
  <c r="B3" i="71"/>
  <c r="B2" i="70"/>
  <c r="CB6" i="70"/>
  <c r="Y3" i="39"/>
  <c r="XB11" i="2"/>
  <c r="E13" i="26"/>
  <c r="CB12" i="39"/>
  <c r="CB6" i="39" s="1"/>
  <c r="CH6" i="39"/>
  <c r="I7" i="62"/>
  <c r="C35" i="62"/>
  <c r="I55" i="62"/>
  <c r="Y8" i="39"/>
  <c r="Y32" i="39"/>
  <c r="Y24" i="39"/>
  <c r="Y26" i="39"/>
  <c r="Y20" i="39"/>
  <c r="Y11" i="39"/>
  <c r="Y31" i="39"/>
  <c r="Y19" i="39"/>
  <c r="Y9" i="39"/>
  <c r="Y36" i="39"/>
  <c r="Y44" i="39"/>
  <c r="Y13" i="39"/>
  <c r="Y28" i="39"/>
  <c r="Y25" i="39"/>
  <c r="Y42" i="39"/>
  <c r="Y10" i="39"/>
  <c r="Y37" i="39"/>
  <c r="Y33" i="39"/>
  <c r="Y22" i="39"/>
  <c r="Y38" i="39"/>
  <c r="Y35" i="39"/>
  <c r="Y23" i="39"/>
  <c r="Y39" i="39"/>
  <c r="Y14" i="39"/>
  <c r="Y27" i="39"/>
  <c r="Y16" i="39"/>
  <c r="Y40" i="39"/>
  <c r="Y21" i="39"/>
  <c r="Y17" i="39"/>
  <c r="Y29" i="39"/>
  <c r="Y41" i="39"/>
  <c r="Y18" i="39"/>
  <c r="Y43" i="39"/>
  <c r="Y15" i="39"/>
  <c r="Y34" i="39"/>
  <c r="Y30" i="39"/>
  <c r="XR512" i="2" l="1"/>
  <c r="XZ512" i="2"/>
  <c r="Y6" i="39"/>
  <c r="E7" i="26"/>
  <c r="B13" i="26"/>
  <c r="H13" i="26" s="1"/>
  <c r="B1" i="2"/>
  <c r="C2" i="61"/>
  <c r="YA512" i="2" l="1"/>
  <c r="B7" i="26"/>
  <c r="C2" i="39"/>
  <c r="B3" i="65"/>
  <c r="B2" i="35"/>
  <c r="CB3" i="39"/>
  <c r="D1" i="25"/>
  <c r="XA135" i="2"/>
  <c r="XA127" i="2" s="1"/>
  <c r="XA472" i="2" s="1"/>
  <c r="XA475" i="2" s="1"/>
  <c r="NT492" i="2"/>
  <c r="NT484" i="2" s="1"/>
  <c r="B480" i="2" s="1"/>
  <c r="XA492" i="2"/>
  <c r="XA484" i="2" s="1"/>
  <c r="C3" i="42" s="1"/>
  <c r="NV135" i="2"/>
  <c r="NV127" i="2" s="1"/>
  <c r="NT127" i="2"/>
  <c r="NT472" i="2" s="1"/>
  <c r="XN492" i="2" l="1"/>
  <c r="XN484" i="2" s="1"/>
  <c r="AX15" i="40"/>
  <c r="S29" i="42" s="1"/>
  <c r="S5" i="42" s="1"/>
  <c r="BM31" i="65"/>
  <c r="BO31" i="65" s="1"/>
  <c r="BO7" i="65" s="1"/>
  <c r="NV492" i="2"/>
  <c r="XO492" i="2" s="1"/>
  <c r="XO484" i="2" s="1"/>
  <c r="NT8" i="2"/>
  <c r="R102" i="25" s="1"/>
  <c r="NT475" i="2"/>
  <c r="NV472" i="2"/>
  <c r="NV475" i="2"/>
  <c r="XZ21" i="2"/>
  <c r="I61" i="7"/>
  <c r="XC135" i="2"/>
  <c r="XC492" i="2"/>
  <c r="HC31" i="65"/>
  <c r="AY15" i="35"/>
  <c r="AX6" i="40"/>
  <c r="C29" i="42" l="1"/>
  <c r="C5" i="42" s="1"/>
  <c r="AX7" i="40"/>
  <c r="B4" i="40" s="1"/>
  <c r="CC2" i="40" s="1"/>
  <c r="CC15" i="40"/>
  <c r="CC7" i="40" s="1"/>
  <c r="NV484" i="2"/>
  <c r="XZ492" i="2"/>
  <c r="XZ484" i="2" s="1"/>
  <c r="XR492" i="2"/>
  <c r="XR484" i="2" s="1"/>
  <c r="XA8" i="2"/>
  <c r="NT11" i="2"/>
  <c r="BV30" i="39"/>
  <c r="NV8" i="2"/>
  <c r="AY26" i="35" s="1"/>
  <c r="C26" i="35" s="1"/>
  <c r="C29" i="35" s="1"/>
  <c r="C31" i="65"/>
  <c r="C7" i="65" s="1"/>
  <c r="BM7" i="65"/>
  <c r="XT492" i="2"/>
  <c r="XT484" i="2" s="1"/>
  <c r="XC484" i="2"/>
  <c r="J61" i="7"/>
  <c r="J91" i="7" s="1"/>
  <c r="P24" i="7" s="1"/>
  <c r="Q24" i="7" s="1"/>
  <c r="I91" i="7"/>
  <c r="YA21" i="2"/>
  <c r="YA13" i="2" s="1"/>
  <c r="XZ13" i="2"/>
  <c r="XC127" i="2"/>
  <c r="XF59" i="2"/>
  <c r="L13" i="61"/>
  <c r="AY11" i="35"/>
  <c r="C15" i="35"/>
  <c r="AY7" i="35"/>
  <c r="AY10" i="35" s="1"/>
  <c r="D102" i="25"/>
  <c r="R7" i="25"/>
  <c r="D7" i="25" s="1"/>
  <c r="HE31" i="65"/>
  <c r="HE7" i="65" s="1"/>
  <c r="HC7" i="65"/>
  <c r="YA492" i="2" l="1"/>
  <c r="YA484" i="2" s="1"/>
  <c r="CG30" i="39"/>
  <c r="T81" i="41"/>
  <c r="BV6" i="39"/>
  <c r="BR30" i="39"/>
  <c r="BR6" i="39" s="1"/>
  <c r="D1" i="39" s="1"/>
  <c r="XA11" i="2"/>
  <c r="NV11" i="2"/>
  <c r="I80" i="5"/>
  <c r="BV1" i="39"/>
  <c r="XC8" i="2"/>
  <c r="E37" i="6"/>
  <c r="AC1" i="39"/>
  <c r="XI21" i="2"/>
  <c r="XI13" i="2" s="1"/>
  <c r="XI7" i="2" s="1"/>
  <c r="XI9" i="2" s="1"/>
  <c r="XF51" i="2"/>
  <c r="XF8" i="2" s="1"/>
  <c r="XF11" i="2" s="1"/>
  <c r="D13" i="61"/>
  <c r="D5" i="61" s="1"/>
  <c r="L5" i="61"/>
  <c r="P1" i="61" s="1"/>
  <c r="H2" i="62" s="1"/>
  <c r="H15" i="62"/>
  <c r="AE13" i="61"/>
  <c r="AF13" i="61" s="1"/>
  <c r="L2" i="61"/>
  <c r="XC472" i="2"/>
  <c r="XC475" i="2" s="1"/>
  <c r="XZ7" i="2"/>
  <c r="XZ471" i="2"/>
  <c r="XZ475" i="2" s="1"/>
  <c r="YA7" i="2"/>
  <c r="YA471" i="2"/>
  <c r="YA475" i="2" s="1"/>
  <c r="T101" i="25"/>
  <c r="T7" i="25" s="1"/>
  <c r="D164" i="25"/>
  <c r="D168" i="25" s="1"/>
  <c r="F101" i="25"/>
  <c r="F7" i="25" s="1"/>
  <c r="C7" i="35"/>
  <c r="C10" i="35" s="1"/>
  <c r="C11" i="35"/>
  <c r="E28" i="6" l="1"/>
  <c r="C37" i="6"/>
  <c r="C28" i="6" s="1"/>
  <c r="V101" i="25"/>
  <c r="V7" i="25" s="1"/>
  <c r="AY29" i="35"/>
  <c r="R2" i="25"/>
  <c r="F2" i="25" s="1"/>
  <c r="H19" i="66"/>
  <c r="H11" i="66" s="1"/>
  <c r="B5" i="40"/>
  <c r="B6" i="40" s="1"/>
  <c r="XC11" i="2"/>
  <c r="BR3" i="39"/>
  <c r="R81" i="41"/>
  <c r="R57" i="41" s="1"/>
  <c r="T57" i="41"/>
  <c r="CG6" i="39"/>
  <c r="CC30" i="39"/>
  <c r="CC6" i="39" s="1"/>
  <c r="D79" i="26"/>
  <c r="B80" i="5"/>
  <c r="B56" i="5" s="1"/>
  <c r="I56" i="5"/>
  <c r="N15" i="62"/>
  <c r="N7" i="62" s="1"/>
  <c r="H7" i="62"/>
  <c r="D15" i="62"/>
  <c r="D7" i="62" s="1"/>
  <c r="D2" i="61" l="1"/>
  <c r="B3" i="2"/>
  <c r="B79" i="26"/>
  <c r="B55" i="26" s="1"/>
  <c r="D55" i="26"/>
  <c r="CC3" i="39" l="1"/>
  <c r="C3" i="65"/>
  <c r="C2"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Arlis Dwi Oxyta</author>
  </authors>
  <commentList>
    <comment ref="MO165" authorId="0" shapeId="0" xr:uid="{56C11786-BE0D-4731-9D7F-7476EC876AC2}">
      <text>
        <r>
          <rPr>
            <b/>
            <sz val="9"/>
            <color indexed="81"/>
            <rFont val="Tahoma"/>
            <family val="2"/>
          </rPr>
          <t>Arlis Dwi Oxyta:</t>
        </r>
        <r>
          <rPr>
            <sz val="9"/>
            <color indexed="81"/>
            <rFont val="Tahoma"/>
            <family val="2"/>
          </rPr>
          <t xml:space="preserve">
Kirim revisi mei</t>
        </r>
      </text>
    </comment>
  </commentList>
</comments>
</file>

<file path=xl/sharedStrings.xml><?xml version="1.0" encoding="utf-8"?>
<sst xmlns="http://schemas.openxmlformats.org/spreadsheetml/2006/main" count="13155" uniqueCount="755">
  <si>
    <t>NO</t>
  </si>
  <si>
    <t>Bandeng</t>
  </si>
  <si>
    <t>Bawal</t>
  </si>
  <si>
    <t>Belanak</t>
  </si>
  <si>
    <t>Eucheuma cottonii</t>
  </si>
  <si>
    <t>Eucheuma spinosum</t>
  </si>
  <si>
    <t>Gabus</t>
  </si>
  <si>
    <t>Gracilaria verrucosa</t>
  </si>
  <si>
    <t>Gurame, Gurami</t>
  </si>
  <si>
    <t>Kakap Merah</t>
  </si>
  <si>
    <t>Kakap Putih</t>
  </si>
  <si>
    <t>Kerang Hijau</t>
  </si>
  <si>
    <t>Kerapu</t>
  </si>
  <si>
    <t>Lele</t>
  </si>
  <si>
    <t>Mas, Ikan Mas, Karper</t>
  </si>
  <si>
    <t>Mujair</t>
  </si>
  <si>
    <t>Nila</t>
  </si>
  <si>
    <t>Patin</t>
  </si>
  <si>
    <t>Rajungan</t>
  </si>
  <si>
    <t>Sidat</t>
  </si>
  <si>
    <t>Tawes</t>
  </si>
  <si>
    <t>Tiram</t>
  </si>
  <si>
    <t>Udang Vaname</t>
  </si>
  <si>
    <t>Udang Windu</t>
  </si>
  <si>
    <t>Udang Putih</t>
  </si>
  <si>
    <t xml:space="preserve">JANUARI </t>
  </si>
  <si>
    <t>PEBRUARI</t>
  </si>
  <si>
    <t>P</t>
  </si>
  <si>
    <t>NP</t>
  </si>
  <si>
    <t>(Kg)</t>
  </si>
  <si>
    <t>(Rp. 000,-)</t>
  </si>
  <si>
    <t>TAMBAK</t>
  </si>
  <si>
    <t>KOLAM</t>
  </si>
  <si>
    <t>KARAMBA</t>
  </si>
  <si>
    <t>LAUT / KJA LAUT</t>
  </si>
  <si>
    <t>JAPUNG / KJA TAWAR</t>
  </si>
  <si>
    <t>PACITAN</t>
  </si>
  <si>
    <t>MINA PADI / SAWAH TAMBAK</t>
  </si>
  <si>
    <t>PONOROGO</t>
  </si>
  <si>
    <t>TRENGGALEK</t>
  </si>
  <si>
    <t>TULUNGAGUNG</t>
  </si>
  <si>
    <t>JML TW 1</t>
  </si>
  <si>
    <t>JML TW 2</t>
  </si>
  <si>
    <t>JML TW 4</t>
  </si>
  <si>
    <t>JML TW 3</t>
  </si>
  <si>
    <t>JML TW 1-4</t>
  </si>
  <si>
    <t>1. SUB JUMLAH JANUARI</t>
  </si>
  <si>
    <t>MARET</t>
  </si>
  <si>
    <t>APRIL</t>
  </si>
  <si>
    <t>MEI</t>
  </si>
  <si>
    <t>JUNI</t>
  </si>
  <si>
    <t>JULI</t>
  </si>
  <si>
    <t>AGUSTUS</t>
  </si>
  <si>
    <t>SEPTEMBER</t>
  </si>
  <si>
    <t>OKTOBER</t>
  </si>
  <si>
    <t>NOPEMBER</t>
  </si>
  <si>
    <t>DESEMBER</t>
  </si>
  <si>
    <t>2. SUB JUMLAH PEBRUARI</t>
  </si>
  <si>
    <t>3. SUB JUMLAH MARET</t>
  </si>
  <si>
    <t>4. SUB JUMLAH APRIL</t>
  </si>
  <si>
    <t>5. SUB JUMLAH MEI</t>
  </si>
  <si>
    <t>8. SUB JUMLAH AGUSTUS</t>
  </si>
  <si>
    <t>9. SUB JUMLAH SEPTEMBER</t>
  </si>
  <si>
    <t>11. SUB JUMLAH NOPEMBER</t>
  </si>
  <si>
    <t>12. SUB JUMLAH DESEMBER</t>
  </si>
  <si>
    <t>6. SUB JUMLAH JUNI</t>
  </si>
  <si>
    <t>7. SUB JUMLAH JULI</t>
  </si>
  <si>
    <t>10. SUB JUMLAH OKTOBER</t>
  </si>
  <si>
    <t>BLITAR</t>
  </si>
  <si>
    <t>KEDIRI</t>
  </si>
  <si>
    <t>MALANG</t>
  </si>
  <si>
    <t>LUMAJANG</t>
  </si>
  <si>
    <t>JEMBER</t>
  </si>
  <si>
    <t>BANYUWANGI</t>
  </si>
  <si>
    <t>BONDOWOSO</t>
  </si>
  <si>
    <t>SITUBONDO</t>
  </si>
  <si>
    <t>PROBOLINGGO</t>
  </si>
  <si>
    <t>PASURUAN</t>
  </si>
  <si>
    <t>SIDOARJO</t>
  </si>
  <si>
    <t>MOJOKERTO</t>
  </si>
  <si>
    <t>JOMBANG</t>
  </si>
  <si>
    <t>NGANJUK</t>
  </si>
  <si>
    <t>MADIUN</t>
  </si>
  <si>
    <t>MAGETAN</t>
  </si>
  <si>
    <t>NGAWI</t>
  </si>
  <si>
    <t>BOJONEGORO</t>
  </si>
  <si>
    <t>TUBAN</t>
  </si>
  <si>
    <t>LAMONGAN</t>
  </si>
  <si>
    <t>GRESIK</t>
  </si>
  <si>
    <t>BANGKALAN</t>
  </si>
  <si>
    <t>SAMPANG</t>
  </si>
  <si>
    <t>PAMEKASAN</t>
  </si>
  <si>
    <t>SUMENEP</t>
  </si>
  <si>
    <t>KOTA KEDIRI</t>
  </si>
  <si>
    <t>KOTA BLITAR</t>
  </si>
  <si>
    <t>KOTA MALANG</t>
  </si>
  <si>
    <t>KOTA PROBOLINGGO</t>
  </si>
  <si>
    <t>KOTA PASURUAN</t>
  </si>
  <si>
    <t>KOTA MOJOKERTO</t>
  </si>
  <si>
    <t>KOTA MADIUN</t>
  </si>
  <si>
    <t>KOTA SURABAYA</t>
  </si>
  <si>
    <t>KOTA BATU</t>
  </si>
  <si>
    <t>TRIWULAN</t>
  </si>
  <si>
    <t>KABUPATEN / KOTAMADYA</t>
  </si>
  <si>
    <t>JUMLAH</t>
  </si>
  <si>
    <t>DISTRICT</t>
  </si>
  <si>
    <t>TOTAL</t>
  </si>
  <si>
    <t>I</t>
  </si>
  <si>
    <t>II</t>
  </si>
  <si>
    <t>III</t>
  </si>
  <si>
    <t>IV</t>
  </si>
  <si>
    <t>JUMLAH - TOTAL</t>
  </si>
  <si>
    <t xml:space="preserve"> KABUPATEN PACITAN  </t>
  </si>
  <si>
    <t xml:space="preserve"> KABUPATEN PONOROGO </t>
  </si>
  <si>
    <t xml:space="preserve"> KABUPATEN TRENGGALEK  </t>
  </si>
  <si>
    <t xml:space="preserve"> KABUPATEN TULUNGAGUNG  </t>
  </si>
  <si>
    <t xml:space="preserve"> KABUPATEN BLITAR  </t>
  </si>
  <si>
    <t xml:space="preserve"> KABUPATEN KEDIRI  </t>
  </si>
  <si>
    <t xml:space="preserve"> KABUPATEN MALANG  </t>
  </si>
  <si>
    <t xml:space="preserve"> KABUPATEN LUMAJANG  </t>
  </si>
  <si>
    <t xml:space="preserve"> KABUPATEN JEMBER </t>
  </si>
  <si>
    <t xml:space="preserve"> KABUPATEN BANYUWANGI  </t>
  </si>
  <si>
    <t xml:space="preserve"> KABUPATEN BONDOWOSO  </t>
  </si>
  <si>
    <t xml:space="preserve"> KABUPATEN SITUBONDO  </t>
  </si>
  <si>
    <t xml:space="preserve"> KABUPATEN PROBOLINGGO  </t>
  </si>
  <si>
    <t xml:space="preserve"> KABUPATEN PASURUAN  </t>
  </si>
  <si>
    <t xml:space="preserve"> KABUPATEN SIDOARJO  </t>
  </si>
  <si>
    <t xml:space="preserve"> KABUPATEN MOJOKERTO  </t>
  </si>
  <si>
    <t xml:space="preserve"> KABUPATEN JOMBANG  </t>
  </si>
  <si>
    <t xml:space="preserve"> KABUPATEN NGANJUK  </t>
  </si>
  <si>
    <t xml:space="preserve"> KABUPATEN MADIUN  </t>
  </si>
  <si>
    <t xml:space="preserve"> KABUPATEN MAGETAN  </t>
  </si>
  <si>
    <t xml:space="preserve"> KABUPATEN NGAWI  </t>
  </si>
  <si>
    <t xml:space="preserve"> KABUPATEN BOJONEGORO  </t>
  </si>
  <si>
    <t xml:space="preserve"> KABUPATEN TUBAN  </t>
  </si>
  <si>
    <t xml:space="preserve"> KABUPATEN LAMONGAN  </t>
  </si>
  <si>
    <t xml:space="preserve"> KABUPATEN GRESIK  </t>
  </si>
  <si>
    <t xml:space="preserve"> KABUPATEN BANGKALAN  </t>
  </si>
  <si>
    <t xml:space="preserve"> KABUPATEN SAMPANG  </t>
  </si>
  <si>
    <t xml:space="preserve"> KABUPATEN PAMEKASAN  </t>
  </si>
  <si>
    <t xml:space="preserve"> KABUPATEN SUMENEP  </t>
  </si>
  <si>
    <t xml:space="preserve"> KOTA KEDIRI  </t>
  </si>
  <si>
    <t xml:space="preserve"> KOTA BLITAR  </t>
  </si>
  <si>
    <t xml:space="preserve"> KOTA MALANG  </t>
  </si>
  <si>
    <t xml:space="preserve"> KOTA PROBOLINGGO  </t>
  </si>
  <si>
    <t xml:space="preserve"> KOTA PASURUAN  </t>
  </si>
  <si>
    <t xml:space="preserve"> KOTA MOJOKERTO  </t>
  </si>
  <si>
    <t xml:space="preserve"> KOTA MADIUN  </t>
  </si>
  <si>
    <t xml:space="preserve"> KOTA SURABAYA  </t>
  </si>
  <si>
    <t xml:space="preserve"> KOTA BATU  </t>
  </si>
  <si>
    <t>JUMLAH TOTAL PER TW</t>
  </si>
  <si>
    <t>Satuan : Rp. 000,-</t>
  </si>
  <si>
    <t>LAUT</t>
  </si>
  <si>
    <t>M. PADI</t>
  </si>
  <si>
    <t>JAPUNG</t>
  </si>
  <si>
    <t>Marine culture</t>
  </si>
  <si>
    <t>Brackishwater</t>
  </si>
  <si>
    <t>Pond culture</t>
  </si>
  <si>
    <t>Cage culture</t>
  </si>
  <si>
    <t>Floating net culture</t>
  </si>
  <si>
    <t>culture</t>
  </si>
  <si>
    <t>*) Angka Sementara</t>
  </si>
  <si>
    <t>Satuan : Rp. 1.000</t>
  </si>
  <si>
    <t xml:space="preserve">                                                                             </t>
  </si>
  <si>
    <t>JENIS USAHA</t>
  </si>
  <si>
    <t>JUMLAH TOTAL</t>
  </si>
  <si>
    <t>JUMLAH PER TW MENURUT JENIS USAHA</t>
  </si>
  <si>
    <t>NILAI PRODUKSI BUDIDAYA</t>
  </si>
  <si>
    <t>KOMODITAS</t>
  </si>
  <si>
    <t>JENIS BUDIDAYA</t>
  </si>
  <si>
    <t>TW 1</t>
  </si>
  <si>
    <t>TW 2</t>
  </si>
  <si>
    <t>TW 3</t>
  </si>
  <si>
    <t>TW 4</t>
  </si>
  <si>
    <t>RTP, POTENSI, KAPASITAS, LUAS LAHAN, SARPROK</t>
  </si>
  <si>
    <t>SEMESTER 1</t>
  </si>
  <si>
    <t>WADAH BUDIDAYA</t>
  </si>
  <si>
    <t>POTENSI</t>
  </si>
  <si>
    <t>LUAS LAHAN</t>
  </si>
  <si>
    <t>RTP</t>
  </si>
  <si>
    <t>RTP BERDASARKAN BESARNYA USAHA</t>
  </si>
  <si>
    <t>SARANA PRASARANA PRODUKSI PERIKANAN BUDIDAYA</t>
  </si>
  <si>
    <t>LAHAN</t>
  </si>
  <si>
    <t>PRODUKSI</t>
  </si>
  <si>
    <t>LUAS KOTOR</t>
  </si>
  <si>
    <t>LUAS BERSIH</t>
  </si>
  <si>
    <t>PEMILIK</t>
  </si>
  <si>
    <t>PANDEGA</t>
  </si>
  <si>
    <t>LAUT/KJA LAUT</t>
  </si>
  <si>
    <t>PAKAN YANG DIGUNAKAN (Kg)</t>
  </si>
  <si>
    <t>PUPUK (Kg)</t>
  </si>
  <si>
    <t>PROBIOTIK</t>
  </si>
  <si>
    <t>KAPUR</t>
  </si>
  <si>
    <t>PESTISIDA</t>
  </si>
  <si>
    <t>DESINFEKTAN</t>
  </si>
  <si>
    <t>OBAT-OBATAN</t>
  </si>
  <si>
    <t>HORMON</t>
  </si>
  <si>
    <t>LAINNYA</t>
  </si>
  <si>
    <t>LISTRIK</t>
  </si>
  <si>
    <t>BBM</t>
  </si>
  <si>
    <t>(Ha)</t>
  </si>
  <si>
    <t>(Orang)</t>
  </si>
  <si>
    <t>&lt; 2 Ha</t>
  </si>
  <si>
    <t>&gt; 2 Ha</t>
  </si>
  <si>
    <t>&lt; 0,1 Ha</t>
  </si>
  <si>
    <t>0,1 - 0,3 Ha</t>
  </si>
  <si>
    <t>0,3 - 0,5 Ha</t>
  </si>
  <si>
    <t>&gt; 0,5 Ha</t>
  </si>
  <si>
    <t>2 - 5 Ha</t>
  </si>
  <si>
    <t>5 - 10 Ha</t>
  </si>
  <si>
    <t>&gt; 10 Ha</t>
  </si>
  <si>
    <t>&lt; 0,5 Ha</t>
  </si>
  <si>
    <t>0,5 - 1 Ha</t>
  </si>
  <si>
    <t>1 -2 Ha</t>
  </si>
  <si>
    <t>2 - 3 Ha</t>
  </si>
  <si>
    <t>&gt; 3 Ha</t>
  </si>
  <si>
    <t>&lt; 50 M2</t>
  </si>
  <si>
    <t>50 -100 M2</t>
  </si>
  <si>
    <t>100 - 300 M2</t>
  </si>
  <si>
    <t>300 - 500 M2</t>
  </si>
  <si>
    <t>&gt; 500 M2</t>
  </si>
  <si>
    <t>IKAN RUCAH</t>
  </si>
  <si>
    <t>PELET</t>
  </si>
  <si>
    <t>DEDAK</t>
  </si>
  <si>
    <t>ORGANIK</t>
  </si>
  <si>
    <t>ANORGANIK</t>
  </si>
  <si>
    <t>(LITER)</t>
  </si>
  <si>
    <t>(Kg/L)</t>
  </si>
  <si>
    <t>(KVA)</t>
  </si>
  <si>
    <t>(Liter)</t>
  </si>
  <si>
    <t>SEMESTER 2</t>
  </si>
  <si>
    <t>Kepiting  Bakau</t>
  </si>
  <si>
    <t>TW 1-4</t>
  </si>
  <si>
    <t>P &amp; NP</t>
  </si>
  <si>
    <t>JUMLAH per TRIWULAN</t>
  </si>
  <si>
    <t>per KAB per WADAH per TW</t>
  </si>
  <si>
    <t>NP per IKAN per KAB</t>
  </si>
  <si>
    <t>NP per IKAN per KAB per THN</t>
  </si>
  <si>
    <t>P per IKAN per KAB</t>
  </si>
  <si>
    <t>P per IKAN per KAB per THN</t>
  </si>
  <si>
    <t>MENURUT TRIWULAN</t>
  </si>
  <si>
    <t>USAHA per TW</t>
  </si>
  <si>
    <t>per IKAN per WADAH per TAHUN</t>
  </si>
  <si>
    <t>KAB per JENIS per THN</t>
  </si>
  <si>
    <t>KAB per IKAN per THN</t>
  </si>
  <si>
    <t>BACK</t>
  </si>
  <si>
    <t>INPUT</t>
  </si>
  <si>
    <t>JUST SEE</t>
  </si>
  <si>
    <t>DATA</t>
  </si>
  <si>
    <t>KLIK</t>
  </si>
  <si>
    <t>PERBANDINGAN DENGAN TAHUN SEBELUMNYA</t>
  </si>
  <si>
    <t>JANUARI</t>
  </si>
  <si>
    <t>FEBRUARI</t>
  </si>
  <si>
    <t>NOVEMBER</t>
  </si>
  <si>
    <t>P &amp; NP per BLN per KAB</t>
  </si>
  <si>
    <t xml:space="preserve"> </t>
  </si>
  <si>
    <t>BUDIDAYA</t>
  </si>
  <si>
    <t>Tabel 6.4 :</t>
  </si>
  <si>
    <t>PRODUKSI PERIKANAN BUDIDAYA JAPUNG MENURUT JENIS IKAN DAN KABUPATEN/KOTA</t>
  </si>
  <si>
    <t>Tabel 6.5 :</t>
  </si>
  <si>
    <t xml:space="preserve">    PRODUKSI PERIKANAN BUDIDAYA JAPUNG MENURUT KUARTAL DAN KABUPATEN/KOTA</t>
  </si>
  <si>
    <t>floating net aquaculture production by species of fish and district / city</t>
  </si>
  <si>
    <t xml:space="preserve">   floating net aquaculture production by quarter and district / city</t>
  </si>
  <si>
    <t>Satuan : Ton</t>
  </si>
  <si>
    <t>Unit      : MT</t>
  </si>
  <si>
    <r>
      <t xml:space="preserve">Ikan - </t>
    </r>
    <r>
      <rPr>
        <i/>
        <sz val="11"/>
        <color indexed="10"/>
        <rFont val="Arial"/>
        <family val="2"/>
      </rPr>
      <t>Fishes</t>
    </r>
  </si>
  <si>
    <t>Kuartal</t>
  </si>
  <si>
    <t>-               Quarter</t>
  </si>
  <si>
    <t>Ikan mas</t>
  </si>
  <si>
    <t>Gurami</t>
  </si>
  <si>
    <t>Ikan lain</t>
  </si>
  <si>
    <t>U. Galah</t>
  </si>
  <si>
    <t>U. Lainnya</t>
  </si>
  <si>
    <t>Belut</t>
  </si>
  <si>
    <t>Lainnya</t>
  </si>
  <si>
    <t>Kwartal I</t>
  </si>
  <si>
    <t>Kwartal II</t>
  </si>
  <si>
    <t>Kwartal III</t>
  </si>
  <si>
    <t>Kwartal IV</t>
  </si>
  <si>
    <t>Common carp</t>
  </si>
  <si>
    <t>Nile tilapia</t>
  </si>
  <si>
    <t>Mozambique</t>
  </si>
  <si>
    <t>Asian</t>
  </si>
  <si>
    <t>Java barb</t>
  </si>
  <si>
    <t>Mud perches</t>
  </si>
  <si>
    <t>Milk fish</t>
  </si>
  <si>
    <t>Cat fishes</t>
  </si>
  <si>
    <t>Pomfret</t>
  </si>
  <si>
    <t xml:space="preserve">Snakkehead </t>
  </si>
  <si>
    <t>Others</t>
  </si>
  <si>
    <t>Giant Fresh</t>
  </si>
  <si>
    <t>Other Shrimp</t>
  </si>
  <si>
    <t>River eel</t>
  </si>
  <si>
    <t>1  st  Quarter</t>
  </si>
  <si>
    <t>2  nd  Quarter</t>
  </si>
  <si>
    <t>3  rd  Quarter</t>
  </si>
  <si>
    <t>4  th  Quarter</t>
  </si>
  <si>
    <t>tilapia</t>
  </si>
  <si>
    <t>bonytongue</t>
  </si>
  <si>
    <t>murrel</t>
  </si>
  <si>
    <t>water shrimp</t>
  </si>
  <si>
    <t xml:space="preserve"> - 57 -</t>
  </si>
  <si>
    <t xml:space="preserve"> - 59 -</t>
  </si>
  <si>
    <t>Tabel 6.6  :</t>
  </si>
  <si>
    <t>NILAI PRODUKSI PERIKANAN BUDIDAYA JAPUNG MENURUT JENIS IKAN DAN KABUPATEN/KOTA</t>
  </si>
  <si>
    <t>Tabel  6.7 :</t>
  </si>
  <si>
    <t xml:space="preserve">    NILAI PRODUKSI PERIKANAN BUDIDAYA JAPUNG MENURUT KUARTAL DAN KABUPATEN/KOTA</t>
  </si>
  <si>
    <t>value of aquaculture production by species of fish cages and district / city</t>
  </si>
  <si>
    <t xml:space="preserve">    value of aquaculture production in the quarter and a net county / city</t>
  </si>
  <si>
    <t>Satuan :  x Rp.1000</t>
  </si>
  <si>
    <t>Unit      : x Rp.1000</t>
  </si>
  <si>
    <t xml:space="preserve"> - 60 -</t>
  </si>
  <si>
    <t>- 62 -</t>
  </si>
  <si>
    <t>P NP</t>
  </si>
  <si>
    <t>Tabel 2.8 :</t>
  </si>
  <si>
    <t>PRODUKSI BUDIDAYA TAMBAK MENURUT JENIS IKAN DAN KABUPATEN/KOTA</t>
  </si>
  <si>
    <t>aquaculture production by species of fish and district / city</t>
  </si>
  <si>
    <t>Ikan     -</t>
  </si>
  <si>
    <t>Fishes</t>
  </si>
  <si>
    <t xml:space="preserve">                Binatang berkulit keras          -</t>
  </si>
  <si>
    <t>Crustaceans</t>
  </si>
  <si>
    <t>SUB JUMLAH</t>
  </si>
  <si>
    <t>Kakap</t>
  </si>
  <si>
    <t>U. Windu</t>
  </si>
  <si>
    <t>U. Putih</t>
  </si>
  <si>
    <t>U. Api-api</t>
  </si>
  <si>
    <t>Vaname</t>
  </si>
  <si>
    <t>Rebon</t>
  </si>
  <si>
    <t>Udang lainnya</t>
  </si>
  <si>
    <t>Kepiting</t>
  </si>
  <si>
    <t>R Laut</t>
  </si>
  <si>
    <t>SUB TOTAL</t>
  </si>
  <si>
    <t>Grouper</t>
  </si>
  <si>
    <t>Moazambique-</t>
  </si>
  <si>
    <t>Barramundi/</t>
  </si>
  <si>
    <t>Mullets</t>
  </si>
  <si>
    <t>Sub Total</t>
  </si>
  <si>
    <t>Black tiger shrimp</t>
  </si>
  <si>
    <t>White shrimp</t>
  </si>
  <si>
    <t>Metapenaeus s</t>
  </si>
  <si>
    <t>Vaname shrimp</t>
  </si>
  <si>
    <t>Mysids</t>
  </si>
  <si>
    <t>Other shrimp</t>
  </si>
  <si>
    <t>Mud crab</t>
  </si>
  <si>
    <t>Swim crab</t>
  </si>
  <si>
    <t>Other Aquatic</t>
  </si>
  <si>
    <t>Sea weed</t>
  </si>
  <si>
    <t>animals</t>
  </si>
  <si>
    <t>- 14 -</t>
  </si>
  <si>
    <t>- 15 -</t>
  </si>
  <si>
    <t>Tabel 2.10 :</t>
  </si>
  <si>
    <t>NILAI PRODUKSI BUDIDAYA TAMBAK MENURUT JENIS IKAN DAN KABUPATEN/KOTA</t>
  </si>
  <si>
    <t>value of aquaculture production by species of fish and district / city</t>
  </si>
  <si>
    <t>- 17 -</t>
  </si>
  <si>
    <t>- 18 -</t>
  </si>
  <si>
    <t>Tabel 3.7 :</t>
  </si>
  <si>
    <t xml:space="preserve"> PRODUKSI PERIKANAN BUDIDAYA KOLAM MENURUT JENIS IKAN DAN KABUPATEN/KOTA</t>
  </si>
  <si>
    <t>by an aquaculture production of fish and district / city</t>
  </si>
  <si>
    <t>Lanjutan Tabel 3.7</t>
  </si>
  <si>
    <t xml:space="preserve">Udang Windu </t>
  </si>
  <si>
    <t>Common-</t>
  </si>
  <si>
    <t>Gourami</t>
  </si>
  <si>
    <t>Java corp</t>
  </si>
  <si>
    <t>Catfish</t>
  </si>
  <si>
    <t>Freshwater eels</t>
  </si>
  <si>
    <t>Murrel</t>
  </si>
  <si>
    <t xml:space="preserve">Giant tiger prawn </t>
  </si>
  <si>
    <t>Freshwater eel</t>
  </si>
  <si>
    <t>carp</t>
  </si>
  <si>
    <t>water prawn</t>
  </si>
  <si>
    <t xml:space="preserve"> - 29 -</t>
  </si>
  <si>
    <t>Tabel 3.9 :</t>
  </si>
  <si>
    <t xml:space="preserve"> NILAI PRODUKSI PERIKANAN BUDIDAYA KOLAM MENURUT JENIS IKAN DAN KABUPATEN/KOTA</t>
  </si>
  <si>
    <t>value of aquaculture production by type of fish ponds and district / city</t>
  </si>
  <si>
    <t>Lanjutan Tabel 3.9</t>
  </si>
  <si>
    <t xml:space="preserve">Udang windu </t>
  </si>
  <si>
    <t xml:space="preserve">Giant Tiger Prawn </t>
  </si>
  <si>
    <t xml:space="preserve"> - 32 -</t>
  </si>
  <si>
    <t>TABEL 5.6    : PRODUKSI MINA PADI  MENURUT JENIS IKAN DAN KABUPATEN/KOTA</t>
  </si>
  <si>
    <t>TABEL 5.7. : PRODUKSI MINA PADI PER KUARTAL  DAN KABUPATEN/KOTA</t>
  </si>
  <si>
    <t>Yield of rice culture by species and Regencies</t>
  </si>
  <si>
    <t xml:space="preserve">                                                                                    Yield of rice culture by Quarters and Regencies</t>
  </si>
  <si>
    <t>KABUPATEN/KOTA</t>
  </si>
  <si>
    <t>JENIS IKAN</t>
  </si>
  <si>
    <t>-</t>
  </si>
  <si>
    <t>KWARTAL I</t>
  </si>
  <si>
    <t>KWARTAL II</t>
  </si>
  <si>
    <t>KWARTAL III</t>
  </si>
  <si>
    <t>KWARTAL IV</t>
  </si>
  <si>
    <t>Keterangan</t>
  </si>
  <si>
    <t>District</t>
  </si>
  <si>
    <t>Mas</t>
  </si>
  <si>
    <t xml:space="preserve">Gabus </t>
  </si>
  <si>
    <t>Ikan Lain</t>
  </si>
  <si>
    <t>U. Vaname</t>
  </si>
  <si>
    <t>U. Lain</t>
  </si>
  <si>
    <t>Total</t>
  </si>
  <si>
    <t xml:space="preserve">1 st Quarter </t>
  </si>
  <si>
    <t xml:space="preserve">2 nd Quarter </t>
  </si>
  <si>
    <t xml:space="preserve">3 rd Quarter </t>
  </si>
  <si>
    <t xml:space="preserve">4 th Quarter </t>
  </si>
  <si>
    <t>Note</t>
  </si>
  <si>
    <t>Asian B</t>
  </si>
  <si>
    <t>Snakehead nurrel</t>
  </si>
  <si>
    <t>G tiger prawn</t>
  </si>
  <si>
    <t>O shrimp</t>
  </si>
  <si>
    <t>Paddy field</t>
  </si>
  <si>
    <t>- 49 -</t>
  </si>
  <si>
    <t>- 50 -</t>
  </si>
  <si>
    <t>TABEL 5.8      :   NILAI PRODUKSI MINA PADI  MENURUT JENIS IKAN DAN KABUPATEN/KOTA</t>
  </si>
  <si>
    <t>TABEL 5.9    : NILAI PRODUKSI MINA PADI PER KUARTAL  DAN KABUPATEN/KOTA</t>
  </si>
  <si>
    <t>Value of rice culture by species and Regencies</t>
  </si>
  <si>
    <t>Value of rice culture by Quarters and Regencies</t>
  </si>
  <si>
    <t>Satuan : X Rp. 000</t>
  </si>
  <si>
    <t>Satuan : X Rp. 1000</t>
  </si>
  <si>
    <t>- 51 -</t>
  </si>
  <si>
    <t>- 52 -</t>
  </si>
  <si>
    <t>Tabel 4.4 :</t>
  </si>
  <si>
    <t>PRODUKSI PERIKANAN BUDIDAYA KARAMBA MENURUT JENIS IKAN DAN KABUPATEN/KOTA</t>
  </si>
  <si>
    <t>Tabel 4.5 :</t>
  </si>
  <si>
    <t xml:space="preserve">    PRODUKSI PERIKANAN BUDIDAYA KARAMBA MENURUT KUARTAL DAN KABUPATEN/KOTA</t>
  </si>
  <si>
    <t>cage aquaculture production by species  and district / city</t>
  </si>
  <si>
    <t xml:space="preserve">   cage aquaculture production by quarter and district / city</t>
  </si>
  <si>
    <t>Ikan</t>
  </si>
  <si>
    <t xml:space="preserve"> - 39 -</t>
  </si>
  <si>
    <t>- 40 -</t>
  </si>
  <si>
    <t>Tabel 4.6 :</t>
  </si>
  <si>
    <t xml:space="preserve"> NILAI PRODUKSI PERIKANAN BUDIDAYA KARAMBA MENURUT JENIS IKAN DAN KABUPATEN/KOTA</t>
  </si>
  <si>
    <t>Tabel 4.7 :</t>
  </si>
  <si>
    <t xml:space="preserve">    NILAI PRODUKSI PERIKANAN BUDIDAYA KARAMBA MENURUT KUARTAL DAN KABUPATEN/KOTA</t>
  </si>
  <si>
    <t>value of cage aquaculture production by species and district / city</t>
  </si>
  <si>
    <t xml:space="preserve">    value of cage aquaculture production by quarter and district / city</t>
  </si>
  <si>
    <t>.Unit      : x Rp.1000</t>
  </si>
  <si>
    <t xml:space="preserve"> - 41 -</t>
  </si>
  <si>
    <t>- 42 -</t>
  </si>
  <si>
    <t>Tabel  7.3 :</t>
  </si>
  <si>
    <t xml:space="preserve"> PRODUKSI BUDIDAYA LAUT MENURUT JENIS IKAN DAN KABUPATEN/KOTA</t>
  </si>
  <si>
    <t>Tabel  7.4 :</t>
  </si>
  <si>
    <t xml:space="preserve"> PRODUKSI PERIKANAN BUDIDAYA LAUT MENURUT KUARTAL DAN KABUPATEN/KOTA</t>
  </si>
  <si>
    <t>marine aquaculture production by species and district / city</t>
  </si>
  <si>
    <t>Marine culture production by quarter and district ,</t>
  </si>
  <si>
    <t xml:space="preserve">    Unit      : MT</t>
  </si>
  <si>
    <t xml:space="preserve">          Unit      : MT</t>
  </si>
  <si>
    <t xml:space="preserve"> Unit      : MT</t>
  </si>
  <si>
    <t>Ker. Hijau</t>
  </si>
  <si>
    <t>Mutiara</t>
  </si>
  <si>
    <t>Rumput Laut</t>
  </si>
  <si>
    <t>Groupers</t>
  </si>
  <si>
    <t>Barramundi /</t>
  </si>
  <si>
    <t>Other fish</t>
  </si>
  <si>
    <t>Swimming</t>
  </si>
  <si>
    <t>Green mussel</t>
  </si>
  <si>
    <t>Golden lip PO</t>
  </si>
  <si>
    <t>Giant sea-perch</t>
  </si>
  <si>
    <t>crab</t>
  </si>
  <si>
    <t>- 66 -</t>
  </si>
  <si>
    <t>- 67 -</t>
  </si>
  <si>
    <t xml:space="preserve"> - 68 -</t>
  </si>
  <si>
    <t xml:space="preserve">Tabel 7.5 : </t>
  </si>
  <si>
    <t>NILAI PRODUKSI BUDIDAYA LAUT MENURUT JENIS IKAN DAN KABUPATEN/KOTA</t>
  </si>
  <si>
    <t>Tabel 7.6 :</t>
  </si>
  <si>
    <t>NILAI PRODUKSI PERIKANAN BUDIDAYA LAUT MENURUT KUARTAL DAN KABUPATEN/KOTA</t>
  </si>
  <si>
    <t>value of aquaculture production by quarter and district / city</t>
  </si>
  <si>
    <t>- 69 -</t>
  </si>
  <si>
    <t>- 70 -</t>
  </si>
  <si>
    <t xml:space="preserve"> - 71 -</t>
  </si>
  <si>
    <t>KABUPATEN / KOTA</t>
  </si>
  <si>
    <t>Tabel 2.9 :</t>
  </si>
  <si>
    <t>PRODUKSI PERIKANAN BUDIDAYA TAMBAK MENURUT KUARTAL DAN KABUPATEN/KOTA</t>
  </si>
  <si>
    <t>pond aquaculture production by quarter and district / city</t>
  </si>
  <si>
    <t xml:space="preserve"> - 16 -</t>
  </si>
  <si>
    <t>Tabel 2.11 :</t>
  </si>
  <si>
    <t>NILAI PRODUKSI PERIKANAN BUDIDAYA TAMBAK MENURUT KUARTAL DAN KABUPATEN/KOTA</t>
  </si>
  <si>
    <t>value of aquaculture production ponds in the quarter and district / city</t>
  </si>
  <si>
    <t xml:space="preserve"> - 19 -</t>
  </si>
  <si>
    <t>Tabel 3.8 :</t>
  </si>
  <si>
    <t xml:space="preserve">    PRODUKSI PERIKANAN BUDIDAYA KOLAM MENURUT KUARTAL DAN KABUPATEN/KOTA</t>
  </si>
  <si>
    <t xml:space="preserve">   pond aquaculture production by quarter and district / city</t>
  </si>
  <si>
    <t>- 31 -</t>
  </si>
  <si>
    <t>Tabel 3.10 :</t>
  </si>
  <si>
    <t xml:space="preserve">     NILAI PRODUKSI PERIKANAN BUDIDAYA KOLAM MENURUT KUARTAL DAN KABUPATEN/KOTA</t>
  </si>
  <si>
    <t xml:space="preserve">    value of aquaculture production ponds and a quarter by district / city</t>
  </si>
  <si>
    <t>- 34 -</t>
  </si>
  <si>
    <t>Ikan_02 (Ikan Lainnya)</t>
  </si>
  <si>
    <t>JUMLAH TOTAL DI SHEET INI</t>
  </si>
  <si>
    <t>JUMLAH TOTAL DI SHEET P &amp; NP</t>
  </si>
  <si>
    <t>UDANG WINDU</t>
  </si>
  <si>
    <t>UDANG VANAME</t>
  </si>
  <si>
    <t>UDANG LAINNYA</t>
  </si>
  <si>
    <t>KERAPU</t>
  </si>
  <si>
    <t>RUMPUT LAUT</t>
  </si>
  <si>
    <t>NILA</t>
  </si>
  <si>
    <t>MAS</t>
  </si>
  <si>
    <t>BANDENG</t>
  </si>
  <si>
    <t>KAKAP</t>
  </si>
  <si>
    <t>PATIN</t>
  </si>
  <si>
    <t>LELE</t>
  </si>
  <si>
    <t>GURAMI</t>
  </si>
  <si>
    <t>KERANG</t>
  </si>
  <si>
    <t>KEPITING</t>
  </si>
  <si>
    <t>TAWES</t>
  </si>
  <si>
    <t>GABUS</t>
  </si>
  <si>
    <t>KOMODITAS PENTING</t>
  </si>
  <si>
    <t>Udang Lainnya</t>
  </si>
  <si>
    <t>P (Kg)</t>
  </si>
  <si>
    <t>NP (Rp.  000,-)</t>
  </si>
  <si>
    <t>Harga @ Kg</t>
  </si>
  <si>
    <t>Ikan lainnya</t>
  </si>
  <si>
    <t>REALISASI NILAI PRODUKSI BUDIDAYA TAHUN 2024</t>
  </si>
  <si>
    <t>NILAI PRODUKSI</t>
  </si>
  <si>
    <t>PRODUKSI (KG)</t>
  </si>
  <si>
    <t>PRODUKSI (TON)</t>
  </si>
  <si>
    <t>NILA PRDUKSI (Rp 000)</t>
  </si>
  <si>
    <t>PL</t>
  </si>
  <si>
    <t>NPL</t>
  </si>
  <si>
    <t>PT</t>
  </si>
  <si>
    <t>NPT</t>
  </si>
  <si>
    <t>PK</t>
  </si>
  <si>
    <t>NPK</t>
  </si>
  <si>
    <t>PS</t>
  </si>
  <si>
    <t>NPS</t>
  </si>
  <si>
    <t>PM</t>
  </si>
  <si>
    <t>NPM</t>
  </si>
  <si>
    <t>PJ</t>
  </si>
  <si>
    <t>NPJ</t>
  </si>
  <si>
    <t>CEK DARI SHEET P &amp; NP</t>
  </si>
  <si>
    <t>JUMLAH TOTAL PER BULAN</t>
  </si>
  <si>
    <t>PT1</t>
  </si>
  <si>
    <t>NPT1</t>
  </si>
  <si>
    <t>TRIWULAN 1</t>
  </si>
  <si>
    <t>TW1</t>
  </si>
  <si>
    <t>TRIWULAN 2</t>
  </si>
  <si>
    <t>TW2</t>
  </si>
  <si>
    <t>TRIWULAN 3</t>
  </si>
  <si>
    <t>TRIWULAN 4</t>
  </si>
  <si>
    <t>TW3</t>
  </si>
  <si>
    <t>TW4</t>
  </si>
  <si>
    <t xml:space="preserve">Bandeng </t>
  </si>
  <si>
    <t xml:space="preserve">Bawal </t>
  </si>
  <si>
    <t xml:space="preserve">Belanak </t>
  </si>
  <si>
    <t xml:space="preserve">Eucheuma cottonii </t>
  </si>
  <si>
    <t xml:space="preserve">Gracilaria verrucosa </t>
  </si>
  <si>
    <t xml:space="preserve">Gurame, Gurami </t>
  </si>
  <si>
    <t xml:space="preserve">Kerang Hijau </t>
  </si>
  <si>
    <t>Kerapu Cantang</t>
  </si>
  <si>
    <t>Kerapu Macan</t>
  </si>
  <si>
    <t>Kerong Kerong</t>
  </si>
  <si>
    <t xml:space="preserve">Lele </t>
  </si>
  <si>
    <t xml:space="preserve">Lobster Air Laut </t>
  </si>
  <si>
    <t xml:space="preserve">Lobster Air Tawar, Cherax </t>
  </si>
  <si>
    <t xml:space="preserve">Mas, Ikan Mas, Karper </t>
  </si>
  <si>
    <t xml:space="preserve">Mujair </t>
  </si>
  <si>
    <t xml:space="preserve">Nila </t>
  </si>
  <si>
    <t xml:space="preserve">Patin </t>
  </si>
  <si>
    <t xml:space="preserve">Rajungan </t>
  </si>
  <si>
    <t>Teri</t>
  </si>
  <si>
    <t xml:space="preserve">Udang Galah </t>
  </si>
  <si>
    <t xml:space="preserve">Udang Vaname </t>
  </si>
  <si>
    <t>TAMBAK SEDERHANA</t>
  </si>
  <si>
    <t>PB</t>
  </si>
  <si>
    <t>NPB</t>
  </si>
  <si>
    <t>MINA PADI</t>
  </si>
  <si>
    <t>P &amp; NP 1 THN</t>
  </si>
  <si>
    <t xml:space="preserve"> SEDERHANATAMBAK</t>
  </si>
  <si>
    <t>TABEL 1.1. :   R I N G K A S A N</t>
  </si>
  <si>
    <t xml:space="preserve">           S u m m a r y</t>
  </si>
  <si>
    <t>J  U  M  L  A  H</t>
  </si>
  <si>
    <t>Luas ( Ha )</t>
  </si>
  <si>
    <t>P r o d u k s i</t>
  </si>
  <si>
    <t>CABANG USAHA</t>
  </si>
  <si>
    <t>RTP/PP</t>
  </si>
  <si>
    <t>Ikan Segar</t>
  </si>
  <si>
    <t>Petani Ikan</t>
  </si>
  <si>
    <t>Baku</t>
  </si>
  <si>
    <t>Bersih</t>
  </si>
  <si>
    <t>Volume</t>
  </si>
  <si>
    <t>Nilai</t>
  </si>
  <si>
    <t>( Ton )/**) 1000 ekr</t>
  </si>
  <si>
    <t>( Rp. 1.000,- )</t>
  </si>
  <si>
    <t>J U M L A H</t>
  </si>
  <si>
    <t>Laut</t>
  </si>
  <si>
    <t>Tambak</t>
  </si>
  <si>
    <t>Kolam</t>
  </si>
  <si>
    <t>Karamba</t>
  </si>
  <si>
    <t>Jaring Apung</t>
  </si>
  <si>
    <t>Mina Padi</t>
  </si>
  <si>
    <t>Ikan Hias **)</t>
  </si>
  <si>
    <t xml:space="preserve">Pembenihan </t>
  </si>
  <si>
    <t xml:space="preserve">PERBENIHAN </t>
  </si>
  <si>
    <t>UNIT PERBENIHAN (Unit)</t>
  </si>
  <si>
    <t xml:space="preserve">BBI </t>
  </si>
  <si>
    <t>UPR</t>
  </si>
  <si>
    <t>HSRT</t>
  </si>
  <si>
    <t>SWASTA</t>
  </si>
  <si>
    <t>PEMBIBIT RULA</t>
  </si>
  <si>
    <t xml:space="preserve"> 1000 ekr/*)ton</t>
  </si>
  <si>
    <t xml:space="preserve">Jumlah </t>
  </si>
  <si>
    <t xml:space="preserve">Perbenihan Air Tawar </t>
  </si>
  <si>
    <t xml:space="preserve">Perbenihan Air Payau </t>
  </si>
  <si>
    <t>-2-</t>
  </si>
  <si>
    <t>TABEL 1.2 : PRODUKSI MENURUT SUB SEKTOR PERIKANAN DAN KABUPATEN/KOTA</t>
  </si>
  <si>
    <t>Fisheries production by sub sector of fisheries and regencies</t>
  </si>
  <si>
    <t xml:space="preserve">Udang_01 (Udang Lainnya) </t>
  </si>
  <si>
    <t xml:space="preserve">Udang_02 (Udang Lainnya) </t>
  </si>
  <si>
    <t>Udang_03 (Udang Lainnya)</t>
  </si>
  <si>
    <t xml:space="preserve">Udang_04 (Udang Lainnya) </t>
  </si>
  <si>
    <t xml:space="preserve">Udang_05 (Udang Lainnya) </t>
  </si>
  <si>
    <t>Ikan_01 (Ikan Lainnya)</t>
  </si>
  <si>
    <t>Ikan_03 (Ikan Lainnya)</t>
  </si>
  <si>
    <t>Ikan_04 (Ikan Lainnya)</t>
  </si>
  <si>
    <t>Ikan_05 (Ikan Lainnya)</t>
  </si>
  <si>
    <t>Tambak Sederhana</t>
  </si>
  <si>
    <t>TW 1 - 4</t>
  </si>
  <si>
    <t>BULAN</t>
  </si>
  <si>
    <t>SEMESTER</t>
  </si>
  <si>
    <t>SMT 1</t>
  </si>
  <si>
    <t>SMT 2</t>
  </si>
  <si>
    <t>SMT1</t>
  </si>
  <si>
    <t>SMT 1 - 2</t>
  </si>
  <si>
    <t xml:space="preserve"> KABUPATEN BLITAR</t>
  </si>
  <si>
    <t xml:space="preserve"> KABUPATEN BOJONEGORO</t>
  </si>
  <si>
    <t xml:space="preserve"> KABUPATEN BONDOWOSO</t>
  </si>
  <si>
    <t xml:space="preserve"> KABUPATEN GRESIK</t>
  </si>
  <si>
    <t xml:space="preserve"> KABUPATEN JEMBER</t>
  </si>
  <si>
    <t xml:space="preserve"> KABUPATEN JOMBANG</t>
  </si>
  <si>
    <t xml:space="preserve"> KABUPATEN KEDIRI</t>
  </si>
  <si>
    <t xml:space="preserve"> KABUPATEN LAMONGAN</t>
  </si>
  <si>
    <t xml:space="preserve"> KABUPATEN LUMAJANG</t>
  </si>
  <si>
    <t xml:space="preserve"> KABUPATEN MADIUN</t>
  </si>
  <si>
    <t xml:space="preserve"> KABUPATEN MAGETAN</t>
  </si>
  <si>
    <t xml:space="preserve"> KABUPATEN MALANG</t>
  </si>
  <si>
    <t xml:space="preserve"> KABUPATEN NGANJUK</t>
  </si>
  <si>
    <t xml:space="preserve"> KABUPATEN MOJOKERTO</t>
  </si>
  <si>
    <t xml:space="preserve"> KABUPATEN NGAWI</t>
  </si>
  <si>
    <t xml:space="preserve"> KABUPATEN PACITAN</t>
  </si>
  <si>
    <t xml:space="preserve"> KABUPATEN PAMEKASAN</t>
  </si>
  <si>
    <t xml:space="preserve"> KABUPATEN PASURUAN</t>
  </si>
  <si>
    <t xml:space="preserve"> KABUPATEN PONOROGO</t>
  </si>
  <si>
    <t xml:space="preserve"> KABUPATEN PROBOLINGGO</t>
  </si>
  <si>
    <t xml:space="preserve"> KABUPATEN SAMPANG</t>
  </si>
  <si>
    <t xml:space="preserve"> KABUPATEN SIDOARJO</t>
  </si>
  <si>
    <t xml:space="preserve"> KABUPATEN SITUBONDO</t>
  </si>
  <si>
    <t xml:space="preserve"> KABUPATEN SUMENEP</t>
  </si>
  <si>
    <t xml:space="preserve"> KABUPATEN TRENGGALEK</t>
  </si>
  <si>
    <t xml:space="preserve"> KABUPATEN TUBAN</t>
  </si>
  <si>
    <t xml:space="preserve"> KABUPATEN TULUNGAGUNG</t>
  </si>
  <si>
    <t xml:space="preserve"> KOTA BATU</t>
  </si>
  <si>
    <t xml:space="preserve"> KOTA KEDIRI</t>
  </si>
  <si>
    <t xml:space="preserve"> KOTA MADIUN</t>
  </si>
  <si>
    <t xml:space="preserve"> KOTA MALANG</t>
  </si>
  <si>
    <t xml:space="preserve"> KOTA MOJOKERTO</t>
  </si>
  <si>
    <t xml:space="preserve"> KOTA PASURUAN</t>
  </si>
  <si>
    <t xml:space="preserve"> KOTA PROBOLINGGO</t>
  </si>
  <si>
    <t xml:space="preserve"> KOTA SURABAYA</t>
  </si>
  <si>
    <t>PRODUKSI BUDIDAYA MENURUT JENIS USAHA DAN TRIWULAN TAHUN 2025</t>
  </si>
  <si>
    <t>MENURUT JENIS USAHA DAN TRIWULAN TAHUN 2025</t>
  </si>
  <si>
    <t>NILAI PRODUKSI BUDIDAYA MENURUT JENIS USAHA, TAHUN 2025</t>
  </si>
  <si>
    <t>NILAI PRODUKSI BUDIDAYA MENURUT TRIWULAN, TAHUN 2025</t>
  </si>
  <si>
    <t>REALISASI PRODUKSI BUDIDAYA TAHUN 2025</t>
  </si>
  <si>
    <t>PRODUKSI BUDIDAYA MENURUT TRIWULAN, TAHUN 2025</t>
  </si>
  <si>
    <t>JUMLAH PER TW PER KAB</t>
  </si>
  <si>
    <t>Gracilaria v.</t>
  </si>
  <si>
    <t xml:space="preserve">Gurami </t>
  </si>
  <si>
    <t xml:space="preserve">Lobster Laut </t>
  </si>
  <si>
    <t>Lobster Tawar</t>
  </si>
  <si>
    <t xml:space="preserve">U. Vaname </t>
  </si>
  <si>
    <t xml:space="preserve">U. Windu </t>
  </si>
  <si>
    <t>E. Cottonii</t>
  </si>
  <si>
    <t xml:space="preserve">Udang_01 (Udang Api-Api) </t>
  </si>
  <si>
    <t>Ikan_02 (Tiram)</t>
  </si>
  <si>
    <t>Ikan_03 (Kerang Darah)</t>
  </si>
  <si>
    <t xml:space="preserve">Udang_02 (Udang Rebon) </t>
  </si>
  <si>
    <t>Ikan_04 (Ikan Keting)</t>
  </si>
  <si>
    <t>Ikan_05 (Ikan betutu)</t>
  </si>
  <si>
    <t xml:space="preserve">Belut Sawah </t>
  </si>
  <si>
    <t>TARGET 2025</t>
  </si>
  <si>
    <t>Capaian Target</t>
  </si>
  <si>
    <t>Lobster</t>
  </si>
  <si>
    <t>Spiny Lobster</t>
  </si>
  <si>
    <t>Lobster Air Tawar</t>
  </si>
  <si>
    <t>Cherax</t>
  </si>
  <si>
    <t>P Kepiting</t>
  </si>
  <si>
    <t>NP Kepiting</t>
  </si>
  <si>
    <t>P KH</t>
  </si>
  <si>
    <t>NP KH</t>
  </si>
  <si>
    <t>P Kerapu C</t>
  </si>
  <si>
    <t>NP Kerapu C</t>
  </si>
  <si>
    <t>P Kerapu M</t>
  </si>
  <si>
    <t>NP Kerapu M</t>
  </si>
  <si>
    <t>P Kerong</t>
  </si>
  <si>
    <t>NP Kerong</t>
  </si>
  <si>
    <t>P Lele</t>
  </si>
  <si>
    <t>NP Lele</t>
  </si>
  <si>
    <t>P Lobster L</t>
  </si>
  <si>
    <t>NP Lobster L</t>
  </si>
  <si>
    <t>P Lobster T</t>
  </si>
  <si>
    <t>NP Lobster T</t>
  </si>
  <si>
    <t>P Mas</t>
  </si>
  <si>
    <t>NP Mas</t>
  </si>
  <si>
    <t>P Mujair</t>
  </si>
  <si>
    <t>P Nila</t>
  </si>
  <si>
    <t>NP Nila</t>
  </si>
  <si>
    <t>P Patin</t>
  </si>
  <si>
    <t>NP Patin</t>
  </si>
  <si>
    <t>P Rajungan</t>
  </si>
  <si>
    <t>NP Rajungan</t>
  </si>
  <si>
    <t>P Tawes</t>
  </si>
  <si>
    <t>NP Tawes</t>
  </si>
  <si>
    <t>P Teri</t>
  </si>
  <si>
    <t>NP Teri</t>
  </si>
  <si>
    <t>P UG</t>
  </si>
  <si>
    <t>NP UG</t>
  </si>
  <si>
    <t>P UP</t>
  </si>
  <si>
    <t>NP UP</t>
  </si>
  <si>
    <t>P UV</t>
  </si>
  <si>
    <t>NP UV</t>
  </si>
  <si>
    <t>P UW</t>
  </si>
  <si>
    <t>NP UW</t>
  </si>
  <si>
    <t>P U01</t>
  </si>
  <si>
    <t>P U02</t>
  </si>
  <si>
    <t>NP U02</t>
  </si>
  <si>
    <t>NP U03</t>
  </si>
  <si>
    <t>P U03</t>
  </si>
  <si>
    <t>NP U04</t>
  </si>
  <si>
    <t>P U04</t>
  </si>
  <si>
    <t>NP U05</t>
  </si>
  <si>
    <t>P U05</t>
  </si>
  <si>
    <t>NP U01</t>
  </si>
  <si>
    <t>P Ikan 01</t>
  </si>
  <si>
    <t>P Ikan 02</t>
  </si>
  <si>
    <t>NP Ikan 01</t>
  </si>
  <si>
    <t>NP Ikan 02</t>
  </si>
  <si>
    <t>P Ikan 03</t>
  </si>
  <si>
    <t>NP Ikan 03</t>
  </si>
  <si>
    <t>P Ikan 04</t>
  </si>
  <si>
    <t>NP Ikan 04</t>
  </si>
  <si>
    <t>P Ikan 05</t>
  </si>
  <si>
    <t>NP Ikan 05</t>
  </si>
  <si>
    <t>NP Bandeng</t>
  </si>
  <si>
    <t>P Bawal</t>
  </si>
  <si>
    <t>NP Bawal</t>
  </si>
  <si>
    <t>P Belanak</t>
  </si>
  <si>
    <t>NP Belanak</t>
  </si>
  <si>
    <t>P Eucheuma cottonii</t>
  </si>
  <si>
    <t>NP Eucheuma cottonii</t>
  </si>
  <si>
    <t>P Gabus</t>
  </si>
  <si>
    <t>NP Gabus</t>
  </si>
  <si>
    <t>P Gracilaria verrucosa</t>
  </si>
  <si>
    <t>NP Gracilaria verrucosa</t>
  </si>
  <si>
    <t>P Gurame</t>
  </si>
  <si>
    <t>NP Gurame</t>
  </si>
  <si>
    <t>P Kakap</t>
  </si>
  <si>
    <t>NP Kakap</t>
  </si>
  <si>
    <t>P Bandeng</t>
  </si>
  <si>
    <t xml:space="preserve">P Mas, Ikan Mas, Karper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</si>
</sst>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2" formatCode="_-&quot;Rp&quot;* #,##0_-;\-&quot;Rp&quot;* #,##0_-;_-&quot;Rp&quot;* &quot;-&quot;_-;_-@_-"/>
    <numFmt numFmtId="41" formatCode="_-* #,##0_-;\-* #,##0_-;_-* &quot;-&quot;_-;_-@_-"/>
    <numFmt numFmtId="43" formatCode="_-* #,##0.00_-;\-* #,##0.00_-;_-* &quot;-&quot;??_-;_-@_-"/>
    <numFmt numFmtId="164" formatCode="_(* #,##0_);_(* \(#,##0\);_(* &quot;-&quot;_);_(@_)"/>
    <numFmt numFmtId="165" formatCode="_(* #,##0.00_);_(* \(#,##0.00\);_(* &quot;-&quot;??_);_(@_)"/>
    <numFmt numFmtId="166" formatCode="_(* #,##0.0_);_(* \(#,##0.0\);_(* &quot;-&quot;??_);_(@_)"/>
    <numFmt numFmtId="167" formatCode="_(* #,##0_);_(* \(#,##0\);_(* &quot;-&quot;??_);_(@_)"/>
    <numFmt numFmtId="168" formatCode="_(* #,##0.000_);_(* \(#,##0.000\);_(* &quot;-&quot;_);_(@_)"/>
    <numFmt numFmtId="169" formatCode="_(* #,##0.0_);_(* \(#,##0.0\);_(* &quot;-&quot;?_);_(@_)"/>
    <numFmt numFmtId="170" formatCode="_(* #,##0.00_);_(* \(#,##0.00\);_(* &quot;-&quot;_);_(@_)"/>
    <numFmt numFmtId="171" formatCode="_(* #,##0_);_(* \(#,##0\);_(* &quot;-&quot;?_);_(@_)"/>
    <numFmt numFmtId="172" formatCode="_-* #,##0.0_-;\-* #,##0.0_-;_-* &quot;-&quot;?_-;_-@_-"/>
  </numFmts>
  <fonts count="104">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8"/>
      <name val="Helv"/>
    </font>
    <font>
      <sz val="10"/>
      <name val="Arial"/>
      <family val="2"/>
    </font>
    <font>
      <sz val="11"/>
      <color theme="1"/>
      <name val="Calibri"/>
      <family val="2"/>
      <scheme val="minor"/>
    </font>
    <font>
      <sz val="9"/>
      <color theme="1"/>
      <name val="Calibri"/>
      <family val="2"/>
    </font>
    <font>
      <b/>
      <sz val="11"/>
      <name val="Calibri"/>
      <family val="2"/>
      <scheme val="minor"/>
    </font>
    <font>
      <sz val="11"/>
      <name val="Calibri"/>
      <family val="2"/>
      <scheme val="minor"/>
    </font>
    <font>
      <b/>
      <sz val="16"/>
      <name val="Tahoma"/>
      <family val="2"/>
    </font>
    <font>
      <sz val="11"/>
      <name val="Arial"/>
      <family val="2"/>
    </font>
    <font>
      <b/>
      <u/>
      <sz val="11"/>
      <name val="Arial"/>
      <family val="2"/>
    </font>
    <font>
      <b/>
      <sz val="11"/>
      <name val="Arial"/>
      <family val="2"/>
    </font>
    <font>
      <i/>
      <sz val="10"/>
      <name val="Arial"/>
      <family val="2"/>
    </font>
    <font>
      <b/>
      <i/>
      <sz val="10"/>
      <name val="Arial"/>
      <family val="2"/>
    </font>
    <font>
      <b/>
      <sz val="11"/>
      <color rgb="FFFF0000"/>
      <name val="Calibri"/>
      <family val="2"/>
      <scheme val="minor"/>
    </font>
    <font>
      <sz val="11"/>
      <color rgb="FFFF0000"/>
      <name val="Calibri"/>
      <family val="2"/>
      <scheme val="minor"/>
    </font>
    <font>
      <b/>
      <sz val="12"/>
      <color rgb="FFFF0000"/>
      <name val="Calibri"/>
      <family val="2"/>
      <scheme val="minor"/>
    </font>
    <font>
      <sz val="12"/>
      <color rgb="FFFF0000"/>
      <name val="Calibri"/>
      <family val="2"/>
      <scheme val="minor"/>
    </font>
    <font>
      <b/>
      <sz val="18"/>
      <color theme="1"/>
      <name val="Calibri"/>
      <family val="2"/>
      <scheme val="minor"/>
    </font>
    <font>
      <b/>
      <i/>
      <sz val="11"/>
      <name val="Arial"/>
      <family val="2"/>
    </font>
    <font>
      <b/>
      <sz val="16"/>
      <name val="Arial"/>
      <family val="2"/>
    </font>
    <font>
      <b/>
      <sz val="10"/>
      <name val="Arial"/>
      <family val="2"/>
    </font>
    <font>
      <b/>
      <sz val="12"/>
      <color theme="1"/>
      <name val="Calibri"/>
      <family val="2"/>
      <scheme val="minor"/>
    </font>
    <font>
      <b/>
      <sz val="12"/>
      <name val="Tahoma"/>
      <family val="2"/>
    </font>
    <font>
      <b/>
      <sz val="11"/>
      <name val="Tahoma"/>
      <family val="2"/>
    </font>
    <font>
      <sz val="11"/>
      <name val="Tahoma"/>
      <family val="2"/>
    </font>
    <font>
      <b/>
      <i/>
      <sz val="11"/>
      <name val="Tahoma"/>
      <family val="2"/>
    </font>
    <font>
      <sz val="12"/>
      <color theme="1"/>
      <name val="Calibri"/>
      <family val="2"/>
      <scheme val="minor"/>
    </font>
    <font>
      <sz val="11"/>
      <color theme="1"/>
      <name val="Calibri"/>
      <family val="2"/>
      <charset val="1"/>
      <scheme val="minor"/>
    </font>
    <font>
      <u/>
      <sz val="11"/>
      <color theme="10"/>
      <name val="Calibri"/>
      <family val="2"/>
      <charset val="1"/>
      <scheme val="minor"/>
    </font>
    <font>
      <b/>
      <sz val="12"/>
      <name val="Calibri"/>
      <family val="2"/>
      <scheme val="minor"/>
    </font>
    <font>
      <sz val="12"/>
      <color theme="1"/>
      <name val="Calibri"/>
      <family val="2"/>
      <charset val="1"/>
      <scheme val="minor"/>
    </font>
    <font>
      <b/>
      <sz val="12"/>
      <name val="Arial"/>
      <family val="2"/>
    </font>
    <font>
      <i/>
      <sz val="12"/>
      <name val="Arial"/>
      <family val="2"/>
    </font>
    <font>
      <sz val="12"/>
      <name val="Arial"/>
      <family val="2"/>
    </font>
    <font>
      <sz val="11"/>
      <color rgb="FFFF0000"/>
      <name val="Calibri"/>
      <family val="2"/>
      <charset val="1"/>
      <scheme val="minor"/>
    </font>
    <font>
      <sz val="11"/>
      <name val="Calibri"/>
      <family val="2"/>
      <charset val="1"/>
      <scheme val="minor"/>
    </font>
    <font>
      <u/>
      <sz val="14"/>
      <color theme="10"/>
      <name val="Calibri"/>
      <family val="2"/>
      <charset val="1"/>
      <scheme val="minor"/>
    </font>
    <font>
      <u/>
      <sz val="16"/>
      <color theme="10"/>
      <name val="Calibri"/>
      <family val="2"/>
      <charset val="1"/>
      <scheme val="minor"/>
    </font>
    <font>
      <b/>
      <sz val="16"/>
      <color rgb="FF92D050"/>
      <name val="Calibri"/>
      <family val="2"/>
      <scheme val="minor"/>
    </font>
    <font>
      <sz val="12"/>
      <name val="Calibri"/>
      <family val="2"/>
      <charset val="1"/>
      <scheme val="minor"/>
    </font>
    <font>
      <b/>
      <u/>
      <sz val="14"/>
      <color rgb="FFFF0000"/>
      <name val="Calibri"/>
      <family val="2"/>
      <scheme val="minor"/>
    </font>
    <font>
      <sz val="10"/>
      <color theme="1"/>
      <name val="Calibri"/>
      <family val="2"/>
      <charset val="1"/>
      <scheme val="minor"/>
    </font>
    <font>
      <b/>
      <sz val="11"/>
      <color theme="1"/>
      <name val="Calibri"/>
      <family val="2"/>
      <charset val="1"/>
      <scheme val="minor"/>
    </font>
    <font>
      <b/>
      <sz val="11"/>
      <color rgb="FFFF0000"/>
      <name val="Calibri"/>
      <family val="2"/>
      <charset val="1"/>
      <scheme val="minor"/>
    </font>
    <font>
      <sz val="9"/>
      <name val="Arial"/>
      <family val="2"/>
    </font>
    <font>
      <b/>
      <sz val="9"/>
      <name val="Arial"/>
      <family val="2"/>
    </font>
    <font>
      <sz val="11"/>
      <color rgb="FFFF0000"/>
      <name val="Arial"/>
      <family val="2"/>
    </font>
    <font>
      <b/>
      <sz val="11"/>
      <color rgb="FFFF0000"/>
      <name val="Arial"/>
      <family val="2"/>
    </font>
    <font>
      <b/>
      <i/>
      <sz val="11"/>
      <color rgb="FFFF0000"/>
      <name val="Arial"/>
      <family val="2"/>
    </font>
    <font>
      <i/>
      <sz val="11"/>
      <color rgb="FFFF0000"/>
      <name val="Arial"/>
      <family val="2"/>
    </font>
    <font>
      <b/>
      <u/>
      <sz val="11"/>
      <color rgb="FFFF0000"/>
      <name val="Arial"/>
      <family val="2"/>
    </font>
    <font>
      <i/>
      <sz val="11"/>
      <color indexed="10"/>
      <name val="Arial"/>
      <family val="2"/>
    </font>
    <font>
      <i/>
      <sz val="10"/>
      <color rgb="FFFF0000"/>
      <name val="Arial"/>
      <family val="2"/>
    </font>
    <font>
      <b/>
      <sz val="12"/>
      <color rgb="FFFF0000"/>
      <name val="Arial"/>
      <family val="2"/>
    </font>
    <font>
      <sz val="8"/>
      <color rgb="FFFF0000"/>
      <name val="Helv"/>
    </font>
    <font>
      <b/>
      <sz val="9"/>
      <color rgb="FFFF0000"/>
      <name val="Arial"/>
      <family val="2"/>
    </font>
    <font>
      <b/>
      <sz val="14"/>
      <name val="Arial"/>
      <family val="2"/>
    </font>
    <font>
      <b/>
      <i/>
      <sz val="10"/>
      <color rgb="FFFF0000"/>
      <name val="Arial"/>
      <family val="2"/>
    </font>
    <font>
      <sz val="12"/>
      <color rgb="FFFF0000"/>
      <name val="Arial"/>
      <family val="2"/>
    </font>
    <font>
      <sz val="12"/>
      <name val="Helv"/>
    </font>
    <font>
      <i/>
      <sz val="12"/>
      <color rgb="FFFF0000"/>
      <name val="Arial"/>
      <family val="2"/>
    </font>
    <font>
      <b/>
      <sz val="10"/>
      <color rgb="FFFF0000"/>
      <name val="Arial"/>
      <family val="2"/>
    </font>
    <font>
      <sz val="11"/>
      <color rgb="FFFF0000"/>
      <name val="Helv"/>
    </font>
    <font>
      <b/>
      <sz val="11"/>
      <color rgb="FFFF0000"/>
      <name val="Helv"/>
    </font>
    <font>
      <sz val="10"/>
      <color rgb="FFFF0000"/>
      <name val="Arial"/>
      <family val="2"/>
    </font>
    <font>
      <b/>
      <i/>
      <sz val="11"/>
      <color theme="1"/>
      <name val="Calibri"/>
      <family val="2"/>
      <scheme val="minor"/>
    </font>
    <font>
      <sz val="12"/>
      <name val="Tahoma"/>
      <family val="2"/>
    </font>
    <font>
      <sz val="11"/>
      <color theme="1"/>
      <name val="Calibri"/>
      <family val="2"/>
      <scheme val="minor"/>
    </font>
    <font>
      <sz val="11"/>
      <color theme="1"/>
      <name val="Calibri"/>
      <family val="2"/>
      <scheme val="minor"/>
    </font>
    <font>
      <sz val="8"/>
      <name val="Helv"/>
      <charset val="134"/>
    </font>
    <font>
      <sz val="11"/>
      <color theme="1"/>
      <name val="Calibri"/>
      <family val="2"/>
      <scheme val="minor"/>
    </font>
    <font>
      <b/>
      <sz val="14"/>
      <color theme="1"/>
      <name val="Calibri"/>
      <family val="2"/>
      <scheme val="minor"/>
    </font>
    <font>
      <b/>
      <sz val="22"/>
      <color theme="1"/>
      <name val="Calibri"/>
      <family val="2"/>
      <scheme val="minor"/>
    </font>
    <font>
      <b/>
      <sz val="14"/>
      <color rgb="FFFF0000"/>
      <name val="Calibri"/>
      <family val="2"/>
      <scheme val="minor"/>
    </font>
    <font>
      <b/>
      <sz val="16"/>
      <color theme="1"/>
      <name val="Calibri"/>
      <family val="2"/>
      <scheme val="minor"/>
    </font>
    <font>
      <b/>
      <i/>
      <sz val="12"/>
      <name val="Arial"/>
      <family val="2"/>
    </font>
    <font>
      <b/>
      <sz val="12"/>
      <name val="Arial Black"/>
      <family val="2"/>
    </font>
    <font>
      <i/>
      <sz val="11"/>
      <name val="Arial"/>
      <family val="2"/>
    </font>
    <font>
      <b/>
      <sz val="14"/>
      <color rgb="FFFF0000"/>
      <name val="Arial"/>
      <family val="2"/>
    </font>
    <font>
      <sz val="9"/>
      <color rgb="FFFF0000"/>
      <name val="Arial"/>
      <family val="2"/>
    </font>
    <font>
      <sz val="8"/>
      <name val="Calibri"/>
      <family val="2"/>
      <charset val="1"/>
      <scheme val="minor"/>
    </font>
    <font>
      <sz val="11"/>
      <color rgb="FF000000"/>
      <name val="Calibri"/>
      <family val="2"/>
      <scheme val="minor"/>
    </font>
    <font>
      <sz val="9"/>
      <color indexed="81"/>
      <name val="Tahoma"/>
      <family val="2"/>
    </font>
    <font>
      <b/>
      <sz val="9"/>
      <color indexed="81"/>
      <name val="Tahoma"/>
      <family val="2"/>
    </font>
    <font>
      <b/>
      <sz val="12"/>
      <color rgb="FFFF0000"/>
      <name val="Calibri"/>
      <family val="2"/>
      <charset val="1"/>
      <scheme val="minor"/>
    </font>
    <font>
      <b/>
      <sz val="11"/>
      <name val="Helv"/>
    </font>
    <font>
      <sz val="11"/>
      <color theme="1"/>
      <name val="Arial Narrow"/>
      <family val="2"/>
    </font>
    <font>
      <sz val="7"/>
      <color theme="1"/>
      <name val="Roboto"/>
    </font>
  </fonts>
  <fills count="13">
    <fill>
      <patternFill patternType="none"/>
    </fill>
    <fill>
      <patternFill patternType="gray125"/>
    </fill>
    <fill>
      <patternFill patternType="solid">
        <fgColor rgb="FFFFFFCC"/>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8" tint="0.39997558519241921"/>
        <bgColor indexed="64"/>
      </patternFill>
    </fill>
  </fills>
  <borders count="188">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thin">
        <color indexed="8"/>
      </right>
      <top/>
      <bottom/>
      <diagonal/>
    </border>
    <border>
      <left style="thin">
        <color indexed="8"/>
      </left>
      <right style="thin">
        <color indexed="8"/>
      </right>
      <top/>
      <bottom/>
      <diagonal/>
    </border>
    <border>
      <left style="thin">
        <color indexed="8"/>
      </left>
      <right/>
      <top style="thin">
        <color indexed="8"/>
      </top>
      <bottom/>
      <diagonal/>
    </border>
    <border>
      <left style="thin">
        <color indexed="64"/>
      </left>
      <right style="medium">
        <color indexed="64"/>
      </right>
      <top style="thin">
        <color indexed="8"/>
      </top>
      <bottom/>
      <diagonal/>
    </border>
    <border>
      <left style="thin">
        <color indexed="8"/>
      </left>
      <right/>
      <top/>
      <bottom/>
      <diagonal/>
    </border>
    <border>
      <left style="thin">
        <color indexed="64"/>
      </left>
      <right style="medium">
        <color indexed="64"/>
      </right>
      <top/>
      <bottom/>
      <diagonal/>
    </border>
    <border>
      <left style="medium">
        <color indexed="64"/>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64"/>
      </left>
      <right style="medium">
        <color indexed="64"/>
      </right>
      <top/>
      <bottom style="thin">
        <color indexed="8"/>
      </bottom>
      <diagonal/>
    </border>
    <border>
      <left style="thin">
        <color indexed="8"/>
      </left>
      <right style="thin">
        <color indexed="8"/>
      </right>
      <top style="thin">
        <color indexed="8"/>
      </top>
      <bottom style="thin">
        <color indexed="64"/>
      </bottom>
      <diagonal/>
    </border>
    <border>
      <left style="medium">
        <color indexed="64"/>
      </left>
      <right style="thin">
        <color indexed="8"/>
      </right>
      <top/>
      <bottom style="medium">
        <color indexed="64"/>
      </bottom>
      <diagonal/>
    </border>
    <border>
      <left style="thin">
        <color indexed="64"/>
      </left>
      <right style="thin">
        <color indexed="64"/>
      </right>
      <top/>
      <bottom style="medium">
        <color indexed="64"/>
      </bottom>
      <diagonal/>
    </border>
    <border>
      <left style="thin">
        <color indexed="8"/>
      </left>
      <right/>
      <top style="thin">
        <color indexed="8"/>
      </top>
      <bottom style="thin">
        <color indexed="64"/>
      </bottom>
      <diagonal/>
    </border>
    <border>
      <left style="thin">
        <color indexed="8"/>
      </left>
      <right style="medium">
        <color indexed="64"/>
      </right>
      <top/>
      <bottom/>
      <diagonal/>
    </border>
    <border>
      <left style="thin">
        <color indexed="64"/>
      </left>
      <right style="thin">
        <color indexed="8"/>
      </right>
      <top/>
      <bottom style="medium">
        <color indexed="64"/>
      </bottom>
      <diagonal/>
    </border>
    <border>
      <left/>
      <right/>
      <top style="medium">
        <color indexed="64"/>
      </top>
      <bottom/>
      <diagonal/>
    </border>
    <border>
      <left style="thin">
        <color indexed="64"/>
      </left>
      <right style="medium">
        <color indexed="64"/>
      </right>
      <top style="medium">
        <color indexed="64"/>
      </top>
      <bottom/>
      <diagonal/>
    </border>
    <border>
      <left style="thin">
        <color indexed="8"/>
      </left>
      <right style="thin">
        <color indexed="8"/>
      </right>
      <top style="thin">
        <color indexed="8"/>
      </top>
      <bottom/>
      <diagonal/>
    </border>
    <border>
      <left style="thin">
        <color indexed="8"/>
      </left>
      <right style="medium">
        <color indexed="64"/>
      </right>
      <top style="thin">
        <color indexed="8"/>
      </top>
      <bottom style="thin">
        <color indexed="64"/>
      </bottom>
      <diagonal/>
    </border>
    <border>
      <left style="thin">
        <color indexed="64"/>
      </left>
      <right style="medium">
        <color indexed="64"/>
      </right>
      <top/>
      <bottom style="medium">
        <color indexed="64"/>
      </bottom>
      <diagonal/>
    </border>
    <border>
      <left style="thin">
        <color indexed="8"/>
      </left>
      <right style="thin">
        <color indexed="64"/>
      </right>
      <top/>
      <bottom style="medium">
        <color indexed="8"/>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right style="medium">
        <color indexed="64"/>
      </right>
      <top/>
      <bottom style="double">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double">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64"/>
      </right>
      <top style="double">
        <color indexed="64"/>
      </top>
      <bottom style="double">
        <color indexed="64"/>
      </bottom>
      <diagonal/>
    </border>
    <border>
      <left style="thin">
        <color indexed="8"/>
      </left>
      <right style="medium">
        <color indexed="64"/>
      </right>
      <top style="thin">
        <color indexed="8"/>
      </top>
      <bottom/>
      <diagonal/>
    </border>
    <border>
      <left style="thin">
        <color indexed="8"/>
      </left>
      <right style="medium">
        <color indexed="8"/>
      </right>
      <top style="medium">
        <color indexed="64"/>
      </top>
      <bottom/>
      <diagonal/>
    </border>
    <border>
      <left style="thin">
        <color indexed="8"/>
      </left>
      <right style="medium">
        <color indexed="8"/>
      </right>
      <top/>
      <bottom style="thin">
        <color indexed="8"/>
      </bottom>
      <diagonal/>
    </border>
    <border>
      <left/>
      <right style="thin">
        <color indexed="8"/>
      </right>
      <top style="medium">
        <color indexed="64"/>
      </top>
      <bottom/>
      <diagonal/>
    </border>
    <border>
      <left/>
      <right style="thin">
        <color indexed="8"/>
      </right>
      <top/>
      <bottom/>
      <diagonal/>
    </border>
    <border>
      <left style="thin">
        <color indexed="8"/>
      </left>
      <right style="medium">
        <color indexed="8"/>
      </right>
      <top style="thin">
        <color indexed="8"/>
      </top>
      <bottom/>
      <diagonal/>
    </border>
    <border>
      <left style="thin">
        <color indexed="8"/>
      </left>
      <right style="medium">
        <color indexed="8"/>
      </right>
      <top/>
      <bottom/>
      <diagonal/>
    </border>
    <border>
      <left style="medium">
        <color indexed="64"/>
      </left>
      <right/>
      <top style="double">
        <color indexed="64"/>
      </top>
      <bottom style="double">
        <color indexed="64"/>
      </bottom>
      <diagonal/>
    </border>
    <border>
      <left style="medium">
        <color indexed="8"/>
      </left>
      <right style="thin">
        <color indexed="8"/>
      </right>
      <top style="thin">
        <color indexed="8"/>
      </top>
      <bottom/>
      <diagonal/>
    </border>
    <border>
      <left style="medium">
        <color indexed="8"/>
      </left>
      <right style="thin">
        <color indexed="8"/>
      </right>
      <top/>
      <bottom/>
      <diagonal/>
    </border>
    <border>
      <left style="medium">
        <color indexed="8"/>
      </left>
      <right style="thin">
        <color indexed="8"/>
      </right>
      <top style="double">
        <color auto="1"/>
      </top>
      <bottom style="double">
        <color auto="1"/>
      </bottom>
      <diagonal/>
    </border>
    <border>
      <left style="medium">
        <color indexed="8"/>
      </left>
      <right/>
      <top style="medium">
        <color indexed="64"/>
      </top>
      <bottom/>
      <diagonal/>
    </border>
    <border>
      <left/>
      <right style="medium">
        <color indexed="8"/>
      </right>
      <top style="medium">
        <color indexed="64"/>
      </top>
      <bottom/>
      <diagonal/>
    </border>
    <border>
      <left style="medium">
        <color indexed="8"/>
      </left>
      <right/>
      <top/>
      <bottom style="thin">
        <color indexed="8"/>
      </bottom>
      <diagonal/>
    </border>
    <border>
      <left/>
      <right style="medium">
        <color indexed="8"/>
      </right>
      <top/>
      <bottom style="thin">
        <color indexed="8"/>
      </bottom>
      <diagonal/>
    </border>
    <border>
      <left/>
      <right style="thin">
        <color indexed="8"/>
      </right>
      <top/>
      <bottom style="thin">
        <color indexed="8"/>
      </bottom>
      <diagonal/>
    </border>
    <border>
      <left style="medium">
        <color indexed="64"/>
      </left>
      <right style="medium">
        <color indexed="8"/>
      </right>
      <top style="medium">
        <color indexed="64"/>
      </top>
      <bottom/>
      <diagonal/>
    </border>
    <border>
      <left style="medium">
        <color indexed="64"/>
      </left>
      <right style="medium">
        <color indexed="8"/>
      </right>
      <top/>
      <bottom/>
      <diagonal/>
    </border>
    <border>
      <left style="medium">
        <color indexed="64"/>
      </left>
      <right style="medium">
        <color indexed="8"/>
      </right>
      <top style="double">
        <color auto="1"/>
      </top>
      <bottom style="double">
        <color auto="1"/>
      </bottom>
      <diagonal/>
    </border>
    <border>
      <left style="medium">
        <color indexed="8"/>
      </left>
      <right style="thin">
        <color indexed="64"/>
      </right>
      <top style="medium">
        <color indexed="64"/>
      </top>
      <bottom/>
      <diagonal/>
    </border>
    <border>
      <left style="medium">
        <color indexed="8"/>
      </left>
      <right style="thin">
        <color indexed="64"/>
      </right>
      <top/>
      <bottom/>
      <diagonal/>
    </border>
    <border>
      <left style="medium">
        <color indexed="64"/>
      </left>
      <right/>
      <top/>
      <bottom style="thin">
        <color indexed="64"/>
      </bottom>
      <diagonal/>
    </border>
    <border>
      <left style="medium">
        <color indexed="64"/>
      </left>
      <right style="medium">
        <color indexed="8"/>
      </right>
      <top/>
      <bottom style="thin">
        <color indexed="64"/>
      </bottom>
      <diagonal/>
    </border>
    <border>
      <left style="medium">
        <color indexed="8"/>
      </left>
      <right style="thin">
        <color indexed="8"/>
      </right>
      <top/>
      <bottom style="thin">
        <color indexed="64"/>
      </bottom>
      <diagonal/>
    </border>
    <border>
      <left style="thin">
        <color indexed="8"/>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8"/>
      </right>
      <top/>
      <bottom style="thin">
        <color indexed="64"/>
      </bottom>
      <diagonal/>
    </border>
    <border>
      <left style="thin">
        <color indexed="8"/>
      </left>
      <right style="thin">
        <color indexed="8"/>
      </right>
      <top/>
      <bottom style="thin">
        <color indexed="64"/>
      </bottom>
      <diagonal/>
    </border>
    <border>
      <left style="thin">
        <color indexed="8"/>
      </left>
      <right style="medium">
        <color indexed="8"/>
      </right>
      <top/>
      <bottom style="thin">
        <color indexed="64"/>
      </bottom>
      <diagonal/>
    </border>
    <border>
      <left style="medium">
        <color indexed="64"/>
      </left>
      <right style="thin">
        <color indexed="64"/>
      </right>
      <top/>
      <bottom style="medium">
        <color indexed="64"/>
      </bottom>
      <diagonal/>
    </border>
    <border>
      <left style="thin">
        <color indexed="8"/>
      </left>
      <right/>
      <top style="medium">
        <color indexed="64"/>
      </top>
      <bottom/>
      <diagonal/>
    </border>
    <border>
      <left style="medium">
        <color indexed="64"/>
      </left>
      <right/>
      <top/>
      <bottom style="thin">
        <color indexed="8"/>
      </bottom>
      <diagonal/>
    </border>
    <border>
      <left/>
      <right/>
      <top style="thin">
        <color indexed="8"/>
      </top>
      <bottom/>
      <diagonal/>
    </border>
    <border>
      <left/>
      <right/>
      <top/>
      <bottom style="thin">
        <color indexed="8"/>
      </bottom>
      <diagonal/>
    </border>
    <border>
      <left style="thin">
        <color indexed="64"/>
      </left>
      <right/>
      <top style="thin">
        <color indexed="8"/>
      </top>
      <bottom/>
      <diagonal/>
    </border>
    <border>
      <left style="thin">
        <color indexed="64"/>
      </left>
      <right/>
      <top/>
      <bottom style="thin">
        <color indexed="8"/>
      </bottom>
      <diagonal/>
    </border>
    <border>
      <left/>
      <right style="medium">
        <color indexed="64"/>
      </right>
      <top/>
      <bottom style="thin">
        <color indexed="8"/>
      </bottom>
      <diagonal/>
    </border>
    <border>
      <left style="thin">
        <color indexed="8"/>
      </left>
      <right style="medium">
        <color indexed="8"/>
      </right>
      <top style="thin">
        <color indexed="8"/>
      </top>
      <bottom style="thin">
        <color indexed="64"/>
      </bottom>
      <diagonal/>
    </border>
    <border>
      <left style="thin">
        <color indexed="8"/>
      </left>
      <right style="thin">
        <color indexed="64"/>
      </right>
      <top style="thin">
        <color indexed="8"/>
      </top>
      <bottom/>
      <diagonal/>
    </border>
    <border>
      <left style="medium">
        <color indexed="64"/>
      </left>
      <right/>
      <top style="thin">
        <color indexed="8"/>
      </top>
      <bottom/>
      <diagonal/>
    </border>
    <border>
      <left style="medium">
        <color indexed="64"/>
      </left>
      <right style="thin">
        <color indexed="8"/>
      </right>
      <top style="thin">
        <color indexed="8"/>
      </top>
      <bottom/>
      <diagonal/>
    </border>
    <border>
      <left style="thin">
        <color indexed="8"/>
      </left>
      <right style="thin">
        <color indexed="64"/>
      </right>
      <top/>
      <bottom/>
      <diagonal/>
    </border>
    <border>
      <left style="thin">
        <color indexed="8"/>
      </left>
      <right style="thin">
        <color indexed="64"/>
      </right>
      <top/>
      <bottom style="thin">
        <color indexed="8"/>
      </bottom>
      <diagonal/>
    </border>
    <border>
      <left style="thin">
        <color indexed="8"/>
      </left>
      <right style="medium">
        <color indexed="64"/>
      </right>
      <top/>
      <bottom style="thin">
        <color indexed="8"/>
      </bottom>
      <diagonal/>
    </border>
    <border>
      <left/>
      <right style="thin">
        <color indexed="8"/>
      </right>
      <top style="thin">
        <color indexed="8"/>
      </top>
      <bottom style="thin">
        <color indexed="64"/>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64"/>
      </top>
      <bottom/>
      <diagonal/>
    </border>
    <border>
      <left style="thin">
        <color indexed="8"/>
      </left>
      <right style="medium">
        <color indexed="64"/>
      </right>
      <top style="thin">
        <color indexed="64"/>
      </top>
      <bottom/>
      <diagonal/>
    </border>
    <border>
      <left style="thin">
        <color indexed="64"/>
      </left>
      <right style="thin">
        <color indexed="8"/>
      </right>
      <top/>
      <bottom/>
      <diagonal/>
    </border>
    <border>
      <left/>
      <right style="thin">
        <color indexed="8"/>
      </right>
      <top/>
      <bottom style="medium">
        <color indexed="64"/>
      </bottom>
      <diagonal/>
    </border>
    <border>
      <left style="thin">
        <color indexed="8"/>
      </left>
      <right style="thin">
        <color indexed="8"/>
      </right>
      <top/>
      <bottom style="medium">
        <color indexed="64"/>
      </bottom>
      <diagonal/>
    </border>
    <border>
      <left style="thin">
        <color indexed="8"/>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8"/>
      </top>
      <bottom/>
      <diagonal/>
    </border>
    <border>
      <left style="thin">
        <color indexed="64"/>
      </left>
      <right style="thin">
        <color indexed="64"/>
      </right>
      <top style="thin">
        <color indexed="8"/>
      </top>
      <bottom/>
      <diagonal/>
    </border>
    <border>
      <left style="medium">
        <color indexed="64"/>
      </left>
      <right style="thin">
        <color indexed="64"/>
      </right>
      <top/>
      <bottom style="thin">
        <color indexed="8"/>
      </bottom>
      <diagonal/>
    </border>
    <border>
      <left style="thin">
        <color indexed="64"/>
      </left>
      <right style="thin">
        <color indexed="64"/>
      </right>
      <top/>
      <bottom style="thin">
        <color indexed="8"/>
      </bottom>
      <diagonal/>
    </border>
    <border>
      <left style="thin">
        <color indexed="64"/>
      </left>
      <right style="thin">
        <color indexed="8"/>
      </right>
      <top style="thin">
        <color indexed="8"/>
      </top>
      <bottom style="thin">
        <color indexed="64"/>
      </bottom>
      <diagonal/>
    </border>
    <border>
      <left style="medium">
        <color indexed="64"/>
      </left>
      <right style="thin">
        <color indexed="64"/>
      </right>
      <top style="thin">
        <color indexed="8"/>
      </top>
      <bottom style="thin">
        <color indexed="64"/>
      </bottom>
      <diagonal/>
    </border>
    <border>
      <left style="thin">
        <color indexed="64"/>
      </left>
      <right style="thin">
        <color indexed="64"/>
      </right>
      <top style="thin">
        <color indexed="8"/>
      </top>
      <bottom style="thin">
        <color indexed="64"/>
      </bottom>
      <diagonal/>
    </border>
    <border>
      <left style="thin">
        <color indexed="64"/>
      </left>
      <right style="medium">
        <color indexed="64"/>
      </right>
      <top style="thin">
        <color indexed="8"/>
      </top>
      <bottom style="thin">
        <color indexed="64"/>
      </bottom>
      <diagonal/>
    </border>
    <border>
      <left style="thin">
        <color indexed="8"/>
      </left>
      <right style="thin">
        <color indexed="8"/>
      </right>
      <top/>
      <bottom style="medium">
        <color indexed="8"/>
      </bottom>
      <diagonal/>
    </border>
    <border>
      <left style="thin">
        <color indexed="8"/>
      </left>
      <right style="medium">
        <color indexed="64"/>
      </right>
      <top/>
      <bottom style="medium">
        <color indexed="8"/>
      </bottom>
      <diagonal/>
    </border>
    <border>
      <left/>
      <right/>
      <top/>
      <bottom style="medium">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8"/>
      </left>
      <right/>
      <top/>
      <bottom style="thin">
        <color indexed="64"/>
      </bottom>
      <diagonal/>
    </border>
    <border>
      <left style="thin">
        <color indexed="8"/>
      </left>
      <right style="thin">
        <color indexed="64"/>
      </right>
      <top/>
      <bottom style="thin">
        <color indexed="64"/>
      </bottom>
      <diagonal/>
    </border>
    <border>
      <left style="medium">
        <color indexed="64"/>
      </left>
      <right/>
      <top style="thin">
        <color indexed="64"/>
      </top>
      <bottom/>
      <diagonal/>
    </border>
    <border>
      <left/>
      <right style="thin">
        <color indexed="8"/>
      </right>
      <top style="thin">
        <color indexed="64"/>
      </top>
      <bottom/>
      <diagonal/>
    </border>
    <border>
      <left/>
      <right style="thin">
        <color indexed="64"/>
      </right>
      <top/>
      <bottom style="thin">
        <color indexed="8"/>
      </bottom>
      <diagonal/>
    </border>
    <border>
      <left style="thin">
        <color indexed="8"/>
      </left>
      <right style="thin">
        <color indexed="64"/>
      </right>
      <top/>
      <bottom style="medium">
        <color indexed="64"/>
      </bottom>
      <diagonal/>
    </border>
    <border>
      <left/>
      <right style="thin">
        <color indexed="8"/>
      </right>
      <top style="medium">
        <color indexed="64"/>
      </top>
      <bottom style="thin">
        <color indexed="8"/>
      </bottom>
      <diagonal/>
    </border>
    <border>
      <left style="thin">
        <color indexed="8"/>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8"/>
      </left>
      <right style="thin">
        <color indexed="64"/>
      </right>
      <top style="thin">
        <color indexed="64"/>
      </top>
      <bottom/>
      <diagonal/>
    </border>
    <border>
      <left style="thin">
        <color indexed="64"/>
      </left>
      <right style="medium">
        <color indexed="64"/>
      </right>
      <top/>
      <bottom style="medium">
        <color indexed="8"/>
      </bottom>
      <diagonal/>
    </border>
    <border>
      <left style="medium">
        <color indexed="64"/>
      </left>
      <right style="thin">
        <color indexed="8"/>
      </right>
      <top/>
      <bottom style="medium">
        <color indexed="8"/>
      </bottom>
      <diagonal/>
    </border>
    <border>
      <left style="thin">
        <color auto="1"/>
      </left>
      <right/>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8"/>
      </right>
      <top style="thin">
        <color indexed="8"/>
      </top>
      <bottom/>
      <diagonal/>
    </border>
    <border>
      <left style="thin">
        <color indexed="64"/>
      </left>
      <right style="thin">
        <color indexed="8"/>
      </right>
      <top/>
      <bottom style="thin">
        <color indexed="8"/>
      </bottom>
      <diagonal/>
    </border>
    <border>
      <left style="thin">
        <color indexed="8"/>
      </left>
      <right/>
      <top style="thin">
        <color indexed="64"/>
      </top>
      <bottom/>
      <diagonal/>
    </border>
    <border>
      <left style="thin">
        <color indexed="8"/>
      </left>
      <right/>
      <top/>
      <bottom style="medium">
        <color indexed="8"/>
      </bottom>
      <diagonal/>
    </border>
    <border>
      <left style="thin">
        <color indexed="64"/>
      </left>
      <right style="thin">
        <color indexed="64"/>
      </right>
      <top/>
      <bottom style="medium">
        <color indexed="8"/>
      </bottom>
      <diagonal/>
    </border>
    <border>
      <left/>
      <right style="thin">
        <color indexed="64"/>
      </right>
      <top style="thin">
        <color indexed="64"/>
      </top>
      <bottom/>
      <diagonal/>
    </border>
    <border>
      <left style="thin">
        <color indexed="64"/>
      </left>
      <right style="thin">
        <color indexed="8"/>
      </right>
      <top style="thin">
        <color indexed="64"/>
      </top>
      <bottom/>
      <diagonal/>
    </border>
    <border>
      <left/>
      <right style="thin">
        <color indexed="64"/>
      </right>
      <top/>
      <bottom style="thin">
        <color indexed="64"/>
      </bottom>
      <diagonal/>
    </border>
    <border>
      <left style="thin">
        <color indexed="64"/>
      </left>
      <right style="medium">
        <color indexed="8"/>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8"/>
      </right>
      <top/>
      <bottom style="thin">
        <color indexed="64"/>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top style="thin">
        <color indexed="8"/>
      </top>
      <bottom style="medium">
        <color indexed="64"/>
      </bottom>
      <diagonal/>
    </border>
    <border>
      <left/>
      <right style="thin">
        <color indexed="8"/>
      </right>
      <top style="thin">
        <color indexed="8"/>
      </top>
      <bottom style="medium">
        <color indexed="64"/>
      </bottom>
      <diagonal/>
    </border>
    <border>
      <left/>
      <right style="medium">
        <color indexed="64"/>
      </right>
      <top style="thin">
        <color indexed="8"/>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thin">
        <color indexed="8"/>
      </left>
      <right style="medium">
        <color indexed="8"/>
      </right>
      <top/>
      <bottom style="medium">
        <color indexed="64"/>
      </bottom>
      <diagonal/>
    </border>
    <border>
      <left style="thin">
        <color indexed="8"/>
      </left>
      <right style="medium">
        <color auto="1"/>
      </right>
      <top style="thin">
        <color indexed="64"/>
      </top>
      <bottom/>
      <diagonal/>
    </border>
    <border>
      <left style="thin">
        <color indexed="8"/>
      </left>
      <right style="medium">
        <color auto="1"/>
      </right>
      <top/>
      <bottom/>
      <diagonal/>
    </border>
    <border>
      <left style="thin">
        <color indexed="8"/>
      </left>
      <right style="medium">
        <color auto="1"/>
      </right>
      <top/>
      <bottom style="medium">
        <color indexed="64"/>
      </bottom>
      <diagonal/>
    </border>
    <border>
      <left style="medium">
        <color rgb="FFCCCCCC"/>
      </left>
      <right style="medium">
        <color rgb="FFCCCCCC"/>
      </right>
      <top style="medium">
        <color rgb="FFCCCCCC"/>
      </top>
      <bottom style="medium">
        <color rgb="FFCCCCCC"/>
      </bottom>
      <diagonal/>
    </border>
    <border>
      <left style="medium">
        <color indexed="8"/>
      </left>
      <right/>
      <top/>
      <bottom/>
      <diagonal/>
    </border>
    <border>
      <left style="thin">
        <color indexed="64"/>
      </left>
      <right style="thin">
        <color indexed="64"/>
      </right>
      <top style="hair">
        <color indexed="64"/>
      </top>
      <bottom style="hair">
        <color indexed="64"/>
      </bottom>
      <diagonal/>
    </border>
    <border>
      <left style="medium">
        <color indexed="8"/>
      </left>
      <right/>
      <top style="thin">
        <color indexed="64"/>
      </top>
      <bottom/>
      <diagonal/>
    </border>
    <border>
      <left style="medium">
        <color indexed="8"/>
      </left>
      <right/>
      <top/>
      <bottom style="medium">
        <color indexed="8"/>
      </bottom>
      <diagonal/>
    </border>
    <border>
      <left style="medium">
        <color auto="1"/>
      </left>
      <right style="thin">
        <color indexed="8"/>
      </right>
      <top style="thin">
        <color indexed="64"/>
      </top>
      <bottom/>
      <diagonal/>
    </border>
    <border>
      <left style="medium">
        <color auto="1"/>
      </left>
      <right style="thin">
        <color indexed="8"/>
      </right>
      <top/>
      <bottom/>
      <diagonal/>
    </border>
    <border>
      <left style="medium">
        <color auto="1"/>
      </left>
      <right style="thin">
        <color indexed="8"/>
      </right>
      <top/>
      <bottom style="medium">
        <color indexed="8"/>
      </bottom>
      <diagonal/>
    </border>
    <border>
      <left/>
      <right style="thin">
        <color indexed="64"/>
      </right>
      <top style="thin">
        <color indexed="8"/>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s>
  <cellStyleXfs count="92">
    <xf numFmtId="0" fontId="0" fillId="0" borderId="0"/>
    <xf numFmtId="0" fontId="17" fillId="0" borderId="0"/>
    <xf numFmtId="165" fontId="18" fillId="0" borderId="0" applyFont="0" applyFill="0" applyBorder="0" applyAlignment="0" applyProtection="0"/>
    <xf numFmtId="164" fontId="18" fillId="0" borderId="0" applyFont="0" applyFill="0" applyBorder="0" applyAlignment="0" applyProtection="0"/>
    <xf numFmtId="0" fontId="20" fillId="0" borderId="0"/>
    <xf numFmtId="0" fontId="20" fillId="2" borderId="1" applyNumberFormat="0" applyFont="0" applyAlignment="0" applyProtection="0"/>
    <xf numFmtId="41" fontId="20" fillId="0" borderId="0" applyFont="0" applyFill="0" applyBorder="0" applyAlignment="0" applyProtection="0"/>
    <xf numFmtId="165" fontId="2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0" fontId="19" fillId="0" borderId="0"/>
    <xf numFmtId="0" fontId="19" fillId="0" borderId="0"/>
    <xf numFmtId="0" fontId="19" fillId="2" borderId="1" applyNumberFormat="0" applyFont="0" applyAlignment="0" applyProtection="0"/>
    <xf numFmtId="0" fontId="19" fillId="2" borderId="1" applyNumberFormat="0" applyFont="0" applyAlignment="0" applyProtection="0"/>
    <xf numFmtId="0" fontId="19" fillId="2" borderId="1" applyNumberFormat="0" applyFont="0" applyAlignment="0" applyProtection="0"/>
    <xf numFmtId="42" fontId="20" fillId="0" borderId="0" applyFont="0" applyFill="0" applyBorder="0" applyAlignment="0" applyProtection="0"/>
    <xf numFmtId="164" fontId="43" fillId="0" borderId="0" applyFont="0" applyFill="0" applyBorder="0" applyAlignment="0" applyProtection="0"/>
    <xf numFmtId="0" fontId="44" fillId="0" borderId="0" applyNumberFormat="0" applyFill="0" applyBorder="0" applyAlignment="0" applyProtection="0"/>
    <xf numFmtId="0" fontId="75" fillId="0" borderId="0"/>
    <xf numFmtId="165" fontId="43" fillId="0" borderId="0" applyFont="0" applyFill="0" applyBorder="0" applyAlignment="0" applyProtection="0"/>
    <xf numFmtId="41" fontId="43" fillId="0" borderId="0" applyFont="0" applyFill="0" applyBorder="0" applyAlignment="0" applyProtection="0"/>
    <xf numFmtId="43" fontId="18" fillId="0" borderId="0" applyFont="0" applyFill="0" applyBorder="0" applyAlignment="0" applyProtection="0"/>
    <xf numFmtId="41" fontId="18" fillId="0" borderId="0" applyFont="0" applyFill="0" applyBorder="0" applyAlignment="0" applyProtection="0"/>
    <xf numFmtId="41" fontId="20" fillId="0" borderId="0" applyFont="0" applyFill="0" applyBorder="0" applyAlignment="0" applyProtection="0"/>
    <xf numFmtId="43" fontId="20"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2" borderId="1" applyNumberFormat="0" applyFont="0" applyAlignment="0" applyProtection="0"/>
    <xf numFmtId="0" fontId="15" fillId="2" borderId="1" applyNumberFormat="0" applyFont="0" applyAlignment="0" applyProtection="0"/>
    <xf numFmtId="0" fontId="15" fillId="2" borderId="1" applyNumberFormat="0" applyFont="0" applyAlignment="0" applyProtection="0"/>
    <xf numFmtId="42" fontId="20"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1" fontId="2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2" borderId="1" applyNumberFormat="0" applyFont="0" applyAlignment="0" applyProtection="0"/>
    <xf numFmtId="0" fontId="14" fillId="2" borderId="1" applyNumberFormat="0" applyFont="0" applyAlignment="0" applyProtection="0"/>
    <xf numFmtId="0" fontId="14" fillId="2" borderId="1" applyNumberFormat="0" applyFont="0" applyAlignment="0" applyProtection="0"/>
    <xf numFmtId="42" fontId="20" fillId="0" borderId="0" applyFont="0" applyFill="0" applyBorder="0" applyAlignment="0" applyProtection="0"/>
    <xf numFmtId="0" fontId="84" fillId="0" borderId="0"/>
    <xf numFmtId="41" fontId="14" fillId="0" borderId="0" applyFont="0" applyFill="0" applyBorder="0" applyAlignment="0" applyProtection="0"/>
    <xf numFmtId="0" fontId="14" fillId="9" borderId="1" applyNumberFormat="0" applyFont="0" applyAlignment="0" applyProtection="0"/>
    <xf numFmtId="41" fontId="20" fillId="0" borderId="0" applyFont="0" applyFill="0" applyBorder="0" applyAlignment="0" applyProtection="0"/>
    <xf numFmtId="42" fontId="20" fillId="0" borderId="0" applyFont="0" applyFill="0" applyBorder="0" applyAlignment="0" applyProtection="0"/>
    <xf numFmtId="0" fontId="85" fillId="0" borderId="0"/>
    <xf numFmtId="0" fontId="14" fillId="9" borderId="1" applyNumberFormat="0" applyFont="0" applyAlignment="0" applyProtection="0"/>
    <xf numFmtId="0" fontId="14" fillId="9" borderId="1" applyNumberFormat="0" applyFont="0" applyAlignment="0" applyProtection="0"/>
    <xf numFmtId="0" fontId="20" fillId="9" borderId="1" applyNumberFormat="0" applyFont="0" applyAlignment="0" applyProtection="0"/>
    <xf numFmtId="41" fontId="20" fillId="0" borderId="0" applyFont="0" applyFill="0" applyBorder="0" applyAlignment="0" applyProtection="0"/>
    <xf numFmtId="42" fontId="20" fillId="0" borderId="0" applyFont="0" applyFill="0" applyBorder="0" applyAlignment="0" applyProtection="0"/>
    <xf numFmtId="41" fontId="2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2" borderId="1" applyNumberFormat="0" applyFont="0" applyAlignment="0" applyProtection="0"/>
    <xf numFmtId="0" fontId="13" fillId="2" borderId="1" applyNumberFormat="0" applyFont="0" applyAlignment="0" applyProtection="0"/>
    <xf numFmtId="0" fontId="13" fillId="2" borderId="1" applyNumberFormat="0" applyFont="0" applyAlignment="0" applyProtection="0"/>
    <xf numFmtId="42" fontId="20" fillId="0" borderId="0" applyFont="0" applyFill="0" applyBorder="0" applyAlignment="0" applyProtection="0"/>
    <xf numFmtId="41"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2" borderId="1" applyNumberFormat="0" applyFont="0" applyAlignment="0" applyProtection="0"/>
    <xf numFmtId="0" fontId="12" fillId="2" borderId="1" applyNumberFormat="0" applyFont="0" applyAlignment="0" applyProtection="0"/>
    <xf numFmtId="0" fontId="12" fillId="2" borderId="1" applyNumberFormat="0" applyFont="0" applyAlignment="0" applyProtection="0"/>
    <xf numFmtId="42" fontId="20"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0" fontId="4" fillId="0" borderId="0"/>
    <xf numFmtId="43" fontId="4" fillId="0" borderId="0" applyFont="0" applyFill="0" applyBorder="0" applyAlignment="0" applyProtection="0"/>
    <xf numFmtId="9" fontId="43" fillId="0" borderId="0" applyFont="0" applyFill="0" applyBorder="0" applyAlignment="0" applyProtection="0"/>
  </cellStyleXfs>
  <cellXfs count="1003">
    <xf numFmtId="0" fontId="0" fillId="0" borderId="0" xfId="0"/>
    <xf numFmtId="0" fontId="16" fillId="0" borderId="0" xfId="0" applyFont="1" applyAlignment="1">
      <alignment horizontal="right"/>
    </xf>
    <xf numFmtId="0" fontId="24" fillId="0" borderId="0" xfId="0" applyFont="1"/>
    <xf numFmtId="0" fontId="25" fillId="0" borderId="0" xfId="0" applyFont="1" applyAlignment="1">
      <alignment horizontal="right"/>
    </xf>
    <xf numFmtId="0" fontId="26" fillId="0" borderId="2" xfId="0" applyFont="1" applyBorder="1"/>
    <xf numFmtId="0" fontId="26" fillId="0" borderId="3" xfId="0" applyFont="1" applyBorder="1"/>
    <xf numFmtId="0" fontId="26" fillId="0" borderId="7" xfId="0" applyFont="1" applyBorder="1" applyAlignment="1">
      <alignment horizontal="center"/>
    </xf>
    <xf numFmtId="0" fontId="26" fillId="0" borderId="8" xfId="0" applyFont="1" applyBorder="1" applyAlignment="1">
      <alignment horizontal="center"/>
    </xf>
    <xf numFmtId="0" fontId="26" fillId="0" borderId="9" xfId="0" applyFont="1" applyBorder="1" applyAlignment="1">
      <alignment horizontal="center"/>
    </xf>
    <xf numFmtId="0" fontId="26" fillId="0" borderId="10" xfId="0" applyFont="1" applyBorder="1" applyAlignment="1">
      <alignment horizontal="center"/>
    </xf>
    <xf numFmtId="0" fontId="27" fillId="0" borderId="7" xfId="0" applyFont="1" applyBorder="1" applyAlignment="1">
      <alignment horizontal="center"/>
    </xf>
    <xf numFmtId="0" fontId="27" fillId="0" borderId="8" xfId="0" applyFont="1" applyBorder="1" applyAlignment="1">
      <alignment horizontal="center"/>
    </xf>
    <xf numFmtId="0" fontId="27" fillId="0" borderId="13" xfId="0" applyFont="1" applyBorder="1"/>
    <xf numFmtId="0" fontId="27" fillId="0" borderId="14" xfId="0" applyFont="1" applyBorder="1"/>
    <xf numFmtId="0" fontId="27" fillId="0" borderId="15" xfId="0" applyFont="1" applyBorder="1"/>
    <xf numFmtId="0" fontId="27" fillId="0" borderId="15" xfId="0" applyFont="1" applyBorder="1" applyAlignment="1">
      <alignment horizontal="center"/>
    </xf>
    <xf numFmtId="0" fontId="27" fillId="0" borderId="16" xfId="0" applyFont="1" applyBorder="1"/>
    <xf numFmtId="166" fontId="26" fillId="0" borderId="13" xfId="2" applyNumberFormat="1" applyFont="1" applyFill="1" applyBorder="1" applyAlignment="1" applyProtection="1">
      <alignment horizontal="left"/>
    </xf>
    <xf numFmtId="167" fontId="26" fillId="0" borderId="17" xfId="2" applyNumberFormat="1" applyFont="1" applyFill="1" applyBorder="1" applyProtection="1"/>
    <xf numFmtId="166" fontId="24" fillId="0" borderId="7" xfId="2" applyNumberFormat="1" applyFont="1" applyFill="1" applyBorder="1" applyAlignment="1" applyProtection="1">
      <alignment horizontal="left"/>
    </xf>
    <xf numFmtId="167" fontId="24" fillId="0" borderId="8" xfId="2" applyNumberFormat="1" applyFont="1" applyFill="1" applyBorder="1" applyProtection="1"/>
    <xf numFmtId="166" fontId="24" fillId="0" borderId="18" xfId="2" applyNumberFormat="1" applyFont="1" applyFill="1" applyBorder="1" applyAlignment="1" applyProtection="1">
      <alignment horizontal="left"/>
    </xf>
    <xf numFmtId="167" fontId="24" fillId="0" borderId="19" xfId="2" applyNumberFormat="1" applyFont="1" applyFill="1" applyBorder="1" applyProtection="1"/>
    <xf numFmtId="0" fontId="27" fillId="0" borderId="11" xfId="0" applyFont="1" applyBorder="1" applyAlignment="1">
      <alignment horizontal="center"/>
    </xf>
    <xf numFmtId="0" fontId="27" fillId="0" borderId="12" xfId="0" applyFont="1" applyBorder="1" applyAlignment="1">
      <alignment horizontal="center"/>
    </xf>
    <xf numFmtId="167" fontId="26" fillId="0" borderId="20" xfId="2" applyNumberFormat="1" applyFont="1" applyFill="1" applyBorder="1" applyProtection="1"/>
    <xf numFmtId="167" fontId="24" fillId="0" borderId="8" xfId="2" applyNumberFormat="1" applyFont="1" applyBorder="1" applyProtection="1"/>
    <xf numFmtId="0" fontId="26" fillId="0" borderId="11" xfId="0" applyFont="1" applyBorder="1" applyAlignment="1">
      <alignment horizontal="center"/>
    </xf>
    <xf numFmtId="0" fontId="26" fillId="0" borderId="25" xfId="0" applyFont="1" applyBorder="1" applyAlignment="1">
      <alignment horizontal="center"/>
    </xf>
    <xf numFmtId="0" fontId="34" fillId="0" borderId="0" xfId="0" quotePrefix="1" applyFont="1" applyAlignment="1">
      <alignment horizontal="left"/>
    </xf>
    <xf numFmtId="0" fontId="34" fillId="0" borderId="0" xfId="0" applyFont="1" applyAlignment="1">
      <alignment horizontal="left"/>
    </xf>
    <xf numFmtId="167" fontId="26" fillId="0" borderId="26" xfId="2" applyNumberFormat="1" applyFont="1" applyFill="1" applyBorder="1" applyProtection="1"/>
    <xf numFmtId="167" fontId="24" fillId="0" borderId="28" xfId="2" applyNumberFormat="1" applyFont="1" applyBorder="1" applyProtection="1"/>
    <xf numFmtId="0" fontId="27" fillId="0" borderId="0" xfId="0" applyFont="1"/>
    <xf numFmtId="0" fontId="0" fillId="0" borderId="29" xfId="0" applyBorder="1"/>
    <xf numFmtId="0" fontId="0" fillId="0" borderId="30" xfId="0" applyBorder="1"/>
    <xf numFmtId="0" fontId="0" fillId="0" borderId="31" xfId="0" applyBorder="1" applyAlignment="1">
      <alignment horizontal="left" indent="1"/>
    </xf>
    <xf numFmtId="0" fontId="0" fillId="0" borderId="23" xfId="0" applyBorder="1"/>
    <xf numFmtId="0" fontId="0" fillId="0" borderId="32" xfId="0" applyBorder="1"/>
    <xf numFmtId="0" fontId="36" fillId="0" borderId="35" xfId="0" applyFont="1" applyBorder="1" applyAlignment="1">
      <alignment horizontal="center"/>
    </xf>
    <xf numFmtId="0" fontId="36" fillId="0" borderId="39" xfId="0" applyFont="1" applyBorder="1" applyAlignment="1">
      <alignment horizontal="center"/>
    </xf>
    <xf numFmtId="0" fontId="36" fillId="0" borderId="40" xfId="0" applyFont="1" applyBorder="1" applyAlignment="1">
      <alignment horizontal="center"/>
    </xf>
    <xf numFmtId="167" fontId="36" fillId="0" borderId="35" xfId="0" applyNumberFormat="1" applyFont="1" applyBorder="1" applyAlignment="1">
      <alignment horizontal="left" indent="1"/>
    </xf>
    <xf numFmtId="167" fontId="36" fillId="0" borderId="34" xfId="0" applyNumberFormat="1" applyFont="1" applyBorder="1" applyAlignment="1">
      <alignment horizontal="center"/>
    </xf>
    <xf numFmtId="167" fontId="36" fillId="0" borderId="41" xfId="0" applyNumberFormat="1" applyFont="1" applyBorder="1" applyAlignment="1">
      <alignment horizontal="center"/>
    </xf>
    <xf numFmtId="0" fontId="0" fillId="0" borderId="42" xfId="0" applyBorder="1"/>
    <xf numFmtId="0" fontId="0" fillId="0" borderId="43" xfId="0" applyBorder="1"/>
    <xf numFmtId="0" fontId="0" fillId="0" borderId="44" xfId="0" applyBorder="1" applyAlignment="1">
      <alignment horizontal="left" indent="1"/>
    </xf>
    <xf numFmtId="0" fontId="36" fillId="0" borderId="43" xfId="0" applyFont="1" applyBorder="1" applyAlignment="1">
      <alignment horizontal="center"/>
    </xf>
    <xf numFmtId="0" fontId="36" fillId="0" borderId="44" xfId="0" applyFont="1" applyBorder="1" applyAlignment="1">
      <alignment horizontal="center"/>
    </xf>
    <xf numFmtId="0" fontId="36" fillId="0" borderId="45" xfId="0" applyFont="1" applyBorder="1" applyAlignment="1">
      <alignment horizontal="center"/>
    </xf>
    <xf numFmtId="0" fontId="0" fillId="0" borderId="33" xfId="0" applyBorder="1"/>
    <xf numFmtId="0" fontId="0" fillId="0" borderId="34" xfId="0" applyBorder="1"/>
    <xf numFmtId="0" fontId="0" fillId="0" borderId="35" xfId="0" applyBorder="1" applyAlignment="1">
      <alignment horizontal="left" indent="1"/>
    </xf>
    <xf numFmtId="0" fontId="36" fillId="0" borderId="34" xfId="0" applyFont="1" applyBorder="1" applyAlignment="1">
      <alignment horizontal="center"/>
    </xf>
    <xf numFmtId="0" fontId="36" fillId="0" borderId="41" xfId="0" applyFont="1" applyBorder="1" applyAlignment="1">
      <alignment horizontal="center"/>
    </xf>
    <xf numFmtId="0" fontId="36" fillId="0" borderId="33" xfId="0" applyFont="1" applyBorder="1" applyAlignment="1">
      <alignment horizontal="center"/>
    </xf>
    <xf numFmtId="0" fontId="36" fillId="0" borderId="34" xfId="0" applyFont="1" applyBorder="1"/>
    <xf numFmtId="167" fontId="36" fillId="0" borderId="35" xfId="2" applyNumberFormat="1" applyFont="1" applyBorder="1" applyAlignment="1">
      <alignment horizontal="left" indent="1"/>
    </xf>
    <xf numFmtId="167" fontId="0" fillId="0" borderId="34" xfId="2" applyNumberFormat="1" applyFont="1" applyBorder="1"/>
    <xf numFmtId="167" fontId="0" fillId="0" borderId="41" xfId="2" applyNumberFormat="1" applyFont="1" applyBorder="1"/>
    <xf numFmtId="167" fontId="36" fillId="0" borderId="35" xfId="2" applyNumberFormat="1" applyFont="1" applyFill="1" applyBorder="1" applyAlignment="1">
      <alignment horizontal="left" indent="1"/>
    </xf>
    <xf numFmtId="0" fontId="0" fillId="0" borderId="46" xfId="0" applyBorder="1"/>
    <xf numFmtId="0" fontId="0" fillId="0" borderId="47" xfId="0" applyBorder="1"/>
    <xf numFmtId="0" fontId="0" fillId="0" borderId="19" xfId="0" applyBorder="1" applyAlignment="1">
      <alignment horizontal="left" indent="1"/>
    </xf>
    <xf numFmtId="0" fontId="0" fillId="0" borderId="19" xfId="0" applyBorder="1"/>
    <xf numFmtId="0" fontId="0" fillId="0" borderId="48" xfId="0" applyBorder="1"/>
    <xf numFmtId="0" fontId="39" fillId="0" borderId="0" xfId="0" quotePrefix="1" applyFont="1"/>
    <xf numFmtId="0" fontId="40" fillId="0" borderId="0" xfId="0" applyFont="1"/>
    <xf numFmtId="0" fontId="41" fillId="0" borderId="0" xfId="0" applyFont="1" applyAlignment="1">
      <alignment horizontal="right"/>
    </xf>
    <xf numFmtId="0" fontId="39" fillId="0" borderId="54" xfId="0" applyFont="1" applyBorder="1" applyAlignment="1">
      <alignment horizontal="center" vertical="center" wrapText="1"/>
    </xf>
    <xf numFmtId="0" fontId="39" fillId="0" borderId="34" xfId="0" applyFont="1" applyBorder="1" applyAlignment="1">
      <alignment horizontal="center" vertical="center"/>
    </xf>
    <xf numFmtId="0" fontId="39" fillId="0" borderId="35" xfId="0" applyFont="1" applyBorder="1"/>
    <xf numFmtId="0" fontId="39" fillId="0" borderId="12" xfId="0" applyFont="1" applyBorder="1" applyAlignment="1">
      <alignment horizontal="center" vertical="center" wrapText="1"/>
    </xf>
    <xf numFmtId="0" fontId="40" fillId="0" borderId="55" xfId="0" applyFont="1" applyBorder="1" applyAlignment="1">
      <alignment horizontal="center"/>
    </xf>
    <xf numFmtId="167" fontId="40" fillId="0" borderId="35" xfId="2" applyNumberFormat="1" applyFont="1" applyBorder="1"/>
    <xf numFmtId="167" fontId="39" fillId="0" borderId="12" xfId="2" applyNumberFormat="1" applyFont="1" applyBorder="1"/>
    <xf numFmtId="0" fontId="39" fillId="0" borderId="39" xfId="0" applyFont="1" applyBorder="1" applyAlignment="1">
      <alignment horizontal="center" vertical="center"/>
    </xf>
    <xf numFmtId="0" fontId="39" fillId="6" borderId="39" xfId="0" applyFont="1" applyFill="1" applyBorder="1" applyAlignment="1">
      <alignment horizontal="center" vertical="center"/>
    </xf>
    <xf numFmtId="0" fontId="0" fillId="0" borderId="0" xfId="0" applyAlignment="1">
      <alignment vertical="center"/>
    </xf>
    <xf numFmtId="0" fontId="37" fillId="0" borderId="56" xfId="0" applyFont="1" applyBorder="1" applyAlignment="1">
      <alignment horizontal="center" vertical="center"/>
    </xf>
    <xf numFmtId="0" fontId="37" fillId="0" borderId="59" xfId="0" applyFont="1" applyBorder="1" applyAlignment="1">
      <alignment horizontal="center" vertical="center"/>
    </xf>
    <xf numFmtId="167" fontId="37" fillId="0" borderId="59" xfId="0" applyNumberFormat="1" applyFont="1" applyBorder="1" applyAlignment="1">
      <alignment horizontal="center" vertical="center"/>
    </xf>
    <xf numFmtId="0" fontId="42" fillId="0" borderId="0" xfId="0" applyFont="1" applyAlignment="1">
      <alignment vertical="center"/>
    </xf>
    <xf numFmtId="167" fontId="37" fillId="0" borderId="57" xfId="0" applyNumberFormat="1" applyFont="1" applyBorder="1" applyAlignment="1">
      <alignment horizontal="center" vertical="center"/>
    </xf>
    <xf numFmtId="164" fontId="33" fillId="0" borderId="0" xfId="18" applyFont="1" applyAlignment="1">
      <alignment horizontal="center"/>
    </xf>
    <xf numFmtId="164" fontId="33" fillId="4" borderId="0" xfId="18" applyFont="1" applyFill="1" applyAlignment="1">
      <alignment horizontal="center"/>
    </xf>
    <xf numFmtId="164" fontId="16" fillId="0" borderId="0" xfId="18" applyFont="1" applyAlignment="1">
      <alignment horizontal="center"/>
    </xf>
    <xf numFmtId="164" fontId="16" fillId="0" borderId="0" xfId="18" applyFont="1"/>
    <xf numFmtId="164" fontId="31" fillId="4" borderId="0" xfId="18" applyFont="1" applyFill="1" applyAlignment="1">
      <alignment horizontal="center"/>
    </xf>
    <xf numFmtId="164" fontId="0" fillId="0" borderId="0" xfId="18" applyFont="1"/>
    <xf numFmtId="164" fontId="31" fillId="0" borderId="0" xfId="18" applyFont="1" applyAlignment="1">
      <alignment horizontal="center"/>
    </xf>
    <xf numFmtId="164" fontId="29" fillId="0" borderId="0" xfId="18" applyFont="1" applyAlignment="1">
      <alignment horizontal="center"/>
    </xf>
    <xf numFmtId="164" fontId="16" fillId="0" borderId="0" xfId="18" applyFont="1" applyAlignment="1">
      <alignment horizontal="right"/>
    </xf>
    <xf numFmtId="164" fontId="21" fillId="3" borderId="0" xfId="18" applyFont="1" applyFill="1" applyAlignment="1">
      <alignment horizontal="center"/>
    </xf>
    <xf numFmtId="164" fontId="21" fillId="4" borderId="0" xfId="18" applyFont="1" applyFill="1" applyAlignment="1">
      <alignment horizontal="center"/>
    </xf>
    <xf numFmtId="164" fontId="29" fillId="3" borderId="0" xfId="18" applyFont="1" applyFill="1" applyAlignment="1">
      <alignment horizontal="center"/>
    </xf>
    <xf numFmtId="164" fontId="22" fillId="3" borderId="0" xfId="18" applyFont="1" applyFill="1"/>
    <xf numFmtId="164" fontId="0" fillId="0" borderId="0" xfId="18" applyFont="1" applyAlignment="1">
      <alignment horizontal="center"/>
    </xf>
    <xf numFmtId="164" fontId="32" fillId="0" borderId="0" xfId="18" applyFont="1" applyAlignment="1">
      <alignment horizontal="center"/>
    </xf>
    <xf numFmtId="164" fontId="16" fillId="3" borderId="0" xfId="18" applyFont="1" applyFill="1" applyAlignment="1">
      <alignment horizontal="center"/>
    </xf>
    <xf numFmtId="164" fontId="16" fillId="4" borderId="0" xfId="18" applyFont="1" applyFill="1" applyAlignment="1">
      <alignment horizontal="center"/>
    </xf>
    <xf numFmtId="164" fontId="0" fillId="3" borderId="0" xfId="18" applyFont="1" applyFill="1"/>
    <xf numFmtId="164" fontId="0" fillId="0" borderId="0" xfId="18" applyFont="1" applyAlignment="1"/>
    <xf numFmtId="164" fontId="0" fillId="3" borderId="0" xfId="18" applyFont="1" applyFill="1" applyAlignment="1">
      <alignment horizontal="center"/>
    </xf>
    <xf numFmtId="164" fontId="32" fillId="3" borderId="0" xfId="18" applyFont="1" applyFill="1" applyAlignment="1">
      <alignment horizontal="center"/>
    </xf>
    <xf numFmtId="164" fontId="32" fillId="4" borderId="0" xfId="18" applyFont="1" applyFill="1" applyAlignment="1">
      <alignment horizontal="center"/>
    </xf>
    <xf numFmtId="164" fontId="30" fillId="0" borderId="0" xfId="18" applyFont="1" applyAlignment="1">
      <alignment horizontal="center"/>
    </xf>
    <xf numFmtId="0" fontId="16" fillId="0" borderId="0" xfId="0" applyFont="1"/>
    <xf numFmtId="0" fontId="16" fillId="0" borderId="60" xfId="0" applyFont="1" applyBorder="1" applyAlignment="1">
      <alignment horizontal="center" vertical="center"/>
    </xf>
    <xf numFmtId="0" fontId="16" fillId="0" borderId="39" xfId="0" applyFont="1" applyBorder="1" applyAlignment="1">
      <alignment horizontal="center" vertical="center"/>
    </xf>
    <xf numFmtId="0" fontId="16" fillId="0" borderId="58" xfId="0" applyFont="1" applyBorder="1" applyAlignment="1">
      <alignment horizontal="center" vertical="center"/>
    </xf>
    <xf numFmtId="0" fontId="0" fillId="0" borderId="39" xfId="0" applyBorder="1" applyAlignment="1">
      <alignment horizontal="center"/>
    </xf>
    <xf numFmtId="0" fontId="0" fillId="0" borderId="39" xfId="0" applyBorder="1"/>
    <xf numFmtId="0" fontId="16" fillId="0" borderId="0" xfId="0" applyFont="1" applyAlignment="1">
      <alignment horizontal="center"/>
    </xf>
    <xf numFmtId="0" fontId="44" fillId="0" borderId="0" xfId="19"/>
    <xf numFmtId="164" fontId="0" fillId="0" borderId="0" xfId="0" applyNumberFormat="1"/>
    <xf numFmtId="164" fontId="45" fillId="0" borderId="62" xfId="18" applyFont="1" applyBorder="1" applyAlignment="1">
      <alignment horizontal="center"/>
    </xf>
    <xf numFmtId="164" fontId="45" fillId="0" borderId="21" xfId="18" applyFont="1" applyBorder="1" applyAlignment="1">
      <alignment horizontal="center"/>
    </xf>
    <xf numFmtId="0" fontId="46" fillId="0" borderId="0" xfId="0" applyFont="1"/>
    <xf numFmtId="164" fontId="37" fillId="0" borderId="25" xfId="18" applyFont="1" applyBorder="1" applyAlignment="1">
      <alignment horizontal="center"/>
    </xf>
    <xf numFmtId="164" fontId="37" fillId="0" borderId="67" xfId="18" applyFont="1" applyBorder="1" applyAlignment="1">
      <alignment horizontal="center"/>
    </xf>
    <xf numFmtId="164" fontId="37" fillId="0" borderId="8" xfId="18" applyFont="1" applyBorder="1" applyAlignment="1">
      <alignment horizontal="center"/>
    </xf>
    <xf numFmtId="164" fontId="37" fillId="0" borderId="68" xfId="18" applyFont="1" applyBorder="1" applyAlignment="1">
      <alignment horizontal="center"/>
    </xf>
    <xf numFmtId="164" fontId="37" fillId="0" borderId="21" xfId="0" applyNumberFormat="1" applyFont="1" applyBorder="1"/>
    <xf numFmtId="164" fontId="46" fillId="0" borderId="8" xfId="0" applyNumberFormat="1" applyFont="1" applyBorder="1"/>
    <xf numFmtId="164" fontId="46" fillId="0" borderId="68" xfId="0" applyNumberFormat="1" applyFont="1" applyBorder="1"/>
    <xf numFmtId="164" fontId="46" fillId="0" borderId="0" xfId="0" applyNumberFormat="1" applyFont="1"/>
    <xf numFmtId="0" fontId="47" fillId="0" borderId="29" xfId="0" applyFont="1" applyBorder="1"/>
    <xf numFmtId="0" fontId="47" fillId="0" borderId="33" xfId="0" applyFont="1" applyBorder="1" applyAlignment="1">
      <alignment horizontal="center"/>
    </xf>
    <xf numFmtId="0" fontId="48" fillId="0" borderId="33" xfId="0" applyFont="1" applyBorder="1" applyAlignment="1">
      <alignment horizontal="center"/>
    </xf>
    <xf numFmtId="0" fontId="48" fillId="0" borderId="33" xfId="0" applyFont="1" applyBorder="1"/>
    <xf numFmtId="166" fontId="49" fillId="0" borderId="33" xfId="2" applyNumberFormat="1" applyFont="1" applyFill="1" applyBorder="1" applyAlignment="1" applyProtection="1">
      <alignment horizontal="left"/>
    </xf>
    <xf numFmtId="164" fontId="45" fillId="0" borderId="70" xfId="18" applyFont="1" applyBorder="1" applyAlignment="1">
      <alignment horizontal="center"/>
    </xf>
    <xf numFmtId="164" fontId="45" fillId="0" borderId="71" xfId="18" applyFont="1" applyBorder="1" applyAlignment="1">
      <alignment horizontal="center"/>
    </xf>
    <xf numFmtId="164" fontId="37" fillId="0" borderId="71" xfId="0" applyNumberFormat="1" applyFont="1" applyBorder="1"/>
    <xf numFmtId="166" fontId="47" fillId="0" borderId="79" xfId="2" applyNumberFormat="1" applyFont="1" applyFill="1" applyBorder="1" applyAlignment="1" applyProtection="1">
      <alignment horizontal="center"/>
    </xf>
    <xf numFmtId="164" fontId="46" fillId="0" borderId="66" xfId="0" applyNumberFormat="1" applyFont="1" applyBorder="1"/>
    <xf numFmtId="166" fontId="49" fillId="0" borderId="83" xfId="2" applyNumberFormat="1" applyFont="1" applyFill="1" applyBorder="1" applyAlignment="1" applyProtection="1">
      <alignment horizontal="left"/>
    </xf>
    <xf numFmtId="166" fontId="47" fillId="0" borderId="84" xfId="2" applyNumberFormat="1" applyFont="1" applyFill="1" applyBorder="1" applyAlignment="1" applyProtection="1">
      <alignment horizontal="center"/>
    </xf>
    <xf numFmtId="164" fontId="37" fillId="0" borderId="85" xfId="0" applyNumberFormat="1" applyFont="1" applyBorder="1"/>
    <xf numFmtId="164" fontId="37" fillId="0" borderId="86" xfId="0" applyNumberFormat="1" applyFont="1" applyBorder="1"/>
    <xf numFmtId="164" fontId="46" fillId="0" borderId="88" xfId="0" applyNumberFormat="1" applyFont="1" applyBorder="1"/>
    <xf numFmtId="164" fontId="46" fillId="0" borderId="89" xfId="0" applyNumberFormat="1" applyFont="1" applyBorder="1"/>
    <xf numFmtId="164" fontId="46" fillId="0" borderId="90" xfId="0" applyNumberFormat="1" applyFont="1" applyBorder="1"/>
    <xf numFmtId="166" fontId="47" fillId="0" borderId="69" xfId="2" applyNumberFormat="1" applyFont="1" applyFill="1" applyBorder="1" applyAlignment="1" applyProtection="1">
      <alignment horizontal="left" vertical="center"/>
    </xf>
    <xf numFmtId="166" fontId="47" fillId="0" borderId="80" xfId="2" applyNumberFormat="1" applyFont="1" applyFill="1" applyBorder="1" applyAlignment="1" applyProtection="1">
      <alignment horizontal="left" vertical="center"/>
    </xf>
    <xf numFmtId="164" fontId="37" fillId="0" borderId="72" xfId="0" applyNumberFormat="1" applyFont="1" applyBorder="1" applyAlignment="1">
      <alignment vertical="center"/>
    </xf>
    <xf numFmtId="164" fontId="37" fillId="0" borderId="61" xfId="0" applyNumberFormat="1" applyFont="1" applyBorder="1" applyAlignment="1">
      <alignment vertical="center"/>
    </xf>
    <xf numFmtId="0" fontId="46" fillId="0" borderId="0" xfId="0" applyFont="1" applyAlignment="1">
      <alignment vertical="center"/>
    </xf>
    <xf numFmtId="166" fontId="49" fillId="0" borderId="55" xfId="2" applyNumberFormat="1" applyFont="1" applyFill="1" applyBorder="1" applyAlignment="1" applyProtection="1">
      <alignment horizontal="left"/>
    </xf>
    <xf numFmtId="164" fontId="46" fillId="0" borderId="35" xfId="0" applyNumberFormat="1" applyFont="1" applyBorder="1"/>
    <xf numFmtId="164" fontId="46" fillId="0" borderId="12" xfId="0" applyNumberFormat="1" applyFont="1" applyBorder="1"/>
    <xf numFmtId="166" fontId="49" fillId="0" borderId="91" xfId="2" applyNumberFormat="1" applyFont="1" applyFill="1" applyBorder="1" applyAlignment="1" applyProtection="1">
      <alignment horizontal="left"/>
    </xf>
    <xf numFmtId="164" fontId="46" fillId="0" borderId="19" xfId="0" applyNumberFormat="1" applyFont="1" applyBorder="1"/>
    <xf numFmtId="164" fontId="46" fillId="0" borderId="27" xfId="0" applyNumberFormat="1" applyFont="1" applyBorder="1"/>
    <xf numFmtId="166" fontId="47" fillId="0" borderId="33" xfId="2" applyNumberFormat="1" applyFont="1" applyFill="1" applyBorder="1" applyAlignment="1" applyProtection="1">
      <alignment horizontal="left" vertical="center"/>
    </xf>
    <xf numFmtId="166" fontId="47" fillId="0" borderId="79" xfId="2" applyNumberFormat="1" applyFont="1" applyFill="1" applyBorder="1" applyAlignment="1" applyProtection="1">
      <alignment horizontal="left" vertical="center"/>
    </xf>
    <xf numFmtId="164" fontId="37" fillId="0" borderId="71" xfId="0" applyNumberFormat="1" applyFont="1" applyBorder="1" applyAlignment="1">
      <alignment vertical="center"/>
    </xf>
    <xf numFmtId="164" fontId="37" fillId="0" borderId="21" xfId="0" applyNumberFormat="1" applyFont="1" applyBorder="1" applyAlignment="1">
      <alignment vertical="center"/>
    </xf>
    <xf numFmtId="164" fontId="37" fillId="0" borderId="0" xfId="0" applyNumberFormat="1" applyFont="1" applyAlignment="1">
      <alignment vertical="center"/>
    </xf>
    <xf numFmtId="164" fontId="37" fillId="0" borderId="41" xfId="0" applyNumberFormat="1" applyFont="1" applyBorder="1" applyAlignment="1">
      <alignment vertical="center"/>
    </xf>
    <xf numFmtId="164" fontId="37" fillId="0" borderId="66" xfId="0" applyNumberFormat="1" applyFont="1" applyBorder="1" applyAlignment="1">
      <alignment vertical="center"/>
    </xf>
    <xf numFmtId="164" fontId="37" fillId="0" borderId="8" xfId="0" applyNumberFormat="1" applyFont="1" applyBorder="1" applyAlignment="1">
      <alignment vertical="center"/>
    </xf>
    <xf numFmtId="164" fontId="37" fillId="0" borderId="68" xfId="0" applyNumberFormat="1" applyFont="1" applyBorder="1" applyAlignment="1">
      <alignment vertical="center"/>
    </xf>
    <xf numFmtId="164" fontId="0" fillId="3" borderId="0" xfId="0" applyNumberFormat="1" applyFill="1"/>
    <xf numFmtId="0" fontId="0" fillId="4" borderId="0" xfId="0" applyFill="1"/>
    <xf numFmtId="0" fontId="29" fillId="0" borderId="0" xfId="0" applyFont="1"/>
    <xf numFmtId="0" fontId="0" fillId="3" borderId="0" xfId="0" applyFill="1"/>
    <xf numFmtId="164" fontId="50" fillId="0" borderId="0" xfId="0" applyNumberFormat="1" applyFont="1"/>
    <xf numFmtId="0" fontId="0" fillId="7" borderId="0" xfId="0" applyFill="1"/>
    <xf numFmtId="0" fontId="0" fillId="5" borderId="0" xfId="0" applyFill="1"/>
    <xf numFmtId="164" fontId="52" fillId="0" borderId="0" xfId="19" applyNumberFormat="1" applyFont="1"/>
    <xf numFmtId="0" fontId="0" fillId="0" borderId="0" xfId="0" applyAlignment="1">
      <alignment horizontal="center"/>
    </xf>
    <xf numFmtId="0" fontId="54" fillId="0" borderId="0" xfId="0" applyFont="1" applyAlignment="1">
      <alignment horizontal="center"/>
    </xf>
    <xf numFmtId="0" fontId="53" fillId="0" borderId="0" xfId="19" applyFont="1" applyFill="1" applyAlignment="1">
      <alignment horizontal="center" vertical="center"/>
    </xf>
    <xf numFmtId="0" fontId="52" fillId="0" borderId="0" xfId="19" applyFont="1" applyAlignment="1">
      <alignment horizontal="center"/>
    </xf>
    <xf numFmtId="0" fontId="52" fillId="0" borderId="0" xfId="19" applyFont="1" applyAlignment="1">
      <alignment horizontal="center" vertical="center"/>
    </xf>
    <xf numFmtId="0" fontId="16" fillId="0" borderId="0" xfId="0" applyFont="1" applyAlignment="1">
      <alignment horizontal="center" vertical="top"/>
    </xf>
    <xf numFmtId="0" fontId="0" fillId="0" borderId="0" xfId="0" applyAlignment="1">
      <alignment vertical="top"/>
    </xf>
    <xf numFmtId="0" fontId="0" fillId="0" borderId="0" xfId="0" applyAlignment="1">
      <alignment horizontal="center" vertical="top"/>
    </xf>
    <xf numFmtId="167" fontId="26" fillId="0" borderId="99" xfId="2" applyNumberFormat="1" applyFont="1" applyFill="1" applyBorder="1" applyProtection="1"/>
    <xf numFmtId="0" fontId="44" fillId="0" borderId="0" xfId="19" applyAlignment="1">
      <alignment vertical="top" wrapText="1"/>
    </xf>
    <xf numFmtId="164" fontId="46" fillId="0" borderId="0" xfId="18" applyFont="1"/>
    <xf numFmtId="164" fontId="45" fillId="0" borderId="0" xfId="18" applyFont="1" applyAlignment="1">
      <alignment horizontal="center"/>
    </xf>
    <xf numFmtId="164" fontId="55" fillId="0" borderId="35" xfId="0" applyNumberFormat="1" applyFont="1" applyBorder="1"/>
    <xf numFmtId="164" fontId="55" fillId="0" borderId="19" xfId="0" applyNumberFormat="1" applyFont="1" applyBorder="1"/>
    <xf numFmtId="164" fontId="37" fillId="0" borderId="0" xfId="18" applyFont="1" applyAlignment="1">
      <alignment horizontal="center"/>
    </xf>
    <xf numFmtId="164" fontId="37" fillId="0" borderId="0" xfId="18" applyFont="1" applyAlignment="1">
      <alignment horizontal="right"/>
    </xf>
    <xf numFmtId="164" fontId="37" fillId="0" borderId="0" xfId="0" applyNumberFormat="1" applyFont="1" applyAlignment="1">
      <alignment horizontal="center"/>
    </xf>
    <xf numFmtId="164" fontId="42" fillId="0" borderId="0" xfId="0" applyNumberFormat="1" applyFont="1"/>
    <xf numFmtId="167" fontId="46" fillId="0" borderId="0" xfId="0" applyNumberFormat="1" applyFont="1"/>
    <xf numFmtId="164" fontId="56" fillId="0" borderId="0" xfId="19" applyNumberFormat="1" applyFont="1"/>
    <xf numFmtId="164" fontId="50" fillId="0" borderId="0" xfId="18" applyFont="1"/>
    <xf numFmtId="0" fontId="46" fillId="0" borderId="0" xfId="0" applyFont="1" applyAlignment="1">
      <alignment horizontal="right"/>
    </xf>
    <xf numFmtId="164" fontId="57" fillId="0" borderId="0" xfId="18" applyFont="1"/>
    <xf numFmtId="164" fontId="30" fillId="3" borderId="0" xfId="18" applyFont="1" applyFill="1" applyAlignment="1">
      <alignment horizontal="center"/>
    </xf>
    <xf numFmtId="164" fontId="56" fillId="0" borderId="0" xfId="19" applyNumberFormat="1" applyFont="1" applyFill="1" applyAlignment="1">
      <alignment horizontal="right"/>
    </xf>
    <xf numFmtId="164" fontId="31" fillId="0" borderId="0" xfId="18" applyFont="1" applyFill="1" applyAlignment="1">
      <alignment horizontal="center"/>
    </xf>
    <xf numFmtId="164" fontId="16" fillId="0" borderId="0" xfId="18" applyFont="1" applyFill="1" applyAlignment="1">
      <alignment horizontal="center"/>
    </xf>
    <xf numFmtId="164" fontId="43" fillId="3" borderId="0" xfId="18" applyFont="1" applyFill="1"/>
    <xf numFmtId="164" fontId="58" fillId="3" borderId="0" xfId="18" applyFont="1" applyFill="1"/>
    <xf numFmtId="164" fontId="58" fillId="3" borderId="0" xfId="18" applyFont="1" applyFill="1" applyAlignment="1">
      <alignment horizontal="center"/>
    </xf>
    <xf numFmtId="164" fontId="59" fillId="3" borderId="0" xfId="18" applyFont="1" applyFill="1" applyAlignment="1">
      <alignment horizontal="center"/>
    </xf>
    <xf numFmtId="164" fontId="16" fillId="0" borderId="0" xfId="3" applyFont="1" applyAlignment="1">
      <alignment horizontal="center"/>
    </xf>
    <xf numFmtId="0" fontId="60" fillId="0" borderId="0" xfId="1" applyFont="1"/>
    <xf numFmtId="164" fontId="60" fillId="0" borderId="0" xfId="1" applyNumberFormat="1" applyFont="1"/>
    <xf numFmtId="164" fontId="60" fillId="0" borderId="0" xfId="3" applyFont="1"/>
    <xf numFmtId="0" fontId="61" fillId="0" borderId="0" xfId="1" applyFont="1"/>
    <xf numFmtId="164" fontId="61" fillId="0" borderId="0" xfId="1" applyNumberFormat="1" applyFont="1"/>
    <xf numFmtId="0" fontId="62" fillId="0" borderId="0" xfId="1" applyFont="1"/>
    <xf numFmtId="0" fontId="63" fillId="0" borderId="0" xfId="1" applyFont="1" applyAlignment="1">
      <alignment horizontal="right"/>
    </xf>
    <xf numFmtId="0" fontId="63" fillId="0" borderId="0" xfId="1" applyFont="1" applyAlignment="1">
      <alignment horizontal="left"/>
    </xf>
    <xf numFmtId="0" fontId="63" fillId="0" borderId="0" xfId="1" applyFont="1"/>
    <xf numFmtId="0" fontId="64" fillId="0" borderId="0" xfId="1" applyFont="1" applyAlignment="1">
      <alignment horizontal="left"/>
    </xf>
    <xf numFmtId="0" fontId="65" fillId="0" borderId="0" xfId="1" applyFont="1" applyAlignment="1">
      <alignment horizontal="left"/>
    </xf>
    <xf numFmtId="0" fontId="64" fillId="0" borderId="0" xfId="1" applyFont="1"/>
    <xf numFmtId="0" fontId="66" fillId="0" borderId="0" xfId="1" applyFont="1" applyAlignment="1">
      <alignment horizontal="right"/>
    </xf>
    <xf numFmtId="0" fontId="66" fillId="0" borderId="0" xfId="1" applyFont="1"/>
    <xf numFmtId="0" fontId="65" fillId="0" borderId="0" xfId="1" applyFont="1"/>
    <xf numFmtId="0" fontId="65" fillId="0" borderId="0" xfId="1" applyFont="1" applyAlignment="1">
      <alignment horizontal="right"/>
    </xf>
    <xf numFmtId="0" fontId="63" fillId="0" borderId="2" xfId="1" applyFont="1" applyBorder="1"/>
    <xf numFmtId="0" fontId="63" fillId="0" borderId="30" xfId="1" applyFont="1" applyBorder="1"/>
    <xf numFmtId="0" fontId="63" fillId="0" borderId="23" xfId="1" applyFont="1" applyBorder="1"/>
    <xf numFmtId="0" fontId="64" fillId="0" borderId="23" xfId="1" applyFont="1" applyBorder="1" applyAlignment="1">
      <alignment horizontal="center"/>
    </xf>
    <xf numFmtId="0" fontId="65" fillId="0" borderId="30" xfId="1" applyFont="1" applyBorder="1" applyAlignment="1">
      <alignment horizontal="left"/>
    </xf>
    <xf numFmtId="0" fontId="63" fillId="0" borderId="32" xfId="1" applyFont="1" applyBorder="1"/>
    <xf numFmtId="0" fontId="63" fillId="0" borderId="29" xfId="1" applyFont="1" applyBorder="1"/>
    <xf numFmtId="0" fontId="63" fillId="0" borderId="23" xfId="1" applyFont="1" applyBorder="1" applyAlignment="1">
      <alignment horizontal="right"/>
    </xf>
    <xf numFmtId="0" fontId="64" fillId="0" borderId="23" xfId="1" applyFont="1" applyBorder="1" applyAlignment="1">
      <alignment horizontal="right"/>
    </xf>
    <xf numFmtId="0" fontId="63" fillId="0" borderId="7" xfId="1" applyFont="1" applyBorder="1" applyAlignment="1">
      <alignment horizontal="center"/>
    </xf>
    <xf numFmtId="0" fontId="63" fillId="0" borderId="34" xfId="1" applyFont="1" applyBorder="1" applyAlignment="1">
      <alignment horizontal="center"/>
    </xf>
    <xf numFmtId="0" fontId="63" fillId="0" borderId="94" xfId="1" applyFont="1" applyBorder="1" applyAlignment="1">
      <alignment horizontal="center"/>
    </xf>
    <xf numFmtId="0" fontId="63" fillId="0" borderId="9" xfId="1" applyFont="1" applyBorder="1" applyAlignment="1">
      <alignment horizontal="center"/>
    </xf>
    <xf numFmtId="0" fontId="63" fillId="0" borderId="25" xfId="1" applyFont="1" applyBorder="1" applyAlignment="1">
      <alignment horizontal="center"/>
    </xf>
    <xf numFmtId="0" fontId="63" fillId="0" borderId="100" xfId="1" applyFont="1" applyBorder="1" applyAlignment="1">
      <alignment horizontal="center"/>
    </xf>
    <xf numFmtId="0" fontId="63" fillId="0" borderId="62" xfId="1" applyFont="1" applyBorder="1" applyAlignment="1">
      <alignment horizontal="center"/>
    </xf>
    <xf numFmtId="0" fontId="63" fillId="0" borderId="101" xfId="1" applyFont="1" applyBorder="1" applyAlignment="1">
      <alignment horizontal="center"/>
    </xf>
    <xf numFmtId="0" fontId="63" fillId="0" borderId="102" xfId="1" applyFont="1" applyBorder="1" applyAlignment="1">
      <alignment horizontal="center"/>
    </xf>
    <xf numFmtId="0" fontId="68" fillId="0" borderId="7" xfId="1" applyFont="1" applyBorder="1" applyAlignment="1">
      <alignment horizontal="center"/>
    </xf>
    <xf numFmtId="0" fontId="68" fillId="0" borderId="0" xfId="1" applyFont="1" applyAlignment="1">
      <alignment horizontal="center"/>
    </xf>
    <xf numFmtId="0" fontId="68" fillId="0" borderId="11" xfId="1" applyFont="1" applyBorder="1" applyAlignment="1">
      <alignment horizontal="center"/>
    </xf>
    <xf numFmtId="0" fontId="68" fillId="0" borderId="103" xfId="1" applyFont="1" applyBorder="1" applyAlignment="1">
      <alignment horizontal="center"/>
    </xf>
    <xf numFmtId="0" fontId="68" fillId="0" borderId="21" xfId="1" applyFont="1" applyBorder="1" applyAlignment="1">
      <alignment horizontal="center"/>
    </xf>
    <xf numFmtId="0" fontId="68" fillId="0" borderId="33" xfId="1" applyFont="1" applyBorder="1" applyAlignment="1">
      <alignment horizontal="center"/>
    </xf>
    <xf numFmtId="0" fontId="68" fillId="0" borderId="8" xfId="1" applyFont="1" applyBorder="1" applyAlignment="1">
      <alignment horizontal="center"/>
    </xf>
    <xf numFmtId="0" fontId="68" fillId="0" borderId="13" xfId="1" applyFont="1" applyBorder="1"/>
    <xf numFmtId="0" fontId="68" fillId="0" borderId="95" xfId="1" applyFont="1" applyBorder="1"/>
    <xf numFmtId="0" fontId="68" fillId="0" borderId="15" xfId="1" applyFont="1" applyBorder="1" applyAlignment="1">
      <alignment horizontal="center"/>
    </xf>
    <xf numFmtId="0" fontId="68" fillId="0" borderId="15" xfId="1" applyFont="1" applyBorder="1"/>
    <xf numFmtId="0" fontId="68" fillId="0" borderId="14" xfId="1" applyFont="1" applyBorder="1"/>
    <xf numFmtId="0" fontId="68" fillId="0" borderId="104" xfId="1" applyFont="1" applyBorder="1" applyAlignment="1">
      <alignment horizontal="center"/>
    </xf>
    <xf numFmtId="0" fontId="68" fillId="0" borderId="95" xfId="1" applyFont="1" applyBorder="1" applyAlignment="1">
      <alignment horizontal="center"/>
    </xf>
    <xf numFmtId="0" fontId="68" fillId="0" borderId="105" xfId="1" applyFont="1" applyBorder="1"/>
    <xf numFmtId="0" fontId="68" fillId="0" borderId="93" xfId="1" applyFont="1" applyBorder="1"/>
    <xf numFmtId="166" fontId="63" fillId="0" borderId="13" xfId="2" applyNumberFormat="1" applyFont="1" applyFill="1" applyBorder="1" applyAlignment="1" applyProtection="1">
      <alignment horizontal="left"/>
    </xf>
    <xf numFmtId="166" fontId="63" fillId="0" borderId="106" xfId="2" applyNumberFormat="1" applyFont="1" applyFill="1" applyBorder="1" applyProtection="1"/>
    <xf numFmtId="166" fontId="63" fillId="0" borderId="17" xfId="2" applyNumberFormat="1" applyFont="1" applyFill="1" applyBorder="1" applyProtection="1"/>
    <xf numFmtId="166" fontId="63" fillId="0" borderId="26" xfId="2" applyNumberFormat="1" applyFont="1" applyFill="1" applyBorder="1" applyProtection="1"/>
    <xf numFmtId="166" fontId="63" fillId="0" borderId="107" xfId="2" applyNumberFormat="1" applyFont="1" applyFill="1" applyBorder="1" applyProtection="1"/>
    <xf numFmtId="166" fontId="62" fillId="0" borderId="66" xfId="2" applyNumberFormat="1" applyFont="1" applyFill="1" applyBorder="1" applyAlignment="1" applyProtection="1">
      <alignment horizontal="left"/>
    </xf>
    <xf numFmtId="166" fontId="62" fillId="0" borderId="66" xfId="2" applyNumberFormat="1" applyFont="1" applyFill="1" applyBorder="1" applyProtection="1"/>
    <xf numFmtId="166" fontId="62" fillId="0" borderId="108" xfId="2" applyNumberFormat="1" applyFont="1" applyFill="1" applyBorder="1" applyProtection="1"/>
    <xf numFmtId="166" fontId="62" fillId="0" borderId="109" xfId="2" applyNumberFormat="1" applyFont="1" applyFill="1" applyBorder="1" applyProtection="1"/>
    <xf numFmtId="166" fontId="62" fillId="0" borderId="7" xfId="2" applyNumberFormat="1" applyFont="1" applyFill="1" applyBorder="1" applyProtection="1"/>
    <xf numFmtId="164" fontId="62" fillId="0" borderId="0" xfId="3" applyFont="1"/>
    <xf numFmtId="165" fontId="62" fillId="0" borderId="110" xfId="2" applyFont="1" applyFill="1" applyBorder="1" applyProtection="1"/>
    <xf numFmtId="166" fontId="62" fillId="0" borderId="8" xfId="2" applyNumberFormat="1" applyFont="1" applyFill="1" applyBorder="1" applyProtection="1"/>
    <xf numFmtId="166" fontId="62" fillId="0" borderId="21" xfId="2" applyNumberFormat="1" applyFont="1" applyFill="1" applyBorder="1" applyProtection="1"/>
    <xf numFmtId="166" fontId="62" fillId="0" borderId="55" xfId="2" applyNumberFormat="1" applyFont="1" applyFill="1" applyBorder="1" applyProtection="1"/>
    <xf numFmtId="165" fontId="62" fillId="0" borderId="66" xfId="2" applyFont="1" applyFill="1" applyBorder="1" applyProtection="1"/>
    <xf numFmtId="164" fontId="62" fillId="0" borderId="0" xfId="3" applyFont="1" applyFill="1"/>
    <xf numFmtId="166" fontId="62" fillId="0" borderId="111" xfId="2" applyNumberFormat="1" applyFont="1" applyFill="1" applyBorder="1" applyAlignment="1" applyProtection="1">
      <alignment horizontal="left"/>
    </xf>
    <xf numFmtId="165" fontId="62" fillId="0" borderId="111" xfId="2" applyFont="1" applyFill="1" applyBorder="1" applyProtection="1"/>
    <xf numFmtId="166" fontId="62" fillId="0" borderId="112" xfId="2" applyNumberFormat="1" applyFont="1" applyFill="1" applyBorder="1" applyProtection="1"/>
    <xf numFmtId="166" fontId="62" fillId="0" borderId="113" xfId="2" applyNumberFormat="1" applyFont="1" applyFill="1" applyBorder="1" applyProtection="1"/>
    <xf numFmtId="166" fontId="62" fillId="0" borderId="18" xfId="2" applyNumberFormat="1" applyFont="1" applyFill="1" applyBorder="1" applyProtection="1"/>
    <xf numFmtId="0" fontId="62" fillId="0" borderId="0" xfId="1" quotePrefix="1" applyFont="1" applyAlignment="1">
      <alignment horizontal="center"/>
    </xf>
    <xf numFmtId="0" fontId="62" fillId="0" borderId="0" xfId="1" quotePrefix="1" applyFont="1"/>
    <xf numFmtId="0" fontId="70" fillId="0" borderId="0" xfId="1" applyFont="1"/>
    <xf numFmtId="0" fontId="63" fillId="0" borderId="31" xfId="1" applyFont="1" applyBorder="1"/>
    <xf numFmtId="0" fontId="63" fillId="0" borderId="114" xfId="1" applyFont="1" applyBorder="1"/>
    <xf numFmtId="0" fontId="63" fillId="0" borderId="31" xfId="1" applyFont="1" applyBorder="1" applyAlignment="1">
      <alignment horizontal="right"/>
    </xf>
    <xf numFmtId="0" fontId="64" fillId="0" borderId="31" xfId="1" applyFont="1" applyBorder="1" applyAlignment="1">
      <alignment horizontal="right"/>
    </xf>
    <xf numFmtId="0" fontId="63" fillId="0" borderId="24" xfId="1" applyFont="1" applyBorder="1"/>
    <xf numFmtId="0" fontId="63" fillId="0" borderId="35" xfId="1" applyFont="1" applyBorder="1" applyAlignment="1">
      <alignment horizontal="center"/>
    </xf>
    <xf numFmtId="0" fontId="63" fillId="0" borderId="115" xfId="1" applyFont="1" applyBorder="1" applyAlignment="1">
      <alignment horizontal="center"/>
    </xf>
    <xf numFmtId="0" fontId="63" fillId="0" borderId="116" xfId="1" applyFont="1" applyBorder="1" applyAlignment="1">
      <alignment horizontal="center"/>
    </xf>
    <xf numFmtId="0" fontId="63" fillId="0" borderId="10" xfId="1" applyFont="1" applyBorder="1" applyAlignment="1">
      <alignment horizontal="center"/>
    </xf>
    <xf numFmtId="0" fontId="68" fillId="0" borderId="52" xfId="1" applyFont="1" applyBorder="1" applyAlignment="1">
      <alignment horizontal="center"/>
    </xf>
    <xf numFmtId="0" fontId="68" fillId="0" borderId="55" xfId="1" applyFont="1" applyBorder="1" applyAlignment="1">
      <alignment horizontal="center"/>
    </xf>
    <xf numFmtId="0" fontId="68" fillId="0" borderId="35" xfId="1" applyFont="1" applyBorder="1" applyAlignment="1">
      <alignment horizontal="center"/>
    </xf>
    <xf numFmtId="0" fontId="68" fillId="0" borderId="12" xfId="1" applyFont="1" applyBorder="1" applyAlignment="1">
      <alignment horizontal="center"/>
    </xf>
    <xf numFmtId="0" fontId="68" fillId="0" borderId="0" xfId="1" applyFont="1"/>
    <xf numFmtId="0" fontId="68" fillId="0" borderId="97" xfId="1" applyFont="1" applyBorder="1"/>
    <xf numFmtId="0" fontId="68" fillId="0" borderId="117" xfId="1" applyFont="1" applyBorder="1"/>
    <xf numFmtId="0" fontId="68" fillId="0" borderId="118" xfId="1" applyFont="1" applyBorder="1"/>
    <xf numFmtId="0" fontId="68" fillId="0" borderId="16" xfId="1" applyFont="1" applyBorder="1"/>
    <xf numFmtId="167" fontId="63" fillId="0" borderId="13" xfId="2" applyNumberFormat="1" applyFont="1" applyFill="1" applyBorder="1" applyAlignment="1" applyProtection="1">
      <alignment horizontal="left"/>
    </xf>
    <xf numFmtId="167" fontId="63" fillId="0" borderId="119" xfId="2" applyNumberFormat="1" applyFont="1" applyFill="1" applyBorder="1" applyProtection="1"/>
    <xf numFmtId="167" fontId="63" fillId="0" borderId="17" xfId="2" applyNumberFormat="1" applyFont="1" applyFill="1" applyBorder="1" applyProtection="1"/>
    <xf numFmtId="167" fontId="63" fillId="0" borderId="26" xfId="2" applyNumberFormat="1" applyFont="1" applyFill="1" applyBorder="1" applyProtection="1"/>
    <xf numFmtId="167" fontId="63" fillId="0" borderId="107" xfId="2" applyNumberFormat="1" applyFont="1" applyFill="1" applyBorder="1" applyProtection="1"/>
    <xf numFmtId="167" fontId="63" fillId="0" borderId="120" xfId="2" applyNumberFormat="1" applyFont="1" applyFill="1" applyBorder="1" applyProtection="1"/>
    <xf numFmtId="167" fontId="63" fillId="0" borderId="121" xfId="2" applyNumberFormat="1" applyFont="1" applyFill="1" applyBorder="1" applyProtection="1"/>
    <xf numFmtId="167" fontId="63" fillId="0" borderId="122" xfId="2" applyNumberFormat="1" applyFont="1" applyFill="1" applyBorder="1" applyProtection="1"/>
    <xf numFmtId="167" fontId="62" fillId="0" borderId="0" xfId="2" applyNumberFormat="1" applyFont="1"/>
    <xf numFmtId="165" fontId="62" fillId="0" borderId="0" xfId="2" applyFont="1"/>
    <xf numFmtId="165" fontId="62" fillId="0" borderId="0" xfId="2" applyFont="1" applyFill="1"/>
    <xf numFmtId="167" fontId="62" fillId="0" borderId="0" xfId="2" applyNumberFormat="1" applyFont="1" applyFill="1"/>
    <xf numFmtId="166" fontId="62" fillId="0" borderId="91" xfId="2" applyNumberFormat="1" applyFont="1" applyFill="1" applyBorder="1" applyProtection="1"/>
    <xf numFmtId="0" fontId="61" fillId="0" borderId="0" xfId="1" applyFont="1" applyAlignment="1">
      <alignment horizontal="right"/>
    </xf>
    <xf numFmtId="164" fontId="61" fillId="0" borderId="0" xfId="1" applyNumberFormat="1" applyFont="1" applyAlignment="1">
      <alignment horizontal="right"/>
    </xf>
    <xf numFmtId="164" fontId="71" fillId="0" borderId="0" xfId="1" applyNumberFormat="1" applyFont="1" applyAlignment="1">
      <alignment horizontal="right"/>
    </xf>
    <xf numFmtId="164" fontId="71" fillId="0" borderId="0" xfId="1" applyNumberFormat="1" applyFont="1"/>
    <xf numFmtId="0" fontId="0" fillId="0" borderId="0" xfId="0" applyAlignment="1">
      <alignment wrapText="1"/>
    </xf>
    <xf numFmtId="0" fontId="63" fillId="0" borderId="0" xfId="1" applyFont="1" applyAlignment="1">
      <alignment horizontal="center"/>
    </xf>
    <xf numFmtId="0" fontId="68" fillId="0" borderId="7" xfId="1" applyFont="1" applyBorder="1" applyAlignment="1">
      <alignment horizontal="center" vertical="center"/>
    </xf>
    <xf numFmtId="169" fontId="68" fillId="0" borderId="0" xfId="1" applyNumberFormat="1" applyFont="1" applyAlignment="1">
      <alignment horizontal="center" vertical="center"/>
    </xf>
    <xf numFmtId="0" fontId="0" fillId="0" borderId="0" xfId="0" applyAlignment="1">
      <alignment horizontal="center" vertical="center"/>
    </xf>
    <xf numFmtId="164" fontId="68" fillId="0" borderId="0" xfId="1" applyNumberFormat="1" applyFont="1"/>
    <xf numFmtId="166" fontId="63" fillId="0" borderId="0" xfId="2" applyNumberFormat="1" applyFont="1" applyFill="1" applyBorder="1" applyAlignment="1" applyProtection="1">
      <alignment horizontal="left"/>
    </xf>
    <xf numFmtId="164" fontId="0" fillId="0" borderId="0" xfId="0" applyNumberFormat="1" applyAlignment="1">
      <alignment wrapText="1"/>
    </xf>
    <xf numFmtId="0" fontId="0" fillId="3" borderId="0" xfId="0" applyFill="1" applyAlignment="1">
      <alignment wrapText="1"/>
    </xf>
    <xf numFmtId="164" fontId="0" fillId="3" borderId="0" xfId="0" applyNumberFormat="1" applyFill="1" applyAlignment="1">
      <alignment wrapText="1"/>
    </xf>
    <xf numFmtId="0" fontId="26" fillId="0" borderId="2" xfId="1" applyFont="1" applyBorder="1"/>
    <xf numFmtId="0" fontId="16" fillId="0" borderId="0" xfId="0" applyFont="1" applyAlignment="1">
      <alignment horizontal="center" wrapText="1"/>
    </xf>
    <xf numFmtId="164" fontId="73" fillId="0" borderId="0" xfId="1" applyNumberFormat="1" applyFont="1" applyAlignment="1">
      <alignment horizontal="center"/>
    </xf>
    <xf numFmtId="166" fontId="62" fillId="0" borderId="123" xfId="2" applyNumberFormat="1" applyFont="1" applyFill="1" applyBorder="1" applyProtection="1"/>
    <xf numFmtId="166" fontId="62" fillId="0" borderId="124" xfId="2" applyNumberFormat="1" applyFont="1" applyFill="1" applyBorder="1" applyProtection="1"/>
    <xf numFmtId="165" fontId="62" fillId="0" borderId="123" xfId="2" applyFont="1" applyFill="1" applyBorder="1" applyProtection="1"/>
    <xf numFmtId="0" fontId="27" fillId="0" borderId="7" xfId="1" applyFont="1" applyBorder="1" applyAlignment="1">
      <alignment horizontal="center" vertical="center"/>
    </xf>
    <xf numFmtId="169" fontId="27" fillId="0" borderId="0" xfId="1" applyNumberFormat="1" applyFont="1" applyAlignment="1">
      <alignment horizontal="center" vertical="center"/>
    </xf>
    <xf numFmtId="0" fontId="51" fillId="0" borderId="0" xfId="0" applyFont="1" applyAlignment="1">
      <alignment vertical="center"/>
    </xf>
    <xf numFmtId="0" fontId="62" fillId="0" borderId="0" xfId="1" applyFont="1" applyAlignment="1">
      <alignment horizontal="center"/>
    </xf>
    <xf numFmtId="0" fontId="63" fillId="0" borderId="3" xfId="1" applyFont="1" applyBorder="1"/>
    <xf numFmtId="0" fontId="65" fillId="0" borderId="23" xfId="1" applyFont="1" applyBorder="1" applyAlignment="1">
      <alignment horizontal="center"/>
    </xf>
    <xf numFmtId="0" fontId="63" fillId="0" borderId="23" xfId="1" applyFont="1" applyBorder="1" applyAlignment="1">
      <alignment horizontal="left"/>
    </xf>
    <xf numFmtId="0" fontId="65" fillId="0" borderId="23" xfId="1" applyFont="1" applyBorder="1" applyAlignment="1">
      <alignment horizontal="left"/>
    </xf>
    <xf numFmtId="0" fontId="64" fillId="0" borderId="23" xfId="1" applyFont="1" applyBorder="1" applyAlignment="1">
      <alignment horizontal="left"/>
    </xf>
    <xf numFmtId="0" fontId="63" fillId="0" borderId="126" xfId="1" applyFont="1" applyBorder="1"/>
    <xf numFmtId="0" fontId="63" fillId="0" borderId="8" xfId="1" applyFont="1" applyBorder="1" applyAlignment="1">
      <alignment horizontal="center"/>
    </xf>
    <xf numFmtId="0" fontId="63" fillId="0" borderId="41" xfId="1" applyFont="1" applyBorder="1" applyAlignment="1">
      <alignment horizontal="center"/>
    </xf>
    <xf numFmtId="0" fontId="68" fillId="0" borderId="14" xfId="1" applyFont="1" applyBorder="1" applyAlignment="1">
      <alignment horizontal="center"/>
    </xf>
    <xf numFmtId="166" fontId="63" fillId="0" borderId="20" xfId="2" applyNumberFormat="1" applyFont="1" applyFill="1" applyBorder="1" applyProtection="1"/>
    <xf numFmtId="166" fontId="63" fillId="0" borderId="122" xfId="2" applyNumberFormat="1" applyFont="1" applyFill="1" applyBorder="1" applyProtection="1"/>
    <xf numFmtId="166" fontId="62" fillId="0" borderId="7" xfId="2" applyNumberFormat="1" applyFont="1" applyFill="1" applyBorder="1" applyAlignment="1" applyProtection="1">
      <alignment horizontal="left"/>
    </xf>
    <xf numFmtId="166" fontId="62" fillId="0" borderId="18" xfId="2" applyNumberFormat="1" applyFont="1" applyFill="1" applyBorder="1" applyAlignment="1" applyProtection="1">
      <alignment horizontal="left"/>
    </xf>
    <xf numFmtId="0" fontId="65" fillId="0" borderId="125" xfId="1" applyFont="1" applyBorder="1"/>
    <xf numFmtId="0" fontId="62" fillId="0" borderId="125" xfId="1" applyFont="1" applyBorder="1"/>
    <xf numFmtId="167" fontId="62" fillId="0" borderId="8" xfId="2" applyNumberFormat="1" applyFont="1" applyFill="1" applyBorder="1" applyProtection="1"/>
    <xf numFmtId="167" fontId="62" fillId="0" borderId="21" xfId="2" applyNumberFormat="1" applyFont="1" applyFill="1" applyBorder="1" applyProtection="1"/>
    <xf numFmtId="167" fontId="62" fillId="0" borderId="7" xfId="2" applyNumberFormat="1" applyFont="1" applyFill="1" applyBorder="1" applyProtection="1"/>
    <xf numFmtId="167" fontId="62" fillId="0" borderId="112" xfId="2" applyNumberFormat="1" applyFont="1" applyFill="1" applyBorder="1" applyProtection="1"/>
    <xf numFmtId="167" fontId="62" fillId="0" borderId="113" xfId="2" applyNumberFormat="1" applyFont="1" applyFill="1" applyBorder="1" applyProtection="1"/>
    <xf numFmtId="167" fontId="62" fillId="0" borderId="18" xfId="2" applyNumberFormat="1" applyFont="1" applyFill="1" applyBorder="1" applyProtection="1"/>
    <xf numFmtId="167" fontId="62" fillId="0" borderId="0" xfId="1" applyNumberFormat="1" applyFont="1"/>
    <xf numFmtId="167" fontId="24" fillId="0" borderId="0" xfId="2" applyNumberFormat="1" applyFont="1" applyFill="1"/>
    <xf numFmtId="167" fontId="24" fillId="0" borderId="0" xfId="2" applyNumberFormat="1" applyFont="1"/>
    <xf numFmtId="0" fontId="60" fillId="3" borderId="0" xfId="1" applyFont="1" applyFill="1"/>
    <xf numFmtId="0" fontId="63" fillId="0" borderId="127" xfId="1" applyFont="1" applyBorder="1"/>
    <xf numFmtId="0" fontId="63" fillId="0" borderId="11" xfId="1" applyFont="1" applyBorder="1" applyAlignment="1">
      <alignment horizontal="center"/>
    </xf>
    <xf numFmtId="166" fontId="63" fillId="0" borderId="119" xfId="2" applyNumberFormat="1" applyFont="1" applyFill="1" applyBorder="1" applyProtection="1"/>
    <xf numFmtId="166" fontId="62" fillId="0" borderId="110" xfId="2" applyNumberFormat="1" applyFont="1" applyFill="1" applyBorder="1" applyProtection="1"/>
    <xf numFmtId="165" fontId="62" fillId="0" borderId="8" xfId="2" applyFont="1" applyFill="1" applyBorder="1" applyProtection="1"/>
    <xf numFmtId="166" fontId="62" fillId="0" borderId="22" xfId="2" applyNumberFormat="1" applyFont="1" applyFill="1" applyBorder="1" applyProtection="1"/>
    <xf numFmtId="0" fontId="63" fillId="0" borderId="128" xfId="1" applyFont="1" applyBorder="1"/>
    <xf numFmtId="37" fontId="63" fillId="0" borderId="119" xfId="1" applyNumberFormat="1" applyFont="1" applyBorder="1"/>
    <xf numFmtId="164" fontId="62" fillId="0" borderId="0" xfId="18" applyFont="1"/>
    <xf numFmtId="164" fontId="24" fillId="0" borderId="0" xfId="18" applyFont="1"/>
    <xf numFmtId="0" fontId="61" fillId="0" borderId="0" xfId="1" applyFont="1" applyAlignment="1">
      <alignment horizontal="center"/>
    </xf>
    <xf numFmtId="0" fontId="63" fillId="0" borderId="0" xfId="20" applyFont="1" applyAlignment="1">
      <alignment horizontal="centerContinuous"/>
    </xf>
    <xf numFmtId="0" fontId="62" fillId="0" borderId="0" xfId="20" applyFont="1"/>
    <xf numFmtId="0" fontId="62" fillId="0" borderId="0" xfId="20" applyFont="1" applyAlignment="1">
      <alignment horizontal="centerContinuous"/>
    </xf>
    <xf numFmtId="0" fontId="62" fillId="0" borderId="0" xfId="20" applyFont="1" applyAlignment="1">
      <alignment horizontal="center"/>
    </xf>
    <xf numFmtId="0" fontId="65" fillId="0" borderId="0" xfId="20" applyFont="1"/>
    <xf numFmtId="0" fontId="63" fillId="0" borderId="0" xfId="20" applyFont="1" applyAlignment="1">
      <alignment horizontal="right"/>
    </xf>
    <xf numFmtId="0" fontId="62" fillId="0" borderId="0" xfId="20" applyFont="1" applyAlignment="1">
      <alignment horizontal="right"/>
    </xf>
    <xf numFmtId="0" fontId="63" fillId="0" borderId="65" xfId="20" applyFont="1" applyBorder="1" applyAlignment="1">
      <alignment horizontal="centerContinuous"/>
    </xf>
    <xf numFmtId="0" fontId="63" fillId="0" borderId="5" xfId="20" quotePrefix="1" applyFont="1" applyBorder="1" applyAlignment="1">
      <alignment horizontal="center"/>
    </xf>
    <xf numFmtId="0" fontId="63" fillId="0" borderId="0" xfId="20" applyFont="1" applyAlignment="1">
      <alignment horizontal="center"/>
    </xf>
    <xf numFmtId="0" fontId="63" fillId="0" borderId="31" xfId="20" applyFont="1" applyBorder="1" applyAlignment="1">
      <alignment horizontal="center"/>
    </xf>
    <xf numFmtId="0" fontId="63" fillId="0" borderId="30" xfId="20" applyFont="1" applyBorder="1" applyAlignment="1">
      <alignment horizontal="center"/>
    </xf>
    <xf numFmtId="0" fontId="63" fillId="0" borderId="30" xfId="20" applyFont="1" applyBorder="1" applyAlignment="1">
      <alignment horizontal="centerContinuous"/>
    </xf>
    <xf numFmtId="0" fontId="63" fillId="0" borderId="32" xfId="20" applyFont="1" applyBorder="1" applyAlignment="1">
      <alignment horizontal="centerContinuous"/>
    </xf>
    <xf numFmtId="0" fontId="63" fillId="0" borderId="66" xfId="20" applyFont="1" applyBorder="1" applyAlignment="1">
      <alignment horizontal="centerContinuous"/>
    </xf>
    <xf numFmtId="0" fontId="63" fillId="0" borderId="25" xfId="20" applyFont="1" applyBorder="1" applyAlignment="1">
      <alignment horizontal="centerContinuous"/>
    </xf>
    <xf numFmtId="0" fontId="63" fillId="0" borderId="66" xfId="20" applyFont="1" applyBorder="1" applyAlignment="1">
      <alignment horizontal="center"/>
    </xf>
    <xf numFmtId="0" fontId="63" fillId="0" borderId="41" xfId="20" applyFont="1" applyBorder="1" applyAlignment="1">
      <alignment horizontal="center"/>
    </xf>
    <xf numFmtId="0" fontId="65" fillId="0" borderId="0" xfId="20" applyFont="1" applyAlignment="1">
      <alignment horizontal="center"/>
    </xf>
    <xf numFmtId="0" fontId="65" fillId="0" borderId="103" xfId="20" applyFont="1" applyBorder="1" applyAlignment="1">
      <alignment horizontal="center"/>
    </xf>
    <xf numFmtId="0" fontId="65" fillId="0" borderId="35" xfId="20" applyFont="1" applyBorder="1" applyAlignment="1">
      <alignment horizontal="center"/>
    </xf>
    <xf numFmtId="0" fontId="65" fillId="0" borderId="41" xfId="20" applyFont="1" applyBorder="1" applyAlignment="1">
      <alignment horizontal="center"/>
    </xf>
    <xf numFmtId="0" fontId="63" fillId="0" borderId="33" xfId="20" applyFont="1" applyBorder="1" applyAlignment="1">
      <alignment horizontal="centerContinuous"/>
    </xf>
    <xf numFmtId="0" fontId="63" fillId="0" borderId="34" xfId="20" applyFont="1" applyBorder="1" applyAlignment="1">
      <alignment horizontal="centerContinuous"/>
    </xf>
    <xf numFmtId="0" fontId="65" fillId="0" borderId="58" xfId="20" applyFont="1" applyBorder="1" applyAlignment="1">
      <alignment horizontal="center"/>
    </xf>
    <xf numFmtId="0" fontId="68" fillId="0" borderId="36" xfId="20" applyFont="1" applyBorder="1" applyAlignment="1">
      <alignment horizontal="center" vertical="top"/>
    </xf>
    <xf numFmtId="0" fontId="68" fillId="0" borderId="129" xfId="20" applyFont="1" applyBorder="1" applyAlignment="1">
      <alignment horizontal="center" vertical="top"/>
    </xf>
    <xf numFmtId="0" fontId="68" fillId="0" borderId="130" xfId="20" applyFont="1" applyBorder="1" applyAlignment="1">
      <alignment horizontal="center" vertical="top"/>
    </xf>
    <xf numFmtId="0" fontId="68" fillId="0" borderId="37" xfId="20" applyFont="1" applyBorder="1" applyAlignment="1">
      <alignment horizontal="center" vertical="top"/>
    </xf>
    <xf numFmtId="0" fontId="68" fillId="0" borderId="89" xfId="20" applyFont="1" applyBorder="1" applyAlignment="1">
      <alignment horizontal="center" vertical="top"/>
    </xf>
    <xf numFmtId="0" fontId="65" fillId="0" borderId="58" xfId="20" applyFont="1" applyBorder="1" applyAlignment="1">
      <alignment horizontal="center" vertical="top"/>
    </xf>
    <xf numFmtId="0" fontId="68" fillId="0" borderId="58" xfId="20" applyFont="1" applyBorder="1" applyAlignment="1">
      <alignment horizontal="center" vertical="top"/>
    </xf>
    <xf numFmtId="0" fontId="65" fillId="0" borderId="53" xfId="20" applyFont="1" applyBorder="1" applyAlignment="1">
      <alignment horizontal="center" vertical="top"/>
    </xf>
    <xf numFmtId="0" fontId="63" fillId="0" borderId="83" xfId="20" applyFont="1" applyBorder="1" applyAlignment="1">
      <alignment horizontal="centerContinuous"/>
    </xf>
    <xf numFmtId="0" fontId="63" fillId="0" borderId="37" xfId="20" applyFont="1" applyBorder="1" applyAlignment="1">
      <alignment horizontal="centerContinuous"/>
    </xf>
    <xf numFmtId="0" fontId="63" fillId="0" borderId="36" xfId="20" applyFont="1" applyBorder="1" applyAlignment="1">
      <alignment horizontal="center"/>
    </xf>
    <xf numFmtId="0" fontId="63" fillId="0" borderId="36" xfId="20" applyFont="1" applyBorder="1" applyAlignment="1">
      <alignment horizontal="centerContinuous"/>
    </xf>
    <xf numFmtId="0" fontId="63" fillId="0" borderId="58" xfId="20" applyFont="1" applyBorder="1" applyAlignment="1">
      <alignment horizontal="centerContinuous"/>
    </xf>
    <xf numFmtId="0" fontId="63" fillId="0" borderId="41" xfId="20" applyFont="1" applyBorder="1" applyAlignment="1">
      <alignment horizontal="centerContinuous"/>
    </xf>
    <xf numFmtId="0" fontId="63" fillId="0" borderId="0" xfId="20" applyFont="1"/>
    <xf numFmtId="0" fontId="63" fillId="0" borderId="131" xfId="20" applyFont="1" applyBorder="1" applyAlignment="1">
      <alignment horizontal="centerContinuous"/>
    </xf>
    <xf numFmtId="0" fontId="63" fillId="0" borderId="132" xfId="20" applyFont="1" applyBorder="1" applyAlignment="1">
      <alignment horizontal="centerContinuous"/>
    </xf>
    <xf numFmtId="166" fontId="63" fillId="0" borderId="66" xfId="2" applyNumberFormat="1" applyFont="1" applyFill="1" applyBorder="1" applyProtection="1"/>
    <xf numFmtId="166" fontId="63" fillId="0" borderId="34" xfId="2" applyNumberFormat="1" applyFont="1" applyFill="1" applyBorder="1" applyProtection="1"/>
    <xf numFmtId="166" fontId="63" fillId="0" borderId="41" xfId="20" applyNumberFormat="1" applyFont="1" applyBorder="1"/>
    <xf numFmtId="0" fontId="62" fillId="0" borderId="33" xfId="20" applyFont="1" applyBorder="1"/>
    <xf numFmtId="0" fontId="62" fillId="0" borderId="66" xfId="20" applyFont="1" applyBorder="1"/>
    <xf numFmtId="166" fontId="62" fillId="0" borderId="34" xfId="2" applyNumberFormat="1" applyFont="1" applyFill="1" applyBorder="1" applyProtection="1"/>
    <xf numFmtId="166" fontId="62" fillId="0" borderId="41" xfId="20" applyNumberFormat="1" applyFont="1" applyBorder="1"/>
    <xf numFmtId="37" fontId="62" fillId="0" borderId="93" xfId="20" applyNumberFormat="1" applyFont="1" applyBorder="1" applyAlignment="1">
      <alignment horizontal="center"/>
    </xf>
    <xf numFmtId="37" fontId="62" fillId="0" borderId="77" xfId="20" applyNumberFormat="1" applyFont="1" applyBorder="1"/>
    <xf numFmtId="165" fontId="62" fillId="0" borderId="77" xfId="2" applyFont="1" applyFill="1" applyBorder="1" applyProtection="1"/>
    <xf numFmtId="166" fontId="62" fillId="0" borderId="77" xfId="2" applyNumberFormat="1" applyFont="1" applyFill="1" applyBorder="1" applyProtection="1"/>
    <xf numFmtId="166" fontId="62" fillId="0" borderId="98" xfId="2" applyNumberFormat="1" applyFont="1" applyFill="1" applyBorder="1" applyProtection="1"/>
    <xf numFmtId="166" fontId="62" fillId="0" borderId="133" xfId="2" applyNumberFormat="1" applyFont="1" applyFill="1" applyBorder="1" applyProtection="1"/>
    <xf numFmtId="166" fontId="62" fillId="0" borderId="98" xfId="20" applyNumberFormat="1" applyFont="1" applyBorder="1"/>
    <xf numFmtId="37" fontId="62" fillId="0" borderId="33" xfId="20" applyNumberFormat="1" applyFont="1" applyBorder="1" applyAlignment="1">
      <alignment horizontal="center"/>
    </xf>
    <xf numFmtId="37" fontId="62" fillId="0" borderId="66" xfId="20" applyNumberFormat="1" applyFont="1" applyBorder="1"/>
    <xf numFmtId="166" fontId="62" fillId="0" borderId="41" xfId="2" applyNumberFormat="1" applyFont="1" applyFill="1" applyBorder="1" applyProtection="1"/>
    <xf numFmtId="166" fontId="62" fillId="0" borderId="25" xfId="2" applyNumberFormat="1" applyFont="1" applyFill="1" applyBorder="1" applyProtection="1"/>
    <xf numFmtId="166" fontId="62" fillId="0" borderId="100" xfId="2" applyNumberFormat="1" applyFont="1" applyFill="1" applyBorder="1" applyProtection="1"/>
    <xf numFmtId="165" fontId="62" fillId="0" borderId="8" xfId="20" applyNumberFormat="1" applyFont="1" applyBorder="1"/>
    <xf numFmtId="165" fontId="62" fillId="0" borderId="0" xfId="20" applyNumberFormat="1" applyFont="1"/>
    <xf numFmtId="166" fontId="62" fillId="0" borderId="0" xfId="2" applyNumberFormat="1" applyFont="1" applyFill="1" applyBorder="1" applyProtection="1"/>
    <xf numFmtId="165" fontId="62" fillId="0" borderId="35" xfId="2" applyFont="1" applyFill="1" applyBorder="1" applyAlignment="1" applyProtection="1"/>
    <xf numFmtId="37" fontId="62" fillId="0" borderId="33" xfId="20" quotePrefix="1" applyNumberFormat="1" applyFont="1" applyBorder="1" applyAlignment="1">
      <alignment horizontal="center"/>
    </xf>
    <xf numFmtId="166" fontId="65" fillId="0" borderId="41" xfId="20" applyNumberFormat="1" applyFont="1" applyBorder="1" applyAlignment="1">
      <alignment horizontal="center"/>
    </xf>
    <xf numFmtId="0" fontId="62" fillId="0" borderId="46" xfId="20" applyFont="1" applyBorder="1"/>
    <xf numFmtId="0" fontId="62" fillId="0" borderId="111" xfId="20" applyFont="1" applyBorder="1"/>
    <xf numFmtId="166" fontId="62" fillId="0" borderId="111" xfId="2" applyNumberFormat="1" applyFont="1" applyFill="1" applyBorder="1" applyProtection="1"/>
    <xf numFmtId="166" fontId="62" fillId="0" borderId="48" xfId="2" applyNumberFormat="1" applyFont="1" applyFill="1" applyBorder="1"/>
    <xf numFmtId="166" fontId="62" fillId="0" borderId="111" xfId="20" applyNumberFormat="1" applyFont="1" applyBorder="1"/>
    <xf numFmtId="166" fontId="62" fillId="0" borderId="112" xfId="20" applyNumberFormat="1" applyFont="1" applyBorder="1"/>
    <xf numFmtId="166" fontId="62" fillId="0" borderId="134" xfId="20" applyNumberFormat="1" applyFont="1" applyBorder="1"/>
    <xf numFmtId="166" fontId="62" fillId="0" borderId="48" xfId="20" applyNumberFormat="1" applyFont="1" applyBorder="1"/>
    <xf numFmtId="39" fontId="62" fillId="0" borderId="0" xfId="20" applyNumberFormat="1" applyFont="1"/>
    <xf numFmtId="0" fontId="62" fillId="0" borderId="0" xfId="20" quotePrefix="1" applyFont="1" applyAlignment="1">
      <alignment horizontal="center"/>
    </xf>
    <xf numFmtId="0" fontId="78" fillId="0" borderId="0" xfId="20" applyFont="1"/>
    <xf numFmtId="0" fontId="65" fillId="0" borderId="12" xfId="20" applyFont="1" applyBorder="1" applyAlignment="1">
      <alignment horizontal="center"/>
    </xf>
    <xf numFmtId="0" fontId="63" fillId="0" borderId="12" xfId="20" applyFont="1" applyBorder="1" applyAlignment="1">
      <alignment horizontal="centerContinuous"/>
    </xf>
    <xf numFmtId="167" fontId="79" fillId="0" borderId="0" xfId="2" applyNumberFormat="1" applyFont="1" applyFill="1"/>
    <xf numFmtId="37" fontId="63" fillId="0" borderId="33" xfId="20" applyNumberFormat="1" applyFont="1" applyBorder="1" applyAlignment="1">
      <alignment horizontal="centerContinuous"/>
    </xf>
    <xf numFmtId="37" fontId="63" fillId="0" borderId="66" xfId="20" applyNumberFormat="1" applyFont="1" applyBorder="1" applyAlignment="1">
      <alignment horizontal="centerContinuous"/>
    </xf>
    <xf numFmtId="167" fontId="77" fillId="0" borderId="66" xfId="2" applyNumberFormat="1" applyFont="1" applyFill="1" applyBorder="1" applyProtection="1"/>
    <xf numFmtId="37" fontId="63" fillId="0" borderId="0" xfId="20" applyNumberFormat="1" applyFont="1"/>
    <xf numFmtId="167" fontId="63" fillId="0" borderId="131" xfId="2" applyNumberFormat="1" applyFont="1" applyFill="1" applyBorder="1" applyAlignment="1" applyProtection="1">
      <alignment horizontal="centerContinuous"/>
    </xf>
    <xf numFmtId="167" fontId="63" fillId="0" borderId="132" xfId="2" applyNumberFormat="1" applyFont="1" applyFill="1" applyBorder="1" applyAlignment="1">
      <alignment horizontal="centerContinuous"/>
    </xf>
    <xf numFmtId="167" fontId="63" fillId="0" borderId="66" xfId="2" applyNumberFormat="1" applyFont="1" applyFill="1" applyBorder="1" applyProtection="1"/>
    <xf numFmtId="0" fontId="63" fillId="0" borderId="41" xfId="20" applyFont="1" applyBorder="1"/>
    <xf numFmtId="167" fontId="80" fillId="0" borderId="77" xfId="2" applyNumberFormat="1" applyFont="1" applyFill="1" applyBorder="1" applyProtection="1"/>
    <xf numFmtId="167" fontId="80" fillId="0" borderId="98" xfId="2" applyNumberFormat="1" applyFont="1" applyFill="1" applyBorder="1" applyProtection="1"/>
    <xf numFmtId="37" fontId="62" fillId="0" borderId="0" xfId="20" applyNumberFormat="1" applyFont="1"/>
    <xf numFmtId="167" fontId="62" fillId="0" borderId="93" xfId="2" applyNumberFormat="1" applyFont="1" applyFill="1" applyBorder="1" applyAlignment="1">
      <alignment horizontal="center"/>
    </xf>
    <xf numFmtId="167" fontId="62" fillId="0" borderId="77" xfId="2" applyNumberFormat="1" applyFont="1" applyFill="1" applyBorder="1"/>
    <xf numFmtId="167" fontId="62" fillId="0" borderId="77" xfId="2" applyNumberFormat="1" applyFont="1" applyFill="1" applyBorder="1" applyProtection="1"/>
    <xf numFmtId="0" fontId="62" fillId="0" borderId="98" xfId="20" applyFont="1" applyBorder="1"/>
    <xf numFmtId="167" fontId="80" fillId="0" borderId="66" xfId="2" applyNumberFormat="1" applyFont="1" applyFill="1" applyBorder="1" applyProtection="1"/>
    <xf numFmtId="167" fontId="80" fillId="0" borderId="41" xfId="2" applyNumberFormat="1" applyFont="1" applyFill="1" applyBorder="1" applyProtection="1"/>
    <xf numFmtId="167" fontId="62" fillId="0" borderId="33" xfId="2" applyNumberFormat="1" applyFont="1" applyFill="1" applyBorder="1" applyAlignment="1">
      <alignment horizontal="center"/>
    </xf>
    <xf numFmtId="167" fontId="62" fillId="0" borderId="66" xfId="2" applyNumberFormat="1" applyFont="1" applyFill="1" applyBorder="1"/>
    <xf numFmtId="167" fontId="62" fillId="0" borderId="66" xfId="2" applyNumberFormat="1" applyFont="1" applyFill="1" applyBorder="1" applyProtection="1"/>
    <xf numFmtId="0" fontId="62" fillId="0" borderId="41" xfId="20" applyFont="1" applyBorder="1"/>
    <xf numFmtId="37" fontId="80" fillId="0" borderId="0" xfId="20" applyNumberFormat="1" applyFont="1"/>
    <xf numFmtId="37" fontId="65" fillId="0" borderId="0" xfId="20" applyNumberFormat="1" applyFont="1" applyAlignment="1">
      <alignment horizontal="center"/>
    </xf>
    <xf numFmtId="37" fontId="62" fillId="0" borderId="46" xfId="20" applyNumberFormat="1" applyFont="1" applyBorder="1" applyAlignment="1">
      <alignment horizontal="center"/>
    </xf>
    <xf numFmtId="37" fontId="74" fillId="0" borderId="47" xfId="20" applyNumberFormat="1" applyFont="1" applyBorder="1" applyAlignment="1">
      <alignment horizontal="left"/>
    </xf>
    <xf numFmtId="167" fontId="80" fillId="0" borderId="22" xfId="2" applyNumberFormat="1" applyFont="1" applyFill="1" applyBorder="1" applyProtection="1"/>
    <xf numFmtId="37" fontId="74" fillId="0" borderId="111" xfId="20" applyNumberFormat="1" applyFont="1" applyBorder="1" applyAlignment="1">
      <alignment horizontal="left"/>
    </xf>
    <xf numFmtId="0" fontId="62" fillId="0" borderId="48" xfId="20" applyFont="1" applyBorder="1"/>
    <xf numFmtId="37" fontId="62" fillId="0" borderId="0" xfId="20" quotePrefix="1" applyNumberFormat="1" applyFont="1" applyAlignment="1">
      <alignment horizontal="left"/>
    </xf>
    <xf numFmtId="37" fontId="62" fillId="0" borderId="0" xfId="20" applyNumberFormat="1" applyFont="1" applyAlignment="1">
      <alignment horizontal="left"/>
    </xf>
    <xf numFmtId="0" fontId="63" fillId="0" borderId="50" xfId="1" applyFont="1" applyBorder="1"/>
    <xf numFmtId="0" fontId="63" fillId="0" borderId="96" xfId="1" applyFont="1" applyBorder="1" applyAlignment="1">
      <alignment horizontal="center"/>
    </xf>
    <xf numFmtId="166" fontId="62" fillId="0" borderId="0" xfId="2" applyNumberFormat="1" applyFont="1" applyFill="1" applyBorder="1" applyAlignment="1" applyProtection="1">
      <alignment horizontal="left"/>
    </xf>
    <xf numFmtId="167" fontId="63" fillId="0" borderId="106" xfId="2" applyNumberFormat="1" applyFont="1" applyFill="1" applyBorder="1" applyProtection="1"/>
    <xf numFmtId="167" fontId="62" fillId="0" borderId="34" xfId="2" applyNumberFormat="1" applyFont="1" applyFill="1" applyBorder="1" applyProtection="1"/>
    <xf numFmtId="167" fontId="62" fillId="0" borderId="0" xfId="2" applyNumberFormat="1" applyFont="1" applyFill="1" applyBorder="1" applyProtection="1"/>
    <xf numFmtId="0" fontId="63" fillId="0" borderId="136" xfId="1" applyFont="1" applyBorder="1"/>
    <xf numFmtId="0" fontId="68" fillId="0" borderId="118" xfId="1" applyFont="1" applyBorder="1" applyAlignment="1">
      <alignment horizontal="center"/>
    </xf>
    <xf numFmtId="166" fontId="63" fillId="0" borderId="120" xfId="2" applyNumberFormat="1" applyFont="1" applyFill="1" applyBorder="1" applyProtection="1"/>
    <xf numFmtId="166" fontId="62" fillId="0" borderId="33" xfId="2" applyNumberFormat="1" applyFont="1" applyFill="1" applyBorder="1" applyProtection="1"/>
    <xf numFmtId="165" fontId="62" fillId="0" borderId="60" xfId="2" applyFont="1" applyFill="1" applyBorder="1"/>
    <xf numFmtId="165" fontId="62" fillId="0" borderId="35" xfId="2" applyFont="1" applyFill="1" applyBorder="1"/>
    <xf numFmtId="165" fontId="62" fillId="0" borderId="19" xfId="2" applyFont="1" applyFill="1" applyBorder="1"/>
    <xf numFmtId="166" fontId="62" fillId="0" borderId="0" xfId="2" applyNumberFormat="1" applyFont="1" applyFill="1"/>
    <xf numFmtId="165" fontId="62" fillId="0" borderId="138" xfId="2" applyFont="1" applyFill="1" applyBorder="1"/>
    <xf numFmtId="165" fontId="62" fillId="0" borderId="103" xfId="2" applyFont="1" applyFill="1" applyBorder="1"/>
    <xf numFmtId="167" fontId="62" fillId="0" borderId="123" xfId="2" applyNumberFormat="1" applyFont="1" applyFill="1" applyBorder="1" applyProtection="1"/>
    <xf numFmtId="167" fontId="62" fillId="0" borderId="140" xfId="2" applyNumberFormat="1" applyFont="1" applyFill="1" applyBorder="1" applyProtection="1"/>
    <xf numFmtId="0" fontId="16" fillId="0" borderId="141" xfId="0" applyFont="1" applyBorder="1" applyAlignment="1">
      <alignment horizontal="center"/>
    </xf>
    <xf numFmtId="164" fontId="16" fillId="0" borderId="141" xfId="0" applyNumberFormat="1" applyFont="1" applyBorder="1"/>
    <xf numFmtId="164" fontId="0" fillId="0" borderId="141" xfId="0" applyNumberFormat="1" applyBorder="1"/>
    <xf numFmtId="164" fontId="0" fillId="0" borderId="142" xfId="0" applyNumberFormat="1" applyBorder="1"/>
    <xf numFmtId="164" fontId="0" fillId="0" borderId="23" xfId="0" applyNumberFormat="1" applyBorder="1"/>
    <xf numFmtId="164" fontId="0" fillId="0" borderId="32" xfId="0" applyNumberFormat="1" applyBorder="1"/>
    <xf numFmtId="164" fontId="16" fillId="0" borderId="0" xfId="18" applyFont="1" applyBorder="1" applyAlignment="1">
      <alignment horizontal="center"/>
    </xf>
    <xf numFmtId="164" fontId="16" fillId="0" borderId="0" xfId="18" applyFont="1" applyBorder="1" applyAlignment="1">
      <alignment horizontal="right"/>
    </xf>
    <xf numFmtId="164" fontId="0" fillId="0" borderId="144" xfId="0" applyNumberFormat="1" applyBorder="1"/>
    <xf numFmtId="0" fontId="0" fillId="0" borderId="41" xfId="0" applyBorder="1"/>
    <xf numFmtId="166" fontId="62" fillId="0" borderId="143" xfId="2" applyNumberFormat="1" applyFont="1" applyFill="1" applyBorder="1" applyAlignment="1" applyProtection="1">
      <alignment horizontal="left"/>
    </xf>
    <xf numFmtId="0" fontId="0" fillId="0" borderId="50" xfId="0" applyBorder="1"/>
    <xf numFmtId="164" fontId="0" fillId="0" borderId="34" xfId="0" applyNumberFormat="1" applyBorder="1"/>
    <xf numFmtId="0" fontId="16" fillId="0" borderId="34" xfId="0" applyFont="1" applyBorder="1" applyAlignment="1">
      <alignment horizontal="center"/>
    </xf>
    <xf numFmtId="164" fontId="16" fillId="0" borderId="34" xfId="0" applyNumberFormat="1" applyFont="1" applyBorder="1"/>
    <xf numFmtId="0" fontId="16" fillId="0" borderId="35" xfId="0" applyFont="1" applyBorder="1" applyAlignment="1">
      <alignment horizontal="center"/>
    </xf>
    <xf numFmtId="0" fontId="16" fillId="0" borderId="12" xfId="0" applyFont="1" applyBorder="1" applyAlignment="1">
      <alignment horizontal="center"/>
    </xf>
    <xf numFmtId="164" fontId="16" fillId="0" borderId="35" xfId="0" applyNumberFormat="1" applyFont="1" applyBorder="1"/>
    <xf numFmtId="164" fontId="16" fillId="0" borderId="12" xfId="0" applyNumberFormat="1" applyFont="1" applyBorder="1"/>
    <xf numFmtId="164" fontId="0" fillId="0" borderId="35" xfId="0" applyNumberFormat="1" applyBorder="1"/>
    <xf numFmtId="164" fontId="0" fillId="0" borderId="19" xfId="0" applyNumberFormat="1" applyBorder="1"/>
    <xf numFmtId="167" fontId="62" fillId="0" borderId="108" xfId="2" applyNumberFormat="1" applyFont="1" applyFill="1" applyBorder="1" applyProtection="1"/>
    <xf numFmtId="167" fontId="62" fillId="0" borderId="109" xfId="2" applyNumberFormat="1" applyFont="1" applyFill="1" applyBorder="1" applyProtection="1"/>
    <xf numFmtId="167" fontId="62" fillId="0" borderId="124" xfId="2" applyNumberFormat="1" applyFont="1" applyFill="1" applyBorder="1" applyProtection="1"/>
    <xf numFmtId="168" fontId="32" fillId="3" borderId="0" xfId="18" applyNumberFormat="1" applyFont="1" applyFill="1" applyAlignment="1">
      <alignment horizontal="center"/>
    </xf>
    <xf numFmtId="0" fontId="63" fillId="0" borderId="0" xfId="0" applyFont="1" applyAlignment="1">
      <alignment horizontal="right"/>
    </xf>
    <xf numFmtId="0" fontId="63" fillId="0" borderId="0" xfId="0" applyFont="1" applyAlignment="1">
      <alignment horizontal="left"/>
    </xf>
    <xf numFmtId="0" fontId="62" fillId="0" borderId="0" xfId="0" applyFont="1"/>
    <xf numFmtId="0" fontId="63" fillId="0" borderId="0" xfId="0" applyFont="1"/>
    <xf numFmtId="0" fontId="64" fillId="0" borderId="0" xfId="0" applyFont="1" applyAlignment="1">
      <alignment horizontal="left"/>
    </xf>
    <xf numFmtId="0" fontId="65" fillId="0" borderId="0" xfId="0" applyFont="1" applyAlignment="1">
      <alignment horizontal="left"/>
    </xf>
    <xf numFmtId="0" fontId="64" fillId="0" borderId="0" xfId="0" applyFont="1"/>
    <xf numFmtId="0" fontId="66" fillId="0" borderId="0" xfId="0" applyFont="1" applyAlignment="1">
      <alignment horizontal="right"/>
    </xf>
    <xf numFmtId="0" fontId="65" fillId="0" borderId="0" xfId="0" applyFont="1" applyAlignment="1">
      <alignment horizontal="right"/>
    </xf>
    <xf numFmtId="0" fontId="63" fillId="0" borderId="23" xfId="0" applyFont="1" applyBorder="1"/>
    <xf numFmtId="0" fontId="63" fillId="0" borderId="23" xfId="0" applyFont="1" applyBorder="1" applyAlignment="1">
      <alignment horizontal="right"/>
    </xf>
    <xf numFmtId="0" fontId="64" fillId="0" borderId="23" xfId="0" applyFont="1" applyBorder="1" applyAlignment="1">
      <alignment horizontal="right"/>
    </xf>
    <xf numFmtId="0" fontId="63" fillId="0" borderId="32" xfId="0" applyFont="1" applyBorder="1"/>
    <xf numFmtId="0" fontId="63" fillId="0" borderId="25" xfId="0" applyFont="1" applyBorder="1" applyAlignment="1">
      <alignment horizontal="center"/>
    </xf>
    <xf numFmtId="0" fontId="63" fillId="0" borderId="62" xfId="0" applyFont="1" applyBorder="1" applyAlignment="1">
      <alignment horizontal="center"/>
    </xf>
    <xf numFmtId="0" fontId="68" fillId="0" borderId="8" xfId="0" applyFont="1" applyBorder="1" applyAlignment="1">
      <alignment horizontal="center"/>
    </xf>
    <xf numFmtId="0" fontId="68" fillId="0" borderId="21" xfId="0" applyFont="1" applyBorder="1" applyAlignment="1">
      <alignment horizontal="center"/>
    </xf>
    <xf numFmtId="0" fontId="68" fillId="0" borderId="14" xfId="0" applyFont="1" applyBorder="1"/>
    <xf numFmtId="0" fontId="68" fillId="0" borderId="105" xfId="0" applyFont="1" applyBorder="1"/>
    <xf numFmtId="166" fontId="63" fillId="0" borderId="17" xfId="2" applyNumberFormat="1" applyFont="1" applyBorder="1" applyProtection="1"/>
    <xf numFmtId="166" fontId="63" fillId="0" borderId="26" xfId="2" applyNumberFormat="1" applyFont="1" applyBorder="1" applyProtection="1"/>
    <xf numFmtId="0" fontId="63" fillId="0" borderId="29" xfId="0" applyFont="1" applyBorder="1"/>
    <xf numFmtId="0" fontId="63" fillId="0" borderId="102" xfId="0" applyFont="1" applyBorder="1" applyAlignment="1">
      <alignment horizontal="center"/>
    </xf>
    <xf numFmtId="0" fontId="68" fillId="0" borderId="7" xfId="0" applyFont="1" applyBorder="1" applyAlignment="1">
      <alignment horizontal="center"/>
    </xf>
    <xf numFmtId="0" fontId="68" fillId="0" borderId="13" xfId="0" applyFont="1" applyBorder="1"/>
    <xf numFmtId="166" fontId="63" fillId="0" borderId="107" xfId="2" applyNumberFormat="1" applyFont="1" applyBorder="1" applyProtection="1"/>
    <xf numFmtId="166" fontId="62" fillId="0" borderId="7" xfId="2" applyNumberFormat="1" applyFont="1" applyBorder="1" applyProtection="1"/>
    <xf numFmtId="166" fontId="62" fillId="0" borderId="91" xfId="2" applyNumberFormat="1" applyFont="1" applyBorder="1" applyProtection="1"/>
    <xf numFmtId="0" fontId="63" fillId="0" borderId="50" xfId="0" applyFont="1" applyBorder="1"/>
    <xf numFmtId="0" fontId="63" fillId="0" borderId="149" xfId="0" applyFont="1" applyBorder="1" applyAlignment="1">
      <alignment horizontal="center"/>
    </xf>
    <xf numFmtId="0" fontId="68" fillId="0" borderId="110" xfId="0" applyFont="1" applyBorder="1" applyAlignment="1">
      <alignment horizontal="center"/>
    </xf>
    <xf numFmtId="0" fontId="68" fillId="0" borderId="150" xfId="0" applyFont="1" applyBorder="1"/>
    <xf numFmtId="167" fontId="62" fillId="0" borderId="110" xfId="2" applyNumberFormat="1" applyFont="1" applyFill="1" applyBorder="1" applyProtection="1"/>
    <xf numFmtId="167" fontId="62" fillId="0" borderId="22" xfId="2" applyNumberFormat="1" applyFont="1" applyFill="1" applyBorder="1" applyProtection="1"/>
    <xf numFmtId="165" fontId="62" fillId="0" borderId="124" xfId="2" applyFont="1" applyFill="1" applyBorder="1" applyProtection="1"/>
    <xf numFmtId="166" fontId="63" fillId="0" borderId="119" xfId="2" applyNumberFormat="1" applyFont="1" applyBorder="1" applyProtection="1"/>
    <xf numFmtId="166" fontId="62" fillId="0" borderId="19" xfId="2" applyNumberFormat="1" applyFont="1" applyFill="1" applyBorder="1" applyProtection="1"/>
    <xf numFmtId="0" fontId="65" fillId="0" borderId="125" xfId="0" applyFont="1" applyBorder="1" applyAlignment="1">
      <alignment horizontal="right"/>
    </xf>
    <xf numFmtId="165" fontId="62" fillId="0" borderId="151" xfId="1" applyNumberFormat="1" applyFont="1" applyBorder="1" applyAlignment="1">
      <alignment horizontal="center"/>
    </xf>
    <xf numFmtId="165" fontId="62" fillId="0" borderId="108" xfId="2" applyFont="1" applyFill="1" applyBorder="1" applyProtection="1"/>
    <xf numFmtId="165" fontId="62" fillId="0" borderId="11" xfId="1" applyNumberFormat="1" applyFont="1" applyBorder="1" applyAlignment="1">
      <alignment horizontal="center"/>
    </xf>
    <xf numFmtId="165" fontId="62" fillId="0" borderId="152" xfId="1" applyNumberFormat="1" applyFont="1" applyBorder="1" applyAlignment="1">
      <alignment horizontal="center"/>
    </xf>
    <xf numFmtId="165" fontId="62" fillId="0" borderId="28" xfId="2" applyFont="1" applyFill="1" applyBorder="1" applyAlignment="1" applyProtection="1"/>
    <xf numFmtId="165" fontId="62" fillId="0" borderId="153" xfId="2" applyFont="1" applyFill="1" applyBorder="1" applyAlignment="1" applyProtection="1"/>
    <xf numFmtId="166" fontId="62" fillId="0" borderId="138" xfId="2" applyNumberFormat="1" applyFont="1" applyFill="1" applyBorder="1" applyProtection="1"/>
    <xf numFmtId="166" fontId="62" fillId="0" borderId="154" xfId="2" applyNumberFormat="1" applyFont="1" applyFill="1" applyBorder="1" applyProtection="1"/>
    <xf numFmtId="166" fontId="62" fillId="0" borderId="103" xfId="2" applyNumberFormat="1" applyFont="1" applyFill="1" applyBorder="1" applyProtection="1"/>
    <xf numFmtId="166" fontId="62" fillId="0" borderId="46" xfId="2" applyNumberFormat="1" applyFont="1" applyFill="1" applyBorder="1" applyProtection="1"/>
    <xf numFmtId="166" fontId="62" fillId="0" borderId="155" xfId="2" applyNumberFormat="1" applyFont="1" applyFill="1" applyBorder="1" applyProtection="1"/>
    <xf numFmtId="164" fontId="16" fillId="0" borderId="0" xfId="18" applyFont="1" applyAlignment="1"/>
    <xf numFmtId="0" fontId="16" fillId="3" borderId="0" xfId="0" applyFont="1" applyFill="1" applyAlignment="1">
      <alignment horizontal="right"/>
    </xf>
    <xf numFmtId="164" fontId="16" fillId="3" borderId="0" xfId="18" applyFont="1" applyFill="1"/>
    <xf numFmtId="0" fontId="16" fillId="3" borderId="0" xfId="0" applyFont="1" applyFill="1"/>
    <xf numFmtId="164" fontId="29" fillId="0" borderId="0" xfId="18" applyFont="1" applyFill="1" applyAlignment="1">
      <alignment horizontal="center"/>
    </xf>
    <xf numFmtId="164" fontId="0" fillId="8" borderId="0" xfId="18" applyFont="1" applyFill="1"/>
    <xf numFmtId="164" fontId="16" fillId="8" borderId="0" xfId="18" applyFont="1" applyFill="1" applyAlignment="1">
      <alignment horizontal="center"/>
    </xf>
    <xf numFmtId="164" fontId="21" fillId="5" borderId="0" xfId="18" applyFont="1" applyFill="1"/>
    <xf numFmtId="0" fontId="21" fillId="0" borderId="0" xfId="0" applyFont="1" applyAlignment="1">
      <alignment horizontal="right"/>
    </xf>
    <xf numFmtId="0" fontId="21" fillId="0" borderId="23" xfId="0" applyFont="1" applyBorder="1" applyAlignment="1">
      <alignment horizontal="right"/>
    </xf>
    <xf numFmtId="164" fontId="81" fillId="0" borderId="0" xfId="0" applyNumberFormat="1" applyFont="1"/>
    <xf numFmtId="164" fontId="81" fillId="0" borderId="50" xfId="0" applyNumberFormat="1" applyFont="1" applyBorder="1"/>
    <xf numFmtId="164" fontId="81" fillId="0" borderId="30" xfId="0" applyNumberFormat="1" applyFont="1" applyBorder="1"/>
    <xf numFmtId="0" fontId="82" fillId="0" borderId="39" xfId="1" applyFont="1" applyBorder="1" applyAlignment="1">
      <alignment horizontal="center"/>
    </xf>
    <xf numFmtId="0" fontId="82" fillId="0" borderId="39" xfId="1" applyFont="1" applyBorder="1"/>
    <xf numFmtId="165" fontId="42" fillId="0" borderId="39" xfId="2" applyFont="1" applyBorder="1" applyAlignment="1">
      <alignment horizontal="left" vertical="center"/>
    </xf>
    <xf numFmtId="167" fontId="0" fillId="0" borderId="0" xfId="0" applyNumberFormat="1"/>
    <xf numFmtId="167" fontId="26" fillId="0" borderId="106" xfId="2" applyNumberFormat="1" applyFont="1" applyFill="1" applyBorder="1" applyProtection="1"/>
    <xf numFmtId="164" fontId="55" fillId="0" borderId="52" xfId="0" applyNumberFormat="1" applyFont="1" applyBorder="1"/>
    <xf numFmtId="0" fontId="28" fillId="0" borderId="60" xfId="0" applyFont="1" applyBorder="1" applyAlignment="1">
      <alignment horizontal="center"/>
    </xf>
    <xf numFmtId="0" fontId="28" fillId="0" borderId="137" xfId="0" applyFont="1" applyBorder="1" applyAlignment="1">
      <alignment horizontal="center"/>
    </xf>
    <xf numFmtId="0" fontId="27" fillId="0" borderId="105" xfId="0" applyFont="1" applyBorder="1" applyAlignment="1">
      <alignment horizontal="center"/>
    </xf>
    <xf numFmtId="164" fontId="55" fillId="0" borderId="157" xfId="0" applyNumberFormat="1" applyFont="1" applyBorder="1"/>
    <xf numFmtId="164" fontId="55" fillId="0" borderId="60" xfId="0" applyNumberFormat="1" applyFont="1" applyBorder="1"/>
    <xf numFmtId="0" fontId="22" fillId="0" borderId="60" xfId="1" applyFont="1" applyBorder="1"/>
    <xf numFmtId="0" fontId="22" fillId="0" borderId="35" xfId="1" applyFont="1" applyBorder="1"/>
    <xf numFmtId="0" fontId="0" fillId="0" borderId="60" xfId="0" applyBorder="1"/>
    <xf numFmtId="0" fontId="0" fillId="0" borderId="35" xfId="0" applyBorder="1"/>
    <xf numFmtId="0" fontId="22" fillId="0" borderId="54" xfId="1" applyFont="1" applyBorder="1" applyAlignment="1">
      <alignment horizontal="center"/>
    </xf>
    <xf numFmtId="0" fontId="22" fillId="0" borderId="55" xfId="1" applyFont="1" applyBorder="1" applyAlignment="1">
      <alignment horizontal="center"/>
    </xf>
    <xf numFmtId="0" fontId="22" fillId="0" borderId="91" xfId="1" applyFont="1" applyBorder="1" applyAlignment="1">
      <alignment horizontal="center"/>
    </xf>
    <xf numFmtId="0" fontId="22" fillId="0" borderId="19" xfId="1" applyFont="1" applyBorder="1"/>
    <xf numFmtId="164" fontId="0" fillId="0" borderId="60" xfId="0" applyNumberFormat="1" applyBorder="1"/>
    <xf numFmtId="167" fontId="83" fillId="0" borderId="0" xfId="21" applyNumberFormat="1" applyFont="1" applyFill="1" applyAlignment="1">
      <alignment vertical="center"/>
    </xf>
    <xf numFmtId="164" fontId="0" fillId="0" borderId="0" xfId="18" applyFont="1" applyFill="1"/>
    <xf numFmtId="3" fontId="0" fillId="0" borderId="0" xfId="0" applyNumberFormat="1"/>
    <xf numFmtId="167" fontId="86" fillId="0" borderId="0" xfId="21" applyNumberFormat="1" applyFont="1" applyFill="1" applyAlignment="1">
      <alignment vertical="center"/>
    </xf>
    <xf numFmtId="167" fontId="0" fillId="0" borderId="0" xfId="21" applyNumberFormat="1" applyFont="1" applyAlignment="1">
      <alignment horizontal="center"/>
    </xf>
    <xf numFmtId="0" fontId="28" fillId="0" borderId="11" xfId="0" applyFont="1" applyBorder="1" applyAlignment="1">
      <alignment horizontal="center"/>
    </xf>
    <xf numFmtId="0" fontId="28" fillId="0" borderId="12" xfId="0" applyFont="1" applyBorder="1" applyAlignment="1">
      <alignment horizontal="center"/>
    </xf>
    <xf numFmtId="0" fontId="42" fillId="0" borderId="0" xfId="0" applyFont="1" applyAlignment="1">
      <alignment horizontal="left"/>
    </xf>
    <xf numFmtId="165" fontId="37" fillId="0" borderId="0" xfId="21" applyFont="1" applyFill="1" applyAlignment="1">
      <alignment horizontal="left"/>
    </xf>
    <xf numFmtId="165" fontId="29" fillId="0" borderId="0" xfId="21" applyFont="1" applyFill="1" applyAlignment="1">
      <alignment horizontal="center"/>
    </xf>
    <xf numFmtId="164" fontId="45" fillId="0" borderId="0" xfId="18" applyFont="1" applyFill="1" applyAlignment="1">
      <alignment horizontal="left"/>
    </xf>
    <xf numFmtId="165" fontId="45" fillId="0" borderId="0" xfId="21" applyFont="1" applyFill="1" applyAlignment="1">
      <alignment horizontal="left" indent="1"/>
    </xf>
    <xf numFmtId="167" fontId="46" fillId="0" borderId="0" xfId="21" applyNumberFormat="1" applyFont="1" applyFill="1"/>
    <xf numFmtId="165" fontId="46" fillId="0" borderId="0" xfId="21" applyFont="1" applyFill="1"/>
    <xf numFmtId="43" fontId="42" fillId="0" borderId="0" xfId="0" applyNumberFormat="1" applyFont="1" applyAlignment="1">
      <alignment horizontal="left"/>
    </xf>
    <xf numFmtId="0" fontId="42" fillId="0" borderId="0" xfId="0" applyFont="1"/>
    <xf numFmtId="165" fontId="46" fillId="0" borderId="0" xfId="0" applyNumberFormat="1" applyFont="1"/>
    <xf numFmtId="164" fontId="46" fillId="0" borderId="0" xfId="18" applyFont="1" applyFill="1"/>
    <xf numFmtId="43" fontId="46" fillId="0" borderId="0" xfId="0" applyNumberFormat="1" applyFont="1"/>
    <xf numFmtId="165" fontId="42" fillId="0" borderId="0" xfId="21" applyFont="1" applyAlignment="1">
      <alignment vertical="center"/>
    </xf>
    <xf numFmtId="165" fontId="46" fillId="0" borderId="0" xfId="21" applyFont="1"/>
    <xf numFmtId="167" fontId="46" fillId="3" borderId="0" xfId="21" applyNumberFormat="1" applyFont="1" applyFill="1"/>
    <xf numFmtId="165" fontId="62" fillId="0" borderId="0" xfId="21" applyFont="1"/>
    <xf numFmtId="166" fontId="63" fillId="0" borderId="0" xfId="21" applyNumberFormat="1" applyFont="1" applyAlignment="1">
      <alignment horizontal="center"/>
    </xf>
    <xf numFmtId="167" fontId="62" fillId="0" borderId="0" xfId="21" applyNumberFormat="1" applyFont="1"/>
    <xf numFmtId="167" fontId="62" fillId="0" borderId="125" xfId="21" applyNumberFormat="1" applyFont="1" applyBorder="1"/>
    <xf numFmtId="164" fontId="45" fillId="4" borderId="0" xfId="18" applyFont="1" applyFill="1" applyAlignment="1">
      <alignment horizontal="center"/>
    </xf>
    <xf numFmtId="0" fontId="37" fillId="0" borderId="0" xfId="0" applyFont="1" applyAlignment="1">
      <alignment horizontal="right"/>
    </xf>
    <xf numFmtId="0" fontId="88" fillId="0" borderId="0" xfId="0" applyFont="1"/>
    <xf numFmtId="0" fontId="87" fillId="10" borderId="0" xfId="0" applyFont="1" applyFill="1" applyAlignment="1">
      <alignment horizontal="center"/>
    </xf>
    <xf numFmtId="0" fontId="87" fillId="0" borderId="0" xfId="0" applyFont="1"/>
    <xf numFmtId="0" fontId="87" fillId="11" borderId="0" xfId="0" applyFont="1" applyFill="1" applyAlignment="1">
      <alignment horizontal="center"/>
    </xf>
    <xf numFmtId="0" fontId="89" fillId="10" borderId="0" xfId="0" applyFont="1" applyFill="1" applyAlignment="1">
      <alignment horizontal="center"/>
    </xf>
    <xf numFmtId="3" fontId="29" fillId="0" borderId="0" xfId="0" applyNumberFormat="1" applyFont="1"/>
    <xf numFmtId="0" fontId="89" fillId="11" borderId="0" xfId="0" applyFont="1" applyFill="1" applyAlignment="1">
      <alignment horizontal="center"/>
    </xf>
    <xf numFmtId="167" fontId="37" fillId="0" borderId="0" xfId="0" applyNumberFormat="1" applyFont="1" applyAlignment="1">
      <alignment horizontal="right"/>
    </xf>
    <xf numFmtId="3" fontId="29" fillId="3" borderId="0" xfId="0" applyNumberFormat="1" applyFont="1" applyFill="1" applyAlignment="1">
      <alignment horizontal="center"/>
    </xf>
    <xf numFmtId="0" fontId="16" fillId="3" borderId="0" xfId="0" applyFont="1" applyFill="1" applyAlignment="1">
      <alignment horizontal="center"/>
    </xf>
    <xf numFmtId="3" fontId="16" fillId="3" borderId="0" xfId="0" applyNumberFormat="1" applyFont="1" applyFill="1" applyAlignment="1">
      <alignment horizontal="center"/>
    </xf>
    <xf numFmtId="3" fontId="16" fillId="0" borderId="0" xfId="0" applyNumberFormat="1" applyFont="1" applyAlignment="1">
      <alignment horizontal="center"/>
    </xf>
    <xf numFmtId="3" fontId="29" fillId="0" borderId="0" xfId="0" applyNumberFormat="1" applyFont="1" applyAlignment="1">
      <alignment horizontal="center"/>
    </xf>
    <xf numFmtId="0" fontId="11" fillId="0" borderId="0" xfId="0" applyFont="1" applyAlignment="1">
      <alignment vertical="center"/>
    </xf>
    <xf numFmtId="0" fontId="40" fillId="0" borderId="87" xfId="0" applyFont="1" applyBorder="1" applyAlignment="1">
      <alignment horizontal="center"/>
    </xf>
    <xf numFmtId="164" fontId="0" fillId="0" borderId="37" xfId="0" applyNumberFormat="1" applyBorder="1"/>
    <xf numFmtId="164" fontId="55" fillId="0" borderId="58" xfId="0" applyNumberFormat="1" applyFont="1" applyBorder="1"/>
    <xf numFmtId="164" fontId="55" fillId="0" borderId="36" xfId="0" applyNumberFormat="1" applyFont="1" applyBorder="1"/>
    <xf numFmtId="164" fontId="55" fillId="0" borderId="159" xfId="0" applyNumberFormat="1" applyFont="1" applyBorder="1"/>
    <xf numFmtId="164" fontId="0" fillId="0" borderId="0" xfId="18" applyFont="1" applyFill="1" applyAlignment="1">
      <alignment horizontal="left"/>
    </xf>
    <xf numFmtId="164" fontId="16" fillId="0" borderId="0" xfId="18" applyFont="1" applyFill="1" applyAlignment="1">
      <alignment horizontal="right"/>
    </xf>
    <xf numFmtId="164" fontId="16" fillId="0" borderId="0" xfId="18" applyFont="1" applyFill="1" applyAlignment="1">
      <alignment horizontal="left" vertical="top"/>
    </xf>
    <xf numFmtId="164" fontId="37" fillId="0" borderId="0" xfId="18" applyFont="1" applyFill="1" applyAlignment="1">
      <alignment horizontal="right"/>
    </xf>
    <xf numFmtId="164" fontId="37" fillId="0" borderId="0" xfId="18" applyFont="1" applyFill="1"/>
    <xf numFmtId="164" fontId="90" fillId="3" borderId="0" xfId="18" applyFont="1" applyFill="1" applyAlignment="1">
      <alignment horizontal="center" vertical="center"/>
    </xf>
    <xf numFmtId="0" fontId="47" fillId="0" borderId="0" xfId="0" applyFont="1" applyAlignment="1">
      <alignment horizontal="centerContinuous"/>
    </xf>
    <xf numFmtId="0" fontId="47" fillId="0" borderId="0" xfId="0" applyFont="1"/>
    <xf numFmtId="0" fontId="91" fillId="0" borderId="0" xfId="0" applyFont="1" applyAlignment="1">
      <alignment horizontal="centerContinuous"/>
    </xf>
    <xf numFmtId="0" fontId="47" fillId="0" borderId="29" xfId="0" applyFont="1" applyBorder="1" applyAlignment="1">
      <alignment horizontal="centerContinuous"/>
    </xf>
    <xf numFmtId="0" fontId="47" fillId="0" borderId="23" xfId="0" applyFont="1" applyBorder="1" applyAlignment="1">
      <alignment horizontal="centerContinuous"/>
    </xf>
    <xf numFmtId="0" fontId="47" fillId="0" borderId="32" xfId="0" applyFont="1" applyBorder="1" applyAlignment="1">
      <alignment horizontal="centerContinuous"/>
    </xf>
    <xf numFmtId="0" fontId="47" fillId="0" borderId="101" xfId="0" applyFont="1" applyBorder="1" applyAlignment="1">
      <alignment horizontal="centerContinuous"/>
    </xf>
    <xf numFmtId="0" fontId="47" fillId="0" borderId="160" xfId="0" applyFont="1" applyBorder="1" applyAlignment="1">
      <alignment horizontal="centerContinuous"/>
    </xf>
    <xf numFmtId="0" fontId="47" fillId="0" borderId="33" xfId="0" applyFont="1" applyBorder="1" applyAlignment="1">
      <alignment horizontal="centerContinuous"/>
    </xf>
    <xf numFmtId="0" fontId="47" fillId="0" borderId="66" xfId="0" applyFont="1" applyBorder="1" applyAlignment="1">
      <alignment horizontal="centerContinuous"/>
    </xf>
    <xf numFmtId="0" fontId="47" fillId="0" borderId="66" xfId="0" applyFont="1" applyBorder="1" applyAlignment="1">
      <alignment horizontal="center"/>
    </xf>
    <xf numFmtId="0" fontId="47" fillId="0" borderId="95" xfId="0" applyFont="1" applyBorder="1" applyAlignment="1">
      <alignment horizontal="centerContinuous"/>
    </xf>
    <xf numFmtId="0" fontId="47" fillId="0" borderId="77" xfId="0" applyFont="1" applyBorder="1" applyAlignment="1">
      <alignment horizontal="centerContinuous"/>
    </xf>
    <xf numFmtId="0" fontId="47" fillId="0" borderId="98" xfId="0" applyFont="1" applyBorder="1" applyAlignment="1">
      <alignment horizontal="centerContinuous"/>
    </xf>
    <xf numFmtId="0" fontId="47" fillId="0" borderId="35" xfId="0" applyFont="1" applyBorder="1" applyAlignment="1">
      <alignment horizontal="center"/>
    </xf>
    <xf numFmtId="0" fontId="47" fillId="0" borderId="34" xfId="0" applyFont="1" applyBorder="1" applyAlignment="1">
      <alignment horizontal="centerContinuous"/>
    </xf>
    <xf numFmtId="0" fontId="47" fillId="0" borderId="41" xfId="0" applyFont="1" applyBorder="1" applyAlignment="1">
      <alignment horizontal="centerContinuous"/>
    </xf>
    <xf numFmtId="0" fontId="47" fillId="0" borderId="93" xfId="0" applyFont="1" applyBorder="1" applyAlignment="1">
      <alignment horizontal="centerContinuous"/>
    </xf>
    <xf numFmtId="0" fontId="47" fillId="0" borderId="77" xfId="0" applyFont="1" applyBorder="1" applyAlignment="1">
      <alignment horizontal="center"/>
    </xf>
    <xf numFmtId="0" fontId="47" fillId="0" borderId="133" xfId="0" applyFont="1" applyBorder="1" applyAlignment="1">
      <alignment horizontal="left"/>
    </xf>
    <xf numFmtId="0" fontId="47" fillId="0" borderId="164" xfId="0" applyFont="1" applyBorder="1" applyAlignment="1">
      <alignment horizontal="centerContinuous"/>
    </xf>
    <xf numFmtId="0" fontId="47" fillId="0" borderId="165" xfId="0" applyFont="1" applyBorder="1" applyAlignment="1">
      <alignment horizontal="centerContinuous"/>
    </xf>
    <xf numFmtId="164" fontId="47" fillId="0" borderId="165" xfId="3" applyFont="1" applyFill="1" applyBorder="1" applyProtection="1"/>
    <xf numFmtId="165" fontId="47" fillId="0" borderId="165" xfId="2" applyFont="1" applyFill="1" applyBorder="1" applyProtection="1"/>
    <xf numFmtId="0" fontId="47" fillId="0" borderId="7" xfId="0" applyFont="1" applyBorder="1" applyAlignment="1">
      <alignment horizontal="center"/>
    </xf>
    <xf numFmtId="167" fontId="47" fillId="0" borderId="3" xfId="2" applyNumberFormat="1" applyFont="1" applyFill="1" applyBorder="1" applyProtection="1"/>
    <xf numFmtId="165" fontId="47" fillId="0" borderId="3" xfId="2" applyFont="1" applyFill="1" applyBorder="1" applyProtection="1"/>
    <xf numFmtId="165" fontId="47" fillId="0" borderId="66" xfId="2" applyFont="1" applyFill="1" applyBorder="1" applyProtection="1"/>
    <xf numFmtId="167" fontId="47" fillId="0" borderId="41" xfId="2" applyNumberFormat="1" applyFont="1" applyFill="1" applyBorder="1" applyProtection="1"/>
    <xf numFmtId="37" fontId="47" fillId="0" borderId="0" xfId="0" applyNumberFormat="1" applyFont="1"/>
    <xf numFmtId="167" fontId="47" fillId="0" borderId="8" xfId="2" applyNumberFormat="1" applyFont="1" applyFill="1" applyBorder="1" applyProtection="1"/>
    <xf numFmtId="165" fontId="47" fillId="0" borderId="8" xfId="2" applyFont="1" applyFill="1" applyBorder="1" applyProtection="1"/>
    <xf numFmtId="167" fontId="47" fillId="0" borderId="0" xfId="2" applyNumberFormat="1" applyFont="1" applyFill="1" applyBorder="1" applyProtection="1"/>
    <xf numFmtId="0" fontId="92" fillId="0" borderId="7" xfId="0" applyFont="1" applyBorder="1" applyAlignment="1">
      <alignment horizontal="center" vertical="center" wrapText="1"/>
    </xf>
    <xf numFmtId="0" fontId="47" fillId="0" borderId="18" xfId="0" applyFont="1" applyBorder="1" applyAlignment="1">
      <alignment horizontal="center"/>
    </xf>
    <xf numFmtId="0" fontId="47" fillId="0" borderId="111" xfId="0" applyFont="1" applyBorder="1" applyAlignment="1">
      <alignment horizontal="centerContinuous"/>
    </xf>
    <xf numFmtId="167" fontId="47" fillId="0" borderId="111" xfId="2" applyNumberFormat="1" applyFont="1" applyFill="1" applyBorder="1" applyProtection="1"/>
    <xf numFmtId="39" fontId="47" fillId="0" borderId="111" xfId="0" applyNumberFormat="1" applyFont="1" applyBorder="1"/>
    <xf numFmtId="39" fontId="47" fillId="0" borderId="48" xfId="0" applyNumberFormat="1" applyFont="1" applyBorder="1"/>
    <xf numFmtId="0" fontId="47" fillId="0" borderId="158" xfId="0" applyFont="1" applyBorder="1" applyAlignment="1">
      <alignment horizontal="centerContinuous"/>
    </xf>
    <xf numFmtId="0" fontId="47" fillId="0" borderId="167" xfId="0" applyFont="1" applyBorder="1" applyAlignment="1">
      <alignment horizontal="centerContinuous"/>
    </xf>
    <xf numFmtId="37" fontId="47" fillId="0" borderId="60" xfId="0" applyNumberFormat="1" applyFont="1" applyBorder="1" applyAlignment="1">
      <alignment horizontal="center" vertical="center"/>
    </xf>
    <xf numFmtId="39" fontId="47" fillId="0" borderId="60" xfId="0" applyNumberFormat="1" applyFont="1" applyBorder="1" applyAlignment="1">
      <alignment horizontal="center" vertical="center"/>
    </xf>
    <xf numFmtId="0" fontId="47" fillId="0" borderId="39" xfId="0" applyFont="1" applyBorder="1" applyAlignment="1">
      <alignment horizontal="centerContinuous"/>
    </xf>
    <xf numFmtId="0" fontId="47" fillId="0" borderId="145" xfId="0" applyFont="1" applyBorder="1" applyAlignment="1">
      <alignment horizontal="centerContinuous"/>
    </xf>
    <xf numFmtId="0" fontId="47" fillId="0" borderId="91" xfId="0" applyFont="1" applyBorder="1" applyAlignment="1">
      <alignment horizontal="center" vertical="center"/>
    </xf>
    <xf numFmtId="37" fontId="47" fillId="0" borderId="168" xfId="0" applyNumberFormat="1" applyFont="1" applyBorder="1" applyAlignment="1">
      <alignment horizontal="center" vertical="center"/>
    </xf>
    <xf numFmtId="167" fontId="47" fillId="0" borderId="168" xfId="2" applyNumberFormat="1" applyFont="1" applyFill="1" applyBorder="1" applyAlignment="1" applyProtection="1">
      <alignment vertical="center"/>
    </xf>
    <xf numFmtId="170" fontId="47" fillId="0" borderId="35" xfId="3" applyNumberFormat="1" applyFont="1" applyFill="1" applyBorder="1" applyAlignment="1" applyProtection="1">
      <alignment horizontal="right"/>
    </xf>
    <xf numFmtId="39" fontId="47" fillId="0" borderId="27" xfId="0" applyNumberFormat="1" applyFont="1" applyBorder="1" applyAlignment="1">
      <alignment horizontal="right"/>
    </xf>
    <xf numFmtId="0" fontId="47" fillId="0" borderId="55" xfId="0" applyFont="1" applyBorder="1" applyAlignment="1">
      <alignment horizontal="center"/>
    </xf>
    <xf numFmtId="167" fontId="47" fillId="0" borderId="35" xfId="2" applyNumberFormat="1" applyFont="1" applyFill="1" applyBorder="1" applyAlignment="1" applyProtection="1">
      <alignment horizontal="center" vertical="center"/>
    </xf>
    <xf numFmtId="167" fontId="47" fillId="0" borderId="52" xfId="2" applyNumberFormat="1" applyFont="1" applyFill="1" applyBorder="1" applyAlignment="1" applyProtection="1">
      <alignment vertical="center"/>
    </xf>
    <xf numFmtId="165" fontId="47" fillId="0" borderId="169" xfId="2" applyFont="1" applyFill="1" applyBorder="1" applyAlignment="1" applyProtection="1">
      <alignment horizontal="center" vertical="center"/>
    </xf>
    <xf numFmtId="167" fontId="47" fillId="0" borderId="41" xfId="2" applyNumberFormat="1" applyFont="1" applyFill="1" applyBorder="1" applyAlignment="1" applyProtection="1">
      <alignment horizontal="center" vertical="center"/>
    </xf>
    <xf numFmtId="0" fontId="47" fillId="0" borderId="91" xfId="0" applyFont="1" applyBorder="1" applyAlignment="1">
      <alignment horizontal="center"/>
    </xf>
    <xf numFmtId="167" fontId="47" fillId="0" borderId="19" xfId="2" applyNumberFormat="1" applyFont="1" applyFill="1" applyBorder="1" applyAlignment="1" applyProtection="1">
      <alignment horizontal="center" vertical="center"/>
    </xf>
    <xf numFmtId="167" fontId="47" fillId="0" borderId="170" xfId="2" applyNumberFormat="1" applyFont="1" applyFill="1" applyBorder="1" applyAlignment="1" applyProtection="1">
      <alignment vertical="center"/>
    </xf>
    <xf numFmtId="165" fontId="47" fillId="0" borderId="171" xfId="2" applyFont="1" applyFill="1" applyBorder="1" applyAlignment="1" applyProtection="1">
      <alignment vertical="center"/>
    </xf>
    <xf numFmtId="167" fontId="47" fillId="0" borderId="48" xfId="2" applyNumberFormat="1" applyFont="1" applyFill="1" applyBorder="1" applyAlignment="1" applyProtection="1">
      <alignment horizontal="center" vertical="center"/>
    </xf>
    <xf numFmtId="39" fontId="47" fillId="0" borderId="0" xfId="0" applyNumberFormat="1" applyFont="1"/>
    <xf numFmtId="165" fontId="47" fillId="0" borderId="0" xfId="2" applyFont="1" applyFill="1" applyBorder="1"/>
    <xf numFmtId="165" fontId="47" fillId="0" borderId="0" xfId="2" applyFont="1" applyFill="1" applyBorder="1" applyAlignment="1"/>
    <xf numFmtId="0" fontId="47" fillId="0" borderId="0" xfId="0" applyFont="1" applyAlignment="1">
      <alignment horizontal="center"/>
    </xf>
    <xf numFmtId="167" fontId="47" fillId="0" borderId="21" xfId="2" applyNumberFormat="1" applyFont="1" applyFill="1" applyBorder="1" applyProtection="1"/>
    <xf numFmtId="0" fontId="36" fillId="0" borderId="9" xfId="0" applyFont="1" applyBorder="1" applyAlignment="1">
      <alignment horizontal="center"/>
    </xf>
    <xf numFmtId="167" fontId="62" fillId="0" borderId="66" xfId="2" applyNumberFormat="1" applyFont="1" applyFill="1" applyBorder="1" applyAlignment="1" applyProtection="1">
      <alignment horizontal="center"/>
    </xf>
    <xf numFmtId="0" fontId="10" fillId="0" borderId="0" xfId="0" applyFont="1" applyAlignment="1">
      <alignment vertical="center"/>
    </xf>
    <xf numFmtId="164" fontId="31" fillId="3" borderId="0" xfId="18" applyFont="1" applyFill="1" applyAlignment="1">
      <alignment horizontal="center"/>
    </xf>
    <xf numFmtId="170" fontId="47" fillId="0" borderId="166" xfId="3" applyNumberFormat="1" applyFont="1" applyFill="1" applyBorder="1" applyProtection="1"/>
    <xf numFmtId="0" fontId="61" fillId="4" borderId="0" xfId="1" applyFont="1" applyFill="1" applyAlignment="1">
      <alignment horizontal="center"/>
    </xf>
    <xf numFmtId="167" fontId="60" fillId="0" borderId="0" xfId="21" applyNumberFormat="1" applyFont="1"/>
    <xf numFmtId="0" fontId="16" fillId="0" borderId="0" xfId="0" applyFont="1" applyAlignment="1">
      <alignment horizontal="centerContinuous" vertical="center"/>
    </xf>
    <xf numFmtId="166" fontId="63" fillId="0" borderId="0" xfId="2" applyNumberFormat="1" applyFont="1" applyFill="1" applyBorder="1" applyAlignment="1" applyProtection="1">
      <alignment horizontal="center"/>
    </xf>
    <xf numFmtId="167" fontId="0" fillId="0" borderId="0" xfId="21" applyNumberFormat="1" applyFont="1" applyAlignment="1">
      <alignment wrapText="1"/>
    </xf>
    <xf numFmtId="171" fontId="27" fillId="0" borderId="0" xfId="1" applyNumberFormat="1" applyFont="1" applyAlignment="1">
      <alignment horizontal="center" vertical="center"/>
    </xf>
    <xf numFmtId="167" fontId="95" fillId="0" borderId="0" xfId="21" applyNumberFormat="1" applyFont="1"/>
    <xf numFmtId="164" fontId="95" fillId="0" borderId="0" xfId="1" applyNumberFormat="1" applyFont="1"/>
    <xf numFmtId="0" fontId="95" fillId="3" borderId="0" xfId="1" applyFont="1" applyFill="1"/>
    <xf numFmtId="0" fontId="95" fillId="0" borderId="0" xfId="1" applyFont="1"/>
    <xf numFmtId="164" fontId="0" fillId="6" borderId="0" xfId="18" applyFont="1" applyFill="1" applyAlignment="1">
      <alignment horizontal="center"/>
    </xf>
    <xf numFmtId="167" fontId="16" fillId="0" borderId="0" xfId="21" applyNumberFormat="1" applyFont="1"/>
    <xf numFmtId="167" fontId="37" fillId="0" borderId="0" xfId="21" applyNumberFormat="1" applyFont="1"/>
    <xf numFmtId="164" fontId="37" fillId="3" borderId="0" xfId="0" applyNumberFormat="1" applyFont="1" applyFill="1" applyAlignment="1">
      <alignment horizontal="center"/>
    </xf>
    <xf numFmtId="164" fontId="42" fillId="3" borderId="0" xfId="0" applyNumberFormat="1" applyFont="1" applyFill="1"/>
    <xf numFmtId="167" fontId="16" fillId="0" borderId="0" xfId="21" applyNumberFormat="1" applyFont="1" applyAlignment="1">
      <alignment horizontal="right"/>
    </xf>
    <xf numFmtId="167" fontId="37" fillId="12" borderId="0" xfId="21" applyNumberFormat="1" applyFont="1" applyFill="1" applyAlignment="1">
      <alignment horizontal="right"/>
    </xf>
    <xf numFmtId="167" fontId="37" fillId="12" borderId="0" xfId="21" applyNumberFormat="1" applyFont="1" applyFill="1"/>
    <xf numFmtId="0" fontId="39" fillId="0" borderId="39" xfId="0" applyFont="1" applyBorder="1" applyAlignment="1">
      <alignment horizontal="center" vertical="center" wrapText="1"/>
    </xf>
    <xf numFmtId="167" fontId="90" fillId="0" borderId="0" xfId="21" applyNumberFormat="1" applyFont="1"/>
    <xf numFmtId="164" fontId="37" fillId="0" borderId="0" xfId="18" applyFont="1" applyAlignment="1">
      <alignment horizontal="centerContinuous"/>
    </xf>
    <xf numFmtId="164" fontId="31" fillId="0" borderId="0" xfId="18" applyFont="1" applyAlignment="1">
      <alignment horizontal="centerContinuous"/>
    </xf>
    <xf numFmtId="164" fontId="31" fillId="4" borderId="0" xfId="18" applyFont="1" applyFill="1" applyAlignment="1">
      <alignment horizontal="centerContinuous"/>
    </xf>
    <xf numFmtId="167" fontId="24" fillId="0" borderId="108" xfId="2" applyNumberFormat="1" applyFont="1" applyFill="1" applyBorder="1" applyProtection="1"/>
    <xf numFmtId="167" fontId="24" fillId="0" borderId="112" xfId="2" applyNumberFormat="1" applyFont="1" applyFill="1" applyBorder="1" applyProtection="1"/>
    <xf numFmtId="167" fontId="24" fillId="0" borderId="68" xfId="2" applyNumberFormat="1" applyFont="1" applyFill="1" applyBorder="1" applyProtection="1"/>
    <xf numFmtId="167" fontId="24" fillId="0" borderId="172" xfId="2" applyNumberFormat="1" applyFont="1" applyFill="1" applyBorder="1" applyProtection="1"/>
    <xf numFmtId="167" fontId="24" fillId="0" borderId="173" xfId="2" applyNumberFormat="1" applyFont="1" applyFill="1" applyBorder="1" applyProtection="1"/>
    <xf numFmtId="167" fontId="24" fillId="0" borderId="174" xfId="2" applyNumberFormat="1" applyFont="1" applyFill="1" applyBorder="1" applyProtection="1"/>
    <xf numFmtId="167" fontId="24" fillId="0" borderId="175" xfId="2" applyNumberFormat="1" applyFont="1" applyFill="1" applyBorder="1" applyProtection="1"/>
    <xf numFmtId="164" fontId="31" fillId="0" borderId="0" xfId="18" applyFont="1" applyAlignment="1">
      <alignment horizontal="left"/>
    </xf>
    <xf numFmtId="164" fontId="31" fillId="0" borderId="0" xfId="18" applyFont="1" applyAlignment="1"/>
    <xf numFmtId="164" fontId="37" fillId="0" borderId="0" xfId="18" applyFont="1" applyAlignment="1"/>
    <xf numFmtId="164" fontId="31" fillId="4" borderId="0" xfId="18" applyFont="1" applyFill="1" applyAlignment="1"/>
    <xf numFmtId="164" fontId="87" fillId="0" borderId="0" xfId="18" applyFont="1" applyAlignment="1">
      <alignment horizontal="center"/>
    </xf>
    <xf numFmtId="170" fontId="55" fillId="0" borderId="35" xfId="0" applyNumberFormat="1" applyFont="1" applyBorder="1"/>
    <xf numFmtId="170" fontId="0" fillId="0" borderId="35" xfId="21" applyNumberFormat="1" applyFont="1" applyBorder="1"/>
    <xf numFmtId="170" fontId="0" fillId="0" borderId="137" xfId="0" applyNumberFormat="1" applyBorder="1"/>
    <xf numFmtId="170" fontId="0" fillId="0" borderId="12" xfId="0" applyNumberFormat="1" applyBorder="1"/>
    <xf numFmtId="170" fontId="55" fillId="0" borderId="19" xfId="0" applyNumberFormat="1" applyFont="1" applyBorder="1"/>
    <xf numFmtId="170" fontId="0" fillId="0" borderId="19" xfId="21" applyNumberFormat="1" applyFont="1" applyBorder="1"/>
    <xf numFmtId="170" fontId="0" fillId="0" borderId="27" xfId="0" applyNumberFormat="1" applyBorder="1"/>
    <xf numFmtId="0" fontId="16" fillId="0" borderId="0" xfId="0" applyFont="1" applyAlignment="1">
      <alignment vertical="center"/>
    </xf>
    <xf numFmtId="41" fontId="9" fillId="0" borderId="0" xfId="53" applyFont="1" applyAlignment="1">
      <alignment horizontal="center"/>
    </xf>
    <xf numFmtId="3" fontId="84" fillId="0" borderId="0" xfId="52" applyNumberFormat="1"/>
    <xf numFmtId="0" fontId="9" fillId="0" borderId="0" xfId="0" applyFont="1" applyAlignment="1">
      <alignment vertical="center"/>
    </xf>
    <xf numFmtId="0" fontId="84" fillId="0" borderId="0" xfId="52"/>
    <xf numFmtId="164" fontId="51" fillId="0" borderId="0" xfId="18" applyFont="1" applyAlignment="1">
      <alignment horizontal="center"/>
    </xf>
    <xf numFmtId="164" fontId="22" fillId="0" borderId="0" xfId="18" applyFont="1" applyAlignment="1">
      <alignment horizontal="center"/>
    </xf>
    <xf numFmtId="0" fontId="8" fillId="0" borderId="0" xfId="0" applyFont="1" applyAlignment="1">
      <alignment vertical="center"/>
    </xf>
    <xf numFmtId="0" fontId="7" fillId="0" borderId="0" xfId="0" applyFont="1" applyAlignment="1">
      <alignment vertical="center"/>
    </xf>
    <xf numFmtId="0" fontId="6" fillId="0" borderId="0" xfId="0" applyFont="1" applyAlignment="1">
      <alignment vertical="center"/>
    </xf>
    <xf numFmtId="3" fontId="97" fillId="0" borderId="0" xfId="0" applyNumberFormat="1" applyFont="1"/>
    <xf numFmtId="3" fontId="5" fillId="0" borderId="176" xfId="0" applyNumberFormat="1" applyFont="1" applyBorder="1" applyAlignment="1">
      <alignment horizontal="center" wrapText="1"/>
    </xf>
    <xf numFmtId="170" fontId="0" fillId="0" borderId="0" xfId="18" applyNumberFormat="1" applyFont="1" applyAlignment="1">
      <alignment horizontal="center"/>
    </xf>
    <xf numFmtId="164" fontId="45" fillId="3" borderId="0" xfId="18" applyFont="1" applyFill="1" applyAlignment="1">
      <alignment horizontal="center"/>
    </xf>
    <xf numFmtId="164" fontId="0" fillId="0" borderId="0" xfId="18" applyFont="1" applyFill="1" applyAlignment="1">
      <alignment horizontal="center"/>
    </xf>
    <xf numFmtId="0" fontId="37" fillId="0" borderId="0" xfId="0" applyFont="1" applyAlignment="1">
      <alignment horizontal="center"/>
    </xf>
    <xf numFmtId="167" fontId="42" fillId="0" borderId="0" xfId="21" applyNumberFormat="1" applyFont="1" applyFill="1" applyBorder="1"/>
    <xf numFmtId="167" fontId="42" fillId="0" borderId="0" xfId="21" applyNumberFormat="1" applyFont="1" applyFill="1"/>
    <xf numFmtId="167" fontId="26" fillId="0" borderId="177" xfId="2" applyNumberFormat="1" applyFont="1" applyFill="1" applyBorder="1" applyProtection="1"/>
    <xf numFmtId="167" fontId="3" fillId="0" borderId="0" xfId="21" applyNumberFormat="1" applyFont="1" applyFill="1" applyAlignment="1">
      <alignment vertical="center"/>
    </xf>
    <xf numFmtId="10" fontId="46" fillId="0" borderId="0" xfId="91" applyNumberFormat="1" applyFont="1"/>
    <xf numFmtId="167" fontId="2" fillId="0" borderId="0" xfId="21" applyNumberFormat="1" applyFont="1" applyFill="1" applyAlignment="1">
      <alignment vertical="center"/>
    </xf>
    <xf numFmtId="164" fontId="0" fillId="0" borderId="178" xfId="3" applyFont="1" applyBorder="1"/>
    <xf numFmtId="41" fontId="22" fillId="0" borderId="0" xfId="0" applyNumberFormat="1" applyFont="1"/>
    <xf numFmtId="164" fontId="83" fillId="0" borderId="0" xfId="21" applyNumberFormat="1" applyFont="1" applyFill="1" applyAlignment="1">
      <alignment vertical="center"/>
    </xf>
    <xf numFmtId="164" fontId="86" fillId="0" borderId="0" xfId="21" applyNumberFormat="1" applyFont="1" applyFill="1" applyAlignment="1">
      <alignment vertical="center"/>
    </xf>
    <xf numFmtId="167" fontId="1" fillId="0" borderId="0" xfId="21" applyNumberFormat="1" applyFont="1" applyFill="1" applyAlignment="1">
      <alignment vertical="center"/>
    </xf>
    <xf numFmtId="0" fontId="73" fillId="0" borderId="60" xfId="0" applyFont="1" applyBorder="1" applyAlignment="1">
      <alignment horizontal="center"/>
    </xf>
    <xf numFmtId="0" fontId="73" fillId="0" borderId="137" xfId="0" applyFont="1" applyBorder="1" applyAlignment="1">
      <alignment horizontal="center"/>
    </xf>
    <xf numFmtId="167" fontId="63" fillId="0" borderId="99" xfId="2" applyNumberFormat="1" applyFont="1" applyFill="1" applyBorder="1" applyProtection="1"/>
    <xf numFmtId="164" fontId="59" fillId="0" borderId="0" xfId="0" applyNumberFormat="1" applyFont="1"/>
    <xf numFmtId="0" fontId="59" fillId="0" borderId="0" xfId="0" applyFont="1"/>
    <xf numFmtId="0" fontId="73" fillId="0" borderId="15" xfId="0" applyFont="1" applyBorder="1" applyAlignment="1">
      <alignment horizontal="center"/>
    </xf>
    <xf numFmtId="0" fontId="73" fillId="0" borderId="105" xfId="0" applyFont="1" applyBorder="1" applyAlignment="1">
      <alignment horizontal="center"/>
    </xf>
    <xf numFmtId="164" fontId="100" fillId="0" borderId="179" xfId="0" applyNumberFormat="1" applyFont="1" applyBorder="1"/>
    <xf numFmtId="164" fontId="100" fillId="0" borderId="137" xfId="0" applyNumberFormat="1" applyFont="1" applyBorder="1"/>
    <xf numFmtId="164" fontId="100" fillId="0" borderId="177" xfId="0" applyNumberFormat="1" applyFont="1" applyBorder="1"/>
    <xf numFmtId="164" fontId="100" fillId="0" borderId="12" xfId="0" applyNumberFormat="1" applyFont="1" applyBorder="1"/>
    <xf numFmtId="164" fontId="100" fillId="0" borderId="180" xfId="0" applyNumberFormat="1" applyFont="1" applyBorder="1"/>
    <xf numFmtId="164" fontId="100" fillId="0" borderId="139" xfId="0" applyNumberFormat="1" applyFont="1" applyBorder="1"/>
    <xf numFmtId="164" fontId="59" fillId="0" borderId="60" xfId="0" applyNumberFormat="1" applyFont="1" applyBorder="1"/>
    <xf numFmtId="164" fontId="59" fillId="0" borderId="35" xfId="0" applyNumberFormat="1" applyFont="1" applyBorder="1"/>
    <xf numFmtId="164" fontId="59" fillId="0" borderId="19" xfId="0" applyNumberFormat="1" applyFont="1" applyBorder="1"/>
    <xf numFmtId="165" fontId="40" fillId="0" borderId="35" xfId="2" applyFont="1" applyBorder="1"/>
    <xf numFmtId="165" fontId="39" fillId="0" borderId="12" xfId="2" applyFont="1" applyBorder="1"/>
    <xf numFmtId="167" fontId="0" fillId="0" borderId="0" xfId="21" applyNumberFormat="1" applyFont="1"/>
    <xf numFmtId="165" fontId="62" fillId="0" borderId="155" xfId="2" applyFont="1" applyFill="1" applyBorder="1"/>
    <xf numFmtId="165" fontId="62" fillId="0" borderId="110" xfId="2" applyFont="1" applyFill="1" applyBorder="1"/>
    <xf numFmtId="166" fontId="62" fillId="0" borderId="174" xfId="2" applyNumberFormat="1" applyFont="1" applyFill="1" applyBorder="1" applyProtection="1"/>
    <xf numFmtId="165" fontId="62" fillId="0" borderId="22" xfId="2" applyFont="1" applyFill="1" applyBorder="1"/>
    <xf numFmtId="166" fontId="62" fillId="0" borderId="173" xfId="2" applyNumberFormat="1" applyFont="1" applyFill="1" applyBorder="1" applyProtection="1"/>
    <xf numFmtId="167" fontId="0" fillId="0" borderId="0" xfId="0" applyNumberFormat="1" applyAlignment="1">
      <alignment wrapText="1"/>
    </xf>
    <xf numFmtId="172" fontId="63" fillId="0" borderId="0" xfId="1" applyNumberFormat="1" applyFont="1" applyAlignment="1">
      <alignment horizontal="center"/>
    </xf>
    <xf numFmtId="167" fontId="62" fillId="0" borderId="175" xfId="2" applyNumberFormat="1" applyFont="1" applyFill="1" applyBorder="1" applyProtection="1"/>
    <xf numFmtId="166" fontId="62" fillId="0" borderId="175" xfId="2" applyNumberFormat="1" applyFont="1" applyFill="1" applyBorder="1" applyProtection="1"/>
    <xf numFmtId="165" fontId="62" fillId="0" borderId="173" xfId="2" applyFont="1" applyFill="1" applyBorder="1" applyAlignment="1" applyProtection="1">
      <alignment horizontal="center"/>
    </xf>
    <xf numFmtId="165" fontId="62" fillId="0" borderId="174" xfId="2" applyFont="1" applyFill="1" applyBorder="1" applyAlignment="1" applyProtection="1">
      <alignment horizontal="center"/>
    </xf>
    <xf numFmtId="165" fontId="62" fillId="0" borderId="108" xfId="2" applyFont="1" applyFill="1" applyBorder="1" applyAlignment="1" applyProtection="1">
      <alignment horizontal="center"/>
    </xf>
    <xf numFmtId="165" fontId="62" fillId="0" borderId="181" xfId="2" applyFont="1" applyFill="1" applyBorder="1" applyProtection="1"/>
    <xf numFmtId="165" fontId="62" fillId="0" borderId="182" xfId="2" applyFont="1" applyFill="1" applyBorder="1" applyProtection="1"/>
    <xf numFmtId="165" fontId="62" fillId="0" borderId="8" xfId="2" applyFont="1" applyFill="1" applyBorder="1" applyAlignment="1" applyProtection="1">
      <alignment horizontal="center"/>
    </xf>
    <xf numFmtId="165" fontId="62" fillId="0" borderId="173" xfId="2" applyFont="1" applyFill="1" applyBorder="1" applyProtection="1"/>
    <xf numFmtId="165" fontId="62" fillId="0" borderId="174" xfId="2" applyFont="1" applyFill="1" applyBorder="1" applyProtection="1"/>
    <xf numFmtId="165" fontId="62" fillId="0" borderId="124" xfId="2" applyFont="1" applyFill="1" applyBorder="1" applyAlignment="1" applyProtection="1">
      <alignment horizontal="center"/>
    </xf>
    <xf numFmtId="165" fontId="62" fillId="0" borderId="183" xfId="2" applyFont="1" applyFill="1" applyBorder="1" applyProtection="1"/>
    <xf numFmtId="165" fontId="62" fillId="0" borderId="123" xfId="2" applyFont="1" applyFill="1" applyBorder="1" applyAlignment="1" applyProtection="1">
      <alignment horizontal="center"/>
    </xf>
    <xf numFmtId="0" fontId="101" fillId="0" borderId="0" xfId="20" applyFont="1" applyAlignment="1">
      <alignment horizontal="center"/>
    </xf>
    <xf numFmtId="37" fontId="62" fillId="0" borderId="184" xfId="20" applyNumberFormat="1" applyFont="1" applyBorder="1"/>
    <xf numFmtId="166" fontId="62" fillId="0" borderId="34" xfId="2" applyNumberFormat="1" applyFont="1" applyFill="1" applyBorder="1" applyAlignment="1" applyProtection="1">
      <alignment horizontal="left"/>
    </xf>
    <xf numFmtId="0" fontId="62" fillId="0" borderId="34" xfId="20" applyFont="1" applyBorder="1"/>
    <xf numFmtId="165" fontId="62" fillId="0" borderId="112" xfId="20" applyNumberFormat="1" applyFont="1" applyBorder="1"/>
    <xf numFmtId="165" fontId="63" fillId="0" borderId="66" xfId="2" applyFont="1" applyFill="1" applyBorder="1" applyProtection="1"/>
    <xf numFmtId="166" fontId="62" fillId="0" borderId="182" xfId="2" applyNumberFormat="1" applyFont="1" applyFill="1" applyBorder="1" applyAlignment="1" applyProtection="1">
      <alignment horizontal="left"/>
    </xf>
    <xf numFmtId="166" fontId="62" fillId="0" borderId="182" xfId="2" applyNumberFormat="1" applyFont="1" applyFill="1" applyBorder="1" applyProtection="1"/>
    <xf numFmtId="166" fontId="62" fillId="0" borderId="185" xfId="2" applyNumberFormat="1" applyFont="1" applyFill="1" applyBorder="1" applyAlignment="1" applyProtection="1">
      <alignment horizontal="left"/>
    </xf>
    <xf numFmtId="165" fontId="62" fillId="0" borderId="186" xfId="2" applyFont="1" applyFill="1" applyBorder="1" applyProtection="1"/>
    <xf numFmtId="166" fontId="62" fillId="0" borderId="186" xfId="2" applyNumberFormat="1" applyFont="1" applyFill="1" applyBorder="1" applyProtection="1"/>
    <xf numFmtId="166" fontId="62" fillId="0" borderId="187" xfId="2" applyNumberFormat="1" applyFont="1" applyFill="1" applyBorder="1" applyProtection="1"/>
    <xf numFmtId="167" fontId="62" fillId="0" borderId="182" xfId="2" applyNumberFormat="1" applyFont="1" applyFill="1" applyBorder="1" applyProtection="1"/>
    <xf numFmtId="167" fontId="62" fillId="0" borderId="186" xfId="2" applyNumberFormat="1" applyFont="1" applyFill="1" applyBorder="1" applyProtection="1"/>
    <xf numFmtId="167" fontId="62" fillId="0" borderId="187" xfId="2" applyNumberFormat="1" applyFont="1" applyFill="1" applyBorder="1" applyProtection="1"/>
    <xf numFmtId="167" fontId="24" fillId="0" borderId="0" xfId="21" applyNumberFormat="1" applyFont="1"/>
    <xf numFmtId="164" fontId="46" fillId="0" borderId="0" xfId="18" applyFont="1" applyAlignment="1">
      <alignment vertical="center"/>
    </xf>
    <xf numFmtId="164" fontId="31" fillId="0" borderId="0" xfId="18" applyFont="1"/>
    <xf numFmtId="164" fontId="31" fillId="0" borderId="0" xfId="0" applyNumberFormat="1" applyFont="1"/>
    <xf numFmtId="164" fontId="31" fillId="0" borderId="0" xfId="18" applyFont="1" applyAlignment="1">
      <alignment vertical="center"/>
    </xf>
    <xf numFmtId="164" fontId="31" fillId="0" borderId="0" xfId="0" applyNumberFormat="1" applyFont="1" applyAlignment="1">
      <alignment vertical="center"/>
    </xf>
    <xf numFmtId="164" fontId="102" fillId="0" borderId="39" xfId="18" applyFont="1" applyBorder="1" applyAlignment="1">
      <alignment horizontal="center"/>
    </xf>
    <xf numFmtId="3" fontId="103" fillId="0" borderId="0" xfId="0" applyNumberFormat="1" applyFont="1"/>
    <xf numFmtId="164" fontId="33" fillId="0" borderId="0" xfId="18" applyFont="1" applyAlignment="1">
      <alignment horizontal="center"/>
    </xf>
    <xf numFmtId="164" fontId="16" fillId="0" borderId="0" xfId="18" applyFont="1" applyAlignment="1">
      <alignment horizontal="center"/>
    </xf>
    <xf numFmtId="164" fontId="31" fillId="0" borderId="0" xfId="18" applyFont="1" applyAlignment="1">
      <alignment horizontal="center"/>
    </xf>
    <xf numFmtId="164" fontId="37" fillId="0" borderId="0" xfId="18" applyFont="1" applyAlignment="1">
      <alignment horizontal="center"/>
    </xf>
    <xf numFmtId="0" fontId="88" fillId="0" borderId="0" xfId="0" applyFont="1" applyAlignment="1">
      <alignment horizontal="center"/>
    </xf>
    <xf numFmtId="0" fontId="88" fillId="0" borderId="0" xfId="0" applyFont="1" applyAlignment="1">
      <alignment horizontal="right"/>
    </xf>
    <xf numFmtId="0" fontId="87" fillId="3" borderId="146" xfId="0" applyFont="1" applyFill="1" applyBorder="1" applyAlignment="1">
      <alignment horizontal="center" vertical="center"/>
    </xf>
    <xf numFmtId="0" fontId="87" fillId="3" borderId="147" xfId="0" applyFont="1" applyFill="1" applyBorder="1" applyAlignment="1">
      <alignment horizontal="center" vertical="center"/>
    </xf>
    <xf numFmtId="0" fontId="87" fillId="3" borderId="148" xfId="0" applyFont="1" applyFill="1" applyBorder="1" applyAlignment="1">
      <alignment horizontal="center" vertical="center"/>
    </xf>
    <xf numFmtId="0" fontId="16" fillId="0" borderId="141" xfId="0" applyFont="1" applyBorder="1" applyAlignment="1">
      <alignment horizontal="center"/>
    </xf>
    <xf numFmtId="0" fontId="16" fillId="0" borderId="34" xfId="0" applyFont="1" applyBorder="1" applyAlignment="1">
      <alignment horizontal="center"/>
    </xf>
    <xf numFmtId="0" fontId="16" fillId="0" borderId="39" xfId="0" applyFont="1" applyBorder="1" applyAlignment="1">
      <alignment horizontal="center"/>
    </xf>
    <xf numFmtId="0" fontId="16" fillId="0" borderId="145" xfId="0" applyFont="1" applyBorder="1" applyAlignment="1">
      <alignment horizontal="center"/>
    </xf>
    <xf numFmtId="164" fontId="16" fillId="5" borderId="0" xfId="18" applyFont="1" applyFill="1" applyAlignment="1">
      <alignment horizontal="center"/>
    </xf>
    <xf numFmtId="164" fontId="21" fillId="5" borderId="0" xfId="18" applyFont="1" applyFill="1" applyAlignment="1">
      <alignment horizontal="center"/>
    </xf>
    <xf numFmtId="164" fontId="16" fillId="8" borderId="0" xfId="18" applyFont="1" applyFill="1" applyAlignment="1">
      <alignment horizontal="center"/>
    </xf>
    <xf numFmtId="0" fontId="39" fillId="0" borderId="49" xfId="0" applyFont="1" applyBorder="1" applyAlignment="1">
      <alignment horizontal="center" vertical="center" wrapText="1"/>
    </xf>
    <xf numFmtId="0" fontId="39" fillId="0" borderId="51" xfId="0" applyFont="1" applyBorder="1" applyAlignment="1">
      <alignment horizontal="center" vertical="center" wrapText="1"/>
    </xf>
    <xf numFmtId="0" fontId="39" fillId="0" borderId="158" xfId="0" applyFont="1" applyBorder="1" applyAlignment="1">
      <alignment horizontal="center" vertical="center"/>
    </xf>
    <xf numFmtId="0" fontId="39" fillId="0" borderId="39" xfId="0" applyFont="1" applyBorder="1" applyAlignment="1">
      <alignment horizontal="center" vertical="center"/>
    </xf>
    <xf numFmtId="0" fontId="26" fillId="0" borderId="50" xfId="0" applyFont="1" applyBorder="1" applyAlignment="1">
      <alignment horizontal="center"/>
    </xf>
    <xf numFmtId="0" fontId="26" fillId="0" borderId="30" xfId="0" applyFont="1" applyBorder="1" applyAlignment="1">
      <alignment horizontal="center"/>
    </xf>
    <xf numFmtId="0" fontId="26" fillId="0" borderId="92" xfId="0" applyFont="1" applyBorder="1" applyAlignment="1">
      <alignment horizontal="center"/>
    </xf>
    <xf numFmtId="0" fontId="26" fillId="0" borderId="23" xfId="0" applyFont="1" applyBorder="1" applyAlignment="1">
      <alignment horizontal="center"/>
    </xf>
    <xf numFmtId="0" fontId="26" fillId="0" borderId="5" xfId="0" applyFont="1" applyBorder="1" applyAlignment="1">
      <alignment horizontal="center"/>
    </xf>
    <xf numFmtId="0" fontId="26" fillId="0" borderId="6" xfId="0" applyFont="1" applyBorder="1" applyAlignment="1">
      <alignment horizontal="center"/>
    </xf>
    <xf numFmtId="0" fontId="27" fillId="0" borderId="36" xfId="0" applyFont="1" applyBorder="1" applyAlignment="1">
      <alignment horizontal="center"/>
    </xf>
    <xf numFmtId="0" fontId="27" fillId="0" borderId="156" xfId="0" applyFont="1" applyBorder="1" applyAlignment="1">
      <alignment horizontal="center"/>
    </xf>
    <xf numFmtId="0" fontId="39" fillId="0" borderId="39" xfId="0" applyFont="1" applyBorder="1" applyAlignment="1">
      <alignment horizontal="center" vertical="center" wrapText="1"/>
    </xf>
    <xf numFmtId="0" fontId="34" fillId="0" borderId="39" xfId="0" applyFont="1" applyBorder="1" applyAlignment="1">
      <alignment horizontal="center"/>
    </xf>
    <xf numFmtId="0" fontId="34" fillId="0" borderId="145" xfId="0" applyFont="1" applyBorder="1" applyAlignment="1">
      <alignment horizontal="center"/>
    </xf>
    <xf numFmtId="0" fontId="64" fillId="0" borderId="39" xfId="0" applyFont="1" applyBorder="1" applyAlignment="1">
      <alignment horizontal="center"/>
    </xf>
    <xf numFmtId="0" fontId="64" fillId="0" borderId="145" xfId="0" applyFont="1" applyBorder="1" applyAlignment="1">
      <alignment horizontal="center"/>
    </xf>
    <xf numFmtId="0" fontId="47" fillId="0" borderId="161" xfId="0" applyFont="1" applyBorder="1" applyAlignment="1">
      <alignment horizontal="center"/>
    </xf>
    <xf numFmtId="0" fontId="47" fillId="0" borderId="162" xfId="0" applyFont="1" applyBorder="1" applyAlignment="1">
      <alignment horizontal="center"/>
    </xf>
    <xf numFmtId="0" fontId="47" fillId="0" borderId="163" xfId="0" applyFont="1" applyBorder="1" applyAlignment="1">
      <alignment horizontal="center"/>
    </xf>
    <xf numFmtId="0" fontId="92" fillId="0" borderId="7" xfId="0" applyFont="1" applyBorder="1" applyAlignment="1">
      <alignment horizontal="center" vertical="center" wrapText="1"/>
    </xf>
    <xf numFmtId="0" fontId="47" fillId="0" borderId="49" xfId="0" applyFont="1" applyBorder="1" applyAlignment="1">
      <alignment horizontal="center" vertical="center"/>
    </xf>
    <xf numFmtId="0" fontId="47" fillId="0" borderId="51" xfId="0" applyFont="1" applyBorder="1" applyAlignment="1">
      <alignment horizontal="center" vertical="center"/>
    </xf>
    <xf numFmtId="0" fontId="47" fillId="0" borderId="158" xfId="0" applyFont="1" applyBorder="1" applyAlignment="1">
      <alignment horizontal="center"/>
    </xf>
    <xf numFmtId="0" fontId="47" fillId="0" borderId="0" xfId="0" quotePrefix="1" applyFont="1" applyAlignment="1">
      <alignment horizontal="center"/>
    </xf>
    <xf numFmtId="0" fontId="47" fillId="0" borderId="0" xfId="0" applyFont="1" applyAlignment="1">
      <alignment horizontal="center"/>
    </xf>
    <xf numFmtId="0" fontId="23" fillId="0" borderId="0" xfId="0" applyFont="1" applyAlignment="1">
      <alignment horizontal="center"/>
    </xf>
    <xf numFmtId="0" fontId="26" fillId="0" borderId="4" xfId="0" applyFont="1" applyBorder="1" applyAlignment="1">
      <alignment horizontal="center"/>
    </xf>
    <xf numFmtId="0" fontId="34" fillId="0" borderId="0" xfId="0" quotePrefix="1" applyFont="1" applyAlignment="1">
      <alignment horizontal="left"/>
    </xf>
    <xf numFmtId="0" fontId="34" fillId="0" borderId="0" xfId="0" applyFont="1" applyAlignment="1">
      <alignment horizontal="left"/>
    </xf>
    <xf numFmtId="0" fontId="93" fillId="0" borderId="0" xfId="0" applyFont="1" applyAlignment="1">
      <alignment horizontal="center"/>
    </xf>
    <xf numFmtId="0" fontId="35" fillId="0" borderId="0" xfId="0" applyFont="1" applyAlignment="1">
      <alignment horizontal="center"/>
    </xf>
    <xf numFmtId="0" fontId="36" fillId="0" borderId="33" xfId="0" applyFont="1" applyBorder="1" applyAlignment="1">
      <alignment horizontal="center" vertical="center"/>
    </xf>
    <xf numFmtId="0" fontId="36" fillId="0" borderId="34" xfId="0" applyFont="1" applyBorder="1" applyAlignment="1">
      <alignment horizontal="center" vertical="center"/>
    </xf>
    <xf numFmtId="0" fontId="36" fillId="0" borderId="36" xfId="0" applyFont="1" applyBorder="1" applyAlignment="1">
      <alignment horizontal="center"/>
    </xf>
    <xf numFmtId="0" fontId="36" fillId="0" borderId="37" xfId="0" applyFont="1" applyBorder="1" applyAlignment="1">
      <alignment horizontal="center"/>
    </xf>
    <xf numFmtId="0" fontId="36" fillId="0" borderId="38" xfId="0" applyFont="1" applyBorder="1" applyAlignment="1">
      <alignment horizontal="center"/>
    </xf>
    <xf numFmtId="0" fontId="38" fillId="0" borderId="39" xfId="1" applyFont="1" applyBorder="1" applyAlignment="1">
      <alignment horizontal="center" vertical="center" wrapText="1"/>
    </xf>
    <xf numFmtId="0" fontId="38" fillId="0" borderId="39" xfId="1" applyFont="1" applyBorder="1" applyAlignment="1">
      <alignment horizontal="center" vertical="center"/>
    </xf>
    <xf numFmtId="0" fontId="38" fillId="0" borderId="0" xfId="0" applyFont="1" applyAlignment="1">
      <alignment horizontal="center"/>
    </xf>
    <xf numFmtId="0" fontId="39" fillId="0" borderId="31" xfId="0" applyFont="1" applyBorder="1" applyAlignment="1">
      <alignment horizontal="center" vertical="center"/>
    </xf>
    <xf numFmtId="0" fontId="39" fillId="0" borderId="35" xfId="0" applyFont="1" applyBorder="1" applyAlignment="1">
      <alignment horizontal="center" vertical="center"/>
    </xf>
    <xf numFmtId="0" fontId="39" fillId="0" borderId="58" xfId="0" applyFont="1" applyBorder="1" applyAlignment="1">
      <alignment horizontal="center" vertical="center"/>
    </xf>
    <xf numFmtId="0" fontId="39" fillId="0" borderId="50" xfId="0" applyFont="1" applyBorder="1" applyAlignment="1">
      <alignment horizontal="center" vertical="center" wrapText="1"/>
    </xf>
    <xf numFmtId="0" fontId="39" fillId="0" borderId="23" xfId="0" applyFont="1" applyBorder="1" applyAlignment="1">
      <alignment horizontal="center" vertical="center" wrapText="1"/>
    </xf>
    <xf numFmtId="0" fontId="39" fillId="0" borderId="52" xfId="0" applyFont="1" applyBorder="1" applyAlignment="1">
      <alignment horizontal="center" vertical="center" wrapText="1"/>
    </xf>
    <xf numFmtId="0" fontId="39" fillId="0" borderId="0" xfId="0" applyFont="1" applyAlignment="1">
      <alignment horizontal="center" vertical="center" wrapText="1"/>
    </xf>
    <xf numFmtId="0" fontId="39" fillId="0" borderId="24" xfId="0" applyFont="1" applyBorder="1" applyAlignment="1">
      <alignment horizontal="center" vertical="center" wrapText="1"/>
    </xf>
    <xf numFmtId="0" fontId="39" fillId="0" borderId="12" xfId="0" applyFont="1" applyBorder="1" applyAlignment="1">
      <alignment horizontal="center" vertical="center" wrapText="1"/>
    </xf>
    <xf numFmtId="0" fontId="39" fillId="0" borderId="53" xfId="0" applyFont="1" applyBorder="1" applyAlignment="1">
      <alignment horizontal="center" vertical="center" wrapText="1"/>
    </xf>
    <xf numFmtId="0" fontId="74" fillId="0" borderId="0" xfId="0" quotePrefix="1" applyFont="1" applyAlignment="1">
      <alignment horizontal="center"/>
    </xf>
    <xf numFmtId="0" fontId="74" fillId="0" borderId="0" xfId="0" applyFont="1" applyAlignment="1">
      <alignment horizontal="center"/>
    </xf>
    <xf numFmtId="0" fontId="66" fillId="0" borderId="0" xfId="1" applyFont="1" applyAlignment="1">
      <alignment horizontal="right"/>
    </xf>
    <xf numFmtId="0" fontId="65" fillId="0" borderId="125" xfId="1" applyFont="1" applyBorder="1" applyAlignment="1">
      <alignment horizontal="right"/>
    </xf>
    <xf numFmtId="0" fontId="74" fillId="0" borderId="0" xfId="1" quotePrefix="1" applyFont="1" applyAlignment="1">
      <alignment horizontal="center"/>
    </xf>
    <xf numFmtId="0" fontId="74" fillId="0" borderId="0" xfId="1" applyFont="1" applyAlignment="1">
      <alignment horizontal="center"/>
    </xf>
    <xf numFmtId="0" fontId="62" fillId="0" borderId="0" xfId="0" quotePrefix="1" applyFont="1" applyAlignment="1">
      <alignment horizontal="center"/>
    </xf>
    <xf numFmtId="0" fontId="62" fillId="0" borderId="0" xfId="0" applyFont="1" applyAlignment="1">
      <alignment horizontal="center"/>
    </xf>
    <xf numFmtId="0" fontId="74" fillId="0" borderId="52" xfId="1" quotePrefix="1" applyFont="1" applyBorder="1" applyAlignment="1">
      <alignment horizontal="center"/>
    </xf>
    <xf numFmtId="0" fontId="62" fillId="0" borderId="0" xfId="1" quotePrefix="1" applyFont="1" applyAlignment="1">
      <alignment horizontal="center"/>
    </xf>
    <xf numFmtId="0" fontId="62" fillId="0" borderId="0" xfId="1" applyFont="1" applyAlignment="1">
      <alignment horizontal="center"/>
    </xf>
    <xf numFmtId="0" fontId="65" fillId="0" borderId="0" xfId="1" applyFont="1" applyAlignment="1">
      <alignment horizontal="right"/>
    </xf>
    <xf numFmtId="0" fontId="63" fillId="0" borderId="5" xfId="1" applyFont="1" applyBorder="1" applyAlignment="1">
      <alignment horizontal="right"/>
    </xf>
    <xf numFmtId="0" fontId="65" fillId="0" borderId="5" xfId="1" applyFont="1" applyBorder="1" applyAlignment="1">
      <alignment horizontal="center"/>
    </xf>
    <xf numFmtId="0" fontId="65" fillId="0" borderId="135" xfId="1" applyFont="1" applyBorder="1" applyAlignment="1">
      <alignment horizontal="center"/>
    </xf>
    <xf numFmtId="0" fontId="69" fillId="0" borderId="0" xfId="0" quotePrefix="1" applyFont="1" applyAlignment="1">
      <alignment horizontal="center"/>
    </xf>
    <xf numFmtId="0" fontId="69" fillId="0" borderId="0" xfId="0" applyFont="1" applyAlignment="1">
      <alignment horizontal="center"/>
    </xf>
    <xf numFmtId="0" fontId="63" fillId="0" borderId="5" xfId="1" applyFont="1" applyBorder="1" applyAlignment="1">
      <alignment horizontal="center"/>
    </xf>
    <xf numFmtId="0" fontId="69" fillId="0" borderId="23" xfId="1" quotePrefix="1" applyFont="1" applyBorder="1" applyAlignment="1">
      <alignment horizontal="center"/>
    </xf>
    <xf numFmtId="0" fontId="69" fillId="0" borderId="0" xfId="1" quotePrefix="1" applyFont="1" applyAlignment="1">
      <alignment horizontal="center"/>
    </xf>
    <xf numFmtId="0" fontId="69" fillId="0" borderId="0" xfId="1" applyFont="1" applyAlignment="1">
      <alignment horizontal="center"/>
    </xf>
    <xf numFmtId="0" fontId="69" fillId="0" borderId="0" xfId="20" applyFont="1" applyAlignment="1">
      <alignment horizontal="center" vertical="center"/>
    </xf>
    <xf numFmtId="0" fontId="63" fillId="0" borderId="0" xfId="20" applyFont="1" applyAlignment="1">
      <alignment horizontal="center"/>
    </xf>
    <xf numFmtId="0" fontId="76" fillId="0" borderId="0" xfId="20" applyFont="1" applyAlignment="1">
      <alignment horizontal="center"/>
    </xf>
    <xf numFmtId="0" fontId="77" fillId="0" borderId="29" xfId="20" applyFont="1" applyBorder="1" applyAlignment="1">
      <alignment horizontal="center"/>
    </xf>
    <xf numFmtId="0" fontId="77" fillId="0" borderId="65" xfId="20" applyFont="1" applyBorder="1" applyAlignment="1">
      <alignment horizontal="center"/>
    </xf>
    <xf numFmtId="0" fontId="63" fillId="0" borderId="4" xfId="20" applyFont="1" applyBorder="1" applyAlignment="1">
      <alignment horizontal="right"/>
    </xf>
    <xf numFmtId="0" fontId="63" fillId="0" borderId="5" xfId="20" applyFont="1" applyBorder="1" applyAlignment="1">
      <alignment horizontal="right"/>
    </xf>
    <xf numFmtId="0" fontId="65" fillId="0" borderId="5" xfId="20" applyFont="1" applyBorder="1" applyAlignment="1">
      <alignment horizontal="left"/>
    </xf>
    <xf numFmtId="0" fontId="65" fillId="0" borderId="23" xfId="20" applyFont="1" applyBorder="1" applyAlignment="1">
      <alignment horizontal="left"/>
    </xf>
    <xf numFmtId="0" fontId="65" fillId="0" borderId="6" xfId="20" applyFont="1" applyBorder="1" applyAlignment="1">
      <alignment horizontal="left"/>
    </xf>
    <xf numFmtId="0" fontId="63" fillId="0" borderId="29" xfId="20" applyFont="1" applyBorder="1" applyAlignment="1">
      <alignment horizontal="center"/>
    </xf>
    <xf numFmtId="0" fontId="63" fillId="0" borderId="23" xfId="20" applyFont="1" applyBorder="1" applyAlignment="1">
      <alignment horizontal="center"/>
    </xf>
    <xf numFmtId="0" fontId="65" fillId="0" borderId="33" xfId="20" applyFont="1" applyBorder="1" applyAlignment="1">
      <alignment horizontal="center"/>
    </xf>
    <xf numFmtId="0" fontId="65" fillId="0" borderId="66" xfId="20" applyFont="1" applyBorder="1" applyAlignment="1">
      <alignment horizontal="center"/>
    </xf>
    <xf numFmtId="0" fontId="63" fillId="0" borderId="33" xfId="20" applyFont="1" applyBorder="1" applyAlignment="1">
      <alignment horizontal="center"/>
    </xf>
    <xf numFmtId="0" fontId="63" fillId="0" borderId="66" xfId="20" applyFont="1" applyBorder="1" applyAlignment="1">
      <alignment horizontal="center"/>
    </xf>
    <xf numFmtId="165" fontId="63" fillId="0" borderId="108" xfId="2" applyFont="1" applyFill="1" applyBorder="1" applyAlignment="1" applyProtection="1">
      <alignment horizontal="center"/>
    </xf>
    <xf numFmtId="165" fontId="63" fillId="0" borderId="8" xfId="2" applyFont="1" applyFill="1" applyBorder="1" applyAlignment="1" applyProtection="1">
      <alignment horizontal="center"/>
    </xf>
    <xf numFmtId="166" fontId="63" fillId="0" borderId="108" xfId="2" applyNumberFormat="1" applyFont="1" applyFill="1" applyBorder="1" applyAlignment="1" applyProtection="1">
      <alignment horizontal="center"/>
    </xf>
    <xf numFmtId="166" fontId="63" fillId="0" borderId="8" xfId="2" applyNumberFormat="1" applyFont="1" applyFill="1" applyBorder="1" applyAlignment="1" applyProtection="1">
      <alignment horizontal="center"/>
    </xf>
    <xf numFmtId="166" fontId="63" fillId="0" borderId="109" xfId="2" applyNumberFormat="1" applyFont="1" applyFill="1" applyBorder="1" applyAlignment="1" applyProtection="1">
      <alignment horizontal="center"/>
    </xf>
    <xf numFmtId="166" fontId="63" fillId="0" borderId="21" xfId="2" applyNumberFormat="1" applyFont="1" applyFill="1" applyBorder="1" applyAlignment="1" applyProtection="1">
      <alignment horizontal="center"/>
    </xf>
    <xf numFmtId="0" fontId="69" fillId="0" borderId="0" xfId="20" quotePrefix="1" applyFont="1" applyAlignment="1">
      <alignment horizontal="center"/>
    </xf>
    <xf numFmtId="0" fontId="63" fillId="0" borderId="125" xfId="20" applyFont="1" applyBorder="1" applyAlignment="1">
      <alignment horizontal="right"/>
    </xf>
    <xf numFmtId="0" fontId="63" fillId="0" borderId="65" xfId="20" applyFont="1" applyBorder="1" applyAlignment="1">
      <alignment horizontal="center"/>
    </xf>
    <xf numFmtId="0" fontId="65" fillId="0" borderId="0" xfId="20" applyFont="1" applyAlignment="1">
      <alignment horizontal="center"/>
    </xf>
    <xf numFmtId="0" fontId="72" fillId="0" borderId="0" xfId="1" applyFont="1" applyAlignment="1">
      <alignment horizontal="right"/>
    </xf>
    <xf numFmtId="164" fontId="16" fillId="0" borderId="0" xfId="3" applyFont="1" applyAlignment="1">
      <alignment horizontal="center"/>
    </xf>
    <xf numFmtId="0" fontId="0" fillId="0" borderId="0" xfId="0" applyAlignment="1">
      <alignment horizontal="center" wrapText="1"/>
    </xf>
    <xf numFmtId="0" fontId="94" fillId="0" borderId="0" xfId="1" applyFont="1" applyAlignment="1">
      <alignment horizontal="right"/>
    </xf>
    <xf numFmtId="164" fontId="29" fillId="0" borderId="0" xfId="18" applyFont="1" applyAlignment="1">
      <alignment horizontal="center"/>
    </xf>
    <xf numFmtId="164" fontId="29" fillId="0" borderId="0" xfId="3" applyFont="1" applyAlignment="1">
      <alignment horizontal="center"/>
    </xf>
    <xf numFmtId="0" fontId="37" fillId="0" borderId="0" xfId="0" applyFont="1" applyAlignment="1">
      <alignment horizontal="center"/>
    </xf>
    <xf numFmtId="164" fontId="37" fillId="0" borderId="3" xfId="18" applyFont="1" applyBorder="1" applyAlignment="1">
      <alignment horizontal="center" vertical="center"/>
    </xf>
    <xf numFmtId="164" fontId="37" fillId="0" borderId="63" xfId="18" applyFont="1" applyBorder="1" applyAlignment="1">
      <alignment horizontal="center" vertical="center"/>
    </xf>
    <xf numFmtId="164" fontId="37" fillId="0" borderId="14" xfId="18" applyFont="1" applyBorder="1" applyAlignment="1">
      <alignment horizontal="center" vertical="center"/>
    </xf>
    <xf numFmtId="164" fontId="37" fillId="0" borderId="64" xfId="18" applyFont="1" applyBorder="1" applyAlignment="1">
      <alignment horizontal="center" vertical="center"/>
    </xf>
    <xf numFmtId="164" fontId="45" fillId="0" borderId="73" xfId="18" applyFont="1" applyBorder="1" applyAlignment="1">
      <alignment horizontal="center" vertical="center" wrapText="1"/>
    </xf>
    <xf numFmtId="164" fontId="45" fillId="0" borderId="74" xfId="18" applyFont="1" applyBorder="1" applyAlignment="1">
      <alignment horizontal="center" vertical="center" wrapText="1"/>
    </xf>
    <xf numFmtId="164" fontId="45" fillId="0" borderId="75" xfId="18" applyFont="1" applyBorder="1" applyAlignment="1">
      <alignment horizontal="center" vertical="center" wrapText="1"/>
    </xf>
    <xf numFmtId="164" fontId="45" fillId="0" borderId="76" xfId="18" applyFont="1" applyBorder="1" applyAlignment="1">
      <alignment horizontal="center" vertical="center" wrapText="1"/>
    </xf>
    <xf numFmtId="164" fontId="37" fillId="0" borderId="65" xfId="18" applyFont="1" applyBorder="1" applyAlignment="1">
      <alignment horizontal="center" vertical="center"/>
    </xf>
    <xf numFmtId="164" fontId="37" fillId="0" borderId="77" xfId="18" applyFont="1" applyBorder="1" applyAlignment="1">
      <alignment horizontal="center" vertical="center"/>
    </xf>
    <xf numFmtId="164" fontId="37" fillId="0" borderId="12" xfId="0" applyNumberFormat="1" applyFont="1" applyBorder="1" applyAlignment="1">
      <alignment horizontal="center" vertical="top"/>
    </xf>
    <xf numFmtId="164" fontId="37" fillId="0" borderId="53" xfId="0" applyNumberFormat="1" applyFont="1" applyBorder="1" applyAlignment="1">
      <alignment horizontal="center" vertical="top"/>
    </xf>
    <xf numFmtId="164" fontId="45" fillId="0" borderId="81" xfId="18" applyFont="1" applyBorder="1" applyAlignment="1">
      <alignment horizontal="center" vertical="center" wrapText="1"/>
    </xf>
    <xf numFmtId="164" fontId="45" fillId="0" borderId="24" xfId="18" applyFont="1" applyBorder="1" applyAlignment="1">
      <alignment horizontal="center" vertical="center" wrapText="1"/>
    </xf>
    <xf numFmtId="164" fontId="45" fillId="0" borderId="82" xfId="18" applyFont="1" applyBorder="1" applyAlignment="1">
      <alignment horizontal="center" vertical="center" wrapText="1"/>
    </xf>
    <xf numFmtId="164" fontId="45" fillId="0" borderId="12" xfId="18" applyFont="1" applyBorder="1" applyAlignment="1">
      <alignment horizontal="center" vertical="center" wrapText="1"/>
    </xf>
    <xf numFmtId="164" fontId="37" fillId="0" borderId="55" xfId="0" applyNumberFormat="1" applyFont="1" applyBorder="1" applyAlignment="1">
      <alignment horizontal="center" vertical="top"/>
    </xf>
    <xf numFmtId="164" fontId="37" fillId="0" borderId="87" xfId="0" applyNumberFormat="1" applyFont="1" applyBorder="1" applyAlignment="1">
      <alignment horizontal="center" vertical="top"/>
    </xf>
    <xf numFmtId="0" fontId="47" fillId="0" borderId="78" xfId="0" applyFont="1" applyBorder="1" applyAlignment="1">
      <alignment horizontal="center" vertical="center"/>
    </xf>
    <xf numFmtId="0" fontId="47" fillId="0" borderId="79" xfId="0" applyFont="1" applyBorder="1" applyAlignment="1">
      <alignment horizontal="center" vertical="center"/>
    </xf>
    <xf numFmtId="0" fontId="16" fillId="0" borderId="39" xfId="0" applyFont="1" applyBorder="1" applyAlignment="1">
      <alignment horizontal="center" vertical="center"/>
    </xf>
    <xf numFmtId="0" fontId="21" fillId="0" borderId="39" xfId="0" applyFont="1" applyBorder="1" applyAlignment="1">
      <alignment horizontal="center" vertical="center"/>
    </xf>
  </cellXfs>
  <cellStyles count="92">
    <cellStyle name="Comma" xfId="21" builtinId="3"/>
    <cellStyle name="Comma [0]" xfId="18" builtinId="6"/>
    <cellStyle name="Comma [0] 2" xfId="3" xr:uid="{00000000-0005-0000-0000-000002000000}"/>
    <cellStyle name="Comma [0] 2 2" xfId="24" xr:uid="{00000000-0005-0000-0000-000003000000}"/>
    <cellStyle name="Comma [0] 3" xfId="6" xr:uid="{00000000-0005-0000-0000-000004000000}"/>
    <cellStyle name="Comma [0] 3 2" xfId="25" xr:uid="{00000000-0005-0000-0000-000005000000}"/>
    <cellStyle name="Comma [0] 3 3" xfId="41" xr:uid="{00000000-0005-0000-0000-000006000000}"/>
    <cellStyle name="Comma [0] 3 4" xfId="55" xr:uid="{00000000-0005-0000-0000-000007000000}"/>
    <cellStyle name="Comma [0] 3 5" xfId="61" xr:uid="{00000000-0005-0000-0000-000008000000}"/>
    <cellStyle name="Comma [0] 3 6" xfId="63" xr:uid="{00000000-0005-0000-0000-000009000000}"/>
    <cellStyle name="Comma [0] 3 7" xfId="74" xr:uid="{00000000-0005-0000-0000-00000A000000}"/>
    <cellStyle name="Comma [0] 4" xfId="22" xr:uid="{00000000-0005-0000-0000-00000B000000}"/>
    <cellStyle name="Comma [0] 5" xfId="53" xr:uid="{00000000-0005-0000-0000-00000C000000}"/>
    <cellStyle name="Comma 10" xfId="85" xr:uid="{00000000-0005-0000-0000-00000D000000}"/>
    <cellStyle name="Comma 11" xfId="86" xr:uid="{00000000-0005-0000-0000-00000E000000}"/>
    <cellStyle name="Comma 12" xfId="87" xr:uid="{00000000-0005-0000-0000-00000F000000}"/>
    <cellStyle name="Comma 13" xfId="88" xr:uid="{00000000-0005-0000-0000-000010000000}"/>
    <cellStyle name="Comma 14" xfId="90" xr:uid="{863E7917-A169-49BA-B1E2-D3D788789B36}"/>
    <cellStyle name="Comma 2" xfId="2" xr:uid="{00000000-0005-0000-0000-000011000000}"/>
    <cellStyle name="Comma 2 2" xfId="8" xr:uid="{00000000-0005-0000-0000-000012000000}"/>
    <cellStyle name="Comma 2 2 2" xfId="27" xr:uid="{00000000-0005-0000-0000-000013000000}"/>
    <cellStyle name="Comma 2 2 3" xfId="42" xr:uid="{00000000-0005-0000-0000-000014000000}"/>
    <cellStyle name="Comma 2 2 4" xfId="64" xr:uid="{00000000-0005-0000-0000-000015000000}"/>
    <cellStyle name="Comma 2 2 5" xfId="75" xr:uid="{00000000-0005-0000-0000-000016000000}"/>
    <cellStyle name="Comma 2 3" xfId="23" xr:uid="{00000000-0005-0000-0000-000017000000}"/>
    <cellStyle name="Comma 3" xfId="9" xr:uid="{00000000-0005-0000-0000-000018000000}"/>
    <cellStyle name="Comma 3 2" xfId="28" xr:uid="{00000000-0005-0000-0000-000019000000}"/>
    <cellStyle name="Comma 3 3" xfId="43" xr:uid="{00000000-0005-0000-0000-00001A000000}"/>
    <cellStyle name="Comma 3 4" xfId="65" xr:uid="{00000000-0005-0000-0000-00001B000000}"/>
    <cellStyle name="Comma 3 5" xfId="76" xr:uid="{00000000-0005-0000-0000-00001C000000}"/>
    <cellStyle name="Comma 4" xfId="10" xr:uid="{00000000-0005-0000-0000-00001D000000}"/>
    <cellStyle name="Comma 4 2" xfId="29" xr:uid="{00000000-0005-0000-0000-00001E000000}"/>
    <cellStyle name="Comma 4 3" xfId="44" xr:uid="{00000000-0005-0000-0000-00001F000000}"/>
    <cellStyle name="Comma 4 4" xfId="66" xr:uid="{00000000-0005-0000-0000-000020000000}"/>
    <cellStyle name="Comma 4 5" xfId="77" xr:uid="{00000000-0005-0000-0000-000021000000}"/>
    <cellStyle name="Comma 5" xfId="7" xr:uid="{00000000-0005-0000-0000-000022000000}"/>
    <cellStyle name="Comma 5 2" xfId="26" xr:uid="{00000000-0005-0000-0000-000023000000}"/>
    <cellStyle name="Comma 6" xfId="37" xr:uid="{00000000-0005-0000-0000-000024000000}"/>
    <cellStyle name="Comma 7" xfId="38" xr:uid="{00000000-0005-0000-0000-000025000000}"/>
    <cellStyle name="Comma 8" xfId="39" xr:uid="{00000000-0005-0000-0000-000026000000}"/>
    <cellStyle name="Comma 9" xfId="40" xr:uid="{00000000-0005-0000-0000-000027000000}"/>
    <cellStyle name="Currency [0] 2" xfId="17" xr:uid="{00000000-0005-0000-0000-000028000000}"/>
    <cellStyle name="Currency [0] 2 2" xfId="36" xr:uid="{00000000-0005-0000-0000-000029000000}"/>
    <cellStyle name="Currency [0] 2 3" xfId="51" xr:uid="{00000000-0005-0000-0000-00002A000000}"/>
    <cellStyle name="Currency [0] 2 4" xfId="56" xr:uid="{00000000-0005-0000-0000-00002B000000}"/>
    <cellStyle name="Currency [0] 2 5" xfId="62" xr:uid="{00000000-0005-0000-0000-00002C000000}"/>
    <cellStyle name="Currency [0] 2 6" xfId="73" xr:uid="{00000000-0005-0000-0000-00002D000000}"/>
    <cellStyle name="Currency [0] 2 7" xfId="84" xr:uid="{00000000-0005-0000-0000-00002E000000}"/>
    <cellStyle name="Hyperlink" xfId="19" builtinId="8"/>
    <cellStyle name="Normal" xfId="0" builtinId="0"/>
    <cellStyle name="Normal 2" xfId="1" xr:uid="{00000000-0005-0000-0000-000031000000}"/>
    <cellStyle name="Normal 2 2" xfId="11" xr:uid="{00000000-0005-0000-0000-000032000000}"/>
    <cellStyle name="Normal 2 2 2" xfId="30" xr:uid="{00000000-0005-0000-0000-000033000000}"/>
    <cellStyle name="Normal 2 2 3" xfId="45" xr:uid="{00000000-0005-0000-0000-000034000000}"/>
    <cellStyle name="Normal 2 2 4" xfId="67" xr:uid="{00000000-0005-0000-0000-000035000000}"/>
    <cellStyle name="Normal 2 2 5" xfId="78" xr:uid="{00000000-0005-0000-0000-000036000000}"/>
    <cellStyle name="Normal 2 3" xfId="57" xr:uid="{00000000-0005-0000-0000-000037000000}"/>
    <cellStyle name="Normal 3" xfId="12" xr:uid="{00000000-0005-0000-0000-000038000000}"/>
    <cellStyle name="Normal 3 2" xfId="31" xr:uid="{00000000-0005-0000-0000-000039000000}"/>
    <cellStyle name="Normal 3 3" xfId="46" xr:uid="{00000000-0005-0000-0000-00003A000000}"/>
    <cellStyle name="Normal 3 4" xfId="68" xr:uid="{00000000-0005-0000-0000-00003B000000}"/>
    <cellStyle name="Normal 3 5" xfId="79" xr:uid="{00000000-0005-0000-0000-00003C000000}"/>
    <cellStyle name="Normal 4" xfId="13" xr:uid="{00000000-0005-0000-0000-00003D000000}"/>
    <cellStyle name="Normal 4 2" xfId="32" xr:uid="{00000000-0005-0000-0000-00003E000000}"/>
    <cellStyle name="Normal 4 3" xfId="47" xr:uid="{00000000-0005-0000-0000-00003F000000}"/>
    <cellStyle name="Normal 4 4" xfId="69" xr:uid="{00000000-0005-0000-0000-000040000000}"/>
    <cellStyle name="Normal 4 5" xfId="80" xr:uid="{00000000-0005-0000-0000-000041000000}"/>
    <cellStyle name="Normal 5" xfId="4" xr:uid="{00000000-0005-0000-0000-000042000000}"/>
    <cellStyle name="Normal 6" xfId="20" xr:uid="{00000000-0005-0000-0000-000043000000}"/>
    <cellStyle name="Normal 7" xfId="52" xr:uid="{00000000-0005-0000-0000-000044000000}"/>
    <cellStyle name="Normal 8" xfId="89" xr:uid="{5D00427C-C2A9-47CF-8BF1-35195F09EAF1}"/>
    <cellStyle name="Note 2" xfId="14" xr:uid="{00000000-0005-0000-0000-000045000000}"/>
    <cellStyle name="Note 2 2" xfId="33" xr:uid="{00000000-0005-0000-0000-000046000000}"/>
    <cellStyle name="Note 2 3" xfId="48" xr:uid="{00000000-0005-0000-0000-000047000000}"/>
    <cellStyle name="Note 2 4" xfId="54" xr:uid="{00000000-0005-0000-0000-000048000000}"/>
    <cellStyle name="Note 2 5" xfId="70" xr:uid="{00000000-0005-0000-0000-000049000000}"/>
    <cellStyle name="Note 2 6" xfId="81" xr:uid="{00000000-0005-0000-0000-00004A000000}"/>
    <cellStyle name="Note 3" xfId="15" xr:uid="{00000000-0005-0000-0000-00004B000000}"/>
    <cellStyle name="Note 3 2" xfId="34" xr:uid="{00000000-0005-0000-0000-00004C000000}"/>
    <cellStyle name="Note 3 3" xfId="49" xr:uid="{00000000-0005-0000-0000-00004D000000}"/>
    <cellStyle name="Note 3 4" xfId="58" xr:uid="{00000000-0005-0000-0000-00004E000000}"/>
    <cellStyle name="Note 3 5" xfId="71" xr:uid="{00000000-0005-0000-0000-00004F000000}"/>
    <cellStyle name="Note 3 6" xfId="82" xr:uid="{00000000-0005-0000-0000-000050000000}"/>
    <cellStyle name="Note 4" xfId="16" xr:uid="{00000000-0005-0000-0000-000051000000}"/>
    <cellStyle name="Note 4 2" xfId="35" xr:uid="{00000000-0005-0000-0000-000052000000}"/>
    <cellStyle name="Note 4 3" xfId="50" xr:uid="{00000000-0005-0000-0000-000053000000}"/>
    <cellStyle name="Note 4 4" xfId="59" xr:uid="{00000000-0005-0000-0000-000054000000}"/>
    <cellStyle name="Note 4 5" xfId="72" xr:uid="{00000000-0005-0000-0000-000055000000}"/>
    <cellStyle name="Note 4 6" xfId="83" xr:uid="{00000000-0005-0000-0000-000056000000}"/>
    <cellStyle name="Note 5" xfId="5" xr:uid="{00000000-0005-0000-0000-000057000000}"/>
    <cellStyle name="Note 5 2" xfId="60" xr:uid="{00000000-0005-0000-0000-000058000000}"/>
    <cellStyle name="Percent" xfId="91" builtinId="5"/>
  </cellStyles>
  <dxfs count="1">
    <dxf>
      <font>
        <color rgb="FF006100"/>
      </font>
      <fill>
        <patternFill>
          <bgColor rgb="FFC6EFCE"/>
        </patternFill>
      </fill>
    </dxf>
  </dxfs>
  <tableStyles count="0" defaultTableStyle="TableStyleMedium2" defaultPivotStyle="PivotStyleLight16"/>
  <colors>
    <mruColors>
      <color rgb="FF1DFB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0</xdr:col>
      <xdr:colOff>620394</xdr:colOff>
      <xdr:row>12</xdr:row>
      <xdr:rowOff>34925</xdr:rowOff>
    </xdr:from>
    <xdr:to>
      <xdr:col>0</xdr:col>
      <xdr:colOff>793750</xdr:colOff>
      <xdr:row>18</xdr:row>
      <xdr:rowOff>165100</xdr:rowOff>
    </xdr:to>
    <xdr:sp macro="" textlink="">
      <xdr:nvSpPr>
        <xdr:cNvPr id="3" name="WordArt 3">
          <a:extLst>
            <a:ext uri="{FF2B5EF4-FFF2-40B4-BE49-F238E27FC236}">
              <a16:creationId xmlns:a16="http://schemas.microsoft.com/office/drawing/2014/main" id="{17C2DA3C-F7BD-4406-AAB8-EC600B8DC76C}"/>
            </a:ext>
          </a:extLst>
        </xdr:cNvPr>
        <xdr:cNvSpPr>
          <a:spLocks noChangeArrowheads="1" noChangeShapeType="1" noTextEdit="1"/>
        </xdr:cNvSpPr>
      </xdr:nvSpPr>
      <xdr:spPr bwMode="auto">
        <a:xfrm rot="5400000">
          <a:off x="51434" y="2978785"/>
          <a:ext cx="1311275" cy="173356"/>
        </a:xfrm>
        <a:prstGeom prst="rect">
          <a:avLst/>
        </a:prstGeom>
      </xdr:spPr>
      <xdr:txBody>
        <a:bodyPr vert="wordArtVert" wrap="none" fromWordArt="1">
          <a:prstTxWarp prst="textPlain">
            <a:avLst>
              <a:gd name="adj" fmla="val 50000"/>
            </a:avLst>
          </a:prstTxWarp>
        </a:bodyPr>
        <a:lstStyle/>
        <a:p>
          <a:pPr algn="ctr" rtl="0" fontAlgn="auto"/>
          <a:r>
            <a:rPr lang="en-US" sz="1000" kern="10" spc="0">
              <a:ln w="9525">
                <a:solidFill>
                  <a:srgbClr val="000000"/>
                </a:solidFill>
                <a:round/>
                <a:headEnd/>
                <a:tailEnd/>
              </a:ln>
              <a:solidFill>
                <a:srgbClr val="000000"/>
              </a:solidFill>
              <a:effectLst/>
              <a:latin typeface="Arial Black"/>
            </a:rPr>
            <a:t>BUDIDAYA</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D17"/>
  <sheetViews>
    <sheetView zoomScale="80" zoomScaleNormal="80" workbookViewId="0"/>
  </sheetViews>
  <sheetFormatPr defaultRowHeight="14.5"/>
  <cols>
    <col min="2" max="2" width="32.81640625" customWidth="1"/>
    <col min="4" max="4" width="9.1796875" style="173"/>
  </cols>
  <sheetData>
    <row r="2" spans="1:4" ht="21">
      <c r="B2" s="174" t="s">
        <v>249</v>
      </c>
    </row>
    <row r="3" spans="1:4" ht="19.5" customHeight="1">
      <c r="A3" s="114">
        <v>1</v>
      </c>
      <c r="B3" s="115" t="s">
        <v>233</v>
      </c>
      <c r="C3" s="166"/>
      <c r="D3" s="173" t="s">
        <v>246</v>
      </c>
    </row>
    <row r="4" spans="1:4" ht="19.5" customHeight="1">
      <c r="A4" s="114">
        <v>2</v>
      </c>
      <c r="B4" s="115" t="s">
        <v>235</v>
      </c>
      <c r="C4" s="170"/>
      <c r="D4" s="173" t="s">
        <v>247</v>
      </c>
    </row>
    <row r="5" spans="1:4" ht="19.5" customHeight="1">
      <c r="A5" s="114">
        <v>3</v>
      </c>
      <c r="B5" s="115" t="s">
        <v>28</v>
      </c>
      <c r="C5" s="170"/>
      <c r="D5" s="173" t="s">
        <v>247</v>
      </c>
    </row>
    <row r="6" spans="1:4" ht="19.5" customHeight="1">
      <c r="A6" s="114">
        <v>4</v>
      </c>
      <c r="B6" s="115" t="s">
        <v>236</v>
      </c>
      <c r="C6" s="170"/>
      <c r="D6" s="173" t="s">
        <v>247</v>
      </c>
    </row>
    <row r="7" spans="1:4" ht="19.5" customHeight="1">
      <c r="A7" s="114">
        <v>5</v>
      </c>
      <c r="B7" s="115" t="s">
        <v>237</v>
      </c>
      <c r="C7" s="170"/>
      <c r="D7" s="173" t="s">
        <v>247</v>
      </c>
    </row>
    <row r="8" spans="1:4" ht="19.5" customHeight="1">
      <c r="A8" s="114">
        <v>6</v>
      </c>
      <c r="B8" s="115" t="s">
        <v>27</v>
      </c>
      <c r="C8" s="170"/>
      <c r="D8" s="173" t="s">
        <v>247</v>
      </c>
    </row>
    <row r="9" spans="1:4" ht="19.5" customHeight="1">
      <c r="A9" s="114">
        <v>7</v>
      </c>
      <c r="B9" s="115" t="s">
        <v>238</v>
      </c>
      <c r="C9" s="170"/>
      <c r="D9" s="173" t="s">
        <v>247</v>
      </c>
    </row>
    <row r="10" spans="1:4" ht="19.5" customHeight="1">
      <c r="A10" s="114">
        <v>8</v>
      </c>
      <c r="B10" s="115" t="s">
        <v>239</v>
      </c>
      <c r="C10" s="170"/>
      <c r="D10" s="173" t="s">
        <v>247</v>
      </c>
    </row>
    <row r="11" spans="1:4">
      <c r="A11" s="114">
        <v>9</v>
      </c>
      <c r="B11" s="115" t="s">
        <v>240</v>
      </c>
      <c r="C11" s="171"/>
      <c r="D11" s="173" t="s">
        <v>248</v>
      </c>
    </row>
    <row r="12" spans="1:4">
      <c r="A12" s="114">
        <v>10</v>
      </c>
      <c r="B12" s="115" t="s">
        <v>241</v>
      </c>
      <c r="C12" s="171"/>
      <c r="D12" s="173" t="s">
        <v>248</v>
      </c>
    </row>
    <row r="13" spans="1:4">
      <c r="A13" s="114">
        <v>11</v>
      </c>
      <c r="B13" s="115" t="s">
        <v>242</v>
      </c>
      <c r="C13" s="171"/>
      <c r="D13" s="173" t="s">
        <v>248</v>
      </c>
    </row>
    <row r="14" spans="1:4">
      <c r="A14" s="114">
        <v>12</v>
      </c>
      <c r="B14" s="115" t="s">
        <v>243</v>
      </c>
      <c r="C14" s="171"/>
      <c r="D14" s="173" t="s">
        <v>248</v>
      </c>
    </row>
    <row r="15" spans="1:4">
      <c r="A15" s="114">
        <v>13</v>
      </c>
      <c r="B15" s="115" t="s">
        <v>244</v>
      </c>
      <c r="C15" s="171"/>
      <c r="D15" s="173" t="s">
        <v>248</v>
      </c>
    </row>
    <row r="16" spans="1:4" ht="29">
      <c r="A16" s="178">
        <v>14</v>
      </c>
      <c r="B16" s="182" t="s">
        <v>250</v>
      </c>
      <c r="C16" s="179"/>
      <c r="D16" s="180"/>
    </row>
    <row r="17" spans="1:2">
      <c r="A17" s="114">
        <v>15</v>
      </c>
      <c r="B17" s="115" t="s">
        <v>254</v>
      </c>
    </row>
  </sheetData>
  <hyperlinks>
    <hyperlink ref="B4" location="'per KAB per WADAH per TW'!A1" display="per KAB per WADAH per TW" xr:uid="{00000000-0004-0000-0000-000000000000}"/>
    <hyperlink ref="B3" location="'P &amp; NP'!A1" display="P &amp; NP" xr:uid="{00000000-0004-0000-0000-000001000000}"/>
    <hyperlink ref="B5" location="NP!A1" display="NP" xr:uid="{00000000-0004-0000-0000-000002000000}"/>
    <hyperlink ref="B6" location="'NP per IKAN per KAB'!A1" display="NP per IKAN per KAB" xr:uid="{00000000-0004-0000-0000-000003000000}"/>
    <hyperlink ref="B7" location="'NP per IKAN per KAB per THN'!A1" display="NP per IKAN per KAB per THN" xr:uid="{00000000-0004-0000-0000-000004000000}"/>
    <hyperlink ref="B8" location="P!A1" display="P" xr:uid="{00000000-0004-0000-0000-000005000000}"/>
    <hyperlink ref="B9" location="'P per IKAN per KAB'!A1" display="P per IKAN per KAB" xr:uid="{00000000-0004-0000-0000-000006000000}"/>
    <hyperlink ref="B10" location="'P per IKAN per KAB per THN'!A1" display="P per IKAN per KAB per THN" xr:uid="{00000000-0004-0000-0000-000007000000}"/>
    <hyperlink ref="B11" location="'MENURUT TRIWULAN'!A1" display="MENURUT TRIWULAN" xr:uid="{00000000-0004-0000-0000-000008000000}"/>
    <hyperlink ref="B12" location="'USAHA per TW'!A1" display="USAHA per TW" xr:uid="{00000000-0004-0000-0000-000009000000}"/>
    <hyperlink ref="B13" location="'per IKAN per WADAH per THN'!A1" display="per IKAN per WADAH per TAHUN" xr:uid="{00000000-0004-0000-0000-00000A000000}"/>
    <hyperlink ref="B14" location="'KAB per JENIS per THN'!A1" display="KAB per JENIS per THN" xr:uid="{00000000-0004-0000-0000-00000B000000}"/>
    <hyperlink ref="B15" location="'KAB per IKAN per THN'!A1" display="KAB per IKAN per THN" xr:uid="{00000000-0004-0000-0000-00000C000000}"/>
    <hyperlink ref="B16" location="PERBANDINGAN!A1" display="PERBANDINGAN DENGAN TAHUN SEBELUMNYA" xr:uid="{00000000-0004-0000-0000-00000D000000}"/>
    <hyperlink ref="B17" location="'P&amp;NP per BLN per KAB'!A1" display="P &amp; NP per BLN per KAB" xr:uid="{00000000-0004-0000-0000-00000E000000}"/>
  </hyperlink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82D7B-936C-4F6C-BB40-CB55C9FFFCB9}">
  <sheetPr>
    <tabColor theme="9" tint="0.39997558519241921"/>
  </sheetPr>
  <dimension ref="A1:IL46"/>
  <sheetViews>
    <sheetView zoomScale="65" zoomScaleNormal="65" workbookViewId="0">
      <pane xSplit="3" ySplit="7" topLeftCell="CR8" activePane="bottomRight" state="frozen"/>
      <selection pane="topRight" activeCell="D1" sqref="D1"/>
      <selection pane="bottomLeft" activeCell="A8" sqref="A8"/>
      <selection pane="bottomRight" activeCell="FN40" sqref="FN40"/>
    </sheetView>
  </sheetViews>
  <sheetFormatPr defaultRowHeight="14.5"/>
  <cols>
    <col min="1" max="1" width="36.81640625" customWidth="1"/>
    <col min="2" max="2" width="21.453125" customWidth="1"/>
    <col min="3" max="3" width="26.6328125" customWidth="1"/>
    <col min="4" max="4" width="13.81640625" style="609" customWidth="1"/>
    <col min="5" max="5" width="17.54296875" style="609" customWidth="1"/>
    <col min="6" max="6" width="13.81640625" style="609" customWidth="1"/>
    <col min="7" max="7" width="16.1796875" style="609" customWidth="1"/>
    <col min="8" max="8" width="13.81640625" style="609" customWidth="1"/>
    <col min="9" max="9" width="16.1796875" style="609" customWidth="1"/>
    <col min="10" max="10" width="13.81640625" style="609" customWidth="1"/>
    <col min="11" max="11" width="15.453125" style="609" customWidth="1"/>
    <col min="12" max="12" width="13.81640625" style="609" customWidth="1"/>
    <col min="13" max="13" width="15.453125" style="609" customWidth="1"/>
    <col min="14" max="17" width="13.81640625" style="609" customWidth="1"/>
    <col min="18" max="18" width="18.1796875" style="640" customWidth="1"/>
    <col min="19" max="19" width="21.453125" style="640" customWidth="1"/>
    <col min="20" max="20" width="13.81640625" style="609" customWidth="1"/>
    <col min="21" max="21" width="17.54296875" style="609" customWidth="1"/>
    <col min="22" max="22" width="13.81640625" style="609" customWidth="1"/>
    <col min="23" max="23" width="16.1796875" style="609" customWidth="1"/>
    <col min="24" max="24" width="13.81640625" style="609" customWidth="1"/>
    <col min="25" max="25" width="16.1796875" style="609" customWidth="1"/>
    <col min="26" max="26" width="13.81640625" style="609" customWidth="1"/>
    <col min="27" max="27" width="15.453125" style="609" customWidth="1"/>
    <col min="28" max="28" width="13.81640625" style="609" customWidth="1"/>
    <col min="29" max="29" width="15.453125" style="609" customWidth="1"/>
    <col min="30" max="33" width="13.81640625" style="609" customWidth="1"/>
    <col min="34" max="34" width="18.1796875" style="640" customWidth="1"/>
    <col min="35" max="35" width="21.453125" style="640" customWidth="1"/>
    <col min="36" max="36" width="13.81640625" style="609" customWidth="1"/>
    <col min="37" max="37" width="17.54296875" style="609" customWidth="1"/>
    <col min="38" max="38" width="13.81640625" style="609" customWidth="1"/>
    <col min="39" max="39" width="16.1796875" style="609" customWidth="1"/>
    <col min="40" max="40" width="13.81640625" style="609" customWidth="1"/>
    <col min="41" max="41" width="16.1796875" style="609" customWidth="1"/>
    <col min="42" max="42" width="13.81640625" style="609" customWidth="1"/>
    <col min="43" max="43" width="15.453125" style="609" customWidth="1"/>
    <col min="44" max="44" width="13.81640625" style="609" customWidth="1"/>
    <col min="45" max="45" width="15.453125" style="609" customWidth="1"/>
    <col min="46" max="49" width="13.81640625" style="609" customWidth="1"/>
    <col min="50" max="50" width="18.1796875" style="640" customWidth="1"/>
    <col min="51" max="51" width="21.453125" style="640" customWidth="1"/>
    <col min="52" max="52" width="13.81640625" style="609" customWidth="1"/>
    <col min="53" max="53" width="17.54296875" style="609" customWidth="1"/>
    <col min="54" max="54" width="13.81640625" style="609" customWidth="1"/>
    <col min="55" max="55" width="16.1796875" style="609" customWidth="1"/>
    <col min="56" max="56" width="13.81640625" style="609" customWidth="1"/>
    <col min="57" max="57" width="16.1796875" style="609" customWidth="1"/>
    <col min="58" max="58" width="13.81640625" style="609" customWidth="1"/>
    <col min="59" max="59" width="15.453125" style="609" customWidth="1"/>
    <col min="60" max="60" width="13.81640625" style="609" customWidth="1"/>
    <col min="61" max="61" width="15.453125" style="609" customWidth="1"/>
    <col min="62" max="65" width="13.81640625" style="609" customWidth="1"/>
    <col min="66" max="66" width="18.1796875" style="640" customWidth="1"/>
    <col min="67" max="67" width="21.453125" style="640" customWidth="1"/>
    <col min="68" max="68" width="13.81640625" style="609" customWidth="1"/>
    <col min="69" max="69" width="17.54296875" style="609" customWidth="1"/>
    <col min="70" max="70" width="13.81640625" style="609" customWidth="1"/>
    <col min="71" max="71" width="16.1796875" style="609" customWidth="1"/>
    <col min="72" max="72" width="13.81640625" style="609" customWidth="1"/>
    <col min="73" max="73" width="16.1796875" style="609" customWidth="1"/>
    <col min="74" max="74" width="13.81640625" style="609" customWidth="1"/>
    <col min="75" max="75" width="15.453125" style="609" customWidth="1"/>
    <col min="76" max="76" width="13.81640625" style="609" customWidth="1"/>
    <col min="77" max="77" width="15.453125" style="609" customWidth="1"/>
    <col min="78" max="81" width="13.81640625" style="609" customWidth="1"/>
    <col min="82" max="82" width="18.1796875" style="640" customWidth="1"/>
    <col min="83" max="83" width="21.453125" style="640" customWidth="1"/>
    <col min="84" max="84" width="13.81640625" style="609" customWidth="1"/>
    <col min="85" max="85" width="17.54296875" style="609" customWidth="1"/>
    <col min="86" max="86" width="13.81640625" style="609" customWidth="1"/>
    <col min="87" max="87" width="16.1796875" style="609" customWidth="1"/>
    <col min="88" max="88" width="13.81640625" style="609" customWidth="1"/>
    <col min="89" max="89" width="16.1796875" style="609" customWidth="1"/>
    <col min="90" max="90" width="13.81640625" style="609" customWidth="1"/>
    <col min="91" max="91" width="15.453125" style="609" customWidth="1"/>
    <col min="92" max="92" width="13.81640625" style="609" customWidth="1"/>
    <col min="93" max="93" width="15.453125" style="609" customWidth="1"/>
    <col min="94" max="97" width="13.81640625" style="609" customWidth="1"/>
    <col min="98" max="98" width="18.1796875" style="640" customWidth="1"/>
    <col min="99" max="99" width="21.453125" style="640" customWidth="1"/>
    <col min="100" max="100" width="13.81640625" style="609" customWidth="1"/>
    <col min="101" max="101" width="17.54296875" style="609" customWidth="1"/>
    <col min="102" max="102" width="13.81640625" style="609" customWidth="1"/>
    <col min="103" max="103" width="16.1796875" style="609" customWidth="1"/>
    <col min="104" max="104" width="13.81640625" style="609" customWidth="1"/>
    <col min="105" max="105" width="15.453125" style="609" customWidth="1"/>
    <col min="106" max="106" width="13.81640625" style="609" customWidth="1"/>
    <col min="107" max="107" width="15.453125" style="609" customWidth="1"/>
    <col min="108" max="111" width="13.81640625" style="609" customWidth="1"/>
    <col min="112" max="112" width="18.1796875" style="640" customWidth="1"/>
    <col min="113" max="113" width="21.453125" style="640" customWidth="1"/>
    <col min="114" max="114" width="13.81640625" style="609" customWidth="1"/>
    <col min="115" max="115" width="17.54296875" style="609" customWidth="1"/>
    <col min="116" max="116" width="13.81640625" style="609" customWidth="1"/>
    <col min="117" max="117" width="16.1796875" style="609" customWidth="1"/>
    <col min="118" max="118" width="13.81640625" style="609" customWidth="1"/>
    <col min="119" max="119" width="15.453125" style="609" customWidth="1"/>
    <col min="120" max="120" width="13.81640625" style="609" customWidth="1"/>
    <col min="121" max="121" width="15.453125" style="609" customWidth="1"/>
    <col min="122" max="125" width="13.81640625" style="609" customWidth="1"/>
    <col min="126" max="126" width="18.1796875" style="640" customWidth="1"/>
    <col min="127" max="127" width="21.453125" style="640" customWidth="1"/>
    <col min="128" max="128" width="13.81640625" style="609" customWidth="1"/>
    <col min="129" max="129" width="17.54296875" style="609" customWidth="1"/>
    <col min="130" max="130" width="13.81640625" style="609" customWidth="1"/>
    <col min="131" max="131" width="16.1796875" style="609" customWidth="1"/>
    <col min="132" max="132" width="13.81640625" style="609" customWidth="1"/>
    <col min="133" max="133" width="15.453125" style="609" customWidth="1"/>
    <col min="134" max="134" width="13.81640625" style="609" customWidth="1"/>
    <col min="135" max="135" width="15.453125" style="609" customWidth="1"/>
    <col min="136" max="139" width="13.81640625" style="609" customWidth="1"/>
    <col min="140" max="140" width="18.1796875" style="640" customWidth="1"/>
    <col min="141" max="141" width="21.453125" style="640" customWidth="1"/>
    <col min="142" max="142" width="13.81640625" style="609" customWidth="1"/>
    <col min="143" max="143" width="17.54296875" style="609" customWidth="1"/>
    <col min="144" max="144" width="13.81640625" style="609" customWidth="1"/>
    <col min="145" max="145" width="16.1796875" style="609" customWidth="1"/>
    <col min="146" max="146" width="13.81640625" style="609" customWidth="1"/>
    <col min="147" max="147" width="15.453125" style="609" customWidth="1"/>
    <col min="148" max="148" width="13.81640625" style="609" customWidth="1"/>
    <col min="149" max="149" width="15.453125" style="609" customWidth="1"/>
    <col min="150" max="153" width="13.81640625" style="609" customWidth="1"/>
    <col min="154" max="154" width="18.1796875" style="640" customWidth="1"/>
    <col min="155" max="155" width="21.453125" style="640" customWidth="1"/>
    <col min="156" max="156" width="13.81640625" style="609" customWidth="1"/>
    <col min="157" max="157" width="17.54296875" style="609" customWidth="1"/>
    <col min="158" max="158" width="13.81640625" style="609" customWidth="1"/>
    <col min="159" max="159" width="16.1796875" style="609" customWidth="1"/>
    <col min="160" max="160" width="13.81640625" style="609" customWidth="1"/>
    <col min="161" max="161" width="15.453125" style="609" customWidth="1"/>
    <col min="162" max="162" width="13.81640625" style="609" customWidth="1"/>
    <col min="163" max="163" width="15.453125" style="609" customWidth="1"/>
    <col min="164" max="167" width="13.81640625" style="609" customWidth="1"/>
    <col min="168" max="168" width="18.1796875" style="640" customWidth="1"/>
    <col min="169" max="169" width="21.453125" style="640" customWidth="1"/>
    <col min="170" max="170" width="13.81640625" style="609" customWidth="1"/>
    <col min="171" max="171" width="17.54296875" style="609" customWidth="1"/>
    <col min="172" max="172" width="13.81640625" style="609" customWidth="1"/>
    <col min="173" max="173" width="16.1796875" style="609" customWidth="1"/>
    <col min="174" max="174" width="13.81640625" style="609" customWidth="1"/>
    <col min="175" max="175" width="15.453125" style="609" customWidth="1"/>
    <col min="176" max="176" width="13.81640625" style="609" customWidth="1"/>
    <col min="177" max="177" width="15.453125" style="609" customWidth="1"/>
    <col min="178" max="181" width="13.81640625" style="609" customWidth="1"/>
    <col min="182" max="182" width="18.1796875" style="640" customWidth="1"/>
    <col min="183" max="183" width="21.453125" style="640" customWidth="1"/>
    <col min="184" max="184" width="8.7265625" style="609"/>
    <col min="185" max="185" width="13.81640625" style="609" customWidth="1"/>
    <col min="186" max="186" width="17.54296875" style="609" customWidth="1"/>
    <col min="187" max="187" width="13.81640625" style="609" customWidth="1"/>
    <col min="188" max="188" width="16.1796875" style="609" customWidth="1"/>
    <col min="189" max="189" width="13.81640625" style="609" customWidth="1"/>
    <col min="190" max="190" width="15.453125" style="609" customWidth="1"/>
    <col min="191" max="191" width="13.81640625" style="609" customWidth="1"/>
    <col min="192" max="192" width="15.453125" style="609" customWidth="1"/>
    <col min="193" max="196" width="13.81640625" style="609" customWidth="1"/>
    <col min="197" max="197" width="18.1796875" style="640" customWidth="1"/>
    <col min="198" max="198" width="21.453125" style="640" customWidth="1"/>
    <col min="199" max="199" width="8.7265625" style="609"/>
    <col min="200" max="200" width="13.81640625" style="609" customWidth="1"/>
    <col min="201" max="201" width="17.54296875" style="609" customWidth="1"/>
    <col min="202" max="202" width="13.81640625" style="609" customWidth="1"/>
    <col min="203" max="203" width="16.1796875" style="609" customWidth="1"/>
    <col min="204" max="204" width="13.81640625" style="609" customWidth="1"/>
    <col min="205" max="205" width="15.453125" style="609" customWidth="1"/>
    <col min="206" max="206" width="13.81640625" style="609" customWidth="1"/>
    <col min="207" max="207" width="15.453125" style="609" customWidth="1"/>
    <col min="208" max="211" width="13.81640625" style="609" customWidth="1"/>
    <col min="212" max="212" width="18.1796875" style="640" customWidth="1"/>
    <col min="213" max="213" width="21.453125" style="640" customWidth="1"/>
    <col min="214" max="214" width="8.7265625" style="609"/>
    <col min="215" max="215" width="13.81640625" style="609" customWidth="1"/>
    <col min="216" max="216" width="17.54296875" style="609" customWidth="1"/>
    <col min="217" max="217" width="13.81640625" style="609" customWidth="1"/>
    <col min="218" max="218" width="16.1796875" style="609" customWidth="1"/>
    <col min="219" max="219" width="13.81640625" style="609" customWidth="1"/>
    <col min="220" max="220" width="15.453125" style="609" customWidth="1"/>
    <col min="221" max="221" width="13.81640625" style="609" customWidth="1"/>
    <col min="222" max="222" width="15.453125" style="609" customWidth="1"/>
    <col min="223" max="226" width="13.81640625" style="609" customWidth="1"/>
    <col min="227" max="227" width="18.1796875" style="640" customWidth="1"/>
    <col min="228" max="228" width="21.453125" style="640" customWidth="1"/>
    <col min="229" max="229" width="8.7265625" style="609"/>
    <col min="230" max="230" width="13.81640625" style="609" customWidth="1"/>
    <col min="231" max="231" width="17.54296875" style="609" customWidth="1"/>
    <col min="232" max="232" width="13.81640625" style="609" customWidth="1"/>
    <col min="233" max="233" width="16.1796875" style="609" customWidth="1"/>
    <col min="234" max="234" width="13.81640625" style="609" customWidth="1"/>
    <col min="235" max="235" width="15.453125" style="609" customWidth="1"/>
    <col min="236" max="236" width="13.81640625" style="609" customWidth="1"/>
    <col min="237" max="237" width="15.453125" style="609" customWidth="1"/>
    <col min="238" max="241" width="13.81640625" style="609" customWidth="1"/>
    <col min="242" max="242" width="18.1796875" style="640" customWidth="1"/>
    <col min="243" max="243" width="21.453125" style="640" customWidth="1"/>
    <col min="244" max="244" width="8.7265625" style="609"/>
    <col min="245" max="245" width="12.453125" style="609" bestFit="1" customWidth="1"/>
    <col min="246" max="246" width="13.54296875" style="609" bestFit="1" customWidth="1"/>
    <col min="247" max="16384" width="8.7265625" style="609"/>
  </cols>
  <sheetData>
    <row r="1" spans="1:246" customFormat="1">
      <c r="A1" s="582"/>
      <c r="B1" s="582"/>
      <c r="C1" s="582"/>
      <c r="R1" s="167"/>
      <c r="S1" s="167"/>
      <c r="AH1" s="167"/>
      <c r="AI1" s="167"/>
      <c r="AX1" s="167"/>
      <c r="AY1" s="167"/>
      <c r="BN1" s="167"/>
      <c r="BO1" s="167"/>
      <c r="CD1" s="167"/>
      <c r="CE1" s="167"/>
      <c r="CT1" s="167"/>
      <c r="CU1" s="167"/>
      <c r="DH1" s="167"/>
      <c r="DI1" s="167"/>
      <c r="DV1" s="167"/>
      <c r="DW1" s="167"/>
      <c r="EJ1" s="167"/>
      <c r="EK1" s="167"/>
      <c r="EX1" s="167"/>
      <c r="EY1" s="167"/>
      <c r="FL1" s="167"/>
      <c r="FM1" s="167"/>
      <c r="FZ1" s="167"/>
      <c r="GA1" s="167"/>
      <c r="GO1" s="167"/>
      <c r="GP1" s="167"/>
      <c r="HD1" s="167"/>
      <c r="HE1" s="167"/>
      <c r="HS1" s="167"/>
      <c r="HT1" s="167"/>
      <c r="IH1" s="167"/>
      <c r="II1" s="167"/>
    </row>
    <row r="2" spans="1:246" customFormat="1" ht="28.5">
      <c r="A2" s="582"/>
      <c r="B2" s="582"/>
      <c r="C2" s="582"/>
      <c r="D2" s="866">
        <v>1</v>
      </c>
      <c r="E2" s="866"/>
      <c r="F2" s="866"/>
      <c r="G2" s="866"/>
      <c r="H2" s="866"/>
      <c r="I2" s="866"/>
      <c r="J2" s="866"/>
      <c r="K2" s="866"/>
      <c r="L2" s="866"/>
      <c r="M2" s="866"/>
      <c r="N2" s="866"/>
      <c r="O2" s="866"/>
      <c r="P2" s="866"/>
      <c r="Q2" s="866"/>
      <c r="R2" s="866"/>
      <c r="S2" s="866"/>
      <c r="T2" s="866">
        <v>2</v>
      </c>
      <c r="U2" s="866"/>
      <c r="V2" s="866"/>
      <c r="W2" s="866"/>
      <c r="X2" s="866"/>
      <c r="Y2" s="866"/>
      <c r="Z2" s="866"/>
      <c r="AA2" s="866"/>
      <c r="AB2" s="866"/>
      <c r="AC2" s="866"/>
      <c r="AD2" s="866"/>
      <c r="AE2" s="866"/>
      <c r="AF2" s="866"/>
      <c r="AG2" s="866"/>
      <c r="AH2" s="866"/>
      <c r="AI2" s="866"/>
      <c r="AJ2" s="866">
        <v>3</v>
      </c>
      <c r="AK2" s="866"/>
      <c r="AL2" s="866"/>
      <c r="AM2" s="866"/>
      <c r="AN2" s="866"/>
      <c r="AO2" s="866"/>
      <c r="AP2" s="866"/>
      <c r="AQ2" s="866"/>
      <c r="AR2" s="866"/>
      <c r="AS2" s="866"/>
      <c r="AT2" s="866"/>
      <c r="AU2" s="866"/>
      <c r="AV2" s="866"/>
      <c r="AW2" s="866"/>
      <c r="AX2" s="866"/>
      <c r="AY2" s="866"/>
      <c r="AZ2" s="866">
        <v>4</v>
      </c>
      <c r="BA2" s="866"/>
      <c r="BB2" s="866"/>
      <c r="BC2" s="866"/>
      <c r="BD2" s="866"/>
      <c r="BE2" s="866"/>
      <c r="BF2" s="866"/>
      <c r="BG2" s="866"/>
      <c r="BH2" s="866"/>
      <c r="BI2" s="866"/>
      <c r="BJ2" s="866"/>
      <c r="BK2" s="866"/>
      <c r="BL2" s="866"/>
      <c r="BM2" s="866"/>
      <c r="BN2" s="866"/>
      <c r="BO2" s="866"/>
      <c r="BP2" s="866">
        <v>5</v>
      </c>
      <c r="BQ2" s="866"/>
      <c r="BR2" s="866"/>
      <c r="BS2" s="866"/>
      <c r="BT2" s="866"/>
      <c r="BU2" s="866"/>
      <c r="BV2" s="866"/>
      <c r="BW2" s="866"/>
      <c r="BX2" s="866"/>
      <c r="BY2" s="866"/>
      <c r="BZ2" s="866"/>
      <c r="CA2" s="866"/>
      <c r="CB2" s="866"/>
      <c r="CC2" s="866"/>
      <c r="CD2" s="866"/>
      <c r="CE2" s="866"/>
      <c r="CF2" s="866">
        <v>6</v>
      </c>
      <c r="CG2" s="866"/>
      <c r="CH2" s="866"/>
      <c r="CI2" s="866"/>
      <c r="CJ2" s="866"/>
      <c r="CK2" s="866"/>
      <c r="CL2" s="866"/>
      <c r="CM2" s="866"/>
      <c r="CN2" s="866"/>
      <c r="CO2" s="866"/>
      <c r="CP2" s="866"/>
      <c r="CQ2" s="866"/>
      <c r="CR2" s="866"/>
      <c r="CS2" s="866"/>
      <c r="CT2" s="866"/>
      <c r="CU2" s="866"/>
      <c r="CV2" s="866">
        <v>7</v>
      </c>
      <c r="CW2" s="866"/>
      <c r="CX2" s="866"/>
      <c r="CY2" s="866"/>
      <c r="CZ2" s="866"/>
      <c r="DA2" s="866"/>
      <c r="DB2" s="866"/>
      <c r="DC2" s="866"/>
      <c r="DD2" s="866"/>
      <c r="DE2" s="866"/>
      <c r="DF2" s="866"/>
      <c r="DG2" s="866"/>
      <c r="DH2" s="866"/>
      <c r="DI2" s="866"/>
      <c r="DJ2" s="866">
        <v>8</v>
      </c>
      <c r="DK2" s="866"/>
      <c r="DL2" s="866"/>
      <c r="DM2" s="866"/>
      <c r="DN2" s="866"/>
      <c r="DO2" s="866"/>
      <c r="DP2" s="866"/>
      <c r="DQ2" s="866"/>
      <c r="DR2" s="866"/>
      <c r="DS2" s="866"/>
      <c r="DT2" s="866"/>
      <c r="DU2" s="866"/>
      <c r="DV2" s="866"/>
      <c r="DW2" s="866"/>
      <c r="DX2" s="866">
        <v>9</v>
      </c>
      <c r="DY2" s="866"/>
      <c r="DZ2" s="866"/>
      <c r="EA2" s="866"/>
      <c r="EB2" s="866"/>
      <c r="EC2" s="866"/>
      <c r="ED2" s="866"/>
      <c r="EE2" s="866"/>
      <c r="EF2" s="866"/>
      <c r="EG2" s="866"/>
      <c r="EH2" s="866"/>
      <c r="EI2" s="866"/>
      <c r="EJ2" s="866"/>
      <c r="EK2" s="866"/>
      <c r="EL2" s="866">
        <v>10</v>
      </c>
      <c r="EM2" s="866"/>
      <c r="EN2" s="866"/>
      <c r="EO2" s="866"/>
      <c r="EP2" s="866"/>
      <c r="EQ2" s="866"/>
      <c r="ER2" s="866"/>
      <c r="ES2" s="866"/>
      <c r="ET2" s="866"/>
      <c r="EU2" s="866"/>
      <c r="EV2" s="866"/>
      <c r="EW2" s="866"/>
      <c r="EX2" s="866"/>
      <c r="EY2" s="866"/>
      <c r="EZ2" s="866">
        <v>11</v>
      </c>
      <c r="FA2" s="866"/>
      <c r="FB2" s="866"/>
      <c r="FC2" s="866"/>
      <c r="FD2" s="866"/>
      <c r="FE2" s="866"/>
      <c r="FF2" s="866"/>
      <c r="FG2" s="866"/>
      <c r="FH2" s="866"/>
      <c r="FI2" s="866"/>
      <c r="FJ2" s="866"/>
      <c r="FK2" s="866"/>
      <c r="FL2" s="866"/>
      <c r="FM2" s="866"/>
      <c r="FN2" s="866">
        <v>12</v>
      </c>
      <c r="FO2" s="866"/>
      <c r="FP2" s="866"/>
      <c r="FQ2" s="866"/>
      <c r="FR2" s="866"/>
      <c r="FS2" s="866"/>
      <c r="FT2" s="866"/>
      <c r="FU2" s="866"/>
      <c r="FV2" s="866"/>
      <c r="FW2" s="866"/>
      <c r="FX2" s="866"/>
      <c r="FY2" s="866"/>
      <c r="FZ2" s="866"/>
      <c r="GA2" s="866"/>
      <c r="GB2" s="635"/>
      <c r="GC2" s="865" t="s">
        <v>529</v>
      </c>
      <c r="GD2" s="865"/>
      <c r="GE2" s="865"/>
      <c r="GF2" s="865"/>
      <c r="GG2" s="865"/>
      <c r="GH2" s="865"/>
      <c r="GI2" s="865"/>
      <c r="GJ2" s="865"/>
      <c r="GK2" s="865"/>
      <c r="GL2" s="865"/>
      <c r="GM2" s="865"/>
      <c r="GN2" s="865"/>
      <c r="GO2" s="865"/>
      <c r="GP2" s="865"/>
      <c r="GR2" s="865" t="s">
        <v>531</v>
      </c>
      <c r="GS2" s="865"/>
      <c r="GT2" s="865"/>
      <c r="GU2" s="865"/>
      <c r="GV2" s="865"/>
      <c r="GW2" s="865"/>
      <c r="GX2" s="865"/>
      <c r="GY2" s="865"/>
      <c r="GZ2" s="865"/>
      <c r="HA2" s="865"/>
      <c r="HB2" s="865"/>
      <c r="HC2" s="865"/>
      <c r="HD2" s="865"/>
      <c r="HE2" s="865"/>
      <c r="HG2" s="865" t="s">
        <v>533</v>
      </c>
      <c r="HH2" s="865"/>
      <c r="HI2" s="865"/>
      <c r="HJ2" s="865"/>
      <c r="HK2" s="865"/>
      <c r="HL2" s="865"/>
      <c r="HM2" s="865"/>
      <c r="HN2" s="865"/>
      <c r="HO2" s="865"/>
      <c r="HP2" s="865"/>
      <c r="HQ2" s="865"/>
      <c r="HR2" s="865"/>
      <c r="HS2" s="865"/>
      <c r="HT2" s="865"/>
      <c r="HV2" s="865" t="s">
        <v>534</v>
      </c>
      <c r="HW2" s="865"/>
      <c r="HX2" s="865"/>
      <c r="HY2" s="865"/>
      <c r="HZ2" s="865"/>
      <c r="IA2" s="865"/>
      <c r="IB2" s="865"/>
      <c r="IC2" s="865"/>
      <c r="ID2" s="865"/>
      <c r="IE2" s="865"/>
      <c r="IF2" s="865"/>
      <c r="IG2" s="865"/>
      <c r="IH2" s="865"/>
      <c r="II2" s="865"/>
    </row>
    <row r="3" spans="1:246" s="637" customFormat="1" ht="21">
      <c r="B3" s="749">
        <f>'P &amp; NP'!B1</f>
        <v>1442332993.2170775</v>
      </c>
      <c r="C3" s="749">
        <f>'P &amp; NP'!B3</f>
        <v>21538229550.790455</v>
      </c>
      <c r="D3" s="636" t="s">
        <v>251</v>
      </c>
      <c r="E3" s="636" t="s">
        <v>251</v>
      </c>
      <c r="F3" s="636" t="s">
        <v>251</v>
      </c>
      <c r="G3" s="636" t="s">
        <v>251</v>
      </c>
      <c r="H3" s="636" t="s">
        <v>251</v>
      </c>
      <c r="I3" s="636" t="s">
        <v>251</v>
      </c>
      <c r="J3" s="636" t="s">
        <v>251</v>
      </c>
      <c r="K3" s="636" t="s">
        <v>251</v>
      </c>
      <c r="L3" s="636" t="s">
        <v>251</v>
      </c>
      <c r="M3" s="636" t="s">
        <v>251</v>
      </c>
      <c r="N3" s="636" t="s">
        <v>251</v>
      </c>
      <c r="O3" s="636" t="s">
        <v>251</v>
      </c>
      <c r="P3" s="636" t="s">
        <v>251</v>
      </c>
      <c r="Q3" s="636" t="s">
        <v>251</v>
      </c>
      <c r="R3" s="639" t="s">
        <v>251</v>
      </c>
      <c r="S3" s="639" t="s">
        <v>251</v>
      </c>
      <c r="T3" s="638" t="s">
        <v>252</v>
      </c>
      <c r="U3" s="638" t="s">
        <v>252</v>
      </c>
      <c r="V3" s="638" t="s">
        <v>252</v>
      </c>
      <c r="W3" s="638" t="s">
        <v>252</v>
      </c>
      <c r="X3" s="638" t="s">
        <v>252</v>
      </c>
      <c r="Y3" s="638" t="s">
        <v>252</v>
      </c>
      <c r="Z3" s="638" t="s">
        <v>252</v>
      </c>
      <c r="AA3" s="638" t="s">
        <v>252</v>
      </c>
      <c r="AB3" s="638" t="s">
        <v>252</v>
      </c>
      <c r="AC3" s="638" t="s">
        <v>252</v>
      </c>
      <c r="AD3" s="638" t="s">
        <v>252</v>
      </c>
      <c r="AE3" s="638" t="s">
        <v>252</v>
      </c>
      <c r="AF3" s="638" t="s">
        <v>252</v>
      </c>
      <c r="AG3" s="638" t="s">
        <v>252</v>
      </c>
      <c r="AH3" s="641" t="s">
        <v>252</v>
      </c>
      <c r="AI3" s="641" t="s">
        <v>252</v>
      </c>
      <c r="AJ3" s="636" t="s">
        <v>47</v>
      </c>
      <c r="AK3" s="636" t="s">
        <v>47</v>
      </c>
      <c r="AL3" s="636" t="s">
        <v>47</v>
      </c>
      <c r="AM3" s="636" t="s">
        <v>47</v>
      </c>
      <c r="AN3" s="636" t="s">
        <v>47</v>
      </c>
      <c r="AO3" s="636" t="s">
        <v>47</v>
      </c>
      <c r="AP3" s="636" t="s">
        <v>47</v>
      </c>
      <c r="AQ3" s="636" t="s">
        <v>47</v>
      </c>
      <c r="AR3" s="636" t="s">
        <v>47</v>
      </c>
      <c r="AS3" s="636" t="s">
        <v>47</v>
      </c>
      <c r="AT3" s="636" t="s">
        <v>47</v>
      </c>
      <c r="AU3" s="636" t="s">
        <v>47</v>
      </c>
      <c r="AV3" s="636" t="s">
        <v>47</v>
      </c>
      <c r="AW3" s="636" t="s">
        <v>47</v>
      </c>
      <c r="AX3" s="639" t="s">
        <v>47</v>
      </c>
      <c r="AY3" s="639" t="s">
        <v>47</v>
      </c>
      <c r="AZ3" s="636" t="s">
        <v>48</v>
      </c>
      <c r="BA3" s="636" t="s">
        <v>48</v>
      </c>
      <c r="BB3" s="636" t="s">
        <v>48</v>
      </c>
      <c r="BC3" s="636" t="s">
        <v>48</v>
      </c>
      <c r="BD3" s="636" t="s">
        <v>48</v>
      </c>
      <c r="BE3" s="636" t="s">
        <v>48</v>
      </c>
      <c r="BF3" s="636" t="s">
        <v>48</v>
      </c>
      <c r="BG3" s="636" t="s">
        <v>48</v>
      </c>
      <c r="BH3" s="636" t="s">
        <v>48</v>
      </c>
      <c r="BI3" s="636" t="s">
        <v>48</v>
      </c>
      <c r="BJ3" s="636" t="s">
        <v>48</v>
      </c>
      <c r="BK3" s="636" t="s">
        <v>48</v>
      </c>
      <c r="BL3" s="636" t="s">
        <v>48</v>
      </c>
      <c r="BM3" s="636" t="s">
        <v>48</v>
      </c>
      <c r="BN3" s="639" t="s">
        <v>48</v>
      </c>
      <c r="BO3" s="639" t="s">
        <v>48</v>
      </c>
      <c r="BP3" s="636" t="s">
        <v>49</v>
      </c>
      <c r="BQ3" s="636" t="s">
        <v>49</v>
      </c>
      <c r="BR3" s="636" t="s">
        <v>49</v>
      </c>
      <c r="BS3" s="636" t="s">
        <v>49</v>
      </c>
      <c r="BT3" s="636" t="s">
        <v>49</v>
      </c>
      <c r="BU3" s="636" t="s">
        <v>49</v>
      </c>
      <c r="BV3" s="636" t="s">
        <v>49</v>
      </c>
      <c r="BW3" s="636" t="s">
        <v>49</v>
      </c>
      <c r="BX3" s="636" t="s">
        <v>49</v>
      </c>
      <c r="BY3" s="636" t="s">
        <v>49</v>
      </c>
      <c r="BZ3" s="636" t="s">
        <v>49</v>
      </c>
      <c r="CA3" s="636" t="s">
        <v>49</v>
      </c>
      <c r="CB3" s="636" t="s">
        <v>49</v>
      </c>
      <c r="CC3" s="636" t="s">
        <v>49</v>
      </c>
      <c r="CD3" s="639" t="s">
        <v>49</v>
      </c>
      <c r="CE3" s="639" t="s">
        <v>49</v>
      </c>
      <c r="CF3" s="636" t="s">
        <v>50</v>
      </c>
      <c r="CG3" s="636" t="s">
        <v>50</v>
      </c>
      <c r="CH3" s="636" t="s">
        <v>50</v>
      </c>
      <c r="CI3" s="636" t="s">
        <v>50</v>
      </c>
      <c r="CJ3" s="636" t="s">
        <v>50</v>
      </c>
      <c r="CK3" s="636" t="s">
        <v>50</v>
      </c>
      <c r="CL3" s="636" t="s">
        <v>50</v>
      </c>
      <c r="CM3" s="636" t="s">
        <v>50</v>
      </c>
      <c r="CN3" s="636" t="s">
        <v>50</v>
      </c>
      <c r="CO3" s="636" t="s">
        <v>50</v>
      </c>
      <c r="CP3" s="636" t="s">
        <v>50</v>
      </c>
      <c r="CQ3" s="636" t="s">
        <v>50</v>
      </c>
      <c r="CR3" s="636" t="s">
        <v>50</v>
      </c>
      <c r="CS3" s="636" t="s">
        <v>50</v>
      </c>
      <c r="CT3" s="639" t="s">
        <v>50</v>
      </c>
      <c r="CU3" s="639" t="s">
        <v>50</v>
      </c>
      <c r="CV3" s="636" t="s">
        <v>51</v>
      </c>
      <c r="CW3" s="636" t="s">
        <v>51</v>
      </c>
      <c r="CX3" s="636" t="s">
        <v>51</v>
      </c>
      <c r="CY3" s="636" t="s">
        <v>51</v>
      </c>
      <c r="CZ3" s="636" t="s">
        <v>51</v>
      </c>
      <c r="DA3" s="636" t="s">
        <v>51</v>
      </c>
      <c r="DB3" s="636" t="s">
        <v>51</v>
      </c>
      <c r="DC3" s="636" t="s">
        <v>51</v>
      </c>
      <c r="DD3" s="636" t="s">
        <v>51</v>
      </c>
      <c r="DE3" s="636" t="s">
        <v>51</v>
      </c>
      <c r="DF3" s="636" t="s">
        <v>51</v>
      </c>
      <c r="DG3" s="636" t="s">
        <v>51</v>
      </c>
      <c r="DH3" s="639" t="s">
        <v>51</v>
      </c>
      <c r="DI3" s="639" t="s">
        <v>51</v>
      </c>
      <c r="DJ3" s="636" t="s">
        <v>52</v>
      </c>
      <c r="DK3" s="636" t="s">
        <v>52</v>
      </c>
      <c r="DL3" s="636" t="s">
        <v>52</v>
      </c>
      <c r="DM3" s="636" t="s">
        <v>52</v>
      </c>
      <c r="DN3" s="636" t="s">
        <v>52</v>
      </c>
      <c r="DO3" s="636" t="s">
        <v>52</v>
      </c>
      <c r="DP3" s="636" t="s">
        <v>52</v>
      </c>
      <c r="DQ3" s="636" t="s">
        <v>52</v>
      </c>
      <c r="DR3" s="636" t="s">
        <v>52</v>
      </c>
      <c r="DS3" s="636" t="s">
        <v>52</v>
      </c>
      <c r="DT3" s="636" t="s">
        <v>52</v>
      </c>
      <c r="DU3" s="636" t="s">
        <v>52</v>
      </c>
      <c r="DV3" s="639" t="s">
        <v>52</v>
      </c>
      <c r="DW3" s="639" t="s">
        <v>52</v>
      </c>
      <c r="DX3" s="636" t="s">
        <v>53</v>
      </c>
      <c r="DY3" s="636" t="s">
        <v>53</v>
      </c>
      <c r="DZ3" s="636" t="s">
        <v>53</v>
      </c>
      <c r="EA3" s="636" t="s">
        <v>53</v>
      </c>
      <c r="EB3" s="636" t="s">
        <v>53</v>
      </c>
      <c r="EC3" s="636" t="s">
        <v>53</v>
      </c>
      <c r="ED3" s="636" t="s">
        <v>53</v>
      </c>
      <c r="EE3" s="636" t="s">
        <v>53</v>
      </c>
      <c r="EF3" s="636" t="s">
        <v>53</v>
      </c>
      <c r="EG3" s="636" t="s">
        <v>53</v>
      </c>
      <c r="EH3" s="636" t="s">
        <v>53</v>
      </c>
      <c r="EI3" s="636" t="s">
        <v>53</v>
      </c>
      <c r="EJ3" s="639" t="s">
        <v>53</v>
      </c>
      <c r="EK3" s="639" t="s">
        <v>53</v>
      </c>
      <c r="EL3" s="636" t="s">
        <v>54</v>
      </c>
      <c r="EM3" s="636" t="s">
        <v>54</v>
      </c>
      <c r="EN3" s="636" t="s">
        <v>54</v>
      </c>
      <c r="EO3" s="636" t="s">
        <v>54</v>
      </c>
      <c r="EP3" s="636" t="s">
        <v>54</v>
      </c>
      <c r="EQ3" s="636" t="s">
        <v>54</v>
      </c>
      <c r="ER3" s="636" t="s">
        <v>54</v>
      </c>
      <c r="ES3" s="636" t="s">
        <v>54</v>
      </c>
      <c r="ET3" s="636" t="s">
        <v>54</v>
      </c>
      <c r="EU3" s="636" t="s">
        <v>54</v>
      </c>
      <c r="EV3" s="636" t="s">
        <v>54</v>
      </c>
      <c r="EW3" s="636" t="s">
        <v>54</v>
      </c>
      <c r="EX3" s="639" t="s">
        <v>54</v>
      </c>
      <c r="EY3" s="639" t="s">
        <v>54</v>
      </c>
      <c r="EZ3" s="636" t="s">
        <v>253</v>
      </c>
      <c r="FA3" s="636" t="s">
        <v>253</v>
      </c>
      <c r="FB3" s="636" t="s">
        <v>253</v>
      </c>
      <c r="FC3" s="636" t="s">
        <v>253</v>
      </c>
      <c r="FD3" s="636" t="s">
        <v>253</v>
      </c>
      <c r="FE3" s="636" t="s">
        <v>253</v>
      </c>
      <c r="FF3" s="636" t="s">
        <v>253</v>
      </c>
      <c r="FG3" s="636" t="s">
        <v>253</v>
      </c>
      <c r="FH3" s="636" t="s">
        <v>253</v>
      </c>
      <c r="FI3" s="636" t="s">
        <v>253</v>
      </c>
      <c r="FJ3" s="636" t="s">
        <v>253</v>
      </c>
      <c r="FK3" s="636" t="s">
        <v>253</v>
      </c>
      <c r="FL3" s="639" t="s">
        <v>253</v>
      </c>
      <c r="FM3" s="639" t="s">
        <v>253</v>
      </c>
      <c r="FN3" s="636" t="s">
        <v>56</v>
      </c>
      <c r="FO3" s="636" t="s">
        <v>56</v>
      </c>
      <c r="FP3" s="636" t="s">
        <v>56</v>
      </c>
      <c r="FQ3" s="636" t="s">
        <v>56</v>
      </c>
      <c r="FR3" s="636" t="s">
        <v>56</v>
      </c>
      <c r="FS3" s="636" t="s">
        <v>56</v>
      </c>
      <c r="FT3" s="636" t="s">
        <v>56</v>
      </c>
      <c r="FU3" s="636" t="s">
        <v>56</v>
      </c>
      <c r="FV3" s="636" t="s">
        <v>56</v>
      </c>
      <c r="FW3" s="636" t="s">
        <v>56</v>
      </c>
      <c r="FX3" s="636" t="s">
        <v>56</v>
      </c>
      <c r="FY3" s="636" t="s">
        <v>56</v>
      </c>
      <c r="FZ3" s="639" t="s">
        <v>56</v>
      </c>
      <c r="GA3" s="639" t="s">
        <v>56</v>
      </c>
      <c r="GC3" s="636" t="s">
        <v>530</v>
      </c>
      <c r="GD3" s="636" t="s">
        <v>530</v>
      </c>
      <c r="GE3" s="636" t="s">
        <v>530</v>
      </c>
      <c r="GF3" s="636" t="s">
        <v>530</v>
      </c>
      <c r="GG3" s="636" t="s">
        <v>530</v>
      </c>
      <c r="GH3" s="636" t="s">
        <v>530</v>
      </c>
      <c r="GI3" s="636" t="s">
        <v>530</v>
      </c>
      <c r="GJ3" s="636" t="s">
        <v>530</v>
      </c>
      <c r="GK3" s="636" t="s">
        <v>530</v>
      </c>
      <c r="GL3" s="636" t="s">
        <v>530</v>
      </c>
      <c r="GM3" s="636" t="s">
        <v>530</v>
      </c>
      <c r="GN3" s="636" t="s">
        <v>530</v>
      </c>
      <c r="GO3" s="639" t="s">
        <v>530</v>
      </c>
      <c r="GP3" s="639" t="s">
        <v>530</v>
      </c>
      <c r="GR3" s="636" t="s">
        <v>532</v>
      </c>
      <c r="GS3" s="636" t="s">
        <v>532</v>
      </c>
      <c r="GT3" s="636" t="s">
        <v>532</v>
      </c>
      <c r="GU3" s="636" t="s">
        <v>532</v>
      </c>
      <c r="GV3" s="636" t="s">
        <v>532</v>
      </c>
      <c r="GW3" s="636" t="s">
        <v>532</v>
      </c>
      <c r="GX3" s="636" t="s">
        <v>532</v>
      </c>
      <c r="GY3" s="636" t="s">
        <v>532</v>
      </c>
      <c r="GZ3" s="636" t="s">
        <v>532</v>
      </c>
      <c r="HA3" s="636" t="s">
        <v>532</v>
      </c>
      <c r="HB3" s="636" t="s">
        <v>532</v>
      </c>
      <c r="HC3" s="636" t="s">
        <v>532</v>
      </c>
      <c r="HD3" s="639" t="s">
        <v>532</v>
      </c>
      <c r="HE3" s="639" t="s">
        <v>532</v>
      </c>
      <c r="HG3" s="636" t="s">
        <v>535</v>
      </c>
      <c r="HH3" s="636" t="s">
        <v>535</v>
      </c>
      <c r="HI3" s="636" t="s">
        <v>535</v>
      </c>
      <c r="HJ3" s="636" t="s">
        <v>535</v>
      </c>
      <c r="HK3" s="636" t="s">
        <v>535</v>
      </c>
      <c r="HL3" s="636" t="s">
        <v>535</v>
      </c>
      <c r="HM3" s="636" t="s">
        <v>535</v>
      </c>
      <c r="HN3" s="636" t="s">
        <v>535</v>
      </c>
      <c r="HO3" s="636" t="s">
        <v>535</v>
      </c>
      <c r="HP3" s="636" t="s">
        <v>535</v>
      </c>
      <c r="HQ3" s="636" t="s">
        <v>535</v>
      </c>
      <c r="HR3" s="636" t="s">
        <v>535</v>
      </c>
      <c r="HS3" s="639" t="s">
        <v>535</v>
      </c>
      <c r="HT3" s="639" t="s">
        <v>535</v>
      </c>
      <c r="HV3" s="636" t="s">
        <v>536</v>
      </c>
      <c r="HW3" s="636" t="s">
        <v>536</v>
      </c>
      <c r="HX3" s="636" t="s">
        <v>536</v>
      </c>
      <c r="HY3" s="636" t="s">
        <v>536</v>
      </c>
      <c r="HZ3" s="636" t="s">
        <v>536</v>
      </c>
      <c r="IA3" s="636" t="s">
        <v>536</v>
      </c>
      <c r="IB3" s="636" t="s">
        <v>536</v>
      </c>
      <c r="IC3" s="636" t="s">
        <v>536</v>
      </c>
      <c r="ID3" s="636" t="s">
        <v>536</v>
      </c>
      <c r="IE3" s="636" t="s">
        <v>536</v>
      </c>
      <c r="IF3" s="636" t="s">
        <v>536</v>
      </c>
      <c r="IG3" s="636" t="s">
        <v>536</v>
      </c>
      <c r="IH3" s="639" t="s">
        <v>536</v>
      </c>
      <c r="II3" s="639" t="s">
        <v>536</v>
      </c>
    </row>
    <row r="4" spans="1:246" customFormat="1" ht="15.5">
      <c r="A4" s="506" t="s">
        <v>466</v>
      </c>
      <c r="B4" s="506" t="s">
        <v>165</v>
      </c>
      <c r="C4" s="506"/>
      <c r="D4" s="862" t="s">
        <v>34</v>
      </c>
      <c r="E4" s="862"/>
      <c r="F4" s="862" t="s">
        <v>31</v>
      </c>
      <c r="G4" s="862"/>
      <c r="H4" s="862" t="s">
        <v>558</v>
      </c>
      <c r="I4" s="862"/>
      <c r="J4" s="862" t="s">
        <v>32</v>
      </c>
      <c r="K4" s="862"/>
      <c r="L4" s="862" t="s">
        <v>561</v>
      </c>
      <c r="M4" s="862"/>
      <c r="N4" s="862" t="s">
        <v>33</v>
      </c>
      <c r="O4" s="862"/>
      <c r="P4" s="862" t="s">
        <v>35</v>
      </c>
      <c r="Q4" s="862"/>
      <c r="R4" s="863" t="s">
        <v>526</v>
      </c>
      <c r="S4" s="863"/>
      <c r="T4" s="862" t="s">
        <v>34</v>
      </c>
      <c r="U4" s="862"/>
      <c r="V4" s="862" t="s">
        <v>31</v>
      </c>
      <c r="W4" s="862"/>
      <c r="X4" s="862" t="s">
        <v>558</v>
      </c>
      <c r="Y4" s="862"/>
      <c r="Z4" s="862" t="s">
        <v>32</v>
      </c>
      <c r="AA4" s="862"/>
      <c r="AB4" s="862" t="s">
        <v>561</v>
      </c>
      <c r="AC4" s="862"/>
      <c r="AD4" s="862" t="s">
        <v>33</v>
      </c>
      <c r="AE4" s="862"/>
      <c r="AF4" s="862" t="s">
        <v>35</v>
      </c>
      <c r="AG4" s="862"/>
      <c r="AH4" s="863" t="s">
        <v>526</v>
      </c>
      <c r="AI4" s="863"/>
      <c r="AJ4" s="862" t="s">
        <v>34</v>
      </c>
      <c r="AK4" s="862"/>
      <c r="AL4" s="862" t="s">
        <v>31</v>
      </c>
      <c r="AM4" s="862"/>
      <c r="AN4" s="862" t="s">
        <v>558</v>
      </c>
      <c r="AO4" s="862"/>
      <c r="AP4" s="862" t="s">
        <v>32</v>
      </c>
      <c r="AQ4" s="862"/>
      <c r="AR4" s="862" t="s">
        <v>561</v>
      </c>
      <c r="AS4" s="862"/>
      <c r="AT4" s="862" t="s">
        <v>33</v>
      </c>
      <c r="AU4" s="862"/>
      <c r="AV4" s="862" t="s">
        <v>35</v>
      </c>
      <c r="AW4" s="862"/>
      <c r="AX4" s="863" t="s">
        <v>526</v>
      </c>
      <c r="AY4" s="863"/>
      <c r="AZ4" s="862" t="s">
        <v>34</v>
      </c>
      <c r="BA4" s="862"/>
      <c r="BB4" s="862" t="s">
        <v>31</v>
      </c>
      <c r="BC4" s="862"/>
      <c r="BD4" s="862" t="s">
        <v>558</v>
      </c>
      <c r="BE4" s="862"/>
      <c r="BF4" s="862" t="s">
        <v>32</v>
      </c>
      <c r="BG4" s="862"/>
      <c r="BH4" s="862" t="s">
        <v>561</v>
      </c>
      <c r="BI4" s="862"/>
      <c r="BJ4" s="862" t="s">
        <v>33</v>
      </c>
      <c r="BK4" s="862"/>
      <c r="BL4" s="862" t="s">
        <v>35</v>
      </c>
      <c r="BM4" s="862"/>
      <c r="BN4" s="863" t="s">
        <v>526</v>
      </c>
      <c r="BO4" s="863"/>
      <c r="BP4" s="862" t="s">
        <v>34</v>
      </c>
      <c r="BQ4" s="862"/>
      <c r="BR4" s="862" t="s">
        <v>31</v>
      </c>
      <c r="BS4" s="862"/>
      <c r="BT4" s="862" t="s">
        <v>563</v>
      </c>
      <c r="BU4" s="862"/>
      <c r="BV4" s="862" t="s">
        <v>32</v>
      </c>
      <c r="BW4" s="862"/>
      <c r="BX4" s="862" t="s">
        <v>561</v>
      </c>
      <c r="BY4" s="862"/>
      <c r="BZ4" s="862" t="s">
        <v>33</v>
      </c>
      <c r="CA4" s="862"/>
      <c r="CB4" s="862" t="s">
        <v>35</v>
      </c>
      <c r="CC4" s="862"/>
      <c r="CD4" s="863" t="s">
        <v>526</v>
      </c>
      <c r="CE4" s="863"/>
      <c r="CF4" s="862" t="s">
        <v>34</v>
      </c>
      <c r="CG4" s="862"/>
      <c r="CH4" s="862" t="s">
        <v>31</v>
      </c>
      <c r="CI4" s="862"/>
      <c r="CJ4" s="862" t="s">
        <v>558</v>
      </c>
      <c r="CK4" s="862"/>
      <c r="CL4" s="862" t="s">
        <v>32</v>
      </c>
      <c r="CM4" s="862"/>
      <c r="CN4" s="862" t="s">
        <v>561</v>
      </c>
      <c r="CO4" s="862"/>
      <c r="CP4" s="862" t="s">
        <v>33</v>
      </c>
      <c r="CQ4" s="862"/>
      <c r="CR4" s="862" t="s">
        <v>35</v>
      </c>
      <c r="CS4" s="862"/>
      <c r="CT4" s="863" t="s">
        <v>526</v>
      </c>
      <c r="CU4" s="863"/>
      <c r="CV4" s="862" t="s">
        <v>34</v>
      </c>
      <c r="CW4" s="862"/>
      <c r="CX4" s="862" t="s">
        <v>31</v>
      </c>
      <c r="CY4" s="862"/>
      <c r="CZ4" s="862" t="s">
        <v>32</v>
      </c>
      <c r="DA4" s="862"/>
      <c r="DB4" s="862" t="s">
        <v>37</v>
      </c>
      <c r="DC4" s="862"/>
      <c r="DD4" s="862" t="s">
        <v>33</v>
      </c>
      <c r="DE4" s="862"/>
      <c r="DF4" s="862" t="s">
        <v>35</v>
      </c>
      <c r="DG4" s="862"/>
      <c r="DH4" s="863" t="s">
        <v>526</v>
      </c>
      <c r="DI4" s="863"/>
      <c r="DJ4" s="862" t="s">
        <v>34</v>
      </c>
      <c r="DK4" s="862"/>
      <c r="DL4" s="862" t="s">
        <v>31</v>
      </c>
      <c r="DM4" s="862"/>
      <c r="DN4" s="862" t="s">
        <v>32</v>
      </c>
      <c r="DO4" s="862"/>
      <c r="DP4" s="862" t="s">
        <v>37</v>
      </c>
      <c r="DQ4" s="862"/>
      <c r="DR4" s="862" t="s">
        <v>33</v>
      </c>
      <c r="DS4" s="862"/>
      <c r="DT4" s="862" t="s">
        <v>35</v>
      </c>
      <c r="DU4" s="862"/>
      <c r="DV4" s="863" t="s">
        <v>526</v>
      </c>
      <c r="DW4" s="863"/>
      <c r="DX4" s="862" t="s">
        <v>34</v>
      </c>
      <c r="DY4" s="862"/>
      <c r="DZ4" s="862" t="s">
        <v>31</v>
      </c>
      <c r="EA4" s="862"/>
      <c r="EB4" s="862" t="s">
        <v>32</v>
      </c>
      <c r="EC4" s="862"/>
      <c r="ED4" s="862" t="s">
        <v>37</v>
      </c>
      <c r="EE4" s="862"/>
      <c r="EF4" s="862" t="s">
        <v>33</v>
      </c>
      <c r="EG4" s="862"/>
      <c r="EH4" s="862" t="s">
        <v>35</v>
      </c>
      <c r="EI4" s="862"/>
      <c r="EJ4" s="863" t="s">
        <v>526</v>
      </c>
      <c r="EK4" s="863"/>
      <c r="EL4" s="862" t="s">
        <v>34</v>
      </c>
      <c r="EM4" s="862"/>
      <c r="EN4" s="862" t="s">
        <v>31</v>
      </c>
      <c r="EO4" s="862"/>
      <c r="EP4" s="862" t="s">
        <v>32</v>
      </c>
      <c r="EQ4" s="862"/>
      <c r="ER4" s="862" t="s">
        <v>37</v>
      </c>
      <c r="ES4" s="862"/>
      <c r="ET4" s="862" t="s">
        <v>33</v>
      </c>
      <c r="EU4" s="862"/>
      <c r="EV4" s="862" t="s">
        <v>35</v>
      </c>
      <c r="EW4" s="862"/>
      <c r="EX4" s="863" t="s">
        <v>526</v>
      </c>
      <c r="EY4" s="863"/>
      <c r="EZ4" s="862" t="s">
        <v>34</v>
      </c>
      <c r="FA4" s="862"/>
      <c r="FB4" s="862" t="s">
        <v>31</v>
      </c>
      <c r="FC4" s="862"/>
      <c r="FD4" s="862" t="s">
        <v>32</v>
      </c>
      <c r="FE4" s="862"/>
      <c r="FF4" s="862" t="s">
        <v>37</v>
      </c>
      <c r="FG4" s="862"/>
      <c r="FH4" s="862" t="s">
        <v>33</v>
      </c>
      <c r="FI4" s="862"/>
      <c r="FJ4" s="862" t="s">
        <v>35</v>
      </c>
      <c r="FK4" s="862"/>
      <c r="FL4" s="863" t="s">
        <v>526</v>
      </c>
      <c r="FM4" s="863"/>
      <c r="FN4" s="862" t="s">
        <v>34</v>
      </c>
      <c r="FO4" s="862"/>
      <c r="FP4" s="862" t="s">
        <v>31</v>
      </c>
      <c r="FQ4" s="862"/>
      <c r="FR4" s="862" t="s">
        <v>32</v>
      </c>
      <c r="FS4" s="862"/>
      <c r="FT4" s="862" t="s">
        <v>37</v>
      </c>
      <c r="FU4" s="862"/>
      <c r="FV4" s="862" t="s">
        <v>33</v>
      </c>
      <c r="FW4" s="862"/>
      <c r="FX4" s="862" t="s">
        <v>35</v>
      </c>
      <c r="FY4" s="862"/>
      <c r="FZ4" s="863" t="s">
        <v>526</v>
      </c>
      <c r="GA4" s="863"/>
      <c r="GC4" s="862" t="s">
        <v>34</v>
      </c>
      <c r="GD4" s="862"/>
      <c r="GE4" s="862" t="s">
        <v>31</v>
      </c>
      <c r="GF4" s="862"/>
      <c r="GG4" s="862" t="s">
        <v>32</v>
      </c>
      <c r="GH4" s="862"/>
      <c r="GI4" s="862" t="s">
        <v>37</v>
      </c>
      <c r="GJ4" s="862"/>
      <c r="GK4" s="862" t="s">
        <v>33</v>
      </c>
      <c r="GL4" s="862"/>
      <c r="GM4" s="862" t="s">
        <v>35</v>
      </c>
      <c r="GN4" s="862"/>
      <c r="GO4" s="863" t="s">
        <v>526</v>
      </c>
      <c r="GP4" s="863"/>
      <c r="GR4" s="862" t="s">
        <v>34</v>
      </c>
      <c r="GS4" s="862"/>
      <c r="GT4" s="862" t="s">
        <v>31</v>
      </c>
      <c r="GU4" s="862"/>
      <c r="GV4" s="862" t="s">
        <v>32</v>
      </c>
      <c r="GW4" s="862"/>
      <c r="GX4" s="862" t="s">
        <v>37</v>
      </c>
      <c r="GY4" s="862"/>
      <c r="GZ4" s="862" t="s">
        <v>33</v>
      </c>
      <c r="HA4" s="862"/>
      <c r="HB4" s="862" t="s">
        <v>35</v>
      </c>
      <c r="HC4" s="862"/>
      <c r="HD4" s="863" t="s">
        <v>526</v>
      </c>
      <c r="HE4" s="863"/>
      <c r="HG4" s="862" t="s">
        <v>34</v>
      </c>
      <c r="HH4" s="862"/>
      <c r="HI4" s="862" t="s">
        <v>31</v>
      </c>
      <c r="HJ4" s="862"/>
      <c r="HK4" s="862" t="s">
        <v>32</v>
      </c>
      <c r="HL4" s="862"/>
      <c r="HM4" s="862" t="s">
        <v>37</v>
      </c>
      <c r="HN4" s="862"/>
      <c r="HO4" s="862" t="s">
        <v>33</v>
      </c>
      <c r="HP4" s="862"/>
      <c r="HQ4" s="862" t="s">
        <v>35</v>
      </c>
      <c r="HR4" s="862"/>
      <c r="HS4" s="863" t="s">
        <v>526</v>
      </c>
      <c r="HT4" s="863"/>
      <c r="HV4" s="862" t="s">
        <v>34</v>
      </c>
      <c r="HW4" s="862"/>
      <c r="HX4" s="862" t="s">
        <v>31</v>
      </c>
      <c r="HY4" s="862"/>
      <c r="HZ4" s="862" t="s">
        <v>32</v>
      </c>
      <c r="IA4" s="862"/>
      <c r="IB4" s="862" t="s">
        <v>37</v>
      </c>
      <c r="IC4" s="862"/>
      <c r="ID4" s="862" t="s">
        <v>33</v>
      </c>
      <c r="IE4" s="862"/>
      <c r="IF4" s="862" t="s">
        <v>35</v>
      </c>
      <c r="IG4" s="862"/>
      <c r="IH4" s="863" t="s">
        <v>526</v>
      </c>
      <c r="II4" s="863"/>
    </row>
    <row r="5" spans="1:246" customFormat="1" ht="15.5">
      <c r="A5" s="507"/>
      <c r="B5" s="87" t="s">
        <v>27</v>
      </c>
      <c r="C5" s="87" t="s">
        <v>28</v>
      </c>
      <c r="D5" s="87" t="s">
        <v>27</v>
      </c>
      <c r="E5" s="87" t="s">
        <v>28</v>
      </c>
      <c r="F5" s="87" t="s">
        <v>27</v>
      </c>
      <c r="G5" s="87" t="s">
        <v>28</v>
      </c>
      <c r="H5" s="87" t="s">
        <v>27</v>
      </c>
      <c r="I5" s="87" t="s">
        <v>28</v>
      </c>
      <c r="J5" s="87" t="s">
        <v>27</v>
      </c>
      <c r="K5" s="87" t="s">
        <v>28</v>
      </c>
      <c r="L5" s="87" t="s">
        <v>27</v>
      </c>
      <c r="M5" s="87" t="s">
        <v>28</v>
      </c>
      <c r="N5" s="87" t="s">
        <v>27</v>
      </c>
      <c r="O5" s="87" t="s">
        <v>28</v>
      </c>
      <c r="P5" s="87" t="s">
        <v>27</v>
      </c>
      <c r="Q5" s="87" t="s">
        <v>28</v>
      </c>
      <c r="R5" s="91" t="s">
        <v>527</v>
      </c>
      <c r="S5" s="91" t="s">
        <v>528</v>
      </c>
      <c r="T5" s="87" t="s">
        <v>27</v>
      </c>
      <c r="U5" s="87" t="s">
        <v>28</v>
      </c>
      <c r="V5" s="87" t="s">
        <v>27</v>
      </c>
      <c r="W5" s="87" t="s">
        <v>28</v>
      </c>
      <c r="X5" s="87" t="s">
        <v>27</v>
      </c>
      <c r="Y5" s="87" t="s">
        <v>28</v>
      </c>
      <c r="Z5" s="87" t="s">
        <v>27</v>
      </c>
      <c r="AA5" s="87" t="s">
        <v>28</v>
      </c>
      <c r="AB5" s="87" t="s">
        <v>27</v>
      </c>
      <c r="AC5" s="87" t="s">
        <v>28</v>
      </c>
      <c r="AD5" s="87" t="s">
        <v>27</v>
      </c>
      <c r="AE5" s="87" t="s">
        <v>28</v>
      </c>
      <c r="AF5" s="87" t="s">
        <v>27</v>
      </c>
      <c r="AG5" s="87" t="s">
        <v>28</v>
      </c>
      <c r="AH5" s="91" t="s">
        <v>515</v>
      </c>
      <c r="AI5" s="91" t="s">
        <v>516</v>
      </c>
      <c r="AJ5" s="87" t="s">
        <v>27</v>
      </c>
      <c r="AK5" s="87" t="s">
        <v>28</v>
      </c>
      <c r="AL5" s="87" t="s">
        <v>27</v>
      </c>
      <c r="AM5" s="87" t="s">
        <v>28</v>
      </c>
      <c r="AN5" s="87" t="s">
        <v>27</v>
      </c>
      <c r="AO5" s="87" t="s">
        <v>28</v>
      </c>
      <c r="AP5" s="87" t="s">
        <v>27</v>
      </c>
      <c r="AQ5" s="87" t="s">
        <v>28</v>
      </c>
      <c r="AR5" s="87" t="s">
        <v>27</v>
      </c>
      <c r="AS5" s="87" t="s">
        <v>28</v>
      </c>
      <c r="AT5" s="87" t="s">
        <v>27</v>
      </c>
      <c r="AU5" s="87" t="s">
        <v>28</v>
      </c>
      <c r="AV5" s="87" t="s">
        <v>27</v>
      </c>
      <c r="AW5" s="87" t="s">
        <v>28</v>
      </c>
      <c r="AX5" s="91" t="s">
        <v>515</v>
      </c>
      <c r="AY5" s="91" t="s">
        <v>516</v>
      </c>
      <c r="AZ5" s="87" t="s">
        <v>27</v>
      </c>
      <c r="BA5" s="87" t="s">
        <v>28</v>
      </c>
      <c r="BB5" s="87" t="s">
        <v>27</v>
      </c>
      <c r="BC5" s="87" t="s">
        <v>28</v>
      </c>
      <c r="BD5" s="87" t="s">
        <v>27</v>
      </c>
      <c r="BE5" s="87" t="s">
        <v>28</v>
      </c>
      <c r="BF5" s="87" t="s">
        <v>27</v>
      </c>
      <c r="BG5" s="87" t="s">
        <v>28</v>
      </c>
      <c r="BH5" s="87" t="s">
        <v>27</v>
      </c>
      <c r="BI5" s="87" t="s">
        <v>28</v>
      </c>
      <c r="BJ5" s="87" t="s">
        <v>27</v>
      </c>
      <c r="BK5" s="87" t="s">
        <v>28</v>
      </c>
      <c r="BL5" s="87" t="s">
        <v>27</v>
      </c>
      <c r="BM5" s="87" t="s">
        <v>28</v>
      </c>
      <c r="BN5" s="91" t="s">
        <v>515</v>
      </c>
      <c r="BO5" s="91" t="s">
        <v>516</v>
      </c>
      <c r="BP5" s="87" t="s">
        <v>27</v>
      </c>
      <c r="BQ5" s="87" t="s">
        <v>28</v>
      </c>
      <c r="BR5" s="87" t="s">
        <v>27</v>
      </c>
      <c r="BS5" s="87" t="s">
        <v>28</v>
      </c>
      <c r="BT5" s="87" t="s">
        <v>27</v>
      </c>
      <c r="BU5" s="87" t="s">
        <v>28</v>
      </c>
      <c r="BV5" s="87" t="s">
        <v>27</v>
      </c>
      <c r="BW5" s="87" t="s">
        <v>28</v>
      </c>
      <c r="BX5" s="87" t="s">
        <v>27</v>
      </c>
      <c r="BY5" s="87" t="s">
        <v>28</v>
      </c>
      <c r="BZ5" s="87" t="s">
        <v>27</v>
      </c>
      <c r="CA5" s="87" t="s">
        <v>28</v>
      </c>
      <c r="CB5" s="87" t="s">
        <v>27</v>
      </c>
      <c r="CC5" s="87" t="s">
        <v>28</v>
      </c>
      <c r="CD5" s="91" t="s">
        <v>515</v>
      </c>
      <c r="CE5" s="91" t="s">
        <v>516</v>
      </c>
      <c r="CF5" s="87" t="s">
        <v>27</v>
      </c>
      <c r="CG5" s="87" t="s">
        <v>28</v>
      </c>
      <c r="CH5" s="87" t="s">
        <v>27</v>
      </c>
      <c r="CI5" s="87" t="s">
        <v>28</v>
      </c>
      <c r="CJ5" s="87" t="s">
        <v>27</v>
      </c>
      <c r="CK5" s="87" t="s">
        <v>28</v>
      </c>
      <c r="CL5" s="87" t="s">
        <v>27</v>
      </c>
      <c r="CM5" s="87" t="s">
        <v>28</v>
      </c>
      <c r="CN5" s="87" t="s">
        <v>27</v>
      </c>
      <c r="CO5" s="87" t="s">
        <v>28</v>
      </c>
      <c r="CP5" s="87" t="s">
        <v>27</v>
      </c>
      <c r="CQ5" s="87" t="s">
        <v>28</v>
      </c>
      <c r="CR5" s="87" t="s">
        <v>27</v>
      </c>
      <c r="CS5" s="87" t="s">
        <v>28</v>
      </c>
      <c r="CT5" s="91" t="s">
        <v>515</v>
      </c>
      <c r="CU5" s="91" t="s">
        <v>516</v>
      </c>
      <c r="CV5" s="87" t="s">
        <v>27</v>
      </c>
      <c r="CW5" s="87" t="s">
        <v>28</v>
      </c>
      <c r="CX5" s="87" t="s">
        <v>27</v>
      </c>
      <c r="CY5" s="87" t="s">
        <v>28</v>
      </c>
      <c r="CZ5" s="87" t="s">
        <v>27</v>
      </c>
      <c r="DA5" s="87" t="s">
        <v>28</v>
      </c>
      <c r="DB5" s="87" t="s">
        <v>27</v>
      </c>
      <c r="DC5" s="87" t="s">
        <v>28</v>
      </c>
      <c r="DD5" s="87" t="s">
        <v>27</v>
      </c>
      <c r="DE5" s="87" t="s">
        <v>28</v>
      </c>
      <c r="DF5" s="87" t="s">
        <v>27</v>
      </c>
      <c r="DG5" s="87" t="s">
        <v>28</v>
      </c>
      <c r="DH5" s="91" t="s">
        <v>515</v>
      </c>
      <c r="DI5" s="91" t="s">
        <v>516</v>
      </c>
      <c r="DJ5" s="87" t="s">
        <v>27</v>
      </c>
      <c r="DK5" s="87" t="s">
        <v>28</v>
      </c>
      <c r="DL5" s="87" t="s">
        <v>27</v>
      </c>
      <c r="DM5" s="87" t="s">
        <v>28</v>
      </c>
      <c r="DN5" s="87" t="s">
        <v>27</v>
      </c>
      <c r="DO5" s="87" t="s">
        <v>28</v>
      </c>
      <c r="DP5" s="87" t="s">
        <v>27</v>
      </c>
      <c r="DQ5" s="87" t="s">
        <v>28</v>
      </c>
      <c r="DR5" s="87" t="s">
        <v>27</v>
      </c>
      <c r="DS5" s="87" t="s">
        <v>28</v>
      </c>
      <c r="DT5" s="87" t="s">
        <v>27</v>
      </c>
      <c r="DU5" s="87" t="s">
        <v>28</v>
      </c>
      <c r="DV5" s="91" t="s">
        <v>515</v>
      </c>
      <c r="DW5" s="91" t="s">
        <v>516</v>
      </c>
      <c r="DX5" s="87" t="s">
        <v>27</v>
      </c>
      <c r="DY5" s="87" t="s">
        <v>28</v>
      </c>
      <c r="DZ5" s="87" t="s">
        <v>27</v>
      </c>
      <c r="EA5" s="87" t="s">
        <v>28</v>
      </c>
      <c r="EB5" s="87" t="s">
        <v>27</v>
      </c>
      <c r="EC5" s="87" t="s">
        <v>28</v>
      </c>
      <c r="ED5" s="87" t="s">
        <v>27</v>
      </c>
      <c r="EE5" s="87" t="s">
        <v>28</v>
      </c>
      <c r="EF5" s="87" t="s">
        <v>27</v>
      </c>
      <c r="EG5" s="87" t="s">
        <v>28</v>
      </c>
      <c r="EH5" s="87" t="s">
        <v>27</v>
      </c>
      <c r="EI5" s="87" t="s">
        <v>28</v>
      </c>
      <c r="EJ5" s="91" t="s">
        <v>515</v>
      </c>
      <c r="EK5" s="91" t="s">
        <v>516</v>
      </c>
      <c r="EL5" s="87" t="s">
        <v>27</v>
      </c>
      <c r="EM5" s="87" t="s">
        <v>28</v>
      </c>
      <c r="EN5" s="87" t="s">
        <v>27</v>
      </c>
      <c r="EO5" s="87" t="s">
        <v>28</v>
      </c>
      <c r="EP5" s="87" t="s">
        <v>27</v>
      </c>
      <c r="EQ5" s="87" t="s">
        <v>28</v>
      </c>
      <c r="ER5" s="87" t="s">
        <v>27</v>
      </c>
      <c r="ES5" s="87" t="s">
        <v>28</v>
      </c>
      <c r="ET5" s="87" t="s">
        <v>27</v>
      </c>
      <c r="EU5" s="87" t="s">
        <v>28</v>
      </c>
      <c r="EV5" s="87" t="s">
        <v>27</v>
      </c>
      <c r="EW5" s="87" t="s">
        <v>28</v>
      </c>
      <c r="EX5" s="91" t="s">
        <v>515</v>
      </c>
      <c r="EY5" s="91" t="s">
        <v>516</v>
      </c>
      <c r="EZ5" s="87" t="s">
        <v>27</v>
      </c>
      <c r="FA5" s="87" t="s">
        <v>28</v>
      </c>
      <c r="FB5" s="87" t="s">
        <v>27</v>
      </c>
      <c r="FC5" s="87" t="s">
        <v>28</v>
      </c>
      <c r="FD5" s="87" t="s">
        <v>27</v>
      </c>
      <c r="FE5" s="87" t="s">
        <v>28</v>
      </c>
      <c r="FF5" s="87" t="s">
        <v>27</v>
      </c>
      <c r="FG5" s="87" t="s">
        <v>28</v>
      </c>
      <c r="FH5" s="87" t="s">
        <v>27</v>
      </c>
      <c r="FI5" s="87" t="s">
        <v>28</v>
      </c>
      <c r="FJ5" s="87" t="s">
        <v>27</v>
      </c>
      <c r="FK5" s="87" t="s">
        <v>28</v>
      </c>
      <c r="FL5" s="91" t="s">
        <v>515</v>
      </c>
      <c r="FM5" s="91" t="s">
        <v>516</v>
      </c>
      <c r="FN5" s="87" t="s">
        <v>27</v>
      </c>
      <c r="FO5" s="87" t="s">
        <v>28</v>
      </c>
      <c r="FP5" s="87" t="s">
        <v>27</v>
      </c>
      <c r="FQ5" s="87" t="s">
        <v>28</v>
      </c>
      <c r="FR5" s="87" t="s">
        <v>27</v>
      </c>
      <c r="FS5" s="87" t="s">
        <v>28</v>
      </c>
      <c r="FT5" s="87" t="s">
        <v>27</v>
      </c>
      <c r="FU5" s="87" t="s">
        <v>28</v>
      </c>
      <c r="FV5" s="87" t="s">
        <v>27</v>
      </c>
      <c r="FW5" s="87" t="s">
        <v>28</v>
      </c>
      <c r="FX5" s="87" t="s">
        <v>27</v>
      </c>
      <c r="FY5" s="87" t="s">
        <v>28</v>
      </c>
      <c r="FZ5" s="91" t="s">
        <v>515</v>
      </c>
      <c r="GA5" s="91" t="s">
        <v>516</v>
      </c>
      <c r="GC5" s="87" t="s">
        <v>513</v>
      </c>
      <c r="GD5" s="87" t="s">
        <v>514</v>
      </c>
      <c r="GE5" s="87" t="s">
        <v>515</v>
      </c>
      <c r="GF5" s="87" t="s">
        <v>516</v>
      </c>
      <c r="GG5" s="87" t="s">
        <v>517</v>
      </c>
      <c r="GH5" s="87" t="s">
        <v>518</v>
      </c>
      <c r="GI5" s="87" t="s">
        <v>519</v>
      </c>
      <c r="GJ5" s="87" t="s">
        <v>520</v>
      </c>
      <c r="GK5" s="87" t="s">
        <v>521</v>
      </c>
      <c r="GL5" s="87" t="s">
        <v>522</v>
      </c>
      <c r="GM5" s="87" t="s">
        <v>523</v>
      </c>
      <c r="GN5" s="87" t="s">
        <v>524</v>
      </c>
      <c r="GO5" s="91" t="s">
        <v>515</v>
      </c>
      <c r="GP5" s="91" t="s">
        <v>516</v>
      </c>
      <c r="GR5" s="87" t="s">
        <v>513</v>
      </c>
      <c r="GS5" s="87" t="s">
        <v>514</v>
      </c>
      <c r="GT5" s="87" t="s">
        <v>515</v>
      </c>
      <c r="GU5" s="87" t="s">
        <v>516</v>
      </c>
      <c r="GV5" s="87" t="s">
        <v>517</v>
      </c>
      <c r="GW5" s="87" t="s">
        <v>518</v>
      </c>
      <c r="GX5" s="87" t="s">
        <v>519</v>
      </c>
      <c r="GY5" s="87" t="s">
        <v>520</v>
      </c>
      <c r="GZ5" s="87" t="s">
        <v>521</v>
      </c>
      <c r="HA5" s="87" t="s">
        <v>522</v>
      </c>
      <c r="HB5" s="87" t="s">
        <v>523</v>
      </c>
      <c r="HC5" s="87" t="s">
        <v>524</v>
      </c>
      <c r="HD5" s="91" t="s">
        <v>515</v>
      </c>
      <c r="HE5" s="91" t="s">
        <v>516</v>
      </c>
      <c r="HG5" s="87" t="s">
        <v>513</v>
      </c>
      <c r="HH5" s="87" t="s">
        <v>514</v>
      </c>
      <c r="HI5" s="87" t="s">
        <v>515</v>
      </c>
      <c r="HJ5" s="87" t="s">
        <v>516</v>
      </c>
      <c r="HK5" s="87" t="s">
        <v>517</v>
      </c>
      <c r="HL5" s="87" t="s">
        <v>518</v>
      </c>
      <c r="HM5" s="87" t="s">
        <v>519</v>
      </c>
      <c r="HN5" s="87" t="s">
        <v>520</v>
      </c>
      <c r="HO5" s="87" t="s">
        <v>521</v>
      </c>
      <c r="HP5" s="87" t="s">
        <v>522</v>
      </c>
      <c r="HQ5" s="87" t="s">
        <v>523</v>
      </c>
      <c r="HR5" s="87" t="s">
        <v>524</v>
      </c>
      <c r="HS5" s="91" t="s">
        <v>515</v>
      </c>
      <c r="HT5" s="91" t="s">
        <v>516</v>
      </c>
      <c r="HV5" s="87" t="s">
        <v>513</v>
      </c>
      <c r="HW5" s="87" t="s">
        <v>514</v>
      </c>
      <c r="HX5" s="87" t="s">
        <v>515</v>
      </c>
      <c r="HY5" s="87" t="s">
        <v>516</v>
      </c>
      <c r="HZ5" s="87" t="s">
        <v>517</v>
      </c>
      <c r="IA5" s="87" t="s">
        <v>518</v>
      </c>
      <c r="IB5" s="87" t="s">
        <v>519</v>
      </c>
      <c r="IC5" s="87" t="s">
        <v>520</v>
      </c>
      <c r="ID5" s="87" t="s">
        <v>521</v>
      </c>
      <c r="IE5" s="87" t="s">
        <v>522</v>
      </c>
      <c r="IF5" s="87" t="s">
        <v>523</v>
      </c>
      <c r="IG5" s="87" t="s">
        <v>524</v>
      </c>
      <c r="IH5" s="91" t="s">
        <v>515</v>
      </c>
      <c r="II5" s="91" t="s">
        <v>516</v>
      </c>
    </row>
    <row r="6" spans="1:246" customFormat="1" ht="15.5">
      <c r="B6" s="87" t="s">
        <v>29</v>
      </c>
      <c r="C6" s="87" t="s">
        <v>30</v>
      </c>
      <c r="D6" s="87" t="s">
        <v>29</v>
      </c>
      <c r="E6" s="87" t="s">
        <v>30</v>
      </c>
      <c r="F6" s="87" t="s">
        <v>29</v>
      </c>
      <c r="G6" s="87" t="s">
        <v>30</v>
      </c>
      <c r="H6" s="87" t="s">
        <v>29</v>
      </c>
      <c r="I6" s="87" t="s">
        <v>30</v>
      </c>
      <c r="J6" s="87" t="s">
        <v>29</v>
      </c>
      <c r="K6" s="87" t="s">
        <v>30</v>
      </c>
      <c r="L6" s="87" t="s">
        <v>29</v>
      </c>
      <c r="M6" s="87" t="s">
        <v>30</v>
      </c>
      <c r="N6" s="87" t="s">
        <v>29</v>
      </c>
      <c r="O6" s="87" t="s">
        <v>30</v>
      </c>
      <c r="P6" s="87" t="s">
        <v>29</v>
      </c>
      <c r="Q6" s="87" t="s">
        <v>30</v>
      </c>
      <c r="R6" s="91" t="s">
        <v>29</v>
      </c>
      <c r="S6" s="91" t="s">
        <v>30</v>
      </c>
      <c r="T6" s="87" t="s">
        <v>29</v>
      </c>
      <c r="U6" s="87" t="s">
        <v>30</v>
      </c>
      <c r="V6" s="87" t="s">
        <v>29</v>
      </c>
      <c r="W6" s="87" t="s">
        <v>30</v>
      </c>
      <c r="X6" s="87" t="s">
        <v>29</v>
      </c>
      <c r="Y6" s="87" t="s">
        <v>30</v>
      </c>
      <c r="Z6" s="87" t="s">
        <v>29</v>
      </c>
      <c r="AA6" s="87" t="s">
        <v>30</v>
      </c>
      <c r="AB6" s="87" t="s">
        <v>29</v>
      </c>
      <c r="AC6" s="87" t="s">
        <v>30</v>
      </c>
      <c r="AD6" s="87" t="s">
        <v>29</v>
      </c>
      <c r="AE6" s="87" t="s">
        <v>30</v>
      </c>
      <c r="AF6" s="87" t="s">
        <v>29</v>
      </c>
      <c r="AG6" s="87" t="s">
        <v>30</v>
      </c>
      <c r="AH6" s="91" t="s">
        <v>29</v>
      </c>
      <c r="AI6" s="91" t="s">
        <v>30</v>
      </c>
      <c r="AJ6" s="87" t="s">
        <v>29</v>
      </c>
      <c r="AK6" s="87" t="s">
        <v>30</v>
      </c>
      <c r="AL6" s="87" t="s">
        <v>29</v>
      </c>
      <c r="AM6" s="87" t="s">
        <v>30</v>
      </c>
      <c r="AN6" s="87" t="s">
        <v>29</v>
      </c>
      <c r="AO6" s="87" t="s">
        <v>30</v>
      </c>
      <c r="AP6" s="87" t="s">
        <v>29</v>
      </c>
      <c r="AQ6" s="87" t="s">
        <v>30</v>
      </c>
      <c r="AR6" s="87" t="s">
        <v>29</v>
      </c>
      <c r="AS6" s="87" t="s">
        <v>30</v>
      </c>
      <c r="AT6" s="87" t="s">
        <v>29</v>
      </c>
      <c r="AU6" s="87" t="s">
        <v>30</v>
      </c>
      <c r="AV6" s="87" t="s">
        <v>29</v>
      </c>
      <c r="AW6" s="87" t="s">
        <v>30</v>
      </c>
      <c r="AX6" s="91" t="s">
        <v>29</v>
      </c>
      <c r="AY6" s="91" t="s">
        <v>30</v>
      </c>
      <c r="AZ6" s="87" t="s">
        <v>29</v>
      </c>
      <c r="BA6" s="87" t="s">
        <v>30</v>
      </c>
      <c r="BB6" s="87" t="s">
        <v>29</v>
      </c>
      <c r="BC6" s="87" t="s">
        <v>30</v>
      </c>
      <c r="BD6" s="87" t="s">
        <v>29</v>
      </c>
      <c r="BE6" s="87" t="s">
        <v>30</v>
      </c>
      <c r="BF6" s="87" t="s">
        <v>29</v>
      </c>
      <c r="BG6" s="87" t="s">
        <v>30</v>
      </c>
      <c r="BH6" s="87" t="s">
        <v>29</v>
      </c>
      <c r="BI6" s="87" t="s">
        <v>30</v>
      </c>
      <c r="BJ6" s="87" t="s">
        <v>29</v>
      </c>
      <c r="BK6" s="87" t="s">
        <v>30</v>
      </c>
      <c r="BL6" s="87" t="s">
        <v>29</v>
      </c>
      <c r="BM6" s="87" t="s">
        <v>30</v>
      </c>
      <c r="BN6" s="91" t="s">
        <v>29</v>
      </c>
      <c r="BO6" s="91" t="s">
        <v>30</v>
      </c>
      <c r="BP6" s="87" t="s">
        <v>29</v>
      </c>
      <c r="BQ6" s="87" t="s">
        <v>30</v>
      </c>
      <c r="BR6" s="87" t="s">
        <v>29</v>
      </c>
      <c r="BS6" s="87" t="s">
        <v>30</v>
      </c>
      <c r="BT6" s="87" t="s">
        <v>29</v>
      </c>
      <c r="BU6" s="87" t="s">
        <v>30</v>
      </c>
      <c r="BV6" s="87" t="s">
        <v>29</v>
      </c>
      <c r="BW6" s="87" t="s">
        <v>30</v>
      </c>
      <c r="BX6" s="87" t="s">
        <v>29</v>
      </c>
      <c r="BY6" s="87" t="s">
        <v>30</v>
      </c>
      <c r="BZ6" s="87" t="s">
        <v>29</v>
      </c>
      <c r="CA6" s="87" t="s">
        <v>30</v>
      </c>
      <c r="CB6" s="87" t="s">
        <v>29</v>
      </c>
      <c r="CC6" s="87" t="s">
        <v>30</v>
      </c>
      <c r="CD6" s="91" t="s">
        <v>29</v>
      </c>
      <c r="CE6" s="91" t="s">
        <v>30</v>
      </c>
      <c r="CF6" s="87" t="s">
        <v>29</v>
      </c>
      <c r="CG6" s="87" t="s">
        <v>30</v>
      </c>
      <c r="CH6" s="87" t="s">
        <v>29</v>
      </c>
      <c r="CI6" s="87" t="s">
        <v>30</v>
      </c>
      <c r="CJ6" s="87" t="s">
        <v>29</v>
      </c>
      <c r="CK6" s="87" t="s">
        <v>30</v>
      </c>
      <c r="CL6" s="87" t="s">
        <v>29</v>
      </c>
      <c r="CM6" s="87" t="s">
        <v>30</v>
      </c>
      <c r="CN6" s="87" t="s">
        <v>29</v>
      </c>
      <c r="CO6" s="87" t="s">
        <v>30</v>
      </c>
      <c r="CP6" s="87" t="s">
        <v>29</v>
      </c>
      <c r="CQ6" s="87" t="s">
        <v>30</v>
      </c>
      <c r="CR6" s="87" t="s">
        <v>29</v>
      </c>
      <c r="CS6" s="87" t="s">
        <v>30</v>
      </c>
      <c r="CT6" s="91" t="s">
        <v>29</v>
      </c>
      <c r="CU6" s="91" t="s">
        <v>30</v>
      </c>
      <c r="CV6" s="87" t="s">
        <v>29</v>
      </c>
      <c r="CW6" s="87" t="s">
        <v>30</v>
      </c>
      <c r="CX6" s="87" t="s">
        <v>29</v>
      </c>
      <c r="CY6" s="87" t="s">
        <v>30</v>
      </c>
      <c r="CZ6" s="87" t="s">
        <v>29</v>
      </c>
      <c r="DA6" s="87" t="s">
        <v>30</v>
      </c>
      <c r="DB6" s="87" t="s">
        <v>29</v>
      </c>
      <c r="DC6" s="87" t="s">
        <v>30</v>
      </c>
      <c r="DD6" s="87" t="s">
        <v>29</v>
      </c>
      <c r="DE6" s="87" t="s">
        <v>30</v>
      </c>
      <c r="DF6" s="87" t="s">
        <v>29</v>
      </c>
      <c r="DG6" s="87" t="s">
        <v>30</v>
      </c>
      <c r="DH6" s="91" t="s">
        <v>29</v>
      </c>
      <c r="DI6" s="91" t="s">
        <v>30</v>
      </c>
      <c r="DJ6" s="87" t="s">
        <v>29</v>
      </c>
      <c r="DK6" s="87" t="s">
        <v>30</v>
      </c>
      <c r="DL6" s="87" t="s">
        <v>29</v>
      </c>
      <c r="DM6" s="87" t="s">
        <v>30</v>
      </c>
      <c r="DN6" s="87" t="s">
        <v>29</v>
      </c>
      <c r="DO6" s="87" t="s">
        <v>30</v>
      </c>
      <c r="DP6" s="87" t="s">
        <v>29</v>
      </c>
      <c r="DQ6" s="87" t="s">
        <v>30</v>
      </c>
      <c r="DR6" s="87" t="s">
        <v>29</v>
      </c>
      <c r="DS6" s="87" t="s">
        <v>30</v>
      </c>
      <c r="DT6" s="87" t="s">
        <v>29</v>
      </c>
      <c r="DU6" s="87" t="s">
        <v>30</v>
      </c>
      <c r="DV6" s="91" t="s">
        <v>29</v>
      </c>
      <c r="DW6" s="91" t="s">
        <v>30</v>
      </c>
      <c r="DX6" s="87" t="s">
        <v>29</v>
      </c>
      <c r="DY6" s="87" t="s">
        <v>30</v>
      </c>
      <c r="DZ6" s="87" t="s">
        <v>29</v>
      </c>
      <c r="EA6" s="87" t="s">
        <v>30</v>
      </c>
      <c r="EB6" s="87" t="s">
        <v>29</v>
      </c>
      <c r="EC6" s="87" t="s">
        <v>30</v>
      </c>
      <c r="ED6" s="87" t="s">
        <v>29</v>
      </c>
      <c r="EE6" s="87" t="s">
        <v>30</v>
      </c>
      <c r="EF6" s="87" t="s">
        <v>29</v>
      </c>
      <c r="EG6" s="87" t="s">
        <v>30</v>
      </c>
      <c r="EH6" s="87" t="s">
        <v>29</v>
      </c>
      <c r="EI6" s="87" t="s">
        <v>30</v>
      </c>
      <c r="EJ6" s="91" t="s">
        <v>29</v>
      </c>
      <c r="EK6" s="91" t="s">
        <v>30</v>
      </c>
      <c r="EL6" s="87" t="s">
        <v>29</v>
      </c>
      <c r="EM6" s="87" t="s">
        <v>30</v>
      </c>
      <c r="EN6" s="87" t="s">
        <v>29</v>
      </c>
      <c r="EO6" s="87" t="s">
        <v>30</v>
      </c>
      <c r="EP6" s="87" t="s">
        <v>29</v>
      </c>
      <c r="EQ6" s="87" t="s">
        <v>30</v>
      </c>
      <c r="ER6" s="87" t="s">
        <v>29</v>
      </c>
      <c r="ES6" s="87" t="s">
        <v>30</v>
      </c>
      <c r="ET6" s="87" t="s">
        <v>29</v>
      </c>
      <c r="EU6" s="87" t="s">
        <v>30</v>
      </c>
      <c r="EV6" s="87" t="s">
        <v>29</v>
      </c>
      <c r="EW6" s="87" t="s">
        <v>30</v>
      </c>
      <c r="EX6" s="91" t="s">
        <v>29</v>
      </c>
      <c r="EY6" s="91" t="s">
        <v>30</v>
      </c>
      <c r="EZ6" s="87" t="s">
        <v>29</v>
      </c>
      <c r="FA6" s="87" t="s">
        <v>30</v>
      </c>
      <c r="FB6" s="87" t="s">
        <v>29</v>
      </c>
      <c r="FC6" s="87" t="s">
        <v>30</v>
      </c>
      <c r="FD6" s="87" t="s">
        <v>29</v>
      </c>
      <c r="FE6" s="87" t="s">
        <v>30</v>
      </c>
      <c r="FF6" s="87" t="s">
        <v>29</v>
      </c>
      <c r="FG6" s="87" t="s">
        <v>30</v>
      </c>
      <c r="FH6" s="87" t="s">
        <v>29</v>
      </c>
      <c r="FI6" s="87" t="s">
        <v>30</v>
      </c>
      <c r="FJ6" s="87" t="s">
        <v>29</v>
      </c>
      <c r="FK6" s="87" t="s">
        <v>30</v>
      </c>
      <c r="FL6" s="91" t="s">
        <v>29</v>
      </c>
      <c r="FM6" s="91" t="s">
        <v>30</v>
      </c>
      <c r="FN6" s="87" t="s">
        <v>29</v>
      </c>
      <c r="FO6" s="87" t="s">
        <v>30</v>
      </c>
      <c r="FP6" s="87" t="s">
        <v>29</v>
      </c>
      <c r="FQ6" s="87" t="s">
        <v>30</v>
      </c>
      <c r="FR6" s="87" t="s">
        <v>29</v>
      </c>
      <c r="FS6" s="87" t="s">
        <v>30</v>
      </c>
      <c r="FT6" s="87" t="s">
        <v>29</v>
      </c>
      <c r="FU6" s="87" t="s">
        <v>30</v>
      </c>
      <c r="FV6" s="87" t="s">
        <v>29</v>
      </c>
      <c r="FW6" s="87" t="s">
        <v>30</v>
      </c>
      <c r="FX6" s="87" t="s">
        <v>29</v>
      </c>
      <c r="FY6" s="87" t="s">
        <v>30</v>
      </c>
      <c r="FZ6" s="91" t="s">
        <v>29</v>
      </c>
      <c r="GA6" s="91" t="s">
        <v>30</v>
      </c>
      <c r="GC6" s="87" t="s">
        <v>29</v>
      </c>
      <c r="GD6" s="87" t="s">
        <v>30</v>
      </c>
      <c r="GE6" s="87" t="s">
        <v>29</v>
      </c>
      <c r="GF6" s="87" t="s">
        <v>30</v>
      </c>
      <c r="GG6" s="87" t="s">
        <v>29</v>
      </c>
      <c r="GH6" s="87" t="s">
        <v>30</v>
      </c>
      <c r="GI6" s="87" t="s">
        <v>29</v>
      </c>
      <c r="GJ6" s="87" t="s">
        <v>30</v>
      </c>
      <c r="GK6" s="87" t="s">
        <v>29</v>
      </c>
      <c r="GL6" s="87" t="s">
        <v>30</v>
      </c>
      <c r="GM6" s="87" t="s">
        <v>29</v>
      </c>
      <c r="GN6" s="87" t="s">
        <v>30</v>
      </c>
      <c r="GO6" s="91" t="s">
        <v>29</v>
      </c>
      <c r="GP6" s="91" t="s">
        <v>30</v>
      </c>
      <c r="GR6" s="87" t="s">
        <v>29</v>
      </c>
      <c r="GS6" s="87" t="s">
        <v>30</v>
      </c>
      <c r="GT6" s="87" t="s">
        <v>29</v>
      </c>
      <c r="GU6" s="87" t="s">
        <v>30</v>
      </c>
      <c r="GV6" s="87" t="s">
        <v>29</v>
      </c>
      <c r="GW6" s="87" t="s">
        <v>30</v>
      </c>
      <c r="GX6" s="87" t="s">
        <v>29</v>
      </c>
      <c r="GY6" s="87" t="s">
        <v>30</v>
      </c>
      <c r="GZ6" s="87" t="s">
        <v>29</v>
      </c>
      <c r="HA6" s="87" t="s">
        <v>30</v>
      </c>
      <c r="HB6" s="87" t="s">
        <v>29</v>
      </c>
      <c r="HC6" s="87" t="s">
        <v>30</v>
      </c>
      <c r="HD6" s="91" t="s">
        <v>29</v>
      </c>
      <c r="HE6" s="91" t="s">
        <v>30</v>
      </c>
      <c r="HG6" s="87" t="s">
        <v>29</v>
      </c>
      <c r="HH6" s="87" t="s">
        <v>30</v>
      </c>
      <c r="HI6" s="87" t="s">
        <v>29</v>
      </c>
      <c r="HJ6" s="87" t="s">
        <v>30</v>
      </c>
      <c r="HK6" s="87" t="s">
        <v>29</v>
      </c>
      <c r="HL6" s="87" t="s">
        <v>30</v>
      </c>
      <c r="HM6" s="87" t="s">
        <v>29</v>
      </c>
      <c r="HN6" s="87" t="s">
        <v>30</v>
      </c>
      <c r="HO6" s="87" t="s">
        <v>29</v>
      </c>
      <c r="HP6" s="87" t="s">
        <v>30</v>
      </c>
      <c r="HQ6" s="87" t="s">
        <v>29</v>
      </c>
      <c r="HR6" s="87" t="s">
        <v>30</v>
      </c>
      <c r="HS6" s="91" t="s">
        <v>29</v>
      </c>
      <c r="HT6" s="91" t="s">
        <v>30</v>
      </c>
      <c r="HV6" s="87" t="s">
        <v>29</v>
      </c>
      <c r="HW6" s="87" t="s">
        <v>30</v>
      </c>
      <c r="HX6" s="87" t="s">
        <v>29</v>
      </c>
      <c r="HY6" s="87" t="s">
        <v>30</v>
      </c>
      <c r="HZ6" s="87" t="s">
        <v>29</v>
      </c>
      <c r="IA6" s="87" t="s">
        <v>30</v>
      </c>
      <c r="IB6" s="87" t="s">
        <v>29</v>
      </c>
      <c r="IC6" s="87" t="s">
        <v>30</v>
      </c>
      <c r="ID6" s="87" t="s">
        <v>29</v>
      </c>
      <c r="IE6" s="87" t="s">
        <v>30</v>
      </c>
      <c r="IF6" s="87" t="s">
        <v>29</v>
      </c>
      <c r="IG6" s="87" t="s">
        <v>30</v>
      </c>
      <c r="IH6" s="91" t="s">
        <v>29</v>
      </c>
      <c r="II6" s="91" t="s">
        <v>30</v>
      </c>
    </row>
    <row r="7" spans="1:246" customFormat="1" ht="15.5">
      <c r="A7" s="634" t="s">
        <v>104</v>
      </c>
      <c r="B7" s="642">
        <f>SUM(B8:B45)</f>
        <v>1442332993.2170777</v>
      </c>
      <c r="C7" s="642">
        <f>SUM(C8:C45)</f>
        <v>21538229550.790459</v>
      </c>
      <c r="D7" s="87">
        <f>SUM(D8:D45)</f>
        <v>47094474</v>
      </c>
      <c r="E7" s="87">
        <f t="shared" ref="E7:Q7" si="0">SUM(E8:E45)</f>
        <v>289366046</v>
      </c>
      <c r="F7" s="87">
        <f t="shared" si="0"/>
        <v>22313374.026231226</v>
      </c>
      <c r="G7" s="87">
        <f t="shared" si="0"/>
        <v>784969009.83353639</v>
      </c>
      <c r="H7" s="87">
        <f t="shared" ref="H7:I7" si="1">SUM(H8:H45)</f>
        <v>0</v>
      </c>
      <c r="I7" s="87">
        <f t="shared" si="1"/>
        <v>0</v>
      </c>
      <c r="J7" s="87">
        <f t="shared" si="0"/>
        <v>27488954.43</v>
      </c>
      <c r="K7" s="87">
        <f t="shared" si="0"/>
        <v>561710851.83910131</v>
      </c>
      <c r="L7" s="87">
        <f t="shared" si="0"/>
        <v>1750200</v>
      </c>
      <c r="M7" s="87">
        <f t="shared" si="0"/>
        <v>41825379</v>
      </c>
      <c r="N7" s="87">
        <f t="shared" si="0"/>
        <v>731767</v>
      </c>
      <c r="O7" s="87">
        <f t="shared" si="0"/>
        <v>13845488</v>
      </c>
      <c r="P7" s="87">
        <f t="shared" si="0"/>
        <v>723224.99</v>
      </c>
      <c r="Q7" s="87">
        <f t="shared" si="0"/>
        <v>17107886</v>
      </c>
      <c r="R7" s="91">
        <f>SUM(R8:R45)</f>
        <v>100101994.44623123</v>
      </c>
      <c r="S7" s="91">
        <f>SUM(S8:S45)</f>
        <v>1708824660.6726377</v>
      </c>
      <c r="T7" s="87">
        <f t="shared" ref="T7" si="2">SUM(T8:T45)</f>
        <v>51144200</v>
      </c>
      <c r="U7" s="87">
        <f t="shared" ref="U7" si="3">SUM(U8:U45)</f>
        <v>312576521</v>
      </c>
      <c r="V7" s="87">
        <f t="shared" ref="V7:X7" si="4">SUM(V8:V45)</f>
        <v>23749563.080495819</v>
      </c>
      <c r="W7" s="87">
        <f t="shared" ref="W7:Y7" si="5">SUM(W8:W45)</f>
        <v>857113910.54299998</v>
      </c>
      <c r="X7" s="87">
        <f t="shared" si="4"/>
        <v>0</v>
      </c>
      <c r="Y7" s="87">
        <f t="shared" si="5"/>
        <v>0</v>
      </c>
      <c r="Z7" s="87">
        <f t="shared" ref="Z7" si="6">SUM(Z8:Z45)</f>
        <v>31413317.579999998</v>
      </c>
      <c r="AA7" s="87">
        <f t="shared" ref="AA7" si="7">SUM(AA8:AA45)</f>
        <v>628965870.5</v>
      </c>
      <c r="AB7" s="87">
        <f t="shared" ref="AB7" si="8">SUM(AB8:AB45)</f>
        <v>1899320</v>
      </c>
      <c r="AC7" s="87">
        <f t="shared" ref="AC7" si="9">SUM(AC8:AC45)</f>
        <v>49842383</v>
      </c>
      <c r="AD7" s="87">
        <f t="shared" ref="AD7" si="10">SUM(AD8:AD45)</f>
        <v>663737</v>
      </c>
      <c r="AE7" s="87">
        <f t="shared" ref="AE7" si="11">SUM(AE8:AE45)</f>
        <v>12434614</v>
      </c>
      <c r="AF7" s="87">
        <f t="shared" ref="AF7" si="12">SUM(AF8:AF45)</f>
        <v>666252.53</v>
      </c>
      <c r="AG7" s="87">
        <f t="shared" ref="AG7:AJ7" si="13">SUM(AG8:AG45)</f>
        <v>15808906</v>
      </c>
      <c r="AH7" s="91">
        <f t="shared" si="13"/>
        <v>109536390.19049582</v>
      </c>
      <c r="AI7" s="91">
        <f t="shared" si="13"/>
        <v>1876742205.043</v>
      </c>
      <c r="AJ7" s="87">
        <f t="shared" si="13"/>
        <v>58230457</v>
      </c>
      <c r="AK7" s="87">
        <f t="shared" ref="AK7" si="14">SUM(AK8:AK45)</f>
        <v>356413341</v>
      </c>
      <c r="AL7" s="87">
        <f t="shared" ref="AL7:AN7" si="15">SUM(AL8:AL45)</f>
        <v>25210445.400495887</v>
      </c>
      <c r="AM7" s="87">
        <f t="shared" ref="AM7:AO7" si="16">SUM(AM8:AM45)</f>
        <v>878063093.01399994</v>
      </c>
      <c r="AN7" s="87">
        <f t="shared" si="15"/>
        <v>0</v>
      </c>
      <c r="AO7" s="87">
        <f t="shared" si="16"/>
        <v>0</v>
      </c>
      <c r="AP7" s="87">
        <f t="shared" ref="AP7" si="17">SUM(AP8:AP45)</f>
        <v>34255334.839999996</v>
      </c>
      <c r="AQ7" s="87">
        <f t="shared" ref="AQ7" si="18">SUM(AQ8:AQ45)</f>
        <v>710045156.67869627</v>
      </c>
      <c r="AR7" s="87">
        <f t="shared" ref="AR7" si="19">SUM(AR8:AR45)</f>
        <v>1594743</v>
      </c>
      <c r="AS7" s="87">
        <f t="shared" ref="AS7" si="20">SUM(AS8:AS45)</f>
        <v>47883623</v>
      </c>
      <c r="AT7" s="87">
        <f t="shared" ref="AT7" si="21">SUM(AT8:AT45)</f>
        <v>556787</v>
      </c>
      <c r="AU7" s="87">
        <f t="shared" ref="AU7" si="22">SUM(AU8:AU45)</f>
        <v>10349559</v>
      </c>
      <c r="AV7" s="87">
        <f t="shared" ref="AV7" si="23">SUM(AV8:AV45)</f>
        <v>626304.81000000006</v>
      </c>
      <c r="AW7" s="87">
        <f t="shared" ref="AW7:AZ7" si="24">SUM(AW8:AW45)</f>
        <v>14942386</v>
      </c>
      <c r="AX7" s="91">
        <f t="shared" si="24"/>
        <v>120474072.05049589</v>
      </c>
      <c r="AY7" s="91">
        <f t="shared" si="24"/>
        <v>2017697158.6926966</v>
      </c>
      <c r="AZ7" s="87">
        <f t="shared" si="24"/>
        <v>55914419</v>
      </c>
      <c r="BA7" s="87">
        <f t="shared" ref="BA7" si="25">SUM(BA8:BA45)</f>
        <v>286962217</v>
      </c>
      <c r="BB7" s="87">
        <f t="shared" ref="BB7:BD7" si="26">SUM(BB8:BB45)</f>
        <v>23327004.750470564</v>
      </c>
      <c r="BC7" s="87">
        <f t="shared" ref="BC7:BE7" si="27">SUM(BC8:BC45)</f>
        <v>823082561.01300001</v>
      </c>
      <c r="BD7" s="87">
        <f t="shared" si="26"/>
        <v>0</v>
      </c>
      <c r="BE7" s="87">
        <f t="shared" si="27"/>
        <v>0</v>
      </c>
      <c r="BF7" s="87">
        <f t="shared" ref="BF7" si="28">SUM(BF8:BF45)</f>
        <v>35644684.939999998</v>
      </c>
      <c r="BG7" s="87">
        <f t="shared" ref="BG7" si="29">SUM(BG8:BG45)</f>
        <v>745560667.5242604</v>
      </c>
      <c r="BH7" s="87">
        <f t="shared" ref="BH7" si="30">SUM(BH8:BH45)</f>
        <v>1851281</v>
      </c>
      <c r="BI7" s="87">
        <f t="shared" ref="BI7" si="31">SUM(BI8:BI45)</f>
        <v>47535205</v>
      </c>
      <c r="BJ7" s="87">
        <f t="shared" ref="BJ7" si="32">SUM(BJ8:BJ45)</f>
        <v>534179</v>
      </c>
      <c r="BK7" s="87">
        <f t="shared" ref="BK7" si="33">SUM(BK8:BK45)</f>
        <v>10110138</v>
      </c>
      <c r="BL7" s="87">
        <f t="shared" ref="BL7" si="34">SUM(BL8:BL45)</f>
        <v>587552.41</v>
      </c>
      <c r="BM7" s="87">
        <f t="shared" ref="BM7:BP7" si="35">SUM(BM8:BM45)</f>
        <v>13994480</v>
      </c>
      <c r="BN7" s="91">
        <f t="shared" si="35"/>
        <v>117859121.10047057</v>
      </c>
      <c r="BO7" s="91">
        <f t="shared" si="35"/>
        <v>1927245268.5372603</v>
      </c>
      <c r="BP7" s="87">
        <f t="shared" si="35"/>
        <v>57079483</v>
      </c>
      <c r="BQ7" s="87">
        <f t="shared" ref="BQ7" si="36">SUM(BQ8:BQ45)</f>
        <v>292211230.5</v>
      </c>
      <c r="BR7" s="87">
        <f t="shared" ref="BR7:BT7" si="37">SUM(BR8:BR45)</f>
        <v>21858863.2757545</v>
      </c>
      <c r="BS7" s="87">
        <f t="shared" ref="BS7:BU7" si="38">SUM(BS8:BS45)</f>
        <v>727993070.98699999</v>
      </c>
      <c r="BT7" s="87">
        <f t="shared" si="37"/>
        <v>0</v>
      </c>
      <c r="BU7" s="87">
        <f t="shared" si="38"/>
        <v>0</v>
      </c>
      <c r="BV7" s="87">
        <f t="shared" ref="BV7" si="39">SUM(BV8:BV45)</f>
        <v>38914071.3025098</v>
      </c>
      <c r="BW7" s="87">
        <f t="shared" ref="BW7" si="40">SUM(BW8:BW45)</f>
        <v>827500799.04899991</v>
      </c>
      <c r="BX7" s="87">
        <f t="shared" ref="BX7" si="41">SUM(BX8:BX45)</f>
        <v>1912668</v>
      </c>
      <c r="BY7" s="87">
        <f t="shared" ref="BY7" si="42">SUM(BY8:BY45)</f>
        <v>46876962</v>
      </c>
      <c r="BZ7" s="87">
        <f t="shared" ref="BZ7" si="43">SUM(BZ8:BZ45)</f>
        <v>515965</v>
      </c>
      <c r="CA7" s="87">
        <f t="shared" ref="CA7" si="44">SUM(CA8:CA45)</f>
        <v>10147465</v>
      </c>
      <c r="CB7" s="87">
        <f t="shared" ref="CB7" si="45">SUM(CB8:CB45)</f>
        <v>496065.05</v>
      </c>
      <c r="CC7" s="87">
        <f t="shared" ref="CC7:CF7" si="46">SUM(CC8:CC45)</f>
        <v>11850317</v>
      </c>
      <c r="CD7" s="91">
        <f t="shared" si="46"/>
        <v>120777115.62826431</v>
      </c>
      <c r="CE7" s="91">
        <f t="shared" si="46"/>
        <v>1916579844.536</v>
      </c>
      <c r="CF7" s="87">
        <f t="shared" si="46"/>
        <v>56556369.690678559</v>
      </c>
      <c r="CG7" s="87">
        <f t="shared" ref="CG7" si="47">SUM(CG8:CG45)</f>
        <v>150483603.4533928</v>
      </c>
      <c r="CH7" s="87">
        <f t="shared" ref="CH7:CJ7" si="48">SUM(CH8:CH45)</f>
        <v>22177339.996724524</v>
      </c>
      <c r="CI7" s="87">
        <f t="shared" ref="CI7:CK7" si="49">SUM(CI8:CI45)</f>
        <v>768538640.57108498</v>
      </c>
      <c r="CJ7" s="87">
        <f t="shared" si="48"/>
        <v>0</v>
      </c>
      <c r="CK7" s="87">
        <f t="shared" si="49"/>
        <v>0</v>
      </c>
      <c r="CL7" s="87">
        <f t="shared" ref="CL7" si="50">SUM(CL8:CL45)</f>
        <v>31587545.890093621</v>
      </c>
      <c r="CM7" s="87">
        <f t="shared" ref="CM7" si="51">SUM(CM8:CM45)</f>
        <v>626408986.29058623</v>
      </c>
      <c r="CN7" s="87">
        <f t="shared" ref="CN7" si="52">SUM(CN8:CN45)</f>
        <v>1128260</v>
      </c>
      <c r="CO7" s="87">
        <f t="shared" ref="CO7" si="53">SUM(CO8:CO45)</f>
        <v>32566555.006000001</v>
      </c>
      <c r="CP7" s="87">
        <f t="shared" ref="CP7" si="54">SUM(CP8:CP45)</f>
        <v>407815</v>
      </c>
      <c r="CQ7" s="87">
        <f t="shared" ref="CQ7" si="55">SUM(CQ8:CQ45)</f>
        <v>7652852</v>
      </c>
      <c r="CR7" s="87">
        <f t="shared" ref="CR7" si="56">SUM(CR8:CR45)</f>
        <v>453378.27</v>
      </c>
      <c r="CS7" s="87">
        <f t="shared" ref="CS7:CV7" si="57">SUM(CS8:CS45)</f>
        <v>10528916</v>
      </c>
      <c r="CT7" s="91">
        <f t="shared" si="57"/>
        <v>112310708.8474967</v>
      </c>
      <c r="CU7" s="91">
        <f t="shared" si="57"/>
        <v>1596179553.321064</v>
      </c>
      <c r="CV7" s="87">
        <f t="shared" si="57"/>
        <v>74919428</v>
      </c>
      <c r="CW7" s="87">
        <f t="shared" ref="CW7" si="58">SUM(CW8:CW45)</f>
        <v>393024063.06099999</v>
      </c>
      <c r="CX7" s="87">
        <f t="shared" ref="CX7" si="59">SUM(CX8:CX45)</f>
        <v>22574998.272451892</v>
      </c>
      <c r="CY7" s="87">
        <f t="shared" ref="CY7" si="60">SUM(CY8:CY45)</f>
        <v>771581120.14113951</v>
      </c>
      <c r="CZ7" s="87">
        <f t="shared" ref="CZ7" si="61">SUM(CZ8:CZ45)</f>
        <v>26576820.169999998</v>
      </c>
      <c r="DA7" s="87">
        <f t="shared" ref="DA7" si="62">SUM(DA8:DA45)</f>
        <v>505989192.97740972</v>
      </c>
      <c r="DB7" s="87">
        <f t="shared" ref="DB7" si="63">SUM(DB8:DB45)</f>
        <v>541163.00036599999</v>
      </c>
      <c r="DC7" s="87">
        <f t="shared" ref="DC7" si="64">SUM(DC8:DC45)</f>
        <v>13642875.009</v>
      </c>
      <c r="DD7" s="87">
        <f t="shared" ref="DD7" si="65">SUM(DD8:DD45)</f>
        <v>296267</v>
      </c>
      <c r="DE7" s="87">
        <f t="shared" ref="DE7" si="66">SUM(DE8:DE45)</f>
        <v>5393649</v>
      </c>
      <c r="DF7" s="87">
        <f t="shared" ref="DF7" si="67">SUM(DF8:DF45)</f>
        <v>197701.01</v>
      </c>
      <c r="DG7" s="87">
        <f t="shared" ref="DG7:DJ7" si="68">SUM(DG8:DG45)</f>
        <v>4510457</v>
      </c>
      <c r="DH7" s="91">
        <f t="shared" si="68"/>
        <v>125106377.45281789</v>
      </c>
      <c r="DI7" s="91">
        <f t="shared" si="68"/>
        <v>1694141357.188549</v>
      </c>
      <c r="DJ7" s="87">
        <f t="shared" si="68"/>
        <v>72360697</v>
      </c>
      <c r="DK7" s="87">
        <f t="shared" ref="DK7" si="69">SUM(DK8:DK45)</f>
        <v>380112488</v>
      </c>
      <c r="DL7" s="87">
        <f t="shared" ref="DL7" si="70">SUM(DL8:DL45)</f>
        <v>25552928.435611267</v>
      </c>
      <c r="DM7" s="87">
        <f t="shared" ref="DM7" si="71">SUM(DM8:DM45)</f>
        <v>838303534.38400006</v>
      </c>
      <c r="DN7" s="87">
        <f t="shared" ref="DN7" si="72">SUM(DN8:DN45)</f>
        <v>26086586.329999998</v>
      </c>
      <c r="DO7" s="87">
        <f t="shared" ref="DO7" si="73">SUM(DO8:DO45)</f>
        <v>485272848.89999998</v>
      </c>
      <c r="DP7" s="87">
        <f t="shared" ref="DP7" si="74">SUM(DP8:DP45)</f>
        <v>717716</v>
      </c>
      <c r="DQ7" s="87">
        <f t="shared" ref="DQ7" si="75">SUM(DQ8:DQ45)</f>
        <v>22833318</v>
      </c>
      <c r="DR7" s="87">
        <f t="shared" ref="DR7" si="76">SUM(DR8:DR45)</f>
        <v>422733</v>
      </c>
      <c r="DS7" s="87">
        <f t="shared" ref="DS7" si="77">SUM(DS8:DS45)</f>
        <v>7668021</v>
      </c>
      <c r="DT7" s="87">
        <f t="shared" ref="DT7" si="78">SUM(DT8:DT45)</f>
        <v>199465.72</v>
      </c>
      <c r="DU7" s="87">
        <f t="shared" ref="DU7:DX7" si="79">SUM(DU8:DU45)</f>
        <v>4670704</v>
      </c>
      <c r="DV7" s="91">
        <f t="shared" si="79"/>
        <v>125340126.48561126</v>
      </c>
      <c r="DW7" s="91">
        <f t="shared" si="79"/>
        <v>1738860914.2839999</v>
      </c>
      <c r="DX7" s="87">
        <f t="shared" si="79"/>
        <v>80512764</v>
      </c>
      <c r="DY7" s="87">
        <f t="shared" ref="DY7" si="80">SUM(DY8:DY45)</f>
        <v>409379150</v>
      </c>
      <c r="DZ7" s="87">
        <f t="shared" ref="DZ7" si="81">SUM(DZ8:DZ45)</f>
        <v>26363971.231384531</v>
      </c>
      <c r="EA7" s="87">
        <f t="shared" ref="EA7" si="82">SUM(EA8:EA45)</f>
        <v>883610906.43199992</v>
      </c>
      <c r="EB7" s="87">
        <f t="shared" ref="EB7" si="83">SUM(EB8:EB45)</f>
        <v>25774869.689999998</v>
      </c>
      <c r="EC7" s="87">
        <f t="shared" ref="EC7" si="84">SUM(EC8:EC45)</f>
        <v>474863907.10000002</v>
      </c>
      <c r="ED7" s="87">
        <f t="shared" ref="ED7" si="85">SUM(ED8:ED45)</f>
        <v>882192</v>
      </c>
      <c r="EE7" s="87">
        <f t="shared" ref="EE7" si="86">SUM(EE8:EE45)</f>
        <v>27833043</v>
      </c>
      <c r="EF7" s="87">
        <f t="shared" ref="EF7" si="87">SUM(EF8:EF45)</f>
        <v>430553</v>
      </c>
      <c r="EG7" s="87">
        <f t="shared" ref="EG7" si="88">SUM(EG8:EG45)</f>
        <v>8025526</v>
      </c>
      <c r="EH7" s="87">
        <f t="shared" ref="EH7" si="89">SUM(EH8:EH45)</f>
        <v>225697.51</v>
      </c>
      <c r="EI7" s="87">
        <f t="shared" ref="EI7:EL7" si="90">SUM(EI8:EI45)</f>
        <v>5108752</v>
      </c>
      <c r="EJ7" s="91">
        <f t="shared" si="90"/>
        <v>134190047.43138453</v>
      </c>
      <c r="EK7" s="91">
        <f t="shared" si="90"/>
        <v>1808821284.5320001</v>
      </c>
      <c r="EL7" s="87">
        <f t="shared" si="90"/>
        <v>69955921.622135684</v>
      </c>
      <c r="EM7" s="87">
        <f t="shared" ref="EM7" si="91">SUM(EM8:EM45)</f>
        <v>355528965.86640704</v>
      </c>
      <c r="EN7" s="87">
        <f t="shared" ref="EN7" si="92">SUM(EN8:EN45)</f>
        <v>22767893.175032474</v>
      </c>
      <c r="EO7" s="87">
        <f t="shared" ref="EO7" si="93">SUM(EO8:EO45)</f>
        <v>730282673.051</v>
      </c>
      <c r="EP7" s="87">
        <f t="shared" ref="EP7" si="94">SUM(EP8:EP45)</f>
        <v>25398837.180829287</v>
      </c>
      <c r="EQ7" s="87">
        <f t="shared" ref="EQ7" si="95">SUM(EQ8:EQ45)</f>
        <v>494780132.43818623</v>
      </c>
      <c r="ER7" s="87">
        <f t="shared" ref="ER7" si="96">SUM(ER8:ER45)</f>
        <v>907891</v>
      </c>
      <c r="ES7" s="87">
        <f t="shared" ref="ES7" si="97">SUM(ES8:ES45)</f>
        <v>25950880</v>
      </c>
      <c r="ET7" s="87">
        <f t="shared" ref="ET7" si="98">SUM(ET8:ET45)</f>
        <v>479421</v>
      </c>
      <c r="EU7" s="87">
        <f t="shared" ref="EU7" si="99">SUM(EU8:EU45)</f>
        <v>8361088</v>
      </c>
      <c r="EV7" s="87">
        <f t="shared" ref="EV7" si="100">SUM(EV8:EV45)</f>
        <v>256445.84</v>
      </c>
      <c r="EW7" s="87">
        <f t="shared" ref="EW7:EZ7" si="101">SUM(EW8:EW45)</f>
        <v>6223475</v>
      </c>
      <c r="EX7" s="91">
        <f t="shared" si="101"/>
        <v>119766409.81799746</v>
      </c>
      <c r="EY7" s="91">
        <f t="shared" si="101"/>
        <v>1621127214.3555932</v>
      </c>
      <c r="EZ7" s="87">
        <f t="shared" si="101"/>
        <v>72316751.0263841</v>
      </c>
      <c r="FA7" s="87">
        <f t="shared" ref="FA7" si="102">SUM(FA8:FA45)</f>
        <v>369769364.1055364</v>
      </c>
      <c r="FB7" s="87">
        <f t="shared" ref="FB7" si="103">SUM(FB8:FB45)</f>
        <v>21933068.294061299</v>
      </c>
      <c r="FC7" s="87">
        <f t="shared" ref="FC7" si="104">SUM(FC8:FC45)</f>
        <v>754933063.41344416</v>
      </c>
      <c r="FD7" s="87">
        <f t="shared" ref="FD7" si="105">SUM(FD8:FD45)</f>
        <v>26013916.399662949</v>
      </c>
      <c r="FE7" s="87">
        <f t="shared" ref="FE7" si="106">SUM(FE8:FE45)</f>
        <v>534297053.46602923</v>
      </c>
      <c r="FF7" s="87">
        <f t="shared" ref="FF7" si="107">SUM(FF8:FF45)</f>
        <v>1138687</v>
      </c>
      <c r="FG7" s="87">
        <f t="shared" ref="FG7" si="108">SUM(FG8:FG45)</f>
        <v>33784911</v>
      </c>
      <c r="FH7" s="87">
        <f t="shared" ref="FH7" si="109">SUM(FH8:FH45)</f>
        <v>882978</v>
      </c>
      <c r="FI7" s="87">
        <f t="shared" ref="FI7" si="110">SUM(FI8:FI45)</f>
        <v>16161046</v>
      </c>
      <c r="FJ7" s="87">
        <f t="shared" ref="FJ7" si="111">SUM(FJ8:FJ45)</f>
        <v>405884.84</v>
      </c>
      <c r="FK7" s="87">
        <f t="shared" ref="FK7:FN7" si="112">SUM(FK8:FK45)</f>
        <v>9651546</v>
      </c>
      <c r="FL7" s="91">
        <f t="shared" si="112"/>
        <v>122691285.56010835</v>
      </c>
      <c r="FM7" s="91">
        <f t="shared" si="112"/>
        <v>1718596983.9850097</v>
      </c>
      <c r="FN7" s="87">
        <f t="shared" si="112"/>
        <v>78330194.586879998</v>
      </c>
      <c r="FO7" s="87">
        <f t="shared" ref="FO7" si="113">SUM(FO8:FO45)</f>
        <v>398214170</v>
      </c>
      <c r="FP7" s="87">
        <f t="shared" ref="FP7" si="114">SUM(FP8:FP45)</f>
        <v>24530181.525502894</v>
      </c>
      <c r="FQ7" s="87">
        <f t="shared" ref="FQ7" si="115">SUM(FQ8:FQ45)</f>
        <v>858931676.13700008</v>
      </c>
      <c r="FR7" s="87">
        <f t="shared" ref="FR7" si="116">SUM(FR8:FR45)</f>
        <v>27508395.213320844</v>
      </c>
      <c r="FS7" s="87">
        <f t="shared" ref="FS7" si="117">SUM(FS8:FS45)</f>
        <v>563617542.50564623</v>
      </c>
      <c r="FT7" s="87">
        <f t="shared" ref="FT7" si="118">SUM(FT8:FT45)</f>
        <v>1992177</v>
      </c>
      <c r="FU7" s="87">
        <f t="shared" ref="FU7" si="119">SUM(FU8:FU45)</f>
        <v>55438939</v>
      </c>
      <c r="FV7" s="87">
        <f t="shared" ref="FV7" si="120">SUM(FV8:FV45)</f>
        <v>1046963</v>
      </c>
      <c r="FW7" s="87">
        <f t="shared" ref="FW7" si="121">SUM(FW8:FW45)</f>
        <v>18929033</v>
      </c>
      <c r="FX7" s="87">
        <f t="shared" ref="FX7" si="122">SUM(FX8:FX45)</f>
        <v>771432.88</v>
      </c>
      <c r="FY7" s="87">
        <f t="shared" ref="FY7:GA7" si="123">SUM(FY8:FY45)</f>
        <v>18281745</v>
      </c>
      <c r="FZ7" s="91">
        <f t="shared" si="123"/>
        <v>134179344.20570374</v>
      </c>
      <c r="GA7" s="91">
        <f t="shared" si="123"/>
        <v>1913413105.6426463</v>
      </c>
      <c r="GC7" s="609">
        <f>SUM(GC8:GC45)</f>
        <v>156469131</v>
      </c>
      <c r="GD7" s="609">
        <f t="shared" ref="GD7:GP7" si="124">SUM(GD8:GD45)</f>
        <v>958355908</v>
      </c>
      <c r="GE7" s="609">
        <f t="shared" si="124"/>
        <v>71273382.507222921</v>
      </c>
      <c r="GF7" s="609">
        <f t="shared" si="124"/>
        <v>2520146013.3905363</v>
      </c>
      <c r="GG7" s="609">
        <f t="shared" si="124"/>
        <v>93157606.850000009</v>
      </c>
      <c r="GH7" s="609">
        <f t="shared" si="124"/>
        <v>1900721879.0177977</v>
      </c>
      <c r="GI7" s="609">
        <f t="shared" si="124"/>
        <v>5244263</v>
      </c>
      <c r="GJ7" s="609">
        <f t="shared" si="124"/>
        <v>139551385</v>
      </c>
      <c r="GK7" s="609">
        <f t="shared" si="124"/>
        <v>1952291</v>
      </c>
      <c r="GL7" s="609">
        <f t="shared" si="124"/>
        <v>36629661</v>
      </c>
      <c r="GM7" s="609">
        <f t="shared" si="124"/>
        <v>2015782.33</v>
      </c>
      <c r="GN7" s="609">
        <f t="shared" si="124"/>
        <v>47859178</v>
      </c>
      <c r="GO7" s="640">
        <f t="shared" si="124"/>
        <v>330112456.6872229</v>
      </c>
      <c r="GP7" s="640">
        <f t="shared" si="124"/>
        <v>5603264024.4083328</v>
      </c>
      <c r="GR7" s="609">
        <f>SUM(GR8:GR45)</f>
        <v>169550271.69067857</v>
      </c>
      <c r="GS7" s="609">
        <f t="shared" ref="GS7" si="125">SUM(GS8:GS45)</f>
        <v>729657050.95339274</v>
      </c>
      <c r="GT7" s="609">
        <f t="shared" ref="GT7" si="126">SUM(GT8:GT45)</f>
        <v>67363208.022949576</v>
      </c>
      <c r="GU7" s="609">
        <f t="shared" ref="GU7" si="127">SUM(GU8:GU45)</f>
        <v>2319614272.571085</v>
      </c>
      <c r="GV7" s="609">
        <f t="shared" ref="GV7" si="128">SUM(GV8:GV45)</f>
        <v>106146302.13260342</v>
      </c>
      <c r="GW7" s="609">
        <f t="shared" ref="GW7" si="129">SUM(GW8:GW45)</f>
        <v>2199470452.8638468</v>
      </c>
      <c r="GX7" s="609">
        <f t="shared" ref="GX7" si="130">SUM(GX8:GX45)</f>
        <v>4892209</v>
      </c>
      <c r="GY7" s="609">
        <f t="shared" ref="GY7" si="131">SUM(GY8:GY45)</f>
        <v>126978722.006</v>
      </c>
      <c r="GZ7" s="609">
        <f t="shared" ref="GZ7" si="132">SUM(GZ8:GZ45)</f>
        <v>1457959</v>
      </c>
      <c r="HA7" s="609">
        <f t="shared" ref="HA7" si="133">SUM(HA8:HA45)</f>
        <v>27910455</v>
      </c>
      <c r="HB7" s="609">
        <f t="shared" ref="HB7" si="134">SUM(HB8:HB45)</f>
        <v>1536995.73</v>
      </c>
      <c r="HC7" s="609">
        <f t="shared" ref="HC7" si="135">SUM(HC8:HC45)</f>
        <v>36373713</v>
      </c>
      <c r="HD7" s="640">
        <f t="shared" ref="HD7" si="136">SUM(HD8:HD45)</f>
        <v>350946945.5762316</v>
      </c>
      <c r="HE7" s="640">
        <f t="shared" ref="HE7" si="137">SUM(HE8:HE45)</f>
        <v>5440004666.3943243</v>
      </c>
      <c r="HG7" s="609">
        <f>SUM(HG8:HG45)</f>
        <v>227792889</v>
      </c>
      <c r="HH7" s="609">
        <f t="shared" ref="HH7" si="138">SUM(HH8:HH45)</f>
        <v>1182515701.0610001</v>
      </c>
      <c r="HI7" s="609">
        <f t="shared" ref="HI7" si="139">SUM(HI8:HI45)</f>
        <v>74491897.939447686</v>
      </c>
      <c r="HJ7" s="609">
        <f t="shared" ref="HJ7" si="140">SUM(HJ8:HJ45)</f>
        <v>2493495560.9571395</v>
      </c>
      <c r="HK7" s="609">
        <f t="shared" ref="HK7" si="141">SUM(HK8:HK45)</f>
        <v>78438276.189999998</v>
      </c>
      <c r="HL7" s="609">
        <f t="shared" ref="HL7" si="142">SUM(HL8:HL45)</f>
        <v>1466125948.9774098</v>
      </c>
      <c r="HM7" s="609">
        <f t="shared" ref="HM7" si="143">SUM(HM8:HM45)</f>
        <v>2141071.000366</v>
      </c>
      <c r="HN7" s="609">
        <f t="shared" ref="HN7" si="144">SUM(HN8:HN45)</f>
        <v>64309236.009000003</v>
      </c>
      <c r="HO7" s="609">
        <f t="shared" ref="HO7" si="145">SUM(HO8:HO45)</f>
        <v>1149553</v>
      </c>
      <c r="HP7" s="609">
        <f t="shared" ref="HP7" si="146">SUM(HP8:HP45)</f>
        <v>21087196</v>
      </c>
      <c r="HQ7" s="609">
        <f t="shared" ref="HQ7" si="147">SUM(HQ8:HQ45)</f>
        <v>622864.24</v>
      </c>
      <c r="HR7" s="609">
        <f t="shared" ref="HR7" si="148">SUM(HR8:HR45)</f>
        <v>14289913</v>
      </c>
      <c r="HS7" s="640">
        <f t="shared" ref="HS7" si="149">SUM(HS8:HS45)</f>
        <v>384636551.36981368</v>
      </c>
      <c r="HT7" s="640">
        <f t="shared" ref="HT7" si="150">SUM(HT8:HT45)</f>
        <v>5241823556.004549</v>
      </c>
      <c r="HV7" s="609">
        <f>SUM(HV8:HV45)</f>
        <v>220602867.23539978</v>
      </c>
      <c r="HW7" s="609">
        <f t="shared" ref="HW7" si="151">SUM(HW8:HW45)</f>
        <v>1123512499.9719434</v>
      </c>
      <c r="HX7" s="609">
        <f t="shared" ref="HX7" si="152">SUM(HX8:HX45)</f>
        <v>69231142.99459666</v>
      </c>
      <c r="HY7" s="609">
        <f t="shared" ref="HY7" si="153">SUM(HY8:HY45)</f>
        <v>2344147412.6014442</v>
      </c>
      <c r="HZ7" s="609">
        <f t="shared" ref="HZ7" si="154">SUM(HZ8:HZ45)</f>
        <v>78921148.79381308</v>
      </c>
      <c r="IA7" s="609">
        <f t="shared" ref="IA7" si="155">SUM(IA8:IA45)</f>
        <v>1592694728.4098616</v>
      </c>
      <c r="IB7" s="609">
        <f t="shared" ref="IB7" si="156">SUM(IB8:IB45)</f>
        <v>4038755</v>
      </c>
      <c r="IC7" s="609">
        <f t="shared" ref="IC7" si="157">SUM(IC8:IC45)</f>
        <v>115174730</v>
      </c>
      <c r="ID7" s="609">
        <f t="shared" ref="ID7" si="158">SUM(ID8:ID45)</f>
        <v>2409362</v>
      </c>
      <c r="IE7" s="609">
        <f t="shared" ref="IE7" si="159">SUM(IE8:IE45)</f>
        <v>43451167</v>
      </c>
      <c r="IF7" s="609">
        <f t="shared" ref="IF7" si="160">SUM(IF8:IF45)</f>
        <v>1433763.56</v>
      </c>
      <c r="IG7" s="609">
        <f t="shared" ref="IG7" si="161">SUM(IG8:IG45)</f>
        <v>34156766</v>
      </c>
      <c r="IH7" s="640">
        <f t="shared" ref="IH7" si="162">SUM(IH8:IH45)</f>
        <v>376637039.58380955</v>
      </c>
      <c r="II7" s="640">
        <f t="shared" ref="II7" si="163">SUM(II8:II45)</f>
        <v>5253137303.9832497</v>
      </c>
      <c r="IK7" s="609"/>
      <c r="IL7" s="609"/>
    </row>
    <row r="8" spans="1:246">
      <c r="A8" s="484" t="s">
        <v>137</v>
      </c>
      <c r="B8" s="484">
        <f>SUMIF($D$5:$GA$5,$B$5,D8:GA8)</f>
        <v>15081607</v>
      </c>
      <c r="C8" s="484">
        <f>SUMIF($D$5:$GA$5,$C$5,D8:GA8)</f>
        <v>549747423.60000002</v>
      </c>
      <c r="D8" s="87">
        <f>'P &amp; NP'!C13</f>
        <v>0</v>
      </c>
      <c r="E8" s="87">
        <f>'P &amp; NP'!D13</f>
        <v>0</v>
      </c>
      <c r="F8" s="87">
        <f>'P &amp; NP'!E13</f>
        <v>1499605</v>
      </c>
      <c r="G8" s="87">
        <f>'P &amp; NP'!F13</f>
        <v>51715632.052000001</v>
      </c>
      <c r="H8" s="87">
        <f>'P &amp; NP'!G13</f>
        <v>0</v>
      </c>
      <c r="I8" s="87">
        <f>'P &amp; NP'!H13</f>
        <v>0</v>
      </c>
      <c r="J8" s="87">
        <f>'P &amp; NP'!I13</f>
        <v>105800</v>
      </c>
      <c r="K8" s="87">
        <f>'P &amp; NP'!J13</f>
        <v>2377400</v>
      </c>
      <c r="L8" s="87">
        <f>'P &amp; NP'!K13</f>
        <v>0</v>
      </c>
      <c r="M8" s="87">
        <f>'P &amp; NP'!L13</f>
        <v>0</v>
      </c>
      <c r="N8" s="87">
        <f>'P &amp; NP'!M13</f>
        <v>300</v>
      </c>
      <c r="O8" s="87">
        <f>'P &amp; NP'!N13</f>
        <v>6000</v>
      </c>
      <c r="P8" s="87">
        <f>'P &amp; NP'!O13</f>
        <v>0</v>
      </c>
      <c r="Q8" s="87">
        <f>'P &amp; NP'!P13</f>
        <v>0</v>
      </c>
      <c r="R8" s="92">
        <f>SUM(D8,F8,J8,L8,N8,P8)</f>
        <v>1605705</v>
      </c>
      <c r="S8" s="92">
        <f>SUM(E8,G8,K8,M8,O8,Q8)</f>
        <v>54099032.052000001</v>
      </c>
      <c r="T8" s="87">
        <f>'P &amp; NP'!C51</f>
        <v>0</v>
      </c>
      <c r="U8" s="87">
        <f>'P &amp; NP'!D51</f>
        <v>0</v>
      </c>
      <c r="V8" s="87">
        <f>'P &amp; NP'!E51</f>
        <v>1519847</v>
      </c>
      <c r="W8" s="87">
        <f>'P &amp; NP'!F51</f>
        <v>49728961.527000003</v>
      </c>
      <c r="X8" s="87">
        <f>'P &amp; NP'!G51</f>
        <v>0</v>
      </c>
      <c r="Y8" s="87">
        <f>'P &amp; NP'!H51</f>
        <v>0</v>
      </c>
      <c r="Z8" s="87">
        <f>'P &amp; NP'!I51</f>
        <v>114350</v>
      </c>
      <c r="AA8" s="87">
        <f>'P &amp; NP'!J51</f>
        <v>2569250</v>
      </c>
      <c r="AB8" s="87">
        <f>'P &amp; NP'!K51</f>
        <v>0</v>
      </c>
      <c r="AC8" s="87">
        <f>'P &amp; NP'!L51</f>
        <v>0</v>
      </c>
      <c r="AD8" s="87">
        <f>'P &amp; NP'!M51</f>
        <v>400</v>
      </c>
      <c r="AE8" s="87">
        <f>'P &amp; NP'!N51</f>
        <v>8000</v>
      </c>
      <c r="AF8" s="87">
        <f>'P &amp; NP'!O51</f>
        <v>0</v>
      </c>
      <c r="AG8" s="87">
        <f>'P &amp; NP'!P51</f>
        <v>0</v>
      </c>
      <c r="AH8" s="92">
        <f>SUM(T8,V8,Z8,AB8,AD8,AF8)</f>
        <v>1634597</v>
      </c>
      <c r="AI8" s="92">
        <f>SUM(U8,W8,AA8,AC8,AE8,AG8)</f>
        <v>52306211.527000003</v>
      </c>
      <c r="AJ8" s="87">
        <f>'P &amp; NP'!C89</f>
        <v>0</v>
      </c>
      <c r="AK8" s="87">
        <f>'P &amp; NP'!D89</f>
        <v>0</v>
      </c>
      <c r="AL8" s="87">
        <f>'P &amp; NP'!E89</f>
        <v>1596050</v>
      </c>
      <c r="AM8" s="87">
        <f>'P &amp; NP'!F89</f>
        <v>52101740</v>
      </c>
      <c r="AN8" s="87">
        <f>'P &amp; NP'!G89</f>
        <v>0</v>
      </c>
      <c r="AO8" s="87">
        <f>'P &amp; NP'!H89</f>
        <v>0</v>
      </c>
      <c r="AP8" s="87">
        <f>'P &amp; NP'!I89</f>
        <v>118600</v>
      </c>
      <c r="AQ8" s="87">
        <f>'P &amp; NP'!J89</f>
        <v>2665300</v>
      </c>
      <c r="AR8" s="87">
        <f>'P &amp; NP'!K89</f>
        <v>0</v>
      </c>
      <c r="AS8" s="87">
        <f>'P &amp; NP'!L89</f>
        <v>0</v>
      </c>
      <c r="AT8" s="87">
        <f>'P &amp; NP'!M89</f>
        <v>600</v>
      </c>
      <c r="AU8" s="87">
        <f>'P &amp; NP'!N89</f>
        <v>12000</v>
      </c>
      <c r="AV8" s="87">
        <f>'P &amp; NP'!O89</f>
        <v>0</v>
      </c>
      <c r="AW8" s="87">
        <f>'P &amp; NP'!P89</f>
        <v>0</v>
      </c>
      <c r="AX8" s="92">
        <f>SUM(AJ8,AL8,AP8,AR8,AT8,AV8)</f>
        <v>1715250</v>
      </c>
      <c r="AY8" s="92">
        <f>SUM(AK8,AM8,AQ8,AS8,AU8,AW8)</f>
        <v>54779040</v>
      </c>
      <c r="AZ8" s="87">
        <f>'P &amp; NP'!C127</f>
        <v>0</v>
      </c>
      <c r="BA8" s="87">
        <f>'P &amp; NP'!D127</f>
        <v>0</v>
      </c>
      <c r="BB8" s="87">
        <f>'P &amp; NP'!E127</f>
        <v>685250</v>
      </c>
      <c r="BC8" s="87">
        <f>'P &amp; NP'!F127</f>
        <v>22405000</v>
      </c>
      <c r="BD8" s="87">
        <f>'P &amp; NP'!G127</f>
        <v>0</v>
      </c>
      <c r="BE8" s="87">
        <f>'P &amp; NP'!H127</f>
        <v>0</v>
      </c>
      <c r="BF8" s="87">
        <f>'P &amp; NP'!I127</f>
        <v>50750</v>
      </c>
      <c r="BG8" s="87">
        <f>'P &amp; NP'!J127</f>
        <v>1140550</v>
      </c>
      <c r="BH8" s="87">
        <f>'P &amp; NP'!K127</f>
        <v>0</v>
      </c>
      <c r="BI8" s="87">
        <f>'P &amp; NP'!L127</f>
        <v>0</v>
      </c>
      <c r="BJ8" s="87">
        <f>'P &amp; NP'!M127</f>
        <v>500</v>
      </c>
      <c r="BK8" s="87">
        <f>'P &amp; NP'!N127</f>
        <v>10000</v>
      </c>
      <c r="BL8" s="87">
        <f>'P &amp; NP'!O127</f>
        <v>0</v>
      </c>
      <c r="BM8" s="87">
        <f>'P &amp; NP'!P127</f>
        <v>0</v>
      </c>
      <c r="BN8" s="92">
        <f>SUM(AZ8,BB8,BF8,BH8,BJ8,BL8)</f>
        <v>736500</v>
      </c>
      <c r="BO8" s="92">
        <f>SUM(BA8,BC8,BG8,BI8,BK8,BM8)</f>
        <v>23555550</v>
      </c>
      <c r="BP8" s="87">
        <f>'P &amp; NP'!C165</f>
        <v>0</v>
      </c>
      <c r="BQ8" s="87">
        <f>'P &amp; NP'!D165</f>
        <v>0</v>
      </c>
      <c r="BR8" s="87">
        <f>'P &amp; NP'!E165</f>
        <v>620085</v>
      </c>
      <c r="BS8" s="87">
        <f>'P &amp; NP'!F165</f>
        <v>20050910</v>
      </c>
      <c r="BT8" s="87">
        <f>'P &amp; NP'!G165</f>
        <v>0</v>
      </c>
      <c r="BU8" s="87">
        <f>'P &amp; NP'!H165</f>
        <v>0</v>
      </c>
      <c r="BV8" s="87">
        <f>'P &amp; NP'!I165</f>
        <v>46500</v>
      </c>
      <c r="BW8" s="87">
        <f>'P &amp; NP'!J165</f>
        <v>1044500</v>
      </c>
      <c r="BX8" s="87">
        <f>'P &amp; NP'!K165</f>
        <v>0</v>
      </c>
      <c r="BY8" s="87">
        <f>'P &amp; NP'!L165</f>
        <v>0</v>
      </c>
      <c r="BZ8" s="87">
        <f>'P &amp; NP'!M165</f>
        <v>200</v>
      </c>
      <c r="CA8" s="87">
        <f>'P &amp; NP'!N165</f>
        <v>4000</v>
      </c>
      <c r="CB8" s="87">
        <f>'P &amp; NP'!O165</f>
        <v>0</v>
      </c>
      <c r="CC8" s="87">
        <f>'P &amp; NP'!P165</f>
        <v>0</v>
      </c>
      <c r="CD8" s="92">
        <f>SUM(BP8,BR8,BV8,BX8,BZ8,CB8)</f>
        <v>666785</v>
      </c>
      <c r="CE8" s="92">
        <f>SUM(BQ8,BS8,BW8,BY8,CA8,CC8)</f>
        <v>21099410</v>
      </c>
      <c r="CF8" s="87">
        <f>'P &amp; NP'!C203</f>
        <v>0</v>
      </c>
      <c r="CG8" s="87">
        <f>'P &amp; NP'!D203</f>
        <v>0</v>
      </c>
      <c r="CH8" s="87">
        <f>'P &amp; NP'!E203</f>
        <v>590600</v>
      </c>
      <c r="CI8" s="87">
        <f>'P &amp; NP'!F203</f>
        <v>20069144.509</v>
      </c>
      <c r="CJ8" s="87">
        <f>'P &amp; NP'!G203</f>
        <v>0</v>
      </c>
      <c r="CK8" s="87">
        <f>'P &amp; NP'!H203</f>
        <v>0</v>
      </c>
      <c r="CL8" s="87">
        <f>'P &amp; NP'!I203</f>
        <v>42300</v>
      </c>
      <c r="CM8" s="87">
        <f>'P &amp; NP'!J203</f>
        <v>950200</v>
      </c>
      <c r="CN8" s="87">
        <f>'P &amp; NP'!K203</f>
        <v>0</v>
      </c>
      <c r="CO8" s="87">
        <f>'P &amp; NP'!L203</f>
        <v>0</v>
      </c>
      <c r="CP8" s="87">
        <f>'P &amp; NP'!M203</f>
        <v>100</v>
      </c>
      <c r="CQ8" s="87">
        <f>'P &amp; NP'!N203</f>
        <v>2000</v>
      </c>
      <c r="CR8" s="87">
        <f>'P &amp; NP'!O203</f>
        <v>0</v>
      </c>
      <c r="CS8" s="87">
        <f>'P &amp; NP'!P203</f>
        <v>0</v>
      </c>
      <c r="CT8" s="92">
        <f>SUM(CF8,CH8,CL8,CN8,CP8,CR8)</f>
        <v>633000</v>
      </c>
      <c r="CU8" s="92">
        <f>SUM(CG8,CI8,CM8,CO8,CQ8,CS8)</f>
        <v>21021344.509</v>
      </c>
      <c r="CV8" s="87">
        <f>'P &amp; NP'!C241</f>
        <v>0</v>
      </c>
      <c r="CW8" s="87">
        <f>'P &amp; NP'!D241</f>
        <v>0</v>
      </c>
      <c r="CX8" s="87">
        <f>'P &amp; NP'!E241</f>
        <v>553320</v>
      </c>
      <c r="CY8" s="87">
        <f>'P &amp; NP'!F241</f>
        <v>18713745.511999998</v>
      </c>
      <c r="CZ8" s="87">
        <f>'P &amp; NP'!I241</f>
        <v>59300</v>
      </c>
      <c r="DA8" s="87">
        <f>'P &amp; NP'!J241</f>
        <v>1332400</v>
      </c>
      <c r="DB8" s="87">
        <f>'P &amp; NP'!K241</f>
        <v>0</v>
      </c>
      <c r="DC8" s="87">
        <f>'P &amp; NP'!L241</f>
        <v>0</v>
      </c>
      <c r="DD8" s="87">
        <f>'P &amp; NP'!M241</f>
        <v>200</v>
      </c>
      <c r="DE8" s="87">
        <f>'P &amp; NP'!N241</f>
        <v>4000</v>
      </c>
      <c r="DF8" s="87">
        <f>'P &amp; NP'!O241</f>
        <v>0</v>
      </c>
      <c r="DG8" s="87">
        <f>'P &amp; NP'!P241</f>
        <v>0</v>
      </c>
      <c r="DH8" s="87">
        <f>SUM(CV8,CX8,CZ8,DB8,DD8,DF8)</f>
        <v>612820</v>
      </c>
      <c r="DI8" s="87">
        <f>SUM(CW8,CY8,DA8,DC8,DE8,DG8)</f>
        <v>20050145.511999998</v>
      </c>
      <c r="DJ8" s="92">
        <f>'P &amp; NP'!C279</f>
        <v>0</v>
      </c>
      <c r="DK8" s="92">
        <f>'P &amp; NP'!D279</f>
        <v>0</v>
      </c>
      <c r="DL8" s="87">
        <f>'P &amp; NP'!E279</f>
        <v>548500</v>
      </c>
      <c r="DM8" s="87">
        <f>'P &amp; NP'!F279</f>
        <v>19466200</v>
      </c>
      <c r="DN8" s="87">
        <f>'P &amp; NP'!I279</f>
        <v>45200</v>
      </c>
      <c r="DO8" s="87">
        <f>'P &amp; NP'!J279</f>
        <v>1035900</v>
      </c>
      <c r="DP8" s="87">
        <f>'P &amp; NP'!K279</f>
        <v>0</v>
      </c>
      <c r="DQ8" s="87">
        <f>'P &amp; NP'!L279</f>
        <v>0</v>
      </c>
      <c r="DR8" s="87">
        <f>'P &amp; NP'!M279</f>
        <v>300</v>
      </c>
      <c r="DS8" s="87">
        <f>'P &amp; NP'!N279</f>
        <v>6000</v>
      </c>
      <c r="DT8" s="87">
        <f>'P &amp; NP'!O279</f>
        <v>0</v>
      </c>
      <c r="DU8" s="87">
        <f>'P &amp; NP'!P279</f>
        <v>0</v>
      </c>
      <c r="DV8" s="87">
        <f>SUM(DJ8,DL8,DN8,DP8,DR8,DT8)</f>
        <v>594000</v>
      </c>
      <c r="DW8" s="87">
        <f>SUM(DK8,DM8,DO8,DQ8,DS8,DU8)</f>
        <v>20508100</v>
      </c>
      <c r="DX8" s="87">
        <f>'P &amp; NP'!C317</f>
        <v>0</v>
      </c>
      <c r="DY8" s="87">
        <f>'P &amp; NP'!D317</f>
        <v>0</v>
      </c>
      <c r="DZ8" s="92">
        <f>'P &amp; NP'!E317</f>
        <v>515900</v>
      </c>
      <c r="EA8" s="92">
        <f>'P &amp; NP'!F317</f>
        <v>18494340</v>
      </c>
      <c r="EB8" s="87">
        <f>'P &amp; NP'!I317</f>
        <v>33850</v>
      </c>
      <c r="EC8" s="87">
        <f>'P &amp; NP'!J317</f>
        <v>760350</v>
      </c>
      <c r="ED8" s="87">
        <f>'P &amp; NP'!K317</f>
        <v>0</v>
      </c>
      <c r="EE8" s="87">
        <f>'P &amp; NP'!L317</f>
        <v>0</v>
      </c>
      <c r="EF8" s="87">
        <f>'P &amp; NP'!M317</f>
        <v>200</v>
      </c>
      <c r="EG8" s="87">
        <f>'P &amp; NP'!N317</f>
        <v>4000</v>
      </c>
      <c r="EH8" s="87">
        <f>'P &amp; NP'!O317</f>
        <v>0</v>
      </c>
      <c r="EI8" s="87">
        <f>'P &amp; NP'!P317</f>
        <v>0</v>
      </c>
      <c r="EJ8" s="87">
        <f>SUM(DX8,DZ8,EB8,ED8,EF8,EH8)</f>
        <v>549950</v>
      </c>
      <c r="EK8" s="87">
        <f>SUM(DY8,EA8,EC8,EE8,EG8,EI8)</f>
        <v>19258690</v>
      </c>
      <c r="EL8" s="87">
        <f>'P &amp; NP'!C355</f>
        <v>0</v>
      </c>
      <c r="EM8" s="87">
        <f>'P &amp; NP'!D355</f>
        <v>0</v>
      </c>
      <c r="EN8" s="87">
        <f>'P &amp; NP'!E355</f>
        <v>1337700</v>
      </c>
      <c r="EO8" s="87">
        <f>'P &amp; NP'!F355</f>
        <v>45079460</v>
      </c>
      <c r="EP8" s="92">
        <f>'P &amp; NP'!I355</f>
        <v>76300</v>
      </c>
      <c r="EQ8" s="92">
        <f>'P &amp; NP'!J355</f>
        <v>1715400</v>
      </c>
      <c r="ER8" s="87">
        <f>'P &amp; NP'!K355</f>
        <v>0</v>
      </c>
      <c r="ES8" s="87">
        <f>'P &amp; NP'!L355</f>
        <v>0</v>
      </c>
      <c r="ET8" s="87">
        <f>'P &amp; NP'!M355</f>
        <v>400</v>
      </c>
      <c r="EU8" s="87">
        <f>'P &amp; NP'!N355</f>
        <v>8000</v>
      </c>
      <c r="EV8" s="87">
        <f>'P &amp; NP'!O355</f>
        <v>0</v>
      </c>
      <c r="EW8" s="87">
        <f>'P &amp; NP'!P355</f>
        <v>0</v>
      </c>
      <c r="EX8" s="87">
        <f>SUM(EL8,EN8,EP8,ER8,ET8,EV8)</f>
        <v>1414400</v>
      </c>
      <c r="EY8" s="87">
        <f>SUM(EM8,EO8,EQ8,ES8,EU8,EW8)</f>
        <v>46802860</v>
      </c>
      <c r="EZ8" s="87">
        <f>'P &amp; NP'!C393</f>
        <v>0</v>
      </c>
      <c r="FA8" s="87">
        <f>'P &amp; NP'!D393</f>
        <v>0</v>
      </c>
      <c r="FB8" s="87">
        <f>'P &amp; NP'!E393</f>
        <v>1870400</v>
      </c>
      <c r="FC8" s="87">
        <f>'P &amp; NP'!F393</f>
        <v>77566000</v>
      </c>
      <c r="FD8" s="87">
        <f>'P &amp; NP'!I393</f>
        <v>67700</v>
      </c>
      <c r="FE8" s="87">
        <f>'P &amp; NP'!J393</f>
        <v>1521500</v>
      </c>
      <c r="FF8" s="92">
        <f>'P &amp; NP'!K393</f>
        <v>0</v>
      </c>
      <c r="FG8" s="92">
        <f>'P &amp; NP'!L393</f>
        <v>0</v>
      </c>
      <c r="FH8" s="87">
        <f>'P &amp; NP'!M393</f>
        <v>600</v>
      </c>
      <c r="FI8" s="87">
        <f>'P &amp; NP'!N393</f>
        <v>12000</v>
      </c>
      <c r="FJ8" s="87">
        <f>'P &amp; NP'!O393</f>
        <v>0</v>
      </c>
      <c r="FK8" s="87">
        <f>'P &amp; NP'!P393</f>
        <v>0</v>
      </c>
      <c r="FL8" s="87">
        <f>SUM(EZ8,FB8,FD8,FF8,FH8,FJ8)</f>
        <v>1938700</v>
      </c>
      <c r="FM8" s="87">
        <f>SUM(FA8,FC8,FE8,FG8,FI8,FK8)</f>
        <v>79099500</v>
      </c>
      <c r="FN8" s="87">
        <f>'P &amp; NP'!C431</f>
        <v>0</v>
      </c>
      <c r="FO8" s="87">
        <f>'P &amp; NP'!D431</f>
        <v>0</v>
      </c>
      <c r="FP8" s="87">
        <f>'P &amp; NP'!E431</f>
        <v>2886000</v>
      </c>
      <c r="FQ8" s="87">
        <f>'P &amp; NP'!F431</f>
        <v>135059540</v>
      </c>
      <c r="FR8" s="87">
        <f>'P &amp; NP'!I431</f>
        <v>93100</v>
      </c>
      <c r="FS8" s="87">
        <f>'P &amp; NP'!J431</f>
        <v>2092000</v>
      </c>
      <c r="FT8" s="87">
        <f>'P &amp; NP'!K431</f>
        <v>0</v>
      </c>
      <c r="FU8" s="87">
        <f>'P &amp; NP'!L431</f>
        <v>0</v>
      </c>
      <c r="FV8" s="92">
        <f>'P &amp; NP'!M431</f>
        <v>800</v>
      </c>
      <c r="FW8" s="92">
        <f>'P &amp; NP'!N431</f>
        <v>16000</v>
      </c>
      <c r="FX8" s="87">
        <f>'P &amp; NP'!O431</f>
        <v>0</v>
      </c>
      <c r="FY8" s="87">
        <f>'P &amp; NP'!P431</f>
        <v>0</v>
      </c>
      <c r="FZ8" s="87">
        <f>SUM(FN8,FP8,FR8,FT8,FV8,FX8)</f>
        <v>2979900</v>
      </c>
      <c r="GA8" s="87">
        <f>SUM(FO8,FQ8,FS8,FU8,FW8,FY8)</f>
        <v>137167540</v>
      </c>
      <c r="GC8" s="609">
        <f t="shared" ref="GC8:GC45" si="164">SUMIF($D$46:$AY$46,$GC$5,D8:AY8)</f>
        <v>0</v>
      </c>
      <c r="GD8" s="609">
        <f t="shared" ref="GD8:GD45" si="165">SUMIF($D$46:$AY$46,$GD$5,D8:AY8)</f>
        <v>0</v>
      </c>
      <c r="GE8" s="609">
        <f t="shared" ref="GE8:GE45" si="166">SUMIF($D$46:$AY$46,$GE$5,D8:AY8)</f>
        <v>4615502</v>
      </c>
      <c r="GF8" s="609">
        <f t="shared" ref="GF8:GF45" si="167">SUMIF($D$46:$AY$46,$GF$5,D8:AY8)</f>
        <v>153546333.579</v>
      </c>
      <c r="GG8" s="609">
        <f t="shared" ref="GG8:GG45" si="168">SUMIF($D$46:$AY$46,$GG$5,D8:AY8)</f>
        <v>338750</v>
      </c>
      <c r="GH8" s="609">
        <f t="shared" ref="GH8:GH45" si="169">SUMIF($D$46:$AY$46,$GH$5,D8:AY8)</f>
        <v>7611950</v>
      </c>
      <c r="GI8" s="609">
        <f t="shared" ref="GI8:GI45" si="170">SUMIF($D$46:$AY$46,$GI$5,D8:AY8)</f>
        <v>0</v>
      </c>
      <c r="GJ8" s="609">
        <f t="shared" ref="GJ8:GJ45" si="171">SUMIF($D$46:$AY$46,$GJ$5,D8:AY8)</f>
        <v>0</v>
      </c>
      <c r="GK8" s="609">
        <f t="shared" ref="GK8:GK45" si="172">SUMIF($D$46:$AY$46,$GK$5,D8:AY8)</f>
        <v>1300</v>
      </c>
      <c r="GL8" s="609">
        <f t="shared" ref="GL8:GL45" si="173">SUMIF($D$46:$AY$46,$GL$5,D8:AY8)</f>
        <v>26000</v>
      </c>
      <c r="GM8" s="609">
        <f t="shared" ref="GM8:GM45" si="174">SUMIF($D$46:$AY$46,$GM$5,D8:AY8)</f>
        <v>0</v>
      </c>
      <c r="GN8" s="609">
        <f t="shared" ref="GN8:GN45" si="175">SUMIF($D$46:$AY$46,$GN$5,D8:AY8)</f>
        <v>0</v>
      </c>
      <c r="GO8" s="640">
        <f>SUM(GC8,GE8,GG8,GI8,GK8,GM8)</f>
        <v>4955552</v>
      </c>
      <c r="GP8" s="640">
        <f>SUM(GD8,GF8,GH8,GJ8,GL8,GN8)</f>
        <v>161184283.579</v>
      </c>
      <c r="GR8" s="609">
        <f t="shared" ref="GR8:GR45" si="176">SUMIF($AZ$46:$CU$46,$GR$5,AZ8:CU8)</f>
        <v>0</v>
      </c>
      <c r="GS8" s="609">
        <f t="shared" ref="GS8:GS45" si="177">SUMIF($AZ$46:$CU$46,$GS$5,AZ8:CU8)</f>
        <v>0</v>
      </c>
      <c r="GT8" s="609">
        <f t="shared" ref="GT8:GT45" si="178">SUMIF($AZ$46:$CU$46,$GT$5,AZ8:CU8)</f>
        <v>1895935</v>
      </c>
      <c r="GU8" s="609">
        <f t="shared" ref="GU8:GU45" si="179">SUMIF($AZ$46:$CU$46,$GU$5,AZ8:CU8)</f>
        <v>62525054.509000003</v>
      </c>
      <c r="GV8" s="609">
        <f t="shared" ref="GV8:GV45" si="180">SUMIF($AZ$46:$CU$46,$GV$5,AZ8:CU8)</f>
        <v>139550</v>
      </c>
      <c r="GW8" s="609">
        <f t="shared" ref="GW8:GW45" si="181">SUMIF($AZ$46:$CU$46,$GW$5,AZ8:CU8)</f>
        <v>3135250</v>
      </c>
      <c r="GX8" s="609">
        <f t="shared" ref="GX8:GX45" si="182">SUMIF($AZ$46:$CU$46,$GX$5,AZ8:CU8)</f>
        <v>0</v>
      </c>
      <c r="GY8" s="609">
        <f t="shared" ref="GY8:GY45" si="183">SUMIF($AZ$46:$CU$46,$GY$5,AZ8:CU8)</f>
        <v>0</v>
      </c>
      <c r="GZ8" s="609">
        <f t="shared" ref="GZ8:GZ45" si="184">SUMIF($AZ$46:$CU$46,$GZ$5,AZ8:CU8)</f>
        <v>800</v>
      </c>
      <c r="HA8" s="609">
        <f t="shared" ref="HA8:HA45" si="185">SUMIF($AZ$46:$CU$46,$HA$5,AZ8:CU8)</f>
        <v>16000</v>
      </c>
      <c r="HB8" s="609">
        <f t="shared" ref="HB8:HB45" si="186">SUMIF($AZ$46:$CU$46,$HB$5,AZ8:CU8)</f>
        <v>0</v>
      </c>
      <c r="HC8" s="609">
        <f t="shared" ref="HC8:HC45" si="187">SUMIF($AZ$46:$CU$46,$HC$5,AZ8:CU8)</f>
        <v>0</v>
      </c>
      <c r="HD8" s="640">
        <f>SUM(GR8,GT8,GV8,GX8,GZ8,HB8)</f>
        <v>2036285</v>
      </c>
      <c r="HE8" s="640">
        <f>SUM(GS8,GU8,GW8,GY8,HA8,HC8)</f>
        <v>65676304.509000003</v>
      </c>
      <c r="HG8" s="609">
        <f t="shared" ref="HG8:HG45" si="188">SUMIF($CV$46:$EK$46,$HG$5,CV8:EK8)</f>
        <v>0</v>
      </c>
      <c r="HH8" s="609">
        <f t="shared" ref="HH8:HH45" si="189">SUMIF($CV$46:$EK$46,$HH$5,CV8:EK8)</f>
        <v>0</v>
      </c>
      <c r="HI8" s="609">
        <f t="shared" ref="HI8:HI45" si="190">SUMIF($CV$46:$EK$46,$HI$5,CV8:EK8)</f>
        <v>1617720</v>
      </c>
      <c r="HJ8" s="609">
        <f t="shared" ref="HJ8:HJ45" si="191">SUMIF($CV$46:$EK$46,$HJ$5,CV8:EK8)</f>
        <v>56674285.511999995</v>
      </c>
      <c r="HK8" s="609">
        <f t="shared" ref="HK8:HK45" si="192">SUMIF($CV$46:$EK$46,$HK$5,CV8:EK8)</f>
        <v>138350</v>
      </c>
      <c r="HL8" s="609">
        <f t="shared" ref="HL8:HL45" si="193">SUMIF($CV$46:$EK$46,$HL$5,CV8:EK8)</f>
        <v>3128650</v>
      </c>
      <c r="HM8" s="609">
        <f t="shared" ref="HM8:HM45" si="194">SUMIF($CV$46:$EK$46,$HM$5,CV8:EK8)</f>
        <v>0</v>
      </c>
      <c r="HN8" s="609">
        <f t="shared" ref="HN8:HN45" si="195">SUMIF($CV$46:$EK$46,$HN$5,CV8:EK8)</f>
        <v>0</v>
      </c>
      <c r="HO8" s="609">
        <f t="shared" ref="HO8:HO45" si="196">SUMIF($CV$46:$EK$46,$HO$5,CV8:EK8)</f>
        <v>700</v>
      </c>
      <c r="HP8" s="609">
        <f t="shared" ref="HP8:HP45" si="197">SUMIF($CV$46:$EK$46,$HP$5,CV8:EK8)</f>
        <v>14000</v>
      </c>
      <c r="HQ8" s="609">
        <f t="shared" ref="HQ8:HQ45" si="198">SUMIF($CV$46:$EK$46,$HQ$5,CV8:EK8)</f>
        <v>0</v>
      </c>
      <c r="HR8" s="609">
        <f t="shared" ref="HR8:HR45" si="199">SUMIF($CV$46:$EK$46,$HR$5,CV8:EK8)</f>
        <v>0</v>
      </c>
      <c r="HS8" s="640">
        <f>SUM(HG8,HI8,HK8,HM8,HO8,HQ8)</f>
        <v>1756770</v>
      </c>
      <c r="HT8" s="640">
        <f>SUM(HH8,HJ8,HL8,HN8,HP8,HR8)</f>
        <v>59816935.511999995</v>
      </c>
      <c r="HV8" s="609">
        <f t="shared" ref="HV8:HV45" si="200">SUMIF($EL$46:$GA$46,$HV$5,EL8:GA8)</f>
        <v>0</v>
      </c>
      <c r="HW8" s="609">
        <f t="shared" ref="HW8:HW45" si="201">SUMIF($EL$46:$GA$46,$HW$5,EL8:GA8)</f>
        <v>0</v>
      </c>
      <c r="HX8" s="609">
        <f t="shared" ref="HX8:HX45" si="202">SUMIF($EL$46:$GA$46,$HX$5,EL8:GA8)</f>
        <v>6094100</v>
      </c>
      <c r="HY8" s="609">
        <f t="shared" ref="HY8:HY45" si="203">SUMIF($EL$46:$GA$46,$HY$5,EL8:GA8)</f>
        <v>257705000</v>
      </c>
      <c r="HZ8" s="609">
        <f t="shared" ref="HZ8:HZ45" si="204">SUMIF($EL$46:$GA$46,$HZ$5,EL8:GA8)</f>
        <v>237100</v>
      </c>
      <c r="IA8" s="609">
        <f t="shared" ref="IA8:IA45" si="205">SUMIF($EL$46:$GA$46,$IA$5,EL8:GA8)</f>
        <v>5328900</v>
      </c>
      <c r="IB8" s="609">
        <f t="shared" ref="IB8:IB45" si="206">SUMIF($EL$46:$GA$46,$IB$5,EL8:GA8)</f>
        <v>0</v>
      </c>
      <c r="IC8" s="609">
        <f t="shared" ref="IC8:IC45" si="207">SUMIF($EL$46:$GA$46,$IC$5,EL8:GA8)</f>
        <v>0</v>
      </c>
      <c r="ID8" s="609">
        <f t="shared" ref="ID8:ID45" si="208">SUMIF($EL$46:$GA$46,$ID$5,EL8:GA8)</f>
        <v>1800</v>
      </c>
      <c r="IE8" s="609">
        <f t="shared" ref="IE8:IE45" si="209">SUMIF($EL$46:$GA$46,$IE$5,EL8:GA8)</f>
        <v>36000</v>
      </c>
      <c r="IF8" s="609">
        <f t="shared" ref="IF8:IF45" si="210">SUMIF($EL$46:$GA$46,$IF$5,EL8:GA8)</f>
        <v>0</v>
      </c>
      <c r="IG8" s="609">
        <f t="shared" ref="IG8:IG45" si="211">SUMIF($EL$46:$GA$46,$IG$5,EL8:GA8)</f>
        <v>0</v>
      </c>
      <c r="IH8" s="640">
        <f>SUM(HV8,HX8,HZ8,IB8,ID8,IF8)</f>
        <v>6333000</v>
      </c>
      <c r="II8" s="640">
        <f>SUM(HW8,HY8,IA8,IC8,IE8,IG8)</f>
        <v>263069900</v>
      </c>
    </row>
    <row r="9" spans="1:246">
      <c r="A9" s="484" t="s">
        <v>121</v>
      </c>
      <c r="B9" s="484">
        <f t="shared" ref="B9:B45" si="212">SUMIF($D$5:$GA$5,$B$5,D9:GA9)</f>
        <v>30646435</v>
      </c>
      <c r="C9" s="484">
        <f t="shared" ref="C9:C45" si="213">SUMIF($D$5:$GA$5,$C$5,D9:GA9)</f>
        <v>1257733055</v>
      </c>
      <c r="D9" s="87">
        <f>'P &amp; NP'!S13</f>
        <v>3900</v>
      </c>
      <c r="E9" s="87">
        <f>'P &amp; NP'!T13</f>
        <v>550250</v>
      </c>
      <c r="F9" s="87">
        <f>'P &amp; NP'!U13</f>
        <v>1543690</v>
      </c>
      <c r="G9" s="87">
        <f>'P &amp; NP'!V13</f>
        <v>76939050</v>
      </c>
      <c r="H9" s="87">
        <f>'P &amp; NP'!W13</f>
        <v>0</v>
      </c>
      <c r="I9" s="87">
        <f>'P &amp; NP'!X13</f>
        <v>0</v>
      </c>
      <c r="J9" s="87">
        <f>'P &amp; NP'!Y13</f>
        <v>846770</v>
      </c>
      <c r="K9" s="87">
        <f>'P &amp; NP'!Z13</f>
        <v>17206355</v>
      </c>
      <c r="L9" s="87">
        <f>'P &amp; NP'!AA13</f>
        <v>6315</v>
      </c>
      <c r="M9" s="87">
        <f>'P &amp; NP'!AB13</f>
        <v>171975</v>
      </c>
      <c r="N9" s="87">
        <f>'P &amp; NP'!AC13</f>
        <v>3600</v>
      </c>
      <c r="O9" s="87">
        <f>'P &amp; NP'!AD13</f>
        <v>99300</v>
      </c>
      <c r="P9" s="87">
        <f>'P &amp; NP'!AE13</f>
        <v>1760</v>
      </c>
      <c r="Q9" s="87">
        <f>'P &amp; NP'!AF13</f>
        <v>43900</v>
      </c>
      <c r="R9" s="92">
        <f t="shared" ref="R9:R45" si="214">SUM(D9,F9,J9,L9,N9,P9)</f>
        <v>2406035</v>
      </c>
      <c r="S9" s="92">
        <f t="shared" ref="S9:S45" si="215">SUM(E9,G9,K9,M9,O9,Q9)</f>
        <v>95010830</v>
      </c>
      <c r="T9" s="87">
        <f>'P &amp; NP'!S51</f>
        <v>4380</v>
      </c>
      <c r="U9" s="87">
        <f>'P &amp; NP'!T51</f>
        <v>577300</v>
      </c>
      <c r="V9" s="87">
        <f>'P &amp; NP'!U51</f>
        <v>1593845</v>
      </c>
      <c r="W9" s="87">
        <f>'P &amp; NP'!V51</f>
        <v>79905325</v>
      </c>
      <c r="X9" s="87">
        <f>'P &amp; NP'!W51</f>
        <v>0</v>
      </c>
      <c r="Y9" s="87">
        <f>'P &amp; NP'!X51</f>
        <v>0</v>
      </c>
      <c r="Z9" s="87">
        <f>'P &amp; NP'!Y51</f>
        <v>841220</v>
      </c>
      <c r="AA9" s="87">
        <f>'P &amp; NP'!Z51</f>
        <v>17054465</v>
      </c>
      <c r="AB9" s="87">
        <f>'P &amp; NP'!AA51</f>
        <v>6210</v>
      </c>
      <c r="AC9" s="87">
        <f>'P &amp; NP'!AB51</f>
        <v>169200</v>
      </c>
      <c r="AD9" s="87">
        <f>'P &amp; NP'!AC51</f>
        <v>3450</v>
      </c>
      <c r="AE9" s="87">
        <f>'P &amp; NP'!AD51</f>
        <v>95400</v>
      </c>
      <c r="AF9" s="87">
        <f>'P &amp; NP'!AE51</f>
        <v>2150</v>
      </c>
      <c r="AG9" s="87">
        <f>'P &amp; NP'!AF51</f>
        <v>52225</v>
      </c>
      <c r="AH9" s="92">
        <f t="shared" ref="AH9:AH45" si="216">SUM(T9,V9,Z9,AB9,AD9,AF9)</f>
        <v>2451255</v>
      </c>
      <c r="AI9" s="92">
        <f t="shared" ref="AI9:AI45" si="217">SUM(U9,W9,AA9,AC9,AE9,AG9)</f>
        <v>97853915</v>
      </c>
      <c r="AJ9" s="87">
        <f>'P &amp; NP'!S89</f>
        <v>5150</v>
      </c>
      <c r="AK9" s="87">
        <f>'P &amp; NP'!T89</f>
        <v>635900</v>
      </c>
      <c r="AL9" s="87">
        <f>'P &amp; NP'!U89</f>
        <v>1608090</v>
      </c>
      <c r="AM9" s="87">
        <f>'P &amp; NP'!V89</f>
        <v>79992275</v>
      </c>
      <c r="AN9" s="87">
        <f>'P &amp; NP'!W89</f>
        <v>0</v>
      </c>
      <c r="AO9" s="87">
        <f>'P &amp; NP'!X89</f>
        <v>0</v>
      </c>
      <c r="AP9" s="87">
        <f>'P &amp; NP'!Y89</f>
        <v>820170</v>
      </c>
      <c r="AQ9" s="87">
        <f>'P &amp; NP'!Z89</f>
        <v>16694595</v>
      </c>
      <c r="AR9" s="87">
        <f>'P &amp; NP'!AA89</f>
        <v>6215</v>
      </c>
      <c r="AS9" s="87">
        <f>'P &amp; NP'!AB89</f>
        <v>169450</v>
      </c>
      <c r="AT9" s="87">
        <f>'P &amp; NP'!AC89</f>
        <v>3560</v>
      </c>
      <c r="AU9" s="87">
        <f>'P &amp; NP'!AD89</f>
        <v>97375</v>
      </c>
      <c r="AV9" s="87">
        <f>'P &amp; NP'!AE89</f>
        <v>1695</v>
      </c>
      <c r="AW9" s="87">
        <f>'P &amp; NP'!AF89</f>
        <v>40050</v>
      </c>
      <c r="AX9" s="92">
        <f t="shared" ref="AX9:AX45" si="218">SUM(AJ9,AL9,AP9,AR9,AT9,AV9)</f>
        <v>2444880</v>
      </c>
      <c r="AY9" s="92">
        <f t="shared" ref="AY9:AY45" si="219">SUM(AK9,AM9,AQ9,AS9,AU9,AW9)</f>
        <v>97629645</v>
      </c>
      <c r="AZ9" s="87">
        <f>'P &amp; NP'!S127</f>
        <v>9795</v>
      </c>
      <c r="BA9" s="87">
        <f>'P &amp; NP'!T127</f>
        <v>968075</v>
      </c>
      <c r="BB9" s="87">
        <f>'P &amp; NP'!U127</f>
        <v>1686755</v>
      </c>
      <c r="BC9" s="87">
        <f>'P &amp; NP'!V127</f>
        <v>87732050</v>
      </c>
      <c r="BD9" s="87">
        <f>'P &amp; NP'!W127</f>
        <v>0</v>
      </c>
      <c r="BE9" s="87">
        <f>'P &amp; NP'!X127</f>
        <v>0</v>
      </c>
      <c r="BF9" s="87">
        <f>'P &amp; NP'!Y127</f>
        <v>778410</v>
      </c>
      <c r="BG9" s="87">
        <f>'P &amp; NP'!Z127</f>
        <v>15848220</v>
      </c>
      <c r="BH9" s="87">
        <f>'P &amp; NP'!AA127</f>
        <v>5380</v>
      </c>
      <c r="BI9" s="87">
        <f>'P &amp; NP'!AB127</f>
        <v>146975</v>
      </c>
      <c r="BJ9" s="87">
        <f>'P &amp; NP'!AC127</f>
        <v>3195</v>
      </c>
      <c r="BK9" s="87">
        <f>'P &amp; NP'!AD127</f>
        <v>88500</v>
      </c>
      <c r="BL9" s="87">
        <f>'P &amp; NP'!AE127</f>
        <v>2360</v>
      </c>
      <c r="BM9" s="87">
        <f>'P &amp; NP'!AF127</f>
        <v>54475</v>
      </c>
      <c r="BN9" s="92">
        <f t="shared" ref="BN9:BN45" si="220">SUM(AZ9,BB9,BF9,BH9,BJ9,BL9)</f>
        <v>2485895</v>
      </c>
      <c r="BO9" s="92">
        <f t="shared" ref="BO9:BO45" si="221">SUM(BA9,BC9,BG9,BI9,BK9,BM9)</f>
        <v>104838295</v>
      </c>
      <c r="BP9" s="87">
        <f>'P &amp; NP'!S165</f>
        <v>4630</v>
      </c>
      <c r="BQ9" s="87">
        <f>'P &amp; NP'!T165</f>
        <v>509175</v>
      </c>
      <c r="BR9" s="87">
        <f>'P &amp; NP'!U165</f>
        <v>1723220</v>
      </c>
      <c r="BS9" s="87">
        <f>'P &amp; NP'!V165</f>
        <v>89804160</v>
      </c>
      <c r="BT9" s="87">
        <f>'P &amp; NP'!W165</f>
        <v>0</v>
      </c>
      <c r="BU9" s="87">
        <f>'P &amp; NP'!X165</f>
        <v>0</v>
      </c>
      <c r="BV9" s="87">
        <f>'P &amp; NP'!Y165</f>
        <v>804519</v>
      </c>
      <c r="BW9" s="87">
        <f>'P &amp; NP'!Z165</f>
        <v>16393445</v>
      </c>
      <c r="BX9" s="87">
        <f>'P &amp; NP'!AA165</f>
        <v>5235</v>
      </c>
      <c r="BY9" s="87">
        <f>'P &amp; NP'!AB165</f>
        <v>143625</v>
      </c>
      <c r="BZ9" s="87">
        <f>'P &amp; NP'!AC165</f>
        <v>3210</v>
      </c>
      <c r="CA9" s="87">
        <f>'P &amp; NP'!AD165</f>
        <v>89250</v>
      </c>
      <c r="CB9" s="87">
        <f>'P &amp; NP'!AE165</f>
        <v>2695</v>
      </c>
      <c r="CC9" s="87">
        <f>'P &amp; NP'!AF165</f>
        <v>61250</v>
      </c>
      <c r="CD9" s="92">
        <f t="shared" ref="CD9:CD45" si="222">SUM(BP9,BR9,BV9,BX9,BZ9,CB9)</f>
        <v>2543509</v>
      </c>
      <c r="CE9" s="92">
        <f t="shared" ref="CE9:CE45" si="223">SUM(BQ9,BS9,BW9,BY9,CA9,CC9)</f>
        <v>107000905</v>
      </c>
      <c r="CF9" s="87">
        <f>'P &amp; NP'!S203</f>
        <v>4045</v>
      </c>
      <c r="CG9" s="87">
        <f>'P &amp; NP'!T203</f>
        <v>483775</v>
      </c>
      <c r="CH9" s="87">
        <f>'P &amp; NP'!U203</f>
        <v>1736715</v>
      </c>
      <c r="CI9" s="87">
        <f>'P &amp; NP'!V203</f>
        <v>90640250</v>
      </c>
      <c r="CJ9" s="87">
        <f>'P &amp; NP'!W203</f>
        <v>0</v>
      </c>
      <c r="CK9" s="87">
        <f>'P &amp; NP'!X203</f>
        <v>0</v>
      </c>
      <c r="CL9" s="87">
        <f>'P &amp; NP'!Y203</f>
        <v>767550</v>
      </c>
      <c r="CM9" s="87">
        <f>'P &amp; NP'!Z203</f>
        <v>15678910</v>
      </c>
      <c r="CN9" s="87">
        <f>'P &amp; NP'!AA203</f>
        <v>5335</v>
      </c>
      <c r="CO9" s="87">
        <f>'P &amp; NP'!AB203</f>
        <v>145700</v>
      </c>
      <c r="CP9" s="87">
        <f>'P &amp; NP'!AC203</f>
        <v>3240</v>
      </c>
      <c r="CQ9" s="87">
        <f>'P &amp; NP'!AD203</f>
        <v>89175</v>
      </c>
      <c r="CR9" s="87">
        <f>'P &amp; NP'!AE203</f>
        <v>2565</v>
      </c>
      <c r="CS9" s="87">
        <f>'P &amp; NP'!AF203</f>
        <v>60000</v>
      </c>
      <c r="CT9" s="92">
        <f t="shared" ref="CT9:CT45" si="224">SUM(CF9,CH9,CL9,CN9,CP9,CR9)</f>
        <v>2519450</v>
      </c>
      <c r="CU9" s="92">
        <f t="shared" ref="CU9:CU45" si="225">SUM(CG9,CI9,CM9,CO9,CQ9,CS9)</f>
        <v>107097810</v>
      </c>
      <c r="CV9" s="87">
        <f>'P &amp; NP'!S241</f>
        <v>2615</v>
      </c>
      <c r="CW9" s="87">
        <f>'P &amp; NP'!T241</f>
        <v>353825</v>
      </c>
      <c r="CX9" s="87">
        <f>'P &amp; NP'!U241</f>
        <v>1671820</v>
      </c>
      <c r="CY9" s="87">
        <f>'P &amp; NP'!V241</f>
        <v>91277925</v>
      </c>
      <c r="CZ9" s="87">
        <f>'P &amp; NP'!Y241</f>
        <v>895441</v>
      </c>
      <c r="DA9" s="87">
        <f>'P &amp; NP'!Z241</f>
        <v>18230110</v>
      </c>
      <c r="DB9" s="87">
        <f>'P &amp; NP'!AA241</f>
        <v>5670</v>
      </c>
      <c r="DC9" s="87">
        <f>'P &amp; NP'!AB241</f>
        <v>155550</v>
      </c>
      <c r="DD9" s="87">
        <f>'P &amp; NP'!AC241</f>
        <v>4985</v>
      </c>
      <c r="DE9" s="87">
        <f>'P &amp; NP'!AD241</f>
        <v>136600</v>
      </c>
      <c r="DF9" s="87">
        <f>'P &amp; NP'!AE241</f>
        <v>1615</v>
      </c>
      <c r="DG9" s="87">
        <f>'P &amp; NP'!AF241</f>
        <v>37250</v>
      </c>
      <c r="DH9" s="87">
        <f t="shared" ref="DH9:DH45" si="226">SUM(CV9,CX9,CZ9,DB9,DD9,DF9)</f>
        <v>2582146</v>
      </c>
      <c r="DI9" s="87">
        <f t="shared" ref="DI9:DI45" si="227">SUM(CW9,CY9,DA9,DC9,DE9,DG9)</f>
        <v>110191260</v>
      </c>
      <c r="DJ9" s="92">
        <f>'P &amp; NP'!S279</f>
        <v>2260</v>
      </c>
      <c r="DK9" s="92">
        <f>'P &amp; NP'!T279</f>
        <v>276950</v>
      </c>
      <c r="DL9" s="87">
        <f>'P &amp; NP'!U279</f>
        <v>1677680</v>
      </c>
      <c r="DM9" s="87">
        <f>'P &amp; NP'!V279</f>
        <v>91757575</v>
      </c>
      <c r="DN9" s="87">
        <f>'P &amp; NP'!Y279</f>
        <v>850960</v>
      </c>
      <c r="DO9" s="87">
        <f>'P &amp; NP'!Z279</f>
        <v>17334370</v>
      </c>
      <c r="DP9" s="87">
        <f>'P &amp; NP'!AA279</f>
        <v>5830</v>
      </c>
      <c r="DQ9" s="87">
        <f>'P &amp; NP'!AB279</f>
        <v>159275</v>
      </c>
      <c r="DR9" s="87">
        <f>'P &amp; NP'!AC279</f>
        <v>4295</v>
      </c>
      <c r="DS9" s="87">
        <f>'P &amp; NP'!AD279</f>
        <v>117250</v>
      </c>
      <c r="DT9" s="87">
        <f>'P &amp; NP'!AE279</f>
        <v>1530</v>
      </c>
      <c r="DU9" s="87">
        <f>'P &amp; NP'!AF279</f>
        <v>33900</v>
      </c>
      <c r="DV9" s="87">
        <f t="shared" ref="DV9:DV45" si="228">SUM(DJ9,DL9,DN9,DP9,DR9,DT9)</f>
        <v>2542555</v>
      </c>
      <c r="DW9" s="87">
        <f t="shared" ref="DW9:DW45" si="229">SUM(DK9,DM9,DO9,DQ9,DS9,DU9)</f>
        <v>109679320</v>
      </c>
      <c r="DX9" s="87">
        <f>'P &amp; NP'!S317</f>
        <v>2205</v>
      </c>
      <c r="DY9" s="87">
        <f>'P &amp; NP'!T317</f>
        <v>237525</v>
      </c>
      <c r="DZ9" s="92">
        <f>'P &amp; NP'!U317</f>
        <v>1691140</v>
      </c>
      <c r="EA9" s="92">
        <f>'P &amp; NP'!V317</f>
        <v>92660225</v>
      </c>
      <c r="EB9" s="87">
        <f>'P &amp; NP'!Y317</f>
        <v>892994</v>
      </c>
      <c r="EC9" s="87">
        <f>'P &amp; NP'!Z317</f>
        <v>18193110</v>
      </c>
      <c r="ED9" s="87">
        <f>'P &amp; NP'!AA317</f>
        <v>5780</v>
      </c>
      <c r="EE9" s="87">
        <f>'P &amp; NP'!AB317</f>
        <v>157375</v>
      </c>
      <c r="EF9" s="87">
        <f>'P &amp; NP'!AC317</f>
        <v>4025</v>
      </c>
      <c r="EG9" s="87">
        <f>'P &amp; NP'!AD317</f>
        <v>109900</v>
      </c>
      <c r="EH9" s="87">
        <f>'P &amp; NP'!AE317</f>
        <v>1505</v>
      </c>
      <c r="EI9" s="87">
        <f>'P &amp; NP'!AF317</f>
        <v>31750</v>
      </c>
      <c r="EJ9" s="87">
        <f t="shared" ref="EJ9:EJ45" si="230">SUM(DX9,DZ9,EB9,ED9,EF9,EH9)</f>
        <v>2597649</v>
      </c>
      <c r="EK9" s="87">
        <f t="shared" ref="EK9:EK45" si="231">SUM(DY9,EA9,EC9,EE9,EG9,EI9)</f>
        <v>111389885</v>
      </c>
      <c r="EL9" s="87">
        <f>'P &amp; NP'!S355</f>
        <v>3165</v>
      </c>
      <c r="EM9" s="87">
        <f>'P &amp; NP'!T355</f>
        <v>381750</v>
      </c>
      <c r="EN9" s="87">
        <f>'P &amp; NP'!U355</f>
        <v>1666265</v>
      </c>
      <c r="EO9" s="87">
        <f>'P &amp; NP'!V355</f>
        <v>82818575</v>
      </c>
      <c r="EP9" s="92">
        <f>'P &amp; NP'!Y355</f>
        <v>988160</v>
      </c>
      <c r="EQ9" s="92">
        <f>'P &amp; NP'!Z355</f>
        <v>20159370</v>
      </c>
      <c r="ER9" s="87">
        <f>'P &amp; NP'!AA355</f>
        <v>5415</v>
      </c>
      <c r="ES9" s="87">
        <f>'P &amp; NP'!AB355</f>
        <v>148575</v>
      </c>
      <c r="ET9" s="87">
        <f>'P &amp; NP'!AC355</f>
        <v>4480</v>
      </c>
      <c r="EU9" s="87">
        <f>'P &amp; NP'!AD355</f>
        <v>123950</v>
      </c>
      <c r="EV9" s="87">
        <f>'P &amp; NP'!AE355</f>
        <v>2145</v>
      </c>
      <c r="EW9" s="87">
        <f>'P &amp; NP'!AF355</f>
        <v>47550</v>
      </c>
      <c r="EX9" s="87">
        <f t="shared" ref="EX9:EX45" si="232">SUM(EL9,EN9,EP9,ER9,ET9,EV9)</f>
        <v>2669630</v>
      </c>
      <c r="EY9" s="87">
        <f t="shared" ref="EY9:EY45" si="233">SUM(EM9,EO9,EQ9,ES9,EU9,EW9)</f>
        <v>103679770</v>
      </c>
      <c r="EZ9" s="87">
        <f>'P &amp; NP'!S393</f>
        <v>2975</v>
      </c>
      <c r="FA9" s="87">
        <f>'P &amp; NP'!T393</f>
        <v>351775</v>
      </c>
      <c r="FB9" s="87">
        <f>'P &amp; NP'!U393</f>
        <v>1755495</v>
      </c>
      <c r="FC9" s="87">
        <f>'P &amp; NP'!V393</f>
        <v>87403750</v>
      </c>
      <c r="FD9" s="87">
        <f>'P &amp; NP'!Y393</f>
        <v>959326</v>
      </c>
      <c r="FE9" s="87">
        <f>'P &amp; NP'!Z393</f>
        <v>19575475</v>
      </c>
      <c r="FF9" s="92">
        <f>'P &amp; NP'!AA393</f>
        <v>5405</v>
      </c>
      <c r="FG9" s="92">
        <f>'P &amp; NP'!AB393</f>
        <v>150100</v>
      </c>
      <c r="FH9" s="87">
        <f>'P &amp; NP'!AC393</f>
        <v>4875</v>
      </c>
      <c r="FI9" s="87">
        <f>'P &amp; NP'!AD393</f>
        <v>134700</v>
      </c>
      <c r="FJ9" s="87">
        <f>'P &amp; NP'!AE393</f>
        <v>1975</v>
      </c>
      <c r="FK9" s="87">
        <f>'P &amp; NP'!AF393</f>
        <v>42500</v>
      </c>
      <c r="FL9" s="87">
        <f t="shared" ref="FL9:FL45" si="234">SUM(EZ9,FB9,FD9,FF9,FH9,FJ9)</f>
        <v>2730051</v>
      </c>
      <c r="FM9" s="87">
        <f t="shared" ref="FM9:FM45" si="235">SUM(FA9,FC9,FE9,FG9,FI9,FK9)</f>
        <v>107658300</v>
      </c>
      <c r="FN9" s="87">
        <f>'P &amp; NP'!S431</f>
        <v>3140</v>
      </c>
      <c r="FO9" s="87">
        <f>'P &amp; NP'!T431</f>
        <v>395350</v>
      </c>
      <c r="FP9" s="87">
        <f>'P &amp; NP'!U431</f>
        <v>1717675</v>
      </c>
      <c r="FQ9" s="87">
        <f>'P &amp; NP'!V431</f>
        <v>85767450</v>
      </c>
      <c r="FR9" s="87">
        <f>'P &amp; NP'!Y431</f>
        <v>940215</v>
      </c>
      <c r="FS9" s="87">
        <f>'P &amp; NP'!Z431</f>
        <v>19211795</v>
      </c>
      <c r="FT9" s="87">
        <f>'P &amp; NP'!AA431</f>
        <v>5415</v>
      </c>
      <c r="FU9" s="87">
        <f>'P &amp; NP'!AB431</f>
        <v>149475</v>
      </c>
      <c r="FV9" s="92">
        <f>'P &amp; NP'!AC431</f>
        <v>4900</v>
      </c>
      <c r="FW9" s="92">
        <f>'P &amp; NP'!AD431</f>
        <v>136175</v>
      </c>
      <c r="FX9" s="87">
        <f>'P &amp; NP'!AE431</f>
        <v>2035</v>
      </c>
      <c r="FY9" s="87">
        <f>'P &amp; NP'!AF431</f>
        <v>42875</v>
      </c>
      <c r="FZ9" s="87">
        <f t="shared" ref="FZ9:FZ45" si="236">SUM(FN9,FP9,FR9,FT9,FV9,FX9)</f>
        <v>2673380</v>
      </c>
      <c r="GA9" s="87">
        <f t="shared" ref="GA9:GA45" si="237">SUM(FO9,FQ9,FS9,FU9,FW9,FY9)</f>
        <v>105703120</v>
      </c>
      <c r="GC9" s="609">
        <f t="shared" si="164"/>
        <v>13430</v>
      </c>
      <c r="GD9" s="609">
        <f t="shared" si="165"/>
        <v>1763450</v>
      </c>
      <c r="GE9" s="609">
        <f t="shared" si="166"/>
        <v>4745625</v>
      </c>
      <c r="GF9" s="609">
        <f t="shared" si="167"/>
        <v>236836650</v>
      </c>
      <c r="GG9" s="609">
        <f t="shared" si="168"/>
        <v>2508160</v>
      </c>
      <c r="GH9" s="609">
        <f t="shared" si="169"/>
        <v>50955415</v>
      </c>
      <c r="GI9" s="609">
        <f t="shared" si="170"/>
        <v>18740</v>
      </c>
      <c r="GJ9" s="609">
        <f t="shared" si="171"/>
        <v>510625</v>
      </c>
      <c r="GK9" s="609">
        <f t="shared" si="172"/>
        <v>10610</v>
      </c>
      <c r="GL9" s="609">
        <f t="shared" si="173"/>
        <v>292075</v>
      </c>
      <c r="GM9" s="609">
        <f t="shared" si="174"/>
        <v>5605</v>
      </c>
      <c r="GN9" s="609">
        <f t="shared" si="175"/>
        <v>136175</v>
      </c>
      <c r="GO9" s="640">
        <f t="shared" ref="GO9:GO45" si="238">SUM(GC9,GE9,GG9,GI9,GK9,GM9)</f>
        <v>7302170</v>
      </c>
      <c r="GP9" s="640">
        <f t="shared" ref="GP9:GP45" si="239">SUM(GD9,GF9,GH9,GJ9,GL9,GN9)</f>
        <v>290494390</v>
      </c>
      <c r="GR9" s="609">
        <f t="shared" si="176"/>
        <v>18470</v>
      </c>
      <c r="GS9" s="609">
        <f t="shared" si="177"/>
        <v>1961025</v>
      </c>
      <c r="GT9" s="609">
        <f t="shared" si="178"/>
        <v>5146690</v>
      </c>
      <c r="GU9" s="609">
        <f t="shared" si="179"/>
        <v>268176460</v>
      </c>
      <c r="GV9" s="609">
        <f t="shared" si="180"/>
        <v>2350479</v>
      </c>
      <c r="GW9" s="609">
        <f t="shared" si="181"/>
        <v>47920575</v>
      </c>
      <c r="GX9" s="609">
        <f t="shared" si="182"/>
        <v>15950</v>
      </c>
      <c r="GY9" s="609">
        <f t="shared" si="183"/>
        <v>436300</v>
      </c>
      <c r="GZ9" s="609">
        <f t="shared" si="184"/>
        <v>9645</v>
      </c>
      <c r="HA9" s="609">
        <f t="shared" si="185"/>
        <v>266925</v>
      </c>
      <c r="HB9" s="609">
        <f t="shared" si="186"/>
        <v>7620</v>
      </c>
      <c r="HC9" s="609">
        <f t="shared" si="187"/>
        <v>175725</v>
      </c>
      <c r="HD9" s="640">
        <f t="shared" ref="HD9:HD45" si="240">SUM(GR9,GT9,GV9,GX9,GZ9,HB9)</f>
        <v>7548854</v>
      </c>
      <c r="HE9" s="640">
        <f t="shared" ref="HE9:HE45" si="241">SUM(GS9,GU9,GW9,GY9,HA9,HC9)</f>
        <v>318937010</v>
      </c>
      <c r="HG9" s="609">
        <f t="shared" si="188"/>
        <v>7080</v>
      </c>
      <c r="HH9" s="609">
        <f t="shared" si="189"/>
        <v>868300</v>
      </c>
      <c r="HI9" s="609">
        <f t="shared" si="190"/>
        <v>5040640</v>
      </c>
      <c r="HJ9" s="609">
        <f t="shared" si="191"/>
        <v>275695725</v>
      </c>
      <c r="HK9" s="609">
        <f t="shared" si="192"/>
        <v>2639395</v>
      </c>
      <c r="HL9" s="609">
        <f t="shared" si="193"/>
        <v>53757590</v>
      </c>
      <c r="HM9" s="609">
        <f t="shared" si="194"/>
        <v>17280</v>
      </c>
      <c r="HN9" s="609">
        <f t="shared" si="195"/>
        <v>472200</v>
      </c>
      <c r="HO9" s="609">
        <f t="shared" si="196"/>
        <v>13305</v>
      </c>
      <c r="HP9" s="609">
        <f t="shared" si="197"/>
        <v>363750</v>
      </c>
      <c r="HQ9" s="609">
        <f t="shared" si="198"/>
        <v>4650</v>
      </c>
      <c r="HR9" s="609">
        <f t="shared" si="199"/>
        <v>102900</v>
      </c>
      <c r="HS9" s="640">
        <f t="shared" ref="HS9:HS45" si="242">SUM(HG9,HI9,HK9,HM9,HO9,HQ9)</f>
        <v>7722350</v>
      </c>
      <c r="HT9" s="640">
        <f t="shared" ref="HT9:HT45" si="243">SUM(HH9,HJ9,HL9,HN9,HP9,HR9)</f>
        <v>331260465</v>
      </c>
      <c r="HV9" s="609">
        <f t="shared" si="200"/>
        <v>9280</v>
      </c>
      <c r="HW9" s="609">
        <f t="shared" si="201"/>
        <v>1128875</v>
      </c>
      <c r="HX9" s="609">
        <f t="shared" si="202"/>
        <v>5139435</v>
      </c>
      <c r="HY9" s="609">
        <f t="shared" si="203"/>
        <v>255989775</v>
      </c>
      <c r="HZ9" s="609">
        <f t="shared" si="204"/>
        <v>2887701</v>
      </c>
      <c r="IA9" s="609">
        <f t="shared" si="205"/>
        <v>58946640</v>
      </c>
      <c r="IB9" s="609">
        <f t="shared" si="206"/>
        <v>16235</v>
      </c>
      <c r="IC9" s="609">
        <f t="shared" si="207"/>
        <v>448150</v>
      </c>
      <c r="ID9" s="609">
        <f t="shared" si="208"/>
        <v>14255</v>
      </c>
      <c r="IE9" s="609">
        <f t="shared" si="209"/>
        <v>394825</v>
      </c>
      <c r="IF9" s="609">
        <f t="shared" si="210"/>
        <v>6155</v>
      </c>
      <c r="IG9" s="609">
        <f t="shared" si="211"/>
        <v>132925</v>
      </c>
      <c r="IH9" s="640">
        <f t="shared" ref="IH9:IH45" si="244">SUM(HV9,HX9,HZ9,IB9,ID9,IF9)</f>
        <v>8073061</v>
      </c>
      <c r="II9" s="640">
        <f t="shared" ref="II9:II45" si="245">SUM(HW9,HY9,IA9,IC9,IE9,IG9)</f>
        <v>317041190</v>
      </c>
    </row>
    <row r="10" spans="1:246">
      <c r="A10" s="484" t="s">
        <v>116</v>
      </c>
      <c r="B10" s="484">
        <f t="shared" si="212"/>
        <v>17736425</v>
      </c>
      <c r="C10" s="484">
        <f t="shared" si="213"/>
        <v>414183920</v>
      </c>
      <c r="D10" s="87">
        <f>'P &amp; NP'!AI13</f>
        <v>0</v>
      </c>
      <c r="E10" s="87">
        <f>'P &amp; NP'!AJ13</f>
        <v>0</v>
      </c>
      <c r="F10" s="87">
        <f>'P &amp; NP'!AK13</f>
        <v>34100</v>
      </c>
      <c r="G10" s="87">
        <f>'P &amp; NP'!AL13</f>
        <v>2216500</v>
      </c>
      <c r="H10" s="87">
        <f>'P &amp; NP'!AM13</f>
        <v>0</v>
      </c>
      <c r="I10" s="87">
        <f>'P &amp; NP'!AN13</f>
        <v>0</v>
      </c>
      <c r="J10" s="87">
        <f>'P &amp; NP'!AO13</f>
        <v>1312000</v>
      </c>
      <c r="K10" s="87">
        <f>'P &amp; NP'!AP13</f>
        <v>28693200</v>
      </c>
      <c r="L10" s="87">
        <f>'P &amp; NP'!AQ13</f>
        <v>100</v>
      </c>
      <c r="M10" s="87">
        <f>'P &amp; NP'!AR13</f>
        <v>2500</v>
      </c>
      <c r="N10" s="87">
        <f>'P &amp; NP'!AS13</f>
        <v>0</v>
      </c>
      <c r="O10" s="87">
        <f>'P &amp; NP'!AT13</f>
        <v>0</v>
      </c>
      <c r="P10" s="87">
        <f>'P &amp; NP'!AU13</f>
        <v>2100</v>
      </c>
      <c r="Q10" s="87">
        <f>'P &amp; NP'!AV13</f>
        <v>52500</v>
      </c>
      <c r="R10" s="92">
        <f t="shared" si="214"/>
        <v>1348300</v>
      </c>
      <c r="S10" s="92">
        <f t="shared" si="215"/>
        <v>30964700</v>
      </c>
      <c r="T10" s="87">
        <f>'P &amp; NP'!AI51</f>
        <v>0</v>
      </c>
      <c r="U10" s="87">
        <f>'P &amp; NP'!AJ51</f>
        <v>0</v>
      </c>
      <c r="V10" s="87">
        <f>'P &amp; NP'!AK51</f>
        <v>35200</v>
      </c>
      <c r="W10" s="87">
        <f>'P &amp; NP'!AL51</f>
        <v>2288000</v>
      </c>
      <c r="X10" s="87">
        <f>'P &amp; NP'!AM51</f>
        <v>0</v>
      </c>
      <c r="Y10" s="87">
        <f>'P &amp; NP'!AN51</f>
        <v>0</v>
      </c>
      <c r="Z10" s="87">
        <f>'P &amp; NP'!AO51</f>
        <v>1331600</v>
      </c>
      <c r="AA10" s="87">
        <f>'P &amp; NP'!AP51</f>
        <v>29130100</v>
      </c>
      <c r="AB10" s="87">
        <f>'P &amp; NP'!AQ51</f>
        <v>120</v>
      </c>
      <c r="AC10" s="87">
        <f>'P &amp; NP'!AR51</f>
        <v>3000</v>
      </c>
      <c r="AD10" s="87">
        <f>'P &amp; NP'!AS51</f>
        <v>0</v>
      </c>
      <c r="AE10" s="87">
        <f>'P &amp; NP'!AT51</f>
        <v>0</v>
      </c>
      <c r="AF10" s="87">
        <f>'P &amp; NP'!AU51</f>
        <v>2400</v>
      </c>
      <c r="AG10" s="87">
        <f>'P &amp; NP'!AV51</f>
        <v>60000</v>
      </c>
      <c r="AH10" s="92">
        <f t="shared" si="216"/>
        <v>1369320</v>
      </c>
      <c r="AI10" s="92">
        <f t="shared" si="217"/>
        <v>31481100</v>
      </c>
      <c r="AJ10" s="87">
        <f>'P &amp; NP'!AI89</f>
        <v>0</v>
      </c>
      <c r="AK10" s="87">
        <f>'P &amp; NP'!AJ89</f>
        <v>0</v>
      </c>
      <c r="AL10" s="87">
        <f>'P &amp; NP'!AK89</f>
        <v>35700</v>
      </c>
      <c r="AM10" s="87">
        <f>'P &amp; NP'!AL89</f>
        <v>2320500</v>
      </c>
      <c r="AN10" s="87">
        <f>'P &amp; NP'!AM89</f>
        <v>0</v>
      </c>
      <c r="AO10" s="87">
        <f>'P &amp; NP'!AN89</f>
        <v>0</v>
      </c>
      <c r="AP10" s="87">
        <f>'P &amp; NP'!AO89</f>
        <v>1382100</v>
      </c>
      <c r="AQ10" s="87">
        <f>'P &amp; NP'!AP89</f>
        <v>30199400</v>
      </c>
      <c r="AR10" s="87">
        <f>'P &amp; NP'!AQ89</f>
        <v>200</v>
      </c>
      <c r="AS10" s="87">
        <f>'P &amp; NP'!AR89</f>
        <v>4800</v>
      </c>
      <c r="AT10" s="87">
        <f>'P &amp; NP'!AS89</f>
        <v>0</v>
      </c>
      <c r="AU10" s="87">
        <f>'P &amp; NP'!AT89</f>
        <v>0</v>
      </c>
      <c r="AV10" s="87">
        <f>'P &amp; NP'!AU89</f>
        <v>2560</v>
      </c>
      <c r="AW10" s="87">
        <f>'P &amp; NP'!AV89</f>
        <v>61440</v>
      </c>
      <c r="AX10" s="92">
        <f t="shared" si="218"/>
        <v>1420560</v>
      </c>
      <c r="AY10" s="92">
        <f t="shared" si="219"/>
        <v>32586140</v>
      </c>
      <c r="AZ10" s="87">
        <f>'P &amp; NP'!AI127</f>
        <v>0</v>
      </c>
      <c r="BA10" s="87">
        <f>'P &amp; NP'!AJ127</f>
        <v>0</v>
      </c>
      <c r="BB10" s="87">
        <f>'P &amp; NP'!AK127</f>
        <v>36200</v>
      </c>
      <c r="BC10" s="87">
        <f>'P &amp; NP'!AL127</f>
        <v>2353000</v>
      </c>
      <c r="BD10" s="87">
        <f>'P &amp; NP'!AM127</f>
        <v>0</v>
      </c>
      <c r="BE10" s="87">
        <f>'P &amp; NP'!AN127</f>
        <v>0</v>
      </c>
      <c r="BF10" s="87">
        <f>'P &amp; NP'!AO127</f>
        <v>1452700</v>
      </c>
      <c r="BG10" s="87">
        <f>'P &amp; NP'!AP127</f>
        <v>31596400</v>
      </c>
      <c r="BH10" s="87">
        <f>'P &amp; NP'!AQ127</f>
        <v>200</v>
      </c>
      <c r="BI10" s="87">
        <f>'P &amp; NP'!AR127</f>
        <v>4800</v>
      </c>
      <c r="BJ10" s="87">
        <f>'P &amp; NP'!AS127</f>
        <v>0</v>
      </c>
      <c r="BK10" s="87">
        <f>'P &amp; NP'!AT127</f>
        <v>0</v>
      </c>
      <c r="BL10" s="87">
        <f>'P &amp; NP'!AU127</f>
        <v>3050</v>
      </c>
      <c r="BM10" s="87">
        <f>'P &amp; NP'!AV127</f>
        <v>73200</v>
      </c>
      <c r="BN10" s="92">
        <f t="shared" si="220"/>
        <v>1492150</v>
      </c>
      <c r="BO10" s="92">
        <f t="shared" si="221"/>
        <v>34027400</v>
      </c>
      <c r="BP10" s="87">
        <f>'P &amp; NP'!AI165</f>
        <v>0</v>
      </c>
      <c r="BQ10" s="87">
        <f>'P &amp; NP'!AJ165</f>
        <v>0</v>
      </c>
      <c r="BR10" s="87">
        <f>'P &amp; NP'!AK165</f>
        <v>36700</v>
      </c>
      <c r="BS10" s="87">
        <f>'P &amp; NP'!AL165</f>
        <v>2385500</v>
      </c>
      <c r="BT10" s="87">
        <f>'P &amp; NP'!AM165</f>
        <v>0</v>
      </c>
      <c r="BU10" s="87">
        <f>'P &amp; NP'!AN165</f>
        <v>0</v>
      </c>
      <c r="BV10" s="87">
        <f>'P &amp; NP'!AO165</f>
        <v>1441800</v>
      </c>
      <c r="BW10" s="87">
        <f>'P &amp; NP'!AP165</f>
        <v>31538600</v>
      </c>
      <c r="BX10" s="87">
        <f>'P &amp; NP'!AQ165</f>
        <v>190</v>
      </c>
      <c r="BY10" s="87">
        <f>'P &amp; NP'!AR165</f>
        <v>4560</v>
      </c>
      <c r="BZ10" s="87">
        <f>'P &amp; NP'!AS165</f>
        <v>0</v>
      </c>
      <c r="CA10" s="87">
        <f>'P &amp; NP'!AT165</f>
        <v>0</v>
      </c>
      <c r="CB10" s="87">
        <f>'P &amp; NP'!AU165</f>
        <v>3110</v>
      </c>
      <c r="CC10" s="87">
        <f>'P &amp; NP'!AV165</f>
        <v>74640</v>
      </c>
      <c r="CD10" s="92">
        <f t="shared" si="222"/>
        <v>1481800</v>
      </c>
      <c r="CE10" s="92">
        <f t="shared" si="223"/>
        <v>34003300</v>
      </c>
      <c r="CF10" s="87">
        <f>'P &amp; NP'!AI203</f>
        <v>0</v>
      </c>
      <c r="CG10" s="87">
        <f>'P &amp; NP'!AJ203</f>
        <v>0</v>
      </c>
      <c r="CH10" s="87">
        <f>'P &amp; NP'!AK203</f>
        <v>36100</v>
      </c>
      <c r="CI10" s="87">
        <f>'P &amp; NP'!AL203</f>
        <v>2346500</v>
      </c>
      <c r="CJ10" s="87">
        <f>'P &amp; NP'!AM203</f>
        <v>0</v>
      </c>
      <c r="CK10" s="87">
        <f>'P &amp; NP'!AN203</f>
        <v>0</v>
      </c>
      <c r="CL10" s="87">
        <f>'P &amp; NP'!AO203</f>
        <v>1434700</v>
      </c>
      <c r="CM10" s="87">
        <f>'P &amp; NP'!AP203</f>
        <v>31984800</v>
      </c>
      <c r="CN10" s="87">
        <f>'P &amp; NP'!AQ203</f>
        <v>160</v>
      </c>
      <c r="CO10" s="87">
        <f>'P &amp; NP'!AR203</f>
        <v>3840</v>
      </c>
      <c r="CP10" s="87">
        <f>'P &amp; NP'!AS203</f>
        <v>0</v>
      </c>
      <c r="CQ10" s="87">
        <f>'P &amp; NP'!AT203</f>
        <v>0</v>
      </c>
      <c r="CR10" s="87">
        <f>'P &amp; NP'!AU203</f>
        <v>2830</v>
      </c>
      <c r="CS10" s="87">
        <f>'P &amp; NP'!AV203</f>
        <v>67920</v>
      </c>
      <c r="CT10" s="92">
        <f t="shared" si="224"/>
        <v>1473790</v>
      </c>
      <c r="CU10" s="92">
        <f t="shared" si="225"/>
        <v>34403060</v>
      </c>
      <c r="CV10" s="87">
        <f>'P &amp; NP'!AI241</f>
        <v>0</v>
      </c>
      <c r="CW10" s="87">
        <f>'P &amp; NP'!AJ241</f>
        <v>0</v>
      </c>
      <c r="CX10" s="87">
        <f>'P &amp; NP'!AK241</f>
        <v>37900</v>
      </c>
      <c r="CY10" s="87">
        <f>'P &amp; NP'!AL241</f>
        <v>2463500</v>
      </c>
      <c r="CZ10" s="87">
        <f>'P &amp; NP'!AO241</f>
        <v>1448200</v>
      </c>
      <c r="DA10" s="87">
        <f>'P &amp; NP'!AP241</f>
        <v>32260500</v>
      </c>
      <c r="DB10" s="87">
        <f>'P &amp; NP'!AQ241</f>
        <v>170</v>
      </c>
      <c r="DC10" s="87">
        <f>'P &amp; NP'!AR241</f>
        <v>4080</v>
      </c>
      <c r="DD10" s="87">
        <f>'P &amp; NP'!AS241</f>
        <v>0</v>
      </c>
      <c r="DE10" s="87">
        <f>'P &amp; NP'!AT241</f>
        <v>0</v>
      </c>
      <c r="DF10" s="87">
        <f>'P &amp; NP'!AU241</f>
        <v>2190</v>
      </c>
      <c r="DG10" s="87">
        <f>'P &amp; NP'!AV241</f>
        <v>52560</v>
      </c>
      <c r="DH10" s="87">
        <f t="shared" si="226"/>
        <v>1488460</v>
      </c>
      <c r="DI10" s="87">
        <f t="shared" si="227"/>
        <v>34780640</v>
      </c>
      <c r="DJ10" s="92">
        <f>'P &amp; NP'!AI279</f>
        <v>0</v>
      </c>
      <c r="DK10" s="92">
        <f>'P &amp; NP'!AJ279</f>
        <v>0</v>
      </c>
      <c r="DL10" s="87">
        <f>'P &amp; NP'!AK279</f>
        <v>37200</v>
      </c>
      <c r="DM10" s="87">
        <f>'P &amp; NP'!AL279</f>
        <v>2418000</v>
      </c>
      <c r="DN10" s="87">
        <f>'P &amp; NP'!AO279</f>
        <v>1441500</v>
      </c>
      <c r="DO10" s="87">
        <f>'P &amp; NP'!AP279</f>
        <v>32091200</v>
      </c>
      <c r="DP10" s="87">
        <f>'P &amp; NP'!AQ279</f>
        <v>150</v>
      </c>
      <c r="DQ10" s="87">
        <f>'P &amp; NP'!AR279</f>
        <v>3600</v>
      </c>
      <c r="DR10" s="87">
        <f>'P &amp; NP'!AS279</f>
        <v>0</v>
      </c>
      <c r="DS10" s="87">
        <f>'P &amp; NP'!AT279</f>
        <v>0</v>
      </c>
      <c r="DT10" s="87">
        <f>'P &amp; NP'!AU279</f>
        <v>2050</v>
      </c>
      <c r="DU10" s="87">
        <f>'P &amp; NP'!AV279</f>
        <v>49200</v>
      </c>
      <c r="DV10" s="87">
        <f t="shared" si="228"/>
        <v>1480900</v>
      </c>
      <c r="DW10" s="87">
        <f t="shared" si="229"/>
        <v>34562000</v>
      </c>
      <c r="DX10" s="87">
        <f>'P &amp; NP'!AI317</f>
        <v>0</v>
      </c>
      <c r="DY10" s="87">
        <f>'P &amp; NP'!AJ317</f>
        <v>0</v>
      </c>
      <c r="DZ10" s="92">
        <f>'P &amp; NP'!AK317</f>
        <v>37700</v>
      </c>
      <c r="EA10" s="92">
        <f>'P &amp; NP'!AL317</f>
        <v>2450500</v>
      </c>
      <c r="EB10" s="87">
        <f>'P &amp; NP'!AO317</f>
        <v>1270500</v>
      </c>
      <c r="EC10" s="87">
        <f>'P &amp; NP'!AP317</f>
        <v>29154800</v>
      </c>
      <c r="ED10" s="87">
        <f>'P &amp; NP'!AQ317</f>
        <v>150</v>
      </c>
      <c r="EE10" s="87">
        <f>'P &amp; NP'!AR317</f>
        <v>3600</v>
      </c>
      <c r="EF10" s="87">
        <f>'P &amp; NP'!AS317</f>
        <v>0</v>
      </c>
      <c r="EG10" s="87">
        <f>'P &amp; NP'!AT317</f>
        <v>0</v>
      </c>
      <c r="EH10" s="87">
        <f>'P &amp; NP'!AU317</f>
        <v>2150</v>
      </c>
      <c r="EI10" s="87">
        <f>'P &amp; NP'!AV317</f>
        <v>51600</v>
      </c>
      <c r="EJ10" s="87">
        <f t="shared" si="230"/>
        <v>1310500</v>
      </c>
      <c r="EK10" s="87">
        <f t="shared" si="231"/>
        <v>31660500</v>
      </c>
      <c r="EL10" s="87">
        <f>'P &amp; NP'!AI355</f>
        <v>0</v>
      </c>
      <c r="EM10" s="87">
        <f>'P &amp; NP'!AJ355</f>
        <v>0</v>
      </c>
      <c r="EN10" s="87">
        <f>'P &amp; NP'!AK355</f>
        <v>36400</v>
      </c>
      <c r="EO10" s="87">
        <f>'P &amp; NP'!AL355</f>
        <v>2366000</v>
      </c>
      <c r="EP10" s="92">
        <f>'P &amp; NP'!AO355</f>
        <v>1530300</v>
      </c>
      <c r="EQ10" s="92">
        <f>'P &amp; NP'!AP355</f>
        <v>34818500</v>
      </c>
      <c r="ER10" s="87">
        <f>'P &amp; NP'!AQ355</f>
        <v>130</v>
      </c>
      <c r="ES10" s="87">
        <f>'P &amp; NP'!AR355</f>
        <v>3120</v>
      </c>
      <c r="ET10" s="87">
        <f>'P &amp; NP'!AS355</f>
        <v>0</v>
      </c>
      <c r="EU10" s="87">
        <f>'P &amp; NP'!AT355</f>
        <v>0</v>
      </c>
      <c r="EV10" s="87">
        <f>'P &amp; NP'!AU355</f>
        <v>2085</v>
      </c>
      <c r="EW10" s="87">
        <f>'P &amp; NP'!AV355</f>
        <v>50040</v>
      </c>
      <c r="EX10" s="87">
        <f t="shared" si="232"/>
        <v>1568915</v>
      </c>
      <c r="EY10" s="87">
        <f t="shared" si="233"/>
        <v>37237660</v>
      </c>
      <c r="EZ10" s="87">
        <f>'P &amp; NP'!AI393</f>
        <v>0</v>
      </c>
      <c r="FA10" s="87">
        <f>'P &amp; NP'!AJ393</f>
        <v>0</v>
      </c>
      <c r="FB10" s="87">
        <f>'P &amp; NP'!AK393</f>
        <v>36300</v>
      </c>
      <c r="FC10" s="87">
        <f>'P &amp; NP'!AL393</f>
        <v>2359500</v>
      </c>
      <c r="FD10" s="87">
        <f>'P &amp; NP'!AO393</f>
        <v>1603100</v>
      </c>
      <c r="FE10" s="87">
        <f>'P &amp; NP'!AP393</f>
        <v>36565200</v>
      </c>
      <c r="FF10" s="92">
        <f>'P &amp; NP'!AQ393</f>
        <v>150</v>
      </c>
      <c r="FG10" s="92">
        <f>'P &amp; NP'!AR393</f>
        <v>3600</v>
      </c>
      <c r="FH10" s="87">
        <f>'P &amp; NP'!AS393</f>
        <v>0</v>
      </c>
      <c r="FI10" s="87">
        <f>'P &amp; NP'!AT393</f>
        <v>0</v>
      </c>
      <c r="FJ10" s="87">
        <f>'P &amp; NP'!AU393</f>
        <v>1910</v>
      </c>
      <c r="FK10" s="87">
        <f>'P &amp; NP'!AV393</f>
        <v>45840</v>
      </c>
      <c r="FL10" s="87">
        <f t="shared" si="234"/>
        <v>1641460</v>
      </c>
      <c r="FM10" s="87">
        <f t="shared" si="235"/>
        <v>38974140</v>
      </c>
      <c r="FN10" s="87">
        <f>'P &amp; NP'!AI431</f>
        <v>0</v>
      </c>
      <c r="FO10" s="87">
        <f>'P &amp; NP'!AJ431</f>
        <v>0</v>
      </c>
      <c r="FP10" s="87">
        <f>'P &amp; NP'!AK431</f>
        <v>36600</v>
      </c>
      <c r="FQ10" s="87">
        <f>'P &amp; NP'!AL431</f>
        <v>2379000</v>
      </c>
      <c r="FR10" s="87">
        <f>'P &amp; NP'!AO431</f>
        <v>1621800</v>
      </c>
      <c r="FS10" s="87">
        <f>'P &amp; NP'!AP431</f>
        <v>37079400</v>
      </c>
      <c r="FT10" s="87">
        <f>'P &amp; NP'!AQ431</f>
        <v>100</v>
      </c>
      <c r="FU10" s="87">
        <f>'P &amp; NP'!AR431</f>
        <v>2400</v>
      </c>
      <c r="FV10" s="92">
        <f>'P &amp; NP'!AS431</f>
        <v>0</v>
      </c>
      <c r="FW10" s="92">
        <f>'P &amp; NP'!AT431</f>
        <v>0</v>
      </c>
      <c r="FX10" s="87">
        <f>'P &amp; NP'!AU431</f>
        <v>1770</v>
      </c>
      <c r="FY10" s="87">
        <f>'P &amp; NP'!AV431</f>
        <v>42480</v>
      </c>
      <c r="FZ10" s="87">
        <f t="shared" si="236"/>
        <v>1660270</v>
      </c>
      <c r="GA10" s="87">
        <f t="shared" si="237"/>
        <v>39503280</v>
      </c>
      <c r="GC10" s="609">
        <f t="shared" si="164"/>
        <v>0</v>
      </c>
      <c r="GD10" s="609">
        <f t="shared" si="165"/>
        <v>0</v>
      </c>
      <c r="GE10" s="609">
        <f t="shared" si="166"/>
        <v>105000</v>
      </c>
      <c r="GF10" s="609">
        <f t="shared" si="167"/>
        <v>6825000</v>
      </c>
      <c r="GG10" s="609">
        <f t="shared" si="168"/>
        <v>4025700</v>
      </c>
      <c r="GH10" s="609">
        <f t="shared" si="169"/>
        <v>88022700</v>
      </c>
      <c r="GI10" s="609">
        <f t="shared" si="170"/>
        <v>420</v>
      </c>
      <c r="GJ10" s="609">
        <f t="shared" si="171"/>
        <v>10300</v>
      </c>
      <c r="GK10" s="609">
        <f t="shared" si="172"/>
        <v>0</v>
      </c>
      <c r="GL10" s="609">
        <f t="shared" si="173"/>
        <v>0</v>
      </c>
      <c r="GM10" s="609">
        <f t="shared" si="174"/>
        <v>7060</v>
      </c>
      <c r="GN10" s="609">
        <f t="shared" si="175"/>
        <v>173940</v>
      </c>
      <c r="GO10" s="640">
        <f t="shared" si="238"/>
        <v>4138180</v>
      </c>
      <c r="GP10" s="640">
        <f t="shared" si="239"/>
        <v>95031940</v>
      </c>
      <c r="GR10" s="609">
        <f t="shared" si="176"/>
        <v>0</v>
      </c>
      <c r="GS10" s="609">
        <f t="shared" si="177"/>
        <v>0</v>
      </c>
      <c r="GT10" s="609">
        <f t="shared" si="178"/>
        <v>109000</v>
      </c>
      <c r="GU10" s="609">
        <f t="shared" si="179"/>
        <v>7085000</v>
      </c>
      <c r="GV10" s="609">
        <f t="shared" si="180"/>
        <v>4329200</v>
      </c>
      <c r="GW10" s="609">
        <f t="shared" si="181"/>
        <v>95119800</v>
      </c>
      <c r="GX10" s="609">
        <f t="shared" si="182"/>
        <v>550</v>
      </c>
      <c r="GY10" s="609">
        <f t="shared" si="183"/>
        <v>13200</v>
      </c>
      <c r="GZ10" s="609">
        <f t="shared" si="184"/>
        <v>0</v>
      </c>
      <c r="HA10" s="609">
        <f t="shared" si="185"/>
        <v>0</v>
      </c>
      <c r="HB10" s="609">
        <f t="shared" si="186"/>
        <v>8990</v>
      </c>
      <c r="HC10" s="609">
        <f t="shared" si="187"/>
        <v>215760</v>
      </c>
      <c r="HD10" s="640">
        <f t="shared" si="240"/>
        <v>4447740</v>
      </c>
      <c r="HE10" s="640">
        <f t="shared" si="241"/>
        <v>102433760</v>
      </c>
      <c r="HG10" s="609">
        <f t="shared" si="188"/>
        <v>0</v>
      </c>
      <c r="HH10" s="609">
        <f t="shared" si="189"/>
        <v>0</v>
      </c>
      <c r="HI10" s="609">
        <f t="shared" si="190"/>
        <v>112800</v>
      </c>
      <c r="HJ10" s="609">
        <f t="shared" si="191"/>
        <v>7332000</v>
      </c>
      <c r="HK10" s="609">
        <f t="shared" si="192"/>
        <v>4160200</v>
      </c>
      <c r="HL10" s="609">
        <f t="shared" si="193"/>
        <v>93506500</v>
      </c>
      <c r="HM10" s="609">
        <f t="shared" si="194"/>
        <v>470</v>
      </c>
      <c r="HN10" s="609">
        <f t="shared" si="195"/>
        <v>11280</v>
      </c>
      <c r="HO10" s="609">
        <f t="shared" si="196"/>
        <v>0</v>
      </c>
      <c r="HP10" s="609">
        <f t="shared" si="197"/>
        <v>0</v>
      </c>
      <c r="HQ10" s="609">
        <f t="shared" si="198"/>
        <v>6390</v>
      </c>
      <c r="HR10" s="609">
        <f t="shared" si="199"/>
        <v>153360</v>
      </c>
      <c r="HS10" s="640">
        <f t="shared" si="242"/>
        <v>4279860</v>
      </c>
      <c r="HT10" s="640">
        <f t="shared" si="243"/>
        <v>101003140</v>
      </c>
      <c r="HV10" s="609">
        <f t="shared" si="200"/>
        <v>0</v>
      </c>
      <c r="HW10" s="609">
        <f t="shared" si="201"/>
        <v>0</v>
      </c>
      <c r="HX10" s="609">
        <f t="shared" si="202"/>
        <v>109300</v>
      </c>
      <c r="HY10" s="609">
        <f t="shared" si="203"/>
        <v>7104500</v>
      </c>
      <c r="HZ10" s="609">
        <f t="shared" si="204"/>
        <v>4755200</v>
      </c>
      <c r="IA10" s="609">
        <f t="shared" si="205"/>
        <v>108463100</v>
      </c>
      <c r="IB10" s="609">
        <f t="shared" si="206"/>
        <v>380</v>
      </c>
      <c r="IC10" s="609">
        <f t="shared" si="207"/>
        <v>9120</v>
      </c>
      <c r="ID10" s="609">
        <f t="shared" si="208"/>
        <v>0</v>
      </c>
      <c r="IE10" s="609">
        <f t="shared" si="209"/>
        <v>0</v>
      </c>
      <c r="IF10" s="609">
        <f t="shared" si="210"/>
        <v>5765</v>
      </c>
      <c r="IG10" s="609">
        <f t="shared" si="211"/>
        <v>138360</v>
      </c>
      <c r="IH10" s="640">
        <f t="shared" si="244"/>
        <v>4870645</v>
      </c>
      <c r="II10" s="640">
        <f t="shared" si="245"/>
        <v>115715080</v>
      </c>
    </row>
    <row r="11" spans="1:246">
      <c r="A11" s="484" t="s">
        <v>133</v>
      </c>
      <c r="B11" s="484">
        <f t="shared" si="212"/>
        <v>5384128</v>
      </c>
      <c r="C11" s="484">
        <f t="shared" si="213"/>
        <v>107861227.5</v>
      </c>
      <c r="D11" s="87">
        <f>'P &amp; NP'!AY13</f>
        <v>0</v>
      </c>
      <c r="E11" s="87">
        <f>'P &amp; NP'!AZ13</f>
        <v>0</v>
      </c>
      <c r="F11" s="87">
        <f>'P &amp; NP'!BA13</f>
        <v>0</v>
      </c>
      <c r="G11" s="87">
        <f>'P &amp; NP'!BB13</f>
        <v>0</v>
      </c>
      <c r="H11" s="87">
        <f>'P &amp; NP'!BC13</f>
        <v>0</v>
      </c>
      <c r="I11" s="87">
        <f>'P &amp; NP'!BD13</f>
        <v>0</v>
      </c>
      <c r="J11" s="87">
        <f>'P &amp; NP'!BE13</f>
        <v>537648</v>
      </c>
      <c r="K11" s="87">
        <f>'P &amp; NP'!BF13</f>
        <v>10724879</v>
      </c>
      <c r="L11" s="87">
        <f>'P &amp; NP'!BG13</f>
        <v>24380</v>
      </c>
      <c r="M11" s="87">
        <f>'P &amp; NP'!BH13</f>
        <v>425579</v>
      </c>
      <c r="N11" s="87">
        <f>'P &amp; NP'!BI13</f>
        <v>0</v>
      </c>
      <c r="O11" s="87">
        <f>'P &amp; NP'!BJ13</f>
        <v>0</v>
      </c>
      <c r="P11" s="87">
        <f>'P &amp; NP'!BK13</f>
        <v>4035</v>
      </c>
      <c r="Q11" s="87">
        <f>'P &amp; NP'!BL13</f>
        <v>66721</v>
      </c>
      <c r="R11" s="92">
        <f t="shared" si="214"/>
        <v>566063</v>
      </c>
      <c r="S11" s="92">
        <f t="shared" si="215"/>
        <v>11217179</v>
      </c>
      <c r="T11" s="87">
        <f>'P &amp; NP'!AY51</f>
        <v>0</v>
      </c>
      <c r="U11" s="87">
        <f>'P &amp; NP'!AZ51</f>
        <v>0</v>
      </c>
      <c r="V11" s="87">
        <f>'P &amp; NP'!BA51</f>
        <v>0</v>
      </c>
      <c r="W11" s="87">
        <f>'P &amp; NP'!BB51</f>
        <v>0</v>
      </c>
      <c r="X11" s="87">
        <f>'P &amp; NP'!BC51</f>
        <v>0</v>
      </c>
      <c r="Y11" s="87">
        <f>'P &amp; NP'!BD51</f>
        <v>0</v>
      </c>
      <c r="Z11" s="87">
        <f>'P &amp; NP'!BE51</f>
        <v>516246</v>
      </c>
      <c r="AA11" s="87">
        <f>'P &amp; NP'!BF51</f>
        <v>10341892</v>
      </c>
      <c r="AB11" s="87">
        <f>'P &amp; NP'!BG51</f>
        <v>19657</v>
      </c>
      <c r="AC11" s="87">
        <f>'P &amp; NP'!BH51</f>
        <v>359972</v>
      </c>
      <c r="AD11" s="87">
        <f>'P &amp; NP'!BI51</f>
        <v>0</v>
      </c>
      <c r="AE11" s="87">
        <f>'P &amp; NP'!BJ51</f>
        <v>0</v>
      </c>
      <c r="AF11" s="87">
        <f>'P &amp; NP'!BK51</f>
        <v>4242</v>
      </c>
      <c r="AG11" s="87">
        <f>'P &amp; NP'!BL51</f>
        <v>72480</v>
      </c>
      <c r="AH11" s="92">
        <f t="shared" si="216"/>
        <v>540145</v>
      </c>
      <c r="AI11" s="92">
        <f t="shared" si="217"/>
        <v>10774344</v>
      </c>
      <c r="AJ11" s="87">
        <f>'P &amp; NP'!AY89</f>
        <v>0</v>
      </c>
      <c r="AK11" s="87">
        <f>'P &amp; NP'!AZ89</f>
        <v>0</v>
      </c>
      <c r="AL11" s="87">
        <f>'P &amp; NP'!BA89</f>
        <v>0</v>
      </c>
      <c r="AM11" s="87">
        <f>'P &amp; NP'!BB89</f>
        <v>0</v>
      </c>
      <c r="AN11" s="87">
        <f>'P &amp; NP'!BC89</f>
        <v>0</v>
      </c>
      <c r="AO11" s="87">
        <f>'P &amp; NP'!BD89</f>
        <v>0</v>
      </c>
      <c r="AP11" s="87">
        <f>'P &amp; NP'!BE89</f>
        <v>488845</v>
      </c>
      <c r="AQ11" s="87">
        <f>'P &amp; NP'!BF89</f>
        <v>9843470</v>
      </c>
      <c r="AR11" s="87">
        <f>'P &amp; NP'!BG89</f>
        <v>12735</v>
      </c>
      <c r="AS11" s="87">
        <f>'P &amp; NP'!BH89</f>
        <v>265196</v>
      </c>
      <c r="AT11" s="87">
        <f>'P &amp; NP'!BI89</f>
        <v>0</v>
      </c>
      <c r="AU11" s="87">
        <f>'P &amp; NP'!BJ89</f>
        <v>0</v>
      </c>
      <c r="AV11" s="87">
        <f>'P &amp; NP'!BK89</f>
        <v>3247</v>
      </c>
      <c r="AW11" s="87">
        <f>'P &amp; NP'!BL89</f>
        <v>54730</v>
      </c>
      <c r="AX11" s="92">
        <f t="shared" si="218"/>
        <v>504827</v>
      </c>
      <c r="AY11" s="92">
        <f t="shared" si="219"/>
        <v>10163396</v>
      </c>
      <c r="AZ11" s="87">
        <f>'P &amp; NP'!AY127</f>
        <v>0</v>
      </c>
      <c r="BA11" s="87">
        <f>'P &amp; NP'!AZ127</f>
        <v>0</v>
      </c>
      <c r="BB11" s="87">
        <f>'P &amp; NP'!BA127</f>
        <v>0</v>
      </c>
      <c r="BC11" s="87">
        <f>'P &amp; NP'!BB127</f>
        <v>0</v>
      </c>
      <c r="BD11" s="87">
        <f>'P &amp; NP'!BC127</f>
        <v>0</v>
      </c>
      <c r="BE11" s="87">
        <f>'P &amp; NP'!BD127</f>
        <v>0</v>
      </c>
      <c r="BF11" s="87">
        <f>'P &amp; NP'!BE127</f>
        <v>447886</v>
      </c>
      <c r="BG11" s="87">
        <f>'P &amp; NP'!BF127</f>
        <v>9068208</v>
      </c>
      <c r="BH11" s="87">
        <f>'P &amp; NP'!BG127</f>
        <v>10012</v>
      </c>
      <c r="BI11" s="87">
        <f>'P &amp; NP'!BH127</f>
        <v>221568</v>
      </c>
      <c r="BJ11" s="87">
        <f>'P &amp; NP'!BI127</f>
        <v>0</v>
      </c>
      <c r="BK11" s="87">
        <f>'P &amp; NP'!BJ127</f>
        <v>0</v>
      </c>
      <c r="BL11" s="87">
        <f>'P &amp; NP'!BK127</f>
        <v>2672</v>
      </c>
      <c r="BM11" s="87">
        <f>'P &amp; NP'!BL127</f>
        <v>46451</v>
      </c>
      <c r="BN11" s="92">
        <f t="shared" si="220"/>
        <v>460570</v>
      </c>
      <c r="BO11" s="92">
        <f t="shared" si="221"/>
        <v>9336227</v>
      </c>
      <c r="BP11" s="87">
        <f>'P &amp; NP'!AY165</f>
        <v>0</v>
      </c>
      <c r="BQ11" s="87">
        <f>'P &amp; NP'!AZ165</f>
        <v>0</v>
      </c>
      <c r="BR11" s="87">
        <f>'P &amp; NP'!BA165</f>
        <v>0</v>
      </c>
      <c r="BS11" s="87">
        <f>'P &amp; NP'!BB165</f>
        <v>0</v>
      </c>
      <c r="BT11" s="87">
        <f>'P &amp; NP'!BC165</f>
        <v>0</v>
      </c>
      <c r="BU11" s="87">
        <f>'P &amp; NP'!BD165</f>
        <v>0</v>
      </c>
      <c r="BV11" s="87">
        <f>'P &amp; NP'!BE165</f>
        <v>412161</v>
      </c>
      <c r="BW11" s="87">
        <f>'P &amp; NP'!BF165</f>
        <v>8371618</v>
      </c>
      <c r="BX11" s="87">
        <f>'P &amp; NP'!BG165</f>
        <v>8573</v>
      </c>
      <c r="BY11" s="87">
        <f>'P &amp; NP'!BH165</f>
        <v>193109</v>
      </c>
      <c r="BZ11" s="87">
        <f>'P &amp; NP'!BI165</f>
        <v>0</v>
      </c>
      <c r="CA11" s="87">
        <f>'P &amp; NP'!BJ165</f>
        <v>0</v>
      </c>
      <c r="CB11" s="87">
        <f>'P &amp; NP'!BK165</f>
        <v>1646</v>
      </c>
      <c r="CC11" s="87">
        <f>'P &amp; NP'!BL165</f>
        <v>28040</v>
      </c>
      <c r="CD11" s="92">
        <f t="shared" si="222"/>
        <v>422380</v>
      </c>
      <c r="CE11" s="92">
        <f t="shared" si="223"/>
        <v>8592767</v>
      </c>
      <c r="CF11" s="87">
        <f>'P &amp; NP'!AY203</f>
        <v>0</v>
      </c>
      <c r="CG11" s="87">
        <f>'P &amp; NP'!AZ203</f>
        <v>0</v>
      </c>
      <c r="CH11" s="87">
        <f>'P &amp; NP'!BA203</f>
        <v>0</v>
      </c>
      <c r="CI11" s="87">
        <f>'P &amp; NP'!BB203</f>
        <v>0</v>
      </c>
      <c r="CJ11" s="87">
        <f>'P &amp; NP'!BC203</f>
        <v>0</v>
      </c>
      <c r="CK11" s="87">
        <f>'P &amp; NP'!BD203</f>
        <v>0</v>
      </c>
      <c r="CL11" s="87">
        <f>'P &amp; NP'!BE203</f>
        <v>378066</v>
      </c>
      <c r="CM11" s="87">
        <f>'P &amp; NP'!BF203</f>
        <v>7683089</v>
      </c>
      <c r="CN11" s="87">
        <f>'P &amp; NP'!BG203</f>
        <v>4470</v>
      </c>
      <c r="CO11" s="87">
        <f>'P &amp; NP'!BH203</f>
        <v>111750</v>
      </c>
      <c r="CP11" s="87">
        <f>'P &amp; NP'!BI203</f>
        <v>0</v>
      </c>
      <c r="CQ11" s="87">
        <f>'P &amp; NP'!BJ203</f>
        <v>0</v>
      </c>
      <c r="CR11" s="87">
        <f>'P &amp; NP'!BK203</f>
        <v>1220</v>
      </c>
      <c r="CS11" s="87">
        <f>'P &amp; NP'!BL203</f>
        <v>20675</v>
      </c>
      <c r="CT11" s="92">
        <f t="shared" si="224"/>
        <v>383756</v>
      </c>
      <c r="CU11" s="92">
        <f t="shared" si="225"/>
        <v>7815514</v>
      </c>
      <c r="CV11" s="87">
        <f>'P &amp; NP'!AY241</f>
        <v>0</v>
      </c>
      <c r="CW11" s="87">
        <f>'P &amp; NP'!AZ241</f>
        <v>0</v>
      </c>
      <c r="CX11" s="87">
        <f>'P &amp; NP'!BA241</f>
        <v>0</v>
      </c>
      <c r="CY11" s="87">
        <f>'P &amp; NP'!BB241</f>
        <v>0</v>
      </c>
      <c r="CZ11" s="87">
        <f>'P &amp; NP'!BE241</f>
        <v>330496</v>
      </c>
      <c r="DA11" s="87">
        <f>'P &amp; NP'!BF241</f>
        <v>6763176</v>
      </c>
      <c r="DB11" s="87">
        <f>'P &amp; NP'!BG241</f>
        <v>323</v>
      </c>
      <c r="DC11" s="87">
        <f>'P &amp; NP'!BH241</f>
        <v>8075</v>
      </c>
      <c r="DD11" s="87">
        <f>'P &amp; NP'!BI241</f>
        <v>0</v>
      </c>
      <c r="DE11" s="87">
        <f>'P &amp; NP'!BJ241</f>
        <v>0</v>
      </c>
      <c r="DF11" s="87">
        <f>'P &amp; NP'!BK241</f>
        <v>765</v>
      </c>
      <c r="DG11" s="87">
        <f>'P &amp; NP'!BL241</f>
        <v>12645</v>
      </c>
      <c r="DH11" s="87">
        <f t="shared" si="226"/>
        <v>331584</v>
      </c>
      <c r="DI11" s="87">
        <f t="shared" si="227"/>
        <v>6783896</v>
      </c>
      <c r="DJ11" s="92">
        <f>'P &amp; NP'!AY279</f>
        <v>0</v>
      </c>
      <c r="DK11" s="92">
        <f>'P &amp; NP'!AZ279</f>
        <v>0</v>
      </c>
      <c r="DL11" s="87">
        <f>'P &amp; NP'!BA279</f>
        <v>0</v>
      </c>
      <c r="DM11" s="87">
        <f>'P &amp; NP'!BB279</f>
        <v>0</v>
      </c>
      <c r="DN11" s="87">
        <f>'P &amp; NP'!BE279</f>
        <v>344298</v>
      </c>
      <c r="DO11" s="87">
        <f>'P &amp; NP'!BF279</f>
        <v>6999497</v>
      </c>
      <c r="DP11" s="87">
        <f>'P &amp; NP'!BG279</f>
        <v>412</v>
      </c>
      <c r="DQ11" s="87">
        <f>'P &amp; NP'!BH279</f>
        <v>10300</v>
      </c>
      <c r="DR11" s="87">
        <f>'P &amp; NP'!BI279</f>
        <v>0</v>
      </c>
      <c r="DS11" s="87">
        <f>'P &amp; NP'!BJ279</f>
        <v>0</v>
      </c>
      <c r="DT11" s="87">
        <f>'P &amp; NP'!BK279</f>
        <v>943</v>
      </c>
      <c r="DU11" s="87">
        <f>'P &amp; NP'!BL279</f>
        <v>16900</v>
      </c>
      <c r="DV11" s="87">
        <f t="shared" si="228"/>
        <v>345653</v>
      </c>
      <c r="DW11" s="87">
        <f t="shared" si="229"/>
        <v>7026697</v>
      </c>
      <c r="DX11" s="87">
        <f>'P &amp; NP'!AY317</f>
        <v>0</v>
      </c>
      <c r="DY11" s="87">
        <f>'P &amp; NP'!AZ317</f>
        <v>0</v>
      </c>
      <c r="DZ11" s="92">
        <f>'P &amp; NP'!BA317</f>
        <v>0</v>
      </c>
      <c r="EA11" s="92">
        <f>'P &amp; NP'!BB317</f>
        <v>0</v>
      </c>
      <c r="EB11" s="87">
        <f>'P &amp; NP'!BE317</f>
        <v>384462</v>
      </c>
      <c r="EC11" s="87">
        <f>'P &amp; NP'!BF317</f>
        <v>7658808.5</v>
      </c>
      <c r="ED11" s="87">
        <f>'P &amp; NP'!BG317</f>
        <v>568</v>
      </c>
      <c r="EE11" s="87">
        <f>'P &amp; NP'!BH317</f>
        <v>14200</v>
      </c>
      <c r="EF11" s="87">
        <f>'P &amp; NP'!BI317</f>
        <v>0</v>
      </c>
      <c r="EG11" s="87">
        <f>'P &amp; NP'!BJ317</f>
        <v>0</v>
      </c>
      <c r="EH11" s="87">
        <f>'P &amp; NP'!BK317</f>
        <v>1555</v>
      </c>
      <c r="EI11" s="87">
        <f>'P &amp; NP'!BL317</f>
        <v>25495</v>
      </c>
      <c r="EJ11" s="87">
        <f t="shared" si="230"/>
        <v>386585</v>
      </c>
      <c r="EK11" s="87">
        <f t="shared" si="231"/>
        <v>7698503.5</v>
      </c>
      <c r="EL11" s="87">
        <f>'P &amp; NP'!AY355</f>
        <v>0</v>
      </c>
      <c r="EM11" s="87">
        <f>'P &amp; NP'!AZ355</f>
        <v>0</v>
      </c>
      <c r="EN11" s="87">
        <f>'P &amp; NP'!BA355</f>
        <v>0</v>
      </c>
      <c r="EO11" s="87">
        <f>'P &amp; NP'!BB355</f>
        <v>0</v>
      </c>
      <c r="EP11" s="92">
        <f>'P &amp; NP'!BE355</f>
        <v>418951</v>
      </c>
      <c r="EQ11" s="92">
        <f>'P &amp; NP'!BF355</f>
        <v>8330310</v>
      </c>
      <c r="ER11" s="87">
        <f>'P &amp; NP'!BG355</f>
        <v>846</v>
      </c>
      <c r="ES11" s="87">
        <f>'P &amp; NP'!BH355</f>
        <v>19275</v>
      </c>
      <c r="ET11" s="87">
        <f>'P &amp; NP'!BI355</f>
        <v>0</v>
      </c>
      <c r="EU11" s="87">
        <f>'P &amp; NP'!BJ355</f>
        <v>0</v>
      </c>
      <c r="EV11" s="87">
        <f>'P &amp; NP'!BK355</f>
        <v>2799</v>
      </c>
      <c r="EW11" s="87">
        <f>'P &amp; NP'!BL355</f>
        <v>45577</v>
      </c>
      <c r="EX11" s="87">
        <f t="shared" si="232"/>
        <v>422596</v>
      </c>
      <c r="EY11" s="87">
        <f t="shared" si="233"/>
        <v>8395162</v>
      </c>
      <c r="EZ11" s="87">
        <f>'P &amp; NP'!AY393</f>
        <v>0</v>
      </c>
      <c r="FA11" s="87">
        <f>'P &amp; NP'!AZ393</f>
        <v>0</v>
      </c>
      <c r="FB11" s="87">
        <f>'P &amp; NP'!BA393</f>
        <v>0</v>
      </c>
      <c r="FC11" s="87">
        <f>'P &amp; NP'!BB393</f>
        <v>0</v>
      </c>
      <c r="FD11" s="87">
        <f>'P &amp; NP'!BE393</f>
        <v>500677</v>
      </c>
      <c r="FE11" s="87">
        <f>'P &amp; NP'!BF393</f>
        <v>9860077</v>
      </c>
      <c r="FF11" s="92">
        <f>'P &amp; NP'!BG393</f>
        <v>1129</v>
      </c>
      <c r="FG11" s="92">
        <f>'P &amp; NP'!BH393</f>
        <v>26080</v>
      </c>
      <c r="FH11" s="87">
        <f>'P &amp; NP'!BI393</f>
        <v>0</v>
      </c>
      <c r="FI11" s="87">
        <f>'P &amp; NP'!BJ393</f>
        <v>0</v>
      </c>
      <c r="FJ11" s="87">
        <f>'P &amp; NP'!BK393</f>
        <v>3811</v>
      </c>
      <c r="FK11" s="87">
        <f>'P &amp; NP'!BL393</f>
        <v>61485</v>
      </c>
      <c r="FL11" s="87">
        <f t="shared" si="234"/>
        <v>505617</v>
      </c>
      <c r="FM11" s="87">
        <f t="shared" si="235"/>
        <v>9947642</v>
      </c>
      <c r="FN11" s="87">
        <f>'P &amp; NP'!AY431</f>
        <v>0</v>
      </c>
      <c r="FO11" s="87">
        <f>'P &amp; NP'!AZ431</f>
        <v>0</v>
      </c>
      <c r="FP11" s="87">
        <f>'P &amp; NP'!BA431</f>
        <v>0</v>
      </c>
      <c r="FQ11" s="87">
        <f>'P &amp; NP'!BB431</f>
        <v>0</v>
      </c>
      <c r="FR11" s="87">
        <f>'P &amp; NP'!BE431</f>
        <v>508669</v>
      </c>
      <c r="FS11" s="87">
        <f>'P &amp; NP'!BF431</f>
        <v>10011381</v>
      </c>
      <c r="FT11" s="87">
        <f>'P &amp; NP'!BG431</f>
        <v>1117</v>
      </c>
      <c r="FU11" s="87">
        <f>'P &amp; NP'!BH431</f>
        <v>25495</v>
      </c>
      <c r="FV11" s="92">
        <f>'P &amp; NP'!BI431</f>
        <v>0</v>
      </c>
      <c r="FW11" s="92">
        <f>'P &amp; NP'!BJ431</f>
        <v>0</v>
      </c>
      <c r="FX11" s="87">
        <f>'P &amp; NP'!BK431</f>
        <v>4566</v>
      </c>
      <c r="FY11" s="87">
        <f>'P &amp; NP'!BL431</f>
        <v>73024</v>
      </c>
      <c r="FZ11" s="87">
        <f t="shared" si="236"/>
        <v>514352</v>
      </c>
      <c r="GA11" s="87">
        <f t="shared" si="237"/>
        <v>10109900</v>
      </c>
      <c r="GC11" s="609">
        <f t="shared" si="164"/>
        <v>0</v>
      </c>
      <c r="GD11" s="609">
        <f t="shared" si="165"/>
        <v>0</v>
      </c>
      <c r="GE11" s="609">
        <f t="shared" si="166"/>
        <v>0</v>
      </c>
      <c r="GF11" s="609">
        <f t="shared" si="167"/>
        <v>0</v>
      </c>
      <c r="GG11" s="609">
        <f t="shared" si="168"/>
        <v>1542739</v>
      </c>
      <c r="GH11" s="609">
        <f t="shared" si="169"/>
        <v>30910241</v>
      </c>
      <c r="GI11" s="609">
        <f t="shared" si="170"/>
        <v>56772</v>
      </c>
      <c r="GJ11" s="609">
        <f t="shared" si="171"/>
        <v>1050747</v>
      </c>
      <c r="GK11" s="609">
        <f t="shared" si="172"/>
        <v>0</v>
      </c>
      <c r="GL11" s="609">
        <f t="shared" si="173"/>
        <v>0</v>
      </c>
      <c r="GM11" s="609">
        <f t="shared" si="174"/>
        <v>11524</v>
      </c>
      <c r="GN11" s="609">
        <f t="shared" si="175"/>
        <v>193931</v>
      </c>
      <c r="GO11" s="640">
        <f t="shared" si="238"/>
        <v>1611035</v>
      </c>
      <c r="GP11" s="640">
        <f t="shared" si="239"/>
        <v>32154919</v>
      </c>
      <c r="GR11" s="609">
        <f t="shared" si="176"/>
        <v>0</v>
      </c>
      <c r="GS11" s="609">
        <f t="shared" si="177"/>
        <v>0</v>
      </c>
      <c r="GT11" s="609">
        <f t="shared" si="178"/>
        <v>0</v>
      </c>
      <c r="GU11" s="609">
        <f t="shared" si="179"/>
        <v>0</v>
      </c>
      <c r="GV11" s="609">
        <f t="shared" si="180"/>
        <v>1238113</v>
      </c>
      <c r="GW11" s="609">
        <f t="shared" si="181"/>
        <v>25122915</v>
      </c>
      <c r="GX11" s="609">
        <f t="shared" si="182"/>
        <v>23055</v>
      </c>
      <c r="GY11" s="609">
        <f t="shared" si="183"/>
        <v>526427</v>
      </c>
      <c r="GZ11" s="609">
        <f t="shared" si="184"/>
        <v>0</v>
      </c>
      <c r="HA11" s="609">
        <f t="shared" si="185"/>
        <v>0</v>
      </c>
      <c r="HB11" s="609">
        <f t="shared" si="186"/>
        <v>5538</v>
      </c>
      <c r="HC11" s="609">
        <f t="shared" si="187"/>
        <v>95166</v>
      </c>
      <c r="HD11" s="640">
        <f t="shared" si="240"/>
        <v>1266706</v>
      </c>
      <c r="HE11" s="640">
        <f t="shared" si="241"/>
        <v>25744508</v>
      </c>
      <c r="HG11" s="609">
        <f t="shared" si="188"/>
        <v>0</v>
      </c>
      <c r="HH11" s="609">
        <f t="shared" si="189"/>
        <v>0</v>
      </c>
      <c r="HI11" s="609">
        <f t="shared" si="190"/>
        <v>0</v>
      </c>
      <c r="HJ11" s="609">
        <f t="shared" si="191"/>
        <v>0</v>
      </c>
      <c r="HK11" s="609">
        <f t="shared" si="192"/>
        <v>1059256</v>
      </c>
      <c r="HL11" s="609">
        <f t="shared" si="193"/>
        <v>21421481.5</v>
      </c>
      <c r="HM11" s="609">
        <f t="shared" si="194"/>
        <v>1303</v>
      </c>
      <c r="HN11" s="609">
        <f t="shared" si="195"/>
        <v>32575</v>
      </c>
      <c r="HO11" s="609">
        <f t="shared" si="196"/>
        <v>0</v>
      </c>
      <c r="HP11" s="609">
        <f t="shared" si="197"/>
        <v>0</v>
      </c>
      <c r="HQ11" s="609">
        <f t="shared" si="198"/>
        <v>3263</v>
      </c>
      <c r="HR11" s="609">
        <f t="shared" si="199"/>
        <v>55040</v>
      </c>
      <c r="HS11" s="640">
        <f t="shared" si="242"/>
        <v>1063822</v>
      </c>
      <c r="HT11" s="640">
        <f t="shared" si="243"/>
        <v>21509096.5</v>
      </c>
      <c r="HV11" s="609">
        <f t="shared" si="200"/>
        <v>0</v>
      </c>
      <c r="HW11" s="609">
        <f t="shared" si="201"/>
        <v>0</v>
      </c>
      <c r="HX11" s="609">
        <f t="shared" si="202"/>
        <v>0</v>
      </c>
      <c r="HY11" s="609">
        <f t="shared" si="203"/>
        <v>0</v>
      </c>
      <c r="HZ11" s="609">
        <f t="shared" si="204"/>
        <v>1428297</v>
      </c>
      <c r="IA11" s="609">
        <f t="shared" si="205"/>
        <v>28201768</v>
      </c>
      <c r="IB11" s="609">
        <f t="shared" si="206"/>
        <v>3092</v>
      </c>
      <c r="IC11" s="609">
        <f t="shared" si="207"/>
        <v>70850</v>
      </c>
      <c r="ID11" s="609">
        <f t="shared" si="208"/>
        <v>0</v>
      </c>
      <c r="IE11" s="609">
        <f t="shared" si="209"/>
        <v>0</v>
      </c>
      <c r="IF11" s="609">
        <f t="shared" si="210"/>
        <v>11176</v>
      </c>
      <c r="IG11" s="609">
        <f t="shared" si="211"/>
        <v>180086</v>
      </c>
      <c r="IH11" s="640">
        <f t="shared" si="244"/>
        <v>1442565</v>
      </c>
      <c r="II11" s="640">
        <f t="shared" si="245"/>
        <v>28452704</v>
      </c>
    </row>
    <row r="12" spans="1:246">
      <c r="A12" s="484" t="s">
        <v>122</v>
      </c>
      <c r="B12" s="484">
        <f t="shared" si="212"/>
        <v>849316</v>
      </c>
      <c r="C12" s="484">
        <f t="shared" si="213"/>
        <v>18251469</v>
      </c>
      <c r="D12" s="87">
        <f>'P &amp; NP'!BO13</f>
        <v>0</v>
      </c>
      <c r="E12" s="87">
        <f>'P &amp; NP'!BP13</f>
        <v>0</v>
      </c>
      <c r="F12" s="87">
        <f>'P &amp; NP'!BQ13</f>
        <v>0</v>
      </c>
      <c r="G12" s="87">
        <f>'P &amp; NP'!BR13</f>
        <v>0</v>
      </c>
      <c r="H12" s="87">
        <f>'P &amp; NP'!BS13</f>
        <v>0</v>
      </c>
      <c r="I12" s="87">
        <f>'P &amp; NP'!BT13</f>
        <v>0</v>
      </c>
      <c r="J12" s="87">
        <f>'P &amp; NP'!BU13</f>
        <v>75492</v>
      </c>
      <c r="K12" s="87">
        <f>'P &amp; NP'!BV13</f>
        <v>1625994</v>
      </c>
      <c r="L12" s="87">
        <f>'P &amp; NP'!BW13</f>
        <v>0</v>
      </c>
      <c r="M12" s="87">
        <f>'P &amp; NP'!BX13</f>
        <v>0</v>
      </c>
      <c r="N12" s="87">
        <f>'P &amp; NP'!BY13</f>
        <v>0</v>
      </c>
      <c r="O12" s="87">
        <f>'P &amp; NP'!BZ13</f>
        <v>0</v>
      </c>
      <c r="P12" s="87">
        <f>'P &amp; NP'!CA13</f>
        <v>0</v>
      </c>
      <c r="Q12" s="87">
        <f>'P &amp; NP'!CB13</f>
        <v>0</v>
      </c>
      <c r="R12" s="92">
        <f t="shared" si="214"/>
        <v>75492</v>
      </c>
      <c r="S12" s="92">
        <f t="shared" si="215"/>
        <v>1625994</v>
      </c>
      <c r="T12" s="87">
        <f>'P &amp; NP'!BO51</f>
        <v>0</v>
      </c>
      <c r="U12" s="87">
        <f>'P &amp; NP'!BP51</f>
        <v>0</v>
      </c>
      <c r="V12" s="87">
        <f>'P &amp; NP'!BQ51</f>
        <v>0</v>
      </c>
      <c r="W12" s="87">
        <f>'P &amp; NP'!BR51</f>
        <v>0</v>
      </c>
      <c r="X12" s="87">
        <f>'P &amp; NP'!BS51</f>
        <v>0</v>
      </c>
      <c r="Y12" s="87">
        <f>'P &amp; NP'!BT51</f>
        <v>0</v>
      </c>
      <c r="Z12" s="87">
        <f>'P &amp; NP'!BU51</f>
        <v>72229</v>
      </c>
      <c r="AA12" s="87">
        <f>'P &amp; NP'!BV51</f>
        <v>1545611</v>
      </c>
      <c r="AB12" s="87">
        <f>'P &amp; NP'!BW51</f>
        <v>0</v>
      </c>
      <c r="AC12" s="87">
        <f>'P &amp; NP'!BX51</f>
        <v>0</v>
      </c>
      <c r="AD12" s="87">
        <f>'P &amp; NP'!BY51</f>
        <v>0</v>
      </c>
      <c r="AE12" s="87">
        <f>'P &amp; NP'!BZ51</f>
        <v>0</v>
      </c>
      <c r="AF12" s="87">
        <f>'P &amp; NP'!CA51</f>
        <v>0</v>
      </c>
      <c r="AG12" s="87">
        <f>'P &amp; NP'!CB51</f>
        <v>0</v>
      </c>
      <c r="AH12" s="92">
        <f t="shared" si="216"/>
        <v>72229</v>
      </c>
      <c r="AI12" s="92">
        <f t="shared" si="217"/>
        <v>1545611</v>
      </c>
      <c r="AJ12" s="87">
        <f>'P &amp; NP'!BO89</f>
        <v>0</v>
      </c>
      <c r="AK12" s="87">
        <f>'P &amp; NP'!BP89</f>
        <v>0</v>
      </c>
      <c r="AL12" s="87">
        <f>'P &amp; NP'!BQ89</f>
        <v>0</v>
      </c>
      <c r="AM12" s="87">
        <f>'P &amp; NP'!BR89</f>
        <v>0</v>
      </c>
      <c r="AN12" s="87">
        <f>'P &amp; NP'!BS89</f>
        <v>0</v>
      </c>
      <c r="AO12" s="87">
        <f>'P &amp; NP'!BT89</f>
        <v>0</v>
      </c>
      <c r="AP12" s="87">
        <f>'P &amp; NP'!BU89</f>
        <v>78873</v>
      </c>
      <c r="AQ12" s="87">
        <f>'P &amp; NP'!BV89</f>
        <v>1699424</v>
      </c>
      <c r="AR12" s="87">
        <f>'P &amp; NP'!BW89</f>
        <v>0</v>
      </c>
      <c r="AS12" s="87">
        <f>'P &amp; NP'!BX89</f>
        <v>0</v>
      </c>
      <c r="AT12" s="87">
        <f>'P &amp; NP'!BY89</f>
        <v>0</v>
      </c>
      <c r="AU12" s="87">
        <f>'P &amp; NP'!BZ89</f>
        <v>0</v>
      </c>
      <c r="AV12" s="87">
        <f>'P &amp; NP'!CA89</f>
        <v>0</v>
      </c>
      <c r="AW12" s="87">
        <f>'P &amp; NP'!CB89</f>
        <v>0</v>
      </c>
      <c r="AX12" s="92">
        <f t="shared" si="218"/>
        <v>78873</v>
      </c>
      <c r="AY12" s="92">
        <f t="shared" si="219"/>
        <v>1699424</v>
      </c>
      <c r="AZ12" s="87">
        <f>'P &amp; NP'!BO127</f>
        <v>0</v>
      </c>
      <c r="BA12" s="87">
        <f>'P &amp; NP'!BP127</f>
        <v>0</v>
      </c>
      <c r="BB12" s="87">
        <f>'P &amp; NP'!BQ127</f>
        <v>0</v>
      </c>
      <c r="BC12" s="87">
        <f>'P &amp; NP'!BR127</f>
        <v>0</v>
      </c>
      <c r="BD12" s="87">
        <f>'P &amp; NP'!BS127</f>
        <v>0</v>
      </c>
      <c r="BE12" s="87">
        <f>'P &amp; NP'!BT127</f>
        <v>0</v>
      </c>
      <c r="BF12" s="87">
        <f>'P &amp; NP'!BU127</f>
        <v>70170</v>
      </c>
      <c r="BG12" s="87">
        <f>'P &amp; NP'!BV127</f>
        <v>1504428</v>
      </c>
      <c r="BH12" s="87">
        <f>'P &amp; NP'!BW127</f>
        <v>0</v>
      </c>
      <c r="BI12" s="87">
        <f>'P &amp; NP'!BX127</f>
        <v>0</v>
      </c>
      <c r="BJ12" s="87">
        <f>'P &amp; NP'!BY127</f>
        <v>0</v>
      </c>
      <c r="BK12" s="87">
        <f>'P &amp; NP'!BZ127</f>
        <v>0</v>
      </c>
      <c r="BL12" s="87">
        <f>'P &amp; NP'!CA127</f>
        <v>0</v>
      </c>
      <c r="BM12" s="87">
        <f>'P &amp; NP'!CB127</f>
        <v>0</v>
      </c>
      <c r="BN12" s="92">
        <f t="shared" si="220"/>
        <v>70170</v>
      </c>
      <c r="BO12" s="92">
        <f t="shared" si="221"/>
        <v>1504428</v>
      </c>
      <c r="BP12" s="87">
        <f>'P &amp; NP'!BO165</f>
        <v>0</v>
      </c>
      <c r="BQ12" s="87">
        <f>'P &amp; NP'!BP165</f>
        <v>0</v>
      </c>
      <c r="BR12" s="87">
        <f>'P &amp; NP'!BQ165</f>
        <v>0</v>
      </c>
      <c r="BS12" s="87">
        <f>'P &amp; NP'!BR165</f>
        <v>0</v>
      </c>
      <c r="BT12" s="87">
        <f>'P &amp; NP'!BS165</f>
        <v>0</v>
      </c>
      <c r="BU12" s="87">
        <f>'P &amp; NP'!BT165</f>
        <v>0</v>
      </c>
      <c r="BV12" s="87">
        <f>'P &amp; NP'!BU165</f>
        <v>66314</v>
      </c>
      <c r="BW12" s="87">
        <f>'P &amp; NP'!BV165</f>
        <v>1423961</v>
      </c>
      <c r="BX12" s="87">
        <f>'P &amp; NP'!BW165</f>
        <v>0</v>
      </c>
      <c r="BY12" s="87">
        <f>'P &amp; NP'!BX165</f>
        <v>0</v>
      </c>
      <c r="BZ12" s="87">
        <f>'P &amp; NP'!BY165</f>
        <v>0</v>
      </c>
      <c r="CA12" s="87">
        <f>'P &amp; NP'!BZ165</f>
        <v>0</v>
      </c>
      <c r="CB12" s="87">
        <f>'P &amp; NP'!CA165</f>
        <v>0</v>
      </c>
      <c r="CC12" s="87">
        <f>'P &amp; NP'!CB165</f>
        <v>0</v>
      </c>
      <c r="CD12" s="92">
        <f t="shared" si="222"/>
        <v>66314</v>
      </c>
      <c r="CE12" s="92">
        <f t="shared" si="223"/>
        <v>1423961</v>
      </c>
      <c r="CF12" s="87">
        <f>'P &amp; NP'!BO203</f>
        <v>0</v>
      </c>
      <c r="CG12" s="87">
        <f>'P &amp; NP'!BP203</f>
        <v>0</v>
      </c>
      <c r="CH12" s="87">
        <f>'P &amp; NP'!BQ203</f>
        <v>0</v>
      </c>
      <c r="CI12" s="87">
        <f>'P &amp; NP'!BR203</f>
        <v>0</v>
      </c>
      <c r="CJ12" s="87">
        <f>'P &amp; NP'!BS203</f>
        <v>0</v>
      </c>
      <c r="CK12" s="87">
        <f>'P &amp; NP'!BT203</f>
        <v>0</v>
      </c>
      <c r="CL12" s="87">
        <f>'P &amp; NP'!BU203</f>
        <v>70069</v>
      </c>
      <c r="CM12" s="87">
        <f>'P &amp; NP'!BV203</f>
        <v>1503581</v>
      </c>
      <c r="CN12" s="87">
        <f>'P &amp; NP'!BW203</f>
        <v>0</v>
      </c>
      <c r="CO12" s="87">
        <f>'P &amp; NP'!BX203</f>
        <v>0</v>
      </c>
      <c r="CP12" s="87">
        <f>'P &amp; NP'!BY203</f>
        <v>0</v>
      </c>
      <c r="CQ12" s="87">
        <f>'P &amp; NP'!BZ203</f>
        <v>0</v>
      </c>
      <c r="CR12" s="87">
        <f>'P &amp; NP'!CA203</f>
        <v>0</v>
      </c>
      <c r="CS12" s="87">
        <f>'P &amp; NP'!CB203</f>
        <v>0</v>
      </c>
      <c r="CT12" s="92">
        <f t="shared" si="224"/>
        <v>70069</v>
      </c>
      <c r="CU12" s="92">
        <f t="shared" si="225"/>
        <v>1503581</v>
      </c>
      <c r="CV12" s="87">
        <f>'P &amp; NP'!BO241</f>
        <v>0</v>
      </c>
      <c r="CW12" s="87">
        <f>'P &amp; NP'!BP241</f>
        <v>0</v>
      </c>
      <c r="CX12" s="87">
        <f>'P &amp; NP'!BQ241</f>
        <v>0</v>
      </c>
      <c r="CY12" s="87">
        <f>'P &amp; NP'!BR241</f>
        <v>0</v>
      </c>
      <c r="CZ12" s="87">
        <f>'P &amp; NP'!BU241</f>
        <v>67283</v>
      </c>
      <c r="DA12" s="87">
        <f>'P &amp; NP'!BV241</f>
        <v>1442655</v>
      </c>
      <c r="DB12" s="87">
        <f>'P &amp; NP'!BW241</f>
        <v>0</v>
      </c>
      <c r="DC12" s="87">
        <f>'P &amp; NP'!BX241</f>
        <v>0</v>
      </c>
      <c r="DD12" s="87">
        <f>'P &amp; NP'!BY241</f>
        <v>0</v>
      </c>
      <c r="DE12" s="87">
        <f>'P &amp; NP'!BZ241</f>
        <v>0</v>
      </c>
      <c r="DF12" s="87">
        <f>'P &amp; NP'!CA241</f>
        <v>0</v>
      </c>
      <c r="DG12" s="87">
        <f>'P &amp; NP'!CB241</f>
        <v>0</v>
      </c>
      <c r="DH12" s="87">
        <f t="shared" si="226"/>
        <v>67283</v>
      </c>
      <c r="DI12" s="87">
        <f t="shared" si="227"/>
        <v>1442655</v>
      </c>
      <c r="DJ12" s="92">
        <f>'P &amp; NP'!BO279</f>
        <v>0</v>
      </c>
      <c r="DK12" s="92">
        <f>'P &amp; NP'!BP279</f>
        <v>0</v>
      </c>
      <c r="DL12" s="87">
        <f>'P &amp; NP'!BQ279</f>
        <v>0</v>
      </c>
      <c r="DM12" s="87">
        <f>'P &amp; NP'!BR279</f>
        <v>0</v>
      </c>
      <c r="DN12" s="87">
        <f>'P &amp; NP'!BU279</f>
        <v>69232</v>
      </c>
      <c r="DO12" s="87">
        <f>'P &amp; NP'!BV279</f>
        <v>1488475</v>
      </c>
      <c r="DP12" s="87">
        <f>'P &amp; NP'!BW279</f>
        <v>0</v>
      </c>
      <c r="DQ12" s="87">
        <f>'P &amp; NP'!BX279</f>
        <v>0</v>
      </c>
      <c r="DR12" s="87">
        <f>'P &amp; NP'!BY279</f>
        <v>0</v>
      </c>
      <c r="DS12" s="87">
        <f>'P &amp; NP'!BZ279</f>
        <v>0</v>
      </c>
      <c r="DT12" s="87">
        <f>'P &amp; NP'!CA279</f>
        <v>0</v>
      </c>
      <c r="DU12" s="87">
        <f>'P &amp; NP'!CB279</f>
        <v>0</v>
      </c>
      <c r="DV12" s="87">
        <f t="shared" si="228"/>
        <v>69232</v>
      </c>
      <c r="DW12" s="87">
        <f t="shared" si="229"/>
        <v>1488475</v>
      </c>
      <c r="DX12" s="87">
        <f>'P &amp; NP'!BO317</f>
        <v>0</v>
      </c>
      <c r="DY12" s="87">
        <f>'P &amp; NP'!BP317</f>
        <v>0</v>
      </c>
      <c r="DZ12" s="92">
        <f>'P &amp; NP'!BQ317</f>
        <v>0</v>
      </c>
      <c r="EA12" s="92">
        <f>'P &amp; NP'!BR317</f>
        <v>0</v>
      </c>
      <c r="EB12" s="87">
        <f>'P &amp; NP'!BU317</f>
        <v>66202</v>
      </c>
      <c r="EC12" s="87">
        <f>'P &amp; NP'!BV317</f>
        <v>1421964</v>
      </c>
      <c r="ED12" s="87">
        <f>'P &amp; NP'!BW317</f>
        <v>0</v>
      </c>
      <c r="EE12" s="87">
        <f>'P &amp; NP'!BX317</f>
        <v>0</v>
      </c>
      <c r="EF12" s="87">
        <f>'P &amp; NP'!BY317</f>
        <v>0</v>
      </c>
      <c r="EG12" s="87">
        <f>'P &amp; NP'!BZ317</f>
        <v>0</v>
      </c>
      <c r="EH12" s="87">
        <f>'P &amp; NP'!CA317</f>
        <v>0</v>
      </c>
      <c r="EI12" s="87">
        <f>'P &amp; NP'!CB317</f>
        <v>0</v>
      </c>
      <c r="EJ12" s="87">
        <f t="shared" si="230"/>
        <v>66202</v>
      </c>
      <c r="EK12" s="87">
        <f t="shared" si="231"/>
        <v>1421964</v>
      </c>
      <c r="EL12" s="87">
        <f>'P &amp; NP'!BO355</f>
        <v>0</v>
      </c>
      <c r="EM12" s="87">
        <f>'P &amp; NP'!BP355</f>
        <v>0</v>
      </c>
      <c r="EN12" s="87">
        <f>'P &amp; NP'!BQ355</f>
        <v>0</v>
      </c>
      <c r="EO12" s="87">
        <f>'P &amp; NP'!BR355</f>
        <v>0</v>
      </c>
      <c r="EP12" s="92">
        <f>'P &amp; NP'!BU355</f>
        <v>67037</v>
      </c>
      <c r="EQ12" s="92">
        <f>'P &amp; NP'!BV355</f>
        <v>1437315</v>
      </c>
      <c r="ER12" s="87">
        <f>'P &amp; NP'!BW355</f>
        <v>0</v>
      </c>
      <c r="ES12" s="87">
        <f>'P &amp; NP'!BX355</f>
        <v>0</v>
      </c>
      <c r="ET12" s="87">
        <f>'P &amp; NP'!BY355</f>
        <v>0</v>
      </c>
      <c r="EU12" s="87">
        <f>'P &amp; NP'!BZ355</f>
        <v>0</v>
      </c>
      <c r="EV12" s="87">
        <f>'P &amp; NP'!CA355</f>
        <v>0</v>
      </c>
      <c r="EW12" s="87">
        <f>'P &amp; NP'!CB355</f>
        <v>0</v>
      </c>
      <c r="EX12" s="87">
        <f t="shared" si="232"/>
        <v>67037</v>
      </c>
      <c r="EY12" s="87">
        <f t="shared" si="233"/>
        <v>1437315</v>
      </c>
      <c r="EZ12" s="87">
        <f>'P &amp; NP'!BO393</f>
        <v>0</v>
      </c>
      <c r="FA12" s="87">
        <f>'P &amp; NP'!BP393</f>
        <v>0</v>
      </c>
      <c r="FB12" s="87">
        <f>'P &amp; NP'!BQ393</f>
        <v>0</v>
      </c>
      <c r="FC12" s="87">
        <f>'P &amp; NP'!BR393</f>
        <v>0</v>
      </c>
      <c r="FD12" s="87">
        <f>'P &amp; NP'!BU393</f>
        <v>67907</v>
      </c>
      <c r="FE12" s="87">
        <f>'P &amp; NP'!BV393</f>
        <v>1458717</v>
      </c>
      <c r="FF12" s="92">
        <f>'P &amp; NP'!BW393</f>
        <v>0</v>
      </c>
      <c r="FG12" s="92">
        <f>'P &amp; NP'!BX393</f>
        <v>0</v>
      </c>
      <c r="FH12" s="87">
        <f>'P &amp; NP'!BY393</f>
        <v>0</v>
      </c>
      <c r="FI12" s="87">
        <f>'P &amp; NP'!BZ393</f>
        <v>0</v>
      </c>
      <c r="FJ12" s="87">
        <f>'P &amp; NP'!CA393</f>
        <v>0</v>
      </c>
      <c r="FK12" s="87">
        <f>'P &amp; NP'!CB393</f>
        <v>0</v>
      </c>
      <c r="FL12" s="87">
        <f t="shared" si="234"/>
        <v>67907</v>
      </c>
      <c r="FM12" s="87">
        <f t="shared" si="235"/>
        <v>1458717</v>
      </c>
      <c r="FN12" s="87">
        <f>'P &amp; NP'!BO431</f>
        <v>0</v>
      </c>
      <c r="FO12" s="87">
        <f>'P &amp; NP'!BP431</f>
        <v>0</v>
      </c>
      <c r="FP12" s="87">
        <f>'P &amp; NP'!BQ431</f>
        <v>0</v>
      </c>
      <c r="FQ12" s="87">
        <f>'P &amp; NP'!BR431</f>
        <v>0</v>
      </c>
      <c r="FR12" s="87">
        <f>'P &amp; NP'!BU431</f>
        <v>78508</v>
      </c>
      <c r="FS12" s="87">
        <f>'P &amp; NP'!BV431</f>
        <v>1699344</v>
      </c>
      <c r="FT12" s="87">
        <f>'P &amp; NP'!BW431</f>
        <v>0</v>
      </c>
      <c r="FU12" s="87">
        <f>'P &amp; NP'!BX431</f>
        <v>0</v>
      </c>
      <c r="FV12" s="92">
        <f>'P &amp; NP'!BY431</f>
        <v>0</v>
      </c>
      <c r="FW12" s="92">
        <f>'P &amp; NP'!BZ431</f>
        <v>0</v>
      </c>
      <c r="FX12" s="87">
        <f>'P &amp; NP'!CA431</f>
        <v>0</v>
      </c>
      <c r="FY12" s="87">
        <f>'P &amp; NP'!CB431</f>
        <v>0</v>
      </c>
      <c r="FZ12" s="87">
        <f t="shared" si="236"/>
        <v>78508</v>
      </c>
      <c r="GA12" s="87">
        <f t="shared" si="237"/>
        <v>1699344</v>
      </c>
      <c r="GC12" s="609">
        <f t="shared" si="164"/>
        <v>0</v>
      </c>
      <c r="GD12" s="609">
        <f t="shared" si="165"/>
        <v>0</v>
      </c>
      <c r="GE12" s="609">
        <f t="shared" si="166"/>
        <v>0</v>
      </c>
      <c r="GF12" s="609">
        <f t="shared" si="167"/>
        <v>0</v>
      </c>
      <c r="GG12" s="609">
        <f t="shared" si="168"/>
        <v>226594</v>
      </c>
      <c r="GH12" s="609">
        <f t="shared" si="169"/>
        <v>4871029</v>
      </c>
      <c r="GI12" s="609">
        <f t="shared" si="170"/>
        <v>0</v>
      </c>
      <c r="GJ12" s="609">
        <f t="shared" si="171"/>
        <v>0</v>
      </c>
      <c r="GK12" s="609">
        <f t="shared" si="172"/>
        <v>0</v>
      </c>
      <c r="GL12" s="609">
        <f t="shared" si="173"/>
        <v>0</v>
      </c>
      <c r="GM12" s="609">
        <f t="shared" si="174"/>
        <v>0</v>
      </c>
      <c r="GN12" s="609">
        <f t="shared" si="175"/>
        <v>0</v>
      </c>
      <c r="GO12" s="640">
        <f t="shared" si="238"/>
        <v>226594</v>
      </c>
      <c r="GP12" s="640">
        <f t="shared" si="239"/>
        <v>4871029</v>
      </c>
      <c r="GR12" s="609">
        <f t="shared" si="176"/>
        <v>0</v>
      </c>
      <c r="GS12" s="609">
        <f t="shared" si="177"/>
        <v>0</v>
      </c>
      <c r="GT12" s="609">
        <f t="shared" si="178"/>
        <v>0</v>
      </c>
      <c r="GU12" s="609">
        <f t="shared" si="179"/>
        <v>0</v>
      </c>
      <c r="GV12" s="609">
        <f t="shared" si="180"/>
        <v>206553</v>
      </c>
      <c r="GW12" s="609">
        <f t="shared" si="181"/>
        <v>4431970</v>
      </c>
      <c r="GX12" s="609">
        <f t="shared" si="182"/>
        <v>0</v>
      </c>
      <c r="GY12" s="609">
        <f t="shared" si="183"/>
        <v>0</v>
      </c>
      <c r="GZ12" s="609">
        <f t="shared" si="184"/>
        <v>0</v>
      </c>
      <c r="HA12" s="609">
        <f t="shared" si="185"/>
        <v>0</v>
      </c>
      <c r="HB12" s="609">
        <f t="shared" si="186"/>
        <v>0</v>
      </c>
      <c r="HC12" s="609">
        <f t="shared" si="187"/>
        <v>0</v>
      </c>
      <c r="HD12" s="640">
        <f t="shared" si="240"/>
        <v>206553</v>
      </c>
      <c r="HE12" s="640">
        <f t="shared" si="241"/>
        <v>4431970</v>
      </c>
      <c r="HG12" s="609">
        <f t="shared" si="188"/>
        <v>0</v>
      </c>
      <c r="HH12" s="609">
        <f t="shared" si="189"/>
        <v>0</v>
      </c>
      <c r="HI12" s="609">
        <f t="shared" si="190"/>
        <v>0</v>
      </c>
      <c r="HJ12" s="609">
        <f t="shared" si="191"/>
        <v>0</v>
      </c>
      <c r="HK12" s="609">
        <f t="shared" si="192"/>
        <v>202717</v>
      </c>
      <c r="HL12" s="609">
        <f t="shared" si="193"/>
        <v>4353094</v>
      </c>
      <c r="HM12" s="609">
        <f t="shared" si="194"/>
        <v>0</v>
      </c>
      <c r="HN12" s="609">
        <f t="shared" si="195"/>
        <v>0</v>
      </c>
      <c r="HO12" s="609">
        <f t="shared" si="196"/>
        <v>0</v>
      </c>
      <c r="HP12" s="609">
        <f t="shared" si="197"/>
        <v>0</v>
      </c>
      <c r="HQ12" s="609">
        <f t="shared" si="198"/>
        <v>0</v>
      </c>
      <c r="HR12" s="609">
        <f t="shared" si="199"/>
        <v>0</v>
      </c>
      <c r="HS12" s="640">
        <f t="shared" si="242"/>
        <v>202717</v>
      </c>
      <c r="HT12" s="640">
        <f t="shared" si="243"/>
        <v>4353094</v>
      </c>
      <c r="HV12" s="609">
        <f t="shared" si="200"/>
        <v>0</v>
      </c>
      <c r="HW12" s="609">
        <f t="shared" si="201"/>
        <v>0</v>
      </c>
      <c r="HX12" s="609">
        <f t="shared" si="202"/>
        <v>0</v>
      </c>
      <c r="HY12" s="609">
        <f t="shared" si="203"/>
        <v>0</v>
      </c>
      <c r="HZ12" s="609">
        <f t="shared" si="204"/>
        <v>213452</v>
      </c>
      <c r="IA12" s="609">
        <f t="shared" si="205"/>
        <v>4595376</v>
      </c>
      <c r="IB12" s="609">
        <f t="shared" si="206"/>
        <v>0</v>
      </c>
      <c r="IC12" s="609">
        <f t="shared" si="207"/>
        <v>0</v>
      </c>
      <c r="ID12" s="609">
        <f t="shared" si="208"/>
        <v>0</v>
      </c>
      <c r="IE12" s="609">
        <f t="shared" si="209"/>
        <v>0</v>
      </c>
      <c r="IF12" s="609">
        <f t="shared" si="210"/>
        <v>0</v>
      </c>
      <c r="IG12" s="609">
        <f t="shared" si="211"/>
        <v>0</v>
      </c>
      <c r="IH12" s="640">
        <f t="shared" si="244"/>
        <v>213452</v>
      </c>
      <c r="II12" s="640">
        <f t="shared" si="245"/>
        <v>4595376</v>
      </c>
    </row>
    <row r="13" spans="1:246">
      <c r="A13" s="484" t="s">
        <v>136</v>
      </c>
      <c r="B13" s="484">
        <f t="shared" si="212"/>
        <v>160439074.52691659</v>
      </c>
      <c r="C13" s="484">
        <f t="shared" si="213"/>
        <v>3544955721.3064566</v>
      </c>
      <c r="D13" s="87">
        <f>'P &amp; NP'!CE13</f>
        <v>154755</v>
      </c>
      <c r="E13" s="87">
        <f>'P &amp; NP'!CF13</f>
        <v>773776</v>
      </c>
      <c r="F13" s="87">
        <f>'P &amp; NP'!CG13</f>
        <v>7132948.756231227</v>
      </c>
      <c r="G13" s="87">
        <f>'P &amp; NP'!CH13</f>
        <v>201115251.08653632</v>
      </c>
      <c r="H13" s="87">
        <f>'P &amp; NP'!CI13</f>
        <v>0</v>
      </c>
      <c r="I13" s="87">
        <f>'P &amp; NP'!CJ13</f>
        <v>0</v>
      </c>
      <c r="J13" s="87">
        <f>'P &amp; NP'!CK13</f>
        <v>4756013</v>
      </c>
      <c r="K13" s="87">
        <f>'P &amp; NP'!CL13</f>
        <v>84122910.928101271</v>
      </c>
      <c r="L13" s="87">
        <f>'P &amp; NP'!CM13</f>
        <v>0</v>
      </c>
      <c r="M13" s="87">
        <f>'P &amp; NP'!CN13</f>
        <v>0</v>
      </c>
      <c r="N13" s="87">
        <f>'P &amp; NP'!CO13</f>
        <v>0</v>
      </c>
      <c r="O13" s="87">
        <f>'P &amp; NP'!CP13</f>
        <v>0</v>
      </c>
      <c r="P13" s="87">
        <f>'P &amp; NP'!CQ13</f>
        <v>0</v>
      </c>
      <c r="Q13" s="87">
        <f>'P &amp; NP'!CR13</f>
        <v>0</v>
      </c>
      <c r="R13" s="92">
        <f t="shared" si="214"/>
        <v>12043716.756231226</v>
      </c>
      <c r="S13" s="92">
        <f t="shared" si="215"/>
        <v>286011938.01463759</v>
      </c>
      <c r="T13" s="87">
        <f>'P &amp; NP'!CE51</f>
        <v>424871</v>
      </c>
      <c r="U13" s="87">
        <f>'P &amp; NP'!CF51</f>
        <v>1699483</v>
      </c>
      <c r="V13" s="87">
        <f>'P &amp; NP'!CG51</f>
        <v>7147479.5899999999</v>
      </c>
      <c r="W13" s="87">
        <f>'P &amp; NP'!CH51</f>
        <v>204225544</v>
      </c>
      <c r="X13" s="87">
        <f>'P &amp; NP'!CI51</f>
        <v>0</v>
      </c>
      <c r="Y13" s="87">
        <f>'P &amp; NP'!CJ51</f>
        <v>0</v>
      </c>
      <c r="Z13" s="87">
        <f>'P &amp; NP'!CK51</f>
        <v>6566421</v>
      </c>
      <c r="AA13" s="87">
        <f>'P &amp; NP'!CL51</f>
        <v>104948869</v>
      </c>
      <c r="AB13" s="87">
        <f>'P &amp; NP'!CM51</f>
        <v>0</v>
      </c>
      <c r="AC13" s="87">
        <f>'P &amp; NP'!CN51</f>
        <v>0</v>
      </c>
      <c r="AD13" s="87">
        <f>'P &amp; NP'!CO51</f>
        <v>0</v>
      </c>
      <c r="AE13" s="87">
        <f>'P &amp; NP'!CP51</f>
        <v>0</v>
      </c>
      <c r="AF13" s="87">
        <f>'P &amp; NP'!CQ51</f>
        <v>0</v>
      </c>
      <c r="AG13" s="87">
        <f>'P &amp; NP'!CR51</f>
        <v>0</v>
      </c>
      <c r="AH13" s="92">
        <f t="shared" si="216"/>
        <v>14138771.59</v>
      </c>
      <c r="AI13" s="92">
        <f t="shared" si="217"/>
        <v>310873896</v>
      </c>
      <c r="AJ13" s="87">
        <f>'P &amp; NP'!CE89</f>
        <v>598742</v>
      </c>
      <c r="AK13" s="87">
        <f>'P &amp; NP'!CF89</f>
        <v>2394967</v>
      </c>
      <c r="AL13" s="87">
        <f>'P &amp; NP'!CG89</f>
        <v>8335551</v>
      </c>
      <c r="AM13" s="87">
        <f>'P &amp; NP'!CH89</f>
        <v>243942062</v>
      </c>
      <c r="AN13" s="87">
        <f>'P &amp; NP'!CI89</f>
        <v>0</v>
      </c>
      <c r="AO13" s="87">
        <f>'P &amp; NP'!CJ89</f>
        <v>0</v>
      </c>
      <c r="AP13" s="87">
        <f>'P &amp; NP'!CK89</f>
        <v>5727627</v>
      </c>
      <c r="AQ13" s="87">
        <f>'P &amp; NP'!CL89</f>
        <v>94620592.577696249</v>
      </c>
      <c r="AR13" s="87">
        <f>'P &amp; NP'!CM89</f>
        <v>0</v>
      </c>
      <c r="AS13" s="87">
        <f>'P &amp; NP'!CN89</f>
        <v>0</v>
      </c>
      <c r="AT13" s="87">
        <f>'P &amp; NP'!CO89</f>
        <v>0</v>
      </c>
      <c r="AU13" s="87">
        <f>'P &amp; NP'!CP89</f>
        <v>0</v>
      </c>
      <c r="AV13" s="87">
        <f>'P &amp; NP'!CQ89</f>
        <v>0</v>
      </c>
      <c r="AW13" s="87">
        <f>'P &amp; NP'!CR89</f>
        <v>0</v>
      </c>
      <c r="AX13" s="92">
        <f t="shared" si="218"/>
        <v>14661920</v>
      </c>
      <c r="AY13" s="92">
        <f t="shared" si="219"/>
        <v>340957621.57769626</v>
      </c>
      <c r="AZ13" s="87">
        <f>'P &amp; NP'!CE127</f>
        <v>231117</v>
      </c>
      <c r="BA13" s="87">
        <f>'P &amp; NP'!CF127</f>
        <v>1155587</v>
      </c>
      <c r="BB13" s="87">
        <f>'P &amp; NP'!CG127</f>
        <v>7335629.6699999999</v>
      </c>
      <c r="BC13" s="87">
        <f>'P &amp; NP'!CH127</f>
        <v>224289914</v>
      </c>
      <c r="BD13" s="87">
        <f>'P &amp; NP'!CI127</f>
        <v>0</v>
      </c>
      <c r="BE13" s="87">
        <f>'P &amp; NP'!CJ127</f>
        <v>0</v>
      </c>
      <c r="BF13" s="87">
        <f>'P &amp; NP'!CK127</f>
        <v>6047893</v>
      </c>
      <c r="BG13" s="87">
        <f>'P &amp; NP'!CL127</f>
        <v>112719390.10226035</v>
      </c>
      <c r="BH13" s="87">
        <f>'P &amp; NP'!CM127</f>
        <v>0</v>
      </c>
      <c r="BI13" s="87">
        <f>'P &amp; NP'!CN127</f>
        <v>0</v>
      </c>
      <c r="BJ13" s="87">
        <f>'P &amp; NP'!CO127</f>
        <v>0</v>
      </c>
      <c r="BK13" s="87">
        <f>'P &amp; NP'!CP127</f>
        <v>0</v>
      </c>
      <c r="BL13" s="87">
        <f>'P &amp; NP'!CQ127</f>
        <v>0</v>
      </c>
      <c r="BM13" s="87">
        <f>'P &amp; NP'!CR127</f>
        <v>0</v>
      </c>
      <c r="BN13" s="92">
        <f t="shared" si="220"/>
        <v>13614639.67</v>
      </c>
      <c r="BO13" s="92">
        <f t="shared" si="221"/>
        <v>338164891.10226035</v>
      </c>
      <c r="BP13" s="87">
        <f>'P &amp; NP'!CE165</f>
        <v>532414</v>
      </c>
      <c r="BQ13" s="87">
        <f>'P &amp; NP'!CF165</f>
        <v>2662069</v>
      </c>
      <c r="BR13" s="87">
        <f>'P &amp; NP'!CG165</f>
        <v>6853241.2400000002</v>
      </c>
      <c r="BS13" s="87">
        <f>'P &amp; NP'!CH165</f>
        <v>205415892</v>
      </c>
      <c r="BT13" s="87">
        <f>'P &amp; NP'!CI165</f>
        <v>0</v>
      </c>
      <c r="BU13" s="87">
        <f>'P &amp; NP'!CJ165</f>
        <v>0</v>
      </c>
      <c r="BV13" s="87">
        <f>'P &amp; NP'!CK165</f>
        <v>5705445</v>
      </c>
      <c r="BW13" s="87">
        <f>'P &amp; NP'!CL165</f>
        <v>101585822</v>
      </c>
      <c r="BX13" s="87">
        <f>'P &amp; NP'!CM165</f>
        <v>0</v>
      </c>
      <c r="BY13" s="87">
        <f>'P &amp; NP'!CN165</f>
        <v>0</v>
      </c>
      <c r="BZ13" s="87">
        <f>'P &amp; NP'!CO165</f>
        <v>0</v>
      </c>
      <c r="CA13" s="87">
        <f>'P &amp; NP'!CP165</f>
        <v>0</v>
      </c>
      <c r="CB13" s="87">
        <f>'P &amp; NP'!CQ165</f>
        <v>0</v>
      </c>
      <c r="CC13" s="87">
        <f>'P &amp; NP'!CR165</f>
        <v>0</v>
      </c>
      <c r="CD13" s="92">
        <f t="shared" si="222"/>
        <v>13091100.24</v>
      </c>
      <c r="CE13" s="92">
        <f t="shared" si="223"/>
        <v>309663783</v>
      </c>
      <c r="CF13" s="87">
        <f>'P &amp; NP'!CE203</f>
        <v>643975.69067855983</v>
      </c>
      <c r="CG13" s="87">
        <f>'P &amp; NP'!CF203</f>
        <v>3219878.453392799</v>
      </c>
      <c r="CH13" s="87">
        <f>'P &amp; NP'!CG203</f>
        <v>6698547.8671089513</v>
      </c>
      <c r="CI13" s="87">
        <f>'P &amp; NP'!CH203</f>
        <v>206547405.06608495</v>
      </c>
      <c r="CJ13" s="87">
        <f>'P &amp; NP'!CI203</f>
        <v>0</v>
      </c>
      <c r="CK13" s="87">
        <f>'P &amp; NP'!CJ203</f>
        <v>0</v>
      </c>
      <c r="CL13" s="87">
        <f>'P &amp; NP'!CK203</f>
        <v>6795756.5200936198</v>
      </c>
      <c r="CM13" s="87">
        <f>'P &amp; NP'!CL203</f>
        <v>103798363.29058616</v>
      </c>
      <c r="CN13" s="87">
        <f>'P &amp; NP'!CM203</f>
        <v>0</v>
      </c>
      <c r="CO13" s="87">
        <f>'P &amp; NP'!CN203</f>
        <v>0</v>
      </c>
      <c r="CP13" s="87">
        <f>'P &amp; NP'!CO203</f>
        <v>0</v>
      </c>
      <c r="CQ13" s="87">
        <f>'P &amp; NP'!CP203</f>
        <v>0</v>
      </c>
      <c r="CR13" s="87">
        <f>'P &amp; NP'!CQ203</f>
        <v>0</v>
      </c>
      <c r="CS13" s="87">
        <f>'P &amp; NP'!CR203</f>
        <v>0</v>
      </c>
      <c r="CT13" s="92">
        <f t="shared" si="224"/>
        <v>14138280.077881131</v>
      </c>
      <c r="CU13" s="92">
        <f t="shared" si="225"/>
        <v>313565646.8100639</v>
      </c>
      <c r="CV13" s="87">
        <f>'P &amp; NP'!CE241</f>
        <v>904887</v>
      </c>
      <c r="CW13" s="87">
        <f>'P &amp; NP'!CF241</f>
        <v>3619548.0610000002</v>
      </c>
      <c r="CX13" s="87">
        <f>'P &amp; NP'!CG241</f>
        <v>6480550.3427981902</v>
      </c>
      <c r="CY13" s="87">
        <f>'P &amp; NP'!CH241</f>
        <v>188541655.63413945</v>
      </c>
      <c r="CZ13" s="87">
        <f>'P &amp; NP'!CK241</f>
        <v>5181923</v>
      </c>
      <c r="DA13" s="87">
        <f>'P &amp; NP'!CL241</f>
        <v>82867186.276409745</v>
      </c>
      <c r="DB13" s="87">
        <f>'P &amp; NP'!CM241</f>
        <v>0</v>
      </c>
      <c r="DC13" s="87">
        <f>'P &amp; NP'!CN241</f>
        <v>0</v>
      </c>
      <c r="DD13" s="87">
        <f>'P &amp; NP'!CO241</f>
        <v>0</v>
      </c>
      <c r="DE13" s="87">
        <f>'P &amp; NP'!CP241</f>
        <v>0</v>
      </c>
      <c r="DF13" s="87">
        <f>'P &amp; NP'!CQ241</f>
        <v>0</v>
      </c>
      <c r="DG13" s="87">
        <f>'P &amp; NP'!CR241</f>
        <v>0</v>
      </c>
      <c r="DH13" s="87">
        <f t="shared" si="226"/>
        <v>12567360.34279819</v>
      </c>
      <c r="DI13" s="87">
        <f t="shared" si="227"/>
        <v>275028389.97154915</v>
      </c>
      <c r="DJ13" s="92">
        <f>'P &amp; NP'!CE279</f>
        <v>1868475</v>
      </c>
      <c r="DK13" s="92">
        <f>'P &amp; NP'!CF279</f>
        <v>7473898</v>
      </c>
      <c r="DL13" s="87">
        <f>'P &amp; NP'!CG279</f>
        <v>6410932</v>
      </c>
      <c r="DM13" s="87">
        <f>'P &amp; NP'!CH279</f>
        <v>193685689</v>
      </c>
      <c r="DN13" s="87">
        <f>'P &amp; NP'!CK279</f>
        <v>4811596</v>
      </c>
      <c r="DO13" s="87">
        <f>'P &amp; NP'!CL279</f>
        <v>82547961</v>
      </c>
      <c r="DP13" s="87">
        <f>'P &amp; NP'!CM279</f>
        <v>0</v>
      </c>
      <c r="DQ13" s="87">
        <f>'P &amp; NP'!CN279</f>
        <v>0</v>
      </c>
      <c r="DR13" s="87">
        <f>'P &amp; NP'!CO279</f>
        <v>0</v>
      </c>
      <c r="DS13" s="87">
        <f>'P &amp; NP'!CP279</f>
        <v>0</v>
      </c>
      <c r="DT13" s="87">
        <f>'P &amp; NP'!CQ279</f>
        <v>0</v>
      </c>
      <c r="DU13" s="87">
        <f>'P &amp; NP'!CR279</f>
        <v>0</v>
      </c>
      <c r="DV13" s="87">
        <f t="shared" si="228"/>
        <v>13091003</v>
      </c>
      <c r="DW13" s="87">
        <f t="shared" si="229"/>
        <v>283707548</v>
      </c>
      <c r="DX13" s="87">
        <f>'P &amp; NP'!CE317</f>
        <v>1910940</v>
      </c>
      <c r="DY13" s="87">
        <f>'P &amp; NP'!CF317</f>
        <v>7643760</v>
      </c>
      <c r="DZ13" s="92">
        <f>'P &amp; NP'!CG317</f>
        <v>7149253</v>
      </c>
      <c r="EA13" s="92">
        <f>'P &amp; NP'!CH317</f>
        <v>206553527</v>
      </c>
      <c r="EB13" s="87">
        <f>'P &amp; NP'!CK317</f>
        <v>5282728</v>
      </c>
      <c r="EC13" s="87">
        <f>'P &amp; NP'!CL317</f>
        <v>83501775</v>
      </c>
      <c r="ED13" s="87">
        <f>'P &amp; NP'!CM317</f>
        <v>0</v>
      </c>
      <c r="EE13" s="87">
        <f>'P &amp; NP'!CN317</f>
        <v>0</v>
      </c>
      <c r="EF13" s="87">
        <f>'P &amp; NP'!CO317</f>
        <v>0</v>
      </c>
      <c r="EG13" s="87">
        <f>'P &amp; NP'!CP317</f>
        <v>0</v>
      </c>
      <c r="EH13" s="87">
        <f>'P &amp; NP'!CQ317</f>
        <v>0</v>
      </c>
      <c r="EI13" s="87">
        <f>'P &amp; NP'!CR317</f>
        <v>0</v>
      </c>
      <c r="EJ13" s="87">
        <f t="shared" si="230"/>
        <v>14342921</v>
      </c>
      <c r="EK13" s="87">
        <f t="shared" si="231"/>
        <v>297699062</v>
      </c>
      <c r="EL13" s="87">
        <f>'P &amp; NP'!CE355</f>
        <v>3111508.6221356886</v>
      </c>
      <c r="EM13" s="87">
        <f>'P &amp; NP'!CF355</f>
        <v>9334525.8664070666</v>
      </c>
      <c r="EN13" s="87">
        <f>'P &amp; NP'!CG355</f>
        <v>6567503.805030765</v>
      </c>
      <c r="EO13" s="87">
        <f>'P &amp; NP'!CH355</f>
        <v>168122778.04699999</v>
      </c>
      <c r="EP13" s="92">
        <f>'P &amp; NP'!CK355</f>
        <v>4982909.586412875</v>
      </c>
      <c r="EQ13" s="92">
        <f>'P &amp; NP'!CL355</f>
        <v>87254033.907186285</v>
      </c>
      <c r="ER13" s="87">
        <f>'P &amp; NP'!CM355</f>
        <v>0</v>
      </c>
      <c r="ES13" s="87">
        <f>'P &amp; NP'!CN355</f>
        <v>0</v>
      </c>
      <c r="ET13" s="87">
        <f>'P &amp; NP'!CO355</f>
        <v>0</v>
      </c>
      <c r="EU13" s="87">
        <f>'P &amp; NP'!CP355</f>
        <v>0</v>
      </c>
      <c r="EV13" s="87">
        <f>'P &amp; NP'!CQ355</f>
        <v>0</v>
      </c>
      <c r="EW13" s="87">
        <f>'P &amp; NP'!CR355</f>
        <v>0</v>
      </c>
      <c r="EX13" s="87">
        <f t="shared" si="232"/>
        <v>14661922.013579329</v>
      </c>
      <c r="EY13" s="87">
        <f t="shared" si="233"/>
        <v>264711337.82059336</v>
      </c>
      <c r="EZ13" s="87">
        <f>'P &amp; NP'!CE393</f>
        <v>1767741.0263840999</v>
      </c>
      <c r="FA13" s="87">
        <f>'P &amp; NP'!CF393</f>
        <v>7070964.1055363994</v>
      </c>
      <c r="FB13" s="87">
        <f>'P &amp; NP'!CG393</f>
        <v>6075891.924249148</v>
      </c>
      <c r="FC13" s="87">
        <f>'P &amp; NP'!CH393</f>
        <v>167121532.93344417</v>
      </c>
      <c r="FD13" s="87">
        <f>'P &amp; NP'!CK393</f>
        <v>4200087.1096507302</v>
      </c>
      <c r="FE13" s="87">
        <f>'P &amp; NP'!CL393</f>
        <v>84889666.46502924</v>
      </c>
      <c r="FF13" s="92">
        <f>'P &amp; NP'!CM393</f>
        <v>0</v>
      </c>
      <c r="FG13" s="92">
        <f>'P &amp; NP'!CN393</f>
        <v>0</v>
      </c>
      <c r="FH13" s="87">
        <f>'P &amp; NP'!CO393</f>
        <v>0</v>
      </c>
      <c r="FI13" s="87">
        <f>'P &amp; NP'!CP393</f>
        <v>0</v>
      </c>
      <c r="FJ13" s="87">
        <f>'P &amp; NP'!CQ393</f>
        <v>0</v>
      </c>
      <c r="FK13" s="87">
        <f>'P &amp; NP'!CR393</f>
        <v>0</v>
      </c>
      <c r="FL13" s="87">
        <f t="shared" si="234"/>
        <v>12043720.060283978</v>
      </c>
      <c r="FM13" s="87">
        <f t="shared" si="235"/>
        <v>259082163.50400981</v>
      </c>
      <c r="FN13" s="87">
        <f>'P &amp; NP'!CE431</f>
        <v>1591252.5868800001</v>
      </c>
      <c r="FO13" s="87">
        <f>'P &amp; NP'!CF431</f>
        <v>6365010</v>
      </c>
      <c r="FP13" s="87">
        <f>'P &amp; NP'!CG431</f>
        <v>6258431.5559419347</v>
      </c>
      <c r="FQ13" s="87">
        <f>'P &amp; NP'!CH431</f>
        <v>175700609</v>
      </c>
      <c r="FR13" s="87">
        <f>'P &amp; NP'!CK431</f>
        <v>4194035.6333208461</v>
      </c>
      <c r="FS13" s="87">
        <f>'P &amp; NP'!CL431</f>
        <v>83423824.505646244</v>
      </c>
      <c r="FT13" s="87">
        <f>'P &amp; NP'!CM431</f>
        <v>0</v>
      </c>
      <c r="FU13" s="87">
        <f>'P &amp; NP'!CN431</f>
        <v>0</v>
      </c>
      <c r="FV13" s="92">
        <f>'P &amp; NP'!CO431</f>
        <v>0</v>
      </c>
      <c r="FW13" s="92">
        <f>'P &amp; NP'!CP431</f>
        <v>0</v>
      </c>
      <c r="FX13" s="87">
        <f>'P &amp; NP'!CQ431</f>
        <v>0</v>
      </c>
      <c r="FY13" s="87">
        <f>'P &amp; NP'!CR431</f>
        <v>0</v>
      </c>
      <c r="FZ13" s="87">
        <f t="shared" si="236"/>
        <v>12043719.776142782</v>
      </c>
      <c r="GA13" s="87">
        <f t="shared" si="237"/>
        <v>265489443.50564623</v>
      </c>
      <c r="GC13" s="609">
        <f t="shared" si="164"/>
        <v>1178368</v>
      </c>
      <c r="GD13" s="609">
        <f t="shared" si="165"/>
        <v>4868226</v>
      </c>
      <c r="GE13" s="609">
        <f t="shared" si="166"/>
        <v>22615979.346231226</v>
      </c>
      <c r="GF13" s="609">
        <f t="shared" si="167"/>
        <v>649282857.08653629</v>
      </c>
      <c r="GG13" s="609">
        <f t="shared" si="168"/>
        <v>17050061</v>
      </c>
      <c r="GH13" s="609">
        <f t="shared" si="169"/>
        <v>283692372.50579751</v>
      </c>
      <c r="GI13" s="609">
        <f t="shared" si="170"/>
        <v>0</v>
      </c>
      <c r="GJ13" s="609">
        <f t="shared" si="171"/>
        <v>0</v>
      </c>
      <c r="GK13" s="609">
        <f t="shared" si="172"/>
        <v>0</v>
      </c>
      <c r="GL13" s="609">
        <f t="shared" si="173"/>
        <v>0</v>
      </c>
      <c r="GM13" s="609">
        <f t="shared" si="174"/>
        <v>0</v>
      </c>
      <c r="GN13" s="609">
        <f t="shared" si="175"/>
        <v>0</v>
      </c>
      <c r="GO13" s="640">
        <f t="shared" si="238"/>
        <v>40844408.346231222</v>
      </c>
      <c r="GP13" s="640">
        <f t="shared" si="239"/>
        <v>937843455.59233379</v>
      </c>
      <c r="GR13" s="609">
        <f t="shared" si="176"/>
        <v>1407506.6906785597</v>
      </c>
      <c r="GS13" s="609">
        <f t="shared" si="177"/>
        <v>7037534.453392799</v>
      </c>
      <c r="GT13" s="609">
        <f t="shared" si="178"/>
        <v>20887418.777108952</v>
      </c>
      <c r="GU13" s="609">
        <f t="shared" si="179"/>
        <v>636253211.06608498</v>
      </c>
      <c r="GV13" s="609">
        <f t="shared" si="180"/>
        <v>18549094.52009362</v>
      </c>
      <c r="GW13" s="609">
        <f t="shared" si="181"/>
        <v>318103575.39284652</v>
      </c>
      <c r="GX13" s="609">
        <f t="shared" si="182"/>
        <v>0</v>
      </c>
      <c r="GY13" s="609">
        <f t="shared" si="183"/>
        <v>0</v>
      </c>
      <c r="GZ13" s="609">
        <f t="shared" si="184"/>
        <v>0</v>
      </c>
      <c r="HA13" s="609">
        <f t="shared" si="185"/>
        <v>0</v>
      </c>
      <c r="HB13" s="609">
        <f t="shared" si="186"/>
        <v>0</v>
      </c>
      <c r="HC13" s="609">
        <f t="shared" si="187"/>
        <v>0</v>
      </c>
      <c r="HD13" s="640">
        <f t="shared" si="240"/>
        <v>40844019.987881131</v>
      </c>
      <c r="HE13" s="640">
        <f t="shared" si="241"/>
        <v>961394320.91232419</v>
      </c>
      <c r="HG13" s="609">
        <f t="shared" si="188"/>
        <v>4684302</v>
      </c>
      <c r="HH13" s="609">
        <f t="shared" si="189"/>
        <v>18737206.061000001</v>
      </c>
      <c r="HI13" s="609">
        <f t="shared" si="190"/>
        <v>20040735.342798188</v>
      </c>
      <c r="HJ13" s="609">
        <f t="shared" si="191"/>
        <v>588780871.63413942</v>
      </c>
      <c r="HK13" s="609">
        <f t="shared" si="192"/>
        <v>15276247</v>
      </c>
      <c r="HL13" s="609">
        <f t="shared" si="193"/>
        <v>248916922.27640975</v>
      </c>
      <c r="HM13" s="609">
        <f t="shared" si="194"/>
        <v>0</v>
      </c>
      <c r="HN13" s="609">
        <f t="shared" si="195"/>
        <v>0</v>
      </c>
      <c r="HO13" s="609">
        <f t="shared" si="196"/>
        <v>0</v>
      </c>
      <c r="HP13" s="609">
        <f t="shared" si="197"/>
        <v>0</v>
      </c>
      <c r="HQ13" s="609">
        <f t="shared" si="198"/>
        <v>0</v>
      </c>
      <c r="HR13" s="609">
        <f t="shared" si="199"/>
        <v>0</v>
      </c>
      <c r="HS13" s="640">
        <f t="shared" si="242"/>
        <v>40001284.342798188</v>
      </c>
      <c r="HT13" s="640">
        <f t="shared" si="243"/>
        <v>856434999.97154915</v>
      </c>
      <c r="HV13" s="609">
        <f t="shared" si="200"/>
        <v>6470502.2353997882</v>
      </c>
      <c r="HW13" s="609">
        <f t="shared" si="201"/>
        <v>22770499.971943468</v>
      </c>
      <c r="HX13" s="609">
        <f t="shared" si="202"/>
        <v>18901827.285221849</v>
      </c>
      <c r="HY13" s="609">
        <f t="shared" si="203"/>
        <v>510944919.98044419</v>
      </c>
      <c r="HZ13" s="609">
        <f t="shared" si="204"/>
        <v>13377032.32938445</v>
      </c>
      <c r="IA13" s="609">
        <f t="shared" si="205"/>
        <v>255567524.87786174</v>
      </c>
      <c r="IB13" s="609">
        <f t="shared" si="206"/>
        <v>0</v>
      </c>
      <c r="IC13" s="609">
        <f t="shared" si="207"/>
        <v>0</v>
      </c>
      <c r="ID13" s="609">
        <f t="shared" si="208"/>
        <v>0</v>
      </c>
      <c r="IE13" s="609">
        <f t="shared" si="209"/>
        <v>0</v>
      </c>
      <c r="IF13" s="609">
        <f t="shared" si="210"/>
        <v>0</v>
      </c>
      <c r="IG13" s="609">
        <f t="shared" si="211"/>
        <v>0</v>
      </c>
      <c r="IH13" s="640">
        <f t="shared" si="244"/>
        <v>38749361.850006089</v>
      </c>
      <c r="II13" s="640">
        <f t="shared" si="245"/>
        <v>789282944.83024943</v>
      </c>
    </row>
    <row r="14" spans="1:246">
      <c r="A14" s="484" t="s">
        <v>120</v>
      </c>
      <c r="B14" s="484">
        <f t="shared" si="212"/>
        <v>16410715.47016109</v>
      </c>
      <c r="C14" s="484">
        <f t="shared" si="213"/>
        <v>509080616.01700002</v>
      </c>
      <c r="D14" s="87">
        <f>'P &amp; NP'!CU13</f>
        <v>0</v>
      </c>
      <c r="E14" s="87">
        <f>'P &amp; NP'!CV13</f>
        <v>0</v>
      </c>
      <c r="F14" s="87">
        <f>'P &amp; NP'!CW13</f>
        <v>120610</v>
      </c>
      <c r="G14" s="87">
        <f>'P &amp; NP'!CX13</f>
        <v>8327749.9950000001</v>
      </c>
      <c r="H14" s="87">
        <f>'P &amp; NP'!CY13</f>
        <v>0</v>
      </c>
      <c r="I14" s="87">
        <f>'P &amp; NP'!CZ13</f>
        <v>0</v>
      </c>
      <c r="J14" s="87">
        <f>'P &amp; NP'!DA13</f>
        <v>1088540</v>
      </c>
      <c r="K14" s="87">
        <f>'P &amp; NP'!DB13</f>
        <v>23446470</v>
      </c>
      <c r="L14" s="87">
        <f>'P &amp; NP'!DC13</f>
        <v>610</v>
      </c>
      <c r="M14" s="87">
        <f>'P &amp; NP'!DD13</f>
        <v>17250</v>
      </c>
      <c r="N14" s="87">
        <f>'P &amp; NP'!DE13</f>
        <v>0</v>
      </c>
      <c r="O14" s="87">
        <f>'P &amp; NP'!DF13</f>
        <v>0</v>
      </c>
      <c r="P14" s="87">
        <f>'P &amp; NP'!DG13</f>
        <v>0</v>
      </c>
      <c r="Q14" s="87">
        <f>'P &amp; NP'!DH13</f>
        <v>0</v>
      </c>
      <c r="R14" s="92">
        <f t="shared" si="214"/>
        <v>1209760</v>
      </c>
      <c r="S14" s="92">
        <f t="shared" si="215"/>
        <v>31791469.995000001</v>
      </c>
      <c r="T14" s="87">
        <f>'P &amp; NP'!CU51</f>
        <v>0</v>
      </c>
      <c r="U14" s="87">
        <f>'P &amp; NP'!CV51</f>
        <v>0</v>
      </c>
      <c r="V14" s="87">
        <f>'P &amp; NP'!CW51</f>
        <v>128180.000495817</v>
      </c>
      <c r="W14" s="87">
        <f>'P &amp; NP'!CX51</f>
        <v>9464650.0160000008</v>
      </c>
      <c r="X14" s="87">
        <f>'P &amp; NP'!CY51</f>
        <v>0</v>
      </c>
      <c r="Y14" s="87">
        <f>'P &amp; NP'!CZ51</f>
        <v>0</v>
      </c>
      <c r="Z14" s="87">
        <f>'P &amp; NP'!DA51</f>
        <v>1459700</v>
      </c>
      <c r="AA14" s="87">
        <f>'P &amp; NP'!DB51</f>
        <v>32283970</v>
      </c>
      <c r="AB14" s="87">
        <f>'P &amp; NP'!DC51</f>
        <v>480</v>
      </c>
      <c r="AC14" s="87">
        <f>'P &amp; NP'!DD51</f>
        <v>13740</v>
      </c>
      <c r="AD14" s="87">
        <f>'P &amp; NP'!DE51</f>
        <v>0</v>
      </c>
      <c r="AE14" s="87">
        <f>'P &amp; NP'!DF51</f>
        <v>0</v>
      </c>
      <c r="AF14" s="87">
        <f>'P &amp; NP'!DG51</f>
        <v>0</v>
      </c>
      <c r="AG14" s="87">
        <f>'P &amp; NP'!DH51</f>
        <v>0</v>
      </c>
      <c r="AH14" s="92">
        <f t="shared" si="216"/>
        <v>1588360.000495817</v>
      </c>
      <c r="AI14" s="92">
        <f t="shared" si="217"/>
        <v>41762360.016000003</v>
      </c>
      <c r="AJ14" s="87">
        <f>'P &amp; NP'!CU89</f>
        <v>0</v>
      </c>
      <c r="AK14" s="87">
        <f>'P &amp; NP'!CV89</f>
        <v>0</v>
      </c>
      <c r="AL14" s="87">
        <f>'P &amp; NP'!CW89</f>
        <v>119765.0004958881</v>
      </c>
      <c r="AM14" s="87">
        <f>'P &amp; NP'!CX89</f>
        <v>7703971.0139999995</v>
      </c>
      <c r="AN14" s="87">
        <f>'P &amp; NP'!CY89</f>
        <v>0</v>
      </c>
      <c r="AO14" s="87">
        <f>'P &amp; NP'!CZ89</f>
        <v>0</v>
      </c>
      <c r="AP14" s="87">
        <f>'P &amp; NP'!DA89</f>
        <v>1295793</v>
      </c>
      <c r="AQ14" s="87">
        <f>'P &amp; NP'!DB89</f>
        <v>29069937.999000002</v>
      </c>
      <c r="AR14" s="87">
        <f>'P &amp; NP'!DC89</f>
        <v>15310</v>
      </c>
      <c r="AS14" s="87">
        <f>'P &amp; NP'!DD89</f>
        <v>398260</v>
      </c>
      <c r="AT14" s="87">
        <f>'P &amp; NP'!DE89</f>
        <v>0</v>
      </c>
      <c r="AU14" s="87">
        <f>'P &amp; NP'!DF89</f>
        <v>0</v>
      </c>
      <c r="AV14" s="87">
        <f>'P &amp; NP'!DG89</f>
        <v>0</v>
      </c>
      <c r="AW14" s="87">
        <f>'P &amp; NP'!DH89</f>
        <v>0</v>
      </c>
      <c r="AX14" s="92">
        <f t="shared" si="218"/>
        <v>1430868.0004958881</v>
      </c>
      <c r="AY14" s="92">
        <f t="shared" si="219"/>
        <v>37172169.013000004</v>
      </c>
      <c r="AZ14" s="87">
        <f>'P &amp; NP'!CU127</f>
        <v>0</v>
      </c>
      <c r="BA14" s="87">
        <f>'P &amp; NP'!CV127</f>
        <v>0</v>
      </c>
      <c r="BB14" s="87">
        <f>'P &amp; NP'!CW127</f>
        <v>280758.00047056196</v>
      </c>
      <c r="BC14" s="87">
        <f>'P &amp; NP'!CX127</f>
        <v>15345300.013</v>
      </c>
      <c r="BD14" s="87">
        <f>'P &amp; NP'!CY127</f>
        <v>0</v>
      </c>
      <c r="BE14" s="87">
        <f>'P &amp; NP'!CZ127</f>
        <v>0</v>
      </c>
      <c r="BF14" s="87">
        <f>'P &amp; NP'!DA127</f>
        <v>849526</v>
      </c>
      <c r="BG14" s="87">
        <f>'P &amp; NP'!DB127</f>
        <v>18726692</v>
      </c>
      <c r="BH14" s="87">
        <f>'P &amp; NP'!DC127</f>
        <v>2719</v>
      </c>
      <c r="BI14" s="87">
        <f>'P &amp; NP'!DD127</f>
        <v>60622</v>
      </c>
      <c r="BJ14" s="87">
        <f>'P &amp; NP'!DE127</f>
        <v>0</v>
      </c>
      <c r="BK14" s="87">
        <f>'P &amp; NP'!DF127</f>
        <v>0</v>
      </c>
      <c r="BL14" s="87">
        <f>'P &amp; NP'!DG127</f>
        <v>0</v>
      </c>
      <c r="BM14" s="87">
        <f>'P &amp; NP'!DH127</f>
        <v>0</v>
      </c>
      <c r="BN14" s="92">
        <f t="shared" si="220"/>
        <v>1133003.0004705619</v>
      </c>
      <c r="BO14" s="92">
        <f t="shared" si="221"/>
        <v>34132614.012999997</v>
      </c>
      <c r="BP14" s="87">
        <f>'P &amp; NP'!CU165</f>
        <v>0</v>
      </c>
      <c r="BQ14" s="87">
        <f>'P &amp; NP'!CV165</f>
        <v>0</v>
      </c>
      <c r="BR14" s="87">
        <f>'P &amp; NP'!CW165</f>
        <v>326773.99575449998</v>
      </c>
      <c r="BS14" s="87">
        <f>'P &amp; NP'!CX165</f>
        <v>21083888.987</v>
      </c>
      <c r="BT14" s="87">
        <f>'P &amp; NP'!CY165</f>
        <v>0</v>
      </c>
      <c r="BU14" s="87">
        <f>'P &amp; NP'!CZ165</f>
        <v>0</v>
      </c>
      <c r="BV14" s="87">
        <f>'P &amp; NP'!DA165</f>
        <v>764289.00250980002</v>
      </c>
      <c r="BW14" s="87">
        <f>'P &amp; NP'!DB165</f>
        <v>16696818.047</v>
      </c>
      <c r="BX14" s="87">
        <f>'P &amp; NP'!DC165</f>
        <v>2515</v>
      </c>
      <c r="BY14" s="87">
        <f>'P &amp; NP'!DD165</f>
        <v>56073</v>
      </c>
      <c r="BZ14" s="87">
        <f>'P &amp; NP'!DE165</f>
        <v>0</v>
      </c>
      <c r="CA14" s="87">
        <f>'P &amp; NP'!DF165</f>
        <v>0</v>
      </c>
      <c r="CB14" s="87">
        <f>'P &amp; NP'!DG165</f>
        <v>0</v>
      </c>
      <c r="CC14" s="87">
        <f>'P &amp; NP'!DH165</f>
        <v>0</v>
      </c>
      <c r="CD14" s="92">
        <f t="shared" si="222"/>
        <v>1093577.9982642999</v>
      </c>
      <c r="CE14" s="92">
        <f t="shared" si="223"/>
        <v>37836780.034000002</v>
      </c>
      <c r="CF14" s="87">
        <f>'P &amp; NP'!CU203</f>
        <v>0</v>
      </c>
      <c r="CG14" s="87">
        <f>'P &amp; NP'!CV203</f>
        <v>0</v>
      </c>
      <c r="CH14" s="87">
        <f>'P &amp; NP'!CW203</f>
        <v>292310.99961556954</v>
      </c>
      <c r="CI14" s="87">
        <f>'P &amp; NP'!CX203</f>
        <v>18845189.995999999</v>
      </c>
      <c r="CJ14" s="87">
        <f>'P &amp; NP'!CY203</f>
        <v>0</v>
      </c>
      <c r="CK14" s="87">
        <f>'P &amp; NP'!CZ203</f>
        <v>0</v>
      </c>
      <c r="CL14" s="87">
        <f>'P &amp; NP'!DA203</f>
        <v>811113</v>
      </c>
      <c r="CM14" s="87">
        <f>'P &amp; NP'!DB203</f>
        <v>17930556</v>
      </c>
      <c r="CN14" s="87">
        <f>'P &amp; NP'!DC203</f>
        <v>2120</v>
      </c>
      <c r="CO14" s="87">
        <f>'P &amp; NP'!DD203</f>
        <v>50450.006000000001</v>
      </c>
      <c r="CP14" s="87">
        <f>'P &amp; NP'!DE203</f>
        <v>0</v>
      </c>
      <c r="CQ14" s="87">
        <f>'P &amp; NP'!DF203</f>
        <v>0</v>
      </c>
      <c r="CR14" s="87">
        <f>'P &amp; NP'!DG203</f>
        <v>0</v>
      </c>
      <c r="CS14" s="87">
        <f>'P &amp; NP'!DH203</f>
        <v>0</v>
      </c>
      <c r="CT14" s="92">
        <f t="shared" si="224"/>
        <v>1105543.9996155696</v>
      </c>
      <c r="CU14" s="92">
        <f t="shared" si="225"/>
        <v>36826196.001999997</v>
      </c>
      <c r="CV14" s="87">
        <f>'P &amp; NP'!CU241</f>
        <v>0</v>
      </c>
      <c r="CW14" s="87">
        <f>'P &amp; NP'!CV241</f>
        <v>0</v>
      </c>
      <c r="CX14" s="87">
        <f>'P &amp; NP'!CW241</f>
        <v>450459.99965370266</v>
      </c>
      <c r="CY14" s="87">
        <f>'P &amp; NP'!CX241</f>
        <v>29046450.995000001</v>
      </c>
      <c r="CZ14" s="87">
        <f>'P &amp; NP'!DA241</f>
        <v>955080</v>
      </c>
      <c r="DA14" s="87">
        <f>'P &amp; NP'!DB241</f>
        <v>21097020.001000002</v>
      </c>
      <c r="DB14" s="87">
        <f>'P &amp; NP'!DC241</f>
        <v>1930.000366</v>
      </c>
      <c r="DC14" s="87">
        <f>'P &amp; NP'!DD241</f>
        <v>44390.008999999998</v>
      </c>
      <c r="DD14" s="87">
        <f>'P &amp; NP'!DE241</f>
        <v>0</v>
      </c>
      <c r="DE14" s="87">
        <f>'P &amp; NP'!DF241</f>
        <v>0</v>
      </c>
      <c r="DF14" s="87">
        <f>'P &amp; NP'!DG241</f>
        <v>0</v>
      </c>
      <c r="DG14" s="87">
        <f>'P &amp; NP'!DH241</f>
        <v>0</v>
      </c>
      <c r="DH14" s="87">
        <f t="shared" si="226"/>
        <v>1407470.0000197026</v>
      </c>
      <c r="DI14" s="87">
        <f t="shared" si="227"/>
        <v>50187861.00500001</v>
      </c>
      <c r="DJ14" s="92">
        <f>'P &amp; NP'!CU279</f>
        <v>0</v>
      </c>
      <c r="DK14" s="92">
        <f>'P &amp; NP'!CV279</f>
        <v>0</v>
      </c>
      <c r="DL14" s="87">
        <f>'P &amp; NP'!CW279</f>
        <v>455424.96561126568</v>
      </c>
      <c r="DM14" s="87">
        <f>'P &amp; NP'!CX279</f>
        <v>24866593.384</v>
      </c>
      <c r="DN14" s="87">
        <f>'P &amp; NP'!DA279</f>
        <v>1054810</v>
      </c>
      <c r="DO14" s="87">
        <f>'P &amp; NP'!DB279</f>
        <v>23299660</v>
      </c>
      <c r="DP14" s="87">
        <f>'P &amp; NP'!DC279</f>
        <v>1815</v>
      </c>
      <c r="DQ14" s="87">
        <f>'P &amp; NP'!DD279</f>
        <v>38120</v>
      </c>
      <c r="DR14" s="87">
        <f>'P &amp; NP'!DE279</f>
        <v>0</v>
      </c>
      <c r="DS14" s="87">
        <f>'P &amp; NP'!DF279</f>
        <v>0</v>
      </c>
      <c r="DT14" s="87">
        <f>'P &amp; NP'!DG279</f>
        <v>0</v>
      </c>
      <c r="DU14" s="87">
        <f>'P &amp; NP'!DH279</f>
        <v>0</v>
      </c>
      <c r="DV14" s="87">
        <f t="shared" si="228"/>
        <v>1512049.9656112657</v>
      </c>
      <c r="DW14" s="87">
        <f t="shared" si="229"/>
        <v>48204373.384000003</v>
      </c>
      <c r="DX14" s="87">
        <f>'P &amp; NP'!CU317</f>
        <v>0</v>
      </c>
      <c r="DY14" s="87">
        <f>'P &amp; NP'!CV317</f>
        <v>0</v>
      </c>
      <c r="DZ14" s="92">
        <f>'P &amp; NP'!CW317</f>
        <v>455424.9713845292</v>
      </c>
      <c r="EA14" s="92">
        <f>'P &amp; NP'!CX317</f>
        <v>24877014.432</v>
      </c>
      <c r="EB14" s="87">
        <f>'P &amp; NP'!DA317</f>
        <v>1012095</v>
      </c>
      <c r="EC14" s="87">
        <f>'P &amp; NP'!DB317</f>
        <v>22265845</v>
      </c>
      <c r="ED14" s="87">
        <f>'P &amp; NP'!DC317</f>
        <v>1800</v>
      </c>
      <c r="EE14" s="87">
        <f>'P &amp; NP'!DD317</f>
        <v>41400</v>
      </c>
      <c r="EF14" s="87">
        <f>'P &amp; NP'!DE317</f>
        <v>0</v>
      </c>
      <c r="EG14" s="87">
        <f>'P &amp; NP'!DF317</f>
        <v>0</v>
      </c>
      <c r="EH14" s="87">
        <f>'P &amp; NP'!DG317</f>
        <v>0</v>
      </c>
      <c r="EI14" s="87">
        <f>'P &amp; NP'!DH317</f>
        <v>0</v>
      </c>
      <c r="EJ14" s="87">
        <f t="shared" si="230"/>
        <v>1469319.9713845293</v>
      </c>
      <c r="EK14" s="87">
        <f t="shared" si="231"/>
        <v>47184259.431999996</v>
      </c>
      <c r="EL14" s="87">
        <f>'P &amp; NP'!CU355</f>
        <v>0</v>
      </c>
      <c r="EM14" s="87">
        <f>'P &amp; NP'!CV355</f>
        <v>0</v>
      </c>
      <c r="EN14" s="87">
        <f>'P &amp; NP'!CW355</f>
        <v>422800.00000171235</v>
      </c>
      <c r="EO14" s="87">
        <f>'P &amp; NP'!CX355</f>
        <v>25175136.004000001</v>
      </c>
      <c r="EP14" s="92">
        <f>'P &amp; NP'!DA355</f>
        <v>938779.53441640886</v>
      </c>
      <c r="EQ14" s="92">
        <f>'P &amp; NP'!DB355</f>
        <v>20282510.001000002</v>
      </c>
      <c r="ER14" s="87">
        <f>'P &amp; NP'!DC355</f>
        <v>545</v>
      </c>
      <c r="ES14" s="87">
        <f>'P &amp; NP'!DD355</f>
        <v>12625</v>
      </c>
      <c r="ET14" s="87">
        <f>'P &amp; NP'!DE355</f>
        <v>0</v>
      </c>
      <c r="EU14" s="87">
        <f>'P &amp; NP'!DF355</f>
        <v>0</v>
      </c>
      <c r="EV14" s="87">
        <f>'P &amp; NP'!DG355</f>
        <v>0</v>
      </c>
      <c r="EW14" s="87">
        <f>'P &amp; NP'!DH355</f>
        <v>0</v>
      </c>
      <c r="EX14" s="87">
        <f t="shared" si="232"/>
        <v>1362124.5344181212</v>
      </c>
      <c r="EY14" s="87">
        <f t="shared" si="233"/>
        <v>45470271.005000003</v>
      </c>
      <c r="EZ14" s="87">
        <f>'P &amp; NP'!CU393</f>
        <v>0</v>
      </c>
      <c r="FA14" s="87">
        <f>'P &amp; NP'!CV393</f>
        <v>0</v>
      </c>
      <c r="FB14" s="87">
        <f>'P &amp; NP'!CW393</f>
        <v>427304.99981215235</v>
      </c>
      <c r="FC14" s="87">
        <f>'P &amp; NP'!CX393</f>
        <v>25439494.48</v>
      </c>
      <c r="FD14" s="87">
        <f>'P &amp; NP'!DA393</f>
        <v>906660.00001222198</v>
      </c>
      <c r="FE14" s="87">
        <f>'P &amp; NP'!DB393</f>
        <v>19804745.000999998</v>
      </c>
      <c r="FF14" s="92">
        <f>'P &amp; NP'!DC393</f>
        <v>1470</v>
      </c>
      <c r="FG14" s="92">
        <f>'P &amp; NP'!DD393</f>
        <v>36750</v>
      </c>
      <c r="FH14" s="87">
        <f>'P &amp; NP'!DE393</f>
        <v>0</v>
      </c>
      <c r="FI14" s="87">
        <f>'P &amp; NP'!DF393</f>
        <v>0</v>
      </c>
      <c r="FJ14" s="87">
        <f>'P &amp; NP'!DG393</f>
        <v>0</v>
      </c>
      <c r="FK14" s="87">
        <f>'P &amp; NP'!DH393</f>
        <v>0</v>
      </c>
      <c r="FL14" s="87">
        <f t="shared" si="234"/>
        <v>1335434.9998243744</v>
      </c>
      <c r="FM14" s="87">
        <f t="shared" si="235"/>
        <v>45280989.480999999</v>
      </c>
      <c r="FN14" s="87">
        <f>'P &amp; NP'!CU431</f>
        <v>0</v>
      </c>
      <c r="FO14" s="87">
        <f>'P &amp; NP'!CV431</f>
        <v>0</v>
      </c>
      <c r="FP14" s="87">
        <f>'P &amp; NP'!CW431</f>
        <v>458254.99956095772</v>
      </c>
      <c r="FQ14" s="87">
        <f>'P &amp; NP'!CX431</f>
        <v>25030425.137000002</v>
      </c>
      <c r="FR14" s="87">
        <f>'P &amp; NP'!DA431</f>
        <v>1300540</v>
      </c>
      <c r="FS14" s="87">
        <f>'P &amp; NP'!DB431</f>
        <v>28090647.5</v>
      </c>
      <c r="FT14" s="87">
        <f>'P &amp; NP'!DC431</f>
        <v>4408</v>
      </c>
      <c r="FU14" s="87">
        <f>'P &amp; NP'!DD431</f>
        <v>110200</v>
      </c>
      <c r="FV14" s="92">
        <f>'P &amp; NP'!DE431</f>
        <v>0</v>
      </c>
      <c r="FW14" s="92">
        <f>'P &amp; NP'!DF431</f>
        <v>0</v>
      </c>
      <c r="FX14" s="87">
        <f>'P &amp; NP'!DG431</f>
        <v>0</v>
      </c>
      <c r="FY14" s="87">
        <f>'P &amp; NP'!DH431</f>
        <v>0</v>
      </c>
      <c r="FZ14" s="87">
        <f t="shared" si="236"/>
        <v>1763202.9995609578</v>
      </c>
      <c r="GA14" s="87">
        <f t="shared" si="237"/>
        <v>53231272.637000002</v>
      </c>
      <c r="GC14" s="609">
        <f t="shared" si="164"/>
        <v>0</v>
      </c>
      <c r="GD14" s="609">
        <f t="shared" si="165"/>
        <v>0</v>
      </c>
      <c r="GE14" s="609">
        <f t="shared" si="166"/>
        <v>368555.00099170511</v>
      </c>
      <c r="GF14" s="609">
        <f t="shared" si="167"/>
        <v>25496371.024999999</v>
      </c>
      <c r="GG14" s="609">
        <f t="shared" si="168"/>
        <v>3844033</v>
      </c>
      <c r="GH14" s="609">
        <f t="shared" si="169"/>
        <v>84800377.998999998</v>
      </c>
      <c r="GI14" s="609">
        <f t="shared" si="170"/>
        <v>16400</v>
      </c>
      <c r="GJ14" s="609">
        <f t="shared" si="171"/>
        <v>429250</v>
      </c>
      <c r="GK14" s="609">
        <f t="shared" si="172"/>
        <v>0</v>
      </c>
      <c r="GL14" s="609">
        <f t="shared" si="173"/>
        <v>0</v>
      </c>
      <c r="GM14" s="609">
        <f t="shared" si="174"/>
        <v>0</v>
      </c>
      <c r="GN14" s="609">
        <f t="shared" si="175"/>
        <v>0</v>
      </c>
      <c r="GO14" s="640">
        <f t="shared" si="238"/>
        <v>4228988.0009917049</v>
      </c>
      <c r="GP14" s="640">
        <f t="shared" si="239"/>
        <v>110725999.02399999</v>
      </c>
      <c r="GR14" s="609">
        <f t="shared" si="176"/>
        <v>0</v>
      </c>
      <c r="GS14" s="609">
        <f t="shared" si="177"/>
        <v>0</v>
      </c>
      <c r="GT14" s="609">
        <f t="shared" si="178"/>
        <v>899842.99584063143</v>
      </c>
      <c r="GU14" s="609">
        <f t="shared" si="179"/>
        <v>55274378.995999999</v>
      </c>
      <c r="GV14" s="609">
        <f t="shared" si="180"/>
        <v>2424928.0025097998</v>
      </c>
      <c r="GW14" s="609">
        <f t="shared" si="181"/>
        <v>53354066.046999998</v>
      </c>
      <c r="GX14" s="609">
        <f t="shared" si="182"/>
        <v>7354</v>
      </c>
      <c r="GY14" s="609">
        <f t="shared" si="183"/>
        <v>167145.00599999999</v>
      </c>
      <c r="GZ14" s="609">
        <f t="shared" si="184"/>
        <v>0</v>
      </c>
      <c r="HA14" s="609">
        <f t="shared" si="185"/>
        <v>0</v>
      </c>
      <c r="HB14" s="609">
        <f t="shared" si="186"/>
        <v>0</v>
      </c>
      <c r="HC14" s="609">
        <f t="shared" si="187"/>
        <v>0</v>
      </c>
      <c r="HD14" s="640">
        <f t="shared" si="240"/>
        <v>3332124.9983504312</v>
      </c>
      <c r="HE14" s="640">
        <f t="shared" si="241"/>
        <v>108795590.04899999</v>
      </c>
      <c r="HG14" s="609">
        <f t="shared" si="188"/>
        <v>0</v>
      </c>
      <c r="HH14" s="609">
        <f t="shared" si="189"/>
        <v>0</v>
      </c>
      <c r="HI14" s="609">
        <f t="shared" si="190"/>
        <v>1361309.9366494976</v>
      </c>
      <c r="HJ14" s="609">
        <f t="shared" si="191"/>
        <v>78790058.811000004</v>
      </c>
      <c r="HK14" s="609">
        <f t="shared" si="192"/>
        <v>3021985</v>
      </c>
      <c r="HL14" s="609">
        <f t="shared" si="193"/>
        <v>66662525.001000002</v>
      </c>
      <c r="HM14" s="609">
        <f t="shared" si="194"/>
        <v>5545.0003660000002</v>
      </c>
      <c r="HN14" s="609">
        <f t="shared" si="195"/>
        <v>123910.00899999999</v>
      </c>
      <c r="HO14" s="609">
        <f t="shared" si="196"/>
        <v>0</v>
      </c>
      <c r="HP14" s="609">
        <f t="shared" si="197"/>
        <v>0</v>
      </c>
      <c r="HQ14" s="609">
        <f t="shared" si="198"/>
        <v>0</v>
      </c>
      <c r="HR14" s="609">
        <f t="shared" si="199"/>
        <v>0</v>
      </c>
      <c r="HS14" s="640">
        <f t="shared" si="242"/>
        <v>4388839.9370154981</v>
      </c>
      <c r="HT14" s="640">
        <f t="shared" si="243"/>
        <v>145576493.82100001</v>
      </c>
      <c r="HV14" s="609">
        <f t="shared" si="200"/>
        <v>0</v>
      </c>
      <c r="HW14" s="609">
        <f t="shared" si="201"/>
        <v>0</v>
      </c>
      <c r="HX14" s="609">
        <f t="shared" si="202"/>
        <v>1308359.9993748225</v>
      </c>
      <c r="HY14" s="609">
        <f t="shared" si="203"/>
        <v>75645055.620999992</v>
      </c>
      <c r="HZ14" s="609">
        <f t="shared" si="204"/>
        <v>3145979.534428631</v>
      </c>
      <c r="IA14" s="609">
        <f t="shared" si="205"/>
        <v>68177902.502000004</v>
      </c>
      <c r="IB14" s="609">
        <f t="shared" si="206"/>
        <v>6423</v>
      </c>
      <c r="IC14" s="609">
        <f t="shared" si="207"/>
        <v>159575</v>
      </c>
      <c r="ID14" s="609">
        <f t="shared" si="208"/>
        <v>0</v>
      </c>
      <c r="IE14" s="609">
        <f t="shared" si="209"/>
        <v>0</v>
      </c>
      <c r="IF14" s="609">
        <f t="shared" si="210"/>
        <v>0</v>
      </c>
      <c r="IG14" s="609">
        <f t="shared" si="211"/>
        <v>0</v>
      </c>
      <c r="IH14" s="640">
        <f t="shared" si="244"/>
        <v>4460762.5338034537</v>
      </c>
      <c r="II14" s="640">
        <f t="shared" si="245"/>
        <v>143982533.123</v>
      </c>
    </row>
    <row r="15" spans="1:246">
      <c r="A15" s="484" t="s">
        <v>128</v>
      </c>
      <c r="B15" s="484">
        <f t="shared" si="212"/>
        <v>14792000</v>
      </c>
      <c r="C15" s="484">
        <f t="shared" si="213"/>
        <v>269622700</v>
      </c>
      <c r="D15" s="87">
        <f>'P &amp; NP'!DK13</f>
        <v>0</v>
      </c>
      <c r="E15" s="87">
        <f>'P &amp; NP'!DL13</f>
        <v>0</v>
      </c>
      <c r="F15" s="87">
        <f>'P &amp; NP'!DM13</f>
        <v>0</v>
      </c>
      <c r="G15" s="87">
        <f>'P &amp; NP'!DN13</f>
        <v>0</v>
      </c>
      <c r="H15" s="87">
        <f>'P &amp; NP'!DO13</f>
        <v>0</v>
      </c>
      <c r="I15" s="87">
        <f>'P &amp; NP'!DP13</f>
        <v>0</v>
      </c>
      <c r="J15" s="87">
        <f>'P &amp; NP'!DQ13</f>
        <v>1333200</v>
      </c>
      <c r="K15" s="87">
        <f>'P &amp; NP'!DR13</f>
        <v>23789000</v>
      </c>
      <c r="L15" s="87">
        <f>'P &amp; NP'!DS13</f>
        <v>0</v>
      </c>
      <c r="M15" s="87">
        <f>'P &amp; NP'!DT13</f>
        <v>0</v>
      </c>
      <c r="N15" s="87">
        <f>'P &amp; NP'!DU13</f>
        <v>0</v>
      </c>
      <c r="O15" s="87">
        <f>'P &amp; NP'!DV13</f>
        <v>0</v>
      </c>
      <c r="P15" s="87">
        <f>'P &amp; NP'!DW13</f>
        <v>0</v>
      </c>
      <c r="Q15" s="87">
        <f>'P &amp; NP'!DX13</f>
        <v>0</v>
      </c>
      <c r="R15" s="92">
        <f t="shared" si="214"/>
        <v>1333200</v>
      </c>
      <c r="S15" s="92">
        <f t="shared" si="215"/>
        <v>23789000</v>
      </c>
      <c r="T15" s="87">
        <f>'P &amp; NP'!DK51</f>
        <v>0</v>
      </c>
      <c r="U15" s="87">
        <f>'P &amp; NP'!DL51</f>
        <v>0</v>
      </c>
      <c r="V15" s="87">
        <f>'P &amp; NP'!DM51</f>
        <v>0</v>
      </c>
      <c r="W15" s="87">
        <f>'P &amp; NP'!DN51</f>
        <v>0</v>
      </c>
      <c r="X15" s="87">
        <f>'P &amp; NP'!DO51</f>
        <v>0</v>
      </c>
      <c r="Y15" s="87">
        <f>'P &amp; NP'!DP51</f>
        <v>0</v>
      </c>
      <c r="Z15" s="87">
        <f>'P &amp; NP'!DQ51</f>
        <v>1244800</v>
      </c>
      <c r="AA15" s="87">
        <f>'P &amp; NP'!DR51</f>
        <v>22208700</v>
      </c>
      <c r="AB15" s="87">
        <f>'P &amp; NP'!DS51</f>
        <v>0</v>
      </c>
      <c r="AC15" s="87">
        <f>'P &amp; NP'!DT51</f>
        <v>0</v>
      </c>
      <c r="AD15" s="87">
        <f>'P &amp; NP'!DU51</f>
        <v>0</v>
      </c>
      <c r="AE15" s="87">
        <f>'P &amp; NP'!DV51</f>
        <v>0</v>
      </c>
      <c r="AF15" s="87">
        <f>'P &amp; NP'!DW51</f>
        <v>0</v>
      </c>
      <c r="AG15" s="87">
        <f>'P &amp; NP'!DX51</f>
        <v>0</v>
      </c>
      <c r="AH15" s="92">
        <f t="shared" si="216"/>
        <v>1244800</v>
      </c>
      <c r="AI15" s="92">
        <f t="shared" si="217"/>
        <v>22208700</v>
      </c>
      <c r="AJ15" s="87">
        <f>'P &amp; NP'!DK89</f>
        <v>0</v>
      </c>
      <c r="AK15" s="87">
        <f>'P &amp; NP'!DL89</f>
        <v>0</v>
      </c>
      <c r="AL15" s="87">
        <f>'P &amp; NP'!DM89</f>
        <v>0</v>
      </c>
      <c r="AM15" s="87">
        <f>'P &amp; NP'!DN89</f>
        <v>0</v>
      </c>
      <c r="AN15" s="87">
        <f>'P &amp; NP'!DO89</f>
        <v>0</v>
      </c>
      <c r="AO15" s="87">
        <f>'P &amp; NP'!DP89</f>
        <v>0</v>
      </c>
      <c r="AP15" s="87">
        <f>'P &amp; NP'!DQ89</f>
        <v>1267700</v>
      </c>
      <c r="AQ15" s="87">
        <f>'P &amp; NP'!DR89</f>
        <v>22457050</v>
      </c>
      <c r="AR15" s="87">
        <f>'P &amp; NP'!DS89</f>
        <v>0</v>
      </c>
      <c r="AS15" s="87">
        <f>'P &amp; NP'!DT89</f>
        <v>0</v>
      </c>
      <c r="AT15" s="87">
        <f>'P &amp; NP'!DU89</f>
        <v>0</v>
      </c>
      <c r="AU15" s="87">
        <f>'P &amp; NP'!DV89</f>
        <v>0</v>
      </c>
      <c r="AV15" s="87">
        <f>'P &amp; NP'!DW89</f>
        <v>0</v>
      </c>
      <c r="AW15" s="87">
        <f>'P &amp; NP'!DX89</f>
        <v>0</v>
      </c>
      <c r="AX15" s="92">
        <f t="shared" si="218"/>
        <v>1267700</v>
      </c>
      <c r="AY15" s="92">
        <f t="shared" si="219"/>
        <v>22457050</v>
      </c>
      <c r="AZ15" s="87">
        <f>'P &amp; NP'!DK127</f>
        <v>0</v>
      </c>
      <c r="BA15" s="87">
        <f>'P &amp; NP'!DL127</f>
        <v>0</v>
      </c>
      <c r="BB15" s="87">
        <f>'P &amp; NP'!DM127</f>
        <v>0</v>
      </c>
      <c r="BC15" s="87">
        <f>'P &amp; NP'!DN127</f>
        <v>0</v>
      </c>
      <c r="BD15" s="87">
        <f>'P &amp; NP'!DO127</f>
        <v>0</v>
      </c>
      <c r="BE15" s="87">
        <f>'P &amp; NP'!DP127</f>
        <v>0</v>
      </c>
      <c r="BF15" s="87">
        <f>'P &amp; NP'!DQ127</f>
        <v>1349700</v>
      </c>
      <c r="BG15" s="87">
        <f>'P &amp; NP'!DR127</f>
        <v>24186750</v>
      </c>
      <c r="BH15" s="87">
        <f>'P &amp; NP'!DS127</f>
        <v>0</v>
      </c>
      <c r="BI15" s="87">
        <f>'P &amp; NP'!DT127</f>
        <v>0</v>
      </c>
      <c r="BJ15" s="87">
        <f>'P &amp; NP'!DU127</f>
        <v>0</v>
      </c>
      <c r="BK15" s="87">
        <f>'P &amp; NP'!DV127</f>
        <v>0</v>
      </c>
      <c r="BL15" s="87">
        <f>'P &amp; NP'!DW127</f>
        <v>0</v>
      </c>
      <c r="BM15" s="87">
        <f>'P &amp; NP'!DX127</f>
        <v>0</v>
      </c>
      <c r="BN15" s="92">
        <f t="shared" si="220"/>
        <v>1349700</v>
      </c>
      <c r="BO15" s="92">
        <f t="shared" si="221"/>
        <v>24186750</v>
      </c>
      <c r="BP15" s="87">
        <f>'P &amp; NP'!DK165</f>
        <v>0</v>
      </c>
      <c r="BQ15" s="87">
        <f>'P &amp; NP'!DL165</f>
        <v>0</v>
      </c>
      <c r="BR15" s="87">
        <f>'P &amp; NP'!DM165</f>
        <v>0</v>
      </c>
      <c r="BS15" s="87">
        <f>'P &amp; NP'!DN165</f>
        <v>0</v>
      </c>
      <c r="BT15" s="87">
        <f>'P &amp; NP'!DO165</f>
        <v>0</v>
      </c>
      <c r="BU15" s="87">
        <f>'P &amp; NP'!DP165</f>
        <v>0</v>
      </c>
      <c r="BV15" s="87">
        <f>'P &amp; NP'!DQ165</f>
        <v>1228600</v>
      </c>
      <c r="BW15" s="87">
        <f>'P &amp; NP'!DR165</f>
        <v>21882900</v>
      </c>
      <c r="BX15" s="87">
        <f>'P &amp; NP'!DS165</f>
        <v>0</v>
      </c>
      <c r="BY15" s="87">
        <f>'P &amp; NP'!DT165</f>
        <v>0</v>
      </c>
      <c r="BZ15" s="87">
        <f>'P &amp; NP'!DU165</f>
        <v>0</v>
      </c>
      <c r="CA15" s="87">
        <f>'P &amp; NP'!DV165</f>
        <v>0</v>
      </c>
      <c r="CB15" s="87">
        <f>'P &amp; NP'!DW165</f>
        <v>0</v>
      </c>
      <c r="CC15" s="87">
        <f>'P &amp; NP'!DX165</f>
        <v>0</v>
      </c>
      <c r="CD15" s="92">
        <f t="shared" si="222"/>
        <v>1228600</v>
      </c>
      <c r="CE15" s="92">
        <f t="shared" si="223"/>
        <v>21882900</v>
      </c>
      <c r="CF15" s="87">
        <f>'P &amp; NP'!DK203</f>
        <v>0</v>
      </c>
      <c r="CG15" s="87">
        <f>'P &amp; NP'!DL203</f>
        <v>0</v>
      </c>
      <c r="CH15" s="87">
        <f>'P &amp; NP'!DM203</f>
        <v>0</v>
      </c>
      <c r="CI15" s="87">
        <f>'P &amp; NP'!DN203</f>
        <v>0</v>
      </c>
      <c r="CJ15" s="87">
        <f>'P &amp; NP'!DO203</f>
        <v>0</v>
      </c>
      <c r="CK15" s="87">
        <f>'P &amp; NP'!DP203</f>
        <v>0</v>
      </c>
      <c r="CL15" s="87">
        <f>'P &amp; NP'!DQ203</f>
        <v>1149500</v>
      </c>
      <c r="CM15" s="87">
        <f>'P &amp; NP'!DR203</f>
        <v>20470100</v>
      </c>
      <c r="CN15" s="87">
        <f>'P &amp; NP'!DS203</f>
        <v>0</v>
      </c>
      <c r="CO15" s="87">
        <f>'P &amp; NP'!DT203</f>
        <v>0</v>
      </c>
      <c r="CP15" s="87">
        <f>'P &amp; NP'!DU203</f>
        <v>0</v>
      </c>
      <c r="CQ15" s="87">
        <f>'P &amp; NP'!DV203</f>
        <v>0</v>
      </c>
      <c r="CR15" s="87">
        <f>'P &amp; NP'!DW203</f>
        <v>0</v>
      </c>
      <c r="CS15" s="87">
        <f>'P &amp; NP'!DX203</f>
        <v>0</v>
      </c>
      <c r="CT15" s="92">
        <f t="shared" si="224"/>
        <v>1149500</v>
      </c>
      <c r="CU15" s="92">
        <f t="shared" si="225"/>
        <v>20470100</v>
      </c>
      <c r="CV15" s="87">
        <f>'P &amp; NP'!DK241</f>
        <v>0</v>
      </c>
      <c r="CW15" s="87">
        <f>'P &amp; NP'!DL241</f>
        <v>0</v>
      </c>
      <c r="CX15" s="87">
        <f>'P &amp; NP'!DM241</f>
        <v>0</v>
      </c>
      <c r="CY15" s="87">
        <f>'P &amp; NP'!DN241</f>
        <v>0</v>
      </c>
      <c r="CZ15" s="87">
        <f>'P &amp; NP'!DQ241</f>
        <v>1242300</v>
      </c>
      <c r="DA15" s="87">
        <f>'P &amp; NP'!DR241</f>
        <v>22275000</v>
      </c>
      <c r="DB15" s="87">
        <f>'P &amp; NP'!DS241</f>
        <v>0</v>
      </c>
      <c r="DC15" s="87">
        <f>'P &amp; NP'!DT241</f>
        <v>0</v>
      </c>
      <c r="DD15" s="87">
        <f>'P &amp; NP'!DU241</f>
        <v>0</v>
      </c>
      <c r="DE15" s="87">
        <f>'P &amp; NP'!DV241</f>
        <v>0</v>
      </c>
      <c r="DF15" s="87">
        <f>'P &amp; NP'!DW241</f>
        <v>0</v>
      </c>
      <c r="DG15" s="87">
        <f>'P &amp; NP'!DX241</f>
        <v>0</v>
      </c>
      <c r="DH15" s="87">
        <f t="shared" si="226"/>
        <v>1242300</v>
      </c>
      <c r="DI15" s="87">
        <f t="shared" si="227"/>
        <v>22275000</v>
      </c>
      <c r="DJ15" s="92">
        <f>'P &amp; NP'!DK279</f>
        <v>0</v>
      </c>
      <c r="DK15" s="92">
        <f>'P &amp; NP'!DL279</f>
        <v>0</v>
      </c>
      <c r="DL15" s="87">
        <f>'P &amp; NP'!DM279</f>
        <v>0</v>
      </c>
      <c r="DM15" s="87">
        <f>'P &amp; NP'!DN279</f>
        <v>0</v>
      </c>
      <c r="DN15" s="87">
        <f>'P &amp; NP'!DQ279</f>
        <v>1101200</v>
      </c>
      <c r="DO15" s="87">
        <f>'P &amp; NP'!DR279</f>
        <v>19798100</v>
      </c>
      <c r="DP15" s="87">
        <f>'P &amp; NP'!DS279</f>
        <v>0</v>
      </c>
      <c r="DQ15" s="87">
        <f>'P &amp; NP'!DT279</f>
        <v>0</v>
      </c>
      <c r="DR15" s="87">
        <f>'P &amp; NP'!DU279</f>
        <v>0</v>
      </c>
      <c r="DS15" s="87">
        <f>'P &amp; NP'!DV279</f>
        <v>0</v>
      </c>
      <c r="DT15" s="87">
        <f>'P &amp; NP'!DW279</f>
        <v>0</v>
      </c>
      <c r="DU15" s="87">
        <f>'P &amp; NP'!DX279</f>
        <v>0</v>
      </c>
      <c r="DV15" s="87">
        <f t="shared" si="228"/>
        <v>1101200</v>
      </c>
      <c r="DW15" s="87">
        <f t="shared" si="229"/>
        <v>19798100</v>
      </c>
      <c r="DX15" s="87">
        <f>'P &amp; NP'!DK317</f>
        <v>0</v>
      </c>
      <c r="DY15" s="87">
        <f>'P &amp; NP'!DL317</f>
        <v>0</v>
      </c>
      <c r="DZ15" s="92">
        <f>'P &amp; NP'!DM317</f>
        <v>0</v>
      </c>
      <c r="EA15" s="92">
        <f>'P &amp; NP'!DN317</f>
        <v>0</v>
      </c>
      <c r="EB15" s="87">
        <f>'P &amp; NP'!DQ317</f>
        <v>1208400</v>
      </c>
      <c r="EC15" s="87">
        <f>'P &amp; NP'!DR317</f>
        <v>21758000</v>
      </c>
      <c r="ED15" s="87">
        <f>'P &amp; NP'!DS317</f>
        <v>0</v>
      </c>
      <c r="EE15" s="87">
        <f>'P &amp; NP'!DT317</f>
        <v>0</v>
      </c>
      <c r="EF15" s="87">
        <f>'P &amp; NP'!DU317</f>
        <v>0</v>
      </c>
      <c r="EG15" s="87">
        <f>'P &amp; NP'!DV317</f>
        <v>0</v>
      </c>
      <c r="EH15" s="87">
        <f>'P &amp; NP'!DW317</f>
        <v>0</v>
      </c>
      <c r="EI15" s="87">
        <f>'P &amp; NP'!DX317</f>
        <v>0</v>
      </c>
      <c r="EJ15" s="87">
        <f t="shared" si="230"/>
        <v>1208400</v>
      </c>
      <c r="EK15" s="87">
        <f t="shared" si="231"/>
        <v>21758000</v>
      </c>
      <c r="EL15" s="87">
        <f>'P &amp; NP'!DK355</f>
        <v>0</v>
      </c>
      <c r="EM15" s="87">
        <f>'P &amp; NP'!DL355</f>
        <v>0</v>
      </c>
      <c r="EN15" s="87">
        <f>'P &amp; NP'!DM355</f>
        <v>0</v>
      </c>
      <c r="EO15" s="87">
        <f>'P &amp; NP'!DN355</f>
        <v>0</v>
      </c>
      <c r="EP15" s="92">
        <f>'P &amp; NP'!DQ355</f>
        <v>1188800</v>
      </c>
      <c r="EQ15" s="92">
        <f>'P &amp; NP'!DR355</f>
        <v>22684700</v>
      </c>
      <c r="ER15" s="87">
        <f>'P &amp; NP'!DS355</f>
        <v>0</v>
      </c>
      <c r="ES15" s="87">
        <f>'P &amp; NP'!DT355</f>
        <v>0</v>
      </c>
      <c r="ET15" s="87">
        <f>'P &amp; NP'!DU355</f>
        <v>0</v>
      </c>
      <c r="EU15" s="87">
        <f>'P &amp; NP'!DV355</f>
        <v>0</v>
      </c>
      <c r="EV15" s="87">
        <f>'P &amp; NP'!DW355</f>
        <v>0</v>
      </c>
      <c r="EW15" s="87">
        <f>'P &amp; NP'!DX355</f>
        <v>0</v>
      </c>
      <c r="EX15" s="87">
        <f t="shared" si="232"/>
        <v>1188800</v>
      </c>
      <c r="EY15" s="87">
        <f t="shared" si="233"/>
        <v>22684700</v>
      </c>
      <c r="EZ15" s="87">
        <f>'P &amp; NP'!DK393</f>
        <v>0</v>
      </c>
      <c r="FA15" s="87">
        <f>'P &amp; NP'!DL393</f>
        <v>0</v>
      </c>
      <c r="FB15" s="87">
        <f>'P &amp; NP'!DM393</f>
        <v>0</v>
      </c>
      <c r="FC15" s="87">
        <f>'P &amp; NP'!DN393</f>
        <v>0</v>
      </c>
      <c r="FD15" s="87">
        <f>'P &amp; NP'!DQ393</f>
        <v>1185100</v>
      </c>
      <c r="FE15" s="87">
        <f>'P &amp; NP'!DR393</f>
        <v>23052450</v>
      </c>
      <c r="FF15" s="92">
        <f>'P &amp; NP'!DS393</f>
        <v>0</v>
      </c>
      <c r="FG15" s="92">
        <f>'P &amp; NP'!DT393</f>
        <v>0</v>
      </c>
      <c r="FH15" s="87">
        <f>'P &amp; NP'!DU393</f>
        <v>0</v>
      </c>
      <c r="FI15" s="87">
        <f>'P &amp; NP'!DV393</f>
        <v>0</v>
      </c>
      <c r="FJ15" s="87">
        <f>'P &amp; NP'!DW393</f>
        <v>0</v>
      </c>
      <c r="FK15" s="87">
        <f>'P &amp; NP'!DX393</f>
        <v>0</v>
      </c>
      <c r="FL15" s="87">
        <f t="shared" si="234"/>
        <v>1185100</v>
      </c>
      <c r="FM15" s="87">
        <f t="shared" si="235"/>
        <v>23052450</v>
      </c>
      <c r="FN15" s="87">
        <f>'P &amp; NP'!DK431</f>
        <v>0</v>
      </c>
      <c r="FO15" s="87">
        <f>'P &amp; NP'!DL431</f>
        <v>0</v>
      </c>
      <c r="FP15" s="87">
        <f>'P &amp; NP'!DM431</f>
        <v>0</v>
      </c>
      <c r="FQ15" s="87">
        <f>'P &amp; NP'!DN431</f>
        <v>0</v>
      </c>
      <c r="FR15" s="87">
        <f>'P &amp; NP'!DQ431</f>
        <v>1292700</v>
      </c>
      <c r="FS15" s="87">
        <f>'P &amp; NP'!DR431</f>
        <v>25059950</v>
      </c>
      <c r="FT15" s="87">
        <f>'P &amp; NP'!DS431</f>
        <v>0</v>
      </c>
      <c r="FU15" s="87">
        <f>'P &amp; NP'!DT431</f>
        <v>0</v>
      </c>
      <c r="FV15" s="92">
        <f>'P &amp; NP'!DU431</f>
        <v>0</v>
      </c>
      <c r="FW15" s="92">
        <f>'P &amp; NP'!DV431</f>
        <v>0</v>
      </c>
      <c r="FX15" s="87">
        <f>'P &amp; NP'!DW431</f>
        <v>0</v>
      </c>
      <c r="FY15" s="87">
        <f>'P &amp; NP'!DX431</f>
        <v>0</v>
      </c>
      <c r="FZ15" s="87">
        <f t="shared" si="236"/>
        <v>1292700</v>
      </c>
      <c r="GA15" s="87">
        <f t="shared" si="237"/>
        <v>25059950</v>
      </c>
      <c r="GC15" s="609">
        <f t="shared" si="164"/>
        <v>0</v>
      </c>
      <c r="GD15" s="609">
        <f t="shared" si="165"/>
        <v>0</v>
      </c>
      <c r="GE15" s="609">
        <f t="shared" si="166"/>
        <v>0</v>
      </c>
      <c r="GF15" s="609">
        <f t="shared" si="167"/>
        <v>0</v>
      </c>
      <c r="GG15" s="609">
        <f t="shared" si="168"/>
        <v>3845700</v>
      </c>
      <c r="GH15" s="609">
        <f t="shared" si="169"/>
        <v>68454750</v>
      </c>
      <c r="GI15" s="609">
        <f t="shared" si="170"/>
        <v>0</v>
      </c>
      <c r="GJ15" s="609">
        <f t="shared" si="171"/>
        <v>0</v>
      </c>
      <c r="GK15" s="609">
        <f t="shared" si="172"/>
        <v>0</v>
      </c>
      <c r="GL15" s="609">
        <f t="shared" si="173"/>
        <v>0</v>
      </c>
      <c r="GM15" s="609">
        <f t="shared" si="174"/>
        <v>0</v>
      </c>
      <c r="GN15" s="609">
        <f t="shared" si="175"/>
        <v>0</v>
      </c>
      <c r="GO15" s="640">
        <f t="shared" si="238"/>
        <v>3845700</v>
      </c>
      <c r="GP15" s="640">
        <f t="shared" si="239"/>
        <v>68454750</v>
      </c>
      <c r="GR15" s="609">
        <f t="shared" si="176"/>
        <v>0</v>
      </c>
      <c r="GS15" s="609">
        <f t="shared" si="177"/>
        <v>0</v>
      </c>
      <c r="GT15" s="609">
        <f t="shared" si="178"/>
        <v>0</v>
      </c>
      <c r="GU15" s="609">
        <f t="shared" si="179"/>
        <v>0</v>
      </c>
      <c r="GV15" s="609">
        <f t="shared" si="180"/>
        <v>3727800</v>
      </c>
      <c r="GW15" s="609">
        <f t="shared" si="181"/>
        <v>66539750</v>
      </c>
      <c r="GX15" s="609">
        <f t="shared" si="182"/>
        <v>0</v>
      </c>
      <c r="GY15" s="609">
        <f t="shared" si="183"/>
        <v>0</v>
      </c>
      <c r="GZ15" s="609">
        <f t="shared" si="184"/>
        <v>0</v>
      </c>
      <c r="HA15" s="609">
        <f t="shared" si="185"/>
        <v>0</v>
      </c>
      <c r="HB15" s="609">
        <f t="shared" si="186"/>
        <v>0</v>
      </c>
      <c r="HC15" s="609">
        <f t="shared" si="187"/>
        <v>0</v>
      </c>
      <c r="HD15" s="640">
        <f t="shared" si="240"/>
        <v>3727800</v>
      </c>
      <c r="HE15" s="640">
        <f t="shared" si="241"/>
        <v>66539750</v>
      </c>
      <c r="HG15" s="609">
        <f t="shared" si="188"/>
        <v>0</v>
      </c>
      <c r="HH15" s="609">
        <f t="shared" si="189"/>
        <v>0</v>
      </c>
      <c r="HI15" s="609">
        <f t="shared" si="190"/>
        <v>0</v>
      </c>
      <c r="HJ15" s="609">
        <f t="shared" si="191"/>
        <v>0</v>
      </c>
      <c r="HK15" s="609">
        <f t="shared" si="192"/>
        <v>3551900</v>
      </c>
      <c r="HL15" s="609">
        <f t="shared" si="193"/>
        <v>63831100</v>
      </c>
      <c r="HM15" s="609">
        <f t="shared" si="194"/>
        <v>0</v>
      </c>
      <c r="HN15" s="609">
        <f t="shared" si="195"/>
        <v>0</v>
      </c>
      <c r="HO15" s="609">
        <f t="shared" si="196"/>
        <v>0</v>
      </c>
      <c r="HP15" s="609">
        <f t="shared" si="197"/>
        <v>0</v>
      </c>
      <c r="HQ15" s="609">
        <f t="shared" si="198"/>
        <v>0</v>
      </c>
      <c r="HR15" s="609">
        <f t="shared" si="199"/>
        <v>0</v>
      </c>
      <c r="HS15" s="640">
        <f t="shared" si="242"/>
        <v>3551900</v>
      </c>
      <c r="HT15" s="640">
        <f t="shared" si="243"/>
        <v>63831100</v>
      </c>
      <c r="HV15" s="609">
        <f t="shared" si="200"/>
        <v>0</v>
      </c>
      <c r="HW15" s="609">
        <f t="shared" si="201"/>
        <v>0</v>
      </c>
      <c r="HX15" s="609">
        <f t="shared" si="202"/>
        <v>0</v>
      </c>
      <c r="HY15" s="609">
        <f t="shared" si="203"/>
        <v>0</v>
      </c>
      <c r="HZ15" s="609">
        <f t="shared" si="204"/>
        <v>3666600</v>
      </c>
      <c r="IA15" s="609">
        <f t="shared" si="205"/>
        <v>70797100</v>
      </c>
      <c r="IB15" s="609">
        <f t="shared" si="206"/>
        <v>0</v>
      </c>
      <c r="IC15" s="609">
        <f t="shared" si="207"/>
        <v>0</v>
      </c>
      <c r="ID15" s="609">
        <f t="shared" si="208"/>
        <v>0</v>
      </c>
      <c r="IE15" s="609">
        <f t="shared" si="209"/>
        <v>0</v>
      </c>
      <c r="IF15" s="609">
        <f t="shared" si="210"/>
        <v>0</v>
      </c>
      <c r="IG15" s="609">
        <f t="shared" si="211"/>
        <v>0</v>
      </c>
      <c r="IH15" s="640">
        <f t="shared" si="244"/>
        <v>3666600</v>
      </c>
      <c r="II15" s="640">
        <f t="shared" si="245"/>
        <v>70797100</v>
      </c>
    </row>
    <row r="16" spans="1:246">
      <c r="A16" s="484" t="s">
        <v>117</v>
      </c>
      <c r="B16" s="484">
        <f t="shared" si="212"/>
        <v>25514275</v>
      </c>
      <c r="C16" s="484">
        <f t="shared" si="213"/>
        <v>482643365</v>
      </c>
      <c r="D16" s="87">
        <f>'P &amp; NP'!EA13</f>
        <v>0</v>
      </c>
      <c r="E16" s="87">
        <f>'P &amp; NP'!EB13</f>
        <v>0</v>
      </c>
      <c r="F16" s="87">
        <f>'P &amp; NP'!EC13</f>
        <v>0</v>
      </c>
      <c r="G16" s="87">
        <f>'P &amp; NP'!ED13</f>
        <v>0</v>
      </c>
      <c r="H16" s="87">
        <f>'P &amp; NP'!EE13</f>
        <v>0</v>
      </c>
      <c r="I16" s="87">
        <f>'P &amp; NP'!EF13</f>
        <v>0</v>
      </c>
      <c r="J16" s="87">
        <f>'P &amp; NP'!EG13</f>
        <v>2088550</v>
      </c>
      <c r="K16" s="87">
        <f>'P &amp; NP'!EH13</f>
        <v>39429650</v>
      </c>
      <c r="L16" s="87">
        <f>'P &amp; NP'!EI13</f>
        <v>0</v>
      </c>
      <c r="M16" s="87">
        <f>'P &amp; NP'!EJ13</f>
        <v>0</v>
      </c>
      <c r="N16" s="87">
        <f>'P &amp; NP'!EK13</f>
        <v>0</v>
      </c>
      <c r="O16" s="87">
        <f>'P &amp; NP'!EL13</f>
        <v>0</v>
      </c>
      <c r="P16" s="87">
        <f>'P &amp; NP'!EM13</f>
        <v>0</v>
      </c>
      <c r="Q16" s="87">
        <f>'P &amp; NP'!EN13</f>
        <v>0</v>
      </c>
      <c r="R16" s="92">
        <f t="shared" si="214"/>
        <v>2088550</v>
      </c>
      <c r="S16" s="92">
        <f t="shared" si="215"/>
        <v>39429650</v>
      </c>
      <c r="T16" s="87">
        <f>'P &amp; NP'!EA51</f>
        <v>0</v>
      </c>
      <c r="U16" s="87">
        <f>'P &amp; NP'!EB51</f>
        <v>0</v>
      </c>
      <c r="V16" s="87">
        <f>'P &amp; NP'!EC51</f>
        <v>0</v>
      </c>
      <c r="W16" s="87">
        <f>'P &amp; NP'!ED51</f>
        <v>0</v>
      </c>
      <c r="X16" s="87">
        <f>'P &amp; NP'!EE51</f>
        <v>0</v>
      </c>
      <c r="Y16" s="87">
        <f>'P &amp; NP'!EF51</f>
        <v>0</v>
      </c>
      <c r="Z16" s="87">
        <f>'P &amp; NP'!EG51</f>
        <v>2135320</v>
      </c>
      <c r="AA16" s="87">
        <f>'P &amp; NP'!EH51</f>
        <v>40174720</v>
      </c>
      <c r="AB16" s="87">
        <f>'P &amp; NP'!EI51</f>
        <v>0</v>
      </c>
      <c r="AC16" s="87">
        <f>'P &amp; NP'!EJ51</f>
        <v>0</v>
      </c>
      <c r="AD16" s="87">
        <f>'P &amp; NP'!EK51</f>
        <v>0</v>
      </c>
      <c r="AE16" s="87">
        <f>'P &amp; NP'!EL51</f>
        <v>0</v>
      </c>
      <c r="AF16" s="87">
        <f>'P &amp; NP'!EM51</f>
        <v>0</v>
      </c>
      <c r="AG16" s="87">
        <f>'P &amp; NP'!EN51</f>
        <v>0</v>
      </c>
      <c r="AH16" s="92">
        <f t="shared" si="216"/>
        <v>2135320</v>
      </c>
      <c r="AI16" s="92">
        <f t="shared" si="217"/>
        <v>40174720</v>
      </c>
      <c r="AJ16" s="87">
        <f>'P &amp; NP'!EA89</f>
        <v>0</v>
      </c>
      <c r="AK16" s="87">
        <f>'P &amp; NP'!EB89</f>
        <v>0</v>
      </c>
      <c r="AL16" s="87">
        <f>'P &amp; NP'!EC89</f>
        <v>0</v>
      </c>
      <c r="AM16" s="87">
        <f>'P &amp; NP'!ED89</f>
        <v>0</v>
      </c>
      <c r="AN16" s="87">
        <f>'P &amp; NP'!EE89</f>
        <v>0</v>
      </c>
      <c r="AO16" s="87">
        <f>'P &amp; NP'!EF89</f>
        <v>0</v>
      </c>
      <c r="AP16" s="87">
        <f>'P &amp; NP'!EG89</f>
        <v>2193250</v>
      </c>
      <c r="AQ16" s="87">
        <f>'P &amp; NP'!EH89</f>
        <v>40848750</v>
      </c>
      <c r="AR16" s="87">
        <f>'P &amp; NP'!EI89</f>
        <v>0</v>
      </c>
      <c r="AS16" s="87">
        <f>'P &amp; NP'!EJ89</f>
        <v>0</v>
      </c>
      <c r="AT16" s="87">
        <f>'P &amp; NP'!EK89</f>
        <v>0</v>
      </c>
      <c r="AU16" s="87">
        <f>'P &amp; NP'!EL89</f>
        <v>0</v>
      </c>
      <c r="AV16" s="87">
        <f>'P &amp; NP'!EM89</f>
        <v>0</v>
      </c>
      <c r="AW16" s="87">
        <f>'P &amp; NP'!EN89</f>
        <v>0</v>
      </c>
      <c r="AX16" s="92">
        <f t="shared" si="218"/>
        <v>2193250</v>
      </c>
      <c r="AY16" s="92">
        <f t="shared" si="219"/>
        <v>40848750</v>
      </c>
      <c r="AZ16" s="87">
        <f>'P &amp; NP'!EA127</f>
        <v>0</v>
      </c>
      <c r="BA16" s="87">
        <f>'P &amp; NP'!EB127</f>
        <v>0</v>
      </c>
      <c r="BB16" s="87">
        <f>'P &amp; NP'!EC127</f>
        <v>0</v>
      </c>
      <c r="BC16" s="87">
        <f>'P &amp; NP'!ED127</f>
        <v>0</v>
      </c>
      <c r="BD16" s="87">
        <f>'P &amp; NP'!EE127</f>
        <v>0</v>
      </c>
      <c r="BE16" s="87">
        <f>'P &amp; NP'!EF127</f>
        <v>0</v>
      </c>
      <c r="BF16" s="87">
        <f>'P &amp; NP'!EG127</f>
        <v>2124380</v>
      </c>
      <c r="BG16" s="87">
        <f>'P &amp; NP'!EH127</f>
        <v>39836580</v>
      </c>
      <c r="BH16" s="87">
        <f>'P &amp; NP'!EI127</f>
        <v>0</v>
      </c>
      <c r="BI16" s="87">
        <f>'P &amp; NP'!EJ127</f>
        <v>0</v>
      </c>
      <c r="BJ16" s="87">
        <f>'P &amp; NP'!EK127</f>
        <v>0</v>
      </c>
      <c r="BK16" s="87">
        <f>'P &amp; NP'!EL127</f>
        <v>0</v>
      </c>
      <c r="BL16" s="87">
        <f>'P &amp; NP'!EM127</f>
        <v>0</v>
      </c>
      <c r="BM16" s="87">
        <f>'P &amp; NP'!EN127</f>
        <v>0</v>
      </c>
      <c r="BN16" s="92">
        <f t="shared" si="220"/>
        <v>2124380</v>
      </c>
      <c r="BO16" s="92">
        <f t="shared" si="221"/>
        <v>39836580</v>
      </c>
      <c r="BP16" s="87">
        <f>'P &amp; NP'!EA165</f>
        <v>0</v>
      </c>
      <c r="BQ16" s="87">
        <f>'P &amp; NP'!EB165</f>
        <v>0</v>
      </c>
      <c r="BR16" s="87">
        <f>'P &amp; NP'!EC165</f>
        <v>0</v>
      </c>
      <c r="BS16" s="87">
        <f>'P &amp; NP'!ED165</f>
        <v>0</v>
      </c>
      <c r="BT16" s="87">
        <f>'P &amp; NP'!EE165</f>
        <v>0</v>
      </c>
      <c r="BU16" s="87">
        <f>'P &amp; NP'!EF165</f>
        <v>0</v>
      </c>
      <c r="BV16" s="87">
        <f>'P &amp; NP'!EG165</f>
        <v>2363345</v>
      </c>
      <c r="BW16" s="87">
        <f>'P &amp; NP'!EH165</f>
        <v>44285395</v>
      </c>
      <c r="BX16" s="87">
        <f>'P &amp; NP'!EI165</f>
        <v>0</v>
      </c>
      <c r="BY16" s="87">
        <f>'P &amp; NP'!EJ165</f>
        <v>0</v>
      </c>
      <c r="BZ16" s="87">
        <f>'P &amp; NP'!EK165</f>
        <v>0</v>
      </c>
      <c r="CA16" s="87">
        <f>'P &amp; NP'!EL165</f>
        <v>0</v>
      </c>
      <c r="CB16" s="87">
        <f>'P &amp; NP'!EM165</f>
        <v>0</v>
      </c>
      <c r="CC16" s="87">
        <f>'P &amp; NP'!EN165</f>
        <v>0</v>
      </c>
      <c r="CD16" s="92">
        <f t="shared" si="222"/>
        <v>2363345</v>
      </c>
      <c r="CE16" s="92">
        <f t="shared" si="223"/>
        <v>44285395</v>
      </c>
      <c r="CF16" s="87">
        <f>'P &amp; NP'!EA203</f>
        <v>0</v>
      </c>
      <c r="CG16" s="87">
        <f>'P &amp; NP'!EB203</f>
        <v>0</v>
      </c>
      <c r="CH16" s="87">
        <f>'P &amp; NP'!EC203</f>
        <v>0</v>
      </c>
      <c r="CI16" s="87">
        <f>'P &amp; NP'!ED203</f>
        <v>0</v>
      </c>
      <c r="CJ16" s="87">
        <f>'P &amp; NP'!EE203</f>
        <v>0</v>
      </c>
      <c r="CK16" s="87">
        <f>'P &amp; NP'!EF203</f>
        <v>0</v>
      </c>
      <c r="CL16" s="87">
        <f>'P &amp; NP'!EG203</f>
        <v>2429395</v>
      </c>
      <c r="CM16" s="87">
        <f>'P &amp; NP'!EH203</f>
        <v>45419385</v>
      </c>
      <c r="CN16" s="87">
        <f>'P &amp; NP'!EI203</f>
        <v>0</v>
      </c>
      <c r="CO16" s="87">
        <f>'P &amp; NP'!EJ203</f>
        <v>0</v>
      </c>
      <c r="CP16" s="87">
        <f>'P &amp; NP'!EK203</f>
        <v>0</v>
      </c>
      <c r="CQ16" s="87">
        <f>'P &amp; NP'!EL203</f>
        <v>0</v>
      </c>
      <c r="CR16" s="87">
        <f>'P &amp; NP'!EM203</f>
        <v>0</v>
      </c>
      <c r="CS16" s="87">
        <f>'P &amp; NP'!EN203</f>
        <v>0</v>
      </c>
      <c r="CT16" s="92">
        <f t="shared" si="224"/>
        <v>2429395</v>
      </c>
      <c r="CU16" s="92">
        <f t="shared" si="225"/>
        <v>45419385</v>
      </c>
      <c r="CV16" s="87">
        <f>'P &amp; NP'!EA241</f>
        <v>0</v>
      </c>
      <c r="CW16" s="87">
        <f>'P &amp; NP'!EB241</f>
        <v>0</v>
      </c>
      <c r="CX16" s="87">
        <f>'P &amp; NP'!EC241</f>
        <v>0</v>
      </c>
      <c r="CY16" s="87">
        <f>'P &amp; NP'!ED241</f>
        <v>0</v>
      </c>
      <c r="CZ16" s="87">
        <f>'P &amp; NP'!EG241</f>
        <v>2040430</v>
      </c>
      <c r="DA16" s="87">
        <f>'P &amp; NP'!EH241</f>
        <v>38336050</v>
      </c>
      <c r="DB16" s="87">
        <f>'P &amp; NP'!EI241</f>
        <v>0</v>
      </c>
      <c r="DC16" s="87">
        <f>'P &amp; NP'!EJ241</f>
        <v>0</v>
      </c>
      <c r="DD16" s="87">
        <f>'P &amp; NP'!EK241</f>
        <v>0</v>
      </c>
      <c r="DE16" s="87">
        <f>'P &amp; NP'!EL241</f>
        <v>0</v>
      </c>
      <c r="DF16" s="87">
        <f>'P &amp; NP'!EM241</f>
        <v>0</v>
      </c>
      <c r="DG16" s="87">
        <f>'P &amp; NP'!EN241</f>
        <v>0</v>
      </c>
      <c r="DH16" s="87">
        <f t="shared" si="226"/>
        <v>2040430</v>
      </c>
      <c r="DI16" s="87">
        <f t="shared" si="227"/>
        <v>38336050</v>
      </c>
      <c r="DJ16" s="92">
        <f>'P &amp; NP'!EA279</f>
        <v>0</v>
      </c>
      <c r="DK16" s="92">
        <f>'P &amp; NP'!EB279</f>
        <v>0</v>
      </c>
      <c r="DL16" s="87">
        <f>'P &amp; NP'!EC279</f>
        <v>0</v>
      </c>
      <c r="DM16" s="87">
        <f>'P &amp; NP'!ED279</f>
        <v>0</v>
      </c>
      <c r="DN16" s="87">
        <f>'P &amp; NP'!EG279</f>
        <v>2054940</v>
      </c>
      <c r="DO16" s="87">
        <f>'P &amp; NP'!EH279</f>
        <v>38622540</v>
      </c>
      <c r="DP16" s="87">
        <f>'P &amp; NP'!EI279</f>
        <v>0</v>
      </c>
      <c r="DQ16" s="87">
        <f>'P &amp; NP'!EJ279</f>
        <v>0</v>
      </c>
      <c r="DR16" s="87">
        <f>'P &amp; NP'!EK279</f>
        <v>0</v>
      </c>
      <c r="DS16" s="87">
        <f>'P &amp; NP'!EL279</f>
        <v>0</v>
      </c>
      <c r="DT16" s="87">
        <f>'P &amp; NP'!EM279</f>
        <v>0</v>
      </c>
      <c r="DU16" s="87">
        <f>'P &amp; NP'!EN279</f>
        <v>0</v>
      </c>
      <c r="DV16" s="87">
        <f t="shared" si="228"/>
        <v>2054940</v>
      </c>
      <c r="DW16" s="87">
        <f t="shared" si="229"/>
        <v>38622540</v>
      </c>
      <c r="DX16" s="87">
        <f>'P &amp; NP'!EA317</f>
        <v>0</v>
      </c>
      <c r="DY16" s="87">
        <f>'P &amp; NP'!EB317</f>
        <v>0</v>
      </c>
      <c r="DZ16" s="92">
        <f>'P &amp; NP'!EC317</f>
        <v>0</v>
      </c>
      <c r="EA16" s="92">
        <f>'P &amp; NP'!ED317</f>
        <v>0</v>
      </c>
      <c r="EB16" s="87">
        <f>'P &amp; NP'!EG317</f>
        <v>2003415</v>
      </c>
      <c r="EC16" s="87">
        <f>'P &amp; NP'!EH317</f>
        <v>37785225</v>
      </c>
      <c r="ED16" s="87">
        <f>'P &amp; NP'!EI317</f>
        <v>0</v>
      </c>
      <c r="EE16" s="87">
        <f>'P &amp; NP'!EJ317</f>
        <v>0</v>
      </c>
      <c r="EF16" s="87">
        <f>'P &amp; NP'!EK317</f>
        <v>0</v>
      </c>
      <c r="EG16" s="87">
        <f>'P &amp; NP'!EL317</f>
        <v>0</v>
      </c>
      <c r="EH16" s="87">
        <f>'P &amp; NP'!EM317</f>
        <v>0</v>
      </c>
      <c r="EI16" s="87">
        <f>'P &amp; NP'!EN317</f>
        <v>0</v>
      </c>
      <c r="EJ16" s="87">
        <f t="shared" si="230"/>
        <v>2003415</v>
      </c>
      <c r="EK16" s="87">
        <f t="shared" si="231"/>
        <v>37785225</v>
      </c>
      <c r="EL16" s="87">
        <f>'P &amp; NP'!EA355</f>
        <v>0</v>
      </c>
      <c r="EM16" s="87">
        <f>'P &amp; NP'!EB355</f>
        <v>0</v>
      </c>
      <c r="EN16" s="87">
        <f>'P &amp; NP'!EC355</f>
        <v>0</v>
      </c>
      <c r="EO16" s="87">
        <f>'P &amp; NP'!ED355</f>
        <v>0</v>
      </c>
      <c r="EP16" s="92">
        <f>'P &amp; NP'!EG355</f>
        <v>1917725</v>
      </c>
      <c r="EQ16" s="92">
        <f>'P &amp; NP'!EH355</f>
        <v>36995615</v>
      </c>
      <c r="ER16" s="87">
        <f>'P &amp; NP'!EI355</f>
        <v>0</v>
      </c>
      <c r="ES16" s="87">
        <f>'P &amp; NP'!EJ355</f>
        <v>0</v>
      </c>
      <c r="ET16" s="87">
        <f>'P &amp; NP'!EK355</f>
        <v>0</v>
      </c>
      <c r="EU16" s="87">
        <f>'P &amp; NP'!EL355</f>
        <v>0</v>
      </c>
      <c r="EV16" s="87">
        <f>'P &amp; NP'!EM355</f>
        <v>0</v>
      </c>
      <c r="EW16" s="87">
        <f>'P &amp; NP'!EN355</f>
        <v>0</v>
      </c>
      <c r="EX16" s="87">
        <f t="shared" si="232"/>
        <v>1917725</v>
      </c>
      <c r="EY16" s="87">
        <f t="shared" si="233"/>
        <v>36995615</v>
      </c>
      <c r="EZ16" s="87">
        <f>'P &amp; NP'!EA393</f>
        <v>0</v>
      </c>
      <c r="FA16" s="87">
        <f>'P &amp; NP'!EB393</f>
        <v>0</v>
      </c>
      <c r="FB16" s="87">
        <f>'P &amp; NP'!EC393</f>
        <v>0</v>
      </c>
      <c r="FC16" s="87">
        <f>'P &amp; NP'!ED393</f>
        <v>0</v>
      </c>
      <c r="FD16" s="87">
        <f>'P &amp; NP'!EG393</f>
        <v>2044945</v>
      </c>
      <c r="FE16" s="87">
        <f>'P &amp; NP'!EH393</f>
        <v>39656375</v>
      </c>
      <c r="FF16" s="92">
        <f>'P &amp; NP'!EI393</f>
        <v>0</v>
      </c>
      <c r="FG16" s="92">
        <f>'P &amp; NP'!EJ393</f>
        <v>0</v>
      </c>
      <c r="FH16" s="87">
        <f>'P &amp; NP'!EK393</f>
        <v>0</v>
      </c>
      <c r="FI16" s="87">
        <f>'P &amp; NP'!EL393</f>
        <v>0</v>
      </c>
      <c r="FJ16" s="87">
        <f>'P &amp; NP'!EM393</f>
        <v>0</v>
      </c>
      <c r="FK16" s="87">
        <f>'P &amp; NP'!EN393</f>
        <v>0</v>
      </c>
      <c r="FL16" s="87">
        <f t="shared" si="234"/>
        <v>2044945</v>
      </c>
      <c r="FM16" s="87">
        <f t="shared" si="235"/>
        <v>39656375</v>
      </c>
      <c r="FN16" s="87">
        <f>'P &amp; NP'!EA431</f>
        <v>0</v>
      </c>
      <c r="FO16" s="87">
        <f>'P &amp; NP'!EB431</f>
        <v>0</v>
      </c>
      <c r="FP16" s="87">
        <f>'P &amp; NP'!EC431</f>
        <v>0</v>
      </c>
      <c r="FQ16" s="87">
        <f>'P &amp; NP'!ED431</f>
        <v>0</v>
      </c>
      <c r="FR16" s="87">
        <f>'P &amp; NP'!EG431</f>
        <v>2118580</v>
      </c>
      <c r="FS16" s="87">
        <f>'P &amp; NP'!EH431</f>
        <v>41253080</v>
      </c>
      <c r="FT16" s="87">
        <f>'P &amp; NP'!EI431</f>
        <v>0</v>
      </c>
      <c r="FU16" s="87">
        <f>'P &amp; NP'!EJ431</f>
        <v>0</v>
      </c>
      <c r="FV16" s="92">
        <f>'P &amp; NP'!EK431</f>
        <v>0</v>
      </c>
      <c r="FW16" s="92">
        <f>'P &amp; NP'!EL431</f>
        <v>0</v>
      </c>
      <c r="FX16" s="87">
        <f>'P &amp; NP'!EM431</f>
        <v>0</v>
      </c>
      <c r="FY16" s="87">
        <f>'P &amp; NP'!EN431</f>
        <v>0</v>
      </c>
      <c r="FZ16" s="87">
        <f t="shared" si="236"/>
        <v>2118580</v>
      </c>
      <c r="GA16" s="87">
        <f t="shared" si="237"/>
        <v>41253080</v>
      </c>
      <c r="GC16" s="609">
        <f t="shared" si="164"/>
        <v>0</v>
      </c>
      <c r="GD16" s="609">
        <f t="shared" si="165"/>
        <v>0</v>
      </c>
      <c r="GE16" s="609">
        <f t="shared" si="166"/>
        <v>0</v>
      </c>
      <c r="GF16" s="609">
        <f t="shared" si="167"/>
        <v>0</v>
      </c>
      <c r="GG16" s="609">
        <f t="shared" si="168"/>
        <v>6417120</v>
      </c>
      <c r="GH16" s="609">
        <f t="shared" si="169"/>
        <v>120453120</v>
      </c>
      <c r="GI16" s="609">
        <f t="shared" si="170"/>
        <v>0</v>
      </c>
      <c r="GJ16" s="609">
        <f t="shared" si="171"/>
        <v>0</v>
      </c>
      <c r="GK16" s="609">
        <f t="shared" si="172"/>
        <v>0</v>
      </c>
      <c r="GL16" s="609">
        <f t="shared" si="173"/>
        <v>0</v>
      </c>
      <c r="GM16" s="609">
        <f t="shared" si="174"/>
        <v>0</v>
      </c>
      <c r="GN16" s="609">
        <f t="shared" si="175"/>
        <v>0</v>
      </c>
      <c r="GO16" s="640">
        <f t="shared" si="238"/>
        <v>6417120</v>
      </c>
      <c r="GP16" s="640">
        <f t="shared" si="239"/>
        <v>120453120</v>
      </c>
      <c r="GR16" s="609">
        <f t="shared" si="176"/>
        <v>0</v>
      </c>
      <c r="GS16" s="609">
        <f t="shared" si="177"/>
        <v>0</v>
      </c>
      <c r="GT16" s="609">
        <f t="shared" si="178"/>
        <v>0</v>
      </c>
      <c r="GU16" s="609">
        <f t="shared" si="179"/>
        <v>0</v>
      </c>
      <c r="GV16" s="609">
        <f t="shared" si="180"/>
        <v>6917120</v>
      </c>
      <c r="GW16" s="609">
        <f t="shared" si="181"/>
        <v>129541360</v>
      </c>
      <c r="GX16" s="609">
        <f t="shared" si="182"/>
        <v>0</v>
      </c>
      <c r="GY16" s="609">
        <f t="shared" si="183"/>
        <v>0</v>
      </c>
      <c r="GZ16" s="609">
        <f t="shared" si="184"/>
        <v>0</v>
      </c>
      <c r="HA16" s="609">
        <f t="shared" si="185"/>
        <v>0</v>
      </c>
      <c r="HB16" s="609">
        <f t="shared" si="186"/>
        <v>0</v>
      </c>
      <c r="HC16" s="609">
        <f t="shared" si="187"/>
        <v>0</v>
      </c>
      <c r="HD16" s="640">
        <f t="shared" si="240"/>
        <v>6917120</v>
      </c>
      <c r="HE16" s="640">
        <f t="shared" si="241"/>
        <v>129541360</v>
      </c>
      <c r="HG16" s="609">
        <f t="shared" si="188"/>
        <v>0</v>
      </c>
      <c r="HH16" s="609">
        <f t="shared" si="189"/>
        <v>0</v>
      </c>
      <c r="HI16" s="609">
        <f t="shared" si="190"/>
        <v>0</v>
      </c>
      <c r="HJ16" s="609">
        <f t="shared" si="191"/>
        <v>0</v>
      </c>
      <c r="HK16" s="609">
        <f t="shared" si="192"/>
        <v>6098785</v>
      </c>
      <c r="HL16" s="609">
        <f t="shared" si="193"/>
        <v>114743815</v>
      </c>
      <c r="HM16" s="609">
        <f t="shared" si="194"/>
        <v>0</v>
      </c>
      <c r="HN16" s="609">
        <f t="shared" si="195"/>
        <v>0</v>
      </c>
      <c r="HO16" s="609">
        <f t="shared" si="196"/>
        <v>0</v>
      </c>
      <c r="HP16" s="609">
        <f t="shared" si="197"/>
        <v>0</v>
      </c>
      <c r="HQ16" s="609">
        <f t="shared" si="198"/>
        <v>0</v>
      </c>
      <c r="HR16" s="609">
        <f t="shared" si="199"/>
        <v>0</v>
      </c>
      <c r="HS16" s="640">
        <f t="shared" si="242"/>
        <v>6098785</v>
      </c>
      <c r="HT16" s="640">
        <f t="shared" si="243"/>
        <v>114743815</v>
      </c>
      <c r="HV16" s="609">
        <f t="shared" si="200"/>
        <v>0</v>
      </c>
      <c r="HW16" s="609">
        <f t="shared" si="201"/>
        <v>0</v>
      </c>
      <c r="HX16" s="609">
        <f t="shared" si="202"/>
        <v>0</v>
      </c>
      <c r="HY16" s="609">
        <f t="shared" si="203"/>
        <v>0</v>
      </c>
      <c r="HZ16" s="609">
        <f t="shared" si="204"/>
        <v>6081250</v>
      </c>
      <c r="IA16" s="609">
        <f t="shared" si="205"/>
        <v>117905070</v>
      </c>
      <c r="IB16" s="609">
        <f t="shared" si="206"/>
        <v>0</v>
      </c>
      <c r="IC16" s="609">
        <f t="shared" si="207"/>
        <v>0</v>
      </c>
      <c r="ID16" s="609">
        <f t="shared" si="208"/>
        <v>0</v>
      </c>
      <c r="IE16" s="609">
        <f t="shared" si="209"/>
        <v>0</v>
      </c>
      <c r="IF16" s="609">
        <f t="shared" si="210"/>
        <v>0</v>
      </c>
      <c r="IG16" s="609">
        <f t="shared" si="211"/>
        <v>0</v>
      </c>
      <c r="IH16" s="640">
        <f t="shared" si="244"/>
        <v>6081250</v>
      </c>
      <c r="II16" s="640">
        <f t="shared" si="245"/>
        <v>117905070</v>
      </c>
    </row>
    <row r="17" spans="1:243">
      <c r="A17" s="484" t="s">
        <v>135</v>
      </c>
      <c r="B17" s="484">
        <f t="shared" si="212"/>
        <v>46941847</v>
      </c>
      <c r="C17" s="484">
        <f t="shared" si="213"/>
        <v>1429853525</v>
      </c>
      <c r="D17" s="87">
        <f>'P &amp; NP'!EQ13</f>
        <v>0</v>
      </c>
      <c r="E17" s="87">
        <f>'P &amp; NP'!ER13</f>
        <v>0</v>
      </c>
      <c r="F17" s="87">
        <f>'P &amp; NP'!ES13</f>
        <v>437042</v>
      </c>
      <c r="G17" s="87">
        <f>'P &amp; NP'!ET13</f>
        <v>27213910</v>
      </c>
      <c r="H17" s="87">
        <f>'P &amp; NP'!EU13</f>
        <v>0</v>
      </c>
      <c r="I17" s="87">
        <f>'P &amp; NP'!EV13</f>
        <v>0</v>
      </c>
      <c r="J17" s="87">
        <f>'P &amp; NP'!EW13</f>
        <v>2492356</v>
      </c>
      <c r="K17" s="87">
        <f>'P &amp; NP'!EX13</f>
        <v>85435687</v>
      </c>
      <c r="L17" s="87">
        <f>'P &amp; NP'!EY13</f>
        <v>0</v>
      </c>
      <c r="M17" s="87">
        <f>'P &amp; NP'!EZ13</f>
        <v>0</v>
      </c>
      <c r="N17" s="87">
        <f>'P &amp; NP'!FA13</f>
        <v>6107</v>
      </c>
      <c r="O17" s="87">
        <f>'P &amp; NP'!FB13</f>
        <v>134354</v>
      </c>
      <c r="P17" s="87">
        <f>'P &amp; NP'!FC13</f>
        <v>325</v>
      </c>
      <c r="Q17" s="87">
        <f>'P &amp; NP'!FD13</f>
        <v>8125</v>
      </c>
      <c r="R17" s="92">
        <f t="shared" si="214"/>
        <v>2935830</v>
      </c>
      <c r="S17" s="92">
        <f t="shared" si="215"/>
        <v>112792076</v>
      </c>
      <c r="T17" s="87">
        <f>'P &amp; NP'!EQ51</f>
        <v>0</v>
      </c>
      <c r="U17" s="87">
        <f>'P &amp; NP'!ER51</f>
        <v>0</v>
      </c>
      <c r="V17" s="87">
        <f>'P &amp; NP'!ES51</f>
        <v>499479</v>
      </c>
      <c r="W17" s="87">
        <f>'P &amp; NP'!ET51</f>
        <v>31101675</v>
      </c>
      <c r="X17" s="87">
        <f>'P &amp; NP'!EU51</f>
        <v>0</v>
      </c>
      <c r="Y17" s="87">
        <f>'P &amp; NP'!EV51</f>
        <v>0</v>
      </c>
      <c r="Z17" s="87">
        <f>'P &amp; NP'!EW51</f>
        <v>3744265</v>
      </c>
      <c r="AA17" s="87">
        <f>'P &amp; NP'!EX51</f>
        <v>117362481</v>
      </c>
      <c r="AB17" s="87">
        <f>'P &amp; NP'!EY51</f>
        <v>0</v>
      </c>
      <c r="AC17" s="87">
        <f>'P &amp; NP'!EZ51</f>
        <v>0</v>
      </c>
      <c r="AD17" s="87">
        <f>'P &amp; NP'!FA51</f>
        <v>7032</v>
      </c>
      <c r="AE17" s="87">
        <f>'P &amp; NP'!FB51</f>
        <v>154704</v>
      </c>
      <c r="AF17" s="87">
        <f>'P &amp; NP'!FC51</f>
        <v>455</v>
      </c>
      <c r="AG17" s="87">
        <f>'P &amp; NP'!FD51</f>
        <v>11375</v>
      </c>
      <c r="AH17" s="92">
        <f t="shared" si="216"/>
        <v>4251231</v>
      </c>
      <c r="AI17" s="92">
        <f t="shared" si="217"/>
        <v>148630235</v>
      </c>
      <c r="AJ17" s="87">
        <f>'P &amp; NP'!EQ89</f>
        <v>0</v>
      </c>
      <c r="AK17" s="87">
        <f>'P &amp; NP'!ER89</f>
        <v>0</v>
      </c>
      <c r="AL17" s="87">
        <f>'P &amp; NP'!ES89</f>
        <v>312174</v>
      </c>
      <c r="AM17" s="87">
        <f>'P &amp; NP'!ET89</f>
        <v>19438560</v>
      </c>
      <c r="AN17" s="87">
        <f>'P &amp; NP'!EU89</f>
        <v>0</v>
      </c>
      <c r="AO17" s="87">
        <f>'P &amp; NP'!EV89</f>
        <v>0</v>
      </c>
      <c r="AP17" s="87">
        <f>'P &amp; NP'!EW89</f>
        <v>6455657</v>
      </c>
      <c r="AQ17" s="87">
        <f>'P &amp; NP'!EX89</f>
        <v>189050942</v>
      </c>
      <c r="AR17" s="87">
        <f>'P &amp; NP'!EY89</f>
        <v>0</v>
      </c>
      <c r="AS17" s="87">
        <f>'P &amp; NP'!EZ89</f>
        <v>0</v>
      </c>
      <c r="AT17" s="87">
        <f>'P &amp; NP'!FA89</f>
        <v>5367</v>
      </c>
      <c r="AU17" s="87">
        <f>'P &amp; NP'!FB89</f>
        <v>118074</v>
      </c>
      <c r="AV17" s="87">
        <f>'P &amp; NP'!FC89</f>
        <v>521</v>
      </c>
      <c r="AW17" s="87">
        <f>'P &amp; NP'!FD89</f>
        <v>13025</v>
      </c>
      <c r="AX17" s="92">
        <f t="shared" si="218"/>
        <v>6773719</v>
      </c>
      <c r="AY17" s="92">
        <f t="shared" si="219"/>
        <v>208620601</v>
      </c>
      <c r="AZ17" s="87">
        <f>'P &amp; NP'!EQ127</f>
        <v>0</v>
      </c>
      <c r="BA17" s="87">
        <f>'P &amp; NP'!ER127</f>
        <v>0</v>
      </c>
      <c r="BB17" s="87">
        <f>'P &amp; NP'!ES127</f>
        <v>559417</v>
      </c>
      <c r="BC17" s="87">
        <f>'P &amp; NP'!ET127</f>
        <v>35602837</v>
      </c>
      <c r="BD17" s="87">
        <f>'P &amp; NP'!EU127</f>
        <v>0</v>
      </c>
      <c r="BE17" s="87">
        <f>'P &amp; NP'!EV127</f>
        <v>0</v>
      </c>
      <c r="BF17" s="87">
        <f>'P &amp; NP'!EW127</f>
        <v>7972332</v>
      </c>
      <c r="BG17" s="87">
        <f>'P &amp; NP'!EX127</f>
        <v>211537821</v>
      </c>
      <c r="BH17" s="87">
        <f>'P &amp; NP'!EY127</f>
        <v>0</v>
      </c>
      <c r="BI17" s="87">
        <f>'P &amp; NP'!EZ127</f>
        <v>0</v>
      </c>
      <c r="BJ17" s="87">
        <f>'P &amp; NP'!FA127</f>
        <v>12954</v>
      </c>
      <c r="BK17" s="87">
        <f>'P &amp; NP'!FB127</f>
        <v>220218</v>
      </c>
      <c r="BL17" s="87">
        <f>'P &amp; NP'!FC127</f>
        <v>765</v>
      </c>
      <c r="BM17" s="87">
        <f>'P &amp; NP'!FD127</f>
        <v>9945</v>
      </c>
      <c r="BN17" s="92">
        <f t="shared" si="220"/>
        <v>8545468</v>
      </c>
      <c r="BO17" s="92">
        <f t="shared" si="221"/>
        <v>247370821</v>
      </c>
      <c r="BP17" s="87">
        <f>'P &amp; NP'!EQ165</f>
        <v>0</v>
      </c>
      <c r="BQ17" s="87">
        <f>'P &amp; NP'!ER165</f>
        <v>0</v>
      </c>
      <c r="BR17" s="87">
        <f>'P &amp; NP'!ES165</f>
        <v>543432</v>
      </c>
      <c r="BS17" s="87">
        <f>'P &amp; NP'!ET165</f>
        <v>34585597</v>
      </c>
      <c r="BT17" s="87">
        <f>'P &amp; NP'!EU165</f>
        <v>0</v>
      </c>
      <c r="BU17" s="87">
        <f>'P &amp; NP'!EV165</f>
        <v>0</v>
      </c>
      <c r="BV17" s="87">
        <f>'P &amp; NP'!EW165</f>
        <v>13117302</v>
      </c>
      <c r="BW17" s="87">
        <f>'P &amp; NP'!EX165</f>
        <v>324143464</v>
      </c>
      <c r="BX17" s="87">
        <f>'P &amp; NP'!EY165</f>
        <v>0</v>
      </c>
      <c r="BY17" s="87">
        <f>'P &amp; NP'!EZ165</f>
        <v>0</v>
      </c>
      <c r="BZ17" s="87">
        <f>'P &amp; NP'!FA165</f>
        <v>14805</v>
      </c>
      <c r="CA17" s="87">
        <f>'P &amp; NP'!FB165</f>
        <v>251685</v>
      </c>
      <c r="CB17" s="87">
        <f>'P &amp; NP'!FC165</f>
        <v>875</v>
      </c>
      <c r="CC17" s="87">
        <f>'P &amp; NP'!FD165</f>
        <v>11375</v>
      </c>
      <c r="CD17" s="92">
        <f t="shared" si="222"/>
        <v>13676414</v>
      </c>
      <c r="CE17" s="92">
        <f t="shared" si="223"/>
        <v>358992121</v>
      </c>
      <c r="CF17" s="87">
        <f>'P &amp; NP'!EQ203</f>
        <v>0</v>
      </c>
      <c r="CG17" s="87">
        <f>'P &amp; NP'!ER203</f>
        <v>0</v>
      </c>
      <c r="CH17" s="87">
        <f>'P &amp; NP'!ES203</f>
        <v>495482</v>
      </c>
      <c r="CI17" s="87">
        <f>'P &amp; NP'!ET203</f>
        <v>31533909</v>
      </c>
      <c r="CJ17" s="87">
        <f>'P &amp; NP'!EU203</f>
        <v>0</v>
      </c>
      <c r="CK17" s="87">
        <f>'P &amp; NP'!EV203</f>
        <v>0</v>
      </c>
      <c r="CL17" s="87">
        <f>'P &amp; NP'!EW203</f>
        <v>5452742</v>
      </c>
      <c r="CM17" s="87">
        <f>'P &amp; NP'!EX203</f>
        <v>133465749</v>
      </c>
      <c r="CN17" s="87">
        <f>'P &amp; NP'!EY203</f>
        <v>0</v>
      </c>
      <c r="CO17" s="87">
        <f>'P &amp; NP'!EZ203</f>
        <v>0</v>
      </c>
      <c r="CP17" s="87">
        <f>'P &amp; NP'!FA203</f>
        <v>9253</v>
      </c>
      <c r="CQ17" s="87">
        <f>'P &amp; NP'!FB203</f>
        <v>157301</v>
      </c>
      <c r="CR17" s="87">
        <f>'P &amp; NP'!FC203</f>
        <v>547</v>
      </c>
      <c r="CS17" s="87">
        <f>'P &amp; NP'!FD203</f>
        <v>7111</v>
      </c>
      <c r="CT17" s="92">
        <f t="shared" si="224"/>
        <v>5958024</v>
      </c>
      <c r="CU17" s="92">
        <f t="shared" si="225"/>
        <v>165164070</v>
      </c>
      <c r="CV17" s="87">
        <f>'P &amp; NP'!EQ241</f>
        <v>0</v>
      </c>
      <c r="CW17" s="87">
        <f>'P &amp; NP'!ER241</f>
        <v>0</v>
      </c>
      <c r="CX17" s="87">
        <f>'P &amp; NP'!ES241</f>
        <v>331642</v>
      </c>
      <c r="CY17" s="87">
        <f>'P &amp; NP'!ET241</f>
        <v>18832540</v>
      </c>
      <c r="CZ17" s="87">
        <f>'P &amp; NP'!EW241</f>
        <v>1294108</v>
      </c>
      <c r="DA17" s="87">
        <f>'P &amp; NP'!EX241</f>
        <v>34248085</v>
      </c>
      <c r="DB17" s="87">
        <f>'P &amp; NP'!EY241</f>
        <v>0</v>
      </c>
      <c r="DC17" s="87">
        <f>'P &amp; NP'!EZ241</f>
        <v>0</v>
      </c>
      <c r="DD17" s="87">
        <f>'P &amp; NP'!FA241</f>
        <v>5552</v>
      </c>
      <c r="DE17" s="87">
        <f>'P &amp; NP'!FB241</f>
        <v>94384</v>
      </c>
      <c r="DF17" s="87">
        <f>'P &amp; NP'!FC241</f>
        <v>599</v>
      </c>
      <c r="DG17" s="87">
        <f>'P &amp; NP'!FD241</f>
        <v>11980</v>
      </c>
      <c r="DH17" s="87">
        <f t="shared" si="226"/>
        <v>1631901</v>
      </c>
      <c r="DI17" s="87">
        <f t="shared" si="227"/>
        <v>53186989</v>
      </c>
      <c r="DJ17" s="92">
        <f>'P &amp; NP'!EQ279</f>
        <v>0</v>
      </c>
      <c r="DK17" s="92">
        <f>'P &amp; NP'!ER279</f>
        <v>0</v>
      </c>
      <c r="DL17" s="87">
        <f>'P &amp; NP'!ES279</f>
        <v>316965</v>
      </c>
      <c r="DM17" s="87">
        <f>'P &amp; NP'!ET279</f>
        <v>17213027</v>
      </c>
      <c r="DN17" s="87">
        <f>'P &amp; NP'!EW279</f>
        <v>488781</v>
      </c>
      <c r="DO17" s="87">
        <f>'P &amp; NP'!EX279</f>
        <v>12224969</v>
      </c>
      <c r="DP17" s="87">
        <f>'P &amp; NP'!EY279</f>
        <v>0</v>
      </c>
      <c r="DQ17" s="87">
        <f>'P &amp; NP'!EZ279</f>
        <v>0</v>
      </c>
      <c r="DR17" s="87">
        <f>'P &amp; NP'!FA279</f>
        <v>3331</v>
      </c>
      <c r="DS17" s="87">
        <f>'P &amp; NP'!FB279</f>
        <v>66620</v>
      </c>
      <c r="DT17" s="87">
        <f>'P &amp; NP'!FC279</f>
        <v>360</v>
      </c>
      <c r="DU17" s="87">
        <f>'P &amp; NP'!FD279</f>
        <v>7920</v>
      </c>
      <c r="DV17" s="87">
        <f t="shared" si="228"/>
        <v>809437</v>
      </c>
      <c r="DW17" s="87">
        <f t="shared" si="229"/>
        <v>29512536</v>
      </c>
      <c r="DX17" s="87">
        <f>'P &amp; NP'!EQ317</f>
        <v>0</v>
      </c>
      <c r="DY17" s="87">
        <f>'P &amp; NP'!ER317</f>
        <v>0</v>
      </c>
      <c r="DZ17" s="92">
        <f>'P &amp; NP'!ES317</f>
        <v>315373</v>
      </c>
      <c r="EA17" s="92">
        <f>'P &amp; NP'!ET317</f>
        <v>17562087</v>
      </c>
      <c r="EB17" s="87">
        <f>'P &amp; NP'!EW317</f>
        <v>256143</v>
      </c>
      <c r="EC17" s="87">
        <f>'P &amp; NP'!EX317</f>
        <v>6347854</v>
      </c>
      <c r="ED17" s="87">
        <f>'P &amp; NP'!EY317</f>
        <v>0</v>
      </c>
      <c r="EE17" s="87">
        <f>'P &amp; NP'!EZ317</f>
        <v>0</v>
      </c>
      <c r="EF17" s="87">
        <f>'P &amp; NP'!FA317</f>
        <v>2221</v>
      </c>
      <c r="EG17" s="87">
        <f>'P &amp; NP'!FB317</f>
        <v>44420</v>
      </c>
      <c r="EH17" s="87">
        <f>'P &amp; NP'!FC317</f>
        <v>238</v>
      </c>
      <c r="EI17" s="87">
        <f>'P &amp; NP'!FD317</f>
        <v>5236</v>
      </c>
      <c r="EJ17" s="87">
        <f t="shared" si="230"/>
        <v>573975</v>
      </c>
      <c r="EK17" s="87">
        <f t="shared" si="231"/>
        <v>23959597</v>
      </c>
      <c r="EL17" s="87">
        <f>'P &amp; NP'!EQ355</f>
        <v>0</v>
      </c>
      <c r="EM17" s="87">
        <f>'P &amp; NP'!ER355</f>
        <v>0</v>
      </c>
      <c r="EN17" s="87">
        <f>'P &amp; NP'!ES355</f>
        <v>366414</v>
      </c>
      <c r="EO17" s="87">
        <f>'P &amp; NP'!ET355</f>
        <v>21467220</v>
      </c>
      <c r="EP17" s="92">
        <f>'P &amp; NP'!EW355</f>
        <v>171737</v>
      </c>
      <c r="EQ17" s="92">
        <f>'P &amp; NP'!EX355</f>
        <v>4155216</v>
      </c>
      <c r="ER17" s="87">
        <f>'P &amp; NP'!EY355</f>
        <v>0</v>
      </c>
      <c r="ES17" s="87">
        <f>'P &amp; NP'!EZ355</f>
        <v>0</v>
      </c>
      <c r="ET17" s="87">
        <f>'P &amp; NP'!FA355</f>
        <v>2217</v>
      </c>
      <c r="EU17" s="87">
        <f>'P &amp; NP'!FB355</f>
        <v>39906</v>
      </c>
      <c r="EV17" s="87">
        <f>'P &amp; NP'!FC355</f>
        <v>159</v>
      </c>
      <c r="EW17" s="87">
        <f>'P &amp; NP'!FD355</f>
        <v>3180</v>
      </c>
      <c r="EX17" s="87">
        <f t="shared" si="232"/>
        <v>540527</v>
      </c>
      <c r="EY17" s="87">
        <f t="shared" si="233"/>
        <v>25665522</v>
      </c>
      <c r="EZ17" s="87">
        <f>'P &amp; NP'!EQ393</f>
        <v>0</v>
      </c>
      <c r="FA17" s="87">
        <f>'P &amp; NP'!ER393</f>
        <v>0</v>
      </c>
      <c r="FB17" s="87">
        <f>'P &amp; NP'!ES393</f>
        <v>341275</v>
      </c>
      <c r="FC17" s="87">
        <f>'P &amp; NP'!ET393</f>
        <v>20245310</v>
      </c>
      <c r="FD17" s="87">
        <f>'P &amp; NP'!EW393</f>
        <v>201618</v>
      </c>
      <c r="FE17" s="87">
        <f>'P &amp; NP'!EX393</f>
        <v>4955249</v>
      </c>
      <c r="FF17" s="92">
        <f>'P &amp; NP'!EY393</f>
        <v>0</v>
      </c>
      <c r="FG17" s="92">
        <f>'P &amp; NP'!EZ393</f>
        <v>0</v>
      </c>
      <c r="FH17" s="87">
        <f>'P &amp; NP'!FA393</f>
        <v>2374</v>
      </c>
      <c r="FI17" s="87">
        <f>'P &amp; NP'!FB393</f>
        <v>42732</v>
      </c>
      <c r="FJ17" s="87">
        <f>'P &amp; NP'!FC393</f>
        <v>170</v>
      </c>
      <c r="FK17" s="87">
        <f>'P &amp; NP'!FD393</f>
        <v>3400</v>
      </c>
      <c r="FL17" s="87">
        <f t="shared" si="234"/>
        <v>545437</v>
      </c>
      <c r="FM17" s="87">
        <f t="shared" si="235"/>
        <v>25246691</v>
      </c>
      <c r="FN17" s="87">
        <f>'P &amp; NP'!EQ431</f>
        <v>0</v>
      </c>
      <c r="FO17" s="87">
        <f>'P &amp; NP'!ER431</f>
        <v>0</v>
      </c>
      <c r="FP17" s="87">
        <f>'P &amp; NP'!ES431</f>
        <v>362582</v>
      </c>
      <c r="FQ17" s="87">
        <f>'P &amp; NP'!ET431</f>
        <v>21723000</v>
      </c>
      <c r="FR17" s="87">
        <f>'P &amp; NP'!EW431</f>
        <v>334283</v>
      </c>
      <c r="FS17" s="87">
        <f>'P &amp; NP'!EX431</f>
        <v>8934520</v>
      </c>
      <c r="FT17" s="87">
        <f>'P &amp; NP'!EY431</f>
        <v>0</v>
      </c>
      <c r="FU17" s="87">
        <f>'P &amp; NP'!EZ431</f>
        <v>0</v>
      </c>
      <c r="FV17" s="92">
        <f>'P &amp; NP'!FA431</f>
        <v>2817</v>
      </c>
      <c r="FW17" s="92">
        <f>'P &amp; NP'!FB431</f>
        <v>50706</v>
      </c>
      <c r="FX17" s="87">
        <f>'P &amp; NP'!FC431</f>
        <v>202</v>
      </c>
      <c r="FY17" s="87">
        <f>'P &amp; NP'!FD431</f>
        <v>4040</v>
      </c>
      <c r="FZ17" s="87">
        <f t="shared" si="236"/>
        <v>699884</v>
      </c>
      <c r="GA17" s="87">
        <f t="shared" si="237"/>
        <v>30712266</v>
      </c>
      <c r="GC17" s="609">
        <f t="shared" si="164"/>
        <v>0</v>
      </c>
      <c r="GD17" s="609">
        <f t="shared" si="165"/>
        <v>0</v>
      </c>
      <c r="GE17" s="609">
        <f t="shared" si="166"/>
        <v>1248695</v>
      </c>
      <c r="GF17" s="609">
        <f t="shared" si="167"/>
        <v>77754145</v>
      </c>
      <c r="GG17" s="609">
        <f t="shared" si="168"/>
        <v>12692278</v>
      </c>
      <c r="GH17" s="609">
        <f t="shared" si="169"/>
        <v>391849110</v>
      </c>
      <c r="GI17" s="609">
        <f t="shared" si="170"/>
        <v>0</v>
      </c>
      <c r="GJ17" s="609">
        <f t="shared" si="171"/>
        <v>0</v>
      </c>
      <c r="GK17" s="609">
        <f t="shared" si="172"/>
        <v>18506</v>
      </c>
      <c r="GL17" s="609">
        <f t="shared" si="173"/>
        <v>407132</v>
      </c>
      <c r="GM17" s="609">
        <f t="shared" si="174"/>
        <v>1301</v>
      </c>
      <c r="GN17" s="609">
        <f t="shared" si="175"/>
        <v>32525</v>
      </c>
      <c r="GO17" s="640">
        <f t="shared" si="238"/>
        <v>13960780</v>
      </c>
      <c r="GP17" s="640">
        <f t="shared" si="239"/>
        <v>470042912</v>
      </c>
      <c r="GR17" s="609">
        <f t="shared" si="176"/>
        <v>0</v>
      </c>
      <c r="GS17" s="609">
        <f t="shared" si="177"/>
        <v>0</v>
      </c>
      <c r="GT17" s="609">
        <f t="shared" si="178"/>
        <v>1598331</v>
      </c>
      <c r="GU17" s="609">
        <f t="shared" si="179"/>
        <v>101722343</v>
      </c>
      <c r="GV17" s="609">
        <f t="shared" si="180"/>
        <v>26542376</v>
      </c>
      <c r="GW17" s="609">
        <f t="shared" si="181"/>
        <v>669147034</v>
      </c>
      <c r="GX17" s="609">
        <f t="shared" si="182"/>
        <v>0</v>
      </c>
      <c r="GY17" s="609">
        <f t="shared" si="183"/>
        <v>0</v>
      </c>
      <c r="GZ17" s="609">
        <f t="shared" si="184"/>
        <v>37012</v>
      </c>
      <c r="HA17" s="609">
        <f t="shared" si="185"/>
        <v>629204</v>
      </c>
      <c r="HB17" s="609">
        <f t="shared" si="186"/>
        <v>2187</v>
      </c>
      <c r="HC17" s="609">
        <f t="shared" si="187"/>
        <v>28431</v>
      </c>
      <c r="HD17" s="640">
        <f t="shared" si="240"/>
        <v>28179906</v>
      </c>
      <c r="HE17" s="640">
        <f t="shared" si="241"/>
        <v>771527012</v>
      </c>
      <c r="HG17" s="609">
        <f t="shared" si="188"/>
        <v>0</v>
      </c>
      <c r="HH17" s="609">
        <f t="shared" si="189"/>
        <v>0</v>
      </c>
      <c r="HI17" s="609">
        <f t="shared" si="190"/>
        <v>963980</v>
      </c>
      <c r="HJ17" s="609">
        <f t="shared" si="191"/>
        <v>53607654</v>
      </c>
      <c r="HK17" s="609">
        <f t="shared" si="192"/>
        <v>2039032</v>
      </c>
      <c r="HL17" s="609">
        <f t="shared" si="193"/>
        <v>52820908</v>
      </c>
      <c r="HM17" s="609">
        <f t="shared" si="194"/>
        <v>0</v>
      </c>
      <c r="HN17" s="609">
        <f t="shared" si="195"/>
        <v>0</v>
      </c>
      <c r="HO17" s="609">
        <f t="shared" si="196"/>
        <v>11104</v>
      </c>
      <c r="HP17" s="609">
        <f t="shared" si="197"/>
        <v>205424</v>
      </c>
      <c r="HQ17" s="609">
        <f t="shared" si="198"/>
        <v>1197</v>
      </c>
      <c r="HR17" s="609">
        <f t="shared" si="199"/>
        <v>25136</v>
      </c>
      <c r="HS17" s="640">
        <f t="shared" si="242"/>
        <v>3015313</v>
      </c>
      <c r="HT17" s="640">
        <f t="shared" si="243"/>
        <v>106659122</v>
      </c>
      <c r="HV17" s="609">
        <f t="shared" si="200"/>
        <v>0</v>
      </c>
      <c r="HW17" s="609">
        <f t="shared" si="201"/>
        <v>0</v>
      </c>
      <c r="HX17" s="609">
        <f t="shared" si="202"/>
        <v>1070271</v>
      </c>
      <c r="HY17" s="609">
        <f t="shared" si="203"/>
        <v>63435530</v>
      </c>
      <c r="HZ17" s="609">
        <f t="shared" si="204"/>
        <v>707638</v>
      </c>
      <c r="IA17" s="609">
        <f t="shared" si="205"/>
        <v>18044985</v>
      </c>
      <c r="IB17" s="609">
        <f t="shared" si="206"/>
        <v>0</v>
      </c>
      <c r="IC17" s="609">
        <f t="shared" si="207"/>
        <v>0</v>
      </c>
      <c r="ID17" s="609">
        <f t="shared" si="208"/>
        <v>7408</v>
      </c>
      <c r="IE17" s="609">
        <f t="shared" si="209"/>
        <v>133344</v>
      </c>
      <c r="IF17" s="609">
        <f t="shared" si="210"/>
        <v>531</v>
      </c>
      <c r="IG17" s="609">
        <f t="shared" si="211"/>
        <v>10620</v>
      </c>
      <c r="IH17" s="640">
        <f t="shared" si="244"/>
        <v>1785848</v>
      </c>
      <c r="II17" s="640">
        <f t="shared" si="245"/>
        <v>81624479</v>
      </c>
    </row>
    <row r="18" spans="1:243">
      <c r="A18" s="484" t="s">
        <v>119</v>
      </c>
      <c r="B18" s="484">
        <f t="shared" si="212"/>
        <v>5111596.4000000004</v>
      </c>
      <c r="C18" s="484">
        <f t="shared" si="213"/>
        <v>184671934.5</v>
      </c>
      <c r="D18" s="87">
        <f>'P &amp; NP'!FG13</f>
        <v>0</v>
      </c>
      <c r="E18" s="87">
        <f>'P &amp; NP'!FH13</f>
        <v>0</v>
      </c>
      <c r="F18" s="87">
        <f>'P &amp; NP'!FI13</f>
        <v>125000</v>
      </c>
      <c r="G18" s="87">
        <f>'P &amp; NP'!FJ13</f>
        <v>7500000</v>
      </c>
      <c r="H18" s="87">
        <f>'P &amp; NP'!FK13</f>
        <v>0</v>
      </c>
      <c r="I18" s="87">
        <f>'P &amp; NP'!FL13</f>
        <v>0</v>
      </c>
      <c r="J18" s="87">
        <f>'P &amp; NP'!FM13</f>
        <v>232000</v>
      </c>
      <c r="K18" s="87">
        <f>'P &amp; NP'!FN13</f>
        <v>6041635</v>
      </c>
      <c r="L18" s="87">
        <f>'P &amp; NP'!FO13</f>
        <v>0</v>
      </c>
      <c r="M18" s="87">
        <f>'P &amp; NP'!FP13</f>
        <v>0</v>
      </c>
      <c r="N18" s="87">
        <f>'P &amp; NP'!FQ13</f>
        <v>0</v>
      </c>
      <c r="O18" s="87">
        <f>'P &amp; NP'!FR13</f>
        <v>0</v>
      </c>
      <c r="P18" s="87">
        <f>'P &amp; NP'!FS13</f>
        <v>75000</v>
      </c>
      <c r="Q18" s="87">
        <f>'P &amp; NP'!FT13</f>
        <v>2250000</v>
      </c>
      <c r="R18" s="92">
        <f t="shared" si="214"/>
        <v>432000</v>
      </c>
      <c r="S18" s="92">
        <f t="shared" si="215"/>
        <v>15791635</v>
      </c>
      <c r="T18" s="87">
        <f>'P &amp; NP'!FG51</f>
        <v>0</v>
      </c>
      <c r="U18" s="87">
        <f>'P &amp; NP'!FH51</f>
        <v>0</v>
      </c>
      <c r="V18" s="87">
        <f>'P &amp; NP'!FI51</f>
        <v>120000</v>
      </c>
      <c r="W18" s="87">
        <f>'P &amp; NP'!FJ51</f>
        <v>7200000</v>
      </c>
      <c r="X18" s="87">
        <f>'P &amp; NP'!FK51</f>
        <v>0</v>
      </c>
      <c r="Y18" s="87">
        <f>'P &amp; NP'!FL51</f>
        <v>0</v>
      </c>
      <c r="Z18" s="87">
        <f>'P &amp; NP'!FM51</f>
        <v>220000</v>
      </c>
      <c r="AA18" s="87">
        <f>'P &amp; NP'!FN51</f>
        <v>5696214</v>
      </c>
      <c r="AB18" s="87">
        <f>'P &amp; NP'!FO51</f>
        <v>0</v>
      </c>
      <c r="AC18" s="87">
        <f>'P &amp; NP'!FP51</f>
        <v>0</v>
      </c>
      <c r="AD18" s="87">
        <f>'P &amp; NP'!FQ51</f>
        <v>0</v>
      </c>
      <c r="AE18" s="87">
        <f>'P &amp; NP'!FR51</f>
        <v>0</v>
      </c>
      <c r="AF18" s="87">
        <f>'P &amp; NP'!FS51</f>
        <v>75000</v>
      </c>
      <c r="AG18" s="87">
        <f>'P &amp; NP'!FT51</f>
        <v>2250000</v>
      </c>
      <c r="AH18" s="92">
        <f t="shared" si="216"/>
        <v>415000</v>
      </c>
      <c r="AI18" s="92">
        <f t="shared" si="217"/>
        <v>15146214</v>
      </c>
      <c r="AJ18" s="87">
        <f>'P &amp; NP'!FG89</f>
        <v>0</v>
      </c>
      <c r="AK18" s="87">
        <f>'P &amp; NP'!FH89</f>
        <v>0</v>
      </c>
      <c r="AL18" s="87">
        <f>'P &amp; NP'!FI89</f>
        <v>140000</v>
      </c>
      <c r="AM18" s="87">
        <f>'P &amp; NP'!FJ89</f>
        <v>8400000</v>
      </c>
      <c r="AN18" s="87">
        <f>'P &amp; NP'!FK89</f>
        <v>0</v>
      </c>
      <c r="AO18" s="87">
        <f>'P &amp; NP'!FL89</f>
        <v>0</v>
      </c>
      <c r="AP18" s="87">
        <f>'P &amp; NP'!FM89</f>
        <v>240000.4</v>
      </c>
      <c r="AQ18" s="87">
        <f>'P &amp; NP'!FN89</f>
        <v>6228198</v>
      </c>
      <c r="AR18" s="87">
        <f>'P &amp; NP'!FO89</f>
        <v>0</v>
      </c>
      <c r="AS18" s="87">
        <f>'P &amp; NP'!FP89</f>
        <v>0</v>
      </c>
      <c r="AT18" s="87">
        <f>'P &amp; NP'!FQ89</f>
        <v>0</v>
      </c>
      <c r="AU18" s="87">
        <f>'P &amp; NP'!FR89</f>
        <v>0</v>
      </c>
      <c r="AV18" s="87">
        <f>'P &amp; NP'!FS89</f>
        <v>85000</v>
      </c>
      <c r="AW18" s="87">
        <f>'P &amp; NP'!FT89</f>
        <v>2550000</v>
      </c>
      <c r="AX18" s="92">
        <f t="shared" si="218"/>
        <v>465000.4</v>
      </c>
      <c r="AY18" s="92">
        <f t="shared" si="219"/>
        <v>17178198</v>
      </c>
      <c r="AZ18" s="87">
        <f>'P &amp; NP'!FG127</f>
        <v>0</v>
      </c>
      <c r="BA18" s="87">
        <f>'P &amp; NP'!FH127</f>
        <v>0</v>
      </c>
      <c r="BB18" s="87">
        <f>'P &amp; NP'!FI127</f>
        <v>120000</v>
      </c>
      <c r="BC18" s="87">
        <f>'P &amp; NP'!FJ127</f>
        <v>7200000</v>
      </c>
      <c r="BD18" s="87">
        <f>'P &amp; NP'!FK127</f>
        <v>0</v>
      </c>
      <c r="BE18" s="87">
        <f>'P &amp; NP'!FL127</f>
        <v>0</v>
      </c>
      <c r="BF18" s="87">
        <f>'P &amp; NP'!FM127</f>
        <v>230122</v>
      </c>
      <c r="BG18" s="87">
        <f>'P &amp; NP'!FN127</f>
        <v>5821855</v>
      </c>
      <c r="BH18" s="87">
        <f>'P &amp; NP'!FO127</f>
        <v>0</v>
      </c>
      <c r="BI18" s="87">
        <f>'P &amp; NP'!FP127</f>
        <v>0</v>
      </c>
      <c r="BJ18" s="87">
        <f>'P &amp; NP'!FQ127</f>
        <v>0</v>
      </c>
      <c r="BK18" s="87">
        <f>'P &amp; NP'!FR127</f>
        <v>0</v>
      </c>
      <c r="BL18" s="87">
        <f>'P &amp; NP'!FS127</f>
        <v>75012</v>
      </c>
      <c r="BM18" s="87">
        <f>'P &amp; NP'!FT127</f>
        <v>2250360</v>
      </c>
      <c r="BN18" s="92">
        <f t="shared" si="220"/>
        <v>425134</v>
      </c>
      <c r="BO18" s="92">
        <f t="shared" si="221"/>
        <v>15272215</v>
      </c>
      <c r="BP18" s="87">
        <f>'P &amp; NP'!FG165</f>
        <v>0</v>
      </c>
      <c r="BQ18" s="87">
        <f>'P &amp; NP'!FH165</f>
        <v>0</v>
      </c>
      <c r="BR18" s="87">
        <f>'P &amp; NP'!FI165</f>
        <v>127000</v>
      </c>
      <c r="BS18" s="87">
        <f>'P &amp; NP'!FJ165</f>
        <v>7620000</v>
      </c>
      <c r="BT18" s="87">
        <f>'P &amp; NP'!FK165</f>
        <v>0</v>
      </c>
      <c r="BU18" s="87">
        <f>'P &amp; NP'!FL165</f>
        <v>0</v>
      </c>
      <c r="BV18" s="87">
        <f>'P &amp; NP'!FM165</f>
        <v>225600</v>
      </c>
      <c r="BW18" s="87">
        <f>'P &amp; NP'!FN165</f>
        <v>5663131</v>
      </c>
      <c r="BX18" s="87">
        <f>'P &amp; NP'!FO165</f>
        <v>0</v>
      </c>
      <c r="BY18" s="87">
        <f>'P &amp; NP'!FP165</f>
        <v>0</v>
      </c>
      <c r="BZ18" s="87">
        <f>'P &amp; NP'!FQ165</f>
        <v>0</v>
      </c>
      <c r="CA18" s="87">
        <f>'P &amp; NP'!FR165</f>
        <v>0</v>
      </c>
      <c r="CB18" s="87">
        <f>'P &amp; NP'!FS165</f>
        <v>70273</v>
      </c>
      <c r="CC18" s="87">
        <f>'P &amp; NP'!FT165</f>
        <v>2108190</v>
      </c>
      <c r="CD18" s="92">
        <f t="shared" si="222"/>
        <v>422873</v>
      </c>
      <c r="CE18" s="92">
        <f t="shared" si="223"/>
        <v>15391321</v>
      </c>
      <c r="CF18" s="87">
        <f>'P &amp; NP'!FG203</f>
        <v>0</v>
      </c>
      <c r="CG18" s="87">
        <f>'P &amp; NP'!FH203</f>
        <v>0</v>
      </c>
      <c r="CH18" s="87">
        <f>'P &amp; NP'!FI203</f>
        <v>123000</v>
      </c>
      <c r="CI18" s="87">
        <f>'P &amp; NP'!FJ203</f>
        <v>7380000</v>
      </c>
      <c r="CJ18" s="87">
        <f>'P &amp; NP'!FK203</f>
        <v>0</v>
      </c>
      <c r="CK18" s="87">
        <f>'P &amp; NP'!FL203</f>
        <v>0</v>
      </c>
      <c r="CL18" s="87">
        <f>'P &amp; NP'!FM203</f>
        <v>223510</v>
      </c>
      <c r="CM18" s="87">
        <f>'P &amp; NP'!FN203</f>
        <v>5593626</v>
      </c>
      <c r="CN18" s="87">
        <f>'P &amp; NP'!FO203</f>
        <v>0</v>
      </c>
      <c r="CO18" s="87">
        <f>'P &amp; NP'!FP203</f>
        <v>0</v>
      </c>
      <c r="CP18" s="87">
        <f>'P &amp; NP'!FQ203</f>
        <v>0</v>
      </c>
      <c r="CQ18" s="87">
        <f>'P &amp; NP'!FR203</f>
        <v>0</v>
      </c>
      <c r="CR18" s="87">
        <f>'P &amp; NP'!FS203</f>
        <v>68800</v>
      </c>
      <c r="CS18" s="87">
        <f>'P &amp; NP'!FT203</f>
        <v>2064000</v>
      </c>
      <c r="CT18" s="92">
        <f t="shared" si="224"/>
        <v>415310</v>
      </c>
      <c r="CU18" s="92">
        <f t="shared" si="225"/>
        <v>15037626</v>
      </c>
      <c r="CV18" s="87">
        <f>'P &amp; NP'!FG241</f>
        <v>0</v>
      </c>
      <c r="CW18" s="87">
        <f>'P &amp; NP'!FH241</f>
        <v>0</v>
      </c>
      <c r="CX18" s="87">
        <f>'P &amp; NP'!FI241</f>
        <v>117000</v>
      </c>
      <c r="CY18" s="87">
        <f>'P &amp; NP'!FJ241</f>
        <v>7020000</v>
      </c>
      <c r="CZ18" s="87">
        <f>'P &amp; NP'!FM241</f>
        <v>225071</v>
      </c>
      <c r="DA18" s="87">
        <f>'P &amp; NP'!FN241</f>
        <v>5612381</v>
      </c>
      <c r="DB18" s="87">
        <f>'P &amp; NP'!FO241</f>
        <v>0</v>
      </c>
      <c r="DC18" s="87">
        <f>'P &amp; NP'!FP241</f>
        <v>0</v>
      </c>
      <c r="DD18" s="87">
        <f>'P &amp; NP'!FQ241</f>
        <v>0</v>
      </c>
      <c r="DE18" s="87">
        <f>'P &amp; NP'!FR241</f>
        <v>0</v>
      </c>
      <c r="DF18" s="87">
        <f>'P &amp; NP'!FS241</f>
        <v>63360</v>
      </c>
      <c r="DG18" s="87">
        <f>'P &amp; NP'!FT241</f>
        <v>1774080</v>
      </c>
      <c r="DH18" s="87">
        <f t="shared" si="226"/>
        <v>405431</v>
      </c>
      <c r="DI18" s="87">
        <f t="shared" si="227"/>
        <v>14406461</v>
      </c>
      <c r="DJ18" s="92">
        <f>'P &amp; NP'!FG279</f>
        <v>0</v>
      </c>
      <c r="DK18" s="92">
        <f>'P &amp; NP'!FH279</f>
        <v>0</v>
      </c>
      <c r="DL18" s="87">
        <f>'P &amp; NP'!FI279</f>
        <v>125000</v>
      </c>
      <c r="DM18" s="87">
        <f>'P &amp; NP'!FJ279</f>
        <v>7500000</v>
      </c>
      <c r="DN18" s="87">
        <f>'P &amp; NP'!FM279</f>
        <v>232389</v>
      </c>
      <c r="DO18" s="87">
        <f>'P &amp; NP'!FN279</f>
        <v>5839823</v>
      </c>
      <c r="DP18" s="87">
        <f>'P &amp; NP'!FO279</f>
        <v>0</v>
      </c>
      <c r="DQ18" s="87">
        <f>'P &amp; NP'!FP279</f>
        <v>0</v>
      </c>
      <c r="DR18" s="87">
        <f>'P &amp; NP'!FQ279</f>
        <v>0</v>
      </c>
      <c r="DS18" s="87">
        <f>'P &amp; NP'!FR279</f>
        <v>0</v>
      </c>
      <c r="DT18" s="87">
        <f>'P &amp; NP'!FS279</f>
        <v>77465</v>
      </c>
      <c r="DU18" s="87">
        <f>'P &amp; NP'!FT279</f>
        <v>2169020</v>
      </c>
      <c r="DV18" s="87">
        <f t="shared" si="228"/>
        <v>434854</v>
      </c>
      <c r="DW18" s="87">
        <f t="shared" si="229"/>
        <v>15508843</v>
      </c>
      <c r="DX18" s="87">
        <f>'P &amp; NP'!FG317</f>
        <v>0</v>
      </c>
      <c r="DY18" s="87">
        <f>'P &amp; NP'!FH317</f>
        <v>0</v>
      </c>
      <c r="DZ18" s="92">
        <f>'P &amp; NP'!FI317</f>
        <v>118000</v>
      </c>
      <c r="EA18" s="92">
        <f>'P &amp; NP'!FJ317</f>
        <v>7080000</v>
      </c>
      <c r="EB18" s="87">
        <f>'P &amp; NP'!FM317</f>
        <v>222808</v>
      </c>
      <c r="EC18" s="87">
        <f>'P &amp; NP'!FN317</f>
        <v>5623691</v>
      </c>
      <c r="ED18" s="87">
        <f>'P &amp; NP'!FO317</f>
        <v>0</v>
      </c>
      <c r="EE18" s="87">
        <f>'P &amp; NP'!FP317</f>
        <v>0</v>
      </c>
      <c r="EF18" s="87">
        <f>'P &amp; NP'!FQ317</f>
        <v>0</v>
      </c>
      <c r="EG18" s="87">
        <f>'P &amp; NP'!FR317</f>
        <v>0</v>
      </c>
      <c r="EH18" s="87">
        <f>'P &amp; NP'!FS317</f>
        <v>69800</v>
      </c>
      <c r="EI18" s="87">
        <f>'P &amp; NP'!FT317</f>
        <v>1954400</v>
      </c>
      <c r="EJ18" s="87">
        <f t="shared" si="230"/>
        <v>410608</v>
      </c>
      <c r="EK18" s="87">
        <f t="shared" si="231"/>
        <v>14658091</v>
      </c>
      <c r="EL18" s="87">
        <f>'P &amp; NP'!FG355</f>
        <v>0</v>
      </c>
      <c r="EM18" s="87">
        <f>'P &amp; NP'!FH355</f>
        <v>0</v>
      </c>
      <c r="EN18" s="87">
        <f>'P &amp; NP'!FI355</f>
        <v>120000</v>
      </c>
      <c r="EO18" s="87">
        <f>'P &amp; NP'!FJ355</f>
        <v>7200000</v>
      </c>
      <c r="EP18" s="92">
        <f>'P &amp; NP'!FM355</f>
        <v>224413</v>
      </c>
      <c r="EQ18" s="92">
        <f>'P &amp; NP'!FN355</f>
        <v>5627285</v>
      </c>
      <c r="ER18" s="87">
        <f>'P &amp; NP'!FO355</f>
        <v>0</v>
      </c>
      <c r="ES18" s="87">
        <f>'P &amp; NP'!FP355</f>
        <v>0</v>
      </c>
      <c r="ET18" s="87">
        <f>'P &amp; NP'!FQ355</f>
        <v>0</v>
      </c>
      <c r="EU18" s="87">
        <f>'P &amp; NP'!FR355</f>
        <v>0</v>
      </c>
      <c r="EV18" s="87">
        <f>'P &amp; NP'!FS355</f>
        <v>72000</v>
      </c>
      <c r="EW18" s="87">
        <f>'P &amp; NP'!FT355</f>
        <v>2016000</v>
      </c>
      <c r="EX18" s="87">
        <f t="shared" si="232"/>
        <v>416413</v>
      </c>
      <c r="EY18" s="87">
        <f t="shared" si="233"/>
        <v>14843285</v>
      </c>
      <c r="EZ18" s="87">
        <f>'P &amp; NP'!FG393</f>
        <v>0</v>
      </c>
      <c r="FA18" s="87">
        <f>'P &amp; NP'!FH393</f>
        <v>0</v>
      </c>
      <c r="FB18" s="87">
        <f>'P &amp; NP'!FI393</f>
        <v>115000</v>
      </c>
      <c r="FC18" s="87">
        <f>'P &amp; NP'!FJ393</f>
        <v>6900000</v>
      </c>
      <c r="FD18" s="87">
        <f>'P &amp; NP'!FM393</f>
        <v>206067</v>
      </c>
      <c r="FE18" s="87">
        <f>'P &amp; NP'!FN393</f>
        <v>5143275</v>
      </c>
      <c r="FF18" s="92">
        <f>'P &amp; NP'!FO393</f>
        <v>0</v>
      </c>
      <c r="FG18" s="92">
        <f>'P &amp; NP'!FP393</f>
        <v>0</v>
      </c>
      <c r="FH18" s="87">
        <f>'P &amp; NP'!FQ393</f>
        <v>0</v>
      </c>
      <c r="FI18" s="87">
        <f>'P &amp; NP'!FR393</f>
        <v>0</v>
      </c>
      <c r="FJ18" s="87">
        <f>'P &amp; NP'!FS393</f>
        <v>68386</v>
      </c>
      <c r="FK18" s="87">
        <f>'P &amp; NP'!FT393</f>
        <v>1914808</v>
      </c>
      <c r="FL18" s="87">
        <f t="shared" si="234"/>
        <v>389453</v>
      </c>
      <c r="FM18" s="87">
        <f t="shared" si="235"/>
        <v>13958083</v>
      </c>
      <c r="FN18" s="87">
        <f>'P &amp; NP'!FG431</f>
        <v>0</v>
      </c>
      <c r="FO18" s="87">
        <f>'P &amp; NP'!FH431</f>
        <v>0</v>
      </c>
      <c r="FP18" s="87">
        <f>'P &amp; NP'!FI431</f>
        <v>140000</v>
      </c>
      <c r="FQ18" s="87">
        <f>'P &amp; NP'!FJ431</f>
        <v>8400000</v>
      </c>
      <c r="FR18" s="87">
        <f>'P &amp; NP'!FM431</f>
        <v>254520</v>
      </c>
      <c r="FS18" s="87">
        <f>'P &amp; NP'!FN431</f>
        <v>6529962.5</v>
      </c>
      <c r="FT18" s="87">
        <f>'P &amp; NP'!FO431</f>
        <v>0</v>
      </c>
      <c r="FU18" s="87">
        <f>'P &amp; NP'!FP431</f>
        <v>0</v>
      </c>
      <c r="FV18" s="92">
        <f>'P &amp; NP'!FQ431</f>
        <v>0</v>
      </c>
      <c r="FW18" s="92">
        <f>'P &amp; NP'!FR431</f>
        <v>0</v>
      </c>
      <c r="FX18" s="87">
        <f>'P &amp; NP'!FS431</f>
        <v>85000</v>
      </c>
      <c r="FY18" s="87">
        <f>'P &amp; NP'!FT431</f>
        <v>2550000</v>
      </c>
      <c r="FZ18" s="87">
        <f t="shared" si="236"/>
        <v>479520</v>
      </c>
      <c r="GA18" s="87">
        <f t="shared" si="237"/>
        <v>17479962.5</v>
      </c>
      <c r="GC18" s="609">
        <f t="shared" si="164"/>
        <v>0</v>
      </c>
      <c r="GD18" s="609">
        <f t="shared" si="165"/>
        <v>0</v>
      </c>
      <c r="GE18" s="609">
        <f t="shared" si="166"/>
        <v>385000</v>
      </c>
      <c r="GF18" s="609">
        <f t="shared" si="167"/>
        <v>23100000</v>
      </c>
      <c r="GG18" s="609">
        <f t="shared" si="168"/>
        <v>692000.4</v>
      </c>
      <c r="GH18" s="609">
        <f t="shared" si="169"/>
        <v>17966047</v>
      </c>
      <c r="GI18" s="609">
        <f t="shared" si="170"/>
        <v>0</v>
      </c>
      <c r="GJ18" s="609">
        <f t="shared" si="171"/>
        <v>0</v>
      </c>
      <c r="GK18" s="609">
        <f t="shared" si="172"/>
        <v>0</v>
      </c>
      <c r="GL18" s="609">
        <f t="shared" si="173"/>
        <v>0</v>
      </c>
      <c r="GM18" s="609">
        <f t="shared" si="174"/>
        <v>235000</v>
      </c>
      <c r="GN18" s="609">
        <f t="shared" si="175"/>
        <v>7050000</v>
      </c>
      <c r="GO18" s="640">
        <f t="shared" si="238"/>
        <v>1312000.3999999999</v>
      </c>
      <c r="GP18" s="640">
        <f t="shared" si="239"/>
        <v>48116047</v>
      </c>
      <c r="GR18" s="609">
        <f t="shared" si="176"/>
        <v>0</v>
      </c>
      <c r="GS18" s="609">
        <f t="shared" si="177"/>
        <v>0</v>
      </c>
      <c r="GT18" s="609">
        <f t="shared" si="178"/>
        <v>370000</v>
      </c>
      <c r="GU18" s="609">
        <f t="shared" si="179"/>
        <v>22200000</v>
      </c>
      <c r="GV18" s="609">
        <f t="shared" si="180"/>
        <v>679232</v>
      </c>
      <c r="GW18" s="609">
        <f t="shared" si="181"/>
        <v>17078612</v>
      </c>
      <c r="GX18" s="609">
        <f t="shared" si="182"/>
        <v>0</v>
      </c>
      <c r="GY18" s="609">
        <f t="shared" si="183"/>
        <v>0</v>
      </c>
      <c r="GZ18" s="609">
        <f t="shared" si="184"/>
        <v>0</v>
      </c>
      <c r="HA18" s="609">
        <f t="shared" si="185"/>
        <v>0</v>
      </c>
      <c r="HB18" s="609">
        <f t="shared" si="186"/>
        <v>214085</v>
      </c>
      <c r="HC18" s="609">
        <f t="shared" si="187"/>
        <v>6422550</v>
      </c>
      <c r="HD18" s="640">
        <f t="shared" si="240"/>
        <v>1263317</v>
      </c>
      <c r="HE18" s="640">
        <f t="shared" si="241"/>
        <v>45701162</v>
      </c>
      <c r="HG18" s="609">
        <f t="shared" si="188"/>
        <v>0</v>
      </c>
      <c r="HH18" s="609">
        <f t="shared" si="189"/>
        <v>0</v>
      </c>
      <c r="HI18" s="609">
        <f t="shared" si="190"/>
        <v>360000</v>
      </c>
      <c r="HJ18" s="609">
        <f t="shared" si="191"/>
        <v>21600000</v>
      </c>
      <c r="HK18" s="609">
        <f t="shared" si="192"/>
        <v>680268</v>
      </c>
      <c r="HL18" s="609">
        <f t="shared" si="193"/>
        <v>17075895</v>
      </c>
      <c r="HM18" s="609">
        <f t="shared" si="194"/>
        <v>0</v>
      </c>
      <c r="HN18" s="609">
        <f t="shared" si="195"/>
        <v>0</v>
      </c>
      <c r="HO18" s="609">
        <f t="shared" si="196"/>
        <v>0</v>
      </c>
      <c r="HP18" s="609">
        <f t="shared" si="197"/>
        <v>0</v>
      </c>
      <c r="HQ18" s="609">
        <f t="shared" si="198"/>
        <v>210625</v>
      </c>
      <c r="HR18" s="609">
        <f t="shared" si="199"/>
        <v>5897500</v>
      </c>
      <c r="HS18" s="640">
        <f t="shared" si="242"/>
        <v>1250893</v>
      </c>
      <c r="HT18" s="640">
        <f t="shared" si="243"/>
        <v>44573395</v>
      </c>
      <c r="HV18" s="609">
        <f t="shared" si="200"/>
        <v>0</v>
      </c>
      <c r="HW18" s="609">
        <f t="shared" si="201"/>
        <v>0</v>
      </c>
      <c r="HX18" s="609">
        <f t="shared" si="202"/>
        <v>375000</v>
      </c>
      <c r="HY18" s="609">
        <f t="shared" si="203"/>
        <v>22500000</v>
      </c>
      <c r="HZ18" s="609">
        <f t="shared" si="204"/>
        <v>685000</v>
      </c>
      <c r="IA18" s="609">
        <f t="shared" si="205"/>
        <v>17300522.5</v>
      </c>
      <c r="IB18" s="609">
        <f t="shared" si="206"/>
        <v>0</v>
      </c>
      <c r="IC18" s="609">
        <f t="shared" si="207"/>
        <v>0</v>
      </c>
      <c r="ID18" s="609">
        <f t="shared" si="208"/>
        <v>0</v>
      </c>
      <c r="IE18" s="609">
        <f t="shared" si="209"/>
        <v>0</v>
      </c>
      <c r="IF18" s="609">
        <f t="shared" si="210"/>
        <v>225386</v>
      </c>
      <c r="IG18" s="609">
        <f t="shared" si="211"/>
        <v>6480808</v>
      </c>
      <c r="IH18" s="640">
        <f t="shared" si="244"/>
        <v>1285386</v>
      </c>
      <c r="II18" s="640">
        <f t="shared" si="245"/>
        <v>46281330.5</v>
      </c>
    </row>
    <row r="19" spans="1:243">
      <c r="A19" s="484" t="s">
        <v>130</v>
      </c>
      <c r="B19" s="484">
        <f t="shared" si="212"/>
        <v>3850100</v>
      </c>
      <c r="C19" s="484">
        <f t="shared" si="213"/>
        <v>79363625</v>
      </c>
      <c r="D19" s="87">
        <f>'P &amp; NP'!FW13</f>
        <v>0</v>
      </c>
      <c r="E19" s="87">
        <f>'P &amp; NP'!FX13</f>
        <v>0</v>
      </c>
      <c r="F19" s="87">
        <f>'P &amp; NP'!FY13</f>
        <v>0</v>
      </c>
      <c r="G19" s="87">
        <f>'P &amp; NP'!FZ13</f>
        <v>0</v>
      </c>
      <c r="H19" s="87">
        <f>'P &amp; NP'!GA13</f>
        <v>0</v>
      </c>
      <c r="I19" s="87">
        <f>'P &amp; NP'!GB13</f>
        <v>0</v>
      </c>
      <c r="J19" s="87">
        <f>'P &amp; NP'!GC13</f>
        <v>322950</v>
      </c>
      <c r="K19" s="87">
        <f>'P &amp; NP'!GD13</f>
        <v>6605450</v>
      </c>
      <c r="L19" s="87">
        <f>'P &amp; NP'!GE13</f>
        <v>0</v>
      </c>
      <c r="M19" s="87">
        <f>'P &amp; NP'!GF13</f>
        <v>0</v>
      </c>
      <c r="N19" s="87">
        <f>'P &amp; NP'!GG13</f>
        <v>0</v>
      </c>
      <c r="O19" s="87">
        <f>'P &amp; NP'!GH13</f>
        <v>0</v>
      </c>
      <c r="P19" s="87">
        <f>'P &amp; NP'!GI13</f>
        <v>0</v>
      </c>
      <c r="Q19" s="87">
        <f>'P &amp; NP'!GJ13</f>
        <v>0</v>
      </c>
      <c r="R19" s="92">
        <f t="shared" si="214"/>
        <v>322950</v>
      </c>
      <c r="S19" s="92">
        <f t="shared" si="215"/>
        <v>6605450</v>
      </c>
      <c r="T19" s="87">
        <f>'P &amp; NP'!FW51</f>
        <v>0</v>
      </c>
      <c r="U19" s="87">
        <f>'P &amp; NP'!FX51</f>
        <v>0</v>
      </c>
      <c r="V19" s="87">
        <f>'P &amp; NP'!FY51</f>
        <v>0</v>
      </c>
      <c r="W19" s="87">
        <f>'P &amp; NP'!FZ51</f>
        <v>0</v>
      </c>
      <c r="X19" s="87">
        <f>'P &amp; NP'!GA51</f>
        <v>0</v>
      </c>
      <c r="Y19" s="87">
        <f>'P &amp; NP'!GB51</f>
        <v>0</v>
      </c>
      <c r="Z19" s="87">
        <f>'P &amp; NP'!GC51</f>
        <v>319050</v>
      </c>
      <c r="AA19" s="87">
        <f>'P &amp; NP'!GD51</f>
        <v>6477500</v>
      </c>
      <c r="AB19" s="87">
        <f>'P &amp; NP'!GE51</f>
        <v>0</v>
      </c>
      <c r="AC19" s="87">
        <f>'P &amp; NP'!GF51</f>
        <v>0</v>
      </c>
      <c r="AD19" s="87">
        <f>'P &amp; NP'!GG51</f>
        <v>0</v>
      </c>
      <c r="AE19" s="87">
        <f>'P &amp; NP'!GH51</f>
        <v>0</v>
      </c>
      <c r="AF19" s="87">
        <f>'P &amp; NP'!GI51</f>
        <v>0</v>
      </c>
      <c r="AG19" s="87">
        <f>'P &amp; NP'!GJ51</f>
        <v>0</v>
      </c>
      <c r="AH19" s="92">
        <f t="shared" si="216"/>
        <v>319050</v>
      </c>
      <c r="AI19" s="92">
        <f t="shared" si="217"/>
        <v>6477500</v>
      </c>
      <c r="AJ19" s="87">
        <f>'P &amp; NP'!FW89</f>
        <v>0</v>
      </c>
      <c r="AK19" s="87">
        <f>'P &amp; NP'!FX89</f>
        <v>0</v>
      </c>
      <c r="AL19" s="87">
        <f>'P &amp; NP'!FY89</f>
        <v>0</v>
      </c>
      <c r="AM19" s="87">
        <f>'P &amp; NP'!FZ89</f>
        <v>0</v>
      </c>
      <c r="AN19" s="87">
        <f>'P &amp; NP'!GA89</f>
        <v>0</v>
      </c>
      <c r="AO19" s="87">
        <f>'P &amp; NP'!GB89</f>
        <v>0</v>
      </c>
      <c r="AP19" s="87">
        <f>'P &amp; NP'!GC89</f>
        <v>341300</v>
      </c>
      <c r="AQ19" s="87">
        <f>'P &amp; NP'!GD89</f>
        <v>7121500</v>
      </c>
      <c r="AR19" s="87">
        <f>'P &amp; NP'!GE89</f>
        <v>0</v>
      </c>
      <c r="AS19" s="87">
        <f>'P &amp; NP'!GF89</f>
        <v>0</v>
      </c>
      <c r="AT19" s="87">
        <f>'P &amp; NP'!GG89</f>
        <v>0</v>
      </c>
      <c r="AU19" s="87">
        <f>'P &amp; NP'!GH89</f>
        <v>0</v>
      </c>
      <c r="AV19" s="87">
        <f>'P &amp; NP'!GI89</f>
        <v>0</v>
      </c>
      <c r="AW19" s="87">
        <f>'P &amp; NP'!GJ89</f>
        <v>0</v>
      </c>
      <c r="AX19" s="92">
        <f t="shared" si="218"/>
        <v>341300</v>
      </c>
      <c r="AY19" s="92">
        <f t="shared" si="219"/>
        <v>7121500</v>
      </c>
      <c r="AZ19" s="87">
        <f>'P &amp; NP'!FW127</f>
        <v>0</v>
      </c>
      <c r="BA19" s="87">
        <f>'P &amp; NP'!FX127</f>
        <v>0</v>
      </c>
      <c r="BB19" s="87">
        <f>'P &amp; NP'!FY127</f>
        <v>0</v>
      </c>
      <c r="BC19" s="87">
        <f>'P &amp; NP'!FZ127</f>
        <v>0</v>
      </c>
      <c r="BD19" s="87">
        <f>'P &amp; NP'!GA127</f>
        <v>0</v>
      </c>
      <c r="BE19" s="87">
        <f>'P &amp; NP'!GB127</f>
        <v>0</v>
      </c>
      <c r="BF19" s="87">
        <f>'P &amp; NP'!GC127</f>
        <v>349100</v>
      </c>
      <c r="BG19" s="87">
        <f>'P &amp; NP'!GD127</f>
        <v>7145750</v>
      </c>
      <c r="BH19" s="87">
        <f>'P &amp; NP'!GE127</f>
        <v>0</v>
      </c>
      <c r="BI19" s="87">
        <f>'P &amp; NP'!GF127</f>
        <v>0</v>
      </c>
      <c r="BJ19" s="87">
        <f>'P &amp; NP'!GG127</f>
        <v>0</v>
      </c>
      <c r="BK19" s="87">
        <f>'P &amp; NP'!GH127</f>
        <v>0</v>
      </c>
      <c r="BL19" s="87">
        <f>'P &amp; NP'!GI127</f>
        <v>0</v>
      </c>
      <c r="BM19" s="87">
        <f>'P &amp; NP'!GJ127</f>
        <v>0</v>
      </c>
      <c r="BN19" s="92">
        <f t="shared" si="220"/>
        <v>349100</v>
      </c>
      <c r="BO19" s="92">
        <f t="shared" si="221"/>
        <v>7145750</v>
      </c>
      <c r="BP19" s="87">
        <f>'P &amp; NP'!FW165</f>
        <v>0</v>
      </c>
      <c r="BQ19" s="87">
        <f>'P &amp; NP'!FX165</f>
        <v>0</v>
      </c>
      <c r="BR19" s="87">
        <f>'P &amp; NP'!FY165</f>
        <v>0</v>
      </c>
      <c r="BS19" s="87">
        <f>'P &amp; NP'!FZ165</f>
        <v>0</v>
      </c>
      <c r="BT19" s="87">
        <f>'P &amp; NP'!GA165</f>
        <v>0</v>
      </c>
      <c r="BU19" s="87">
        <f>'P &amp; NP'!GB165</f>
        <v>0</v>
      </c>
      <c r="BV19" s="87">
        <f>'P &amp; NP'!GC165</f>
        <v>314600</v>
      </c>
      <c r="BW19" s="87">
        <f>'P &amp; NP'!GD165</f>
        <v>6625500</v>
      </c>
      <c r="BX19" s="87">
        <f>'P &amp; NP'!GE165</f>
        <v>0</v>
      </c>
      <c r="BY19" s="87">
        <f>'P &amp; NP'!GF165</f>
        <v>0</v>
      </c>
      <c r="BZ19" s="87">
        <f>'P &amp; NP'!GG165</f>
        <v>0</v>
      </c>
      <c r="CA19" s="87">
        <f>'P &amp; NP'!GH165</f>
        <v>0</v>
      </c>
      <c r="CB19" s="87">
        <f>'P &amp; NP'!GI165</f>
        <v>0</v>
      </c>
      <c r="CC19" s="87">
        <f>'P &amp; NP'!GJ165</f>
        <v>0</v>
      </c>
      <c r="CD19" s="92">
        <f t="shared" si="222"/>
        <v>314600</v>
      </c>
      <c r="CE19" s="92">
        <f t="shared" si="223"/>
        <v>6625500</v>
      </c>
      <c r="CF19" s="87">
        <f>'P &amp; NP'!FW203</f>
        <v>0</v>
      </c>
      <c r="CG19" s="87">
        <f>'P &amp; NP'!FX203</f>
        <v>0</v>
      </c>
      <c r="CH19" s="87">
        <f>'P &amp; NP'!FY203</f>
        <v>0</v>
      </c>
      <c r="CI19" s="87">
        <f>'P &amp; NP'!FZ203</f>
        <v>0</v>
      </c>
      <c r="CJ19" s="87">
        <f>'P &amp; NP'!GA203</f>
        <v>0</v>
      </c>
      <c r="CK19" s="87">
        <f>'P &amp; NP'!GB203</f>
        <v>0</v>
      </c>
      <c r="CL19" s="87">
        <f>'P &amp; NP'!GC203</f>
        <v>327100</v>
      </c>
      <c r="CM19" s="87">
        <f>'P &amp; NP'!GD203</f>
        <v>6904375</v>
      </c>
      <c r="CN19" s="87">
        <f>'P &amp; NP'!GE203</f>
        <v>0</v>
      </c>
      <c r="CO19" s="87">
        <f>'P &amp; NP'!GF203</f>
        <v>0</v>
      </c>
      <c r="CP19" s="87">
        <f>'P &amp; NP'!GG203</f>
        <v>0</v>
      </c>
      <c r="CQ19" s="87">
        <f>'P &amp; NP'!GH203</f>
        <v>0</v>
      </c>
      <c r="CR19" s="87">
        <f>'P &amp; NP'!GI203</f>
        <v>0</v>
      </c>
      <c r="CS19" s="87">
        <f>'P &amp; NP'!GJ203</f>
        <v>0</v>
      </c>
      <c r="CT19" s="92">
        <f t="shared" si="224"/>
        <v>327100</v>
      </c>
      <c r="CU19" s="92">
        <f t="shared" si="225"/>
        <v>6904375</v>
      </c>
      <c r="CV19" s="87">
        <f>'P &amp; NP'!FW241</f>
        <v>0</v>
      </c>
      <c r="CW19" s="87">
        <f>'P &amp; NP'!FX241</f>
        <v>0</v>
      </c>
      <c r="CX19" s="87">
        <f>'P &amp; NP'!FY241</f>
        <v>0</v>
      </c>
      <c r="CY19" s="87">
        <f>'P &amp; NP'!FZ241</f>
        <v>0</v>
      </c>
      <c r="CZ19" s="87">
        <f>'P &amp; NP'!GC241</f>
        <v>287550</v>
      </c>
      <c r="DA19" s="87">
        <f>'P &amp; NP'!GD241</f>
        <v>5767625</v>
      </c>
      <c r="DB19" s="87">
        <f>'P &amp; NP'!GE241</f>
        <v>0</v>
      </c>
      <c r="DC19" s="87">
        <f>'P &amp; NP'!GF241</f>
        <v>0</v>
      </c>
      <c r="DD19" s="87">
        <f>'P &amp; NP'!GG241</f>
        <v>0</v>
      </c>
      <c r="DE19" s="87">
        <f>'P &amp; NP'!GH241</f>
        <v>0</v>
      </c>
      <c r="DF19" s="87">
        <f>'P &amp; NP'!GI241</f>
        <v>0</v>
      </c>
      <c r="DG19" s="87">
        <f>'P &amp; NP'!GJ241</f>
        <v>0</v>
      </c>
      <c r="DH19" s="87">
        <f t="shared" si="226"/>
        <v>287550</v>
      </c>
      <c r="DI19" s="87">
        <f t="shared" si="227"/>
        <v>5767625</v>
      </c>
      <c r="DJ19" s="92">
        <f>'P &amp; NP'!FW279</f>
        <v>0</v>
      </c>
      <c r="DK19" s="92">
        <f>'P &amp; NP'!FX279</f>
        <v>0</v>
      </c>
      <c r="DL19" s="87">
        <f>'P &amp; NP'!FY279</f>
        <v>0</v>
      </c>
      <c r="DM19" s="87">
        <f>'P &amp; NP'!FZ279</f>
        <v>0</v>
      </c>
      <c r="DN19" s="87">
        <f>'P &amp; NP'!GC279</f>
        <v>296450</v>
      </c>
      <c r="DO19" s="87">
        <f>'P &amp; NP'!GD279</f>
        <v>5942125</v>
      </c>
      <c r="DP19" s="87">
        <f>'P &amp; NP'!GE279</f>
        <v>0</v>
      </c>
      <c r="DQ19" s="87">
        <f>'P &amp; NP'!GF279</f>
        <v>0</v>
      </c>
      <c r="DR19" s="87">
        <f>'P &amp; NP'!GG279</f>
        <v>0</v>
      </c>
      <c r="DS19" s="87">
        <f>'P &amp; NP'!GH279</f>
        <v>0</v>
      </c>
      <c r="DT19" s="87">
        <f>'P &amp; NP'!GI279</f>
        <v>0</v>
      </c>
      <c r="DU19" s="87">
        <f>'P &amp; NP'!GJ279</f>
        <v>0</v>
      </c>
      <c r="DV19" s="87">
        <f t="shared" si="228"/>
        <v>296450</v>
      </c>
      <c r="DW19" s="87">
        <f t="shared" si="229"/>
        <v>5942125</v>
      </c>
      <c r="DX19" s="87">
        <f>'P &amp; NP'!FW317</f>
        <v>0</v>
      </c>
      <c r="DY19" s="87">
        <f>'P &amp; NP'!FX317</f>
        <v>0</v>
      </c>
      <c r="DZ19" s="92">
        <f>'P &amp; NP'!FY317</f>
        <v>0</v>
      </c>
      <c r="EA19" s="92">
        <f>'P &amp; NP'!FZ317</f>
        <v>0</v>
      </c>
      <c r="EB19" s="87">
        <f>'P &amp; NP'!GC317</f>
        <v>297450</v>
      </c>
      <c r="EC19" s="87">
        <f>'P &amp; NP'!GD317</f>
        <v>5957750</v>
      </c>
      <c r="ED19" s="87">
        <f>'P &amp; NP'!GE317</f>
        <v>0</v>
      </c>
      <c r="EE19" s="87">
        <f>'P &amp; NP'!GF317</f>
        <v>0</v>
      </c>
      <c r="EF19" s="87">
        <f>'P &amp; NP'!GG317</f>
        <v>0</v>
      </c>
      <c r="EG19" s="87">
        <f>'P &amp; NP'!GH317</f>
        <v>0</v>
      </c>
      <c r="EH19" s="87">
        <f>'P &amp; NP'!GI317</f>
        <v>0</v>
      </c>
      <c r="EI19" s="87">
        <f>'P &amp; NP'!GJ317</f>
        <v>0</v>
      </c>
      <c r="EJ19" s="87">
        <f t="shared" si="230"/>
        <v>297450</v>
      </c>
      <c r="EK19" s="87">
        <f t="shared" si="231"/>
        <v>5957750</v>
      </c>
      <c r="EL19" s="87">
        <f>'P &amp; NP'!FW355</f>
        <v>0</v>
      </c>
      <c r="EM19" s="87">
        <f>'P &amp; NP'!FX355</f>
        <v>0</v>
      </c>
      <c r="EN19" s="87">
        <f>'P &amp; NP'!FY355</f>
        <v>0</v>
      </c>
      <c r="EO19" s="87">
        <f>'P &amp; NP'!FZ355</f>
        <v>0</v>
      </c>
      <c r="EP19" s="92">
        <f>'P &amp; NP'!GC355</f>
        <v>326550</v>
      </c>
      <c r="EQ19" s="92">
        <f>'P &amp; NP'!GD355</f>
        <v>6770050</v>
      </c>
      <c r="ER19" s="87">
        <f>'P &amp; NP'!GE355</f>
        <v>0</v>
      </c>
      <c r="ES19" s="87">
        <f>'P &amp; NP'!GF355</f>
        <v>0</v>
      </c>
      <c r="ET19" s="87">
        <f>'P &amp; NP'!GG355</f>
        <v>0</v>
      </c>
      <c r="EU19" s="87">
        <f>'P &amp; NP'!GH355</f>
        <v>0</v>
      </c>
      <c r="EV19" s="87">
        <f>'P &amp; NP'!GI355</f>
        <v>0</v>
      </c>
      <c r="EW19" s="87">
        <f>'P &amp; NP'!GJ355</f>
        <v>0</v>
      </c>
      <c r="EX19" s="87">
        <f t="shared" si="232"/>
        <v>326550</v>
      </c>
      <c r="EY19" s="87">
        <f t="shared" si="233"/>
        <v>6770050</v>
      </c>
      <c r="EZ19" s="87">
        <f>'P &amp; NP'!FW393</f>
        <v>0</v>
      </c>
      <c r="FA19" s="87">
        <f>'P &amp; NP'!FX393</f>
        <v>0</v>
      </c>
      <c r="FB19" s="87">
        <f>'P &amp; NP'!FY393</f>
        <v>0</v>
      </c>
      <c r="FC19" s="87">
        <f>'P &amp; NP'!FZ393</f>
        <v>0</v>
      </c>
      <c r="FD19" s="87">
        <f>'P &amp; NP'!GC393</f>
        <v>328750</v>
      </c>
      <c r="FE19" s="87">
        <f>'P &amp; NP'!GD393</f>
        <v>6860000</v>
      </c>
      <c r="FF19" s="92">
        <f>'P &amp; NP'!GE393</f>
        <v>0</v>
      </c>
      <c r="FG19" s="92">
        <f>'P &amp; NP'!GF393</f>
        <v>0</v>
      </c>
      <c r="FH19" s="87">
        <f>'P &amp; NP'!GG393</f>
        <v>0</v>
      </c>
      <c r="FI19" s="87">
        <f>'P &amp; NP'!GH393</f>
        <v>0</v>
      </c>
      <c r="FJ19" s="87">
        <f>'P &amp; NP'!GI393</f>
        <v>0</v>
      </c>
      <c r="FK19" s="87">
        <f>'P &amp; NP'!GJ393</f>
        <v>0</v>
      </c>
      <c r="FL19" s="87">
        <f t="shared" si="234"/>
        <v>328750</v>
      </c>
      <c r="FM19" s="87">
        <f t="shared" si="235"/>
        <v>6860000</v>
      </c>
      <c r="FN19" s="87">
        <f>'P &amp; NP'!FW431</f>
        <v>0</v>
      </c>
      <c r="FO19" s="87">
        <f>'P &amp; NP'!FX431</f>
        <v>0</v>
      </c>
      <c r="FP19" s="87">
        <f>'P &amp; NP'!FY431</f>
        <v>0</v>
      </c>
      <c r="FQ19" s="87">
        <f>'P &amp; NP'!FZ431</f>
        <v>0</v>
      </c>
      <c r="FR19" s="87">
        <f>'P &amp; NP'!GC431</f>
        <v>339250</v>
      </c>
      <c r="FS19" s="87">
        <f>'P &amp; NP'!GD431</f>
        <v>7186000</v>
      </c>
      <c r="FT19" s="87">
        <f>'P &amp; NP'!GE431</f>
        <v>0</v>
      </c>
      <c r="FU19" s="87">
        <f>'P &amp; NP'!GF431</f>
        <v>0</v>
      </c>
      <c r="FV19" s="92">
        <f>'P &amp; NP'!GG431</f>
        <v>0</v>
      </c>
      <c r="FW19" s="92">
        <f>'P &amp; NP'!GH431</f>
        <v>0</v>
      </c>
      <c r="FX19" s="87">
        <f>'P &amp; NP'!GI431</f>
        <v>0</v>
      </c>
      <c r="FY19" s="87">
        <f>'P &amp; NP'!GJ431</f>
        <v>0</v>
      </c>
      <c r="FZ19" s="87">
        <f t="shared" si="236"/>
        <v>339250</v>
      </c>
      <c r="GA19" s="87">
        <f t="shared" si="237"/>
        <v>7186000</v>
      </c>
      <c r="GC19" s="609">
        <f t="shared" si="164"/>
        <v>0</v>
      </c>
      <c r="GD19" s="609">
        <f t="shared" si="165"/>
        <v>0</v>
      </c>
      <c r="GE19" s="609">
        <f t="shared" si="166"/>
        <v>0</v>
      </c>
      <c r="GF19" s="609">
        <f t="shared" si="167"/>
        <v>0</v>
      </c>
      <c r="GG19" s="609">
        <f t="shared" si="168"/>
        <v>983300</v>
      </c>
      <c r="GH19" s="609">
        <f t="shared" si="169"/>
        <v>20204450</v>
      </c>
      <c r="GI19" s="609">
        <f t="shared" si="170"/>
        <v>0</v>
      </c>
      <c r="GJ19" s="609">
        <f t="shared" si="171"/>
        <v>0</v>
      </c>
      <c r="GK19" s="609">
        <f t="shared" si="172"/>
        <v>0</v>
      </c>
      <c r="GL19" s="609">
        <f t="shared" si="173"/>
        <v>0</v>
      </c>
      <c r="GM19" s="609">
        <f t="shared" si="174"/>
        <v>0</v>
      </c>
      <c r="GN19" s="609">
        <f t="shared" si="175"/>
        <v>0</v>
      </c>
      <c r="GO19" s="640">
        <f t="shared" si="238"/>
        <v>983300</v>
      </c>
      <c r="GP19" s="640">
        <f t="shared" si="239"/>
        <v>20204450</v>
      </c>
      <c r="GR19" s="609">
        <f t="shared" si="176"/>
        <v>0</v>
      </c>
      <c r="GS19" s="609">
        <f t="shared" si="177"/>
        <v>0</v>
      </c>
      <c r="GT19" s="609">
        <f t="shared" si="178"/>
        <v>0</v>
      </c>
      <c r="GU19" s="609">
        <f t="shared" si="179"/>
        <v>0</v>
      </c>
      <c r="GV19" s="609">
        <f t="shared" si="180"/>
        <v>990800</v>
      </c>
      <c r="GW19" s="609">
        <f t="shared" si="181"/>
        <v>20675625</v>
      </c>
      <c r="GX19" s="609">
        <f t="shared" si="182"/>
        <v>0</v>
      </c>
      <c r="GY19" s="609">
        <f t="shared" si="183"/>
        <v>0</v>
      </c>
      <c r="GZ19" s="609">
        <f t="shared" si="184"/>
        <v>0</v>
      </c>
      <c r="HA19" s="609">
        <f t="shared" si="185"/>
        <v>0</v>
      </c>
      <c r="HB19" s="609">
        <f t="shared" si="186"/>
        <v>0</v>
      </c>
      <c r="HC19" s="609">
        <f t="shared" si="187"/>
        <v>0</v>
      </c>
      <c r="HD19" s="640">
        <f t="shared" si="240"/>
        <v>990800</v>
      </c>
      <c r="HE19" s="640">
        <f t="shared" si="241"/>
        <v>20675625</v>
      </c>
      <c r="HG19" s="609">
        <f t="shared" si="188"/>
        <v>0</v>
      </c>
      <c r="HH19" s="609">
        <f t="shared" si="189"/>
        <v>0</v>
      </c>
      <c r="HI19" s="609">
        <f t="shared" si="190"/>
        <v>0</v>
      </c>
      <c r="HJ19" s="609">
        <f t="shared" si="191"/>
        <v>0</v>
      </c>
      <c r="HK19" s="609">
        <f t="shared" si="192"/>
        <v>881450</v>
      </c>
      <c r="HL19" s="609">
        <f t="shared" si="193"/>
        <v>17667500</v>
      </c>
      <c r="HM19" s="609">
        <f t="shared" si="194"/>
        <v>0</v>
      </c>
      <c r="HN19" s="609">
        <f t="shared" si="195"/>
        <v>0</v>
      </c>
      <c r="HO19" s="609">
        <f t="shared" si="196"/>
        <v>0</v>
      </c>
      <c r="HP19" s="609">
        <f t="shared" si="197"/>
        <v>0</v>
      </c>
      <c r="HQ19" s="609">
        <f t="shared" si="198"/>
        <v>0</v>
      </c>
      <c r="HR19" s="609">
        <f t="shared" si="199"/>
        <v>0</v>
      </c>
      <c r="HS19" s="640">
        <f t="shared" si="242"/>
        <v>881450</v>
      </c>
      <c r="HT19" s="640">
        <f t="shared" si="243"/>
        <v>17667500</v>
      </c>
      <c r="HV19" s="609">
        <f t="shared" si="200"/>
        <v>0</v>
      </c>
      <c r="HW19" s="609">
        <f t="shared" si="201"/>
        <v>0</v>
      </c>
      <c r="HX19" s="609">
        <f t="shared" si="202"/>
        <v>0</v>
      </c>
      <c r="HY19" s="609">
        <f t="shared" si="203"/>
        <v>0</v>
      </c>
      <c r="HZ19" s="609">
        <f t="shared" si="204"/>
        <v>994550</v>
      </c>
      <c r="IA19" s="609">
        <f t="shared" si="205"/>
        <v>20816050</v>
      </c>
      <c r="IB19" s="609">
        <f t="shared" si="206"/>
        <v>0</v>
      </c>
      <c r="IC19" s="609">
        <f t="shared" si="207"/>
        <v>0</v>
      </c>
      <c r="ID19" s="609">
        <f t="shared" si="208"/>
        <v>0</v>
      </c>
      <c r="IE19" s="609">
        <f t="shared" si="209"/>
        <v>0</v>
      </c>
      <c r="IF19" s="609">
        <f t="shared" si="210"/>
        <v>0</v>
      </c>
      <c r="IG19" s="609">
        <f t="shared" si="211"/>
        <v>0</v>
      </c>
      <c r="IH19" s="640">
        <f t="shared" si="244"/>
        <v>994550</v>
      </c>
      <c r="II19" s="640">
        <f t="shared" si="245"/>
        <v>20816050</v>
      </c>
    </row>
    <row r="20" spans="1:243">
      <c r="A20" s="484" t="s">
        <v>131</v>
      </c>
      <c r="B20" s="484">
        <f t="shared" si="212"/>
        <v>1860280</v>
      </c>
      <c r="C20" s="484">
        <f t="shared" si="213"/>
        <v>36139155</v>
      </c>
      <c r="D20" s="87">
        <f>'P &amp; NP'!GM13</f>
        <v>0</v>
      </c>
      <c r="E20" s="87">
        <f>'P &amp; NP'!GN13</f>
        <v>0</v>
      </c>
      <c r="F20" s="87">
        <f>'P &amp; NP'!GO13</f>
        <v>0</v>
      </c>
      <c r="G20" s="87">
        <f>'P &amp; NP'!GP13</f>
        <v>0</v>
      </c>
      <c r="H20" s="87">
        <f>'P &amp; NP'!GQ13</f>
        <v>0</v>
      </c>
      <c r="I20" s="87">
        <f>'P &amp; NP'!GR13</f>
        <v>0</v>
      </c>
      <c r="J20" s="87">
        <f>'P &amp; NP'!GS13</f>
        <v>152950</v>
      </c>
      <c r="K20" s="87">
        <f>'P &amp; NP'!GT13</f>
        <v>2966925</v>
      </c>
      <c r="L20" s="87">
        <f>'P &amp; NP'!GU13</f>
        <v>0</v>
      </c>
      <c r="M20" s="87">
        <f>'P &amp; NP'!GV13</f>
        <v>0</v>
      </c>
      <c r="N20" s="87">
        <f>'P &amp; NP'!GW13</f>
        <v>0</v>
      </c>
      <c r="O20" s="87">
        <f>'P &amp; NP'!GX13</f>
        <v>0</v>
      </c>
      <c r="P20" s="87">
        <f>'P &amp; NP'!GY13</f>
        <v>150</v>
      </c>
      <c r="Q20" s="87">
        <f>'P &amp; NP'!GZ13</f>
        <v>4050</v>
      </c>
      <c r="R20" s="92">
        <f t="shared" si="214"/>
        <v>153100</v>
      </c>
      <c r="S20" s="92">
        <f t="shared" si="215"/>
        <v>2970975</v>
      </c>
      <c r="T20" s="87">
        <f>'P &amp; NP'!GM51</f>
        <v>0</v>
      </c>
      <c r="U20" s="87">
        <f>'P &amp; NP'!GN51</f>
        <v>0</v>
      </c>
      <c r="V20" s="87">
        <f>'P &amp; NP'!GO51</f>
        <v>0</v>
      </c>
      <c r="W20" s="87">
        <f>'P &amp; NP'!GP51</f>
        <v>0</v>
      </c>
      <c r="X20" s="87">
        <f>'P &amp; NP'!GQ51</f>
        <v>0</v>
      </c>
      <c r="Y20" s="87">
        <f>'P &amp; NP'!GR51</f>
        <v>0</v>
      </c>
      <c r="Z20" s="87">
        <f>'P &amp; NP'!GS51</f>
        <v>159600</v>
      </c>
      <c r="AA20" s="87">
        <f>'P &amp; NP'!GT51</f>
        <v>3115900</v>
      </c>
      <c r="AB20" s="87">
        <f>'P &amp; NP'!GU51</f>
        <v>0</v>
      </c>
      <c r="AC20" s="87">
        <f>'P &amp; NP'!GV51</f>
        <v>0</v>
      </c>
      <c r="AD20" s="87">
        <f>'P &amp; NP'!GW51</f>
        <v>0</v>
      </c>
      <c r="AE20" s="87">
        <f>'P &amp; NP'!GX51</f>
        <v>0</v>
      </c>
      <c r="AF20" s="87">
        <f>'P &amp; NP'!GY51</f>
        <v>170</v>
      </c>
      <c r="AG20" s="87">
        <f>'P &amp; NP'!GZ51</f>
        <v>4650</v>
      </c>
      <c r="AH20" s="92">
        <f t="shared" si="216"/>
        <v>159770</v>
      </c>
      <c r="AI20" s="92">
        <f t="shared" si="217"/>
        <v>3120550</v>
      </c>
      <c r="AJ20" s="87">
        <f>'P &amp; NP'!GM89</f>
        <v>0</v>
      </c>
      <c r="AK20" s="87">
        <f>'P &amp; NP'!GN89</f>
        <v>0</v>
      </c>
      <c r="AL20" s="87">
        <f>'P &amp; NP'!GO89</f>
        <v>0</v>
      </c>
      <c r="AM20" s="87">
        <f>'P &amp; NP'!GP89</f>
        <v>0</v>
      </c>
      <c r="AN20" s="87">
        <f>'P &amp; NP'!GQ89</f>
        <v>0</v>
      </c>
      <c r="AO20" s="87">
        <f>'P &amp; NP'!GR89</f>
        <v>0</v>
      </c>
      <c r="AP20" s="87">
        <f>'P &amp; NP'!GS89</f>
        <v>170500</v>
      </c>
      <c r="AQ20" s="87">
        <f>'P &amp; NP'!GT89</f>
        <v>3359150</v>
      </c>
      <c r="AR20" s="87">
        <f>'P &amp; NP'!GU89</f>
        <v>0</v>
      </c>
      <c r="AS20" s="87">
        <f>'P &amp; NP'!GV89</f>
        <v>0</v>
      </c>
      <c r="AT20" s="87">
        <f>'P &amp; NP'!GW89</f>
        <v>0</v>
      </c>
      <c r="AU20" s="87">
        <f>'P &amp; NP'!GX89</f>
        <v>0</v>
      </c>
      <c r="AV20" s="87">
        <f>'P &amp; NP'!GY89</f>
        <v>210</v>
      </c>
      <c r="AW20" s="87">
        <f>'P &amp; NP'!GZ89</f>
        <v>5850</v>
      </c>
      <c r="AX20" s="92">
        <f t="shared" si="218"/>
        <v>170710</v>
      </c>
      <c r="AY20" s="92">
        <f t="shared" si="219"/>
        <v>3365000</v>
      </c>
      <c r="AZ20" s="87">
        <f>'P &amp; NP'!GM127</f>
        <v>0</v>
      </c>
      <c r="BA20" s="87">
        <f>'P &amp; NP'!GN127</f>
        <v>0</v>
      </c>
      <c r="BB20" s="87">
        <f>'P &amp; NP'!GO127</f>
        <v>0</v>
      </c>
      <c r="BC20" s="87">
        <f>'P &amp; NP'!GP127</f>
        <v>0</v>
      </c>
      <c r="BD20" s="87">
        <f>'P &amp; NP'!GQ127</f>
        <v>0</v>
      </c>
      <c r="BE20" s="87">
        <f>'P &amp; NP'!GR127</f>
        <v>0</v>
      </c>
      <c r="BF20" s="87">
        <f>'P &amp; NP'!GS127</f>
        <v>160550</v>
      </c>
      <c r="BG20" s="87">
        <f>'P &amp; NP'!GT127</f>
        <v>3141200</v>
      </c>
      <c r="BH20" s="87">
        <f>'P &amp; NP'!GU127</f>
        <v>0</v>
      </c>
      <c r="BI20" s="87">
        <f>'P &amp; NP'!GV127</f>
        <v>0</v>
      </c>
      <c r="BJ20" s="87">
        <f>'P &amp; NP'!GW127</f>
        <v>0</v>
      </c>
      <c r="BK20" s="87">
        <f>'P &amp; NP'!GX127</f>
        <v>0</v>
      </c>
      <c r="BL20" s="87">
        <f>'P &amp; NP'!GY127</f>
        <v>150</v>
      </c>
      <c r="BM20" s="87">
        <f>'P &amp; NP'!GZ127</f>
        <v>4100</v>
      </c>
      <c r="BN20" s="92">
        <f t="shared" si="220"/>
        <v>160700</v>
      </c>
      <c r="BO20" s="92">
        <f t="shared" si="221"/>
        <v>3145300</v>
      </c>
      <c r="BP20" s="87">
        <f>'P &amp; NP'!GM165</f>
        <v>0</v>
      </c>
      <c r="BQ20" s="87">
        <f>'P &amp; NP'!GN165</f>
        <v>0</v>
      </c>
      <c r="BR20" s="87">
        <f>'P &amp; NP'!GO165</f>
        <v>0</v>
      </c>
      <c r="BS20" s="87">
        <f>'P &amp; NP'!GP165</f>
        <v>0</v>
      </c>
      <c r="BT20" s="87">
        <f>'P &amp; NP'!GQ165</f>
        <v>0</v>
      </c>
      <c r="BU20" s="87">
        <f>'P &amp; NP'!GR165</f>
        <v>0</v>
      </c>
      <c r="BV20" s="87">
        <f>'P &amp; NP'!GS165</f>
        <v>162150</v>
      </c>
      <c r="BW20" s="87">
        <f>'P &amp; NP'!GT165</f>
        <v>3157050</v>
      </c>
      <c r="BX20" s="87">
        <f>'P &amp; NP'!GU165</f>
        <v>0</v>
      </c>
      <c r="BY20" s="87">
        <f>'P &amp; NP'!GV165</f>
        <v>0</v>
      </c>
      <c r="BZ20" s="87">
        <f>'P &amp; NP'!GW165</f>
        <v>0</v>
      </c>
      <c r="CA20" s="87">
        <f>'P &amp; NP'!GX165</f>
        <v>0</v>
      </c>
      <c r="CB20" s="87">
        <f>'P &amp; NP'!GY165</f>
        <v>140</v>
      </c>
      <c r="CC20" s="87">
        <f>'P &amp; NP'!GZ165</f>
        <v>3830</v>
      </c>
      <c r="CD20" s="92">
        <f t="shared" si="222"/>
        <v>162290</v>
      </c>
      <c r="CE20" s="92">
        <f t="shared" si="223"/>
        <v>3160880</v>
      </c>
      <c r="CF20" s="87">
        <f>'P &amp; NP'!GM203</f>
        <v>0</v>
      </c>
      <c r="CG20" s="87">
        <f>'P &amp; NP'!GN203</f>
        <v>0</v>
      </c>
      <c r="CH20" s="87">
        <f>'P &amp; NP'!GO203</f>
        <v>0</v>
      </c>
      <c r="CI20" s="87">
        <f>'P &amp; NP'!GP203</f>
        <v>0</v>
      </c>
      <c r="CJ20" s="87">
        <f>'P &amp; NP'!GQ203</f>
        <v>0</v>
      </c>
      <c r="CK20" s="87">
        <f>'P &amp; NP'!GR203</f>
        <v>0</v>
      </c>
      <c r="CL20" s="87">
        <f>'P &amp; NP'!GS203</f>
        <v>160600</v>
      </c>
      <c r="CM20" s="87">
        <f>'P &amp; NP'!GT203</f>
        <v>3133350</v>
      </c>
      <c r="CN20" s="87">
        <f>'P &amp; NP'!GU203</f>
        <v>0</v>
      </c>
      <c r="CO20" s="87">
        <f>'P &amp; NP'!GV203</f>
        <v>0</v>
      </c>
      <c r="CP20" s="87">
        <f>'P &amp; NP'!GW203</f>
        <v>0</v>
      </c>
      <c r="CQ20" s="87">
        <f>'P &amp; NP'!GX203</f>
        <v>0</v>
      </c>
      <c r="CR20" s="87">
        <f>'P &amp; NP'!GY203</f>
        <v>110</v>
      </c>
      <c r="CS20" s="87">
        <f>'P &amp; NP'!GZ203</f>
        <v>2920</v>
      </c>
      <c r="CT20" s="92">
        <f t="shared" si="224"/>
        <v>160710</v>
      </c>
      <c r="CU20" s="92">
        <f t="shared" si="225"/>
        <v>3136270</v>
      </c>
      <c r="CV20" s="87">
        <f>'P &amp; NP'!GM241</f>
        <v>0</v>
      </c>
      <c r="CW20" s="87">
        <f>'P &amp; NP'!GN241</f>
        <v>0</v>
      </c>
      <c r="CX20" s="87">
        <f>'P &amp; NP'!GO241</f>
        <v>0</v>
      </c>
      <c r="CY20" s="87">
        <f>'P &amp; NP'!GP241</f>
        <v>0</v>
      </c>
      <c r="CZ20" s="87">
        <f>'P &amp; NP'!GS241</f>
        <v>148100</v>
      </c>
      <c r="DA20" s="87">
        <f>'P &amp; NP'!GT241</f>
        <v>2873900</v>
      </c>
      <c r="DB20" s="87">
        <f>'P &amp; NP'!GU241</f>
        <v>0</v>
      </c>
      <c r="DC20" s="87">
        <f>'P &amp; NP'!GV241</f>
        <v>0</v>
      </c>
      <c r="DD20" s="87">
        <f>'P &amp; NP'!GW241</f>
        <v>0</v>
      </c>
      <c r="DE20" s="87">
        <f>'P &amp; NP'!GX241</f>
        <v>0</v>
      </c>
      <c r="DF20" s="87">
        <f>'P &amp; NP'!GY241</f>
        <v>110</v>
      </c>
      <c r="DG20" s="87">
        <f>'P &amp; NP'!GZ241</f>
        <v>3150</v>
      </c>
      <c r="DH20" s="87">
        <f t="shared" si="226"/>
        <v>148210</v>
      </c>
      <c r="DI20" s="87">
        <f t="shared" si="227"/>
        <v>2877050</v>
      </c>
      <c r="DJ20" s="92">
        <f>'P &amp; NP'!GM279</f>
        <v>0</v>
      </c>
      <c r="DK20" s="92">
        <f>'P &amp; NP'!GN279</f>
        <v>0</v>
      </c>
      <c r="DL20" s="87">
        <f>'P &amp; NP'!GO279</f>
        <v>0</v>
      </c>
      <c r="DM20" s="87">
        <f>'P &amp; NP'!GP279</f>
        <v>0</v>
      </c>
      <c r="DN20" s="87">
        <f>'P &amp; NP'!GS279</f>
        <v>143500</v>
      </c>
      <c r="DO20" s="87">
        <f>'P &amp; NP'!GT279</f>
        <v>2798000</v>
      </c>
      <c r="DP20" s="87">
        <f>'P &amp; NP'!GU279</f>
        <v>0</v>
      </c>
      <c r="DQ20" s="87">
        <f>'P &amp; NP'!GV279</f>
        <v>0</v>
      </c>
      <c r="DR20" s="87">
        <f>'P &amp; NP'!GW279</f>
        <v>0</v>
      </c>
      <c r="DS20" s="87">
        <f>'P &amp; NP'!GX279</f>
        <v>0</v>
      </c>
      <c r="DT20" s="87">
        <f>'P &amp; NP'!GY279</f>
        <v>150</v>
      </c>
      <c r="DU20" s="87">
        <f>'P &amp; NP'!GZ279</f>
        <v>4325</v>
      </c>
      <c r="DV20" s="87">
        <f t="shared" si="228"/>
        <v>143650</v>
      </c>
      <c r="DW20" s="87">
        <f t="shared" si="229"/>
        <v>2802325</v>
      </c>
      <c r="DX20" s="87">
        <f>'P &amp; NP'!GM317</f>
        <v>0</v>
      </c>
      <c r="DY20" s="87">
        <f>'P &amp; NP'!GN317</f>
        <v>0</v>
      </c>
      <c r="DZ20" s="92">
        <f>'P &amp; NP'!GO317</f>
        <v>0</v>
      </c>
      <c r="EA20" s="92">
        <f>'P &amp; NP'!GP317</f>
        <v>0</v>
      </c>
      <c r="EB20" s="87">
        <f>'P &amp; NP'!GS317</f>
        <v>139000</v>
      </c>
      <c r="EC20" s="87">
        <f>'P &amp; NP'!GT317</f>
        <v>2665550</v>
      </c>
      <c r="ED20" s="87">
        <f>'P &amp; NP'!GU317</f>
        <v>0</v>
      </c>
      <c r="EE20" s="87">
        <f>'P &amp; NP'!GV317</f>
        <v>0</v>
      </c>
      <c r="EF20" s="87">
        <f>'P &amp; NP'!GW317</f>
        <v>0</v>
      </c>
      <c r="EG20" s="87">
        <f>'P &amp; NP'!GX317</f>
        <v>0</v>
      </c>
      <c r="EH20" s="87">
        <f>'P &amp; NP'!GY317</f>
        <v>130</v>
      </c>
      <c r="EI20" s="87">
        <f>'P &amp; NP'!GZ317</f>
        <v>3660</v>
      </c>
      <c r="EJ20" s="87">
        <f t="shared" si="230"/>
        <v>139130</v>
      </c>
      <c r="EK20" s="87">
        <f t="shared" si="231"/>
        <v>2669210</v>
      </c>
      <c r="EL20" s="87">
        <f>'P &amp; NP'!GM355</f>
        <v>0</v>
      </c>
      <c r="EM20" s="87">
        <f>'P &amp; NP'!GN355</f>
        <v>0</v>
      </c>
      <c r="EN20" s="87">
        <f>'P &amp; NP'!GO355</f>
        <v>0</v>
      </c>
      <c r="EO20" s="87">
        <f>'P &amp; NP'!GP355</f>
        <v>0</v>
      </c>
      <c r="EP20" s="92">
        <f>'P &amp; NP'!GS355</f>
        <v>149200</v>
      </c>
      <c r="EQ20" s="92">
        <f>'P &amp; NP'!GT355</f>
        <v>2862400</v>
      </c>
      <c r="ER20" s="87">
        <f>'P &amp; NP'!GU355</f>
        <v>0</v>
      </c>
      <c r="ES20" s="87">
        <f>'P &amp; NP'!GV355</f>
        <v>0</v>
      </c>
      <c r="ET20" s="87">
        <f>'P &amp; NP'!GW355</f>
        <v>0</v>
      </c>
      <c r="EU20" s="87">
        <f>'P &amp; NP'!GX355</f>
        <v>0</v>
      </c>
      <c r="EV20" s="87">
        <f>'P &amp; NP'!GY355</f>
        <v>110</v>
      </c>
      <c r="EW20" s="87">
        <f>'P &amp; NP'!GZ355</f>
        <v>3095</v>
      </c>
      <c r="EX20" s="87">
        <f t="shared" si="232"/>
        <v>149310</v>
      </c>
      <c r="EY20" s="87">
        <f t="shared" si="233"/>
        <v>2865495</v>
      </c>
      <c r="EZ20" s="87">
        <f>'P &amp; NP'!GM393</f>
        <v>0</v>
      </c>
      <c r="FA20" s="87">
        <f>'P &amp; NP'!GN393</f>
        <v>0</v>
      </c>
      <c r="FB20" s="87">
        <f>'P &amp; NP'!GO393</f>
        <v>0</v>
      </c>
      <c r="FC20" s="87">
        <f>'P &amp; NP'!GP393</f>
        <v>0</v>
      </c>
      <c r="FD20" s="87">
        <f>'P &amp; NP'!GS393</f>
        <v>155500</v>
      </c>
      <c r="FE20" s="87">
        <f>'P &amp; NP'!GT393</f>
        <v>2991000</v>
      </c>
      <c r="FF20" s="92">
        <f>'P &amp; NP'!GU393</f>
        <v>0</v>
      </c>
      <c r="FG20" s="92">
        <f>'P &amp; NP'!GV393</f>
        <v>0</v>
      </c>
      <c r="FH20" s="87">
        <f>'P &amp; NP'!GW393</f>
        <v>0</v>
      </c>
      <c r="FI20" s="87">
        <f>'P &amp; NP'!GX393</f>
        <v>0</v>
      </c>
      <c r="FJ20" s="87">
        <f>'P &amp; NP'!GY393</f>
        <v>150</v>
      </c>
      <c r="FK20" s="87">
        <f>'P &amp; NP'!GZ393</f>
        <v>4150</v>
      </c>
      <c r="FL20" s="87">
        <f t="shared" si="234"/>
        <v>155650</v>
      </c>
      <c r="FM20" s="87">
        <f t="shared" si="235"/>
        <v>2995150</v>
      </c>
      <c r="FN20" s="87">
        <f>'P &amp; NP'!GM431</f>
        <v>0</v>
      </c>
      <c r="FO20" s="87">
        <f>'P &amp; NP'!GN431</f>
        <v>0</v>
      </c>
      <c r="FP20" s="87">
        <f>'P &amp; NP'!GO431</f>
        <v>0</v>
      </c>
      <c r="FQ20" s="87">
        <f>'P &amp; NP'!GP431</f>
        <v>0</v>
      </c>
      <c r="FR20" s="87">
        <f>'P &amp; NP'!GS431</f>
        <v>156900</v>
      </c>
      <c r="FS20" s="87">
        <f>'P &amp; NP'!GT431</f>
        <v>3026750</v>
      </c>
      <c r="FT20" s="87">
        <f>'P &amp; NP'!GU431</f>
        <v>0</v>
      </c>
      <c r="FU20" s="87">
        <f>'P &amp; NP'!GV431</f>
        <v>0</v>
      </c>
      <c r="FV20" s="92">
        <f>'P &amp; NP'!GW431</f>
        <v>0</v>
      </c>
      <c r="FW20" s="92">
        <f>'P &amp; NP'!GX431</f>
        <v>0</v>
      </c>
      <c r="FX20" s="87">
        <f>'P &amp; NP'!GY431</f>
        <v>150</v>
      </c>
      <c r="FY20" s="87">
        <f>'P &amp; NP'!GZ431</f>
        <v>4200</v>
      </c>
      <c r="FZ20" s="87">
        <f t="shared" si="236"/>
        <v>157050</v>
      </c>
      <c r="GA20" s="87">
        <f t="shared" si="237"/>
        <v>3030950</v>
      </c>
      <c r="GC20" s="609">
        <f t="shared" si="164"/>
        <v>0</v>
      </c>
      <c r="GD20" s="609">
        <f t="shared" si="165"/>
        <v>0</v>
      </c>
      <c r="GE20" s="609">
        <f t="shared" si="166"/>
        <v>0</v>
      </c>
      <c r="GF20" s="609">
        <f t="shared" si="167"/>
        <v>0</v>
      </c>
      <c r="GG20" s="609">
        <f t="shared" si="168"/>
        <v>483050</v>
      </c>
      <c r="GH20" s="609">
        <f t="shared" si="169"/>
        <v>9441975</v>
      </c>
      <c r="GI20" s="609">
        <f t="shared" si="170"/>
        <v>0</v>
      </c>
      <c r="GJ20" s="609">
        <f t="shared" si="171"/>
        <v>0</v>
      </c>
      <c r="GK20" s="609">
        <f t="shared" si="172"/>
        <v>0</v>
      </c>
      <c r="GL20" s="609">
        <f t="shared" si="173"/>
        <v>0</v>
      </c>
      <c r="GM20" s="609">
        <f t="shared" si="174"/>
        <v>530</v>
      </c>
      <c r="GN20" s="609">
        <f t="shared" si="175"/>
        <v>14550</v>
      </c>
      <c r="GO20" s="640">
        <f t="shared" si="238"/>
        <v>483580</v>
      </c>
      <c r="GP20" s="640">
        <f t="shared" si="239"/>
        <v>9456525</v>
      </c>
      <c r="GR20" s="609">
        <f t="shared" si="176"/>
        <v>0</v>
      </c>
      <c r="GS20" s="609">
        <f t="shared" si="177"/>
        <v>0</v>
      </c>
      <c r="GT20" s="609">
        <f t="shared" si="178"/>
        <v>0</v>
      </c>
      <c r="GU20" s="609">
        <f t="shared" si="179"/>
        <v>0</v>
      </c>
      <c r="GV20" s="609">
        <f t="shared" si="180"/>
        <v>483300</v>
      </c>
      <c r="GW20" s="609">
        <f t="shared" si="181"/>
        <v>9431600</v>
      </c>
      <c r="GX20" s="609">
        <f t="shared" si="182"/>
        <v>0</v>
      </c>
      <c r="GY20" s="609">
        <f t="shared" si="183"/>
        <v>0</v>
      </c>
      <c r="GZ20" s="609">
        <f t="shared" si="184"/>
        <v>0</v>
      </c>
      <c r="HA20" s="609">
        <f t="shared" si="185"/>
        <v>0</v>
      </c>
      <c r="HB20" s="609">
        <f t="shared" si="186"/>
        <v>400</v>
      </c>
      <c r="HC20" s="609">
        <f t="shared" si="187"/>
        <v>10850</v>
      </c>
      <c r="HD20" s="640">
        <f t="shared" si="240"/>
        <v>483700</v>
      </c>
      <c r="HE20" s="640">
        <f t="shared" si="241"/>
        <v>9442450</v>
      </c>
      <c r="HG20" s="609">
        <f t="shared" si="188"/>
        <v>0</v>
      </c>
      <c r="HH20" s="609">
        <f t="shared" si="189"/>
        <v>0</v>
      </c>
      <c r="HI20" s="609">
        <f t="shared" si="190"/>
        <v>0</v>
      </c>
      <c r="HJ20" s="609">
        <f t="shared" si="191"/>
        <v>0</v>
      </c>
      <c r="HK20" s="609">
        <f t="shared" si="192"/>
        <v>430600</v>
      </c>
      <c r="HL20" s="609">
        <f t="shared" si="193"/>
        <v>8337450</v>
      </c>
      <c r="HM20" s="609">
        <f t="shared" si="194"/>
        <v>0</v>
      </c>
      <c r="HN20" s="609">
        <f t="shared" si="195"/>
        <v>0</v>
      </c>
      <c r="HO20" s="609">
        <f t="shared" si="196"/>
        <v>0</v>
      </c>
      <c r="HP20" s="609">
        <f t="shared" si="197"/>
        <v>0</v>
      </c>
      <c r="HQ20" s="609">
        <f t="shared" si="198"/>
        <v>390</v>
      </c>
      <c r="HR20" s="609">
        <f t="shared" si="199"/>
        <v>11135</v>
      </c>
      <c r="HS20" s="640">
        <f t="shared" si="242"/>
        <v>430990</v>
      </c>
      <c r="HT20" s="640">
        <f t="shared" si="243"/>
        <v>8348585</v>
      </c>
      <c r="HV20" s="609">
        <f t="shared" si="200"/>
        <v>0</v>
      </c>
      <c r="HW20" s="609">
        <f t="shared" si="201"/>
        <v>0</v>
      </c>
      <c r="HX20" s="609">
        <f t="shared" si="202"/>
        <v>0</v>
      </c>
      <c r="HY20" s="609">
        <f t="shared" si="203"/>
        <v>0</v>
      </c>
      <c r="HZ20" s="609">
        <f t="shared" si="204"/>
        <v>461600</v>
      </c>
      <c r="IA20" s="609">
        <f t="shared" si="205"/>
        <v>8880150</v>
      </c>
      <c r="IB20" s="609">
        <f t="shared" si="206"/>
        <v>0</v>
      </c>
      <c r="IC20" s="609">
        <f t="shared" si="207"/>
        <v>0</v>
      </c>
      <c r="ID20" s="609">
        <f t="shared" si="208"/>
        <v>0</v>
      </c>
      <c r="IE20" s="609">
        <f t="shared" si="209"/>
        <v>0</v>
      </c>
      <c r="IF20" s="609">
        <f t="shared" si="210"/>
        <v>410</v>
      </c>
      <c r="IG20" s="609">
        <f t="shared" si="211"/>
        <v>11445</v>
      </c>
      <c r="IH20" s="640">
        <f t="shared" si="244"/>
        <v>462010</v>
      </c>
      <c r="II20" s="640">
        <f t="shared" si="245"/>
        <v>8891595</v>
      </c>
    </row>
    <row r="21" spans="1:243">
      <c r="A21" s="484" t="s">
        <v>118</v>
      </c>
      <c r="B21" s="484">
        <f t="shared" si="212"/>
        <v>13264300</v>
      </c>
      <c r="C21" s="484">
        <f t="shared" si="213"/>
        <v>335643000</v>
      </c>
      <c r="D21" s="87">
        <f>'P &amp; NP'!HC13</f>
        <v>0</v>
      </c>
      <c r="E21" s="87">
        <f>'P &amp; NP'!HD13</f>
        <v>0</v>
      </c>
      <c r="F21" s="87">
        <f>'P &amp; NP'!HE13</f>
        <v>120000</v>
      </c>
      <c r="G21" s="87">
        <f>'P &amp; NP'!HF13</f>
        <v>6480000</v>
      </c>
      <c r="H21" s="87">
        <f>'P &amp; NP'!HG13</f>
        <v>0</v>
      </c>
      <c r="I21" s="87">
        <f>'P &amp; NP'!HH13</f>
        <v>0</v>
      </c>
      <c r="J21" s="87">
        <f>'P &amp; NP'!HI13</f>
        <v>613000</v>
      </c>
      <c r="K21" s="87">
        <f>'P &amp; NP'!HJ13</f>
        <v>10292500</v>
      </c>
      <c r="L21" s="87">
        <f>'P &amp; NP'!HK13</f>
        <v>0</v>
      </c>
      <c r="M21" s="87">
        <f>'P &amp; NP'!HL13</f>
        <v>0</v>
      </c>
      <c r="N21" s="87">
        <f>'P &amp; NP'!HM13</f>
        <v>0</v>
      </c>
      <c r="O21" s="87">
        <f>'P &amp; NP'!HN13</f>
        <v>0</v>
      </c>
      <c r="P21" s="87">
        <f>'P &amp; NP'!HO13</f>
        <v>600000</v>
      </c>
      <c r="Q21" s="87">
        <f>'P &amp; NP'!HP13</f>
        <v>13800000</v>
      </c>
      <c r="R21" s="92">
        <f t="shared" si="214"/>
        <v>1333000</v>
      </c>
      <c r="S21" s="92">
        <f t="shared" si="215"/>
        <v>30572500</v>
      </c>
      <c r="T21" s="87">
        <f>'P &amp; NP'!HC51</f>
        <v>0</v>
      </c>
      <c r="U21" s="87">
        <f>'P &amp; NP'!HD51</f>
        <v>0</v>
      </c>
      <c r="V21" s="87">
        <f>'P &amp; NP'!HE51</f>
        <v>105000</v>
      </c>
      <c r="W21" s="87">
        <f>'P &amp; NP'!HF51</f>
        <v>5670000</v>
      </c>
      <c r="X21" s="87">
        <f>'P &amp; NP'!HG51</f>
        <v>0</v>
      </c>
      <c r="Y21" s="87">
        <f>'P &amp; NP'!HH51</f>
        <v>0</v>
      </c>
      <c r="Z21" s="87">
        <f>'P &amp; NP'!HI51</f>
        <v>555300</v>
      </c>
      <c r="AA21" s="87">
        <f>'P &amp; NP'!HJ51</f>
        <v>9300000</v>
      </c>
      <c r="AB21" s="87">
        <f>'P &amp; NP'!HK51</f>
        <v>0</v>
      </c>
      <c r="AC21" s="87">
        <f>'P &amp; NP'!HL51</f>
        <v>0</v>
      </c>
      <c r="AD21" s="87">
        <f>'P &amp; NP'!HM51</f>
        <v>0</v>
      </c>
      <c r="AE21" s="87">
        <f>'P &amp; NP'!HN51</f>
        <v>0</v>
      </c>
      <c r="AF21" s="87">
        <f>'P &amp; NP'!HO51</f>
        <v>550000</v>
      </c>
      <c r="AG21" s="87">
        <f>'P &amp; NP'!HP51</f>
        <v>12650000</v>
      </c>
      <c r="AH21" s="92">
        <f t="shared" si="216"/>
        <v>1210300</v>
      </c>
      <c r="AI21" s="92">
        <f t="shared" si="217"/>
        <v>27620000</v>
      </c>
      <c r="AJ21" s="87">
        <f>'P &amp; NP'!HC89</f>
        <v>0</v>
      </c>
      <c r="AK21" s="87">
        <f>'P &amp; NP'!HD89</f>
        <v>0</v>
      </c>
      <c r="AL21" s="87">
        <f>'P &amp; NP'!HE89</f>
        <v>85000</v>
      </c>
      <c r="AM21" s="87">
        <f>'P &amp; NP'!HF89</f>
        <v>4675000</v>
      </c>
      <c r="AN21" s="87">
        <f>'P &amp; NP'!HG89</f>
        <v>0</v>
      </c>
      <c r="AO21" s="87">
        <f>'P &amp; NP'!HH89</f>
        <v>0</v>
      </c>
      <c r="AP21" s="87">
        <f>'P &amp; NP'!HI89</f>
        <v>693000</v>
      </c>
      <c r="AQ21" s="87">
        <f>'P &amp; NP'!HJ89</f>
        <v>13025000</v>
      </c>
      <c r="AR21" s="87">
        <f>'P &amp; NP'!HK89</f>
        <v>0</v>
      </c>
      <c r="AS21" s="87">
        <f>'P &amp; NP'!HL89</f>
        <v>0</v>
      </c>
      <c r="AT21" s="87">
        <f>'P &amp; NP'!HM89</f>
        <v>0</v>
      </c>
      <c r="AU21" s="87">
        <f>'P &amp; NP'!HN89</f>
        <v>0</v>
      </c>
      <c r="AV21" s="87">
        <f>'P &amp; NP'!HO89</f>
        <v>500000</v>
      </c>
      <c r="AW21" s="87">
        <f>'P &amp; NP'!HP89</f>
        <v>11500000</v>
      </c>
      <c r="AX21" s="92">
        <f t="shared" si="218"/>
        <v>1278000</v>
      </c>
      <c r="AY21" s="92">
        <f t="shared" si="219"/>
        <v>29200000</v>
      </c>
      <c r="AZ21" s="87">
        <f>'P &amp; NP'!HC127</f>
        <v>0</v>
      </c>
      <c r="BA21" s="87">
        <f>'P &amp; NP'!HD127</f>
        <v>0</v>
      </c>
      <c r="BB21" s="87">
        <f>'P &amp; NP'!HE127</f>
        <v>250000</v>
      </c>
      <c r="BC21" s="87">
        <f>'P &amp; NP'!HF127</f>
        <v>13750000</v>
      </c>
      <c r="BD21" s="87">
        <f>'P &amp; NP'!HG127</f>
        <v>0</v>
      </c>
      <c r="BE21" s="87">
        <f>'P &amp; NP'!HH127</f>
        <v>0</v>
      </c>
      <c r="BF21" s="87">
        <f>'P &amp; NP'!HI127</f>
        <v>629500</v>
      </c>
      <c r="BG21" s="87">
        <f>'P &amp; NP'!HJ127</f>
        <v>11792500</v>
      </c>
      <c r="BH21" s="87">
        <f>'P &amp; NP'!HK127</f>
        <v>0</v>
      </c>
      <c r="BI21" s="87">
        <f>'P &amp; NP'!HL127</f>
        <v>0</v>
      </c>
      <c r="BJ21" s="87">
        <f>'P &amp; NP'!HM127</f>
        <v>0</v>
      </c>
      <c r="BK21" s="87">
        <f>'P &amp; NP'!HN127</f>
        <v>0</v>
      </c>
      <c r="BL21" s="87">
        <f>'P &amp; NP'!HO127</f>
        <v>470000</v>
      </c>
      <c r="BM21" s="87">
        <f>'P &amp; NP'!HP127</f>
        <v>10810000</v>
      </c>
      <c r="BN21" s="92">
        <f t="shared" si="220"/>
        <v>1349500</v>
      </c>
      <c r="BO21" s="92">
        <f t="shared" si="221"/>
        <v>36352500</v>
      </c>
      <c r="BP21" s="87">
        <f>'P &amp; NP'!HC165</f>
        <v>0</v>
      </c>
      <c r="BQ21" s="87">
        <f>'P &amp; NP'!HD165</f>
        <v>0</v>
      </c>
      <c r="BR21" s="87">
        <f>'P &amp; NP'!HE165</f>
        <v>75000</v>
      </c>
      <c r="BS21" s="87">
        <f>'P &amp; NP'!HF165</f>
        <v>4350000</v>
      </c>
      <c r="BT21" s="87">
        <f>'P &amp; NP'!HG165</f>
        <v>0</v>
      </c>
      <c r="BU21" s="87">
        <f>'P &amp; NP'!HH165</f>
        <v>0</v>
      </c>
      <c r="BV21" s="87">
        <f>'P &amp; NP'!HI165</f>
        <v>550000</v>
      </c>
      <c r="BW21" s="87">
        <f>'P &amp; NP'!HJ165</f>
        <v>10185000</v>
      </c>
      <c r="BX21" s="87">
        <f>'P &amp; NP'!HK165</f>
        <v>0</v>
      </c>
      <c r="BY21" s="87">
        <f>'P &amp; NP'!HL165</f>
        <v>0</v>
      </c>
      <c r="BZ21" s="87">
        <f>'P &amp; NP'!HM165</f>
        <v>0</v>
      </c>
      <c r="CA21" s="87">
        <f>'P &amp; NP'!HN165</f>
        <v>0</v>
      </c>
      <c r="CB21" s="87">
        <f>'P &amp; NP'!HO165</f>
        <v>380000</v>
      </c>
      <c r="CC21" s="87">
        <f>'P &amp; NP'!HP165</f>
        <v>8740000</v>
      </c>
      <c r="CD21" s="92">
        <f t="shared" si="222"/>
        <v>1005000</v>
      </c>
      <c r="CE21" s="92">
        <f t="shared" si="223"/>
        <v>23275000</v>
      </c>
      <c r="CF21" s="87">
        <f>'P &amp; NP'!HC203</f>
        <v>0</v>
      </c>
      <c r="CG21" s="87">
        <f>'P &amp; NP'!HD203</f>
        <v>0</v>
      </c>
      <c r="CH21" s="87">
        <f>'P &amp; NP'!HE203</f>
        <v>110000</v>
      </c>
      <c r="CI21" s="87">
        <f>'P &amp; NP'!HF203</f>
        <v>7480000</v>
      </c>
      <c r="CJ21" s="87">
        <f>'P &amp; NP'!HG203</f>
        <v>0</v>
      </c>
      <c r="CK21" s="87">
        <f>'P &amp; NP'!HH203</f>
        <v>0</v>
      </c>
      <c r="CL21" s="87">
        <f>'P &amp; NP'!HI203</f>
        <v>607000</v>
      </c>
      <c r="CM21" s="87">
        <f>'P &amp; NP'!HJ203</f>
        <v>11154000</v>
      </c>
      <c r="CN21" s="87">
        <f>'P &amp; NP'!HK203</f>
        <v>0</v>
      </c>
      <c r="CO21" s="87">
        <f>'P &amp; NP'!HL203</f>
        <v>0</v>
      </c>
      <c r="CP21" s="87">
        <f>'P &amp; NP'!HM203</f>
        <v>0</v>
      </c>
      <c r="CQ21" s="87">
        <f>'P &amp; NP'!HN203</f>
        <v>0</v>
      </c>
      <c r="CR21" s="87">
        <f>'P &amp; NP'!HO203</f>
        <v>350000</v>
      </c>
      <c r="CS21" s="87">
        <f>'P &amp; NP'!HP203</f>
        <v>7700000</v>
      </c>
      <c r="CT21" s="92">
        <f t="shared" si="224"/>
        <v>1067000</v>
      </c>
      <c r="CU21" s="92">
        <f t="shared" si="225"/>
        <v>26334000</v>
      </c>
      <c r="CV21" s="87">
        <f>'P &amp; NP'!HC241</f>
        <v>0</v>
      </c>
      <c r="CW21" s="87">
        <f>'P &amp; NP'!HD241</f>
        <v>0</v>
      </c>
      <c r="CX21" s="87">
        <f>'P &amp; NP'!HE241</f>
        <v>85000</v>
      </c>
      <c r="CY21" s="87">
        <f>'P &amp; NP'!HF241</f>
        <v>5950000</v>
      </c>
      <c r="CZ21" s="87">
        <f>'P &amp; NP'!HI241</f>
        <v>509500</v>
      </c>
      <c r="DA21" s="87">
        <f>'P &amp; NP'!HJ241</f>
        <v>9310000</v>
      </c>
      <c r="DB21" s="87">
        <f>'P &amp; NP'!HK241</f>
        <v>0</v>
      </c>
      <c r="DC21" s="87">
        <f>'P &amp; NP'!HL241</f>
        <v>0</v>
      </c>
      <c r="DD21" s="87">
        <f>'P &amp; NP'!HM241</f>
        <v>0</v>
      </c>
      <c r="DE21" s="87">
        <f>'P &amp; NP'!HN241</f>
        <v>0</v>
      </c>
      <c r="DF21" s="87">
        <f>'P &amp; NP'!HO241</f>
        <v>100000</v>
      </c>
      <c r="DG21" s="87">
        <f>'P &amp; NP'!HP241</f>
        <v>2000000</v>
      </c>
      <c r="DH21" s="87">
        <f t="shared" si="226"/>
        <v>694500</v>
      </c>
      <c r="DI21" s="87">
        <f t="shared" si="227"/>
        <v>17260000</v>
      </c>
      <c r="DJ21" s="92">
        <f>'P &amp; NP'!HC279</f>
        <v>0</v>
      </c>
      <c r="DK21" s="92">
        <f>'P &amp; NP'!HD279</f>
        <v>0</v>
      </c>
      <c r="DL21" s="87">
        <f>'P &amp; NP'!HE279</f>
        <v>235000</v>
      </c>
      <c r="DM21" s="87">
        <f>'P &amp; NP'!HF279</f>
        <v>16450000</v>
      </c>
      <c r="DN21" s="87">
        <f>'P &amp; NP'!HI279</f>
        <v>556000</v>
      </c>
      <c r="DO21" s="87">
        <f>'P &amp; NP'!HJ279</f>
        <v>10172500</v>
      </c>
      <c r="DP21" s="87">
        <f>'P &amp; NP'!HK279</f>
        <v>0</v>
      </c>
      <c r="DQ21" s="87">
        <f>'P &amp; NP'!HL279</f>
        <v>0</v>
      </c>
      <c r="DR21" s="87">
        <f>'P &amp; NP'!HM279</f>
        <v>0</v>
      </c>
      <c r="DS21" s="87">
        <f>'P &amp; NP'!HN279</f>
        <v>0</v>
      </c>
      <c r="DT21" s="87">
        <f>'P &amp; NP'!HO279</f>
        <v>90000</v>
      </c>
      <c r="DU21" s="87">
        <f>'P &amp; NP'!HP279</f>
        <v>1800000</v>
      </c>
      <c r="DV21" s="87">
        <f t="shared" si="228"/>
        <v>881000</v>
      </c>
      <c r="DW21" s="87">
        <f t="shared" si="229"/>
        <v>28422500</v>
      </c>
      <c r="DX21" s="87">
        <f>'P &amp; NP'!HC317</f>
        <v>0</v>
      </c>
      <c r="DY21" s="87">
        <f>'P &amp; NP'!HD317</f>
        <v>0</v>
      </c>
      <c r="DZ21" s="92">
        <f>'P &amp; NP'!HE317</f>
        <v>105000</v>
      </c>
      <c r="EA21" s="92">
        <f>'P &amp; NP'!HF317</f>
        <v>7350000</v>
      </c>
      <c r="EB21" s="87">
        <f>'P &amp; NP'!HI317</f>
        <v>616500</v>
      </c>
      <c r="EC21" s="87">
        <f>'P &amp; NP'!HJ317</f>
        <v>11287500</v>
      </c>
      <c r="ED21" s="87">
        <f>'P &amp; NP'!HK317</f>
        <v>0</v>
      </c>
      <c r="EE21" s="87">
        <f>'P &amp; NP'!HL317</f>
        <v>0</v>
      </c>
      <c r="EF21" s="87">
        <f>'P &amp; NP'!HM317</f>
        <v>0</v>
      </c>
      <c r="EG21" s="87">
        <f>'P &amp; NP'!HN317</f>
        <v>0</v>
      </c>
      <c r="EH21" s="87">
        <f>'P &amp; NP'!HO317</f>
        <v>120000</v>
      </c>
      <c r="EI21" s="87">
        <f>'P &amp; NP'!HP317</f>
        <v>2400000</v>
      </c>
      <c r="EJ21" s="87">
        <f t="shared" si="230"/>
        <v>841500</v>
      </c>
      <c r="EK21" s="87">
        <f t="shared" si="231"/>
        <v>21037500</v>
      </c>
      <c r="EL21" s="87">
        <f>'P &amp; NP'!HC355</f>
        <v>0</v>
      </c>
      <c r="EM21" s="87">
        <f>'P &amp; NP'!HD355</f>
        <v>0</v>
      </c>
      <c r="EN21" s="87">
        <f>'P &amp; NP'!HE355</f>
        <v>90000</v>
      </c>
      <c r="EO21" s="87">
        <f>'P &amp; NP'!HF355</f>
        <v>6660000</v>
      </c>
      <c r="EP21" s="92">
        <f>'P &amp; NP'!HI355</f>
        <v>672000</v>
      </c>
      <c r="EQ21" s="92">
        <f>'P &amp; NP'!HJ355</f>
        <v>12548000</v>
      </c>
      <c r="ER21" s="87">
        <f>'P &amp; NP'!HK355</f>
        <v>0</v>
      </c>
      <c r="ES21" s="87">
        <f>'P &amp; NP'!HL355</f>
        <v>0</v>
      </c>
      <c r="ET21" s="87">
        <f>'P &amp; NP'!HM355</f>
        <v>0</v>
      </c>
      <c r="EU21" s="87">
        <f>'P &amp; NP'!HN355</f>
        <v>0</v>
      </c>
      <c r="EV21" s="87">
        <f>'P &amp; NP'!HO355</f>
        <v>150000</v>
      </c>
      <c r="EW21" s="87">
        <f>'P &amp; NP'!HP355</f>
        <v>3450000</v>
      </c>
      <c r="EX21" s="87">
        <f t="shared" si="232"/>
        <v>912000</v>
      </c>
      <c r="EY21" s="87">
        <f t="shared" si="233"/>
        <v>22658000</v>
      </c>
      <c r="EZ21" s="87">
        <f>'P &amp; NP'!HC393</f>
        <v>0</v>
      </c>
      <c r="FA21" s="87">
        <f>'P &amp; NP'!HD393</f>
        <v>0</v>
      </c>
      <c r="FB21" s="87">
        <f>'P &amp; NP'!HE393</f>
        <v>180000</v>
      </c>
      <c r="FC21" s="87">
        <f>'P &amp; NP'!HF393</f>
        <v>13320000</v>
      </c>
      <c r="FD21" s="87">
        <f>'P &amp; NP'!HI393</f>
        <v>664000</v>
      </c>
      <c r="FE21" s="87">
        <f>'P &amp; NP'!HJ393</f>
        <v>12471000</v>
      </c>
      <c r="FF21" s="92">
        <f>'P &amp; NP'!HK393</f>
        <v>0</v>
      </c>
      <c r="FG21" s="92">
        <f>'P &amp; NP'!HL393</f>
        <v>0</v>
      </c>
      <c r="FH21" s="87">
        <f>'P &amp; NP'!HM393</f>
        <v>0</v>
      </c>
      <c r="FI21" s="87">
        <f>'P &amp; NP'!HN393</f>
        <v>0</v>
      </c>
      <c r="FJ21" s="87">
        <f>'P &amp; NP'!HO393</f>
        <v>300000</v>
      </c>
      <c r="FK21" s="87">
        <f>'P &amp; NP'!HP393</f>
        <v>6900000</v>
      </c>
      <c r="FL21" s="87">
        <f t="shared" si="234"/>
        <v>1144000</v>
      </c>
      <c r="FM21" s="87">
        <f t="shared" si="235"/>
        <v>32691000</v>
      </c>
      <c r="FN21" s="87">
        <f>'P &amp; NP'!HC431</f>
        <v>0</v>
      </c>
      <c r="FO21" s="87">
        <f>'P &amp; NP'!HD431</f>
        <v>0</v>
      </c>
      <c r="FP21" s="87">
        <f>'P &amp; NP'!HE431</f>
        <v>200000</v>
      </c>
      <c r="FQ21" s="87">
        <f>'P &amp; NP'!HF431</f>
        <v>12000000</v>
      </c>
      <c r="FR21" s="87">
        <f>'P &amp; NP'!HI431</f>
        <v>698500</v>
      </c>
      <c r="FS21" s="87">
        <f>'P &amp; NP'!HJ431</f>
        <v>13270000</v>
      </c>
      <c r="FT21" s="87">
        <f>'P &amp; NP'!HK431</f>
        <v>0</v>
      </c>
      <c r="FU21" s="87">
        <f>'P &amp; NP'!HL431</f>
        <v>0</v>
      </c>
      <c r="FV21" s="92">
        <f>'P &amp; NP'!HM431</f>
        <v>0</v>
      </c>
      <c r="FW21" s="92">
        <f>'P &amp; NP'!HN431</f>
        <v>0</v>
      </c>
      <c r="FX21" s="87">
        <f>'P &amp; NP'!HO431</f>
        <v>650000</v>
      </c>
      <c r="FY21" s="87">
        <f>'P &amp; NP'!HP431</f>
        <v>14950000</v>
      </c>
      <c r="FZ21" s="87">
        <f t="shared" si="236"/>
        <v>1548500</v>
      </c>
      <c r="GA21" s="87">
        <f t="shared" si="237"/>
        <v>40220000</v>
      </c>
      <c r="GC21" s="609">
        <f t="shared" si="164"/>
        <v>0</v>
      </c>
      <c r="GD21" s="609">
        <f t="shared" si="165"/>
        <v>0</v>
      </c>
      <c r="GE21" s="609">
        <f t="shared" si="166"/>
        <v>310000</v>
      </c>
      <c r="GF21" s="609">
        <f t="shared" si="167"/>
        <v>16825000</v>
      </c>
      <c r="GG21" s="609">
        <f t="shared" si="168"/>
        <v>1861300</v>
      </c>
      <c r="GH21" s="609">
        <f t="shared" si="169"/>
        <v>32617500</v>
      </c>
      <c r="GI21" s="609">
        <f t="shared" si="170"/>
        <v>0</v>
      </c>
      <c r="GJ21" s="609">
        <f t="shared" si="171"/>
        <v>0</v>
      </c>
      <c r="GK21" s="609">
        <f t="shared" si="172"/>
        <v>0</v>
      </c>
      <c r="GL21" s="609">
        <f t="shared" si="173"/>
        <v>0</v>
      </c>
      <c r="GM21" s="609">
        <f t="shared" si="174"/>
        <v>1650000</v>
      </c>
      <c r="GN21" s="609">
        <f t="shared" si="175"/>
        <v>37950000</v>
      </c>
      <c r="GO21" s="640">
        <f t="shared" si="238"/>
        <v>3821300</v>
      </c>
      <c r="GP21" s="640">
        <f t="shared" si="239"/>
        <v>87392500</v>
      </c>
      <c r="GR21" s="609">
        <f t="shared" si="176"/>
        <v>0</v>
      </c>
      <c r="GS21" s="609">
        <f t="shared" si="177"/>
        <v>0</v>
      </c>
      <c r="GT21" s="609">
        <f t="shared" si="178"/>
        <v>435000</v>
      </c>
      <c r="GU21" s="609">
        <f t="shared" si="179"/>
        <v>25580000</v>
      </c>
      <c r="GV21" s="609">
        <f t="shared" si="180"/>
        <v>1786500</v>
      </c>
      <c r="GW21" s="609">
        <f t="shared" si="181"/>
        <v>33131500</v>
      </c>
      <c r="GX21" s="609">
        <f t="shared" si="182"/>
        <v>0</v>
      </c>
      <c r="GY21" s="609">
        <f t="shared" si="183"/>
        <v>0</v>
      </c>
      <c r="GZ21" s="609">
        <f t="shared" si="184"/>
        <v>0</v>
      </c>
      <c r="HA21" s="609">
        <f t="shared" si="185"/>
        <v>0</v>
      </c>
      <c r="HB21" s="609">
        <f t="shared" si="186"/>
        <v>1200000</v>
      </c>
      <c r="HC21" s="609">
        <f t="shared" si="187"/>
        <v>27250000</v>
      </c>
      <c r="HD21" s="640">
        <f t="shared" si="240"/>
        <v>3421500</v>
      </c>
      <c r="HE21" s="640">
        <f t="shared" si="241"/>
        <v>85961500</v>
      </c>
      <c r="HG21" s="609">
        <f t="shared" si="188"/>
        <v>0</v>
      </c>
      <c r="HH21" s="609">
        <f t="shared" si="189"/>
        <v>0</v>
      </c>
      <c r="HI21" s="609">
        <f t="shared" si="190"/>
        <v>425000</v>
      </c>
      <c r="HJ21" s="609">
        <f t="shared" si="191"/>
        <v>29750000</v>
      </c>
      <c r="HK21" s="609">
        <f t="shared" si="192"/>
        <v>1682000</v>
      </c>
      <c r="HL21" s="609">
        <f t="shared" si="193"/>
        <v>30770000</v>
      </c>
      <c r="HM21" s="609">
        <f t="shared" si="194"/>
        <v>0</v>
      </c>
      <c r="HN21" s="609">
        <f t="shared" si="195"/>
        <v>0</v>
      </c>
      <c r="HO21" s="609">
        <f t="shared" si="196"/>
        <v>0</v>
      </c>
      <c r="HP21" s="609">
        <f t="shared" si="197"/>
        <v>0</v>
      </c>
      <c r="HQ21" s="609">
        <f t="shared" si="198"/>
        <v>310000</v>
      </c>
      <c r="HR21" s="609">
        <f t="shared" si="199"/>
        <v>6200000</v>
      </c>
      <c r="HS21" s="640">
        <f t="shared" si="242"/>
        <v>2417000</v>
      </c>
      <c r="HT21" s="640">
        <f t="shared" si="243"/>
        <v>66720000</v>
      </c>
      <c r="HV21" s="609">
        <f t="shared" si="200"/>
        <v>0</v>
      </c>
      <c r="HW21" s="609">
        <f t="shared" si="201"/>
        <v>0</v>
      </c>
      <c r="HX21" s="609">
        <f t="shared" si="202"/>
        <v>470000</v>
      </c>
      <c r="HY21" s="609">
        <f t="shared" si="203"/>
        <v>31980000</v>
      </c>
      <c r="HZ21" s="609">
        <f t="shared" si="204"/>
        <v>2034500</v>
      </c>
      <c r="IA21" s="609">
        <f t="shared" si="205"/>
        <v>38289000</v>
      </c>
      <c r="IB21" s="609">
        <f t="shared" si="206"/>
        <v>0</v>
      </c>
      <c r="IC21" s="609">
        <f t="shared" si="207"/>
        <v>0</v>
      </c>
      <c r="ID21" s="609">
        <f t="shared" si="208"/>
        <v>0</v>
      </c>
      <c r="IE21" s="609">
        <f t="shared" si="209"/>
        <v>0</v>
      </c>
      <c r="IF21" s="609">
        <f t="shared" si="210"/>
        <v>1100000</v>
      </c>
      <c r="IG21" s="609">
        <f t="shared" si="211"/>
        <v>25300000</v>
      </c>
      <c r="IH21" s="640">
        <f t="shared" si="244"/>
        <v>3604500</v>
      </c>
      <c r="II21" s="640">
        <f t="shared" si="245"/>
        <v>95569000</v>
      </c>
    </row>
    <row r="22" spans="1:243">
      <c r="A22" s="484" t="s">
        <v>127</v>
      </c>
      <c r="B22" s="484">
        <f t="shared" si="212"/>
        <v>1816618</v>
      </c>
      <c r="C22" s="484">
        <f t="shared" si="213"/>
        <v>34987300</v>
      </c>
      <c r="D22" s="87">
        <f>'P &amp; NP'!HS13</f>
        <v>0</v>
      </c>
      <c r="E22" s="87">
        <f>'P &amp; NP'!HT13</f>
        <v>0</v>
      </c>
      <c r="F22" s="87">
        <f>'P &amp; NP'!HU13</f>
        <v>0</v>
      </c>
      <c r="G22" s="87">
        <f>'P &amp; NP'!HV13</f>
        <v>0</v>
      </c>
      <c r="H22" s="87">
        <f>'P &amp; NP'!HW13</f>
        <v>0</v>
      </c>
      <c r="I22" s="87">
        <f>'P &amp; NP'!HX13</f>
        <v>0</v>
      </c>
      <c r="J22" s="87">
        <f>'P &amp; NP'!HY13</f>
        <v>146300</v>
      </c>
      <c r="K22" s="87">
        <f>'P &amp; NP'!HZ13</f>
        <v>3203500</v>
      </c>
      <c r="L22" s="87">
        <f>'P &amp; NP'!IA13</f>
        <v>0</v>
      </c>
      <c r="M22" s="87">
        <f>'P &amp; NP'!IB13</f>
        <v>0</v>
      </c>
      <c r="N22" s="87">
        <f>'P &amp; NP'!IC13</f>
        <v>0</v>
      </c>
      <c r="O22" s="87">
        <f>'P &amp; NP'!ID13</f>
        <v>0</v>
      </c>
      <c r="P22" s="87">
        <f>'P &amp; NP'!IE13</f>
        <v>0</v>
      </c>
      <c r="Q22" s="87">
        <f>'P &amp; NP'!IF13</f>
        <v>0</v>
      </c>
      <c r="R22" s="92">
        <f t="shared" si="214"/>
        <v>146300</v>
      </c>
      <c r="S22" s="92">
        <f t="shared" si="215"/>
        <v>3203500</v>
      </c>
      <c r="T22" s="87">
        <f>'P &amp; NP'!HS51</f>
        <v>0</v>
      </c>
      <c r="U22" s="87">
        <f>'P &amp; NP'!HT51</f>
        <v>0</v>
      </c>
      <c r="V22" s="87">
        <f>'P &amp; NP'!HU51</f>
        <v>0</v>
      </c>
      <c r="W22" s="87">
        <f>'P &amp; NP'!HV51</f>
        <v>0</v>
      </c>
      <c r="X22" s="87">
        <f>'P &amp; NP'!HW51</f>
        <v>0</v>
      </c>
      <c r="Y22" s="87">
        <f>'P &amp; NP'!HX51</f>
        <v>0</v>
      </c>
      <c r="Z22" s="87">
        <f>'P &amp; NP'!HY51</f>
        <v>148250</v>
      </c>
      <c r="AA22" s="87">
        <f>'P &amp; NP'!HZ51</f>
        <v>3000550</v>
      </c>
      <c r="AB22" s="87">
        <f>'P &amp; NP'!IA51</f>
        <v>0</v>
      </c>
      <c r="AC22" s="87">
        <f>'P &amp; NP'!IB51</f>
        <v>0</v>
      </c>
      <c r="AD22" s="87">
        <f>'P &amp; NP'!IC51</f>
        <v>600</v>
      </c>
      <c r="AE22" s="87">
        <f>'P &amp; NP'!ID51</f>
        <v>15000</v>
      </c>
      <c r="AF22" s="87">
        <f>'P &amp; NP'!IE51</f>
        <v>0</v>
      </c>
      <c r="AG22" s="87">
        <f>'P &amp; NP'!IF51</f>
        <v>0</v>
      </c>
      <c r="AH22" s="92">
        <f t="shared" si="216"/>
        <v>148850</v>
      </c>
      <c r="AI22" s="92">
        <f t="shared" si="217"/>
        <v>3015550</v>
      </c>
      <c r="AJ22" s="87">
        <f>'P &amp; NP'!HS89</f>
        <v>0</v>
      </c>
      <c r="AK22" s="87">
        <f>'P &amp; NP'!HT89</f>
        <v>0</v>
      </c>
      <c r="AL22" s="87">
        <f>'P &amp; NP'!HU89</f>
        <v>0</v>
      </c>
      <c r="AM22" s="87">
        <f>'P &amp; NP'!HV89</f>
        <v>0</v>
      </c>
      <c r="AN22" s="87">
        <f>'P &amp; NP'!HW89</f>
        <v>0</v>
      </c>
      <c r="AO22" s="87">
        <f>'P &amp; NP'!HX89</f>
        <v>0</v>
      </c>
      <c r="AP22" s="87">
        <f>'P &amp; NP'!HY89</f>
        <v>165350</v>
      </c>
      <c r="AQ22" s="87">
        <f>'P &amp; NP'!HZ89</f>
        <v>3344380</v>
      </c>
      <c r="AR22" s="87">
        <f>'P &amp; NP'!IA89</f>
        <v>0</v>
      </c>
      <c r="AS22" s="87">
        <f>'P &amp; NP'!IB89</f>
        <v>0</v>
      </c>
      <c r="AT22" s="87">
        <f>'P &amp; NP'!IC89</f>
        <v>0</v>
      </c>
      <c r="AU22" s="87">
        <f>'P &amp; NP'!ID89</f>
        <v>0</v>
      </c>
      <c r="AV22" s="87">
        <f>'P &amp; NP'!IE89</f>
        <v>0</v>
      </c>
      <c r="AW22" s="87">
        <f>'P &amp; NP'!IF89</f>
        <v>0</v>
      </c>
      <c r="AX22" s="92">
        <f t="shared" si="218"/>
        <v>165350</v>
      </c>
      <c r="AY22" s="92">
        <f t="shared" si="219"/>
        <v>3344380</v>
      </c>
      <c r="AZ22" s="87">
        <f>'P &amp; NP'!HS127</f>
        <v>0</v>
      </c>
      <c r="BA22" s="87">
        <f>'P &amp; NP'!HT127</f>
        <v>0</v>
      </c>
      <c r="BB22" s="87">
        <f>'P &amp; NP'!HU127</f>
        <v>0</v>
      </c>
      <c r="BC22" s="87">
        <f>'P &amp; NP'!HV127</f>
        <v>0</v>
      </c>
      <c r="BD22" s="87">
        <f>'P &amp; NP'!HW127</f>
        <v>0</v>
      </c>
      <c r="BE22" s="87">
        <f>'P &amp; NP'!HX127</f>
        <v>0</v>
      </c>
      <c r="BF22" s="87">
        <f>'P &amp; NP'!HY127</f>
        <v>152450</v>
      </c>
      <c r="BG22" s="87">
        <f>'P &amp; NP'!HZ127</f>
        <v>2915950</v>
      </c>
      <c r="BH22" s="87">
        <f>'P &amp; NP'!IA127</f>
        <v>0</v>
      </c>
      <c r="BI22" s="87">
        <f>'P &amp; NP'!IB127</f>
        <v>0</v>
      </c>
      <c r="BJ22" s="87">
        <f>'P &amp; NP'!IC127</f>
        <v>400</v>
      </c>
      <c r="BK22" s="87">
        <f>'P &amp; NP'!ID127</f>
        <v>8000</v>
      </c>
      <c r="BL22" s="87">
        <f>'P &amp; NP'!IE127</f>
        <v>0</v>
      </c>
      <c r="BM22" s="87">
        <f>'P &amp; NP'!IF127</f>
        <v>0</v>
      </c>
      <c r="BN22" s="92">
        <f t="shared" si="220"/>
        <v>152850</v>
      </c>
      <c r="BO22" s="92">
        <f t="shared" si="221"/>
        <v>2923950</v>
      </c>
      <c r="BP22" s="87">
        <f>'P &amp; NP'!HS165</f>
        <v>0</v>
      </c>
      <c r="BQ22" s="87">
        <f>'P &amp; NP'!HT165</f>
        <v>0</v>
      </c>
      <c r="BR22" s="87">
        <f>'P &amp; NP'!HU165</f>
        <v>0</v>
      </c>
      <c r="BS22" s="87">
        <f>'P &amp; NP'!HV165</f>
        <v>0</v>
      </c>
      <c r="BT22" s="87">
        <f>'P &amp; NP'!HW165</f>
        <v>0</v>
      </c>
      <c r="BU22" s="87">
        <f>'P &amp; NP'!HX165</f>
        <v>0</v>
      </c>
      <c r="BV22" s="87">
        <f>'P &amp; NP'!HY165</f>
        <v>145230</v>
      </c>
      <c r="BW22" s="87">
        <f>'P &amp; NP'!HZ165</f>
        <v>2704660</v>
      </c>
      <c r="BX22" s="87">
        <f>'P &amp; NP'!IA165</f>
        <v>0</v>
      </c>
      <c r="BY22" s="87">
        <f>'P &amp; NP'!IB165</f>
        <v>0</v>
      </c>
      <c r="BZ22" s="87">
        <f>'P &amp; NP'!IC165</f>
        <v>0</v>
      </c>
      <c r="CA22" s="87">
        <f>'P &amp; NP'!ID165</f>
        <v>0</v>
      </c>
      <c r="CB22" s="87">
        <f>'P &amp; NP'!IE165</f>
        <v>0</v>
      </c>
      <c r="CC22" s="87">
        <f>'P &amp; NP'!IF165</f>
        <v>0</v>
      </c>
      <c r="CD22" s="92">
        <f t="shared" si="222"/>
        <v>145230</v>
      </c>
      <c r="CE22" s="92">
        <f t="shared" si="223"/>
        <v>2704660</v>
      </c>
      <c r="CF22" s="87">
        <f>'P &amp; NP'!HS203</f>
        <v>0</v>
      </c>
      <c r="CG22" s="87">
        <f>'P &amp; NP'!HT203</f>
        <v>0</v>
      </c>
      <c r="CH22" s="87">
        <f>'P &amp; NP'!HU203</f>
        <v>0</v>
      </c>
      <c r="CI22" s="87">
        <f>'P &amp; NP'!HV203</f>
        <v>0</v>
      </c>
      <c r="CJ22" s="87">
        <f>'P &amp; NP'!HW203</f>
        <v>0</v>
      </c>
      <c r="CK22" s="87">
        <f>'P &amp; NP'!HX203</f>
        <v>0</v>
      </c>
      <c r="CL22" s="87">
        <f>'P &amp; NP'!HY203</f>
        <v>146480</v>
      </c>
      <c r="CM22" s="87">
        <f>'P &amp; NP'!HZ203</f>
        <v>2671646</v>
      </c>
      <c r="CN22" s="87">
        <f>'P &amp; NP'!IA203</f>
        <v>0</v>
      </c>
      <c r="CO22" s="87">
        <f>'P &amp; NP'!IB203</f>
        <v>0</v>
      </c>
      <c r="CP22" s="87">
        <f>'P &amp; NP'!IC203</f>
        <v>0</v>
      </c>
      <c r="CQ22" s="87">
        <f>'P &amp; NP'!ID203</f>
        <v>0</v>
      </c>
      <c r="CR22" s="87">
        <f>'P &amp; NP'!IE203</f>
        <v>1200</v>
      </c>
      <c r="CS22" s="87">
        <f>'P &amp; NP'!IF203</f>
        <v>24000</v>
      </c>
      <c r="CT22" s="92">
        <f t="shared" si="224"/>
        <v>147680</v>
      </c>
      <c r="CU22" s="92">
        <f t="shared" si="225"/>
        <v>2695646</v>
      </c>
      <c r="CV22" s="87">
        <f>'P &amp; NP'!HS241</f>
        <v>0</v>
      </c>
      <c r="CW22" s="87">
        <f>'P &amp; NP'!HT241</f>
        <v>0</v>
      </c>
      <c r="CX22" s="87">
        <f>'P &amp; NP'!HU241</f>
        <v>0</v>
      </c>
      <c r="CY22" s="87">
        <f>'P &amp; NP'!HV241</f>
        <v>0</v>
      </c>
      <c r="CZ22" s="87">
        <f>'P &amp; NP'!HY241</f>
        <v>149073</v>
      </c>
      <c r="DA22" s="87">
        <f>'P &amp; NP'!HZ241</f>
        <v>2833614</v>
      </c>
      <c r="DB22" s="87">
        <f>'P &amp; NP'!IA241</f>
        <v>0</v>
      </c>
      <c r="DC22" s="87">
        <f>'P &amp; NP'!IB241</f>
        <v>0</v>
      </c>
      <c r="DD22" s="87">
        <f>'P &amp; NP'!IC241</f>
        <v>0</v>
      </c>
      <c r="DE22" s="87">
        <f>'P &amp; NP'!ID241</f>
        <v>0</v>
      </c>
      <c r="DF22" s="87">
        <f>'P &amp; NP'!IE241</f>
        <v>0</v>
      </c>
      <c r="DG22" s="87">
        <f>'P &amp; NP'!IF241</f>
        <v>0</v>
      </c>
      <c r="DH22" s="87">
        <f t="shared" si="226"/>
        <v>149073</v>
      </c>
      <c r="DI22" s="87">
        <f t="shared" si="227"/>
        <v>2833614</v>
      </c>
      <c r="DJ22" s="92">
        <f>'P &amp; NP'!HS279</f>
        <v>0</v>
      </c>
      <c r="DK22" s="92">
        <f>'P &amp; NP'!HT279</f>
        <v>0</v>
      </c>
      <c r="DL22" s="87">
        <f>'P &amp; NP'!HU279</f>
        <v>0</v>
      </c>
      <c r="DM22" s="87">
        <f>'P &amp; NP'!HV279</f>
        <v>0</v>
      </c>
      <c r="DN22" s="87">
        <f>'P &amp; NP'!HY279</f>
        <v>148075</v>
      </c>
      <c r="DO22" s="87">
        <f>'P &amp; NP'!HZ279</f>
        <v>2797100</v>
      </c>
      <c r="DP22" s="87">
        <f>'P &amp; NP'!IA279</f>
        <v>0</v>
      </c>
      <c r="DQ22" s="87">
        <f>'P &amp; NP'!IB279</f>
        <v>0</v>
      </c>
      <c r="DR22" s="87">
        <f>'P &amp; NP'!IC279</f>
        <v>800</v>
      </c>
      <c r="DS22" s="87">
        <f>'P &amp; NP'!ID279</f>
        <v>22400</v>
      </c>
      <c r="DT22" s="87">
        <f>'P &amp; NP'!IE279</f>
        <v>0</v>
      </c>
      <c r="DU22" s="87">
        <f>'P &amp; NP'!IF279</f>
        <v>0</v>
      </c>
      <c r="DV22" s="87">
        <f t="shared" si="228"/>
        <v>148875</v>
      </c>
      <c r="DW22" s="87">
        <f t="shared" si="229"/>
        <v>2819500</v>
      </c>
      <c r="DX22" s="87">
        <f>'P &amp; NP'!HS317</f>
        <v>0</v>
      </c>
      <c r="DY22" s="87">
        <f>'P &amp; NP'!HT317</f>
        <v>0</v>
      </c>
      <c r="DZ22" s="92">
        <f>'P &amp; NP'!HU317</f>
        <v>0</v>
      </c>
      <c r="EA22" s="92">
        <f>'P &amp; NP'!HV317</f>
        <v>0</v>
      </c>
      <c r="EB22" s="87">
        <f>'P &amp; NP'!HY317</f>
        <v>149550</v>
      </c>
      <c r="EC22" s="87">
        <f>'P &amp; NP'!HZ317</f>
        <v>2830900</v>
      </c>
      <c r="ED22" s="87">
        <f>'P &amp; NP'!IA317</f>
        <v>0</v>
      </c>
      <c r="EE22" s="87">
        <f>'P &amp; NP'!IB317</f>
        <v>0</v>
      </c>
      <c r="EF22" s="87">
        <f>'P &amp; NP'!IC317</f>
        <v>0</v>
      </c>
      <c r="EG22" s="87">
        <f>'P &amp; NP'!ID317</f>
        <v>0</v>
      </c>
      <c r="EH22" s="87">
        <f>'P &amp; NP'!IE317</f>
        <v>0</v>
      </c>
      <c r="EI22" s="87">
        <f>'P &amp; NP'!IF317</f>
        <v>0</v>
      </c>
      <c r="EJ22" s="87">
        <f t="shared" si="230"/>
        <v>149550</v>
      </c>
      <c r="EK22" s="87">
        <f t="shared" si="231"/>
        <v>2830900</v>
      </c>
      <c r="EL22" s="87">
        <f>'P &amp; NP'!HS355</f>
        <v>0</v>
      </c>
      <c r="EM22" s="87">
        <f>'P &amp; NP'!HT355</f>
        <v>0</v>
      </c>
      <c r="EN22" s="87">
        <f>'P &amp; NP'!HU355</f>
        <v>0</v>
      </c>
      <c r="EO22" s="87">
        <f>'P &amp; NP'!HV355</f>
        <v>0</v>
      </c>
      <c r="EP22" s="92">
        <f>'P &amp; NP'!HY355</f>
        <v>149660</v>
      </c>
      <c r="EQ22" s="92">
        <f>'P &amp; NP'!HZ355</f>
        <v>2745800</v>
      </c>
      <c r="ER22" s="87">
        <f>'P &amp; NP'!IA355</f>
        <v>0</v>
      </c>
      <c r="ES22" s="87">
        <f>'P &amp; NP'!IB355</f>
        <v>0</v>
      </c>
      <c r="ET22" s="87">
        <f>'P &amp; NP'!IC355</f>
        <v>0</v>
      </c>
      <c r="EU22" s="87">
        <f>'P &amp; NP'!ID355</f>
        <v>0</v>
      </c>
      <c r="EV22" s="87">
        <f>'P &amp; NP'!IE355</f>
        <v>0</v>
      </c>
      <c r="EW22" s="87">
        <f>'P &amp; NP'!IF355</f>
        <v>0</v>
      </c>
      <c r="EX22" s="87">
        <f t="shared" si="232"/>
        <v>149660</v>
      </c>
      <c r="EY22" s="87">
        <f t="shared" si="233"/>
        <v>2745800</v>
      </c>
      <c r="EZ22" s="87">
        <f>'P &amp; NP'!HS393</f>
        <v>0</v>
      </c>
      <c r="FA22" s="87">
        <f>'P &amp; NP'!HT393</f>
        <v>0</v>
      </c>
      <c r="FB22" s="87">
        <f>'P &amp; NP'!HU393</f>
        <v>0</v>
      </c>
      <c r="FC22" s="87">
        <f>'P &amp; NP'!HV393</f>
        <v>0</v>
      </c>
      <c r="FD22" s="87">
        <f>'P &amp; NP'!HY393</f>
        <v>156200</v>
      </c>
      <c r="FE22" s="87">
        <f>'P &amp; NP'!HZ393</f>
        <v>2877300</v>
      </c>
      <c r="FF22" s="92">
        <f>'P &amp; NP'!IA393</f>
        <v>0</v>
      </c>
      <c r="FG22" s="92">
        <f>'P &amp; NP'!IB393</f>
        <v>0</v>
      </c>
      <c r="FH22" s="87">
        <f>'P &amp; NP'!IC393</f>
        <v>0</v>
      </c>
      <c r="FI22" s="87">
        <f>'P &amp; NP'!ID393</f>
        <v>0</v>
      </c>
      <c r="FJ22" s="87">
        <f>'P &amp; NP'!IE393</f>
        <v>500</v>
      </c>
      <c r="FK22" s="87">
        <f>'P &amp; NP'!IF393</f>
        <v>12500</v>
      </c>
      <c r="FL22" s="87">
        <f t="shared" si="234"/>
        <v>156700</v>
      </c>
      <c r="FM22" s="87">
        <f t="shared" si="235"/>
        <v>2889800</v>
      </c>
      <c r="FN22" s="87">
        <f>'P &amp; NP'!HS431</f>
        <v>0</v>
      </c>
      <c r="FO22" s="87">
        <f>'P &amp; NP'!HT431</f>
        <v>0</v>
      </c>
      <c r="FP22" s="87">
        <f>'P &amp; NP'!HU431</f>
        <v>0</v>
      </c>
      <c r="FQ22" s="87">
        <f>'P &amp; NP'!HV431</f>
        <v>0</v>
      </c>
      <c r="FR22" s="87">
        <f>'P &amp; NP'!HY431</f>
        <v>156500</v>
      </c>
      <c r="FS22" s="87">
        <f>'P &amp; NP'!HZ431</f>
        <v>2980000</v>
      </c>
      <c r="FT22" s="87">
        <f>'P &amp; NP'!IA431</f>
        <v>0</v>
      </c>
      <c r="FU22" s="87">
        <f>'P &amp; NP'!IB431</f>
        <v>0</v>
      </c>
      <c r="FV22" s="92">
        <f>'P &amp; NP'!IC431</f>
        <v>0</v>
      </c>
      <c r="FW22" s="92">
        <f>'P &amp; NP'!ID431</f>
        <v>0</v>
      </c>
      <c r="FX22" s="87">
        <f>'P &amp; NP'!IE431</f>
        <v>0</v>
      </c>
      <c r="FY22" s="87">
        <f>'P &amp; NP'!IF431</f>
        <v>0</v>
      </c>
      <c r="FZ22" s="87">
        <f t="shared" si="236"/>
        <v>156500</v>
      </c>
      <c r="GA22" s="87">
        <f t="shared" si="237"/>
        <v>2980000</v>
      </c>
      <c r="GC22" s="609">
        <f t="shared" si="164"/>
        <v>0</v>
      </c>
      <c r="GD22" s="609">
        <f t="shared" si="165"/>
        <v>0</v>
      </c>
      <c r="GE22" s="609">
        <f t="shared" si="166"/>
        <v>0</v>
      </c>
      <c r="GF22" s="609">
        <f t="shared" si="167"/>
        <v>0</v>
      </c>
      <c r="GG22" s="609">
        <f t="shared" si="168"/>
        <v>459900</v>
      </c>
      <c r="GH22" s="609">
        <f t="shared" si="169"/>
        <v>9548430</v>
      </c>
      <c r="GI22" s="609">
        <f t="shared" si="170"/>
        <v>0</v>
      </c>
      <c r="GJ22" s="609">
        <f t="shared" si="171"/>
        <v>0</v>
      </c>
      <c r="GK22" s="609">
        <f t="shared" si="172"/>
        <v>600</v>
      </c>
      <c r="GL22" s="609">
        <f t="shared" si="173"/>
        <v>15000</v>
      </c>
      <c r="GM22" s="609">
        <f t="shared" si="174"/>
        <v>0</v>
      </c>
      <c r="GN22" s="609">
        <f t="shared" si="175"/>
        <v>0</v>
      </c>
      <c r="GO22" s="640">
        <f t="shared" si="238"/>
        <v>460500</v>
      </c>
      <c r="GP22" s="640">
        <f t="shared" si="239"/>
        <v>9563430</v>
      </c>
      <c r="GR22" s="609">
        <f t="shared" si="176"/>
        <v>0</v>
      </c>
      <c r="GS22" s="609">
        <f t="shared" si="177"/>
        <v>0</v>
      </c>
      <c r="GT22" s="609">
        <f t="shared" si="178"/>
        <v>0</v>
      </c>
      <c r="GU22" s="609">
        <f t="shared" si="179"/>
        <v>0</v>
      </c>
      <c r="GV22" s="609">
        <f t="shared" si="180"/>
        <v>444160</v>
      </c>
      <c r="GW22" s="609">
        <f t="shared" si="181"/>
        <v>8292256</v>
      </c>
      <c r="GX22" s="609">
        <f t="shared" si="182"/>
        <v>0</v>
      </c>
      <c r="GY22" s="609">
        <f t="shared" si="183"/>
        <v>0</v>
      </c>
      <c r="GZ22" s="609">
        <f t="shared" si="184"/>
        <v>400</v>
      </c>
      <c r="HA22" s="609">
        <f t="shared" si="185"/>
        <v>8000</v>
      </c>
      <c r="HB22" s="609">
        <f t="shared" si="186"/>
        <v>1200</v>
      </c>
      <c r="HC22" s="609">
        <f t="shared" si="187"/>
        <v>24000</v>
      </c>
      <c r="HD22" s="640">
        <f t="shared" si="240"/>
        <v>445760</v>
      </c>
      <c r="HE22" s="640">
        <f t="shared" si="241"/>
        <v>8324256</v>
      </c>
      <c r="HG22" s="609">
        <f t="shared" si="188"/>
        <v>0</v>
      </c>
      <c r="HH22" s="609">
        <f t="shared" si="189"/>
        <v>0</v>
      </c>
      <c r="HI22" s="609">
        <f t="shared" si="190"/>
        <v>0</v>
      </c>
      <c r="HJ22" s="609">
        <f t="shared" si="191"/>
        <v>0</v>
      </c>
      <c r="HK22" s="609">
        <f t="shared" si="192"/>
        <v>446698</v>
      </c>
      <c r="HL22" s="609">
        <f t="shared" si="193"/>
        <v>8461614</v>
      </c>
      <c r="HM22" s="609">
        <f t="shared" si="194"/>
        <v>0</v>
      </c>
      <c r="HN22" s="609">
        <f t="shared" si="195"/>
        <v>0</v>
      </c>
      <c r="HO22" s="609">
        <f t="shared" si="196"/>
        <v>800</v>
      </c>
      <c r="HP22" s="609">
        <f t="shared" si="197"/>
        <v>22400</v>
      </c>
      <c r="HQ22" s="609">
        <f t="shared" si="198"/>
        <v>0</v>
      </c>
      <c r="HR22" s="609">
        <f t="shared" si="199"/>
        <v>0</v>
      </c>
      <c r="HS22" s="640">
        <f t="shared" si="242"/>
        <v>447498</v>
      </c>
      <c r="HT22" s="640">
        <f t="shared" si="243"/>
        <v>8484014</v>
      </c>
      <c r="HV22" s="609">
        <f t="shared" si="200"/>
        <v>0</v>
      </c>
      <c r="HW22" s="609">
        <f t="shared" si="201"/>
        <v>0</v>
      </c>
      <c r="HX22" s="609">
        <f t="shared" si="202"/>
        <v>0</v>
      </c>
      <c r="HY22" s="609">
        <f t="shared" si="203"/>
        <v>0</v>
      </c>
      <c r="HZ22" s="609">
        <f t="shared" si="204"/>
        <v>462360</v>
      </c>
      <c r="IA22" s="609">
        <f t="shared" si="205"/>
        <v>8603100</v>
      </c>
      <c r="IB22" s="609">
        <f t="shared" si="206"/>
        <v>0</v>
      </c>
      <c r="IC22" s="609">
        <f t="shared" si="207"/>
        <v>0</v>
      </c>
      <c r="ID22" s="609">
        <f t="shared" si="208"/>
        <v>0</v>
      </c>
      <c r="IE22" s="609">
        <f t="shared" si="209"/>
        <v>0</v>
      </c>
      <c r="IF22" s="609">
        <f t="shared" si="210"/>
        <v>500</v>
      </c>
      <c r="IG22" s="609">
        <f t="shared" si="211"/>
        <v>12500</v>
      </c>
      <c r="IH22" s="640">
        <f t="shared" si="244"/>
        <v>462860</v>
      </c>
      <c r="II22" s="640">
        <f t="shared" si="245"/>
        <v>8615600</v>
      </c>
    </row>
    <row r="23" spans="1:243">
      <c r="A23" s="484" t="s">
        <v>129</v>
      </c>
      <c r="B23" s="484">
        <f t="shared" si="212"/>
        <v>11030000</v>
      </c>
      <c r="C23" s="484">
        <f t="shared" si="213"/>
        <v>217798004</v>
      </c>
      <c r="D23" s="87">
        <f>'P &amp; NP'!II13</f>
        <v>0</v>
      </c>
      <c r="E23" s="87">
        <f>'P &amp; NP'!IJ13</f>
        <v>0</v>
      </c>
      <c r="F23" s="87">
        <f>'P &amp; NP'!IK13</f>
        <v>0</v>
      </c>
      <c r="G23" s="87">
        <f>'P &amp; NP'!IL13</f>
        <v>0</v>
      </c>
      <c r="H23" s="87">
        <f>'P &amp; NP'!IM13</f>
        <v>0</v>
      </c>
      <c r="I23" s="87">
        <f>'P &amp; NP'!IN13</f>
        <v>0</v>
      </c>
      <c r="J23" s="87">
        <f>'P &amp; NP'!IO13</f>
        <v>993000</v>
      </c>
      <c r="K23" s="87">
        <f>'P &amp; NP'!IP13</f>
        <v>19347080</v>
      </c>
      <c r="L23" s="87">
        <f>'P &amp; NP'!IQ13</f>
        <v>0</v>
      </c>
      <c r="M23" s="87">
        <f>'P &amp; NP'!IR13</f>
        <v>0</v>
      </c>
      <c r="N23" s="87">
        <f>'P &amp; NP'!IS13</f>
        <v>0</v>
      </c>
      <c r="O23" s="87">
        <f>'P &amp; NP'!IT13</f>
        <v>0</v>
      </c>
      <c r="P23" s="87">
        <f>'P &amp; NP'!IU13</f>
        <v>0</v>
      </c>
      <c r="Q23" s="87">
        <f>'P &amp; NP'!IV13</f>
        <v>0</v>
      </c>
      <c r="R23" s="92">
        <f t="shared" si="214"/>
        <v>993000</v>
      </c>
      <c r="S23" s="92">
        <f t="shared" si="215"/>
        <v>19347080</v>
      </c>
      <c r="T23" s="87">
        <f>'P &amp; NP'!II51</f>
        <v>0</v>
      </c>
      <c r="U23" s="87">
        <f>'P &amp; NP'!IJ51</f>
        <v>0</v>
      </c>
      <c r="V23" s="87">
        <f>'P &amp; NP'!IK51</f>
        <v>0</v>
      </c>
      <c r="W23" s="87">
        <f>'P &amp; NP'!IL51</f>
        <v>0</v>
      </c>
      <c r="X23" s="87">
        <f>'P &amp; NP'!IM51</f>
        <v>0</v>
      </c>
      <c r="Y23" s="87">
        <f>'P &amp; NP'!IN51</f>
        <v>0</v>
      </c>
      <c r="Z23" s="87">
        <f>'P &amp; NP'!IO51</f>
        <v>1009000</v>
      </c>
      <c r="AA23" s="87">
        <f>'P &amp; NP'!IP51</f>
        <v>19663200</v>
      </c>
      <c r="AB23" s="87">
        <f>'P &amp; NP'!IQ51</f>
        <v>0</v>
      </c>
      <c r="AC23" s="87">
        <f>'P &amp; NP'!IR51</f>
        <v>0</v>
      </c>
      <c r="AD23" s="87">
        <f>'P &amp; NP'!IS51</f>
        <v>0</v>
      </c>
      <c r="AE23" s="87">
        <f>'P &amp; NP'!IT51</f>
        <v>0</v>
      </c>
      <c r="AF23" s="87">
        <f>'P &amp; NP'!IU51</f>
        <v>0</v>
      </c>
      <c r="AG23" s="87">
        <f>'P &amp; NP'!IV51</f>
        <v>0</v>
      </c>
      <c r="AH23" s="92">
        <f t="shared" si="216"/>
        <v>1009000</v>
      </c>
      <c r="AI23" s="92">
        <f t="shared" si="217"/>
        <v>19663200</v>
      </c>
      <c r="AJ23" s="87">
        <f>'P &amp; NP'!II89</f>
        <v>0</v>
      </c>
      <c r="AK23" s="87">
        <f>'P &amp; NP'!IJ89</f>
        <v>0</v>
      </c>
      <c r="AL23" s="87">
        <f>'P &amp; NP'!IK89</f>
        <v>0</v>
      </c>
      <c r="AM23" s="87">
        <f>'P &amp; NP'!IL89</f>
        <v>0</v>
      </c>
      <c r="AN23" s="87">
        <f>'P &amp; NP'!IM89</f>
        <v>0</v>
      </c>
      <c r="AO23" s="87">
        <f>'P &amp; NP'!IN89</f>
        <v>0</v>
      </c>
      <c r="AP23" s="87">
        <f>'P &amp; NP'!IO89</f>
        <v>1005000</v>
      </c>
      <c r="AQ23" s="87">
        <f>'P &amp; NP'!IP89</f>
        <v>19584200</v>
      </c>
      <c r="AR23" s="87">
        <f>'P &amp; NP'!IQ89</f>
        <v>0</v>
      </c>
      <c r="AS23" s="87">
        <f>'P &amp; NP'!IR89</f>
        <v>0</v>
      </c>
      <c r="AT23" s="87">
        <f>'P &amp; NP'!IS89</f>
        <v>0</v>
      </c>
      <c r="AU23" s="87">
        <f>'P &amp; NP'!IT89</f>
        <v>0</v>
      </c>
      <c r="AV23" s="87">
        <f>'P &amp; NP'!IU89</f>
        <v>0</v>
      </c>
      <c r="AW23" s="87">
        <f>'P &amp; NP'!IV89</f>
        <v>0</v>
      </c>
      <c r="AX23" s="92">
        <f t="shared" si="218"/>
        <v>1005000</v>
      </c>
      <c r="AY23" s="92">
        <f t="shared" si="219"/>
        <v>19584200</v>
      </c>
      <c r="AZ23" s="87">
        <f>'P &amp; NP'!II127</f>
        <v>0</v>
      </c>
      <c r="BA23" s="87">
        <f>'P &amp; NP'!IJ127</f>
        <v>0</v>
      </c>
      <c r="BB23" s="87">
        <f>'P &amp; NP'!IK127</f>
        <v>0</v>
      </c>
      <c r="BC23" s="87">
        <f>'P &amp; NP'!IL127</f>
        <v>0</v>
      </c>
      <c r="BD23" s="87">
        <f>'P &amp; NP'!IM127</f>
        <v>0</v>
      </c>
      <c r="BE23" s="87">
        <f>'P &amp; NP'!IN127</f>
        <v>0</v>
      </c>
      <c r="BF23" s="87">
        <f>'P &amp; NP'!IO127</f>
        <v>985000</v>
      </c>
      <c r="BG23" s="87">
        <f>'P &amp; NP'!IP127</f>
        <v>19580350</v>
      </c>
      <c r="BH23" s="87">
        <f>'P &amp; NP'!IQ127</f>
        <v>0</v>
      </c>
      <c r="BI23" s="87">
        <f>'P &amp; NP'!IR127</f>
        <v>0</v>
      </c>
      <c r="BJ23" s="87">
        <f>'P &amp; NP'!IS127</f>
        <v>0</v>
      </c>
      <c r="BK23" s="87">
        <f>'P &amp; NP'!IT127</f>
        <v>0</v>
      </c>
      <c r="BL23" s="87">
        <f>'P &amp; NP'!IU127</f>
        <v>0</v>
      </c>
      <c r="BM23" s="87">
        <f>'P &amp; NP'!IV127</f>
        <v>0</v>
      </c>
      <c r="BN23" s="92">
        <f t="shared" si="220"/>
        <v>985000</v>
      </c>
      <c r="BO23" s="92">
        <f t="shared" si="221"/>
        <v>19580350</v>
      </c>
      <c r="BP23" s="87">
        <f>'P &amp; NP'!II165</f>
        <v>0</v>
      </c>
      <c r="BQ23" s="87">
        <f>'P &amp; NP'!IJ165</f>
        <v>0</v>
      </c>
      <c r="BR23" s="87">
        <f>'P &amp; NP'!IK165</f>
        <v>0</v>
      </c>
      <c r="BS23" s="87">
        <f>'P &amp; NP'!IL165</f>
        <v>0</v>
      </c>
      <c r="BT23" s="87">
        <f>'P &amp; NP'!IM165</f>
        <v>0</v>
      </c>
      <c r="BU23" s="87">
        <f>'P &amp; NP'!IN165</f>
        <v>0</v>
      </c>
      <c r="BV23" s="87">
        <f>'P &amp; NP'!IO165</f>
        <v>966000</v>
      </c>
      <c r="BW23" s="87">
        <f>'P &amp; NP'!IP165</f>
        <v>19745375</v>
      </c>
      <c r="BX23" s="87">
        <f>'P &amp; NP'!IQ165</f>
        <v>0</v>
      </c>
      <c r="BY23" s="87">
        <f>'P &amp; NP'!IR165</f>
        <v>0</v>
      </c>
      <c r="BZ23" s="87">
        <f>'P &amp; NP'!IS165</f>
        <v>0</v>
      </c>
      <c r="CA23" s="87">
        <f>'P &amp; NP'!IT165</f>
        <v>0</v>
      </c>
      <c r="CB23" s="87">
        <f>'P &amp; NP'!IU165</f>
        <v>0</v>
      </c>
      <c r="CC23" s="87">
        <f>'P &amp; NP'!IV165</f>
        <v>0</v>
      </c>
      <c r="CD23" s="92">
        <f t="shared" si="222"/>
        <v>966000</v>
      </c>
      <c r="CE23" s="92">
        <f t="shared" si="223"/>
        <v>19745375</v>
      </c>
      <c r="CF23" s="87">
        <f>'P &amp; NP'!II203</f>
        <v>0</v>
      </c>
      <c r="CG23" s="87">
        <f>'P &amp; NP'!IJ203</f>
        <v>0</v>
      </c>
      <c r="CH23" s="87">
        <f>'P &amp; NP'!IK203</f>
        <v>0</v>
      </c>
      <c r="CI23" s="87">
        <f>'P &amp; NP'!IL203</f>
        <v>0</v>
      </c>
      <c r="CJ23" s="87">
        <f>'P &amp; NP'!IM203</f>
        <v>0</v>
      </c>
      <c r="CK23" s="87">
        <f>'P &amp; NP'!IN203</f>
        <v>0</v>
      </c>
      <c r="CL23" s="87">
        <f>'P &amp; NP'!IO203</f>
        <v>947000</v>
      </c>
      <c r="CM23" s="87">
        <f>'P &amp; NP'!IP203</f>
        <v>19362300</v>
      </c>
      <c r="CN23" s="87">
        <f>'P &amp; NP'!IQ203</f>
        <v>0</v>
      </c>
      <c r="CO23" s="87">
        <f>'P &amp; NP'!IR203</f>
        <v>0</v>
      </c>
      <c r="CP23" s="87">
        <f>'P &amp; NP'!IS203</f>
        <v>0</v>
      </c>
      <c r="CQ23" s="87">
        <f>'P &amp; NP'!IT203</f>
        <v>0</v>
      </c>
      <c r="CR23" s="87">
        <f>'P &amp; NP'!IU203</f>
        <v>0</v>
      </c>
      <c r="CS23" s="87">
        <f>'P &amp; NP'!IV203</f>
        <v>0</v>
      </c>
      <c r="CT23" s="92">
        <f t="shared" si="224"/>
        <v>947000</v>
      </c>
      <c r="CU23" s="92">
        <f t="shared" si="225"/>
        <v>19362300</v>
      </c>
      <c r="CV23" s="87">
        <f>'P &amp; NP'!II241</f>
        <v>0</v>
      </c>
      <c r="CW23" s="87">
        <f>'P &amp; NP'!IJ241</f>
        <v>0</v>
      </c>
      <c r="CX23" s="87">
        <f>'P &amp; NP'!IK241</f>
        <v>0</v>
      </c>
      <c r="CY23" s="87">
        <f>'P &amp; NP'!IL241</f>
        <v>0</v>
      </c>
      <c r="CZ23" s="87">
        <f>'P &amp; NP'!IO241</f>
        <v>876000</v>
      </c>
      <c r="DA23" s="87">
        <f>'P &amp; NP'!IP241</f>
        <v>17018225</v>
      </c>
      <c r="DB23" s="87">
        <f>'P &amp; NP'!IQ241</f>
        <v>0</v>
      </c>
      <c r="DC23" s="87">
        <f>'P &amp; NP'!IR241</f>
        <v>0</v>
      </c>
      <c r="DD23" s="87">
        <f>'P &amp; NP'!IS241</f>
        <v>0</v>
      </c>
      <c r="DE23" s="87">
        <f>'P &amp; NP'!IT241</f>
        <v>0</v>
      </c>
      <c r="DF23" s="87">
        <f>'P &amp; NP'!IU241</f>
        <v>0</v>
      </c>
      <c r="DG23" s="87">
        <f>'P &amp; NP'!IV241</f>
        <v>0</v>
      </c>
      <c r="DH23" s="87">
        <f t="shared" si="226"/>
        <v>876000</v>
      </c>
      <c r="DI23" s="87">
        <f t="shared" si="227"/>
        <v>17018225</v>
      </c>
      <c r="DJ23" s="92">
        <f>'P &amp; NP'!II279</f>
        <v>0</v>
      </c>
      <c r="DK23" s="92">
        <f>'P &amp; NP'!IJ279</f>
        <v>0</v>
      </c>
      <c r="DL23" s="87">
        <f>'P &amp; NP'!IK279</f>
        <v>0</v>
      </c>
      <c r="DM23" s="87">
        <f>'P &amp; NP'!IL279</f>
        <v>0</v>
      </c>
      <c r="DN23" s="87">
        <f>'P &amp; NP'!IO279</f>
        <v>834000</v>
      </c>
      <c r="DO23" s="87">
        <f>'P &amp; NP'!IP279</f>
        <v>15646920</v>
      </c>
      <c r="DP23" s="87">
        <f>'P &amp; NP'!IQ279</f>
        <v>0</v>
      </c>
      <c r="DQ23" s="87">
        <f>'P &amp; NP'!IR279</f>
        <v>0</v>
      </c>
      <c r="DR23" s="87">
        <f>'P &amp; NP'!IS279</f>
        <v>0</v>
      </c>
      <c r="DS23" s="87">
        <f>'P &amp; NP'!IT279</f>
        <v>0</v>
      </c>
      <c r="DT23" s="87">
        <f>'P &amp; NP'!IU279</f>
        <v>0</v>
      </c>
      <c r="DU23" s="87">
        <f>'P &amp; NP'!IV279</f>
        <v>0</v>
      </c>
      <c r="DV23" s="87">
        <f t="shared" si="228"/>
        <v>834000</v>
      </c>
      <c r="DW23" s="87">
        <f t="shared" si="229"/>
        <v>15646920</v>
      </c>
      <c r="DX23" s="87">
        <f>'P &amp; NP'!II317</f>
        <v>0</v>
      </c>
      <c r="DY23" s="87">
        <f>'P &amp; NP'!IJ317</f>
        <v>0</v>
      </c>
      <c r="DZ23" s="92">
        <f>'P &amp; NP'!IK317</f>
        <v>0</v>
      </c>
      <c r="EA23" s="92">
        <f>'P &amp; NP'!IL317</f>
        <v>0</v>
      </c>
      <c r="EB23" s="87">
        <f>'P &amp; NP'!IO317</f>
        <v>810000</v>
      </c>
      <c r="EC23" s="87">
        <f>'P &amp; NP'!IP317</f>
        <v>15777394</v>
      </c>
      <c r="ED23" s="87">
        <f>'P &amp; NP'!IQ317</f>
        <v>0</v>
      </c>
      <c r="EE23" s="87">
        <f>'P &amp; NP'!IR317</f>
        <v>0</v>
      </c>
      <c r="EF23" s="87">
        <f>'P &amp; NP'!IS317</f>
        <v>0</v>
      </c>
      <c r="EG23" s="87">
        <f>'P &amp; NP'!IT317</f>
        <v>0</v>
      </c>
      <c r="EH23" s="87">
        <f>'P &amp; NP'!IU317</f>
        <v>0</v>
      </c>
      <c r="EI23" s="87">
        <f>'P &amp; NP'!IV317</f>
        <v>0</v>
      </c>
      <c r="EJ23" s="87">
        <f t="shared" si="230"/>
        <v>810000</v>
      </c>
      <c r="EK23" s="87">
        <f t="shared" si="231"/>
        <v>15777394</v>
      </c>
      <c r="EL23" s="87">
        <f>'P &amp; NP'!II355</f>
        <v>0</v>
      </c>
      <c r="EM23" s="87">
        <f>'P &amp; NP'!IJ355</f>
        <v>0</v>
      </c>
      <c r="EN23" s="87">
        <f>'P &amp; NP'!IK355</f>
        <v>0</v>
      </c>
      <c r="EO23" s="87">
        <f>'P &amp; NP'!IL355</f>
        <v>0</v>
      </c>
      <c r="EP23" s="92">
        <f>'P &amp; NP'!IO355</f>
        <v>855800</v>
      </c>
      <c r="EQ23" s="92">
        <f>'P &amp; NP'!IP355</f>
        <v>16308950</v>
      </c>
      <c r="ER23" s="87">
        <f>'P &amp; NP'!IQ355</f>
        <v>0</v>
      </c>
      <c r="ES23" s="87">
        <f>'P &amp; NP'!IR355</f>
        <v>0</v>
      </c>
      <c r="ET23" s="87">
        <f>'P &amp; NP'!IS355</f>
        <v>0</v>
      </c>
      <c r="EU23" s="87">
        <f>'P &amp; NP'!IT355</f>
        <v>0</v>
      </c>
      <c r="EV23" s="87">
        <f>'P &amp; NP'!IU355</f>
        <v>0</v>
      </c>
      <c r="EW23" s="87">
        <f>'P &amp; NP'!IV355</f>
        <v>0</v>
      </c>
      <c r="EX23" s="87">
        <f t="shared" si="232"/>
        <v>855800</v>
      </c>
      <c r="EY23" s="87">
        <f t="shared" si="233"/>
        <v>16308950</v>
      </c>
      <c r="EZ23" s="87">
        <f>'P &amp; NP'!II393</f>
        <v>0</v>
      </c>
      <c r="FA23" s="87">
        <f>'P &amp; NP'!IJ393</f>
        <v>0</v>
      </c>
      <c r="FB23" s="87">
        <f>'P &amp; NP'!IK393</f>
        <v>0</v>
      </c>
      <c r="FC23" s="87">
        <f>'P &amp; NP'!IL393</f>
        <v>0</v>
      </c>
      <c r="FD23" s="87">
        <f>'P &amp; NP'!IO393</f>
        <v>867600</v>
      </c>
      <c r="FE23" s="87">
        <f>'P &amp; NP'!IP393</f>
        <v>17536910</v>
      </c>
      <c r="FF23" s="92">
        <f>'P &amp; NP'!IQ393</f>
        <v>0</v>
      </c>
      <c r="FG23" s="92">
        <f>'P &amp; NP'!IR393</f>
        <v>0</v>
      </c>
      <c r="FH23" s="87">
        <f>'P &amp; NP'!IS393</f>
        <v>0</v>
      </c>
      <c r="FI23" s="87">
        <f>'P &amp; NP'!IT393</f>
        <v>0</v>
      </c>
      <c r="FJ23" s="87">
        <f>'P &amp; NP'!IU393</f>
        <v>0</v>
      </c>
      <c r="FK23" s="87">
        <f>'P &amp; NP'!IV393</f>
        <v>0</v>
      </c>
      <c r="FL23" s="87">
        <f t="shared" si="234"/>
        <v>867600</v>
      </c>
      <c r="FM23" s="87">
        <f t="shared" si="235"/>
        <v>17536910</v>
      </c>
      <c r="FN23" s="87">
        <f>'P &amp; NP'!II431</f>
        <v>0</v>
      </c>
      <c r="FO23" s="87">
        <f>'P &amp; NP'!IJ431</f>
        <v>0</v>
      </c>
      <c r="FP23" s="87">
        <f>'P &amp; NP'!IK431</f>
        <v>0</v>
      </c>
      <c r="FQ23" s="87">
        <f>'P &amp; NP'!IL431</f>
        <v>0</v>
      </c>
      <c r="FR23" s="87">
        <f>'P &amp; NP'!IO431</f>
        <v>881600</v>
      </c>
      <c r="FS23" s="87">
        <f>'P &amp; NP'!IP431</f>
        <v>18227100</v>
      </c>
      <c r="FT23" s="87">
        <f>'P &amp; NP'!IQ431</f>
        <v>0</v>
      </c>
      <c r="FU23" s="87">
        <f>'P &amp; NP'!IR431</f>
        <v>0</v>
      </c>
      <c r="FV23" s="92">
        <f>'P &amp; NP'!IS431</f>
        <v>0</v>
      </c>
      <c r="FW23" s="92">
        <f>'P &amp; NP'!IT431</f>
        <v>0</v>
      </c>
      <c r="FX23" s="87">
        <f>'P &amp; NP'!IU431</f>
        <v>0</v>
      </c>
      <c r="FY23" s="87">
        <f>'P &amp; NP'!IV431</f>
        <v>0</v>
      </c>
      <c r="FZ23" s="87">
        <f t="shared" si="236"/>
        <v>881600</v>
      </c>
      <c r="GA23" s="87">
        <f t="shared" si="237"/>
        <v>18227100</v>
      </c>
      <c r="GC23" s="609">
        <f t="shared" si="164"/>
        <v>0</v>
      </c>
      <c r="GD23" s="609">
        <f t="shared" si="165"/>
        <v>0</v>
      </c>
      <c r="GE23" s="609">
        <f t="shared" si="166"/>
        <v>0</v>
      </c>
      <c r="GF23" s="609">
        <f t="shared" si="167"/>
        <v>0</v>
      </c>
      <c r="GG23" s="609">
        <f t="shared" si="168"/>
        <v>3007000</v>
      </c>
      <c r="GH23" s="609">
        <f t="shared" si="169"/>
        <v>58594480</v>
      </c>
      <c r="GI23" s="609">
        <f t="shared" si="170"/>
        <v>0</v>
      </c>
      <c r="GJ23" s="609">
        <f t="shared" si="171"/>
        <v>0</v>
      </c>
      <c r="GK23" s="609">
        <f t="shared" si="172"/>
        <v>0</v>
      </c>
      <c r="GL23" s="609">
        <f t="shared" si="173"/>
        <v>0</v>
      </c>
      <c r="GM23" s="609">
        <f t="shared" si="174"/>
        <v>0</v>
      </c>
      <c r="GN23" s="609">
        <f t="shared" si="175"/>
        <v>0</v>
      </c>
      <c r="GO23" s="640">
        <f t="shared" si="238"/>
        <v>3007000</v>
      </c>
      <c r="GP23" s="640">
        <f t="shared" si="239"/>
        <v>58594480</v>
      </c>
      <c r="GR23" s="609">
        <f t="shared" si="176"/>
        <v>0</v>
      </c>
      <c r="GS23" s="609">
        <f t="shared" si="177"/>
        <v>0</v>
      </c>
      <c r="GT23" s="609">
        <f t="shared" si="178"/>
        <v>0</v>
      </c>
      <c r="GU23" s="609">
        <f t="shared" si="179"/>
        <v>0</v>
      </c>
      <c r="GV23" s="609">
        <f t="shared" si="180"/>
        <v>2898000</v>
      </c>
      <c r="GW23" s="609">
        <f t="shared" si="181"/>
        <v>58688025</v>
      </c>
      <c r="GX23" s="609">
        <f t="shared" si="182"/>
        <v>0</v>
      </c>
      <c r="GY23" s="609">
        <f t="shared" si="183"/>
        <v>0</v>
      </c>
      <c r="GZ23" s="609">
        <f t="shared" si="184"/>
        <v>0</v>
      </c>
      <c r="HA23" s="609">
        <f t="shared" si="185"/>
        <v>0</v>
      </c>
      <c r="HB23" s="609">
        <f t="shared" si="186"/>
        <v>0</v>
      </c>
      <c r="HC23" s="609">
        <f t="shared" si="187"/>
        <v>0</v>
      </c>
      <c r="HD23" s="640">
        <f t="shared" si="240"/>
        <v>2898000</v>
      </c>
      <c r="HE23" s="640">
        <f t="shared" si="241"/>
        <v>58688025</v>
      </c>
      <c r="HG23" s="609">
        <f t="shared" si="188"/>
        <v>0</v>
      </c>
      <c r="HH23" s="609">
        <f t="shared" si="189"/>
        <v>0</v>
      </c>
      <c r="HI23" s="609">
        <f t="shared" si="190"/>
        <v>0</v>
      </c>
      <c r="HJ23" s="609">
        <f t="shared" si="191"/>
        <v>0</v>
      </c>
      <c r="HK23" s="609">
        <f t="shared" si="192"/>
        <v>2520000</v>
      </c>
      <c r="HL23" s="609">
        <f t="shared" si="193"/>
        <v>48442539</v>
      </c>
      <c r="HM23" s="609">
        <f t="shared" si="194"/>
        <v>0</v>
      </c>
      <c r="HN23" s="609">
        <f t="shared" si="195"/>
        <v>0</v>
      </c>
      <c r="HO23" s="609">
        <f t="shared" si="196"/>
        <v>0</v>
      </c>
      <c r="HP23" s="609">
        <f t="shared" si="197"/>
        <v>0</v>
      </c>
      <c r="HQ23" s="609">
        <f t="shared" si="198"/>
        <v>0</v>
      </c>
      <c r="HR23" s="609">
        <f t="shared" si="199"/>
        <v>0</v>
      </c>
      <c r="HS23" s="640">
        <f t="shared" si="242"/>
        <v>2520000</v>
      </c>
      <c r="HT23" s="640">
        <f t="shared" si="243"/>
        <v>48442539</v>
      </c>
      <c r="HV23" s="609">
        <f t="shared" si="200"/>
        <v>0</v>
      </c>
      <c r="HW23" s="609">
        <f t="shared" si="201"/>
        <v>0</v>
      </c>
      <c r="HX23" s="609">
        <f t="shared" si="202"/>
        <v>0</v>
      </c>
      <c r="HY23" s="609">
        <f t="shared" si="203"/>
        <v>0</v>
      </c>
      <c r="HZ23" s="609">
        <f t="shared" si="204"/>
        <v>2605000</v>
      </c>
      <c r="IA23" s="609">
        <f t="shared" si="205"/>
        <v>52072960</v>
      </c>
      <c r="IB23" s="609">
        <f t="shared" si="206"/>
        <v>0</v>
      </c>
      <c r="IC23" s="609">
        <f t="shared" si="207"/>
        <v>0</v>
      </c>
      <c r="ID23" s="609">
        <f t="shared" si="208"/>
        <v>0</v>
      </c>
      <c r="IE23" s="609">
        <f t="shared" si="209"/>
        <v>0</v>
      </c>
      <c r="IF23" s="609">
        <f t="shared" si="210"/>
        <v>0</v>
      </c>
      <c r="IG23" s="609">
        <f t="shared" si="211"/>
        <v>0</v>
      </c>
      <c r="IH23" s="640">
        <f t="shared" si="244"/>
        <v>2605000</v>
      </c>
      <c r="II23" s="640">
        <f t="shared" si="245"/>
        <v>52072960</v>
      </c>
    </row>
    <row r="24" spans="1:243">
      <c r="A24" s="484" t="s">
        <v>132</v>
      </c>
      <c r="B24" s="484">
        <f t="shared" si="212"/>
        <v>4513458</v>
      </c>
      <c r="C24" s="484">
        <f t="shared" si="213"/>
        <v>85786484</v>
      </c>
      <c r="D24" s="87">
        <f>'P &amp; NP'!IY13</f>
        <v>0</v>
      </c>
      <c r="E24" s="87">
        <f>'P &amp; NP'!IZ13</f>
        <v>0</v>
      </c>
      <c r="F24" s="87">
        <f>'P &amp; NP'!JA13</f>
        <v>0</v>
      </c>
      <c r="G24" s="87">
        <f>'P &amp; NP'!JB13</f>
        <v>0</v>
      </c>
      <c r="H24" s="87">
        <f>'P &amp; NP'!JC13</f>
        <v>0</v>
      </c>
      <c r="I24" s="87">
        <f>'P &amp; NP'!JD13</f>
        <v>0</v>
      </c>
      <c r="J24" s="87">
        <f>'P &amp; NP'!JE13</f>
        <v>365758</v>
      </c>
      <c r="K24" s="87">
        <f>'P &amp; NP'!JF13</f>
        <v>6957620</v>
      </c>
      <c r="L24" s="87">
        <f>'P &amp; NP'!JG13</f>
        <v>0</v>
      </c>
      <c r="M24" s="87">
        <f>'P &amp; NP'!JH13</f>
        <v>0</v>
      </c>
      <c r="N24" s="87">
        <f>'P &amp; NP'!JI13</f>
        <v>0</v>
      </c>
      <c r="O24" s="87">
        <f>'P &amp; NP'!JJ13</f>
        <v>0</v>
      </c>
      <c r="P24" s="87">
        <f>'P &amp; NP'!JK13</f>
        <v>10563</v>
      </c>
      <c r="Q24" s="87">
        <f>'P &amp; NP'!JL13</f>
        <v>207974</v>
      </c>
      <c r="R24" s="92">
        <f t="shared" si="214"/>
        <v>376321</v>
      </c>
      <c r="S24" s="92">
        <f t="shared" si="215"/>
        <v>7165594</v>
      </c>
      <c r="T24" s="87">
        <f>'P &amp; NP'!IY51</f>
        <v>0</v>
      </c>
      <c r="U24" s="87">
        <f>'P &amp; NP'!IZ51</f>
        <v>0</v>
      </c>
      <c r="V24" s="87">
        <f>'P &amp; NP'!JA51</f>
        <v>0</v>
      </c>
      <c r="W24" s="87">
        <f>'P &amp; NP'!JB51</f>
        <v>0</v>
      </c>
      <c r="X24" s="87">
        <f>'P &amp; NP'!JC51</f>
        <v>0</v>
      </c>
      <c r="Y24" s="87">
        <f>'P &amp; NP'!JD51</f>
        <v>0</v>
      </c>
      <c r="Z24" s="87">
        <f>'P &amp; NP'!JE51</f>
        <v>364798</v>
      </c>
      <c r="AA24" s="87">
        <f>'P &amp; NP'!JF51</f>
        <v>6938438</v>
      </c>
      <c r="AB24" s="87">
        <f>'P &amp; NP'!JG51</f>
        <v>0</v>
      </c>
      <c r="AC24" s="87">
        <f>'P &amp; NP'!JH51</f>
        <v>0</v>
      </c>
      <c r="AD24" s="87">
        <f>'P &amp; NP'!JI51</f>
        <v>0</v>
      </c>
      <c r="AE24" s="87">
        <f>'P &amp; NP'!JJ51</f>
        <v>0</v>
      </c>
      <c r="AF24" s="87">
        <f>'P &amp; NP'!JK51</f>
        <v>9970</v>
      </c>
      <c r="AG24" s="87">
        <f>'P &amp; NP'!JL51</f>
        <v>195740</v>
      </c>
      <c r="AH24" s="92">
        <f t="shared" si="216"/>
        <v>374768</v>
      </c>
      <c r="AI24" s="92">
        <f t="shared" si="217"/>
        <v>7134178</v>
      </c>
      <c r="AJ24" s="87">
        <f>'P &amp; NP'!IY89</f>
        <v>0</v>
      </c>
      <c r="AK24" s="87">
        <f>'P &amp; NP'!IZ89</f>
        <v>0</v>
      </c>
      <c r="AL24" s="87">
        <f>'P &amp; NP'!JA89</f>
        <v>0</v>
      </c>
      <c r="AM24" s="87">
        <f>'P &amp; NP'!JB89</f>
        <v>0</v>
      </c>
      <c r="AN24" s="87">
        <f>'P &amp; NP'!JC89</f>
        <v>0</v>
      </c>
      <c r="AO24" s="87">
        <f>'P &amp; NP'!JD89</f>
        <v>0</v>
      </c>
      <c r="AP24" s="87">
        <f>'P &amp; NP'!JE89</f>
        <v>366988</v>
      </c>
      <c r="AQ24" s="87">
        <f>'P &amp; NP'!JF89</f>
        <v>6982409</v>
      </c>
      <c r="AR24" s="87">
        <f>'P &amp; NP'!JG89</f>
        <v>0</v>
      </c>
      <c r="AS24" s="87">
        <f>'P &amp; NP'!JH89</f>
        <v>0</v>
      </c>
      <c r="AT24" s="87">
        <f>'P &amp; NP'!JI89</f>
        <v>0</v>
      </c>
      <c r="AU24" s="87">
        <f>'P &amp; NP'!JJ89</f>
        <v>0</v>
      </c>
      <c r="AV24" s="87">
        <f>'P &amp; NP'!JK89</f>
        <v>11180</v>
      </c>
      <c r="AW24" s="87">
        <f>'P &amp; NP'!JL89</f>
        <v>220748</v>
      </c>
      <c r="AX24" s="92">
        <f t="shared" si="218"/>
        <v>378168</v>
      </c>
      <c r="AY24" s="92">
        <f t="shared" si="219"/>
        <v>7203157</v>
      </c>
      <c r="AZ24" s="87">
        <f>'P &amp; NP'!IY127</f>
        <v>0</v>
      </c>
      <c r="BA24" s="87">
        <f>'P &amp; NP'!IZ127</f>
        <v>0</v>
      </c>
      <c r="BB24" s="87">
        <f>'P &amp; NP'!JA127</f>
        <v>0</v>
      </c>
      <c r="BC24" s="87">
        <f>'P &amp; NP'!JB127</f>
        <v>0</v>
      </c>
      <c r="BD24" s="87">
        <f>'P &amp; NP'!JC127</f>
        <v>0</v>
      </c>
      <c r="BE24" s="87">
        <f>'P &amp; NP'!JD127</f>
        <v>0</v>
      </c>
      <c r="BF24" s="87">
        <f>'P &amp; NP'!JE127</f>
        <v>377032</v>
      </c>
      <c r="BG24" s="87">
        <f>'P &amp; NP'!JF127</f>
        <v>7159380</v>
      </c>
      <c r="BH24" s="87">
        <f>'P &amp; NP'!JG127</f>
        <v>0</v>
      </c>
      <c r="BI24" s="87">
        <f>'P &amp; NP'!JH127</f>
        <v>0</v>
      </c>
      <c r="BJ24" s="87">
        <f>'P &amp; NP'!JI127</f>
        <v>0</v>
      </c>
      <c r="BK24" s="87">
        <f>'P &amp; NP'!JJ127</f>
        <v>0</v>
      </c>
      <c r="BL24" s="87">
        <f>'P &amp; NP'!JK127</f>
        <v>9880</v>
      </c>
      <c r="BM24" s="87">
        <f>'P &amp; NP'!JL127</f>
        <v>187710</v>
      </c>
      <c r="BN24" s="92">
        <f t="shared" si="220"/>
        <v>386912</v>
      </c>
      <c r="BO24" s="92">
        <f t="shared" si="221"/>
        <v>7347090</v>
      </c>
      <c r="BP24" s="87">
        <f>'P &amp; NP'!IY165</f>
        <v>0</v>
      </c>
      <c r="BQ24" s="87">
        <f>'P &amp; NP'!IZ165</f>
        <v>0</v>
      </c>
      <c r="BR24" s="87">
        <f>'P &amp; NP'!JA165</f>
        <v>0</v>
      </c>
      <c r="BS24" s="87">
        <f>'P &amp; NP'!JB165</f>
        <v>0</v>
      </c>
      <c r="BT24" s="87">
        <f>'P &amp; NP'!JC165</f>
        <v>0</v>
      </c>
      <c r="BU24" s="87">
        <f>'P &amp; NP'!JD165</f>
        <v>0</v>
      </c>
      <c r="BV24" s="87">
        <f>'P &amp; NP'!JE165</f>
        <v>374905</v>
      </c>
      <c r="BW24" s="87">
        <f>'P &amp; NP'!JF165</f>
        <v>7113185</v>
      </c>
      <c r="BX24" s="87">
        <f>'P &amp; NP'!JG165</f>
        <v>0</v>
      </c>
      <c r="BY24" s="87">
        <f>'P &amp; NP'!JH165</f>
        <v>0</v>
      </c>
      <c r="BZ24" s="87">
        <f>'P &amp; NP'!JI165</f>
        <v>0</v>
      </c>
      <c r="CA24" s="87">
        <f>'P &amp; NP'!JJ165</f>
        <v>0</v>
      </c>
      <c r="CB24" s="87">
        <f>'P &amp; NP'!JK165</f>
        <v>9260</v>
      </c>
      <c r="CC24" s="87">
        <f>'P &amp; NP'!JL165</f>
        <v>177920</v>
      </c>
      <c r="CD24" s="92">
        <f t="shared" si="222"/>
        <v>384165</v>
      </c>
      <c r="CE24" s="92">
        <f t="shared" si="223"/>
        <v>7291105</v>
      </c>
      <c r="CF24" s="87">
        <f>'P &amp; NP'!IY203</f>
        <v>0</v>
      </c>
      <c r="CG24" s="87">
        <f>'P &amp; NP'!IZ203</f>
        <v>0</v>
      </c>
      <c r="CH24" s="87">
        <f>'P &amp; NP'!JA203</f>
        <v>0</v>
      </c>
      <c r="CI24" s="87">
        <f>'P &amp; NP'!JB203</f>
        <v>0</v>
      </c>
      <c r="CJ24" s="87">
        <f>'P &amp; NP'!JC203</f>
        <v>0</v>
      </c>
      <c r="CK24" s="87">
        <f>'P &amp; NP'!JD203</f>
        <v>0</v>
      </c>
      <c r="CL24" s="87">
        <f>'P &amp; NP'!JE203</f>
        <v>365830</v>
      </c>
      <c r="CM24" s="87">
        <f>'P &amp; NP'!JF203</f>
        <v>6950060</v>
      </c>
      <c r="CN24" s="87">
        <f>'P &amp; NP'!JG203</f>
        <v>0</v>
      </c>
      <c r="CO24" s="87">
        <f>'P &amp; NP'!JH203</f>
        <v>0</v>
      </c>
      <c r="CP24" s="87">
        <f>'P &amp; NP'!JI203</f>
        <v>0</v>
      </c>
      <c r="CQ24" s="87">
        <f>'P &amp; NP'!JJ203</f>
        <v>0</v>
      </c>
      <c r="CR24" s="87">
        <f>'P &amp; NP'!JK203</f>
        <v>9540</v>
      </c>
      <c r="CS24" s="87">
        <f>'P &amp; NP'!JL203</f>
        <v>179980</v>
      </c>
      <c r="CT24" s="92">
        <f t="shared" si="224"/>
        <v>375370</v>
      </c>
      <c r="CU24" s="92">
        <f t="shared" si="225"/>
        <v>7130040</v>
      </c>
      <c r="CV24" s="87">
        <f>'P &amp; NP'!IY241</f>
        <v>0</v>
      </c>
      <c r="CW24" s="87">
        <f>'P &amp; NP'!IZ241</f>
        <v>0</v>
      </c>
      <c r="CX24" s="87">
        <f>'P &amp; NP'!JA241</f>
        <v>0</v>
      </c>
      <c r="CY24" s="87">
        <f>'P &amp; NP'!JB241</f>
        <v>0</v>
      </c>
      <c r="CZ24" s="87">
        <f>'P &amp; NP'!JE241</f>
        <v>372655</v>
      </c>
      <c r="DA24" s="87">
        <f>'P &amp; NP'!JF241</f>
        <v>7079940</v>
      </c>
      <c r="DB24" s="87">
        <f>'P &amp; NP'!JG241</f>
        <v>0</v>
      </c>
      <c r="DC24" s="87">
        <f>'P &amp; NP'!JH241</f>
        <v>0</v>
      </c>
      <c r="DD24" s="87">
        <f>'P &amp; NP'!JI241</f>
        <v>0</v>
      </c>
      <c r="DE24" s="87">
        <f>'P &amp; NP'!JJ241</f>
        <v>0</v>
      </c>
      <c r="DF24" s="87">
        <f>'P &amp; NP'!JK241</f>
        <v>9500</v>
      </c>
      <c r="DG24" s="87">
        <f>'P &amp; NP'!JL241</f>
        <v>180200</v>
      </c>
      <c r="DH24" s="87">
        <f t="shared" si="226"/>
        <v>382155</v>
      </c>
      <c r="DI24" s="87">
        <f t="shared" si="227"/>
        <v>7260140</v>
      </c>
      <c r="DJ24" s="92">
        <f>'P &amp; NP'!IY279</f>
        <v>0</v>
      </c>
      <c r="DK24" s="92">
        <f>'P &amp; NP'!IZ279</f>
        <v>0</v>
      </c>
      <c r="DL24" s="87">
        <f>'P &amp; NP'!JA279</f>
        <v>0</v>
      </c>
      <c r="DM24" s="87">
        <f>'P &amp; NP'!JB279</f>
        <v>0</v>
      </c>
      <c r="DN24" s="87">
        <f>'P &amp; NP'!JE279</f>
        <v>372167</v>
      </c>
      <c r="DO24" s="87">
        <f>'P &amp; NP'!JF279</f>
        <v>7077519</v>
      </c>
      <c r="DP24" s="87">
        <f>'P &amp; NP'!JG279</f>
        <v>0</v>
      </c>
      <c r="DQ24" s="87">
        <f>'P &amp; NP'!JH279</f>
        <v>0</v>
      </c>
      <c r="DR24" s="87">
        <f>'P &amp; NP'!JI279</f>
        <v>0</v>
      </c>
      <c r="DS24" s="87">
        <f>'P &amp; NP'!JJ279</f>
        <v>0</v>
      </c>
      <c r="DT24" s="87">
        <f>'P &amp; NP'!JK279</f>
        <v>9270</v>
      </c>
      <c r="DU24" s="87">
        <f>'P &amp; NP'!JL279</f>
        <v>175290</v>
      </c>
      <c r="DV24" s="87">
        <f t="shared" si="228"/>
        <v>381437</v>
      </c>
      <c r="DW24" s="87">
        <f t="shared" si="229"/>
        <v>7252809</v>
      </c>
      <c r="DX24" s="87">
        <f>'P &amp; NP'!IY317</f>
        <v>0</v>
      </c>
      <c r="DY24" s="87">
        <f>'P &amp; NP'!IZ317</f>
        <v>0</v>
      </c>
      <c r="DZ24" s="92">
        <f>'P &amp; NP'!JA317</f>
        <v>0</v>
      </c>
      <c r="EA24" s="92">
        <f>'P &amp; NP'!JB317</f>
        <v>0</v>
      </c>
      <c r="EB24" s="87">
        <f>'P &amp; NP'!JE317</f>
        <v>368330</v>
      </c>
      <c r="EC24" s="87">
        <f>'P &amp; NP'!JF317</f>
        <v>6994685</v>
      </c>
      <c r="ED24" s="87">
        <f>'P &amp; NP'!JG317</f>
        <v>0</v>
      </c>
      <c r="EE24" s="87">
        <f>'P &amp; NP'!JH317</f>
        <v>0</v>
      </c>
      <c r="EF24" s="87">
        <f>'P &amp; NP'!JI317</f>
        <v>0</v>
      </c>
      <c r="EG24" s="87">
        <f>'P &amp; NP'!JJ317</f>
        <v>0</v>
      </c>
      <c r="EH24" s="87">
        <f>'P &amp; NP'!JK317</f>
        <v>9090</v>
      </c>
      <c r="EI24" s="87">
        <f>'P &amp; NP'!JL317</f>
        <v>166080</v>
      </c>
      <c r="EJ24" s="87">
        <f t="shared" si="230"/>
        <v>377420</v>
      </c>
      <c r="EK24" s="87">
        <f t="shared" si="231"/>
        <v>7160765</v>
      </c>
      <c r="EL24" s="87">
        <f>'P &amp; NP'!IY355</f>
        <v>0</v>
      </c>
      <c r="EM24" s="87">
        <f>'P &amp; NP'!IZ355</f>
        <v>0</v>
      </c>
      <c r="EN24" s="87">
        <f>'P &amp; NP'!JA355</f>
        <v>0</v>
      </c>
      <c r="EO24" s="87">
        <f>'P &amp; NP'!JB355</f>
        <v>0</v>
      </c>
      <c r="EP24" s="92">
        <f>'P &amp; NP'!JE355</f>
        <v>357158</v>
      </c>
      <c r="EQ24" s="92">
        <f>'P &amp; NP'!JF355</f>
        <v>6784410</v>
      </c>
      <c r="ER24" s="87">
        <f>'P &amp; NP'!JG355</f>
        <v>0</v>
      </c>
      <c r="ES24" s="87">
        <f>'P &amp; NP'!JH355</f>
        <v>0</v>
      </c>
      <c r="ET24" s="87">
        <f>'P &amp; NP'!JI355</f>
        <v>0</v>
      </c>
      <c r="EU24" s="87">
        <f>'P &amp; NP'!JJ355</f>
        <v>0</v>
      </c>
      <c r="EV24" s="87">
        <f>'P &amp; NP'!JK355</f>
        <v>6240</v>
      </c>
      <c r="EW24" s="87">
        <f>'P &amp; NP'!JL355</f>
        <v>116980</v>
      </c>
      <c r="EX24" s="87">
        <f t="shared" si="232"/>
        <v>363398</v>
      </c>
      <c r="EY24" s="87">
        <f t="shared" si="233"/>
        <v>6901390</v>
      </c>
      <c r="EZ24" s="87">
        <f>'P &amp; NP'!IY393</f>
        <v>0</v>
      </c>
      <c r="FA24" s="87">
        <f>'P &amp; NP'!IZ393</f>
        <v>0</v>
      </c>
      <c r="FB24" s="87">
        <f>'P &amp; NP'!JA393</f>
        <v>0</v>
      </c>
      <c r="FC24" s="87">
        <f>'P &amp; NP'!JB393</f>
        <v>0</v>
      </c>
      <c r="FD24" s="87">
        <f>'P &amp; NP'!JE393</f>
        <v>359041</v>
      </c>
      <c r="FE24" s="87">
        <f>'P &amp; NP'!JF393</f>
        <v>6820976</v>
      </c>
      <c r="FF24" s="92">
        <f>'P &amp; NP'!JG393</f>
        <v>0</v>
      </c>
      <c r="FG24" s="92">
        <f>'P &amp; NP'!JH393</f>
        <v>0</v>
      </c>
      <c r="FH24" s="87">
        <f>'P &amp; NP'!JI393</f>
        <v>0</v>
      </c>
      <c r="FI24" s="87">
        <f>'P &amp; NP'!JJ393</f>
        <v>0</v>
      </c>
      <c r="FJ24" s="87">
        <f>'P &amp; NP'!JK393</f>
        <v>6430</v>
      </c>
      <c r="FK24" s="87">
        <f>'P &amp; NP'!JL393</f>
        <v>119710</v>
      </c>
      <c r="FL24" s="87">
        <f t="shared" si="234"/>
        <v>365471</v>
      </c>
      <c r="FM24" s="87">
        <f t="shared" si="235"/>
        <v>6940686</v>
      </c>
      <c r="FN24" s="87">
        <f>'P &amp; NP'!IY431</f>
        <v>0</v>
      </c>
      <c r="FO24" s="87">
        <f>'P &amp; NP'!IZ431</f>
        <v>0</v>
      </c>
      <c r="FP24" s="87">
        <f>'P &amp; NP'!JA431</f>
        <v>0</v>
      </c>
      <c r="FQ24" s="87">
        <f>'P &amp; NP'!JB431</f>
        <v>0</v>
      </c>
      <c r="FR24" s="87">
        <f>'P &amp; NP'!JE431</f>
        <v>361863</v>
      </c>
      <c r="FS24" s="87">
        <f>'P &amp; NP'!JF431</f>
        <v>6885580</v>
      </c>
      <c r="FT24" s="87">
        <f>'P &amp; NP'!JG431</f>
        <v>0</v>
      </c>
      <c r="FU24" s="87">
        <f>'P &amp; NP'!JH431</f>
        <v>0</v>
      </c>
      <c r="FV24" s="92">
        <f>'P &amp; NP'!JI431</f>
        <v>0</v>
      </c>
      <c r="FW24" s="92">
        <f>'P &amp; NP'!JJ431</f>
        <v>0</v>
      </c>
      <c r="FX24" s="87">
        <f>'P &amp; NP'!JK431</f>
        <v>6010</v>
      </c>
      <c r="FY24" s="87">
        <f>'P &amp; NP'!JL431</f>
        <v>113950</v>
      </c>
      <c r="FZ24" s="87">
        <f t="shared" si="236"/>
        <v>367873</v>
      </c>
      <c r="GA24" s="87">
        <f t="shared" si="237"/>
        <v>6999530</v>
      </c>
      <c r="GC24" s="609">
        <f t="shared" si="164"/>
        <v>0</v>
      </c>
      <c r="GD24" s="609">
        <f t="shared" si="165"/>
        <v>0</v>
      </c>
      <c r="GE24" s="609">
        <f t="shared" si="166"/>
        <v>0</v>
      </c>
      <c r="GF24" s="609">
        <f t="shared" si="167"/>
        <v>0</v>
      </c>
      <c r="GG24" s="609">
        <f t="shared" si="168"/>
        <v>1097544</v>
      </c>
      <c r="GH24" s="609">
        <f t="shared" si="169"/>
        <v>20878467</v>
      </c>
      <c r="GI24" s="609">
        <f t="shared" si="170"/>
        <v>0</v>
      </c>
      <c r="GJ24" s="609">
        <f t="shared" si="171"/>
        <v>0</v>
      </c>
      <c r="GK24" s="609">
        <f t="shared" si="172"/>
        <v>0</v>
      </c>
      <c r="GL24" s="609">
        <f t="shared" si="173"/>
        <v>0</v>
      </c>
      <c r="GM24" s="609">
        <f t="shared" si="174"/>
        <v>31713</v>
      </c>
      <c r="GN24" s="609">
        <f t="shared" si="175"/>
        <v>624462</v>
      </c>
      <c r="GO24" s="640">
        <f t="shared" si="238"/>
        <v>1129257</v>
      </c>
      <c r="GP24" s="640">
        <f t="shared" si="239"/>
        <v>21502929</v>
      </c>
      <c r="GR24" s="609">
        <f t="shared" si="176"/>
        <v>0</v>
      </c>
      <c r="GS24" s="609">
        <f t="shared" si="177"/>
        <v>0</v>
      </c>
      <c r="GT24" s="609">
        <f t="shared" si="178"/>
        <v>0</v>
      </c>
      <c r="GU24" s="609">
        <f t="shared" si="179"/>
        <v>0</v>
      </c>
      <c r="GV24" s="609">
        <f t="shared" si="180"/>
        <v>1117767</v>
      </c>
      <c r="GW24" s="609">
        <f t="shared" si="181"/>
        <v>21222625</v>
      </c>
      <c r="GX24" s="609">
        <f t="shared" si="182"/>
        <v>0</v>
      </c>
      <c r="GY24" s="609">
        <f t="shared" si="183"/>
        <v>0</v>
      </c>
      <c r="GZ24" s="609">
        <f t="shared" si="184"/>
        <v>0</v>
      </c>
      <c r="HA24" s="609">
        <f t="shared" si="185"/>
        <v>0</v>
      </c>
      <c r="HB24" s="609">
        <f t="shared" si="186"/>
        <v>28680</v>
      </c>
      <c r="HC24" s="609">
        <f t="shared" si="187"/>
        <v>545610</v>
      </c>
      <c r="HD24" s="640">
        <f t="shared" si="240"/>
        <v>1146447</v>
      </c>
      <c r="HE24" s="640">
        <f t="shared" si="241"/>
        <v>21768235</v>
      </c>
      <c r="HG24" s="609">
        <f t="shared" si="188"/>
        <v>0</v>
      </c>
      <c r="HH24" s="609">
        <f t="shared" si="189"/>
        <v>0</v>
      </c>
      <c r="HI24" s="609">
        <f t="shared" si="190"/>
        <v>0</v>
      </c>
      <c r="HJ24" s="609">
        <f t="shared" si="191"/>
        <v>0</v>
      </c>
      <c r="HK24" s="609">
        <f t="shared" si="192"/>
        <v>1113152</v>
      </c>
      <c r="HL24" s="609">
        <f t="shared" si="193"/>
        <v>21152144</v>
      </c>
      <c r="HM24" s="609">
        <f t="shared" si="194"/>
        <v>0</v>
      </c>
      <c r="HN24" s="609">
        <f t="shared" si="195"/>
        <v>0</v>
      </c>
      <c r="HO24" s="609">
        <f t="shared" si="196"/>
        <v>0</v>
      </c>
      <c r="HP24" s="609">
        <f t="shared" si="197"/>
        <v>0</v>
      </c>
      <c r="HQ24" s="609">
        <f t="shared" si="198"/>
        <v>27860</v>
      </c>
      <c r="HR24" s="609">
        <f t="shared" si="199"/>
        <v>521570</v>
      </c>
      <c r="HS24" s="640">
        <f t="shared" si="242"/>
        <v>1141012</v>
      </c>
      <c r="HT24" s="640">
        <f t="shared" si="243"/>
        <v>21673714</v>
      </c>
      <c r="HV24" s="609">
        <f t="shared" si="200"/>
        <v>0</v>
      </c>
      <c r="HW24" s="609">
        <f t="shared" si="201"/>
        <v>0</v>
      </c>
      <c r="HX24" s="609">
        <f t="shared" si="202"/>
        <v>0</v>
      </c>
      <c r="HY24" s="609">
        <f t="shared" si="203"/>
        <v>0</v>
      </c>
      <c r="HZ24" s="609">
        <f t="shared" si="204"/>
        <v>1078062</v>
      </c>
      <c r="IA24" s="609">
        <f t="shared" si="205"/>
        <v>20490966</v>
      </c>
      <c r="IB24" s="609">
        <f t="shared" si="206"/>
        <v>0</v>
      </c>
      <c r="IC24" s="609">
        <f t="shared" si="207"/>
        <v>0</v>
      </c>
      <c r="ID24" s="609">
        <f t="shared" si="208"/>
        <v>0</v>
      </c>
      <c r="IE24" s="609">
        <f t="shared" si="209"/>
        <v>0</v>
      </c>
      <c r="IF24" s="609">
        <f t="shared" si="210"/>
        <v>18680</v>
      </c>
      <c r="IG24" s="609">
        <f t="shared" si="211"/>
        <v>350640</v>
      </c>
      <c r="IH24" s="640">
        <f t="shared" si="244"/>
        <v>1096742</v>
      </c>
      <c r="II24" s="640">
        <f t="shared" si="245"/>
        <v>20841606</v>
      </c>
    </row>
    <row r="25" spans="1:243">
      <c r="A25" s="484" t="s">
        <v>112</v>
      </c>
      <c r="B25" s="484">
        <f t="shared" si="212"/>
        <v>2663462</v>
      </c>
      <c r="C25" s="484">
        <f t="shared" si="213"/>
        <v>161741390</v>
      </c>
      <c r="D25" s="87">
        <f>'P &amp; NP'!JO13</f>
        <v>0</v>
      </c>
      <c r="E25" s="87">
        <f>'P &amp; NP'!JP13</f>
        <v>0</v>
      </c>
      <c r="F25" s="87">
        <f>'P &amp; NP'!JQ13</f>
        <v>94548</v>
      </c>
      <c r="G25" s="87">
        <f>'P &amp; NP'!JR13</f>
        <v>7563840</v>
      </c>
      <c r="H25" s="87">
        <f>'P &amp; NP'!JS13</f>
        <v>0</v>
      </c>
      <c r="I25" s="87">
        <f>'P &amp; NP'!JT13</f>
        <v>0</v>
      </c>
      <c r="J25" s="87">
        <f>'P &amp; NP'!JU13</f>
        <v>42284</v>
      </c>
      <c r="K25" s="87">
        <f>'P &amp; NP'!JV13</f>
        <v>1046749</v>
      </c>
      <c r="L25" s="87">
        <f>'P &amp; NP'!JW13</f>
        <v>0</v>
      </c>
      <c r="M25" s="87">
        <f>'P &amp; NP'!JX13</f>
        <v>0</v>
      </c>
      <c r="N25" s="87">
        <f>'P &amp; NP'!JY13</f>
        <v>0</v>
      </c>
      <c r="O25" s="87">
        <f>'P &amp; NP'!JZ13</f>
        <v>0</v>
      </c>
      <c r="P25" s="87">
        <f>'P &amp; NP'!KA13</f>
        <v>0</v>
      </c>
      <c r="Q25" s="87">
        <f>'P &amp; NP'!KB13</f>
        <v>0</v>
      </c>
      <c r="R25" s="92">
        <f t="shared" si="214"/>
        <v>136832</v>
      </c>
      <c r="S25" s="92">
        <f t="shared" si="215"/>
        <v>8610589</v>
      </c>
      <c r="T25" s="87">
        <f>'P &amp; NP'!JO51</f>
        <v>0</v>
      </c>
      <c r="U25" s="87">
        <f>'P &amp; NP'!JP51</f>
        <v>0</v>
      </c>
      <c r="V25" s="87">
        <f>'P &amp; NP'!JQ51</f>
        <v>150403</v>
      </c>
      <c r="W25" s="87">
        <f>'P &amp; NP'!JR51</f>
        <v>11430628</v>
      </c>
      <c r="X25" s="87">
        <f>'P &amp; NP'!JS51</f>
        <v>0</v>
      </c>
      <c r="Y25" s="87">
        <f>'P &amp; NP'!JT51</f>
        <v>0</v>
      </c>
      <c r="Z25" s="87">
        <f>'P &amp; NP'!JU51</f>
        <v>52294</v>
      </c>
      <c r="AA25" s="87">
        <f>'P &amp; NP'!JV51</f>
        <v>1368092</v>
      </c>
      <c r="AB25" s="87">
        <f>'P &amp; NP'!JW51</f>
        <v>0</v>
      </c>
      <c r="AC25" s="87">
        <f>'P &amp; NP'!JX51</f>
        <v>0</v>
      </c>
      <c r="AD25" s="87">
        <f>'P &amp; NP'!JY51</f>
        <v>0</v>
      </c>
      <c r="AE25" s="87">
        <f>'P &amp; NP'!JZ51</f>
        <v>0</v>
      </c>
      <c r="AF25" s="87">
        <f>'P &amp; NP'!KA51</f>
        <v>0</v>
      </c>
      <c r="AG25" s="87">
        <f>'P &amp; NP'!KB51</f>
        <v>0</v>
      </c>
      <c r="AH25" s="92">
        <f t="shared" si="216"/>
        <v>202697</v>
      </c>
      <c r="AI25" s="92">
        <f t="shared" si="217"/>
        <v>12798720</v>
      </c>
      <c r="AJ25" s="87">
        <f>'P &amp; NP'!JO89</f>
        <v>0</v>
      </c>
      <c r="AK25" s="87">
        <f>'P &amp; NP'!JP89</f>
        <v>0</v>
      </c>
      <c r="AL25" s="87">
        <f>'P &amp; NP'!JQ89</f>
        <v>140570</v>
      </c>
      <c r="AM25" s="87">
        <f>'P &amp; NP'!JR89</f>
        <v>10693720</v>
      </c>
      <c r="AN25" s="87">
        <f>'P &amp; NP'!JS89</f>
        <v>0</v>
      </c>
      <c r="AO25" s="87">
        <f>'P &amp; NP'!JT89</f>
        <v>0</v>
      </c>
      <c r="AP25" s="87">
        <f>'P &amp; NP'!JU89</f>
        <v>67169</v>
      </c>
      <c r="AQ25" s="87">
        <f>'P &amp; NP'!JV89</f>
        <v>1751261</v>
      </c>
      <c r="AR25" s="87">
        <f>'P &amp; NP'!JW89</f>
        <v>0</v>
      </c>
      <c r="AS25" s="87">
        <f>'P &amp; NP'!JX89</f>
        <v>0</v>
      </c>
      <c r="AT25" s="87">
        <f>'P &amp; NP'!JY89</f>
        <v>0</v>
      </c>
      <c r="AU25" s="87">
        <f>'P &amp; NP'!JZ89</f>
        <v>0</v>
      </c>
      <c r="AV25" s="87">
        <f>'P &amp; NP'!KA89</f>
        <v>0</v>
      </c>
      <c r="AW25" s="87">
        <f>'P &amp; NP'!KB89</f>
        <v>0</v>
      </c>
      <c r="AX25" s="92">
        <f t="shared" si="218"/>
        <v>207739</v>
      </c>
      <c r="AY25" s="92">
        <f t="shared" si="219"/>
        <v>12444981</v>
      </c>
      <c r="AZ25" s="87">
        <f>'P &amp; NP'!JO127</f>
        <v>0</v>
      </c>
      <c r="BA25" s="87">
        <f>'P &amp; NP'!JP127</f>
        <v>0</v>
      </c>
      <c r="BB25" s="87">
        <f>'P &amp; NP'!JQ127</f>
        <v>130470</v>
      </c>
      <c r="BC25" s="87">
        <f>'P &amp; NP'!JR127</f>
        <v>10442600</v>
      </c>
      <c r="BD25" s="87">
        <f>'P &amp; NP'!JS127</f>
        <v>0</v>
      </c>
      <c r="BE25" s="87">
        <f>'P &amp; NP'!JT127</f>
        <v>0</v>
      </c>
      <c r="BF25" s="87">
        <f>'P &amp; NP'!JU127</f>
        <v>79255</v>
      </c>
      <c r="BG25" s="87">
        <f>'P &amp; NP'!JV127</f>
        <v>2034230</v>
      </c>
      <c r="BH25" s="87">
        <f>'P &amp; NP'!JW127</f>
        <v>0</v>
      </c>
      <c r="BI25" s="87">
        <f>'P &amp; NP'!JX127</f>
        <v>0</v>
      </c>
      <c r="BJ25" s="87">
        <f>'P &amp; NP'!JY127</f>
        <v>0</v>
      </c>
      <c r="BK25" s="87">
        <f>'P &amp; NP'!JZ127</f>
        <v>0</v>
      </c>
      <c r="BL25" s="87">
        <f>'P &amp; NP'!KA127</f>
        <v>0</v>
      </c>
      <c r="BM25" s="87">
        <f>'P &amp; NP'!KB127</f>
        <v>0</v>
      </c>
      <c r="BN25" s="92">
        <f t="shared" si="220"/>
        <v>209725</v>
      </c>
      <c r="BO25" s="92">
        <f t="shared" si="221"/>
        <v>12476830</v>
      </c>
      <c r="BP25" s="87">
        <f>'P &amp; NP'!JO165</f>
        <v>0</v>
      </c>
      <c r="BQ25" s="87">
        <f>'P &amp; NP'!JP165</f>
        <v>0</v>
      </c>
      <c r="BR25" s="87">
        <f>'P &amp; NP'!JQ165</f>
        <v>110765</v>
      </c>
      <c r="BS25" s="87">
        <f>'P &amp; NP'!JR165</f>
        <v>8867200</v>
      </c>
      <c r="BT25" s="87">
        <f>'P &amp; NP'!JS165</f>
        <v>0</v>
      </c>
      <c r="BU25" s="87">
        <f>'P &amp; NP'!JT165</f>
        <v>0</v>
      </c>
      <c r="BV25" s="87">
        <f>'P &amp; NP'!JU165</f>
        <v>74022</v>
      </c>
      <c r="BW25" s="87">
        <f>'P &amp; NP'!JV165</f>
        <v>1910332</v>
      </c>
      <c r="BX25" s="87">
        <f>'P &amp; NP'!JW165</f>
        <v>0</v>
      </c>
      <c r="BY25" s="87">
        <f>'P &amp; NP'!JX165</f>
        <v>0</v>
      </c>
      <c r="BZ25" s="87">
        <f>'P &amp; NP'!JY165</f>
        <v>0</v>
      </c>
      <c r="CA25" s="87">
        <f>'P &amp; NP'!JZ165</f>
        <v>0</v>
      </c>
      <c r="CB25" s="87">
        <f>'P &amp; NP'!KA165</f>
        <v>0</v>
      </c>
      <c r="CC25" s="87">
        <f>'P &amp; NP'!KB165</f>
        <v>0</v>
      </c>
      <c r="CD25" s="92">
        <f t="shared" si="222"/>
        <v>184787</v>
      </c>
      <c r="CE25" s="92">
        <f t="shared" si="223"/>
        <v>10777532</v>
      </c>
      <c r="CF25" s="87">
        <f>'P &amp; NP'!JO203</f>
        <v>0</v>
      </c>
      <c r="CG25" s="87">
        <f>'P &amp; NP'!JP203</f>
        <v>0</v>
      </c>
      <c r="CH25" s="87">
        <f>'P &amp; NP'!JQ203</f>
        <v>113354</v>
      </c>
      <c r="CI25" s="87">
        <f>'P &amp; NP'!JR203</f>
        <v>9068320</v>
      </c>
      <c r="CJ25" s="87">
        <f>'P &amp; NP'!JS203</f>
        <v>0</v>
      </c>
      <c r="CK25" s="87">
        <f>'P &amp; NP'!JT203</f>
        <v>0</v>
      </c>
      <c r="CL25" s="87">
        <f>'P &amp; NP'!JU203</f>
        <v>80718</v>
      </c>
      <c r="CM25" s="87">
        <f>'P &amp; NP'!JV203</f>
        <v>2087800</v>
      </c>
      <c r="CN25" s="87">
        <f>'P &amp; NP'!JW203</f>
        <v>0</v>
      </c>
      <c r="CO25" s="87">
        <f>'P &amp; NP'!JX203</f>
        <v>0</v>
      </c>
      <c r="CP25" s="87">
        <f>'P &amp; NP'!JY203</f>
        <v>0</v>
      </c>
      <c r="CQ25" s="87">
        <f>'P &amp; NP'!JZ203</f>
        <v>0</v>
      </c>
      <c r="CR25" s="87">
        <f>'P &amp; NP'!KA203</f>
        <v>0</v>
      </c>
      <c r="CS25" s="87">
        <f>'P &amp; NP'!KB203</f>
        <v>0</v>
      </c>
      <c r="CT25" s="92">
        <f t="shared" si="224"/>
        <v>194072</v>
      </c>
      <c r="CU25" s="92">
        <f t="shared" si="225"/>
        <v>11156120</v>
      </c>
      <c r="CV25" s="87">
        <f>'P &amp; NP'!JO241</f>
        <v>0</v>
      </c>
      <c r="CW25" s="87">
        <f>'P &amp; NP'!JP241</f>
        <v>0</v>
      </c>
      <c r="CX25" s="87">
        <f>'P &amp; NP'!JQ241</f>
        <v>141041</v>
      </c>
      <c r="CY25" s="87">
        <f>'P &amp; NP'!JR241</f>
        <v>11283280</v>
      </c>
      <c r="CZ25" s="87">
        <f>'P &amp; NP'!JU241</f>
        <v>76840</v>
      </c>
      <c r="DA25" s="87">
        <f>'P &amp; NP'!JV241</f>
        <v>1981652</v>
      </c>
      <c r="DB25" s="87">
        <f>'P &amp; NP'!JW241</f>
        <v>0</v>
      </c>
      <c r="DC25" s="87">
        <f>'P &amp; NP'!JX241</f>
        <v>0</v>
      </c>
      <c r="DD25" s="87">
        <f>'P &amp; NP'!JY241</f>
        <v>0</v>
      </c>
      <c r="DE25" s="87">
        <f>'P &amp; NP'!JZ241</f>
        <v>0</v>
      </c>
      <c r="DF25" s="87">
        <f>'P &amp; NP'!KA241</f>
        <v>0</v>
      </c>
      <c r="DG25" s="87">
        <f>'P &amp; NP'!KB241</f>
        <v>0</v>
      </c>
      <c r="DH25" s="87">
        <f t="shared" si="226"/>
        <v>217881</v>
      </c>
      <c r="DI25" s="87">
        <f t="shared" si="227"/>
        <v>13264932</v>
      </c>
      <c r="DJ25" s="92">
        <f>'P &amp; NP'!JO279</f>
        <v>0</v>
      </c>
      <c r="DK25" s="92">
        <f>'P &amp; NP'!JP279</f>
        <v>0</v>
      </c>
      <c r="DL25" s="87">
        <f>'P &amp; NP'!JQ279</f>
        <v>120830</v>
      </c>
      <c r="DM25" s="87">
        <f>'P &amp; NP'!JR279</f>
        <v>9666400</v>
      </c>
      <c r="DN25" s="87">
        <f>'P &amp; NP'!JU279</f>
        <v>85115</v>
      </c>
      <c r="DO25" s="87">
        <f>'P &amp; NP'!JV279</f>
        <v>2228241</v>
      </c>
      <c r="DP25" s="87">
        <f>'P &amp; NP'!JW279</f>
        <v>0</v>
      </c>
      <c r="DQ25" s="87">
        <f>'P &amp; NP'!JX279</f>
        <v>0</v>
      </c>
      <c r="DR25" s="87">
        <f>'P &amp; NP'!JY279</f>
        <v>0</v>
      </c>
      <c r="DS25" s="87">
        <f>'P &amp; NP'!JZ279</f>
        <v>0</v>
      </c>
      <c r="DT25" s="87">
        <f>'P &amp; NP'!KA279</f>
        <v>0</v>
      </c>
      <c r="DU25" s="87">
        <f>'P &amp; NP'!KB279</f>
        <v>0</v>
      </c>
      <c r="DV25" s="87">
        <f t="shared" si="228"/>
        <v>205945</v>
      </c>
      <c r="DW25" s="87">
        <f t="shared" si="229"/>
        <v>11894641</v>
      </c>
      <c r="DX25" s="87">
        <f>'P &amp; NP'!JO317</f>
        <v>0</v>
      </c>
      <c r="DY25" s="87">
        <f>'P &amp; NP'!JP317</f>
        <v>0</v>
      </c>
      <c r="DZ25" s="92">
        <f>'P &amp; NP'!JQ317</f>
        <v>234950</v>
      </c>
      <c r="EA25" s="92">
        <f>'P &amp; NP'!JR317</f>
        <v>18821000</v>
      </c>
      <c r="EB25" s="87">
        <f>'P &amp; NP'!JU317</f>
        <v>83135</v>
      </c>
      <c r="EC25" s="87">
        <f>'P &amp; NP'!JV317</f>
        <v>2142761</v>
      </c>
      <c r="ED25" s="87">
        <f>'P &amp; NP'!JW317</f>
        <v>0</v>
      </c>
      <c r="EE25" s="87">
        <f>'P &amp; NP'!JX317</f>
        <v>0</v>
      </c>
      <c r="EF25" s="87">
        <f>'P &amp; NP'!JY317</f>
        <v>0</v>
      </c>
      <c r="EG25" s="87">
        <f>'P &amp; NP'!JZ317</f>
        <v>0</v>
      </c>
      <c r="EH25" s="87">
        <f>'P &amp; NP'!KA317</f>
        <v>0</v>
      </c>
      <c r="EI25" s="87">
        <f>'P &amp; NP'!KB317</f>
        <v>0</v>
      </c>
      <c r="EJ25" s="87">
        <f t="shared" si="230"/>
        <v>318085</v>
      </c>
      <c r="EK25" s="87">
        <f t="shared" si="231"/>
        <v>20963761</v>
      </c>
      <c r="EL25" s="87">
        <f>'P &amp; NP'!JO355</f>
        <v>0</v>
      </c>
      <c r="EM25" s="87">
        <f>'P &amp; NP'!JP355</f>
        <v>0</v>
      </c>
      <c r="EN25" s="87">
        <f>'P &amp; NP'!JQ355</f>
        <v>169012</v>
      </c>
      <c r="EO25" s="87">
        <f>'P &amp; NP'!JR355</f>
        <v>13527160</v>
      </c>
      <c r="EP25" s="92">
        <f>'P &amp; NP'!JU355</f>
        <v>77455</v>
      </c>
      <c r="EQ25" s="92">
        <f>'P &amp; NP'!JV355</f>
        <v>1979469</v>
      </c>
      <c r="ER25" s="87">
        <f>'P &amp; NP'!JW355</f>
        <v>0</v>
      </c>
      <c r="ES25" s="87">
        <f>'P &amp; NP'!JX355</f>
        <v>0</v>
      </c>
      <c r="ET25" s="87">
        <f>'P &amp; NP'!JY355</f>
        <v>0</v>
      </c>
      <c r="EU25" s="87">
        <f>'P &amp; NP'!JZ355</f>
        <v>0</v>
      </c>
      <c r="EV25" s="87">
        <f>'P &amp; NP'!KA355</f>
        <v>0</v>
      </c>
      <c r="EW25" s="87">
        <f>'P &amp; NP'!KB355</f>
        <v>0</v>
      </c>
      <c r="EX25" s="87">
        <f t="shared" si="232"/>
        <v>246467</v>
      </c>
      <c r="EY25" s="87">
        <f t="shared" si="233"/>
        <v>15506629</v>
      </c>
      <c r="EZ25" s="87">
        <f>'P &amp; NP'!JO393</f>
        <v>0</v>
      </c>
      <c r="FA25" s="87">
        <f>'P &amp; NP'!JP393</f>
        <v>0</v>
      </c>
      <c r="FB25" s="87">
        <f>'P &amp; NP'!JQ393</f>
        <v>173447</v>
      </c>
      <c r="FC25" s="87">
        <f>'P &amp; NP'!JR393</f>
        <v>13882160</v>
      </c>
      <c r="FD25" s="87">
        <f>'P &amp; NP'!JU393</f>
        <v>78002</v>
      </c>
      <c r="FE25" s="87">
        <f>'P &amp; NP'!JV393</f>
        <v>2001361</v>
      </c>
      <c r="FF25" s="92">
        <f>'P &amp; NP'!JW393</f>
        <v>0</v>
      </c>
      <c r="FG25" s="92">
        <f>'P &amp; NP'!JX393</f>
        <v>0</v>
      </c>
      <c r="FH25" s="87">
        <f>'P &amp; NP'!JY393</f>
        <v>0</v>
      </c>
      <c r="FI25" s="87">
        <f>'P &amp; NP'!JZ393</f>
        <v>0</v>
      </c>
      <c r="FJ25" s="87">
        <f>'P &amp; NP'!KA393</f>
        <v>0</v>
      </c>
      <c r="FK25" s="87">
        <f>'P &amp; NP'!KB393</f>
        <v>0</v>
      </c>
      <c r="FL25" s="87">
        <f t="shared" si="234"/>
        <v>251449</v>
      </c>
      <c r="FM25" s="87">
        <f t="shared" si="235"/>
        <v>15883521</v>
      </c>
      <c r="FN25" s="87">
        <f>'P &amp; NP'!JO431</f>
        <v>0</v>
      </c>
      <c r="FO25" s="87">
        <f>'P &amp; NP'!JP431</f>
        <v>0</v>
      </c>
      <c r="FP25" s="87">
        <f>'P &amp; NP'!JQ431</f>
        <v>153185</v>
      </c>
      <c r="FQ25" s="87">
        <f>'P &amp; NP'!JR431</f>
        <v>12256300</v>
      </c>
      <c r="FR25" s="87">
        <f>'P &amp; NP'!JU431</f>
        <v>134598</v>
      </c>
      <c r="FS25" s="87">
        <f>'P &amp; NP'!JV431</f>
        <v>3706834</v>
      </c>
      <c r="FT25" s="87">
        <f>'P &amp; NP'!JW431</f>
        <v>0</v>
      </c>
      <c r="FU25" s="87">
        <f>'P &amp; NP'!JX431</f>
        <v>0</v>
      </c>
      <c r="FV25" s="92">
        <f>'P &amp; NP'!JY431</f>
        <v>0</v>
      </c>
      <c r="FW25" s="92">
        <f>'P &amp; NP'!JZ431</f>
        <v>0</v>
      </c>
      <c r="FX25" s="87">
        <f>'P &amp; NP'!KA431</f>
        <v>0</v>
      </c>
      <c r="FY25" s="87">
        <f>'P &amp; NP'!KB431</f>
        <v>0</v>
      </c>
      <c r="FZ25" s="87">
        <f t="shared" si="236"/>
        <v>287783</v>
      </c>
      <c r="GA25" s="87">
        <f t="shared" si="237"/>
        <v>15963134</v>
      </c>
      <c r="GC25" s="609">
        <f t="shared" si="164"/>
        <v>0</v>
      </c>
      <c r="GD25" s="609">
        <f t="shared" si="165"/>
        <v>0</v>
      </c>
      <c r="GE25" s="609">
        <f t="shared" si="166"/>
        <v>385521</v>
      </c>
      <c r="GF25" s="609">
        <f t="shared" si="167"/>
        <v>29688188</v>
      </c>
      <c r="GG25" s="609">
        <f t="shared" si="168"/>
        <v>161747</v>
      </c>
      <c r="GH25" s="609">
        <f t="shared" si="169"/>
        <v>4166102</v>
      </c>
      <c r="GI25" s="609">
        <f t="shared" si="170"/>
        <v>0</v>
      </c>
      <c r="GJ25" s="609">
        <f t="shared" si="171"/>
        <v>0</v>
      </c>
      <c r="GK25" s="609">
        <f t="shared" si="172"/>
        <v>0</v>
      </c>
      <c r="GL25" s="609">
        <f t="shared" si="173"/>
        <v>0</v>
      </c>
      <c r="GM25" s="609">
        <f t="shared" si="174"/>
        <v>0</v>
      </c>
      <c r="GN25" s="609">
        <f t="shared" si="175"/>
        <v>0</v>
      </c>
      <c r="GO25" s="640">
        <f t="shared" si="238"/>
        <v>547268</v>
      </c>
      <c r="GP25" s="640">
        <f t="shared" si="239"/>
        <v>33854290</v>
      </c>
      <c r="GR25" s="609">
        <f t="shared" si="176"/>
        <v>0</v>
      </c>
      <c r="GS25" s="609">
        <f t="shared" si="177"/>
        <v>0</v>
      </c>
      <c r="GT25" s="609">
        <f t="shared" si="178"/>
        <v>354589</v>
      </c>
      <c r="GU25" s="609">
        <f t="shared" si="179"/>
        <v>28378120</v>
      </c>
      <c r="GV25" s="609">
        <f t="shared" si="180"/>
        <v>233995</v>
      </c>
      <c r="GW25" s="609">
        <f t="shared" si="181"/>
        <v>6032362</v>
      </c>
      <c r="GX25" s="609">
        <f t="shared" si="182"/>
        <v>0</v>
      </c>
      <c r="GY25" s="609">
        <f t="shared" si="183"/>
        <v>0</v>
      </c>
      <c r="GZ25" s="609">
        <f t="shared" si="184"/>
        <v>0</v>
      </c>
      <c r="HA25" s="609">
        <f t="shared" si="185"/>
        <v>0</v>
      </c>
      <c r="HB25" s="609">
        <f t="shared" si="186"/>
        <v>0</v>
      </c>
      <c r="HC25" s="609">
        <f t="shared" si="187"/>
        <v>0</v>
      </c>
      <c r="HD25" s="640">
        <f t="shared" si="240"/>
        <v>588584</v>
      </c>
      <c r="HE25" s="640">
        <f t="shared" si="241"/>
        <v>34410482</v>
      </c>
      <c r="HG25" s="609">
        <f t="shared" si="188"/>
        <v>0</v>
      </c>
      <c r="HH25" s="609">
        <f t="shared" si="189"/>
        <v>0</v>
      </c>
      <c r="HI25" s="609">
        <f t="shared" si="190"/>
        <v>496821</v>
      </c>
      <c r="HJ25" s="609">
        <f t="shared" si="191"/>
        <v>39770680</v>
      </c>
      <c r="HK25" s="609">
        <f t="shared" si="192"/>
        <v>245090</v>
      </c>
      <c r="HL25" s="609">
        <f t="shared" si="193"/>
        <v>6352654</v>
      </c>
      <c r="HM25" s="609">
        <f t="shared" si="194"/>
        <v>0</v>
      </c>
      <c r="HN25" s="609">
        <f t="shared" si="195"/>
        <v>0</v>
      </c>
      <c r="HO25" s="609">
        <f t="shared" si="196"/>
        <v>0</v>
      </c>
      <c r="HP25" s="609">
        <f t="shared" si="197"/>
        <v>0</v>
      </c>
      <c r="HQ25" s="609">
        <f t="shared" si="198"/>
        <v>0</v>
      </c>
      <c r="HR25" s="609">
        <f t="shared" si="199"/>
        <v>0</v>
      </c>
      <c r="HS25" s="640">
        <f t="shared" si="242"/>
        <v>741911</v>
      </c>
      <c r="HT25" s="640">
        <f t="shared" si="243"/>
        <v>46123334</v>
      </c>
      <c r="HV25" s="609">
        <f t="shared" si="200"/>
        <v>0</v>
      </c>
      <c r="HW25" s="609">
        <f t="shared" si="201"/>
        <v>0</v>
      </c>
      <c r="HX25" s="609">
        <f t="shared" si="202"/>
        <v>495644</v>
      </c>
      <c r="HY25" s="609">
        <f t="shared" si="203"/>
        <v>39665620</v>
      </c>
      <c r="HZ25" s="609">
        <f t="shared" si="204"/>
        <v>290055</v>
      </c>
      <c r="IA25" s="609">
        <f t="shared" si="205"/>
        <v>7687664</v>
      </c>
      <c r="IB25" s="609">
        <f t="shared" si="206"/>
        <v>0</v>
      </c>
      <c r="IC25" s="609">
        <f t="shared" si="207"/>
        <v>0</v>
      </c>
      <c r="ID25" s="609">
        <f t="shared" si="208"/>
        <v>0</v>
      </c>
      <c r="IE25" s="609">
        <f t="shared" si="209"/>
        <v>0</v>
      </c>
      <c r="IF25" s="609">
        <f t="shared" si="210"/>
        <v>0</v>
      </c>
      <c r="IG25" s="609">
        <f t="shared" si="211"/>
        <v>0</v>
      </c>
      <c r="IH25" s="640">
        <f t="shared" si="244"/>
        <v>785699</v>
      </c>
      <c r="II25" s="640">
        <f t="shared" si="245"/>
        <v>47353284</v>
      </c>
    </row>
    <row r="26" spans="1:243">
      <c r="A26" s="484" t="s">
        <v>139</v>
      </c>
      <c r="B26" s="484">
        <f t="shared" si="212"/>
        <v>1315693</v>
      </c>
      <c r="C26" s="484">
        <f t="shared" si="213"/>
        <v>49306020</v>
      </c>
      <c r="D26" s="87">
        <f>'P &amp; NP'!KE13</f>
        <v>0</v>
      </c>
      <c r="E26" s="87">
        <f>'P &amp; NP'!KF13</f>
        <v>0</v>
      </c>
      <c r="F26" s="87">
        <f>'P &amp; NP'!KG13</f>
        <v>60882</v>
      </c>
      <c r="G26" s="87">
        <f>'P &amp; NP'!KH13</f>
        <v>4242980</v>
      </c>
      <c r="H26" s="87">
        <f>'P &amp; NP'!KI13</f>
        <v>0</v>
      </c>
      <c r="I26" s="87">
        <f>'P &amp; NP'!KJ13</f>
        <v>0</v>
      </c>
      <c r="J26" s="87">
        <f>'P &amp; NP'!KK13</f>
        <v>54804</v>
      </c>
      <c r="K26" s="87">
        <f>'P &amp; NP'!KL13</f>
        <v>1100340</v>
      </c>
      <c r="L26" s="87">
        <f>'P &amp; NP'!KM13</f>
        <v>0</v>
      </c>
      <c r="M26" s="87">
        <f>'P &amp; NP'!KN13</f>
        <v>0</v>
      </c>
      <c r="N26" s="87">
        <f>'P &amp; NP'!KO13</f>
        <v>0</v>
      </c>
      <c r="O26" s="87">
        <f>'P &amp; NP'!KP13</f>
        <v>0</v>
      </c>
      <c r="P26" s="87">
        <f>'P &amp; NP'!KQ13</f>
        <v>0</v>
      </c>
      <c r="Q26" s="87">
        <f>'P &amp; NP'!KR13</f>
        <v>0</v>
      </c>
      <c r="R26" s="92">
        <f t="shared" si="214"/>
        <v>115686</v>
      </c>
      <c r="S26" s="92">
        <f t="shared" si="215"/>
        <v>5343320</v>
      </c>
      <c r="T26" s="87">
        <f>'P &amp; NP'!KE51</f>
        <v>0</v>
      </c>
      <c r="U26" s="87">
        <f>'P &amp; NP'!KF51</f>
        <v>0</v>
      </c>
      <c r="V26" s="87">
        <f>'P &amp; NP'!KG51</f>
        <v>46212</v>
      </c>
      <c r="W26" s="87">
        <f>'P &amp; NP'!KH51</f>
        <v>3586104</v>
      </c>
      <c r="X26" s="87">
        <f>'P &amp; NP'!KI51</f>
        <v>0</v>
      </c>
      <c r="Y26" s="87">
        <f>'P &amp; NP'!KJ51</f>
        <v>0</v>
      </c>
      <c r="Z26" s="87">
        <f>'P &amp; NP'!KK51</f>
        <v>51481</v>
      </c>
      <c r="AA26" s="87">
        <f>'P &amp; NP'!KL51</f>
        <v>1035100</v>
      </c>
      <c r="AB26" s="87">
        <f>'P &amp; NP'!KM51</f>
        <v>0</v>
      </c>
      <c r="AC26" s="87">
        <f>'P &amp; NP'!KN51</f>
        <v>0</v>
      </c>
      <c r="AD26" s="87">
        <f>'P &amp; NP'!KO51</f>
        <v>0</v>
      </c>
      <c r="AE26" s="87">
        <f>'P &amp; NP'!KP51</f>
        <v>0</v>
      </c>
      <c r="AF26" s="87">
        <f>'P &amp; NP'!KQ51</f>
        <v>0</v>
      </c>
      <c r="AG26" s="87">
        <f>'P &amp; NP'!KR51</f>
        <v>0</v>
      </c>
      <c r="AH26" s="92">
        <f t="shared" si="216"/>
        <v>97693</v>
      </c>
      <c r="AI26" s="92">
        <f t="shared" si="217"/>
        <v>4621204</v>
      </c>
      <c r="AJ26" s="87">
        <f>'P &amp; NP'!KE89</f>
        <v>0</v>
      </c>
      <c r="AK26" s="87">
        <f>'P &amp; NP'!KF89</f>
        <v>0</v>
      </c>
      <c r="AL26" s="87">
        <f>'P &amp; NP'!KG89</f>
        <v>35335</v>
      </c>
      <c r="AM26" s="87">
        <f>'P &amp; NP'!KH89</f>
        <v>2106390</v>
      </c>
      <c r="AN26" s="87">
        <f>'P &amp; NP'!KI89</f>
        <v>0</v>
      </c>
      <c r="AO26" s="87">
        <f>'P &amp; NP'!KJ89</f>
        <v>0</v>
      </c>
      <c r="AP26" s="87">
        <f>'P &amp; NP'!KK89</f>
        <v>66350</v>
      </c>
      <c r="AQ26" s="87">
        <f>'P &amp; NP'!KL89</f>
        <v>1333605</v>
      </c>
      <c r="AR26" s="87">
        <f>'P &amp; NP'!KM89</f>
        <v>0</v>
      </c>
      <c r="AS26" s="87">
        <f>'P &amp; NP'!KN89</f>
        <v>0</v>
      </c>
      <c r="AT26" s="87">
        <f>'P &amp; NP'!KO89</f>
        <v>0</v>
      </c>
      <c r="AU26" s="87">
        <f>'P &amp; NP'!KP89</f>
        <v>0</v>
      </c>
      <c r="AV26" s="87">
        <f>'P &amp; NP'!KQ89</f>
        <v>0</v>
      </c>
      <c r="AW26" s="87">
        <f>'P &amp; NP'!KR89</f>
        <v>0</v>
      </c>
      <c r="AX26" s="92">
        <f t="shared" si="218"/>
        <v>101685</v>
      </c>
      <c r="AY26" s="92">
        <f t="shared" si="219"/>
        <v>3439995</v>
      </c>
      <c r="AZ26" s="87">
        <f>'P &amp; NP'!KE127</f>
        <v>0</v>
      </c>
      <c r="BA26" s="87">
        <f>'P &amp; NP'!KF127</f>
        <v>0</v>
      </c>
      <c r="BB26" s="87">
        <f>'P &amp; NP'!KG127</f>
        <v>15326</v>
      </c>
      <c r="BC26" s="87">
        <f>'P &amp; NP'!KH127</f>
        <v>760200</v>
      </c>
      <c r="BD26" s="87">
        <f>'P &amp; NP'!KI127</f>
        <v>0</v>
      </c>
      <c r="BE26" s="87">
        <f>'P &amp; NP'!KJ127</f>
        <v>0</v>
      </c>
      <c r="BF26" s="87">
        <f>'P &amp; NP'!KK127</f>
        <v>61318</v>
      </c>
      <c r="BG26" s="87">
        <f>'P &amp; NP'!KL127</f>
        <v>1231625</v>
      </c>
      <c r="BH26" s="87">
        <f>'P &amp; NP'!KM127</f>
        <v>0</v>
      </c>
      <c r="BI26" s="87">
        <f>'P &amp; NP'!KN127</f>
        <v>0</v>
      </c>
      <c r="BJ26" s="87">
        <f>'P &amp; NP'!KO127</f>
        <v>0</v>
      </c>
      <c r="BK26" s="87">
        <f>'P &amp; NP'!KP127</f>
        <v>0</v>
      </c>
      <c r="BL26" s="87">
        <f>'P &amp; NP'!KQ127</f>
        <v>0</v>
      </c>
      <c r="BM26" s="87">
        <f>'P &amp; NP'!KR127</f>
        <v>0</v>
      </c>
      <c r="BN26" s="92">
        <f t="shared" si="220"/>
        <v>76644</v>
      </c>
      <c r="BO26" s="92">
        <f t="shared" si="221"/>
        <v>1991825</v>
      </c>
      <c r="BP26" s="87">
        <f>'P &amp; NP'!KE165</f>
        <v>0</v>
      </c>
      <c r="BQ26" s="87">
        <f>'P &amp; NP'!KF165</f>
        <v>0</v>
      </c>
      <c r="BR26" s="87">
        <f>'P &amp; NP'!KG165</f>
        <v>32272</v>
      </c>
      <c r="BS26" s="87">
        <f>'P &amp; NP'!KH165</f>
        <v>1768535</v>
      </c>
      <c r="BT26" s="87">
        <f>'P &amp; NP'!KI165</f>
        <v>0</v>
      </c>
      <c r="BU26" s="87">
        <f>'P &amp; NP'!KJ165</f>
        <v>0</v>
      </c>
      <c r="BV26" s="87">
        <f>'P &amp; NP'!KK165</f>
        <v>58922</v>
      </c>
      <c r="BW26" s="87">
        <f>'P &amp; NP'!KL165</f>
        <v>1182970</v>
      </c>
      <c r="BX26" s="87">
        <f>'P &amp; NP'!KM165</f>
        <v>0</v>
      </c>
      <c r="BY26" s="87">
        <f>'P &amp; NP'!KN165</f>
        <v>0</v>
      </c>
      <c r="BZ26" s="87">
        <f>'P &amp; NP'!KO165</f>
        <v>0</v>
      </c>
      <c r="CA26" s="87">
        <f>'P &amp; NP'!KP165</f>
        <v>0</v>
      </c>
      <c r="CB26" s="87">
        <f>'P &amp; NP'!KQ165</f>
        <v>0</v>
      </c>
      <c r="CC26" s="87">
        <f>'P &amp; NP'!KR165</f>
        <v>0</v>
      </c>
      <c r="CD26" s="92">
        <f t="shared" si="222"/>
        <v>91194</v>
      </c>
      <c r="CE26" s="92">
        <f t="shared" si="223"/>
        <v>2951505</v>
      </c>
      <c r="CF26" s="87">
        <f>'P &amp; NP'!KE203</f>
        <v>0</v>
      </c>
      <c r="CG26" s="87">
        <f>'P &amp; NP'!KF203</f>
        <v>0</v>
      </c>
      <c r="CH26" s="87">
        <f>'P &amp; NP'!KG203</f>
        <v>48511</v>
      </c>
      <c r="CI26" s="87">
        <f>'P &amp; NP'!KH203</f>
        <v>3384330</v>
      </c>
      <c r="CJ26" s="87">
        <f>'P &amp; NP'!KI203</f>
        <v>0</v>
      </c>
      <c r="CK26" s="87">
        <f>'P &amp; NP'!KJ203</f>
        <v>0</v>
      </c>
      <c r="CL26" s="87">
        <f>'P &amp; NP'!KK203</f>
        <v>60132</v>
      </c>
      <c r="CM26" s="87">
        <f>'P &amp; NP'!KL203</f>
        <v>1208140</v>
      </c>
      <c r="CN26" s="87">
        <f>'P &amp; NP'!KM203</f>
        <v>0</v>
      </c>
      <c r="CO26" s="87">
        <f>'P &amp; NP'!KN203</f>
        <v>0</v>
      </c>
      <c r="CP26" s="87">
        <f>'P &amp; NP'!KO203</f>
        <v>0</v>
      </c>
      <c r="CQ26" s="87">
        <f>'P &amp; NP'!KP203</f>
        <v>0</v>
      </c>
      <c r="CR26" s="87">
        <f>'P &amp; NP'!KQ203</f>
        <v>0</v>
      </c>
      <c r="CS26" s="87">
        <f>'P &amp; NP'!KR203</f>
        <v>0</v>
      </c>
      <c r="CT26" s="92">
        <f t="shared" si="224"/>
        <v>108643</v>
      </c>
      <c r="CU26" s="92">
        <f t="shared" si="225"/>
        <v>4592470</v>
      </c>
      <c r="CV26" s="87">
        <f>'P &amp; NP'!KE241</f>
        <v>0</v>
      </c>
      <c r="CW26" s="87">
        <f>'P &amp; NP'!KF241</f>
        <v>0</v>
      </c>
      <c r="CX26" s="87">
        <f>'P &amp; NP'!KG241</f>
        <v>57753</v>
      </c>
      <c r="CY26" s="87">
        <f>'P &amp; NP'!KH241</f>
        <v>4326750</v>
      </c>
      <c r="CZ26" s="87">
        <f>'P &amp; NP'!KK241</f>
        <v>58954</v>
      </c>
      <c r="DA26" s="87">
        <f>'P &amp; NP'!KL241</f>
        <v>1183860</v>
      </c>
      <c r="DB26" s="87">
        <f>'P &amp; NP'!KM241</f>
        <v>0</v>
      </c>
      <c r="DC26" s="87">
        <f>'P &amp; NP'!KN241</f>
        <v>0</v>
      </c>
      <c r="DD26" s="87">
        <f>'P &amp; NP'!KO241</f>
        <v>0</v>
      </c>
      <c r="DE26" s="87">
        <f>'P &amp; NP'!KP241</f>
        <v>0</v>
      </c>
      <c r="DF26" s="87">
        <f>'P &amp; NP'!KQ241</f>
        <v>0</v>
      </c>
      <c r="DG26" s="87">
        <f>'P &amp; NP'!KR241</f>
        <v>0</v>
      </c>
      <c r="DH26" s="87">
        <f t="shared" si="226"/>
        <v>116707</v>
      </c>
      <c r="DI26" s="87">
        <f t="shared" si="227"/>
        <v>5510610</v>
      </c>
      <c r="DJ26" s="92">
        <f>'P &amp; NP'!KE279</f>
        <v>0</v>
      </c>
      <c r="DK26" s="92">
        <f>'P &amp; NP'!KF279</f>
        <v>0</v>
      </c>
      <c r="DL26" s="87">
        <f>'P &amp; NP'!KG279</f>
        <v>18563</v>
      </c>
      <c r="DM26" s="87">
        <f>'P &amp; NP'!KH279</f>
        <v>889584</v>
      </c>
      <c r="DN26" s="87">
        <f>'P &amp; NP'!KK279</f>
        <v>58301</v>
      </c>
      <c r="DO26" s="87">
        <f>'P &amp; NP'!KL279</f>
        <v>1171420</v>
      </c>
      <c r="DP26" s="87">
        <f>'P &amp; NP'!KM279</f>
        <v>0</v>
      </c>
      <c r="DQ26" s="87">
        <f>'P &amp; NP'!KN279</f>
        <v>0</v>
      </c>
      <c r="DR26" s="87">
        <f>'P &amp; NP'!KO279</f>
        <v>0</v>
      </c>
      <c r="DS26" s="87">
        <f>'P &amp; NP'!KP279</f>
        <v>0</v>
      </c>
      <c r="DT26" s="87">
        <f>'P &amp; NP'!KQ279</f>
        <v>0</v>
      </c>
      <c r="DU26" s="87">
        <f>'P &amp; NP'!KR279</f>
        <v>0</v>
      </c>
      <c r="DV26" s="87">
        <f t="shared" si="228"/>
        <v>76864</v>
      </c>
      <c r="DW26" s="87">
        <f t="shared" si="229"/>
        <v>2061004</v>
      </c>
      <c r="DX26" s="87">
        <f>'P &amp; NP'!KE317</f>
        <v>0</v>
      </c>
      <c r="DY26" s="87">
        <f>'P &amp; NP'!KF317</f>
        <v>0</v>
      </c>
      <c r="DZ26" s="92">
        <f>'P &amp; NP'!KG317</f>
        <v>35678</v>
      </c>
      <c r="EA26" s="92">
        <f>'P &amp; NP'!KH317</f>
        <v>1959040</v>
      </c>
      <c r="EB26" s="87">
        <f>'P &amp; NP'!KK317</f>
        <v>60761</v>
      </c>
      <c r="EC26" s="87">
        <f>'P &amp; NP'!KL317</f>
        <v>1220985</v>
      </c>
      <c r="ED26" s="87">
        <f>'P &amp; NP'!KM317</f>
        <v>0</v>
      </c>
      <c r="EE26" s="87">
        <f>'P &amp; NP'!KN317</f>
        <v>0</v>
      </c>
      <c r="EF26" s="87">
        <f>'P &amp; NP'!KO317</f>
        <v>0</v>
      </c>
      <c r="EG26" s="87">
        <f>'P &amp; NP'!KP317</f>
        <v>0</v>
      </c>
      <c r="EH26" s="87">
        <f>'P &amp; NP'!KQ317</f>
        <v>0</v>
      </c>
      <c r="EI26" s="87">
        <f>'P &amp; NP'!KR317</f>
        <v>0</v>
      </c>
      <c r="EJ26" s="87">
        <f t="shared" si="230"/>
        <v>96439</v>
      </c>
      <c r="EK26" s="87">
        <f t="shared" si="231"/>
        <v>3180025</v>
      </c>
      <c r="EL26" s="87">
        <f>'P &amp; NP'!KE355</f>
        <v>0</v>
      </c>
      <c r="EM26" s="87">
        <f>'P &amp; NP'!KF355</f>
        <v>0</v>
      </c>
      <c r="EN26" s="87">
        <f>'P &amp; NP'!KG355</f>
        <v>50301</v>
      </c>
      <c r="EO26" s="87">
        <f>'P &amp; NP'!KH355</f>
        <v>2859597</v>
      </c>
      <c r="EP26" s="92">
        <f>'P &amp; NP'!KK355</f>
        <v>89255</v>
      </c>
      <c r="EQ26" s="92">
        <f>'P &amp; NP'!KL355</f>
        <v>1793875</v>
      </c>
      <c r="ER26" s="87">
        <f>'P &amp; NP'!KM355</f>
        <v>0</v>
      </c>
      <c r="ES26" s="87">
        <f>'P &amp; NP'!KN355</f>
        <v>0</v>
      </c>
      <c r="ET26" s="87">
        <f>'P &amp; NP'!KO355</f>
        <v>0</v>
      </c>
      <c r="EU26" s="87">
        <f>'P &amp; NP'!KP355</f>
        <v>0</v>
      </c>
      <c r="EV26" s="87">
        <f>'P &amp; NP'!KQ355</f>
        <v>0</v>
      </c>
      <c r="EW26" s="87">
        <f>'P &amp; NP'!KR355</f>
        <v>0</v>
      </c>
      <c r="EX26" s="87">
        <f t="shared" si="232"/>
        <v>139556</v>
      </c>
      <c r="EY26" s="87">
        <f t="shared" si="233"/>
        <v>4653472</v>
      </c>
      <c r="EZ26" s="87">
        <f>'P &amp; NP'!KE393</f>
        <v>0</v>
      </c>
      <c r="FA26" s="87">
        <f>'P &amp; NP'!KF393</f>
        <v>0</v>
      </c>
      <c r="FB26" s="87">
        <f>'P &amp; NP'!KG393</f>
        <v>55360</v>
      </c>
      <c r="FC26" s="87">
        <f>'P &amp; NP'!KH393</f>
        <v>3314400</v>
      </c>
      <c r="FD26" s="87">
        <f>'P &amp; NP'!KK393</f>
        <v>88720</v>
      </c>
      <c r="FE26" s="87">
        <f>'P &amp; NP'!KL393</f>
        <v>1782700</v>
      </c>
      <c r="FF26" s="92">
        <f>'P &amp; NP'!KM393</f>
        <v>0</v>
      </c>
      <c r="FG26" s="92">
        <f>'P &amp; NP'!KN393</f>
        <v>0</v>
      </c>
      <c r="FH26" s="87">
        <f>'P &amp; NP'!KO393</f>
        <v>0</v>
      </c>
      <c r="FI26" s="87">
        <f>'P &amp; NP'!KP393</f>
        <v>0</v>
      </c>
      <c r="FJ26" s="87">
        <f>'P &amp; NP'!KQ393</f>
        <v>0</v>
      </c>
      <c r="FK26" s="87">
        <f>'P &amp; NP'!KR393</f>
        <v>0</v>
      </c>
      <c r="FL26" s="87">
        <f t="shared" si="234"/>
        <v>144080</v>
      </c>
      <c r="FM26" s="87">
        <f t="shared" si="235"/>
        <v>5097100</v>
      </c>
      <c r="FN26" s="87">
        <f>'P &amp; NP'!KE431</f>
        <v>0</v>
      </c>
      <c r="FO26" s="87">
        <f>'P &amp; NP'!KF431</f>
        <v>0</v>
      </c>
      <c r="FP26" s="87">
        <f>'P &amp; NP'!KG431</f>
        <v>59450</v>
      </c>
      <c r="FQ26" s="87">
        <f>'P &amp; NP'!KH431</f>
        <v>4033100</v>
      </c>
      <c r="FR26" s="87">
        <f>'P &amp; NP'!KK431</f>
        <v>91052</v>
      </c>
      <c r="FS26" s="87">
        <f>'P &amp; NP'!KL431</f>
        <v>1830390</v>
      </c>
      <c r="FT26" s="87">
        <f>'P &amp; NP'!KM431</f>
        <v>0</v>
      </c>
      <c r="FU26" s="87">
        <f>'P &amp; NP'!KN431</f>
        <v>0</v>
      </c>
      <c r="FV26" s="92">
        <f>'P &amp; NP'!KO431</f>
        <v>0</v>
      </c>
      <c r="FW26" s="92">
        <f>'P &amp; NP'!KP431</f>
        <v>0</v>
      </c>
      <c r="FX26" s="87">
        <f>'P &amp; NP'!KQ431</f>
        <v>0</v>
      </c>
      <c r="FY26" s="87">
        <f>'P &amp; NP'!KR431</f>
        <v>0</v>
      </c>
      <c r="FZ26" s="87">
        <f t="shared" si="236"/>
        <v>150502</v>
      </c>
      <c r="GA26" s="87">
        <f t="shared" si="237"/>
        <v>5863490</v>
      </c>
      <c r="GC26" s="609">
        <f t="shared" si="164"/>
        <v>0</v>
      </c>
      <c r="GD26" s="609">
        <f t="shared" si="165"/>
        <v>0</v>
      </c>
      <c r="GE26" s="609">
        <f t="shared" si="166"/>
        <v>142429</v>
      </c>
      <c r="GF26" s="609">
        <f t="shared" si="167"/>
        <v>9935474</v>
      </c>
      <c r="GG26" s="609">
        <f t="shared" si="168"/>
        <v>172635</v>
      </c>
      <c r="GH26" s="609">
        <f t="shared" si="169"/>
        <v>3469045</v>
      </c>
      <c r="GI26" s="609">
        <f t="shared" si="170"/>
        <v>0</v>
      </c>
      <c r="GJ26" s="609">
        <f t="shared" si="171"/>
        <v>0</v>
      </c>
      <c r="GK26" s="609">
        <f t="shared" si="172"/>
        <v>0</v>
      </c>
      <c r="GL26" s="609">
        <f t="shared" si="173"/>
        <v>0</v>
      </c>
      <c r="GM26" s="609">
        <f t="shared" si="174"/>
        <v>0</v>
      </c>
      <c r="GN26" s="609">
        <f t="shared" si="175"/>
        <v>0</v>
      </c>
      <c r="GO26" s="640">
        <f t="shared" si="238"/>
        <v>315064</v>
      </c>
      <c r="GP26" s="640">
        <f t="shared" si="239"/>
        <v>13404519</v>
      </c>
      <c r="GR26" s="609">
        <f t="shared" si="176"/>
        <v>0</v>
      </c>
      <c r="GS26" s="609">
        <f t="shared" si="177"/>
        <v>0</v>
      </c>
      <c r="GT26" s="609">
        <f t="shared" si="178"/>
        <v>96109</v>
      </c>
      <c r="GU26" s="609">
        <f t="shared" si="179"/>
        <v>5913065</v>
      </c>
      <c r="GV26" s="609">
        <f t="shared" si="180"/>
        <v>180372</v>
      </c>
      <c r="GW26" s="609">
        <f t="shared" si="181"/>
        <v>3622735</v>
      </c>
      <c r="GX26" s="609">
        <f t="shared" si="182"/>
        <v>0</v>
      </c>
      <c r="GY26" s="609">
        <f t="shared" si="183"/>
        <v>0</v>
      </c>
      <c r="GZ26" s="609">
        <f t="shared" si="184"/>
        <v>0</v>
      </c>
      <c r="HA26" s="609">
        <f t="shared" si="185"/>
        <v>0</v>
      </c>
      <c r="HB26" s="609">
        <f t="shared" si="186"/>
        <v>0</v>
      </c>
      <c r="HC26" s="609">
        <f t="shared" si="187"/>
        <v>0</v>
      </c>
      <c r="HD26" s="640">
        <f t="shared" si="240"/>
        <v>276481</v>
      </c>
      <c r="HE26" s="640">
        <f t="shared" si="241"/>
        <v>9535800</v>
      </c>
      <c r="HG26" s="609">
        <f t="shared" si="188"/>
        <v>0</v>
      </c>
      <c r="HH26" s="609">
        <f t="shared" si="189"/>
        <v>0</v>
      </c>
      <c r="HI26" s="609">
        <f t="shared" si="190"/>
        <v>111994</v>
      </c>
      <c r="HJ26" s="609">
        <f t="shared" si="191"/>
        <v>7175374</v>
      </c>
      <c r="HK26" s="609">
        <f t="shared" si="192"/>
        <v>178016</v>
      </c>
      <c r="HL26" s="609">
        <f t="shared" si="193"/>
        <v>3576265</v>
      </c>
      <c r="HM26" s="609">
        <f t="shared" si="194"/>
        <v>0</v>
      </c>
      <c r="HN26" s="609">
        <f t="shared" si="195"/>
        <v>0</v>
      </c>
      <c r="HO26" s="609">
        <f t="shared" si="196"/>
        <v>0</v>
      </c>
      <c r="HP26" s="609">
        <f t="shared" si="197"/>
        <v>0</v>
      </c>
      <c r="HQ26" s="609">
        <f t="shared" si="198"/>
        <v>0</v>
      </c>
      <c r="HR26" s="609">
        <f t="shared" si="199"/>
        <v>0</v>
      </c>
      <c r="HS26" s="640">
        <f t="shared" si="242"/>
        <v>290010</v>
      </c>
      <c r="HT26" s="640">
        <f t="shared" si="243"/>
        <v>10751639</v>
      </c>
      <c r="HV26" s="609">
        <f t="shared" si="200"/>
        <v>0</v>
      </c>
      <c r="HW26" s="609">
        <f t="shared" si="201"/>
        <v>0</v>
      </c>
      <c r="HX26" s="609">
        <f t="shared" si="202"/>
        <v>165111</v>
      </c>
      <c r="HY26" s="609">
        <f t="shared" si="203"/>
        <v>10207097</v>
      </c>
      <c r="HZ26" s="609">
        <f t="shared" si="204"/>
        <v>269027</v>
      </c>
      <c r="IA26" s="609">
        <f t="shared" si="205"/>
        <v>5406965</v>
      </c>
      <c r="IB26" s="609">
        <f t="shared" si="206"/>
        <v>0</v>
      </c>
      <c r="IC26" s="609">
        <f t="shared" si="207"/>
        <v>0</v>
      </c>
      <c r="ID26" s="609">
        <f t="shared" si="208"/>
        <v>0</v>
      </c>
      <c r="IE26" s="609">
        <f t="shared" si="209"/>
        <v>0</v>
      </c>
      <c r="IF26" s="609">
        <f t="shared" si="210"/>
        <v>0</v>
      </c>
      <c r="IG26" s="609">
        <f t="shared" si="211"/>
        <v>0</v>
      </c>
      <c r="IH26" s="640">
        <f t="shared" si="244"/>
        <v>434138</v>
      </c>
      <c r="II26" s="640">
        <f t="shared" si="245"/>
        <v>15614062</v>
      </c>
    </row>
    <row r="27" spans="1:243">
      <c r="A27" s="484" t="s">
        <v>125</v>
      </c>
      <c r="B27" s="484">
        <f t="shared" si="212"/>
        <v>25295174.270000007</v>
      </c>
      <c r="C27" s="484">
        <f t="shared" si="213"/>
        <v>447118606</v>
      </c>
      <c r="D27" s="87">
        <f>'P &amp; NP'!KU13</f>
        <v>0</v>
      </c>
      <c r="E27" s="87">
        <f>'P &amp; NP'!KV13</f>
        <v>0</v>
      </c>
      <c r="F27" s="87">
        <f>'P &amp; NP'!KW13</f>
        <v>782732.2699999999</v>
      </c>
      <c r="G27" s="87">
        <f>'P &amp; NP'!KX13</f>
        <v>14114048</v>
      </c>
      <c r="H27" s="87">
        <f>'P &amp; NP'!KY13</f>
        <v>0</v>
      </c>
      <c r="I27" s="87">
        <f>'P &amp; NP'!KZ13</f>
        <v>0</v>
      </c>
      <c r="J27" s="87">
        <f>'P &amp; NP'!LA13</f>
        <v>1570473.7300000002</v>
      </c>
      <c r="K27" s="87">
        <f>'P &amp; NP'!LB13</f>
        <v>29428024</v>
      </c>
      <c r="L27" s="87">
        <f>'P &amp; NP'!LC13</f>
        <v>0</v>
      </c>
      <c r="M27" s="87">
        <f>'P &amp; NP'!LD13</f>
        <v>0</v>
      </c>
      <c r="N27" s="87">
        <f>'P &amp; NP'!LE13</f>
        <v>0</v>
      </c>
      <c r="O27" s="87">
        <f>'P &amp; NP'!LF13</f>
        <v>0</v>
      </c>
      <c r="P27" s="87">
        <f>'P &amp; NP'!LG13</f>
        <v>13391.990000000002</v>
      </c>
      <c r="Q27" s="87">
        <f>'P &amp; NP'!LH13</f>
        <v>321406</v>
      </c>
      <c r="R27" s="92">
        <f t="shared" si="214"/>
        <v>2366597.9900000002</v>
      </c>
      <c r="S27" s="92">
        <f t="shared" si="215"/>
        <v>43863478</v>
      </c>
      <c r="T27" s="87">
        <f>'P &amp; NP'!KU51</f>
        <v>0</v>
      </c>
      <c r="U27" s="87">
        <f>'P &amp; NP'!KV51</f>
        <v>0</v>
      </c>
      <c r="V27" s="87">
        <f>'P &amp; NP'!KW51</f>
        <v>617908.49</v>
      </c>
      <c r="W27" s="87">
        <f>'P &amp; NP'!KX51</f>
        <v>13749696</v>
      </c>
      <c r="X27" s="87">
        <f>'P &amp; NP'!KY51</f>
        <v>0</v>
      </c>
      <c r="Y27" s="87">
        <f>'P &amp; NP'!KZ51</f>
        <v>0</v>
      </c>
      <c r="Z27" s="87">
        <f>'P &amp; NP'!LA51</f>
        <v>1326576.58</v>
      </c>
      <c r="AA27" s="87">
        <f>'P &amp; NP'!LB51</f>
        <v>24942025</v>
      </c>
      <c r="AB27" s="87">
        <f>'P &amp; NP'!LC51</f>
        <v>0</v>
      </c>
      <c r="AC27" s="87">
        <f>'P &amp; NP'!LD51</f>
        <v>0</v>
      </c>
      <c r="AD27" s="87">
        <f>'P &amp; NP'!LE51</f>
        <v>0</v>
      </c>
      <c r="AE27" s="87">
        <f>'P &amp; NP'!LF51</f>
        <v>0</v>
      </c>
      <c r="AF27" s="87">
        <f>'P &amp; NP'!LG51</f>
        <v>11233.53</v>
      </c>
      <c r="AG27" s="87">
        <f>'P &amp; NP'!LH51</f>
        <v>269604</v>
      </c>
      <c r="AH27" s="92">
        <f t="shared" si="216"/>
        <v>1955718.6</v>
      </c>
      <c r="AI27" s="92">
        <f t="shared" si="217"/>
        <v>38961325</v>
      </c>
      <c r="AJ27" s="87">
        <f>'P &amp; NP'!KU89</f>
        <v>0</v>
      </c>
      <c r="AK27" s="87">
        <f>'P &amp; NP'!KV89</f>
        <v>0</v>
      </c>
      <c r="AL27" s="87">
        <f>'P &amp; NP'!KW89</f>
        <v>446402.39999999997</v>
      </c>
      <c r="AM27" s="87">
        <f>'P &amp; NP'!KX89</f>
        <v>8176432</v>
      </c>
      <c r="AN27" s="87">
        <f>'P &amp; NP'!KY89</f>
        <v>0</v>
      </c>
      <c r="AO27" s="87">
        <f>'P &amp; NP'!KZ89</f>
        <v>0</v>
      </c>
      <c r="AP27" s="87">
        <f>'P &amp; NP'!LA89</f>
        <v>1659706.76</v>
      </c>
      <c r="AQ27" s="87">
        <f>'P &amp; NP'!LB89</f>
        <v>31054744</v>
      </c>
      <c r="AR27" s="87">
        <f>'P &amp; NP'!LC89</f>
        <v>0</v>
      </c>
      <c r="AS27" s="87">
        <f>'P &amp; NP'!LD89</f>
        <v>0</v>
      </c>
      <c r="AT27" s="87">
        <f>'P &amp; NP'!LE89</f>
        <v>0</v>
      </c>
      <c r="AU27" s="87">
        <f>'P &amp; NP'!LF89</f>
        <v>0</v>
      </c>
      <c r="AV27" s="87">
        <f>'P &amp; NP'!LG89</f>
        <v>10231.81</v>
      </c>
      <c r="AW27" s="87">
        <f>'P &amp; NP'!LH89</f>
        <v>245563</v>
      </c>
      <c r="AX27" s="92">
        <f t="shared" si="218"/>
        <v>2116340.9700000002</v>
      </c>
      <c r="AY27" s="92">
        <f t="shared" si="219"/>
        <v>39476739</v>
      </c>
      <c r="AZ27" s="87">
        <f>'P &amp; NP'!KU127</f>
        <v>0</v>
      </c>
      <c r="BA27" s="87">
        <f>'P &amp; NP'!KV127</f>
        <v>0</v>
      </c>
      <c r="BB27" s="87">
        <f>'P &amp; NP'!KW127</f>
        <v>412139.08</v>
      </c>
      <c r="BC27" s="87">
        <f>'P &amp; NP'!KX127</f>
        <v>7149035</v>
      </c>
      <c r="BD27" s="87">
        <f>'P &amp; NP'!KY127</f>
        <v>0</v>
      </c>
      <c r="BE27" s="87">
        <f>'P &amp; NP'!KZ127</f>
        <v>0</v>
      </c>
      <c r="BF27" s="87">
        <f>'P &amp; NP'!LA127</f>
        <v>1942346.47</v>
      </c>
      <c r="BG27" s="87">
        <f>'P &amp; NP'!LB127</f>
        <v>35161224</v>
      </c>
      <c r="BH27" s="87">
        <f>'P &amp; NP'!LC127</f>
        <v>0</v>
      </c>
      <c r="BI27" s="87">
        <f>'P &amp; NP'!LD127</f>
        <v>0</v>
      </c>
      <c r="BJ27" s="87">
        <f>'P &amp; NP'!LE127</f>
        <v>0</v>
      </c>
      <c r="BK27" s="87">
        <f>'P &amp; NP'!LF127</f>
        <v>0</v>
      </c>
      <c r="BL27" s="87">
        <f>'P &amp; NP'!LG127</f>
        <v>11412.41</v>
      </c>
      <c r="BM27" s="87">
        <f>'P &amp; NP'!LH127</f>
        <v>273897</v>
      </c>
      <c r="BN27" s="92">
        <f t="shared" si="220"/>
        <v>2365897.96</v>
      </c>
      <c r="BO27" s="92">
        <f t="shared" si="221"/>
        <v>42584156</v>
      </c>
      <c r="BP27" s="87">
        <f>'P &amp; NP'!KU165</f>
        <v>0</v>
      </c>
      <c r="BQ27" s="87">
        <f>'P &amp; NP'!KV165</f>
        <v>0</v>
      </c>
      <c r="BR27" s="87">
        <f>'P &amp; NP'!KW165</f>
        <v>576565.04</v>
      </c>
      <c r="BS27" s="87">
        <f>'P &amp; NP'!KX165</f>
        <v>11287417</v>
      </c>
      <c r="BT27" s="87">
        <f>'P &amp; NP'!KY165</f>
        <v>0</v>
      </c>
      <c r="BU27" s="87">
        <f>'P &amp; NP'!KZ165</f>
        <v>0</v>
      </c>
      <c r="BV27" s="87">
        <f>'P &amp; NP'!LA165</f>
        <v>1111596.3000000003</v>
      </c>
      <c r="BW27" s="87">
        <f>'P &amp; NP'!LB165</f>
        <v>20210757</v>
      </c>
      <c r="BX27" s="87">
        <f>'P &amp; NP'!LC165</f>
        <v>0</v>
      </c>
      <c r="BY27" s="87">
        <f>'P &amp; NP'!LD165</f>
        <v>0</v>
      </c>
      <c r="BZ27" s="87">
        <f>'P &amp; NP'!LE165</f>
        <v>0</v>
      </c>
      <c r="CA27" s="87">
        <f>'P &amp; NP'!LF165</f>
        <v>0</v>
      </c>
      <c r="CB27" s="87">
        <f>'P &amp; NP'!LG165</f>
        <v>17208.05</v>
      </c>
      <c r="CC27" s="87">
        <f>'P &amp; NP'!LH165</f>
        <v>390096</v>
      </c>
      <c r="CD27" s="92">
        <f t="shared" si="222"/>
        <v>1705369.3900000004</v>
      </c>
      <c r="CE27" s="92">
        <f t="shared" si="223"/>
        <v>31888270</v>
      </c>
      <c r="CF27" s="87">
        <f>'P &amp; NP'!KU203</f>
        <v>0</v>
      </c>
      <c r="CG27" s="87">
        <f>'P &amp; NP'!KV203</f>
        <v>0</v>
      </c>
      <c r="CH27" s="87">
        <f>'P &amp; NP'!KW203</f>
        <v>822902.13000000012</v>
      </c>
      <c r="CI27" s="87">
        <f>'P &amp; NP'!KX203</f>
        <v>14595018</v>
      </c>
      <c r="CJ27" s="87">
        <f>'P &amp; NP'!KY203</f>
        <v>0</v>
      </c>
      <c r="CK27" s="87">
        <f>'P &amp; NP'!KZ203</f>
        <v>0</v>
      </c>
      <c r="CL27" s="87">
        <f>'P &amp; NP'!LA203</f>
        <v>1033144.37</v>
      </c>
      <c r="CM27" s="87">
        <f>'P &amp; NP'!LB203</f>
        <v>18839805</v>
      </c>
      <c r="CN27" s="87">
        <f>'P &amp; NP'!LC203</f>
        <v>0</v>
      </c>
      <c r="CO27" s="87">
        <f>'P &amp; NP'!LD203</f>
        <v>0</v>
      </c>
      <c r="CP27" s="87">
        <f>'P &amp; NP'!LE203</f>
        <v>0</v>
      </c>
      <c r="CQ27" s="87">
        <f>'P &amp; NP'!LF203</f>
        <v>0</v>
      </c>
      <c r="CR27" s="87">
        <f>'P &amp; NP'!LG203</f>
        <v>9361.27</v>
      </c>
      <c r="CS27" s="87">
        <f>'P &amp; NP'!LH203</f>
        <v>224670</v>
      </c>
      <c r="CT27" s="92">
        <f t="shared" si="224"/>
        <v>1865407.77</v>
      </c>
      <c r="CU27" s="92">
        <f t="shared" si="225"/>
        <v>33659493</v>
      </c>
      <c r="CV27" s="87">
        <f>'P &amp; NP'!KU241</f>
        <v>0</v>
      </c>
      <c r="CW27" s="87">
        <f>'P &amp; NP'!KV241</f>
        <v>0</v>
      </c>
      <c r="CX27" s="87">
        <f>'P &amp; NP'!KW241</f>
        <v>783184.93</v>
      </c>
      <c r="CY27" s="87">
        <f>'P &amp; NP'!KX241</f>
        <v>7933695</v>
      </c>
      <c r="CZ27" s="87">
        <f>'P &amp; NP'!LA241</f>
        <v>1344432.4700000002</v>
      </c>
      <c r="DA27" s="87">
        <f>'P &amp; NP'!LB241</f>
        <v>24381022</v>
      </c>
      <c r="DB27" s="87">
        <f>'P &amp; NP'!LC241</f>
        <v>0</v>
      </c>
      <c r="DC27" s="87">
        <f>'P &amp; NP'!LD241</f>
        <v>0</v>
      </c>
      <c r="DD27" s="87">
        <f>'P &amp; NP'!LE241</f>
        <v>0</v>
      </c>
      <c r="DE27" s="87">
        <f>'P &amp; NP'!LF241</f>
        <v>0</v>
      </c>
      <c r="DF27" s="87">
        <f>'P &amp; NP'!LG241</f>
        <v>11317.01</v>
      </c>
      <c r="DG27" s="87">
        <f>'P &amp; NP'!LH241</f>
        <v>264452</v>
      </c>
      <c r="DH27" s="87">
        <f t="shared" si="226"/>
        <v>2138934.41</v>
      </c>
      <c r="DI27" s="87">
        <f t="shared" si="227"/>
        <v>32579169</v>
      </c>
      <c r="DJ27" s="92">
        <f>'P &amp; NP'!KU279</f>
        <v>0</v>
      </c>
      <c r="DK27" s="92">
        <f>'P &amp; NP'!KV279</f>
        <v>0</v>
      </c>
      <c r="DL27" s="87">
        <f>'P &amp; NP'!KW279</f>
        <v>1263003.47</v>
      </c>
      <c r="DM27" s="87">
        <f>'P &amp; NP'!KX279</f>
        <v>20842741</v>
      </c>
      <c r="DN27" s="87">
        <f>'P &amp; NP'!LA279</f>
        <v>1300062.33</v>
      </c>
      <c r="DO27" s="87">
        <f>'P &amp; NP'!LB279</f>
        <v>23538403</v>
      </c>
      <c r="DP27" s="87">
        <f>'P &amp; NP'!LC279</f>
        <v>0</v>
      </c>
      <c r="DQ27" s="87">
        <f>'P &amp; NP'!LD279</f>
        <v>0</v>
      </c>
      <c r="DR27" s="87">
        <f>'P &amp; NP'!LE279</f>
        <v>0</v>
      </c>
      <c r="DS27" s="87">
        <f>'P &amp; NP'!LF279</f>
        <v>0</v>
      </c>
      <c r="DT27" s="87">
        <f>'P &amp; NP'!LG279</f>
        <v>9289.7199999999993</v>
      </c>
      <c r="DU27" s="87">
        <f>'P &amp; NP'!LH279</f>
        <v>222953</v>
      </c>
      <c r="DV27" s="87">
        <f t="shared" si="228"/>
        <v>2572355.52</v>
      </c>
      <c r="DW27" s="87">
        <f t="shared" si="229"/>
        <v>44604097</v>
      </c>
      <c r="DX27" s="87">
        <f>'P &amp; NP'!KU317</f>
        <v>0</v>
      </c>
      <c r="DY27" s="87">
        <f>'P &amp; NP'!KV317</f>
        <v>0</v>
      </c>
      <c r="DZ27" s="92">
        <f>'P &amp; NP'!KW317</f>
        <v>923294.26</v>
      </c>
      <c r="EA27" s="92">
        <f>'P &amp; NP'!KX317</f>
        <v>10278671</v>
      </c>
      <c r="EB27" s="87">
        <f>'P &amp; NP'!LA317</f>
        <v>1232903.69</v>
      </c>
      <c r="EC27" s="87">
        <f>'P &amp; NP'!LB317</f>
        <v>22220543</v>
      </c>
      <c r="ED27" s="87">
        <f>'P &amp; NP'!LC317</f>
        <v>0</v>
      </c>
      <c r="EE27" s="87">
        <f>'P &amp; NP'!LD317</f>
        <v>0</v>
      </c>
      <c r="EF27" s="87">
        <f>'P &amp; NP'!LE317</f>
        <v>0</v>
      </c>
      <c r="EG27" s="87">
        <f>'P &amp; NP'!LF317</f>
        <v>0</v>
      </c>
      <c r="EH27" s="87">
        <f>'P &amp; NP'!LG317</f>
        <v>12831.509999999998</v>
      </c>
      <c r="EI27" s="87">
        <f>'P &amp; NP'!LH317</f>
        <v>298415</v>
      </c>
      <c r="EJ27" s="87">
        <f t="shared" si="230"/>
        <v>2169029.46</v>
      </c>
      <c r="EK27" s="87">
        <f t="shared" si="231"/>
        <v>32797629</v>
      </c>
      <c r="EL27" s="87">
        <f>'P &amp; NP'!KU355</f>
        <v>0</v>
      </c>
      <c r="EM27" s="87">
        <f>'P &amp; NP'!KV355</f>
        <v>0</v>
      </c>
      <c r="EN27" s="87">
        <f>'P &amp; NP'!KW355</f>
        <v>762200.37</v>
      </c>
      <c r="EO27" s="87">
        <f>'P &amp; NP'!KX355</f>
        <v>15599935</v>
      </c>
      <c r="EP27" s="92">
        <f>'P &amp; NP'!LA355</f>
        <v>1184818.06</v>
      </c>
      <c r="EQ27" s="92">
        <f>'P &amp; NP'!LB355</f>
        <v>21618187</v>
      </c>
      <c r="ER27" s="87">
        <f>'P &amp; NP'!LC355</f>
        <v>0</v>
      </c>
      <c r="ES27" s="87">
        <f>'P &amp; NP'!LD355</f>
        <v>0</v>
      </c>
      <c r="ET27" s="87">
        <f>'P &amp; NP'!LE355</f>
        <v>0</v>
      </c>
      <c r="EU27" s="87">
        <f>'P &amp; NP'!LF355</f>
        <v>0</v>
      </c>
      <c r="EV27" s="87">
        <f>'P &amp; NP'!LG355</f>
        <v>13892.84</v>
      </c>
      <c r="EW27" s="87">
        <f>'P &amp; NP'!LH355</f>
        <v>361213</v>
      </c>
      <c r="EX27" s="87">
        <f t="shared" si="232"/>
        <v>1960911.2700000003</v>
      </c>
      <c r="EY27" s="87">
        <f t="shared" si="233"/>
        <v>37579335</v>
      </c>
      <c r="EZ27" s="87">
        <f>'P &amp; NP'!KU393</f>
        <v>0</v>
      </c>
      <c r="FA27" s="87">
        <f>'P &amp; NP'!KV393</f>
        <v>0</v>
      </c>
      <c r="FB27" s="87">
        <f>'P &amp; NP'!KW393</f>
        <v>690152.37</v>
      </c>
      <c r="FC27" s="87">
        <f>'P &amp; NP'!KX393</f>
        <v>10607516</v>
      </c>
      <c r="FD27" s="87">
        <f>'P &amp; NP'!LA393</f>
        <v>1023943.2899999999</v>
      </c>
      <c r="FE27" s="87">
        <f>'P &amp; NP'!LB393</f>
        <v>18576795</v>
      </c>
      <c r="FF27" s="92">
        <f>'P &amp; NP'!LC393</f>
        <v>0</v>
      </c>
      <c r="FG27" s="92">
        <f>'P &amp; NP'!LD393</f>
        <v>0</v>
      </c>
      <c r="FH27" s="87">
        <f>'P &amp; NP'!LE393</f>
        <v>0</v>
      </c>
      <c r="FI27" s="87">
        <f>'P &amp; NP'!LF393</f>
        <v>0</v>
      </c>
      <c r="FJ27" s="87">
        <f>'P &amp; NP'!LG393</f>
        <v>13892.84</v>
      </c>
      <c r="FK27" s="87">
        <f>'P &amp; NP'!LH393</f>
        <v>361213</v>
      </c>
      <c r="FL27" s="87">
        <f t="shared" si="234"/>
        <v>1727988.5</v>
      </c>
      <c r="FM27" s="87">
        <f t="shared" si="235"/>
        <v>29545524</v>
      </c>
      <c r="FN27" s="87">
        <f>'P &amp; NP'!KU431</f>
        <v>0</v>
      </c>
      <c r="FO27" s="87">
        <f>'P &amp; NP'!KV431</f>
        <v>0</v>
      </c>
      <c r="FP27" s="87">
        <f>'P &amp; NP'!KW431</f>
        <v>1130517.9700000002</v>
      </c>
      <c r="FQ27" s="87">
        <f>'P &amp; NP'!KX431</f>
        <v>17393280</v>
      </c>
      <c r="FR27" s="87">
        <f>'P &amp; NP'!LA431</f>
        <v>1212114.58</v>
      </c>
      <c r="FS27" s="87">
        <f>'P &amp; NP'!LB431</f>
        <v>21978375</v>
      </c>
      <c r="FT27" s="87">
        <f>'P &amp; NP'!LC431</f>
        <v>0</v>
      </c>
      <c r="FU27" s="87">
        <f>'P &amp; NP'!LD431</f>
        <v>0</v>
      </c>
      <c r="FV27" s="92">
        <f>'P &amp; NP'!LE431</f>
        <v>0</v>
      </c>
      <c r="FW27" s="92">
        <f>'P &amp; NP'!LF431</f>
        <v>0</v>
      </c>
      <c r="FX27" s="87">
        <f>'P &amp; NP'!LG431</f>
        <v>7989.88</v>
      </c>
      <c r="FY27" s="87">
        <f>'P &amp; NP'!LH431</f>
        <v>207736</v>
      </c>
      <c r="FZ27" s="87">
        <f t="shared" si="236"/>
        <v>2350622.4300000002</v>
      </c>
      <c r="GA27" s="87">
        <f t="shared" si="237"/>
        <v>39579391</v>
      </c>
      <c r="GC27" s="609">
        <f t="shared" si="164"/>
        <v>0</v>
      </c>
      <c r="GD27" s="609">
        <f t="shared" si="165"/>
        <v>0</v>
      </c>
      <c r="GE27" s="609">
        <f t="shared" si="166"/>
        <v>1847043.1599999997</v>
      </c>
      <c r="GF27" s="609">
        <f t="shared" si="167"/>
        <v>36040176</v>
      </c>
      <c r="GG27" s="609">
        <f t="shared" si="168"/>
        <v>4556757.07</v>
      </c>
      <c r="GH27" s="609">
        <f t="shared" si="169"/>
        <v>85424793</v>
      </c>
      <c r="GI27" s="609">
        <f t="shared" si="170"/>
        <v>0</v>
      </c>
      <c r="GJ27" s="609">
        <f t="shared" si="171"/>
        <v>0</v>
      </c>
      <c r="GK27" s="609">
        <f t="shared" si="172"/>
        <v>0</v>
      </c>
      <c r="GL27" s="609">
        <f t="shared" si="173"/>
        <v>0</v>
      </c>
      <c r="GM27" s="609">
        <f t="shared" si="174"/>
        <v>34857.33</v>
      </c>
      <c r="GN27" s="609">
        <f t="shared" si="175"/>
        <v>836573</v>
      </c>
      <c r="GO27" s="640">
        <f t="shared" si="238"/>
        <v>6438657.5600000005</v>
      </c>
      <c r="GP27" s="640">
        <f t="shared" si="239"/>
        <v>122301542</v>
      </c>
      <c r="GR27" s="609">
        <f t="shared" si="176"/>
        <v>0</v>
      </c>
      <c r="GS27" s="609">
        <f t="shared" si="177"/>
        <v>0</v>
      </c>
      <c r="GT27" s="609">
        <f t="shared" si="178"/>
        <v>1811606.2500000002</v>
      </c>
      <c r="GU27" s="609">
        <f t="shared" si="179"/>
        <v>33031470</v>
      </c>
      <c r="GV27" s="609">
        <f t="shared" si="180"/>
        <v>4087087.1400000006</v>
      </c>
      <c r="GW27" s="609">
        <f t="shared" si="181"/>
        <v>74211786</v>
      </c>
      <c r="GX27" s="609">
        <f t="shared" si="182"/>
        <v>0</v>
      </c>
      <c r="GY27" s="609">
        <f t="shared" si="183"/>
        <v>0</v>
      </c>
      <c r="GZ27" s="609">
        <f t="shared" si="184"/>
        <v>0</v>
      </c>
      <c r="HA27" s="609">
        <f t="shared" si="185"/>
        <v>0</v>
      </c>
      <c r="HB27" s="609">
        <f t="shared" si="186"/>
        <v>37981.729999999996</v>
      </c>
      <c r="HC27" s="609">
        <f t="shared" si="187"/>
        <v>888663</v>
      </c>
      <c r="HD27" s="640">
        <f t="shared" si="240"/>
        <v>5936675.120000001</v>
      </c>
      <c r="HE27" s="640">
        <f t="shared" si="241"/>
        <v>108131919</v>
      </c>
      <c r="HG27" s="609">
        <f t="shared" si="188"/>
        <v>0</v>
      </c>
      <c r="HH27" s="609">
        <f t="shared" si="189"/>
        <v>0</v>
      </c>
      <c r="HI27" s="609">
        <f t="shared" si="190"/>
        <v>2969482.66</v>
      </c>
      <c r="HJ27" s="609">
        <f t="shared" si="191"/>
        <v>39055107</v>
      </c>
      <c r="HK27" s="609">
        <f t="shared" si="192"/>
        <v>3877398.49</v>
      </c>
      <c r="HL27" s="609">
        <f t="shared" si="193"/>
        <v>70139968</v>
      </c>
      <c r="HM27" s="609">
        <f t="shared" si="194"/>
        <v>0</v>
      </c>
      <c r="HN27" s="609">
        <f t="shared" si="195"/>
        <v>0</v>
      </c>
      <c r="HO27" s="609">
        <f t="shared" si="196"/>
        <v>0</v>
      </c>
      <c r="HP27" s="609">
        <f t="shared" si="197"/>
        <v>0</v>
      </c>
      <c r="HQ27" s="609">
        <f t="shared" si="198"/>
        <v>33438.239999999998</v>
      </c>
      <c r="HR27" s="609">
        <f t="shared" si="199"/>
        <v>785820</v>
      </c>
      <c r="HS27" s="640">
        <f t="shared" si="242"/>
        <v>6880319.3900000006</v>
      </c>
      <c r="HT27" s="640">
        <f t="shared" si="243"/>
        <v>109980895</v>
      </c>
      <c r="HV27" s="609">
        <f t="shared" si="200"/>
        <v>0</v>
      </c>
      <c r="HW27" s="609">
        <f t="shared" si="201"/>
        <v>0</v>
      </c>
      <c r="HX27" s="609">
        <f t="shared" si="202"/>
        <v>2582870.71</v>
      </c>
      <c r="HY27" s="609">
        <f t="shared" si="203"/>
        <v>43600731</v>
      </c>
      <c r="HZ27" s="609">
        <f t="shared" si="204"/>
        <v>3420875.93</v>
      </c>
      <c r="IA27" s="609">
        <f t="shared" si="205"/>
        <v>62173357</v>
      </c>
      <c r="IB27" s="609">
        <f t="shared" si="206"/>
        <v>0</v>
      </c>
      <c r="IC27" s="609">
        <f t="shared" si="207"/>
        <v>0</v>
      </c>
      <c r="ID27" s="609">
        <f t="shared" si="208"/>
        <v>0</v>
      </c>
      <c r="IE27" s="609">
        <f t="shared" si="209"/>
        <v>0</v>
      </c>
      <c r="IF27" s="609">
        <f t="shared" si="210"/>
        <v>35775.56</v>
      </c>
      <c r="IG27" s="609">
        <f t="shared" si="211"/>
        <v>930162</v>
      </c>
      <c r="IH27" s="640">
        <f t="shared" si="244"/>
        <v>6039522.2000000002</v>
      </c>
      <c r="II27" s="640">
        <f t="shared" si="245"/>
        <v>106704250</v>
      </c>
    </row>
    <row r="28" spans="1:243">
      <c r="A28" s="484" t="s">
        <v>113</v>
      </c>
      <c r="B28" s="484">
        <f t="shared" si="212"/>
        <v>2197316</v>
      </c>
      <c r="C28" s="484">
        <f t="shared" si="213"/>
        <v>45047834.730000004</v>
      </c>
      <c r="D28" s="87">
        <f>'P &amp; NP'!LK13</f>
        <v>0</v>
      </c>
      <c r="E28" s="87">
        <f>'P &amp; NP'!LL13</f>
        <v>0</v>
      </c>
      <c r="F28" s="87">
        <f>'P &amp; NP'!LM13</f>
        <v>0</v>
      </c>
      <c r="G28" s="87">
        <f>'P &amp; NP'!LN13</f>
        <v>0</v>
      </c>
      <c r="H28" s="87">
        <f>'P &amp; NP'!LO13</f>
        <v>0</v>
      </c>
      <c r="I28" s="87">
        <f>'P &amp; NP'!LP13</f>
        <v>0</v>
      </c>
      <c r="J28" s="87">
        <f>'P &amp; NP'!LQ13</f>
        <v>185146</v>
      </c>
      <c r="K28" s="87">
        <f>'P &amp; NP'!LR13</f>
        <v>3736339</v>
      </c>
      <c r="L28" s="87">
        <f>'P &amp; NP'!LS13</f>
        <v>0</v>
      </c>
      <c r="M28" s="87">
        <f>'P &amp; NP'!LT13</f>
        <v>0</v>
      </c>
      <c r="N28" s="87">
        <f>'P &amp; NP'!LU13</f>
        <v>0</v>
      </c>
      <c r="O28" s="87">
        <f>'P &amp; NP'!LV13</f>
        <v>0</v>
      </c>
      <c r="P28" s="87">
        <f>'P &amp; NP'!LW13</f>
        <v>2515</v>
      </c>
      <c r="Q28" s="87">
        <f>'P &amp; NP'!LX13</f>
        <v>85510</v>
      </c>
      <c r="R28" s="92">
        <f t="shared" si="214"/>
        <v>187661</v>
      </c>
      <c r="S28" s="92">
        <f t="shared" si="215"/>
        <v>3821849</v>
      </c>
      <c r="T28" s="87">
        <f>'P &amp; NP'!LK51</f>
        <v>0</v>
      </c>
      <c r="U28" s="87">
        <f>'P &amp; NP'!LL51</f>
        <v>0</v>
      </c>
      <c r="V28" s="87">
        <f>'P &amp; NP'!LM51</f>
        <v>0</v>
      </c>
      <c r="W28" s="87">
        <f>'P &amp; NP'!LN51</f>
        <v>0</v>
      </c>
      <c r="X28" s="87">
        <f>'P &amp; NP'!LO51</f>
        <v>0</v>
      </c>
      <c r="Y28" s="87">
        <f>'P &amp; NP'!LP51</f>
        <v>0</v>
      </c>
      <c r="Z28" s="87">
        <f>'P &amp; NP'!LQ51</f>
        <v>180926</v>
      </c>
      <c r="AA28" s="87">
        <f>'P &amp; NP'!LR51</f>
        <v>3666780.5</v>
      </c>
      <c r="AB28" s="87">
        <f>'P &amp; NP'!LS51</f>
        <v>0</v>
      </c>
      <c r="AC28" s="87">
        <f>'P &amp; NP'!LT51</f>
        <v>0</v>
      </c>
      <c r="AD28" s="87">
        <f>'P &amp; NP'!LU51</f>
        <v>0</v>
      </c>
      <c r="AE28" s="87">
        <f>'P &amp; NP'!LV51</f>
        <v>0</v>
      </c>
      <c r="AF28" s="87">
        <f>'P &amp; NP'!LW51</f>
        <v>944</v>
      </c>
      <c r="AG28" s="87">
        <f>'P &amp; NP'!LX51</f>
        <v>32096</v>
      </c>
      <c r="AH28" s="92">
        <f t="shared" si="216"/>
        <v>181870</v>
      </c>
      <c r="AI28" s="92">
        <f t="shared" si="217"/>
        <v>3698876.5</v>
      </c>
      <c r="AJ28" s="87">
        <f>'P &amp; NP'!LK89</f>
        <v>0</v>
      </c>
      <c r="AK28" s="87">
        <f>'P &amp; NP'!LL89</f>
        <v>0</v>
      </c>
      <c r="AL28" s="87">
        <f>'P &amp; NP'!LM89</f>
        <v>0</v>
      </c>
      <c r="AM28" s="87">
        <f>'P &amp; NP'!LN89</f>
        <v>0</v>
      </c>
      <c r="AN28" s="87">
        <f>'P &amp; NP'!LO89</f>
        <v>0</v>
      </c>
      <c r="AO28" s="87">
        <f>'P &amp; NP'!LP89</f>
        <v>0</v>
      </c>
      <c r="AP28" s="87">
        <f>'P &amp; NP'!LQ89</f>
        <v>201672</v>
      </c>
      <c r="AQ28" s="87">
        <f>'P &amp; NP'!LR89</f>
        <v>4112258</v>
      </c>
      <c r="AR28" s="87">
        <f>'P &amp; NP'!LS89</f>
        <v>0</v>
      </c>
      <c r="AS28" s="87">
        <f>'P &amp; NP'!LT89</f>
        <v>0</v>
      </c>
      <c r="AT28" s="87">
        <f>'P &amp; NP'!LU89</f>
        <v>0</v>
      </c>
      <c r="AU28" s="87">
        <f>'P &amp; NP'!LV89</f>
        <v>0</v>
      </c>
      <c r="AV28" s="87">
        <f>'P &amp; NP'!LW89</f>
        <v>1270</v>
      </c>
      <c r="AW28" s="87">
        <f>'P &amp; NP'!LX89</f>
        <v>43180</v>
      </c>
      <c r="AX28" s="92">
        <f t="shared" si="218"/>
        <v>202942</v>
      </c>
      <c r="AY28" s="92">
        <f t="shared" si="219"/>
        <v>4155438</v>
      </c>
      <c r="AZ28" s="87">
        <f>'P &amp; NP'!LK127</f>
        <v>0</v>
      </c>
      <c r="BA28" s="87">
        <f>'P &amp; NP'!LL127</f>
        <v>0</v>
      </c>
      <c r="BB28" s="87">
        <f>'P &amp; NP'!LM127</f>
        <v>0</v>
      </c>
      <c r="BC28" s="87">
        <f>'P &amp; NP'!LN127</f>
        <v>0</v>
      </c>
      <c r="BD28" s="87">
        <f>'P &amp; NP'!LO127</f>
        <v>0</v>
      </c>
      <c r="BE28" s="87">
        <f>'P &amp; NP'!LP127</f>
        <v>0</v>
      </c>
      <c r="BF28" s="87">
        <f>'P &amp; NP'!LQ127</f>
        <v>205789</v>
      </c>
      <c r="BG28" s="87">
        <f>'P &amp; NP'!LR127</f>
        <v>4282252.7</v>
      </c>
      <c r="BH28" s="87">
        <f>'P &amp; NP'!LS127</f>
        <v>0</v>
      </c>
      <c r="BI28" s="87">
        <f>'P &amp; NP'!LT127</f>
        <v>0</v>
      </c>
      <c r="BJ28" s="87">
        <f>'P &amp; NP'!LU127</f>
        <v>0</v>
      </c>
      <c r="BK28" s="87">
        <f>'P &amp; NP'!LV127</f>
        <v>0</v>
      </c>
      <c r="BL28" s="87">
        <f>'P &amp; NP'!LW127</f>
        <v>1935</v>
      </c>
      <c r="BM28" s="87">
        <f>'P &amp; NP'!LX127</f>
        <v>65790</v>
      </c>
      <c r="BN28" s="92">
        <f t="shared" si="220"/>
        <v>207724</v>
      </c>
      <c r="BO28" s="92">
        <f t="shared" si="221"/>
        <v>4348042.7</v>
      </c>
      <c r="BP28" s="87">
        <f>'P &amp; NP'!LK165</f>
        <v>0</v>
      </c>
      <c r="BQ28" s="87">
        <f>'P &amp; NP'!LL165</f>
        <v>0</v>
      </c>
      <c r="BR28" s="87">
        <f>'P &amp; NP'!LM165</f>
        <v>0</v>
      </c>
      <c r="BS28" s="87">
        <f>'P &amp; NP'!LN165</f>
        <v>0</v>
      </c>
      <c r="BT28" s="87">
        <f>'P &amp; NP'!LO165</f>
        <v>0</v>
      </c>
      <c r="BU28" s="87">
        <f>'P &amp; NP'!LP165</f>
        <v>0</v>
      </c>
      <c r="BV28" s="87">
        <f>'P &amp; NP'!LQ165</f>
        <v>187488</v>
      </c>
      <c r="BW28" s="87">
        <f>'P &amp; NP'!LR165</f>
        <v>3872161</v>
      </c>
      <c r="BX28" s="87">
        <f>'P &amp; NP'!LS165</f>
        <v>0</v>
      </c>
      <c r="BY28" s="87">
        <f>'P &amp; NP'!LT165</f>
        <v>0</v>
      </c>
      <c r="BZ28" s="87">
        <f>'P &amp; NP'!LU165</f>
        <v>0</v>
      </c>
      <c r="CA28" s="87">
        <f>'P &amp; NP'!LV165</f>
        <v>0</v>
      </c>
      <c r="CB28" s="87">
        <f>'P &amp; NP'!LW165</f>
        <v>2290</v>
      </c>
      <c r="CC28" s="87">
        <f>'P &amp; NP'!LX165</f>
        <v>73280</v>
      </c>
      <c r="CD28" s="92">
        <f t="shared" si="222"/>
        <v>189778</v>
      </c>
      <c r="CE28" s="92">
        <f t="shared" si="223"/>
        <v>3945441</v>
      </c>
      <c r="CF28" s="87">
        <f>'P &amp; NP'!LK203</f>
        <v>0</v>
      </c>
      <c r="CG28" s="87">
        <f>'P &amp; NP'!LL203</f>
        <v>0</v>
      </c>
      <c r="CH28" s="87">
        <f>'P &amp; NP'!LM203</f>
        <v>0</v>
      </c>
      <c r="CI28" s="87">
        <f>'P &amp; NP'!LN203</f>
        <v>0</v>
      </c>
      <c r="CJ28" s="87">
        <f>'P &amp; NP'!LO203</f>
        <v>0</v>
      </c>
      <c r="CK28" s="87">
        <f>'P &amp; NP'!LP203</f>
        <v>0</v>
      </c>
      <c r="CL28" s="87">
        <f>'P &amp; NP'!LQ203</f>
        <v>178260</v>
      </c>
      <c r="CM28" s="87">
        <f>'P &amp; NP'!LR203</f>
        <v>3589407</v>
      </c>
      <c r="CN28" s="87">
        <f>'P &amp; NP'!LS203</f>
        <v>0</v>
      </c>
      <c r="CO28" s="87">
        <f>'P &amp; NP'!LT203</f>
        <v>0</v>
      </c>
      <c r="CP28" s="87">
        <f>'P &amp; NP'!LU203</f>
        <v>0</v>
      </c>
      <c r="CQ28" s="87">
        <f>'P &amp; NP'!LV203</f>
        <v>0</v>
      </c>
      <c r="CR28" s="87">
        <f>'P &amp; NP'!LW203</f>
        <v>2153</v>
      </c>
      <c r="CS28" s="87">
        <f>'P &amp; NP'!LX203</f>
        <v>68896</v>
      </c>
      <c r="CT28" s="92">
        <f t="shared" si="224"/>
        <v>180413</v>
      </c>
      <c r="CU28" s="92">
        <f t="shared" si="225"/>
        <v>3658303</v>
      </c>
      <c r="CV28" s="87">
        <f>'P &amp; NP'!LK241</f>
        <v>0</v>
      </c>
      <c r="CW28" s="87">
        <f>'P &amp; NP'!LL241</f>
        <v>0</v>
      </c>
      <c r="CX28" s="87">
        <f>'P &amp; NP'!LM241</f>
        <v>0</v>
      </c>
      <c r="CY28" s="87">
        <f>'P &amp; NP'!LN241</f>
        <v>0</v>
      </c>
      <c r="CZ28" s="87">
        <f>'P &amp; NP'!LQ241</f>
        <v>177222</v>
      </c>
      <c r="DA28" s="87">
        <f>'P &amp; NP'!LR241</f>
        <v>3680806</v>
      </c>
      <c r="DB28" s="87">
        <f>'P &amp; NP'!LS241</f>
        <v>0</v>
      </c>
      <c r="DC28" s="87">
        <f>'P &amp; NP'!LT241</f>
        <v>0</v>
      </c>
      <c r="DD28" s="87">
        <f>'P &amp; NP'!LU241</f>
        <v>0</v>
      </c>
      <c r="DE28" s="87">
        <f>'P &amp; NP'!LV241</f>
        <v>0</v>
      </c>
      <c r="DF28" s="87">
        <f>'P &amp; NP'!LW241</f>
        <v>905</v>
      </c>
      <c r="DG28" s="87">
        <f>'P &amp; NP'!LX241</f>
        <v>28960</v>
      </c>
      <c r="DH28" s="87">
        <f t="shared" si="226"/>
        <v>178127</v>
      </c>
      <c r="DI28" s="87">
        <f t="shared" si="227"/>
        <v>3709766</v>
      </c>
      <c r="DJ28" s="92">
        <f>'P &amp; NP'!LK279</f>
        <v>0</v>
      </c>
      <c r="DK28" s="92">
        <f>'P &amp; NP'!LL279</f>
        <v>0</v>
      </c>
      <c r="DL28" s="87">
        <f>'P &amp; NP'!LM279</f>
        <v>0</v>
      </c>
      <c r="DM28" s="87">
        <f>'P &amp; NP'!LN279</f>
        <v>0</v>
      </c>
      <c r="DN28" s="87">
        <f>'P &amp; NP'!LQ279</f>
        <v>173410</v>
      </c>
      <c r="DO28" s="87">
        <f>'P &amp; NP'!LR279</f>
        <v>3456227</v>
      </c>
      <c r="DP28" s="87">
        <f>'P &amp; NP'!LS279</f>
        <v>0</v>
      </c>
      <c r="DQ28" s="87">
        <f>'P &amp; NP'!LT279</f>
        <v>0</v>
      </c>
      <c r="DR28" s="87">
        <f>'P &amp; NP'!LU279</f>
        <v>0</v>
      </c>
      <c r="DS28" s="87">
        <f>'P &amp; NP'!LV279</f>
        <v>0</v>
      </c>
      <c r="DT28" s="87">
        <f>'P &amp; NP'!LW279</f>
        <v>978</v>
      </c>
      <c r="DU28" s="87">
        <f>'P &amp; NP'!LX279</f>
        <v>31296</v>
      </c>
      <c r="DV28" s="87">
        <f t="shared" si="228"/>
        <v>174388</v>
      </c>
      <c r="DW28" s="87">
        <f t="shared" si="229"/>
        <v>3487523</v>
      </c>
      <c r="DX28" s="87">
        <f>'P &amp; NP'!LK317</f>
        <v>0</v>
      </c>
      <c r="DY28" s="87">
        <f>'P &amp; NP'!LL317</f>
        <v>0</v>
      </c>
      <c r="DZ28" s="92">
        <f>'P &amp; NP'!LM317</f>
        <v>0</v>
      </c>
      <c r="EA28" s="92">
        <f>'P &amp; NP'!LN317</f>
        <v>0</v>
      </c>
      <c r="EB28" s="87">
        <f>'P &amp; NP'!LQ317</f>
        <v>163213</v>
      </c>
      <c r="EC28" s="87">
        <f>'P &amp; NP'!LR317</f>
        <v>3270793</v>
      </c>
      <c r="ED28" s="87">
        <f>'P &amp; NP'!LS317</f>
        <v>0</v>
      </c>
      <c r="EE28" s="87">
        <f>'P &amp; NP'!LT317</f>
        <v>0</v>
      </c>
      <c r="EF28" s="87">
        <f>'P &amp; NP'!LU317</f>
        <v>0</v>
      </c>
      <c r="EG28" s="87">
        <f>'P &amp; NP'!LV317</f>
        <v>0</v>
      </c>
      <c r="EH28" s="87">
        <f>'P &amp; NP'!LW317</f>
        <v>848</v>
      </c>
      <c r="EI28" s="87">
        <f>'P &amp; NP'!LX317</f>
        <v>27136</v>
      </c>
      <c r="EJ28" s="87">
        <f t="shared" si="230"/>
        <v>164061</v>
      </c>
      <c r="EK28" s="87">
        <f t="shared" si="231"/>
        <v>3297929</v>
      </c>
      <c r="EL28" s="87">
        <f>'P &amp; NP'!LK355</f>
        <v>0</v>
      </c>
      <c r="EM28" s="87">
        <f>'P &amp; NP'!LL355</f>
        <v>0</v>
      </c>
      <c r="EN28" s="87">
        <f>'P &amp; NP'!LM355</f>
        <v>0</v>
      </c>
      <c r="EO28" s="87">
        <f>'P &amp; NP'!LN355</f>
        <v>0</v>
      </c>
      <c r="EP28" s="92">
        <f>'P &amp; NP'!LQ355</f>
        <v>171221</v>
      </c>
      <c r="EQ28" s="92">
        <f>'P &amp; NP'!LR355</f>
        <v>3440699.5300000003</v>
      </c>
      <c r="ER28" s="87">
        <f>'P &amp; NP'!LS355</f>
        <v>0</v>
      </c>
      <c r="ES28" s="87">
        <f>'P &amp; NP'!LT355</f>
        <v>0</v>
      </c>
      <c r="ET28" s="87">
        <f>'P &amp; NP'!LU355</f>
        <v>0</v>
      </c>
      <c r="EU28" s="87">
        <f>'P &amp; NP'!LV355</f>
        <v>0</v>
      </c>
      <c r="EV28" s="87">
        <f>'P &amp; NP'!LW355</f>
        <v>1085</v>
      </c>
      <c r="EW28" s="87">
        <f>'P &amp; NP'!LX355</f>
        <v>30380</v>
      </c>
      <c r="EX28" s="87">
        <f t="shared" si="232"/>
        <v>172306</v>
      </c>
      <c r="EY28" s="87">
        <f t="shared" si="233"/>
        <v>3471079.5300000003</v>
      </c>
      <c r="EZ28" s="87">
        <f>'P &amp; NP'!LK393</f>
        <v>0</v>
      </c>
      <c r="FA28" s="87">
        <f>'P &amp; NP'!LL393</f>
        <v>0</v>
      </c>
      <c r="FB28" s="87">
        <f>'P &amp; NP'!LM393</f>
        <v>0</v>
      </c>
      <c r="FC28" s="87">
        <f>'P &amp; NP'!LN393</f>
        <v>0</v>
      </c>
      <c r="FD28" s="87">
        <f>'P &amp; NP'!LQ393</f>
        <v>174604</v>
      </c>
      <c r="FE28" s="87">
        <f>'P &amp; NP'!LR393</f>
        <v>3560621</v>
      </c>
      <c r="FF28" s="92">
        <f>'P &amp; NP'!LS393</f>
        <v>0</v>
      </c>
      <c r="FG28" s="92">
        <f>'P &amp; NP'!LT393</f>
        <v>0</v>
      </c>
      <c r="FH28" s="87">
        <f>'P &amp; NP'!LU393</f>
        <v>0</v>
      </c>
      <c r="FI28" s="87">
        <f>'P &amp; NP'!LV393</f>
        <v>0</v>
      </c>
      <c r="FJ28" s="87">
        <f>'P &amp; NP'!LW393</f>
        <v>1190</v>
      </c>
      <c r="FK28" s="87">
        <f>'P &amp; NP'!LX393</f>
        <v>35700</v>
      </c>
      <c r="FL28" s="87">
        <f t="shared" si="234"/>
        <v>175794</v>
      </c>
      <c r="FM28" s="87">
        <f t="shared" si="235"/>
        <v>3596321</v>
      </c>
      <c r="FN28" s="87">
        <f>'P &amp; NP'!LK431</f>
        <v>0</v>
      </c>
      <c r="FO28" s="87">
        <f>'P &amp; NP'!LL431</f>
        <v>0</v>
      </c>
      <c r="FP28" s="87">
        <f>'P &amp; NP'!LM431</f>
        <v>0</v>
      </c>
      <c r="FQ28" s="87">
        <f>'P &amp; NP'!LN431</f>
        <v>0</v>
      </c>
      <c r="FR28" s="87">
        <f>'P &amp; NP'!LQ431</f>
        <v>180762</v>
      </c>
      <c r="FS28" s="87">
        <f>'P &amp; NP'!LR431</f>
        <v>3809586</v>
      </c>
      <c r="FT28" s="87">
        <f>'P &amp; NP'!LS431</f>
        <v>0</v>
      </c>
      <c r="FU28" s="87">
        <f>'P &amp; NP'!LT431</f>
        <v>0</v>
      </c>
      <c r="FV28" s="92">
        <f>'P &amp; NP'!LU431</f>
        <v>0</v>
      </c>
      <c r="FW28" s="92">
        <f>'P &amp; NP'!LV431</f>
        <v>0</v>
      </c>
      <c r="FX28" s="87">
        <f>'P &amp; NP'!LW431</f>
        <v>1490</v>
      </c>
      <c r="FY28" s="87">
        <f>'P &amp; NP'!LX431</f>
        <v>47680</v>
      </c>
      <c r="FZ28" s="87">
        <f t="shared" si="236"/>
        <v>182252</v>
      </c>
      <c r="GA28" s="87">
        <f t="shared" si="237"/>
        <v>3857266</v>
      </c>
      <c r="GC28" s="609">
        <f t="shared" si="164"/>
        <v>0</v>
      </c>
      <c r="GD28" s="609">
        <f t="shared" si="165"/>
        <v>0</v>
      </c>
      <c r="GE28" s="609">
        <f t="shared" si="166"/>
        <v>0</v>
      </c>
      <c r="GF28" s="609">
        <f t="shared" si="167"/>
        <v>0</v>
      </c>
      <c r="GG28" s="609">
        <f t="shared" si="168"/>
        <v>567744</v>
      </c>
      <c r="GH28" s="609">
        <f t="shared" si="169"/>
        <v>11515377.5</v>
      </c>
      <c r="GI28" s="609">
        <f t="shared" si="170"/>
        <v>0</v>
      </c>
      <c r="GJ28" s="609">
        <f t="shared" si="171"/>
        <v>0</v>
      </c>
      <c r="GK28" s="609">
        <f t="shared" si="172"/>
        <v>0</v>
      </c>
      <c r="GL28" s="609">
        <f t="shared" si="173"/>
        <v>0</v>
      </c>
      <c r="GM28" s="609">
        <f t="shared" si="174"/>
        <v>4729</v>
      </c>
      <c r="GN28" s="609">
        <f t="shared" si="175"/>
        <v>160786</v>
      </c>
      <c r="GO28" s="640">
        <f t="shared" si="238"/>
        <v>572473</v>
      </c>
      <c r="GP28" s="640">
        <f t="shared" si="239"/>
        <v>11676163.5</v>
      </c>
      <c r="GR28" s="609">
        <f t="shared" si="176"/>
        <v>0</v>
      </c>
      <c r="GS28" s="609">
        <f t="shared" si="177"/>
        <v>0</v>
      </c>
      <c r="GT28" s="609">
        <f t="shared" si="178"/>
        <v>0</v>
      </c>
      <c r="GU28" s="609">
        <f t="shared" si="179"/>
        <v>0</v>
      </c>
      <c r="GV28" s="609">
        <f t="shared" si="180"/>
        <v>571537</v>
      </c>
      <c r="GW28" s="609">
        <f t="shared" si="181"/>
        <v>11743820.699999999</v>
      </c>
      <c r="GX28" s="609">
        <f t="shared" si="182"/>
        <v>0</v>
      </c>
      <c r="GY28" s="609">
        <f t="shared" si="183"/>
        <v>0</v>
      </c>
      <c r="GZ28" s="609">
        <f t="shared" si="184"/>
        <v>0</v>
      </c>
      <c r="HA28" s="609">
        <f t="shared" si="185"/>
        <v>0</v>
      </c>
      <c r="HB28" s="609">
        <f t="shared" si="186"/>
        <v>6378</v>
      </c>
      <c r="HC28" s="609">
        <f t="shared" si="187"/>
        <v>207966</v>
      </c>
      <c r="HD28" s="640">
        <f t="shared" si="240"/>
        <v>577915</v>
      </c>
      <c r="HE28" s="640">
        <f t="shared" si="241"/>
        <v>11951786.699999999</v>
      </c>
      <c r="HG28" s="609">
        <f t="shared" si="188"/>
        <v>0</v>
      </c>
      <c r="HH28" s="609">
        <f t="shared" si="189"/>
        <v>0</v>
      </c>
      <c r="HI28" s="609">
        <f t="shared" si="190"/>
        <v>0</v>
      </c>
      <c r="HJ28" s="609">
        <f t="shared" si="191"/>
        <v>0</v>
      </c>
      <c r="HK28" s="609">
        <f t="shared" si="192"/>
        <v>513845</v>
      </c>
      <c r="HL28" s="609">
        <f t="shared" si="193"/>
        <v>10407826</v>
      </c>
      <c r="HM28" s="609">
        <f t="shared" si="194"/>
        <v>0</v>
      </c>
      <c r="HN28" s="609">
        <f t="shared" si="195"/>
        <v>0</v>
      </c>
      <c r="HO28" s="609">
        <f t="shared" si="196"/>
        <v>0</v>
      </c>
      <c r="HP28" s="609">
        <f t="shared" si="197"/>
        <v>0</v>
      </c>
      <c r="HQ28" s="609">
        <f t="shared" si="198"/>
        <v>2731</v>
      </c>
      <c r="HR28" s="609">
        <f t="shared" si="199"/>
        <v>87392</v>
      </c>
      <c r="HS28" s="640">
        <f t="shared" si="242"/>
        <v>516576</v>
      </c>
      <c r="HT28" s="640">
        <f t="shared" si="243"/>
        <v>10495218</v>
      </c>
      <c r="HV28" s="609">
        <f t="shared" si="200"/>
        <v>0</v>
      </c>
      <c r="HW28" s="609">
        <f t="shared" si="201"/>
        <v>0</v>
      </c>
      <c r="HX28" s="609">
        <f t="shared" si="202"/>
        <v>0</v>
      </c>
      <c r="HY28" s="609">
        <f t="shared" si="203"/>
        <v>0</v>
      </c>
      <c r="HZ28" s="609">
        <f t="shared" si="204"/>
        <v>526587</v>
      </c>
      <c r="IA28" s="609">
        <f t="shared" si="205"/>
        <v>10810906.530000001</v>
      </c>
      <c r="IB28" s="609">
        <f t="shared" si="206"/>
        <v>0</v>
      </c>
      <c r="IC28" s="609">
        <f t="shared" si="207"/>
        <v>0</v>
      </c>
      <c r="ID28" s="609">
        <f t="shared" si="208"/>
        <v>0</v>
      </c>
      <c r="IE28" s="609">
        <f t="shared" si="209"/>
        <v>0</v>
      </c>
      <c r="IF28" s="609">
        <f t="shared" si="210"/>
        <v>3765</v>
      </c>
      <c r="IG28" s="609">
        <f t="shared" si="211"/>
        <v>113760</v>
      </c>
      <c r="IH28" s="640">
        <f t="shared" si="244"/>
        <v>530352</v>
      </c>
      <c r="II28" s="640">
        <f t="shared" si="245"/>
        <v>10924666.530000001</v>
      </c>
    </row>
    <row r="29" spans="1:243">
      <c r="A29" s="484" t="s">
        <v>124</v>
      </c>
      <c r="B29" s="484">
        <f t="shared" si="212"/>
        <v>15433568</v>
      </c>
      <c r="C29" s="484">
        <f t="shared" si="213"/>
        <v>784251175</v>
      </c>
      <c r="D29" s="87">
        <f>'P &amp; NP'!MA13</f>
        <v>30900</v>
      </c>
      <c r="E29" s="87">
        <f>'P &amp; NP'!MB13</f>
        <v>2626500</v>
      </c>
      <c r="F29" s="87">
        <f>'P &amp; NP'!MC13</f>
        <v>1756000</v>
      </c>
      <c r="G29" s="87">
        <f>'P &amp; NP'!MD13</f>
        <v>93159700</v>
      </c>
      <c r="H29" s="87">
        <f>'P &amp; NP'!ME13</f>
        <v>0</v>
      </c>
      <c r="I29" s="87">
        <f>'P &amp; NP'!MF13</f>
        <v>0</v>
      </c>
      <c r="J29" s="87">
        <f>'P &amp; NP'!MG13</f>
        <v>57300</v>
      </c>
      <c r="K29" s="87">
        <f>'P &amp; NP'!MH13</f>
        <v>1060350</v>
      </c>
      <c r="L29" s="87">
        <f>'P &amp; NP'!MI13</f>
        <v>0</v>
      </c>
      <c r="M29" s="87">
        <f>'P &amp; NP'!MJ13</f>
        <v>0</v>
      </c>
      <c r="N29" s="87">
        <f>'P &amp; NP'!MK13</f>
        <v>0</v>
      </c>
      <c r="O29" s="87">
        <f>'P &amp; NP'!ML13</f>
        <v>0</v>
      </c>
      <c r="P29" s="87">
        <f>'P &amp; NP'!MM13</f>
        <v>3200</v>
      </c>
      <c r="Q29" s="87">
        <f>'P &amp; NP'!MN13</f>
        <v>64000</v>
      </c>
      <c r="R29" s="92">
        <f t="shared" si="214"/>
        <v>1847400</v>
      </c>
      <c r="S29" s="92">
        <f t="shared" si="215"/>
        <v>96910550</v>
      </c>
      <c r="T29" s="87">
        <f>'P &amp; NP'!MA51</f>
        <v>30900</v>
      </c>
      <c r="U29" s="87">
        <f>'P &amp; NP'!MB51</f>
        <v>2626500</v>
      </c>
      <c r="V29" s="87">
        <f>'P &amp; NP'!MC51</f>
        <v>1598200</v>
      </c>
      <c r="W29" s="87">
        <f>'P &amp; NP'!MD51</f>
        <v>90292500</v>
      </c>
      <c r="X29" s="87">
        <f>'P &amp; NP'!ME51</f>
        <v>0</v>
      </c>
      <c r="Y29" s="87">
        <f>'P &amp; NP'!MF51</f>
        <v>0</v>
      </c>
      <c r="Z29" s="87">
        <f>'P &amp; NP'!MG51</f>
        <v>63200</v>
      </c>
      <c r="AA29" s="87">
        <f>'P &amp; NP'!MH51</f>
        <v>1173600</v>
      </c>
      <c r="AB29" s="87">
        <f>'P &amp; NP'!MI51</f>
        <v>0</v>
      </c>
      <c r="AC29" s="87">
        <f>'P &amp; NP'!MJ51</f>
        <v>0</v>
      </c>
      <c r="AD29" s="87">
        <f>'P &amp; NP'!MK51</f>
        <v>0</v>
      </c>
      <c r="AE29" s="87">
        <f>'P &amp; NP'!ML51</f>
        <v>0</v>
      </c>
      <c r="AF29" s="87">
        <f>'P &amp; NP'!MM51</f>
        <v>1200</v>
      </c>
      <c r="AG29" s="87">
        <f>'P &amp; NP'!MN51</f>
        <v>24000</v>
      </c>
      <c r="AH29" s="92">
        <f t="shared" si="216"/>
        <v>1693500</v>
      </c>
      <c r="AI29" s="92">
        <f t="shared" si="217"/>
        <v>94116600</v>
      </c>
      <c r="AJ29" s="87">
        <f>'P &amp; NP'!MA89</f>
        <v>36000</v>
      </c>
      <c r="AK29" s="87">
        <f>'P &amp; NP'!MB89</f>
        <v>3060000</v>
      </c>
      <c r="AL29" s="87">
        <f>'P &amp; NP'!MC89</f>
        <v>1029900</v>
      </c>
      <c r="AM29" s="87">
        <f>'P &amp; NP'!MD89</f>
        <v>61498000</v>
      </c>
      <c r="AN29" s="87">
        <f>'P &amp; NP'!ME89</f>
        <v>0</v>
      </c>
      <c r="AO29" s="87">
        <f>'P &amp; NP'!MF89</f>
        <v>0</v>
      </c>
      <c r="AP29" s="87">
        <f>'P &amp; NP'!MG89</f>
        <v>102500</v>
      </c>
      <c r="AQ29" s="87">
        <f>'P &amp; NP'!MH89</f>
        <v>1897100</v>
      </c>
      <c r="AR29" s="87">
        <f>'P &amp; NP'!MI89</f>
        <v>0</v>
      </c>
      <c r="AS29" s="87">
        <f>'P &amp; NP'!MJ89</f>
        <v>0</v>
      </c>
      <c r="AT29" s="87">
        <f>'P &amp; NP'!MK89</f>
        <v>0</v>
      </c>
      <c r="AU29" s="87">
        <f>'P &amp; NP'!ML89</f>
        <v>0</v>
      </c>
      <c r="AV29" s="87">
        <f>'P &amp; NP'!MM89</f>
        <v>3600</v>
      </c>
      <c r="AW29" s="87">
        <f>'P &amp; NP'!MN89</f>
        <v>72000</v>
      </c>
      <c r="AX29" s="92">
        <f t="shared" si="218"/>
        <v>1172000</v>
      </c>
      <c r="AY29" s="92">
        <f t="shared" si="219"/>
        <v>66527100</v>
      </c>
      <c r="AZ29" s="87">
        <f>'P &amp; NP'!MA127</f>
        <v>32000</v>
      </c>
      <c r="BA29" s="87">
        <f>'P &amp; NP'!MB127</f>
        <v>2720000</v>
      </c>
      <c r="BB29" s="87">
        <f>'P &amp; NP'!MC127</f>
        <v>1848900</v>
      </c>
      <c r="BC29" s="87">
        <f>'P &amp; NP'!MD127</f>
        <v>96449800</v>
      </c>
      <c r="BD29" s="87">
        <f>'P &amp; NP'!ME127</f>
        <v>0</v>
      </c>
      <c r="BE29" s="87">
        <f>'P &amp; NP'!MF127</f>
        <v>0</v>
      </c>
      <c r="BF29" s="87">
        <f>'P &amp; NP'!MG127</f>
        <v>56100</v>
      </c>
      <c r="BG29" s="87">
        <f>'P &amp; NP'!MH127</f>
        <v>1037850</v>
      </c>
      <c r="BH29" s="87">
        <f>'P &amp; NP'!MI127</f>
        <v>0</v>
      </c>
      <c r="BI29" s="87">
        <f>'P &amp; NP'!MJ127</f>
        <v>0</v>
      </c>
      <c r="BJ29" s="87">
        <f>'P &amp; NP'!MK127</f>
        <v>0</v>
      </c>
      <c r="BK29" s="87">
        <f>'P &amp; NP'!ML127</f>
        <v>0</v>
      </c>
      <c r="BL29" s="87">
        <f>'P &amp; NP'!MM127</f>
        <v>2100</v>
      </c>
      <c r="BM29" s="87">
        <f>'P &amp; NP'!MN127</f>
        <v>37800</v>
      </c>
      <c r="BN29" s="92">
        <f t="shared" si="220"/>
        <v>1939100</v>
      </c>
      <c r="BO29" s="92">
        <f t="shared" si="221"/>
        <v>100245450</v>
      </c>
      <c r="BP29" s="87">
        <f>'P &amp; NP'!MA165</f>
        <v>26500</v>
      </c>
      <c r="BQ29" s="87">
        <f>'P &amp; NP'!MB165</f>
        <v>2252500</v>
      </c>
      <c r="BR29" s="87">
        <f>'P &amp; NP'!MC165</f>
        <v>522600</v>
      </c>
      <c r="BS29" s="87">
        <f>'P &amp; NP'!MD165</f>
        <v>30996200</v>
      </c>
      <c r="BT29" s="87">
        <f>'P &amp; NP'!ME165</f>
        <v>0</v>
      </c>
      <c r="BU29" s="87">
        <f>'P &amp; NP'!MF165</f>
        <v>0</v>
      </c>
      <c r="BV29" s="87">
        <f>'P &amp; NP'!MG165</f>
        <v>57040</v>
      </c>
      <c r="BW29" s="87">
        <f>'P &amp; NP'!MH165</f>
        <v>1055330</v>
      </c>
      <c r="BX29" s="87">
        <f>'P &amp; NP'!MI165</f>
        <v>0</v>
      </c>
      <c r="BY29" s="87">
        <f>'P &amp; NP'!MJ165</f>
        <v>0</v>
      </c>
      <c r="BZ29" s="87">
        <f>'P &amp; NP'!MK165</f>
        <v>0</v>
      </c>
      <c r="CA29" s="87">
        <f>'P &amp; NP'!ML165</f>
        <v>0</v>
      </c>
      <c r="CB29" s="87">
        <f>'P &amp; NP'!MM165</f>
        <v>1700</v>
      </c>
      <c r="CC29" s="87">
        <f>'P &amp; NP'!MN165</f>
        <v>30600</v>
      </c>
      <c r="CD29" s="92">
        <f t="shared" si="222"/>
        <v>607840</v>
      </c>
      <c r="CE29" s="92">
        <f t="shared" si="223"/>
        <v>34334630</v>
      </c>
      <c r="CF29" s="87">
        <f>'P &amp; NP'!MA203</f>
        <v>31100</v>
      </c>
      <c r="CG29" s="87">
        <f>'P &amp; NP'!MB203</f>
        <v>2643500</v>
      </c>
      <c r="CH29" s="87">
        <f>'P &amp; NP'!MC203</f>
        <v>1216800</v>
      </c>
      <c r="CI29" s="87">
        <f>'P &amp; NP'!MD203</f>
        <v>64404100</v>
      </c>
      <c r="CJ29" s="87">
        <f>'P &amp; NP'!ME203</f>
        <v>0</v>
      </c>
      <c r="CK29" s="87">
        <f>'P &amp; NP'!MF203</f>
        <v>0</v>
      </c>
      <c r="CL29" s="87">
        <f>'P &amp; NP'!MG203</f>
        <v>91150</v>
      </c>
      <c r="CM29" s="87">
        <f>'P &amp; NP'!MH203</f>
        <v>1690950</v>
      </c>
      <c r="CN29" s="87">
        <f>'P &amp; NP'!MI203</f>
        <v>0</v>
      </c>
      <c r="CO29" s="87">
        <f>'P &amp; NP'!MJ203</f>
        <v>0</v>
      </c>
      <c r="CP29" s="87">
        <f>'P &amp; NP'!MK203</f>
        <v>0</v>
      </c>
      <c r="CQ29" s="87">
        <f>'P &amp; NP'!ML203</f>
        <v>0</v>
      </c>
      <c r="CR29" s="87">
        <f>'P &amp; NP'!MM203</f>
        <v>600</v>
      </c>
      <c r="CS29" s="87">
        <f>'P &amp; NP'!MN203</f>
        <v>10800</v>
      </c>
      <c r="CT29" s="92">
        <f t="shared" si="224"/>
        <v>1339650</v>
      </c>
      <c r="CU29" s="92">
        <f t="shared" si="225"/>
        <v>68749350</v>
      </c>
      <c r="CV29" s="87">
        <f>'P &amp; NP'!MA241</f>
        <v>31800</v>
      </c>
      <c r="CW29" s="87">
        <f>'P &amp; NP'!MB241</f>
        <v>2703000</v>
      </c>
      <c r="CX29" s="87">
        <f>'P &amp; NP'!MC241</f>
        <v>1447338</v>
      </c>
      <c r="CY29" s="87">
        <f>'P &amp; NP'!MD241</f>
        <v>71196100</v>
      </c>
      <c r="CZ29" s="87">
        <f>'P &amp; NP'!MG241</f>
        <v>44990</v>
      </c>
      <c r="DA29" s="87">
        <f>'P &amp; NP'!MH241</f>
        <v>832175</v>
      </c>
      <c r="DB29" s="87">
        <f>'P &amp; NP'!MI241</f>
        <v>0</v>
      </c>
      <c r="DC29" s="87">
        <f>'P &amp; NP'!MJ241</f>
        <v>0</v>
      </c>
      <c r="DD29" s="87">
        <f>'P &amp; NP'!MK241</f>
        <v>0</v>
      </c>
      <c r="DE29" s="87">
        <f>'P &amp; NP'!ML241</f>
        <v>0</v>
      </c>
      <c r="DF29" s="87">
        <f>'P &amp; NP'!MM241</f>
        <v>810</v>
      </c>
      <c r="DG29" s="87">
        <f>'P &amp; NP'!MN241</f>
        <v>14580.000000000002</v>
      </c>
      <c r="DH29" s="87">
        <f t="shared" si="226"/>
        <v>1524938</v>
      </c>
      <c r="DI29" s="87">
        <f t="shared" si="227"/>
        <v>74745855</v>
      </c>
      <c r="DJ29" s="92">
        <f>'P &amp; NP'!MA279</f>
        <v>29600</v>
      </c>
      <c r="DK29" s="92">
        <f>'P &amp; NP'!MB279</f>
        <v>2516000</v>
      </c>
      <c r="DL29" s="87">
        <f>'P &amp; NP'!MC279</f>
        <v>1231060</v>
      </c>
      <c r="DM29" s="87">
        <f>'P &amp; NP'!MD279</f>
        <v>59744890</v>
      </c>
      <c r="DN29" s="87">
        <f>'P &amp; NP'!MG279</f>
        <v>73200</v>
      </c>
      <c r="DO29" s="87">
        <f>'P &amp; NP'!MH279</f>
        <v>1354355.0000000002</v>
      </c>
      <c r="DP29" s="87">
        <f>'P &amp; NP'!MI279</f>
        <v>0</v>
      </c>
      <c r="DQ29" s="87">
        <f>'P &amp; NP'!MJ279</f>
        <v>0</v>
      </c>
      <c r="DR29" s="87">
        <f>'P &amp; NP'!MK279</f>
        <v>0</v>
      </c>
      <c r="DS29" s="87">
        <f>'P &amp; NP'!ML279</f>
        <v>0</v>
      </c>
      <c r="DT29" s="87">
        <f>'P &amp; NP'!MM279</f>
        <v>890</v>
      </c>
      <c r="DU29" s="87">
        <f>'P &amp; NP'!MN279</f>
        <v>16020</v>
      </c>
      <c r="DV29" s="87">
        <f t="shared" si="228"/>
        <v>1334750</v>
      </c>
      <c r="DW29" s="87">
        <f t="shared" si="229"/>
        <v>63631265</v>
      </c>
      <c r="DX29" s="87">
        <f>'P &amp; NP'!MA317</f>
        <v>27250</v>
      </c>
      <c r="DY29" s="87">
        <f>'P &amp; NP'!MB317</f>
        <v>2316250</v>
      </c>
      <c r="DZ29" s="92">
        <f>'P &amp; NP'!MC317</f>
        <v>1038490</v>
      </c>
      <c r="EA29" s="92">
        <f>'P &amp; NP'!MD317</f>
        <v>44883940</v>
      </c>
      <c r="EB29" s="87">
        <f>'P &amp; NP'!MG317</f>
        <v>98770</v>
      </c>
      <c r="EC29" s="87">
        <f>'P &amp; NP'!MH317</f>
        <v>1827415</v>
      </c>
      <c r="ED29" s="87">
        <f>'P &amp; NP'!MI317</f>
        <v>0</v>
      </c>
      <c r="EE29" s="87">
        <f>'P &amp; NP'!MJ317</f>
        <v>0</v>
      </c>
      <c r="EF29" s="87">
        <f>'P &amp; NP'!MK317</f>
        <v>0</v>
      </c>
      <c r="EG29" s="87">
        <f>'P &amp; NP'!ML317</f>
        <v>0</v>
      </c>
      <c r="EH29" s="87">
        <f>'P &amp; NP'!MM317</f>
        <v>3010</v>
      </c>
      <c r="EI29" s="87">
        <f>'P &amp; NP'!MN317</f>
        <v>54179.999999999993</v>
      </c>
      <c r="EJ29" s="87">
        <f t="shared" si="230"/>
        <v>1167520</v>
      </c>
      <c r="EK29" s="87">
        <f t="shared" si="231"/>
        <v>49081785</v>
      </c>
      <c r="EL29" s="87">
        <f>'P &amp; NP'!MA355</f>
        <v>78200</v>
      </c>
      <c r="EM29" s="87">
        <f>'P &amp; NP'!MB355</f>
        <v>6647000</v>
      </c>
      <c r="EN29" s="87">
        <f>'P &amp; NP'!MC355</f>
        <v>877840</v>
      </c>
      <c r="EO29" s="87">
        <f>'P &amp; NP'!MD355</f>
        <v>43681630</v>
      </c>
      <c r="EP29" s="92">
        <f>'P &amp; NP'!MG355</f>
        <v>57240</v>
      </c>
      <c r="EQ29" s="92">
        <f>'P &amp; NP'!MH355</f>
        <v>1058455</v>
      </c>
      <c r="ER29" s="87">
        <f>'P &amp; NP'!MI355</f>
        <v>0</v>
      </c>
      <c r="ES29" s="87">
        <f>'P &amp; NP'!MJ355</f>
        <v>0</v>
      </c>
      <c r="ET29" s="87">
        <f>'P &amp; NP'!MK355</f>
        <v>0</v>
      </c>
      <c r="EU29" s="87">
        <f>'P &amp; NP'!ML355</f>
        <v>0</v>
      </c>
      <c r="EV29" s="87">
        <f>'P &amp; NP'!MM355</f>
        <v>1690</v>
      </c>
      <c r="EW29" s="87">
        <f>'P &amp; NP'!MN355</f>
        <v>30420</v>
      </c>
      <c r="EX29" s="87">
        <f t="shared" si="232"/>
        <v>1014970</v>
      </c>
      <c r="EY29" s="87">
        <f t="shared" si="233"/>
        <v>51417505</v>
      </c>
      <c r="EZ29" s="87">
        <f>'P &amp; NP'!MA393</f>
        <v>52600</v>
      </c>
      <c r="FA29" s="87">
        <f>'P &amp; NP'!MB393</f>
        <v>4471000</v>
      </c>
      <c r="FB29" s="87">
        <f>'P &amp; NP'!MC393</f>
        <v>627220</v>
      </c>
      <c r="FC29" s="87">
        <f>'P &amp; NP'!MD393</f>
        <v>28833800</v>
      </c>
      <c r="FD29" s="87">
        <f>'P &amp; NP'!MG393</f>
        <v>54360</v>
      </c>
      <c r="FE29" s="87">
        <f>'P &amp; NP'!MH393</f>
        <v>1006545</v>
      </c>
      <c r="FF29" s="92">
        <f>'P &amp; NP'!MI393</f>
        <v>0</v>
      </c>
      <c r="FG29" s="92">
        <f>'P &amp; NP'!MJ393</f>
        <v>0</v>
      </c>
      <c r="FH29" s="87">
        <f>'P &amp; NP'!MK393</f>
        <v>0</v>
      </c>
      <c r="FI29" s="87">
        <f>'P &amp; NP'!ML393</f>
        <v>0</v>
      </c>
      <c r="FJ29" s="87">
        <f>'P &amp; NP'!MM393</f>
        <v>2210</v>
      </c>
      <c r="FK29" s="87">
        <f>'P &amp; NP'!MN393</f>
        <v>39780</v>
      </c>
      <c r="FL29" s="87">
        <f t="shared" si="234"/>
        <v>736390</v>
      </c>
      <c r="FM29" s="87">
        <f t="shared" si="235"/>
        <v>34351125</v>
      </c>
      <c r="FN29" s="87">
        <f>'P &amp; NP'!MA431</f>
        <v>28300</v>
      </c>
      <c r="FO29" s="87">
        <f>'P &amp; NP'!MB431</f>
        <v>2405500</v>
      </c>
      <c r="FP29" s="87">
        <f>'P &amp; NP'!MC431</f>
        <v>918800</v>
      </c>
      <c r="FQ29" s="87">
        <f>'P &amp; NP'!MD431</f>
        <v>45732060</v>
      </c>
      <c r="FR29" s="87">
        <f>'P &amp; NP'!MG431</f>
        <v>100490</v>
      </c>
      <c r="FS29" s="87">
        <f>'P &amp; NP'!MH431</f>
        <v>1859840</v>
      </c>
      <c r="FT29" s="87">
        <f>'P &amp; NP'!MI431</f>
        <v>0</v>
      </c>
      <c r="FU29" s="87">
        <f>'P &amp; NP'!MJ431</f>
        <v>0</v>
      </c>
      <c r="FV29" s="92">
        <f>'P &amp; NP'!MK431</f>
        <v>0</v>
      </c>
      <c r="FW29" s="92">
        <f>'P &amp; NP'!ML431</f>
        <v>0</v>
      </c>
      <c r="FX29" s="87">
        <f>'P &amp; NP'!MM431</f>
        <v>7920</v>
      </c>
      <c r="FY29" s="87">
        <f>'P &amp; NP'!MN431</f>
        <v>142560</v>
      </c>
      <c r="FZ29" s="87">
        <f t="shared" si="236"/>
        <v>1055510</v>
      </c>
      <c r="GA29" s="87">
        <f t="shared" si="237"/>
        <v>50139960</v>
      </c>
      <c r="GC29" s="609">
        <f t="shared" si="164"/>
        <v>97800</v>
      </c>
      <c r="GD29" s="609">
        <f t="shared" si="165"/>
        <v>8313000</v>
      </c>
      <c r="GE29" s="609">
        <f t="shared" si="166"/>
        <v>4384100</v>
      </c>
      <c r="GF29" s="609">
        <f t="shared" si="167"/>
        <v>244950200</v>
      </c>
      <c r="GG29" s="609">
        <f t="shared" si="168"/>
        <v>223000</v>
      </c>
      <c r="GH29" s="609">
        <f t="shared" si="169"/>
        <v>4131050</v>
      </c>
      <c r="GI29" s="609">
        <f t="shared" si="170"/>
        <v>0</v>
      </c>
      <c r="GJ29" s="609">
        <f t="shared" si="171"/>
        <v>0</v>
      </c>
      <c r="GK29" s="609">
        <f t="shared" si="172"/>
        <v>0</v>
      </c>
      <c r="GL29" s="609">
        <f t="shared" si="173"/>
        <v>0</v>
      </c>
      <c r="GM29" s="609">
        <f t="shared" si="174"/>
        <v>8000</v>
      </c>
      <c r="GN29" s="609">
        <f t="shared" si="175"/>
        <v>160000</v>
      </c>
      <c r="GO29" s="640">
        <f t="shared" si="238"/>
        <v>4712900</v>
      </c>
      <c r="GP29" s="640">
        <f t="shared" si="239"/>
        <v>257554250</v>
      </c>
      <c r="GR29" s="609">
        <f t="shared" si="176"/>
        <v>89600</v>
      </c>
      <c r="GS29" s="609">
        <f t="shared" si="177"/>
        <v>7616000</v>
      </c>
      <c r="GT29" s="609">
        <f t="shared" si="178"/>
        <v>3588300</v>
      </c>
      <c r="GU29" s="609">
        <f t="shared" si="179"/>
        <v>191850100</v>
      </c>
      <c r="GV29" s="609">
        <f t="shared" si="180"/>
        <v>204290</v>
      </c>
      <c r="GW29" s="609">
        <f t="shared" si="181"/>
        <v>3784130</v>
      </c>
      <c r="GX29" s="609">
        <f t="shared" si="182"/>
        <v>0</v>
      </c>
      <c r="GY29" s="609">
        <f t="shared" si="183"/>
        <v>0</v>
      </c>
      <c r="GZ29" s="609">
        <f t="shared" si="184"/>
        <v>0</v>
      </c>
      <c r="HA29" s="609">
        <f t="shared" si="185"/>
        <v>0</v>
      </c>
      <c r="HB29" s="609">
        <f t="shared" si="186"/>
        <v>4400</v>
      </c>
      <c r="HC29" s="609">
        <f t="shared" si="187"/>
        <v>79200</v>
      </c>
      <c r="HD29" s="640">
        <f t="shared" si="240"/>
        <v>3886590</v>
      </c>
      <c r="HE29" s="640">
        <f t="shared" si="241"/>
        <v>203329430</v>
      </c>
      <c r="HG29" s="609">
        <f t="shared" si="188"/>
        <v>88650</v>
      </c>
      <c r="HH29" s="609">
        <f t="shared" si="189"/>
        <v>7535250</v>
      </c>
      <c r="HI29" s="609">
        <f t="shared" si="190"/>
        <v>3716888</v>
      </c>
      <c r="HJ29" s="609">
        <f t="shared" si="191"/>
        <v>175824930</v>
      </c>
      <c r="HK29" s="609">
        <f t="shared" si="192"/>
        <v>216960</v>
      </c>
      <c r="HL29" s="609">
        <f t="shared" si="193"/>
        <v>4013945</v>
      </c>
      <c r="HM29" s="609">
        <f t="shared" si="194"/>
        <v>0</v>
      </c>
      <c r="HN29" s="609">
        <f t="shared" si="195"/>
        <v>0</v>
      </c>
      <c r="HO29" s="609">
        <f t="shared" si="196"/>
        <v>0</v>
      </c>
      <c r="HP29" s="609">
        <f t="shared" si="197"/>
        <v>0</v>
      </c>
      <c r="HQ29" s="609">
        <f t="shared" si="198"/>
        <v>4710</v>
      </c>
      <c r="HR29" s="609">
        <f t="shared" si="199"/>
        <v>84780</v>
      </c>
      <c r="HS29" s="640">
        <f t="shared" si="242"/>
        <v>4027208</v>
      </c>
      <c r="HT29" s="640">
        <f t="shared" si="243"/>
        <v>187458905</v>
      </c>
      <c r="HV29" s="609">
        <f t="shared" si="200"/>
        <v>159100</v>
      </c>
      <c r="HW29" s="609">
        <f t="shared" si="201"/>
        <v>13523500</v>
      </c>
      <c r="HX29" s="609">
        <f t="shared" si="202"/>
        <v>2423860</v>
      </c>
      <c r="HY29" s="609">
        <f t="shared" si="203"/>
        <v>118247490</v>
      </c>
      <c r="HZ29" s="609">
        <f t="shared" si="204"/>
        <v>212090</v>
      </c>
      <c r="IA29" s="609">
        <f t="shared" si="205"/>
        <v>3924840</v>
      </c>
      <c r="IB29" s="609">
        <f t="shared" si="206"/>
        <v>0</v>
      </c>
      <c r="IC29" s="609">
        <f t="shared" si="207"/>
        <v>0</v>
      </c>
      <c r="ID29" s="609">
        <f t="shared" si="208"/>
        <v>0</v>
      </c>
      <c r="IE29" s="609">
        <f t="shared" si="209"/>
        <v>0</v>
      </c>
      <c r="IF29" s="609">
        <f t="shared" si="210"/>
        <v>11820</v>
      </c>
      <c r="IG29" s="609">
        <f t="shared" si="211"/>
        <v>212760</v>
      </c>
      <c r="IH29" s="640">
        <f t="shared" si="244"/>
        <v>2806870</v>
      </c>
      <c r="II29" s="640">
        <f t="shared" si="245"/>
        <v>135908590</v>
      </c>
    </row>
    <row r="30" spans="1:243">
      <c r="A30" s="484" t="s">
        <v>138</v>
      </c>
      <c r="B30" s="484">
        <f t="shared" si="212"/>
        <v>1083028</v>
      </c>
      <c r="C30" s="484">
        <f t="shared" si="213"/>
        <v>43149431</v>
      </c>
      <c r="D30" s="87">
        <f>'P &amp; NP'!MQ13</f>
        <v>0</v>
      </c>
      <c r="E30" s="87">
        <f>'P &amp; NP'!MR13</f>
        <v>0</v>
      </c>
      <c r="F30" s="87">
        <f>'P &amp; NP'!MS13</f>
        <v>68000</v>
      </c>
      <c r="G30" s="87">
        <f>'P &amp; NP'!MT13</f>
        <v>3567390</v>
      </c>
      <c r="H30" s="87">
        <f>'P &amp; NP'!MU13</f>
        <v>0</v>
      </c>
      <c r="I30" s="87">
        <f>'P &amp; NP'!MV13</f>
        <v>0</v>
      </c>
      <c r="J30" s="87">
        <f>'P &amp; NP'!MW13</f>
        <v>18751</v>
      </c>
      <c r="K30" s="87">
        <f>'P &amp; NP'!MX13</f>
        <v>435683</v>
      </c>
      <c r="L30" s="87">
        <f>'P &amp; NP'!MY13</f>
        <v>0</v>
      </c>
      <c r="M30" s="87">
        <f>'P &amp; NP'!MZ13</f>
        <v>0</v>
      </c>
      <c r="N30" s="87">
        <f>'P &amp; NP'!NA13</f>
        <v>0</v>
      </c>
      <c r="O30" s="87">
        <f>'P &amp; NP'!NB13</f>
        <v>0</v>
      </c>
      <c r="P30" s="87">
        <f>'P &amp; NP'!NC13</f>
        <v>0</v>
      </c>
      <c r="Q30" s="87">
        <f>'P &amp; NP'!ND13</f>
        <v>0</v>
      </c>
      <c r="R30" s="92">
        <f t="shared" si="214"/>
        <v>86751</v>
      </c>
      <c r="S30" s="92">
        <f t="shared" si="215"/>
        <v>4003073</v>
      </c>
      <c r="T30" s="87">
        <f>'P &amp; NP'!MQ51</f>
        <v>0</v>
      </c>
      <c r="U30" s="87">
        <f>'P &amp; NP'!MR51</f>
        <v>0</v>
      </c>
      <c r="V30" s="87">
        <f>'P &amp; NP'!MS51</f>
        <v>151966</v>
      </c>
      <c r="W30" s="87">
        <f>'P &amp; NP'!MT51</f>
        <v>7339358</v>
      </c>
      <c r="X30" s="87">
        <f>'P &amp; NP'!MU51</f>
        <v>0</v>
      </c>
      <c r="Y30" s="87">
        <f>'P &amp; NP'!MV51</f>
        <v>0</v>
      </c>
      <c r="Z30" s="87">
        <f>'P &amp; NP'!MW51</f>
        <v>14872</v>
      </c>
      <c r="AA30" s="87">
        <f>'P &amp; NP'!MX51</f>
        <v>343071</v>
      </c>
      <c r="AB30" s="87">
        <f>'P &amp; NP'!MY51</f>
        <v>0</v>
      </c>
      <c r="AC30" s="87">
        <f>'P &amp; NP'!MZ51</f>
        <v>0</v>
      </c>
      <c r="AD30" s="87">
        <f>'P &amp; NP'!NA51</f>
        <v>0</v>
      </c>
      <c r="AE30" s="87">
        <f>'P &amp; NP'!NB51</f>
        <v>0</v>
      </c>
      <c r="AF30" s="87">
        <f>'P &amp; NP'!NC51</f>
        <v>0</v>
      </c>
      <c r="AG30" s="87">
        <f>'P &amp; NP'!ND51</f>
        <v>0</v>
      </c>
      <c r="AH30" s="92">
        <f t="shared" si="216"/>
        <v>166838</v>
      </c>
      <c r="AI30" s="92">
        <f t="shared" si="217"/>
        <v>7682429</v>
      </c>
      <c r="AJ30" s="87">
        <f>'P &amp; NP'!MQ89</f>
        <v>0</v>
      </c>
      <c r="AK30" s="87">
        <f>'P &amp; NP'!MR89</f>
        <v>0</v>
      </c>
      <c r="AL30" s="87">
        <f>'P &amp; NP'!MS89</f>
        <v>37676</v>
      </c>
      <c r="AM30" s="87">
        <f>'P &amp; NP'!MT89</f>
        <v>1718941</v>
      </c>
      <c r="AN30" s="87">
        <f>'P &amp; NP'!MU89</f>
        <v>0</v>
      </c>
      <c r="AO30" s="87">
        <f>'P &amp; NP'!MV89</f>
        <v>0</v>
      </c>
      <c r="AP30" s="87">
        <f>'P &amp; NP'!MW89</f>
        <v>23380</v>
      </c>
      <c r="AQ30" s="87">
        <f>'P &amp; NP'!MX89</f>
        <v>538930</v>
      </c>
      <c r="AR30" s="87">
        <f>'P &amp; NP'!MY89</f>
        <v>0</v>
      </c>
      <c r="AS30" s="87">
        <f>'P &amp; NP'!MZ89</f>
        <v>0</v>
      </c>
      <c r="AT30" s="87">
        <f>'P &amp; NP'!NA89</f>
        <v>0</v>
      </c>
      <c r="AU30" s="87">
        <f>'P &amp; NP'!NB89</f>
        <v>0</v>
      </c>
      <c r="AV30" s="87">
        <f>'P &amp; NP'!NC89</f>
        <v>0</v>
      </c>
      <c r="AW30" s="87">
        <f>'P &amp; NP'!ND89</f>
        <v>0</v>
      </c>
      <c r="AX30" s="92">
        <f t="shared" si="218"/>
        <v>61056</v>
      </c>
      <c r="AY30" s="92">
        <f t="shared" si="219"/>
        <v>2257871</v>
      </c>
      <c r="AZ30" s="87">
        <f>'P &amp; NP'!MQ127</f>
        <v>0</v>
      </c>
      <c r="BA30" s="87">
        <f>'P &amp; NP'!MR127</f>
        <v>0</v>
      </c>
      <c r="BB30" s="87">
        <f>'P &amp; NP'!MS127</f>
        <v>75707</v>
      </c>
      <c r="BC30" s="87">
        <f>'P &amp; NP'!MT127</f>
        <v>3643188</v>
      </c>
      <c r="BD30" s="87">
        <f>'P &amp; NP'!MU127</f>
        <v>0</v>
      </c>
      <c r="BE30" s="87">
        <f>'P &amp; NP'!MV127</f>
        <v>0</v>
      </c>
      <c r="BF30" s="87">
        <f>'P &amp; NP'!MW127</f>
        <v>16006</v>
      </c>
      <c r="BG30" s="87">
        <f>'P &amp; NP'!MX127</f>
        <v>368138</v>
      </c>
      <c r="BH30" s="87">
        <f>'P &amp; NP'!MY127</f>
        <v>0</v>
      </c>
      <c r="BI30" s="87">
        <f>'P &amp; NP'!MZ127</f>
        <v>0</v>
      </c>
      <c r="BJ30" s="87">
        <f>'P &amp; NP'!NA127</f>
        <v>0</v>
      </c>
      <c r="BK30" s="87">
        <f>'P &amp; NP'!NB127</f>
        <v>0</v>
      </c>
      <c r="BL30" s="87">
        <f>'P &amp; NP'!NC127</f>
        <v>0</v>
      </c>
      <c r="BM30" s="87">
        <f>'P &amp; NP'!ND127</f>
        <v>0</v>
      </c>
      <c r="BN30" s="92">
        <f t="shared" si="220"/>
        <v>91713</v>
      </c>
      <c r="BO30" s="92">
        <f t="shared" si="221"/>
        <v>4011326</v>
      </c>
      <c r="BP30" s="87">
        <f>'P &amp; NP'!MQ165</f>
        <v>0</v>
      </c>
      <c r="BQ30" s="87">
        <f>'P &amp; NP'!MR165</f>
        <v>0</v>
      </c>
      <c r="BR30" s="87">
        <f>'P &amp; NP'!MS165</f>
        <v>113510</v>
      </c>
      <c r="BS30" s="87">
        <f>'P &amp; NP'!MT165</f>
        <v>5377825</v>
      </c>
      <c r="BT30" s="87">
        <f>'P &amp; NP'!MU165</f>
        <v>0</v>
      </c>
      <c r="BU30" s="87">
        <f>'P &amp; NP'!MV165</f>
        <v>0</v>
      </c>
      <c r="BV30" s="87">
        <f>'P &amp; NP'!MW165</f>
        <v>23481</v>
      </c>
      <c r="BW30" s="87">
        <f>'P &amp; NP'!MX165</f>
        <v>540063</v>
      </c>
      <c r="BX30" s="87">
        <f>'P &amp; NP'!MY165</f>
        <v>0</v>
      </c>
      <c r="BY30" s="87">
        <f>'P &amp; NP'!MZ165</f>
        <v>0</v>
      </c>
      <c r="BZ30" s="87">
        <f>'P &amp; NP'!NA165</f>
        <v>0</v>
      </c>
      <c r="CA30" s="87">
        <f>'P &amp; NP'!NB165</f>
        <v>0</v>
      </c>
      <c r="CB30" s="87">
        <f>'P &amp; NP'!NC165</f>
        <v>0</v>
      </c>
      <c r="CC30" s="87">
        <f>'P &amp; NP'!ND165</f>
        <v>0</v>
      </c>
      <c r="CD30" s="92">
        <f t="shared" si="222"/>
        <v>136991</v>
      </c>
      <c r="CE30" s="92">
        <f t="shared" si="223"/>
        <v>5917888</v>
      </c>
      <c r="CF30" s="87">
        <f>'P &amp; NP'!MQ203</f>
        <v>0</v>
      </c>
      <c r="CG30" s="87">
        <f>'P &amp; NP'!MR203</f>
        <v>0</v>
      </c>
      <c r="CH30" s="87">
        <f>'P &amp; NP'!MS203</f>
        <v>113754</v>
      </c>
      <c r="CI30" s="87">
        <f>'P &amp; NP'!MT203</f>
        <v>6767775</v>
      </c>
      <c r="CJ30" s="87">
        <f>'P &amp; NP'!MU203</f>
        <v>0</v>
      </c>
      <c r="CK30" s="87">
        <f>'P &amp; NP'!MV203</f>
        <v>0</v>
      </c>
      <c r="CL30" s="87">
        <f>'P &amp; NP'!MW203</f>
        <v>14909</v>
      </c>
      <c r="CM30" s="87">
        <f>'P &amp; NP'!MX203</f>
        <v>343257</v>
      </c>
      <c r="CN30" s="87">
        <f>'P &amp; NP'!MY203</f>
        <v>0</v>
      </c>
      <c r="CO30" s="87">
        <f>'P &amp; NP'!MZ203</f>
        <v>0</v>
      </c>
      <c r="CP30" s="87">
        <f>'P &amp; NP'!NA203</f>
        <v>0</v>
      </c>
      <c r="CQ30" s="87">
        <f>'P &amp; NP'!NB203</f>
        <v>0</v>
      </c>
      <c r="CR30" s="87">
        <f>'P &amp; NP'!NC203</f>
        <v>0</v>
      </c>
      <c r="CS30" s="87">
        <f>'P &amp; NP'!ND203</f>
        <v>0</v>
      </c>
      <c r="CT30" s="92">
        <f t="shared" si="224"/>
        <v>128663</v>
      </c>
      <c r="CU30" s="92">
        <f t="shared" si="225"/>
        <v>7111032</v>
      </c>
      <c r="CV30" s="87">
        <f>'P &amp; NP'!MQ241</f>
        <v>0</v>
      </c>
      <c r="CW30" s="87">
        <f>'P &amp; NP'!MR241</f>
        <v>0</v>
      </c>
      <c r="CX30" s="87">
        <f>'P &amp; NP'!MS241</f>
        <v>36600</v>
      </c>
      <c r="CY30" s="87">
        <f>'P &amp; NP'!MT241</f>
        <v>1432800</v>
      </c>
      <c r="CZ30" s="87">
        <f>'P &amp; NP'!MW241</f>
        <v>17500</v>
      </c>
      <c r="DA30" s="87">
        <f>'P &amp; NP'!MX241</f>
        <v>402500</v>
      </c>
      <c r="DB30" s="87">
        <f>'P &amp; NP'!MY241</f>
        <v>0</v>
      </c>
      <c r="DC30" s="87">
        <f>'P &amp; NP'!MZ241</f>
        <v>0</v>
      </c>
      <c r="DD30" s="87">
        <f>'P &amp; NP'!NA241</f>
        <v>0</v>
      </c>
      <c r="DE30" s="87">
        <f>'P &amp; NP'!NB241</f>
        <v>0</v>
      </c>
      <c r="DF30" s="87">
        <f>'P &amp; NP'!NC241</f>
        <v>0</v>
      </c>
      <c r="DG30" s="87">
        <f>'P &amp; NP'!ND241</f>
        <v>0</v>
      </c>
      <c r="DH30" s="87">
        <f t="shared" si="226"/>
        <v>54100</v>
      </c>
      <c r="DI30" s="87">
        <f t="shared" si="227"/>
        <v>1835300</v>
      </c>
      <c r="DJ30" s="92">
        <f>'P &amp; NP'!MQ279</f>
        <v>0</v>
      </c>
      <c r="DK30" s="92">
        <f>'P &amp; NP'!MR279</f>
        <v>0</v>
      </c>
      <c r="DL30" s="87">
        <f>'P &amp; NP'!MS279</f>
        <v>39420</v>
      </c>
      <c r="DM30" s="87">
        <f>'P &amp; NP'!MT279</f>
        <v>1845200</v>
      </c>
      <c r="DN30" s="87">
        <f>'P &amp; NP'!MW279</f>
        <v>13000</v>
      </c>
      <c r="DO30" s="87">
        <f>'P &amp; NP'!MX279</f>
        <v>299000</v>
      </c>
      <c r="DP30" s="87">
        <f>'P &amp; NP'!MY279</f>
        <v>0</v>
      </c>
      <c r="DQ30" s="87">
        <f>'P &amp; NP'!MZ279</f>
        <v>0</v>
      </c>
      <c r="DR30" s="87">
        <f>'P &amp; NP'!NA279</f>
        <v>0</v>
      </c>
      <c r="DS30" s="87">
        <f>'P &amp; NP'!NB279</f>
        <v>0</v>
      </c>
      <c r="DT30" s="87">
        <f>'P &amp; NP'!NC279</f>
        <v>0</v>
      </c>
      <c r="DU30" s="87">
        <f>'P &amp; NP'!ND279</f>
        <v>0</v>
      </c>
      <c r="DV30" s="87">
        <f t="shared" si="228"/>
        <v>52420</v>
      </c>
      <c r="DW30" s="87">
        <f t="shared" si="229"/>
        <v>2144200</v>
      </c>
      <c r="DX30" s="87">
        <f>'P &amp; NP'!MQ317</f>
        <v>0</v>
      </c>
      <c r="DY30" s="87">
        <f>'P &amp; NP'!MR317</f>
        <v>0</v>
      </c>
      <c r="DZ30" s="92">
        <f>'P &amp; NP'!MS317</f>
        <v>20350</v>
      </c>
      <c r="EA30" s="92">
        <f>'P &amp; NP'!MT317</f>
        <v>789600</v>
      </c>
      <c r="EB30" s="87">
        <f>'P &amp; NP'!MW317</f>
        <v>20500</v>
      </c>
      <c r="EC30" s="87">
        <f>'P &amp; NP'!MX317</f>
        <v>471500</v>
      </c>
      <c r="ED30" s="87">
        <f>'P &amp; NP'!MY317</f>
        <v>0</v>
      </c>
      <c r="EE30" s="87">
        <f>'P &amp; NP'!MZ317</f>
        <v>0</v>
      </c>
      <c r="EF30" s="87">
        <f>'P &amp; NP'!NA317</f>
        <v>0</v>
      </c>
      <c r="EG30" s="87">
        <f>'P &amp; NP'!NB317</f>
        <v>0</v>
      </c>
      <c r="EH30" s="87">
        <f>'P &amp; NP'!NC317</f>
        <v>0</v>
      </c>
      <c r="EI30" s="87">
        <f>'P &amp; NP'!ND317</f>
        <v>0</v>
      </c>
      <c r="EJ30" s="87">
        <f t="shared" si="230"/>
        <v>40850</v>
      </c>
      <c r="EK30" s="87">
        <f t="shared" si="231"/>
        <v>1261100</v>
      </c>
      <c r="EL30" s="87">
        <f>'P &amp; NP'!MQ355</f>
        <v>0</v>
      </c>
      <c r="EM30" s="87">
        <f>'P &amp; NP'!MR355</f>
        <v>0</v>
      </c>
      <c r="EN30" s="87">
        <f>'P &amp; NP'!MS355</f>
        <v>41083</v>
      </c>
      <c r="EO30" s="87">
        <f>'P &amp; NP'!MT355</f>
        <v>1296626</v>
      </c>
      <c r="EP30" s="92">
        <f>'P &amp; NP'!MW355</f>
        <v>22310</v>
      </c>
      <c r="EQ30" s="92">
        <f>'P &amp; NP'!MX355</f>
        <v>513480</v>
      </c>
      <c r="ER30" s="87">
        <f>'P &amp; NP'!MY355</f>
        <v>0</v>
      </c>
      <c r="ES30" s="87">
        <f>'P &amp; NP'!MZ355</f>
        <v>0</v>
      </c>
      <c r="ET30" s="87">
        <f>'P &amp; NP'!NA355</f>
        <v>0</v>
      </c>
      <c r="EU30" s="87">
        <f>'P &amp; NP'!NB355</f>
        <v>0</v>
      </c>
      <c r="EV30" s="87">
        <f>'P &amp; NP'!NC355</f>
        <v>0</v>
      </c>
      <c r="EW30" s="87">
        <f>'P &amp; NP'!ND355</f>
        <v>0</v>
      </c>
      <c r="EX30" s="87">
        <f t="shared" si="232"/>
        <v>63393</v>
      </c>
      <c r="EY30" s="87">
        <f t="shared" si="233"/>
        <v>1810106</v>
      </c>
      <c r="EZ30" s="87">
        <f>'P &amp; NP'!MQ393</f>
        <v>0</v>
      </c>
      <c r="FA30" s="87">
        <f>'P &amp; NP'!MR393</f>
        <v>0</v>
      </c>
      <c r="FB30" s="87">
        <f>'P &amp; NP'!MS393</f>
        <v>56693</v>
      </c>
      <c r="FC30" s="87">
        <f>'P &amp; NP'!MT393</f>
        <v>1673806</v>
      </c>
      <c r="FD30" s="87">
        <f>'P &amp; NP'!MW393</f>
        <v>19920</v>
      </c>
      <c r="FE30" s="87">
        <f>'P &amp; NP'!MX393</f>
        <v>458300</v>
      </c>
      <c r="FF30" s="92">
        <f>'P &amp; NP'!MY393</f>
        <v>0</v>
      </c>
      <c r="FG30" s="92">
        <f>'P &amp; NP'!MZ393</f>
        <v>0</v>
      </c>
      <c r="FH30" s="87">
        <f>'P &amp; NP'!NA393</f>
        <v>0</v>
      </c>
      <c r="FI30" s="87">
        <f>'P &amp; NP'!NB393</f>
        <v>0</v>
      </c>
      <c r="FJ30" s="87">
        <f>'P &amp; NP'!NC393</f>
        <v>0</v>
      </c>
      <c r="FK30" s="87">
        <f>'P &amp; NP'!ND393</f>
        <v>0</v>
      </c>
      <c r="FL30" s="87">
        <f t="shared" si="234"/>
        <v>76613</v>
      </c>
      <c r="FM30" s="87">
        <f t="shared" si="235"/>
        <v>2132106</v>
      </c>
      <c r="FN30" s="87">
        <f>'P &amp; NP'!MQ431</f>
        <v>0</v>
      </c>
      <c r="FO30" s="87">
        <f>'P &amp; NP'!MR431</f>
        <v>0</v>
      </c>
      <c r="FP30" s="87">
        <f>'P &amp; NP'!MS431</f>
        <v>99320</v>
      </c>
      <c r="FQ30" s="87">
        <f>'P &amp; NP'!MT431</f>
        <v>2423500</v>
      </c>
      <c r="FR30" s="87">
        <f>'P &amp; NP'!MW431</f>
        <v>24320</v>
      </c>
      <c r="FS30" s="87">
        <f>'P &amp; NP'!MX431</f>
        <v>559500</v>
      </c>
      <c r="FT30" s="87">
        <f>'P &amp; NP'!MY431</f>
        <v>0</v>
      </c>
      <c r="FU30" s="87">
        <f>'P &amp; NP'!MZ431</f>
        <v>0</v>
      </c>
      <c r="FV30" s="92">
        <f>'P &amp; NP'!NA431</f>
        <v>0</v>
      </c>
      <c r="FW30" s="92">
        <f>'P &amp; NP'!NB431</f>
        <v>0</v>
      </c>
      <c r="FX30" s="87">
        <f>'P &amp; NP'!NC431</f>
        <v>0</v>
      </c>
      <c r="FY30" s="87">
        <f>'P &amp; NP'!ND431</f>
        <v>0</v>
      </c>
      <c r="FZ30" s="87">
        <f t="shared" si="236"/>
        <v>123640</v>
      </c>
      <c r="GA30" s="87">
        <f t="shared" si="237"/>
        <v>2983000</v>
      </c>
      <c r="GC30" s="609">
        <f t="shared" si="164"/>
        <v>0</v>
      </c>
      <c r="GD30" s="609">
        <f t="shared" si="165"/>
        <v>0</v>
      </c>
      <c r="GE30" s="609">
        <f t="shared" si="166"/>
        <v>257642</v>
      </c>
      <c r="GF30" s="609">
        <f t="shared" si="167"/>
        <v>12625689</v>
      </c>
      <c r="GG30" s="609">
        <f t="shared" si="168"/>
        <v>57003</v>
      </c>
      <c r="GH30" s="609">
        <f t="shared" si="169"/>
        <v>1317684</v>
      </c>
      <c r="GI30" s="609">
        <f t="shared" si="170"/>
        <v>0</v>
      </c>
      <c r="GJ30" s="609">
        <f t="shared" si="171"/>
        <v>0</v>
      </c>
      <c r="GK30" s="609">
        <f t="shared" si="172"/>
        <v>0</v>
      </c>
      <c r="GL30" s="609">
        <f t="shared" si="173"/>
        <v>0</v>
      </c>
      <c r="GM30" s="609">
        <f t="shared" si="174"/>
        <v>0</v>
      </c>
      <c r="GN30" s="609">
        <f t="shared" si="175"/>
        <v>0</v>
      </c>
      <c r="GO30" s="640">
        <f t="shared" si="238"/>
        <v>314645</v>
      </c>
      <c r="GP30" s="640">
        <f t="shared" si="239"/>
        <v>13943373</v>
      </c>
      <c r="GR30" s="609">
        <f t="shared" si="176"/>
        <v>0</v>
      </c>
      <c r="GS30" s="609">
        <f t="shared" si="177"/>
        <v>0</v>
      </c>
      <c r="GT30" s="609">
        <f t="shared" si="178"/>
        <v>302971</v>
      </c>
      <c r="GU30" s="609">
        <f t="shared" si="179"/>
        <v>15788788</v>
      </c>
      <c r="GV30" s="609">
        <f t="shared" si="180"/>
        <v>54396</v>
      </c>
      <c r="GW30" s="609">
        <f t="shared" si="181"/>
        <v>1251458</v>
      </c>
      <c r="GX30" s="609">
        <f t="shared" si="182"/>
        <v>0</v>
      </c>
      <c r="GY30" s="609">
        <f t="shared" si="183"/>
        <v>0</v>
      </c>
      <c r="GZ30" s="609">
        <f t="shared" si="184"/>
        <v>0</v>
      </c>
      <c r="HA30" s="609">
        <f t="shared" si="185"/>
        <v>0</v>
      </c>
      <c r="HB30" s="609">
        <f t="shared" si="186"/>
        <v>0</v>
      </c>
      <c r="HC30" s="609">
        <f t="shared" si="187"/>
        <v>0</v>
      </c>
      <c r="HD30" s="640">
        <f t="shared" si="240"/>
        <v>357367</v>
      </c>
      <c r="HE30" s="640">
        <f t="shared" si="241"/>
        <v>17040246</v>
      </c>
      <c r="HG30" s="609">
        <f t="shared" si="188"/>
        <v>0</v>
      </c>
      <c r="HH30" s="609">
        <f t="shared" si="189"/>
        <v>0</v>
      </c>
      <c r="HI30" s="609">
        <f t="shared" si="190"/>
        <v>96370</v>
      </c>
      <c r="HJ30" s="609">
        <f t="shared" si="191"/>
        <v>4067600</v>
      </c>
      <c r="HK30" s="609">
        <f t="shared" si="192"/>
        <v>51000</v>
      </c>
      <c r="HL30" s="609">
        <f t="shared" si="193"/>
        <v>1173000</v>
      </c>
      <c r="HM30" s="609">
        <f t="shared" si="194"/>
        <v>0</v>
      </c>
      <c r="HN30" s="609">
        <f t="shared" si="195"/>
        <v>0</v>
      </c>
      <c r="HO30" s="609">
        <f t="shared" si="196"/>
        <v>0</v>
      </c>
      <c r="HP30" s="609">
        <f t="shared" si="197"/>
        <v>0</v>
      </c>
      <c r="HQ30" s="609">
        <f t="shared" si="198"/>
        <v>0</v>
      </c>
      <c r="HR30" s="609">
        <f t="shared" si="199"/>
        <v>0</v>
      </c>
      <c r="HS30" s="640">
        <f t="shared" si="242"/>
        <v>147370</v>
      </c>
      <c r="HT30" s="640">
        <f t="shared" si="243"/>
        <v>5240600</v>
      </c>
      <c r="HV30" s="609">
        <f t="shared" si="200"/>
        <v>0</v>
      </c>
      <c r="HW30" s="609">
        <f t="shared" si="201"/>
        <v>0</v>
      </c>
      <c r="HX30" s="609">
        <f t="shared" si="202"/>
        <v>197096</v>
      </c>
      <c r="HY30" s="609">
        <f t="shared" si="203"/>
        <v>5393932</v>
      </c>
      <c r="HZ30" s="609">
        <f t="shared" si="204"/>
        <v>66550</v>
      </c>
      <c r="IA30" s="609">
        <f t="shared" si="205"/>
        <v>1531280</v>
      </c>
      <c r="IB30" s="609">
        <f t="shared" si="206"/>
        <v>0</v>
      </c>
      <c r="IC30" s="609">
        <f t="shared" si="207"/>
        <v>0</v>
      </c>
      <c r="ID30" s="609">
        <f t="shared" si="208"/>
        <v>0</v>
      </c>
      <c r="IE30" s="609">
        <f t="shared" si="209"/>
        <v>0</v>
      </c>
      <c r="IF30" s="609">
        <f t="shared" si="210"/>
        <v>0</v>
      </c>
      <c r="IG30" s="609">
        <f t="shared" si="211"/>
        <v>0</v>
      </c>
      <c r="IH30" s="640">
        <f t="shared" si="244"/>
        <v>263646</v>
      </c>
      <c r="II30" s="640">
        <f t="shared" si="245"/>
        <v>6925212</v>
      </c>
    </row>
    <row r="31" spans="1:243">
      <c r="A31" s="484" t="s">
        <v>126</v>
      </c>
      <c r="B31" s="484">
        <f t="shared" si="212"/>
        <v>110739687</v>
      </c>
      <c r="C31" s="484">
        <f t="shared" si="213"/>
        <v>2478866829</v>
      </c>
      <c r="D31" s="87">
        <f>'P &amp; NP'!NG13</f>
        <v>0</v>
      </c>
      <c r="E31" s="87">
        <f>'P &amp; NP'!NH13</f>
        <v>0</v>
      </c>
      <c r="F31" s="87">
        <f>'P &amp; NP'!NI13</f>
        <v>4916900</v>
      </c>
      <c r="G31" s="87">
        <f>'P &amp; NP'!NJ13</f>
        <v>126626660</v>
      </c>
      <c r="H31" s="87">
        <f>'P &amp; NP'!NK13</f>
        <v>0</v>
      </c>
      <c r="I31" s="87">
        <f>'P &amp; NP'!NL13</f>
        <v>0</v>
      </c>
      <c r="J31" s="87">
        <f>'P &amp; NP'!NM13</f>
        <v>1889600</v>
      </c>
      <c r="K31" s="87">
        <f>'P &amp; NP'!NN13</f>
        <v>30751800</v>
      </c>
      <c r="L31" s="87">
        <f>'P &amp; NP'!NO13</f>
        <v>0</v>
      </c>
      <c r="M31" s="87">
        <f>'P &amp; NP'!NP13</f>
        <v>0</v>
      </c>
      <c r="N31" s="87">
        <f>'P &amp; NP'!NQ13</f>
        <v>35840</v>
      </c>
      <c r="O31" s="87">
        <f>'P &amp; NP'!NR13</f>
        <v>652420</v>
      </c>
      <c r="P31" s="87">
        <f>'P &amp; NP'!NS13</f>
        <v>0</v>
      </c>
      <c r="Q31" s="87">
        <f>'P &amp; NP'!NT13</f>
        <v>0</v>
      </c>
      <c r="R31" s="92">
        <f t="shared" si="214"/>
        <v>6842340</v>
      </c>
      <c r="S31" s="92">
        <f t="shared" si="215"/>
        <v>158030880</v>
      </c>
      <c r="T31" s="87">
        <f>'P &amp; NP'!NG51</f>
        <v>0</v>
      </c>
      <c r="U31" s="87">
        <f>'P &amp; NP'!NH51</f>
        <v>0</v>
      </c>
      <c r="V31" s="87">
        <f>'P &amp; NP'!NI51</f>
        <v>6330751</v>
      </c>
      <c r="W31" s="87">
        <f>'P &amp; NP'!NJ51</f>
        <v>182566485</v>
      </c>
      <c r="X31" s="87">
        <f>'P &amp; NP'!NK51</f>
        <v>0</v>
      </c>
      <c r="Y31" s="87">
        <f>'P &amp; NP'!NL51</f>
        <v>0</v>
      </c>
      <c r="Z31" s="87">
        <f>'P &amp; NP'!NM51</f>
        <v>2567845</v>
      </c>
      <c r="AA31" s="87">
        <f>'P &amp; NP'!NN51</f>
        <v>41564120</v>
      </c>
      <c r="AB31" s="87">
        <f>'P &amp; NP'!NO51</f>
        <v>0</v>
      </c>
      <c r="AC31" s="87">
        <f>'P &amp; NP'!NP51</f>
        <v>0</v>
      </c>
      <c r="AD31" s="87">
        <f>'P &amp; NP'!NQ51</f>
        <v>29215</v>
      </c>
      <c r="AE31" s="87">
        <f>'P &amp; NP'!NR51</f>
        <v>531710</v>
      </c>
      <c r="AF31" s="87">
        <f>'P &amp; NP'!NS51</f>
        <v>0</v>
      </c>
      <c r="AG31" s="87">
        <f>'P &amp; NP'!NT51</f>
        <v>0</v>
      </c>
      <c r="AH31" s="92">
        <f t="shared" si="216"/>
        <v>8927811</v>
      </c>
      <c r="AI31" s="92">
        <f t="shared" si="217"/>
        <v>224662315</v>
      </c>
      <c r="AJ31" s="87">
        <f>'P &amp; NP'!NG89</f>
        <v>0</v>
      </c>
      <c r="AK31" s="87">
        <f>'P &amp; NP'!NH89</f>
        <v>0</v>
      </c>
      <c r="AL31" s="87">
        <f>'P &amp; NP'!NI89</f>
        <v>7849540</v>
      </c>
      <c r="AM31" s="87">
        <f>'P &amp; NP'!NJ89</f>
        <v>219880430</v>
      </c>
      <c r="AN31" s="87">
        <f>'P &amp; NP'!NK89</f>
        <v>0</v>
      </c>
      <c r="AO31" s="87">
        <f>'P &amp; NP'!NL89</f>
        <v>0</v>
      </c>
      <c r="AP31" s="87">
        <f>'P &amp; NP'!NM89</f>
        <v>2796500</v>
      </c>
      <c r="AQ31" s="87">
        <f>'P &amp; NP'!NN89</f>
        <v>45181600</v>
      </c>
      <c r="AR31" s="87">
        <f>'P &amp; NP'!NO89</f>
        <v>0</v>
      </c>
      <c r="AS31" s="87">
        <f>'P &amp; NP'!NP89</f>
        <v>0</v>
      </c>
      <c r="AT31" s="87">
        <f>'P &amp; NP'!NQ89</f>
        <v>27190</v>
      </c>
      <c r="AU31" s="87">
        <f>'P &amp; NP'!NR89</f>
        <v>494440</v>
      </c>
      <c r="AV31" s="87">
        <f>'P &amp; NP'!NS89</f>
        <v>0</v>
      </c>
      <c r="AW31" s="87">
        <f>'P &amp; NP'!NT89</f>
        <v>0</v>
      </c>
      <c r="AX31" s="92">
        <f t="shared" si="218"/>
        <v>10673230</v>
      </c>
      <c r="AY31" s="92">
        <f t="shared" si="219"/>
        <v>265556470</v>
      </c>
      <c r="AZ31" s="87">
        <f>'P &amp; NP'!NG127</f>
        <v>0</v>
      </c>
      <c r="BA31" s="87">
        <f>'P &amp; NP'!NH127</f>
        <v>0</v>
      </c>
      <c r="BB31" s="87">
        <f>'P &amp; NP'!NI127</f>
        <v>6463500</v>
      </c>
      <c r="BC31" s="87">
        <f>'P &amp; NP'!NJ127</f>
        <v>148541050</v>
      </c>
      <c r="BD31" s="87">
        <f>'P &amp; NP'!NK127</f>
        <v>0</v>
      </c>
      <c r="BE31" s="87">
        <f>'P &amp; NP'!NL127</f>
        <v>0</v>
      </c>
      <c r="BF31" s="87">
        <f>'P &amp; NP'!NM127</f>
        <v>2514000</v>
      </c>
      <c r="BG31" s="87">
        <f>'P &amp; NP'!NN127</f>
        <v>40538800</v>
      </c>
      <c r="BH31" s="87">
        <f>'P &amp; NP'!NO127</f>
        <v>0</v>
      </c>
      <c r="BI31" s="87">
        <f>'P &amp; NP'!NP127</f>
        <v>0</v>
      </c>
      <c r="BJ31" s="87">
        <f>'P &amp; NP'!NQ127</f>
        <v>22300</v>
      </c>
      <c r="BK31" s="87">
        <f>'P &amp; NP'!NR127</f>
        <v>403800</v>
      </c>
      <c r="BL31" s="87">
        <f>'P &amp; NP'!NS127</f>
        <v>0</v>
      </c>
      <c r="BM31" s="87">
        <f>'P &amp; NP'!NT127</f>
        <v>0</v>
      </c>
      <c r="BN31" s="92">
        <f t="shared" si="220"/>
        <v>8999800</v>
      </c>
      <c r="BO31" s="92">
        <f t="shared" si="221"/>
        <v>189483650</v>
      </c>
      <c r="BP31" s="87">
        <f>'P &amp; NP'!NG165</f>
        <v>0</v>
      </c>
      <c r="BQ31" s="87">
        <f>'P &amp; NP'!NH165</f>
        <v>0</v>
      </c>
      <c r="BR31" s="87">
        <f>'P &amp; NP'!NI165</f>
        <v>6942900</v>
      </c>
      <c r="BS31" s="87">
        <f>'P &amp; NP'!NJ165</f>
        <v>144994320</v>
      </c>
      <c r="BT31" s="87">
        <f>'P &amp; NP'!NK165</f>
        <v>0</v>
      </c>
      <c r="BU31" s="87">
        <f>'P &amp; NP'!NL165</f>
        <v>0</v>
      </c>
      <c r="BV31" s="87">
        <f>'P &amp; NP'!NM165</f>
        <v>2017400</v>
      </c>
      <c r="BW31" s="87">
        <f>'P &amp; NP'!NN165</f>
        <v>32550600</v>
      </c>
      <c r="BX31" s="87">
        <f>'P &amp; NP'!NO165</f>
        <v>335200</v>
      </c>
      <c r="BY31" s="87">
        <f>'P &amp; NP'!NP165</f>
        <v>7150800</v>
      </c>
      <c r="BZ31" s="87">
        <f>'P &amp; NP'!NQ165</f>
        <v>21390</v>
      </c>
      <c r="CA31" s="87">
        <f>'P &amp; NP'!NR165</f>
        <v>390540</v>
      </c>
      <c r="CB31" s="87">
        <f>'P &amp; NP'!NS165</f>
        <v>0</v>
      </c>
      <c r="CC31" s="87">
        <f>'P &amp; NP'!NT165</f>
        <v>0</v>
      </c>
      <c r="CD31" s="92">
        <f t="shared" si="222"/>
        <v>9316890</v>
      </c>
      <c r="CE31" s="92">
        <f t="shared" si="223"/>
        <v>185086260</v>
      </c>
      <c r="CF31" s="87">
        <f>'P &amp; NP'!NG203</f>
        <v>0</v>
      </c>
      <c r="CG31" s="87">
        <f>'P &amp; NP'!NH203</f>
        <v>0</v>
      </c>
      <c r="CH31" s="87">
        <f>'P &amp; NP'!NI203</f>
        <v>6777800</v>
      </c>
      <c r="CI31" s="87">
        <f>'P &amp; NP'!NJ203</f>
        <v>153266840</v>
      </c>
      <c r="CJ31" s="87">
        <f>'P &amp; NP'!NK203</f>
        <v>0</v>
      </c>
      <c r="CK31" s="87">
        <f>'P &amp; NP'!NL203</f>
        <v>0</v>
      </c>
      <c r="CL31" s="87">
        <f>'P &amp; NP'!NM203</f>
        <v>1522100</v>
      </c>
      <c r="CM31" s="87">
        <f>'P &amp; NP'!NN203</f>
        <v>24549800</v>
      </c>
      <c r="CN31" s="87">
        <f>'P &amp; NP'!NO203</f>
        <v>0</v>
      </c>
      <c r="CO31" s="87">
        <f>'P &amp; NP'!NP203</f>
        <v>0</v>
      </c>
      <c r="CP31" s="87">
        <f>'P &amp; NP'!NQ203</f>
        <v>22862</v>
      </c>
      <c r="CQ31" s="87">
        <f>'P &amp; NP'!NR203</f>
        <v>413456</v>
      </c>
      <c r="CR31" s="87">
        <f>'P &amp; NP'!NS203</f>
        <v>0</v>
      </c>
      <c r="CS31" s="87">
        <f>'P &amp; NP'!NT203</f>
        <v>0</v>
      </c>
      <c r="CT31" s="92">
        <f t="shared" si="224"/>
        <v>8322762</v>
      </c>
      <c r="CU31" s="92">
        <f t="shared" si="225"/>
        <v>178230096</v>
      </c>
      <c r="CV31" s="87">
        <f>'P &amp; NP'!NG241</f>
        <v>0</v>
      </c>
      <c r="CW31" s="87">
        <f>'P &amp; NP'!NH241</f>
        <v>0</v>
      </c>
      <c r="CX31" s="87">
        <f>'P &amp; NP'!NI241</f>
        <v>6811700</v>
      </c>
      <c r="CY31" s="87">
        <f>'P &amp; NP'!NJ241</f>
        <v>151307110</v>
      </c>
      <c r="CZ31" s="87">
        <f>'P &amp; NP'!NM241</f>
        <v>1765200</v>
      </c>
      <c r="DA31" s="87">
        <f>'P &amp; NP'!NN241</f>
        <v>28463200</v>
      </c>
      <c r="DB31" s="87">
        <f>'P &amp; NP'!NO241</f>
        <v>0</v>
      </c>
      <c r="DC31" s="87">
        <f>'P &amp; NP'!NP241</f>
        <v>0</v>
      </c>
      <c r="DD31" s="87">
        <f>'P &amp; NP'!NQ241</f>
        <v>20600</v>
      </c>
      <c r="DE31" s="87">
        <f>'P &amp; NP'!NR241</f>
        <v>373000</v>
      </c>
      <c r="DF31" s="87">
        <f>'P &amp; NP'!NS241</f>
        <v>0</v>
      </c>
      <c r="DG31" s="87">
        <f>'P &amp; NP'!NT241</f>
        <v>0</v>
      </c>
      <c r="DH31" s="87">
        <f t="shared" si="226"/>
        <v>8597500</v>
      </c>
      <c r="DI31" s="87">
        <f t="shared" si="227"/>
        <v>180143310</v>
      </c>
      <c r="DJ31" s="92">
        <f>'P &amp; NP'!NG279</f>
        <v>0</v>
      </c>
      <c r="DK31" s="92">
        <f>'P &amp; NP'!NH279</f>
        <v>0</v>
      </c>
      <c r="DL31" s="87">
        <f>'P &amp; NP'!NI279</f>
        <v>9333700</v>
      </c>
      <c r="DM31" s="87">
        <f>'P &amp; NP'!NJ279</f>
        <v>200633260</v>
      </c>
      <c r="DN31" s="87">
        <f>'P &amp; NP'!NM279</f>
        <v>2268000</v>
      </c>
      <c r="DO31" s="87">
        <f>'P &amp; NP'!NN279</f>
        <v>36552200</v>
      </c>
      <c r="DP31" s="87">
        <f>'P &amp; NP'!NO279</f>
        <v>0</v>
      </c>
      <c r="DQ31" s="87">
        <f>'P &amp; NP'!NP279</f>
        <v>0</v>
      </c>
      <c r="DR31" s="87">
        <f>'P &amp; NP'!NQ279</f>
        <v>26227</v>
      </c>
      <c r="DS31" s="87">
        <f>'P &amp; NP'!NR279</f>
        <v>476476</v>
      </c>
      <c r="DT31" s="87">
        <f>'P &amp; NP'!NS279</f>
        <v>0</v>
      </c>
      <c r="DU31" s="87">
        <f>'P &amp; NP'!NT279</f>
        <v>0</v>
      </c>
      <c r="DV31" s="87">
        <f t="shared" si="228"/>
        <v>11627927</v>
      </c>
      <c r="DW31" s="87">
        <f t="shared" si="229"/>
        <v>237661936</v>
      </c>
      <c r="DX31" s="87">
        <f>'P &amp; NP'!NG317</f>
        <v>0</v>
      </c>
      <c r="DY31" s="87">
        <f>'P &amp; NP'!NH317</f>
        <v>0</v>
      </c>
      <c r="DZ31" s="92">
        <f>'P &amp; NP'!NI317</f>
        <v>9707900</v>
      </c>
      <c r="EA31" s="92">
        <f>'P &amp; NP'!NJ317</f>
        <v>240382040</v>
      </c>
      <c r="EB31" s="87">
        <f>'P &amp; NP'!NM317</f>
        <v>2025600</v>
      </c>
      <c r="EC31" s="87">
        <f>'P &amp; NP'!NN317</f>
        <v>32705200</v>
      </c>
      <c r="ED31" s="87">
        <f>'P &amp; NP'!NO317</f>
        <v>0</v>
      </c>
      <c r="EE31" s="87">
        <f>'P &amp; NP'!NP317</f>
        <v>0</v>
      </c>
      <c r="EF31" s="87">
        <f>'P &amp; NP'!NQ317</f>
        <v>25777</v>
      </c>
      <c r="EG31" s="87">
        <f>'P &amp; NP'!NR317</f>
        <v>467516</v>
      </c>
      <c r="EH31" s="87">
        <f>'P &amp; NP'!NS317</f>
        <v>0</v>
      </c>
      <c r="EI31" s="87">
        <f>'P &amp; NP'!NT317</f>
        <v>0</v>
      </c>
      <c r="EJ31" s="87">
        <f t="shared" si="230"/>
        <v>11759277</v>
      </c>
      <c r="EK31" s="87">
        <f t="shared" si="231"/>
        <v>273554756</v>
      </c>
      <c r="EL31" s="87">
        <f>'P &amp; NP'!NG355</f>
        <v>0</v>
      </c>
      <c r="EM31" s="87">
        <f>'P &amp; NP'!NH355</f>
        <v>0</v>
      </c>
      <c r="EN31" s="87">
        <f>'P &amp; NP'!NI355</f>
        <v>6549465</v>
      </c>
      <c r="EO31" s="87">
        <f>'P &amp; NP'!NJ355</f>
        <v>155403120</v>
      </c>
      <c r="EP31" s="92">
        <f>'P &amp; NP'!NM355</f>
        <v>2175500</v>
      </c>
      <c r="EQ31" s="92">
        <f>'P &amp; NP'!NN355</f>
        <v>35173000</v>
      </c>
      <c r="ER31" s="87">
        <f>'P &amp; NP'!NO355</f>
        <v>0</v>
      </c>
      <c r="ES31" s="87">
        <f>'P &amp; NP'!NP355</f>
        <v>0</v>
      </c>
      <c r="ET31" s="87">
        <f>'P &amp; NP'!NQ355</f>
        <v>23244</v>
      </c>
      <c r="EU31" s="87">
        <f>'P &amp; NP'!NR355</f>
        <v>424792</v>
      </c>
      <c r="EV31" s="87">
        <f>'P &amp; NP'!NS355</f>
        <v>0</v>
      </c>
      <c r="EW31" s="87">
        <f>'P &amp; NP'!NT355</f>
        <v>0</v>
      </c>
      <c r="EX31" s="87">
        <f t="shared" si="232"/>
        <v>8748209</v>
      </c>
      <c r="EY31" s="87">
        <f t="shared" si="233"/>
        <v>191000912</v>
      </c>
      <c r="EZ31" s="87">
        <f>'P &amp; NP'!NG393</f>
        <v>0</v>
      </c>
      <c r="FA31" s="87">
        <f>'P &amp; NP'!NH393</f>
        <v>0</v>
      </c>
      <c r="FB31" s="87">
        <f>'P &amp; NP'!NI393</f>
        <v>5538128</v>
      </c>
      <c r="FC31" s="87">
        <f>'P &amp; NP'!NJ393</f>
        <v>145358460</v>
      </c>
      <c r="FD31" s="87">
        <f>'P &amp; NP'!NM393</f>
        <v>2458500</v>
      </c>
      <c r="FE31" s="87">
        <f>'P &amp; NP'!NN393</f>
        <v>39813000</v>
      </c>
      <c r="FF31" s="92">
        <f>'P &amp; NP'!NO393</f>
        <v>0</v>
      </c>
      <c r="FG31" s="92">
        <f>'P &amp; NP'!NP393</f>
        <v>0</v>
      </c>
      <c r="FH31" s="87">
        <f>'P &amp; NP'!NQ393</f>
        <v>28629</v>
      </c>
      <c r="FI31" s="87">
        <f>'P &amp; NP'!NR393</f>
        <v>523484</v>
      </c>
      <c r="FJ31" s="87">
        <f>'P &amp; NP'!NS393</f>
        <v>0</v>
      </c>
      <c r="FK31" s="87">
        <f>'P &amp; NP'!NT393</f>
        <v>0</v>
      </c>
      <c r="FL31" s="87">
        <f t="shared" si="234"/>
        <v>8025257</v>
      </c>
      <c r="FM31" s="87">
        <f t="shared" si="235"/>
        <v>185694944</v>
      </c>
      <c r="FN31" s="87">
        <f>'P &amp; NP'!NG431</f>
        <v>0</v>
      </c>
      <c r="FO31" s="87">
        <f>'P &amp; NP'!NH431</f>
        <v>0</v>
      </c>
      <c r="FP31" s="87">
        <f>'P &amp; NP'!NI431</f>
        <v>5822238</v>
      </c>
      <c r="FQ31" s="87">
        <f>'P &amp; NP'!NJ431</f>
        <v>157240938</v>
      </c>
      <c r="FR31" s="87">
        <f>'P &amp; NP'!NM431</f>
        <v>2544400</v>
      </c>
      <c r="FS31" s="87">
        <f>'P &amp; NP'!NN431</f>
        <v>41257400</v>
      </c>
      <c r="FT31" s="87">
        <f>'P &amp; NP'!NO431</f>
        <v>502700</v>
      </c>
      <c r="FU31" s="87">
        <f>'P &amp; NP'!NP431</f>
        <v>10724400</v>
      </c>
      <c r="FV31" s="92">
        <f>'P &amp; NP'!NQ431</f>
        <v>29346</v>
      </c>
      <c r="FW31" s="92">
        <f>'P &amp; NP'!NR431</f>
        <v>538562</v>
      </c>
      <c r="FX31" s="87">
        <f>'P &amp; NP'!NS431</f>
        <v>0</v>
      </c>
      <c r="FY31" s="87">
        <f>'P &amp; NP'!NT431</f>
        <v>0</v>
      </c>
      <c r="FZ31" s="87">
        <f t="shared" si="236"/>
        <v>8898684</v>
      </c>
      <c r="GA31" s="87">
        <f t="shared" si="237"/>
        <v>209761300</v>
      </c>
      <c r="GC31" s="609">
        <f t="shared" si="164"/>
        <v>0</v>
      </c>
      <c r="GD31" s="609">
        <f t="shared" si="165"/>
        <v>0</v>
      </c>
      <c r="GE31" s="609">
        <f t="shared" si="166"/>
        <v>19097191</v>
      </c>
      <c r="GF31" s="609">
        <f t="shared" si="167"/>
        <v>529073575</v>
      </c>
      <c r="GG31" s="609">
        <f t="shared" si="168"/>
        <v>7253945</v>
      </c>
      <c r="GH31" s="609">
        <f t="shared" si="169"/>
        <v>117497520</v>
      </c>
      <c r="GI31" s="609">
        <f t="shared" si="170"/>
        <v>0</v>
      </c>
      <c r="GJ31" s="609">
        <f t="shared" si="171"/>
        <v>0</v>
      </c>
      <c r="GK31" s="609">
        <f t="shared" si="172"/>
        <v>92245</v>
      </c>
      <c r="GL31" s="609">
        <f t="shared" si="173"/>
        <v>1678570</v>
      </c>
      <c r="GM31" s="609">
        <f t="shared" si="174"/>
        <v>0</v>
      </c>
      <c r="GN31" s="609">
        <f t="shared" si="175"/>
        <v>0</v>
      </c>
      <c r="GO31" s="640">
        <f t="shared" si="238"/>
        <v>26443381</v>
      </c>
      <c r="GP31" s="640">
        <f t="shared" si="239"/>
        <v>648249665</v>
      </c>
      <c r="GR31" s="609">
        <f t="shared" si="176"/>
        <v>0</v>
      </c>
      <c r="GS31" s="609">
        <f t="shared" si="177"/>
        <v>0</v>
      </c>
      <c r="GT31" s="609">
        <f t="shared" si="178"/>
        <v>20184200</v>
      </c>
      <c r="GU31" s="609">
        <f t="shared" si="179"/>
        <v>446802210</v>
      </c>
      <c r="GV31" s="609">
        <f t="shared" si="180"/>
        <v>6053500</v>
      </c>
      <c r="GW31" s="609">
        <f t="shared" si="181"/>
        <v>97639200</v>
      </c>
      <c r="GX31" s="609">
        <f t="shared" si="182"/>
        <v>335200</v>
      </c>
      <c r="GY31" s="609">
        <f t="shared" si="183"/>
        <v>7150800</v>
      </c>
      <c r="GZ31" s="609">
        <f t="shared" si="184"/>
        <v>66552</v>
      </c>
      <c r="HA31" s="609">
        <f t="shared" si="185"/>
        <v>1207796</v>
      </c>
      <c r="HB31" s="609">
        <f t="shared" si="186"/>
        <v>0</v>
      </c>
      <c r="HC31" s="609">
        <f t="shared" si="187"/>
        <v>0</v>
      </c>
      <c r="HD31" s="640">
        <f t="shared" si="240"/>
        <v>26639452</v>
      </c>
      <c r="HE31" s="640">
        <f t="shared" si="241"/>
        <v>552800006</v>
      </c>
      <c r="HG31" s="609">
        <f t="shared" si="188"/>
        <v>0</v>
      </c>
      <c r="HH31" s="609">
        <f t="shared" si="189"/>
        <v>0</v>
      </c>
      <c r="HI31" s="609">
        <f t="shared" si="190"/>
        <v>25853300</v>
      </c>
      <c r="HJ31" s="609">
        <f t="shared" si="191"/>
        <v>592322410</v>
      </c>
      <c r="HK31" s="609">
        <f t="shared" si="192"/>
        <v>6058800</v>
      </c>
      <c r="HL31" s="609">
        <f t="shared" si="193"/>
        <v>97720600</v>
      </c>
      <c r="HM31" s="609">
        <f t="shared" si="194"/>
        <v>0</v>
      </c>
      <c r="HN31" s="609">
        <f t="shared" si="195"/>
        <v>0</v>
      </c>
      <c r="HO31" s="609">
        <f t="shared" si="196"/>
        <v>72604</v>
      </c>
      <c r="HP31" s="609">
        <f t="shared" si="197"/>
        <v>1316992</v>
      </c>
      <c r="HQ31" s="609">
        <f t="shared" si="198"/>
        <v>0</v>
      </c>
      <c r="HR31" s="609">
        <f t="shared" si="199"/>
        <v>0</v>
      </c>
      <c r="HS31" s="640">
        <f t="shared" si="242"/>
        <v>31984704</v>
      </c>
      <c r="HT31" s="640">
        <f t="shared" si="243"/>
        <v>691360002</v>
      </c>
      <c r="HV31" s="609">
        <f t="shared" si="200"/>
        <v>0</v>
      </c>
      <c r="HW31" s="609">
        <f t="shared" si="201"/>
        <v>0</v>
      </c>
      <c r="HX31" s="609">
        <f t="shared" si="202"/>
        <v>17909831</v>
      </c>
      <c r="HY31" s="609">
        <f t="shared" si="203"/>
        <v>458002518</v>
      </c>
      <c r="HZ31" s="609">
        <f t="shared" si="204"/>
        <v>7178400</v>
      </c>
      <c r="IA31" s="609">
        <f t="shared" si="205"/>
        <v>116243400</v>
      </c>
      <c r="IB31" s="609">
        <f t="shared" si="206"/>
        <v>502700</v>
      </c>
      <c r="IC31" s="609">
        <f t="shared" si="207"/>
        <v>10724400</v>
      </c>
      <c r="ID31" s="609">
        <f t="shared" si="208"/>
        <v>81219</v>
      </c>
      <c r="IE31" s="609">
        <f t="shared" si="209"/>
        <v>1486838</v>
      </c>
      <c r="IF31" s="609">
        <f t="shared" si="210"/>
        <v>0</v>
      </c>
      <c r="IG31" s="609">
        <f t="shared" si="211"/>
        <v>0</v>
      </c>
      <c r="IH31" s="640">
        <f t="shared" si="244"/>
        <v>25672150</v>
      </c>
      <c r="II31" s="640">
        <f t="shared" si="245"/>
        <v>586457156</v>
      </c>
    </row>
    <row r="32" spans="1:243">
      <c r="A32" s="484" t="s">
        <v>123</v>
      </c>
      <c r="B32" s="484">
        <f t="shared" si="212"/>
        <v>11675328</v>
      </c>
      <c r="C32" s="484">
        <f t="shared" si="213"/>
        <v>535776291</v>
      </c>
      <c r="D32" s="87">
        <f>'P &amp; NP'!NW13</f>
        <v>3875</v>
      </c>
      <c r="E32" s="87">
        <f>'P &amp; NP'!NX13</f>
        <v>136000</v>
      </c>
      <c r="F32" s="87">
        <f>'P &amp; NP'!NY13</f>
        <v>944649</v>
      </c>
      <c r="G32" s="87">
        <f>'P &amp; NP'!NZ13</f>
        <v>46572590</v>
      </c>
      <c r="H32" s="87">
        <f>'P &amp; NP'!OA13</f>
        <v>0</v>
      </c>
      <c r="I32" s="87">
        <f>'P &amp; NP'!OB13</f>
        <v>0</v>
      </c>
      <c r="J32" s="87">
        <f>'P &amp; NP'!OC13</f>
        <v>55332</v>
      </c>
      <c r="K32" s="87">
        <f>'P &amp; NP'!OD13</f>
        <v>1052718</v>
      </c>
      <c r="L32" s="87">
        <f>'P &amp; NP'!OE13</f>
        <v>0</v>
      </c>
      <c r="M32" s="87">
        <f>'P &amp; NP'!OF13</f>
        <v>0</v>
      </c>
      <c r="N32" s="87">
        <f>'P &amp; NP'!OG13</f>
        <v>0</v>
      </c>
      <c r="O32" s="87">
        <f>'P &amp; NP'!OH13</f>
        <v>0</v>
      </c>
      <c r="P32" s="87">
        <f>'P &amp; NP'!OI13</f>
        <v>0</v>
      </c>
      <c r="Q32" s="87">
        <f>'P &amp; NP'!OJ13</f>
        <v>0</v>
      </c>
      <c r="R32" s="92">
        <f t="shared" si="214"/>
        <v>1003856</v>
      </c>
      <c r="S32" s="92">
        <f t="shared" si="215"/>
        <v>47761308</v>
      </c>
      <c r="T32" s="87">
        <f>'P &amp; NP'!NW51</f>
        <v>3500</v>
      </c>
      <c r="U32" s="87">
        <f>'P &amp; NP'!NX51</f>
        <v>97250</v>
      </c>
      <c r="V32" s="87">
        <f>'P &amp; NP'!NY51</f>
        <v>914714</v>
      </c>
      <c r="W32" s="87">
        <f>'P &amp; NP'!NZ51</f>
        <v>45061457</v>
      </c>
      <c r="X32" s="87">
        <f>'P &amp; NP'!OA51</f>
        <v>0</v>
      </c>
      <c r="Y32" s="87">
        <f>'P &amp; NP'!OB51</f>
        <v>0</v>
      </c>
      <c r="Z32" s="87">
        <f>'P &amp; NP'!OC51</f>
        <v>58851</v>
      </c>
      <c r="AA32" s="87">
        <f>'P &amp; NP'!OD51</f>
        <v>1120169</v>
      </c>
      <c r="AB32" s="87">
        <f>'P &amp; NP'!OE51</f>
        <v>0</v>
      </c>
      <c r="AC32" s="87">
        <f>'P &amp; NP'!OF51</f>
        <v>0</v>
      </c>
      <c r="AD32" s="87">
        <f>'P &amp; NP'!OG51</f>
        <v>0</v>
      </c>
      <c r="AE32" s="87">
        <f>'P &amp; NP'!OH51</f>
        <v>0</v>
      </c>
      <c r="AF32" s="87">
        <f>'P &amp; NP'!OI51</f>
        <v>0</v>
      </c>
      <c r="AG32" s="87">
        <f>'P &amp; NP'!OJ51</f>
        <v>0</v>
      </c>
      <c r="AH32" s="92">
        <f t="shared" si="216"/>
        <v>977065</v>
      </c>
      <c r="AI32" s="92">
        <f t="shared" si="217"/>
        <v>46278876</v>
      </c>
      <c r="AJ32" s="87">
        <f>'P &amp; NP'!NW89</f>
        <v>3900</v>
      </c>
      <c r="AK32" s="87">
        <f>'P &amp; NP'!NX89</f>
        <v>139000</v>
      </c>
      <c r="AL32" s="87">
        <f>'P &amp; NP'!NY89</f>
        <v>943274</v>
      </c>
      <c r="AM32" s="87">
        <f>'P &amp; NP'!NZ89</f>
        <v>46470252</v>
      </c>
      <c r="AN32" s="87">
        <f>'P &amp; NP'!OA89</f>
        <v>0</v>
      </c>
      <c r="AO32" s="87">
        <f>'P &amp; NP'!OB89</f>
        <v>0</v>
      </c>
      <c r="AP32" s="87">
        <f>'P &amp; NP'!OC89</f>
        <v>55632</v>
      </c>
      <c r="AQ32" s="87">
        <f>'P &amp; NP'!OD89</f>
        <v>1059656</v>
      </c>
      <c r="AR32" s="87">
        <f>'P &amp; NP'!OE89</f>
        <v>0</v>
      </c>
      <c r="AS32" s="87">
        <f>'P &amp; NP'!OF89</f>
        <v>0</v>
      </c>
      <c r="AT32" s="87">
        <f>'P &amp; NP'!OG89</f>
        <v>0</v>
      </c>
      <c r="AU32" s="87">
        <f>'P &amp; NP'!OH89</f>
        <v>0</v>
      </c>
      <c r="AV32" s="87">
        <f>'P &amp; NP'!OI89</f>
        <v>0</v>
      </c>
      <c r="AW32" s="87">
        <f>'P &amp; NP'!OJ89</f>
        <v>0</v>
      </c>
      <c r="AX32" s="92">
        <f t="shared" si="218"/>
        <v>1002806</v>
      </c>
      <c r="AY32" s="92">
        <f t="shared" si="219"/>
        <v>47668908</v>
      </c>
      <c r="AZ32" s="87">
        <f>'P &amp; NP'!NW127</f>
        <v>4500</v>
      </c>
      <c r="BA32" s="87">
        <f>'P &amp; NP'!NX127</f>
        <v>166000</v>
      </c>
      <c r="BB32" s="87">
        <f>'P &amp; NP'!NY127</f>
        <v>952571</v>
      </c>
      <c r="BC32" s="87">
        <f>'P &amp; NP'!NZ127</f>
        <v>47176550</v>
      </c>
      <c r="BD32" s="87">
        <f>'P &amp; NP'!OA127</f>
        <v>0</v>
      </c>
      <c r="BE32" s="87">
        <f>'P &amp; NP'!OB127</f>
        <v>0</v>
      </c>
      <c r="BF32" s="87">
        <f>'P &amp; NP'!OC127</f>
        <v>49051</v>
      </c>
      <c r="BG32" s="87">
        <f>'P &amp; NP'!OD127</f>
        <v>935219</v>
      </c>
      <c r="BH32" s="87">
        <f>'P &amp; NP'!OE127</f>
        <v>0</v>
      </c>
      <c r="BI32" s="87">
        <f>'P &amp; NP'!OF127</f>
        <v>0</v>
      </c>
      <c r="BJ32" s="87">
        <f>'P &amp; NP'!OG127</f>
        <v>0</v>
      </c>
      <c r="BK32" s="87">
        <f>'P &amp; NP'!OH127</f>
        <v>0</v>
      </c>
      <c r="BL32" s="87">
        <f>'P &amp; NP'!OI127</f>
        <v>0</v>
      </c>
      <c r="BM32" s="87">
        <f>'P &amp; NP'!OJ127</f>
        <v>0</v>
      </c>
      <c r="BN32" s="92">
        <f t="shared" si="220"/>
        <v>1006122</v>
      </c>
      <c r="BO32" s="92">
        <f t="shared" si="221"/>
        <v>48277769</v>
      </c>
      <c r="BP32" s="87">
        <f>'P &amp; NP'!NW165</f>
        <v>1005</v>
      </c>
      <c r="BQ32" s="87">
        <f>'P &amp; NP'!NX165</f>
        <v>152000</v>
      </c>
      <c r="BR32" s="87">
        <f>'P &amp; NP'!NY165</f>
        <v>1051729</v>
      </c>
      <c r="BS32" s="87">
        <f>'P &amp; NP'!NZ165</f>
        <v>52083480</v>
      </c>
      <c r="BT32" s="87">
        <f>'P &amp; NP'!OA165</f>
        <v>0</v>
      </c>
      <c r="BU32" s="87">
        <f>'P &amp; NP'!OB165</f>
        <v>0</v>
      </c>
      <c r="BV32" s="87">
        <f>'P &amp; NP'!OC165</f>
        <v>51904</v>
      </c>
      <c r="BW32" s="87">
        <f>'P &amp; NP'!OD165</f>
        <v>989401</v>
      </c>
      <c r="BX32" s="87">
        <f>'P &amp; NP'!OE165</f>
        <v>0</v>
      </c>
      <c r="BY32" s="87">
        <f>'P &amp; NP'!OF165</f>
        <v>0</v>
      </c>
      <c r="BZ32" s="87">
        <f>'P &amp; NP'!OG165</f>
        <v>0</v>
      </c>
      <c r="CA32" s="87">
        <f>'P &amp; NP'!OH165</f>
        <v>0</v>
      </c>
      <c r="CB32" s="87">
        <f>'P &amp; NP'!OI165</f>
        <v>0</v>
      </c>
      <c r="CC32" s="87">
        <f>'P &amp; NP'!OJ165</f>
        <v>0</v>
      </c>
      <c r="CD32" s="92">
        <f t="shared" si="222"/>
        <v>1104638</v>
      </c>
      <c r="CE32" s="92">
        <f t="shared" si="223"/>
        <v>53224881</v>
      </c>
      <c r="CF32" s="87">
        <f>'P &amp; NP'!NW203</f>
        <v>4965</v>
      </c>
      <c r="CG32" s="87">
        <f>'P &amp; NP'!NX203</f>
        <v>163000</v>
      </c>
      <c r="CH32" s="87">
        <f>'P &amp; NP'!NY203</f>
        <v>953702</v>
      </c>
      <c r="CI32" s="87">
        <f>'P &amp; NP'!NZ203</f>
        <v>47228040</v>
      </c>
      <c r="CJ32" s="87">
        <f>'P &amp; NP'!OA203</f>
        <v>0</v>
      </c>
      <c r="CK32" s="87">
        <f>'P &amp; NP'!OB203</f>
        <v>0</v>
      </c>
      <c r="CL32" s="87">
        <f>'P &amp; NP'!OC203</f>
        <v>50728</v>
      </c>
      <c r="CM32" s="87">
        <f>'P &amp; NP'!OD203</f>
        <v>968032</v>
      </c>
      <c r="CN32" s="87">
        <f>'P &amp; NP'!OE203</f>
        <v>0</v>
      </c>
      <c r="CO32" s="87">
        <f>'P &amp; NP'!OF203</f>
        <v>0</v>
      </c>
      <c r="CP32" s="87">
        <f>'P &amp; NP'!OG203</f>
        <v>0</v>
      </c>
      <c r="CQ32" s="87">
        <f>'P &amp; NP'!OH203</f>
        <v>0</v>
      </c>
      <c r="CR32" s="87">
        <f>'P &amp; NP'!OI203</f>
        <v>0</v>
      </c>
      <c r="CS32" s="87">
        <f>'P &amp; NP'!OJ203</f>
        <v>0</v>
      </c>
      <c r="CT32" s="92">
        <f t="shared" si="224"/>
        <v>1009395</v>
      </c>
      <c r="CU32" s="92">
        <f t="shared" si="225"/>
        <v>48359072</v>
      </c>
      <c r="CV32" s="87">
        <f>'P &amp; NP'!NW241</f>
        <v>4290</v>
      </c>
      <c r="CW32" s="87">
        <f>'P &amp; NP'!NX241</f>
        <v>190000</v>
      </c>
      <c r="CX32" s="87">
        <f>'P &amp; NP'!NY241</f>
        <v>923918</v>
      </c>
      <c r="CY32" s="87">
        <f>'P &amp; NP'!NZ241</f>
        <v>46086955</v>
      </c>
      <c r="CZ32" s="87">
        <f>'P &amp; NP'!OC241</f>
        <v>44353</v>
      </c>
      <c r="DA32" s="87">
        <f>'P &amp; NP'!OD241</f>
        <v>846907</v>
      </c>
      <c r="DB32" s="87">
        <f>'P &amp; NP'!OE241</f>
        <v>0</v>
      </c>
      <c r="DC32" s="87">
        <f>'P &amp; NP'!OF241</f>
        <v>0</v>
      </c>
      <c r="DD32" s="87">
        <f>'P &amp; NP'!OG241</f>
        <v>0</v>
      </c>
      <c r="DE32" s="87">
        <f>'P &amp; NP'!OH241</f>
        <v>0</v>
      </c>
      <c r="DF32" s="87">
        <f>'P &amp; NP'!OI241</f>
        <v>0</v>
      </c>
      <c r="DG32" s="87">
        <f>'P &amp; NP'!OJ241</f>
        <v>0</v>
      </c>
      <c r="DH32" s="87">
        <f t="shared" si="226"/>
        <v>972561</v>
      </c>
      <c r="DI32" s="87">
        <f t="shared" si="227"/>
        <v>47123862</v>
      </c>
      <c r="DJ32" s="92">
        <f>'P &amp; NP'!NW279</f>
        <v>4350</v>
      </c>
      <c r="DK32" s="92">
        <f>'P &amp; NP'!NX279</f>
        <v>183500</v>
      </c>
      <c r="DL32" s="87">
        <f>'P &amp; NP'!NY279</f>
        <v>1007388</v>
      </c>
      <c r="DM32" s="87">
        <f>'P &amp; NP'!NZ279</f>
        <v>50355734</v>
      </c>
      <c r="DN32" s="87">
        <f>'P &amp; NP'!OC279</f>
        <v>43264</v>
      </c>
      <c r="DO32" s="87">
        <f>'P &amp; NP'!OD279</f>
        <v>827266</v>
      </c>
      <c r="DP32" s="87">
        <f>'P &amp; NP'!OE279</f>
        <v>0</v>
      </c>
      <c r="DQ32" s="87">
        <f>'P &amp; NP'!OF279</f>
        <v>0</v>
      </c>
      <c r="DR32" s="87">
        <f>'P &amp; NP'!OG279</f>
        <v>0</v>
      </c>
      <c r="DS32" s="87">
        <f>'P &amp; NP'!OH279</f>
        <v>0</v>
      </c>
      <c r="DT32" s="87">
        <f>'P &amp; NP'!OI279</f>
        <v>0</v>
      </c>
      <c r="DU32" s="87">
        <f>'P &amp; NP'!OJ279</f>
        <v>0</v>
      </c>
      <c r="DV32" s="87">
        <f t="shared" si="228"/>
        <v>1055002</v>
      </c>
      <c r="DW32" s="87">
        <f t="shared" si="229"/>
        <v>51366500</v>
      </c>
      <c r="DX32" s="87">
        <f>'P &amp; NP'!NW317</f>
        <v>5940</v>
      </c>
      <c r="DY32" s="87">
        <f>'P &amp; NP'!NX317</f>
        <v>218000</v>
      </c>
      <c r="DZ32" s="92">
        <f>'P &amp; NP'!NY317</f>
        <v>1016629</v>
      </c>
      <c r="EA32" s="92">
        <f>'P &amp; NP'!NZ317</f>
        <v>50787890</v>
      </c>
      <c r="EB32" s="87">
        <f>'P &amp; NP'!OC317</f>
        <v>46278</v>
      </c>
      <c r="EC32" s="87">
        <f>'P &amp; NP'!OD317</f>
        <v>881382</v>
      </c>
      <c r="ED32" s="87">
        <f>'P &amp; NP'!OE317</f>
        <v>0</v>
      </c>
      <c r="EE32" s="87">
        <f>'P &amp; NP'!OF317</f>
        <v>0</v>
      </c>
      <c r="EF32" s="87">
        <f>'P &amp; NP'!OG317</f>
        <v>0</v>
      </c>
      <c r="EG32" s="87">
        <f>'P &amp; NP'!OH317</f>
        <v>0</v>
      </c>
      <c r="EH32" s="87">
        <f>'P &amp; NP'!OI317</f>
        <v>0</v>
      </c>
      <c r="EI32" s="87">
        <f>'P &amp; NP'!OJ317</f>
        <v>0</v>
      </c>
      <c r="EJ32" s="87">
        <f t="shared" si="230"/>
        <v>1068847</v>
      </c>
      <c r="EK32" s="87">
        <f t="shared" si="231"/>
        <v>51887272</v>
      </c>
      <c r="EL32" s="87">
        <f>'P &amp; NP'!NW355</f>
        <v>7110</v>
      </c>
      <c r="EM32" s="87">
        <f>'P &amp; NP'!NX355</f>
        <v>195600</v>
      </c>
      <c r="EN32" s="87">
        <f>'P &amp; NP'!NY355</f>
        <v>715414</v>
      </c>
      <c r="EO32" s="87">
        <f>'P &amp; NP'!NZ355</f>
        <v>28282993</v>
      </c>
      <c r="EP32" s="92">
        <f>'P &amp; NP'!OC355</f>
        <v>62526</v>
      </c>
      <c r="EQ32" s="92">
        <f>'P &amp; NP'!OD355</f>
        <v>1210800</v>
      </c>
      <c r="ER32" s="87">
        <f>'P &amp; NP'!OE355</f>
        <v>0</v>
      </c>
      <c r="ES32" s="87">
        <f>'P &amp; NP'!OF355</f>
        <v>0</v>
      </c>
      <c r="ET32" s="87">
        <f>'P &amp; NP'!OG355</f>
        <v>0</v>
      </c>
      <c r="EU32" s="87">
        <f>'P &amp; NP'!OH355</f>
        <v>0</v>
      </c>
      <c r="EV32" s="87">
        <f>'P &amp; NP'!OI355</f>
        <v>0</v>
      </c>
      <c r="EW32" s="87">
        <f>'P &amp; NP'!OJ355</f>
        <v>0</v>
      </c>
      <c r="EX32" s="87">
        <f t="shared" si="232"/>
        <v>785050</v>
      </c>
      <c r="EY32" s="87">
        <f t="shared" si="233"/>
        <v>29689393</v>
      </c>
      <c r="EZ32" s="87">
        <f>'P &amp; NP'!NW393</f>
        <v>8130</v>
      </c>
      <c r="FA32" s="87">
        <f>'P &amp; NP'!NX393</f>
        <v>166200</v>
      </c>
      <c r="FB32" s="87">
        <f>'P &amp; NP'!NY393</f>
        <v>850490</v>
      </c>
      <c r="FC32" s="87">
        <f>'P &amp; NP'!NZ393</f>
        <v>33691815</v>
      </c>
      <c r="FD32" s="87">
        <f>'P &amp; NP'!OC393</f>
        <v>60884</v>
      </c>
      <c r="FE32" s="87">
        <f>'P &amp; NP'!OD393</f>
        <v>1159421</v>
      </c>
      <c r="FF32" s="92">
        <f>'P &amp; NP'!OE393</f>
        <v>0</v>
      </c>
      <c r="FG32" s="92">
        <f>'P &amp; NP'!OF393</f>
        <v>0</v>
      </c>
      <c r="FH32" s="87">
        <f>'P &amp; NP'!OG393</f>
        <v>0</v>
      </c>
      <c r="FI32" s="87">
        <f>'P &amp; NP'!OH393</f>
        <v>0</v>
      </c>
      <c r="FJ32" s="87">
        <f>'P &amp; NP'!OI393</f>
        <v>0</v>
      </c>
      <c r="FK32" s="87">
        <f>'P &amp; NP'!OJ393</f>
        <v>0</v>
      </c>
      <c r="FL32" s="87">
        <f t="shared" si="234"/>
        <v>919504</v>
      </c>
      <c r="FM32" s="87">
        <f t="shared" si="235"/>
        <v>35017436</v>
      </c>
      <c r="FN32" s="87">
        <f>'P &amp; NP'!NW431</f>
        <v>7710</v>
      </c>
      <c r="FO32" s="87">
        <f>'P &amp; NP'!NX431</f>
        <v>171400</v>
      </c>
      <c r="FP32" s="87">
        <f>'P &amp; NP'!NY431</f>
        <v>703746</v>
      </c>
      <c r="FQ32" s="87">
        <f>'P &amp; NP'!NZ431</f>
        <v>27825180</v>
      </c>
      <c r="FR32" s="87">
        <f>'P &amp; NP'!OC431</f>
        <v>59026</v>
      </c>
      <c r="FS32" s="87">
        <f>'P &amp; NP'!OD431</f>
        <v>1124434</v>
      </c>
      <c r="FT32" s="87">
        <f>'P &amp; NP'!OE431</f>
        <v>0</v>
      </c>
      <c r="FU32" s="87">
        <f>'P &amp; NP'!OF431</f>
        <v>0</v>
      </c>
      <c r="FV32" s="92">
        <f>'P &amp; NP'!OG431</f>
        <v>0</v>
      </c>
      <c r="FW32" s="92">
        <f>'P &amp; NP'!OH431</f>
        <v>0</v>
      </c>
      <c r="FX32" s="87">
        <f>'P &amp; NP'!OI431</f>
        <v>0</v>
      </c>
      <c r="FY32" s="87">
        <f>'P &amp; NP'!OJ431</f>
        <v>0</v>
      </c>
      <c r="FZ32" s="87">
        <f t="shared" si="236"/>
        <v>770482</v>
      </c>
      <c r="GA32" s="87">
        <f t="shared" si="237"/>
        <v>29121014</v>
      </c>
      <c r="GC32" s="609">
        <f t="shared" si="164"/>
        <v>11275</v>
      </c>
      <c r="GD32" s="609">
        <f t="shared" si="165"/>
        <v>372250</v>
      </c>
      <c r="GE32" s="609">
        <f t="shared" si="166"/>
        <v>2802637</v>
      </c>
      <c r="GF32" s="609">
        <f t="shared" si="167"/>
        <v>138104299</v>
      </c>
      <c r="GG32" s="609">
        <f t="shared" si="168"/>
        <v>169815</v>
      </c>
      <c r="GH32" s="609">
        <f t="shared" si="169"/>
        <v>3232543</v>
      </c>
      <c r="GI32" s="609">
        <f t="shared" si="170"/>
        <v>0</v>
      </c>
      <c r="GJ32" s="609">
        <f t="shared" si="171"/>
        <v>0</v>
      </c>
      <c r="GK32" s="609">
        <f t="shared" si="172"/>
        <v>0</v>
      </c>
      <c r="GL32" s="609">
        <f t="shared" si="173"/>
        <v>0</v>
      </c>
      <c r="GM32" s="609">
        <f t="shared" si="174"/>
        <v>0</v>
      </c>
      <c r="GN32" s="609">
        <f t="shared" si="175"/>
        <v>0</v>
      </c>
      <c r="GO32" s="640">
        <f t="shared" si="238"/>
        <v>2983727</v>
      </c>
      <c r="GP32" s="640">
        <f t="shared" si="239"/>
        <v>141709092</v>
      </c>
      <c r="GR32" s="609">
        <f t="shared" si="176"/>
        <v>10470</v>
      </c>
      <c r="GS32" s="609">
        <f t="shared" si="177"/>
        <v>481000</v>
      </c>
      <c r="GT32" s="609">
        <f t="shared" si="178"/>
        <v>2958002</v>
      </c>
      <c r="GU32" s="609">
        <f t="shared" si="179"/>
        <v>146488070</v>
      </c>
      <c r="GV32" s="609">
        <f t="shared" si="180"/>
        <v>151683</v>
      </c>
      <c r="GW32" s="609">
        <f t="shared" si="181"/>
        <v>2892652</v>
      </c>
      <c r="GX32" s="609">
        <f t="shared" si="182"/>
        <v>0</v>
      </c>
      <c r="GY32" s="609">
        <f t="shared" si="183"/>
        <v>0</v>
      </c>
      <c r="GZ32" s="609">
        <f t="shared" si="184"/>
        <v>0</v>
      </c>
      <c r="HA32" s="609">
        <f t="shared" si="185"/>
        <v>0</v>
      </c>
      <c r="HB32" s="609">
        <f t="shared" si="186"/>
        <v>0</v>
      </c>
      <c r="HC32" s="609">
        <f t="shared" si="187"/>
        <v>0</v>
      </c>
      <c r="HD32" s="640">
        <f t="shared" si="240"/>
        <v>3120155</v>
      </c>
      <c r="HE32" s="640">
        <f t="shared" si="241"/>
        <v>149861722</v>
      </c>
      <c r="HG32" s="609">
        <f t="shared" si="188"/>
        <v>14580</v>
      </c>
      <c r="HH32" s="609">
        <f t="shared" si="189"/>
        <v>591500</v>
      </c>
      <c r="HI32" s="609">
        <f t="shared" si="190"/>
        <v>2947935</v>
      </c>
      <c r="HJ32" s="609">
        <f t="shared" si="191"/>
        <v>147230579</v>
      </c>
      <c r="HK32" s="609">
        <f t="shared" si="192"/>
        <v>133895</v>
      </c>
      <c r="HL32" s="609">
        <f t="shared" si="193"/>
        <v>2555555</v>
      </c>
      <c r="HM32" s="609">
        <f t="shared" si="194"/>
        <v>0</v>
      </c>
      <c r="HN32" s="609">
        <f t="shared" si="195"/>
        <v>0</v>
      </c>
      <c r="HO32" s="609">
        <f t="shared" si="196"/>
        <v>0</v>
      </c>
      <c r="HP32" s="609">
        <f t="shared" si="197"/>
        <v>0</v>
      </c>
      <c r="HQ32" s="609">
        <f t="shared" si="198"/>
        <v>0</v>
      </c>
      <c r="HR32" s="609">
        <f t="shared" si="199"/>
        <v>0</v>
      </c>
      <c r="HS32" s="640">
        <f t="shared" si="242"/>
        <v>3096410</v>
      </c>
      <c r="HT32" s="640">
        <f t="shared" si="243"/>
        <v>150377634</v>
      </c>
      <c r="HV32" s="609">
        <f t="shared" si="200"/>
        <v>22950</v>
      </c>
      <c r="HW32" s="609">
        <f t="shared" si="201"/>
        <v>533200</v>
      </c>
      <c r="HX32" s="609">
        <f t="shared" si="202"/>
        <v>2269650</v>
      </c>
      <c r="HY32" s="609">
        <f t="shared" si="203"/>
        <v>89799988</v>
      </c>
      <c r="HZ32" s="609">
        <f t="shared" si="204"/>
        <v>182436</v>
      </c>
      <c r="IA32" s="609">
        <f t="shared" si="205"/>
        <v>3494655</v>
      </c>
      <c r="IB32" s="609">
        <f t="shared" si="206"/>
        <v>0</v>
      </c>
      <c r="IC32" s="609">
        <f t="shared" si="207"/>
        <v>0</v>
      </c>
      <c r="ID32" s="609">
        <f t="shared" si="208"/>
        <v>0</v>
      </c>
      <c r="IE32" s="609">
        <f t="shared" si="209"/>
        <v>0</v>
      </c>
      <c r="IF32" s="609">
        <f t="shared" si="210"/>
        <v>0</v>
      </c>
      <c r="IG32" s="609">
        <f t="shared" si="211"/>
        <v>0</v>
      </c>
      <c r="IH32" s="640">
        <f t="shared" si="244"/>
        <v>2475036</v>
      </c>
      <c r="II32" s="640">
        <f t="shared" si="245"/>
        <v>93827843</v>
      </c>
    </row>
    <row r="33" spans="1:243">
      <c r="A33" s="484" t="s">
        <v>140</v>
      </c>
      <c r="B33" s="484">
        <f t="shared" si="212"/>
        <v>770272096.39999998</v>
      </c>
      <c r="C33" s="484">
        <f t="shared" si="213"/>
        <v>4372481488.8999996</v>
      </c>
      <c r="D33" s="87">
        <f>'P &amp; NP'!OM13</f>
        <v>46900824</v>
      </c>
      <c r="E33" s="87">
        <f>'P &amp; NP'!ON13</f>
        <v>285266320</v>
      </c>
      <c r="F33" s="87">
        <f>'P &amp; NP'!OO13</f>
        <v>570305</v>
      </c>
      <c r="G33" s="87">
        <f>'P &amp; NP'!OP13</f>
        <v>32997975</v>
      </c>
      <c r="H33" s="87">
        <f>'P &amp; NP'!OQ13</f>
        <v>0</v>
      </c>
      <c r="I33" s="87">
        <f>'P &amp; NP'!OR13</f>
        <v>0</v>
      </c>
      <c r="J33" s="87">
        <f>'P &amp; NP'!OS13</f>
        <v>28785.5</v>
      </c>
      <c r="K33" s="87">
        <f>'P &amp; NP'!OT13</f>
        <v>650755.5</v>
      </c>
      <c r="L33" s="87">
        <f>'P &amp; NP'!OU13</f>
        <v>0</v>
      </c>
      <c r="M33" s="87">
        <f>'P &amp; NP'!OV13</f>
        <v>0</v>
      </c>
      <c r="N33" s="87">
        <f>'P &amp; NP'!OW13</f>
        <v>0</v>
      </c>
      <c r="O33" s="87">
        <f>'P &amp; NP'!OX13</f>
        <v>0</v>
      </c>
      <c r="P33" s="87">
        <f>'P &amp; NP'!OY13</f>
        <v>0</v>
      </c>
      <c r="Q33" s="87">
        <f>'P &amp; NP'!OZ13</f>
        <v>0</v>
      </c>
      <c r="R33" s="92">
        <f t="shared" si="214"/>
        <v>47499914.5</v>
      </c>
      <c r="S33" s="92">
        <f t="shared" si="215"/>
        <v>318915050.5</v>
      </c>
      <c r="T33" s="87">
        <f>'P &amp; NP'!OM51</f>
        <v>50680043</v>
      </c>
      <c r="U33" s="87">
        <f>'P &amp; NP'!ON51</f>
        <v>307534428</v>
      </c>
      <c r="V33" s="87">
        <f>'P &amp; NP'!OO51</f>
        <v>560162</v>
      </c>
      <c r="W33" s="87">
        <f>'P &amp; NP'!OP51</f>
        <v>32434750</v>
      </c>
      <c r="X33" s="87">
        <f>'P &amp; NP'!OQ51</f>
        <v>0</v>
      </c>
      <c r="Y33" s="87">
        <f>'P &amp; NP'!OR51</f>
        <v>0</v>
      </c>
      <c r="Z33" s="87">
        <f>'P &amp; NP'!OS51</f>
        <v>33160</v>
      </c>
      <c r="AA33" s="87">
        <f>'P &amp; NP'!OT51</f>
        <v>750120</v>
      </c>
      <c r="AB33" s="87">
        <f>'P &amp; NP'!OU51</f>
        <v>0</v>
      </c>
      <c r="AC33" s="87">
        <f>'P &amp; NP'!OV51</f>
        <v>0</v>
      </c>
      <c r="AD33" s="87">
        <f>'P &amp; NP'!OW51</f>
        <v>0</v>
      </c>
      <c r="AE33" s="87">
        <f>'P &amp; NP'!OX51</f>
        <v>0</v>
      </c>
      <c r="AF33" s="87">
        <f>'P &amp; NP'!OY51</f>
        <v>0</v>
      </c>
      <c r="AG33" s="87">
        <f>'P &amp; NP'!OZ51</f>
        <v>0</v>
      </c>
      <c r="AH33" s="92">
        <f t="shared" si="216"/>
        <v>51273365</v>
      </c>
      <c r="AI33" s="92">
        <f t="shared" si="217"/>
        <v>340719298</v>
      </c>
      <c r="AJ33" s="87">
        <f>'P &amp; NP'!OM89</f>
        <v>57586433</v>
      </c>
      <c r="AK33" s="87">
        <f>'P &amp; NP'!ON89</f>
        <v>350169554</v>
      </c>
      <c r="AL33" s="87">
        <f>'P &amp; NP'!OO89</f>
        <v>581810</v>
      </c>
      <c r="AM33" s="87">
        <f>'P &amp; NP'!OP89</f>
        <v>33649250</v>
      </c>
      <c r="AN33" s="87">
        <f>'P &amp; NP'!OQ89</f>
        <v>0</v>
      </c>
      <c r="AO33" s="87">
        <f>'P &amp; NP'!OR89</f>
        <v>0</v>
      </c>
      <c r="AP33" s="87">
        <f>'P &amp; NP'!OS89</f>
        <v>32012.7</v>
      </c>
      <c r="AQ33" s="87">
        <f>'P &amp; NP'!OT89</f>
        <v>730286.7</v>
      </c>
      <c r="AR33" s="87">
        <f>'P &amp; NP'!OU89</f>
        <v>0</v>
      </c>
      <c r="AS33" s="87">
        <f>'P &amp; NP'!OV89</f>
        <v>0</v>
      </c>
      <c r="AT33" s="87">
        <f>'P &amp; NP'!OW89</f>
        <v>0</v>
      </c>
      <c r="AU33" s="87">
        <f>'P &amp; NP'!OX89</f>
        <v>0</v>
      </c>
      <c r="AV33" s="87">
        <f>'P &amp; NP'!OY89</f>
        <v>0</v>
      </c>
      <c r="AW33" s="87">
        <f>'P &amp; NP'!OZ89</f>
        <v>0</v>
      </c>
      <c r="AX33" s="92">
        <f t="shared" si="218"/>
        <v>58200255.700000003</v>
      </c>
      <c r="AY33" s="92">
        <f t="shared" si="219"/>
        <v>384549090.69999999</v>
      </c>
      <c r="AZ33" s="87">
        <f>'P &amp; NP'!OM127</f>
        <v>55636810</v>
      </c>
      <c r="BA33" s="87">
        <f>'P &amp; NP'!ON127</f>
        <v>281939750</v>
      </c>
      <c r="BB33" s="87">
        <f>'P &amp; NP'!OO127</f>
        <v>574097</v>
      </c>
      <c r="BC33" s="87">
        <f>'P &amp; NP'!OP127</f>
        <v>33238991</v>
      </c>
      <c r="BD33" s="87">
        <f>'P &amp; NP'!OQ127</f>
        <v>0</v>
      </c>
      <c r="BE33" s="87">
        <f>'P &amp; NP'!OR127</f>
        <v>0</v>
      </c>
      <c r="BF33" s="87">
        <f>'P &amp; NP'!OS127</f>
        <v>37353.5</v>
      </c>
      <c r="BG33" s="87">
        <f>'P &amp; NP'!OT127</f>
        <v>815598.49999999988</v>
      </c>
      <c r="BH33" s="87">
        <f>'P &amp; NP'!OU127</f>
        <v>0</v>
      </c>
      <c r="BI33" s="87">
        <f>'P &amp; NP'!OV127</f>
        <v>0</v>
      </c>
      <c r="BJ33" s="87">
        <f>'P &amp; NP'!OW127</f>
        <v>0</v>
      </c>
      <c r="BK33" s="87">
        <f>'P &amp; NP'!OX127</f>
        <v>0</v>
      </c>
      <c r="BL33" s="87">
        <f>'P &amp; NP'!OY127</f>
        <v>0</v>
      </c>
      <c r="BM33" s="87">
        <f>'P &amp; NP'!OZ127</f>
        <v>0</v>
      </c>
      <c r="BN33" s="92">
        <f t="shared" si="220"/>
        <v>56248260.5</v>
      </c>
      <c r="BO33" s="92">
        <f t="shared" si="221"/>
        <v>315994339.5</v>
      </c>
      <c r="BP33" s="87">
        <f>'P &amp; NP'!OM165</f>
        <v>56514254</v>
      </c>
      <c r="BQ33" s="87">
        <f>'P &amp; NP'!ON165</f>
        <v>286568770</v>
      </c>
      <c r="BR33" s="87">
        <f>'P &amp; NP'!OO165</f>
        <v>392033</v>
      </c>
      <c r="BS33" s="87">
        <f>'P &amp; NP'!OP165</f>
        <v>22019650</v>
      </c>
      <c r="BT33" s="87">
        <f>'P &amp; NP'!OQ165</f>
        <v>0</v>
      </c>
      <c r="BU33" s="87">
        <f>'P &amp; NP'!OR165</f>
        <v>0</v>
      </c>
      <c r="BV33" s="87">
        <f>'P &amp; NP'!OS165</f>
        <v>34484</v>
      </c>
      <c r="BW33" s="87">
        <f>'P &amp; NP'!OT165</f>
        <v>757949</v>
      </c>
      <c r="BX33" s="87">
        <f>'P &amp; NP'!OU165</f>
        <v>0</v>
      </c>
      <c r="BY33" s="87">
        <f>'P &amp; NP'!OV165</f>
        <v>0</v>
      </c>
      <c r="BZ33" s="87">
        <f>'P &amp; NP'!OW165</f>
        <v>0</v>
      </c>
      <c r="CA33" s="87">
        <f>'P &amp; NP'!OX165</f>
        <v>0</v>
      </c>
      <c r="CB33" s="87">
        <f>'P &amp; NP'!OY165</f>
        <v>0</v>
      </c>
      <c r="CC33" s="87">
        <f>'P &amp; NP'!OZ165</f>
        <v>0</v>
      </c>
      <c r="CD33" s="92">
        <f t="shared" si="222"/>
        <v>56940771</v>
      </c>
      <c r="CE33" s="92">
        <f t="shared" si="223"/>
        <v>309346369</v>
      </c>
      <c r="CF33" s="87">
        <f>'P &amp; NP'!OM203</f>
        <v>55872220</v>
      </c>
      <c r="CG33" s="87">
        <f>'P &amp; NP'!ON203</f>
        <v>143970250</v>
      </c>
      <c r="CH33" s="87">
        <f>'P &amp; NP'!OO203</f>
        <v>434000</v>
      </c>
      <c r="CI33" s="87">
        <f>'P &amp; NP'!OP203</f>
        <v>24848330</v>
      </c>
      <c r="CJ33" s="87">
        <f>'P &amp; NP'!OQ203</f>
        <v>0</v>
      </c>
      <c r="CK33" s="87">
        <f>'P &amp; NP'!OR203</f>
        <v>0</v>
      </c>
      <c r="CL33" s="87">
        <f>'P &amp; NP'!OS203</f>
        <v>33802</v>
      </c>
      <c r="CM33" s="87">
        <f>'P &amp; NP'!OT203</f>
        <v>732723</v>
      </c>
      <c r="CN33" s="87">
        <f>'P &amp; NP'!OU203</f>
        <v>0</v>
      </c>
      <c r="CO33" s="87">
        <f>'P &amp; NP'!OV203</f>
        <v>0</v>
      </c>
      <c r="CP33" s="87">
        <f>'P &amp; NP'!OW203</f>
        <v>0</v>
      </c>
      <c r="CQ33" s="87">
        <f>'P &amp; NP'!OX203</f>
        <v>0</v>
      </c>
      <c r="CR33" s="87">
        <f>'P &amp; NP'!OY203</f>
        <v>0</v>
      </c>
      <c r="CS33" s="87">
        <f>'P &amp; NP'!OZ203</f>
        <v>0</v>
      </c>
      <c r="CT33" s="92">
        <f t="shared" si="224"/>
        <v>56340022</v>
      </c>
      <c r="CU33" s="92">
        <f t="shared" si="225"/>
        <v>169551303</v>
      </c>
      <c r="CV33" s="87">
        <f>'P &amp; NP'!OM241</f>
        <v>73975764</v>
      </c>
      <c r="CW33" s="87">
        <f>'P &amp; NP'!ON241</f>
        <v>386154450</v>
      </c>
      <c r="CX33" s="87">
        <f>'P &amp; NP'!OO241</f>
        <v>900953</v>
      </c>
      <c r="CY33" s="87">
        <f>'P &amp; NP'!OP241</f>
        <v>55108573</v>
      </c>
      <c r="CZ33" s="87">
        <f>'P &amp; NP'!OS241</f>
        <v>700186.7</v>
      </c>
      <c r="DA33" s="87">
        <f>'P &amp; NP'!OT241</f>
        <v>5211269.7</v>
      </c>
      <c r="DB33" s="87">
        <f>'P &amp; NP'!OU241</f>
        <v>0</v>
      </c>
      <c r="DC33" s="87">
        <f>'P &amp; NP'!OV241</f>
        <v>0</v>
      </c>
      <c r="DD33" s="87">
        <f>'P &amp; NP'!OW241</f>
        <v>0</v>
      </c>
      <c r="DE33" s="87">
        <f>'P &amp; NP'!OX241</f>
        <v>0</v>
      </c>
      <c r="DF33" s="87">
        <f>'P &amp; NP'!OY241</f>
        <v>0</v>
      </c>
      <c r="DG33" s="87">
        <f>'P &amp; NP'!OZ241</f>
        <v>0</v>
      </c>
      <c r="DH33" s="87">
        <f t="shared" si="226"/>
        <v>75576903.700000003</v>
      </c>
      <c r="DI33" s="87">
        <f t="shared" si="227"/>
        <v>446474292.69999999</v>
      </c>
      <c r="DJ33" s="92">
        <f>'P &amp; NP'!OM279</f>
        <v>70455687</v>
      </c>
      <c r="DK33" s="92">
        <f>'P &amp; NP'!ON279</f>
        <v>369626850</v>
      </c>
      <c r="DL33" s="87">
        <f>'P &amp; NP'!OO279</f>
        <v>904853</v>
      </c>
      <c r="DM33" s="87">
        <f>'P &amp; NP'!OP279</f>
        <v>54674060.000000007</v>
      </c>
      <c r="DN33" s="87">
        <f>'P &amp; NP'!OS279</f>
        <v>750913</v>
      </c>
      <c r="DO33" s="87">
        <f>'P &amp; NP'!OT279</f>
        <v>5841221.9000000004</v>
      </c>
      <c r="DP33" s="87">
        <f>'P &amp; NP'!OU279</f>
        <v>0</v>
      </c>
      <c r="DQ33" s="87">
        <f>'P &amp; NP'!OV279</f>
        <v>0</v>
      </c>
      <c r="DR33" s="87">
        <f>'P &amp; NP'!OW279</f>
        <v>0</v>
      </c>
      <c r="DS33" s="87">
        <f>'P &amp; NP'!OX279</f>
        <v>0</v>
      </c>
      <c r="DT33" s="87">
        <f>'P &amp; NP'!OY279</f>
        <v>0</v>
      </c>
      <c r="DU33" s="87">
        <f>'P &amp; NP'!OZ279</f>
        <v>0</v>
      </c>
      <c r="DV33" s="87">
        <f t="shared" si="228"/>
        <v>72111453</v>
      </c>
      <c r="DW33" s="87">
        <f t="shared" si="229"/>
        <v>430142131.89999998</v>
      </c>
      <c r="DX33" s="87">
        <f>'P &amp; NP'!OM317</f>
        <v>78565551</v>
      </c>
      <c r="DY33" s="87">
        <f>'P &amp; NP'!ON317</f>
        <v>398867100</v>
      </c>
      <c r="DZ33" s="92">
        <f>'P &amp; NP'!OO317</f>
        <v>1109434</v>
      </c>
      <c r="EA33" s="92">
        <f>'P &amp; NP'!OP317</f>
        <v>66345681.999999978</v>
      </c>
      <c r="EB33" s="87">
        <f>'P &amp; NP'!OS317</f>
        <v>779023</v>
      </c>
      <c r="EC33" s="87">
        <f>'P &amp; NP'!OT317</f>
        <v>6029534.5999999996</v>
      </c>
      <c r="ED33" s="87">
        <f>'P &amp; NP'!OU317</f>
        <v>0</v>
      </c>
      <c r="EE33" s="87">
        <f>'P &amp; NP'!OV317</f>
        <v>0</v>
      </c>
      <c r="EF33" s="87">
        <f>'P &amp; NP'!OW317</f>
        <v>0</v>
      </c>
      <c r="EG33" s="87">
        <f>'P &amp; NP'!OX317</f>
        <v>0</v>
      </c>
      <c r="EH33" s="87">
        <f>'P &amp; NP'!OY317</f>
        <v>0</v>
      </c>
      <c r="EI33" s="87">
        <f>'P &amp; NP'!OZ317</f>
        <v>0</v>
      </c>
      <c r="EJ33" s="87">
        <f t="shared" si="230"/>
        <v>80454008</v>
      </c>
      <c r="EK33" s="87">
        <f t="shared" si="231"/>
        <v>471242316.60000002</v>
      </c>
      <c r="EL33" s="87">
        <f>'P &amp; NP'!OM355</f>
        <v>66755870</v>
      </c>
      <c r="EM33" s="87">
        <f>'P &amp; NP'!ON355</f>
        <v>338966350</v>
      </c>
      <c r="EN33" s="87">
        <f>'P &amp; NP'!OO355</f>
        <v>510399</v>
      </c>
      <c r="EO33" s="87">
        <f>'P &amp; NP'!OP355</f>
        <v>31722097</v>
      </c>
      <c r="EP33" s="92">
        <f>'P &amp; NP'!OS355</f>
        <v>39675</v>
      </c>
      <c r="EQ33" s="92">
        <f>'P &amp; NP'!OT355</f>
        <v>870975</v>
      </c>
      <c r="ER33" s="87">
        <f>'P &amp; NP'!OU355</f>
        <v>0</v>
      </c>
      <c r="ES33" s="87">
        <f>'P &amp; NP'!OV355</f>
        <v>0</v>
      </c>
      <c r="ET33" s="87">
        <f>'P &amp; NP'!OW355</f>
        <v>0</v>
      </c>
      <c r="EU33" s="87">
        <f>'P &amp; NP'!OX355</f>
        <v>0</v>
      </c>
      <c r="EV33" s="87">
        <f>'P &amp; NP'!OY355</f>
        <v>0</v>
      </c>
      <c r="EW33" s="87">
        <f>'P &amp; NP'!OZ355</f>
        <v>0</v>
      </c>
      <c r="EX33" s="87">
        <f t="shared" si="232"/>
        <v>67305944</v>
      </c>
      <c r="EY33" s="87">
        <f t="shared" si="233"/>
        <v>371559422</v>
      </c>
      <c r="EZ33" s="87">
        <f>'P &amp; NP'!OM393</f>
        <v>70484650</v>
      </c>
      <c r="FA33" s="87">
        <f>'P &amp; NP'!ON393</f>
        <v>357643400</v>
      </c>
      <c r="FB33" s="87">
        <f>'P &amp; NP'!OO393</f>
        <v>516103</v>
      </c>
      <c r="FC33" s="87">
        <f>'P &amp; NP'!OP393</f>
        <v>32108221</v>
      </c>
      <c r="FD33" s="87">
        <f>'P &amp; NP'!OS393</f>
        <v>39597</v>
      </c>
      <c r="FE33" s="87">
        <f>'P &amp; NP'!OT393</f>
        <v>871137</v>
      </c>
      <c r="FF33" s="92">
        <f>'P &amp; NP'!OU393</f>
        <v>0</v>
      </c>
      <c r="FG33" s="92">
        <f>'P &amp; NP'!OV393</f>
        <v>0</v>
      </c>
      <c r="FH33" s="87">
        <f>'P &amp; NP'!OW393</f>
        <v>0</v>
      </c>
      <c r="FI33" s="87">
        <f>'P &amp; NP'!OX393</f>
        <v>0</v>
      </c>
      <c r="FJ33" s="87">
        <f>'P &amp; NP'!OY393</f>
        <v>0</v>
      </c>
      <c r="FK33" s="87">
        <f>'P &amp; NP'!OZ393</f>
        <v>0</v>
      </c>
      <c r="FL33" s="87">
        <f t="shared" si="234"/>
        <v>71040350</v>
      </c>
      <c r="FM33" s="87">
        <f t="shared" si="235"/>
        <v>390622758</v>
      </c>
      <c r="FN33" s="87">
        <f>'P &amp; NP'!OM431</f>
        <v>76699080</v>
      </c>
      <c r="FO33" s="87">
        <f>'P &amp; NP'!ON431</f>
        <v>388805250</v>
      </c>
      <c r="FP33" s="87">
        <f>'P &amp; NP'!OO431</f>
        <v>541885.00000000012</v>
      </c>
      <c r="FQ33" s="87">
        <f>'P &amp; NP'!OP431</f>
        <v>33681503</v>
      </c>
      <c r="FR33" s="87">
        <f>'P &amp; NP'!OS431</f>
        <v>39884</v>
      </c>
      <c r="FS33" s="87">
        <f>'P &amp; NP'!OT431</f>
        <v>878364</v>
      </c>
      <c r="FT33" s="87">
        <f>'P &amp; NP'!OU431</f>
        <v>0</v>
      </c>
      <c r="FU33" s="87">
        <f>'P &amp; NP'!OV431</f>
        <v>0</v>
      </c>
      <c r="FV33" s="92">
        <f>'P &amp; NP'!OW431</f>
        <v>0</v>
      </c>
      <c r="FW33" s="92">
        <f>'P &amp; NP'!OX431</f>
        <v>0</v>
      </c>
      <c r="FX33" s="87">
        <f>'P &amp; NP'!OY431</f>
        <v>0</v>
      </c>
      <c r="FY33" s="87">
        <f>'P &amp; NP'!OZ431</f>
        <v>0</v>
      </c>
      <c r="FZ33" s="87">
        <f t="shared" si="236"/>
        <v>77280849</v>
      </c>
      <c r="GA33" s="87">
        <f t="shared" si="237"/>
        <v>423365117</v>
      </c>
      <c r="GC33" s="609">
        <f t="shared" si="164"/>
        <v>155167300</v>
      </c>
      <c r="GD33" s="609">
        <f t="shared" si="165"/>
        <v>942970302</v>
      </c>
      <c r="GE33" s="609">
        <f t="shared" si="166"/>
        <v>1712277</v>
      </c>
      <c r="GF33" s="609">
        <f t="shared" si="167"/>
        <v>99081975</v>
      </c>
      <c r="GG33" s="609">
        <f t="shared" si="168"/>
        <v>93958.2</v>
      </c>
      <c r="GH33" s="609">
        <f t="shared" si="169"/>
        <v>2131162.2000000002</v>
      </c>
      <c r="GI33" s="609">
        <f t="shared" si="170"/>
        <v>0</v>
      </c>
      <c r="GJ33" s="609">
        <f t="shared" si="171"/>
        <v>0</v>
      </c>
      <c r="GK33" s="609">
        <f t="shared" si="172"/>
        <v>0</v>
      </c>
      <c r="GL33" s="609">
        <f t="shared" si="173"/>
        <v>0</v>
      </c>
      <c r="GM33" s="609">
        <f t="shared" si="174"/>
        <v>0</v>
      </c>
      <c r="GN33" s="609">
        <f t="shared" si="175"/>
        <v>0</v>
      </c>
      <c r="GO33" s="640">
        <f t="shared" si="238"/>
        <v>156973535.19999999</v>
      </c>
      <c r="GP33" s="640">
        <f t="shared" si="239"/>
        <v>1044183439.2</v>
      </c>
      <c r="GR33" s="609">
        <f t="shared" si="176"/>
        <v>168023284</v>
      </c>
      <c r="GS33" s="609">
        <f t="shared" si="177"/>
        <v>712478770</v>
      </c>
      <c r="GT33" s="609">
        <f t="shared" si="178"/>
        <v>1400130</v>
      </c>
      <c r="GU33" s="609">
        <f t="shared" si="179"/>
        <v>80106971</v>
      </c>
      <c r="GV33" s="609">
        <f t="shared" si="180"/>
        <v>105639.5</v>
      </c>
      <c r="GW33" s="609">
        <f t="shared" si="181"/>
        <v>2306270.5</v>
      </c>
      <c r="GX33" s="609">
        <f t="shared" si="182"/>
        <v>0</v>
      </c>
      <c r="GY33" s="609">
        <f t="shared" si="183"/>
        <v>0</v>
      </c>
      <c r="GZ33" s="609">
        <f t="shared" si="184"/>
        <v>0</v>
      </c>
      <c r="HA33" s="609">
        <f t="shared" si="185"/>
        <v>0</v>
      </c>
      <c r="HB33" s="609">
        <f t="shared" si="186"/>
        <v>0</v>
      </c>
      <c r="HC33" s="609">
        <f t="shared" si="187"/>
        <v>0</v>
      </c>
      <c r="HD33" s="640">
        <f t="shared" si="240"/>
        <v>169529053.5</v>
      </c>
      <c r="HE33" s="640">
        <f t="shared" si="241"/>
        <v>794892011.5</v>
      </c>
      <c r="HG33" s="609">
        <f t="shared" si="188"/>
        <v>222997002</v>
      </c>
      <c r="HH33" s="609">
        <f t="shared" si="189"/>
        <v>1154648400</v>
      </c>
      <c r="HI33" s="609">
        <f t="shared" si="190"/>
        <v>2915240</v>
      </c>
      <c r="HJ33" s="609">
        <f t="shared" si="191"/>
        <v>176128314.99999997</v>
      </c>
      <c r="HK33" s="609">
        <f t="shared" si="192"/>
        <v>2230122.7000000002</v>
      </c>
      <c r="HL33" s="609">
        <f t="shared" si="193"/>
        <v>17082026.200000003</v>
      </c>
      <c r="HM33" s="609">
        <f t="shared" si="194"/>
        <v>0</v>
      </c>
      <c r="HN33" s="609">
        <f t="shared" si="195"/>
        <v>0</v>
      </c>
      <c r="HO33" s="609">
        <f t="shared" si="196"/>
        <v>0</v>
      </c>
      <c r="HP33" s="609">
        <f t="shared" si="197"/>
        <v>0</v>
      </c>
      <c r="HQ33" s="609">
        <f t="shared" si="198"/>
        <v>0</v>
      </c>
      <c r="HR33" s="609">
        <f t="shared" si="199"/>
        <v>0</v>
      </c>
      <c r="HS33" s="640">
        <f t="shared" si="242"/>
        <v>228142364.69999999</v>
      </c>
      <c r="HT33" s="640">
        <f t="shared" si="243"/>
        <v>1347858741.2</v>
      </c>
      <c r="HV33" s="609">
        <f t="shared" si="200"/>
        <v>213939600</v>
      </c>
      <c r="HW33" s="609">
        <f t="shared" si="201"/>
        <v>1085415000</v>
      </c>
      <c r="HX33" s="609">
        <f t="shared" si="202"/>
        <v>1568387</v>
      </c>
      <c r="HY33" s="609">
        <f t="shared" si="203"/>
        <v>97511821</v>
      </c>
      <c r="HZ33" s="609">
        <f t="shared" si="204"/>
        <v>119156</v>
      </c>
      <c r="IA33" s="609">
        <f t="shared" si="205"/>
        <v>2620476</v>
      </c>
      <c r="IB33" s="609">
        <f t="shared" si="206"/>
        <v>0</v>
      </c>
      <c r="IC33" s="609">
        <f t="shared" si="207"/>
        <v>0</v>
      </c>
      <c r="ID33" s="609">
        <f t="shared" si="208"/>
        <v>0</v>
      </c>
      <c r="IE33" s="609">
        <f t="shared" si="209"/>
        <v>0</v>
      </c>
      <c r="IF33" s="609">
        <f t="shared" si="210"/>
        <v>0</v>
      </c>
      <c r="IG33" s="609">
        <f t="shared" si="211"/>
        <v>0</v>
      </c>
      <c r="IH33" s="640">
        <f t="shared" si="244"/>
        <v>215627143</v>
      </c>
      <c r="II33" s="640">
        <f t="shared" si="245"/>
        <v>1185547297</v>
      </c>
    </row>
    <row r="34" spans="1:243">
      <c r="A34" s="484" t="s">
        <v>114</v>
      </c>
      <c r="B34" s="484">
        <f t="shared" si="212"/>
        <v>5088463</v>
      </c>
      <c r="C34" s="484">
        <f t="shared" si="213"/>
        <v>104013182.5</v>
      </c>
      <c r="D34" s="87">
        <f>'P &amp; NP'!PC13</f>
        <v>220</v>
      </c>
      <c r="E34" s="87">
        <f>'P &amp; NP'!PD13</f>
        <v>13200</v>
      </c>
      <c r="F34" s="87">
        <f>'P &amp; NP'!PE13</f>
        <v>24975</v>
      </c>
      <c r="G34" s="87">
        <f>'P &amp; NP'!PF13</f>
        <v>1498500</v>
      </c>
      <c r="H34" s="87">
        <f>'P &amp; NP'!PG13</f>
        <v>0</v>
      </c>
      <c r="I34" s="87">
        <f>'P &amp; NP'!PH13</f>
        <v>0</v>
      </c>
      <c r="J34" s="87">
        <f>'P &amp; NP'!PI13</f>
        <v>404459</v>
      </c>
      <c r="K34" s="87">
        <f>'P &amp; NP'!PJ13</f>
        <v>7124525</v>
      </c>
      <c r="L34" s="87">
        <f>'P &amp; NP'!PK13</f>
        <v>0</v>
      </c>
      <c r="M34" s="87">
        <f>'P &amp; NP'!PL13</f>
        <v>0</v>
      </c>
      <c r="N34" s="87">
        <f>'P &amp; NP'!PM13</f>
        <v>0</v>
      </c>
      <c r="O34" s="87">
        <f>'P &amp; NP'!PN13</f>
        <v>0</v>
      </c>
      <c r="P34" s="87">
        <f>'P &amp; NP'!PO13</f>
        <v>0</v>
      </c>
      <c r="Q34" s="87">
        <f>'P &amp; NP'!PP13</f>
        <v>0</v>
      </c>
      <c r="R34" s="92">
        <f t="shared" si="214"/>
        <v>429654</v>
      </c>
      <c r="S34" s="92">
        <f t="shared" si="215"/>
        <v>8636225</v>
      </c>
      <c r="T34" s="87">
        <f>'P &amp; NP'!PC51</f>
        <v>226</v>
      </c>
      <c r="U34" s="87">
        <f>'P &amp; NP'!PD51</f>
        <v>13560</v>
      </c>
      <c r="V34" s="87">
        <f>'P &amp; NP'!PE51</f>
        <v>52900</v>
      </c>
      <c r="W34" s="87">
        <f>'P &amp; NP'!PF51</f>
        <v>2163382</v>
      </c>
      <c r="X34" s="87">
        <f>'P &amp; NP'!PG51</f>
        <v>0</v>
      </c>
      <c r="Y34" s="87">
        <f>'P &amp; NP'!PH51</f>
        <v>0</v>
      </c>
      <c r="Z34" s="87">
        <f>'P &amp; NP'!PI51</f>
        <v>390490</v>
      </c>
      <c r="AA34" s="87">
        <f>'P &amp; NP'!PJ51</f>
        <v>6745781</v>
      </c>
      <c r="AB34" s="87">
        <f>'P &amp; NP'!PK51</f>
        <v>0</v>
      </c>
      <c r="AC34" s="87">
        <f>'P &amp; NP'!PL51</f>
        <v>0</v>
      </c>
      <c r="AD34" s="87">
        <f>'P &amp; NP'!PM51</f>
        <v>0</v>
      </c>
      <c r="AE34" s="87">
        <f>'P &amp; NP'!PN51</f>
        <v>0</v>
      </c>
      <c r="AF34" s="87">
        <f>'P &amp; NP'!PO51</f>
        <v>0</v>
      </c>
      <c r="AG34" s="87">
        <f>'P &amp; NP'!PP51</f>
        <v>0</v>
      </c>
      <c r="AH34" s="92">
        <f t="shared" si="216"/>
        <v>443616</v>
      </c>
      <c r="AI34" s="92">
        <f t="shared" si="217"/>
        <v>8922723</v>
      </c>
      <c r="AJ34" s="87">
        <f>'P &amp; NP'!PC89</f>
        <v>232</v>
      </c>
      <c r="AK34" s="87">
        <f>'P &amp; NP'!PD89</f>
        <v>13920</v>
      </c>
      <c r="AL34" s="87">
        <f>'P &amp; NP'!PE89</f>
        <v>26837</v>
      </c>
      <c r="AM34" s="87">
        <f>'P &amp; NP'!PF89</f>
        <v>1610220</v>
      </c>
      <c r="AN34" s="87">
        <f>'P &amp; NP'!PG89</f>
        <v>0</v>
      </c>
      <c r="AO34" s="87">
        <f>'P &amp; NP'!PH89</f>
        <v>0</v>
      </c>
      <c r="AP34" s="87">
        <f>'P &amp; NP'!PI89</f>
        <v>430475</v>
      </c>
      <c r="AQ34" s="87">
        <f>'P &amp; NP'!PJ89</f>
        <v>7581471</v>
      </c>
      <c r="AR34" s="87">
        <f>'P &amp; NP'!PK89</f>
        <v>0</v>
      </c>
      <c r="AS34" s="87">
        <f>'P &amp; NP'!PL89</f>
        <v>0</v>
      </c>
      <c r="AT34" s="87">
        <f>'P &amp; NP'!PM89</f>
        <v>0</v>
      </c>
      <c r="AU34" s="87">
        <f>'P &amp; NP'!PN89</f>
        <v>0</v>
      </c>
      <c r="AV34" s="87">
        <f>'P &amp; NP'!PO89</f>
        <v>0</v>
      </c>
      <c r="AW34" s="87">
        <f>'P &amp; NP'!PP89</f>
        <v>0</v>
      </c>
      <c r="AX34" s="92">
        <f t="shared" si="218"/>
        <v>457544</v>
      </c>
      <c r="AY34" s="92">
        <f t="shared" si="219"/>
        <v>9205611</v>
      </c>
      <c r="AZ34" s="87">
        <f>'P &amp; NP'!PC127</f>
        <v>197</v>
      </c>
      <c r="BA34" s="87">
        <f>'P &amp; NP'!PD127</f>
        <v>12805</v>
      </c>
      <c r="BB34" s="87">
        <f>'P &amp; NP'!PE127</f>
        <v>28991</v>
      </c>
      <c r="BC34" s="87">
        <f>'P &amp; NP'!PF127</f>
        <v>2174325</v>
      </c>
      <c r="BD34" s="87">
        <f>'P &amp; NP'!PG127</f>
        <v>0</v>
      </c>
      <c r="BE34" s="87">
        <f>'P &amp; NP'!PH127</f>
        <v>0</v>
      </c>
      <c r="BF34" s="87">
        <f>'P &amp; NP'!PI127</f>
        <v>456370</v>
      </c>
      <c r="BG34" s="87">
        <f>'P &amp; NP'!PJ127</f>
        <v>8446574</v>
      </c>
      <c r="BH34" s="87">
        <f>'P &amp; NP'!PK127</f>
        <v>0</v>
      </c>
      <c r="BI34" s="87">
        <f>'P &amp; NP'!PL127</f>
        <v>0</v>
      </c>
      <c r="BJ34" s="87">
        <f>'P &amp; NP'!PM127</f>
        <v>0</v>
      </c>
      <c r="BK34" s="87">
        <f>'P &amp; NP'!PN127</f>
        <v>0</v>
      </c>
      <c r="BL34" s="87">
        <f>'P &amp; NP'!PO127</f>
        <v>0</v>
      </c>
      <c r="BM34" s="87">
        <f>'P &amp; NP'!PP127</f>
        <v>0</v>
      </c>
      <c r="BN34" s="92">
        <f t="shared" si="220"/>
        <v>485558</v>
      </c>
      <c r="BO34" s="92">
        <f t="shared" si="221"/>
        <v>10633704</v>
      </c>
      <c r="BP34" s="87">
        <f>'P &amp; NP'!PC165</f>
        <v>180</v>
      </c>
      <c r="BQ34" s="87">
        <f>'P &amp; NP'!PD165</f>
        <v>11716.5</v>
      </c>
      <c r="BR34" s="87">
        <f>'P &amp; NP'!PE165</f>
        <v>27960</v>
      </c>
      <c r="BS34" s="87">
        <f>'P &amp; NP'!PF165</f>
        <v>2096920</v>
      </c>
      <c r="BT34" s="87">
        <f>'P &amp; NP'!PG165</f>
        <v>0</v>
      </c>
      <c r="BU34" s="87">
        <f>'P &amp; NP'!PH165</f>
        <v>0</v>
      </c>
      <c r="BV34" s="87">
        <f>'P &amp; NP'!PI165</f>
        <v>434230</v>
      </c>
      <c r="BW34" s="87">
        <f>'P &amp; NP'!PJ165</f>
        <v>8036681</v>
      </c>
      <c r="BX34" s="87">
        <f>'P &amp; NP'!PK165</f>
        <v>0</v>
      </c>
      <c r="BY34" s="87">
        <f>'P &amp; NP'!PL165</f>
        <v>0</v>
      </c>
      <c r="BZ34" s="87">
        <f>'P &amp; NP'!PM165</f>
        <v>0</v>
      </c>
      <c r="CA34" s="87">
        <f>'P &amp; NP'!PN165</f>
        <v>0</v>
      </c>
      <c r="CB34" s="87">
        <f>'P &amp; NP'!PO165</f>
        <v>0</v>
      </c>
      <c r="CC34" s="87">
        <f>'P &amp; NP'!PP165</f>
        <v>0</v>
      </c>
      <c r="CD34" s="92">
        <f t="shared" si="222"/>
        <v>462370</v>
      </c>
      <c r="CE34" s="92">
        <f t="shared" si="223"/>
        <v>10145317.5</v>
      </c>
      <c r="CF34" s="87">
        <f>'P &amp; NP'!PC203</f>
        <v>64</v>
      </c>
      <c r="CG34" s="87">
        <f>'P &amp; NP'!PD203</f>
        <v>3200</v>
      </c>
      <c r="CH34" s="87">
        <f>'P &amp; NP'!PE203</f>
        <v>19330</v>
      </c>
      <c r="CI34" s="87">
        <f>'P &amp; NP'!PF203</f>
        <v>1353100</v>
      </c>
      <c r="CJ34" s="87">
        <f>'P &amp; NP'!PG203</f>
        <v>0</v>
      </c>
      <c r="CK34" s="87">
        <f>'P &amp; NP'!PH203</f>
        <v>0</v>
      </c>
      <c r="CL34" s="87">
        <f>'P &amp; NP'!PI203</f>
        <v>429214</v>
      </c>
      <c r="CM34" s="87">
        <f>'P &amp; NP'!PJ203</f>
        <v>7837655</v>
      </c>
      <c r="CN34" s="87">
        <f>'P &amp; NP'!PK203</f>
        <v>0</v>
      </c>
      <c r="CO34" s="87">
        <f>'P &amp; NP'!PL203</f>
        <v>0</v>
      </c>
      <c r="CP34" s="87">
        <f>'P &amp; NP'!PM203</f>
        <v>0</v>
      </c>
      <c r="CQ34" s="87">
        <f>'P &amp; NP'!PN203</f>
        <v>0</v>
      </c>
      <c r="CR34" s="87">
        <f>'P &amp; NP'!PO203</f>
        <v>0</v>
      </c>
      <c r="CS34" s="87">
        <f>'P &amp; NP'!PP203</f>
        <v>0</v>
      </c>
      <c r="CT34" s="92">
        <f t="shared" si="224"/>
        <v>448608</v>
      </c>
      <c r="CU34" s="92">
        <f t="shared" si="225"/>
        <v>9193955</v>
      </c>
      <c r="CV34" s="87">
        <f>'P &amp; NP'!PC241</f>
        <v>72</v>
      </c>
      <c r="CW34" s="87">
        <f>'P &amp; NP'!PD241</f>
        <v>3240</v>
      </c>
      <c r="CX34" s="87">
        <f>'P &amp; NP'!PE241</f>
        <v>17626</v>
      </c>
      <c r="CY34" s="87">
        <f>'P &amp; NP'!PF241</f>
        <v>1145690</v>
      </c>
      <c r="CZ34" s="87">
        <f>'P &amp; NP'!PI241</f>
        <v>413077</v>
      </c>
      <c r="DA34" s="87">
        <f>'P &amp; NP'!PJ241</f>
        <v>7386212</v>
      </c>
      <c r="DB34" s="87">
        <f>'P &amp; NP'!PK241</f>
        <v>0</v>
      </c>
      <c r="DC34" s="87">
        <f>'P &amp; NP'!PL241</f>
        <v>0</v>
      </c>
      <c r="DD34" s="87">
        <f>'P &amp; NP'!PM241</f>
        <v>0</v>
      </c>
      <c r="DE34" s="87">
        <f>'P &amp; NP'!PN241</f>
        <v>0</v>
      </c>
      <c r="DF34" s="87">
        <f>'P &amp; NP'!PO241</f>
        <v>0</v>
      </c>
      <c r="DG34" s="87">
        <f>'P &amp; NP'!PP241</f>
        <v>0</v>
      </c>
      <c r="DH34" s="87">
        <f t="shared" si="226"/>
        <v>430775</v>
      </c>
      <c r="DI34" s="87">
        <f t="shared" si="227"/>
        <v>8535142</v>
      </c>
      <c r="DJ34" s="92">
        <f>'P &amp; NP'!PC279</f>
        <v>325</v>
      </c>
      <c r="DK34" s="92">
        <f>'P &amp; NP'!PD279</f>
        <v>35290</v>
      </c>
      <c r="DL34" s="87">
        <f>'P &amp; NP'!PE279</f>
        <v>15546</v>
      </c>
      <c r="DM34" s="87">
        <f>'P &amp; NP'!PF279</f>
        <v>1010490</v>
      </c>
      <c r="DN34" s="87">
        <f>'P &amp; NP'!PI279</f>
        <v>392004</v>
      </c>
      <c r="DO34" s="87">
        <f>'P &amp; NP'!PJ279</f>
        <v>7052816</v>
      </c>
      <c r="DP34" s="87">
        <f>'P &amp; NP'!PK279</f>
        <v>0</v>
      </c>
      <c r="DQ34" s="87">
        <f>'P &amp; NP'!PL279</f>
        <v>0</v>
      </c>
      <c r="DR34" s="87">
        <f>'P &amp; NP'!PM279</f>
        <v>0</v>
      </c>
      <c r="DS34" s="87">
        <f>'P &amp; NP'!PN279</f>
        <v>0</v>
      </c>
      <c r="DT34" s="87">
        <f>'P &amp; NP'!PO279</f>
        <v>0</v>
      </c>
      <c r="DU34" s="87">
        <f>'P &amp; NP'!PP279</f>
        <v>0</v>
      </c>
      <c r="DV34" s="87">
        <f t="shared" si="228"/>
        <v>407875</v>
      </c>
      <c r="DW34" s="87">
        <f t="shared" si="229"/>
        <v>8098596</v>
      </c>
      <c r="DX34" s="87">
        <f>'P &amp; NP'!PC317</f>
        <v>308</v>
      </c>
      <c r="DY34" s="87">
        <f>'P &amp; NP'!PD317</f>
        <v>33815</v>
      </c>
      <c r="DZ34" s="92">
        <f>'P &amp; NP'!PE317</f>
        <v>16825</v>
      </c>
      <c r="EA34" s="92">
        <f>'P &amp; NP'!PF317</f>
        <v>1093625</v>
      </c>
      <c r="EB34" s="87">
        <f>'P &amp; NP'!PI317</f>
        <v>380662</v>
      </c>
      <c r="EC34" s="87">
        <f>'P &amp; NP'!PJ317</f>
        <v>6933972</v>
      </c>
      <c r="ED34" s="87">
        <f>'P &amp; NP'!PK317</f>
        <v>0</v>
      </c>
      <c r="EE34" s="87">
        <f>'P &amp; NP'!PL317</f>
        <v>0</v>
      </c>
      <c r="EF34" s="87">
        <f>'P &amp; NP'!PM317</f>
        <v>0</v>
      </c>
      <c r="EG34" s="87">
        <f>'P &amp; NP'!PN317</f>
        <v>0</v>
      </c>
      <c r="EH34" s="87">
        <f>'P &amp; NP'!PO317</f>
        <v>0</v>
      </c>
      <c r="EI34" s="87">
        <f>'P &amp; NP'!PP317</f>
        <v>0</v>
      </c>
      <c r="EJ34" s="87">
        <f t="shared" si="230"/>
        <v>397795</v>
      </c>
      <c r="EK34" s="87">
        <f t="shared" si="231"/>
        <v>8061412</v>
      </c>
      <c r="EL34" s="87">
        <f>'P &amp; NP'!PC355</f>
        <v>68</v>
      </c>
      <c r="EM34" s="87">
        <f>'P &amp; NP'!PD355</f>
        <v>3740</v>
      </c>
      <c r="EN34" s="87">
        <f>'P &amp; NP'!PE355</f>
        <v>14972</v>
      </c>
      <c r="EO34" s="87">
        <f>'P &amp; NP'!PF355</f>
        <v>973180</v>
      </c>
      <c r="EP34" s="92">
        <f>'P &amp; NP'!PI355</f>
        <v>371816</v>
      </c>
      <c r="EQ34" s="92">
        <f>'P &amp; NP'!PJ355</f>
        <v>6693267</v>
      </c>
      <c r="ER34" s="87">
        <f>'P &amp; NP'!PK355</f>
        <v>0</v>
      </c>
      <c r="ES34" s="87">
        <f>'P &amp; NP'!PL355</f>
        <v>0</v>
      </c>
      <c r="ET34" s="87">
        <f>'P &amp; NP'!PM355</f>
        <v>0</v>
      </c>
      <c r="EU34" s="87">
        <f>'P &amp; NP'!PN355</f>
        <v>0</v>
      </c>
      <c r="EV34" s="87">
        <f>'P &amp; NP'!PO355</f>
        <v>0</v>
      </c>
      <c r="EW34" s="87">
        <f>'P &amp; NP'!PP355</f>
        <v>0</v>
      </c>
      <c r="EX34" s="87">
        <f t="shared" si="232"/>
        <v>386856</v>
      </c>
      <c r="EY34" s="87">
        <f t="shared" si="233"/>
        <v>7670187</v>
      </c>
      <c r="EZ34" s="87">
        <f>'P &amp; NP'!PC393</f>
        <v>55</v>
      </c>
      <c r="FA34" s="87">
        <f>'P &amp; NP'!PD393</f>
        <v>3025</v>
      </c>
      <c r="FB34" s="87">
        <f>'P &amp; NP'!PE393</f>
        <v>13154</v>
      </c>
      <c r="FC34" s="87">
        <f>'P &amp; NP'!PF393</f>
        <v>855010</v>
      </c>
      <c r="FD34" s="87">
        <f>'P &amp; NP'!PI393</f>
        <v>363234</v>
      </c>
      <c r="FE34" s="87">
        <f>'P &amp; NP'!PJ393</f>
        <v>6695541</v>
      </c>
      <c r="FF34" s="92">
        <f>'P &amp; NP'!PK393</f>
        <v>0</v>
      </c>
      <c r="FG34" s="92">
        <f>'P &amp; NP'!PL393</f>
        <v>0</v>
      </c>
      <c r="FH34" s="87">
        <f>'P &amp; NP'!PM393</f>
        <v>0</v>
      </c>
      <c r="FI34" s="87">
        <f>'P &amp; NP'!PN393</f>
        <v>0</v>
      </c>
      <c r="FJ34" s="87">
        <f>'P &amp; NP'!PO393</f>
        <v>0</v>
      </c>
      <c r="FK34" s="87">
        <f>'P &amp; NP'!PP393</f>
        <v>0</v>
      </c>
      <c r="FL34" s="87">
        <f t="shared" si="234"/>
        <v>376443</v>
      </c>
      <c r="FM34" s="87">
        <f t="shared" si="235"/>
        <v>7553576</v>
      </c>
      <c r="FN34" s="87">
        <f>'P &amp; NP'!PC431</f>
        <v>62</v>
      </c>
      <c r="FO34" s="87">
        <f>'P &amp; NP'!PD431</f>
        <v>3410</v>
      </c>
      <c r="FP34" s="87">
        <f>'P &amp; NP'!PE431</f>
        <v>14320</v>
      </c>
      <c r="FQ34" s="87">
        <f>'P &amp; NP'!PF431</f>
        <v>930800</v>
      </c>
      <c r="FR34" s="87">
        <f>'P &amp; NP'!PI431</f>
        <v>346987</v>
      </c>
      <c r="FS34" s="87">
        <f>'P &amp; NP'!PJ431</f>
        <v>6422524</v>
      </c>
      <c r="FT34" s="87">
        <f>'P &amp; NP'!PK431</f>
        <v>0</v>
      </c>
      <c r="FU34" s="87">
        <f>'P &amp; NP'!PL431</f>
        <v>0</v>
      </c>
      <c r="FV34" s="92">
        <f>'P &amp; NP'!PM431</f>
        <v>0</v>
      </c>
      <c r="FW34" s="92">
        <f>'P &amp; NP'!PN431</f>
        <v>0</v>
      </c>
      <c r="FX34" s="87">
        <f>'P &amp; NP'!PO431</f>
        <v>0</v>
      </c>
      <c r="FY34" s="87">
        <f>'P &amp; NP'!PP431</f>
        <v>0</v>
      </c>
      <c r="FZ34" s="87">
        <f t="shared" si="236"/>
        <v>361369</v>
      </c>
      <c r="GA34" s="87">
        <f t="shared" si="237"/>
        <v>7356734</v>
      </c>
      <c r="GC34" s="609">
        <f t="shared" si="164"/>
        <v>678</v>
      </c>
      <c r="GD34" s="609">
        <f t="shared" si="165"/>
        <v>40680</v>
      </c>
      <c r="GE34" s="609">
        <f t="shared" si="166"/>
        <v>104712</v>
      </c>
      <c r="GF34" s="609">
        <f t="shared" si="167"/>
        <v>5272102</v>
      </c>
      <c r="GG34" s="609">
        <f t="shared" si="168"/>
        <v>1225424</v>
      </c>
      <c r="GH34" s="609">
        <f t="shared" si="169"/>
        <v>21451777</v>
      </c>
      <c r="GI34" s="609">
        <f t="shared" si="170"/>
        <v>0</v>
      </c>
      <c r="GJ34" s="609">
        <f t="shared" si="171"/>
        <v>0</v>
      </c>
      <c r="GK34" s="609">
        <f t="shared" si="172"/>
        <v>0</v>
      </c>
      <c r="GL34" s="609">
        <f t="shared" si="173"/>
        <v>0</v>
      </c>
      <c r="GM34" s="609">
        <f t="shared" si="174"/>
        <v>0</v>
      </c>
      <c r="GN34" s="609">
        <f t="shared" si="175"/>
        <v>0</v>
      </c>
      <c r="GO34" s="640">
        <f t="shared" si="238"/>
        <v>1330814</v>
      </c>
      <c r="GP34" s="640">
        <f t="shared" si="239"/>
        <v>26764559</v>
      </c>
      <c r="GR34" s="609">
        <f t="shared" si="176"/>
        <v>441</v>
      </c>
      <c r="GS34" s="609">
        <f t="shared" si="177"/>
        <v>27721.5</v>
      </c>
      <c r="GT34" s="609">
        <f t="shared" si="178"/>
        <v>76281</v>
      </c>
      <c r="GU34" s="609">
        <f t="shared" si="179"/>
        <v>5624345</v>
      </c>
      <c r="GV34" s="609">
        <f t="shared" si="180"/>
        <v>1319814</v>
      </c>
      <c r="GW34" s="609">
        <f t="shared" si="181"/>
        <v>24320910</v>
      </c>
      <c r="GX34" s="609">
        <f t="shared" si="182"/>
        <v>0</v>
      </c>
      <c r="GY34" s="609">
        <f t="shared" si="183"/>
        <v>0</v>
      </c>
      <c r="GZ34" s="609">
        <f t="shared" si="184"/>
        <v>0</v>
      </c>
      <c r="HA34" s="609">
        <f t="shared" si="185"/>
        <v>0</v>
      </c>
      <c r="HB34" s="609">
        <f t="shared" si="186"/>
        <v>0</v>
      </c>
      <c r="HC34" s="609">
        <f t="shared" si="187"/>
        <v>0</v>
      </c>
      <c r="HD34" s="640">
        <f t="shared" si="240"/>
        <v>1396536</v>
      </c>
      <c r="HE34" s="640">
        <f t="shared" si="241"/>
        <v>29972976.5</v>
      </c>
      <c r="HG34" s="609">
        <f t="shared" si="188"/>
        <v>705</v>
      </c>
      <c r="HH34" s="609">
        <f t="shared" si="189"/>
        <v>72345</v>
      </c>
      <c r="HI34" s="609">
        <f t="shared" si="190"/>
        <v>49997</v>
      </c>
      <c r="HJ34" s="609">
        <f t="shared" si="191"/>
        <v>3249805</v>
      </c>
      <c r="HK34" s="609">
        <f t="shared" si="192"/>
        <v>1185743</v>
      </c>
      <c r="HL34" s="609">
        <f t="shared" si="193"/>
        <v>21373000</v>
      </c>
      <c r="HM34" s="609">
        <f t="shared" si="194"/>
        <v>0</v>
      </c>
      <c r="HN34" s="609">
        <f t="shared" si="195"/>
        <v>0</v>
      </c>
      <c r="HO34" s="609">
        <f t="shared" si="196"/>
        <v>0</v>
      </c>
      <c r="HP34" s="609">
        <f t="shared" si="197"/>
        <v>0</v>
      </c>
      <c r="HQ34" s="609">
        <f t="shared" si="198"/>
        <v>0</v>
      </c>
      <c r="HR34" s="609">
        <f t="shared" si="199"/>
        <v>0</v>
      </c>
      <c r="HS34" s="640">
        <f t="shared" si="242"/>
        <v>1236445</v>
      </c>
      <c r="HT34" s="640">
        <f t="shared" si="243"/>
        <v>24695150</v>
      </c>
      <c r="HV34" s="609">
        <f t="shared" si="200"/>
        <v>185</v>
      </c>
      <c r="HW34" s="609">
        <f t="shared" si="201"/>
        <v>10175</v>
      </c>
      <c r="HX34" s="609">
        <f t="shared" si="202"/>
        <v>42446</v>
      </c>
      <c r="HY34" s="609">
        <f t="shared" si="203"/>
        <v>2758990</v>
      </c>
      <c r="HZ34" s="609">
        <f t="shared" si="204"/>
        <v>1082037</v>
      </c>
      <c r="IA34" s="609">
        <f t="shared" si="205"/>
        <v>19811332</v>
      </c>
      <c r="IB34" s="609">
        <f t="shared" si="206"/>
        <v>0</v>
      </c>
      <c r="IC34" s="609">
        <f t="shared" si="207"/>
        <v>0</v>
      </c>
      <c r="ID34" s="609">
        <f t="shared" si="208"/>
        <v>0</v>
      </c>
      <c r="IE34" s="609">
        <f t="shared" si="209"/>
        <v>0</v>
      </c>
      <c r="IF34" s="609">
        <f t="shared" si="210"/>
        <v>0</v>
      </c>
      <c r="IG34" s="609">
        <f t="shared" si="211"/>
        <v>0</v>
      </c>
      <c r="IH34" s="640">
        <f t="shared" si="244"/>
        <v>1124668</v>
      </c>
      <c r="II34" s="640">
        <f t="shared" si="245"/>
        <v>22580497</v>
      </c>
    </row>
    <row r="35" spans="1:243">
      <c r="A35" s="484" t="s">
        <v>134</v>
      </c>
      <c r="B35" s="484">
        <f t="shared" si="212"/>
        <v>53319430</v>
      </c>
      <c r="C35" s="484">
        <f t="shared" si="213"/>
        <v>1449176630.411</v>
      </c>
      <c r="D35" s="87">
        <f>'P &amp; NP'!PS13</f>
        <v>0</v>
      </c>
      <c r="E35" s="87">
        <f>'P &amp; NP'!PT13</f>
        <v>0</v>
      </c>
      <c r="F35" s="87">
        <f>'P &amp; NP'!PU13</f>
        <v>1371330</v>
      </c>
      <c r="G35" s="87">
        <f>'P &amp; NP'!PV13</f>
        <v>52056900</v>
      </c>
      <c r="H35" s="87">
        <f>'P &amp; NP'!PW13</f>
        <v>0</v>
      </c>
      <c r="I35" s="87">
        <f>'P &amp; NP'!PX13</f>
        <v>0</v>
      </c>
      <c r="J35" s="87">
        <f>'P &amp; NP'!PY13</f>
        <v>1126450</v>
      </c>
      <c r="K35" s="87">
        <f>'P &amp; NP'!PZ13</f>
        <v>21322931.410999998</v>
      </c>
      <c r="L35" s="87">
        <f>'P &amp; NP'!QA13</f>
        <v>1714160</v>
      </c>
      <c r="M35" s="87">
        <f>'P &amp; NP'!QB13</f>
        <v>41091980</v>
      </c>
      <c r="N35" s="87">
        <f>'P &amp; NP'!QC13</f>
        <v>685670</v>
      </c>
      <c r="O35" s="87">
        <f>'P &amp; NP'!QD13</f>
        <v>12945414</v>
      </c>
      <c r="P35" s="87">
        <f>'P &amp; NP'!QE13</f>
        <v>0</v>
      </c>
      <c r="Q35" s="87">
        <f>'P &amp; NP'!QF13</f>
        <v>0</v>
      </c>
      <c r="R35" s="92">
        <f t="shared" si="214"/>
        <v>4897610</v>
      </c>
      <c r="S35" s="92">
        <f t="shared" si="215"/>
        <v>127417225.411</v>
      </c>
      <c r="T35" s="87">
        <f>'P &amp; NP'!PS51</f>
        <v>280</v>
      </c>
      <c r="U35" s="87">
        <f>'P &amp; NP'!PT51</f>
        <v>28000</v>
      </c>
      <c r="V35" s="87">
        <f>'P &amp; NP'!PU51</f>
        <v>1400050</v>
      </c>
      <c r="W35" s="87">
        <f>'P &amp; NP'!PV51</f>
        <v>56237340</v>
      </c>
      <c r="X35" s="87">
        <f>'P &amp; NP'!PW51</f>
        <v>0</v>
      </c>
      <c r="Y35" s="87">
        <f>'P &amp; NP'!PX51</f>
        <v>0</v>
      </c>
      <c r="Z35" s="87">
        <f>'P &amp; NP'!PY51</f>
        <v>1296230</v>
      </c>
      <c r="AA35" s="87">
        <f>'P &amp; NP'!PZ51</f>
        <v>23780370</v>
      </c>
      <c r="AB35" s="87">
        <f>'P &amp; NP'!QA51</f>
        <v>1866860</v>
      </c>
      <c r="AC35" s="87">
        <f>'P &amp; NP'!QB51</f>
        <v>49151460</v>
      </c>
      <c r="AD35" s="87">
        <f>'P &amp; NP'!QC51</f>
        <v>622290</v>
      </c>
      <c r="AE35" s="87">
        <f>'P &amp; NP'!QD51</f>
        <v>11605550</v>
      </c>
      <c r="AF35" s="87">
        <f>'P &amp; NP'!QE51</f>
        <v>0</v>
      </c>
      <c r="AG35" s="87">
        <f>'P &amp; NP'!QF51</f>
        <v>0</v>
      </c>
      <c r="AH35" s="92">
        <f t="shared" si="216"/>
        <v>5185710</v>
      </c>
      <c r="AI35" s="92">
        <f t="shared" si="217"/>
        <v>140802720</v>
      </c>
      <c r="AJ35" s="87">
        <f>'P &amp; NP'!PS89</f>
        <v>0</v>
      </c>
      <c r="AK35" s="87">
        <f>'P &amp; NP'!PT89</f>
        <v>0</v>
      </c>
      <c r="AL35" s="87">
        <f>'P &amp; NP'!PU89</f>
        <v>1080360</v>
      </c>
      <c r="AM35" s="87">
        <f>'P &amp; NP'!PV89</f>
        <v>48857570</v>
      </c>
      <c r="AN35" s="87">
        <f>'P &amp; NP'!PW89</f>
        <v>0</v>
      </c>
      <c r="AO35" s="87">
        <f>'P &amp; NP'!PX89</f>
        <v>0</v>
      </c>
      <c r="AP35" s="87">
        <f>'P &amp; NP'!PY89</f>
        <v>1166780</v>
      </c>
      <c r="AQ35" s="87">
        <f>'P &amp; NP'!PZ89</f>
        <v>21847740</v>
      </c>
      <c r="AR35" s="87">
        <f>'P &amp; NP'!QA89</f>
        <v>1555710</v>
      </c>
      <c r="AS35" s="87">
        <f>'P &amp; NP'!QB89</f>
        <v>46933930</v>
      </c>
      <c r="AT35" s="87">
        <f>'P &amp; NP'!QC89</f>
        <v>518570</v>
      </c>
      <c r="AU35" s="87">
        <f>'P &amp; NP'!QD89</f>
        <v>9579170</v>
      </c>
      <c r="AV35" s="87">
        <f>'P &amp; NP'!QE89</f>
        <v>0</v>
      </c>
      <c r="AW35" s="87">
        <f>'P &amp; NP'!QF89</f>
        <v>0</v>
      </c>
      <c r="AX35" s="92">
        <f t="shared" si="218"/>
        <v>4321420</v>
      </c>
      <c r="AY35" s="92">
        <f t="shared" si="219"/>
        <v>127218410</v>
      </c>
      <c r="AZ35" s="87">
        <f>'P &amp; NP'!PS127</f>
        <v>0</v>
      </c>
      <c r="BA35" s="87">
        <f>'P &amp; NP'!PT127</f>
        <v>0</v>
      </c>
      <c r="BB35" s="87">
        <f>'P &amp; NP'!PU127</f>
        <v>1284080</v>
      </c>
      <c r="BC35" s="87">
        <f>'P &amp; NP'!PV127</f>
        <v>49149720</v>
      </c>
      <c r="BD35" s="87">
        <f>'P &amp; NP'!PW127</f>
        <v>0</v>
      </c>
      <c r="BE35" s="87">
        <f>'P &amp; NP'!PX127</f>
        <v>0</v>
      </c>
      <c r="BF35" s="87">
        <f>'P &amp; NP'!PY127</f>
        <v>1333470</v>
      </c>
      <c r="BG35" s="87">
        <f>'P &amp; NP'!PZ127</f>
        <v>27011080</v>
      </c>
      <c r="BH35" s="87">
        <f>'P &amp; NP'!QA127</f>
        <v>1827340</v>
      </c>
      <c r="BI35" s="87">
        <f>'P &amp; NP'!QB127</f>
        <v>46966290</v>
      </c>
      <c r="BJ35" s="87">
        <f>'P &amp; NP'!QC127</f>
        <v>493880</v>
      </c>
      <c r="BK35" s="87">
        <f>'P &amp; NP'!QD127</f>
        <v>9348620</v>
      </c>
      <c r="BL35" s="87">
        <f>'P &amp; NP'!QE127</f>
        <v>0</v>
      </c>
      <c r="BM35" s="87">
        <f>'P &amp; NP'!QF127</f>
        <v>0</v>
      </c>
      <c r="BN35" s="92">
        <f t="shared" si="220"/>
        <v>4938770</v>
      </c>
      <c r="BO35" s="92">
        <f t="shared" si="221"/>
        <v>132475710</v>
      </c>
      <c r="BP35" s="87">
        <f>'P &amp; NP'!PS165</f>
        <v>500</v>
      </c>
      <c r="BQ35" s="87">
        <f>'P &amp; NP'!PT165</f>
        <v>55000</v>
      </c>
      <c r="BR35" s="87">
        <f>'P &amp; NP'!PU165</f>
        <v>1123570</v>
      </c>
      <c r="BS35" s="87">
        <f>'P &amp; NP'!PV165</f>
        <v>44975160</v>
      </c>
      <c r="BT35" s="87">
        <f>'P &amp; NP'!PW165</f>
        <v>0</v>
      </c>
      <c r="BU35" s="87">
        <f>'P &amp; NP'!PX165</f>
        <v>0</v>
      </c>
      <c r="BV35" s="87">
        <f>'P &amp; NP'!PY165</f>
        <v>1166780</v>
      </c>
      <c r="BW35" s="87">
        <f>'P &amp; NP'!PZ165</f>
        <v>23679560</v>
      </c>
      <c r="BX35" s="87">
        <f>'P &amp; NP'!QA165</f>
        <v>1555710</v>
      </c>
      <c r="BY35" s="87">
        <f>'P &amp; NP'!QB165</f>
        <v>39203390</v>
      </c>
      <c r="BZ35" s="87">
        <f>'P &amp; NP'!QC165</f>
        <v>474860</v>
      </c>
      <c r="CA35" s="87">
        <f>'P &amp; NP'!QD165</f>
        <v>9363490</v>
      </c>
      <c r="CB35" s="87">
        <f>'P &amp; NP'!QE165</f>
        <v>0</v>
      </c>
      <c r="CC35" s="87">
        <f>'P &amp; NP'!QF165</f>
        <v>0</v>
      </c>
      <c r="CD35" s="92">
        <f t="shared" si="222"/>
        <v>4321420</v>
      </c>
      <c r="CE35" s="92">
        <f t="shared" si="223"/>
        <v>117276600</v>
      </c>
      <c r="CF35" s="87">
        <f>'P &amp; NP'!PS203</f>
        <v>0</v>
      </c>
      <c r="CG35" s="87">
        <f>'P &amp; NP'!PT203</f>
        <v>0</v>
      </c>
      <c r="CH35" s="87">
        <f>'P &amp; NP'!PU203</f>
        <v>771680</v>
      </c>
      <c r="CI35" s="87">
        <f>'P &amp; NP'!PV203</f>
        <v>31189880</v>
      </c>
      <c r="CJ35" s="87">
        <f>'P &amp; NP'!PW203</f>
        <v>0</v>
      </c>
      <c r="CK35" s="87">
        <f>'P &amp; NP'!PX203</f>
        <v>0</v>
      </c>
      <c r="CL35" s="87">
        <f>'P &amp; NP'!PY203</f>
        <v>833420</v>
      </c>
      <c r="CM35" s="87">
        <f>'P &amp; NP'!PZ203</f>
        <v>16941020</v>
      </c>
      <c r="CN35" s="87">
        <f>'P &amp; NP'!QA203</f>
        <v>1111220</v>
      </c>
      <c r="CO35" s="87">
        <f>'P &amp; NP'!QB203</f>
        <v>32136560</v>
      </c>
      <c r="CP35" s="87">
        <f>'P &amp; NP'!QC203</f>
        <v>370410</v>
      </c>
      <c r="CQ35" s="87">
        <f>'P &amp; NP'!QD203</f>
        <v>6927420</v>
      </c>
      <c r="CR35" s="87">
        <f>'P &amp; NP'!QE203</f>
        <v>0</v>
      </c>
      <c r="CS35" s="87">
        <f>'P &amp; NP'!QF203</f>
        <v>0</v>
      </c>
      <c r="CT35" s="92">
        <f t="shared" si="224"/>
        <v>3086730</v>
      </c>
      <c r="CU35" s="92">
        <f t="shared" si="225"/>
        <v>87194880</v>
      </c>
      <c r="CV35" s="87">
        <f>'P &amp; NP'!PS241</f>
        <v>0</v>
      </c>
      <c r="CW35" s="87">
        <f>'P &amp; NP'!PT241</f>
        <v>0</v>
      </c>
      <c r="CX35" s="87">
        <f>'P &amp; NP'!PU241</f>
        <v>1055660</v>
      </c>
      <c r="CY35" s="87">
        <f>'P &amp; NP'!PV241</f>
        <v>44351110</v>
      </c>
      <c r="CZ35" s="87">
        <f>'P &amp; NP'!PY241</f>
        <v>791750</v>
      </c>
      <c r="DA35" s="87">
        <f>'P &amp; NP'!PZ241</f>
        <v>14325365</v>
      </c>
      <c r="DB35" s="87">
        <f>'P &amp; NP'!QA241</f>
        <v>527830</v>
      </c>
      <c r="DC35" s="87">
        <f>'P &amp; NP'!QB241</f>
        <v>13305600</v>
      </c>
      <c r="DD35" s="87">
        <f>'P &amp; NP'!QC241</f>
        <v>263930</v>
      </c>
      <c r="DE35" s="87">
        <f>'P &amp; NP'!QD241</f>
        <v>4752665</v>
      </c>
      <c r="DF35" s="87">
        <f>'P &amp; NP'!QE241</f>
        <v>0</v>
      </c>
      <c r="DG35" s="87">
        <f>'P &amp; NP'!QF241</f>
        <v>0</v>
      </c>
      <c r="DH35" s="87">
        <f t="shared" si="226"/>
        <v>2639170</v>
      </c>
      <c r="DI35" s="87">
        <f t="shared" si="227"/>
        <v>76734740</v>
      </c>
      <c r="DJ35" s="92">
        <f>'P &amp; NP'!PS279</f>
        <v>0</v>
      </c>
      <c r="DK35" s="92">
        <f>'P &amp; NP'!PT279</f>
        <v>0</v>
      </c>
      <c r="DL35" s="87">
        <f>'P &amp; NP'!PU279</f>
        <v>1196420</v>
      </c>
      <c r="DM35" s="87">
        <f>'P &amp; NP'!PV279</f>
        <v>50942850</v>
      </c>
      <c r="DN35" s="87">
        <f>'P &amp; NP'!PY279</f>
        <v>1231610</v>
      </c>
      <c r="DO35" s="87">
        <f>'P &amp; NP'!PZ279</f>
        <v>21840510</v>
      </c>
      <c r="DP35" s="87">
        <f>'P &amp; NP'!QA279</f>
        <v>703770</v>
      </c>
      <c r="DQ35" s="87">
        <f>'P &amp; NP'!QB279</f>
        <v>22483650</v>
      </c>
      <c r="DR35" s="87">
        <f>'P &amp; NP'!QC279</f>
        <v>387080</v>
      </c>
      <c r="DS35" s="87">
        <f>'P &amp; NP'!QD279</f>
        <v>6956275</v>
      </c>
      <c r="DT35" s="87">
        <f>'P &amp; NP'!QE279</f>
        <v>0</v>
      </c>
      <c r="DU35" s="87">
        <f>'P &amp; NP'!QF279</f>
        <v>0</v>
      </c>
      <c r="DV35" s="87">
        <f t="shared" si="228"/>
        <v>3518880</v>
      </c>
      <c r="DW35" s="87">
        <f t="shared" si="229"/>
        <v>102223285</v>
      </c>
      <c r="DX35" s="87">
        <f>'P &amp; NP'!PS317</f>
        <v>570</v>
      </c>
      <c r="DY35" s="87">
        <f>'P &amp; NP'!PT317</f>
        <v>62700</v>
      </c>
      <c r="DZ35" s="92">
        <f>'P &amp; NP'!PU317</f>
        <v>1229080</v>
      </c>
      <c r="EA35" s="92">
        <f>'P &amp; NP'!PV317</f>
        <v>54897630</v>
      </c>
      <c r="EB35" s="87">
        <f>'P &amp; NP'!PY317</f>
        <v>1121150</v>
      </c>
      <c r="EC35" s="87">
        <f>'P &amp; NP'!PZ317</f>
        <v>20609740</v>
      </c>
      <c r="ED35" s="87">
        <f>'P &amp; NP'!QA317</f>
        <v>867990</v>
      </c>
      <c r="EE35" s="87">
        <f>'P &amp; NP'!QB317</f>
        <v>27474510</v>
      </c>
      <c r="EF35" s="87">
        <f>'P &amp; NP'!QC317</f>
        <v>397830</v>
      </c>
      <c r="EG35" s="87">
        <f>'P &amp; NP'!QD317</f>
        <v>7383190</v>
      </c>
      <c r="EH35" s="87">
        <f>'P &amp; NP'!QE317</f>
        <v>0</v>
      </c>
      <c r="EI35" s="87">
        <f>'P &amp; NP'!QF317</f>
        <v>0</v>
      </c>
      <c r="EJ35" s="87">
        <f t="shared" si="230"/>
        <v>3616620</v>
      </c>
      <c r="EK35" s="87">
        <f t="shared" si="231"/>
        <v>110427770</v>
      </c>
      <c r="EL35" s="87">
        <f>'P &amp; NP'!PS355</f>
        <v>0</v>
      </c>
      <c r="EM35" s="87">
        <f>'P &amp; NP'!PT355</f>
        <v>0</v>
      </c>
      <c r="EN35" s="87">
        <f>'P &amp; NP'!PU355</f>
        <v>1790300</v>
      </c>
      <c r="EO35" s="87">
        <f>'P &amp; NP'!PV355</f>
        <v>61075680</v>
      </c>
      <c r="EP35" s="92">
        <f>'P &amp; NP'!PY355</f>
        <v>1342730</v>
      </c>
      <c r="EQ35" s="92">
        <f>'P &amp; NP'!PZ355</f>
        <v>24811640</v>
      </c>
      <c r="ER35" s="87">
        <f>'P &amp; NP'!QA355</f>
        <v>895150</v>
      </c>
      <c r="ES35" s="87">
        <f>'P &amp; NP'!QB355</f>
        <v>25627760</v>
      </c>
      <c r="ET35" s="87">
        <f>'P &amp; NP'!QC355</f>
        <v>447580</v>
      </c>
      <c r="EU35" s="87">
        <f>'P &amp; NP'!QD355</f>
        <v>7716940</v>
      </c>
      <c r="EV35" s="87">
        <f>'P &amp; NP'!QE355</f>
        <v>0</v>
      </c>
      <c r="EW35" s="87">
        <f>'P &amp; NP'!QF355</f>
        <v>0</v>
      </c>
      <c r="EX35" s="87">
        <f t="shared" si="232"/>
        <v>4475760</v>
      </c>
      <c r="EY35" s="87">
        <f t="shared" si="233"/>
        <v>119232020</v>
      </c>
      <c r="EZ35" s="87">
        <f>'P &amp; NP'!PS393</f>
        <v>600</v>
      </c>
      <c r="FA35" s="87">
        <f>'P &amp; NP'!PT393</f>
        <v>63000</v>
      </c>
      <c r="FB35" s="87">
        <f>'P &amp; NP'!PU393</f>
        <v>1967570</v>
      </c>
      <c r="FC35" s="87">
        <f>'P &amp; NP'!PV393</f>
        <v>66548000</v>
      </c>
      <c r="FD35" s="87">
        <f>'P &amp; NP'!PY393</f>
        <v>1687000</v>
      </c>
      <c r="FE35" s="87">
        <f>'P &amp; NP'!PZ393</f>
        <v>30609000</v>
      </c>
      <c r="FF35" s="92">
        <f>'P &amp; NP'!QA393</f>
        <v>1124670</v>
      </c>
      <c r="FG35" s="92">
        <f>'P &amp; NP'!QB393</f>
        <v>33426450</v>
      </c>
      <c r="FH35" s="87">
        <f>'P &amp; NP'!QC393</f>
        <v>843500</v>
      </c>
      <c r="FI35" s="87">
        <f>'P &amp; NP'!QD393</f>
        <v>15353130</v>
      </c>
      <c r="FJ35" s="87">
        <f>'P &amp; NP'!QE393</f>
        <v>0</v>
      </c>
      <c r="FK35" s="87">
        <f>'P &amp; NP'!QF393</f>
        <v>0</v>
      </c>
      <c r="FL35" s="87">
        <f t="shared" si="234"/>
        <v>5623340</v>
      </c>
      <c r="FM35" s="87">
        <f t="shared" si="235"/>
        <v>145999580</v>
      </c>
      <c r="FN35" s="87">
        <f>'P &amp; NP'!PS431</f>
        <v>650</v>
      </c>
      <c r="FO35" s="87">
        <f>'P &amp; NP'!PT431</f>
        <v>68250</v>
      </c>
      <c r="FP35" s="87">
        <f>'P &amp; NP'!PU431</f>
        <v>2208360</v>
      </c>
      <c r="FQ35" s="87">
        <f>'P &amp; NP'!PV431</f>
        <v>62929670</v>
      </c>
      <c r="FR35" s="87">
        <f>'P &amp; NP'!PY431</f>
        <v>2008210</v>
      </c>
      <c r="FS35" s="87">
        <f>'P &amp; NP'!PZ431</f>
        <v>36855900</v>
      </c>
      <c r="FT35" s="87">
        <f>'P &amp; NP'!QA431</f>
        <v>1472680</v>
      </c>
      <c r="FU35" s="87">
        <f>'P &amp; NP'!QB431</f>
        <v>44289780</v>
      </c>
      <c r="FV35" s="92">
        <f>'P &amp; NP'!QC431</f>
        <v>1004100</v>
      </c>
      <c r="FW35" s="92">
        <f>'P &amp; NP'!QD431</f>
        <v>18030090</v>
      </c>
      <c r="FX35" s="87">
        <f>'P &amp; NP'!QE431</f>
        <v>0</v>
      </c>
      <c r="FY35" s="87">
        <f>'P &amp; NP'!QF431</f>
        <v>0</v>
      </c>
      <c r="FZ35" s="87">
        <f t="shared" si="236"/>
        <v>6694000</v>
      </c>
      <c r="GA35" s="87">
        <f t="shared" si="237"/>
        <v>162173690</v>
      </c>
      <c r="GC35" s="609">
        <f t="shared" si="164"/>
        <v>280</v>
      </c>
      <c r="GD35" s="609">
        <f t="shared" si="165"/>
        <v>28000</v>
      </c>
      <c r="GE35" s="609">
        <f t="shared" si="166"/>
        <v>3851740</v>
      </c>
      <c r="GF35" s="609">
        <f t="shared" si="167"/>
        <v>157151810</v>
      </c>
      <c r="GG35" s="609">
        <f t="shared" si="168"/>
        <v>3589460</v>
      </c>
      <c r="GH35" s="609">
        <f t="shared" si="169"/>
        <v>66951041.410999998</v>
      </c>
      <c r="GI35" s="609">
        <f t="shared" si="170"/>
        <v>5136730</v>
      </c>
      <c r="GJ35" s="609">
        <f t="shared" si="171"/>
        <v>137177370</v>
      </c>
      <c r="GK35" s="609">
        <f t="shared" si="172"/>
        <v>1826530</v>
      </c>
      <c r="GL35" s="609">
        <f t="shared" si="173"/>
        <v>34130134</v>
      </c>
      <c r="GM35" s="609">
        <f t="shared" si="174"/>
        <v>0</v>
      </c>
      <c r="GN35" s="609">
        <f t="shared" si="175"/>
        <v>0</v>
      </c>
      <c r="GO35" s="640">
        <f t="shared" si="238"/>
        <v>14404740</v>
      </c>
      <c r="GP35" s="640">
        <f t="shared" si="239"/>
        <v>395438355.41100001</v>
      </c>
      <c r="GR35" s="609">
        <f t="shared" si="176"/>
        <v>500</v>
      </c>
      <c r="GS35" s="609">
        <f t="shared" si="177"/>
        <v>55000</v>
      </c>
      <c r="GT35" s="609">
        <f t="shared" si="178"/>
        <v>3179330</v>
      </c>
      <c r="GU35" s="609">
        <f t="shared" si="179"/>
        <v>125314760</v>
      </c>
      <c r="GV35" s="609">
        <f t="shared" si="180"/>
        <v>3333670</v>
      </c>
      <c r="GW35" s="609">
        <f t="shared" si="181"/>
        <v>67631660</v>
      </c>
      <c r="GX35" s="609">
        <f t="shared" si="182"/>
        <v>4494270</v>
      </c>
      <c r="GY35" s="609">
        <f t="shared" si="183"/>
        <v>118306240</v>
      </c>
      <c r="GZ35" s="609">
        <f t="shared" si="184"/>
        <v>1339150</v>
      </c>
      <c r="HA35" s="609">
        <f t="shared" si="185"/>
        <v>25639530</v>
      </c>
      <c r="HB35" s="609">
        <f t="shared" si="186"/>
        <v>0</v>
      </c>
      <c r="HC35" s="609">
        <f t="shared" si="187"/>
        <v>0</v>
      </c>
      <c r="HD35" s="640">
        <f t="shared" si="240"/>
        <v>12346920</v>
      </c>
      <c r="HE35" s="640">
        <f t="shared" si="241"/>
        <v>336947190</v>
      </c>
      <c r="HG35" s="609">
        <f t="shared" si="188"/>
        <v>570</v>
      </c>
      <c r="HH35" s="609">
        <f t="shared" si="189"/>
        <v>62700</v>
      </c>
      <c r="HI35" s="609">
        <f t="shared" si="190"/>
        <v>3481160</v>
      </c>
      <c r="HJ35" s="609">
        <f t="shared" si="191"/>
        <v>150191590</v>
      </c>
      <c r="HK35" s="609">
        <f t="shared" si="192"/>
        <v>3144510</v>
      </c>
      <c r="HL35" s="609">
        <f t="shared" si="193"/>
        <v>56775615</v>
      </c>
      <c r="HM35" s="609">
        <f t="shared" si="194"/>
        <v>2099590</v>
      </c>
      <c r="HN35" s="609">
        <f t="shared" si="195"/>
        <v>63263760</v>
      </c>
      <c r="HO35" s="609">
        <f t="shared" si="196"/>
        <v>1048840</v>
      </c>
      <c r="HP35" s="609">
        <f t="shared" si="197"/>
        <v>19092130</v>
      </c>
      <c r="HQ35" s="609">
        <f t="shared" si="198"/>
        <v>0</v>
      </c>
      <c r="HR35" s="609">
        <f t="shared" si="199"/>
        <v>0</v>
      </c>
      <c r="HS35" s="640">
        <f t="shared" si="242"/>
        <v>9774670</v>
      </c>
      <c r="HT35" s="640">
        <f t="shared" si="243"/>
        <v>289385795</v>
      </c>
      <c r="HV35" s="609">
        <f t="shared" si="200"/>
        <v>1250</v>
      </c>
      <c r="HW35" s="609">
        <f t="shared" si="201"/>
        <v>131250</v>
      </c>
      <c r="HX35" s="609">
        <f t="shared" si="202"/>
        <v>5966230</v>
      </c>
      <c r="HY35" s="609">
        <f t="shared" si="203"/>
        <v>190553350</v>
      </c>
      <c r="HZ35" s="609">
        <f t="shared" si="204"/>
        <v>5037940</v>
      </c>
      <c r="IA35" s="609">
        <f t="shared" si="205"/>
        <v>92276540</v>
      </c>
      <c r="IB35" s="609">
        <f t="shared" si="206"/>
        <v>3492500</v>
      </c>
      <c r="IC35" s="609">
        <f t="shared" si="207"/>
        <v>103343990</v>
      </c>
      <c r="ID35" s="609">
        <f t="shared" si="208"/>
        <v>2295180</v>
      </c>
      <c r="IE35" s="609">
        <f t="shared" si="209"/>
        <v>41100160</v>
      </c>
      <c r="IF35" s="609">
        <f t="shared" si="210"/>
        <v>0</v>
      </c>
      <c r="IG35" s="609">
        <f t="shared" si="211"/>
        <v>0</v>
      </c>
      <c r="IH35" s="640">
        <f t="shared" si="244"/>
        <v>16793100</v>
      </c>
      <c r="II35" s="640">
        <f t="shared" si="245"/>
        <v>427405290</v>
      </c>
    </row>
    <row r="36" spans="1:243">
      <c r="A36" s="484" t="s">
        <v>115</v>
      </c>
      <c r="B36" s="484">
        <f t="shared" si="212"/>
        <v>53751500</v>
      </c>
      <c r="C36" s="484">
        <f t="shared" si="213"/>
        <v>1145622500</v>
      </c>
      <c r="D36" s="87">
        <f>'P &amp; NP'!QI13</f>
        <v>0</v>
      </c>
      <c r="E36" s="87">
        <f>'P &amp; NP'!QJ13</f>
        <v>0</v>
      </c>
      <c r="F36" s="87">
        <f>'P &amp; NP'!QK13</f>
        <v>0</v>
      </c>
      <c r="G36" s="87">
        <f>'P &amp; NP'!QL13</f>
        <v>0</v>
      </c>
      <c r="H36" s="87">
        <f>'P &amp; NP'!QM13</f>
        <v>0</v>
      </c>
      <c r="I36" s="87">
        <f>'P &amp; NP'!QN13</f>
        <v>0</v>
      </c>
      <c r="J36" s="87">
        <f>'P &amp; NP'!QO13</f>
        <v>4094000</v>
      </c>
      <c r="K36" s="87">
        <f>'P &amp; NP'!QP13</f>
        <v>79522000</v>
      </c>
      <c r="L36" s="87">
        <f>'P &amp; NP'!QQ13</f>
        <v>0</v>
      </c>
      <c r="M36" s="87">
        <f>'P &amp; NP'!QR13</f>
        <v>0</v>
      </c>
      <c r="N36" s="87">
        <f>'P &amp; NP'!QS13</f>
        <v>0</v>
      </c>
      <c r="O36" s="87">
        <f>'P &amp; NP'!QT13</f>
        <v>0</v>
      </c>
      <c r="P36" s="87">
        <f>'P &amp; NP'!QU13</f>
        <v>0</v>
      </c>
      <c r="Q36" s="87">
        <f>'P &amp; NP'!QV13</f>
        <v>0</v>
      </c>
      <c r="R36" s="92">
        <f t="shared" si="214"/>
        <v>4094000</v>
      </c>
      <c r="S36" s="92">
        <f t="shared" si="215"/>
        <v>79522000</v>
      </c>
      <c r="T36" s="87">
        <f>'P &amp; NP'!QI51</f>
        <v>0</v>
      </c>
      <c r="U36" s="87">
        <f>'P &amp; NP'!QJ51</f>
        <v>0</v>
      </c>
      <c r="V36" s="87">
        <f>'P &amp; NP'!QK51</f>
        <v>0</v>
      </c>
      <c r="W36" s="87">
        <f>'P &amp; NP'!QL51</f>
        <v>0</v>
      </c>
      <c r="X36" s="87">
        <f>'P &amp; NP'!QM51</f>
        <v>0</v>
      </c>
      <c r="Y36" s="87">
        <f>'P &amp; NP'!QN51</f>
        <v>0</v>
      </c>
      <c r="Z36" s="87">
        <f>'P &amp; NP'!QO51</f>
        <v>4034000</v>
      </c>
      <c r="AA36" s="87">
        <f>'P &amp; NP'!QP51</f>
        <v>77017000</v>
      </c>
      <c r="AB36" s="87">
        <f>'P &amp; NP'!QQ51</f>
        <v>0</v>
      </c>
      <c r="AC36" s="87">
        <f>'P &amp; NP'!QR51</f>
        <v>0</v>
      </c>
      <c r="AD36" s="87">
        <f>'P &amp; NP'!QS51</f>
        <v>0</v>
      </c>
      <c r="AE36" s="87">
        <f>'P &amp; NP'!QT51</f>
        <v>0</v>
      </c>
      <c r="AF36" s="87">
        <f>'P &amp; NP'!QU51</f>
        <v>0</v>
      </c>
      <c r="AG36" s="87">
        <f>'P &amp; NP'!QV51</f>
        <v>0</v>
      </c>
      <c r="AH36" s="92">
        <f t="shared" si="216"/>
        <v>4034000</v>
      </c>
      <c r="AI36" s="92">
        <f t="shared" si="217"/>
        <v>77017000</v>
      </c>
      <c r="AJ36" s="87">
        <f>'P &amp; NP'!QI89</f>
        <v>0</v>
      </c>
      <c r="AK36" s="87">
        <f>'P &amp; NP'!QJ89</f>
        <v>0</v>
      </c>
      <c r="AL36" s="87">
        <f>'P &amp; NP'!QK89</f>
        <v>0</v>
      </c>
      <c r="AM36" s="87">
        <f>'P &amp; NP'!QL89</f>
        <v>0</v>
      </c>
      <c r="AN36" s="87">
        <f>'P &amp; NP'!QM89</f>
        <v>0</v>
      </c>
      <c r="AO36" s="87">
        <f>'P &amp; NP'!QN89</f>
        <v>0</v>
      </c>
      <c r="AP36" s="87">
        <f>'P &amp; NP'!QO89</f>
        <v>4244000</v>
      </c>
      <c r="AQ36" s="87">
        <f>'P &amp; NP'!QP89</f>
        <v>81712000</v>
      </c>
      <c r="AR36" s="87">
        <f>'P &amp; NP'!QQ89</f>
        <v>0</v>
      </c>
      <c r="AS36" s="87">
        <f>'P &amp; NP'!QR89</f>
        <v>0</v>
      </c>
      <c r="AT36" s="87">
        <f>'P &amp; NP'!QS89</f>
        <v>0</v>
      </c>
      <c r="AU36" s="87">
        <f>'P &amp; NP'!QT89</f>
        <v>0</v>
      </c>
      <c r="AV36" s="87">
        <f>'P &amp; NP'!QU89</f>
        <v>0</v>
      </c>
      <c r="AW36" s="87">
        <f>'P &amp; NP'!QV89</f>
        <v>0</v>
      </c>
      <c r="AX36" s="92">
        <f t="shared" si="218"/>
        <v>4244000</v>
      </c>
      <c r="AY36" s="92">
        <f t="shared" si="219"/>
        <v>81712000</v>
      </c>
      <c r="AZ36" s="87">
        <f>'P &amp; NP'!QI127</f>
        <v>0</v>
      </c>
      <c r="BA36" s="87">
        <f>'P &amp; NP'!QJ127</f>
        <v>0</v>
      </c>
      <c r="BB36" s="87">
        <f>'P &amp; NP'!QK127</f>
        <v>0</v>
      </c>
      <c r="BC36" s="87">
        <f>'P &amp; NP'!QL127</f>
        <v>0</v>
      </c>
      <c r="BD36" s="87">
        <f>'P &amp; NP'!QM127</f>
        <v>0</v>
      </c>
      <c r="BE36" s="87">
        <f>'P &amp; NP'!QN127</f>
        <v>0</v>
      </c>
      <c r="BF36" s="87">
        <f>'P &amp; NP'!QO127</f>
        <v>4436000</v>
      </c>
      <c r="BG36" s="87">
        <f>'P &amp; NP'!QP127</f>
        <v>89533000</v>
      </c>
      <c r="BH36" s="87">
        <f>'P &amp; NP'!QQ127</f>
        <v>0</v>
      </c>
      <c r="BI36" s="87">
        <f>'P &amp; NP'!QR127</f>
        <v>0</v>
      </c>
      <c r="BJ36" s="87">
        <f>'P &amp; NP'!QS127</f>
        <v>0</v>
      </c>
      <c r="BK36" s="87">
        <f>'P &amp; NP'!QT127</f>
        <v>0</v>
      </c>
      <c r="BL36" s="87">
        <f>'P &amp; NP'!QU127</f>
        <v>0</v>
      </c>
      <c r="BM36" s="87">
        <f>'P &amp; NP'!QV127</f>
        <v>0</v>
      </c>
      <c r="BN36" s="92">
        <f t="shared" si="220"/>
        <v>4436000</v>
      </c>
      <c r="BO36" s="92">
        <f t="shared" si="221"/>
        <v>89533000</v>
      </c>
      <c r="BP36" s="87">
        <f>'P &amp; NP'!QI165</f>
        <v>0</v>
      </c>
      <c r="BQ36" s="87">
        <f>'P &amp; NP'!QJ165</f>
        <v>0</v>
      </c>
      <c r="BR36" s="87">
        <f>'P &amp; NP'!QK165</f>
        <v>0</v>
      </c>
      <c r="BS36" s="87">
        <f>'P &amp; NP'!QL165</f>
        <v>0</v>
      </c>
      <c r="BT36" s="87">
        <f>'P &amp; NP'!QM165</f>
        <v>0</v>
      </c>
      <c r="BU36" s="87">
        <f>'P &amp; NP'!QN165</f>
        <v>0</v>
      </c>
      <c r="BV36" s="87">
        <f>'P &amp; NP'!QO165</f>
        <v>4544000</v>
      </c>
      <c r="BW36" s="87">
        <f>'P &amp; NP'!QP165</f>
        <v>98815000</v>
      </c>
      <c r="BX36" s="87">
        <f>'P &amp; NP'!QQ165</f>
        <v>0</v>
      </c>
      <c r="BY36" s="87">
        <f>'P &amp; NP'!QR165</f>
        <v>0</v>
      </c>
      <c r="BZ36" s="87">
        <f>'P &amp; NP'!QS165</f>
        <v>0</v>
      </c>
      <c r="CA36" s="87">
        <f>'P &amp; NP'!QT165</f>
        <v>0</v>
      </c>
      <c r="CB36" s="87">
        <f>'P &amp; NP'!QU165</f>
        <v>0</v>
      </c>
      <c r="CC36" s="87">
        <f>'P &amp; NP'!QV165</f>
        <v>0</v>
      </c>
      <c r="CD36" s="92">
        <f t="shared" si="222"/>
        <v>4544000</v>
      </c>
      <c r="CE36" s="92">
        <f t="shared" si="223"/>
        <v>98815000</v>
      </c>
      <c r="CF36" s="87">
        <f>'P &amp; NP'!QI203</f>
        <v>0</v>
      </c>
      <c r="CG36" s="87">
        <f>'P &amp; NP'!QJ203</f>
        <v>0</v>
      </c>
      <c r="CH36" s="87">
        <f>'P &amp; NP'!QK203</f>
        <v>175000</v>
      </c>
      <c r="CI36" s="87">
        <f>'P &amp; NP'!QL203</f>
        <v>10500000</v>
      </c>
      <c r="CJ36" s="87">
        <f>'P &amp; NP'!QM203</f>
        <v>0</v>
      </c>
      <c r="CK36" s="87">
        <f>'P &amp; NP'!QN203</f>
        <v>0</v>
      </c>
      <c r="CL36" s="87">
        <f>'P &amp; NP'!QO203</f>
        <v>4664500</v>
      </c>
      <c r="CM36" s="87">
        <f>'P &amp; NP'!QP203</f>
        <v>101165000</v>
      </c>
      <c r="CN36" s="87">
        <f>'P &amp; NP'!QQ203</f>
        <v>0</v>
      </c>
      <c r="CO36" s="87">
        <f>'P &amp; NP'!QR203</f>
        <v>0</v>
      </c>
      <c r="CP36" s="87">
        <f>'P &amp; NP'!QS203</f>
        <v>0</v>
      </c>
      <c r="CQ36" s="87">
        <f>'P &amp; NP'!QT203</f>
        <v>0</v>
      </c>
      <c r="CR36" s="87">
        <f>'P &amp; NP'!QU203</f>
        <v>0</v>
      </c>
      <c r="CS36" s="87">
        <f>'P &amp; NP'!QV203</f>
        <v>0</v>
      </c>
      <c r="CT36" s="92">
        <f t="shared" si="224"/>
        <v>4839500</v>
      </c>
      <c r="CU36" s="92">
        <f t="shared" si="225"/>
        <v>111665000</v>
      </c>
      <c r="CV36" s="87">
        <f>'P &amp; NP'!QI241</f>
        <v>0</v>
      </c>
      <c r="CW36" s="87">
        <f>'P &amp; NP'!QJ241</f>
        <v>0</v>
      </c>
      <c r="CX36" s="87">
        <f>'P &amp; NP'!QK241</f>
        <v>0</v>
      </c>
      <c r="CY36" s="87">
        <f>'P &amp; NP'!QL241</f>
        <v>0</v>
      </c>
      <c r="CZ36" s="87">
        <f>'P &amp; NP'!QO241</f>
        <v>4569500</v>
      </c>
      <c r="DA36" s="87">
        <f>'P &amp; NP'!QP241</f>
        <v>96257500</v>
      </c>
      <c r="DB36" s="87">
        <f>'P &amp; NP'!QQ241</f>
        <v>0</v>
      </c>
      <c r="DC36" s="87">
        <f>'P &amp; NP'!QR241</f>
        <v>0</v>
      </c>
      <c r="DD36" s="87">
        <f>'P &amp; NP'!QS241</f>
        <v>0</v>
      </c>
      <c r="DE36" s="87">
        <f>'P &amp; NP'!QT241</f>
        <v>0</v>
      </c>
      <c r="DF36" s="87">
        <f>'P &amp; NP'!QU241</f>
        <v>0</v>
      </c>
      <c r="DG36" s="87">
        <f>'P &amp; NP'!QV241</f>
        <v>0</v>
      </c>
      <c r="DH36" s="87">
        <f t="shared" si="226"/>
        <v>4569500</v>
      </c>
      <c r="DI36" s="87">
        <f t="shared" si="227"/>
        <v>96257500</v>
      </c>
      <c r="DJ36" s="92">
        <f>'P &amp; NP'!QI279</f>
        <v>0</v>
      </c>
      <c r="DK36" s="92">
        <f>'P &amp; NP'!QJ279</f>
        <v>0</v>
      </c>
      <c r="DL36" s="87">
        <f>'P &amp; NP'!QK279</f>
        <v>0</v>
      </c>
      <c r="DM36" s="87">
        <f>'P &amp; NP'!QL279</f>
        <v>0</v>
      </c>
      <c r="DN36" s="87">
        <f>'P &amp; NP'!QO279</f>
        <v>4334500</v>
      </c>
      <c r="DO36" s="87">
        <f>'P &amp; NP'!QP279</f>
        <v>83417500</v>
      </c>
      <c r="DP36" s="87">
        <f>'P &amp; NP'!QQ279</f>
        <v>0</v>
      </c>
      <c r="DQ36" s="87">
        <f>'P &amp; NP'!QR279</f>
        <v>0</v>
      </c>
      <c r="DR36" s="87">
        <f>'P &amp; NP'!QS279</f>
        <v>0</v>
      </c>
      <c r="DS36" s="87">
        <f>'P &amp; NP'!QT279</f>
        <v>0</v>
      </c>
      <c r="DT36" s="87">
        <f>'P &amp; NP'!QU279</f>
        <v>0</v>
      </c>
      <c r="DU36" s="87">
        <f>'P &amp; NP'!QV279</f>
        <v>0</v>
      </c>
      <c r="DV36" s="87">
        <f t="shared" si="228"/>
        <v>4334500</v>
      </c>
      <c r="DW36" s="87">
        <f t="shared" si="229"/>
        <v>83417500</v>
      </c>
      <c r="DX36" s="87">
        <f>'P &amp; NP'!QI317</f>
        <v>0</v>
      </c>
      <c r="DY36" s="87">
        <f>'P &amp; NP'!QJ317</f>
        <v>0</v>
      </c>
      <c r="DZ36" s="92">
        <f>'P &amp; NP'!QK317</f>
        <v>0</v>
      </c>
      <c r="EA36" s="92">
        <f>'P &amp; NP'!QL317</f>
        <v>0</v>
      </c>
      <c r="EB36" s="87">
        <f>'P &amp; NP'!QO317</f>
        <v>4304500</v>
      </c>
      <c r="EC36" s="87">
        <f>'P &amp; NP'!QP317</f>
        <v>86237500</v>
      </c>
      <c r="ED36" s="87">
        <f>'P &amp; NP'!QQ317</f>
        <v>0</v>
      </c>
      <c r="EE36" s="87">
        <f>'P &amp; NP'!QR317</f>
        <v>0</v>
      </c>
      <c r="EF36" s="87">
        <f>'P &amp; NP'!QS317</f>
        <v>0</v>
      </c>
      <c r="EG36" s="87">
        <f>'P &amp; NP'!QT317</f>
        <v>0</v>
      </c>
      <c r="EH36" s="87">
        <f>'P &amp; NP'!QU317</f>
        <v>0</v>
      </c>
      <c r="EI36" s="87">
        <f>'P &amp; NP'!QV317</f>
        <v>0</v>
      </c>
      <c r="EJ36" s="87">
        <f t="shared" si="230"/>
        <v>4304500</v>
      </c>
      <c r="EK36" s="87">
        <f t="shared" si="231"/>
        <v>86237500</v>
      </c>
      <c r="EL36" s="87">
        <f>'P &amp; NP'!QI355</f>
        <v>0</v>
      </c>
      <c r="EM36" s="87">
        <f>'P &amp; NP'!QJ355</f>
        <v>0</v>
      </c>
      <c r="EN36" s="87">
        <f>'P &amp; NP'!QK355</f>
        <v>0</v>
      </c>
      <c r="EO36" s="87">
        <f>'P &amp; NP'!QL355</f>
        <v>0</v>
      </c>
      <c r="EP36" s="92">
        <f>'P &amp; NP'!QO355</f>
        <v>4334500</v>
      </c>
      <c r="EQ36" s="92">
        <f>'P &amp; NP'!QP355</f>
        <v>93316000</v>
      </c>
      <c r="ER36" s="87">
        <f>'P &amp; NP'!QQ355</f>
        <v>0</v>
      </c>
      <c r="ES36" s="87">
        <f>'P &amp; NP'!QR355</f>
        <v>0</v>
      </c>
      <c r="ET36" s="87">
        <f>'P &amp; NP'!QS355</f>
        <v>0</v>
      </c>
      <c r="EU36" s="87">
        <f>'P &amp; NP'!QT355</f>
        <v>0</v>
      </c>
      <c r="EV36" s="87">
        <f>'P &amp; NP'!QU355</f>
        <v>0</v>
      </c>
      <c r="EW36" s="87">
        <f>'P &amp; NP'!QV355</f>
        <v>0</v>
      </c>
      <c r="EX36" s="87">
        <f t="shared" si="232"/>
        <v>4334500</v>
      </c>
      <c r="EY36" s="87">
        <f t="shared" si="233"/>
        <v>93316000</v>
      </c>
      <c r="EZ36" s="87">
        <f>'P &amp; NP'!QI393</f>
        <v>0</v>
      </c>
      <c r="FA36" s="87">
        <f>'P &amp; NP'!QJ393</f>
        <v>0</v>
      </c>
      <c r="FB36" s="87">
        <f>'P &amp; NP'!QK393</f>
        <v>0</v>
      </c>
      <c r="FC36" s="87">
        <f>'P &amp; NP'!QL393</f>
        <v>0</v>
      </c>
      <c r="FD36" s="87">
        <f>'P &amp; NP'!QO393</f>
        <v>4935000</v>
      </c>
      <c r="FE36" s="87">
        <f>'P &amp; NP'!QP393</f>
        <v>118825000</v>
      </c>
      <c r="FF36" s="92">
        <f>'P &amp; NP'!QQ393</f>
        <v>0</v>
      </c>
      <c r="FG36" s="92">
        <f>'P &amp; NP'!QR393</f>
        <v>0</v>
      </c>
      <c r="FH36" s="87">
        <f>'P &amp; NP'!QS393</f>
        <v>0</v>
      </c>
      <c r="FI36" s="87">
        <f>'P &amp; NP'!QT393</f>
        <v>0</v>
      </c>
      <c r="FJ36" s="87">
        <f>'P &amp; NP'!QU393</f>
        <v>0</v>
      </c>
      <c r="FK36" s="87">
        <f>'P &amp; NP'!QV393</f>
        <v>0</v>
      </c>
      <c r="FL36" s="87">
        <f t="shared" si="234"/>
        <v>4935000</v>
      </c>
      <c r="FM36" s="87">
        <f t="shared" si="235"/>
        <v>118825000</v>
      </c>
      <c r="FN36" s="87">
        <f>'P &amp; NP'!QI431</f>
        <v>0</v>
      </c>
      <c r="FO36" s="87">
        <f>'P &amp; NP'!QJ431</f>
        <v>0</v>
      </c>
      <c r="FP36" s="87">
        <f>'P &amp; NP'!QK431</f>
        <v>175000</v>
      </c>
      <c r="FQ36" s="87">
        <f>'P &amp; NP'!QL431</f>
        <v>10500000</v>
      </c>
      <c r="FR36" s="87">
        <f>'P &amp; NP'!QO431</f>
        <v>4907000</v>
      </c>
      <c r="FS36" s="87">
        <f>'P &amp; NP'!QP431</f>
        <v>118805000</v>
      </c>
      <c r="FT36" s="87">
        <f>'P &amp; NP'!QQ431</f>
        <v>0</v>
      </c>
      <c r="FU36" s="87">
        <f>'P &amp; NP'!QR431</f>
        <v>0</v>
      </c>
      <c r="FV36" s="92">
        <f>'P &amp; NP'!QS431</f>
        <v>0</v>
      </c>
      <c r="FW36" s="92">
        <f>'P &amp; NP'!QT431</f>
        <v>0</v>
      </c>
      <c r="FX36" s="87">
        <f>'P &amp; NP'!QU431</f>
        <v>0</v>
      </c>
      <c r="FY36" s="87">
        <f>'P &amp; NP'!QV431</f>
        <v>0</v>
      </c>
      <c r="FZ36" s="87">
        <f t="shared" si="236"/>
        <v>5082000</v>
      </c>
      <c r="GA36" s="87">
        <f t="shared" si="237"/>
        <v>129305000</v>
      </c>
      <c r="GC36" s="609">
        <f t="shared" si="164"/>
        <v>0</v>
      </c>
      <c r="GD36" s="609">
        <f t="shared" si="165"/>
        <v>0</v>
      </c>
      <c r="GE36" s="609">
        <f t="shared" si="166"/>
        <v>0</v>
      </c>
      <c r="GF36" s="609">
        <f t="shared" si="167"/>
        <v>0</v>
      </c>
      <c r="GG36" s="609">
        <f t="shared" si="168"/>
        <v>12372000</v>
      </c>
      <c r="GH36" s="609">
        <f t="shared" si="169"/>
        <v>238251000</v>
      </c>
      <c r="GI36" s="609">
        <f t="shared" si="170"/>
        <v>0</v>
      </c>
      <c r="GJ36" s="609">
        <f t="shared" si="171"/>
        <v>0</v>
      </c>
      <c r="GK36" s="609">
        <f t="shared" si="172"/>
        <v>0</v>
      </c>
      <c r="GL36" s="609">
        <f t="shared" si="173"/>
        <v>0</v>
      </c>
      <c r="GM36" s="609">
        <f t="shared" si="174"/>
        <v>0</v>
      </c>
      <c r="GN36" s="609">
        <f t="shared" si="175"/>
        <v>0</v>
      </c>
      <c r="GO36" s="640">
        <f t="shared" si="238"/>
        <v>12372000</v>
      </c>
      <c r="GP36" s="640">
        <f t="shared" si="239"/>
        <v>238251000</v>
      </c>
      <c r="GR36" s="609">
        <f t="shared" si="176"/>
        <v>0</v>
      </c>
      <c r="GS36" s="609">
        <f t="shared" si="177"/>
        <v>0</v>
      </c>
      <c r="GT36" s="609">
        <f t="shared" si="178"/>
        <v>175000</v>
      </c>
      <c r="GU36" s="609">
        <f t="shared" si="179"/>
        <v>10500000</v>
      </c>
      <c r="GV36" s="609">
        <f t="shared" si="180"/>
        <v>13644500</v>
      </c>
      <c r="GW36" s="609">
        <f t="shared" si="181"/>
        <v>289513000</v>
      </c>
      <c r="GX36" s="609">
        <f t="shared" si="182"/>
        <v>0</v>
      </c>
      <c r="GY36" s="609">
        <f t="shared" si="183"/>
        <v>0</v>
      </c>
      <c r="GZ36" s="609">
        <f t="shared" si="184"/>
        <v>0</v>
      </c>
      <c r="HA36" s="609">
        <f t="shared" si="185"/>
        <v>0</v>
      </c>
      <c r="HB36" s="609">
        <f t="shared" si="186"/>
        <v>0</v>
      </c>
      <c r="HC36" s="609">
        <f t="shared" si="187"/>
        <v>0</v>
      </c>
      <c r="HD36" s="640">
        <f t="shared" si="240"/>
        <v>13819500</v>
      </c>
      <c r="HE36" s="640">
        <f t="shared" si="241"/>
        <v>300013000</v>
      </c>
      <c r="HG36" s="609">
        <f t="shared" si="188"/>
        <v>0</v>
      </c>
      <c r="HH36" s="609">
        <f t="shared" si="189"/>
        <v>0</v>
      </c>
      <c r="HI36" s="609">
        <f t="shared" si="190"/>
        <v>0</v>
      </c>
      <c r="HJ36" s="609">
        <f t="shared" si="191"/>
        <v>0</v>
      </c>
      <c r="HK36" s="609">
        <f t="shared" si="192"/>
        <v>13208500</v>
      </c>
      <c r="HL36" s="609">
        <f t="shared" si="193"/>
        <v>265912500</v>
      </c>
      <c r="HM36" s="609">
        <f t="shared" si="194"/>
        <v>0</v>
      </c>
      <c r="HN36" s="609">
        <f t="shared" si="195"/>
        <v>0</v>
      </c>
      <c r="HO36" s="609">
        <f t="shared" si="196"/>
        <v>0</v>
      </c>
      <c r="HP36" s="609">
        <f t="shared" si="197"/>
        <v>0</v>
      </c>
      <c r="HQ36" s="609">
        <f t="shared" si="198"/>
        <v>0</v>
      </c>
      <c r="HR36" s="609">
        <f t="shared" si="199"/>
        <v>0</v>
      </c>
      <c r="HS36" s="640">
        <f t="shared" si="242"/>
        <v>13208500</v>
      </c>
      <c r="HT36" s="640">
        <f t="shared" si="243"/>
        <v>265912500</v>
      </c>
      <c r="HV36" s="609">
        <f t="shared" si="200"/>
        <v>0</v>
      </c>
      <c r="HW36" s="609">
        <f t="shared" si="201"/>
        <v>0</v>
      </c>
      <c r="HX36" s="609">
        <f t="shared" si="202"/>
        <v>175000</v>
      </c>
      <c r="HY36" s="609">
        <f t="shared" si="203"/>
        <v>10500000</v>
      </c>
      <c r="HZ36" s="609">
        <f t="shared" si="204"/>
        <v>14176500</v>
      </c>
      <c r="IA36" s="609">
        <f t="shared" si="205"/>
        <v>330946000</v>
      </c>
      <c r="IB36" s="609">
        <f t="shared" si="206"/>
        <v>0</v>
      </c>
      <c r="IC36" s="609">
        <f t="shared" si="207"/>
        <v>0</v>
      </c>
      <c r="ID36" s="609">
        <f t="shared" si="208"/>
        <v>0</v>
      </c>
      <c r="IE36" s="609">
        <f t="shared" si="209"/>
        <v>0</v>
      </c>
      <c r="IF36" s="609">
        <f t="shared" si="210"/>
        <v>0</v>
      </c>
      <c r="IG36" s="609">
        <f t="shared" si="211"/>
        <v>0</v>
      </c>
      <c r="IH36" s="640">
        <f t="shared" si="244"/>
        <v>14351500</v>
      </c>
      <c r="II36" s="640">
        <f t="shared" si="245"/>
        <v>341446000</v>
      </c>
    </row>
    <row r="37" spans="1:243">
      <c r="A37" s="484" t="s">
        <v>149</v>
      </c>
      <c r="B37" s="484">
        <f t="shared" si="212"/>
        <v>65339</v>
      </c>
      <c r="C37" s="484">
        <f t="shared" si="213"/>
        <v>1575859</v>
      </c>
      <c r="D37" s="87">
        <f>'P &amp; NP'!QY13</f>
        <v>0</v>
      </c>
      <c r="E37" s="87">
        <f>'P &amp; NP'!QZ13</f>
        <v>0</v>
      </c>
      <c r="F37" s="87">
        <f>'P &amp; NP'!RA13</f>
        <v>0</v>
      </c>
      <c r="G37" s="87">
        <f>'P &amp; NP'!RB13</f>
        <v>0</v>
      </c>
      <c r="H37" s="87">
        <f>'P &amp; NP'!RC13</f>
        <v>0</v>
      </c>
      <c r="I37" s="87">
        <f>'P &amp; NP'!RD13</f>
        <v>0</v>
      </c>
      <c r="J37" s="87">
        <f>'P &amp; NP'!RC13</f>
        <v>0</v>
      </c>
      <c r="K37" s="87">
        <f>'P &amp; NP'!RD13</f>
        <v>0</v>
      </c>
      <c r="L37" s="87">
        <f>'P &amp; NP'!RE13</f>
        <v>4635</v>
      </c>
      <c r="M37" s="87">
        <f>'P &amp; NP'!RF13</f>
        <v>116095</v>
      </c>
      <c r="N37" s="87">
        <f>'P &amp; NP'!RG13</f>
        <v>0</v>
      </c>
      <c r="O37" s="87">
        <f>'P &amp; NP'!RH13</f>
        <v>0</v>
      </c>
      <c r="P37" s="87">
        <f>'P &amp; NP'!RI13</f>
        <v>0</v>
      </c>
      <c r="Q37" s="87">
        <f>'P &amp; NP'!RJ13</f>
        <v>0</v>
      </c>
      <c r="R37" s="92">
        <f t="shared" si="214"/>
        <v>4635</v>
      </c>
      <c r="S37" s="92">
        <f t="shared" si="215"/>
        <v>116095</v>
      </c>
      <c r="T37" s="87">
        <f>'P &amp; NP'!QY51</f>
        <v>0</v>
      </c>
      <c r="U37" s="87">
        <f>'P &amp; NP'!QZ51</f>
        <v>0</v>
      </c>
      <c r="V37" s="87">
        <f>'P &amp; NP'!RA51</f>
        <v>0</v>
      </c>
      <c r="W37" s="87">
        <f>'P &amp; NP'!RB51</f>
        <v>0</v>
      </c>
      <c r="X37" s="87">
        <f>'P &amp; NP'!RC51</f>
        <v>0</v>
      </c>
      <c r="Y37" s="87">
        <f>'P &amp; NP'!RD51</f>
        <v>0</v>
      </c>
      <c r="Z37" s="87">
        <f>'P &amp; NP'!RC51</f>
        <v>0</v>
      </c>
      <c r="AA37" s="87">
        <f>'P &amp; NP'!RD51</f>
        <v>0</v>
      </c>
      <c r="AB37" s="87">
        <f>'P &amp; NP'!RE51</f>
        <v>5993</v>
      </c>
      <c r="AC37" s="87">
        <f>'P &amp; NP'!RF51</f>
        <v>145011</v>
      </c>
      <c r="AD37" s="87">
        <f>'P &amp; NP'!RG51</f>
        <v>0</v>
      </c>
      <c r="AE37" s="87">
        <f>'P &amp; NP'!RH51</f>
        <v>0</v>
      </c>
      <c r="AF37" s="87">
        <f>'P &amp; NP'!RI51</f>
        <v>0</v>
      </c>
      <c r="AG37" s="87">
        <f>'P &amp; NP'!RJ51</f>
        <v>0</v>
      </c>
      <c r="AH37" s="92">
        <f t="shared" si="216"/>
        <v>5993</v>
      </c>
      <c r="AI37" s="92">
        <f t="shared" si="217"/>
        <v>145011</v>
      </c>
      <c r="AJ37" s="87">
        <f>'P &amp; NP'!QY89</f>
        <v>0</v>
      </c>
      <c r="AK37" s="87">
        <f>'P &amp; NP'!QZ89</f>
        <v>0</v>
      </c>
      <c r="AL37" s="87">
        <f>'P &amp; NP'!RA89</f>
        <v>0</v>
      </c>
      <c r="AM37" s="87">
        <f>'P &amp; NP'!RB89</f>
        <v>0</v>
      </c>
      <c r="AN37" s="87">
        <f>'P &amp; NP'!RC89</f>
        <v>0</v>
      </c>
      <c r="AO37" s="87">
        <f>'P &amp; NP'!RD89</f>
        <v>0</v>
      </c>
      <c r="AP37" s="87">
        <f>'P &amp; NP'!RC89</f>
        <v>0</v>
      </c>
      <c r="AQ37" s="87">
        <f>'P &amp; NP'!RD89</f>
        <v>0</v>
      </c>
      <c r="AR37" s="87">
        <f>'P &amp; NP'!RE89</f>
        <v>4573</v>
      </c>
      <c r="AS37" s="87">
        <f>'P &amp; NP'!RF89</f>
        <v>111987</v>
      </c>
      <c r="AT37" s="87">
        <f>'P &amp; NP'!RG89</f>
        <v>0</v>
      </c>
      <c r="AU37" s="87">
        <f>'P &amp; NP'!RH89</f>
        <v>0</v>
      </c>
      <c r="AV37" s="87">
        <f>'P &amp; NP'!RI89</f>
        <v>0</v>
      </c>
      <c r="AW37" s="87">
        <f>'P &amp; NP'!RJ89</f>
        <v>0</v>
      </c>
      <c r="AX37" s="92">
        <f t="shared" si="218"/>
        <v>4573</v>
      </c>
      <c r="AY37" s="92">
        <f t="shared" si="219"/>
        <v>111987</v>
      </c>
      <c r="AZ37" s="87">
        <f>'P &amp; NP'!QY127</f>
        <v>0</v>
      </c>
      <c r="BA37" s="87">
        <f>'P &amp; NP'!QZ127</f>
        <v>0</v>
      </c>
      <c r="BB37" s="87">
        <f>'P &amp; NP'!RA127</f>
        <v>0</v>
      </c>
      <c r="BC37" s="87">
        <f>'P &amp; NP'!RB127</f>
        <v>0</v>
      </c>
      <c r="BD37" s="87">
        <f>'P &amp; NP'!RC127</f>
        <v>0</v>
      </c>
      <c r="BE37" s="87">
        <f>'P &amp; NP'!RD127</f>
        <v>0</v>
      </c>
      <c r="BF37" s="87">
        <f>'P &amp; NP'!RC127</f>
        <v>0</v>
      </c>
      <c r="BG37" s="87">
        <f>'P &amp; NP'!RD127</f>
        <v>0</v>
      </c>
      <c r="BH37" s="87">
        <f>'P &amp; NP'!RE127</f>
        <v>5630</v>
      </c>
      <c r="BI37" s="87">
        <f>'P &amp; NP'!RF127</f>
        <v>134950</v>
      </c>
      <c r="BJ37" s="87">
        <f>'P &amp; NP'!RG127</f>
        <v>0</v>
      </c>
      <c r="BK37" s="87">
        <f>'P &amp; NP'!RH127</f>
        <v>0</v>
      </c>
      <c r="BL37" s="87">
        <f>'P &amp; NP'!RI127</f>
        <v>0</v>
      </c>
      <c r="BM37" s="87">
        <f>'P &amp; NP'!RJ127</f>
        <v>0</v>
      </c>
      <c r="BN37" s="92">
        <f t="shared" si="220"/>
        <v>5630</v>
      </c>
      <c r="BO37" s="92">
        <f t="shared" si="221"/>
        <v>134950</v>
      </c>
      <c r="BP37" s="87">
        <f>'P &amp; NP'!QY165</f>
        <v>0</v>
      </c>
      <c r="BQ37" s="87">
        <f>'P &amp; NP'!QZ165</f>
        <v>0</v>
      </c>
      <c r="BR37" s="87">
        <f>'P &amp; NP'!RA165</f>
        <v>0</v>
      </c>
      <c r="BS37" s="87">
        <f>'P &amp; NP'!RB165</f>
        <v>0</v>
      </c>
      <c r="BT37" s="87">
        <f>'P &amp; NP'!RC165</f>
        <v>0</v>
      </c>
      <c r="BU37" s="87">
        <f>'P &amp; NP'!RD165</f>
        <v>0</v>
      </c>
      <c r="BV37" s="87">
        <f>'P &amp; NP'!RC165</f>
        <v>0</v>
      </c>
      <c r="BW37" s="87">
        <f>'P &amp; NP'!RD165</f>
        <v>0</v>
      </c>
      <c r="BX37" s="87">
        <f>'P &amp; NP'!RE165</f>
        <v>5245</v>
      </c>
      <c r="BY37" s="87">
        <f>'P &amp; NP'!RF165</f>
        <v>125405</v>
      </c>
      <c r="BZ37" s="87">
        <f>'P &amp; NP'!RG165</f>
        <v>0</v>
      </c>
      <c r="CA37" s="87">
        <f>'P &amp; NP'!RH165</f>
        <v>0</v>
      </c>
      <c r="CB37" s="87">
        <f>'P &amp; NP'!RI165</f>
        <v>0</v>
      </c>
      <c r="CC37" s="87">
        <f>'P &amp; NP'!RJ165</f>
        <v>0</v>
      </c>
      <c r="CD37" s="92">
        <f t="shared" si="222"/>
        <v>5245</v>
      </c>
      <c r="CE37" s="92">
        <f t="shared" si="223"/>
        <v>125405</v>
      </c>
      <c r="CF37" s="87">
        <f>'P &amp; NP'!QY203</f>
        <v>0</v>
      </c>
      <c r="CG37" s="87">
        <f>'P &amp; NP'!QZ203</f>
        <v>0</v>
      </c>
      <c r="CH37" s="87">
        <f>'P &amp; NP'!RA203</f>
        <v>0</v>
      </c>
      <c r="CI37" s="87">
        <f>'P &amp; NP'!RB203</f>
        <v>0</v>
      </c>
      <c r="CJ37" s="87">
        <f>'P &amp; NP'!RC203</f>
        <v>0</v>
      </c>
      <c r="CK37" s="87">
        <f>'P &amp; NP'!RD203</f>
        <v>0</v>
      </c>
      <c r="CL37" s="87">
        <f>'P &amp; NP'!RC203</f>
        <v>0</v>
      </c>
      <c r="CM37" s="87">
        <f>'P &amp; NP'!RD203</f>
        <v>0</v>
      </c>
      <c r="CN37" s="87">
        <f>'P &amp; NP'!RE203</f>
        <v>4955</v>
      </c>
      <c r="CO37" s="87">
        <f>'P &amp; NP'!RF203</f>
        <v>118255</v>
      </c>
      <c r="CP37" s="87">
        <f>'P &amp; NP'!RG203</f>
        <v>0</v>
      </c>
      <c r="CQ37" s="87">
        <f>'P &amp; NP'!RH203</f>
        <v>0</v>
      </c>
      <c r="CR37" s="87">
        <f>'P &amp; NP'!RI203</f>
        <v>0</v>
      </c>
      <c r="CS37" s="87">
        <f>'P &amp; NP'!RJ203</f>
        <v>0</v>
      </c>
      <c r="CT37" s="92">
        <f t="shared" si="224"/>
        <v>4955</v>
      </c>
      <c r="CU37" s="92">
        <f t="shared" si="225"/>
        <v>118255</v>
      </c>
      <c r="CV37" s="87">
        <f>'P &amp; NP'!QY241</f>
        <v>0</v>
      </c>
      <c r="CW37" s="87">
        <f>'P &amp; NP'!QZ241</f>
        <v>0</v>
      </c>
      <c r="CX37" s="87">
        <f>'P &amp; NP'!RA241</f>
        <v>0</v>
      </c>
      <c r="CY37" s="87">
        <f>'P &amp; NP'!RB241</f>
        <v>0</v>
      </c>
      <c r="CZ37" s="87">
        <f>'P &amp; NP'!RC241</f>
        <v>0</v>
      </c>
      <c r="DA37" s="87">
        <f>'P &amp; NP'!RD241</f>
        <v>0</v>
      </c>
      <c r="DB37" s="87">
        <f>'P &amp; NP'!RE241</f>
        <v>5240</v>
      </c>
      <c r="DC37" s="87">
        <f>'P &amp; NP'!RF241</f>
        <v>125180</v>
      </c>
      <c r="DD37" s="87">
        <f>'P &amp; NP'!RG241</f>
        <v>0</v>
      </c>
      <c r="DE37" s="87">
        <f>'P &amp; NP'!RH241</f>
        <v>0</v>
      </c>
      <c r="DF37" s="87">
        <f>'P &amp; NP'!RI241</f>
        <v>0</v>
      </c>
      <c r="DG37" s="87">
        <f>'P &amp; NP'!RJ241</f>
        <v>0</v>
      </c>
      <c r="DH37" s="87">
        <f t="shared" si="226"/>
        <v>5240</v>
      </c>
      <c r="DI37" s="87">
        <f t="shared" si="227"/>
        <v>125180</v>
      </c>
      <c r="DJ37" s="92">
        <f>'P &amp; NP'!QY279</f>
        <v>0</v>
      </c>
      <c r="DK37" s="92">
        <f>'P &amp; NP'!QZ279</f>
        <v>0</v>
      </c>
      <c r="DL37" s="87">
        <f>'P &amp; NP'!RA279</f>
        <v>0</v>
      </c>
      <c r="DM37" s="87">
        <f>'P &amp; NP'!RB279</f>
        <v>0</v>
      </c>
      <c r="DN37" s="87">
        <f>'P &amp; NP'!RC279</f>
        <v>0</v>
      </c>
      <c r="DO37" s="87">
        <f>'P &amp; NP'!RD279</f>
        <v>0</v>
      </c>
      <c r="DP37" s="87">
        <f>'P &amp; NP'!RE279</f>
        <v>5739</v>
      </c>
      <c r="DQ37" s="87">
        <f>'P &amp; NP'!RF279</f>
        <v>138373</v>
      </c>
      <c r="DR37" s="87">
        <f>'P &amp; NP'!RG279</f>
        <v>0</v>
      </c>
      <c r="DS37" s="87">
        <f>'P &amp; NP'!RH279</f>
        <v>0</v>
      </c>
      <c r="DT37" s="87">
        <f>'P &amp; NP'!RI279</f>
        <v>0</v>
      </c>
      <c r="DU37" s="87">
        <f>'P &amp; NP'!RJ279</f>
        <v>0</v>
      </c>
      <c r="DV37" s="87">
        <f t="shared" si="228"/>
        <v>5739</v>
      </c>
      <c r="DW37" s="87">
        <f t="shared" si="229"/>
        <v>138373</v>
      </c>
      <c r="DX37" s="87">
        <f>'P &amp; NP'!QY317</f>
        <v>0</v>
      </c>
      <c r="DY37" s="87">
        <f>'P &amp; NP'!QZ317</f>
        <v>0</v>
      </c>
      <c r="DZ37" s="92">
        <f>'P &amp; NP'!RA317</f>
        <v>0</v>
      </c>
      <c r="EA37" s="92">
        <f>'P &amp; NP'!RB317</f>
        <v>0</v>
      </c>
      <c r="EB37" s="87">
        <f>'P &amp; NP'!RC317</f>
        <v>0</v>
      </c>
      <c r="EC37" s="87">
        <f>'P &amp; NP'!RD317</f>
        <v>0</v>
      </c>
      <c r="ED37" s="87">
        <f>'P &amp; NP'!RE317</f>
        <v>5904</v>
      </c>
      <c r="EE37" s="87">
        <f>'P &amp; NP'!RF317</f>
        <v>141958</v>
      </c>
      <c r="EF37" s="87">
        <f>'P &amp; NP'!RG317</f>
        <v>0</v>
      </c>
      <c r="EG37" s="87">
        <f>'P &amp; NP'!RH317</f>
        <v>0</v>
      </c>
      <c r="EH37" s="87">
        <f>'P &amp; NP'!RI317</f>
        <v>0</v>
      </c>
      <c r="EI37" s="87">
        <f>'P &amp; NP'!RJ317</f>
        <v>0</v>
      </c>
      <c r="EJ37" s="87">
        <f t="shared" si="230"/>
        <v>5904</v>
      </c>
      <c r="EK37" s="87">
        <f t="shared" si="231"/>
        <v>141958</v>
      </c>
      <c r="EL37" s="87">
        <f>'P &amp; NP'!QY355</f>
        <v>0</v>
      </c>
      <c r="EM37" s="87">
        <f>'P &amp; NP'!QZ355</f>
        <v>0</v>
      </c>
      <c r="EN37" s="87">
        <f>'P &amp; NP'!RA355</f>
        <v>0</v>
      </c>
      <c r="EO37" s="87">
        <f>'P &amp; NP'!RB355</f>
        <v>0</v>
      </c>
      <c r="EP37" s="92">
        <f>'P &amp; NP'!RC355</f>
        <v>0</v>
      </c>
      <c r="EQ37" s="92">
        <f>'P &amp; NP'!RD355</f>
        <v>0</v>
      </c>
      <c r="ER37" s="87">
        <f>'P &amp; NP'!RE355</f>
        <v>5805</v>
      </c>
      <c r="ES37" s="87">
        <f>'P &amp; NP'!RF355</f>
        <v>139525</v>
      </c>
      <c r="ET37" s="87">
        <f>'P &amp; NP'!RG355</f>
        <v>0</v>
      </c>
      <c r="EU37" s="87">
        <f>'P &amp; NP'!RH355</f>
        <v>0</v>
      </c>
      <c r="EV37" s="87">
        <f>'P &amp; NP'!RI355</f>
        <v>0</v>
      </c>
      <c r="EW37" s="87">
        <f>'P &amp; NP'!RJ355</f>
        <v>0</v>
      </c>
      <c r="EX37" s="87">
        <f t="shared" si="232"/>
        <v>5805</v>
      </c>
      <c r="EY37" s="87">
        <f t="shared" si="233"/>
        <v>139525</v>
      </c>
      <c r="EZ37" s="87">
        <f>'P &amp; NP'!QY393</f>
        <v>0</v>
      </c>
      <c r="FA37" s="87">
        <f>'P &amp; NP'!QZ393</f>
        <v>0</v>
      </c>
      <c r="FB37" s="87">
        <f>'P &amp; NP'!RA393</f>
        <v>0</v>
      </c>
      <c r="FC37" s="87">
        <f>'P &amp; NP'!RB393</f>
        <v>0</v>
      </c>
      <c r="FD37" s="87">
        <f>'P &amp; NP'!RC393</f>
        <v>0</v>
      </c>
      <c r="FE37" s="87">
        <f>'P &amp; NP'!RD393</f>
        <v>0</v>
      </c>
      <c r="FF37" s="92">
        <f>'P &amp; NP'!RE393</f>
        <v>5863</v>
      </c>
      <c r="FG37" s="92">
        <f>'P &amp; NP'!RF393</f>
        <v>141931</v>
      </c>
      <c r="FH37" s="87">
        <f>'P &amp; NP'!RG393</f>
        <v>0</v>
      </c>
      <c r="FI37" s="87">
        <f>'P &amp; NP'!RH393</f>
        <v>0</v>
      </c>
      <c r="FJ37" s="87">
        <f>'P &amp; NP'!RI393</f>
        <v>0</v>
      </c>
      <c r="FK37" s="87">
        <f>'P &amp; NP'!RJ393</f>
        <v>0</v>
      </c>
      <c r="FL37" s="87">
        <f t="shared" si="234"/>
        <v>5863</v>
      </c>
      <c r="FM37" s="87">
        <f t="shared" si="235"/>
        <v>141931</v>
      </c>
      <c r="FN37" s="87">
        <f>'P &amp; NP'!QY431</f>
        <v>0</v>
      </c>
      <c r="FO37" s="87">
        <f>'P &amp; NP'!QZ431</f>
        <v>0</v>
      </c>
      <c r="FP37" s="87">
        <f>'P &amp; NP'!RA431</f>
        <v>0</v>
      </c>
      <c r="FQ37" s="87">
        <f>'P &amp; NP'!RB431</f>
        <v>0</v>
      </c>
      <c r="FR37" s="87">
        <f>'P &amp; NP'!RC431</f>
        <v>0</v>
      </c>
      <c r="FS37" s="87">
        <f>'P &amp; NP'!RD431</f>
        <v>0</v>
      </c>
      <c r="FT37" s="87">
        <f>'P &amp; NP'!RE431</f>
        <v>5757</v>
      </c>
      <c r="FU37" s="87">
        <f>'P &amp; NP'!RF431</f>
        <v>137189</v>
      </c>
      <c r="FV37" s="92">
        <f>'P &amp; NP'!RG431</f>
        <v>0</v>
      </c>
      <c r="FW37" s="92">
        <f>'P &amp; NP'!RH431</f>
        <v>0</v>
      </c>
      <c r="FX37" s="87">
        <f>'P &amp; NP'!RI431</f>
        <v>0</v>
      </c>
      <c r="FY37" s="87">
        <f>'P &amp; NP'!RJ431</f>
        <v>0</v>
      </c>
      <c r="FZ37" s="87">
        <f t="shared" si="236"/>
        <v>5757</v>
      </c>
      <c r="GA37" s="87">
        <f t="shared" si="237"/>
        <v>137189</v>
      </c>
      <c r="GC37" s="609">
        <f t="shared" si="164"/>
        <v>0</v>
      </c>
      <c r="GD37" s="609">
        <f t="shared" si="165"/>
        <v>0</v>
      </c>
      <c r="GE37" s="609">
        <f t="shared" si="166"/>
        <v>0</v>
      </c>
      <c r="GF37" s="609">
        <f t="shared" si="167"/>
        <v>0</v>
      </c>
      <c r="GG37" s="609">
        <f t="shared" si="168"/>
        <v>0</v>
      </c>
      <c r="GH37" s="609">
        <f t="shared" si="169"/>
        <v>0</v>
      </c>
      <c r="GI37" s="609">
        <f t="shared" si="170"/>
        <v>15201</v>
      </c>
      <c r="GJ37" s="609">
        <f t="shared" si="171"/>
        <v>373093</v>
      </c>
      <c r="GK37" s="609">
        <f t="shared" si="172"/>
        <v>0</v>
      </c>
      <c r="GL37" s="609">
        <f t="shared" si="173"/>
        <v>0</v>
      </c>
      <c r="GM37" s="609">
        <f t="shared" si="174"/>
        <v>0</v>
      </c>
      <c r="GN37" s="609">
        <f t="shared" si="175"/>
        <v>0</v>
      </c>
      <c r="GO37" s="640">
        <f t="shared" si="238"/>
        <v>15201</v>
      </c>
      <c r="GP37" s="640">
        <f t="shared" si="239"/>
        <v>373093</v>
      </c>
      <c r="GR37" s="609">
        <f t="shared" si="176"/>
        <v>0</v>
      </c>
      <c r="GS37" s="609">
        <f t="shared" si="177"/>
        <v>0</v>
      </c>
      <c r="GT37" s="609">
        <f t="shared" si="178"/>
        <v>0</v>
      </c>
      <c r="GU37" s="609">
        <f t="shared" si="179"/>
        <v>0</v>
      </c>
      <c r="GV37" s="609">
        <f t="shared" si="180"/>
        <v>0</v>
      </c>
      <c r="GW37" s="609">
        <f t="shared" si="181"/>
        <v>0</v>
      </c>
      <c r="GX37" s="609">
        <f t="shared" si="182"/>
        <v>15830</v>
      </c>
      <c r="GY37" s="609">
        <f t="shared" si="183"/>
        <v>378610</v>
      </c>
      <c r="GZ37" s="609">
        <f t="shared" si="184"/>
        <v>0</v>
      </c>
      <c r="HA37" s="609">
        <f t="shared" si="185"/>
        <v>0</v>
      </c>
      <c r="HB37" s="609">
        <f t="shared" si="186"/>
        <v>0</v>
      </c>
      <c r="HC37" s="609">
        <f t="shared" si="187"/>
        <v>0</v>
      </c>
      <c r="HD37" s="640">
        <f t="shared" si="240"/>
        <v>15830</v>
      </c>
      <c r="HE37" s="640">
        <f t="shared" si="241"/>
        <v>378610</v>
      </c>
      <c r="HG37" s="609">
        <f t="shared" si="188"/>
        <v>0</v>
      </c>
      <c r="HH37" s="609">
        <f t="shared" si="189"/>
        <v>0</v>
      </c>
      <c r="HI37" s="609">
        <f t="shared" si="190"/>
        <v>0</v>
      </c>
      <c r="HJ37" s="609">
        <f t="shared" si="191"/>
        <v>0</v>
      </c>
      <c r="HK37" s="609">
        <f t="shared" si="192"/>
        <v>0</v>
      </c>
      <c r="HL37" s="609">
        <f t="shared" si="193"/>
        <v>0</v>
      </c>
      <c r="HM37" s="609">
        <f t="shared" si="194"/>
        <v>16883</v>
      </c>
      <c r="HN37" s="609">
        <f t="shared" si="195"/>
        <v>405511</v>
      </c>
      <c r="HO37" s="609">
        <f t="shared" si="196"/>
        <v>0</v>
      </c>
      <c r="HP37" s="609">
        <f t="shared" si="197"/>
        <v>0</v>
      </c>
      <c r="HQ37" s="609">
        <f t="shared" si="198"/>
        <v>0</v>
      </c>
      <c r="HR37" s="609">
        <f t="shared" si="199"/>
        <v>0</v>
      </c>
      <c r="HS37" s="640">
        <f t="shared" si="242"/>
        <v>16883</v>
      </c>
      <c r="HT37" s="640">
        <f t="shared" si="243"/>
        <v>405511</v>
      </c>
      <c r="HV37" s="609">
        <f t="shared" si="200"/>
        <v>0</v>
      </c>
      <c r="HW37" s="609">
        <f t="shared" si="201"/>
        <v>0</v>
      </c>
      <c r="HX37" s="609">
        <f t="shared" si="202"/>
        <v>0</v>
      </c>
      <c r="HY37" s="609">
        <f t="shared" si="203"/>
        <v>0</v>
      </c>
      <c r="HZ37" s="609">
        <f t="shared" si="204"/>
        <v>0</v>
      </c>
      <c r="IA37" s="609">
        <f t="shared" si="205"/>
        <v>0</v>
      </c>
      <c r="IB37" s="609">
        <f t="shared" si="206"/>
        <v>17425</v>
      </c>
      <c r="IC37" s="609">
        <f t="shared" si="207"/>
        <v>418645</v>
      </c>
      <c r="ID37" s="609">
        <f t="shared" si="208"/>
        <v>0</v>
      </c>
      <c r="IE37" s="609">
        <f t="shared" si="209"/>
        <v>0</v>
      </c>
      <c r="IF37" s="609">
        <f t="shared" si="210"/>
        <v>0</v>
      </c>
      <c r="IG37" s="609">
        <f t="shared" si="211"/>
        <v>0</v>
      </c>
      <c r="IH37" s="640">
        <f t="shared" si="244"/>
        <v>17425</v>
      </c>
      <c r="II37" s="640">
        <f t="shared" si="245"/>
        <v>418645</v>
      </c>
    </row>
    <row r="38" spans="1:243">
      <c r="A38" s="484" t="s">
        <v>142</v>
      </c>
      <c r="B38" s="484">
        <f t="shared" si="212"/>
        <v>244780</v>
      </c>
      <c r="C38" s="484">
        <f t="shared" si="213"/>
        <v>5157835</v>
      </c>
      <c r="D38" s="87">
        <f>'P &amp; NP'!RO13</f>
        <v>0</v>
      </c>
      <c r="E38" s="87">
        <f>'P &amp; NP'!RP13</f>
        <v>0</v>
      </c>
      <c r="F38" s="87">
        <f>'P &amp; NP'!RQ13</f>
        <v>0</v>
      </c>
      <c r="G38" s="87">
        <f>'P &amp; NP'!RR13</f>
        <v>0</v>
      </c>
      <c r="H38" s="87">
        <f>'P &amp; NP'!RS13</f>
        <v>0</v>
      </c>
      <c r="I38" s="87">
        <f>'P &amp; NP'!RT13</f>
        <v>0</v>
      </c>
      <c r="J38" s="87">
        <f>'P &amp; NP'!RU13</f>
        <v>22810</v>
      </c>
      <c r="K38" s="87">
        <f>'P &amp; NP'!RV13</f>
        <v>478000</v>
      </c>
      <c r="L38" s="87">
        <f>'P &amp; NP'!RW13</f>
        <v>0</v>
      </c>
      <c r="M38" s="87">
        <f>'P &amp; NP'!RX13</f>
        <v>0</v>
      </c>
      <c r="N38" s="87">
        <f>'P &amp; NP'!RY13</f>
        <v>0</v>
      </c>
      <c r="O38" s="87">
        <f>'P &amp; NP'!RZ13</f>
        <v>0</v>
      </c>
      <c r="P38" s="87">
        <f>'P &amp; NP'!SA13</f>
        <v>0</v>
      </c>
      <c r="Q38" s="87">
        <f>'P &amp; NP'!SB13</f>
        <v>0</v>
      </c>
      <c r="R38" s="92">
        <f t="shared" si="214"/>
        <v>22810</v>
      </c>
      <c r="S38" s="92">
        <f t="shared" si="215"/>
        <v>478000</v>
      </c>
      <c r="T38" s="87">
        <f>'P &amp; NP'!RO51</f>
        <v>0</v>
      </c>
      <c r="U38" s="87">
        <f>'P &amp; NP'!RP51</f>
        <v>0</v>
      </c>
      <c r="V38" s="87">
        <f>'P &amp; NP'!RQ51</f>
        <v>0</v>
      </c>
      <c r="W38" s="87">
        <f>'P &amp; NP'!RR51</f>
        <v>0</v>
      </c>
      <c r="X38" s="87">
        <f>'P &amp; NP'!RS51</f>
        <v>0</v>
      </c>
      <c r="Y38" s="87">
        <f>'P &amp; NP'!RT51</f>
        <v>0</v>
      </c>
      <c r="Z38" s="87">
        <f>'P &amp; NP'!RU51</f>
        <v>22630</v>
      </c>
      <c r="AA38" s="87">
        <f>'P &amp; NP'!RV51</f>
        <v>466540</v>
      </c>
      <c r="AB38" s="87">
        <f>'P &amp; NP'!RW51</f>
        <v>0</v>
      </c>
      <c r="AC38" s="87">
        <f>'P &amp; NP'!RX51</f>
        <v>0</v>
      </c>
      <c r="AD38" s="87">
        <f>'P &amp; NP'!RY51</f>
        <v>0</v>
      </c>
      <c r="AE38" s="87">
        <f>'P &amp; NP'!RZ51</f>
        <v>0</v>
      </c>
      <c r="AF38" s="87">
        <f>'P &amp; NP'!SA51</f>
        <v>0</v>
      </c>
      <c r="AG38" s="87">
        <f>'P &amp; NP'!SB51</f>
        <v>0</v>
      </c>
      <c r="AH38" s="92">
        <f t="shared" si="216"/>
        <v>22630</v>
      </c>
      <c r="AI38" s="92">
        <f t="shared" si="217"/>
        <v>466540</v>
      </c>
      <c r="AJ38" s="87">
        <f>'P &amp; NP'!RO89</f>
        <v>0</v>
      </c>
      <c r="AK38" s="87">
        <f>'P &amp; NP'!RP89</f>
        <v>0</v>
      </c>
      <c r="AL38" s="87">
        <f>'P &amp; NP'!RQ89</f>
        <v>0</v>
      </c>
      <c r="AM38" s="87">
        <f>'P &amp; NP'!RR89</f>
        <v>0</v>
      </c>
      <c r="AN38" s="87">
        <f>'P &amp; NP'!RS89</f>
        <v>0</v>
      </c>
      <c r="AO38" s="87">
        <f>'P &amp; NP'!RT89</f>
        <v>0</v>
      </c>
      <c r="AP38" s="87">
        <f>'P &amp; NP'!RU89</f>
        <v>22990</v>
      </c>
      <c r="AQ38" s="87">
        <f>'P &amp; NP'!RV89</f>
        <v>465690</v>
      </c>
      <c r="AR38" s="87">
        <f>'P &amp; NP'!RW89</f>
        <v>0</v>
      </c>
      <c r="AS38" s="87">
        <f>'P &amp; NP'!RX89</f>
        <v>0</v>
      </c>
      <c r="AT38" s="87">
        <f>'P &amp; NP'!RY89</f>
        <v>0</v>
      </c>
      <c r="AU38" s="87">
        <f>'P &amp; NP'!RZ89</f>
        <v>0</v>
      </c>
      <c r="AV38" s="87">
        <f>'P &amp; NP'!SA89</f>
        <v>0</v>
      </c>
      <c r="AW38" s="87">
        <f>'P &amp; NP'!SB89</f>
        <v>0</v>
      </c>
      <c r="AX38" s="92">
        <f t="shared" si="218"/>
        <v>22990</v>
      </c>
      <c r="AY38" s="92">
        <f t="shared" si="219"/>
        <v>465690</v>
      </c>
      <c r="AZ38" s="87">
        <f>'P &amp; NP'!RO127</f>
        <v>0</v>
      </c>
      <c r="BA38" s="87">
        <f>'P &amp; NP'!RP127</f>
        <v>0</v>
      </c>
      <c r="BB38" s="87">
        <f>'P &amp; NP'!RQ127</f>
        <v>0</v>
      </c>
      <c r="BC38" s="87">
        <f>'P &amp; NP'!RR127</f>
        <v>0</v>
      </c>
      <c r="BD38" s="87">
        <f>'P &amp; NP'!RS127</f>
        <v>0</v>
      </c>
      <c r="BE38" s="87">
        <f>'P &amp; NP'!RT127</f>
        <v>0</v>
      </c>
      <c r="BF38" s="87">
        <f>'P &amp; NP'!RU127</f>
        <v>22570</v>
      </c>
      <c r="BG38" s="87">
        <f>'P &amp; NP'!RV127</f>
        <v>457270</v>
      </c>
      <c r="BH38" s="87">
        <f>'P &amp; NP'!RW127</f>
        <v>0</v>
      </c>
      <c r="BI38" s="87">
        <f>'P &amp; NP'!RX127</f>
        <v>0</v>
      </c>
      <c r="BJ38" s="87">
        <f>'P &amp; NP'!RY127</f>
        <v>0</v>
      </c>
      <c r="BK38" s="87">
        <f>'P &amp; NP'!RZ127</f>
        <v>0</v>
      </c>
      <c r="BL38" s="87">
        <f>'P &amp; NP'!SA127</f>
        <v>0</v>
      </c>
      <c r="BM38" s="87">
        <f>'P &amp; NP'!SB127</f>
        <v>0</v>
      </c>
      <c r="BN38" s="92">
        <f t="shared" si="220"/>
        <v>22570</v>
      </c>
      <c r="BO38" s="92">
        <f t="shared" si="221"/>
        <v>457270</v>
      </c>
      <c r="BP38" s="87">
        <f>'P &amp; NP'!RO165</f>
        <v>0</v>
      </c>
      <c r="BQ38" s="87">
        <f>'P &amp; NP'!RP165</f>
        <v>0</v>
      </c>
      <c r="BR38" s="87">
        <f>'P &amp; NP'!RQ165</f>
        <v>0</v>
      </c>
      <c r="BS38" s="87">
        <f>'P &amp; NP'!RR165</f>
        <v>0</v>
      </c>
      <c r="BT38" s="87">
        <f>'P &amp; NP'!RS165</f>
        <v>0</v>
      </c>
      <c r="BU38" s="87">
        <f>'P &amp; NP'!RT165</f>
        <v>0</v>
      </c>
      <c r="BV38" s="87">
        <f>'P &amp; NP'!RU165</f>
        <v>21560</v>
      </c>
      <c r="BW38" s="87">
        <f>'P &amp; NP'!RV165</f>
        <v>444260</v>
      </c>
      <c r="BX38" s="87">
        <f>'P &amp; NP'!RW165</f>
        <v>0</v>
      </c>
      <c r="BY38" s="87">
        <f>'P &amp; NP'!RX165</f>
        <v>0</v>
      </c>
      <c r="BZ38" s="87">
        <f>'P &amp; NP'!RY165</f>
        <v>0</v>
      </c>
      <c r="CA38" s="87">
        <f>'P &amp; NP'!RZ165</f>
        <v>0</v>
      </c>
      <c r="CB38" s="87">
        <f>'P &amp; NP'!SA165</f>
        <v>0</v>
      </c>
      <c r="CC38" s="87">
        <f>'P &amp; NP'!SB165</f>
        <v>0</v>
      </c>
      <c r="CD38" s="92">
        <f t="shared" si="222"/>
        <v>21560</v>
      </c>
      <c r="CE38" s="92">
        <f t="shared" si="223"/>
        <v>444260</v>
      </c>
      <c r="CF38" s="87">
        <f>'P &amp; NP'!RO203</f>
        <v>0</v>
      </c>
      <c r="CG38" s="87">
        <f>'P &amp; NP'!RP203</f>
        <v>0</v>
      </c>
      <c r="CH38" s="87">
        <f>'P &amp; NP'!RQ203</f>
        <v>0</v>
      </c>
      <c r="CI38" s="87">
        <f>'P &amp; NP'!RR203</f>
        <v>0</v>
      </c>
      <c r="CJ38" s="87">
        <f>'P &amp; NP'!RS203</f>
        <v>0</v>
      </c>
      <c r="CK38" s="87">
        <f>'P &amp; NP'!RT203</f>
        <v>0</v>
      </c>
      <c r="CL38" s="87">
        <f>'P &amp; NP'!RU203</f>
        <v>18570</v>
      </c>
      <c r="CM38" s="87">
        <f>'P &amp; NP'!RV203</f>
        <v>392970</v>
      </c>
      <c r="CN38" s="87">
        <f>'P &amp; NP'!RW203</f>
        <v>0</v>
      </c>
      <c r="CO38" s="87">
        <f>'P &amp; NP'!RX203</f>
        <v>0</v>
      </c>
      <c r="CP38" s="87">
        <f>'P &amp; NP'!RY203</f>
        <v>0</v>
      </c>
      <c r="CQ38" s="87">
        <f>'P &amp; NP'!RZ203</f>
        <v>0</v>
      </c>
      <c r="CR38" s="87">
        <f>'P &amp; NP'!SA203</f>
        <v>0</v>
      </c>
      <c r="CS38" s="87">
        <f>'P &amp; NP'!SB203</f>
        <v>0</v>
      </c>
      <c r="CT38" s="92">
        <f t="shared" si="224"/>
        <v>18570</v>
      </c>
      <c r="CU38" s="92">
        <f t="shared" si="225"/>
        <v>392970</v>
      </c>
      <c r="CV38" s="87">
        <f>'P &amp; NP'!RO241</f>
        <v>0</v>
      </c>
      <c r="CW38" s="87">
        <f>'P &amp; NP'!RP241</f>
        <v>0</v>
      </c>
      <c r="CX38" s="87">
        <f>'P &amp; NP'!RQ241</f>
        <v>0</v>
      </c>
      <c r="CY38" s="87">
        <f>'P &amp; NP'!RR241</f>
        <v>0</v>
      </c>
      <c r="CZ38" s="87">
        <f>'P &amp; NP'!RU241</f>
        <v>20300</v>
      </c>
      <c r="DA38" s="87">
        <f>'P &amp; NP'!RV241</f>
        <v>441160</v>
      </c>
      <c r="DB38" s="87">
        <f>'P &amp; NP'!RW241</f>
        <v>0</v>
      </c>
      <c r="DC38" s="87">
        <f>'P &amp; NP'!RX241</f>
        <v>0</v>
      </c>
      <c r="DD38" s="87">
        <f>'P &amp; NP'!RY241</f>
        <v>0</v>
      </c>
      <c r="DE38" s="87">
        <f>'P &amp; NP'!RZ241</f>
        <v>0</v>
      </c>
      <c r="DF38" s="87">
        <f>'P &amp; NP'!SA241</f>
        <v>0</v>
      </c>
      <c r="DG38" s="87">
        <f>'P &amp; NP'!SB241</f>
        <v>0</v>
      </c>
      <c r="DH38" s="87">
        <f t="shared" si="226"/>
        <v>20300</v>
      </c>
      <c r="DI38" s="87">
        <f t="shared" si="227"/>
        <v>441160</v>
      </c>
      <c r="DJ38" s="92">
        <f>'P &amp; NP'!RO279</f>
        <v>0</v>
      </c>
      <c r="DK38" s="92">
        <f>'P &amp; NP'!RP279</f>
        <v>0</v>
      </c>
      <c r="DL38" s="87">
        <f>'P &amp; NP'!RQ279</f>
        <v>0</v>
      </c>
      <c r="DM38" s="87">
        <f>'P &amp; NP'!RR279</f>
        <v>0</v>
      </c>
      <c r="DN38" s="87">
        <f>'P &amp; NP'!RU279</f>
        <v>20410</v>
      </c>
      <c r="DO38" s="87">
        <f>'P &amp; NP'!RV279</f>
        <v>430920</v>
      </c>
      <c r="DP38" s="87">
        <f>'P &amp; NP'!RW279</f>
        <v>0</v>
      </c>
      <c r="DQ38" s="87">
        <f>'P &amp; NP'!RX279</f>
        <v>0</v>
      </c>
      <c r="DR38" s="87">
        <f>'P &amp; NP'!RY279</f>
        <v>0</v>
      </c>
      <c r="DS38" s="87">
        <f>'P &amp; NP'!RZ279</f>
        <v>0</v>
      </c>
      <c r="DT38" s="87">
        <f>'P &amp; NP'!SA279</f>
        <v>0</v>
      </c>
      <c r="DU38" s="87">
        <f>'P &amp; NP'!SB279</f>
        <v>0</v>
      </c>
      <c r="DV38" s="87">
        <f t="shared" si="228"/>
        <v>20410</v>
      </c>
      <c r="DW38" s="87">
        <f t="shared" si="229"/>
        <v>430920</v>
      </c>
      <c r="DX38" s="87">
        <f>'P &amp; NP'!RO317</f>
        <v>0</v>
      </c>
      <c r="DY38" s="87">
        <f>'P &amp; NP'!RP317</f>
        <v>0</v>
      </c>
      <c r="DZ38" s="92">
        <f>'P &amp; NP'!RQ317</f>
        <v>0</v>
      </c>
      <c r="EA38" s="92">
        <f>'P &amp; NP'!RR317</f>
        <v>0</v>
      </c>
      <c r="EB38" s="87">
        <f>'P &amp; NP'!RU317</f>
        <v>20430</v>
      </c>
      <c r="EC38" s="87">
        <f>'P &amp; NP'!RV317</f>
        <v>467345</v>
      </c>
      <c r="ED38" s="87">
        <f>'P &amp; NP'!RW317</f>
        <v>0</v>
      </c>
      <c r="EE38" s="87">
        <f>'P &amp; NP'!RX317</f>
        <v>0</v>
      </c>
      <c r="EF38" s="87">
        <f>'P &amp; NP'!RY317</f>
        <v>0</v>
      </c>
      <c r="EG38" s="87">
        <f>'P &amp; NP'!RZ317</f>
        <v>0</v>
      </c>
      <c r="EH38" s="87">
        <f>'P &amp; NP'!SA317</f>
        <v>0</v>
      </c>
      <c r="EI38" s="87">
        <f>'P &amp; NP'!SB317</f>
        <v>0</v>
      </c>
      <c r="EJ38" s="87">
        <f t="shared" si="230"/>
        <v>20430</v>
      </c>
      <c r="EK38" s="87">
        <f t="shared" si="231"/>
        <v>467345</v>
      </c>
      <c r="EL38" s="87">
        <f>'P &amp; NP'!RO355</f>
        <v>0</v>
      </c>
      <c r="EM38" s="87">
        <f>'P &amp; NP'!RP355</f>
        <v>0</v>
      </c>
      <c r="EN38" s="87">
        <f>'P &amp; NP'!RQ355</f>
        <v>0</v>
      </c>
      <c r="EO38" s="87">
        <f>'P &amp; NP'!RR355</f>
        <v>0</v>
      </c>
      <c r="EP38" s="92">
        <f>'P &amp; NP'!RU355</f>
        <v>17320</v>
      </c>
      <c r="EQ38" s="92">
        <f>'P &amp; NP'!RV355</f>
        <v>351230</v>
      </c>
      <c r="ER38" s="87">
        <f>'P &amp; NP'!RW355</f>
        <v>0</v>
      </c>
      <c r="ES38" s="87">
        <f>'P &amp; NP'!RX355</f>
        <v>0</v>
      </c>
      <c r="ET38" s="87">
        <f>'P &amp; NP'!RY355</f>
        <v>0</v>
      </c>
      <c r="EU38" s="87">
        <f>'P &amp; NP'!RZ355</f>
        <v>0</v>
      </c>
      <c r="EV38" s="87">
        <f>'P &amp; NP'!SA355</f>
        <v>0</v>
      </c>
      <c r="EW38" s="87">
        <f>'P &amp; NP'!SB355</f>
        <v>0</v>
      </c>
      <c r="EX38" s="87">
        <f t="shared" si="232"/>
        <v>17320</v>
      </c>
      <c r="EY38" s="87">
        <f t="shared" si="233"/>
        <v>351230</v>
      </c>
      <c r="EZ38" s="87">
        <f>'P &amp; NP'!RO393</f>
        <v>0</v>
      </c>
      <c r="FA38" s="87">
        <f>'P &amp; NP'!RP393</f>
        <v>0</v>
      </c>
      <c r="FB38" s="87">
        <f>'P &amp; NP'!RQ393</f>
        <v>0</v>
      </c>
      <c r="FC38" s="87">
        <f>'P &amp; NP'!RR393</f>
        <v>0</v>
      </c>
      <c r="FD38" s="87">
        <f>'P &amp; NP'!RU393</f>
        <v>17500</v>
      </c>
      <c r="FE38" s="87">
        <f>'P &amp; NP'!RV393</f>
        <v>361490</v>
      </c>
      <c r="FF38" s="92">
        <f>'P &amp; NP'!RW393</f>
        <v>0</v>
      </c>
      <c r="FG38" s="92">
        <f>'P &amp; NP'!RX393</f>
        <v>0</v>
      </c>
      <c r="FH38" s="87">
        <f>'P &amp; NP'!RY393</f>
        <v>0</v>
      </c>
      <c r="FI38" s="87">
        <f>'P &amp; NP'!RZ393</f>
        <v>0</v>
      </c>
      <c r="FJ38" s="87">
        <f>'P &amp; NP'!SA393</f>
        <v>0</v>
      </c>
      <c r="FK38" s="87">
        <f>'P &amp; NP'!SB393</f>
        <v>0</v>
      </c>
      <c r="FL38" s="87">
        <f t="shared" si="234"/>
        <v>17500</v>
      </c>
      <c r="FM38" s="87">
        <f t="shared" si="235"/>
        <v>361490</v>
      </c>
      <c r="FN38" s="87">
        <f>'P &amp; NP'!RO431</f>
        <v>0</v>
      </c>
      <c r="FO38" s="87">
        <f>'P &amp; NP'!RP431</f>
        <v>0</v>
      </c>
      <c r="FP38" s="87">
        <f>'P &amp; NP'!RQ431</f>
        <v>0</v>
      </c>
      <c r="FQ38" s="87">
        <f>'P &amp; NP'!RR431</f>
        <v>0</v>
      </c>
      <c r="FR38" s="87">
        <f>'P &amp; NP'!RU431</f>
        <v>17690</v>
      </c>
      <c r="FS38" s="87">
        <f>'P &amp; NP'!RV431</f>
        <v>400960</v>
      </c>
      <c r="FT38" s="87">
        <f>'P &amp; NP'!RW431</f>
        <v>0</v>
      </c>
      <c r="FU38" s="87">
        <f>'P &amp; NP'!RX431</f>
        <v>0</v>
      </c>
      <c r="FV38" s="92">
        <f>'P &amp; NP'!RY431</f>
        <v>0</v>
      </c>
      <c r="FW38" s="92">
        <f>'P &amp; NP'!RZ431</f>
        <v>0</v>
      </c>
      <c r="FX38" s="87">
        <f>'P &amp; NP'!SA431</f>
        <v>0</v>
      </c>
      <c r="FY38" s="87">
        <f>'P &amp; NP'!SB431</f>
        <v>0</v>
      </c>
      <c r="FZ38" s="87">
        <f t="shared" si="236"/>
        <v>17690</v>
      </c>
      <c r="GA38" s="87">
        <f t="shared" si="237"/>
        <v>400960</v>
      </c>
      <c r="GC38" s="609">
        <f t="shared" si="164"/>
        <v>0</v>
      </c>
      <c r="GD38" s="609">
        <f t="shared" si="165"/>
        <v>0</v>
      </c>
      <c r="GE38" s="609">
        <f t="shared" si="166"/>
        <v>0</v>
      </c>
      <c r="GF38" s="609">
        <f t="shared" si="167"/>
        <v>0</v>
      </c>
      <c r="GG38" s="609">
        <f t="shared" si="168"/>
        <v>68430</v>
      </c>
      <c r="GH38" s="609">
        <f t="shared" si="169"/>
        <v>1410230</v>
      </c>
      <c r="GI38" s="609">
        <f t="shared" si="170"/>
        <v>0</v>
      </c>
      <c r="GJ38" s="609">
        <f t="shared" si="171"/>
        <v>0</v>
      </c>
      <c r="GK38" s="609">
        <f t="shared" si="172"/>
        <v>0</v>
      </c>
      <c r="GL38" s="609">
        <f t="shared" si="173"/>
        <v>0</v>
      </c>
      <c r="GM38" s="609">
        <f t="shared" si="174"/>
        <v>0</v>
      </c>
      <c r="GN38" s="609">
        <f t="shared" si="175"/>
        <v>0</v>
      </c>
      <c r="GO38" s="640">
        <f t="shared" si="238"/>
        <v>68430</v>
      </c>
      <c r="GP38" s="640">
        <f t="shared" si="239"/>
        <v>1410230</v>
      </c>
      <c r="GR38" s="609">
        <f t="shared" si="176"/>
        <v>0</v>
      </c>
      <c r="GS38" s="609">
        <f t="shared" si="177"/>
        <v>0</v>
      </c>
      <c r="GT38" s="609">
        <f t="shared" si="178"/>
        <v>0</v>
      </c>
      <c r="GU38" s="609">
        <f t="shared" si="179"/>
        <v>0</v>
      </c>
      <c r="GV38" s="609">
        <f t="shared" si="180"/>
        <v>62700</v>
      </c>
      <c r="GW38" s="609">
        <f t="shared" si="181"/>
        <v>1294500</v>
      </c>
      <c r="GX38" s="609">
        <f t="shared" si="182"/>
        <v>0</v>
      </c>
      <c r="GY38" s="609">
        <f t="shared" si="183"/>
        <v>0</v>
      </c>
      <c r="GZ38" s="609">
        <f t="shared" si="184"/>
        <v>0</v>
      </c>
      <c r="HA38" s="609">
        <f t="shared" si="185"/>
        <v>0</v>
      </c>
      <c r="HB38" s="609">
        <f t="shared" si="186"/>
        <v>0</v>
      </c>
      <c r="HC38" s="609">
        <f t="shared" si="187"/>
        <v>0</v>
      </c>
      <c r="HD38" s="640">
        <f t="shared" si="240"/>
        <v>62700</v>
      </c>
      <c r="HE38" s="640">
        <f t="shared" si="241"/>
        <v>1294500</v>
      </c>
      <c r="HG38" s="609">
        <f t="shared" si="188"/>
        <v>0</v>
      </c>
      <c r="HH38" s="609">
        <f t="shared" si="189"/>
        <v>0</v>
      </c>
      <c r="HI38" s="609">
        <f t="shared" si="190"/>
        <v>0</v>
      </c>
      <c r="HJ38" s="609">
        <f t="shared" si="191"/>
        <v>0</v>
      </c>
      <c r="HK38" s="609">
        <f t="shared" si="192"/>
        <v>61140</v>
      </c>
      <c r="HL38" s="609">
        <f t="shared" si="193"/>
        <v>1339425</v>
      </c>
      <c r="HM38" s="609">
        <f t="shared" si="194"/>
        <v>0</v>
      </c>
      <c r="HN38" s="609">
        <f t="shared" si="195"/>
        <v>0</v>
      </c>
      <c r="HO38" s="609">
        <f t="shared" si="196"/>
        <v>0</v>
      </c>
      <c r="HP38" s="609">
        <f t="shared" si="197"/>
        <v>0</v>
      </c>
      <c r="HQ38" s="609">
        <f t="shared" si="198"/>
        <v>0</v>
      </c>
      <c r="HR38" s="609">
        <f t="shared" si="199"/>
        <v>0</v>
      </c>
      <c r="HS38" s="640">
        <f t="shared" si="242"/>
        <v>61140</v>
      </c>
      <c r="HT38" s="640">
        <f t="shared" si="243"/>
        <v>1339425</v>
      </c>
      <c r="HV38" s="609">
        <f t="shared" si="200"/>
        <v>0</v>
      </c>
      <c r="HW38" s="609">
        <f t="shared" si="201"/>
        <v>0</v>
      </c>
      <c r="HX38" s="609">
        <f t="shared" si="202"/>
        <v>0</v>
      </c>
      <c r="HY38" s="609">
        <f t="shared" si="203"/>
        <v>0</v>
      </c>
      <c r="HZ38" s="609">
        <f t="shared" si="204"/>
        <v>52510</v>
      </c>
      <c r="IA38" s="609">
        <f t="shared" si="205"/>
        <v>1113680</v>
      </c>
      <c r="IB38" s="609">
        <f t="shared" si="206"/>
        <v>0</v>
      </c>
      <c r="IC38" s="609">
        <f t="shared" si="207"/>
        <v>0</v>
      </c>
      <c r="ID38" s="609">
        <f t="shared" si="208"/>
        <v>0</v>
      </c>
      <c r="IE38" s="609">
        <f t="shared" si="209"/>
        <v>0</v>
      </c>
      <c r="IF38" s="609">
        <f t="shared" si="210"/>
        <v>0</v>
      </c>
      <c r="IG38" s="609">
        <f t="shared" si="211"/>
        <v>0</v>
      </c>
      <c r="IH38" s="640">
        <f t="shared" si="244"/>
        <v>52510</v>
      </c>
      <c r="II38" s="640">
        <f t="shared" si="245"/>
        <v>1113680</v>
      </c>
    </row>
    <row r="39" spans="1:243">
      <c r="A39" s="484" t="s">
        <v>141</v>
      </c>
      <c r="B39" s="484">
        <f t="shared" si="212"/>
        <v>193100</v>
      </c>
      <c r="C39" s="484">
        <f t="shared" si="213"/>
        <v>3685600</v>
      </c>
      <c r="D39" s="87">
        <f>'P &amp; NP'!SE13</f>
        <v>0</v>
      </c>
      <c r="E39" s="87">
        <f>'P &amp; NP'!SF13</f>
        <v>0</v>
      </c>
      <c r="F39" s="87">
        <f>'P &amp; NP'!SG13</f>
        <v>0</v>
      </c>
      <c r="G39" s="87">
        <f>'P &amp; NP'!SH13</f>
        <v>0</v>
      </c>
      <c r="H39" s="87">
        <f>'P &amp; NP'!SI13</f>
        <v>0</v>
      </c>
      <c r="I39" s="87">
        <f>'P &amp; NP'!SJ13</f>
        <v>0</v>
      </c>
      <c r="J39" s="87">
        <f>'P &amp; NP'!SK13</f>
        <v>16200</v>
      </c>
      <c r="K39" s="87">
        <f>'P &amp; NP'!SL13</f>
        <v>307800</v>
      </c>
      <c r="L39" s="87">
        <f>'P &amp; NP'!SM13</f>
        <v>0</v>
      </c>
      <c r="M39" s="87">
        <f>'P &amp; NP'!SN13</f>
        <v>0</v>
      </c>
      <c r="N39" s="87">
        <f>'P &amp; NP'!SO13</f>
        <v>0</v>
      </c>
      <c r="O39" s="87">
        <f>'P &amp; NP'!SP13</f>
        <v>0</v>
      </c>
      <c r="P39" s="87">
        <f>'P &amp; NP'!SQ13</f>
        <v>0</v>
      </c>
      <c r="Q39" s="87">
        <f>'P &amp; NP'!SR13</f>
        <v>0</v>
      </c>
      <c r="R39" s="92">
        <f t="shared" si="214"/>
        <v>16200</v>
      </c>
      <c r="S39" s="92">
        <f t="shared" si="215"/>
        <v>307800</v>
      </c>
      <c r="T39" s="87">
        <f>'P &amp; NP'!SE51</f>
        <v>0</v>
      </c>
      <c r="U39" s="87">
        <f>'P &amp; NP'!SF51</f>
        <v>0</v>
      </c>
      <c r="V39" s="87">
        <f>'P &amp; NP'!SG51</f>
        <v>0</v>
      </c>
      <c r="W39" s="87">
        <f>'P &amp; NP'!SH51</f>
        <v>0</v>
      </c>
      <c r="X39" s="87">
        <f>'P &amp; NP'!SI51</f>
        <v>0</v>
      </c>
      <c r="Y39" s="87">
        <f>'P &amp; NP'!SJ51</f>
        <v>0</v>
      </c>
      <c r="Z39" s="87">
        <f>'P &amp; NP'!SK51</f>
        <v>16700</v>
      </c>
      <c r="AA39" s="87">
        <f>'P &amp; NP'!SL51</f>
        <v>324500</v>
      </c>
      <c r="AB39" s="87">
        <f>'P &amp; NP'!SM51</f>
        <v>0</v>
      </c>
      <c r="AC39" s="87">
        <f>'P &amp; NP'!SN51</f>
        <v>0</v>
      </c>
      <c r="AD39" s="87">
        <f>'P &amp; NP'!SO51</f>
        <v>0</v>
      </c>
      <c r="AE39" s="87">
        <f>'P &amp; NP'!SP51</f>
        <v>0</v>
      </c>
      <c r="AF39" s="87">
        <f>'P &amp; NP'!SQ51</f>
        <v>0</v>
      </c>
      <c r="AG39" s="87">
        <f>'P &amp; NP'!SR51</f>
        <v>0</v>
      </c>
      <c r="AH39" s="92">
        <f t="shared" si="216"/>
        <v>16700</v>
      </c>
      <c r="AI39" s="92">
        <f t="shared" si="217"/>
        <v>324500</v>
      </c>
      <c r="AJ39" s="87">
        <f>'P &amp; NP'!SE89</f>
        <v>0</v>
      </c>
      <c r="AK39" s="87">
        <f>'P &amp; NP'!SF89</f>
        <v>0</v>
      </c>
      <c r="AL39" s="87">
        <f>'P &amp; NP'!SG89</f>
        <v>0</v>
      </c>
      <c r="AM39" s="87">
        <f>'P &amp; NP'!SH89</f>
        <v>0</v>
      </c>
      <c r="AN39" s="87">
        <f>'P &amp; NP'!SI89</f>
        <v>0</v>
      </c>
      <c r="AO39" s="87">
        <f>'P &amp; NP'!SJ89</f>
        <v>0</v>
      </c>
      <c r="AP39" s="87">
        <f>'P &amp; NP'!SK89</f>
        <v>18000</v>
      </c>
      <c r="AQ39" s="87">
        <f>'P &amp; NP'!SL89</f>
        <v>342000</v>
      </c>
      <c r="AR39" s="87">
        <f>'P &amp; NP'!SM89</f>
        <v>0</v>
      </c>
      <c r="AS39" s="87">
        <f>'P &amp; NP'!SN89</f>
        <v>0</v>
      </c>
      <c r="AT39" s="87">
        <f>'P &amp; NP'!SO89</f>
        <v>0</v>
      </c>
      <c r="AU39" s="87">
        <f>'P &amp; NP'!SP89</f>
        <v>0</v>
      </c>
      <c r="AV39" s="87">
        <f>'P &amp; NP'!SQ89</f>
        <v>0</v>
      </c>
      <c r="AW39" s="87">
        <f>'P &amp; NP'!SR89</f>
        <v>0</v>
      </c>
      <c r="AX39" s="92">
        <f t="shared" si="218"/>
        <v>18000</v>
      </c>
      <c r="AY39" s="92">
        <f t="shared" si="219"/>
        <v>342000</v>
      </c>
      <c r="AZ39" s="87">
        <f>'P &amp; NP'!SE127</f>
        <v>0</v>
      </c>
      <c r="BA39" s="87">
        <f>'P &amp; NP'!SF127</f>
        <v>0</v>
      </c>
      <c r="BB39" s="87">
        <f>'P &amp; NP'!SG127</f>
        <v>0</v>
      </c>
      <c r="BC39" s="87">
        <f>'P &amp; NP'!SH127</f>
        <v>0</v>
      </c>
      <c r="BD39" s="87">
        <f>'P &amp; NP'!SI127</f>
        <v>0</v>
      </c>
      <c r="BE39" s="87">
        <f>'P &amp; NP'!SJ127</f>
        <v>0</v>
      </c>
      <c r="BF39" s="87">
        <f>'P &amp; NP'!SK127</f>
        <v>16100</v>
      </c>
      <c r="BG39" s="87">
        <f>'P &amp; NP'!SL127</f>
        <v>305900</v>
      </c>
      <c r="BH39" s="87">
        <f>'P &amp; NP'!SM127</f>
        <v>0</v>
      </c>
      <c r="BI39" s="87">
        <f>'P &amp; NP'!SN127</f>
        <v>0</v>
      </c>
      <c r="BJ39" s="87">
        <f>'P &amp; NP'!SO127</f>
        <v>0</v>
      </c>
      <c r="BK39" s="87">
        <f>'P &amp; NP'!SP127</f>
        <v>0</v>
      </c>
      <c r="BL39" s="87">
        <f>'P &amp; NP'!SQ127</f>
        <v>0</v>
      </c>
      <c r="BM39" s="87">
        <f>'P &amp; NP'!SR127</f>
        <v>0</v>
      </c>
      <c r="BN39" s="92">
        <f t="shared" si="220"/>
        <v>16100</v>
      </c>
      <c r="BO39" s="92">
        <f t="shared" si="221"/>
        <v>305900</v>
      </c>
      <c r="BP39" s="87">
        <f>'P &amp; NP'!SE165</f>
        <v>0</v>
      </c>
      <c r="BQ39" s="87">
        <f>'P &amp; NP'!SF165</f>
        <v>0</v>
      </c>
      <c r="BR39" s="87">
        <f>'P &amp; NP'!SG165</f>
        <v>0</v>
      </c>
      <c r="BS39" s="87">
        <f>'P &amp; NP'!SH165</f>
        <v>0</v>
      </c>
      <c r="BT39" s="87">
        <f>'P &amp; NP'!SI165</f>
        <v>0</v>
      </c>
      <c r="BU39" s="87">
        <f>'P &amp; NP'!SJ165</f>
        <v>0</v>
      </c>
      <c r="BV39" s="87">
        <f>'P &amp; NP'!SK165</f>
        <v>16000</v>
      </c>
      <c r="BW39" s="87">
        <f>'P &amp; NP'!SL165</f>
        <v>308000</v>
      </c>
      <c r="BX39" s="87">
        <f>'P &amp; NP'!SM165</f>
        <v>0</v>
      </c>
      <c r="BY39" s="87">
        <f>'P &amp; NP'!SN165</f>
        <v>0</v>
      </c>
      <c r="BZ39" s="87">
        <f>'P &amp; NP'!SO165</f>
        <v>0</v>
      </c>
      <c r="CA39" s="87">
        <f>'P &amp; NP'!SP165</f>
        <v>0</v>
      </c>
      <c r="CB39" s="87">
        <f>'P &amp; NP'!SQ165</f>
        <v>0</v>
      </c>
      <c r="CC39" s="87">
        <f>'P &amp; NP'!SR165</f>
        <v>0</v>
      </c>
      <c r="CD39" s="92">
        <f t="shared" si="222"/>
        <v>16000</v>
      </c>
      <c r="CE39" s="92">
        <f t="shared" si="223"/>
        <v>308000</v>
      </c>
      <c r="CF39" s="87">
        <f>'P &amp; NP'!SE203</f>
        <v>0</v>
      </c>
      <c r="CG39" s="87">
        <f>'P &amp; NP'!SF203</f>
        <v>0</v>
      </c>
      <c r="CH39" s="87">
        <f>'P &amp; NP'!SG203</f>
        <v>0</v>
      </c>
      <c r="CI39" s="87">
        <f>'P &amp; NP'!SH203</f>
        <v>0</v>
      </c>
      <c r="CJ39" s="87">
        <f>'P &amp; NP'!SI203</f>
        <v>0</v>
      </c>
      <c r="CK39" s="87">
        <f>'P &amp; NP'!SJ203</f>
        <v>0</v>
      </c>
      <c r="CL39" s="87">
        <f>'P &amp; NP'!SK203</f>
        <v>15500</v>
      </c>
      <c r="CM39" s="87">
        <f>'P &amp; NP'!SL203</f>
        <v>301700</v>
      </c>
      <c r="CN39" s="87">
        <f>'P &amp; NP'!SM203</f>
        <v>0</v>
      </c>
      <c r="CO39" s="87">
        <f>'P &amp; NP'!SN203</f>
        <v>0</v>
      </c>
      <c r="CP39" s="87">
        <f>'P &amp; NP'!SO203</f>
        <v>0</v>
      </c>
      <c r="CQ39" s="87">
        <f>'P &amp; NP'!SP203</f>
        <v>0</v>
      </c>
      <c r="CR39" s="87">
        <f>'P &amp; NP'!SQ203</f>
        <v>0</v>
      </c>
      <c r="CS39" s="87">
        <f>'P &amp; NP'!SR203</f>
        <v>0</v>
      </c>
      <c r="CT39" s="92">
        <f t="shared" si="224"/>
        <v>15500</v>
      </c>
      <c r="CU39" s="92">
        <f t="shared" si="225"/>
        <v>301700</v>
      </c>
      <c r="CV39" s="87">
        <f>'P &amp; NP'!SE241</f>
        <v>0</v>
      </c>
      <c r="CW39" s="87">
        <f>'P &amp; NP'!SF241</f>
        <v>0</v>
      </c>
      <c r="CX39" s="87">
        <f>'P &amp; NP'!SG241</f>
        <v>0</v>
      </c>
      <c r="CY39" s="87">
        <f>'P &amp; NP'!SH241</f>
        <v>0</v>
      </c>
      <c r="CZ39" s="87">
        <f>'P &amp; NP'!SK241</f>
        <v>16000</v>
      </c>
      <c r="DA39" s="87">
        <f>'P &amp; NP'!SL241</f>
        <v>309000</v>
      </c>
      <c r="DB39" s="87">
        <f>'P &amp; NP'!SM241</f>
        <v>0</v>
      </c>
      <c r="DC39" s="87">
        <f>'P &amp; NP'!SN241</f>
        <v>0</v>
      </c>
      <c r="DD39" s="87">
        <f>'P &amp; NP'!SO241</f>
        <v>0</v>
      </c>
      <c r="DE39" s="87">
        <f>'P &amp; NP'!SP241</f>
        <v>0</v>
      </c>
      <c r="DF39" s="87">
        <f>'P &amp; NP'!SQ241</f>
        <v>0</v>
      </c>
      <c r="DG39" s="87">
        <f>'P &amp; NP'!SR241</f>
        <v>0</v>
      </c>
      <c r="DH39" s="87">
        <f t="shared" si="226"/>
        <v>16000</v>
      </c>
      <c r="DI39" s="87">
        <f t="shared" si="227"/>
        <v>309000</v>
      </c>
      <c r="DJ39" s="92">
        <f>'P &amp; NP'!SE279</f>
        <v>0</v>
      </c>
      <c r="DK39" s="92">
        <f>'P &amp; NP'!SF279</f>
        <v>0</v>
      </c>
      <c r="DL39" s="87">
        <f>'P &amp; NP'!SG279</f>
        <v>0</v>
      </c>
      <c r="DM39" s="87">
        <f>'P &amp; NP'!SH279</f>
        <v>0</v>
      </c>
      <c r="DN39" s="87">
        <f>'P &amp; NP'!SK279</f>
        <v>11700</v>
      </c>
      <c r="DO39" s="87">
        <f>'P &amp; NP'!SL279</f>
        <v>221000</v>
      </c>
      <c r="DP39" s="87">
        <f>'P &amp; NP'!SM279</f>
        <v>0</v>
      </c>
      <c r="DQ39" s="87">
        <f>'P &amp; NP'!SN279</f>
        <v>0</v>
      </c>
      <c r="DR39" s="87">
        <f>'P &amp; NP'!SO279</f>
        <v>0</v>
      </c>
      <c r="DS39" s="87">
        <f>'P &amp; NP'!SP279</f>
        <v>0</v>
      </c>
      <c r="DT39" s="87">
        <f>'P &amp; NP'!SQ279</f>
        <v>0</v>
      </c>
      <c r="DU39" s="87">
        <f>'P &amp; NP'!SR279</f>
        <v>0</v>
      </c>
      <c r="DV39" s="87">
        <f t="shared" si="228"/>
        <v>11700</v>
      </c>
      <c r="DW39" s="87">
        <f t="shared" si="229"/>
        <v>221000</v>
      </c>
      <c r="DX39" s="87">
        <f>'P &amp; NP'!SE317</f>
        <v>0</v>
      </c>
      <c r="DY39" s="87">
        <f>'P &amp; NP'!SF317</f>
        <v>0</v>
      </c>
      <c r="DZ39" s="92">
        <f>'P &amp; NP'!SG317</f>
        <v>0</v>
      </c>
      <c r="EA39" s="92">
        <f>'P &amp; NP'!SH317</f>
        <v>0</v>
      </c>
      <c r="EB39" s="87">
        <f>'P &amp; NP'!SK317</f>
        <v>18600</v>
      </c>
      <c r="EC39" s="87">
        <f>'P &amp; NP'!SL317</f>
        <v>366950</v>
      </c>
      <c r="ED39" s="87">
        <f>'P &amp; NP'!SM317</f>
        <v>0</v>
      </c>
      <c r="EE39" s="87">
        <f>'P &amp; NP'!SN317</f>
        <v>0</v>
      </c>
      <c r="EF39" s="87">
        <f>'P &amp; NP'!SO317</f>
        <v>0</v>
      </c>
      <c r="EG39" s="87">
        <f>'P &amp; NP'!SP317</f>
        <v>0</v>
      </c>
      <c r="EH39" s="87">
        <f>'P &amp; NP'!SQ317</f>
        <v>0</v>
      </c>
      <c r="EI39" s="87">
        <f>'P &amp; NP'!SR317</f>
        <v>0</v>
      </c>
      <c r="EJ39" s="87">
        <f t="shared" si="230"/>
        <v>18600</v>
      </c>
      <c r="EK39" s="87">
        <f t="shared" si="231"/>
        <v>366950</v>
      </c>
      <c r="EL39" s="87">
        <f>'P &amp; NP'!SE355</f>
        <v>0</v>
      </c>
      <c r="EM39" s="87">
        <f>'P &amp; NP'!SF355</f>
        <v>0</v>
      </c>
      <c r="EN39" s="87">
        <f>'P &amp; NP'!SG355</f>
        <v>0</v>
      </c>
      <c r="EO39" s="87">
        <f>'P &amp; NP'!SH355</f>
        <v>0</v>
      </c>
      <c r="EP39" s="92">
        <f>'P &amp; NP'!SK355</f>
        <v>16100</v>
      </c>
      <c r="EQ39" s="92">
        <f>'P &amp; NP'!SL355</f>
        <v>297850</v>
      </c>
      <c r="ER39" s="87">
        <f>'P &amp; NP'!SM355</f>
        <v>0</v>
      </c>
      <c r="ES39" s="87">
        <f>'P &amp; NP'!SN355</f>
        <v>0</v>
      </c>
      <c r="ET39" s="87">
        <f>'P &amp; NP'!SO355</f>
        <v>0</v>
      </c>
      <c r="EU39" s="87">
        <f>'P &amp; NP'!SP355</f>
        <v>0</v>
      </c>
      <c r="EV39" s="87">
        <f>'P &amp; NP'!SQ355</f>
        <v>0</v>
      </c>
      <c r="EW39" s="87">
        <f>'P &amp; NP'!SR355</f>
        <v>0</v>
      </c>
      <c r="EX39" s="87">
        <f t="shared" si="232"/>
        <v>16100</v>
      </c>
      <c r="EY39" s="87">
        <f t="shared" si="233"/>
        <v>297850</v>
      </c>
      <c r="EZ39" s="87">
        <f>'P &amp; NP'!SE393</f>
        <v>0</v>
      </c>
      <c r="FA39" s="87">
        <f>'P &amp; NP'!SF393</f>
        <v>0</v>
      </c>
      <c r="FB39" s="87">
        <f>'P &amp; NP'!SG393</f>
        <v>0</v>
      </c>
      <c r="FC39" s="87">
        <f>'P &amp; NP'!SH393</f>
        <v>0</v>
      </c>
      <c r="FD39" s="87">
        <f>'P &amp; NP'!SK393</f>
        <v>17100</v>
      </c>
      <c r="FE39" s="87">
        <f>'P &amp; NP'!SL393</f>
        <v>321550</v>
      </c>
      <c r="FF39" s="92">
        <f>'P &amp; NP'!SM393</f>
        <v>0</v>
      </c>
      <c r="FG39" s="92">
        <f>'P &amp; NP'!SN393</f>
        <v>0</v>
      </c>
      <c r="FH39" s="87">
        <f>'P &amp; NP'!SO393</f>
        <v>0</v>
      </c>
      <c r="FI39" s="87">
        <f>'P &amp; NP'!SP393</f>
        <v>0</v>
      </c>
      <c r="FJ39" s="87">
        <f>'P &amp; NP'!SQ393</f>
        <v>0</v>
      </c>
      <c r="FK39" s="87">
        <f>'P &amp; NP'!SR393</f>
        <v>0</v>
      </c>
      <c r="FL39" s="87">
        <f t="shared" si="234"/>
        <v>17100</v>
      </c>
      <c r="FM39" s="87">
        <f t="shared" si="235"/>
        <v>321550</v>
      </c>
      <c r="FN39" s="87">
        <f>'P &amp; NP'!SE431</f>
        <v>0</v>
      </c>
      <c r="FO39" s="87">
        <f>'P &amp; NP'!SF431</f>
        <v>0</v>
      </c>
      <c r="FP39" s="87">
        <f>'P &amp; NP'!SG431</f>
        <v>0</v>
      </c>
      <c r="FQ39" s="87">
        <f>'P &amp; NP'!SH431</f>
        <v>0</v>
      </c>
      <c r="FR39" s="87">
        <f>'P &amp; NP'!SK431</f>
        <v>15100</v>
      </c>
      <c r="FS39" s="87">
        <f>'P &amp; NP'!SL431</f>
        <v>279350</v>
      </c>
      <c r="FT39" s="87">
        <f>'P &amp; NP'!SM431</f>
        <v>0</v>
      </c>
      <c r="FU39" s="87">
        <f>'P &amp; NP'!SN431</f>
        <v>0</v>
      </c>
      <c r="FV39" s="92">
        <f>'P &amp; NP'!SO431</f>
        <v>0</v>
      </c>
      <c r="FW39" s="92">
        <f>'P &amp; NP'!SP431</f>
        <v>0</v>
      </c>
      <c r="FX39" s="87">
        <f>'P &amp; NP'!SQ431</f>
        <v>0</v>
      </c>
      <c r="FY39" s="87">
        <f>'P &amp; NP'!SR431</f>
        <v>0</v>
      </c>
      <c r="FZ39" s="87">
        <f t="shared" si="236"/>
        <v>15100</v>
      </c>
      <c r="GA39" s="87">
        <f t="shared" si="237"/>
        <v>279350</v>
      </c>
      <c r="GC39" s="609">
        <f t="shared" si="164"/>
        <v>0</v>
      </c>
      <c r="GD39" s="609">
        <f t="shared" si="165"/>
        <v>0</v>
      </c>
      <c r="GE39" s="609">
        <f t="shared" si="166"/>
        <v>0</v>
      </c>
      <c r="GF39" s="609">
        <f t="shared" si="167"/>
        <v>0</v>
      </c>
      <c r="GG39" s="609">
        <f t="shared" si="168"/>
        <v>50900</v>
      </c>
      <c r="GH39" s="609">
        <f t="shared" si="169"/>
        <v>974300</v>
      </c>
      <c r="GI39" s="609">
        <f t="shared" si="170"/>
        <v>0</v>
      </c>
      <c r="GJ39" s="609">
        <f t="shared" si="171"/>
        <v>0</v>
      </c>
      <c r="GK39" s="609">
        <f t="shared" si="172"/>
        <v>0</v>
      </c>
      <c r="GL39" s="609">
        <f t="shared" si="173"/>
        <v>0</v>
      </c>
      <c r="GM39" s="609">
        <f t="shared" si="174"/>
        <v>0</v>
      </c>
      <c r="GN39" s="609">
        <f t="shared" si="175"/>
        <v>0</v>
      </c>
      <c r="GO39" s="640">
        <f t="shared" si="238"/>
        <v>50900</v>
      </c>
      <c r="GP39" s="640">
        <f t="shared" si="239"/>
        <v>974300</v>
      </c>
      <c r="GR39" s="609">
        <f t="shared" si="176"/>
        <v>0</v>
      </c>
      <c r="GS39" s="609">
        <f t="shared" si="177"/>
        <v>0</v>
      </c>
      <c r="GT39" s="609">
        <f t="shared" si="178"/>
        <v>0</v>
      </c>
      <c r="GU39" s="609">
        <f t="shared" si="179"/>
        <v>0</v>
      </c>
      <c r="GV39" s="609">
        <f t="shared" si="180"/>
        <v>47600</v>
      </c>
      <c r="GW39" s="609">
        <f t="shared" si="181"/>
        <v>915600</v>
      </c>
      <c r="GX39" s="609">
        <f t="shared" si="182"/>
        <v>0</v>
      </c>
      <c r="GY39" s="609">
        <f t="shared" si="183"/>
        <v>0</v>
      </c>
      <c r="GZ39" s="609">
        <f t="shared" si="184"/>
        <v>0</v>
      </c>
      <c r="HA39" s="609">
        <f t="shared" si="185"/>
        <v>0</v>
      </c>
      <c r="HB39" s="609">
        <f t="shared" si="186"/>
        <v>0</v>
      </c>
      <c r="HC39" s="609">
        <f t="shared" si="187"/>
        <v>0</v>
      </c>
      <c r="HD39" s="640">
        <f t="shared" si="240"/>
        <v>47600</v>
      </c>
      <c r="HE39" s="640">
        <f t="shared" si="241"/>
        <v>915600</v>
      </c>
      <c r="HG39" s="609">
        <f t="shared" si="188"/>
        <v>0</v>
      </c>
      <c r="HH39" s="609">
        <f t="shared" si="189"/>
        <v>0</v>
      </c>
      <c r="HI39" s="609">
        <f t="shared" si="190"/>
        <v>0</v>
      </c>
      <c r="HJ39" s="609">
        <f t="shared" si="191"/>
        <v>0</v>
      </c>
      <c r="HK39" s="609">
        <f t="shared" si="192"/>
        <v>46300</v>
      </c>
      <c r="HL39" s="609">
        <f t="shared" si="193"/>
        <v>896950</v>
      </c>
      <c r="HM39" s="609">
        <f t="shared" si="194"/>
        <v>0</v>
      </c>
      <c r="HN39" s="609">
        <f t="shared" si="195"/>
        <v>0</v>
      </c>
      <c r="HO39" s="609">
        <f t="shared" si="196"/>
        <v>0</v>
      </c>
      <c r="HP39" s="609">
        <f t="shared" si="197"/>
        <v>0</v>
      </c>
      <c r="HQ39" s="609">
        <f t="shared" si="198"/>
        <v>0</v>
      </c>
      <c r="HR39" s="609">
        <f t="shared" si="199"/>
        <v>0</v>
      </c>
      <c r="HS39" s="640">
        <f t="shared" si="242"/>
        <v>46300</v>
      </c>
      <c r="HT39" s="640">
        <f t="shared" si="243"/>
        <v>896950</v>
      </c>
      <c r="HV39" s="609">
        <f t="shared" si="200"/>
        <v>0</v>
      </c>
      <c r="HW39" s="609">
        <f t="shared" si="201"/>
        <v>0</v>
      </c>
      <c r="HX39" s="609">
        <f t="shared" si="202"/>
        <v>0</v>
      </c>
      <c r="HY39" s="609">
        <f t="shared" si="203"/>
        <v>0</v>
      </c>
      <c r="HZ39" s="609">
        <f t="shared" si="204"/>
        <v>48300</v>
      </c>
      <c r="IA39" s="609">
        <f t="shared" si="205"/>
        <v>898750</v>
      </c>
      <c r="IB39" s="609">
        <f t="shared" si="206"/>
        <v>0</v>
      </c>
      <c r="IC39" s="609">
        <f t="shared" si="207"/>
        <v>0</v>
      </c>
      <c r="ID39" s="609">
        <f t="shared" si="208"/>
        <v>0</v>
      </c>
      <c r="IE39" s="609">
        <f t="shared" si="209"/>
        <v>0</v>
      </c>
      <c r="IF39" s="609">
        <f t="shared" si="210"/>
        <v>0</v>
      </c>
      <c r="IG39" s="609">
        <f t="shared" si="211"/>
        <v>0</v>
      </c>
      <c r="IH39" s="640">
        <f t="shared" si="244"/>
        <v>48300</v>
      </c>
      <c r="II39" s="640">
        <f t="shared" si="245"/>
        <v>898750</v>
      </c>
    </row>
    <row r="40" spans="1:243">
      <c r="A40" s="484" t="s">
        <v>147</v>
      </c>
      <c r="B40" s="484">
        <f t="shared" si="212"/>
        <v>290624.95</v>
      </c>
      <c r="C40" s="484">
        <f t="shared" si="213"/>
        <v>6407714.6219999995</v>
      </c>
      <c r="D40" s="87">
        <f>'P &amp; NP'!SU13</f>
        <v>0</v>
      </c>
      <c r="E40" s="87">
        <f>'P &amp; NP'!SV13</f>
        <v>0</v>
      </c>
      <c r="F40" s="87">
        <f>'P &amp; NP'!SW13</f>
        <v>0</v>
      </c>
      <c r="G40" s="87">
        <f>'P &amp; NP'!SX13</f>
        <v>0</v>
      </c>
      <c r="H40" s="87">
        <f>'P &amp; NP'!SY13</f>
        <v>0</v>
      </c>
      <c r="I40" s="87">
        <f>'P &amp; NP'!SZ13</f>
        <v>0</v>
      </c>
      <c r="J40" s="87">
        <f>'P &amp; NP'!TA13</f>
        <v>30025</v>
      </c>
      <c r="K40" s="87">
        <f>'P &amp; NP'!TB13</f>
        <v>657468</v>
      </c>
      <c r="L40" s="87">
        <f>'P &amp; NP'!TC13</f>
        <v>0</v>
      </c>
      <c r="M40" s="87">
        <f>'P &amp; NP'!TD13</f>
        <v>0</v>
      </c>
      <c r="N40" s="87">
        <f>'P &amp; NP'!TE13</f>
        <v>0</v>
      </c>
      <c r="O40" s="87">
        <f>'P &amp; NP'!TF13</f>
        <v>0</v>
      </c>
      <c r="P40" s="87">
        <f>'P &amp; NP'!TG13</f>
        <v>0</v>
      </c>
      <c r="Q40" s="87">
        <f>'P &amp; NP'!TH13</f>
        <v>0</v>
      </c>
      <c r="R40" s="92">
        <f t="shared" si="214"/>
        <v>30025</v>
      </c>
      <c r="S40" s="92">
        <f t="shared" si="215"/>
        <v>657468</v>
      </c>
      <c r="T40" s="87">
        <f>'P &amp; NP'!SU51</f>
        <v>0</v>
      </c>
      <c r="U40" s="87">
        <f>'P &amp; NP'!SV51</f>
        <v>0</v>
      </c>
      <c r="V40" s="87">
        <f>'P &amp; NP'!SW51</f>
        <v>0</v>
      </c>
      <c r="W40" s="87">
        <f>'P &amp; NP'!SX51</f>
        <v>0</v>
      </c>
      <c r="X40" s="87">
        <f>'P &amp; NP'!SY51</f>
        <v>0</v>
      </c>
      <c r="Y40" s="87">
        <f>'P &amp; NP'!SZ51</f>
        <v>0</v>
      </c>
      <c r="Z40" s="87">
        <f>'P &amp; NP'!TA51</f>
        <v>31595</v>
      </c>
      <c r="AA40" s="87">
        <f>'P &amp; NP'!TB51</f>
        <v>699163</v>
      </c>
      <c r="AB40" s="87">
        <f>'P &amp; NP'!TC51</f>
        <v>0</v>
      </c>
      <c r="AC40" s="87">
        <f>'P &amp; NP'!TD51</f>
        <v>0</v>
      </c>
      <c r="AD40" s="87">
        <f>'P &amp; NP'!TE51</f>
        <v>0</v>
      </c>
      <c r="AE40" s="87">
        <f>'P &amp; NP'!TF51</f>
        <v>0</v>
      </c>
      <c r="AF40" s="87">
        <f>'P &amp; NP'!TG51</f>
        <v>0</v>
      </c>
      <c r="AG40" s="87">
        <f>'P &amp; NP'!TH51</f>
        <v>0</v>
      </c>
      <c r="AH40" s="92">
        <f t="shared" si="216"/>
        <v>31595</v>
      </c>
      <c r="AI40" s="92">
        <f t="shared" si="217"/>
        <v>699163</v>
      </c>
      <c r="AJ40" s="87">
        <f>'P &amp; NP'!SU89</f>
        <v>0</v>
      </c>
      <c r="AK40" s="87">
        <f>'P &amp; NP'!SV89</f>
        <v>0</v>
      </c>
      <c r="AL40" s="87">
        <f>'P &amp; NP'!SW89</f>
        <v>0</v>
      </c>
      <c r="AM40" s="87">
        <f>'P &amp; NP'!SX89</f>
        <v>0</v>
      </c>
      <c r="AN40" s="87">
        <f>'P &amp; NP'!SY89</f>
        <v>0</v>
      </c>
      <c r="AO40" s="87">
        <f>'P &amp; NP'!SZ89</f>
        <v>0</v>
      </c>
      <c r="AP40" s="87">
        <f>'P &amp; NP'!TA89</f>
        <v>30324.979999999996</v>
      </c>
      <c r="AQ40" s="87">
        <f>'P &amp; NP'!TB89</f>
        <v>678312.39999999991</v>
      </c>
      <c r="AR40" s="87">
        <f>'P &amp; NP'!TC89</f>
        <v>0</v>
      </c>
      <c r="AS40" s="87">
        <f>'P &amp; NP'!TD89</f>
        <v>0</v>
      </c>
      <c r="AT40" s="87">
        <f>'P &amp; NP'!TE89</f>
        <v>0</v>
      </c>
      <c r="AU40" s="87">
        <f>'P &amp; NP'!TF89</f>
        <v>0</v>
      </c>
      <c r="AV40" s="87">
        <f>'P &amp; NP'!TG89</f>
        <v>0</v>
      </c>
      <c r="AW40" s="87">
        <f>'P &amp; NP'!TH89</f>
        <v>0</v>
      </c>
      <c r="AX40" s="92">
        <f t="shared" si="218"/>
        <v>30324.979999999996</v>
      </c>
      <c r="AY40" s="92">
        <f t="shared" si="219"/>
        <v>678312.39999999991</v>
      </c>
      <c r="AZ40" s="87">
        <f>'P &amp; NP'!SU127</f>
        <v>0</v>
      </c>
      <c r="BA40" s="87">
        <f>'P &amp; NP'!SV127</f>
        <v>0</v>
      </c>
      <c r="BB40" s="87">
        <f>'P &amp; NP'!SW127</f>
        <v>0</v>
      </c>
      <c r="BC40" s="87">
        <f>'P &amp; NP'!SX127</f>
        <v>0</v>
      </c>
      <c r="BD40" s="87">
        <f>'P &amp; NP'!SY127</f>
        <v>0</v>
      </c>
      <c r="BE40" s="87">
        <f>'P &amp; NP'!SZ127</f>
        <v>0</v>
      </c>
      <c r="BF40" s="87">
        <f>'P &amp; NP'!TA127</f>
        <v>29899.97</v>
      </c>
      <c r="BG40" s="87">
        <f>'P &amp; NP'!TB127</f>
        <v>664302.22199999995</v>
      </c>
      <c r="BH40" s="87">
        <f>'P &amp; NP'!TC127</f>
        <v>0</v>
      </c>
      <c r="BI40" s="87">
        <f>'P &amp; NP'!TD127</f>
        <v>0</v>
      </c>
      <c r="BJ40" s="87">
        <f>'P &amp; NP'!TE127</f>
        <v>0</v>
      </c>
      <c r="BK40" s="87">
        <f>'P &amp; NP'!TF127</f>
        <v>0</v>
      </c>
      <c r="BL40" s="87">
        <f>'P &amp; NP'!TG127</f>
        <v>0</v>
      </c>
      <c r="BM40" s="87">
        <f>'P &amp; NP'!TH127</f>
        <v>0</v>
      </c>
      <c r="BN40" s="92">
        <f t="shared" si="220"/>
        <v>29899.97</v>
      </c>
      <c r="BO40" s="92">
        <f t="shared" si="221"/>
        <v>664302.22199999995</v>
      </c>
      <c r="BP40" s="87">
        <f>'P &amp; NP'!SU165</f>
        <v>0</v>
      </c>
      <c r="BQ40" s="87">
        <f>'P &amp; NP'!SV165</f>
        <v>0</v>
      </c>
      <c r="BR40" s="87">
        <f>'P &amp; NP'!SW165</f>
        <v>0</v>
      </c>
      <c r="BS40" s="87">
        <f>'P &amp; NP'!SX165</f>
        <v>0</v>
      </c>
      <c r="BT40" s="87">
        <f>'P &amp; NP'!SY165</f>
        <v>0</v>
      </c>
      <c r="BU40" s="87">
        <f>'P &amp; NP'!SZ165</f>
        <v>0</v>
      </c>
      <c r="BV40" s="87">
        <f>'P &amp; NP'!TA165</f>
        <v>27220</v>
      </c>
      <c r="BW40" s="87">
        <f>'P &amp; NP'!TB165</f>
        <v>623220</v>
      </c>
      <c r="BX40" s="87">
        <f>'P &amp; NP'!TC165</f>
        <v>0</v>
      </c>
      <c r="BY40" s="87">
        <f>'P &amp; NP'!TD165</f>
        <v>0</v>
      </c>
      <c r="BZ40" s="87">
        <f>'P &amp; NP'!TE165</f>
        <v>0</v>
      </c>
      <c r="CA40" s="87">
        <f>'P &amp; NP'!TF165</f>
        <v>0</v>
      </c>
      <c r="CB40" s="87">
        <f>'P &amp; NP'!TG165</f>
        <v>0</v>
      </c>
      <c r="CC40" s="87">
        <f>'P &amp; NP'!TH165</f>
        <v>0</v>
      </c>
      <c r="CD40" s="92">
        <f t="shared" si="222"/>
        <v>27220</v>
      </c>
      <c r="CE40" s="92">
        <f t="shared" si="223"/>
        <v>623220</v>
      </c>
      <c r="CF40" s="87">
        <f>'P &amp; NP'!SU203</f>
        <v>0</v>
      </c>
      <c r="CG40" s="87">
        <f>'P &amp; NP'!SV203</f>
        <v>0</v>
      </c>
      <c r="CH40" s="87">
        <f>'P &amp; NP'!SW203</f>
        <v>0</v>
      </c>
      <c r="CI40" s="87">
        <f>'P &amp; NP'!SX203</f>
        <v>0</v>
      </c>
      <c r="CJ40" s="87">
        <f>'P &amp; NP'!SY203</f>
        <v>0</v>
      </c>
      <c r="CK40" s="87">
        <f>'P &amp; NP'!SZ203</f>
        <v>0</v>
      </c>
      <c r="CL40" s="87">
        <f>'P &amp; NP'!TA203</f>
        <v>25670</v>
      </c>
      <c r="CM40" s="87">
        <f>'P &amp; NP'!TB203</f>
        <v>585008</v>
      </c>
      <c r="CN40" s="87">
        <f>'P &amp; NP'!TC203</f>
        <v>0</v>
      </c>
      <c r="CO40" s="87">
        <f>'P &amp; NP'!TD203</f>
        <v>0</v>
      </c>
      <c r="CP40" s="87">
        <f>'P &amp; NP'!TE203</f>
        <v>0</v>
      </c>
      <c r="CQ40" s="87">
        <f>'P &amp; NP'!TF203</f>
        <v>0</v>
      </c>
      <c r="CR40" s="87">
        <f>'P &amp; NP'!TG203</f>
        <v>0</v>
      </c>
      <c r="CS40" s="87">
        <f>'P &amp; NP'!TH203</f>
        <v>0</v>
      </c>
      <c r="CT40" s="92">
        <f t="shared" si="224"/>
        <v>25670</v>
      </c>
      <c r="CU40" s="92">
        <f t="shared" si="225"/>
        <v>585008</v>
      </c>
      <c r="CV40" s="87">
        <f>'P &amp; NP'!SU241</f>
        <v>0</v>
      </c>
      <c r="CW40" s="87">
        <f>'P &amp; NP'!SV241</f>
        <v>0</v>
      </c>
      <c r="CX40" s="87">
        <f>'P &amp; NP'!SW241</f>
        <v>0</v>
      </c>
      <c r="CY40" s="87">
        <f>'P &amp; NP'!SX241</f>
        <v>0</v>
      </c>
      <c r="CZ40" s="87">
        <f>'P &amp; NP'!TA241</f>
        <v>18875</v>
      </c>
      <c r="DA40" s="87">
        <f>'P &amp; NP'!TB241</f>
        <v>412163</v>
      </c>
      <c r="DB40" s="87">
        <f>'P &amp; NP'!TC241</f>
        <v>0</v>
      </c>
      <c r="DC40" s="87">
        <f>'P &amp; NP'!TD241</f>
        <v>0</v>
      </c>
      <c r="DD40" s="87">
        <f>'P &amp; NP'!TE241</f>
        <v>0</v>
      </c>
      <c r="DE40" s="87">
        <f>'P &amp; NP'!TF241</f>
        <v>0</v>
      </c>
      <c r="DF40" s="87">
        <f>'P &amp; NP'!TG241</f>
        <v>0</v>
      </c>
      <c r="DG40" s="87">
        <f>'P &amp; NP'!TH241</f>
        <v>0</v>
      </c>
      <c r="DH40" s="87">
        <f t="shared" si="226"/>
        <v>18875</v>
      </c>
      <c r="DI40" s="87">
        <f t="shared" si="227"/>
        <v>412163</v>
      </c>
      <c r="DJ40" s="92">
        <f>'P &amp; NP'!SU279</f>
        <v>0</v>
      </c>
      <c r="DK40" s="92">
        <f>'P &amp; NP'!SV279</f>
        <v>0</v>
      </c>
      <c r="DL40" s="87">
        <f>'P &amp; NP'!SW279</f>
        <v>0</v>
      </c>
      <c r="DM40" s="87">
        <f>'P &amp; NP'!SX279</f>
        <v>0</v>
      </c>
      <c r="DN40" s="87">
        <f>'P &amp; NP'!TA279</f>
        <v>18565</v>
      </c>
      <c r="DO40" s="87">
        <f>'P &amp; NP'!TB279</f>
        <v>407488</v>
      </c>
      <c r="DP40" s="87">
        <f>'P &amp; NP'!TC279</f>
        <v>0</v>
      </c>
      <c r="DQ40" s="87">
        <f>'P &amp; NP'!TD279</f>
        <v>0</v>
      </c>
      <c r="DR40" s="87">
        <f>'P &amp; NP'!TE279</f>
        <v>0</v>
      </c>
      <c r="DS40" s="87">
        <f>'P &amp; NP'!TF279</f>
        <v>0</v>
      </c>
      <c r="DT40" s="87">
        <f>'P &amp; NP'!TG279</f>
        <v>0</v>
      </c>
      <c r="DU40" s="87">
        <f>'P &amp; NP'!TH279</f>
        <v>0</v>
      </c>
      <c r="DV40" s="87">
        <f t="shared" si="228"/>
        <v>18565</v>
      </c>
      <c r="DW40" s="87">
        <f t="shared" si="229"/>
        <v>407488</v>
      </c>
      <c r="DX40" s="87">
        <f>'P &amp; NP'!SU317</f>
        <v>0</v>
      </c>
      <c r="DY40" s="87">
        <f>'P &amp; NP'!SV317</f>
        <v>0</v>
      </c>
      <c r="DZ40" s="92">
        <f>'P &amp; NP'!SW317</f>
        <v>0</v>
      </c>
      <c r="EA40" s="92">
        <f>'P &amp; NP'!SX317</f>
        <v>0</v>
      </c>
      <c r="EB40" s="87">
        <f>'P &amp; NP'!TA317</f>
        <v>17925</v>
      </c>
      <c r="EC40" s="87">
        <f>'P &amp; NP'!TB317</f>
        <v>384695</v>
      </c>
      <c r="ED40" s="87">
        <f>'P &amp; NP'!TC317</f>
        <v>0</v>
      </c>
      <c r="EE40" s="87">
        <f>'P &amp; NP'!TD317</f>
        <v>0</v>
      </c>
      <c r="EF40" s="87">
        <f>'P &amp; NP'!TE317</f>
        <v>0</v>
      </c>
      <c r="EG40" s="87">
        <f>'P &amp; NP'!TF317</f>
        <v>0</v>
      </c>
      <c r="EH40" s="87">
        <f>'P &amp; NP'!TG317</f>
        <v>0</v>
      </c>
      <c r="EI40" s="87">
        <f>'P &amp; NP'!TH317</f>
        <v>0</v>
      </c>
      <c r="EJ40" s="87">
        <f t="shared" si="230"/>
        <v>17925</v>
      </c>
      <c r="EK40" s="87">
        <f t="shared" si="231"/>
        <v>384695</v>
      </c>
      <c r="EL40" s="87">
        <f>'P &amp; NP'!SU355</f>
        <v>0</v>
      </c>
      <c r="EM40" s="87">
        <f>'P &amp; NP'!SV355</f>
        <v>0</v>
      </c>
      <c r="EN40" s="87">
        <f>'P &amp; NP'!SW355</f>
        <v>0</v>
      </c>
      <c r="EO40" s="87">
        <f>'P &amp; NP'!SX355</f>
        <v>0</v>
      </c>
      <c r="EP40" s="92">
        <f>'P &amp; NP'!TA355</f>
        <v>18805</v>
      </c>
      <c r="EQ40" s="92">
        <f>'P &amp; NP'!TB355</f>
        <v>394932</v>
      </c>
      <c r="ER40" s="87">
        <f>'P &amp; NP'!TC355</f>
        <v>0</v>
      </c>
      <c r="ES40" s="87">
        <f>'P &amp; NP'!TD355</f>
        <v>0</v>
      </c>
      <c r="ET40" s="87">
        <f>'P &amp; NP'!TE355</f>
        <v>0</v>
      </c>
      <c r="EU40" s="87">
        <f>'P &amp; NP'!TF355</f>
        <v>0</v>
      </c>
      <c r="EV40" s="87">
        <f>'P &amp; NP'!TG355</f>
        <v>0</v>
      </c>
      <c r="EW40" s="87">
        <f>'P &amp; NP'!TH355</f>
        <v>0</v>
      </c>
      <c r="EX40" s="87">
        <f t="shared" si="232"/>
        <v>18805</v>
      </c>
      <c r="EY40" s="87">
        <f t="shared" si="233"/>
        <v>394932</v>
      </c>
      <c r="EZ40" s="87">
        <f>'P &amp; NP'!SU393</f>
        <v>0</v>
      </c>
      <c r="FA40" s="87">
        <f>'P &amp; NP'!SV393</f>
        <v>0</v>
      </c>
      <c r="FB40" s="87">
        <f>'P &amp; NP'!SW393</f>
        <v>0</v>
      </c>
      <c r="FC40" s="87">
        <f>'P &amp; NP'!SX393</f>
        <v>0</v>
      </c>
      <c r="FD40" s="87">
        <f>'P &amp; NP'!TA393</f>
        <v>19865</v>
      </c>
      <c r="FE40" s="87">
        <f>'P &amp; NP'!TB393</f>
        <v>421980</v>
      </c>
      <c r="FF40" s="92">
        <f>'P &amp; NP'!TC393</f>
        <v>0</v>
      </c>
      <c r="FG40" s="92">
        <f>'P &amp; NP'!TD393</f>
        <v>0</v>
      </c>
      <c r="FH40" s="87">
        <f>'P &amp; NP'!TE393</f>
        <v>0</v>
      </c>
      <c r="FI40" s="87">
        <f>'P &amp; NP'!TF393</f>
        <v>0</v>
      </c>
      <c r="FJ40" s="87">
        <f>'P &amp; NP'!TG393</f>
        <v>0</v>
      </c>
      <c r="FK40" s="87">
        <f>'P &amp; NP'!TH393</f>
        <v>0</v>
      </c>
      <c r="FL40" s="87">
        <f t="shared" si="234"/>
        <v>19865</v>
      </c>
      <c r="FM40" s="87">
        <f t="shared" si="235"/>
        <v>421980</v>
      </c>
      <c r="FN40" s="87">
        <f>'P &amp; NP'!SU431</f>
        <v>0</v>
      </c>
      <c r="FO40" s="87">
        <f>'P &amp; NP'!SV431</f>
        <v>0</v>
      </c>
      <c r="FP40" s="87">
        <f>'P &amp; NP'!SW431</f>
        <v>0</v>
      </c>
      <c r="FQ40" s="87">
        <f>'P &amp; NP'!SX431</f>
        <v>0</v>
      </c>
      <c r="FR40" s="87">
        <f>'P &amp; NP'!TA431</f>
        <v>21855</v>
      </c>
      <c r="FS40" s="87">
        <f>'P &amp; NP'!TB431</f>
        <v>478983</v>
      </c>
      <c r="FT40" s="87">
        <f>'P &amp; NP'!TC431</f>
        <v>0</v>
      </c>
      <c r="FU40" s="87">
        <f>'P &amp; NP'!TD431</f>
        <v>0</v>
      </c>
      <c r="FV40" s="92">
        <f>'P &amp; NP'!TE431</f>
        <v>0</v>
      </c>
      <c r="FW40" s="92">
        <f>'P &amp; NP'!TF431</f>
        <v>0</v>
      </c>
      <c r="FX40" s="87">
        <f>'P &amp; NP'!TG431</f>
        <v>0</v>
      </c>
      <c r="FY40" s="87">
        <f>'P &amp; NP'!TH431</f>
        <v>0</v>
      </c>
      <c r="FZ40" s="87">
        <f t="shared" si="236"/>
        <v>21855</v>
      </c>
      <c r="GA40" s="87">
        <f t="shared" si="237"/>
        <v>478983</v>
      </c>
      <c r="GC40" s="609">
        <f t="shared" si="164"/>
        <v>0</v>
      </c>
      <c r="GD40" s="609">
        <f t="shared" si="165"/>
        <v>0</v>
      </c>
      <c r="GE40" s="609">
        <f t="shared" si="166"/>
        <v>0</v>
      </c>
      <c r="GF40" s="609">
        <f t="shared" si="167"/>
        <v>0</v>
      </c>
      <c r="GG40" s="609">
        <f t="shared" si="168"/>
        <v>91944.98</v>
      </c>
      <c r="GH40" s="609">
        <f t="shared" si="169"/>
        <v>2034943.4</v>
      </c>
      <c r="GI40" s="609">
        <f t="shared" si="170"/>
        <v>0</v>
      </c>
      <c r="GJ40" s="609">
        <f t="shared" si="171"/>
        <v>0</v>
      </c>
      <c r="GK40" s="609">
        <f t="shared" si="172"/>
        <v>0</v>
      </c>
      <c r="GL40" s="609">
        <f t="shared" si="173"/>
        <v>0</v>
      </c>
      <c r="GM40" s="609">
        <f t="shared" si="174"/>
        <v>0</v>
      </c>
      <c r="GN40" s="609">
        <f t="shared" si="175"/>
        <v>0</v>
      </c>
      <c r="GO40" s="640">
        <f t="shared" si="238"/>
        <v>91944.98</v>
      </c>
      <c r="GP40" s="640">
        <f t="shared" si="239"/>
        <v>2034943.4</v>
      </c>
      <c r="GR40" s="609">
        <f t="shared" si="176"/>
        <v>0</v>
      </c>
      <c r="GS40" s="609">
        <f t="shared" si="177"/>
        <v>0</v>
      </c>
      <c r="GT40" s="609">
        <f t="shared" si="178"/>
        <v>0</v>
      </c>
      <c r="GU40" s="609">
        <f t="shared" si="179"/>
        <v>0</v>
      </c>
      <c r="GV40" s="609">
        <f t="shared" si="180"/>
        <v>82789.97</v>
      </c>
      <c r="GW40" s="609">
        <f t="shared" si="181"/>
        <v>1872530.2220000001</v>
      </c>
      <c r="GX40" s="609">
        <f t="shared" si="182"/>
        <v>0</v>
      </c>
      <c r="GY40" s="609">
        <f t="shared" si="183"/>
        <v>0</v>
      </c>
      <c r="GZ40" s="609">
        <f t="shared" si="184"/>
        <v>0</v>
      </c>
      <c r="HA40" s="609">
        <f t="shared" si="185"/>
        <v>0</v>
      </c>
      <c r="HB40" s="609">
        <f t="shared" si="186"/>
        <v>0</v>
      </c>
      <c r="HC40" s="609">
        <f t="shared" si="187"/>
        <v>0</v>
      </c>
      <c r="HD40" s="640">
        <f t="shared" si="240"/>
        <v>82789.97</v>
      </c>
      <c r="HE40" s="640">
        <f t="shared" si="241"/>
        <v>1872530.2220000001</v>
      </c>
      <c r="HG40" s="609">
        <f t="shared" si="188"/>
        <v>0</v>
      </c>
      <c r="HH40" s="609">
        <f t="shared" si="189"/>
        <v>0</v>
      </c>
      <c r="HI40" s="609">
        <f t="shared" si="190"/>
        <v>0</v>
      </c>
      <c r="HJ40" s="609">
        <f t="shared" si="191"/>
        <v>0</v>
      </c>
      <c r="HK40" s="609">
        <f t="shared" si="192"/>
        <v>55365</v>
      </c>
      <c r="HL40" s="609">
        <f t="shared" si="193"/>
        <v>1204346</v>
      </c>
      <c r="HM40" s="609">
        <f t="shared" si="194"/>
        <v>0</v>
      </c>
      <c r="HN40" s="609">
        <f t="shared" si="195"/>
        <v>0</v>
      </c>
      <c r="HO40" s="609">
        <f t="shared" si="196"/>
        <v>0</v>
      </c>
      <c r="HP40" s="609">
        <f t="shared" si="197"/>
        <v>0</v>
      </c>
      <c r="HQ40" s="609">
        <f t="shared" si="198"/>
        <v>0</v>
      </c>
      <c r="HR40" s="609">
        <f t="shared" si="199"/>
        <v>0</v>
      </c>
      <c r="HS40" s="640">
        <f t="shared" si="242"/>
        <v>55365</v>
      </c>
      <c r="HT40" s="640">
        <f t="shared" si="243"/>
        <v>1204346</v>
      </c>
      <c r="HV40" s="609">
        <f t="shared" si="200"/>
        <v>0</v>
      </c>
      <c r="HW40" s="609">
        <f t="shared" si="201"/>
        <v>0</v>
      </c>
      <c r="HX40" s="609">
        <f t="shared" si="202"/>
        <v>0</v>
      </c>
      <c r="HY40" s="609">
        <f t="shared" si="203"/>
        <v>0</v>
      </c>
      <c r="HZ40" s="609">
        <f t="shared" si="204"/>
        <v>60525</v>
      </c>
      <c r="IA40" s="609">
        <f t="shared" si="205"/>
        <v>1295895</v>
      </c>
      <c r="IB40" s="609">
        <f t="shared" si="206"/>
        <v>0</v>
      </c>
      <c r="IC40" s="609">
        <f t="shared" si="207"/>
        <v>0</v>
      </c>
      <c r="ID40" s="609">
        <f t="shared" si="208"/>
        <v>0</v>
      </c>
      <c r="IE40" s="609">
        <f t="shared" si="209"/>
        <v>0</v>
      </c>
      <c r="IF40" s="609">
        <f t="shared" si="210"/>
        <v>0</v>
      </c>
      <c r="IG40" s="609">
        <f t="shared" si="211"/>
        <v>0</v>
      </c>
      <c r="IH40" s="640">
        <f t="shared" si="244"/>
        <v>60525</v>
      </c>
      <c r="II40" s="640">
        <f t="shared" si="245"/>
        <v>1295895</v>
      </c>
    </row>
    <row r="41" spans="1:243">
      <c r="A41" s="484" t="s">
        <v>143</v>
      </c>
      <c r="B41" s="484">
        <f t="shared" si="212"/>
        <v>162000</v>
      </c>
      <c r="C41" s="484">
        <f t="shared" si="213"/>
        <v>3551550</v>
      </c>
      <c r="D41" s="87">
        <f>'P &amp; NP'!TK13</f>
        <v>0</v>
      </c>
      <c r="E41" s="87">
        <f>'P &amp; NP'!TL13</f>
        <v>0</v>
      </c>
      <c r="F41" s="87">
        <f>'P &amp; NP'!TM13</f>
        <v>0</v>
      </c>
      <c r="G41" s="87">
        <f>'P &amp; NP'!TN13</f>
        <v>0</v>
      </c>
      <c r="H41" s="87">
        <f>'P &amp; NP'!TO13</f>
        <v>0</v>
      </c>
      <c r="I41" s="87">
        <f>'P &amp; NP'!TP13</f>
        <v>0</v>
      </c>
      <c r="J41" s="87">
        <f>'P &amp; NP'!TQ13</f>
        <v>4600</v>
      </c>
      <c r="K41" s="87">
        <f>'P &amp; NP'!TR13</f>
        <v>102400</v>
      </c>
      <c r="L41" s="87">
        <f>'P &amp; NP'!TS13</f>
        <v>0</v>
      </c>
      <c r="M41" s="87">
        <f>'P &amp; NP'!TT13</f>
        <v>0</v>
      </c>
      <c r="N41" s="87">
        <f>'P &amp; NP'!TU13</f>
        <v>250</v>
      </c>
      <c r="O41" s="87">
        <f>'P &amp; NP'!TV13</f>
        <v>8000</v>
      </c>
      <c r="P41" s="87">
        <f>'P &amp; NP'!TW13</f>
        <v>0</v>
      </c>
      <c r="Q41" s="87">
        <f>'P &amp; NP'!TX13</f>
        <v>0</v>
      </c>
      <c r="R41" s="92">
        <f t="shared" si="214"/>
        <v>4850</v>
      </c>
      <c r="S41" s="92">
        <f t="shared" si="215"/>
        <v>110400</v>
      </c>
      <c r="T41" s="87">
        <f>'P &amp; NP'!TK51</f>
        <v>0</v>
      </c>
      <c r="U41" s="87">
        <f>'P &amp; NP'!TL51</f>
        <v>0</v>
      </c>
      <c r="V41" s="87">
        <f>'P &amp; NP'!TM51</f>
        <v>0</v>
      </c>
      <c r="W41" s="87">
        <f>'P &amp; NP'!TN51</f>
        <v>0</v>
      </c>
      <c r="X41" s="87">
        <f>'P &amp; NP'!TO51</f>
        <v>0</v>
      </c>
      <c r="Y41" s="87">
        <f>'P &amp; NP'!TP51</f>
        <v>0</v>
      </c>
      <c r="Z41" s="87">
        <f>'P &amp; NP'!TQ51</f>
        <v>13300</v>
      </c>
      <c r="AA41" s="87">
        <f>'P &amp; NP'!TR51</f>
        <v>276700</v>
      </c>
      <c r="AB41" s="87">
        <f>'P &amp; NP'!TS51</f>
        <v>0</v>
      </c>
      <c r="AC41" s="87">
        <f>'P &amp; NP'!TT51</f>
        <v>0</v>
      </c>
      <c r="AD41" s="87">
        <f>'P &amp; NP'!TU51</f>
        <v>750</v>
      </c>
      <c r="AE41" s="87">
        <f>'P &amp; NP'!TV51</f>
        <v>24250</v>
      </c>
      <c r="AF41" s="87">
        <f>'P &amp; NP'!TW51</f>
        <v>0</v>
      </c>
      <c r="AG41" s="87">
        <f>'P &amp; NP'!TX51</f>
        <v>0</v>
      </c>
      <c r="AH41" s="92">
        <f t="shared" si="216"/>
        <v>14050</v>
      </c>
      <c r="AI41" s="92">
        <f t="shared" si="217"/>
        <v>300950</v>
      </c>
      <c r="AJ41" s="87">
        <f>'P &amp; NP'!TK89</f>
        <v>0</v>
      </c>
      <c r="AK41" s="87">
        <f>'P &amp; NP'!TL89</f>
        <v>0</v>
      </c>
      <c r="AL41" s="87">
        <f>'P &amp; NP'!TM89</f>
        <v>0</v>
      </c>
      <c r="AM41" s="87">
        <f>'P &amp; NP'!TN89</f>
        <v>0</v>
      </c>
      <c r="AN41" s="87">
        <f>'P &amp; NP'!TO89</f>
        <v>0</v>
      </c>
      <c r="AO41" s="87">
        <f>'P &amp; NP'!TP89</f>
        <v>0</v>
      </c>
      <c r="AP41" s="87">
        <f>'P &amp; NP'!TQ89</f>
        <v>26600</v>
      </c>
      <c r="AQ41" s="87">
        <f>'P &amp; NP'!TR89</f>
        <v>553400</v>
      </c>
      <c r="AR41" s="87">
        <f>'P &amp; NP'!TS89</f>
        <v>0</v>
      </c>
      <c r="AS41" s="87">
        <f>'P &amp; NP'!TT89</f>
        <v>0</v>
      </c>
      <c r="AT41" s="87">
        <f>'P &amp; NP'!TU89</f>
        <v>1500</v>
      </c>
      <c r="AU41" s="87">
        <f>'P &amp; NP'!TV89</f>
        <v>48500</v>
      </c>
      <c r="AV41" s="87">
        <f>'P &amp; NP'!TW89</f>
        <v>0</v>
      </c>
      <c r="AW41" s="87">
        <f>'P &amp; NP'!TX89</f>
        <v>0</v>
      </c>
      <c r="AX41" s="92">
        <f t="shared" si="218"/>
        <v>28100</v>
      </c>
      <c r="AY41" s="92">
        <f t="shared" si="219"/>
        <v>601900</v>
      </c>
      <c r="AZ41" s="87">
        <f>'P &amp; NP'!TK127</f>
        <v>0</v>
      </c>
      <c r="BA41" s="87">
        <f>'P &amp; NP'!TL127</f>
        <v>0</v>
      </c>
      <c r="BB41" s="87">
        <f>'P &amp; NP'!TM127</f>
        <v>0</v>
      </c>
      <c r="BC41" s="87">
        <f>'P &amp; NP'!TN127</f>
        <v>0</v>
      </c>
      <c r="BD41" s="87">
        <f>'P &amp; NP'!TO127</f>
        <v>0</v>
      </c>
      <c r="BE41" s="87">
        <f>'P &amp; NP'!TP127</f>
        <v>0</v>
      </c>
      <c r="BF41" s="87">
        <f>'P &amp; NP'!TQ127</f>
        <v>6000</v>
      </c>
      <c r="BG41" s="87">
        <f>'P &amp; NP'!TR127</f>
        <v>123600</v>
      </c>
      <c r="BH41" s="87">
        <f>'P &amp; NP'!TS127</f>
        <v>0</v>
      </c>
      <c r="BI41" s="87">
        <f>'P &amp; NP'!TT127</f>
        <v>0</v>
      </c>
      <c r="BJ41" s="87">
        <f>'P &amp; NP'!TU127</f>
        <v>950</v>
      </c>
      <c r="BK41" s="87">
        <f>'P &amp; NP'!TV127</f>
        <v>31000</v>
      </c>
      <c r="BL41" s="87">
        <f>'P &amp; NP'!TW127</f>
        <v>0</v>
      </c>
      <c r="BM41" s="87">
        <f>'P &amp; NP'!TX127</f>
        <v>0</v>
      </c>
      <c r="BN41" s="92">
        <f t="shared" si="220"/>
        <v>6950</v>
      </c>
      <c r="BO41" s="92">
        <f t="shared" si="221"/>
        <v>154600</v>
      </c>
      <c r="BP41" s="87">
        <f>'P &amp; NP'!TK165</f>
        <v>0</v>
      </c>
      <c r="BQ41" s="87">
        <f>'P &amp; NP'!TL165</f>
        <v>0</v>
      </c>
      <c r="BR41" s="87">
        <f>'P &amp; NP'!TM165</f>
        <v>0</v>
      </c>
      <c r="BS41" s="87">
        <f>'P &amp; NP'!TN165</f>
        <v>0</v>
      </c>
      <c r="BT41" s="87">
        <f>'P &amp; NP'!TO165</f>
        <v>0</v>
      </c>
      <c r="BU41" s="87">
        <f>'P &amp; NP'!TP165</f>
        <v>0</v>
      </c>
      <c r="BV41" s="87">
        <f>'P &amp; NP'!TQ165</f>
        <v>11300</v>
      </c>
      <c r="BW41" s="87">
        <f>'P &amp; NP'!TR165</f>
        <v>233300</v>
      </c>
      <c r="BX41" s="87">
        <f>'P &amp; NP'!TS165</f>
        <v>0</v>
      </c>
      <c r="BY41" s="87">
        <f>'P &amp; NP'!TT165</f>
        <v>0</v>
      </c>
      <c r="BZ41" s="87">
        <f>'P &amp; NP'!TU165</f>
        <v>1500</v>
      </c>
      <c r="CA41" s="87">
        <f>'P &amp; NP'!TV165</f>
        <v>48500</v>
      </c>
      <c r="CB41" s="87">
        <f>'P &amp; NP'!TW165</f>
        <v>0</v>
      </c>
      <c r="CC41" s="87">
        <f>'P &amp; NP'!TX165</f>
        <v>0</v>
      </c>
      <c r="CD41" s="92">
        <f t="shared" si="222"/>
        <v>12800</v>
      </c>
      <c r="CE41" s="92">
        <f t="shared" si="223"/>
        <v>281800</v>
      </c>
      <c r="CF41" s="87">
        <f>'P &amp; NP'!TK203</f>
        <v>0</v>
      </c>
      <c r="CG41" s="87">
        <f>'P &amp; NP'!TL203</f>
        <v>0</v>
      </c>
      <c r="CH41" s="87">
        <f>'P &amp; NP'!TM203</f>
        <v>0</v>
      </c>
      <c r="CI41" s="87">
        <f>'P &amp; NP'!TN203</f>
        <v>0</v>
      </c>
      <c r="CJ41" s="87">
        <f>'P &amp; NP'!TO203</f>
        <v>0</v>
      </c>
      <c r="CK41" s="87">
        <f>'P &amp; NP'!TP203</f>
        <v>0</v>
      </c>
      <c r="CL41" s="87">
        <f>'P &amp; NP'!TQ203</f>
        <v>13300</v>
      </c>
      <c r="CM41" s="87">
        <f>'P &amp; NP'!TR203</f>
        <v>274900</v>
      </c>
      <c r="CN41" s="87">
        <f>'P &amp; NP'!TS203</f>
        <v>0</v>
      </c>
      <c r="CO41" s="87">
        <f>'P &amp; NP'!TT203</f>
        <v>0</v>
      </c>
      <c r="CP41" s="87">
        <f>'P &amp; NP'!TU203</f>
        <v>1950</v>
      </c>
      <c r="CQ41" s="87">
        <f>'P &amp; NP'!TV203</f>
        <v>63500</v>
      </c>
      <c r="CR41" s="87">
        <f>'P &amp; NP'!TW203</f>
        <v>0</v>
      </c>
      <c r="CS41" s="87">
        <f>'P &amp; NP'!TX203</f>
        <v>0</v>
      </c>
      <c r="CT41" s="92">
        <f t="shared" si="224"/>
        <v>15250</v>
      </c>
      <c r="CU41" s="92">
        <f t="shared" si="225"/>
        <v>338400</v>
      </c>
      <c r="CV41" s="87">
        <f>'P &amp; NP'!TK241</f>
        <v>0</v>
      </c>
      <c r="CW41" s="87">
        <f>'P &amp; NP'!TL241</f>
        <v>0</v>
      </c>
      <c r="CX41" s="87">
        <f>'P &amp; NP'!TM241</f>
        <v>0</v>
      </c>
      <c r="CY41" s="87">
        <f>'P &amp; NP'!TN241</f>
        <v>0</v>
      </c>
      <c r="CZ41" s="87">
        <f>'P &amp; NP'!TQ241</f>
        <v>9100</v>
      </c>
      <c r="DA41" s="87">
        <f>'P &amp; NP'!TR241</f>
        <v>184300</v>
      </c>
      <c r="DB41" s="87">
        <f>'P &amp; NP'!TS241</f>
        <v>0</v>
      </c>
      <c r="DC41" s="87">
        <f>'P &amp; NP'!TT241</f>
        <v>0</v>
      </c>
      <c r="DD41" s="87">
        <f>'P &amp; NP'!TU241</f>
        <v>1000</v>
      </c>
      <c r="DE41" s="87">
        <f>'P &amp; NP'!TV241</f>
        <v>33000</v>
      </c>
      <c r="DF41" s="87">
        <f>'P &amp; NP'!TW241</f>
        <v>0</v>
      </c>
      <c r="DG41" s="87">
        <f>'P &amp; NP'!TX241</f>
        <v>0</v>
      </c>
      <c r="DH41" s="87">
        <f t="shared" si="226"/>
        <v>10100</v>
      </c>
      <c r="DI41" s="87">
        <f t="shared" si="227"/>
        <v>217300</v>
      </c>
      <c r="DJ41" s="92">
        <f>'P &amp; NP'!TK279</f>
        <v>0</v>
      </c>
      <c r="DK41" s="92">
        <f>'P &amp; NP'!TL279</f>
        <v>0</v>
      </c>
      <c r="DL41" s="87">
        <f>'P &amp; NP'!TM279</f>
        <v>0</v>
      </c>
      <c r="DM41" s="87">
        <f>'P &amp; NP'!TN279</f>
        <v>0</v>
      </c>
      <c r="DN41" s="87">
        <f>'P &amp; NP'!TQ279</f>
        <v>8000</v>
      </c>
      <c r="DO41" s="87">
        <f>'P &amp; NP'!TR279</f>
        <v>162200</v>
      </c>
      <c r="DP41" s="87">
        <f>'P &amp; NP'!TS279</f>
        <v>0</v>
      </c>
      <c r="DQ41" s="87">
        <f>'P &amp; NP'!TT279</f>
        <v>0</v>
      </c>
      <c r="DR41" s="87">
        <f>'P &amp; NP'!TU279</f>
        <v>700</v>
      </c>
      <c r="DS41" s="87">
        <f>'P &amp; NP'!TV279</f>
        <v>23000</v>
      </c>
      <c r="DT41" s="87">
        <f>'P &amp; NP'!TW279</f>
        <v>0</v>
      </c>
      <c r="DU41" s="87">
        <f>'P &amp; NP'!TX279</f>
        <v>0</v>
      </c>
      <c r="DV41" s="87">
        <f t="shared" si="228"/>
        <v>8700</v>
      </c>
      <c r="DW41" s="87">
        <f t="shared" si="229"/>
        <v>185200</v>
      </c>
      <c r="DX41" s="87">
        <f>'P &amp; NP'!TK317</f>
        <v>0</v>
      </c>
      <c r="DY41" s="87">
        <f>'P &amp; NP'!TL317</f>
        <v>0</v>
      </c>
      <c r="DZ41" s="92">
        <f>'P &amp; NP'!TM317</f>
        <v>0</v>
      </c>
      <c r="EA41" s="92">
        <f>'P &amp; NP'!TN317</f>
        <v>0</v>
      </c>
      <c r="EB41" s="87">
        <f>'P &amp; NP'!TQ317</f>
        <v>5700</v>
      </c>
      <c r="EC41" s="87">
        <f>'P &amp; NP'!TR317</f>
        <v>115500</v>
      </c>
      <c r="ED41" s="87">
        <f>'P &amp; NP'!TS317</f>
        <v>0</v>
      </c>
      <c r="EE41" s="87">
        <f>'P &amp; NP'!TT317</f>
        <v>0</v>
      </c>
      <c r="EF41" s="87">
        <f>'P &amp; NP'!TU317</f>
        <v>500</v>
      </c>
      <c r="EG41" s="87">
        <f>'P &amp; NP'!TV317</f>
        <v>16500</v>
      </c>
      <c r="EH41" s="87">
        <f>'P &amp; NP'!TW317</f>
        <v>0</v>
      </c>
      <c r="EI41" s="87">
        <f>'P &amp; NP'!TX317</f>
        <v>0</v>
      </c>
      <c r="EJ41" s="87">
        <f t="shared" si="230"/>
        <v>6200</v>
      </c>
      <c r="EK41" s="87">
        <f t="shared" si="231"/>
        <v>132000</v>
      </c>
      <c r="EL41" s="87">
        <f>'P &amp; NP'!TK355</f>
        <v>0</v>
      </c>
      <c r="EM41" s="87">
        <f>'P &amp; NP'!TL355</f>
        <v>0</v>
      </c>
      <c r="EN41" s="87">
        <f>'P &amp; NP'!TM355</f>
        <v>0</v>
      </c>
      <c r="EO41" s="87">
        <f>'P &amp; NP'!TN355</f>
        <v>0</v>
      </c>
      <c r="EP41" s="92">
        <f>'P &amp; NP'!TQ355</f>
        <v>6800</v>
      </c>
      <c r="EQ41" s="92">
        <f>'P &amp; NP'!TR355</f>
        <v>140000</v>
      </c>
      <c r="ER41" s="87">
        <f>'P &amp; NP'!TS355</f>
        <v>0</v>
      </c>
      <c r="ES41" s="87">
        <f>'P &amp; NP'!TT355</f>
        <v>0</v>
      </c>
      <c r="ET41" s="87">
        <f>'P &amp; NP'!TU355</f>
        <v>1500</v>
      </c>
      <c r="EU41" s="87">
        <f>'P &amp; NP'!TV355</f>
        <v>47500</v>
      </c>
      <c r="EV41" s="87">
        <f>'P &amp; NP'!TW355</f>
        <v>0</v>
      </c>
      <c r="EW41" s="87">
        <f>'P &amp; NP'!TX355</f>
        <v>0</v>
      </c>
      <c r="EX41" s="87">
        <f t="shared" si="232"/>
        <v>8300</v>
      </c>
      <c r="EY41" s="87">
        <f t="shared" si="233"/>
        <v>187500</v>
      </c>
      <c r="EZ41" s="87">
        <f>'P &amp; NP'!TK393</f>
        <v>0</v>
      </c>
      <c r="FA41" s="87">
        <f>'P &amp; NP'!TL393</f>
        <v>0</v>
      </c>
      <c r="FB41" s="87">
        <f>'P &amp; NP'!TM393</f>
        <v>0</v>
      </c>
      <c r="FC41" s="87">
        <f>'P &amp; NP'!TN393</f>
        <v>0</v>
      </c>
      <c r="FD41" s="87">
        <f>'P &amp; NP'!TQ393</f>
        <v>15500</v>
      </c>
      <c r="FE41" s="87">
        <f>'P &amp; NP'!TR393</f>
        <v>314300</v>
      </c>
      <c r="FF41" s="92">
        <f>'P &amp; NP'!TS393</f>
        <v>0</v>
      </c>
      <c r="FG41" s="92">
        <f>'P &amp; NP'!TT393</f>
        <v>0</v>
      </c>
      <c r="FH41" s="87">
        <f>'P &amp; NP'!TU393</f>
        <v>3000</v>
      </c>
      <c r="FI41" s="87">
        <f>'P &amp; NP'!TV393</f>
        <v>95000</v>
      </c>
      <c r="FJ41" s="87">
        <f>'P &amp; NP'!TW393</f>
        <v>0</v>
      </c>
      <c r="FK41" s="87">
        <f>'P &amp; NP'!TX393</f>
        <v>0</v>
      </c>
      <c r="FL41" s="87">
        <f t="shared" si="234"/>
        <v>18500</v>
      </c>
      <c r="FM41" s="87">
        <f t="shared" si="235"/>
        <v>409300</v>
      </c>
      <c r="FN41" s="87">
        <f>'P &amp; NP'!TK431</f>
        <v>0</v>
      </c>
      <c r="FO41" s="87">
        <f>'P &amp; NP'!TL431</f>
        <v>0</v>
      </c>
      <c r="FP41" s="87">
        <f>'P &amp; NP'!TM431</f>
        <v>0</v>
      </c>
      <c r="FQ41" s="87">
        <f>'P &amp; NP'!TN431</f>
        <v>0</v>
      </c>
      <c r="FR41" s="87">
        <f>'P &amp; NP'!TQ431</f>
        <v>23200</v>
      </c>
      <c r="FS41" s="87">
        <f>'P &amp; NP'!TR431</f>
        <v>474700</v>
      </c>
      <c r="FT41" s="87">
        <f>'P &amp; NP'!TS431</f>
        <v>0</v>
      </c>
      <c r="FU41" s="87">
        <f>'P &amp; NP'!TT431</f>
        <v>0</v>
      </c>
      <c r="FV41" s="92">
        <f>'P &amp; NP'!TU431</f>
        <v>5000</v>
      </c>
      <c r="FW41" s="92">
        <f>'P &amp; NP'!TV431</f>
        <v>157500</v>
      </c>
      <c r="FX41" s="87">
        <f>'P &amp; NP'!TW431</f>
        <v>0</v>
      </c>
      <c r="FY41" s="87">
        <f>'P &amp; NP'!TX431</f>
        <v>0</v>
      </c>
      <c r="FZ41" s="87">
        <f t="shared" si="236"/>
        <v>28200</v>
      </c>
      <c r="GA41" s="87">
        <f t="shared" si="237"/>
        <v>632200</v>
      </c>
      <c r="GC41" s="609">
        <f t="shared" si="164"/>
        <v>0</v>
      </c>
      <c r="GD41" s="609">
        <f t="shared" si="165"/>
        <v>0</v>
      </c>
      <c r="GE41" s="609">
        <f t="shared" si="166"/>
        <v>0</v>
      </c>
      <c r="GF41" s="609">
        <f t="shared" si="167"/>
        <v>0</v>
      </c>
      <c r="GG41" s="609">
        <f t="shared" si="168"/>
        <v>44500</v>
      </c>
      <c r="GH41" s="609">
        <f t="shared" si="169"/>
        <v>932500</v>
      </c>
      <c r="GI41" s="609">
        <f t="shared" si="170"/>
        <v>0</v>
      </c>
      <c r="GJ41" s="609">
        <f t="shared" si="171"/>
        <v>0</v>
      </c>
      <c r="GK41" s="609">
        <f t="shared" si="172"/>
        <v>2500</v>
      </c>
      <c r="GL41" s="609">
        <f t="shared" si="173"/>
        <v>80750</v>
      </c>
      <c r="GM41" s="609">
        <f t="shared" si="174"/>
        <v>0</v>
      </c>
      <c r="GN41" s="609">
        <f t="shared" si="175"/>
        <v>0</v>
      </c>
      <c r="GO41" s="640">
        <f t="shared" si="238"/>
        <v>47000</v>
      </c>
      <c r="GP41" s="640">
        <f t="shared" si="239"/>
        <v>1013250</v>
      </c>
      <c r="GR41" s="609">
        <f t="shared" si="176"/>
        <v>0</v>
      </c>
      <c r="GS41" s="609">
        <f t="shared" si="177"/>
        <v>0</v>
      </c>
      <c r="GT41" s="609">
        <f t="shared" si="178"/>
        <v>0</v>
      </c>
      <c r="GU41" s="609">
        <f t="shared" si="179"/>
        <v>0</v>
      </c>
      <c r="GV41" s="609">
        <f t="shared" si="180"/>
        <v>30600</v>
      </c>
      <c r="GW41" s="609">
        <f t="shared" si="181"/>
        <v>631800</v>
      </c>
      <c r="GX41" s="609">
        <f t="shared" si="182"/>
        <v>0</v>
      </c>
      <c r="GY41" s="609">
        <f t="shared" si="183"/>
        <v>0</v>
      </c>
      <c r="GZ41" s="609">
        <f t="shared" si="184"/>
        <v>4400</v>
      </c>
      <c r="HA41" s="609">
        <f t="shared" si="185"/>
        <v>143000</v>
      </c>
      <c r="HB41" s="609">
        <f t="shared" si="186"/>
        <v>0</v>
      </c>
      <c r="HC41" s="609">
        <f t="shared" si="187"/>
        <v>0</v>
      </c>
      <c r="HD41" s="640">
        <f t="shared" si="240"/>
        <v>35000</v>
      </c>
      <c r="HE41" s="640">
        <f t="shared" si="241"/>
        <v>774800</v>
      </c>
      <c r="HG41" s="609">
        <f t="shared" si="188"/>
        <v>0</v>
      </c>
      <c r="HH41" s="609">
        <f t="shared" si="189"/>
        <v>0</v>
      </c>
      <c r="HI41" s="609">
        <f t="shared" si="190"/>
        <v>0</v>
      </c>
      <c r="HJ41" s="609">
        <f t="shared" si="191"/>
        <v>0</v>
      </c>
      <c r="HK41" s="609">
        <f t="shared" si="192"/>
        <v>22800</v>
      </c>
      <c r="HL41" s="609">
        <f t="shared" si="193"/>
        <v>462000</v>
      </c>
      <c r="HM41" s="609">
        <f t="shared" si="194"/>
        <v>0</v>
      </c>
      <c r="HN41" s="609">
        <f t="shared" si="195"/>
        <v>0</v>
      </c>
      <c r="HO41" s="609">
        <f t="shared" si="196"/>
        <v>2200</v>
      </c>
      <c r="HP41" s="609">
        <f t="shared" si="197"/>
        <v>72500</v>
      </c>
      <c r="HQ41" s="609">
        <f t="shared" si="198"/>
        <v>0</v>
      </c>
      <c r="HR41" s="609">
        <f t="shared" si="199"/>
        <v>0</v>
      </c>
      <c r="HS41" s="640">
        <f t="shared" si="242"/>
        <v>25000</v>
      </c>
      <c r="HT41" s="640">
        <f t="shared" si="243"/>
        <v>534500</v>
      </c>
      <c r="HV41" s="609">
        <f t="shared" si="200"/>
        <v>0</v>
      </c>
      <c r="HW41" s="609">
        <f t="shared" si="201"/>
        <v>0</v>
      </c>
      <c r="HX41" s="609">
        <f t="shared" si="202"/>
        <v>0</v>
      </c>
      <c r="HY41" s="609">
        <f t="shared" si="203"/>
        <v>0</v>
      </c>
      <c r="HZ41" s="609">
        <f t="shared" si="204"/>
        <v>45500</v>
      </c>
      <c r="IA41" s="609">
        <f t="shared" si="205"/>
        <v>929000</v>
      </c>
      <c r="IB41" s="609">
        <f t="shared" si="206"/>
        <v>0</v>
      </c>
      <c r="IC41" s="609">
        <f t="shared" si="207"/>
        <v>0</v>
      </c>
      <c r="ID41" s="609">
        <f t="shared" si="208"/>
        <v>9500</v>
      </c>
      <c r="IE41" s="609">
        <f t="shared" si="209"/>
        <v>300000</v>
      </c>
      <c r="IF41" s="609">
        <f t="shared" si="210"/>
        <v>0</v>
      </c>
      <c r="IG41" s="609">
        <f t="shared" si="211"/>
        <v>0</v>
      </c>
      <c r="IH41" s="640">
        <f t="shared" si="244"/>
        <v>55000</v>
      </c>
      <c r="II41" s="640">
        <f t="shared" si="245"/>
        <v>1229000</v>
      </c>
    </row>
    <row r="42" spans="1:243">
      <c r="A42" s="484" t="s">
        <v>146</v>
      </c>
      <c r="B42" s="484">
        <f t="shared" si="212"/>
        <v>228711</v>
      </c>
      <c r="C42" s="484">
        <f t="shared" si="213"/>
        <v>4188392.0039999997</v>
      </c>
      <c r="D42" s="87">
        <f>'P &amp; NP'!UA13</f>
        <v>0</v>
      </c>
      <c r="E42" s="87">
        <f>'P &amp; NP'!UB13</f>
        <v>0</v>
      </c>
      <c r="F42" s="87">
        <f>'P &amp; NP'!UC13</f>
        <v>0</v>
      </c>
      <c r="G42" s="87">
        <f>'P &amp; NP'!UD13</f>
        <v>0</v>
      </c>
      <c r="H42" s="87">
        <f>'P &amp; NP'!UE13</f>
        <v>0</v>
      </c>
      <c r="I42" s="87">
        <f>'P &amp; NP'!UF13</f>
        <v>0</v>
      </c>
      <c r="J42" s="87">
        <f>'P &amp; NP'!UG13</f>
        <v>19100</v>
      </c>
      <c r="K42" s="87">
        <f>'P &amp; NP'!UH13</f>
        <v>349760</v>
      </c>
      <c r="L42" s="87">
        <f>'P &amp; NP'!UI13</f>
        <v>0</v>
      </c>
      <c r="M42" s="87">
        <f>'P &amp; NP'!UJ13</f>
        <v>0</v>
      </c>
      <c r="N42" s="87">
        <f>'P &amp; NP'!UK13</f>
        <v>0</v>
      </c>
      <c r="O42" s="87">
        <f>'P &amp; NP'!UL13</f>
        <v>0</v>
      </c>
      <c r="P42" s="87">
        <f>'P &amp; NP'!UM13</f>
        <v>0</v>
      </c>
      <c r="Q42" s="87">
        <f>'P &amp; NP'!UN13</f>
        <v>0</v>
      </c>
      <c r="R42" s="92">
        <f t="shared" si="214"/>
        <v>19100</v>
      </c>
      <c r="S42" s="92">
        <f t="shared" si="215"/>
        <v>349760</v>
      </c>
      <c r="T42" s="87">
        <f>'P &amp; NP'!UA51</f>
        <v>0</v>
      </c>
      <c r="U42" s="87">
        <f>'P &amp; NP'!UB51</f>
        <v>0</v>
      </c>
      <c r="V42" s="87">
        <f>'P &amp; NP'!UC51</f>
        <v>0</v>
      </c>
      <c r="W42" s="87">
        <f>'P &amp; NP'!UD51</f>
        <v>0</v>
      </c>
      <c r="X42" s="87">
        <f>'P &amp; NP'!UE51</f>
        <v>0</v>
      </c>
      <c r="Y42" s="87">
        <f>'P &amp; NP'!UF51</f>
        <v>0</v>
      </c>
      <c r="Z42" s="87">
        <f>'P &amp; NP'!UG51</f>
        <v>19119</v>
      </c>
      <c r="AA42" s="87">
        <f>'P &amp; NP'!UH51</f>
        <v>350264</v>
      </c>
      <c r="AB42" s="87">
        <f>'P &amp; NP'!UI51</f>
        <v>0</v>
      </c>
      <c r="AC42" s="87">
        <f>'P &amp; NP'!UJ51</f>
        <v>0</v>
      </c>
      <c r="AD42" s="87">
        <f>'P &amp; NP'!UK51</f>
        <v>0</v>
      </c>
      <c r="AE42" s="87">
        <f>'P &amp; NP'!UL51</f>
        <v>0</v>
      </c>
      <c r="AF42" s="87">
        <f>'P &amp; NP'!UM51</f>
        <v>0</v>
      </c>
      <c r="AG42" s="87">
        <f>'P &amp; NP'!UN51</f>
        <v>0</v>
      </c>
      <c r="AH42" s="92">
        <f t="shared" si="216"/>
        <v>19119</v>
      </c>
      <c r="AI42" s="92">
        <f t="shared" si="217"/>
        <v>350264</v>
      </c>
      <c r="AJ42" s="87">
        <f>'P &amp; NP'!UA89</f>
        <v>0</v>
      </c>
      <c r="AK42" s="87">
        <f>'P &amp; NP'!UB89</f>
        <v>0</v>
      </c>
      <c r="AL42" s="87">
        <f>'P &amp; NP'!UC89</f>
        <v>0</v>
      </c>
      <c r="AM42" s="87">
        <f>'P &amp; NP'!UD89</f>
        <v>0</v>
      </c>
      <c r="AN42" s="87">
        <f>'P &amp; NP'!UE89</f>
        <v>0</v>
      </c>
      <c r="AO42" s="87">
        <f>'P &amp; NP'!UF89</f>
        <v>0</v>
      </c>
      <c r="AP42" s="87">
        <f>'P &amp; NP'!UG89</f>
        <v>19111</v>
      </c>
      <c r="AQ42" s="87">
        <f>'P &amp; NP'!UH89</f>
        <v>349858.00199999998</v>
      </c>
      <c r="AR42" s="87">
        <f>'P &amp; NP'!UI89</f>
        <v>0</v>
      </c>
      <c r="AS42" s="87">
        <f>'P &amp; NP'!UJ89</f>
        <v>0</v>
      </c>
      <c r="AT42" s="87">
        <f>'P &amp; NP'!UK89</f>
        <v>0</v>
      </c>
      <c r="AU42" s="87">
        <f>'P &amp; NP'!UL89</f>
        <v>0</v>
      </c>
      <c r="AV42" s="87">
        <f>'P &amp; NP'!UM89</f>
        <v>0</v>
      </c>
      <c r="AW42" s="87">
        <f>'P &amp; NP'!UN89</f>
        <v>0</v>
      </c>
      <c r="AX42" s="92">
        <f t="shared" si="218"/>
        <v>19111</v>
      </c>
      <c r="AY42" s="92">
        <f t="shared" si="219"/>
        <v>349858.00199999998</v>
      </c>
      <c r="AZ42" s="87">
        <f>'P &amp; NP'!UA127</f>
        <v>0</v>
      </c>
      <c r="BA42" s="87">
        <f>'P &amp; NP'!UB127</f>
        <v>0</v>
      </c>
      <c r="BB42" s="87">
        <f>'P &amp; NP'!UC127</f>
        <v>0</v>
      </c>
      <c r="BC42" s="87">
        <f>'P &amp; NP'!UD127</f>
        <v>0</v>
      </c>
      <c r="BD42" s="87">
        <f>'P &amp; NP'!UE127</f>
        <v>0</v>
      </c>
      <c r="BE42" s="87">
        <f>'P &amp; NP'!UF127</f>
        <v>0</v>
      </c>
      <c r="BF42" s="87">
        <f>'P &amp; NP'!UG127</f>
        <v>18964</v>
      </c>
      <c r="BG42" s="87">
        <f>'P &amp; NP'!UH127</f>
        <v>347325</v>
      </c>
      <c r="BH42" s="87">
        <f>'P &amp; NP'!UI127</f>
        <v>0</v>
      </c>
      <c r="BI42" s="87">
        <f>'P &amp; NP'!UJ127</f>
        <v>0</v>
      </c>
      <c r="BJ42" s="87">
        <f>'P &amp; NP'!UK127</f>
        <v>0</v>
      </c>
      <c r="BK42" s="87">
        <f>'P &amp; NP'!UL127</f>
        <v>0</v>
      </c>
      <c r="BL42" s="87">
        <f>'P &amp; NP'!UM127</f>
        <v>0</v>
      </c>
      <c r="BM42" s="87">
        <f>'P &amp; NP'!UN127</f>
        <v>0</v>
      </c>
      <c r="BN42" s="92">
        <f t="shared" si="220"/>
        <v>18964</v>
      </c>
      <c r="BO42" s="92">
        <f t="shared" si="221"/>
        <v>347325</v>
      </c>
      <c r="BP42" s="87">
        <f>'P &amp; NP'!UA165</f>
        <v>0</v>
      </c>
      <c r="BQ42" s="87">
        <f>'P &amp; NP'!UB165</f>
        <v>0</v>
      </c>
      <c r="BR42" s="87">
        <f>'P &amp; NP'!UC165</f>
        <v>0</v>
      </c>
      <c r="BS42" s="87">
        <f>'P &amp; NP'!UD165</f>
        <v>0</v>
      </c>
      <c r="BT42" s="87">
        <f>'P &amp; NP'!UE165</f>
        <v>0</v>
      </c>
      <c r="BU42" s="87">
        <f>'P &amp; NP'!UF165</f>
        <v>0</v>
      </c>
      <c r="BV42" s="87">
        <f>'P &amp; NP'!UG165</f>
        <v>18900</v>
      </c>
      <c r="BW42" s="87">
        <f>'P &amp; NP'!UH165</f>
        <v>345460.00199999998</v>
      </c>
      <c r="BX42" s="87">
        <f>'P &amp; NP'!UI165</f>
        <v>0</v>
      </c>
      <c r="BY42" s="87">
        <f>'P &amp; NP'!UJ165</f>
        <v>0</v>
      </c>
      <c r="BZ42" s="87">
        <f>'P &amp; NP'!UK165</f>
        <v>0</v>
      </c>
      <c r="CA42" s="87">
        <f>'P &amp; NP'!UL165</f>
        <v>0</v>
      </c>
      <c r="CB42" s="87">
        <f>'P &amp; NP'!UM165</f>
        <v>0</v>
      </c>
      <c r="CC42" s="87">
        <f>'P &amp; NP'!UN165</f>
        <v>0</v>
      </c>
      <c r="CD42" s="92">
        <f t="shared" si="222"/>
        <v>18900</v>
      </c>
      <c r="CE42" s="92">
        <f t="shared" si="223"/>
        <v>345460.00199999998</v>
      </c>
      <c r="CF42" s="87">
        <f>'P &amp; NP'!UA203</f>
        <v>0</v>
      </c>
      <c r="CG42" s="87">
        <f>'P &amp; NP'!UB203</f>
        <v>0</v>
      </c>
      <c r="CH42" s="87">
        <f>'P &amp; NP'!UC203</f>
        <v>0</v>
      </c>
      <c r="CI42" s="87">
        <f>'P &amp; NP'!UD203</f>
        <v>0</v>
      </c>
      <c r="CJ42" s="87">
        <f>'P &amp; NP'!UE203</f>
        <v>0</v>
      </c>
      <c r="CK42" s="87">
        <f>'P &amp; NP'!UF203</f>
        <v>0</v>
      </c>
      <c r="CL42" s="87">
        <f>'P &amp; NP'!UG203</f>
        <v>18780</v>
      </c>
      <c r="CM42" s="87">
        <f>'P &amp; NP'!UH203</f>
        <v>343652</v>
      </c>
      <c r="CN42" s="87">
        <f>'P &amp; NP'!UI203</f>
        <v>0</v>
      </c>
      <c r="CO42" s="87">
        <f>'P &amp; NP'!UJ203</f>
        <v>0</v>
      </c>
      <c r="CP42" s="87">
        <f>'P &amp; NP'!UK203</f>
        <v>0</v>
      </c>
      <c r="CQ42" s="87">
        <f>'P &amp; NP'!UL203</f>
        <v>0</v>
      </c>
      <c r="CR42" s="87">
        <f>'P &amp; NP'!UM203</f>
        <v>0</v>
      </c>
      <c r="CS42" s="87">
        <f>'P &amp; NP'!UN203</f>
        <v>0</v>
      </c>
      <c r="CT42" s="92">
        <f t="shared" si="224"/>
        <v>18780</v>
      </c>
      <c r="CU42" s="92">
        <f t="shared" si="225"/>
        <v>343652</v>
      </c>
      <c r="CV42" s="87">
        <f>'P &amp; NP'!UA241</f>
        <v>0</v>
      </c>
      <c r="CW42" s="87">
        <f>'P &amp; NP'!UB241</f>
        <v>0</v>
      </c>
      <c r="CX42" s="87">
        <f>'P &amp; NP'!UC241</f>
        <v>0</v>
      </c>
      <c r="CY42" s="87">
        <f>'P &amp; NP'!UD241</f>
        <v>0</v>
      </c>
      <c r="CZ42" s="87">
        <f>'P &amp; NP'!UG241</f>
        <v>18850</v>
      </c>
      <c r="DA42" s="87">
        <f>'P &amp; NP'!UH241</f>
        <v>344584</v>
      </c>
      <c r="DB42" s="87">
        <f>'P &amp; NP'!UI241</f>
        <v>0</v>
      </c>
      <c r="DC42" s="87">
        <f>'P &amp; NP'!UJ241</f>
        <v>0</v>
      </c>
      <c r="DD42" s="87">
        <f>'P &amp; NP'!UK241</f>
        <v>0</v>
      </c>
      <c r="DE42" s="87">
        <f>'P &amp; NP'!UL241</f>
        <v>0</v>
      </c>
      <c r="DF42" s="87">
        <f>'P &amp; NP'!UM241</f>
        <v>0</v>
      </c>
      <c r="DG42" s="87">
        <f>'P &amp; NP'!UN241</f>
        <v>0</v>
      </c>
      <c r="DH42" s="87">
        <f t="shared" si="226"/>
        <v>18850</v>
      </c>
      <c r="DI42" s="87">
        <f t="shared" si="227"/>
        <v>344584</v>
      </c>
      <c r="DJ42" s="92">
        <f>'P &amp; NP'!UA279</f>
        <v>0</v>
      </c>
      <c r="DK42" s="92">
        <f>'P &amp; NP'!UB279</f>
        <v>0</v>
      </c>
      <c r="DL42" s="87">
        <f>'P &amp; NP'!UC279</f>
        <v>0</v>
      </c>
      <c r="DM42" s="87">
        <f>'P &amp; NP'!UD279</f>
        <v>0</v>
      </c>
      <c r="DN42" s="87">
        <f>'P &amp; NP'!UG279</f>
        <v>18900</v>
      </c>
      <c r="DO42" s="87">
        <f>'P &amp; NP'!UH279</f>
        <v>345815</v>
      </c>
      <c r="DP42" s="87">
        <f>'P &amp; NP'!UI279</f>
        <v>0</v>
      </c>
      <c r="DQ42" s="87">
        <f>'P &amp; NP'!UJ279</f>
        <v>0</v>
      </c>
      <c r="DR42" s="87">
        <f>'P &amp; NP'!UK279</f>
        <v>0</v>
      </c>
      <c r="DS42" s="87">
        <f>'P &amp; NP'!UL279</f>
        <v>0</v>
      </c>
      <c r="DT42" s="87">
        <f>'P &amp; NP'!UM279</f>
        <v>0</v>
      </c>
      <c r="DU42" s="87">
        <f>'P &amp; NP'!UN279</f>
        <v>0</v>
      </c>
      <c r="DV42" s="87">
        <f t="shared" si="228"/>
        <v>18900</v>
      </c>
      <c r="DW42" s="87">
        <f t="shared" si="229"/>
        <v>345815</v>
      </c>
      <c r="DX42" s="87">
        <f>'P &amp; NP'!UA317</f>
        <v>0</v>
      </c>
      <c r="DY42" s="87">
        <f>'P &amp; NP'!UB317</f>
        <v>0</v>
      </c>
      <c r="DZ42" s="92">
        <f>'P &amp; NP'!UC317</f>
        <v>0</v>
      </c>
      <c r="EA42" s="92">
        <f>'P &amp; NP'!UD317</f>
        <v>0</v>
      </c>
      <c r="EB42" s="87">
        <f>'P &amp; NP'!UG317</f>
        <v>19118</v>
      </c>
      <c r="EC42" s="87">
        <f>'P &amp; NP'!UH317</f>
        <v>350336</v>
      </c>
      <c r="ED42" s="87">
        <f>'P &amp; NP'!UI317</f>
        <v>0</v>
      </c>
      <c r="EE42" s="87">
        <f>'P &amp; NP'!UJ317</f>
        <v>0</v>
      </c>
      <c r="EF42" s="87">
        <f>'P &amp; NP'!UK317</f>
        <v>0</v>
      </c>
      <c r="EG42" s="87">
        <f>'P &amp; NP'!UL317</f>
        <v>0</v>
      </c>
      <c r="EH42" s="87">
        <f>'P &amp; NP'!UM317</f>
        <v>0</v>
      </c>
      <c r="EI42" s="87">
        <f>'P &amp; NP'!UN317</f>
        <v>0</v>
      </c>
      <c r="EJ42" s="87">
        <f t="shared" si="230"/>
        <v>19118</v>
      </c>
      <c r="EK42" s="87">
        <f t="shared" si="231"/>
        <v>350336</v>
      </c>
      <c r="EL42" s="87">
        <f>'P &amp; NP'!UA355</f>
        <v>0</v>
      </c>
      <c r="EM42" s="87">
        <f>'P &amp; NP'!UB355</f>
        <v>0</v>
      </c>
      <c r="EN42" s="87">
        <f>'P &amp; NP'!UC355</f>
        <v>0</v>
      </c>
      <c r="EO42" s="87">
        <f>'P &amp; NP'!UD355</f>
        <v>0</v>
      </c>
      <c r="EP42" s="92">
        <f>'P &amp; NP'!UG355</f>
        <v>19150</v>
      </c>
      <c r="EQ42" s="92">
        <f>'P &amp; NP'!UH355</f>
        <v>350820</v>
      </c>
      <c r="ER42" s="87">
        <f>'P &amp; NP'!UI355</f>
        <v>0</v>
      </c>
      <c r="ES42" s="87">
        <f>'P &amp; NP'!UJ355</f>
        <v>0</v>
      </c>
      <c r="ET42" s="87">
        <f>'P &amp; NP'!UK355</f>
        <v>0</v>
      </c>
      <c r="EU42" s="87">
        <f>'P &amp; NP'!UL355</f>
        <v>0</v>
      </c>
      <c r="EV42" s="87">
        <f>'P &amp; NP'!UM355</f>
        <v>0</v>
      </c>
      <c r="EW42" s="87">
        <f>'P &amp; NP'!UN355</f>
        <v>0</v>
      </c>
      <c r="EX42" s="87">
        <f t="shared" si="232"/>
        <v>19150</v>
      </c>
      <c r="EY42" s="87">
        <f t="shared" si="233"/>
        <v>350820</v>
      </c>
      <c r="EZ42" s="87">
        <f>'P &amp; NP'!UA393</f>
        <v>0</v>
      </c>
      <c r="FA42" s="87">
        <f>'P &amp; NP'!UB393</f>
        <v>0</v>
      </c>
      <c r="FB42" s="87">
        <f>'P &amp; NP'!UC393</f>
        <v>0</v>
      </c>
      <c r="FC42" s="87">
        <f>'P &amp; NP'!UD393</f>
        <v>0</v>
      </c>
      <c r="FD42" s="87">
        <f>'P &amp; NP'!UG393</f>
        <v>19200</v>
      </c>
      <c r="FE42" s="87">
        <f>'P &amp; NP'!UH393</f>
        <v>351750</v>
      </c>
      <c r="FF42" s="92">
        <f>'P &amp; NP'!UI393</f>
        <v>0</v>
      </c>
      <c r="FG42" s="92">
        <f>'P &amp; NP'!UJ393</f>
        <v>0</v>
      </c>
      <c r="FH42" s="87">
        <f>'P &amp; NP'!UK393</f>
        <v>0</v>
      </c>
      <c r="FI42" s="87">
        <f>'P &amp; NP'!UL393</f>
        <v>0</v>
      </c>
      <c r="FJ42" s="87">
        <f>'P &amp; NP'!UM393</f>
        <v>0</v>
      </c>
      <c r="FK42" s="87">
        <f>'P &amp; NP'!UN393</f>
        <v>0</v>
      </c>
      <c r="FL42" s="87">
        <f t="shared" si="234"/>
        <v>19200</v>
      </c>
      <c r="FM42" s="87">
        <f t="shared" si="235"/>
        <v>351750</v>
      </c>
      <c r="FN42" s="87">
        <f>'P &amp; NP'!UA431</f>
        <v>0</v>
      </c>
      <c r="FO42" s="87">
        <f>'P &amp; NP'!UB431</f>
        <v>0</v>
      </c>
      <c r="FP42" s="87">
        <f>'P &amp; NP'!UC431</f>
        <v>0</v>
      </c>
      <c r="FQ42" s="87">
        <f>'P &amp; NP'!UD431</f>
        <v>0</v>
      </c>
      <c r="FR42" s="87">
        <f>'P &amp; NP'!UG431</f>
        <v>19519</v>
      </c>
      <c r="FS42" s="87">
        <f>'P &amp; NP'!UH431</f>
        <v>358768</v>
      </c>
      <c r="FT42" s="87">
        <f>'P &amp; NP'!UI431</f>
        <v>0</v>
      </c>
      <c r="FU42" s="87">
        <f>'P &amp; NP'!UJ431</f>
        <v>0</v>
      </c>
      <c r="FV42" s="92">
        <f>'P &amp; NP'!UK431</f>
        <v>0</v>
      </c>
      <c r="FW42" s="92">
        <f>'P &amp; NP'!UL431</f>
        <v>0</v>
      </c>
      <c r="FX42" s="87">
        <f>'P &amp; NP'!UM431</f>
        <v>0</v>
      </c>
      <c r="FY42" s="87">
        <f>'P &amp; NP'!UN431</f>
        <v>0</v>
      </c>
      <c r="FZ42" s="87">
        <f t="shared" si="236"/>
        <v>19519</v>
      </c>
      <c r="GA42" s="87">
        <f t="shared" si="237"/>
        <v>358768</v>
      </c>
      <c r="GC42" s="609">
        <f t="shared" si="164"/>
        <v>0</v>
      </c>
      <c r="GD42" s="609">
        <f t="shared" si="165"/>
        <v>0</v>
      </c>
      <c r="GE42" s="609">
        <f t="shared" si="166"/>
        <v>0</v>
      </c>
      <c r="GF42" s="609">
        <f t="shared" si="167"/>
        <v>0</v>
      </c>
      <c r="GG42" s="609">
        <f t="shared" si="168"/>
        <v>57330</v>
      </c>
      <c r="GH42" s="609">
        <f t="shared" si="169"/>
        <v>1049882.0019999999</v>
      </c>
      <c r="GI42" s="609">
        <f t="shared" si="170"/>
        <v>0</v>
      </c>
      <c r="GJ42" s="609">
        <f t="shared" si="171"/>
        <v>0</v>
      </c>
      <c r="GK42" s="609">
        <f t="shared" si="172"/>
        <v>0</v>
      </c>
      <c r="GL42" s="609">
        <f t="shared" si="173"/>
        <v>0</v>
      </c>
      <c r="GM42" s="609">
        <f t="shared" si="174"/>
        <v>0</v>
      </c>
      <c r="GN42" s="609">
        <f t="shared" si="175"/>
        <v>0</v>
      </c>
      <c r="GO42" s="640">
        <f t="shared" si="238"/>
        <v>57330</v>
      </c>
      <c r="GP42" s="640">
        <f t="shared" si="239"/>
        <v>1049882.0019999999</v>
      </c>
      <c r="GR42" s="609">
        <f t="shared" si="176"/>
        <v>0</v>
      </c>
      <c r="GS42" s="609">
        <f t="shared" si="177"/>
        <v>0</v>
      </c>
      <c r="GT42" s="609">
        <f t="shared" si="178"/>
        <v>0</v>
      </c>
      <c r="GU42" s="609">
        <f t="shared" si="179"/>
        <v>0</v>
      </c>
      <c r="GV42" s="609">
        <f t="shared" si="180"/>
        <v>56644</v>
      </c>
      <c r="GW42" s="609">
        <f t="shared" si="181"/>
        <v>1036437.002</v>
      </c>
      <c r="GX42" s="609">
        <f t="shared" si="182"/>
        <v>0</v>
      </c>
      <c r="GY42" s="609">
        <f t="shared" si="183"/>
        <v>0</v>
      </c>
      <c r="GZ42" s="609">
        <f t="shared" si="184"/>
        <v>0</v>
      </c>
      <c r="HA42" s="609">
        <f t="shared" si="185"/>
        <v>0</v>
      </c>
      <c r="HB42" s="609">
        <f t="shared" si="186"/>
        <v>0</v>
      </c>
      <c r="HC42" s="609">
        <f t="shared" si="187"/>
        <v>0</v>
      </c>
      <c r="HD42" s="640">
        <f t="shared" si="240"/>
        <v>56644</v>
      </c>
      <c r="HE42" s="640">
        <f t="shared" si="241"/>
        <v>1036437.002</v>
      </c>
      <c r="HG42" s="609">
        <f t="shared" si="188"/>
        <v>0</v>
      </c>
      <c r="HH42" s="609">
        <f t="shared" si="189"/>
        <v>0</v>
      </c>
      <c r="HI42" s="609">
        <f t="shared" si="190"/>
        <v>0</v>
      </c>
      <c r="HJ42" s="609">
        <f t="shared" si="191"/>
        <v>0</v>
      </c>
      <c r="HK42" s="609">
        <f t="shared" si="192"/>
        <v>56868</v>
      </c>
      <c r="HL42" s="609">
        <f t="shared" si="193"/>
        <v>1040735</v>
      </c>
      <c r="HM42" s="609">
        <f t="shared" si="194"/>
        <v>0</v>
      </c>
      <c r="HN42" s="609">
        <f t="shared" si="195"/>
        <v>0</v>
      </c>
      <c r="HO42" s="609">
        <f t="shared" si="196"/>
        <v>0</v>
      </c>
      <c r="HP42" s="609">
        <f t="shared" si="197"/>
        <v>0</v>
      </c>
      <c r="HQ42" s="609">
        <f t="shared" si="198"/>
        <v>0</v>
      </c>
      <c r="HR42" s="609">
        <f t="shared" si="199"/>
        <v>0</v>
      </c>
      <c r="HS42" s="640">
        <f t="shared" si="242"/>
        <v>56868</v>
      </c>
      <c r="HT42" s="640">
        <f t="shared" si="243"/>
        <v>1040735</v>
      </c>
      <c r="HV42" s="609">
        <f t="shared" si="200"/>
        <v>0</v>
      </c>
      <c r="HW42" s="609">
        <f t="shared" si="201"/>
        <v>0</v>
      </c>
      <c r="HX42" s="609">
        <f t="shared" si="202"/>
        <v>0</v>
      </c>
      <c r="HY42" s="609">
        <f t="shared" si="203"/>
        <v>0</v>
      </c>
      <c r="HZ42" s="609">
        <f t="shared" si="204"/>
        <v>57869</v>
      </c>
      <c r="IA42" s="609">
        <f t="shared" si="205"/>
        <v>1061338</v>
      </c>
      <c r="IB42" s="609">
        <f t="shared" si="206"/>
        <v>0</v>
      </c>
      <c r="IC42" s="609">
        <f t="shared" si="207"/>
        <v>0</v>
      </c>
      <c r="ID42" s="609">
        <f t="shared" si="208"/>
        <v>0</v>
      </c>
      <c r="IE42" s="609">
        <f t="shared" si="209"/>
        <v>0</v>
      </c>
      <c r="IF42" s="609">
        <f t="shared" si="210"/>
        <v>0</v>
      </c>
      <c r="IG42" s="609">
        <f t="shared" si="211"/>
        <v>0</v>
      </c>
      <c r="IH42" s="640">
        <f t="shared" si="244"/>
        <v>57869</v>
      </c>
      <c r="II42" s="640">
        <f t="shared" si="245"/>
        <v>1061338</v>
      </c>
    </row>
    <row r="43" spans="1:243">
      <c r="A43" s="484" t="s">
        <v>145</v>
      </c>
      <c r="B43" s="484">
        <f t="shared" si="212"/>
        <v>2662915</v>
      </c>
      <c r="C43" s="484">
        <f t="shared" si="213"/>
        <v>23519356</v>
      </c>
      <c r="D43" s="87">
        <f>'P &amp; NP'!UQ13</f>
        <v>0</v>
      </c>
      <c r="E43" s="87">
        <f>'P &amp; NP'!UR13</f>
        <v>0</v>
      </c>
      <c r="F43" s="87">
        <f>'P &amp; NP'!US13</f>
        <v>214543</v>
      </c>
      <c r="G43" s="87">
        <f>'P &amp; NP'!UT13</f>
        <v>2327488</v>
      </c>
      <c r="H43" s="87">
        <f>'P &amp; NP'!UU13</f>
        <v>0</v>
      </c>
      <c r="I43" s="87">
        <f>'P &amp; NP'!UV13</f>
        <v>0</v>
      </c>
      <c r="J43" s="87">
        <f>'P &amp; NP'!UW13</f>
        <v>7295</v>
      </c>
      <c r="K43" s="87">
        <f>'P &amp; NP'!UX13</f>
        <v>138605</v>
      </c>
      <c r="L43" s="87">
        <f>'P &amp; NP'!UY13</f>
        <v>0</v>
      </c>
      <c r="M43" s="87">
        <f>'P &amp; NP'!UZ13</f>
        <v>0</v>
      </c>
      <c r="N43" s="87">
        <f>'P &amp; NP'!VA13</f>
        <v>0</v>
      </c>
      <c r="O43" s="87">
        <f>'P &amp; NP'!VB13</f>
        <v>0</v>
      </c>
      <c r="P43" s="87">
        <f>'P &amp; NP'!VC13</f>
        <v>0</v>
      </c>
      <c r="Q43" s="87">
        <f>'P &amp; NP'!VD13</f>
        <v>0</v>
      </c>
      <c r="R43" s="92">
        <f t="shared" si="214"/>
        <v>221838</v>
      </c>
      <c r="S43" s="92">
        <f t="shared" si="215"/>
        <v>2466093</v>
      </c>
      <c r="T43" s="87">
        <f>'P &amp; NP'!UQ51</f>
        <v>0</v>
      </c>
      <c r="U43" s="87">
        <f>'P &amp; NP'!UR51</f>
        <v>0</v>
      </c>
      <c r="V43" s="87">
        <f>'P &amp; NP'!US51</f>
        <v>227349</v>
      </c>
      <c r="W43" s="87">
        <f>'P &amp; NP'!UT51</f>
        <v>1699584</v>
      </c>
      <c r="X43" s="87">
        <f>'P &amp; NP'!UU51</f>
        <v>0</v>
      </c>
      <c r="Y43" s="87">
        <f>'P &amp; NP'!UV51</f>
        <v>0</v>
      </c>
      <c r="Z43" s="87">
        <f>'P &amp; NP'!UW51</f>
        <v>2221</v>
      </c>
      <c r="AA43" s="87">
        <f>'P &amp; NP'!UX51</f>
        <v>42199</v>
      </c>
      <c r="AB43" s="87">
        <f>'P &amp; NP'!UY51</f>
        <v>0</v>
      </c>
      <c r="AC43" s="87">
        <f>'P &amp; NP'!UZ51</f>
        <v>0</v>
      </c>
      <c r="AD43" s="87">
        <f>'P &amp; NP'!VA51</f>
        <v>0</v>
      </c>
      <c r="AE43" s="87">
        <f>'P &amp; NP'!VB51</f>
        <v>0</v>
      </c>
      <c r="AF43" s="87">
        <f>'P &amp; NP'!VC51</f>
        <v>0</v>
      </c>
      <c r="AG43" s="87">
        <f>'P &amp; NP'!VD51</f>
        <v>0</v>
      </c>
      <c r="AH43" s="92">
        <f t="shared" si="216"/>
        <v>229570</v>
      </c>
      <c r="AI43" s="92">
        <f t="shared" si="217"/>
        <v>1741783</v>
      </c>
      <c r="AJ43" s="87">
        <f>'P &amp; NP'!UQ89</f>
        <v>0</v>
      </c>
      <c r="AK43" s="87">
        <f>'P &amp; NP'!UR89</f>
        <v>0</v>
      </c>
      <c r="AL43" s="87">
        <f>'P &amp; NP'!US89</f>
        <v>201891</v>
      </c>
      <c r="AM43" s="87">
        <f>'P &amp; NP'!UT89</f>
        <v>1588656</v>
      </c>
      <c r="AN43" s="87">
        <f>'P &amp; NP'!UU89</f>
        <v>0</v>
      </c>
      <c r="AO43" s="87">
        <f>'P &amp; NP'!UV89</f>
        <v>0</v>
      </c>
      <c r="AP43" s="87">
        <f>'P &amp; NP'!UW89</f>
        <v>2967</v>
      </c>
      <c r="AQ43" s="87">
        <f>'P &amp; NP'!UX89</f>
        <v>56463</v>
      </c>
      <c r="AR43" s="87">
        <f>'P &amp; NP'!UY89</f>
        <v>0</v>
      </c>
      <c r="AS43" s="87">
        <f>'P &amp; NP'!UZ89</f>
        <v>0</v>
      </c>
      <c r="AT43" s="87">
        <f>'P &amp; NP'!VA89</f>
        <v>0</v>
      </c>
      <c r="AU43" s="87">
        <f>'P &amp; NP'!VB89</f>
        <v>0</v>
      </c>
      <c r="AV43" s="87">
        <f>'P &amp; NP'!VC89</f>
        <v>0</v>
      </c>
      <c r="AW43" s="87">
        <f>'P &amp; NP'!VD89</f>
        <v>0</v>
      </c>
      <c r="AX43" s="92">
        <f t="shared" si="218"/>
        <v>204858</v>
      </c>
      <c r="AY43" s="92">
        <f t="shared" si="219"/>
        <v>1645119</v>
      </c>
      <c r="AZ43" s="87">
        <f>'P &amp; NP'!UQ127</f>
        <v>0</v>
      </c>
      <c r="BA43" s="87">
        <f>'P &amp; NP'!UR127</f>
        <v>0</v>
      </c>
      <c r="BB43" s="87">
        <f>'P &amp; NP'!US127</f>
        <v>210445</v>
      </c>
      <c r="BC43" s="87">
        <f>'P &amp; NP'!UT127</f>
        <v>1603920</v>
      </c>
      <c r="BD43" s="87">
        <f>'P &amp; NP'!UU127</f>
        <v>0</v>
      </c>
      <c r="BE43" s="87">
        <f>'P &amp; NP'!UV127</f>
        <v>0</v>
      </c>
      <c r="BF43" s="87">
        <f>'P &amp; NP'!UW127</f>
        <v>6923</v>
      </c>
      <c r="BG43" s="87">
        <f>'P &amp; NP'!UX127</f>
        <v>138460</v>
      </c>
      <c r="BH43" s="87">
        <f>'P &amp; NP'!UY127</f>
        <v>0</v>
      </c>
      <c r="BI43" s="87">
        <f>'P &amp; NP'!UZ127</f>
        <v>0</v>
      </c>
      <c r="BJ43" s="87">
        <f>'P &amp; NP'!VA127</f>
        <v>0</v>
      </c>
      <c r="BK43" s="87">
        <f>'P &amp; NP'!VB127</f>
        <v>0</v>
      </c>
      <c r="BL43" s="87">
        <f>'P &amp; NP'!VC127</f>
        <v>0</v>
      </c>
      <c r="BM43" s="87">
        <f>'P &amp; NP'!VD127</f>
        <v>0</v>
      </c>
      <c r="BN43" s="92">
        <f t="shared" si="220"/>
        <v>217368</v>
      </c>
      <c r="BO43" s="92">
        <f t="shared" si="221"/>
        <v>1742380</v>
      </c>
      <c r="BP43" s="87">
        <f>'P &amp; NP'!UQ165</f>
        <v>0</v>
      </c>
      <c r="BQ43" s="87">
        <f>'P &amp; NP'!UR165</f>
        <v>0</v>
      </c>
      <c r="BR43" s="87">
        <f>'P &amp; NP'!US165</f>
        <v>217180</v>
      </c>
      <c r="BS43" s="87">
        <f>'P &amp; NP'!UT165</f>
        <v>1772480</v>
      </c>
      <c r="BT43" s="87">
        <f>'P &amp; NP'!UU165</f>
        <v>0</v>
      </c>
      <c r="BU43" s="87">
        <f>'P &amp; NP'!UV165</f>
        <v>0</v>
      </c>
      <c r="BV43" s="87">
        <f>'P &amp; NP'!UW165</f>
        <v>2109</v>
      </c>
      <c r="BW43" s="87">
        <f>'P &amp; NP'!UX165</f>
        <v>40071</v>
      </c>
      <c r="BX43" s="87">
        <f>'P &amp; NP'!UY165</f>
        <v>0</v>
      </c>
      <c r="BY43" s="87">
        <f>'P &amp; NP'!UZ165</f>
        <v>0</v>
      </c>
      <c r="BZ43" s="87">
        <f>'P &amp; NP'!VA165</f>
        <v>0</v>
      </c>
      <c r="CA43" s="87">
        <f>'P &amp; NP'!VB165</f>
        <v>0</v>
      </c>
      <c r="CB43" s="87">
        <f>'P &amp; NP'!VC165</f>
        <v>0</v>
      </c>
      <c r="CC43" s="87">
        <f>'P &amp; NP'!VD165</f>
        <v>0</v>
      </c>
      <c r="CD43" s="92">
        <f t="shared" si="222"/>
        <v>219289</v>
      </c>
      <c r="CE43" s="92">
        <f t="shared" si="223"/>
        <v>1812551</v>
      </c>
      <c r="CF43" s="87">
        <f>'P &amp; NP'!UQ203</f>
        <v>0</v>
      </c>
      <c r="CG43" s="87">
        <f>'P &amp; NP'!UR203</f>
        <v>0</v>
      </c>
      <c r="CH43" s="87">
        <f>'P &amp; NP'!US203</f>
        <v>220694</v>
      </c>
      <c r="CI43" s="87">
        <f>'P &amp; NP'!UT203</f>
        <v>2449984</v>
      </c>
      <c r="CJ43" s="87">
        <f>'P &amp; NP'!UU203</f>
        <v>0</v>
      </c>
      <c r="CK43" s="87">
        <f>'P &amp; NP'!UV203</f>
        <v>0</v>
      </c>
      <c r="CL43" s="87">
        <f>'P &amp; NP'!UW203</f>
        <v>1391</v>
      </c>
      <c r="CM43" s="87">
        <f>'P &amp; NP'!UX203</f>
        <v>26429</v>
      </c>
      <c r="CN43" s="87">
        <f>'P &amp; NP'!UY203</f>
        <v>0</v>
      </c>
      <c r="CO43" s="87">
        <f>'P &amp; NP'!UZ203</f>
        <v>0</v>
      </c>
      <c r="CP43" s="87">
        <f>'P &amp; NP'!VA203</f>
        <v>0</v>
      </c>
      <c r="CQ43" s="87">
        <f>'P &amp; NP'!VB203</f>
        <v>0</v>
      </c>
      <c r="CR43" s="87">
        <f>'P &amp; NP'!VC203</f>
        <v>0</v>
      </c>
      <c r="CS43" s="87">
        <f>'P &amp; NP'!VD203</f>
        <v>0</v>
      </c>
      <c r="CT43" s="92">
        <f t="shared" si="224"/>
        <v>222085</v>
      </c>
      <c r="CU43" s="92">
        <f t="shared" si="225"/>
        <v>2476413</v>
      </c>
      <c r="CV43" s="87">
        <f>'P &amp; NP'!UQ241</f>
        <v>0</v>
      </c>
      <c r="CW43" s="87">
        <f>'P &amp; NP'!UR241</f>
        <v>0</v>
      </c>
      <c r="CX43" s="87">
        <f>'P &amp; NP'!US241</f>
        <v>257528</v>
      </c>
      <c r="CY43" s="87">
        <f>'P &amp; NP'!UT241</f>
        <v>1463697</v>
      </c>
      <c r="CZ43" s="87">
        <f>'P &amp; NP'!UW241</f>
        <v>2257</v>
      </c>
      <c r="DA43" s="87">
        <f>'P &amp; NP'!UX241</f>
        <v>42883</v>
      </c>
      <c r="DB43" s="87">
        <f>'P &amp; NP'!UY241</f>
        <v>0</v>
      </c>
      <c r="DC43" s="87">
        <f>'P &amp; NP'!UZ241</f>
        <v>0</v>
      </c>
      <c r="DD43" s="87">
        <f>'P &amp; NP'!VA241</f>
        <v>0</v>
      </c>
      <c r="DE43" s="87">
        <f>'P &amp; NP'!VB241</f>
        <v>0</v>
      </c>
      <c r="DF43" s="87">
        <f>'P &amp; NP'!VC241</f>
        <v>0</v>
      </c>
      <c r="DG43" s="87">
        <f>'P &amp; NP'!VD241</f>
        <v>0</v>
      </c>
      <c r="DH43" s="87">
        <f t="shared" si="226"/>
        <v>259785</v>
      </c>
      <c r="DI43" s="87">
        <f t="shared" si="227"/>
        <v>1506580</v>
      </c>
      <c r="DJ43" s="92">
        <f>'P &amp; NP'!UQ279</f>
        <v>0</v>
      </c>
      <c r="DK43" s="92">
        <f>'P &amp; NP'!UR279</f>
        <v>0</v>
      </c>
      <c r="DL43" s="87">
        <f>'P &amp; NP'!US279</f>
        <v>254272</v>
      </c>
      <c r="DM43" s="87">
        <f>'P &amp; NP'!UT279</f>
        <v>1951080</v>
      </c>
      <c r="DN43" s="87">
        <f>'P &amp; NP'!UW279</f>
        <v>1417</v>
      </c>
      <c r="DO43" s="87">
        <f>'P &amp; NP'!UX279</f>
        <v>28340</v>
      </c>
      <c r="DP43" s="87">
        <f>'P &amp; NP'!UY279</f>
        <v>0</v>
      </c>
      <c r="DQ43" s="87">
        <f>'P &amp; NP'!UZ279</f>
        <v>0</v>
      </c>
      <c r="DR43" s="87">
        <f>'P &amp; NP'!VA279</f>
        <v>0</v>
      </c>
      <c r="DS43" s="87">
        <f>'P &amp; NP'!VB279</f>
        <v>0</v>
      </c>
      <c r="DT43" s="87">
        <f>'P &amp; NP'!VC279</f>
        <v>0</v>
      </c>
      <c r="DU43" s="87">
        <f>'P &amp; NP'!VD279</f>
        <v>0</v>
      </c>
      <c r="DV43" s="87">
        <f t="shared" si="228"/>
        <v>255689</v>
      </c>
      <c r="DW43" s="87">
        <f t="shared" si="229"/>
        <v>1979420</v>
      </c>
      <c r="DX43" s="87">
        <f>'P &amp; NP'!UQ317</f>
        <v>0</v>
      </c>
      <c r="DY43" s="87">
        <f>'P &amp; NP'!UR317</f>
        <v>0</v>
      </c>
      <c r="DZ43" s="92">
        <f>'P &amp; NP'!US317</f>
        <v>219100</v>
      </c>
      <c r="EA43" s="92">
        <f>'P &amp; NP'!UT317</f>
        <v>1918640</v>
      </c>
      <c r="EB43" s="87">
        <f>'P &amp; NP'!UW317</f>
        <v>1603</v>
      </c>
      <c r="EC43" s="87">
        <f>'P &amp; NP'!UX317</f>
        <v>30457</v>
      </c>
      <c r="ED43" s="87">
        <f>'P &amp; NP'!UY317</f>
        <v>0</v>
      </c>
      <c r="EE43" s="87">
        <f>'P &amp; NP'!UZ317</f>
        <v>0</v>
      </c>
      <c r="EF43" s="87">
        <f>'P &amp; NP'!VA317</f>
        <v>0</v>
      </c>
      <c r="EG43" s="87">
        <f>'P &amp; NP'!VB317</f>
        <v>0</v>
      </c>
      <c r="EH43" s="87">
        <f>'P &amp; NP'!VC317</f>
        <v>0</v>
      </c>
      <c r="EI43" s="87">
        <f>'P &amp; NP'!VD317</f>
        <v>0</v>
      </c>
      <c r="EJ43" s="87">
        <f t="shared" si="230"/>
        <v>220703</v>
      </c>
      <c r="EK43" s="87">
        <f t="shared" si="231"/>
        <v>1949097</v>
      </c>
      <c r="EL43" s="87">
        <f>'P &amp; NP'!UQ355</f>
        <v>0</v>
      </c>
      <c r="EM43" s="87">
        <f>'P &amp; NP'!UR355</f>
        <v>0</v>
      </c>
      <c r="EN43" s="87">
        <f>'P &amp; NP'!US355</f>
        <v>243050</v>
      </c>
      <c r="EO43" s="87">
        <f>'P &amp; NP'!UT355</f>
        <v>2237980</v>
      </c>
      <c r="EP43" s="92">
        <f>'P &amp; NP'!UW355</f>
        <v>2218</v>
      </c>
      <c r="EQ43" s="92">
        <f>'P &amp; NP'!UX355</f>
        <v>42142</v>
      </c>
      <c r="ER43" s="87">
        <f>'P &amp; NP'!UY355</f>
        <v>0</v>
      </c>
      <c r="ES43" s="87">
        <f>'P &amp; NP'!UZ355</f>
        <v>0</v>
      </c>
      <c r="ET43" s="87">
        <f>'P &amp; NP'!VA355</f>
        <v>0</v>
      </c>
      <c r="EU43" s="87">
        <f>'P &amp; NP'!VB355</f>
        <v>0</v>
      </c>
      <c r="EV43" s="87">
        <f>'P &amp; NP'!VC355</f>
        <v>0</v>
      </c>
      <c r="EW43" s="87">
        <f>'P &amp; NP'!VD355</f>
        <v>0</v>
      </c>
      <c r="EX43" s="87">
        <f t="shared" si="232"/>
        <v>245268</v>
      </c>
      <c r="EY43" s="87">
        <f t="shared" si="233"/>
        <v>2280122</v>
      </c>
      <c r="EZ43" s="87">
        <f>'P &amp; NP'!UQ393</f>
        <v>0</v>
      </c>
      <c r="FA43" s="87">
        <f>'P &amp; NP'!UR393</f>
        <v>0</v>
      </c>
      <c r="FB43" s="87">
        <f>'P &amp; NP'!US393</f>
        <v>178650</v>
      </c>
      <c r="FC43" s="87">
        <f>'P &amp; NP'!UT393</f>
        <v>1404820</v>
      </c>
      <c r="FD43" s="87">
        <f>'P &amp; NP'!UW393</f>
        <v>2562</v>
      </c>
      <c r="FE43" s="87">
        <f>'P &amp; NP'!UX393</f>
        <v>48678</v>
      </c>
      <c r="FF43" s="92">
        <f>'P &amp; NP'!UY393</f>
        <v>0</v>
      </c>
      <c r="FG43" s="92">
        <f>'P &amp; NP'!UZ393</f>
        <v>0</v>
      </c>
      <c r="FH43" s="87">
        <f>'P &amp; NP'!VA393</f>
        <v>0</v>
      </c>
      <c r="FI43" s="87">
        <f>'P &amp; NP'!VB393</f>
        <v>0</v>
      </c>
      <c r="FJ43" s="87">
        <f>'P &amp; NP'!VC393</f>
        <v>0</v>
      </c>
      <c r="FK43" s="87">
        <f>'P &amp; NP'!VD393</f>
        <v>0</v>
      </c>
      <c r="FL43" s="87">
        <f t="shared" si="234"/>
        <v>181212</v>
      </c>
      <c r="FM43" s="87">
        <f t="shared" si="235"/>
        <v>1453498</v>
      </c>
      <c r="FN43" s="87">
        <f>'P &amp; NP'!UQ431</f>
        <v>0</v>
      </c>
      <c r="FO43" s="87">
        <f>'P &amp; NP'!UR431</f>
        <v>0</v>
      </c>
      <c r="FP43" s="87">
        <f>'P &amp; NP'!US431</f>
        <v>182350</v>
      </c>
      <c r="FQ43" s="87">
        <f>'P &amp; NP'!UT431</f>
        <v>2411200</v>
      </c>
      <c r="FR43" s="87">
        <f>'P &amp; NP'!UW431</f>
        <v>2900</v>
      </c>
      <c r="FS43" s="87">
        <f>'P &amp; NP'!UX431</f>
        <v>55100</v>
      </c>
      <c r="FT43" s="87">
        <f>'P &amp; NP'!UY431</f>
        <v>0</v>
      </c>
      <c r="FU43" s="87">
        <f>'P &amp; NP'!UZ431</f>
        <v>0</v>
      </c>
      <c r="FV43" s="92">
        <f>'P &amp; NP'!VA431</f>
        <v>0</v>
      </c>
      <c r="FW43" s="92">
        <f>'P &amp; NP'!VB431</f>
        <v>0</v>
      </c>
      <c r="FX43" s="87">
        <f>'P &amp; NP'!VC431</f>
        <v>0</v>
      </c>
      <c r="FY43" s="87">
        <f>'P &amp; NP'!VD431</f>
        <v>0</v>
      </c>
      <c r="FZ43" s="87">
        <f t="shared" si="236"/>
        <v>185250</v>
      </c>
      <c r="GA43" s="87">
        <f t="shared" si="237"/>
        <v>2466300</v>
      </c>
      <c r="GC43" s="609">
        <f t="shared" si="164"/>
        <v>0</v>
      </c>
      <c r="GD43" s="609">
        <f t="shared" si="165"/>
        <v>0</v>
      </c>
      <c r="GE43" s="609">
        <f t="shared" si="166"/>
        <v>643783</v>
      </c>
      <c r="GF43" s="609">
        <f t="shared" si="167"/>
        <v>5615728</v>
      </c>
      <c r="GG43" s="609">
        <f t="shared" si="168"/>
        <v>12483</v>
      </c>
      <c r="GH43" s="609">
        <f t="shared" si="169"/>
        <v>237267</v>
      </c>
      <c r="GI43" s="609">
        <f t="shared" si="170"/>
        <v>0</v>
      </c>
      <c r="GJ43" s="609">
        <f t="shared" si="171"/>
        <v>0</v>
      </c>
      <c r="GK43" s="609">
        <f t="shared" si="172"/>
        <v>0</v>
      </c>
      <c r="GL43" s="609">
        <f t="shared" si="173"/>
        <v>0</v>
      </c>
      <c r="GM43" s="609">
        <f t="shared" si="174"/>
        <v>0</v>
      </c>
      <c r="GN43" s="609">
        <f t="shared" si="175"/>
        <v>0</v>
      </c>
      <c r="GO43" s="640">
        <f t="shared" si="238"/>
        <v>656266</v>
      </c>
      <c r="GP43" s="640">
        <f t="shared" si="239"/>
        <v>5852995</v>
      </c>
      <c r="GR43" s="609">
        <f t="shared" si="176"/>
        <v>0</v>
      </c>
      <c r="GS43" s="609">
        <f t="shared" si="177"/>
        <v>0</v>
      </c>
      <c r="GT43" s="609">
        <f t="shared" si="178"/>
        <v>648319</v>
      </c>
      <c r="GU43" s="609">
        <f t="shared" si="179"/>
        <v>5826384</v>
      </c>
      <c r="GV43" s="609">
        <f t="shared" si="180"/>
        <v>10423</v>
      </c>
      <c r="GW43" s="609">
        <f t="shared" si="181"/>
        <v>204960</v>
      </c>
      <c r="GX43" s="609">
        <f t="shared" si="182"/>
        <v>0</v>
      </c>
      <c r="GY43" s="609">
        <f t="shared" si="183"/>
        <v>0</v>
      </c>
      <c r="GZ43" s="609">
        <f t="shared" si="184"/>
        <v>0</v>
      </c>
      <c r="HA43" s="609">
        <f t="shared" si="185"/>
        <v>0</v>
      </c>
      <c r="HB43" s="609">
        <f t="shared" si="186"/>
        <v>0</v>
      </c>
      <c r="HC43" s="609">
        <f t="shared" si="187"/>
        <v>0</v>
      </c>
      <c r="HD43" s="640">
        <f t="shared" si="240"/>
        <v>658742</v>
      </c>
      <c r="HE43" s="640">
        <f t="shared" si="241"/>
        <v>6031344</v>
      </c>
      <c r="HG43" s="609">
        <f t="shared" si="188"/>
        <v>0</v>
      </c>
      <c r="HH43" s="609">
        <f t="shared" si="189"/>
        <v>0</v>
      </c>
      <c r="HI43" s="609">
        <f t="shared" si="190"/>
        <v>730900</v>
      </c>
      <c r="HJ43" s="609">
        <f t="shared" si="191"/>
        <v>5333417</v>
      </c>
      <c r="HK43" s="609">
        <f t="shared" si="192"/>
        <v>5277</v>
      </c>
      <c r="HL43" s="609">
        <f t="shared" si="193"/>
        <v>101680</v>
      </c>
      <c r="HM43" s="609">
        <f t="shared" si="194"/>
        <v>0</v>
      </c>
      <c r="HN43" s="609">
        <f t="shared" si="195"/>
        <v>0</v>
      </c>
      <c r="HO43" s="609">
        <f t="shared" si="196"/>
        <v>0</v>
      </c>
      <c r="HP43" s="609">
        <f t="shared" si="197"/>
        <v>0</v>
      </c>
      <c r="HQ43" s="609">
        <f t="shared" si="198"/>
        <v>0</v>
      </c>
      <c r="HR43" s="609">
        <f t="shared" si="199"/>
        <v>0</v>
      </c>
      <c r="HS43" s="640">
        <f t="shared" si="242"/>
        <v>736177</v>
      </c>
      <c r="HT43" s="640">
        <f t="shared" si="243"/>
        <v>5435097</v>
      </c>
      <c r="HV43" s="609">
        <f t="shared" si="200"/>
        <v>0</v>
      </c>
      <c r="HW43" s="609">
        <f t="shared" si="201"/>
        <v>0</v>
      </c>
      <c r="HX43" s="609">
        <f t="shared" si="202"/>
        <v>604050</v>
      </c>
      <c r="HY43" s="609">
        <f t="shared" si="203"/>
        <v>6054000</v>
      </c>
      <c r="HZ43" s="609">
        <f t="shared" si="204"/>
        <v>7680</v>
      </c>
      <c r="IA43" s="609">
        <f t="shared" si="205"/>
        <v>145920</v>
      </c>
      <c r="IB43" s="609">
        <f t="shared" si="206"/>
        <v>0</v>
      </c>
      <c r="IC43" s="609">
        <f t="shared" si="207"/>
        <v>0</v>
      </c>
      <c r="ID43" s="609">
        <f t="shared" si="208"/>
        <v>0</v>
      </c>
      <c r="IE43" s="609">
        <f t="shared" si="209"/>
        <v>0</v>
      </c>
      <c r="IF43" s="609">
        <f t="shared" si="210"/>
        <v>0</v>
      </c>
      <c r="IG43" s="609">
        <f t="shared" si="211"/>
        <v>0</v>
      </c>
      <c r="IH43" s="640">
        <f t="shared" si="244"/>
        <v>611730</v>
      </c>
      <c r="II43" s="640">
        <f t="shared" si="245"/>
        <v>6199920</v>
      </c>
    </row>
    <row r="44" spans="1:243">
      <c r="A44" s="484" t="s">
        <v>144</v>
      </c>
      <c r="B44" s="484">
        <f t="shared" si="212"/>
        <v>429082.2</v>
      </c>
      <c r="C44" s="484">
        <f t="shared" si="213"/>
        <v>14036266.699999999</v>
      </c>
      <c r="D44" s="87">
        <f>'P &amp; NP'!VG13</f>
        <v>0</v>
      </c>
      <c r="E44" s="87">
        <f>'P &amp; NP'!VH13</f>
        <v>0</v>
      </c>
      <c r="F44" s="87">
        <f>'P &amp; NP'!VI13</f>
        <v>10615</v>
      </c>
      <c r="G44" s="87">
        <f>'P &amp; NP'!VJ13</f>
        <v>483116.7</v>
      </c>
      <c r="H44" s="87">
        <f>'P &amp; NP'!VK13</f>
        <v>0</v>
      </c>
      <c r="I44" s="87">
        <f>'P &amp; NP'!VL13</f>
        <v>0</v>
      </c>
      <c r="J44" s="87">
        <f>'P &amp; NP'!VM13</f>
        <v>21309.200000000001</v>
      </c>
      <c r="K44" s="87">
        <f>'P &amp; NP'!VN13</f>
        <v>425513</v>
      </c>
      <c r="L44" s="87">
        <f>'P &amp; NP'!VO13</f>
        <v>0</v>
      </c>
      <c r="M44" s="87">
        <f>'P &amp; NP'!VP13</f>
        <v>0</v>
      </c>
      <c r="N44" s="87">
        <f>'P &amp; NP'!VQ13</f>
        <v>0</v>
      </c>
      <c r="O44" s="87">
        <f>'P &amp; NP'!VR13</f>
        <v>0</v>
      </c>
      <c r="P44" s="87">
        <f>'P &amp; NP'!VS13</f>
        <v>0</v>
      </c>
      <c r="Q44" s="87">
        <f>'P &amp; NP'!VT13</f>
        <v>0</v>
      </c>
      <c r="R44" s="92">
        <f t="shared" si="214"/>
        <v>31924.2</v>
      </c>
      <c r="S44" s="92">
        <f t="shared" si="215"/>
        <v>908629.7</v>
      </c>
      <c r="T44" s="87">
        <f>'P &amp; NP'!VG51</f>
        <v>0</v>
      </c>
      <c r="U44" s="87">
        <f>'P &amp; NP'!VH51</f>
        <v>0</v>
      </c>
      <c r="V44" s="87">
        <f>'P &amp; NP'!VI51</f>
        <v>14818</v>
      </c>
      <c r="W44" s="87">
        <f>'P &amp; NP'!VJ51</f>
        <v>584257</v>
      </c>
      <c r="X44" s="87">
        <f>'P &amp; NP'!VK51</f>
        <v>0</v>
      </c>
      <c r="Y44" s="87">
        <f>'P &amp; NP'!VL51</f>
        <v>0</v>
      </c>
      <c r="Z44" s="87">
        <f>'P &amp; NP'!VM51</f>
        <v>16148</v>
      </c>
      <c r="AA44" s="87">
        <f>'P &amp; NP'!VN51</f>
        <v>322484</v>
      </c>
      <c r="AB44" s="87">
        <f>'P &amp; NP'!VO51</f>
        <v>0</v>
      </c>
      <c r="AC44" s="87">
        <f>'P &amp; NP'!VP51</f>
        <v>0</v>
      </c>
      <c r="AD44" s="87">
        <f>'P &amp; NP'!VQ51</f>
        <v>0</v>
      </c>
      <c r="AE44" s="87">
        <f>'P &amp; NP'!VR51</f>
        <v>0</v>
      </c>
      <c r="AF44" s="87">
        <f>'P &amp; NP'!VS51</f>
        <v>0</v>
      </c>
      <c r="AG44" s="87">
        <f>'P &amp; NP'!VT51</f>
        <v>0</v>
      </c>
      <c r="AH44" s="92">
        <f t="shared" si="216"/>
        <v>30966</v>
      </c>
      <c r="AI44" s="92">
        <f t="shared" si="217"/>
        <v>906741</v>
      </c>
      <c r="AJ44" s="87">
        <f>'P &amp; NP'!VG89</f>
        <v>0</v>
      </c>
      <c r="AK44" s="87">
        <f>'P &amp; NP'!VH89</f>
        <v>0</v>
      </c>
      <c r="AL44" s="87">
        <f>'P &amp; NP'!VI89</f>
        <v>13995</v>
      </c>
      <c r="AM44" s="87">
        <f>'P &amp; NP'!VJ89</f>
        <v>644079</v>
      </c>
      <c r="AN44" s="87">
        <f>'P &amp; NP'!VK89</f>
        <v>0</v>
      </c>
      <c r="AO44" s="87">
        <f>'P &amp; NP'!VL89</f>
        <v>0</v>
      </c>
      <c r="AP44" s="87">
        <f>'P &amp; NP'!VM89</f>
        <v>17130</v>
      </c>
      <c r="AQ44" s="87">
        <f>'P &amp; NP'!VN89</f>
        <v>348420</v>
      </c>
      <c r="AR44" s="87">
        <f>'P &amp; NP'!VO89</f>
        <v>0</v>
      </c>
      <c r="AS44" s="87">
        <f>'P &amp; NP'!VP89</f>
        <v>0</v>
      </c>
      <c r="AT44" s="87">
        <f>'P &amp; NP'!VQ89</f>
        <v>0</v>
      </c>
      <c r="AU44" s="87">
        <f>'P &amp; NP'!VR89</f>
        <v>0</v>
      </c>
      <c r="AV44" s="87">
        <f>'P &amp; NP'!VS89</f>
        <v>0</v>
      </c>
      <c r="AW44" s="87">
        <f>'P &amp; NP'!VT89</f>
        <v>0</v>
      </c>
      <c r="AX44" s="92">
        <f t="shared" si="218"/>
        <v>31125</v>
      </c>
      <c r="AY44" s="92">
        <f t="shared" si="219"/>
        <v>992499</v>
      </c>
      <c r="AZ44" s="87">
        <f>'P &amp; NP'!VG127</f>
        <v>0</v>
      </c>
      <c r="BA44" s="87">
        <f>'P &amp; NP'!VH127</f>
        <v>0</v>
      </c>
      <c r="BB44" s="87">
        <f>'P &amp; NP'!VI127</f>
        <v>11378</v>
      </c>
      <c r="BC44" s="87">
        <f>'P &amp; NP'!VJ127</f>
        <v>478164</v>
      </c>
      <c r="BD44" s="87">
        <f>'P &amp; NP'!VK127</f>
        <v>0</v>
      </c>
      <c r="BE44" s="87">
        <f>'P &amp; NP'!VL127</f>
        <v>0</v>
      </c>
      <c r="BF44" s="87">
        <f>'P &amp; NP'!VM127</f>
        <v>12745</v>
      </c>
      <c r="BG44" s="87">
        <f>'P &amp; NP'!VN127</f>
        <v>258991</v>
      </c>
      <c r="BH44" s="87">
        <f>'P &amp; NP'!VO127</f>
        <v>0</v>
      </c>
      <c r="BI44" s="87">
        <f>'P &amp; NP'!VP127</f>
        <v>0</v>
      </c>
      <c r="BJ44" s="87">
        <f>'P &amp; NP'!VQ127</f>
        <v>0</v>
      </c>
      <c r="BK44" s="87">
        <f>'P &amp; NP'!VR127</f>
        <v>0</v>
      </c>
      <c r="BL44" s="87">
        <f>'P &amp; NP'!VS127</f>
        <v>0</v>
      </c>
      <c r="BM44" s="87">
        <f>'P &amp; NP'!VT127</f>
        <v>0</v>
      </c>
      <c r="BN44" s="92">
        <f t="shared" si="220"/>
        <v>24123</v>
      </c>
      <c r="BO44" s="92">
        <f t="shared" si="221"/>
        <v>737155</v>
      </c>
      <c r="BP44" s="87">
        <f>'P &amp; NP'!VG165</f>
        <v>0</v>
      </c>
      <c r="BQ44" s="87">
        <f>'P &amp; NP'!VH165</f>
        <v>0</v>
      </c>
      <c r="BR44" s="87">
        <f>'P &amp; NP'!VI165</f>
        <v>18126</v>
      </c>
      <c r="BS44" s="87">
        <f>'P &amp; NP'!VJ165</f>
        <v>833395</v>
      </c>
      <c r="BT44" s="87">
        <f>'P &amp; NP'!VK165</f>
        <v>0</v>
      </c>
      <c r="BU44" s="87">
        <f>'P &amp; NP'!VL165</f>
        <v>0</v>
      </c>
      <c r="BV44" s="87">
        <f>'P &amp; NP'!VM165</f>
        <v>15112</v>
      </c>
      <c r="BW44" s="87">
        <f>'P &amp; NP'!VN165</f>
        <v>301030</v>
      </c>
      <c r="BX44" s="87">
        <f>'P &amp; NP'!VO165</f>
        <v>0</v>
      </c>
      <c r="BY44" s="87">
        <f>'P &amp; NP'!VP165</f>
        <v>0</v>
      </c>
      <c r="BZ44" s="87">
        <f>'P &amp; NP'!VQ165</f>
        <v>0</v>
      </c>
      <c r="CA44" s="87">
        <f>'P &amp; NP'!VR165</f>
        <v>0</v>
      </c>
      <c r="CB44" s="87">
        <f>'P &amp; NP'!VS165</f>
        <v>0</v>
      </c>
      <c r="CC44" s="87">
        <f>'P &amp; NP'!VT165</f>
        <v>0</v>
      </c>
      <c r="CD44" s="92">
        <f t="shared" si="222"/>
        <v>33238</v>
      </c>
      <c r="CE44" s="92">
        <f t="shared" si="223"/>
        <v>1134425</v>
      </c>
      <c r="CF44" s="87">
        <f>'P &amp; NP'!VG203</f>
        <v>0</v>
      </c>
      <c r="CG44" s="87">
        <f>'P &amp; NP'!VH203</f>
        <v>0</v>
      </c>
      <c r="CH44" s="87">
        <f>'P &amp; NP'!VI203</f>
        <v>8649</v>
      </c>
      <c r="CI44" s="87">
        <f>'P &amp; NP'!VJ203</f>
        <v>415971</v>
      </c>
      <c r="CJ44" s="87">
        <f>'P &amp; NP'!VK203</f>
        <v>0</v>
      </c>
      <c r="CK44" s="87">
        <f>'P &amp; NP'!VL203</f>
        <v>0</v>
      </c>
      <c r="CL44" s="87">
        <f>'P &amp; NP'!VM203</f>
        <v>17138</v>
      </c>
      <c r="CM44" s="87">
        <f>'P &amp; NP'!VN203</f>
        <v>343346</v>
      </c>
      <c r="CN44" s="87">
        <f>'P &amp; NP'!VO203</f>
        <v>0</v>
      </c>
      <c r="CO44" s="87">
        <f>'P &amp; NP'!VP203</f>
        <v>0</v>
      </c>
      <c r="CP44" s="87">
        <f>'P &amp; NP'!VQ203</f>
        <v>0</v>
      </c>
      <c r="CQ44" s="87">
        <f>'P &amp; NP'!VR203</f>
        <v>0</v>
      </c>
      <c r="CR44" s="87">
        <f>'P &amp; NP'!VS203</f>
        <v>0</v>
      </c>
      <c r="CS44" s="87">
        <f>'P &amp; NP'!VT203</f>
        <v>0</v>
      </c>
      <c r="CT44" s="92">
        <f t="shared" si="224"/>
        <v>25787</v>
      </c>
      <c r="CU44" s="92">
        <f t="shared" si="225"/>
        <v>759317</v>
      </c>
      <c r="CV44" s="87">
        <f>'P &amp; NP'!VG241</f>
        <v>0</v>
      </c>
      <c r="CW44" s="87">
        <f>'P &amp; NP'!VH241</f>
        <v>0</v>
      </c>
      <c r="CX44" s="87">
        <f>'P &amp; NP'!VI241</f>
        <v>5504</v>
      </c>
      <c r="CY44" s="87">
        <f>'P &amp; NP'!VJ241</f>
        <v>243753</v>
      </c>
      <c r="CZ44" s="87">
        <f>'P &amp; NP'!VM241</f>
        <v>15323</v>
      </c>
      <c r="DA44" s="87">
        <f>'P &amp; NP'!VN241</f>
        <v>308627</v>
      </c>
      <c r="DB44" s="87">
        <f>'P &amp; NP'!VO241</f>
        <v>0</v>
      </c>
      <c r="DC44" s="87">
        <f>'P &amp; NP'!VP241</f>
        <v>0</v>
      </c>
      <c r="DD44" s="87">
        <f>'P &amp; NP'!VQ241</f>
        <v>0</v>
      </c>
      <c r="DE44" s="87">
        <f>'P &amp; NP'!VR241</f>
        <v>0</v>
      </c>
      <c r="DF44" s="87">
        <f>'P &amp; NP'!VS241</f>
        <v>0</v>
      </c>
      <c r="DG44" s="87">
        <f>'P &amp; NP'!VT241</f>
        <v>0</v>
      </c>
      <c r="DH44" s="87">
        <f t="shared" si="226"/>
        <v>20827</v>
      </c>
      <c r="DI44" s="87">
        <f t="shared" si="227"/>
        <v>552380</v>
      </c>
      <c r="DJ44" s="92">
        <f>'P &amp; NP'!VG279</f>
        <v>0</v>
      </c>
      <c r="DK44" s="92">
        <f>'P &amp; NP'!VH279</f>
        <v>0</v>
      </c>
      <c r="DL44" s="87">
        <f>'P &amp; NP'!VI279</f>
        <v>11061</v>
      </c>
      <c r="DM44" s="87">
        <f>'P &amp; NP'!VJ279</f>
        <v>546071</v>
      </c>
      <c r="DN44" s="87">
        <f>'P &amp; NP'!VM279</f>
        <v>13337</v>
      </c>
      <c r="DO44" s="87">
        <f>'P &amp; NP'!VN279</f>
        <v>270977</v>
      </c>
      <c r="DP44" s="87">
        <f>'P &amp; NP'!VO279</f>
        <v>0</v>
      </c>
      <c r="DQ44" s="87">
        <f>'P &amp; NP'!VP279</f>
        <v>0</v>
      </c>
      <c r="DR44" s="87">
        <f>'P &amp; NP'!VQ279</f>
        <v>0</v>
      </c>
      <c r="DS44" s="87">
        <f>'P &amp; NP'!VR279</f>
        <v>0</v>
      </c>
      <c r="DT44" s="87">
        <f>'P &amp; NP'!VS279</f>
        <v>0</v>
      </c>
      <c r="DU44" s="87">
        <f>'P &amp; NP'!VT279</f>
        <v>0</v>
      </c>
      <c r="DV44" s="87">
        <f t="shared" si="228"/>
        <v>24398</v>
      </c>
      <c r="DW44" s="87">
        <f t="shared" si="229"/>
        <v>817048</v>
      </c>
      <c r="DX44" s="87">
        <f>'P &amp; NP'!VG317</f>
        <v>0</v>
      </c>
      <c r="DY44" s="87">
        <f>'P &amp; NP'!VH317</f>
        <v>0</v>
      </c>
      <c r="DZ44" s="92">
        <f>'P &amp; NP'!VI317</f>
        <v>1740</v>
      </c>
      <c r="EA44" s="92">
        <f>'P &amp; NP'!VJ317</f>
        <v>59855</v>
      </c>
      <c r="EB44" s="87">
        <f>'P &amp; NP'!VM317</f>
        <v>12641</v>
      </c>
      <c r="EC44" s="87">
        <f>'P &amp; NP'!VN317</f>
        <v>255677</v>
      </c>
      <c r="ED44" s="87">
        <f>'P &amp; NP'!VO317</f>
        <v>0</v>
      </c>
      <c r="EE44" s="87">
        <f>'P &amp; NP'!VP317</f>
        <v>0</v>
      </c>
      <c r="EF44" s="87">
        <f>'P &amp; NP'!VQ317</f>
        <v>0</v>
      </c>
      <c r="EG44" s="87">
        <f>'P &amp; NP'!VR317</f>
        <v>0</v>
      </c>
      <c r="EH44" s="87">
        <f>'P &amp; NP'!VS317</f>
        <v>0</v>
      </c>
      <c r="EI44" s="87">
        <f>'P &amp; NP'!VT317</f>
        <v>0</v>
      </c>
      <c r="EJ44" s="87">
        <f t="shared" si="230"/>
        <v>14381</v>
      </c>
      <c r="EK44" s="87">
        <f t="shared" si="231"/>
        <v>315532</v>
      </c>
      <c r="EL44" s="87">
        <f>'P &amp; NP'!VG355</f>
        <v>0</v>
      </c>
      <c r="EM44" s="87">
        <f>'P &amp; NP'!VH355</f>
        <v>0</v>
      </c>
      <c r="EN44" s="87">
        <f>'P &amp; NP'!VI355</f>
        <v>2264</v>
      </c>
      <c r="EO44" s="87">
        <f>'P &amp; NP'!VJ355</f>
        <v>98046</v>
      </c>
      <c r="EP44" s="92">
        <f>'P &amp; NP'!VM355</f>
        <v>11888</v>
      </c>
      <c r="EQ44" s="92">
        <f>'P &amp; NP'!VN355</f>
        <v>236196</v>
      </c>
      <c r="ER44" s="87">
        <f>'P &amp; NP'!VO355</f>
        <v>0</v>
      </c>
      <c r="ES44" s="87">
        <f>'P &amp; NP'!VP355</f>
        <v>0</v>
      </c>
      <c r="ET44" s="87">
        <f>'P &amp; NP'!VQ355</f>
        <v>0</v>
      </c>
      <c r="EU44" s="87">
        <f>'P &amp; NP'!VR355</f>
        <v>0</v>
      </c>
      <c r="EV44" s="87">
        <f>'P &amp; NP'!VS355</f>
        <v>0</v>
      </c>
      <c r="EW44" s="87">
        <f>'P &amp; NP'!VT355</f>
        <v>0</v>
      </c>
      <c r="EX44" s="87">
        <f t="shared" si="232"/>
        <v>14152</v>
      </c>
      <c r="EY44" s="87">
        <f t="shared" si="233"/>
        <v>334242</v>
      </c>
      <c r="EZ44" s="87">
        <f>'P &amp; NP'!VG393</f>
        <v>0</v>
      </c>
      <c r="FA44" s="87">
        <f>'P &amp; NP'!VH393</f>
        <v>0</v>
      </c>
      <c r="FB44" s="87">
        <f>'P &amp; NP'!VI393</f>
        <v>50614</v>
      </c>
      <c r="FC44" s="87">
        <f>'P &amp; NP'!VJ393</f>
        <v>2451988</v>
      </c>
      <c r="FD44" s="87">
        <f>'P &amp; NP'!VM393</f>
        <v>20487</v>
      </c>
      <c r="FE44" s="87">
        <f>'P &amp; NP'!VN393</f>
        <v>427819</v>
      </c>
      <c r="FF44" s="92">
        <f>'P &amp; NP'!VO393</f>
        <v>0</v>
      </c>
      <c r="FG44" s="92">
        <f>'P &amp; NP'!VP393</f>
        <v>0</v>
      </c>
      <c r="FH44" s="87">
        <f>'P &amp; NP'!VQ393</f>
        <v>0</v>
      </c>
      <c r="FI44" s="87">
        <f>'P &amp; NP'!VR393</f>
        <v>0</v>
      </c>
      <c r="FJ44" s="87">
        <f>'P &amp; NP'!VS393</f>
        <v>0</v>
      </c>
      <c r="FK44" s="87">
        <f>'P &amp; NP'!VT393</f>
        <v>0</v>
      </c>
      <c r="FL44" s="87">
        <f t="shared" si="234"/>
        <v>71101</v>
      </c>
      <c r="FM44" s="87">
        <f t="shared" si="235"/>
        <v>2879807</v>
      </c>
      <c r="FN44" s="87">
        <f>'P &amp; NP'!VG431</f>
        <v>0</v>
      </c>
      <c r="FO44" s="87">
        <f>'P &amp; NP'!VH431</f>
        <v>0</v>
      </c>
      <c r="FP44" s="87">
        <f>'P &amp; NP'!VI431</f>
        <v>81206</v>
      </c>
      <c r="FQ44" s="87">
        <f>'P &amp; NP'!VJ431</f>
        <v>3141041</v>
      </c>
      <c r="FR44" s="87">
        <f>'P &amp; NP'!VM431</f>
        <v>25854</v>
      </c>
      <c r="FS44" s="87">
        <f>'P &amp; NP'!VN431</f>
        <v>557450</v>
      </c>
      <c r="FT44" s="87">
        <f>'P &amp; NP'!VO431</f>
        <v>0</v>
      </c>
      <c r="FU44" s="87">
        <f>'P &amp; NP'!VP431</f>
        <v>0</v>
      </c>
      <c r="FV44" s="92">
        <f>'P &amp; NP'!VQ431</f>
        <v>0</v>
      </c>
      <c r="FW44" s="92">
        <f>'P &amp; NP'!VR431</f>
        <v>0</v>
      </c>
      <c r="FX44" s="87">
        <f>'P &amp; NP'!VS431</f>
        <v>0</v>
      </c>
      <c r="FY44" s="87">
        <f>'P &amp; NP'!VT431</f>
        <v>0</v>
      </c>
      <c r="FZ44" s="87">
        <f t="shared" si="236"/>
        <v>107060</v>
      </c>
      <c r="GA44" s="87">
        <f t="shared" si="237"/>
        <v>3698491</v>
      </c>
      <c r="GC44" s="609">
        <f t="shared" si="164"/>
        <v>0</v>
      </c>
      <c r="GD44" s="609">
        <f t="shared" si="165"/>
        <v>0</v>
      </c>
      <c r="GE44" s="609">
        <f t="shared" si="166"/>
        <v>39428</v>
      </c>
      <c r="GF44" s="609">
        <f t="shared" si="167"/>
        <v>1711452.7</v>
      </c>
      <c r="GG44" s="609">
        <f t="shared" si="168"/>
        <v>54587.199999999997</v>
      </c>
      <c r="GH44" s="609">
        <f t="shared" si="169"/>
        <v>1096417</v>
      </c>
      <c r="GI44" s="609">
        <f t="shared" si="170"/>
        <v>0</v>
      </c>
      <c r="GJ44" s="609">
        <f t="shared" si="171"/>
        <v>0</v>
      </c>
      <c r="GK44" s="609">
        <f t="shared" si="172"/>
        <v>0</v>
      </c>
      <c r="GL44" s="609">
        <f t="shared" si="173"/>
        <v>0</v>
      </c>
      <c r="GM44" s="609">
        <f t="shared" si="174"/>
        <v>0</v>
      </c>
      <c r="GN44" s="609">
        <f t="shared" si="175"/>
        <v>0</v>
      </c>
      <c r="GO44" s="640">
        <f t="shared" si="238"/>
        <v>94015.2</v>
      </c>
      <c r="GP44" s="640">
        <f t="shared" si="239"/>
        <v>2807869.7</v>
      </c>
      <c r="GR44" s="609">
        <f t="shared" si="176"/>
        <v>0</v>
      </c>
      <c r="GS44" s="609">
        <f t="shared" si="177"/>
        <v>0</v>
      </c>
      <c r="GT44" s="609">
        <f t="shared" si="178"/>
        <v>38153</v>
      </c>
      <c r="GU44" s="609">
        <f t="shared" si="179"/>
        <v>1727530</v>
      </c>
      <c r="GV44" s="609">
        <f t="shared" si="180"/>
        <v>44995</v>
      </c>
      <c r="GW44" s="609">
        <f t="shared" si="181"/>
        <v>903367</v>
      </c>
      <c r="GX44" s="609">
        <f t="shared" si="182"/>
        <v>0</v>
      </c>
      <c r="GY44" s="609">
        <f t="shared" si="183"/>
        <v>0</v>
      </c>
      <c r="GZ44" s="609">
        <f t="shared" si="184"/>
        <v>0</v>
      </c>
      <c r="HA44" s="609">
        <f t="shared" si="185"/>
        <v>0</v>
      </c>
      <c r="HB44" s="609">
        <f t="shared" si="186"/>
        <v>0</v>
      </c>
      <c r="HC44" s="609">
        <f t="shared" si="187"/>
        <v>0</v>
      </c>
      <c r="HD44" s="640">
        <f t="shared" si="240"/>
        <v>83148</v>
      </c>
      <c r="HE44" s="640">
        <f t="shared" si="241"/>
        <v>2630897</v>
      </c>
      <c r="HG44" s="609">
        <f t="shared" si="188"/>
        <v>0</v>
      </c>
      <c r="HH44" s="609">
        <f t="shared" si="189"/>
        <v>0</v>
      </c>
      <c r="HI44" s="609">
        <f t="shared" si="190"/>
        <v>18305</v>
      </c>
      <c r="HJ44" s="609">
        <f t="shared" si="191"/>
        <v>849679</v>
      </c>
      <c r="HK44" s="609">
        <f t="shared" si="192"/>
        <v>41301</v>
      </c>
      <c r="HL44" s="609">
        <f t="shared" si="193"/>
        <v>835281</v>
      </c>
      <c r="HM44" s="609">
        <f t="shared" si="194"/>
        <v>0</v>
      </c>
      <c r="HN44" s="609">
        <f t="shared" si="195"/>
        <v>0</v>
      </c>
      <c r="HO44" s="609">
        <f t="shared" si="196"/>
        <v>0</v>
      </c>
      <c r="HP44" s="609">
        <f t="shared" si="197"/>
        <v>0</v>
      </c>
      <c r="HQ44" s="609">
        <f t="shared" si="198"/>
        <v>0</v>
      </c>
      <c r="HR44" s="609">
        <f t="shared" si="199"/>
        <v>0</v>
      </c>
      <c r="HS44" s="640">
        <f t="shared" si="242"/>
        <v>59606</v>
      </c>
      <c r="HT44" s="640">
        <f t="shared" si="243"/>
        <v>1684960</v>
      </c>
      <c r="HV44" s="609">
        <f t="shared" si="200"/>
        <v>0</v>
      </c>
      <c r="HW44" s="609">
        <f t="shared" si="201"/>
        <v>0</v>
      </c>
      <c r="HX44" s="609">
        <f t="shared" si="202"/>
        <v>134084</v>
      </c>
      <c r="HY44" s="609">
        <f t="shared" si="203"/>
        <v>5691075</v>
      </c>
      <c r="HZ44" s="609">
        <f t="shared" si="204"/>
        <v>58229</v>
      </c>
      <c r="IA44" s="609">
        <f t="shared" si="205"/>
        <v>1221465</v>
      </c>
      <c r="IB44" s="609">
        <f t="shared" si="206"/>
        <v>0</v>
      </c>
      <c r="IC44" s="609">
        <f t="shared" si="207"/>
        <v>0</v>
      </c>
      <c r="ID44" s="609">
        <f t="shared" si="208"/>
        <v>0</v>
      </c>
      <c r="IE44" s="609">
        <f t="shared" si="209"/>
        <v>0</v>
      </c>
      <c r="IF44" s="609">
        <f t="shared" si="210"/>
        <v>0</v>
      </c>
      <c r="IG44" s="609">
        <f t="shared" si="211"/>
        <v>0</v>
      </c>
      <c r="IH44" s="640">
        <f t="shared" si="244"/>
        <v>192313</v>
      </c>
      <c r="II44" s="640">
        <f t="shared" si="245"/>
        <v>6912540</v>
      </c>
    </row>
    <row r="45" spans="1:243">
      <c r="A45" s="484" t="s">
        <v>148</v>
      </c>
      <c r="B45" s="484">
        <f t="shared" si="212"/>
        <v>9979520</v>
      </c>
      <c r="C45" s="484">
        <f t="shared" si="213"/>
        <v>301233074</v>
      </c>
      <c r="D45" s="87">
        <f>'P &amp; NP'!VW13</f>
        <v>0</v>
      </c>
      <c r="E45" s="87">
        <f>'P &amp; NP'!VX13</f>
        <v>0</v>
      </c>
      <c r="F45" s="87">
        <f>'P &amp; NP'!VY13</f>
        <v>484899</v>
      </c>
      <c r="G45" s="87">
        <f>'P &amp; NP'!VZ13</f>
        <v>18249729</v>
      </c>
      <c r="H45" s="87">
        <f>'P &amp; NP'!WA13</f>
        <v>0</v>
      </c>
      <c r="I45" s="87">
        <f>'P &amp; NP'!WB13</f>
        <v>0</v>
      </c>
      <c r="J45" s="87">
        <f>'P &amp; NP'!WC13</f>
        <v>377903</v>
      </c>
      <c r="K45" s="87">
        <f>'P &amp; NP'!WD13</f>
        <v>9752835</v>
      </c>
      <c r="L45" s="87">
        <f>'P &amp; NP'!WE13</f>
        <v>0</v>
      </c>
      <c r="M45" s="87">
        <f>'P &amp; NP'!WF13</f>
        <v>0</v>
      </c>
      <c r="N45" s="87">
        <f>'P &amp; NP'!WG13</f>
        <v>0</v>
      </c>
      <c r="O45" s="87">
        <f>'P &amp; NP'!WH13</f>
        <v>0</v>
      </c>
      <c r="P45" s="87">
        <f>'P &amp; NP'!WI13</f>
        <v>10185</v>
      </c>
      <c r="Q45" s="87">
        <f>'P &amp; NP'!WJ13</f>
        <v>203700</v>
      </c>
      <c r="R45" s="92">
        <f t="shared" si="214"/>
        <v>872987</v>
      </c>
      <c r="S45" s="92">
        <f t="shared" si="215"/>
        <v>28206264</v>
      </c>
      <c r="T45" s="87">
        <f>'P &amp; NP'!VW51</f>
        <v>0</v>
      </c>
      <c r="U45" s="87">
        <f>'P &amp; NP'!VX51</f>
        <v>0</v>
      </c>
      <c r="V45" s="87">
        <f>'P &amp; NP'!VY51</f>
        <v>535099</v>
      </c>
      <c r="W45" s="87">
        <f>'P &amp; NP'!VZ51</f>
        <v>20384214</v>
      </c>
      <c r="X45" s="87">
        <f>'P &amp; NP'!WA51</f>
        <v>0</v>
      </c>
      <c r="Y45" s="87">
        <f>'P &amp; NP'!WB51</f>
        <v>0</v>
      </c>
      <c r="Z45" s="87">
        <f>'P &amp; NP'!WC51</f>
        <v>419530</v>
      </c>
      <c r="AA45" s="87">
        <f>'P &amp; NP'!WD51</f>
        <v>11165932</v>
      </c>
      <c r="AB45" s="87">
        <f>'P &amp; NP'!WE51</f>
        <v>0</v>
      </c>
      <c r="AC45" s="87">
        <f>'P &amp; NP'!WF51</f>
        <v>0</v>
      </c>
      <c r="AD45" s="87">
        <f>'P &amp; NP'!WG51</f>
        <v>0</v>
      </c>
      <c r="AE45" s="87">
        <f>'P &amp; NP'!WH51</f>
        <v>0</v>
      </c>
      <c r="AF45" s="87">
        <f>'P &amp; NP'!WI51</f>
        <v>8488</v>
      </c>
      <c r="AG45" s="87">
        <f>'P &amp; NP'!WJ51</f>
        <v>186736</v>
      </c>
      <c r="AH45" s="92">
        <f t="shared" si="216"/>
        <v>963117</v>
      </c>
      <c r="AI45" s="92">
        <f t="shared" si="217"/>
        <v>31736882</v>
      </c>
      <c r="AJ45" s="87">
        <f>'P &amp; NP'!VW89</f>
        <v>0</v>
      </c>
      <c r="AK45" s="87">
        <f>'P &amp; NP'!VX89</f>
        <v>0</v>
      </c>
      <c r="AL45" s="87">
        <f>'P &amp; NP'!VY89</f>
        <v>590525</v>
      </c>
      <c r="AM45" s="87">
        <f>'P &amp; NP'!VZ89</f>
        <v>22595045</v>
      </c>
      <c r="AN45" s="87">
        <f>'P &amp; NP'!WA89</f>
        <v>0</v>
      </c>
      <c r="AO45" s="87">
        <f>'P &amp; NP'!WB89</f>
        <v>0</v>
      </c>
      <c r="AP45" s="87">
        <f>'P &amp; NP'!WC89</f>
        <v>461281</v>
      </c>
      <c r="AQ45" s="87">
        <f>'P &amp; NP'!WD89</f>
        <v>11656063</v>
      </c>
      <c r="AR45" s="87">
        <f>'P &amp; NP'!WE89</f>
        <v>0</v>
      </c>
      <c r="AS45" s="87">
        <f>'P &amp; NP'!WF89</f>
        <v>0</v>
      </c>
      <c r="AT45" s="87">
        <f>'P &amp; NP'!WG89</f>
        <v>0</v>
      </c>
      <c r="AU45" s="87">
        <f>'P &amp; NP'!WH89</f>
        <v>0</v>
      </c>
      <c r="AV45" s="87">
        <f>'P &amp; NP'!WI89</f>
        <v>6790</v>
      </c>
      <c r="AW45" s="87">
        <f>'P &amp; NP'!WJ89</f>
        <v>135800</v>
      </c>
      <c r="AX45" s="92">
        <f t="shared" si="218"/>
        <v>1058596</v>
      </c>
      <c r="AY45" s="92">
        <f t="shared" si="219"/>
        <v>34386908</v>
      </c>
      <c r="AZ45" s="87">
        <f>'P &amp; NP'!VW127</f>
        <v>0</v>
      </c>
      <c r="BA45" s="87">
        <f>'P &amp; NP'!VX127</f>
        <v>0</v>
      </c>
      <c r="BB45" s="87">
        <f>'P &amp; NP'!VY127</f>
        <v>365391</v>
      </c>
      <c r="BC45" s="87">
        <f>'P &amp; NP'!VZ127</f>
        <v>13596917</v>
      </c>
      <c r="BD45" s="87">
        <f>'P &amp; NP'!WA127</f>
        <v>0</v>
      </c>
      <c r="BE45" s="87">
        <f>'P &amp; NP'!WB127</f>
        <v>0</v>
      </c>
      <c r="BF45" s="87">
        <f>'P &amp; NP'!WC127</f>
        <v>316923</v>
      </c>
      <c r="BG45" s="87">
        <f>'P &amp; NP'!WD127</f>
        <v>8147204</v>
      </c>
      <c r="BH45" s="87">
        <f>'P &amp; NP'!WE127</f>
        <v>0</v>
      </c>
      <c r="BI45" s="87">
        <f>'P &amp; NP'!WF127</f>
        <v>0</v>
      </c>
      <c r="BJ45" s="87">
        <f>'P &amp; NP'!WG127</f>
        <v>0</v>
      </c>
      <c r="BK45" s="87">
        <f>'P &amp; NP'!WH127</f>
        <v>0</v>
      </c>
      <c r="BL45" s="87">
        <f>'P &amp; NP'!WI127</f>
        <v>8216</v>
      </c>
      <c r="BM45" s="87">
        <f>'P &amp; NP'!WJ127</f>
        <v>180752</v>
      </c>
      <c r="BN45" s="92">
        <f t="shared" si="220"/>
        <v>690530</v>
      </c>
      <c r="BO45" s="92">
        <f t="shared" si="221"/>
        <v>21924873</v>
      </c>
      <c r="BP45" s="87">
        <f>'P &amp; NP'!VW165</f>
        <v>0</v>
      </c>
      <c r="BQ45" s="87">
        <f>'P &amp; NP'!VX165</f>
        <v>0</v>
      </c>
      <c r="BR45" s="87">
        <f>'P &amp; NP'!VY165</f>
        <v>424201</v>
      </c>
      <c r="BS45" s="87">
        <f>'P &amp; NP'!VZ165</f>
        <v>15624541</v>
      </c>
      <c r="BT45" s="87">
        <f>'P &amp; NP'!WA165</f>
        <v>0</v>
      </c>
      <c r="BU45" s="87">
        <f>'P &amp; NP'!WB165</f>
        <v>0</v>
      </c>
      <c r="BV45" s="87">
        <f>'P &amp; NP'!WC165</f>
        <v>351763</v>
      </c>
      <c r="BW45" s="87">
        <f>'P &amp; NP'!WD165</f>
        <v>9044230</v>
      </c>
      <c r="BX45" s="87">
        <f>'P &amp; NP'!WE165</f>
        <v>0</v>
      </c>
      <c r="BY45" s="87">
        <f>'P &amp; NP'!WF165</f>
        <v>0</v>
      </c>
      <c r="BZ45" s="87">
        <f>'P &amp; NP'!WG165</f>
        <v>0</v>
      </c>
      <c r="CA45" s="87">
        <f>'P &amp; NP'!WH165</f>
        <v>0</v>
      </c>
      <c r="CB45" s="87">
        <f>'P &amp; NP'!WI165</f>
        <v>6868</v>
      </c>
      <c r="CC45" s="87">
        <f>'P &amp; NP'!WJ165</f>
        <v>151096</v>
      </c>
      <c r="CD45" s="92">
        <f t="shared" si="222"/>
        <v>782832</v>
      </c>
      <c r="CE45" s="92">
        <f t="shared" si="223"/>
        <v>24819867</v>
      </c>
      <c r="CF45" s="87">
        <f>'P &amp; NP'!VW203</f>
        <v>0</v>
      </c>
      <c r="CG45" s="87">
        <f>'P &amp; NP'!VX203</f>
        <v>0</v>
      </c>
      <c r="CH45" s="87">
        <f>'P &amp; NP'!VY203</f>
        <v>418408</v>
      </c>
      <c r="CI45" s="87">
        <f>'P &amp; NP'!VZ203</f>
        <v>14224554</v>
      </c>
      <c r="CJ45" s="87">
        <f>'P &amp; NP'!WA203</f>
        <v>0</v>
      </c>
      <c r="CK45" s="87">
        <f>'P &amp; NP'!WB203</f>
        <v>0</v>
      </c>
      <c r="CL45" s="87">
        <f>'P &amp; NP'!WC203</f>
        <v>376408</v>
      </c>
      <c r="CM45" s="87">
        <f>'P &amp; NP'!WD203</f>
        <v>9533302</v>
      </c>
      <c r="CN45" s="87">
        <f>'P &amp; NP'!WE203</f>
        <v>0</v>
      </c>
      <c r="CO45" s="87">
        <f>'P &amp; NP'!WF203</f>
        <v>0</v>
      </c>
      <c r="CP45" s="87">
        <f>'P &amp; NP'!WG203</f>
        <v>0</v>
      </c>
      <c r="CQ45" s="87">
        <f>'P &amp; NP'!WH203</f>
        <v>0</v>
      </c>
      <c r="CR45" s="87">
        <f>'P &amp; NP'!WI203</f>
        <v>4452</v>
      </c>
      <c r="CS45" s="87">
        <f>'P &amp; NP'!WJ203</f>
        <v>97944</v>
      </c>
      <c r="CT45" s="92">
        <f t="shared" si="224"/>
        <v>799268</v>
      </c>
      <c r="CU45" s="92">
        <f t="shared" si="225"/>
        <v>23855800</v>
      </c>
      <c r="CV45" s="87">
        <f>'P &amp; NP'!VW241</f>
        <v>0</v>
      </c>
      <c r="CW45" s="87">
        <f>'P &amp; NP'!VX241</f>
        <v>0</v>
      </c>
      <c r="CX45" s="87">
        <f>'P &amp; NP'!VY241</f>
        <v>408500</v>
      </c>
      <c r="CY45" s="87">
        <f>'P &amp; NP'!VZ241</f>
        <v>13855790</v>
      </c>
      <c r="CZ45" s="87">
        <f>'P &amp; NP'!WC241</f>
        <v>389600</v>
      </c>
      <c r="DA45" s="87">
        <f>'P &amp; NP'!WD241</f>
        <v>9646140</v>
      </c>
      <c r="DB45" s="87">
        <f>'P &amp; NP'!WE241</f>
        <v>0</v>
      </c>
      <c r="DC45" s="87">
        <f>'P &amp; NP'!WF241</f>
        <v>0</v>
      </c>
      <c r="DD45" s="87">
        <f>'P &amp; NP'!WG241</f>
        <v>0</v>
      </c>
      <c r="DE45" s="87">
        <f>'P &amp; NP'!WH241</f>
        <v>0</v>
      </c>
      <c r="DF45" s="87">
        <f>'P &amp; NP'!WI241</f>
        <v>6530</v>
      </c>
      <c r="DG45" s="87">
        <f>'P &amp; NP'!WJ241</f>
        <v>130600</v>
      </c>
      <c r="DH45" s="87">
        <f t="shared" si="226"/>
        <v>804630</v>
      </c>
      <c r="DI45" s="87">
        <f t="shared" si="227"/>
        <v>23632530</v>
      </c>
      <c r="DJ45" s="92">
        <f>'P &amp; NP'!VW279</f>
        <v>0</v>
      </c>
      <c r="DK45" s="92">
        <f>'P &amp; NP'!VX279</f>
        <v>0</v>
      </c>
      <c r="DL45" s="87">
        <f>'P &amp; NP'!VY279</f>
        <v>350110</v>
      </c>
      <c r="DM45" s="87">
        <f>'P &amp; NP'!VZ279</f>
        <v>11844090</v>
      </c>
      <c r="DN45" s="87">
        <f>'P &amp; NP'!WC279</f>
        <v>425780</v>
      </c>
      <c r="DO45" s="87">
        <f>'P &amp; NP'!WD279</f>
        <v>10110290</v>
      </c>
      <c r="DP45" s="87">
        <f>'P &amp; NP'!WE279</f>
        <v>0</v>
      </c>
      <c r="DQ45" s="87">
        <f>'P &amp; NP'!WF279</f>
        <v>0</v>
      </c>
      <c r="DR45" s="87">
        <f>'P &amp; NP'!WG279</f>
        <v>0</v>
      </c>
      <c r="DS45" s="87">
        <f>'P &amp; NP'!WH279</f>
        <v>0</v>
      </c>
      <c r="DT45" s="87">
        <f>'P &amp; NP'!WI279</f>
        <v>6540</v>
      </c>
      <c r="DU45" s="87">
        <f>'P &amp; NP'!WJ279</f>
        <v>143880</v>
      </c>
      <c r="DV45" s="87">
        <f t="shared" si="228"/>
        <v>782430</v>
      </c>
      <c r="DW45" s="87">
        <f t="shared" si="229"/>
        <v>22098260</v>
      </c>
      <c r="DX45" s="87">
        <f>'P &amp; NP'!VW317</f>
        <v>0</v>
      </c>
      <c r="DY45" s="87">
        <f>'P &amp; NP'!VX317</f>
        <v>0</v>
      </c>
      <c r="DZ45" s="92">
        <f>'P &amp; NP'!VY317</f>
        <v>422710</v>
      </c>
      <c r="EA45" s="92">
        <f>'P &amp; NP'!VZ317</f>
        <v>14365600</v>
      </c>
      <c r="EB45" s="87">
        <f>'P &amp; NP'!WC317</f>
        <v>347930</v>
      </c>
      <c r="EC45" s="87">
        <f>'P &amp; NP'!WD317</f>
        <v>8356420</v>
      </c>
      <c r="ED45" s="87">
        <f>'P &amp; NP'!WE317</f>
        <v>0</v>
      </c>
      <c r="EE45" s="87">
        <f>'P &amp; NP'!WF317</f>
        <v>0</v>
      </c>
      <c r="EF45" s="87">
        <f>'P &amp; NP'!WG317</f>
        <v>0</v>
      </c>
      <c r="EG45" s="87">
        <f>'P &amp; NP'!WH317</f>
        <v>0</v>
      </c>
      <c r="EH45" s="87">
        <f>'P &amp; NP'!WI317</f>
        <v>4540</v>
      </c>
      <c r="EI45" s="87">
        <f>'P &amp; NP'!WJ317</f>
        <v>90800</v>
      </c>
      <c r="EJ45" s="87">
        <f t="shared" si="230"/>
        <v>775180</v>
      </c>
      <c r="EK45" s="87">
        <f t="shared" si="231"/>
        <v>22812820</v>
      </c>
      <c r="EL45" s="87">
        <f>'P &amp; NP'!VW355</f>
        <v>0</v>
      </c>
      <c r="EM45" s="87">
        <f>'P &amp; NP'!VX355</f>
        <v>0</v>
      </c>
      <c r="EN45" s="87">
        <f>'P &amp; NP'!VY355</f>
        <v>434510</v>
      </c>
      <c r="EO45" s="87">
        <f>'P &amp; NP'!VZ355</f>
        <v>14635460</v>
      </c>
      <c r="EP45" s="92">
        <f>'P &amp; NP'!WC355</f>
        <v>362030</v>
      </c>
      <c r="EQ45" s="92">
        <f>'P &amp; NP'!WD355</f>
        <v>9007250</v>
      </c>
      <c r="ER45" s="87">
        <f>'P &amp; NP'!WE355</f>
        <v>0</v>
      </c>
      <c r="ES45" s="87">
        <f>'P &amp; NP'!WF355</f>
        <v>0</v>
      </c>
      <c r="ET45" s="87">
        <f>'P &amp; NP'!WG355</f>
        <v>0</v>
      </c>
      <c r="EU45" s="87">
        <f>'P &amp; NP'!WH355</f>
        <v>0</v>
      </c>
      <c r="EV45" s="87">
        <f>'P &amp; NP'!WI355</f>
        <v>4240</v>
      </c>
      <c r="EW45" s="87">
        <f>'P &amp; NP'!WJ355</f>
        <v>69040</v>
      </c>
      <c r="EX45" s="87">
        <f t="shared" si="232"/>
        <v>800780</v>
      </c>
      <c r="EY45" s="87">
        <f t="shared" si="233"/>
        <v>23711750</v>
      </c>
      <c r="EZ45" s="87">
        <f>'P &amp; NP'!VW393</f>
        <v>0</v>
      </c>
      <c r="FA45" s="87">
        <f>'P &amp; NP'!VX393</f>
        <v>0</v>
      </c>
      <c r="FB45" s="87">
        <f>'P &amp; NP'!VY393</f>
        <v>413820</v>
      </c>
      <c r="FC45" s="87">
        <f>'P &amp; NP'!VZ393</f>
        <v>13847480</v>
      </c>
      <c r="FD45" s="87">
        <f>'P &amp; NP'!WC393</f>
        <v>443660</v>
      </c>
      <c r="FE45" s="87">
        <f>'P &amp; NP'!WD393</f>
        <v>10650150</v>
      </c>
      <c r="FF45" s="92">
        <f>'P &amp; NP'!WE393</f>
        <v>0</v>
      </c>
      <c r="FG45" s="92">
        <f>'P &amp; NP'!WF393</f>
        <v>0</v>
      </c>
      <c r="FH45" s="87">
        <f>'P &amp; NP'!WG393</f>
        <v>0</v>
      </c>
      <c r="FI45" s="87">
        <f>'P &amp; NP'!WH393</f>
        <v>0</v>
      </c>
      <c r="FJ45" s="87">
        <f>'P &amp; NP'!WI393</f>
        <v>5260</v>
      </c>
      <c r="FK45" s="87">
        <f>'P &amp; NP'!WJ393</f>
        <v>110460</v>
      </c>
      <c r="FL45" s="87">
        <f t="shared" si="234"/>
        <v>862740</v>
      </c>
      <c r="FM45" s="87">
        <f t="shared" si="235"/>
        <v>24608090</v>
      </c>
      <c r="FN45" s="87">
        <f>'P &amp; NP'!VW431</f>
        <v>0</v>
      </c>
      <c r="FO45" s="87">
        <f>'P &amp; NP'!VX431</f>
        <v>0</v>
      </c>
      <c r="FP45" s="87">
        <f>'P &amp; NP'!VY431</f>
        <v>380260</v>
      </c>
      <c r="FQ45" s="87">
        <f>'P &amp; NP'!VZ431</f>
        <v>12373080</v>
      </c>
      <c r="FR45" s="87">
        <f>'P &amp; NP'!WC431</f>
        <v>401870</v>
      </c>
      <c r="FS45" s="87">
        <f>'P &amp; NP'!WD431</f>
        <v>6962750</v>
      </c>
      <c r="FT45" s="87">
        <f>'P &amp; NP'!WE431</f>
        <v>0</v>
      </c>
      <c r="FU45" s="87">
        <f>'P &amp; NP'!WF431</f>
        <v>0</v>
      </c>
      <c r="FV45" s="92">
        <f>'P &amp; NP'!WG431</f>
        <v>0</v>
      </c>
      <c r="FW45" s="92">
        <f>'P &amp; NP'!WH431</f>
        <v>0</v>
      </c>
      <c r="FX45" s="87">
        <f>'P &amp; NP'!WI431</f>
        <v>4300</v>
      </c>
      <c r="FY45" s="87">
        <f>'P &amp; NP'!WJ431</f>
        <v>103200</v>
      </c>
      <c r="FZ45" s="87">
        <f t="shared" si="236"/>
        <v>786430</v>
      </c>
      <c r="GA45" s="87">
        <f t="shared" si="237"/>
        <v>19439030</v>
      </c>
      <c r="GC45" s="609">
        <f t="shared" si="164"/>
        <v>0</v>
      </c>
      <c r="GD45" s="609">
        <f t="shared" si="165"/>
        <v>0</v>
      </c>
      <c r="GE45" s="609">
        <f t="shared" si="166"/>
        <v>1610523</v>
      </c>
      <c r="GF45" s="609">
        <f t="shared" si="167"/>
        <v>61228988</v>
      </c>
      <c r="GG45" s="609">
        <f t="shared" si="168"/>
        <v>1258714</v>
      </c>
      <c r="GH45" s="609">
        <f t="shared" si="169"/>
        <v>32574830</v>
      </c>
      <c r="GI45" s="609">
        <f t="shared" si="170"/>
        <v>0</v>
      </c>
      <c r="GJ45" s="609">
        <f t="shared" si="171"/>
        <v>0</v>
      </c>
      <c r="GK45" s="609">
        <f t="shared" si="172"/>
        <v>0</v>
      </c>
      <c r="GL45" s="609">
        <f t="shared" si="173"/>
        <v>0</v>
      </c>
      <c r="GM45" s="609">
        <f t="shared" si="174"/>
        <v>25463</v>
      </c>
      <c r="GN45" s="609">
        <f t="shared" si="175"/>
        <v>526236</v>
      </c>
      <c r="GO45" s="640">
        <f t="shared" si="238"/>
        <v>2894700</v>
      </c>
      <c r="GP45" s="640">
        <f t="shared" si="239"/>
        <v>94330054</v>
      </c>
      <c r="GR45" s="609">
        <f t="shared" si="176"/>
        <v>0</v>
      </c>
      <c r="GS45" s="609">
        <f t="shared" si="177"/>
        <v>0</v>
      </c>
      <c r="GT45" s="609">
        <f t="shared" si="178"/>
        <v>1208000</v>
      </c>
      <c r="GU45" s="609">
        <f t="shared" si="179"/>
        <v>43446012</v>
      </c>
      <c r="GV45" s="609">
        <f t="shared" si="180"/>
        <v>1045094</v>
      </c>
      <c r="GW45" s="609">
        <f t="shared" si="181"/>
        <v>26724736</v>
      </c>
      <c r="GX45" s="609">
        <f t="shared" si="182"/>
        <v>0</v>
      </c>
      <c r="GY45" s="609">
        <f t="shared" si="183"/>
        <v>0</v>
      </c>
      <c r="GZ45" s="609">
        <f t="shared" si="184"/>
        <v>0</v>
      </c>
      <c r="HA45" s="609">
        <f t="shared" si="185"/>
        <v>0</v>
      </c>
      <c r="HB45" s="609">
        <f t="shared" si="186"/>
        <v>19536</v>
      </c>
      <c r="HC45" s="609">
        <f t="shared" si="187"/>
        <v>429792</v>
      </c>
      <c r="HD45" s="640">
        <f t="shared" si="240"/>
        <v>2272630</v>
      </c>
      <c r="HE45" s="640">
        <f t="shared" si="241"/>
        <v>70600540</v>
      </c>
      <c r="HG45" s="609">
        <f t="shared" si="188"/>
        <v>0</v>
      </c>
      <c r="HH45" s="609">
        <f t="shared" si="189"/>
        <v>0</v>
      </c>
      <c r="HI45" s="609">
        <f t="shared" si="190"/>
        <v>1181320</v>
      </c>
      <c r="HJ45" s="609">
        <f t="shared" si="191"/>
        <v>40065480</v>
      </c>
      <c r="HK45" s="609">
        <f t="shared" si="192"/>
        <v>1163310</v>
      </c>
      <c r="HL45" s="609">
        <f t="shared" si="193"/>
        <v>28112850</v>
      </c>
      <c r="HM45" s="609">
        <f t="shared" si="194"/>
        <v>0</v>
      </c>
      <c r="HN45" s="609">
        <f t="shared" si="195"/>
        <v>0</v>
      </c>
      <c r="HO45" s="609">
        <f t="shared" si="196"/>
        <v>0</v>
      </c>
      <c r="HP45" s="609">
        <f t="shared" si="197"/>
        <v>0</v>
      </c>
      <c r="HQ45" s="609">
        <f t="shared" si="198"/>
        <v>17610</v>
      </c>
      <c r="HR45" s="609">
        <f t="shared" si="199"/>
        <v>365280</v>
      </c>
      <c r="HS45" s="640">
        <f t="shared" si="242"/>
        <v>2362240</v>
      </c>
      <c r="HT45" s="640">
        <f t="shared" si="243"/>
        <v>68543610</v>
      </c>
      <c r="HV45" s="609">
        <f t="shared" si="200"/>
        <v>0</v>
      </c>
      <c r="HW45" s="609">
        <f t="shared" si="201"/>
        <v>0</v>
      </c>
      <c r="HX45" s="609">
        <f t="shared" si="202"/>
        <v>1228590</v>
      </c>
      <c r="HY45" s="609">
        <f t="shared" si="203"/>
        <v>40856020</v>
      </c>
      <c r="HZ45" s="609">
        <f t="shared" si="204"/>
        <v>1207560</v>
      </c>
      <c r="IA45" s="609">
        <f t="shared" si="205"/>
        <v>26620150</v>
      </c>
      <c r="IB45" s="609">
        <f t="shared" si="206"/>
        <v>0</v>
      </c>
      <c r="IC45" s="609">
        <f t="shared" si="207"/>
        <v>0</v>
      </c>
      <c r="ID45" s="609">
        <f t="shared" si="208"/>
        <v>0</v>
      </c>
      <c r="IE45" s="609">
        <f t="shared" si="209"/>
        <v>0</v>
      </c>
      <c r="IF45" s="609">
        <f t="shared" si="210"/>
        <v>13800</v>
      </c>
      <c r="IG45" s="609">
        <f t="shared" si="211"/>
        <v>282700</v>
      </c>
      <c r="IH45" s="640">
        <f t="shared" si="244"/>
        <v>2449950</v>
      </c>
      <c r="II45" s="640">
        <f t="shared" si="245"/>
        <v>67758870</v>
      </c>
    </row>
    <row r="46" spans="1:243" s="646" customFormat="1">
      <c r="A46" s="644"/>
      <c r="B46" s="644"/>
      <c r="C46" s="644"/>
      <c r="D46" s="645" t="s">
        <v>513</v>
      </c>
      <c r="E46" s="645" t="s">
        <v>514</v>
      </c>
      <c r="F46" s="645" t="s">
        <v>515</v>
      </c>
      <c r="G46" s="645" t="s">
        <v>516</v>
      </c>
      <c r="H46" s="645" t="s">
        <v>515</v>
      </c>
      <c r="I46" s="645" t="s">
        <v>516</v>
      </c>
      <c r="J46" s="645" t="s">
        <v>517</v>
      </c>
      <c r="K46" s="645" t="s">
        <v>518</v>
      </c>
      <c r="L46" s="645" t="s">
        <v>519</v>
      </c>
      <c r="M46" s="645" t="s">
        <v>520</v>
      </c>
      <c r="N46" s="645" t="s">
        <v>521</v>
      </c>
      <c r="O46" s="645" t="s">
        <v>522</v>
      </c>
      <c r="P46" s="645" t="s">
        <v>523</v>
      </c>
      <c r="Q46" s="645" t="s">
        <v>524</v>
      </c>
      <c r="R46" s="643"/>
      <c r="S46" s="643"/>
      <c r="T46" s="645" t="s">
        <v>513</v>
      </c>
      <c r="U46" s="645" t="s">
        <v>514</v>
      </c>
      <c r="V46" s="645" t="s">
        <v>515</v>
      </c>
      <c r="W46" s="645" t="s">
        <v>516</v>
      </c>
      <c r="X46" s="645" t="s">
        <v>515</v>
      </c>
      <c r="Y46" s="645" t="s">
        <v>516</v>
      </c>
      <c r="Z46" s="645" t="s">
        <v>517</v>
      </c>
      <c r="AA46" s="645" t="s">
        <v>518</v>
      </c>
      <c r="AB46" s="645" t="s">
        <v>519</v>
      </c>
      <c r="AC46" s="645" t="s">
        <v>520</v>
      </c>
      <c r="AD46" s="645" t="s">
        <v>521</v>
      </c>
      <c r="AE46" s="645" t="s">
        <v>522</v>
      </c>
      <c r="AF46" s="645" t="s">
        <v>523</v>
      </c>
      <c r="AG46" s="645" t="s">
        <v>524</v>
      </c>
      <c r="AH46" s="643"/>
      <c r="AI46" s="643"/>
      <c r="AJ46" s="645" t="s">
        <v>513</v>
      </c>
      <c r="AK46" s="645" t="s">
        <v>514</v>
      </c>
      <c r="AL46" s="645" t="s">
        <v>515</v>
      </c>
      <c r="AM46" s="645" t="s">
        <v>516</v>
      </c>
      <c r="AN46" s="645" t="s">
        <v>515</v>
      </c>
      <c r="AO46" s="645" t="s">
        <v>516</v>
      </c>
      <c r="AP46" s="645" t="s">
        <v>517</v>
      </c>
      <c r="AQ46" s="645" t="s">
        <v>518</v>
      </c>
      <c r="AR46" s="645" t="s">
        <v>519</v>
      </c>
      <c r="AS46" s="645" t="s">
        <v>520</v>
      </c>
      <c r="AT46" s="645" t="s">
        <v>521</v>
      </c>
      <c r="AU46" s="645" t="s">
        <v>522</v>
      </c>
      <c r="AV46" s="645" t="s">
        <v>523</v>
      </c>
      <c r="AW46" s="645" t="s">
        <v>524</v>
      </c>
      <c r="AX46" s="643"/>
      <c r="AY46" s="643"/>
      <c r="AZ46" s="645" t="s">
        <v>513</v>
      </c>
      <c r="BA46" s="645" t="s">
        <v>514</v>
      </c>
      <c r="BB46" s="645" t="s">
        <v>515</v>
      </c>
      <c r="BC46" s="645" t="s">
        <v>516</v>
      </c>
      <c r="BD46" s="645" t="s">
        <v>515</v>
      </c>
      <c r="BE46" s="645" t="s">
        <v>516</v>
      </c>
      <c r="BF46" s="645" t="s">
        <v>517</v>
      </c>
      <c r="BG46" s="645" t="s">
        <v>518</v>
      </c>
      <c r="BH46" s="645" t="s">
        <v>519</v>
      </c>
      <c r="BI46" s="645" t="s">
        <v>520</v>
      </c>
      <c r="BJ46" s="645" t="s">
        <v>521</v>
      </c>
      <c r="BK46" s="645" t="s">
        <v>522</v>
      </c>
      <c r="BL46" s="645" t="s">
        <v>523</v>
      </c>
      <c r="BM46" s="645" t="s">
        <v>524</v>
      </c>
      <c r="BN46" s="643"/>
      <c r="BO46" s="643"/>
      <c r="BP46" s="645" t="s">
        <v>513</v>
      </c>
      <c r="BQ46" s="645" t="s">
        <v>514</v>
      </c>
      <c r="BR46" s="645" t="s">
        <v>515</v>
      </c>
      <c r="BS46" s="645" t="s">
        <v>516</v>
      </c>
      <c r="BT46" s="645" t="s">
        <v>515</v>
      </c>
      <c r="BU46" s="645" t="s">
        <v>516</v>
      </c>
      <c r="BV46" s="645" t="s">
        <v>517</v>
      </c>
      <c r="BW46" s="645" t="s">
        <v>518</v>
      </c>
      <c r="BX46" s="645" t="s">
        <v>519</v>
      </c>
      <c r="BY46" s="645" t="s">
        <v>520</v>
      </c>
      <c r="BZ46" s="645" t="s">
        <v>521</v>
      </c>
      <c r="CA46" s="645" t="s">
        <v>522</v>
      </c>
      <c r="CB46" s="645" t="s">
        <v>523</v>
      </c>
      <c r="CC46" s="645" t="s">
        <v>524</v>
      </c>
      <c r="CD46" s="643"/>
      <c r="CE46" s="643"/>
      <c r="CF46" s="645" t="s">
        <v>513</v>
      </c>
      <c r="CG46" s="645" t="s">
        <v>514</v>
      </c>
      <c r="CH46" s="645" t="s">
        <v>515</v>
      </c>
      <c r="CI46" s="645" t="s">
        <v>516</v>
      </c>
      <c r="CJ46" s="645" t="s">
        <v>515</v>
      </c>
      <c r="CK46" s="645" t="s">
        <v>516</v>
      </c>
      <c r="CL46" s="645" t="s">
        <v>517</v>
      </c>
      <c r="CM46" s="645" t="s">
        <v>518</v>
      </c>
      <c r="CN46" s="645" t="s">
        <v>519</v>
      </c>
      <c r="CO46" s="645" t="s">
        <v>520</v>
      </c>
      <c r="CP46" s="645" t="s">
        <v>521</v>
      </c>
      <c r="CQ46" s="645" t="s">
        <v>522</v>
      </c>
      <c r="CR46" s="645" t="s">
        <v>523</v>
      </c>
      <c r="CS46" s="645" t="s">
        <v>524</v>
      </c>
      <c r="CT46" s="643"/>
      <c r="CU46" s="643"/>
      <c r="CV46" s="645" t="s">
        <v>513</v>
      </c>
      <c r="CW46" s="645" t="s">
        <v>514</v>
      </c>
      <c r="CX46" s="645" t="s">
        <v>515</v>
      </c>
      <c r="CY46" s="645" t="s">
        <v>516</v>
      </c>
      <c r="CZ46" s="645" t="s">
        <v>517</v>
      </c>
      <c r="DA46" s="645" t="s">
        <v>518</v>
      </c>
      <c r="DB46" s="645" t="s">
        <v>519</v>
      </c>
      <c r="DC46" s="645" t="s">
        <v>520</v>
      </c>
      <c r="DD46" s="645" t="s">
        <v>521</v>
      </c>
      <c r="DE46" s="645" t="s">
        <v>522</v>
      </c>
      <c r="DF46" s="645" t="s">
        <v>523</v>
      </c>
      <c r="DG46" s="645" t="s">
        <v>524</v>
      </c>
      <c r="DH46" s="643"/>
      <c r="DI46" s="643"/>
      <c r="DJ46" s="645" t="s">
        <v>513</v>
      </c>
      <c r="DK46" s="645" t="s">
        <v>514</v>
      </c>
      <c r="DL46" s="645" t="s">
        <v>515</v>
      </c>
      <c r="DM46" s="645" t="s">
        <v>516</v>
      </c>
      <c r="DN46" s="645" t="s">
        <v>517</v>
      </c>
      <c r="DO46" s="645" t="s">
        <v>518</v>
      </c>
      <c r="DP46" s="645" t="s">
        <v>519</v>
      </c>
      <c r="DQ46" s="645" t="s">
        <v>520</v>
      </c>
      <c r="DR46" s="645" t="s">
        <v>521</v>
      </c>
      <c r="DS46" s="645" t="s">
        <v>522</v>
      </c>
      <c r="DT46" s="645" t="s">
        <v>523</v>
      </c>
      <c r="DU46" s="645" t="s">
        <v>524</v>
      </c>
      <c r="DV46" s="643"/>
      <c r="DW46" s="643"/>
      <c r="DX46" s="645" t="s">
        <v>513</v>
      </c>
      <c r="DY46" s="645" t="s">
        <v>514</v>
      </c>
      <c r="DZ46" s="645" t="s">
        <v>515</v>
      </c>
      <c r="EA46" s="645" t="s">
        <v>516</v>
      </c>
      <c r="EB46" s="645" t="s">
        <v>517</v>
      </c>
      <c r="EC46" s="645" t="s">
        <v>518</v>
      </c>
      <c r="ED46" s="645" t="s">
        <v>519</v>
      </c>
      <c r="EE46" s="645" t="s">
        <v>520</v>
      </c>
      <c r="EF46" s="645" t="s">
        <v>521</v>
      </c>
      <c r="EG46" s="645" t="s">
        <v>522</v>
      </c>
      <c r="EH46" s="645" t="s">
        <v>523</v>
      </c>
      <c r="EI46" s="645" t="s">
        <v>524</v>
      </c>
      <c r="EJ46" s="643"/>
      <c r="EK46" s="643"/>
      <c r="EL46" s="645" t="s">
        <v>513</v>
      </c>
      <c r="EM46" s="645" t="s">
        <v>514</v>
      </c>
      <c r="EN46" s="645" t="s">
        <v>515</v>
      </c>
      <c r="EO46" s="645" t="s">
        <v>516</v>
      </c>
      <c r="EP46" s="645" t="s">
        <v>517</v>
      </c>
      <c r="EQ46" s="645" t="s">
        <v>518</v>
      </c>
      <c r="ER46" s="645" t="s">
        <v>519</v>
      </c>
      <c r="ES46" s="645" t="s">
        <v>520</v>
      </c>
      <c r="ET46" s="645" t="s">
        <v>521</v>
      </c>
      <c r="EU46" s="645" t="s">
        <v>522</v>
      </c>
      <c r="EV46" s="645" t="s">
        <v>523</v>
      </c>
      <c r="EW46" s="645" t="s">
        <v>524</v>
      </c>
      <c r="EX46" s="643"/>
      <c r="EY46" s="643"/>
      <c r="EZ46" s="645" t="s">
        <v>513</v>
      </c>
      <c r="FA46" s="645" t="s">
        <v>514</v>
      </c>
      <c r="FB46" s="645" t="s">
        <v>515</v>
      </c>
      <c r="FC46" s="645" t="s">
        <v>516</v>
      </c>
      <c r="FD46" s="645" t="s">
        <v>517</v>
      </c>
      <c r="FE46" s="645" t="s">
        <v>518</v>
      </c>
      <c r="FF46" s="645" t="s">
        <v>519</v>
      </c>
      <c r="FG46" s="645" t="s">
        <v>520</v>
      </c>
      <c r="FH46" s="645" t="s">
        <v>521</v>
      </c>
      <c r="FI46" s="645" t="s">
        <v>522</v>
      </c>
      <c r="FJ46" s="645" t="s">
        <v>523</v>
      </c>
      <c r="FK46" s="645" t="s">
        <v>524</v>
      </c>
      <c r="FL46" s="643"/>
      <c r="FM46" s="643"/>
      <c r="FN46" s="645" t="s">
        <v>513</v>
      </c>
      <c r="FO46" s="645" t="s">
        <v>514</v>
      </c>
      <c r="FP46" s="645" t="s">
        <v>515</v>
      </c>
      <c r="FQ46" s="645" t="s">
        <v>516</v>
      </c>
      <c r="FR46" s="645" t="s">
        <v>517</v>
      </c>
      <c r="FS46" s="645" t="s">
        <v>518</v>
      </c>
      <c r="FT46" s="645" t="s">
        <v>519</v>
      </c>
      <c r="FU46" s="645" t="s">
        <v>520</v>
      </c>
      <c r="FV46" s="645" t="s">
        <v>521</v>
      </c>
      <c r="FW46" s="645" t="s">
        <v>522</v>
      </c>
      <c r="FX46" s="645" t="s">
        <v>523</v>
      </c>
      <c r="FY46" s="645" t="s">
        <v>524</v>
      </c>
      <c r="FZ46" s="643"/>
      <c r="GA46" s="643"/>
      <c r="GO46" s="647"/>
      <c r="GP46" s="647"/>
      <c r="HD46" s="647"/>
      <c r="HE46" s="647"/>
      <c r="HS46" s="647"/>
      <c r="HT46" s="647"/>
      <c r="IH46" s="647"/>
      <c r="II46" s="647"/>
    </row>
  </sheetData>
  <sortState xmlns:xlrd2="http://schemas.microsoft.com/office/spreadsheetml/2017/richdata2" ref="A8:A45">
    <sortCondition ref="A8:A45"/>
  </sortState>
  <mergeCells count="134">
    <mergeCell ref="R4:S4"/>
    <mergeCell ref="T4:U4"/>
    <mergeCell ref="V4:W4"/>
    <mergeCell ref="Z4:AA4"/>
    <mergeCell ref="AB4:AC4"/>
    <mergeCell ref="AD4:AE4"/>
    <mergeCell ref="D4:E4"/>
    <mergeCell ref="F4:G4"/>
    <mergeCell ref="J4:K4"/>
    <mergeCell ref="L4:M4"/>
    <mergeCell ref="N4:O4"/>
    <mergeCell ref="P4:Q4"/>
    <mergeCell ref="H4:I4"/>
    <mergeCell ref="X4:Y4"/>
    <mergeCell ref="AT4:AU4"/>
    <mergeCell ref="AV4:AW4"/>
    <mergeCell ref="AX4:AY4"/>
    <mergeCell ref="AZ4:BA4"/>
    <mergeCell ref="BB4:BC4"/>
    <mergeCell ref="BF4:BG4"/>
    <mergeCell ref="AF4:AG4"/>
    <mergeCell ref="AH4:AI4"/>
    <mergeCell ref="AJ4:AK4"/>
    <mergeCell ref="AL4:AM4"/>
    <mergeCell ref="AP4:AQ4"/>
    <mergeCell ref="AR4:AS4"/>
    <mergeCell ref="AN4:AO4"/>
    <mergeCell ref="BD4:BE4"/>
    <mergeCell ref="BV4:BW4"/>
    <mergeCell ref="BX4:BY4"/>
    <mergeCell ref="BZ4:CA4"/>
    <mergeCell ref="CB4:CC4"/>
    <mergeCell ref="CD4:CE4"/>
    <mergeCell ref="CF4:CG4"/>
    <mergeCell ref="BH4:BI4"/>
    <mergeCell ref="BJ4:BK4"/>
    <mergeCell ref="BL4:BM4"/>
    <mergeCell ref="BN4:BO4"/>
    <mergeCell ref="BP4:BQ4"/>
    <mergeCell ref="BR4:BS4"/>
    <mergeCell ref="BT4:BU4"/>
    <mergeCell ref="CV4:CW4"/>
    <mergeCell ref="CX4:CY4"/>
    <mergeCell ref="CZ4:DA4"/>
    <mergeCell ref="DB4:DC4"/>
    <mergeCell ref="DD4:DE4"/>
    <mergeCell ref="DF4:DG4"/>
    <mergeCell ref="CH4:CI4"/>
    <mergeCell ref="CL4:CM4"/>
    <mergeCell ref="CN4:CO4"/>
    <mergeCell ref="CP4:CQ4"/>
    <mergeCell ref="CR4:CS4"/>
    <mergeCell ref="CT4:CU4"/>
    <mergeCell ref="CJ4:CK4"/>
    <mergeCell ref="DT4:DU4"/>
    <mergeCell ref="DV4:DW4"/>
    <mergeCell ref="DX4:DY4"/>
    <mergeCell ref="DZ4:EA4"/>
    <mergeCell ref="EB4:EC4"/>
    <mergeCell ref="ED4:EE4"/>
    <mergeCell ref="DH4:DI4"/>
    <mergeCell ref="DJ4:DK4"/>
    <mergeCell ref="DL4:DM4"/>
    <mergeCell ref="DN4:DO4"/>
    <mergeCell ref="DP4:DQ4"/>
    <mergeCell ref="DR4:DS4"/>
    <mergeCell ref="ER4:ES4"/>
    <mergeCell ref="ET4:EU4"/>
    <mergeCell ref="EV4:EW4"/>
    <mergeCell ref="EX4:EY4"/>
    <mergeCell ref="EZ4:FA4"/>
    <mergeCell ref="FB4:FC4"/>
    <mergeCell ref="EF4:EG4"/>
    <mergeCell ref="EH4:EI4"/>
    <mergeCell ref="EJ4:EK4"/>
    <mergeCell ref="EL4:EM4"/>
    <mergeCell ref="EN4:EO4"/>
    <mergeCell ref="EP4:EQ4"/>
    <mergeCell ref="FP4:FQ4"/>
    <mergeCell ref="FR4:FS4"/>
    <mergeCell ref="FT4:FU4"/>
    <mergeCell ref="FV4:FW4"/>
    <mergeCell ref="FX4:FY4"/>
    <mergeCell ref="FZ4:GA4"/>
    <mergeCell ref="FD4:FE4"/>
    <mergeCell ref="FF4:FG4"/>
    <mergeCell ref="FH4:FI4"/>
    <mergeCell ref="FJ4:FK4"/>
    <mergeCell ref="FL4:FM4"/>
    <mergeCell ref="FN4:FO4"/>
    <mergeCell ref="DJ2:DW2"/>
    <mergeCell ref="DX2:EK2"/>
    <mergeCell ref="EL2:EY2"/>
    <mergeCell ref="EZ2:FM2"/>
    <mergeCell ref="FN2:GA2"/>
    <mergeCell ref="D2:S2"/>
    <mergeCell ref="T2:AI2"/>
    <mergeCell ref="AJ2:AY2"/>
    <mergeCell ref="AZ2:BO2"/>
    <mergeCell ref="BP2:CE2"/>
    <mergeCell ref="CF2:CU2"/>
    <mergeCell ref="CV2:DI2"/>
    <mergeCell ref="GR4:GS4"/>
    <mergeCell ref="GT4:GU4"/>
    <mergeCell ref="GV4:GW4"/>
    <mergeCell ref="GX4:GY4"/>
    <mergeCell ref="GZ4:HA4"/>
    <mergeCell ref="HB4:HC4"/>
    <mergeCell ref="GC2:GP2"/>
    <mergeCell ref="GC4:GD4"/>
    <mergeCell ref="GE4:GF4"/>
    <mergeCell ref="GG4:GH4"/>
    <mergeCell ref="GI4:GJ4"/>
    <mergeCell ref="GK4:GL4"/>
    <mergeCell ref="GM4:GN4"/>
    <mergeCell ref="GO4:GP4"/>
    <mergeCell ref="GR2:HE2"/>
    <mergeCell ref="HV2:II2"/>
    <mergeCell ref="HV4:HW4"/>
    <mergeCell ref="HX4:HY4"/>
    <mergeCell ref="HZ4:IA4"/>
    <mergeCell ref="IB4:IC4"/>
    <mergeCell ref="ID4:IE4"/>
    <mergeCell ref="IF4:IG4"/>
    <mergeCell ref="IH4:II4"/>
    <mergeCell ref="HD4:HE4"/>
    <mergeCell ref="HG2:HT2"/>
    <mergeCell ref="HG4:HH4"/>
    <mergeCell ref="HI4:HJ4"/>
    <mergeCell ref="HK4:HL4"/>
    <mergeCell ref="HM4:HN4"/>
    <mergeCell ref="HO4:HP4"/>
    <mergeCell ref="HQ4:HR4"/>
    <mergeCell ref="HS4:HT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outlinePr summaryBelow="0"/>
  </sheetPr>
  <dimension ref="A1:AMC523"/>
  <sheetViews>
    <sheetView tabSelected="1" zoomScale="68" zoomScaleNormal="68" zoomScaleSheetLayoutView="90" workbookViewId="0">
      <pane xSplit="2" ySplit="12" topLeftCell="KB171" activePane="bottomRight" state="frozen"/>
      <selection pane="topRight" activeCell="C1" sqref="C1"/>
      <selection pane="bottomLeft" activeCell="A12" sqref="A12"/>
      <selection pane="bottomRight" activeCell="M172" sqref="M172"/>
    </sheetView>
  </sheetViews>
  <sheetFormatPr defaultColWidth="9.1796875" defaultRowHeight="15.5"/>
  <cols>
    <col min="1" max="1" width="12.453125" style="98" customWidth="1"/>
    <col min="2" max="2" width="25.54296875" style="90" customWidth="1"/>
    <col min="3" max="6" width="13.7265625" style="98" customWidth="1"/>
    <col min="7" max="8" width="13.7265625" style="98" hidden="1" customWidth="1"/>
    <col min="9" max="16" width="13.7265625" style="98" customWidth="1"/>
    <col min="17" max="17" width="13.7265625" style="99" customWidth="1"/>
    <col min="18" max="18" width="14.36328125" style="99" bestFit="1" customWidth="1"/>
    <col min="19" max="21" width="13.7265625" style="98" customWidth="1"/>
    <col min="22" max="22" width="15.453125" style="98" bestFit="1" customWidth="1"/>
    <col min="23" max="24" width="13.7265625" style="98" hidden="1" customWidth="1"/>
    <col min="25" max="32" width="13.7265625" style="98" customWidth="1"/>
    <col min="33" max="33" width="13.7265625" style="99" customWidth="1"/>
    <col min="34" max="34" width="16.08984375" style="99" bestFit="1" customWidth="1"/>
    <col min="35" max="38" width="13.7265625" style="98" customWidth="1"/>
    <col min="39" max="40" width="13.7265625" style="98" hidden="1" customWidth="1"/>
    <col min="41" max="48" width="13.7265625" style="98" customWidth="1"/>
    <col min="49" max="49" width="13.7265625" style="107" customWidth="1"/>
    <col min="50" max="50" width="14.36328125" style="107" bestFit="1" customWidth="1"/>
    <col min="51" max="54" width="13.7265625" style="98" customWidth="1"/>
    <col min="55" max="56" width="13.7265625" style="98" hidden="1" customWidth="1"/>
    <col min="57" max="60" width="13.7265625" style="98" customWidth="1"/>
    <col min="61" max="62" width="13.7265625" style="98" hidden="1" customWidth="1"/>
    <col min="63" max="80" width="13.7265625" style="98" customWidth="1"/>
    <col min="81" max="82" width="13.7265625" style="107" customWidth="1"/>
    <col min="83" max="84" width="13.7265625" style="98" customWidth="1"/>
    <col min="85" max="85" width="14.36328125" style="98" bestFit="1" customWidth="1"/>
    <col min="86" max="86" width="15.36328125" style="98" bestFit="1" customWidth="1"/>
    <col min="87" max="88" width="13.7265625" style="98" hidden="1" customWidth="1"/>
    <col min="89" max="89" width="13.7265625" style="98" customWidth="1"/>
    <col min="90" max="90" width="14.36328125" style="98" bestFit="1" customWidth="1"/>
    <col min="91" max="96" width="13.7265625" style="98" customWidth="1"/>
    <col min="97" max="98" width="17.7265625" style="99" customWidth="1"/>
    <col min="99" max="112" width="13.7265625" style="98" customWidth="1"/>
    <col min="113" max="114" width="13.7265625" style="107" customWidth="1"/>
    <col min="115" max="118" width="13.7265625" style="98" customWidth="1"/>
    <col min="119" max="120" width="13.7265625" style="98" hidden="1" customWidth="1"/>
    <col min="121" max="121" width="13.7265625" style="98" customWidth="1"/>
    <col min="122" max="122" width="12.6328125" style="98" bestFit="1" customWidth="1"/>
    <col min="123" max="128" width="13.7265625" style="98" customWidth="1"/>
    <col min="129" max="130" width="13.7265625" style="99" customWidth="1"/>
    <col min="131" max="134" width="13.7265625" style="98" customWidth="1"/>
    <col min="135" max="136" width="13.7265625" style="98" hidden="1" customWidth="1"/>
    <col min="137" max="144" width="13.7265625" style="98" customWidth="1"/>
    <col min="145" max="146" width="13.7265625" style="99" customWidth="1"/>
    <col min="147" max="150" width="13.7265625" style="98" customWidth="1"/>
    <col min="151" max="152" width="13.7265625" style="98" hidden="1" customWidth="1"/>
    <col min="153" max="153" width="13.7265625" style="98" customWidth="1"/>
    <col min="154" max="154" width="14.453125" style="98" customWidth="1"/>
    <col min="155" max="160" width="13.7265625" style="98" customWidth="1"/>
    <col min="161" max="161" width="13.7265625" style="99" customWidth="1"/>
    <col min="162" max="162" width="15.26953125" style="99" customWidth="1"/>
    <col min="163" max="166" width="13.7265625" style="98" customWidth="1"/>
    <col min="167" max="168" width="13.7265625" style="98" hidden="1" customWidth="1"/>
    <col min="169" max="176" width="13.7265625" style="98" customWidth="1"/>
    <col min="177" max="178" width="13.7265625" style="99" customWidth="1"/>
    <col min="179" max="192" width="13.7265625" style="98" customWidth="1"/>
    <col min="193" max="194" width="13.7265625" style="99" customWidth="1"/>
    <col min="195" max="208" width="13.7265625" style="98" customWidth="1"/>
    <col min="209" max="210" width="13.7265625" style="99" customWidth="1"/>
    <col min="211" max="214" width="13.7265625" style="98" customWidth="1"/>
    <col min="215" max="216" width="13.7265625" style="98" hidden="1" customWidth="1"/>
    <col min="217" max="224" width="13.7265625" style="98" customWidth="1"/>
    <col min="225" max="226" width="13.7265625" style="99" customWidth="1"/>
    <col min="227" max="230" width="13.7265625" style="98" customWidth="1"/>
    <col min="231" max="232" width="13.7265625" style="98" hidden="1" customWidth="1"/>
    <col min="233" max="240" width="13.7265625" style="98" customWidth="1"/>
    <col min="241" max="242" width="13.7265625" style="99" customWidth="1"/>
    <col min="243" max="246" width="13.7265625" style="98" customWidth="1"/>
    <col min="247" max="248" width="13.7265625" style="98" hidden="1" customWidth="1"/>
    <col min="249" max="256" width="13.7265625" style="98" customWidth="1"/>
    <col min="257" max="258" width="13.7265625" style="99" customWidth="1"/>
    <col min="259" max="262" width="13.7265625" style="98" customWidth="1"/>
    <col min="263" max="264" width="13.7265625" style="98" hidden="1" customWidth="1"/>
    <col min="265" max="272" width="13.7265625" style="98" customWidth="1"/>
    <col min="273" max="274" width="13.7265625" style="99" customWidth="1"/>
    <col min="275" max="278" width="13.7265625" style="98" customWidth="1"/>
    <col min="279" max="280" width="13.7265625" style="98" hidden="1" customWidth="1"/>
    <col min="281" max="288" width="13.7265625" style="98" customWidth="1"/>
    <col min="289" max="290" width="13.7265625" style="99" customWidth="1"/>
    <col min="291" max="294" width="13.7265625" style="98" customWidth="1"/>
    <col min="295" max="296" width="13.7265625" style="98" hidden="1" customWidth="1"/>
    <col min="297" max="304" width="13.7265625" style="98" customWidth="1"/>
    <col min="305" max="306" width="13.7265625" style="99" customWidth="1"/>
    <col min="307" max="310" width="13.7265625" style="98" customWidth="1"/>
    <col min="311" max="312" width="13.7265625" style="98" hidden="1" customWidth="1"/>
    <col min="313" max="320" width="13.7265625" style="98" customWidth="1"/>
    <col min="321" max="322" width="13.7265625" style="99" customWidth="1"/>
    <col min="323" max="326" width="13.7265625" style="98" customWidth="1"/>
    <col min="327" max="328" width="13.7265625" style="98" hidden="1" customWidth="1"/>
    <col min="329" max="336" width="13.7265625" style="98" customWidth="1"/>
    <col min="337" max="338" width="13.7265625" style="99" customWidth="1"/>
    <col min="339" max="342" width="13.7265625" style="98" customWidth="1"/>
    <col min="343" max="344" width="13.7265625" style="98" hidden="1" customWidth="1"/>
    <col min="345" max="352" width="13.7265625" style="98" customWidth="1"/>
    <col min="353" max="353" width="13.7265625" style="99" customWidth="1"/>
    <col min="354" max="354" width="17" style="99" bestFit="1" customWidth="1"/>
    <col min="355" max="358" width="13.7265625" style="98" customWidth="1"/>
    <col min="359" max="360" width="13.7265625" style="98" hidden="1" customWidth="1"/>
    <col min="361" max="368" width="13.7265625" style="98" customWidth="1"/>
    <col min="369" max="370" width="13.7265625" style="99" customWidth="1"/>
    <col min="371" max="373" width="13.7265625" style="98" customWidth="1"/>
    <col min="374" max="374" width="14.36328125" style="98" bestFit="1" customWidth="1"/>
    <col min="375" max="376" width="13.7265625" style="98" hidden="1" customWidth="1"/>
    <col min="377" max="384" width="13.7265625" style="98" customWidth="1"/>
    <col min="385" max="385" width="13.7265625" style="99" customWidth="1"/>
    <col min="386" max="386" width="16.6328125" style="99" customWidth="1"/>
    <col min="387" max="389" width="13.7265625" style="98" customWidth="1"/>
    <col min="390" max="390" width="16.26953125" style="98" customWidth="1"/>
    <col min="391" max="392" width="13.7265625" style="98" hidden="1" customWidth="1"/>
    <col min="393" max="393" width="13.7265625" style="98" customWidth="1"/>
    <col min="394" max="394" width="15.54296875" style="98" customWidth="1"/>
    <col min="395" max="400" width="13.7265625" style="98" customWidth="1"/>
    <col min="401" max="402" width="13.7265625" style="99" customWidth="1"/>
    <col min="403" max="403" width="13.7265625" style="98" customWidth="1"/>
    <col min="404" max="404" width="14.36328125" style="98" bestFit="1" customWidth="1"/>
    <col min="405" max="406" width="13.7265625" style="98" customWidth="1"/>
    <col min="407" max="408" width="13.7265625" style="98" hidden="1" customWidth="1"/>
    <col min="409" max="416" width="13.7265625" style="98" customWidth="1"/>
    <col min="417" max="417" width="14.36328125" style="99" bestFit="1" customWidth="1"/>
    <col min="418" max="418" width="16.1796875" style="99" customWidth="1"/>
    <col min="419" max="422" width="13.7265625" style="98" customWidth="1"/>
    <col min="423" max="424" width="13.7265625" style="98" hidden="1" customWidth="1"/>
    <col min="425" max="432" width="13.7265625" style="98" customWidth="1"/>
    <col min="433" max="434" width="13.7265625" style="99" customWidth="1"/>
    <col min="435" max="438" width="13.7265625" style="98" customWidth="1"/>
    <col min="439" max="440" width="13.7265625" style="98" hidden="1" customWidth="1"/>
    <col min="441" max="448" width="13.7265625" style="98" customWidth="1"/>
    <col min="449" max="449" width="14.453125" style="99" customWidth="1"/>
    <col min="450" max="450" width="17.54296875" style="99" customWidth="1"/>
    <col min="451" max="454" width="13.7265625" style="98" customWidth="1"/>
    <col min="455" max="456" width="13.7265625" style="98" hidden="1" customWidth="1"/>
    <col min="457" max="457" width="13.7265625" style="98" customWidth="1"/>
    <col min="458" max="458" width="17" style="98" bestFit="1" customWidth="1"/>
    <col min="459" max="464" width="13.7265625" style="98" customWidth="1"/>
    <col min="465" max="465" width="13.7265625" style="99" customWidth="1"/>
    <col min="466" max="466" width="17.36328125" style="99" bestFit="1" customWidth="1"/>
    <col min="467" max="470" width="13.7265625" style="98" customWidth="1"/>
    <col min="471" max="472" width="13.7265625" style="98" hidden="1" customWidth="1"/>
    <col min="473" max="480" width="13.7265625" style="98" customWidth="1"/>
    <col min="481" max="482" width="13.7265625" style="99" customWidth="1"/>
    <col min="483" max="486" width="13.7265625" style="98" customWidth="1"/>
    <col min="487" max="488" width="13.7265625" style="98" hidden="1" customWidth="1"/>
    <col min="489" max="496" width="13.7265625" style="98" customWidth="1"/>
    <col min="497" max="498" width="13.7265625" style="99" customWidth="1"/>
    <col min="499" max="502" width="13.7265625" style="98" customWidth="1"/>
    <col min="503" max="504" width="13.7265625" style="98" hidden="1" customWidth="1"/>
    <col min="505" max="512" width="13.7265625" style="98" customWidth="1"/>
    <col min="513" max="514" width="13.7265625" style="99" customWidth="1"/>
    <col min="515" max="518" width="13.7265625" style="98" customWidth="1"/>
    <col min="519" max="520" width="13.7265625" style="98" hidden="1" customWidth="1"/>
    <col min="521" max="528" width="13.7265625" style="98" customWidth="1"/>
    <col min="529" max="530" width="13.7265625" style="99" customWidth="1"/>
    <col min="531" max="534" width="13.7265625" style="98" customWidth="1"/>
    <col min="535" max="536" width="13.7265625" style="98" hidden="1" customWidth="1"/>
    <col min="537" max="538" width="13.7265625" style="98" customWidth="1"/>
    <col min="539" max="540" width="13.7265625" style="98" hidden="1" customWidth="1"/>
    <col min="541" max="544" width="13.7265625" style="98" customWidth="1"/>
    <col min="545" max="546" width="13.7265625" style="99" customWidth="1"/>
    <col min="547" max="550" width="13.7265625" style="98" customWidth="1"/>
    <col min="551" max="552" width="13.7265625" style="98" hidden="1" customWidth="1"/>
    <col min="553" max="560" width="13.7265625" style="98" customWidth="1"/>
    <col min="561" max="562" width="13.7265625" style="99" customWidth="1"/>
    <col min="563" max="566" width="13.7265625" style="98" customWidth="1"/>
    <col min="567" max="568" width="13.7265625" style="98" hidden="1" customWidth="1"/>
    <col min="569" max="576" width="13.7265625" style="98" customWidth="1"/>
    <col min="577" max="578" width="13.7265625" style="99" customWidth="1"/>
    <col min="579" max="582" width="13.7265625" style="98" customWidth="1"/>
    <col min="583" max="584" width="13.7265625" style="98" hidden="1" customWidth="1"/>
    <col min="585" max="592" width="13.7265625" style="98" customWidth="1"/>
    <col min="593" max="594" width="13.7265625" style="99" customWidth="1"/>
    <col min="595" max="598" width="13.7265625" style="98" customWidth="1"/>
    <col min="599" max="600" width="13.7265625" style="98" hidden="1" customWidth="1"/>
    <col min="601" max="608" width="13.7265625" style="98" customWidth="1"/>
    <col min="609" max="609" width="13.7265625" style="99" customWidth="1"/>
    <col min="610" max="610" width="18.36328125" style="99" bestFit="1" customWidth="1"/>
    <col min="611" max="611" width="7.81640625" style="106" customWidth="1"/>
    <col min="612" max="612" width="14.81640625" style="98" bestFit="1" customWidth="1"/>
    <col min="613" max="625" width="18" style="98" customWidth="1"/>
    <col min="626" max="626" width="18.1796875" style="107" customWidth="1"/>
    <col min="627" max="627" width="21.453125" style="107" customWidth="1"/>
    <col min="628" max="628" width="11.90625" style="106" bestFit="1" customWidth="1"/>
    <col min="629" max="630" width="21.81640625" style="98" customWidth="1"/>
    <col min="631" max="631" width="11.90625" style="106" bestFit="1" customWidth="1"/>
    <col min="632" max="632" width="18.1796875" style="98" customWidth="1"/>
    <col min="633" max="633" width="21.453125" style="98" customWidth="1"/>
    <col min="634" max="634" width="11.90625" style="106" bestFit="1" customWidth="1"/>
    <col min="635" max="635" width="16" style="98" bestFit="1" customWidth="1"/>
    <col min="636" max="641" width="18" style="98" customWidth="1"/>
    <col min="642" max="642" width="18.1796875" style="107" customWidth="1"/>
    <col min="643" max="643" width="11.90625" style="106" bestFit="1" customWidth="1"/>
    <col min="644" max="644" width="16.7265625" style="98" bestFit="1" customWidth="1"/>
    <col min="645" max="650" width="18" style="98" customWidth="1"/>
    <col min="651" max="651" width="19" style="107" bestFit="1" customWidth="1"/>
    <col min="652" max="1017" width="13.81640625" style="98" customWidth="1"/>
    <col min="1018" max="16384" width="9.1796875" style="90"/>
  </cols>
  <sheetData>
    <row r="1" spans="1:1017" s="85" customFormat="1" ht="23.5">
      <c r="A1" s="188" t="s">
        <v>27</v>
      </c>
      <c r="B1" s="187">
        <f>XB11</f>
        <v>1442332993.2170775</v>
      </c>
      <c r="C1" s="861">
        <v>1</v>
      </c>
      <c r="D1" s="861"/>
      <c r="E1" s="861"/>
      <c r="F1" s="861"/>
      <c r="G1" s="861"/>
      <c r="H1" s="861"/>
      <c r="I1" s="861"/>
      <c r="J1" s="861"/>
      <c r="K1" s="861"/>
      <c r="L1" s="861"/>
      <c r="M1" s="861"/>
      <c r="N1" s="861"/>
      <c r="O1" s="861"/>
      <c r="P1" s="861"/>
      <c r="Q1" s="861"/>
      <c r="R1" s="861"/>
      <c r="S1" s="861">
        <v>2</v>
      </c>
      <c r="T1" s="861"/>
      <c r="U1" s="861"/>
      <c r="V1" s="861"/>
      <c r="W1" s="861"/>
      <c r="X1" s="861"/>
      <c r="Y1" s="861"/>
      <c r="Z1" s="861"/>
      <c r="AA1" s="861"/>
      <c r="AB1" s="861"/>
      <c r="AC1" s="861"/>
      <c r="AD1" s="861"/>
      <c r="AE1" s="861"/>
      <c r="AF1" s="861"/>
      <c r="AG1" s="861"/>
      <c r="AH1" s="861"/>
      <c r="AI1" s="861">
        <v>3</v>
      </c>
      <c r="AJ1" s="861"/>
      <c r="AK1" s="861"/>
      <c r="AL1" s="861"/>
      <c r="AM1" s="861"/>
      <c r="AN1" s="861"/>
      <c r="AO1" s="861"/>
      <c r="AP1" s="861"/>
      <c r="AQ1" s="861"/>
      <c r="AR1" s="861"/>
      <c r="AS1" s="861"/>
      <c r="AT1" s="861"/>
      <c r="AU1" s="861"/>
      <c r="AV1" s="861"/>
      <c r="AW1" s="861"/>
      <c r="AX1" s="861"/>
      <c r="AY1" s="861">
        <v>4</v>
      </c>
      <c r="AZ1" s="861"/>
      <c r="BA1" s="861"/>
      <c r="BB1" s="861"/>
      <c r="BC1" s="861"/>
      <c r="BD1" s="861"/>
      <c r="BE1" s="861"/>
      <c r="BF1" s="861"/>
      <c r="BG1" s="861"/>
      <c r="BH1" s="861"/>
      <c r="BI1" s="861"/>
      <c r="BJ1" s="861"/>
      <c r="BK1" s="861"/>
      <c r="BL1" s="861"/>
      <c r="BM1" s="861"/>
      <c r="BN1" s="861"/>
      <c r="BO1" s="861">
        <v>5</v>
      </c>
      <c r="BP1" s="861"/>
      <c r="BQ1" s="861"/>
      <c r="BR1" s="861"/>
      <c r="BS1" s="861"/>
      <c r="BT1" s="861"/>
      <c r="BU1" s="861"/>
      <c r="BV1" s="861"/>
      <c r="BW1" s="861"/>
      <c r="BX1" s="861"/>
      <c r="BY1" s="861"/>
      <c r="BZ1" s="861"/>
      <c r="CA1" s="861"/>
      <c r="CB1" s="861"/>
      <c r="CC1" s="861"/>
      <c r="CD1" s="861"/>
      <c r="CE1" s="861">
        <v>6</v>
      </c>
      <c r="CF1" s="861"/>
      <c r="CG1" s="861"/>
      <c r="CH1" s="861"/>
      <c r="CI1" s="861"/>
      <c r="CJ1" s="861"/>
      <c r="CK1" s="861"/>
      <c r="CL1" s="861"/>
      <c r="CM1" s="861"/>
      <c r="CN1" s="861"/>
      <c r="CO1" s="861"/>
      <c r="CP1" s="861"/>
      <c r="CQ1" s="861"/>
      <c r="CR1" s="861"/>
      <c r="CS1" s="861"/>
      <c r="CT1" s="861"/>
      <c r="CU1" s="861">
        <v>7</v>
      </c>
      <c r="CV1" s="861"/>
      <c r="CW1" s="861"/>
      <c r="CX1" s="861"/>
      <c r="CY1" s="861"/>
      <c r="CZ1" s="861"/>
      <c r="DA1" s="861"/>
      <c r="DB1" s="861"/>
      <c r="DC1" s="861"/>
      <c r="DD1" s="861"/>
      <c r="DE1" s="861"/>
      <c r="DF1" s="861"/>
      <c r="DG1" s="861"/>
      <c r="DH1" s="861"/>
      <c r="DI1" s="861"/>
      <c r="DJ1" s="861"/>
      <c r="DK1" s="861">
        <v>8</v>
      </c>
      <c r="DL1" s="861"/>
      <c r="DM1" s="861"/>
      <c r="DN1" s="861"/>
      <c r="DO1" s="861"/>
      <c r="DP1" s="861"/>
      <c r="DQ1" s="861"/>
      <c r="DR1" s="861"/>
      <c r="DS1" s="861"/>
      <c r="DT1" s="861"/>
      <c r="DU1" s="861"/>
      <c r="DV1" s="861"/>
      <c r="DW1" s="861"/>
      <c r="DX1" s="861"/>
      <c r="DY1" s="861"/>
      <c r="DZ1" s="861"/>
      <c r="EA1" s="861">
        <v>9</v>
      </c>
      <c r="EB1" s="861"/>
      <c r="EC1" s="861"/>
      <c r="ED1" s="861"/>
      <c r="EE1" s="861"/>
      <c r="EF1" s="861"/>
      <c r="EG1" s="861"/>
      <c r="EH1" s="861"/>
      <c r="EI1" s="861"/>
      <c r="EJ1" s="861"/>
      <c r="EK1" s="861"/>
      <c r="EL1" s="861"/>
      <c r="EM1" s="861"/>
      <c r="EN1" s="861"/>
      <c r="EO1" s="861"/>
      <c r="EP1" s="861"/>
      <c r="EQ1" s="861">
        <v>10</v>
      </c>
      <c r="ER1" s="861"/>
      <c r="ES1" s="861"/>
      <c r="ET1" s="861"/>
      <c r="EU1" s="861"/>
      <c r="EV1" s="861"/>
      <c r="EW1" s="861"/>
      <c r="EX1" s="861"/>
      <c r="EY1" s="861"/>
      <c r="EZ1" s="861"/>
      <c r="FA1" s="861"/>
      <c r="FB1" s="861"/>
      <c r="FC1" s="861"/>
      <c r="FD1" s="861"/>
      <c r="FE1" s="861"/>
      <c r="FF1" s="861"/>
      <c r="FG1" s="861">
        <v>11</v>
      </c>
      <c r="FH1" s="861"/>
      <c r="FI1" s="861"/>
      <c r="FJ1" s="861"/>
      <c r="FK1" s="861"/>
      <c r="FL1" s="861"/>
      <c r="FM1" s="861"/>
      <c r="FN1" s="861"/>
      <c r="FO1" s="861"/>
      <c r="FP1" s="861"/>
      <c r="FQ1" s="861"/>
      <c r="FR1" s="861"/>
      <c r="FS1" s="861"/>
      <c r="FT1" s="861"/>
      <c r="FU1" s="861"/>
      <c r="FV1" s="861"/>
      <c r="FW1" s="861">
        <v>12</v>
      </c>
      <c r="FX1" s="861"/>
      <c r="FY1" s="861"/>
      <c r="FZ1" s="861"/>
      <c r="GA1" s="861"/>
      <c r="GB1" s="861"/>
      <c r="GC1" s="861"/>
      <c r="GD1" s="861"/>
      <c r="GE1" s="861"/>
      <c r="GF1" s="861"/>
      <c r="GG1" s="861"/>
      <c r="GH1" s="861"/>
      <c r="GI1" s="861"/>
      <c r="GJ1" s="861"/>
      <c r="GK1" s="861"/>
      <c r="GL1" s="861"/>
      <c r="GM1" s="861">
        <v>13</v>
      </c>
      <c r="GN1" s="861"/>
      <c r="GO1" s="861"/>
      <c r="GP1" s="861"/>
      <c r="GQ1" s="861"/>
      <c r="GR1" s="861"/>
      <c r="GS1" s="861"/>
      <c r="GT1" s="861"/>
      <c r="GU1" s="861"/>
      <c r="GV1" s="861"/>
      <c r="GW1" s="861"/>
      <c r="GX1" s="861"/>
      <c r="GY1" s="861"/>
      <c r="GZ1" s="861"/>
      <c r="HA1" s="861"/>
      <c r="HB1" s="861"/>
      <c r="HC1" s="861">
        <v>14</v>
      </c>
      <c r="HD1" s="861"/>
      <c r="HE1" s="861"/>
      <c r="HF1" s="861"/>
      <c r="HG1" s="861"/>
      <c r="HH1" s="861"/>
      <c r="HI1" s="861"/>
      <c r="HJ1" s="861"/>
      <c r="HK1" s="861"/>
      <c r="HL1" s="861"/>
      <c r="HM1" s="861"/>
      <c r="HN1" s="861"/>
      <c r="HO1" s="861"/>
      <c r="HP1" s="861"/>
      <c r="HQ1" s="861"/>
      <c r="HR1" s="861"/>
      <c r="HS1" s="861">
        <v>15</v>
      </c>
      <c r="HT1" s="861"/>
      <c r="HU1" s="861"/>
      <c r="HV1" s="861"/>
      <c r="HW1" s="861"/>
      <c r="HX1" s="861"/>
      <c r="HY1" s="861"/>
      <c r="HZ1" s="861"/>
      <c r="IA1" s="861"/>
      <c r="IB1" s="861"/>
      <c r="IC1" s="861"/>
      <c r="ID1" s="861"/>
      <c r="IE1" s="861"/>
      <c r="IF1" s="861"/>
      <c r="IG1" s="861"/>
      <c r="IH1" s="861"/>
      <c r="II1" s="861">
        <v>16</v>
      </c>
      <c r="IJ1" s="861"/>
      <c r="IK1" s="861"/>
      <c r="IL1" s="861"/>
      <c r="IM1" s="861"/>
      <c r="IN1" s="861"/>
      <c r="IO1" s="861"/>
      <c r="IP1" s="861"/>
      <c r="IQ1" s="861"/>
      <c r="IR1" s="861"/>
      <c r="IS1" s="861"/>
      <c r="IT1" s="861"/>
      <c r="IU1" s="861"/>
      <c r="IV1" s="861"/>
      <c r="IW1" s="861"/>
      <c r="IX1" s="861"/>
      <c r="IY1" s="861">
        <v>17</v>
      </c>
      <c r="IZ1" s="861"/>
      <c r="JA1" s="861"/>
      <c r="JB1" s="861"/>
      <c r="JC1" s="861"/>
      <c r="JD1" s="861"/>
      <c r="JE1" s="861"/>
      <c r="JF1" s="861"/>
      <c r="JG1" s="861"/>
      <c r="JH1" s="861"/>
      <c r="JI1" s="861"/>
      <c r="JJ1" s="861"/>
      <c r="JK1" s="861"/>
      <c r="JL1" s="861"/>
      <c r="JM1" s="861"/>
      <c r="JN1" s="861"/>
      <c r="JO1" s="861">
        <v>18</v>
      </c>
      <c r="JP1" s="861"/>
      <c r="JQ1" s="861"/>
      <c r="JR1" s="861"/>
      <c r="JS1" s="861"/>
      <c r="JT1" s="861"/>
      <c r="JU1" s="861"/>
      <c r="JV1" s="861"/>
      <c r="JW1" s="861"/>
      <c r="JX1" s="861"/>
      <c r="JY1" s="861"/>
      <c r="JZ1" s="861"/>
      <c r="KA1" s="861"/>
      <c r="KB1" s="861"/>
      <c r="KC1" s="861"/>
      <c r="KD1" s="861"/>
      <c r="KE1" s="861">
        <v>19</v>
      </c>
      <c r="KF1" s="861"/>
      <c r="KG1" s="861"/>
      <c r="KH1" s="861"/>
      <c r="KI1" s="861"/>
      <c r="KJ1" s="861"/>
      <c r="KK1" s="861"/>
      <c r="KL1" s="861"/>
      <c r="KM1" s="861"/>
      <c r="KN1" s="861"/>
      <c r="KO1" s="861"/>
      <c r="KP1" s="861"/>
      <c r="KQ1" s="861"/>
      <c r="KR1" s="861"/>
      <c r="KS1" s="861"/>
      <c r="KT1" s="861"/>
      <c r="KU1" s="861">
        <v>20</v>
      </c>
      <c r="KV1" s="861"/>
      <c r="KW1" s="861"/>
      <c r="KX1" s="861"/>
      <c r="KY1" s="861"/>
      <c r="KZ1" s="861"/>
      <c r="LA1" s="861"/>
      <c r="LB1" s="861"/>
      <c r="LC1" s="861"/>
      <c r="LD1" s="861"/>
      <c r="LE1" s="861"/>
      <c r="LF1" s="861"/>
      <c r="LG1" s="861"/>
      <c r="LH1" s="861"/>
      <c r="LI1" s="861"/>
      <c r="LJ1" s="861"/>
      <c r="LK1" s="861">
        <v>21</v>
      </c>
      <c r="LL1" s="861"/>
      <c r="LM1" s="861"/>
      <c r="LN1" s="861"/>
      <c r="LO1" s="861"/>
      <c r="LP1" s="861"/>
      <c r="LQ1" s="861"/>
      <c r="LR1" s="861"/>
      <c r="LS1" s="861"/>
      <c r="LT1" s="861"/>
      <c r="LU1" s="861"/>
      <c r="LV1" s="861"/>
      <c r="LW1" s="861"/>
      <c r="LX1" s="861"/>
      <c r="LY1" s="861"/>
      <c r="LZ1" s="861"/>
      <c r="MA1" s="861">
        <v>22</v>
      </c>
      <c r="MB1" s="861"/>
      <c r="MC1" s="861"/>
      <c r="MD1" s="861"/>
      <c r="ME1" s="861"/>
      <c r="MF1" s="861"/>
      <c r="MG1" s="861"/>
      <c r="MH1" s="861"/>
      <c r="MI1" s="861"/>
      <c r="MJ1" s="861"/>
      <c r="MK1" s="861"/>
      <c r="ML1" s="861"/>
      <c r="MM1" s="861"/>
      <c r="MN1" s="861"/>
      <c r="MO1" s="861"/>
      <c r="MP1" s="861"/>
      <c r="MQ1" s="861">
        <v>23</v>
      </c>
      <c r="MR1" s="861"/>
      <c r="MS1" s="861"/>
      <c r="MT1" s="861"/>
      <c r="MU1" s="861"/>
      <c r="MV1" s="861"/>
      <c r="MW1" s="861"/>
      <c r="MX1" s="861"/>
      <c r="MY1" s="861"/>
      <c r="MZ1" s="861"/>
      <c r="NA1" s="861"/>
      <c r="NB1" s="861"/>
      <c r="NC1" s="861"/>
      <c r="ND1" s="861"/>
      <c r="NE1" s="861"/>
      <c r="NF1" s="861"/>
      <c r="NG1" s="861">
        <v>24</v>
      </c>
      <c r="NH1" s="861"/>
      <c r="NI1" s="861"/>
      <c r="NJ1" s="861"/>
      <c r="NK1" s="861"/>
      <c r="NL1" s="861"/>
      <c r="NM1" s="861"/>
      <c r="NN1" s="861"/>
      <c r="NO1" s="861"/>
      <c r="NP1" s="861"/>
      <c r="NQ1" s="861"/>
      <c r="NR1" s="861"/>
      <c r="NS1" s="861"/>
      <c r="NT1" s="861"/>
      <c r="NU1" s="861"/>
      <c r="NV1" s="861"/>
      <c r="NW1" s="861">
        <v>25</v>
      </c>
      <c r="NX1" s="861"/>
      <c r="NY1" s="861"/>
      <c r="NZ1" s="861"/>
      <c r="OA1" s="861"/>
      <c r="OB1" s="861"/>
      <c r="OC1" s="861"/>
      <c r="OD1" s="861"/>
      <c r="OE1" s="861"/>
      <c r="OF1" s="861"/>
      <c r="OG1" s="861"/>
      <c r="OH1" s="861"/>
      <c r="OI1" s="861"/>
      <c r="OJ1" s="861"/>
      <c r="OK1" s="861"/>
      <c r="OL1" s="861"/>
      <c r="OM1" s="861">
        <v>26</v>
      </c>
      <c r="ON1" s="861"/>
      <c r="OO1" s="861"/>
      <c r="OP1" s="861"/>
      <c r="OQ1" s="861"/>
      <c r="OR1" s="861"/>
      <c r="OS1" s="861"/>
      <c r="OT1" s="861"/>
      <c r="OU1" s="861"/>
      <c r="OV1" s="861"/>
      <c r="OW1" s="861"/>
      <c r="OX1" s="861"/>
      <c r="OY1" s="861"/>
      <c r="OZ1" s="861"/>
      <c r="PA1" s="861"/>
      <c r="PB1" s="861"/>
      <c r="PC1" s="861">
        <v>27</v>
      </c>
      <c r="PD1" s="861"/>
      <c r="PE1" s="861"/>
      <c r="PF1" s="861"/>
      <c r="PG1" s="861"/>
      <c r="PH1" s="861"/>
      <c r="PI1" s="861"/>
      <c r="PJ1" s="861"/>
      <c r="PK1" s="861"/>
      <c r="PL1" s="861"/>
      <c r="PM1" s="861"/>
      <c r="PN1" s="861"/>
      <c r="PO1" s="861"/>
      <c r="PP1" s="861"/>
      <c r="PQ1" s="861"/>
      <c r="PR1" s="861"/>
      <c r="PS1" s="861">
        <v>28</v>
      </c>
      <c r="PT1" s="861"/>
      <c r="PU1" s="861"/>
      <c r="PV1" s="861"/>
      <c r="PW1" s="861"/>
      <c r="PX1" s="861"/>
      <c r="PY1" s="861"/>
      <c r="PZ1" s="861"/>
      <c r="QA1" s="861"/>
      <c r="QB1" s="861"/>
      <c r="QC1" s="861"/>
      <c r="QD1" s="861"/>
      <c r="QE1" s="861"/>
      <c r="QF1" s="861"/>
      <c r="QG1" s="861"/>
      <c r="QH1" s="861"/>
      <c r="QI1" s="861">
        <v>29</v>
      </c>
      <c r="QJ1" s="861"/>
      <c r="QK1" s="861"/>
      <c r="QL1" s="861"/>
      <c r="QM1" s="861"/>
      <c r="QN1" s="861"/>
      <c r="QO1" s="861"/>
      <c r="QP1" s="861"/>
      <c r="QQ1" s="861"/>
      <c r="QR1" s="861"/>
      <c r="QS1" s="861"/>
      <c r="QT1" s="861"/>
      <c r="QU1" s="861"/>
      <c r="QV1" s="861"/>
      <c r="QW1" s="861"/>
      <c r="QX1" s="861"/>
      <c r="QY1" s="861">
        <v>30</v>
      </c>
      <c r="QZ1" s="861"/>
      <c r="RA1" s="861"/>
      <c r="RB1" s="861"/>
      <c r="RC1" s="861"/>
      <c r="RD1" s="861"/>
      <c r="RE1" s="861"/>
      <c r="RF1" s="861"/>
      <c r="RG1" s="861"/>
      <c r="RH1" s="861"/>
      <c r="RI1" s="861"/>
      <c r="RJ1" s="861"/>
      <c r="RK1" s="861"/>
      <c r="RL1" s="861"/>
      <c r="RM1" s="861"/>
      <c r="RN1" s="861"/>
      <c r="RO1" s="861">
        <v>31</v>
      </c>
      <c r="RP1" s="861"/>
      <c r="RQ1" s="861"/>
      <c r="RR1" s="861"/>
      <c r="RS1" s="861"/>
      <c r="RT1" s="861"/>
      <c r="RU1" s="861"/>
      <c r="RV1" s="861"/>
      <c r="RW1" s="861"/>
      <c r="RX1" s="861"/>
      <c r="RY1" s="861"/>
      <c r="RZ1" s="861"/>
      <c r="SA1" s="861"/>
      <c r="SB1" s="861"/>
      <c r="SC1" s="861"/>
      <c r="SD1" s="861"/>
      <c r="SE1" s="861">
        <v>32</v>
      </c>
      <c r="SF1" s="861"/>
      <c r="SG1" s="861"/>
      <c r="SH1" s="861"/>
      <c r="SI1" s="861"/>
      <c r="SJ1" s="861"/>
      <c r="SK1" s="861"/>
      <c r="SL1" s="861"/>
      <c r="SM1" s="861"/>
      <c r="SN1" s="861"/>
      <c r="SO1" s="861"/>
      <c r="SP1" s="861"/>
      <c r="SQ1" s="861"/>
      <c r="SR1" s="861"/>
      <c r="SS1" s="861"/>
      <c r="ST1" s="861"/>
      <c r="SU1" s="861">
        <v>33</v>
      </c>
      <c r="SV1" s="861"/>
      <c r="SW1" s="861"/>
      <c r="SX1" s="861"/>
      <c r="SY1" s="861"/>
      <c r="SZ1" s="861"/>
      <c r="TA1" s="861"/>
      <c r="TB1" s="861"/>
      <c r="TC1" s="861"/>
      <c r="TD1" s="861"/>
      <c r="TE1" s="861"/>
      <c r="TF1" s="861"/>
      <c r="TG1" s="861"/>
      <c r="TH1" s="861"/>
      <c r="TI1" s="861"/>
      <c r="TJ1" s="861"/>
      <c r="TK1" s="861">
        <v>34</v>
      </c>
      <c r="TL1" s="861"/>
      <c r="TM1" s="861"/>
      <c r="TN1" s="861"/>
      <c r="TO1" s="861"/>
      <c r="TP1" s="861"/>
      <c r="TQ1" s="861"/>
      <c r="TR1" s="861"/>
      <c r="TS1" s="861"/>
      <c r="TT1" s="861"/>
      <c r="TU1" s="861"/>
      <c r="TV1" s="861"/>
      <c r="TW1" s="861"/>
      <c r="TX1" s="861"/>
      <c r="TY1" s="861"/>
      <c r="TZ1" s="861"/>
      <c r="UA1" s="861">
        <v>35</v>
      </c>
      <c r="UB1" s="861"/>
      <c r="UC1" s="861"/>
      <c r="UD1" s="861"/>
      <c r="UE1" s="861"/>
      <c r="UF1" s="861"/>
      <c r="UG1" s="861"/>
      <c r="UH1" s="861"/>
      <c r="UI1" s="861"/>
      <c r="UJ1" s="861"/>
      <c r="UK1" s="861"/>
      <c r="UL1" s="861"/>
      <c r="UM1" s="861"/>
      <c r="UN1" s="861"/>
      <c r="UO1" s="861"/>
      <c r="UP1" s="861"/>
      <c r="UQ1" s="861">
        <v>36</v>
      </c>
      <c r="UR1" s="861"/>
      <c r="US1" s="861"/>
      <c r="UT1" s="861"/>
      <c r="UU1" s="861"/>
      <c r="UV1" s="861"/>
      <c r="UW1" s="861"/>
      <c r="UX1" s="861"/>
      <c r="UY1" s="861"/>
      <c r="UZ1" s="861"/>
      <c r="VA1" s="861"/>
      <c r="VB1" s="861"/>
      <c r="VC1" s="861"/>
      <c r="VD1" s="861"/>
      <c r="VE1" s="861"/>
      <c r="VF1" s="861"/>
      <c r="VG1" s="861">
        <v>37</v>
      </c>
      <c r="VH1" s="861"/>
      <c r="VI1" s="861"/>
      <c r="VJ1" s="861"/>
      <c r="VK1" s="861"/>
      <c r="VL1" s="861"/>
      <c r="VM1" s="861"/>
      <c r="VN1" s="861"/>
      <c r="VO1" s="861"/>
      <c r="VP1" s="861"/>
      <c r="VQ1" s="861"/>
      <c r="VR1" s="861"/>
      <c r="VS1" s="861"/>
      <c r="VT1" s="861"/>
      <c r="VU1" s="861"/>
      <c r="VV1" s="861"/>
      <c r="VW1" s="861">
        <v>38</v>
      </c>
      <c r="VX1" s="861"/>
      <c r="VY1" s="861"/>
      <c r="VZ1" s="861"/>
      <c r="WA1" s="861"/>
      <c r="WB1" s="861"/>
      <c r="WC1" s="861"/>
      <c r="WD1" s="861"/>
      <c r="WE1" s="861"/>
      <c r="WF1" s="861"/>
      <c r="WG1" s="861"/>
      <c r="WH1" s="861"/>
      <c r="WI1" s="861"/>
      <c r="WJ1" s="861"/>
      <c r="WK1" s="861"/>
      <c r="WL1" s="861"/>
      <c r="WM1" s="86"/>
      <c r="WN1" s="861" t="s">
        <v>166</v>
      </c>
      <c r="WO1" s="861"/>
      <c r="WP1" s="861"/>
      <c r="WQ1" s="861"/>
      <c r="WR1" s="861"/>
      <c r="WS1" s="861"/>
      <c r="WT1" s="861"/>
      <c r="WU1" s="861"/>
      <c r="WV1" s="861"/>
      <c r="WW1" s="861"/>
      <c r="WX1" s="861"/>
      <c r="WY1" s="861"/>
      <c r="WZ1" s="861"/>
      <c r="XA1" s="861"/>
      <c r="XB1" s="861"/>
      <c r="XC1" s="861"/>
      <c r="XD1" s="86"/>
      <c r="XE1" s="861"/>
      <c r="XF1" s="861"/>
      <c r="XG1" s="86"/>
      <c r="XH1" s="861"/>
      <c r="XI1" s="861"/>
      <c r="XJ1" s="86"/>
      <c r="XK1" s="861" t="s">
        <v>166</v>
      </c>
      <c r="XL1" s="861"/>
      <c r="XM1" s="861"/>
      <c r="XN1" s="861"/>
      <c r="XO1" s="861"/>
      <c r="XP1" s="861"/>
      <c r="XQ1" s="861"/>
      <c r="XR1" s="861"/>
      <c r="XS1" s="86"/>
      <c r="XT1" s="861" t="s">
        <v>166</v>
      </c>
      <c r="XU1" s="861"/>
      <c r="XV1" s="861"/>
      <c r="XW1" s="861"/>
      <c r="XX1" s="861"/>
      <c r="XY1" s="861"/>
      <c r="XZ1" s="861"/>
      <c r="YA1" s="861"/>
    </row>
    <row r="2" spans="1:1017" s="750" customFormat="1">
      <c r="C2" s="750" t="s">
        <v>89</v>
      </c>
      <c r="D2" s="750" t="s">
        <v>89</v>
      </c>
      <c r="E2" s="750" t="s">
        <v>89</v>
      </c>
      <c r="F2" s="750" t="s">
        <v>89</v>
      </c>
      <c r="G2" s="750" t="s">
        <v>89</v>
      </c>
      <c r="H2" s="750" t="s">
        <v>89</v>
      </c>
      <c r="I2" s="750" t="s">
        <v>89</v>
      </c>
      <c r="J2" s="750" t="s">
        <v>89</v>
      </c>
      <c r="K2" s="750" t="s">
        <v>89</v>
      </c>
      <c r="L2" s="750" t="s">
        <v>89</v>
      </c>
      <c r="M2" s="750" t="s">
        <v>89</v>
      </c>
      <c r="N2" s="750" t="s">
        <v>89</v>
      </c>
      <c r="O2" s="750" t="s">
        <v>89</v>
      </c>
      <c r="P2" s="750" t="s">
        <v>89</v>
      </c>
      <c r="Q2" s="751" t="s">
        <v>89</v>
      </c>
      <c r="R2" s="751" t="s">
        <v>89</v>
      </c>
      <c r="S2" s="750" t="s">
        <v>73</v>
      </c>
      <c r="T2" s="750" t="s">
        <v>73</v>
      </c>
      <c r="U2" s="750" t="s">
        <v>73</v>
      </c>
      <c r="V2" s="750" t="s">
        <v>73</v>
      </c>
      <c r="W2" s="750" t="s">
        <v>73</v>
      </c>
      <c r="X2" s="750" t="s">
        <v>73</v>
      </c>
      <c r="Y2" s="750" t="s">
        <v>73</v>
      </c>
      <c r="Z2" s="750" t="s">
        <v>73</v>
      </c>
      <c r="AA2" s="750" t="s">
        <v>73</v>
      </c>
      <c r="AB2" s="750" t="s">
        <v>73</v>
      </c>
      <c r="AC2" s="750" t="s">
        <v>73</v>
      </c>
      <c r="AD2" s="750" t="s">
        <v>73</v>
      </c>
      <c r="AE2" s="750" t="s">
        <v>73</v>
      </c>
      <c r="AF2" s="750" t="s">
        <v>73</v>
      </c>
      <c r="AG2" s="751" t="s">
        <v>73</v>
      </c>
      <c r="AH2" s="751" t="s">
        <v>73</v>
      </c>
      <c r="AI2" s="750" t="s">
        <v>68</v>
      </c>
      <c r="AJ2" s="750" t="s">
        <v>68</v>
      </c>
      <c r="AK2" s="750" t="s">
        <v>68</v>
      </c>
      <c r="AL2" s="750" t="s">
        <v>68</v>
      </c>
      <c r="AM2" s="750" t="s">
        <v>68</v>
      </c>
      <c r="AN2" s="750" t="s">
        <v>68</v>
      </c>
      <c r="AO2" s="750" t="s">
        <v>68</v>
      </c>
      <c r="AP2" s="750" t="s">
        <v>68</v>
      </c>
      <c r="AQ2" s="750" t="s">
        <v>68</v>
      </c>
      <c r="AR2" s="750" t="s">
        <v>68</v>
      </c>
      <c r="AS2" s="750" t="s">
        <v>68</v>
      </c>
      <c r="AT2" s="750" t="s">
        <v>68</v>
      </c>
      <c r="AU2" s="750" t="s">
        <v>68</v>
      </c>
      <c r="AV2" s="750" t="s">
        <v>68</v>
      </c>
      <c r="AW2" s="751" t="s">
        <v>68</v>
      </c>
      <c r="AX2" s="751" t="s">
        <v>68</v>
      </c>
      <c r="AY2" s="750" t="s">
        <v>85</v>
      </c>
      <c r="AZ2" s="750" t="s">
        <v>85</v>
      </c>
      <c r="BA2" s="750" t="s">
        <v>85</v>
      </c>
      <c r="BB2" s="750" t="s">
        <v>85</v>
      </c>
      <c r="BC2" s="750" t="s">
        <v>85</v>
      </c>
      <c r="BD2" s="750" t="s">
        <v>85</v>
      </c>
      <c r="BE2" s="750" t="s">
        <v>85</v>
      </c>
      <c r="BF2" s="750" t="s">
        <v>85</v>
      </c>
      <c r="BG2" s="750" t="s">
        <v>85</v>
      </c>
      <c r="BH2" s="750" t="s">
        <v>85</v>
      </c>
      <c r="BI2" s="750" t="s">
        <v>85</v>
      </c>
      <c r="BJ2" s="750" t="s">
        <v>85</v>
      </c>
      <c r="BK2" s="750" t="s">
        <v>85</v>
      </c>
      <c r="BL2" s="750" t="s">
        <v>85</v>
      </c>
      <c r="BM2" s="751" t="s">
        <v>85</v>
      </c>
      <c r="BN2" s="751" t="s">
        <v>85</v>
      </c>
      <c r="BO2" s="750" t="s">
        <v>74</v>
      </c>
      <c r="BP2" s="750" t="s">
        <v>74</v>
      </c>
      <c r="BQ2" s="750" t="s">
        <v>74</v>
      </c>
      <c r="BR2" s="750" t="s">
        <v>74</v>
      </c>
      <c r="BS2" s="750" t="s">
        <v>74</v>
      </c>
      <c r="BT2" s="750" t="s">
        <v>74</v>
      </c>
      <c r="BU2" s="750" t="s">
        <v>74</v>
      </c>
      <c r="BV2" s="750" t="s">
        <v>74</v>
      </c>
      <c r="BW2" s="750" t="s">
        <v>74</v>
      </c>
      <c r="BX2" s="750" t="s">
        <v>74</v>
      </c>
      <c r="BY2" s="750" t="s">
        <v>74</v>
      </c>
      <c r="BZ2" s="750" t="s">
        <v>74</v>
      </c>
      <c r="CA2" s="750" t="s">
        <v>74</v>
      </c>
      <c r="CB2" s="750" t="s">
        <v>74</v>
      </c>
      <c r="CC2" s="751" t="s">
        <v>74</v>
      </c>
      <c r="CD2" s="751" t="s">
        <v>74</v>
      </c>
      <c r="CE2" s="750" t="s">
        <v>88</v>
      </c>
      <c r="CF2" s="750" t="s">
        <v>88</v>
      </c>
      <c r="CG2" s="750" t="s">
        <v>88</v>
      </c>
      <c r="CH2" s="750" t="s">
        <v>88</v>
      </c>
      <c r="CI2" s="750" t="s">
        <v>88</v>
      </c>
      <c r="CJ2" s="750" t="s">
        <v>88</v>
      </c>
      <c r="CK2" s="750" t="s">
        <v>88</v>
      </c>
      <c r="CL2" s="750" t="s">
        <v>88</v>
      </c>
      <c r="CM2" s="750" t="s">
        <v>88</v>
      </c>
      <c r="CN2" s="750" t="s">
        <v>88</v>
      </c>
      <c r="CO2" s="750" t="s">
        <v>88</v>
      </c>
      <c r="CP2" s="750" t="s">
        <v>88</v>
      </c>
      <c r="CQ2" s="750" t="s">
        <v>88</v>
      </c>
      <c r="CR2" s="750" t="s">
        <v>88</v>
      </c>
      <c r="CS2" s="751" t="s">
        <v>88</v>
      </c>
      <c r="CT2" s="751" t="s">
        <v>88</v>
      </c>
      <c r="CU2" s="750" t="s">
        <v>72</v>
      </c>
      <c r="CV2" s="750" t="s">
        <v>72</v>
      </c>
      <c r="CW2" s="750" t="s">
        <v>72</v>
      </c>
      <c r="CX2" s="750" t="s">
        <v>72</v>
      </c>
      <c r="CY2" s="750" t="s">
        <v>72</v>
      </c>
      <c r="CZ2" s="750" t="s">
        <v>72</v>
      </c>
      <c r="DA2" s="750" t="s">
        <v>72</v>
      </c>
      <c r="DB2" s="750" t="s">
        <v>72</v>
      </c>
      <c r="DC2" s="750" t="s">
        <v>72</v>
      </c>
      <c r="DD2" s="750" t="s">
        <v>72</v>
      </c>
      <c r="DE2" s="750" t="s">
        <v>72</v>
      </c>
      <c r="DF2" s="750" t="s">
        <v>72</v>
      </c>
      <c r="DG2" s="750" t="s">
        <v>72</v>
      </c>
      <c r="DH2" s="750" t="s">
        <v>72</v>
      </c>
      <c r="DI2" s="751" t="s">
        <v>72</v>
      </c>
      <c r="DJ2" s="751" t="s">
        <v>72</v>
      </c>
      <c r="DK2" s="750" t="s">
        <v>80</v>
      </c>
      <c r="DL2" s="750" t="s">
        <v>80</v>
      </c>
      <c r="DM2" s="750" t="s">
        <v>80</v>
      </c>
      <c r="DN2" s="750" t="s">
        <v>80</v>
      </c>
      <c r="DO2" s="750" t="s">
        <v>80</v>
      </c>
      <c r="DP2" s="750" t="s">
        <v>80</v>
      </c>
      <c r="DQ2" s="750" t="s">
        <v>80</v>
      </c>
      <c r="DR2" s="750" t="s">
        <v>80</v>
      </c>
      <c r="DS2" s="750" t="s">
        <v>80</v>
      </c>
      <c r="DT2" s="750" t="s">
        <v>80</v>
      </c>
      <c r="DU2" s="750" t="s">
        <v>80</v>
      </c>
      <c r="DV2" s="750" t="s">
        <v>80</v>
      </c>
      <c r="DW2" s="750" t="s">
        <v>80</v>
      </c>
      <c r="DX2" s="750" t="s">
        <v>80</v>
      </c>
      <c r="DY2" s="751" t="s">
        <v>80</v>
      </c>
      <c r="DZ2" s="751" t="s">
        <v>80</v>
      </c>
      <c r="EA2" s="750" t="s">
        <v>69</v>
      </c>
      <c r="EB2" s="750" t="s">
        <v>69</v>
      </c>
      <c r="EC2" s="750" t="s">
        <v>69</v>
      </c>
      <c r="ED2" s="750" t="s">
        <v>69</v>
      </c>
      <c r="EE2" s="750" t="s">
        <v>69</v>
      </c>
      <c r="EF2" s="750" t="s">
        <v>69</v>
      </c>
      <c r="EG2" s="750" t="s">
        <v>69</v>
      </c>
      <c r="EH2" s="750" t="s">
        <v>69</v>
      </c>
      <c r="EI2" s="750" t="s">
        <v>69</v>
      </c>
      <c r="EJ2" s="750" t="s">
        <v>69</v>
      </c>
      <c r="EK2" s="750" t="s">
        <v>69</v>
      </c>
      <c r="EL2" s="750" t="s">
        <v>69</v>
      </c>
      <c r="EM2" s="750" t="s">
        <v>69</v>
      </c>
      <c r="EN2" s="750" t="s">
        <v>69</v>
      </c>
      <c r="EO2" s="751" t="s">
        <v>69</v>
      </c>
      <c r="EP2" s="751" t="s">
        <v>69</v>
      </c>
      <c r="EQ2" s="750" t="s">
        <v>87</v>
      </c>
      <c r="ER2" s="750" t="s">
        <v>87</v>
      </c>
      <c r="ES2" s="750" t="s">
        <v>87</v>
      </c>
      <c r="ET2" s="750" t="s">
        <v>87</v>
      </c>
      <c r="EU2" s="750" t="s">
        <v>87</v>
      </c>
      <c r="EV2" s="750" t="s">
        <v>87</v>
      </c>
      <c r="EW2" s="750" t="s">
        <v>87</v>
      </c>
      <c r="EX2" s="750" t="s">
        <v>87</v>
      </c>
      <c r="EY2" s="750" t="s">
        <v>87</v>
      </c>
      <c r="EZ2" s="750" t="s">
        <v>87</v>
      </c>
      <c r="FA2" s="750" t="s">
        <v>87</v>
      </c>
      <c r="FB2" s="750" t="s">
        <v>87</v>
      </c>
      <c r="FC2" s="750" t="s">
        <v>87</v>
      </c>
      <c r="FD2" s="750" t="s">
        <v>87</v>
      </c>
      <c r="FE2" s="751" t="s">
        <v>87</v>
      </c>
      <c r="FF2" s="751" t="s">
        <v>87</v>
      </c>
      <c r="FG2" s="750" t="s">
        <v>71</v>
      </c>
      <c r="FH2" s="750" t="s">
        <v>71</v>
      </c>
      <c r="FI2" s="750" t="s">
        <v>71</v>
      </c>
      <c r="FJ2" s="750" t="s">
        <v>71</v>
      </c>
      <c r="FK2" s="750" t="s">
        <v>71</v>
      </c>
      <c r="FL2" s="750" t="s">
        <v>71</v>
      </c>
      <c r="FM2" s="750" t="s">
        <v>71</v>
      </c>
      <c r="FN2" s="750" t="s">
        <v>71</v>
      </c>
      <c r="FO2" s="750" t="s">
        <v>71</v>
      </c>
      <c r="FP2" s="750" t="s">
        <v>71</v>
      </c>
      <c r="FQ2" s="750" t="s">
        <v>71</v>
      </c>
      <c r="FR2" s="750" t="s">
        <v>71</v>
      </c>
      <c r="FS2" s="750" t="s">
        <v>71</v>
      </c>
      <c r="FT2" s="750" t="s">
        <v>71</v>
      </c>
      <c r="FU2" s="751" t="s">
        <v>71</v>
      </c>
      <c r="FV2" s="751" t="s">
        <v>71</v>
      </c>
      <c r="FW2" s="750" t="s">
        <v>82</v>
      </c>
      <c r="FX2" s="750" t="s">
        <v>82</v>
      </c>
      <c r="FY2" s="750" t="s">
        <v>82</v>
      </c>
      <c r="FZ2" s="750" t="s">
        <v>82</v>
      </c>
      <c r="GA2" s="750" t="s">
        <v>82</v>
      </c>
      <c r="GB2" s="750" t="s">
        <v>82</v>
      </c>
      <c r="GC2" s="750" t="s">
        <v>82</v>
      </c>
      <c r="GD2" s="750" t="s">
        <v>82</v>
      </c>
      <c r="GE2" s="750" t="s">
        <v>82</v>
      </c>
      <c r="GF2" s="750" t="s">
        <v>82</v>
      </c>
      <c r="GG2" s="750" t="s">
        <v>82</v>
      </c>
      <c r="GH2" s="750" t="s">
        <v>82</v>
      </c>
      <c r="GI2" s="750" t="s">
        <v>82</v>
      </c>
      <c r="GJ2" s="750" t="s">
        <v>82</v>
      </c>
      <c r="GK2" s="751" t="s">
        <v>82</v>
      </c>
      <c r="GL2" s="751" t="s">
        <v>82</v>
      </c>
      <c r="GM2" s="750" t="s">
        <v>83</v>
      </c>
      <c r="GN2" s="750" t="s">
        <v>83</v>
      </c>
      <c r="GO2" s="750" t="s">
        <v>83</v>
      </c>
      <c r="GP2" s="750" t="s">
        <v>83</v>
      </c>
      <c r="GQ2" s="750" t="s">
        <v>83</v>
      </c>
      <c r="GR2" s="750" t="s">
        <v>83</v>
      </c>
      <c r="GS2" s="750" t="s">
        <v>83</v>
      </c>
      <c r="GT2" s="750" t="s">
        <v>83</v>
      </c>
      <c r="GU2" s="750" t="s">
        <v>83</v>
      </c>
      <c r="GV2" s="750" t="s">
        <v>83</v>
      </c>
      <c r="GW2" s="750" t="s">
        <v>83</v>
      </c>
      <c r="GX2" s="750" t="s">
        <v>83</v>
      </c>
      <c r="GY2" s="750" t="s">
        <v>83</v>
      </c>
      <c r="GZ2" s="750" t="s">
        <v>83</v>
      </c>
      <c r="HA2" s="751" t="s">
        <v>83</v>
      </c>
      <c r="HB2" s="751" t="s">
        <v>83</v>
      </c>
      <c r="HC2" s="750" t="s">
        <v>70</v>
      </c>
      <c r="HD2" s="750" t="s">
        <v>70</v>
      </c>
      <c r="HE2" s="750" t="s">
        <v>70</v>
      </c>
      <c r="HF2" s="750" t="s">
        <v>70</v>
      </c>
      <c r="HG2" s="750" t="s">
        <v>70</v>
      </c>
      <c r="HH2" s="750" t="s">
        <v>70</v>
      </c>
      <c r="HI2" s="750" t="s">
        <v>70</v>
      </c>
      <c r="HJ2" s="750" t="s">
        <v>70</v>
      </c>
      <c r="HK2" s="750" t="s">
        <v>70</v>
      </c>
      <c r="HL2" s="750" t="s">
        <v>70</v>
      </c>
      <c r="HM2" s="750" t="s">
        <v>70</v>
      </c>
      <c r="HN2" s="750" t="s">
        <v>70</v>
      </c>
      <c r="HO2" s="750" t="s">
        <v>70</v>
      </c>
      <c r="HP2" s="750" t="s">
        <v>70</v>
      </c>
      <c r="HQ2" s="751" t="s">
        <v>70</v>
      </c>
      <c r="HR2" s="751" t="s">
        <v>70</v>
      </c>
      <c r="HS2" s="750" t="s">
        <v>79</v>
      </c>
      <c r="HT2" s="750" t="s">
        <v>79</v>
      </c>
      <c r="HU2" s="750" t="s">
        <v>79</v>
      </c>
      <c r="HV2" s="750" t="s">
        <v>79</v>
      </c>
      <c r="HW2" s="750" t="s">
        <v>79</v>
      </c>
      <c r="HX2" s="750" t="s">
        <v>79</v>
      </c>
      <c r="HY2" s="750" t="s">
        <v>79</v>
      </c>
      <c r="HZ2" s="750" t="s">
        <v>79</v>
      </c>
      <c r="IA2" s="750" t="s">
        <v>79</v>
      </c>
      <c r="IB2" s="750" t="s">
        <v>79</v>
      </c>
      <c r="IC2" s="750" t="s">
        <v>79</v>
      </c>
      <c r="ID2" s="750" t="s">
        <v>79</v>
      </c>
      <c r="IE2" s="750" t="s">
        <v>79</v>
      </c>
      <c r="IF2" s="750" t="s">
        <v>79</v>
      </c>
      <c r="IG2" s="751" t="s">
        <v>79</v>
      </c>
      <c r="IH2" s="751" t="s">
        <v>79</v>
      </c>
      <c r="II2" s="750" t="s">
        <v>81</v>
      </c>
      <c r="IJ2" s="750" t="s">
        <v>81</v>
      </c>
      <c r="IK2" s="750" t="s">
        <v>81</v>
      </c>
      <c r="IL2" s="750" t="s">
        <v>81</v>
      </c>
      <c r="IM2" s="750" t="s">
        <v>81</v>
      </c>
      <c r="IN2" s="750" t="s">
        <v>81</v>
      </c>
      <c r="IO2" s="750" t="s">
        <v>81</v>
      </c>
      <c r="IP2" s="750" t="s">
        <v>81</v>
      </c>
      <c r="IQ2" s="750" t="s">
        <v>81</v>
      </c>
      <c r="IR2" s="750" t="s">
        <v>81</v>
      </c>
      <c r="IS2" s="750" t="s">
        <v>81</v>
      </c>
      <c r="IT2" s="750" t="s">
        <v>81</v>
      </c>
      <c r="IU2" s="750" t="s">
        <v>81</v>
      </c>
      <c r="IV2" s="750" t="s">
        <v>81</v>
      </c>
      <c r="IW2" s="751" t="s">
        <v>81</v>
      </c>
      <c r="IX2" s="751" t="s">
        <v>81</v>
      </c>
      <c r="IY2" s="750" t="s">
        <v>84</v>
      </c>
      <c r="IZ2" s="750" t="s">
        <v>84</v>
      </c>
      <c r="JA2" s="750" t="s">
        <v>84</v>
      </c>
      <c r="JB2" s="750" t="s">
        <v>84</v>
      </c>
      <c r="JC2" s="750" t="s">
        <v>84</v>
      </c>
      <c r="JD2" s="750" t="s">
        <v>84</v>
      </c>
      <c r="JE2" s="750" t="s">
        <v>84</v>
      </c>
      <c r="JF2" s="750" t="s">
        <v>84</v>
      </c>
      <c r="JG2" s="750" t="s">
        <v>84</v>
      </c>
      <c r="JH2" s="750" t="s">
        <v>84</v>
      </c>
      <c r="JI2" s="750" t="s">
        <v>84</v>
      </c>
      <c r="JJ2" s="750" t="s">
        <v>84</v>
      </c>
      <c r="JK2" s="750" t="s">
        <v>84</v>
      </c>
      <c r="JL2" s="750" t="s">
        <v>84</v>
      </c>
      <c r="JM2" s="751" t="s">
        <v>84</v>
      </c>
      <c r="JN2" s="751" t="s">
        <v>84</v>
      </c>
      <c r="JO2" s="750" t="s">
        <v>36</v>
      </c>
      <c r="JP2" s="750" t="s">
        <v>36</v>
      </c>
      <c r="JQ2" s="750" t="s">
        <v>36</v>
      </c>
      <c r="JR2" s="750" t="s">
        <v>36</v>
      </c>
      <c r="JS2" s="750" t="s">
        <v>36</v>
      </c>
      <c r="JT2" s="750" t="s">
        <v>36</v>
      </c>
      <c r="JU2" s="750" t="s">
        <v>36</v>
      </c>
      <c r="JV2" s="750" t="s">
        <v>36</v>
      </c>
      <c r="JW2" s="750" t="s">
        <v>36</v>
      </c>
      <c r="JX2" s="750" t="s">
        <v>36</v>
      </c>
      <c r="JY2" s="750" t="s">
        <v>36</v>
      </c>
      <c r="JZ2" s="750" t="s">
        <v>36</v>
      </c>
      <c r="KA2" s="750" t="s">
        <v>36</v>
      </c>
      <c r="KB2" s="750" t="s">
        <v>36</v>
      </c>
      <c r="KC2" s="751" t="s">
        <v>36</v>
      </c>
      <c r="KD2" s="751" t="s">
        <v>36</v>
      </c>
      <c r="KE2" s="750" t="s">
        <v>91</v>
      </c>
      <c r="KF2" s="750" t="s">
        <v>91</v>
      </c>
      <c r="KG2" s="750" t="s">
        <v>91</v>
      </c>
      <c r="KH2" s="750" t="s">
        <v>91</v>
      </c>
      <c r="KI2" s="750" t="s">
        <v>91</v>
      </c>
      <c r="KJ2" s="750" t="s">
        <v>91</v>
      </c>
      <c r="KK2" s="750" t="s">
        <v>91</v>
      </c>
      <c r="KL2" s="750" t="s">
        <v>91</v>
      </c>
      <c r="KM2" s="750" t="s">
        <v>91</v>
      </c>
      <c r="KN2" s="750" t="s">
        <v>91</v>
      </c>
      <c r="KO2" s="750" t="s">
        <v>91</v>
      </c>
      <c r="KP2" s="750" t="s">
        <v>91</v>
      </c>
      <c r="KQ2" s="750" t="s">
        <v>91</v>
      </c>
      <c r="KR2" s="750" t="s">
        <v>91</v>
      </c>
      <c r="KS2" s="751" t="s">
        <v>91</v>
      </c>
      <c r="KT2" s="751" t="s">
        <v>91</v>
      </c>
      <c r="KU2" s="750" t="s">
        <v>77</v>
      </c>
      <c r="KV2" s="750" t="s">
        <v>77</v>
      </c>
      <c r="KW2" s="750" t="s">
        <v>77</v>
      </c>
      <c r="KX2" s="750" t="s">
        <v>77</v>
      </c>
      <c r="KY2" s="750" t="s">
        <v>77</v>
      </c>
      <c r="KZ2" s="750" t="s">
        <v>77</v>
      </c>
      <c r="LA2" s="750" t="s">
        <v>77</v>
      </c>
      <c r="LB2" s="750" t="s">
        <v>77</v>
      </c>
      <c r="LC2" s="750" t="s">
        <v>77</v>
      </c>
      <c r="LD2" s="750" t="s">
        <v>77</v>
      </c>
      <c r="LE2" s="750" t="s">
        <v>77</v>
      </c>
      <c r="LF2" s="750" t="s">
        <v>77</v>
      </c>
      <c r="LG2" s="750" t="s">
        <v>77</v>
      </c>
      <c r="LH2" s="750" t="s">
        <v>77</v>
      </c>
      <c r="LI2" s="751" t="s">
        <v>77</v>
      </c>
      <c r="LJ2" s="751" t="s">
        <v>77</v>
      </c>
      <c r="LK2" s="750" t="s">
        <v>38</v>
      </c>
      <c r="LL2" s="750" t="s">
        <v>38</v>
      </c>
      <c r="LM2" s="750" t="s">
        <v>38</v>
      </c>
      <c r="LN2" s="750" t="s">
        <v>38</v>
      </c>
      <c r="LO2" s="750" t="s">
        <v>38</v>
      </c>
      <c r="LP2" s="750" t="s">
        <v>38</v>
      </c>
      <c r="LQ2" s="750" t="s">
        <v>38</v>
      </c>
      <c r="LR2" s="750" t="s">
        <v>38</v>
      </c>
      <c r="LS2" s="750" t="s">
        <v>38</v>
      </c>
      <c r="LT2" s="750" t="s">
        <v>38</v>
      </c>
      <c r="LU2" s="750" t="s">
        <v>38</v>
      </c>
      <c r="LV2" s="750" t="s">
        <v>38</v>
      </c>
      <c r="LW2" s="750" t="s">
        <v>38</v>
      </c>
      <c r="LX2" s="750" t="s">
        <v>38</v>
      </c>
      <c r="LY2" s="751" t="s">
        <v>38</v>
      </c>
      <c r="LZ2" s="751" t="s">
        <v>38</v>
      </c>
      <c r="MA2" s="750" t="s">
        <v>76</v>
      </c>
      <c r="MB2" s="750" t="s">
        <v>76</v>
      </c>
      <c r="MC2" s="750" t="s">
        <v>76</v>
      </c>
      <c r="MD2" s="750" t="s">
        <v>76</v>
      </c>
      <c r="ME2" s="750" t="s">
        <v>76</v>
      </c>
      <c r="MF2" s="750" t="s">
        <v>76</v>
      </c>
      <c r="MG2" s="750" t="s">
        <v>76</v>
      </c>
      <c r="MH2" s="750" t="s">
        <v>76</v>
      </c>
      <c r="MI2" s="750" t="s">
        <v>76</v>
      </c>
      <c r="MJ2" s="750" t="s">
        <v>76</v>
      </c>
      <c r="MK2" s="750" t="s">
        <v>76</v>
      </c>
      <c r="ML2" s="750" t="s">
        <v>76</v>
      </c>
      <c r="MM2" s="750" t="s">
        <v>76</v>
      </c>
      <c r="MN2" s="750" t="s">
        <v>76</v>
      </c>
      <c r="MO2" s="751" t="s">
        <v>76</v>
      </c>
      <c r="MP2" s="751" t="s">
        <v>76</v>
      </c>
      <c r="MQ2" s="750" t="s">
        <v>90</v>
      </c>
      <c r="MR2" s="750" t="s">
        <v>90</v>
      </c>
      <c r="MS2" s="750" t="s">
        <v>90</v>
      </c>
      <c r="MT2" s="750" t="s">
        <v>90</v>
      </c>
      <c r="MU2" s="750" t="s">
        <v>90</v>
      </c>
      <c r="MV2" s="750" t="s">
        <v>90</v>
      </c>
      <c r="MW2" s="750" t="s">
        <v>90</v>
      </c>
      <c r="MX2" s="750" t="s">
        <v>90</v>
      </c>
      <c r="MY2" s="750" t="s">
        <v>90</v>
      </c>
      <c r="MZ2" s="750" t="s">
        <v>90</v>
      </c>
      <c r="NA2" s="750" t="s">
        <v>90</v>
      </c>
      <c r="NB2" s="750" t="s">
        <v>90</v>
      </c>
      <c r="NC2" s="750" t="s">
        <v>90</v>
      </c>
      <c r="ND2" s="750" t="s">
        <v>90</v>
      </c>
      <c r="NE2" s="751" t="s">
        <v>90</v>
      </c>
      <c r="NF2" s="751" t="s">
        <v>90</v>
      </c>
      <c r="NG2" s="750" t="s">
        <v>78</v>
      </c>
      <c r="NH2" s="750" t="s">
        <v>78</v>
      </c>
      <c r="NI2" s="750" t="s">
        <v>78</v>
      </c>
      <c r="NJ2" s="750" t="s">
        <v>78</v>
      </c>
      <c r="NK2" s="750" t="s">
        <v>78</v>
      </c>
      <c r="NL2" s="750" t="s">
        <v>78</v>
      </c>
      <c r="NM2" s="750" t="s">
        <v>78</v>
      </c>
      <c r="NN2" s="750" t="s">
        <v>78</v>
      </c>
      <c r="NO2" s="750" t="s">
        <v>78</v>
      </c>
      <c r="NP2" s="750" t="s">
        <v>78</v>
      </c>
      <c r="NQ2" s="750" t="s">
        <v>78</v>
      </c>
      <c r="NR2" s="750" t="s">
        <v>78</v>
      </c>
      <c r="NS2" s="750" t="s">
        <v>78</v>
      </c>
      <c r="NT2" s="750" t="s">
        <v>78</v>
      </c>
      <c r="NU2" s="751" t="s">
        <v>78</v>
      </c>
      <c r="NV2" s="751" t="s">
        <v>78</v>
      </c>
      <c r="NW2" s="750" t="s">
        <v>75</v>
      </c>
      <c r="NX2" s="750" t="s">
        <v>75</v>
      </c>
      <c r="NY2" s="750" t="s">
        <v>75</v>
      </c>
      <c r="NZ2" s="750" t="s">
        <v>75</v>
      </c>
      <c r="OA2" s="750" t="s">
        <v>75</v>
      </c>
      <c r="OB2" s="750" t="s">
        <v>75</v>
      </c>
      <c r="OC2" s="750" t="s">
        <v>75</v>
      </c>
      <c r="OD2" s="750" t="s">
        <v>75</v>
      </c>
      <c r="OE2" s="750" t="s">
        <v>75</v>
      </c>
      <c r="OF2" s="750" t="s">
        <v>75</v>
      </c>
      <c r="OG2" s="750" t="s">
        <v>75</v>
      </c>
      <c r="OH2" s="750" t="s">
        <v>75</v>
      </c>
      <c r="OI2" s="750" t="s">
        <v>75</v>
      </c>
      <c r="OJ2" s="750" t="s">
        <v>75</v>
      </c>
      <c r="OK2" s="751" t="s">
        <v>75</v>
      </c>
      <c r="OL2" s="751" t="s">
        <v>75</v>
      </c>
      <c r="OM2" s="750" t="s">
        <v>92</v>
      </c>
      <c r="ON2" s="750" t="s">
        <v>92</v>
      </c>
      <c r="OO2" s="750" t="s">
        <v>92</v>
      </c>
      <c r="OP2" s="750" t="s">
        <v>92</v>
      </c>
      <c r="OQ2" s="750" t="s">
        <v>92</v>
      </c>
      <c r="OR2" s="750" t="s">
        <v>92</v>
      </c>
      <c r="OS2" s="750" t="s">
        <v>92</v>
      </c>
      <c r="OT2" s="750" t="s">
        <v>92</v>
      </c>
      <c r="OU2" s="750" t="s">
        <v>92</v>
      </c>
      <c r="OV2" s="750" t="s">
        <v>92</v>
      </c>
      <c r="OW2" s="750" t="s">
        <v>92</v>
      </c>
      <c r="OX2" s="750" t="s">
        <v>92</v>
      </c>
      <c r="OY2" s="750" t="s">
        <v>92</v>
      </c>
      <c r="OZ2" s="750" t="s">
        <v>92</v>
      </c>
      <c r="PA2" s="751" t="s">
        <v>92</v>
      </c>
      <c r="PB2" s="751" t="s">
        <v>92</v>
      </c>
      <c r="PC2" s="750" t="s">
        <v>39</v>
      </c>
      <c r="PD2" s="750" t="s">
        <v>39</v>
      </c>
      <c r="PE2" s="750" t="s">
        <v>39</v>
      </c>
      <c r="PF2" s="750" t="s">
        <v>39</v>
      </c>
      <c r="PG2" s="750" t="s">
        <v>39</v>
      </c>
      <c r="PH2" s="750" t="s">
        <v>39</v>
      </c>
      <c r="PI2" s="750" t="s">
        <v>39</v>
      </c>
      <c r="PJ2" s="750" t="s">
        <v>39</v>
      </c>
      <c r="PK2" s="750" t="s">
        <v>39</v>
      </c>
      <c r="PL2" s="750" t="s">
        <v>39</v>
      </c>
      <c r="PM2" s="750" t="s">
        <v>39</v>
      </c>
      <c r="PN2" s="750" t="s">
        <v>39</v>
      </c>
      <c r="PO2" s="750" t="s">
        <v>39</v>
      </c>
      <c r="PP2" s="750" t="s">
        <v>39</v>
      </c>
      <c r="PQ2" s="751" t="s">
        <v>39</v>
      </c>
      <c r="PR2" s="751" t="s">
        <v>39</v>
      </c>
      <c r="PS2" s="750" t="s">
        <v>86</v>
      </c>
      <c r="PT2" s="750" t="s">
        <v>86</v>
      </c>
      <c r="PU2" s="750" t="s">
        <v>86</v>
      </c>
      <c r="PV2" s="750" t="s">
        <v>86</v>
      </c>
      <c r="PW2" s="750" t="s">
        <v>86</v>
      </c>
      <c r="PX2" s="750" t="s">
        <v>86</v>
      </c>
      <c r="PY2" s="750" t="s">
        <v>86</v>
      </c>
      <c r="PZ2" s="750" t="s">
        <v>86</v>
      </c>
      <c r="QA2" s="750" t="s">
        <v>86</v>
      </c>
      <c r="QB2" s="750" t="s">
        <v>86</v>
      </c>
      <c r="QC2" s="750" t="s">
        <v>86</v>
      </c>
      <c r="QD2" s="750" t="s">
        <v>86</v>
      </c>
      <c r="QE2" s="750" t="s">
        <v>86</v>
      </c>
      <c r="QF2" s="750" t="s">
        <v>86</v>
      </c>
      <c r="QG2" s="751" t="s">
        <v>86</v>
      </c>
      <c r="QH2" s="751" t="s">
        <v>86</v>
      </c>
      <c r="QI2" s="750" t="s">
        <v>40</v>
      </c>
      <c r="QJ2" s="750" t="s">
        <v>40</v>
      </c>
      <c r="QK2" s="750" t="s">
        <v>40</v>
      </c>
      <c r="QL2" s="750" t="s">
        <v>40</v>
      </c>
      <c r="QM2" s="750" t="s">
        <v>40</v>
      </c>
      <c r="QN2" s="750" t="s">
        <v>40</v>
      </c>
      <c r="QO2" s="750" t="s">
        <v>40</v>
      </c>
      <c r="QP2" s="750" t="s">
        <v>40</v>
      </c>
      <c r="QQ2" s="750" t="s">
        <v>40</v>
      </c>
      <c r="QR2" s="750" t="s">
        <v>40</v>
      </c>
      <c r="QS2" s="750" t="s">
        <v>40</v>
      </c>
      <c r="QT2" s="750" t="s">
        <v>40</v>
      </c>
      <c r="QU2" s="750" t="s">
        <v>40</v>
      </c>
      <c r="QV2" s="750" t="s">
        <v>40</v>
      </c>
      <c r="QW2" s="751" t="s">
        <v>40</v>
      </c>
      <c r="QX2" s="751" t="s">
        <v>40</v>
      </c>
      <c r="QY2" s="750" t="s">
        <v>101</v>
      </c>
      <c r="QZ2" s="750" t="s">
        <v>101</v>
      </c>
      <c r="RA2" s="750" t="s">
        <v>101</v>
      </c>
      <c r="RB2" s="750" t="s">
        <v>101</v>
      </c>
      <c r="RC2" s="750" t="s">
        <v>101</v>
      </c>
      <c r="RD2" s="750" t="s">
        <v>101</v>
      </c>
      <c r="RE2" s="750" t="s">
        <v>101</v>
      </c>
      <c r="RF2" s="750" t="s">
        <v>101</v>
      </c>
      <c r="RG2" s="750" t="s">
        <v>101</v>
      </c>
      <c r="RH2" s="750" t="s">
        <v>101</v>
      </c>
      <c r="RI2" s="750" t="s">
        <v>101</v>
      </c>
      <c r="RJ2" s="750" t="s">
        <v>101</v>
      </c>
      <c r="RK2" s="750" t="s">
        <v>101</v>
      </c>
      <c r="RL2" s="750" t="s">
        <v>101</v>
      </c>
      <c r="RM2" s="751" t="s">
        <v>101</v>
      </c>
      <c r="RN2" s="751" t="s">
        <v>101</v>
      </c>
      <c r="RO2" s="750" t="s">
        <v>94</v>
      </c>
      <c r="RP2" s="750" t="s">
        <v>94</v>
      </c>
      <c r="RQ2" s="750" t="s">
        <v>94</v>
      </c>
      <c r="RR2" s="750" t="s">
        <v>94</v>
      </c>
      <c r="RS2" s="750" t="s">
        <v>94</v>
      </c>
      <c r="RT2" s="750" t="s">
        <v>94</v>
      </c>
      <c r="RU2" s="750" t="s">
        <v>94</v>
      </c>
      <c r="RV2" s="750" t="s">
        <v>94</v>
      </c>
      <c r="RW2" s="750" t="s">
        <v>94</v>
      </c>
      <c r="RX2" s="750" t="s">
        <v>94</v>
      </c>
      <c r="RY2" s="750" t="s">
        <v>94</v>
      </c>
      <c r="RZ2" s="750" t="s">
        <v>94</v>
      </c>
      <c r="SA2" s="750" t="s">
        <v>94</v>
      </c>
      <c r="SB2" s="750" t="s">
        <v>94</v>
      </c>
      <c r="SC2" s="751" t="s">
        <v>94</v>
      </c>
      <c r="SD2" s="751" t="s">
        <v>94</v>
      </c>
      <c r="SE2" s="750" t="s">
        <v>93</v>
      </c>
      <c r="SF2" s="750" t="s">
        <v>93</v>
      </c>
      <c r="SG2" s="750" t="s">
        <v>93</v>
      </c>
      <c r="SH2" s="750" t="s">
        <v>93</v>
      </c>
      <c r="SI2" s="750" t="s">
        <v>93</v>
      </c>
      <c r="SJ2" s="750" t="s">
        <v>93</v>
      </c>
      <c r="SK2" s="750" t="s">
        <v>93</v>
      </c>
      <c r="SL2" s="750" t="s">
        <v>93</v>
      </c>
      <c r="SM2" s="750" t="s">
        <v>93</v>
      </c>
      <c r="SN2" s="750" t="s">
        <v>93</v>
      </c>
      <c r="SO2" s="750" t="s">
        <v>93</v>
      </c>
      <c r="SP2" s="750" t="s">
        <v>93</v>
      </c>
      <c r="SQ2" s="750" t="s">
        <v>93</v>
      </c>
      <c r="SR2" s="750" t="s">
        <v>93</v>
      </c>
      <c r="SS2" s="751" t="s">
        <v>93</v>
      </c>
      <c r="ST2" s="751" t="s">
        <v>93</v>
      </c>
      <c r="SU2" s="750" t="s">
        <v>99</v>
      </c>
      <c r="SV2" s="750" t="s">
        <v>99</v>
      </c>
      <c r="SW2" s="750" t="s">
        <v>99</v>
      </c>
      <c r="SX2" s="750" t="s">
        <v>99</v>
      </c>
      <c r="SY2" s="750" t="s">
        <v>99</v>
      </c>
      <c r="SZ2" s="750" t="s">
        <v>99</v>
      </c>
      <c r="TA2" s="750" t="s">
        <v>99</v>
      </c>
      <c r="TB2" s="750" t="s">
        <v>99</v>
      </c>
      <c r="TC2" s="750" t="s">
        <v>99</v>
      </c>
      <c r="TD2" s="750" t="s">
        <v>99</v>
      </c>
      <c r="TE2" s="750" t="s">
        <v>99</v>
      </c>
      <c r="TF2" s="750" t="s">
        <v>99</v>
      </c>
      <c r="TG2" s="750" t="s">
        <v>99</v>
      </c>
      <c r="TH2" s="750" t="s">
        <v>99</v>
      </c>
      <c r="TI2" s="751" t="s">
        <v>99</v>
      </c>
      <c r="TJ2" s="751" t="s">
        <v>99</v>
      </c>
      <c r="TK2" s="750" t="s">
        <v>95</v>
      </c>
      <c r="TL2" s="750" t="s">
        <v>95</v>
      </c>
      <c r="TM2" s="750" t="s">
        <v>95</v>
      </c>
      <c r="TN2" s="750" t="s">
        <v>95</v>
      </c>
      <c r="TO2" s="750" t="s">
        <v>95</v>
      </c>
      <c r="TP2" s="750" t="s">
        <v>95</v>
      </c>
      <c r="TQ2" s="750" t="s">
        <v>95</v>
      </c>
      <c r="TR2" s="750" t="s">
        <v>95</v>
      </c>
      <c r="TS2" s="750" t="s">
        <v>95</v>
      </c>
      <c r="TT2" s="750" t="s">
        <v>95</v>
      </c>
      <c r="TU2" s="750" t="s">
        <v>95</v>
      </c>
      <c r="TV2" s="750" t="s">
        <v>95</v>
      </c>
      <c r="TW2" s="750" t="s">
        <v>95</v>
      </c>
      <c r="TX2" s="750" t="s">
        <v>95</v>
      </c>
      <c r="TY2" s="751" t="s">
        <v>95</v>
      </c>
      <c r="TZ2" s="751" t="s">
        <v>95</v>
      </c>
      <c r="UA2" s="750" t="s">
        <v>98</v>
      </c>
      <c r="UB2" s="750" t="s">
        <v>98</v>
      </c>
      <c r="UC2" s="750" t="s">
        <v>98</v>
      </c>
      <c r="UD2" s="750" t="s">
        <v>98</v>
      </c>
      <c r="UE2" s="750" t="s">
        <v>98</v>
      </c>
      <c r="UF2" s="750" t="s">
        <v>98</v>
      </c>
      <c r="UG2" s="750" t="s">
        <v>98</v>
      </c>
      <c r="UH2" s="750" t="s">
        <v>98</v>
      </c>
      <c r="UI2" s="750" t="s">
        <v>98</v>
      </c>
      <c r="UJ2" s="750" t="s">
        <v>98</v>
      </c>
      <c r="UK2" s="750" t="s">
        <v>98</v>
      </c>
      <c r="UL2" s="750" t="s">
        <v>98</v>
      </c>
      <c r="UM2" s="750" t="s">
        <v>98</v>
      </c>
      <c r="UN2" s="750" t="s">
        <v>98</v>
      </c>
      <c r="UO2" s="751" t="s">
        <v>98</v>
      </c>
      <c r="UP2" s="751" t="s">
        <v>98</v>
      </c>
      <c r="UQ2" s="750" t="s">
        <v>97</v>
      </c>
      <c r="UR2" s="750" t="s">
        <v>97</v>
      </c>
      <c r="US2" s="750" t="s">
        <v>97</v>
      </c>
      <c r="UT2" s="750" t="s">
        <v>97</v>
      </c>
      <c r="UU2" s="750" t="s">
        <v>97</v>
      </c>
      <c r="UV2" s="750" t="s">
        <v>97</v>
      </c>
      <c r="UW2" s="750" t="s">
        <v>97</v>
      </c>
      <c r="UX2" s="750" t="s">
        <v>97</v>
      </c>
      <c r="UY2" s="750" t="s">
        <v>97</v>
      </c>
      <c r="UZ2" s="750" t="s">
        <v>97</v>
      </c>
      <c r="VA2" s="750" t="s">
        <v>97</v>
      </c>
      <c r="VB2" s="750" t="s">
        <v>97</v>
      </c>
      <c r="VC2" s="750" t="s">
        <v>97</v>
      </c>
      <c r="VD2" s="750" t="s">
        <v>97</v>
      </c>
      <c r="VE2" s="751" t="s">
        <v>97</v>
      </c>
      <c r="VF2" s="751" t="s">
        <v>97</v>
      </c>
      <c r="VG2" s="750" t="s">
        <v>96</v>
      </c>
      <c r="VH2" s="750" t="s">
        <v>96</v>
      </c>
      <c r="VI2" s="750" t="s">
        <v>96</v>
      </c>
      <c r="VJ2" s="750" t="s">
        <v>96</v>
      </c>
      <c r="VK2" s="750" t="s">
        <v>96</v>
      </c>
      <c r="VL2" s="750" t="s">
        <v>96</v>
      </c>
      <c r="VM2" s="750" t="s">
        <v>96</v>
      </c>
      <c r="VN2" s="750" t="s">
        <v>96</v>
      </c>
      <c r="VO2" s="750" t="s">
        <v>96</v>
      </c>
      <c r="VP2" s="750" t="s">
        <v>96</v>
      </c>
      <c r="VQ2" s="750" t="s">
        <v>96</v>
      </c>
      <c r="VR2" s="750" t="s">
        <v>96</v>
      </c>
      <c r="VS2" s="750" t="s">
        <v>96</v>
      </c>
      <c r="VT2" s="750" t="s">
        <v>96</v>
      </c>
      <c r="VU2" s="751" t="s">
        <v>96</v>
      </c>
      <c r="VV2" s="751" t="s">
        <v>96</v>
      </c>
      <c r="VW2" s="750" t="s">
        <v>100</v>
      </c>
      <c r="VX2" s="750" t="s">
        <v>100</v>
      </c>
      <c r="VY2" s="750" t="s">
        <v>100</v>
      </c>
      <c r="VZ2" s="750" t="s">
        <v>100</v>
      </c>
      <c r="WA2" s="750" t="s">
        <v>100</v>
      </c>
      <c r="WB2" s="750" t="s">
        <v>100</v>
      </c>
      <c r="WC2" s="750" t="s">
        <v>100</v>
      </c>
      <c r="WD2" s="750" t="s">
        <v>100</v>
      </c>
      <c r="WE2" s="750" t="s">
        <v>100</v>
      </c>
      <c r="WF2" s="750" t="s">
        <v>100</v>
      </c>
      <c r="WG2" s="750" t="s">
        <v>100</v>
      </c>
      <c r="WH2" s="750" t="s">
        <v>100</v>
      </c>
      <c r="WI2" s="750" t="s">
        <v>100</v>
      </c>
      <c r="WJ2" s="750" t="s">
        <v>100</v>
      </c>
      <c r="WK2" s="760" t="s">
        <v>100</v>
      </c>
      <c r="WL2" s="760" t="s">
        <v>100</v>
      </c>
      <c r="WM2" s="752"/>
      <c r="XB2" s="761" t="s">
        <v>165</v>
      </c>
      <c r="XC2" s="761"/>
      <c r="XD2" s="752"/>
      <c r="XE2" s="751"/>
      <c r="XF2" s="751"/>
      <c r="XG2" s="752"/>
      <c r="XH2" s="751"/>
      <c r="XI2" s="751"/>
      <c r="XJ2" s="752"/>
      <c r="XR2" s="761" t="s">
        <v>165</v>
      </c>
      <c r="XS2" s="752"/>
      <c r="YA2" s="761" t="s">
        <v>165</v>
      </c>
    </row>
    <row r="3" spans="1:1017" s="750" customFormat="1">
      <c r="A3" s="188" t="s">
        <v>28</v>
      </c>
      <c r="B3" s="750">
        <f>XC11</f>
        <v>21538229550.790455</v>
      </c>
      <c r="C3" s="750" t="s">
        <v>89</v>
      </c>
      <c r="E3" s="750" t="s">
        <v>89</v>
      </c>
      <c r="G3" s="750" t="s">
        <v>89</v>
      </c>
      <c r="I3" s="750" t="s">
        <v>89</v>
      </c>
      <c r="K3" s="750" t="s">
        <v>89</v>
      </c>
      <c r="M3" s="750" t="s">
        <v>89</v>
      </c>
      <c r="O3" s="750" t="s">
        <v>89</v>
      </c>
      <c r="Q3" s="751" t="s">
        <v>89</v>
      </c>
      <c r="R3" s="751"/>
      <c r="S3" s="750" t="s">
        <v>73</v>
      </c>
      <c r="U3" s="750" t="s">
        <v>73</v>
      </c>
      <c r="W3" s="750" t="s">
        <v>73</v>
      </c>
      <c r="Y3" s="750" t="s">
        <v>73</v>
      </c>
      <c r="AA3" s="750" t="s">
        <v>73</v>
      </c>
      <c r="AC3" s="750" t="s">
        <v>73</v>
      </c>
      <c r="AE3" s="750" t="s">
        <v>73</v>
      </c>
      <c r="AG3" s="751" t="s">
        <v>73</v>
      </c>
      <c r="AH3" s="751"/>
      <c r="AI3" s="750" t="s">
        <v>68</v>
      </c>
      <c r="AK3" s="750" t="s">
        <v>68</v>
      </c>
      <c r="AM3" s="750" t="s">
        <v>68</v>
      </c>
      <c r="AO3" s="750" t="s">
        <v>68</v>
      </c>
      <c r="AQ3" s="750" t="s">
        <v>68</v>
      </c>
      <c r="AS3" s="750" t="s">
        <v>68</v>
      </c>
      <c r="AU3" s="750" t="s">
        <v>68</v>
      </c>
      <c r="AW3" s="751" t="s">
        <v>68</v>
      </c>
      <c r="AX3" s="751"/>
      <c r="AY3" s="750" t="s">
        <v>85</v>
      </c>
      <c r="BA3" s="750" t="s">
        <v>85</v>
      </c>
      <c r="BC3" s="750" t="s">
        <v>85</v>
      </c>
      <c r="BE3" s="750" t="s">
        <v>85</v>
      </c>
      <c r="BG3" s="750" t="s">
        <v>85</v>
      </c>
      <c r="BI3" s="750" t="s">
        <v>85</v>
      </c>
      <c r="BK3" s="750" t="s">
        <v>85</v>
      </c>
      <c r="BM3" s="751" t="s">
        <v>85</v>
      </c>
      <c r="BN3" s="751"/>
      <c r="BO3" s="750" t="s">
        <v>74</v>
      </c>
      <c r="BQ3" s="750" t="s">
        <v>74</v>
      </c>
      <c r="BS3" s="750" t="s">
        <v>74</v>
      </c>
      <c r="BU3" s="750" t="s">
        <v>74</v>
      </c>
      <c r="BW3" s="750" t="s">
        <v>74</v>
      </c>
      <c r="BY3" s="750" t="s">
        <v>74</v>
      </c>
      <c r="CA3" s="750" t="s">
        <v>74</v>
      </c>
      <c r="CC3" s="751" t="s">
        <v>74</v>
      </c>
      <c r="CD3" s="751"/>
      <c r="CE3" s="750" t="s">
        <v>88</v>
      </c>
      <c r="CG3" s="750" t="s">
        <v>88</v>
      </c>
      <c r="CI3" s="750" t="s">
        <v>88</v>
      </c>
      <c r="CK3" s="750" t="s">
        <v>88</v>
      </c>
      <c r="CM3" s="750" t="s">
        <v>88</v>
      </c>
      <c r="CO3" s="750" t="s">
        <v>88</v>
      </c>
      <c r="CQ3" s="750" t="s">
        <v>88</v>
      </c>
      <c r="CS3" s="751" t="s">
        <v>88</v>
      </c>
      <c r="CT3" s="751"/>
      <c r="CU3" s="750" t="s">
        <v>72</v>
      </c>
      <c r="CW3" s="750" t="s">
        <v>72</v>
      </c>
      <c r="CY3" s="750" t="s">
        <v>72</v>
      </c>
      <c r="DA3" s="750" t="s">
        <v>72</v>
      </c>
      <c r="DC3" s="750" t="s">
        <v>72</v>
      </c>
      <c r="DE3" s="750" t="s">
        <v>72</v>
      </c>
      <c r="DG3" s="750" t="s">
        <v>72</v>
      </c>
      <c r="DI3" s="751" t="s">
        <v>72</v>
      </c>
      <c r="DJ3" s="751"/>
      <c r="DK3" s="750" t="s">
        <v>80</v>
      </c>
      <c r="DM3" s="750" t="s">
        <v>80</v>
      </c>
      <c r="DO3" s="750" t="s">
        <v>80</v>
      </c>
      <c r="DQ3" s="750" t="s">
        <v>80</v>
      </c>
      <c r="DS3" s="750" t="s">
        <v>80</v>
      </c>
      <c r="DU3" s="750" t="s">
        <v>80</v>
      </c>
      <c r="DW3" s="750" t="s">
        <v>80</v>
      </c>
      <c r="DY3" s="751" t="s">
        <v>80</v>
      </c>
      <c r="DZ3" s="751"/>
      <c r="EA3" s="750" t="s">
        <v>69</v>
      </c>
      <c r="EC3" s="750" t="s">
        <v>69</v>
      </c>
      <c r="EE3" s="750" t="s">
        <v>69</v>
      </c>
      <c r="EG3" s="750" t="s">
        <v>69</v>
      </c>
      <c r="EI3" s="750" t="s">
        <v>69</v>
      </c>
      <c r="EK3" s="750" t="s">
        <v>69</v>
      </c>
      <c r="EM3" s="750" t="s">
        <v>69</v>
      </c>
      <c r="EO3" s="751" t="s">
        <v>69</v>
      </c>
      <c r="EP3" s="751"/>
      <c r="EQ3" s="750" t="s">
        <v>87</v>
      </c>
      <c r="ES3" s="750" t="s">
        <v>87</v>
      </c>
      <c r="EU3" s="750" t="s">
        <v>87</v>
      </c>
      <c r="EW3" s="750" t="s">
        <v>87</v>
      </c>
      <c r="EY3" s="750" t="s">
        <v>87</v>
      </c>
      <c r="FA3" s="750" t="s">
        <v>87</v>
      </c>
      <c r="FC3" s="750" t="s">
        <v>87</v>
      </c>
      <c r="FE3" s="751" t="s">
        <v>87</v>
      </c>
      <c r="FF3" s="751"/>
      <c r="FG3" s="750" t="s">
        <v>71</v>
      </c>
      <c r="FI3" s="750" t="s">
        <v>71</v>
      </c>
      <c r="FK3" s="750" t="s">
        <v>71</v>
      </c>
      <c r="FM3" s="750" t="s">
        <v>71</v>
      </c>
      <c r="FO3" s="750" t="s">
        <v>71</v>
      </c>
      <c r="FQ3" s="750" t="s">
        <v>71</v>
      </c>
      <c r="FS3" s="750" t="s">
        <v>71</v>
      </c>
      <c r="FU3" s="751" t="s">
        <v>71</v>
      </c>
      <c r="FV3" s="751"/>
      <c r="FW3" s="750" t="s">
        <v>82</v>
      </c>
      <c r="FY3" s="750" t="s">
        <v>82</v>
      </c>
      <c r="GA3" s="750" t="s">
        <v>82</v>
      </c>
      <c r="GC3" s="750" t="s">
        <v>82</v>
      </c>
      <c r="GE3" s="750" t="s">
        <v>82</v>
      </c>
      <c r="GG3" s="750" t="s">
        <v>82</v>
      </c>
      <c r="GI3" s="750" t="s">
        <v>82</v>
      </c>
      <c r="GK3" s="751" t="s">
        <v>82</v>
      </c>
      <c r="GL3" s="751"/>
      <c r="GM3" s="750" t="s">
        <v>83</v>
      </c>
      <c r="GO3" s="750" t="s">
        <v>83</v>
      </c>
      <c r="GQ3" s="750" t="s">
        <v>83</v>
      </c>
      <c r="GS3" s="750" t="s">
        <v>83</v>
      </c>
      <c r="GU3" s="750" t="s">
        <v>83</v>
      </c>
      <c r="GW3" s="750" t="s">
        <v>83</v>
      </c>
      <c r="GY3" s="750" t="s">
        <v>83</v>
      </c>
      <c r="HA3" s="751" t="s">
        <v>83</v>
      </c>
      <c r="HB3" s="751"/>
      <c r="HC3" s="750" t="s">
        <v>70</v>
      </c>
      <c r="HE3" s="750" t="s">
        <v>70</v>
      </c>
      <c r="HG3" s="750" t="s">
        <v>70</v>
      </c>
      <c r="HI3" s="750" t="s">
        <v>70</v>
      </c>
      <c r="HK3" s="750" t="s">
        <v>70</v>
      </c>
      <c r="HM3" s="750" t="s">
        <v>70</v>
      </c>
      <c r="HO3" s="750" t="s">
        <v>70</v>
      </c>
      <c r="HQ3" s="751" t="s">
        <v>70</v>
      </c>
      <c r="HR3" s="751"/>
      <c r="HS3" s="750" t="s">
        <v>79</v>
      </c>
      <c r="HU3" s="750" t="s">
        <v>79</v>
      </c>
      <c r="HW3" s="750" t="s">
        <v>79</v>
      </c>
      <c r="HY3" s="750" t="s">
        <v>79</v>
      </c>
      <c r="IA3" s="750" t="s">
        <v>79</v>
      </c>
      <c r="IC3" s="750" t="s">
        <v>79</v>
      </c>
      <c r="IE3" s="750" t="s">
        <v>79</v>
      </c>
      <c r="IG3" s="751" t="s">
        <v>79</v>
      </c>
      <c r="IH3" s="751"/>
      <c r="II3" s="750" t="s">
        <v>81</v>
      </c>
      <c r="IK3" s="750" t="s">
        <v>81</v>
      </c>
      <c r="IM3" s="750" t="s">
        <v>81</v>
      </c>
      <c r="IO3" s="750" t="s">
        <v>81</v>
      </c>
      <c r="IQ3" s="750" t="s">
        <v>81</v>
      </c>
      <c r="IS3" s="750" t="s">
        <v>81</v>
      </c>
      <c r="IU3" s="750" t="s">
        <v>81</v>
      </c>
      <c r="IW3" s="751" t="s">
        <v>81</v>
      </c>
      <c r="IX3" s="751"/>
      <c r="IY3" s="750" t="s">
        <v>84</v>
      </c>
      <c r="JA3" s="750" t="s">
        <v>84</v>
      </c>
      <c r="JC3" s="750" t="s">
        <v>84</v>
      </c>
      <c r="JE3" s="750" t="s">
        <v>84</v>
      </c>
      <c r="JG3" s="750" t="s">
        <v>84</v>
      </c>
      <c r="JI3" s="750" t="s">
        <v>84</v>
      </c>
      <c r="JK3" s="750" t="s">
        <v>84</v>
      </c>
      <c r="JM3" s="751" t="s">
        <v>84</v>
      </c>
      <c r="JN3" s="751"/>
      <c r="JO3" s="750" t="s">
        <v>36</v>
      </c>
      <c r="JQ3" s="750" t="s">
        <v>36</v>
      </c>
      <c r="JS3" s="750" t="s">
        <v>36</v>
      </c>
      <c r="JU3" s="750" t="s">
        <v>36</v>
      </c>
      <c r="JW3" s="750" t="s">
        <v>36</v>
      </c>
      <c r="JY3" s="750" t="s">
        <v>36</v>
      </c>
      <c r="KA3" s="750" t="s">
        <v>36</v>
      </c>
      <c r="KC3" s="751" t="s">
        <v>36</v>
      </c>
      <c r="KD3" s="751"/>
      <c r="KE3" s="750" t="s">
        <v>91</v>
      </c>
      <c r="KG3" s="750" t="s">
        <v>91</v>
      </c>
      <c r="KI3" s="750" t="s">
        <v>91</v>
      </c>
      <c r="KK3" s="750" t="s">
        <v>91</v>
      </c>
      <c r="KM3" s="750" t="s">
        <v>91</v>
      </c>
      <c r="KO3" s="750" t="s">
        <v>91</v>
      </c>
      <c r="KQ3" s="750" t="s">
        <v>91</v>
      </c>
      <c r="KS3" s="751" t="s">
        <v>91</v>
      </c>
      <c r="KT3" s="751"/>
      <c r="KU3" s="750" t="s">
        <v>77</v>
      </c>
      <c r="KW3" s="750" t="s">
        <v>77</v>
      </c>
      <c r="KY3" s="750" t="s">
        <v>77</v>
      </c>
      <c r="LA3" s="750" t="s">
        <v>77</v>
      </c>
      <c r="LC3" s="750" t="s">
        <v>77</v>
      </c>
      <c r="LE3" s="750" t="s">
        <v>77</v>
      </c>
      <c r="LG3" s="750" t="s">
        <v>77</v>
      </c>
      <c r="LI3" s="751" t="s">
        <v>77</v>
      </c>
      <c r="LJ3" s="751"/>
      <c r="LK3" s="750" t="s">
        <v>38</v>
      </c>
      <c r="LM3" s="750" t="s">
        <v>38</v>
      </c>
      <c r="LO3" s="750" t="s">
        <v>38</v>
      </c>
      <c r="LQ3" s="750" t="s">
        <v>38</v>
      </c>
      <c r="LS3" s="750" t="s">
        <v>38</v>
      </c>
      <c r="LU3" s="750" t="s">
        <v>38</v>
      </c>
      <c r="LW3" s="750" t="s">
        <v>38</v>
      </c>
      <c r="LY3" s="751" t="s">
        <v>38</v>
      </c>
      <c r="LZ3" s="751"/>
      <c r="MA3" s="750" t="s">
        <v>76</v>
      </c>
      <c r="MC3" s="750" t="s">
        <v>76</v>
      </c>
      <c r="ME3" s="750" t="s">
        <v>76</v>
      </c>
      <c r="MG3" s="750" t="s">
        <v>76</v>
      </c>
      <c r="MI3" s="750" t="s">
        <v>76</v>
      </c>
      <c r="MK3" s="750" t="s">
        <v>76</v>
      </c>
      <c r="MM3" s="750" t="s">
        <v>76</v>
      </c>
      <c r="MO3" s="751" t="s">
        <v>76</v>
      </c>
      <c r="MP3" s="751"/>
      <c r="MQ3" s="750" t="s">
        <v>90</v>
      </c>
      <c r="MS3" s="750" t="s">
        <v>90</v>
      </c>
      <c r="MU3" s="750" t="s">
        <v>90</v>
      </c>
      <c r="MW3" s="750" t="s">
        <v>90</v>
      </c>
      <c r="MY3" s="750" t="s">
        <v>90</v>
      </c>
      <c r="NA3" s="750" t="s">
        <v>90</v>
      </c>
      <c r="NC3" s="750" t="s">
        <v>90</v>
      </c>
      <c r="NE3" s="751" t="s">
        <v>90</v>
      </c>
      <c r="NF3" s="751"/>
      <c r="NG3" s="750" t="s">
        <v>78</v>
      </c>
      <c r="NI3" s="750" t="s">
        <v>78</v>
      </c>
      <c r="NK3" s="750" t="s">
        <v>78</v>
      </c>
      <c r="NM3" s="750" t="s">
        <v>78</v>
      </c>
      <c r="NO3" s="750" t="s">
        <v>78</v>
      </c>
      <c r="NQ3" s="750" t="s">
        <v>78</v>
      </c>
      <c r="NS3" s="750" t="s">
        <v>78</v>
      </c>
      <c r="NU3" s="751" t="s">
        <v>78</v>
      </c>
      <c r="NV3" s="751"/>
      <c r="NW3" s="750" t="s">
        <v>75</v>
      </c>
      <c r="NY3" s="750" t="s">
        <v>75</v>
      </c>
      <c r="OA3" s="750" t="s">
        <v>75</v>
      </c>
      <c r="OC3" s="750" t="s">
        <v>75</v>
      </c>
      <c r="OE3" s="750" t="s">
        <v>75</v>
      </c>
      <c r="OG3" s="750" t="s">
        <v>75</v>
      </c>
      <c r="OI3" s="750" t="s">
        <v>75</v>
      </c>
      <c r="OK3" s="751" t="s">
        <v>75</v>
      </c>
      <c r="OL3" s="751"/>
      <c r="OM3" s="750" t="s">
        <v>92</v>
      </c>
      <c r="OO3" s="750" t="s">
        <v>92</v>
      </c>
      <c r="OQ3" s="750" t="s">
        <v>92</v>
      </c>
      <c r="OS3" s="750" t="s">
        <v>92</v>
      </c>
      <c r="OU3" s="750" t="s">
        <v>92</v>
      </c>
      <c r="OW3" s="750" t="s">
        <v>92</v>
      </c>
      <c r="OY3" s="750" t="s">
        <v>92</v>
      </c>
      <c r="PA3" s="751" t="s">
        <v>92</v>
      </c>
      <c r="PB3" s="751"/>
      <c r="PC3" s="750" t="s">
        <v>39</v>
      </c>
      <c r="PE3" s="750" t="s">
        <v>39</v>
      </c>
      <c r="PG3" s="750" t="s">
        <v>39</v>
      </c>
      <c r="PI3" s="750" t="s">
        <v>39</v>
      </c>
      <c r="PK3" s="750" t="s">
        <v>39</v>
      </c>
      <c r="PM3" s="750" t="s">
        <v>39</v>
      </c>
      <c r="PO3" s="750" t="s">
        <v>39</v>
      </c>
      <c r="PQ3" s="751" t="s">
        <v>39</v>
      </c>
      <c r="PR3" s="751"/>
      <c r="PS3" s="750" t="s">
        <v>86</v>
      </c>
      <c r="PU3" s="750" t="s">
        <v>86</v>
      </c>
      <c r="PW3" s="750" t="s">
        <v>86</v>
      </c>
      <c r="PY3" s="750" t="s">
        <v>86</v>
      </c>
      <c r="QA3" s="750" t="s">
        <v>86</v>
      </c>
      <c r="QC3" s="750" t="s">
        <v>86</v>
      </c>
      <c r="QE3" s="750" t="s">
        <v>86</v>
      </c>
      <c r="QG3" s="751" t="s">
        <v>86</v>
      </c>
      <c r="QH3" s="751"/>
      <c r="QI3" s="750" t="s">
        <v>40</v>
      </c>
      <c r="QK3" s="750" t="s">
        <v>40</v>
      </c>
      <c r="QM3" s="750" t="s">
        <v>40</v>
      </c>
      <c r="QO3" s="750" t="s">
        <v>40</v>
      </c>
      <c r="QQ3" s="750" t="s">
        <v>40</v>
      </c>
      <c r="QS3" s="750" t="s">
        <v>40</v>
      </c>
      <c r="QU3" s="750" t="s">
        <v>40</v>
      </c>
      <c r="QW3" s="751" t="s">
        <v>40</v>
      </c>
      <c r="QX3" s="751"/>
      <c r="QY3" s="750" t="s">
        <v>101</v>
      </c>
      <c r="RA3" s="750" t="s">
        <v>101</v>
      </c>
      <c r="RC3" s="750" t="s">
        <v>101</v>
      </c>
      <c r="RE3" s="750" t="s">
        <v>101</v>
      </c>
      <c r="RG3" s="750" t="s">
        <v>101</v>
      </c>
      <c r="RI3" s="750" t="s">
        <v>101</v>
      </c>
      <c r="RK3" s="750" t="s">
        <v>101</v>
      </c>
      <c r="RM3" s="751" t="s">
        <v>101</v>
      </c>
      <c r="RN3" s="751"/>
      <c r="RO3" s="750" t="s">
        <v>94</v>
      </c>
      <c r="RQ3" s="750" t="s">
        <v>94</v>
      </c>
      <c r="RS3" s="750" t="s">
        <v>94</v>
      </c>
      <c r="RU3" s="750" t="s">
        <v>94</v>
      </c>
      <c r="RW3" s="750" t="s">
        <v>94</v>
      </c>
      <c r="RY3" s="750" t="s">
        <v>94</v>
      </c>
      <c r="SA3" s="750" t="s">
        <v>94</v>
      </c>
      <c r="SC3" s="751" t="s">
        <v>94</v>
      </c>
      <c r="SD3" s="751"/>
      <c r="SE3" s="750" t="s">
        <v>93</v>
      </c>
      <c r="SG3" s="750" t="s">
        <v>93</v>
      </c>
      <c r="SI3" s="750" t="s">
        <v>93</v>
      </c>
      <c r="SK3" s="750" t="s">
        <v>93</v>
      </c>
      <c r="SM3" s="750" t="s">
        <v>93</v>
      </c>
      <c r="SO3" s="750" t="s">
        <v>93</v>
      </c>
      <c r="SQ3" s="750" t="s">
        <v>93</v>
      </c>
      <c r="SS3" s="751" t="s">
        <v>93</v>
      </c>
      <c r="ST3" s="751"/>
      <c r="SU3" s="750" t="s">
        <v>99</v>
      </c>
      <c r="SW3" s="750" t="s">
        <v>99</v>
      </c>
      <c r="SY3" s="750" t="s">
        <v>99</v>
      </c>
      <c r="TA3" s="750" t="s">
        <v>99</v>
      </c>
      <c r="TC3" s="750" t="s">
        <v>99</v>
      </c>
      <c r="TE3" s="750" t="s">
        <v>99</v>
      </c>
      <c r="TG3" s="750" t="s">
        <v>99</v>
      </c>
      <c r="TI3" s="751" t="s">
        <v>99</v>
      </c>
      <c r="TJ3" s="751"/>
      <c r="TK3" s="750" t="s">
        <v>95</v>
      </c>
      <c r="TM3" s="750" t="s">
        <v>95</v>
      </c>
      <c r="TO3" s="750" t="s">
        <v>95</v>
      </c>
      <c r="TQ3" s="750" t="s">
        <v>95</v>
      </c>
      <c r="TS3" s="750" t="s">
        <v>95</v>
      </c>
      <c r="TU3" s="750" t="s">
        <v>95</v>
      </c>
      <c r="TW3" s="750" t="s">
        <v>95</v>
      </c>
      <c r="TY3" s="751" t="s">
        <v>95</v>
      </c>
      <c r="TZ3" s="751"/>
      <c r="UA3" s="750" t="s">
        <v>98</v>
      </c>
      <c r="UC3" s="750" t="s">
        <v>98</v>
      </c>
      <c r="UE3" s="750" t="s">
        <v>98</v>
      </c>
      <c r="UG3" s="750" t="s">
        <v>98</v>
      </c>
      <c r="UI3" s="750" t="s">
        <v>98</v>
      </c>
      <c r="UK3" s="750" t="s">
        <v>98</v>
      </c>
      <c r="UM3" s="750" t="s">
        <v>98</v>
      </c>
      <c r="UO3" s="751" t="s">
        <v>98</v>
      </c>
      <c r="UP3" s="751"/>
      <c r="UQ3" s="750" t="s">
        <v>97</v>
      </c>
      <c r="US3" s="750" t="s">
        <v>97</v>
      </c>
      <c r="UU3" s="750" t="s">
        <v>97</v>
      </c>
      <c r="UW3" s="750" t="s">
        <v>97</v>
      </c>
      <c r="UY3" s="750" t="s">
        <v>97</v>
      </c>
      <c r="VA3" s="750" t="s">
        <v>97</v>
      </c>
      <c r="VC3" s="750" t="s">
        <v>97</v>
      </c>
      <c r="VE3" s="751" t="s">
        <v>97</v>
      </c>
      <c r="VF3" s="751"/>
      <c r="VG3" s="750" t="s">
        <v>96</v>
      </c>
      <c r="VI3" s="750" t="s">
        <v>96</v>
      </c>
      <c r="VK3" s="750" t="s">
        <v>96</v>
      </c>
      <c r="VM3" s="750" t="s">
        <v>96</v>
      </c>
      <c r="VO3" s="750" t="s">
        <v>96</v>
      </c>
      <c r="VQ3" s="750" t="s">
        <v>96</v>
      </c>
      <c r="VS3" s="750" t="s">
        <v>96</v>
      </c>
      <c r="VU3" s="751" t="s">
        <v>96</v>
      </c>
      <c r="VV3" s="751"/>
      <c r="VW3" s="750" t="s">
        <v>100</v>
      </c>
      <c r="VY3" s="750" t="s">
        <v>100</v>
      </c>
      <c r="WA3" s="750" t="s">
        <v>100</v>
      </c>
      <c r="WC3" s="750" t="s">
        <v>100</v>
      </c>
      <c r="WE3" s="750" t="s">
        <v>100</v>
      </c>
      <c r="WG3" s="750" t="s">
        <v>100</v>
      </c>
      <c r="WI3" s="750" t="s">
        <v>100</v>
      </c>
      <c r="WK3" s="751" t="s">
        <v>100</v>
      </c>
      <c r="WM3" s="763"/>
      <c r="WN3" s="762"/>
      <c r="WO3" s="762"/>
      <c r="WP3" s="762"/>
      <c r="WQ3" s="762"/>
      <c r="WR3" s="762"/>
      <c r="WS3" s="762"/>
      <c r="WT3" s="762"/>
      <c r="WU3" s="762"/>
      <c r="WV3" s="762"/>
      <c r="WW3" s="762"/>
      <c r="WX3" s="762"/>
      <c r="WY3" s="762"/>
      <c r="WZ3" s="762"/>
      <c r="XA3" s="762"/>
      <c r="XB3" s="761" t="s">
        <v>165</v>
      </c>
      <c r="XC3" s="751"/>
      <c r="XD3" s="752"/>
      <c r="XE3" s="751" t="s">
        <v>165</v>
      </c>
      <c r="XF3" s="751"/>
      <c r="XG3" s="752"/>
      <c r="XH3" s="751" t="s">
        <v>165</v>
      </c>
      <c r="XI3" s="751"/>
      <c r="XJ3" s="752"/>
      <c r="XK3" s="762"/>
      <c r="XL3" s="762"/>
      <c r="XM3" s="762"/>
      <c r="XN3" s="762"/>
      <c r="XO3" s="762"/>
      <c r="XP3" s="762"/>
      <c r="XQ3" s="762"/>
      <c r="XR3" s="761" t="s">
        <v>165</v>
      </c>
      <c r="XS3" s="752"/>
      <c r="XT3" s="762"/>
      <c r="XU3" s="762"/>
      <c r="XV3" s="762"/>
      <c r="XW3" s="762"/>
      <c r="XX3" s="762"/>
      <c r="XY3" s="762"/>
      <c r="XZ3" s="762"/>
      <c r="YA3" s="761" t="s">
        <v>165</v>
      </c>
    </row>
    <row r="4" spans="1:1017" s="88" customFormat="1" ht="15.75" customHeight="1">
      <c r="A4" s="90"/>
      <c r="B4" s="192"/>
      <c r="C4" s="862" t="s">
        <v>34</v>
      </c>
      <c r="D4" s="862"/>
      <c r="E4" s="862" t="s">
        <v>31</v>
      </c>
      <c r="F4" s="862"/>
      <c r="G4" s="862" t="s">
        <v>558</v>
      </c>
      <c r="H4" s="862"/>
      <c r="I4" s="862" t="s">
        <v>32</v>
      </c>
      <c r="J4" s="862"/>
      <c r="K4" s="862" t="s">
        <v>561</v>
      </c>
      <c r="L4" s="862"/>
      <c r="M4" s="862" t="s">
        <v>33</v>
      </c>
      <c r="N4" s="862"/>
      <c r="O4" s="862" t="s">
        <v>35</v>
      </c>
      <c r="P4" s="862"/>
      <c r="Q4" s="863" t="s">
        <v>150</v>
      </c>
      <c r="R4" s="863"/>
      <c r="S4" s="862" t="s">
        <v>34</v>
      </c>
      <c r="T4" s="862"/>
      <c r="U4" s="862" t="s">
        <v>31</v>
      </c>
      <c r="V4" s="862"/>
      <c r="W4" s="862" t="s">
        <v>558</v>
      </c>
      <c r="X4" s="862"/>
      <c r="Y4" s="862" t="s">
        <v>32</v>
      </c>
      <c r="Z4" s="862"/>
      <c r="AA4" s="862" t="s">
        <v>561</v>
      </c>
      <c r="AB4" s="862"/>
      <c r="AC4" s="862" t="s">
        <v>33</v>
      </c>
      <c r="AD4" s="862"/>
      <c r="AE4" s="862" t="s">
        <v>35</v>
      </c>
      <c r="AF4" s="862"/>
      <c r="AG4" s="863" t="s">
        <v>150</v>
      </c>
      <c r="AH4" s="863"/>
      <c r="AI4" s="862" t="s">
        <v>34</v>
      </c>
      <c r="AJ4" s="862"/>
      <c r="AK4" s="862" t="s">
        <v>31</v>
      </c>
      <c r="AL4" s="862"/>
      <c r="AM4" s="862" t="s">
        <v>558</v>
      </c>
      <c r="AN4" s="862"/>
      <c r="AO4" s="862" t="s">
        <v>32</v>
      </c>
      <c r="AP4" s="862"/>
      <c r="AQ4" s="862" t="s">
        <v>561</v>
      </c>
      <c r="AR4" s="862"/>
      <c r="AS4" s="862" t="s">
        <v>33</v>
      </c>
      <c r="AT4" s="862"/>
      <c r="AU4" s="862" t="s">
        <v>35</v>
      </c>
      <c r="AV4" s="862"/>
      <c r="AW4" s="863" t="s">
        <v>150</v>
      </c>
      <c r="AX4" s="863"/>
      <c r="AY4" s="862" t="s">
        <v>34</v>
      </c>
      <c r="AZ4" s="862"/>
      <c r="BA4" s="862" t="s">
        <v>31</v>
      </c>
      <c r="BB4" s="862"/>
      <c r="BC4" s="862" t="s">
        <v>558</v>
      </c>
      <c r="BD4" s="862"/>
      <c r="BE4" s="862" t="s">
        <v>32</v>
      </c>
      <c r="BF4" s="862"/>
      <c r="BG4" s="862" t="s">
        <v>561</v>
      </c>
      <c r="BH4" s="862"/>
      <c r="BI4" s="862" t="s">
        <v>33</v>
      </c>
      <c r="BJ4" s="862"/>
      <c r="BK4" s="862" t="s">
        <v>35</v>
      </c>
      <c r="BL4" s="862"/>
      <c r="BM4" s="863" t="s">
        <v>150</v>
      </c>
      <c r="BN4" s="863"/>
      <c r="BO4" s="862" t="s">
        <v>34</v>
      </c>
      <c r="BP4" s="862"/>
      <c r="BQ4" s="862" t="s">
        <v>31</v>
      </c>
      <c r="BR4" s="862"/>
      <c r="BS4" s="862" t="s">
        <v>558</v>
      </c>
      <c r="BT4" s="862"/>
      <c r="BU4" s="862" t="s">
        <v>32</v>
      </c>
      <c r="BV4" s="862"/>
      <c r="BW4" s="862" t="s">
        <v>561</v>
      </c>
      <c r="BX4" s="862"/>
      <c r="BY4" s="862" t="s">
        <v>33</v>
      </c>
      <c r="BZ4" s="862"/>
      <c r="CA4" s="862" t="s">
        <v>35</v>
      </c>
      <c r="CB4" s="862"/>
      <c r="CC4" s="863" t="s">
        <v>150</v>
      </c>
      <c r="CD4" s="863"/>
      <c r="CE4" s="862" t="s">
        <v>34</v>
      </c>
      <c r="CF4" s="862"/>
      <c r="CG4" s="862" t="s">
        <v>31</v>
      </c>
      <c r="CH4" s="862"/>
      <c r="CI4" s="862" t="s">
        <v>558</v>
      </c>
      <c r="CJ4" s="862"/>
      <c r="CK4" s="862" t="s">
        <v>32</v>
      </c>
      <c r="CL4" s="862"/>
      <c r="CM4" s="862" t="s">
        <v>561</v>
      </c>
      <c r="CN4" s="862"/>
      <c r="CO4" s="862" t="s">
        <v>33</v>
      </c>
      <c r="CP4" s="862"/>
      <c r="CQ4" s="862" t="s">
        <v>35</v>
      </c>
      <c r="CR4" s="862"/>
      <c r="CS4" s="863" t="s">
        <v>150</v>
      </c>
      <c r="CT4" s="863"/>
      <c r="CU4" s="862" t="s">
        <v>34</v>
      </c>
      <c r="CV4" s="862"/>
      <c r="CW4" s="862" t="s">
        <v>31</v>
      </c>
      <c r="CX4" s="862"/>
      <c r="CY4" s="862" t="s">
        <v>558</v>
      </c>
      <c r="CZ4" s="862"/>
      <c r="DA4" s="862" t="s">
        <v>32</v>
      </c>
      <c r="DB4" s="862"/>
      <c r="DC4" s="862" t="s">
        <v>561</v>
      </c>
      <c r="DD4" s="862"/>
      <c r="DE4" s="862" t="s">
        <v>33</v>
      </c>
      <c r="DF4" s="862"/>
      <c r="DG4" s="862" t="s">
        <v>35</v>
      </c>
      <c r="DH4" s="862"/>
      <c r="DI4" s="863" t="s">
        <v>150</v>
      </c>
      <c r="DJ4" s="863"/>
      <c r="DK4" s="862" t="s">
        <v>34</v>
      </c>
      <c r="DL4" s="862"/>
      <c r="DM4" s="862" t="s">
        <v>31</v>
      </c>
      <c r="DN4" s="862"/>
      <c r="DO4" s="862" t="s">
        <v>558</v>
      </c>
      <c r="DP4" s="862"/>
      <c r="DQ4" s="862" t="s">
        <v>32</v>
      </c>
      <c r="DR4" s="862"/>
      <c r="DS4" s="862" t="s">
        <v>561</v>
      </c>
      <c r="DT4" s="862"/>
      <c r="DU4" s="862" t="s">
        <v>33</v>
      </c>
      <c r="DV4" s="862"/>
      <c r="DW4" s="862" t="s">
        <v>35</v>
      </c>
      <c r="DX4" s="862"/>
      <c r="DY4" s="863" t="s">
        <v>150</v>
      </c>
      <c r="DZ4" s="863"/>
      <c r="EA4" s="862" t="s">
        <v>34</v>
      </c>
      <c r="EB4" s="862"/>
      <c r="EC4" s="862" t="s">
        <v>31</v>
      </c>
      <c r="ED4" s="862"/>
      <c r="EE4" s="862" t="s">
        <v>558</v>
      </c>
      <c r="EF4" s="862"/>
      <c r="EG4" s="862" t="s">
        <v>32</v>
      </c>
      <c r="EH4" s="862"/>
      <c r="EI4" s="862" t="s">
        <v>561</v>
      </c>
      <c r="EJ4" s="862"/>
      <c r="EK4" s="862" t="s">
        <v>33</v>
      </c>
      <c r="EL4" s="862"/>
      <c r="EM4" s="862" t="s">
        <v>35</v>
      </c>
      <c r="EN4" s="862"/>
      <c r="EO4" s="863" t="s">
        <v>150</v>
      </c>
      <c r="EP4" s="863"/>
      <c r="EQ4" s="862" t="s">
        <v>34</v>
      </c>
      <c r="ER4" s="862"/>
      <c r="ES4" s="862" t="s">
        <v>31</v>
      </c>
      <c r="ET4" s="862"/>
      <c r="EU4" s="862" t="s">
        <v>558</v>
      </c>
      <c r="EV4" s="862"/>
      <c r="EW4" s="862" t="s">
        <v>32</v>
      </c>
      <c r="EX4" s="862"/>
      <c r="EY4" s="862" t="s">
        <v>561</v>
      </c>
      <c r="EZ4" s="862"/>
      <c r="FA4" s="862" t="s">
        <v>33</v>
      </c>
      <c r="FB4" s="862"/>
      <c r="FC4" s="862" t="s">
        <v>35</v>
      </c>
      <c r="FD4" s="862"/>
      <c r="FE4" s="863" t="s">
        <v>150</v>
      </c>
      <c r="FF4" s="863"/>
      <c r="FG4" s="862" t="s">
        <v>34</v>
      </c>
      <c r="FH4" s="862"/>
      <c r="FI4" s="862" t="s">
        <v>31</v>
      </c>
      <c r="FJ4" s="862"/>
      <c r="FK4" s="862" t="s">
        <v>558</v>
      </c>
      <c r="FL4" s="862"/>
      <c r="FM4" s="862" t="s">
        <v>32</v>
      </c>
      <c r="FN4" s="862"/>
      <c r="FO4" s="862" t="s">
        <v>561</v>
      </c>
      <c r="FP4" s="862"/>
      <c r="FQ4" s="862" t="s">
        <v>33</v>
      </c>
      <c r="FR4" s="862"/>
      <c r="FS4" s="862" t="s">
        <v>35</v>
      </c>
      <c r="FT4" s="862"/>
      <c r="FU4" s="863" t="s">
        <v>150</v>
      </c>
      <c r="FV4" s="863"/>
      <c r="FW4" s="862" t="s">
        <v>34</v>
      </c>
      <c r="FX4" s="862"/>
      <c r="FY4" s="862" t="s">
        <v>31</v>
      </c>
      <c r="FZ4" s="862"/>
      <c r="GA4" s="862" t="s">
        <v>558</v>
      </c>
      <c r="GB4" s="862"/>
      <c r="GC4" s="862" t="s">
        <v>32</v>
      </c>
      <c r="GD4" s="862"/>
      <c r="GE4" s="862" t="s">
        <v>561</v>
      </c>
      <c r="GF4" s="862"/>
      <c r="GG4" s="862" t="s">
        <v>33</v>
      </c>
      <c r="GH4" s="862"/>
      <c r="GI4" s="862" t="s">
        <v>35</v>
      </c>
      <c r="GJ4" s="862"/>
      <c r="GK4" s="863" t="s">
        <v>150</v>
      </c>
      <c r="GL4" s="863"/>
      <c r="GM4" s="862" t="s">
        <v>34</v>
      </c>
      <c r="GN4" s="862"/>
      <c r="GO4" s="862" t="s">
        <v>31</v>
      </c>
      <c r="GP4" s="862"/>
      <c r="GQ4" s="862" t="s">
        <v>558</v>
      </c>
      <c r="GR4" s="862"/>
      <c r="GS4" s="862" t="s">
        <v>32</v>
      </c>
      <c r="GT4" s="862"/>
      <c r="GU4" s="862" t="s">
        <v>561</v>
      </c>
      <c r="GV4" s="862"/>
      <c r="GW4" s="862" t="s">
        <v>33</v>
      </c>
      <c r="GX4" s="862"/>
      <c r="GY4" s="862" t="s">
        <v>35</v>
      </c>
      <c r="GZ4" s="862"/>
      <c r="HA4" s="863" t="s">
        <v>150</v>
      </c>
      <c r="HB4" s="863"/>
      <c r="HC4" s="862" t="s">
        <v>34</v>
      </c>
      <c r="HD4" s="862"/>
      <c r="HE4" s="862" t="s">
        <v>31</v>
      </c>
      <c r="HF4" s="862"/>
      <c r="HG4" s="862" t="s">
        <v>558</v>
      </c>
      <c r="HH4" s="862"/>
      <c r="HI4" s="862" t="s">
        <v>32</v>
      </c>
      <c r="HJ4" s="862"/>
      <c r="HK4" s="862" t="s">
        <v>561</v>
      </c>
      <c r="HL4" s="862"/>
      <c r="HM4" s="862" t="s">
        <v>33</v>
      </c>
      <c r="HN4" s="862"/>
      <c r="HO4" s="862" t="s">
        <v>35</v>
      </c>
      <c r="HP4" s="862"/>
      <c r="HQ4" s="863" t="s">
        <v>150</v>
      </c>
      <c r="HR4" s="863"/>
      <c r="HS4" s="862" t="s">
        <v>34</v>
      </c>
      <c r="HT4" s="862"/>
      <c r="HU4" s="862" t="s">
        <v>31</v>
      </c>
      <c r="HV4" s="862"/>
      <c r="HW4" s="862" t="s">
        <v>558</v>
      </c>
      <c r="HX4" s="862"/>
      <c r="HY4" s="862" t="s">
        <v>32</v>
      </c>
      <c r="HZ4" s="862"/>
      <c r="IA4" s="862" t="s">
        <v>561</v>
      </c>
      <c r="IB4" s="862"/>
      <c r="IC4" s="862" t="s">
        <v>33</v>
      </c>
      <c r="ID4" s="862"/>
      <c r="IE4" s="862" t="s">
        <v>35</v>
      </c>
      <c r="IF4" s="862"/>
      <c r="IG4" s="863" t="s">
        <v>150</v>
      </c>
      <c r="IH4" s="863"/>
      <c r="II4" s="862" t="s">
        <v>34</v>
      </c>
      <c r="IJ4" s="862"/>
      <c r="IK4" s="862" t="s">
        <v>31</v>
      </c>
      <c r="IL4" s="862"/>
      <c r="IM4" s="862" t="s">
        <v>558</v>
      </c>
      <c r="IN4" s="862"/>
      <c r="IO4" s="862" t="s">
        <v>32</v>
      </c>
      <c r="IP4" s="862"/>
      <c r="IQ4" s="862" t="s">
        <v>561</v>
      </c>
      <c r="IR4" s="862"/>
      <c r="IS4" s="862" t="s">
        <v>33</v>
      </c>
      <c r="IT4" s="862"/>
      <c r="IU4" s="862" t="s">
        <v>35</v>
      </c>
      <c r="IV4" s="862"/>
      <c r="IW4" s="863" t="s">
        <v>150</v>
      </c>
      <c r="IX4" s="863"/>
      <c r="IY4" s="862" t="s">
        <v>34</v>
      </c>
      <c r="IZ4" s="862"/>
      <c r="JA4" s="862" t="s">
        <v>31</v>
      </c>
      <c r="JB4" s="862"/>
      <c r="JC4" s="862" t="s">
        <v>558</v>
      </c>
      <c r="JD4" s="862"/>
      <c r="JE4" s="862" t="s">
        <v>32</v>
      </c>
      <c r="JF4" s="862"/>
      <c r="JG4" s="862" t="s">
        <v>561</v>
      </c>
      <c r="JH4" s="862"/>
      <c r="JI4" s="862" t="s">
        <v>33</v>
      </c>
      <c r="JJ4" s="862"/>
      <c r="JK4" s="862" t="s">
        <v>35</v>
      </c>
      <c r="JL4" s="862"/>
      <c r="JM4" s="863" t="s">
        <v>150</v>
      </c>
      <c r="JN4" s="863"/>
      <c r="JO4" s="862" t="s">
        <v>34</v>
      </c>
      <c r="JP4" s="862"/>
      <c r="JQ4" s="862" t="s">
        <v>31</v>
      </c>
      <c r="JR4" s="862"/>
      <c r="JS4" s="862" t="s">
        <v>558</v>
      </c>
      <c r="JT4" s="862"/>
      <c r="JU4" s="862" t="s">
        <v>32</v>
      </c>
      <c r="JV4" s="862"/>
      <c r="JW4" s="862" t="s">
        <v>561</v>
      </c>
      <c r="JX4" s="862"/>
      <c r="JY4" s="862" t="s">
        <v>33</v>
      </c>
      <c r="JZ4" s="862"/>
      <c r="KA4" s="862" t="s">
        <v>35</v>
      </c>
      <c r="KB4" s="862"/>
      <c r="KC4" s="863" t="s">
        <v>150</v>
      </c>
      <c r="KD4" s="863"/>
      <c r="KE4" s="862" t="s">
        <v>34</v>
      </c>
      <c r="KF4" s="862"/>
      <c r="KG4" s="862" t="s">
        <v>31</v>
      </c>
      <c r="KH4" s="862"/>
      <c r="KI4" s="862" t="s">
        <v>558</v>
      </c>
      <c r="KJ4" s="862"/>
      <c r="KK4" s="862" t="s">
        <v>32</v>
      </c>
      <c r="KL4" s="862"/>
      <c r="KM4" s="862" t="s">
        <v>561</v>
      </c>
      <c r="KN4" s="862"/>
      <c r="KO4" s="862" t="s">
        <v>33</v>
      </c>
      <c r="KP4" s="862"/>
      <c r="KQ4" s="862" t="s">
        <v>35</v>
      </c>
      <c r="KR4" s="862"/>
      <c r="KS4" s="863" t="s">
        <v>150</v>
      </c>
      <c r="KT4" s="863"/>
      <c r="KU4" s="862" t="s">
        <v>34</v>
      </c>
      <c r="KV4" s="862"/>
      <c r="KW4" s="862" t="s">
        <v>31</v>
      </c>
      <c r="KX4" s="862"/>
      <c r="KY4" s="862" t="s">
        <v>558</v>
      </c>
      <c r="KZ4" s="862"/>
      <c r="LA4" s="862" t="s">
        <v>32</v>
      </c>
      <c r="LB4" s="862"/>
      <c r="LC4" s="862" t="s">
        <v>561</v>
      </c>
      <c r="LD4" s="862"/>
      <c r="LE4" s="862" t="s">
        <v>33</v>
      </c>
      <c r="LF4" s="862"/>
      <c r="LG4" s="862" t="s">
        <v>35</v>
      </c>
      <c r="LH4" s="862"/>
      <c r="LI4" s="863" t="s">
        <v>150</v>
      </c>
      <c r="LJ4" s="863"/>
      <c r="LK4" s="862" t="s">
        <v>34</v>
      </c>
      <c r="LL4" s="862"/>
      <c r="LM4" s="862" t="s">
        <v>31</v>
      </c>
      <c r="LN4" s="862"/>
      <c r="LO4" s="862" t="s">
        <v>558</v>
      </c>
      <c r="LP4" s="862"/>
      <c r="LQ4" s="862" t="s">
        <v>32</v>
      </c>
      <c r="LR4" s="862"/>
      <c r="LS4" s="862" t="s">
        <v>561</v>
      </c>
      <c r="LT4" s="862"/>
      <c r="LU4" s="862" t="s">
        <v>33</v>
      </c>
      <c r="LV4" s="862"/>
      <c r="LW4" s="862" t="s">
        <v>35</v>
      </c>
      <c r="LX4" s="862"/>
      <c r="LY4" s="863" t="s">
        <v>150</v>
      </c>
      <c r="LZ4" s="863"/>
      <c r="MA4" s="862" t="s">
        <v>34</v>
      </c>
      <c r="MB4" s="862"/>
      <c r="MC4" s="862" t="s">
        <v>31</v>
      </c>
      <c r="MD4" s="862"/>
      <c r="ME4" s="862" t="s">
        <v>558</v>
      </c>
      <c r="MF4" s="862"/>
      <c r="MG4" s="862" t="s">
        <v>32</v>
      </c>
      <c r="MH4" s="862"/>
      <c r="MI4" s="862" t="s">
        <v>561</v>
      </c>
      <c r="MJ4" s="862"/>
      <c r="MK4" s="862" t="s">
        <v>33</v>
      </c>
      <c r="ML4" s="862"/>
      <c r="MM4" s="862" t="s">
        <v>35</v>
      </c>
      <c r="MN4" s="862"/>
      <c r="MO4" s="863" t="s">
        <v>150</v>
      </c>
      <c r="MP4" s="863"/>
      <c r="MQ4" s="862" t="s">
        <v>34</v>
      </c>
      <c r="MR4" s="862"/>
      <c r="MS4" s="862" t="s">
        <v>31</v>
      </c>
      <c r="MT4" s="862"/>
      <c r="MU4" s="862" t="s">
        <v>558</v>
      </c>
      <c r="MV4" s="862"/>
      <c r="MW4" s="862" t="s">
        <v>32</v>
      </c>
      <c r="MX4" s="862"/>
      <c r="MY4" s="862" t="s">
        <v>561</v>
      </c>
      <c r="MZ4" s="862"/>
      <c r="NA4" s="862" t="s">
        <v>33</v>
      </c>
      <c r="NB4" s="862"/>
      <c r="NC4" s="862" t="s">
        <v>35</v>
      </c>
      <c r="ND4" s="862"/>
      <c r="NE4" s="863" t="s">
        <v>150</v>
      </c>
      <c r="NF4" s="863"/>
      <c r="NG4" s="862" t="s">
        <v>34</v>
      </c>
      <c r="NH4" s="862"/>
      <c r="NI4" s="862" t="s">
        <v>31</v>
      </c>
      <c r="NJ4" s="862"/>
      <c r="NK4" s="862" t="s">
        <v>558</v>
      </c>
      <c r="NL4" s="862"/>
      <c r="NM4" s="862" t="s">
        <v>32</v>
      </c>
      <c r="NN4" s="862"/>
      <c r="NO4" s="862" t="s">
        <v>561</v>
      </c>
      <c r="NP4" s="862"/>
      <c r="NQ4" s="862" t="s">
        <v>33</v>
      </c>
      <c r="NR4" s="862"/>
      <c r="NS4" s="862" t="s">
        <v>35</v>
      </c>
      <c r="NT4" s="862"/>
      <c r="NU4" s="863" t="s">
        <v>150</v>
      </c>
      <c r="NV4" s="863"/>
      <c r="NW4" s="862" t="s">
        <v>34</v>
      </c>
      <c r="NX4" s="862"/>
      <c r="NY4" s="862" t="s">
        <v>31</v>
      </c>
      <c r="NZ4" s="862"/>
      <c r="OA4" s="862" t="s">
        <v>558</v>
      </c>
      <c r="OB4" s="862"/>
      <c r="OC4" s="862" t="s">
        <v>32</v>
      </c>
      <c r="OD4" s="862"/>
      <c r="OE4" s="862" t="s">
        <v>561</v>
      </c>
      <c r="OF4" s="862"/>
      <c r="OG4" s="862" t="s">
        <v>33</v>
      </c>
      <c r="OH4" s="862"/>
      <c r="OI4" s="862" t="s">
        <v>35</v>
      </c>
      <c r="OJ4" s="862"/>
      <c r="OK4" s="863" t="s">
        <v>150</v>
      </c>
      <c r="OL4" s="863"/>
      <c r="OM4" s="862" t="s">
        <v>34</v>
      </c>
      <c r="ON4" s="862"/>
      <c r="OO4" s="862" t="s">
        <v>31</v>
      </c>
      <c r="OP4" s="862"/>
      <c r="OQ4" s="862" t="s">
        <v>558</v>
      </c>
      <c r="OR4" s="862"/>
      <c r="OS4" s="862" t="s">
        <v>32</v>
      </c>
      <c r="OT4" s="862"/>
      <c r="OU4" s="862" t="s">
        <v>561</v>
      </c>
      <c r="OV4" s="862"/>
      <c r="OW4" s="862" t="s">
        <v>33</v>
      </c>
      <c r="OX4" s="862"/>
      <c r="OY4" s="862" t="s">
        <v>35</v>
      </c>
      <c r="OZ4" s="862"/>
      <c r="PA4" s="863" t="s">
        <v>150</v>
      </c>
      <c r="PB4" s="863"/>
      <c r="PC4" s="862" t="s">
        <v>34</v>
      </c>
      <c r="PD4" s="862"/>
      <c r="PE4" s="862" t="s">
        <v>31</v>
      </c>
      <c r="PF4" s="862"/>
      <c r="PG4" s="862" t="s">
        <v>558</v>
      </c>
      <c r="PH4" s="862"/>
      <c r="PI4" s="862" t="s">
        <v>32</v>
      </c>
      <c r="PJ4" s="862"/>
      <c r="PK4" s="862" t="s">
        <v>561</v>
      </c>
      <c r="PL4" s="862"/>
      <c r="PM4" s="862" t="s">
        <v>33</v>
      </c>
      <c r="PN4" s="862"/>
      <c r="PO4" s="862" t="s">
        <v>35</v>
      </c>
      <c r="PP4" s="862"/>
      <c r="PQ4" s="863" t="s">
        <v>150</v>
      </c>
      <c r="PR4" s="863"/>
      <c r="PS4" s="862" t="s">
        <v>34</v>
      </c>
      <c r="PT4" s="862"/>
      <c r="PU4" s="862" t="s">
        <v>31</v>
      </c>
      <c r="PV4" s="862"/>
      <c r="PW4" s="862" t="s">
        <v>558</v>
      </c>
      <c r="PX4" s="862"/>
      <c r="PY4" s="862" t="s">
        <v>32</v>
      </c>
      <c r="PZ4" s="862"/>
      <c r="QA4" s="862" t="s">
        <v>561</v>
      </c>
      <c r="QB4" s="862"/>
      <c r="QC4" s="862" t="s">
        <v>33</v>
      </c>
      <c r="QD4" s="862"/>
      <c r="QE4" s="862" t="s">
        <v>35</v>
      </c>
      <c r="QF4" s="862"/>
      <c r="QG4" s="863" t="s">
        <v>150</v>
      </c>
      <c r="QH4" s="863"/>
      <c r="QI4" s="862" t="s">
        <v>34</v>
      </c>
      <c r="QJ4" s="862"/>
      <c r="QK4" s="862" t="s">
        <v>31</v>
      </c>
      <c r="QL4" s="862"/>
      <c r="QM4" s="862" t="s">
        <v>558</v>
      </c>
      <c r="QN4" s="862"/>
      <c r="QO4" s="862" t="s">
        <v>32</v>
      </c>
      <c r="QP4" s="862"/>
      <c r="QQ4" s="862" t="s">
        <v>561</v>
      </c>
      <c r="QR4" s="862"/>
      <c r="QS4" s="862" t="s">
        <v>33</v>
      </c>
      <c r="QT4" s="862"/>
      <c r="QU4" s="862" t="s">
        <v>35</v>
      </c>
      <c r="QV4" s="862"/>
      <c r="QW4" s="863" t="s">
        <v>150</v>
      </c>
      <c r="QX4" s="863"/>
      <c r="QY4" s="862" t="s">
        <v>34</v>
      </c>
      <c r="QZ4" s="862"/>
      <c r="RA4" s="862" t="s">
        <v>31</v>
      </c>
      <c r="RB4" s="862"/>
      <c r="RC4" s="862" t="s">
        <v>558</v>
      </c>
      <c r="RD4" s="862"/>
      <c r="RE4" s="862" t="s">
        <v>32</v>
      </c>
      <c r="RF4" s="862"/>
      <c r="RG4" s="862" t="s">
        <v>561</v>
      </c>
      <c r="RH4" s="862"/>
      <c r="RI4" s="862" t="s">
        <v>33</v>
      </c>
      <c r="RJ4" s="862"/>
      <c r="RK4" s="862" t="s">
        <v>35</v>
      </c>
      <c r="RL4" s="862"/>
      <c r="RM4" s="863" t="s">
        <v>150</v>
      </c>
      <c r="RN4" s="863"/>
      <c r="RO4" s="862" t="s">
        <v>34</v>
      </c>
      <c r="RP4" s="862"/>
      <c r="RQ4" s="862" t="s">
        <v>31</v>
      </c>
      <c r="RR4" s="862"/>
      <c r="RS4" s="862" t="s">
        <v>558</v>
      </c>
      <c r="RT4" s="862"/>
      <c r="RU4" s="862" t="s">
        <v>32</v>
      </c>
      <c r="RV4" s="862"/>
      <c r="RW4" s="862" t="s">
        <v>561</v>
      </c>
      <c r="RX4" s="862"/>
      <c r="RY4" s="862" t="s">
        <v>33</v>
      </c>
      <c r="RZ4" s="862"/>
      <c r="SA4" s="862" t="s">
        <v>35</v>
      </c>
      <c r="SB4" s="862"/>
      <c r="SC4" s="863" t="s">
        <v>150</v>
      </c>
      <c r="SD4" s="863"/>
      <c r="SE4" s="862" t="s">
        <v>34</v>
      </c>
      <c r="SF4" s="862"/>
      <c r="SG4" s="862" t="s">
        <v>31</v>
      </c>
      <c r="SH4" s="862"/>
      <c r="SI4" s="862" t="s">
        <v>558</v>
      </c>
      <c r="SJ4" s="862"/>
      <c r="SK4" s="862" t="s">
        <v>32</v>
      </c>
      <c r="SL4" s="862"/>
      <c r="SM4" s="862" t="s">
        <v>561</v>
      </c>
      <c r="SN4" s="862"/>
      <c r="SO4" s="862" t="s">
        <v>33</v>
      </c>
      <c r="SP4" s="862"/>
      <c r="SQ4" s="862" t="s">
        <v>35</v>
      </c>
      <c r="SR4" s="862"/>
      <c r="SS4" s="863" t="s">
        <v>150</v>
      </c>
      <c r="ST4" s="863"/>
      <c r="SU4" s="862" t="s">
        <v>34</v>
      </c>
      <c r="SV4" s="862"/>
      <c r="SW4" s="862" t="s">
        <v>31</v>
      </c>
      <c r="SX4" s="862"/>
      <c r="SY4" s="862" t="s">
        <v>558</v>
      </c>
      <c r="SZ4" s="862"/>
      <c r="TA4" s="862" t="s">
        <v>32</v>
      </c>
      <c r="TB4" s="862"/>
      <c r="TC4" s="862" t="s">
        <v>561</v>
      </c>
      <c r="TD4" s="862"/>
      <c r="TE4" s="862" t="s">
        <v>33</v>
      </c>
      <c r="TF4" s="862"/>
      <c r="TG4" s="862" t="s">
        <v>35</v>
      </c>
      <c r="TH4" s="862"/>
      <c r="TI4" s="863" t="s">
        <v>150</v>
      </c>
      <c r="TJ4" s="863"/>
      <c r="TK4" s="862" t="s">
        <v>34</v>
      </c>
      <c r="TL4" s="862"/>
      <c r="TM4" s="862" t="s">
        <v>31</v>
      </c>
      <c r="TN4" s="862"/>
      <c r="TO4" s="862" t="s">
        <v>558</v>
      </c>
      <c r="TP4" s="862"/>
      <c r="TQ4" s="862" t="s">
        <v>32</v>
      </c>
      <c r="TR4" s="862"/>
      <c r="TS4" s="862" t="s">
        <v>561</v>
      </c>
      <c r="TT4" s="862"/>
      <c r="TU4" s="862" t="s">
        <v>33</v>
      </c>
      <c r="TV4" s="862"/>
      <c r="TW4" s="862" t="s">
        <v>35</v>
      </c>
      <c r="TX4" s="862"/>
      <c r="TY4" s="863" t="s">
        <v>150</v>
      </c>
      <c r="TZ4" s="863"/>
      <c r="UA4" s="862" t="s">
        <v>34</v>
      </c>
      <c r="UB4" s="862"/>
      <c r="UC4" s="862" t="s">
        <v>31</v>
      </c>
      <c r="UD4" s="862"/>
      <c r="UE4" s="862" t="s">
        <v>558</v>
      </c>
      <c r="UF4" s="862"/>
      <c r="UG4" s="862" t="s">
        <v>32</v>
      </c>
      <c r="UH4" s="862"/>
      <c r="UI4" s="862" t="s">
        <v>561</v>
      </c>
      <c r="UJ4" s="862"/>
      <c r="UK4" s="862" t="s">
        <v>33</v>
      </c>
      <c r="UL4" s="862"/>
      <c r="UM4" s="862" t="s">
        <v>35</v>
      </c>
      <c r="UN4" s="862"/>
      <c r="UO4" s="863" t="s">
        <v>150</v>
      </c>
      <c r="UP4" s="863"/>
      <c r="UQ4" s="862" t="s">
        <v>34</v>
      </c>
      <c r="UR4" s="862"/>
      <c r="US4" s="862" t="s">
        <v>31</v>
      </c>
      <c r="UT4" s="862"/>
      <c r="UU4" s="862" t="s">
        <v>558</v>
      </c>
      <c r="UV4" s="862"/>
      <c r="UW4" s="862" t="s">
        <v>32</v>
      </c>
      <c r="UX4" s="862"/>
      <c r="UY4" s="862" t="s">
        <v>561</v>
      </c>
      <c r="UZ4" s="862"/>
      <c r="VA4" s="862" t="s">
        <v>33</v>
      </c>
      <c r="VB4" s="862"/>
      <c r="VC4" s="862" t="s">
        <v>35</v>
      </c>
      <c r="VD4" s="862"/>
      <c r="VE4" s="863" t="s">
        <v>150</v>
      </c>
      <c r="VF4" s="863"/>
      <c r="VG4" s="862" t="s">
        <v>34</v>
      </c>
      <c r="VH4" s="862"/>
      <c r="VI4" s="862" t="s">
        <v>31</v>
      </c>
      <c r="VJ4" s="862"/>
      <c r="VK4" s="862" t="s">
        <v>558</v>
      </c>
      <c r="VL4" s="862"/>
      <c r="VM4" s="862" t="s">
        <v>32</v>
      </c>
      <c r="VN4" s="862"/>
      <c r="VO4" s="862" t="s">
        <v>561</v>
      </c>
      <c r="VP4" s="862"/>
      <c r="VQ4" s="862" t="s">
        <v>33</v>
      </c>
      <c r="VR4" s="862"/>
      <c r="VS4" s="862" t="s">
        <v>35</v>
      </c>
      <c r="VT4" s="862"/>
      <c r="VU4" s="863" t="s">
        <v>150</v>
      </c>
      <c r="VV4" s="863"/>
      <c r="VW4" s="862" t="s">
        <v>34</v>
      </c>
      <c r="VX4" s="862"/>
      <c r="VY4" s="862" t="s">
        <v>31</v>
      </c>
      <c r="VZ4" s="862"/>
      <c r="WA4" s="862" t="s">
        <v>558</v>
      </c>
      <c r="WB4" s="862"/>
      <c r="WC4" s="862" t="s">
        <v>32</v>
      </c>
      <c r="WD4" s="862"/>
      <c r="WE4" s="862" t="s">
        <v>561</v>
      </c>
      <c r="WF4" s="862"/>
      <c r="WG4" s="862" t="s">
        <v>33</v>
      </c>
      <c r="WH4" s="862"/>
      <c r="WI4" s="862" t="s">
        <v>35</v>
      </c>
      <c r="WJ4" s="862"/>
      <c r="WK4" s="863" t="s">
        <v>150</v>
      </c>
      <c r="WL4" s="863"/>
      <c r="WM4" s="89"/>
      <c r="WN4" s="862" t="s">
        <v>34</v>
      </c>
      <c r="WO4" s="862"/>
      <c r="WP4" s="862" t="s">
        <v>31</v>
      </c>
      <c r="WQ4" s="862"/>
      <c r="WR4" s="862" t="s">
        <v>558</v>
      </c>
      <c r="WS4" s="862"/>
      <c r="WT4" s="862" t="s">
        <v>32</v>
      </c>
      <c r="WU4" s="862"/>
      <c r="WV4" s="862" t="s">
        <v>561</v>
      </c>
      <c r="WW4" s="862"/>
      <c r="WX4" s="862" t="s">
        <v>33</v>
      </c>
      <c r="WY4" s="862"/>
      <c r="WZ4" s="862" t="s">
        <v>35</v>
      </c>
      <c r="XA4" s="862"/>
      <c r="XB4" s="863" t="s">
        <v>613</v>
      </c>
      <c r="XC4" s="863"/>
      <c r="XD4" s="89"/>
      <c r="XE4" s="863" t="s">
        <v>102</v>
      </c>
      <c r="XF4" s="863"/>
      <c r="XG4" s="89"/>
      <c r="XH4" s="863" t="s">
        <v>614</v>
      </c>
      <c r="XI4" s="863"/>
      <c r="XJ4" s="89"/>
      <c r="XK4" s="87" t="s">
        <v>34</v>
      </c>
      <c r="XL4" s="87" t="s">
        <v>31</v>
      </c>
      <c r="XM4" s="87" t="s">
        <v>558</v>
      </c>
      <c r="XN4" s="87" t="s">
        <v>32</v>
      </c>
      <c r="XO4" s="87" t="s">
        <v>561</v>
      </c>
      <c r="XP4" s="87" t="s">
        <v>33</v>
      </c>
      <c r="XQ4" s="87" t="s">
        <v>35</v>
      </c>
      <c r="XR4" s="87"/>
      <c r="XS4" s="89"/>
      <c r="XT4" s="87" t="s">
        <v>34</v>
      </c>
      <c r="XU4" s="87" t="s">
        <v>31</v>
      </c>
      <c r="XV4" s="87" t="s">
        <v>558</v>
      </c>
      <c r="XW4" s="87" t="s">
        <v>32</v>
      </c>
      <c r="XX4" s="87" t="s">
        <v>561</v>
      </c>
      <c r="XY4" s="87" t="s">
        <v>33</v>
      </c>
      <c r="XZ4" s="87" t="s">
        <v>35</v>
      </c>
      <c r="YA4" s="87"/>
      <c r="YB4" s="862"/>
      <c r="YC4" s="862"/>
      <c r="YD4" s="862"/>
      <c r="YE4" s="862"/>
      <c r="YF4" s="862"/>
      <c r="YG4" s="862"/>
      <c r="YH4" s="862"/>
      <c r="YI4" s="862"/>
      <c r="YJ4" s="862"/>
      <c r="YK4" s="862"/>
      <c r="YL4" s="862"/>
      <c r="YM4" s="862"/>
      <c r="YN4" s="862"/>
      <c r="YO4" s="862"/>
      <c r="YP4" s="862"/>
      <c r="YQ4" s="862"/>
      <c r="YR4" s="862"/>
      <c r="YS4" s="862"/>
      <c r="YT4" s="862"/>
      <c r="YU4" s="862"/>
      <c r="YV4" s="862"/>
      <c r="YW4" s="862"/>
      <c r="YX4" s="862"/>
      <c r="YY4" s="862"/>
      <c r="YZ4" s="862"/>
      <c r="ZA4" s="862"/>
      <c r="ZB4" s="862"/>
      <c r="ZC4" s="862"/>
      <c r="ZD4" s="862"/>
      <c r="ZE4" s="862"/>
      <c r="ZF4" s="862"/>
      <c r="ZG4" s="862"/>
      <c r="ZH4" s="862"/>
      <c r="ZI4" s="862"/>
      <c r="ZJ4" s="862"/>
      <c r="ZK4" s="862"/>
      <c r="ZL4" s="862"/>
      <c r="ZM4" s="862"/>
      <c r="ZN4" s="862"/>
      <c r="ZO4" s="862"/>
      <c r="ZP4" s="862"/>
      <c r="ZQ4" s="862"/>
      <c r="ZR4" s="862"/>
      <c r="ZS4" s="862"/>
      <c r="ZT4" s="862"/>
      <c r="ZU4" s="862"/>
      <c r="ZV4" s="862"/>
      <c r="ZW4" s="862"/>
      <c r="ZX4" s="862"/>
      <c r="ZY4" s="862"/>
      <c r="ZZ4" s="862"/>
      <c r="AAA4" s="862"/>
      <c r="AAB4" s="862"/>
      <c r="AAC4" s="862"/>
      <c r="AAD4" s="862"/>
      <c r="AAE4" s="862"/>
      <c r="AAF4" s="862"/>
      <c r="AAG4" s="862"/>
      <c r="AAH4" s="862"/>
      <c r="AAI4" s="862"/>
      <c r="AAJ4" s="862"/>
      <c r="AAK4" s="862"/>
      <c r="AAL4" s="862"/>
      <c r="AAM4" s="862"/>
      <c r="AAN4" s="862"/>
      <c r="AAO4" s="862"/>
      <c r="AAP4" s="862"/>
      <c r="AAQ4" s="862"/>
      <c r="AAR4" s="862"/>
      <c r="AAS4" s="862"/>
      <c r="AAT4" s="862"/>
      <c r="AAU4" s="862"/>
      <c r="AAV4" s="862"/>
      <c r="AAW4" s="862"/>
      <c r="AAX4" s="862"/>
      <c r="AAY4" s="862"/>
      <c r="AAZ4" s="862"/>
      <c r="ABA4" s="862"/>
      <c r="ABB4" s="862"/>
      <c r="ABC4" s="862"/>
      <c r="ABD4" s="862"/>
      <c r="ABE4" s="862"/>
      <c r="ABF4" s="862"/>
      <c r="ABG4" s="862"/>
      <c r="ABH4" s="862"/>
      <c r="ABI4" s="862"/>
      <c r="ABJ4" s="862"/>
      <c r="ABK4" s="862"/>
      <c r="ABL4" s="862"/>
      <c r="ABM4" s="862"/>
      <c r="ABN4" s="862"/>
      <c r="ABO4" s="862"/>
      <c r="ABP4" s="862"/>
      <c r="ABQ4" s="862"/>
      <c r="ABR4" s="862"/>
      <c r="ABS4" s="862"/>
      <c r="ABT4" s="862"/>
      <c r="ABU4" s="862"/>
      <c r="ABV4" s="862"/>
      <c r="ABW4" s="862"/>
      <c r="ABX4" s="862"/>
      <c r="ABY4" s="862"/>
      <c r="ABZ4" s="862"/>
      <c r="ACA4" s="862"/>
      <c r="ACB4" s="862"/>
      <c r="ACC4" s="862"/>
      <c r="ACD4" s="862"/>
      <c r="ACE4" s="862"/>
      <c r="ACF4" s="862"/>
      <c r="ACG4" s="862"/>
      <c r="ACH4" s="862"/>
      <c r="ACI4" s="862"/>
      <c r="ACJ4" s="862"/>
      <c r="ACK4" s="862"/>
      <c r="ACL4" s="862"/>
      <c r="ACM4" s="862"/>
      <c r="ACN4" s="862"/>
      <c r="ACO4" s="862"/>
      <c r="ACP4" s="862"/>
      <c r="ACQ4" s="862"/>
      <c r="ACR4" s="862"/>
      <c r="ACS4" s="862"/>
      <c r="ACT4" s="862"/>
      <c r="ACU4" s="862"/>
      <c r="ACV4" s="862"/>
      <c r="ACW4" s="862"/>
      <c r="ACX4" s="862"/>
      <c r="ACY4" s="862"/>
      <c r="ACZ4" s="862"/>
      <c r="ADA4" s="862"/>
      <c r="ADB4" s="862"/>
      <c r="ADC4" s="862"/>
      <c r="ADD4" s="862"/>
      <c r="ADE4" s="862"/>
      <c r="ADF4" s="862"/>
      <c r="ADG4" s="862"/>
      <c r="ADH4" s="862"/>
      <c r="ADI4" s="862"/>
      <c r="ADJ4" s="862"/>
      <c r="ADK4" s="862"/>
      <c r="ADL4" s="862"/>
      <c r="ADM4" s="862"/>
      <c r="ADN4" s="862"/>
      <c r="ADO4" s="862"/>
      <c r="ADP4" s="862"/>
      <c r="ADQ4" s="862"/>
      <c r="ADR4" s="862"/>
      <c r="ADS4" s="862"/>
      <c r="ADT4" s="862"/>
      <c r="ADU4" s="862"/>
      <c r="ADV4" s="862"/>
      <c r="ADW4" s="862"/>
      <c r="ADX4" s="862"/>
      <c r="ADY4" s="862"/>
      <c r="ADZ4" s="862"/>
      <c r="AEA4" s="862"/>
      <c r="AEB4" s="862"/>
      <c r="AEC4" s="862"/>
      <c r="AED4" s="862"/>
      <c r="AEE4" s="862"/>
      <c r="AEF4" s="862"/>
      <c r="AEG4" s="862"/>
      <c r="AEH4" s="862"/>
      <c r="AEI4" s="862"/>
      <c r="AEJ4" s="862"/>
      <c r="AEK4" s="862"/>
      <c r="AEL4" s="862"/>
      <c r="AEM4" s="862"/>
      <c r="AEN4" s="862"/>
      <c r="AEO4" s="862"/>
      <c r="AEP4" s="862"/>
      <c r="AEQ4" s="862"/>
      <c r="AER4" s="862"/>
      <c r="AES4" s="862"/>
      <c r="AET4" s="862"/>
      <c r="AEU4" s="862"/>
      <c r="AEV4" s="862"/>
      <c r="AEW4" s="862"/>
      <c r="AEX4" s="862"/>
      <c r="AEY4" s="862"/>
      <c r="AEZ4" s="862"/>
      <c r="AFA4" s="862"/>
      <c r="AFB4" s="862"/>
      <c r="AFC4" s="862"/>
      <c r="AFD4" s="862"/>
      <c r="AFE4" s="862"/>
      <c r="AFF4" s="862"/>
      <c r="AFG4" s="862"/>
      <c r="AFH4" s="862"/>
      <c r="AFI4" s="862"/>
      <c r="AFJ4" s="862"/>
      <c r="AFK4" s="862"/>
      <c r="AFL4" s="862"/>
      <c r="AFM4" s="862"/>
      <c r="AFN4" s="862"/>
      <c r="AFO4" s="862"/>
      <c r="AFP4" s="862"/>
      <c r="AFQ4" s="862"/>
      <c r="AFR4" s="862"/>
      <c r="AFS4" s="862"/>
      <c r="AFT4" s="862"/>
      <c r="AFU4" s="862"/>
      <c r="AFV4" s="862"/>
      <c r="AFW4" s="862"/>
      <c r="AFX4" s="862"/>
      <c r="AFY4" s="862"/>
      <c r="AFZ4" s="862"/>
      <c r="AGA4" s="862"/>
      <c r="AGB4" s="862"/>
      <c r="AGC4" s="862"/>
      <c r="AGD4" s="862"/>
      <c r="AGE4" s="862"/>
      <c r="AGF4" s="862"/>
      <c r="AGG4" s="862"/>
      <c r="AGH4" s="862"/>
      <c r="AGI4" s="862"/>
      <c r="AGJ4" s="862"/>
      <c r="AGK4" s="862"/>
      <c r="AGL4" s="862"/>
      <c r="AGM4" s="862"/>
      <c r="AGN4" s="862"/>
      <c r="AGO4" s="862"/>
      <c r="AGP4" s="862"/>
      <c r="AGQ4" s="862"/>
      <c r="AGR4" s="862"/>
      <c r="AGS4" s="862"/>
      <c r="AGT4" s="862"/>
      <c r="AGU4" s="862"/>
      <c r="AGV4" s="862"/>
      <c r="AGW4" s="862"/>
      <c r="AGX4" s="862"/>
      <c r="AGY4" s="862"/>
      <c r="AGZ4" s="862"/>
      <c r="AHA4" s="862"/>
      <c r="AHB4" s="862"/>
      <c r="AHC4" s="862"/>
      <c r="AHD4" s="862"/>
      <c r="AHE4" s="862"/>
      <c r="AHF4" s="862"/>
      <c r="AHG4" s="862"/>
      <c r="AHH4" s="862"/>
      <c r="AHI4" s="862"/>
      <c r="AHJ4" s="862"/>
      <c r="AHK4" s="862"/>
      <c r="AHL4" s="862"/>
      <c r="AHM4" s="862"/>
      <c r="AHN4" s="862"/>
      <c r="AHO4" s="862"/>
      <c r="AHP4" s="862"/>
      <c r="AHQ4" s="862"/>
      <c r="AHR4" s="862"/>
      <c r="AHS4" s="862"/>
      <c r="AHT4" s="862"/>
      <c r="AHU4" s="862"/>
      <c r="AHV4" s="862"/>
      <c r="AHW4" s="862"/>
      <c r="AHX4" s="862"/>
      <c r="AHY4" s="862"/>
      <c r="AHZ4" s="862"/>
      <c r="AIA4" s="862"/>
      <c r="AIB4" s="862"/>
      <c r="AIC4" s="862"/>
      <c r="AID4" s="862"/>
      <c r="AIE4" s="862"/>
      <c r="AIF4" s="862"/>
      <c r="AIG4" s="862"/>
      <c r="AIH4" s="862"/>
      <c r="AII4" s="862"/>
      <c r="AIJ4" s="862"/>
      <c r="AIK4" s="862"/>
      <c r="AIL4" s="862"/>
      <c r="AIM4" s="862"/>
      <c r="AIN4" s="862"/>
      <c r="AIO4" s="862"/>
      <c r="AIP4" s="862"/>
      <c r="AIQ4" s="862"/>
      <c r="AIR4" s="862"/>
      <c r="AIS4" s="862"/>
      <c r="AIT4" s="862"/>
      <c r="AIU4" s="862"/>
      <c r="AIV4" s="862"/>
      <c r="AIW4" s="862"/>
      <c r="AIX4" s="862"/>
      <c r="AIY4" s="862"/>
      <c r="AIZ4" s="862"/>
      <c r="AJA4" s="862"/>
      <c r="AJB4" s="862"/>
      <c r="AJC4" s="862"/>
      <c r="AJD4" s="862"/>
      <c r="AJE4" s="862"/>
      <c r="AJF4" s="862"/>
      <c r="AJG4" s="862"/>
      <c r="AJH4" s="862"/>
      <c r="AJI4" s="862"/>
      <c r="AJJ4" s="862"/>
      <c r="AJK4" s="862"/>
      <c r="AJL4" s="862"/>
      <c r="AJM4" s="862"/>
      <c r="AJN4" s="862"/>
      <c r="AJO4" s="862"/>
      <c r="AJP4" s="862"/>
      <c r="AJQ4" s="862"/>
      <c r="AJR4" s="862"/>
      <c r="AJS4" s="862"/>
      <c r="AJT4" s="862"/>
      <c r="AJU4" s="862"/>
      <c r="AJV4" s="862"/>
      <c r="AJW4" s="862"/>
      <c r="AJX4" s="862"/>
      <c r="AJY4" s="862"/>
      <c r="AJZ4" s="862"/>
      <c r="AKA4" s="862"/>
      <c r="AKB4" s="862"/>
      <c r="AKC4" s="862"/>
      <c r="AKD4" s="862"/>
      <c r="AKE4" s="862"/>
      <c r="AKF4" s="862"/>
      <c r="AKG4" s="862"/>
      <c r="AKH4" s="862"/>
      <c r="AKI4" s="862"/>
      <c r="AKJ4" s="862"/>
      <c r="AKK4" s="862"/>
      <c r="AKL4" s="862"/>
      <c r="AKM4" s="862"/>
      <c r="AKN4" s="862"/>
      <c r="AKO4" s="862"/>
      <c r="AKP4" s="862"/>
      <c r="AKQ4" s="862"/>
      <c r="AKR4" s="862"/>
      <c r="AKS4" s="862"/>
      <c r="AKT4" s="862"/>
      <c r="AKU4" s="862"/>
      <c r="AKV4" s="862"/>
      <c r="AKW4" s="862"/>
      <c r="AKX4" s="862"/>
      <c r="AKY4" s="862"/>
      <c r="AKZ4" s="862"/>
      <c r="ALA4" s="862"/>
      <c r="ALB4" s="862"/>
      <c r="ALC4" s="862"/>
      <c r="ALD4" s="862"/>
      <c r="ALE4" s="862"/>
      <c r="ALF4" s="862"/>
      <c r="ALG4" s="862"/>
      <c r="ALH4" s="862"/>
      <c r="ALI4" s="862"/>
      <c r="ALJ4" s="862"/>
      <c r="ALK4" s="862"/>
      <c r="ALL4" s="862"/>
      <c r="ALM4" s="862"/>
      <c r="ALN4" s="862"/>
      <c r="ALO4" s="862"/>
      <c r="ALP4" s="862"/>
      <c r="ALQ4" s="862"/>
      <c r="ALR4" s="862"/>
      <c r="ALS4" s="862"/>
      <c r="ALT4" s="862"/>
      <c r="ALU4" s="862"/>
      <c r="ALV4" s="862"/>
      <c r="ALW4" s="862"/>
      <c r="ALX4" s="862"/>
      <c r="ALY4" s="862"/>
      <c r="ALZ4" s="862"/>
      <c r="AMA4" s="862"/>
      <c r="AMB4" s="862"/>
      <c r="AMC4" s="862"/>
    </row>
    <row r="5" spans="1:1017">
      <c r="A5" s="90"/>
      <c r="B5" s="90">
        <v>45381529</v>
      </c>
      <c r="C5" s="87" t="s">
        <v>513</v>
      </c>
      <c r="D5" s="87" t="s">
        <v>514</v>
      </c>
      <c r="E5" s="87" t="s">
        <v>515</v>
      </c>
      <c r="F5" s="87" t="s">
        <v>516</v>
      </c>
      <c r="G5" s="87" t="s">
        <v>519</v>
      </c>
      <c r="H5" s="87" t="s">
        <v>520</v>
      </c>
      <c r="I5" s="87" t="s">
        <v>517</v>
      </c>
      <c r="J5" s="87" t="s">
        <v>518</v>
      </c>
      <c r="K5" s="87" t="s">
        <v>521</v>
      </c>
      <c r="L5" s="87" t="s">
        <v>522</v>
      </c>
      <c r="M5" s="87" t="s">
        <v>559</v>
      </c>
      <c r="N5" s="87" t="s">
        <v>560</v>
      </c>
      <c r="O5" s="87" t="s">
        <v>523</v>
      </c>
      <c r="P5" s="87" t="s">
        <v>524</v>
      </c>
      <c r="Q5" s="91" t="s">
        <v>27</v>
      </c>
      <c r="R5" s="91" t="s">
        <v>28</v>
      </c>
      <c r="S5" s="87" t="s">
        <v>513</v>
      </c>
      <c r="T5" s="87" t="s">
        <v>514</v>
      </c>
      <c r="U5" s="87" t="s">
        <v>515</v>
      </c>
      <c r="V5" s="87" t="s">
        <v>516</v>
      </c>
      <c r="W5" s="87" t="s">
        <v>519</v>
      </c>
      <c r="X5" s="87" t="s">
        <v>520</v>
      </c>
      <c r="Y5" s="87" t="s">
        <v>517</v>
      </c>
      <c r="Z5" s="87" t="s">
        <v>518</v>
      </c>
      <c r="AA5" s="87" t="s">
        <v>521</v>
      </c>
      <c r="AB5" s="87" t="s">
        <v>522</v>
      </c>
      <c r="AC5" s="87" t="s">
        <v>559</v>
      </c>
      <c r="AD5" s="87" t="s">
        <v>560</v>
      </c>
      <c r="AE5" s="87" t="s">
        <v>523</v>
      </c>
      <c r="AF5" s="87" t="s">
        <v>524</v>
      </c>
      <c r="AG5" s="91" t="s">
        <v>27</v>
      </c>
      <c r="AH5" s="91" t="s">
        <v>28</v>
      </c>
      <c r="AI5" s="87" t="s">
        <v>513</v>
      </c>
      <c r="AJ5" s="87" t="s">
        <v>514</v>
      </c>
      <c r="AK5" s="87" t="s">
        <v>515</v>
      </c>
      <c r="AL5" s="87" t="s">
        <v>516</v>
      </c>
      <c r="AM5" s="87" t="s">
        <v>519</v>
      </c>
      <c r="AN5" s="87" t="s">
        <v>520</v>
      </c>
      <c r="AO5" s="87" t="s">
        <v>517</v>
      </c>
      <c r="AP5" s="87" t="s">
        <v>518</v>
      </c>
      <c r="AQ5" s="87" t="s">
        <v>521</v>
      </c>
      <c r="AR5" s="87" t="s">
        <v>522</v>
      </c>
      <c r="AS5" s="87" t="s">
        <v>559</v>
      </c>
      <c r="AT5" s="87" t="s">
        <v>560</v>
      </c>
      <c r="AU5" s="87" t="s">
        <v>523</v>
      </c>
      <c r="AV5" s="87" t="s">
        <v>524</v>
      </c>
      <c r="AW5" s="91" t="s">
        <v>27</v>
      </c>
      <c r="AX5" s="91" t="s">
        <v>28</v>
      </c>
      <c r="AY5" s="87" t="s">
        <v>513</v>
      </c>
      <c r="AZ5" s="87" t="s">
        <v>514</v>
      </c>
      <c r="BA5" s="87" t="s">
        <v>515</v>
      </c>
      <c r="BB5" s="87" t="s">
        <v>516</v>
      </c>
      <c r="BC5" s="87" t="s">
        <v>519</v>
      </c>
      <c r="BD5" s="87" t="s">
        <v>520</v>
      </c>
      <c r="BE5" s="87" t="s">
        <v>517</v>
      </c>
      <c r="BF5" s="87" t="s">
        <v>518</v>
      </c>
      <c r="BG5" s="87" t="s">
        <v>521</v>
      </c>
      <c r="BH5" s="87" t="s">
        <v>522</v>
      </c>
      <c r="BI5" s="87" t="s">
        <v>559</v>
      </c>
      <c r="BJ5" s="87" t="s">
        <v>560</v>
      </c>
      <c r="BK5" s="87" t="s">
        <v>523</v>
      </c>
      <c r="BL5" s="87" t="s">
        <v>524</v>
      </c>
      <c r="BM5" s="91" t="s">
        <v>27</v>
      </c>
      <c r="BN5" s="91" t="s">
        <v>28</v>
      </c>
      <c r="BO5" s="87" t="s">
        <v>513</v>
      </c>
      <c r="BP5" s="87" t="s">
        <v>514</v>
      </c>
      <c r="BQ5" s="87" t="s">
        <v>515</v>
      </c>
      <c r="BR5" s="87" t="s">
        <v>516</v>
      </c>
      <c r="BS5" s="87" t="s">
        <v>519</v>
      </c>
      <c r="BT5" s="87" t="s">
        <v>520</v>
      </c>
      <c r="BU5" s="87" t="s">
        <v>517</v>
      </c>
      <c r="BV5" s="87" t="s">
        <v>518</v>
      </c>
      <c r="BW5" s="87" t="s">
        <v>521</v>
      </c>
      <c r="BX5" s="87" t="s">
        <v>522</v>
      </c>
      <c r="BY5" s="87" t="s">
        <v>559</v>
      </c>
      <c r="BZ5" s="87" t="s">
        <v>560</v>
      </c>
      <c r="CA5" s="87" t="s">
        <v>523</v>
      </c>
      <c r="CB5" s="87" t="s">
        <v>524</v>
      </c>
      <c r="CC5" s="91" t="s">
        <v>27</v>
      </c>
      <c r="CD5" s="91" t="s">
        <v>28</v>
      </c>
      <c r="CE5" s="87" t="s">
        <v>513</v>
      </c>
      <c r="CF5" s="87" t="s">
        <v>514</v>
      </c>
      <c r="CG5" s="87" t="s">
        <v>515</v>
      </c>
      <c r="CH5" s="87" t="s">
        <v>516</v>
      </c>
      <c r="CI5" s="87" t="s">
        <v>519</v>
      </c>
      <c r="CJ5" s="87" t="s">
        <v>520</v>
      </c>
      <c r="CK5" s="87" t="s">
        <v>517</v>
      </c>
      <c r="CL5" s="87" t="s">
        <v>518</v>
      </c>
      <c r="CM5" s="87" t="s">
        <v>521</v>
      </c>
      <c r="CN5" s="87" t="s">
        <v>522</v>
      </c>
      <c r="CO5" s="87" t="s">
        <v>559</v>
      </c>
      <c r="CP5" s="87" t="s">
        <v>560</v>
      </c>
      <c r="CQ5" s="87" t="s">
        <v>523</v>
      </c>
      <c r="CR5" s="87" t="s">
        <v>524</v>
      </c>
      <c r="CS5" s="91" t="s">
        <v>27</v>
      </c>
      <c r="CT5" s="91" t="s">
        <v>28</v>
      </c>
      <c r="CU5" s="87" t="s">
        <v>513</v>
      </c>
      <c r="CV5" s="87" t="s">
        <v>514</v>
      </c>
      <c r="CW5" s="87" t="s">
        <v>515</v>
      </c>
      <c r="CX5" s="87" t="s">
        <v>516</v>
      </c>
      <c r="CY5" s="87" t="s">
        <v>519</v>
      </c>
      <c r="CZ5" s="87" t="s">
        <v>520</v>
      </c>
      <c r="DA5" s="87" t="s">
        <v>517</v>
      </c>
      <c r="DB5" s="87" t="s">
        <v>518</v>
      </c>
      <c r="DC5" s="87" t="s">
        <v>521</v>
      </c>
      <c r="DD5" s="87" t="s">
        <v>522</v>
      </c>
      <c r="DE5" s="87" t="s">
        <v>559</v>
      </c>
      <c r="DF5" s="87" t="s">
        <v>560</v>
      </c>
      <c r="DG5" s="87" t="s">
        <v>523</v>
      </c>
      <c r="DH5" s="87" t="s">
        <v>524</v>
      </c>
      <c r="DI5" s="91" t="s">
        <v>27</v>
      </c>
      <c r="DJ5" s="91" t="s">
        <v>28</v>
      </c>
      <c r="DK5" s="87" t="s">
        <v>513</v>
      </c>
      <c r="DL5" s="87" t="s">
        <v>514</v>
      </c>
      <c r="DM5" s="87" t="s">
        <v>515</v>
      </c>
      <c r="DN5" s="87" t="s">
        <v>516</v>
      </c>
      <c r="DO5" s="87" t="s">
        <v>519</v>
      </c>
      <c r="DP5" s="87" t="s">
        <v>520</v>
      </c>
      <c r="DQ5" s="87" t="s">
        <v>517</v>
      </c>
      <c r="DR5" s="87" t="s">
        <v>518</v>
      </c>
      <c r="DS5" s="87" t="s">
        <v>521</v>
      </c>
      <c r="DT5" s="87" t="s">
        <v>522</v>
      </c>
      <c r="DU5" s="87" t="s">
        <v>559</v>
      </c>
      <c r="DV5" s="87" t="s">
        <v>560</v>
      </c>
      <c r="DW5" s="87" t="s">
        <v>523</v>
      </c>
      <c r="DX5" s="87" t="s">
        <v>524</v>
      </c>
      <c r="DY5" s="91" t="s">
        <v>27</v>
      </c>
      <c r="DZ5" s="91" t="s">
        <v>28</v>
      </c>
      <c r="EA5" s="87" t="s">
        <v>513</v>
      </c>
      <c r="EB5" s="87" t="s">
        <v>514</v>
      </c>
      <c r="EC5" s="87" t="s">
        <v>515</v>
      </c>
      <c r="ED5" s="87" t="s">
        <v>516</v>
      </c>
      <c r="EE5" s="87" t="s">
        <v>519</v>
      </c>
      <c r="EF5" s="87" t="s">
        <v>520</v>
      </c>
      <c r="EG5" s="87" t="s">
        <v>517</v>
      </c>
      <c r="EH5" s="87" t="s">
        <v>518</v>
      </c>
      <c r="EI5" s="87" t="s">
        <v>521</v>
      </c>
      <c r="EJ5" s="87" t="s">
        <v>522</v>
      </c>
      <c r="EK5" s="87" t="s">
        <v>559</v>
      </c>
      <c r="EL5" s="87" t="s">
        <v>560</v>
      </c>
      <c r="EM5" s="87" t="s">
        <v>523</v>
      </c>
      <c r="EN5" s="87" t="s">
        <v>524</v>
      </c>
      <c r="EO5" s="91" t="s">
        <v>27</v>
      </c>
      <c r="EP5" s="91" t="s">
        <v>28</v>
      </c>
      <c r="EQ5" s="87" t="s">
        <v>513</v>
      </c>
      <c r="ER5" s="87" t="s">
        <v>514</v>
      </c>
      <c r="ES5" s="87" t="s">
        <v>515</v>
      </c>
      <c r="ET5" s="87" t="s">
        <v>516</v>
      </c>
      <c r="EU5" s="87" t="s">
        <v>519</v>
      </c>
      <c r="EV5" s="87" t="s">
        <v>520</v>
      </c>
      <c r="EW5" s="87" t="s">
        <v>517</v>
      </c>
      <c r="EX5" s="87" t="s">
        <v>518</v>
      </c>
      <c r="EY5" s="87" t="s">
        <v>521</v>
      </c>
      <c r="EZ5" s="87" t="s">
        <v>522</v>
      </c>
      <c r="FA5" s="87" t="s">
        <v>559</v>
      </c>
      <c r="FB5" s="87" t="s">
        <v>560</v>
      </c>
      <c r="FC5" s="87" t="s">
        <v>523</v>
      </c>
      <c r="FD5" s="87" t="s">
        <v>524</v>
      </c>
      <c r="FE5" s="91" t="s">
        <v>27</v>
      </c>
      <c r="FF5" s="91" t="s">
        <v>28</v>
      </c>
      <c r="FG5" s="87" t="s">
        <v>513</v>
      </c>
      <c r="FH5" s="87" t="s">
        <v>514</v>
      </c>
      <c r="FI5" s="87" t="s">
        <v>515</v>
      </c>
      <c r="FJ5" s="87" t="s">
        <v>516</v>
      </c>
      <c r="FK5" s="87" t="s">
        <v>519</v>
      </c>
      <c r="FL5" s="87" t="s">
        <v>520</v>
      </c>
      <c r="FM5" s="87" t="s">
        <v>517</v>
      </c>
      <c r="FN5" s="87" t="s">
        <v>518</v>
      </c>
      <c r="FO5" s="87" t="s">
        <v>521</v>
      </c>
      <c r="FP5" s="87" t="s">
        <v>522</v>
      </c>
      <c r="FQ5" s="87" t="s">
        <v>559</v>
      </c>
      <c r="FR5" s="87" t="s">
        <v>560</v>
      </c>
      <c r="FS5" s="87" t="s">
        <v>523</v>
      </c>
      <c r="FT5" s="87" t="s">
        <v>524</v>
      </c>
      <c r="FU5" s="91" t="s">
        <v>27</v>
      </c>
      <c r="FV5" s="91" t="s">
        <v>28</v>
      </c>
      <c r="FW5" s="87" t="s">
        <v>513</v>
      </c>
      <c r="FX5" s="87" t="s">
        <v>514</v>
      </c>
      <c r="FY5" s="87" t="s">
        <v>515</v>
      </c>
      <c r="FZ5" s="87" t="s">
        <v>516</v>
      </c>
      <c r="GA5" s="87" t="s">
        <v>519</v>
      </c>
      <c r="GB5" s="87" t="s">
        <v>520</v>
      </c>
      <c r="GC5" s="87" t="s">
        <v>517</v>
      </c>
      <c r="GD5" s="87" t="s">
        <v>518</v>
      </c>
      <c r="GE5" s="87" t="s">
        <v>521</v>
      </c>
      <c r="GF5" s="87" t="s">
        <v>522</v>
      </c>
      <c r="GG5" s="87" t="s">
        <v>559</v>
      </c>
      <c r="GH5" s="87" t="s">
        <v>560</v>
      </c>
      <c r="GI5" s="87" t="s">
        <v>523</v>
      </c>
      <c r="GJ5" s="87" t="s">
        <v>524</v>
      </c>
      <c r="GK5" s="91" t="s">
        <v>27</v>
      </c>
      <c r="GL5" s="91" t="s">
        <v>28</v>
      </c>
      <c r="GM5" s="87" t="s">
        <v>513</v>
      </c>
      <c r="GN5" s="87" t="s">
        <v>514</v>
      </c>
      <c r="GO5" s="87" t="s">
        <v>515</v>
      </c>
      <c r="GP5" s="87" t="s">
        <v>516</v>
      </c>
      <c r="GQ5" s="87" t="s">
        <v>519</v>
      </c>
      <c r="GR5" s="87" t="s">
        <v>520</v>
      </c>
      <c r="GS5" s="87" t="s">
        <v>517</v>
      </c>
      <c r="GT5" s="87" t="s">
        <v>518</v>
      </c>
      <c r="GU5" s="87" t="s">
        <v>521</v>
      </c>
      <c r="GV5" s="87" t="s">
        <v>522</v>
      </c>
      <c r="GW5" s="87" t="s">
        <v>559</v>
      </c>
      <c r="GX5" s="87" t="s">
        <v>560</v>
      </c>
      <c r="GY5" s="87" t="s">
        <v>523</v>
      </c>
      <c r="GZ5" s="87" t="s">
        <v>524</v>
      </c>
      <c r="HA5" s="91" t="s">
        <v>27</v>
      </c>
      <c r="HB5" s="91" t="s">
        <v>28</v>
      </c>
      <c r="HC5" s="87" t="s">
        <v>513</v>
      </c>
      <c r="HD5" s="87" t="s">
        <v>514</v>
      </c>
      <c r="HE5" s="87" t="s">
        <v>515</v>
      </c>
      <c r="HF5" s="87" t="s">
        <v>516</v>
      </c>
      <c r="HG5" s="87" t="s">
        <v>519</v>
      </c>
      <c r="HH5" s="87" t="s">
        <v>520</v>
      </c>
      <c r="HI5" s="87" t="s">
        <v>517</v>
      </c>
      <c r="HJ5" s="87" t="s">
        <v>518</v>
      </c>
      <c r="HK5" s="87" t="s">
        <v>521</v>
      </c>
      <c r="HL5" s="87" t="s">
        <v>522</v>
      </c>
      <c r="HM5" s="87" t="s">
        <v>559</v>
      </c>
      <c r="HN5" s="87" t="s">
        <v>560</v>
      </c>
      <c r="HO5" s="87" t="s">
        <v>523</v>
      </c>
      <c r="HP5" s="87" t="s">
        <v>524</v>
      </c>
      <c r="HQ5" s="91" t="s">
        <v>27</v>
      </c>
      <c r="HR5" s="91" t="s">
        <v>28</v>
      </c>
      <c r="HS5" s="87" t="s">
        <v>513</v>
      </c>
      <c r="HT5" s="87" t="s">
        <v>514</v>
      </c>
      <c r="HU5" s="87" t="s">
        <v>515</v>
      </c>
      <c r="HV5" s="87" t="s">
        <v>516</v>
      </c>
      <c r="HW5" s="87" t="s">
        <v>519</v>
      </c>
      <c r="HX5" s="87" t="s">
        <v>520</v>
      </c>
      <c r="HY5" s="87" t="s">
        <v>517</v>
      </c>
      <c r="HZ5" s="87" t="s">
        <v>518</v>
      </c>
      <c r="IA5" s="87" t="s">
        <v>521</v>
      </c>
      <c r="IB5" s="87" t="s">
        <v>522</v>
      </c>
      <c r="IC5" s="87" t="s">
        <v>559</v>
      </c>
      <c r="ID5" s="87" t="s">
        <v>560</v>
      </c>
      <c r="IE5" s="87" t="s">
        <v>523</v>
      </c>
      <c r="IF5" s="87" t="s">
        <v>524</v>
      </c>
      <c r="IG5" s="91" t="s">
        <v>27</v>
      </c>
      <c r="IH5" s="91" t="s">
        <v>28</v>
      </c>
      <c r="II5" s="87" t="s">
        <v>513</v>
      </c>
      <c r="IJ5" s="87" t="s">
        <v>514</v>
      </c>
      <c r="IK5" s="87" t="s">
        <v>515</v>
      </c>
      <c r="IL5" s="87" t="s">
        <v>516</v>
      </c>
      <c r="IM5" s="87" t="s">
        <v>519</v>
      </c>
      <c r="IN5" s="87" t="s">
        <v>520</v>
      </c>
      <c r="IO5" s="87" t="s">
        <v>517</v>
      </c>
      <c r="IP5" s="87" t="s">
        <v>518</v>
      </c>
      <c r="IQ5" s="87" t="s">
        <v>521</v>
      </c>
      <c r="IR5" s="87" t="s">
        <v>522</v>
      </c>
      <c r="IS5" s="87" t="s">
        <v>559</v>
      </c>
      <c r="IT5" s="87" t="s">
        <v>560</v>
      </c>
      <c r="IU5" s="87" t="s">
        <v>523</v>
      </c>
      <c r="IV5" s="87" t="s">
        <v>524</v>
      </c>
      <c r="IW5" s="91" t="s">
        <v>27</v>
      </c>
      <c r="IX5" s="91" t="s">
        <v>28</v>
      </c>
      <c r="IY5" s="87" t="s">
        <v>513</v>
      </c>
      <c r="IZ5" s="87" t="s">
        <v>514</v>
      </c>
      <c r="JA5" s="87" t="s">
        <v>515</v>
      </c>
      <c r="JB5" s="87" t="s">
        <v>516</v>
      </c>
      <c r="JC5" s="87" t="s">
        <v>519</v>
      </c>
      <c r="JD5" s="87" t="s">
        <v>520</v>
      </c>
      <c r="JE5" s="87" t="s">
        <v>517</v>
      </c>
      <c r="JF5" s="87" t="s">
        <v>518</v>
      </c>
      <c r="JG5" s="87" t="s">
        <v>521</v>
      </c>
      <c r="JH5" s="87" t="s">
        <v>522</v>
      </c>
      <c r="JI5" s="87" t="s">
        <v>559</v>
      </c>
      <c r="JJ5" s="87" t="s">
        <v>560</v>
      </c>
      <c r="JK5" s="87" t="s">
        <v>523</v>
      </c>
      <c r="JL5" s="87" t="s">
        <v>524</v>
      </c>
      <c r="JM5" s="91" t="s">
        <v>27</v>
      </c>
      <c r="JN5" s="91" t="s">
        <v>28</v>
      </c>
      <c r="JO5" s="87" t="s">
        <v>513</v>
      </c>
      <c r="JP5" s="87" t="s">
        <v>514</v>
      </c>
      <c r="JQ5" s="87" t="s">
        <v>515</v>
      </c>
      <c r="JR5" s="87" t="s">
        <v>516</v>
      </c>
      <c r="JS5" s="87" t="s">
        <v>519</v>
      </c>
      <c r="JT5" s="87" t="s">
        <v>520</v>
      </c>
      <c r="JU5" s="87" t="s">
        <v>517</v>
      </c>
      <c r="JV5" s="87" t="s">
        <v>518</v>
      </c>
      <c r="JW5" s="87" t="s">
        <v>521</v>
      </c>
      <c r="JX5" s="87" t="s">
        <v>522</v>
      </c>
      <c r="JY5" s="87" t="s">
        <v>559</v>
      </c>
      <c r="JZ5" s="87" t="s">
        <v>560</v>
      </c>
      <c r="KA5" s="87" t="s">
        <v>523</v>
      </c>
      <c r="KB5" s="87" t="s">
        <v>524</v>
      </c>
      <c r="KC5" s="91" t="s">
        <v>27</v>
      </c>
      <c r="KD5" s="91" t="s">
        <v>28</v>
      </c>
      <c r="KE5" s="87" t="s">
        <v>513</v>
      </c>
      <c r="KF5" s="87" t="s">
        <v>514</v>
      </c>
      <c r="KG5" s="87" t="s">
        <v>515</v>
      </c>
      <c r="KH5" s="87" t="s">
        <v>516</v>
      </c>
      <c r="KI5" s="87" t="s">
        <v>519</v>
      </c>
      <c r="KJ5" s="87" t="s">
        <v>520</v>
      </c>
      <c r="KK5" s="87" t="s">
        <v>517</v>
      </c>
      <c r="KL5" s="87" t="s">
        <v>518</v>
      </c>
      <c r="KM5" s="87" t="s">
        <v>521</v>
      </c>
      <c r="KN5" s="87" t="s">
        <v>522</v>
      </c>
      <c r="KO5" s="87" t="s">
        <v>559</v>
      </c>
      <c r="KP5" s="87" t="s">
        <v>560</v>
      </c>
      <c r="KQ5" s="87" t="s">
        <v>523</v>
      </c>
      <c r="KR5" s="87" t="s">
        <v>524</v>
      </c>
      <c r="KS5" s="91" t="s">
        <v>27</v>
      </c>
      <c r="KT5" s="91" t="s">
        <v>28</v>
      </c>
      <c r="KU5" s="87" t="s">
        <v>513</v>
      </c>
      <c r="KV5" s="87" t="s">
        <v>514</v>
      </c>
      <c r="KW5" s="87" t="s">
        <v>515</v>
      </c>
      <c r="KX5" s="87" t="s">
        <v>516</v>
      </c>
      <c r="KY5" s="87" t="s">
        <v>519</v>
      </c>
      <c r="KZ5" s="87" t="s">
        <v>520</v>
      </c>
      <c r="LA5" s="87" t="s">
        <v>517</v>
      </c>
      <c r="LB5" s="87" t="s">
        <v>518</v>
      </c>
      <c r="LC5" s="87" t="s">
        <v>521</v>
      </c>
      <c r="LD5" s="87" t="s">
        <v>522</v>
      </c>
      <c r="LE5" s="87" t="s">
        <v>559</v>
      </c>
      <c r="LF5" s="87" t="s">
        <v>560</v>
      </c>
      <c r="LG5" s="87" t="s">
        <v>523</v>
      </c>
      <c r="LH5" s="87" t="s">
        <v>524</v>
      </c>
      <c r="LI5" s="91" t="s">
        <v>27</v>
      </c>
      <c r="LJ5" s="91" t="s">
        <v>28</v>
      </c>
      <c r="LK5" s="87" t="s">
        <v>513</v>
      </c>
      <c r="LL5" s="87" t="s">
        <v>514</v>
      </c>
      <c r="LM5" s="87" t="s">
        <v>515</v>
      </c>
      <c r="LN5" s="87" t="s">
        <v>516</v>
      </c>
      <c r="LO5" s="87" t="s">
        <v>519</v>
      </c>
      <c r="LP5" s="87" t="s">
        <v>520</v>
      </c>
      <c r="LQ5" s="87" t="s">
        <v>517</v>
      </c>
      <c r="LR5" s="87" t="s">
        <v>518</v>
      </c>
      <c r="LS5" s="87" t="s">
        <v>521</v>
      </c>
      <c r="LT5" s="87" t="s">
        <v>522</v>
      </c>
      <c r="LU5" s="87" t="s">
        <v>559</v>
      </c>
      <c r="LV5" s="87" t="s">
        <v>560</v>
      </c>
      <c r="LW5" s="87" t="s">
        <v>523</v>
      </c>
      <c r="LX5" s="87" t="s">
        <v>524</v>
      </c>
      <c r="LY5" s="91" t="s">
        <v>27</v>
      </c>
      <c r="LZ5" s="91" t="s">
        <v>28</v>
      </c>
      <c r="MA5" s="87" t="s">
        <v>513</v>
      </c>
      <c r="MB5" s="87" t="s">
        <v>514</v>
      </c>
      <c r="MC5" s="87" t="s">
        <v>515</v>
      </c>
      <c r="MD5" s="87" t="s">
        <v>516</v>
      </c>
      <c r="ME5" s="87" t="s">
        <v>519</v>
      </c>
      <c r="MF5" s="87" t="s">
        <v>520</v>
      </c>
      <c r="MG5" s="87" t="s">
        <v>517</v>
      </c>
      <c r="MH5" s="87" t="s">
        <v>518</v>
      </c>
      <c r="MI5" s="87" t="s">
        <v>521</v>
      </c>
      <c r="MJ5" s="87" t="s">
        <v>522</v>
      </c>
      <c r="MK5" s="87" t="s">
        <v>559</v>
      </c>
      <c r="ML5" s="87" t="s">
        <v>560</v>
      </c>
      <c r="MM5" s="87" t="s">
        <v>523</v>
      </c>
      <c r="MN5" s="87" t="s">
        <v>524</v>
      </c>
      <c r="MO5" s="91" t="s">
        <v>27</v>
      </c>
      <c r="MP5" s="91" t="s">
        <v>28</v>
      </c>
      <c r="MQ5" s="87" t="s">
        <v>513</v>
      </c>
      <c r="MR5" s="87" t="s">
        <v>514</v>
      </c>
      <c r="MS5" s="87" t="s">
        <v>515</v>
      </c>
      <c r="MT5" s="87" t="s">
        <v>516</v>
      </c>
      <c r="MU5" s="87" t="s">
        <v>519</v>
      </c>
      <c r="MV5" s="87" t="s">
        <v>520</v>
      </c>
      <c r="MW5" s="87" t="s">
        <v>517</v>
      </c>
      <c r="MX5" s="87" t="s">
        <v>518</v>
      </c>
      <c r="MY5" s="87" t="s">
        <v>521</v>
      </c>
      <c r="MZ5" s="87" t="s">
        <v>522</v>
      </c>
      <c r="NA5" s="87" t="s">
        <v>559</v>
      </c>
      <c r="NB5" s="87" t="s">
        <v>560</v>
      </c>
      <c r="NC5" s="87" t="s">
        <v>523</v>
      </c>
      <c r="ND5" s="87" t="s">
        <v>524</v>
      </c>
      <c r="NE5" s="91" t="s">
        <v>27</v>
      </c>
      <c r="NF5" s="91" t="s">
        <v>28</v>
      </c>
      <c r="NG5" s="87" t="s">
        <v>513</v>
      </c>
      <c r="NH5" s="87" t="s">
        <v>514</v>
      </c>
      <c r="NI5" s="87" t="s">
        <v>515</v>
      </c>
      <c r="NJ5" s="87" t="s">
        <v>516</v>
      </c>
      <c r="NK5" s="87" t="s">
        <v>519</v>
      </c>
      <c r="NL5" s="87" t="s">
        <v>520</v>
      </c>
      <c r="NM5" s="87" t="s">
        <v>517</v>
      </c>
      <c r="NN5" s="87" t="s">
        <v>518</v>
      </c>
      <c r="NO5" s="87" t="s">
        <v>521</v>
      </c>
      <c r="NP5" s="87" t="s">
        <v>522</v>
      </c>
      <c r="NQ5" s="87" t="s">
        <v>559</v>
      </c>
      <c r="NR5" s="87" t="s">
        <v>560</v>
      </c>
      <c r="NS5" s="87" t="s">
        <v>523</v>
      </c>
      <c r="NT5" s="87" t="s">
        <v>524</v>
      </c>
      <c r="NU5" s="91" t="s">
        <v>27</v>
      </c>
      <c r="NV5" s="91" t="s">
        <v>28</v>
      </c>
      <c r="NW5" s="87" t="s">
        <v>513</v>
      </c>
      <c r="NX5" s="87" t="s">
        <v>514</v>
      </c>
      <c r="NY5" s="87" t="s">
        <v>515</v>
      </c>
      <c r="NZ5" s="87" t="s">
        <v>516</v>
      </c>
      <c r="OA5" s="87" t="s">
        <v>519</v>
      </c>
      <c r="OB5" s="87" t="s">
        <v>520</v>
      </c>
      <c r="OC5" s="87" t="s">
        <v>517</v>
      </c>
      <c r="OD5" s="87" t="s">
        <v>518</v>
      </c>
      <c r="OE5" s="87" t="s">
        <v>521</v>
      </c>
      <c r="OF5" s="87" t="s">
        <v>522</v>
      </c>
      <c r="OG5" s="87" t="s">
        <v>559</v>
      </c>
      <c r="OH5" s="87" t="s">
        <v>560</v>
      </c>
      <c r="OI5" s="87" t="s">
        <v>523</v>
      </c>
      <c r="OJ5" s="87" t="s">
        <v>524</v>
      </c>
      <c r="OK5" s="91" t="s">
        <v>27</v>
      </c>
      <c r="OL5" s="91" t="s">
        <v>28</v>
      </c>
      <c r="OM5" s="87" t="s">
        <v>513</v>
      </c>
      <c r="ON5" s="87" t="s">
        <v>514</v>
      </c>
      <c r="OO5" s="87" t="s">
        <v>515</v>
      </c>
      <c r="OP5" s="87" t="s">
        <v>516</v>
      </c>
      <c r="OQ5" s="87" t="s">
        <v>519</v>
      </c>
      <c r="OR5" s="87" t="s">
        <v>520</v>
      </c>
      <c r="OS5" s="87" t="s">
        <v>517</v>
      </c>
      <c r="OT5" s="87" t="s">
        <v>518</v>
      </c>
      <c r="OU5" s="87" t="s">
        <v>521</v>
      </c>
      <c r="OV5" s="87" t="s">
        <v>522</v>
      </c>
      <c r="OW5" s="87" t="s">
        <v>559</v>
      </c>
      <c r="OX5" s="87" t="s">
        <v>560</v>
      </c>
      <c r="OY5" s="87" t="s">
        <v>523</v>
      </c>
      <c r="OZ5" s="87" t="s">
        <v>524</v>
      </c>
      <c r="PA5" s="91" t="s">
        <v>27</v>
      </c>
      <c r="PB5" s="91" t="s">
        <v>28</v>
      </c>
      <c r="PC5" s="87" t="s">
        <v>513</v>
      </c>
      <c r="PD5" s="87" t="s">
        <v>514</v>
      </c>
      <c r="PE5" s="87" t="s">
        <v>515</v>
      </c>
      <c r="PF5" s="87" t="s">
        <v>516</v>
      </c>
      <c r="PG5" s="87" t="s">
        <v>519</v>
      </c>
      <c r="PH5" s="87" t="s">
        <v>520</v>
      </c>
      <c r="PI5" s="87" t="s">
        <v>517</v>
      </c>
      <c r="PJ5" s="87" t="s">
        <v>518</v>
      </c>
      <c r="PK5" s="87" t="s">
        <v>521</v>
      </c>
      <c r="PL5" s="87" t="s">
        <v>522</v>
      </c>
      <c r="PM5" s="87" t="s">
        <v>559</v>
      </c>
      <c r="PN5" s="87" t="s">
        <v>560</v>
      </c>
      <c r="PO5" s="87" t="s">
        <v>523</v>
      </c>
      <c r="PP5" s="87" t="s">
        <v>524</v>
      </c>
      <c r="PQ5" s="91" t="s">
        <v>27</v>
      </c>
      <c r="PR5" s="91" t="s">
        <v>28</v>
      </c>
      <c r="PS5" s="87" t="s">
        <v>513</v>
      </c>
      <c r="PT5" s="87" t="s">
        <v>514</v>
      </c>
      <c r="PU5" s="87" t="s">
        <v>515</v>
      </c>
      <c r="PV5" s="87" t="s">
        <v>516</v>
      </c>
      <c r="PW5" s="87" t="s">
        <v>519</v>
      </c>
      <c r="PX5" s="87" t="s">
        <v>520</v>
      </c>
      <c r="PY5" s="87" t="s">
        <v>517</v>
      </c>
      <c r="PZ5" s="87" t="s">
        <v>518</v>
      </c>
      <c r="QA5" s="87" t="s">
        <v>521</v>
      </c>
      <c r="QB5" s="87" t="s">
        <v>522</v>
      </c>
      <c r="QC5" s="87" t="s">
        <v>559</v>
      </c>
      <c r="QD5" s="87" t="s">
        <v>560</v>
      </c>
      <c r="QE5" s="87" t="s">
        <v>523</v>
      </c>
      <c r="QF5" s="87" t="s">
        <v>524</v>
      </c>
      <c r="QG5" s="91" t="s">
        <v>27</v>
      </c>
      <c r="QH5" s="91" t="s">
        <v>28</v>
      </c>
      <c r="QI5" s="87" t="s">
        <v>513</v>
      </c>
      <c r="QJ5" s="87" t="s">
        <v>514</v>
      </c>
      <c r="QK5" s="87" t="s">
        <v>515</v>
      </c>
      <c r="QL5" s="87" t="s">
        <v>516</v>
      </c>
      <c r="QM5" s="87" t="s">
        <v>519</v>
      </c>
      <c r="QN5" s="87" t="s">
        <v>520</v>
      </c>
      <c r="QO5" s="87" t="s">
        <v>517</v>
      </c>
      <c r="QP5" s="87" t="s">
        <v>518</v>
      </c>
      <c r="QQ5" s="87" t="s">
        <v>521</v>
      </c>
      <c r="QR5" s="87" t="s">
        <v>522</v>
      </c>
      <c r="QS5" s="87" t="s">
        <v>559</v>
      </c>
      <c r="QT5" s="87" t="s">
        <v>560</v>
      </c>
      <c r="QU5" s="87" t="s">
        <v>523</v>
      </c>
      <c r="QV5" s="87" t="s">
        <v>524</v>
      </c>
      <c r="QW5" s="91" t="s">
        <v>27</v>
      </c>
      <c r="QX5" s="91" t="s">
        <v>28</v>
      </c>
      <c r="QY5" s="87" t="s">
        <v>513</v>
      </c>
      <c r="QZ5" s="87" t="s">
        <v>514</v>
      </c>
      <c r="RA5" s="87" t="s">
        <v>515</v>
      </c>
      <c r="RB5" s="87" t="s">
        <v>516</v>
      </c>
      <c r="RC5" s="87" t="s">
        <v>519</v>
      </c>
      <c r="RD5" s="87" t="s">
        <v>520</v>
      </c>
      <c r="RE5" s="87" t="s">
        <v>517</v>
      </c>
      <c r="RF5" s="87" t="s">
        <v>518</v>
      </c>
      <c r="RG5" s="87" t="s">
        <v>521</v>
      </c>
      <c r="RH5" s="87" t="s">
        <v>522</v>
      </c>
      <c r="RI5" s="87" t="s">
        <v>559</v>
      </c>
      <c r="RJ5" s="87" t="s">
        <v>560</v>
      </c>
      <c r="RK5" s="87" t="s">
        <v>523</v>
      </c>
      <c r="RL5" s="87" t="s">
        <v>524</v>
      </c>
      <c r="RM5" s="91" t="s">
        <v>27</v>
      </c>
      <c r="RN5" s="91" t="s">
        <v>28</v>
      </c>
      <c r="RO5" s="87" t="s">
        <v>513</v>
      </c>
      <c r="RP5" s="87" t="s">
        <v>514</v>
      </c>
      <c r="RQ5" s="87" t="s">
        <v>515</v>
      </c>
      <c r="RR5" s="87" t="s">
        <v>516</v>
      </c>
      <c r="RS5" s="87" t="s">
        <v>519</v>
      </c>
      <c r="RT5" s="87" t="s">
        <v>520</v>
      </c>
      <c r="RU5" s="87" t="s">
        <v>517</v>
      </c>
      <c r="RV5" s="87" t="s">
        <v>518</v>
      </c>
      <c r="RW5" s="87" t="s">
        <v>521</v>
      </c>
      <c r="RX5" s="87" t="s">
        <v>522</v>
      </c>
      <c r="RY5" s="87" t="s">
        <v>559</v>
      </c>
      <c r="RZ5" s="87" t="s">
        <v>560</v>
      </c>
      <c r="SA5" s="87" t="s">
        <v>523</v>
      </c>
      <c r="SB5" s="87" t="s">
        <v>524</v>
      </c>
      <c r="SC5" s="91" t="s">
        <v>27</v>
      </c>
      <c r="SD5" s="91" t="s">
        <v>28</v>
      </c>
      <c r="SE5" s="87" t="s">
        <v>513</v>
      </c>
      <c r="SF5" s="87" t="s">
        <v>514</v>
      </c>
      <c r="SG5" s="87" t="s">
        <v>515</v>
      </c>
      <c r="SH5" s="87" t="s">
        <v>516</v>
      </c>
      <c r="SI5" s="87" t="s">
        <v>519</v>
      </c>
      <c r="SJ5" s="87" t="s">
        <v>520</v>
      </c>
      <c r="SK5" s="87" t="s">
        <v>517</v>
      </c>
      <c r="SL5" s="87" t="s">
        <v>518</v>
      </c>
      <c r="SM5" s="87" t="s">
        <v>521</v>
      </c>
      <c r="SN5" s="87" t="s">
        <v>522</v>
      </c>
      <c r="SO5" s="87" t="s">
        <v>559</v>
      </c>
      <c r="SP5" s="87" t="s">
        <v>560</v>
      </c>
      <c r="SQ5" s="87" t="s">
        <v>523</v>
      </c>
      <c r="SR5" s="87" t="s">
        <v>524</v>
      </c>
      <c r="SS5" s="91" t="s">
        <v>27</v>
      </c>
      <c r="ST5" s="91" t="s">
        <v>28</v>
      </c>
      <c r="SU5" s="87" t="s">
        <v>513</v>
      </c>
      <c r="SV5" s="87" t="s">
        <v>514</v>
      </c>
      <c r="SW5" s="87" t="s">
        <v>515</v>
      </c>
      <c r="SX5" s="87" t="s">
        <v>516</v>
      </c>
      <c r="SY5" s="87" t="s">
        <v>519</v>
      </c>
      <c r="SZ5" s="87" t="s">
        <v>520</v>
      </c>
      <c r="TA5" s="87" t="s">
        <v>517</v>
      </c>
      <c r="TB5" s="87" t="s">
        <v>518</v>
      </c>
      <c r="TC5" s="87" t="s">
        <v>521</v>
      </c>
      <c r="TD5" s="87" t="s">
        <v>522</v>
      </c>
      <c r="TE5" s="87" t="s">
        <v>559</v>
      </c>
      <c r="TF5" s="87" t="s">
        <v>560</v>
      </c>
      <c r="TG5" s="87" t="s">
        <v>523</v>
      </c>
      <c r="TH5" s="87" t="s">
        <v>524</v>
      </c>
      <c r="TI5" s="91" t="s">
        <v>27</v>
      </c>
      <c r="TJ5" s="91" t="s">
        <v>28</v>
      </c>
      <c r="TK5" s="87" t="s">
        <v>513</v>
      </c>
      <c r="TL5" s="87" t="s">
        <v>514</v>
      </c>
      <c r="TM5" s="87" t="s">
        <v>515</v>
      </c>
      <c r="TN5" s="87" t="s">
        <v>516</v>
      </c>
      <c r="TO5" s="87" t="s">
        <v>519</v>
      </c>
      <c r="TP5" s="87" t="s">
        <v>520</v>
      </c>
      <c r="TQ5" s="87" t="s">
        <v>517</v>
      </c>
      <c r="TR5" s="87" t="s">
        <v>518</v>
      </c>
      <c r="TS5" s="87" t="s">
        <v>521</v>
      </c>
      <c r="TT5" s="87" t="s">
        <v>522</v>
      </c>
      <c r="TU5" s="87" t="s">
        <v>559</v>
      </c>
      <c r="TV5" s="87" t="s">
        <v>560</v>
      </c>
      <c r="TW5" s="87" t="s">
        <v>523</v>
      </c>
      <c r="TX5" s="87" t="s">
        <v>524</v>
      </c>
      <c r="TY5" s="91" t="s">
        <v>27</v>
      </c>
      <c r="TZ5" s="91" t="s">
        <v>28</v>
      </c>
      <c r="UA5" s="87" t="s">
        <v>513</v>
      </c>
      <c r="UB5" s="87" t="s">
        <v>514</v>
      </c>
      <c r="UC5" s="87" t="s">
        <v>515</v>
      </c>
      <c r="UD5" s="87" t="s">
        <v>516</v>
      </c>
      <c r="UE5" s="87" t="s">
        <v>519</v>
      </c>
      <c r="UF5" s="87" t="s">
        <v>520</v>
      </c>
      <c r="UG5" s="87" t="s">
        <v>517</v>
      </c>
      <c r="UH5" s="87" t="s">
        <v>518</v>
      </c>
      <c r="UI5" s="87" t="s">
        <v>521</v>
      </c>
      <c r="UJ5" s="87" t="s">
        <v>522</v>
      </c>
      <c r="UK5" s="87" t="s">
        <v>559</v>
      </c>
      <c r="UL5" s="87" t="s">
        <v>560</v>
      </c>
      <c r="UM5" s="87" t="s">
        <v>523</v>
      </c>
      <c r="UN5" s="87" t="s">
        <v>524</v>
      </c>
      <c r="UO5" s="91" t="s">
        <v>27</v>
      </c>
      <c r="UP5" s="91" t="s">
        <v>28</v>
      </c>
      <c r="UQ5" s="87" t="s">
        <v>513</v>
      </c>
      <c r="UR5" s="87" t="s">
        <v>514</v>
      </c>
      <c r="US5" s="87" t="s">
        <v>515</v>
      </c>
      <c r="UT5" s="87" t="s">
        <v>516</v>
      </c>
      <c r="UU5" s="87" t="s">
        <v>519</v>
      </c>
      <c r="UV5" s="87" t="s">
        <v>520</v>
      </c>
      <c r="UW5" s="87" t="s">
        <v>517</v>
      </c>
      <c r="UX5" s="87" t="s">
        <v>518</v>
      </c>
      <c r="UY5" s="87" t="s">
        <v>521</v>
      </c>
      <c r="UZ5" s="87" t="s">
        <v>522</v>
      </c>
      <c r="VA5" s="87" t="s">
        <v>559</v>
      </c>
      <c r="VB5" s="87" t="s">
        <v>560</v>
      </c>
      <c r="VC5" s="87" t="s">
        <v>523</v>
      </c>
      <c r="VD5" s="87" t="s">
        <v>524</v>
      </c>
      <c r="VE5" s="91" t="s">
        <v>27</v>
      </c>
      <c r="VF5" s="91" t="s">
        <v>28</v>
      </c>
      <c r="VG5" s="87" t="s">
        <v>513</v>
      </c>
      <c r="VH5" s="87" t="s">
        <v>514</v>
      </c>
      <c r="VI5" s="87" t="s">
        <v>515</v>
      </c>
      <c r="VJ5" s="87" t="s">
        <v>516</v>
      </c>
      <c r="VK5" s="87" t="s">
        <v>519</v>
      </c>
      <c r="VL5" s="87" t="s">
        <v>520</v>
      </c>
      <c r="VM5" s="87" t="s">
        <v>517</v>
      </c>
      <c r="VN5" s="87" t="s">
        <v>518</v>
      </c>
      <c r="VO5" s="87" t="s">
        <v>521</v>
      </c>
      <c r="VP5" s="87" t="s">
        <v>522</v>
      </c>
      <c r="VQ5" s="87" t="s">
        <v>559</v>
      </c>
      <c r="VR5" s="87" t="s">
        <v>560</v>
      </c>
      <c r="VS5" s="87" t="s">
        <v>523</v>
      </c>
      <c r="VT5" s="87" t="s">
        <v>524</v>
      </c>
      <c r="VU5" s="91" t="s">
        <v>27</v>
      </c>
      <c r="VV5" s="91" t="s">
        <v>28</v>
      </c>
      <c r="VW5" s="87" t="s">
        <v>513</v>
      </c>
      <c r="VX5" s="87" t="s">
        <v>514</v>
      </c>
      <c r="VY5" s="87" t="s">
        <v>515</v>
      </c>
      <c r="VZ5" s="87" t="s">
        <v>516</v>
      </c>
      <c r="WA5" s="87" t="s">
        <v>519</v>
      </c>
      <c r="WB5" s="87" t="s">
        <v>520</v>
      </c>
      <c r="WC5" s="87" t="s">
        <v>517</v>
      </c>
      <c r="WD5" s="87" t="s">
        <v>518</v>
      </c>
      <c r="WE5" s="87" t="s">
        <v>521</v>
      </c>
      <c r="WF5" s="87" t="s">
        <v>522</v>
      </c>
      <c r="WG5" s="87" t="s">
        <v>559</v>
      </c>
      <c r="WH5" s="87" t="s">
        <v>560</v>
      </c>
      <c r="WI5" s="87" t="s">
        <v>523</v>
      </c>
      <c r="WJ5" s="87" t="s">
        <v>524</v>
      </c>
      <c r="WK5" s="91" t="s">
        <v>27</v>
      </c>
      <c r="WL5" s="91" t="s">
        <v>28</v>
      </c>
      <c r="WM5" s="89"/>
      <c r="WN5" s="87" t="s">
        <v>513</v>
      </c>
      <c r="WO5" s="87" t="s">
        <v>514</v>
      </c>
      <c r="WP5" s="87" t="s">
        <v>515</v>
      </c>
      <c r="WQ5" s="87" t="s">
        <v>516</v>
      </c>
      <c r="WR5" s="87" t="s">
        <v>519</v>
      </c>
      <c r="WS5" s="87" t="s">
        <v>520</v>
      </c>
      <c r="WT5" s="87" t="s">
        <v>517</v>
      </c>
      <c r="WU5" s="87" t="s">
        <v>518</v>
      </c>
      <c r="WV5" s="87" t="s">
        <v>521</v>
      </c>
      <c r="WW5" s="87" t="s">
        <v>522</v>
      </c>
      <c r="WX5" s="87" t="s">
        <v>559</v>
      </c>
      <c r="WY5" s="87" t="s">
        <v>560</v>
      </c>
      <c r="WZ5" s="87" t="s">
        <v>523</v>
      </c>
      <c r="XA5" s="87" t="s">
        <v>524</v>
      </c>
      <c r="XB5" s="91" t="s">
        <v>27</v>
      </c>
      <c r="XC5" s="91" t="s">
        <v>28</v>
      </c>
      <c r="XD5" s="89"/>
      <c r="XE5" s="91" t="s">
        <v>27</v>
      </c>
      <c r="XF5" s="91" t="s">
        <v>28</v>
      </c>
      <c r="XG5" s="89"/>
      <c r="XH5" s="91" t="s">
        <v>27</v>
      </c>
      <c r="XI5" s="91" t="s">
        <v>28</v>
      </c>
      <c r="XJ5" s="89"/>
      <c r="XK5" s="87" t="s">
        <v>513</v>
      </c>
      <c r="XL5" s="87" t="s">
        <v>515</v>
      </c>
      <c r="XM5" s="87" t="s">
        <v>519</v>
      </c>
      <c r="XN5" s="87" t="s">
        <v>517</v>
      </c>
      <c r="XO5" s="87" t="s">
        <v>521</v>
      </c>
      <c r="XP5" s="87" t="s">
        <v>559</v>
      </c>
      <c r="XQ5" s="87" t="s">
        <v>523</v>
      </c>
      <c r="XR5" s="91" t="s">
        <v>27</v>
      </c>
      <c r="XS5" s="89"/>
      <c r="XT5" s="87" t="s">
        <v>514</v>
      </c>
      <c r="XU5" s="87" t="s">
        <v>516</v>
      </c>
      <c r="XV5" s="87" t="s">
        <v>520</v>
      </c>
      <c r="XW5" s="87" t="s">
        <v>518</v>
      </c>
      <c r="XX5" s="87" t="s">
        <v>522</v>
      </c>
      <c r="XY5" s="87" t="s">
        <v>560</v>
      </c>
      <c r="XZ5" s="87" t="s">
        <v>524</v>
      </c>
      <c r="YA5" s="91" t="s">
        <v>28</v>
      </c>
      <c r="YB5" s="87"/>
      <c r="YC5" s="87"/>
      <c r="YD5" s="87"/>
      <c r="YE5" s="87"/>
      <c r="YF5" s="87"/>
      <c r="YG5" s="87"/>
      <c r="YH5" s="87"/>
      <c r="YI5" s="87"/>
      <c r="YJ5" s="87"/>
      <c r="YK5" s="87"/>
      <c r="YL5" s="87"/>
      <c r="YM5" s="87"/>
      <c r="YN5" s="87"/>
      <c r="YO5" s="87"/>
      <c r="YP5" s="87"/>
      <c r="YQ5" s="87"/>
      <c r="YR5" s="87"/>
      <c r="YS5" s="87"/>
      <c r="YT5" s="87"/>
      <c r="YU5" s="87"/>
      <c r="YV5" s="87"/>
      <c r="YW5" s="87"/>
      <c r="YX5" s="87"/>
      <c r="YY5" s="87"/>
      <c r="YZ5" s="87"/>
      <c r="ZA5" s="87"/>
      <c r="ZB5" s="87"/>
      <c r="ZC5" s="87"/>
      <c r="ZD5" s="87"/>
      <c r="ZE5" s="87"/>
      <c r="ZF5" s="87"/>
      <c r="ZG5" s="87"/>
      <c r="ZH5" s="87"/>
      <c r="ZI5" s="87"/>
      <c r="ZJ5" s="87"/>
      <c r="ZK5" s="87"/>
      <c r="ZL5" s="87"/>
      <c r="ZM5" s="87"/>
      <c r="ZN5" s="87"/>
      <c r="ZO5" s="87"/>
      <c r="ZP5" s="87"/>
      <c r="ZQ5" s="87"/>
      <c r="ZR5" s="87"/>
      <c r="ZS5" s="87"/>
      <c r="ZT5" s="87"/>
      <c r="ZU5" s="87"/>
      <c r="ZV5" s="87"/>
      <c r="ZW5" s="87"/>
      <c r="ZX5" s="87"/>
      <c r="ZY5" s="87"/>
      <c r="ZZ5" s="87"/>
      <c r="AAA5" s="87"/>
      <c r="AAB5" s="87"/>
      <c r="AAC5" s="87"/>
      <c r="AAD5" s="87"/>
      <c r="AAE5" s="87"/>
      <c r="AAF5" s="87"/>
      <c r="AAG5" s="87"/>
      <c r="AAH5" s="87"/>
      <c r="AAI5" s="87"/>
      <c r="AAJ5" s="87"/>
      <c r="AAK5" s="87"/>
      <c r="AAL5" s="87"/>
      <c r="AAM5" s="87"/>
      <c r="AAN5" s="87"/>
      <c r="AAO5" s="87"/>
      <c r="AAP5" s="87"/>
      <c r="AAQ5" s="87"/>
      <c r="AAR5" s="87"/>
      <c r="AAS5" s="87"/>
      <c r="AAT5" s="87"/>
      <c r="AAU5" s="87"/>
      <c r="AAV5" s="87"/>
      <c r="AAW5" s="87"/>
      <c r="AAX5" s="87"/>
      <c r="AAY5" s="87"/>
      <c r="AAZ5" s="87"/>
      <c r="ABA5" s="87"/>
      <c r="ABB5" s="87"/>
      <c r="ABC5" s="87"/>
      <c r="ABD5" s="87"/>
      <c r="ABE5" s="87"/>
      <c r="ABF5" s="87"/>
      <c r="ABG5" s="87"/>
      <c r="ABH5" s="87"/>
      <c r="ABI5" s="87"/>
      <c r="ABJ5" s="87"/>
      <c r="ABK5" s="87"/>
      <c r="ABL5" s="87"/>
      <c r="ABM5" s="87"/>
      <c r="ABN5" s="87"/>
      <c r="ABO5" s="87"/>
      <c r="ABP5" s="87"/>
      <c r="ABQ5" s="87"/>
      <c r="ABR5" s="87"/>
      <c r="ABS5" s="87"/>
      <c r="ABT5" s="87"/>
      <c r="ABU5" s="87"/>
      <c r="ABV5" s="87"/>
      <c r="ABW5" s="87"/>
      <c r="ABX5" s="87"/>
      <c r="ABY5" s="87"/>
      <c r="ABZ5" s="87"/>
      <c r="ACA5" s="87"/>
      <c r="ACB5" s="87"/>
      <c r="ACC5" s="87"/>
      <c r="ACD5" s="87"/>
      <c r="ACE5" s="87"/>
      <c r="ACF5" s="87"/>
      <c r="ACG5" s="87"/>
      <c r="ACH5" s="87"/>
      <c r="ACI5" s="87"/>
      <c r="ACJ5" s="87"/>
      <c r="ACK5" s="87"/>
      <c r="ACL5" s="87"/>
      <c r="ACM5" s="87"/>
      <c r="ACN5" s="87"/>
      <c r="ACO5" s="87"/>
      <c r="ACP5" s="87"/>
      <c r="ACQ5" s="87"/>
      <c r="ACR5" s="87"/>
      <c r="ACS5" s="87"/>
      <c r="ACT5" s="87"/>
      <c r="ACU5" s="87"/>
      <c r="ACV5" s="87"/>
      <c r="ACW5" s="87"/>
      <c r="ACX5" s="87"/>
      <c r="ACY5" s="87"/>
      <c r="ACZ5" s="87"/>
      <c r="ADA5" s="87"/>
      <c r="ADB5" s="87"/>
      <c r="ADC5" s="87"/>
      <c r="ADD5" s="87"/>
      <c r="ADE5" s="87"/>
      <c r="ADF5" s="87"/>
      <c r="ADG5" s="87"/>
      <c r="ADH5" s="87"/>
      <c r="ADI5" s="87"/>
      <c r="ADJ5" s="87"/>
      <c r="ADK5" s="87"/>
      <c r="ADL5" s="87"/>
      <c r="ADM5" s="87"/>
      <c r="ADN5" s="87"/>
      <c r="ADO5" s="87"/>
      <c r="ADP5" s="87"/>
      <c r="ADQ5" s="87"/>
      <c r="ADR5" s="87"/>
      <c r="ADS5" s="87"/>
      <c r="ADT5" s="87"/>
      <c r="ADU5" s="87"/>
      <c r="ADV5" s="87"/>
      <c r="ADW5" s="87"/>
      <c r="ADX5" s="87"/>
      <c r="ADY5" s="87"/>
      <c r="ADZ5" s="87"/>
      <c r="AEA5" s="87"/>
      <c r="AEB5" s="87"/>
      <c r="AEC5" s="87"/>
      <c r="AED5" s="87"/>
      <c r="AEE5" s="87"/>
      <c r="AEF5" s="87"/>
      <c r="AEG5" s="87"/>
      <c r="AEH5" s="87"/>
      <c r="AEI5" s="87"/>
      <c r="AEJ5" s="87"/>
      <c r="AEK5" s="87"/>
      <c r="AEL5" s="87"/>
      <c r="AEM5" s="87"/>
      <c r="AEN5" s="87"/>
      <c r="AEO5" s="87"/>
      <c r="AEP5" s="87"/>
      <c r="AEQ5" s="87"/>
      <c r="AER5" s="87"/>
      <c r="AES5" s="87"/>
      <c r="AET5" s="87"/>
      <c r="AEU5" s="87"/>
      <c r="AEV5" s="87"/>
      <c r="AEW5" s="87"/>
      <c r="AEX5" s="87"/>
      <c r="AEY5" s="87"/>
      <c r="AEZ5" s="87"/>
      <c r="AFA5" s="87"/>
      <c r="AFB5" s="87"/>
      <c r="AFC5" s="87"/>
      <c r="AFD5" s="87"/>
      <c r="AFE5" s="87"/>
      <c r="AFF5" s="87"/>
      <c r="AFG5" s="87"/>
      <c r="AFH5" s="87"/>
      <c r="AFI5" s="87"/>
      <c r="AFJ5" s="87"/>
      <c r="AFK5" s="87"/>
      <c r="AFL5" s="87"/>
      <c r="AFM5" s="87"/>
      <c r="AFN5" s="87"/>
      <c r="AFO5" s="87"/>
      <c r="AFP5" s="87"/>
      <c r="AFQ5" s="87"/>
      <c r="AFR5" s="87"/>
      <c r="AFS5" s="87"/>
      <c r="AFT5" s="87"/>
      <c r="AFU5" s="87"/>
      <c r="AFV5" s="87"/>
      <c r="AFW5" s="87"/>
      <c r="AFX5" s="87"/>
      <c r="AFY5" s="87"/>
      <c r="AFZ5" s="87"/>
      <c r="AGA5" s="87"/>
      <c r="AGB5" s="87"/>
      <c r="AGC5" s="87"/>
      <c r="AGD5" s="87"/>
      <c r="AGE5" s="87"/>
      <c r="AGF5" s="87"/>
      <c r="AGG5" s="87"/>
      <c r="AGH5" s="87"/>
      <c r="AGI5" s="87"/>
      <c r="AGJ5" s="87"/>
      <c r="AGK5" s="87"/>
      <c r="AGL5" s="87"/>
      <c r="AGM5" s="87"/>
      <c r="AGN5" s="87"/>
      <c r="AGO5" s="87"/>
      <c r="AGP5" s="87"/>
      <c r="AGQ5" s="87"/>
      <c r="AGR5" s="87"/>
      <c r="AGS5" s="87"/>
      <c r="AGT5" s="87"/>
      <c r="AGU5" s="87"/>
      <c r="AGV5" s="87"/>
      <c r="AGW5" s="87"/>
      <c r="AGX5" s="87"/>
      <c r="AGY5" s="87"/>
      <c r="AGZ5" s="87"/>
      <c r="AHA5" s="87"/>
      <c r="AHB5" s="87"/>
      <c r="AHC5" s="87"/>
      <c r="AHD5" s="87"/>
      <c r="AHE5" s="87"/>
      <c r="AHF5" s="87"/>
      <c r="AHG5" s="87"/>
      <c r="AHH5" s="87"/>
      <c r="AHI5" s="87"/>
      <c r="AHJ5" s="87"/>
      <c r="AHK5" s="87"/>
      <c r="AHL5" s="87"/>
      <c r="AHM5" s="87"/>
      <c r="AHN5" s="87"/>
      <c r="AHO5" s="87"/>
      <c r="AHP5" s="87"/>
      <c r="AHQ5" s="87"/>
      <c r="AHR5" s="87"/>
      <c r="AHS5" s="87"/>
      <c r="AHT5" s="87"/>
      <c r="AHU5" s="87"/>
      <c r="AHV5" s="87"/>
      <c r="AHW5" s="87"/>
      <c r="AHX5" s="87"/>
      <c r="AHY5" s="87"/>
      <c r="AHZ5" s="87"/>
      <c r="AIA5" s="87"/>
      <c r="AIB5" s="87"/>
      <c r="AIC5" s="87"/>
      <c r="AID5" s="87"/>
      <c r="AIE5" s="87"/>
      <c r="AIF5" s="87"/>
      <c r="AIG5" s="87"/>
      <c r="AIH5" s="87"/>
      <c r="AII5" s="87"/>
      <c r="AIJ5" s="87"/>
      <c r="AIK5" s="87"/>
      <c r="AIL5" s="87"/>
      <c r="AIM5" s="87"/>
      <c r="AIN5" s="87"/>
      <c r="AIO5" s="87"/>
      <c r="AIP5" s="87"/>
      <c r="AIQ5" s="87"/>
      <c r="AIR5" s="87"/>
      <c r="AIS5" s="87"/>
      <c r="AIT5" s="87"/>
      <c r="AIU5" s="87"/>
      <c r="AIV5" s="87"/>
      <c r="AIW5" s="87"/>
      <c r="AIX5" s="87"/>
      <c r="AIY5" s="87"/>
      <c r="AIZ5" s="87"/>
      <c r="AJA5" s="87"/>
      <c r="AJB5" s="87"/>
      <c r="AJC5" s="87"/>
      <c r="AJD5" s="87"/>
      <c r="AJE5" s="87"/>
      <c r="AJF5" s="87"/>
      <c r="AJG5" s="87"/>
      <c r="AJH5" s="87"/>
      <c r="AJI5" s="87"/>
      <c r="AJJ5" s="87"/>
      <c r="AJK5" s="87"/>
      <c r="AJL5" s="87"/>
      <c r="AJM5" s="87"/>
      <c r="AJN5" s="87"/>
      <c r="AJO5" s="87"/>
      <c r="AJP5" s="87"/>
      <c r="AJQ5" s="87"/>
      <c r="AJR5" s="87"/>
      <c r="AJS5" s="87"/>
      <c r="AJT5" s="87"/>
      <c r="AJU5" s="87"/>
      <c r="AJV5" s="87"/>
      <c r="AJW5" s="87"/>
      <c r="AJX5" s="87"/>
      <c r="AJY5" s="87"/>
      <c r="AJZ5" s="87"/>
      <c r="AKA5" s="87"/>
      <c r="AKB5" s="87"/>
      <c r="AKC5" s="87"/>
      <c r="AKD5" s="87"/>
      <c r="AKE5" s="87"/>
      <c r="AKF5" s="87"/>
      <c r="AKG5" s="87"/>
      <c r="AKH5" s="87"/>
      <c r="AKI5" s="87"/>
      <c r="AKJ5" s="87"/>
      <c r="AKK5" s="87"/>
      <c r="AKL5" s="87"/>
      <c r="AKM5" s="87"/>
      <c r="AKN5" s="87"/>
      <c r="AKO5" s="87"/>
      <c r="AKP5" s="87"/>
      <c r="AKQ5" s="87"/>
      <c r="AKR5" s="87"/>
      <c r="AKS5" s="87"/>
      <c r="AKT5" s="87"/>
      <c r="AKU5" s="87"/>
      <c r="AKV5" s="87"/>
      <c r="AKW5" s="87"/>
      <c r="AKX5" s="87"/>
      <c r="AKY5" s="87"/>
      <c r="AKZ5" s="87"/>
      <c r="ALA5" s="87"/>
      <c r="ALB5" s="87"/>
      <c r="ALC5" s="87"/>
      <c r="ALD5" s="87"/>
      <c r="ALE5" s="87"/>
      <c r="ALF5" s="87"/>
      <c r="ALG5" s="87"/>
      <c r="ALH5" s="87"/>
      <c r="ALI5" s="87"/>
      <c r="ALJ5" s="87"/>
      <c r="ALK5" s="87"/>
      <c r="ALL5" s="87"/>
      <c r="ALM5" s="87"/>
      <c r="ALN5" s="87"/>
      <c r="ALO5" s="87"/>
      <c r="ALP5" s="87"/>
      <c r="ALQ5" s="87"/>
      <c r="ALR5" s="87"/>
      <c r="ALS5" s="87"/>
      <c r="ALT5" s="87"/>
      <c r="ALU5" s="87"/>
      <c r="ALV5" s="87"/>
      <c r="ALW5" s="87"/>
      <c r="ALX5" s="87"/>
      <c r="ALY5" s="87"/>
      <c r="ALZ5" s="87"/>
      <c r="AMA5" s="87"/>
      <c r="AMB5" s="87"/>
      <c r="AMC5" s="87"/>
    </row>
    <row r="6" spans="1:1017" ht="18.5">
      <c r="A6" s="90"/>
      <c r="B6" s="172" t="s">
        <v>245</v>
      </c>
      <c r="C6" s="87" t="s">
        <v>29</v>
      </c>
      <c r="D6" s="87" t="s">
        <v>30</v>
      </c>
      <c r="E6" s="87" t="s">
        <v>29</v>
      </c>
      <c r="F6" s="87" t="s">
        <v>30</v>
      </c>
      <c r="G6" s="87" t="s">
        <v>29</v>
      </c>
      <c r="H6" s="87" t="s">
        <v>30</v>
      </c>
      <c r="I6" s="87" t="s">
        <v>29</v>
      </c>
      <c r="J6" s="87" t="s">
        <v>30</v>
      </c>
      <c r="K6" s="87" t="s">
        <v>29</v>
      </c>
      <c r="L6" s="87" t="s">
        <v>30</v>
      </c>
      <c r="M6" s="87" t="s">
        <v>29</v>
      </c>
      <c r="N6" s="87" t="s">
        <v>30</v>
      </c>
      <c r="O6" s="87" t="s">
        <v>29</v>
      </c>
      <c r="P6" s="87" t="s">
        <v>30</v>
      </c>
      <c r="Q6" s="91" t="s">
        <v>29</v>
      </c>
      <c r="R6" s="91" t="s">
        <v>30</v>
      </c>
      <c r="S6" s="87" t="s">
        <v>29</v>
      </c>
      <c r="T6" s="87" t="s">
        <v>30</v>
      </c>
      <c r="U6" s="87" t="s">
        <v>29</v>
      </c>
      <c r="V6" s="87" t="s">
        <v>30</v>
      </c>
      <c r="W6" s="87" t="s">
        <v>29</v>
      </c>
      <c r="X6" s="87" t="s">
        <v>30</v>
      </c>
      <c r="Y6" s="87" t="s">
        <v>29</v>
      </c>
      <c r="Z6" s="87" t="s">
        <v>30</v>
      </c>
      <c r="AA6" s="87" t="s">
        <v>29</v>
      </c>
      <c r="AB6" s="87" t="s">
        <v>30</v>
      </c>
      <c r="AC6" s="87" t="s">
        <v>29</v>
      </c>
      <c r="AD6" s="87" t="s">
        <v>30</v>
      </c>
      <c r="AE6" s="87" t="s">
        <v>29</v>
      </c>
      <c r="AF6" s="87" t="s">
        <v>30</v>
      </c>
      <c r="AG6" s="91" t="s">
        <v>29</v>
      </c>
      <c r="AH6" s="91" t="s">
        <v>30</v>
      </c>
      <c r="AI6" s="87" t="s">
        <v>29</v>
      </c>
      <c r="AJ6" s="87" t="s">
        <v>30</v>
      </c>
      <c r="AK6" s="87" t="s">
        <v>29</v>
      </c>
      <c r="AL6" s="87" t="s">
        <v>30</v>
      </c>
      <c r="AM6" s="87" t="s">
        <v>29</v>
      </c>
      <c r="AN6" s="87" t="s">
        <v>30</v>
      </c>
      <c r="AO6" s="87" t="s">
        <v>29</v>
      </c>
      <c r="AP6" s="87" t="s">
        <v>30</v>
      </c>
      <c r="AQ6" s="87" t="s">
        <v>29</v>
      </c>
      <c r="AR6" s="87" t="s">
        <v>30</v>
      </c>
      <c r="AS6" s="87" t="s">
        <v>29</v>
      </c>
      <c r="AT6" s="87" t="s">
        <v>30</v>
      </c>
      <c r="AU6" s="87" t="s">
        <v>29</v>
      </c>
      <c r="AV6" s="87" t="s">
        <v>30</v>
      </c>
      <c r="AW6" s="91" t="s">
        <v>29</v>
      </c>
      <c r="AX6" s="91" t="s">
        <v>30</v>
      </c>
      <c r="AY6" s="87" t="s">
        <v>29</v>
      </c>
      <c r="AZ6" s="87" t="s">
        <v>30</v>
      </c>
      <c r="BA6" s="87" t="s">
        <v>29</v>
      </c>
      <c r="BB6" s="87" t="s">
        <v>30</v>
      </c>
      <c r="BC6" s="87" t="s">
        <v>29</v>
      </c>
      <c r="BD6" s="87" t="s">
        <v>30</v>
      </c>
      <c r="BE6" s="87" t="s">
        <v>29</v>
      </c>
      <c r="BF6" s="87" t="s">
        <v>30</v>
      </c>
      <c r="BG6" s="87" t="s">
        <v>29</v>
      </c>
      <c r="BH6" s="87" t="s">
        <v>30</v>
      </c>
      <c r="BI6" s="87" t="s">
        <v>29</v>
      </c>
      <c r="BJ6" s="87" t="s">
        <v>30</v>
      </c>
      <c r="BK6" s="87" t="s">
        <v>29</v>
      </c>
      <c r="BL6" s="87" t="s">
        <v>30</v>
      </c>
      <c r="BM6" s="91" t="s">
        <v>29</v>
      </c>
      <c r="BN6" s="91" t="s">
        <v>30</v>
      </c>
      <c r="BO6" s="87" t="s">
        <v>29</v>
      </c>
      <c r="BP6" s="87" t="s">
        <v>30</v>
      </c>
      <c r="BQ6" s="87" t="s">
        <v>29</v>
      </c>
      <c r="BR6" s="87" t="s">
        <v>30</v>
      </c>
      <c r="BS6" s="87" t="s">
        <v>29</v>
      </c>
      <c r="BT6" s="87" t="s">
        <v>30</v>
      </c>
      <c r="BU6" s="87" t="s">
        <v>29</v>
      </c>
      <c r="BV6" s="87" t="s">
        <v>30</v>
      </c>
      <c r="BW6" s="87" t="s">
        <v>29</v>
      </c>
      <c r="BX6" s="87" t="s">
        <v>30</v>
      </c>
      <c r="BY6" s="87" t="s">
        <v>29</v>
      </c>
      <c r="BZ6" s="87" t="s">
        <v>30</v>
      </c>
      <c r="CA6" s="87" t="s">
        <v>29</v>
      </c>
      <c r="CB6" s="87" t="s">
        <v>30</v>
      </c>
      <c r="CC6" s="91" t="s">
        <v>29</v>
      </c>
      <c r="CD6" s="91" t="s">
        <v>30</v>
      </c>
      <c r="CE6" s="87" t="s">
        <v>29</v>
      </c>
      <c r="CF6" s="87" t="s">
        <v>30</v>
      </c>
      <c r="CG6" s="87" t="s">
        <v>29</v>
      </c>
      <c r="CH6" s="87" t="s">
        <v>30</v>
      </c>
      <c r="CI6" s="87" t="s">
        <v>29</v>
      </c>
      <c r="CJ6" s="87" t="s">
        <v>30</v>
      </c>
      <c r="CK6" s="87" t="s">
        <v>29</v>
      </c>
      <c r="CL6" s="87" t="s">
        <v>30</v>
      </c>
      <c r="CM6" s="87" t="s">
        <v>29</v>
      </c>
      <c r="CN6" s="87" t="s">
        <v>30</v>
      </c>
      <c r="CO6" s="87" t="s">
        <v>29</v>
      </c>
      <c r="CP6" s="87" t="s">
        <v>30</v>
      </c>
      <c r="CQ6" s="87" t="s">
        <v>29</v>
      </c>
      <c r="CR6" s="87" t="s">
        <v>30</v>
      </c>
      <c r="CS6" s="91" t="s">
        <v>29</v>
      </c>
      <c r="CT6" s="91" t="s">
        <v>30</v>
      </c>
      <c r="CU6" s="87" t="s">
        <v>29</v>
      </c>
      <c r="CV6" s="87" t="s">
        <v>30</v>
      </c>
      <c r="CW6" s="87" t="s">
        <v>29</v>
      </c>
      <c r="CX6" s="87" t="s">
        <v>30</v>
      </c>
      <c r="CY6" s="87" t="s">
        <v>29</v>
      </c>
      <c r="CZ6" s="87" t="s">
        <v>30</v>
      </c>
      <c r="DA6" s="87" t="s">
        <v>29</v>
      </c>
      <c r="DB6" s="87" t="s">
        <v>30</v>
      </c>
      <c r="DC6" s="87" t="s">
        <v>29</v>
      </c>
      <c r="DD6" s="87" t="s">
        <v>30</v>
      </c>
      <c r="DE6" s="87" t="s">
        <v>29</v>
      </c>
      <c r="DF6" s="87" t="s">
        <v>30</v>
      </c>
      <c r="DG6" s="87" t="s">
        <v>29</v>
      </c>
      <c r="DH6" s="87" t="s">
        <v>30</v>
      </c>
      <c r="DI6" s="91" t="s">
        <v>29</v>
      </c>
      <c r="DJ6" s="91" t="s">
        <v>30</v>
      </c>
      <c r="DK6" s="87" t="s">
        <v>29</v>
      </c>
      <c r="DL6" s="87" t="s">
        <v>30</v>
      </c>
      <c r="DM6" s="87" t="s">
        <v>29</v>
      </c>
      <c r="DN6" s="87" t="s">
        <v>30</v>
      </c>
      <c r="DO6" s="87" t="s">
        <v>29</v>
      </c>
      <c r="DP6" s="87" t="s">
        <v>30</v>
      </c>
      <c r="DQ6" s="87" t="s">
        <v>29</v>
      </c>
      <c r="DR6" s="87" t="s">
        <v>30</v>
      </c>
      <c r="DS6" s="87" t="s">
        <v>29</v>
      </c>
      <c r="DT6" s="87" t="s">
        <v>30</v>
      </c>
      <c r="DU6" s="87" t="s">
        <v>29</v>
      </c>
      <c r="DV6" s="87" t="s">
        <v>30</v>
      </c>
      <c r="DW6" s="87" t="s">
        <v>29</v>
      </c>
      <c r="DX6" s="87" t="s">
        <v>30</v>
      </c>
      <c r="DY6" s="91" t="s">
        <v>29</v>
      </c>
      <c r="DZ6" s="91" t="s">
        <v>30</v>
      </c>
      <c r="EA6" s="87" t="s">
        <v>29</v>
      </c>
      <c r="EB6" s="87" t="s">
        <v>30</v>
      </c>
      <c r="EC6" s="87" t="s">
        <v>29</v>
      </c>
      <c r="ED6" s="87" t="s">
        <v>30</v>
      </c>
      <c r="EE6" s="87" t="s">
        <v>29</v>
      </c>
      <c r="EF6" s="87" t="s">
        <v>30</v>
      </c>
      <c r="EG6" s="87" t="s">
        <v>29</v>
      </c>
      <c r="EH6" s="87" t="s">
        <v>30</v>
      </c>
      <c r="EI6" s="87" t="s">
        <v>29</v>
      </c>
      <c r="EJ6" s="87" t="s">
        <v>30</v>
      </c>
      <c r="EK6" s="87" t="s">
        <v>29</v>
      </c>
      <c r="EL6" s="87" t="s">
        <v>30</v>
      </c>
      <c r="EM6" s="87" t="s">
        <v>29</v>
      </c>
      <c r="EN6" s="87" t="s">
        <v>30</v>
      </c>
      <c r="EO6" s="91" t="s">
        <v>29</v>
      </c>
      <c r="EP6" s="91" t="s">
        <v>30</v>
      </c>
      <c r="EQ6" s="87" t="s">
        <v>29</v>
      </c>
      <c r="ER6" s="87" t="s">
        <v>30</v>
      </c>
      <c r="ES6" s="87" t="s">
        <v>29</v>
      </c>
      <c r="ET6" s="87" t="s">
        <v>30</v>
      </c>
      <c r="EU6" s="87" t="s">
        <v>29</v>
      </c>
      <c r="EV6" s="87" t="s">
        <v>30</v>
      </c>
      <c r="EW6" s="87" t="s">
        <v>29</v>
      </c>
      <c r="EX6" s="87" t="s">
        <v>30</v>
      </c>
      <c r="EY6" s="87" t="s">
        <v>29</v>
      </c>
      <c r="EZ6" s="87" t="s">
        <v>30</v>
      </c>
      <c r="FA6" s="87" t="s">
        <v>29</v>
      </c>
      <c r="FB6" s="87" t="s">
        <v>30</v>
      </c>
      <c r="FC6" s="87" t="s">
        <v>29</v>
      </c>
      <c r="FD6" s="87" t="s">
        <v>30</v>
      </c>
      <c r="FE6" s="91" t="s">
        <v>29</v>
      </c>
      <c r="FF6" s="91" t="s">
        <v>30</v>
      </c>
      <c r="FG6" s="87" t="s">
        <v>29</v>
      </c>
      <c r="FH6" s="87" t="s">
        <v>30</v>
      </c>
      <c r="FI6" s="87" t="s">
        <v>29</v>
      </c>
      <c r="FJ6" s="87" t="s">
        <v>30</v>
      </c>
      <c r="FK6" s="87" t="s">
        <v>29</v>
      </c>
      <c r="FL6" s="87" t="s">
        <v>30</v>
      </c>
      <c r="FM6" s="87" t="s">
        <v>29</v>
      </c>
      <c r="FN6" s="87" t="s">
        <v>30</v>
      </c>
      <c r="FO6" s="87" t="s">
        <v>29</v>
      </c>
      <c r="FP6" s="87" t="s">
        <v>30</v>
      </c>
      <c r="FQ6" s="87" t="s">
        <v>29</v>
      </c>
      <c r="FR6" s="87" t="s">
        <v>30</v>
      </c>
      <c r="FS6" s="87" t="s">
        <v>29</v>
      </c>
      <c r="FT6" s="87" t="s">
        <v>30</v>
      </c>
      <c r="FU6" s="91" t="s">
        <v>29</v>
      </c>
      <c r="FV6" s="91" t="s">
        <v>30</v>
      </c>
      <c r="FW6" s="87" t="s">
        <v>29</v>
      </c>
      <c r="FX6" s="87" t="s">
        <v>30</v>
      </c>
      <c r="FY6" s="87" t="s">
        <v>29</v>
      </c>
      <c r="FZ6" s="87" t="s">
        <v>30</v>
      </c>
      <c r="GA6" s="87" t="s">
        <v>29</v>
      </c>
      <c r="GB6" s="87" t="s">
        <v>30</v>
      </c>
      <c r="GC6" s="87" t="s">
        <v>29</v>
      </c>
      <c r="GD6" s="87" t="s">
        <v>30</v>
      </c>
      <c r="GE6" s="87" t="s">
        <v>29</v>
      </c>
      <c r="GF6" s="87" t="s">
        <v>30</v>
      </c>
      <c r="GG6" s="87" t="s">
        <v>29</v>
      </c>
      <c r="GH6" s="87" t="s">
        <v>30</v>
      </c>
      <c r="GI6" s="87" t="s">
        <v>29</v>
      </c>
      <c r="GJ6" s="87" t="s">
        <v>30</v>
      </c>
      <c r="GK6" s="91" t="s">
        <v>29</v>
      </c>
      <c r="GL6" s="91" t="s">
        <v>30</v>
      </c>
      <c r="GM6" s="87" t="s">
        <v>29</v>
      </c>
      <c r="GN6" s="87" t="s">
        <v>30</v>
      </c>
      <c r="GO6" s="87" t="s">
        <v>29</v>
      </c>
      <c r="GP6" s="87" t="s">
        <v>30</v>
      </c>
      <c r="GQ6" s="87" t="s">
        <v>29</v>
      </c>
      <c r="GR6" s="87" t="s">
        <v>30</v>
      </c>
      <c r="GS6" s="87" t="s">
        <v>29</v>
      </c>
      <c r="GT6" s="87" t="s">
        <v>30</v>
      </c>
      <c r="GU6" s="87" t="s">
        <v>29</v>
      </c>
      <c r="GV6" s="87" t="s">
        <v>30</v>
      </c>
      <c r="GW6" s="87" t="s">
        <v>29</v>
      </c>
      <c r="GX6" s="87" t="s">
        <v>30</v>
      </c>
      <c r="GY6" s="87" t="s">
        <v>29</v>
      </c>
      <c r="GZ6" s="87" t="s">
        <v>30</v>
      </c>
      <c r="HA6" s="91" t="s">
        <v>29</v>
      </c>
      <c r="HB6" s="91" t="s">
        <v>30</v>
      </c>
      <c r="HC6" s="87" t="s">
        <v>29</v>
      </c>
      <c r="HD6" s="87" t="s">
        <v>30</v>
      </c>
      <c r="HE6" s="87" t="s">
        <v>29</v>
      </c>
      <c r="HF6" s="87" t="s">
        <v>30</v>
      </c>
      <c r="HG6" s="87" t="s">
        <v>29</v>
      </c>
      <c r="HH6" s="87" t="s">
        <v>30</v>
      </c>
      <c r="HI6" s="87" t="s">
        <v>29</v>
      </c>
      <c r="HJ6" s="87" t="s">
        <v>30</v>
      </c>
      <c r="HK6" s="87" t="s">
        <v>29</v>
      </c>
      <c r="HL6" s="87" t="s">
        <v>30</v>
      </c>
      <c r="HM6" s="87" t="s">
        <v>29</v>
      </c>
      <c r="HN6" s="87" t="s">
        <v>30</v>
      </c>
      <c r="HO6" s="87" t="s">
        <v>29</v>
      </c>
      <c r="HP6" s="87" t="s">
        <v>30</v>
      </c>
      <c r="HQ6" s="91" t="s">
        <v>29</v>
      </c>
      <c r="HR6" s="91" t="s">
        <v>30</v>
      </c>
      <c r="HS6" s="87" t="s">
        <v>29</v>
      </c>
      <c r="HT6" s="87" t="s">
        <v>30</v>
      </c>
      <c r="HU6" s="87" t="s">
        <v>29</v>
      </c>
      <c r="HV6" s="87" t="s">
        <v>30</v>
      </c>
      <c r="HW6" s="87" t="s">
        <v>29</v>
      </c>
      <c r="HX6" s="87" t="s">
        <v>30</v>
      </c>
      <c r="HY6" s="87" t="s">
        <v>29</v>
      </c>
      <c r="HZ6" s="87" t="s">
        <v>30</v>
      </c>
      <c r="IA6" s="87" t="s">
        <v>29</v>
      </c>
      <c r="IB6" s="87" t="s">
        <v>30</v>
      </c>
      <c r="IC6" s="87" t="s">
        <v>29</v>
      </c>
      <c r="ID6" s="87" t="s">
        <v>30</v>
      </c>
      <c r="IE6" s="87" t="s">
        <v>29</v>
      </c>
      <c r="IF6" s="87" t="s">
        <v>30</v>
      </c>
      <c r="IG6" s="91" t="s">
        <v>29</v>
      </c>
      <c r="IH6" s="91" t="s">
        <v>30</v>
      </c>
      <c r="II6" s="87" t="s">
        <v>29</v>
      </c>
      <c r="IJ6" s="87" t="s">
        <v>30</v>
      </c>
      <c r="IK6" s="87" t="s">
        <v>29</v>
      </c>
      <c r="IL6" s="87" t="s">
        <v>30</v>
      </c>
      <c r="IM6" s="87" t="s">
        <v>29</v>
      </c>
      <c r="IN6" s="87" t="s">
        <v>30</v>
      </c>
      <c r="IO6" s="87" t="s">
        <v>29</v>
      </c>
      <c r="IP6" s="87" t="s">
        <v>30</v>
      </c>
      <c r="IQ6" s="87" t="s">
        <v>29</v>
      </c>
      <c r="IR6" s="87" t="s">
        <v>30</v>
      </c>
      <c r="IS6" s="87" t="s">
        <v>29</v>
      </c>
      <c r="IT6" s="87" t="s">
        <v>30</v>
      </c>
      <c r="IU6" s="87" t="s">
        <v>29</v>
      </c>
      <c r="IV6" s="87" t="s">
        <v>30</v>
      </c>
      <c r="IW6" s="91" t="s">
        <v>29</v>
      </c>
      <c r="IX6" s="91" t="s">
        <v>30</v>
      </c>
      <c r="IY6" s="87" t="s">
        <v>29</v>
      </c>
      <c r="IZ6" s="87" t="s">
        <v>30</v>
      </c>
      <c r="JA6" s="87" t="s">
        <v>29</v>
      </c>
      <c r="JB6" s="87" t="s">
        <v>30</v>
      </c>
      <c r="JC6" s="87" t="s">
        <v>29</v>
      </c>
      <c r="JD6" s="87" t="s">
        <v>30</v>
      </c>
      <c r="JE6" s="87" t="s">
        <v>29</v>
      </c>
      <c r="JF6" s="87" t="s">
        <v>30</v>
      </c>
      <c r="JG6" s="87" t="s">
        <v>29</v>
      </c>
      <c r="JH6" s="87" t="s">
        <v>30</v>
      </c>
      <c r="JI6" s="87" t="s">
        <v>29</v>
      </c>
      <c r="JJ6" s="87" t="s">
        <v>30</v>
      </c>
      <c r="JK6" s="87" t="s">
        <v>29</v>
      </c>
      <c r="JL6" s="87" t="s">
        <v>30</v>
      </c>
      <c r="JM6" s="91" t="s">
        <v>29</v>
      </c>
      <c r="JN6" s="91" t="s">
        <v>30</v>
      </c>
      <c r="JO6" s="87" t="s">
        <v>29</v>
      </c>
      <c r="JP6" s="87" t="s">
        <v>30</v>
      </c>
      <c r="JQ6" s="87" t="s">
        <v>29</v>
      </c>
      <c r="JR6" s="87" t="s">
        <v>30</v>
      </c>
      <c r="JS6" s="87" t="s">
        <v>29</v>
      </c>
      <c r="JT6" s="87" t="s">
        <v>30</v>
      </c>
      <c r="JU6" s="87" t="s">
        <v>29</v>
      </c>
      <c r="JV6" s="87" t="s">
        <v>30</v>
      </c>
      <c r="JW6" s="87" t="s">
        <v>29</v>
      </c>
      <c r="JX6" s="87" t="s">
        <v>30</v>
      </c>
      <c r="JY6" s="87" t="s">
        <v>29</v>
      </c>
      <c r="JZ6" s="87" t="s">
        <v>30</v>
      </c>
      <c r="KA6" s="87" t="s">
        <v>29</v>
      </c>
      <c r="KB6" s="87" t="s">
        <v>30</v>
      </c>
      <c r="KC6" s="91" t="s">
        <v>29</v>
      </c>
      <c r="KD6" s="91" t="s">
        <v>30</v>
      </c>
      <c r="KE6" s="87" t="s">
        <v>29</v>
      </c>
      <c r="KF6" s="87" t="s">
        <v>30</v>
      </c>
      <c r="KG6" s="87" t="s">
        <v>29</v>
      </c>
      <c r="KH6" s="87" t="s">
        <v>30</v>
      </c>
      <c r="KI6" s="87" t="s">
        <v>29</v>
      </c>
      <c r="KJ6" s="87" t="s">
        <v>30</v>
      </c>
      <c r="KK6" s="87" t="s">
        <v>29</v>
      </c>
      <c r="KL6" s="87" t="s">
        <v>30</v>
      </c>
      <c r="KM6" s="87" t="s">
        <v>29</v>
      </c>
      <c r="KN6" s="87" t="s">
        <v>30</v>
      </c>
      <c r="KO6" s="87" t="s">
        <v>29</v>
      </c>
      <c r="KP6" s="87" t="s">
        <v>30</v>
      </c>
      <c r="KQ6" s="87" t="s">
        <v>29</v>
      </c>
      <c r="KR6" s="87" t="s">
        <v>30</v>
      </c>
      <c r="KS6" s="91" t="s">
        <v>29</v>
      </c>
      <c r="KT6" s="91" t="s">
        <v>30</v>
      </c>
      <c r="KU6" s="87" t="s">
        <v>29</v>
      </c>
      <c r="KV6" s="87" t="s">
        <v>30</v>
      </c>
      <c r="KW6" s="87" t="s">
        <v>29</v>
      </c>
      <c r="KX6" s="87" t="s">
        <v>30</v>
      </c>
      <c r="KY6" s="87" t="s">
        <v>29</v>
      </c>
      <c r="KZ6" s="87" t="s">
        <v>30</v>
      </c>
      <c r="LA6" s="87" t="s">
        <v>29</v>
      </c>
      <c r="LB6" s="87" t="s">
        <v>30</v>
      </c>
      <c r="LC6" s="87" t="s">
        <v>29</v>
      </c>
      <c r="LD6" s="87" t="s">
        <v>30</v>
      </c>
      <c r="LE6" s="87" t="s">
        <v>29</v>
      </c>
      <c r="LF6" s="87" t="s">
        <v>30</v>
      </c>
      <c r="LG6" s="87" t="s">
        <v>29</v>
      </c>
      <c r="LH6" s="87" t="s">
        <v>30</v>
      </c>
      <c r="LI6" s="91" t="s">
        <v>29</v>
      </c>
      <c r="LJ6" s="91" t="s">
        <v>30</v>
      </c>
      <c r="LK6" s="87" t="s">
        <v>29</v>
      </c>
      <c r="LL6" s="87" t="s">
        <v>30</v>
      </c>
      <c r="LM6" s="87" t="s">
        <v>29</v>
      </c>
      <c r="LN6" s="87" t="s">
        <v>30</v>
      </c>
      <c r="LO6" s="87" t="s">
        <v>29</v>
      </c>
      <c r="LP6" s="87" t="s">
        <v>30</v>
      </c>
      <c r="LQ6" s="87" t="s">
        <v>29</v>
      </c>
      <c r="LR6" s="87" t="s">
        <v>30</v>
      </c>
      <c r="LS6" s="87" t="s">
        <v>29</v>
      </c>
      <c r="LT6" s="87" t="s">
        <v>30</v>
      </c>
      <c r="LU6" s="87" t="s">
        <v>29</v>
      </c>
      <c r="LV6" s="87" t="s">
        <v>30</v>
      </c>
      <c r="LW6" s="87" t="s">
        <v>29</v>
      </c>
      <c r="LX6" s="87" t="s">
        <v>30</v>
      </c>
      <c r="LY6" s="91" t="s">
        <v>29</v>
      </c>
      <c r="LZ6" s="91" t="s">
        <v>30</v>
      </c>
      <c r="MA6" s="87" t="s">
        <v>29</v>
      </c>
      <c r="MB6" s="87" t="s">
        <v>30</v>
      </c>
      <c r="MC6" s="87" t="s">
        <v>29</v>
      </c>
      <c r="MD6" s="87" t="s">
        <v>30</v>
      </c>
      <c r="ME6" s="87" t="s">
        <v>29</v>
      </c>
      <c r="MF6" s="87" t="s">
        <v>30</v>
      </c>
      <c r="MG6" s="87" t="s">
        <v>29</v>
      </c>
      <c r="MH6" s="87" t="s">
        <v>30</v>
      </c>
      <c r="MI6" s="87" t="s">
        <v>29</v>
      </c>
      <c r="MJ6" s="87" t="s">
        <v>30</v>
      </c>
      <c r="MK6" s="87" t="s">
        <v>29</v>
      </c>
      <c r="ML6" s="87" t="s">
        <v>30</v>
      </c>
      <c r="MM6" s="87" t="s">
        <v>29</v>
      </c>
      <c r="MN6" s="87" t="s">
        <v>30</v>
      </c>
      <c r="MO6" s="91" t="s">
        <v>29</v>
      </c>
      <c r="MP6" s="91" t="s">
        <v>30</v>
      </c>
      <c r="MQ6" s="87" t="s">
        <v>29</v>
      </c>
      <c r="MR6" s="87" t="s">
        <v>30</v>
      </c>
      <c r="MS6" s="87" t="s">
        <v>29</v>
      </c>
      <c r="MT6" s="87" t="s">
        <v>30</v>
      </c>
      <c r="MU6" s="87" t="s">
        <v>29</v>
      </c>
      <c r="MV6" s="87" t="s">
        <v>30</v>
      </c>
      <c r="MW6" s="87" t="s">
        <v>29</v>
      </c>
      <c r="MX6" s="87" t="s">
        <v>30</v>
      </c>
      <c r="MY6" s="87" t="s">
        <v>29</v>
      </c>
      <c r="MZ6" s="87" t="s">
        <v>30</v>
      </c>
      <c r="NA6" s="87" t="s">
        <v>29</v>
      </c>
      <c r="NB6" s="87" t="s">
        <v>30</v>
      </c>
      <c r="NC6" s="87" t="s">
        <v>29</v>
      </c>
      <c r="ND6" s="87" t="s">
        <v>30</v>
      </c>
      <c r="NE6" s="91" t="s">
        <v>29</v>
      </c>
      <c r="NF6" s="91" t="s">
        <v>30</v>
      </c>
      <c r="NG6" s="87" t="s">
        <v>29</v>
      </c>
      <c r="NH6" s="87" t="s">
        <v>30</v>
      </c>
      <c r="NI6" s="87" t="s">
        <v>29</v>
      </c>
      <c r="NJ6" s="87" t="s">
        <v>30</v>
      </c>
      <c r="NK6" s="87" t="s">
        <v>29</v>
      </c>
      <c r="NL6" s="87" t="s">
        <v>30</v>
      </c>
      <c r="NM6" s="87" t="s">
        <v>29</v>
      </c>
      <c r="NN6" s="87" t="s">
        <v>30</v>
      </c>
      <c r="NO6" s="87" t="s">
        <v>29</v>
      </c>
      <c r="NP6" s="87" t="s">
        <v>30</v>
      </c>
      <c r="NQ6" s="87" t="s">
        <v>29</v>
      </c>
      <c r="NR6" s="87" t="s">
        <v>30</v>
      </c>
      <c r="NS6" s="87" t="s">
        <v>29</v>
      </c>
      <c r="NT6" s="87" t="s">
        <v>30</v>
      </c>
      <c r="NU6" s="91" t="s">
        <v>29</v>
      </c>
      <c r="NV6" s="91" t="s">
        <v>30</v>
      </c>
      <c r="NW6" s="87" t="s">
        <v>29</v>
      </c>
      <c r="NX6" s="87" t="s">
        <v>30</v>
      </c>
      <c r="NY6" s="87" t="s">
        <v>29</v>
      </c>
      <c r="NZ6" s="87" t="s">
        <v>30</v>
      </c>
      <c r="OA6" s="87" t="s">
        <v>29</v>
      </c>
      <c r="OB6" s="87" t="s">
        <v>30</v>
      </c>
      <c r="OC6" s="87" t="s">
        <v>29</v>
      </c>
      <c r="OD6" s="87" t="s">
        <v>30</v>
      </c>
      <c r="OE6" s="87" t="s">
        <v>29</v>
      </c>
      <c r="OF6" s="87" t="s">
        <v>30</v>
      </c>
      <c r="OG6" s="87" t="s">
        <v>29</v>
      </c>
      <c r="OH6" s="87" t="s">
        <v>30</v>
      </c>
      <c r="OI6" s="87" t="s">
        <v>29</v>
      </c>
      <c r="OJ6" s="87" t="s">
        <v>30</v>
      </c>
      <c r="OK6" s="91" t="s">
        <v>29</v>
      </c>
      <c r="OL6" s="91" t="s">
        <v>30</v>
      </c>
      <c r="OM6" s="87" t="s">
        <v>29</v>
      </c>
      <c r="ON6" s="87" t="s">
        <v>30</v>
      </c>
      <c r="OO6" s="87" t="s">
        <v>29</v>
      </c>
      <c r="OP6" s="87" t="s">
        <v>30</v>
      </c>
      <c r="OQ6" s="87" t="s">
        <v>29</v>
      </c>
      <c r="OR6" s="87" t="s">
        <v>30</v>
      </c>
      <c r="OS6" s="87" t="s">
        <v>29</v>
      </c>
      <c r="OT6" s="87" t="s">
        <v>30</v>
      </c>
      <c r="OU6" s="87" t="s">
        <v>29</v>
      </c>
      <c r="OV6" s="87" t="s">
        <v>30</v>
      </c>
      <c r="OW6" s="87" t="s">
        <v>29</v>
      </c>
      <c r="OX6" s="87" t="s">
        <v>30</v>
      </c>
      <c r="OY6" s="87" t="s">
        <v>29</v>
      </c>
      <c r="OZ6" s="87" t="s">
        <v>30</v>
      </c>
      <c r="PA6" s="91" t="s">
        <v>29</v>
      </c>
      <c r="PB6" s="91" t="s">
        <v>30</v>
      </c>
      <c r="PC6" s="87" t="s">
        <v>29</v>
      </c>
      <c r="PD6" s="87" t="s">
        <v>30</v>
      </c>
      <c r="PE6" s="87" t="s">
        <v>29</v>
      </c>
      <c r="PF6" s="87" t="s">
        <v>30</v>
      </c>
      <c r="PG6" s="87" t="s">
        <v>29</v>
      </c>
      <c r="PH6" s="87" t="s">
        <v>30</v>
      </c>
      <c r="PI6" s="87" t="s">
        <v>29</v>
      </c>
      <c r="PJ6" s="87" t="s">
        <v>30</v>
      </c>
      <c r="PK6" s="87" t="s">
        <v>29</v>
      </c>
      <c r="PL6" s="87" t="s">
        <v>30</v>
      </c>
      <c r="PM6" s="87" t="s">
        <v>29</v>
      </c>
      <c r="PN6" s="87" t="s">
        <v>30</v>
      </c>
      <c r="PO6" s="87" t="s">
        <v>29</v>
      </c>
      <c r="PP6" s="87" t="s">
        <v>30</v>
      </c>
      <c r="PQ6" s="91" t="s">
        <v>29</v>
      </c>
      <c r="PR6" s="91" t="s">
        <v>30</v>
      </c>
      <c r="PS6" s="87" t="s">
        <v>29</v>
      </c>
      <c r="PT6" s="87" t="s">
        <v>30</v>
      </c>
      <c r="PU6" s="87" t="s">
        <v>29</v>
      </c>
      <c r="PV6" s="87" t="s">
        <v>30</v>
      </c>
      <c r="PW6" s="87" t="s">
        <v>29</v>
      </c>
      <c r="PX6" s="87" t="s">
        <v>30</v>
      </c>
      <c r="PY6" s="87" t="s">
        <v>29</v>
      </c>
      <c r="PZ6" s="87" t="s">
        <v>30</v>
      </c>
      <c r="QA6" s="87" t="s">
        <v>29</v>
      </c>
      <c r="QB6" s="87" t="s">
        <v>30</v>
      </c>
      <c r="QC6" s="87" t="s">
        <v>29</v>
      </c>
      <c r="QD6" s="87" t="s">
        <v>30</v>
      </c>
      <c r="QE6" s="87" t="s">
        <v>29</v>
      </c>
      <c r="QF6" s="87" t="s">
        <v>30</v>
      </c>
      <c r="QG6" s="91" t="s">
        <v>29</v>
      </c>
      <c r="QH6" s="91" t="s">
        <v>30</v>
      </c>
      <c r="QI6" s="87" t="s">
        <v>29</v>
      </c>
      <c r="QJ6" s="87" t="s">
        <v>30</v>
      </c>
      <c r="QK6" s="87" t="s">
        <v>29</v>
      </c>
      <c r="QL6" s="87" t="s">
        <v>30</v>
      </c>
      <c r="QM6" s="87" t="s">
        <v>29</v>
      </c>
      <c r="QN6" s="87" t="s">
        <v>30</v>
      </c>
      <c r="QO6" s="87" t="s">
        <v>29</v>
      </c>
      <c r="QP6" s="87" t="s">
        <v>30</v>
      </c>
      <c r="QQ6" s="87" t="s">
        <v>29</v>
      </c>
      <c r="QR6" s="87" t="s">
        <v>30</v>
      </c>
      <c r="QS6" s="87" t="s">
        <v>29</v>
      </c>
      <c r="QT6" s="87" t="s">
        <v>30</v>
      </c>
      <c r="QU6" s="87" t="s">
        <v>29</v>
      </c>
      <c r="QV6" s="87" t="s">
        <v>30</v>
      </c>
      <c r="QW6" s="91" t="s">
        <v>29</v>
      </c>
      <c r="QX6" s="91" t="s">
        <v>30</v>
      </c>
      <c r="QY6" s="87" t="s">
        <v>29</v>
      </c>
      <c r="QZ6" s="87" t="s">
        <v>30</v>
      </c>
      <c r="RA6" s="87" t="s">
        <v>29</v>
      </c>
      <c r="RB6" s="87" t="s">
        <v>30</v>
      </c>
      <c r="RC6" s="87" t="s">
        <v>29</v>
      </c>
      <c r="RD6" s="87" t="s">
        <v>30</v>
      </c>
      <c r="RE6" s="87" t="s">
        <v>29</v>
      </c>
      <c r="RF6" s="87" t="s">
        <v>30</v>
      </c>
      <c r="RG6" s="87" t="s">
        <v>29</v>
      </c>
      <c r="RH6" s="87" t="s">
        <v>30</v>
      </c>
      <c r="RI6" s="87" t="s">
        <v>29</v>
      </c>
      <c r="RJ6" s="87" t="s">
        <v>30</v>
      </c>
      <c r="RK6" s="87" t="s">
        <v>29</v>
      </c>
      <c r="RL6" s="87" t="s">
        <v>30</v>
      </c>
      <c r="RM6" s="91" t="s">
        <v>29</v>
      </c>
      <c r="RN6" s="91" t="s">
        <v>30</v>
      </c>
      <c r="RO6" s="87" t="s">
        <v>29</v>
      </c>
      <c r="RP6" s="87" t="s">
        <v>30</v>
      </c>
      <c r="RQ6" s="87" t="s">
        <v>29</v>
      </c>
      <c r="RR6" s="87" t="s">
        <v>30</v>
      </c>
      <c r="RS6" s="87" t="s">
        <v>29</v>
      </c>
      <c r="RT6" s="87" t="s">
        <v>30</v>
      </c>
      <c r="RU6" s="87" t="s">
        <v>29</v>
      </c>
      <c r="RV6" s="87" t="s">
        <v>30</v>
      </c>
      <c r="RW6" s="87" t="s">
        <v>29</v>
      </c>
      <c r="RX6" s="87" t="s">
        <v>30</v>
      </c>
      <c r="RY6" s="87" t="s">
        <v>29</v>
      </c>
      <c r="RZ6" s="87" t="s">
        <v>30</v>
      </c>
      <c r="SA6" s="87" t="s">
        <v>29</v>
      </c>
      <c r="SB6" s="87" t="s">
        <v>30</v>
      </c>
      <c r="SC6" s="91" t="s">
        <v>29</v>
      </c>
      <c r="SD6" s="91" t="s">
        <v>30</v>
      </c>
      <c r="SE6" s="87" t="s">
        <v>29</v>
      </c>
      <c r="SF6" s="87" t="s">
        <v>30</v>
      </c>
      <c r="SG6" s="87" t="s">
        <v>29</v>
      </c>
      <c r="SH6" s="87" t="s">
        <v>30</v>
      </c>
      <c r="SI6" s="87" t="s">
        <v>29</v>
      </c>
      <c r="SJ6" s="87" t="s">
        <v>30</v>
      </c>
      <c r="SK6" s="87" t="s">
        <v>29</v>
      </c>
      <c r="SL6" s="87" t="s">
        <v>30</v>
      </c>
      <c r="SM6" s="87" t="s">
        <v>29</v>
      </c>
      <c r="SN6" s="87" t="s">
        <v>30</v>
      </c>
      <c r="SO6" s="87" t="s">
        <v>29</v>
      </c>
      <c r="SP6" s="87" t="s">
        <v>30</v>
      </c>
      <c r="SQ6" s="87" t="s">
        <v>29</v>
      </c>
      <c r="SR6" s="87" t="s">
        <v>30</v>
      </c>
      <c r="SS6" s="91" t="s">
        <v>29</v>
      </c>
      <c r="ST6" s="91" t="s">
        <v>30</v>
      </c>
      <c r="SU6" s="87" t="s">
        <v>29</v>
      </c>
      <c r="SV6" s="87" t="s">
        <v>30</v>
      </c>
      <c r="SW6" s="87" t="s">
        <v>29</v>
      </c>
      <c r="SX6" s="87" t="s">
        <v>30</v>
      </c>
      <c r="SY6" s="87" t="s">
        <v>29</v>
      </c>
      <c r="SZ6" s="87" t="s">
        <v>30</v>
      </c>
      <c r="TA6" s="87" t="s">
        <v>29</v>
      </c>
      <c r="TB6" s="87" t="s">
        <v>30</v>
      </c>
      <c r="TC6" s="87" t="s">
        <v>29</v>
      </c>
      <c r="TD6" s="87" t="s">
        <v>30</v>
      </c>
      <c r="TE6" s="87" t="s">
        <v>29</v>
      </c>
      <c r="TF6" s="87" t="s">
        <v>30</v>
      </c>
      <c r="TG6" s="87" t="s">
        <v>29</v>
      </c>
      <c r="TH6" s="87" t="s">
        <v>30</v>
      </c>
      <c r="TI6" s="91" t="s">
        <v>29</v>
      </c>
      <c r="TJ6" s="91" t="s">
        <v>30</v>
      </c>
      <c r="TK6" s="87" t="s">
        <v>29</v>
      </c>
      <c r="TL6" s="87" t="s">
        <v>30</v>
      </c>
      <c r="TM6" s="87" t="s">
        <v>29</v>
      </c>
      <c r="TN6" s="87" t="s">
        <v>30</v>
      </c>
      <c r="TO6" s="87" t="s">
        <v>29</v>
      </c>
      <c r="TP6" s="87" t="s">
        <v>30</v>
      </c>
      <c r="TQ6" s="87" t="s">
        <v>29</v>
      </c>
      <c r="TR6" s="87" t="s">
        <v>30</v>
      </c>
      <c r="TS6" s="87" t="s">
        <v>29</v>
      </c>
      <c r="TT6" s="87" t="s">
        <v>30</v>
      </c>
      <c r="TU6" s="87" t="s">
        <v>29</v>
      </c>
      <c r="TV6" s="87" t="s">
        <v>30</v>
      </c>
      <c r="TW6" s="87" t="s">
        <v>29</v>
      </c>
      <c r="TX6" s="87" t="s">
        <v>30</v>
      </c>
      <c r="TY6" s="91" t="s">
        <v>29</v>
      </c>
      <c r="TZ6" s="91" t="s">
        <v>30</v>
      </c>
      <c r="UA6" s="87" t="s">
        <v>29</v>
      </c>
      <c r="UB6" s="87" t="s">
        <v>30</v>
      </c>
      <c r="UC6" s="87" t="s">
        <v>29</v>
      </c>
      <c r="UD6" s="87" t="s">
        <v>30</v>
      </c>
      <c r="UE6" s="87" t="s">
        <v>29</v>
      </c>
      <c r="UF6" s="87" t="s">
        <v>30</v>
      </c>
      <c r="UG6" s="87" t="s">
        <v>29</v>
      </c>
      <c r="UH6" s="87" t="s">
        <v>30</v>
      </c>
      <c r="UI6" s="87" t="s">
        <v>29</v>
      </c>
      <c r="UJ6" s="87" t="s">
        <v>30</v>
      </c>
      <c r="UK6" s="87" t="s">
        <v>29</v>
      </c>
      <c r="UL6" s="87" t="s">
        <v>30</v>
      </c>
      <c r="UM6" s="87" t="s">
        <v>29</v>
      </c>
      <c r="UN6" s="87" t="s">
        <v>30</v>
      </c>
      <c r="UO6" s="91" t="s">
        <v>29</v>
      </c>
      <c r="UP6" s="91" t="s">
        <v>30</v>
      </c>
      <c r="UQ6" s="87" t="s">
        <v>29</v>
      </c>
      <c r="UR6" s="87" t="s">
        <v>30</v>
      </c>
      <c r="US6" s="87" t="s">
        <v>29</v>
      </c>
      <c r="UT6" s="87" t="s">
        <v>30</v>
      </c>
      <c r="UU6" s="87" t="s">
        <v>29</v>
      </c>
      <c r="UV6" s="87" t="s">
        <v>30</v>
      </c>
      <c r="UW6" s="87" t="s">
        <v>29</v>
      </c>
      <c r="UX6" s="87" t="s">
        <v>30</v>
      </c>
      <c r="UY6" s="87" t="s">
        <v>29</v>
      </c>
      <c r="UZ6" s="87" t="s">
        <v>30</v>
      </c>
      <c r="VA6" s="87" t="s">
        <v>29</v>
      </c>
      <c r="VB6" s="87" t="s">
        <v>30</v>
      </c>
      <c r="VC6" s="87" t="s">
        <v>29</v>
      </c>
      <c r="VD6" s="87" t="s">
        <v>30</v>
      </c>
      <c r="VE6" s="91" t="s">
        <v>29</v>
      </c>
      <c r="VF6" s="91" t="s">
        <v>30</v>
      </c>
      <c r="VG6" s="87" t="s">
        <v>29</v>
      </c>
      <c r="VH6" s="87" t="s">
        <v>30</v>
      </c>
      <c r="VI6" s="87" t="s">
        <v>29</v>
      </c>
      <c r="VJ6" s="87" t="s">
        <v>30</v>
      </c>
      <c r="VK6" s="87" t="s">
        <v>29</v>
      </c>
      <c r="VL6" s="87" t="s">
        <v>30</v>
      </c>
      <c r="VM6" s="87" t="s">
        <v>29</v>
      </c>
      <c r="VN6" s="87" t="s">
        <v>30</v>
      </c>
      <c r="VO6" s="87" t="s">
        <v>29</v>
      </c>
      <c r="VP6" s="87" t="s">
        <v>30</v>
      </c>
      <c r="VQ6" s="87" t="s">
        <v>29</v>
      </c>
      <c r="VR6" s="87" t="s">
        <v>30</v>
      </c>
      <c r="VS6" s="87" t="s">
        <v>29</v>
      </c>
      <c r="VT6" s="87" t="s">
        <v>30</v>
      </c>
      <c r="VU6" s="91" t="s">
        <v>29</v>
      </c>
      <c r="VV6" s="91" t="s">
        <v>30</v>
      </c>
      <c r="VW6" s="87" t="s">
        <v>29</v>
      </c>
      <c r="VX6" s="87" t="s">
        <v>30</v>
      </c>
      <c r="VY6" s="87" t="s">
        <v>29</v>
      </c>
      <c r="VZ6" s="87" t="s">
        <v>30</v>
      </c>
      <c r="WA6" s="87" t="s">
        <v>29</v>
      </c>
      <c r="WB6" s="87" t="s">
        <v>30</v>
      </c>
      <c r="WC6" s="87" t="s">
        <v>29</v>
      </c>
      <c r="WD6" s="87" t="s">
        <v>30</v>
      </c>
      <c r="WE6" s="87" t="s">
        <v>29</v>
      </c>
      <c r="WF6" s="87" t="s">
        <v>30</v>
      </c>
      <c r="WG6" s="87" t="s">
        <v>29</v>
      </c>
      <c r="WH6" s="87" t="s">
        <v>30</v>
      </c>
      <c r="WI6" s="87" t="s">
        <v>29</v>
      </c>
      <c r="WJ6" s="87" t="s">
        <v>30</v>
      </c>
      <c r="WK6" s="91" t="s">
        <v>29</v>
      </c>
      <c r="WL6" s="91" t="s">
        <v>30</v>
      </c>
      <c r="WM6" s="89"/>
      <c r="WN6" s="87" t="s">
        <v>29</v>
      </c>
      <c r="WO6" s="87" t="s">
        <v>30</v>
      </c>
      <c r="WP6" s="87" t="s">
        <v>29</v>
      </c>
      <c r="WQ6" s="87" t="s">
        <v>30</v>
      </c>
      <c r="WR6" s="87" t="s">
        <v>29</v>
      </c>
      <c r="WS6" s="87" t="s">
        <v>30</v>
      </c>
      <c r="WT6" s="87" t="s">
        <v>29</v>
      </c>
      <c r="WU6" s="87" t="s">
        <v>30</v>
      </c>
      <c r="WV6" s="87" t="s">
        <v>29</v>
      </c>
      <c r="WW6" s="87" t="s">
        <v>30</v>
      </c>
      <c r="WX6" s="87" t="s">
        <v>29</v>
      </c>
      <c r="WY6" s="87" t="s">
        <v>30</v>
      </c>
      <c r="WZ6" s="87" t="s">
        <v>29</v>
      </c>
      <c r="XA6" s="87" t="s">
        <v>30</v>
      </c>
      <c r="XB6" s="91" t="s">
        <v>29</v>
      </c>
      <c r="XC6" s="91" t="s">
        <v>30</v>
      </c>
      <c r="XD6" s="89"/>
      <c r="XE6" s="91" t="s">
        <v>29</v>
      </c>
      <c r="XF6" s="91" t="s">
        <v>30</v>
      </c>
      <c r="XG6" s="89"/>
      <c r="XH6" s="91" t="s">
        <v>29</v>
      </c>
      <c r="XI6" s="91" t="s">
        <v>30</v>
      </c>
      <c r="XJ6" s="89"/>
      <c r="XK6" s="87" t="s">
        <v>29</v>
      </c>
      <c r="XL6" s="87" t="s">
        <v>29</v>
      </c>
      <c r="XM6" s="87" t="s">
        <v>29</v>
      </c>
      <c r="XN6" s="87" t="s">
        <v>29</v>
      </c>
      <c r="XO6" s="87" t="s">
        <v>29</v>
      </c>
      <c r="XP6" s="87" t="s">
        <v>29</v>
      </c>
      <c r="XQ6" s="87" t="s">
        <v>29</v>
      </c>
      <c r="XR6" s="91" t="s">
        <v>29</v>
      </c>
      <c r="XS6" s="89"/>
      <c r="XT6" s="87" t="s">
        <v>30</v>
      </c>
      <c r="XU6" s="87" t="s">
        <v>30</v>
      </c>
      <c r="XV6" s="87" t="s">
        <v>30</v>
      </c>
      <c r="XW6" s="87" t="s">
        <v>30</v>
      </c>
      <c r="XX6" s="87" t="s">
        <v>30</v>
      </c>
      <c r="XY6" s="87" t="s">
        <v>30</v>
      </c>
      <c r="XZ6" s="87" t="s">
        <v>30</v>
      </c>
      <c r="YA6" s="92" t="s">
        <v>30</v>
      </c>
      <c r="YB6" s="87"/>
      <c r="YC6" s="87"/>
      <c r="YD6" s="87"/>
      <c r="YE6" s="87"/>
      <c r="YF6" s="87"/>
      <c r="YG6" s="87"/>
      <c r="YH6" s="87"/>
      <c r="YI6" s="87"/>
      <c r="YJ6" s="87"/>
      <c r="YK6" s="87"/>
      <c r="YL6" s="87"/>
      <c r="YM6" s="87"/>
      <c r="YN6" s="87"/>
      <c r="YO6" s="87"/>
      <c r="YP6" s="87"/>
      <c r="YQ6" s="87"/>
      <c r="YR6" s="87"/>
      <c r="YS6" s="87"/>
      <c r="YT6" s="87"/>
      <c r="YU6" s="87"/>
      <c r="YV6" s="87"/>
      <c r="YW6" s="87"/>
      <c r="YX6" s="87"/>
      <c r="YY6" s="87"/>
      <c r="YZ6" s="87"/>
      <c r="ZA6" s="87"/>
      <c r="ZB6" s="87"/>
      <c r="ZC6" s="87"/>
      <c r="ZD6" s="87"/>
      <c r="ZE6" s="87"/>
      <c r="ZF6" s="87"/>
      <c r="ZG6" s="87"/>
      <c r="ZH6" s="87"/>
      <c r="ZI6" s="87"/>
      <c r="ZJ6" s="87"/>
      <c r="ZK6" s="87"/>
      <c r="ZL6" s="87"/>
      <c r="ZM6" s="87"/>
      <c r="ZN6" s="87"/>
      <c r="ZO6" s="87"/>
      <c r="ZP6" s="87"/>
      <c r="ZQ6" s="87"/>
      <c r="ZR6" s="87"/>
      <c r="ZS6" s="87"/>
      <c r="ZT6" s="87"/>
      <c r="ZU6" s="87"/>
      <c r="ZV6" s="87"/>
      <c r="ZW6" s="87"/>
      <c r="ZX6" s="87"/>
      <c r="ZY6" s="87"/>
      <c r="ZZ6" s="87"/>
      <c r="AAA6" s="87"/>
      <c r="AAB6" s="87"/>
      <c r="AAC6" s="87"/>
      <c r="AAD6" s="87"/>
      <c r="AAE6" s="87"/>
      <c r="AAF6" s="87"/>
      <c r="AAG6" s="87"/>
      <c r="AAH6" s="87"/>
      <c r="AAI6" s="87"/>
      <c r="AAJ6" s="87"/>
      <c r="AAK6" s="87"/>
      <c r="AAL6" s="87"/>
      <c r="AAM6" s="87"/>
      <c r="AAN6" s="87"/>
      <c r="AAO6" s="87"/>
      <c r="AAP6" s="87"/>
      <c r="AAQ6" s="87"/>
      <c r="AAR6" s="87"/>
      <c r="AAS6" s="87"/>
      <c r="AAT6" s="87"/>
      <c r="AAU6" s="87"/>
      <c r="AAV6" s="87"/>
      <c r="AAW6" s="87"/>
      <c r="AAX6" s="87"/>
      <c r="AAY6" s="87"/>
      <c r="AAZ6" s="87"/>
      <c r="ABA6" s="87"/>
      <c r="ABB6" s="87"/>
      <c r="ABC6" s="87"/>
      <c r="ABD6" s="87"/>
      <c r="ABE6" s="87"/>
      <c r="ABF6" s="87"/>
      <c r="ABG6" s="87"/>
      <c r="ABH6" s="87"/>
      <c r="ABI6" s="87"/>
      <c r="ABJ6" s="87"/>
      <c r="ABK6" s="87"/>
      <c r="ABL6" s="87"/>
      <c r="ABM6" s="87"/>
      <c r="ABN6" s="87"/>
      <c r="ABO6" s="87"/>
      <c r="ABP6" s="87"/>
      <c r="ABQ6" s="87"/>
      <c r="ABR6" s="87"/>
      <c r="ABS6" s="87"/>
      <c r="ABT6" s="87"/>
      <c r="ABU6" s="87"/>
      <c r="ABV6" s="87"/>
      <c r="ABW6" s="87"/>
      <c r="ABX6" s="87"/>
      <c r="ABY6" s="87"/>
      <c r="ABZ6" s="87"/>
      <c r="ACA6" s="87"/>
      <c r="ACB6" s="87"/>
      <c r="ACC6" s="87"/>
      <c r="ACD6" s="87"/>
      <c r="ACE6" s="87"/>
      <c r="ACF6" s="87"/>
      <c r="ACG6" s="87"/>
      <c r="ACH6" s="87"/>
      <c r="ACI6" s="87"/>
      <c r="ACJ6" s="87"/>
      <c r="ACK6" s="87"/>
      <c r="ACL6" s="87"/>
      <c r="ACM6" s="87"/>
      <c r="ACN6" s="87"/>
      <c r="ACO6" s="87"/>
      <c r="ACP6" s="87"/>
      <c r="ACQ6" s="87"/>
      <c r="ACR6" s="87"/>
      <c r="ACS6" s="87"/>
      <c r="ACT6" s="87"/>
      <c r="ACU6" s="87"/>
      <c r="ACV6" s="87"/>
      <c r="ACW6" s="87"/>
      <c r="ACX6" s="87"/>
      <c r="ACY6" s="87"/>
      <c r="ACZ6" s="87"/>
      <c r="ADA6" s="87"/>
      <c r="ADB6" s="87"/>
      <c r="ADC6" s="87"/>
      <c r="ADD6" s="87"/>
      <c r="ADE6" s="87"/>
      <c r="ADF6" s="87"/>
      <c r="ADG6" s="87"/>
      <c r="ADH6" s="87"/>
      <c r="ADI6" s="87"/>
      <c r="ADJ6" s="87"/>
      <c r="ADK6" s="87"/>
      <c r="ADL6" s="87"/>
      <c r="ADM6" s="87"/>
      <c r="ADN6" s="87"/>
      <c r="ADO6" s="87"/>
      <c r="ADP6" s="87"/>
      <c r="ADQ6" s="87"/>
      <c r="ADR6" s="87"/>
      <c r="ADS6" s="87"/>
      <c r="ADT6" s="87"/>
      <c r="ADU6" s="87"/>
      <c r="ADV6" s="87"/>
      <c r="ADW6" s="87"/>
      <c r="ADX6" s="87"/>
      <c r="ADY6" s="87"/>
      <c r="ADZ6" s="87"/>
      <c r="AEA6" s="87"/>
      <c r="AEB6" s="87"/>
      <c r="AEC6" s="87"/>
      <c r="AED6" s="87"/>
      <c r="AEE6" s="87"/>
      <c r="AEF6" s="87"/>
      <c r="AEG6" s="87"/>
      <c r="AEH6" s="87"/>
      <c r="AEI6" s="87"/>
      <c r="AEJ6" s="87"/>
      <c r="AEK6" s="87"/>
      <c r="AEL6" s="87"/>
      <c r="AEM6" s="87"/>
      <c r="AEN6" s="87"/>
      <c r="AEO6" s="87"/>
      <c r="AEP6" s="87"/>
      <c r="AEQ6" s="87"/>
      <c r="AER6" s="87"/>
      <c r="AES6" s="87"/>
      <c r="AET6" s="87"/>
      <c r="AEU6" s="87"/>
      <c r="AEV6" s="87"/>
      <c r="AEW6" s="87"/>
      <c r="AEX6" s="87"/>
      <c r="AEY6" s="87"/>
      <c r="AEZ6" s="87"/>
      <c r="AFA6" s="87"/>
      <c r="AFB6" s="87"/>
      <c r="AFC6" s="87"/>
      <c r="AFD6" s="87"/>
      <c r="AFE6" s="87"/>
      <c r="AFF6" s="87"/>
      <c r="AFG6" s="87"/>
      <c r="AFH6" s="87"/>
      <c r="AFI6" s="87"/>
      <c r="AFJ6" s="87"/>
      <c r="AFK6" s="87"/>
      <c r="AFL6" s="87"/>
      <c r="AFM6" s="87"/>
      <c r="AFN6" s="87"/>
      <c r="AFO6" s="87"/>
      <c r="AFP6" s="87"/>
      <c r="AFQ6" s="87"/>
      <c r="AFR6" s="87"/>
      <c r="AFS6" s="87"/>
      <c r="AFT6" s="87"/>
      <c r="AFU6" s="87"/>
      <c r="AFV6" s="87"/>
      <c r="AFW6" s="87"/>
      <c r="AFX6" s="87"/>
      <c r="AFY6" s="87"/>
      <c r="AFZ6" s="87"/>
      <c r="AGA6" s="87"/>
      <c r="AGB6" s="87"/>
      <c r="AGC6" s="87"/>
      <c r="AGD6" s="87"/>
      <c r="AGE6" s="87"/>
      <c r="AGF6" s="87"/>
      <c r="AGG6" s="87"/>
      <c r="AGH6" s="87"/>
      <c r="AGI6" s="87"/>
      <c r="AGJ6" s="87"/>
      <c r="AGK6" s="87"/>
      <c r="AGL6" s="87"/>
      <c r="AGM6" s="87"/>
      <c r="AGN6" s="87"/>
      <c r="AGO6" s="87"/>
      <c r="AGP6" s="87"/>
      <c r="AGQ6" s="87"/>
      <c r="AGR6" s="87"/>
      <c r="AGS6" s="87"/>
      <c r="AGT6" s="87"/>
      <c r="AGU6" s="87"/>
      <c r="AGV6" s="87"/>
      <c r="AGW6" s="87"/>
      <c r="AGX6" s="87"/>
      <c r="AGY6" s="87"/>
      <c r="AGZ6" s="87"/>
      <c r="AHA6" s="87"/>
      <c r="AHB6" s="87"/>
      <c r="AHC6" s="87"/>
      <c r="AHD6" s="87"/>
      <c r="AHE6" s="87"/>
      <c r="AHF6" s="87"/>
      <c r="AHG6" s="87"/>
      <c r="AHH6" s="87"/>
      <c r="AHI6" s="87"/>
      <c r="AHJ6" s="87"/>
      <c r="AHK6" s="87"/>
      <c r="AHL6" s="87"/>
      <c r="AHM6" s="87"/>
      <c r="AHN6" s="87"/>
      <c r="AHO6" s="87"/>
      <c r="AHP6" s="87"/>
      <c r="AHQ6" s="87"/>
      <c r="AHR6" s="87"/>
      <c r="AHS6" s="87"/>
      <c r="AHT6" s="87"/>
      <c r="AHU6" s="87"/>
      <c r="AHV6" s="87"/>
      <c r="AHW6" s="87"/>
      <c r="AHX6" s="87"/>
      <c r="AHY6" s="87"/>
      <c r="AHZ6" s="87"/>
      <c r="AIA6" s="87"/>
      <c r="AIB6" s="87"/>
      <c r="AIC6" s="87"/>
      <c r="AID6" s="87"/>
      <c r="AIE6" s="87"/>
      <c r="AIF6" s="87"/>
      <c r="AIG6" s="87"/>
      <c r="AIH6" s="87"/>
      <c r="AII6" s="87"/>
      <c r="AIJ6" s="87"/>
      <c r="AIK6" s="87"/>
      <c r="AIL6" s="87"/>
      <c r="AIM6" s="87"/>
      <c r="AIN6" s="87"/>
      <c r="AIO6" s="87"/>
      <c r="AIP6" s="87"/>
      <c r="AIQ6" s="87"/>
      <c r="AIR6" s="87"/>
      <c r="AIS6" s="87"/>
      <c r="AIT6" s="87"/>
      <c r="AIU6" s="87"/>
      <c r="AIV6" s="87"/>
      <c r="AIW6" s="87"/>
      <c r="AIX6" s="87"/>
      <c r="AIY6" s="87"/>
      <c r="AIZ6" s="87"/>
      <c r="AJA6" s="87"/>
      <c r="AJB6" s="87"/>
      <c r="AJC6" s="87"/>
      <c r="AJD6" s="87"/>
      <c r="AJE6" s="87"/>
      <c r="AJF6" s="87"/>
      <c r="AJG6" s="87"/>
      <c r="AJH6" s="87"/>
      <c r="AJI6" s="87"/>
      <c r="AJJ6" s="87"/>
      <c r="AJK6" s="87"/>
      <c r="AJL6" s="87"/>
      <c r="AJM6" s="87"/>
      <c r="AJN6" s="87"/>
      <c r="AJO6" s="87"/>
      <c r="AJP6" s="87"/>
      <c r="AJQ6" s="87"/>
      <c r="AJR6" s="87"/>
      <c r="AJS6" s="87"/>
      <c r="AJT6" s="87"/>
      <c r="AJU6" s="87"/>
      <c r="AJV6" s="87"/>
      <c r="AJW6" s="87"/>
      <c r="AJX6" s="87"/>
      <c r="AJY6" s="87"/>
      <c r="AJZ6" s="87"/>
      <c r="AKA6" s="87"/>
      <c r="AKB6" s="87"/>
      <c r="AKC6" s="87"/>
      <c r="AKD6" s="87"/>
      <c r="AKE6" s="87"/>
      <c r="AKF6" s="87"/>
      <c r="AKG6" s="87"/>
      <c r="AKH6" s="87"/>
      <c r="AKI6" s="87"/>
      <c r="AKJ6" s="87"/>
      <c r="AKK6" s="87"/>
      <c r="AKL6" s="87"/>
      <c r="AKM6" s="87"/>
      <c r="AKN6" s="87"/>
      <c r="AKO6" s="87"/>
      <c r="AKP6" s="87"/>
      <c r="AKQ6" s="87"/>
      <c r="AKR6" s="87"/>
      <c r="AKS6" s="87"/>
      <c r="AKT6" s="87"/>
      <c r="AKU6" s="87"/>
      <c r="AKV6" s="87"/>
      <c r="AKW6" s="87"/>
      <c r="AKX6" s="87"/>
      <c r="AKY6" s="87"/>
      <c r="AKZ6" s="87"/>
      <c r="ALA6" s="87"/>
      <c r="ALB6" s="87"/>
      <c r="ALC6" s="87"/>
      <c r="ALD6" s="87"/>
      <c r="ALE6" s="87"/>
      <c r="ALF6" s="87"/>
      <c r="ALG6" s="87"/>
      <c r="ALH6" s="87"/>
      <c r="ALI6" s="87"/>
      <c r="ALJ6" s="87"/>
      <c r="ALK6" s="87"/>
      <c r="ALL6" s="87"/>
      <c r="ALM6" s="87"/>
      <c r="ALN6" s="87"/>
      <c r="ALO6" s="87"/>
      <c r="ALP6" s="87"/>
      <c r="ALQ6" s="87"/>
      <c r="ALR6" s="87"/>
      <c r="ALS6" s="87"/>
      <c r="ALT6" s="87"/>
      <c r="ALU6" s="87"/>
      <c r="ALV6" s="87"/>
      <c r="ALW6" s="87"/>
      <c r="ALX6" s="87"/>
      <c r="ALY6" s="87"/>
      <c r="ALZ6" s="87"/>
      <c r="AMA6" s="87"/>
      <c r="AMB6" s="87"/>
      <c r="AMC6" s="87"/>
    </row>
    <row r="7" spans="1:1017" ht="18.5">
      <c r="A7" s="90"/>
      <c r="B7" s="93" t="s">
        <v>41</v>
      </c>
      <c r="C7" s="87">
        <f t="shared" ref="C7:P7" si="0">SUM(C13,C51,C89)</f>
        <v>0</v>
      </c>
      <c r="D7" s="87">
        <f t="shared" si="0"/>
        <v>0</v>
      </c>
      <c r="E7" s="87">
        <f t="shared" si="0"/>
        <v>4615502</v>
      </c>
      <c r="F7" s="87">
        <f t="shared" si="0"/>
        <v>153546333.579</v>
      </c>
      <c r="G7" s="87">
        <f t="shared" si="0"/>
        <v>0</v>
      </c>
      <c r="H7" s="87">
        <f t="shared" si="0"/>
        <v>0</v>
      </c>
      <c r="I7" s="87">
        <f t="shared" si="0"/>
        <v>338750</v>
      </c>
      <c r="J7" s="87">
        <f t="shared" si="0"/>
        <v>7611950</v>
      </c>
      <c r="K7" s="87">
        <f t="shared" si="0"/>
        <v>0</v>
      </c>
      <c r="L7" s="87">
        <f t="shared" si="0"/>
        <v>0</v>
      </c>
      <c r="M7" s="87">
        <f t="shared" si="0"/>
        <v>1300</v>
      </c>
      <c r="N7" s="87">
        <f t="shared" si="0"/>
        <v>26000</v>
      </c>
      <c r="O7" s="87">
        <f t="shared" si="0"/>
        <v>0</v>
      </c>
      <c r="P7" s="87">
        <f t="shared" si="0"/>
        <v>0</v>
      </c>
      <c r="Q7" s="91">
        <f>SUMIF(C12:P12,Q12,C7:P7)</f>
        <v>4955552</v>
      </c>
      <c r="R7" s="91">
        <f>SUMIF(C12:P12,R12,C7:P7)</f>
        <v>161184283.579</v>
      </c>
      <c r="S7" s="87">
        <f t="shared" ref="S7:AF7" si="1">SUM(S13,S51,S89)</f>
        <v>13430</v>
      </c>
      <c r="T7" s="87">
        <f t="shared" si="1"/>
        <v>1763450</v>
      </c>
      <c r="U7" s="87">
        <f t="shared" si="1"/>
        <v>4745625</v>
      </c>
      <c r="V7" s="87">
        <f t="shared" si="1"/>
        <v>236836650</v>
      </c>
      <c r="W7" s="87">
        <f t="shared" si="1"/>
        <v>0</v>
      </c>
      <c r="X7" s="87">
        <f t="shared" si="1"/>
        <v>0</v>
      </c>
      <c r="Y7" s="87">
        <f t="shared" si="1"/>
        <v>2508160</v>
      </c>
      <c r="Z7" s="87">
        <f t="shared" si="1"/>
        <v>50955415</v>
      </c>
      <c r="AA7" s="87">
        <f t="shared" si="1"/>
        <v>18740</v>
      </c>
      <c r="AB7" s="87">
        <f t="shared" si="1"/>
        <v>510625</v>
      </c>
      <c r="AC7" s="87">
        <f t="shared" si="1"/>
        <v>10610</v>
      </c>
      <c r="AD7" s="87">
        <f t="shared" si="1"/>
        <v>292075</v>
      </c>
      <c r="AE7" s="87">
        <f t="shared" si="1"/>
        <v>5605</v>
      </c>
      <c r="AF7" s="87">
        <f t="shared" si="1"/>
        <v>136175</v>
      </c>
      <c r="AG7" s="92">
        <f t="shared" ref="AG7" si="2">SUMIF(S12:AF12,AG12,S7:AF7)</f>
        <v>7302170</v>
      </c>
      <c r="AH7" s="92">
        <f t="shared" ref="AH7" si="3">SUMIF(S12:AF12,AH12,S7:AF7)</f>
        <v>290494390</v>
      </c>
      <c r="AI7" s="87">
        <f t="shared" ref="AI7:AV7" si="4">SUM(AI13,AI51,AI89)</f>
        <v>0</v>
      </c>
      <c r="AJ7" s="87">
        <f t="shared" si="4"/>
        <v>0</v>
      </c>
      <c r="AK7" s="87">
        <f t="shared" si="4"/>
        <v>105000</v>
      </c>
      <c r="AL7" s="87">
        <f t="shared" si="4"/>
        <v>6825000</v>
      </c>
      <c r="AM7" s="87">
        <f t="shared" si="4"/>
        <v>0</v>
      </c>
      <c r="AN7" s="87">
        <f t="shared" si="4"/>
        <v>0</v>
      </c>
      <c r="AO7" s="87">
        <f t="shared" si="4"/>
        <v>4025700</v>
      </c>
      <c r="AP7" s="87">
        <f t="shared" si="4"/>
        <v>88022700</v>
      </c>
      <c r="AQ7" s="87">
        <f t="shared" si="4"/>
        <v>420</v>
      </c>
      <c r="AR7" s="87">
        <f t="shared" si="4"/>
        <v>10300</v>
      </c>
      <c r="AS7" s="87">
        <f t="shared" si="4"/>
        <v>0</v>
      </c>
      <c r="AT7" s="87">
        <f t="shared" si="4"/>
        <v>0</v>
      </c>
      <c r="AU7" s="87">
        <f t="shared" si="4"/>
        <v>7060</v>
      </c>
      <c r="AV7" s="87">
        <f t="shared" si="4"/>
        <v>173940</v>
      </c>
      <c r="AW7" s="92">
        <f t="shared" ref="AW7" si="5">SUMIF(AI12:AV12,AW12,AI7:AV7)</f>
        <v>4138180</v>
      </c>
      <c r="AX7" s="92">
        <f t="shared" ref="AX7" si="6">SUMIF(AI12:AV12,AX12,AI7:AV7)</f>
        <v>95031940</v>
      </c>
      <c r="AY7" s="87">
        <f t="shared" ref="AY7:BL7" si="7">SUM(AY13,AY51,AY89)</f>
        <v>0</v>
      </c>
      <c r="AZ7" s="87">
        <f t="shared" si="7"/>
        <v>0</v>
      </c>
      <c r="BA7" s="87">
        <f t="shared" si="7"/>
        <v>0</v>
      </c>
      <c r="BB7" s="87">
        <f t="shared" si="7"/>
        <v>0</v>
      </c>
      <c r="BC7" s="87">
        <f t="shared" si="7"/>
        <v>0</v>
      </c>
      <c r="BD7" s="87">
        <f t="shared" si="7"/>
        <v>0</v>
      </c>
      <c r="BE7" s="87">
        <f t="shared" si="7"/>
        <v>1542739</v>
      </c>
      <c r="BF7" s="87">
        <f t="shared" si="7"/>
        <v>30910241</v>
      </c>
      <c r="BG7" s="87">
        <f t="shared" si="7"/>
        <v>56772</v>
      </c>
      <c r="BH7" s="87">
        <f t="shared" si="7"/>
        <v>1050747</v>
      </c>
      <c r="BI7" s="87">
        <f t="shared" si="7"/>
        <v>0</v>
      </c>
      <c r="BJ7" s="87">
        <f t="shared" si="7"/>
        <v>0</v>
      </c>
      <c r="BK7" s="87">
        <f t="shared" si="7"/>
        <v>11524</v>
      </c>
      <c r="BL7" s="87">
        <f t="shared" si="7"/>
        <v>193931</v>
      </c>
      <c r="BM7" s="92">
        <f t="shared" ref="BM7" si="8">SUMIF(AY12:BL12,BM12,AY7:BL7)</f>
        <v>1611035</v>
      </c>
      <c r="BN7" s="92">
        <f t="shared" ref="BN7" si="9">SUMIF(AY12:BL12,BN12,AY7:BL7)</f>
        <v>32154919</v>
      </c>
      <c r="BO7" s="87">
        <f t="shared" ref="BO7:CB7" si="10">SUM(BO13,BO51,BO89)</f>
        <v>0</v>
      </c>
      <c r="BP7" s="87">
        <f t="shared" si="10"/>
        <v>0</v>
      </c>
      <c r="BQ7" s="87">
        <f t="shared" si="10"/>
        <v>0</v>
      </c>
      <c r="BR7" s="87">
        <f t="shared" si="10"/>
        <v>0</v>
      </c>
      <c r="BS7" s="87">
        <f t="shared" si="10"/>
        <v>0</v>
      </c>
      <c r="BT7" s="87">
        <f t="shared" si="10"/>
        <v>0</v>
      </c>
      <c r="BU7" s="87">
        <f t="shared" si="10"/>
        <v>226594</v>
      </c>
      <c r="BV7" s="87">
        <f t="shared" si="10"/>
        <v>4871029</v>
      </c>
      <c r="BW7" s="87">
        <f t="shared" si="10"/>
        <v>0</v>
      </c>
      <c r="BX7" s="87">
        <f t="shared" si="10"/>
        <v>0</v>
      </c>
      <c r="BY7" s="87">
        <f t="shared" si="10"/>
        <v>0</v>
      </c>
      <c r="BZ7" s="87">
        <f t="shared" si="10"/>
        <v>0</v>
      </c>
      <c r="CA7" s="87">
        <f t="shared" si="10"/>
        <v>0</v>
      </c>
      <c r="CB7" s="87">
        <f t="shared" si="10"/>
        <v>0</v>
      </c>
      <c r="CC7" s="92">
        <f t="shared" ref="CC7" si="11">SUMIF(BO12:CB12,CC12,BO7:CB7)</f>
        <v>226594</v>
      </c>
      <c r="CD7" s="92">
        <f t="shared" ref="CD7" si="12">SUMIF(BO12:CB12,CD12,BO7:CB7)</f>
        <v>4871029</v>
      </c>
      <c r="CE7" s="87">
        <f t="shared" ref="CE7:CR7" si="13">SUM(CE13,CE51,CE89)</f>
        <v>1178368</v>
      </c>
      <c r="CF7" s="87">
        <f t="shared" si="13"/>
        <v>4868226</v>
      </c>
      <c r="CG7" s="87">
        <f t="shared" si="13"/>
        <v>22615979.346231226</v>
      </c>
      <c r="CH7" s="87">
        <f t="shared" si="13"/>
        <v>649282857.08653629</v>
      </c>
      <c r="CI7" s="87">
        <f t="shared" si="13"/>
        <v>0</v>
      </c>
      <c r="CJ7" s="87">
        <f t="shared" si="13"/>
        <v>0</v>
      </c>
      <c r="CK7" s="87">
        <f t="shared" si="13"/>
        <v>17050061</v>
      </c>
      <c r="CL7" s="87">
        <f t="shared" si="13"/>
        <v>283692372.50579751</v>
      </c>
      <c r="CM7" s="87">
        <f t="shared" si="13"/>
        <v>0</v>
      </c>
      <c r="CN7" s="87">
        <f t="shared" si="13"/>
        <v>0</v>
      </c>
      <c r="CO7" s="87">
        <f t="shared" si="13"/>
        <v>0</v>
      </c>
      <c r="CP7" s="87">
        <f t="shared" si="13"/>
        <v>0</v>
      </c>
      <c r="CQ7" s="87">
        <f t="shared" si="13"/>
        <v>0</v>
      </c>
      <c r="CR7" s="87">
        <f t="shared" si="13"/>
        <v>0</v>
      </c>
      <c r="CS7" s="92">
        <f t="shared" ref="CS7" si="14">SUMIF(CE12:CR12,CS12,CE7:CR7)</f>
        <v>40844408.346231222</v>
      </c>
      <c r="CT7" s="92">
        <f t="shared" ref="CT7" si="15">SUMIF(CE12:CR12,CT12,CE7:CR7)</f>
        <v>937843455.59233379</v>
      </c>
      <c r="CU7" s="87">
        <f t="shared" ref="CU7:DH7" si="16">SUM(CU13,CU51,CU89)</f>
        <v>0</v>
      </c>
      <c r="CV7" s="87">
        <f t="shared" si="16"/>
        <v>0</v>
      </c>
      <c r="CW7" s="87">
        <f t="shared" si="16"/>
        <v>368555.00099170511</v>
      </c>
      <c r="CX7" s="87">
        <f t="shared" si="16"/>
        <v>25496371.024999999</v>
      </c>
      <c r="CY7" s="87">
        <f t="shared" si="16"/>
        <v>0</v>
      </c>
      <c r="CZ7" s="87">
        <f t="shared" si="16"/>
        <v>0</v>
      </c>
      <c r="DA7" s="87">
        <f t="shared" si="16"/>
        <v>3844033</v>
      </c>
      <c r="DB7" s="87">
        <f t="shared" si="16"/>
        <v>84800377.998999998</v>
      </c>
      <c r="DC7" s="87">
        <f t="shared" si="16"/>
        <v>16400</v>
      </c>
      <c r="DD7" s="87">
        <f t="shared" si="16"/>
        <v>429250</v>
      </c>
      <c r="DE7" s="87">
        <f t="shared" si="16"/>
        <v>0</v>
      </c>
      <c r="DF7" s="87">
        <f t="shared" si="16"/>
        <v>0</v>
      </c>
      <c r="DG7" s="87">
        <f t="shared" si="16"/>
        <v>0</v>
      </c>
      <c r="DH7" s="87">
        <f t="shared" si="16"/>
        <v>0</v>
      </c>
      <c r="DI7" s="92">
        <f t="shared" ref="DI7" si="17">SUMIF(CU12:DH12,DI12,CU7:DH7)</f>
        <v>4228988.0009917049</v>
      </c>
      <c r="DJ7" s="92">
        <f t="shared" ref="DJ7" si="18">SUMIF(CU12:DH12,DJ12,CU7:DH7)</f>
        <v>110725999.02399999</v>
      </c>
      <c r="DK7" s="87">
        <f t="shared" ref="DK7:DX7" si="19">SUM(DK13,DK51,DK89)</f>
        <v>0</v>
      </c>
      <c r="DL7" s="87">
        <f t="shared" si="19"/>
        <v>0</v>
      </c>
      <c r="DM7" s="87">
        <f t="shared" si="19"/>
        <v>0</v>
      </c>
      <c r="DN7" s="87">
        <f t="shared" si="19"/>
        <v>0</v>
      </c>
      <c r="DO7" s="87">
        <f t="shared" si="19"/>
        <v>0</v>
      </c>
      <c r="DP7" s="87">
        <f t="shared" si="19"/>
        <v>0</v>
      </c>
      <c r="DQ7" s="87">
        <f t="shared" si="19"/>
        <v>3845700</v>
      </c>
      <c r="DR7" s="87">
        <f t="shared" si="19"/>
        <v>68454750</v>
      </c>
      <c r="DS7" s="87">
        <f t="shared" si="19"/>
        <v>0</v>
      </c>
      <c r="DT7" s="87">
        <f t="shared" si="19"/>
        <v>0</v>
      </c>
      <c r="DU7" s="87">
        <f t="shared" si="19"/>
        <v>0</v>
      </c>
      <c r="DV7" s="87">
        <f t="shared" si="19"/>
        <v>0</v>
      </c>
      <c r="DW7" s="87">
        <f t="shared" si="19"/>
        <v>0</v>
      </c>
      <c r="DX7" s="87">
        <f t="shared" si="19"/>
        <v>0</v>
      </c>
      <c r="DY7" s="92">
        <f t="shared" ref="DY7" si="20">SUMIF(DK12:DX12,DY12,DK7:DX7)</f>
        <v>3845700</v>
      </c>
      <c r="DZ7" s="92">
        <f t="shared" ref="DZ7" si="21">SUMIF(DK12:DX12,DZ12,DK7:DX7)</f>
        <v>68454750</v>
      </c>
      <c r="EA7" s="87">
        <f t="shared" ref="EA7:EN7" si="22">SUM(EA13,EA51,EA89)</f>
        <v>0</v>
      </c>
      <c r="EB7" s="87">
        <f t="shared" si="22"/>
        <v>0</v>
      </c>
      <c r="EC7" s="87">
        <f t="shared" si="22"/>
        <v>0</v>
      </c>
      <c r="ED7" s="87">
        <f t="shared" si="22"/>
        <v>0</v>
      </c>
      <c r="EE7" s="87">
        <f t="shared" si="22"/>
        <v>0</v>
      </c>
      <c r="EF7" s="87">
        <f t="shared" si="22"/>
        <v>0</v>
      </c>
      <c r="EG7" s="87">
        <f t="shared" si="22"/>
        <v>6417120</v>
      </c>
      <c r="EH7" s="87">
        <f t="shared" si="22"/>
        <v>120453120</v>
      </c>
      <c r="EI7" s="87">
        <f t="shared" si="22"/>
        <v>0</v>
      </c>
      <c r="EJ7" s="87">
        <f t="shared" si="22"/>
        <v>0</v>
      </c>
      <c r="EK7" s="87">
        <f t="shared" si="22"/>
        <v>0</v>
      </c>
      <c r="EL7" s="87">
        <f t="shared" si="22"/>
        <v>0</v>
      </c>
      <c r="EM7" s="87">
        <f t="shared" si="22"/>
        <v>0</v>
      </c>
      <c r="EN7" s="87">
        <f t="shared" si="22"/>
        <v>0</v>
      </c>
      <c r="EO7" s="92">
        <f t="shared" ref="EO7" si="23">SUMIF(EA12:EN12,EO12,EA7:EN7)</f>
        <v>6417120</v>
      </c>
      <c r="EP7" s="92">
        <f t="shared" ref="EP7" si="24">SUMIF(EA12:EN12,EP12,EA7:EN7)</f>
        <v>120453120</v>
      </c>
      <c r="EQ7" s="87">
        <f t="shared" ref="EQ7:FD7" si="25">SUM(EQ13,EQ51,EQ89)</f>
        <v>0</v>
      </c>
      <c r="ER7" s="87">
        <f t="shared" si="25"/>
        <v>0</v>
      </c>
      <c r="ES7" s="87">
        <f t="shared" si="25"/>
        <v>1248695</v>
      </c>
      <c r="ET7" s="87">
        <f t="shared" si="25"/>
        <v>77754145</v>
      </c>
      <c r="EU7" s="87">
        <f t="shared" si="25"/>
        <v>0</v>
      </c>
      <c r="EV7" s="87">
        <f t="shared" si="25"/>
        <v>0</v>
      </c>
      <c r="EW7" s="87">
        <f t="shared" si="25"/>
        <v>12692278</v>
      </c>
      <c r="EX7" s="87">
        <f t="shared" si="25"/>
        <v>391849110</v>
      </c>
      <c r="EY7" s="87">
        <f t="shared" si="25"/>
        <v>0</v>
      </c>
      <c r="EZ7" s="87">
        <f t="shared" si="25"/>
        <v>0</v>
      </c>
      <c r="FA7" s="87">
        <f t="shared" si="25"/>
        <v>18506</v>
      </c>
      <c r="FB7" s="87">
        <f t="shared" si="25"/>
        <v>407132</v>
      </c>
      <c r="FC7" s="87">
        <f t="shared" si="25"/>
        <v>1301</v>
      </c>
      <c r="FD7" s="87">
        <f t="shared" si="25"/>
        <v>32525</v>
      </c>
      <c r="FE7" s="92">
        <f t="shared" ref="FE7" si="26">SUMIF(EQ12:FD12,FE12,EQ7:FD7)</f>
        <v>13960780</v>
      </c>
      <c r="FF7" s="92">
        <f t="shared" ref="FF7" si="27">SUMIF(EQ12:FD12,FF12,EQ7:FD7)</f>
        <v>470042912</v>
      </c>
      <c r="FG7" s="87">
        <f t="shared" ref="FG7:FT7" si="28">SUM(FG13,FG51,FG89)</f>
        <v>0</v>
      </c>
      <c r="FH7" s="87">
        <f t="shared" si="28"/>
        <v>0</v>
      </c>
      <c r="FI7" s="87">
        <f t="shared" si="28"/>
        <v>385000</v>
      </c>
      <c r="FJ7" s="87">
        <f t="shared" si="28"/>
        <v>23100000</v>
      </c>
      <c r="FK7" s="87">
        <f t="shared" si="28"/>
        <v>0</v>
      </c>
      <c r="FL7" s="87">
        <f t="shared" si="28"/>
        <v>0</v>
      </c>
      <c r="FM7" s="87">
        <f t="shared" si="28"/>
        <v>692000.4</v>
      </c>
      <c r="FN7" s="87">
        <f t="shared" si="28"/>
        <v>17966047</v>
      </c>
      <c r="FO7" s="87">
        <f t="shared" si="28"/>
        <v>0</v>
      </c>
      <c r="FP7" s="87">
        <f t="shared" si="28"/>
        <v>0</v>
      </c>
      <c r="FQ7" s="87">
        <f t="shared" si="28"/>
        <v>0</v>
      </c>
      <c r="FR7" s="87">
        <f t="shared" si="28"/>
        <v>0</v>
      </c>
      <c r="FS7" s="87">
        <f t="shared" si="28"/>
        <v>235000</v>
      </c>
      <c r="FT7" s="87">
        <f t="shared" si="28"/>
        <v>7050000</v>
      </c>
      <c r="FU7" s="92">
        <f t="shared" ref="FU7" si="29">SUMIF(FG12:FT12,FU12,FG7:FT7)</f>
        <v>1312000.3999999999</v>
      </c>
      <c r="FV7" s="92">
        <f t="shared" ref="FV7" si="30">SUMIF(FG12:FT12,FV12,FG7:FT7)</f>
        <v>48116047</v>
      </c>
      <c r="FW7" s="87">
        <f t="shared" ref="FW7:GJ7" si="31">SUM(FW13,FW51,FW89)</f>
        <v>0</v>
      </c>
      <c r="FX7" s="87">
        <f t="shared" si="31"/>
        <v>0</v>
      </c>
      <c r="FY7" s="87">
        <f t="shared" si="31"/>
        <v>0</v>
      </c>
      <c r="FZ7" s="87">
        <f t="shared" si="31"/>
        <v>0</v>
      </c>
      <c r="GA7" s="87">
        <f t="shared" si="31"/>
        <v>0</v>
      </c>
      <c r="GB7" s="87">
        <f t="shared" si="31"/>
        <v>0</v>
      </c>
      <c r="GC7" s="87">
        <f t="shared" si="31"/>
        <v>983300</v>
      </c>
      <c r="GD7" s="87">
        <f t="shared" si="31"/>
        <v>20204450</v>
      </c>
      <c r="GE7" s="87">
        <f t="shared" si="31"/>
        <v>0</v>
      </c>
      <c r="GF7" s="87">
        <f t="shared" si="31"/>
        <v>0</v>
      </c>
      <c r="GG7" s="87">
        <f t="shared" si="31"/>
        <v>0</v>
      </c>
      <c r="GH7" s="87">
        <f t="shared" si="31"/>
        <v>0</v>
      </c>
      <c r="GI7" s="87">
        <f t="shared" si="31"/>
        <v>0</v>
      </c>
      <c r="GJ7" s="87">
        <f t="shared" si="31"/>
        <v>0</v>
      </c>
      <c r="GK7" s="92">
        <f t="shared" ref="GK7" si="32">SUMIF(FW12:GJ12,GK12,FW7:GJ7)</f>
        <v>983300</v>
      </c>
      <c r="GL7" s="92">
        <f t="shared" ref="GL7" si="33">SUMIF(FW12:GJ12,GL12,FW7:GJ7)</f>
        <v>20204450</v>
      </c>
      <c r="GM7" s="87">
        <f t="shared" ref="GM7:GZ7" si="34">SUM(GM13,GM51,GM89)</f>
        <v>0</v>
      </c>
      <c r="GN7" s="87">
        <f t="shared" si="34"/>
        <v>0</v>
      </c>
      <c r="GO7" s="87">
        <f t="shared" si="34"/>
        <v>0</v>
      </c>
      <c r="GP7" s="87">
        <f t="shared" si="34"/>
        <v>0</v>
      </c>
      <c r="GQ7" s="87">
        <f t="shared" si="34"/>
        <v>0</v>
      </c>
      <c r="GR7" s="87">
        <f t="shared" si="34"/>
        <v>0</v>
      </c>
      <c r="GS7" s="87">
        <f t="shared" si="34"/>
        <v>483050</v>
      </c>
      <c r="GT7" s="87">
        <f t="shared" si="34"/>
        <v>9441975</v>
      </c>
      <c r="GU7" s="87">
        <f t="shared" si="34"/>
        <v>0</v>
      </c>
      <c r="GV7" s="87">
        <f t="shared" si="34"/>
        <v>0</v>
      </c>
      <c r="GW7" s="87">
        <f t="shared" si="34"/>
        <v>0</v>
      </c>
      <c r="GX7" s="87">
        <f t="shared" si="34"/>
        <v>0</v>
      </c>
      <c r="GY7" s="87">
        <f t="shared" si="34"/>
        <v>530</v>
      </c>
      <c r="GZ7" s="87">
        <f t="shared" si="34"/>
        <v>14550</v>
      </c>
      <c r="HA7" s="92">
        <f t="shared" ref="HA7" si="35">SUMIF(GM12:GZ12,HA12,GM7:GZ7)</f>
        <v>483580</v>
      </c>
      <c r="HB7" s="92">
        <f t="shared" ref="HB7" si="36">SUMIF(GM12:GZ12,HB12,GM7:GZ7)</f>
        <v>9456525</v>
      </c>
      <c r="HC7" s="87">
        <f t="shared" ref="HC7:HP7" si="37">SUM(HC13,HC51,HC89)</f>
        <v>0</v>
      </c>
      <c r="HD7" s="87">
        <f t="shared" si="37"/>
        <v>0</v>
      </c>
      <c r="HE7" s="87">
        <f t="shared" si="37"/>
        <v>310000</v>
      </c>
      <c r="HF7" s="87">
        <f t="shared" si="37"/>
        <v>16825000</v>
      </c>
      <c r="HG7" s="87">
        <f t="shared" si="37"/>
        <v>0</v>
      </c>
      <c r="HH7" s="87">
        <f t="shared" si="37"/>
        <v>0</v>
      </c>
      <c r="HI7" s="87">
        <f t="shared" si="37"/>
        <v>1861300</v>
      </c>
      <c r="HJ7" s="87">
        <f t="shared" si="37"/>
        <v>32617500</v>
      </c>
      <c r="HK7" s="87">
        <f t="shared" si="37"/>
        <v>0</v>
      </c>
      <c r="HL7" s="87">
        <f t="shared" si="37"/>
        <v>0</v>
      </c>
      <c r="HM7" s="87">
        <f t="shared" si="37"/>
        <v>0</v>
      </c>
      <c r="HN7" s="87">
        <f t="shared" si="37"/>
        <v>0</v>
      </c>
      <c r="HO7" s="87">
        <f t="shared" si="37"/>
        <v>1650000</v>
      </c>
      <c r="HP7" s="87">
        <f t="shared" si="37"/>
        <v>37950000</v>
      </c>
      <c r="HQ7" s="92">
        <f t="shared" ref="HQ7" si="38">SUMIF(HC12:HP12,HQ12,HC7:HP7)</f>
        <v>3821300</v>
      </c>
      <c r="HR7" s="92">
        <f t="shared" ref="HR7" si="39">SUMIF(HC12:HP12,HR12,HC7:HP7)</f>
        <v>87392500</v>
      </c>
      <c r="HS7" s="87">
        <f t="shared" ref="HS7:IF7" si="40">SUM(HS13,HS51,HS89)</f>
        <v>0</v>
      </c>
      <c r="HT7" s="87">
        <f t="shared" si="40"/>
        <v>0</v>
      </c>
      <c r="HU7" s="87">
        <f t="shared" si="40"/>
        <v>0</v>
      </c>
      <c r="HV7" s="87">
        <f t="shared" si="40"/>
        <v>0</v>
      </c>
      <c r="HW7" s="87">
        <f t="shared" si="40"/>
        <v>0</v>
      </c>
      <c r="HX7" s="87">
        <f t="shared" si="40"/>
        <v>0</v>
      </c>
      <c r="HY7" s="87">
        <f t="shared" si="40"/>
        <v>459900</v>
      </c>
      <c r="HZ7" s="87">
        <f t="shared" si="40"/>
        <v>9548430</v>
      </c>
      <c r="IA7" s="87">
        <f t="shared" si="40"/>
        <v>0</v>
      </c>
      <c r="IB7" s="87">
        <f t="shared" si="40"/>
        <v>0</v>
      </c>
      <c r="IC7" s="87">
        <f t="shared" si="40"/>
        <v>600</v>
      </c>
      <c r="ID7" s="87">
        <f t="shared" si="40"/>
        <v>15000</v>
      </c>
      <c r="IE7" s="87">
        <f t="shared" si="40"/>
        <v>0</v>
      </c>
      <c r="IF7" s="87">
        <f t="shared" si="40"/>
        <v>0</v>
      </c>
      <c r="IG7" s="92">
        <f t="shared" ref="IG7" si="41">SUMIF(HS12:IF12,IG12,HS7:IF7)</f>
        <v>460500</v>
      </c>
      <c r="IH7" s="92">
        <f t="shared" ref="IH7" si="42">SUMIF(HS12:IF12,IH12,HS7:IF7)</f>
        <v>9563430</v>
      </c>
      <c r="II7" s="87">
        <f t="shared" ref="II7:IV7" si="43">SUM(II13,II51,II89)</f>
        <v>0</v>
      </c>
      <c r="IJ7" s="87">
        <f t="shared" si="43"/>
        <v>0</v>
      </c>
      <c r="IK7" s="87">
        <f t="shared" si="43"/>
        <v>0</v>
      </c>
      <c r="IL7" s="87">
        <f t="shared" si="43"/>
        <v>0</v>
      </c>
      <c r="IM7" s="87">
        <f t="shared" si="43"/>
        <v>0</v>
      </c>
      <c r="IN7" s="87">
        <f t="shared" si="43"/>
        <v>0</v>
      </c>
      <c r="IO7" s="87">
        <f t="shared" si="43"/>
        <v>3007000</v>
      </c>
      <c r="IP7" s="87">
        <f t="shared" si="43"/>
        <v>58594480</v>
      </c>
      <c r="IQ7" s="87">
        <f t="shared" si="43"/>
        <v>0</v>
      </c>
      <c r="IR7" s="87">
        <f t="shared" si="43"/>
        <v>0</v>
      </c>
      <c r="IS7" s="87">
        <f t="shared" si="43"/>
        <v>0</v>
      </c>
      <c r="IT7" s="87">
        <f t="shared" si="43"/>
        <v>0</v>
      </c>
      <c r="IU7" s="87">
        <f t="shared" si="43"/>
        <v>0</v>
      </c>
      <c r="IV7" s="87">
        <f t="shared" si="43"/>
        <v>0</v>
      </c>
      <c r="IW7" s="92">
        <f t="shared" ref="IW7" si="44">SUMIF(II12:IV12,IW12,II7:IV7)</f>
        <v>3007000</v>
      </c>
      <c r="IX7" s="92">
        <f>SUMIF(II12:IV12,IX12,II7:IV7)</f>
        <v>58594480</v>
      </c>
      <c r="IY7" s="87">
        <f t="shared" ref="IY7:JL7" si="45">SUM(IY13,IY51,IY89)</f>
        <v>0</v>
      </c>
      <c r="IZ7" s="87">
        <f t="shared" si="45"/>
        <v>0</v>
      </c>
      <c r="JA7" s="87">
        <f t="shared" si="45"/>
        <v>0</v>
      </c>
      <c r="JB7" s="87">
        <f t="shared" si="45"/>
        <v>0</v>
      </c>
      <c r="JC7" s="87">
        <f t="shared" si="45"/>
        <v>0</v>
      </c>
      <c r="JD7" s="87">
        <f t="shared" si="45"/>
        <v>0</v>
      </c>
      <c r="JE7" s="87">
        <f t="shared" si="45"/>
        <v>1097544</v>
      </c>
      <c r="JF7" s="87">
        <f t="shared" si="45"/>
        <v>20878467</v>
      </c>
      <c r="JG7" s="87">
        <f t="shared" si="45"/>
        <v>0</v>
      </c>
      <c r="JH7" s="87">
        <f t="shared" si="45"/>
        <v>0</v>
      </c>
      <c r="JI7" s="87">
        <f t="shared" si="45"/>
        <v>0</v>
      </c>
      <c r="JJ7" s="87">
        <f t="shared" si="45"/>
        <v>0</v>
      </c>
      <c r="JK7" s="87">
        <f t="shared" si="45"/>
        <v>31713</v>
      </c>
      <c r="JL7" s="87">
        <f t="shared" si="45"/>
        <v>624462</v>
      </c>
      <c r="JM7" s="92">
        <f t="shared" ref="JM7" si="46">SUMIF(IY12:JL12,JM12,IY7:JL7)</f>
        <v>1129257</v>
      </c>
      <c r="JN7" s="92">
        <f t="shared" ref="JN7" si="47">SUMIF(IY12:JL12,JN12,IY7:JL7)</f>
        <v>21502929</v>
      </c>
      <c r="JO7" s="87">
        <f t="shared" ref="JO7:KB7" si="48">SUM(JO13,JO51,JO89)</f>
        <v>0</v>
      </c>
      <c r="JP7" s="87">
        <f t="shared" si="48"/>
        <v>0</v>
      </c>
      <c r="JQ7" s="87">
        <f t="shared" si="48"/>
        <v>385521</v>
      </c>
      <c r="JR7" s="87">
        <f t="shared" si="48"/>
        <v>29688188</v>
      </c>
      <c r="JS7" s="87">
        <f t="shared" si="48"/>
        <v>0</v>
      </c>
      <c r="JT7" s="87">
        <f t="shared" si="48"/>
        <v>0</v>
      </c>
      <c r="JU7" s="87">
        <f t="shared" si="48"/>
        <v>161747</v>
      </c>
      <c r="JV7" s="87">
        <f t="shared" si="48"/>
        <v>4166102</v>
      </c>
      <c r="JW7" s="87">
        <f t="shared" si="48"/>
        <v>0</v>
      </c>
      <c r="JX7" s="87">
        <f t="shared" si="48"/>
        <v>0</v>
      </c>
      <c r="JY7" s="87">
        <f t="shared" si="48"/>
        <v>0</v>
      </c>
      <c r="JZ7" s="87">
        <f t="shared" si="48"/>
        <v>0</v>
      </c>
      <c r="KA7" s="87">
        <f t="shared" si="48"/>
        <v>0</v>
      </c>
      <c r="KB7" s="87">
        <f t="shared" si="48"/>
        <v>0</v>
      </c>
      <c r="KC7" s="92">
        <f t="shared" ref="KC7" si="49">SUMIF(JO12:KB12,KC12,JO7:KB7)</f>
        <v>547268</v>
      </c>
      <c r="KD7" s="92">
        <f t="shared" ref="KD7" si="50">SUMIF(JO12:KB12,KD12,JO7:KB7)</f>
        <v>33854290</v>
      </c>
      <c r="KE7" s="87">
        <f t="shared" ref="KE7:KR7" si="51">SUM(KE13,KE51,KE89)</f>
        <v>0</v>
      </c>
      <c r="KF7" s="87">
        <f t="shared" si="51"/>
        <v>0</v>
      </c>
      <c r="KG7" s="87">
        <f t="shared" si="51"/>
        <v>142429</v>
      </c>
      <c r="KH7" s="87">
        <f t="shared" si="51"/>
        <v>9935474</v>
      </c>
      <c r="KI7" s="87">
        <f t="shared" si="51"/>
        <v>0</v>
      </c>
      <c r="KJ7" s="87">
        <f t="shared" si="51"/>
        <v>0</v>
      </c>
      <c r="KK7" s="87">
        <f t="shared" si="51"/>
        <v>172635</v>
      </c>
      <c r="KL7" s="87">
        <f t="shared" si="51"/>
        <v>3469045</v>
      </c>
      <c r="KM7" s="87">
        <f t="shared" si="51"/>
        <v>0</v>
      </c>
      <c r="KN7" s="87">
        <f t="shared" si="51"/>
        <v>0</v>
      </c>
      <c r="KO7" s="87">
        <f t="shared" si="51"/>
        <v>0</v>
      </c>
      <c r="KP7" s="87">
        <f t="shared" si="51"/>
        <v>0</v>
      </c>
      <c r="KQ7" s="87">
        <f t="shared" si="51"/>
        <v>0</v>
      </c>
      <c r="KR7" s="87">
        <f t="shared" si="51"/>
        <v>0</v>
      </c>
      <c r="KS7" s="92">
        <f t="shared" ref="KS7" si="52">SUMIF(KE12:KR12,KS12,KE7:KR7)</f>
        <v>315064</v>
      </c>
      <c r="KT7" s="92">
        <f t="shared" ref="KT7" si="53">SUMIF(KE12:KR12,KT12,KE7:KR7)</f>
        <v>13404519</v>
      </c>
      <c r="KU7" s="87">
        <f t="shared" ref="KU7:LH7" si="54">SUM(KU13,KU51,KU89)</f>
        <v>0</v>
      </c>
      <c r="KV7" s="87">
        <f t="shared" si="54"/>
        <v>0</v>
      </c>
      <c r="KW7" s="87">
        <f t="shared" si="54"/>
        <v>1847043.1599999997</v>
      </c>
      <c r="KX7" s="87">
        <f t="shared" si="54"/>
        <v>36040176</v>
      </c>
      <c r="KY7" s="87">
        <f t="shared" si="54"/>
        <v>0</v>
      </c>
      <c r="KZ7" s="87">
        <f t="shared" si="54"/>
        <v>0</v>
      </c>
      <c r="LA7" s="87">
        <f t="shared" si="54"/>
        <v>4556757.07</v>
      </c>
      <c r="LB7" s="87">
        <f t="shared" si="54"/>
        <v>85424793</v>
      </c>
      <c r="LC7" s="87">
        <f t="shared" si="54"/>
        <v>0</v>
      </c>
      <c r="LD7" s="87">
        <f t="shared" si="54"/>
        <v>0</v>
      </c>
      <c r="LE7" s="87">
        <f t="shared" si="54"/>
        <v>0</v>
      </c>
      <c r="LF7" s="87">
        <f t="shared" si="54"/>
        <v>0</v>
      </c>
      <c r="LG7" s="87">
        <f t="shared" si="54"/>
        <v>34857.33</v>
      </c>
      <c r="LH7" s="87">
        <f t="shared" si="54"/>
        <v>836573</v>
      </c>
      <c r="LI7" s="92">
        <f t="shared" ref="LI7" si="55">SUMIF(KU12:LH12,LI12,KU7:LH7)</f>
        <v>6438657.5600000005</v>
      </c>
      <c r="LJ7" s="92">
        <f t="shared" ref="LJ7" si="56">SUMIF(KU12:LH12,LJ12,KU7:LH7)</f>
        <v>122301542</v>
      </c>
      <c r="LK7" s="87">
        <f t="shared" ref="LK7:LX7" si="57">SUM(LK13,LK51,LK89)</f>
        <v>0</v>
      </c>
      <c r="LL7" s="87">
        <f t="shared" si="57"/>
        <v>0</v>
      </c>
      <c r="LM7" s="87">
        <f t="shared" si="57"/>
        <v>0</v>
      </c>
      <c r="LN7" s="87">
        <f t="shared" si="57"/>
        <v>0</v>
      </c>
      <c r="LO7" s="87">
        <f t="shared" si="57"/>
        <v>0</v>
      </c>
      <c r="LP7" s="87">
        <f t="shared" si="57"/>
        <v>0</v>
      </c>
      <c r="LQ7" s="87">
        <f t="shared" si="57"/>
        <v>567744</v>
      </c>
      <c r="LR7" s="87">
        <f t="shared" si="57"/>
        <v>11515377.5</v>
      </c>
      <c r="LS7" s="87">
        <f t="shared" si="57"/>
        <v>0</v>
      </c>
      <c r="LT7" s="87">
        <f t="shared" si="57"/>
        <v>0</v>
      </c>
      <c r="LU7" s="87">
        <f t="shared" si="57"/>
        <v>0</v>
      </c>
      <c r="LV7" s="87">
        <f t="shared" si="57"/>
        <v>0</v>
      </c>
      <c r="LW7" s="87">
        <f t="shared" si="57"/>
        <v>4729</v>
      </c>
      <c r="LX7" s="87">
        <f t="shared" si="57"/>
        <v>160786</v>
      </c>
      <c r="LY7" s="92">
        <f t="shared" ref="LY7" si="58">SUMIF(LK12:LX12,LY12,LK7:LX7)</f>
        <v>572473</v>
      </c>
      <c r="LZ7" s="92">
        <f t="shared" ref="LZ7" si="59">SUMIF(LK12:LX12,LZ12,LK7:LX7)</f>
        <v>11676163.5</v>
      </c>
      <c r="MA7" s="87">
        <f t="shared" ref="MA7:MN7" si="60">SUM(MA13,MA51,MA89)</f>
        <v>97800</v>
      </c>
      <c r="MB7" s="87">
        <f t="shared" si="60"/>
        <v>8313000</v>
      </c>
      <c r="MC7" s="87">
        <f t="shared" si="60"/>
        <v>4384100</v>
      </c>
      <c r="MD7" s="87">
        <f t="shared" si="60"/>
        <v>244950200</v>
      </c>
      <c r="ME7" s="87">
        <f t="shared" si="60"/>
        <v>0</v>
      </c>
      <c r="MF7" s="87">
        <f t="shared" si="60"/>
        <v>0</v>
      </c>
      <c r="MG7" s="87">
        <f t="shared" si="60"/>
        <v>223000</v>
      </c>
      <c r="MH7" s="87">
        <f t="shared" si="60"/>
        <v>4131050</v>
      </c>
      <c r="MI7" s="87">
        <f t="shared" si="60"/>
        <v>0</v>
      </c>
      <c r="MJ7" s="87">
        <f t="shared" si="60"/>
        <v>0</v>
      </c>
      <c r="MK7" s="87">
        <f t="shared" si="60"/>
        <v>0</v>
      </c>
      <c r="ML7" s="87">
        <f t="shared" si="60"/>
        <v>0</v>
      </c>
      <c r="MM7" s="87">
        <f t="shared" si="60"/>
        <v>8000</v>
      </c>
      <c r="MN7" s="87">
        <f t="shared" si="60"/>
        <v>160000</v>
      </c>
      <c r="MO7" s="92">
        <f t="shared" ref="MO7" si="61">SUMIF(MA12:MN12,MO12,MA7:MN7)</f>
        <v>4712900</v>
      </c>
      <c r="MP7" s="92">
        <f t="shared" ref="MP7" si="62">SUMIF(MA12:MN12,MP12,MA7:MN7)</f>
        <v>257554250</v>
      </c>
      <c r="MQ7" s="87">
        <f t="shared" ref="MQ7:ND7" si="63">SUM(MQ13,MQ51,MQ89)</f>
        <v>0</v>
      </c>
      <c r="MR7" s="87">
        <f t="shared" si="63"/>
        <v>0</v>
      </c>
      <c r="MS7" s="87">
        <f t="shared" si="63"/>
        <v>257642</v>
      </c>
      <c r="MT7" s="87">
        <f t="shared" si="63"/>
        <v>12625689</v>
      </c>
      <c r="MU7" s="87">
        <f t="shared" si="63"/>
        <v>0</v>
      </c>
      <c r="MV7" s="87">
        <f t="shared" si="63"/>
        <v>0</v>
      </c>
      <c r="MW7" s="87">
        <f t="shared" si="63"/>
        <v>57003</v>
      </c>
      <c r="MX7" s="87">
        <f t="shared" si="63"/>
        <v>1317684</v>
      </c>
      <c r="MY7" s="87">
        <f t="shared" si="63"/>
        <v>0</v>
      </c>
      <c r="MZ7" s="87">
        <f t="shared" si="63"/>
        <v>0</v>
      </c>
      <c r="NA7" s="87">
        <f t="shared" si="63"/>
        <v>0</v>
      </c>
      <c r="NB7" s="87">
        <f t="shared" si="63"/>
        <v>0</v>
      </c>
      <c r="NC7" s="87">
        <f t="shared" si="63"/>
        <v>0</v>
      </c>
      <c r="ND7" s="87">
        <f t="shared" si="63"/>
        <v>0</v>
      </c>
      <c r="NE7" s="92">
        <f t="shared" ref="NE7" si="64">SUMIF(MQ12:ND12,NE12,MQ7:ND7)</f>
        <v>314645</v>
      </c>
      <c r="NF7" s="92">
        <f t="shared" ref="NF7" si="65">SUMIF(MQ12:ND12,NF12,MQ7:ND7)</f>
        <v>13943373</v>
      </c>
      <c r="NG7" s="87">
        <f t="shared" ref="NG7:NT7" si="66">SUM(NG13,NG51,NG89)</f>
        <v>0</v>
      </c>
      <c r="NH7" s="87">
        <f t="shared" si="66"/>
        <v>0</v>
      </c>
      <c r="NI7" s="87">
        <f t="shared" si="66"/>
        <v>19097191</v>
      </c>
      <c r="NJ7" s="87">
        <f t="shared" si="66"/>
        <v>529073575</v>
      </c>
      <c r="NK7" s="87">
        <f t="shared" si="66"/>
        <v>0</v>
      </c>
      <c r="NL7" s="87">
        <f t="shared" si="66"/>
        <v>0</v>
      </c>
      <c r="NM7" s="87">
        <f t="shared" si="66"/>
        <v>7253945</v>
      </c>
      <c r="NN7" s="87">
        <f t="shared" si="66"/>
        <v>117497520</v>
      </c>
      <c r="NO7" s="87">
        <f t="shared" si="66"/>
        <v>0</v>
      </c>
      <c r="NP7" s="87">
        <f t="shared" si="66"/>
        <v>0</v>
      </c>
      <c r="NQ7" s="87">
        <f t="shared" si="66"/>
        <v>92245</v>
      </c>
      <c r="NR7" s="87">
        <f t="shared" si="66"/>
        <v>1678570</v>
      </c>
      <c r="NS7" s="87">
        <f t="shared" si="66"/>
        <v>0</v>
      </c>
      <c r="NT7" s="87">
        <f t="shared" si="66"/>
        <v>0</v>
      </c>
      <c r="NU7" s="92">
        <f t="shared" ref="NU7" si="67">SUMIF(NG12:NT12,NU12,NG7:NT7)</f>
        <v>26443381</v>
      </c>
      <c r="NV7" s="92">
        <f t="shared" ref="NV7" si="68">SUMIF(NG12:NT12,NV12,NG7:NT7)</f>
        <v>648249665</v>
      </c>
      <c r="NW7" s="87">
        <f t="shared" ref="NW7:OJ7" si="69">SUM(NW13,NW51,NW89)</f>
        <v>11275</v>
      </c>
      <c r="NX7" s="87">
        <f t="shared" si="69"/>
        <v>372250</v>
      </c>
      <c r="NY7" s="87">
        <f t="shared" si="69"/>
        <v>2802637</v>
      </c>
      <c r="NZ7" s="87">
        <f t="shared" si="69"/>
        <v>138104299</v>
      </c>
      <c r="OA7" s="87">
        <f t="shared" si="69"/>
        <v>0</v>
      </c>
      <c r="OB7" s="87">
        <f t="shared" si="69"/>
        <v>0</v>
      </c>
      <c r="OC7" s="87">
        <f t="shared" si="69"/>
        <v>169815</v>
      </c>
      <c r="OD7" s="87">
        <f t="shared" si="69"/>
        <v>3232543</v>
      </c>
      <c r="OE7" s="87">
        <f t="shared" si="69"/>
        <v>0</v>
      </c>
      <c r="OF7" s="87">
        <f t="shared" si="69"/>
        <v>0</v>
      </c>
      <c r="OG7" s="87">
        <f t="shared" si="69"/>
        <v>0</v>
      </c>
      <c r="OH7" s="87">
        <f t="shared" si="69"/>
        <v>0</v>
      </c>
      <c r="OI7" s="87">
        <f t="shared" si="69"/>
        <v>0</v>
      </c>
      <c r="OJ7" s="87">
        <f t="shared" si="69"/>
        <v>0</v>
      </c>
      <c r="OK7" s="92">
        <f t="shared" ref="OK7" si="70">SUMIF(NW12:OJ12,OK12,NW7:OJ7)</f>
        <v>2983727</v>
      </c>
      <c r="OL7" s="92">
        <f t="shared" ref="OL7" si="71">SUMIF(NW12:OJ12,OL12,NW7:OJ7)</f>
        <v>141709092</v>
      </c>
      <c r="OM7" s="87">
        <f t="shared" ref="OM7:OZ7" si="72">SUM(OM13,OM51,OM89)</f>
        <v>155167300</v>
      </c>
      <c r="ON7" s="87">
        <f t="shared" si="72"/>
        <v>942970302</v>
      </c>
      <c r="OO7" s="87">
        <f t="shared" si="72"/>
        <v>1712277</v>
      </c>
      <c r="OP7" s="87">
        <f t="shared" si="72"/>
        <v>99081975</v>
      </c>
      <c r="OQ7" s="87">
        <f t="shared" si="72"/>
        <v>0</v>
      </c>
      <c r="OR7" s="87">
        <f t="shared" si="72"/>
        <v>0</v>
      </c>
      <c r="OS7" s="87">
        <f t="shared" si="72"/>
        <v>93958.2</v>
      </c>
      <c r="OT7" s="87">
        <f t="shared" si="72"/>
        <v>2131162.2000000002</v>
      </c>
      <c r="OU7" s="87">
        <f t="shared" si="72"/>
        <v>0</v>
      </c>
      <c r="OV7" s="87">
        <f t="shared" si="72"/>
        <v>0</v>
      </c>
      <c r="OW7" s="87">
        <f t="shared" si="72"/>
        <v>0</v>
      </c>
      <c r="OX7" s="87">
        <f t="shared" si="72"/>
        <v>0</v>
      </c>
      <c r="OY7" s="87">
        <f t="shared" si="72"/>
        <v>0</v>
      </c>
      <c r="OZ7" s="87">
        <f t="shared" si="72"/>
        <v>0</v>
      </c>
      <c r="PA7" s="92">
        <f t="shared" ref="PA7" si="73">SUMIF(OM12:OZ12,PA12,OM7:OZ7)</f>
        <v>156973535.19999999</v>
      </c>
      <c r="PB7" s="92">
        <f t="shared" ref="PB7" si="74">SUMIF(OM12:OZ12,PB12,OM7:OZ7)</f>
        <v>1044183439.2</v>
      </c>
      <c r="PC7" s="87">
        <f t="shared" ref="PC7:PP7" si="75">SUM(PC13,PC51,PC89)</f>
        <v>678</v>
      </c>
      <c r="PD7" s="87">
        <f t="shared" si="75"/>
        <v>40680</v>
      </c>
      <c r="PE7" s="87">
        <f t="shared" si="75"/>
        <v>104712</v>
      </c>
      <c r="PF7" s="87">
        <f t="shared" si="75"/>
        <v>5272102</v>
      </c>
      <c r="PG7" s="87">
        <f t="shared" si="75"/>
        <v>0</v>
      </c>
      <c r="PH7" s="87">
        <f t="shared" si="75"/>
        <v>0</v>
      </c>
      <c r="PI7" s="87">
        <f t="shared" si="75"/>
        <v>1225424</v>
      </c>
      <c r="PJ7" s="87">
        <f t="shared" si="75"/>
        <v>21451777</v>
      </c>
      <c r="PK7" s="87">
        <f t="shared" si="75"/>
        <v>0</v>
      </c>
      <c r="PL7" s="87">
        <f t="shared" si="75"/>
        <v>0</v>
      </c>
      <c r="PM7" s="87">
        <f t="shared" si="75"/>
        <v>0</v>
      </c>
      <c r="PN7" s="87">
        <f t="shared" si="75"/>
        <v>0</v>
      </c>
      <c r="PO7" s="87">
        <f t="shared" si="75"/>
        <v>0</v>
      </c>
      <c r="PP7" s="87">
        <f t="shared" si="75"/>
        <v>0</v>
      </c>
      <c r="PQ7" s="92">
        <f t="shared" ref="PQ7" si="76">SUMIF(PC12:PP12,PQ12,PC7:PP7)</f>
        <v>1330814</v>
      </c>
      <c r="PR7" s="92">
        <f t="shared" ref="PR7" si="77">SUMIF(PC12:PP12,PR12,PC7:PP7)</f>
        <v>26764559</v>
      </c>
      <c r="PS7" s="87">
        <f t="shared" ref="PS7:QF7" si="78">SUM(PS13,PS51,PS89)</f>
        <v>280</v>
      </c>
      <c r="PT7" s="87">
        <f t="shared" si="78"/>
        <v>28000</v>
      </c>
      <c r="PU7" s="87">
        <f t="shared" si="78"/>
        <v>3851740</v>
      </c>
      <c r="PV7" s="87">
        <f t="shared" si="78"/>
        <v>157151810</v>
      </c>
      <c r="PW7" s="87">
        <f t="shared" si="78"/>
        <v>0</v>
      </c>
      <c r="PX7" s="87">
        <f t="shared" si="78"/>
        <v>0</v>
      </c>
      <c r="PY7" s="87">
        <f t="shared" si="78"/>
        <v>3589460</v>
      </c>
      <c r="PZ7" s="87">
        <f t="shared" si="78"/>
        <v>66951041.410999998</v>
      </c>
      <c r="QA7" s="87">
        <f t="shared" si="78"/>
        <v>5136730</v>
      </c>
      <c r="QB7" s="87">
        <f t="shared" si="78"/>
        <v>137177370</v>
      </c>
      <c r="QC7" s="87">
        <f t="shared" si="78"/>
        <v>1826530</v>
      </c>
      <c r="QD7" s="87">
        <f t="shared" si="78"/>
        <v>34130134</v>
      </c>
      <c r="QE7" s="87">
        <f t="shared" si="78"/>
        <v>0</v>
      </c>
      <c r="QF7" s="87">
        <f t="shared" si="78"/>
        <v>0</v>
      </c>
      <c r="QG7" s="92">
        <f t="shared" ref="QG7" si="79">SUMIF(PS12:QF12,QG12,PS7:QF7)</f>
        <v>14404740</v>
      </c>
      <c r="QH7" s="92">
        <f t="shared" ref="QH7" si="80">SUMIF(PS12:QF12,QH12,PS7:QF7)</f>
        <v>395438355.41100001</v>
      </c>
      <c r="QI7" s="87">
        <f t="shared" ref="QI7:QV7" si="81">SUM(QI13,QI51,QI89)</f>
        <v>0</v>
      </c>
      <c r="QJ7" s="87">
        <f t="shared" si="81"/>
        <v>0</v>
      </c>
      <c r="QK7" s="87">
        <f t="shared" si="81"/>
        <v>0</v>
      </c>
      <c r="QL7" s="87">
        <f t="shared" si="81"/>
        <v>0</v>
      </c>
      <c r="QM7" s="87">
        <f t="shared" si="81"/>
        <v>0</v>
      </c>
      <c r="QN7" s="87">
        <f t="shared" si="81"/>
        <v>0</v>
      </c>
      <c r="QO7" s="87">
        <f t="shared" si="81"/>
        <v>12372000</v>
      </c>
      <c r="QP7" s="87">
        <f t="shared" si="81"/>
        <v>238251000</v>
      </c>
      <c r="QQ7" s="87">
        <f t="shared" si="81"/>
        <v>0</v>
      </c>
      <c r="QR7" s="87">
        <f t="shared" si="81"/>
        <v>0</v>
      </c>
      <c r="QS7" s="87">
        <f t="shared" si="81"/>
        <v>0</v>
      </c>
      <c r="QT7" s="87">
        <f t="shared" si="81"/>
        <v>0</v>
      </c>
      <c r="QU7" s="87">
        <f t="shared" si="81"/>
        <v>0</v>
      </c>
      <c r="QV7" s="87">
        <f t="shared" si="81"/>
        <v>0</v>
      </c>
      <c r="QW7" s="92">
        <f t="shared" ref="QW7" si="82">SUMIF(QI12:QV12,QW12,QI7:QV7)</f>
        <v>12372000</v>
      </c>
      <c r="QX7" s="92">
        <f t="shared" ref="QX7" si="83">SUMIF(QI12:QV12,QX12,QI7:QV7)</f>
        <v>238251000</v>
      </c>
      <c r="QY7" s="87">
        <f t="shared" ref="QY7:RL7" si="84">SUM(QY13,QY51,QY89)</f>
        <v>0</v>
      </c>
      <c r="QZ7" s="87">
        <f t="shared" si="84"/>
        <v>0</v>
      </c>
      <c r="RA7" s="87">
        <f t="shared" si="84"/>
        <v>0</v>
      </c>
      <c r="RB7" s="87">
        <f t="shared" si="84"/>
        <v>0</v>
      </c>
      <c r="RC7" s="87">
        <f t="shared" si="84"/>
        <v>0</v>
      </c>
      <c r="RD7" s="87">
        <f t="shared" si="84"/>
        <v>0</v>
      </c>
      <c r="RE7" s="87">
        <f t="shared" si="84"/>
        <v>15201</v>
      </c>
      <c r="RF7" s="87">
        <f t="shared" si="84"/>
        <v>373093</v>
      </c>
      <c r="RG7" s="87">
        <f t="shared" si="84"/>
        <v>0</v>
      </c>
      <c r="RH7" s="87">
        <f t="shared" si="84"/>
        <v>0</v>
      </c>
      <c r="RI7" s="87">
        <f t="shared" si="84"/>
        <v>0</v>
      </c>
      <c r="RJ7" s="87">
        <f t="shared" si="84"/>
        <v>0</v>
      </c>
      <c r="RK7" s="87">
        <f t="shared" si="84"/>
        <v>0</v>
      </c>
      <c r="RL7" s="87">
        <f t="shared" si="84"/>
        <v>0</v>
      </c>
      <c r="RM7" s="92">
        <f t="shared" ref="RM7" si="85">SUMIF(QY12:RL12,RM12,QY7:RL7)</f>
        <v>15201</v>
      </c>
      <c r="RN7" s="92">
        <f t="shared" ref="RN7" si="86">SUMIF(QY12:RL12,RN12,QY7:RL7)</f>
        <v>373093</v>
      </c>
      <c r="RO7" s="87">
        <f t="shared" ref="RO7:SB7" si="87">SUM(RO13,RO51,RO89)</f>
        <v>0</v>
      </c>
      <c r="RP7" s="87">
        <f t="shared" si="87"/>
        <v>0</v>
      </c>
      <c r="RQ7" s="87">
        <f t="shared" si="87"/>
        <v>0</v>
      </c>
      <c r="RR7" s="87">
        <f t="shared" si="87"/>
        <v>0</v>
      </c>
      <c r="RS7" s="87">
        <f t="shared" si="87"/>
        <v>0</v>
      </c>
      <c r="RT7" s="87">
        <f t="shared" si="87"/>
        <v>0</v>
      </c>
      <c r="RU7" s="87">
        <f t="shared" si="87"/>
        <v>68430</v>
      </c>
      <c r="RV7" s="87">
        <f t="shared" si="87"/>
        <v>1410230</v>
      </c>
      <c r="RW7" s="87">
        <f t="shared" si="87"/>
        <v>0</v>
      </c>
      <c r="RX7" s="87">
        <f t="shared" si="87"/>
        <v>0</v>
      </c>
      <c r="RY7" s="87">
        <f t="shared" si="87"/>
        <v>0</v>
      </c>
      <c r="RZ7" s="87">
        <f t="shared" si="87"/>
        <v>0</v>
      </c>
      <c r="SA7" s="87">
        <f t="shared" si="87"/>
        <v>0</v>
      </c>
      <c r="SB7" s="87">
        <f t="shared" si="87"/>
        <v>0</v>
      </c>
      <c r="SC7" s="92">
        <f t="shared" ref="SC7" si="88">SUMIF(RO12:SB12,SC12,RO7:SB7)</f>
        <v>68430</v>
      </c>
      <c r="SD7" s="92">
        <f t="shared" ref="SD7" si="89">SUMIF(RO12:SB12,SD12,RO7:SB7)</f>
        <v>1410230</v>
      </c>
      <c r="SE7" s="87">
        <f t="shared" ref="SE7:SR7" si="90">SUM(SE13,SE51,SE89)</f>
        <v>0</v>
      </c>
      <c r="SF7" s="87">
        <f t="shared" si="90"/>
        <v>0</v>
      </c>
      <c r="SG7" s="87">
        <f t="shared" si="90"/>
        <v>0</v>
      </c>
      <c r="SH7" s="87">
        <f t="shared" si="90"/>
        <v>0</v>
      </c>
      <c r="SI7" s="87">
        <f t="shared" si="90"/>
        <v>0</v>
      </c>
      <c r="SJ7" s="87">
        <f t="shared" si="90"/>
        <v>0</v>
      </c>
      <c r="SK7" s="87">
        <f t="shared" si="90"/>
        <v>50900</v>
      </c>
      <c r="SL7" s="87">
        <f t="shared" si="90"/>
        <v>974300</v>
      </c>
      <c r="SM7" s="87">
        <f t="shared" si="90"/>
        <v>0</v>
      </c>
      <c r="SN7" s="87">
        <f t="shared" si="90"/>
        <v>0</v>
      </c>
      <c r="SO7" s="87">
        <f t="shared" si="90"/>
        <v>0</v>
      </c>
      <c r="SP7" s="87">
        <f t="shared" si="90"/>
        <v>0</v>
      </c>
      <c r="SQ7" s="87">
        <f t="shared" si="90"/>
        <v>0</v>
      </c>
      <c r="SR7" s="87">
        <f t="shared" si="90"/>
        <v>0</v>
      </c>
      <c r="SS7" s="92">
        <f t="shared" ref="SS7" si="91">SUMIF(SE12:SR12,SS12,SE7:SR7)</f>
        <v>50900</v>
      </c>
      <c r="ST7" s="92">
        <f t="shared" ref="ST7" si="92">SUMIF(SE12:SR12,ST12,SE7:SR7)</f>
        <v>974300</v>
      </c>
      <c r="SU7" s="87">
        <f t="shared" ref="SU7:TH7" si="93">SUM(SU13,SU51,SU89)</f>
        <v>0</v>
      </c>
      <c r="SV7" s="87">
        <f t="shared" si="93"/>
        <v>0</v>
      </c>
      <c r="SW7" s="87">
        <f t="shared" si="93"/>
        <v>0</v>
      </c>
      <c r="SX7" s="87">
        <f t="shared" si="93"/>
        <v>0</v>
      </c>
      <c r="SY7" s="87">
        <f t="shared" si="93"/>
        <v>0</v>
      </c>
      <c r="SZ7" s="87">
        <f t="shared" si="93"/>
        <v>0</v>
      </c>
      <c r="TA7" s="87">
        <f t="shared" si="93"/>
        <v>91944.98</v>
      </c>
      <c r="TB7" s="87">
        <f t="shared" si="93"/>
        <v>2034943.4</v>
      </c>
      <c r="TC7" s="87">
        <f t="shared" si="93"/>
        <v>0</v>
      </c>
      <c r="TD7" s="87">
        <f t="shared" si="93"/>
        <v>0</v>
      </c>
      <c r="TE7" s="87">
        <f t="shared" si="93"/>
        <v>0</v>
      </c>
      <c r="TF7" s="87">
        <f t="shared" si="93"/>
        <v>0</v>
      </c>
      <c r="TG7" s="87">
        <f t="shared" si="93"/>
        <v>0</v>
      </c>
      <c r="TH7" s="87">
        <f t="shared" si="93"/>
        <v>0</v>
      </c>
      <c r="TI7" s="92">
        <f t="shared" ref="TI7" si="94">SUMIF(SU12:TH12,TI12,SU7:TH7)</f>
        <v>91944.98</v>
      </c>
      <c r="TJ7" s="92">
        <f t="shared" ref="TJ7" si="95">SUMIF(SU12:TH12,TJ12,SU7:TH7)</f>
        <v>2034943.4</v>
      </c>
      <c r="TK7" s="87">
        <f t="shared" ref="TK7:TX7" si="96">SUM(TK13,TK51,TK89)</f>
        <v>0</v>
      </c>
      <c r="TL7" s="87">
        <f t="shared" si="96"/>
        <v>0</v>
      </c>
      <c r="TM7" s="87">
        <f t="shared" si="96"/>
        <v>0</v>
      </c>
      <c r="TN7" s="87">
        <f t="shared" si="96"/>
        <v>0</v>
      </c>
      <c r="TO7" s="87">
        <f t="shared" si="96"/>
        <v>0</v>
      </c>
      <c r="TP7" s="87">
        <f t="shared" si="96"/>
        <v>0</v>
      </c>
      <c r="TQ7" s="87">
        <f t="shared" si="96"/>
        <v>44500</v>
      </c>
      <c r="TR7" s="87">
        <f t="shared" si="96"/>
        <v>932500</v>
      </c>
      <c r="TS7" s="87">
        <f t="shared" si="96"/>
        <v>0</v>
      </c>
      <c r="TT7" s="87">
        <f t="shared" si="96"/>
        <v>0</v>
      </c>
      <c r="TU7" s="87">
        <f t="shared" si="96"/>
        <v>2500</v>
      </c>
      <c r="TV7" s="87">
        <f t="shared" si="96"/>
        <v>80750</v>
      </c>
      <c r="TW7" s="87">
        <f t="shared" si="96"/>
        <v>0</v>
      </c>
      <c r="TX7" s="87">
        <f t="shared" si="96"/>
        <v>0</v>
      </c>
      <c r="TY7" s="92">
        <f t="shared" ref="TY7" si="97">SUMIF(TK12:TX12,TY12,TK7:TX7)</f>
        <v>47000</v>
      </c>
      <c r="TZ7" s="92">
        <f t="shared" ref="TZ7" si="98">SUMIF(TK12:TX12,TZ12,TK7:TX7)</f>
        <v>1013250</v>
      </c>
      <c r="UA7" s="87">
        <f t="shared" ref="UA7:UN7" si="99">SUM(UA13,UA51,UA89)</f>
        <v>0</v>
      </c>
      <c r="UB7" s="87">
        <f t="shared" si="99"/>
        <v>0</v>
      </c>
      <c r="UC7" s="87">
        <f t="shared" si="99"/>
        <v>0</v>
      </c>
      <c r="UD7" s="87">
        <f t="shared" si="99"/>
        <v>0</v>
      </c>
      <c r="UE7" s="87">
        <f t="shared" si="99"/>
        <v>0</v>
      </c>
      <c r="UF7" s="87">
        <f t="shared" si="99"/>
        <v>0</v>
      </c>
      <c r="UG7" s="87">
        <f t="shared" si="99"/>
        <v>57330</v>
      </c>
      <c r="UH7" s="87">
        <f t="shared" si="99"/>
        <v>1049882.0019999999</v>
      </c>
      <c r="UI7" s="87">
        <f t="shared" si="99"/>
        <v>0</v>
      </c>
      <c r="UJ7" s="87">
        <f t="shared" si="99"/>
        <v>0</v>
      </c>
      <c r="UK7" s="87">
        <f t="shared" si="99"/>
        <v>0</v>
      </c>
      <c r="UL7" s="87">
        <f t="shared" si="99"/>
        <v>0</v>
      </c>
      <c r="UM7" s="87">
        <f t="shared" si="99"/>
        <v>0</v>
      </c>
      <c r="UN7" s="87">
        <f t="shared" si="99"/>
        <v>0</v>
      </c>
      <c r="UO7" s="92">
        <f t="shared" ref="UO7" si="100">SUMIF(UA12:UN12,UO12,UA7:UN7)</f>
        <v>57330</v>
      </c>
      <c r="UP7" s="92">
        <f t="shared" ref="UP7" si="101">SUMIF(UA12:UN12,UP12,UA7:UN7)</f>
        <v>1049882.0019999999</v>
      </c>
      <c r="UQ7" s="87">
        <f t="shared" ref="UQ7:VD7" si="102">SUM(UQ13,UQ51,UQ89)</f>
        <v>0</v>
      </c>
      <c r="UR7" s="87">
        <f t="shared" si="102"/>
        <v>0</v>
      </c>
      <c r="US7" s="87">
        <f t="shared" si="102"/>
        <v>643783</v>
      </c>
      <c r="UT7" s="87">
        <f t="shared" si="102"/>
        <v>5615728</v>
      </c>
      <c r="UU7" s="87">
        <f t="shared" si="102"/>
        <v>0</v>
      </c>
      <c r="UV7" s="87">
        <f t="shared" si="102"/>
        <v>0</v>
      </c>
      <c r="UW7" s="87">
        <f t="shared" si="102"/>
        <v>12483</v>
      </c>
      <c r="UX7" s="87">
        <f t="shared" si="102"/>
        <v>237267</v>
      </c>
      <c r="UY7" s="87">
        <f t="shared" si="102"/>
        <v>0</v>
      </c>
      <c r="UZ7" s="87">
        <f t="shared" si="102"/>
        <v>0</v>
      </c>
      <c r="VA7" s="87">
        <f t="shared" si="102"/>
        <v>0</v>
      </c>
      <c r="VB7" s="87">
        <f t="shared" si="102"/>
        <v>0</v>
      </c>
      <c r="VC7" s="87">
        <f t="shared" si="102"/>
        <v>0</v>
      </c>
      <c r="VD7" s="87">
        <f t="shared" si="102"/>
        <v>0</v>
      </c>
      <c r="VE7" s="92">
        <f t="shared" ref="VE7" si="103">SUMIF(UQ12:VD12,VE12,UQ7:VD7)</f>
        <v>656266</v>
      </c>
      <c r="VF7" s="92">
        <f t="shared" ref="VF7" si="104">SUMIF(UQ12:VD12,VF12,UQ7:VD7)</f>
        <v>5852995</v>
      </c>
      <c r="VG7" s="87">
        <f t="shared" ref="VG7:VT7" si="105">SUM(VG13,VG51,VG89)</f>
        <v>0</v>
      </c>
      <c r="VH7" s="87">
        <f t="shared" si="105"/>
        <v>0</v>
      </c>
      <c r="VI7" s="87">
        <f t="shared" si="105"/>
        <v>39428</v>
      </c>
      <c r="VJ7" s="87">
        <f t="shared" si="105"/>
        <v>1711452.7</v>
      </c>
      <c r="VK7" s="87">
        <f t="shared" si="105"/>
        <v>0</v>
      </c>
      <c r="VL7" s="87">
        <f t="shared" si="105"/>
        <v>0</v>
      </c>
      <c r="VM7" s="87">
        <f t="shared" si="105"/>
        <v>54587.199999999997</v>
      </c>
      <c r="VN7" s="87">
        <f t="shared" si="105"/>
        <v>1096417</v>
      </c>
      <c r="VO7" s="87">
        <f t="shared" si="105"/>
        <v>0</v>
      </c>
      <c r="VP7" s="87">
        <f t="shared" si="105"/>
        <v>0</v>
      </c>
      <c r="VQ7" s="87">
        <f t="shared" si="105"/>
        <v>0</v>
      </c>
      <c r="VR7" s="87">
        <f t="shared" si="105"/>
        <v>0</v>
      </c>
      <c r="VS7" s="87">
        <f t="shared" si="105"/>
        <v>0</v>
      </c>
      <c r="VT7" s="87">
        <f t="shared" si="105"/>
        <v>0</v>
      </c>
      <c r="VU7" s="92">
        <f t="shared" ref="VU7" si="106">SUMIF(VG12:VT12,VU12,VG7:VT7)</f>
        <v>94015.2</v>
      </c>
      <c r="VV7" s="92">
        <f t="shared" ref="VV7" si="107">SUMIF(VG12:VT12,VV12,VG7:VT7)</f>
        <v>2807869.7</v>
      </c>
      <c r="VW7" s="87">
        <f t="shared" ref="VW7:WJ7" si="108">SUM(VW13,VW51,VW89)</f>
        <v>0</v>
      </c>
      <c r="VX7" s="87">
        <f t="shared" si="108"/>
        <v>0</v>
      </c>
      <c r="VY7" s="87">
        <f t="shared" si="108"/>
        <v>1610523</v>
      </c>
      <c r="VZ7" s="87">
        <f t="shared" si="108"/>
        <v>61228988</v>
      </c>
      <c r="WA7" s="87">
        <f t="shared" si="108"/>
        <v>0</v>
      </c>
      <c r="WB7" s="87">
        <f t="shared" si="108"/>
        <v>0</v>
      </c>
      <c r="WC7" s="87">
        <f t="shared" si="108"/>
        <v>1258714</v>
      </c>
      <c r="WD7" s="87">
        <f t="shared" si="108"/>
        <v>32574830</v>
      </c>
      <c r="WE7" s="87">
        <f t="shared" si="108"/>
        <v>0</v>
      </c>
      <c r="WF7" s="87">
        <f t="shared" si="108"/>
        <v>0</v>
      </c>
      <c r="WG7" s="87">
        <f t="shared" si="108"/>
        <v>0</v>
      </c>
      <c r="WH7" s="87">
        <f t="shared" si="108"/>
        <v>0</v>
      </c>
      <c r="WI7" s="87">
        <f t="shared" si="108"/>
        <v>25463</v>
      </c>
      <c r="WJ7" s="87">
        <f t="shared" si="108"/>
        <v>526236</v>
      </c>
      <c r="WK7" s="92">
        <f t="shared" ref="WK7" si="109">SUMIF(VW12:WJ12,WK12,VW7:WJ7)</f>
        <v>2894700</v>
      </c>
      <c r="WL7" s="92">
        <f t="shared" ref="WL7" si="110">SUMIF(VW12:WJ12,WL12,VW7:WJ7)</f>
        <v>94330054</v>
      </c>
      <c r="WM7" s="89"/>
      <c r="WN7" s="87">
        <f>SUMIF($C$5:$WL$5,$WN$5,C7:WL7)</f>
        <v>156469131</v>
      </c>
      <c r="WO7" s="87">
        <f>SUMIF($C$5:$WL$5,$WO$5,C7:WL7)</f>
        <v>958355908</v>
      </c>
      <c r="WP7" s="87">
        <f>SUMIF($C$5:$WL$5,$WP$5,C7:WL7)</f>
        <v>71273382.507222921</v>
      </c>
      <c r="WQ7" s="87">
        <f>SUMIF($C$5:$WL$5,$WQ$5,C7:WL7)</f>
        <v>2520146013.3905363</v>
      </c>
      <c r="WR7" s="87">
        <f>SUMIF($C$5:$WL$5,$WR$5,C7:WL7)</f>
        <v>0</v>
      </c>
      <c r="WS7" s="87">
        <f>SUMIF($C$5:$WL$5,$WS$5,C7:WL7)</f>
        <v>0</v>
      </c>
      <c r="WT7" s="87">
        <f>SUMIF($C$5:$WL$5,$WT$5,C7:WL7)</f>
        <v>93172807.850000009</v>
      </c>
      <c r="WU7" s="87">
        <f>SUMIF($C$5:$WL$5,$WU$5,C7:WL7)</f>
        <v>1901094972.0177977</v>
      </c>
      <c r="WV7" s="87">
        <f>SUMIF($C$5:$WL$5,$WV$5,C7:WL7)</f>
        <v>5229062</v>
      </c>
      <c r="WW7" s="87">
        <f>SUMIF($C$5:$WL$5,$WW$5,C7:WL7)</f>
        <v>139178292</v>
      </c>
      <c r="WX7" s="87">
        <f>SUMIF($C$5:$WL$5,$WX$5,C7:WL7)</f>
        <v>1952291</v>
      </c>
      <c r="WY7" s="87">
        <f>SUMIF($C$5:$WL$5,$WY$5,C7:WL7)</f>
        <v>36629661</v>
      </c>
      <c r="WZ7" s="87">
        <f>SUMIF($C$5:$WL$5,$WZ$5,C7:WL7)</f>
        <v>2015782.33</v>
      </c>
      <c r="XA7" s="87">
        <f>SUMIF($C$5:$WL$5,$XA$5,C7:WL7)</f>
        <v>47859178</v>
      </c>
      <c r="XB7" s="91">
        <f>SUMIF($WN$12:$XA$12,$XB$12,WN7:XA7)</f>
        <v>330112456.6872229</v>
      </c>
      <c r="XC7" s="91">
        <f>SUMIF($WN$12:$XA$12,$XC$12,WN7:XA7)</f>
        <v>5603264024.4083338</v>
      </c>
      <c r="XD7" s="633" t="s">
        <v>170</v>
      </c>
      <c r="XE7" s="91">
        <f>XE13</f>
        <v>330112456.6872229</v>
      </c>
      <c r="XF7" s="91">
        <f>XF13</f>
        <v>5603264024.4083328</v>
      </c>
      <c r="XG7" s="633" t="s">
        <v>615</v>
      </c>
      <c r="XH7" s="91">
        <f>XH13</f>
        <v>681059402.2634542</v>
      </c>
      <c r="XI7" s="91">
        <f>XI13</f>
        <v>11043268690.802658</v>
      </c>
      <c r="XJ7" s="633"/>
      <c r="XK7" s="764">
        <f>XK13</f>
        <v>774415158.92607832</v>
      </c>
      <c r="XL7" s="764">
        <f t="shared" ref="XL7:XR7" si="111">XL13</f>
        <v>282359631.46421683</v>
      </c>
      <c r="XM7" s="764">
        <f t="shared" si="111"/>
        <v>0</v>
      </c>
      <c r="XN7" s="764">
        <f t="shared" si="111"/>
        <v>356728672.96641654</v>
      </c>
      <c r="XO7" s="764">
        <f t="shared" si="111"/>
        <v>16250959.000366</v>
      </c>
      <c r="XP7" s="764">
        <f t="shared" si="111"/>
        <v>6969165</v>
      </c>
      <c r="XQ7" s="764">
        <f t="shared" si="111"/>
        <v>5609405.8600000003</v>
      </c>
      <c r="XR7" s="764">
        <f t="shared" si="111"/>
        <v>1442332993.2170777</v>
      </c>
      <c r="XS7" s="633"/>
      <c r="XT7" s="764">
        <f>XT13</f>
        <v>3994041159.9863362</v>
      </c>
      <c r="XU7" s="764">
        <f t="shared" ref="XU7:YA7" si="112">XU13</f>
        <v>9677403259.5202045</v>
      </c>
      <c r="XV7" s="764">
        <f t="shared" si="112"/>
        <v>0</v>
      </c>
      <c r="XW7" s="764">
        <f t="shared" si="112"/>
        <v>7160588868.2689152</v>
      </c>
      <c r="XX7" s="764">
        <f t="shared" si="112"/>
        <v>389136464.01499999</v>
      </c>
      <c r="XY7" s="764">
        <f t="shared" si="112"/>
        <v>129078479</v>
      </c>
      <c r="XZ7" s="764">
        <f t="shared" si="112"/>
        <v>114397825</v>
      </c>
      <c r="YA7" s="764">
        <f t="shared" si="112"/>
        <v>21464646055.790459</v>
      </c>
      <c r="YB7" s="87"/>
      <c r="YC7" s="87"/>
      <c r="YD7" s="87"/>
      <c r="YE7" s="87"/>
      <c r="YF7" s="87"/>
      <c r="YG7" s="87"/>
      <c r="YH7" s="87"/>
      <c r="YI7" s="87"/>
      <c r="YJ7" s="87"/>
      <c r="YK7" s="87"/>
      <c r="YL7" s="87"/>
      <c r="YM7" s="87"/>
      <c r="YN7" s="87"/>
      <c r="YO7" s="87"/>
      <c r="YP7" s="87"/>
      <c r="YQ7" s="87"/>
      <c r="YR7" s="87"/>
      <c r="YS7" s="87"/>
      <c r="YT7" s="87"/>
      <c r="YU7" s="87"/>
      <c r="YV7" s="87"/>
      <c r="YW7" s="87"/>
      <c r="YX7" s="87"/>
      <c r="YY7" s="87"/>
      <c r="YZ7" s="87"/>
      <c r="ZA7" s="87"/>
      <c r="ZB7" s="87"/>
      <c r="ZC7" s="87"/>
      <c r="ZD7" s="87"/>
      <c r="ZE7" s="87"/>
      <c r="ZF7" s="87"/>
      <c r="ZG7" s="87"/>
      <c r="ZH7" s="87"/>
      <c r="ZI7" s="87"/>
      <c r="ZJ7" s="87"/>
      <c r="ZK7" s="87"/>
      <c r="ZL7" s="87"/>
      <c r="ZM7" s="87"/>
      <c r="ZN7" s="87"/>
      <c r="ZO7" s="87"/>
      <c r="ZP7" s="87"/>
      <c r="ZQ7" s="87"/>
      <c r="ZR7" s="87"/>
      <c r="ZS7" s="87"/>
      <c r="ZT7" s="87"/>
      <c r="ZU7" s="87"/>
      <c r="ZV7" s="87"/>
      <c r="ZW7" s="87"/>
      <c r="ZX7" s="87"/>
      <c r="ZY7" s="87"/>
      <c r="ZZ7" s="87"/>
      <c r="AAA7" s="87"/>
      <c r="AAB7" s="87"/>
      <c r="AAC7" s="87"/>
      <c r="AAD7" s="87"/>
      <c r="AAE7" s="87"/>
      <c r="AAF7" s="87"/>
      <c r="AAG7" s="87"/>
      <c r="AAH7" s="87"/>
      <c r="AAI7" s="87"/>
      <c r="AAJ7" s="87"/>
      <c r="AAK7" s="87"/>
      <c r="AAL7" s="87"/>
      <c r="AAM7" s="87"/>
      <c r="AAN7" s="87"/>
      <c r="AAO7" s="87"/>
      <c r="AAP7" s="87"/>
      <c r="AAQ7" s="87"/>
      <c r="AAR7" s="87"/>
      <c r="AAS7" s="87"/>
      <c r="AAT7" s="87"/>
      <c r="AAU7" s="87"/>
      <c r="AAV7" s="87"/>
      <c r="AAW7" s="87"/>
      <c r="AAX7" s="87"/>
      <c r="AAY7" s="87"/>
      <c r="AAZ7" s="87"/>
      <c r="ABA7" s="87"/>
      <c r="ABB7" s="87"/>
      <c r="ABC7" s="87"/>
      <c r="ABD7" s="87"/>
      <c r="ABE7" s="87"/>
      <c r="ABF7" s="87"/>
      <c r="ABG7" s="87"/>
      <c r="ABH7" s="87"/>
      <c r="ABI7" s="87"/>
      <c r="ABJ7" s="87"/>
      <c r="ABK7" s="87"/>
      <c r="ABL7" s="87"/>
      <c r="ABM7" s="87"/>
      <c r="ABN7" s="87"/>
      <c r="ABO7" s="87"/>
      <c r="ABP7" s="87"/>
      <c r="ABQ7" s="87"/>
      <c r="ABR7" s="87"/>
      <c r="ABS7" s="87"/>
      <c r="ABT7" s="87"/>
      <c r="ABU7" s="87"/>
      <c r="ABV7" s="87"/>
      <c r="ABW7" s="87"/>
      <c r="ABX7" s="87"/>
      <c r="ABY7" s="87"/>
      <c r="ABZ7" s="87"/>
      <c r="ACA7" s="87"/>
      <c r="ACB7" s="87"/>
      <c r="ACC7" s="87"/>
      <c r="ACD7" s="87"/>
      <c r="ACE7" s="87"/>
      <c r="ACF7" s="87"/>
      <c r="ACG7" s="87"/>
      <c r="ACH7" s="87"/>
      <c r="ACI7" s="87"/>
      <c r="ACJ7" s="87"/>
      <c r="ACK7" s="87"/>
      <c r="ACL7" s="87"/>
      <c r="ACM7" s="87"/>
      <c r="ACN7" s="87"/>
      <c r="ACO7" s="87"/>
      <c r="ACP7" s="87"/>
      <c r="ACQ7" s="87"/>
      <c r="ACR7" s="87"/>
      <c r="ACS7" s="87"/>
      <c r="ACT7" s="87"/>
      <c r="ACU7" s="87"/>
      <c r="ACV7" s="87"/>
      <c r="ACW7" s="87"/>
      <c r="ACX7" s="87"/>
      <c r="ACY7" s="87"/>
      <c r="ACZ7" s="87"/>
      <c r="ADA7" s="87"/>
      <c r="ADB7" s="87"/>
      <c r="ADC7" s="87"/>
      <c r="ADD7" s="87"/>
      <c r="ADE7" s="87"/>
      <c r="ADF7" s="87"/>
      <c r="ADG7" s="87"/>
      <c r="ADH7" s="87"/>
      <c r="ADI7" s="87"/>
      <c r="ADJ7" s="87"/>
      <c r="ADK7" s="87"/>
      <c r="ADL7" s="87"/>
      <c r="ADM7" s="87"/>
      <c r="ADN7" s="87"/>
      <c r="ADO7" s="87"/>
      <c r="ADP7" s="87"/>
      <c r="ADQ7" s="87"/>
      <c r="ADR7" s="87"/>
      <c r="ADS7" s="87"/>
      <c r="ADT7" s="87"/>
      <c r="ADU7" s="87"/>
      <c r="ADV7" s="87"/>
      <c r="ADW7" s="87"/>
      <c r="ADX7" s="87"/>
      <c r="ADY7" s="87"/>
      <c r="ADZ7" s="87"/>
      <c r="AEA7" s="87"/>
      <c r="AEB7" s="87"/>
      <c r="AEC7" s="87"/>
      <c r="AED7" s="87"/>
      <c r="AEE7" s="87"/>
      <c r="AEF7" s="87"/>
      <c r="AEG7" s="87"/>
      <c r="AEH7" s="87"/>
      <c r="AEI7" s="87"/>
      <c r="AEJ7" s="87"/>
      <c r="AEK7" s="87"/>
      <c r="AEL7" s="87"/>
      <c r="AEM7" s="87"/>
      <c r="AEN7" s="87"/>
      <c r="AEO7" s="87"/>
      <c r="AEP7" s="87"/>
      <c r="AEQ7" s="87"/>
      <c r="AER7" s="87"/>
      <c r="AES7" s="87"/>
      <c r="AET7" s="87"/>
      <c r="AEU7" s="87"/>
      <c r="AEV7" s="87"/>
      <c r="AEW7" s="87"/>
      <c r="AEX7" s="87"/>
      <c r="AEY7" s="87"/>
      <c r="AEZ7" s="87"/>
      <c r="AFA7" s="87"/>
      <c r="AFB7" s="87"/>
      <c r="AFC7" s="87"/>
      <c r="AFD7" s="87"/>
      <c r="AFE7" s="87"/>
      <c r="AFF7" s="87"/>
      <c r="AFG7" s="87"/>
      <c r="AFH7" s="87"/>
      <c r="AFI7" s="87"/>
      <c r="AFJ7" s="87"/>
      <c r="AFK7" s="87"/>
      <c r="AFL7" s="87"/>
      <c r="AFM7" s="87"/>
      <c r="AFN7" s="87"/>
      <c r="AFO7" s="87"/>
      <c r="AFP7" s="87"/>
      <c r="AFQ7" s="87"/>
      <c r="AFR7" s="87"/>
      <c r="AFS7" s="87"/>
      <c r="AFT7" s="87"/>
      <c r="AFU7" s="87"/>
      <c r="AFV7" s="87"/>
      <c r="AFW7" s="87"/>
      <c r="AFX7" s="87"/>
      <c r="AFY7" s="87"/>
      <c r="AFZ7" s="87"/>
      <c r="AGA7" s="87"/>
      <c r="AGB7" s="87"/>
      <c r="AGC7" s="87"/>
      <c r="AGD7" s="87"/>
      <c r="AGE7" s="87"/>
      <c r="AGF7" s="87"/>
      <c r="AGG7" s="87"/>
      <c r="AGH7" s="87"/>
      <c r="AGI7" s="87"/>
      <c r="AGJ7" s="87"/>
      <c r="AGK7" s="87"/>
      <c r="AGL7" s="87"/>
      <c r="AGM7" s="87"/>
      <c r="AGN7" s="87"/>
      <c r="AGO7" s="87"/>
      <c r="AGP7" s="87"/>
      <c r="AGQ7" s="87"/>
      <c r="AGR7" s="87"/>
      <c r="AGS7" s="87"/>
      <c r="AGT7" s="87"/>
      <c r="AGU7" s="87"/>
      <c r="AGV7" s="87"/>
      <c r="AGW7" s="87"/>
      <c r="AGX7" s="87"/>
      <c r="AGY7" s="87"/>
      <c r="AGZ7" s="87"/>
      <c r="AHA7" s="87"/>
      <c r="AHB7" s="87"/>
      <c r="AHC7" s="87"/>
      <c r="AHD7" s="87"/>
      <c r="AHE7" s="87"/>
      <c r="AHF7" s="87"/>
      <c r="AHG7" s="87"/>
      <c r="AHH7" s="87"/>
      <c r="AHI7" s="87"/>
      <c r="AHJ7" s="87"/>
      <c r="AHK7" s="87"/>
      <c r="AHL7" s="87"/>
      <c r="AHM7" s="87"/>
      <c r="AHN7" s="87"/>
      <c r="AHO7" s="87"/>
      <c r="AHP7" s="87"/>
      <c r="AHQ7" s="87"/>
      <c r="AHR7" s="87"/>
      <c r="AHS7" s="87"/>
      <c r="AHT7" s="87"/>
      <c r="AHU7" s="87"/>
      <c r="AHV7" s="87"/>
      <c r="AHW7" s="87"/>
      <c r="AHX7" s="87"/>
      <c r="AHY7" s="87"/>
      <c r="AHZ7" s="87"/>
      <c r="AIA7" s="87"/>
      <c r="AIB7" s="87"/>
      <c r="AIC7" s="87"/>
      <c r="AID7" s="87"/>
      <c r="AIE7" s="87"/>
      <c r="AIF7" s="87"/>
      <c r="AIG7" s="87"/>
      <c r="AIH7" s="87"/>
      <c r="AII7" s="87"/>
      <c r="AIJ7" s="87"/>
      <c r="AIK7" s="87"/>
      <c r="AIL7" s="87"/>
      <c r="AIM7" s="87"/>
      <c r="AIN7" s="87"/>
      <c r="AIO7" s="87"/>
      <c r="AIP7" s="87"/>
      <c r="AIQ7" s="87"/>
      <c r="AIR7" s="87"/>
      <c r="AIS7" s="87"/>
      <c r="AIT7" s="87"/>
      <c r="AIU7" s="87"/>
      <c r="AIV7" s="87"/>
      <c r="AIW7" s="87"/>
      <c r="AIX7" s="87"/>
      <c r="AIY7" s="87"/>
      <c r="AIZ7" s="87"/>
      <c r="AJA7" s="87"/>
      <c r="AJB7" s="87"/>
      <c r="AJC7" s="87"/>
      <c r="AJD7" s="87"/>
      <c r="AJE7" s="87"/>
      <c r="AJF7" s="87"/>
      <c r="AJG7" s="87"/>
      <c r="AJH7" s="87"/>
      <c r="AJI7" s="87"/>
      <c r="AJJ7" s="87"/>
      <c r="AJK7" s="87"/>
      <c r="AJL7" s="87"/>
      <c r="AJM7" s="87"/>
      <c r="AJN7" s="87"/>
      <c r="AJO7" s="87"/>
      <c r="AJP7" s="87"/>
      <c r="AJQ7" s="87"/>
      <c r="AJR7" s="87"/>
      <c r="AJS7" s="87"/>
      <c r="AJT7" s="87"/>
      <c r="AJU7" s="87"/>
      <c r="AJV7" s="87"/>
      <c r="AJW7" s="87"/>
      <c r="AJX7" s="87"/>
      <c r="AJY7" s="87"/>
      <c r="AJZ7" s="87"/>
      <c r="AKA7" s="87"/>
      <c r="AKB7" s="87"/>
      <c r="AKC7" s="87"/>
      <c r="AKD7" s="87"/>
      <c r="AKE7" s="87"/>
      <c r="AKF7" s="87"/>
      <c r="AKG7" s="87"/>
      <c r="AKH7" s="87"/>
      <c r="AKI7" s="87"/>
      <c r="AKJ7" s="87"/>
      <c r="AKK7" s="87"/>
      <c r="AKL7" s="87"/>
      <c r="AKM7" s="87"/>
      <c r="AKN7" s="87"/>
      <c r="AKO7" s="87"/>
      <c r="AKP7" s="87"/>
      <c r="AKQ7" s="87"/>
      <c r="AKR7" s="87"/>
      <c r="AKS7" s="87"/>
      <c r="AKT7" s="87"/>
      <c r="AKU7" s="87"/>
      <c r="AKV7" s="87"/>
      <c r="AKW7" s="87"/>
      <c r="AKX7" s="87"/>
      <c r="AKY7" s="87"/>
      <c r="AKZ7" s="87"/>
      <c r="ALA7" s="87"/>
      <c r="ALB7" s="87"/>
      <c r="ALC7" s="87"/>
      <c r="ALD7" s="87"/>
      <c r="ALE7" s="87"/>
      <c r="ALF7" s="87"/>
      <c r="ALG7" s="87"/>
      <c r="ALH7" s="87"/>
      <c r="ALI7" s="87"/>
      <c r="ALJ7" s="87"/>
      <c r="ALK7" s="87"/>
      <c r="ALL7" s="87"/>
      <c r="ALM7" s="87"/>
      <c r="ALN7" s="87"/>
      <c r="ALO7" s="87"/>
      <c r="ALP7" s="87"/>
      <c r="ALQ7" s="87"/>
      <c r="ALR7" s="87"/>
      <c r="ALS7" s="87"/>
      <c r="ALT7" s="87"/>
      <c r="ALU7" s="87"/>
      <c r="ALV7" s="87"/>
      <c r="ALW7" s="87"/>
      <c r="ALX7" s="87"/>
      <c r="ALY7" s="87"/>
      <c r="ALZ7" s="87"/>
      <c r="AMA7" s="87"/>
      <c r="AMB7" s="87"/>
      <c r="AMC7" s="87"/>
    </row>
    <row r="8" spans="1:1017">
      <c r="A8" s="195"/>
      <c r="B8" s="93" t="s">
        <v>42</v>
      </c>
      <c r="C8" s="87">
        <f t="shared" ref="C8:P8" si="113">SUM(C127,C165,C203)</f>
        <v>0</v>
      </c>
      <c r="D8" s="87">
        <f t="shared" si="113"/>
        <v>0</v>
      </c>
      <c r="E8" s="87">
        <f t="shared" si="113"/>
        <v>1895935</v>
      </c>
      <c r="F8" s="87">
        <f t="shared" si="113"/>
        <v>62525054.509000003</v>
      </c>
      <c r="G8" s="87">
        <f t="shared" si="113"/>
        <v>0</v>
      </c>
      <c r="H8" s="87">
        <f t="shared" si="113"/>
        <v>0</v>
      </c>
      <c r="I8" s="87">
        <f t="shared" si="113"/>
        <v>139550</v>
      </c>
      <c r="J8" s="87">
        <f t="shared" si="113"/>
        <v>3135250</v>
      </c>
      <c r="K8" s="87">
        <f t="shared" si="113"/>
        <v>0</v>
      </c>
      <c r="L8" s="87">
        <f t="shared" si="113"/>
        <v>0</v>
      </c>
      <c r="M8" s="87">
        <f t="shared" si="113"/>
        <v>800</v>
      </c>
      <c r="N8" s="87">
        <f t="shared" si="113"/>
        <v>16000</v>
      </c>
      <c r="O8" s="87">
        <f t="shared" si="113"/>
        <v>0</v>
      </c>
      <c r="P8" s="87">
        <f t="shared" si="113"/>
        <v>0</v>
      </c>
      <c r="Q8" s="91">
        <f>SUMIF(C12:P12,Q12,C8:P8)</f>
        <v>2036285</v>
      </c>
      <c r="R8" s="91">
        <f>SUMIF(C12:P12,R12,C8:P8)</f>
        <v>65676304.509000003</v>
      </c>
      <c r="S8" s="87">
        <f t="shared" ref="S8:AF8" si="114">SUM(S127,S165,S203)</f>
        <v>18470</v>
      </c>
      <c r="T8" s="87">
        <f t="shared" si="114"/>
        <v>1961025</v>
      </c>
      <c r="U8" s="87">
        <f t="shared" si="114"/>
        <v>5146690</v>
      </c>
      <c r="V8" s="87">
        <f t="shared" si="114"/>
        <v>268176460</v>
      </c>
      <c r="W8" s="87">
        <f t="shared" si="114"/>
        <v>0</v>
      </c>
      <c r="X8" s="87">
        <f t="shared" si="114"/>
        <v>0</v>
      </c>
      <c r="Y8" s="87">
        <f t="shared" si="114"/>
        <v>2350479</v>
      </c>
      <c r="Z8" s="87">
        <f t="shared" si="114"/>
        <v>47920575</v>
      </c>
      <c r="AA8" s="87">
        <f t="shared" si="114"/>
        <v>15950</v>
      </c>
      <c r="AB8" s="87">
        <f t="shared" si="114"/>
        <v>436300</v>
      </c>
      <c r="AC8" s="87">
        <f t="shared" si="114"/>
        <v>9645</v>
      </c>
      <c r="AD8" s="87">
        <f t="shared" si="114"/>
        <v>266925</v>
      </c>
      <c r="AE8" s="87">
        <f t="shared" si="114"/>
        <v>7620</v>
      </c>
      <c r="AF8" s="87">
        <f t="shared" si="114"/>
        <v>175725</v>
      </c>
      <c r="AG8" s="92">
        <f t="shared" ref="AG8" si="115">SUMIF(S12:AF12,AG12,S8:AF8)</f>
        <v>7548854</v>
      </c>
      <c r="AH8" s="92">
        <f t="shared" ref="AH8" si="116">SUMIF(S12:AF12,AH12,S8:AF8)</f>
        <v>318937010</v>
      </c>
      <c r="AI8" s="87">
        <f t="shared" ref="AI8:AV8" si="117">SUM(AI127,AI165,AI203)</f>
        <v>0</v>
      </c>
      <c r="AJ8" s="87">
        <f t="shared" si="117"/>
        <v>0</v>
      </c>
      <c r="AK8" s="87">
        <f t="shared" si="117"/>
        <v>109000</v>
      </c>
      <c r="AL8" s="87">
        <f t="shared" si="117"/>
        <v>7085000</v>
      </c>
      <c r="AM8" s="87">
        <f t="shared" si="117"/>
        <v>0</v>
      </c>
      <c r="AN8" s="87">
        <f t="shared" si="117"/>
        <v>0</v>
      </c>
      <c r="AO8" s="87">
        <f t="shared" si="117"/>
        <v>4329200</v>
      </c>
      <c r="AP8" s="87">
        <f t="shared" si="117"/>
        <v>95119800</v>
      </c>
      <c r="AQ8" s="87">
        <f t="shared" si="117"/>
        <v>550</v>
      </c>
      <c r="AR8" s="87">
        <f t="shared" si="117"/>
        <v>13200</v>
      </c>
      <c r="AS8" s="87">
        <f t="shared" si="117"/>
        <v>0</v>
      </c>
      <c r="AT8" s="87">
        <f t="shared" si="117"/>
        <v>0</v>
      </c>
      <c r="AU8" s="87">
        <f t="shared" si="117"/>
        <v>8990</v>
      </c>
      <c r="AV8" s="87">
        <f t="shared" si="117"/>
        <v>215760</v>
      </c>
      <c r="AW8" s="92">
        <f t="shared" ref="AW8" si="118">SUMIF(AI12:AV12,AW12,AI8:AV8)</f>
        <v>4447740</v>
      </c>
      <c r="AX8" s="92">
        <f t="shared" ref="AX8" si="119">SUMIF(AI12:AV12,AX12,AI8:AV8)</f>
        <v>102433760</v>
      </c>
      <c r="AY8" s="87">
        <f t="shared" ref="AY8:BL8" si="120">SUM(AY127,AY165,AY203)</f>
        <v>0</v>
      </c>
      <c r="AZ8" s="87">
        <f t="shared" si="120"/>
        <v>0</v>
      </c>
      <c r="BA8" s="87">
        <f t="shared" si="120"/>
        <v>0</v>
      </c>
      <c r="BB8" s="87">
        <f t="shared" si="120"/>
        <v>0</v>
      </c>
      <c r="BC8" s="87">
        <f t="shared" si="120"/>
        <v>0</v>
      </c>
      <c r="BD8" s="87">
        <f t="shared" si="120"/>
        <v>0</v>
      </c>
      <c r="BE8" s="87">
        <f t="shared" si="120"/>
        <v>1238113</v>
      </c>
      <c r="BF8" s="87">
        <f t="shared" si="120"/>
        <v>25122915</v>
      </c>
      <c r="BG8" s="87">
        <f t="shared" si="120"/>
        <v>23055</v>
      </c>
      <c r="BH8" s="87">
        <f t="shared" si="120"/>
        <v>526427</v>
      </c>
      <c r="BI8" s="87">
        <f t="shared" si="120"/>
        <v>0</v>
      </c>
      <c r="BJ8" s="87">
        <f t="shared" si="120"/>
        <v>0</v>
      </c>
      <c r="BK8" s="87">
        <f t="shared" si="120"/>
        <v>5538</v>
      </c>
      <c r="BL8" s="87">
        <f t="shared" si="120"/>
        <v>95166</v>
      </c>
      <c r="BM8" s="92">
        <f t="shared" ref="BM8" si="121">SUMIF(AY12:BL12,BM12,AY8:BL8)</f>
        <v>1266706</v>
      </c>
      <c r="BN8" s="92">
        <f t="shared" ref="BN8" si="122">SUMIF(AY12:BL12,BN12,AY8:BL8)</f>
        <v>25744508</v>
      </c>
      <c r="BO8" s="87">
        <f t="shared" ref="BO8:CB8" si="123">SUM(BO127,BO165,BO203)</f>
        <v>0</v>
      </c>
      <c r="BP8" s="87">
        <f t="shared" si="123"/>
        <v>0</v>
      </c>
      <c r="BQ8" s="87">
        <f t="shared" si="123"/>
        <v>0</v>
      </c>
      <c r="BR8" s="87">
        <f t="shared" si="123"/>
        <v>0</v>
      </c>
      <c r="BS8" s="87">
        <f t="shared" si="123"/>
        <v>0</v>
      </c>
      <c r="BT8" s="87">
        <f t="shared" si="123"/>
        <v>0</v>
      </c>
      <c r="BU8" s="87">
        <f t="shared" si="123"/>
        <v>206553</v>
      </c>
      <c r="BV8" s="87">
        <f t="shared" si="123"/>
        <v>4431970</v>
      </c>
      <c r="BW8" s="87">
        <f t="shared" si="123"/>
        <v>0</v>
      </c>
      <c r="BX8" s="87">
        <f t="shared" si="123"/>
        <v>0</v>
      </c>
      <c r="BY8" s="87">
        <f t="shared" si="123"/>
        <v>0</v>
      </c>
      <c r="BZ8" s="87">
        <f t="shared" si="123"/>
        <v>0</v>
      </c>
      <c r="CA8" s="87">
        <f t="shared" si="123"/>
        <v>0</v>
      </c>
      <c r="CB8" s="87">
        <f t="shared" si="123"/>
        <v>0</v>
      </c>
      <c r="CC8" s="92">
        <f t="shared" ref="CC8" si="124">SUMIF(BO12:CB12,CC12,BO8:CB8)</f>
        <v>206553</v>
      </c>
      <c r="CD8" s="92">
        <f t="shared" ref="CD8" si="125">SUMIF(BO12:CB12,CD12,BO8:CB8)</f>
        <v>4431970</v>
      </c>
      <c r="CE8" s="87">
        <f t="shared" ref="CE8:CR8" si="126">SUM(CE127,CE165,CE203)</f>
        <v>1407506.6906785597</v>
      </c>
      <c r="CF8" s="87">
        <f t="shared" si="126"/>
        <v>7037534.453392799</v>
      </c>
      <c r="CG8" s="87">
        <f t="shared" si="126"/>
        <v>20887418.777108952</v>
      </c>
      <c r="CH8" s="87">
        <f t="shared" si="126"/>
        <v>636253211.06608498</v>
      </c>
      <c r="CI8" s="87">
        <f t="shared" si="126"/>
        <v>0</v>
      </c>
      <c r="CJ8" s="87">
        <f t="shared" si="126"/>
        <v>0</v>
      </c>
      <c r="CK8" s="87">
        <f t="shared" si="126"/>
        <v>18549094.52009362</v>
      </c>
      <c r="CL8" s="87">
        <f t="shared" si="126"/>
        <v>318103575.39284652</v>
      </c>
      <c r="CM8" s="87">
        <f t="shared" si="126"/>
        <v>0</v>
      </c>
      <c r="CN8" s="87">
        <f t="shared" si="126"/>
        <v>0</v>
      </c>
      <c r="CO8" s="87">
        <f t="shared" si="126"/>
        <v>0</v>
      </c>
      <c r="CP8" s="87">
        <f t="shared" si="126"/>
        <v>0</v>
      </c>
      <c r="CQ8" s="87">
        <f t="shared" si="126"/>
        <v>0</v>
      </c>
      <c r="CR8" s="87">
        <f t="shared" si="126"/>
        <v>0</v>
      </c>
      <c r="CS8" s="92">
        <f t="shared" ref="CS8" si="127">SUMIF(CE12:CR12,CS12,CE8:CR8)</f>
        <v>40844019.987881131</v>
      </c>
      <c r="CT8" s="92">
        <f t="shared" ref="CT8" si="128">SUMIF(CE12:CR12,CT12,CE8:CR8)</f>
        <v>961394320.91232419</v>
      </c>
      <c r="CU8" s="87">
        <f t="shared" ref="CU8:DH8" si="129">SUM(CU127,CU165,CU203)</f>
        <v>0</v>
      </c>
      <c r="CV8" s="87">
        <f t="shared" si="129"/>
        <v>0</v>
      </c>
      <c r="CW8" s="87">
        <f t="shared" si="129"/>
        <v>899842.99584063143</v>
      </c>
      <c r="CX8" s="87">
        <f t="shared" si="129"/>
        <v>55274378.995999999</v>
      </c>
      <c r="CY8" s="87">
        <f t="shared" si="129"/>
        <v>0</v>
      </c>
      <c r="CZ8" s="87">
        <f t="shared" si="129"/>
        <v>0</v>
      </c>
      <c r="DA8" s="87">
        <f t="shared" si="129"/>
        <v>2424928.0025097998</v>
      </c>
      <c r="DB8" s="87">
        <f t="shared" si="129"/>
        <v>53354066.046999998</v>
      </c>
      <c r="DC8" s="87">
        <f t="shared" si="129"/>
        <v>7354</v>
      </c>
      <c r="DD8" s="87">
        <f t="shared" si="129"/>
        <v>167145.00599999999</v>
      </c>
      <c r="DE8" s="87">
        <f t="shared" si="129"/>
        <v>0</v>
      </c>
      <c r="DF8" s="87">
        <f t="shared" si="129"/>
        <v>0</v>
      </c>
      <c r="DG8" s="87">
        <f t="shared" si="129"/>
        <v>0</v>
      </c>
      <c r="DH8" s="87">
        <f t="shared" si="129"/>
        <v>0</v>
      </c>
      <c r="DI8" s="92">
        <f t="shared" ref="DI8" si="130">SUMIF(CU12:DH12,DI12,CU8:DH8)</f>
        <v>3332124.9983504312</v>
      </c>
      <c r="DJ8" s="92">
        <f t="shared" ref="DJ8" si="131">SUMIF(CU12:DH12,DJ12,CU8:DH8)</f>
        <v>108795590.04899999</v>
      </c>
      <c r="DK8" s="87">
        <f t="shared" ref="DK8:DX8" si="132">SUM(DK127,DK165,DK203)</f>
        <v>0</v>
      </c>
      <c r="DL8" s="87">
        <f t="shared" si="132"/>
        <v>0</v>
      </c>
      <c r="DM8" s="87">
        <f t="shared" si="132"/>
        <v>0</v>
      </c>
      <c r="DN8" s="87">
        <f t="shared" si="132"/>
        <v>0</v>
      </c>
      <c r="DO8" s="87">
        <f t="shared" si="132"/>
        <v>0</v>
      </c>
      <c r="DP8" s="87">
        <f t="shared" si="132"/>
        <v>0</v>
      </c>
      <c r="DQ8" s="87">
        <f t="shared" si="132"/>
        <v>3727800</v>
      </c>
      <c r="DR8" s="87">
        <f t="shared" si="132"/>
        <v>66539750</v>
      </c>
      <c r="DS8" s="87">
        <f t="shared" si="132"/>
        <v>0</v>
      </c>
      <c r="DT8" s="87">
        <f t="shared" si="132"/>
        <v>0</v>
      </c>
      <c r="DU8" s="87">
        <f t="shared" si="132"/>
        <v>0</v>
      </c>
      <c r="DV8" s="87">
        <f t="shared" si="132"/>
        <v>0</v>
      </c>
      <c r="DW8" s="87">
        <f t="shared" si="132"/>
        <v>0</v>
      </c>
      <c r="DX8" s="87">
        <f t="shared" si="132"/>
        <v>0</v>
      </c>
      <c r="DY8" s="92">
        <f t="shared" ref="DY8" si="133">SUMIF(DK12:DX12,DY12,DK8:DX8)</f>
        <v>3727800</v>
      </c>
      <c r="DZ8" s="92">
        <f t="shared" ref="DZ8" si="134">SUMIF(DK12:DX12,DZ12,DK8:DX8)</f>
        <v>66539750</v>
      </c>
      <c r="EA8" s="87">
        <f t="shared" ref="EA8:EN8" si="135">SUM(EA127,EA165,EA203)</f>
        <v>0</v>
      </c>
      <c r="EB8" s="87">
        <f t="shared" si="135"/>
        <v>0</v>
      </c>
      <c r="EC8" s="87">
        <f t="shared" si="135"/>
        <v>0</v>
      </c>
      <c r="ED8" s="87">
        <f t="shared" si="135"/>
        <v>0</v>
      </c>
      <c r="EE8" s="87">
        <f t="shared" si="135"/>
        <v>0</v>
      </c>
      <c r="EF8" s="87">
        <f t="shared" si="135"/>
        <v>0</v>
      </c>
      <c r="EG8" s="87">
        <f t="shared" si="135"/>
        <v>6917120</v>
      </c>
      <c r="EH8" s="87">
        <f t="shared" si="135"/>
        <v>129541360</v>
      </c>
      <c r="EI8" s="87">
        <f t="shared" si="135"/>
        <v>0</v>
      </c>
      <c r="EJ8" s="87">
        <f t="shared" si="135"/>
        <v>0</v>
      </c>
      <c r="EK8" s="87">
        <f t="shared" si="135"/>
        <v>0</v>
      </c>
      <c r="EL8" s="87">
        <f t="shared" si="135"/>
        <v>0</v>
      </c>
      <c r="EM8" s="87">
        <f t="shared" si="135"/>
        <v>0</v>
      </c>
      <c r="EN8" s="87">
        <f t="shared" si="135"/>
        <v>0</v>
      </c>
      <c r="EO8" s="92">
        <f t="shared" ref="EO8" si="136">SUMIF(EA12:EN12,EO12,EA8:EN8)</f>
        <v>6917120</v>
      </c>
      <c r="EP8" s="92">
        <f t="shared" ref="EP8" si="137">SUMIF(EA12:EN12,EP12,EA8:EN8)</f>
        <v>129541360</v>
      </c>
      <c r="EQ8" s="87">
        <f t="shared" ref="EQ8:FD8" si="138">SUM(EQ127,EQ165,EQ203)</f>
        <v>0</v>
      </c>
      <c r="ER8" s="87">
        <f t="shared" si="138"/>
        <v>0</v>
      </c>
      <c r="ES8" s="87">
        <f t="shared" si="138"/>
        <v>1598331</v>
      </c>
      <c r="ET8" s="87">
        <f t="shared" si="138"/>
        <v>101722343</v>
      </c>
      <c r="EU8" s="87">
        <f t="shared" si="138"/>
        <v>0</v>
      </c>
      <c r="EV8" s="87">
        <f t="shared" si="138"/>
        <v>0</v>
      </c>
      <c r="EW8" s="87">
        <f t="shared" si="138"/>
        <v>26542376</v>
      </c>
      <c r="EX8" s="87">
        <f t="shared" si="138"/>
        <v>669147034</v>
      </c>
      <c r="EY8" s="87">
        <f t="shared" si="138"/>
        <v>0</v>
      </c>
      <c r="EZ8" s="87">
        <f t="shared" si="138"/>
        <v>0</v>
      </c>
      <c r="FA8" s="87">
        <f t="shared" si="138"/>
        <v>37012</v>
      </c>
      <c r="FB8" s="87">
        <f t="shared" si="138"/>
        <v>629204</v>
      </c>
      <c r="FC8" s="87">
        <f t="shared" si="138"/>
        <v>2187</v>
      </c>
      <c r="FD8" s="87">
        <f t="shared" si="138"/>
        <v>28431</v>
      </c>
      <c r="FE8" s="92">
        <f t="shared" ref="FE8" si="139">SUMIF(EQ12:FD12,FE12,EQ8:FD8)</f>
        <v>28179906</v>
      </c>
      <c r="FF8" s="92">
        <f t="shared" ref="FF8" si="140">SUMIF(EQ12:FD12,FF12,EQ8:FD8)</f>
        <v>771527012</v>
      </c>
      <c r="FG8" s="87">
        <f t="shared" ref="FG8:FT8" si="141">SUM(FG127,FG165,FG203)</f>
        <v>0</v>
      </c>
      <c r="FH8" s="87">
        <f t="shared" si="141"/>
        <v>0</v>
      </c>
      <c r="FI8" s="87">
        <f t="shared" si="141"/>
        <v>370000</v>
      </c>
      <c r="FJ8" s="87">
        <f t="shared" si="141"/>
        <v>22200000</v>
      </c>
      <c r="FK8" s="87">
        <f t="shared" si="141"/>
        <v>0</v>
      </c>
      <c r="FL8" s="87">
        <f t="shared" si="141"/>
        <v>0</v>
      </c>
      <c r="FM8" s="87">
        <f t="shared" si="141"/>
        <v>679232</v>
      </c>
      <c r="FN8" s="87">
        <f t="shared" si="141"/>
        <v>17078612</v>
      </c>
      <c r="FO8" s="87">
        <f t="shared" si="141"/>
        <v>0</v>
      </c>
      <c r="FP8" s="87">
        <f t="shared" si="141"/>
        <v>0</v>
      </c>
      <c r="FQ8" s="87">
        <f t="shared" si="141"/>
        <v>0</v>
      </c>
      <c r="FR8" s="87">
        <f t="shared" si="141"/>
        <v>0</v>
      </c>
      <c r="FS8" s="87">
        <f t="shared" si="141"/>
        <v>214085</v>
      </c>
      <c r="FT8" s="87">
        <f t="shared" si="141"/>
        <v>6422550</v>
      </c>
      <c r="FU8" s="92">
        <f t="shared" ref="FU8" si="142">SUMIF(FG12:FT12,FU12,FG8:FT8)</f>
        <v>1263317</v>
      </c>
      <c r="FV8" s="92">
        <f t="shared" ref="FV8" si="143">SUMIF(FG12:FT12,FV12,FG8:FT8)</f>
        <v>45701162</v>
      </c>
      <c r="FW8" s="87">
        <f t="shared" ref="FW8:GJ8" si="144">SUM(FW127,FW165,FW203)</f>
        <v>0</v>
      </c>
      <c r="FX8" s="87">
        <f t="shared" si="144"/>
        <v>0</v>
      </c>
      <c r="FY8" s="87">
        <f t="shared" si="144"/>
        <v>0</v>
      </c>
      <c r="FZ8" s="87">
        <f t="shared" si="144"/>
        <v>0</v>
      </c>
      <c r="GA8" s="87">
        <f t="shared" si="144"/>
        <v>0</v>
      </c>
      <c r="GB8" s="87">
        <f t="shared" si="144"/>
        <v>0</v>
      </c>
      <c r="GC8" s="87">
        <f t="shared" si="144"/>
        <v>990800</v>
      </c>
      <c r="GD8" s="87">
        <f t="shared" si="144"/>
        <v>20675625</v>
      </c>
      <c r="GE8" s="87">
        <f t="shared" si="144"/>
        <v>0</v>
      </c>
      <c r="GF8" s="87">
        <f t="shared" si="144"/>
        <v>0</v>
      </c>
      <c r="GG8" s="87">
        <f t="shared" si="144"/>
        <v>0</v>
      </c>
      <c r="GH8" s="87">
        <f t="shared" si="144"/>
        <v>0</v>
      </c>
      <c r="GI8" s="87">
        <f t="shared" si="144"/>
        <v>0</v>
      </c>
      <c r="GJ8" s="87">
        <f t="shared" si="144"/>
        <v>0</v>
      </c>
      <c r="GK8" s="92">
        <f t="shared" ref="GK8" si="145">SUMIF(FW12:GJ12,GK12,FW8:GJ8)</f>
        <v>990800</v>
      </c>
      <c r="GL8" s="92">
        <f t="shared" ref="GL8" si="146">SUMIF(FW12:GJ12,GL12,FW8:GJ8)</f>
        <v>20675625</v>
      </c>
      <c r="GM8" s="87">
        <f t="shared" ref="GM8:GZ8" si="147">SUM(GM127,GM165,GM203)</f>
        <v>0</v>
      </c>
      <c r="GN8" s="87">
        <f t="shared" si="147"/>
        <v>0</v>
      </c>
      <c r="GO8" s="87">
        <f t="shared" si="147"/>
        <v>0</v>
      </c>
      <c r="GP8" s="87">
        <f t="shared" si="147"/>
        <v>0</v>
      </c>
      <c r="GQ8" s="87">
        <f t="shared" si="147"/>
        <v>0</v>
      </c>
      <c r="GR8" s="87">
        <f t="shared" si="147"/>
        <v>0</v>
      </c>
      <c r="GS8" s="87">
        <f t="shared" si="147"/>
        <v>483300</v>
      </c>
      <c r="GT8" s="87">
        <f t="shared" si="147"/>
        <v>9431600</v>
      </c>
      <c r="GU8" s="87">
        <f t="shared" si="147"/>
        <v>0</v>
      </c>
      <c r="GV8" s="87">
        <f t="shared" si="147"/>
        <v>0</v>
      </c>
      <c r="GW8" s="87">
        <f t="shared" si="147"/>
        <v>0</v>
      </c>
      <c r="GX8" s="87">
        <f t="shared" si="147"/>
        <v>0</v>
      </c>
      <c r="GY8" s="87">
        <f t="shared" si="147"/>
        <v>400</v>
      </c>
      <c r="GZ8" s="87">
        <f t="shared" si="147"/>
        <v>10850</v>
      </c>
      <c r="HA8" s="92">
        <f t="shared" ref="HA8" si="148">SUMIF(GM12:GZ12,HA12,GM8:GZ8)</f>
        <v>483700</v>
      </c>
      <c r="HB8" s="92">
        <f t="shared" ref="HB8" si="149">SUMIF(GM12:GZ12,HB12,GM8:GZ8)</f>
        <v>9442450</v>
      </c>
      <c r="HC8" s="87">
        <f t="shared" ref="HC8:HP8" si="150">SUM(HC127,HC165,HC203)</f>
        <v>0</v>
      </c>
      <c r="HD8" s="87">
        <f t="shared" si="150"/>
        <v>0</v>
      </c>
      <c r="HE8" s="87">
        <f t="shared" si="150"/>
        <v>435000</v>
      </c>
      <c r="HF8" s="87">
        <f t="shared" si="150"/>
        <v>25580000</v>
      </c>
      <c r="HG8" s="87">
        <f t="shared" si="150"/>
        <v>0</v>
      </c>
      <c r="HH8" s="87">
        <f t="shared" si="150"/>
        <v>0</v>
      </c>
      <c r="HI8" s="87">
        <f t="shared" si="150"/>
        <v>1786500</v>
      </c>
      <c r="HJ8" s="87">
        <f t="shared" si="150"/>
        <v>33131500</v>
      </c>
      <c r="HK8" s="87">
        <f t="shared" si="150"/>
        <v>0</v>
      </c>
      <c r="HL8" s="87">
        <f t="shared" si="150"/>
        <v>0</v>
      </c>
      <c r="HM8" s="87">
        <f t="shared" si="150"/>
        <v>0</v>
      </c>
      <c r="HN8" s="87">
        <f t="shared" si="150"/>
        <v>0</v>
      </c>
      <c r="HO8" s="87">
        <f t="shared" si="150"/>
        <v>1200000</v>
      </c>
      <c r="HP8" s="87">
        <f t="shared" si="150"/>
        <v>27250000</v>
      </c>
      <c r="HQ8" s="92">
        <f t="shared" ref="HQ8" si="151">SUMIF(HC12:HP12,HQ12,HC8:HP8)</f>
        <v>3421500</v>
      </c>
      <c r="HR8" s="92">
        <f t="shared" ref="HR8" si="152">SUMIF(HC12:HP12,HR12,HC8:HP8)</f>
        <v>85961500</v>
      </c>
      <c r="HS8" s="87">
        <f t="shared" ref="HS8:IF8" si="153">SUM(HS127,HS165,HS203)</f>
        <v>0</v>
      </c>
      <c r="HT8" s="87">
        <f t="shared" si="153"/>
        <v>0</v>
      </c>
      <c r="HU8" s="87">
        <f t="shared" si="153"/>
        <v>0</v>
      </c>
      <c r="HV8" s="87">
        <f t="shared" si="153"/>
        <v>0</v>
      </c>
      <c r="HW8" s="87">
        <f t="shared" si="153"/>
        <v>0</v>
      </c>
      <c r="HX8" s="87">
        <f t="shared" si="153"/>
        <v>0</v>
      </c>
      <c r="HY8" s="87">
        <f t="shared" si="153"/>
        <v>444160</v>
      </c>
      <c r="HZ8" s="87">
        <f t="shared" si="153"/>
        <v>8292256</v>
      </c>
      <c r="IA8" s="87">
        <f t="shared" si="153"/>
        <v>0</v>
      </c>
      <c r="IB8" s="87">
        <f t="shared" si="153"/>
        <v>0</v>
      </c>
      <c r="IC8" s="87">
        <f t="shared" si="153"/>
        <v>400</v>
      </c>
      <c r="ID8" s="87">
        <f t="shared" si="153"/>
        <v>8000</v>
      </c>
      <c r="IE8" s="87">
        <f t="shared" si="153"/>
        <v>1200</v>
      </c>
      <c r="IF8" s="87">
        <f t="shared" si="153"/>
        <v>24000</v>
      </c>
      <c r="IG8" s="92">
        <f t="shared" ref="IG8" si="154">SUMIF(HS12:IF12,IG12,HS8:IF8)</f>
        <v>445760</v>
      </c>
      <c r="IH8" s="92">
        <f t="shared" ref="IH8" si="155">SUMIF(HS12:IF12,IH12,HS8:IF8)</f>
        <v>8324256</v>
      </c>
      <c r="II8" s="87">
        <f t="shared" ref="II8:IV8" si="156">SUM(II127,II165,II203)</f>
        <v>0</v>
      </c>
      <c r="IJ8" s="87">
        <f t="shared" si="156"/>
        <v>0</v>
      </c>
      <c r="IK8" s="87">
        <f t="shared" si="156"/>
        <v>0</v>
      </c>
      <c r="IL8" s="87">
        <f t="shared" si="156"/>
        <v>0</v>
      </c>
      <c r="IM8" s="87">
        <f t="shared" si="156"/>
        <v>0</v>
      </c>
      <c r="IN8" s="87">
        <f t="shared" si="156"/>
        <v>0</v>
      </c>
      <c r="IO8" s="87">
        <f t="shared" si="156"/>
        <v>2898000</v>
      </c>
      <c r="IP8" s="87">
        <f t="shared" si="156"/>
        <v>58688025</v>
      </c>
      <c r="IQ8" s="87">
        <f t="shared" si="156"/>
        <v>0</v>
      </c>
      <c r="IR8" s="87">
        <f t="shared" si="156"/>
        <v>0</v>
      </c>
      <c r="IS8" s="87">
        <f t="shared" si="156"/>
        <v>0</v>
      </c>
      <c r="IT8" s="87">
        <f t="shared" si="156"/>
        <v>0</v>
      </c>
      <c r="IU8" s="87">
        <f t="shared" si="156"/>
        <v>0</v>
      </c>
      <c r="IV8" s="87">
        <f t="shared" si="156"/>
        <v>0</v>
      </c>
      <c r="IW8" s="92">
        <f t="shared" ref="IW8" si="157">SUMIF(II12:IV12,IW12,II8:IV8)</f>
        <v>2898000</v>
      </c>
      <c r="IX8" s="92">
        <f t="shared" ref="IX8" si="158">SUMIF(II12:IV12,IX12,II8:IV8)</f>
        <v>58688025</v>
      </c>
      <c r="IY8" s="87">
        <f t="shared" ref="IY8:JL8" si="159">SUM(IY127,IY165,IY203)</f>
        <v>0</v>
      </c>
      <c r="IZ8" s="87">
        <f t="shared" si="159"/>
        <v>0</v>
      </c>
      <c r="JA8" s="87">
        <f t="shared" si="159"/>
        <v>0</v>
      </c>
      <c r="JB8" s="87">
        <f t="shared" si="159"/>
        <v>0</v>
      </c>
      <c r="JC8" s="87">
        <f t="shared" si="159"/>
        <v>0</v>
      </c>
      <c r="JD8" s="87">
        <f t="shared" si="159"/>
        <v>0</v>
      </c>
      <c r="JE8" s="87">
        <f t="shared" si="159"/>
        <v>1117767</v>
      </c>
      <c r="JF8" s="87">
        <f t="shared" si="159"/>
        <v>21222625</v>
      </c>
      <c r="JG8" s="87">
        <f t="shared" si="159"/>
        <v>0</v>
      </c>
      <c r="JH8" s="87">
        <f t="shared" si="159"/>
        <v>0</v>
      </c>
      <c r="JI8" s="87">
        <f t="shared" si="159"/>
        <v>0</v>
      </c>
      <c r="JJ8" s="87">
        <f t="shared" si="159"/>
        <v>0</v>
      </c>
      <c r="JK8" s="87">
        <f t="shared" si="159"/>
        <v>28680</v>
      </c>
      <c r="JL8" s="87">
        <f t="shared" si="159"/>
        <v>545610</v>
      </c>
      <c r="JM8" s="92">
        <f t="shared" ref="JM8" si="160">SUMIF(IY12:JL12,JM12,IY8:JL8)</f>
        <v>1146447</v>
      </c>
      <c r="JN8" s="92">
        <f t="shared" ref="JN8" si="161">SUMIF(IY12:JL12,JN12,IY8:JL8)</f>
        <v>21768235</v>
      </c>
      <c r="JO8" s="87">
        <f t="shared" ref="JO8:KB8" si="162">SUM(JO127,JO165,JO203)</f>
        <v>0</v>
      </c>
      <c r="JP8" s="87">
        <f t="shared" si="162"/>
        <v>0</v>
      </c>
      <c r="JQ8" s="87">
        <f t="shared" si="162"/>
        <v>354589</v>
      </c>
      <c r="JR8" s="87">
        <f t="shared" si="162"/>
        <v>28378120</v>
      </c>
      <c r="JS8" s="87">
        <f t="shared" si="162"/>
        <v>0</v>
      </c>
      <c r="JT8" s="87">
        <f t="shared" si="162"/>
        <v>0</v>
      </c>
      <c r="JU8" s="87">
        <f t="shared" si="162"/>
        <v>233995</v>
      </c>
      <c r="JV8" s="87">
        <f t="shared" si="162"/>
        <v>6032362</v>
      </c>
      <c r="JW8" s="87">
        <f t="shared" si="162"/>
        <v>0</v>
      </c>
      <c r="JX8" s="87">
        <f t="shared" si="162"/>
        <v>0</v>
      </c>
      <c r="JY8" s="87">
        <f t="shared" si="162"/>
        <v>0</v>
      </c>
      <c r="JZ8" s="87">
        <f t="shared" si="162"/>
        <v>0</v>
      </c>
      <c r="KA8" s="87">
        <f t="shared" si="162"/>
        <v>0</v>
      </c>
      <c r="KB8" s="87">
        <f t="shared" si="162"/>
        <v>0</v>
      </c>
      <c r="KC8" s="92">
        <f t="shared" ref="KC8" si="163">SUMIF(JO12:KB12,KC12,JO8:KB8)</f>
        <v>588584</v>
      </c>
      <c r="KD8" s="92">
        <f t="shared" ref="KD8" si="164">SUMIF(JO12:KB12,KD12,JO8:KB8)</f>
        <v>34410482</v>
      </c>
      <c r="KE8" s="87">
        <f t="shared" ref="KE8:KR8" si="165">SUM(KE127,KE165,KE203)</f>
        <v>0</v>
      </c>
      <c r="KF8" s="87">
        <f t="shared" si="165"/>
        <v>0</v>
      </c>
      <c r="KG8" s="87">
        <f t="shared" si="165"/>
        <v>96109</v>
      </c>
      <c r="KH8" s="87">
        <f t="shared" si="165"/>
        <v>5913065</v>
      </c>
      <c r="KI8" s="87">
        <f t="shared" si="165"/>
        <v>0</v>
      </c>
      <c r="KJ8" s="87">
        <f t="shared" si="165"/>
        <v>0</v>
      </c>
      <c r="KK8" s="87">
        <f t="shared" si="165"/>
        <v>180372</v>
      </c>
      <c r="KL8" s="87">
        <f t="shared" si="165"/>
        <v>3622735</v>
      </c>
      <c r="KM8" s="87">
        <f t="shared" si="165"/>
        <v>0</v>
      </c>
      <c r="KN8" s="87">
        <f t="shared" si="165"/>
        <v>0</v>
      </c>
      <c r="KO8" s="87">
        <f t="shared" si="165"/>
        <v>0</v>
      </c>
      <c r="KP8" s="87">
        <f t="shared" si="165"/>
        <v>0</v>
      </c>
      <c r="KQ8" s="87">
        <f t="shared" si="165"/>
        <v>0</v>
      </c>
      <c r="KR8" s="87">
        <f t="shared" si="165"/>
        <v>0</v>
      </c>
      <c r="KS8" s="92">
        <f t="shared" ref="KS8" si="166">SUMIF(KE12:KR12,KS12,KE8:KR8)</f>
        <v>276481</v>
      </c>
      <c r="KT8" s="92">
        <f t="shared" ref="KT8" si="167">SUMIF(KE12:KR12,KT12,KE8:KR8)</f>
        <v>9535800</v>
      </c>
      <c r="KU8" s="87">
        <f t="shared" ref="KU8:LH8" si="168">SUM(KU127,KU165,KU203)</f>
        <v>0</v>
      </c>
      <c r="KV8" s="87">
        <f t="shared" si="168"/>
        <v>0</v>
      </c>
      <c r="KW8" s="87">
        <f t="shared" si="168"/>
        <v>1811606.2500000002</v>
      </c>
      <c r="KX8" s="87">
        <f t="shared" si="168"/>
        <v>33031470</v>
      </c>
      <c r="KY8" s="87">
        <f t="shared" si="168"/>
        <v>0</v>
      </c>
      <c r="KZ8" s="87">
        <f t="shared" si="168"/>
        <v>0</v>
      </c>
      <c r="LA8" s="87">
        <f t="shared" si="168"/>
        <v>4087087.1400000006</v>
      </c>
      <c r="LB8" s="87">
        <f t="shared" si="168"/>
        <v>74211786</v>
      </c>
      <c r="LC8" s="87">
        <f t="shared" si="168"/>
        <v>0</v>
      </c>
      <c r="LD8" s="87">
        <f t="shared" si="168"/>
        <v>0</v>
      </c>
      <c r="LE8" s="87">
        <f t="shared" si="168"/>
        <v>0</v>
      </c>
      <c r="LF8" s="87">
        <f t="shared" si="168"/>
        <v>0</v>
      </c>
      <c r="LG8" s="87">
        <f t="shared" si="168"/>
        <v>37981.729999999996</v>
      </c>
      <c r="LH8" s="87">
        <f t="shared" si="168"/>
        <v>888663</v>
      </c>
      <c r="LI8" s="92">
        <f t="shared" ref="LI8" si="169">SUMIF(KU12:LH12,LI12,KU8:LH8)</f>
        <v>5936675.120000001</v>
      </c>
      <c r="LJ8" s="92">
        <f t="shared" ref="LJ8" si="170">SUMIF(KU12:LH12,LJ12,KU8:LH8)</f>
        <v>108131919</v>
      </c>
      <c r="LK8" s="87">
        <f t="shared" ref="LK8:LX8" si="171">SUM(LK127,LK165,LK203)</f>
        <v>0</v>
      </c>
      <c r="LL8" s="87">
        <f t="shared" si="171"/>
        <v>0</v>
      </c>
      <c r="LM8" s="87">
        <f t="shared" si="171"/>
        <v>0</v>
      </c>
      <c r="LN8" s="87">
        <f t="shared" si="171"/>
        <v>0</v>
      </c>
      <c r="LO8" s="87">
        <f t="shared" si="171"/>
        <v>0</v>
      </c>
      <c r="LP8" s="87">
        <f t="shared" si="171"/>
        <v>0</v>
      </c>
      <c r="LQ8" s="87">
        <f t="shared" si="171"/>
        <v>571537</v>
      </c>
      <c r="LR8" s="87">
        <f t="shared" si="171"/>
        <v>11743820.699999999</v>
      </c>
      <c r="LS8" s="87">
        <f t="shared" si="171"/>
        <v>0</v>
      </c>
      <c r="LT8" s="87">
        <f t="shared" si="171"/>
        <v>0</v>
      </c>
      <c r="LU8" s="87">
        <f t="shared" si="171"/>
        <v>0</v>
      </c>
      <c r="LV8" s="87">
        <f t="shared" si="171"/>
        <v>0</v>
      </c>
      <c r="LW8" s="87">
        <f t="shared" si="171"/>
        <v>6378</v>
      </c>
      <c r="LX8" s="87">
        <f t="shared" si="171"/>
        <v>207966</v>
      </c>
      <c r="LY8" s="92">
        <f t="shared" ref="LY8" si="172">SUMIF(LK12:LX12,LY12,LK8:LX8)</f>
        <v>577915</v>
      </c>
      <c r="LZ8" s="92">
        <f t="shared" ref="LZ8" si="173">SUMIF(LK12:LX12,LZ12,LK8:LX8)</f>
        <v>11951786.699999999</v>
      </c>
      <c r="MA8" s="87">
        <f t="shared" ref="MA8:MN8" si="174">SUM(MA127,MA165,MA203)</f>
        <v>89600</v>
      </c>
      <c r="MB8" s="87">
        <f t="shared" si="174"/>
        <v>7616000</v>
      </c>
      <c r="MC8" s="87">
        <f t="shared" si="174"/>
        <v>3588300</v>
      </c>
      <c r="MD8" s="87">
        <f t="shared" si="174"/>
        <v>191850100</v>
      </c>
      <c r="ME8" s="87">
        <f t="shared" si="174"/>
        <v>0</v>
      </c>
      <c r="MF8" s="87">
        <f t="shared" si="174"/>
        <v>0</v>
      </c>
      <c r="MG8" s="87">
        <f t="shared" si="174"/>
        <v>204290</v>
      </c>
      <c r="MH8" s="87">
        <f t="shared" si="174"/>
        <v>3784130</v>
      </c>
      <c r="MI8" s="87">
        <f t="shared" si="174"/>
        <v>0</v>
      </c>
      <c r="MJ8" s="87">
        <f t="shared" si="174"/>
        <v>0</v>
      </c>
      <c r="MK8" s="87">
        <f t="shared" si="174"/>
        <v>0</v>
      </c>
      <c r="ML8" s="87">
        <f t="shared" si="174"/>
        <v>0</v>
      </c>
      <c r="MM8" s="87">
        <f t="shared" si="174"/>
        <v>4400</v>
      </c>
      <c r="MN8" s="87">
        <f t="shared" si="174"/>
        <v>79200</v>
      </c>
      <c r="MO8" s="92">
        <f t="shared" ref="MO8" si="175">SUMIF(MA12:MN12,MO12,MA8:MN8)</f>
        <v>3886590</v>
      </c>
      <c r="MP8" s="92">
        <f t="shared" ref="MP8" si="176">SUMIF(MA12:MN12,MP12,MA8:MN8)</f>
        <v>203329430</v>
      </c>
      <c r="MQ8" s="87">
        <f t="shared" ref="MQ8:ND8" si="177">SUM(MQ127,MQ165,MQ203)</f>
        <v>0</v>
      </c>
      <c r="MR8" s="87">
        <f t="shared" si="177"/>
        <v>0</v>
      </c>
      <c r="MS8" s="87">
        <f t="shared" si="177"/>
        <v>302971</v>
      </c>
      <c r="MT8" s="87">
        <f t="shared" si="177"/>
        <v>15788788</v>
      </c>
      <c r="MU8" s="87">
        <f t="shared" si="177"/>
        <v>0</v>
      </c>
      <c r="MV8" s="87">
        <f t="shared" si="177"/>
        <v>0</v>
      </c>
      <c r="MW8" s="87">
        <f t="shared" si="177"/>
        <v>54396</v>
      </c>
      <c r="MX8" s="87">
        <f t="shared" si="177"/>
        <v>1251458</v>
      </c>
      <c r="MY8" s="87">
        <f t="shared" si="177"/>
        <v>0</v>
      </c>
      <c r="MZ8" s="87">
        <f t="shared" si="177"/>
        <v>0</v>
      </c>
      <c r="NA8" s="87">
        <f t="shared" si="177"/>
        <v>0</v>
      </c>
      <c r="NB8" s="87">
        <f t="shared" si="177"/>
        <v>0</v>
      </c>
      <c r="NC8" s="87">
        <f t="shared" si="177"/>
        <v>0</v>
      </c>
      <c r="ND8" s="87">
        <f t="shared" si="177"/>
        <v>0</v>
      </c>
      <c r="NE8" s="92">
        <f t="shared" ref="NE8" si="178">SUMIF(MQ12:ND12,NE12,MQ8:ND8)</f>
        <v>357367</v>
      </c>
      <c r="NF8" s="92">
        <f t="shared" ref="NF8" si="179">SUMIF(MQ12:ND12,NF12,MQ8:ND8)</f>
        <v>17040246</v>
      </c>
      <c r="NG8" s="87">
        <f t="shared" ref="NG8:NT8" si="180">SUM(NG127,NG165,NG203)</f>
        <v>0</v>
      </c>
      <c r="NH8" s="87">
        <f t="shared" si="180"/>
        <v>0</v>
      </c>
      <c r="NI8" s="87">
        <f t="shared" si="180"/>
        <v>20184200</v>
      </c>
      <c r="NJ8" s="87">
        <f t="shared" si="180"/>
        <v>446802210</v>
      </c>
      <c r="NK8" s="87">
        <f t="shared" si="180"/>
        <v>0</v>
      </c>
      <c r="NL8" s="87">
        <f t="shared" si="180"/>
        <v>0</v>
      </c>
      <c r="NM8" s="87">
        <f t="shared" si="180"/>
        <v>6053500</v>
      </c>
      <c r="NN8" s="87">
        <f t="shared" si="180"/>
        <v>97639200</v>
      </c>
      <c r="NO8" s="87">
        <f t="shared" si="180"/>
        <v>335200</v>
      </c>
      <c r="NP8" s="87">
        <f t="shared" si="180"/>
        <v>7150800</v>
      </c>
      <c r="NQ8" s="87">
        <f t="shared" si="180"/>
        <v>66552</v>
      </c>
      <c r="NR8" s="87">
        <f t="shared" si="180"/>
        <v>1207796</v>
      </c>
      <c r="NS8" s="87">
        <f t="shared" si="180"/>
        <v>0</v>
      </c>
      <c r="NT8" s="87">
        <f t="shared" si="180"/>
        <v>0</v>
      </c>
      <c r="NU8" s="92">
        <f t="shared" ref="NU8" si="181">SUMIF(NG12:NT12,NU12,NG8:NT8)</f>
        <v>26639452</v>
      </c>
      <c r="NV8" s="92">
        <f t="shared" ref="NV8" si="182">SUMIF(NG12:NT12,NV12,NG8:NT8)</f>
        <v>552800006</v>
      </c>
      <c r="NW8" s="87">
        <f t="shared" ref="NW8:OJ8" si="183">SUM(NW127,NW165,NW203)</f>
        <v>10470</v>
      </c>
      <c r="NX8" s="87">
        <f t="shared" si="183"/>
        <v>481000</v>
      </c>
      <c r="NY8" s="87">
        <f t="shared" si="183"/>
        <v>2958002</v>
      </c>
      <c r="NZ8" s="87">
        <f t="shared" si="183"/>
        <v>146488070</v>
      </c>
      <c r="OA8" s="87">
        <f t="shared" si="183"/>
        <v>0</v>
      </c>
      <c r="OB8" s="87">
        <f t="shared" si="183"/>
        <v>0</v>
      </c>
      <c r="OC8" s="87">
        <f t="shared" si="183"/>
        <v>151683</v>
      </c>
      <c r="OD8" s="87">
        <f t="shared" si="183"/>
        <v>2892652</v>
      </c>
      <c r="OE8" s="87">
        <f t="shared" si="183"/>
        <v>0</v>
      </c>
      <c r="OF8" s="87">
        <f t="shared" si="183"/>
        <v>0</v>
      </c>
      <c r="OG8" s="87">
        <f t="shared" si="183"/>
        <v>0</v>
      </c>
      <c r="OH8" s="87">
        <f t="shared" si="183"/>
        <v>0</v>
      </c>
      <c r="OI8" s="87">
        <f t="shared" si="183"/>
        <v>0</v>
      </c>
      <c r="OJ8" s="87">
        <f t="shared" si="183"/>
        <v>0</v>
      </c>
      <c r="OK8" s="92">
        <f t="shared" ref="OK8" si="184">SUMIF(NW12:OJ12,OK12,NW8:OJ8)</f>
        <v>3120155</v>
      </c>
      <c r="OL8" s="92">
        <f t="shared" ref="OL8" si="185">SUMIF(NW12:OJ12,OL12,NW8:OJ8)</f>
        <v>149861722</v>
      </c>
      <c r="OM8" s="87">
        <f t="shared" ref="OM8:OZ8" si="186">SUM(OM127,OM165,OM203)</f>
        <v>168023284</v>
      </c>
      <c r="ON8" s="87">
        <f t="shared" si="186"/>
        <v>712478770</v>
      </c>
      <c r="OO8" s="87">
        <f t="shared" si="186"/>
        <v>1400130</v>
      </c>
      <c r="OP8" s="87">
        <f t="shared" si="186"/>
        <v>80106971</v>
      </c>
      <c r="OQ8" s="87">
        <f t="shared" si="186"/>
        <v>0</v>
      </c>
      <c r="OR8" s="87">
        <f t="shared" si="186"/>
        <v>0</v>
      </c>
      <c r="OS8" s="87">
        <f t="shared" si="186"/>
        <v>105639.5</v>
      </c>
      <c r="OT8" s="87">
        <f t="shared" si="186"/>
        <v>2306270.5</v>
      </c>
      <c r="OU8" s="87">
        <f t="shared" si="186"/>
        <v>0</v>
      </c>
      <c r="OV8" s="87">
        <f t="shared" si="186"/>
        <v>0</v>
      </c>
      <c r="OW8" s="87">
        <f t="shared" si="186"/>
        <v>0</v>
      </c>
      <c r="OX8" s="87">
        <f t="shared" si="186"/>
        <v>0</v>
      </c>
      <c r="OY8" s="87">
        <f t="shared" si="186"/>
        <v>0</v>
      </c>
      <c r="OZ8" s="87">
        <f t="shared" si="186"/>
        <v>0</v>
      </c>
      <c r="PA8" s="92">
        <f t="shared" ref="PA8" si="187">SUMIF(OM12:OZ12,PA12,OM8:OZ8)</f>
        <v>169529053.5</v>
      </c>
      <c r="PB8" s="92">
        <f t="shared" ref="PB8" si="188">SUMIF(OM12:OZ12,PB12,OM8:OZ8)</f>
        <v>794892011.5</v>
      </c>
      <c r="PC8" s="87">
        <f t="shared" ref="PC8:PP8" si="189">SUM(PC127,PC165,PC203)</f>
        <v>441</v>
      </c>
      <c r="PD8" s="87">
        <f t="shared" si="189"/>
        <v>27721.5</v>
      </c>
      <c r="PE8" s="87">
        <f t="shared" si="189"/>
        <v>76281</v>
      </c>
      <c r="PF8" s="87">
        <f t="shared" si="189"/>
        <v>5624345</v>
      </c>
      <c r="PG8" s="87">
        <f t="shared" si="189"/>
        <v>0</v>
      </c>
      <c r="PH8" s="87">
        <f t="shared" si="189"/>
        <v>0</v>
      </c>
      <c r="PI8" s="87">
        <f t="shared" si="189"/>
        <v>1319814</v>
      </c>
      <c r="PJ8" s="87">
        <f t="shared" si="189"/>
        <v>24320910</v>
      </c>
      <c r="PK8" s="87">
        <f t="shared" si="189"/>
        <v>0</v>
      </c>
      <c r="PL8" s="87">
        <f t="shared" si="189"/>
        <v>0</v>
      </c>
      <c r="PM8" s="87">
        <f t="shared" si="189"/>
        <v>0</v>
      </c>
      <c r="PN8" s="87">
        <f t="shared" si="189"/>
        <v>0</v>
      </c>
      <c r="PO8" s="87">
        <f t="shared" si="189"/>
        <v>0</v>
      </c>
      <c r="PP8" s="87">
        <f t="shared" si="189"/>
        <v>0</v>
      </c>
      <c r="PQ8" s="92">
        <f t="shared" ref="PQ8" si="190">SUMIF(PC12:PP12,PQ12,PC8:PP8)</f>
        <v>1396536</v>
      </c>
      <c r="PR8" s="92">
        <f t="shared" ref="PR8" si="191">SUMIF(PC12:PP12,PR12,PC8:PP8)</f>
        <v>29972976.5</v>
      </c>
      <c r="PS8" s="87">
        <f t="shared" ref="PS8:QF8" si="192">SUM(PS127,PS165,PS203)</f>
        <v>500</v>
      </c>
      <c r="PT8" s="87">
        <f t="shared" si="192"/>
        <v>55000</v>
      </c>
      <c r="PU8" s="87">
        <f t="shared" si="192"/>
        <v>3179330</v>
      </c>
      <c r="PV8" s="87">
        <f t="shared" si="192"/>
        <v>125314760</v>
      </c>
      <c r="PW8" s="87">
        <f t="shared" si="192"/>
        <v>0</v>
      </c>
      <c r="PX8" s="87">
        <f t="shared" si="192"/>
        <v>0</v>
      </c>
      <c r="PY8" s="87">
        <f t="shared" si="192"/>
        <v>3333670</v>
      </c>
      <c r="PZ8" s="87">
        <f t="shared" si="192"/>
        <v>67631660</v>
      </c>
      <c r="QA8" s="87">
        <f t="shared" si="192"/>
        <v>4494270</v>
      </c>
      <c r="QB8" s="87">
        <f t="shared" si="192"/>
        <v>118306240</v>
      </c>
      <c r="QC8" s="87">
        <f t="shared" si="192"/>
        <v>1339150</v>
      </c>
      <c r="QD8" s="87">
        <f t="shared" si="192"/>
        <v>25639530</v>
      </c>
      <c r="QE8" s="87">
        <f t="shared" si="192"/>
        <v>0</v>
      </c>
      <c r="QF8" s="87">
        <f t="shared" si="192"/>
        <v>0</v>
      </c>
      <c r="QG8" s="92">
        <f t="shared" ref="QG8" si="193">SUMIF(PS12:QF12,QG12,PS8:QF8)</f>
        <v>12346920</v>
      </c>
      <c r="QH8" s="92">
        <f t="shared" ref="QH8" si="194">SUMIF(PS12:QF12,QH12,PS8:QF8)</f>
        <v>336947190</v>
      </c>
      <c r="QI8" s="87">
        <f t="shared" ref="QI8:QV8" si="195">SUM(QI127,QI165,QI203)</f>
        <v>0</v>
      </c>
      <c r="QJ8" s="87">
        <f t="shared" si="195"/>
        <v>0</v>
      </c>
      <c r="QK8" s="87">
        <f t="shared" si="195"/>
        <v>175000</v>
      </c>
      <c r="QL8" s="87">
        <f t="shared" si="195"/>
        <v>10500000</v>
      </c>
      <c r="QM8" s="87">
        <f t="shared" si="195"/>
        <v>0</v>
      </c>
      <c r="QN8" s="87">
        <f t="shared" si="195"/>
        <v>0</v>
      </c>
      <c r="QO8" s="87">
        <f t="shared" si="195"/>
        <v>13644500</v>
      </c>
      <c r="QP8" s="87">
        <f t="shared" si="195"/>
        <v>289513000</v>
      </c>
      <c r="QQ8" s="87">
        <f t="shared" si="195"/>
        <v>0</v>
      </c>
      <c r="QR8" s="87">
        <f t="shared" si="195"/>
        <v>0</v>
      </c>
      <c r="QS8" s="87">
        <f t="shared" si="195"/>
        <v>0</v>
      </c>
      <c r="QT8" s="87">
        <f t="shared" si="195"/>
        <v>0</v>
      </c>
      <c r="QU8" s="87">
        <f t="shared" si="195"/>
        <v>0</v>
      </c>
      <c r="QV8" s="87">
        <f t="shared" si="195"/>
        <v>0</v>
      </c>
      <c r="QW8" s="92">
        <f t="shared" ref="QW8" si="196">SUMIF(QI12:QV12,QW12,QI8:QV8)</f>
        <v>13819500</v>
      </c>
      <c r="QX8" s="92">
        <f t="shared" ref="QX8" si="197">SUMIF(QI12:QV12,QX12,QI8:QV8)</f>
        <v>300013000</v>
      </c>
      <c r="QY8" s="87">
        <f t="shared" ref="QY8:RL8" si="198">SUM(QY127,QY165,QY203)</f>
        <v>0</v>
      </c>
      <c r="QZ8" s="87">
        <f t="shared" si="198"/>
        <v>0</v>
      </c>
      <c r="RA8" s="87">
        <f t="shared" si="198"/>
        <v>0</v>
      </c>
      <c r="RB8" s="87">
        <f t="shared" si="198"/>
        <v>0</v>
      </c>
      <c r="RC8" s="87">
        <f t="shared" si="198"/>
        <v>0</v>
      </c>
      <c r="RD8" s="87">
        <f t="shared" si="198"/>
        <v>0</v>
      </c>
      <c r="RE8" s="87">
        <f t="shared" si="198"/>
        <v>15830</v>
      </c>
      <c r="RF8" s="87">
        <f t="shared" si="198"/>
        <v>378610</v>
      </c>
      <c r="RG8" s="87">
        <f t="shared" si="198"/>
        <v>0</v>
      </c>
      <c r="RH8" s="87">
        <f t="shared" si="198"/>
        <v>0</v>
      </c>
      <c r="RI8" s="87">
        <f t="shared" si="198"/>
        <v>0</v>
      </c>
      <c r="RJ8" s="87">
        <f t="shared" si="198"/>
        <v>0</v>
      </c>
      <c r="RK8" s="87">
        <f t="shared" si="198"/>
        <v>0</v>
      </c>
      <c r="RL8" s="87">
        <f t="shared" si="198"/>
        <v>0</v>
      </c>
      <c r="RM8" s="92">
        <f t="shared" ref="RM8" si="199">SUMIF(QY12:RL12,RM12,QY8:RL8)</f>
        <v>15830</v>
      </c>
      <c r="RN8" s="92">
        <f t="shared" ref="RN8" si="200">SUMIF(QY12:RL12,RN12,QY8:RL8)</f>
        <v>378610</v>
      </c>
      <c r="RO8" s="87">
        <f t="shared" ref="RO8:SB8" si="201">SUM(RO127,RO165,RO203)</f>
        <v>0</v>
      </c>
      <c r="RP8" s="87">
        <f t="shared" si="201"/>
        <v>0</v>
      </c>
      <c r="RQ8" s="87">
        <f t="shared" si="201"/>
        <v>0</v>
      </c>
      <c r="RR8" s="87">
        <f t="shared" si="201"/>
        <v>0</v>
      </c>
      <c r="RS8" s="87">
        <f t="shared" si="201"/>
        <v>0</v>
      </c>
      <c r="RT8" s="87">
        <f t="shared" si="201"/>
        <v>0</v>
      </c>
      <c r="RU8" s="87">
        <f t="shared" si="201"/>
        <v>62700</v>
      </c>
      <c r="RV8" s="87">
        <f t="shared" si="201"/>
        <v>1294500</v>
      </c>
      <c r="RW8" s="87">
        <f t="shared" si="201"/>
        <v>0</v>
      </c>
      <c r="RX8" s="87">
        <f t="shared" si="201"/>
        <v>0</v>
      </c>
      <c r="RY8" s="87">
        <f t="shared" si="201"/>
        <v>0</v>
      </c>
      <c r="RZ8" s="87">
        <f t="shared" si="201"/>
        <v>0</v>
      </c>
      <c r="SA8" s="87">
        <f t="shared" si="201"/>
        <v>0</v>
      </c>
      <c r="SB8" s="87">
        <f t="shared" si="201"/>
        <v>0</v>
      </c>
      <c r="SC8" s="92">
        <f t="shared" ref="SC8" si="202">SUMIF(RO12:SB12,SC12,RO8:SB8)</f>
        <v>62700</v>
      </c>
      <c r="SD8" s="92">
        <f t="shared" ref="SD8" si="203">SUMIF(RO12:SB12,SD12,RO8:SB8)</f>
        <v>1294500</v>
      </c>
      <c r="SE8" s="87">
        <f t="shared" ref="SE8:SR8" si="204">SUM(SE127,SE165,SE203)</f>
        <v>0</v>
      </c>
      <c r="SF8" s="87">
        <f t="shared" si="204"/>
        <v>0</v>
      </c>
      <c r="SG8" s="87">
        <f t="shared" si="204"/>
        <v>0</v>
      </c>
      <c r="SH8" s="87">
        <f t="shared" si="204"/>
        <v>0</v>
      </c>
      <c r="SI8" s="87">
        <f t="shared" si="204"/>
        <v>0</v>
      </c>
      <c r="SJ8" s="87">
        <f t="shared" si="204"/>
        <v>0</v>
      </c>
      <c r="SK8" s="87">
        <f t="shared" si="204"/>
        <v>47600</v>
      </c>
      <c r="SL8" s="87">
        <f t="shared" si="204"/>
        <v>915600</v>
      </c>
      <c r="SM8" s="87">
        <f t="shared" si="204"/>
        <v>0</v>
      </c>
      <c r="SN8" s="87">
        <f t="shared" si="204"/>
        <v>0</v>
      </c>
      <c r="SO8" s="87">
        <f t="shared" si="204"/>
        <v>0</v>
      </c>
      <c r="SP8" s="87">
        <f t="shared" si="204"/>
        <v>0</v>
      </c>
      <c r="SQ8" s="87">
        <f t="shared" si="204"/>
        <v>0</v>
      </c>
      <c r="SR8" s="87">
        <f t="shared" si="204"/>
        <v>0</v>
      </c>
      <c r="SS8" s="92">
        <f t="shared" ref="SS8" si="205">SUMIF(SE12:SR12,SS12,SE8:SR8)</f>
        <v>47600</v>
      </c>
      <c r="ST8" s="92">
        <f t="shared" ref="ST8" si="206">SUMIF(SE12:SR12,ST12,SE8:SR8)</f>
        <v>915600</v>
      </c>
      <c r="SU8" s="87">
        <f t="shared" ref="SU8:TH8" si="207">SUM(SU127,SU165,SU203)</f>
        <v>0</v>
      </c>
      <c r="SV8" s="87">
        <f t="shared" si="207"/>
        <v>0</v>
      </c>
      <c r="SW8" s="87">
        <f t="shared" si="207"/>
        <v>0</v>
      </c>
      <c r="SX8" s="87">
        <f t="shared" si="207"/>
        <v>0</v>
      </c>
      <c r="SY8" s="87">
        <f t="shared" si="207"/>
        <v>0</v>
      </c>
      <c r="SZ8" s="87">
        <f t="shared" si="207"/>
        <v>0</v>
      </c>
      <c r="TA8" s="87">
        <f t="shared" si="207"/>
        <v>82789.97</v>
      </c>
      <c r="TB8" s="87">
        <f t="shared" si="207"/>
        <v>1872530.2220000001</v>
      </c>
      <c r="TC8" s="87">
        <f t="shared" si="207"/>
        <v>0</v>
      </c>
      <c r="TD8" s="87">
        <f t="shared" si="207"/>
        <v>0</v>
      </c>
      <c r="TE8" s="87">
        <f t="shared" si="207"/>
        <v>0</v>
      </c>
      <c r="TF8" s="87">
        <f t="shared" si="207"/>
        <v>0</v>
      </c>
      <c r="TG8" s="87">
        <f t="shared" si="207"/>
        <v>0</v>
      </c>
      <c r="TH8" s="87">
        <f t="shared" si="207"/>
        <v>0</v>
      </c>
      <c r="TI8" s="92">
        <f t="shared" ref="TI8" si="208">SUMIF(SU12:TH12,TI12,SU8:TH8)</f>
        <v>82789.97</v>
      </c>
      <c r="TJ8" s="92">
        <f t="shared" ref="TJ8" si="209">SUMIF(SU12:TH12,TJ12,SU8:TH8)</f>
        <v>1872530.2220000001</v>
      </c>
      <c r="TK8" s="87">
        <f t="shared" ref="TK8:TX8" si="210">SUM(TK127,TK165,TK203)</f>
        <v>0</v>
      </c>
      <c r="TL8" s="87">
        <f t="shared" si="210"/>
        <v>0</v>
      </c>
      <c r="TM8" s="87">
        <f t="shared" si="210"/>
        <v>0</v>
      </c>
      <c r="TN8" s="87">
        <f t="shared" si="210"/>
        <v>0</v>
      </c>
      <c r="TO8" s="87">
        <f t="shared" si="210"/>
        <v>0</v>
      </c>
      <c r="TP8" s="87">
        <f t="shared" si="210"/>
        <v>0</v>
      </c>
      <c r="TQ8" s="87">
        <f t="shared" si="210"/>
        <v>30600</v>
      </c>
      <c r="TR8" s="87">
        <f t="shared" si="210"/>
        <v>631800</v>
      </c>
      <c r="TS8" s="87">
        <f t="shared" si="210"/>
        <v>0</v>
      </c>
      <c r="TT8" s="87">
        <f t="shared" si="210"/>
        <v>0</v>
      </c>
      <c r="TU8" s="87">
        <f t="shared" si="210"/>
        <v>4400</v>
      </c>
      <c r="TV8" s="87">
        <f t="shared" si="210"/>
        <v>143000</v>
      </c>
      <c r="TW8" s="87">
        <f t="shared" si="210"/>
        <v>0</v>
      </c>
      <c r="TX8" s="87">
        <f t="shared" si="210"/>
        <v>0</v>
      </c>
      <c r="TY8" s="92">
        <f t="shared" ref="TY8" si="211">SUMIF(TK12:TX12,TY12,TK8:TX8)</f>
        <v>35000</v>
      </c>
      <c r="TZ8" s="92">
        <f t="shared" ref="TZ8" si="212">SUMIF(TK12:TX12,TZ12,TK8:TX8)</f>
        <v>774800</v>
      </c>
      <c r="UA8" s="87">
        <f t="shared" ref="UA8:UN8" si="213">SUM(UA127,UA165,UA203)</f>
        <v>0</v>
      </c>
      <c r="UB8" s="87">
        <f t="shared" si="213"/>
        <v>0</v>
      </c>
      <c r="UC8" s="87">
        <f t="shared" si="213"/>
        <v>0</v>
      </c>
      <c r="UD8" s="87">
        <f t="shared" si="213"/>
        <v>0</v>
      </c>
      <c r="UE8" s="87">
        <f t="shared" si="213"/>
        <v>0</v>
      </c>
      <c r="UF8" s="87">
        <f t="shared" si="213"/>
        <v>0</v>
      </c>
      <c r="UG8" s="87">
        <f t="shared" si="213"/>
        <v>56644</v>
      </c>
      <c r="UH8" s="87">
        <f t="shared" si="213"/>
        <v>1036437.002</v>
      </c>
      <c r="UI8" s="87">
        <f t="shared" si="213"/>
        <v>0</v>
      </c>
      <c r="UJ8" s="87">
        <f t="shared" si="213"/>
        <v>0</v>
      </c>
      <c r="UK8" s="87">
        <f t="shared" si="213"/>
        <v>0</v>
      </c>
      <c r="UL8" s="87">
        <f t="shared" si="213"/>
        <v>0</v>
      </c>
      <c r="UM8" s="87">
        <f t="shared" si="213"/>
        <v>0</v>
      </c>
      <c r="UN8" s="87">
        <f t="shared" si="213"/>
        <v>0</v>
      </c>
      <c r="UO8" s="92">
        <f t="shared" ref="UO8" si="214">SUMIF(UA12:UN12,UO12,UA8:UN8)</f>
        <v>56644</v>
      </c>
      <c r="UP8" s="92">
        <f t="shared" ref="UP8" si="215">SUMIF(UA12:UN12,UP12,UA8:UN8)</f>
        <v>1036437.002</v>
      </c>
      <c r="UQ8" s="87">
        <f t="shared" ref="UQ8:VD8" si="216">SUM(UQ127,UQ165,UQ203)</f>
        <v>0</v>
      </c>
      <c r="UR8" s="87">
        <f t="shared" si="216"/>
        <v>0</v>
      </c>
      <c r="US8" s="87">
        <f t="shared" si="216"/>
        <v>648319</v>
      </c>
      <c r="UT8" s="87">
        <f t="shared" si="216"/>
        <v>5826384</v>
      </c>
      <c r="UU8" s="87">
        <f t="shared" si="216"/>
        <v>0</v>
      </c>
      <c r="UV8" s="87">
        <f t="shared" si="216"/>
        <v>0</v>
      </c>
      <c r="UW8" s="87">
        <f t="shared" si="216"/>
        <v>10423</v>
      </c>
      <c r="UX8" s="87">
        <f t="shared" si="216"/>
        <v>204960</v>
      </c>
      <c r="UY8" s="87">
        <f t="shared" si="216"/>
        <v>0</v>
      </c>
      <c r="UZ8" s="87">
        <f t="shared" si="216"/>
        <v>0</v>
      </c>
      <c r="VA8" s="87">
        <f t="shared" si="216"/>
        <v>0</v>
      </c>
      <c r="VB8" s="87">
        <f t="shared" si="216"/>
        <v>0</v>
      </c>
      <c r="VC8" s="87">
        <f t="shared" si="216"/>
        <v>0</v>
      </c>
      <c r="VD8" s="87">
        <f t="shared" si="216"/>
        <v>0</v>
      </c>
      <c r="VE8" s="92">
        <f t="shared" ref="VE8" si="217">SUMIF(UQ12:VD12,VE12,UQ8:VD8)</f>
        <v>658742</v>
      </c>
      <c r="VF8" s="92">
        <f t="shared" ref="VF8" si="218">SUMIF(UQ12:VD12,VF12,UQ8:VD8)</f>
        <v>6031344</v>
      </c>
      <c r="VG8" s="87">
        <f t="shared" ref="VG8:VT8" si="219">SUM(VG127,VG165,VG203)</f>
        <v>0</v>
      </c>
      <c r="VH8" s="87">
        <f t="shared" si="219"/>
        <v>0</v>
      </c>
      <c r="VI8" s="87">
        <f t="shared" si="219"/>
        <v>38153</v>
      </c>
      <c r="VJ8" s="87">
        <f t="shared" si="219"/>
        <v>1727530</v>
      </c>
      <c r="VK8" s="87">
        <f t="shared" si="219"/>
        <v>0</v>
      </c>
      <c r="VL8" s="87">
        <f t="shared" si="219"/>
        <v>0</v>
      </c>
      <c r="VM8" s="87">
        <f t="shared" si="219"/>
        <v>44995</v>
      </c>
      <c r="VN8" s="87">
        <f t="shared" si="219"/>
        <v>903367</v>
      </c>
      <c r="VO8" s="87">
        <f t="shared" si="219"/>
        <v>0</v>
      </c>
      <c r="VP8" s="87">
        <f t="shared" si="219"/>
        <v>0</v>
      </c>
      <c r="VQ8" s="87">
        <f t="shared" si="219"/>
        <v>0</v>
      </c>
      <c r="VR8" s="87">
        <f t="shared" si="219"/>
        <v>0</v>
      </c>
      <c r="VS8" s="87">
        <f t="shared" si="219"/>
        <v>0</v>
      </c>
      <c r="VT8" s="87">
        <f t="shared" si="219"/>
        <v>0</v>
      </c>
      <c r="VU8" s="92">
        <f t="shared" ref="VU8" si="220">SUMIF(VG12:VT12,VU12,VG8:VT8)</f>
        <v>83148</v>
      </c>
      <c r="VV8" s="92">
        <f t="shared" ref="VV8" si="221">SUMIF(VG12:VT12,VV12,VG8:VT8)</f>
        <v>2630897</v>
      </c>
      <c r="VW8" s="87">
        <f t="shared" ref="VW8:WJ8" si="222">SUM(VW127,VW165,VW203)</f>
        <v>0</v>
      </c>
      <c r="VX8" s="87">
        <f t="shared" si="222"/>
        <v>0</v>
      </c>
      <c r="VY8" s="87">
        <f t="shared" si="222"/>
        <v>1208000</v>
      </c>
      <c r="VZ8" s="87">
        <f t="shared" si="222"/>
        <v>43446012</v>
      </c>
      <c r="WA8" s="87">
        <f t="shared" si="222"/>
        <v>0</v>
      </c>
      <c r="WB8" s="87">
        <f t="shared" si="222"/>
        <v>0</v>
      </c>
      <c r="WC8" s="87">
        <f t="shared" si="222"/>
        <v>1045094</v>
      </c>
      <c r="WD8" s="87">
        <f t="shared" si="222"/>
        <v>26724736</v>
      </c>
      <c r="WE8" s="87">
        <f t="shared" si="222"/>
        <v>0</v>
      </c>
      <c r="WF8" s="87">
        <f t="shared" si="222"/>
        <v>0</v>
      </c>
      <c r="WG8" s="87">
        <f t="shared" si="222"/>
        <v>0</v>
      </c>
      <c r="WH8" s="87">
        <f t="shared" si="222"/>
        <v>0</v>
      </c>
      <c r="WI8" s="87">
        <f t="shared" si="222"/>
        <v>19536</v>
      </c>
      <c r="WJ8" s="87">
        <f t="shared" si="222"/>
        <v>429792</v>
      </c>
      <c r="WK8" s="92">
        <f t="shared" ref="WK8" si="223">SUMIF(VW12:WJ12,WK12,VW8:WJ8)</f>
        <v>2272630</v>
      </c>
      <c r="WL8" s="92">
        <f t="shared" ref="WL8" si="224">SUMIF(VW12:WJ12,WL12,VW8:WJ8)</f>
        <v>70600540</v>
      </c>
      <c r="WM8" s="89"/>
      <c r="WN8" s="87">
        <f t="shared" ref="WN8:WN11" si="225">SUMIF($C$5:$WL$5,$WN$5,C8:WL8)</f>
        <v>169550271.69067857</v>
      </c>
      <c r="WO8" s="87">
        <f t="shared" ref="WO8:WO11" si="226">SUMIF($C$5:$WL$5,$WO$5,C8:WL8)</f>
        <v>729657050.95339274</v>
      </c>
      <c r="WP8" s="87">
        <f t="shared" ref="WP8:WP11" si="227">SUMIF($C$5:$WL$5,$WP$5,C8:WL8)</f>
        <v>67363208.022949576</v>
      </c>
      <c r="WQ8" s="87">
        <f t="shared" ref="WQ8:WQ11" si="228">SUMIF($C$5:$WL$5,$WQ$5,C8:WL8)</f>
        <v>2319614272.571085</v>
      </c>
      <c r="WR8" s="87">
        <f t="shared" ref="WR8:WR11" si="229">SUMIF($C$5:$WL$5,$WR$5,C8:WL8)</f>
        <v>0</v>
      </c>
      <c r="WS8" s="87">
        <f t="shared" ref="WS8:WS11" si="230">SUMIF($C$5:$WL$5,$WS$5,C8:WL8)</f>
        <v>0</v>
      </c>
      <c r="WT8" s="87">
        <f t="shared" ref="WT8:WT11" si="231">SUMIF($C$5:$WL$5,$WT$5,C8:WL8)</f>
        <v>106162132.13260342</v>
      </c>
      <c r="WU8" s="87">
        <f t="shared" ref="WU8:WU11" si="232">SUMIF($C$5:$WL$5,$WU$5,C8:WL8)</f>
        <v>2199849062.8638468</v>
      </c>
      <c r="WV8" s="87">
        <f t="shared" ref="WV8:WV11" si="233">SUMIF($C$5:$WL$5,$WV$5,C8:WL8)</f>
        <v>4876379</v>
      </c>
      <c r="WW8" s="87">
        <f t="shared" ref="WW8:WW11" si="234">SUMIF($C$5:$WL$5,$WW$5,C8:WL8)</f>
        <v>126600112.006</v>
      </c>
      <c r="WX8" s="87">
        <f t="shared" ref="WX8:WX11" si="235">SUMIF($C$5:$WL$5,$WX$5,C8:WL8)</f>
        <v>1457959</v>
      </c>
      <c r="WY8" s="87">
        <f t="shared" ref="WY8:WY11" si="236">SUMIF($C$5:$WL$5,$WY$5,C8:WL8)</f>
        <v>27910455</v>
      </c>
      <c r="WZ8" s="87">
        <f t="shared" ref="WZ8:WZ11" si="237">SUMIF($C$5:$WL$5,$WZ$5,C8:WL8)</f>
        <v>1536995.73</v>
      </c>
      <c r="XA8" s="87">
        <f t="shared" ref="XA8:XA11" si="238">SUMIF($C$5:$WL$5,$XA$5,C8:WL8)</f>
        <v>36373713</v>
      </c>
      <c r="XB8" s="91">
        <f t="shared" ref="XB8:XB9" si="239">SUMIF($WN$12:$XA$12,$XB$12,WN8:XA8)</f>
        <v>350946945.5762316</v>
      </c>
      <c r="XC8" s="91">
        <f>SUMIF($WN$12:$XA$12,$XC$12,WN8:XA8)</f>
        <v>5440004666.3943243</v>
      </c>
      <c r="XD8" s="633" t="s">
        <v>171</v>
      </c>
      <c r="XE8" s="91">
        <f>XE51</f>
        <v>350946945.5762316</v>
      </c>
      <c r="XF8" s="91">
        <f>XF51</f>
        <v>5440004666.3943262</v>
      </c>
      <c r="XG8" s="633" t="s">
        <v>616</v>
      </c>
      <c r="XH8" s="91">
        <f>XH51</f>
        <v>761273590.95362329</v>
      </c>
      <c r="XI8" s="91">
        <f>XI51</f>
        <v>10494960859.987799</v>
      </c>
      <c r="XJ8" s="633"/>
      <c r="XK8" s="87"/>
      <c r="XL8" s="87"/>
      <c r="XM8" s="87"/>
      <c r="XN8" s="87"/>
      <c r="XO8" s="87"/>
      <c r="XP8" s="87"/>
      <c r="XQ8" s="87"/>
      <c r="XR8" s="91"/>
      <c r="XS8" s="633"/>
      <c r="XT8" s="87"/>
      <c r="XU8" s="87"/>
      <c r="XV8" s="87"/>
      <c r="XW8" s="87"/>
      <c r="XX8" s="87"/>
      <c r="XY8" s="87"/>
      <c r="XZ8" s="87"/>
      <c r="YA8" s="91"/>
      <c r="YB8" s="87"/>
      <c r="YC8" s="87"/>
      <c r="YD8" s="87"/>
      <c r="YE8" s="87"/>
      <c r="YF8" s="87"/>
      <c r="YG8" s="87"/>
      <c r="YH8" s="87"/>
      <c r="YI8" s="87"/>
      <c r="YJ8" s="87"/>
      <c r="YK8" s="87"/>
      <c r="YL8" s="87"/>
      <c r="YM8" s="87"/>
      <c r="YN8" s="87"/>
      <c r="YO8" s="87"/>
      <c r="YP8" s="87"/>
      <c r="YQ8" s="87"/>
      <c r="YR8" s="87"/>
      <c r="YS8" s="87"/>
      <c r="YT8" s="87"/>
      <c r="YU8" s="87"/>
      <c r="YV8" s="87"/>
      <c r="YW8" s="87"/>
      <c r="YX8" s="87"/>
      <c r="YY8" s="87"/>
      <c r="YZ8" s="87"/>
      <c r="ZA8" s="87"/>
      <c r="ZB8" s="87"/>
      <c r="ZC8" s="87"/>
      <c r="ZD8" s="87"/>
      <c r="ZE8" s="87"/>
      <c r="ZF8" s="87"/>
      <c r="ZG8" s="87"/>
      <c r="ZH8" s="87"/>
      <c r="ZI8" s="87"/>
      <c r="ZJ8" s="87"/>
      <c r="ZK8" s="87"/>
      <c r="ZL8" s="87"/>
      <c r="ZM8" s="87"/>
      <c r="ZN8" s="87"/>
      <c r="ZO8" s="87"/>
      <c r="ZP8" s="87"/>
      <c r="ZQ8" s="87"/>
      <c r="ZR8" s="87"/>
      <c r="ZS8" s="87"/>
      <c r="ZT8" s="87"/>
      <c r="ZU8" s="87"/>
      <c r="ZV8" s="87"/>
      <c r="ZW8" s="87"/>
      <c r="ZX8" s="87"/>
      <c r="ZY8" s="87"/>
      <c r="ZZ8" s="87"/>
      <c r="AAA8" s="87"/>
      <c r="AAB8" s="87"/>
      <c r="AAC8" s="87"/>
      <c r="AAD8" s="87"/>
      <c r="AAE8" s="87"/>
      <c r="AAF8" s="87"/>
      <c r="AAG8" s="87"/>
      <c r="AAH8" s="87"/>
      <c r="AAI8" s="87"/>
      <c r="AAJ8" s="87"/>
      <c r="AAK8" s="87"/>
      <c r="AAL8" s="87"/>
      <c r="AAM8" s="87"/>
      <c r="AAN8" s="87"/>
      <c r="AAO8" s="87"/>
      <c r="AAP8" s="87"/>
      <c r="AAQ8" s="87"/>
      <c r="AAR8" s="87"/>
      <c r="AAS8" s="87"/>
      <c r="AAT8" s="87"/>
      <c r="AAU8" s="87"/>
      <c r="AAV8" s="87"/>
      <c r="AAW8" s="87"/>
      <c r="AAX8" s="87"/>
      <c r="AAY8" s="87"/>
      <c r="AAZ8" s="87"/>
      <c r="ABA8" s="87"/>
      <c r="ABB8" s="87"/>
      <c r="ABC8" s="87"/>
      <c r="ABD8" s="87"/>
      <c r="ABE8" s="87"/>
      <c r="ABF8" s="87"/>
      <c r="ABG8" s="87"/>
      <c r="ABH8" s="87"/>
      <c r="ABI8" s="87"/>
      <c r="ABJ8" s="87"/>
      <c r="ABK8" s="87"/>
      <c r="ABL8" s="87"/>
      <c r="ABM8" s="87"/>
      <c r="ABN8" s="87"/>
      <c r="ABO8" s="87"/>
      <c r="ABP8" s="87"/>
      <c r="ABQ8" s="87"/>
      <c r="ABR8" s="87"/>
      <c r="ABS8" s="87"/>
      <c r="ABT8" s="87"/>
      <c r="ABU8" s="87"/>
      <c r="ABV8" s="87"/>
      <c r="ABW8" s="87"/>
      <c r="ABX8" s="87"/>
      <c r="ABY8" s="87"/>
      <c r="ABZ8" s="87"/>
      <c r="ACA8" s="87"/>
      <c r="ACB8" s="87"/>
      <c r="ACC8" s="87"/>
      <c r="ACD8" s="87"/>
      <c r="ACE8" s="87"/>
      <c r="ACF8" s="87"/>
      <c r="ACG8" s="87"/>
      <c r="ACH8" s="87"/>
      <c r="ACI8" s="87"/>
      <c r="ACJ8" s="87"/>
      <c r="ACK8" s="87"/>
      <c r="ACL8" s="87"/>
      <c r="ACM8" s="87"/>
      <c r="ACN8" s="87"/>
      <c r="ACO8" s="87"/>
      <c r="ACP8" s="87"/>
      <c r="ACQ8" s="87"/>
      <c r="ACR8" s="87"/>
      <c r="ACS8" s="87"/>
      <c r="ACT8" s="87"/>
      <c r="ACU8" s="87"/>
      <c r="ACV8" s="87"/>
      <c r="ACW8" s="87"/>
      <c r="ACX8" s="87"/>
      <c r="ACY8" s="87"/>
      <c r="ACZ8" s="87"/>
      <c r="ADA8" s="87"/>
      <c r="ADB8" s="87"/>
      <c r="ADC8" s="87"/>
      <c r="ADD8" s="87"/>
      <c r="ADE8" s="87"/>
      <c r="ADF8" s="87"/>
      <c r="ADG8" s="87"/>
      <c r="ADH8" s="87"/>
      <c r="ADI8" s="87"/>
      <c r="ADJ8" s="87"/>
      <c r="ADK8" s="87"/>
      <c r="ADL8" s="87"/>
      <c r="ADM8" s="87"/>
      <c r="ADN8" s="87"/>
      <c r="ADO8" s="87"/>
      <c r="ADP8" s="87"/>
      <c r="ADQ8" s="87"/>
      <c r="ADR8" s="87"/>
      <c r="ADS8" s="87"/>
      <c r="ADT8" s="87"/>
      <c r="ADU8" s="87"/>
      <c r="ADV8" s="87"/>
      <c r="ADW8" s="87"/>
      <c r="ADX8" s="87"/>
      <c r="ADY8" s="87"/>
      <c r="ADZ8" s="87"/>
      <c r="AEA8" s="87"/>
      <c r="AEB8" s="87"/>
      <c r="AEC8" s="87"/>
      <c r="AED8" s="87"/>
      <c r="AEE8" s="87"/>
      <c r="AEF8" s="87"/>
      <c r="AEG8" s="87"/>
      <c r="AEH8" s="87"/>
      <c r="AEI8" s="87"/>
      <c r="AEJ8" s="87"/>
      <c r="AEK8" s="87"/>
      <c r="AEL8" s="87"/>
      <c r="AEM8" s="87"/>
      <c r="AEN8" s="87"/>
      <c r="AEO8" s="87"/>
      <c r="AEP8" s="87"/>
      <c r="AEQ8" s="87"/>
      <c r="AER8" s="87"/>
      <c r="AES8" s="87"/>
      <c r="AET8" s="87"/>
      <c r="AEU8" s="87"/>
      <c r="AEV8" s="87"/>
      <c r="AEW8" s="87"/>
      <c r="AEX8" s="87"/>
      <c r="AEY8" s="87"/>
      <c r="AEZ8" s="87"/>
      <c r="AFA8" s="87"/>
      <c r="AFB8" s="87"/>
      <c r="AFC8" s="87"/>
      <c r="AFD8" s="87"/>
      <c r="AFE8" s="87"/>
      <c r="AFF8" s="87"/>
      <c r="AFG8" s="87"/>
      <c r="AFH8" s="87"/>
      <c r="AFI8" s="87"/>
      <c r="AFJ8" s="87"/>
      <c r="AFK8" s="87"/>
      <c r="AFL8" s="87"/>
      <c r="AFM8" s="87"/>
      <c r="AFN8" s="87"/>
      <c r="AFO8" s="87"/>
      <c r="AFP8" s="87"/>
      <c r="AFQ8" s="87"/>
      <c r="AFR8" s="87"/>
      <c r="AFS8" s="87"/>
      <c r="AFT8" s="87"/>
      <c r="AFU8" s="87"/>
      <c r="AFV8" s="87"/>
      <c r="AFW8" s="87"/>
      <c r="AFX8" s="87"/>
      <c r="AFY8" s="87"/>
      <c r="AFZ8" s="87"/>
      <c r="AGA8" s="87"/>
      <c r="AGB8" s="87"/>
      <c r="AGC8" s="87"/>
      <c r="AGD8" s="87"/>
      <c r="AGE8" s="87"/>
      <c r="AGF8" s="87"/>
      <c r="AGG8" s="87"/>
      <c r="AGH8" s="87"/>
      <c r="AGI8" s="87"/>
      <c r="AGJ8" s="87"/>
      <c r="AGK8" s="87"/>
      <c r="AGL8" s="87"/>
      <c r="AGM8" s="87"/>
      <c r="AGN8" s="87"/>
      <c r="AGO8" s="87"/>
      <c r="AGP8" s="87"/>
      <c r="AGQ8" s="87"/>
      <c r="AGR8" s="87"/>
      <c r="AGS8" s="87"/>
      <c r="AGT8" s="87"/>
      <c r="AGU8" s="87"/>
      <c r="AGV8" s="87"/>
      <c r="AGW8" s="87"/>
      <c r="AGX8" s="87"/>
      <c r="AGY8" s="87"/>
      <c r="AGZ8" s="87"/>
      <c r="AHA8" s="87"/>
      <c r="AHB8" s="87"/>
      <c r="AHC8" s="87"/>
      <c r="AHD8" s="87"/>
      <c r="AHE8" s="87"/>
      <c r="AHF8" s="87"/>
      <c r="AHG8" s="87"/>
      <c r="AHH8" s="87"/>
      <c r="AHI8" s="87"/>
      <c r="AHJ8" s="87"/>
      <c r="AHK8" s="87"/>
      <c r="AHL8" s="87"/>
      <c r="AHM8" s="87"/>
      <c r="AHN8" s="87"/>
      <c r="AHO8" s="87"/>
      <c r="AHP8" s="87"/>
      <c r="AHQ8" s="87"/>
      <c r="AHR8" s="87"/>
      <c r="AHS8" s="87"/>
      <c r="AHT8" s="87"/>
      <c r="AHU8" s="87"/>
      <c r="AHV8" s="87"/>
      <c r="AHW8" s="87"/>
      <c r="AHX8" s="87"/>
      <c r="AHY8" s="87"/>
      <c r="AHZ8" s="87"/>
      <c r="AIA8" s="87"/>
      <c r="AIB8" s="87"/>
      <c r="AIC8" s="87"/>
      <c r="AID8" s="87"/>
      <c r="AIE8" s="87"/>
      <c r="AIF8" s="87"/>
      <c r="AIG8" s="87"/>
      <c r="AIH8" s="87"/>
      <c r="AII8" s="87"/>
      <c r="AIJ8" s="87"/>
      <c r="AIK8" s="87"/>
      <c r="AIL8" s="87"/>
      <c r="AIM8" s="87"/>
      <c r="AIN8" s="87"/>
      <c r="AIO8" s="87"/>
      <c r="AIP8" s="87"/>
      <c r="AIQ8" s="87"/>
      <c r="AIR8" s="87"/>
      <c r="AIS8" s="87"/>
      <c r="AIT8" s="87"/>
      <c r="AIU8" s="87"/>
      <c r="AIV8" s="87"/>
      <c r="AIW8" s="87"/>
      <c r="AIX8" s="87"/>
      <c r="AIY8" s="87"/>
      <c r="AIZ8" s="87"/>
      <c r="AJA8" s="87"/>
      <c r="AJB8" s="87"/>
      <c r="AJC8" s="87"/>
      <c r="AJD8" s="87"/>
      <c r="AJE8" s="87"/>
      <c r="AJF8" s="87"/>
      <c r="AJG8" s="87"/>
      <c r="AJH8" s="87"/>
      <c r="AJI8" s="87"/>
      <c r="AJJ8" s="87"/>
      <c r="AJK8" s="87"/>
      <c r="AJL8" s="87"/>
      <c r="AJM8" s="87"/>
      <c r="AJN8" s="87"/>
      <c r="AJO8" s="87"/>
      <c r="AJP8" s="87"/>
      <c r="AJQ8" s="87"/>
      <c r="AJR8" s="87"/>
      <c r="AJS8" s="87"/>
      <c r="AJT8" s="87"/>
      <c r="AJU8" s="87"/>
      <c r="AJV8" s="87"/>
      <c r="AJW8" s="87"/>
      <c r="AJX8" s="87"/>
      <c r="AJY8" s="87"/>
      <c r="AJZ8" s="87"/>
      <c r="AKA8" s="87"/>
      <c r="AKB8" s="87"/>
      <c r="AKC8" s="87"/>
      <c r="AKD8" s="87"/>
      <c r="AKE8" s="87"/>
      <c r="AKF8" s="87"/>
      <c r="AKG8" s="87"/>
      <c r="AKH8" s="87"/>
      <c r="AKI8" s="87"/>
      <c r="AKJ8" s="87"/>
      <c r="AKK8" s="87"/>
      <c r="AKL8" s="87"/>
      <c r="AKM8" s="87"/>
      <c r="AKN8" s="87"/>
      <c r="AKO8" s="87"/>
      <c r="AKP8" s="87"/>
      <c r="AKQ8" s="87"/>
      <c r="AKR8" s="87"/>
      <c r="AKS8" s="87"/>
      <c r="AKT8" s="87"/>
      <c r="AKU8" s="87"/>
      <c r="AKV8" s="87"/>
      <c r="AKW8" s="87"/>
      <c r="AKX8" s="87"/>
      <c r="AKY8" s="87"/>
      <c r="AKZ8" s="87"/>
      <c r="ALA8" s="87"/>
      <c r="ALB8" s="87"/>
      <c r="ALC8" s="87"/>
      <c r="ALD8" s="87"/>
      <c r="ALE8" s="87"/>
      <c r="ALF8" s="87"/>
      <c r="ALG8" s="87"/>
      <c r="ALH8" s="87"/>
      <c r="ALI8" s="87"/>
      <c r="ALJ8" s="87"/>
      <c r="ALK8" s="87"/>
      <c r="ALL8" s="87"/>
      <c r="ALM8" s="87"/>
      <c r="ALN8" s="87"/>
      <c r="ALO8" s="87"/>
      <c r="ALP8" s="87"/>
      <c r="ALQ8" s="87"/>
      <c r="ALR8" s="87"/>
      <c r="ALS8" s="87"/>
      <c r="ALT8" s="87"/>
      <c r="ALU8" s="87"/>
      <c r="ALV8" s="87"/>
      <c r="ALW8" s="87"/>
      <c r="ALX8" s="87"/>
      <c r="ALY8" s="87"/>
      <c r="ALZ8" s="87"/>
      <c r="AMA8" s="87"/>
      <c r="AMB8" s="87"/>
      <c r="AMC8" s="87"/>
    </row>
    <row r="9" spans="1:1017">
      <c r="A9" s="90"/>
      <c r="B9" s="93" t="s">
        <v>44</v>
      </c>
      <c r="C9" s="87">
        <f t="shared" ref="C9:P9" si="240">SUM(C241,C279,C317)</f>
        <v>0</v>
      </c>
      <c r="D9" s="87">
        <f t="shared" si="240"/>
        <v>0</v>
      </c>
      <c r="E9" s="87">
        <f t="shared" si="240"/>
        <v>1617720</v>
      </c>
      <c r="F9" s="87">
        <f t="shared" si="240"/>
        <v>56674285.511999995</v>
      </c>
      <c r="G9" s="87">
        <f t="shared" si="240"/>
        <v>0</v>
      </c>
      <c r="H9" s="87">
        <f t="shared" si="240"/>
        <v>0</v>
      </c>
      <c r="I9" s="87">
        <f t="shared" si="240"/>
        <v>138350</v>
      </c>
      <c r="J9" s="87">
        <f t="shared" si="240"/>
        <v>3128650</v>
      </c>
      <c r="K9" s="87">
        <f t="shared" si="240"/>
        <v>0</v>
      </c>
      <c r="L9" s="87">
        <f t="shared" si="240"/>
        <v>0</v>
      </c>
      <c r="M9" s="87">
        <f t="shared" si="240"/>
        <v>700</v>
      </c>
      <c r="N9" s="87">
        <f t="shared" si="240"/>
        <v>14000</v>
      </c>
      <c r="O9" s="87">
        <f t="shared" si="240"/>
        <v>0</v>
      </c>
      <c r="P9" s="87">
        <f t="shared" si="240"/>
        <v>0</v>
      </c>
      <c r="Q9" s="91">
        <f>SUMIF(C12:P12,Q12,C9:P9)</f>
        <v>1756770</v>
      </c>
      <c r="R9" s="91">
        <f>SUMIF(C12:P12,R12,C9:P9)</f>
        <v>59816935.511999995</v>
      </c>
      <c r="S9" s="87">
        <f t="shared" ref="S9:AF9" si="241">SUM(S241,S279,S317)</f>
        <v>7080</v>
      </c>
      <c r="T9" s="87">
        <f t="shared" si="241"/>
        <v>868300</v>
      </c>
      <c r="U9" s="87">
        <f t="shared" si="241"/>
        <v>5040640</v>
      </c>
      <c r="V9" s="87">
        <f t="shared" si="241"/>
        <v>275695725</v>
      </c>
      <c r="W9" s="87">
        <f t="shared" si="241"/>
        <v>0</v>
      </c>
      <c r="X9" s="87">
        <f t="shared" si="241"/>
        <v>0</v>
      </c>
      <c r="Y9" s="87">
        <f t="shared" si="241"/>
        <v>2639395</v>
      </c>
      <c r="Z9" s="87">
        <f t="shared" si="241"/>
        <v>53757590</v>
      </c>
      <c r="AA9" s="87">
        <f t="shared" si="241"/>
        <v>17280</v>
      </c>
      <c r="AB9" s="87">
        <f t="shared" si="241"/>
        <v>472200</v>
      </c>
      <c r="AC9" s="87">
        <f t="shared" si="241"/>
        <v>13305</v>
      </c>
      <c r="AD9" s="87">
        <f t="shared" si="241"/>
        <v>363750</v>
      </c>
      <c r="AE9" s="87">
        <f t="shared" si="241"/>
        <v>4650</v>
      </c>
      <c r="AF9" s="87">
        <f t="shared" si="241"/>
        <v>102900</v>
      </c>
      <c r="AG9" s="92">
        <f t="shared" ref="AG9" si="242">SUMIF(S12:AF12,AG12,S9:AF9)</f>
        <v>7722350</v>
      </c>
      <c r="AH9" s="92">
        <f t="shared" ref="AH9" si="243">SUMIF(S12:AF12,AH12,S9:AF9)</f>
        <v>331260465</v>
      </c>
      <c r="AI9" s="87">
        <f t="shared" ref="AI9:AV9" si="244">SUM(AI241,AI279,AI317)</f>
        <v>0</v>
      </c>
      <c r="AJ9" s="87">
        <f t="shared" si="244"/>
        <v>0</v>
      </c>
      <c r="AK9" s="87">
        <f t="shared" si="244"/>
        <v>112800</v>
      </c>
      <c r="AL9" s="87">
        <f t="shared" si="244"/>
        <v>7332000</v>
      </c>
      <c r="AM9" s="87">
        <f t="shared" si="244"/>
        <v>0</v>
      </c>
      <c r="AN9" s="87">
        <f t="shared" si="244"/>
        <v>0</v>
      </c>
      <c r="AO9" s="87">
        <f t="shared" si="244"/>
        <v>4160200</v>
      </c>
      <c r="AP9" s="87">
        <f t="shared" si="244"/>
        <v>93506500</v>
      </c>
      <c r="AQ9" s="87">
        <f t="shared" si="244"/>
        <v>470</v>
      </c>
      <c r="AR9" s="87">
        <f t="shared" si="244"/>
        <v>11280</v>
      </c>
      <c r="AS9" s="87">
        <f t="shared" si="244"/>
        <v>0</v>
      </c>
      <c r="AT9" s="87">
        <f t="shared" si="244"/>
        <v>0</v>
      </c>
      <c r="AU9" s="87">
        <f t="shared" si="244"/>
        <v>6390</v>
      </c>
      <c r="AV9" s="87">
        <f t="shared" si="244"/>
        <v>153360</v>
      </c>
      <c r="AW9" s="92">
        <f t="shared" ref="AW9" si="245">SUMIF(AI12:AV12,AW12,AI9:AV9)</f>
        <v>4279860</v>
      </c>
      <c r="AX9" s="92">
        <f t="shared" ref="AX9" si="246">SUMIF(AI12:AV12,AX12,AI9:AV9)</f>
        <v>101003140</v>
      </c>
      <c r="AY9" s="87">
        <f t="shared" ref="AY9:BL9" si="247">SUM(AY241,AY279,AY317)</f>
        <v>0</v>
      </c>
      <c r="AZ9" s="87">
        <f t="shared" si="247"/>
        <v>0</v>
      </c>
      <c r="BA9" s="87">
        <f t="shared" si="247"/>
        <v>0</v>
      </c>
      <c r="BB9" s="87">
        <f t="shared" si="247"/>
        <v>0</v>
      </c>
      <c r="BC9" s="87">
        <f t="shared" si="247"/>
        <v>0</v>
      </c>
      <c r="BD9" s="87">
        <f t="shared" si="247"/>
        <v>0</v>
      </c>
      <c r="BE9" s="87">
        <f t="shared" si="247"/>
        <v>1059256</v>
      </c>
      <c r="BF9" s="87">
        <f t="shared" si="247"/>
        <v>21421481.5</v>
      </c>
      <c r="BG9" s="87">
        <f t="shared" si="247"/>
        <v>1303</v>
      </c>
      <c r="BH9" s="87">
        <f t="shared" si="247"/>
        <v>32575</v>
      </c>
      <c r="BI9" s="87">
        <f t="shared" si="247"/>
        <v>0</v>
      </c>
      <c r="BJ9" s="87">
        <f t="shared" si="247"/>
        <v>0</v>
      </c>
      <c r="BK9" s="87">
        <f t="shared" si="247"/>
        <v>3263</v>
      </c>
      <c r="BL9" s="87">
        <f t="shared" si="247"/>
        <v>55040</v>
      </c>
      <c r="BM9" s="92">
        <f t="shared" ref="BM9" si="248">SUMIF(AY12:BL12,BM12,AY9:BL9)</f>
        <v>1063822</v>
      </c>
      <c r="BN9" s="92">
        <f t="shared" ref="BN9" si="249">SUMIF(AY12:BL12,BN12,AY9:BL9)</f>
        <v>21509096.5</v>
      </c>
      <c r="BO9" s="87">
        <f t="shared" ref="BO9:CB9" si="250">SUM(BO241,BO279,BO317)</f>
        <v>0</v>
      </c>
      <c r="BP9" s="87">
        <f t="shared" si="250"/>
        <v>0</v>
      </c>
      <c r="BQ9" s="87">
        <f t="shared" si="250"/>
        <v>0</v>
      </c>
      <c r="BR9" s="87">
        <f t="shared" si="250"/>
        <v>0</v>
      </c>
      <c r="BS9" s="87">
        <f t="shared" si="250"/>
        <v>0</v>
      </c>
      <c r="BT9" s="87">
        <f t="shared" si="250"/>
        <v>0</v>
      </c>
      <c r="BU9" s="87">
        <f t="shared" si="250"/>
        <v>202717</v>
      </c>
      <c r="BV9" s="87">
        <f t="shared" si="250"/>
        <v>4353094</v>
      </c>
      <c r="BW9" s="87">
        <f t="shared" si="250"/>
        <v>0</v>
      </c>
      <c r="BX9" s="87">
        <f t="shared" si="250"/>
        <v>0</v>
      </c>
      <c r="BY9" s="87">
        <f t="shared" si="250"/>
        <v>0</v>
      </c>
      <c r="BZ9" s="87">
        <f t="shared" si="250"/>
        <v>0</v>
      </c>
      <c r="CA9" s="87">
        <f t="shared" si="250"/>
        <v>0</v>
      </c>
      <c r="CB9" s="87">
        <f t="shared" si="250"/>
        <v>0</v>
      </c>
      <c r="CC9" s="92">
        <f t="shared" ref="CC9" si="251">SUMIF(BO12:CB12,CC12,BO9:CB9)</f>
        <v>202717</v>
      </c>
      <c r="CD9" s="92">
        <f t="shared" ref="CD9" si="252">SUMIF(BO12:CB12,CD12,BO9:CB9)</f>
        <v>4353094</v>
      </c>
      <c r="CE9" s="87">
        <f t="shared" ref="CE9:CR9" si="253">SUM(CE241,CE279,CE317)</f>
        <v>4684302</v>
      </c>
      <c r="CF9" s="87">
        <f t="shared" si="253"/>
        <v>18737206.061000001</v>
      </c>
      <c r="CG9" s="87">
        <f t="shared" si="253"/>
        <v>20040735.342798188</v>
      </c>
      <c r="CH9" s="87">
        <f t="shared" si="253"/>
        <v>588780871.63413942</v>
      </c>
      <c r="CI9" s="87">
        <f t="shared" si="253"/>
        <v>0</v>
      </c>
      <c r="CJ9" s="87">
        <f t="shared" si="253"/>
        <v>0</v>
      </c>
      <c r="CK9" s="87">
        <f t="shared" si="253"/>
        <v>15276247</v>
      </c>
      <c r="CL9" s="87">
        <f t="shared" si="253"/>
        <v>248916922.27640975</v>
      </c>
      <c r="CM9" s="87">
        <f t="shared" si="253"/>
        <v>0</v>
      </c>
      <c r="CN9" s="87">
        <f t="shared" si="253"/>
        <v>0</v>
      </c>
      <c r="CO9" s="87">
        <f t="shared" si="253"/>
        <v>0</v>
      </c>
      <c r="CP9" s="87">
        <f t="shared" si="253"/>
        <v>0</v>
      </c>
      <c r="CQ9" s="87">
        <f t="shared" si="253"/>
        <v>0</v>
      </c>
      <c r="CR9" s="87">
        <f t="shared" si="253"/>
        <v>0</v>
      </c>
      <c r="CS9" s="92">
        <f t="shared" ref="CS9" si="254">SUMIF(CE12:CR12,CS12,CE9:CR9)</f>
        <v>40001284.342798188</v>
      </c>
      <c r="CT9" s="92">
        <f t="shared" ref="CT9" si="255">SUMIF(CE12:CR12,CT12,CE9:CR9)</f>
        <v>856434999.97154915</v>
      </c>
      <c r="CU9" s="87">
        <f t="shared" ref="CU9:DH9" si="256">SUM(CU241,CU279,CU317)</f>
        <v>0</v>
      </c>
      <c r="CV9" s="87">
        <f t="shared" si="256"/>
        <v>0</v>
      </c>
      <c r="CW9" s="87">
        <f t="shared" si="256"/>
        <v>1361309.9366494976</v>
      </c>
      <c r="CX9" s="87">
        <f t="shared" si="256"/>
        <v>78790058.811000004</v>
      </c>
      <c r="CY9" s="87">
        <f t="shared" si="256"/>
        <v>0</v>
      </c>
      <c r="CZ9" s="87">
        <f t="shared" si="256"/>
        <v>0</v>
      </c>
      <c r="DA9" s="87">
        <f t="shared" si="256"/>
        <v>3021985</v>
      </c>
      <c r="DB9" s="87">
        <f t="shared" si="256"/>
        <v>66662525.001000002</v>
      </c>
      <c r="DC9" s="87">
        <f t="shared" si="256"/>
        <v>5545.0003660000002</v>
      </c>
      <c r="DD9" s="87">
        <f t="shared" si="256"/>
        <v>123910.00899999999</v>
      </c>
      <c r="DE9" s="87">
        <f t="shared" si="256"/>
        <v>0</v>
      </c>
      <c r="DF9" s="87">
        <f t="shared" si="256"/>
        <v>0</v>
      </c>
      <c r="DG9" s="87">
        <f t="shared" si="256"/>
        <v>0</v>
      </c>
      <c r="DH9" s="87">
        <f t="shared" si="256"/>
        <v>0</v>
      </c>
      <c r="DI9" s="92">
        <f t="shared" ref="DI9" si="257">SUMIF(CU12:DH12,DI12,CU9:DH9)</f>
        <v>4388839.9370154981</v>
      </c>
      <c r="DJ9" s="92">
        <f t="shared" ref="DJ9" si="258">SUMIF(CU12:DH12,DJ12,CU9:DH9)</f>
        <v>145576493.82100001</v>
      </c>
      <c r="DK9" s="87">
        <f t="shared" ref="DK9:DX9" si="259">SUM(DK241,DK279,DK317)</f>
        <v>0</v>
      </c>
      <c r="DL9" s="87">
        <f t="shared" si="259"/>
        <v>0</v>
      </c>
      <c r="DM9" s="87">
        <f t="shared" si="259"/>
        <v>0</v>
      </c>
      <c r="DN9" s="87">
        <f t="shared" si="259"/>
        <v>0</v>
      </c>
      <c r="DO9" s="87">
        <f t="shared" si="259"/>
        <v>0</v>
      </c>
      <c r="DP9" s="87">
        <f t="shared" si="259"/>
        <v>0</v>
      </c>
      <c r="DQ9" s="87">
        <f t="shared" si="259"/>
        <v>3551900</v>
      </c>
      <c r="DR9" s="87">
        <f t="shared" si="259"/>
        <v>63831100</v>
      </c>
      <c r="DS9" s="87">
        <f t="shared" si="259"/>
        <v>0</v>
      </c>
      <c r="DT9" s="87">
        <f t="shared" si="259"/>
        <v>0</v>
      </c>
      <c r="DU9" s="87">
        <f t="shared" si="259"/>
        <v>0</v>
      </c>
      <c r="DV9" s="87">
        <f t="shared" si="259"/>
        <v>0</v>
      </c>
      <c r="DW9" s="87">
        <f t="shared" si="259"/>
        <v>0</v>
      </c>
      <c r="DX9" s="87">
        <f t="shared" si="259"/>
        <v>0</v>
      </c>
      <c r="DY9" s="92">
        <f t="shared" ref="DY9" si="260">SUMIF(DK12:DX12,DY12,DK9:DX9)</f>
        <v>3551900</v>
      </c>
      <c r="DZ9" s="92">
        <f t="shared" ref="DZ9" si="261">SUMIF(DK12:DX12,DZ12,DK9:DX9)</f>
        <v>63831100</v>
      </c>
      <c r="EA9" s="87">
        <f t="shared" ref="EA9:EN9" si="262">SUM(EA241,EA279,EA317)</f>
        <v>0</v>
      </c>
      <c r="EB9" s="87">
        <f t="shared" si="262"/>
        <v>0</v>
      </c>
      <c r="EC9" s="87">
        <f t="shared" si="262"/>
        <v>0</v>
      </c>
      <c r="ED9" s="87">
        <f t="shared" si="262"/>
        <v>0</v>
      </c>
      <c r="EE9" s="87">
        <f t="shared" si="262"/>
        <v>0</v>
      </c>
      <c r="EF9" s="87">
        <f t="shared" si="262"/>
        <v>0</v>
      </c>
      <c r="EG9" s="87">
        <f t="shared" si="262"/>
        <v>6098785</v>
      </c>
      <c r="EH9" s="87">
        <f t="shared" si="262"/>
        <v>114743815</v>
      </c>
      <c r="EI9" s="87">
        <f t="shared" si="262"/>
        <v>0</v>
      </c>
      <c r="EJ9" s="87">
        <f t="shared" si="262"/>
        <v>0</v>
      </c>
      <c r="EK9" s="87">
        <f t="shared" si="262"/>
        <v>0</v>
      </c>
      <c r="EL9" s="87">
        <f t="shared" si="262"/>
        <v>0</v>
      </c>
      <c r="EM9" s="87">
        <f t="shared" si="262"/>
        <v>0</v>
      </c>
      <c r="EN9" s="87">
        <f t="shared" si="262"/>
        <v>0</v>
      </c>
      <c r="EO9" s="92">
        <f t="shared" ref="EO9" si="263">SUMIF(EA12:EN12,EO12,EA9:EN9)</f>
        <v>6098785</v>
      </c>
      <c r="EP9" s="92">
        <f t="shared" ref="EP9" si="264">SUMIF(EA12:EN12,EP12,EA9:EN9)</f>
        <v>114743815</v>
      </c>
      <c r="EQ9" s="87">
        <f t="shared" ref="EQ9:FD9" si="265">SUM(EQ241,EQ279,EQ317)</f>
        <v>0</v>
      </c>
      <c r="ER9" s="87">
        <f t="shared" si="265"/>
        <v>0</v>
      </c>
      <c r="ES9" s="87">
        <f t="shared" si="265"/>
        <v>963980</v>
      </c>
      <c r="ET9" s="87">
        <f t="shared" si="265"/>
        <v>53607654</v>
      </c>
      <c r="EU9" s="87">
        <f t="shared" si="265"/>
        <v>0</v>
      </c>
      <c r="EV9" s="87">
        <f t="shared" si="265"/>
        <v>0</v>
      </c>
      <c r="EW9" s="87">
        <f t="shared" si="265"/>
        <v>2039032</v>
      </c>
      <c r="EX9" s="87">
        <f t="shared" si="265"/>
        <v>52820908</v>
      </c>
      <c r="EY9" s="87">
        <f t="shared" si="265"/>
        <v>0</v>
      </c>
      <c r="EZ9" s="87">
        <f t="shared" si="265"/>
        <v>0</v>
      </c>
      <c r="FA9" s="87">
        <f t="shared" si="265"/>
        <v>11104</v>
      </c>
      <c r="FB9" s="87">
        <f t="shared" si="265"/>
        <v>205424</v>
      </c>
      <c r="FC9" s="87">
        <f t="shared" si="265"/>
        <v>1197</v>
      </c>
      <c r="FD9" s="87">
        <f t="shared" si="265"/>
        <v>25136</v>
      </c>
      <c r="FE9" s="92">
        <f t="shared" ref="FE9" si="266">SUMIF(EQ12:FD12,FE12,EQ9:FD9)</f>
        <v>3015313</v>
      </c>
      <c r="FF9" s="92">
        <f t="shared" ref="FF9" si="267">SUMIF(EQ12:FD12,FF12,EQ9:FD9)</f>
        <v>106659122</v>
      </c>
      <c r="FG9" s="87">
        <f t="shared" ref="FG9:FT9" si="268">SUM(FG241,FG279,FG317)</f>
        <v>0</v>
      </c>
      <c r="FH9" s="87">
        <f t="shared" si="268"/>
        <v>0</v>
      </c>
      <c r="FI9" s="87">
        <f t="shared" si="268"/>
        <v>360000</v>
      </c>
      <c r="FJ9" s="87">
        <f t="shared" si="268"/>
        <v>21600000</v>
      </c>
      <c r="FK9" s="87">
        <f t="shared" si="268"/>
        <v>0</v>
      </c>
      <c r="FL9" s="87">
        <f t="shared" si="268"/>
        <v>0</v>
      </c>
      <c r="FM9" s="87">
        <f t="shared" si="268"/>
        <v>680268</v>
      </c>
      <c r="FN9" s="87">
        <f t="shared" si="268"/>
        <v>17075895</v>
      </c>
      <c r="FO9" s="87">
        <f t="shared" si="268"/>
        <v>0</v>
      </c>
      <c r="FP9" s="87">
        <f t="shared" si="268"/>
        <v>0</v>
      </c>
      <c r="FQ9" s="87">
        <f t="shared" si="268"/>
        <v>0</v>
      </c>
      <c r="FR9" s="87">
        <f t="shared" si="268"/>
        <v>0</v>
      </c>
      <c r="FS9" s="87">
        <f t="shared" si="268"/>
        <v>210625</v>
      </c>
      <c r="FT9" s="87">
        <f t="shared" si="268"/>
        <v>5897500</v>
      </c>
      <c r="FU9" s="92">
        <f t="shared" ref="FU9" si="269">SUMIF(FG12:FT12,FU12,FG9:FT9)</f>
        <v>1250893</v>
      </c>
      <c r="FV9" s="92">
        <f t="shared" ref="FV9" si="270">SUMIF(FG12:FT12,FV12,FG9:FT9)</f>
        <v>44573395</v>
      </c>
      <c r="FW9" s="87">
        <f t="shared" ref="FW9:GJ9" si="271">SUM(FW241,FW279,FW317)</f>
        <v>0</v>
      </c>
      <c r="FX9" s="87">
        <f t="shared" si="271"/>
        <v>0</v>
      </c>
      <c r="FY9" s="87">
        <f t="shared" si="271"/>
        <v>0</v>
      </c>
      <c r="FZ9" s="87">
        <f t="shared" si="271"/>
        <v>0</v>
      </c>
      <c r="GA9" s="87">
        <f t="shared" si="271"/>
        <v>0</v>
      </c>
      <c r="GB9" s="87">
        <f t="shared" si="271"/>
        <v>0</v>
      </c>
      <c r="GC9" s="87">
        <f t="shared" si="271"/>
        <v>881450</v>
      </c>
      <c r="GD9" s="87">
        <f t="shared" si="271"/>
        <v>17667500</v>
      </c>
      <c r="GE9" s="87">
        <f t="shared" si="271"/>
        <v>0</v>
      </c>
      <c r="GF9" s="87">
        <f t="shared" si="271"/>
        <v>0</v>
      </c>
      <c r="GG9" s="87">
        <f t="shared" si="271"/>
        <v>0</v>
      </c>
      <c r="GH9" s="87">
        <f t="shared" si="271"/>
        <v>0</v>
      </c>
      <c r="GI9" s="87">
        <f t="shared" si="271"/>
        <v>0</v>
      </c>
      <c r="GJ9" s="87">
        <f t="shared" si="271"/>
        <v>0</v>
      </c>
      <c r="GK9" s="92">
        <f t="shared" ref="GK9" si="272">SUMIF(FW12:GJ12,GK12,FW9:GJ9)</f>
        <v>881450</v>
      </c>
      <c r="GL9" s="92">
        <f t="shared" ref="GL9" si="273">SUMIF(FW12:GJ12,GL12,FW9:GJ9)</f>
        <v>17667500</v>
      </c>
      <c r="GM9" s="87">
        <f t="shared" ref="GM9:GZ9" si="274">SUM(GM241,GM279,GM317)</f>
        <v>0</v>
      </c>
      <c r="GN9" s="87">
        <f t="shared" si="274"/>
        <v>0</v>
      </c>
      <c r="GO9" s="87">
        <f t="shared" si="274"/>
        <v>0</v>
      </c>
      <c r="GP9" s="87">
        <f t="shared" si="274"/>
        <v>0</v>
      </c>
      <c r="GQ9" s="87">
        <f t="shared" si="274"/>
        <v>0</v>
      </c>
      <c r="GR9" s="87">
        <f t="shared" si="274"/>
        <v>0</v>
      </c>
      <c r="GS9" s="87">
        <f t="shared" si="274"/>
        <v>430600</v>
      </c>
      <c r="GT9" s="87">
        <f t="shared" si="274"/>
        <v>8337450</v>
      </c>
      <c r="GU9" s="87">
        <f t="shared" si="274"/>
        <v>0</v>
      </c>
      <c r="GV9" s="87">
        <f t="shared" si="274"/>
        <v>0</v>
      </c>
      <c r="GW9" s="87">
        <f t="shared" si="274"/>
        <v>0</v>
      </c>
      <c r="GX9" s="87">
        <f t="shared" si="274"/>
        <v>0</v>
      </c>
      <c r="GY9" s="87">
        <f t="shared" si="274"/>
        <v>390</v>
      </c>
      <c r="GZ9" s="87">
        <f t="shared" si="274"/>
        <v>11135</v>
      </c>
      <c r="HA9" s="92">
        <f t="shared" ref="HA9" si="275">SUMIF(GM12:GZ12,HA12,GM9:GZ9)</f>
        <v>430990</v>
      </c>
      <c r="HB9" s="92">
        <f t="shared" ref="HB9" si="276">SUMIF(GM12:GZ12,HB12,GM9:GZ9)</f>
        <v>8348585</v>
      </c>
      <c r="HC9" s="87">
        <f t="shared" ref="HC9:HP9" si="277">SUM(HC241,HC279,HC317)</f>
        <v>0</v>
      </c>
      <c r="HD9" s="87">
        <f t="shared" si="277"/>
        <v>0</v>
      </c>
      <c r="HE9" s="87">
        <f t="shared" si="277"/>
        <v>425000</v>
      </c>
      <c r="HF9" s="87">
        <f t="shared" si="277"/>
        <v>29750000</v>
      </c>
      <c r="HG9" s="87">
        <f t="shared" si="277"/>
        <v>0</v>
      </c>
      <c r="HH9" s="87">
        <f t="shared" si="277"/>
        <v>0</v>
      </c>
      <c r="HI9" s="87">
        <f t="shared" si="277"/>
        <v>1682000</v>
      </c>
      <c r="HJ9" s="87">
        <f t="shared" si="277"/>
        <v>30770000</v>
      </c>
      <c r="HK9" s="87">
        <f t="shared" si="277"/>
        <v>0</v>
      </c>
      <c r="HL9" s="87">
        <f t="shared" si="277"/>
        <v>0</v>
      </c>
      <c r="HM9" s="87">
        <f t="shared" si="277"/>
        <v>0</v>
      </c>
      <c r="HN9" s="87">
        <f t="shared" si="277"/>
        <v>0</v>
      </c>
      <c r="HO9" s="87">
        <f t="shared" si="277"/>
        <v>310000</v>
      </c>
      <c r="HP9" s="87">
        <f t="shared" si="277"/>
        <v>6200000</v>
      </c>
      <c r="HQ9" s="92">
        <f t="shared" ref="HQ9" si="278">SUMIF(HC12:HP12,HQ12,HC9:HP9)</f>
        <v>2417000</v>
      </c>
      <c r="HR9" s="92">
        <f t="shared" ref="HR9" si="279">SUMIF(HC12:HP12,HR12,HC9:HP9)</f>
        <v>66720000</v>
      </c>
      <c r="HS9" s="87">
        <f t="shared" ref="HS9:IF9" si="280">SUM(HS241,HS279,HS317)</f>
        <v>0</v>
      </c>
      <c r="HT9" s="87">
        <f t="shared" si="280"/>
        <v>0</v>
      </c>
      <c r="HU9" s="87">
        <f t="shared" si="280"/>
        <v>0</v>
      </c>
      <c r="HV9" s="87">
        <f t="shared" si="280"/>
        <v>0</v>
      </c>
      <c r="HW9" s="87">
        <f t="shared" si="280"/>
        <v>0</v>
      </c>
      <c r="HX9" s="87">
        <f t="shared" si="280"/>
        <v>0</v>
      </c>
      <c r="HY9" s="87">
        <f t="shared" si="280"/>
        <v>446698</v>
      </c>
      <c r="HZ9" s="87">
        <f t="shared" si="280"/>
        <v>8461614</v>
      </c>
      <c r="IA9" s="87">
        <f t="shared" si="280"/>
        <v>0</v>
      </c>
      <c r="IB9" s="87">
        <f t="shared" si="280"/>
        <v>0</v>
      </c>
      <c r="IC9" s="87">
        <f t="shared" si="280"/>
        <v>800</v>
      </c>
      <c r="ID9" s="87">
        <f t="shared" si="280"/>
        <v>22400</v>
      </c>
      <c r="IE9" s="87">
        <f t="shared" si="280"/>
        <v>0</v>
      </c>
      <c r="IF9" s="87">
        <f t="shared" si="280"/>
        <v>0</v>
      </c>
      <c r="IG9" s="92">
        <f t="shared" ref="IG9" si="281">SUMIF(HS12:IF12,IG12,HS9:IF9)</f>
        <v>447498</v>
      </c>
      <c r="IH9" s="92">
        <f t="shared" ref="IH9" si="282">SUMIF(HS12:IF12,IH12,HS9:IF9)</f>
        <v>8484014</v>
      </c>
      <c r="II9" s="87">
        <f t="shared" ref="II9:IV9" si="283">SUM(II241,II279,II317)</f>
        <v>0</v>
      </c>
      <c r="IJ9" s="87">
        <f t="shared" si="283"/>
        <v>0</v>
      </c>
      <c r="IK9" s="87">
        <f t="shared" si="283"/>
        <v>0</v>
      </c>
      <c r="IL9" s="87">
        <f t="shared" si="283"/>
        <v>0</v>
      </c>
      <c r="IM9" s="87">
        <f t="shared" si="283"/>
        <v>0</v>
      </c>
      <c r="IN9" s="87">
        <f t="shared" si="283"/>
        <v>0</v>
      </c>
      <c r="IO9" s="87">
        <f t="shared" si="283"/>
        <v>2520000</v>
      </c>
      <c r="IP9" s="87">
        <f t="shared" si="283"/>
        <v>48442539</v>
      </c>
      <c r="IQ9" s="87">
        <f t="shared" si="283"/>
        <v>0</v>
      </c>
      <c r="IR9" s="87">
        <f t="shared" si="283"/>
        <v>0</v>
      </c>
      <c r="IS9" s="87">
        <f t="shared" si="283"/>
        <v>0</v>
      </c>
      <c r="IT9" s="87">
        <f t="shared" si="283"/>
        <v>0</v>
      </c>
      <c r="IU9" s="87">
        <f t="shared" si="283"/>
        <v>0</v>
      </c>
      <c r="IV9" s="87">
        <f t="shared" si="283"/>
        <v>0</v>
      </c>
      <c r="IW9" s="92">
        <f t="shared" ref="IW9" si="284">SUMIF(II12:IV12,IW12,II9:IV9)</f>
        <v>2520000</v>
      </c>
      <c r="IX9" s="92">
        <f t="shared" ref="IX9" si="285">SUMIF(II12:IV12,IX12,II9:IV9)</f>
        <v>48442539</v>
      </c>
      <c r="IY9" s="87">
        <f t="shared" ref="IY9:JL9" si="286">SUM(IY241,IY279,IY317)</f>
        <v>0</v>
      </c>
      <c r="IZ9" s="87">
        <f t="shared" si="286"/>
        <v>0</v>
      </c>
      <c r="JA9" s="87">
        <f t="shared" si="286"/>
        <v>0</v>
      </c>
      <c r="JB9" s="87">
        <f t="shared" si="286"/>
        <v>0</v>
      </c>
      <c r="JC9" s="87">
        <f t="shared" si="286"/>
        <v>0</v>
      </c>
      <c r="JD9" s="87">
        <f t="shared" si="286"/>
        <v>0</v>
      </c>
      <c r="JE9" s="87">
        <f t="shared" si="286"/>
        <v>1113152</v>
      </c>
      <c r="JF9" s="87">
        <f t="shared" si="286"/>
        <v>21152144</v>
      </c>
      <c r="JG9" s="87">
        <f t="shared" si="286"/>
        <v>0</v>
      </c>
      <c r="JH9" s="87">
        <f t="shared" si="286"/>
        <v>0</v>
      </c>
      <c r="JI9" s="87">
        <f t="shared" si="286"/>
        <v>0</v>
      </c>
      <c r="JJ9" s="87">
        <f t="shared" si="286"/>
        <v>0</v>
      </c>
      <c r="JK9" s="87">
        <f t="shared" si="286"/>
        <v>27860</v>
      </c>
      <c r="JL9" s="87">
        <f t="shared" si="286"/>
        <v>521570</v>
      </c>
      <c r="JM9" s="92">
        <f t="shared" ref="JM9" si="287">SUMIF(IY12:JL12,JM12,IY9:JL9)</f>
        <v>1141012</v>
      </c>
      <c r="JN9" s="92">
        <f t="shared" ref="JN9" si="288">SUMIF(IY12:JL12,JN12,IY9:JL9)</f>
        <v>21673714</v>
      </c>
      <c r="JO9" s="87">
        <f t="shared" ref="JO9:KB9" si="289">SUM(JO241,JO279,JO317)</f>
        <v>0</v>
      </c>
      <c r="JP9" s="87">
        <f t="shared" si="289"/>
        <v>0</v>
      </c>
      <c r="JQ9" s="87">
        <f t="shared" si="289"/>
        <v>496821</v>
      </c>
      <c r="JR9" s="87">
        <f t="shared" si="289"/>
        <v>39770680</v>
      </c>
      <c r="JS9" s="87">
        <f t="shared" si="289"/>
        <v>0</v>
      </c>
      <c r="JT9" s="87">
        <f t="shared" si="289"/>
        <v>0</v>
      </c>
      <c r="JU9" s="87">
        <f t="shared" si="289"/>
        <v>245090</v>
      </c>
      <c r="JV9" s="87">
        <f t="shared" si="289"/>
        <v>6352654</v>
      </c>
      <c r="JW9" s="87">
        <f t="shared" si="289"/>
        <v>0</v>
      </c>
      <c r="JX9" s="87">
        <f t="shared" si="289"/>
        <v>0</v>
      </c>
      <c r="JY9" s="87">
        <f t="shared" si="289"/>
        <v>0</v>
      </c>
      <c r="JZ9" s="87">
        <f t="shared" si="289"/>
        <v>0</v>
      </c>
      <c r="KA9" s="87">
        <f t="shared" si="289"/>
        <v>0</v>
      </c>
      <c r="KB9" s="87">
        <f t="shared" si="289"/>
        <v>0</v>
      </c>
      <c r="KC9" s="92">
        <f t="shared" ref="KC9" si="290">SUMIF(JO12:KB12,KC12,JO9:KB9)</f>
        <v>741911</v>
      </c>
      <c r="KD9" s="92">
        <f t="shared" ref="KD9" si="291">SUMIF(JO12:KB12,KD12,JO9:KB9)</f>
        <v>46123334</v>
      </c>
      <c r="KE9" s="87">
        <f t="shared" ref="KE9:KR9" si="292">SUM(KE241,KE279,KE317)</f>
        <v>0</v>
      </c>
      <c r="KF9" s="87">
        <f t="shared" si="292"/>
        <v>0</v>
      </c>
      <c r="KG9" s="87">
        <f t="shared" si="292"/>
        <v>111994</v>
      </c>
      <c r="KH9" s="87">
        <f t="shared" si="292"/>
        <v>7175374</v>
      </c>
      <c r="KI9" s="87">
        <f t="shared" si="292"/>
        <v>0</v>
      </c>
      <c r="KJ9" s="87">
        <f t="shared" si="292"/>
        <v>0</v>
      </c>
      <c r="KK9" s="87">
        <f t="shared" si="292"/>
        <v>178016</v>
      </c>
      <c r="KL9" s="87">
        <f t="shared" si="292"/>
        <v>3576265</v>
      </c>
      <c r="KM9" s="87">
        <f t="shared" si="292"/>
        <v>0</v>
      </c>
      <c r="KN9" s="87">
        <f t="shared" si="292"/>
        <v>0</v>
      </c>
      <c r="KO9" s="87">
        <f t="shared" si="292"/>
        <v>0</v>
      </c>
      <c r="KP9" s="87">
        <f t="shared" si="292"/>
        <v>0</v>
      </c>
      <c r="KQ9" s="87">
        <f t="shared" si="292"/>
        <v>0</v>
      </c>
      <c r="KR9" s="87">
        <f t="shared" si="292"/>
        <v>0</v>
      </c>
      <c r="KS9" s="92">
        <f t="shared" ref="KS9" si="293">SUMIF(KE12:KR12,KS12,KE9:KR9)</f>
        <v>290010</v>
      </c>
      <c r="KT9" s="92">
        <f t="shared" ref="KT9" si="294">SUMIF(KE12:KR12,KT12,KE9:KR9)</f>
        <v>10751639</v>
      </c>
      <c r="KU9" s="87">
        <f t="shared" ref="KU9:LH9" si="295">SUM(KU241,KU279,KU317)</f>
        <v>0</v>
      </c>
      <c r="KV9" s="87">
        <f t="shared" si="295"/>
        <v>0</v>
      </c>
      <c r="KW9" s="87">
        <f t="shared" si="295"/>
        <v>2969482.66</v>
      </c>
      <c r="KX9" s="87">
        <f t="shared" si="295"/>
        <v>39055107</v>
      </c>
      <c r="KY9" s="87">
        <f t="shared" si="295"/>
        <v>0</v>
      </c>
      <c r="KZ9" s="87">
        <f t="shared" si="295"/>
        <v>0</v>
      </c>
      <c r="LA9" s="87">
        <f t="shared" si="295"/>
        <v>3877398.49</v>
      </c>
      <c r="LB9" s="87">
        <f t="shared" si="295"/>
        <v>70139968</v>
      </c>
      <c r="LC9" s="87">
        <f t="shared" si="295"/>
        <v>0</v>
      </c>
      <c r="LD9" s="87">
        <f t="shared" si="295"/>
        <v>0</v>
      </c>
      <c r="LE9" s="87">
        <f t="shared" si="295"/>
        <v>0</v>
      </c>
      <c r="LF9" s="87">
        <f t="shared" si="295"/>
        <v>0</v>
      </c>
      <c r="LG9" s="87">
        <f t="shared" si="295"/>
        <v>33438.239999999998</v>
      </c>
      <c r="LH9" s="87">
        <f t="shared" si="295"/>
        <v>785820</v>
      </c>
      <c r="LI9" s="92">
        <f t="shared" ref="LI9" si="296">SUMIF(KU12:LH12,LI12,KU9:LH9)</f>
        <v>6880319.3900000006</v>
      </c>
      <c r="LJ9" s="92">
        <f t="shared" ref="LJ9" si="297">SUMIF(KU12:LH12,LJ12,KU9:LH9)</f>
        <v>109980895</v>
      </c>
      <c r="LK9" s="87">
        <f t="shared" ref="LK9:LX9" si="298">SUM(LK241,LK279,LK317)</f>
        <v>0</v>
      </c>
      <c r="LL9" s="87">
        <f t="shared" si="298"/>
        <v>0</v>
      </c>
      <c r="LM9" s="87">
        <f t="shared" si="298"/>
        <v>0</v>
      </c>
      <c r="LN9" s="87">
        <f t="shared" si="298"/>
        <v>0</v>
      </c>
      <c r="LO9" s="87">
        <f t="shared" si="298"/>
        <v>0</v>
      </c>
      <c r="LP9" s="87">
        <f t="shared" si="298"/>
        <v>0</v>
      </c>
      <c r="LQ9" s="87">
        <f t="shared" si="298"/>
        <v>513845</v>
      </c>
      <c r="LR9" s="87">
        <f t="shared" si="298"/>
        <v>10407826</v>
      </c>
      <c r="LS9" s="87">
        <f t="shared" si="298"/>
        <v>0</v>
      </c>
      <c r="LT9" s="87">
        <f t="shared" si="298"/>
        <v>0</v>
      </c>
      <c r="LU9" s="87">
        <f t="shared" si="298"/>
        <v>0</v>
      </c>
      <c r="LV9" s="87">
        <f t="shared" si="298"/>
        <v>0</v>
      </c>
      <c r="LW9" s="87">
        <f t="shared" si="298"/>
        <v>2731</v>
      </c>
      <c r="LX9" s="87">
        <f t="shared" si="298"/>
        <v>87392</v>
      </c>
      <c r="LY9" s="92">
        <f t="shared" ref="LY9" si="299">SUMIF(LK12:LX12,LY12,LK9:LX9)</f>
        <v>516576</v>
      </c>
      <c r="LZ9" s="92">
        <f t="shared" ref="LZ9" si="300">SUMIF(LK12:LX12,LZ12,LK9:LX9)</f>
        <v>10495218</v>
      </c>
      <c r="MA9" s="87">
        <f t="shared" ref="MA9:MN9" si="301">SUM(MA241,MA279,MA317)</f>
        <v>88650</v>
      </c>
      <c r="MB9" s="87">
        <f t="shared" si="301"/>
        <v>7535250</v>
      </c>
      <c r="MC9" s="87">
        <f t="shared" si="301"/>
        <v>3716888</v>
      </c>
      <c r="MD9" s="87">
        <f t="shared" si="301"/>
        <v>175824930</v>
      </c>
      <c r="ME9" s="87">
        <f t="shared" si="301"/>
        <v>0</v>
      </c>
      <c r="MF9" s="87">
        <f t="shared" si="301"/>
        <v>0</v>
      </c>
      <c r="MG9" s="87">
        <f t="shared" si="301"/>
        <v>216960</v>
      </c>
      <c r="MH9" s="87">
        <f t="shared" si="301"/>
        <v>4013945</v>
      </c>
      <c r="MI9" s="87">
        <f t="shared" si="301"/>
        <v>0</v>
      </c>
      <c r="MJ9" s="87">
        <f t="shared" si="301"/>
        <v>0</v>
      </c>
      <c r="MK9" s="87">
        <f t="shared" si="301"/>
        <v>0</v>
      </c>
      <c r="ML9" s="87">
        <f t="shared" si="301"/>
        <v>0</v>
      </c>
      <c r="MM9" s="87">
        <f t="shared" si="301"/>
        <v>4710</v>
      </c>
      <c r="MN9" s="87">
        <f t="shared" si="301"/>
        <v>84780</v>
      </c>
      <c r="MO9" s="92">
        <f t="shared" ref="MO9" si="302">SUMIF(MA12:MN12,MO12,MA9:MN9)</f>
        <v>4027208</v>
      </c>
      <c r="MP9" s="92">
        <f t="shared" ref="MP9" si="303">SUMIF(MA12:MN12,MP12,MA9:MN9)</f>
        <v>187458905</v>
      </c>
      <c r="MQ9" s="87">
        <f t="shared" ref="MQ9:ND9" si="304">SUM(MQ241,MQ279,MQ317)</f>
        <v>0</v>
      </c>
      <c r="MR9" s="87">
        <f t="shared" si="304"/>
        <v>0</v>
      </c>
      <c r="MS9" s="87">
        <f t="shared" si="304"/>
        <v>96370</v>
      </c>
      <c r="MT9" s="87">
        <f t="shared" si="304"/>
        <v>4067600</v>
      </c>
      <c r="MU9" s="87">
        <f t="shared" si="304"/>
        <v>0</v>
      </c>
      <c r="MV9" s="87">
        <f t="shared" si="304"/>
        <v>0</v>
      </c>
      <c r="MW9" s="87">
        <f t="shared" si="304"/>
        <v>51000</v>
      </c>
      <c r="MX9" s="87">
        <f t="shared" si="304"/>
        <v>1173000</v>
      </c>
      <c r="MY9" s="87">
        <f t="shared" si="304"/>
        <v>0</v>
      </c>
      <c r="MZ9" s="87">
        <f t="shared" si="304"/>
        <v>0</v>
      </c>
      <c r="NA9" s="87">
        <f t="shared" si="304"/>
        <v>0</v>
      </c>
      <c r="NB9" s="87">
        <f t="shared" si="304"/>
        <v>0</v>
      </c>
      <c r="NC9" s="87">
        <f t="shared" si="304"/>
        <v>0</v>
      </c>
      <c r="ND9" s="87">
        <f t="shared" si="304"/>
        <v>0</v>
      </c>
      <c r="NE9" s="92">
        <f t="shared" ref="NE9" si="305">SUMIF(MQ12:ND12,NE12,MQ9:ND9)</f>
        <v>147370</v>
      </c>
      <c r="NF9" s="92">
        <f t="shared" ref="NF9" si="306">SUMIF(MQ12:ND12,NF12,MQ9:ND9)</f>
        <v>5240600</v>
      </c>
      <c r="NG9" s="87">
        <f t="shared" ref="NG9:NT9" si="307">SUM(NG241,NG279,NG317)</f>
        <v>0</v>
      </c>
      <c r="NH9" s="87">
        <f t="shared" si="307"/>
        <v>0</v>
      </c>
      <c r="NI9" s="87">
        <f t="shared" si="307"/>
        <v>25853300</v>
      </c>
      <c r="NJ9" s="87">
        <f t="shared" si="307"/>
        <v>592322410</v>
      </c>
      <c r="NK9" s="87">
        <f t="shared" si="307"/>
        <v>0</v>
      </c>
      <c r="NL9" s="87">
        <f t="shared" si="307"/>
        <v>0</v>
      </c>
      <c r="NM9" s="87">
        <f t="shared" si="307"/>
        <v>6058800</v>
      </c>
      <c r="NN9" s="87">
        <f t="shared" si="307"/>
        <v>97720600</v>
      </c>
      <c r="NO9" s="87">
        <f t="shared" si="307"/>
        <v>0</v>
      </c>
      <c r="NP9" s="87">
        <f t="shared" si="307"/>
        <v>0</v>
      </c>
      <c r="NQ9" s="87">
        <f t="shared" si="307"/>
        <v>72604</v>
      </c>
      <c r="NR9" s="87">
        <f t="shared" si="307"/>
        <v>1316992</v>
      </c>
      <c r="NS9" s="87">
        <f t="shared" si="307"/>
        <v>0</v>
      </c>
      <c r="NT9" s="87">
        <f t="shared" si="307"/>
        <v>0</v>
      </c>
      <c r="NU9" s="92">
        <f t="shared" ref="NU9" si="308">SUMIF(NG12:NT12,NU12,NG9:NT9)</f>
        <v>31984704</v>
      </c>
      <c r="NV9" s="92">
        <f t="shared" ref="NV9" si="309">SUMIF(NG12:NT12,NV12,NG9:NT9)</f>
        <v>691360002</v>
      </c>
      <c r="NW9" s="87">
        <f t="shared" ref="NW9:OJ9" si="310">SUM(NW241,NW279,NW317)</f>
        <v>14580</v>
      </c>
      <c r="NX9" s="87">
        <f t="shared" si="310"/>
        <v>591500</v>
      </c>
      <c r="NY9" s="87">
        <f t="shared" si="310"/>
        <v>2947935</v>
      </c>
      <c r="NZ9" s="87">
        <f t="shared" si="310"/>
        <v>147230579</v>
      </c>
      <c r="OA9" s="87">
        <f t="shared" si="310"/>
        <v>0</v>
      </c>
      <c r="OB9" s="87">
        <f t="shared" si="310"/>
        <v>0</v>
      </c>
      <c r="OC9" s="87">
        <f t="shared" si="310"/>
        <v>133895</v>
      </c>
      <c r="OD9" s="87">
        <f t="shared" si="310"/>
        <v>2555555</v>
      </c>
      <c r="OE9" s="87">
        <f t="shared" si="310"/>
        <v>0</v>
      </c>
      <c r="OF9" s="87">
        <f t="shared" si="310"/>
        <v>0</v>
      </c>
      <c r="OG9" s="87">
        <f t="shared" si="310"/>
        <v>0</v>
      </c>
      <c r="OH9" s="87">
        <f t="shared" si="310"/>
        <v>0</v>
      </c>
      <c r="OI9" s="87">
        <f t="shared" si="310"/>
        <v>0</v>
      </c>
      <c r="OJ9" s="87">
        <f t="shared" si="310"/>
        <v>0</v>
      </c>
      <c r="OK9" s="92">
        <f t="shared" ref="OK9" si="311">SUMIF(NW12:OJ12,OK12,NW9:OJ9)</f>
        <v>3096410</v>
      </c>
      <c r="OL9" s="92">
        <f t="shared" ref="OL9" si="312">SUMIF(NW12:OJ12,OL12,NW9:OJ9)</f>
        <v>150377634</v>
      </c>
      <c r="OM9" s="87">
        <f t="shared" ref="OM9:OZ9" si="313">SUM(OM241,OM279,OM317)</f>
        <v>222997002</v>
      </c>
      <c r="ON9" s="87">
        <f t="shared" si="313"/>
        <v>1154648400</v>
      </c>
      <c r="OO9" s="87">
        <f t="shared" si="313"/>
        <v>2915240</v>
      </c>
      <c r="OP9" s="87">
        <f t="shared" si="313"/>
        <v>176128314.99999997</v>
      </c>
      <c r="OQ9" s="87">
        <f t="shared" si="313"/>
        <v>0</v>
      </c>
      <c r="OR9" s="87">
        <f t="shared" si="313"/>
        <v>0</v>
      </c>
      <c r="OS9" s="87">
        <f t="shared" si="313"/>
        <v>2230122.7000000002</v>
      </c>
      <c r="OT9" s="87">
        <f t="shared" si="313"/>
        <v>17082026.200000003</v>
      </c>
      <c r="OU9" s="87">
        <f t="shared" si="313"/>
        <v>0</v>
      </c>
      <c r="OV9" s="87">
        <f t="shared" si="313"/>
        <v>0</v>
      </c>
      <c r="OW9" s="87">
        <f t="shared" si="313"/>
        <v>0</v>
      </c>
      <c r="OX9" s="87">
        <f t="shared" si="313"/>
        <v>0</v>
      </c>
      <c r="OY9" s="87">
        <f t="shared" si="313"/>
        <v>0</v>
      </c>
      <c r="OZ9" s="87">
        <f t="shared" si="313"/>
        <v>0</v>
      </c>
      <c r="PA9" s="92">
        <f t="shared" ref="PA9" si="314">SUMIF(OM12:OZ12,PA12,OM9:OZ9)</f>
        <v>228142364.69999999</v>
      </c>
      <c r="PB9" s="92">
        <f t="shared" ref="PB9" si="315">SUMIF(OM12:OZ12,PB12,OM9:OZ9)</f>
        <v>1347858741.2</v>
      </c>
      <c r="PC9" s="87">
        <f t="shared" ref="PC9:PP9" si="316">SUM(PC241,PC279,PC317)</f>
        <v>705</v>
      </c>
      <c r="PD9" s="87">
        <f t="shared" si="316"/>
        <v>72345</v>
      </c>
      <c r="PE9" s="87">
        <f t="shared" si="316"/>
        <v>49997</v>
      </c>
      <c r="PF9" s="87">
        <f t="shared" si="316"/>
        <v>3249805</v>
      </c>
      <c r="PG9" s="87">
        <f t="shared" si="316"/>
        <v>0</v>
      </c>
      <c r="PH9" s="87">
        <f t="shared" si="316"/>
        <v>0</v>
      </c>
      <c r="PI9" s="87">
        <f t="shared" si="316"/>
        <v>1185743</v>
      </c>
      <c r="PJ9" s="87">
        <f t="shared" si="316"/>
        <v>21373000</v>
      </c>
      <c r="PK9" s="87">
        <f t="shared" si="316"/>
        <v>0</v>
      </c>
      <c r="PL9" s="87">
        <f t="shared" si="316"/>
        <v>0</v>
      </c>
      <c r="PM9" s="87">
        <f t="shared" si="316"/>
        <v>0</v>
      </c>
      <c r="PN9" s="87">
        <f t="shared" si="316"/>
        <v>0</v>
      </c>
      <c r="PO9" s="87">
        <f t="shared" si="316"/>
        <v>0</v>
      </c>
      <c r="PP9" s="87">
        <f t="shared" si="316"/>
        <v>0</v>
      </c>
      <c r="PQ9" s="92">
        <f t="shared" ref="PQ9" si="317">SUMIF(PC12:PP12,PQ12,PC9:PP9)</f>
        <v>1236445</v>
      </c>
      <c r="PR9" s="92">
        <f t="shared" ref="PR9" si="318">SUMIF(PC12:PP12,PR12,PC9:PP9)</f>
        <v>24695150</v>
      </c>
      <c r="PS9" s="87">
        <f t="shared" ref="PS9:QF9" si="319">SUM(PS241,PS279,PS317)</f>
        <v>570</v>
      </c>
      <c r="PT9" s="87">
        <f t="shared" si="319"/>
        <v>62700</v>
      </c>
      <c r="PU9" s="87">
        <f t="shared" si="319"/>
        <v>3481160</v>
      </c>
      <c r="PV9" s="87">
        <f t="shared" si="319"/>
        <v>150191590</v>
      </c>
      <c r="PW9" s="87">
        <f t="shared" si="319"/>
        <v>0</v>
      </c>
      <c r="PX9" s="87">
        <f t="shared" si="319"/>
        <v>0</v>
      </c>
      <c r="PY9" s="87">
        <f t="shared" si="319"/>
        <v>3144510</v>
      </c>
      <c r="PZ9" s="87">
        <f t="shared" si="319"/>
        <v>56775615</v>
      </c>
      <c r="QA9" s="87">
        <f t="shared" si="319"/>
        <v>2099590</v>
      </c>
      <c r="QB9" s="87">
        <f t="shared" si="319"/>
        <v>63263760</v>
      </c>
      <c r="QC9" s="87">
        <f t="shared" si="319"/>
        <v>1048840</v>
      </c>
      <c r="QD9" s="87">
        <f t="shared" si="319"/>
        <v>19092130</v>
      </c>
      <c r="QE9" s="87">
        <f t="shared" si="319"/>
        <v>0</v>
      </c>
      <c r="QF9" s="87">
        <f t="shared" si="319"/>
        <v>0</v>
      </c>
      <c r="QG9" s="92">
        <f t="shared" ref="QG9" si="320">SUMIF(PS12:QF12,QG12,PS9:QF9)</f>
        <v>9774670</v>
      </c>
      <c r="QH9" s="92">
        <f t="shared" ref="QH9" si="321">SUMIF(PS12:QF12,QH12,PS9:QF9)</f>
        <v>289385795</v>
      </c>
      <c r="QI9" s="87">
        <f t="shared" ref="QI9:QV9" si="322">SUM(QI241,QI279,QI317)</f>
        <v>0</v>
      </c>
      <c r="QJ9" s="87">
        <f t="shared" si="322"/>
        <v>0</v>
      </c>
      <c r="QK9" s="87">
        <f t="shared" si="322"/>
        <v>0</v>
      </c>
      <c r="QL9" s="87">
        <f t="shared" si="322"/>
        <v>0</v>
      </c>
      <c r="QM9" s="87">
        <f t="shared" si="322"/>
        <v>0</v>
      </c>
      <c r="QN9" s="87">
        <f t="shared" si="322"/>
        <v>0</v>
      </c>
      <c r="QO9" s="87">
        <f t="shared" si="322"/>
        <v>13208500</v>
      </c>
      <c r="QP9" s="87">
        <f t="shared" si="322"/>
        <v>265912500</v>
      </c>
      <c r="QQ9" s="87">
        <f t="shared" si="322"/>
        <v>0</v>
      </c>
      <c r="QR9" s="87">
        <f t="shared" si="322"/>
        <v>0</v>
      </c>
      <c r="QS9" s="87">
        <f t="shared" si="322"/>
        <v>0</v>
      </c>
      <c r="QT9" s="87">
        <f t="shared" si="322"/>
        <v>0</v>
      </c>
      <c r="QU9" s="87">
        <f t="shared" si="322"/>
        <v>0</v>
      </c>
      <c r="QV9" s="87">
        <f t="shared" si="322"/>
        <v>0</v>
      </c>
      <c r="QW9" s="92">
        <f t="shared" ref="QW9" si="323">SUMIF(QI12:QV12,QW12,QI9:QV9)</f>
        <v>13208500</v>
      </c>
      <c r="QX9" s="92">
        <f t="shared" ref="QX9" si="324">SUMIF(QI12:QV12,QX12,QI9:QV9)</f>
        <v>265912500</v>
      </c>
      <c r="QY9" s="87">
        <f t="shared" ref="QY9:RL9" si="325">SUM(QY241,QY279,QY317)</f>
        <v>0</v>
      </c>
      <c r="QZ9" s="87">
        <f t="shared" si="325"/>
        <v>0</v>
      </c>
      <c r="RA9" s="87">
        <f t="shared" si="325"/>
        <v>0</v>
      </c>
      <c r="RB9" s="87">
        <f t="shared" si="325"/>
        <v>0</v>
      </c>
      <c r="RC9" s="87">
        <f t="shared" si="325"/>
        <v>0</v>
      </c>
      <c r="RD9" s="87">
        <f t="shared" si="325"/>
        <v>0</v>
      </c>
      <c r="RE9" s="87">
        <f t="shared" si="325"/>
        <v>16883</v>
      </c>
      <c r="RF9" s="87">
        <f t="shared" si="325"/>
        <v>405511</v>
      </c>
      <c r="RG9" s="87">
        <f t="shared" si="325"/>
        <v>0</v>
      </c>
      <c r="RH9" s="87">
        <f t="shared" si="325"/>
        <v>0</v>
      </c>
      <c r="RI9" s="87">
        <f t="shared" si="325"/>
        <v>0</v>
      </c>
      <c r="RJ9" s="87">
        <f t="shared" si="325"/>
        <v>0</v>
      </c>
      <c r="RK9" s="87">
        <f t="shared" si="325"/>
        <v>0</v>
      </c>
      <c r="RL9" s="87">
        <f t="shared" si="325"/>
        <v>0</v>
      </c>
      <c r="RM9" s="92">
        <f t="shared" ref="RM9" si="326">SUMIF(QY12:RL12,RM12,QY9:RL9)</f>
        <v>16883</v>
      </c>
      <c r="RN9" s="92">
        <f t="shared" ref="RN9" si="327">SUMIF(QY12:RL12,RN12,QY9:RL9)</f>
        <v>405511</v>
      </c>
      <c r="RO9" s="87">
        <f t="shared" ref="RO9:SB9" si="328">SUM(RO241,RO279,RO317)</f>
        <v>0</v>
      </c>
      <c r="RP9" s="87">
        <f t="shared" si="328"/>
        <v>0</v>
      </c>
      <c r="RQ9" s="87">
        <f t="shared" si="328"/>
        <v>0</v>
      </c>
      <c r="RR9" s="87">
        <f t="shared" si="328"/>
        <v>0</v>
      </c>
      <c r="RS9" s="87">
        <f t="shared" si="328"/>
        <v>0</v>
      </c>
      <c r="RT9" s="87">
        <f t="shared" si="328"/>
        <v>0</v>
      </c>
      <c r="RU9" s="87">
        <f t="shared" si="328"/>
        <v>61140</v>
      </c>
      <c r="RV9" s="87">
        <f t="shared" si="328"/>
        <v>1339425</v>
      </c>
      <c r="RW9" s="87">
        <f t="shared" si="328"/>
        <v>0</v>
      </c>
      <c r="RX9" s="87">
        <f t="shared" si="328"/>
        <v>0</v>
      </c>
      <c r="RY9" s="87">
        <f t="shared" si="328"/>
        <v>0</v>
      </c>
      <c r="RZ9" s="87">
        <f t="shared" si="328"/>
        <v>0</v>
      </c>
      <c r="SA9" s="87">
        <f t="shared" si="328"/>
        <v>0</v>
      </c>
      <c r="SB9" s="87">
        <f t="shared" si="328"/>
        <v>0</v>
      </c>
      <c r="SC9" s="92">
        <f t="shared" ref="SC9" si="329">SUMIF(RO12:SB12,SC12,RO9:SB9)</f>
        <v>61140</v>
      </c>
      <c r="SD9" s="92">
        <f t="shared" ref="SD9" si="330">SUMIF(RO12:SB12,SD12,RO9:SB9)</f>
        <v>1339425</v>
      </c>
      <c r="SE9" s="87">
        <f t="shared" ref="SE9:SR9" si="331">SUM(SE241,SE279,SE317)</f>
        <v>0</v>
      </c>
      <c r="SF9" s="87">
        <f t="shared" si="331"/>
        <v>0</v>
      </c>
      <c r="SG9" s="87">
        <f t="shared" si="331"/>
        <v>0</v>
      </c>
      <c r="SH9" s="87">
        <f t="shared" si="331"/>
        <v>0</v>
      </c>
      <c r="SI9" s="87">
        <f t="shared" si="331"/>
        <v>0</v>
      </c>
      <c r="SJ9" s="87">
        <f t="shared" si="331"/>
        <v>0</v>
      </c>
      <c r="SK9" s="87">
        <f t="shared" si="331"/>
        <v>46300</v>
      </c>
      <c r="SL9" s="87">
        <f t="shared" si="331"/>
        <v>896950</v>
      </c>
      <c r="SM9" s="87">
        <f t="shared" si="331"/>
        <v>0</v>
      </c>
      <c r="SN9" s="87">
        <f t="shared" si="331"/>
        <v>0</v>
      </c>
      <c r="SO9" s="87">
        <f t="shared" si="331"/>
        <v>0</v>
      </c>
      <c r="SP9" s="87">
        <f t="shared" si="331"/>
        <v>0</v>
      </c>
      <c r="SQ9" s="87">
        <f t="shared" si="331"/>
        <v>0</v>
      </c>
      <c r="SR9" s="87">
        <f t="shared" si="331"/>
        <v>0</v>
      </c>
      <c r="SS9" s="92">
        <f t="shared" ref="SS9" si="332">SUMIF(SE12:SR12,SS12,SE9:SR9)</f>
        <v>46300</v>
      </c>
      <c r="ST9" s="92">
        <f t="shared" ref="ST9" si="333">SUMIF(SE12:SR12,ST12,SE9:SR9)</f>
        <v>896950</v>
      </c>
      <c r="SU9" s="87">
        <f t="shared" ref="SU9:TH9" si="334">SUM(SU241,SU279,SU317)</f>
        <v>0</v>
      </c>
      <c r="SV9" s="87">
        <f t="shared" si="334"/>
        <v>0</v>
      </c>
      <c r="SW9" s="87">
        <f t="shared" si="334"/>
        <v>0</v>
      </c>
      <c r="SX9" s="87">
        <f t="shared" si="334"/>
        <v>0</v>
      </c>
      <c r="SY9" s="87">
        <f t="shared" si="334"/>
        <v>0</v>
      </c>
      <c r="SZ9" s="87">
        <f t="shared" si="334"/>
        <v>0</v>
      </c>
      <c r="TA9" s="87">
        <f t="shared" si="334"/>
        <v>55365</v>
      </c>
      <c r="TB9" s="87">
        <f t="shared" si="334"/>
        <v>1204346</v>
      </c>
      <c r="TC9" s="87">
        <f t="shared" si="334"/>
        <v>0</v>
      </c>
      <c r="TD9" s="87">
        <f t="shared" si="334"/>
        <v>0</v>
      </c>
      <c r="TE9" s="87">
        <f t="shared" si="334"/>
        <v>0</v>
      </c>
      <c r="TF9" s="87">
        <f t="shared" si="334"/>
        <v>0</v>
      </c>
      <c r="TG9" s="87">
        <f t="shared" si="334"/>
        <v>0</v>
      </c>
      <c r="TH9" s="87">
        <f t="shared" si="334"/>
        <v>0</v>
      </c>
      <c r="TI9" s="92">
        <f t="shared" ref="TI9" si="335">SUMIF(SU12:TH12,TI12,SU9:TH9)</f>
        <v>55365</v>
      </c>
      <c r="TJ9" s="92">
        <f t="shared" ref="TJ9" si="336">SUMIF(SU12:TH12,TJ12,SU9:TH9)</f>
        <v>1204346</v>
      </c>
      <c r="TK9" s="87">
        <f t="shared" ref="TK9:TX9" si="337">SUM(TK241,TK279,TK317)</f>
        <v>0</v>
      </c>
      <c r="TL9" s="87">
        <f t="shared" si="337"/>
        <v>0</v>
      </c>
      <c r="TM9" s="87">
        <f t="shared" si="337"/>
        <v>0</v>
      </c>
      <c r="TN9" s="87">
        <f t="shared" si="337"/>
        <v>0</v>
      </c>
      <c r="TO9" s="87">
        <f t="shared" si="337"/>
        <v>0</v>
      </c>
      <c r="TP9" s="87">
        <f t="shared" si="337"/>
        <v>0</v>
      </c>
      <c r="TQ9" s="87">
        <f t="shared" si="337"/>
        <v>22800</v>
      </c>
      <c r="TR9" s="87">
        <f t="shared" si="337"/>
        <v>462000</v>
      </c>
      <c r="TS9" s="87">
        <f t="shared" si="337"/>
        <v>0</v>
      </c>
      <c r="TT9" s="87">
        <f t="shared" si="337"/>
        <v>0</v>
      </c>
      <c r="TU9" s="87">
        <f t="shared" si="337"/>
        <v>2200</v>
      </c>
      <c r="TV9" s="87">
        <f t="shared" si="337"/>
        <v>72500</v>
      </c>
      <c r="TW9" s="87">
        <f t="shared" si="337"/>
        <v>0</v>
      </c>
      <c r="TX9" s="87">
        <f t="shared" si="337"/>
        <v>0</v>
      </c>
      <c r="TY9" s="92">
        <f t="shared" ref="TY9" si="338">SUMIF(TK12:TX12,TY12,TK9:TX9)</f>
        <v>25000</v>
      </c>
      <c r="TZ9" s="92">
        <f t="shared" ref="TZ9" si="339">SUMIF(TK12:TX12,TZ12,TK9:TX9)</f>
        <v>534500</v>
      </c>
      <c r="UA9" s="87">
        <f t="shared" ref="UA9:UN9" si="340">SUM(UA241,UA279,UA317)</f>
        <v>0</v>
      </c>
      <c r="UB9" s="87">
        <f t="shared" si="340"/>
        <v>0</v>
      </c>
      <c r="UC9" s="87">
        <f t="shared" si="340"/>
        <v>0</v>
      </c>
      <c r="UD9" s="87">
        <f t="shared" si="340"/>
        <v>0</v>
      </c>
      <c r="UE9" s="87">
        <f t="shared" si="340"/>
        <v>0</v>
      </c>
      <c r="UF9" s="87">
        <f t="shared" si="340"/>
        <v>0</v>
      </c>
      <c r="UG9" s="87">
        <f t="shared" si="340"/>
        <v>56868</v>
      </c>
      <c r="UH9" s="87">
        <f t="shared" si="340"/>
        <v>1040735</v>
      </c>
      <c r="UI9" s="87">
        <f t="shared" si="340"/>
        <v>0</v>
      </c>
      <c r="UJ9" s="87">
        <f t="shared" si="340"/>
        <v>0</v>
      </c>
      <c r="UK9" s="87">
        <f t="shared" si="340"/>
        <v>0</v>
      </c>
      <c r="UL9" s="87">
        <f t="shared" si="340"/>
        <v>0</v>
      </c>
      <c r="UM9" s="87">
        <f t="shared" si="340"/>
        <v>0</v>
      </c>
      <c r="UN9" s="87">
        <f t="shared" si="340"/>
        <v>0</v>
      </c>
      <c r="UO9" s="92">
        <f t="shared" ref="UO9" si="341">SUMIF(UA12:UN12,UO12,UA9:UN9)</f>
        <v>56868</v>
      </c>
      <c r="UP9" s="92">
        <f t="shared" ref="UP9" si="342">SUMIF(UA12:UN12,UP12,UA9:UN9)</f>
        <v>1040735</v>
      </c>
      <c r="UQ9" s="87">
        <f t="shared" ref="UQ9:VD9" si="343">SUM(UQ241,UQ279,UQ317)</f>
        <v>0</v>
      </c>
      <c r="UR9" s="87">
        <f t="shared" si="343"/>
        <v>0</v>
      </c>
      <c r="US9" s="87">
        <f t="shared" si="343"/>
        <v>730900</v>
      </c>
      <c r="UT9" s="87">
        <f t="shared" si="343"/>
        <v>5333417</v>
      </c>
      <c r="UU9" s="87">
        <f t="shared" si="343"/>
        <v>0</v>
      </c>
      <c r="UV9" s="87">
        <f t="shared" si="343"/>
        <v>0</v>
      </c>
      <c r="UW9" s="87">
        <f t="shared" si="343"/>
        <v>5277</v>
      </c>
      <c r="UX9" s="87">
        <f t="shared" si="343"/>
        <v>101680</v>
      </c>
      <c r="UY9" s="87">
        <f t="shared" si="343"/>
        <v>0</v>
      </c>
      <c r="UZ9" s="87">
        <f t="shared" si="343"/>
        <v>0</v>
      </c>
      <c r="VA9" s="87">
        <f t="shared" si="343"/>
        <v>0</v>
      </c>
      <c r="VB9" s="87">
        <f t="shared" si="343"/>
        <v>0</v>
      </c>
      <c r="VC9" s="87">
        <f t="shared" si="343"/>
        <v>0</v>
      </c>
      <c r="VD9" s="87">
        <f t="shared" si="343"/>
        <v>0</v>
      </c>
      <c r="VE9" s="92">
        <f t="shared" ref="VE9" si="344">SUMIF(UQ12:VD12,VE12,UQ9:VD9)</f>
        <v>736177</v>
      </c>
      <c r="VF9" s="92">
        <f t="shared" ref="VF9" si="345">SUMIF(UQ12:VD12,VF12,UQ9:VD9)</f>
        <v>5435097</v>
      </c>
      <c r="VG9" s="87">
        <f t="shared" ref="VG9:VT9" si="346">SUM(VG241,VG279,VG317)</f>
        <v>0</v>
      </c>
      <c r="VH9" s="87">
        <f t="shared" si="346"/>
        <v>0</v>
      </c>
      <c r="VI9" s="87">
        <f t="shared" si="346"/>
        <v>18305</v>
      </c>
      <c r="VJ9" s="87">
        <f t="shared" si="346"/>
        <v>849679</v>
      </c>
      <c r="VK9" s="87">
        <f t="shared" si="346"/>
        <v>0</v>
      </c>
      <c r="VL9" s="87">
        <f t="shared" si="346"/>
        <v>0</v>
      </c>
      <c r="VM9" s="87">
        <f t="shared" si="346"/>
        <v>41301</v>
      </c>
      <c r="VN9" s="87">
        <f t="shared" si="346"/>
        <v>835281</v>
      </c>
      <c r="VO9" s="87">
        <f t="shared" si="346"/>
        <v>0</v>
      </c>
      <c r="VP9" s="87">
        <f t="shared" si="346"/>
        <v>0</v>
      </c>
      <c r="VQ9" s="87">
        <f t="shared" si="346"/>
        <v>0</v>
      </c>
      <c r="VR9" s="87">
        <f t="shared" si="346"/>
        <v>0</v>
      </c>
      <c r="VS9" s="87">
        <f t="shared" si="346"/>
        <v>0</v>
      </c>
      <c r="VT9" s="87">
        <f t="shared" si="346"/>
        <v>0</v>
      </c>
      <c r="VU9" s="92">
        <f t="shared" ref="VU9" si="347">SUMIF(VG12:VT12,VU12,VG9:VT9)</f>
        <v>59606</v>
      </c>
      <c r="VV9" s="92">
        <f t="shared" ref="VV9" si="348">SUMIF(VG12:VT12,VV12,VG9:VT9)</f>
        <v>1684960</v>
      </c>
      <c r="VW9" s="87">
        <f t="shared" ref="VW9:WJ9" si="349">SUM(VW241,VW279,VW317)</f>
        <v>0</v>
      </c>
      <c r="VX9" s="87">
        <f t="shared" si="349"/>
        <v>0</v>
      </c>
      <c r="VY9" s="87">
        <f t="shared" si="349"/>
        <v>1181320</v>
      </c>
      <c r="VZ9" s="87">
        <f t="shared" si="349"/>
        <v>40065480</v>
      </c>
      <c r="WA9" s="87">
        <f t="shared" si="349"/>
        <v>0</v>
      </c>
      <c r="WB9" s="87">
        <f t="shared" si="349"/>
        <v>0</v>
      </c>
      <c r="WC9" s="87">
        <f t="shared" si="349"/>
        <v>1163310</v>
      </c>
      <c r="WD9" s="87">
        <f t="shared" si="349"/>
        <v>28112850</v>
      </c>
      <c r="WE9" s="87">
        <f t="shared" si="349"/>
        <v>0</v>
      </c>
      <c r="WF9" s="87">
        <f t="shared" si="349"/>
        <v>0</v>
      </c>
      <c r="WG9" s="87">
        <f t="shared" si="349"/>
        <v>0</v>
      </c>
      <c r="WH9" s="87">
        <f t="shared" si="349"/>
        <v>0</v>
      </c>
      <c r="WI9" s="87">
        <f t="shared" si="349"/>
        <v>17610</v>
      </c>
      <c r="WJ9" s="87">
        <f t="shared" si="349"/>
        <v>365280</v>
      </c>
      <c r="WK9" s="92">
        <f t="shared" ref="WK9" si="350">SUMIF(VW12:WJ12,WK12,VW9:WJ9)</f>
        <v>2362240</v>
      </c>
      <c r="WL9" s="92">
        <f t="shared" ref="WL9" si="351">SUMIF(VW12:WJ12,WL12,VW9:WJ9)</f>
        <v>68543610</v>
      </c>
      <c r="WM9" s="89"/>
      <c r="WN9" s="87">
        <f t="shared" si="225"/>
        <v>227792889</v>
      </c>
      <c r="WO9" s="87">
        <f t="shared" si="226"/>
        <v>1182515701.0610001</v>
      </c>
      <c r="WP9" s="87">
        <f t="shared" si="227"/>
        <v>74491897.939447686</v>
      </c>
      <c r="WQ9" s="87">
        <f t="shared" si="228"/>
        <v>2493495560.9571395</v>
      </c>
      <c r="WR9" s="87">
        <f t="shared" si="229"/>
        <v>0</v>
      </c>
      <c r="WS9" s="87">
        <f t="shared" si="230"/>
        <v>0</v>
      </c>
      <c r="WT9" s="87">
        <f t="shared" si="231"/>
        <v>78455159.189999998</v>
      </c>
      <c r="WU9" s="87">
        <f t="shared" si="232"/>
        <v>1466531459.9774098</v>
      </c>
      <c r="WV9" s="87">
        <f t="shared" si="233"/>
        <v>2124188.000366</v>
      </c>
      <c r="WW9" s="87">
        <f t="shared" si="234"/>
        <v>63903725.009000003</v>
      </c>
      <c r="WX9" s="87">
        <f t="shared" si="235"/>
        <v>1149553</v>
      </c>
      <c r="WY9" s="87">
        <f t="shared" si="236"/>
        <v>21087196</v>
      </c>
      <c r="WZ9" s="87">
        <f t="shared" si="237"/>
        <v>622864.24</v>
      </c>
      <c r="XA9" s="87">
        <f t="shared" si="238"/>
        <v>14289913</v>
      </c>
      <c r="XB9" s="91">
        <f t="shared" si="239"/>
        <v>384636551.36981368</v>
      </c>
      <c r="XC9" s="91">
        <f t="shared" ref="XC9" si="352">SUMIF($WN$12:$XA$12,$XC$12,WN9:XA9)</f>
        <v>5241823556.00455</v>
      </c>
      <c r="XD9" s="633" t="s">
        <v>172</v>
      </c>
      <c r="XE9" s="91">
        <f>XE89</f>
        <v>384636551.36981368</v>
      </c>
      <c r="XF9" s="91">
        <f>XF89</f>
        <v>5241823556.00455</v>
      </c>
      <c r="XG9" s="633" t="s">
        <v>618</v>
      </c>
      <c r="XH9" s="91">
        <f>SUM(XH7:XH8)</f>
        <v>1442332993.2170775</v>
      </c>
      <c r="XI9" s="91">
        <f>SUM(XI7:XI8)</f>
        <v>21538229550.790459</v>
      </c>
      <c r="XJ9" s="633"/>
      <c r="XK9" s="87"/>
      <c r="XL9" s="87"/>
      <c r="XM9" s="87"/>
      <c r="XN9" s="87"/>
      <c r="XO9" s="87"/>
      <c r="XP9" s="87"/>
      <c r="XQ9" s="87"/>
      <c r="XR9" s="91"/>
      <c r="XS9" s="633"/>
      <c r="XT9" s="87"/>
      <c r="XU9" s="87"/>
      <c r="XV9" s="87"/>
      <c r="XW9" s="87"/>
      <c r="XX9" s="87"/>
      <c r="XY9" s="87"/>
      <c r="XZ9" s="87"/>
      <c r="YA9" s="91"/>
      <c r="YB9" s="87"/>
      <c r="YC9" s="87"/>
      <c r="YD9" s="87"/>
      <c r="YE9" s="87"/>
      <c r="YF9" s="87"/>
      <c r="YG9" s="87"/>
      <c r="YH9" s="87"/>
      <c r="YI9" s="87"/>
      <c r="YJ9" s="87"/>
      <c r="YK9" s="87"/>
      <c r="YL9" s="87"/>
      <c r="YM9" s="87"/>
      <c r="YN9" s="87"/>
      <c r="YO9" s="87"/>
      <c r="YP9" s="87"/>
      <c r="YQ9" s="87"/>
      <c r="YR9" s="87"/>
      <c r="YS9" s="87"/>
      <c r="YT9" s="87"/>
      <c r="YU9" s="87"/>
      <c r="YV9" s="87"/>
      <c r="YW9" s="87"/>
      <c r="YX9" s="87"/>
      <c r="YY9" s="87"/>
      <c r="YZ9" s="87"/>
      <c r="ZA9" s="87"/>
      <c r="ZB9" s="87"/>
      <c r="ZC9" s="87"/>
      <c r="ZD9" s="87"/>
      <c r="ZE9" s="87"/>
      <c r="ZF9" s="87"/>
      <c r="ZG9" s="87"/>
      <c r="ZH9" s="87"/>
      <c r="ZI9" s="87"/>
      <c r="ZJ9" s="87"/>
      <c r="ZK9" s="87"/>
      <c r="ZL9" s="87"/>
      <c r="ZM9" s="87"/>
      <c r="ZN9" s="87"/>
      <c r="ZO9" s="87"/>
      <c r="ZP9" s="87"/>
      <c r="ZQ9" s="87"/>
      <c r="ZR9" s="87"/>
      <c r="ZS9" s="87"/>
      <c r="ZT9" s="87"/>
      <c r="ZU9" s="87"/>
      <c r="ZV9" s="87"/>
      <c r="ZW9" s="87"/>
      <c r="ZX9" s="87"/>
      <c r="ZY9" s="87"/>
      <c r="ZZ9" s="87"/>
      <c r="AAA9" s="87"/>
      <c r="AAB9" s="87"/>
      <c r="AAC9" s="87"/>
      <c r="AAD9" s="87"/>
      <c r="AAE9" s="87"/>
      <c r="AAF9" s="87"/>
      <c r="AAG9" s="87"/>
      <c r="AAH9" s="87"/>
      <c r="AAI9" s="87"/>
      <c r="AAJ9" s="87"/>
      <c r="AAK9" s="87"/>
      <c r="AAL9" s="87"/>
      <c r="AAM9" s="87"/>
      <c r="AAN9" s="87"/>
      <c r="AAO9" s="87"/>
      <c r="AAP9" s="87"/>
      <c r="AAQ9" s="87"/>
      <c r="AAR9" s="87"/>
      <c r="AAS9" s="87"/>
      <c r="AAT9" s="87"/>
      <c r="AAU9" s="87"/>
      <c r="AAV9" s="87"/>
      <c r="AAW9" s="87"/>
      <c r="AAX9" s="87"/>
      <c r="AAY9" s="87"/>
      <c r="AAZ9" s="87"/>
      <c r="ABA9" s="87"/>
      <c r="ABB9" s="87"/>
      <c r="ABC9" s="87"/>
      <c r="ABD9" s="87"/>
      <c r="ABE9" s="87"/>
      <c r="ABF9" s="87"/>
      <c r="ABG9" s="87"/>
      <c r="ABH9" s="87"/>
      <c r="ABI9" s="87"/>
      <c r="ABJ9" s="87"/>
      <c r="ABK9" s="87"/>
      <c r="ABL9" s="87"/>
      <c r="ABM9" s="87"/>
      <c r="ABN9" s="87"/>
      <c r="ABO9" s="87"/>
      <c r="ABP9" s="87"/>
      <c r="ABQ9" s="87"/>
      <c r="ABR9" s="87"/>
      <c r="ABS9" s="87"/>
      <c r="ABT9" s="87"/>
      <c r="ABU9" s="87"/>
      <c r="ABV9" s="87"/>
      <c r="ABW9" s="87"/>
      <c r="ABX9" s="87"/>
      <c r="ABY9" s="87"/>
      <c r="ABZ9" s="87"/>
      <c r="ACA9" s="87"/>
      <c r="ACB9" s="87"/>
      <c r="ACC9" s="87"/>
      <c r="ACD9" s="87"/>
      <c r="ACE9" s="87"/>
      <c r="ACF9" s="87"/>
      <c r="ACG9" s="87"/>
      <c r="ACH9" s="87"/>
      <c r="ACI9" s="87"/>
      <c r="ACJ9" s="87"/>
      <c r="ACK9" s="87"/>
      <c r="ACL9" s="87"/>
      <c r="ACM9" s="87"/>
      <c r="ACN9" s="87"/>
      <c r="ACO9" s="87"/>
      <c r="ACP9" s="87"/>
      <c r="ACQ9" s="87"/>
      <c r="ACR9" s="87"/>
      <c r="ACS9" s="87"/>
      <c r="ACT9" s="87"/>
      <c r="ACU9" s="87"/>
      <c r="ACV9" s="87"/>
      <c r="ACW9" s="87"/>
      <c r="ACX9" s="87"/>
      <c r="ACY9" s="87"/>
      <c r="ACZ9" s="87"/>
      <c r="ADA9" s="87"/>
      <c r="ADB9" s="87"/>
      <c r="ADC9" s="87"/>
      <c r="ADD9" s="87"/>
      <c r="ADE9" s="87"/>
      <c r="ADF9" s="87"/>
      <c r="ADG9" s="87"/>
      <c r="ADH9" s="87"/>
      <c r="ADI9" s="87"/>
      <c r="ADJ9" s="87"/>
      <c r="ADK9" s="87"/>
      <c r="ADL9" s="87"/>
      <c r="ADM9" s="87"/>
      <c r="ADN9" s="87"/>
      <c r="ADO9" s="87"/>
      <c r="ADP9" s="87"/>
      <c r="ADQ9" s="87"/>
      <c r="ADR9" s="87"/>
      <c r="ADS9" s="87"/>
      <c r="ADT9" s="87"/>
      <c r="ADU9" s="87"/>
      <c r="ADV9" s="87"/>
      <c r="ADW9" s="87"/>
      <c r="ADX9" s="87"/>
      <c r="ADY9" s="87"/>
      <c r="ADZ9" s="87"/>
      <c r="AEA9" s="87"/>
      <c r="AEB9" s="87"/>
      <c r="AEC9" s="87"/>
      <c r="AED9" s="87"/>
      <c r="AEE9" s="87"/>
      <c r="AEF9" s="87"/>
      <c r="AEG9" s="87"/>
      <c r="AEH9" s="87"/>
      <c r="AEI9" s="87"/>
      <c r="AEJ9" s="87"/>
      <c r="AEK9" s="87"/>
      <c r="AEL9" s="87"/>
      <c r="AEM9" s="87"/>
      <c r="AEN9" s="87"/>
      <c r="AEO9" s="87"/>
      <c r="AEP9" s="87"/>
      <c r="AEQ9" s="87"/>
      <c r="AER9" s="87"/>
      <c r="AES9" s="87"/>
      <c r="AET9" s="87"/>
      <c r="AEU9" s="87"/>
      <c r="AEV9" s="87"/>
      <c r="AEW9" s="87"/>
      <c r="AEX9" s="87"/>
      <c r="AEY9" s="87"/>
      <c r="AEZ9" s="87"/>
      <c r="AFA9" s="87"/>
      <c r="AFB9" s="87"/>
      <c r="AFC9" s="87"/>
      <c r="AFD9" s="87"/>
      <c r="AFE9" s="87"/>
      <c r="AFF9" s="87"/>
      <c r="AFG9" s="87"/>
      <c r="AFH9" s="87"/>
      <c r="AFI9" s="87"/>
      <c r="AFJ9" s="87"/>
      <c r="AFK9" s="87"/>
      <c r="AFL9" s="87"/>
      <c r="AFM9" s="87"/>
      <c r="AFN9" s="87"/>
      <c r="AFO9" s="87"/>
      <c r="AFP9" s="87"/>
      <c r="AFQ9" s="87"/>
      <c r="AFR9" s="87"/>
      <c r="AFS9" s="87"/>
      <c r="AFT9" s="87"/>
      <c r="AFU9" s="87"/>
      <c r="AFV9" s="87"/>
      <c r="AFW9" s="87"/>
      <c r="AFX9" s="87"/>
      <c r="AFY9" s="87"/>
      <c r="AFZ9" s="87"/>
      <c r="AGA9" s="87"/>
      <c r="AGB9" s="87"/>
      <c r="AGC9" s="87"/>
      <c r="AGD9" s="87"/>
      <c r="AGE9" s="87"/>
      <c r="AGF9" s="87"/>
      <c r="AGG9" s="87"/>
      <c r="AGH9" s="87"/>
      <c r="AGI9" s="87"/>
      <c r="AGJ9" s="87"/>
      <c r="AGK9" s="87"/>
      <c r="AGL9" s="87"/>
      <c r="AGM9" s="87"/>
      <c r="AGN9" s="87"/>
      <c r="AGO9" s="87"/>
      <c r="AGP9" s="87"/>
      <c r="AGQ9" s="87"/>
      <c r="AGR9" s="87"/>
      <c r="AGS9" s="87"/>
      <c r="AGT9" s="87"/>
      <c r="AGU9" s="87"/>
      <c r="AGV9" s="87"/>
      <c r="AGW9" s="87"/>
      <c r="AGX9" s="87"/>
      <c r="AGY9" s="87"/>
      <c r="AGZ9" s="87"/>
      <c r="AHA9" s="87"/>
      <c r="AHB9" s="87"/>
      <c r="AHC9" s="87"/>
      <c r="AHD9" s="87"/>
      <c r="AHE9" s="87"/>
      <c r="AHF9" s="87"/>
      <c r="AHG9" s="87"/>
      <c r="AHH9" s="87"/>
      <c r="AHI9" s="87"/>
      <c r="AHJ9" s="87"/>
      <c r="AHK9" s="87"/>
      <c r="AHL9" s="87"/>
      <c r="AHM9" s="87"/>
      <c r="AHN9" s="87"/>
      <c r="AHO9" s="87"/>
      <c r="AHP9" s="87"/>
      <c r="AHQ9" s="87"/>
      <c r="AHR9" s="87"/>
      <c r="AHS9" s="87"/>
      <c r="AHT9" s="87"/>
      <c r="AHU9" s="87"/>
      <c r="AHV9" s="87"/>
      <c r="AHW9" s="87"/>
      <c r="AHX9" s="87"/>
      <c r="AHY9" s="87"/>
      <c r="AHZ9" s="87"/>
      <c r="AIA9" s="87"/>
      <c r="AIB9" s="87"/>
      <c r="AIC9" s="87"/>
      <c r="AID9" s="87"/>
      <c r="AIE9" s="87"/>
      <c r="AIF9" s="87"/>
      <c r="AIG9" s="87"/>
      <c r="AIH9" s="87"/>
      <c r="AII9" s="87"/>
      <c r="AIJ9" s="87"/>
      <c r="AIK9" s="87"/>
      <c r="AIL9" s="87"/>
      <c r="AIM9" s="87"/>
      <c r="AIN9" s="87"/>
      <c r="AIO9" s="87"/>
      <c r="AIP9" s="87"/>
      <c r="AIQ9" s="87"/>
      <c r="AIR9" s="87"/>
      <c r="AIS9" s="87"/>
      <c r="AIT9" s="87"/>
      <c r="AIU9" s="87"/>
      <c r="AIV9" s="87"/>
      <c r="AIW9" s="87"/>
      <c r="AIX9" s="87"/>
      <c r="AIY9" s="87"/>
      <c r="AIZ9" s="87"/>
      <c r="AJA9" s="87"/>
      <c r="AJB9" s="87"/>
      <c r="AJC9" s="87"/>
      <c r="AJD9" s="87"/>
      <c r="AJE9" s="87"/>
      <c r="AJF9" s="87"/>
      <c r="AJG9" s="87"/>
      <c r="AJH9" s="87"/>
      <c r="AJI9" s="87"/>
      <c r="AJJ9" s="87"/>
      <c r="AJK9" s="87"/>
      <c r="AJL9" s="87"/>
      <c r="AJM9" s="87"/>
      <c r="AJN9" s="87"/>
      <c r="AJO9" s="87"/>
      <c r="AJP9" s="87"/>
      <c r="AJQ9" s="87"/>
      <c r="AJR9" s="87"/>
      <c r="AJS9" s="87"/>
      <c r="AJT9" s="87"/>
      <c r="AJU9" s="87"/>
      <c r="AJV9" s="87"/>
      <c r="AJW9" s="87"/>
      <c r="AJX9" s="87"/>
      <c r="AJY9" s="87"/>
      <c r="AJZ9" s="87"/>
      <c r="AKA9" s="87"/>
      <c r="AKB9" s="87"/>
      <c r="AKC9" s="87"/>
      <c r="AKD9" s="87"/>
      <c r="AKE9" s="87"/>
      <c r="AKF9" s="87"/>
      <c r="AKG9" s="87"/>
      <c r="AKH9" s="87"/>
      <c r="AKI9" s="87"/>
      <c r="AKJ9" s="87"/>
      <c r="AKK9" s="87"/>
      <c r="AKL9" s="87"/>
      <c r="AKM9" s="87"/>
      <c r="AKN9" s="87"/>
      <c r="AKO9" s="87"/>
      <c r="AKP9" s="87"/>
      <c r="AKQ9" s="87"/>
      <c r="AKR9" s="87"/>
      <c r="AKS9" s="87"/>
      <c r="AKT9" s="87"/>
      <c r="AKU9" s="87"/>
      <c r="AKV9" s="87"/>
      <c r="AKW9" s="87"/>
      <c r="AKX9" s="87"/>
      <c r="AKY9" s="87"/>
      <c r="AKZ9" s="87"/>
      <c r="ALA9" s="87"/>
      <c r="ALB9" s="87"/>
      <c r="ALC9" s="87"/>
      <c r="ALD9" s="87"/>
      <c r="ALE9" s="87"/>
      <c r="ALF9" s="87"/>
      <c r="ALG9" s="87"/>
      <c r="ALH9" s="87"/>
      <c r="ALI9" s="87"/>
      <c r="ALJ9" s="87"/>
      <c r="ALK9" s="87"/>
      <c r="ALL9" s="87"/>
      <c r="ALM9" s="87"/>
      <c r="ALN9" s="87"/>
      <c r="ALO9" s="87"/>
      <c r="ALP9" s="87"/>
      <c r="ALQ9" s="87"/>
      <c r="ALR9" s="87"/>
      <c r="ALS9" s="87"/>
      <c r="ALT9" s="87"/>
      <c r="ALU9" s="87"/>
      <c r="ALV9" s="87"/>
      <c r="ALW9" s="87"/>
      <c r="ALX9" s="87"/>
      <c r="ALY9" s="87"/>
      <c r="ALZ9" s="87"/>
      <c r="AMA9" s="87"/>
      <c r="AMB9" s="87"/>
      <c r="AMC9" s="87"/>
    </row>
    <row r="10" spans="1:1017">
      <c r="A10" s="90"/>
      <c r="B10" s="93" t="s">
        <v>43</v>
      </c>
      <c r="C10" s="87">
        <f t="shared" ref="C10:P10" si="353">SUM(C355,C393,C431)</f>
        <v>0</v>
      </c>
      <c r="D10" s="87">
        <f t="shared" si="353"/>
        <v>0</v>
      </c>
      <c r="E10" s="87">
        <f t="shared" si="353"/>
        <v>6094100</v>
      </c>
      <c r="F10" s="87">
        <f t="shared" si="353"/>
        <v>257705000</v>
      </c>
      <c r="G10" s="87">
        <f t="shared" si="353"/>
        <v>0</v>
      </c>
      <c r="H10" s="87">
        <f t="shared" si="353"/>
        <v>0</v>
      </c>
      <c r="I10" s="87">
        <f t="shared" si="353"/>
        <v>237100</v>
      </c>
      <c r="J10" s="87">
        <f t="shared" si="353"/>
        <v>5328900</v>
      </c>
      <c r="K10" s="87">
        <f t="shared" si="353"/>
        <v>0</v>
      </c>
      <c r="L10" s="87">
        <f t="shared" si="353"/>
        <v>0</v>
      </c>
      <c r="M10" s="87">
        <f t="shared" si="353"/>
        <v>1800</v>
      </c>
      <c r="N10" s="87">
        <f t="shared" si="353"/>
        <v>36000</v>
      </c>
      <c r="O10" s="87">
        <f t="shared" si="353"/>
        <v>0</v>
      </c>
      <c r="P10" s="87">
        <f t="shared" si="353"/>
        <v>0</v>
      </c>
      <c r="Q10" s="91">
        <f>SUMIF(C12:P12,Q12,C10:P10)</f>
        <v>6333000</v>
      </c>
      <c r="R10" s="91">
        <f>SUMIF(C12:P12,R12,C10:P10)</f>
        <v>263069900</v>
      </c>
      <c r="S10" s="87">
        <f t="shared" ref="S10:AF10" si="354">SUM(S355,S393,S431)</f>
        <v>9280</v>
      </c>
      <c r="T10" s="87">
        <f t="shared" si="354"/>
        <v>1128875</v>
      </c>
      <c r="U10" s="87">
        <f t="shared" si="354"/>
        <v>5139435</v>
      </c>
      <c r="V10" s="87">
        <f t="shared" si="354"/>
        <v>255989775</v>
      </c>
      <c r="W10" s="87">
        <f t="shared" si="354"/>
        <v>0</v>
      </c>
      <c r="X10" s="87">
        <f t="shared" si="354"/>
        <v>0</v>
      </c>
      <c r="Y10" s="87">
        <f t="shared" si="354"/>
        <v>2887701</v>
      </c>
      <c r="Z10" s="87">
        <f t="shared" si="354"/>
        <v>58946640</v>
      </c>
      <c r="AA10" s="87">
        <f t="shared" si="354"/>
        <v>16235</v>
      </c>
      <c r="AB10" s="87">
        <f t="shared" si="354"/>
        <v>448150</v>
      </c>
      <c r="AC10" s="87">
        <f t="shared" si="354"/>
        <v>14255</v>
      </c>
      <c r="AD10" s="87">
        <f t="shared" si="354"/>
        <v>394825</v>
      </c>
      <c r="AE10" s="87">
        <f t="shared" si="354"/>
        <v>6155</v>
      </c>
      <c r="AF10" s="87">
        <f t="shared" si="354"/>
        <v>132925</v>
      </c>
      <c r="AG10" s="92">
        <f t="shared" ref="AG10" si="355">SUMIF(S12:AF12,AG12,S10:AF10)</f>
        <v>8073061</v>
      </c>
      <c r="AH10" s="92">
        <f t="shared" ref="AH10" si="356">SUMIF(S12:AF12,AH12,S10:AF10)</f>
        <v>317041190</v>
      </c>
      <c r="AI10" s="87">
        <f t="shared" ref="AI10:AV10" si="357">SUM(AI355,AI393,AI431)</f>
        <v>0</v>
      </c>
      <c r="AJ10" s="87">
        <f t="shared" si="357"/>
        <v>0</v>
      </c>
      <c r="AK10" s="87">
        <f t="shared" si="357"/>
        <v>109300</v>
      </c>
      <c r="AL10" s="87">
        <f t="shared" si="357"/>
        <v>7104500</v>
      </c>
      <c r="AM10" s="87">
        <f t="shared" si="357"/>
        <v>0</v>
      </c>
      <c r="AN10" s="87">
        <f t="shared" si="357"/>
        <v>0</v>
      </c>
      <c r="AO10" s="87">
        <f t="shared" si="357"/>
        <v>4755200</v>
      </c>
      <c r="AP10" s="87">
        <f t="shared" si="357"/>
        <v>108463100</v>
      </c>
      <c r="AQ10" s="87">
        <f t="shared" si="357"/>
        <v>380</v>
      </c>
      <c r="AR10" s="87">
        <f t="shared" si="357"/>
        <v>9120</v>
      </c>
      <c r="AS10" s="87">
        <f t="shared" si="357"/>
        <v>0</v>
      </c>
      <c r="AT10" s="87">
        <f t="shared" si="357"/>
        <v>0</v>
      </c>
      <c r="AU10" s="87">
        <f t="shared" si="357"/>
        <v>5765</v>
      </c>
      <c r="AV10" s="87">
        <f t="shared" si="357"/>
        <v>138360</v>
      </c>
      <c r="AW10" s="92">
        <f t="shared" ref="AW10" si="358">SUMIF(AI12:AV12,AW12,AI10:AV10)</f>
        <v>4870645</v>
      </c>
      <c r="AX10" s="92">
        <f t="shared" ref="AX10" si="359">SUMIF(AI12:AV12,AX12,AI10:AV10)</f>
        <v>115715080</v>
      </c>
      <c r="AY10" s="87">
        <f t="shared" ref="AY10:BL10" si="360">SUM(AY355,AY393,AY431)</f>
        <v>0</v>
      </c>
      <c r="AZ10" s="87">
        <f t="shared" si="360"/>
        <v>0</v>
      </c>
      <c r="BA10" s="87">
        <f t="shared" si="360"/>
        <v>0</v>
      </c>
      <c r="BB10" s="87">
        <f t="shared" si="360"/>
        <v>0</v>
      </c>
      <c r="BC10" s="87">
        <f t="shared" si="360"/>
        <v>0</v>
      </c>
      <c r="BD10" s="87">
        <f t="shared" si="360"/>
        <v>0</v>
      </c>
      <c r="BE10" s="87">
        <f t="shared" si="360"/>
        <v>1428297</v>
      </c>
      <c r="BF10" s="87">
        <f t="shared" si="360"/>
        <v>28201768</v>
      </c>
      <c r="BG10" s="87">
        <f t="shared" si="360"/>
        <v>3092</v>
      </c>
      <c r="BH10" s="87">
        <f t="shared" si="360"/>
        <v>70850</v>
      </c>
      <c r="BI10" s="87">
        <f t="shared" si="360"/>
        <v>0</v>
      </c>
      <c r="BJ10" s="87">
        <f t="shared" si="360"/>
        <v>0</v>
      </c>
      <c r="BK10" s="87">
        <f t="shared" si="360"/>
        <v>11176</v>
      </c>
      <c r="BL10" s="87">
        <f t="shared" si="360"/>
        <v>180086</v>
      </c>
      <c r="BM10" s="92">
        <f t="shared" ref="BM10" si="361">SUMIF(AY12:BL12,BM12,AY10:BL10)</f>
        <v>1442565</v>
      </c>
      <c r="BN10" s="92">
        <f t="shared" ref="BN10" si="362">SUMIF(AY12:BL12,BN12,AY10:BL10)</f>
        <v>28452704</v>
      </c>
      <c r="BO10" s="87">
        <f t="shared" ref="BO10:CB10" si="363">SUM(BO355,BO393,BO431)</f>
        <v>0</v>
      </c>
      <c r="BP10" s="87">
        <f t="shared" si="363"/>
        <v>0</v>
      </c>
      <c r="BQ10" s="87">
        <f t="shared" si="363"/>
        <v>0</v>
      </c>
      <c r="BR10" s="87">
        <f t="shared" si="363"/>
        <v>0</v>
      </c>
      <c r="BS10" s="87">
        <f t="shared" si="363"/>
        <v>0</v>
      </c>
      <c r="BT10" s="87">
        <f t="shared" si="363"/>
        <v>0</v>
      </c>
      <c r="BU10" s="87">
        <f t="shared" si="363"/>
        <v>213452</v>
      </c>
      <c r="BV10" s="87">
        <f t="shared" si="363"/>
        <v>4595376</v>
      </c>
      <c r="BW10" s="87">
        <f t="shared" si="363"/>
        <v>0</v>
      </c>
      <c r="BX10" s="87">
        <f t="shared" si="363"/>
        <v>0</v>
      </c>
      <c r="BY10" s="87">
        <f t="shared" si="363"/>
        <v>0</v>
      </c>
      <c r="BZ10" s="87">
        <f t="shared" si="363"/>
        <v>0</v>
      </c>
      <c r="CA10" s="87">
        <f t="shared" si="363"/>
        <v>0</v>
      </c>
      <c r="CB10" s="87">
        <f t="shared" si="363"/>
        <v>0</v>
      </c>
      <c r="CC10" s="92">
        <f t="shared" ref="CC10" si="364">SUMIF(BO12:CB12,CC12,BO10:CB10)</f>
        <v>213452</v>
      </c>
      <c r="CD10" s="92">
        <f t="shared" ref="CD10" si="365">SUMIF(BO12:CB12,CD12,BO10:CB10)</f>
        <v>4595376</v>
      </c>
      <c r="CE10" s="87">
        <f t="shared" ref="CE10:CR10" si="366">SUM(CE355,CE393,CE431)</f>
        <v>6470502.2353997882</v>
      </c>
      <c r="CF10" s="87">
        <f t="shared" si="366"/>
        <v>22770499.971943468</v>
      </c>
      <c r="CG10" s="87">
        <f t="shared" si="366"/>
        <v>18901827.285221849</v>
      </c>
      <c r="CH10" s="87">
        <f t="shared" si="366"/>
        <v>510944919.98044419</v>
      </c>
      <c r="CI10" s="87">
        <f t="shared" si="366"/>
        <v>0</v>
      </c>
      <c r="CJ10" s="87">
        <f t="shared" si="366"/>
        <v>0</v>
      </c>
      <c r="CK10" s="87">
        <f t="shared" si="366"/>
        <v>13377032.32938445</v>
      </c>
      <c r="CL10" s="87">
        <f t="shared" si="366"/>
        <v>255567524.87786174</v>
      </c>
      <c r="CM10" s="87">
        <f t="shared" si="366"/>
        <v>0</v>
      </c>
      <c r="CN10" s="87">
        <f t="shared" si="366"/>
        <v>0</v>
      </c>
      <c r="CO10" s="87">
        <f t="shared" si="366"/>
        <v>0</v>
      </c>
      <c r="CP10" s="87">
        <f t="shared" si="366"/>
        <v>0</v>
      </c>
      <c r="CQ10" s="87">
        <f t="shared" si="366"/>
        <v>0</v>
      </c>
      <c r="CR10" s="87">
        <f t="shared" si="366"/>
        <v>0</v>
      </c>
      <c r="CS10" s="92">
        <f t="shared" ref="CS10" si="367">SUMIF(CE12:CR12,CS12,CE10:CR10)</f>
        <v>38749361.850006089</v>
      </c>
      <c r="CT10" s="92">
        <f t="shared" ref="CT10" si="368">SUMIF(CE12:CR12,CT12,CE10:CR10)</f>
        <v>789282944.83024943</v>
      </c>
      <c r="CU10" s="87">
        <f t="shared" ref="CU10:DH10" si="369">SUM(CU355,CU393,CU431)</f>
        <v>0</v>
      </c>
      <c r="CV10" s="87">
        <f t="shared" si="369"/>
        <v>0</v>
      </c>
      <c r="CW10" s="87">
        <f t="shared" si="369"/>
        <v>1308359.9993748225</v>
      </c>
      <c r="CX10" s="87">
        <f t="shared" si="369"/>
        <v>75645055.620999992</v>
      </c>
      <c r="CY10" s="87">
        <f t="shared" si="369"/>
        <v>0</v>
      </c>
      <c r="CZ10" s="87">
        <f t="shared" si="369"/>
        <v>0</v>
      </c>
      <c r="DA10" s="87">
        <f t="shared" si="369"/>
        <v>3145979.534428631</v>
      </c>
      <c r="DB10" s="87">
        <f t="shared" si="369"/>
        <v>68177902.502000004</v>
      </c>
      <c r="DC10" s="87">
        <f t="shared" si="369"/>
        <v>6423</v>
      </c>
      <c r="DD10" s="87">
        <f t="shared" si="369"/>
        <v>159575</v>
      </c>
      <c r="DE10" s="87">
        <f t="shared" si="369"/>
        <v>0</v>
      </c>
      <c r="DF10" s="87">
        <f t="shared" si="369"/>
        <v>0</v>
      </c>
      <c r="DG10" s="87">
        <f t="shared" si="369"/>
        <v>0</v>
      </c>
      <c r="DH10" s="87">
        <f t="shared" si="369"/>
        <v>0</v>
      </c>
      <c r="DI10" s="92">
        <f t="shared" ref="DI10" si="370">SUMIF(CU12:DH12,DI12,CU10:DH10)</f>
        <v>4460762.5338034537</v>
      </c>
      <c r="DJ10" s="92">
        <f t="shared" ref="DJ10" si="371">SUMIF(CU12:DH12,DJ12,CU10:DH10)</f>
        <v>143982533.123</v>
      </c>
      <c r="DK10" s="87">
        <f t="shared" ref="DK10:DX10" si="372">SUM(DK355,DK393,DK431)</f>
        <v>0</v>
      </c>
      <c r="DL10" s="87">
        <f t="shared" si="372"/>
        <v>0</v>
      </c>
      <c r="DM10" s="87">
        <f t="shared" si="372"/>
        <v>0</v>
      </c>
      <c r="DN10" s="87">
        <f t="shared" si="372"/>
        <v>0</v>
      </c>
      <c r="DO10" s="87">
        <f t="shared" si="372"/>
        <v>0</v>
      </c>
      <c r="DP10" s="87">
        <f t="shared" si="372"/>
        <v>0</v>
      </c>
      <c r="DQ10" s="87">
        <f t="shared" si="372"/>
        <v>3666600</v>
      </c>
      <c r="DR10" s="87">
        <f t="shared" si="372"/>
        <v>70797100</v>
      </c>
      <c r="DS10" s="87">
        <f t="shared" si="372"/>
        <v>0</v>
      </c>
      <c r="DT10" s="87">
        <f t="shared" si="372"/>
        <v>0</v>
      </c>
      <c r="DU10" s="87">
        <f t="shared" si="372"/>
        <v>0</v>
      </c>
      <c r="DV10" s="87">
        <f t="shared" si="372"/>
        <v>0</v>
      </c>
      <c r="DW10" s="87">
        <f t="shared" si="372"/>
        <v>0</v>
      </c>
      <c r="DX10" s="87">
        <f t="shared" si="372"/>
        <v>0</v>
      </c>
      <c r="DY10" s="92">
        <f t="shared" ref="DY10" si="373">SUMIF(DK12:DX12,DY12,DK10:DX10)</f>
        <v>3666600</v>
      </c>
      <c r="DZ10" s="92">
        <f t="shared" ref="DZ10" si="374">SUMIF(DK12:DX12,DZ12,DK10:DX10)</f>
        <v>70797100</v>
      </c>
      <c r="EA10" s="87">
        <f t="shared" ref="EA10:EN10" si="375">SUM(EA355,EA393,EA431)</f>
        <v>0</v>
      </c>
      <c r="EB10" s="87">
        <f t="shared" si="375"/>
        <v>0</v>
      </c>
      <c r="EC10" s="87">
        <f t="shared" si="375"/>
        <v>0</v>
      </c>
      <c r="ED10" s="87">
        <f t="shared" si="375"/>
        <v>0</v>
      </c>
      <c r="EE10" s="87">
        <f t="shared" si="375"/>
        <v>0</v>
      </c>
      <c r="EF10" s="87">
        <f t="shared" si="375"/>
        <v>0</v>
      </c>
      <c r="EG10" s="87">
        <f t="shared" si="375"/>
        <v>6081250</v>
      </c>
      <c r="EH10" s="87">
        <f t="shared" si="375"/>
        <v>117905070</v>
      </c>
      <c r="EI10" s="87">
        <f t="shared" si="375"/>
        <v>0</v>
      </c>
      <c r="EJ10" s="87">
        <f t="shared" si="375"/>
        <v>0</v>
      </c>
      <c r="EK10" s="87">
        <f t="shared" si="375"/>
        <v>0</v>
      </c>
      <c r="EL10" s="87">
        <f t="shared" si="375"/>
        <v>0</v>
      </c>
      <c r="EM10" s="87">
        <f t="shared" si="375"/>
        <v>0</v>
      </c>
      <c r="EN10" s="87">
        <f t="shared" si="375"/>
        <v>0</v>
      </c>
      <c r="EO10" s="92">
        <f t="shared" ref="EO10" si="376">SUMIF(EA12:EN12,EO12,EA10:EN10)</f>
        <v>6081250</v>
      </c>
      <c r="EP10" s="92">
        <f t="shared" ref="EP10" si="377">SUMIF(EA12:EN12,EP12,EA10:EN10)</f>
        <v>117905070</v>
      </c>
      <c r="EQ10" s="87">
        <f t="shared" ref="EQ10:FD10" si="378">SUM(EQ355,EQ393,EQ431)</f>
        <v>0</v>
      </c>
      <c r="ER10" s="87">
        <f t="shared" si="378"/>
        <v>0</v>
      </c>
      <c r="ES10" s="87">
        <f t="shared" si="378"/>
        <v>1070271</v>
      </c>
      <c r="ET10" s="87">
        <f t="shared" si="378"/>
        <v>63435530</v>
      </c>
      <c r="EU10" s="87">
        <f t="shared" si="378"/>
        <v>0</v>
      </c>
      <c r="EV10" s="87">
        <f t="shared" si="378"/>
        <v>0</v>
      </c>
      <c r="EW10" s="87">
        <f t="shared" si="378"/>
        <v>707638</v>
      </c>
      <c r="EX10" s="87">
        <f t="shared" si="378"/>
        <v>18044985</v>
      </c>
      <c r="EY10" s="87">
        <f t="shared" si="378"/>
        <v>0</v>
      </c>
      <c r="EZ10" s="87">
        <f t="shared" si="378"/>
        <v>0</v>
      </c>
      <c r="FA10" s="87">
        <f t="shared" si="378"/>
        <v>7408</v>
      </c>
      <c r="FB10" s="87">
        <f t="shared" si="378"/>
        <v>133344</v>
      </c>
      <c r="FC10" s="87">
        <f t="shared" si="378"/>
        <v>531</v>
      </c>
      <c r="FD10" s="87">
        <f t="shared" si="378"/>
        <v>10620</v>
      </c>
      <c r="FE10" s="92">
        <f t="shared" ref="FE10" si="379">SUMIF(EQ12:FD12,FE12,EQ10:FD10)</f>
        <v>1785848</v>
      </c>
      <c r="FF10" s="92">
        <f t="shared" ref="FF10" si="380">SUMIF(EQ12:FD12,FF12,EQ10:FD10)</f>
        <v>81624479</v>
      </c>
      <c r="FG10" s="87">
        <f t="shared" ref="FG10:FT10" si="381">SUM(FG355,FG393,FG431)</f>
        <v>0</v>
      </c>
      <c r="FH10" s="87">
        <f t="shared" si="381"/>
        <v>0</v>
      </c>
      <c r="FI10" s="87">
        <f t="shared" si="381"/>
        <v>375000</v>
      </c>
      <c r="FJ10" s="87">
        <f t="shared" si="381"/>
        <v>22500000</v>
      </c>
      <c r="FK10" s="87">
        <f t="shared" si="381"/>
        <v>0</v>
      </c>
      <c r="FL10" s="87">
        <f t="shared" si="381"/>
        <v>0</v>
      </c>
      <c r="FM10" s="87">
        <f t="shared" si="381"/>
        <v>685000</v>
      </c>
      <c r="FN10" s="87">
        <f t="shared" si="381"/>
        <v>17300522.5</v>
      </c>
      <c r="FO10" s="87">
        <f t="shared" si="381"/>
        <v>0</v>
      </c>
      <c r="FP10" s="87">
        <f t="shared" si="381"/>
        <v>0</v>
      </c>
      <c r="FQ10" s="87">
        <f t="shared" si="381"/>
        <v>0</v>
      </c>
      <c r="FR10" s="87">
        <f t="shared" si="381"/>
        <v>0</v>
      </c>
      <c r="FS10" s="87">
        <f t="shared" si="381"/>
        <v>225386</v>
      </c>
      <c r="FT10" s="87">
        <f t="shared" si="381"/>
        <v>6480808</v>
      </c>
      <c r="FU10" s="92">
        <f t="shared" ref="FU10" si="382">SUMIF(FG12:FT12,FU12,FG10:FT10)</f>
        <v>1285386</v>
      </c>
      <c r="FV10" s="92">
        <f t="shared" ref="FV10" si="383">SUMIF(FG12:FT12,FV12,FG10:FT10)</f>
        <v>46281330.5</v>
      </c>
      <c r="FW10" s="87">
        <f t="shared" ref="FW10:GJ10" si="384">SUM(FW355,FW393,FW431)</f>
        <v>0</v>
      </c>
      <c r="FX10" s="87">
        <f t="shared" si="384"/>
        <v>0</v>
      </c>
      <c r="FY10" s="87">
        <f t="shared" si="384"/>
        <v>0</v>
      </c>
      <c r="FZ10" s="87">
        <f t="shared" si="384"/>
        <v>0</v>
      </c>
      <c r="GA10" s="87">
        <f t="shared" si="384"/>
        <v>0</v>
      </c>
      <c r="GB10" s="87">
        <f t="shared" si="384"/>
        <v>0</v>
      </c>
      <c r="GC10" s="87">
        <f t="shared" si="384"/>
        <v>994550</v>
      </c>
      <c r="GD10" s="87">
        <f t="shared" si="384"/>
        <v>20816050</v>
      </c>
      <c r="GE10" s="87">
        <f t="shared" si="384"/>
        <v>0</v>
      </c>
      <c r="GF10" s="87">
        <f t="shared" si="384"/>
        <v>0</v>
      </c>
      <c r="GG10" s="87">
        <f t="shared" si="384"/>
        <v>0</v>
      </c>
      <c r="GH10" s="87">
        <f t="shared" si="384"/>
        <v>0</v>
      </c>
      <c r="GI10" s="87">
        <f t="shared" si="384"/>
        <v>0</v>
      </c>
      <c r="GJ10" s="87">
        <f t="shared" si="384"/>
        <v>0</v>
      </c>
      <c r="GK10" s="92">
        <f t="shared" ref="GK10" si="385">SUMIF(FW12:GJ12,GK12,FW10:GJ10)</f>
        <v>994550</v>
      </c>
      <c r="GL10" s="92">
        <f t="shared" ref="GL10" si="386">SUMIF(FW12:GJ12,GL12,FW10:GJ10)</f>
        <v>20816050</v>
      </c>
      <c r="GM10" s="87">
        <f t="shared" ref="GM10:GZ10" si="387">SUM(GM355,GM393,GM431)</f>
        <v>0</v>
      </c>
      <c r="GN10" s="87">
        <f t="shared" si="387"/>
        <v>0</v>
      </c>
      <c r="GO10" s="87">
        <f t="shared" si="387"/>
        <v>0</v>
      </c>
      <c r="GP10" s="87">
        <f t="shared" si="387"/>
        <v>0</v>
      </c>
      <c r="GQ10" s="87">
        <f t="shared" si="387"/>
        <v>0</v>
      </c>
      <c r="GR10" s="87">
        <f t="shared" si="387"/>
        <v>0</v>
      </c>
      <c r="GS10" s="87">
        <f t="shared" si="387"/>
        <v>461600</v>
      </c>
      <c r="GT10" s="87">
        <f t="shared" si="387"/>
        <v>8880150</v>
      </c>
      <c r="GU10" s="87">
        <f t="shared" si="387"/>
        <v>0</v>
      </c>
      <c r="GV10" s="87">
        <f t="shared" si="387"/>
        <v>0</v>
      </c>
      <c r="GW10" s="87">
        <f t="shared" si="387"/>
        <v>0</v>
      </c>
      <c r="GX10" s="87">
        <f t="shared" si="387"/>
        <v>0</v>
      </c>
      <c r="GY10" s="87">
        <f t="shared" si="387"/>
        <v>410</v>
      </c>
      <c r="GZ10" s="87">
        <f t="shared" si="387"/>
        <v>11445</v>
      </c>
      <c r="HA10" s="92">
        <f t="shared" ref="HA10" si="388">SUMIF(GM12:GZ12,HA12,GM10:GZ10)</f>
        <v>462010</v>
      </c>
      <c r="HB10" s="92">
        <f t="shared" ref="HB10" si="389">SUMIF(GM12:GZ12,HB12,GM10:GZ10)</f>
        <v>8891595</v>
      </c>
      <c r="HC10" s="87">
        <f t="shared" ref="HC10:HP10" si="390">SUM(HC355,HC393,HC431)</f>
        <v>0</v>
      </c>
      <c r="HD10" s="87">
        <f t="shared" si="390"/>
        <v>0</v>
      </c>
      <c r="HE10" s="87">
        <f t="shared" si="390"/>
        <v>470000</v>
      </c>
      <c r="HF10" s="87">
        <f t="shared" si="390"/>
        <v>31980000</v>
      </c>
      <c r="HG10" s="87">
        <f t="shared" si="390"/>
        <v>0</v>
      </c>
      <c r="HH10" s="87">
        <f t="shared" si="390"/>
        <v>0</v>
      </c>
      <c r="HI10" s="87">
        <f t="shared" si="390"/>
        <v>2034500</v>
      </c>
      <c r="HJ10" s="87">
        <f t="shared" si="390"/>
        <v>38289000</v>
      </c>
      <c r="HK10" s="87">
        <f t="shared" si="390"/>
        <v>0</v>
      </c>
      <c r="HL10" s="87">
        <f t="shared" si="390"/>
        <v>0</v>
      </c>
      <c r="HM10" s="87">
        <f t="shared" si="390"/>
        <v>0</v>
      </c>
      <c r="HN10" s="87">
        <f t="shared" si="390"/>
        <v>0</v>
      </c>
      <c r="HO10" s="87">
        <f t="shared" si="390"/>
        <v>1100000</v>
      </c>
      <c r="HP10" s="87">
        <f t="shared" si="390"/>
        <v>25300000</v>
      </c>
      <c r="HQ10" s="92">
        <f t="shared" ref="HQ10" si="391">SUMIF(HC12:HP12,HQ12,HC10:HP10)</f>
        <v>3604500</v>
      </c>
      <c r="HR10" s="92">
        <f t="shared" ref="HR10" si="392">SUMIF(HC12:HP12,HR12,HC10:HP10)</f>
        <v>95569000</v>
      </c>
      <c r="HS10" s="87">
        <f t="shared" ref="HS10:IF10" si="393">SUM(HS355,HS393,HS431)</f>
        <v>0</v>
      </c>
      <c r="HT10" s="87">
        <f t="shared" si="393"/>
        <v>0</v>
      </c>
      <c r="HU10" s="87">
        <f t="shared" si="393"/>
        <v>0</v>
      </c>
      <c r="HV10" s="87">
        <f t="shared" si="393"/>
        <v>0</v>
      </c>
      <c r="HW10" s="87">
        <f t="shared" si="393"/>
        <v>0</v>
      </c>
      <c r="HX10" s="87">
        <f t="shared" si="393"/>
        <v>0</v>
      </c>
      <c r="HY10" s="87">
        <f t="shared" si="393"/>
        <v>462360</v>
      </c>
      <c r="HZ10" s="87">
        <f t="shared" si="393"/>
        <v>8603100</v>
      </c>
      <c r="IA10" s="87">
        <f t="shared" si="393"/>
        <v>0</v>
      </c>
      <c r="IB10" s="87">
        <f t="shared" si="393"/>
        <v>0</v>
      </c>
      <c r="IC10" s="87">
        <f t="shared" si="393"/>
        <v>0</v>
      </c>
      <c r="ID10" s="87">
        <f t="shared" si="393"/>
        <v>0</v>
      </c>
      <c r="IE10" s="87">
        <f t="shared" si="393"/>
        <v>500</v>
      </c>
      <c r="IF10" s="87">
        <f t="shared" si="393"/>
        <v>12500</v>
      </c>
      <c r="IG10" s="92">
        <f t="shared" ref="IG10" si="394">SUMIF(HS12:IF12,IG12,HS10:IF10)</f>
        <v>462860</v>
      </c>
      <c r="IH10" s="92">
        <f t="shared" ref="IH10" si="395">SUMIF(HS12:IF12,IH12,HS10:IF10)</f>
        <v>8615600</v>
      </c>
      <c r="II10" s="87">
        <f t="shared" ref="II10:IV10" si="396">SUM(II355,II393,II431)</f>
        <v>0</v>
      </c>
      <c r="IJ10" s="87">
        <f t="shared" si="396"/>
        <v>0</v>
      </c>
      <c r="IK10" s="87">
        <f t="shared" si="396"/>
        <v>0</v>
      </c>
      <c r="IL10" s="87">
        <f t="shared" si="396"/>
        <v>0</v>
      </c>
      <c r="IM10" s="87">
        <f t="shared" si="396"/>
        <v>0</v>
      </c>
      <c r="IN10" s="87">
        <f t="shared" si="396"/>
        <v>0</v>
      </c>
      <c r="IO10" s="87">
        <f t="shared" si="396"/>
        <v>2605000</v>
      </c>
      <c r="IP10" s="87">
        <f t="shared" si="396"/>
        <v>52072960</v>
      </c>
      <c r="IQ10" s="87">
        <f t="shared" si="396"/>
        <v>0</v>
      </c>
      <c r="IR10" s="87">
        <f t="shared" si="396"/>
        <v>0</v>
      </c>
      <c r="IS10" s="87">
        <f t="shared" si="396"/>
        <v>0</v>
      </c>
      <c r="IT10" s="87">
        <f t="shared" si="396"/>
        <v>0</v>
      </c>
      <c r="IU10" s="87">
        <f t="shared" si="396"/>
        <v>0</v>
      </c>
      <c r="IV10" s="87">
        <f t="shared" si="396"/>
        <v>0</v>
      </c>
      <c r="IW10" s="92">
        <f t="shared" ref="IW10" si="397">SUMIF(II12:IV12,IW12,II10:IV10)</f>
        <v>2605000</v>
      </c>
      <c r="IX10" s="92">
        <f t="shared" ref="IX10" si="398">SUMIF(II12:IV12,IX12,II10:IV10)</f>
        <v>52072960</v>
      </c>
      <c r="IY10" s="87">
        <f t="shared" ref="IY10:JL10" si="399">SUM(IY355,IY393,IY431)</f>
        <v>0</v>
      </c>
      <c r="IZ10" s="87">
        <f t="shared" si="399"/>
        <v>0</v>
      </c>
      <c r="JA10" s="87">
        <f t="shared" si="399"/>
        <v>0</v>
      </c>
      <c r="JB10" s="87">
        <f t="shared" si="399"/>
        <v>0</v>
      </c>
      <c r="JC10" s="87">
        <f t="shared" si="399"/>
        <v>0</v>
      </c>
      <c r="JD10" s="87">
        <f t="shared" si="399"/>
        <v>0</v>
      </c>
      <c r="JE10" s="87">
        <f t="shared" si="399"/>
        <v>1078062</v>
      </c>
      <c r="JF10" s="87">
        <f t="shared" si="399"/>
        <v>20490966</v>
      </c>
      <c r="JG10" s="87">
        <f t="shared" si="399"/>
        <v>0</v>
      </c>
      <c r="JH10" s="87">
        <f t="shared" si="399"/>
        <v>0</v>
      </c>
      <c r="JI10" s="87">
        <f t="shared" si="399"/>
        <v>0</v>
      </c>
      <c r="JJ10" s="87">
        <f t="shared" si="399"/>
        <v>0</v>
      </c>
      <c r="JK10" s="87">
        <f t="shared" si="399"/>
        <v>18680</v>
      </c>
      <c r="JL10" s="87">
        <f t="shared" si="399"/>
        <v>350640</v>
      </c>
      <c r="JM10" s="92">
        <f t="shared" ref="JM10" si="400">SUMIF(IY12:JL12,JM12,IY10:JL10)</f>
        <v>1096742</v>
      </c>
      <c r="JN10" s="92">
        <f t="shared" ref="JN10" si="401">SUMIF(IY12:JL12,JN12,IY10:JL10)</f>
        <v>20841606</v>
      </c>
      <c r="JO10" s="87">
        <f t="shared" ref="JO10:KB10" si="402">SUM(JO355,JO393,JO431)</f>
        <v>0</v>
      </c>
      <c r="JP10" s="87">
        <f t="shared" si="402"/>
        <v>0</v>
      </c>
      <c r="JQ10" s="87">
        <f t="shared" si="402"/>
        <v>495644</v>
      </c>
      <c r="JR10" s="87">
        <f t="shared" si="402"/>
        <v>39665620</v>
      </c>
      <c r="JS10" s="87">
        <f t="shared" si="402"/>
        <v>0</v>
      </c>
      <c r="JT10" s="87">
        <f t="shared" si="402"/>
        <v>0</v>
      </c>
      <c r="JU10" s="87">
        <f t="shared" si="402"/>
        <v>290055</v>
      </c>
      <c r="JV10" s="87">
        <f t="shared" si="402"/>
        <v>7687664</v>
      </c>
      <c r="JW10" s="87">
        <f t="shared" si="402"/>
        <v>0</v>
      </c>
      <c r="JX10" s="87">
        <f t="shared" si="402"/>
        <v>0</v>
      </c>
      <c r="JY10" s="87">
        <f t="shared" si="402"/>
        <v>0</v>
      </c>
      <c r="JZ10" s="87">
        <f t="shared" si="402"/>
        <v>0</v>
      </c>
      <c r="KA10" s="87">
        <f t="shared" si="402"/>
        <v>0</v>
      </c>
      <c r="KB10" s="87">
        <f t="shared" si="402"/>
        <v>0</v>
      </c>
      <c r="KC10" s="92">
        <f t="shared" ref="KC10" si="403">SUMIF(JO12:KB12,KC12,JO10:KB10)</f>
        <v>785699</v>
      </c>
      <c r="KD10" s="92">
        <f t="shared" ref="KD10" si="404">SUMIF(JO12:KB12,KD12,JO10:KB10)</f>
        <v>47353284</v>
      </c>
      <c r="KE10" s="87">
        <f t="shared" ref="KE10:KR10" si="405">SUM(KE355,KE393,KE431)</f>
        <v>0</v>
      </c>
      <c r="KF10" s="87">
        <f t="shared" si="405"/>
        <v>0</v>
      </c>
      <c r="KG10" s="87">
        <f t="shared" si="405"/>
        <v>165111</v>
      </c>
      <c r="KH10" s="87">
        <f t="shared" si="405"/>
        <v>10207097</v>
      </c>
      <c r="KI10" s="87">
        <f t="shared" si="405"/>
        <v>0</v>
      </c>
      <c r="KJ10" s="87">
        <f t="shared" si="405"/>
        <v>0</v>
      </c>
      <c r="KK10" s="87">
        <f t="shared" si="405"/>
        <v>269027</v>
      </c>
      <c r="KL10" s="87">
        <f t="shared" si="405"/>
        <v>5406965</v>
      </c>
      <c r="KM10" s="87">
        <f t="shared" si="405"/>
        <v>0</v>
      </c>
      <c r="KN10" s="87">
        <f t="shared" si="405"/>
        <v>0</v>
      </c>
      <c r="KO10" s="87">
        <f t="shared" si="405"/>
        <v>0</v>
      </c>
      <c r="KP10" s="87">
        <f t="shared" si="405"/>
        <v>0</v>
      </c>
      <c r="KQ10" s="87">
        <f t="shared" si="405"/>
        <v>0</v>
      </c>
      <c r="KR10" s="87">
        <f t="shared" si="405"/>
        <v>0</v>
      </c>
      <c r="KS10" s="92">
        <f t="shared" ref="KS10" si="406">SUMIF(KE12:KR12,KS12,KE10:KR10)</f>
        <v>434138</v>
      </c>
      <c r="KT10" s="92">
        <f t="shared" ref="KT10" si="407">SUMIF(KE12:KR12,KT12,KE10:KR10)</f>
        <v>15614062</v>
      </c>
      <c r="KU10" s="87">
        <f t="shared" ref="KU10:LH10" si="408">SUM(KU355,KU393,KU431)</f>
        <v>0</v>
      </c>
      <c r="KV10" s="87">
        <f t="shared" si="408"/>
        <v>0</v>
      </c>
      <c r="KW10" s="87">
        <f t="shared" si="408"/>
        <v>2582870.71</v>
      </c>
      <c r="KX10" s="87">
        <f t="shared" si="408"/>
        <v>43600731</v>
      </c>
      <c r="KY10" s="87">
        <f t="shared" si="408"/>
        <v>0</v>
      </c>
      <c r="KZ10" s="87">
        <f t="shared" si="408"/>
        <v>0</v>
      </c>
      <c r="LA10" s="87">
        <f t="shared" si="408"/>
        <v>3420875.93</v>
      </c>
      <c r="LB10" s="87">
        <f t="shared" si="408"/>
        <v>62173357</v>
      </c>
      <c r="LC10" s="87">
        <f t="shared" si="408"/>
        <v>0</v>
      </c>
      <c r="LD10" s="87">
        <f t="shared" si="408"/>
        <v>0</v>
      </c>
      <c r="LE10" s="87">
        <f t="shared" si="408"/>
        <v>0</v>
      </c>
      <c r="LF10" s="87">
        <f t="shared" si="408"/>
        <v>0</v>
      </c>
      <c r="LG10" s="87">
        <f t="shared" si="408"/>
        <v>35775.56</v>
      </c>
      <c r="LH10" s="87">
        <f t="shared" si="408"/>
        <v>930162</v>
      </c>
      <c r="LI10" s="92">
        <f t="shared" ref="LI10" si="409">SUMIF(KU12:LH12,LI12,KU10:LH10)</f>
        <v>6039522.2000000002</v>
      </c>
      <c r="LJ10" s="92">
        <f t="shared" ref="LJ10" si="410">SUMIF(KU12:LH12,LJ12,KU10:LH10)</f>
        <v>106704250</v>
      </c>
      <c r="LK10" s="87">
        <f t="shared" ref="LK10:LX10" si="411">SUM(LK355,LK393,LK431)</f>
        <v>0</v>
      </c>
      <c r="LL10" s="87">
        <f t="shared" si="411"/>
        <v>0</v>
      </c>
      <c r="LM10" s="87">
        <f t="shared" si="411"/>
        <v>0</v>
      </c>
      <c r="LN10" s="87">
        <f t="shared" si="411"/>
        <v>0</v>
      </c>
      <c r="LO10" s="87">
        <f t="shared" si="411"/>
        <v>0</v>
      </c>
      <c r="LP10" s="87">
        <f t="shared" si="411"/>
        <v>0</v>
      </c>
      <c r="LQ10" s="87">
        <f t="shared" si="411"/>
        <v>526587</v>
      </c>
      <c r="LR10" s="87">
        <f t="shared" si="411"/>
        <v>10810906.530000001</v>
      </c>
      <c r="LS10" s="87">
        <f t="shared" si="411"/>
        <v>0</v>
      </c>
      <c r="LT10" s="87">
        <f t="shared" si="411"/>
        <v>0</v>
      </c>
      <c r="LU10" s="87">
        <f t="shared" si="411"/>
        <v>0</v>
      </c>
      <c r="LV10" s="87">
        <f t="shared" si="411"/>
        <v>0</v>
      </c>
      <c r="LW10" s="87">
        <f t="shared" si="411"/>
        <v>3765</v>
      </c>
      <c r="LX10" s="87">
        <f t="shared" si="411"/>
        <v>113760</v>
      </c>
      <c r="LY10" s="92">
        <f t="shared" ref="LY10" si="412">SUMIF(LK12:LX12,LY12,LK10:LX10)</f>
        <v>530352</v>
      </c>
      <c r="LZ10" s="92">
        <f t="shared" ref="LZ10" si="413">SUMIF(LK12:LX12,LZ12,LK10:LX10)</f>
        <v>10924666.530000001</v>
      </c>
      <c r="MA10" s="87">
        <f>SUM(MA355,MA393,MA431)</f>
        <v>159100</v>
      </c>
      <c r="MB10" s="87">
        <f t="shared" ref="MB10:MN10" si="414">SUM(MB355,MB393,MB431)</f>
        <v>13523500</v>
      </c>
      <c r="MC10" s="87">
        <f t="shared" si="414"/>
        <v>2423860</v>
      </c>
      <c r="MD10" s="87">
        <f t="shared" si="414"/>
        <v>118247490</v>
      </c>
      <c r="ME10" s="87">
        <f t="shared" si="414"/>
        <v>0</v>
      </c>
      <c r="MF10" s="87">
        <f t="shared" si="414"/>
        <v>0</v>
      </c>
      <c r="MG10" s="87">
        <f t="shared" si="414"/>
        <v>212090</v>
      </c>
      <c r="MH10" s="87">
        <f t="shared" si="414"/>
        <v>3924840</v>
      </c>
      <c r="MI10" s="87">
        <f t="shared" si="414"/>
        <v>0</v>
      </c>
      <c r="MJ10" s="87">
        <f t="shared" si="414"/>
        <v>0</v>
      </c>
      <c r="MK10" s="87">
        <f t="shared" si="414"/>
        <v>0</v>
      </c>
      <c r="ML10" s="87">
        <f t="shared" si="414"/>
        <v>0</v>
      </c>
      <c r="MM10" s="87">
        <f t="shared" si="414"/>
        <v>11820</v>
      </c>
      <c r="MN10" s="87">
        <f t="shared" si="414"/>
        <v>212760</v>
      </c>
      <c r="MO10" s="92">
        <f t="shared" ref="MO10" si="415">SUMIF(MA12:MN12,MO12,MA10:MN10)</f>
        <v>2806870</v>
      </c>
      <c r="MP10" s="92">
        <f t="shared" ref="MP10" si="416">SUMIF(MA12:MN12,MP12,MA10:MN10)</f>
        <v>135908590</v>
      </c>
      <c r="MQ10" s="87">
        <f t="shared" ref="MQ10:ND10" si="417">SUM(MQ355,MQ393,MQ431)</f>
        <v>0</v>
      </c>
      <c r="MR10" s="87">
        <f t="shared" si="417"/>
        <v>0</v>
      </c>
      <c r="MS10" s="87">
        <f t="shared" si="417"/>
        <v>197096</v>
      </c>
      <c r="MT10" s="87">
        <f t="shared" si="417"/>
        <v>5393932</v>
      </c>
      <c r="MU10" s="87">
        <f t="shared" si="417"/>
        <v>0</v>
      </c>
      <c r="MV10" s="87">
        <f t="shared" si="417"/>
        <v>0</v>
      </c>
      <c r="MW10" s="87">
        <f t="shared" si="417"/>
        <v>66550</v>
      </c>
      <c r="MX10" s="87">
        <f t="shared" si="417"/>
        <v>1531280</v>
      </c>
      <c r="MY10" s="87">
        <f t="shared" si="417"/>
        <v>0</v>
      </c>
      <c r="MZ10" s="87">
        <f t="shared" si="417"/>
        <v>0</v>
      </c>
      <c r="NA10" s="87">
        <f t="shared" si="417"/>
        <v>0</v>
      </c>
      <c r="NB10" s="87">
        <f t="shared" si="417"/>
        <v>0</v>
      </c>
      <c r="NC10" s="87">
        <f t="shared" si="417"/>
        <v>0</v>
      </c>
      <c r="ND10" s="87">
        <f t="shared" si="417"/>
        <v>0</v>
      </c>
      <c r="NE10" s="92">
        <f t="shared" ref="NE10" si="418">SUMIF(MQ12:ND12,NE12,MQ10:ND10)</f>
        <v>263646</v>
      </c>
      <c r="NF10" s="92">
        <f t="shared" ref="NF10" si="419">SUMIF(MQ12:ND12,NF12,MQ10:ND10)</f>
        <v>6925212</v>
      </c>
      <c r="NG10" s="87">
        <f t="shared" ref="NG10:NT10" si="420">SUM(NG355,NG393,NG431)</f>
        <v>0</v>
      </c>
      <c r="NH10" s="87">
        <f t="shared" si="420"/>
        <v>0</v>
      </c>
      <c r="NI10" s="87">
        <f t="shared" si="420"/>
        <v>17909831</v>
      </c>
      <c r="NJ10" s="87">
        <f t="shared" si="420"/>
        <v>458002518</v>
      </c>
      <c r="NK10" s="87">
        <f t="shared" si="420"/>
        <v>0</v>
      </c>
      <c r="NL10" s="87">
        <f t="shared" si="420"/>
        <v>0</v>
      </c>
      <c r="NM10" s="87">
        <f t="shared" si="420"/>
        <v>7178400</v>
      </c>
      <c r="NN10" s="87">
        <f t="shared" si="420"/>
        <v>116243400</v>
      </c>
      <c r="NO10" s="87">
        <f t="shared" si="420"/>
        <v>502700</v>
      </c>
      <c r="NP10" s="87">
        <f t="shared" si="420"/>
        <v>10724400</v>
      </c>
      <c r="NQ10" s="87">
        <f t="shared" si="420"/>
        <v>81219</v>
      </c>
      <c r="NR10" s="87">
        <f t="shared" si="420"/>
        <v>1486838</v>
      </c>
      <c r="NS10" s="87">
        <f t="shared" si="420"/>
        <v>0</v>
      </c>
      <c r="NT10" s="87">
        <f t="shared" si="420"/>
        <v>0</v>
      </c>
      <c r="NU10" s="92">
        <f t="shared" ref="NU10" si="421">SUMIF(NG12:NT12,NU12,NG10:NT10)</f>
        <v>25672150</v>
      </c>
      <c r="NV10" s="92">
        <f t="shared" ref="NV10" si="422">SUMIF(NG12:NT12,NV12,NG10:NT10)</f>
        <v>586457156</v>
      </c>
      <c r="NW10" s="87">
        <f t="shared" ref="NW10:OJ10" si="423">SUM(NW355,NW393,NW431)</f>
        <v>22950</v>
      </c>
      <c r="NX10" s="87">
        <f t="shared" si="423"/>
        <v>533200</v>
      </c>
      <c r="NY10" s="87">
        <f t="shared" si="423"/>
        <v>2269650</v>
      </c>
      <c r="NZ10" s="87">
        <f t="shared" si="423"/>
        <v>89799988</v>
      </c>
      <c r="OA10" s="87">
        <f t="shared" si="423"/>
        <v>0</v>
      </c>
      <c r="OB10" s="87">
        <f t="shared" si="423"/>
        <v>0</v>
      </c>
      <c r="OC10" s="87">
        <f t="shared" si="423"/>
        <v>182436</v>
      </c>
      <c r="OD10" s="87">
        <f t="shared" si="423"/>
        <v>3494655</v>
      </c>
      <c r="OE10" s="87">
        <f t="shared" si="423"/>
        <v>0</v>
      </c>
      <c r="OF10" s="87">
        <f t="shared" si="423"/>
        <v>0</v>
      </c>
      <c r="OG10" s="87">
        <f t="shared" si="423"/>
        <v>0</v>
      </c>
      <c r="OH10" s="87">
        <f t="shared" si="423"/>
        <v>0</v>
      </c>
      <c r="OI10" s="87">
        <f t="shared" si="423"/>
        <v>0</v>
      </c>
      <c r="OJ10" s="87">
        <f t="shared" si="423"/>
        <v>0</v>
      </c>
      <c r="OK10" s="92">
        <f t="shared" ref="OK10" si="424">SUMIF(NW12:OJ12,OK12,NW10:OJ10)</f>
        <v>2475036</v>
      </c>
      <c r="OL10" s="92">
        <f t="shared" ref="OL10" si="425">SUMIF(NW12:OJ12,OL12,NW10:OJ10)</f>
        <v>93827843</v>
      </c>
      <c r="OM10" s="87">
        <f t="shared" ref="OM10:OZ10" si="426">SUM(OM355,OM393,OM431)</f>
        <v>213939600</v>
      </c>
      <c r="ON10" s="87">
        <f t="shared" si="426"/>
        <v>1085415000</v>
      </c>
      <c r="OO10" s="87">
        <f t="shared" si="426"/>
        <v>1568387</v>
      </c>
      <c r="OP10" s="87">
        <f t="shared" si="426"/>
        <v>97511821</v>
      </c>
      <c r="OQ10" s="87">
        <f t="shared" si="426"/>
        <v>0</v>
      </c>
      <c r="OR10" s="87">
        <f t="shared" si="426"/>
        <v>0</v>
      </c>
      <c r="OS10" s="87">
        <f t="shared" si="426"/>
        <v>119156</v>
      </c>
      <c r="OT10" s="87">
        <f t="shared" si="426"/>
        <v>2620476</v>
      </c>
      <c r="OU10" s="87">
        <f t="shared" si="426"/>
        <v>0</v>
      </c>
      <c r="OV10" s="87">
        <f t="shared" si="426"/>
        <v>0</v>
      </c>
      <c r="OW10" s="87">
        <f t="shared" si="426"/>
        <v>0</v>
      </c>
      <c r="OX10" s="87">
        <f t="shared" si="426"/>
        <v>0</v>
      </c>
      <c r="OY10" s="87">
        <f t="shared" si="426"/>
        <v>0</v>
      </c>
      <c r="OZ10" s="87">
        <f t="shared" si="426"/>
        <v>0</v>
      </c>
      <c r="PA10" s="92">
        <f t="shared" ref="PA10" si="427">SUMIF(OM12:OZ12,PA12,OM10:OZ10)</f>
        <v>215627143</v>
      </c>
      <c r="PB10" s="92">
        <f t="shared" ref="PB10" si="428">SUMIF(OM12:OZ12,PB12,OM10:OZ10)</f>
        <v>1185547297</v>
      </c>
      <c r="PC10" s="87">
        <f t="shared" ref="PC10:PP10" si="429">SUM(PC355,PC393,PC431)</f>
        <v>185</v>
      </c>
      <c r="PD10" s="87">
        <f t="shared" si="429"/>
        <v>10175</v>
      </c>
      <c r="PE10" s="87">
        <f t="shared" si="429"/>
        <v>42446</v>
      </c>
      <c r="PF10" s="87">
        <f t="shared" si="429"/>
        <v>2758990</v>
      </c>
      <c r="PG10" s="87">
        <f t="shared" si="429"/>
        <v>0</v>
      </c>
      <c r="PH10" s="87">
        <f t="shared" si="429"/>
        <v>0</v>
      </c>
      <c r="PI10" s="87">
        <f t="shared" si="429"/>
        <v>1082037</v>
      </c>
      <c r="PJ10" s="87">
        <f t="shared" si="429"/>
        <v>19811332</v>
      </c>
      <c r="PK10" s="87">
        <f t="shared" si="429"/>
        <v>0</v>
      </c>
      <c r="PL10" s="87">
        <f t="shared" si="429"/>
        <v>0</v>
      </c>
      <c r="PM10" s="87">
        <f t="shared" si="429"/>
        <v>0</v>
      </c>
      <c r="PN10" s="87">
        <f t="shared" si="429"/>
        <v>0</v>
      </c>
      <c r="PO10" s="87">
        <f t="shared" si="429"/>
        <v>0</v>
      </c>
      <c r="PP10" s="87">
        <f t="shared" si="429"/>
        <v>0</v>
      </c>
      <c r="PQ10" s="92">
        <f t="shared" ref="PQ10" si="430">SUMIF(PC12:PP12,PQ12,PC10:PP10)</f>
        <v>1124668</v>
      </c>
      <c r="PR10" s="92">
        <f t="shared" ref="PR10" si="431">SUMIF(PC12:PP12,PR12,PC10:PP10)</f>
        <v>22580497</v>
      </c>
      <c r="PS10" s="87">
        <f t="shared" ref="PS10:QF10" si="432">SUM(PS355,PS393,PS431)</f>
        <v>1250</v>
      </c>
      <c r="PT10" s="87">
        <f t="shared" si="432"/>
        <v>131250</v>
      </c>
      <c r="PU10" s="87">
        <f t="shared" si="432"/>
        <v>5966230</v>
      </c>
      <c r="PV10" s="87">
        <f t="shared" si="432"/>
        <v>190553350</v>
      </c>
      <c r="PW10" s="87">
        <f t="shared" si="432"/>
        <v>0</v>
      </c>
      <c r="PX10" s="87">
        <f t="shared" si="432"/>
        <v>0</v>
      </c>
      <c r="PY10" s="87">
        <f t="shared" si="432"/>
        <v>5037940</v>
      </c>
      <c r="PZ10" s="87">
        <f t="shared" si="432"/>
        <v>92276540</v>
      </c>
      <c r="QA10" s="87">
        <f t="shared" si="432"/>
        <v>3492500</v>
      </c>
      <c r="QB10" s="87">
        <f t="shared" si="432"/>
        <v>103343990</v>
      </c>
      <c r="QC10" s="87">
        <f t="shared" si="432"/>
        <v>2295180</v>
      </c>
      <c r="QD10" s="87">
        <f t="shared" si="432"/>
        <v>41100160</v>
      </c>
      <c r="QE10" s="87">
        <f t="shared" si="432"/>
        <v>0</v>
      </c>
      <c r="QF10" s="87">
        <f t="shared" si="432"/>
        <v>0</v>
      </c>
      <c r="QG10" s="92">
        <f t="shared" ref="QG10" si="433">SUMIF(PS12:QF12,QG12,PS10:QF10)</f>
        <v>16793100</v>
      </c>
      <c r="QH10" s="92">
        <f t="shared" ref="QH10" si="434">SUMIF(PS12:QF12,QH12,PS10:QF10)</f>
        <v>427405290</v>
      </c>
      <c r="QI10" s="87">
        <f t="shared" ref="QI10:QV10" si="435">SUM(QI355,QI393,QI431)</f>
        <v>0</v>
      </c>
      <c r="QJ10" s="87">
        <f t="shared" si="435"/>
        <v>0</v>
      </c>
      <c r="QK10" s="87">
        <f t="shared" si="435"/>
        <v>175000</v>
      </c>
      <c r="QL10" s="87">
        <f t="shared" si="435"/>
        <v>10500000</v>
      </c>
      <c r="QM10" s="87">
        <f t="shared" si="435"/>
        <v>0</v>
      </c>
      <c r="QN10" s="87">
        <f t="shared" si="435"/>
        <v>0</v>
      </c>
      <c r="QO10" s="87">
        <f t="shared" si="435"/>
        <v>14176500</v>
      </c>
      <c r="QP10" s="87">
        <f t="shared" si="435"/>
        <v>330946000</v>
      </c>
      <c r="QQ10" s="87">
        <f t="shared" si="435"/>
        <v>0</v>
      </c>
      <c r="QR10" s="87">
        <f t="shared" si="435"/>
        <v>0</v>
      </c>
      <c r="QS10" s="87">
        <f t="shared" si="435"/>
        <v>0</v>
      </c>
      <c r="QT10" s="87">
        <f t="shared" si="435"/>
        <v>0</v>
      </c>
      <c r="QU10" s="87">
        <f t="shared" si="435"/>
        <v>0</v>
      </c>
      <c r="QV10" s="87">
        <f t="shared" si="435"/>
        <v>0</v>
      </c>
      <c r="QW10" s="92">
        <f t="shared" ref="QW10" si="436">SUMIF(QI12:QV12,QW12,QI10:QV10)</f>
        <v>14351500</v>
      </c>
      <c r="QX10" s="92">
        <f t="shared" ref="QX10" si="437">SUMIF(QI12:QV12,QX12,QI10:QV10)</f>
        <v>341446000</v>
      </c>
      <c r="QY10" s="87">
        <f t="shared" ref="QY10:RL10" si="438">SUM(QY355,QY393,QY431)</f>
        <v>0</v>
      </c>
      <c r="QZ10" s="87">
        <f t="shared" si="438"/>
        <v>0</v>
      </c>
      <c r="RA10" s="87">
        <f t="shared" si="438"/>
        <v>0</v>
      </c>
      <c r="RB10" s="87">
        <f t="shared" si="438"/>
        <v>0</v>
      </c>
      <c r="RC10" s="87">
        <f t="shared" si="438"/>
        <v>0</v>
      </c>
      <c r="RD10" s="87">
        <f t="shared" si="438"/>
        <v>0</v>
      </c>
      <c r="RE10" s="87">
        <f t="shared" si="438"/>
        <v>17425</v>
      </c>
      <c r="RF10" s="87">
        <f t="shared" si="438"/>
        <v>418645</v>
      </c>
      <c r="RG10" s="87">
        <f t="shared" si="438"/>
        <v>0</v>
      </c>
      <c r="RH10" s="87">
        <f t="shared" si="438"/>
        <v>0</v>
      </c>
      <c r="RI10" s="87">
        <f t="shared" si="438"/>
        <v>0</v>
      </c>
      <c r="RJ10" s="87">
        <f t="shared" si="438"/>
        <v>0</v>
      </c>
      <c r="RK10" s="87">
        <f t="shared" si="438"/>
        <v>0</v>
      </c>
      <c r="RL10" s="87">
        <f t="shared" si="438"/>
        <v>0</v>
      </c>
      <c r="RM10" s="92">
        <f t="shared" ref="RM10" si="439">SUMIF(QY12:RL12,RM12,QY10:RL10)</f>
        <v>17425</v>
      </c>
      <c r="RN10" s="92">
        <f t="shared" ref="RN10" si="440">SUMIF(QY12:RL12,RN12,QY10:RL10)</f>
        <v>418645</v>
      </c>
      <c r="RO10" s="87">
        <f t="shared" ref="RO10:SB10" si="441">SUM(RO355,RO393,RO431)</f>
        <v>0</v>
      </c>
      <c r="RP10" s="87">
        <f t="shared" si="441"/>
        <v>0</v>
      </c>
      <c r="RQ10" s="87">
        <f t="shared" si="441"/>
        <v>0</v>
      </c>
      <c r="RR10" s="87">
        <f t="shared" si="441"/>
        <v>0</v>
      </c>
      <c r="RS10" s="87">
        <f t="shared" si="441"/>
        <v>0</v>
      </c>
      <c r="RT10" s="87">
        <f t="shared" si="441"/>
        <v>0</v>
      </c>
      <c r="RU10" s="87">
        <f t="shared" si="441"/>
        <v>52510</v>
      </c>
      <c r="RV10" s="87">
        <f t="shared" si="441"/>
        <v>1113680</v>
      </c>
      <c r="RW10" s="87">
        <f t="shared" si="441"/>
        <v>0</v>
      </c>
      <c r="RX10" s="87">
        <f t="shared" si="441"/>
        <v>0</v>
      </c>
      <c r="RY10" s="87">
        <f t="shared" si="441"/>
        <v>0</v>
      </c>
      <c r="RZ10" s="87">
        <f t="shared" si="441"/>
        <v>0</v>
      </c>
      <c r="SA10" s="87">
        <f t="shared" si="441"/>
        <v>0</v>
      </c>
      <c r="SB10" s="87">
        <f t="shared" si="441"/>
        <v>0</v>
      </c>
      <c r="SC10" s="92">
        <f t="shared" ref="SC10" si="442">SUMIF(RO12:SB12,SC12,RO10:SB10)</f>
        <v>52510</v>
      </c>
      <c r="SD10" s="92">
        <f t="shared" ref="SD10" si="443">SUMIF(RO12:SB12,SD12,RO10:SB10)</f>
        <v>1113680</v>
      </c>
      <c r="SE10" s="87">
        <f t="shared" ref="SE10:SR10" si="444">SUM(SE355,SE393,SE431)</f>
        <v>0</v>
      </c>
      <c r="SF10" s="87">
        <f t="shared" si="444"/>
        <v>0</v>
      </c>
      <c r="SG10" s="87">
        <f t="shared" si="444"/>
        <v>0</v>
      </c>
      <c r="SH10" s="87">
        <f t="shared" si="444"/>
        <v>0</v>
      </c>
      <c r="SI10" s="87">
        <f t="shared" si="444"/>
        <v>0</v>
      </c>
      <c r="SJ10" s="87">
        <f t="shared" si="444"/>
        <v>0</v>
      </c>
      <c r="SK10" s="87">
        <f t="shared" si="444"/>
        <v>48300</v>
      </c>
      <c r="SL10" s="87">
        <f t="shared" si="444"/>
        <v>898750</v>
      </c>
      <c r="SM10" s="87">
        <f t="shared" si="444"/>
        <v>0</v>
      </c>
      <c r="SN10" s="87">
        <f t="shared" si="444"/>
        <v>0</v>
      </c>
      <c r="SO10" s="87">
        <f t="shared" si="444"/>
        <v>0</v>
      </c>
      <c r="SP10" s="87">
        <f t="shared" si="444"/>
        <v>0</v>
      </c>
      <c r="SQ10" s="87">
        <f t="shared" si="444"/>
        <v>0</v>
      </c>
      <c r="SR10" s="87">
        <f t="shared" si="444"/>
        <v>0</v>
      </c>
      <c r="SS10" s="92">
        <f t="shared" ref="SS10" si="445">SUMIF(SE12:SR12,SS12,SE10:SR10)</f>
        <v>48300</v>
      </c>
      <c r="ST10" s="92">
        <f t="shared" ref="ST10" si="446">SUMIF(SE12:SR12,ST12,SE10:SR10)</f>
        <v>898750</v>
      </c>
      <c r="SU10" s="87">
        <f t="shared" ref="SU10:TH10" si="447">SUM(SU355,SU393,SU431)</f>
        <v>0</v>
      </c>
      <c r="SV10" s="87">
        <f t="shared" si="447"/>
        <v>0</v>
      </c>
      <c r="SW10" s="87">
        <f t="shared" si="447"/>
        <v>0</v>
      </c>
      <c r="SX10" s="87">
        <f t="shared" si="447"/>
        <v>0</v>
      </c>
      <c r="SY10" s="87">
        <f t="shared" si="447"/>
        <v>0</v>
      </c>
      <c r="SZ10" s="87">
        <f t="shared" si="447"/>
        <v>0</v>
      </c>
      <c r="TA10" s="87">
        <f t="shared" si="447"/>
        <v>60525</v>
      </c>
      <c r="TB10" s="87">
        <f t="shared" si="447"/>
        <v>1295895</v>
      </c>
      <c r="TC10" s="87">
        <f t="shared" si="447"/>
        <v>0</v>
      </c>
      <c r="TD10" s="87">
        <f t="shared" si="447"/>
        <v>0</v>
      </c>
      <c r="TE10" s="87">
        <f t="shared" si="447"/>
        <v>0</v>
      </c>
      <c r="TF10" s="87">
        <f t="shared" si="447"/>
        <v>0</v>
      </c>
      <c r="TG10" s="87">
        <f t="shared" si="447"/>
        <v>0</v>
      </c>
      <c r="TH10" s="87">
        <f t="shared" si="447"/>
        <v>0</v>
      </c>
      <c r="TI10" s="92">
        <f t="shared" ref="TI10" si="448">SUMIF(SU12:TH12,TI12,SU10:TH10)</f>
        <v>60525</v>
      </c>
      <c r="TJ10" s="92">
        <f t="shared" ref="TJ10" si="449">SUMIF(SU12:TH12,TJ12,SU10:TH10)</f>
        <v>1295895</v>
      </c>
      <c r="TK10" s="87">
        <f t="shared" ref="TK10:TX10" si="450">SUM(TK355,TK393,TK431)</f>
        <v>0</v>
      </c>
      <c r="TL10" s="87">
        <f t="shared" si="450"/>
        <v>0</v>
      </c>
      <c r="TM10" s="87">
        <f t="shared" si="450"/>
        <v>0</v>
      </c>
      <c r="TN10" s="87">
        <f t="shared" si="450"/>
        <v>0</v>
      </c>
      <c r="TO10" s="87">
        <f t="shared" si="450"/>
        <v>0</v>
      </c>
      <c r="TP10" s="87">
        <f t="shared" si="450"/>
        <v>0</v>
      </c>
      <c r="TQ10" s="87">
        <f t="shared" si="450"/>
        <v>45500</v>
      </c>
      <c r="TR10" s="87">
        <f t="shared" si="450"/>
        <v>929000</v>
      </c>
      <c r="TS10" s="87">
        <f t="shared" si="450"/>
        <v>0</v>
      </c>
      <c r="TT10" s="87">
        <f t="shared" si="450"/>
        <v>0</v>
      </c>
      <c r="TU10" s="87">
        <f t="shared" si="450"/>
        <v>9500</v>
      </c>
      <c r="TV10" s="87">
        <f t="shared" si="450"/>
        <v>300000</v>
      </c>
      <c r="TW10" s="87">
        <f t="shared" si="450"/>
        <v>0</v>
      </c>
      <c r="TX10" s="87">
        <f t="shared" si="450"/>
        <v>0</v>
      </c>
      <c r="TY10" s="92">
        <f t="shared" ref="TY10" si="451">SUMIF(TK12:TX12,TY12,TK10:TX10)</f>
        <v>55000</v>
      </c>
      <c r="TZ10" s="92">
        <f t="shared" ref="TZ10" si="452">SUMIF(TK12:TX12,TZ12,TK10:TX10)</f>
        <v>1229000</v>
      </c>
      <c r="UA10" s="87">
        <f t="shared" ref="UA10:UN10" si="453">SUM(UA355,UA393,UA431)</f>
        <v>0</v>
      </c>
      <c r="UB10" s="87">
        <f t="shared" si="453"/>
        <v>0</v>
      </c>
      <c r="UC10" s="87">
        <f t="shared" si="453"/>
        <v>0</v>
      </c>
      <c r="UD10" s="87">
        <f t="shared" si="453"/>
        <v>0</v>
      </c>
      <c r="UE10" s="87">
        <f t="shared" si="453"/>
        <v>0</v>
      </c>
      <c r="UF10" s="87">
        <f t="shared" si="453"/>
        <v>0</v>
      </c>
      <c r="UG10" s="87">
        <f t="shared" si="453"/>
        <v>57869</v>
      </c>
      <c r="UH10" s="87">
        <f t="shared" si="453"/>
        <v>1061338</v>
      </c>
      <c r="UI10" s="87">
        <f t="shared" si="453"/>
        <v>0</v>
      </c>
      <c r="UJ10" s="87">
        <f t="shared" si="453"/>
        <v>0</v>
      </c>
      <c r="UK10" s="87">
        <f t="shared" si="453"/>
        <v>0</v>
      </c>
      <c r="UL10" s="87">
        <f t="shared" si="453"/>
        <v>0</v>
      </c>
      <c r="UM10" s="87">
        <f t="shared" si="453"/>
        <v>0</v>
      </c>
      <c r="UN10" s="87">
        <f t="shared" si="453"/>
        <v>0</v>
      </c>
      <c r="UO10" s="92">
        <f t="shared" ref="UO10" si="454">SUMIF(UA12:UN12,UO12,UA10:UN10)</f>
        <v>57869</v>
      </c>
      <c r="UP10" s="92">
        <f t="shared" ref="UP10" si="455">SUMIF(UA12:UN12,UP12,UA10:UN10)</f>
        <v>1061338</v>
      </c>
      <c r="UQ10" s="87">
        <f t="shared" ref="UQ10:VD10" si="456">SUM(UQ355,UQ393,UQ431)</f>
        <v>0</v>
      </c>
      <c r="UR10" s="87">
        <f t="shared" si="456"/>
        <v>0</v>
      </c>
      <c r="US10" s="87">
        <f t="shared" si="456"/>
        <v>604050</v>
      </c>
      <c r="UT10" s="87">
        <f t="shared" si="456"/>
        <v>6054000</v>
      </c>
      <c r="UU10" s="87">
        <f t="shared" si="456"/>
        <v>0</v>
      </c>
      <c r="UV10" s="87">
        <f t="shared" si="456"/>
        <v>0</v>
      </c>
      <c r="UW10" s="87">
        <f t="shared" si="456"/>
        <v>7680</v>
      </c>
      <c r="UX10" s="87">
        <f t="shared" si="456"/>
        <v>145920</v>
      </c>
      <c r="UY10" s="87">
        <f t="shared" si="456"/>
        <v>0</v>
      </c>
      <c r="UZ10" s="87">
        <f t="shared" si="456"/>
        <v>0</v>
      </c>
      <c r="VA10" s="87">
        <f t="shared" si="456"/>
        <v>0</v>
      </c>
      <c r="VB10" s="87">
        <f t="shared" si="456"/>
        <v>0</v>
      </c>
      <c r="VC10" s="87">
        <f t="shared" si="456"/>
        <v>0</v>
      </c>
      <c r="VD10" s="87">
        <f t="shared" si="456"/>
        <v>0</v>
      </c>
      <c r="VE10" s="92">
        <f t="shared" ref="VE10" si="457">SUMIF(UQ12:VD12,VE12,UQ10:VD10)</f>
        <v>611730</v>
      </c>
      <c r="VF10" s="92">
        <f t="shared" ref="VF10" si="458">SUMIF(UQ12:VD12,VF12,UQ10:VD10)</f>
        <v>6199920</v>
      </c>
      <c r="VG10" s="87">
        <f t="shared" ref="VG10:VT10" si="459">SUM(VG355,VG393,VG431)</f>
        <v>0</v>
      </c>
      <c r="VH10" s="87">
        <f t="shared" si="459"/>
        <v>0</v>
      </c>
      <c r="VI10" s="87">
        <f t="shared" si="459"/>
        <v>134084</v>
      </c>
      <c r="VJ10" s="87">
        <f t="shared" si="459"/>
        <v>5691075</v>
      </c>
      <c r="VK10" s="87">
        <f t="shared" si="459"/>
        <v>0</v>
      </c>
      <c r="VL10" s="87">
        <f t="shared" si="459"/>
        <v>0</v>
      </c>
      <c r="VM10" s="87">
        <f t="shared" si="459"/>
        <v>58229</v>
      </c>
      <c r="VN10" s="87">
        <f t="shared" si="459"/>
        <v>1221465</v>
      </c>
      <c r="VO10" s="87">
        <f t="shared" si="459"/>
        <v>0</v>
      </c>
      <c r="VP10" s="87">
        <f t="shared" si="459"/>
        <v>0</v>
      </c>
      <c r="VQ10" s="87">
        <f t="shared" si="459"/>
        <v>0</v>
      </c>
      <c r="VR10" s="87">
        <f t="shared" si="459"/>
        <v>0</v>
      </c>
      <c r="VS10" s="87">
        <f t="shared" si="459"/>
        <v>0</v>
      </c>
      <c r="VT10" s="87">
        <f t="shared" si="459"/>
        <v>0</v>
      </c>
      <c r="VU10" s="92">
        <f t="shared" ref="VU10" si="460">SUMIF(VG12:VT12,VU12,VG10:VT10)</f>
        <v>192313</v>
      </c>
      <c r="VV10" s="92">
        <f t="shared" ref="VV10" si="461">SUMIF(VG12:VT12,VV12,VG10:VT10)</f>
        <v>6912540</v>
      </c>
      <c r="VW10" s="87">
        <f t="shared" ref="VW10:WJ10" si="462">SUM(VW355,VW393,VW431)</f>
        <v>0</v>
      </c>
      <c r="VX10" s="87">
        <f t="shared" si="462"/>
        <v>0</v>
      </c>
      <c r="VY10" s="87">
        <f t="shared" si="462"/>
        <v>1228590</v>
      </c>
      <c r="VZ10" s="87">
        <f t="shared" si="462"/>
        <v>40856020</v>
      </c>
      <c r="WA10" s="87">
        <f t="shared" si="462"/>
        <v>0</v>
      </c>
      <c r="WB10" s="87">
        <f t="shared" si="462"/>
        <v>0</v>
      </c>
      <c r="WC10" s="87">
        <f t="shared" si="462"/>
        <v>1207560</v>
      </c>
      <c r="WD10" s="87">
        <f t="shared" si="462"/>
        <v>26620150</v>
      </c>
      <c r="WE10" s="87">
        <f t="shared" si="462"/>
        <v>0</v>
      </c>
      <c r="WF10" s="87">
        <f t="shared" si="462"/>
        <v>0</v>
      </c>
      <c r="WG10" s="87">
        <f t="shared" si="462"/>
        <v>0</v>
      </c>
      <c r="WH10" s="87">
        <f t="shared" si="462"/>
        <v>0</v>
      </c>
      <c r="WI10" s="87">
        <f t="shared" si="462"/>
        <v>13800</v>
      </c>
      <c r="WJ10" s="87">
        <f t="shared" si="462"/>
        <v>282700</v>
      </c>
      <c r="WK10" s="92">
        <f t="shared" ref="WK10" si="463">SUMIF(VW12:WJ12,WK12,VW10:WJ10)</f>
        <v>2449950</v>
      </c>
      <c r="WL10" s="92">
        <f t="shared" ref="WL10" si="464">SUMIF(VW12:WJ12,WL12,VW10:WJ10)</f>
        <v>67758870</v>
      </c>
      <c r="WM10" s="89"/>
      <c r="WN10" s="87">
        <f t="shared" si="225"/>
        <v>220602867.23539978</v>
      </c>
      <c r="WO10" s="87">
        <f t="shared" si="226"/>
        <v>1123512499.9719434</v>
      </c>
      <c r="WP10" s="87">
        <f t="shared" si="227"/>
        <v>69231142.99459666</v>
      </c>
      <c r="WQ10" s="87">
        <f t="shared" si="228"/>
        <v>2344147412.6014442</v>
      </c>
      <c r="WR10" s="87">
        <f t="shared" si="229"/>
        <v>0</v>
      </c>
      <c r="WS10" s="87">
        <f t="shared" si="230"/>
        <v>0</v>
      </c>
      <c r="WT10" s="87">
        <f t="shared" si="231"/>
        <v>78938573.79381308</v>
      </c>
      <c r="WU10" s="87">
        <f t="shared" si="232"/>
        <v>1593113373.4098616</v>
      </c>
      <c r="WV10" s="87">
        <f t="shared" si="233"/>
        <v>4021330</v>
      </c>
      <c r="WW10" s="87">
        <f t="shared" si="234"/>
        <v>114756085</v>
      </c>
      <c r="WX10" s="87">
        <f t="shared" si="235"/>
        <v>2409362</v>
      </c>
      <c r="WY10" s="87">
        <f t="shared" si="236"/>
        <v>43451167</v>
      </c>
      <c r="WZ10" s="87">
        <f t="shared" si="237"/>
        <v>1433763.56</v>
      </c>
      <c r="XA10" s="87">
        <f t="shared" si="238"/>
        <v>34156766</v>
      </c>
      <c r="XB10" s="91">
        <f>SUMIF($WN$12:$XA$12,$XB$12,WN10:XA10)</f>
        <v>376637039.58380955</v>
      </c>
      <c r="XC10" s="91">
        <f>SUMIF($WN$12:$XA$12,$XC$12,WN10:XA10)</f>
        <v>5253137303.9832497</v>
      </c>
      <c r="XD10" s="633" t="s">
        <v>173</v>
      </c>
      <c r="XE10" s="91">
        <f>XE127</f>
        <v>376637039.58380967</v>
      </c>
      <c r="XF10" s="91">
        <f>XF127</f>
        <v>5253137303.9832497</v>
      </c>
      <c r="XG10" s="633"/>
      <c r="XH10" s="91"/>
      <c r="XI10" s="91"/>
      <c r="XJ10" s="633"/>
      <c r="XK10" s="87"/>
      <c r="XL10" s="87"/>
      <c r="XM10" s="87"/>
      <c r="XN10" s="87"/>
      <c r="XO10" s="87"/>
      <c r="XP10" s="87"/>
      <c r="XQ10" s="87"/>
      <c r="XR10" s="91"/>
      <c r="XS10" s="633"/>
      <c r="XT10" s="87"/>
      <c r="XU10" s="87"/>
      <c r="XV10" s="87"/>
      <c r="XW10" s="87"/>
      <c r="XX10" s="87"/>
      <c r="XY10" s="87"/>
      <c r="XZ10" s="87"/>
      <c r="YA10" s="91"/>
      <c r="YB10" s="87"/>
      <c r="YC10" s="87"/>
      <c r="YD10" s="87"/>
      <c r="YE10" s="87"/>
      <c r="YF10" s="87"/>
      <c r="YG10" s="87"/>
      <c r="YH10" s="87"/>
      <c r="YI10" s="87"/>
      <c r="YJ10" s="87"/>
      <c r="YK10" s="87"/>
      <c r="YL10" s="87"/>
      <c r="YM10" s="87"/>
      <c r="YN10" s="87"/>
      <c r="YO10" s="87"/>
      <c r="YP10" s="87"/>
      <c r="YQ10" s="87"/>
      <c r="YR10" s="87"/>
      <c r="YS10" s="87"/>
      <c r="YT10" s="87"/>
      <c r="YU10" s="87"/>
      <c r="YV10" s="87"/>
      <c r="YW10" s="87"/>
      <c r="YX10" s="87"/>
      <c r="YY10" s="87"/>
      <c r="YZ10" s="87"/>
      <c r="ZA10" s="87"/>
      <c r="ZB10" s="87"/>
      <c r="ZC10" s="87"/>
      <c r="ZD10" s="87"/>
      <c r="ZE10" s="87"/>
      <c r="ZF10" s="87"/>
      <c r="ZG10" s="87"/>
      <c r="ZH10" s="87"/>
      <c r="ZI10" s="87"/>
      <c r="ZJ10" s="87"/>
      <c r="ZK10" s="87"/>
      <c r="ZL10" s="87"/>
      <c r="ZM10" s="87"/>
      <c r="ZN10" s="87"/>
      <c r="ZO10" s="87"/>
      <c r="ZP10" s="87"/>
      <c r="ZQ10" s="87"/>
      <c r="ZR10" s="87"/>
      <c r="ZS10" s="87"/>
      <c r="ZT10" s="87"/>
      <c r="ZU10" s="87"/>
      <c r="ZV10" s="87"/>
      <c r="ZW10" s="87"/>
      <c r="ZX10" s="87"/>
      <c r="ZY10" s="87"/>
      <c r="ZZ10" s="87"/>
      <c r="AAA10" s="87"/>
      <c r="AAB10" s="87"/>
      <c r="AAC10" s="87"/>
      <c r="AAD10" s="87"/>
      <c r="AAE10" s="87"/>
      <c r="AAF10" s="87"/>
      <c r="AAG10" s="87"/>
      <c r="AAH10" s="87"/>
      <c r="AAI10" s="87"/>
      <c r="AAJ10" s="87"/>
      <c r="AAK10" s="87"/>
      <c r="AAL10" s="87"/>
      <c r="AAM10" s="87"/>
      <c r="AAN10" s="87"/>
      <c r="AAO10" s="87"/>
      <c r="AAP10" s="87"/>
      <c r="AAQ10" s="87"/>
      <c r="AAR10" s="87"/>
      <c r="AAS10" s="87"/>
      <c r="AAT10" s="87"/>
      <c r="AAU10" s="87"/>
      <c r="AAV10" s="87"/>
      <c r="AAW10" s="87"/>
      <c r="AAX10" s="87"/>
      <c r="AAY10" s="87"/>
      <c r="AAZ10" s="87"/>
      <c r="ABA10" s="87"/>
      <c r="ABB10" s="87"/>
      <c r="ABC10" s="87"/>
      <c r="ABD10" s="87"/>
      <c r="ABE10" s="87"/>
      <c r="ABF10" s="87"/>
      <c r="ABG10" s="87"/>
      <c r="ABH10" s="87"/>
      <c r="ABI10" s="87"/>
      <c r="ABJ10" s="87"/>
      <c r="ABK10" s="87"/>
      <c r="ABL10" s="87"/>
      <c r="ABM10" s="87"/>
      <c r="ABN10" s="87"/>
      <c r="ABO10" s="87"/>
      <c r="ABP10" s="87"/>
      <c r="ABQ10" s="87"/>
      <c r="ABR10" s="87"/>
      <c r="ABS10" s="87"/>
      <c r="ABT10" s="87"/>
      <c r="ABU10" s="87"/>
      <c r="ABV10" s="87"/>
      <c r="ABW10" s="87"/>
      <c r="ABX10" s="87"/>
      <c r="ABY10" s="87"/>
      <c r="ABZ10" s="87"/>
      <c r="ACA10" s="87"/>
      <c r="ACB10" s="87"/>
      <c r="ACC10" s="87"/>
      <c r="ACD10" s="87"/>
      <c r="ACE10" s="87"/>
      <c r="ACF10" s="87"/>
      <c r="ACG10" s="87"/>
      <c r="ACH10" s="87"/>
      <c r="ACI10" s="87"/>
      <c r="ACJ10" s="87"/>
      <c r="ACK10" s="87"/>
      <c r="ACL10" s="87"/>
      <c r="ACM10" s="87"/>
      <c r="ACN10" s="87"/>
      <c r="ACO10" s="87"/>
      <c r="ACP10" s="87"/>
      <c r="ACQ10" s="87"/>
      <c r="ACR10" s="87"/>
      <c r="ACS10" s="87"/>
      <c r="ACT10" s="87"/>
      <c r="ACU10" s="87"/>
      <c r="ACV10" s="87"/>
      <c r="ACW10" s="87"/>
      <c r="ACX10" s="87"/>
      <c r="ACY10" s="87"/>
      <c r="ACZ10" s="87"/>
      <c r="ADA10" s="87"/>
      <c r="ADB10" s="87"/>
      <c r="ADC10" s="87"/>
      <c r="ADD10" s="87"/>
      <c r="ADE10" s="87"/>
      <c r="ADF10" s="87"/>
      <c r="ADG10" s="87"/>
      <c r="ADH10" s="87"/>
      <c r="ADI10" s="87"/>
      <c r="ADJ10" s="87"/>
      <c r="ADK10" s="87"/>
      <c r="ADL10" s="87"/>
      <c r="ADM10" s="87"/>
      <c r="ADN10" s="87"/>
      <c r="ADO10" s="87"/>
      <c r="ADP10" s="87"/>
      <c r="ADQ10" s="87"/>
      <c r="ADR10" s="87"/>
      <c r="ADS10" s="87"/>
      <c r="ADT10" s="87"/>
      <c r="ADU10" s="87"/>
      <c r="ADV10" s="87"/>
      <c r="ADW10" s="87"/>
      <c r="ADX10" s="87"/>
      <c r="ADY10" s="87"/>
      <c r="ADZ10" s="87"/>
      <c r="AEA10" s="87"/>
      <c r="AEB10" s="87"/>
      <c r="AEC10" s="87"/>
      <c r="AED10" s="87"/>
      <c r="AEE10" s="87"/>
      <c r="AEF10" s="87"/>
      <c r="AEG10" s="87"/>
      <c r="AEH10" s="87"/>
      <c r="AEI10" s="87"/>
      <c r="AEJ10" s="87"/>
      <c r="AEK10" s="87"/>
      <c r="AEL10" s="87"/>
      <c r="AEM10" s="87"/>
      <c r="AEN10" s="87"/>
      <c r="AEO10" s="87"/>
      <c r="AEP10" s="87"/>
      <c r="AEQ10" s="87"/>
      <c r="AER10" s="87"/>
      <c r="AES10" s="87"/>
      <c r="AET10" s="87"/>
      <c r="AEU10" s="87"/>
      <c r="AEV10" s="87"/>
      <c r="AEW10" s="87"/>
      <c r="AEX10" s="87"/>
      <c r="AEY10" s="87"/>
      <c r="AEZ10" s="87"/>
      <c r="AFA10" s="87"/>
      <c r="AFB10" s="87"/>
      <c r="AFC10" s="87"/>
      <c r="AFD10" s="87"/>
      <c r="AFE10" s="87"/>
      <c r="AFF10" s="87"/>
      <c r="AFG10" s="87"/>
      <c r="AFH10" s="87"/>
      <c r="AFI10" s="87"/>
      <c r="AFJ10" s="87"/>
      <c r="AFK10" s="87"/>
      <c r="AFL10" s="87"/>
      <c r="AFM10" s="87"/>
      <c r="AFN10" s="87"/>
      <c r="AFO10" s="87"/>
      <c r="AFP10" s="87"/>
      <c r="AFQ10" s="87"/>
      <c r="AFR10" s="87"/>
      <c r="AFS10" s="87"/>
      <c r="AFT10" s="87"/>
      <c r="AFU10" s="87"/>
      <c r="AFV10" s="87"/>
      <c r="AFW10" s="87"/>
      <c r="AFX10" s="87"/>
      <c r="AFY10" s="87"/>
      <c r="AFZ10" s="87"/>
      <c r="AGA10" s="87"/>
      <c r="AGB10" s="87"/>
      <c r="AGC10" s="87"/>
      <c r="AGD10" s="87"/>
      <c r="AGE10" s="87"/>
      <c r="AGF10" s="87"/>
      <c r="AGG10" s="87"/>
      <c r="AGH10" s="87"/>
      <c r="AGI10" s="87"/>
      <c r="AGJ10" s="87"/>
      <c r="AGK10" s="87"/>
      <c r="AGL10" s="87"/>
      <c r="AGM10" s="87"/>
      <c r="AGN10" s="87"/>
      <c r="AGO10" s="87"/>
      <c r="AGP10" s="87"/>
      <c r="AGQ10" s="87"/>
      <c r="AGR10" s="87"/>
      <c r="AGS10" s="87"/>
      <c r="AGT10" s="87"/>
      <c r="AGU10" s="87"/>
      <c r="AGV10" s="87"/>
      <c r="AGW10" s="87"/>
      <c r="AGX10" s="87"/>
      <c r="AGY10" s="87"/>
      <c r="AGZ10" s="87"/>
      <c r="AHA10" s="87"/>
      <c r="AHB10" s="87"/>
      <c r="AHC10" s="87"/>
      <c r="AHD10" s="87"/>
      <c r="AHE10" s="87"/>
      <c r="AHF10" s="87"/>
      <c r="AHG10" s="87"/>
      <c r="AHH10" s="87"/>
      <c r="AHI10" s="87"/>
      <c r="AHJ10" s="87"/>
      <c r="AHK10" s="87"/>
      <c r="AHL10" s="87"/>
      <c r="AHM10" s="87"/>
      <c r="AHN10" s="87"/>
      <c r="AHO10" s="87"/>
      <c r="AHP10" s="87"/>
      <c r="AHQ10" s="87"/>
      <c r="AHR10" s="87"/>
      <c r="AHS10" s="87"/>
      <c r="AHT10" s="87"/>
      <c r="AHU10" s="87"/>
      <c r="AHV10" s="87"/>
      <c r="AHW10" s="87"/>
      <c r="AHX10" s="87"/>
      <c r="AHY10" s="87"/>
      <c r="AHZ10" s="87"/>
      <c r="AIA10" s="87"/>
      <c r="AIB10" s="87"/>
      <c r="AIC10" s="87"/>
      <c r="AID10" s="87"/>
      <c r="AIE10" s="87"/>
      <c r="AIF10" s="87"/>
      <c r="AIG10" s="87"/>
      <c r="AIH10" s="87"/>
      <c r="AII10" s="87"/>
      <c r="AIJ10" s="87"/>
      <c r="AIK10" s="87"/>
      <c r="AIL10" s="87"/>
      <c r="AIM10" s="87"/>
      <c r="AIN10" s="87"/>
      <c r="AIO10" s="87"/>
      <c r="AIP10" s="87"/>
      <c r="AIQ10" s="87"/>
      <c r="AIR10" s="87"/>
      <c r="AIS10" s="87"/>
      <c r="AIT10" s="87"/>
      <c r="AIU10" s="87"/>
      <c r="AIV10" s="87"/>
      <c r="AIW10" s="87"/>
      <c r="AIX10" s="87"/>
      <c r="AIY10" s="87"/>
      <c r="AIZ10" s="87"/>
      <c r="AJA10" s="87"/>
      <c r="AJB10" s="87"/>
      <c r="AJC10" s="87"/>
      <c r="AJD10" s="87"/>
      <c r="AJE10" s="87"/>
      <c r="AJF10" s="87"/>
      <c r="AJG10" s="87"/>
      <c r="AJH10" s="87"/>
      <c r="AJI10" s="87"/>
      <c r="AJJ10" s="87"/>
      <c r="AJK10" s="87"/>
      <c r="AJL10" s="87"/>
      <c r="AJM10" s="87"/>
      <c r="AJN10" s="87"/>
      <c r="AJO10" s="87"/>
      <c r="AJP10" s="87"/>
      <c r="AJQ10" s="87"/>
      <c r="AJR10" s="87"/>
      <c r="AJS10" s="87"/>
      <c r="AJT10" s="87"/>
      <c r="AJU10" s="87"/>
      <c r="AJV10" s="87"/>
      <c r="AJW10" s="87"/>
      <c r="AJX10" s="87"/>
      <c r="AJY10" s="87"/>
      <c r="AJZ10" s="87"/>
      <c r="AKA10" s="87"/>
      <c r="AKB10" s="87"/>
      <c r="AKC10" s="87"/>
      <c r="AKD10" s="87"/>
      <c r="AKE10" s="87"/>
      <c r="AKF10" s="87"/>
      <c r="AKG10" s="87"/>
      <c r="AKH10" s="87"/>
      <c r="AKI10" s="87"/>
      <c r="AKJ10" s="87"/>
      <c r="AKK10" s="87"/>
      <c r="AKL10" s="87"/>
      <c r="AKM10" s="87"/>
      <c r="AKN10" s="87"/>
      <c r="AKO10" s="87"/>
      <c r="AKP10" s="87"/>
      <c r="AKQ10" s="87"/>
      <c r="AKR10" s="87"/>
      <c r="AKS10" s="87"/>
      <c r="AKT10" s="87"/>
      <c r="AKU10" s="87"/>
      <c r="AKV10" s="87"/>
      <c r="AKW10" s="87"/>
      <c r="AKX10" s="87"/>
      <c r="AKY10" s="87"/>
      <c r="AKZ10" s="87"/>
      <c r="ALA10" s="87"/>
      <c r="ALB10" s="87"/>
      <c r="ALC10" s="87"/>
      <c r="ALD10" s="87"/>
      <c r="ALE10" s="87"/>
      <c r="ALF10" s="87"/>
      <c r="ALG10" s="87"/>
      <c r="ALH10" s="87"/>
      <c r="ALI10" s="87"/>
      <c r="ALJ10" s="87"/>
      <c r="ALK10" s="87"/>
      <c r="ALL10" s="87"/>
      <c r="ALM10" s="87"/>
      <c r="ALN10" s="87"/>
      <c r="ALO10" s="87"/>
      <c r="ALP10" s="87"/>
      <c r="ALQ10" s="87"/>
      <c r="ALR10" s="87"/>
      <c r="ALS10" s="87"/>
      <c r="ALT10" s="87"/>
      <c r="ALU10" s="87"/>
      <c r="ALV10" s="87"/>
      <c r="ALW10" s="87"/>
      <c r="ALX10" s="87"/>
      <c r="ALY10" s="87"/>
      <c r="ALZ10" s="87"/>
      <c r="AMA10" s="87"/>
      <c r="AMB10" s="87"/>
      <c r="AMC10" s="87"/>
    </row>
    <row r="11" spans="1:1017">
      <c r="A11" s="90"/>
      <c r="B11" s="93" t="s">
        <v>45</v>
      </c>
      <c r="C11" s="87">
        <f>SUM(C7:C10)</f>
        <v>0</v>
      </c>
      <c r="D11" s="87">
        <f t="shared" ref="D11:P11" si="465">SUM(D7:D10)</f>
        <v>0</v>
      </c>
      <c r="E11" s="87">
        <f>SUM(E7:E10)</f>
        <v>14223257</v>
      </c>
      <c r="F11" s="87">
        <f t="shared" si="465"/>
        <v>530450673.60000002</v>
      </c>
      <c r="G11" s="87">
        <f>SUM(G7:G10)</f>
        <v>0</v>
      </c>
      <c r="H11" s="87">
        <f t="shared" ref="H11" si="466">SUM(H7:H10)</f>
        <v>0</v>
      </c>
      <c r="I11" s="87">
        <f t="shared" si="465"/>
        <v>853750</v>
      </c>
      <c r="J11" s="87">
        <f t="shared" si="465"/>
        <v>19204750</v>
      </c>
      <c r="K11" s="87">
        <f t="shared" si="465"/>
        <v>0</v>
      </c>
      <c r="L11" s="87">
        <f t="shared" si="465"/>
        <v>0</v>
      </c>
      <c r="M11" s="87">
        <f t="shared" si="465"/>
        <v>4600</v>
      </c>
      <c r="N11" s="87">
        <f t="shared" si="465"/>
        <v>92000</v>
      </c>
      <c r="O11" s="87">
        <f t="shared" si="465"/>
        <v>0</v>
      </c>
      <c r="P11" s="87">
        <f t="shared" si="465"/>
        <v>0</v>
      </c>
      <c r="Q11" s="91">
        <f>SUMIF(C12:P12,Q12,C11:P11)</f>
        <v>15081607</v>
      </c>
      <c r="R11" s="91">
        <f>SUMIF(C12:P12,R12,C11:P11)</f>
        <v>549747423.60000002</v>
      </c>
      <c r="S11" s="87">
        <f t="shared" ref="S11" si="467">SUM(S7:S10)</f>
        <v>48260</v>
      </c>
      <c r="T11" s="87">
        <f t="shared" ref="T11:CB11" si="468">SUM(T7:T10)</f>
        <v>5721650</v>
      </c>
      <c r="U11" s="87">
        <f t="shared" si="468"/>
        <v>20072390</v>
      </c>
      <c r="V11" s="87">
        <f t="shared" si="468"/>
        <v>1036698610</v>
      </c>
      <c r="W11" s="87">
        <f t="shared" si="468"/>
        <v>0</v>
      </c>
      <c r="X11" s="87">
        <f t="shared" si="468"/>
        <v>0</v>
      </c>
      <c r="Y11" s="87">
        <f t="shared" si="468"/>
        <v>10385735</v>
      </c>
      <c r="Z11" s="87">
        <f t="shared" si="468"/>
        <v>211580220</v>
      </c>
      <c r="AA11" s="87">
        <f t="shared" si="468"/>
        <v>68205</v>
      </c>
      <c r="AB11" s="87">
        <f t="shared" si="468"/>
        <v>1867275</v>
      </c>
      <c r="AC11" s="87">
        <f t="shared" si="468"/>
        <v>47815</v>
      </c>
      <c r="AD11" s="87">
        <f t="shared" si="468"/>
        <v>1317575</v>
      </c>
      <c r="AE11" s="87">
        <f t="shared" si="468"/>
        <v>24030</v>
      </c>
      <c r="AF11" s="87">
        <f t="shared" si="468"/>
        <v>547725</v>
      </c>
      <c r="AG11" s="92">
        <f t="shared" ref="AG11" si="469">SUMIF(S12:AF12,AG12,S11:AF11)</f>
        <v>30646435</v>
      </c>
      <c r="AH11" s="92">
        <f t="shared" ref="AH11" si="470">SUMIF(S12:AF12,AH12,S11:AF11)</f>
        <v>1257733055</v>
      </c>
      <c r="AI11" s="87">
        <f t="shared" ref="AI11" si="471">SUM(AI7:AI10)</f>
        <v>0</v>
      </c>
      <c r="AJ11" s="87">
        <f t="shared" ref="AJ11:AM11" si="472">SUM(AJ7:AJ10)</f>
        <v>0</v>
      </c>
      <c r="AK11" s="87">
        <f t="shared" si="472"/>
        <v>436100</v>
      </c>
      <c r="AL11" s="87">
        <f t="shared" si="472"/>
        <v>28346500</v>
      </c>
      <c r="AM11" s="87">
        <f t="shared" si="472"/>
        <v>0</v>
      </c>
      <c r="AN11" s="87">
        <f t="shared" si="468"/>
        <v>0</v>
      </c>
      <c r="AO11" s="87">
        <f t="shared" si="468"/>
        <v>17270300</v>
      </c>
      <c r="AP11" s="87">
        <f t="shared" si="468"/>
        <v>385112100</v>
      </c>
      <c r="AQ11" s="87">
        <f t="shared" si="468"/>
        <v>1820</v>
      </c>
      <c r="AR11" s="87">
        <f t="shared" si="468"/>
        <v>43900</v>
      </c>
      <c r="AS11" s="87">
        <f t="shared" si="468"/>
        <v>0</v>
      </c>
      <c r="AT11" s="87">
        <f t="shared" si="468"/>
        <v>0</v>
      </c>
      <c r="AU11" s="87">
        <f t="shared" si="468"/>
        <v>28205</v>
      </c>
      <c r="AV11" s="87">
        <f t="shared" si="468"/>
        <v>681420</v>
      </c>
      <c r="AW11" s="92">
        <f t="shared" ref="AW11" si="473">SUMIF(AI12:AV12,AW12,AI11:AV11)</f>
        <v>17736425</v>
      </c>
      <c r="AX11" s="92">
        <f t="shared" ref="AX11" si="474">SUMIF(AI12:AV12,AX12,AI11:AV11)</f>
        <v>414183920</v>
      </c>
      <c r="AY11" s="87">
        <f t="shared" ref="AY11" si="475">SUM(AY7:AY10)</f>
        <v>0</v>
      </c>
      <c r="AZ11" s="87">
        <f t="shared" ref="AZ11:BC11" si="476">SUM(AZ7:AZ10)</f>
        <v>0</v>
      </c>
      <c r="BA11" s="87">
        <f t="shared" si="476"/>
        <v>0</v>
      </c>
      <c r="BB11" s="87">
        <f t="shared" si="476"/>
        <v>0</v>
      </c>
      <c r="BC11" s="87">
        <f t="shared" si="476"/>
        <v>0</v>
      </c>
      <c r="BD11" s="87">
        <f t="shared" si="468"/>
        <v>0</v>
      </c>
      <c r="BE11" s="87">
        <f t="shared" si="468"/>
        <v>5268405</v>
      </c>
      <c r="BF11" s="87">
        <f t="shared" si="468"/>
        <v>105656405.5</v>
      </c>
      <c r="BG11" s="87">
        <f t="shared" si="468"/>
        <v>84222</v>
      </c>
      <c r="BH11" s="87">
        <f t="shared" si="468"/>
        <v>1680599</v>
      </c>
      <c r="BI11" s="87">
        <f t="shared" si="468"/>
        <v>0</v>
      </c>
      <c r="BJ11" s="87">
        <f t="shared" si="468"/>
        <v>0</v>
      </c>
      <c r="BK11" s="87">
        <f t="shared" si="468"/>
        <v>31501</v>
      </c>
      <c r="BL11" s="87">
        <f t="shared" si="468"/>
        <v>524223</v>
      </c>
      <c r="BM11" s="92">
        <f t="shared" ref="BM11" si="477">SUMIF(AY12:BL12,BM12,AY11:BL11)</f>
        <v>5384128</v>
      </c>
      <c r="BN11" s="92">
        <f t="shared" ref="BN11" si="478">SUMIF(AY12:BL12,BN12,AY11:BL11)</f>
        <v>107861227.5</v>
      </c>
      <c r="BO11" s="87">
        <f t="shared" ref="BO11" si="479">SUM(BO7:BO10)</f>
        <v>0</v>
      </c>
      <c r="BP11" s="87">
        <f t="shared" ref="BP11:BS11" si="480">SUM(BP7:BP10)</f>
        <v>0</v>
      </c>
      <c r="BQ11" s="87">
        <f t="shared" si="480"/>
        <v>0</v>
      </c>
      <c r="BR11" s="87">
        <f t="shared" si="480"/>
        <v>0</v>
      </c>
      <c r="BS11" s="87">
        <f t="shared" si="480"/>
        <v>0</v>
      </c>
      <c r="BT11" s="87">
        <f t="shared" si="468"/>
        <v>0</v>
      </c>
      <c r="BU11" s="87">
        <f t="shared" si="468"/>
        <v>849316</v>
      </c>
      <c r="BV11" s="87">
        <f t="shared" si="468"/>
        <v>18251469</v>
      </c>
      <c r="BW11" s="87">
        <f t="shared" si="468"/>
        <v>0</v>
      </c>
      <c r="BX11" s="87">
        <f t="shared" si="468"/>
        <v>0</v>
      </c>
      <c r="BY11" s="87">
        <f t="shared" si="468"/>
        <v>0</v>
      </c>
      <c r="BZ11" s="87">
        <f t="shared" si="468"/>
        <v>0</v>
      </c>
      <c r="CA11" s="87">
        <f t="shared" si="468"/>
        <v>0</v>
      </c>
      <c r="CB11" s="87">
        <f t="shared" si="468"/>
        <v>0</v>
      </c>
      <c r="CC11" s="92">
        <f t="shared" ref="CC11" si="481">SUMIF(BO12:CB12,CC12,BO11:CB11)</f>
        <v>849316</v>
      </c>
      <c r="CD11" s="92">
        <f t="shared" ref="CD11" si="482">SUMIF(BO12:CB12,CD12,BO11:CB11)</f>
        <v>18251469</v>
      </c>
      <c r="CE11" s="87">
        <f t="shared" ref="CE11" si="483">SUM(CE7:CE10)</f>
        <v>13740678.926078347</v>
      </c>
      <c r="CF11" s="87">
        <f t="shared" ref="CF11:EN11" si="484">SUM(CF7:CF10)</f>
        <v>53413466.486336268</v>
      </c>
      <c r="CG11" s="87">
        <f t="shared" si="484"/>
        <v>82445960.751360208</v>
      </c>
      <c r="CH11" s="87">
        <f t="shared" si="484"/>
        <v>2385261859.7672052</v>
      </c>
      <c r="CI11" s="87">
        <f t="shared" si="484"/>
        <v>0</v>
      </c>
      <c r="CJ11" s="87">
        <f t="shared" si="484"/>
        <v>0</v>
      </c>
      <c r="CK11" s="87">
        <f t="shared" si="484"/>
        <v>64252434.849478066</v>
      </c>
      <c r="CL11" s="87">
        <f t="shared" si="484"/>
        <v>1106280395.0529156</v>
      </c>
      <c r="CM11" s="87">
        <f t="shared" si="484"/>
        <v>0</v>
      </c>
      <c r="CN11" s="87">
        <f t="shared" si="484"/>
        <v>0</v>
      </c>
      <c r="CO11" s="87">
        <f t="shared" si="484"/>
        <v>0</v>
      </c>
      <c r="CP11" s="87">
        <f t="shared" si="484"/>
        <v>0</v>
      </c>
      <c r="CQ11" s="87">
        <f t="shared" si="484"/>
        <v>0</v>
      </c>
      <c r="CR11" s="87">
        <f t="shared" si="484"/>
        <v>0</v>
      </c>
      <c r="CS11" s="92">
        <f t="shared" ref="CS11" si="485">SUMIF(CE12:CR12,CS12,CE11:CR11)</f>
        <v>160439074.52691662</v>
      </c>
      <c r="CT11" s="92">
        <f t="shared" ref="CT11" si="486">SUMIF(CE12:CR12,CT12,CE11:CR11)</f>
        <v>3544955721.306457</v>
      </c>
      <c r="CU11" s="87">
        <f t="shared" ref="CU11" si="487">SUM(CU7:CU10)</f>
        <v>0</v>
      </c>
      <c r="CV11" s="87">
        <f t="shared" ref="CV11:CY11" si="488">SUM(CV7:CV10)</f>
        <v>0</v>
      </c>
      <c r="CW11" s="87">
        <f t="shared" si="488"/>
        <v>3938067.9328566566</v>
      </c>
      <c r="CX11" s="87">
        <f t="shared" si="488"/>
        <v>235205864.45300001</v>
      </c>
      <c r="CY11" s="87">
        <f t="shared" si="488"/>
        <v>0</v>
      </c>
      <c r="CZ11" s="87">
        <f t="shared" si="484"/>
        <v>0</v>
      </c>
      <c r="DA11" s="87">
        <f t="shared" si="484"/>
        <v>12436925.536938429</v>
      </c>
      <c r="DB11" s="87">
        <f t="shared" si="484"/>
        <v>272994871.54900002</v>
      </c>
      <c r="DC11" s="87">
        <f t="shared" si="484"/>
        <v>35722.000366</v>
      </c>
      <c r="DD11" s="87">
        <f t="shared" si="484"/>
        <v>879880.01500000001</v>
      </c>
      <c r="DE11" s="87">
        <f t="shared" si="484"/>
        <v>0</v>
      </c>
      <c r="DF11" s="87">
        <f t="shared" si="484"/>
        <v>0</v>
      </c>
      <c r="DG11" s="87">
        <f t="shared" si="484"/>
        <v>0</v>
      </c>
      <c r="DH11" s="87">
        <f t="shared" si="484"/>
        <v>0</v>
      </c>
      <c r="DI11" s="92">
        <f t="shared" ref="DI11" si="489">SUMIF(CU12:DH12,DI12,CU11:DH11)</f>
        <v>16410715.470161086</v>
      </c>
      <c r="DJ11" s="92">
        <f t="shared" ref="DJ11" si="490">SUMIF(CU12:DH12,DJ12,CU11:DH11)</f>
        <v>509080616.01700002</v>
      </c>
      <c r="DK11" s="87">
        <f t="shared" ref="DK11" si="491">SUM(DK7:DK10)</f>
        <v>0</v>
      </c>
      <c r="DL11" s="87">
        <f t="shared" ref="DL11:DO11" si="492">SUM(DL7:DL10)</f>
        <v>0</v>
      </c>
      <c r="DM11" s="87">
        <f t="shared" si="492"/>
        <v>0</v>
      </c>
      <c r="DN11" s="87">
        <f t="shared" si="492"/>
        <v>0</v>
      </c>
      <c r="DO11" s="87">
        <f t="shared" si="492"/>
        <v>0</v>
      </c>
      <c r="DP11" s="87">
        <f t="shared" si="484"/>
        <v>0</v>
      </c>
      <c r="DQ11" s="87">
        <f t="shared" si="484"/>
        <v>14792000</v>
      </c>
      <c r="DR11" s="87">
        <f t="shared" si="484"/>
        <v>269622700</v>
      </c>
      <c r="DS11" s="87">
        <f t="shared" si="484"/>
        <v>0</v>
      </c>
      <c r="DT11" s="87">
        <f t="shared" si="484"/>
        <v>0</v>
      </c>
      <c r="DU11" s="87">
        <f t="shared" si="484"/>
        <v>0</v>
      </c>
      <c r="DV11" s="87">
        <f t="shared" si="484"/>
        <v>0</v>
      </c>
      <c r="DW11" s="87">
        <f t="shared" si="484"/>
        <v>0</v>
      </c>
      <c r="DX11" s="87">
        <f t="shared" si="484"/>
        <v>0</v>
      </c>
      <c r="DY11" s="92">
        <f t="shared" ref="DY11" si="493">SUMIF(DK12:DX12,DY12,DK11:DX11)</f>
        <v>14792000</v>
      </c>
      <c r="DZ11" s="92">
        <f t="shared" ref="DZ11" si="494">SUMIF(DK12:DX12,DZ12,DK11:DX11)</f>
        <v>269622700</v>
      </c>
      <c r="EA11" s="87">
        <f t="shared" ref="EA11" si="495">SUM(EA7:EA10)</f>
        <v>0</v>
      </c>
      <c r="EB11" s="87">
        <f t="shared" ref="EB11:EE11" si="496">SUM(EB7:EB10)</f>
        <v>0</v>
      </c>
      <c r="EC11" s="87">
        <f t="shared" si="496"/>
        <v>0</v>
      </c>
      <c r="ED11" s="87">
        <f t="shared" si="496"/>
        <v>0</v>
      </c>
      <c r="EE11" s="87">
        <f t="shared" si="496"/>
        <v>0</v>
      </c>
      <c r="EF11" s="87">
        <f t="shared" si="484"/>
        <v>0</v>
      </c>
      <c r="EG11" s="87">
        <f t="shared" si="484"/>
        <v>25514275</v>
      </c>
      <c r="EH11" s="87">
        <f t="shared" si="484"/>
        <v>482643365</v>
      </c>
      <c r="EI11" s="87">
        <f t="shared" si="484"/>
        <v>0</v>
      </c>
      <c r="EJ11" s="87">
        <f t="shared" si="484"/>
        <v>0</v>
      </c>
      <c r="EK11" s="87">
        <f t="shared" si="484"/>
        <v>0</v>
      </c>
      <c r="EL11" s="87">
        <f t="shared" si="484"/>
        <v>0</v>
      </c>
      <c r="EM11" s="87">
        <f t="shared" si="484"/>
        <v>0</v>
      </c>
      <c r="EN11" s="87">
        <f t="shared" si="484"/>
        <v>0</v>
      </c>
      <c r="EO11" s="92">
        <f t="shared" ref="EO11" si="497">SUMIF(EA12:EN12,EO12,EA11:EN11)</f>
        <v>25514275</v>
      </c>
      <c r="EP11" s="92">
        <f t="shared" ref="EP11" si="498">SUMIF(EA12:EN12,EP12,EA11:EN11)</f>
        <v>482643365</v>
      </c>
      <c r="EQ11" s="87">
        <f t="shared" ref="EQ11" si="499">SUM(EQ7:EQ10)</f>
        <v>0</v>
      </c>
      <c r="ER11" s="87">
        <f t="shared" ref="ER11:GZ11" si="500">SUM(ER7:ER10)</f>
        <v>0</v>
      </c>
      <c r="ES11" s="87">
        <f t="shared" si="500"/>
        <v>4881277</v>
      </c>
      <c r="ET11" s="87">
        <f t="shared" si="500"/>
        <v>296519672</v>
      </c>
      <c r="EU11" s="87">
        <f t="shared" si="500"/>
        <v>0</v>
      </c>
      <c r="EV11" s="87">
        <f t="shared" si="500"/>
        <v>0</v>
      </c>
      <c r="EW11" s="87">
        <f t="shared" si="500"/>
        <v>41981324</v>
      </c>
      <c r="EX11" s="87">
        <f t="shared" si="500"/>
        <v>1131862037</v>
      </c>
      <c r="EY11" s="87">
        <f t="shared" si="500"/>
        <v>0</v>
      </c>
      <c r="EZ11" s="87">
        <f t="shared" si="500"/>
        <v>0</v>
      </c>
      <c r="FA11" s="87">
        <f t="shared" si="500"/>
        <v>74030</v>
      </c>
      <c r="FB11" s="87">
        <f t="shared" si="500"/>
        <v>1375104</v>
      </c>
      <c r="FC11" s="87">
        <f t="shared" si="500"/>
        <v>5216</v>
      </c>
      <c r="FD11" s="87">
        <f t="shared" si="500"/>
        <v>96712</v>
      </c>
      <c r="FE11" s="92">
        <f t="shared" ref="FE11" si="501">SUMIF(EQ12:FD12,FE12,EQ11:FD11)</f>
        <v>46941847</v>
      </c>
      <c r="FF11" s="92">
        <f t="shared" ref="FF11" si="502">SUMIF(EQ12:FD12,FF12,EQ11:FD11)</f>
        <v>1429853525</v>
      </c>
      <c r="FG11" s="87">
        <f t="shared" ref="FG11" si="503">SUM(FG7:FG10)</f>
        <v>0</v>
      </c>
      <c r="FH11" s="87">
        <f t="shared" ref="FH11:FK11" si="504">SUM(FH7:FH10)</f>
        <v>0</v>
      </c>
      <c r="FI11" s="87">
        <f t="shared" si="504"/>
        <v>1490000</v>
      </c>
      <c r="FJ11" s="87">
        <f t="shared" si="504"/>
        <v>89400000</v>
      </c>
      <c r="FK11" s="87">
        <f t="shared" si="504"/>
        <v>0</v>
      </c>
      <c r="FL11" s="87">
        <f t="shared" si="500"/>
        <v>0</v>
      </c>
      <c r="FM11" s="87">
        <f t="shared" si="500"/>
        <v>2736500.4</v>
      </c>
      <c r="FN11" s="87">
        <f t="shared" si="500"/>
        <v>69421076.5</v>
      </c>
      <c r="FO11" s="87">
        <f t="shared" si="500"/>
        <v>0</v>
      </c>
      <c r="FP11" s="87">
        <f t="shared" si="500"/>
        <v>0</v>
      </c>
      <c r="FQ11" s="87">
        <f t="shared" si="500"/>
        <v>0</v>
      </c>
      <c r="FR11" s="87">
        <f t="shared" si="500"/>
        <v>0</v>
      </c>
      <c r="FS11" s="87">
        <f t="shared" si="500"/>
        <v>885096</v>
      </c>
      <c r="FT11" s="87">
        <f t="shared" si="500"/>
        <v>25850858</v>
      </c>
      <c r="FU11" s="92">
        <f t="shared" ref="FU11" si="505">SUMIF(FG12:FT12,FU12,FG11:FT11)</f>
        <v>5111596.4000000004</v>
      </c>
      <c r="FV11" s="92">
        <f t="shared" ref="FV11" si="506">SUMIF(FG12:FT12,FV12,FG11:FT11)</f>
        <v>184671934.5</v>
      </c>
      <c r="FW11" s="87">
        <f t="shared" ref="FW11" si="507">SUM(FW7:FW10)</f>
        <v>0</v>
      </c>
      <c r="FX11" s="87">
        <f t="shared" ref="FX11:GA11" si="508">SUM(FX7:FX10)</f>
        <v>0</v>
      </c>
      <c r="FY11" s="87">
        <f t="shared" si="508"/>
        <v>0</v>
      </c>
      <c r="FZ11" s="87">
        <f t="shared" si="508"/>
        <v>0</v>
      </c>
      <c r="GA11" s="87">
        <f t="shared" si="508"/>
        <v>0</v>
      </c>
      <c r="GB11" s="87">
        <f t="shared" si="500"/>
        <v>0</v>
      </c>
      <c r="GC11" s="87">
        <f t="shared" si="500"/>
        <v>3850100</v>
      </c>
      <c r="GD11" s="87">
        <f t="shared" si="500"/>
        <v>79363625</v>
      </c>
      <c r="GE11" s="87">
        <f t="shared" si="500"/>
        <v>0</v>
      </c>
      <c r="GF11" s="87">
        <f t="shared" si="500"/>
        <v>0</v>
      </c>
      <c r="GG11" s="87">
        <f t="shared" si="500"/>
        <v>0</v>
      </c>
      <c r="GH11" s="87">
        <f t="shared" si="500"/>
        <v>0</v>
      </c>
      <c r="GI11" s="87">
        <f t="shared" si="500"/>
        <v>0</v>
      </c>
      <c r="GJ11" s="87">
        <f t="shared" si="500"/>
        <v>0</v>
      </c>
      <c r="GK11" s="92">
        <f t="shared" ref="GK11" si="509">SUMIF(FW12:GJ12,GK12,FW11:GJ11)</f>
        <v>3850100</v>
      </c>
      <c r="GL11" s="92">
        <f t="shared" ref="GL11" si="510">SUMIF(FW12:GJ12,GL12,FW11:GJ11)</f>
        <v>79363625</v>
      </c>
      <c r="GM11" s="87">
        <f t="shared" ref="GM11" si="511">SUM(GM7:GM10)</f>
        <v>0</v>
      </c>
      <c r="GN11" s="87">
        <f t="shared" ref="GN11:GQ11" si="512">SUM(GN7:GN10)</f>
        <v>0</v>
      </c>
      <c r="GO11" s="87">
        <f t="shared" si="512"/>
        <v>0</v>
      </c>
      <c r="GP11" s="87">
        <f t="shared" si="512"/>
        <v>0</v>
      </c>
      <c r="GQ11" s="87">
        <f t="shared" si="512"/>
        <v>0</v>
      </c>
      <c r="GR11" s="87">
        <f t="shared" si="500"/>
        <v>0</v>
      </c>
      <c r="GS11" s="87">
        <f t="shared" si="500"/>
        <v>1858550</v>
      </c>
      <c r="GT11" s="87">
        <f t="shared" si="500"/>
        <v>36091175</v>
      </c>
      <c r="GU11" s="87">
        <f t="shared" si="500"/>
        <v>0</v>
      </c>
      <c r="GV11" s="87">
        <f t="shared" si="500"/>
        <v>0</v>
      </c>
      <c r="GW11" s="87">
        <f t="shared" si="500"/>
        <v>0</v>
      </c>
      <c r="GX11" s="87">
        <f t="shared" si="500"/>
        <v>0</v>
      </c>
      <c r="GY11" s="87">
        <f t="shared" si="500"/>
        <v>1730</v>
      </c>
      <c r="GZ11" s="87">
        <f t="shared" si="500"/>
        <v>47980</v>
      </c>
      <c r="HA11" s="92">
        <f t="shared" ref="HA11" si="513">SUMIF(GM12:GZ12,HA12,GM11:GZ11)</f>
        <v>1860280</v>
      </c>
      <c r="HB11" s="92">
        <f t="shared" ref="HB11" si="514">SUMIF(GM12:GZ12,HB12,GM11:GZ11)</f>
        <v>36139155</v>
      </c>
      <c r="HC11" s="87">
        <f t="shared" ref="HC11" si="515">SUM(HC7:HC10)</f>
        <v>0</v>
      </c>
      <c r="HD11" s="87">
        <f t="shared" ref="HD11:JL11" si="516">SUM(HD7:HD10)</f>
        <v>0</v>
      </c>
      <c r="HE11" s="87">
        <f t="shared" si="516"/>
        <v>1640000</v>
      </c>
      <c r="HF11" s="87">
        <f t="shared" si="516"/>
        <v>104135000</v>
      </c>
      <c r="HG11" s="87">
        <f t="shared" si="516"/>
        <v>0</v>
      </c>
      <c r="HH11" s="87">
        <f t="shared" si="516"/>
        <v>0</v>
      </c>
      <c r="HI11" s="87">
        <f t="shared" si="516"/>
        <v>7364300</v>
      </c>
      <c r="HJ11" s="87">
        <f t="shared" si="516"/>
        <v>134808000</v>
      </c>
      <c r="HK11" s="87">
        <f t="shared" si="516"/>
        <v>0</v>
      </c>
      <c r="HL11" s="87">
        <f t="shared" si="516"/>
        <v>0</v>
      </c>
      <c r="HM11" s="87">
        <f t="shared" si="516"/>
        <v>0</v>
      </c>
      <c r="HN11" s="87">
        <f t="shared" si="516"/>
        <v>0</v>
      </c>
      <c r="HO11" s="87">
        <f t="shared" si="516"/>
        <v>4260000</v>
      </c>
      <c r="HP11" s="87">
        <f t="shared" si="516"/>
        <v>96700000</v>
      </c>
      <c r="HQ11" s="92">
        <f t="shared" ref="HQ11" si="517">SUMIF(HC12:HP12,HQ12,HC11:HP11)</f>
        <v>13264300</v>
      </c>
      <c r="HR11" s="92">
        <f t="shared" ref="HR11" si="518">SUMIF(HC12:HP12,HR12,HC11:HP11)</f>
        <v>335643000</v>
      </c>
      <c r="HS11" s="87">
        <f t="shared" ref="HS11" si="519">SUM(HS7:HS10)</f>
        <v>0</v>
      </c>
      <c r="HT11" s="87">
        <f t="shared" ref="HT11:HW11" si="520">SUM(HT7:HT10)</f>
        <v>0</v>
      </c>
      <c r="HU11" s="87">
        <f t="shared" si="520"/>
        <v>0</v>
      </c>
      <c r="HV11" s="87">
        <f t="shared" si="520"/>
        <v>0</v>
      </c>
      <c r="HW11" s="87">
        <f t="shared" si="520"/>
        <v>0</v>
      </c>
      <c r="HX11" s="87">
        <f t="shared" si="516"/>
        <v>0</v>
      </c>
      <c r="HY11" s="87">
        <f t="shared" si="516"/>
        <v>1813118</v>
      </c>
      <c r="HZ11" s="87">
        <f t="shared" si="516"/>
        <v>34905400</v>
      </c>
      <c r="IA11" s="87">
        <f t="shared" si="516"/>
        <v>0</v>
      </c>
      <c r="IB11" s="87">
        <f t="shared" si="516"/>
        <v>0</v>
      </c>
      <c r="IC11" s="87">
        <f t="shared" si="516"/>
        <v>1800</v>
      </c>
      <c r="ID11" s="87">
        <f t="shared" si="516"/>
        <v>45400</v>
      </c>
      <c r="IE11" s="87">
        <f t="shared" si="516"/>
        <v>1700</v>
      </c>
      <c r="IF11" s="87">
        <f t="shared" si="516"/>
        <v>36500</v>
      </c>
      <c r="IG11" s="92">
        <f t="shared" ref="IG11" si="521">SUMIF(HS12:IF12,IG12,HS11:IF11)</f>
        <v>1816618</v>
      </c>
      <c r="IH11" s="92">
        <f t="shared" ref="IH11" si="522">SUMIF(HS12:IF12,IH12,HS11:IF11)</f>
        <v>34987300</v>
      </c>
      <c r="II11" s="87">
        <f t="shared" ref="II11" si="523">SUM(II7:II10)</f>
        <v>0</v>
      </c>
      <c r="IJ11" s="87">
        <f t="shared" ref="IJ11:IM11" si="524">SUM(IJ7:IJ10)</f>
        <v>0</v>
      </c>
      <c r="IK11" s="87">
        <f t="shared" si="524"/>
        <v>0</v>
      </c>
      <c r="IL11" s="87">
        <f t="shared" si="524"/>
        <v>0</v>
      </c>
      <c r="IM11" s="87">
        <f t="shared" si="524"/>
        <v>0</v>
      </c>
      <c r="IN11" s="87">
        <f t="shared" si="516"/>
        <v>0</v>
      </c>
      <c r="IO11" s="87">
        <f t="shared" si="516"/>
        <v>11030000</v>
      </c>
      <c r="IP11" s="87">
        <f t="shared" si="516"/>
        <v>217798004</v>
      </c>
      <c r="IQ11" s="87">
        <f t="shared" si="516"/>
        <v>0</v>
      </c>
      <c r="IR11" s="87">
        <f t="shared" si="516"/>
        <v>0</v>
      </c>
      <c r="IS11" s="87">
        <f t="shared" si="516"/>
        <v>0</v>
      </c>
      <c r="IT11" s="87">
        <f t="shared" si="516"/>
        <v>0</v>
      </c>
      <c r="IU11" s="87">
        <f t="shared" si="516"/>
        <v>0</v>
      </c>
      <c r="IV11" s="87">
        <f t="shared" si="516"/>
        <v>0</v>
      </c>
      <c r="IW11" s="92">
        <f t="shared" ref="IW11" si="525">SUMIF(II12:IV12,IW12,II11:IV11)</f>
        <v>11030000</v>
      </c>
      <c r="IX11" s="92">
        <f t="shared" ref="IX11" si="526">SUMIF(II12:IV12,IX12,II11:IV11)</f>
        <v>217798004</v>
      </c>
      <c r="IY11" s="87">
        <f t="shared" ref="IY11" si="527">SUM(IY7:IY10)</f>
        <v>0</v>
      </c>
      <c r="IZ11" s="87">
        <f t="shared" ref="IZ11:JC11" si="528">SUM(IZ7:IZ10)</f>
        <v>0</v>
      </c>
      <c r="JA11" s="87">
        <f t="shared" si="528"/>
        <v>0</v>
      </c>
      <c r="JB11" s="87">
        <f t="shared" si="528"/>
        <v>0</v>
      </c>
      <c r="JC11" s="87">
        <f t="shared" si="528"/>
        <v>0</v>
      </c>
      <c r="JD11" s="87">
        <f t="shared" si="516"/>
        <v>0</v>
      </c>
      <c r="JE11" s="87">
        <f t="shared" si="516"/>
        <v>4406525</v>
      </c>
      <c r="JF11" s="87">
        <f t="shared" si="516"/>
        <v>83744202</v>
      </c>
      <c r="JG11" s="87">
        <f t="shared" si="516"/>
        <v>0</v>
      </c>
      <c r="JH11" s="87">
        <f t="shared" si="516"/>
        <v>0</v>
      </c>
      <c r="JI11" s="87">
        <f t="shared" si="516"/>
        <v>0</v>
      </c>
      <c r="JJ11" s="87">
        <f t="shared" si="516"/>
        <v>0</v>
      </c>
      <c r="JK11" s="87">
        <f t="shared" si="516"/>
        <v>106933</v>
      </c>
      <c r="JL11" s="87">
        <f t="shared" si="516"/>
        <v>2042282</v>
      </c>
      <c r="JM11" s="92">
        <f t="shared" ref="JM11" si="529">SUMIF(IY12:JL12,JM12,IY11:JL11)</f>
        <v>4513458</v>
      </c>
      <c r="JN11" s="92">
        <f t="shared" ref="JN11" si="530">SUMIF(IY12:JL12,JN12,IY11:JL11)</f>
        <v>85786484</v>
      </c>
      <c r="JO11" s="87">
        <f t="shared" ref="JO11" si="531">SUM(JO7:JO10)</f>
        <v>0</v>
      </c>
      <c r="JP11" s="87">
        <f t="shared" ref="JP11:LX11" si="532">SUM(JP7:JP10)</f>
        <v>0</v>
      </c>
      <c r="JQ11" s="87">
        <f t="shared" si="532"/>
        <v>1732575</v>
      </c>
      <c r="JR11" s="87">
        <f t="shared" si="532"/>
        <v>137502608</v>
      </c>
      <c r="JS11" s="87">
        <f t="shared" si="532"/>
        <v>0</v>
      </c>
      <c r="JT11" s="87">
        <f t="shared" si="532"/>
        <v>0</v>
      </c>
      <c r="JU11" s="87">
        <f t="shared" si="532"/>
        <v>930887</v>
      </c>
      <c r="JV11" s="87">
        <f t="shared" si="532"/>
        <v>24238782</v>
      </c>
      <c r="JW11" s="87">
        <f t="shared" si="532"/>
        <v>0</v>
      </c>
      <c r="JX11" s="87">
        <f t="shared" si="532"/>
        <v>0</v>
      </c>
      <c r="JY11" s="87">
        <f t="shared" si="532"/>
        <v>0</v>
      </c>
      <c r="JZ11" s="87">
        <f t="shared" si="532"/>
        <v>0</v>
      </c>
      <c r="KA11" s="87">
        <f t="shared" si="532"/>
        <v>0</v>
      </c>
      <c r="KB11" s="87">
        <f t="shared" si="532"/>
        <v>0</v>
      </c>
      <c r="KC11" s="92">
        <f t="shared" ref="KC11" si="533">SUMIF(JO12:KB12,KC12,JO11:KB11)</f>
        <v>2663462</v>
      </c>
      <c r="KD11" s="92">
        <f t="shared" ref="KD11" si="534">SUMIF(JO12:KB12,KD12,JO11:KB11)</f>
        <v>161741390</v>
      </c>
      <c r="KE11" s="87">
        <f t="shared" ref="KE11" si="535">SUM(KE7:KE10)</f>
        <v>0</v>
      </c>
      <c r="KF11" s="87">
        <f t="shared" ref="KF11:KI11" si="536">SUM(KF7:KF10)</f>
        <v>0</v>
      </c>
      <c r="KG11" s="87">
        <f t="shared" si="536"/>
        <v>515643</v>
      </c>
      <c r="KH11" s="87">
        <f t="shared" si="536"/>
        <v>33231010</v>
      </c>
      <c r="KI11" s="87">
        <f t="shared" si="536"/>
        <v>0</v>
      </c>
      <c r="KJ11" s="87">
        <f t="shared" si="532"/>
        <v>0</v>
      </c>
      <c r="KK11" s="87">
        <f t="shared" si="532"/>
        <v>800050</v>
      </c>
      <c r="KL11" s="87">
        <f t="shared" si="532"/>
        <v>16075010</v>
      </c>
      <c r="KM11" s="87">
        <f t="shared" si="532"/>
        <v>0</v>
      </c>
      <c r="KN11" s="87">
        <f t="shared" si="532"/>
        <v>0</v>
      </c>
      <c r="KO11" s="87">
        <f t="shared" si="532"/>
        <v>0</v>
      </c>
      <c r="KP11" s="87">
        <f t="shared" si="532"/>
        <v>0</v>
      </c>
      <c r="KQ11" s="87">
        <f t="shared" si="532"/>
        <v>0</v>
      </c>
      <c r="KR11" s="87">
        <f t="shared" si="532"/>
        <v>0</v>
      </c>
      <c r="KS11" s="92">
        <f t="shared" ref="KS11" si="537">SUMIF(KE12:KR12,KS12,KE11:KR11)</f>
        <v>1315693</v>
      </c>
      <c r="KT11" s="92">
        <f t="shared" ref="KT11" si="538">SUMIF(KE12:KR12,KT12,KE11:KR11)</f>
        <v>49306020</v>
      </c>
      <c r="KU11" s="87">
        <f t="shared" ref="KU11" si="539">SUM(KU7:KU10)</f>
        <v>0</v>
      </c>
      <c r="KV11" s="87">
        <f t="shared" ref="KV11:KY11" si="540">SUM(KV7:KV10)</f>
        <v>0</v>
      </c>
      <c r="KW11" s="87">
        <f t="shared" si="540"/>
        <v>9211002.7800000012</v>
      </c>
      <c r="KX11" s="87">
        <f t="shared" si="540"/>
        <v>151727484</v>
      </c>
      <c r="KY11" s="87">
        <f t="shared" si="540"/>
        <v>0</v>
      </c>
      <c r="KZ11" s="87">
        <f t="shared" si="532"/>
        <v>0</v>
      </c>
      <c r="LA11" s="87">
        <f t="shared" si="532"/>
        <v>15942118.630000001</v>
      </c>
      <c r="LB11" s="87">
        <f t="shared" si="532"/>
        <v>291949904</v>
      </c>
      <c r="LC11" s="87">
        <f t="shared" si="532"/>
        <v>0</v>
      </c>
      <c r="LD11" s="87">
        <f t="shared" si="532"/>
        <v>0</v>
      </c>
      <c r="LE11" s="87">
        <f t="shared" si="532"/>
        <v>0</v>
      </c>
      <c r="LF11" s="87">
        <f t="shared" si="532"/>
        <v>0</v>
      </c>
      <c r="LG11" s="87">
        <f t="shared" si="532"/>
        <v>142052.85999999999</v>
      </c>
      <c r="LH11" s="87">
        <f t="shared" si="532"/>
        <v>3441218</v>
      </c>
      <c r="LI11" s="92">
        <f t="shared" ref="LI11" si="541">SUMIF(KU12:LH12,LI12,KU11:LH11)</f>
        <v>25295174.270000003</v>
      </c>
      <c r="LJ11" s="92">
        <f t="shared" ref="LJ11" si="542">SUMIF(KU12:LH12,LJ12,KU11:LH11)</f>
        <v>447118606</v>
      </c>
      <c r="LK11" s="87">
        <f t="shared" ref="LK11" si="543">SUM(LK7:LK10)</f>
        <v>0</v>
      </c>
      <c r="LL11" s="87">
        <f t="shared" ref="LL11:LO11" si="544">SUM(LL7:LL10)</f>
        <v>0</v>
      </c>
      <c r="LM11" s="87">
        <f t="shared" si="544"/>
        <v>0</v>
      </c>
      <c r="LN11" s="87">
        <f t="shared" si="544"/>
        <v>0</v>
      </c>
      <c r="LO11" s="87">
        <f t="shared" si="544"/>
        <v>0</v>
      </c>
      <c r="LP11" s="87">
        <f t="shared" si="532"/>
        <v>0</v>
      </c>
      <c r="LQ11" s="87">
        <f t="shared" si="532"/>
        <v>2179713</v>
      </c>
      <c r="LR11" s="87">
        <f t="shared" si="532"/>
        <v>44477930.730000004</v>
      </c>
      <c r="LS11" s="87">
        <f t="shared" si="532"/>
        <v>0</v>
      </c>
      <c r="LT11" s="87">
        <f t="shared" si="532"/>
        <v>0</v>
      </c>
      <c r="LU11" s="87">
        <f t="shared" si="532"/>
        <v>0</v>
      </c>
      <c r="LV11" s="87">
        <f t="shared" si="532"/>
        <v>0</v>
      </c>
      <c r="LW11" s="87">
        <f t="shared" si="532"/>
        <v>17603</v>
      </c>
      <c r="LX11" s="87">
        <f t="shared" si="532"/>
        <v>569904</v>
      </c>
      <c r="LY11" s="92">
        <f t="shared" ref="LY11" si="545">SUMIF(LK12:LX12,LY12,LK11:LX11)</f>
        <v>2197316</v>
      </c>
      <c r="LZ11" s="92">
        <f t="shared" ref="LZ11" si="546">SUMIF(LK12:LX12,LZ12,LK11:LX11)</f>
        <v>45047834.730000004</v>
      </c>
      <c r="MA11" s="87">
        <f t="shared" ref="MA11" si="547">SUM(MA7:MA10)</f>
        <v>435150</v>
      </c>
      <c r="MB11" s="87">
        <f t="shared" ref="MB11:OJ11" si="548">SUM(MB7:MB10)</f>
        <v>36987750</v>
      </c>
      <c r="MC11" s="87">
        <f t="shared" si="548"/>
        <v>14113148</v>
      </c>
      <c r="MD11" s="87">
        <f t="shared" si="548"/>
        <v>730872720</v>
      </c>
      <c r="ME11" s="87">
        <f t="shared" si="548"/>
        <v>0</v>
      </c>
      <c r="MF11" s="87">
        <f t="shared" si="548"/>
        <v>0</v>
      </c>
      <c r="MG11" s="87">
        <f t="shared" si="548"/>
        <v>856340</v>
      </c>
      <c r="MH11" s="87">
        <f t="shared" si="548"/>
        <v>15853965</v>
      </c>
      <c r="MI11" s="87">
        <f t="shared" si="548"/>
        <v>0</v>
      </c>
      <c r="MJ11" s="87">
        <f t="shared" si="548"/>
        <v>0</v>
      </c>
      <c r="MK11" s="87">
        <f t="shared" si="548"/>
        <v>0</v>
      </c>
      <c r="ML11" s="87">
        <f t="shared" si="548"/>
        <v>0</v>
      </c>
      <c r="MM11" s="87">
        <f t="shared" si="548"/>
        <v>28930</v>
      </c>
      <c r="MN11" s="87">
        <f t="shared" si="548"/>
        <v>536740</v>
      </c>
      <c r="MO11" s="92">
        <f t="shared" ref="MO11" si="549">SUMIF(MA12:MN12,MO12,MA11:MN11)</f>
        <v>15433568</v>
      </c>
      <c r="MP11" s="92">
        <f t="shared" ref="MP11" si="550">SUMIF(MA12:MN12,MP12,MA11:MN11)</f>
        <v>784251175</v>
      </c>
      <c r="MQ11" s="87">
        <f t="shared" ref="MQ11" si="551">SUM(MQ7:MQ10)</f>
        <v>0</v>
      </c>
      <c r="MR11" s="87">
        <f t="shared" ref="MR11:MU11" si="552">SUM(MR7:MR10)</f>
        <v>0</v>
      </c>
      <c r="MS11" s="87">
        <f t="shared" si="552"/>
        <v>854079</v>
      </c>
      <c r="MT11" s="87">
        <f t="shared" si="552"/>
        <v>37876009</v>
      </c>
      <c r="MU11" s="87">
        <f t="shared" si="552"/>
        <v>0</v>
      </c>
      <c r="MV11" s="87">
        <f t="shared" si="548"/>
        <v>0</v>
      </c>
      <c r="MW11" s="87">
        <f t="shared" si="548"/>
        <v>228949</v>
      </c>
      <c r="MX11" s="87">
        <f t="shared" si="548"/>
        <v>5273422</v>
      </c>
      <c r="MY11" s="87">
        <f t="shared" si="548"/>
        <v>0</v>
      </c>
      <c r="MZ11" s="87">
        <f t="shared" si="548"/>
        <v>0</v>
      </c>
      <c r="NA11" s="87">
        <f t="shared" si="548"/>
        <v>0</v>
      </c>
      <c r="NB11" s="87">
        <f t="shared" si="548"/>
        <v>0</v>
      </c>
      <c r="NC11" s="87">
        <f t="shared" si="548"/>
        <v>0</v>
      </c>
      <c r="ND11" s="87">
        <f t="shared" si="548"/>
        <v>0</v>
      </c>
      <c r="NE11" s="92">
        <f t="shared" ref="NE11" si="553">SUMIF(MQ12:ND12,NE12,MQ11:ND11)</f>
        <v>1083028</v>
      </c>
      <c r="NF11" s="92">
        <f t="shared" ref="NF11" si="554">SUMIF(MQ12:ND12,NF12,MQ11:ND11)</f>
        <v>43149431</v>
      </c>
      <c r="NG11" s="87">
        <f t="shared" ref="NG11" si="555">SUM(NG7:NG10)</f>
        <v>0</v>
      </c>
      <c r="NH11" s="87">
        <f t="shared" ref="NH11:NK11" si="556">SUM(NH7:NH10)</f>
        <v>0</v>
      </c>
      <c r="NI11" s="87">
        <f t="shared" si="556"/>
        <v>83044522</v>
      </c>
      <c r="NJ11" s="87">
        <f t="shared" si="556"/>
        <v>2026200713</v>
      </c>
      <c r="NK11" s="87">
        <f t="shared" si="556"/>
        <v>0</v>
      </c>
      <c r="NL11" s="87">
        <f t="shared" si="548"/>
        <v>0</v>
      </c>
      <c r="NM11" s="87">
        <f t="shared" si="548"/>
        <v>26544645</v>
      </c>
      <c r="NN11" s="87">
        <f t="shared" si="548"/>
        <v>429100720</v>
      </c>
      <c r="NO11" s="87">
        <f t="shared" si="548"/>
        <v>837900</v>
      </c>
      <c r="NP11" s="87">
        <f t="shared" si="548"/>
        <v>17875200</v>
      </c>
      <c r="NQ11" s="87">
        <f t="shared" si="548"/>
        <v>312620</v>
      </c>
      <c r="NR11" s="87">
        <f t="shared" si="548"/>
        <v>5690196</v>
      </c>
      <c r="NS11" s="87">
        <f t="shared" si="548"/>
        <v>0</v>
      </c>
      <c r="NT11" s="87">
        <f t="shared" si="548"/>
        <v>0</v>
      </c>
      <c r="NU11" s="92">
        <f t="shared" ref="NU11" si="557">SUMIF(NG12:NT12,NU12,NG11:NT11)</f>
        <v>110739687</v>
      </c>
      <c r="NV11" s="92">
        <f t="shared" ref="NV11" si="558">SUMIF(NG12:NT12,NV12,NG11:NT11)</f>
        <v>2478866829</v>
      </c>
      <c r="NW11" s="87">
        <f t="shared" ref="NW11" si="559">SUM(NW7:NW10)</f>
        <v>59275</v>
      </c>
      <c r="NX11" s="87">
        <f t="shared" ref="NX11:OA11" si="560">SUM(NX7:NX10)</f>
        <v>1977950</v>
      </c>
      <c r="NY11" s="87">
        <f t="shared" si="560"/>
        <v>10978224</v>
      </c>
      <c r="NZ11" s="87">
        <f t="shared" si="560"/>
        <v>521622936</v>
      </c>
      <c r="OA11" s="87">
        <f t="shared" si="560"/>
        <v>0</v>
      </c>
      <c r="OB11" s="87">
        <f t="shared" si="548"/>
        <v>0</v>
      </c>
      <c r="OC11" s="87">
        <f t="shared" si="548"/>
        <v>637829</v>
      </c>
      <c r="OD11" s="87">
        <f t="shared" si="548"/>
        <v>12175405</v>
      </c>
      <c r="OE11" s="87">
        <f t="shared" si="548"/>
        <v>0</v>
      </c>
      <c r="OF11" s="87">
        <f t="shared" si="548"/>
        <v>0</v>
      </c>
      <c r="OG11" s="87">
        <f t="shared" si="548"/>
        <v>0</v>
      </c>
      <c r="OH11" s="87">
        <f t="shared" si="548"/>
        <v>0</v>
      </c>
      <c r="OI11" s="87">
        <f t="shared" si="548"/>
        <v>0</v>
      </c>
      <c r="OJ11" s="87">
        <f t="shared" si="548"/>
        <v>0</v>
      </c>
      <c r="OK11" s="92">
        <f t="shared" ref="OK11" si="561">SUMIF(NW12:OJ12,OK12,NW11:OJ11)</f>
        <v>11675328</v>
      </c>
      <c r="OL11" s="92">
        <f t="shared" ref="OL11" si="562">SUMIF(NW12:OJ12,OL12,NW11:OJ11)</f>
        <v>535776291</v>
      </c>
      <c r="OM11" s="87">
        <f t="shared" ref="OM11" si="563">SUM(OM7:OM10)</f>
        <v>760127186</v>
      </c>
      <c r="ON11" s="87">
        <f t="shared" ref="ON11:QV11" si="564">SUM(ON7:ON10)</f>
        <v>3895512472</v>
      </c>
      <c r="OO11" s="87">
        <f t="shared" si="564"/>
        <v>7596034</v>
      </c>
      <c r="OP11" s="87">
        <f t="shared" si="564"/>
        <v>452829082</v>
      </c>
      <c r="OQ11" s="87">
        <f t="shared" si="564"/>
        <v>0</v>
      </c>
      <c r="OR11" s="87">
        <f t="shared" si="564"/>
        <v>0</v>
      </c>
      <c r="OS11" s="87">
        <f t="shared" si="564"/>
        <v>2548876.4000000004</v>
      </c>
      <c r="OT11" s="87">
        <f t="shared" si="564"/>
        <v>24139934.900000002</v>
      </c>
      <c r="OU11" s="87">
        <f t="shared" si="564"/>
        <v>0</v>
      </c>
      <c r="OV11" s="87">
        <f t="shared" si="564"/>
        <v>0</v>
      </c>
      <c r="OW11" s="87">
        <f t="shared" si="564"/>
        <v>0</v>
      </c>
      <c r="OX11" s="87">
        <f t="shared" si="564"/>
        <v>0</v>
      </c>
      <c r="OY11" s="87">
        <f t="shared" si="564"/>
        <v>0</v>
      </c>
      <c r="OZ11" s="87">
        <f t="shared" si="564"/>
        <v>0</v>
      </c>
      <c r="PA11" s="92">
        <f t="shared" ref="PA11" si="565">SUMIF(OM12:OZ12,PA12,OM11:OZ11)</f>
        <v>770272096.39999998</v>
      </c>
      <c r="PB11" s="92">
        <f t="shared" ref="PB11" si="566">SUMIF(OM12:OZ12,PB12,OM11:OZ11)</f>
        <v>4372481488.8999996</v>
      </c>
      <c r="PC11" s="87">
        <f t="shared" ref="PC11" si="567">SUM(PC7:PC10)</f>
        <v>2009</v>
      </c>
      <c r="PD11" s="87">
        <f t="shared" ref="PD11:PG11" si="568">SUM(PD7:PD10)</f>
        <v>150921.5</v>
      </c>
      <c r="PE11" s="87">
        <f t="shared" si="568"/>
        <v>273436</v>
      </c>
      <c r="PF11" s="87">
        <f t="shared" si="568"/>
        <v>16905242</v>
      </c>
      <c r="PG11" s="87">
        <f t="shared" si="568"/>
        <v>0</v>
      </c>
      <c r="PH11" s="87">
        <f t="shared" si="564"/>
        <v>0</v>
      </c>
      <c r="PI11" s="87">
        <f t="shared" si="564"/>
        <v>4813018</v>
      </c>
      <c r="PJ11" s="87">
        <f t="shared" si="564"/>
        <v>86957019</v>
      </c>
      <c r="PK11" s="87">
        <f t="shared" si="564"/>
        <v>0</v>
      </c>
      <c r="PL11" s="87">
        <f t="shared" si="564"/>
        <v>0</v>
      </c>
      <c r="PM11" s="87">
        <f t="shared" si="564"/>
        <v>0</v>
      </c>
      <c r="PN11" s="87">
        <f t="shared" si="564"/>
        <v>0</v>
      </c>
      <c r="PO11" s="87">
        <f t="shared" si="564"/>
        <v>0</v>
      </c>
      <c r="PP11" s="87">
        <f t="shared" si="564"/>
        <v>0</v>
      </c>
      <c r="PQ11" s="92">
        <f t="shared" ref="PQ11" si="569">SUMIF(PC12:PP12,PQ12,PC11:PP11)</f>
        <v>5088463</v>
      </c>
      <c r="PR11" s="92">
        <f t="shared" ref="PR11" si="570">SUMIF(PC12:PP12,PR12,PC11:PP11)</f>
        <v>104013182.5</v>
      </c>
      <c r="PS11" s="87">
        <f t="shared" ref="PS11" si="571">SUM(PS7:PS10)</f>
        <v>2600</v>
      </c>
      <c r="PT11" s="87">
        <f t="shared" ref="PT11:PW11" si="572">SUM(PT7:PT10)</f>
        <v>276950</v>
      </c>
      <c r="PU11" s="87">
        <f t="shared" si="572"/>
        <v>16478460</v>
      </c>
      <c r="PV11" s="87">
        <f t="shared" si="572"/>
        <v>623211510</v>
      </c>
      <c r="PW11" s="87">
        <f t="shared" si="572"/>
        <v>0</v>
      </c>
      <c r="PX11" s="87">
        <f t="shared" si="564"/>
        <v>0</v>
      </c>
      <c r="PY11" s="87">
        <f t="shared" si="564"/>
        <v>15105580</v>
      </c>
      <c r="PZ11" s="87">
        <f t="shared" si="564"/>
        <v>283634856.41100001</v>
      </c>
      <c r="QA11" s="87">
        <f t="shared" si="564"/>
        <v>15223090</v>
      </c>
      <c r="QB11" s="87">
        <f t="shared" si="564"/>
        <v>422091360</v>
      </c>
      <c r="QC11" s="87">
        <f t="shared" si="564"/>
        <v>6509700</v>
      </c>
      <c r="QD11" s="87">
        <f t="shared" si="564"/>
        <v>119961954</v>
      </c>
      <c r="QE11" s="87">
        <f t="shared" si="564"/>
        <v>0</v>
      </c>
      <c r="QF11" s="87">
        <f t="shared" si="564"/>
        <v>0</v>
      </c>
      <c r="QG11" s="92">
        <f t="shared" ref="QG11" si="573">SUMIF(PS12:QF12,QG12,PS11:QF11)</f>
        <v>53319430</v>
      </c>
      <c r="QH11" s="92">
        <f t="shared" ref="QH11" si="574">SUMIF(PS12:QF12,QH12,PS11:QF11)</f>
        <v>1449176630.411</v>
      </c>
      <c r="QI11" s="87">
        <f t="shared" ref="QI11" si="575">SUM(QI7:QI10)</f>
        <v>0</v>
      </c>
      <c r="QJ11" s="87">
        <f t="shared" ref="QJ11:QM11" si="576">SUM(QJ7:QJ10)</f>
        <v>0</v>
      </c>
      <c r="QK11" s="87">
        <f t="shared" si="576"/>
        <v>350000</v>
      </c>
      <c r="QL11" s="87">
        <f t="shared" si="576"/>
        <v>21000000</v>
      </c>
      <c r="QM11" s="87">
        <f t="shared" si="576"/>
        <v>0</v>
      </c>
      <c r="QN11" s="87">
        <f t="shared" si="564"/>
        <v>0</v>
      </c>
      <c r="QO11" s="87">
        <f t="shared" si="564"/>
        <v>53401500</v>
      </c>
      <c r="QP11" s="87">
        <f t="shared" si="564"/>
        <v>1124622500</v>
      </c>
      <c r="QQ11" s="87">
        <f t="shared" si="564"/>
        <v>0</v>
      </c>
      <c r="QR11" s="87">
        <f t="shared" si="564"/>
        <v>0</v>
      </c>
      <c r="QS11" s="87">
        <f t="shared" si="564"/>
        <v>0</v>
      </c>
      <c r="QT11" s="87">
        <f t="shared" si="564"/>
        <v>0</v>
      </c>
      <c r="QU11" s="87">
        <f t="shared" si="564"/>
        <v>0</v>
      </c>
      <c r="QV11" s="87">
        <f t="shared" si="564"/>
        <v>0</v>
      </c>
      <c r="QW11" s="92">
        <f t="shared" ref="QW11" si="577">SUMIF(QI12:QV12,QW12,QI11:QV11)</f>
        <v>53751500</v>
      </c>
      <c r="QX11" s="92">
        <f t="shared" ref="QX11" si="578">SUMIF(QI12:QV12,QX12,QI11:QV11)</f>
        <v>1145622500</v>
      </c>
      <c r="QY11" s="87">
        <f t="shared" ref="QY11" si="579">SUM(QY7:QY10)</f>
        <v>0</v>
      </c>
      <c r="QZ11" s="87">
        <f t="shared" ref="QZ11:TH11" si="580">SUM(QZ7:QZ10)</f>
        <v>0</v>
      </c>
      <c r="RA11" s="87">
        <f t="shared" si="580"/>
        <v>0</v>
      </c>
      <c r="RB11" s="87">
        <f t="shared" si="580"/>
        <v>0</v>
      </c>
      <c r="RC11" s="87">
        <f t="shared" si="580"/>
        <v>0</v>
      </c>
      <c r="RD11" s="87">
        <f t="shared" si="580"/>
        <v>0</v>
      </c>
      <c r="RE11" s="87">
        <f t="shared" si="580"/>
        <v>65339</v>
      </c>
      <c r="RF11" s="87">
        <f t="shared" si="580"/>
        <v>1575859</v>
      </c>
      <c r="RG11" s="87">
        <f t="shared" si="580"/>
        <v>0</v>
      </c>
      <c r="RH11" s="87">
        <f t="shared" si="580"/>
        <v>0</v>
      </c>
      <c r="RI11" s="87">
        <f t="shared" si="580"/>
        <v>0</v>
      </c>
      <c r="RJ11" s="87">
        <f t="shared" si="580"/>
        <v>0</v>
      </c>
      <c r="RK11" s="87">
        <f t="shared" si="580"/>
        <v>0</v>
      </c>
      <c r="RL11" s="87">
        <f t="shared" si="580"/>
        <v>0</v>
      </c>
      <c r="RM11" s="92">
        <f t="shared" ref="RM11" si="581">SUMIF(QY12:RL12,RM12,QY11:RL11)</f>
        <v>65339</v>
      </c>
      <c r="RN11" s="92">
        <f t="shared" ref="RN11" si="582">SUMIF(QY12:RL12,RN12,QY11:RL11)</f>
        <v>1575859</v>
      </c>
      <c r="RO11" s="87">
        <f t="shared" ref="RO11" si="583">SUM(RO7:RO10)</f>
        <v>0</v>
      </c>
      <c r="RP11" s="87">
        <f t="shared" ref="RP11:RS11" si="584">SUM(RP7:RP10)</f>
        <v>0</v>
      </c>
      <c r="RQ11" s="87">
        <f t="shared" si="584"/>
        <v>0</v>
      </c>
      <c r="RR11" s="87">
        <f t="shared" si="584"/>
        <v>0</v>
      </c>
      <c r="RS11" s="87">
        <f t="shared" si="584"/>
        <v>0</v>
      </c>
      <c r="RT11" s="87">
        <f t="shared" si="580"/>
        <v>0</v>
      </c>
      <c r="RU11" s="87">
        <f t="shared" si="580"/>
        <v>244780</v>
      </c>
      <c r="RV11" s="87">
        <f t="shared" si="580"/>
        <v>5157835</v>
      </c>
      <c r="RW11" s="87">
        <f t="shared" si="580"/>
        <v>0</v>
      </c>
      <c r="RX11" s="87">
        <f t="shared" si="580"/>
        <v>0</v>
      </c>
      <c r="RY11" s="87">
        <f t="shared" si="580"/>
        <v>0</v>
      </c>
      <c r="RZ11" s="87">
        <f t="shared" si="580"/>
        <v>0</v>
      </c>
      <c r="SA11" s="87">
        <f t="shared" si="580"/>
        <v>0</v>
      </c>
      <c r="SB11" s="87">
        <f t="shared" si="580"/>
        <v>0</v>
      </c>
      <c r="SC11" s="92">
        <f t="shared" ref="SC11" si="585">SUMIF(RO12:SB12,SC12,RO11:SB11)</f>
        <v>244780</v>
      </c>
      <c r="SD11" s="92">
        <f t="shared" ref="SD11" si="586">SUMIF(RO12:SB12,SD12,RO11:SB11)</f>
        <v>5157835</v>
      </c>
      <c r="SE11" s="87">
        <f t="shared" ref="SE11" si="587">SUM(SE7:SE10)</f>
        <v>0</v>
      </c>
      <c r="SF11" s="87">
        <f t="shared" ref="SF11:SI11" si="588">SUM(SF7:SF10)</f>
        <v>0</v>
      </c>
      <c r="SG11" s="87">
        <f t="shared" si="588"/>
        <v>0</v>
      </c>
      <c r="SH11" s="87">
        <f t="shared" si="588"/>
        <v>0</v>
      </c>
      <c r="SI11" s="87">
        <f t="shared" si="588"/>
        <v>0</v>
      </c>
      <c r="SJ11" s="87">
        <f t="shared" si="580"/>
        <v>0</v>
      </c>
      <c r="SK11" s="87">
        <f t="shared" si="580"/>
        <v>193100</v>
      </c>
      <c r="SL11" s="87">
        <f t="shared" si="580"/>
        <v>3685600</v>
      </c>
      <c r="SM11" s="87">
        <f t="shared" si="580"/>
        <v>0</v>
      </c>
      <c r="SN11" s="87">
        <f t="shared" si="580"/>
        <v>0</v>
      </c>
      <c r="SO11" s="87">
        <f t="shared" si="580"/>
        <v>0</v>
      </c>
      <c r="SP11" s="87">
        <f t="shared" si="580"/>
        <v>0</v>
      </c>
      <c r="SQ11" s="87">
        <f t="shared" si="580"/>
        <v>0</v>
      </c>
      <c r="SR11" s="87">
        <f t="shared" si="580"/>
        <v>0</v>
      </c>
      <c r="SS11" s="92">
        <f t="shared" ref="SS11" si="589">SUMIF(SE12:SR12,SS12,SE11:SR11)</f>
        <v>193100</v>
      </c>
      <c r="ST11" s="92">
        <f t="shared" ref="ST11" si="590">SUMIF(SE12:SR12,ST12,SE11:SR11)</f>
        <v>3685600</v>
      </c>
      <c r="SU11" s="87">
        <f t="shared" ref="SU11" si="591">SUM(SU7:SU10)</f>
        <v>0</v>
      </c>
      <c r="SV11" s="87">
        <f t="shared" ref="SV11:SY11" si="592">SUM(SV7:SV10)</f>
        <v>0</v>
      </c>
      <c r="SW11" s="87">
        <f t="shared" si="592"/>
        <v>0</v>
      </c>
      <c r="SX11" s="87">
        <f t="shared" si="592"/>
        <v>0</v>
      </c>
      <c r="SY11" s="87">
        <f t="shared" si="592"/>
        <v>0</v>
      </c>
      <c r="SZ11" s="87">
        <f t="shared" si="580"/>
        <v>0</v>
      </c>
      <c r="TA11" s="87">
        <f t="shared" si="580"/>
        <v>290624.95</v>
      </c>
      <c r="TB11" s="87">
        <f t="shared" si="580"/>
        <v>6407714.6219999995</v>
      </c>
      <c r="TC11" s="87">
        <f t="shared" si="580"/>
        <v>0</v>
      </c>
      <c r="TD11" s="87">
        <f t="shared" si="580"/>
        <v>0</v>
      </c>
      <c r="TE11" s="87">
        <f t="shared" si="580"/>
        <v>0</v>
      </c>
      <c r="TF11" s="87">
        <f t="shared" si="580"/>
        <v>0</v>
      </c>
      <c r="TG11" s="87">
        <f t="shared" si="580"/>
        <v>0</v>
      </c>
      <c r="TH11" s="87">
        <f t="shared" si="580"/>
        <v>0</v>
      </c>
      <c r="TI11" s="92">
        <f t="shared" ref="TI11" si="593">SUMIF(SU12:TH12,TI12,SU11:TH11)</f>
        <v>290624.95</v>
      </c>
      <c r="TJ11" s="92">
        <f t="shared" ref="TJ11" si="594">SUMIF(SU12:TH12,TJ12,SU11:TH11)</f>
        <v>6407714.6219999995</v>
      </c>
      <c r="TK11" s="87">
        <f t="shared" ref="TK11" si="595">SUM(TK7:TK10)</f>
        <v>0</v>
      </c>
      <c r="TL11" s="87">
        <f t="shared" ref="TL11:VT11" si="596">SUM(TL7:TL10)</f>
        <v>0</v>
      </c>
      <c r="TM11" s="87">
        <f t="shared" si="596"/>
        <v>0</v>
      </c>
      <c r="TN11" s="87">
        <f t="shared" si="596"/>
        <v>0</v>
      </c>
      <c r="TO11" s="87">
        <f t="shared" si="596"/>
        <v>0</v>
      </c>
      <c r="TP11" s="87">
        <f t="shared" si="596"/>
        <v>0</v>
      </c>
      <c r="TQ11" s="87">
        <f t="shared" si="596"/>
        <v>143400</v>
      </c>
      <c r="TR11" s="87">
        <f t="shared" si="596"/>
        <v>2955300</v>
      </c>
      <c r="TS11" s="87">
        <f t="shared" si="596"/>
        <v>0</v>
      </c>
      <c r="TT11" s="87">
        <f t="shared" si="596"/>
        <v>0</v>
      </c>
      <c r="TU11" s="87">
        <f t="shared" si="596"/>
        <v>18600</v>
      </c>
      <c r="TV11" s="87">
        <f t="shared" si="596"/>
        <v>596250</v>
      </c>
      <c r="TW11" s="87">
        <f t="shared" si="596"/>
        <v>0</v>
      </c>
      <c r="TX11" s="87">
        <f t="shared" si="596"/>
        <v>0</v>
      </c>
      <c r="TY11" s="92">
        <f t="shared" ref="TY11" si="597">SUMIF(TK12:TX12,TY12,TK11:TX11)</f>
        <v>162000</v>
      </c>
      <c r="TZ11" s="92">
        <f t="shared" ref="TZ11" si="598">SUMIF(TK12:TX12,TZ12,TK11:TX11)</f>
        <v>3551550</v>
      </c>
      <c r="UA11" s="87">
        <f t="shared" ref="UA11" si="599">SUM(UA7:UA10)</f>
        <v>0</v>
      </c>
      <c r="UB11" s="87">
        <f t="shared" ref="UB11:UE11" si="600">SUM(UB7:UB10)</f>
        <v>0</v>
      </c>
      <c r="UC11" s="87">
        <f t="shared" si="600"/>
        <v>0</v>
      </c>
      <c r="UD11" s="87">
        <f t="shared" si="600"/>
        <v>0</v>
      </c>
      <c r="UE11" s="87">
        <f t="shared" si="600"/>
        <v>0</v>
      </c>
      <c r="UF11" s="87">
        <f t="shared" si="596"/>
        <v>0</v>
      </c>
      <c r="UG11" s="87">
        <f t="shared" si="596"/>
        <v>228711</v>
      </c>
      <c r="UH11" s="87">
        <f t="shared" si="596"/>
        <v>4188392.0039999997</v>
      </c>
      <c r="UI11" s="87">
        <f t="shared" si="596"/>
        <v>0</v>
      </c>
      <c r="UJ11" s="87">
        <f t="shared" si="596"/>
        <v>0</v>
      </c>
      <c r="UK11" s="87">
        <f t="shared" si="596"/>
        <v>0</v>
      </c>
      <c r="UL11" s="87">
        <f t="shared" si="596"/>
        <v>0</v>
      </c>
      <c r="UM11" s="87">
        <f t="shared" si="596"/>
        <v>0</v>
      </c>
      <c r="UN11" s="87">
        <f t="shared" si="596"/>
        <v>0</v>
      </c>
      <c r="UO11" s="92">
        <f t="shared" ref="UO11" si="601">SUMIF(UA12:UN12,UO12,UA11:UN11)</f>
        <v>228711</v>
      </c>
      <c r="UP11" s="92">
        <f t="shared" ref="UP11" si="602">SUMIF(UA12:UN12,UP12,UA11:UN11)</f>
        <v>4188392.0039999997</v>
      </c>
      <c r="UQ11" s="87">
        <f t="shared" ref="UQ11" si="603">SUM(UQ7:UQ10)</f>
        <v>0</v>
      </c>
      <c r="UR11" s="87">
        <f t="shared" ref="UR11:UU11" si="604">SUM(UR7:UR10)</f>
        <v>0</v>
      </c>
      <c r="US11" s="87">
        <f t="shared" si="604"/>
        <v>2627052</v>
      </c>
      <c r="UT11" s="87">
        <f t="shared" si="604"/>
        <v>22829529</v>
      </c>
      <c r="UU11" s="87">
        <f t="shared" si="604"/>
        <v>0</v>
      </c>
      <c r="UV11" s="87">
        <f t="shared" si="596"/>
        <v>0</v>
      </c>
      <c r="UW11" s="87">
        <f t="shared" si="596"/>
        <v>35863</v>
      </c>
      <c r="UX11" s="87">
        <f t="shared" si="596"/>
        <v>689827</v>
      </c>
      <c r="UY11" s="87">
        <f t="shared" si="596"/>
        <v>0</v>
      </c>
      <c r="UZ11" s="87">
        <f t="shared" si="596"/>
        <v>0</v>
      </c>
      <c r="VA11" s="87">
        <f t="shared" si="596"/>
        <v>0</v>
      </c>
      <c r="VB11" s="87">
        <f t="shared" si="596"/>
        <v>0</v>
      </c>
      <c r="VC11" s="87">
        <f t="shared" si="596"/>
        <v>0</v>
      </c>
      <c r="VD11" s="87">
        <f t="shared" si="596"/>
        <v>0</v>
      </c>
      <c r="VE11" s="92">
        <f t="shared" ref="VE11" si="605">SUMIF(UQ12:VD12,VE12,UQ11:VD11)</f>
        <v>2662915</v>
      </c>
      <c r="VF11" s="92">
        <f t="shared" ref="VF11" si="606">SUMIF(UQ12:VD12,VF12,UQ11:VD11)</f>
        <v>23519356</v>
      </c>
      <c r="VG11" s="87">
        <f t="shared" ref="VG11" si="607">SUM(VG7:VG10)</f>
        <v>0</v>
      </c>
      <c r="VH11" s="87">
        <f t="shared" ref="VH11:VK11" si="608">SUM(VH7:VH10)</f>
        <v>0</v>
      </c>
      <c r="VI11" s="87">
        <f t="shared" si="608"/>
        <v>229970</v>
      </c>
      <c r="VJ11" s="87">
        <f t="shared" si="608"/>
        <v>9979736.6999999993</v>
      </c>
      <c r="VK11" s="87">
        <f t="shared" si="608"/>
        <v>0</v>
      </c>
      <c r="VL11" s="87">
        <f t="shared" si="596"/>
        <v>0</v>
      </c>
      <c r="VM11" s="87">
        <f t="shared" si="596"/>
        <v>199112.2</v>
      </c>
      <c r="VN11" s="87">
        <f t="shared" si="596"/>
        <v>4056530</v>
      </c>
      <c r="VO11" s="87">
        <f t="shared" si="596"/>
        <v>0</v>
      </c>
      <c r="VP11" s="87">
        <f t="shared" si="596"/>
        <v>0</v>
      </c>
      <c r="VQ11" s="87">
        <f t="shared" si="596"/>
        <v>0</v>
      </c>
      <c r="VR11" s="87">
        <f t="shared" si="596"/>
        <v>0</v>
      </c>
      <c r="VS11" s="87">
        <f t="shared" si="596"/>
        <v>0</v>
      </c>
      <c r="VT11" s="87">
        <f t="shared" si="596"/>
        <v>0</v>
      </c>
      <c r="VU11" s="92">
        <f t="shared" ref="VU11" si="609">SUMIF(VG12:VT12,VU12,VG11:VT11)</f>
        <v>429082.2</v>
      </c>
      <c r="VV11" s="92">
        <f t="shared" ref="VV11" si="610">SUMIF(VG12:VT12,VV12,VG11:VT11)</f>
        <v>14036266.699999999</v>
      </c>
      <c r="VW11" s="87">
        <f t="shared" ref="VW11" si="611">SUM(VW7:VW10)</f>
        <v>0</v>
      </c>
      <c r="VX11" s="87">
        <f t="shared" ref="VX11:WJ11" si="612">SUM(VX7:VX10)</f>
        <v>0</v>
      </c>
      <c r="VY11" s="87">
        <f t="shared" si="612"/>
        <v>5228433</v>
      </c>
      <c r="VZ11" s="87">
        <f t="shared" si="612"/>
        <v>185596500</v>
      </c>
      <c r="WA11" s="87">
        <f t="shared" si="612"/>
        <v>0</v>
      </c>
      <c r="WB11" s="87">
        <f t="shared" si="612"/>
        <v>0</v>
      </c>
      <c r="WC11" s="87">
        <f t="shared" si="612"/>
        <v>4674678</v>
      </c>
      <c r="WD11" s="87">
        <f t="shared" si="612"/>
        <v>114032566</v>
      </c>
      <c r="WE11" s="87">
        <f t="shared" si="612"/>
        <v>0</v>
      </c>
      <c r="WF11" s="87">
        <f t="shared" si="612"/>
        <v>0</v>
      </c>
      <c r="WG11" s="87">
        <f t="shared" si="612"/>
        <v>0</v>
      </c>
      <c r="WH11" s="87">
        <f t="shared" si="612"/>
        <v>0</v>
      </c>
      <c r="WI11" s="87">
        <f t="shared" si="612"/>
        <v>76409</v>
      </c>
      <c r="WJ11" s="87">
        <f t="shared" si="612"/>
        <v>1604008</v>
      </c>
      <c r="WK11" s="92">
        <f t="shared" ref="WK11" si="613">SUMIF(VW12:WJ12,WK12,VW11:WJ11)</f>
        <v>9979520</v>
      </c>
      <c r="WL11" s="92">
        <f t="shared" ref="WL11" si="614">SUMIF(VW12:WJ12,WL12,VW11:WJ11)</f>
        <v>301233074</v>
      </c>
      <c r="WM11" s="89"/>
      <c r="WN11" s="87">
        <f t="shared" si="225"/>
        <v>774415158.92607832</v>
      </c>
      <c r="WO11" s="87">
        <f t="shared" si="226"/>
        <v>3994041159.9863362</v>
      </c>
      <c r="WP11" s="87">
        <f t="shared" si="227"/>
        <v>282359631.46421683</v>
      </c>
      <c r="WQ11" s="87">
        <f t="shared" si="228"/>
        <v>9677403259.5202065</v>
      </c>
      <c r="WR11" s="87">
        <f t="shared" si="229"/>
        <v>0</v>
      </c>
      <c r="WS11" s="87">
        <f t="shared" si="230"/>
        <v>0</v>
      </c>
      <c r="WT11" s="87">
        <f t="shared" si="231"/>
        <v>356728672.96641648</v>
      </c>
      <c r="WU11" s="87">
        <f t="shared" si="232"/>
        <v>7160588868.2689142</v>
      </c>
      <c r="WV11" s="87">
        <f t="shared" si="233"/>
        <v>16250959.000366</v>
      </c>
      <c r="WW11" s="87">
        <f t="shared" si="234"/>
        <v>444438214.01499999</v>
      </c>
      <c r="WX11" s="87">
        <f t="shared" si="235"/>
        <v>6969165</v>
      </c>
      <c r="WY11" s="87">
        <f t="shared" si="236"/>
        <v>129078479</v>
      </c>
      <c r="WZ11" s="87">
        <f t="shared" si="237"/>
        <v>5609405.8600000003</v>
      </c>
      <c r="XA11" s="87">
        <f t="shared" si="238"/>
        <v>132679570</v>
      </c>
      <c r="XB11" s="91">
        <f t="shared" ref="XB11" si="615">SUMIF($WN$12:$XA$12,$XB$12,WN11:XA11)</f>
        <v>1442332993.2170775</v>
      </c>
      <c r="XC11" s="91">
        <f t="shared" ref="XC11" si="616">SUMIF($WN$12:$XA$12,$XC$12,WN11:XA11)</f>
        <v>21538229550.790455</v>
      </c>
      <c r="XD11" s="633" t="s">
        <v>612</v>
      </c>
      <c r="XE11" s="91">
        <f>SUM(XE7:XE10)</f>
        <v>1442332993.2170777</v>
      </c>
      <c r="XF11" s="91">
        <f>SUM(XF7:XF10)</f>
        <v>21538229550.790459</v>
      </c>
      <c r="XG11" s="633"/>
      <c r="XH11" s="91"/>
      <c r="XI11" s="91"/>
      <c r="XJ11" s="633"/>
      <c r="XK11" s="87"/>
      <c r="XL11" s="87"/>
      <c r="XM11" s="87"/>
      <c r="XN11" s="87"/>
      <c r="XO11" s="87"/>
      <c r="XP11" s="87"/>
      <c r="XQ11" s="87"/>
      <c r="XR11" s="91"/>
      <c r="XS11" s="633"/>
      <c r="XT11" s="87"/>
      <c r="XU11" s="87"/>
      <c r="XV11" s="87"/>
      <c r="XW11" s="87"/>
      <c r="XX11" s="87"/>
      <c r="XY11" s="87"/>
      <c r="XZ11" s="87"/>
      <c r="YA11" s="91"/>
      <c r="YB11" s="87"/>
      <c r="YC11" s="87"/>
      <c r="YD11" s="87"/>
      <c r="YE11" s="87"/>
      <c r="YF11" s="87"/>
      <c r="YG11" s="87"/>
      <c r="YH11" s="87"/>
      <c r="YI11" s="87"/>
      <c r="YJ11" s="87"/>
      <c r="YK11" s="87"/>
      <c r="YL11" s="87"/>
      <c r="YM11" s="87"/>
      <c r="YN11" s="87"/>
      <c r="YO11" s="87"/>
      <c r="YP11" s="87"/>
      <c r="YQ11" s="87"/>
      <c r="YR11" s="87"/>
      <c r="YS11" s="87"/>
      <c r="YT11" s="87"/>
      <c r="YU11" s="87"/>
      <c r="YV11" s="87"/>
      <c r="YW11" s="87"/>
      <c r="YX11" s="87"/>
      <c r="YY11" s="87"/>
      <c r="YZ11" s="87"/>
      <c r="ZA11" s="87"/>
      <c r="ZB11" s="87"/>
      <c r="ZC11" s="87"/>
      <c r="ZD11" s="87"/>
      <c r="ZE11" s="87"/>
      <c r="ZF11" s="87"/>
      <c r="ZG11" s="87"/>
      <c r="ZH11" s="87"/>
      <c r="ZI11" s="87"/>
      <c r="ZJ11" s="87"/>
      <c r="ZK11" s="87"/>
      <c r="ZL11" s="87"/>
      <c r="ZM11" s="87"/>
      <c r="ZN11" s="87"/>
      <c r="ZO11" s="87"/>
      <c r="ZP11" s="87"/>
      <c r="ZQ11" s="87"/>
      <c r="ZR11" s="87"/>
      <c r="ZS11" s="87"/>
      <c r="ZT11" s="87"/>
      <c r="ZU11" s="87"/>
      <c r="ZV11" s="87"/>
      <c r="ZW11" s="87"/>
      <c r="ZX11" s="87"/>
      <c r="ZY11" s="87"/>
      <c r="ZZ11" s="87"/>
      <c r="AAA11" s="87"/>
      <c r="AAB11" s="87"/>
      <c r="AAC11" s="87"/>
      <c r="AAD11" s="87"/>
      <c r="AAE11" s="87"/>
      <c r="AAF11" s="87"/>
      <c r="AAG11" s="87"/>
      <c r="AAH11" s="87"/>
      <c r="AAI11" s="87"/>
      <c r="AAJ11" s="87"/>
      <c r="AAK11" s="87"/>
      <c r="AAL11" s="87"/>
      <c r="AAM11" s="87"/>
      <c r="AAN11" s="87"/>
      <c r="AAO11" s="87"/>
      <c r="AAP11" s="87"/>
      <c r="AAQ11" s="87"/>
      <c r="AAR11" s="87"/>
      <c r="AAS11" s="87"/>
      <c r="AAT11" s="87"/>
      <c r="AAU11" s="87"/>
      <c r="AAV11" s="87"/>
      <c r="AAW11" s="87"/>
      <c r="AAX11" s="87"/>
      <c r="AAY11" s="87"/>
      <c r="AAZ11" s="87"/>
      <c r="ABA11" s="87"/>
      <c r="ABB11" s="87"/>
      <c r="ABC11" s="87"/>
      <c r="ABD11" s="87"/>
      <c r="ABE11" s="87"/>
      <c r="ABF11" s="87"/>
      <c r="ABG11" s="87"/>
      <c r="ABH11" s="87"/>
      <c r="ABI11" s="87"/>
      <c r="ABJ11" s="87"/>
      <c r="ABK11" s="87"/>
      <c r="ABL11" s="87"/>
      <c r="ABM11" s="87"/>
      <c r="ABN11" s="87"/>
      <c r="ABO11" s="87"/>
      <c r="ABP11" s="87"/>
      <c r="ABQ11" s="87"/>
      <c r="ABR11" s="87"/>
      <c r="ABS11" s="87"/>
      <c r="ABT11" s="87"/>
      <c r="ABU11" s="87"/>
      <c r="ABV11" s="87"/>
      <c r="ABW11" s="87"/>
      <c r="ABX11" s="87"/>
      <c r="ABY11" s="87"/>
      <c r="ABZ11" s="87"/>
      <c r="ACA11" s="87"/>
      <c r="ACB11" s="87"/>
      <c r="ACC11" s="87"/>
      <c r="ACD11" s="87"/>
      <c r="ACE11" s="87"/>
      <c r="ACF11" s="87"/>
      <c r="ACG11" s="87"/>
      <c r="ACH11" s="87"/>
      <c r="ACI11" s="87"/>
      <c r="ACJ11" s="87"/>
      <c r="ACK11" s="87"/>
      <c r="ACL11" s="87"/>
      <c r="ACM11" s="87"/>
      <c r="ACN11" s="87"/>
      <c r="ACO11" s="87"/>
      <c r="ACP11" s="87"/>
      <c r="ACQ11" s="87"/>
      <c r="ACR11" s="87"/>
      <c r="ACS11" s="87"/>
      <c r="ACT11" s="87"/>
      <c r="ACU11" s="87"/>
      <c r="ACV11" s="87"/>
      <c r="ACW11" s="87"/>
      <c r="ACX11" s="87"/>
      <c r="ACY11" s="87"/>
      <c r="ACZ11" s="87"/>
      <c r="ADA11" s="87"/>
      <c r="ADB11" s="87"/>
      <c r="ADC11" s="87"/>
      <c r="ADD11" s="87"/>
      <c r="ADE11" s="87"/>
      <c r="ADF11" s="87"/>
      <c r="ADG11" s="87"/>
      <c r="ADH11" s="87"/>
      <c r="ADI11" s="87"/>
      <c r="ADJ11" s="87"/>
      <c r="ADK11" s="87"/>
      <c r="ADL11" s="87"/>
      <c r="ADM11" s="87"/>
      <c r="ADN11" s="87"/>
      <c r="ADO11" s="87"/>
      <c r="ADP11" s="87"/>
      <c r="ADQ11" s="87"/>
      <c r="ADR11" s="87"/>
      <c r="ADS11" s="87"/>
      <c r="ADT11" s="87"/>
      <c r="ADU11" s="87"/>
      <c r="ADV11" s="87"/>
      <c r="ADW11" s="87"/>
      <c r="ADX11" s="87"/>
      <c r="ADY11" s="87"/>
      <c r="ADZ11" s="87"/>
      <c r="AEA11" s="87"/>
      <c r="AEB11" s="87"/>
      <c r="AEC11" s="87"/>
      <c r="AED11" s="87"/>
      <c r="AEE11" s="87"/>
      <c r="AEF11" s="87"/>
      <c r="AEG11" s="87"/>
      <c r="AEH11" s="87"/>
      <c r="AEI11" s="87"/>
      <c r="AEJ11" s="87"/>
      <c r="AEK11" s="87"/>
      <c r="AEL11" s="87"/>
      <c r="AEM11" s="87"/>
      <c r="AEN11" s="87"/>
      <c r="AEO11" s="87"/>
      <c r="AEP11" s="87"/>
      <c r="AEQ11" s="87"/>
      <c r="AER11" s="87"/>
      <c r="AES11" s="87"/>
      <c r="AET11" s="87"/>
      <c r="AEU11" s="87"/>
      <c r="AEV11" s="87"/>
      <c r="AEW11" s="87"/>
      <c r="AEX11" s="87"/>
      <c r="AEY11" s="87"/>
      <c r="AEZ11" s="87"/>
      <c r="AFA11" s="87"/>
      <c r="AFB11" s="87"/>
      <c r="AFC11" s="87"/>
      <c r="AFD11" s="87"/>
      <c r="AFE11" s="87"/>
      <c r="AFF11" s="87"/>
      <c r="AFG11" s="87"/>
      <c r="AFH11" s="87"/>
      <c r="AFI11" s="87"/>
      <c r="AFJ11" s="87"/>
      <c r="AFK11" s="87"/>
      <c r="AFL11" s="87"/>
      <c r="AFM11" s="87"/>
      <c r="AFN11" s="87"/>
      <c r="AFO11" s="87"/>
      <c r="AFP11" s="87"/>
      <c r="AFQ11" s="87"/>
      <c r="AFR11" s="87"/>
      <c r="AFS11" s="87"/>
      <c r="AFT11" s="87"/>
      <c r="AFU11" s="87"/>
      <c r="AFV11" s="87"/>
      <c r="AFW11" s="87"/>
      <c r="AFX11" s="87"/>
      <c r="AFY11" s="87"/>
      <c r="AFZ11" s="87"/>
      <c r="AGA11" s="87"/>
      <c r="AGB11" s="87"/>
      <c r="AGC11" s="87"/>
      <c r="AGD11" s="87"/>
      <c r="AGE11" s="87"/>
      <c r="AGF11" s="87"/>
      <c r="AGG11" s="87"/>
      <c r="AGH11" s="87"/>
      <c r="AGI11" s="87"/>
      <c r="AGJ11" s="87"/>
      <c r="AGK11" s="87"/>
      <c r="AGL11" s="87"/>
      <c r="AGM11" s="87"/>
      <c r="AGN11" s="87"/>
      <c r="AGO11" s="87"/>
      <c r="AGP11" s="87"/>
      <c r="AGQ11" s="87"/>
      <c r="AGR11" s="87"/>
      <c r="AGS11" s="87"/>
      <c r="AGT11" s="87"/>
      <c r="AGU11" s="87"/>
      <c r="AGV11" s="87"/>
      <c r="AGW11" s="87"/>
      <c r="AGX11" s="87"/>
      <c r="AGY11" s="87"/>
      <c r="AGZ11" s="87"/>
      <c r="AHA11" s="87"/>
      <c r="AHB11" s="87"/>
      <c r="AHC11" s="87"/>
      <c r="AHD11" s="87"/>
      <c r="AHE11" s="87"/>
      <c r="AHF11" s="87"/>
      <c r="AHG11" s="87"/>
      <c r="AHH11" s="87"/>
      <c r="AHI11" s="87"/>
      <c r="AHJ11" s="87"/>
      <c r="AHK11" s="87"/>
      <c r="AHL11" s="87"/>
      <c r="AHM11" s="87"/>
      <c r="AHN11" s="87"/>
      <c r="AHO11" s="87"/>
      <c r="AHP11" s="87"/>
      <c r="AHQ11" s="87"/>
      <c r="AHR11" s="87"/>
      <c r="AHS11" s="87"/>
      <c r="AHT11" s="87"/>
      <c r="AHU11" s="87"/>
      <c r="AHV11" s="87"/>
      <c r="AHW11" s="87"/>
      <c r="AHX11" s="87"/>
      <c r="AHY11" s="87"/>
      <c r="AHZ11" s="87"/>
      <c r="AIA11" s="87"/>
      <c r="AIB11" s="87"/>
      <c r="AIC11" s="87"/>
      <c r="AID11" s="87"/>
      <c r="AIE11" s="87"/>
      <c r="AIF11" s="87"/>
      <c r="AIG11" s="87"/>
      <c r="AIH11" s="87"/>
      <c r="AII11" s="87"/>
      <c r="AIJ11" s="87"/>
      <c r="AIK11" s="87"/>
      <c r="AIL11" s="87"/>
      <c r="AIM11" s="87"/>
      <c r="AIN11" s="87"/>
      <c r="AIO11" s="87"/>
      <c r="AIP11" s="87"/>
      <c r="AIQ11" s="87"/>
      <c r="AIR11" s="87"/>
      <c r="AIS11" s="87"/>
      <c r="AIT11" s="87"/>
      <c r="AIU11" s="87"/>
      <c r="AIV11" s="87"/>
      <c r="AIW11" s="87"/>
      <c r="AIX11" s="87"/>
      <c r="AIY11" s="87"/>
      <c r="AIZ11" s="87"/>
      <c r="AJA11" s="87"/>
      <c r="AJB11" s="87"/>
      <c r="AJC11" s="87"/>
      <c r="AJD11" s="87"/>
      <c r="AJE11" s="87"/>
      <c r="AJF11" s="87"/>
      <c r="AJG11" s="87"/>
      <c r="AJH11" s="87"/>
      <c r="AJI11" s="87"/>
      <c r="AJJ11" s="87"/>
      <c r="AJK11" s="87"/>
      <c r="AJL11" s="87"/>
      <c r="AJM11" s="87"/>
      <c r="AJN11" s="87"/>
      <c r="AJO11" s="87"/>
      <c r="AJP11" s="87"/>
      <c r="AJQ11" s="87"/>
      <c r="AJR11" s="87"/>
      <c r="AJS11" s="87"/>
      <c r="AJT11" s="87"/>
      <c r="AJU11" s="87"/>
      <c r="AJV11" s="87"/>
      <c r="AJW11" s="87"/>
      <c r="AJX11" s="87"/>
      <c r="AJY11" s="87"/>
      <c r="AJZ11" s="87"/>
      <c r="AKA11" s="87"/>
      <c r="AKB11" s="87"/>
      <c r="AKC11" s="87"/>
      <c r="AKD11" s="87"/>
      <c r="AKE11" s="87"/>
      <c r="AKF11" s="87"/>
      <c r="AKG11" s="87"/>
      <c r="AKH11" s="87"/>
      <c r="AKI11" s="87"/>
      <c r="AKJ11" s="87"/>
      <c r="AKK11" s="87"/>
      <c r="AKL11" s="87"/>
      <c r="AKM11" s="87"/>
      <c r="AKN11" s="87"/>
      <c r="AKO11" s="87"/>
      <c r="AKP11" s="87"/>
      <c r="AKQ11" s="87"/>
      <c r="AKR11" s="87"/>
      <c r="AKS11" s="87"/>
      <c r="AKT11" s="87"/>
      <c r="AKU11" s="87"/>
      <c r="AKV11" s="87"/>
      <c r="AKW11" s="87"/>
      <c r="AKX11" s="87"/>
      <c r="AKY11" s="87"/>
      <c r="AKZ11" s="87"/>
      <c r="ALA11" s="87"/>
      <c r="ALB11" s="87"/>
      <c r="ALC11" s="87"/>
      <c r="ALD11" s="87"/>
      <c r="ALE11" s="87"/>
      <c r="ALF11" s="87"/>
      <c r="ALG11" s="87"/>
      <c r="ALH11" s="87"/>
      <c r="ALI11" s="87"/>
      <c r="ALJ11" s="87"/>
      <c r="ALK11" s="87"/>
      <c r="ALL11" s="87"/>
      <c r="ALM11" s="87"/>
      <c r="ALN11" s="87"/>
      <c r="ALO11" s="87"/>
      <c r="ALP11" s="87"/>
      <c r="ALQ11" s="87"/>
      <c r="ALR11" s="87"/>
      <c r="ALS11" s="87"/>
      <c r="ALT11" s="87"/>
      <c r="ALU11" s="87"/>
      <c r="ALV11" s="87"/>
      <c r="ALW11" s="87"/>
      <c r="ALX11" s="87"/>
      <c r="ALY11" s="87"/>
      <c r="ALZ11" s="87"/>
      <c r="AMA11" s="87"/>
      <c r="AMB11" s="87"/>
      <c r="AMC11" s="87"/>
    </row>
    <row r="12" spans="1:1017">
      <c r="A12" s="87"/>
      <c r="B12" s="93"/>
      <c r="C12" s="87" t="s">
        <v>27</v>
      </c>
      <c r="D12" s="87" t="s">
        <v>28</v>
      </c>
      <c r="E12" s="87" t="s">
        <v>27</v>
      </c>
      <c r="F12" s="87" t="s">
        <v>28</v>
      </c>
      <c r="G12" s="87" t="s">
        <v>27</v>
      </c>
      <c r="H12" s="87" t="s">
        <v>28</v>
      </c>
      <c r="I12" s="87" t="s">
        <v>27</v>
      </c>
      <c r="J12" s="87" t="s">
        <v>28</v>
      </c>
      <c r="K12" s="87" t="s">
        <v>27</v>
      </c>
      <c r="L12" s="87" t="s">
        <v>28</v>
      </c>
      <c r="M12" s="87" t="s">
        <v>27</v>
      </c>
      <c r="N12" s="87" t="s">
        <v>28</v>
      </c>
      <c r="O12" s="87" t="s">
        <v>27</v>
      </c>
      <c r="P12" s="87" t="s">
        <v>28</v>
      </c>
      <c r="Q12" s="91" t="s">
        <v>27</v>
      </c>
      <c r="R12" s="91" t="s">
        <v>28</v>
      </c>
      <c r="S12" s="87" t="s">
        <v>27</v>
      </c>
      <c r="T12" s="87" t="s">
        <v>28</v>
      </c>
      <c r="U12" s="87" t="s">
        <v>27</v>
      </c>
      <c r="V12" s="87" t="s">
        <v>28</v>
      </c>
      <c r="W12" s="87" t="s">
        <v>27</v>
      </c>
      <c r="X12" s="87" t="s">
        <v>28</v>
      </c>
      <c r="Y12" s="87" t="s">
        <v>27</v>
      </c>
      <c r="Z12" s="87" t="s">
        <v>28</v>
      </c>
      <c r="AA12" s="87" t="s">
        <v>27</v>
      </c>
      <c r="AB12" s="87" t="s">
        <v>28</v>
      </c>
      <c r="AC12" s="87" t="s">
        <v>27</v>
      </c>
      <c r="AD12" s="87" t="s">
        <v>28</v>
      </c>
      <c r="AE12" s="87" t="s">
        <v>27</v>
      </c>
      <c r="AF12" s="87" t="s">
        <v>28</v>
      </c>
      <c r="AG12" s="92" t="s">
        <v>27</v>
      </c>
      <c r="AH12" s="92" t="s">
        <v>28</v>
      </c>
      <c r="AI12" s="87" t="s">
        <v>27</v>
      </c>
      <c r="AJ12" s="87" t="s">
        <v>28</v>
      </c>
      <c r="AK12" s="87" t="s">
        <v>27</v>
      </c>
      <c r="AL12" s="87" t="s">
        <v>28</v>
      </c>
      <c r="AM12" s="87" t="s">
        <v>27</v>
      </c>
      <c r="AN12" s="87" t="s">
        <v>28</v>
      </c>
      <c r="AO12" s="87" t="s">
        <v>27</v>
      </c>
      <c r="AP12" s="87" t="s">
        <v>28</v>
      </c>
      <c r="AQ12" s="87" t="s">
        <v>27</v>
      </c>
      <c r="AR12" s="87" t="s">
        <v>28</v>
      </c>
      <c r="AS12" s="87" t="s">
        <v>27</v>
      </c>
      <c r="AT12" s="87" t="s">
        <v>28</v>
      </c>
      <c r="AU12" s="87" t="s">
        <v>27</v>
      </c>
      <c r="AV12" s="87" t="s">
        <v>28</v>
      </c>
      <c r="AW12" s="92" t="s">
        <v>27</v>
      </c>
      <c r="AX12" s="92" t="s">
        <v>28</v>
      </c>
      <c r="AY12" s="87" t="s">
        <v>27</v>
      </c>
      <c r="AZ12" s="87" t="s">
        <v>28</v>
      </c>
      <c r="BA12" s="87" t="s">
        <v>27</v>
      </c>
      <c r="BB12" s="87" t="s">
        <v>28</v>
      </c>
      <c r="BC12" s="87" t="s">
        <v>27</v>
      </c>
      <c r="BD12" s="87" t="s">
        <v>28</v>
      </c>
      <c r="BE12" s="87" t="s">
        <v>27</v>
      </c>
      <c r="BF12" s="87" t="s">
        <v>28</v>
      </c>
      <c r="BG12" s="87" t="s">
        <v>27</v>
      </c>
      <c r="BH12" s="87" t="s">
        <v>28</v>
      </c>
      <c r="BI12" s="87" t="s">
        <v>27</v>
      </c>
      <c r="BJ12" s="87" t="s">
        <v>28</v>
      </c>
      <c r="BK12" s="87" t="s">
        <v>27</v>
      </c>
      <c r="BL12" s="87" t="s">
        <v>28</v>
      </c>
      <c r="BM12" s="92" t="s">
        <v>27</v>
      </c>
      <c r="BN12" s="92" t="s">
        <v>28</v>
      </c>
      <c r="BO12" s="87" t="s">
        <v>27</v>
      </c>
      <c r="BP12" s="87" t="s">
        <v>28</v>
      </c>
      <c r="BQ12" s="87" t="s">
        <v>27</v>
      </c>
      <c r="BR12" s="87" t="s">
        <v>28</v>
      </c>
      <c r="BS12" s="87" t="s">
        <v>27</v>
      </c>
      <c r="BT12" s="87" t="s">
        <v>28</v>
      </c>
      <c r="BU12" s="87" t="s">
        <v>27</v>
      </c>
      <c r="BV12" s="87" t="s">
        <v>28</v>
      </c>
      <c r="BW12" s="87" t="s">
        <v>27</v>
      </c>
      <c r="BX12" s="87" t="s">
        <v>28</v>
      </c>
      <c r="BY12" s="87" t="s">
        <v>27</v>
      </c>
      <c r="BZ12" s="87" t="s">
        <v>28</v>
      </c>
      <c r="CA12" s="87" t="s">
        <v>27</v>
      </c>
      <c r="CB12" s="87" t="s">
        <v>28</v>
      </c>
      <c r="CC12" s="92" t="s">
        <v>27</v>
      </c>
      <c r="CD12" s="92" t="s">
        <v>28</v>
      </c>
      <c r="CE12" s="87" t="s">
        <v>27</v>
      </c>
      <c r="CF12" s="87" t="s">
        <v>28</v>
      </c>
      <c r="CG12" s="87" t="s">
        <v>27</v>
      </c>
      <c r="CH12" s="87" t="s">
        <v>28</v>
      </c>
      <c r="CI12" s="87" t="s">
        <v>27</v>
      </c>
      <c r="CJ12" s="87" t="s">
        <v>28</v>
      </c>
      <c r="CK12" s="87" t="s">
        <v>27</v>
      </c>
      <c r="CL12" s="87" t="s">
        <v>28</v>
      </c>
      <c r="CM12" s="87" t="s">
        <v>27</v>
      </c>
      <c r="CN12" s="87" t="s">
        <v>28</v>
      </c>
      <c r="CO12" s="87" t="s">
        <v>27</v>
      </c>
      <c r="CP12" s="87" t="s">
        <v>28</v>
      </c>
      <c r="CQ12" s="87" t="s">
        <v>27</v>
      </c>
      <c r="CR12" s="87" t="s">
        <v>28</v>
      </c>
      <c r="CS12" s="92" t="s">
        <v>27</v>
      </c>
      <c r="CT12" s="92" t="s">
        <v>28</v>
      </c>
      <c r="CU12" s="87" t="s">
        <v>27</v>
      </c>
      <c r="CV12" s="87" t="s">
        <v>28</v>
      </c>
      <c r="CW12" s="87" t="s">
        <v>27</v>
      </c>
      <c r="CX12" s="87" t="s">
        <v>28</v>
      </c>
      <c r="CY12" s="87" t="s">
        <v>27</v>
      </c>
      <c r="CZ12" s="87" t="s">
        <v>28</v>
      </c>
      <c r="DA12" s="87" t="s">
        <v>27</v>
      </c>
      <c r="DB12" s="87" t="s">
        <v>28</v>
      </c>
      <c r="DC12" s="87" t="s">
        <v>27</v>
      </c>
      <c r="DD12" s="87" t="s">
        <v>28</v>
      </c>
      <c r="DE12" s="87" t="s">
        <v>27</v>
      </c>
      <c r="DF12" s="87" t="s">
        <v>28</v>
      </c>
      <c r="DG12" s="87" t="s">
        <v>27</v>
      </c>
      <c r="DH12" s="87" t="s">
        <v>28</v>
      </c>
      <c r="DI12" s="92" t="s">
        <v>27</v>
      </c>
      <c r="DJ12" s="92" t="s">
        <v>28</v>
      </c>
      <c r="DK12" s="87" t="s">
        <v>27</v>
      </c>
      <c r="DL12" s="87" t="s">
        <v>28</v>
      </c>
      <c r="DM12" s="87" t="s">
        <v>27</v>
      </c>
      <c r="DN12" s="87" t="s">
        <v>28</v>
      </c>
      <c r="DO12" s="87" t="s">
        <v>27</v>
      </c>
      <c r="DP12" s="87" t="s">
        <v>28</v>
      </c>
      <c r="DQ12" s="87" t="s">
        <v>27</v>
      </c>
      <c r="DR12" s="87" t="s">
        <v>28</v>
      </c>
      <c r="DS12" s="87" t="s">
        <v>27</v>
      </c>
      <c r="DT12" s="87" t="s">
        <v>28</v>
      </c>
      <c r="DU12" s="87" t="s">
        <v>27</v>
      </c>
      <c r="DV12" s="87" t="s">
        <v>28</v>
      </c>
      <c r="DW12" s="87" t="s">
        <v>27</v>
      </c>
      <c r="DX12" s="87" t="s">
        <v>28</v>
      </c>
      <c r="DY12" s="92" t="s">
        <v>27</v>
      </c>
      <c r="DZ12" s="92" t="s">
        <v>28</v>
      </c>
      <c r="EA12" s="87" t="s">
        <v>27</v>
      </c>
      <c r="EB12" s="87" t="s">
        <v>28</v>
      </c>
      <c r="EC12" s="87" t="s">
        <v>27</v>
      </c>
      <c r="ED12" s="87" t="s">
        <v>28</v>
      </c>
      <c r="EE12" s="87" t="s">
        <v>27</v>
      </c>
      <c r="EF12" s="87" t="s">
        <v>28</v>
      </c>
      <c r="EG12" s="87" t="s">
        <v>27</v>
      </c>
      <c r="EH12" s="87" t="s">
        <v>28</v>
      </c>
      <c r="EI12" s="87" t="s">
        <v>27</v>
      </c>
      <c r="EJ12" s="87" t="s">
        <v>28</v>
      </c>
      <c r="EK12" s="87" t="s">
        <v>27</v>
      </c>
      <c r="EL12" s="87" t="s">
        <v>28</v>
      </c>
      <c r="EM12" s="87" t="s">
        <v>27</v>
      </c>
      <c r="EN12" s="87" t="s">
        <v>28</v>
      </c>
      <c r="EO12" s="92" t="s">
        <v>27</v>
      </c>
      <c r="EP12" s="92" t="s">
        <v>28</v>
      </c>
      <c r="EQ12" s="87" t="s">
        <v>27</v>
      </c>
      <c r="ER12" s="87" t="s">
        <v>28</v>
      </c>
      <c r="ES12" s="87" t="s">
        <v>27</v>
      </c>
      <c r="ET12" s="87" t="s">
        <v>28</v>
      </c>
      <c r="EU12" s="87" t="s">
        <v>27</v>
      </c>
      <c r="EV12" s="87" t="s">
        <v>28</v>
      </c>
      <c r="EW12" s="87" t="s">
        <v>27</v>
      </c>
      <c r="EX12" s="87" t="s">
        <v>28</v>
      </c>
      <c r="EY12" s="87" t="s">
        <v>27</v>
      </c>
      <c r="EZ12" s="87" t="s">
        <v>28</v>
      </c>
      <c r="FA12" s="87" t="s">
        <v>27</v>
      </c>
      <c r="FB12" s="87" t="s">
        <v>28</v>
      </c>
      <c r="FC12" s="87" t="s">
        <v>27</v>
      </c>
      <c r="FD12" s="87" t="s">
        <v>28</v>
      </c>
      <c r="FE12" s="92" t="s">
        <v>27</v>
      </c>
      <c r="FF12" s="92" t="s">
        <v>28</v>
      </c>
      <c r="FG12" s="87" t="s">
        <v>27</v>
      </c>
      <c r="FH12" s="87" t="s">
        <v>28</v>
      </c>
      <c r="FI12" s="87" t="s">
        <v>27</v>
      </c>
      <c r="FJ12" s="87" t="s">
        <v>28</v>
      </c>
      <c r="FK12" s="87" t="s">
        <v>27</v>
      </c>
      <c r="FL12" s="87" t="s">
        <v>28</v>
      </c>
      <c r="FM12" s="87" t="s">
        <v>27</v>
      </c>
      <c r="FN12" s="87" t="s">
        <v>28</v>
      </c>
      <c r="FO12" s="87" t="s">
        <v>27</v>
      </c>
      <c r="FP12" s="87" t="s">
        <v>28</v>
      </c>
      <c r="FQ12" s="87" t="s">
        <v>27</v>
      </c>
      <c r="FR12" s="87" t="s">
        <v>28</v>
      </c>
      <c r="FS12" s="87" t="s">
        <v>27</v>
      </c>
      <c r="FT12" s="87" t="s">
        <v>28</v>
      </c>
      <c r="FU12" s="92" t="s">
        <v>27</v>
      </c>
      <c r="FV12" s="92" t="s">
        <v>28</v>
      </c>
      <c r="FW12" s="87" t="s">
        <v>27</v>
      </c>
      <c r="FX12" s="87" t="s">
        <v>28</v>
      </c>
      <c r="FY12" s="87" t="s">
        <v>27</v>
      </c>
      <c r="FZ12" s="87" t="s">
        <v>28</v>
      </c>
      <c r="GA12" s="87" t="s">
        <v>27</v>
      </c>
      <c r="GB12" s="87" t="s">
        <v>28</v>
      </c>
      <c r="GC12" s="87" t="s">
        <v>27</v>
      </c>
      <c r="GD12" s="87" t="s">
        <v>28</v>
      </c>
      <c r="GE12" s="87" t="s">
        <v>27</v>
      </c>
      <c r="GF12" s="87" t="s">
        <v>28</v>
      </c>
      <c r="GG12" s="87" t="s">
        <v>27</v>
      </c>
      <c r="GH12" s="87" t="s">
        <v>28</v>
      </c>
      <c r="GI12" s="87" t="s">
        <v>27</v>
      </c>
      <c r="GJ12" s="87" t="s">
        <v>28</v>
      </c>
      <c r="GK12" s="92" t="s">
        <v>27</v>
      </c>
      <c r="GL12" s="92" t="s">
        <v>28</v>
      </c>
      <c r="GM12" s="87" t="s">
        <v>27</v>
      </c>
      <c r="GN12" s="87" t="s">
        <v>28</v>
      </c>
      <c r="GO12" s="87" t="s">
        <v>27</v>
      </c>
      <c r="GP12" s="87" t="s">
        <v>28</v>
      </c>
      <c r="GQ12" s="87" t="s">
        <v>27</v>
      </c>
      <c r="GR12" s="87" t="s">
        <v>28</v>
      </c>
      <c r="GS12" s="87" t="s">
        <v>27</v>
      </c>
      <c r="GT12" s="87" t="s">
        <v>28</v>
      </c>
      <c r="GU12" s="87" t="s">
        <v>27</v>
      </c>
      <c r="GV12" s="87" t="s">
        <v>28</v>
      </c>
      <c r="GW12" s="87" t="s">
        <v>27</v>
      </c>
      <c r="GX12" s="87" t="s">
        <v>28</v>
      </c>
      <c r="GY12" s="87" t="s">
        <v>27</v>
      </c>
      <c r="GZ12" s="87" t="s">
        <v>28</v>
      </c>
      <c r="HA12" s="92" t="s">
        <v>27</v>
      </c>
      <c r="HB12" s="92" t="s">
        <v>28</v>
      </c>
      <c r="HC12" s="87" t="s">
        <v>27</v>
      </c>
      <c r="HD12" s="87" t="s">
        <v>28</v>
      </c>
      <c r="HE12" s="87" t="s">
        <v>27</v>
      </c>
      <c r="HF12" s="87" t="s">
        <v>28</v>
      </c>
      <c r="HG12" s="87" t="s">
        <v>27</v>
      </c>
      <c r="HH12" s="87" t="s">
        <v>28</v>
      </c>
      <c r="HI12" s="87" t="s">
        <v>27</v>
      </c>
      <c r="HJ12" s="87" t="s">
        <v>28</v>
      </c>
      <c r="HK12" s="87" t="s">
        <v>27</v>
      </c>
      <c r="HL12" s="87" t="s">
        <v>28</v>
      </c>
      <c r="HM12" s="87" t="s">
        <v>27</v>
      </c>
      <c r="HN12" s="87" t="s">
        <v>28</v>
      </c>
      <c r="HO12" s="87" t="s">
        <v>27</v>
      </c>
      <c r="HP12" s="87" t="s">
        <v>28</v>
      </c>
      <c r="HQ12" s="92" t="s">
        <v>27</v>
      </c>
      <c r="HR12" s="92" t="s">
        <v>28</v>
      </c>
      <c r="HS12" s="87" t="s">
        <v>27</v>
      </c>
      <c r="HT12" s="87" t="s">
        <v>28</v>
      </c>
      <c r="HU12" s="87" t="s">
        <v>27</v>
      </c>
      <c r="HV12" s="87" t="s">
        <v>28</v>
      </c>
      <c r="HW12" s="87" t="s">
        <v>27</v>
      </c>
      <c r="HX12" s="87" t="s">
        <v>28</v>
      </c>
      <c r="HY12" s="87" t="s">
        <v>27</v>
      </c>
      <c r="HZ12" s="87" t="s">
        <v>28</v>
      </c>
      <c r="IA12" s="87" t="s">
        <v>27</v>
      </c>
      <c r="IB12" s="87" t="s">
        <v>28</v>
      </c>
      <c r="IC12" s="87" t="s">
        <v>27</v>
      </c>
      <c r="ID12" s="87" t="s">
        <v>28</v>
      </c>
      <c r="IE12" s="87" t="s">
        <v>27</v>
      </c>
      <c r="IF12" s="87" t="s">
        <v>28</v>
      </c>
      <c r="IG12" s="92" t="s">
        <v>27</v>
      </c>
      <c r="IH12" s="92" t="s">
        <v>28</v>
      </c>
      <c r="II12" s="87" t="s">
        <v>27</v>
      </c>
      <c r="IJ12" s="87" t="s">
        <v>28</v>
      </c>
      <c r="IK12" s="87" t="s">
        <v>27</v>
      </c>
      <c r="IL12" s="87" t="s">
        <v>28</v>
      </c>
      <c r="IM12" s="87" t="s">
        <v>27</v>
      </c>
      <c r="IN12" s="87" t="s">
        <v>28</v>
      </c>
      <c r="IO12" s="87" t="s">
        <v>27</v>
      </c>
      <c r="IP12" s="87" t="s">
        <v>28</v>
      </c>
      <c r="IQ12" s="87" t="s">
        <v>27</v>
      </c>
      <c r="IR12" s="87" t="s">
        <v>28</v>
      </c>
      <c r="IS12" s="87" t="s">
        <v>27</v>
      </c>
      <c r="IT12" s="87" t="s">
        <v>28</v>
      </c>
      <c r="IU12" s="87" t="s">
        <v>27</v>
      </c>
      <c r="IV12" s="87" t="s">
        <v>28</v>
      </c>
      <c r="IW12" s="92" t="s">
        <v>27</v>
      </c>
      <c r="IX12" s="92" t="s">
        <v>28</v>
      </c>
      <c r="IY12" s="87" t="s">
        <v>27</v>
      </c>
      <c r="IZ12" s="87" t="s">
        <v>28</v>
      </c>
      <c r="JA12" s="87" t="s">
        <v>27</v>
      </c>
      <c r="JB12" s="87" t="s">
        <v>28</v>
      </c>
      <c r="JC12" s="87" t="s">
        <v>27</v>
      </c>
      <c r="JD12" s="87" t="s">
        <v>28</v>
      </c>
      <c r="JE12" s="87" t="s">
        <v>27</v>
      </c>
      <c r="JF12" s="87" t="s">
        <v>28</v>
      </c>
      <c r="JG12" s="87" t="s">
        <v>27</v>
      </c>
      <c r="JH12" s="87" t="s">
        <v>28</v>
      </c>
      <c r="JI12" s="87" t="s">
        <v>27</v>
      </c>
      <c r="JJ12" s="87" t="s">
        <v>28</v>
      </c>
      <c r="JK12" s="87" t="s">
        <v>27</v>
      </c>
      <c r="JL12" s="87" t="s">
        <v>28</v>
      </c>
      <c r="JM12" s="92" t="s">
        <v>27</v>
      </c>
      <c r="JN12" s="92" t="s">
        <v>28</v>
      </c>
      <c r="JO12" s="87" t="s">
        <v>27</v>
      </c>
      <c r="JP12" s="87" t="s">
        <v>28</v>
      </c>
      <c r="JQ12" s="87" t="s">
        <v>27</v>
      </c>
      <c r="JR12" s="87" t="s">
        <v>28</v>
      </c>
      <c r="JS12" s="87" t="s">
        <v>27</v>
      </c>
      <c r="JT12" s="87" t="s">
        <v>28</v>
      </c>
      <c r="JU12" s="87" t="s">
        <v>27</v>
      </c>
      <c r="JV12" s="87" t="s">
        <v>28</v>
      </c>
      <c r="JW12" s="87" t="s">
        <v>27</v>
      </c>
      <c r="JX12" s="87" t="s">
        <v>28</v>
      </c>
      <c r="JY12" s="87" t="s">
        <v>27</v>
      </c>
      <c r="JZ12" s="87" t="s">
        <v>28</v>
      </c>
      <c r="KA12" s="87" t="s">
        <v>27</v>
      </c>
      <c r="KB12" s="87" t="s">
        <v>28</v>
      </c>
      <c r="KC12" s="92" t="s">
        <v>27</v>
      </c>
      <c r="KD12" s="92" t="s">
        <v>28</v>
      </c>
      <c r="KE12" s="87" t="s">
        <v>27</v>
      </c>
      <c r="KF12" s="87" t="s">
        <v>28</v>
      </c>
      <c r="KG12" s="87" t="s">
        <v>27</v>
      </c>
      <c r="KH12" s="87" t="s">
        <v>28</v>
      </c>
      <c r="KI12" s="87" t="s">
        <v>27</v>
      </c>
      <c r="KJ12" s="87" t="s">
        <v>28</v>
      </c>
      <c r="KK12" s="87" t="s">
        <v>27</v>
      </c>
      <c r="KL12" s="87" t="s">
        <v>28</v>
      </c>
      <c r="KM12" s="87" t="s">
        <v>27</v>
      </c>
      <c r="KN12" s="87" t="s">
        <v>28</v>
      </c>
      <c r="KO12" s="87" t="s">
        <v>27</v>
      </c>
      <c r="KP12" s="87" t="s">
        <v>28</v>
      </c>
      <c r="KQ12" s="87" t="s">
        <v>27</v>
      </c>
      <c r="KR12" s="87" t="s">
        <v>28</v>
      </c>
      <c r="KS12" s="92" t="s">
        <v>27</v>
      </c>
      <c r="KT12" s="92" t="s">
        <v>28</v>
      </c>
      <c r="KU12" s="87" t="s">
        <v>27</v>
      </c>
      <c r="KV12" s="87" t="s">
        <v>28</v>
      </c>
      <c r="KW12" s="87" t="s">
        <v>27</v>
      </c>
      <c r="KX12" s="87" t="s">
        <v>28</v>
      </c>
      <c r="KY12" s="87" t="s">
        <v>27</v>
      </c>
      <c r="KZ12" s="87" t="s">
        <v>28</v>
      </c>
      <c r="LA12" s="87" t="s">
        <v>27</v>
      </c>
      <c r="LB12" s="87" t="s">
        <v>28</v>
      </c>
      <c r="LC12" s="87" t="s">
        <v>27</v>
      </c>
      <c r="LD12" s="87" t="s">
        <v>28</v>
      </c>
      <c r="LE12" s="87" t="s">
        <v>27</v>
      </c>
      <c r="LF12" s="87" t="s">
        <v>28</v>
      </c>
      <c r="LG12" s="87" t="s">
        <v>27</v>
      </c>
      <c r="LH12" s="87" t="s">
        <v>28</v>
      </c>
      <c r="LI12" s="92" t="s">
        <v>27</v>
      </c>
      <c r="LJ12" s="92" t="s">
        <v>28</v>
      </c>
      <c r="LK12" s="87" t="s">
        <v>27</v>
      </c>
      <c r="LL12" s="87" t="s">
        <v>28</v>
      </c>
      <c r="LM12" s="87" t="s">
        <v>27</v>
      </c>
      <c r="LN12" s="87" t="s">
        <v>28</v>
      </c>
      <c r="LO12" s="87" t="s">
        <v>27</v>
      </c>
      <c r="LP12" s="87" t="s">
        <v>28</v>
      </c>
      <c r="LQ12" s="87" t="s">
        <v>27</v>
      </c>
      <c r="LR12" s="87" t="s">
        <v>28</v>
      </c>
      <c r="LS12" s="87" t="s">
        <v>27</v>
      </c>
      <c r="LT12" s="87" t="s">
        <v>28</v>
      </c>
      <c r="LU12" s="87" t="s">
        <v>27</v>
      </c>
      <c r="LV12" s="87" t="s">
        <v>28</v>
      </c>
      <c r="LW12" s="87" t="s">
        <v>27</v>
      </c>
      <c r="LX12" s="87" t="s">
        <v>28</v>
      </c>
      <c r="LY12" s="92" t="s">
        <v>27</v>
      </c>
      <c r="LZ12" s="92" t="s">
        <v>28</v>
      </c>
      <c r="MA12" s="87" t="s">
        <v>27</v>
      </c>
      <c r="MB12" s="87" t="s">
        <v>28</v>
      </c>
      <c r="MC12" s="87" t="s">
        <v>27</v>
      </c>
      <c r="MD12" s="87" t="s">
        <v>28</v>
      </c>
      <c r="ME12" s="87" t="s">
        <v>27</v>
      </c>
      <c r="MF12" s="87" t="s">
        <v>28</v>
      </c>
      <c r="MG12" s="87" t="s">
        <v>27</v>
      </c>
      <c r="MH12" s="87" t="s">
        <v>28</v>
      </c>
      <c r="MI12" s="87" t="s">
        <v>27</v>
      </c>
      <c r="MJ12" s="87" t="s">
        <v>28</v>
      </c>
      <c r="MK12" s="87" t="s">
        <v>27</v>
      </c>
      <c r="ML12" s="87" t="s">
        <v>28</v>
      </c>
      <c r="MM12" s="87" t="s">
        <v>27</v>
      </c>
      <c r="MN12" s="87" t="s">
        <v>28</v>
      </c>
      <c r="MO12" s="92" t="s">
        <v>27</v>
      </c>
      <c r="MP12" s="92" t="s">
        <v>28</v>
      </c>
      <c r="MQ12" s="87" t="s">
        <v>27</v>
      </c>
      <c r="MR12" s="87" t="s">
        <v>28</v>
      </c>
      <c r="MS12" s="87" t="s">
        <v>27</v>
      </c>
      <c r="MT12" s="87" t="s">
        <v>28</v>
      </c>
      <c r="MU12" s="87" t="s">
        <v>27</v>
      </c>
      <c r="MV12" s="87" t="s">
        <v>28</v>
      </c>
      <c r="MW12" s="87" t="s">
        <v>27</v>
      </c>
      <c r="MX12" s="87" t="s">
        <v>28</v>
      </c>
      <c r="MY12" s="87" t="s">
        <v>27</v>
      </c>
      <c r="MZ12" s="87" t="s">
        <v>28</v>
      </c>
      <c r="NA12" s="87" t="s">
        <v>27</v>
      </c>
      <c r="NB12" s="87" t="s">
        <v>28</v>
      </c>
      <c r="NC12" s="87" t="s">
        <v>27</v>
      </c>
      <c r="ND12" s="87" t="s">
        <v>28</v>
      </c>
      <c r="NE12" s="92" t="s">
        <v>27</v>
      </c>
      <c r="NF12" s="92" t="s">
        <v>28</v>
      </c>
      <c r="NG12" s="87" t="s">
        <v>27</v>
      </c>
      <c r="NH12" s="87" t="s">
        <v>28</v>
      </c>
      <c r="NI12" s="87" t="s">
        <v>27</v>
      </c>
      <c r="NJ12" s="87" t="s">
        <v>28</v>
      </c>
      <c r="NK12" s="87" t="s">
        <v>27</v>
      </c>
      <c r="NL12" s="87" t="s">
        <v>28</v>
      </c>
      <c r="NM12" s="87" t="s">
        <v>27</v>
      </c>
      <c r="NN12" s="87" t="s">
        <v>28</v>
      </c>
      <c r="NO12" s="87" t="s">
        <v>27</v>
      </c>
      <c r="NP12" s="87" t="s">
        <v>28</v>
      </c>
      <c r="NQ12" s="87" t="s">
        <v>27</v>
      </c>
      <c r="NR12" s="87" t="s">
        <v>28</v>
      </c>
      <c r="NS12" s="87" t="s">
        <v>27</v>
      </c>
      <c r="NT12" s="87" t="s">
        <v>28</v>
      </c>
      <c r="NU12" s="92" t="s">
        <v>27</v>
      </c>
      <c r="NV12" s="92" t="s">
        <v>28</v>
      </c>
      <c r="NW12" s="87" t="s">
        <v>27</v>
      </c>
      <c r="NX12" s="87" t="s">
        <v>28</v>
      </c>
      <c r="NY12" s="87" t="s">
        <v>27</v>
      </c>
      <c r="NZ12" s="87" t="s">
        <v>28</v>
      </c>
      <c r="OA12" s="87" t="s">
        <v>27</v>
      </c>
      <c r="OB12" s="87" t="s">
        <v>28</v>
      </c>
      <c r="OC12" s="87" t="s">
        <v>27</v>
      </c>
      <c r="OD12" s="87" t="s">
        <v>28</v>
      </c>
      <c r="OE12" s="87" t="s">
        <v>27</v>
      </c>
      <c r="OF12" s="87" t="s">
        <v>28</v>
      </c>
      <c r="OG12" s="87" t="s">
        <v>27</v>
      </c>
      <c r="OH12" s="87" t="s">
        <v>28</v>
      </c>
      <c r="OI12" s="87" t="s">
        <v>27</v>
      </c>
      <c r="OJ12" s="87" t="s">
        <v>28</v>
      </c>
      <c r="OK12" s="92" t="s">
        <v>27</v>
      </c>
      <c r="OL12" s="92" t="s">
        <v>28</v>
      </c>
      <c r="OM12" s="87" t="s">
        <v>27</v>
      </c>
      <c r="ON12" s="87" t="s">
        <v>28</v>
      </c>
      <c r="OO12" s="87" t="s">
        <v>27</v>
      </c>
      <c r="OP12" s="87" t="s">
        <v>28</v>
      </c>
      <c r="OQ12" s="87" t="s">
        <v>27</v>
      </c>
      <c r="OR12" s="87" t="s">
        <v>28</v>
      </c>
      <c r="OS12" s="87" t="s">
        <v>27</v>
      </c>
      <c r="OT12" s="87" t="s">
        <v>28</v>
      </c>
      <c r="OU12" s="87" t="s">
        <v>27</v>
      </c>
      <c r="OV12" s="87" t="s">
        <v>28</v>
      </c>
      <c r="OW12" s="87" t="s">
        <v>27</v>
      </c>
      <c r="OX12" s="87" t="s">
        <v>28</v>
      </c>
      <c r="OY12" s="87" t="s">
        <v>27</v>
      </c>
      <c r="OZ12" s="87" t="s">
        <v>28</v>
      </c>
      <c r="PA12" s="92" t="s">
        <v>27</v>
      </c>
      <c r="PB12" s="92" t="s">
        <v>28</v>
      </c>
      <c r="PC12" s="87" t="s">
        <v>27</v>
      </c>
      <c r="PD12" s="87" t="s">
        <v>28</v>
      </c>
      <c r="PE12" s="87" t="s">
        <v>27</v>
      </c>
      <c r="PF12" s="87" t="s">
        <v>28</v>
      </c>
      <c r="PG12" s="87" t="s">
        <v>27</v>
      </c>
      <c r="PH12" s="87" t="s">
        <v>28</v>
      </c>
      <c r="PI12" s="87" t="s">
        <v>27</v>
      </c>
      <c r="PJ12" s="87" t="s">
        <v>28</v>
      </c>
      <c r="PK12" s="87" t="s">
        <v>27</v>
      </c>
      <c r="PL12" s="87" t="s">
        <v>28</v>
      </c>
      <c r="PM12" s="87" t="s">
        <v>27</v>
      </c>
      <c r="PN12" s="87" t="s">
        <v>28</v>
      </c>
      <c r="PO12" s="87" t="s">
        <v>27</v>
      </c>
      <c r="PP12" s="87" t="s">
        <v>28</v>
      </c>
      <c r="PQ12" s="92" t="s">
        <v>27</v>
      </c>
      <c r="PR12" s="92" t="s">
        <v>28</v>
      </c>
      <c r="PS12" s="87" t="s">
        <v>27</v>
      </c>
      <c r="PT12" s="87" t="s">
        <v>28</v>
      </c>
      <c r="PU12" s="87" t="s">
        <v>27</v>
      </c>
      <c r="PV12" s="87" t="s">
        <v>28</v>
      </c>
      <c r="PW12" s="87" t="s">
        <v>27</v>
      </c>
      <c r="PX12" s="87" t="s">
        <v>28</v>
      </c>
      <c r="PY12" s="87" t="s">
        <v>27</v>
      </c>
      <c r="PZ12" s="87" t="s">
        <v>28</v>
      </c>
      <c r="QA12" s="87" t="s">
        <v>27</v>
      </c>
      <c r="QB12" s="87" t="s">
        <v>28</v>
      </c>
      <c r="QC12" s="87" t="s">
        <v>27</v>
      </c>
      <c r="QD12" s="87" t="s">
        <v>28</v>
      </c>
      <c r="QE12" s="87" t="s">
        <v>27</v>
      </c>
      <c r="QF12" s="87" t="s">
        <v>28</v>
      </c>
      <c r="QG12" s="92" t="s">
        <v>27</v>
      </c>
      <c r="QH12" s="92" t="s">
        <v>28</v>
      </c>
      <c r="QI12" s="87" t="s">
        <v>27</v>
      </c>
      <c r="QJ12" s="87" t="s">
        <v>28</v>
      </c>
      <c r="QK12" s="87" t="s">
        <v>27</v>
      </c>
      <c r="QL12" s="87" t="s">
        <v>28</v>
      </c>
      <c r="QM12" s="87" t="s">
        <v>27</v>
      </c>
      <c r="QN12" s="87" t="s">
        <v>28</v>
      </c>
      <c r="QO12" s="87" t="s">
        <v>27</v>
      </c>
      <c r="QP12" s="87" t="s">
        <v>28</v>
      </c>
      <c r="QQ12" s="87" t="s">
        <v>27</v>
      </c>
      <c r="QR12" s="87" t="s">
        <v>28</v>
      </c>
      <c r="QS12" s="87" t="s">
        <v>27</v>
      </c>
      <c r="QT12" s="87" t="s">
        <v>28</v>
      </c>
      <c r="QU12" s="87" t="s">
        <v>27</v>
      </c>
      <c r="QV12" s="87" t="s">
        <v>28</v>
      </c>
      <c r="QW12" s="92" t="s">
        <v>27</v>
      </c>
      <c r="QX12" s="92" t="s">
        <v>28</v>
      </c>
      <c r="QY12" s="87" t="s">
        <v>27</v>
      </c>
      <c r="QZ12" s="87" t="s">
        <v>28</v>
      </c>
      <c r="RA12" s="87" t="s">
        <v>27</v>
      </c>
      <c r="RB12" s="87" t="s">
        <v>28</v>
      </c>
      <c r="RC12" s="87" t="s">
        <v>27</v>
      </c>
      <c r="RD12" s="87" t="s">
        <v>28</v>
      </c>
      <c r="RE12" s="87" t="s">
        <v>27</v>
      </c>
      <c r="RF12" s="87" t="s">
        <v>28</v>
      </c>
      <c r="RG12" s="87" t="s">
        <v>27</v>
      </c>
      <c r="RH12" s="87" t="s">
        <v>28</v>
      </c>
      <c r="RI12" s="87" t="s">
        <v>27</v>
      </c>
      <c r="RJ12" s="87" t="s">
        <v>28</v>
      </c>
      <c r="RK12" s="87" t="s">
        <v>27</v>
      </c>
      <c r="RL12" s="87" t="s">
        <v>28</v>
      </c>
      <c r="RM12" s="92" t="s">
        <v>27</v>
      </c>
      <c r="RN12" s="92" t="s">
        <v>28</v>
      </c>
      <c r="RO12" s="87" t="s">
        <v>27</v>
      </c>
      <c r="RP12" s="87" t="s">
        <v>28</v>
      </c>
      <c r="RQ12" s="87" t="s">
        <v>27</v>
      </c>
      <c r="RR12" s="87" t="s">
        <v>28</v>
      </c>
      <c r="RS12" s="87" t="s">
        <v>27</v>
      </c>
      <c r="RT12" s="87" t="s">
        <v>28</v>
      </c>
      <c r="RU12" s="87" t="s">
        <v>27</v>
      </c>
      <c r="RV12" s="87" t="s">
        <v>28</v>
      </c>
      <c r="RW12" s="87" t="s">
        <v>27</v>
      </c>
      <c r="RX12" s="87" t="s">
        <v>28</v>
      </c>
      <c r="RY12" s="87" t="s">
        <v>27</v>
      </c>
      <c r="RZ12" s="87" t="s">
        <v>28</v>
      </c>
      <c r="SA12" s="87" t="s">
        <v>27</v>
      </c>
      <c r="SB12" s="87" t="s">
        <v>28</v>
      </c>
      <c r="SC12" s="92" t="s">
        <v>27</v>
      </c>
      <c r="SD12" s="92" t="s">
        <v>28</v>
      </c>
      <c r="SE12" s="87" t="s">
        <v>27</v>
      </c>
      <c r="SF12" s="87" t="s">
        <v>28</v>
      </c>
      <c r="SG12" s="87" t="s">
        <v>27</v>
      </c>
      <c r="SH12" s="87" t="s">
        <v>28</v>
      </c>
      <c r="SI12" s="87" t="s">
        <v>27</v>
      </c>
      <c r="SJ12" s="87" t="s">
        <v>28</v>
      </c>
      <c r="SK12" s="87" t="s">
        <v>27</v>
      </c>
      <c r="SL12" s="87" t="s">
        <v>28</v>
      </c>
      <c r="SM12" s="87" t="s">
        <v>27</v>
      </c>
      <c r="SN12" s="87" t="s">
        <v>28</v>
      </c>
      <c r="SO12" s="87" t="s">
        <v>27</v>
      </c>
      <c r="SP12" s="87" t="s">
        <v>28</v>
      </c>
      <c r="SQ12" s="87" t="s">
        <v>27</v>
      </c>
      <c r="SR12" s="87" t="s">
        <v>28</v>
      </c>
      <c r="SS12" s="92" t="s">
        <v>27</v>
      </c>
      <c r="ST12" s="92" t="s">
        <v>28</v>
      </c>
      <c r="SU12" s="87" t="s">
        <v>27</v>
      </c>
      <c r="SV12" s="87" t="s">
        <v>28</v>
      </c>
      <c r="SW12" s="87" t="s">
        <v>27</v>
      </c>
      <c r="SX12" s="87" t="s">
        <v>28</v>
      </c>
      <c r="SY12" s="87" t="s">
        <v>27</v>
      </c>
      <c r="SZ12" s="87" t="s">
        <v>28</v>
      </c>
      <c r="TA12" s="87" t="s">
        <v>27</v>
      </c>
      <c r="TB12" s="87" t="s">
        <v>28</v>
      </c>
      <c r="TC12" s="87" t="s">
        <v>27</v>
      </c>
      <c r="TD12" s="87" t="s">
        <v>28</v>
      </c>
      <c r="TE12" s="87" t="s">
        <v>27</v>
      </c>
      <c r="TF12" s="87" t="s">
        <v>28</v>
      </c>
      <c r="TG12" s="87" t="s">
        <v>27</v>
      </c>
      <c r="TH12" s="87" t="s">
        <v>28</v>
      </c>
      <c r="TI12" s="92" t="s">
        <v>27</v>
      </c>
      <c r="TJ12" s="92" t="s">
        <v>28</v>
      </c>
      <c r="TK12" s="87" t="s">
        <v>27</v>
      </c>
      <c r="TL12" s="87" t="s">
        <v>28</v>
      </c>
      <c r="TM12" s="87" t="s">
        <v>27</v>
      </c>
      <c r="TN12" s="87" t="s">
        <v>28</v>
      </c>
      <c r="TO12" s="87" t="s">
        <v>27</v>
      </c>
      <c r="TP12" s="87" t="s">
        <v>28</v>
      </c>
      <c r="TQ12" s="87" t="s">
        <v>27</v>
      </c>
      <c r="TR12" s="87" t="s">
        <v>28</v>
      </c>
      <c r="TS12" s="87" t="s">
        <v>27</v>
      </c>
      <c r="TT12" s="87" t="s">
        <v>28</v>
      </c>
      <c r="TU12" s="87" t="s">
        <v>27</v>
      </c>
      <c r="TV12" s="87" t="s">
        <v>28</v>
      </c>
      <c r="TW12" s="87" t="s">
        <v>27</v>
      </c>
      <c r="TX12" s="87" t="s">
        <v>28</v>
      </c>
      <c r="TY12" s="92" t="s">
        <v>27</v>
      </c>
      <c r="TZ12" s="92" t="s">
        <v>28</v>
      </c>
      <c r="UA12" s="87" t="s">
        <v>27</v>
      </c>
      <c r="UB12" s="87" t="s">
        <v>28</v>
      </c>
      <c r="UC12" s="87" t="s">
        <v>27</v>
      </c>
      <c r="UD12" s="87" t="s">
        <v>28</v>
      </c>
      <c r="UE12" s="87" t="s">
        <v>27</v>
      </c>
      <c r="UF12" s="87" t="s">
        <v>28</v>
      </c>
      <c r="UG12" s="87" t="s">
        <v>27</v>
      </c>
      <c r="UH12" s="87" t="s">
        <v>28</v>
      </c>
      <c r="UI12" s="87" t="s">
        <v>27</v>
      </c>
      <c r="UJ12" s="87" t="s">
        <v>28</v>
      </c>
      <c r="UK12" s="87" t="s">
        <v>27</v>
      </c>
      <c r="UL12" s="87" t="s">
        <v>28</v>
      </c>
      <c r="UM12" s="87" t="s">
        <v>27</v>
      </c>
      <c r="UN12" s="87" t="s">
        <v>28</v>
      </c>
      <c r="UO12" s="92" t="s">
        <v>27</v>
      </c>
      <c r="UP12" s="92" t="s">
        <v>28</v>
      </c>
      <c r="UQ12" s="87" t="s">
        <v>27</v>
      </c>
      <c r="UR12" s="87" t="s">
        <v>28</v>
      </c>
      <c r="US12" s="87" t="s">
        <v>27</v>
      </c>
      <c r="UT12" s="87" t="s">
        <v>28</v>
      </c>
      <c r="UU12" s="87" t="s">
        <v>27</v>
      </c>
      <c r="UV12" s="87" t="s">
        <v>28</v>
      </c>
      <c r="UW12" s="87" t="s">
        <v>27</v>
      </c>
      <c r="UX12" s="87" t="s">
        <v>28</v>
      </c>
      <c r="UY12" s="87" t="s">
        <v>27</v>
      </c>
      <c r="UZ12" s="87" t="s">
        <v>28</v>
      </c>
      <c r="VA12" s="87" t="s">
        <v>27</v>
      </c>
      <c r="VB12" s="87" t="s">
        <v>28</v>
      </c>
      <c r="VC12" s="87" t="s">
        <v>27</v>
      </c>
      <c r="VD12" s="87" t="s">
        <v>28</v>
      </c>
      <c r="VE12" s="92" t="s">
        <v>27</v>
      </c>
      <c r="VF12" s="92" t="s">
        <v>28</v>
      </c>
      <c r="VG12" s="87" t="s">
        <v>27</v>
      </c>
      <c r="VH12" s="87" t="s">
        <v>28</v>
      </c>
      <c r="VI12" s="87" t="s">
        <v>27</v>
      </c>
      <c r="VJ12" s="87" t="s">
        <v>28</v>
      </c>
      <c r="VK12" s="87" t="s">
        <v>27</v>
      </c>
      <c r="VL12" s="87" t="s">
        <v>28</v>
      </c>
      <c r="VM12" s="87" t="s">
        <v>27</v>
      </c>
      <c r="VN12" s="87" t="s">
        <v>28</v>
      </c>
      <c r="VO12" s="87" t="s">
        <v>27</v>
      </c>
      <c r="VP12" s="87" t="s">
        <v>28</v>
      </c>
      <c r="VQ12" s="87" t="s">
        <v>27</v>
      </c>
      <c r="VR12" s="87" t="s">
        <v>28</v>
      </c>
      <c r="VS12" s="87" t="s">
        <v>27</v>
      </c>
      <c r="VT12" s="87" t="s">
        <v>28</v>
      </c>
      <c r="VU12" s="92" t="s">
        <v>27</v>
      </c>
      <c r="VV12" s="92" t="s">
        <v>28</v>
      </c>
      <c r="VW12" s="87" t="s">
        <v>27</v>
      </c>
      <c r="VX12" s="87" t="s">
        <v>28</v>
      </c>
      <c r="VY12" s="87" t="s">
        <v>27</v>
      </c>
      <c r="VZ12" s="87" t="s">
        <v>28</v>
      </c>
      <c r="WA12" s="87" t="s">
        <v>27</v>
      </c>
      <c r="WB12" s="87" t="s">
        <v>28</v>
      </c>
      <c r="WC12" s="87" t="s">
        <v>27</v>
      </c>
      <c r="WD12" s="87" t="s">
        <v>28</v>
      </c>
      <c r="WE12" s="87" t="s">
        <v>27</v>
      </c>
      <c r="WF12" s="87" t="s">
        <v>28</v>
      </c>
      <c r="WG12" s="87" t="s">
        <v>27</v>
      </c>
      <c r="WH12" s="87" t="s">
        <v>28</v>
      </c>
      <c r="WI12" s="87" t="s">
        <v>27</v>
      </c>
      <c r="WJ12" s="87" t="s">
        <v>28</v>
      </c>
      <c r="WK12" s="92" t="s">
        <v>27</v>
      </c>
      <c r="WL12" s="92" t="s">
        <v>28</v>
      </c>
      <c r="WM12" s="89"/>
      <c r="WN12" s="87" t="s">
        <v>27</v>
      </c>
      <c r="WO12" s="87" t="s">
        <v>28</v>
      </c>
      <c r="WP12" s="87" t="s">
        <v>27</v>
      </c>
      <c r="WQ12" s="87" t="s">
        <v>28</v>
      </c>
      <c r="WR12" s="87" t="s">
        <v>27</v>
      </c>
      <c r="WS12" s="87" t="s">
        <v>28</v>
      </c>
      <c r="WT12" s="87" t="s">
        <v>27</v>
      </c>
      <c r="WU12" s="87" t="s">
        <v>28</v>
      </c>
      <c r="WV12" s="87" t="s">
        <v>27</v>
      </c>
      <c r="WW12" s="87" t="s">
        <v>28</v>
      </c>
      <c r="WX12" s="87" t="s">
        <v>27</v>
      </c>
      <c r="WY12" s="87" t="s">
        <v>28</v>
      </c>
      <c r="WZ12" s="87" t="s">
        <v>27</v>
      </c>
      <c r="XA12" s="87" t="s">
        <v>28</v>
      </c>
      <c r="XB12" s="92" t="s">
        <v>27</v>
      </c>
      <c r="XC12" s="92" t="s">
        <v>28</v>
      </c>
      <c r="XD12" s="89"/>
      <c r="XE12" s="92" t="s">
        <v>27</v>
      </c>
      <c r="XF12" s="92" t="s">
        <v>28</v>
      </c>
      <c r="XG12" s="89"/>
      <c r="XH12" s="87"/>
      <c r="XI12" s="87"/>
      <c r="XJ12" s="89"/>
      <c r="XK12" s="87" t="s">
        <v>27</v>
      </c>
      <c r="XL12" s="87" t="s">
        <v>27</v>
      </c>
      <c r="XM12" s="87" t="s">
        <v>27</v>
      </c>
      <c r="XN12" s="87" t="s">
        <v>27</v>
      </c>
      <c r="XO12" s="87" t="s">
        <v>27</v>
      </c>
      <c r="XP12" s="87" t="s">
        <v>27</v>
      </c>
      <c r="XQ12" s="87" t="s">
        <v>27</v>
      </c>
      <c r="XR12" s="92" t="s">
        <v>27</v>
      </c>
      <c r="XS12" s="89"/>
      <c r="XT12" s="87" t="s">
        <v>27</v>
      </c>
      <c r="XU12" s="87" t="s">
        <v>27</v>
      </c>
      <c r="XV12" s="87" t="s">
        <v>27</v>
      </c>
      <c r="XW12" s="87" t="s">
        <v>27</v>
      </c>
      <c r="XX12" s="87" t="s">
        <v>27</v>
      </c>
      <c r="XY12" s="87" t="s">
        <v>27</v>
      </c>
      <c r="XZ12" s="87" t="s">
        <v>27</v>
      </c>
      <c r="YA12" s="92" t="s">
        <v>27</v>
      </c>
      <c r="YB12" s="87"/>
      <c r="YC12" s="87"/>
      <c r="YD12" s="87"/>
      <c r="YE12" s="87"/>
      <c r="YF12" s="87"/>
      <c r="YG12" s="87"/>
      <c r="YH12" s="87"/>
      <c r="YI12" s="87"/>
      <c r="YJ12" s="87"/>
      <c r="YK12" s="87"/>
      <c r="YL12" s="87"/>
      <c r="YM12" s="87"/>
      <c r="YN12" s="87"/>
      <c r="YO12" s="87"/>
      <c r="YP12" s="87"/>
      <c r="YQ12" s="87"/>
      <c r="YR12" s="87"/>
      <c r="YS12" s="87"/>
      <c r="YT12" s="87"/>
      <c r="YU12" s="87"/>
      <c r="YV12" s="87"/>
      <c r="YW12" s="87"/>
      <c r="YX12" s="87"/>
      <c r="YY12" s="87"/>
      <c r="YZ12" s="87"/>
      <c r="ZA12" s="87"/>
      <c r="ZB12" s="87"/>
      <c r="ZC12" s="87"/>
      <c r="ZD12" s="87"/>
      <c r="ZE12" s="87"/>
      <c r="ZF12" s="87"/>
      <c r="ZG12" s="87"/>
      <c r="ZH12" s="87"/>
      <c r="ZI12" s="87"/>
      <c r="ZJ12" s="87"/>
      <c r="ZK12" s="87"/>
      <c r="ZL12" s="87"/>
      <c r="ZM12" s="87"/>
      <c r="ZN12" s="87"/>
      <c r="ZO12" s="87"/>
      <c r="ZP12" s="87"/>
      <c r="ZQ12" s="87"/>
      <c r="ZR12" s="87"/>
      <c r="ZS12" s="87"/>
      <c r="ZT12" s="87"/>
      <c r="ZU12" s="87"/>
      <c r="ZV12" s="87"/>
      <c r="ZW12" s="87"/>
      <c r="ZX12" s="87"/>
      <c r="ZY12" s="87"/>
      <c r="ZZ12" s="87"/>
      <c r="AAA12" s="87"/>
      <c r="AAB12" s="87"/>
      <c r="AAC12" s="87"/>
      <c r="AAD12" s="87"/>
      <c r="AAE12" s="87"/>
      <c r="AAF12" s="87"/>
      <c r="AAG12" s="87"/>
      <c r="AAH12" s="87"/>
      <c r="AAI12" s="87"/>
      <c r="AAJ12" s="87"/>
      <c r="AAK12" s="87"/>
      <c r="AAL12" s="87"/>
      <c r="AAM12" s="87"/>
      <c r="AAN12" s="87"/>
      <c r="AAO12" s="87"/>
      <c r="AAP12" s="87"/>
      <c r="AAQ12" s="87"/>
      <c r="AAR12" s="87"/>
      <c r="AAS12" s="87"/>
      <c r="AAT12" s="87"/>
      <c r="AAU12" s="87"/>
      <c r="AAV12" s="87"/>
      <c r="AAW12" s="87"/>
      <c r="AAX12" s="87"/>
      <c r="AAY12" s="87"/>
      <c r="AAZ12" s="87"/>
      <c r="ABA12" s="87"/>
      <c r="ABB12" s="87"/>
      <c r="ABC12" s="87"/>
      <c r="ABD12" s="87"/>
      <c r="ABE12" s="87"/>
      <c r="ABF12" s="87"/>
      <c r="ABG12" s="87"/>
      <c r="ABH12" s="87"/>
      <c r="ABI12" s="87"/>
      <c r="ABJ12" s="87"/>
      <c r="ABK12" s="87"/>
      <c r="ABL12" s="87"/>
      <c r="ABM12" s="87"/>
      <c r="ABN12" s="87"/>
      <c r="ABO12" s="87"/>
      <c r="ABP12" s="87"/>
      <c r="ABQ12" s="87"/>
      <c r="ABR12" s="87"/>
      <c r="ABS12" s="87"/>
      <c r="ABT12" s="87"/>
      <c r="ABU12" s="87"/>
      <c r="ABV12" s="87"/>
      <c r="ABW12" s="87"/>
      <c r="ABX12" s="87"/>
      <c r="ABY12" s="87"/>
      <c r="ABZ12" s="87"/>
      <c r="ACA12" s="87"/>
      <c r="ACB12" s="87"/>
      <c r="ACC12" s="87"/>
      <c r="ACD12" s="87"/>
      <c r="ACE12" s="87"/>
      <c r="ACF12" s="87"/>
      <c r="ACG12" s="87"/>
      <c r="ACH12" s="87"/>
      <c r="ACI12" s="87"/>
      <c r="ACJ12" s="87"/>
      <c r="ACK12" s="87"/>
      <c r="ACL12" s="87"/>
      <c r="ACM12" s="87"/>
      <c r="ACN12" s="87"/>
      <c r="ACO12" s="87"/>
      <c r="ACP12" s="87"/>
      <c r="ACQ12" s="87"/>
      <c r="ACR12" s="87"/>
      <c r="ACS12" s="87"/>
      <c r="ACT12" s="87"/>
      <c r="ACU12" s="87"/>
      <c r="ACV12" s="87"/>
      <c r="ACW12" s="87"/>
      <c r="ACX12" s="87"/>
      <c r="ACY12" s="87"/>
      <c r="ACZ12" s="87"/>
      <c r="ADA12" s="87"/>
      <c r="ADB12" s="87"/>
      <c r="ADC12" s="87"/>
      <c r="ADD12" s="87"/>
      <c r="ADE12" s="87"/>
      <c r="ADF12" s="87"/>
      <c r="ADG12" s="87"/>
      <c r="ADH12" s="87"/>
      <c r="ADI12" s="87"/>
      <c r="ADJ12" s="87"/>
      <c r="ADK12" s="87"/>
      <c r="ADL12" s="87"/>
      <c r="ADM12" s="87"/>
      <c r="ADN12" s="87"/>
      <c r="ADO12" s="87"/>
      <c r="ADP12" s="87"/>
      <c r="ADQ12" s="87"/>
      <c r="ADR12" s="87"/>
      <c r="ADS12" s="87"/>
      <c r="ADT12" s="87"/>
      <c r="ADU12" s="87"/>
      <c r="ADV12" s="87"/>
      <c r="ADW12" s="87"/>
      <c r="ADX12" s="87"/>
      <c r="ADY12" s="87"/>
      <c r="ADZ12" s="87"/>
      <c r="AEA12" s="87"/>
      <c r="AEB12" s="87"/>
      <c r="AEC12" s="87"/>
      <c r="AED12" s="87"/>
      <c r="AEE12" s="87"/>
      <c r="AEF12" s="87"/>
      <c r="AEG12" s="87"/>
      <c r="AEH12" s="87"/>
      <c r="AEI12" s="87"/>
      <c r="AEJ12" s="87"/>
      <c r="AEK12" s="87"/>
      <c r="AEL12" s="87"/>
      <c r="AEM12" s="87"/>
      <c r="AEN12" s="87"/>
      <c r="AEO12" s="87"/>
      <c r="AEP12" s="87"/>
      <c r="AEQ12" s="87"/>
      <c r="AER12" s="87"/>
      <c r="AES12" s="87"/>
      <c r="AET12" s="87"/>
      <c r="AEU12" s="87"/>
      <c r="AEV12" s="87"/>
      <c r="AEW12" s="87"/>
      <c r="AEX12" s="87"/>
      <c r="AEY12" s="87"/>
      <c r="AEZ12" s="87"/>
      <c r="AFA12" s="87"/>
      <c r="AFB12" s="87"/>
      <c r="AFC12" s="87"/>
      <c r="AFD12" s="87"/>
      <c r="AFE12" s="87"/>
      <c r="AFF12" s="87"/>
      <c r="AFG12" s="87"/>
      <c r="AFH12" s="87"/>
      <c r="AFI12" s="87"/>
      <c r="AFJ12" s="87"/>
      <c r="AFK12" s="87"/>
      <c r="AFL12" s="87"/>
      <c r="AFM12" s="87"/>
      <c r="AFN12" s="87"/>
      <c r="AFO12" s="87"/>
      <c r="AFP12" s="87"/>
      <c r="AFQ12" s="87"/>
      <c r="AFR12" s="87"/>
      <c r="AFS12" s="87"/>
      <c r="AFT12" s="87"/>
      <c r="AFU12" s="87"/>
      <c r="AFV12" s="87"/>
      <c r="AFW12" s="87"/>
      <c r="AFX12" s="87"/>
      <c r="AFY12" s="87"/>
      <c r="AFZ12" s="87"/>
      <c r="AGA12" s="87"/>
      <c r="AGB12" s="87"/>
      <c r="AGC12" s="87"/>
      <c r="AGD12" s="87"/>
      <c r="AGE12" s="87"/>
      <c r="AGF12" s="87"/>
      <c r="AGG12" s="87"/>
      <c r="AGH12" s="87"/>
      <c r="AGI12" s="87"/>
      <c r="AGJ12" s="87"/>
      <c r="AGK12" s="87"/>
      <c r="AGL12" s="87"/>
      <c r="AGM12" s="87"/>
      <c r="AGN12" s="87"/>
      <c r="AGO12" s="87"/>
      <c r="AGP12" s="87"/>
      <c r="AGQ12" s="87"/>
      <c r="AGR12" s="87"/>
      <c r="AGS12" s="87"/>
      <c r="AGT12" s="87"/>
      <c r="AGU12" s="87"/>
      <c r="AGV12" s="87"/>
      <c r="AGW12" s="87"/>
      <c r="AGX12" s="87"/>
      <c r="AGY12" s="87"/>
      <c r="AGZ12" s="87"/>
      <c r="AHA12" s="87"/>
      <c r="AHB12" s="87"/>
      <c r="AHC12" s="87"/>
      <c r="AHD12" s="87"/>
      <c r="AHE12" s="87"/>
      <c r="AHF12" s="87"/>
      <c r="AHG12" s="87"/>
      <c r="AHH12" s="87"/>
      <c r="AHI12" s="87"/>
      <c r="AHJ12" s="87"/>
      <c r="AHK12" s="87"/>
      <c r="AHL12" s="87"/>
      <c r="AHM12" s="87"/>
      <c r="AHN12" s="87"/>
      <c r="AHO12" s="87"/>
      <c r="AHP12" s="87"/>
      <c r="AHQ12" s="87"/>
      <c r="AHR12" s="87"/>
      <c r="AHS12" s="87"/>
      <c r="AHT12" s="87"/>
      <c r="AHU12" s="87"/>
      <c r="AHV12" s="87"/>
      <c r="AHW12" s="87"/>
      <c r="AHX12" s="87"/>
      <c r="AHY12" s="87"/>
      <c r="AHZ12" s="87"/>
      <c r="AIA12" s="87"/>
      <c r="AIB12" s="87"/>
      <c r="AIC12" s="87"/>
      <c r="AID12" s="87"/>
      <c r="AIE12" s="87"/>
      <c r="AIF12" s="87"/>
      <c r="AIG12" s="87"/>
      <c r="AIH12" s="87"/>
      <c r="AII12" s="87"/>
      <c r="AIJ12" s="87"/>
      <c r="AIK12" s="87"/>
      <c r="AIL12" s="87"/>
      <c r="AIM12" s="87"/>
      <c r="AIN12" s="87"/>
      <c r="AIO12" s="87"/>
      <c r="AIP12" s="87"/>
      <c r="AIQ12" s="87"/>
      <c r="AIR12" s="87"/>
      <c r="AIS12" s="87"/>
      <c r="AIT12" s="87"/>
      <c r="AIU12" s="87"/>
      <c r="AIV12" s="87"/>
      <c r="AIW12" s="87"/>
      <c r="AIX12" s="87"/>
      <c r="AIY12" s="87"/>
      <c r="AIZ12" s="87"/>
      <c r="AJA12" s="87"/>
      <c r="AJB12" s="87"/>
      <c r="AJC12" s="87"/>
      <c r="AJD12" s="87"/>
      <c r="AJE12" s="87"/>
      <c r="AJF12" s="87"/>
      <c r="AJG12" s="87"/>
      <c r="AJH12" s="87"/>
      <c r="AJI12" s="87"/>
      <c r="AJJ12" s="87"/>
      <c r="AJK12" s="87"/>
      <c r="AJL12" s="87"/>
      <c r="AJM12" s="87"/>
      <c r="AJN12" s="87"/>
      <c r="AJO12" s="87"/>
      <c r="AJP12" s="87"/>
      <c r="AJQ12" s="87"/>
      <c r="AJR12" s="87"/>
      <c r="AJS12" s="87"/>
      <c r="AJT12" s="87"/>
      <c r="AJU12" s="87"/>
      <c r="AJV12" s="87"/>
      <c r="AJW12" s="87"/>
      <c r="AJX12" s="87"/>
      <c r="AJY12" s="87"/>
      <c r="AJZ12" s="87"/>
      <c r="AKA12" s="87"/>
      <c r="AKB12" s="87"/>
      <c r="AKC12" s="87"/>
      <c r="AKD12" s="87"/>
      <c r="AKE12" s="87"/>
      <c r="AKF12" s="87"/>
      <c r="AKG12" s="87"/>
      <c r="AKH12" s="87"/>
      <c r="AKI12" s="87"/>
      <c r="AKJ12" s="87"/>
      <c r="AKK12" s="87"/>
      <c r="AKL12" s="87"/>
      <c r="AKM12" s="87"/>
      <c r="AKN12" s="87"/>
      <c r="AKO12" s="87"/>
      <c r="AKP12" s="87"/>
      <c r="AKQ12" s="87"/>
      <c r="AKR12" s="87"/>
      <c r="AKS12" s="87"/>
      <c r="AKT12" s="87"/>
      <c r="AKU12" s="87"/>
      <c r="AKV12" s="87"/>
      <c r="AKW12" s="87"/>
      <c r="AKX12" s="87"/>
      <c r="AKY12" s="87"/>
      <c r="AKZ12" s="87"/>
      <c r="ALA12" s="87"/>
      <c r="ALB12" s="87"/>
      <c r="ALC12" s="87"/>
      <c r="ALD12" s="87"/>
      <c r="ALE12" s="87"/>
      <c r="ALF12" s="87"/>
      <c r="ALG12" s="87"/>
      <c r="ALH12" s="87"/>
      <c r="ALI12" s="87"/>
      <c r="ALJ12" s="87"/>
      <c r="ALK12" s="87"/>
      <c r="ALL12" s="87"/>
      <c r="ALM12" s="87"/>
      <c r="ALN12" s="87"/>
      <c r="ALO12" s="87"/>
      <c r="ALP12" s="87"/>
      <c r="ALQ12" s="87"/>
      <c r="ALR12" s="87"/>
      <c r="ALS12" s="87"/>
      <c r="ALT12" s="87"/>
      <c r="ALU12" s="87"/>
      <c r="ALV12" s="87"/>
      <c r="ALW12" s="87"/>
      <c r="ALX12" s="87"/>
      <c r="ALY12" s="87"/>
      <c r="ALZ12" s="87"/>
      <c r="AMA12" s="87"/>
      <c r="AMB12" s="87"/>
      <c r="AMC12" s="87"/>
    </row>
    <row r="13" spans="1:1017" s="97" customFormat="1">
      <c r="A13" s="94">
        <v>1</v>
      </c>
      <c r="B13" s="94" t="s">
        <v>46</v>
      </c>
      <c r="C13" s="94">
        <f>SUM(C14:C50)</f>
        <v>0</v>
      </c>
      <c r="D13" s="94">
        <f t="shared" ref="D13:P13" si="617">SUM(D14:D50)</f>
        <v>0</v>
      </c>
      <c r="E13" s="94">
        <f t="shared" si="617"/>
        <v>1499605</v>
      </c>
      <c r="F13" s="94">
        <f t="shared" si="617"/>
        <v>51715632.052000001</v>
      </c>
      <c r="G13" s="94">
        <f t="shared" ref="G13" si="618">SUM(G14:G50)</f>
        <v>0</v>
      </c>
      <c r="H13" s="94">
        <f t="shared" ref="H13" si="619">SUM(H14:H50)</f>
        <v>0</v>
      </c>
      <c r="I13" s="94">
        <f t="shared" si="617"/>
        <v>105800</v>
      </c>
      <c r="J13" s="94">
        <f t="shared" si="617"/>
        <v>2377400</v>
      </c>
      <c r="K13" s="94">
        <f t="shared" si="617"/>
        <v>0</v>
      </c>
      <c r="L13" s="94">
        <f t="shared" si="617"/>
        <v>0</v>
      </c>
      <c r="M13" s="94">
        <f t="shared" si="617"/>
        <v>300</v>
      </c>
      <c r="N13" s="94">
        <f t="shared" si="617"/>
        <v>6000</v>
      </c>
      <c r="O13" s="94">
        <f t="shared" si="617"/>
        <v>0</v>
      </c>
      <c r="P13" s="94">
        <f t="shared" si="617"/>
        <v>0</v>
      </c>
      <c r="Q13" s="728">
        <f>SUM(Q14:Q50)</f>
        <v>1605705</v>
      </c>
      <c r="R13" s="728">
        <f>SUM(R14:R50)</f>
        <v>54099032.052000001</v>
      </c>
      <c r="S13" s="94">
        <f t="shared" ref="S13:CD13" si="620">SUM(S14:S50)</f>
        <v>3900</v>
      </c>
      <c r="T13" s="94">
        <f t="shared" si="620"/>
        <v>550250</v>
      </c>
      <c r="U13" s="94">
        <f t="shared" si="620"/>
        <v>1543690</v>
      </c>
      <c r="V13" s="94">
        <f t="shared" si="620"/>
        <v>76939050</v>
      </c>
      <c r="W13" s="94">
        <f t="shared" si="620"/>
        <v>0</v>
      </c>
      <c r="X13" s="94">
        <f t="shared" si="620"/>
        <v>0</v>
      </c>
      <c r="Y13" s="94">
        <f t="shared" si="620"/>
        <v>846770</v>
      </c>
      <c r="Z13" s="94">
        <f t="shared" si="620"/>
        <v>17206355</v>
      </c>
      <c r="AA13" s="94">
        <f t="shared" si="620"/>
        <v>6315</v>
      </c>
      <c r="AB13" s="94">
        <f t="shared" si="620"/>
        <v>171975</v>
      </c>
      <c r="AC13" s="94">
        <f t="shared" si="620"/>
        <v>3600</v>
      </c>
      <c r="AD13" s="94">
        <f t="shared" si="620"/>
        <v>99300</v>
      </c>
      <c r="AE13" s="94">
        <f t="shared" si="620"/>
        <v>1760</v>
      </c>
      <c r="AF13" s="94">
        <f t="shared" si="620"/>
        <v>43900</v>
      </c>
      <c r="AG13" s="728">
        <f t="shared" si="620"/>
        <v>2406035</v>
      </c>
      <c r="AH13" s="728">
        <f t="shared" si="620"/>
        <v>95010830</v>
      </c>
      <c r="AI13" s="94">
        <f t="shared" si="620"/>
        <v>0</v>
      </c>
      <c r="AJ13" s="94">
        <f t="shared" si="620"/>
        <v>0</v>
      </c>
      <c r="AK13" s="94">
        <f t="shared" si="620"/>
        <v>34100</v>
      </c>
      <c r="AL13" s="94">
        <f t="shared" si="620"/>
        <v>2216500</v>
      </c>
      <c r="AM13" s="94">
        <f t="shared" si="620"/>
        <v>0</v>
      </c>
      <c r="AN13" s="94">
        <f t="shared" si="620"/>
        <v>0</v>
      </c>
      <c r="AO13" s="94">
        <f t="shared" si="620"/>
        <v>1312000</v>
      </c>
      <c r="AP13" s="94">
        <f t="shared" si="620"/>
        <v>28693200</v>
      </c>
      <c r="AQ13" s="94">
        <f t="shared" si="620"/>
        <v>100</v>
      </c>
      <c r="AR13" s="94">
        <f t="shared" si="620"/>
        <v>2500</v>
      </c>
      <c r="AS13" s="94">
        <f t="shared" si="620"/>
        <v>0</v>
      </c>
      <c r="AT13" s="94">
        <f t="shared" si="620"/>
        <v>0</v>
      </c>
      <c r="AU13" s="94">
        <f t="shared" si="620"/>
        <v>2100</v>
      </c>
      <c r="AV13" s="94">
        <f t="shared" si="620"/>
        <v>52500</v>
      </c>
      <c r="AW13" s="728">
        <f t="shared" si="620"/>
        <v>1348300</v>
      </c>
      <c r="AX13" s="728">
        <f t="shared" si="620"/>
        <v>30964700</v>
      </c>
      <c r="AY13" s="94">
        <f t="shared" si="620"/>
        <v>0</v>
      </c>
      <c r="AZ13" s="94">
        <f t="shared" si="620"/>
        <v>0</v>
      </c>
      <c r="BA13" s="94">
        <f t="shared" si="620"/>
        <v>0</v>
      </c>
      <c r="BB13" s="94">
        <f t="shared" si="620"/>
        <v>0</v>
      </c>
      <c r="BC13" s="94">
        <f t="shared" si="620"/>
        <v>0</v>
      </c>
      <c r="BD13" s="94">
        <f t="shared" si="620"/>
        <v>0</v>
      </c>
      <c r="BE13" s="94">
        <f t="shared" si="620"/>
        <v>537648</v>
      </c>
      <c r="BF13" s="94">
        <f t="shared" si="620"/>
        <v>10724879</v>
      </c>
      <c r="BG13" s="94">
        <f t="shared" si="620"/>
        <v>24380</v>
      </c>
      <c r="BH13" s="94">
        <f t="shared" si="620"/>
        <v>425579</v>
      </c>
      <c r="BI13" s="94">
        <f t="shared" si="620"/>
        <v>0</v>
      </c>
      <c r="BJ13" s="94">
        <f t="shared" si="620"/>
        <v>0</v>
      </c>
      <c r="BK13" s="94">
        <f t="shared" si="620"/>
        <v>4035</v>
      </c>
      <c r="BL13" s="94">
        <f t="shared" si="620"/>
        <v>66721</v>
      </c>
      <c r="BM13" s="728">
        <f t="shared" si="620"/>
        <v>566063</v>
      </c>
      <c r="BN13" s="728">
        <f t="shared" si="620"/>
        <v>11217179</v>
      </c>
      <c r="BO13" s="94">
        <f t="shared" si="620"/>
        <v>0</v>
      </c>
      <c r="BP13" s="94">
        <f t="shared" si="620"/>
        <v>0</v>
      </c>
      <c r="BQ13" s="94">
        <f t="shared" si="620"/>
        <v>0</v>
      </c>
      <c r="BR13" s="94">
        <f t="shared" si="620"/>
        <v>0</v>
      </c>
      <c r="BS13" s="94">
        <f t="shared" si="620"/>
        <v>0</v>
      </c>
      <c r="BT13" s="94">
        <f t="shared" si="620"/>
        <v>0</v>
      </c>
      <c r="BU13" s="94">
        <f t="shared" si="620"/>
        <v>75492</v>
      </c>
      <c r="BV13" s="94">
        <f t="shared" si="620"/>
        <v>1625994</v>
      </c>
      <c r="BW13" s="94">
        <f t="shared" si="620"/>
        <v>0</v>
      </c>
      <c r="BX13" s="94">
        <f t="shared" si="620"/>
        <v>0</v>
      </c>
      <c r="BY13" s="94">
        <f t="shared" si="620"/>
        <v>0</v>
      </c>
      <c r="BZ13" s="94">
        <f t="shared" si="620"/>
        <v>0</v>
      </c>
      <c r="CA13" s="94">
        <f t="shared" si="620"/>
        <v>0</v>
      </c>
      <c r="CB13" s="94">
        <f t="shared" si="620"/>
        <v>0</v>
      </c>
      <c r="CC13" s="728">
        <f t="shared" si="620"/>
        <v>75492</v>
      </c>
      <c r="CD13" s="728">
        <f t="shared" si="620"/>
        <v>1625994</v>
      </c>
      <c r="CE13" s="94">
        <f t="shared" ref="CE13:EP13" si="621">SUM(CE14:CE50)</f>
        <v>154755</v>
      </c>
      <c r="CF13" s="94">
        <f t="shared" si="621"/>
        <v>773776</v>
      </c>
      <c r="CG13" s="94">
        <f t="shared" si="621"/>
        <v>7132948.756231227</v>
      </c>
      <c r="CH13" s="94">
        <f t="shared" si="621"/>
        <v>201115251.08653632</v>
      </c>
      <c r="CI13" s="94">
        <f t="shared" si="621"/>
        <v>0</v>
      </c>
      <c r="CJ13" s="94">
        <f t="shared" si="621"/>
        <v>0</v>
      </c>
      <c r="CK13" s="94">
        <f t="shared" si="621"/>
        <v>4756013</v>
      </c>
      <c r="CL13" s="94">
        <f t="shared" si="621"/>
        <v>84122910.928101271</v>
      </c>
      <c r="CM13" s="94">
        <f t="shared" si="621"/>
        <v>0</v>
      </c>
      <c r="CN13" s="94">
        <f t="shared" si="621"/>
        <v>0</v>
      </c>
      <c r="CO13" s="94">
        <f t="shared" si="621"/>
        <v>0</v>
      </c>
      <c r="CP13" s="94">
        <f t="shared" si="621"/>
        <v>0</v>
      </c>
      <c r="CQ13" s="94">
        <f t="shared" si="621"/>
        <v>0</v>
      </c>
      <c r="CR13" s="94">
        <f t="shared" si="621"/>
        <v>0</v>
      </c>
      <c r="CS13" s="728">
        <f t="shared" si="621"/>
        <v>12043716.756231226</v>
      </c>
      <c r="CT13" s="728">
        <f t="shared" si="621"/>
        <v>286011938.01463753</v>
      </c>
      <c r="CU13" s="94">
        <f t="shared" si="621"/>
        <v>0</v>
      </c>
      <c r="CV13" s="94">
        <f t="shared" si="621"/>
        <v>0</v>
      </c>
      <c r="CW13" s="94">
        <f t="shared" si="621"/>
        <v>120610</v>
      </c>
      <c r="CX13" s="94">
        <f t="shared" si="621"/>
        <v>8327749.9950000001</v>
      </c>
      <c r="CY13" s="94">
        <f t="shared" si="621"/>
        <v>0</v>
      </c>
      <c r="CZ13" s="94">
        <f t="shared" si="621"/>
        <v>0</v>
      </c>
      <c r="DA13" s="94">
        <f t="shared" si="621"/>
        <v>1088540</v>
      </c>
      <c r="DB13" s="94">
        <f t="shared" si="621"/>
        <v>23446470</v>
      </c>
      <c r="DC13" s="94">
        <f t="shared" si="621"/>
        <v>610</v>
      </c>
      <c r="DD13" s="94">
        <f t="shared" si="621"/>
        <v>17250</v>
      </c>
      <c r="DE13" s="94">
        <f t="shared" si="621"/>
        <v>0</v>
      </c>
      <c r="DF13" s="94">
        <f t="shared" si="621"/>
        <v>0</v>
      </c>
      <c r="DG13" s="94">
        <f t="shared" si="621"/>
        <v>0</v>
      </c>
      <c r="DH13" s="94">
        <f t="shared" si="621"/>
        <v>0</v>
      </c>
      <c r="DI13" s="728">
        <f t="shared" si="621"/>
        <v>1209760</v>
      </c>
      <c r="DJ13" s="728">
        <f t="shared" si="621"/>
        <v>31791469.995000001</v>
      </c>
      <c r="DK13" s="94">
        <f t="shared" si="621"/>
        <v>0</v>
      </c>
      <c r="DL13" s="94">
        <f t="shared" si="621"/>
        <v>0</v>
      </c>
      <c r="DM13" s="94">
        <f t="shared" si="621"/>
        <v>0</v>
      </c>
      <c r="DN13" s="94">
        <f t="shared" si="621"/>
        <v>0</v>
      </c>
      <c r="DO13" s="94">
        <f t="shared" si="621"/>
        <v>0</v>
      </c>
      <c r="DP13" s="94">
        <f t="shared" si="621"/>
        <v>0</v>
      </c>
      <c r="DQ13" s="94">
        <f t="shared" si="621"/>
        <v>1333200</v>
      </c>
      <c r="DR13" s="94">
        <f t="shared" si="621"/>
        <v>23789000</v>
      </c>
      <c r="DS13" s="94">
        <f t="shared" si="621"/>
        <v>0</v>
      </c>
      <c r="DT13" s="94">
        <f t="shared" si="621"/>
        <v>0</v>
      </c>
      <c r="DU13" s="94">
        <f t="shared" si="621"/>
        <v>0</v>
      </c>
      <c r="DV13" s="94">
        <f t="shared" si="621"/>
        <v>0</v>
      </c>
      <c r="DW13" s="94">
        <f t="shared" si="621"/>
        <v>0</v>
      </c>
      <c r="DX13" s="94">
        <f t="shared" si="621"/>
        <v>0</v>
      </c>
      <c r="DY13" s="728">
        <f t="shared" si="621"/>
        <v>1333200</v>
      </c>
      <c r="DZ13" s="728">
        <f t="shared" si="621"/>
        <v>23789000</v>
      </c>
      <c r="EA13" s="94">
        <f t="shared" si="621"/>
        <v>0</v>
      </c>
      <c r="EB13" s="94">
        <f t="shared" si="621"/>
        <v>0</v>
      </c>
      <c r="EC13" s="94">
        <f t="shared" si="621"/>
        <v>0</v>
      </c>
      <c r="ED13" s="94">
        <f t="shared" si="621"/>
        <v>0</v>
      </c>
      <c r="EE13" s="94">
        <f t="shared" si="621"/>
        <v>0</v>
      </c>
      <c r="EF13" s="94">
        <f t="shared" si="621"/>
        <v>0</v>
      </c>
      <c r="EG13" s="94">
        <f t="shared" si="621"/>
        <v>2088550</v>
      </c>
      <c r="EH13" s="94">
        <f t="shared" si="621"/>
        <v>39429650</v>
      </c>
      <c r="EI13" s="94">
        <f t="shared" si="621"/>
        <v>0</v>
      </c>
      <c r="EJ13" s="94">
        <f t="shared" si="621"/>
        <v>0</v>
      </c>
      <c r="EK13" s="94">
        <f t="shared" si="621"/>
        <v>0</v>
      </c>
      <c r="EL13" s="94">
        <f t="shared" si="621"/>
        <v>0</v>
      </c>
      <c r="EM13" s="94">
        <f t="shared" si="621"/>
        <v>0</v>
      </c>
      <c r="EN13" s="94">
        <f t="shared" si="621"/>
        <v>0</v>
      </c>
      <c r="EO13" s="728">
        <f t="shared" si="621"/>
        <v>2088550</v>
      </c>
      <c r="EP13" s="728">
        <f t="shared" si="621"/>
        <v>39429650</v>
      </c>
      <c r="EQ13" s="94">
        <f t="shared" ref="EQ13:HB13" si="622">SUM(EQ14:EQ50)</f>
        <v>0</v>
      </c>
      <c r="ER13" s="94">
        <f t="shared" si="622"/>
        <v>0</v>
      </c>
      <c r="ES13" s="94">
        <f t="shared" si="622"/>
        <v>437042</v>
      </c>
      <c r="ET13" s="94">
        <f t="shared" si="622"/>
        <v>27213910</v>
      </c>
      <c r="EU13" s="94">
        <f t="shared" si="622"/>
        <v>0</v>
      </c>
      <c r="EV13" s="94">
        <f t="shared" si="622"/>
        <v>0</v>
      </c>
      <c r="EW13" s="94">
        <f t="shared" si="622"/>
        <v>2492356</v>
      </c>
      <c r="EX13" s="94">
        <f t="shared" si="622"/>
        <v>85435687</v>
      </c>
      <c r="EY13" s="94">
        <f t="shared" si="622"/>
        <v>0</v>
      </c>
      <c r="EZ13" s="94">
        <f t="shared" si="622"/>
        <v>0</v>
      </c>
      <c r="FA13" s="94">
        <f t="shared" si="622"/>
        <v>6107</v>
      </c>
      <c r="FB13" s="94">
        <f t="shared" si="622"/>
        <v>134354</v>
      </c>
      <c r="FC13" s="94">
        <f t="shared" si="622"/>
        <v>325</v>
      </c>
      <c r="FD13" s="94">
        <f t="shared" si="622"/>
        <v>8125</v>
      </c>
      <c r="FE13" s="728">
        <f t="shared" si="622"/>
        <v>2935830</v>
      </c>
      <c r="FF13" s="728">
        <f t="shared" si="622"/>
        <v>112792076</v>
      </c>
      <c r="FG13" s="94">
        <f t="shared" si="622"/>
        <v>0</v>
      </c>
      <c r="FH13" s="94">
        <f t="shared" si="622"/>
        <v>0</v>
      </c>
      <c r="FI13" s="94">
        <f t="shared" si="622"/>
        <v>125000</v>
      </c>
      <c r="FJ13" s="94">
        <f t="shared" si="622"/>
        <v>7500000</v>
      </c>
      <c r="FK13" s="94">
        <f t="shared" si="622"/>
        <v>0</v>
      </c>
      <c r="FL13" s="94">
        <f t="shared" si="622"/>
        <v>0</v>
      </c>
      <c r="FM13" s="94">
        <f t="shared" si="622"/>
        <v>232000</v>
      </c>
      <c r="FN13" s="94">
        <f t="shared" si="622"/>
        <v>6041635</v>
      </c>
      <c r="FO13" s="94">
        <f t="shared" si="622"/>
        <v>0</v>
      </c>
      <c r="FP13" s="94">
        <f t="shared" si="622"/>
        <v>0</v>
      </c>
      <c r="FQ13" s="94">
        <f t="shared" si="622"/>
        <v>0</v>
      </c>
      <c r="FR13" s="94">
        <f t="shared" si="622"/>
        <v>0</v>
      </c>
      <c r="FS13" s="94">
        <f t="shared" si="622"/>
        <v>75000</v>
      </c>
      <c r="FT13" s="94">
        <f t="shared" si="622"/>
        <v>2250000</v>
      </c>
      <c r="FU13" s="728">
        <f t="shared" si="622"/>
        <v>432000</v>
      </c>
      <c r="FV13" s="728">
        <f t="shared" si="622"/>
        <v>15791635</v>
      </c>
      <c r="FW13" s="94">
        <f t="shared" si="622"/>
        <v>0</v>
      </c>
      <c r="FX13" s="94">
        <f t="shared" si="622"/>
        <v>0</v>
      </c>
      <c r="FY13" s="94">
        <f t="shared" si="622"/>
        <v>0</v>
      </c>
      <c r="FZ13" s="94">
        <f t="shared" si="622"/>
        <v>0</v>
      </c>
      <c r="GA13" s="94">
        <f t="shared" si="622"/>
        <v>0</v>
      </c>
      <c r="GB13" s="94">
        <f t="shared" si="622"/>
        <v>0</v>
      </c>
      <c r="GC13" s="94">
        <f t="shared" si="622"/>
        <v>322950</v>
      </c>
      <c r="GD13" s="94">
        <f t="shared" si="622"/>
        <v>6605450</v>
      </c>
      <c r="GE13" s="94">
        <f t="shared" si="622"/>
        <v>0</v>
      </c>
      <c r="GF13" s="94">
        <f t="shared" si="622"/>
        <v>0</v>
      </c>
      <c r="GG13" s="94">
        <f t="shared" si="622"/>
        <v>0</v>
      </c>
      <c r="GH13" s="94">
        <f t="shared" si="622"/>
        <v>0</v>
      </c>
      <c r="GI13" s="94">
        <f t="shared" si="622"/>
        <v>0</v>
      </c>
      <c r="GJ13" s="94">
        <f t="shared" si="622"/>
        <v>0</v>
      </c>
      <c r="GK13" s="728">
        <f t="shared" si="622"/>
        <v>322950</v>
      </c>
      <c r="GL13" s="728">
        <f t="shared" si="622"/>
        <v>6605450</v>
      </c>
      <c r="GM13" s="94">
        <f t="shared" si="622"/>
        <v>0</v>
      </c>
      <c r="GN13" s="94">
        <f t="shared" si="622"/>
        <v>0</v>
      </c>
      <c r="GO13" s="94">
        <f t="shared" si="622"/>
        <v>0</v>
      </c>
      <c r="GP13" s="94">
        <f t="shared" si="622"/>
        <v>0</v>
      </c>
      <c r="GQ13" s="94">
        <f t="shared" si="622"/>
        <v>0</v>
      </c>
      <c r="GR13" s="94">
        <f t="shared" si="622"/>
        <v>0</v>
      </c>
      <c r="GS13" s="94">
        <f t="shared" si="622"/>
        <v>152950</v>
      </c>
      <c r="GT13" s="94">
        <f t="shared" si="622"/>
        <v>2966925</v>
      </c>
      <c r="GU13" s="94">
        <f t="shared" si="622"/>
        <v>0</v>
      </c>
      <c r="GV13" s="94">
        <f t="shared" si="622"/>
        <v>0</v>
      </c>
      <c r="GW13" s="94">
        <f t="shared" si="622"/>
        <v>0</v>
      </c>
      <c r="GX13" s="94">
        <f t="shared" si="622"/>
        <v>0</v>
      </c>
      <c r="GY13" s="94">
        <f t="shared" si="622"/>
        <v>150</v>
      </c>
      <c r="GZ13" s="94">
        <f t="shared" si="622"/>
        <v>4050</v>
      </c>
      <c r="HA13" s="728">
        <f t="shared" si="622"/>
        <v>153100</v>
      </c>
      <c r="HB13" s="728">
        <f t="shared" si="622"/>
        <v>2970975</v>
      </c>
      <c r="HC13" s="94">
        <f t="shared" ref="HC13:JN13" si="623">SUM(HC14:HC50)</f>
        <v>0</v>
      </c>
      <c r="HD13" s="94">
        <f t="shared" si="623"/>
        <v>0</v>
      </c>
      <c r="HE13" s="94">
        <f t="shared" si="623"/>
        <v>120000</v>
      </c>
      <c r="HF13" s="94">
        <f t="shared" si="623"/>
        <v>6480000</v>
      </c>
      <c r="HG13" s="94">
        <f t="shared" si="623"/>
        <v>0</v>
      </c>
      <c r="HH13" s="94">
        <f t="shared" si="623"/>
        <v>0</v>
      </c>
      <c r="HI13" s="94">
        <f t="shared" si="623"/>
        <v>613000</v>
      </c>
      <c r="HJ13" s="94">
        <f t="shared" si="623"/>
        <v>10292500</v>
      </c>
      <c r="HK13" s="94">
        <f t="shared" si="623"/>
        <v>0</v>
      </c>
      <c r="HL13" s="94">
        <f t="shared" si="623"/>
        <v>0</v>
      </c>
      <c r="HM13" s="94">
        <f t="shared" si="623"/>
        <v>0</v>
      </c>
      <c r="HN13" s="94">
        <f t="shared" si="623"/>
        <v>0</v>
      </c>
      <c r="HO13" s="94">
        <f t="shared" si="623"/>
        <v>600000</v>
      </c>
      <c r="HP13" s="94">
        <f t="shared" si="623"/>
        <v>13800000</v>
      </c>
      <c r="HQ13" s="728">
        <f t="shared" si="623"/>
        <v>1333000</v>
      </c>
      <c r="HR13" s="728">
        <f t="shared" si="623"/>
        <v>30572500</v>
      </c>
      <c r="HS13" s="94">
        <f t="shared" si="623"/>
        <v>0</v>
      </c>
      <c r="HT13" s="94">
        <f t="shared" si="623"/>
        <v>0</v>
      </c>
      <c r="HU13" s="94">
        <f t="shared" si="623"/>
        <v>0</v>
      </c>
      <c r="HV13" s="94">
        <f t="shared" si="623"/>
        <v>0</v>
      </c>
      <c r="HW13" s="94">
        <f t="shared" si="623"/>
        <v>0</v>
      </c>
      <c r="HX13" s="94">
        <f t="shared" si="623"/>
        <v>0</v>
      </c>
      <c r="HY13" s="94">
        <f t="shared" si="623"/>
        <v>146300</v>
      </c>
      <c r="HZ13" s="94">
        <f t="shared" si="623"/>
        <v>3203500</v>
      </c>
      <c r="IA13" s="94">
        <f t="shared" si="623"/>
        <v>0</v>
      </c>
      <c r="IB13" s="94">
        <f t="shared" si="623"/>
        <v>0</v>
      </c>
      <c r="IC13" s="94">
        <f t="shared" si="623"/>
        <v>0</v>
      </c>
      <c r="ID13" s="94">
        <f t="shared" si="623"/>
        <v>0</v>
      </c>
      <c r="IE13" s="94">
        <f t="shared" si="623"/>
        <v>0</v>
      </c>
      <c r="IF13" s="94">
        <f t="shared" si="623"/>
        <v>0</v>
      </c>
      <c r="IG13" s="728">
        <f t="shared" si="623"/>
        <v>146300</v>
      </c>
      <c r="IH13" s="728">
        <f t="shared" si="623"/>
        <v>3203500</v>
      </c>
      <c r="II13" s="94">
        <f t="shared" si="623"/>
        <v>0</v>
      </c>
      <c r="IJ13" s="94">
        <f t="shared" si="623"/>
        <v>0</v>
      </c>
      <c r="IK13" s="94">
        <f t="shared" si="623"/>
        <v>0</v>
      </c>
      <c r="IL13" s="94">
        <f t="shared" si="623"/>
        <v>0</v>
      </c>
      <c r="IM13" s="94">
        <f t="shared" si="623"/>
        <v>0</v>
      </c>
      <c r="IN13" s="94">
        <f t="shared" si="623"/>
        <v>0</v>
      </c>
      <c r="IO13" s="96">
        <f t="shared" si="623"/>
        <v>993000</v>
      </c>
      <c r="IP13" s="96">
        <f t="shared" si="623"/>
        <v>19347080</v>
      </c>
      <c r="IQ13" s="94">
        <f t="shared" si="623"/>
        <v>0</v>
      </c>
      <c r="IR13" s="94">
        <f t="shared" si="623"/>
        <v>0</v>
      </c>
      <c r="IS13" s="94">
        <f t="shared" si="623"/>
        <v>0</v>
      </c>
      <c r="IT13" s="94">
        <f t="shared" si="623"/>
        <v>0</v>
      </c>
      <c r="IU13" s="94">
        <f t="shared" si="623"/>
        <v>0</v>
      </c>
      <c r="IV13" s="94">
        <f t="shared" si="623"/>
        <v>0</v>
      </c>
      <c r="IW13" s="728">
        <f t="shared" si="623"/>
        <v>993000</v>
      </c>
      <c r="IX13" s="728">
        <f t="shared" si="623"/>
        <v>19347080</v>
      </c>
      <c r="IY13" s="94">
        <f t="shared" si="623"/>
        <v>0</v>
      </c>
      <c r="IZ13" s="94">
        <f t="shared" si="623"/>
        <v>0</v>
      </c>
      <c r="JA13" s="94">
        <f t="shared" si="623"/>
        <v>0</v>
      </c>
      <c r="JB13" s="94">
        <f t="shared" si="623"/>
        <v>0</v>
      </c>
      <c r="JC13" s="94">
        <f t="shared" si="623"/>
        <v>0</v>
      </c>
      <c r="JD13" s="94">
        <f t="shared" si="623"/>
        <v>0</v>
      </c>
      <c r="JE13" s="94">
        <f t="shared" si="623"/>
        <v>365758</v>
      </c>
      <c r="JF13" s="94">
        <f t="shared" si="623"/>
        <v>6957620</v>
      </c>
      <c r="JG13" s="94">
        <f t="shared" si="623"/>
        <v>0</v>
      </c>
      <c r="JH13" s="94">
        <f t="shared" si="623"/>
        <v>0</v>
      </c>
      <c r="JI13" s="94">
        <f t="shared" si="623"/>
        <v>0</v>
      </c>
      <c r="JJ13" s="94">
        <f t="shared" si="623"/>
        <v>0</v>
      </c>
      <c r="JK13" s="94">
        <f t="shared" si="623"/>
        <v>10563</v>
      </c>
      <c r="JL13" s="94">
        <f t="shared" si="623"/>
        <v>207974</v>
      </c>
      <c r="JM13" s="728">
        <f t="shared" si="623"/>
        <v>376321</v>
      </c>
      <c r="JN13" s="728">
        <f t="shared" si="623"/>
        <v>7165594</v>
      </c>
      <c r="JO13" s="94">
        <f t="shared" ref="JO13:LZ13" si="624">SUM(JO14:JO50)</f>
        <v>0</v>
      </c>
      <c r="JP13" s="94">
        <f t="shared" si="624"/>
        <v>0</v>
      </c>
      <c r="JQ13" s="94">
        <f t="shared" si="624"/>
        <v>94548</v>
      </c>
      <c r="JR13" s="94">
        <f t="shared" si="624"/>
        <v>7563840</v>
      </c>
      <c r="JS13" s="94">
        <f t="shared" si="624"/>
        <v>0</v>
      </c>
      <c r="JT13" s="94">
        <f t="shared" si="624"/>
        <v>0</v>
      </c>
      <c r="JU13" s="94">
        <f t="shared" si="624"/>
        <v>42284</v>
      </c>
      <c r="JV13" s="94">
        <f t="shared" si="624"/>
        <v>1046749</v>
      </c>
      <c r="JW13" s="94">
        <f t="shared" si="624"/>
        <v>0</v>
      </c>
      <c r="JX13" s="94">
        <f t="shared" si="624"/>
        <v>0</v>
      </c>
      <c r="JY13" s="94">
        <f t="shared" si="624"/>
        <v>0</v>
      </c>
      <c r="JZ13" s="94">
        <f t="shared" si="624"/>
        <v>0</v>
      </c>
      <c r="KA13" s="94">
        <f t="shared" si="624"/>
        <v>0</v>
      </c>
      <c r="KB13" s="94">
        <f t="shared" si="624"/>
        <v>0</v>
      </c>
      <c r="KC13" s="728">
        <f t="shared" si="624"/>
        <v>136832</v>
      </c>
      <c r="KD13" s="728">
        <f t="shared" si="624"/>
        <v>8610589</v>
      </c>
      <c r="KE13" s="94">
        <f t="shared" si="624"/>
        <v>0</v>
      </c>
      <c r="KF13" s="94">
        <f t="shared" si="624"/>
        <v>0</v>
      </c>
      <c r="KG13" s="94">
        <f t="shared" si="624"/>
        <v>60882</v>
      </c>
      <c r="KH13" s="94">
        <f t="shared" si="624"/>
        <v>4242980</v>
      </c>
      <c r="KI13" s="94">
        <f t="shared" si="624"/>
        <v>0</v>
      </c>
      <c r="KJ13" s="94">
        <f t="shared" si="624"/>
        <v>0</v>
      </c>
      <c r="KK13" s="94">
        <f t="shared" si="624"/>
        <v>54804</v>
      </c>
      <c r="KL13" s="94">
        <f t="shared" si="624"/>
        <v>1100340</v>
      </c>
      <c r="KM13" s="94">
        <f t="shared" si="624"/>
        <v>0</v>
      </c>
      <c r="KN13" s="94">
        <f t="shared" si="624"/>
        <v>0</v>
      </c>
      <c r="KO13" s="94">
        <f t="shared" si="624"/>
        <v>0</v>
      </c>
      <c r="KP13" s="94">
        <f t="shared" si="624"/>
        <v>0</v>
      </c>
      <c r="KQ13" s="94">
        <f t="shared" si="624"/>
        <v>0</v>
      </c>
      <c r="KR13" s="94">
        <f t="shared" si="624"/>
        <v>0</v>
      </c>
      <c r="KS13" s="728">
        <f t="shared" si="624"/>
        <v>115686</v>
      </c>
      <c r="KT13" s="728">
        <f t="shared" si="624"/>
        <v>5343320</v>
      </c>
      <c r="KU13" s="94">
        <f t="shared" si="624"/>
        <v>0</v>
      </c>
      <c r="KV13" s="94">
        <f t="shared" si="624"/>
        <v>0</v>
      </c>
      <c r="KW13" s="94">
        <f t="shared" si="624"/>
        <v>782732.2699999999</v>
      </c>
      <c r="KX13" s="94">
        <f t="shared" si="624"/>
        <v>14114048</v>
      </c>
      <c r="KY13" s="94">
        <f t="shared" si="624"/>
        <v>0</v>
      </c>
      <c r="KZ13" s="94">
        <f t="shared" si="624"/>
        <v>0</v>
      </c>
      <c r="LA13" s="94">
        <f t="shared" si="624"/>
        <v>1570473.7300000002</v>
      </c>
      <c r="LB13" s="94">
        <f t="shared" si="624"/>
        <v>29428024</v>
      </c>
      <c r="LC13" s="94">
        <f t="shared" si="624"/>
        <v>0</v>
      </c>
      <c r="LD13" s="94">
        <f t="shared" si="624"/>
        <v>0</v>
      </c>
      <c r="LE13" s="94">
        <f t="shared" si="624"/>
        <v>0</v>
      </c>
      <c r="LF13" s="94">
        <f t="shared" si="624"/>
        <v>0</v>
      </c>
      <c r="LG13" s="94">
        <f t="shared" si="624"/>
        <v>13391.990000000002</v>
      </c>
      <c r="LH13" s="94">
        <f t="shared" si="624"/>
        <v>321406</v>
      </c>
      <c r="LI13" s="728">
        <f t="shared" si="624"/>
        <v>2366597.9900000002</v>
      </c>
      <c r="LJ13" s="728">
        <f t="shared" si="624"/>
        <v>43863478</v>
      </c>
      <c r="LK13" s="94">
        <f t="shared" si="624"/>
        <v>0</v>
      </c>
      <c r="LL13" s="94">
        <f t="shared" si="624"/>
        <v>0</v>
      </c>
      <c r="LM13" s="94">
        <f t="shared" si="624"/>
        <v>0</v>
      </c>
      <c r="LN13" s="94">
        <f t="shared" si="624"/>
        <v>0</v>
      </c>
      <c r="LO13" s="94">
        <f t="shared" si="624"/>
        <v>0</v>
      </c>
      <c r="LP13" s="94">
        <f t="shared" si="624"/>
        <v>0</v>
      </c>
      <c r="LQ13" s="94">
        <f t="shared" si="624"/>
        <v>185146</v>
      </c>
      <c r="LR13" s="94">
        <f t="shared" si="624"/>
        <v>3736339</v>
      </c>
      <c r="LS13" s="94">
        <f t="shared" si="624"/>
        <v>0</v>
      </c>
      <c r="LT13" s="94">
        <f t="shared" si="624"/>
        <v>0</v>
      </c>
      <c r="LU13" s="94">
        <f t="shared" si="624"/>
        <v>0</v>
      </c>
      <c r="LV13" s="94">
        <f t="shared" si="624"/>
        <v>0</v>
      </c>
      <c r="LW13" s="94">
        <f t="shared" si="624"/>
        <v>2515</v>
      </c>
      <c r="LX13" s="94">
        <f t="shared" si="624"/>
        <v>85510</v>
      </c>
      <c r="LY13" s="728">
        <f t="shared" si="624"/>
        <v>187661</v>
      </c>
      <c r="LZ13" s="785">
        <f t="shared" si="624"/>
        <v>3821849</v>
      </c>
      <c r="MA13" s="94">
        <f t="shared" ref="MA13:OL13" si="625">SUM(MA14:MA50)</f>
        <v>30900</v>
      </c>
      <c r="MB13" s="94">
        <f t="shared" si="625"/>
        <v>2626500</v>
      </c>
      <c r="MC13" s="94">
        <f t="shared" si="625"/>
        <v>1756000</v>
      </c>
      <c r="MD13" s="94">
        <f t="shared" si="625"/>
        <v>93159700</v>
      </c>
      <c r="ME13" s="94">
        <f t="shared" si="625"/>
        <v>0</v>
      </c>
      <c r="MF13" s="94">
        <f t="shared" si="625"/>
        <v>0</v>
      </c>
      <c r="MG13" s="94">
        <f t="shared" si="625"/>
        <v>57300</v>
      </c>
      <c r="MH13" s="94">
        <f t="shared" si="625"/>
        <v>1060350</v>
      </c>
      <c r="MI13" s="94">
        <f t="shared" si="625"/>
        <v>0</v>
      </c>
      <c r="MJ13" s="94">
        <f t="shared" si="625"/>
        <v>0</v>
      </c>
      <c r="MK13" s="94">
        <f t="shared" si="625"/>
        <v>0</v>
      </c>
      <c r="ML13" s="94">
        <f t="shared" si="625"/>
        <v>0</v>
      </c>
      <c r="MM13" s="94">
        <f t="shared" si="625"/>
        <v>3200</v>
      </c>
      <c r="MN13" s="94">
        <f t="shared" si="625"/>
        <v>64000</v>
      </c>
      <c r="MO13" s="728">
        <f t="shared" si="625"/>
        <v>1847400</v>
      </c>
      <c r="MP13" s="728">
        <f t="shared" si="625"/>
        <v>96910550</v>
      </c>
      <c r="MQ13" s="94">
        <f t="shared" si="625"/>
        <v>0</v>
      </c>
      <c r="MR13" s="94">
        <f t="shared" si="625"/>
        <v>0</v>
      </c>
      <c r="MS13" s="94">
        <f t="shared" si="625"/>
        <v>68000</v>
      </c>
      <c r="MT13" s="94">
        <f t="shared" si="625"/>
        <v>3567390</v>
      </c>
      <c r="MU13" s="94">
        <f t="shared" si="625"/>
        <v>0</v>
      </c>
      <c r="MV13" s="94">
        <f t="shared" si="625"/>
        <v>0</v>
      </c>
      <c r="MW13" s="94">
        <f t="shared" si="625"/>
        <v>18751</v>
      </c>
      <c r="MX13" s="94">
        <f t="shared" si="625"/>
        <v>435683</v>
      </c>
      <c r="MY13" s="94">
        <f t="shared" si="625"/>
        <v>0</v>
      </c>
      <c r="MZ13" s="94">
        <f t="shared" si="625"/>
        <v>0</v>
      </c>
      <c r="NA13" s="94">
        <f t="shared" si="625"/>
        <v>0</v>
      </c>
      <c r="NB13" s="94">
        <f t="shared" si="625"/>
        <v>0</v>
      </c>
      <c r="NC13" s="94">
        <f t="shared" si="625"/>
        <v>0</v>
      </c>
      <c r="ND13" s="94">
        <f t="shared" si="625"/>
        <v>0</v>
      </c>
      <c r="NE13" s="728">
        <f t="shared" si="625"/>
        <v>86751</v>
      </c>
      <c r="NF13" s="728">
        <f t="shared" si="625"/>
        <v>4003073</v>
      </c>
      <c r="NG13" s="94">
        <f t="shared" si="625"/>
        <v>0</v>
      </c>
      <c r="NH13" s="94">
        <f t="shared" si="625"/>
        <v>0</v>
      </c>
      <c r="NI13" s="94">
        <f>SUM(NI14:NI50)</f>
        <v>4916900</v>
      </c>
      <c r="NJ13" s="94">
        <f>SUM(NJ14:NJ50)</f>
        <v>126626660</v>
      </c>
      <c r="NK13" s="94">
        <f t="shared" si="625"/>
        <v>0</v>
      </c>
      <c r="NL13" s="94">
        <f t="shared" si="625"/>
        <v>0</v>
      </c>
      <c r="NM13" s="94">
        <f t="shared" si="625"/>
        <v>1889600</v>
      </c>
      <c r="NN13" s="94">
        <f t="shared" si="625"/>
        <v>30751800</v>
      </c>
      <c r="NO13" s="94">
        <f t="shared" si="625"/>
        <v>0</v>
      </c>
      <c r="NP13" s="94">
        <f t="shared" si="625"/>
        <v>0</v>
      </c>
      <c r="NQ13" s="94">
        <f t="shared" si="625"/>
        <v>35840</v>
      </c>
      <c r="NR13" s="94">
        <f t="shared" si="625"/>
        <v>652420</v>
      </c>
      <c r="NS13" s="94">
        <f t="shared" si="625"/>
        <v>0</v>
      </c>
      <c r="NT13" s="94">
        <f t="shared" si="625"/>
        <v>0</v>
      </c>
      <c r="NU13" s="728">
        <f t="shared" si="625"/>
        <v>6842340</v>
      </c>
      <c r="NV13" s="728">
        <f t="shared" si="625"/>
        <v>158030880</v>
      </c>
      <c r="NW13" s="94">
        <f t="shared" si="625"/>
        <v>3875</v>
      </c>
      <c r="NX13" s="94">
        <f t="shared" si="625"/>
        <v>136000</v>
      </c>
      <c r="NY13" s="94">
        <f t="shared" si="625"/>
        <v>944649</v>
      </c>
      <c r="NZ13" s="94">
        <f t="shared" si="625"/>
        <v>46572590</v>
      </c>
      <c r="OA13" s="94">
        <f t="shared" si="625"/>
        <v>0</v>
      </c>
      <c r="OB13" s="94">
        <f t="shared" si="625"/>
        <v>0</v>
      </c>
      <c r="OC13" s="94">
        <f t="shared" si="625"/>
        <v>55332</v>
      </c>
      <c r="OD13" s="94">
        <f t="shared" si="625"/>
        <v>1052718</v>
      </c>
      <c r="OE13" s="94">
        <f t="shared" si="625"/>
        <v>0</v>
      </c>
      <c r="OF13" s="94">
        <f t="shared" si="625"/>
        <v>0</v>
      </c>
      <c r="OG13" s="94">
        <f t="shared" si="625"/>
        <v>0</v>
      </c>
      <c r="OH13" s="94">
        <f t="shared" si="625"/>
        <v>0</v>
      </c>
      <c r="OI13" s="94">
        <f t="shared" si="625"/>
        <v>0</v>
      </c>
      <c r="OJ13" s="94">
        <f t="shared" si="625"/>
        <v>0</v>
      </c>
      <c r="OK13" s="728">
        <f t="shared" si="625"/>
        <v>1003856</v>
      </c>
      <c r="OL13" s="728">
        <f t="shared" si="625"/>
        <v>47761308</v>
      </c>
      <c r="OM13" s="94">
        <f t="shared" ref="OM13:QX13" si="626">SUM(OM14:OM50)</f>
        <v>46900824</v>
      </c>
      <c r="ON13" s="94">
        <f t="shared" si="626"/>
        <v>285266320</v>
      </c>
      <c r="OO13" s="94">
        <f t="shared" si="626"/>
        <v>570305</v>
      </c>
      <c r="OP13" s="94">
        <f t="shared" si="626"/>
        <v>32997975</v>
      </c>
      <c r="OQ13" s="94">
        <f t="shared" si="626"/>
        <v>0</v>
      </c>
      <c r="OR13" s="94">
        <f t="shared" si="626"/>
        <v>0</v>
      </c>
      <c r="OS13" s="94">
        <f t="shared" si="626"/>
        <v>28785.5</v>
      </c>
      <c r="OT13" s="94">
        <f t="shared" si="626"/>
        <v>650755.5</v>
      </c>
      <c r="OU13" s="94">
        <f t="shared" si="626"/>
        <v>0</v>
      </c>
      <c r="OV13" s="94">
        <f t="shared" si="626"/>
        <v>0</v>
      </c>
      <c r="OW13" s="94">
        <f t="shared" si="626"/>
        <v>0</v>
      </c>
      <c r="OX13" s="94">
        <f t="shared" si="626"/>
        <v>0</v>
      </c>
      <c r="OY13" s="94">
        <f t="shared" si="626"/>
        <v>0</v>
      </c>
      <c r="OZ13" s="94">
        <f t="shared" si="626"/>
        <v>0</v>
      </c>
      <c r="PA13" s="728">
        <f t="shared" si="626"/>
        <v>47499914.5</v>
      </c>
      <c r="PB13" s="728">
        <f t="shared" si="626"/>
        <v>318915050.5</v>
      </c>
      <c r="PC13" s="94">
        <f t="shared" si="626"/>
        <v>220</v>
      </c>
      <c r="PD13" s="94">
        <f t="shared" si="626"/>
        <v>13200</v>
      </c>
      <c r="PE13" s="94">
        <f t="shared" si="626"/>
        <v>24975</v>
      </c>
      <c r="PF13" s="94">
        <f t="shared" si="626"/>
        <v>1498500</v>
      </c>
      <c r="PG13" s="94">
        <f t="shared" si="626"/>
        <v>0</v>
      </c>
      <c r="PH13" s="94">
        <f t="shared" si="626"/>
        <v>0</v>
      </c>
      <c r="PI13" s="94">
        <f t="shared" si="626"/>
        <v>404459</v>
      </c>
      <c r="PJ13" s="94">
        <f t="shared" si="626"/>
        <v>7124525</v>
      </c>
      <c r="PK13" s="94">
        <f t="shared" si="626"/>
        <v>0</v>
      </c>
      <c r="PL13" s="94">
        <f t="shared" si="626"/>
        <v>0</v>
      </c>
      <c r="PM13" s="94">
        <f t="shared" si="626"/>
        <v>0</v>
      </c>
      <c r="PN13" s="94">
        <f t="shared" si="626"/>
        <v>0</v>
      </c>
      <c r="PO13" s="94">
        <f t="shared" si="626"/>
        <v>0</v>
      </c>
      <c r="PP13" s="94">
        <f t="shared" si="626"/>
        <v>0</v>
      </c>
      <c r="PQ13" s="728">
        <f t="shared" si="626"/>
        <v>429654</v>
      </c>
      <c r="PR13" s="728">
        <f t="shared" si="626"/>
        <v>8636225</v>
      </c>
      <c r="PS13" s="94">
        <f t="shared" si="626"/>
        <v>0</v>
      </c>
      <c r="PT13" s="94">
        <f t="shared" si="626"/>
        <v>0</v>
      </c>
      <c r="PU13" s="94">
        <f>SUM(PU14:PU50)</f>
        <v>1371330</v>
      </c>
      <c r="PV13" s="94">
        <f>SUM(PV14:PV50)</f>
        <v>52056900</v>
      </c>
      <c r="PW13" s="94">
        <f t="shared" si="626"/>
        <v>0</v>
      </c>
      <c r="PX13" s="94">
        <f t="shared" si="626"/>
        <v>0</v>
      </c>
      <c r="PY13" s="94">
        <f t="shared" si="626"/>
        <v>1126450</v>
      </c>
      <c r="PZ13" s="94">
        <f t="shared" si="626"/>
        <v>21322931.410999998</v>
      </c>
      <c r="QA13" s="94">
        <f t="shared" si="626"/>
        <v>1714160</v>
      </c>
      <c r="QB13" s="94">
        <f t="shared" si="626"/>
        <v>41091980</v>
      </c>
      <c r="QC13" s="94">
        <f t="shared" si="626"/>
        <v>685670</v>
      </c>
      <c r="QD13" s="94">
        <f t="shared" si="626"/>
        <v>12945414</v>
      </c>
      <c r="QE13" s="94">
        <f t="shared" si="626"/>
        <v>0</v>
      </c>
      <c r="QF13" s="94">
        <f t="shared" si="626"/>
        <v>0</v>
      </c>
      <c r="QG13" s="728">
        <f>SUM(QG14:QG50)</f>
        <v>4897610</v>
      </c>
      <c r="QH13" s="728">
        <f>SUM(QH14:QH50)</f>
        <v>127417225.411</v>
      </c>
      <c r="QI13" s="94">
        <f t="shared" si="626"/>
        <v>0</v>
      </c>
      <c r="QJ13" s="94">
        <f t="shared" si="626"/>
        <v>0</v>
      </c>
      <c r="QK13" s="94">
        <f t="shared" si="626"/>
        <v>0</v>
      </c>
      <c r="QL13" s="94">
        <f t="shared" si="626"/>
        <v>0</v>
      </c>
      <c r="QM13" s="94">
        <f t="shared" si="626"/>
        <v>0</v>
      </c>
      <c r="QN13" s="94">
        <f t="shared" si="626"/>
        <v>0</v>
      </c>
      <c r="QO13" s="94">
        <f t="shared" si="626"/>
        <v>4094000</v>
      </c>
      <c r="QP13" s="94">
        <f t="shared" si="626"/>
        <v>79522000</v>
      </c>
      <c r="QQ13" s="94">
        <f t="shared" si="626"/>
        <v>0</v>
      </c>
      <c r="QR13" s="94">
        <f t="shared" si="626"/>
        <v>0</v>
      </c>
      <c r="QS13" s="94">
        <f t="shared" si="626"/>
        <v>0</v>
      </c>
      <c r="QT13" s="94">
        <f t="shared" si="626"/>
        <v>0</v>
      </c>
      <c r="QU13" s="94">
        <f t="shared" si="626"/>
        <v>0</v>
      </c>
      <c r="QV13" s="94">
        <f t="shared" si="626"/>
        <v>0</v>
      </c>
      <c r="QW13" s="728">
        <f t="shared" si="626"/>
        <v>4094000</v>
      </c>
      <c r="QX13" s="728">
        <f t="shared" si="626"/>
        <v>79522000</v>
      </c>
      <c r="QY13" s="94">
        <f t="shared" ref="QY13:TJ13" si="627">SUM(QY14:QY50)</f>
        <v>0</v>
      </c>
      <c r="QZ13" s="94">
        <f t="shared" si="627"/>
        <v>0</v>
      </c>
      <c r="RA13" s="94">
        <f t="shared" si="627"/>
        <v>0</v>
      </c>
      <c r="RB13" s="94">
        <f t="shared" si="627"/>
        <v>0</v>
      </c>
      <c r="RC13" s="94">
        <f t="shared" si="627"/>
        <v>0</v>
      </c>
      <c r="RD13" s="94">
        <f t="shared" si="627"/>
        <v>0</v>
      </c>
      <c r="RE13" s="94">
        <f t="shared" si="627"/>
        <v>4635</v>
      </c>
      <c r="RF13" s="94">
        <f t="shared" si="627"/>
        <v>116095</v>
      </c>
      <c r="RG13" s="94">
        <f t="shared" si="627"/>
        <v>0</v>
      </c>
      <c r="RH13" s="94">
        <f t="shared" si="627"/>
        <v>0</v>
      </c>
      <c r="RI13" s="94">
        <f t="shared" si="627"/>
        <v>0</v>
      </c>
      <c r="RJ13" s="94">
        <f t="shared" si="627"/>
        <v>0</v>
      </c>
      <c r="RK13" s="94">
        <f t="shared" si="627"/>
        <v>0</v>
      </c>
      <c r="RL13" s="94">
        <f t="shared" si="627"/>
        <v>0</v>
      </c>
      <c r="RM13" s="728">
        <f t="shared" si="627"/>
        <v>4635</v>
      </c>
      <c r="RN13" s="728">
        <f t="shared" si="627"/>
        <v>116095</v>
      </c>
      <c r="RO13" s="94">
        <f t="shared" si="627"/>
        <v>0</v>
      </c>
      <c r="RP13" s="94">
        <f t="shared" si="627"/>
        <v>0</v>
      </c>
      <c r="RQ13" s="94">
        <f t="shared" si="627"/>
        <v>0</v>
      </c>
      <c r="RR13" s="94">
        <f t="shared" si="627"/>
        <v>0</v>
      </c>
      <c r="RS13" s="94">
        <f t="shared" si="627"/>
        <v>0</v>
      </c>
      <c r="RT13" s="94">
        <f t="shared" si="627"/>
        <v>0</v>
      </c>
      <c r="RU13" s="94">
        <f t="shared" si="627"/>
        <v>22810</v>
      </c>
      <c r="RV13" s="94">
        <f t="shared" si="627"/>
        <v>478000</v>
      </c>
      <c r="RW13" s="94">
        <f t="shared" si="627"/>
        <v>0</v>
      </c>
      <c r="RX13" s="94">
        <f t="shared" si="627"/>
        <v>0</v>
      </c>
      <c r="RY13" s="94">
        <f t="shared" si="627"/>
        <v>0</v>
      </c>
      <c r="RZ13" s="94">
        <f t="shared" si="627"/>
        <v>0</v>
      </c>
      <c r="SA13" s="94">
        <f t="shared" si="627"/>
        <v>0</v>
      </c>
      <c r="SB13" s="94">
        <f t="shared" si="627"/>
        <v>0</v>
      </c>
      <c r="SC13" s="728">
        <f t="shared" si="627"/>
        <v>22810</v>
      </c>
      <c r="SD13" s="728">
        <f t="shared" si="627"/>
        <v>478000</v>
      </c>
      <c r="SE13" s="94">
        <f t="shared" si="627"/>
        <v>0</v>
      </c>
      <c r="SF13" s="94">
        <f t="shared" si="627"/>
        <v>0</v>
      </c>
      <c r="SG13" s="94">
        <f t="shared" si="627"/>
        <v>0</v>
      </c>
      <c r="SH13" s="94">
        <f t="shared" si="627"/>
        <v>0</v>
      </c>
      <c r="SI13" s="94">
        <f t="shared" si="627"/>
        <v>0</v>
      </c>
      <c r="SJ13" s="94">
        <f t="shared" si="627"/>
        <v>0</v>
      </c>
      <c r="SK13" s="94">
        <f t="shared" si="627"/>
        <v>16200</v>
      </c>
      <c r="SL13" s="94">
        <f t="shared" si="627"/>
        <v>307800</v>
      </c>
      <c r="SM13" s="94">
        <f t="shared" si="627"/>
        <v>0</v>
      </c>
      <c r="SN13" s="94">
        <f t="shared" si="627"/>
        <v>0</v>
      </c>
      <c r="SO13" s="94">
        <f t="shared" si="627"/>
        <v>0</v>
      </c>
      <c r="SP13" s="94">
        <f t="shared" si="627"/>
        <v>0</v>
      </c>
      <c r="SQ13" s="94">
        <f t="shared" si="627"/>
        <v>0</v>
      </c>
      <c r="SR13" s="94">
        <f t="shared" si="627"/>
        <v>0</v>
      </c>
      <c r="SS13" s="728">
        <f t="shared" si="627"/>
        <v>16200</v>
      </c>
      <c r="ST13" s="728">
        <f t="shared" si="627"/>
        <v>307800</v>
      </c>
      <c r="SU13" s="94">
        <f t="shared" si="627"/>
        <v>0</v>
      </c>
      <c r="SV13" s="94">
        <f t="shared" si="627"/>
        <v>0</v>
      </c>
      <c r="SW13" s="94">
        <f t="shared" si="627"/>
        <v>0</v>
      </c>
      <c r="SX13" s="94">
        <f t="shared" si="627"/>
        <v>0</v>
      </c>
      <c r="SY13" s="94">
        <f t="shared" si="627"/>
        <v>0</v>
      </c>
      <c r="SZ13" s="94">
        <f t="shared" si="627"/>
        <v>0</v>
      </c>
      <c r="TA13" s="94">
        <f t="shared" si="627"/>
        <v>30025</v>
      </c>
      <c r="TB13" s="94">
        <f t="shared" si="627"/>
        <v>657468</v>
      </c>
      <c r="TC13" s="94">
        <f t="shared" si="627"/>
        <v>0</v>
      </c>
      <c r="TD13" s="94">
        <f t="shared" si="627"/>
        <v>0</v>
      </c>
      <c r="TE13" s="94">
        <f t="shared" si="627"/>
        <v>0</v>
      </c>
      <c r="TF13" s="94">
        <f t="shared" si="627"/>
        <v>0</v>
      </c>
      <c r="TG13" s="94">
        <f t="shared" si="627"/>
        <v>0</v>
      </c>
      <c r="TH13" s="94">
        <f t="shared" si="627"/>
        <v>0</v>
      </c>
      <c r="TI13" s="728">
        <f t="shared" si="627"/>
        <v>30025</v>
      </c>
      <c r="TJ13" s="728">
        <f t="shared" si="627"/>
        <v>657468</v>
      </c>
      <c r="TK13" s="94">
        <f t="shared" ref="TK13:VV13" si="628">SUM(TK14:TK50)</f>
        <v>0</v>
      </c>
      <c r="TL13" s="94">
        <f t="shared" si="628"/>
        <v>0</v>
      </c>
      <c r="TM13" s="94">
        <f t="shared" si="628"/>
        <v>0</v>
      </c>
      <c r="TN13" s="94">
        <f t="shared" si="628"/>
        <v>0</v>
      </c>
      <c r="TO13" s="94">
        <f t="shared" si="628"/>
        <v>0</v>
      </c>
      <c r="TP13" s="94">
        <f t="shared" si="628"/>
        <v>0</v>
      </c>
      <c r="TQ13" s="94">
        <f t="shared" si="628"/>
        <v>4600</v>
      </c>
      <c r="TR13" s="94">
        <f t="shared" si="628"/>
        <v>102400</v>
      </c>
      <c r="TS13" s="94">
        <f t="shared" si="628"/>
        <v>0</v>
      </c>
      <c r="TT13" s="94">
        <f t="shared" si="628"/>
        <v>0</v>
      </c>
      <c r="TU13" s="94">
        <f t="shared" si="628"/>
        <v>250</v>
      </c>
      <c r="TV13" s="94">
        <f t="shared" si="628"/>
        <v>8000</v>
      </c>
      <c r="TW13" s="94">
        <f t="shared" si="628"/>
        <v>0</v>
      </c>
      <c r="TX13" s="94">
        <f t="shared" si="628"/>
        <v>0</v>
      </c>
      <c r="TY13" s="728">
        <f t="shared" si="628"/>
        <v>4850</v>
      </c>
      <c r="TZ13" s="728">
        <f t="shared" si="628"/>
        <v>110400</v>
      </c>
      <c r="UA13" s="94">
        <f t="shared" si="628"/>
        <v>0</v>
      </c>
      <c r="UB13" s="94">
        <f t="shared" si="628"/>
        <v>0</v>
      </c>
      <c r="UC13" s="94">
        <f t="shared" si="628"/>
        <v>0</v>
      </c>
      <c r="UD13" s="94">
        <f t="shared" si="628"/>
        <v>0</v>
      </c>
      <c r="UE13" s="94">
        <f t="shared" si="628"/>
        <v>0</v>
      </c>
      <c r="UF13" s="94">
        <f t="shared" si="628"/>
        <v>0</v>
      </c>
      <c r="UG13" s="94">
        <f t="shared" si="628"/>
        <v>19100</v>
      </c>
      <c r="UH13" s="94">
        <f t="shared" si="628"/>
        <v>349760</v>
      </c>
      <c r="UI13" s="94">
        <f t="shared" si="628"/>
        <v>0</v>
      </c>
      <c r="UJ13" s="94">
        <f t="shared" si="628"/>
        <v>0</v>
      </c>
      <c r="UK13" s="94">
        <f t="shared" si="628"/>
        <v>0</v>
      </c>
      <c r="UL13" s="94">
        <f t="shared" si="628"/>
        <v>0</v>
      </c>
      <c r="UM13" s="94">
        <f t="shared" si="628"/>
        <v>0</v>
      </c>
      <c r="UN13" s="94">
        <f t="shared" si="628"/>
        <v>0</v>
      </c>
      <c r="UO13" s="728">
        <f t="shared" si="628"/>
        <v>19100</v>
      </c>
      <c r="UP13" s="728">
        <f t="shared" si="628"/>
        <v>349760</v>
      </c>
      <c r="UQ13" s="94">
        <f t="shared" si="628"/>
        <v>0</v>
      </c>
      <c r="UR13" s="94">
        <f t="shared" si="628"/>
        <v>0</v>
      </c>
      <c r="US13" s="94">
        <f t="shared" si="628"/>
        <v>214543</v>
      </c>
      <c r="UT13" s="94">
        <f t="shared" si="628"/>
        <v>2327488</v>
      </c>
      <c r="UU13" s="94">
        <f>SUM(UU14:UU50)</f>
        <v>0</v>
      </c>
      <c r="UV13" s="94">
        <f>SUM(UV14:UV50)</f>
        <v>0</v>
      </c>
      <c r="UW13" s="94">
        <f>SUM(UW14:UW50)</f>
        <v>7295</v>
      </c>
      <c r="UX13" s="94">
        <f>SUM(UX14:UX50)</f>
        <v>138605</v>
      </c>
      <c r="UY13" s="94">
        <f t="shared" si="628"/>
        <v>0</v>
      </c>
      <c r="UZ13" s="94">
        <f t="shared" si="628"/>
        <v>0</v>
      </c>
      <c r="VA13" s="94">
        <f t="shared" si="628"/>
        <v>0</v>
      </c>
      <c r="VB13" s="94">
        <f t="shared" si="628"/>
        <v>0</v>
      </c>
      <c r="VC13" s="94">
        <f t="shared" si="628"/>
        <v>0</v>
      </c>
      <c r="VD13" s="94">
        <f t="shared" si="628"/>
        <v>0</v>
      </c>
      <c r="VE13" s="728">
        <f t="shared" si="628"/>
        <v>221838</v>
      </c>
      <c r="VF13" s="728">
        <f t="shared" si="628"/>
        <v>2466093</v>
      </c>
      <c r="VG13" s="94">
        <f t="shared" si="628"/>
        <v>0</v>
      </c>
      <c r="VH13" s="94">
        <f t="shared" si="628"/>
        <v>0</v>
      </c>
      <c r="VI13" s="94">
        <f t="shared" si="628"/>
        <v>10615</v>
      </c>
      <c r="VJ13" s="94">
        <f t="shared" si="628"/>
        <v>483116.7</v>
      </c>
      <c r="VK13" s="94">
        <f t="shared" si="628"/>
        <v>0</v>
      </c>
      <c r="VL13" s="94">
        <f t="shared" si="628"/>
        <v>0</v>
      </c>
      <c r="VM13" s="94">
        <f t="shared" si="628"/>
        <v>21309.200000000001</v>
      </c>
      <c r="VN13" s="94">
        <f t="shared" si="628"/>
        <v>425513</v>
      </c>
      <c r="VO13" s="94">
        <f t="shared" si="628"/>
        <v>0</v>
      </c>
      <c r="VP13" s="94">
        <f t="shared" si="628"/>
        <v>0</v>
      </c>
      <c r="VQ13" s="94">
        <f t="shared" si="628"/>
        <v>0</v>
      </c>
      <c r="VR13" s="94">
        <f t="shared" si="628"/>
        <v>0</v>
      </c>
      <c r="VS13" s="94">
        <f t="shared" si="628"/>
        <v>0</v>
      </c>
      <c r="VT13" s="94">
        <f t="shared" si="628"/>
        <v>0</v>
      </c>
      <c r="VU13" s="728">
        <f t="shared" si="628"/>
        <v>31924.2</v>
      </c>
      <c r="VV13" s="728">
        <f t="shared" si="628"/>
        <v>908629.7</v>
      </c>
      <c r="VW13" s="94">
        <f t="shared" ref="VW13:WL13" si="629">SUM(VW14:VW50)</f>
        <v>0</v>
      </c>
      <c r="VX13" s="94">
        <f t="shared" si="629"/>
        <v>0</v>
      </c>
      <c r="VY13" s="94">
        <f t="shared" si="629"/>
        <v>484899</v>
      </c>
      <c r="VZ13" s="94">
        <f t="shared" si="629"/>
        <v>18249729</v>
      </c>
      <c r="WA13" s="94">
        <f t="shared" si="629"/>
        <v>0</v>
      </c>
      <c r="WB13" s="94">
        <f t="shared" si="629"/>
        <v>0</v>
      </c>
      <c r="WC13" s="94">
        <f t="shared" si="629"/>
        <v>377903</v>
      </c>
      <c r="WD13" s="94">
        <f t="shared" si="629"/>
        <v>9752835</v>
      </c>
      <c r="WE13" s="94">
        <f t="shared" si="629"/>
        <v>0</v>
      </c>
      <c r="WF13" s="94">
        <f t="shared" si="629"/>
        <v>0</v>
      </c>
      <c r="WG13" s="94">
        <f t="shared" si="629"/>
        <v>0</v>
      </c>
      <c r="WH13" s="94">
        <f t="shared" si="629"/>
        <v>0</v>
      </c>
      <c r="WI13" s="94">
        <f t="shared" si="629"/>
        <v>10185</v>
      </c>
      <c r="WJ13" s="94">
        <f t="shared" si="629"/>
        <v>203700</v>
      </c>
      <c r="WK13" s="728">
        <f t="shared" si="629"/>
        <v>872987</v>
      </c>
      <c r="WL13" s="728">
        <f t="shared" si="629"/>
        <v>28206264</v>
      </c>
      <c r="WM13" s="95"/>
      <c r="WN13" s="96">
        <f>SUM(WN14:WN50)</f>
        <v>47094474</v>
      </c>
      <c r="WO13" s="96">
        <f t="shared" ref="WO13:XC13" si="630">SUM(WO14:WO50)</f>
        <v>289366046</v>
      </c>
      <c r="WP13" s="96">
        <f t="shared" si="630"/>
        <v>22313374.026231226</v>
      </c>
      <c r="WQ13" s="96">
        <f t="shared" si="630"/>
        <v>784969009.83353615</v>
      </c>
      <c r="WR13" s="96">
        <f t="shared" si="630"/>
        <v>0</v>
      </c>
      <c r="WS13" s="96">
        <f t="shared" si="630"/>
        <v>0</v>
      </c>
      <c r="WT13" s="96">
        <f t="shared" si="630"/>
        <v>27493589.43</v>
      </c>
      <c r="WU13" s="96">
        <f t="shared" si="630"/>
        <v>561826946.83910108</v>
      </c>
      <c r="WV13" s="96">
        <f t="shared" si="630"/>
        <v>1745565</v>
      </c>
      <c r="WW13" s="96">
        <f t="shared" si="630"/>
        <v>41709284</v>
      </c>
      <c r="WX13" s="96">
        <f t="shared" si="630"/>
        <v>731767</v>
      </c>
      <c r="WY13" s="96">
        <f t="shared" si="630"/>
        <v>13845488</v>
      </c>
      <c r="WZ13" s="96">
        <f t="shared" si="630"/>
        <v>723224.99</v>
      </c>
      <c r="XA13" s="96">
        <f t="shared" si="630"/>
        <v>17107886</v>
      </c>
      <c r="XB13" s="96">
        <f t="shared" si="630"/>
        <v>100101994.44623122</v>
      </c>
      <c r="XC13" s="96">
        <f t="shared" si="630"/>
        <v>1708824660.6726377</v>
      </c>
      <c r="XD13" s="633" t="s">
        <v>170</v>
      </c>
      <c r="XE13" s="96">
        <f>SUM(XE14:XE50)</f>
        <v>330112456.6872229</v>
      </c>
      <c r="XF13" s="96">
        <f>SUM(XF14:XF50)</f>
        <v>5603264024.4083328</v>
      </c>
      <c r="XG13" s="633" t="s">
        <v>617</v>
      </c>
      <c r="XH13" s="96">
        <f t="shared" ref="XH13:XI13" si="631">SUM(XH14:XH50)</f>
        <v>681059402.2634542</v>
      </c>
      <c r="XI13" s="96">
        <f t="shared" si="631"/>
        <v>11043268690.802658</v>
      </c>
      <c r="XJ13" s="633"/>
      <c r="XK13" s="96">
        <f>SUM(XK14:XK50)</f>
        <v>774415158.92607832</v>
      </c>
      <c r="XL13" s="96">
        <f t="shared" ref="XL13:XR13" si="632">SUM(XL14:XL50)</f>
        <v>282359631.46421683</v>
      </c>
      <c r="XM13" s="96">
        <f t="shared" si="632"/>
        <v>0</v>
      </c>
      <c r="XN13" s="96">
        <f t="shared" si="632"/>
        <v>356728672.96641654</v>
      </c>
      <c r="XO13" s="96">
        <f t="shared" si="632"/>
        <v>16250959.000366</v>
      </c>
      <c r="XP13" s="96">
        <f t="shared" si="632"/>
        <v>6969165</v>
      </c>
      <c r="XQ13" s="96">
        <f t="shared" si="632"/>
        <v>5609405.8600000003</v>
      </c>
      <c r="XR13" s="96">
        <f t="shared" si="632"/>
        <v>1442332993.2170777</v>
      </c>
      <c r="XS13" s="633"/>
      <c r="XT13" s="96">
        <f>SUM(XT14:XT50)</f>
        <v>3994041159.9863362</v>
      </c>
      <c r="XU13" s="96">
        <f t="shared" ref="XU13:YA13" si="633">SUM(XU14:XU50)</f>
        <v>9677403259.5202045</v>
      </c>
      <c r="XV13" s="96">
        <f t="shared" si="633"/>
        <v>0</v>
      </c>
      <c r="XW13" s="96">
        <f t="shared" si="633"/>
        <v>7160588868.2689152</v>
      </c>
      <c r="XX13" s="96">
        <f t="shared" si="633"/>
        <v>389136464.01499999</v>
      </c>
      <c r="XY13" s="96">
        <f t="shared" si="633"/>
        <v>129078479</v>
      </c>
      <c r="XZ13" s="96">
        <f t="shared" si="633"/>
        <v>114397825</v>
      </c>
      <c r="YA13" s="96">
        <f t="shared" si="633"/>
        <v>21464646055.790459</v>
      </c>
      <c r="YB13" s="94"/>
      <c r="YC13" s="94"/>
      <c r="YD13" s="94"/>
      <c r="YE13" s="94"/>
      <c r="YF13" s="94"/>
      <c r="YG13" s="94"/>
      <c r="YH13" s="94"/>
      <c r="YI13" s="94"/>
      <c r="YJ13" s="94"/>
      <c r="YK13" s="94"/>
      <c r="YL13" s="94"/>
      <c r="YM13" s="94"/>
      <c r="YN13" s="94"/>
      <c r="YO13" s="94"/>
      <c r="YP13" s="94"/>
      <c r="YQ13" s="94"/>
      <c r="YR13" s="94"/>
      <c r="YS13" s="94"/>
      <c r="YT13" s="94"/>
      <c r="YU13" s="94"/>
      <c r="YV13" s="94"/>
      <c r="YW13" s="94"/>
      <c r="YX13" s="94"/>
      <c r="YY13" s="94"/>
      <c r="YZ13" s="94"/>
      <c r="ZA13" s="94"/>
      <c r="ZB13" s="94"/>
      <c r="ZC13" s="94"/>
      <c r="ZD13" s="94"/>
      <c r="ZE13" s="94"/>
      <c r="ZF13" s="94"/>
      <c r="ZG13" s="94"/>
      <c r="ZH13" s="94"/>
      <c r="ZI13" s="94"/>
      <c r="ZJ13" s="94"/>
      <c r="ZK13" s="94"/>
      <c r="ZL13" s="94"/>
      <c r="ZM13" s="94"/>
      <c r="ZN13" s="94"/>
      <c r="ZO13" s="94"/>
      <c r="ZP13" s="94"/>
      <c r="ZQ13" s="94"/>
      <c r="ZR13" s="94"/>
      <c r="ZS13" s="94"/>
      <c r="ZT13" s="94"/>
      <c r="ZU13" s="94"/>
      <c r="ZV13" s="94"/>
      <c r="ZW13" s="94"/>
      <c r="ZX13" s="94"/>
      <c r="ZY13" s="94"/>
      <c r="ZZ13" s="94"/>
      <c r="AAA13" s="94"/>
      <c r="AAB13" s="94"/>
      <c r="AAC13" s="94"/>
      <c r="AAD13" s="94"/>
      <c r="AAE13" s="94"/>
      <c r="AAF13" s="94"/>
      <c r="AAG13" s="94"/>
      <c r="AAH13" s="94"/>
      <c r="AAI13" s="94"/>
      <c r="AAJ13" s="94"/>
      <c r="AAK13" s="94"/>
      <c r="AAL13" s="94"/>
      <c r="AAM13" s="94"/>
      <c r="AAN13" s="94"/>
      <c r="AAO13" s="94"/>
      <c r="AAP13" s="94"/>
      <c r="AAQ13" s="94"/>
      <c r="AAR13" s="94"/>
      <c r="AAS13" s="94"/>
      <c r="AAT13" s="94"/>
      <c r="AAU13" s="94"/>
      <c r="AAV13" s="94"/>
      <c r="AAW13" s="94"/>
      <c r="AAX13" s="94"/>
      <c r="AAY13" s="94"/>
      <c r="AAZ13" s="94"/>
      <c r="ABA13" s="94"/>
      <c r="ABB13" s="94"/>
      <c r="ABC13" s="94"/>
      <c r="ABD13" s="94"/>
      <c r="ABE13" s="94"/>
      <c r="ABF13" s="94"/>
      <c r="ABG13" s="94"/>
      <c r="ABH13" s="94"/>
      <c r="ABI13" s="94"/>
      <c r="ABJ13" s="94"/>
      <c r="ABK13" s="94"/>
      <c r="ABL13" s="94"/>
      <c r="ABM13" s="94"/>
      <c r="ABN13" s="94"/>
      <c r="ABO13" s="94"/>
      <c r="ABP13" s="94"/>
      <c r="ABQ13" s="94"/>
      <c r="ABR13" s="94"/>
      <c r="ABS13" s="94"/>
      <c r="ABT13" s="94"/>
      <c r="ABU13" s="94"/>
      <c r="ABV13" s="94"/>
      <c r="ABW13" s="94"/>
      <c r="ABX13" s="94"/>
      <c r="ABY13" s="94"/>
      <c r="ABZ13" s="94"/>
      <c r="ACA13" s="94"/>
      <c r="ACB13" s="94"/>
      <c r="ACC13" s="94"/>
      <c r="ACD13" s="94"/>
      <c r="ACE13" s="94"/>
      <c r="ACF13" s="94"/>
      <c r="ACG13" s="94"/>
      <c r="ACH13" s="94"/>
      <c r="ACI13" s="94"/>
      <c r="ACJ13" s="94"/>
      <c r="ACK13" s="94"/>
      <c r="ACL13" s="94"/>
      <c r="ACM13" s="94"/>
      <c r="ACN13" s="94"/>
      <c r="ACO13" s="94"/>
      <c r="ACP13" s="94"/>
      <c r="ACQ13" s="94"/>
      <c r="ACR13" s="94"/>
      <c r="ACS13" s="94"/>
      <c r="ACT13" s="94"/>
      <c r="ACU13" s="94"/>
      <c r="ACV13" s="94"/>
      <c r="ACW13" s="94"/>
      <c r="ACX13" s="94"/>
      <c r="ACY13" s="94"/>
      <c r="ACZ13" s="94"/>
      <c r="ADA13" s="94"/>
      <c r="ADB13" s="94"/>
      <c r="ADC13" s="94"/>
      <c r="ADD13" s="94"/>
      <c r="ADE13" s="94"/>
      <c r="ADF13" s="94"/>
      <c r="ADG13" s="94"/>
      <c r="ADH13" s="94"/>
      <c r="ADI13" s="94"/>
      <c r="ADJ13" s="94"/>
      <c r="ADK13" s="94"/>
      <c r="ADL13" s="94"/>
      <c r="ADM13" s="94"/>
      <c r="ADN13" s="94"/>
      <c r="ADO13" s="94"/>
      <c r="ADP13" s="94"/>
      <c r="ADQ13" s="94"/>
      <c r="ADR13" s="94"/>
      <c r="ADS13" s="94"/>
      <c r="ADT13" s="94"/>
      <c r="ADU13" s="94"/>
      <c r="ADV13" s="94"/>
      <c r="ADW13" s="94"/>
      <c r="ADX13" s="94"/>
      <c r="ADY13" s="94"/>
      <c r="ADZ13" s="94"/>
      <c r="AEA13" s="94"/>
      <c r="AEB13" s="94"/>
      <c r="AEC13" s="94"/>
      <c r="AED13" s="94"/>
      <c r="AEE13" s="94"/>
      <c r="AEF13" s="94"/>
      <c r="AEG13" s="94"/>
      <c r="AEH13" s="94"/>
      <c r="AEI13" s="94"/>
      <c r="AEJ13" s="94"/>
      <c r="AEK13" s="94"/>
      <c r="AEL13" s="94"/>
      <c r="AEM13" s="94"/>
      <c r="AEN13" s="94"/>
      <c r="AEO13" s="94"/>
      <c r="AEP13" s="94"/>
      <c r="AEQ13" s="94"/>
      <c r="AER13" s="94"/>
      <c r="AES13" s="94"/>
      <c r="AET13" s="94"/>
      <c r="AEU13" s="94"/>
      <c r="AEV13" s="94"/>
      <c r="AEW13" s="94"/>
      <c r="AEX13" s="94"/>
      <c r="AEY13" s="94"/>
      <c r="AEZ13" s="94"/>
      <c r="AFA13" s="94"/>
      <c r="AFB13" s="94"/>
      <c r="AFC13" s="94"/>
      <c r="AFD13" s="94"/>
      <c r="AFE13" s="94"/>
      <c r="AFF13" s="94"/>
      <c r="AFG13" s="94"/>
      <c r="AFH13" s="94"/>
      <c r="AFI13" s="94"/>
      <c r="AFJ13" s="94"/>
      <c r="AFK13" s="94"/>
      <c r="AFL13" s="94"/>
      <c r="AFM13" s="94"/>
      <c r="AFN13" s="94"/>
      <c r="AFO13" s="94"/>
      <c r="AFP13" s="94"/>
      <c r="AFQ13" s="94"/>
      <c r="AFR13" s="94"/>
      <c r="AFS13" s="94"/>
      <c r="AFT13" s="94"/>
      <c r="AFU13" s="94"/>
      <c r="AFV13" s="94"/>
      <c r="AFW13" s="94"/>
      <c r="AFX13" s="94"/>
      <c r="AFY13" s="94"/>
      <c r="AFZ13" s="94"/>
      <c r="AGA13" s="94"/>
      <c r="AGB13" s="94"/>
      <c r="AGC13" s="94"/>
      <c r="AGD13" s="94"/>
      <c r="AGE13" s="94"/>
      <c r="AGF13" s="94"/>
      <c r="AGG13" s="94"/>
      <c r="AGH13" s="94"/>
      <c r="AGI13" s="94"/>
      <c r="AGJ13" s="94"/>
      <c r="AGK13" s="94"/>
      <c r="AGL13" s="94"/>
      <c r="AGM13" s="94"/>
      <c r="AGN13" s="94"/>
      <c r="AGO13" s="94"/>
      <c r="AGP13" s="94"/>
      <c r="AGQ13" s="94"/>
      <c r="AGR13" s="94"/>
      <c r="AGS13" s="94"/>
      <c r="AGT13" s="94"/>
      <c r="AGU13" s="94"/>
      <c r="AGV13" s="94"/>
      <c r="AGW13" s="94"/>
      <c r="AGX13" s="94"/>
      <c r="AGY13" s="94"/>
      <c r="AGZ13" s="94"/>
      <c r="AHA13" s="94"/>
      <c r="AHB13" s="94"/>
      <c r="AHC13" s="94"/>
      <c r="AHD13" s="94"/>
      <c r="AHE13" s="94"/>
      <c r="AHF13" s="94"/>
      <c r="AHG13" s="94"/>
      <c r="AHH13" s="94"/>
      <c r="AHI13" s="94"/>
      <c r="AHJ13" s="94"/>
      <c r="AHK13" s="94"/>
      <c r="AHL13" s="94"/>
      <c r="AHM13" s="94"/>
      <c r="AHN13" s="94"/>
      <c r="AHO13" s="94"/>
      <c r="AHP13" s="94"/>
      <c r="AHQ13" s="94"/>
      <c r="AHR13" s="94"/>
      <c r="AHS13" s="94"/>
      <c r="AHT13" s="94"/>
      <c r="AHU13" s="94"/>
      <c r="AHV13" s="94"/>
      <c r="AHW13" s="94"/>
      <c r="AHX13" s="94"/>
      <c r="AHY13" s="94"/>
      <c r="AHZ13" s="94"/>
      <c r="AIA13" s="94"/>
      <c r="AIB13" s="94"/>
      <c r="AIC13" s="94"/>
      <c r="AID13" s="94"/>
      <c r="AIE13" s="94"/>
      <c r="AIF13" s="94"/>
      <c r="AIG13" s="94"/>
      <c r="AIH13" s="94"/>
      <c r="AII13" s="94"/>
      <c r="AIJ13" s="94"/>
      <c r="AIK13" s="94"/>
      <c r="AIL13" s="94"/>
      <c r="AIM13" s="94"/>
      <c r="AIN13" s="94"/>
      <c r="AIO13" s="94"/>
      <c r="AIP13" s="94"/>
      <c r="AIQ13" s="94"/>
      <c r="AIR13" s="94"/>
      <c r="AIS13" s="94"/>
      <c r="AIT13" s="94"/>
      <c r="AIU13" s="94"/>
      <c r="AIV13" s="94"/>
      <c r="AIW13" s="94"/>
      <c r="AIX13" s="94"/>
      <c r="AIY13" s="94"/>
      <c r="AIZ13" s="94"/>
      <c r="AJA13" s="94"/>
      <c r="AJB13" s="94"/>
      <c r="AJC13" s="94"/>
      <c r="AJD13" s="94"/>
      <c r="AJE13" s="94"/>
      <c r="AJF13" s="94"/>
      <c r="AJG13" s="94"/>
      <c r="AJH13" s="94"/>
      <c r="AJI13" s="94"/>
      <c r="AJJ13" s="94"/>
      <c r="AJK13" s="94"/>
      <c r="AJL13" s="94"/>
      <c r="AJM13" s="94"/>
      <c r="AJN13" s="94"/>
      <c r="AJO13" s="94"/>
      <c r="AJP13" s="94"/>
      <c r="AJQ13" s="94"/>
      <c r="AJR13" s="94"/>
      <c r="AJS13" s="94"/>
      <c r="AJT13" s="94"/>
      <c r="AJU13" s="94"/>
      <c r="AJV13" s="94"/>
      <c r="AJW13" s="94"/>
      <c r="AJX13" s="94"/>
      <c r="AJY13" s="94"/>
      <c r="AJZ13" s="94"/>
      <c r="AKA13" s="94"/>
      <c r="AKB13" s="94"/>
      <c r="AKC13" s="94"/>
      <c r="AKD13" s="94"/>
      <c r="AKE13" s="94"/>
      <c r="AKF13" s="94"/>
      <c r="AKG13" s="94"/>
      <c r="AKH13" s="94"/>
      <c r="AKI13" s="94"/>
      <c r="AKJ13" s="94"/>
      <c r="AKK13" s="94"/>
      <c r="AKL13" s="94"/>
      <c r="AKM13" s="94"/>
      <c r="AKN13" s="94"/>
      <c r="AKO13" s="94"/>
      <c r="AKP13" s="94"/>
      <c r="AKQ13" s="94"/>
      <c r="AKR13" s="94"/>
      <c r="AKS13" s="94"/>
      <c r="AKT13" s="94"/>
      <c r="AKU13" s="94"/>
      <c r="AKV13" s="94"/>
      <c r="AKW13" s="94"/>
      <c r="AKX13" s="94"/>
      <c r="AKY13" s="94"/>
      <c r="AKZ13" s="94"/>
      <c r="ALA13" s="94"/>
      <c r="ALB13" s="94"/>
      <c r="ALC13" s="94"/>
      <c r="ALD13" s="94"/>
      <c r="ALE13" s="94"/>
      <c r="ALF13" s="94"/>
      <c r="ALG13" s="94"/>
      <c r="ALH13" s="94"/>
      <c r="ALI13" s="94"/>
      <c r="ALJ13" s="94"/>
      <c r="ALK13" s="94"/>
      <c r="ALL13" s="94"/>
      <c r="ALM13" s="94"/>
      <c r="ALN13" s="94"/>
      <c r="ALO13" s="94"/>
      <c r="ALP13" s="94"/>
      <c r="ALQ13" s="94"/>
      <c r="ALR13" s="94"/>
      <c r="ALS13" s="94"/>
      <c r="ALT13" s="94"/>
      <c r="ALU13" s="94"/>
      <c r="ALV13" s="94"/>
      <c r="ALW13" s="94"/>
      <c r="ALX13" s="94"/>
      <c r="ALY13" s="94"/>
      <c r="ALZ13" s="94"/>
      <c r="AMA13" s="94"/>
      <c r="AMB13" s="94"/>
      <c r="AMC13" s="94"/>
    </row>
    <row r="14" spans="1:1017">
      <c r="A14" s="98" t="s">
        <v>25</v>
      </c>
      <c r="B14" s="648" t="s">
        <v>537</v>
      </c>
      <c r="E14" s="773">
        <v>551600</v>
      </c>
      <c r="F14" s="773">
        <v>15444800</v>
      </c>
      <c r="I14" s="773">
        <v>32800</v>
      </c>
      <c r="J14" s="773">
        <v>820000</v>
      </c>
      <c r="Q14" s="91">
        <f t="shared" ref="Q14" si="634">SUMIF($C$12:$P$12,$A$1,C14:P14)</f>
        <v>584400</v>
      </c>
      <c r="R14" s="91">
        <f>SUMIF($C$12:$P$12,$A$3,C14:P14)</f>
        <v>16264800</v>
      </c>
      <c r="U14" s="98">
        <v>2400</v>
      </c>
      <c r="V14" s="98">
        <v>48000</v>
      </c>
      <c r="AG14" s="91">
        <f t="shared" ref="AG14" si="635">SUMIF($C$12:$P$12,$A$1,S14:AF14)</f>
        <v>2400</v>
      </c>
      <c r="AH14" s="91">
        <f>SUMIF($C$12:$P$12,$A$3,S14:AF14)</f>
        <v>48000</v>
      </c>
      <c r="AW14" s="91">
        <f>SUMIF($C$12:$P$12,$A$1,AI14:AV14)</f>
        <v>0</v>
      </c>
      <c r="AX14" s="91">
        <f>SUMIF($C$12:$P$12,$A$3,AI14:AV14)</f>
        <v>0</v>
      </c>
      <c r="BG14" s="98">
        <v>4332</v>
      </c>
      <c r="BH14" s="98">
        <v>73644</v>
      </c>
      <c r="BM14" s="91">
        <f>SUMIF($C$12:$P$12,$A$1,AY14:BL14)</f>
        <v>4332</v>
      </c>
      <c r="BN14" s="91">
        <f>SUMIF($C$12:$P$12,$A$3,AY14:BL14)</f>
        <v>73644</v>
      </c>
      <c r="CC14" s="91">
        <f>SUMIF($C$12:$P$12,$A$1,BO14:CB14)</f>
        <v>0</v>
      </c>
      <c r="CD14" s="91">
        <f>SUMIF($C$12:$P$12,$A$3,BO14:CB14)</f>
        <v>0</v>
      </c>
      <c r="CG14" s="98">
        <v>4782182.2908496074</v>
      </c>
      <c r="CH14" s="98">
        <v>95643645.816992149</v>
      </c>
      <c r="CK14" s="98">
        <v>3973652</v>
      </c>
      <c r="CL14" s="98">
        <v>75499384.106642604</v>
      </c>
      <c r="CS14" s="91">
        <f>SUMIF($C$12:$P$12,$A$1,CE14:CR14)</f>
        <v>8755834.2908496074</v>
      </c>
      <c r="CT14" s="91">
        <f>SUMIF($C$12:$P$12,$A$3,CE14:CR14)</f>
        <v>171143029.92363477</v>
      </c>
      <c r="CW14" s="98">
        <v>2299</v>
      </c>
      <c r="CX14" s="98">
        <v>45980.012000000002</v>
      </c>
      <c r="DI14" s="91">
        <f>SUMIF($C$12:$P$12,$A$1,CU14:DH14)</f>
        <v>2299</v>
      </c>
      <c r="DJ14" s="91">
        <f>SUMIF($C$12:$P$12,$A$3,CU14:DH14)</f>
        <v>45980.012000000002</v>
      </c>
      <c r="DY14" s="91">
        <f>SUMIF($C$12:$P$12,$A$1,DK14:DX14)</f>
        <v>0</v>
      </c>
      <c r="DZ14" s="91">
        <f>SUMIF($C$12:$P$12,$A$3,DK14:DX14)</f>
        <v>0</v>
      </c>
      <c r="EO14" s="91">
        <f>SUMIF($C$12:$P$12,$A$1,EA14:EN14)</f>
        <v>0</v>
      </c>
      <c r="EP14" s="91">
        <f>SUMIF($C$12:$P$12,$A$3,EA14:EN14)</f>
        <v>0</v>
      </c>
      <c r="ES14" s="98">
        <v>46707</v>
      </c>
      <c r="ET14" s="98">
        <v>1167675</v>
      </c>
      <c r="EW14" s="98">
        <v>177072</v>
      </c>
      <c r="EX14" s="98">
        <v>4426800</v>
      </c>
      <c r="FE14" s="91">
        <f>SUMIF($C$12:$P$12,$A$1,EQ14:FD14)</f>
        <v>223779</v>
      </c>
      <c r="FF14" s="91">
        <f>SUMIF($C$12:$P$12,$A$3,EQ14:FD14)</f>
        <v>5594475</v>
      </c>
      <c r="FU14" s="91">
        <f>SUMIF($C$12:$P$12,$A$1,FG14:FT14)</f>
        <v>0</v>
      </c>
      <c r="FV14" s="91">
        <f>SUMIF($C$12:$P$12,$A$3,FG14:FT14)</f>
        <v>0</v>
      </c>
      <c r="GK14" s="91">
        <f>SUMIF($C$12:$P$12,$A$1,FW14:GJ14)</f>
        <v>0</v>
      </c>
      <c r="GL14" s="91">
        <f>SUMIF($C$12:$P$12,$A$3,FW14:GJ14)</f>
        <v>0</v>
      </c>
      <c r="HA14" s="91">
        <f>SUMIF($C$12:$P$12,$A$1,GM14:GZ14)</f>
        <v>0</v>
      </c>
      <c r="HB14" s="91">
        <f>SUMIF($C$12:$P$12,$A$3,GM14:GZ14)</f>
        <v>0</v>
      </c>
      <c r="HQ14" s="91">
        <f>SUMIF($C$12:$P$12,$A$1,HC14:HP14)</f>
        <v>0</v>
      </c>
      <c r="HR14" s="91">
        <f>SUMIF($C$12:$P$12,$A$3,HC14:HP14)</f>
        <v>0</v>
      </c>
      <c r="IG14" s="91">
        <f>SUMIF($C$12:$P$12,$A$1,HS14:IF14)</f>
        <v>0</v>
      </c>
      <c r="IH14" s="91">
        <f>SUMIF($C$12:$P$12,$A$3,HS14:IF14)</f>
        <v>0</v>
      </c>
      <c r="IW14" s="91">
        <f>SUMIF($C$12:$P$12,$A$1,II14:IV14)</f>
        <v>0</v>
      </c>
      <c r="IX14" s="91">
        <f>SUMIF($C$12:$P$12,$A$3,II14:IV14)</f>
        <v>0</v>
      </c>
      <c r="JM14" s="91">
        <f>SUMIF($C$12:$P$12,$A$1,IY14:JL14)</f>
        <v>0</v>
      </c>
      <c r="JN14" s="91">
        <f>SUMIF($C$12:$P$12,$A$3,IY14:JL14)</f>
        <v>0</v>
      </c>
      <c r="KC14" s="91">
        <f>SUMIF($C$12:$P$12,$A$1,JO14:KB14)</f>
        <v>0</v>
      </c>
      <c r="KD14" s="91">
        <f>SUMIF($C$12:$P$12,$A$3,JO14:KB14)</f>
        <v>0</v>
      </c>
      <c r="KG14" s="98">
        <v>469</v>
      </c>
      <c r="KH14" s="98">
        <v>14070</v>
      </c>
      <c r="KS14" s="91">
        <f>SUMIF($C$12:$P$12,$A$1,KE14:KR14)</f>
        <v>469</v>
      </c>
      <c r="KT14" s="91">
        <f>SUMIF($C$12:$P$12,$A$3,KE14:KR14)</f>
        <v>14070</v>
      </c>
      <c r="KW14" s="98">
        <v>625853.34</v>
      </c>
      <c r="KX14" s="98">
        <v>11265360</v>
      </c>
      <c r="LI14" s="91">
        <f>SUMIF($C$12:$P$12,$A$1,KU14:LH14)</f>
        <v>625853.34</v>
      </c>
      <c r="LJ14" s="91">
        <f>SUMIF($C$12:$P$12,$A$3,KU14:LH14)</f>
        <v>11265360</v>
      </c>
      <c r="LY14" s="91">
        <f>SUMIF($C$12:$P$12,$A$1,LK14:LX14)</f>
        <v>0</v>
      </c>
      <c r="LZ14" s="91">
        <f>SUMIF($C$12:$P$12,$A$3,LK14:LX14)</f>
        <v>0</v>
      </c>
      <c r="MC14" s="98">
        <v>222500</v>
      </c>
      <c r="MD14" s="98">
        <v>3337500</v>
      </c>
      <c r="MO14" s="91">
        <f>SUMIF($C$12:$P$12,$A$1,MA14:MN14)</f>
        <v>222500</v>
      </c>
      <c r="MP14" s="91">
        <f>SUMIF($C$12:$P$12,$A$3,MA14:MN14)</f>
        <v>3337500</v>
      </c>
      <c r="MS14" s="98">
        <v>20620</v>
      </c>
      <c r="MT14" s="98">
        <v>577360</v>
      </c>
      <c r="NE14" s="91">
        <f>SUMIF($C$12:$P$12,$A$1,MQ14:ND14)</f>
        <v>20620</v>
      </c>
      <c r="NF14" s="91">
        <f>SUMIF($C$12:$P$12,$A$3,MQ14:ND14)</f>
        <v>577360</v>
      </c>
      <c r="NI14" s="98">
        <v>2211400</v>
      </c>
      <c r="NJ14" s="98">
        <v>48650800</v>
      </c>
      <c r="NU14" s="91">
        <f>SUMIF($C$12:$P$12,$A$1,NG14:NT14)</f>
        <v>2211400</v>
      </c>
      <c r="NV14" s="91">
        <f>SUMIF($C$12:$P$12,$A$3,NG14:NT14)</f>
        <v>48650800</v>
      </c>
      <c r="NY14" s="98">
        <v>160</v>
      </c>
      <c r="NZ14" s="98">
        <v>2880</v>
      </c>
      <c r="OK14" s="91">
        <f>SUMIF($C$12:$P$12,$A$1,NW14:OJ14)</f>
        <v>160</v>
      </c>
      <c r="OL14" s="91">
        <f>SUMIF($C$12:$P$12,$A$3,NW14:OJ14)</f>
        <v>2880</v>
      </c>
      <c r="OO14" s="98">
        <v>74920</v>
      </c>
      <c r="OP14" s="98">
        <v>1873000</v>
      </c>
      <c r="PA14" s="91">
        <f>SUMIF($C$12:$P$12,$A$1,OM14:OZ14)</f>
        <v>74920</v>
      </c>
      <c r="PB14" s="91">
        <f>SUMIF($C$12:$P$12,$A$3,OM14:OZ14)</f>
        <v>1873000</v>
      </c>
      <c r="PQ14" s="91">
        <f>SUMIF($C$12:$P$12,$A$1,PC14:PP14)</f>
        <v>0</v>
      </c>
      <c r="PR14" s="91">
        <f>SUMIF($C$12:$P$12,$A$3,PC14:PP14)</f>
        <v>0</v>
      </c>
      <c r="PU14" s="98">
        <v>554690</v>
      </c>
      <c r="PV14" s="98">
        <v>11093800</v>
      </c>
      <c r="QG14" s="91">
        <f>SUMIF($C$12:$P$12,$A$1,PS14:QF14)</f>
        <v>554690</v>
      </c>
      <c r="QH14" s="91">
        <f>SUMIF($C$12:$P$12,$A$3,PS14:QF14)</f>
        <v>11093800</v>
      </c>
      <c r="QW14" s="91">
        <f>SUMIF($C$12:$P$12,$A$1,QI14:QV14)</f>
        <v>0</v>
      </c>
      <c r="QX14" s="91">
        <f>SUMIF($C$12:$P$12,$A$3,QI14:QV14)</f>
        <v>0</v>
      </c>
      <c r="RM14" s="91">
        <f>SUMIF($C$12:$P$12,$A$1,QY14:RL14)</f>
        <v>0</v>
      </c>
      <c r="RN14" s="91">
        <f>SUMIF($C$12:$P$12,$A$3,QY14:RL14)</f>
        <v>0</v>
      </c>
      <c r="SC14" s="91">
        <f>SUMIF($C$12:$P$12,$A$1,RO14:SB14)</f>
        <v>0</v>
      </c>
      <c r="SD14" s="91">
        <f>SUMIF($C$12:$P$12,$A$3,RO14:SB14)</f>
        <v>0</v>
      </c>
      <c r="SS14" s="91">
        <f>SUMIF($C$12:$P$12,$A$1,SE14:SR14)</f>
        <v>0</v>
      </c>
      <c r="ST14" s="91">
        <f>SUMIF($C$12:$P$12,$A$3,SE14:SR14)</f>
        <v>0</v>
      </c>
      <c r="TI14" s="91">
        <f>SUMIF($C$12:$P$12,$A$1,SU14:TH14)</f>
        <v>0</v>
      </c>
      <c r="TJ14" s="91">
        <f>SUMIF($C$12:$P$12,$A$3,SU14:TH14)</f>
        <v>0</v>
      </c>
      <c r="TY14" s="91">
        <f>SUMIF($C$12:$P$12,$A$1,TK14:TX14)</f>
        <v>0</v>
      </c>
      <c r="TZ14" s="91">
        <f>SUMIF($C$12:$P$12,$A$3,TK14:TX14)</f>
        <v>0</v>
      </c>
      <c r="UO14" s="91">
        <f t="shared" ref="UO14" si="636">SUMIF($C$12:$P$12,$A$1,UA14:UN14)</f>
        <v>0</v>
      </c>
      <c r="UP14" s="91">
        <f t="shared" ref="UP14:UP30" si="637">SUMIF($C$12:$P$12,$A$3,UA14:UN14)</f>
        <v>0</v>
      </c>
      <c r="US14" s="98">
        <v>97043</v>
      </c>
      <c r="UT14" s="98">
        <v>1552688</v>
      </c>
      <c r="VE14" s="91">
        <f>SUMIF($C$12:$P$12,$A$1,UQ14:VD14)</f>
        <v>97043</v>
      </c>
      <c r="VF14" s="91">
        <f>SUMIF($C$12:$P$12,$A$3,UQ14:VD14)</f>
        <v>1552688</v>
      </c>
      <c r="VI14" s="98">
        <v>2163.6999999999998</v>
      </c>
      <c r="VJ14" s="98">
        <v>34619.199999999997</v>
      </c>
      <c r="VU14" s="91">
        <f>SUMIF($C$12:$P$12,$A$1,VG14:VT14)</f>
        <v>2163.6999999999998</v>
      </c>
      <c r="VV14" s="91">
        <f>SUMIF($C$12:$P$12,$A$3,VG14:VT14)</f>
        <v>34619.199999999997</v>
      </c>
      <c r="VY14" s="98">
        <v>239708</v>
      </c>
      <c r="VZ14" s="98">
        <v>8150072</v>
      </c>
      <c r="WC14" s="98">
        <v>117597</v>
      </c>
      <c r="WD14" s="98">
        <v>3527910</v>
      </c>
      <c r="WK14" s="91">
        <f>SUMIF($C$12:$P$12,$A$1,VW14:WJ14)</f>
        <v>357305</v>
      </c>
      <c r="WL14" s="91">
        <f>SUMIF($C$12:$P$12,$A$3,VW14:WJ14)</f>
        <v>11677982</v>
      </c>
      <c r="WM14" s="89"/>
      <c r="WN14" s="87">
        <f>SUMIF($C$5:$WL$5,$WN$5,C14:WL14)</f>
        <v>0</v>
      </c>
      <c r="WO14" s="87">
        <f>SUMIF($C$5:$WL$5,$WO$5,C14:WL14)</f>
        <v>0</v>
      </c>
      <c r="WP14" s="87">
        <f>SUMIF($C$5:$WL$5,$WP$5,C14:WL14)</f>
        <v>9434715.3308496065</v>
      </c>
      <c r="WQ14" s="87">
        <f>SUMIF($C$5:$WL$5,$WQ$5,C14:WL14)</f>
        <v>198902250.02899212</v>
      </c>
      <c r="WR14" s="87">
        <f>SUMIF($C$5:$WL$5,$WR$5,C14:WL14)</f>
        <v>0</v>
      </c>
      <c r="WS14" s="87">
        <f>SUMIF($C$5:$WL$5,$WS$5,C14:WL14)</f>
        <v>0</v>
      </c>
      <c r="WT14" s="87">
        <f>SUMIF($C$5:$WL$5,$WT$5,C14:WL14)</f>
        <v>4301121</v>
      </c>
      <c r="WU14" s="87">
        <f>SUMIF($C$5:$WL$5,$WU$5,C14:WL14)</f>
        <v>84274094.106642604</v>
      </c>
      <c r="WV14" s="87">
        <f>SUMIF($C$5:$WL$5,$WV$5,C14:WL14)</f>
        <v>4332</v>
      </c>
      <c r="WW14" s="87">
        <f>SUMIF($C$5:$WL$5,$WW$5,C14:WL14)</f>
        <v>73644</v>
      </c>
      <c r="WX14" s="87">
        <f>SUMIF($C$5:$WL$5,$WX$5,C14:WL14)</f>
        <v>0</v>
      </c>
      <c r="WY14" s="87">
        <f>SUMIF($C$5:$WL$5,$WY$5,C14:WL14)</f>
        <v>0</v>
      </c>
      <c r="WZ14" s="87">
        <f>SUMIF($C$5:$WL$5,$WZ$5,C14:WL14)</f>
        <v>0</v>
      </c>
      <c r="XA14" s="87">
        <f>SUMIF($C$5:$WL$5,$XA$5,C14:WL14)</f>
        <v>0</v>
      </c>
      <c r="XB14" s="92">
        <f>SUMIF($WN$12:$XA$12,$XB$12,WN14:XA14)</f>
        <v>13740168.330849607</v>
      </c>
      <c r="XC14" s="92">
        <f>SUMIF($WN$12:$XA$12,$XC$12,WN14:XA14)</f>
        <v>283249988.13563472</v>
      </c>
      <c r="XD14" s="633" t="s">
        <v>170</v>
      </c>
      <c r="XE14" s="92">
        <f t="shared" ref="XE14:XE40" si="638">SUM(XB14,XB52,XB90)</f>
        <v>47124366.321798347</v>
      </c>
      <c r="XF14" s="92">
        <f t="shared" ref="XF14:XF40" si="639">SUM(XC14,XC52,XC90)</f>
        <v>1017125802.1596347</v>
      </c>
      <c r="XG14" s="633" t="s">
        <v>617</v>
      </c>
      <c r="XH14" s="92">
        <f>SUM(XE14,XE52)</f>
        <v>93435212.946910977</v>
      </c>
      <c r="XI14" s="92">
        <f>SUM(XF14,XF52)</f>
        <v>2001195937.6818371</v>
      </c>
      <c r="XJ14" s="633"/>
      <c r="XK14" s="87">
        <f>SUBTOTAL(9,WN14,WN52,WN90,WN128,WN166,WN204,WN242,WN280,WN318,WN356,WN394,WN432)</f>
        <v>1310</v>
      </c>
      <c r="XL14" s="87">
        <f>SUBTOTAL(9,WP14,WP52,WP90,WP128,WP166,WP204,WP242,WP280,WP318,WP356,WP394,WP432)</f>
        <v>107891690.6597549</v>
      </c>
      <c r="XM14" s="87">
        <f>SUBTOTAL(9,WR14,WR52,WR90,WR128,WR166,WR204,WR242,WR280,WR318,WR356,WR394,WR432)</f>
        <v>0</v>
      </c>
      <c r="XN14" s="87">
        <f>SUBTOTAL(9,WT14,WT52,WT90,WT128,WT166,WT204,WT242,WT280,WT318,WT356,WT394,WT432)</f>
        <v>54653657.795808762</v>
      </c>
      <c r="XO14" s="87">
        <f>SUBTOTAL(9,WV14,WV52,WV90,WV128,WV166,WV204,WV242,WV280,WV318,WV356,WV394,WV432)</f>
        <v>5030302</v>
      </c>
      <c r="XP14" s="87">
        <f>SUBTOTAL(9,WX14,WX52,WX90,WX128,WX166,WX204,WX242,WX280,WX318,WX356,WX394,WX432)</f>
        <v>0</v>
      </c>
      <c r="XQ14" s="87">
        <f>SUBTOTAL(9,WZ14,WZ52,WZ90,WZ128,WZ166,WZ204,WZ242,WZ280,WZ318,WZ356,WZ394,WZ432)</f>
        <v>0</v>
      </c>
      <c r="XR14" s="92">
        <f>SUM(XK14:XQ14)</f>
        <v>167576960.45556366</v>
      </c>
      <c r="XS14" s="633"/>
      <c r="XT14" s="87">
        <f>SUBTOTAL(9,WO14,WO52,WO90,WO128,WO166,WO204,WO242,WO280,WO318,WO356,WO394,WO432)</f>
        <v>82950</v>
      </c>
      <c r="XU14" s="87">
        <f>SUBTOTAL(9,WQ14,WQ52,WQ90,WQ128,WQ166,WQ204,WQ242,WQ280,WQ318,WQ356,WQ394,WQ432)</f>
        <v>2418077722.0250087</v>
      </c>
      <c r="XV14" s="87">
        <f>SUBTOTAL(9,WS14,WS52,WS90,WS128,WS166,WS204,WS242,WS280,WS318,WS356,WS394,WS432)</f>
        <v>0</v>
      </c>
      <c r="XW14" s="87">
        <f>SUBTOTAL(9,WU14,WU52,WU90,WU128,WU166,WU204,WU242,WU280,WU318,WU356,WU394,WU432)</f>
        <v>1127615914.8559194</v>
      </c>
      <c r="XX14" s="87">
        <f>SUBTOTAL(9,WW14,WW52,WW90,WW128,WW166,WW204,WW242,WW280,WW318,WW356,WW394)</f>
        <v>91545844</v>
      </c>
      <c r="XY14" s="87">
        <f>SUBTOTAL(9,WY14,WY52,WY90,WY128,WY166,WY204,WY242,WY280,WY318,WY356,WY394,WY432)</f>
        <v>0</v>
      </c>
      <c r="XZ14" s="87">
        <f>SUBTOTAL(9,XA14,XA52,XA90,XA128,XA166,XA204,XA242,XA280,XA318,XA356,XA394)</f>
        <v>0</v>
      </c>
      <c r="YA14" s="92">
        <f>SUM(XT14:XZ14)</f>
        <v>3637322430.880928</v>
      </c>
    </row>
    <row r="15" spans="1:1017">
      <c r="A15" s="98" t="s">
        <v>25</v>
      </c>
      <c r="B15" s="648" t="s">
        <v>538</v>
      </c>
      <c r="Q15" s="91">
        <f t="shared" ref="Q15:Q50" si="640">SUMIF($C$12:$P$12,$A$1,C15:P15)</f>
        <v>0</v>
      </c>
      <c r="R15" s="91">
        <f t="shared" ref="R15:R50" si="641">SUMIF($C$12:$P$12,$A$3,C15:P15)</f>
        <v>0</v>
      </c>
      <c r="Y15" s="98">
        <v>1145</v>
      </c>
      <c r="Z15" s="98">
        <v>22900</v>
      </c>
      <c r="AG15" s="91">
        <f t="shared" ref="AG15:AG50" si="642">SUMIF($C$12:$P$12,$A$1,S15:AF15)</f>
        <v>1145</v>
      </c>
      <c r="AH15" s="91">
        <f t="shared" ref="AH15:AH50" si="643">SUMIF($C$12:$P$12,$A$3,S15:AF15)</f>
        <v>22900</v>
      </c>
      <c r="AW15" s="91">
        <f t="shared" ref="AW15:AW50" si="644">SUMIF($C$12:$P$12,$A$1,AI15:AV15)</f>
        <v>0</v>
      </c>
      <c r="AX15" s="91">
        <f t="shared" ref="AX15:AX50" si="645">SUMIF($C$12:$P$12,$A$3,AI15:AV15)</f>
        <v>0</v>
      </c>
      <c r="BM15" s="91">
        <f t="shared" ref="BM15:BM50" si="646">SUMIF($C$12:$P$12,$A$1,AY15:BL15)</f>
        <v>0</v>
      </c>
      <c r="BN15" s="91">
        <f t="shared" ref="BN15:BN50" si="647">SUMIF($C$12:$P$12,$A$3,AY15:BL15)</f>
        <v>0</v>
      </c>
      <c r="CC15" s="91">
        <f t="shared" ref="CC15:CC50" si="648">SUMIF($C$12:$P$12,$A$1,BO15:CB15)</f>
        <v>0</v>
      </c>
      <c r="CD15" s="91">
        <f t="shared" ref="CD15:CD50" si="649">SUMIF($C$12:$P$12,$A$3,BO15:CB15)</f>
        <v>0</v>
      </c>
      <c r="CS15" s="91">
        <f t="shared" ref="CS15:CS50" si="650">SUMIF($C$12:$P$12,$A$1,CE15:CR15)</f>
        <v>0</v>
      </c>
      <c r="CT15" s="91">
        <f t="shared" ref="CT15:CT50" si="651">SUMIF($C$12:$P$12,$A$3,CE15:CR15)</f>
        <v>0</v>
      </c>
      <c r="DI15" s="91">
        <f t="shared" ref="DI15:DI50" si="652">SUMIF($C$12:$P$12,$A$1,CU15:DH15)</f>
        <v>0</v>
      </c>
      <c r="DJ15" s="91">
        <f t="shared" ref="DJ15:DJ50" si="653">SUMIF($C$12:$P$12,$A$3,CU15:DH15)</f>
        <v>0</v>
      </c>
      <c r="DQ15" s="98">
        <v>417300</v>
      </c>
      <c r="DR15" s="98">
        <v>6468150</v>
      </c>
      <c r="DY15" s="91">
        <f t="shared" ref="DY15:DY50" si="654">SUMIF($C$12:$P$12,$A$1,DK15:DX15)</f>
        <v>417300</v>
      </c>
      <c r="DZ15" s="91">
        <f t="shared" ref="DZ15:DZ50" si="655">SUMIF($C$12:$P$12,$A$3,DK15:DX15)</f>
        <v>6468150</v>
      </c>
      <c r="EG15" s="98">
        <v>55000</v>
      </c>
      <c r="EH15" s="98">
        <v>605000</v>
      </c>
      <c r="EO15" s="91">
        <f t="shared" ref="EO15:EO50" si="656">SUMIF($C$12:$P$12,$A$1,EA15:EN15)</f>
        <v>55000</v>
      </c>
      <c r="EP15" s="91">
        <f t="shared" ref="EP15:EP50" si="657">SUMIF($C$12:$P$12,$A$3,EA15:EN15)</f>
        <v>605000</v>
      </c>
      <c r="FE15" s="91">
        <f t="shared" ref="FE15:FE50" si="658">SUMIF($C$12:$P$12,$A$1,EQ15:FD15)</f>
        <v>0</v>
      </c>
      <c r="FF15" s="91">
        <f t="shared" ref="FF15:FF50" si="659">SUMIF($C$12:$P$12,$A$3,EQ15:FD15)</f>
        <v>0</v>
      </c>
      <c r="FU15" s="91">
        <f t="shared" ref="FU15:FU50" si="660">SUMIF($C$12:$P$12,$A$1,FG15:FT15)</f>
        <v>0</v>
      </c>
      <c r="FV15" s="91">
        <f t="shared" ref="FV15:FV50" si="661">SUMIF($C$12:$P$12,$A$3,FG15:FT15)</f>
        <v>0</v>
      </c>
      <c r="GK15" s="91">
        <f t="shared" ref="GK15:GK50" si="662">SUMIF($C$12:$P$12,$A$1,FW15:GJ15)</f>
        <v>0</v>
      </c>
      <c r="GL15" s="91">
        <f t="shared" ref="GL15:GL50" si="663">SUMIF($C$12:$P$12,$A$3,FW15:GJ15)</f>
        <v>0</v>
      </c>
      <c r="HA15" s="91">
        <f t="shared" ref="HA15:HA50" si="664">SUMIF($C$12:$P$12,$A$1,GM15:GZ15)</f>
        <v>0</v>
      </c>
      <c r="HB15" s="91">
        <f t="shared" ref="HB15:HB50" si="665">SUMIF($C$12:$P$12,$A$3,GM15:GZ15)</f>
        <v>0</v>
      </c>
      <c r="HQ15" s="91">
        <f t="shared" ref="HQ15:HQ50" si="666">SUMIF($C$12:$P$12,$A$1,HC15:HP15)</f>
        <v>0</v>
      </c>
      <c r="HR15" s="91">
        <f t="shared" ref="HR15:HR50" si="667">SUMIF($C$12:$P$12,$A$3,HC15:HP15)</f>
        <v>0</v>
      </c>
      <c r="IG15" s="91">
        <f t="shared" ref="IG15:IG50" si="668">SUMIF($C$12:$P$12,$A$1,HS15:IF15)</f>
        <v>0</v>
      </c>
      <c r="IH15" s="91">
        <f t="shared" ref="IH15:IH50" si="669">SUMIF($C$12:$P$12,$A$3,HS15:IF15)</f>
        <v>0</v>
      </c>
      <c r="IO15" s="98">
        <v>2000</v>
      </c>
      <c r="IP15" s="98">
        <v>50000</v>
      </c>
      <c r="IW15" s="91">
        <f t="shared" ref="IW15:IW50" si="670">SUMIF($C$12:$P$12,$A$1,II15:IV15)</f>
        <v>2000</v>
      </c>
      <c r="IX15" s="91">
        <f t="shared" ref="IX15:IX50" si="671">SUMIF($C$12:$P$12,$A$3,II15:IV15)</f>
        <v>50000</v>
      </c>
      <c r="JM15" s="91">
        <f t="shared" ref="JM15:JM50" si="672">SUMIF($C$12:$P$12,$A$1,IY15:JL15)</f>
        <v>0</v>
      </c>
      <c r="JN15" s="91">
        <f t="shared" ref="JN15:JN50" si="673">SUMIF($C$12:$P$12,$A$3,IY15:JL15)</f>
        <v>0</v>
      </c>
      <c r="KC15" s="91">
        <f t="shared" ref="KC15:KC50" si="674">SUMIF($C$12:$P$12,$A$1,JO15:KB15)</f>
        <v>0</v>
      </c>
      <c r="KD15" s="91">
        <f t="shared" ref="KD15:KD50" si="675">SUMIF($C$12:$P$12,$A$3,JO15:KB15)</f>
        <v>0</v>
      </c>
      <c r="KS15" s="91">
        <f t="shared" ref="KS15:KS50" si="676">SUMIF($C$12:$P$12,$A$1,KE15:KR15)</f>
        <v>0</v>
      </c>
      <c r="KT15" s="91">
        <f t="shared" ref="KT15:KT50" si="677">SUMIF($C$12:$P$12,$A$3,KE15:KR15)</f>
        <v>0</v>
      </c>
      <c r="LI15" s="91">
        <f t="shared" ref="LI15:LI50" si="678">SUMIF($C$12:$P$12,$A$1,KU15:LH15)</f>
        <v>0</v>
      </c>
      <c r="LJ15" s="91">
        <f t="shared" ref="LJ15:LJ50" si="679">SUMIF($C$12:$P$12,$A$3,KU15:LH15)</f>
        <v>0</v>
      </c>
      <c r="LY15" s="91">
        <f t="shared" ref="LY15:LY50" si="680">SUMIF($C$12:$P$12,$A$1,LK15:LX15)</f>
        <v>0</v>
      </c>
      <c r="LZ15" s="91">
        <f t="shared" ref="LZ15:LZ50" si="681">SUMIF($C$12:$P$12,$A$3,LK15:LX15)</f>
        <v>0</v>
      </c>
      <c r="MO15" s="91">
        <f t="shared" ref="MO15:MO50" si="682">SUMIF($C$12:$P$12,$A$1,MA15:MN15)</f>
        <v>0</v>
      </c>
      <c r="MP15" s="91">
        <f t="shared" ref="MP15:MP50" si="683">SUMIF($C$12:$P$12,$A$3,MA15:MN15)</f>
        <v>0</v>
      </c>
      <c r="NE15" s="91">
        <f t="shared" ref="NE15:NE50" si="684">SUMIF($C$12:$P$12,$A$1,MQ15:ND15)</f>
        <v>0</v>
      </c>
      <c r="NF15" s="91">
        <f t="shared" ref="NF15:NF50" si="685">SUMIF($C$12:$P$12,$A$3,MQ15:ND15)</f>
        <v>0</v>
      </c>
      <c r="NQ15" s="98">
        <v>90</v>
      </c>
      <c r="NR15" s="98">
        <v>1620</v>
      </c>
      <c r="NU15" s="91">
        <f t="shared" ref="NU15:NU50" si="686">SUMIF($C$12:$P$12,$A$1,NG15:NT15)</f>
        <v>90</v>
      </c>
      <c r="NV15" s="91">
        <f t="shared" ref="NV15:NV50" si="687">SUMIF($C$12:$P$12,$A$3,NG15:NT15)</f>
        <v>1620</v>
      </c>
      <c r="OK15" s="91">
        <f t="shared" ref="OK15:OK50" si="688">SUMIF($C$12:$P$12,$A$1,NW15:OJ15)</f>
        <v>0</v>
      </c>
      <c r="OL15" s="91">
        <f t="shared" ref="OL15:OL50" si="689">SUMIF($C$12:$P$12,$A$3,NW15:OJ15)</f>
        <v>0</v>
      </c>
      <c r="PA15" s="91">
        <f t="shared" ref="PA15:PA50" si="690">SUMIF($C$12:$P$12,$A$1,OM15:OZ15)</f>
        <v>0</v>
      </c>
      <c r="PB15" s="91">
        <f t="shared" ref="PB15:PB50" si="691">SUMIF($C$12:$P$12,$A$3,OM15:OZ15)</f>
        <v>0</v>
      </c>
      <c r="PQ15" s="91">
        <f t="shared" ref="PQ15:PQ50" si="692">SUMIF($C$12:$P$12,$A$1,PC15:PP15)</f>
        <v>0</v>
      </c>
      <c r="PR15" s="91">
        <f t="shared" ref="PR15:PR50" si="693">SUMIF($C$12:$P$12,$A$3,PC15:PP15)</f>
        <v>0</v>
      </c>
      <c r="PY15" s="98">
        <v>9010</v>
      </c>
      <c r="PZ15" s="98">
        <v>225250</v>
      </c>
      <c r="QC15" s="98">
        <v>15550</v>
      </c>
      <c r="QD15" s="98">
        <v>388750</v>
      </c>
      <c r="QG15" s="91">
        <f t="shared" ref="QG15:QG50" si="694">SUMIF($C$12:$P$12,$A$1,PS15:QF15)</f>
        <v>24560</v>
      </c>
      <c r="QH15" s="91">
        <f t="shared" ref="QH15:QH50" si="695">SUMIF($C$12:$P$12,$A$3,PS15:QF15)</f>
        <v>614000</v>
      </c>
      <c r="QW15" s="91">
        <f t="shared" ref="QW15:QW50" si="696">SUMIF($C$12:$P$12,$A$1,QI15:QV15)</f>
        <v>0</v>
      </c>
      <c r="QX15" s="91">
        <f t="shared" ref="QX15:QX50" si="697">SUMIF($C$12:$P$12,$A$3,QI15:QV15)</f>
        <v>0</v>
      </c>
      <c r="RM15" s="91">
        <f t="shared" ref="RM15:RM50" si="698">SUMIF($C$12:$P$12,$A$1,QY15:RL15)</f>
        <v>0</v>
      </c>
      <c r="RN15" s="91">
        <f t="shared" ref="RN15:RN50" si="699">SUMIF($C$12:$P$12,$A$3,QY15:RL15)</f>
        <v>0</v>
      </c>
      <c r="SC15" s="91">
        <f t="shared" ref="SC15:SC50" si="700">SUMIF($C$12:$P$12,$A$1,RO15:SB15)</f>
        <v>0</v>
      </c>
      <c r="SD15" s="91">
        <f t="shared" ref="SD15:SD50" si="701">SUMIF($C$12:$P$12,$A$3,RO15:SB15)</f>
        <v>0</v>
      </c>
      <c r="SS15" s="91">
        <f t="shared" ref="SS15:SS50" si="702">SUMIF($C$12:$P$12,$A$1,SE15:SR15)</f>
        <v>0</v>
      </c>
      <c r="ST15" s="91">
        <f t="shared" ref="ST15:ST50" si="703">SUMIF($C$12:$P$12,$A$3,SE15:SR15)</f>
        <v>0</v>
      </c>
      <c r="TI15" s="91">
        <f t="shared" ref="TI15:TI50" si="704">SUMIF($C$12:$P$12,$A$1,SU15:TH15)</f>
        <v>0</v>
      </c>
      <c r="TJ15" s="91">
        <f t="shared" ref="TJ15:TJ50" si="705">SUMIF($C$12:$P$12,$A$3,SU15:TH15)</f>
        <v>0</v>
      </c>
      <c r="TY15" s="91">
        <f t="shared" ref="TY15:TY50" si="706">SUMIF($C$12:$P$12,$A$1,TK15:TX15)</f>
        <v>0</v>
      </c>
      <c r="TZ15" s="91">
        <f t="shared" ref="TZ15:TZ50" si="707">SUMIF($C$12:$P$12,$A$3,TK15:TX15)</f>
        <v>0</v>
      </c>
      <c r="UO15" s="91">
        <f t="shared" ref="UO15:UO50" si="708">SUMIF($C$12:$P$12,$A$1,UA15:UN15)</f>
        <v>0</v>
      </c>
      <c r="UP15" s="91">
        <f t="shared" si="637"/>
        <v>0</v>
      </c>
      <c r="VE15" s="91">
        <f t="shared" ref="VE15:VE50" si="709">SUMIF($C$12:$P$12,$A$1,UQ15:VD15)</f>
        <v>0</v>
      </c>
      <c r="VF15" s="91">
        <f t="shared" ref="VF15:VF50" si="710">SUMIF($C$12:$P$12,$A$3,UQ15:VD15)</f>
        <v>0</v>
      </c>
      <c r="VU15" s="91">
        <f t="shared" ref="VU15:VU50" si="711">SUMIF($C$12:$P$12,$A$1,VG15:VT15)</f>
        <v>0</v>
      </c>
      <c r="VV15" s="91">
        <f t="shared" ref="VV15:VV50" si="712">SUMIF($C$12:$P$12,$A$3,VG15:VT15)</f>
        <v>0</v>
      </c>
      <c r="WK15" s="91">
        <f t="shared" ref="WK15:WK50" si="713">SUMIF($C$12:$P$12,$A$1,VW15:WJ15)</f>
        <v>0</v>
      </c>
      <c r="WL15" s="91">
        <f t="shared" ref="WL15:WL50" si="714">SUMIF($C$12:$P$12,$A$3,VW15:WJ15)</f>
        <v>0</v>
      </c>
      <c r="WM15" s="89"/>
      <c r="WN15" s="87">
        <f t="shared" ref="WN15:WN36" si="715">SUMIF($C$5:$WL$5,$WN$5,C15:WL15)</f>
        <v>0</v>
      </c>
      <c r="WO15" s="87">
        <f t="shared" ref="WO15:WO36" si="716">SUMIF($C$5:$WL$5,$WO$5,C15:WL15)</f>
        <v>0</v>
      </c>
      <c r="WP15" s="87">
        <f t="shared" ref="WP15:WP36" si="717">SUMIF($C$5:$WL$5,$WP$5,C15:WL15)</f>
        <v>0</v>
      </c>
      <c r="WQ15" s="87">
        <f t="shared" ref="WQ15:WQ36" si="718">SUMIF($C$5:$WL$5,$WQ$5,C15:WL15)</f>
        <v>0</v>
      </c>
      <c r="WR15" s="87">
        <f t="shared" ref="WR15:WR41" si="719">SUMIF($C$5:$WL$5,$WR$5,C15:WL15)</f>
        <v>0</v>
      </c>
      <c r="WS15" s="87">
        <f t="shared" ref="WS15:WS41" si="720">SUMIF($C$5:$WL$5,$WS$5,C15:WL15)</f>
        <v>0</v>
      </c>
      <c r="WT15" s="87">
        <f t="shared" ref="WT15:WT36" si="721">SUMIF($C$5:$WL$5,$WT$5,C15:WL15)</f>
        <v>484455</v>
      </c>
      <c r="WU15" s="87">
        <f t="shared" ref="WU15:WU36" si="722">SUMIF($C$5:$WL$5,$WU$5,C15:WL15)</f>
        <v>7371300</v>
      </c>
      <c r="WV15" s="87">
        <f t="shared" ref="WV15:WV36" si="723">SUMIF($C$5:$WL$5,$WV$5,C15:WL15)</f>
        <v>0</v>
      </c>
      <c r="WW15" s="87">
        <f t="shared" ref="WW15:WW36" si="724">SUMIF($C$5:$WL$5,$WW$5,C15:WL15)</f>
        <v>0</v>
      </c>
      <c r="WX15" s="87">
        <f t="shared" ref="WX15:WX36" si="725">SUMIF($C$5:$WL$5,$WX$5,C15:WL15)</f>
        <v>15640</v>
      </c>
      <c r="WY15" s="87">
        <f t="shared" ref="WY15:WY36" si="726">SUMIF($C$5:$WL$5,$WY$5,C15:WL15)</f>
        <v>390370</v>
      </c>
      <c r="WZ15" s="87">
        <f t="shared" ref="WZ15:WZ36" si="727">SUMIF($C$5:$WL$5,$WZ$5,C15:WL15)</f>
        <v>0</v>
      </c>
      <c r="XA15" s="87">
        <f t="shared" ref="XA15:XA36" si="728">SUMIF($C$5:$WL$5,$XA$5,C15:WL15)</f>
        <v>0</v>
      </c>
      <c r="XB15" s="92">
        <f t="shared" ref="XB15:XB41" si="729">SUMIF($WN$12:$XA$12,$XB$12,WN15:XA15)</f>
        <v>500095</v>
      </c>
      <c r="XC15" s="92">
        <f t="shared" ref="XC15:XC41" si="730">SUMIF($WN$12:$XA$12,$XC$12,WN15:XA15)</f>
        <v>7761670</v>
      </c>
      <c r="XD15" s="89"/>
      <c r="XE15" s="92">
        <f t="shared" si="638"/>
        <v>1566550</v>
      </c>
      <c r="XF15" s="92">
        <f t="shared" si="639"/>
        <v>24309800</v>
      </c>
      <c r="XG15" s="89"/>
      <c r="XH15" s="92">
        <f t="shared" ref="XH15:XI15" si="731">SUM(XE15,XE53)</f>
        <v>3131902</v>
      </c>
      <c r="XI15" s="92">
        <f t="shared" si="731"/>
        <v>48022466</v>
      </c>
      <c r="XJ15" s="89"/>
      <c r="XK15" s="87">
        <f t="shared" ref="XK15:XK50" si="732">SUBTOTAL(9,WN15,WN53,WN91,WN129,WN167,WN205,WN243,WN281,WN319,WN357,WN395,WN433)</f>
        <v>0</v>
      </c>
      <c r="XL15" s="87">
        <f t="shared" ref="XL15:XL50" si="733">SUBTOTAL(9,WP15,WP53,WP91,WP129,WP167,WP205,WP243,WP281,WP319,WP357,WP395,WP433)</f>
        <v>0</v>
      </c>
      <c r="XM15" s="87">
        <f t="shared" ref="XM15:XM50" si="734">SUBTOTAL(9,WR15,WR53,WR91,WR129,WR167,WR205,WR243,WR281,WR319,WR357,WR395,WR433)</f>
        <v>0</v>
      </c>
      <c r="XN15" s="87">
        <f t="shared" ref="XN15:XN50" si="735">SUBTOTAL(9,WT15,WT53,WT91,WT129,WT167,WT205,WT243,WT281,WT319,WT357,WT395,WT433)</f>
        <v>5691917</v>
      </c>
      <c r="XO15" s="87">
        <f t="shared" ref="XO15:XO50" si="736">SUBTOTAL(9,WV15,WV53,WV91,WV129,WV167,WV205,WV243,WV281,WV319,WV357,WV395,WV433)</f>
        <v>0</v>
      </c>
      <c r="XP15" s="87">
        <f t="shared" ref="XP15:XP50" si="737">SUBTOTAL(9,WX15,WX53,WX91,WX129,WX167,WX205,WX243,WX281,WX319,WX357,WX395,WX433)</f>
        <v>271288</v>
      </c>
      <c r="XQ15" s="87">
        <f t="shared" ref="XQ15:XQ50" si="738">SUBTOTAL(9,WZ15,WZ53,WZ91,WZ129,WZ167,WZ205,WZ243,WZ281,WZ319,WZ357,WZ395,WZ433)</f>
        <v>0</v>
      </c>
      <c r="XR15" s="92">
        <f t="shared" ref="XR15:XR50" si="739">SUM(XK15:XQ15)</f>
        <v>5963205</v>
      </c>
      <c r="XS15" s="89"/>
      <c r="XT15" s="87">
        <f t="shared" ref="XT15:XT50" si="740">SUBTOTAL(9,WO15,WO53,WO91,WO129,WO167,WO205,WO243,WO281,WO319,WO357,WO395,WO433)</f>
        <v>0</v>
      </c>
      <c r="XU15" s="87">
        <f t="shared" ref="XU15:XU50" si="741">SUBTOTAL(9,WQ15,WQ53,WQ91,WQ129,WQ167,WQ205,WQ243,WQ281,WQ319,WQ357,WQ395,WQ433)</f>
        <v>0</v>
      </c>
      <c r="XV15" s="87">
        <f t="shared" ref="XV15:XV50" si="742">SUBTOTAL(9,WS15,WS53,WS91,WS129,WS167,WS205,WS243,WS281,WS319,WS357,WS395,WS433)</f>
        <v>0</v>
      </c>
      <c r="XW15" s="87">
        <f t="shared" ref="XW15:XW50" si="743">SUBTOTAL(9,WU15,WU53,WU91,WU129,WU167,WU205,WU243,WU281,WU319,WU357,WU395,WU433)</f>
        <v>88378650</v>
      </c>
      <c r="XX15" s="87">
        <f t="shared" ref="XX15:XX50" si="744">SUBTOTAL(9,WW15,WW53,WW91,WW129,WW167,WW205,WW243,WW281,WW319,WW357,WW395)</f>
        <v>0</v>
      </c>
      <c r="XY15" s="87">
        <f t="shared" ref="XY15:XY50" si="745">SUBTOTAL(9,WY15,WY53,WY91,WY129,WY167,WY205,WY243,WY281,WY319,WY357,WY395,WY433)</f>
        <v>5132524</v>
      </c>
      <c r="XZ15" s="87">
        <f t="shared" ref="XZ15:XZ50" si="746">SUBTOTAL(9,XA15,XA53,XA91,XA129,XA167,XA205,XA243,XA281,XA319,XA357,XA395)</f>
        <v>0</v>
      </c>
      <c r="YA15" s="92">
        <f t="shared" ref="YA15:YA50" si="747">SUM(XT15:XZ15)</f>
        <v>93511174</v>
      </c>
    </row>
    <row r="16" spans="1:1017">
      <c r="A16" s="98" t="s">
        <v>25</v>
      </c>
      <c r="B16" s="648" t="s">
        <v>539</v>
      </c>
      <c r="E16" s="774">
        <v>157600</v>
      </c>
      <c r="F16" s="774">
        <v>3940000</v>
      </c>
      <c r="Q16" s="91">
        <f t="shared" si="640"/>
        <v>157600</v>
      </c>
      <c r="R16" s="91">
        <f t="shared" si="641"/>
        <v>3940000</v>
      </c>
      <c r="AG16" s="91">
        <f t="shared" si="642"/>
        <v>0</v>
      </c>
      <c r="AH16" s="91">
        <f t="shared" si="643"/>
        <v>0</v>
      </c>
      <c r="AW16" s="91">
        <f t="shared" si="644"/>
        <v>0</v>
      </c>
      <c r="AX16" s="91">
        <f t="shared" si="645"/>
        <v>0</v>
      </c>
      <c r="BM16" s="91">
        <f t="shared" si="646"/>
        <v>0</v>
      </c>
      <c r="BN16" s="91">
        <f t="shared" si="647"/>
        <v>0</v>
      </c>
      <c r="CC16" s="91">
        <f t="shared" si="648"/>
        <v>0</v>
      </c>
      <c r="CD16" s="91">
        <f t="shared" si="649"/>
        <v>0</v>
      </c>
      <c r="CS16" s="91">
        <f t="shared" si="650"/>
        <v>0</v>
      </c>
      <c r="CT16" s="91">
        <f t="shared" si="651"/>
        <v>0</v>
      </c>
      <c r="DI16" s="91">
        <f t="shared" si="652"/>
        <v>0</v>
      </c>
      <c r="DJ16" s="91">
        <f t="shared" si="653"/>
        <v>0</v>
      </c>
      <c r="DY16" s="91">
        <f t="shared" si="654"/>
        <v>0</v>
      </c>
      <c r="DZ16" s="91">
        <f t="shared" si="655"/>
        <v>0</v>
      </c>
      <c r="EO16" s="91">
        <f t="shared" si="656"/>
        <v>0</v>
      </c>
      <c r="EP16" s="91">
        <f t="shared" si="657"/>
        <v>0</v>
      </c>
      <c r="FE16" s="91">
        <f t="shared" si="658"/>
        <v>0</v>
      </c>
      <c r="FF16" s="91">
        <f t="shared" si="659"/>
        <v>0</v>
      </c>
      <c r="FU16" s="91">
        <f t="shared" si="660"/>
        <v>0</v>
      </c>
      <c r="FV16" s="91">
        <f t="shared" si="661"/>
        <v>0</v>
      </c>
      <c r="GK16" s="91">
        <f t="shared" si="662"/>
        <v>0</v>
      </c>
      <c r="GL16" s="91">
        <f t="shared" si="663"/>
        <v>0</v>
      </c>
      <c r="HA16" s="91">
        <f t="shared" si="664"/>
        <v>0</v>
      </c>
      <c r="HB16" s="91">
        <f t="shared" si="665"/>
        <v>0</v>
      </c>
      <c r="HQ16" s="91">
        <f t="shared" si="666"/>
        <v>0</v>
      </c>
      <c r="HR16" s="91">
        <f t="shared" si="667"/>
        <v>0</v>
      </c>
      <c r="IG16" s="91">
        <f t="shared" si="668"/>
        <v>0</v>
      </c>
      <c r="IH16" s="91">
        <f t="shared" si="669"/>
        <v>0</v>
      </c>
      <c r="IW16" s="91">
        <f t="shared" si="670"/>
        <v>0</v>
      </c>
      <c r="IX16" s="91">
        <f t="shared" si="671"/>
        <v>0</v>
      </c>
      <c r="JM16" s="91">
        <f t="shared" si="672"/>
        <v>0</v>
      </c>
      <c r="JN16" s="91">
        <f t="shared" si="673"/>
        <v>0</v>
      </c>
      <c r="KC16" s="91">
        <f t="shared" si="674"/>
        <v>0</v>
      </c>
      <c r="KD16" s="91">
        <f t="shared" si="675"/>
        <v>0</v>
      </c>
      <c r="KS16" s="91">
        <f t="shared" si="676"/>
        <v>0</v>
      </c>
      <c r="KT16" s="91">
        <f t="shared" si="677"/>
        <v>0</v>
      </c>
      <c r="LI16" s="91">
        <f t="shared" si="678"/>
        <v>0</v>
      </c>
      <c r="LJ16" s="91">
        <f t="shared" si="679"/>
        <v>0</v>
      </c>
      <c r="LY16" s="91">
        <f t="shared" si="680"/>
        <v>0</v>
      </c>
      <c r="LZ16" s="91">
        <f t="shared" si="681"/>
        <v>0</v>
      </c>
      <c r="MC16" s="98">
        <v>9700</v>
      </c>
      <c r="MD16" s="98">
        <v>116399.99999999999</v>
      </c>
      <c r="MO16" s="91">
        <f t="shared" si="682"/>
        <v>9700</v>
      </c>
      <c r="MP16" s="91">
        <f t="shared" si="683"/>
        <v>116399.99999999999</v>
      </c>
      <c r="MS16" s="98">
        <v>940</v>
      </c>
      <c r="MT16" s="98">
        <v>20680</v>
      </c>
      <c r="NE16" s="91">
        <f t="shared" si="684"/>
        <v>940</v>
      </c>
      <c r="NF16" s="91">
        <f t="shared" si="685"/>
        <v>20680</v>
      </c>
      <c r="NU16" s="91">
        <f t="shared" si="686"/>
        <v>0</v>
      </c>
      <c r="NV16" s="91">
        <f t="shared" si="687"/>
        <v>0</v>
      </c>
      <c r="OK16" s="91">
        <f t="shared" si="688"/>
        <v>0</v>
      </c>
      <c r="OL16" s="91">
        <f t="shared" si="689"/>
        <v>0</v>
      </c>
      <c r="PA16" s="91">
        <f t="shared" si="690"/>
        <v>0</v>
      </c>
      <c r="PB16" s="91">
        <f t="shared" si="691"/>
        <v>0</v>
      </c>
      <c r="PQ16" s="91">
        <f t="shared" si="692"/>
        <v>0</v>
      </c>
      <c r="PR16" s="91">
        <f t="shared" si="693"/>
        <v>0</v>
      </c>
      <c r="QG16" s="91">
        <f t="shared" si="694"/>
        <v>0</v>
      </c>
      <c r="QH16" s="91">
        <f t="shared" si="695"/>
        <v>0</v>
      </c>
      <c r="QW16" s="91">
        <f t="shared" si="696"/>
        <v>0</v>
      </c>
      <c r="QX16" s="91">
        <f t="shared" si="697"/>
        <v>0</v>
      </c>
      <c r="RM16" s="91">
        <f t="shared" si="698"/>
        <v>0</v>
      </c>
      <c r="RN16" s="91">
        <f t="shared" si="699"/>
        <v>0</v>
      </c>
      <c r="SC16" s="91">
        <f t="shared" si="700"/>
        <v>0</v>
      </c>
      <c r="SD16" s="91">
        <f t="shared" si="701"/>
        <v>0</v>
      </c>
      <c r="SS16" s="91">
        <f t="shared" si="702"/>
        <v>0</v>
      </c>
      <c r="ST16" s="91">
        <f t="shared" si="703"/>
        <v>0</v>
      </c>
      <c r="TI16" s="91">
        <f t="shared" si="704"/>
        <v>0</v>
      </c>
      <c r="TJ16" s="91">
        <f t="shared" si="705"/>
        <v>0</v>
      </c>
      <c r="TY16" s="91">
        <f t="shared" si="706"/>
        <v>0</v>
      </c>
      <c r="TZ16" s="91">
        <f t="shared" si="707"/>
        <v>0</v>
      </c>
      <c r="UO16" s="91">
        <f t="shared" si="708"/>
        <v>0</v>
      </c>
      <c r="UP16" s="91">
        <f t="shared" si="637"/>
        <v>0</v>
      </c>
      <c r="VE16" s="91">
        <f t="shared" si="709"/>
        <v>0</v>
      </c>
      <c r="VF16" s="91">
        <f t="shared" si="710"/>
        <v>0</v>
      </c>
      <c r="VU16" s="91">
        <f t="shared" si="711"/>
        <v>0</v>
      </c>
      <c r="VV16" s="91">
        <f t="shared" si="712"/>
        <v>0</v>
      </c>
      <c r="WK16" s="91">
        <f t="shared" si="713"/>
        <v>0</v>
      </c>
      <c r="WL16" s="91">
        <f t="shared" si="714"/>
        <v>0</v>
      </c>
      <c r="WM16" s="89"/>
      <c r="WN16" s="87">
        <f t="shared" si="715"/>
        <v>0</v>
      </c>
      <c r="WO16" s="87">
        <f t="shared" si="716"/>
        <v>0</v>
      </c>
      <c r="WP16" s="87">
        <f t="shared" si="717"/>
        <v>168240</v>
      </c>
      <c r="WQ16" s="87">
        <f t="shared" si="718"/>
        <v>4077080</v>
      </c>
      <c r="WR16" s="87">
        <f t="shared" si="719"/>
        <v>0</v>
      </c>
      <c r="WS16" s="87">
        <f t="shared" si="720"/>
        <v>0</v>
      </c>
      <c r="WT16" s="87">
        <f t="shared" si="721"/>
        <v>0</v>
      </c>
      <c r="WU16" s="87">
        <f t="shared" si="722"/>
        <v>0</v>
      </c>
      <c r="WV16" s="87">
        <f t="shared" si="723"/>
        <v>0</v>
      </c>
      <c r="WW16" s="87">
        <f t="shared" si="724"/>
        <v>0</v>
      </c>
      <c r="WX16" s="87">
        <f t="shared" si="725"/>
        <v>0</v>
      </c>
      <c r="WY16" s="87">
        <f t="shared" si="726"/>
        <v>0</v>
      </c>
      <c r="WZ16" s="87">
        <f t="shared" si="727"/>
        <v>0</v>
      </c>
      <c r="XA16" s="87">
        <f t="shared" si="728"/>
        <v>0</v>
      </c>
      <c r="XB16" s="92">
        <f t="shared" si="729"/>
        <v>168240</v>
      </c>
      <c r="XC16" s="92">
        <f t="shared" si="730"/>
        <v>4077080</v>
      </c>
      <c r="XD16" s="89"/>
      <c r="XE16" s="92">
        <f t="shared" si="638"/>
        <v>510830</v>
      </c>
      <c r="XF16" s="92">
        <f t="shared" si="639"/>
        <v>12638560</v>
      </c>
      <c r="XG16" s="89"/>
      <c r="XH16" s="92">
        <f t="shared" ref="XH16:XI16" si="748">SUM(XE16,XE54)</f>
        <v>737792</v>
      </c>
      <c r="XI16" s="92">
        <f t="shared" si="748"/>
        <v>18383624</v>
      </c>
      <c r="XJ16" s="89"/>
      <c r="XK16" s="87">
        <f t="shared" si="732"/>
        <v>0</v>
      </c>
      <c r="XL16" s="87">
        <f t="shared" si="733"/>
        <v>1355843</v>
      </c>
      <c r="XM16" s="87">
        <f t="shared" si="734"/>
        <v>0</v>
      </c>
      <c r="XN16" s="87">
        <f t="shared" si="735"/>
        <v>0</v>
      </c>
      <c r="XO16" s="87">
        <f t="shared" si="736"/>
        <v>0</v>
      </c>
      <c r="XP16" s="87">
        <f t="shared" si="737"/>
        <v>0</v>
      </c>
      <c r="XQ16" s="87">
        <f t="shared" si="738"/>
        <v>0</v>
      </c>
      <c r="XR16" s="92">
        <f t="shared" si="739"/>
        <v>1355843</v>
      </c>
      <c r="XS16" s="89"/>
      <c r="XT16" s="87">
        <f t="shared" si="740"/>
        <v>0</v>
      </c>
      <c r="XU16" s="87">
        <f t="shared" si="741"/>
        <v>36575446</v>
      </c>
      <c r="XV16" s="87">
        <f t="shared" si="742"/>
        <v>0</v>
      </c>
      <c r="XW16" s="87">
        <f t="shared" si="743"/>
        <v>0</v>
      </c>
      <c r="XX16" s="87">
        <f t="shared" si="744"/>
        <v>0</v>
      </c>
      <c r="XY16" s="87">
        <f t="shared" si="745"/>
        <v>0</v>
      </c>
      <c r="XZ16" s="87">
        <f t="shared" si="746"/>
        <v>0</v>
      </c>
      <c r="YA16" s="92">
        <f t="shared" si="747"/>
        <v>36575446</v>
      </c>
    </row>
    <row r="17" spans="1:1017">
      <c r="A17" s="98" t="s">
        <v>25</v>
      </c>
      <c r="B17" s="648" t="s">
        <v>540</v>
      </c>
      <c r="Q17" s="91">
        <f t="shared" si="640"/>
        <v>0</v>
      </c>
      <c r="R17" s="91">
        <f t="shared" si="641"/>
        <v>0</v>
      </c>
      <c r="AG17" s="91">
        <f t="shared" si="642"/>
        <v>0</v>
      </c>
      <c r="AH17" s="91">
        <f t="shared" si="643"/>
        <v>0</v>
      </c>
      <c r="AW17" s="91">
        <f t="shared" si="644"/>
        <v>0</v>
      </c>
      <c r="AX17" s="91">
        <f t="shared" si="645"/>
        <v>0</v>
      </c>
      <c r="BM17" s="91">
        <f t="shared" si="646"/>
        <v>0</v>
      </c>
      <c r="BN17" s="91">
        <f t="shared" si="647"/>
        <v>0</v>
      </c>
      <c r="CC17" s="91">
        <f t="shared" si="648"/>
        <v>0</v>
      </c>
      <c r="CD17" s="91">
        <f t="shared" si="649"/>
        <v>0</v>
      </c>
      <c r="CS17" s="91">
        <f t="shared" si="650"/>
        <v>0</v>
      </c>
      <c r="CT17" s="91">
        <f t="shared" si="651"/>
        <v>0</v>
      </c>
      <c r="DI17" s="91">
        <f t="shared" si="652"/>
        <v>0</v>
      </c>
      <c r="DJ17" s="91">
        <f t="shared" si="653"/>
        <v>0</v>
      </c>
      <c r="DY17" s="91">
        <f t="shared" si="654"/>
        <v>0</v>
      </c>
      <c r="DZ17" s="91">
        <f t="shared" si="655"/>
        <v>0</v>
      </c>
      <c r="EO17" s="91">
        <f t="shared" si="656"/>
        <v>0</v>
      </c>
      <c r="EP17" s="91">
        <f t="shared" si="657"/>
        <v>0</v>
      </c>
      <c r="FE17" s="91">
        <f t="shared" si="658"/>
        <v>0</v>
      </c>
      <c r="FF17" s="91">
        <f t="shared" si="659"/>
        <v>0</v>
      </c>
      <c r="FU17" s="91">
        <f t="shared" si="660"/>
        <v>0</v>
      </c>
      <c r="FV17" s="91">
        <f t="shared" si="661"/>
        <v>0</v>
      </c>
      <c r="GK17" s="91">
        <f t="shared" si="662"/>
        <v>0</v>
      </c>
      <c r="GL17" s="91">
        <f t="shared" si="663"/>
        <v>0</v>
      </c>
      <c r="HA17" s="91">
        <f t="shared" si="664"/>
        <v>0</v>
      </c>
      <c r="HB17" s="91">
        <f t="shared" si="665"/>
        <v>0</v>
      </c>
      <c r="HQ17" s="91">
        <f t="shared" si="666"/>
        <v>0</v>
      </c>
      <c r="HR17" s="91">
        <f t="shared" si="667"/>
        <v>0</v>
      </c>
      <c r="IG17" s="91">
        <f t="shared" si="668"/>
        <v>0</v>
      </c>
      <c r="IH17" s="91">
        <f t="shared" si="669"/>
        <v>0</v>
      </c>
      <c r="IW17" s="91">
        <f t="shared" si="670"/>
        <v>0</v>
      </c>
      <c r="IX17" s="91">
        <f t="shared" si="671"/>
        <v>0</v>
      </c>
      <c r="JM17" s="91">
        <f t="shared" si="672"/>
        <v>0</v>
      </c>
      <c r="JN17" s="91">
        <f t="shared" si="673"/>
        <v>0</v>
      </c>
      <c r="KC17" s="91">
        <f t="shared" si="674"/>
        <v>0</v>
      </c>
      <c r="KD17" s="91">
        <f t="shared" si="675"/>
        <v>0</v>
      </c>
      <c r="KS17" s="91">
        <f t="shared" si="676"/>
        <v>0</v>
      </c>
      <c r="KT17" s="91">
        <f t="shared" si="677"/>
        <v>0</v>
      </c>
      <c r="LI17" s="91">
        <f t="shared" si="678"/>
        <v>0</v>
      </c>
      <c r="LJ17" s="91">
        <f t="shared" si="679"/>
        <v>0</v>
      </c>
      <c r="LY17" s="91">
        <f t="shared" si="680"/>
        <v>0</v>
      </c>
      <c r="LZ17" s="91">
        <f t="shared" si="681"/>
        <v>0</v>
      </c>
      <c r="MO17" s="91">
        <f t="shared" si="682"/>
        <v>0</v>
      </c>
      <c r="MP17" s="91">
        <f t="shared" si="683"/>
        <v>0</v>
      </c>
      <c r="NE17" s="91">
        <f t="shared" si="684"/>
        <v>0</v>
      </c>
      <c r="NF17" s="91">
        <f t="shared" si="685"/>
        <v>0</v>
      </c>
      <c r="NU17" s="91">
        <f t="shared" si="686"/>
        <v>0</v>
      </c>
      <c r="NV17" s="91">
        <f t="shared" si="687"/>
        <v>0</v>
      </c>
      <c r="NW17" s="98">
        <v>3000</v>
      </c>
      <c r="NX17" s="98">
        <v>12000</v>
      </c>
      <c r="OK17" s="91">
        <f t="shared" si="688"/>
        <v>3000</v>
      </c>
      <c r="OL17" s="91">
        <f t="shared" si="689"/>
        <v>12000</v>
      </c>
      <c r="OM17" s="98">
        <v>46880920</v>
      </c>
      <c r="ON17" s="98">
        <v>281285520</v>
      </c>
      <c r="PA17" s="91">
        <f t="shared" si="690"/>
        <v>46880920</v>
      </c>
      <c r="PB17" s="91">
        <f t="shared" si="691"/>
        <v>281285520</v>
      </c>
      <c r="PQ17" s="91">
        <f t="shared" si="692"/>
        <v>0</v>
      </c>
      <c r="PR17" s="91">
        <f t="shared" si="693"/>
        <v>0</v>
      </c>
      <c r="QG17" s="91">
        <f t="shared" si="694"/>
        <v>0</v>
      </c>
      <c r="QH17" s="91">
        <f t="shared" si="695"/>
        <v>0</v>
      </c>
      <c r="QW17" s="91">
        <f t="shared" si="696"/>
        <v>0</v>
      </c>
      <c r="QX17" s="91">
        <f t="shared" si="697"/>
        <v>0</v>
      </c>
      <c r="RM17" s="91">
        <f t="shared" si="698"/>
        <v>0</v>
      </c>
      <c r="RN17" s="91">
        <f t="shared" si="699"/>
        <v>0</v>
      </c>
      <c r="SC17" s="91">
        <f t="shared" si="700"/>
        <v>0</v>
      </c>
      <c r="SD17" s="91">
        <f t="shared" si="701"/>
        <v>0</v>
      </c>
      <c r="SS17" s="91">
        <f t="shared" si="702"/>
        <v>0</v>
      </c>
      <c r="ST17" s="91">
        <f t="shared" si="703"/>
        <v>0</v>
      </c>
      <c r="TI17" s="91">
        <f t="shared" si="704"/>
        <v>0</v>
      </c>
      <c r="TJ17" s="91">
        <f t="shared" si="705"/>
        <v>0</v>
      </c>
      <c r="TY17" s="91">
        <f t="shared" si="706"/>
        <v>0</v>
      </c>
      <c r="TZ17" s="91">
        <f t="shared" si="707"/>
        <v>0</v>
      </c>
      <c r="UO17" s="91">
        <f t="shared" si="708"/>
        <v>0</v>
      </c>
      <c r="UP17" s="91">
        <f t="shared" si="637"/>
        <v>0</v>
      </c>
      <c r="VE17" s="91">
        <f t="shared" si="709"/>
        <v>0</v>
      </c>
      <c r="VF17" s="91">
        <f t="shared" si="710"/>
        <v>0</v>
      </c>
      <c r="VU17" s="91">
        <f t="shared" si="711"/>
        <v>0</v>
      </c>
      <c r="VV17" s="91">
        <f t="shared" si="712"/>
        <v>0</v>
      </c>
      <c r="WK17" s="91">
        <f t="shared" si="713"/>
        <v>0</v>
      </c>
      <c r="WL17" s="91">
        <f t="shared" si="714"/>
        <v>0</v>
      </c>
      <c r="WM17" s="89"/>
      <c r="WN17" s="87">
        <f t="shared" si="715"/>
        <v>46883920</v>
      </c>
      <c r="WO17" s="87">
        <f t="shared" si="716"/>
        <v>281297520</v>
      </c>
      <c r="WP17" s="87">
        <f t="shared" si="717"/>
        <v>0</v>
      </c>
      <c r="WQ17" s="87">
        <f t="shared" si="718"/>
        <v>0</v>
      </c>
      <c r="WR17" s="87">
        <f t="shared" si="719"/>
        <v>0</v>
      </c>
      <c r="WS17" s="87">
        <f t="shared" si="720"/>
        <v>0</v>
      </c>
      <c r="WT17" s="87">
        <f t="shared" si="721"/>
        <v>0</v>
      </c>
      <c r="WU17" s="87">
        <f t="shared" si="722"/>
        <v>0</v>
      </c>
      <c r="WV17" s="87">
        <f t="shared" si="723"/>
        <v>0</v>
      </c>
      <c r="WW17" s="87">
        <f t="shared" si="724"/>
        <v>0</v>
      </c>
      <c r="WX17" s="87">
        <f t="shared" si="725"/>
        <v>0</v>
      </c>
      <c r="WY17" s="87">
        <f t="shared" si="726"/>
        <v>0</v>
      </c>
      <c r="WZ17" s="87">
        <f t="shared" si="727"/>
        <v>0</v>
      </c>
      <c r="XA17" s="87">
        <f t="shared" si="728"/>
        <v>0</v>
      </c>
      <c r="XB17" s="92">
        <f t="shared" si="729"/>
        <v>46883920</v>
      </c>
      <c r="XC17" s="92">
        <f t="shared" si="730"/>
        <v>281297520</v>
      </c>
      <c r="XD17" s="89"/>
      <c r="XE17" s="92">
        <f t="shared" si="638"/>
        <v>155114617</v>
      </c>
      <c r="XF17" s="92">
        <f t="shared" si="639"/>
        <v>930669702</v>
      </c>
      <c r="XG17" s="89"/>
      <c r="XH17" s="92">
        <f t="shared" ref="XH17:XI17" si="749">SUM(XE17,XE55)</f>
        <v>323083821</v>
      </c>
      <c r="XI17" s="92">
        <f t="shared" si="749"/>
        <v>1630882072</v>
      </c>
      <c r="XJ17" s="89"/>
      <c r="XK17" s="87">
        <f t="shared" si="732"/>
        <v>759882881</v>
      </c>
      <c r="XL17" s="87">
        <f t="shared" si="733"/>
        <v>0</v>
      </c>
      <c r="XM17" s="87">
        <f t="shared" si="734"/>
        <v>0</v>
      </c>
      <c r="XN17" s="87">
        <f t="shared" si="735"/>
        <v>0</v>
      </c>
      <c r="XO17" s="87">
        <f t="shared" si="736"/>
        <v>0</v>
      </c>
      <c r="XP17" s="87">
        <f t="shared" si="737"/>
        <v>0</v>
      </c>
      <c r="XQ17" s="87">
        <f t="shared" si="738"/>
        <v>0</v>
      </c>
      <c r="XR17" s="92">
        <f t="shared" si="739"/>
        <v>759882881</v>
      </c>
      <c r="XS17" s="89"/>
      <c r="XT17" s="87">
        <f t="shared" si="740"/>
        <v>3814877372</v>
      </c>
      <c r="XU17" s="87">
        <f t="shared" si="741"/>
        <v>0</v>
      </c>
      <c r="XV17" s="87">
        <f t="shared" si="742"/>
        <v>0</v>
      </c>
      <c r="XW17" s="87">
        <f t="shared" si="743"/>
        <v>0</v>
      </c>
      <c r="XX17" s="87">
        <f t="shared" si="744"/>
        <v>0</v>
      </c>
      <c r="XY17" s="87">
        <f t="shared" si="745"/>
        <v>0</v>
      </c>
      <c r="XZ17" s="87">
        <f t="shared" si="746"/>
        <v>0</v>
      </c>
      <c r="YA17" s="92">
        <f t="shared" si="747"/>
        <v>3814877372</v>
      </c>
    </row>
    <row r="18" spans="1:1017">
      <c r="A18" s="98" t="s">
        <v>25</v>
      </c>
      <c r="B18" s="775" t="s">
        <v>392</v>
      </c>
      <c r="Q18" s="91">
        <f t="shared" si="640"/>
        <v>0</v>
      </c>
      <c r="R18" s="91">
        <f t="shared" si="641"/>
        <v>0</v>
      </c>
      <c r="Y18" s="98">
        <v>260</v>
      </c>
      <c r="Z18" s="98">
        <v>10400</v>
      </c>
      <c r="AG18" s="91">
        <f t="shared" si="642"/>
        <v>260</v>
      </c>
      <c r="AH18" s="91">
        <f t="shared" si="643"/>
        <v>10400</v>
      </c>
      <c r="AW18" s="91">
        <f t="shared" si="644"/>
        <v>0</v>
      </c>
      <c r="AX18" s="91">
        <f t="shared" si="645"/>
        <v>0</v>
      </c>
      <c r="BM18" s="91">
        <f t="shared" si="646"/>
        <v>0</v>
      </c>
      <c r="BN18" s="91">
        <f t="shared" si="647"/>
        <v>0</v>
      </c>
      <c r="CC18" s="91">
        <f t="shared" si="648"/>
        <v>0</v>
      </c>
      <c r="CD18" s="91">
        <f t="shared" si="649"/>
        <v>0</v>
      </c>
      <c r="CS18" s="91">
        <f t="shared" si="650"/>
        <v>0</v>
      </c>
      <c r="CT18" s="91">
        <f t="shared" si="651"/>
        <v>0</v>
      </c>
      <c r="DI18" s="91">
        <f t="shared" si="652"/>
        <v>0</v>
      </c>
      <c r="DJ18" s="91">
        <f t="shared" si="653"/>
        <v>0</v>
      </c>
      <c r="DY18" s="91">
        <f t="shared" si="654"/>
        <v>0</v>
      </c>
      <c r="DZ18" s="91">
        <f t="shared" si="655"/>
        <v>0</v>
      </c>
      <c r="EO18" s="91">
        <f t="shared" si="656"/>
        <v>0</v>
      </c>
      <c r="EP18" s="91">
        <f t="shared" si="657"/>
        <v>0</v>
      </c>
      <c r="EW18" s="98">
        <v>1176</v>
      </c>
      <c r="EX18" s="98">
        <v>70560</v>
      </c>
      <c r="FE18" s="91">
        <f t="shared" si="658"/>
        <v>1176</v>
      </c>
      <c r="FF18" s="91">
        <f t="shared" si="659"/>
        <v>70560</v>
      </c>
      <c r="FM18" s="98">
        <v>300</v>
      </c>
      <c r="FN18" s="98">
        <v>13500</v>
      </c>
      <c r="FU18" s="91">
        <f t="shared" si="660"/>
        <v>300</v>
      </c>
      <c r="FV18" s="91">
        <f t="shared" si="661"/>
        <v>13500</v>
      </c>
      <c r="GK18" s="91">
        <f t="shared" si="662"/>
        <v>0</v>
      </c>
      <c r="GL18" s="91">
        <f t="shared" si="663"/>
        <v>0</v>
      </c>
      <c r="HA18" s="91">
        <f t="shared" si="664"/>
        <v>0</v>
      </c>
      <c r="HB18" s="91">
        <f t="shared" si="665"/>
        <v>0</v>
      </c>
      <c r="HQ18" s="91">
        <f t="shared" si="666"/>
        <v>0</v>
      </c>
      <c r="HR18" s="91">
        <f t="shared" si="667"/>
        <v>0</v>
      </c>
      <c r="IG18" s="91">
        <f t="shared" si="668"/>
        <v>0</v>
      </c>
      <c r="IH18" s="91">
        <f t="shared" si="669"/>
        <v>0</v>
      </c>
      <c r="IO18" s="98">
        <v>1400</v>
      </c>
      <c r="IP18" s="98">
        <v>49000</v>
      </c>
      <c r="IW18" s="91">
        <f t="shared" si="670"/>
        <v>1400</v>
      </c>
      <c r="IX18" s="91">
        <f t="shared" si="671"/>
        <v>49000</v>
      </c>
      <c r="JM18" s="91">
        <f t="shared" si="672"/>
        <v>0</v>
      </c>
      <c r="JN18" s="91">
        <f t="shared" si="673"/>
        <v>0</v>
      </c>
      <c r="KC18" s="91">
        <f t="shared" si="674"/>
        <v>0</v>
      </c>
      <c r="KD18" s="91">
        <f t="shared" si="675"/>
        <v>0</v>
      </c>
      <c r="KS18" s="91">
        <f t="shared" si="676"/>
        <v>0</v>
      </c>
      <c r="KT18" s="91">
        <f t="shared" si="677"/>
        <v>0</v>
      </c>
      <c r="LI18" s="91">
        <f t="shared" si="678"/>
        <v>0</v>
      </c>
      <c r="LJ18" s="91">
        <f t="shared" si="679"/>
        <v>0</v>
      </c>
      <c r="LQ18" s="98">
        <v>45</v>
      </c>
      <c r="LR18" s="98">
        <v>2250</v>
      </c>
      <c r="LY18" s="91">
        <f t="shared" si="680"/>
        <v>45</v>
      </c>
      <c r="LZ18" s="91">
        <f t="shared" si="681"/>
        <v>2250</v>
      </c>
      <c r="MO18" s="91">
        <f t="shared" si="682"/>
        <v>0</v>
      </c>
      <c r="MP18" s="91">
        <f t="shared" si="683"/>
        <v>0</v>
      </c>
      <c r="NE18" s="91">
        <f t="shared" si="684"/>
        <v>0</v>
      </c>
      <c r="NF18" s="91">
        <f t="shared" si="685"/>
        <v>0</v>
      </c>
      <c r="NU18" s="91">
        <f t="shared" si="686"/>
        <v>0</v>
      </c>
      <c r="NV18" s="91">
        <f t="shared" si="687"/>
        <v>0</v>
      </c>
      <c r="OK18" s="91">
        <f t="shared" si="688"/>
        <v>0</v>
      </c>
      <c r="OL18" s="91">
        <f t="shared" si="689"/>
        <v>0</v>
      </c>
      <c r="PA18" s="91">
        <f t="shared" si="690"/>
        <v>0</v>
      </c>
      <c r="PB18" s="91">
        <f t="shared" si="691"/>
        <v>0</v>
      </c>
      <c r="PI18" s="98">
        <v>1273</v>
      </c>
      <c r="PJ18" s="98">
        <v>38190</v>
      </c>
      <c r="PQ18" s="91">
        <f t="shared" si="692"/>
        <v>1273</v>
      </c>
      <c r="PR18" s="91">
        <f t="shared" si="693"/>
        <v>38190</v>
      </c>
      <c r="PY18" s="98">
        <v>2300</v>
      </c>
      <c r="PZ18" s="98">
        <v>103500</v>
      </c>
      <c r="QG18" s="91">
        <f t="shared" si="694"/>
        <v>2300</v>
      </c>
      <c r="QH18" s="91">
        <f t="shared" si="695"/>
        <v>103500</v>
      </c>
      <c r="QO18" s="98">
        <v>5000</v>
      </c>
      <c r="QP18" s="98">
        <v>175000</v>
      </c>
      <c r="QW18" s="91">
        <f t="shared" si="696"/>
        <v>5000</v>
      </c>
      <c r="QX18" s="91">
        <f t="shared" si="697"/>
        <v>175000</v>
      </c>
      <c r="RM18" s="91">
        <f t="shared" si="698"/>
        <v>0</v>
      </c>
      <c r="RN18" s="91">
        <f t="shared" si="699"/>
        <v>0</v>
      </c>
      <c r="SC18" s="91">
        <f t="shared" si="700"/>
        <v>0</v>
      </c>
      <c r="SD18" s="91">
        <f t="shared" si="701"/>
        <v>0</v>
      </c>
      <c r="SS18" s="91">
        <f t="shared" si="702"/>
        <v>0</v>
      </c>
      <c r="ST18" s="91">
        <f t="shared" si="703"/>
        <v>0</v>
      </c>
      <c r="TI18" s="91">
        <f t="shared" si="704"/>
        <v>0</v>
      </c>
      <c r="TJ18" s="91">
        <f t="shared" si="705"/>
        <v>0</v>
      </c>
      <c r="TY18" s="91">
        <f t="shared" si="706"/>
        <v>0</v>
      </c>
      <c r="TZ18" s="91">
        <f t="shared" si="707"/>
        <v>0</v>
      </c>
      <c r="UO18" s="91">
        <f t="shared" si="708"/>
        <v>0</v>
      </c>
      <c r="UP18" s="91">
        <f t="shared" si="637"/>
        <v>0</v>
      </c>
      <c r="VE18" s="91">
        <f t="shared" si="709"/>
        <v>0</v>
      </c>
      <c r="VF18" s="91">
        <f t="shared" si="710"/>
        <v>0</v>
      </c>
      <c r="VU18" s="91">
        <f t="shared" si="711"/>
        <v>0</v>
      </c>
      <c r="VV18" s="91">
        <f t="shared" si="712"/>
        <v>0</v>
      </c>
      <c r="WK18" s="91">
        <f t="shared" si="713"/>
        <v>0</v>
      </c>
      <c r="WL18" s="91">
        <f t="shared" si="714"/>
        <v>0</v>
      </c>
      <c r="WM18" s="89"/>
      <c r="WN18" s="87">
        <f t="shared" si="715"/>
        <v>0</v>
      </c>
      <c r="WO18" s="87">
        <f t="shared" si="716"/>
        <v>0</v>
      </c>
      <c r="WP18" s="87">
        <f t="shared" si="717"/>
        <v>0</v>
      </c>
      <c r="WQ18" s="87">
        <f t="shared" si="718"/>
        <v>0</v>
      </c>
      <c r="WR18" s="87">
        <f t="shared" si="719"/>
        <v>0</v>
      </c>
      <c r="WS18" s="87">
        <f t="shared" si="720"/>
        <v>0</v>
      </c>
      <c r="WT18" s="87">
        <f t="shared" si="721"/>
        <v>11754</v>
      </c>
      <c r="WU18" s="87">
        <f t="shared" si="722"/>
        <v>462400</v>
      </c>
      <c r="WV18" s="87">
        <f t="shared" si="723"/>
        <v>0</v>
      </c>
      <c r="WW18" s="87">
        <f t="shared" si="724"/>
        <v>0</v>
      </c>
      <c r="WX18" s="87">
        <f t="shared" si="725"/>
        <v>0</v>
      </c>
      <c r="WY18" s="87">
        <f t="shared" si="726"/>
        <v>0</v>
      </c>
      <c r="WZ18" s="87">
        <f t="shared" si="727"/>
        <v>0</v>
      </c>
      <c r="XA18" s="87">
        <f t="shared" si="728"/>
        <v>0</v>
      </c>
      <c r="XB18" s="92">
        <f t="shared" si="729"/>
        <v>11754</v>
      </c>
      <c r="XC18" s="92">
        <f t="shared" si="730"/>
        <v>462400</v>
      </c>
      <c r="XD18" s="89"/>
      <c r="XE18" s="92">
        <f t="shared" si="638"/>
        <v>36417</v>
      </c>
      <c r="XF18" s="92">
        <f t="shared" si="639"/>
        <v>1480660</v>
      </c>
      <c r="XG18" s="89"/>
      <c r="XH18" s="92">
        <f t="shared" ref="XH18:XI18" si="750">SUM(XE18,XE56)</f>
        <v>172808</v>
      </c>
      <c r="XI18" s="92">
        <f t="shared" si="750"/>
        <v>7923769</v>
      </c>
      <c r="XJ18" s="89"/>
      <c r="XK18" s="87">
        <f t="shared" si="732"/>
        <v>0</v>
      </c>
      <c r="XL18" s="87">
        <f t="shared" si="733"/>
        <v>0</v>
      </c>
      <c r="XM18" s="87">
        <f t="shared" si="734"/>
        <v>0</v>
      </c>
      <c r="XN18" s="87">
        <f t="shared" si="735"/>
        <v>216504</v>
      </c>
      <c r="XO18" s="87">
        <f t="shared" si="736"/>
        <v>0</v>
      </c>
      <c r="XP18" s="87">
        <f t="shared" si="737"/>
        <v>0</v>
      </c>
      <c r="XQ18" s="87">
        <f t="shared" si="738"/>
        <v>0</v>
      </c>
      <c r="XR18" s="92">
        <f t="shared" si="739"/>
        <v>216504</v>
      </c>
      <c r="XS18" s="89"/>
      <c r="XT18" s="87">
        <f t="shared" si="740"/>
        <v>0</v>
      </c>
      <c r="XU18" s="87">
        <f t="shared" si="741"/>
        <v>0</v>
      </c>
      <c r="XV18" s="87">
        <f t="shared" si="742"/>
        <v>0</v>
      </c>
      <c r="XW18" s="87">
        <f t="shared" si="743"/>
        <v>9522809</v>
      </c>
      <c r="XX18" s="87">
        <f t="shared" si="744"/>
        <v>0</v>
      </c>
      <c r="XY18" s="87">
        <f t="shared" si="745"/>
        <v>0</v>
      </c>
      <c r="XZ18" s="87">
        <f t="shared" si="746"/>
        <v>0</v>
      </c>
      <c r="YA18" s="92">
        <f t="shared" si="747"/>
        <v>9522809</v>
      </c>
      <c r="YB18" s="90"/>
      <c r="YC18" s="90"/>
      <c r="YD18" s="90"/>
      <c r="YE18" s="90"/>
      <c r="YF18" s="90"/>
      <c r="YG18" s="90"/>
      <c r="YH18" s="90"/>
      <c r="YI18" s="90"/>
      <c r="YJ18" s="90"/>
      <c r="YK18" s="90"/>
      <c r="YL18" s="90"/>
      <c r="YM18" s="90"/>
      <c r="YN18" s="90"/>
      <c r="YO18" s="90"/>
      <c r="YP18" s="90"/>
      <c r="YQ18" s="90"/>
      <c r="YR18" s="90"/>
      <c r="YS18" s="90"/>
      <c r="YT18" s="90"/>
      <c r="YU18" s="90"/>
      <c r="YV18" s="90"/>
      <c r="YW18" s="90"/>
      <c r="YX18" s="90"/>
      <c r="YY18" s="90"/>
      <c r="YZ18" s="90"/>
      <c r="ZA18" s="90"/>
      <c r="ZB18" s="90"/>
      <c r="ZC18" s="90"/>
      <c r="ZD18" s="90"/>
      <c r="ZE18" s="90"/>
      <c r="ZF18" s="90"/>
      <c r="ZG18" s="90"/>
      <c r="ZH18" s="90"/>
      <c r="ZI18" s="90"/>
      <c r="ZJ18" s="90"/>
      <c r="ZK18" s="90"/>
      <c r="ZL18" s="90"/>
      <c r="ZM18" s="90"/>
      <c r="ZN18" s="90"/>
      <c r="ZO18" s="90"/>
      <c r="ZP18" s="90"/>
      <c r="ZQ18" s="90"/>
      <c r="ZR18" s="90"/>
      <c r="ZS18" s="90"/>
      <c r="ZT18" s="90"/>
      <c r="ZU18" s="90"/>
      <c r="ZV18" s="90"/>
      <c r="ZW18" s="90"/>
      <c r="ZX18" s="90"/>
      <c r="ZY18" s="90"/>
      <c r="ZZ18" s="90"/>
      <c r="AAA18" s="90"/>
      <c r="AAB18" s="90"/>
      <c r="AAC18" s="90"/>
      <c r="AAD18" s="90"/>
      <c r="AAE18" s="90"/>
      <c r="AAF18" s="90"/>
      <c r="AAG18" s="90"/>
      <c r="AAH18" s="90"/>
      <c r="AAI18" s="90"/>
      <c r="AAJ18" s="90"/>
      <c r="AAK18" s="90"/>
      <c r="AAL18" s="90"/>
      <c r="AAM18" s="90"/>
      <c r="AAN18" s="90"/>
      <c r="AAO18" s="90"/>
      <c r="AAP18" s="90"/>
      <c r="AAQ18" s="90"/>
      <c r="AAR18" s="90"/>
      <c r="AAS18" s="90"/>
      <c r="AAT18" s="90"/>
      <c r="AAU18" s="90"/>
      <c r="AAV18" s="90"/>
      <c r="AAW18" s="90"/>
      <c r="AAX18" s="90"/>
      <c r="AAY18" s="90"/>
      <c r="AAZ18" s="90"/>
      <c r="ABA18" s="90"/>
      <c r="ABB18" s="90"/>
      <c r="ABC18" s="90"/>
      <c r="ABD18" s="90"/>
      <c r="ABE18" s="90"/>
      <c r="ABF18" s="90"/>
      <c r="ABG18" s="90"/>
      <c r="ABH18" s="90"/>
      <c r="ABI18" s="90"/>
      <c r="ABJ18" s="90"/>
      <c r="ABK18" s="90"/>
      <c r="ABL18" s="90"/>
      <c r="ABM18" s="90"/>
      <c r="ABN18" s="90"/>
      <c r="ABO18" s="90"/>
      <c r="ABP18" s="90"/>
      <c r="ABQ18" s="90"/>
      <c r="ABR18" s="90"/>
      <c r="ABS18" s="90"/>
      <c r="ABT18" s="90"/>
      <c r="ABU18" s="90"/>
      <c r="ABV18" s="90"/>
      <c r="ABW18" s="90"/>
      <c r="ABX18" s="90"/>
      <c r="ABY18" s="90"/>
      <c r="ABZ18" s="90"/>
      <c r="ACA18" s="90"/>
      <c r="ACB18" s="90"/>
      <c r="ACC18" s="90"/>
      <c r="ACD18" s="90"/>
      <c r="ACE18" s="90"/>
      <c r="ACF18" s="90"/>
      <c r="ACG18" s="90"/>
      <c r="ACH18" s="90"/>
      <c r="ACI18" s="90"/>
      <c r="ACJ18" s="90"/>
      <c r="ACK18" s="90"/>
      <c r="ACL18" s="90"/>
      <c r="ACM18" s="90"/>
      <c r="ACN18" s="90"/>
      <c r="ACO18" s="90"/>
      <c r="ACP18" s="90"/>
      <c r="ACQ18" s="90"/>
      <c r="ACR18" s="90"/>
      <c r="ACS18" s="90"/>
      <c r="ACT18" s="90"/>
      <c r="ACU18" s="90"/>
      <c r="ACV18" s="90"/>
      <c r="ACW18" s="90"/>
      <c r="ACX18" s="90"/>
      <c r="ACY18" s="90"/>
      <c r="ACZ18" s="90"/>
      <c r="ADA18" s="90"/>
      <c r="ADB18" s="90"/>
      <c r="ADC18" s="90"/>
      <c r="ADD18" s="90"/>
      <c r="ADE18" s="90"/>
      <c r="ADF18" s="90"/>
      <c r="ADG18" s="90"/>
      <c r="ADH18" s="90"/>
      <c r="ADI18" s="90"/>
      <c r="ADJ18" s="90"/>
      <c r="ADK18" s="90"/>
      <c r="ADL18" s="90"/>
      <c r="ADM18" s="90"/>
      <c r="ADN18" s="90"/>
      <c r="ADO18" s="90"/>
      <c r="ADP18" s="90"/>
      <c r="ADQ18" s="90"/>
      <c r="ADR18" s="90"/>
      <c r="ADS18" s="90"/>
      <c r="ADT18" s="90"/>
      <c r="ADU18" s="90"/>
      <c r="ADV18" s="90"/>
      <c r="ADW18" s="90"/>
      <c r="ADX18" s="90"/>
      <c r="ADY18" s="90"/>
      <c r="ADZ18" s="90"/>
      <c r="AEA18" s="90"/>
      <c r="AEB18" s="90"/>
      <c r="AEC18" s="90"/>
      <c r="AED18" s="90"/>
      <c r="AEE18" s="90"/>
      <c r="AEF18" s="90"/>
      <c r="AEG18" s="90"/>
      <c r="AEH18" s="90"/>
      <c r="AEI18" s="90"/>
      <c r="AEJ18" s="90"/>
      <c r="AEK18" s="90"/>
      <c r="AEL18" s="90"/>
      <c r="AEM18" s="90"/>
      <c r="AEN18" s="90"/>
      <c r="AEO18" s="90"/>
      <c r="AEP18" s="90"/>
      <c r="AEQ18" s="90"/>
      <c r="AER18" s="90"/>
      <c r="AES18" s="90"/>
      <c r="AET18" s="90"/>
      <c r="AEU18" s="90"/>
      <c r="AEV18" s="90"/>
      <c r="AEW18" s="90"/>
      <c r="AEX18" s="90"/>
      <c r="AEY18" s="90"/>
      <c r="AEZ18" s="90"/>
      <c r="AFA18" s="90"/>
      <c r="AFB18" s="90"/>
      <c r="AFC18" s="90"/>
      <c r="AFD18" s="90"/>
      <c r="AFE18" s="90"/>
      <c r="AFF18" s="90"/>
      <c r="AFG18" s="90"/>
      <c r="AFH18" s="90"/>
      <c r="AFI18" s="90"/>
      <c r="AFJ18" s="90"/>
      <c r="AFK18" s="90"/>
      <c r="AFL18" s="90"/>
      <c r="AFM18" s="90"/>
      <c r="AFN18" s="90"/>
      <c r="AFO18" s="90"/>
      <c r="AFP18" s="90"/>
      <c r="AFQ18" s="90"/>
      <c r="AFR18" s="90"/>
      <c r="AFS18" s="90"/>
      <c r="AFT18" s="90"/>
      <c r="AFU18" s="90"/>
      <c r="AFV18" s="90"/>
      <c r="AFW18" s="90"/>
      <c r="AFX18" s="90"/>
      <c r="AFY18" s="90"/>
      <c r="AFZ18" s="90"/>
      <c r="AGA18" s="90"/>
      <c r="AGB18" s="90"/>
      <c r="AGC18" s="90"/>
      <c r="AGD18" s="90"/>
      <c r="AGE18" s="90"/>
      <c r="AGF18" s="90"/>
      <c r="AGG18" s="90"/>
      <c r="AGH18" s="90"/>
      <c r="AGI18" s="90"/>
      <c r="AGJ18" s="90"/>
      <c r="AGK18" s="90"/>
      <c r="AGL18" s="90"/>
      <c r="AGM18" s="90"/>
      <c r="AGN18" s="90"/>
      <c r="AGO18" s="90"/>
      <c r="AGP18" s="90"/>
      <c r="AGQ18" s="90"/>
      <c r="AGR18" s="90"/>
      <c r="AGS18" s="90"/>
      <c r="AGT18" s="90"/>
      <c r="AGU18" s="90"/>
      <c r="AGV18" s="90"/>
      <c r="AGW18" s="90"/>
      <c r="AGX18" s="90"/>
      <c r="AGY18" s="90"/>
      <c r="AGZ18" s="90"/>
      <c r="AHA18" s="90"/>
      <c r="AHB18" s="90"/>
      <c r="AHC18" s="90"/>
      <c r="AHD18" s="90"/>
      <c r="AHE18" s="90"/>
      <c r="AHF18" s="90"/>
      <c r="AHG18" s="90"/>
      <c r="AHH18" s="90"/>
      <c r="AHI18" s="90"/>
      <c r="AHJ18" s="90"/>
      <c r="AHK18" s="90"/>
      <c r="AHL18" s="90"/>
      <c r="AHM18" s="90"/>
      <c r="AHN18" s="90"/>
      <c r="AHO18" s="90"/>
      <c r="AHP18" s="90"/>
      <c r="AHQ18" s="90"/>
      <c r="AHR18" s="90"/>
      <c r="AHS18" s="90"/>
      <c r="AHT18" s="90"/>
      <c r="AHU18" s="90"/>
      <c r="AHV18" s="90"/>
      <c r="AHW18" s="90"/>
      <c r="AHX18" s="90"/>
      <c r="AHY18" s="90"/>
      <c r="AHZ18" s="90"/>
      <c r="AIA18" s="90"/>
      <c r="AIB18" s="90"/>
      <c r="AIC18" s="90"/>
      <c r="AID18" s="90"/>
      <c r="AIE18" s="90"/>
      <c r="AIF18" s="90"/>
      <c r="AIG18" s="90"/>
      <c r="AIH18" s="90"/>
      <c r="AII18" s="90"/>
      <c r="AIJ18" s="90"/>
      <c r="AIK18" s="90"/>
      <c r="AIL18" s="90"/>
      <c r="AIM18" s="90"/>
      <c r="AIN18" s="90"/>
      <c r="AIO18" s="90"/>
      <c r="AIP18" s="90"/>
      <c r="AIQ18" s="90"/>
      <c r="AIR18" s="90"/>
      <c r="AIS18" s="90"/>
      <c r="AIT18" s="90"/>
      <c r="AIU18" s="90"/>
      <c r="AIV18" s="90"/>
      <c r="AIW18" s="90"/>
      <c r="AIX18" s="90"/>
      <c r="AIY18" s="90"/>
      <c r="AIZ18" s="90"/>
      <c r="AJA18" s="90"/>
      <c r="AJB18" s="90"/>
      <c r="AJC18" s="90"/>
      <c r="AJD18" s="90"/>
      <c r="AJE18" s="90"/>
      <c r="AJF18" s="90"/>
      <c r="AJG18" s="90"/>
      <c r="AJH18" s="90"/>
      <c r="AJI18" s="90"/>
      <c r="AJJ18" s="90"/>
      <c r="AJK18" s="90"/>
      <c r="AJL18" s="90"/>
      <c r="AJM18" s="90"/>
      <c r="AJN18" s="90"/>
      <c r="AJO18" s="90"/>
      <c r="AJP18" s="90"/>
      <c r="AJQ18" s="90"/>
      <c r="AJR18" s="90"/>
      <c r="AJS18" s="90"/>
      <c r="AJT18" s="90"/>
      <c r="AJU18" s="90"/>
      <c r="AJV18" s="90"/>
      <c r="AJW18" s="90"/>
      <c r="AJX18" s="90"/>
      <c r="AJY18" s="90"/>
      <c r="AJZ18" s="90"/>
      <c r="AKA18" s="90"/>
      <c r="AKB18" s="90"/>
      <c r="AKC18" s="90"/>
      <c r="AKD18" s="90"/>
      <c r="AKE18" s="90"/>
      <c r="AKF18" s="90"/>
      <c r="AKG18" s="90"/>
      <c r="AKH18" s="90"/>
      <c r="AKI18" s="90"/>
      <c r="AKJ18" s="90"/>
      <c r="AKK18" s="90"/>
      <c r="AKL18" s="90"/>
      <c r="AKM18" s="90"/>
      <c r="AKN18" s="90"/>
      <c r="AKO18" s="90"/>
      <c r="AKP18" s="90"/>
      <c r="AKQ18" s="90"/>
      <c r="AKR18" s="90"/>
      <c r="AKS18" s="90"/>
      <c r="AKT18" s="90"/>
      <c r="AKU18" s="90"/>
      <c r="AKV18" s="90"/>
      <c r="AKW18" s="90"/>
      <c r="AKX18" s="90"/>
      <c r="AKY18" s="90"/>
      <c r="AKZ18" s="90"/>
      <c r="ALA18" s="90"/>
      <c r="ALB18" s="90"/>
      <c r="ALC18" s="90"/>
      <c r="ALD18" s="90"/>
      <c r="ALE18" s="90"/>
      <c r="ALF18" s="90"/>
      <c r="ALG18" s="90"/>
      <c r="ALH18" s="90"/>
      <c r="ALI18" s="90"/>
      <c r="ALJ18" s="90"/>
      <c r="ALK18" s="90"/>
      <c r="ALL18" s="90"/>
      <c r="ALM18" s="90"/>
      <c r="ALN18" s="90"/>
      <c r="ALO18" s="90"/>
      <c r="ALP18" s="90"/>
      <c r="ALQ18" s="90"/>
      <c r="ALR18" s="90"/>
      <c r="ALS18" s="90"/>
      <c r="ALT18" s="90"/>
      <c r="ALU18" s="90"/>
      <c r="ALV18" s="90"/>
      <c r="ALW18" s="90"/>
      <c r="ALX18" s="90"/>
      <c r="ALY18" s="90"/>
      <c r="ALZ18" s="90"/>
      <c r="AMA18" s="90"/>
      <c r="AMB18" s="90"/>
      <c r="AMC18" s="90"/>
    </row>
    <row r="19" spans="1:1017">
      <c r="A19" s="98" t="s">
        <v>25</v>
      </c>
      <c r="B19" s="648" t="s">
        <v>541</v>
      </c>
      <c r="Q19" s="91">
        <f t="shared" si="640"/>
        <v>0</v>
      </c>
      <c r="R19" s="91">
        <f t="shared" si="641"/>
        <v>0</v>
      </c>
      <c r="AG19" s="91">
        <f t="shared" si="642"/>
        <v>0</v>
      </c>
      <c r="AH19" s="91">
        <f t="shared" si="643"/>
        <v>0</v>
      </c>
      <c r="AW19" s="91">
        <f t="shared" si="644"/>
        <v>0</v>
      </c>
      <c r="AX19" s="91">
        <f t="shared" si="645"/>
        <v>0</v>
      </c>
      <c r="BM19" s="91">
        <f t="shared" si="646"/>
        <v>0</v>
      </c>
      <c r="BN19" s="91">
        <f t="shared" si="647"/>
        <v>0</v>
      </c>
      <c r="CC19" s="91">
        <f t="shared" si="648"/>
        <v>0</v>
      </c>
      <c r="CD19" s="91">
        <f t="shared" si="649"/>
        <v>0</v>
      </c>
      <c r="CG19" s="98">
        <v>414033.74739089998</v>
      </c>
      <c r="CH19" s="98">
        <v>828067.49478179996</v>
      </c>
      <c r="CS19" s="91">
        <f t="shared" si="650"/>
        <v>414033.74739089998</v>
      </c>
      <c r="CT19" s="91">
        <f t="shared" si="651"/>
        <v>828067.49478179996</v>
      </c>
      <c r="DI19" s="91">
        <f t="shared" si="652"/>
        <v>0</v>
      </c>
      <c r="DJ19" s="91">
        <f t="shared" si="653"/>
        <v>0</v>
      </c>
      <c r="DY19" s="91">
        <f t="shared" si="654"/>
        <v>0</v>
      </c>
      <c r="DZ19" s="91">
        <f t="shared" si="655"/>
        <v>0</v>
      </c>
      <c r="EO19" s="91">
        <f t="shared" si="656"/>
        <v>0</v>
      </c>
      <c r="EP19" s="91">
        <f t="shared" si="657"/>
        <v>0</v>
      </c>
      <c r="FE19" s="91">
        <f t="shared" si="658"/>
        <v>0</v>
      </c>
      <c r="FF19" s="91">
        <f t="shared" si="659"/>
        <v>0</v>
      </c>
      <c r="FU19" s="91">
        <f t="shared" si="660"/>
        <v>0</v>
      </c>
      <c r="FV19" s="91">
        <f t="shared" si="661"/>
        <v>0</v>
      </c>
      <c r="GK19" s="91">
        <f t="shared" si="662"/>
        <v>0</v>
      </c>
      <c r="GL19" s="91">
        <f t="shared" si="663"/>
        <v>0</v>
      </c>
      <c r="HA19" s="91">
        <f t="shared" si="664"/>
        <v>0</v>
      </c>
      <c r="HB19" s="91">
        <f t="shared" si="665"/>
        <v>0</v>
      </c>
      <c r="HQ19" s="91">
        <f t="shared" si="666"/>
        <v>0</v>
      </c>
      <c r="HR19" s="91">
        <f t="shared" si="667"/>
        <v>0</v>
      </c>
      <c r="IG19" s="91">
        <f t="shared" si="668"/>
        <v>0</v>
      </c>
      <c r="IH19" s="91">
        <f t="shared" si="669"/>
        <v>0</v>
      </c>
      <c r="IW19" s="91">
        <f t="shared" si="670"/>
        <v>0</v>
      </c>
      <c r="IX19" s="91">
        <f t="shared" si="671"/>
        <v>0</v>
      </c>
      <c r="JM19" s="91">
        <f t="shared" si="672"/>
        <v>0</v>
      </c>
      <c r="JN19" s="91">
        <f t="shared" si="673"/>
        <v>0</v>
      </c>
      <c r="KC19" s="91">
        <f t="shared" si="674"/>
        <v>0</v>
      </c>
      <c r="KD19" s="91">
        <f t="shared" si="675"/>
        <v>0</v>
      </c>
      <c r="KS19" s="91">
        <f t="shared" si="676"/>
        <v>0</v>
      </c>
      <c r="KT19" s="91">
        <f t="shared" si="677"/>
        <v>0</v>
      </c>
      <c r="KW19" s="98">
        <v>95534.21</v>
      </c>
      <c r="KX19" s="98">
        <v>143301</v>
      </c>
      <c r="LI19" s="91">
        <f t="shared" si="678"/>
        <v>95534.21</v>
      </c>
      <c r="LJ19" s="91">
        <f t="shared" si="679"/>
        <v>143301</v>
      </c>
      <c r="LR19" s="98">
        <f>LR18/LQ18</f>
        <v>50</v>
      </c>
      <c r="LY19" s="91">
        <f t="shared" si="680"/>
        <v>0</v>
      </c>
      <c r="LZ19" s="91">
        <f t="shared" si="681"/>
        <v>50</v>
      </c>
      <c r="MO19" s="91">
        <f t="shared" si="682"/>
        <v>0</v>
      </c>
      <c r="MP19" s="91">
        <f t="shared" si="683"/>
        <v>0</v>
      </c>
      <c r="NE19" s="91">
        <f t="shared" si="684"/>
        <v>0</v>
      </c>
      <c r="NF19" s="91">
        <f t="shared" si="685"/>
        <v>0</v>
      </c>
      <c r="NI19" s="98">
        <v>505200</v>
      </c>
      <c r="NJ19" s="98">
        <v>1161960</v>
      </c>
      <c r="NU19" s="91">
        <f t="shared" si="686"/>
        <v>505200</v>
      </c>
      <c r="NV19" s="91">
        <f t="shared" si="687"/>
        <v>1161960</v>
      </c>
      <c r="NY19" s="98">
        <v>14020</v>
      </c>
      <c r="NZ19" s="98">
        <v>42060</v>
      </c>
      <c r="OK19" s="91">
        <f t="shared" si="688"/>
        <v>14020</v>
      </c>
      <c r="OL19" s="91">
        <f t="shared" si="689"/>
        <v>42060</v>
      </c>
      <c r="PA19" s="91">
        <f t="shared" si="690"/>
        <v>0</v>
      </c>
      <c r="PB19" s="91">
        <f t="shared" si="691"/>
        <v>0</v>
      </c>
      <c r="PQ19" s="91">
        <f t="shared" si="692"/>
        <v>0</v>
      </c>
      <c r="PR19" s="91">
        <f t="shared" si="693"/>
        <v>0</v>
      </c>
      <c r="QG19" s="91">
        <f t="shared" si="694"/>
        <v>0</v>
      </c>
      <c r="QH19" s="91">
        <f t="shared" si="695"/>
        <v>0</v>
      </c>
      <c r="QW19" s="91">
        <f t="shared" si="696"/>
        <v>0</v>
      </c>
      <c r="QX19" s="91">
        <f t="shared" si="697"/>
        <v>0</v>
      </c>
      <c r="RM19" s="91">
        <f t="shared" si="698"/>
        <v>0</v>
      </c>
      <c r="RN19" s="91">
        <f t="shared" si="699"/>
        <v>0</v>
      </c>
      <c r="SC19" s="91">
        <f t="shared" si="700"/>
        <v>0</v>
      </c>
      <c r="SD19" s="91">
        <f t="shared" si="701"/>
        <v>0</v>
      </c>
      <c r="SS19" s="91">
        <f t="shared" si="702"/>
        <v>0</v>
      </c>
      <c r="ST19" s="91">
        <f t="shared" si="703"/>
        <v>0</v>
      </c>
      <c r="TI19" s="91">
        <f t="shared" si="704"/>
        <v>0</v>
      </c>
      <c r="TJ19" s="91">
        <f t="shared" si="705"/>
        <v>0</v>
      </c>
      <c r="TY19" s="91">
        <f t="shared" si="706"/>
        <v>0</v>
      </c>
      <c r="TZ19" s="91">
        <f t="shared" si="707"/>
        <v>0</v>
      </c>
      <c r="UO19" s="91">
        <f t="shared" si="708"/>
        <v>0</v>
      </c>
      <c r="UP19" s="91">
        <f t="shared" si="637"/>
        <v>0</v>
      </c>
      <c r="US19" s="98">
        <v>106000</v>
      </c>
      <c r="UT19" s="98">
        <v>84800</v>
      </c>
      <c r="VE19" s="91">
        <f t="shared" si="709"/>
        <v>106000</v>
      </c>
      <c r="VF19" s="91">
        <f t="shared" si="710"/>
        <v>84800</v>
      </c>
      <c r="VU19" s="91">
        <f t="shared" si="711"/>
        <v>0</v>
      </c>
      <c r="VV19" s="91">
        <f t="shared" si="712"/>
        <v>0</v>
      </c>
      <c r="WK19" s="91">
        <f t="shared" si="713"/>
        <v>0</v>
      </c>
      <c r="WL19" s="91">
        <f t="shared" si="714"/>
        <v>0</v>
      </c>
      <c r="WM19" s="89"/>
      <c r="WN19" s="87">
        <f t="shared" si="715"/>
        <v>0</v>
      </c>
      <c r="WO19" s="87">
        <f t="shared" si="716"/>
        <v>0</v>
      </c>
      <c r="WP19" s="87">
        <f t="shared" si="717"/>
        <v>1134787.9573909</v>
      </c>
      <c r="WQ19" s="87">
        <f t="shared" si="718"/>
        <v>2260188.4947818001</v>
      </c>
      <c r="WR19" s="87">
        <f t="shared" si="719"/>
        <v>0</v>
      </c>
      <c r="WS19" s="87">
        <f t="shared" si="720"/>
        <v>0</v>
      </c>
      <c r="WT19" s="87">
        <f t="shared" si="721"/>
        <v>0</v>
      </c>
      <c r="WU19" s="87">
        <f t="shared" si="722"/>
        <v>50</v>
      </c>
      <c r="WV19" s="87">
        <f t="shared" si="723"/>
        <v>0</v>
      </c>
      <c r="WW19" s="87">
        <f t="shared" si="724"/>
        <v>0</v>
      </c>
      <c r="WX19" s="87">
        <f t="shared" si="725"/>
        <v>0</v>
      </c>
      <c r="WY19" s="87">
        <f t="shared" si="726"/>
        <v>0</v>
      </c>
      <c r="WZ19" s="87">
        <f t="shared" si="727"/>
        <v>0</v>
      </c>
      <c r="XA19" s="87">
        <f t="shared" si="728"/>
        <v>0</v>
      </c>
      <c r="XB19" s="92">
        <f t="shared" si="729"/>
        <v>1134787.9573909</v>
      </c>
      <c r="XC19" s="92">
        <f t="shared" si="730"/>
        <v>2260238.4947818001</v>
      </c>
      <c r="XD19" s="89"/>
      <c r="XE19" s="92">
        <f t="shared" si="638"/>
        <v>2432750.3873908999</v>
      </c>
      <c r="XF19" s="92">
        <f t="shared" si="639"/>
        <v>5470300.4947817996</v>
      </c>
      <c r="XG19" s="89"/>
      <c r="XH19" s="92">
        <f t="shared" ref="XH19:XI19" si="751">SUM(XE19,XE57)</f>
        <v>8162030.5676620305</v>
      </c>
      <c r="XI19" s="92">
        <f t="shared" si="751"/>
        <v>18966826.856408581</v>
      </c>
      <c r="XJ19" s="89"/>
      <c r="XK19" s="87">
        <f t="shared" si="732"/>
        <v>0</v>
      </c>
      <c r="XL19" s="87">
        <f t="shared" si="733"/>
        <v>23010701.938114382</v>
      </c>
      <c r="XM19" s="87">
        <f t="shared" si="734"/>
        <v>0</v>
      </c>
      <c r="XN19" s="87">
        <f t="shared" si="735"/>
        <v>0</v>
      </c>
      <c r="XO19" s="87">
        <f t="shared" si="736"/>
        <v>0</v>
      </c>
      <c r="XP19" s="87">
        <f t="shared" si="737"/>
        <v>0</v>
      </c>
      <c r="XQ19" s="87">
        <f t="shared" si="738"/>
        <v>0</v>
      </c>
      <c r="XR19" s="92">
        <f t="shared" si="739"/>
        <v>23010701.938114382</v>
      </c>
      <c r="XS19" s="89"/>
      <c r="XT19" s="87">
        <f t="shared" si="740"/>
        <v>0</v>
      </c>
      <c r="XU19" s="87">
        <f t="shared" si="741"/>
        <v>51803979.592139453</v>
      </c>
      <c r="XV19" s="87">
        <f t="shared" si="742"/>
        <v>0</v>
      </c>
      <c r="XW19" s="87">
        <f t="shared" si="743"/>
        <v>50</v>
      </c>
      <c r="XX19" s="87">
        <f t="shared" si="744"/>
        <v>0</v>
      </c>
      <c r="XY19" s="87">
        <f t="shared" si="745"/>
        <v>0</v>
      </c>
      <c r="XZ19" s="87">
        <f t="shared" si="746"/>
        <v>0</v>
      </c>
      <c r="YA19" s="92">
        <f t="shared" si="747"/>
        <v>51804029.592139453</v>
      </c>
      <c r="YB19" s="90"/>
      <c r="YC19" s="90"/>
      <c r="YD19" s="90"/>
      <c r="YE19" s="90"/>
      <c r="YF19" s="90"/>
      <c r="YG19" s="90"/>
      <c r="YH19" s="90"/>
      <c r="YI19" s="90"/>
      <c r="YJ19" s="90"/>
      <c r="YK19" s="90"/>
      <c r="YL19" s="90"/>
      <c r="YM19" s="90"/>
      <c r="YN19" s="90"/>
      <c r="YO19" s="90"/>
      <c r="YP19" s="90"/>
      <c r="YQ19" s="90"/>
      <c r="YR19" s="90"/>
      <c r="YS19" s="90"/>
      <c r="YT19" s="90"/>
      <c r="YU19" s="90"/>
      <c r="YV19" s="90"/>
      <c r="YW19" s="90"/>
      <c r="YX19" s="90"/>
      <c r="YY19" s="90"/>
      <c r="YZ19" s="90"/>
      <c r="ZA19" s="90"/>
      <c r="ZB19" s="90"/>
      <c r="ZC19" s="90"/>
      <c r="ZD19" s="90"/>
      <c r="ZE19" s="90"/>
      <c r="ZF19" s="90"/>
      <c r="ZG19" s="90"/>
      <c r="ZH19" s="90"/>
      <c r="ZI19" s="90"/>
      <c r="ZJ19" s="90"/>
      <c r="ZK19" s="90"/>
      <c r="ZL19" s="90"/>
      <c r="ZM19" s="90"/>
      <c r="ZN19" s="90"/>
      <c r="ZO19" s="90"/>
      <c r="ZP19" s="90"/>
      <c r="ZQ19" s="90"/>
      <c r="ZR19" s="90"/>
      <c r="ZS19" s="90"/>
      <c r="ZT19" s="90"/>
      <c r="ZU19" s="90"/>
      <c r="ZV19" s="90"/>
      <c r="ZW19" s="90"/>
      <c r="ZX19" s="90"/>
      <c r="ZY19" s="90"/>
      <c r="ZZ19" s="90"/>
      <c r="AAA19" s="90"/>
      <c r="AAB19" s="90"/>
      <c r="AAC19" s="90"/>
      <c r="AAD19" s="90"/>
      <c r="AAE19" s="90"/>
      <c r="AAF19" s="90"/>
      <c r="AAG19" s="90"/>
      <c r="AAH19" s="90"/>
      <c r="AAI19" s="90"/>
      <c r="AAJ19" s="90"/>
      <c r="AAK19" s="90"/>
      <c r="AAL19" s="90"/>
      <c r="AAM19" s="90"/>
      <c r="AAN19" s="90"/>
      <c r="AAO19" s="90"/>
      <c r="AAP19" s="90"/>
      <c r="AAQ19" s="90"/>
      <c r="AAR19" s="90"/>
      <c r="AAS19" s="90"/>
      <c r="AAT19" s="90"/>
      <c r="AAU19" s="90"/>
      <c r="AAV19" s="90"/>
      <c r="AAW19" s="90"/>
      <c r="AAX19" s="90"/>
      <c r="AAY19" s="90"/>
      <c r="AAZ19" s="90"/>
      <c r="ABA19" s="90"/>
      <c r="ABB19" s="90"/>
      <c r="ABC19" s="90"/>
      <c r="ABD19" s="90"/>
      <c r="ABE19" s="90"/>
      <c r="ABF19" s="90"/>
      <c r="ABG19" s="90"/>
      <c r="ABH19" s="90"/>
      <c r="ABI19" s="90"/>
      <c r="ABJ19" s="90"/>
      <c r="ABK19" s="90"/>
      <c r="ABL19" s="90"/>
      <c r="ABM19" s="90"/>
      <c r="ABN19" s="90"/>
      <c r="ABO19" s="90"/>
      <c r="ABP19" s="90"/>
      <c r="ABQ19" s="90"/>
      <c r="ABR19" s="90"/>
      <c r="ABS19" s="90"/>
      <c r="ABT19" s="90"/>
      <c r="ABU19" s="90"/>
      <c r="ABV19" s="90"/>
      <c r="ABW19" s="90"/>
      <c r="ABX19" s="90"/>
      <c r="ABY19" s="90"/>
      <c r="ABZ19" s="90"/>
      <c r="ACA19" s="90"/>
      <c r="ACB19" s="90"/>
      <c r="ACC19" s="90"/>
      <c r="ACD19" s="90"/>
      <c r="ACE19" s="90"/>
      <c r="ACF19" s="90"/>
      <c r="ACG19" s="90"/>
      <c r="ACH19" s="90"/>
      <c r="ACI19" s="90"/>
      <c r="ACJ19" s="90"/>
      <c r="ACK19" s="90"/>
      <c r="ACL19" s="90"/>
      <c r="ACM19" s="90"/>
      <c r="ACN19" s="90"/>
      <c r="ACO19" s="90"/>
      <c r="ACP19" s="90"/>
      <c r="ACQ19" s="90"/>
      <c r="ACR19" s="90"/>
      <c r="ACS19" s="90"/>
      <c r="ACT19" s="90"/>
      <c r="ACU19" s="90"/>
      <c r="ACV19" s="90"/>
      <c r="ACW19" s="90"/>
      <c r="ACX19" s="90"/>
      <c r="ACY19" s="90"/>
      <c r="ACZ19" s="90"/>
      <c r="ADA19" s="90"/>
      <c r="ADB19" s="90"/>
      <c r="ADC19" s="90"/>
      <c r="ADD19" s="90"/>
      <c r="ADE19" s="90"/>
      <c r="ADF19" s="90"/>
      <c r="ADG19" s="90"/>
      <c r="ADH19" s="90"/>
      <c r="ADI19" s="90"/>
      <c r="ADJ19" s="90"/>
      <c r="ADK19" s="90"/>
      <c r="ADL19" s="90"/>
      <c r="ADM19" s="90"/>
      <c r="ADN19" s="90"/>
      <c r="ADO19" s="90"/>
      <c r="ADP19" s="90"/>
      <c r="ADQ19" s="90"/>
      <c r="ADR19" s="90"/>
      <c r="ADS19" s="90"/>
      <c r="ADT19" s="90"/>
      <c r="ADU19" s="90"/>
      <c r="ADV19" s="90"/>
      <c r="ADW19" s="90"/>
      <c r="ADX19" s="90"/>
      <c r="ADY19" s="90"/>
      <c r="ADZ19" s="90"/>
      <c r="AEA19" s="90"/>
      <c r="AEB19" s="90"/>
      <c r="AEC19" s="90"/>
      <c r="AED19" s="90"/>
      <c r="AEE19" s="90"/>
      <c r="AEF19" s="90"/>
      <c r="AEG19" s="90"/>
      <c r="AEH19" s="90"/>
      <c r="AEI19" s="90"/>
      <c r="AEJ19" s="90"/>
      <c r="AEK19" s="90"/>
      <c r="AEL19" s="90"/>
      <c r="AEM19" s="90"/>
      <c r="AEN19" s="90"/>
      <c r="AEO19" s="90"/>
      <c r="AEP19" s="90"/>
      <c r="AEQ19" s="90"/>
      <c r="AER19" s="90"/>
      <c r="AES19" s="90"/>
      <c r="AET19" s="90"/>
      <c r="AEU19" s="90"/>
      <c r="AEV19" s="90"/>
      <c r="AEW19" s="90"/>
      <c r="AEX19" s="90"/>
      <c r="AEY19" s="90"/>
      <c r="AEZ19" s="90"/>
      <c r="AFA19" s="90"/>
      <c r="AFB19" s="90"/>
      <c r="AFC19" s="90"/>
      <c r="AFD19" s="90"/>
      <c r="AFE19" s="90"/>
      <c r="AFF19" s="90"/>
      <c r="AFG19" s="90"/>
      <c r="AFH19" s="90"/>
      <c r="AFI19" s="90"/>
      <c r="AFJ19" s="90"/>
      <c r="AFK19" s="90"/>
      <c r="AFL19" s="90"/>
      <c r="AFM19" s="90"/>
      <c r="AFN19" s="90"/>
      <c r="AFO19" s="90"/>
      <c r="AFP19" s="90"/>
      <c r="AFQ19" s="90"/>
      <c r="AFR19" s="90"/>
      <c r="AFS19" s="90"/>
      <c r="AFT19" s="90"/>
      <c r="AFU19" s="90"/>
      <c r="AFV19" s="90"/>
      <c r="AFW19" s="90"/>
      <c r="AFX19" s="90"/>
      <c r="AFY19" s="90"/>
      <c r="AFZ19" s="90"/>
      <c r="AGA19" s="90"/>
      <c r="AGB19" s="90"/>
      <c r="AGC19" s="90"/>
      <c r="AGD19" s="90"/>
      <c r="AGE19" s="90"/>
      <c r="AGF19" s="90"/>
      <c r="AGG19" s="90"/>
      <c r="AGH19" s="90"/>
      <c r="AGI19" s="90"/>
      <c r="AGJ19" s="90"/>
      <c r="AGK19" s="90"/>
      <c r="AGL19" s="90"/>
      <c r="AGM19" s="90"/>
      <c r="AGN19" s="90"/>
      <c r="AGO19" s="90"/>
      <c r="AGP19" s="90"/>
      <c r="AGQ19" s="90"/>
      <c r="AGR19" s="90"/>
      <c r="AGS19" s="90"/>
      <c r="AGT19" s="90"/>
      <c r="AGU19" s="90"/>
      <c r="AGV19" s="90"/>
      <c r="AGW19" s="90"/>
      <c r="AGX19" s="90"/>
      <c r="AGY19" s="90"/>
      <c r="AGZ19" s="90"/>
      <c r="AHA19" s="90"/>
      <c r="AHB19" s="90"/>
      <c r="AHC19" s="90"/>
      <c r="AHD19" s="90"/>
      <c r="AHE19" s="90"/>
      <c r="AHF19" s="90"/>
      <c r="AHG19" s="90"/>
      <c r="AHH19" s="90"/>
      <c r="AHI19" s="90"/>
      <c r="AHJ19" s="90"/>
      <c r="AHK19" s="90"/>
      <c r="AHL19" s="90"/>
      <c r="AHM19" s="90"/>
      <c r="AHN19" s="90"/>
      <c r="AHO19" s="90"/>
      <c r="AHP19" s="90"/>
      <c r="AHQ19" s="90"/>
      <c r="AHR19" s="90"/>
      <c r="AHS19" s="90"/>
      <c r="AHT19" s="90"/>
      <c r="AHU19" s="90"/>
      <c r="AHV19" s="90"/>
      <c r="AHW19" s="90"/>
      <c r="AHX19" s="90"/>
      <c r="AHY19" s="90"/>
      <c r="AHZ19" s="90"/>
      <c r="AIA19" s="90"/>
      <c r="AIB19" s="90"/>
      <c r="AIC19" s="90"/>
      <c r="AID19" s="90"/>
      <c r="AIE19" s="90"/>
      <c r="AIF19" s="90"/>
      <c r="AIG19" s="90"/>
      <c r="AIH19" s="90"/>
      <c r="AII19" s="90"/>
      <c r="AIJ19" s="90"/>
      <c r="AIK19" s="90"/>
      <c r="AIL19" s="90"/>
      <c r="AIM19" s="90"/>
      <c r="AIN19" s="90"/>
      <c r="AIO19" s="90"/>
      <c r="AIP19" s="90"/>
      <c r="AIQ19" s="90"/>
      <c r="AIR19" s="90"/>
      <c r="AIS19" s="90"/>
      <c r="AIT19" s="90"/>
      <c r="AIU19" s="90"/>
      <c r="AIV19" s="90"/>
      <c r="AIW19" s="90"/>
      <c r="AIX19" s="90"/>
      <c r="AIY19" s="90"/>
      <c r="AIZ19" s="90"/>
      <c r="AJA19" s="90"/>
      <c r="AJB19" s="90"/>
      <c r="AJC19" s="90"/>
      <c r="AJD19" s="90"/>
      <c r="AJE19" s="90"/>
      <c r="AJF19" s="90"/>
      <c r="AJG19" s="90"/>
      <c r="AJH19" s="90"/>
      <c r="AJI19" s="90"/>
      <c r="AJJ19" s="90"/>
      <c r="AJK19" s="90"/>
      <c r="AJL19" s="90"/>
      <c r="AJM19" s="90"/>
      <c r="AJN19" s="90"/>
      <c r="AJO19" s="90"/>
      <c r="AJP19" s="90"/>
      <c r="AJQ19" s="90"/>
      <c r="AJR19" s="90"/>
      <c r="AJS19" s="90"/>
      <c r="AJT19" s="90"/>
      <c r="AJU19" s="90"/>
      <c r="AJV19" s="90"/>
      <c r="AJW19" s="90"/>
      <c r="AJX19" s="90"/>
      <c r="AJY19" s="90"/>
      <c r="AJZ19" s="90"/>
      <c r="AKA19" s="90"/>
      <c r="AKB19" s="90"/>
      <c r="AKC19" s="90"/>
      <c r="AKD19" s="90"/>
      <c r="AKE19" s="90"/>
      <c r="AKF19" s="90"/>
      <c r="AKG19" s="90"/>
      <c r="AKH19" s="90"/>
      <c r="AKI19" s="90"/>
      <c r="AKJ19" s="90"/>
      <c r="AKK19" s="90"/>
      <c r="AKL19" s="90"/>
      <c r="AKM19" s="90"/>
      <c r="AKN19" s="90"/>
      <c r="AKO19" s="90"/>
      <c r="AKP19" s="90"/>
      <c r="AKQ19" s="90"/>
      <c r="AKR19" s="90"/>
      <c r="AKS19" s="90"/>
      <c r="AKT19" s="90"/>
      <c r="AKU19" s="90"/>
      <c r="AKV19" s="90"/>
      <c r="AKW19" s="90"/>
      <c r="AKX19" s="90"/>
      <c r="AKY19" s="90"/>
      <c r="AKZ19" s="90"/>
      <c r="ALA19" s="90"/>
      <c r="ALB19" s="90"/>
      <c r="ALC19" s="90"/>
      <c r="ALD19" s="90"/>
      <c r="ALE19" s="90"/>
      <c r="ALF19" s="90"/>
      <c r="ALG19" s="90"/>
      <c r="ALH19" s="90"/>
      <c r="ALI19" s="90"/>
      <c r="ALJ19" s="90"/>
      <c r="ALK19" s="90"/>
      <c r="ALL19" s="90"/>
      <c r="ALM19" s="90"/>
      <c r="ALN19" s="90"/>
      <c r="ALO19" s="90"/>
      <c r="ALP19" s="90"/>
      <c r="ALQ19" s="90"/>
      <c r="ALR19" s="90"/>
      <c r="ALS19" s="90"/>
      <c r="ALT19" s="90"/>
      <c r="ALU19" s="90"/>
      <c r="ALV19" s="90"/>
      <c r="ALW19" s="90"/>
      <c r="ALX19" s="90"/>
      <c r="ALY19" s="90"/>
      <c r="ALZ19" s="90"/>
      <c r="AMA19" s="90"/>
      <c r="AMB19" s="90"/>
      <c r="AMC19" s="90"/>
    </row>
    <row r="20" spans="1:1017">
      <c r="A20" s="98" t="s">
        <v>25</v>
      </c>
      <c r="B20" s="648" t="s">
        <v>542</v>
      </c>
      <c r="Q20" s="91">
        <f t="shared" si="640"/>
        <v>0</v>
      </c>
      <c r="R20" s="91">
        <f t="shared" si="641"/>
        <v>0</v>
      </c>
      <c r="Y20" s="777">
        <v>11370</v>
      </c>
      <c r="Z20" s="777">
        <v>397950</v>
      </c>
      <c r="AG20" s="91">
        <f t="shared" si="642"/>
        <v>11370</v>
      </c>
      <c r="AH20" s="91">
        <f t="shared" si="643"/>
        <v>397950</v>
      </c>
      <c r="AO20" s="98">
        <v>544000</v>
      </c>
      <c r="AP20" s="98">
        <v>15232000</v>
      </c>
      <c r="AW20" s="91">
        <f t="shared" si="644"/>
        <v>544000</v>
      </c>
      <c r="AX20" s="91">
        <f t="shared" si="645"/>
        <v>15232000</v>
      </c>
      <c r="BE20" s="98">
        <v>6583</v>
      </c>
      <c r="BF20" s="98">
        <v>197490</v>
      </c>
      <c r="BM20" s="91">
        <f t="shared" si="646"/>
        <v>6583</v>
      </c>
      <c r="BN20" s="91">
        <f t="shared" si="647"/>
        <v>197490</v>
      </c>
      <c r="BU20" s="98">
        <v>4066</v>
      </c>
      <c r="BV20" s="98">
        <v>154508</v>
      </c>
      <c r="CC20" s="91">
        <f t="shared" si="648"/>
        <v>4066</v>
      </c>
      <c r="CD20" s="91">
        <f t="shared" si="649"/>
        <v>154508</v>
      </c>
      <c r="CK20" s="98">
        <v>426</v>
      </c>
      <c r="CL20" s="98">
        <v>12774.011851518751</v>
      </c>
      <c r="CS20" s="91">
        <f t="shared" si="650"/>
        <v>426</v>
      </c>
      <c r="CT20" s="91">
        <f t="shared" si="651"/>
        <v>12774.011851518751</v>
      </c>
      <c r="DA20" s="98">
        <v>183850</v>
      </c>
      <c r="DB20" s="98">
        <v>6434750</v>
      </c>
      <c r="DI20" s="91">
        <f t="shared" si="652"/>
        <v>183850</v>
      </c>
      <c r="DJ20" s="91">
        <f t="shared" si="653"/>
        <v>6434750</v>
      </c>
      <c r="DQ20" s="98">
        <v>35100</v>
      </c>
      <c r="DR20" s="98">
        <v>1053000</v>
      </c>
      <c r="DY20" s="91">
        <f t="shared" si="654"/>
        <v>35100</v>
      </c>
      <c r="DZ20" s="91">
        <f t="shared" si="655"/>
        <v>1053000</v>
      </c>
      <c r="EG20" s="98">
        <v>168000</v>
      </c>
      <c r="EH20" s="98">
        <v>4704000</v>
      </c>
      <c r="EO20" s="91">
        <f t="shared" si="656"/>
        <v>168000</v>
      </c>
      <c r="EP20" s="91">
        <f t="shared" si="657"/>
        <v>4704000</v>
      </c>
      <c r="FE20" s="91">
        <f t="shared" si="658"/>
        <v>0</v>
      </c>
      <c r="FF20" s="91">
        <f t="shared" si="659"/>
        <v>0</v>
      </c>
      <c r="FM20" s="98">
        <v>68300</v>
      </c>
      <c r="FN20" s="98">
        <v>2390500</v>
      </c>
      <c r="FU20" s="91">
        <f t="shared" si="660"/>
        <v>68300</v>
      </c>
      <c r="FV20" s="91">
        <f t="shared" si="661"/>
        <v>2390500</v>
      </c>
      <c r="GC20" s="98">
        <v>37500</v>
      </c>
      <c r="GD20" s="98">
        <v>1050000</v>
      </c>
      <c r="GK20" s="91">
        <f t="shared" si="662"/>
        <v>37500</v>
      </c>
      <c r="GL20" s="91">
        <f t="shared" si="663"/>
        <v>1050000</v>
      </c>
      <c r="GS20" s="98">
        <v>6200</v>
      </c>
      <c r="GT20" s="98">
        <v>173600</v>
      </c>
      <c r="HA20" s="91">
        <f t="shared" si="664"/>
        <v>6200</v>
      </c>
      <c r="HB20" s="91">
        <f t="shared" si="665"/>
        <v>173600</v>
      </c>
      <c r="HI20" s="98">
        <v>5500</v>
      </c>
      <c r="HJ20" s="98">
        <v>165000</v>
      </c>
      <c r="HQ20" s="91">
        <f t="shared" si="666"/>
        <v>5500</v>
      </c>
      <c r="HR20" s="91">
        <f t="shared" si="667"/>
        <v>165000</v>
      </c>
      <c r="HY20" s="98">
        <v>25300</v>
      </c>
      <c r="HZ20" s="98">
        <v>885500</v>
      </c>
      <c r="IG20" s="91">
        <f t="shared" si="668"/>
        <v>25300</v>
      </c>
      <c r="IH20" s="91">
        <f t="shared" si="669"/>
        <v>885500</v>
      </c>
      <c r="IO20" s="98">
        <v>90940</v>
      </c>
      <c r="IP20" s="98">
        <v>2546320</v>
      </c>
      <c r="IW20" s="91">
        <f t="shared" si="670"/>
        <v>90940</v>
      </c>
      <c r="IX20" s="91">
        <f t="shared" si="671"/>
        <v>2546320</v>
      </c>
      <c r="JE20" s="98">
        <v>15360</v>
      </c>
      <c r="JF20" s="98">
        <v>460800</v>
      </c>
      <c r="JM20" s="91">
        <f t="shared" si="672"/>
        <v>15360</v>
      </c>
      <c r="JN20" s="91">
        <f t="shared" si="673"/>
        <v>460800</v>
      </c>
      <c r="KC20" s="91">
        <f t="shared" si="674"/>
        <v>0</v>
      </c>
      <c r="KD20" s="91">
        <f t="shared" si="675"/>
        <v>0</v>
      </c>
      <c r="KK20" s="98">
        <v>124</v>
      </c>
      <c r="KL20" s="98">
        <v>6200</v>
      </c>
      <c r="KS20" s="91">
        <f t="shared" si="676"/>
        <v>124</v>
      </c>
      <c r="KT20" s="91">
        <f t="shared" si="677"/>
        <v>6200</v>
      </c>
      <c r="LA20" s="98">
        <v>18208.09</v>
      </c>
      <c r="LB20" s="98">
        <v>637283</v>
      </c>
      <c r="LI20" s="91">
        <f t="shared" si="678"/>
        <v>18208.09</v>
      </c>
      <c r="LJ20" s="91">
        <f t="shared" si="679"/>
        <v>637283</v>
      </c>
      <c r="LQ20" s="98">
        <v>26693</v>
      </c>
      <c r="LR20" s="98">
        <v>747404</v>
      </c>
      <c r="LY20" s="91">
        <f t="shared" si="680"/>
        <v>26693</v>
      </c>
      <c r="LZ20" s="91">
        <f t="shared" si="681"/>
        <v>747404</v>
      </c>
      <c r="MO20" s="91">
        <f t="shared" si="682"/>
        <v>0</v>
      </c>
      <c r="MP20" s="91">
        <f t="shared" si="683"/>
        <v>0</v>
      </c>
      <c r="NE20" s="91">
        <f t="shared" si="684"/>
        <v>0</v>
      </c>
      <c r="NF20" s="91">
        <f t="shared" si="685"/>
        <v>0</v>
      </c>
      <c r="NM20" s="98">
        <v>29600</v>
      </c>
      <c r="NN20" s="98">
        <v>828800</v>
      </c>
      <c r="NQ20" s="98">
        <v>900</v>
      </c>
      <c r="NR20" s="98">
        <v>25200</v>
      </c>
      <c r="NU20" s="91">
        <f t="shared" si="686"/>
        <v>30500</v>
      </c>
      <c r="NV20" s="91">
        <f t="shared" si="687"/>
        <v>854000</v>
      </c>
      <c r="OC20" s="98">
        <v>60</v>
      </c>
      <c r="OD20" s="98">
        <v>2100</v>
      </c>
      <c r="OK20" s="91">
        <f t="shared" si="688"/>
        <v>60</v>
      </c>
      <c r="OL20" s="91">
        <f t="shared" si="689"/>
        <v>2100</v>
      </c>
      <c r="OS20" s="98">
        <v>1542</v>
      </c>
      <c r="OT20" s="98">
        <v>78642</v>
      </c>
      <c r="PA20" s="91">
        <f t="shared" si="690"/>
        <v>1542</v>
      </c>
      <c r="PB20" s="91">
        <f t="shared" si="691"/>
        <v>78642</v>
      </c>
      <c r="PI20" s="98">
        <v>26140</v>
      </c>
      <c r="PJ20" s="98">
        <v>588150</v>
      </c>
      <c r="PQ20" s="91">
        <f t="shared" si="692"/>
        <v>26140</v>
      </c>
      <c r="PR20" s="91">
        <f t="shared" si="693"/>
        <v>588150</v>
      </c>
      <c r="PY20" s="98">
        <v>2530</v>
      </c>
      <c r="PZ20" s="98">
        <v>75900</v>
      </c>
      <c r="QC20" s="98">
        <v>16368</v>
      </c>
      <c r="QD20" s="98">
        <v>491040</v>
      </c>
      <c r="QG20" s="91">
        <f t="shared" si="694"/>
        <v>18898</v>
      </c>
      <c r="QH20" s="91">
        <f t="shared" si="695"/>
        <v>566940</v>
      </c>
      <c r="QO20" s="98">
        <v>1770000</v>
      </c>
      <c r="QP20" s="98">
        <v>41595000</v>
      </c>
      <c r="QW20" s="91">
        <f t="shared" si="696"/>
        <v>1770000</v>
      </c>
      <c r="QX20" s="91">
        <f t="shared" si="697"/>
        <v>41595000</v>
      </c>
      <c r="RM20" s="91">
        <f t="shared" si="698"/>
        <v>0</v>
      </c>
      <c r="RN20" s="91">
        <f t="shared" si="699"/>
        <v>0</v>
      </c>
      <c r="RU20" s="98">
        <v>4560</v>
      </c>
      <c r="RV20" s="98">
        <v>114000</v>
      </c>
      <c r="SC20" s="91">
        <f t="shared" si="700"/>
        <v>4560</v>
      </c>
      <c r="SD20" s="91">
        <f t="shared" si="701"/>
        <v>114000</v>
      </c>
      <c r="SS20" s="91">
        <f t="shared" si="702"/>
        <v>0</v>
      </c>
      <c r="ST20" s="91">
        <f t="shared" si="703"/>
        <v>0</v>
      </c>
      <c r="TA20" s="98">
        <v>6420</v>
      </c>
      <c r="TB20" s="98">
        <v>192600</v>
      </c>
      <c r="TI20" s="91">
        <f t="shared" si="704"/>
        <v>6420</v>
      </c>
      <c r="TJ20" s="91">
        <f t="shared" si="705"/>
        <v>192600</v>
      </c>
      <c r="TY20" s="91">
        <f t="shared" si="706"/>
        <v>0</v>
      </c>
      <c r="TZ20" s="91">
        <f t="shared" si="707"/>
        <v>0</v>
      </c>
      <c r="UG20" s="98">
        <v>250</v>
      </c>
      <c r="UH20" s="98">
        <v>7500</v>
      </c>
      <c r="UO20" s="91">
        <f t="shared" si="708"/>
        <v>250</v>
      </c>
      <c r="UP20" s="91">
        <f t="shared" si="637"/>
        <v>7500</v>
      </c>
      <c r="VE20" s="91">
        <f t="shared" si="709"/>
        <v>0</v>
      </c>
      <c r="VF20" s="91">
        <f t="shared" si="710"/>
        <v>0</v>
      </c>
      <c r="VM20" s="98">
        <v>924</v>
      </c>
      <c r="VN20" s="98">
        <v>32340</v>
      </c>
      <c r="VU20" s="91">
        <f t="shared" si="711"/>
        <v>924</v>
      </c>
      <c r="VV20" s="91">
        <f t="shared" si="712"/>
        <v>32340</v>
      </c>
      <c r="WK20" s="91">
        <f t="shared" si="713"/>
        <v>0</v>
      </c>
      <c r="WL20" s="91">
        <f t="shared" si="714"/>
        <v>0</v>
      </c>
      <c r="WM20" s="89"/>
      <c r="WN20" s="87">
        <f t="shared" si="715"/>
        <v>0</v>
      </c>
      <c r="WO20" s="87">
        <f t="shared" si="716"/>
        <v>0</v>
      </c>
      <c r="WP20" s="87">
        <f t="shared" si="717"/>
        <v>0</v>
      </c>
      <c r="WQ20" s="87">
        <f t="shared" si="718"/>
        <v>0</v>
      </c>
      <c r="WR20" s="87">
        <f t="shared" si="719"/>
        <v>0</v>
      </c>
      <c r="WS20" s="87">
        <f t="shared" si="720"/>
        <v>0</v>
      </c>
      <c r="WT20" s="87">
        <f t="shared" si="721"/>
        <v>3089546.09</v>
      </c>
      <c r="WU20" s="87">
        <f t="shared" si="722"/>
        <v>80764111.011851519</v>
      </c>
      <c r="WV20" s="87">
        <f t="shared" si="723"/>
        <v>0</v>
      </c>
      <c r="WW20" s="87">
        <f t="shared" si="724"/>
        <v>0</v>
      </c>
      <c r="WX20" s="87">
        <f t="shared" si="725"/>
        <v>17268</v>
      </c>
      <c r="WY20" s="87">
        <f t="shared" si="726"/>
        <v>516240</v>
      </c>
      <c r="WZ20" s="87">
        <f t="shared" si="727"/>
        <v>0</v>
      </c>
      <c r="XA20" s="87">
        <f t="shared" si="728"/>
        <v>0</v>
      </c>
      <c r="XB20" s="92">
        <f t="shared" si="729"/>
        <v>3106814.09</v>
      </c>
      <c r="XC20" s="92">
        <f t="shared" si="730"/>
        <v>81280351.011851519</v>
      </c>
      <c r="XD20" s="89"/>
      <c r="XE20" s="92">
        <f t="shared" si="638"/>
        <v>9374026.1099999994</v>
      </c>
      <c r="XF20" s="92">
        <f t="shared" si="639"/>
        <v>243960270.73635864</v>
      </c>
      <c r="XG20" s="89"/>
      <c r="XH20" s="92">
        <f t="shared" ref="XH20:XI20" si="752">SUM(XE20,XE58)</f>
        <v>19648794.265002802</v>
      </c>
      <c r="XI20" s="92">
        <f t="shared" si="752"/>
        <v>540122477.53142869</v>
      </c>
      <c r="XJ20" s="89"/>
      <c r="XK20" s="87">
        <f t="shared" si="732"/>
        <v>0</v>
      </c>
      <c r="XL20" s="87">
        <f t="shared" si="733"/>
        <v>0</v>
      </c>
      <c r="XM20" s="87">
        <f t="shared" si="734"/>
        <v>0</v>
      </c>
      <c r="XN20" s="87">
        <f t="shared" si="735"/>
        <v>39153167.986463733</v>
      </c>
      <c r="XO20" s="87">
        <f t="shared" si="736"/>
        <v>0</v>
      </c>
      <c r="XP20" s="87">
        <f t="shared" si="737"/>
        <v>135188</v>
      </c>
      <c r="XQ20" s="87">
        <f t="shared" si="738"/>
        <v>0</v>
      </c>
      <c r="XR20" s="92">
        <f t="shared" si="739"/>
        <v>39288355.986463733</v>
      </c>
      <c r="XS20" s="89"/>
      <c r="XT20" s="87">
        <f t="shared" si="740"/>
        <v>0</v>
      </c>
      <c r="XU20" s="87">
        <f t="shared" si="741"/>
        <v>0</v>
      </c>
      <c r="XV20" s="87">
        <f t="shared" si="742"/>
        <v>0</v>
      </c>
      <c r="XW20" s="87">
        <f t="shared" si="743"/>
        <v>1068931897.622541</v>
      </c>
      <c r="XX20" s="87">
        <f t="shared" si="744"/>
        <v>0</v>
      </c>
      <c r="XY20" s="87">
        <f t="shared" si="745"/>
        <v>4339840</v>
      </c>
      <c r="XZ20" s="87">
        <f t="shared" si="746"/>
        <v>0</v>
      </c>
      <c r="YA20" s="92">
        <f t="shared" si="747"/>
        <v>1073271737.622541</v>
      </c>
      <c r="YB20" s="90"/>
      <c r="YC20" s="90"/>
      <c r="YD20" s="90"/>
      <c r="YE20" s="90"/>
      <c r="YF20" s="90"/>
      <c r="YG20" s="90"/>
      <c r="YH20" s="90"/>
      <c r="YI20" s="90"/>
      <c r="YJ20" s="90"/>
      <c r="YK20" s="90"/>
      <c r="YL20" s="90"/>
      <c r="YM20" s="90"/>
      <c r="YN20" s="90"/>
      <c r="YO20" s="90"/>
      <c r="YP20" s="90"/>
      <c r="YQ20" s="90"/>
      <c r="YR20" s="90"/>
      <c r="YS20" s="90"/>
      <c r="YT20" s="90"/>
      <c r="YU20" s="90"/>
      <c r="YV20" s="90"/>
      <c r="YW20" s="90"/>
      <c r="YX20" s="90"/>
      <c r="YY20" s="90"/>
      <c r="YZ20" s="90"/>
      <c r="ZA20" s="90"/>
      <c r="ZB20" s="90"/>
      <c r="ZC20" s="90"/>
      <c r="ZD20" s="90"/>
      <c r="ZE20" s="90"/>
      <c r="ZF20" s="90"/>
      <c r="ZG20" s="90"/>
      <c r="ZH20" s="90"/>
      <c r="ZI20" s="90"/>
      <c r="ZJ20" s="90"/>
      <c r="ZK20" s="90"/>
      <c r="ZL20" s="90"/>
      <c r="ZM20" s="90"/>
      <c r="ZN20" s="90"/>
      <c r="ZO20" s="90"/>
      <c r="ZP20" s="90"/>
      <c r="ZQ20" s="90"/>
      <c r="ZR20" s="90"/>
      <c r="ZS20" s="90"/>
      <c r="ZT20" s="90"/>
      <c r="ZU20" s="90"/>
      <c r="ZV20" s="90"/>
      <c r="ZW20" s="90"/>
      <c r="ZX20" s="90"/>
      <c r="ZY20" s="90"/>
      <c r="ZZ20" s="90"/>
      <c r="AAA20" s="90"/>
      <c r="AAB20" s="90"/>
      <c r="AAC20" s="90"/>
      <c r="AAD20" s="90"/>
      <c r="AAE20" s="90"/>
      <c r="AAF20" s="90"/>
      <c r="AAG20" s="90"/>
      <c r="AAH20" s="90"/>
      <c r="AAI20" s="90"/>
      <c r="AAJ20" s="90"/>
      <c r="AAK20" s="90"/>
      <c r="AAL20" s="90"/>
      <c r="AAM20" s="90"/>
      <c r="AAN20" s="90"/>
      <c r="AAO20" s="90"/>
      <c r="AAP20" s="90"/>
      <c r="AAQ20" s="90"/>
      <c r="AAR20" s="90"/>
      <c r="AAS20" s="90"/>
      <c r="AAT20" s="90"/>
      <c r="AAU20" s="90"/>
      <c r="AAV20" s="90"/>
      <c r="AAW20" s="90"/>
      <c r="AAX20" s="90"/>
      <c r="AAY20" s="90"/>
      <c r="AAZ20" s="90"/>
      <c r="ABA20" s="90"/>
      <c r="ABB20" s="90"/>
      <c r="ABC20" s="90"/>
      <c r="ABD20" s="90"/>
      <c r="ABE20" s="90"/>
      <c r="ABF20" s="90"/>
      <c r="ABG20" s="90"/>
      <c r="ABH20" s="90"/>
      <c r="ABI20" s="90"/>
      <c r="ABJ20" s="90"/>
      <c r="ABK20" s="90"/>
      <c r="ABL20" s="90"/>
      <c r="ABM20" s="90"/>
      <c r="ABN20" s="90"/>
      <c r="ABO20" s="90"/>
      <c r="ABP20" s="90"/>
      <c r="ABQ20" s="90"/>
      <c r="ABR20" s="90"/>
      <c r="ABS20" s="90"/>
      <c r="ABT20" s="90"/>
      <c r="ABU20" s="90"/>
      <c r="ABV20" s="90"/>
      <c r="ABW20" s="90"/>
      <c r="ABX20" s="90"/>
      <c r="ABY20" s="90"/>
      <c r="ABZ20" s="90"/>
      <c r="ACA20" s="90"/>
      <c r="ACB20" s="90"/>
      <c r="ACC20" s="90"/>
      <c r="ACD20" s="90"/>
      <c r="ACE20" s="90"/>
      <c r="ACF20" s="90"/>
      <c r="ACG20" s="90"/>
      <c r="ACH20" s="90"/>
      <c r="ACI20" s="90"/>
      <c r="ACJ20" s="90"/>
      <c r="ACK20" s="90"/>
      <c r="ACL20" s="90"/>
      <c r="ACM20" s="90"/>
      <c r="ACN20" s="90"/>
      <c r="ACO20" s="90"/>
      <c r="ACP20" s="90"/>
      <c r="ACQ20" s="90"/>
      <c r="ACR20" s="90"/>
      <c r="ACS20" s="90"/>
      <c r="ACT20" s="90"/>
      <c r="ACU20" s="90"/>
      <c r="ACV20" s="90"/>
      <c r="ACW20" s="90"/>
      <c r="ACX20" s="90"/>
      <c r="ACY20" s="90"/>
      <c r="ACZ20" s="90"/>
      <c r="ADA20" s="90"/>
      <c r="ADB20" s="90"/>
      <c r="ADC20" s="90"/>
      <c r="ADD20" s="90"/>
      <c r="ADE20" s="90"/>
      <c r="ADF20" s="90"/>
      <c r="ADG20" s="90"/>
      <c r="ADH20" s="90"/>
      <c r="ADI20" s="90"/>
      <c r="ADJ20" s="90"/>
      <c r="ADK20" s="90"/>
      <c r="ADL20" s="90"/>
      <c r="ADM20" s="90"/>
      <c r="ADN20" s="90"/>
      <c r="ADO20" s="90"/>
      <c r="ADP20" s="90"/>
      <c r="ADQ20" s="90"/>
      <c r="ADR20" s="90"/>
      <c r="ADS20" s="90"/>
      <c r="ADT20" s="90"/>
      <c r="ADU20" s="90"/>
      <c r="ADV20" s="90"/>
      <c r="ADW20" s="90"/>
      <c r="ADX20" s="90"/>
      <c r="ADY20" s="90"/>
      <c r="ADZ20" s="90"/>
      <c r="AEA20" s="90"/>
      <c r="AEB20" s="90"/>
      <c r="AEC20" s="90"/>
      <c r="AED20" s="90"/>
      <c r="AEE20" s="90"/>
      <c r="AEF20" s="90"/>
      <c r="AEG20" s="90"/>
      <c r="AEH20" s="90"/>
      <c r="AEI20" s="90"/>
      <c r="AEJ20" s="90"/>
      <c r="AEK20" s="90"/>
      <c r="AEL20" s="90"/>
      <c r="AEM20" s="90"/>
      <c r="AEN20" s="90"/>
      <c r="AEO20" s="90"/>
      <c r="AEP20" s="90"/>
      <c r="AEQ20" s="90"/>
      <c r="AER20" s="90"/>
      <c r="AES20" s="90"/>
      <c r="AET20" s="90"/>
      <c r="AEU20" s="90"/>
      <c r="AEV20" s="90"/>
      <c r="AEW20" s="90"/>
      <c r="AEX20" s="90"/>
      <c r="AEY20" s="90"/>
      <c r="AEZ20" s="90"/>
      <c r="AFA20" s="90"/>
      <c r="AFB20" s="90"/>
      <c r="AFC20" s="90"/>
      <c r="AFD20" s="90"/>
      <c r="AFE20" s="90"/>
      <c r="AFF20" s="90"/>
      <c r="AFG20" s="90"/>
      <c r="AFH20" s="90"/>
      <c r="AFI20" s="90"/>
      <c r="AFJ20" s="90"/>
      <c r="AFK20" s="90"/>
      <c r="AFL20" s="90"/>
      <c r="AFM20" s="90"/>
      <c r="AFN20" s="90"/>
      <c r="AFO20" s="90"/>
      <c r="AFP20" s="90"/>
      <c r="AFQ20" s="90"/>
      <c r="AFR20" s="90"/>
      <c r="AFS20" s="90"/>
      <c r="AFT20" s="90"/>
      <c r="AFU20" s="90"/>
      <c r="AFV20" s="90"/>
      <c r="AFW20" s="90"/>
      <c r="AFX20" s="90"/>
      <c r="AFY20" s="90"/>
      <c r="AFZ20" s="90"/>
      <c r="AGA20" s="90"/>
      <c r="AGB20" s="90"/>
      <c r="AGC20" s="90"/>
      <c r="AGD20" s="90"/>
      <c r="AGE20" s="90"/>
      <c r="AGF20" s="90"/>
      <c r="AGG20" s="90"/>
      <c r="AGH20" s="90"/>
      <c r="AGI20" s="90"/>
      <c r="AGJ20" s="90"/>
      <c r="AGK20" s="90"/>
      <c r="AGL20" s="90"/>
      <c r="AGM20" s="90"/>
      <c r="AGN20" s="90"/>
      <c r="AGO20" s="90"/>
      <c r="AGP20" s="90"/>
      <c r="AGQ20" s="90"/>
      <c r="AGR20" s="90"/>
      <c r="AGS20" s="90"/>
      <c r="AGT20" s="90"/>
      <c r="AGU20" s="90"/>
      <c r="AGV20" s="90"/>
      <c r="AGW20" s="90"/>
      <c r="AGX20" s="90"/>
      <c r="AGY20" s="90"/>
      <c r="AGZ20" s="90"/>
      <c r="AHA20" s="90"/>
      <c r="AHB20" s="90"/>
      <c r="AHC20" s="90"/>
      <c r="AHD20" s="90"/>
      <c r="AHE20" s="90"/>
      <c r="AHF20" s="90"/>
      <c r="AHG20" s="90"/>
      <c r="AHH20" s="90"/>
      <c r="AHI20" s="90"/>
      <c r="AHJ20" s="90"/>
      <c r="AHK20" s="90"/>
      <c r="AHL20" s="90"/>
      <c r="AHM20" s="90"/>
      <c r="AHN20" s="90"/>
      <c r="AHO20" s="90"/>
      <c r="AHP20" s="90"/>
      <c r="AHQ20" s="90"/>
      <c r="AHR20" s="90"/>
      <c r="AHS20" s="90"/>
      <c r="AHT20" s="90"/>
      <c r="AHU20" s="90"/>
      <c r="AHV20" s="90"/>
      <c r="AHW20" s="90"/>
      <c r="AHX20" s="90"/>
      <c r="AHY20" s="90"/>
      <c r="AHZ20" s="90"/>
      <c r="AIA20" s="90"/>
      <c r="AIB20" s="90"/>
      <c r="AIC20" s="90"/>
      <c r="AID20" s="90"/>
      <c r="AIE20" s="90"/>
      <c r="AIF20" s="90"/>
      <c r="AIG20" s="90"/>
      <c r="AIH20" s="90"/>
      <c r="AII20" s="90"/>
      <c r="AIJ20" s="90"/>
      <c r="AIK20" s="90"/>
      <c r="AIL20" s="90"/>
      <c r="AIM20" s="90"/>
      <c r="AIN20" s="90"/>
      <c r="AIO20" s="90"/>
      <c r="AIP20" s="90"/>
      <c r="AIQ20" s="90"/>
      <c r="AIR20" s="90"/>
      <c r="AIS20" s="90"/>
      <c r="AIT20" s="90"/>
      <c r="AIU20" s="90"/>
      <c r="AIV20" s="90"/>
      <c r="AIW20" s="90"/>
      <c r="AIX20" s="90"/>
      <c r="AIY20" s="90"/>
      <c r="AIZ20" s="90"/>
      <c r="AJA20" s="90"/>
      <c r="AJB20" s="90"/>
      <c r="AJC20" s="90"/>
      <c r="AJD20" s="90"/>
      <c r="AJE20" s="90"/>
      <c r="AJF20" s="90"/>
      <c r="AJG20" s="90"/>
      <c r="AJH20" s="90"/>
      <c r="AJI20" s="90"/>
      <c r="AJJ20" s="90"/>
      <c r="AJK20" s="90"/>
      <c r="AJL20" s="90"/>
      <c r="AJM20" s="90"/>
      <c r="AJN20" s="90"/>
      <c r="AJO20" s="90"/>
      <c r="AJP20" s="90"/>
      <c r="AJQ20" s="90"/>
      <c r="AJR20" s="90"/>
      <c r="AJS20" s="90"/>
      <c r="AJT20" s="90"/>
      <c r="AJU20" s="90"/>
      <c r="AJV20" s="90"/>
      <c r="AJW20" s="90"/>
      <c r="AJX20" s="90"/>
      <c r="AJY20" s="90"/>
      <c r="AJZ20" s="90"/>
      <c r="AKA20" s="90"/>
      <c r="AKB20" s="90"/>
      <c r="AKC20" s="90"/>
      <c r="AKD20" s="90"/>
      <c r="AKE20" s="90"/>
      <c r="AKF20" s="90"/>
      <c r="AKG20" s="90"/>
      <c r="AKH20" s="90"/>
      <c r="AKI20" s="90"/>
      <c r="AKJ20" s="90"/>
      <c r="AKK20" s="90"/>
      <c r="AKL20" s="90"/>
      <c r="AKM20" s="90"/>
      <c r="AKN20" s="90"/>
      <c r="AKO20" s="90"/>
      <c r="AKP20" s="90"/>
      <c r="AKQ20" s="90"/>
      <c r="AKR20" s="90"/>
      <c r="AKS20" s="90"/>
      <c r="AKT20" s="90"/>
      <c r="AKU20" s="90"/>
      <c r="AKV20" s="90"/>
      <c r="AKW20" s="90"/>
      <c r="AKX20" s="90"/>
      <c r="AKY20" s="90"/>
      <c r="AKZ20" s="90"/>
      <c r="ALA20" s="90"/>
      <c r="ALB20" s="90"/>
      <c r="ALC20" s="90"/>
      <c r="ALD20" s="90"/>
      <c r="ALE20" s="90"/>
      <c r="ALF20" s="90"/>
      <c r="ALG20" s="90"/>
      <c r="ALH20" s="90"/>
      <c r="ALI20" s="90"/>
      <c r="ALJ20" s="90"/>
      <c r="ALK20" s="90"/>
      <c r="ALL20" s="90"/>
      <c r="ALM20" s="90"/>
      <c r="ALN20" s="90"/>
      <c r="ALO20" s="90"/>
      <c r="ALP20" s="90"/>
      <c r="ALQ20" s="90"/>
      <c r="ALR20" s="90"/>
      <c r="ALS20" s="90"/>
      <c r="ALT20" s="90"/>
      <c r="ALU20" s="90"/>
      <c r="ALV20" s="90"/>
      <c r="ALW20" s="90"/>
      <c r="ALX20" s="90"/>
      <c r="ALY20" s="90"/>
      <c r="ALZ20" s="90"/>
      <c r="AMA20" s="90"/>
      <c r="AMB20" s="90"/>
      <c r="AMC20" s="90"/>
    </row>
    <row r="21" spans="1:1017">
      <c r="A21" s="98" t="s">
        <v>25</v>
      </c>
      <c r="B21" s="648" t="s">
        <v>10</v>
      </c>
      <c r="E21" s="774">
        <v>173400</v>
      </c>
      <c r="F21" s="774">
        <v>11271000</v>
      </c>
      <c r="Q21" s="91">
        <f t="shared" si="640"/>
        <v>173400</v>
      </c>
      <c r="R21" s="91">
        <f t="shared" si="641"/>
        <v>11271000</v>
      </c>
      <c r="S21" s="98">
        <v>150</v>
      </c>
      <c r="T21" s="98">
        <v>11250</v>
      </c>
      <c r="U21" s="98">
        <v>2910</v>
      </c>
      <c r="V21" s="98">
        <v>218250</v>
      </c>
      <c r="AG21" s="91">
        <f t="shared" si="642"/>
        <v>3060</v>
      </c>
      <c r="AH21" s="91">
        <f t="shared" si="643"/>
        <v>229500</v>
      </c>
      <c r="AW21" s="91">
        <f t="shared" si="644"/>
        <v>0</v>
      </c>
      <c r="AX21" s="91">
        <f t="shared" si="645"/>
        <v>0</v>
      </c>
      <c r="BM21" s="91">
        <f t="shared" si="646"/>
        <v>0</v>
      </c>
      <c r="BN21" s="91">
        <f t="shared" si="647"/>
        <v>0</v>
      </c>
      <c r="CC21" s="91">
        <f t="shared" si="648"/>
        <v>0</v>
      </c>
      <c r="CD21" s="91">
        <f t="shared" si="649"/>
        <v>0</v>
      </c>
      <c r="CG21" s="98">
        <v>2758.3338023728988</v>
      </c>
      <c r="CH21" s="98">
        <v>82750.014071186961</v>
      </c>
      <c r="CS21" s="91">
        <f t="shared" si="650"/>
        <v>2758.3338023728988</v>
      </c>
      <c r="CT21" s="91">
        <f t="shared" si="651"/>
        <v>82750.014071186961</v>
      </c>
      <c r="DI21" s="91">
        <f t="shared" si="652"/>
        <v>0</v>
      </c>
      <c r="DJ21" s="91">
        <f t="shared" si="653"/>
        <v>0</v>
      </c>
      <c r="DY21" s="91">
        <f t="shared" si="654"/>
        <v>0</v>
      </c>
      <c r="DZ21" s="91">
        <f t="shared" si="655"/>
        <v>0</v>
      </c>
      <c r="EO21" s="91">
        <f t="shared" si="656"/>
        <v>0</v>
      </c>
      <c r="EP21" s="91">
        <f t="shared" si="657"/>
        <v>0</v>
      </c>
      <c r="FE21" s="91">
        <f t="shared" si="658"/>
        <v>0</v>
      </c>
      <c r="FF21" s="91">
        <f t="shared" si="659"/>
        <v>0</v>
      </c>
      <c r="FU21" s="91">
        <f t="shared" si="660"/>
        <v>0</v>
      </c>
      <c r="FV21" s="91">
        <f t="shared" si="661"/>
        <v>0</v>
      </c>
      <c r="GK21" s="91">
        <f t="shared" si="662"/>
        <v>0</v>
      </c>
      <c r="GL21" s="91">
        <f t="shared" si="663"/>
        <v>0</v>
      </c>
      <c r="HA21" s="91">
        <f t="shared" si="664"/>
        <v>0</v>
      </c>
      <c r="HB21" s="91">
        <f t="shared" si="665"/>
        <v>0</v>
      </c>
      <c r="HQ21" s="91">
        <f t="shared" si="666"/>
        <v>0</v>
      </c>
      <c r="HR21" s="91">
        <f t="shared" si="667"/>
        <v>0</v>
      </c>
      <c r="IG21" s="91">
        <f t="shared" si="668"/>
        <v>0</v>
      </c>
      <c r="IH21" s="91">
        <f t="shared" si="669"/>
        <v>0</v>
      </c>
      <c r="IW21" s="91">
        <f t="shared" si="670"/>
        <v>0</v>
      </c>
      <c r="IX21" s="91">
        <f t="shared" si="671"/>
        <v>0</v>
      </c>
      <c r="JM21" s="91">
        <f t="shared" si="672"/>
        <v>0</v>
      </c>
      <c r="JN21" s="91">
        <f t="shared" si="673"/>
        <v>0</v>
      </c>
      <c r="KC21" s="91">
        <f t="shared" si="674"/>
        <v>0</v>
      </c>
      <c r="KD21" s="91">
        <f t="shared" si="675"/>
        <v>0</v>
      </c>
      <c r="KS21" s="91">
        <f t="shared" si="676"/>
        <v>0</v>
      </c>
      <c r="KT21" s="91">
        <f t="shared" si="677"/>
        <v>0</v>
      </c>
      <c r="LI21" s="91">
        <f t="shared" si="678"/>
        <v>0</v>
      </c>
      <c r="LJ21" s="91">
        <f t="shared" si="679"/>
        <v>0</v>
      </c>
      <c r="LY21" s="91">
        <f t="shared" si="680"/>
        <v>0</v>
      </c>
      <c r="LZ21" s="91">
        <f t="shared" si="681"/>
        <v>0</v>
      </c>
      <c r="MO21" s="91">
        <f t="shared" si="682"/>
        <v>0</v>
      </c>
      <c r="MP21" s="91">
        <f t="shared" si="683"/>
        <v>0</v>
      </c>
      <c r="MS21" s="98">
        <v>500</v>
      </c>
      <c r="MT21" s="98">
        <v>15000</v>
      </c>
      <c r="NE21" s="91">
        <f t="shared" si="684"/>
        <v>500</v>
      </c>
      <c r="NF21" s="91">
        <f t="shared" si="685"/>
        <v>15000</v>
      </c>
      <c r="NI21" s="98">
        <v>5700</v>
      </c>
      <c r="NJ21" s="98">
        <v>199500</v>
      </c>
      <c r="NU21" s="91">
        <f t="shared" si="686"/>
        <v>5700</v>
      </c>
      <c r="NV21" s="91">
        <f t="shared" si="687"/>
        <v>199500</v>
      </c>
      <c r="NW21" s="98">
        <v>200</v>
      </c>
      <c r="NX21" s="98">
        <v>14000</v>
      </c>
      <c r="OK21" s="91">
        <f t="shared" si="688"/>
        <v>200</v>
      </c>
      <c r="OL21" s="91">
        <f t="shared" si="689"/>
        <v>14000</v>
      </c>
      <c r="PA21" s="91">
        <f t="shared" si="690"/>
        <v>0</v>
      </c>
      <c r="PB21" s="91">
        <f t="shared" si="691"/>
        <v>0</v>
      </c>
      <c r="PQ21" s="91">
        <f t="shared" si="692"/>
        <v>0</v>
      </c>
      <c r="PR21" s="91">
        <f t="shared" si="693"/>
        <v>0</v>
      </c>
      <c r="PU21" s="98">
        <v>1580</v>
      </c>
      <c r="PV21" s="98">
        <v>63200</v>
      </c>
      <c r="QG21" s="91">
        <f t="shared" si="694"/>
        <v>1580</v>
      </c>
      <c r="QH21" s="91">
        <f t="shared" si="695"/>
        <v>63200</v>
      </c>
      <c r="QW21" s="91">
        <f t="shared" si="696"/>
        <v>0</v>
      </c>
      <c r="QX21" s="91">
        <f t="shared" si="697"/>
        <v>0</v>
      </c>
      <c r="RM21" s="91">
        <f t="shared" si="698"/>
        <v>0</v>
      </c>
      <c r="RN21" s="91">
        <f t="shared" si="699"/>
        <v>0</v>
      </c>
      <c r="SC21" s="91">
        <f t="shared" si="700"/>
        <v>0</v>
      </c>
      <c r="SD21" s="91">
        <f t="shared" si="701"/>
        <v>0</v>
      </c>
      <c r="SS21" s="91">
        <f t="shared" si="702"/>
        <v>0</v>
      </c>
      <c r="ST21" s="91">
        <f t="shared" si="703"/>
        <v>0</v>
      </c>
      <c r="TI21" s="91">
        <f t="shared" si="704"/>
        <v>0</v>
      </c>
      <c r="TJ21" s="91">
        <f t="shared" si="705"/>
        <v>0</v>
      </c>
      <c r="TY21" s="91">
        <f t="shared" si="706"/>
        <v>0</v>
      </c>
      <c r="TZ21" s="91">
        <f t="shared" si="707"/>
        <v>0</v>
      </c>
      <c r="UO21" s="91">
        <f t="shared" si="708"/>
        <v>0</v>
      </c>
      <c r="UP21" s="91">
        <f t="shared" si="637"/>
        <v>0</v>
      </c>
      <c r="VE21" s="91">
        <f t="shared" si="709"/>
        <v>0</v>
      </c>
      <c r="VF21" s="91">
        <f t="shared" si="710"/>
        <v>0</v>
      </c>
      <c r="VI21" s="98">
        <v>53.9</v>
      </c>
      <c r="VJ21" s="98">
        <v>2156</v>
      </c>
      <c r="VU21" s="91">
        <f t="shared" si="711"/>
        <v>53.9</v>
      </c>
      <c r="VV21" s="91">
        <f t="shared" si="712"/>
        <v>2156</v>
      </c>
      <c r="WK21" s="91">
        <f t="shared" si="713"/>
        <v>0</v>
      </c>
      <c r="WL21" s="91">
        <f t="shared" si="714"/>
        <v>0</v>
      </c>
      <c r="WM21" s="89"/>
      <c r="WN21" s="87">
        <f t="shared" si="715"/>
        <v>350</v>
      </c>
      <c r="WO21" s="87">
        <f t="shared" si="716"/>
        <v>25250</v>
      </c>
      <c r="WP21" s="87">
        <f t="shared" si="717"/>
        <v>186902.23380237288</v>
      </c>
      <c r="WQ21" s="87">
        <f t="shared" si="718"/>
        <v>11851856.014071187</v>
      </c>
      <c r="WR21" s="87">
        <f t="shared" si="719"/>
        <v>0</v>
      </c>
      <c r="WS21" s="87">
        <f t="shared" si="720"/>
        <v>0</v>
      </c>
      <c r="WT21" s="87">
        <f t="shared" si="721"/>
        <v>0</v>
      </c>
      <c r="WU21" s="87">
        <f t="shared" si="722"/>
        <v>0</v>
      </c>
      <c r="WV21" s="87">
        <f t="shared" si="723"/>
        <v>0</v>
      </c>
      <c r="WW21" s="87">
        <f t="shared" si="724"/>
        <v>0</v>
      </c>
      <c r="WX21" s="87">
        <f t="shared" si="725"/>
        <v>0</v>
      </c>
      <c r="WY21" s="87">
        <f t="shared" si="726"/>
        <v>0</v>
      </c>
      <c r="WZ21" s="87">
        <f t="shared" si="727"/>
        <v>0</v>
      </c>
      <c r="XA21" s="87">
        <f t="shared" si="728"/>
        <v>0</v>
      </c>
      <c r="XB21" s="92">
        <f t="shared" si="729"/>
        <v>187252.23380237288</v>
      </c>
      <c r="XC21" s="92">
        <f t="shared" si="730"/>
        <v>11877106.014071187</v>
      </c>
      <c r="XD21" s="89"/>
      <c r="XE21" s="92">
        <f t="shared" si="638"/>
        <v>629413.14380237286</v>
      </c>
      <c r="XF21" s="92">
        <f t="shared" si="639"/>
        <v>39817528.014071189</v>
      </c>
      <c r="XG21" s="89"/>
      <c r="XH21" s="92">
        <f t="shared" ref="XH21:XI21" si="753">SUM(XE21,XE59)</f>
        <v>975082.22244529822</v>
      </c>
      <c r="XI21" s="92">
        <f t="shared" si="753"/>
        <v>61346895.073358946</v>
      </c>
      <c r="XJ21" s="89"/>
      <c r="XK21" s="87">
        <f t="shared" si="732"/>
        <v>4970</v>
      </c>
      <c r="XL21" s="87">
        <f t="shared" si="733"/>
        <v>1812033.0758633555</v>
      </c>
      <c r="XM21" s="87">
        <f t="shared" si="734"/>
        <v>0</v>
      </c>
      <c r="XN21" s="87">
        <f t="shared" si="735"/>
        <v>0</v>
      </c>
      <c r="XO21" s="87">
        <f t="shared" si="736"/>
        <v>0</v>
      </c>
      <c r="XP21" s="87">
        <f t="shared" si="737"/>
        <v>0</v>
      </c>
      <c r="XQ21" s="87">
        <f t="shared" si="738"/>
        <v>0</v>
      </c>
      <c r="XR21" s="92">
        <f t="shared" si="739"/>
        <v>1817003.0758633555</v>
      </c>
      <c r="XS21" s="89"/>
      <c r="XT21" s="87">
        <f t="shared" si="740"/>
        <v>374525</v>
      </c>
      <c r="XU21" s="87">
        <f t="shared" si="741"/>
        <v>110600212.86546618</v>
      </c>
      <c r="XV21" s="87">
        <f t="shared" si="742"/>
        <v>0</v>
      </c>
      <c r="XW21" s="87">
        <f t="shared" si="743"/>
        <v>0</v>
      </c>
      <c r="XX21" s="87">
        <f t="shared" si="744"/>
        <v>0</v>
      </c>
      <c r="XY21" s="87">
        <f t="shared" si="745"/>
        <v>0</v>
      </c>
      <c r="XZ21" s="87">
        <f t="shared" si="746"/>
        <v>0</v>
      </c>
      <c r="YA21" s="92">
        <f t="shared" si="747"/>
        <v>110974737.86546618</v>
      </c>
      <c r="YB21" s="90"/>
      <c r="YC21" s="90"/>
      <c r="YD21" s="90"/>
      <c r="YE21" s="90"/>
      <c r="YF21" s="90"/>
      <c r="YG21" s="90"/>
      <c r="YH21" s="90"/>
      <c r="YI21" s="90"/>
      <c r="YJ21" s="90"/>
      <c r="YK21" s="90"/>
      <c r="YL21" s="90"/>
      <c r="YM21" s="90"/>
      <c r="YN21" s="90"/>
      <c r="YO21" s="90"/>
      <c r="YP21" s="90"/>
      <c r="YQ21" s="90"/>
      <c r="YR21" s="90"/>
      <c r="YS21" s="90"/>
      <c r="YT21" s="90"/>
      <c r="YU21" s="90"/>
      <c r="YV21" s="90"/>
      <c r="YW21" s="90"/>
      <c r="YX21" s="90"/>
      <c r="YY21" s="90"/>
      <c r="YZ21" s="90"/>
      <c r="ZA21" s="90"/>
      <c r="ZB21" s="90"/>
      <c r="ZC21" s="90"/>
      <c r="ZD21" s="90"/>
      <c r="ZE21" s="90"/>
      <c r="ZF21" s="90"/>
      <c r="ZG21" s="90"/>
      <c r="ZH21" s="90"/>
      <c r="ZI21" s="90"/>
      <c r="ZJ21" s="90"/>
      <c r="ZK21" s="90"/>
      <c r="ZL21" s="90"/>
      <c r="ZM21" s="90"/>
      <c r="ZN21" s="90"/>
      <c r="ZO21" s="90"/>
      <c r="ZP21" s="90"/>
      <c r="ZQ21" s="90"/>
      <c r="ZR21" s="90"/>
      <c r="ZS21" s="90"/>
      <c r="ZT21" s="90"/>
      <c r="ZU21" s="90"/>
      <c r="ZV21" s="90"/>
      <c r="ZW21" s="90"/>
      <c r="ZX21" s="90"/>
      <c r="ZY21" s="90"/>
      <c r="ZZ21" s="90"/>
      <c r="AAA21" s="90"/>
      <c r="AAB21" s="90"/>
      <c r="AAC21" s="90"/>
      <c r="AAD21" s="90"/>
      <c r="AAE21" s="90"/>
      <c r="AAF21" s="90"/>
      <c r="AAG21" s="90"/>
      <c r="AAH21" s="90"/>
      <c r="AAI21" s="90"/>
      <c r="AAJ21" s="90"/>
      <c r="AAK21" s="90"/>
      <c r="AAL21" s="90"/>
      <c r="AAM21" s="90"/>
      <c r="AAN21" s="90"/>
      <c r="AAO21" s="90"/>
      <c r="AAP21" s="90"/>
      <c r="AAQ21" s="90"/>
      <c r="AAR21" s="90"/>
      <c r="AAS21" s="90"/>
      <c r="AAT21" s="90"/>
      <c r="AAU21" s="90"/>
      <c r="AAV21" s="90"/>
      <c r="AAW21" s="90"/>
      <c r="AAX21" s="90"/>
      <c r="AAY21" s="90"/>
      <c r="AAZ21" s="90"/>
      <c r="ABA21" s="90"/>
      <c r="ABB21" s="90"/>
      <c r="ABC21" s="90"/>
      <c r="ABD21" s="90"/>
      <c r="ABE21" s="90"/>
      <c r="ABF21" s="90"/>
      <c r="ABG21" s="90"/>
      <c r="ABH21" s="90"/>
      <c r="ABI21" s="90"/>
      <c r="ABJ21" s="90"/>
      <c r="ABK21" s="90"/>
      <c r="ABL21" s="90"/>
      <c r="ABM21" s="90"/>
      <c r="ABN21" s="90"/>
      <c r="ABO21" s="90"/>
      <c r="ABP21" s="90"/>
      <c r="ABQ21" s="90"/>
      <c r="ABR21" s="90"/>
      <c r="ABS21" s="90"/>
      <c r="ABT21" s="90"/>
      <c r="ABU21" s="90"/>
      <c r="ABV21" s="90"/>
      <c r="ABW21" s="90"/>
      <c r="ABX21" s="90"/>
      <c r="ABY21" s="90"/>
      <c r="ABZ21" s="90"/>
      <c r="ACA21" s="90"/>
      <c r="ACB21" s="90"/>
      <c r="ACC21" s="90"/>
      <c r="ACD21" s="90"/>
      <c r="ACE21" s="90"/>
      <c r="ACF21" s="90"/>
      <c r="ACG21" s="90"/>
      <c r="ACH21" s="90"/>
      <c r="ACI21" s="90"/>
      <c r="ACJ21" s="90"/>
      <c r="ACK21" s="90"/>
      <c r="ACL21" s="90"/>
      <c r="ACM21" s="90"/>
      <c r="ACN21" s="90"/>
      <c r="ACO21" s="90"/>
      <c r="ACP21" s="90"/>
      <c r="ACQ21" s="90"/>
      <c r="ACR21" s="90"/>
      <c r="ACS21" s="90"/>
      <c r="ACT21" s="90"/>
      <c r="ACU21" s="90"/>
      <c r="ACV21" s="90"/>
      <c r="ACW21" s="90"/>
      <c r="ACX21" s="90"/>
      <c r="ACY21" s="90"/>
      <c r="ACZ21" s="90"/>
      <c r="ADA21" s="90"/>
      <c r="ADB21" s="90"/>
      <c r="ADC21" s="90"/>
      <c r="ADD21" s="90"/>
      <c r="ADE21" s="90"/>
      <c r="ADF21" s="90"/>
      <c r="ADG21" s="90"/>
      <c r="ADH21" s="90"/>
      <c r="ADI21" s="90"/>
      <c r="ADJ21" s="90"/>
      <c r="ADK21" s="90"/>
      <c r="ADL21" s="90"/>
      <c r="ADM21" s="90"/>
      <c r="ADN21" s="90"/>
      <c r="ADO21" s="90"/>
      <c r="ADP21" s="90"/>
      <c r="ADQ21" s="90"/>
      <c r="ADR21" s="90"/>
      <c r="ADS21" s="90"/>
      <c r="ADT21" s="90"/>
      <c r="ADU21" s="90"/>
      <c r="ADV21" s="90"/>
      <c r="ADW21" s="90"/>
      <c r="ADX21" s="90"/>
      <c r="ADY21" s="90"/>
      <c r="ADZ21" s="90"/>
      <c r="AEA21" s="90"/>
      <c r="AEB21" s="90"/>
      <c r="AEC21" s="90"/>
      <c r="AED21" s="90"/>
      <c r="AEE21" s="90"/>
      <c r="AEF21" s="90"/>
      <c r="AEG21" s="90"/>
      <c r="AEH21" s="90"/>
      <c r="AEI21" s="90"/>
      <c r="AEJ21" s="90"/>
      <c r="AEK21" s="90"/>
      <c r="AEL21" s="90"/>
      <c r="AEM21" s="90"/>
      <c r="AEN21" s="90"/>
      <c r="AEO21" s="90"/>
      <c r="AEP21" s="90"/>
      <c r="AEQ21" s="90"/>
      <c r="AER21" s="90"/>
      <c r="AES21" s="90"/>
      <c r="AET21" s="90"/>
      <c r="AEU21" s="90"/>
      <c r="AEV21" s="90"/>
      <c r="AEW21" s="90"/>
      <c r="AEX21" s="90"/>
      <c r="AEY21" s="90"/>
      <c r="AEZ21" s="90"/>
      <c r="AFA21" s="90"/>
      <c r="AFB21" s="90"/>
      <c r="AFC21" s="90"/>
      <c r="AFD21" s="90"/>
      <c r="AFE21" s="90"/>
      <c r="AFF21" s="90"/>
      <c r="AFG21" s="90"/>
      <c r="AFH21" s="90"/>
      <c r="AFI21" s="90"/>
      <c r="AFJ21" s="90"/>
      <c r="AFK21" s="90"/>
      <c r="AFL21" s="90"/>
      <c r="AFM21" s="90"/>
      <c r="AFN21" s="90"/>
      <c r="AFO21" s="90"/>
      <c r="AFP21" s="90"/>
      <c r="AFQ21" s="90"/>
      <c r="AFR21" s="90"/>
      <c r="AFS21" s="90"/>
      <c r="AFT21" s="90"/>
      <c r="AFU21" s="90"/>
      <c r="AFV21" s="90"/>
      <c r="AFW21" s="90"/>
      <c r="AFX21" s="90"/>
      <c r="AFY21" s="90"/>
      <c r="AFZ21" s="90"/>
      <c r="AGA21" s="90"/>
      <c r="AGB21" s="90"/>
      <c r="AGC21" s="90"/>
      <c r="AGD21" s="90"/>
      <c r="AGE21" s="90"/>
      <c r="AGF21" s="90"/>
      <c r="AGG21" s="90"/>
      <c r="AGH21" s="90"/>
      <c r="AGI21" s="90"/>
      <c r="AGJ21" s="90"/>
      <c r="AGK21" s="90"/>
      <c r="AGL21" s="90"/>
      <c r="AGM21" s="90"/>
      <c r="AGN21" s="90"/>
      <c r="AGO21" s="90"/>
      <c r="AGP21" s="90"/>
      <c r="AGQ21" s="90"/>
      <c r="AGR21" s="90"/>
      <c r="AGS21" s="90"/>
      <c r="AGT21" s="90"/>
      <c r="AGU21" s="90"/>
      <c r="AGV21" s="90"/>
      <c r="AGW21" s="90"/>
      <c r="AGX21" s="90"/>
      <c r="AGY21" s="90"/>
      <c r="AGZ21" s="90"/>
      <c r="AHA21" s="90"/>
      <c r="AHB21" s="90"/>
      <c r="AHC21" s="90"/>
      <c r="AHD21" s="90"/>
      <c r="AHE21" s="90"/>
      <c r="AHF21" s="90"/>
      <c r="AHG21" s="90"/>
      <c r="AHH21" s="90"/>
      <c r="AHI21" s="90"/>
      <c r="AHJ21" s="90"/>
      <c r="AHK21" s="90"/>
      <c r="AHL21" s="90"/>
      <c r="AHM21" s="90"/>
      <c r="AHN21" s="90"/>
      <c r="AHO21" s="90"/>
      <c r="AHP21" s="90"/>
      <c r="AHQ21" s="90"/>
      <c r="AHR21" s="90"/>
      <c r="AHS21" s="90"/>
      <c r="AHT21" s="90"/>
      <c r="AHU21" s="90"/>
      <c r="AHV21" s="90"/>
      <c r="AHW21" s="90"/>
      <c r="AHX21" s="90"/>
      <c r="AHY21" s="90"/>
      <c r="AHZ21" s="90"/>
      <c r="AIA21" s="90"/>
      <c r="AIB21" s="90"/>
      <c r="AIC21" s="90"/>
      <c r="AID21" s="90"/>
      <c r="AIE21" s="90"/>
      <c r="AIF21" s="90"/>
      <c r="AIG21" s="90"/>
      <c r="AIH21" s="90"/>
      <c r="AII21" s="90"/>
      <c r="AIJ21" s="90"/>
      <c r="AIK21" s="90"/>
      <c r="AIL21" s="90"/>
      <c r="AIM21" s="90"/>
      <c r="AIN21" s="90"/>
      <c r="AIO21" s="90"/>
      <c r="AIP21" s="90"/>
      <c r="AIQ21" s="90"/>
      <c r="AIR21" s="90"/>
      <c r="AIS21" s="90"/>
      <c r="AIT21" s="90"/>
      <c r="AIU21" s="90"/>
      <c r="AIV21" s="90"/>
      <c r="AIW21" s="90"/>
      <c r="AIX21" s="90"/>
      <c r="AIY21" s="90"/>
      <c r="AIZ21" s="90"/>
      <c r="AJA21" s="90"/>
      <c r="AJB21" s="90"/>
      <c r="AJC21" s="90"/>
      <c r="AJD21" s="90"/>
      <c r="AJE21" s="90"/>
      <c r="AJF21" s="90"/>
      <c r="AJG21" s="90"/>
      <c r="AJH21" s="90"/>
      <c r="AJI21" s="90"/>
      <c r="AJJ21" s="90"/>
      <c r="AJK21" s="90"/>
      <c r="AJL21" s="90"/>
      <c r="AJM21" s="90"/>
      <c r="AJN21" s="90"/>
      <c r="AJO21" s="90"/>
      <c r="AJP21" s="90"/>
      <c r="AJQ21" s="90"/>
      <c r="AJR21" s="90"/>
      <c r="AJS21" s="90"/>
      <c r="AJT21" s="90"/>
      <c r="AJU21" s="90"/>
      <c r="AJV21" s="90"/>
      <c r="AJW21" s="90"/>
      <c r="AJX21" s="90"/>
      <c r="AJY21" s="90"/>
      <c r="AJZ21" s="90"/>
      <c r="AKA21" s="90"/>
      <c r="AKB21" s="90"/>
      <c r="AKC21" s="90"/>
      <c r="AKD21" s="90"/>
      <c r="AKE21" s="90"/>
      <c r="AKF21" s="90"/>
      <c r="AKG21" s="90"/>
      <c r="AKH21" s="90"/>
      <c r="AKI21" s="90"/>
      <c r="AKJ21" s="90"/>
      <c r="AKK21" s="90"/>
      <c r="AKL21" s="90"/>
      <c r="AKM21" s="90"/>
      <c r="AKN21" s="90"/>
      <c r="AKO21" s="90"/>
      <c r="AKP21" s="90"/>
      <c r="AKQ21" s="90"/>
      <c r="AKR21" s="90"/>
      <c r="AKS21" s="90"/>
      <c r="AKT21" s="90"/>
      <c r="AKU21" s="90"/>
      <c r="AKV21" s="90"/>
      <c r="AKW21" s="90"/>
      <c r="AKX21" s="90"/>
      <c r="AKY21" s="90"/>
      <c r="AKZ21" s="90"/>
      <c r="ALA21" s="90"/>
      <c r="ALB21" s="90"/>
      <c r="ALC21" s="90"/>
      <c r="ALD21" s="90"/>
      <c r="ALE21" s="90"/>
      <c r="ALF21" s="90"/>
      <c r="ALG21" s="90"/>
      <c r="ALH21" s="90"/>
      <c r="ALI21" s="90"/>
      <c r="ALJ21" s="90"/>
      <c r="ALK21" s="90"/>
      <c r="ALL21" s="90"/>
      <c r="ALM21" s="90"/>
      <c r="ALN21" s="90"/>
      <c r="ALO21" s="90"/>
      <c r="ALP21" s="90"/>
      <c r="ALQ21" s="90"/>
      <c r="ALR21" s="90"/>
      <c r="ALS21" s="90"/>
      <c r="ALT21" s="90"/>
      <c r="ALU21" s="90"/>
      <c r="ALV21" s="90"/>
      <c r="ALW21" s="90"/>
      <c r="ALX21" s="90"/>
      <c r="ALY21" s="90"/>
      <c r="ALZ21" s="90"/>
      <c r="AMA21" s="90"/>
      <c r="AMB21" s="90"/>
      <c r="AMC21" s="90"/>
    </row>
    <row r="22" spans="1:1017">
      <c r="A22" s="98" t="s">
        <v>25</v>
      </c>
      <c r="B22" s="648" t="s">
        <v>231</v>
      </c>
      <c r="Q22" s="91">
        <f t="shared" si="640"/>
        <v>0</v>
      </c>
      <c r="R22" s="91">
        <f t="shared" si="641"/>
        <v>0</v>
      </c>
      <c r="U22" s="98">
        <v>4280</v>
      </c>
      <c r="V22" s="98">
        <v>256800</v>
      </c>
      <c r="AG22" s="91">
        <f t="shared" si="642"/>
        <v>4280</v>
      </c>
      <c r="AH22" s="91">
        <f t="shared" si="643"/>
        <v>256800</v>
      </c>
      <c r="AW22" s="91">
        <f t="shared" si="644"/>
        <v>0</v>
      </c>
      <c r="AX22" s="91">
        <f t="shared" si="645"/>
        <v>0</v>
      </c>
      <c r="BM22" s="91">
        <f t="shared" si="646"/>
        <v>0</v>
      </c>
      <c r="BN22" s="91">
        <f t="shared" si="647"/>
        <v>0</v>
      </c>
      <c r="CC22" s="91">
        <f t="shared" si="648"/>
        <v>0</v>
      </c>
      <c r="CD22" s="91">
        <f t="shared" si="649"/>
        <v>0</v>
      </c>
      <c r="CG22" s="98">
        <v>19067.401996384924</v>
      </c>
      <c r="CH22" s="98">
        <v>1144044.1197830953</v>
      </c>
      <c r="CS22" s="91">
        <f t="shared" si="650"/>
        <v>19067.401996384924</v>
      </c>
      <c r="CT22" s="91">
        <f t="shared" si="651"/>
        <v>1144044.1197830953</v>
      </c>
      <c r="DI22" s="91">
        <f t="shared" si="652"/>
        <v>0</v>
      </c>
      <c r="DJ22" s="91">
        <f t="shared" si="653"/>
        <v>0</v>
      </c>
      <c r="DY22" s="91">
        <f t="shared" si="654"/>
        <v>0</v>
      </c>
      <c r="DZ22" s="91">
        <f t="shared" si="655"/>
        <v>0</v>
      </c>
      <c r="EO22" s="91">
        <f t="shared" si="656"/>
        <v>0</v>
      </c>
      <c r="EP22" s="91">
        <f t="shared" si="657"/>
        <v>0</v>
      </c>
      <c r="FE22" s="91">
        <f t="shared" si="658"/>
        <v>0</v>
      </c>
      <c r="FF22" s="91">
        <f t="shared" si="659"/>
        <v>0</v>
      </c>
      <c r="FU22" s="91">
        <f t="shared" si="660"/>
        <v>0</v>
      </c>
      <c r="FV22" s="91">
        <f t="shared" si="661"/>
        <v>0</v>
      </c>
      <c r="GK22" s="91">
        <f t="shared" si="662"/>
        <v>0</v>
      </c>
      <c r="GL22" s="91">
        <f t="shared" si="663"/>
        <v>0</v>
      </c>
      <c r="HA22" s="91">
        <f t="shared" si="664"/>
        <v>0</v>
      </c>
      <c r="HB22" s="91">
        <f t="shared" si="665"/>
        <v>0</v>
      </c>
      <c r="HQ22" s="91">
        <f t="shared" si="666"/>
        <v>0</v>
      </c>
      <c r="HR22" s="91">
        <f t="shared" si="667"/>
        <v>0</v>
      </c>
      <c r="IG22" s="91">
        <f t="shared" si="668"/>
        <v>0</v>
      </c>
      <c r="IH22" s="91">
        <f t="shared" si="669"/>
        <v>0</v>
      </c>
      <c r="IW22" s="91">
        <f t="shared" si="670"/>
        <v>0</v>
      </c>
      <c r="IX22" s="91">
        <f t="shared" si="671"/>
        <v>0</v>
      </c>
      <c r="JM22" s="91">
        <f t="shared" si="672"/>
        <v>0</v>
      </c>
      <c r="JN22" s="91">
        <f t="shared" si="673"/>
        <v>0</v>
      </c>
      <c r="KC22" s="91">
        <f t="shared" si="674"/>
        <v>0</v>
      </c>
      <c r="KD22" s="91">
        <f t="shared" si="675"/>
        <v>0</v>
      </c>
      <c r="KS22" s="91">
        <f t="shared" si="676"/>
        <v>0</v>
      </c>
      <c r="KT22" s="91">
        <f t="shared" si="677"/>
        <v>0</v>
      </c>
      <c r="LI22" s="91">
        <f t="shared" si="678"/>
        <v>0</v>
      </c>
      <c r="LJ22" s="91">
        <f t="shared" si="679"/>
        <v>0</v>
      </c>
      <c r="LY22" s="91">
        <f t="shared" si="680"/>
        <v>0</v>
      </c>
      <c r="LZ22" s="91">
        <f t="shared" si="681"/>
        <v>0</v>
      </c>
      <c r="MC22" s="98">
        <v>8900</v>
      </c>
      <c r="MD22" s="98">
        <v>890000</v>
      </c>
      <c r="MO22" s="91">
        <f t="shared" si="682"/>
        <v>8900</v>
      </c>
      <c r="MP22" s="91">
        <f t="shared" si="683"/>
        <v>890000</v>
      </c>
      <c r="MS22" s="98">
        <v>50</v>
      </c>
      <c r="MT22" s="98">
        <v>5000</v>
      </c>
      <c r="NE22" s="91">
        <f t="shared" si="684"/>
        <v>50</v>
      </c>
      <c r="NF22" s="91">
        <f t="shared" si="685"/>
        <v>5000</v>
      </c>
      <c r="NI22" s="98">
        <v>18200</v>
      </c>
      <c r="NJ22" s="98">
        <v>728000</v>
      </c>
      <c r="NU22" s="91">
        <f t="shared" si="686"/>
        <v>18200</v>
      </c>
      <c r="NV22" s="91">
        <f t="shared" si="687"/>
        <v>728000</v>
      </c>
      <c r="OK22" s="91">
        <f t="shared" si="688"/>
        <v>0</v>
      </c>
      <c r="OL22" s="91">
        <f t="shared" si="689"/>
        <v>0</v>
      </c>
      <c r="PA22" s="91">
        <f t="shared" si="690"/>
        <v>0</v>
      </c>
      <c r="PB22" s="91">
        <f t="shared" si="691"/>
        <v>0</v>
      </c>
      <c r="PQ22" s="91">
        <f t="shared" si="692"/>
        <v>0</v>
      </c>
      <c r="PR22" s="91">
        <f t="shared" si="693"/>
        <v>0</v>
      </c>
      <c r="QG22" s="91">
        <f t="shared" si="694"/>
        <v>0</v>
      </c>
      <c r="QH22" s="91">
        <f t="shared" si="695"/>
        <v>0</v>
      </c>
      <c r="QW22" s="91">
        <f t="shared" si="696"/>
        <v>0</v>
      </c>
      <c r="QX22" s="91">
        <f t="shared" si="697"/>
        <v>0</v>
      </c>
      <c r="RM22" s="91">
        <f t="shared" si="698"/>
        <v>0</v>
      </c>
      <c r="RN22" s="91">
        <f t="shared" si="699"/>
        <v>0</v>
      </c>
      <c r="SC22" s="91">
        <f t="shared" si="700"/>
        <v>0</v>
      </c>
      <c r="SD22" s="91">
        <f t="shared" si="701"/>
        <v>0</v>
      </c>
      <c r="SS22" s="91">
        <f t="shared" si="702"/>
        <v>0</v>
      </c>
      <c r="ST22" s="91">
        <f t="shared" si="703"/>
        <v>0</v>
      </c>
      <c r="TI22" s="91">
        <f t="shared" si="704"/>
        <v>0</v>
      </c>
      <c r="TJ22" s="91">
        <f t="shared" si="705"/>
        <v>0</v>
      </c>
      <c r="TY22" s="91">
        <f t="shared" si="706"/>
        <v>0</v>
      </c>
      <c r="TZ22" s="91">
        <f t="shared" si="707"/>
        <v>0</v>
      </c>
      <c r="UO22" s="91">
        <f t="shared" si="708"/>
        <v>0</v>
      </c>
      <c r="UP22" s="91">
        <f t="shared" si="637"/>
        <v>0</v>
      </c>
      <c r="VE22" s="91">
        <f t="shared" si="709"/>
        <v>0</v>
      </c>
      <c r="VF22" s="91">
        <f t="shared" si="710"/>
        <v>0</v>
      </c>
      <c r="VI22" s="98">
        <v>711.7</v>
      </c>
      <c r="VJ22" s="98">
        <v>42702</v>
      </c>
      <c r="VU22" s="91">
        <f t="shared" si="711"/>
        <v>711.7</v>
      </c>
      <c r="VV22" s="91">
        <f t="shared" si="712"/>
        <v>42702</v>
      </c>
      <c r="WK22" s="91">
        <f t="shared" si="713"/>
        <v>0</v>
      </c>
      <c r="WL22" s="91">
        <f t="shared" si="714"/>
        <v>0</v>
      </c>
      <c r="WM22" s="89"/>
      <c r="WN22" s="87">
        <f t="shared" si="715"/>
        <v>0</v>
      </c>
      <c r="WO22" s="87">
        <f t="shared" si="716"/>
        <v>0</v>
      </c>
      <c r="WP22" s="87">
        <f t="shared" si="717"/>
        <v>51209.101996384925</v>
      </c>
      <c r="WQ22" s="87">
        <f t="shared" si="718"/>
        <v>3066546.1197830951</v>
      </c>
      <c r="WR22" s="87">
        <f t="shared" si="719"/>
        <v>0</v>
      </c>
      <c r="WS22" s="87">
        <f t="shared" si="720"/>
        <v>0</v>
      </c>
      <c r="WT22" s="87">
        <f t="shared" si="721"/>
        <v>0</v>
      </c>
      <c r="WU22" s="87">
        <f t="shared" si="722"/>
        <v>0</v>
      </c>
      <c r="WV22" s="87">
        <f t="shared" si="723"/>
        <v>0</v>
      </c>
      <c r="WW22" s="87">
        <f t="shared" si="724"/>
        <v>0</v>
      </c>
      <c r="WX22" s="87">
        <f t="shared" si="725"/>
        <v>0</v>
      </c>
      <c r="WY22" s="87">
        <f t="shared" si="726"/>
        <v>0</v>
      </c>
      <c r="WZ22" s="87">
        <f t="shared" si="727"/>
        <v>0</v>
      </c>
      <c r="XA22" s="87">
        <f t="shared" si="728"/>
        <v>0</v>
      </c>
      <c r="XB22" s="92">
        <f t="shared" si="729"/>
        <v>51209.101996384925</v>
      </c>
      <c r="XC22" s="92">
        <f t="shared" si="730"/>
        <v>3066546.1197830951</v>
      </c>
      <c r="XD22" s="89"/>
      <c r="XE22" s="92">
        <f t="shared" si="638"/>
        <v>186220.10199638491</v>
      </c>
      <c r="XF22" s="92">
        <f t="shared" si="639"/>
        <v>9731202.119783096</v>
      </c>
      <c r="XG22" s="89"/>
      <c r="XH22" s="92">
        <f t="shared" ref="XH22:XI22" si="754">SUM(XE22,XE60)</f>
        <v>356236.28759638488</v>
      </c>
      <c r="XI22" s="92">
        <f t="shared" si="754"/>
        <v>20190869.959783096</v>
      </c>
      <c r="XJ22" s="89"/>
      <c r="XK22" s="87">
        <f t="shared" si="732"/>
        <v>0</v>
      </c>
      <c r="XL22" s="87">
        <f t="shared" si="733"/>
        <v>721293.96853126388</v>
      </c>
      <c r="XM22" s="87">
        <f t="shared" si="734"/>
        <v>0</v>
      </c>
      <c r="XN22" s="87">
        <f t="shared" si="735"/>
        <v>0</v>
      </c>
      <c r="XO22" s="87">
        <f t="shared" si="736"/>
        <v>0</v>
      </c>
      <c r="XP22" s="87">
        <f t="shared" si="737"/>
        <v>0</v>
      </c>
      <c r="XQ22" s="87">
        <f t="shared" si="738"/>
        <v>0</v>
      </c>
      <c r="XR22" s="92">
        <f t="shared" si="739"/>
        <v>721293.96853126388</v>
      </c>
      <c r="XS22" s="89"/>
      <c r="XT22" s="87">
        <f t="shared" si="740"/>
        <v>0</v>
      </c>
      <c r="XU22" s="87">
        <f t="shared" si="741"/>
        <v>37889402.250673778</v>
      </c>
      <c r="XV22" s="87">
        <f t="shared" si="742"/>
        <v>0</v>
      </c>
      <c r="XW22" s="87">
        <f t="shared" si="743"/>
        <v>0</v>
      </c>
      <c r="XX22" s="87">
        <f t="shared" si="744"/>
        <v>0</v>
      </c>
      <c r="XY22" s="87">
        <f t="shared" si="745"/>
        <v>0</v>
      </c>
      <c r="XZ22" s="87">
        <f t="shared" si="746"/>
        <v>0</v>
      </c>
      <c r="YA22" s="92">
        <f t="shared" si="747"/>
        <v>37889402.250673778</v>
      </c>
      <c r="YB22" s="90"/>
      <c r="YC22" s="90"/>
      <c r="YD22" s="90"/>
      <c r="YE22" s="90"/>
      <c r="YF22" s="90"/>
      <c r="YG22" s="90"/>
      <c r="YH22" s="90"/>
      <c r="YI22" s="90"/>
      <c r="YJ22" s="90"/>
      <c r="YK22" s="90"/>
      <c r="YL22" s="90"/>
      <c r="YM22" s="90"/>
      <c r="YN22" s="90"/>
      <c r="YO22" s="90"/>
      <c r="YP22" s="90"/>
      <c r="YQ22" s="90"/>
      <c r="YR22" s="90"/>
      <c r="YS22" s="90"/>
      <c r="YT22" s="90"/>
      <c r="YU22" s="90"/>
      <c r="YV22" s="90"/>
      <c r="YW22" s="90"/>
      <c r="YX22" s="90"/>
      <c r="YY22" s="90"/>
      <c r="YZ22" s="90"/>
      <c r="ZA22" s="90"/>
      <c r="ZB22" s="90"/>
      <c r="ZC22" s="90"/>
      <c r="ZD22" s="90"/>
      <c r="ZE22" s="90"/>
      <c r="ZF22" s="90"/>
      <c r="ZG22" s="90"/>
      <c r="ZH22" s="90"/>
      <c r="ZI22" s="90"/>
      <c r="ZJ22" s="90"/>
      <c r="ZK22" s="90"/>
      <c r="ZL22" s="90"/>
      <c r="ZM22" s="90"/>
      <c r="ZN22" s="90"/>
      <c r="ZO22" s="90"/>
      <c r="ZP22" s="90"/>
      <c r="ZQ22" s="90"/>
      <c r="ZR22" s="90"/>
      <c r="ZS22" s="90"/>
      <c r="ZT22" s="90"/>
      <c r="ZU22" s="90"/>
      <c r="ZV22" s="90"/>
      <c r="ZW22" s="90"/>
      <c r="ZX22" s="90"/>
      <c r="ZY22" s="90"/>
      <c r="ZZ22" s="90"/>
      <c r="AAA22" s="90"/>
      <c r="AAB22" s="90"/>
      <c r="AAC22" s="90"/>
      <c r="AAD22" s="90"/>
      <c r="AAE22" s="90"/>
      <c r="AAF22" s="90"/>
      <c r="AAG22" s="90"/>
      <c r="AAH22" s="90"/>
      <c r="AAI22" s="90"/>
      <c r="AAJ22" s="90"/>
      <c r="AAK22" s="90"/>
      <c r="AAL22" s="90"/>
      <c r="AAM22" s="90"/>
      <c r="AAN22" s="90"/>
      <c r="AAO22" s="90"/>
      <c r="AAP22" s="90"/>
      <c r="AAQ22" s="90"/>
      <c r="AAR22" s="90"/>
      <c r="AAS22" s="90"/>
      <c r="AAT22" s="90"/>
      <c r="AAU22" s="90"/>
      <c r="AAV22" s="90"/>
      <c r="AAW22" s="90"/>
      <c r="AAX22" s="90"/>
      <c r="AAY22" s="90"/>
      <c r="AAZ22" s="90"/>
      <c r="ABA22" s="90"/>
      <c r="ABB22" s="90"/>
      <c r="ABC22" s="90"/>
      <c r="ABD22" s="90"/>
      <c r="ABE22" s="90"/>
      <c r="ABF22" s="90"/>
      <c r="ABG22" s="90"/>
      <c r="ABH22" s="90"/>
      <c r="ABI22" s="90"/>
      <c r="ABJ22" s="90"/>
      <c r="ABK22" s="90"/>
      <c r="ABL22" s="90"/>
      <c r="ABM22" s="90"/>
      <c r="ABN22" s="90"/>
      <c r="ABO22" s="90"/>
      <c r="ABP22" s="90"/>
      <c r="ABQ22" s="90"/>
      <c r="ABR22" s="90"/>
      <c r="ABS22" s="90"/>
      <c r="ABT22" s="90"/>
      <c r="ABU22" s="90"/>
      <c r="ABV22" s="90"/>
      <c r="ABW22" s="90"/>
      <c r="ABX22" s="90"/>
      <c r="ABY22" s="90"/>
      <c r="ABZ22" s="90"/>
      <c r="ACA22" s="90"/>
      <c r="ACB22" s="90"/>
      <c r="ACC22" s="90"/>
      <c r="ACD22" s="90"/>
      <c r="ACE22" s="90"/>
      <c r="ACF22" s="90"/>
      <c r="ACG22" s="90"/>
      <c r="ACH22" s="90"/>
      <c r="ACI22" s="90"/>
      <c r="ACJ22" s="90"/>
      <c r="ACK22" s="90"/>
      <c r="ACL22" s="90"/>
      <c r="ACM22" s="90"/>
      <c r="ACN22" s="90"/>
      <c r="ACO22" s="90"/>
      <c r="ACP22" s="90"/>
      <c r="ACQ22" s="90"/>
      <c r="ACR22" s="90"/>
      <c r="ACS22" s="90"/>
      <c r="ACT22" s="90"/>
      <c r="ACU22" s="90"/>
      <c r="ACV22" s="90"/>
      <c r="ACW22" s="90"/>
      <c r="ACX22" s="90"/>
      <c r="ACY22" s="90"/>
      <c r="ACZ22" s="90"/>
      <c r="ADA22" s="90"/>
      <c r="ADB22" s="90"/>
      <c r="ADC22" s="90"/>
      <c r="ADD22" s="90"/>
      <c r="ADE22" s="90"/>
      <c r="ADF22" s="90"/>
      <c r="ADG22" s="90"/>
      <c r="ADH22" s="90"/>
      <c r="ADI22" s="90"/>
      <c r="ADJ22" s="90"/>
      <c r="ADK22" s="90"/>
      <c r="ADL22" s="90"/>
      <c r="ADM22" s="90"/>
      <c r="ADN22" s="90"/>
      <c r="ADO22" s="90"/>
      <c r="ADP22" s="90"/>
      <c r="ADQ22" s="90"/>
      <c r="ADR22" s="90"/>
      <c r="ADS22" s="90"/>
      <c r="ADT22" s="90"/>
      <c r="ADU22" s="90"/>
      <c r="ADV22" s="90"/>
      <c r="ADW22" s="90"/>
      <c r="ADX22" s="90"/>
      <c r="ADY22" s="90"/>
      <c r="ADZ22" s="90"/>
      <c r="AEA22" s="90"/>
      <c r="AEB22" s="90"/>
      <c r="AEC22" s="90"/>
      <c r="AED22" s="90"/>
      <c r="AEE22" s="90"/>
      <c r="AEF22" s="90"/>
      <c r="AEG22" s="90"/>
      <c r="AEH22" s="90"/>
      <c r="AEI22" s="90"/>
      <c r="AEJ22" s="90"/>
      <c r="AEK22" s="90"/>
      <c r="AEL22" s="90"/>
      <c r="AEM22" s="90"/>
      <c r="AEN22" s="90"/>
      <c r="AEO22" s="90"/>
      <c r="AEP22" s="90"/>
      <c r="AEQ22" s="90"/>
      <c r="AER22" s="90"/>
      <c r="AES22" s="90"/>
      <c r="AET22" s="90"/>
      <c r="AEU22" s="90"/>
      <c r="AEV22" s="90"/>
      <c r="AEW22" s="90"/>
      <c r="AEX22" s="90"/>
      <c r="AEY22" s="90"/>
      <c r="AEZ22" s="90"/>
      <c r="AFA22" s="90"/>
      <c r="AFB22" s="90"/>
      <c r="AFC22" s="90"/>
      <c r="AFD22" s="90"/>
      <c r="AFE22" s="90"/>
      <c r="AFF22" s="90"/>
      <c r="AFG22" s="90"/>
      <c r="AFH22" s="90"/>
      <c r="AFI22" s="90"/>
      <c r="AFJ22" s="90"/>
      <c r="AFK22" s="90"/>
      <c r="AFL22" s="90"/>
      <c r="AFM22" s="90"/>
      <c r="AFN22" s="90"/>
      <c r="AFO22" s="90"/>
      <c r="AFP22" s="90"/>
      <c r="AFQ22" s="90"/>
      <c r="AFR22" s="90"/>
      <c r="AFS22" s="90"/>
      <c r="AFT22" s="90"/>
      <c r="AFU22" s="90"/>
      <c r="AFV22" s="90"/>
      <c r="AFW22" s="90"/>
      <c r="AFX22" s="90"/>
      <c r="AFY22" s="90"/>
      <c r="AFZ22" s="90"/>
      <c r="AGA22" s="90"/>
      <c r="AGB22" s="90"/>
      <c r="AGC22" s="90"/>
      <c r="AGD22" s="90"/>
      <c r="AGE22" s="90"/>
      <c r="AGF22" s="90"/>
      <c r="AGG22" s="90"/>
      <c r="AGH22" s="90"/>
      <c r="AGI22" s="90"/>
      <c r="AGJ22" s="90"/>
      <c r="AGK22" s="90"/>
      <c r="AGL22" s="90"/>
      <c r="AGM22" s="90"/>
      <c r="AGN22" s="90"/>
      <c r="AGO22" s="90"/>
      <c r="AGP22" s="90"/>
      <c r="AGQ22" s="90"/>
      <c r="AGR22" s="90"/>
      <c r="AGS22" s="90"/>
      <c r="AGT22" s="90"/>
      <c r="AGU22" s="90"/>
      <c r="AGV22" s="90"/>
      <c r="AGW22" s="90"/>
      <c r="AGX22" s="90"/>
      <c r="AGY22" s="90"/>
      <c r="AGZ22" s="90"/>
      <c r="AHA22" s="90"/>
      <c r="AHB22" s="90"/>
      <c r="AHC22" s="90"/>
      <c r="AHD22" s="90"/>
      <c r="AHE22" s="90"/>
      <c r="AHF22" s="90"/>
      <c r="AHG22" s="90"/>
      <c r="AHH22" s="90"/>
      <c r="AHI22" s="90"/>
      <c r="AHJ22" s="90"/>
      <c r="AHK22" s="90"/>
      <c r="AHL22" s="90"/>
      <c r="AHM22" s="90"/>
      <c r="AHN22" s="90"/>
      <c r="AHO22" s="90"/>
      <c r="AHP22" s="90"/>
      <c r="AHQ22" s="90"/>
      <c r="AHR22" s="90"/>
      <c r="AHS22" s="90"/>
      <c r="AHT22" s="90"/>
      <c r="AHU22" s="90"/>
      <c r="AHV22" s="90"/>
      <c r="AHW22" s="90"/>
      <c r="AHX22" s="90"/>
      <c r="AHY22" s="90"/>
      <c r="AHZ22" s="90"/>
      <c r="AIA22" s="90"/>
      <c r="AIB22" s="90"/>
      <c r="AIC22" s="90"/>
      <c r="AID22" s="90"/>
      <c r="AIE22" s="90"/>
      <c r="AIF22" s="90"/>
      <c r="AIG22" s="90"/>
      <c r="AIH22" s="90"/>
      <c r="AII22" s="90"/>
      <c r="AIJ22" s="90"/>
      <c r="AIK22" s="90"/>
      <c r="AIL22" s="90"/>
      <c r="AIM22" s="90"/>
      <c r="AIN22" s="90"/>
      <c r="AIO22" s="90"/>
      <c r="AIP22" s="90"/>
      <c r="AIQ22" s="90"/>
      <c r="AIR22" s="90"/>
      <c r="AIS22" s="90"/>
      <c r="AIT22" s="90"/>
      <c r="AIU22" s="90"/>
      <c r="AIV22" s="90"/>
      <c r="AIW22" s="90"/>
      <c r="AIX22" s="90"/>
      <c r="AIY22" s="90"/>
      <c r="AIZ22" s="90"/>
      <c r="AJA22" s="90"/>
      <c r="AJB22" s="90"/>
      <c r="AJC22" s="90"/>
      <c r="AJD22" s="90"/>
      <c r="AJE22" s="90"/>
      <c r="AJF22" s="90"/>
      <c r="AJG22" s="90"/>
      <c r="AJH22" s="90"/>
      <c r="AJI22" s="90"/>
      <c r="AJJ22" s="90"/>
      <c r="AJK22" s="90"/>
      <c r="AJL22" s="90"/>
      <c r="AJM22" s="90"/>
      <c r="AJN22" s="90"/>
      <c r="AJO22" s="90"/>
      <c r="AJP22" s="90"/>
      <c r="AJQ22" s="90"/>
      <c r="AJR22" s="90"/>
      <c r="AJS22" s="90"/>
      <c r="AJT22" s="90"/>
      <c r="AJU22" s="90"/>
      <c r="AJV22" s="90"/>
      <c r="AJW22" s="90"/>
      <c r="AJX22" s="90"/>
      <c r="AJY22" s="90"/>
      <c r="AJZ22" s="90"/>
      <c r="AKA22" s="90"/>
      <c r="AKB22" s="90"/>
      <c r="AKC22" s="90"/>
      <c r="AKD22" s="90"/>
      <c r="AKE22" s="90"/>
      <c r="AKF22" s="90"/>
      <c r="AKG22" s="90"/>
      <c r="AKH22" s="90"/>
      <c r="AKI22" s="90"/>
      <c r="AKJ22" s="90"/>
      <c r="AKK22" s="90"/>
      <c r="AKL22" s="90"/>
      <c r="AKM22" s="90"/>
      <c r="AKN22" s="90"/>
      <c r="AKO22" s="90"/>
      <c r="AKP22" s="90"/>
      <c r="AKQ22" s="90"/>
      <c r="AKR22" s="90"/>
      <c r="AKS22" s="90"/>
      <c r="AKT22" s="90"/>
      <c r="AKU22" s="90"/>
      <c r="AKV22" s="90"/>
      <c r="AKW22" s="90"/>
      <c r="AKX22" s="90"/>
      <c r="AKY22" s="90"/>
      <c r="AKZ22" s="90"/>
      <c r="ALA22" s="90"/>
      <c r="ALB22" s="90"/>
      <c r="ALC22" s="90"/>
      <c r="ALD22" s="90"/>
      <c r="ALE22" s="90"/>
      <c r="ALF22" s="90"/>
      <c r="ALG22" s="90"/>
      <c r="ALH22" s="90"/>
      <c r="ALI22" s="90"/>
      <c r="ALJ22" s="90"/>
      <c r="ALK22" s="90"/>
      <c r="ALL22" s="90"/>
      <c r="ALM22" s="90"/>
      <c r="ALN22" s="90"/>
      <c r="ALO22" s="90"/>
      <c r="ALP22" s="90"/>
      <c r="ALQ22" s="90"/>
      <c r="ALR22" s="90"/>
      <c r="ALS22" s="90"/>
      <c r="ALT22" s="90"/>
      <c r="ALU22" s="90"/>
      <c r="ALV22" s="90"/>
      <c r="ALW22" s="90"/>
      <c r="ALX22" s="90"/>
      <c r="ALY22" s="90"/>
      <c r="ALZ22" s="90"/>
      <c r="AMA22" s="90"/>
      <c r="AMB22" s="90"/>
      <c r="AMC22" s="90"/>
    </row>
    <row r="23" spans="1:1017">
      <c r="A23" s="98" t="s">
        <v>25</v>
      </c>
      <c r="B23" s="648" t="s">
        <v>543</v>
      </c>
      <c r="Q23" s="91">
        <f t="shared" si="640"/>
        <v>0</v>
      </c>
      <c r="R23" s="91">
        <f t="shared" si="641"/>
        <v>0</v>
      </c>
      <c r="AG23" s="91">
        <f t="shared" si="642"/>
        <v>0</v>
      </c>
      <c r="AH23" s="91">
        <f t="shared" si="643"/>
        <v>0</v>
      </c>
      <c r="AW23" s="91">
        <f t="shared" si="644"/>
        <v>0</v>
      </c>
      <c r="AX23" s="91">
        <f t="shared" si="645"/>
        <v>0</v>
      </c>
      <c r="BM23" s="91">
        <f t="shared" si="646"/>
        <v>0</v>
      </c>
      <c r="BN23" s="91">
        <f t="shared" si="647"/>
        <v>0</v>
      </c>
      <c r="CC23" s="91">
        <f t="shared" si="648"/>
        <v>0</v>
      </c>
      <c r="CD23" s="91">
        <f t="shared" si="649"/>
        <v>0</v>
      </c>
      <c r="CE23" s="98">
        <v>154755</v>
      </c>
      <c r="CF23" s="98">
        <v>773776</v>
      </c>
      <c r="CS23" s="91">
        <f t="shared" si="650"/>
        <v>154755</v>
      </c>
      <c r="CT23" s="91">
        <f t="shared" si="651"/>
        <v>773776</v>
      </c>
      <c r="DI23" s="91">
        <f t="shared" si="652"/>
        <v>0</v>
      </c>
      <c r="DJ23" s="91">
        <f t="shared" si="653"/>
        <v>0</v>
      </c>
      <c r="DY23" s="91">
        <f t="shared" si="654"/>
        <v>0</v>
      </c>
      <c r="DZ23" s="91">
        <f t="shared" si="655"/>
        <v>0</v>
      </c>
      <c r="EO23" s="91">
        <f t="shared" si="656"/>
        <v>0</v>
      </c>
      <c r="EP23" s="91">
        <f t="shared" si="657"/>
        <v>0</v>
      </c>
      <c r="FE23" s="91">
        <f t="shared" si="658"/>
        <v>0</v>
      </c>
      <c r="FF23" s="91">
        <f t="shared" si="659"/>
        <v>0</v>
      </c>
      <c r="FU23" s="91">
        <f t="shared" si="660"/>
        <v>0</v>
      </c>
      <c r="FV23" s="91">
        <f t="shared" si="661"/>
        <v>0</v>
      </c>
      <c r="GK23" s="91">
        <f t="shared" si="662"/>
        <v>0</v>
      </c>
      <c r="GL23" s="91">
        <f t="shared" si="663"/>
        <v>0</v>
      </c>
      <c r="HA23" s="91">
        <f t="shared" si="664"/>
        <v>0</v>
      </c>
      <c r="HB23" s="91">
        <f t="shared" si="665"/>
        <v>0</v>
      </c>
      <c r="HQ23" s="91">
        <f t="shared" si="666"/>
        <v>0</v>
      </c>
      <c r="HR23" s="91">
        <f t="shared" si="667"/>
        <v>0</v>
      </c>
      <c r="IG23" s="91">
        <f t="shared" si="668"/>
        <v>0</v>
      </c>
      <c r="IH23" s="91">
        <f t="shared" si="669"/>
        <v>0</v>
      </c>
      <c r="IW23" s="91">
        <f t="shared" si="670"/>
        <v>0</v>
      </c>
      <c r="IX23" s="91">
        <f t="shared" si="671"/>
        <v>0</v>
      </c>
      <c r="JM23" s="91">
        <f t="shared" si="672"/>
        <v>0</v>
      </c>
      <c r="JN23" s="91">
        <f t="shared" si="673"/>
        <v>0</v>
      </c>
      <c r="KC23" s="91">
        <f t="shared" si="674"/>
        <v>0</v>
      </c>
      <c r="KD23" s="91">
        <f t="shared" si="675"/>
        <v>0</v>
      </c>
      <c r="KS23" s="91">
        <f t="shared" si="676"/>
        <v>0</v>
      </c>
      <c r="KT23" s="91">
        <f t="shared" si="677"/>
        <v>0</v>
      </c>
      <c r="LI23" s="91">
        <f t="shared" si="678"/>
        <v>0</v>
      </c>
      <c r="LJ23" s="91">
        <f t="shared" si="679"/>
        <v>0</v>
      </c>
      <c r="LY23" s="91">
        <f t="shared" si="680"/>
        <v>0</v>
      </c>
      <c r="LZ23" s="91">
        <f t="shared" si="681"/>
        <v>0</v>
      </c>
      <c r="MO23" s="91">
        <f t="shared" si="682"/>
        <v>0</v>
      </c>
      <c r="MP23" s="91">
        <f t="shared" si="683"/>
        <v>0</v>
      </c>
      <c r="NE23" s="91">
        <f t="shared" si="684"/>
        <v>0</v>
      </c>
      <c r="NF23" s="91">
        <f t="shared" si="685"/>
        <v>0</v>
      </c>
      <c r="NU23" s="91">
        <f t="shared" si="686"/>
        <v>0</v>
      </c>
      <c r="NV23" s="91">
        <f t="shared" si="687"/>
        <v>0</v>
      </c>
      <c r="OK23" s="91">
        <f t="shared" si="688"/>
        <v>0</v>
      </c>
      <c r="OL23" s="91">
        <f t="shared" si="689"/>
        <v>0</v>
      </c>
      <c r="PA23" s="91">
        <f t="shared" si="690"/>
        <v>0</v>
      </c>
      <c r="PB23" s="91">
        <f t="shared" si="691"/>
        <v>0</v>
      </c>
      <c r="PQ23" s="91">
        <f t="shared" si="692"/>
        <v>0</v>
      </c>
      <c r="PR23" s="91">
        <f t="shared" si="693"/>
        <v>0</v>
      </c>
      <c r="QG23" s="91">
        <f t="shared" si="694"/>
        <v>0</v>
      </c>
      <c r="QH23" s="91">
        <f t="shared" si="695"/>
        <v>0</v>
      </c>
      <c r="QW23" s="91">
        <f t="shared" si="696"/>
        <v>0</v>
      </c>
      <c r="QX23" s="91">
        <f t="shared" si="697"/>
        <v>0</v>
      </c>
      <c r="RM23" s="91">
        <f t="shared" si="698"/>
        <v>0</v>
      </c>
      <c r="RN23" s="91">
        <f t="shared" si="699"/>
        <v>0</v>
      </c>
      <c r="SC23" s="91">
        <f t="shared" si="700"/>
        <v>0</v>
      </c>
      <c r="SD23" s="91">
        <f t="shared" si="701"/>
        <v>0</v>
      </c>
      <c r="SS23" s="91">
        <f t="shared" si="702"/>
        <v>0</v>
      </c>
      <c r="ST23" s="91">
        <f t="shared" si="703"/>
        <v>0</v>
      </c>
      <c r="TI23" s="91">
        <f t="shared" si="704"/>
        <v>0</v>
      </c>
      <c r="TJ23" s="91">
        <f t="shared" si="705"/>
        <v>0</v>
      </c>
      <c r="TY23" s="91">
        <f t="shared" si="706"/>
        <v>0</v>
      </c>
      <c r="TZ23" s="91">
        <f t="shared" si="707"/>
        <v>0</v>
      </c>
      <c r="UO23" s="91">
        <f t="shared" si="708"/>
        <v>0</v>
      </c>
      <c r="UP23" s="91">
        <f t="shared" si="637"/>
        <v>0</v>
      </c>
      <c r="VE23" s="91">
        <f t="shared" si="709"/>
        <v>0</v>
      </c>
      <c r="VF23" s="91">
        <f t="shared" si="710"/>
        <v>0</v>
      </c>
      <c r="VU23" s="91">
        <f t="shared" si="711"/>
        <v>0</v>
      </c>
      <c r="VV23" s="91">
        <f t="shared" si="712"/>
        <v>0</v>
      </c>
      <c r="WK23" s="91">
        <f t="shared" si="713"/>
        <v>0</v>
      </c>
      <c r="WL23" s="91">
        <f t="shared" si="714"/>
        <v>0</v>
      </c>
      <c r="WM23" s="89"/>
      <c r="WN23" s="87">
        <f t="shared" si="715"/>
        <v>154755</v>
      </c>
      <c r="WO23" s="87">
        <f t="shared" si="716"/>
        <v>773776</v>
      </c>
      <c r="WP23" s="87">
        <f t="shared" si="717"/>
        <v>0</v>
      </c>
      <c r="WQ23" s="87">
        <f t="shared" si="718"/>
        <v>0</v>
      </c>
      <c r="WR23" s="87">
        <f t="shared" si="719"/>
        <v>0</v>
      </c>
      <c r="WS23" s="87">
        <f t="shared" si="720"/>
        <v>0</v>
      </c>
      <c r="WT23" s="87">
        <f t="shared" si="721"/>
        <v>0</v>
      </c>
      <c r="WU23" s="87">
        <f t="shared" si="722"/>
        <v>0</v>
      </c>
      <c r="WV23" s="87">
        <f t="shared" si="723"/>
        <v>0</v>
      </c>
      <c r="WW23" s="87">
        <f t="shared" si="724"/>
        <v>0</v>
      </c>
      <c r="WX23" s="87">
        <f t="shared" si="725"/>
        <v>0</v>
      </c>
      <c r="WY23" s="87">
        <f t="shared" si="726"/>
        <v>0</v>
      </c>
      <c r="WZ23" s="87">
        <f t="shared" si="727"/>
        <v>0</v>
      </c>
      <c r="XA23" s="87">
        <f t="shared" si="728"/>
        <v>0</v>
      </c>
      <c r="XB23" s="92">
        <f t="shared" si="729"/>
        <v>154755</v>
      </c>
      <c r="XC23" s="92">
        <f t="shared" si="730"/>
        <v>773776</v>
      </c>
      <c r="XD23" s="89"/>
      <c r="XE23" s="92">
        <f t="shared" si="638"/>
        <v>1178368</v>
      </c>
      <c r="XF23" s="92">
        <f t="shared" si="639"/>
        <v>4868226</v>
      </c>
      <c r="XG23" s="89"/>
      <c r="XH23" s="92">
        <f t="shared" ref="XH23:XI23" si="755">SUM(XE23,XE61)</f>
        <v>2585874.6906785597</v>
      </c>
      <c r="XI23" s="92">
        <f t="shared" si="755"/>
        <v>11905760.4533928</v>
      </c>
      <c r="XJ23" s="89"/>
      <c r="XK23" s="87">
        <f t="shared" si="732"/>
        <v>13740678.926078347</v>
      </c>
      <c r="XL23" s="87">
        <f t="shared" si="733"/>
        <v>0</v>
      </c>
      <c r="XM23" s="87">
        <f t="shared" si="734"/>
        <v>0</v>
      </c>
      <c r="XN23" s="87">
        <f t="shared" si="735"/>
        <v>0</v>
      </c>
      <c r="XO23" s="87">
        <f t="shared" si="736"/>
        <v>0</v>
      </c>
      <c r="XP23" s="87">
        <f t="shared" si="737"/>
        <v>0</v>
      </c>
      <c r="XQ23" s="87">
        <f t="shared" si="738"/>
        <v>0</v>
      </c>
      <c r="XR23" s="92">
        <f t="shared" si="739"/>
        <v>13740678.926078347</v>
      </c>
      <c r="XS23" s="89"/>
      <c r="XT23" s="87">
        <f t="shared" si="740"/>
        <v>53413466.486336268</v>
      </c>
      <c r="XU23" s="87">
        <f t="shared" si="741"/>
        <v>0</v>
      </c>
      <c r="XV23" s="87">
        <f t="shared" si="742"/>
        <v>0</v>
      </c>
      <c r="XW23" s="87">
        <f t="shared" si="743"/>
        <v>0</v>
      </c>
      <c r="XX23" s="87">
        <f t="shared" si="744"/>
        <v>0</v>
      </c>
      <c r="XY23" s="87">
        <f t="shared" si="745"/>
        <v>0</v>
      </c>
      <c r="XZ23" s="87">
        <f t="shared" si="746"/>
        <v>0</v>
      </c>
      <c r="YA23" s="92">
        <f t="shared" si="747"/>
        <v>53413466.486336268</v>
      </c>
      <c r="YB23" s="90"/>
      <c r="YC23" s="90"/>
      <c r="YD23" s="90"/>
      <c r="YE23" s="90"/>
      <c r="YF23" s="90"/>
      <c r="YG23" s="90"/>
      <c r="YH23" s="90"/>
      <c r="YI23" s="90"/>
      <c r="YJ23" s="90"/>
      <c r="YK23" s="90"/>
      <c r="YL23" s="90"/>
      <c r="YM23" s="90"/>
      <c r="YN23" s="90"/>
      <c r="YO23" s="90"/>
      <c r="YP23" s="90"/>
      <c r="YQ23" s="90"/>
      <c r="YR23" s="90"/>
      <c r="YS23" s="90"/>
      <c r="YT23" s="90"/>
      <c r="YU23" s="90"/>
      <c r="YV23" s="90"/>
      <c r="YW23" s="90"/>
      <c r="YX23" s="90"/>
      <c r="YY23" s="90"/>
      <c r="YZ23" s="90"/>
      <c r="ZA23" s="90"/>
      <c r="ZB23" s="90"/>
      <c r="ZC23" s="90"/>
      <c r="ZD23" s="90"/>
      <c r="ZE23" s="90"/>
      <c r="ZF23" s="90"/>
      <c r="ZG23" s="90"/>
      <c r="ZH23" s="90"/>
      <c r="ZI23" s="90"/>
      <c r="ZJ23" s="90"/>
      <c r="ZK23" s="90"/>
      <c r="ZL23" s="90"/>
      <c r="ZM23" s="90"/>
      <c r="ZN23" s="90"/>
      <c r="ZO23" s="90"/>
      <c r="ZP23" s="90"/>
      <c r="ZQ23" s="90"/>
      <c r="ZR23" s="90"/>
      <c r="ZS23" s="90"/>
      <c r="ZT23" s="90"/>
      <c r="ZU23" s="90"/>
      <c r="ZV23" s="90"/>
      <c r="ZW23" s="90"/>
      <c r="ZX23" s="90"/>
      <c r="ZY23" s="90"/>
      <c r="ZZ23" s="90"/>
      <c r="AAA23" s="90"/>
      <c r="AAB23" s="90"/>
      <c r="AAC23" s="90"/>
      <c r="AAD23" s="90"/>
      <c r="AAE23" s="90"/>
      <c r="AAF23" s="90"/>
      <c r="AAG23" s="90"/>
      <c r="AAH23" s="90"/>
      <c r="AAI23" s="90"/>
      <c r="AAJ23" s="90"/>
      <c r="AAK23" s="90"/>
      <c r="AAL23" s="90"/>
      <c r="AAM23" s="90"/>
      <c r="AAN23" s="90"/>
      <c r="AAO23" s="90"/>
      <c r="AAP23" s="90"/>
      <c r="AAQ23" s="90"/>
      <c r="AAR23" s="90"/>
      <c r="AAS23" s="90"/>
      <c r="AAT23" s="90"/>
      <c r="AAU23" s="90"/>
      <c r="AAV23" s="90"/>
      <c r="AAW23" s="90"/>
      <c r="AAX23" s="90"/>
      <c r="AAY23" s="90"/>
      <c r="AAZ23" s="90"/>
      <c r="ABA23" s="90"/>
      <c r="ABB23" s="90"/>
      <c r="ABC23" s="90"/>
      <c r="ABD23" s="90"/>
      <c r="ABE23" s="90"/>
      <c r="ABF23" s="90"/>
      <c r="ABG23" s="90"/>
      <c r="ABH23" s="90"/>
      <c r="ABI23" s="90"/>
      <c r="ABJ23" s="90"/>
      <c r="ABK23" s="90"/>
      <c r="ABL23" s="90"/>
      <c r="ABM23" s="90"/>
      <c r="ABN23" s="90"/>
      <c r="ABO23" s="90"/>
      <c r="ABP23" s="90"/>
      <c r="ABQ23" s="90"/>
      <c r="ABR23" s="90"/>
      <c r="ABS23" s="90"/>
      <c r="ABT23" s="90"/>
      <c r="ABU23" s="90"/>
      <c r="ABV23" s="90"/>
      <c r="ABW23" s="90"/>
      <c r="ABX23" s="90"/>
      <c r="ABY23" s="90"/>
      <c r="ABZ23" s="90"/>
      <c r="ACA23" s="90"/>
      <c r="ACB23" s="90"/>
      <c r="ACC23" s="90"/>
      <c r="ACD23" s="90"/>
      <c r="ACE23" s="90"/>
      <c r="ACF23" s="90"/>
      <c r="ACG23" s="90"/>
      <c r="ACH23" s="90"/>
      <c r="ACI23" s="90"/>
      <c r="ACJ23" s="90"/>
      <c r="ACK23" s="90"/>
      <c r="ACL23" s="90"/>
      <c r="ACM23" s="90"/>
      <c r="ACN23" s="90"/>
      <c r="ACO23" s="90"/>
      <c r="ACP23" s="90"/>
      <c r="ACQ23" s="90"/>
      <c r="ACR23" s="90"/>
      <c r="ACS23" s="90"/>
      <c r="ACT23" s="90"/>
      <c r="ACU23" s="90"/>
      <c r="ACV23" s="90"/>
      <c r="ACW23" s="90"/>
      <c r="ACX23" s="90"/>
      <c r="ACY23" s="90"/>
      <c r="ACZ23" s="90"/>
      <c r="ADA23" s="90"/>
      <c r="ADB23" s="90"/>
      <c r="ADC23" s="90"/>
      <c r="ADD23" s="90"/>
      <c r="ADE23" s="90"/>
      <c r="ADF23" s="90"/>
      <c r="ADG23" s="90"/>
      <c r="ADH23" s="90"/>
      <c r="ADI23" s="90"/>
      <c r="ADJ23" s="90"/>
      <c r="ADK23" s="90"/>
      <c r="ADL23" s="90"/>
      <c r="ADM23" s="90"/>
      <c r="ADN23" s="90"/>
      <c r="ADO23" s="90"/>
      <c r="ADP23" s="90"/>
      <c r="ADQ23" s="90"/>
      <c r="ADR23" s="90"/>
      <c r="ADS23" s="90"/>
      <c r="ADT23" s="90"/>
      <c r="ADU23" s="90"/>
      <c r="ADV23" s="90"/>
      <c r="ADW23" s="90"/>
      <c r="ADX23" s="90"/>
      <c r="ADY23" s="90"/>
      <c r="ADZ23" s="90"/>
      <c r="AEA23" s="90"/>
      <c r="AEB23" s="90"/>
      <c r="AEC23" s="90"/>
      <c r="AED23" s="90"/>
      <c r="AEE23" s="90"/>
      <c r="AEF23" s="90"/>
      <c r="AEG23" s="90"/>
      <c r="AEH23" s="90"/>
      <c r="AEI23" s="90"/>
      <c r="AEJ23" s="90"/>
      <c r="AEK23" s="90"/>
      <c r="AEL23" s="90"/>
      <c r="AEM23" s="90"/>
      <c r="AEN23" s="90"/>
      <c r="AEO23" s="90"/>
      <c r="AEP23" s="90"/>
      <c r="AEQ23" s="90"/>
      <c r="AER23" s="90"/>
      <c r="AES23" s="90"/>
      <c r="AET23" s="90"/>
      <c r="AEU23" s="90"/>
      <c r="AEV23" s="90"/>
      <c r="AEW23" s="90"/>
      <c r="AEX23" s="90"/>
      <c r="AEY23" s="90"/>
      <c r="AEZ23" s="90"/>
      <c r="AFA23" s="90"/>
      <c r="AFB23" s="90"/>
      <c r="AFC23" s="90"/>
      <c r="AFD23" s="90"/>
      <c r="AFE23" s="90"/>
      <c r="AFF23" s="90"/>
      <c r="AFG23" s="90"/>
      <c r="AFH23" s="90"/>
      <c r="AFI23" s="90"/>
      <c r="AFJ23" s="90"/>
      <c r="AFK23" s="90"/>
      <c r="AFL23" s="90"/>
      <c r="AFM23" s="90"/>
      <c r="AFN23" s="90"/>
      <c r="AFO23" s="90"/>
      <c r="AFP23" s="90"/>
      <c r="AFQ23" s="90"/>
      <c r="AFR23" s="90"/>
      <c r="AFS23" s="90"/>
      <c r="AFT23" s="90"/>
      <c r="AFU23" s="90"/>
      <c r="AFV23" s="90"/>
      <c r="AFW23" s="90"/>
      <c r="AFX23" s="90"/>
      <c r="AFY23" s="90"/>
      <c r="AFZ23" s="90"/>
      <c r="AGA23" s="90"/>
      <c r="AGB23" s="90"/>
      <c r="AGC23" s="90"/>
      <c r="AGD23" s="90"/>
      <c r="AGE23" s="90"/>
      <c r="AGF23" s="90"/>
      <c r="AGG23" s="90"/>
      <c r="AGH23" s="90"/>
      <c r="AGI23" s="90"/>
      <c r="AGJ23" s="90"/>
      <c r="AGK23" s="90"/>
      <c r="AGL23" s="90"/>
      <c r="AGM23" s="90"/>
      <c r="AGN23" s="90"/>
      <c r="AGO23" s="90"/>
      <c r="AGP23" s="90"/>
      <c r="AGQ23" s="90"/>
      <c r="AGR23" s="90"/>
      <c r="AGS23" s="90"/>
      <c r="AGT23" s="90"/>
      <c r="AGU23" s="90"/>
      <c r="AGV23" s="90"/>
      <c r="AGW23" s="90"/>
      <c r="AGX23" s="90"/>
      <c r="AGY23" s="90"/>
      <c r="AGZ23" s="90"/>
      <c r="AHA23" s="90"/>
      <c r="AHB23" s="90"/>
      <c r="AHC23" s="90"/>
      <c r="AHD23" s="90"/>
      <c r="AHE23" s="90"/>
      <c r="AHF23" s="90"/>
      <c r="AHG23" s="90"/>
      <c r="AHH23" s="90"/>
      <c r="AHI23" s="90"/>
      <c r="AHJ23" s="90"/>
      <c r="AHK23" s="90"/>
      <c r="AHL23" s="90"/>
      <c r="AHM23" s="90"/>
      <c r="AHN23" s="90"/>
      <c r="AHO23" s="90"/>
      <c r="AHP23" s="90"/>
      <c r="AHQ23" s="90"/>
      <c r="AHR23" s="90"/>
      <c r="AHS23" s="90"/>
      <c r="AHT23" s="90"/>
      <c r="AHU23" s="90"/>
      <c r="AHV23" s="90"/>
      <c r="AHW23" s="90"/>
      <c r="AHX23" s="90"/>
      <c r="AHY23" s="90"/>
      <c r="AHZ23" s="90"/>
      <c r="AIA23" s="90"/>
      <c r="AIB23" s="90"/>
      <c r="AIC23" s="90"/>
      <c r="AID23" s="90"/>
      <c r="AIE23" s="90"/>
      <c r="AIF23" s="90"/>
      <c r="AIG23" s="90"/>
      <c r="AIH23" s="90"/>
      <c r="AII23" s="90"/>
      <c r="AIJ23" s="90"/>
      <c r="AIK23" s="90"/>
      <c r="AIL23" s="90"/>
      <c r="AIM23" s="90"/>
      <c r="AIN23" s="90"/>
      <c r="AIO23" s="90"/>
      <c r="AIP23" s="90"/>
      <c r="AIQ23" s="90"/>
      <c r="AIR23" s="90"/>
      <c r="AIS23" s="90"/>
      <c r="AIT23" s="90"/>
      <c r="AIU23" s="90"/>
      <c r="AIV23" s="90"/>
      <c r="AIW23" s="90"/>
      <c r="AIX23" s="90"/>
      <c r="AIY23" s="90"/>
      <c r="AIZ23" s="90"/>
      <c r="AJA23" s="90"/>
      <c r="AJB23" s="90"/>
      <c r="AJC23" s="90"/>
      <c r="AJD23" s="90"/>
      <c r="AJE23" s="90"/>
      <c r="AJF23" s="90"/>
      <c r="AJG23" s="90"/>
      <c r="AJH23" s="90"/>
      <c r="AJI23" s="90"/>
      <c r="AJJ23" s="90"/>
      <c r="AJK23" s="90"/>
      <c r="AJL23" s="90"/>
      <c r="AJM23" s="90"/>
      <c r="AJN23" s="90"/>
      <c r="AJO23" s="90"/>
      <c r="AJP23" s="90"/>
      <c r="AJQ23" s="90"/>
      <c r="AJR23" s="90"/>
      <c r="AJS23" s="90"/>
      <c r="AJT23" s="90"/>
      <c r="AJU23" s="90"/>
      <c r="AJV23" s="90"/>
      <c r="AJW23" s="90"/>
      <c r="AJX23" s="90"/>
      <c r="AJY23" s="90"/>
      <c r="AJZ23" s="90"/>
      <c r="AKA23" s="90"/>
      <c r="AKB23" s="90"/>
      <c r="AKC23" s="90"/>
      <c r="AKD23" s="90"/>
      <c r="AKE23" s="90"/>
      <c r="AKF23" s="90"/>
      <c r="AKG23" s="90"/>
      <c r="AKH23" s="90"/>
      <c r="AKI23" s="90"/>
      <c r="AKJ23" s="90"/>
      <c r="AKK23" s="90"/>
      <c r="AKL23" s="90"/>
      <c r="AKM23" s="90"/>
      <c r="AKN23" s="90"/>
      <c r="AKO23" s="90"/>
      <c r="AKP23" s="90"/>
      <c r="AKQ23" s="90"/>
      <c r="AKR23" s="90"/>
      <c r="AKS23" s="90"/>
      <c r="AKT23" s="90"/>
      <c r="AKU23" s="90"/>
      <c r="AKV23" s="90"/>
      <c r="AKW23" s="90"/>
      <c r="AKX23" s="90"/>
      <c r="AKY23" s="90"/>
      <c r="AKZ23" s="90"/>
      <c r="ALA23" s="90"/>
      <c r="ALB23" s="90"/>
      <c r="ALC23" s="90"/>
      <c r="ALD23" s="90"/>
      <c r="ALE23" s="90"/>
      <c r="ALF23" s="90"/>
      <c r="ALG23" s="90"/>
      <c r="ALH23" s="90"/>
      <c r="ALI23" s="90"/>
      <c r="ALJ23" s="90"/>
      <c r="ALK23" s="90"/>
      <c r="ALL23" s="90"/>
      <c r="ALM23" s="90"/>
      <c r="ALN23" s="90"/>
      <c r="ALO23" s="90"/>
      <c r="ALP23" s="90"/>
      <c r="ALQ23" s="90"/>
      <c r="ALR23" s="90"/>
      <c r="ALS23" s="90"/>
      <c r="ALT23" s="90"/>
      <c r="ALU23" s="90"/>
      <c r="ALV23" s="90"/>
      <c r="ALW23" s="90"/>
      <c r="ALX23" s="90"/>
      <c r="ALY23" s="90"/>
      <c r="ALZ23" s="90"/>
      <c r="AMA23" s="90"/>
      <c r="AMB23" s="90"/>
      <c r="AMC23" s="90"/>
    </row>
    <row r="24" spans="1:1017">
      <c r="A24" s="98" t="s">
        <v>25</v>
      </c>
      <c r="B24" s="648" t="s">
        <v>544</v>
      </c>
      <c r="C24" s="607"/>
      <c r="D24" s="607"/>
      <c r="Q24" s="91">
        <f t="shared" si="640"/>
        <v>0</v>
      </c>
      <c r="R24" s="91">
        <f t="shared" si="641"/>
        <v>0</v>
      </c>
      <c r="S24" s="98">
        <v>1300</v>
      </c>
      <c r="T24" s="98">
        <v>123500</v>
      </c>
      <c r="U24" s="98">
        <v>3200</v>
      </c>
      <c r="V24" s="98">
        <v>304000</v>
      </c>
      <c r="AG24" s="91">
        <f t="shared" si="642"/>
        <v>4500</v>
      </c>
      <c r="AH24" s="91">
        <f t="shared" si="643"/>
        <v>427500</v>
      </c>
      <c r="AI24" s="607"/>
      <c r="AJ24" s="607"/>
      <c r="AW24" s="91">
        <f t="shared" si="644"/>
        <v>0</v>
      </c>
      <c r="AX24" s="91">
        <f t="shared" si="645"/>
        <v>0</v>
      </c>
      <c r="AY24" s="607"/>
      <c r="AZ24" s="607"/>
      <c r="BM24" s="91">
        <f t="shared" si="646"/>
        <v>0</v>
      </c>
      <c r="BN24" s="91">
        <f t="shared" si="647"/>
        <v>0</v>
      </c>
      <c r="BO24" s="607"/>
      <c r="BP24" s="607"/>
      <c r="CC24" s="91">
        <f t="shared" si="648"/>
        <v>0</v>
      </c>
      <c r="CD24" s="91">
        <f t="shared" si="649"/>
        <v>0</v>
      </c>
      <c r="CE24" s="607"/>
      <c r="CF24" s="796"/>
      <c r="CG24" s="98">
        <v>11858.009698730821</v>
      </c>
      <c r="CH24" s="98">
        <v>1304381.0668603901</v>
      </c>
      <c r="CS24" s="91">
        <f t="shared" si="650"/>
        <v>11858.009698730821</v>
      </c>
      <c r="CT24" s="91">
        <f t="shared" si="651"/>
        <v>1304381.0668603901</v>
      </c>
      <c r="CU24" s="607"/>
      <c r="CV24" s="607"/>
      <c r="DI24" s="91">
        <f t="shared" si="652"/>
        <v>0</v>
      </c>
      <c r="DJ24" s="91">
        <f t="shared" si="653"/>
        <v>0</v>
      </c>
      <c r="DK24" s="607"/>
      <c r="DL24" s="607"/>
      <c r="DY24" s="91">
        <f t="shared" si="654"/>
        <v>0</v>
      </c>
      <c r="DZ24" s="91">
        <f t="shared" si="655"/>
        <v>0</v>
      </c>
      <c r="EA24" s="607"/>
      <c r="EB24" s="607"/>
      <c r="EO24" s="91">
        <f t="shared" si="656"/>
        <v>0</v>
      </c>
      <c r="EP24" s="91">
        <f t="shared" si="657"/>
        <v>0</v>
      </c>
      <c r="EQ24" s="607"/>
      <c r="ER24" s="607"/>
      <c r="FE24" s="91">
        <f t="shared" si="658"/>
        <v>0</v>
      </c>
      <c r="FF24" s="91">
        <f t="shared" si="659"/>
        <v>0</v>
      </c>
      <c r="FG24" s="607"/>
      <c r="FH24" s="607"/>
      <c r="FU24" s="91">
        <f t="shared" si="660"/>
        <v>0</v>
      </c>
      <c r="FV24" s="91">
        <f t="shared" si="661"/>
        <v>0</v>
      </c>
      <c r="FW24" s="607"/>
      <c r="FX24" s="607"/>
      <c r="GK24" s="91">
        <f t="shared" si="662"/>
        <v>0</v>
      </c>
      <c r="GL24" s="91">
        <f t="shared" si="663"/>
        <v>0</v>
      </c>
      <c r="GM24" s="607"/>
      <c r="GN24" s="607"/>
      <c r="HA24" s="91">
        <f t="shared" si="664"/>
        <v>0</v>
      </c>
      <c r="HB24" s="91">
        <f t="shared" si="665"/>
        <v>0</v>
      </c>
      <c r="HC24" s="607"/>
      <c r="HD24" s="607"/>
      <c r="HQ24" s="91">
        <f t="shared" si="666"/>
        <v>0</v>
      </c>
      <c r="HR24" s="91">
        <f t="shared" si="667"/>
        <v>0</v>
      </c>
      <c r="HS24" s="607"/>
      <c r="HT24" s="607"/>
      <c r="IG24" s="91">
        <f t="shared" si="668"/>
        <v>0</v>
      </c>
      <c r="IH24" s="91">
        <f t="shared" si="669"/>
        <v>0</v>
      </c>
      <c r="II24" s="607"/>
      <c r="IJ24" s="607"/>
      <c r="IW24" s="91">
        <f t="shared" si="670"/>
        <v>0</v>
      </c>
      <c r="IX24" s="91">
        <f t="shared" si="671"/>
        <v>0</v>
      </c>
      <c r="IY24" s="607"/>
      <c r="IZ24" s="607"/>
      <c r="JM24" s="91">
        <f t="shared" si="672"/>
        <v>0</v>
      </c>
      <c r="JN24" s="91">
        <f t="shared" si="673"/>
        <v>0</v>
      </c>
      <c r="JO24" s="607"/>
      <c r="JP24" s="607"/>
      <c r="KC24" s="91">
        <f t="shared" si="674"/>
        <v>0</v>
      </c>
      <c r="KD24" s="91">
        <f t="shared" si="675"/>
        <v>0</v>
      </c>
      <c r="KE24" s="607"/>
      <c r="KF24" s="607"/>
      <c r="KS24" s="91">
        <f t="shared" si="676"/>
        <v>0</v>
      </c>
      <c r="KT24" s="91">
        <f t="shared" si="677"/>
        <v>0</v>
      </c>
      <c r="KU24" s="607"/>
      <c r="KV24" s="607"/>
      <c r="LI24" s="91">
        <f t="shared" si="678"/>
        <v>0</v>
      </c>
      <c r="LJ24" s="91">
        <f t="shared" si="679"/>
        <v>0</v>
      </c>
      <c r="LK24" s="607"/>
      <c r="LL24" s="607"/>
      <c r="LY24" s="91">
        <f t="shared" si="680"/>
        <v>0</v>
      </c>
      <c r="LZ24" s="91">
        <f t="shared" si="681"/>
        <v>0</v>
      </c>
      <c r="MA24" s="607">
        <v>30900</v>
      </c>
      <c r="MB24" s="607">
        <v>2626500</v>
      </c>
      <c r="MO24" s="91">
        <f t="shared" si="682"/>
        <v>30900</v>
      </c>
      <c r="MP24" s="91">
        <f t="shared" si="683"/>
        <v>2626500</v>
      </c>
      <c r="MQ24" s="607"/>
      <c r="MR24" s="607"/>
      <c r="NE24" s="91">
        <f t="shared" si="684"/>
        <v>0</v>
      </c>
      <c r="NF24" s="91">
        <f t="shared" si="685"/>
        <v>0</v>
      </c>
      <c r="NG24" s="607"/>
      <c r="NH24" s="607"/>
      <c r="NU24" s="91">
        <f t="shared" si="686"/>
        <v>0</v>
      </c>
      <c r="NV24" s="91">
        <f t="shared" si="687"/>
        <v>0</v>
      </c>
      <c r="NW24" s="607">
        <v>500</v>
      </c>
      <c r="NX24" s="607">
        <v>57500</v>
      </c>
      <c r="OK24" s="91">
        <f t="shared" si="688"/>
        <v>500</v>
      </c>
      <c r="OL24" s="91">
        <f t="shared" si="689"/>
        <v>57500</v>
      </c>
      <c r="PA24" s="91">
        <f t="shared" si="690"/>
        <v>0</v>
      </c>
      <c r="PB24" s="91">
        <f t="shared" si="691"/>
        <v>0</v>
      </c>
      <c r="PC24" s="607">
        <v>220</v>
      </c>
      <c r="PD24" s="607">
        <v>13200</v>
      </c>
      <c r="PQ24" s="91">
        <f t="shared" si="692"/>
        <v>220</v>
      </c>
      <c r="PR24" s="91">
        <f t="shared" si="693"/>
        <v>13200</v>
      </c>
      <c r="PS24" s="607"/>
      <c r="PT24" s="607"/>
      <c r="PU24" s="98">
        <v>7630</v>
      </c>
      <c r="PV24" s="98">
        <v>366240</v>
      </c>
      <c r="QG24" s="91">
        <f t="shared" si="694"/>
        <v>7630</v>
      </c>
      <c r="QH24" s="91">
        <f t="shared" si="695"/>
        <v>366240</v>
      </c>
      <c r="QI24" s="607"/>
      <c r="QJ24" s="607"/>
      <c r="QW24" s="91">
        <f t="shared" si="696"/>
        <v>0</v>
      </c>
      <c r="QX24" s="91">
        <f t="shared" si="697"/>
        <v>0</v>
      </c>
      <c r="QY24" s="607"/>
      <c r="QZ24" s="607"/>
      <c r="RM24" s="91">
        <f t="shared" si="698"/>
        <v>0</v>
      </c>
      <c r="RN24" s="91">
        <f t="shared" si="699"/>
        <v>0</v>
      </c>
      <c r="RO24" s="607"/>
      <c r="RP24" s="607"/>
      <c r="SC24" s="91">
        <f t="shared" si="700"/>
        <v>0</v>
      </c>
      <c r="SD24" s="91">
        <f t="shared" si="701"/>
        <v>0</v>
      </c>
      <c r="SE24" s="607"/>
      <c r="SF24" s="607"/>
      <c r="SS24" s="91">
        <f t="shared" si="702"/>
        <v>0</v>
      </c>
      <c r="ST24" s="91">
        <f t="shared" si="703"/>
        <v>0</v>
      </c>
      <c r="SU24" s="607"/>
      <c r="SV24" s="607"/>
      <c r="TI24" s="91">
        <f t="shared" si="704"/>
        <v>0</v>
      </c>
      <c r="TJ24" s="91">
        <f t="shared" si="705"/>
        <v>0</v>
      </c>
      <c r="TK24" s="607"/>
      <c r="TL24" s="607"/>
      <c r="TY24" s="91">
        <f t="shared" si="706"/>
        <v>0</v>
      </c>
      <c r="TZ24" s="91">
        <f t="shared" si="707"/>
        <v>0</v>
      </c>
      <c r="UA24" s="607"/>
      <c r="UB24" s="607"/>
      <c r="UO24" s="91">
        <f t="shared" si="708"/>
        <v>0</v>
      </c>
      <c r="UP24" s="91">
        <f t="shared" si="637"/>
        <v>0</v>
      </c>
      <c r="UQ24" s="607"/>
      <c r="UR24" s="607"/>
      <c r="VE24" s="91">
        <f t="shared" si="709"/>
        <v>0</v>
      </c>
      <c r="VF24" s="91">
        <f t="shared" si="710"/>
        <v>0</v>
      </c>
      <c r="VG24" s="607"/>
      <c r="VH24" s="607"/>
      <c r="VU24" s="91">
        <f t="shared" si="711"/>
        <v>0</v>
      </c>
      <c r="VV24" s="91">
        <f t="shared" si="712"/>
        <v>0</v>
      </c>
      <c r="VW24" s="607"/>
      <c r="VX24" s="607"/>
      <c r="WK24" s="91">
        <f t="shared" si="713"/>
        <v>0</v>
      </c>
      <c r="WL24" s="91">
        <f t="shared" si="714"/>
        <v>0</v>
      </c>
      <c r="WM24" s="89"/>
      <c r="WN24" s="87">
        <f t="shared" si="715"/>
        <v>32920</v>
      </c>
      <c r="WO24" s="87">
        <f t="shared" si="716"/>
        <v>2820700</v>
      </c>
      <c r="WP24" s="87">
        <f t="shared" si="717"/>
        <v>22688.009698730821</v>
      </c>
      <c r="WQ24" s="87">
        <f t="shared" si="718"/>
        <v>1974621.0668603901</v>
      </c>
      <c r="WR24" s="87">
        <f t="shared" si="719"/>
        <v>0</v>
      </c>
      <c r="WS24" s="87">
        <f t="shared" si="720"/>
        <v>0</v>
      </c>
      <c r="WT24" s="87">
        <f t="shared" si="721"/>
        <v>0</v>
      </c>
      <c r="WU24" s="87">
        <f t="shared" si="722"/>
        <v>0</v>
      </c>
      <c r="WV24" s="87">
        <f t="shared" si="723"/>
        <v>0</v>
      </c>
      <c r="WW24" s="87">
        <f t="shared" si="724"/>
        <v>0</v>
      </c>
      <c r="WX24" s="87">
        <f t="shared" si="725"/>
        <v>0</v>
      </c>
      <c r="WY24" s="87">
        <f t="shared" si="726"/>
        <v>0</v>
      </c>
      <c r="WZ24" s="87">
        <f t="shared" si="727"/>
        <v>0</v>
      </c>
      <c r="XA24" s="87">
        <f t="shared" si="728"/>
        <v>0</v>
      </c>
      <c r="XB24" s="92">
        <f t="shared" si="729"/>
        <v>55608.009698730821</v>
      </c>
      <c r="XC24" s="92">
        <f t="shared" si="730"/>
        <v>4795321.0668603899</v>
      </c>
      <c r="XD24" s="89"/>
      <c r="XE24" s="92">
        <f t="shared" si="638"/>
        <v>198249.00969873084</v>
      </c>
      <c r="XF24" s="92">
        <f t="shared" si="639"/>
        <v>16362349.066860389</v>
      </c>
      <c r="XG24" s="89"/>
      <c r="XH24" s="92">
        <f t="shared" ref="XH24:XI24" si="756">SUM(XE24,XE62)</f>
        <v>481589.34487092582</v>
      </c>
      <c r="XI24" s="92">
        <f t="shared" si="756"/>
        <v>45620679.490967691</v>
      </c>
      <c r="XJ24" s="89"/>
      <c r="XK24" s="87">
        <f t="shared" si="732"/>
        <v>465281</v>
      </c>
      <c r="XL24" s="87">
        <f t="shared" si="733"/>
        <v>1168925.1465787925</v>
      </c>
      <c r="XM24" s="87">
        <f t="shared" si="734"/>
        <v>0</v>
      </c>
      <c r="XN24" s="87">
        <f t="shared" si="735"/>
        <v>0</v>
      </c>
      <c r="XO24" s="87">
        <f t="shared" si="736"/>
        <v>0</v>
      </c>
      <c r="XP24" s="87">
        <f t="shared" si="737"/>
        <v>0</v>
      </c>
      <c r="XQ24" s="87">
        <f t="shared" si="738"/>
        <v>0</v>
      </c>
      <c r="XR24" s="92">
        <f t="shared" si="739"/>
        <v>1634206.1465787925</v>
      </c>
      <c r="XS24" s="89"/>
      <c r="XT24" s="87">
        <f t="shared" si="740"/>
        <v>39731106.5</v>
      </c>
      <c r="XU24" s="87">
        <f t="shared" si="741"/>
        <v>107303768.24082008</v>
      </c>
      <c r="XV24" s="87">
        <f t="shared" si="742"/>
        <v>0</v>
      </c>
      <c r="XW24" s="87">
        <f t="shared" si="743"/>
        <v>0</v>
      </c>
      <c r="XX24" s="87">
        <f t="shared" si="744"/>
        <v>0</v>
      </c>
      <c r="XY24" s="87">
        <f t="shared" si="745"/>
        <v>0</v>
      </c>
      <c r="XZ24" s="87">
        <f t="shared" si="746"/>
        <v>0</v>
      </c>
      <c r="YA24" s="92">
        <f t="shared" si="747"/>
        <v>147034874.74082008</v>
      </c>
      <c r="YB24" s="90"/>
      <c r="YC24" s="90"/>
      <c r="YD24" s="90"/>
      <c r="YE24" s="90"/>
      <c r="YF24" s="90"/>
      <c r="YG24" s="90"/>
      <c r="YH24" s="90"/>
      <c r="YI24" s="90"/>
      <c r="YJ24" s="90"/>
      <c r="YK24" s="90"/>
      <c r="YL24" s="90"/>
      <c r="YM24" s="90"/>
      <c r="YN24" s="90"/>
      <c r="YO24" s="90"/>
      <c r="YP24" s="90"/>
      <c r="YQ24" s="90"/>
      <c r="YR24" s="90"/>
      <c r="YS24" s="90"/>
      <c r="YT24" s="90"/>
      <c r="YU24" s="90"/>
      <c r="YV24" s="90"/>
      <c r="YW24" s="90"/>
      <c r="YX24" s="90"/>
      <c r="YY24" s="90"/>
      <c r="YZ24" s="90"/>
      <c r="ZA24" s="90"/>
      <c r="ZB24" s="90"/>
      <c r="ZC24" s="90"/>
      <c r="ZD24" s="90"/>
      <c r="ZE24" s="90"/>
      <c r="ZF24" s="90"/>
      <c r="ZG24" s="90"/>
      <c r="ZH24" s="90"/>
      <c r="ZI24" s="90"/>
      <c r="ZJ24" s="90"/>
      <c r="ZK24" s="90"/>
      <c r="ZL24" s="90"/>
      <c r="ZM24" s="90"/>
      <c r="ZN24" s="90"/>
      <c r="ZO24" s="90"/>
      <c r="ZP24" s="90"/>
      <c r="ZQ24" s="90"/>
      <c r="ZR24" s="90"/>
      <c r="ZS24" s="90"/>
      <c r="ZT24" s="90"/>
      <c r="ZU24" s="90"/>
      <c r="ZV24" s="90"/>
      <c r="ZW24" s="90"/>
      <c r="ZX24" s="90"/>
      <c r="ZY24" s="90"/>
      <c r="ZZ24" s="90"/>
      <c r="AAA24" s="90"/>
      <c r="AAB24" s="90"/>
      <c r="AAC24" s="90"/>
      <c r="AAD24" s="90"/>
      <c r="AAE24" s="90"/>
      <c r="AAF24" s="90"/>
      <c r="AAG24" s="90"/>
      <c r="AAH24" s="90"/>
      <c r="AAI24" s="90"/>
      <c r="AAJ24" s="90"/>
      <c r="AAK24" s="90"/>
      <c r="AAL24" s="90"/>
      <c r="AAM24" s="90"/>
      <c r="AAN24" s="90"/>
      <c r="AAO24" s="90"/>
      <c r="AAP24" s="90"/>
      <c r="AAQ24" s="90"/>
      <c r="AAR24" s="90"/>
      <c r="AAS24" s="90"/>
      <c r="AAT24" s="90"/>
      <c r="AAU24" s="90"/>
      <c r="AAV24" s="90"/>
      <c r="AAW24" s="90"/>
      <c r="AAX24" s="90"/>
      <c r="AAY24" s="90"/>
      <c r="AAZ24" s="90"/>
      <c r="ABA24" s="90"/>
      <c r="ABB24" s="90"/>
      <c r="ABC24" s="90"/>
      <c r="ABD24" s="90"/>
      <c r="ABE24" s="90"/>
      <c r="ABF24" s="90"/>
      <c r="ABG24" s="90"/>
      <c r="ABH24" s="90"/>
      <c r="ABI24" s="90"/>
      <c r="ABJ24" s="90"/>
      <c r="ABK24" s="90"/>
      <c r="ABL24" s="90"/>
      <c r="ABM24" s="90"/>
      <c r="ABN24" s="90"/>
      <c r="ABO24" s="90"/>
      <c r="ABP24" s="90"/>
      <c r="ABQ24" s="90"/>
      <c r="ABR24" s="90"/>
      <c r="ABS24" s="90"/>
      <c r="ABT24" s="90"/>
      <c r="ABU24" s="90"/>
      <c r="ABV24" s="90"/>
      <c r="ABW24" s="90"/>
      <c r="ABX24" s="90"/>
      <c r="ABY24" s="90"/>
      <c r="ABZ24" s="90"/>
      <c r="ACA24" s="90"/>
      <c r="ACB24" s="90"/>
      <c r="ACC24" s="90"/>
      <c r="ACD24" s="90"/>
      <c r="ACE24" s="90"/>
      <c r="ACF24" s="90"/>
      <c r="ACG24" s="90"/>
      <c r="ACH24" s="90"/>
      <c r="ACI24" s="90"/>
      <c r="ACJ24" s="90"/>
      <c r="ACK24" s="90"/>
      <c r="ACL24" s="90"/>
      <c r="ACM24" s="90"/>
      <c r="ACN24" s="90"/>
      <c r="ACO24" s="90"/>
      <c r="ACP24" s="90"/>
      <c r="ACQ24" s="90"/>
      <c r="ACR24" s="90"/>
      <c r="ACS24" s="90"/>
      <c r="ACT24" s="90"/>
      <c r="ACU24" s="90"/>
      <c r="ACV24" s="90"/>
      <c r="ACW24" s="90"/>
      <c r="ACX24" s="90"/>
      <c r="ACY24" s="90"/>
      <c r="ACZ24" s="90"/>
      <c r="ADA24" s="90"/>
      <c r="ADB24" s="90"/>
      <c r="ADC24" s="90"/>
      <c r="ADD24" s="90"/>
      <c r="ADE24" s="90"/>
      <c r="ADF24" s="90"/>
      <c r="ADG24" s="90"/>
      <c r="ADH24" s="90"/>
      <c r="ADI24" s="90"/>
      <c r="ADJ24" s="90"/>
      <c r="ADK24" s="90"/>
      <c r="ADL24" s="90"/>
      <c r="ADM24" s="90"/>
      <c r="ADN24" s="90"/>
      <c r="ADO24" s="90"/>
      <c r="ADP24" s="90"/>
      <c r="ADQ24" s="90"/>
      <c r="ADR24" s="90"/>
      <c r="ADS24" s="90"/>
      <c r="ADT24" s="90"/>
      <c r="ADU24" s="90"/>
      <c r="ADV24" s="90"/>
      <c r="ADW24" s="90"/>
      <c r="ADX24" s="90"/>
      <c r="ADY24" s="90"/>
      <c r="ADZ24" s="90"/>
      <c r="AEA24" s="90"/>
      <c r="AEB24" s="90"/>
      <c r="AEC24" s="90"/>
      <c r="AED24" s="90"/>
      <c r="AEE24" s="90"/>
      <c r="AEF24" s="90"/>
      <c r="AEG24" s="90"/>
      <c r="AEH24" s="90"/>
      <c r="AEI24" s="90"/>
      <c r="AEJ24" s="90"/>
      <c r="AEK24" s="90"/>
      <c r="AEL24" s="90"/>
      <c r="AEM24" s="90"/>
      <c r="AEN24" s="90"/>
      <c r="AEO24" s="90"/>
      <c r="AEP24" s="90"/>
      <c r="AEQ24" s="90"/>
      <c r="AER24" s="90"/>
      <c r="AES24" s="90"/>
      <c r="AET24" s="90"/>
      <c r="AEU24" s="90"/>
      <c r="AEV24" s="90"/>
      <c r="AEW24" s="90"/>
      <c r="AEX24" s="90"/>
      <c r="AEY24" s="90"/>
      <c r="AEZ24" s="90"/>
      <c r="AFA24" s="90"/>
      <c r="AFB24" s="90"/>
      <c r="AFC24" s="90"/>
      <c r="AFD24" s="90"/>
      <c r="AFE24" s="90"/>
      <c r="AFF24" s="90"/>
      <c r="AFG24" s="90"/>
      <c r="AFH24" s="90"/>
      <c r="AFI24" s="90"/>
      <c r="AFJ24" s="90"/>
      <c r="AFK24" s="90"/>
      <c r="AFL24" s="90"/>
      <c r="AFM24" s="90"/>
      <c r="AFN24" s="90"/>
      <c r="AFO24" s="90"/>
      <c r="AFP24" s="90"/>
      <c r="AFQ24" s="90"/>
      <c r="AFR24" s="90"/>
      <c r="AFS24" s="90"/>
      <c r="AFT24" s="90"/>
      <c r="AFU24" s="90"/>
      <c r="AFV24" s="90"/>
      <c r="AFW24" s="90"/>
      <c r="AFX24" s="90"/>
      <c r="AFY24" s="90"/>
      <c r="AFZ24" s="90"/>
      <c r="AGA24" s="90"/>
      <c r="AGB24" s="90"/>
      <c r="AGC24" s="90"/>
      <c r="AGD24" s="90"/>
      <c r="AGE24" s="90"/>
      <c r="AGF24" s="90"/>
      <c r="AGG24" s="90"/>
      <c r="AGH24" s="90"/>
      <c r="AGI24" s="90"/>
      <c r="AGJ24" s="90"/>
      <c r="AGK24" s="90"/>
      <c r="AGL24" s="90"/>
      <c r="AGM24" s="90"/>
      <c r="AGN24" s="90"/>
      <c r="AGO24" s="90"/>
      <c r="AGP24" s="90"/>
      <c r="AGQ24" s="90"/>
      <c r="AGR24" s="90"/>
      <c r="AGS24" s="90"/>
      <c r="AGT24" s="90"/>
      <c r="AGU24" s="90"/>
      <c r="AGV24" s="90"/>
      <c r="AGW24" s="90"/>
      <c r="AGX24" s="90"/>
      <c r="AGY24" s="90"/>
      <c r="AGZ24" s="90"/>
      <c r="AHA24" s="90"/>
      <c r="AHB24" s="90"/>
      <c r="AHC24" s="90"/>
      <c r="AHD24" s="90"/>
      <c r="AHE24" s="90"/>
      <c r="AHF24" s="90"/>
      <c r="AHG24" s="90"/>
      <c r="AHH24" s="90"/>
      <c r="AHI24" s="90"/>
      <c r="AHJ24" s="90"/>
      <c r="AHK24" s="90"/>
      <c r="AHL24" s="90"/>
      <c r="AHM24" s="90"/>
      <c r="AHN24" s="90"/>
      <c r="AHO24" s="90"/>
      <c r="AHP24" s="90"/>
      <c r="AHQ24" s="90"/>
      <c r="AHR24" s="90"/>
      <c r="AHS24" s="90"/>
      <c r="AHT24" s="90"/>
      <c r="AHU24" s="90"/>
      <c r="AHV24" s="90"/>
      <c r="AHW24" s="90"/>
      <c r="AHX24" s="90"/>
      <c r="AHY24" s="90"/>
      <c r="AHZ24" s="90"/>
      <c r="AIA24" s="90"/>
      <c r="AIB24" s="90"/>
      <c r="AIC24" s="90"/>
      <c r="AID24" s="90"/>
      <c r="AIE24" s="90"/>
      <c r="AIF24" s="90"/>
      <c r="AIG24" s="90"/>
      <c r="AIH24" s="90"/>
      <c r="AII24" s="90"/>
      <c r="AIJ24" s="90"/>
      <c r="AIK24" s="90"/>
      <c r="AIL24" s="90"/>
      <c r="AIM24" s="90"/>
      <c r="AIN24" s="90"/>
      <c r="AIO24" s="90"/>
      <c r="AIP24" s="90"/>
      <c r="AIQ24" s="90"/>
      <c r="AIR24" s="90"/>
      <c r="AIS24" s="90"/>
      <c r="AIT24" s="90"/>
      <c r="AIU24" s="90"/>
      <c r="AIV24" s="90"/>
      <c r="AIW24" s="90"/>
      <c r="AIX24" s="90"/>
      <c r="AIY24" s="90"/>
      <c r="AIZ24" s="90"/>
      <c r="AJA24" s="90"/>
      <c r="AJB24" s="90"/>
      <c r="AJC24" s="90"/>
      <c r="AJD24" s="90"/>
      <c r="AJE24" s="90"/>
      <c r="AJF24" s="90"/>
      <c r="AJG24" s="90"/>
      <c r="AJH24" s="90"/>
      <c r="AJI24" s="90"/>
      <c r="AJJ24" s="90"/>
      <c r="AJK24" s="90"/>
      <c r="AJL24" s="90"/>
      <c r="AJM24" s="90"/>
      <c r="AJN24" s="90"/>
      <c r="AJO24" s="90"/>
      <c r="AJP24" s="90"/>
      <c r="AJQ24" s="90"/>
      <c r="AJR24" s="90"/>
      <c r="AJS24" s="90"/>
      <c r="AJT24" s="90"/>
      <c r="AJU24" s="90"/>
      <c r="AJV24" s="90"/>
      <c r="AJW24" s="90"/>
      <c r="AJX24" s="90"/>
      <c r="AJY24" s="90"/>
      <c r="AJZ24" s="90"/>
      <c r="AKA24" s="90"/>
      <c r="AKB24" s="90"/>
      <c r="AKC24" s="90"/>
      <c r="AKD24" s="90"/>
      <c r="AKE24" s="90"/>
      <c r="AKF24" s="90"/>
      <c r="AKG24" s="90"/>
      <c r="AKH24" s="90"/>
      <c r="AKI24" s="90"/>
      <c r="AKJ24" s="90"/>
      <c r="AKK24" s="90"/>
      <c r="AKL24" s="90"/>
      <c r="AKM24" s="90"/>
      <c r="AKN24" s="90"/>
      <c r="AKO24" s="90"/>
      <c r="AKP24" s="90"/>
      <c r="AKQ24" s="90"/>
      <c r="AKR24" s="90"/>
      <c r="AKS24" s="90"/>
      <c r="AKT24" s="90"/>
      <c r="AKU24" s="90"/>
      <c r="AKV24" s="90"/>
      <c r="AKW24" s="90"/>
      <c r="AKX24" s="90"/>
      <c r="AKY24" s="90"/>
      <c r="AKZ24" s="90"/>
      <c r="ALA24" s="90"/>
      <c r="ALB24" s="90"/>
      <c r="ALC24" s="90"/>
      <c r="ALD24" s="90"/>
      <c r="ALE24" s="90"/>
      <c r="ALF24" s="90"/>
      <c r="ALG24" s="90"/>
      <c r="ALH24" s="90"/>
      <c r="ALI24" s="90"/>
      <c r="ALJ24" s="90"/>
      <c r="ALK24" s="90"/>
      <c r="ALL24" s="90"/>
      <c r="ALM24" s="90"/>
      <c r="ALN24" s="90"/>
      <c r="ALO24" s="90"/>
      <c r="ALP24" s="90"/>
      <c r="ALQ24" s="90"/>
      <c r="ALR24" s="90"/>
      <c r="ALS24" s="90"/>
      <c r="ALT24" s="90"/>
      <c r="ALU24" s="90"/>
      <c r="ALV24" s="90"/>
      <c r="ALW24" s="90"/>
      <c r="ALX24" s="90"/>
      <c r="ALY24" s="90"/>
      <c r="ALZ24" s="90"/>
      <c r="AMA24" s="90"/>
      <c r="AMB24" s="90"/>
      <c r="AMC24" s="90"/>
    </row>
    <row r="25" spans="1:1017">
      <c r="A25" s="98" t="s">
        <v>25</v>
      </c>
      <c r="B25" s="648" t="s">
        <v>545</v>
      </c>
      <c r="C25" s="607"/>
      <c r="D25" s="607"/>
      <c r="Q25" s="91">
        <f t="shared" si="640"/>
        <v>0</v>
      </c>
      <c r="R25" s="91">
        <f t="shared" si="641"/>
        <v>0</v>
      </c>
      <c r="S25" s="607"/>
      <c r="T25" s="607"/>
      <c r="AG25" s="91">
        <f t="shared" si="642"/>
        <v>0</v>
      </c>
      <c r="AH25" s="91">
        <f t="shared" si="643"/>
        <v>0</v>
      </c>
      <c r="AI25" s="607"/>
      <c r="AJ25" s="607"/>
      <c r="AW25" s="91">
        <f t="shared" si="644"/>
        <v>0</v>
      </c>
      <c r="AX25" s="91">
        <f t="shared" si="645"/>
        <v>0</v>
      </c>
      <c r="AY25" s="607"/>
      <c r="AZ25" s="607"/>
      <c r="BM25" s="91">
        <f t="shared" si="646"/>
        <v>0</v>
      </c>
      <c r="BN25" s="91">
        <f t="shared" si="647"/>
        <v>0</v>
      </c>
      <c r="BO25" s="607"/>
      <c r="BP25" s="607"/>
      <c r="CC25" s="91">
        <f t="shared" si="648"/>
        <v>0</v>
      </c>
      <c r="CD25" s="91">
        <f t="shared" si="649"/>
        <v>0</v>
      </c>
      <c r="CE25" s="607"/>
      <c r="CF25" s="796"/>
      <c r="CS25" s="91">
        <f t="shared" si="650"/>
        <v>0</v>
      </c>
      <c r="CT25" s="91">
        <f t="shared" si="651"/>
        <v>0</v>
      </c>
      <c r="CU25" s="607"/>
      <c r="CV25" s="607"/>
      <c r="DI25" s="91">
        <f t="shared" si="652"/>
        <v>0</v>
      </c>
      <c r="DJ25" s="91">
        <f t="shared" si="653"/>
        <v>0</v>
      </c>
      <c r="DK25" s="607"/>
      <c r="DL25" s="607"/>
      <c r="DY25" s="91">
        <f t="shared" si="654"/>
        <v>0</v>
      </c>
      <c r="DZ25" s="91">
        <f t="shared" si="655"/>
        <v>0</v>
      </c>
      <c r="EA25" s="607"/>
      <c r="EB25" s="607"/>
      <c r="EO25" s="91">
        <f t="shared" si="656"/>
        <v>0</v>
      </c>
      <c r="EP25" s="91">
        <f t="shared" si="657"/>
        <v>0</v>
      </c>
      <c r="EQ25" s="607"/>
      <c r="ER25" s="607"/>
      <c r="ES25" s="98">
        <v>160179</v>
      </c>
      <c r="ET25" s="98">
        <v>15217005</v>
      </c>
      <c r="FE25" s="91">
        <f t="shared" si="658"/>
        <v>160179</v>
      </c>
      <c r="FF25" s="91">
        <f t="shared" si="659"/>
        <v>15217005</v>
      </c>
      <c r="FG25" s="607"/>
      <c r="FH25" s="607"/>
      <c r="FU25" s="91">
        <f t="shared" si="660"/>
        <v>0</v>
      </c>
      <c r="FV25" s="91">
        <f t="shared" si="661"/>
        <v>0</v>
      </c>
      <c r="FW25" s="607"/>
      <c r="FX25" s="607"/>
      <c r="GK25" s="91">
        <f t="shared" si="662"/>
        <v>0</v>
      </c>
      <c r="GL25" s="91">
        <f t="shared" si="663"/>
        <v>0</v>
      </c>
      <c r="GM25" s="607"/>
      <c r="GN25" s="607"/>
      <c r="HA25" s="91">
        <f t="shared" si="664"/>
        <v>0</v>
      </c>
      <c r="HB25" s="91">
        <f t="shared" si="665"/>
        <v>0</v>
      </c>
      <c r="HC25" s="607"/>
      <c r="HD25" s="607"/>
      <c r="HQ25" s="91">
        <f t="shared" si="666"/>
        <v>0</v>
      </c>
      <c r="HR25" s="91">
        <f t="shared" si="667"/>
        <v>0</v>
      </c>
      <c r="HS25" s="607"/>
      <c r="HT25" s="607"/>
      <c r="IG25" s="91">
        <f t="shared" si="668"/>
        <v>0</v>
      </c>
      <c r="IH25" s="91">
        <f t="shared" si="669"/>
        <v>0</v>
      </c>
      <c r="II25" s="607"/>
      <c r="IJ25" s="607"/>
      <c r="IW25" s="91">
        <f t="shared" si="670"/>
        <v>0</v>
      </c>
      <c r="IX25" s="91">
        <f t="shared" si="671"/>
        <v>0</v>
      </c>
      <c r="IY25" s="607"/>
      <c r="IZ25" s="607"/>
      <c r="JM25" s="91">
        <f t="shared" si="672"/>
        <v>0</v>
      </c>
      <c r="JN25" s="91">
        <f t="shared" si="673"/>
        <v>0</v>
      </c>
      <c r="JO25" s="607"/>
      <c r="JP25" s="607"/>
      <c r="KC25" s="91">
        <f t="shared" si="674"/>
        <v>0</v>
      </c>
      <c r="KD25" s="91">
        <f t="shared" si="675"/>
        <v>0</v>
      </c>
      <c r="KE25" s="607"/>
      <c r="KF25" s="607"/>
      <c r="KS25" s="91">
        <f t="shared" si="676"/>
        <v>0</v>
      </c>
      <c r="KT25" s="91">
        <f t="shared" si="677"/>
        <v>0</v>
      </c>
      <c r="KU25" s="607"/>
      <c r="KV25" s="607"/>
      <c r="LI25" s="91">
        <f t="shared" si="678"/>
        <v>0</v>
      </c>
      <c r="LJ25" s="91">
        <f t="shared" si="679"/>
        <v>0</v>
      </c>
      <c r="LK25" s="607"/>
      <c r="LL25" s="607"/>
      <c r="LY25" s="91">
        <f t="shared" si="680"/>
        <v>0</v>
      </c>
      <c r="LZ25" s="91">
        <f t="shared" si="681"/>
        <v>0</v>
      </c>
      <c r="MA25" s="607"/>
      <c r="MB25" s="607"/>
      <c r="MO25" s="91">
        <f t="shared" si="682"/>
        <v>0</v>
      </c>
      <c r="MP25" s="91">
        <f t="shared" si="683"/>
        <v>0</v>
      </c>
      <c r="MQ25" s="607"/>
      <c r="MR25" s="607"/>
      <c r="NE25" s="91">
        <f t="shared" si="684"/>
        <v>0</v>
      </c>
      <c r="NF25" s="91">
        <f t="shared" si="685"/>
        <v>0</v>
      </c>
      <c r="NG25" s="607"/>
      <c r="NH25" s="607"/>
      <c r="NU25" s="91">
        <f t="shared" si="686"/>
        <v>0</v>
      </c>
      <c r="NV25" s="91">
        <f t="shared" si="687"/>
        <v>0</v>
      </c>
      <c r="NW25" s="607"/>
      <c r="NX25" s="607"/>
      <c r="OK25" s="91">
        <f t="shared" si="688"/>
        <v>0</v>
      </c>
      <c r="OL25" s="91">
        <f t="shared" si="689"/>
        <v>0</v>
      </c>
      <c r="OM25" s="607">
        <v>19904</v>
      </c>
      <c r="ON25" s="607">
        <v>3980800</v>
      </c>
      <c r="PA25" s="91">
        <f>SUMIF($C$12:$P$12,$A$1,OM25:OZ25)</f>
        <v>19904</v>
      </c>
      <c r="PB25" s="91">
        <f>SUMIF($C$12:$P$12,$A$3,OM25:OZ25)</f>
        <v>3980800</v>
      </c>
      <c r="PC25" s="607"/>
      <c r="PD25" s="607"/>
      <c r="PQ25" s="91">
        <f t="shared" si="692"/>
        <v>0</v>
      </c>
      <c r="PR25" s="91">
        <f t="shared" si="693"/>
        <v>0</v>
      </c>
      <c r="PS25" s="607"/>
      <c r="PT25" s="607"/>
      <c r="QG25" s="91">
        <f t="shared" si="694"/>
        <v>0</v>
      </c>
      <c r="QH25" s="91">
        <f t="shared" si="695"/>
        <v>0</v>
      </c>
      <c r="QI25" s="607"/>
      <c r="QJ25" s="607"/>
      <c r="QW25" s="91">
        <f t="shared" si="696"/>
        <v>0</v>
      </c>
      <c r="QX25" s="91">
        <f t="shared" si="697"/>
        <v>0</v>
      </c>
      <c r="QY25" s="607"/>
      <c r="QZ25" s="607"/>
      <c r="RM25" s="91">
        <f t="shared" si="698"/>
        <v>0</v>
      </c>
      <c r="RN25" s="91">
        <f t="shared" si="699"/>
        <v>0</v>
      </c>
      <c r="RO25" s="607"/>
      <c r="RP25" s="607"/>
      <c r="SC25" s="91">
        <f t="shared" si="700"/>
        <v>0</v>
      </c>
      <c r="SD25" s="91">
        <f t="shared" si="701"/>
        <v>0</v>
      </c>
      <c r="SE25" s="607"/>
      <c r="SF25" s="607"/>
      <c r="SS25" s="91">
        <f t="shared" si="702"/>
        <v>0</v>
      </c>
      <c r="ST25" s="91">
        <f t="shared" si="703"/>
        <v>0</v>
      </c>
      <c r="SU25" s="607"/>
      <c r="SV25" s="607"/>
      <c r="TI25" s="91">
        <f t="shared" si="704"/>
        <v>0</v>
      </c>
      <c r="TJ25" s="91">
        <f t="shared" si="705"/>
        <v>0</v>
      </c>
      <c r="TK25" s="607"/>
      <c r="TL25" s="607"/>
      <c r="TY25" s="91">
        <f t="shared" si="706"/>
        <v>0</v>
      </c>
      <c r="TZ25" s="91">
        <f t="shared" si="707"/>
        <v>0</v>
      </c>
      <c r="UA25" s="607"/>
      <c r="UB25" s="607"/>
      <c r="UO25" s="91">
        <f t="shared" si="708"/>
        <v>0</v>
      </c>
      <c r="UP25" s="91">
        <f t="shared" si="637"/>
        <v>0</v>
      </c>
      <c r="UQ25" s="607"/>
      <c r="UR25" s="607"/>
      <c r="VE25" s="91">
        <f t="shared" si="709"/>
        <v>0</v>
      </c>
      <c r="VF25" s="91">
        <f t="shared" si="710"/>
        <v>0</v>
      </c>
      <c r="VG25" s="607"/>
      <c r="VH25" s="607"/>
      <c r="VU25" s="91">
        <f t="shared" si="711"/>
        <v>0</v>
      </c>
      <c r="VV25" s="91">
        <f t="shared" si="712"/>
        <v>0</v>
      </c>
      <c r="VW25" s="607"/>
      <c r="VX25" s="607"/>
      <c r="WK25" s="91">
        <f t="shared" si="713"/>
        <v>0</v>
      </c>
      <c r="WL25" s="91">
        <f t="shared" si="714"/>
        <v>0</v>
      </c>
      <c r="WM25" s="89"/>
      <c r="WN25" s="87">
        <f t="shared" si="715"/>
        <v>19904</v>
      </c>
      <c r="WO25" s="87">
        <f t="shared" si="716"/>
        <v>3980800</v>
      </c>
      <c r="WP25" s="87">
        <f t="shared" si="717"/>
        <v>160179</v>
      </c>
      <c r="WQ25" s="87">
        <f t="shared" si="718"/>
        <v>15217005</v>
      </c>
      <c r="WR25" s="87">
        <f t="shared" si="719"/>
        <v>0</v>
      </c>
      <c r="WS25" s="87">
        <f t="shared" si="720"/>
        <v>0</v>
      </c>
      <c r="WT25" s="87">
        <f t="shared" si="721"/>
        <v>0</v>
      </c>
      <c r="WU25" s="87">
        <f t="shared" si="722"/>
        <v>0</v>
      </c>
      <c r="WV25" s="87">
        <f t="shared" si="723"/>
        <v>0</v>
      </c>
      <c r="WW25" s="87">
        <f t="shared" si="724"/>
        <v>0</v>
      </c>
      <c r="WX25" s="87">
        <f t="shared" si="725"/>
        <v>0</v>
      </c>
      <c r="WY25" s="87">
        <f t="shared" si="726"/>
        <v>0</v>
      </c>
      <c r="WZ25" s="87">
        <f t="shared" si="727"/>
        <v>0</v>
      </c>
      <c r="XA25" s="87">
        <f t="shared" si="728"/>
        <v>0</v>
      </c>
      <c r="XB25" s="92">
        <f t="shared" si="729"/>
        <v>180083</v>
      </c>
      <c r="XC25" s="92">
        <f t="shared" si="730"/>
        <v>19197805</v>
      </c>
      <c r="XD25" s="89"/>
      <c r="XE25" s="92">
        <f t="shared" si="638"/>
        <v>519338</v>
      </c>
      <c r="XF25" s="92">
        <f t="shared" si="639"/>
        <v>55813825</v>
      </c>
      <c r="XG25" s="89"/>
      <c r="XH25" s="92">
        <f t="shared" ref="XH25:XI25" si="757">SUM(XE25,XE63)</f>
        <v>1166615</v>
      </c>
      <c r="XI25" s="92">
        <f t="shared" si="757"/>
        <v>129618510</v>
      </c>
      <c r="XJ25" s="89"/>
      <c r="XK25" s="87">
        <f t="shared" si="732"/>
        <v>291245</v>
      </c>
      <c r="XL25" s="87">
        <f t="shared" si="733"/>
        <v>1055740.9829788271</v>
      </c>
      <c r="XM25" s="87">
        <f t="shared" si="734"/>
        <v>0</v>
      </c>
      <c r="XN25" s="87">
        <f t="shared" si="735"/>
        <v>0</v>
      </c>
      <c r="XO25" s="87">
        <f t="shared" si="736"/>
        <v>0</v>
      </c>
      <c r="XP25" s="87">
        <f t="shared" si="737"/>
        <v>0</v>
      </c>
      <c r="XQ25" s="87">
        <f t="shared" si="738"/>
        <v>0</v>
      </c>
      <c r="XR25" s="92">
        <f t="shared" si="739"/>
        <v>1346985.9829788271</v>
      </c>
      <c r="XS25" s="89"/>
      <c r="XT25" s="87">
        <f t="shared" si="740"/>
        <v>80853400</v>
      </c>
      <c r="XU25" s="87">
        <f t="shared" si="741"/>
        <v>106337775.873</v>
      </c>
      <c r="XV25" s="87">
        <f t="shared" si="742"/>
        <v>0</v>
      </c>
      <c r="XW25" s="87">
        <f t="shared" si="743"/>
        <v>0</v>
      </c>
      <c r="XX25" s="87">
        <f t="shared" si="744"/>
        <v>0</v>
      </c>
      <c r="XY25" s="87">
        <f t="shared" si="745"/>
        <v>0</v>
      </c>
      <c r="XZ25" s="87">
        <f t="shared" si="746"/>
        <v>0</v>
      </c>
      <c r="YA25" s="92">
        <f t="shared" si="747"/>
        <v>187191175.873</v>
      </c>
      <c r="YB25" s="90"/>
      <c r="YC25" s="90"/>
      <c r="YD25" s="90"/>
      <c r="YE25" s="90"/>
      <c r="YF25" s="90"/>
      <c r="YG25" s="90"/>
      <c r="YH25" s="90"/>
      <c r="YI25" s="90"/>
      <c r="YJ25" s="90"/>
      <c r="YK25" s="90"/>
      <c r="YL25" s="90"/>
      <c r="YM25" s="90"/>
      <c r="YN25" s="90"/>
      <c r="YO25" s="90"/>
      <c r="YP25" s="90"/>
      <c r="YQ25" s="90"/>
      <c r="YR25" s="90"/>
      <c r="YS25" s="90"/>
      <c r="YT25" s="90"/>
      <c r="YU25" s="90"/>
      <c r="YV25" s="90"/>
      <c r="YW25" s="90"/>
      <c r="YX25" s="90"/>
      <c r="YY25" s="90"/>
      <c r="YZ25" s="90"/>
      <c r="ZA25" s="90"/>
      <c r="ZB25" s="90"/>
      <c r="ZC25" s="90"/>
      <c r="ZD25" s="90"/>
      <c r="ZE25" s="90"/>
      <c r="ZF25" s="90"/>
      <c r="ZG25" s="90"/>
      <c r="ZH25" s="90"/>
      <c r="ZI25" s="90"/>
      <c r="ZJ25" s="90"/>
      <c r="ZK25" s="90"/>
      <c r="ZL25" s="90"/>
      <c r="ZM25" s="90"/>
      <c r="ZN25" s="90"/>
      <c r="ZO25" s="90"/>
      <c r="ZP25" s="90"/>
      <c r="ZQ25" s="90"/>
      <c r="ZR25" s="90"/>
      <c r="ZS25" s="90"/>
      <c r="ZT25" s="90"/>
      <c r="ZU25" s="90"/>
      <c r="ZV25" s="90"/>
      <c r="ZW25" s="90"/>
      <c r="ZX25" s="90"/>
      <c r="ZY25" s="90"/>
      <c r="ZZ25" s="90"/>
      <c r="AAA25" s="90"/>
      <c r="AAB25" s="90"/>
      <c r="AAC25" s="90"/>
      <c r="AAD25" s="90"/>
      <c r="AAE25" s="90"/>
      <c r="AAF25" s="90"/>
      <c r="AAG25" s="90"/>
      <c r="AAH25" s="90"/>
      <c r="AAI25" s="90"/>
      <c r="AAJ25" s="90"/>
      <c r="AAK25" s="90"/>
      <c r="AAL25" s="90"/>
      <c r="AAM25" s="90"/>
      <c r="AAN25" s="90"/>
      <c r="AAO25" s="90"/>
      <c r="AAP25" s="90"/>
      <c r="AAQ25" s="90"/>
      <c r="AAR25" s="90"/>
      <c r="AAS25" s="90"/>
      <c r="AAT25" s="90"/>
      <c r="AAU25" s="90"/>
      <c r="AAV25" s="90"/>
      <c r="AAW25" s="90"/>
      <c r="AAX25" s="90"/>
      <c r="AAY25" s="90"/>
      <c r="AAZ25" s="90"/>
      <c r="ABA25" s="90"/>
      <c r="ABB25" s="90"/>
      <c r="ABC25" s="90"/>
      <c r="ABD25" s="90"/>
      <c r="ABE25" s="90"/>
      <c r="ABF25" s="90"/>
      <c r="ABG25" s="90"/>
      <c r="ABH25" s="90"/>
      <c r="ABI25" s="90"/>
      <c r="ABJ25" s="90"/>
      <c r="ABK25" s="90"/>
      <c r="ABL25" s="90"/>
      <c r="ABM25" s="90"/>
      <c r="ABN25" s="90"/>
      <c r="ABO25" s="90"/>
      <c r="ABP25" s="90"/>
      <c r="ABQ25" s="90"/>
      <c r="ABR25" s="90"/>
      <c r="ABS25" s="90"/>
      <c r="ABT25" s="90"/>
      <c r="ABU25" s="90"/>
      <c r="ABV25" s="90"/>
      <c r="ABW25" s="90"/>
      <c r="ABX25" s="90"/>
      <c r="ABY25" s="90"/>
      <c r="ABZ25" s="90"/>
      <c r="ACA25" s="90"/>
      <c r="ACB25" s="90"/>
      <c r="ACC25" s="90"/>
      <c r="ACD25" s="90"/>
      <c r="ACE25" s="90"/>
      <c r="ACF25" s="90"/>
      <c r="ACG25" s="90"/>
      <c r="ACH25" s="90"/>
      <c r="ACI25" s="90"/>
      <c r="ACJ25" s="90"/>
      <c r="ACK25" s="90"/>
      <c r="ACL25" s="90"/>
      <c r="ACM25" s="90"/>
      <c r="ACN25" s="90"/>
      <c r="ACO25" s="90"/>
      <c r="ACP25" s="90"/>
      <c r="ACQ25" s="90"/>
      <c r="ACR25" s="90"/>
      <c r="ACS25" s="90"/>
      <c r="ACT25" s="90"/>
      <c r="ACU25" s="90"/>
      <c r="ACV25" s="90"/>
      <c r="ACW25" s="90"/>
      <c r="ACX25" s="90"/>
      <c r="ACY25" s="90"/>
      <c r="ACZ25" s="90"/>
      <c r="ADA25" s="90"/>
      <c r="ADB25" s="90"/>
      <c r="ADC25" s="90"/>
      <c r="ADD25" s="90"/>
      <c r="ADE25" s="90"/>
      <c r="ADF25" s="90"/>
      <c r="ADG25" s="90"/>
      <c r="ADH25" s="90"/>
      <c r="ADI25" s="90"/>
      <c r="ADJ25" s="90"/>
      <c r="ADK25" s="90"/>
      <c r="ADL25" s="90"/>
      <c r="ADM25" s="90"/>
      <c r="ADN25" s="90"/>
      <c r="ADO25" s="90"/>
      <c r="ADP25" s="90"/>
      <c r="ADQ25" s="90"/>
      <c r="ADR25" s="90"/>
      <c r="ADS25" s="90"/>
      <c r="ADT25" s="90"/>
      <c r="ADU25" s="90"/>
      <c r="ADV25" s="90"/>
      <c r="ADW25" s="90"/>
      <c r="ADX25" s="90"/>
      <c r="ADY25" s="90"/>
      <c r="ADZ25" s="90"/>
      <c r="AEA25" s="90"/>
      <c r="AEB25" s="90"/>
      <c r="AEC25" s="90"/>
      <c r="AED25" s="90"/>
      <c r="AEE25" s="90"/>
      <c r="AEF25" s="90"/>
      <c r="AEG25" s="90"/>
      <c r="AEH25" s="90"/>
      <c r="AEI25" s="90"/>
      <c r="AEJ25" s="90"/>
      <c r="AEK25" s="90"/>
      <c r="AEL25" s="90"/>
      <c r="AEM25" s="90"/>
      <c r="AEN25" s="90"/>
      <c r="AEO25" s="90"/>
      <c r="AEP25" s="90"/>
      <c r="AEQ25" s="90"/>
      <c r="AER25" s="90"/>
      <c r="AES25" s="90"/>
      <c r="AET25" s="90"/>
      <c r="AEU25" s="90"/>
      <c r="AEV25" s="90"/>
      <c r="AEW25" s="90"/>
      <c r="AEX25" s="90"/>
      <c r="AEY25" s="90"/>
      <c r="AEZ25" s="90"/>
      <c r="AFA25" s="90"/>
      <c r="AFB25" s="90"/>
      <c r="AFC25" s="90"/>
      <c r="AFD25" s="90"/>
      <c r="AFE25" s="90"/>
      <c r="AFF25" s="90"/>
      <c r="AFG25" s="90"/>
      <c r="AFH25" s="90"/>
      <c r="AFI25" s="90"/>
      <c r="AFJ25" s="90"/>
      <c r="AFK25" s="90"/>
      <c r="AFL25" s="90"/>
      <c r="AFM25" s="90"/>
      <c r="AFN25" s="90"/>
      <c r="AFO25" s="90"/>
      <c r="AFP25" s="90"/>
      <c r="AFQ25" s="90"/>
      <c r="AFR25" s="90"/>
      <c r="AFS25" s="90"/>
      <c r="AFT25" s="90"/>
      <c r="AFU25" s="90"/>
      <c r="AFV25" s="90"/>
      <c r="AFW25" s="90"/>
      <c r="AFX25" s="90"/>
      <c r="AFY25" s="90"/>
      <c r="AFZ25" s="90"/>
      <c r="AGA25" s="90"/>
      <c r="AGB25" s="90"/>
      <c r="AGC25" s="90"/>
      <c r="AGD25" s="90"/>
      <c r="AGE25" s="90"/>
      <c r="AGF25" s="90"/>
      <c r="AGG25" s="90"/>
      <c r="AGH25" s="90"/>
      <c r="AGI25" s="90"/>
      <c r="AGJ25" s="90"/>
      <c r="AGK25" s="90"/>
      <c r="AGL25" s="90"/>
      <c r="AGM25" s="90"/>
      <c r="AGN25" s="90"/>
      <c r="AGO25" s="90"/>
      <c r="AGP25" s="90"/>
      <c r="AGQ25" s="90"/>
      <c r="AGR25" s="90"/>
      <c r="AGS25" s="90"/>
      <c r="AGT25" s="90"/>
      <c r="AGU25" s="90"/>
      <c r="AGV25" s="90"/>
      <c r="AGW25" s="90"/>
      <c r="AGX25" s="90"/>
      <c r="AGY25" s="90"/>
      <c r="AGZ25" s="90"/>
      <c r="AHA25" s="90"/>
      <c r="AHB25" s="90"/>
      <c r="AHC25" s="90"/>
      <c r="AHD25" s="90"/>
      <c r="AHE25" s="90"/>
      <c r="AHF25" s="90"/>
      <c r="AHG25" s="90"/>
      <c r="AHH25" s="90"/>
      <c r="AHI25" s="90"/>
      <c r="AHJ25" s="90"/>
      <c r="AHK25" s="90"/>
      <c r="AHL25" s="90"/>
      <c r="AHM25" s="90"/>
      <c r="AHN25" s="90"/>
      <c r="AHO25" s="90"/>
      <c r="AHP25" s="90"/>
      <c r="AHQ25" s="90"/>
      <c r="AHR25" s="90"/>
      <c r="AHS25" s="90"/>
      <c r="AHT25" s="90"/>
      <c r="AHU25" s="90"/>
      <c r="AHV25" s="90"/>
      <c r="AHW25" s="90"/>
      <c r="AHX25" s="90"/>
      <c r="AHY25" s="90"/>
      <c r="AHZ25" s="90"/>
      <c r="AIA25" s="90"/>
      <c r="AIB25" s="90"/>
      <c r="AIC25" s="90"/>
      <c r="AID25" s="90"/>
      <c r="AIE25" s="90"/>
      <c r="AIF25" s="90"/>
      <c r="AIG25" s="90"/>
      <c r="AIH25" s="90"/>
      <c r="AII25" s="90"/>
      <c r="AIJ25" s="90"/>
      <c r="AIK25" s="90"/>
      <c r="AIL25" s="90"/>
      <c r="AIM25" s="90"/>
      <c r="AIN25" s="90"/>
      <c r="AIO25" s="90"/>
      <c r="AIP25" s="90"/>
      <c r="AIQ25" s="90"/>
      <c r="AIR25" s="90"/>
      <c r="AIS25" s="90"/>
      <c r="AIT25" s="90"/>
      <c r="AIU25" s="90"/>
      <c r="AIV25" s="90"/>
      <c r="AIW25" s="90"/>
      <c r="AIX25" s="90"/>
      <c r="AIY25" s="90"/>
      <c r="AIZ25" s="90"/>
      <c r="AJA25" s="90"/>
      <c r="AJB25" s="90"/>
      <c r="AJC25" s="90"/>
      <c r="AJD25" s="90"/>
      <c r="AJE25" s="90"/>
      <c r="AJF25" s="90"/>
      <c r="AJG25" s="90"/>
      <c r="AJH25" s="90"/>
      <c r="AJI25" s="90"/>
      <c r="AJJ25" s="90"/>
      <c r="AJK25" s="90"/>
      <c r="AJL25" s="90"/>
      <c r="AJM25" s="90"/>
      <c r="AJN25" s="90"/>
      <c r="AJO25" s="90"/>
      <c r="AJP25" s="90"/>
      <c r="AJQ25" s="90"/>
      <c r="AJR25" s="90"/>
      <c r="AJS25" s="90"/>
      <c r="AJT25" s="90"/>
      <c r="AJU25" s="90"/>
      <c r="AJV25" s="90"/>
      <c r="AJW25" s="90"/>
      <c r="AJX25" s="90"/>
      <c r="AJY25" s="90"/>
      <c r="AJZ25" s="90"/>
      <c r="AKA25" s="90"/>
      <c r="AKB25" s="90"/>
      <c r="AKC25" s="90"/>
      <c r="AKD25" s="90"/>
      <c r="AKE25" s="90"/>
      <c r="AKF25" s="90"/>
      <c r="AKG25" s="90"/>
      <c r="AKH25" s="90"/>
      <c r="AKI25" s="90"/>
      <c r="AKJ25" s="90"/>
      <c r="AKK25" s="90"/>
      <c r="AKL25" s="90"/>
      <c r="AKM25" s="90"/>
      <c r="AKN25" s="90"/>
      <c r="AKO25" s="90"/>
      <c r="AKP25" s="90"/>
      <c r="AKQ25" s="90"/>
      <c r="AKR25" s="90"/>
      <c r="AKS25" s="90"/>
      <c r="AKT25" s="90"/>
      <c r="AKU25" s="90"/>
      <c r="AKV25" s="90"/>
      <c r="AKW25" s="90"/>
      <c r="AKX25" s="90"/>
      <c r="AKY25" s="90"/>
      <c r="AKZ25" s="90"/>
      <c r="ALA25" s="90"/>
      <c r="ALB25" s="90"/>
      <c r="ALC25" s="90"/>
      <c r="ALD25" s="90"/>
      <c r="ALE25" s="90"/>
      <c r="ALF25" s="90"/>
      <c r="ALG25" s="90"/>
      <c r="ALH25" s="90"/>
      <c r="ALI25" s="90"/>
      <c r="ALJ25" s="90"/>
      <c r="ALK25" s="90"/>
      <c r="ALL25" s="90"/>
      <c r="ALM25" s="90"/>
      <c r="ALN25" s="90"/>
      <c r="ALO25" s="90"/>
      <c r="ALP25" s="90"/>
      <c r="ALQ25" s="90"/>
      <c r="ALR25" s="90"/>
      <c r="ALS25" s="90"/>
      <c r="ALT25" s="90"/>
      <c r="ALU25" s="90"/>
      <c r="ALV25" s="90"/>
      <c r="ALW25" s="90"/>
      <c r="ALX25" s="90"/>
      <c r="ALY25" s="90"/>
      <c r="ALZ25" s="90"/>
      <c r="AMA25" s="90"/>
      <c r="AMB25" s="90"/>
      <c r="AMC25" s="90"/>
    </row>
    <row r="26" spans="1:1017">
      <c r="A26" s="98" t="s">
        <v>25</v>
      </c>
      <c r="B26" s="648" t="s">
        <v>546</v>
      </c>
      <c r="Q26" s="91">
        <f t="shared" si="640"/>
        <v>0</v>
      </c>
      <c r="R26" s="91">
        <f t="shared" si="641"/>
        <v>0</v>
      </c>
      <c r="AG26" s="91">
        <f t="shared" si="642"/>
        <v>0</v>
      </c>
      <c r="AH26" s="91">
        <f t="shared" si="643"/>
        <v>0</v>
      </c>
      <c r="AW26" s="91">
        <f t="shared" si="644"/>
        <v>0</v>
      </c>
      <c r="AX26" s="91">
        <f t="shared" si="645"/>
        <v>0</v>
      </c>
      <c r="BM26" s="91">
        <f t="shared" si="646"/>
        <v>0</v>
      </c>
      <c r="BN26" s="91">
        <f t="shared" si="647"/>
        <v>0</v>
      </c>
      <c r="CC26" s="91">
        <f t="shared" si="648"/>
        <v>0</v>
      </c>
      <c r="CD26" s="91">
        <f t="shared" si="649"/>
        <v>0</v>
      </c>
      <c r="CS26" s="91">
        <f t="shared" si="650"/>
        <v>0</v>
      </c>
      <c r="CT26" s="91">
        <f t="shared" si="651"/>
        <v>0</v>
      </c>
      <c r="DI26" s="91">
        <f t="shared" si="652"/>
        <v>0</v>
      </c>
      <c r="DJ26" s="91">
        <f t="shared" si="653"/>
        <v>0</v>
      </c>
      <c r="DY26" s="91">
        <f t="shared" si="654"/>
        <v>0</v>
      </c>
      <c r="DZ26" s="91">
        <f t="shared" si="655"/>
        <v>0</v>
      </c>
      <c r="EO26" s="91">
        <f t="shared" si="656"/>
        <v>0</v>
      </c>
      <c r="EP26" s="91">
        <f t="shared" si="657"/>
        <v>0</v>
      </c>
      <c r="FE26" s="91">
        <f t="shared" si="658"/>
        <v>0</v>
      </c>
      <c r="FF26" s="91">
        <f t="shared" si="659"/>
        <v>0</v>
      </c>
      <c r="FU26" s="91">
        <f t="shared" si="660"/>
        <v>0</v>
      </c>
      <c r="FV26" s="91">
        <f t="shared" si="661"/>
        <v>0</v>
      </c>
      <c r="GK26" s="91">
        <f t="shared" si="662"/>
        <v>0</v>
      </c>
      <c r="GL26" s="91">
        <f t="shared" si="663"/>
        <v>0</v>
      </c>
      <c r="HA26" s="91">
        <f t="shared" si="664"/>
        <v>0</v>
      </c>
      <c r="HB26" s="91">
        <f t="shared" si="665"/>
        <v>0</v>
      </c>
      <c r="HQ26" s="91">
        <f t="shared" si="666"/>
        <v>0</v>
      </c>
      <c r="HR26" s="91">
        <f t="shared" si="667"/>
        <v>0</v>
      </c>
      <c r="IG26" s="91">
        <f t="shared" si="668"/>
        <v>0</v>
      </c>
      <c r="IH26" s="91">
        <f t="shared" si="669"/>
        <v>0</v>
      </c>
      <c r="IW26" s="91">
        <f t="shared" si="670"/>
        <v>0</v>
      </c>
      <c r="IX26" s="91">
        <f t="shared" si="671"/>
        <v>0</v>
      </c>
      <c r="JM26" s="91">
        <f t="shared" si="672"/>
        <v>0</v>
      </c>
      <c r="JN26" s="91">
        <f t="shared" si="673"/>
        <v>0</v>
      </c>
      <c r="KC26" s="91">
        <f t="shared" si="674"/>
        <v>0</v>
      </c>
      <c r="KD26" s="91">
        <f t="shared" si="675"/>
        <v>0</v>
      </c>
      <c r="KS26" s="91">
        <f t="shared" si="676"/>
        <v>0</v>
      </c>
      <c r="KT26" s="91">
        <f t="shared" si="677"/>
        <v>0</v>
      </c>
      <c r="LI26" s="91">
        <f t="shared" si="678"/>
        <v>0</v>
      </c>
      <c r="LJ26" s="91">
        <f t="shared" si="679"/>
        <v>0</v>
      </c>
      <c r="LY26" s="91">
        <f t="shared" si="680"/>
        <v>0</v>
      </c>
      <c r="LZ26" s="91">
        <f t="shared" si="681"/>
        <v>0</v>
      </c>
      <c r="MO26" s="91">
        <f t="shared" si="682"/>
        <v>0</v>
      </c>
      <c r="MP26" s="91">
        <f t="shared" si="683"/>
        <v>0</v>
      </c>
      <c r="NE26" s="91">
        <f t="shared" si="684"/>
        <v>0</v>
      </c>
      <c r="NF26" s="91">
        <f t="shared" si="685"/>
        <v>0</v>
      </c>
      <c r="NU26" s="91">
        <f t="shared" si="686"/>
        <v>0</v>
      </c>
      <c r="NV26" s="91">
        <f t="shared" si="687"/>
        <v>0</v>
      </c>
      <c r="OK26" s="91">
        <f t="shared" si="688"/>
        <v>0</v>
      </c>
      <c r="OL26" s="91">
        <f t="shared" si="689"/>
        <v>0</v>
      </c>
      <c r="PA26" s="91">
        <f t="shared" si="690"/>
        <v>0</v>
      </c>
      <c r="PB26" s="91">
        <f t="shared" si="691"/>
        <v>0</v>
      </c>
      <c r="PQ26" s="91">
        <f t="shared" si="692"/>
        <v>0</v>
      </c>
      <c r="PR26" s="91">
        <f t="shared" si="693"/>
        <v>0</v>
      </c>
      <c r="QG26" s="91">
        <f t="shared" si="694"/>
        <v>0</v>
      </c>
      <c r="QH26" s="91">
        <f t="shared" si="695"/>
        <v>0</v>
      </c>
      <c r="QW26" s="91">
        <f t="shared" si="696"/>
        <v>0</v>
      </c>
      <c r="QX26" s="91">
        <f t="shared" si="697"/>
        <v>0</v>
      </c>
      <c r="RM26" s="91">
        <f t="shared" si="698"/>
        <v>0</v>
      </c>
      <c r="RN26" s="91">
        <f t="shared" si="699"/>
        <v>0</v>
      </c>
      <c r="SC26" s="91">
        <f t="shared" si="700"/>
        <v>0</v>
      </c>
      <c r="SD26" s="91">
        <f t="shared" si="701"/>
        <v>0</v>
      </c>
      <c r="SS26" s="91">
        <f t="shared" si="702"/>
        <v>0</v>
      </c>
      <c r="ST26" s="91">
        <f t="shared" si="703"/>
        <v>0</v>
      </c>
      <c r="TI26" s="91">
        <f t="shared" si="704"/>
        <v>0</v>
      </c>
      <c r="TJ26" s="91">
        <f t="shared" si="705"/>
        <v>0</v>
      </c>
      <c r="TY26" s="91">
        <f t="shared" si="706"/>
        <v>0</v>
      </c>
      <c r="TZ26" s="91">
        <f t="shared" si="707"/>
        <v>0</v>
      </c>
      <c r="UO26" s="91">
        <f t="shared" si="708"/>
        <v>0</v>
      </c>
      <c r="UP26" s="91">
        <f t="shared" si="637"/>
        <v>0</v>
      </c>
      <c r="VE26" s="91">
        <f t="shared" si="709"/>
        <v>0</v>
      </c>
      <c r="VF26" s="91">
        <f t="shared" si="710"/>
        <v>0</v>
      </c>
      <c r="VU26" s="91">
        <f t="shared" si="711"/>
        <v>0</v>
      </c>
      <c r="VV26" s="91">
        <f t="shared" si="712"/>
        <v>0</v>
      </c>
      <c r="WK26" s="91">
        <f t="shared" si="713"/>
        <v>0</v>
      </c>
      <c r="WL26" s="91">
        <f t="shared" si="714"/>
        <v>0</v>
      </c>
      <c r="WM26" s="89"/>
      <c r="WN26" s="87">
        <f t="shared" si="715"/>
        <v>0</v>
      </c>
      <c r="WO26" s="87">
        <f t="shared" si="716"/>
        <v>0</v>
      </c>
      <c r="WP26" s="87">
        <f t="shared" si="717"/>
        <v>0</v>
      </c>
      <c r="WQ26" s="87">
        <f t="shared" si="718"/>
        <v>0</v>
      </c>
      <c r="WR26" s="87">
        <f t="shared" si="719"/>
        <v>0</v>
      </c>
      <c r="WS26" s="87">
        <f t="shared" si="720"/>
        <v>0</v>
      </c>
      <c r="WT26" s="87">
        <f t="shared" si="721"/>
        <v>0</v>
      </c>
      <c r="WU26" s="87">
        <f t="shared" si="722"/>
        <v>0</v>
      </c>
      <c r="WV26" s="87">
        <f t="shared" si="723"/>
        <v>0</v>
      </c>
      <c r="WW26" s="87">
        <f t="shared" si="724"/>
        <v>0</v>
      </c>
      <c r="WX26" s="87">
        <f t="shared" si="725"/>
        <v>0</v>
      </c>
      <c r="WY26" s="87">
        <f t="shared" si="726"/>
        <v>0</v>
      </c>
      <c r="WZ26" s="87">
        <f t="shared" si="727"/>
        <v>0</v>
      </c>
      <c r="XA26" s="87">
        <f t="shared" si="728"/>
        <v>0</v>
      </c>
      <c r="XB26" s="92">
        <f t="shared" si="729"/>
        <v>0</v>
      </c>
      <c r="XC26" s="92">
        <f t="shared" si="730"/>
        <v>0</v>
      </c>
      <c r="XD26" s="89"/>
      <c r="XE26" s="92">
        <f t="shared" si="638"/>
        <v>0</v>
      </c>
      <c r="XF26" s="92">
        <f t="shared" si="639"/>
        <v>0</v>
      </c>
      <c r="XG26" s="89"/>
      <c r="XH26" s="92">
        <f t="shared" ref="XH26:XI26" si="758">SUM(XE26,XE64)</f>
        <v>535465</v>
      </c>
      <c r="XI26" s="92">
        <f t="shared" si="758"/>
        <v>10693740</v>
      </c>
      <c r="XJ26" s="89"/>
      <c r="XK26" s="87">
        <f t="shared" si="732"/>
        <v>0</v>
      </c>
      <c r="XL26" s="87">
        <f t="shared" si="733"/>
        <v>0</v>
      </c>
      <c r="XM26" s="87">
        <f t="shared" si="734"/>
        <v>0</v>
      </c>
      <c r="XN26" s="87">
        <f t="shared" si="735"/>
        <v>535465</v>
      </c>
      <c r="XO26" s="87">
        <f t="shared" si="736"/>
        <v>0</v>
      </c>
      <c r="XP26" s="87">
        <f t="shared" si="737"/>
        <v>0</v>
      </c>
      <c r="XQ26" s="87">
        <f t="shared" si="738"/>
        <v>0</v>
      </c>
      <c r="XR26" s="92">
        <f t="shared" si="739"/>
        <v>535465</v>
      </c>
      <c r="XS26" s="89"/>
      <c r="XT26" s="87">
        <f t="shared" si="740"/>
        <v>0</v>
      </c>
      <c r="XU26" s="87">
        <f t="shared" si="741"/>
        <v>0</v>
      </c>
      <c r="XV26" s="87">
        <f t="shared" si="742"/>
        <v>0</v>
      </c>
      <c r="XW26" s="87">
        <f t="shared" si="743"/>
        <v>10693740</v>
      </c>
      <c r="XX26" s="87">
        <f t="shared" si="744"/>
        <v>0</v>
      </c>
      <c r="XY26" s="87">
        <f t="shared" si="745"/>
        <v>0</v>
      </c>
      <c r="XZ26" s="87">
        <f t="shared" si="746"/>
        <v>0</v>
      </c>
      <c r="YA26" s="92">
        <f t="shared" si="747"/>
        <v>10693740</v>
      </c>
      <c r="YB26" s="90"/>
      <c r="YC26" s="90"/>
      <c r="YD26" s="90"/>
      <c r="YE26" s="90"/>
      <c r="YF26" s="90"/>
      <c r="YG26" s="90"/>
      <c r="YH26" s="90"/>
      <c r="YI26" s="90"/>
      <c r="YJ26" s="90"/>
      <c r="YK26" s="90"/>
      <c r="YL26" s="90"/>
      <c r="YM26" s="90"/>
      <c r="YN26" s="90"/>
      <c r="YO26" s="90"/>
      <c r="YP26" s="90"/>
      <c r="YQ26" s="90"/>
      <c r="YR26" s="90"/>
      <c r="YS26" s="90"/>
      <c r="YT26" s="90"/>
      <c r="YU26" s="90"/>
      <c r="YV26" s="90"/>
      <c r="YW26" s="90"/>
      <c r="YX26" s="90"/>
      <c r="YY26" s="90"/>
      <c r="YZ26" s="90"/>
      <c r="ZA26" s="90"/>
      <c r="ZB26" s="90"/>
      <c r="ZC26" s="90"/>
      <c r="ZD26" s="90"/>
      <c r="ZE26" s="90"/>
      <c r="ZF26" s="90"/>
      <c r="ZG26" s="90"/>
      <c r="ZH26" s="90"/>
      <c r="ZI26" s="90"/>
      <c r="ZJ26" s="90"/>
      <c r="ZK26" s="90"/>
      <c r="ZL26" s="90"/>
      <c r="ZM26" s="90"/>
      <c r="ZN26" s="90"/>
      <c r="ZO26" s="90"/>
      <c r="ZP26" s="90"/>
      <c r="ZQ26" s="90"/>
      <c r="ZR26" s="90"/>
      <c r="ZS26" s="90"/>
      <c r="ZT26" s="90"/>
      <c r="ZU26" s="90"/>
      <c r="ZV26" s="90"/>
      <c r="ZW26" s="90"/>
      <c r="ZX26" s="90"/>
      <c r="ZY26" s="90"/>
      <c r="ZZ26" s="90"/>
      <c r="AAA26" s="90"/>
      <c r="AAB26" s="90"/>
      <c r="AAC26" s="90"/>
      <c r="AAD26" s="90"/>
      <c r="AAE26" s="90"/>
      <c r="AAF26" s="90"/>
      <c r="AAG26" s="90"/>
      <c r="AAH26" s="90"/>
      <c r="AAI26" s="90"/>
      <c r="AAJ26" s="90"/>
      <c r="AAK26" s="90"/>
      <c r="AAL26" s="90"/>
      <c r="AAM26" s="90"/>
      <c r="AAN26" s="90"/>
      <c r="AAO26" s="90"/>
      <c r="AAP26" s="90"/>
      <c r="AAQ26" s="90"/>
      <c r="AAR26" s="90"/>
      <c r="AAS26" s="90"/>
      <c r="AAT26" s="90"/>
      <c r="AAU26" s="90"/>
      <c r="AAV26" s="90"/>
      <c r="AAW26" s="90"/>
      <c r="AAX26" s="90"/>
      <c r="AAY26" s="90"/>
      <c r="AAZ26" s="90"/>
      <c r="ABA26" s="90"/>
      <c r="ABB26" s="90"/>
      <c r="ABC26" s="90"/>
      <c r="ABD26" s="90"/>
      <c r="ABE26" s="90"/>
      <c r="ABF26" s="90"/>
      <c r="ABG26" s="90"/>
      <c r="ABH26" s="90"/>
      <c r="ABI26" s="90"/>
      <c r="ABJ26" s="90"/>
      <c r="ABK26" s="90"/>
      <c r="ABL26" s="90"/>
      <c r="ABM26" s="90"/>
      <c r="ABN26" s="90"/>
      <c r="ABO26" s="90"/>
      <c r="ABP26" s="90"/>
      <c r="ABQ26" s="90"/>
      <c r="ABR26" s="90"/>
      <c r="ABS26" s="90"/>
      <c r="ABT26" s="90"/>
      <c r="ABU26" s="90"/>
      <c r="ABV26" s="90"/>
      <c r="ABW26" s="90"/>
      <c r="ABX26" s="90"/>
      <c r="ABY26" s="90"/>
      <c r="ABZ26" s="90"/>
      <c r="ACA26" s="90"/>
      <c r="ACB26" s="90"/>
      <c r="ACC26" s="90"/>
      <c r="ACD26" s="90"/>
      <c r="ACE26" s="90"/>
      <c r="ACF26" s="90"/>
      <c r="ACG26" s="90"/>
      <c r="ACH26" s="90"/>
      <c r="ACI26" s="90"/>
      <c r="ACJ26" s="90"/>
      <c r="ACK26" s="90"/>
      <c r="ACL26" s="90"/>
      <c r="ACM26" s="90"/>
      <c r="ACN26" s="90"/>
      <c r="ACO26" s="90"/>
      <c r="ACP26" s="90"/>
      <c r="ACQ26" s="90"/>
      <c r="ACR26" s="90"/>
      <c r="ACS26" s="90"/>
      <c r="ACT26" s="90"/>
      <c r="ACU26" s="90"/>
      <c r="ACV26" s="90"/>
      <c r="ACW26" s="90"/>
      <c r="ACX26" s="90"/>
      <c r="ACY26" s="90"/>
      <c r="ACZ26" s="90"/>
      <c r="ADA26" s="90"/>
      <c r="ADB26" s="90"/>
      <c r="ADC26" s="90"/>
      <c r="ADD26" s="90"/>
      <c r="ADE26" s="90"/>
      <c r="ADF26" s="90"/>
      <c r="ADG26" s="90"/>
      <c r="ADH26" s="90"/>
      <c r="ADI26" s="90"/>
      <c r="ADJ26" s="90"/>
      <c r="ADK26" s="90"/>
      <c r="ADL26" s="90"/>
      <c r="ADM26" s="90"/>
      <c r="ADN26" s="90"/>
      <c r="ADO26" s="90"/>
      <c r="ADP26" s="90"/>
      <c r="ADQ26" s="90"/>
      <c r="ADR26" s="90"/>
      <c r="ADS26" s="90"/>
      <c r="ADT26" s="90"/>
      <c r="ADU26" s="90"/>
      <c r="ADV26" s="90"/>
      <c r="ADW26" s="90"/>
      <c r="ADX26" s="90"/>
      <c r="ADY26" s="90"/>
      <c r="ADZ26" s="90"/>
      <c r="AEA26" s="90"/>
      <c r="AEB26" s="90"/>
      <c r="AEC26" s="90"/>
      <c r="AED26" s="90"/>
      <c r="AEE26" s="90"/>
      <c r="AEF26" s="90"/>
      <c r="AEG26" s="90"/>
      <c r="AEH26" s="90"/>
      <c r="AEI26" s="90"/>
      <c r="AEJ26" s="90"/>
      <c r="AEK26" s="90"/>
      <c r="AEL26" s="90"/>
      <c r="AEM26" s="90"/>
      <c r="AEN26" s="90"/>
      <c r="AEO26" s="90"/>
      <c r="AEP26" s="90"/>
      <c r="AEQ26" s="90"/>
      <c r="AER26" s="90"/>
      <c r="AES26" s="90"/>
      <c r="AET26" s="90"/>
      <c r="AEU26" s="90"/>
      <c r="AEV26" s="90"/>
      <c r="AEW26" s="90"/>
      <c r="AEX26" s="90"/>
      <c r="AEY26" s="90"/>
      <c r="AEZ26" s="90"/>
      <c r="AFA26" s="90"/>
      <c r="AFB26" s="90"/>
      <c r="AFC26" s="90"/>
      <c r="AFD26" s="90"/>
      <c r="AFE26" s="90"/>
      <c r="AFF26" s="90"/>
      <c r="AFG26" s="90"/>
      <c r="AFH26" s="90"/>
      <c r="AFI26" s="90"/>
      <c r="AFJ26" s="90"/>
      <c r="AFK26" s="90"/>
      <c r="AFL26" s="90"/>
      <c r="AFM26" s="90"/>
      <c r="AFN26" s="90"/>
      <c r="AFO26" s="90"/>
      <c r="AFP26" s="90"/>
      <c r="AFQ26" s="90"/>
      <c r="AFR26" s="90"/>
      <c r="AFS26" s="90"/>
      <c r="AFT26" s="90"/>
      <c r="AFU26" s="90"/>
      <c r="AFV26" s="90"/>
      <c r="AFW26" s="90"/>
      <c r="AFX26" s="90"/>
      <c r="AFY26" s="90"/>
      <c r="AFZ26" s="90"/>
      <c r="AGA26" s="90"/>
      <c r="AGB26" s="90"/>
      <c r="AGC26" s="90"/>
      <c r="AGD26" s="90"/>
      <c r="AGE26" s="90"/>
      <c r="AGF26" s="90"/>
      <c r="AGG26" s="90"/>
      <c r="AGH26" s="90"/>
      <c r="AGI26" s="90"/>
      <c r="AGJ26" s="90"/>
      <c r="AGK26" s="90"/>
      <c r="AGL26" s="90"/>
      <c r="AGM26" s="90"/>
      <c r="AGN26" s="90"/>
      <c r="AGO26" s="90"/>
      <c r="AGP26" s="90"/>
      <c r="AGQ26" s="90"/>
      <c r="AGR26" s="90"/>
      <c r="AGS26" s="90"/>
      <c r="AGT26" s="90"/>
      <c r="AGU26" s="90"/>
      <c r="AGV26" s="90"/>
      <c r="AGW26" s="90"/>
      <c r="AGX26" s="90"/>
      <c r="AGY26" s="90"/>
      <c r="AGZ26" s="90"/>
      <c r="AHA26" s="90"/>
      <c r="AHB26" s="90"/>
      <c r="AHC26" s="90"/>
      <c r="AHD26" s="90"/>
      <c r="AHE26" s="90"/>
      <c r="AHF26" s="90"/>
      <c r="AHG26" s="90"/>
      <c r="AHH26" s="90"/>
      <c r="AHI26" s="90"/>
      <c r="AHJ26" s="90"/>
      <c r="AHK26" s="90"/>
      <c r="AHL26" s="90"/>
      <c r="AHM26" s="90"/>
      <c r="AHN26" s="90"/>
      <c r="AHO26" s="90"/>
      <c r="AHP26" s="90"/>
      <c r="AHQ26" s="90"/>
      <c r="AHR26" s="90"/>
      <c r="AHS26" s="90"/>
      <c r="AHT26" s="90"/>
      <c r="AHU26" s="90"/>
      <c r="AHV26" s="90"/>
      <c r="AHW26" s="90"/>
      <c r="AHX26" s="90"/>
      <c r="AHY26" s="90"/>
      <c r="AHZ26" s="90"/>
      <c r="AIA26" s="90"/>
      <c r="AIB26" s="90"/>
      <c r="AIC26" s="90"/>
      <c r="AID26" s="90"/>
      <c r="AIE26" s="90"/>
      <c r="AIF26" s="90"/>
      <c r="AIG26" s="90"/>
      <c r="AIH26" s="90"/>
      <c r="AII26" s="90"/>
      <c r="AIJ26" s="90"/>
      <c r="AIK26" s="90"/>
      <c r="AIL26" s="90"/>
      <c r="AIM26" s="90"/>
      <c r="AIN26" s="90"/>
      <c r="AIO26" s="90"/>
      <c r="AIP26" s="90"/>
      <c r="AIQ26" s="90"/>
      <c r="AIR26" s="90"/>
      <c r="AIS26" s="90"/>
      <c r="AIT26" s="90"/>
      <c r="AIU26" s="90"/>
      <c r="AIV26" s="90"/>
      <c r="AIW26" s="90"/>
      <c r="AIX26" s="90"/>
      <c r="AIY26" s="90"/>
      <c r="AIZ26" s="90"/>
      <c r="AJA26" s="90"/>
      <c r="AJB26" s="90"/>
      <c r="AJC26" s="90"/>
      <c r="AJD26" s="90"/>
      <c r="AJE26" s="90"/>
      <c r="AJF26" s="90"/>
      <c r="AJG26" s="90"/>
      <c r="AJH26" s="90"/>
      <c r="AJI26" s="90"/>
      <c r="AJJ26" s="90"/>
      <c r="AJK26" s="90"/>
      <c r="AJL26" s="90"/>
      <c r="AJM26" s="90"/>
      <c r="AJN26" s="90"/>
      <c r="AJO26" s="90"/>
      <c r="AJP26" s="90"/>
      <c r="AJQ26" s="90"/>
      <c r="AJR26" s="90"/>
      <c r="AJS26" s="90"/>
      <c r="AJT26" s="90"/>
      <c r="AJU26" s="90"/>
      <c r="AJV26" s="90"/>
      <c r="AJW26" s="90"/>
      <c r="AJX26" s="90"/>
      <c r="AJY26" s="90"/>
      <c r="AJZ26" s="90"/>
      <c r="AKA26" s="90"/>
      <c r="AKB26" s="90"/>
      <c r="AKC26" s="90"/>
      <c r="AKD26" s="90"/>
      <c r="AKE26" s="90"/>
      <c r="AKF26" s="90"/>
      <c r="AKG26" s="90"/>
      <c r="AKH26" s="90"/>
      <c r="AKI26" s="90"/>
      <c r="AKJ26" s="90"/>
      <c r="AKK26" s="90"/>
      <c r="AKL26" s="90"/>
      <c r="AKM26" s="90"/>
      <c r="AKN26" s="90"/>
      <c r="AKO26" s="90"/>
      <c r="AKP26" s="90"/>
      <c r="AKQ26" s="90"/>
      <c r="AKR26" s="90"/>
      <c r="AKS26" s="90"/>
      <c r="AKT26" s="90"/>
      <c r="AKU26" s="90"/>
      <c r="AKV26" s="90"/>
      <c r="AKW26" s="90"/>
      <c r="AKX26" s="90"/>
      <c r="AKY26" s="90"/>
      <c r="AKZ26" s="90"/>
      <c r="ALA26" s="90"/>
      <c r="ALB26" s="90"/>
      <c r="ALC26" s="90"/>
      <c r="ALD26" s="90"/>
      <c r="ALE26" s="90"/>
      <c r="ALF26" s="90"/>
      <c r="ALG26" s="90"/>
      <c r="ALH26" s="90"/>
      <c r="ALI26" s="90"/>
      <c r="ALJ26" s="90"/>
      <c r="ALK26" s="90"/>
      <c r="ALL26" s="90"/>
      <c r="ALM26" s="90"/>
      <c r="ALN26" s="90"/>
      <c r="ALO26" s="90"/>
      <c r="ALP26" s="90"/>
      <c r="ALQ26" s="90"/>
      <c r="ALR26" s="90"/>
      <c r="ALS26" s="90"/>
      <c r="ALT26" s="90"/>
      <c r="ALU26" s="90"/>
      <c r="ALV26" s="90"/>
      <c r="ALW26" s="90"/>
      <c r="ALX26" s="90"/>
      <c r="ALY26" s="90"/>
      <c r="ALZ26" s="90"/>
      <c r="AMA26" s="90"/>
      <c r="AMB26" s="90"/>
      <c r="AMC26" s="90"/>
    </row>
    <row r="27" spans="1:1017">
      <c r="A27" s="98" t="s">
        <v>25</v>
      </c>
      <c r="B27" s="648" t="s">
        <v>547</v>
      </c>
      <c r="I27" s="774">
        <v>54000</v>
      </c>
      <c r="J27" s="774">
        <v>1080000</v>
      </c>
      <c r="M27" s="776">
        <v>300</v>
      </c>
      <c r="N27" s="774">
        <v>6000</v>
      </c>
      <c r="Q27" s="91">
        <f t="shared" si="640"/>
        <v>54300</v>
      </c>
      <c r="R27" s="91">
        <f t="shared" si="641"/>
        <v>1086000</v>
      </c>
      <c r="Y27" s="777">
        <v>560550</v>
      </c>
      <c r="Z27" s="777">
        <v>11211000</v>
      </c>
      <c r="AG27" s="91">
        <f t="shared" si="642"/>
        <v>560550</v>
      </c>
      <c r="AH27" s="91">
        <f t="shared" si="643"/>
        <v>11211000</v>
      </c>
      <c r="AO27" s="98">
        <v>707000</v>
      </c>
      <c r="AP27" s="98">
        <v>12019000</v>
      </c>
      <c r="AW27" s="91">
        <f t="shared" si="644"/>
        <v>707000</v>
      </c>
      <c r="AX27" s="91">
        <f t="shared" si="645"/>
        <v>12019000</v>
      </c>
      <c r="BE27" s="98">
        <v>395142</v>
      </c>
      <c r="BF27" s="98">
        <v>7507698</v>
      </c>
      <c r="BM27" s="91">
        <f t="shared" si="646"/>
        <v>395142</v>
      </c>
      <c r="BN27" s="91">
        <f t="shared" si="647"/>
        <v>7507698</v>
      </c>
      <c r="BU27" s="98">
        <v>65188</v>
      </c>
      <c r="BV27" s="98">
        <v>1303760</v>
      </c>
      <c r="CC27" s="91">
        <f t="shared" si="648"/>
        <v>65188</v>
      </c>
      <c r="CD27" s="91">
        <f t="shared" si="649"/>
        <v>1303760</v>
      </c>
      <c r="CK27" s="98">
        <v>87817</v>
      </c>
      <c r="CL27" s="98">
        <v>1405064.2853885617</v>
      </c>
      <c r="CS27" s="91">
        <f t="shared" si="650"/>
        <v>87817</v>
      </c>
      <c r="CT27" s="91">
        <f t="shared" si="651"/>
        <v>1405064.2853885617</v>
      </c>
      <c r="DA27" s="98">
        <v>842530</v>
      </c>
      <c r="DB27" s="98">
        <v>15165540</v>
      </c>
      <c r="DI27" s="91">
        <f t="shared" si="652"/>
        <v>842530</v>
      </c>
      <c r="DJ27" s="91">
        <f t="shared" si="653"/>
        <v>15165540</v>
      </c>
      <c r="DQ27" s="98">
        <v>675700</v>
      </c>
      <c r="DR27" s="98">
        <v>12500450</v>
      </c>
      <c r="DY27" s="91">
        <f t="shared" si="654"/>
        <v>675700</v>
      </c>
      <c r="DZ27" s="91">
        <f t="shared" si="655"/>
        <v>12500450</v>
      </c>
      <c r="EG27" s="98">
        <v>1650000</v>
      </c>
      <c r="EH27" s="98">
        <v>29700000</v>
      </c>
      <c r="EO27" s="91">
        <f t="shared" si="656"/>
        <v>1650000</v>
      </c>
      <c r="EP27" s="91">
        <f t="shared" si="657"/>
        <v>29700000</v>
      </c>
      <c r="EW27" s="98">
        <v>388866</v>
      </c>
      <c r="EX27" s="98">
        <v>8555052</v>
      </c>
      <c r="EZ27" s="98" t="s">
        <v>384</v>
      </c>
      <c r="FA27" s="98">
        <v>6107</v>
      </c>
      <c r="FB27" s="98">
        <v>134354</v>
      </c>
      <c r="FE27" s="91">
        <f t="shared" si="658"/>
        <v>394973</v>
      </c>
      <c r="FF27" s="91">
        <f t="shared" si="659"/>
        <v>8689406</v>
      </c>
      <c r="FM27" s="98">
        <v>96635</v>
      </c>
      <c r="FN27" s="98">
        <v>1836065</v>
      </c>
      <c r="FU27" s="91">
        <f t="shared" si="660"/>
        <v>96635</v>
      </c>
      <c r="FV27" s="91">
        <f t="shared" si="661"/>
        <v>1836065</v>
      </c>
      <c r="GC27" s="98">
        <v>221200</v>
      </c>
      <c r="GD27" s="98">
        <v>4092200</v>
      </c>
      <c r="GK27" s="91">
        <f t="shared" si="662"/>
        <v>221200</v>
      </c>
      <c r="GL27" s="91">
        <f t="shared" si="663"/>
        <v>4092200</v>
      </c>
      <c r="GS27" s="98">
        <v>134000</v>
      </c>
      <c r="GT27" s="98">
        <v>2479000</v>
      </c>
      <c r="HA27" s="91">
        <f t="shared" si="664"/>
        <v>134000</v>
      </c>
      <c r="HB27" s="91">
        <f t="shared" si="665"/>
        <v>2479000</v>
      </c>
      <c r="HI27" s="98">
        <v>550000</v>
      </c>
      <c r="HJ27" s="98">
        <v>8800000</v>
      </c>
      <c r="HQ27" s="91">
        <f t="shared" si="666"/>
        <v>550000</v>
      </c>
      <c r="HR27" s="91">
        <f t="shared" si="667"/>
        <v>8800000</v>
      </c>
      <c r="HY27" s="98">
        <v>102000</v>
      </c>
      <c r="HZ27" s="98">
        <v>1887000</v>
      </c>
      <c r="IG27" s="91">
        <f t="shared" si="668"/>
        <v>102000</v>
      </c>
      <c r="IH27" s="91">
        <f t="shared" si="669"/>
        <v>1887000</v>
      </c>
      <c r="IO27" s="98">
        <v>883160</v>
      </c>
      <c r="IP27" s="98">
        <v>16338460</v>
      </c>
      <c r="IW27" s="91">
        <f t="shared" si="670"/>
        <v>883160</v>
      </c>
      <c r="IX27" s="91">
        <f t="shared" si="671"/>
        <v>16338460</v>
      </c>
      <c r="JE27" s="98">
        <v>330000</v>
      </c>
      <c r="JF27" s="98">
        <v>6105000</v>
      </c>
      <c r="JM27" s="91">
        <f t="shared" si="672"/>
        <v>330000</v>
      </c>
      <c r="JN27" s="91">
        <f t="shared" si="673"/>
        <v>6105000</v>
      </c>
      <c r="JU27" s="98">
        <v>39381</v>
      </c>
      <c r="JV27" s="98">
        <v>945144</v>
      </c>
      <c r="KC27" s="91">
        <f t="shared" si="674"/>
        <v>39381</v>
      </c>
      <c r="KD27" s="91">
        <f t="shared" si="675"/>
        <v>945144</v>
      </c>
      <c r="KK27" s="98">
        <v>54572</v>
      </c>
      <c r="KL27" s="98">
        <v>1091440</v>
      </c>
      <c r="KS27" s="91">
        <f t="shared" si="676"/>
        <v>54572</v>
      </c>
      <c r="KT27" s="91">
        <f t="shared" si="677"/>
        <v>1091440</v>
      </c>
      <c r="LA27" s="98">
        <v>1404610.79</v>
      </c>
      <c r="LB27" s="98">
        <v>25985299</v>
      </c>
      <c r="LI27" s="91">
        <f t="shared" si="678"/>
        <v>1404610.79</v>
      </c>
      <c r="LJ27" s="91">
        <f t="shared" si="679"/>
        <v>25985299</v>
      </c>
      <c r="LQ27" s="98">
        <v>152782</v>
      </c>
      <c r="LR27" s="98">
        <v>2826467</v>
      </c>
      <c r="LY27" s="91">
        <f t="shared" si="680"/>
        <v>152782</v>
      </c>
      <c r="LZ27" s="91">
        <f t="shared" si="681"/>
        <v>2826467</v>
      </c>
      <c r="MC27" s="784"/>
      <c r="MG27" s="98">
        <v>57100</v>
      </c>
      <c r="MH27" s="98">
        <v>1056350</v>
      </c>
      <c r="MO27" s="91">
        <f t="shared" si="682"/>
        <v>57100</v>
      </c>
      <c r="MP27" s="91">
        <f t="shared" si="683"/>
        <v>1056350</v>
      </c>
      <c r="MW27" s="98">
        <v>18121</v>
      </c>
      <c r="MX27" s="98">
        <v>416783</v>
      </c>
      <c r="NE27" s="91">
        <f t="shared" si="684"/>
        <v>18121</v>
      </c>
      <c r="NF27" s="91">
        <f t="shared" si="685"/>
        <v>416783</v>
      </c>
      <c r="NM27" s="98">
        <v>1778500</v>
      </c>
      <c r="NN27" s="98">
        <v>28456000</v>
      </c>
      <c r="NQ27" s="98">
        <v>750</v>
      </c>
      <c r="NR27" s="98">
        <v>12000</v>
      </c>
      <c r="NU27" s="91">
        <f t="shared" si="686"/>
        <v>1779250</v>
      </c>
      <c r="NV27" s="91">
        <f t="shared" si="687"/>
        <v>28468000</v>
      </c>
      <c r="OC27" s="98">
        <v>55122</v>
      </c>
      <c r="OD27" s="98">
        <v>1047318</v>
      </c>
      <c r="OK27" s="91">
        <f t="shared" si="688"/>
        <v>55122</v>
      </c>
      <c r="OL27" s="91">
        <f t="shared" si="689"/>
        <v>1047318</v>
      </c>
      <c r="OS27" s="98">
        <v>27243.5</v>
      </c>
      <c r="OT27" s="98">
        <v>572113.5</v>
      </c>
      <c r="PA27" s="91">
        <f t="shared" si="690"/>
        <v>27243.5</v>
      </c>
      <c r="PB27" s="91">
        <f t="shared" si="691"/>
        <v>572113.5</v>
      </c>
      <c r="PI27" s="98">
        <v>326676</v>
      </c>
      <c r="PJ27" s="98">
        <v>5716808</v>
      </c>
      <c r="PQ27" s="91">
        <f t="shared" si="692"/>
        <v>326676</v>
      </c>
      <c r="PR27" s="91">
        <f t="shared" si="693"/>
        <v>5716808</v>
      </c>
      <c r="PY27" s="98">
        <v>977910</v>
      </c>
      <c r="PZ27" s="98">
        <v>18580351.410999998</v>
      </c>
      <c r="QC27" s="98">
        <v>319470</v>
      </c>
      <c r="QD27" s="98">
        <v>6069930</v>
      </c>
      <c r="QG27" s="91">
        <f t="shared" si="694"/>
        <v>1297380</v>
      </c>
      <c r="QH27" s="91">
        <f t="shared" si="695"/>
        <v>24650281.410999998</v>
      </c>
      <c r="QO27" s="98">
        <v>840000</v>
      </c>
      <c r="QP27" s="98">
        <v>15540000</v>
      </c>
      <c r="QW27" s="91">
        <f t="shared" si="696"/>
        <v>840000</v>
      </c>
      <c r="QX27" s="91">
        <f t="shared" si="697"/>
        <v>15540000</v>
      </c>
      <c r="RE27" s="98">
        <v>1500</v>
      </c>
      <c r="RF27" s="98">
        <f>RE27*20</f>
        <v>30000</v>
      </c>
      <c r="RM27" s="91">
        <f t="shared" si="698"/>
        <v>1500</v>
      </c>
      <c r="RN27" s="91">
        <f t="shared" si="699"/>
        <v>30000</v>
      </c>
      <c r="RU27" s="98">
        <v>10440</v>
      </c>
      <c r="RV27" s="98">
        <v>177480</v>
      </c>
      <c r="SC27" s="91">
        <f t="shared" si="700"/>
        <v>10440</v>
      </c>
      <c r="SD27" s="91">
        <f t="shared" si="701"/>
        <v>177480</v>
      </c>
      <c r="SK27" s="98">
        <v>16200</v>
      </c>
      <c r="SL27" s="98">
        <v>307800</v>
      </c>
      <c r="SS27" s="91">
        <f t="shared" si="702"/>
        <v>16200</v>
      </c>
      <c r="ST27" s="91">
        <f t="shared" si="703"/>
        <v>307800</v>
      </c>
      <c r="TA27" s="98">
        <v>21155</v>
      </c>
      <c r="TB27" s="98">
        <v>391368</v>
      </c>
      <c r="TI27" s="91">
        <f t="shared" si="704"/>
        <v>21155</v>
      </c>
      <c r="TJ27" s="91">
        <f t="shared" si="705"/>
        <v>391368</v>
      </c>
      <c r="TQ27" s="98">
        <v>1600</v>
      </c>
      <c r="TR27" s="98">
        <v>30400</v>
      </c>
      <c r="TY27" s="91">
        <f t="shared" si="706"/>
        <v>1600</v>
      </c>
      <c r="TZ27" s="91">
        <f t="shared" si="707"/>
        <v>30400</v>
      </c>
      <c r="UG27" s="98">
        <v>18135</v>
      </c>
      <c r="UH27" s="98">
        <v>326430</v>
      </c>
      <c r="UO27" s="91">
        <f t="shared" si="708"/>
        <v>18135</v>
      </c>
      <c r="UP27" s="91">
        <f t="shared" si="637"/>
        <v>326430</v>
      </c>
      <c r="UW27" s="98">
        <v>7295</v>
      </c>
      <c r="UX27" s="98">
        <v>138605</v>
      </c>
      <c r="VE27" s="91">
        <f t="shared" si="709"/>
        <v>7295</v>
      </c>
      <c r="VF27" s="91">
        <f t="shared" si="710"/>
        <v>138605</v>
      </c>
      <c r="VM27" s="98">
        <v>19409.5</v>
      </c>
      <c r="VN27" s="98">
        <v>368780.5</v>
      </c>
      <c r="VU27" s="91">
        <f t="shared" si="711"/>
        <v>19409.5</v>
      </c>
      <c r="VV27" s="91">
        <f t="shared" si="712"/>
        <v>368780.5</v>
      </c>
      <c r="WC27" s="98">
        <v>158095</v>
      </c>
      <c r="WD27" s="98">
        <v>3161900</v>
      </c>
      <c r="WI27" s="98">
        <v>10185</v>
      </c>
      <c r="WJ27" s="98">
        <v>203700</v>
      </c>
      <c r="WK27" s="91">
        <f t="shared" si="713"/>
        <v>168280</v>
      </c>
      <c r="WL27" s="91">
        <f t="shared" si="714"/>
        <v>3365600</v>
      </c>
      <c r="WM27" s="89"/>
      <c r="WN27" s="87">
        <f t="shared" si="715"/>
        <v>0</v>
      </c>
      <c r="WO27" s="87">
        <f t="shared" si="716"/>
        <v>0</v>
      </c>
      <c r="WP27" s="87">
        <f t="shared" si="717"/>
        <v>0</v>
      </c>
      <c r="WQ27" s="87">
        <f t="shared" si="718"/>
        <v>0</v>
      </c>
      <c r="WR27" s="87">
        <f t="shared" si="719"/>
        <v>0</v>
      </c>
      <c r="WS27" s="87">
        <f t="shared" si="720"/>
        <v>0</v>
      </c>
      <c r="WT27" s="87">
        <f t="shared" si="721"/>
        <v>13729635.789999999</v>
      </c>
      <c r="WU27" s="87">
        <f t="shared" si="722"/>
        <v>249152126.69638854</v>
      </c>
      <c r="WV27" s="87">
        <f t="shared" si="723"/>
        <v>0</v>
      </c>
      <c r="WW27" s="87">
        <f t="shared" si="724"/>
        <v>0</v>
      </c>
      <c r="WX27" s="87">
        <f t="shared" si="725"/>
        <v>326627</v>
      </c>
      <c r="WY27" s="87">
        <f t="shared" si="726"/>
        <v>6222284</v>
      </c>
      <c r="WZ27" s="87">
        <f t="shared" si="727"/>
        <v>10185</v>
      </c>
      <c r="XA27" s="87">
        <f t="shared" si="728"/>
        <v>203700</v>
      </c>
      <c r="XB27" s="92">
        <f t="shared" si="729"/>
        <v>14066447.789999999</v>
      </c>
      <c r="XC27" s="92">
        <f t="shared" si="730"/>
        <v>255578110.69638854</v>
      </c>
      <c r="XD27" s="89"/>
      <c r="XE27" s="92">
        <f t="shared" si="638"/>
        <v>43996878.030000001</v>
      </c>
      <c r="XF27" s="92">
        <f t="shared" si="639"/>
        <v>797337521.8953886</v>
      </c>
      <c r="XG27" s="89"/>
      <c r="XH27" s="92">
        <f t="shared" ref="XH27:XI27" si="759">SUM(XE27,XE65)</f>
        <v>83973658.275950119</v>
      </c>
      <c r="XI27" s="92">
        <f t="shared" si="759"/>
        <v>1514750783.5147548</v>
      </c>
      <c r="XJ27" s="89"/>
      <c r="XK27" s="87">
        <f t="shared" si="732"/>
        <v>0</v>
      </c>
      <c r="XL27" s="87">
        <f t="shared" si="733"/>
        <v>0</v>
      </c>
      <c r="XM27" s="87">
        <f t="shared" si="734"/>
        <v>0</v>
      </c>
      <c r="XN27" s="87">
        <f t="shared" si="735"/>
        <v>163103184.60557088</v>
      </c>
      <c r="XO27" s="87">
        <f t="shared" si="736"/>
        <v>0</v>
      </c>
      <c r="XP27" s="87">
        <f t="shared" si="737"/>
        <v>2768390</v>
      </c>
      <c r="XQ27" s="87">
        <f t="shared" si="738"/>
        <v>83212</v>
      </c>
      <c r="XR27" s="92">
        <f t="shared" si="739"/>
        <v>165954786.60557088</v>
      </c>
      <c r="XS27" s="89"/>
      <c r="XT27" s="87">
        <f t="shared" si="740"/>
        <v>0</v>
      </c>
      <c r="XU27" s="87">
        <f t="shared" si="741"/>
        <v>0</v>
      </c>
      <c r="XV27" s="87">
        <f t="shared" si="742"/>
        <v>0</v>
      </c>
      <c r="XW27" s="87">
        <f t="shared" si="743"/>
        <v>2911529171.2117858</v>
      </c>
      <c r="XX27" s="87">
        <f t="shared" si="744"/>
        <v>0</v>
      </c>
      <c r="XY27" s="87">
        <f t="shared" si="745"/>
        <v>51249004</v>
      </c>
      <c r="XZ27" s="87">
        <f t="shared" si="746"/>
        <v>1635004</v>
      </c>
      <c r="YA27" s="92">
        <f t="shared" si="747"/>
        <v>2964413179.2117858</v>
      </c>
      <c r="YB27" s="90"/>
      <c r="YC27" s="90"/>
      <c r="YD27" s="90"/>
      <c r="YE27" s="90"/>
      <c r="YF27" s="90"/>
      <c r="YG27" s="90"/>
      <c r="YH27" s="90"/>
      <c r="YI27" s="90"/>
      <c r="YJ27" s="90"/>
      <c r="YK27" s="90"/>
      <c r="YL27" s="90"/>
      <c r="YM27" s="90"/>
      <c r="YN27" s="90"/>
      <c r="YO27" s="90"/>
      <c r="YP27" s="90"/>
      <c r="YQ27" s="90"/>
      <c r="YR27" s="90"/>
      <c r="YS27" s="90"/>
      <c r="YT27" s="90"/>
      <c r="YU27" s="90"/>
      <c r="YV27" s="90"/>
      <c r="YW27" s="90"/>
      <c r="YX27" s="90"/>
      <c r="YY27" s="90"/>
      <c r="YZ27" s="90"/>
      <c r="ZA27" s="90"/>
      <c r="ZB27" s="90"/>
      <c r="ZC27" s="90"/>
      <c r="ZD27" s="90"/>
      <c r="ZE27" s="90"/>
      <c r="ZF27" s="90"/>
      <c r="ZG27" s="90"/>
      <c r="ZH27" s="90"/>
      <c r="ZI27" s="90"/>
      <c r="ZJ27" s="90"/>
      <c r="ZK27" s="90"/>
      <c r="ZL27" s="90"/>
      <c r="ZM27" s="90"/>
      <c r="ZN27" s="90"/>
      <c r="ZO27" s="90"/>
      <c r="ZP27" s="90"/>
      <c r="ZQ27" s="90"/>
      <c r="ZR27" s="90"/>
      <c r="ZS27" s="90"/>
      <c r="ZT27" s="90"/>
      <c r="ZU27" s="90"/>
      <c r="ZV27" s="90"/>
      <c r="ZW27" s="90"/>
      <c r="ZX27" s="90"/>
      <c r="ZY27" s="90"/>
      <c r="ZZ27" s="90"/>
      <c r="AAA27" s="90"/>
      <c r="AAB27" s="90"/>
      <c r="AAC27" s="90"/>
      <c r="AAD27" s="90"/>
      <c r="AAE27" s="90"/>
      <c r="AAF27" s="90"/>
      <c r="AAG27" s="90"/>
      <c r="AAH27" s="90"/>
      <c r="AAI27" s="90"/>
      <c r="AAJ27" s="90"/>
      <c r="AAK27" s="90"/>
      <c r="AAL27" s="90"/>
      <c r="AAM27" s="90"/>
      <c r="AAN27" s="90"/>
      <c r="AAO27" s="90"/>
      <c r="AAP27" s="90"/>
      <c r="AAQ27" s="90"/>
      <c r="AAR27" s="90"/>
      <c r="AAS27" s="90"/>
      <c r="AAT27" s="90"/>
      <c r="AAU27" s="90"/>
      <c r="AAV27" s="90"/>
      <c r="AAW27" s="90"/>
      <c r="AAX27" s="90"/>
      <c r="AAY27" s="90"/>
      <c r="AAZ27" s="90"/>
      <c r="ABA27" s="90"/>
      <c r="ABB27" s="90"/>
      <c r="ABC27" s="90"/>
      <c r="ABD27" s="90"/>
      <c r="ABE27" s="90"/>
      <c r="ABF27" s="90"/>
      <c r="ABG27" s="90"/>
      <c r="ABH27" s="90"/>
      <c r="ABI27" s="90"/>
      <c r="ABJ27" s="90"/>
      <c r="ABK27" s="90"/>
      <c r="ABL27" s="90"/>
      <c r="ABM27" s="90"/>
      <c r="ABN27" s="90"/>
      <c r="ABO27" s="90"/>
      <c r="ABP27" s="90"/>
      <c r="ABQ27" s="90"/>
      <c r="ABR27" s="90"/>
      <c r="ABS27" s="90"/>
      <c r="ABT27" s="90"/>
      <c r="ABU27" s="90"/>
      <c r="ABV27" s="90"/>
      <c r="ABW27" s="90"/>
      <c r="ABX27" s="90"/>
      <c r="ABY27" s="90"/>
      <c r="ABZ27" s="90"/>
      <c r="ACA27" s="90"/>
      <c r="ACB27" s="90"/>
      <c r="ACC27" s="90"/>
      <c r="ACD27" s="90"/>
      <c r="ACE27" s="90"/>
      <c r="ACF27" s="90"/>
      <c r="ACG27" s="90"/>
      <c r="ACH27" s="90"/>
      <c r="ACI27" s="90"/>
      <c r="ACJ27" s="90"/>
      <c r="ACK27" s="90"/>
      <c r="ACL27" s="90"/>
      <c r="ACM27" s="90"/>
      <c r="ACN27" s="90"/>
      <c r="ACO27" s="90"/>
      <c r="ACP27" s="90"/>
      <c r="ACQ27" s="90"/>
      <c r="ACR27" s="90"/>
      <c r="ACS27" s="90"/>
      <c r="ACT27" s="90"/>
      <c r="ACU27" s="90"/>
      <c r="ACV27" s="90"/>
      <c r="ACW27" s="90"/>
      <c r="ACX27" s="90"/>
      <c r="ACY27" s="90"/>
      <c r="ACZ27" s="90"/>
      <c r="ADA27" s="90"/>
      <c r="ADB27" s="90"/>
      <c r="ADC27" s="90"/>
      <c r="ADD27" s="90"/>
      <c r="ADE27" s="90"/>
      <c r="ADF27" s="90"/>
      <c r="ADG27" s="90"/>
      <c r="ADH27" s="90"/>
      <c r="ADI27" s="90"/>
      <c r="ADJ27" s="90"/>
      <c r="ADK27" s="90"/>
      <c r="ADL27" s="90"/>
      <c r="ADM27" s="90"/>
      <c r="ADN27" s="90"/>
      <c r="ADO27" s="90"/>
      <c r="ADP27" s="90"/>
      <c r="ADQ27" s="90"/>
      <c r="ADR27" s="90"/>
      <c r="ADS27" s="90"/>
      <c r="ADT27" s="90"/>
      <c r="ADU27" s="90"/>
      <c r="ADV27" s="90"/>
      <c r="ADW27" s="90"/>
      <c r="ADX27" s="90"/>
      <c r="ADY27" s="90"/>
      <c r="ADZ27" s="90"/>
      <c r="AEA27" s="90"/>
      <c r="AEB27" s="90"/>
      <c r="AEC27" s="90"/>
      <c r="AED27" s="90"/>
      <c r="AEE27" s="90"/>
      <c r="AEF27" s="90"/>
      <c r="AEG27" s="90"/>
      <c r="AEH27" s="90"/>
      <c r="AEI27" s="90"/>
      <c r="AEJ27" s="90"/>
      <c r="AEK27" s="90"/>
      <c r="AEL27" s="90"/>
      <c r="AEM27" s="90"/>
      <c r="AEN27" s="90"/>
      <c r="AEO27" s="90"/>
      <c r="AEP27" s="90"/>
      <c r="AEQ27" s="90"/>
      <c r="AER27" s="90"/>
      <c r="AES27" s="90"/>
      <c r="AET27" s="90"/>
      <c r="AEU27" s="90"/>
      <c r="AEV27" s="90"/>
      <c r="AEW27" s="90"/>
      <c r="AEX27" s="90"/>
      <c r="AEY27" s="90"/>
      <c r="AEZ27" s="90"/>
      <c r="AFA27" s="90"/>
      <c r="AFB27" s="90"/>
      <c r="AFC27" s="90"/>
      <c r="AFD27" s="90"/>
      <c r="AFE27" s="90"/>
      <c r="AFF27" s="90"/>
      <c r="AFG27" s="90"/>
      <c r="AFH27" s="90"/>
      <c r="AFI27" s="90"/>
      <c r="AFJ27" s="90"/>
      <c r="AFK27" s="90"/>
      <c r="AFL27" s="90"/>
      <c r="AFM27" s="90"/>
      <c r="AFN27" s="90"/>
      <c r="AFO27" s="90"/>
      <c r="AFP27" s="90"/>
      <c r="AFQ27" s="90"/>
      <c r="AFR27" s="90"/>
      <c r="AFS27" s="90"/>
      <c r="AFT27" s="90"/>
      <c r="AFU27" s="90"/>
      <c r="AFV27" s="90"/>
      <c r="AFW27" s="90"/>
      <c r="AFX27" s="90"/>
      <c r="AFY27" s="90"/>
      <c r="AFZ27" s="90"/>
      <c r="AGA27" s="90"/>
      <c r="AGB27" s="90"/>
      <c r="AGC27" s="90"/>
      <c r="AGD27" s="90"/>
      <c r="AGE27" s="90"/>
      <c r="AGF27" s="90"/>
      <c r="AGG27" s="90"/>
      <c r="AGH27" s="90"/>
      <c r="AGI27" s="90"/>
      <c r="AGJ27" s="90"/>
      <c r="AGK27" s="90"/>
      <c r="AGL27" s="90"/>
      <c r="AGM27" s="90"/>
      <c r="AGN27" s="90"/>
      <c r="AGO27" s="90"/>
      <c r="AGP27" s="90"/>
      <c r="AGQ27" s="90"/>
      <c r="AGR27" s="90"/>
      <c r="AGS27" s="90"/>
      <c r="AGT27" s="90"/>
      <c r="AGU27" s="90"/>
      <c r="AGV27" s="90"/>
      <c r="AGW27" s="90"/>
      <c r="AGX27" s="90"/>
      <c r="AGY27" s="90"/>
      <c r="AGZ27" s="90"/>
      <c r="AHA27" s="90"/>
      <c r="AHB27" s="90"/>
      <c r="AHC27" s="90"/>
      <c r="AHD27" s="90"/>
      <c r="AHE27" s="90"/>
      <c r="AHF27" s="90"/>
      <c r="AHG27" s="90"/>
      <c r="AHH27" s="90"/>
      <c r="AHI27" s="90"/>
      <c r="AHJ27" s="90"/>
      <c r="AHK27" s="90"/>
      <c r="AHL27" s="90"/>
      <c r="AHM27" s="90"/>
      <c r="AHN27" s="90"/>
      <c r="AHO27" s="90"/>
      <c r="AHP27" s="90"/>
      <c r="AHQ27" s="90"/>
      <c r="AHR27" s="90"/>
      <c r="AHS27" s="90"/>
      <c r="AHT27" s="90"/>
      <c r="AHU27" s="90"/>
      <c r="AHV27" s="90"/>
      <c r="AHW27" s="90"/>
      <c r="AHX27" s="90"/>
      <c r="AHY27" s="90"/>
      <c r="AHZ27" s="90"/>
      <c r="AIA27" s="90"/>
      <c r="AIB27" s="90"/>
      <c r="AIC27" s="90"/>
      <c r="AID27" s="90"/>
      <c r="AIE27" s="90"/>
      <c r="AIF27" s="90"/>
      <c r="AIG27" s="90"/>
      <c r="AIH27" s="90"/>
      <c r="AII27" s="90"/>
      <c r="AIJ27" s="90"/>
      <c r="AIK27" s="90"/>
      <c r="AIL27" s="90"/>
      <c r="AIM27" s="90"/>
      <c r="AIN27" s="90"/>
      <c r="AIO27" s="90"/>
      <c r="AIP27" s="90"/>
      <c r="AIQ27" s="90"/>
      <c r="AIR27" s="90"/>
      <c r="AIS27" s="90"/>
      <c r="AIT27" s="90"/>
      <c r="AIU27" s="90"/>
      <c r="AIV27" s="90"/>
      <c r="AIW27" s="90"/>
      <c r="AIX27" s="90"/>
      <c r="AIY27" s="90"/>
      <c r="AIZ27" s="90"/>
      <c r="AJA27" s="90"/>
      <c r="AJB27" s="90"/>
      <c r="AJC27" s="90"/>
      <c r="AJD27" s="90"/>
      <c r="AJE27" s="90"/>
      <c r="AJF27" s="90"/>
      <c r="AJG27" s="90"/>
      <c r="AJH27" s="90"/>
      <c r="AJI27" s="90"/>
      <c r="AJJ27" s="90"/>
      <c r="AJK27" s="90"/>
      <c r="AJL27" s="90"/>
      <c r="AJM27" s="90"/>
      <c r="AJN27" s="90"/>
      <c r="AJO27" s="90"/>
      <c r="AJP27" s="90"/>
      <c r="AJQ27" s="90"/>
      <c r="AJR27" s="90"/>
      <c r="AJS27" s="90"/>
      <c r="AJT27" s="90"/>
      <c r="AJU27" s="90"/>
      <c r="AJV27" s="90"/>
      <c r="AJW27" s="90"/>
      <c r="AJX27" s="90"/>
      <c r="AJY27" s="90"/>
      <c r="AJZ27" s="90"/>
      <c r="AKA27" s="90"/>
      <c r="AKB27" s="90"/>
      <c r="AKC27" s="90"/>
      <c r="AKD27" s="90"/>
      <c r="AKE27" s="90"/>
      <c r="AKF27" s="90"/>
      <c r="AKG27" s="90"/>
      <c r="AKH27" s="90"/>
      <c r="AKI27" s="90"/>
      <c r="AKJ27" s="90"/>
      <c r="AKK27" s="90"/>
      <c r="AKL27" s="90"/>
      <c r="AKM27" s="90"/>
      <c r="AKN27" s="90"/>
      <c r="AKO27" s="90"/>
      <c r="AKP27" s="90"/>
      <c r="AKQ27" s="90"/>
      <c r="AKR27" s="90"/>
      <c r="AKS27" s="90"/>
      <c r="AKT27" s="90"/>
      <c r="AKU27" s="90"/>
      <c r="AKV27" s="90"/>
      <c r="AKW27" s="90"/>
      <c r="AKX27" s="90"/>
      <c r="AKY27" s="90"/>
      <c r="AKZ27" s="90"/>
      <c r="ALA27" s="90"/>
      <c r="ALB27" s="90"/>
      <c r="ALC27" s="90"/>
      <c r="ALD27" s="90"/>
      <c r="ALE27" s="90"/>
      <c r="ALF27" s="90"/>
      <c r="ALG27" s="90"/>
      <c r="ALH27" s="90"/>
      <c r="ALI27" s="90"/>
      <c r="ALJ27" s="90"/>
      <c r="ALK27" s="90"/>
      <c r="ALL27" s="90"/>
      <c r="ALM27" s="90"/>
      <c r="ALN27" s="90"/>
      <c r="ALO27" s="90"/>
      <c r="ALP27" s="90"/>
      <c r="ALQ27" s="90"/>
      <c r="ALR27" s="90"/>
      <c r="ALS27" s="90"/>
      <c r="ALT27" s="90"/>
      <c r="ALU27" s="90"/>
      <c r="ALV27" s="90"/>
      <c r="ALW27" s="90"/>
      <c r="ALX27" s="90"/>
      <c r="ALY27" s="90"/>
      <c r="ALZ27" s="90"/>
      <c r="AMA27" s="90"/>
      <c r="AMB27" s="90"/>
      <c r="AMC27" s="90"/>
    </row>
    <row r="28" spans="1:1017">
      <c r="A28" s="98" t="s">
        <v>25</v>
      </c>
      <c r="B28" s="648" t="s">
        <v>548</v>
      </c>
      <c r="Q28" s="91">
        <f t="shared" si="640"/>
        <v>0</v>
      </c>
      <c r="R28" s="91">
        <f t="shared" si="641"/>
        <v>0</v>
      </c>
      <c r="S28" s="98">
        <v>1150</v>
      </c>
      <c r="T28" s="98">
        <v>402500</v>
      </c>
      <c r="AG28" s="91">
        <f t="shared" si="642"/>
        <v>1150</v>
      </c>
      <c r="AH28" s="91">
        <f t="shared" si="643"/>
        <v>402500</v>
      </c>
      <c r="AW28" s="91">
        <f t="shared" si="644"/>
        <v>0</v>
      </c>
      <c r="AX28" s="91">
        <f t="shared" si="645"/>
        <v>0</v>
      </c>
      <c r="BM28" s="91">
        <f t="shared" si="646"/>
        <v>0</v>
      </c>
      <c r="BN28" s="91">
        <f t="shared" si="647"/>
        <v>0</v>
      </c>
      <c r="CC28" s="91">
        <f t="shared" si="648"/>
        <v>0</v>
      </c>
      <c r="CD28" s="91">
        <f t="shared" si="649"/>
        <v>0</v>
      </c>
      <c r="CS28" s="91">
        <f t="shared" si="650"/>
        <v>0</v>
      </c>
      <c r="CT28" s="91">
        <f t="shared" si="651"/>
        <v>0</v>
      </c>
      <c r="DI28" s="91">
        <f t="shared" si="652"/>
        <v>0</v>
      </c>
      <c r="DJ28" s="91">
        <f t="shared" si="653"/>
        <v>0</v>
      </c>
      <c r="DY28" s="91">
        <f t="shared" si="654"/>
        <v>0</v>
      </c>
      <c r="DZ28" s="91">
        <f t="shared" si="655"/>
        <v>0</v>
      </c>
      <c r="EO28" s="91">
        <f t="shared" si="656"/>
        <v>0</v>
      </c>
      <c r="EP28" s="91">
        <f t="shared" si="657"/>
        <v>0</v>
      </c>
      <c r="FE28" s="91">
        <f t="shared" si="658"/>
        <v>0</v>
      </c>
      <c r="FF28" s="91">
        <f t="shared" si="659"/>
        <v>0</v>
      </c>
      <c r="FU28" s="91">
        <f t="shared" si="660"/>
        <v>0</v>
      </c>
      <c r="FV28" s="91">
        <f t="shared" si="661"/>
        <v>0</v>
      </c>
      <c r="GK28" s="91">
        <f t="shared" si="662"/>
        <v>0</v>
      </c>
      <c r="GL28" s="91">
        <f t="shared" si="663"/>
        <v>0</v>
      </c>
      <c r="HA28" s="91">
        <f t="shared" si="664"/>
        <v>0</v>
      </c>
      <c r="HB28" s="91">
        <f t="shared" si="665"/>
        <v>0</v>
      </c>
      <c r="HQ28" s="91">
        <f t="shared" si="666"/>
        <v>0</v>
      </c>
      <c r="HR28" s="91">
        <f t="shared" si="667"/>
        <v>0</v>
      </c>
      <c r="IG28" s="91">
        <f t="shared" si="668"/>
        <v>0</v>
      </c>
      <c r="IH28" s="91">
        <f t="shared" si="669"/>
        <v>0</v>
      </c>
      <c r="IW28" s="91">
        <f t="shared" si="670"/>
        <v>0</v>
      </c>
      <c r="IX28" s="91">
        <f t="shared" si="671"/>
        <v>0</v>
      </c>
      <c r="JM28" s="91">
        <f t="shared" si="672"/>
        <v>0</v>
      </c>
      <c r="JN28" s="91">
        <f t="shared" si="673"/>
        <v>0</v>
      </c>
      <c r="KC28" s="91">
        <f t="shared" si="674"/>
        <v>0</v>
      </c>
      <c r="KD28" s="91">
        <f t="shared" si="675"/>
        <v>0</v>
      </c>
      <c r="KS28" s="91">
        <f t="shared" si="676"/>
        <v>0</v>
      </c>
      <c r="KT28" s="91">
        <f t="shared" si="677"/>
        <v>0</v>
      </c>
      <c r="LI28" s="91">
        <f t="shared" si="678"/>
        <v>0</v>
      </c>
      <c r="LJ28" s="91">
        <f t="shared" si="679"/>
        <v>0</v>
      </c>
      <c r="LY28" s="91">
        <f t="shared" si="680"/>
        <v>0</v>
      </c>
      <c r="LZ28" s="91">
        <f t="shared" si="681"/>
        <v>0</v>
      </c>
      <c r="MO28" s="91">
        <f t="shared" si="682"/>
        <v>0</v>
      </c>
      <c r="MP28" s="91">
        <f t="shared" si="683"/>
        <v>0</v>
      </c>
      <c r="NE28" s="91">
        <f t="shared" si="684"/>
        <v>0</v>
      </c>
      <c r="NF28" s="91">
        <f t="shared" si="685"/>
        <v>0</v>
      </c>
      <c r="NU28" s="91">
        <f t="shared" si="686"/>
        <v>0</v>
      </c>
      <c r="NV28" s="91">
        <f t="shared" si="687"/>
        <v>0</v>
      </c>
      <c r="NW28" s="98">
        <v>175</v>
      </c>
      <c r="NX28" s="98">
        <v>52500</v>
      </c>
      <c r="OK28" s="91">
        <f t="shared" si="688"/>
        <v>175</v>
      </c>
      <c r="OL28" s="91">
        <f t="shared" si="689"/>
        <v>52500</v>
      </c>
      <c r="PA28" s="91">
        <f t="shared" si="690"/>
        <v>0</v>
      </c>
      <c r="PB28" s="91">
        <f t="shared" si="691"/>
        <v>0</v>
      </c>
      <c r="PQ28" s="91">
        <f t="shared" si="692"/>
        <v>0</v>
      </c>
      <c r="PR28" s="91">
        <f t="shared" si="693"/>
        <v>0</v>
      </c>
      <c r="QG28" s="91">
        <f t="shared" si="694"/>
        <v>0</v>
      </c>
      <c r="QH28" s="91">
        <f t="shared" si="695"/>
        <v>0</v>
      </c>
      <c r="QW28" s="91">
        <f t="shared" si="696"/>
        <v>0</v>
      </c>
      <c r="QX28" s="91">
        <f t="shared" si="697"/>
        <v>0</v>
      </c>
      <c r="RM28" s="91">
        <f t="shared" si="698"/>
        <v>0</v>
      </c>
      <c r="RN28" s="91">
        <f t="shared" si="699"/>
        <v>0</v>
      </c>
      <c r="SC28" s="91">
        <f t="shared" si="700"/>
        <v>0</v>
      </c>
      <c r="SD28" s="91">
        <f t="shared" si="701"/>
        <v>0</v>
      </c>
      <c r="SS28" s="91">
        <f t="shared" si="702"/>
        <v>0</v>
      </c>
      <c r="ST28" s="91">
        <f t="shared" si="703"/>
        <v>0</v>
      </c>
      <c r="TI28" s="91">
        <f t="shared" si="704"/>
        <v>0</v>
      </c>
      <c r="TJ28" s="91">
        <f t="shared" si="705"/>
        <v>0</v>
      </c>
      <c r="TY28" s="91">
        <f t="shared" si="706"/>
        <v>0</v>
      </c>
      <c r="TZ28" s="91">
        <f t="shared" si="707"/>
        <v>0</v>
      </c>
      <c r="UO28" s="91">
        <f t="shared" si="708"/>
        <v>0</v>
      </c>
      <c r="UP28" s="91">
        <f t="shared" si="637"/>
        <v>0</v>
      </c>
      <c r="VE28" s="91">
        <f t="shared" si="709"/>
        <v>0</v>
      </c>
      <c r="VF28" s="91">
        <f t="shared" si="710"/>
        <v>0</v>
      </c>
      <c r="VU28" s="91">
        <f t="shared" si="711"/>
        <v>0</v>
      </c>
      <c r="VV28" s="91">
        <f t="shared" si="712"/>
        <v>0</v>
      </c>
      <c r="WK28" s="91">
        <f t="shared" si="713"/>
        <v>0</v>
      </c>
      <c r="WL28" s="91">
        <f t="shared" si="714"/>
        <v>0</v>
      </c>
      <c r="WM28" s="89"/>
      <c r="WN28" s="87">
        <f t="shared" si="715"/>
        <v>1325</v>
      </c>
      <c r="WO28" s="87">
        <f t="shared" si="716"/>
        <v>455000</v>
      </c>
      <c r="WP28" s="87">
        <f t="shared" si="717"/>
        <v>0</v>
      </c>
      <c r="WQ28" s="87">
        <f t="shared" si="718"/>
        <v>0</v>
      </c>
      <c r="WR28" s="87">
        <f t="shared" si="719"/>
        <v>0</v>
      </c>
      <c r="WS28" s="87">
        <f t="shared" si="720"/>
        <v>0</v>
      </c>
      <c r="WT28" s="87">
        <f t="shared" si="721"/>
        <v>0</v>
      </c>
      <c r="WU28" s="87">
        <f t="shared" si="722"/>
        <v>0</v>
      </c>
      <c r="WV28" s="87">
        <f t="shared" si="723"/>
        <v>0</v>
      </c>
      <c r="WW28" s="87">
        <f t="shared" si="724"/>
        <v>0</v>
      </c>
      <c r="WX28" s="87">
        <f t="shared" si="725"/>
        <v>0</v>
      </c>
      <c r="WY28" s="87">
        <f t="shared" si="726"/>
        <v>0</v>
      </c>
      <c r="WZ28" s="87">
        <f t="shared" si="727"/>
        <v>0</v>
      </c>
      <c r="XA28" s="87">
        <f t="shared" si="728"/>
        <v>0</v>
      </c>
      <c r="XB28" s="92">
        <f t="shared" si="729"/>
        <v>1325</v>
      </c>
      <c r="XC28" s="92">
        <f t="shared" si="730"/>
        <v>455000</v>
      </c>
      <c r="XD28" s="89"/>
      <c r="XE28" s="92">
        <f t="shared" si="638"/>
        <v>3735</v>
      </c>
      <c r="XF28" s="92">
        <f t="shared" si="639"/>
        <v>1281000</v>
      </c>
      <c r="XG28" s="89"/>
      <c r="XH28" s="92">
        <f t="shared" ref="XH28:XI28" si="760">SUM(XE28,XE66)</f>
        <v>7025</v>
      </c>
      <c r="XI28" s="92">
        <f t="shared" si="760"/>
        <v>2432500</v>
      </c>
      <c r="XJ28" s="89"/>
      <c r="XK28" s="87">
        <f t="shared" si="732"/>
        <v>12733</v>
      </c>
      <c r="XL28" s="87">
        <f t="shared" si="733"/>
        <v>0</v>
      </c>
      <c r="XM28" s="87">
        <f t="shared" si="734"/>
        <v>0</v>
      </c>
      <c r="XN28" s="87">
        <f t="shared" si="735"/>
        <v>0</v>
      </c>
      <c r="XO28" s="87">
        <f t="shared" si="736"/>
        <v>0</v>
      </c>
      <c r="XP28" s="87">
        <f t="shared" si="737"/>
        <v>0</v>
      </c>
      <c r="XQ28" s="87">
        <f t="shared" si="738"/>
        <v>0</v>
      </c>
      <c r="XR28" s="92">
        <f t="shared" si="739"/>
        <v>12733</v>
      </c>
      <c r="XS28" s="89"/>
      <c r="XT28" s="87">
        <f t="shared" si="740"/>
        <v>4328440</v>
      </c>
      <c r="XU28" s="87">
        <f t="shared" si="741"/>
        <v>0</v>
      </c>
      <c r="XV28" s="87">
        <f t="shared" si="742"/>
        <v>0</v>
      </c>
      <c r="XW28" s="87">
        <f t="shared" si="743"/>
        <v>0</v>
      </c>
      <c r="XX28" s="87">
        <f t="shared" si="744"/>
        <v>0</v>
      </c>
      <c r="XY28" s="87">
        <f t="shared" si="745"/>
        <v>0</v>
      </c>
      <c r="XZ28" s="87">
        <f t="shared" si="746"/>
        <v>0</v>
      </c>
      <c r="YA28" s="92">
        <f t="shared" si="747"/>
        <v>4328440</v>
      </c>
      <c r="YB28" s="90"/>
      <c r="YC28" s="90"/>
      <c r="YD28" s="90"/>
      <c r="YE28" s="90"/>
      <c r="YF28" s="90"/>
      <c r="YG28" s="90"/>
      <c r="YH28" s="90"/>
      <c r="YI28" s="90"/>
      <c r="YJ28" s="90"/>
      <c r="YK28" s="90"/>
      <c r="YL28" s="90"/>
      <c r="YM28" s="90"/>
      <c r="YN28" s="90"/>
      <c r="YO28" s="90"/>
      <c r="YP28" s="90"/>
      <c r="YQ28" s="90"/>
      <c r="YR28" s="90"/>
      <c r="YS28" s="90"/>
      <c r="YT28" s="90"/>
      <c r="YU28" s="90"/>
      <c r="YV28" s="90"/>
      <c r="YW28" s="90"/>
      <c r="YX28" s="90"/>
      <c r="YY28" s="90"/>
      <c r="YZ28" s="90"/>
      <c r="ZA28" s="90"/>
      <c r="ZB28" s="90"/>
      <c r="ZC28" s="90"/>
      <c r="ZD28" s="90"/>
      <c r="ZE28" s="90"/>
      <c r="ZF28" s="90"/>
      <c r="ZG28" s="90"/>
      <c r="ZH28" s="90"/>
      <c r="ZI28" s="90"/>
      <c r="ZJ28" s="90"/>
      <c r="ZK28" s="90"/>
      <c r="ZL28" s="90"/>
      <c r="ZM28" s="90"/>
      <c r="ZN28" s="90"/>
      <c r="ZO28" s="90"/>
      <c r="ZP28" s="90"/>
      <c r="ZQ28" s="90"/>
      <c r="ZR28" s="90"/>
      <c r="ZS28" s="90"/>
      <c r="ZT28" s="90"/>
      <c r="ZU28" s="90"/>
      <c r="ZV28" s="90"/>
      <c r="ZW28" s="90"/>
      <c r="ZX28" s="90"/>
      <c r="ZY28" s="90"/>
      <c r="ZZ28" s="90"/>
      <c r="AAA28" s="90"/>
      <c r="AAB28" s="90"/>
      <c r="AAC28" s="90"/>
      <c r="AAD28" s="90"/>
      <c r="AAE28" s="90"/>
      <c r="AAF28" s="90"/>
      <c r="AAG28" s="90"/>
      <c r="AAH28" s="90"/>
      <c r="AAI28" s="90"/>
      <c r="AAJ28" s="90"/>
      <c r="AAK28" s="90"/>
      <c r="AAL28" s="90"/>
      <c r="AAM28" s="90"/>
      <c r="AAN28" s="90"/>
      <c r="AAO28" s="90"/>
      <c r="AAP28" s="90"/>
      <c r="AAQ28" s="90"/>
      <c r="AAR28" s="90"/>
      <c r="AAS28" s="90"/>
      <c r="AAT28" s="90"/>
      <c r="AAU28" s="90"/>
      <c r="AAV28" s="90"/>
      <c r="AAW28" s="90"/>
      <c r="AAX28" s="90"/>
      <c r="AAY28" s="90"/>
      <c r="AAZ28" s="90"/>
      <c r="ABA28" s="90"/>
      <c r="ABB28" s="90"/>
      <c r="ABC28" s="90"/>
      <c r="ABD28" s="90"/>
      <c r="ABE28" s="90"/>
      <c r="ABF28" s="90"/>
      <c r="ABG28" s="90"/>
      <c r="ABH28" s="90"/>
      <c r="ABI28" s="90"/>
      <c r="ABJ28" s="90"/>
      <c r="ABK28" s="90"/>
      <c r="ABL28" s="90"/>
      <c r="ABM28" s="90"/>
      <c r="ABN28" s="90"/>
      <c r="ABO28" s="90"/>
      <c r="ABP28" s="90"/>
      <c r="ABQ28" s="90"/>
      <c r="ABR28" s="90"/>
      <c r="ABS28" s="90"/>
      <c r="ABT28" s="90"/>
      <c r="ABU28" s="90"/>
      <c r="ABV28" s="90"/>
      <c r="ABW28" s="90"/>
      <c r="ABX28" s="90"/>
      <c r="ABY28" s="90"/>
      <c r="ABZ28" s="90"/>
      <c r="ACA28" s="90"/>
      <c r="ACB28" s="90"/>
      <c r="ACC28" s="90"/>
      <c r="ACD28" s="90"/>
      <c r="ACE28" s="90"/>
      <c r="ACF28" s="90"/>
      <c r="ACG28" s="90"/>
      <c r="ACH28" s="90"/>
      <c r="ACI28" s="90"/>
      <c r="ACJ28" s="90"/>
      <c r="ACK28" s="90"/>
      <c r="ACL28" s="90"/>
      <c r="ACM28" s="90"/>
      <c r="ACN28" s="90"/>
      <c r="ACO28" s="90"/>
      <c r="ACP28" s="90"/>
      <c r="ACQ28" s="90"/>
      <c r="ACR28" s="90"/>
      <c r="ACS28" s="90"/>
      <c r="ACT28" s="90"/>
      <c r="ACU28" s="90"/>
      <c r="ACV28" s="90"/>
      <c r="ACW28" s="90"/>
      <c r="ACX28" s="90"/>
      <c r="ACY28" s="90"/>
      <c r="ACZ28" s="90"/>
      <c r="ADA28" s="90"/>
      <c r="ADB28" s="90"/>
      <c r="ADC28" s="90"/>
      <c r="ADD28" s="90"/>
      <c r="ADE28" s="90"/>
      <c r="ADF28" s="90"/>
      <c r="ADG28" s="90"/>
      <c r="ADH28" s="90"/>
      <c r="ADI28" s="90"/>
      <c r="ADJ28" s="90"/>
      <c r="ADK28" s="90"/>
      <c r="ADL28" s="90"/>
      <c r="ADM28" s="90"/>
      <c r="ADN28" s="90"/>
      <c r="ADO28" s="90"/>
      <c r="ADP28" s="90"/>
      <c r="ADQ28" s="90"/>
      <c r="ADR28" s="90"/>
      <c r="ADS28" s="90"/>
      <c r="ADT28" s="90"/>
      <c r="ADU28" s="90"/>
      <c r="ADV28" s="90"/>
      <c r="ADW28" s="90"/>
      <c r="ADX28" s="90"/>
      <c r="ADY28" s="90"/>
      <c r="ADZ28" s="90"/>
      <c r="AEA28" s="90"/>
      <c r="AEB28" s="90"/>
      <c r="AEC28" s="90"/>
      <c r="AED28" s="90"/>
      <c r="AEE28" s="90"/>
      <c r="AEF28" s="90"/>
      <c r="AEG28" s="90"/>
      <c r="AEH28" s="90"/>
      <c r="AEI28" s="90"/>
      <c r="AEJ28" s="90"/>
      <c r="AEK28" s="90"/>
      <c r="AEL28" s="90"/>
      <c r="AEM28" s="90"/>
      <c r="AEN28" s="90"/>
      <c r="AEO28" s="90"/>
      <c r="AEP28" s="90"/>
      <c r="AEQ28" s="90"/>
      <c r="AER28" s="90"/>
      <c r="AES28" s="90"/>
      <c r="AET28" s="90"/>
      <c r="AEU28" s="90"/>
      <c r="AEV28" s="90"/>
      <c r="AEW28" s="90"/>
      <c r="AEX28" s="90"/>
      <c r="AEY28" s="90"/>
      <c r="AEZ28" s="90"/>
      <c r="AFA28" s="90"/>
      <c r="AFB28" s="90"/>
      <c r="AFC28" s="90"/>
      <c r="AFD28" s="90"/>
      <c r="AFE28" s="90"/>
      <c r="AFF28" s="90"/>
      <c r="AFG28" s="90"/>
      <c r="AFH28" s="90"/>
      <c r="AFI28" s="90"/>
      <c r="AFJ28" s="90"/>
      <c r="AFK28" s="90"/>
      <c r="AFL28" s="90"/>
      <c r="AFM28" s="90"/>
      <c r="AFN28" s="90"/>
      <c r="AFO28" s="90"/>
      <c r="AFP28" s="90"/>
      <c r="AFQ28" s="90"/>
      <c r="AFR28" s="90"/>
      <c r="AFS28" s="90"/>
      <c r="AFT28" s="90"/>
      <c r="AFU28" s="90"/>
      <c r="AFV28" s="90"/>
      <c r="AFW28" s="90"/>
      <c r="AFX28" s="90"/>
      <c r="AFY28" s="90"/>
      <c r="AFZ28" s="90"/>
      <c r="AGA28" s="90"/>
      <c r="AGB28" s="90"/>
      <c r="AGC28" s="90"/>
      <c r="AGD28" s="90"/>
      <c r="AGE28" s="90"/>
      <c r="AGF28" s="90"/>
      <c r="AGG28" s="90"/>
      <c r="AGH28" s="90"/>
      <c r="AGI28" s="90"/>
      <c r="AGJ28" s="90"/>
      <c r="AGK28" s="90"/>
      <c r="AGL28" s="90"/>
      <c r="AGM28" s="90"/>
      <c r="AGN28" s="90"/>
      <c r="AGO28" s="90"/>
      <c r="AGP28" s="90"/>
      <c r="AGQ28" s="90"/>
      <c r="AGR28" s="90"/>
      <c r="AGS28" s="90"/>
      <c r="AGT28" s="90"/>
      <c r="AGU28" s="90"/>
      <c r="AGV28" s="90"/>
      <c r="AGW28" s="90"/>
      <c r="AGX28" s="90"/>
      <c r="AGY28" s="90"/>
      <c r="AGZ28" s="90"/>
      <c r="AHA28" s="90"/>
      <c r="AHB28" s="90"/>
      <c r="AHC28" s="90"/>
      <c r="AHD28" s="90"/>
      <c r="AHE28" s="90"/>
      <c r="AHF28" s="90"/>
      <c r="AHG28" s="90"/>
      <c r="AHH28" s="90"/>
      <c r="AHI28" s="90"/>
      <c r="AHJ28" s="90"/>
      <c r="AHK28" s="90"/>
      <c r="AHL28" s="90"/>
      <c r="AHM28" s="90"/>
      <c r="AHN28" s="90"/>
      <c r="AHO28" s="90"/>
      <c r="AHP28" s="90"/>
      <c r="AHQ28" s="90"/>
      <c r="AHR28" s="90"/>
      <c r="AHS28" s="90"/>
      <c r="AHT28" s="90"/>
      <c r="AHU28" s="90"/>
      <c r="AHV28" s="90"/>
      <c r="AHW28" s="90"/>
      <c r="AHX28" s="90"/>
      <c r="AHY28" s="90"/>
      <c r="AHZ28" s="90"/>
      <c r="AIA28" s="90"/>
      <c r="AIB28" s="90"/>
      <c r="AIC28" s="90"/>
      <c r="AID28" s="90"/>
      <c r="AIE28" s="90"/>
      <c r="AIF28" s="90"/>
      <c r="AIG28" s="90"/>
      <c r="AIH28" s="90"/>
      <c r="AII28" s="90"/>
      <c r="AIJ28" s="90"/>
      <c r="AIK28" s="90"/>
      <c r="AIL28" s="90"/>
      <c r="AIM28" s="90"/>
      <c r="AIN28" s="90"/>
      <c r="AIO28" s="90"/>
      <c r="AIP28" s="90"/>
      <c r="AIQ28" s="90"/>
      <c r="AIR28" s="90"/>
      <c r="AIS28" s="90"/>
      <c r="AIT28" s="90"/>
      <c r="AIU28" s="90"/>
      <c r="AIV28" s="90"/>
      <c r="AIW28" s="90"/>
      <c r="AIX28" s="90"/>
      <c r="AIY28" s="90"/>
      <c r="AIZ28" s="90"/>
      <c r="AJA28" s="90"/>
      <c r="AJB28" s="90"/>
      <c r="AJC28" s="90"/>
      <c r="AJD28" s="90"/>
      <c r="AJE28" s="90"/>
      <c r="AJF28" s="90"/>
      <c r="AJG28" s="90"/>
      <c r="AJH28" s="90"/>
      <c r="AJI28" s="90"/>
      <c r="AJJ28" s="90"/>
      <c r="AJK28" s="90"/>
      <c r="AJL28" s="90"/>
      <c r="AJM28" s="90"/>
      <c r="AJN28" s="90"/>
      <c r="AJO28" s="90"/>
      <c r="AJP28" s="90"/>
      <c r="AJQ28" s="90"/>
      <c r="AJR28" s="90"/>
      <c r="AJS28" s="90"/>
      <c r="AJT28" s="90"/>
      <c r="AJU28" s="90"/>
      <c r="AJV28" s="90"/>
      <c r="AJW28" s="90"/>
      <c r="AJX28" s="90"/>
      <c r="AJY28" s="90"/>
      <c r="AJZ28" s="90"/>
      <c r="AKA28" s="90"/>
      <c r="AKB28" s="90"/>
      <c r="AKC28" s="90"/>
      <c r="AKD28" s="90"/>
      <c r="AKE28" s="90"/>
      <c r="AKF28" s="90"/>
      <c r="AKG28" s="90"/>
      <c r="AKH28" s="90"/>
      <c r="AKI28" s="90"/>
      <c r="AKJ28" s="90"/>
      <c r="AKK28" s="90"/>
      <c r="AKL28" s="90"/>
      <c r="AKM28" s="90"/>
      <c r="AKN28" s="90"/>
      <c r="AKO28" s="90"/>
      <c r="AKP28" s="90"/>
      <c r="AKQ28" s="90"/>
      <c r="AKR28" s="90"/>
      <c r="AKS28" s="90"/>
      <c r="AKT28" s="90"/>
      <c r="AKU28" s="90"/>
      <c r="AKV28" s="90"/>
      <c r="AKW28" s="90"/>
      <c r="AKX28" s="90"/>
      <c r="AKY28" s="90"/>
      <c r="AKZ28" s="90"/>
      <c r="ALA28" s="90"/>
      <c r="ALB28" s="90"/>
      <c r="ALC28" s="90"/>
      <c r="ALD28" s="90"/>
      <c r="ALE28" s="90"/>
      <c r="ALF28" s="90"/>
      <c r="ALG28" s="90"/>
      <c r="ALH28" s="90"/>
      <c r="ALI28" s="90"/>
      <c r="ALJ28" s="90"/>
      <c r="ALK28" s="90"/>
      <c r="ALL28" s="90"/>
      <c r="ALM28" s="90"/>
      <c r="ALN28" s="90"/>
      <c r="ALO28" s="90"/>
      <c r="ALP28" s="90"/>
      <c r="ALQ28" s="90"/>
      <c r="ALR28" s="90"/>
      <c r="ALS28" s="90"/>
      <c r="ALT28" s="90"/>
      <c r="ALU28" s="90"/>
      <c r="ALV28" s="90"/>
      <c r="ALW28" s="90"/>
      <c r="ALX28" s="90"/>
      <c r="ALY28" s="90"/>
      <c r="ALZ28" s="90"/>
      <c r="AMA28" s="90"/>
      <c r="AMB28" s="90"/>
      <c r="AMC28" s="90"/>
    </row>
    <row r="29" spans="1:1017">
      <c r="A29" s="98" t="s">
        <v>25</v>
      </c>
      <c r="B29" s="648" t="s">
        <v>549</v>
      </c>
      <c r="Q29" s="91">
        <f t="shared" si="640"/>
        <v>0</v>
      </c>
      <c r="R29" s="91">
        <f t="shared" si="641"/>
        <v>0</v>
      </c>
      <c r="AG29" s="91">
        <f t="shared" si="642"/>
        <v>0</v>
      </c>
      <c r="AH29" s="91">
        <f t="shared" si="643"/>
        <v>0</v>
      </c>
      <c r="AW29" s="91">
        <f t="shared" si="644"/>
        <v>0</v>
      </c>
      <c r="AX29" s="91">
        <f t="shared" si="645"/>
        <v>0</v>
      </c>
      <c r="BM29" s="91">
        <f t="shared" si="646"/>
        <v>0</v>
      </c>
      <c r="BN29" s="91">
        <f t="shared" si="647"/>
        <v>0</v>
      </c>
      <c r="CC29" s="91">
        <f t="shared" si="648"/>
        <v>0</v>
      </c>
      <c r="CD29" s="91">
        <f t="shared" si="649"/>
        <v>0</v>
      </c>
      <c r="CS29" s="91">
        <f t="shared" si="650"/>
        <v>0</v>
      </c>
      <c r="CT29" s="91">
        <f t="shared" si="651"/>
        <v>0</v>
      </c>
      <c r="DI29" s="91">
        <f t="shared" si="652"/>
        <v>0</v>
      </c>
      <c r="DJ29" s="91">
        <f t="shared" si="653"/>
        <v>0</v>
      </c>
      <c r="DY29" s="91">
        <f t="shared" si="654"/>
        <v>0</v>
      </c>
      <c r="DZ29" s="91">
        <f t="shared" si="655"/>
        <v>0</v>
      </c>
      <c r="EO29" s="91">
        <f t="shared" si="656"/>
        <v>0</v>
      </c>
      <c r="EP29" s="91">
        <f t="shared" si="657"/>
        <v>0</v>
      </c>
      <c r="FE29" s="91">
        <f t="shared" si="658"/>
        <v>0</v>
      </c>
      <c r="FF29" s="91">
        <f t="shared" si="659"/>
        <v>0</v>
      </c>
      <c r="FU29" s="91">
        <f t="shared" si="660"/>
        <v>0</v>
      </c>
      <c r="FV29" s="91">
        <f t="shared" si="661"/>
        <v>0</v>
      </c>
      <c r="GK29" s="91">
        <f t="shared" si="662"/>
        <v>0</v>
      </c>
      <c r="GL29" s="91">
        <f t="shared" si="663"/>
        <v>0</v>
      </c>
      <c r="HA29" s="91">
        <f t="shared" si="664"/>
        <v>0</v>
      </c>
      <c r="HB29" s="91">
        <f t="shared" si="665"/>
        <v>0</v>
      </c>
      <c r="HQ29" s="91">
        <f t="shared" si="666"/>
        <v>0</v>
      </c>
      <c r="HR29" s="91">
        <f t="shared" si="667"/>
        <v>0</v>
      </c>
      <c r="IG29" s="91">
        <f t="shared" si="668"/>
        <v>0</v>
      </c>
      <c r="IH29" s="91">
        <f t="shared" si="669"/>
        <v>0</v>
      </c>
      <c r="IO29" s="98">
        <v>200</v>
      </c>
      <c r="IP29" s="98">
        <v>21000</v>
      </c>
      <c r="IW29" s="91">
        <f t="shared" si="670"/>
        <v>200</v>
      </c>
      <c r="IX29" s="91">
        <f t="shared" si="671"/>
        <v>21000</v>
      </c>
      <c r="JM29" s="91">
        <f t="shared" si="672"/>
        <v>0</v>
      </c>
      <c r="JN29" s="91">
        <f t="shared" si="673"/>
        <v>0</v>
      </c>
      <c r="KC29" s="91">
        <f t="shared" si="674"/>
        <v>0</v>
      </c>
      <c r="KD29" s="91">
        <f t="shared" si="675"/>
        <v>0</v>
      </c>
      <c r="KS29" s="91">
        <f t="shared" si="676"/>
        <v>0</v>
      </c>
      <c r="KT29" s="91">
        <f t="shared" si="677"/>
        <v>0</v>
      </c>
      <c r="LI29" s="91">
        <f t="shared" si="678"/>
        <v>0</v>
      </c>
      <c r="LJ29" s="91">
        <f t="shared" si="679"/>
        <v>0</v>
      </c>
      <c r="LY29" s="91">
        <f t="shared" si="680"/>
        <v>0</v>
      </c>
      <c r="LZ29" s="91">
        <f t="shared" si="681"/>
        <v>0</v>
      </c>
      <c r="MO29" s="91">
        <f t="shared" si="682"/>
        <v>0</v>
      </c>
      <c r="MP29" s="91">
        <f t="shared" si="683"/>
        <v>0</v>
      </c>
      <c r="NE29" s="91">
        <f t="shared" si="684"/>
        <v>0</v>
      </c>
      <c r="NF29" s="91">
        <f t="shared" si="685"/>
        <v>0</v>
      </c>
      <c r="NU29" s="91">
        <f t="shared" si="686"/>
        <v>0</v>
      </c>
      <c r="NV29" s="91">
        <f t="shared" si="687"/>
        <v>0</v>
      </c>
      <c r="OK29" s="91">
        <f t="shared" si="688"/>
        <v>0</v>
      </c>
      <c r="OL29" s="91">
        <f t="shared" si="689"/>
        <v>0</v>
      </c>
      <c r="PA29" s="91">
        <f t="shared" si="690"/>
        <v>0</v>
      </c>
      <c r="PB29" s="91">
        <f t="shared" si="691"/>
        <v>0</v>
      </c>
      <c r="PQ29" s="91">
        <f t="shared" si="692"/>
        <v>0</v>
      </c>
      <c r="PR29" s="91">
        <f t="shared" si="693"/>
        <v>0</v>
      </c>
      <c r="QG29" s="91">
        <f t="shared" si="694"/>
        <v>0</v>
      </c>
      <c r="QH29" s="91">
        <f t="shared" si="695"/>
        <v>0</v>
      </c>
      <c r="QW29" s="91">
        <f t="shared" si="696"/>
        <v>0</v>
      </c>
      <c r="QX29" s="91">
        <f t="shared" si="697"/>
        <v>0</v>
      </c>
      <c r="RM29" s="91">
        <f t="shared" si="698"/>
        <v>0</v>
      </c>
      <c r="RN29" s="91">
        <f t="shared" si="699"/>
        <v>0</v>
      </c>
      <c r="SC29" s="91">
        <f t="shared" si="700"/>
        <v>0</v>
      </c>
      <c r="SD29" s="91">
        <f t="shared" si="701"/>
        <v>0</v>
      </c>
      <c r="SS29" s="91">
        <f t="shared" si="702"/>
        <v>0</v>
      </c>
      <c r="ST29" s="91">
        <f t="shared" si="703"/>
        <v>0</v>
      </c>
      <c r="TI29" s="91">
        <f t="shared" si="704"/>
        <v>0</v>
      </c>
      <c r="TJ29" s="91">
        <f t="shared" si="705"/>
        <v>0</v>
      </c>
      <c r="TY29" s="91">
        <f t="shared" si="706"/>
        <v>0</v>
      </c>
      <c r="TZ29" s="91">
        <f t="shared" si="707"/>
        <v>0</v>
      </c>
      <c r="UO29" s="91">
        <f t="shared" si="708"/>
        <v>0</v>
      </c>
      <c r="UP29" s="91">
        <f t="shared" si="637"/>
        <v>0</v>
      </c>
      <c r="VE29" s="91">
        <f t="shared" si="709"/>
        <v>0</v>
      </c>
      <c r="VF29" s="91">
        <f t="shared" si="710"/>
        <v>0</v>
      </c>
      <c r="VU29" s="91">
        <f t="shared" si="711"/>
        <v>0</v>
      </c>
      <c r="VV29" s="91">
        <f t="shared" si="712"/>
        <v>0</v>
      </c>
      <c r="WK29" s="91">
        <f t="shared" si="713"/>
        <v>0</v>
      </c>
      <c r="WL29" s="91">
        <f t="shared" si="714"/>
        <v>0</v>
      </c>
      <c r="WM29" s="89"/>
      <c r="WN29" s="87">
        <f t="shared" si="715"/>
        <v>0</v>
      </c>
      <c r="WO29" s="87">
        <f t="shared" si="716"/>
        <v>0</v>
      </c>
      <c r="WP29" s="87">
        <f t="shared" si="717"/>
        <v>0</v>
      </c>
      <c r="WQ29" s="87">
        <f t="shared" si="718"/>
        <v>0</v>
      </c>
      <c r="WR29" s="87">
        <f t="shared" si="719"/>
        <v>0</v>
      </c>
      <c r="WS29" s="87">
        <f t="shared" si="720"/>
        <v>0</v>
      </c>
      <c r="WT29" s="87">
        <f t="shared" si="721"/>
        <v>200</v>
      </c>
      <c r="WU29" s="87">
        <f t="shared" si="722"/>
        <v>21000</v>
      </c>
      <c r="WV29" s="87">
        <f t="shared" si="723"/>
        <v>0</v>
      </c>
      <c r="WW29" s="87">
        <f t="shared" si="724"/>
        <v>0</v>
      </c>
      <c r="WX29" s="87">
        <f t="shared" si="725"/>
        <v>0</v>
      </c>
      <c r="WY29" s="87">
        <f t="shared" si="726"/>
        <v>0</v>
      </c>
      <c r="WZ29" s="87">
        <f t="shared" si="727"/>
        <v>0</v>
      </c>
      <c r="XA29" s="87">
        <f t="shared" si="728"/>
        <v>0</v>
      </c>
      <c r="XB29" s="92">
        <f t="shared" si="729"/>
        <v>200</v>
      </c>
      <c r="XC29" s="92">
        <f t="shared" si="730"/>
        <v>21000</v>
      </c>
      <c r="XD29" s="89"/>
      <c r="XE29" s="92">
        <f t="shared" si="638"/>
        <v>700</v>
      </c>
      <c r="XF29" s="92">
        <f t="shared" si="639"/>
        <v>73500</v>
      </c>
      <c r="XG29" s="89"/>
      <c r="XH29" s="92">
        <f t="shared" ref="XH29:XI29" si="761">SUM(XE29,XE67)</f>
        <v>1400</v>
      </c>
      <c r="XI29" s="92">
        <f t="shared" si="761"/>
        <v>147000</v>
      </c>
      <c r="XJ29" s="89"/>
      <c r="XK29" s="87">
        <f t="shared" si="732"/>
        <v>0</v>
      </c>
      <c r="XL29" s="87">
        <f t="shared" si="733"/>
        <v>0</v>
      </c>
      <c r="XM29" s="87">
        <f t="shared" si="734"/>
        <v>0</v>
      </c>
      <c r="XN29" s="87">
        <f t="shared" si="735"/>
        <v>2650</v>
      </c>
      <c r="XO29" s="87">
        <f t="shared" si="736"/>
        <v>0</v>
      </c>
      <c r="XP29" s="87">
        <f t="shared" si="737"/>
        <v>0</v>
      </c>
      <c r="XQ29" s="87">
        <f t="shared" si="738"/>
        <v>0</v>
      </c>
      <c r="XR29" s="92">
        <f t="shared" si="739"/>
        <v>2650</v>
      </c>
      <c r="XS29" s="89"/>
      <c r="XT29" s="87">
        <f t="shared" si="740"/>
        <v>0</v>
      </c>
      <c r="XU29" s="87">
        <f t="shared" si="741"/>
        <v>0</v>
      </c>
      <c r="XV29" s="87">
        <f t="shared" si="742"/>
        <v>0</v>
      </c>
      <c r="XW29" s="87">
        <f t="shared" si="743"/>
        <v>284500</v>
      </c>
      <c r="XX29" s="87">
        <f t="shared" si="744"/>
        <v>0</v>
      </c>
      <c r="XY29" s="87">
        <f t="shared" si="745"/>
        <v>0</v>
      </c>
      <c r="XZ29" s="87">
        <f t="shared" si="746"/>
        <v>0</v>
      </c>
      <c r="YA29" s="92">
        <f t="shared" si="747"/>
        <v>284500</v>
      </c>
      <c r="YB29" s="90"/>
      <c r="YC29" s="90"/>
      <c r="YD29" s="90"/>
      <c r="YE29" s="90"/>
      <c r="YF29" s="90"/>
      <c r="YG29" s="90"/>
      <c r="YH29" s="90"/>
      <c r="YI29" s="90"/>
      <c r="YJ29" s="90"/>
      <c r="YK29" s="90"/>
      <c r="YL29" s="90"/>
      <c r="YM29" s="90"/>
      <c r="YN29" s="90"/>
      <c r="YO29" s="90"/>
      <c r="YP29" s="90"/>
      <c r="YQ29" s="90"/>
      <c r="YR29" s="90"/>
      <c r="YS29" s="90"/>
      <c r="YT29" s="90"/>
      <c r="YU29" s="90"/>
      <c r="YV29" s="90"/>
      <c r="YW29" s="90"/>
      <c r="YX29" s="90"/>
      <c r="YY29" s="90"/>
      <c r="YZ29" s="90"/>
      <c r="ZA29" s="90"/>
      <c r="ZB29" s="90"/>
      <c r="ZC29" s="90"/>
      <c r="ZD29" s="90"/>
      <c r="ZE29" s="90"/>
      <c r="ZF29" s="90"/>
      <c r="ZG29" s="90"/>
      <c r="ZH29" s="90"/>
      <c r="ZI29" s="90"/>
      <c r="ZJ29" s="90"/>
      <c r="ZK29" s="90"/>
      <c r="ZL29" s="90"/>
      <c r="ZM29" s="90"/>
      <c r="ZN29" s="90"/>
      <c r="ZO29" s="90"/>
      <c r="ZP29" s="90"/>
      <c r="ZQ29" s="90"/>
      <c r="ZR29" s="90"/>
      <c r="ZS29" s="90"/>
      <c r="ZT29" s="90"/>
      <c r="ZU29" s="90"/>
      <c r="ZV29" s="90"/>
      <c r="ZW29" s="90"/>
      <c r="ZX29" s="90"/>
      <c r="ZY29" s="90"/>
      <c r="ZZ29" s="90"/>
      <c r="AAA29" s="90"/>
      <c r="AAB29" s="90"/>
      <c r="AAC29" s="90"/>
      <c r="AAD29" s="90"/>
      <c r="AAE29" s="90"/>
      <c r="AAF29" s="90"/>
      <c r="AAG29" s="90"/>
      <c r="AAH29" s="90"/>
      <c r="AAI29" s="90"/>
      <c r="AAJ29" s="90"/>
      <c r="AAK29" s="90"/>
      <c r="AAL29" s="90"/>
      <c r="AAM29" s="90"/>
      <c r="AAN29" s="90"/>
      <c r="AAO29" s="90"/>
      <c r="AAP29" s="90"/>
      <c r="AAQ29" s="90"/>
      <c r="AAR29" s="90"/>
      <c r="AAS29" s="90"/>
      <c r="AAT29" s="90"/>
      <c r="AAU29" s="90"/>
      <c r="AAV29" s="90"/>
      <c r="AAW29" s="90"/>
      <c r="AAX29" s="90"/>
      <c r="AAY29" s="90"/>
      <c r="AAZ29" s="90"/>
      <c r="ABA29" s="90"/>
      <c r="ABB29" s="90"/>
      <c r="ABC29" s="90"/>
      <c r="ABD29" s="90"/>
      <c r="ABE29" s="90"/>
      <c r="ABF29" s="90"/>
      <c r="ABG29" s="90"/>
      <c r="ABH29" s="90"/>
      <c r="ABI29" s="90"/>
      <c r="ABJ29" s="90"/>
      <c r="ABK29" s="90"/>
      <c r="ABL29" s="90"/>
      <c r="ABM29" s="90"/>
      <c r="ABN29" s="90"/>
      <c r="ABO29" s="90"/>
      <c r="ABP29" s="90"/>
      <c r="ABQ29" s="90"/>
      <c r="ABR29" s="90"/>
      <c r="ABS29" s="90"/>
      <c r="ABT29" s="90"/>
      <c r="ABU29" s="90"/>
      <c r="ABV29" s="90"/>
      <c r="ABW29" s="90"/>
      <c r="ABX29" s="90"/>
      <c r="ABY29" s="90"/>
      <c r="ABZ29" s="90"/>
      <c r="ACA29" s="90"/>
      <c r="ACB29" s="90"/>
      <c r="ACC29" s="90"/>
      <c r="ACD29" s="90"/>
      <c r="ACE29" s="90"/>
      <c r="ACF29" s="90"/>
      <c r="ACG29" s="90"/>
      <c r="ACH29" s="90"/>
      <c r="ACI29" s="90"/>
      <c r="ACJ29" s="90"/>
      <c r="ACK29" s="90"/>
      <c r="ACL29" s="90"/>
      <c r="ACM29" s="90"/>
      <c r="ACN29" s="90"/>
      <c r="ACO29" s="90"/>
      <c r="ACP29" s="90"/>
      <c r="ACQ29" s="90"/>
      <c r="ACR29" s="90"/>
      <c r="ACS29" s="90"/>
      <c r="ACT29" s="90"/>
      <c r="ACU29" s="90"/>
      <c r="ACV29" s="90"/>
      <c r="ACW29" s="90"/>
      <c r="ACX29" s="90"/>
      <c r="ACY29" s="90"/>
      <c r="ACZ29" s="90"/>
      <c r="ADA29" s="90"/>
      <c r="ADB29" s="90"/>
      <c r="ADC29" s="90"/>
      <c r="ADD29" s="90"/>
      <c r="ADE29" s="90"/>
      <c r="ADF29" s="90"/>
      <c r="ADG29" s="90"/>
      <c r="ADH29" s="90"/>
      <c r="ADI29" s="90"/>
      <c r="ADJ29" s="90"/>
      <c r="ADK29" s="90"/>
      <c r="ADL29" s="90"/>
      <c r="ADM29" s="90"/>
      <c r="ADN29" s="90"/>
      <c r="ADO29" s="90"/>
      <c r="ADP29" s="90"/>
      <c r="ADQ29" s="90"/>
      <c r="ADR29" s="90"/>
      <c r="ADS29" s="90"/>
      <c r="ADT29" s="90"/>
      <c r="ADU29" s="90"/>
      <c r="ADV29" s="90"/>
      <c r="ADW29" s="90"/>
      <c r="ADX29" s="90"/>
      <c r="ADY29" s="90"/>
      <c r="ADZ29" s="90"/>
      <c r="AEA29" s="90"/>
      <c r="AEB29" s="90"/>
      <c r="AEC29" s="90"/>
      <c r="AED29" s="90"/>
      <c r="AEE29" s="90"/>
      <c r="AEF29" s="90"/>
      <c r="AEG29" s="90"/>
      <c r="AEH29" s="90"/>
      <c r="AEI29" s="90"/>
      <c r="AEJ29" s="90"/>
      <c r="AEK29" s="90"/>
      <c r="AEL29" s="90"/>
      <c r="AEM29" s="90"/>
      <c r="AEN29" s="90"/>
      <c r="AEO29" s="90"/>
      <c r="AEP29" s="90"/>
      <c r="AEQ29" s="90"/>
      <c r="AER29" s="90"/>
      <c r="AES29" s="90"/>
      <c r="AET29" s="90"/>
      <c r="AEU29" s="90"/>
      <c r="AEV29" s="90"/>
      <c r="AEW29" s="90"/>
      <c r="AEX29" s="90"/>
      <c r="AEY29" s="90"/>
      <c r="AEZ29" s="90"/>
      <c r="AFA29" s="90"/>
      <c r="AFB29" s="90"/>
      <c r="AFC29" s="90"/>
      <c r="AFD29" s="90"/>
      <c r="AFE29" s="90"/>
      <c r="AFF29" s="90"/>
      <c r="AFG29" s="90"/>
      <c r="AFH29" s="90"/>
      <c r="AFI29" s="90"/>
      <c r="AFJ29" s="90"/>
      <c r="AFK29" s="90"/>
      <c r="AFL29" s="90"/>
      <c r="AFM29" s="90"/>
      <c r="AFN29" s="90"/>
      <c r="AFO29" s="90"/>
      <c r="AFP29" s="90"/>
      <c r="AFQ29" s="90"/>
      <c r="AFR29" s="90"/>
      <c r="AFS29" s="90"/>
      <c r="AFT29" s="90"/>
      <c r="AFU29" s="90"/>
      <c r="AFV29" s="90"/>
      <c r="AFW29" s="90"/>
      <c r="AFX29" s="90"/>
      <c r="AFY29" s="90"/>
      <c r="AFZ29" s="90"/>
      <c r="AGA29" s="90"/>
      <c r="AGB29" s="90"/>
      <c r="AGC29" s="90"/>
      <c r="AGD29" s="90"/>
      <c r="AGE29" s="90"/>
      <c r="AGF29" s="90"/>
      <c r="AGG29" s="90"/>
      <c r="AGH29" s="90"/>
      <c r="AGI29" s="90"/>
      <c r="AGJ29" s="90"/>
      <c r="AGK29" s="90"/>
      <c r="AGL29" s="90"/>
      <c r="AGM29" s="90"/>
      <c r="AGN29" s="90"/>
      <c r="AGO29" s="90"/>
      <c r="AGP29" s="90"/>
      <c r="AGQ29" s="90"/>
      <c r="AGR29" s="90"/>
      <c r="AGS29" s="90"/>
      <c r="AGT29" s="90"/>
      <c r="AGU29" s="90"/>
      <c r="AGV29" s="90"/>
      <c r="AGW29" s="90"/>
      <c r="AGX29" s="90"/>
      <c r="AGY29" s="90"/>
      <c r="AGZ29" s="90"/>
      <c r="AHA29" s="90"/>
      <c r="AHB29" s="90"/>
      <c r="AHC29" s="90"/>
      <c r="AHD29" s="90"/>
      <c r="AHE29" s="90"/>
      <c r="AHF29" s="90"/>
      <c r="AHG29" s="90"/>
      <c r="AHH29" s="90"/>
      <c r="AHI29" s="90"/>
      <c r="AHJ29" s="90"/>
      <c r="AHK29" s="90"/>
      <c r="AHL29" s="90"/>
      <c r="AHM29" s="90"/>
      <c r="AHN29" s="90"/>
      <c r="AHO29" s="90"/>
      <c r="AHP29" s="90"/>
      <c r="AHQ29" s="90"/>
      <c r="AHR29" s="90"/>
      <c r="AHS29" s="90"/>
      <c r="AHT29" s="90"/>
      <c r="AHU29" s="90"/>
      <c r="AHV29" s="90"/>
      <c r="AHW29" s="90"/>
      <c r="AHX29" s="90"/>
      <c r="AHY29" s="90"/>
      <c r="AHZ29" s="90"/>
      <c r="AIA29" s="90"/>
      <c r="AIB29" s="90"/>
      <c r="AIC29" s="90"/>
      <c r="AID29" s="90"/>
      <c r="AIE29" s="90"/>
      <c r="AIF29" s="90"/>
      <c r="AIG29" s="90"/>
      <c r="AIH29" s="90"/>
      <c r="AII29" s="90"/>
      <c r="AIJ29" s="90"/>
      <c r="AIK29" s="90"/>
      <c r="AIL29" s="90"/>
      <c r="AIM29" s="90"/>
      <c r="AIN29" s="90"/>
      <c r="AIO29" s="90"/>
      <c r="AIP29" s="90"/>
      <c r="AIQ29" s="90"/>
      <c r="AIR29" s="90"/>
      <c r="AIS29" s="90"/>
      <c r="AIT29" s="90"/>
      <c r="AIU29" s="90"/>
      <c r="AIV29" s="90"/>
      <c r="AIW29" s="90"/>
      <c r="AIX29" s="90"/>
      <c r="AIY29" s="90"/>
      <c r="AIZ29" s="90"/>
      <c r="AJA29" s="90"/>
      <c r="AJB29" s="90"/>
      <c r="AJC29" s="90"/>
      <c r="AJD29" s="90"/>
      <c r="AJE29" s="90"/>
      <c r="AJF29" s="90"/>
      <c r="AJG29" s="90"/>
      <c r="AJH29" s="90"/>
      <c r="AJI29" s="90"/>
      <c r="AJJ29" s="90"/>
      <c r="AJK29" s="90"/>
      <c r="AJL29" s="90"/>
      <c r="AJM29" s="90"/>
      <c r="AJN29" s="90"/>
      <c r="AJO29" s="90"/>
      <c r="AJP29" s="90"/>
      <c r="AJQ29" s="90"/>
      <c r="AJR29" s="90"/>
      <c r="AJS29" s="90"/>
      <c r="AJT29" s="90"/>
      <c r="AJU29" s="90"/>
      <c r="AJV29" s="90"/>
      <c r="AJW29" s="90"/>
      <c r="AJX29" s="90"/>
      <c r="AJY29" s="90"/>
      <c r="AJZ29" s="90"/>
      <c r="AKA29" s="90"/>
      <c r="AKB29" s="90"/>
      <c r="AKC29" s="90"/>
      <c r="AKD29" s="90"/>
      <c r="AKE29" s="90"/>
      <c r="AKF29" s="90"/>
      <c r="AKG29" s="90"/>
      <c r="AKH29" s="90"/>
      <c r="AKI29" s="90"/>
      <c r="AKJ29" s="90"/>
      <c r="AKK29" s="90"/>
      <c r="AKL29" s="90"/>
      <c r="AKM29" s="90"/>
      <c r="AKN29" s="90"/>
      <c r="AKO29" s="90"/>
      <c r="AKP29" s="90"/>
      <c r="AKQ29" s="90"/>
      <c r="AKR29" s="90"/>
      <c r="AKS29" s="90"/>
      <c r="AKT29" s="90"/>
      <c r="AKU29" s="90"/>
      <c r="AKV29" s="90"/>
      <c r="AKW29" s="90"/>
      <c r="AKX29" s="90"/>
      <c r="AKY29" s="90"/>
      <c r="AKZ29" s="90"/>
      <c r="ALA29" s="90"/>
      <c r="ALB29" s="90"/>
      <c r="ALC29" s="90"/>
      <c r="ALD29" s="90"/>
      <c r="ALE29" s="90"/>
      <c r="ALF29" s="90"/>
      <c r="ALG29" s="90"/>
      <c r="ALH29" s="90"/>
      <c r="ALI29" s="90"/>
      <c r="ALJ29" s="90"/>
      <c r="ALK29" s="90"/>
      <c r="ALL29" s="90"/>
      <c r="ALM29" s="90"/>
      <c r="ALN29" s="90"/>
      <c r="ALO29" s="90"/>
      <c r="ALP29" s="90"/>
      <c r="ALQ29" s="90"/>
      <c r="ALR29" s="90"/>
      <c r="ALS29" s="90"/>
      <c r="ALT29" s="90"/>
      <c r="ALU29" s="90"/>
      <c r="ALV29" s="90"/>
      <c r="ALW29" s="90"/>
      <c r="ALX29" s="90"/>
      <c r="ALY29" s="90"/>
      <c r="ALZ29" s="90"/>
      <c r="AMA29" s="90"/>
      <c r="AMB29" s="90"/>
      <c r="AMC29" s="90"/>
    </row>
    <row r="30" spans="1:1017">
      <c r="A30" s="98" t="s">
        <v>25</v>
      </c>
      <c r="B30" s="648" t="s">
        <v>550</v>
      </c>
      <c r="Q30" s="91">
        <f t="shared" si="640"/>
        <v>0</v>
      </c>
      <c r="R30" s="91">
        <f t="shared" si="641"/>
        <v>0</v>
      </c>
      <c r="Y30" s="777">
        <v>7535</v>
      </c>
      <c r="Z30" s="777">
        <v>263725</v>
      </c>
      <c r="AA30" s="98">
        <v>3045</v>
      </c>
      <c r="AB30" s="98">
        <v>106575</v>
      </c>
      <c r="AC30" s="98">
        <v>1820</v>
      </c>
      <c r="AD30" s="98">
        <v>63700</v>
      </c>
      <c r="AE30" s="98">
        <v>580</v>
      </c>
      <c r="AF30" s="98">
        <v>20300</v>
      </c>
      <c r="AG30" s="91">
        <f t="shared" si="642"/>
        <v>12980</v>
      </c>
      <c r="AH30" s="91">
        <f t="shared" si="643"/>
        <v>454300</v>
      </c>
      <c r="AW30" s="91">
        <f t="shared" si="644"/>
        <v>0</v>
      </c>
      <c r="AX30" s="91">
        <f t="shared" si="645"/>
        <v>0</v>
      </c>
      <c r="BE30" s="98">
        <v>3052</v>
      </c>
      <c r="BF30" s="98">
        <v>45780</v>
      </c>
      <c r="BG30" s="98">
        <v>945</v>
      </c>
      <c r="BH30" s="98">
        <v>14175</v>
      </c>
      <c r="BM30" s="91">
        <f t="shared" si="646"/>
        <v>3997</v>
      </c>
      <c r="BN30" s="91">
        <f t="shared" si="647"/>
        <v>59955</v>
      </c>
      <c r="BU30" s="98">
        <v>405</v>
      </c>
      <c r="BV30" s="98">
        <v>10935</v>
      </c>
      <c r="CC30" s="91">
        <f t="shared" si="648"/>
        <v>405</v>
      </c>
      <c r="CD30" s="91">
        <f t="shared" si="649"/>
        <v>10935</v>
      </c>
      <c r="CK30" s="98">
        <v>97621</v>
      </c>
      <c r="CL30" s="98">
        <v>1366700.1022603556</v>
      </c>
      <c r="CS30" s="91">
        <f t="shared" si="650"/>
        <v>97621</v>
      </c>
      <c r="CT30" s="91">
        <f t="shared" si="651"/>
        <v>1366700.1022603556</v>
      </c>
      <c r="DA30" s="98">
        <v>1960</v>
      </c>
      <c r="DB30" s="98">
        <v>52920</v>
      </c>
      <c r="DC30" s="98">
        <v>350</v>
      </c>
      <c r="DD30" s="98">
        <v>9450</v>
      </c>
      <c r="DI30" s="91">
        <f t="shared" si="652"/>
        <v>2310</v>
      </c>
      <c r="DJ30" s="91">
        <f t="shared" si="653"/>
        <v>62370</v>
      </c>
      <c r="DQ30" s="98">
        <v>18600</v>
      </c>
      <c r="DR30" s="98">
        <v>372000</v>
      </c>
      <c r="DY30" s="91">
        <f t="shared" si="654"/>
        <v>18600</v>
      </c>
      <c r="DZ30" s="91">
        <f t="shared" si="655"/>
        <v>372000</v>
      </c>
      <c r="EG30" s="98">
        <v>400</v>
      </c>
      <c r="EH30" s="98">
        <v>6000</v>
      </c>
      <c r="EO30" s="91">
        <f t="shared" si="656"/>
        <v>400</v>
      </c>
      <c r="EP30" s="91">
        <f t="shared" si="657"/>
        <v>6000</v>
      </c>
      <c r="EW30" s="98">
        <v>97700</v>
      </c>
      <c r="EX30" s="98">
        <v>1954000</v>
      </c>
      <c r="FE30" s="91">
        <f t="shared" si="658"/>
        <v>97700</v>
      </c>
      <c r="FF30" s="91">
        <f t="shared" si="659"/>
        <v>1954000</v>
      </c>
      <c r="FM30" s="98">
        <v>300</v>
      </c>
      <c r="FN30" s="98">
        <v>9000</v>
      </c>
      <c r="FU30" s="91">
        <f t="shared" si="660"/>
        <v>300</v>
      </c>
      <c r="FV30" s="91">
        <f t="shared" si="661"/>
        <v>9000</v>
      </c>
      <c r="GK30" s="91">
        <f t="shared" si="662"/>
        <v>0</v>
      </c>
      <c r="GL30" s="91">
        <f t="shared" si="663"/>
        <v>0</v>
      </c>
      <c r="GS30" s="98">
        <v>1800</v>
      </c>
      <c r="GT30" s="98">
        <v>48600</v>
      </c>
      <c r="GY30" s="98">
        <v>50</v>
      </c>
      <c r="GZ30" s="98">
        <v>1350</v>
      </c>
      <c r="HA30" s="91">
        <f t="shared" si="664"/>
        <v>1850</v>
      </c>
      <c r="HB30" s="91">
        <f t="shared" si="665"/>
        <v>49950</v>
      </c>
      <c r="HI30" s="98">
        <v>2500</v>
      </c>
      <c r="HJ30" s="98">
        <v>62500</v>
      </c>
      <c r="HQ30" s="91">
        <f t="shared" si="666"/>
        <v>2500</v>
      </c>
      <c r="HR30" s="91">
        <f t="shared" si="667"/>
        <v>62500</v>
      </c>
      <c r="IG30" s="91">
        <f t="shared" si="668"/>
        <v>0</v>
      </c>
      <c r="IH30" s="91">
        <f t="shared" si="669"/>
        <v>0</v>
      </c>
      <c r="IO30" s="98">
        <v>600</v>
      </c>
      <c r="IP30" s="98">
        <v>16800</v>
      </c>
      <c r="IW30" s="91">
        <f t="shared" si="670"/>
        <v>600</v>
      </c>
      <c r="IX30" s="91">
        <f t="shared" si="671"/>
        <v>16800</v>
      </c>
      <c r="JE30" s="98">
        <v>88</v>
      </c>
      <c r="JF30" s="98">
        <v>2200</v>
      </c>
      <c r="JM30" s="91">
        <f t="shared" si="672"/>
        <v>88</v>
      </c>
      <c r="JN30" s="91">
        <f t="shared" si="673"/>
        <v>2200</v>
      </c>
      <c r="KC30" s="91">
        <f t="shared" si="674"/>
        <v>0</v>
      </c>
      <c r="KD30" s="91">
        <f t="shared" si="675"/>
        <v>0</v>
      </c>
      <c r="KS30" s="91">
        <f t="shared" si="676"/>
        <v>0</v>
      </c>
      <c r="KT30" s="91">
        <f t="shared" si="677"/>
        <v>0</v>
      </c>
      <c r="LI30" s="91">
        <f t="shared" si="678"/>
        <v>0</v>
      </c>
      <c r="LJ30" s="91">
        <f t="shared" si="679"/>
        <v>0</v>
      </c>
      <c r="LY30" s="91">
        <f t="shared" si="680"/>
        <v>0</v>
      </c>
      <c r="LZ30" s="91">
        <f t="shared" si="681"/>
        <v>0</v>
      </c>
      <c r="MO30" s="91">
        <f t="shared" si="682"/>
        <v>0</v>
      </c>
      <c r="MP30" s="91">
        <f t="shared" si="683"/>
        <v>0</v>
      </c>
      <c r="NE30" s="91">
        <f t="shared" si="684"/>
        <v>0</v>
      </c>
      <c r="NF30" s="91">
        <f t="shared" si="685"/>
        <v>0</v>
      </c>
      <c r="NU30" s="91">
        <f t="shared" si="686"/>
        <v>0</v>
      </c>
      <c r="NV30" s="91">
        <f t="shared" si="687"/>
        <v>0</v>
      </c>
      <c r="OK30" s="91">
        <f t="shared" si="688"/>
        <v>0</v>
      </c>
      <c r="OL30" s="91">
        <f t="shared" si="689"/>
        <v>0</v>
      </c>
      <c r="PA30" s="91">
        <f t="shared" si="690"/>
        <v>0</v>
      </c>
      <c r="PB30" s="91">
        <f t="shared" si="691"/>
        <v>0</v>
      </c>
      <c r="PQ30" s="91">
        <f t="shared" si="692"/>
        <v>0</v>
      </c>
      <c r="PR30" s="91">
        <f t="shared" si="693"/>
        <v>0</v>
      </c>
      <c r="PY30" s="98">
        <v>55080</v>
      </c>
      <c r="PZ30" s="98">
        <v>991440</v>
      </c>
      <c r="QA30" s="98">
        <v>305700</v>
      </c>
      <c r="QB30" s="98">
        <v>5502600</v>
      </c>
      <c r="QC30" s="98">
        <v>156980</v>
      </c>
      <c r="QD30" s="98">
        <v>2825640</v>
      </c>
      <c r="QG30" s="91">
        <f t="shared" si="694"/>
        <v>517760</v>
      </c>
      <c r="QH30" s="91">
        <f t="shared" si="695"/>
        <v>9319680</v>
      </c>
      <c r="QW30" s="91">
        <f t="shared" si="696"/>
        <v>0</v>
      </c>
      <c r="QX30" s="91">
        <f t="shared" si="697"/>
        <v>0</v>
      </c>
      <c r="RE30" s="98">
        <v>145</v>
      </c>
      <c r="RF30" s="98">
        <f>RE30*37</f>
        <v>5365</v>
      </c>
      <c r="RM30" s="91">
        <f t="shared" si="698"/>
        <v>145</v>
      </c>
      <c r="RN30" s="91">
        <f t="shared" si="699"/>
        <v>5365</v>
      </c>
      <c r="SC30" s="91">
        <f t="shared" si="700"/>
        <v>0</v>
      </c>
      <c r="SD30" s="91">
        <f t="shared" si="701"/>
        <v>0</v>
      </c>
      <c r="SS30" s="91">
        <f t="shared" si="702"/>
        <v>0</v>
      </c>
      <c r="ST30" s="91">
        <f t="shared" si="703"/>
        <v>0</v>
      </c>
      <c r="TI30" s="91">
        <f t="shared" si="704"/>
        <v>0</v>
      </c>
      <c r="TJ30" s="91">
        <f t="shared" si="705"/>
        <v>0</v>
      </c>
      <c r="TU30" s="98">
        <v>100</v>
      </c>
      <c r="TV30" s="98">
        <v>3500</v>
      </c>
      <c r="TY30" s="91">
        <f t="shared" si="706"/>
        <v>100</v>
      </c>
      <c r="TZ30" s="91">
        <f t="shared" si="707"/>
        <v>3500</v>
      </c>
      <c r="UO30" s="91">
        <f t="shared" si="708"/>
        <v>0</v>
      </c>
      <c r="UP30" s="91">
        <f t="shared" si="637"/>
        <v>0</v>
      </c>
      <c r="VE30" s="91">
        <f t="shared" si="709"/>
        <v>0</v>
      </c>
      <c r="VF30" s="91">
        <f t="shared" si="710"/>
        <v>0</v>
      </c>
      <c r="VU30" s="91">
        <f t="shared" si="711"/>
        <v>0</v>
      </c>
      <c r="VV30" s="91">
        <f t="shared" si="712"/>
        <v>0</v>
      </c>
      <c r="WK30" s="91">
        <f t="shared" si="713"/>
        <v>0</v>
      </c>
      <c r="WL30" s="91">
        <f t="shared" si="714"/>
        <v>0</v>
      </c>
      <c r="WM30" s="89"/>
      <c r="WN30" s="87">
        <f t="shared" si="715"/>
        <v>0</v>
      </c>
      <c r="WO30" s="87">
        <f t="shared" si="716"/>
        <v>0</v>
      </c>
      <c r="WP30" s="87">
        <f t="shared" si="717"/>
        <v>0</v>
      </c>
      <c r="WQ30" s="87">
        <f t="shared" si="718"/>
        <v>0</v>
      </c>
      <c r="WR30" s="87">
        <f t="shared" si="719"/>
        <v>0</v>
      </c>
      <c r="WS30" s="87">
        <f t="shared" si="720"/>
        <v>0</v>
      </c>
      <c r="WT30" s="87">
        <f t="shared" si="721"/>
        <v>287786</v>
      </c>
      <c r="WU30" s="87">
        <f t="shared" si="722"/>
        <v>5207965.1022603558</v>
      </c>
      <c r="WV30" s="87">
        <f t="shared" si="723"/>
        <v>310040</v>
      </c>
      <c r="WW30" s="87">
        <f t="shared" si="724"/>
        <v>5632800</v>
      </c>
      <c r="WX30" s="87">
        <f t="shared" si="725"/>
        <v>158900</v>
      </c>
      <c r="WY30" s="87">
        <f t="shared" si="726"/>
        <v>2892840</v>
      </c>
      <c r="WZ30" s="87">
        <f t="shared" si="727"/>
        <v>630</v>
      </c>
      <c r="XA30" s="87">
        <f t="shared" si="728"/>
        <v>21650</v>
      </c>
      <c r="XB30" s="92">
        <f t="shared" si="729"/>
        <v>757356</v>
      </c>
      <c r="XC30" s="92">
        <f t="shared" si="730"/>
        <v>13755255.102260355</v>
      </c>
      <c r="XD30" s="89"/>
      <c r="XE30" s="92">
        <f t="shared" si="638"/>
        <v>2412485</v>
      </c>
      <c r="XF30" s="92">
        <f t="shared" si="639"/>
        <v>43299313.102260351</v>
      </c>
      <c r="XG30" s="89"/>
      <c r="XH30" s="92">
        <f t="shared" ref="XH30:XI30" si="762">SUM(XE30,XE68)</f>
        <v>5655806.58056123</v>
      </c>
      <c r="XI30" s="92">
        <f t="shared" si="762"/>
        <v>90924810.332377926</v>
      </c>
      <c r="XJ30" s="89"/>
      <c r="XK30" s="87">
        <f t="shared" si="732"/>
        <v>0</v>
      </c>
      <c r="XL30" s="87">
        <f t="shared" si="733"/>
        <v>37</v>
      </c>
      <c r="XM30" s="87">
        <f t="shared" si="734"/>
        <v>0</v>
      </c>
      <c r="XN30" s="87">
        <f t="shared" si="735"/>
        <v>6048446.6226296294</v>
      </c>
      <c r="XO30" s="87">
        <f t="shared" si="736"/>
        <v>1714010</v>
      </c>
      <c r="XP30" s="87">
        <f t="shared" si="737"/>
        <v>1448315</v>
      </c>
      <c r="XQ30" s="87">
        <f t="shared" si="738"/>
        <v>5005</v>
      </c>
      <c r="XR30" s="92">
        <f t="shared" si="739"/>
        <v>9215813.6226296294</v>
      </c>
      <c r="XS30" s="89"/>
      <c r="XT30" s="87">
        <f t="shared" si="740"/>
        <v>0</v>
      </c>
      <c r="XU30" s="87">
        <f t="shared" si="741"/>
        <v>333</v>
      </c>
      <c r="XV30" s="87">
        <f t="shared" si="742"/>
        <v>0</v>
      </c>
      <c r="XW30" s="87">
        <f t="shared" si="743"/>
        <v>93205662.211789966</v>
      </c>
      <c r="XX30" s="87">
        <f t="shared" si="744"/>
        <v>29275074</v>
      </c>
      <c r="XY30" s="87">
        <f t="shared" si="745"/>
        <v>26609165</v>
      </c>
      <c r="XZ30" s="87">
        <f t="shared" si="746"/>
        <v>164860</v>
      </c>
      <c r="YA30" s="92">
        <f t="shared" si="747"/>
        <v>149255094.21178997</v>
      </c>
      <c r="YB30" s="90"/>
      <c r="YC30" s="90"/>
      <c r="YD30" s="90"/>
      <c r="YE30" s="90"/>
      <c r="YF30" s="90"/>
      <c r="YG30" s="90"/>
      <c r="YH30" s="90"/>
      <c r="YI30" s="90"/>
      <c r="YJ30" s="90"/>
      <c r="YK30" s="90"/>
      <c r="YL30" s="90"/>
      <c r="YM30" s="90"/>
      <c r="YN30" s="90"/>
      <c r="YO30" s="90"/>
      <c r="YP30" s="90"/>
      <c r="YQ30" s="90"/>
      <c r="YR30" s="90"/>
      <c r="YS30" s="90"/>
      <c r="YT30" s="90"/>
      <c r="YU30" s="90"/>
      <c r="YV30" s="90"/>
      <c r="YW30" s="90"/>
      <c r="YX30" s="90"/>
      <c r="YY30" s="90"/>
      <c r="YZ30" s="90"/>
      <c r="ZA30" s="90"/>
      <c r="ZB30" s="90"/>
      <c r="ZC30" s="90"/>
      <c r="ZD30" s="90"/>
      <c r="ZE30" s="90"/>
      <c r="ZF30" s="90"/>
      <c r="ZG30" s="90"/>
      <c r="ZH30" s="90"/>
      <c r="ZI30" s="90"/>
      <c r="ZJ30" s="90"/>
      <c r="ZK30" s="90"/>
      <c r="ZL30" s="90"/>
      <c r="ZM30" s="90"/>
      <c r="ZN30" s="90"/>
      <c r="ZO30" s="90"/>
      <c r="ZP30" s="90"/>
      <c r="ZQ30" s="90"/>
      <c r="ZR30" s="90"/>
      <c r="ZS30" s="90"/>
      <c r="ZT30" s="90"/>
      <c r="ZU30" s="90"/>
      <c r="ZV30" s="90"/>
      <c r="ZW30" s="90"/>
      <c r="ZX30" s="90"/>
      <c r="ZY30" s="90"/>
      <c r="ZZ30" s="90"/>
      <c r="AAA30" s="90"/>
      <c r="AAB30" s="90"/>
      <c r="AAC30" s="90"/>
      <c r="AAD30" s="90"/>
      <c r="AAE30" s="90"/>
      <c r="AAF30" s="90"/>
      <c r="AAG30" s="90"/>
      <c r="AAH30" s="90"/>
      <c r="AAI30" s="90"/>
      <c r="AAJ30" s="90"/>
      <c r="AAK30" s="90"/>
      <c r="AAL30" s="90"/>
      <c r="AAM30" s="90"/>
      <c r="AAN30" s="90"/>
      <c r="AAO30" s="90"/>
      <c r="AAP30" s="90"/>
      <c r="AAQ30" s="90"/>
      <c r="AAR30" s="90"/>
      <c r="AAS30" s="90"/>
      <c r="AAT30" s="90"/>
      <c r="AAU30" s="90"/>
      <c r="AAV30" s="90"/>
      <c r="AAW30" s="90"/>
      <c r="AAX30" s="90"/>
      <c r="AAY30" s="90"/>
      <c r="AAZ30" s="90"/>
      <c r="ABA30" s="90"/>
      <c r="ABB30" s="90"/>
      <c r="ABC30" s="90"/>
      <c r="ABD30" s="90"/>
      <c r="ABE30" s="90"/>
      <c r="ABF30" s="90"/>
      <c r="ABG30" s="90"/>
      <c r="ABH30" s="90"/>
      <c r="ABI30" s="90"/>
      <c r="ABJ30" s="90"/>
      <c r="ABK30" s="90"/>
      <c r="ABL30" s="90"/>
      <c r="ABM30" s="90"/>
      <c r="ABN30" s="90"/>
      <c r="ABO30" s="90"/>
      <c r="ABP30" s="90"/>
      <c r="ABQ30" s="90"/>
      <c r="ABR30" s="90"/>
      <c r="ABS30" s="90"/>
      <c r="ABT30" s="90"/>
      <c r="ABU30" s="90"/>
      <c r="ABV30" s="90"/>
      <c r="ABW30" s="90"/>
      <c r="ABX30" s="90"/>
      <c r="ABY30" s="90"/>
      <c r="ABZ30" s="90"/>
      <c r="ACA30" s="90"/>
      <c r="ACB30" s="90"/>
      <c r="ACC30" s="90"/>
      <c r="ACD30" s="90"/>
      <c r="ACE30" s="90"/>
      <c r="ACF30" s="90"/>
      <c r="ACG30" s="90"/>
      <c r="ACH30" s="90"/>
      <c r="ACI30" s="90"/>
      <c r="ACJ30" s="90"/>
      <c r="ACK30" s="90"/>
      <c r="ACL30" s="90"/>
      <c r="ACM30" s="90"/>
      <c r="ACN30" s="90"/>
      <c r="ACO30" s="90"/>
      <c r="ACP30" s="90"/>
      <c r="ACQ30" s="90"/>
      <c r="ACR30" s="90"/>
      <c r="ACS30" s="90"/>
      <c r="ACT30" s="90"/>
      <c r="ACU30" s="90"/>
      <c r="ACV30" s="90"/>
      <c r="ACW30" s="90"/>
      <c r="ACX30" s="90"/>
      <c r="ACY30" s="90"/>
      <c r="ACZ30" s="90"/>
      <c r="ADA30" s="90"/>
      <c r="ADB30" s="90"/>
      <c r="ADC30" s="90"/>
      <c r="ADD30" s="90"/>
      <c r="ADE30" s="90"/>
      <c r="ADF30" s="90"/>
      <c r="ADG30" s="90"/>
      <c r="ADH30" s="90"/>
      <c r="ADI30" s="90"/>
      <c r="ADJ30" s="90"/>
      <c r="ADK30" s="90"/>
      <c r="ADL30" s="90"/>
      <c r="ADM30" s="90"/>
      <c r="ADN30" s="90"/>
      <c r="ADO30" s="90"/>
      <c r="ADP30" s="90"/>
      <c r="ADQ30" s="90"/>
      <c r="ADR30" s="90"/>
      <c r="ADS30" s="90"/>
      <c r="ADT30" s="90"/>
      <c r="ADU30" s="90"/>
      <c r="ADV30" s="90"/>
      <c r="ADW30" s="90"/>
      <c r="ADX30" s="90"/>
      <c r="ADY30" s="90"/>
      <c r="ADZ30" s="90"/>
      <c r="AEA30" s="90"/>
      <c r="AEB30" s="90"/>
      <c r="AEC30" s="90"/>
      <c r="AED30" s="90"/>
      <c r="AEE30" s="90"/>
      <c r="AEF30" s="90"/>
      <c r="AEG30" s="90"/>
      <c r="AEH30" s="90"/>
      <c r="AEI30" s="90"/>
      <c r="AEJ30" s="90"/>
      <c r="AEK30" s="90"/>
      <c r="AEL30" s="90"/>
      <c r="AEM30" s="90"/>
      <c r="AEN30" s="90"/>
      <c r="AEO30" s="90"/>
      <c r="AEP30" s="90"/>
      <c r="AEQ30" s="90"/>
      <c r="AER30" s="90"/>
      <c r="AES30" s="90"/>
      <c r="AET30" s="90"/>
      <c r="AEU30" s="90"/>
      <c r="AEV30" s="90"/>
      <c r="AEW30" s="90"/>
      <c r="AEX30" s="90"/>
      <c r="AEY30" s="90"/>
      <c r="AEZ30" s="90"/>
      <c r="AFA30" s="90"/>
      <c r="AFB30" s="90"/>
      <c r="AFC30" s="90"/>
      <c r="AFD30" s="90"/>
      <c r="AFE30" s="90"/>
      <c r="AFF30" s="90"/>
      <c r="AFG30" s="90"/>
      <c r="AFH30" s="90"/>
      <c r="AFI30" s="90"/>
      <c r="AFJ30" s="90"/>
      <c r="AFK30" s="90"/>
      <c r="AFL30" s="90"/>
      <c r="AFM30" s="90"/>
      <c r="AFN30" s="90"/>
      <c r="AFO30" s="90"/>
      <c r="AFP30" s="90"/>
      <c r="AFQ30" s="90"/>
      <c r="AFR30" s="90"/>
      <c r="AFS30" s="90"/>
      <c r="AFT30" s="90"/>
      <c r="AFU30" s="90"/>
      <c r="AFV30" s="90"/>
      <c r="AFW30" s="90"/>
      <c r="AFX30" s="90"/>
      <c r="AFY30" s="90"/>
      <c r="AFZ30" s="90"/>
      <c r="AGA30" s="90"/>
      <c r="AGB30" s="90"/>
      <c r="AGC30" s="90"/>
      <c r="AGD30" s="90"/>
      <c r="AGE30" s="90"/>
      <c r="AGF30" s="90"/>
      <c r="AGG30" s="90"/>
      <c r="AGH30" s="90"/>
      <c r="AGI30" s="90"/>
      <c r="AGJ30" s="90"/>
      <c r="AGK30" s="90"/>
      <c r="AGL30" s="90"/>
      <c r="AGM30" s="90"/>
      <c r="AGN30" s="90"/>
      <c r="AGO30" s="90"/>
      <c r="AGP30" s="90"/>
      <c r="AGQ30" s="90"/>
      <c r="AGR30" s="90"/>
      <c r="AGS30" s="90"/>
      <c r="AGT30" s="90"/>
      <c r="AGU30" s="90"/>
      <c r="AGV30" s="90"/>
      <c r="AGW30" s="90"/>
      <c r="AGX30" s="90"/>
      <c r="AGY30" s="90"/>
      <c r="AGZ30" s="90"/>
      <c r="AHA30" s="90"/>
      <c r="AHB30" s="90"/>
      <c r="AHC30" s="90"/>
      <c r="AHD30" s="90"/>
      <c r="AHE30" s="90"/>
      <c r="AHF30" s="90"/>
      <c r="AHG30" s="90"/>
      <c r="AHH30" s="90"/>
      <c r="AHI30" s="90"/>
      <c r="AHJ30" s="90"/>
      <c r="AHK30" s="90"/>
      <c r="AHL30" s="90"/>
      <c r="AHM30" s="90"/>
      <c r="AHN30" s="90"/>
      <c r="AHO30" s="90"/>
      <c r="AHP30" s="90"/>
      <c r="AHQ30" s="90"/>
      <c r="AHR30" s="90"/>
      <c r="AHS30" s="90"/>
      <c r="AHT30" s="90"/>
      <c r="AHU30" s="90"/>
      <c r="AHV30" s="90"/>
      <c r="AHW30" s="90"/>
      <c r="AHX30" s="90"/>
      <c r="AHY30" s="90"/>
      <c r="AHZ30" s="90"/>
      <c r="AIA30" s="90"/>
      <c r="AIB30" s="90"/>
      <c r="AIC30" s="90"/>
      <c r="AID30" s="90"/>
      <c r="AIE30" s="90"/>
      <c r="AIF30" s="90"/>
      <c r="AIG30" s="90"/>
      <c r="AIH30" s="90"/>
      <c r="AII30" s="90"/>
      <c r="AIJ30" s="90"/>
      <c r="AIK30" s="90"/>
      <c r="AIL30" s="90"/>
      <c r="AIM30" s="90"/>
      <c r="AIN30" s="90"/>
      <c r="AIO30" s="90"/>
      <c r="AIP30" s="90"/>
      <c r="AIQ30" s="90"/>
      <c r="AIR30" s="90"/>
      <c r="AIS30" s="90"/>
      <c r="AIT30" s="90"/>
      <c r="AIU30" s="90"/>
      <c r="AIV30" s="90"/>
      <c r="AIW30" s="90"/>
      <c r="AIX30" s="90"/>
      <c r="AIY30" s="90"/>
      <c r="AIZ30" s="90"/>
      <c r="AJA30" s="90"/>
      <c r="AJB30" s="90"/>
      <c r="AJC30" s="90"/>
      <c r="AJD30" s="90"/>
      <c r="AJE30" s="90"/>
      <c r="AJF30" s="90"/>
      <c r="AJG30" s="90"/>
      <c r="AJH30" s="90"/>
      <c r="AJI30" s="90"/>
      <c r="AJJ30" s="90"/>
      <c r="AJK30" s="90"/>
      <c r="AJL30" s="90"/>
      <c r="AJM30" s="90"/>
      <c r="AJN30" s="90"/>
      <c r="AJO30" s="90"/>
      <c r="AJP30" s="90"/>
      <c r="AJQ30" s="90"/>
      <c r="AJR30" s="90"/>
      <c r="AJS30" s="90"/>
      <c r="AJT30" s="90"/>
      <c r="AJU30" s="90"/>
      <c r="AJV30" s="90"/>
      <c r="AJW30" s="90"/>
      <c r="AJX30" s="90"/>
      <c r="AJY30" s="90"/>
      <c r="AJZ30" s="90"/>
      <c r="AKA30" s="90"/>
      <c r="AKB30" s="90"/>
      <c r="AKC30" s="90"/>
      <c r="AKD30" s="90"/>
      <c r="AKE30" s="90"/>
      <c r="AKF30" s="90"/>
      <c r="AKG30" s="90"/>
      <c r="AKH30" s="90"/>
      <c r="AKI30" s="90"/>
      <c r="AKJ30" s="90"/>
      <c r="AKK30" s="90"/>
      <c r="AKL30" s="90"/>
      <c r="AKM30" s="90"/>
      <c r="AKN30" s="90"/>
      <c r="AKO30" s="90"/>
      <c r="AKP30" s="90"/>
      <c r="AKQ30" s="90"/>
      <c r="AKR30" s="90"/>
      <c r="AKS30" s="90"/>
      <c r="AKT30" s="90"/>
      <c r="AKU30" s="90"/>
      <c r="AKV30" s="90"/>
      <c r="AKW30" s="90"/>
      <c r="AKX30" s="90"/>
      <c r="AKY30" s="90"/>
      <c r="AKZ30" s="90"/>
      <c r="ALA30" s="90"/>
      <c r="ALB30" s="90"/>
      <c r="ALC30" s="90"/>
      <c r="ALD30" s="90"/>
      <c r="ALE30" s="90"/>
      <c r="ALF30" s="90"/>
      <c r="ALG30" s="90"/>
      <c r="ALH30" s="90"/>
      <c r="ALI30" s="90"/>
      <c r="ALJ30" s="90"/>
      <c r="ALK30" s="90"/>
      <c r="ALL30" s="90"/>
      <c r="ALM30" s="90"/>
      <c r="ALN30" s="90"/>
      <c r="ALO30" s="90"/>
      <c r="ALP30" s="90"/>
      <c r="ALQ30" s="90"/>
      <c r="ALR30" s="90"/>
      <c r="ALS30" s="90"/>
      <c r="ALT30" s="90"/>
      <c r="ALU30" s="90"/>
      <c r="ALV30" s="90"/>
      <c r="ALW30" s="90"/>
      <c r="ALX30" s="90"/>
      <c r="ALY30" s="90"/>
      <c r="ALZ30" s="90"/>
      <c r="AMA30" s="90"/>
      <c r="AMB30" s="90"/>
      <c r="AMC30" s="90"/>
    </row>
    <row r="31" spans="1:1017">
      <c r="A31" s="98" t="s">
        <v>25</v>
      </c>
      <c r="B31" s="648" t="s">
        <v>551</v>
      </c>
      <c r="E31" s="774">
        <v>267900</v>
      </c>
      <c r="F31" s="774">
        <v>4018500</v>
      </c>
      <c r="I31" s="774">
        <v>4200</v>
      </c>
      <c r="J31" s="774">
        <v>63000</v>
      </c>
      <c r="Q31" s="91">
        <f t="shared" si="640"/>
        <v>272100</v>
      </c>
      <c r="R31" s="91">
        <f t="shared" si="641"/>
        <v>4081500</v>
      </c>
      <c r="U31" s="98">
        <v>5900</v>
      </c>
      <c r="V31" s="98">
        <v>88500</v>
      </c>
      <c r="Y31" s="777">
        <v>2520</v>
      </c>
      <c r="Z31" s="777">
        <v>37800</v>
      </c>
      <c r="AG31" s="91">
        <f t="shared" si="642"/>
        <v>8420</v>
      </c>
      <c r="AH31" s="91">
        <f t="shared" si="643"/>
        <v>126300</v>
      </c>
      <c r="AW31" s="91">
        <f t="shared" si="644"/>
        <v>0</v>
      </c>
      <c r="AX31" s="91">
        <f t="shared" si="645"/>
        <v>0</v>
      </c>
      <c r="BM31" s="91">
        <f t="shared" si="646"/>
        <v>0</v>
      </c>
      <c r="BN31" s="91">
        <f t="shared" si="647"/>
        <v>0</v>
      </c>
      <c r="CC31" s="91">
        <f t="shared" si="648"/>
        <v>0</v>
      </c>
      <c r="CD31" s="91">
        <f t="shared" si="649"/>
        <v>0</v>
      </c>
      <c r="CG31" s="98">
        <v>96651.247333793028</v>
      </c>
      <c r="CH31" s="98">
        <v>966512.47333793028</v>
      </c>
      <c r="CK31" s="98">
        <v>159702</v>
      </c>
      <c r="CL31" s="98">
        <v>1437320.4436991443</v>
      </c>
      <c r="CS31" s="91">
        <f t="shared" si="650"/>
        <v>256353.24733379303</v>
      </c>
      <c r="CT31" s="91">
        <f t="shared" si="651"/>
        <v>2403832.9170370745</v>
      </c>
      <c r="DI31" s="91">
        <f t="shared" si="652"/>
        <v>0</v>
      </c>
      <c r="DJ31" s="91">
        <f t="shared" si="653"/>
        <v>0</v>
      </c>
      <c r="DY31" s="91">
        <f t="shared" si="654"/>
        <v>0</v>
      </c>
      <c r="DZ31" s="91">
        <f t="shared" si="655"/>
        <v>0</v>
      </c>
      <c r="EO31" s="91">
        <f t="shared" si="656"/>
        <v>0</v>
      </c>
      <c r="EP31" s="91">
        <f t="shared" si="657"/>
        <v>0</v>
      </c>
      <c r="ES31" s="98">
        <v>1051</v>
      </c>
      <c r="ET31" s="98">
        <v>5255</v>
      </c>
      <c r="EW31" s="98">
        <v>11333</v>
      </c>
      <c r="EX31" s="98">
        <v>56665</v>
      </c>
      <c r="FE31" s="91">
        <f t="shared" si="658"/>
        <v>12384</v>
      </c>
      <c r="FF31" s="91">
        <f t="shared" si="659"/>
        <v>61920</v>
      </c>
      <c r="FU31" s="91">
        <f t="shared" si="660"/>
        <v>0</v>
      </c>
      <c r="FV31" s="91">
        <f t="shared" si="661"/>
        <v>0</v>
      </c>
      <c r="GC31" s="98">
        <v>400</v>
      </c>
      <c r="GD31" s="98">
        <v>10000</v>
      </c>
      <c r="GK31" s="91">
        <f t="shared" si="662"/>
        <v>400</v>
      </c>
      <c r="GL31" s="91">
        <f t="shared" si="663"/>
        <v>10000</v>
      </c>
      <c r="HA31" s="91">
        <f t="shared" si="664"/>
        <v>0</v>
      </c>
      <c r="HB31" s="91">
        <f t="shared" si="665"/>
        <v>0</v>
      </c>
      <c r="HQ31" s="91">
        <f t="shared" si="666"/>
        <v>0</v>
      </c>
      <c r="HR31" s="91">
        <f t="shared" si="667"/>
        <v>0</v>
      </c>
      <c r="IG31" s="91">
        <f t="shared" si="668"/>
        <v>0</v>
      </c>
      <c r="IH31" s="91">
        <f t="shared" si="669"/>
        <v>0</v>
      </c>
      <c r="IW31" s="91">
        <f t="shared" si="670"/>
        <v>0</v>
      </c>
      <c r="IX31" s="91">
        <f t="shared" si="671"/>
        <v>0</v>
      </c>
      <c r="JM31" s="91">
        <f t="shared" si="672"/>
        <v>0</v>
      </c>
      <c r="JN31" s="91">
        <f t="shared" si="673"/>
        <v>0</v>
      </c>
      <c r="KC31" s="91">
        <f t="shared" si="674"/>
        <v>0</v>
      </c>
      <c r="KD31" s="91">
        <f t="shared" si="675"/>
        <v>0</v>
      </c>
      <c r="KS31" s="91">
        <f t="shared" si="676"/>
        <v>0</v>
      </c>
      <c r="KT31" s="91">
        <f t="shared" si="677"/>
        <v>0</v>
      </c>
      <c r="LI31" s="91">
        <f t="shared" si="678"/>
        <v>0</v>
      </c>
      <c r="LJ31" s="91">
        <f t="shared" si="679"/>
        <v>0</v>
      </c>
      <c r="LY31" s="91">
        <f t="shared" si="680"/>
        <v>0</v>
      </c>
      <c r="LZ31" s="91">
        <f t="shared" si="681"/>
        <v>0</v>
      </c>
      <c r="MC31" s="98">
        <f>14.5*1000</f>
        <v>14500</v>
      </c>
      <c r="MD31" s="98">
        <v>145000</v>
      </c>
      <c r="MO31" s="91">
        <f t="shared" si="682"/>
        <v>14500</v>
      </c>
      <c r="MP31" s="91">
        <f t="shared" si="683"/>
        <v>145000</v>
      </c>
      <c r="MS31" s="98">
        <v>1200</v>
      </c>
      <c r="MT31" s="98">
        <v>30000</v>
      </c>
      <c r="NE31" s="91">
        <f t="shared" si="684"/>
        <v>1200</v>
      </c>
      <c r="NF31" s="91">
        <f t="shared" si="685"/>
        <v>30000</v>
      </c>
      <c r="NI31" s="98">
        <v>280000</v>
      </c>
      <c r="NJ31" s="98">
        <v>4480000</v>
      </c>
      <c r="NU31" s="91">
        <f t="shared" si="686"/>
        <v>280000</v>
      </c>
      <c r="NV31" s="91">
        <f t="shared" si="687"/>
        <v>4480000</v>
      </c>
      <c r="OK31" s="91">
        <f t="shared" si="688"/>
        <v>0</v>
      </c>
      <c r="OL31" s="91">
        <f t="shared" si="689"/>
        <v>0</v>
      </c>
      <c r="PA31" s="91">
        <f t="shared" si="690"/>
        <v>0</v>
      </c>
      <c r="PB31" s="91">
        <f t="shared" si="691"/>
        <v>0</v>
      </c>
      <c r="PQ31" s="91">
        <f t="shared" si="692"/>
        <v>0</v>
      </c>
      <c r="PR31" s="91">
        <f t="shared" si="693"/>
        <v>0</v>
      </c>
      <c r="PU31" s="98">
        <v>50290</v>
      </c>
      <c r="PV31" s="98">
        <v>603480</v>
      </c>
      <c r="QG31" s="91">
        <f t="shared" si="694"/>
        <v>50290</v>
      </c>
      <c r="QH31" s="91">
        <f t="shared" si="695"/>
        <v>603480</v>
      </c>
      <c r="QW31" s="91">
        <f t="shared" si="696"/>
        <v>0</v>
      </c>
      <c r="QX31" s="91">
        <f t="shared" si="697"/>
        <v>0</v>
      </c>
      <c r="RM31" s="91">
        <f t="shared" si="698"/>
        <v>0</v>
      </c>
      <c r="RN31" s="91">
        <f t="shared" si="699"/>
        <v>0</v>
      </c>
      <c r="SC31" s="91">
        <f t="shared" si="700"/>
        <v>0</v>
      </c>
      <c r="SD31" s="91">
        <f t="shared" si="701"/>
        <v>0</v>
      </c>
      <c r="SS31" s="91">
        <f t="shared" si="702"/>
        <v>0</v>
      </c>
      <c r="ST31" s="91">
        <f t="shared" si="703"/>
        <v>0</v>
      </c>
      <c r="TI31" s="91">
        <f t="shared" si="704"/>
        <v>0</v>
      </c>
      <c r="TJ31" s="91">
        <f t="shared" si="705"/>
        <v>0</v>
      </c>
      <c r="TY31" s="91">
        <f t="shared" si="706"/>
        <v>0</v>
      </c>
      <c r="TZ31" s="91">
        <f t="shared" si="707"/>
        <v>0</v>
      </c>
      <c r="UO31" s="91">
        <f>SUMIF($C$12:$P$12,$A$1,UA31:UN31)</f>
        <v>0</v>
      </c>
      <c r="UP31" s="91">
        <f>SUMIF($C$12:$P$12,$A$3,UA31:UN31)</f>
        <v>0</v>
      </c>
      <c r="VE31" s="91">
        <f t="shared" si="709"/>
        <v>0</v>
      </c>
      <c r="VF31" s="91">
        <f t="shared" si="710"/>
        <v>0</v>
      </c>
      <c r="VI31" s="98">
        <v>88</v>
      </c>
      <c r="VJ31" s="98">
        <v>792</v>
      </c>
      <c r="VU31" s="91">
        <f t="shared" si="711"/>
        <v>88</v>
      </c>
      <c r="VV31" s="91">
        <f t="shared" si="712"/>
        <v>792</v>
      </c>
      <c r="WK31" s="91">
        <f t="shared" si="713"/>
        <v>0</v>
      </c>
      <c r="WL31" s="91">
        <f t="shared" si="714"/>
        <v>0</v>
      </c>
      <c r="WM31" s="89"/>
      <c r="WN31" s="87">
        <f t="shared" si="715"/>
        <v>0</v>
      </c>
      <c r="WO31" s="87">
        <f t="shared" si="716"/>
        <v>0</v>
      </c>
      <c r="WP31" s="87">
        <f t="shared" si="717"/>
        <v>717580.24733379297</v>
      </c>
      <c r="WQ31" s="87">
        <f t="shared" si="718"/>
        <v>10338039.47333793</v>
      </c>
      <c r="WR31" s="87">
        <f t="shared" si="719"/>
        <v>0</v>
      </c>
      <c r="WS31" s="87">
        <f t="shared" si="720"/>
        <v>0</v>
      </c>
      <c r="WT31" s="87">
        <f t="shared" si="721"/>
        <v>178155</v>
      </c>
      <c r="WU31" s="87">
        <f t="shared" si="722"/>
        <v>1604785.4436991443</v>
      </c>
      <c r="WV31" s="87">
        <f t="shared" si="723"/>
        <v>0</v>
      </c>
      <c r="WW31" s="87">
        <f t="shared" si="724"/>
        <v>0</v>
      </c>
      <c r="WX31" s="87">
        <f t="shared" si="725"/>
        <v>0</v>
      </c>
      <c r="WY31" s="87">
        <f t="shared" si="726"/>
        <v>0</v>
      </c>
      <c r="WZ31" s="87">
        <f t="shared" si="727"/>
        <v>0</v>
      </c>
      <c r="XA31" s="87">
        <f t="shared" si="728"/>
        <v>0</v>
      </c>
      <c r="XB31" s="92">
        <f t="shared" si="729"/>
        <v>895735.24733379297</v>
      </c>
      <c r="XC31" s="92">
        <f t="shared" si="730"/>
        <v>11942824.917037074</v>
      </c>
      <c r="XD31" s="89"/>
      <c r="XE31" s="92">
        <f t="shared" si="638"/>
        <v>4993978.247333793</v>
      </c>
      <c r="XF31" s="92">
        <f t="shared" si="639"/>
        <v>54686227.117037073</v>
      </c>
      <c r="XG31" s="89"/>
      <c r="XH31" s="92">
        <f t="shared" ref="XH31:XI31" si="763">SUM(XE31,XE69)</f>
        <v>9702247.3287042771</v>
      </c>
      <c r="XI31" s="92">
        <f t="shared" si="763"/>
        <v>106147886.79005533</v>
      </c>
      <c r="XJ31" s="89"/>
      <c r="XK31" s="87">
        <f t="shared" si="732"/>
        <v>0</v>
      </c>
      <c r="XL31" s="87">
        <f t="shared" si="733"/>
        <v>9712165.306886239</v>
      </c>
      <c r="XM31" s="87">
        <f t="shared" si="734"/>
        <v>0</v>
      </c>
      <c r="XN31" s="87">
        <f t="shared" si="735"/>
        <v>7407786.7103055483</v>
      </c>
      <c r="XO31" s="87">
        <f t="shared" si="736"/>
        <v>35120</v>
      </c>
      <c r="XP31" s="87">
        <f t="shared" si="737"/>
        <v>0</v>
      </c>
      <c r="XQ31" s="87">
        <f t="shared" si="738"/>
        <v>0</v>
      </c>
      <c r="XR31" s="92">
        <f t="shared" si="739"/>
        <v>17155072.017191786</v>
      </c>
      <c r="XS31" s="89"/>
      <c r="XT31" s="87">
        <f t="shared" si="740"/>
        <v>0</v>
      </c>
      <c r="XU31" s="87">
        <f t="shared" si="741"/>
        <v>125581675.64999387</v>
      </c>
      <c r="XV31" s="87">
        <f t="shared" si="742"/>
        <v>0</v>
      </c>
      <c r="XW31" s="87">
        <f t="shared" si="743"/>
        <v>62242582.352229565</v>
      </c>
      <c r="XX31" s="87">
        <f t="shared" si="744"/>
        <v>421440</v>
      </c>
      <c r="XY31" s="87">
        <f t="shared" si="745"/>
        <v>0</v>
      </c>
      <c r="XZ31" s="87">
        <f t="shared" si="746"/>
        <v>0</v>
      </c>
      <c r="YA31" s="92">
        <f t="shared" si="747"/>
        <v>188245698.00222343</v>
      </c>
      <c r="YB31" s="90"/>
      <c r="YC31" s="90"/>
      <c r="YD31" s="90"/>
      <c r="YE31" s="90"/>
      <c r="YF31" s="90"/>
      <c r="YG31" s="90"/>
      <c r="YH31" s="90"/>
      <c r="YI31" s="90"/>
      <c r="YJ31" s="90"/>
      <c r="YK31" s="90"/>
      <c r="YL31" s="90"/>
      <c r="YM31" s="90"/>
      <c r="YN31" s="90"/>
      <c r="YO31" s="90"/>
      <c r="YP31" s="90"/>
      <c r="YQ31" s="90"/>
      <c r="YR31" s="90"/>
      <c r="YS31" s="90"/>
      <c r="YT31" s="90"/>
      <c r="YU31" s="90"/>
      <c r="YV31" s="90"/>
      <c r="YW31" s="90"/>
      <c r="YX31" s="90"/>
      <c r="YY31" s="90"/>
      <c r="YZ31" s="90"/>
      <c r="ZA31" s="90"/>
      <c r="ZB31" s="90"/>
      <c r="ZC31" s="90"/>
      <c r="ZD31" s="90"/>
      <c r="ZE31" s="90"/>
      <c r="ZF31" s="90"/>
      <c r="ZG31" s="90"/>
      <c r="ZH31" s="90"/>
      <c r="ZI31" s="90"/>
      <c r="ZJ31" s="90"/>
      <c r="ZK31" s="90"/>
      <c r="ZL31" s="90"/>
      <c r="ZM31" s="90"/>
      <c r="ZN31" s="90"/>
      <c r="ZO31" s="90"/>
      <c r="ZP31" s="90"/>
      <c r="ZQ31" s="90"/>
      <c r="ZR31" s="90"/>
      <c r="ZS31" s="90"/>
      <c r="ZT31" s="90"/>
      <c r="ZU31" s="90"/>
      <c r="ZV31" s="90"/>
      <c r="ZW31" s="90"/>
      <c r="ZX31" s="90"/>
      <c r="ZY31" s="90"/>
      <c r="ZZ31" s="90"/>
      <c r="AAA31" s="90"/>
      <c r="AAB31" s="90"/>
      <c r="AAC31" s="90"/>
      <c r="AAD31" s="90"/>
      <c r="AAE31" s="90"/>
      <c r="AAF31" s="90"/>
      <c r="AAG31" s="90"/>
      <c r="AAH31" s="90"/>
      <c r="AAI31" s="90"/>
      <c r="AAJ31" s="90"/>
      <c r="AAK31" s="90"/>
      <c r="AAL31" s="90"/>
      <c r="AAM31" s="90"/>
      <c r="AAN31" s="90"/>
      <c r="AAO31" s="90"/>
      <c r="AAP31" s="90"/>
      <c r="AAQ31" s="90"/>
      <c r="AAR31" s="90"/>
      <c r="AAS31" s="90"/>
      <c r="AAT31" s="90"/>
      <c r="AAU31" s="90"/>
      <c r="AAV31" s="90"/>
      <c r="AAW31" s="90"/>
      <c r="AAX31" s="90"/>
      <c r="AAY31" s="90"/>
      <c r="AAZ31" s="90"/>
      <c r="ABA31" s="90"/>
      <c r="ABB31" s="90"/>
      <c r="ABC31" s="90"/>
      <c r="ABD31" s="90"/>
      <c r="ABE31" s="90"/>
      <c r="ABF31" s="90"/>
      <c r="ABG31" s="90"/>
      <c r="ABH31" s="90"/>
      <c r="ABI31" s="90"/>
      <c r="ABJ31" s="90"/>
      <c r="ABK31" s="90"/>
      <c r="ABL31" s="90"/>
      <c r="ABM31" s="90"/>
      <c r="ABN31" s="90"/>
      <c r="ABO31" s="90"/>
      <c r="ABP31" s="90"/>
      <c r="ABQ31" s="90"/>
      <c r="ABR31" s="90"/>
      <c r="ABS31" s="90"/>
      <c r="ABT31" s="90"/>
      <c r="ABU31" s="90"/>
      <c r="ABV31" s="90"/>
      <c r="ABW31" s="90"/>
      <c r="ABX31" s="90"/>
      <c r="ABY31" s="90"/>
      <c r="ABZ31" s="90"/>
      <c r="ACA31" s="90"/>
      <c r="ACB31" s="90"/>
      <c r="ACC31" s="90"/>
      <c r="ACD31" s="90"/>
      <c r="ACE31" s="90"/>
      <c r="ACF31" s="90"/>
      <c r="ACG31" s="90"/>
      <c r="ACH31" s="90"/>
      <c r="ACI31" s="90"/>
      <c r="ACJ31" s="90"/>
      <c r="ACK31" s="90"/>
      <c r="ACL31" s="90"/>
      <c r="ACM31" s="90"/>
      <c r="ACN31" s="90"/>
      <c r="ACO31" s="90"/>
      <c r="ACP31" s="90"/>
      <c r="ACQ31" s="90"/>
      <c r="ACR31" s="90"/>
      <c r="ACS31" s="90"/>
      <c r="ACT31" s="90"/>
      <c r="ACU31" s="90"/>
      <c r="ACV31" s="90"/>
      <c r="ACW31" s="90"/>
      <c r="ACX31" s="90"/>
      <c r="ACY31" s="90"/>
      <c r="ACZ31" s="90"/>
      <c r="ADA31" s="90"/>
      <c r="ADB31" s="90"/>
      <c r="ADC31" s="90"/>
      <c r="ADD31" s="90"/>
      <c r="ADE31" s="90"/>
      <c r="ADF31" s="90"/>
      <c r="ADG31" s="90"/>
      <c r="ADH31" s="90"/>
      <c r="ADI31" s="90"/>
      <c r="ADJ31" s="90"/>
      <c r="ADK31" s="90"/>
      <c r="ADL31" s="90"/>
      <c r="ADM31" s="90"/>
      <c r="ADN31" s="90"/>
      <c r="ADO31" s="90"/>
      <c r="ADP31" s="90"/>
      <c r="ADQ31" s="90"/>
      <c r="ADR31" s="90"/>
      <c r="ADS31" s="90"/>
      <c r="ADT31" s="90"/>
      <c r="ADU31" s="90"/>
      <c r="ADV31" s="90"/>
      <c r="ADW31" s="90"/>
      <c r="ADX31" s="90"/>
      <c r="ADY31" s="90"/>
      <c r="ADZ31" s="90"/>
      <c r="AEA31" s="90"/>
      <c r="AEB31" s="90"/>
      <c r="AEC31" s="90"/>
      <c r="AED31" s="90"/>
      <c r="AEE31" s="90"/>
      <c r="AEF31" s="90"/>
      <c r="AEG31" s="90"/>
      <c r="AEH31" s="90"/>
      <c r="AEI31" s="90"/>
      <c r="AEJ31" s="90"/>
      <c r="AEK31" s="90"/>
      <c r="AEL31" s="90"/>
      <c r="AEM31" s="90"/>
      <c r="AEN31" s="90"/>
      <c r="AEO31" s="90"/>
      <c r="AEP31" s="90"/>
      <c r="AEQ31" s="90"/>
      <c r="AER31" s="90"/>
      <c r="AES31" s="90"/>
      <c r="AET31" s="90"/>
      <c r="AEU31" s="90"/>
      <c r="AEV31" s="90"/>
      <c r="AEW31" s="90"/>
      <c r="AEX31" s="90"/>
      <c r="AEY31" s="90"/>
      <c r="AEZ31" s="90"/>
      <c r="AFA31" s="90"/>
      <c r="AFB31" s="90"/>
      <c r="AFC31" s="90"/>
      <c r="AFD31" s="90"/>
      <c r="AFE31" s="90"/>
      <c r="AFF31" s="90"/>
      <c r="AFG31" s="90"/>
      <c r="AFH31" s="90"/>
      <c r="AFI31" s="90"/>
      <c r="AFJ31" s="90"/>
      <c r="AFK31" s="90"/>
      <c r="AFL31" s="90"/>
      <c r="AFM31" s="90"/>
      <c r="AFN31" s="90"/>
      <c r="AFO31" s="90"/>
      <c r="AFP31" s="90"/>
      <c r="AFQ31" s="90"/>
      <c r="AFR31" s="90"/>
      <c r="AFS31" s="90"/>
      <c r="AFT31" s="90"/>
      <c r="AFU31" s="90"/>
      <c r="AFV31" s="90"/>
      <c r="AFW31" s="90"/>
      <c r="AFX31" s="90"/>
      <c r="AFY31" s="90"/>
      <c r="AFZ31" s="90"/>
      <c r="AGA31" s="90"/>
      <c r="AGB31" s="90"/>
      <c r="AGC31" s="90"/>
      <c r="AGD31" s="90"/>
      <c r="AGE31" s="90"/>
      <c r="AGF31" s="90"/>
      <c r="AGG31" s="90"/>
      <c r="AGH31" s="90"/>
      <c r="AGI31" s="90"/>
      <c r="AGJ31" s="90"/>
      <c r="AGK31" s="90"/>
      <c r="AGL31" s="90"/>
      <c r="AGM31" s="90"/>
      <c r="AGN31" s="90"/>
      <c r="AGO31" s="90"/>
      <c r="AGP31" s="90"/>
      <c r="AGQ31" s="90"/>
      <c r="AGR31" s="90"/>
      <c r="AGS31" s="90"/>
      <c r="AGT31" s="90"/>
      <c r="AGU31" s="90"/>
      <c r="AGV31" s="90"/>
      <c r="AGW31" s="90"/>
      <c r="AGX31" s="90"/>
      <c r="AGY31" s="90"/>
      <c r="AGZ31" s="90"/>
      <c r="AHA31" s="90"/>
      <c r="AHB31" s="90"/>
      <c r="AHC31" s="90"/>
      <c r="AHD31" s="90"/>
      <c r="AHE31" s="90"/>
      <c r="AHF31" s="90"/>
      <c r="AHG31" s="90"/>
      <c r="AHH31" s="90"/>
      <c r="AHI31" s="90"/>
      <c r="AHJ31" s="90"/>
      <c r="AHK31" s="90"/>
      <c r="AHL31" s="90"/>
      <c r="AHM31" s="90"/>
      <c r="AHN31" s="90"/>
      <c r="AHO31" s="90"/>
      <c r="AHP31" s="90"/>
      <c r="AHQ31" s="90"/>
      <c r="AHR31" s="90"/>
      <c r="AHS31" s="90"/>
      <c r="AHT31" s="90"/>
      <c r="AHU31" s="90"/>
      <c r="AHV31" s="90"/>
      <c r="AHW31" s="90"/>
      <c r="AHX31" s="90"/>
      <c r="AHY31" s="90"/>
      <c r="AHZ31" s="90"/>
      <c r="AIA31" s="90"/>
      <c r="AIB31" s="90"/>
      <c r="AIC31" s="90"/>
      <c r="AID31" s="90"/>
      <c r="AIE31" s="90"/>
      <c r="AIF31" s="90"/>
      <c r="AIG31" s="90"/>
      <c r="AIH31" s="90"/>
      <c r="AII31" s="90"/>
      <c r="AIJ31" s="90"/>
      <c r="AIK31" s="90"/>
      <c r="AIL31" s="90"/>
      <c r="AIM31" s="90"/>
      <c r="AIN31" s="90"/>
      <c r="AIO31" s="90"/>
      <c r="AIP31" s="90"/>
      <c r="AIQ31" s="90"/>
      <c r="AIR31" s="90"/>
      <c r="AIS31" s="90"/>
      <c r="AIT31" s="90"/>
      <c r="AIU31" s="90"/>
      <c r="AIV31" s="90"/>
      <c r="AIW31" s="90"/>
      <c r="AIX31" s="90"/>
      <c r="AIY31" s="90"/>
      <c r="AIZ31" s="90"/>
      <c r="AJA31" s="90"/>
      <c r="AJB31" s="90"/>
      <c r="AJC31" s="90"/>
      <c r="AJD31" s="90"/>
      <c r="AJE31" s="90"/>
      <c r="AJF31" s="90"/>
      <c r="AJG31" s="90"/>
      <c r="AJH31" s="90"/>
      <c r="AJI31" s="90"/>
      <c r="AJJ31" s="90"/>
      <c r="AJK31" s="90"/>
      <c r="AJL31" s="90"/>
      <c r="AJM31" s="90"/>
      <c r="AJN31" s="90"/>
      <c r="AJO31" s="90"/>
      <c r="AJP31" s="90"/>
      <c r="AJQ31" s="90"/>
      <c r="AJR31" s="90"/>
      <c r="AJS31" s="90"/>
      <c r="AJT31" s="90"/>
      <c r="AJU31" s="90"/>
      <c r="AJV31" s="90"/>
      <c r="AJW31" s="90"/>
      <c r="AJX31" s="90"/>
      <c r="AJY31" s="90"/>
      <c r="AJZ31" s="90"/>
      <c r="AKA31" s="90"/>
      <c r="AKB31" s="90"/>
      <c r="AKC31" s="90"/>
      <c r="AKD31" s="90"/>
      <c r="AKE31" s="90"/>
      <c r="AKF31" s="90"/>
      <c r="AKG31" s="90"/>
      <c r="AKH31" s="90"/>
      <c r="AKI31" s="90"/>
      <c r="AKJ31" s="90"/>
      <c r="AKK31" s="90"/>
      <c r="AKL31" s="90"/>
      <c r="AKM31" s="90"/>
      <c r="AKN31" s="90"/>
      <c r="AKO31" s="90"/>
      <c r="AKP31" s="90"/>
      <c r="AKQ31" s="90"/>
      <c r="AKR31" s="90"/>
      <c r="AKS31" s="90"/>
      <c r="AKT31" s="90"/>
      <c r="AKU31" s="90"/>
      <c r="AKV31" s="90"/>
      <c r="AKW31" s="90"/>
      <c r="AKX31" s="90"/>
      <c r="AKY31" s="90"/>
      <c r="AKZ31" s="90"/>
      <c r="ALA31" s="90"/>
      <c r="ALB31" s="90"/>
      <c r="ALC31" s="90"/>
      <c r="ALD31" s="90"/>
      <c r="ALE31" s="90"/>
      <c r="ALF31" s="90"/>
      <c r="ALG31" s="90"/>
      <c r="ALH31" s="90"/>
      <c r="ALI31" s="90"/>
      <c r="ALJ31" s="90"/>
      <c r="ALK31" s="90"/>
      <c r="ALL31" s="90"/>
      <c r="ALM31" s="90"/>
      <c r="ALN31" s="90"/>
      <c r="ALO31" s="90"/>
      <c r="ALP31" s="90"/>
      <c r="ALQ31" s="90"/>
      <c r="ALR31" s="90"/>
      <c r="ALS31" s="90"/>
      <c r="ALT31" s="90"/>
      <c r="ALU31" s="90"/>
      <c r="ALV31" s="90"/>
      <c r="ALW31" s="90"/>
      <c r="ALX31" s="90"/>
      <c r="ALY31" s="90"/>
      <c r="ALZ31" s="90"/>
      <c r="AMA31" s="90"/>
      <c r="AMB31" s="90"/>
      <c r="AMC31" s="90"/>
    </row>
    <row r="32" spans="1:1017">
      <c r="A32" s="98" t="s">
        <v>25</v>
      </c>
      <c r="B32" s="648" t="s">
        <v>552</v>
      </c>
      <c r="I32" s="774">
        <v>14800</v>
      </c>
      <c r="J32" s="774">
        <v>414400</v>
      </c>
      <c r="Q32" s="91">
        <f t="shared" si="640"/>
        <v>14800</v>
      </c>
      <c r="R32" s="91">
        <f t="shared" si="641"/>
        <v>414400</v>
      </c>
      <c r="U32" s="98">
        <v>7550</v>
      </c>
      <c r="V32" s="98">
        <v>151000</v>
      </c>
      <c r="Y32" s="778">
        <v>9775</v>
      </c>
      <c r="Z32" s="778">
        <v>195500</v>
      </c>
      <c r="AA32" s="98">
        <v>3270</v>
      </c>
      <c r="AB32" s="98">
        <v>65400</v>
      </c>
      <c r="AC32" s="98">
        <v>1780</v>
      </c>
      <c r="AD32" s="98">
        <v>35600</v>
      </c>
      <c r="AE32" s="98">
        <v>1180</v>
      </c>
      <c r="AF32" s="98">
        <v>23600</v>
      </c>
      <c r="AG32" s="91">
        <f t="shared" si="642"/>
        <v>23555</v>
      </c>
      <c r="AH32" s="91">
        <f t="shared" si="643"/>
        <v>471100</v>
      </c>
      <c r="AO32" s="740">
        <v>51800</v>
      </c>
      <c r="AP32" s="98">
        <v>1295000</v>
      </c>
      <c r="AQ32" s="98">
        <v>100</v>
      </c>
      <c r="AR32" s="98">
        <v>2500</v>
      </c>
      <c r="AU32" s="98">
        <v>2100</v>
      </c>
      <c r="AV32" s="98">
        <v>52500</v>
      </c>
      <c r="AW32" s="91">
        <f t="shared" si="644"/>
        <v>54000</v>
      </c>
      <c r="AX32" s="91">
        <f t="shared" si="645"/>
        <v>1350000</v>
      </c>
      <c r="BE32" s="740">
        <v>94335</v>
      </c>
      <c r="BF32" s="98">
        <v>2358375</v>
      </c>
      <c r="BG32" s="98">
        <v>9782</v>
      </c>
      <c r="BH32" s="98">
        <v>244550</v>
      </c>
      <c r="BK32" s="98">
        <v>1045</v>
      </c>
      <c r="BL32" s="98">
        <v>26125</v>
      </c>
      <c r="BM32" s="91">
        <f t="shared" si="646"/>
        <v>105162</v>
      </c>
      <c r="BN32" s="91">
        <f t="shared" si="647"/>
        <v>2629050</v>
      </c>
      <c r="BU32" s="98">
        <v>5733</v>
      </c>
      <c r="BV32" s="98">
        <v>154791</v>
      </c>
      <c r="CC32" s="91">
        <f t="shared" si="648"/>
        <v>5733</v>
      </c>
      <c r="CD32" s="91">
        <f t="shared" si="649"/>
        <v>154791</v>
      </c>
      <c r="CG32" s="98">
        <v>26068.817278350012</v>
      </c>
      <c r="CH32" s="98">
        <v>391032.25917525019</v>
      </c>
      <c r="CK32" s="98">
        <v>119298</v>
      </c>
      <c r="CL32" s="98">
        <v>1789469.6606325</v>
      </c>
      <c r="CS32" s="91">
        <f t="shared" si="650"/>
        <v>145366.81727835</v>
      </c>
      <c r="CT32" s="91">
        <f t="shared" si="651"/>
        <v>2180501.9198077503</v>
      </c>
      <c r="DA32" s="740">
        <v>59220</v>
      </c>
      <c r="DB32" s="98">
        <v>1776600</v>
      </c>
      <c r="DC32" s="98">
        <v>260</v>
      </c>
      <c r="DD32" s="98">
        <v>7800</v>
      </c>
      <c r="DI32" s="91">
        <f t="shared" si="652"/>
        <v>59480</v>
      </c>
      <c r="DJ32" s="91">
        <f t="shared" si="653"/>
        <v>1784400</v>
      </c>
      <c r="DQ32" s="740">
        <v>19200</v>
      </c>
      <c r="DR32" s="98">
        <v>384000</v>
      </c>
      <c r="DY32" s="91">
        <f t="shared" si="654"/>
        <v>19200</v>
      </c>
      <c r="DZ32" s="91">
        <f t="shared" si="655"/>
        <v>384000</v>
      </c>
      <c r="EG32" s="740">
        <v>198000</v>
      </c>
      <c r="EH32" s="98">
        <v>4158000</v>
      </c>
      <c r="EO32" s="91">
        <f t="shared" si="656"/>
        <v>198000</v>
      </c>
      <c r="EP32" s="91">
        <f t="shared" si="657"/>
        <v>4158000</v>
      </c>
      <c r="ES32" s="98">
        <v>25251</v>
      </c>
      <c r="ET32" s="98">
        <v>631275</v>
      </c>
      <c r="EW32" s="740">
        <v>606777</v>
      </c>
      <c r="EX32" s="98">
        <v>15169425</v>
      </c>
      <c r="FC32" s="98">
        <v>325</v>
      </c>
      <c r="FD32" s="98">
        <v>8125</v>
      </c>
      <c r="FE32" s="91">
        <f t="shared" si="658"/>
        <v>632353</v>
      </c>
      <c r="FF32" s="91">
        <f t="shared" si="659"/>
        <v>15808825</v>
      </c>
      <c r="FM32" s="740">
        <v>65700</v>
      </c>
      <c r="FN32" s="98">
        <v>1773900</v>
      </c>
      <c r="FS32" s="98">
        <v>75000</v>
      </c>
      <c r="FT32" s="98">
        <v>2250000</v>
      </c>
      <c r="FU32" s="91">
        <f t="shared" si="660"/>
        <v>140700</v>
      </c>
      <c r="FV32" s="91">
        <f t="shared" si="661"/>
        <v>4023900</v>
      </c>
      <c r="GC32" s="740">
        <v>36000</v>
      </c>
      <c r="GD32" s="98">
        <v>1008000</v>
      </c>
      <c r="GK32" s="91">
        <f t="shared" si="662"/>
        <v>36000</v>
      </c>
      <c r="GL32" s="91">
        <f t="shared" si="663"/>
        <v>1008000</v>
      </c>
      <c r="GS32" s="98">
        <v>8100</v>
      </c>
      <c r="GT32" s="98">
        <v>218700</v>
      </c>
      <c r="GY32" s="98">
        <v>100</v>
      </c>
      <c r="GZ32" s="98">
        <v>2700</v>
      </c>
      <c r="HA32" s="91">
        <f t="shared" si="664"/>
        <v>8200</v>
      </c>
      <c r="HB32" s="91">
        <f t="shared" si="665"/>
        <v>221400</v>
      </c>
      <c r="HI32" s="740">
        <v>55000</v>
      </c>
      <c r="HJ32" s="98">
        <v>1265000</v>
      </c>
      <c r="HO32" s="98">
        <v>600000</v>
      </c>
      <c r="HP32" s="98">
        <v>13800000</v>
      </c>
      <c r="HQ32" s="91">
        <f t="shared" si="666"/>
        <v>655000</v>
      </c>
      <c r="HR32" s="91">
        <f t="shared" si="667"/>
        <v>15065000</v>
      </c>
      <c r="HY32" s="740">
        <v>13500</v>
      </c>
      <c r="HZ32" s="98">
        <v>337500</v>
      </c>
      <c r="IG32" s="91">
        <f t="shared" si="668"/>
        <v>13500</v>
      </c>
      <c r="IH32" s="91">
        <f t="shared" si="669"/>
        <v>337500</v>
      </c>
      <c r="IO32" s="740">
        <v>7700</v>
      </c>
      <c r="IP32" s="98">
        <v>192500</v>
      </c>
      <c r="IW32" s="91">
        <f t="shared" si="670"/>
        <v>7700</v>
      </c>
      <c r="IX32" s="91">
        <f t="shared" si="671"/>
        <v>192500</v>
      </c>
      <c r="JE32" s="740">
        <v>6010</v>
      </c>
      <c r="JF32" s="98">
        <v>132220</v>
      </c>
      <c r="JK32" s="98">
        <v>4460</v>
      </c>
      <c r="JL32" s="98">
        <v>98120</v>
      </c>
      <c r="JM32" s="91">
        <f t="shared" si="672"/>
        <v>10470</v>
      </c>
      <c r="JN32" s="91">
        <f t="shared" si="673"/>
        <v>230340</v>
      </c>
      <c r="JU32" s="740">
        <v>2903</v>
      </c>
      <c r="JV32" s="98">
        <v>101605</v>
      </c>
      <c r="KC32" s="91">
        <f t="shared" si="674"/>
        <v>2903</v>
      </c>
      <c r="KD32" s="91">
        <f t="shared" si="675"/>
        <v>101605</v>
      </c>
      <c r="KK32" s="98">
        <v>108</v>
      </c>
      <c r="KL32" s="740">
        <v>2700</v>
      </c>
      <c r="KS32" s="91">
        <f t="shared" si="676"/>
        <v>108</v>
      </c>
      <c r="KT32" s="91">
        <f t="shared" si="677"/>
        <v>2700</v>
      </c>
      <c r="KW32" s="98">
        <v>26359.34</v>
      </c>
      <c r="KX32" s="98">
        <v>527186</v>
      </c>
      <c r="LA32" s="98">
        <v>147654.85</v>
      </c>
      <c r="LB32" s="98">
        <v>2805442</v>
      </c>
      <c r="LG32" s="98">
        <v>11006.95</v>
      </c>
      <c r="LH32" s="98">
        <v>264166</v>
      </c>
      <c r="LI32" s="91">
        <f t="shared" si="678"/>
        <v>185021.14</v>
      </c>
      <c r="LJ32" s="91">
        <f t="shared" si="679"/>
        <v>3596794</v>
      </c>
      <c r="LQ32" s="98">
        <v>4098</v>
      </c>
      <c r="LR32" s="98">
        <v>131136</v>
      </c>
      <c r="LW32" s="98">
        <v>2515</v>
      </c>
      <c r="LX32" s="98">
        <v>85510</v>
      </c>
      <c r="LY32" s="91">
        <f t="shared" si="680"/>
        <v>6613</v>
      </c>
      <c r="LZ32" s="91">
        <f t="shared" si="681"/>
        <v>216646</v>
      </c>
      <c r="MC32" s="98">
        <v>600</v>
      </c>
      <c r="MD32" s="98">
        <v>12000</v>
      </c>
      <c r="MG32" s="740">
        <v>200</v>
      </c>
      <c r="MH32" s="98">
        <v>4000</v>
      </c>
      <c r="MM32" s="98">
        <v>3200</v>
      </c>
      <c r="MN32" s="98">
        <v>64000</v>
      </c>
      <c r="MO32" s="91">
        <f t="shared" si="682"/>
        <v>4000</v>
      </c>
      <c r="MP32" s="91">
        <f t="shared" si="683"/>
        <v>80000</v>
      </c>
      <c r="MW32" s="740">
        <v>630</v>
      </c>
      <c r="MX32" s="98">
        <v>18900</v>
      </c>
      <c r="NE32" s="91">
        <f t="shared" si="684"/>
        <v>630</v>
      </c>
      <c r="NF32" s="91">
        <f t="shared" si="685"/>
        <v>18900</v>
      </c>
      <c r="NI32" s="98">
        <v>963800</v>
      </c>
      <c r="NJ32" s="98">
        <v>17348400</v>
      </c>
      <c r="NM32" s="98">
        <v>50500</v>
      </c>
      <c r="NN32" s="98">
        <v>909000</v>
      </c>
      <c r="NQ32" s="98">
        <v>6800</v>
      </c>
      <c r="NR32" s="98">
        <v>122400</v>
      </c>
      <c r="NU32" s="91">
        <f t="shared" si="686"/>
        <v>1021100</v>
      </c>
      <c r="NV32" s="91">
        <f t="shared" si="687"/>
        <v>18379800</v>
      </c>
      <c r="OC32" s="740">
        <v>150</v>
      </c>
      <c r="OD32" s="98">
        <v>3300</v>
      </c>
      <c r="OK32" s="91">
        <f t="shared" si="688"/>
        <v>150</v>
      </c>
      <c r="OL32" s="91">
        <f t="shared" si="689"/>
        <v>3300</v>
      </c>
      <c r="OO32" s="98">
        <v>3010</v>
      </c>
      <c r="OP32" s="98">
        <v>105350</v>
      </c>
      <c r="OS32" s="740"/>
      <c r="PA32" s="91">
        <f t="shared" si="690"/>
        <v>3010</v>
      </c>
      <c r="PB32" s="91">
        <f t="shared" si="691"/>
        <v>105350</v>
      </c>
      <c r="PI32" s="98">
        <v>14570</v>
      </c>
      <c r="PJ32" s="98">
        <v>262267</v>
      </c>
      <c r="PQ32" s="91">
        <f t="shared" si="692"/>
        <v>14570</v>
      </c>
      <c r="PR32" s="91">
        <f t="shared" si="693"/>
        <v>262267</v>
      </c>
      <c r="PU32" s="98">
        <v>130910</v>
      </c>
      <c r="PV32" s="98">
        <v>2356380</v>
      </c>
      <c r="PY32" s="98">
        <v>54650</v>
      </c>
      <c r="PZ32" s="98">
        <v>983700</v>
      </c>
      <c r="QA32" s="98">
        <v>289810</v>
      </c>
      <c r="QB32" s="98">
        <v>5216580</v>
      </c>
      <c r="QC32" s="98">
        <v>155920</v>
      </c>
      <c r="QD32" s="98">
        <v>2806560</v>
      </c>
      <c r="QG32" s="91">
        <f t="shared" si="694"/>
        <v>631290</v>
      </c>
      <c r="QH32" s="91">
        <f t="shared" si="695"/>
        <v>11363220</v>
      </c>
      <c r="QO32" s="98">
        <v>9000</v>
      </c>
      <c r="QP32" s="98">
        <v>162000</v>
      </c>
      <c r="QW32" s="91">
        <f t="shared" si="696"/>
        <v>9000</v>
      </c>
      <c r="QX32" s="91">
        <f t="shared" si="697"/>
        <v>162000</v>
      </c>
      <c r="RE32" s="98">
        <v>2990</v>
      </c>
      <c r="RF32" s="98">
        <f>RE32*27</f>
        <v>80730</v>
      </c>
      <c r="RM32" s="91">
        <f t="shared" si="698"/>
        <v>2990</v>
      </c>
      <c r="RN32" s="91">
        <f t="shared" si="699"/>
        <v>80730</v>
      </c>
      <c r="RU32" s="740">
        <v>6840</v>
      </c>
      <c r="RV32" s="98">
        <v>171000</v>
      </c>
      <c r="SC32" s="91">
        <f t="shared" si="700"/>
        <v>6840</v>
      </c>
      <c r="SD32" s="91">
        <f t="shared" si="701"/>
        <v>171000</v>
      </c>
      <c r="SK32" s="740"/>
      <c r="SS32" s="91">
        <f t="shared" si="702"/>
        <v>0</v>
      </c>
      <c r="ST32" s="91">
        <f t="shared" si="703"/>
        <v>0</v>
      </c>
      <c r="TA32" s="740">
        <v>2450</v>
      </c>
      <c r="TB32" s="98">
        <v>73500</v>
      </c>
      <c r="TI32" s="91">
        <f t="shared" si="704"/>
        <v>2450</v>
      </c>
      <c r="TJ32" s="91">
        <f t="shared" si="705"/>
        <v>73500</v>
      </c>
      <c r="TQ32" s="740">
        <v>3000</v>
      </c>
      <c r="TR32" s="98">
        <v>72000</v>
      </c>
      <c r="TU32" s="98">
        <v>150</v>
      </c>
      <c r="TV32" s="98">
        <v>4500</v>
      </c>
      <c r="TY32" s="91">
        <f t="shared" si="706"/>
        <v>3150</v>
      </c>
      <c r="TZ32" s="91">
        <f t="shared" si="707"/>
        <v>76500</v>
      </c>
      <c r="UG32" s="98">
        <v>510</v>
      </c>
      <c r="UH32" s="98">
        <v>11730</v>
      </c>
      <c r="UO32" s="91">
        <f t="shared" si="708"/>
        <v>510</v>
      </c>
      <c r="UP32" s="91">
        <f t="shared" ref="UP32:UP48" si="764">SUMIF($C$12:$P$12,$A$3,UA32:UN32)</f>
        <v>11730</v>
      </c>
      <c r="UW32" s="740"/>
      <c r="VE32" s="91">
        <f t="shared" si="709"/>
        <v>0</v>
      </c>
      <c r="VF32" s="91">
        <f t="shared" si="710"/>
        <v>0</v>
      </c>
      <c r="VI32" s="98">
        <v>434.5</v>
      </c>
      <c r="VJ32" s="98">
        <v>9993.5</v>
      </c>
      <c r="VM32" s="98">
        <v>975.7</v>
      </c>
      <c r="VN32" s="98">
        <v>24392.5</v>
      </c>
      <c r="VU32" s="91">
        <f t="shared" si="711"/>
        <v>1410.2</v>
      </c>
      <c r="VV32" s="91">
        <f t="shared" si="712"/>
        <v>34386</v>
      </c>
      <c r="VY32" s="98">
        <v>101044</v>
      </c>
      <c r="VZ32" s="98">
        <v>2829232</v>
      </c>
      <c r="WC32" s="740">
        <v>101550</v>
      </c>
      <c r="WD32" s="98">
        <v>3046500</v>
      </c>
      <c r="WK32" s="91">
        <f t="shared" si="713"/>
        <v>202594</v>
      </c>
      <c r="WL32" s="91">
        <f t="shared" si="714"/>
        <v>5875732</v>
      </c>
      <c r="WM32" s="89"/>
      <c r="WN32" s="87">
        <f t="shared" si="715"/>
        <v>0</v>
      </c>
      <c r="WO32" s="87">
        <f t="shared" si="716"/>
        <v>0</v>
      </c>
      <c r="WP32" s="87">
        <f t="shared" si="717"/>
        <v>1285027.6572783501</v>
      </c>
      <c r="WQ32" s="87">
        <f t="shared" si="718"/>
        <v>24361848.759175248</v>
      </c>
      <c r="WR32" s="87">
        <f t="shared" si="719"/>
        <v>0</v>
      </c>
      <c r="WS32" s="87">
        <f t="shared" si="720"/>
        <v>0</v>
      </c>
      <c r="WT32" s="87">
        <f t="shared" si="721"/>
        <v>1773727.55</v>
      </c>
      <c r="WU32" s="87">
        <f t="shared" si="722"/>
        <v>41487283.160632499</v>
      </c>
      <c r="WV32" s="87">
        <f t="shared" si="723"/>
        <v>303222</v>
      </c>
      <c r="WW32" s="87">
        <f t="shared" si="724"/>
        <v>5536830</v>
      </c>
      <c r="WX32" s="87">
        <f t="shared" si="725"/>
        <v>164650</v>
      </c>
      <c r="WY32" s="87">
        <f t="shared" si="726"/>
        <v>2969060</v>
      </c>
      <c r="WZ32" s="87">
        <f t="shared" si="727"/>
        <v>700931.95</v>
      </c>
      <c r="XA32" s="87">
        <f t="shared" si="728"/>
        <v>16674846</v>
      </c>
      <c r="XB32" s="92">
        <f t="shared" si="729"/>
        <v>4227559.1572783506</v>
      </c>
      <c r="XC32" s="92">
        <f t="shared" si="730"/>
        <v>91029867.919807747</v>
      </c>
      <c r="XD32" s="89"/>
      <c r="XE32" s="92">
        <f t="shared" si="638"/>
        <v>15176375.177278351</v>
      </c>
      <c r="XF32" s="92">
        <f t="shared" si="639"/>
        <v>325210957.12561488</v>
      </c>
      <c r="XG32" s="89"/>
      <c r="XH32" s="92">
        <f t="shared" ref="XH32:XI32" si="765">SUM(XE32,XE70)</f>
        <v>34809985.253135458</v>
      </c>
      <c r="XI32" s="92">
        <f t="shared" si="765"/>
        <v>678883651.19761801</v>
      </c>
      <c r="XJ32" s="89"/>
      <c r="XK32" s="87">
        <f t="shared" si="732"/>
        <v>0</v>
      </c>
      <c r="XL32" s="87">
        <f t="shared" si="733"/>
        <v>19709732.647203978</v>
      </c>
      <c r="XM32" s="87">
        <f t="shared" si="734"/>
        <v>0</v>
      </c>
      <c r="XN32" s="87">
        <f t="shared" si="735"/>
        <v>27568836.800272476</v>
      </c>
      <c r="XO32" s="87">
        <f t="shared" si="736"/>
        <v>2684986.000366</v>
      </c>
      <c r="XP32" s="87">
        <f t="shared" si="737"/>
        <v>1750510</v>
      </c>
      <c r="XQ32" s="87">
        <f t="shared" si="738"/>
        <v>5424209.9400000004</v>
      </c>
      <c r="XR32" s="92">
        <f t="shared" si="739"/>
        <v>57138275.387842454</v>
      </c>
      <c r="XS32" s="89"/>
      <c r="XT32" s="87">
        <f t="shared" si="740"/>
        <v>0</v>
      </c>
      <c r="XU32" s="87">
        <f t="shared" si="741"/>
        <v>363974007.48519796</v>
      </c>
      <c r="XV32" s="87">
        <f t="shared" si="742"/>
        <v>0</v>
      </c>
      <c r="XW32" s="87">
        <f t="shared" si="743"/>
        <v>551418462.05495596</v>
      </c>
      <c r="XX32" s="87">
        <f t="shared" si="744"/>
        <v>37515596.015000001</v>
      </c>
      <c r="XY32" s="87">
        <f t="shared" si="745"/>
        <v>31609520</v>
      </c>
      <c r="XZ32" s="87">
        <f t="shared" si="746"/>
        <v>111107735</v>
      </c>
      <c r="YA32" s="92">
        <f t="shared" si="747"/>
        <v>1095625320.5551538</v>
      </c>
      <c r="YB32" s="90"/>
      <c r="YC32" s="90"/>
      <c r="YD32" s="90"/>
      <c r="YE32" s="90"/>
      <c r="YF32" s="90"/>
      <c r="YG32" s="90"/>
      <c r="YH32" s="90"/>
      <c r="YI32" s="90"/>
      <c r="YJ32" s="90"/>
      <c r="YK32" s="90"/>
      <c r="YL32" s="90"/>
      <c r="YM32" s="90"/>
      <c r="YN32" s="90"/>
      <c r="YO32" s="90"/>
      <c r="YP32" s="90"/>
      <c r="YQ32" s="90"/>
      <c r="YR32" s="90"/>
      <c r="YS32" s="90"/>
      <c r="YT32" s="90"/>
      <c r="YU32" s="90"/>
      <c r="YV32" s="90"/>
      <c r="YW32" s="90"/>
      <c r="YX32" s="90"/>
      <c r="YY32" s="90"/>
      <c r="YZ32" s="90"/>
      <c r="ZA32" s="90"/>
      <c r="ZB32" s="90"/>
      <c r="ZC32" s="90"/>
      <c r="ZD32" s="90"/>
      <c r="ZE32" s="90"/>
      <c r="ZF32" s="90"/>
      <c r="ZG32" s="90"/>
      <c r="ZH32" s="90"/>
      <c r="ZI32" s="90"/>
      <c r="ZJ32" s="90"/>
      <c r="ZK32" s="90"/>
      <c r="ZL32" s="90"/>
      <c r="ZM32" s="90"/>
      <c r="ZN32" s="90"/>
      <c r="ZO32" s="90"/>
      <c r="ZP32" s="90"/>
      <c r="ZQ32" s="90"/>
      <c r="ZR32" s="90"/>
      <c r="ZS32" s="90"/>
      <c r="ZT32" s="90"/>
      <c r="ZU32" s="90"/>
      <c r="ZV32" s="90"/>
      <c r="ZW32" s="90"/>
      <c r="ZX32" s="90"/>
      <c r="ZY32" s="90"/>
      <c r="ZZ32" s="90"/>
      <c r="AAA32" s="90"/>
      <c r="AAB32" s="90"/>
      <c r="AAC32" s="90"/>
      <c r="AAD32" s="90"/>
      <c r="AAE32" s="90"/>
      <c r="AAF32" s="90"/>
      <c r="AAG32" s="90"/>
      <c r="AAH32" s="90"/>
      <c r="AAI32" s="90"/>
      <c r="AAJ32" s="90"/>
      <c r="AAK32" s="90"/>
      <c r="AAL32" s="90"/>
      <c r="AAM32" s="90"/>
      <c r="AAN32" s="90"/>
      <c r="AAO32" s="90"/>
      <c r="AAP32" s="90"/>
      <c r="AAQ32" s="90"/>
      <c r="AAR32" s="90"/>
      <c r="AAS32" s="90"/>
      <c r="AAT32" s="90"/>
      <c r="AAU32" s="90"/>
      <c r="AAV32" s="90"/>
      <c r="AAW32" s="90"/>
      <c r="AAX32" s="90"/>
      <c r="AAY32" s="90"/>
      <c r="AAZ32" s="90"/>
      <c r="ABA32" s="90"/>
      <c r="ABB32" s="90"/>
      <c r="ABC32" s="90"/>
      <c r="ABD32" s="90"/>
      <c r="ABE32" s="90"/>
      <c r="ABF32" s="90"/>
      <c r="ABG32" s="90"/>
      <c r="ABH32" s="90"/>
      <c r="ABI32" s="90"/>
      <c r="ABJ32" s="90"/>
      <c r="ABK32" s="90"/>
      <c r="ABL32" s="90"/>
      <c r="ABM32" s="90"/>
      <c r="ABN32" s="90"/>
      <c r="ABO32" s="90"/>
      <c r="ABP32" s="90"/>
      <c r="ABQ32" s="90"/>
      <c r="ABR32" s="90"/>
      <c r="ABS32" s="90"/>
      <c r="ABT32" s="90"/>
      <c r="ABU32" s="90"/>
      <c r="ABV32" s="90"/>
      <c r="ABW32" s="90"/>
      <c r="ABX32" s="90"/>
      <c r="ABY32" s="90"/>
      <c r="ABZ32" s="90"/>
      <c r="ACA32" s="90"/>
      <c r="ACB32" s="90"/>
      <c r="ACC32" s="90"/>
      <c r="ACD32" s="90"/>
      <c r="ACE32" s="90"/>
      <c r="ACF32" s="90"/>
      <c r="ACG32" s="90"/>
      <c r="ACH32" s="90"/>
      <c r="ACI32" s="90"/>
      <c r="ACJ32" s="90"/>
      <c r="ACK32" s="90"/>
      <c r="ACL32" s="90"/>
      <c r="ACM32" s="90"/>
      <c r="ACN32" s="90"/>
      <c r="ACO32" s="90"/>
      <c r="ACP32" s="90"/>
      <c r="ACQ32" s="90"/>
      <c r="ACR32" s="90"/>
      <c r="ACS32" s="90"/>
      <c r="ACT32" s="90"/>
      <c r="ACU32" s="90"/>
      <c r="ACV32" s="90"/>
      <c r="ACW32" s="90"/>
      <c r="ACX32" s="90"/>
      <c r="ACY32" s="90"/>
      <c r="ACZ32" s="90"/>
      <c r="ADA32" s="90"/>
      <c r="ADB32" s="90"/>
      <c r="ADC32" s="90"/>
      <c r="ADD32" s="90"/>
      <c r="ADE32" s="90"/>
      <c r="ADF32" s="90"/>
      <c r="ADG32" s="90"/>
      <c r="ADH32" s="90"/>
      <c r="ADI32" s="90"/>
      <c r="ADJ32" s="90"/>
      <c r="ADK32" s="90"/>
      <c r="ADL32" s="90"/>
      <c r="ADM32" s="90"/>
      <c r="ADN32" s="90"/>
      <c r="ADO32" s="90"/>
      <c r="ADP32" s="90"/>
      <c r="ADQ32" s="90"/>
      <c r="ADR32" s="90"/>
      <c r="ADS32" s="90"/>
      <c r="ADT32" s="90"/>
      <c r="ADU32" s="90"/>
      <c r="ADV32" s="90"/>
      <c r="ADW32" s="90"/>
      <c r="ADX32" s="90"/>
      <c r="ADY32" s="90"/>
      <c r="ADZ32" s="90"/>
      <c r="AEA32" s="90"/>
      <c r="AEB32" s="90"/>
      <c r="AEC32" s="90"/>
      <c r="AED32" s="90"/>
      <c r="AEE32" s="90"/>
      <c r="AEF32" s="90"/>
      <c r="AEG32" s="90"/>
      <c r="AEH32" s="90"/>
      <c r="AEI32" s="90"/>
      <c r="AEJ32" s="90"/>
      <c r="AEK32" s="90"/>
      <c r="AEL32" s="90"/>
      <c r="AEM32" s="90"/>
      <c r="AEN32" s="90"/>
      <c r="AEO32" s="90"/>
      <c r="AEP32" s="90"/>
      <c r="AEQ32" s="90"/>
      <c r="AER32" s="90"/>
      <c r="AES32" s="90"/>
      <c r="AET32" s="90"/>
      <c r="AEU32" s="90"/>
      <c r="AEV32" s="90"/>
      <c r="AEW32" s="90"/>
      <c r="AEX32" s="90"/>
      <c r="AEY32" s="90"/>
      <c r="AEZ32" s="90"/>
      <c r="AFA32" s="90"/>
      <c r="AFB32" s="90"/>
      <c r="AFC32" s="90"/>
      <c r="AFD32" s="90"/>
      <c r="AFE32" s="90"/>
      <c r="AFF32" s="90"/>
      <c r="AFG32" s="90"/>
      <c r="AFH32" s="90"/>
      <c r="AFI32" s="90"/>
      <c r="AFJ32" s="90"/>
      <c r="AFK32" s="90"/>
      <c r="AFL32" s="90"/>
      <c r="AFM32" s="90"/>
      <c r="AFN32" s="90"/>
      <c r="AFO32" s="90"/>
      <c r="AFP32" s="90"/>
      <c r="AFQ32" s="90"/>
      <c r="AFR32" s="90"/>
      <c r="AFS32" s="90"/>
      <c r="AFT32" s="90"/>
      <c r="AFU32" s="90"/>
      <c r="AFV32" s="90"/>
      <c r="AFW32" s="90"/>
      <c r="AFX32" s="90"/>
      <c r="AFY32" s="90"/>
      <c r="AFZ32" s="90"/>
      <c r="AGA32" s="90"/>
      <c r="AGB32" s="90"/>
      <c r="AGC32" s="90"/>
      <c r="AGD32" s="90"/>
      <c r="AGE32" s="90"/>
      <c r="AGF32" s="90"/>
      <c r="AGG32" s="90"/>
      <c r="AGH32" s="90"/>
      <c r="AGI32" s="90"/>
      <c r="AGJ32" s="90"/>
      <c r="AGK32" s="90"/>
      <c r="AGL32" s="90"/>
      <c r="AGM32" s="90"/>
      <c r="AGN32" s="90"/>
      <c r="AGO32" s="90"/>
      <c r="AGP32" s="90"/>
      <c r="AGQ32" s="90"/>
      <c r="AGR32" s="90"/>
      <c r="AGS32" s="90"/>
      <c r="AGT32" s="90"/>
      <c r="AGU32" s="90"/>
      <c r="AGV32" s="90"/>
      <c r="AGW32" s="90"/>
      <c r="AGX32" s="90"/>
      <c r="AGY32" s="90"/>
      <c r="AGZ32" s="90"/>
      <c r="AHA32" s="90"/>
      <c r="AHB32" s="90"/>
      <c r="AHC32" s="90"/>
      <c r="AHD32" s="90"/>
      <c r="AHE32" s="90"/>
      <c r="AHF32" s="90"/>
      <c r="AHG32" s="90"/>
      <c r="AHH32" s="90"/>
      <c r="AHI32" s="90"/>
      <c r="AHJ32" s="90"/>
      <c r="AHK32" s="90"/>
      <c r="AHL32" s="90"/>
      <c r="AHM32" s="90"/>
      <c r="AHN32" s="90"/>
      <c r="AHO32" s="90"/>
      <c r="AHP32" s="90"/>
      <c r="AHQ32" s="90"/>
      <c r="AHR32" s="90"/>
      <c r="AHS32" s="90"/>
      <c r="AHT32" s="90"/>
      <c r="AHU32" s="90"/>
      <c r="AHV32" s="90"/>
      <c r="AHW32" s="90"/>
      <c r="AHX32" s="90"/>
      <c r="AHY32" s="90"/>
      <c r="AHZ32" s="90"/>
      <c r="AIA32" s="90"/>
      <c r="AIB32" s="90"/>
      <c r="AIC32" s="90"/>
      <c r="AID32" s="90"/>
      <c r="AIE32" s="90"/>
      <c r="AIF32" s="90"/>
      <c r="AIG32" s="90"/>
      <c r="AIH32" s="90"/>
      <c r="AII32" s="90"/>
      <c r="AIJ32" s="90"/>
      <c r="AIK32" s="90"/>
      <c r="AIL32" s="90"/>
      <c r="AIM32" s="90"/>
      <c r="AIN32" s="90"/>
      <c r="AIO32" s="90"/>
      <c r="AIP32" s="90"/>
      <c r="AIQ32" s="90"/>
      <c r="AIR32" s="90"/>
      <c r="AIS32" s="90"/>
      <c r="AIT32" s="90"/>
      <c r="AIU32" s="90"/>
      <c r="AIV32" s="90"/>
      <c r="AIW32" s="90"/>
      <c r="AIX32" s="90"/>
      <c r="AIY32" s="90"/>
      <c r="AIZ32" s="90"/>
      <c r="AJA32" s="90"/>
      <c r="AJB32" s="90"/>
      <c r="AJC32" s="90"/>
      <c r="AJD32" s="90"/>
      <c r="AJE32" s="90"/>
      <c r="AJF32" s="90"/>
      <c r="AJG32" s="90"/>
      <c r="AJH32" s="90"/>
      <c r="AJI32" s="90"/>
      <c r="AJJ32" s="90"/>
      <c r="AJK32" s="90"/>
      <c r="AJL32" s="90"/>
      <c r="AJM32" s="90"/>
      <c r="AJN32" s="90"/>
      <c r="AJO32" s="90"/>
      <c r="AJP32" s="90"/>
      <c r="AJQ32" s="90"/>
      <c r="AJR32" s="90"/>
      <c r="AJS32" s="90"/>
      <c r="AJT32" s="90"/>
      <c r="AJU32" s="90"/>
      <c r="AJV32" s="90"/>
      <c r="AJW32" s="90"/>
      <c r="AJX32" s="90"/>
      <c r="AJY32" s="90"/>
      <c r="AJZ32" s="90"/>
      <c r="AKA32" s="90"/>
      <c r="AKB32" s="90"/>
      <c r="AKC32" s="90"/>
      <c r="AKD32" s="90"/>
      <c r="AKE32" s="90"/>
      <c r="AKF32" s="90"/>
      <c r="AKG32" s="90"/>
      <c r="AKH32" s="90"/>
      <c r="AKI32" s="90"/>
      <c r="AKJ32" s="90"/>
      <c r="AKK32" s="90"/>
      <c r="AKL32" s="90"/>
      <c r="AKM32" s="90"/>
      <c r="AKN32" s="90"/>
      <c r="AKO32" s="90"/>
      <c r="AKP32" s="90"/>
      <c r="AKQ32" s="90"/>
      <c r="AKR32" s="90"/>
      <c r="AKS32" s="90"/>
      <c r="AKT32" s="90"/>
      <c r="AKU32" s="90"/>
      <c r="AKV32" s="90"/>
      <c r="AKW32" s="90"/>
      <c r="AKX32" s="90"/>
      <c r="AKY32" s="90"/>
      <c r="AKZ32" s="90"/>
      <c r="ALA32" s="90"/>
      <c r="ALB32" s="90"/>
      <c r="ALC32" s="90"/>
      <c r="ALD32" s="90"/>
      <c r="ALE32" s="90"/>
      <c r="ALF32" s="90"/>
      <c r="ALG32" s="90"/>
      <c r="ALH32" s="90"/>
      <c r="ALI32" s="90"/>
      <c r="ALJ32" s="90"/>
      <c r="ALK32" s="90"/>
      <c r="ALL32" s="90"/>
      <c r="ALM32" s="90"/>
      <c r="ALN32" s="90"/>
      <c r="ALO32" s="90"/>
      <c r="ALP32" s="90"/>
      <c r="ALQ32" s="90"/>
      <c r="ALR32" s="90"/>
      <c r="ALS32" s="90"/>
      <c r="ALT32" s="90"/>
      <c r="ALU32" s="90"/>
      <c r="ALV32" s="90"/>
      <c r="ALW32" s="90"/>
      <c r="ALX32" s="90"/>
      <c r="ALY32" s="90"/>
      <c r="ALZ32" s="90"/>
      <c r="AMA32" s="90"/>
      <c r="AMB32" s="90"/>
      <c r="AMC32" s="90"/>
    </row>
    <row r="33" spans="1:1017">
      <c r="A33" s="98" t="s">
        <v>25</v>
      </c>
      <c r="B33" s="648" t="s">
        <v>553</v>
      </c>
      <c r="Q33" s="91">
        <f t="shared" si="640"/>
        <v>0</v>
      </c>
      <c r="R33" s="91">
        <f t="shared" si="641"/>
        <v>0</v>
      </c>
      <c r="Y33" s="778">
        <v>251875</v>
      </c>
      <c r="Z33" s="778">
        <v>5037500</v>
      </c>
      <c r="AG33" s="91">
        <f t="shared" si="642"/>
        <v>251875</v>
      </c>
      <c r="AH33" s="91">
        <f t="shared" si="643"/>
        <v>5037500</v>
      </c>
      <c r="AO33" s="98">
        <v>9200</v>
      </c>
      <c r="AP33" s="98">
        <v>147200</v>
      </c>
      <c r="AW33" s="91">
        <f t="shared" si="644"/>
        <v>9200</v>
      </c>
      <c r="AX33" s="91">
        <f t="shared" si="645"/>
        <v>147200</v>
      </c>
      <c r="BE33" s="98">
        <v>28772</v>
      </c>
      <c r="BF33" s="98">
        <v>517896</v>
      </c>
      <c r="BK33" s="98">
        <v>1337</v>
      </c>
      <c r="BL33" s="98">
        <v>24066</v>
      </c>
      <c r="BM33" s="91">
        <f t="shared" si="646"/>
        <v>30109</v>
      </c>
      <c r="BN33" s="91">
        <f t="shared" si="647"/>
        <v>541962</v>
      </c>
      <c r="CC33" s="91">
        <f t="shared" si="648"/>
        <v>0</v>
      </c>
      <c r="CD33" s="91">
        <f t="shared" si="649"/>
        <v>0</v>
      </c>
      <c r="CK33" s="98">
        <v>1241</v>
      </c>
      <c r="CL33" s="98">
        <v>24822.061235947083</v>
      </c>
      <c r="CS33" s="91">
        <f t="shared" si="650"/>
        <v>1241</v>
      </c>
      <c r="CT33" s="91">
        <f t="shared" si="651"/>
        <v>24822.061235947083</v>
      </c>
      <c r="DI33" s="91">
        <f t="shared" si="652"/>
        <v>0</v>
      </c>
      <c r="DJ33" s="91">
        <f t="shared" si="653"/>
        <v>0</v>
      </c>
      <c r="DQ33" s="98">
        <v>167300</v>
      </c>
      <c r="DR33" s="98">
        <v>3011400</v>
      </c>
      <c r="DY33" s="91">
        <f t="shared" si="654"/>
        <v>167300</v>
      </c>
      <c r="DZ33" s="91">
        <f t="shared" si="655"/>
        <v>3011400</v>
      </c>
      <c r="EG33" s="98">
        <v>17000</v>
      </c>
      <c r="EH33" s="98">
        <v>255000</v>
      </c>
      <c r="EO33" s="91">
        <f t="shared" si="656"/>
        <v>17000</v>
      </c>
      <c r="EP33" s="91">
        <f t="shared" si="657"/>
        <v>255000</v>
      </c>
      <c r="EW33" s="98">
        <v>605</v>
      </c>
      <c r="EX33" s="98">
        <v>10890</v>
      </c>
      <c r="FE33" s="91">
        <f t="shared" si="658"/>
        <v>605</v>
      </c>
      <c r="FF33" s="91">
        <f t="shared" si="659"/>
        <v>10890</v>
      </c>
      <c r="FM33" s="98">
        <v>700</v>
      </c>
      <c r="FN33" s="98">
        <v>17500</v>
      </c>
      <c r="FU33" s="91">
        <f t="shared" si="660"/>
        <v>700</v>
      </c>
      <c r="FV33" s="91">
        <f t="shared" si="661"/>
        <v>17500</v>
      </c>
      <c r="GC33" s="98">
        <v>27500</v>
      </c>
      <c r="GD33" s="98">
        <v>440000</v>
      </c>
      <c r="GK33" s="91">
        <f t="shared" si="662"/>
        <v>27500</v>
      </c>
      <c r="GL33" s="91">
        <f t="shared" si="663"/>
        <v>440000</v>
      </c>
      <c r="GS33" s="98">
        <v>2850</v>
      </c>
      <c r="GT33" s="98">
        <v>47025</v>
      </c>
      <c r="HA33" s="91">
        <f t="shared" si="664"/>
        <v>2850</v>
      </c>
      <c r="HB33" s="91">
        <f t="shared" si="665"/>
        <v>47025</v>
      </c>
      <c r="HQ33" s="91">
        <f t="shared" si="666"/>
        <v>0</v>
      </c>
      <c r="HR33" s="91">
        <f t="shared" si="667"/>
        <v>0</v>
      </c>
      <c r="HY33" s="98">
        <v>5500</v>
      </c>
      <c r="HZ33" s="98">
        <v>93500</v>
      </c>
      <c r="IG33" s="91">
        <f t="shared" si="668"/>
        <v>5500</v>
      </c>
      <c r="IH33" s="91">
        <f t="shared" si="669"/>
        <v>93500</v>
      </c>
      <c r="IO33" s="98">
        <v>7000</v>
      </c>
      <c r="IP33" s="98">
        <v>133000</v>
      </c>
      <c r="IW33" s="91">
        <f t="shared" si="670"/>
        <v>7000</v>
      </c>
      <c r="IX33" s="91">
        <f t="shared" si="671"/>
        <v>133000</v>
      </c>
      <c r="JE33" s="98">
        <v>14300</v>
      </c>
      <c r="JF33" s="98">
        <v>257400</v>
      </c>
      <c r="JK33" s="98">
        <v>6103</v>
      </c>
      <c r="JL33" s="98">
        <v>109854</v>
      </c>
      <c r="JM33" s="91">
        <f t="shared" si="672"/>
        <v>20403</v>
      </c>
      <c r="JN33" s="91">
        <f t="shared" si="673"/>
        <v>367254</v>
      </c>
      <c r="KC33" s="91">
        <f t="shared" si="674"/>
        <v>0</v>
      </c>
      <c r="KD33" s="91">
        <f t="shared" si="675"/>
        <v>0</v>
      </c>
      <c r="KS33" s="91">
        <f t="shared" si="676"/>
        <v>0</v>
      </c>
      <c r="KT33" s="91">
        <f t="shared" si="677"/>
        <v>0</v>
      </c>
      <c r="LG33" s="98">
        <v>2385.04</v>
      </c>
      <c r="LH33" s="98">
        <v>57240</v>
      </c>
      <c r="LI33" s="91">
        <f t="shared" si="678"/>
        <v>2385.04</v>
      </c>
      <c r="LJ33" s="91">
        <f t="shared" si="679"/>
        <v>57240</v>
      </c>
      <c r="LQ33" s="98">
        <v>1528</v>
      </c>
      <c r="LR33" s="98">
        <v>29032</v>
      </c>
      <c r="LY33" s="91">
        <f t="shared" si="680"/>
        <v>1528</v>
      </c>
      <c r="LZ33" s="91">
        <f t="shared" si="681"/>
        <v>29032</v>
      </c>
      <c r="MO33" s="91">
        <f t="shared" si="682"/>
        <v>0</v>
      </c>
      <c r="MP33" s="91">
        <f t="shared" si="683"/>
        <v>0</v>
      </c>
      <c r="NE33" s="91">
        <f t="shared" si="684"/>
        <v>0</v>
      </c>
      <c r="NF33" s="91">
        <f t="shared" si="685"/>
        <v>0</v>
      </c>
      <c r="NM33" s="98">
        <v>31000</v>
      </c>
      <c r="NN33" s="98">
        <v>558000</v>
      </c>
      <c r="NQ33" s="98">
        <v>27200</v>
      </c>
      <c r="NR33" s="98">
        <v>489600</v>
      </c>
      <c r="NU33" s="91">
        <f t="shared" si="686"/>
        <v>58200</v>
      </c>
      <c r="NV33" s="91">
        <f t="shared" si="687"/>
        <v>1047600</v>
      </c>
      <c r="OK33" s="91">
        <f t="shared" si="688"/>
        <v>0</v>
      </c>
      <c r="OL33" s="91">
        <f t="shared" si="689"/>
        <v>0</v>
      </c>
      <c r="PA33" s="91">
        <f t="shared" si="690"/>
        <v>0</v>
      </c>
      <c r="PB33" s="91">
        <f t="shared" si="691"/>
        <v>0</v>
      </c>
      <c r="PI33" s="98">
        <v>35800</v>
      </c>
      <c r="PJ33" s="98">
        <v>519110</v>
      </c>
      <c r="PQ33" s="91">
        <f t="shared" si="692"/>
        <v>35800</v>
      </c>
      <c r="PR33" s="91">
        <f t="shared" si="693"/>
        <v>519110</v>
      </c>
      <c r="PY33" s="98">
        <v>19090</v>
      </c>
      <c r="PZ33" s="98">
        <v>286350</v>
      </c>
      <c r="QC33" s="98">
        <v>21382</v>
      </c>
      <c r="QD33" s="98">
        <v>363494</v>
      </c>
      <c r="QG33" s="91">
        <f t="shared" si="694"/>
        <v>40472</v>
      </c>
      <c r="QH33" s="91">
        <f t="shared" si="695"/>
        <v>649844</v>
      </c>
      <c r="QO33" s="98">
        <v>1470000</v>
      </c>
      <c r="QP33" s="98">
        <v>22050000</v>
      </c>
      <c r="QW33" s="91">
        <f t="shared" si="696"/>
        <v>1470000</v>
      </c>
      <c r="QX33" s="91">
        <f t="shared" si="697"/>
        <v>22050000</v>
      </c>
      <c r="RM33" s="91">
        <f t="shared" si="698"/>
        <v>0</v>
      </c>
      <c r="RN33" s="91">
        <f t="shared" si="699"/>
        <v>0</v>
      </c>
      <c r="RU33" s="98">
        <v>970</v>
      </c>
      <c r="RV33" s="98">
        <v>15520</v>
      </c>
      <c r="SC33" s="91">
        <f t="shared" si="700"/>
        <v>970</v>
      </c>
      <c r="SD33" s="91">
        <f t="shared" si="701"/>
        <v>15520</v>
      </c>
      <c r="SS33" s="91">
        <f t="shared" si="702"/>
        <v>0</v>
      </c>
      <c r="ST33" s="91">
        <f t="shared" si="703"/>
        <v>0</v>
      </c>
      <c r="TI33" s="91">
        <f t="shared" si="704"/>
        <v>0</v>
      </c>
      <c r="TJ33" s="91">
        <f t="shared" si="705"/>
        <v>0</v>
      </c>
      <c r="TY33" s="91">
        <f t="shared" si="706"/>
        <v>0</v>
      </c>
      <c r="TZ33" s="91">
        <f t="shared" si="707"/>
        <v>0</v>
      </c>
      <c r="UG33" s="98">
        <v>205</v>
      </c>
      <c r="UH33" s="98">
        <v>4100</v>
      </c>
      <c r="UO33" s="91">
        <f t="shared" si="708"/>
        <v>205</v>
      </c>
      <c r="UP33" s="91">
        <f t="shared" si="764"/>
        <v>4100</v>
      </c>
      <c r="VE33" s="91">
        <f t="shared" si="709"/>
        <v>0</v>
      </c>
      <c r="VF33" s="91">
        <f t="shared" si="710"/>
        <v>0</v>
      </c>
      <c r="VU33" s="91">
        <f t="shared" si="711"/>
        <v>0</v>
      </c>
      <c r="VV33" s="91">
        <f t="shared" si="712"/>
        <v>0</v>
      </c>
      <c r="WC33" s="98">
        <v>661</v>
      </c>
      <c r="WD33" s="98">
        <v>16525</v>
      </c>
      <c r="WK33" s="91">
        <f t="shared" si="713"/>
        <v>661</v>
      </c>
      <c r="WL33" s="91">
        <f t="shared" si="714"/>
        <v>16525</v>
      </c>
      <c r="WM33" s="89"/>
      <c r="WN33" s="87">
        <f t="shared" si="715"/>
        <v>0</v>
      </c>
      <c r="WO33" s="87">
        <f t="shared" si="716"/>
        <v>0</v>
      </c>
      <c r="WP33" s="87">
        <f t="shared" si="717"/>
        <v>0</v>
      </c>
      <c r="WQ33" s="87">
        <f t="shared" si="718"/>
        <v>0</v>
      </c>
      <c r="WR33" s="87">
        <f t="shared" si="719"/>
        <v>0</v>
      </c>
      <c r="WS33" s="87">
        <f t="shared" si="720"/>
        <v>0</v>
      </c>
      <c r="WT33" s="87">
        <f t="shared" si="721"/>
        <v>2093097</v>
      </c>
      <c r="WU33" s="87">
        <f t="shared" si="722"/>
        <v>33471770.061235949</v>
      </c>
      <c r="WV33" s="87">
        <f t="shared" si="723"/>
        <v>0</v>
      </c>
      <c r="WW33" s="87">
        <f t="shared" si="724"/>
        <v>0</v>
      </c>
      <c r="WX33" s="87">
        <f t="shared" si="725"/>
        <v>48582</v>
      </c>
      <c r="WY33" s="87">
        <f t="shared" si="726"/>
        <v>853094</v>
      </c>
      <c r="WZ33" s="87">
        <f t="shared" si="727"/>
        <v>9825.0400000000009</v>
      </c>
      <c r="XA33" s="87">
        <f t="shared" si="728"/>
        <v>191160</v>
      </c>
      <c r="XB33" s="92">
        <f t="shared" si="729"/>
        <v>2151504.04</v>
      </c>
      <c r="XC33" s="92">
        <f t="shared" si="730"/>
        <v>34516024.061235949</v>
      </c>
      <c r="XD33" s="89"/>
      <c r="XE33" s="92">
        <f t="shared" si="638"/>
        <v>6515248.4399999995</v>
      </c>
      <c r="XF33" s="92">
        <f t="shared" si="639"/>
        <v>104238365.91061798</v>
      </c>
      <c r="XG33" s="89"/>
      <c r="XH33" s="92">
        <f t="shared" ref="XH33:XI33" si="766">SUM(XE33,XE71)</f>
        <v>14326859.002442874</v>
      </c>
      <c r="XI33" s="92">
        <f t="shared" si="766"/>
        <v>229980591.96047547</v>
      </c>
      <c r="XJ33" s="89"/>
      <c r="XK33" s="87">
        <f t="shared" si="732"/>
        <v>0</v>
      </c>
      <c r="XL33" s="87">
        <f t="shared" si="733"/>
        <v>0</v>
      </c>
      <c r="XM33" s="87">
        <f t="shared" si="734"/>
        <v>0</v>
      </c>
      <c r="XN33" s="87">
        <f t="shared" si="735"/>
        <v>29004035.678126551</v>
      </c>
      <c r="XO33" s="87">
        <f t="shared" si="736"/>
        <v>12990</v>
      </c>
      <c r="XP33" s="87">
        <f t="shared" si="737"/>
        <v>593522</v>
      </c>
      <c r="XQ33" s="87">
        <f t="shared" si="738"/>
        <v>82981.919999999998</v>
      </c>
      <c r="XR33" s="92">
        <f t="shared" si="739"/>
        <v>29693529.598126553</v>
      </c>
      <c r="XS33" s="89"/>
      <c r="XT33" s="87">
        <f t="shared" si="740"/>
        <v>0</v>
      </c>
      <c r="XU33" s="87">
        <f t="shared" si="741"/>
        <v>0</v>
      </c>
      <c r="XV33" s="87">
        <f t="shared" si="742"/>
        <v>0</v>
      </c>
      <c r="XW33" s="87">
        <f t="shared" si="743"/>
        <v>518420506.49985033</v>
      </c>
      <c r="XX33" s="87">
        <f t="shared" si="744"/>
        <v>194850</v>
      </c>
      <c r="XY33" s="87">
        <f t="shared" si="745"/>
        <v>10107194</v>
      </c>
      <c r="XZ33" s="87">
        <f t="shared" si="746"/>
        <v>1371616</v>
      </c>
      <c r="YA33" s="92">
        <f t="shared" si="747"/>
        <v>530094166.49985033</v>
      </c>
      <c r="YB33" s="90"/>
      <c r="YC33" s="90"/>
      <c r="YD33" s="90"/>
      <c r="YE33" s="90"/>
      <c r="YF33" s="90"/>
      <c r="YG33" s="90"/>
      <c r="YH33" s="90"/>
      <c r="YI33" s="90"/>
      <c r="YJ33" s="90"/>
      <c r="YK33" s="90"/>
      <c r="YL33" s="90"/>
      <c r="YM33" s="90"/>
      <c r="YN33" s="90"/>
      <c r="YO33" s="90"/>
      <c r="YP33" s="90"/>
      <c r="YQ33" s="90"/>
      <c r="YR33" s="90"/>
      <c r="YS33" s="90"/>
      <c r="YT33" s="90"/>
      <c r="YU33" s="90"/>
      <c r="YV33" s="90"/>
      <c r="YW33" s="90"/>
      <c r="YX33" s="90"/>
      <c r="YY33" s="90"/>
      <c r="YZ33" s="90"/>
      <c r="ZA33" s="90"/>
      <c r="ZB33" s="90"/>
      <c r="ZC33" s="90"/>
      <c r="ZD33" s="90"/>
      <c r="ZE33" s="90"/>
      <c r="ZF33" s="90"/>
      <c r="ZG33" s="90"/>
      <c r="ZH33" s="90"/>
      <c r="ZI33" s="90"/>
      <c r="ZJ33" s="90"/>
      <c r="ZK33" s="90"/>
      <c r="ZL33" s="90"/>
      <c r="ZM33" s="90"/>
      <c r="ZN33" s="90"/>
      <c r="ZO33" s="90"/>
      <c r="ZP33" s="90"/>
      <c r="ZQ33" s="90"/>
      <c r="ZR33" s="90"/>
      <c r="ZS33" s="90"/>
      <c r="ZT33" s="90"/>
      <c r="ZU33" s="90"/>
      <c r="ZV33" s="90"/>
      <c r="ZW33" s="90"/>
      <c r="ZX33" s="90"/>
      <c r="ZY33" s="90"/>
      <c r="ZZ33" s="90"/>
      <c r="AAA33" s="90"/>
      <c r="AAB33" s="90"/>
      <c r="AAC33" s="90"/>
      <c r="AAD33" s="90"/>
      <c r="AAE33" s="90"/>
      <c r="AAF33" s="90"/>
      <c r="AAG33" s="90"/>
      <c r="AAH33" s="90"/>
      <c r="AAI33" s="90"/>
      <c r="AAJ33" s="90"/>
      <c r="AAK33" s="90"/>
      <c r="AAL33" s="90"/>
      <c r="AAM33" s="90"/>
      <c r="AAN33" s="90"/>
      <c r="AAO33" s="90"/>
      <c r="AAP33" s="90"/>
      <c r="AAQ33" s="90"/>
      <c r="AAR33" s="90"/>
      <c r="AAS33" s="90"/>
      <c r="AAT33" s="90"/>
      <c r="AAU33" s="90"/>
      <c r="AAV33" s="90"/>
      <c r="AAW33" s="90"/>
      <c r="AAX33" s="90"/>
      <c r="AAY33" s="90"/>
      <c r="AAZ33" s="90"/>
      <c r="ABA33" s="90"/>
      <c r="ABB33" s="90"/>
      <c r="ABC33" s="90"/>
      <c r="ABD33" s="90"/>
      <c r="ABE33" s="90"/>
      <c r="ABF33" s="90"/>
      <c r="ABG33" s="90"/>
      <c r="ABH33" s="90"/>
      <c r="ABI33" s="90"/>
      <c r="ABJ33" s="90"/>
      <c r="ABK33" s="90"/>
      <c r="ABL33" s="90"/>
      <c r="ABM33" s="90"/>
      <c r="ABN33" s="90"/>
      <c r="ABO33" s="90"/>
      <c r="ABP33" s="90"/>
      <c r="ABQ33" s="90"/>
      <c r="ABR33" s="90"/>
      <c r="ABS33" s="90"/>
      <c r="ABT33" s="90"/>
      <c r="ABU33" s="90"/>
      <c r="ABV33" s="90"/>
      <c r="ABW33" s="90"/>
      <c r="ABX33" s="90"/>
      <c r="ABY33" s="90"/>
      <c r="ABZ33" s="90"/>
      <c r="ACA33" s="90"/>
      <c r="ACB33" s="90"/>
      <c r="ACC33" s="90"/>
      <c r="ACD33" s="90"/>
      <c r="ACE33" s="90"/>
      <c r="ACF33" s="90"/>
      <c r="ACG33" s="90"/>
      <c r="ACH33" s="90"/>
      <c r="ACI33" s="90"/>
      <c r="ACJ33" s="90"/>
      <c r="ACK33" s="90"/>
      <c r="ACL33" s="90"/>
      <c r="ACM33" s="90"/>
      <c r="ACN33" s="90"/>
      <c r="ACO33" s="90"/>
      <c r="ACP33" s="90"/>
      <c r="ACQ33" s="90"/>
      <c r="ACR33" s="90"/>
      <c r="ACS33" s="90"/>
      <c r="ACT33" s="90"/>
      <c r="ACU33" s="90"/>
      <c r="ACV33" s="90"/>
      <c r="ACW33" s="90"/>
      <c r="ACX33" s="90"/>
      <c r="ACY33" s="90"/>
      <c r="ACZ33" s="90"/>
      <c r="ADA33" s="90"/>
      <c r="ADB33" s="90"/>
      <c r="ADC33" s="90"/>
      <c r="ADD33" s="90"/>
      <c r="ADE33" s="90"/>
      <c r="ADF33" s="90"/>
      <c r="ADG33" s="90"/>
      <c r="ADH33" s="90"/>
      <c r="ADI33" s="90"/>
      <c r="ADJ33" s="90"/>
      <c r="ADK33" s="90"/>
      <c r="ADL33" s="90"/>
      <c r="ADM33" s="90"/>
      <c r="ADN33" s="90"/>
      <c r="ADO33" s="90"/>
      <c r="ADP33" s="90"/>
      <c r="ADQ33" s="90"/>
      <c r="ADR33" s="90"/>
      <c r="ADS33" s="90"/>
      <c r="ADT33" s="90"/>
      <c r="ADU33" s="90"/>
      <c r="ADV33" s="90"/>
      <c r="ADW33" s="90"/>
      <c r="ADX33" s="90"/>
      <c r="ADY33" s="90"/>
      <c r="ADZ33" s="90"/>
      <c r="AEA33" s="90"/>
      <c r="AEB33" s="90"/>
      <c r="AEC33" s="90"/>
      <c r="AED33" s="90"/>
      <c r="AEE33" s="90"/>
      <c r="AEF33" s="90"/>
      <c r="AEG33" s="90"/>
      <c r="AEH33" s="90"/>
      <c r="AEI33" s="90"/>
      <c r="AEJ33" s="90"/>
      <c r="AEK33" s="90"/>
      <c r="AEL33" s="90"/>
      <c r="AEM33" s="90"/>
      <c r="AEN33" s="90"/>
      <c r="AEO33" s="90"/>
      <c r="AEP33" s="90"/>
      <c r="AEQ33" s="90"/>
      <c r="AER33" s="90"/>
      <c r="AES33" s="90"/>
      <c r="AET33" s="90"/>
      <c r="AEU33" s="90"/>
      <c r="AEV33" s="90"/>
      <c r="AEW33" s="90"/>
      <c r="AEX33" s="90"/>
      <c r="AEY33" s="90"/>
      <c r="AEZ33" s="90"/>
      <c r="AFA33" s="90"/>
      <c r="AFB33" s="90"/>
      <c r="AFC33" s="90"/>
      <c r="AFD33" s="90"/>
      <c r="AFE33" s="90"/>
      <c r="AFF33" s="90"/>
      <c r="AFG33" s="90"/>
      <c r="AFH33" s="90"/>
      <c r="AFI33" s="90"/>
      <c r="AFJ33" s="90"/>
      <c r="AFK33" s="90"/>
      <c r="AFL33" s="90"/>
      <c r="AFM33" s="90"/>
      <c r="AFN33" s="90"/>
      <c r="AFO33" s="90"/>
      <c r="AFP33" s="90"/>
      <c r="AFQ33" s="90"/>
      <c r="AFR33" s="90"/>
      <c r="AFS33" s="90"/>
      <c r="AFT33" s="90"/>
      <c r="AFU33" s="90"/>
      <c r="AFV33" s="90"/>
      <c r="AFW33" s="90"/>
      <c r="AFX33" s="90"/>
      <c r="AFY33" s="90"/>
      <c r="AFZ33" s="90"/>
      <c r="AGA33" s="90"/>
      <c r="AGB33" s="90"/>
      <c r="AGC33" s="90"/>
      <c r="AGD33" s="90"/>
      <c r="AGE33" s="90"/>
      <c r="AGF33" s="90"/>
      <c r="AGG33" s="90"/>
      <c r="AGH33" s="90"/>
      <c r="AGI33" s="90"/>
      <c r="AGJ33" s="90"/>
      <c r="AGK33" s="90"/>
      <c r="AGL33" s="90"/>
      <c r="AGM33" s="90"/>
      <c r="AGN33" s="90"/>
      <c r="AGO33" s="90"/>
      <c r="AGP33" s="90"/>
      <c r="AGQ33" s="90"/>
      <c r="AGR33" s="90"/>
      <c r="AGS33" s="90"/>
      <c r="AGT33" s="90"/>
      <c r="AGU33" s="90"/>
      <c r="AGV33" s="90"/>
      <c r="AGW33" s="90"/>
      <c r="AGX33" s="90"/>
      <c r="AGY33" s="90"/>
      <c r="AGZ33" s="90"/>
      <c r="AHA33" s="90"/>
      <c r="AHB33" s="90"/>
      <c r="AHC33" s="90"/>
      <c r="AHD33" s="90"/>
      <c r="AHE33" s="90"/>
      <c r="AHF33" s="90"/>
      <c r="AHG33" s="90"/>
      <c r="AHH33" s="90"/>
      <c r="AHI33" s="90"/>
      <c r="AHJ33" s="90"/>
      <c r="AHK33" s="90"/>
      <c r="AHL33" s="90"/>
      <c r="AHM33" s="90"/>
      <c r="AHN33" s="90"/>
      <c r="AHO33" s="90"/>
      <c r="AHP33" s="90"/>
      <c r="AHQ33" s="90"/>
      <c r="AHR33" s="90"/>
      <c r="AHS33" s="90"/>
      <c r="AHT33" s="90"/>
      <c r="AHU33" s="90"/>
      <c r="AHV33" s="90"/>
      <c r="AHW33" s="90"/>
      <c r="AHX33" s="90"/>
      <c r="AHY33" s="90"/>
      <c r="AHZ33" s="90"/>
      <c r="AIA33" s="90"/>
      <c r="AIB33" s="90"/>
      <c r="AIC33" s="90"/>
      <c r="AID33" s="90"/>
      <c r="AIE33" s="90"/>
      <c r="AIF33" s="90"/>
      <c r="AIG33" s="90"/>
      <c r="AIH33" s="90"/>
      <c r="AII33" s="90"/>
      <c r="AIJ33" s="90"/>
      <c r="AIK33" s="90"/>
      <c r="AIL33" s="90"/>
      <c r="AIM33" s="90"/>
      <c r="AIN33" s="90"/>
      <c r="AIO33" s="90"/>
      <c r="AIP33" s="90"/>
      <c r="AIQ33" s="90"/>
      <c r="AIR33" s="90"/>
      <c r="AIS33" s="90"/>
      <c r="AIT33" s="90"/>
      <c r="AIU33" s="90"/>
      <c r="AIV33" s="90"/>
      <c r="AIW33" s="90"/>
      <c r="AIX33" s="90"/>
      <c r="AIY33" s="90"/>
      <c r="AIZ33" s="90"/>
      <c r="AJA33" s="90"/>
      <c r="AJB33" s="90"/>
      <c r="AJC33" s="90"/>
      <c r="AJD33" s="90"/>
      <c r="AJE33" s="90"/>
      <c r="AJF33" s="90"/>
      <c r="AJG33" s="90"/>
      <c r="AJH33" s="90"/>
      <c r="AJI33" s="90"/>
      <c r="AJJ33" s="90"/>
      <c r="AJK33" s="90"/>
      <c r="AJL33" s="90"/>
      <c r="AJM33" s="90"/>
      <c r="AJN33" s="90"/>
      <c r="AJO33" s="90"/>
      <c r="AJP33" s="90"/>
      <c r="AJQ33" s="90"/>
      <c r="AJR33" s="90"/>
      <c r="AJS33" s="90"/>
      <c r="AJT33" s="90"/>
      <c r="AJU33" s="90"/>
      <c r="AJV33" s="90"/>
      <c r="AJW33" s="90"/>
      <c r="AJX33" s="90"/>
      <c r="AJY33" s="90"/>
      <c r="AJZ33" s="90"/>
      <c r="AKA33" s="90"/>
      <c r="AKB33" s="90"/>
      <c r="AKC33" s="90"/>
      <c r="AKD33" s="90"/>
      <c r="AKE33" s="90"/>
      <c r="AKF33" s="90"/>
      <c r="AKG33" s="90"/>
      <c r="AKH33" s="90"/>
      <c r="AKI33" s="90"/>
      <c r="AKJ33" s="90"/>
      <c r="AKK33" s="90"/>
      <c r="AKL33" s="90"/>
      <c r="AKM33" s="90"/>
      <c r="AKN33" s="90"/>
      <c r="AKO33" s="90"/>
      <c r="AKP33" s="90"/>
      <c r="AKQ33" s="90"/>
      <c r="AKR33" s="90"/>
      <c r="AKS33" s="90"/>
      <c r="AKT33" s="90"/>
      <c r="AKU33" s="90"/>
      <c r="AKV33" s="90"/>
      <c r="AKW33" s="90"/>
      <c r="AKX33" s="90"/>
      <c r="AKY33" s="90"/>
      <c r="AKZ33" s="90"/>
      <c r="ALA33" s="90"/>
      <c r="ALB33" s="90"/>
      <c r="ALC33" s="90"/>
      <c r="ALD33" s="90"/>
      <c r="ALE33" s="90"/>
      <c r="ALF33" s="90"/>
      <c r="ALG33" s="90"/>
      <c r="ALH33" s="90"/>
      <c r="ALI33" s="90"/>
      <c r="ALJ33" s="90"/>
      <c r="ALK33" s="90"/>
      <c r="ALL33" s="90"/>
      <c r="ALM33" s="90"/>
      <c r="ALN33" s="90"/>
      <c r="ALO33" s="90"/>
      <c r="ALP33" s="90"/>
      <c r="ALQ33" s="90"/>
      <c r="ALR33" s="90"/>
      <c r="ALS33" s="90"/>
      <c r="ALT33" s="90"/>
      <c r="ALU33" s="90"/>
      <c r="ALV33" s="90"/>
      <c r="ALW33" s="90"/>
      <c r="ALX33" s="90"/>
      <c r="ALY33" s="90"/>
      <c r="ALZ33" s="90"/>
      <c r="AMA33" s="90"/>
      <c r="AMB33" s="90"/>
      <c r="AMC33" s="90"/>
    </row>
    <row r="34" spans="1:1017">
      <c r="A34" s="98" t="s">
        <v>25</v>
      </c>
      <c r="B34" s="648" t="s">
        <v>554</v>
      </c>
      <c r="Q34" s="91">
        <f t="shared" si="640"/>
        <v>0</v>
      </c>
      <c r="R34" s="91">
        <f t="shared" si="641"/>
        <v>0</v>
      </c>
      <c r="AG34" s="91">
        <f t="shared" si="642"/>
        <v>0</v>
      </c>
      <c r="AH34" s="91">
        <f t="shared" si="643"/>
        <v>0</v>
      </c>
      <c r="AW34" s="91">
        <f t="shared" si="644"/>
        <v>0</v>
      </c>
      <c r="AX34" s="91">
        <f t="shared" si="645"/>
        <v>0</v>
      </c>
      <c r="BM34" s="91">
        <f t="shared" si="646"/>
        <v>0</v>
      </c>
      <c r="BN34" s="91">
        <f t="shared" si="647"/>
        <v>0</v>
      </c>
      <c r="CC34" s="91">
        <f t="shared" si="648"/>
        <v>0</v>
      </c>
      <c r="CD34" s="91">
        <f t="shared" si="649"/>
        <v>0</v>
      </c>
      <c r="CS34" s="91">
        <f t="shared" si="650"/>
        <v>0</v>
      </c>
      <c r="CT34" s="91">
        <f t="shared" si="651"/>
        <v>0</v>
      </c>
      <c r="DI34" s="91">
        <f t="shared" si="652"/>
        <v>0</v>
      </c>
      <c r="DJ34" s="91">
        <f t="shared" si="653"/>
        <v>0</v>
      </c>
      <c r="DY34" s="91">
        <f t="shared" si="654"/>
        <v>0</v>
      </c>
      <c r="DZ34" s="91">
        <f t="shared" si="655"/>
        <v>0</v>
      </c>
      <c r="EO34" s="91">
        <f t="shared" si="656"/>
        <v>0</v>
      </c>
      <c r="EP34" s="91">
        <f t="shared" si="657"/>
        <v>0</v>
      </c>
      <c r="FE34" s="91">
        <f t="shared" si="658"/>
        <v>0</v>
      </c>
      <c r="FF34" s="91">
        <f t="shared" si="659"/>
        <v>0</v>
      </c>
      <c r="FU34" s="91">
        <f t="shared" si="660"/>
        <v>0</v>
      </c>
      <c r="FV34" s="91">
        <f t="shared" si="661"/>
        <v>0</v>
      </c>
      <c r="GK34" s="91">
        <f t="shared" si="662"/>
        <v>0</v>
      </c>
      <c r="GL34" s="91">
        <f t="shared" si="663"/>
        <v>0</v>
      </c>
      <c r="HA34" s="91">
        <f t="shared" si="664"/>
        <v>0</v>
      </c>
      <c r="HB34" s="91">
        <f t="shared" si="665"/>
        <v>0</v>
      </c>
      <c r="HQ34" s="91">
        <f t="shared" si="666"/>
        <v>0</v>
      </c>
      <c r="HR34" s="91">
        <f t="shared" si="667"/>
        <v>0</v>
      </c>
      <c r="IG34" s="91">
        <f t="shared" si="668"/>
        <v>0</v>
      </c>
      <c r="IH34" s="91">
        <f t="shared" si="669"/>
        <v>0</v>
      </c>
      <c r="IW34" s="91">
        <f t="shared" si="670"/>
        <v>0</v>
      </c>
      <c r="IX34" s="91">
        <f t="shared" si="671"/>
        <v>0</v>
      </c>
      <c r="JM34" s="91">
        <f t="shared" si="672"/>
        <v>0</v>
      </c>
      <c r="JN34" s="91">
        <f t="shared" si="673"/>
        <v>0</v>
      </c>
      <c r="KC34" s="91">
        <f t="shared" si="674"/>
        <v>0</v>
      </c>
      <c r="KD34" s="91">
        <f t="shared" si="675"/>
        <v>0</v>
      </c>
      <c r="KS34" s="91">
        <f t="shared" si="676"/>
        <v>0</v>
      </c>
      <c r="KT34" s="91">
        <f t="shared" si="677"/>
        <v>0</v>
      </c>
      <c r="LI34" s="91">
        <f t="shared" si="678"/>
        <v>0</v>
      </c>
      <c r="LJ34" s="91">
        <f t="shared" si="679"/>
        <v>0</v>
      </c>
      <c r="LY34" s="91">
        <f t="shared" si="680"/>
        <v>0</v>
      </c>
      <c r="LZ34" s="91">
        <f t="shared" si="681"/>
        <v>0</v>
      </c>
      <c r="MO34" s="91">
        <f t="shared" si="682"/>
        <v>0</v>
      </c>
      <c r="MP34" s="91">
        <f t="shared" si="683"/>
        <v>0</v>
      </c>
      <c r="NE34" s="91">
        <f t="shared" si="684"/>
        <v>0</v>
      </c>
      <c r="NF34" s="91">
        <f t="shared" si="685"/>
        <v>0</v>
      </c>
      <c r="NU34" s="91">
        <f t="shared" si="686"/>
        <v>0</v>
      </c>
      <c r="NV34" s="91">
        <f t="shared" si="687"/>
        <v>0</v>
      </c>
      <c r="OK34" s="91">
        <f t="shared" si="688"/>
        <v>0</v>
      </c>
      <c r="OL34" s="91">
        <f t="shared" si="689"/>
        <v>0</v>
      </c>
      <c r="PA34" s="91">
        <f t="shared" si="690"/>
        <v>0</v>
      </c>
      <c r="PB34" s="91">
        <f t="shared" si="691"/>
        <v>0</v>
      </c>
      <c r="PQ34" s="91">
        <f t="shared" si="692"/>
        <v>0</v>
      </c>
      <c r="PR34" s="91">
        <f t="shared" si="693"/>
        <v>0</v>
      </c>
      <c r="QG34" s="91">
        <f t="shared" si="694"/>
        <v>0</v>
      </c>
      <c r="QH34" s="91">
        <f t="shared" si="695"/>
        <v>0</v>
      </c>
      <c r="QW34" s="91">
        <f t="shared" si="696"/>
        <v>0</v>
      </c>
      <c r="QX34" s="91">
        <f t="shared" si="697"/>
        <v>0</v>
      </c>
      <c r="RM34" s="91">
        <f t="shared" si="698"/>
        <v>0</v>
      </c>
      <c r="RN34" s="91">
        <f t="shared" si="699"/>
        <v>0</v>
      </c>
      <c r="SC34" s="91">
        <f t="shared" si="700"/>
        <v>0</v>
      </c>
      <c r="SD34" s="91">
        <f t="shared" si="701"/>
        <v>0</v>
      </c>
      <c r="SS34" s="91">
        <f t="shared" si="702"/>
        <v>0</v>
      </c>
      <c r="ST34" s="91">
        <f t="shared" si="703"/>
        <v>0</v>
      </c>
      <c r="TI34" s="91">
        <f t="shared" si="704"/>
        <v>0</v>
      </c>
      <c r="TJ34" s="91">
        <f t="shared" si="705"/>
        <v>0</v>
      </c>
      <c r="TY34" s="91">
        <f t="shared" si="706"/>
        <v>0</v>
      </c>
      <c r="TZ34" s="91">
        <f t="shared" si="707"/>
        <v>0</v>
      </c>
      <c r="UO34" s="91">
        <f t="shared" si="708"/>
        <v>0</v>
      </c>
      <c r="UP34" s="91">
        <f t="shared" si="764"/>
        <v>0</v>
      </c>
      <c r="VE34" s="91">
        <f t="shared" si="709"/>
        <v>0</v>
      </c>
      <c r="VF34" s="91">
        <f t="shared" si="710"/>
        <v>0</v>
      </c>
      <c r="VU34" s="91">
        <f t="shared" si="711"/>
        <v>0</v>
      </c>
      <c r="VV34" s="91">
        <f t="shared" si="712"/>
        <v>0</v>
      </c>
      <c r="WK34" s="91">
        <f t="shared" si="713"/>
        <v>0</v>
      </c>
      <c r="WL34" s="91">
        <f t="shared" si="714"/>
        <v>0</v>
      </c>
      <c r="WM34" s="89"/>
      <c r="WN34" s="87">
        <f t="shared" si="715"/>
        <v>0</v>
      </c>
      <c r="WO34" s="87">
        <f t="shared" si="716"/>
        <v>0</v>
      </c>
      <c r="WP34" s="87">
        <f t="shared" si="717"/>
        <v>0</v>
      </c>
      <c r="WQ34" s="87">
        <f t="shared" si="718"/>
        <v>0</v>
      </c>
      <c r="WR34" s="87">
        <f t="shared" si="719"/>
        <v>0</v>
      </c>
      <c r="WS34" s="87">
        <f t="shared" si="720"/>
        <v>0</v>
      </c>
      <c r="WT34" s="87">
        <f t="shared" si="721"/>
        <v>0</v>
      </c>
      <c r="WU34" s="87">
        <f t="shared" si="722"/>
        <v>0</v>
      </c>
      <c r="WV34" s="87">
        <f t="shared" si="723"/>
        <v>0</v>
      </c>
      <c r="WW34" s="87">
        <f t="shared" si="724"/>
        <v>0</v>
      </c>
      <c r="WX34" s="87">
        <f t="shared" si="725"/>
        <v>0</v>
      </c>
      <c r="WY34" s="87">
        <f t="shared" si="726"/>
        <v>0</v>
      </c>
      <c r="WZ34" s="87">
        <f t="shared" si="727"/>
        <v>0</v>
      </c>
      <c r="XA34" s="87">
        <f t="shared" si="728"/>
        <v>0</v>
      </c>
      <c r="XB34" s="92">
        <f t="shared" si="729"/>
        <v>0</v>
      </c>
      <c r="XC34" s="92">
        <f t="shared" si="730"/>
        <v>0</v>
      </c>
      <c r="XD34" s="89"/>
      <c r="XE34" s="92">
        <f t="shared" si="638"/>
        <v>0</v>
      </c>
      <c r="XF34" s="92">
        <f t="shared" si="639"/>
        <v>0</v>
      </c>
      <c r="XG34" s="89"/>
      <c r="XH34" s="92">
        <f t="shared" ref="XH34:XI34" si="767">SUM(XE34,XE72)</f>
        <v>0</v>
      </c>
      <c r="XI34" s="92">
        <f t="shared" si="767"/>
        <v>0</v>
      </c>
      <c r="XJ34" s="89"/>
      <c r="XK34" s="87">
        <f t="shared" si="732"/>
        <v>0</v>
      </c>
      <c r="XL34" s="87">
        <f t="shared" si="733"/>
        <v>0</v>
      </c>
      <c r="XM34" s="87">
        <f t="shared" si="734"/>
        <v>0</v>
      </c>
      <c r="XN34" s="87">
        <f t="shared" si="735"/>
        <v>0</v>
      </c>
      <c r="XO34" s="87">
        <f t="shared" si="736"/>
        <v>0</v>
      </c>
      <c r="XP34" s="87">
        <f t="shared" si="737"/>
        <v>0</v>
      </c>
      <c r="XQ34" s="87">
        <f t="shared" si="738"/>
        <v>0</v>
      </c>
      <c r="XR34" s="92">
        <f t="shared" si="739"/>
        <v>0</v>
      </c>
      <c r="XS34" s="89"/>
      <c r="XT34" s="87">
        <f t="shared" si="740"/>
        <v>0</v>
      </c>
      <c r="XU34" s="87">
        <f t="shared" si="741"/>
        <v>0</v>
      </c>
      <c r="XV34" s="87">
        <f t="shared" si="742"/>
        <v>0</v>
      </c>
      <c r="XW34" s="87">
        <f t="shared" si="743"/>
        <v>0</v>
      </c>
      <c r="XX34" s="87">
        <f t="shared" si="744"/>
        <v>0</v>
      </c>
      <c r="XY34" s="87">
        <f t="shared" si="745"/>
        <v>0</v>
      </c>
      <c r="XZ34" s="87">
        <f t="shared" si="746"/>
        <v>0</v>
      </c>
      <c r="YA34" s="92">
        <f t="shared" si="747"/>
        <v>0</v>
      </c>
      <c r="YB34" s="90"/>
      <c r="YC34" s="90"/>
      <c r="YD34" s="90"/>
      <c r="YE34" s="90"/>
      <c r="YF34" s="90"/>
      <c r="YG34" s="90"/>
      <c r="YH34" s="90"/>
      <c r="YI34" s="90"/>
      <c r="YJ34" s="90"/>
      <c r="YK34" s="90"/>
      <c r="YL34" s="90"/>
      <c r="YM34" s="90"/>
      <c r="YN34" s="90"/>
      <c r="YO34" s="90"/>
      <c r="YP34" s="90"/>
      <c r="YQ34" s="90"/>
      <c r="YR34" s="90"/>
      <c r="YS34" s="90"/>
      <c r="YT34" s="90"/>
      <c r="YU34" s="90"/>
      <c r="YV34" s="90"/>
      <c r="YW34" s="90"/>
      <c r="YX34" s="90"/>
      <c r="YY34" s="90"/>
      <c r="YZ34" s="90"/>
      <c r="ZA34" s="90"/>
      <c r="ZB34" s="90"/>
      <c r="ZC34" s="90"/>
      <c r="ZD34" s="90"/>
      <c r="ZE34" s="90"/>
      <c r="ZF34" s="90"/>
      <c r="ZG34" s="90"/>
      <c r="ZH34" s="90"/>
      <c r="ZI34" s="90"/>
      <c r="ZJ34" s="90"/>
      <c r="ZK34" s="90"/>
      <c r="ZL34" s="90"/>
      <c r="ZM34" s="90"/>
      <c r="ZN34" s="90"/>
      <c r="ZO34" s="90"/>
      <c r="ZP34" s="90"/>
      <c r="ZQ34" s="90"/>
      <c r="ZR34" s="90"/>
      <c r="ZS34" s="90"/>
      <c r="ZT34" s="90"/>
      <c r="ZU34" s="90"/>
      <c r="ZV34" s="90"/>
      <c r="ZW34" s="90"/>
      <c r="ZX34" s="90"/>
      <c r="ZY34" s="90"/>
      <c r="ZZ34" s="90"/>
      <c r="AAA34" s="90"/>
      <c r="AAB34" s="90"/>
      <c r="AAC34" s="90"/>
      <c r="AAD34" s="90"/>
      <c r="AAE34" s="90"/>
      <c r="AAF34" s="90"/>
      <c r="AAG34" s="90"/>
      <c r="AAH34" s="90"/>
      <c r="AAI34" s="90"/>
      <c r="AAJ34" s="90"/>
      <c r="AAK34" s="90"/>
      <c r="AAL34" s="90"/>
      <c r="AAM34" s="90"/>
      <c r="AAN34" s="90"/>
      <c r="AAO34" s="90"/>
      <c r="AAP34" s="90"/>
      <c r="AAQ34" s="90"/>
      <c r="AAR34" s="90"/>
      <c r="AAS34" s="90"/>
      <c r="AAT34" s="90"/>
      <c r="AAU34" s="90"/>
      <c r="AAV34" s="90"/>
      <c r="AAW34" s="90"/>
      <c r="AAX34" s="90"/>
      <c r="AAY34" s="90"/>
      <c r="AAZ34" s="90"/>
      <c r="ABA34" s="90"/>
      <c r="ABB34" s="90"/>
      <c r="ABC34" s="90"/>
      <c r="ABD34" s="90"/>
      <c r="ABE34" s="90"/>
      <c r="ABF34" s="90"/>
      <c r="ABG34" s="90"/>
      <c r="ABH34" s="90"/>
      <c r="ABI34" s="90"/>
      <c r="ABJ34" s="90"/>
      <c r="ABK34" s="90"/>
      <c r="ABL34" s="90"/>
      <c r="ABM34" s="90"/>
      <c r="ABN34" s="90"/>
      <c r="ABO34" s="90"/>
      <c r="ABP34" s="90"/>
      <c r="ABQ34" s="90"/>
      <c r="ABR34" s="90"/>
      <c r="ABS34" s="90"/>
      <c r="ABT34" s="90"/>
      <c r="ABU34" s="90"/>
      <c r="ABV34" s="90"/>
      <c r="ABW34" s="90"/>
      <c r="ABX34" s="90"/>
      <c r="ABY34" s="90"/>
      <c r="ABZ34" s="90"/>
      <c r="ACA34" s="90"/>
      <c r="ACB34" s="90"/>
      <c r="ACC34" s="90"/>
      <c r="ACD34" s="90"/>
      <c r="ACE34" s="90"/>
      <c r="ACF34" s="90"/>
      <c r="ACG34" s="90"/>
      <c r="ACH34" s="90"/>
      <c r="ACI34" s="90"/>
      <c r="ACJ34" s="90"/>
      <c r="ACK34" s="90"/>
      <c r="ACL34" s="90"/>
      <c r="ACM34" s="90"/>
      <c r="ACN34" s="90"/>
      <c r="ACO34" s="90"/>
      <c r="ACP34" s="90"/>
      <c r="ACQ34" s="90"/>
      <c r="ACR34" s="90"/>
      <c r="ACS34" s="90"/>
      <c r="ACT34" s="90"/>
      <c r="ACU34" s="90"/>
      <c r="ACV34" s="90"/>
      <c r="ACW34" s="90"/>
      <c r="ACX34" s="90"/>
      <c r="ACY34" s="90"/>
      <c r="ACZ34" s="90"/>
      <c r="ADA34" s="90"/>
      <c r="ADB34" s="90"/>
      <c r="ADC34" s="90"/>
      <c r="ADD34" s="90"/>
      <c r="ADE34" s="90"/>
      <c r="ADF34" s="90"/>
      <c r="ADG34" s="90"/>
      <c r="ADH34" s="90"/>
      <c r="ADI34" s="90"/>
      <c r="ADJ34" s="90"/>
      <c r="ADK34" s="90"/>
      <c r="ADL34" s="90"/>
      <c r="ADM34" s="90"/>
      <c r="ADN34" s="90"/>
      <c r="ADO34" s="90"/>
      <c r="ADP34" s="90"/>
      <c r="ADQ34" s="90"/>
      <c r="ADR34" s="90"/>
      <c r="ADS34" s="90"/>
      <c r="ADT34" s="90"/>
      <c r="ADU34" s="90"/>
      <c r="ADV34" s="90"/>
      <c r="ADW34" s="90"/>
      <c r="ADX34" s="90"/>
      <c r="ADY34" s="90"/>
      <c r="ADZ34" s="90"/>
      <c r="AEA34" s="90"/>
      <c r="AEB34" s="90"/>
      <c r="AEC34" s="90"/>
      <c r="AED34" s="90"/>
      <c r="AEE34" s="90"/>
      <c r="AEF34" s="90"/>
      <c r="AEG34" s="90"/>
      <c r="AEH34" s="90"/>
      <c r="AEI34" s="90"/>
      <c r="AEJ34" s="90"/>
      <c r="AEK34" s="90"/>
      <c r="AEL34" s="90"/>
      <c r="AEM34" s="90"/>
      <c r="AEN34" s="90"/>
      <c r="AEO34" s="90"/>
      <c r="AEP34" s="90"/>
      <c r="AEQ34" s="90"/>
      <c r="AER34" s="90"/>
      <c r="AES34" s="90"/>
      <c r="AET34" s="90"/>
      <c r="AEU34" s="90"/>
      <c r="AEV34" s="90"/>
      <c r="AEW34" s="90"/>
      <c r="AEX34" s="90"/>
      <c r="AEY34" s="90"/>
      <c r="AEZ34" s="90"/>
      <c r="AFA34" s="90"/>
      <c r="AFB34" s="90"/>
      <c r="AFC34" s="90"/>
      <c r="AFD34" s="90"/>
      <c r="AFE34" s="90"/>
      <c r="AFF34" s="90"/>
      <c r="AFG34" s="90"/>
      <c r="AFH34" s="90"/>
      <c r="AFI34" s="90"/>
      <c r="AFJ34" s="90"/>
      <c r="AFK34" s="90"/>
      <c r="AFL34" s="90"/>
      <c r="AFM34" s="90"/>
      <c r="AFN34" s="90"/>
      <c r="AFO34" s="90"/>
      <c r="AFP34" s="90"/>
      <c r="AFQ34" s="90"/>
      <c r="AFR34" s="90"/>
      <c r="AFS34" s="90"/>
      <c r="AFT34" s="90"/>
      <c r="AFU34" s="90"/>
      <c r="AFV34" s="90"/>
      <c r="AFW34" s="90"/>
      <c r="AFX34" s="90"/>
      <c r="AFY34" s="90"/>
      <c r="AFZ34" s="90"/>
      <c r="AGA34" s="90"/>
      <c r="AGB34" s="90"/>
      <c r="AGC34" s="90"/>
      <c r="AGD34" s="90"/>
      <c r="AGE34" s="90"/>
      <c r="AGF34" s="90"/>
      <c r="AGG34" s="90"/>
      <c r="AGH34" s="90"/>
      <c r="AGI34" s="90"/>
      <c r="AGJ34" s="90"/>
      <c r="AGK34" s="90"/>
      <c r="AGL34" s="90"/>
      <c r="AGM34" s="90"/>
      <c r="AGN34" s="90"/>
      <c r="AGO34" s="90"/>
      <c r="AGP34" s="90"/>
      <c r="AGQ34" s="90"/>
      <c r="AGR34" s="90"/>
      <c r="AGS34" s="90"/>
      <c r="AGT34" s="90"/>
      <c r="AGU34" s="90"/>
      <c r="AGV34" s="90"/>
      <c r="AGW34" s="90"/>
      <c r="AGX34" s="90"/>
      <c r="AGY34" s="90"/>
      <c r="AGZ34" s="90"/>
      <c r="AHA34" s="90"/>
      <c r="AHB34" s="90"/>
      <c r="AHC34" s="90"/>
      <c r="AHD34" s="90"/>
      <c r="AHE34" s="90"/>
      <c r="AHF34" s="90"/>
      <c r="AHG34" s="90"/>
      <c r="AHH34" s="90"/>
      <c r="AHI34" s="90"/>
      <c r="AHJ34" s="90"/>
      <c r="AHK34" s="90"/>
      <c r="AHL34" s="90"/>
      <c r="AHM34" s="90"/>
      <c r="AHN34" s="90"/>
      <c r="AHO34" s="90"/>
      <c r="AHP34" s="90"/>
      <c r="AHQ34" s="90"/>
      <c r="AHR34" s="90"/>
      <c r="AHS34" s="90"/>
      <c r="AHT34" s="90"/>
      <c r="AHU34" s="90"/>
      <c r="AHV34" s="90"/>
      <c r="AHW34" s="90"/>
      <c r="AHX34" s="90"/>
      <c r="AHY34" s="90"/>
      <c r="AHZ34" s="90"/>
      <c r="AIA34" s="90"/>
      <c r="AIB34" s="90"/>
      <c r="AIC34" s="90"/>
      <c r="AID34" s="90"/>
      <c r="AIE34" s="90"/>
      <c r="AIF34" s="90"/>
      <c r="AIG34" s="90"/>
      <c r="AIH34" s="90"/>
      <c r="AII34" s="90"/>
      <c r="AIJ34" s="90"/>
      <c r="AIK34" s="90"/>
      <c r="AIL34" s="90"/>
      <c r="AIM34" s="90"/>
      <c r="AIN34" s="90"/>
      <c r="AIO34" s="90"/>
      <c r="AIP34" s="90"/>
      <c r="AIQ34" s="90"/>
      <c r="AIR34" s="90"/>
      <c r="AIS34" s="90"/>
      <c r="AIT34" s="90"/>
      <c r="AIU34" s="90"/>
      <c r="AIV34" s="90"/>
      <c r="AIW34" s="90"/>
      <c r="AIX34" s="90"/>
      <c r="AIY34" s="90"/>
      <c r="AIZ34" s="90"/>
      <c r="AJA34" s="90"/>
      <c r="AJB34" s="90"/>
      <c r="AJC34" s="90"/>
      <c r="AJD34" s="90"/>
      <c r="AJE34" s="90"/>
      <c r="AJF34" s="90"/>
      <c r="AJG34" s="90"/>
      <c r="AJH34" s="90"/>
      <c r="AJI34" s="90"/>
      <c r="AJJ34" s="90"/>
      <c r="AJK34" s="90"/>
      <c r="AJL34" s="90"/>
      <c r="AJM34" s="90"/>
      <c r="AJN34" s="90"/>
      <c r="AJO34" s="90"/>
      <c r="AJP34" s="90"/>
      <c r="AJQ34" s="90"/>
      <c r="AJR34" s="90"/>
      <c r="AJS34" s="90"/>
      <c r="AJT34" s="90"/>
      <c r="AJU34" s="90"/>
      <c r="AJV34" s="90"/>
      <c r="AJW34" s="90"/>
      <c r="AJX34" s="90"/>
      <c r="AJY34" s="90"/>
      <c r="AJZ34" s="90"/>
      <c r="AKA34" s="90"/>
      <c r="AKB34" s="90"/>
      <c r="AKC34" s="90"/>
      <c r="AKD34" s="90"/>
      <c r="AKE34" s="90"/>
      <c r="AKF34" s="90"/>
      <c r="AKG34" s="90"/>
      <c r="AKH34" s="90"/>
      <c r="AKI34" s="90"/>
      <c r="AKJ34" s="90"/>
      <c r="AKK34" s="90"/>
      <c r="AKL34" s="90"/>
      <c r="AKM34" s="90"/>
      <c r="AKN34" s="90"/>
      <c r="AKO34" s="90"/>
      <c r="AKP34" s="90"/>
      <c r="AKQ34" s="90"/>
      <c r="AKR34" s="90"/>
      <c r="AKS34" s="90"/>
      <c r="AKT34" s="90"/>
      <c r="AKU34" s="90"/>
      <c r="AKV34" s="90"/>
      <c r="AKW34" s="90"/>
      <c r="AKX34" s="90"/>
      <c r="AKY34" s="90"/>
      <c r="AKZ34" s="90"/>
      <c r="ALA34" s="90"/>
      <c r="ALB34" s="90"/>
      <c r="ALC34" s="90"/>
      <c r="ALD34" s="90"/>
      <c r="ALE34" s="90"/>
      <c r="ALF34" s="90"/>
      <c r="ALG34" s="90"/>
      <c r="ALH34" s="90"/>
      <c r="ALI34" s="90"/>
      <c r="ALJ34" s="90"/>
      <c r="ALK34" s="90"/>
      <c r="ALL34" s="90"/>
      <c r="ALM34" s="90"/>
      <c r="ALN34" s="90"/>
      <c r="ALO34" s="90"/>
      <c r="ALP34" s="90"/>
      <c r="ALQ34" s="90"/>
      <c r="ALR34" s="90"/>
      <c r="ALS34" s="90"/>
      <c r="ALT34" s="90"/>
      <c r="ALU34" s="90"/>
      <c r="ALV34" s="90"/>
      <c r="ALW34" s="90"/>
      <c r="ALX34" s="90"/>
      <c r="ALY34" s="90"/>
      <c r="ALZ34" s="90"/>
      <c r="AMA34" s="90"/>
      <c r="AMB34" s="90"/>
      <c r="AMC34" s="90"/>
    </row>
    <row r="35" spans="1:1017">
      <c r="A35" s="98" t="s">
        <v>25</v>
      </c>
      <c r="B35" s="648" t="s">
        <v>20</v>
      </c>
      <c r="Q35" s="91">
        <f t="shared" si="640"/>
        <v>0</v>
      </c>
      <c r="R35" s="91">
        <f t="shared" si="641"/>
        <v>0</v>
      </c>
      <c r="Y35" s="778">
        <v>1740</v>
      </c>
      <c r="Z35" s="778">
        <v>29580</v>
      </c>
      <c r="AG35" s="91">
        <f t="shared" si="642"/>
        <v>1740</v>
      </c>
      <c r="AH35" s="91">
        <f t="shared" si="643"/>
        <v>29580</v>
      </c>
      <c r="AW35" s="91">
        <f t="shared" si="644"/>
        <v>0</v>
      </c>
      <c r="AX35" s="91">
        <f t="shared" si="645"/>
        <v>0</v>
      </c>
      <c r="BE35" s="98">
        <v>9764</v>
      </c>
      <c r="BF35" s="98">
        <v>97640</v>
      </c>
      <c r="BG35" s="98">
        <v>9321</v>
      </c>
      <c r="BH35" s="98">
        <v>93210</v>
      </c>
      <c r="BK35" s="98">
        <v>1653</v>
      </c>
      <c r="BL35" s="98">
        <v>16530</v>
      </c>
      <c r="BM35" s="91">
        <f t="shared" si="646"/>
        <v>20738</v>
      </c>
      <c r="BN35" s="91">
        <f t="shared" si="647"/>
        <v>207380</v>
      </c>
      <c r="BU35" s="98">
        <v>100</v>
      </c>
      <c r="BV35" s="98">
        <v>2000</v>
      </c>
      <c r="CC35" s="91">
        <f t="shared" si="648"/>
        <v>100</v>
      </c>
      <c r="CD35" s="91">
        <f t="shared" si="649"/>
        <v>2000</v>
      </c>
      <c r="CK35" s="98">
        <v>125762</v>
      </c>
      <c r="CL35" s="98">
        <v>1634905.1411988749</v>
      </c>
      <c r="CS35" s="91">
        <f t="shared" si="650"/>
        <v>125762</v>
      </c>
      <c r="CT35" s="91">
        <f t="shared" si="651"/>
        <v>1634905.1411988749</v>
      </c>
      <c r="DA35" s="98">
        <v>980</v>
      </c>
      <c r="DB35" s="98">
        <v>16660</v>
      </c>
      <c r="DI35" s="91">
        <f t="shared" si="652"/>
        <v>980</v>
      </c>
      <c r="DJ35" s="91">
        <f t="shared" si="653"/>
        <v>16660</v>
      </c>
      <c r="DY35" s="91">
        <f t="shared" si="654"/>
        <v>0</v>
      </c>
      <c r="DZ35" s="91">
        <f t="shared" si="655"/>
        <v>0</v>
      </c>
      <c r="EG35" s="98">
        <v>150</v>
      </c>
      <c r="EH35" s="98">
        <v>1650</v>
      </c>
      <c r="EO35" s="91">
        <f t="shared" si="656"/>
        <v>150</v>
      </c>
      <c r="EP35" s="91">
        <f t="shared" si="657"/>
        <v>1650</v>
      </c>
      <c r="EW35" s="98">
        <v>149973</v>
      </c>
      <c r="EX35" s="98">
        <v>2249595</v>
      </c>
      <c r="FE35" s="91">
        <f t="shared" si="658"/>
        <v>149973</v>
      </c>
      <c r="FF35" s="91">
        <f t="shared" si="659"/>
        <v>2249595</v>
      </c>
      <c r="FM35" s="98">
        <v>65</v>
      </c>
      <c r="FN35" s="98">
        <v>1170</v>
      </c>
      <c r="FU35" s="91">
        <f t="shared" si="660"/>
        <v>65</v>
      </c>
      <c r="FV35" s="91">
        <f t="shared" si="661"/>
        <v>1170</v>
      </c>
      <c r="GC35" s="98">
        <v>350</v>
      </c>
      <c r="GD35" s="98">
        <v>5250</v>
      </c>
      <c r="GK35" s="91">
        <f t="shared" si="662"/>
        <v>350</v>
      </c>
      <c r="GL35" s="91">
        <f t="shared" si="663"/>
        <v>5250</v>
      </c>
      <c r="HA35" s="91">
        <f t="shared" si="664"/>
        <v>0</v>
      </c>
      <c r="HB35" s="91">
        <f t="shared" si="665"/>
        <v>0</v>
      </c>
      <c r="HQ35" s="91">
        <f t="shared" si="666"/>
        <v>0</v>
      </c>
      <c r="HR35" s="91">
        <f t="shared" si="667"/>
        <v>0</v>
      </c>
      <c r="IG35" s="91">
        <f t="shared" si="668"/>
        <v>0</v>
      </c>
      <c r="IH35" s="91">
        <f t="shared" si="669"/>
        <v>0</v>
      </c>
      <c r="IW35" s="91">
        <f t="shared" si="670"/>
        <v>0</v>
      </c>
      <c r="IX35" s="91">
        <f t="shared" si="671"/>
        <v>0</v>
      </c>
      <c r="JM35" s="91">
        <f t="shared" si="672"/>
        <v>0</v>
      </c>
      <c r="JN35" s="91">
        <f t="shared" si="673"/>
        <v>0</v>
      </c>
      <c r="KC35" s="91">
        <f t="shared" si="674"/>
        <v>0</v>
      </c>
      <c r="KD35" s="91">
        <f t="shared" si="675"/>
        <v>0</v>
      </c>
      <c r="KS35" s="91">
        <f t="shared" si="676"/>
        <v>0</v>
      </c>
      <c r="KT35" s="91">
        <f t="shared" si="677"/>
        <v>0</v>
      </c>
      <c r="LI35" s="91">
        <f t="shared" si="678"/>
        <v>0</v>
      </c>
      <c r="LJ35" s="91">
        <f t="shared" si="679"/>
        <v>0</v>
      </c>
      <c r="LY35" s="91">
        <f t="shared" si="680"/>
        <v>0</v>
      </c>
      <c r="LZ35" s="91">
        <f t="shared" si="681"/>
        <v>0</v>
      </c>
      <c r="MO35" s="91">
        <f t="shared" si="682"/>
        <v>0</v>
      </c>
      <c r="MP35" s="91">
        <f t="shared" si="683"/>
        <v>0</v>
      </c>
      <c r="NE35" s="91">
        <f t="shared" si="684"/>
        <v>0</v>
      </c>
      <c r="NF35" s="91">
        <f t="shared" si="685"/>
        <v>0</v>
      </c>
      <c r="NQ35" s="98">
        <v>100</v>
      </c>
      <c r="NR35" s="98">
        <v>1600</v>
      </c>
      <c r="NU35" s="91">
        <f t="shared" si="686"/>
        <v>100</v>
      </c>
      <c r="NV35" s="91">
        <f t="shared" si="687"/>
        <v>1600</v>
      </c>
      <c r="OK35" s="91">
        <f t="shared" si="688"/>
        <v>0</v>
      </c>
      <c r="OL35" s="91">
        <f t="shared" si="689"/>
        <v>0</v>
      </c>
      <c r="PA35" s="91">
        <f t="shared" si="690"/>
        <v>0</v>
      </c>
      <c r="PB35" s="91">
        <f t="shared" si="691"/>
        <v>0</v>
      </c>
      <c r="PQ35" s="91">
        <f t="shared" si="692"/>
        <v>0</v>
      </c>
      <c r="PR35" s="91">
        <f t="shared" si="693"/>
        <v>0</v>
      </c>
      <c r="PY35" s="98">
        <v>5880</v>
      </c>
      <c r="PZ35" s="98">
        <v>76440</v>
      </c>
      <c r="QA35" s="98">
        <v>205800</v>
      </c>
      <c r="QB35" s="98">
        <v>2881200</v>
      </c>
      <c r="QG35" s="91">
        <f t="shared" si="694"/>
        <v>211680</v>
      </c>
      <c r="QH35" s="91">
        <f t="shared" si="695"/>
        <v>2957640</v>
      </c>
      <c r="QW35" s="91">
        <f t="shared" si="696"/>
        <v>0</v>
      </c>
      <c r="QX35" s="91">
        <f t="shared" si="697"/>
        <v>0</v>
      </c>
      <c r="RM35" s="91">
        <f t="shared" si="698"/>
        <v>0</v>
      </c>
      <c r="RN35" s="91">
        <f t="shared" si="699"/>
        <v>0</v>
      </c>
      <c r="SC35" s="91">
        <f t="shared" si="700"/>
        <v>0</v>
      </c>
      <c r="SD35" s="91">
        <f t="shared" si="701"/>
        <v>0</v>
      </c>
      <c r="SS35" s="91">
        <f t="shared" si="702"/>
        <v>0</v>
      </c>
      <c r="ST35" s="91">
        <f t="shared" si="703"/>
        <v>0</v>
      </c>
      <c r="TI35" s="91">
        <f t="shared" si="704"/>
        <v>0</v>
      </c>
      <c r="TJ35" s="91">
        <f t="shared" si="705"/>
        <v>0</v>
      </c>
      <c r="TY35" s="91">
        <f t="shared" si="706"/>
        <v>0</v>
      </c>
      <c r="TZ35" s="91">
        <f t="shared" si="707"/>
        <v>0</v>
      </c>
      <c r="UO35" s="91">
        <f t="shared" si="708"/>
        <v>0</v>
      </c>
      <c r="UP35" s="91">
        <f t="shared" si="764"/>
        <v>0</v>
      </c>
      <c r="VE35" s="91">
        <f t="shared" si="709"/>
        <v>0</v>
      </c>
      <c r="VF35" s="91">
        <f t="shared" si="710"/>
        <v>0</v>
      </c>
      <c r="VU35" s="91">
        <f t="shared" si="711"/>
        <v>0</v>
      </c>
      <c r="VV35" s="91">
        <f t="shared" si="712"/>
        <v>0</v>
      </c>
      <c r="WK35" s="91">
        <f t="shared" si="713"/>
        <v>0</v>
      </c>
      <c r="WL35" s="91">
        <f t="shared" si="714"/>
        <v>0</v>
      </c>
      <c r="WM35" s="89"/>
      <c r="WN35" s="87">
        <f t="shared" si="715"/>
        <v>0</v>
      </c>
      <c r="WO35" s="87">
        <f t="shared" si="716"/>
        <v>0</v>
      </c>
      <c r="WP35" s="87">
        <f t="shared" si="717"/>
        <v>0</v>
      </c>
      <c r="WQ35" s="87">
        <f t="shared" si="718"/>
        <v>0</v>
      </c>
      <c r="WR35" s="87">
        <f t="shared" si="719"/>
        <v>0</v>
      </c>
      <c r="WS35" s="87">
        <f t="shared" si="720"/>
        <v>0</v>
      </c>
      <c r="WT35" s="87">
        <f t="shared" si="721"/>
        <v>294764</v>
      </c>
      <c r="WU35" s="87">
        <f t="shared" si="722"/>
        <v>4114890.1411988749</v>
      </c>
      <c r="WV35" s="87">
        <f t="shared" si="723"/>
        <v>215121</v>
      </c>
      <c r="WW35" s="87">
        <f t="shared" si="724"/>
        <v>2974410</v>
      </c>
      <c r="WX35" s="87">
        <f t="shared" si="725"/>
        <v>100</v>
      </c>
      <c r="WY35" s="87">
        <f t="shared" si="726"/>
        <v>1600</v>
      </c>
      <c r="WZ35" s="87">
        <f t="shared" si="727"/>
        <v>1653</v>
      </c>
      <c r="XA35" s="87">
        <f t="shared" si="728"/>
        <v>16530</v>
      </c>
      <c r="XB35" s="92">
        <f t="shared" si="729"/>
        <v>511638</v>
      </c>
      <c r="XC35" s="92">
        <f t="shared" si="730"/>
        <v>7107430.1411988754</v>
      </c>
      <c r="XD35" s="89"/>
      <c r="XE35" s="92">
        <f t="shared" si="638"/>
        <v>2726547</v>
      </c>
      <c r="XF35" s="92">
        <f t="shared" si="639"/>
        <v>37915426.141198874</v>
      </c>
      <c r="XG35" s="89"/>
      <c r="XH35" s="92">
        <f t="shared" ref="XH35:XI35" si="768">SUM(XE35,XE73)</f>
        <v>6053882.9450860955</v>
      </c>
      <c r="XI35" s="92">
        <f t="shared" si="768"/>
        <v>84158529.427318111</v>
      </c>
      <c r="XJ35" s="89"/>
      <c r="XK35" s="87">
        <f t="shared" si="732"/>
        <v>0</v>
      </c>
      <c r="XL35" s="87">
        <f t="shared" si="733"/>
        <v>0</v>
      </c>
      <c r="XM35" s="87">
        <f t="shared" si="734"/>
        <v>0</v>
      </c>
      <c r="XN35" s="87">
        <f t="shared" si="735"/>
        <v>7466061.3146035727</v>
      </c>
      <c r="XO35" s="87">
        <f t="shared" si="736"/>
        <v>1552201</v>
      </c>
      <c r="XP35" s="87">
        <f t="shared" si="737"/>
        <v>1952</v>
      </c>
      <c r="XQ35" s="87">
        <f t="shared" si="738"/>
        <v>13997</v>
      </c>
      <c r="XR35" s="92">
        <f t="shared" si="739"/>
        <v>9034211.3146035727</v>
      </c>
      <c r="XS35" s="89"/>
      <c r="XT35" s="87">
        <f t="shared" si="740"/>
        <v>0</v>
      </c>
      <c r="XU35" s="87">
        <f t="shared" si="741"/>
        <v>0</v>
      </c>
      <c r="XV35" s="87">
        <f t="shared" si="742"/>
        <v>0</v>
      </c>
      <c r="XW35" s="87">
        <f t="shared" si="743"/>
        <v>101838359.15618733</v>
      </c>
      <c r="XX35" s="87">
        <f t="shared" si="744"/>
        <v>20711660</v>
      </c>
      <c r="XY35" s="87">
        <f t="shared" si="745"/>
        <v>31232</v>
      </c>
      <c r="XZ35" s="87">
        <f t="shared" si="746"/>
        <v>118610</v>
      </c>
      <c r="YA35" s="92">
        <f t="shared" si="747"/>
        <v>122699861.15618733</v>
      </c>
      <c r="YB35" s="90"/>
      <c r="YC35" s="90"/>
      <c r="YD35" s="90"/>
      <c r="YE35" s="90"/>
      <c r="YF35" s="90"/>
      <c r="YG35" s="90"/>
      <c r="YH35" s="90"/>
      <c r="YI35" s="90"/>
      <c r="YJ35" s="90"/>
      <c r="YK35" s="90"/>
      <c r="YL35" s="90"/>
      <c r="YM35" s="90"/>
      <c r="YN35" s="90"/>
      <c r="YO35" s="90"/>
      <c r="YP35" s="90"/>
      <c r="YQ35" s="90"/>
      <c r="YR35" s="90"/>
      <c r="YS35" s="90"/>
      <c r="YT35" s="90"/>
      <c r="YU35" s="90"/>
      <c r="YV35" s="90"/>
      <c r="YW35" s="90"/>
      <c r="YX35" s="90"/>
      <c r="YY35" s="90"/>
      <c r="YZ35" s="90"/>
      <c r="ZA35" s="90"/>
      <c r="ZB35" s="90"/>
      <c r="ZC35" s="90"/>
      <c r="ZD35" s="90"/>
      <c r="ZE35" s="90"/>
      <c r="ZF35" s="90"/>
      <c r="ZG35" s="90"/>
      <c r="ZH35" s="90"/>
      <c r="ZI35" s="90"/>
      <c r="ZJ35" s="90"/>
      <c r="ZK35" s="90"/>
      <c r="ZL35" s="90"/>
      <c r="ZM35" s="90"/>
      <c r="ZN35" s="90"/>
      <c r="ZO35" s="90"/>
      <c r="ZP35" s="90"/>
      <c r="ZQ35" s="90"/>
      <c r="ZR35" s="90"/>
      <c r="ZS35" s="90"/>
      <c r="ZT35" s="90"/>
      <c r="ZU35" s="90"/>
      <c r="ZV35" s="90"/>
      <c r="ZW35" s="90"/>
      <c r="ZX35" s="90"/>
      <c r="ZY35" s="90"/>
      <c r="ZZ35" s="90"/>
      <c r="AAA35" s="90"/>
      <c r="AAB35" s="90"/>
      <c r="AAC35" s="90"/>
      <c r="AAD35" s="90"/>
      <c r="AAE35" s="90"/>
      <c r="AAF35" s="90"/>
      <c r="AAG35" s="90"/>
      <c r="AAH35" s="90"/>
      <c r="AAI35" s="90"/>
      <c r="AAJ35" s="90"/>
      <c r="AAK35" s="90"/>
      <c r="AAL35" s="90"/>
      <c r="AAM35" s="90"/>
      <c r="AAN35" s="90"/>
      <c r="AAO35" s="90"/>
      <c r="AAP35" s="90"/>
      <c r="AAQ35" s="90"/>
      <c r="AAR35" s="90"/>
      <c r="AAS35" s="90"/>
      <c r="AAT35" s="90"/>
      <c r="AAU35" s="90"/>
      <c r="AAV35" s="90"/>
      <c r="AAW35" s="90"/>
      <c r="AAX35" s="90"/>
      <c r="AAY35" s="90"/>
      <c r="AAZ35" s="90"/>
      <c r="ABA35" s="90"/>
      <c r="ABB35" s="90"/>
      <c r="ABC35" s="90"/>
      <c r="ABD35" s="90"/>
      <c r="ABE35" s="90"/>
      <c r="ABF35" s="90"/>
      <c r="ABG35" s="90"/>
      <c r="ABH35" s="90"/>
      <c r="ABI35" s="90"/>
      <c r="ABJ35" s="90"/>
      <c r="ABK35" s="90"/>
      <c r="ABL35" s="90"/>
      <c r="ABM35" s="90"/>
      <c r="ABN35" s="90"/>
      <c r="ABO35" s="90"/>
      <c r="ABP35" s="90"/>
      <c r="ABQ35" s="90"/>
      <c r="ABR35" s="90"/>
      <c r="ABS35" s="90"/>
      <c r="ABT35" s="90"/>
      <c r="ABU35" s="90"/>
      <c r="ABV35" s="90"/>
      <c r="ABW35" s="90"/>
      <c r="ABX35" s="90"/>
      <c r="ABY35" s="90"/>
      <c r="ABZ35" s="90"/>
      <c r="ACA35" s="90"/>
      <c r="ACB35" s="90"/>
      <c r="ACC35" s="90"/>
      <c r="ACD35" s="90"/>
      <c r="ACE35" s="90"/>
      <c r="ACF35" s="90"/>
      <c r="ACG35" s="90"/>
      <c r="ACH35" s="90"/>
      <c r="ACI35" s="90"/>
      <c r="ACJ35" s="90"/>
      <c r="ACK35" s="90"/>
      <c r="ACL35" s="90"/>
      <c r="ACM35" s="90"/>
      <c r="ACN35" s="90"/>
      <c r="ACO35" s="90"/>
      <c r="ACP35" s="90"/>
      <c r="ACQ35" s="90"/>
      <c r="ACR35" s="90"/>
      <c r="ACS35" s="90"/>
      <c r="ACT35" s="90"/>
      <c r="ACU35" s="90"/>
      <c r="ACV35" s="90"/>
      <c r="ACW35" s="90"/>
      <c r="ACX35" s="90"/>
      <c r="ACY35" s="90"/>
      <c r="ACZ35" s="90"/>
      <c r="ADA35" s="90"/>
      <c r="ADB35" s="90"/>
      <c r="ADC35" s="90"/>
      <c r="ADD35" s="90"/>
      <c r="ADE35" s="90"/>
      <c r="ADF35" s="90"/>
      <c r="ADG35" s="90"/>
      <c r="ADH35" s="90"/>
      <c r="ADI35" s="90"/>
      <c r="ADJ35" s="90"/>
      <c r="ADK35" s="90"/>
      <c r="ADL35" s="90"/>
      <c r="ADM35" s="90"/>
      <c r="ADN35" s="90"/>
      <c r="ADO35" s="90"/>
      <c r="ADP35" s="90"/>
      <c r="ADQ35" s="90"/>
      <c r="ADR35" s="90"/>
      <c r="ADS35" s="90"/>
      <c r="ADT35" s="90"/>
      <c r="ADU35" s="90"/>
      <c r="ADV35" s="90"/>
      <c r="ADW35" s="90"/>
      <c r="ADX35" s="90"/>
      <c r="ADY35" s="90"/>
      <c r="ADZ35" s="90"/>
      <c r="AEA35" s="90"/>
      <c r="AEB35" s="90"/>
      <c r="AEC35" s="90"/>
      <c r="AED35" s="90"/>
      <c r="AEE35" s="90"/>
      <c r="AEF35" s="90"/>
      <c r="AEG35" s="90"/>
      <c r="AEH35" s="90"/>
      <c r="AEI35" s="90"/>
      <c r="AEJ35" s="90"/>
      <c r="AEK35" s="90"/>
      <c r="AEL35" s="90"/>
      <c r="AEM35" s="90"/>
      <c r="AEN35" s="90"/>
      <c r="AEO35" s="90"/>
      <c r="AEP35" s="90"/>
      <c r="AEQ35" s="90"/>
      <c r="AER35" s="90"/>
      <c r="AES35" s="90"/>
      <c r="AET35" s="90"/>
      <c r="AEU35" s="90"/>
      <c r="AEV35" s="90"/>
      <c r="AEW35" s="90"/>
      <c r="AEX35" s="90"/>
      <c r="AEY35" s="90"/>
      <c r="AEZ35" s="90"/>
      <c r="AFA35" s="90"/>
      <c r="AFB35" s="90"/>
      <c r="AFC35" s="90"/>
      <c r="AFD35" s="90"/>
      <c r="AFE35" s="90"/>
      <c r="AFF35" s="90"/>
      <c r="AFG35" s="90"/>
      <c r="AFH35" s="90"/>
      <c r="AFI35" s="90"/>
      <c r="AFJ35" s="90"/>
      <c r="AFK35" s="90"/>
      <c r="AFL35" s="90"/>
      <c r="AFM35" s="90"/>
      <c r="AFN35" s="90"/>
      <c r="AFO35" s="90"/>
      <c r="AFP35" s="90"/>
      <c r="AFQ35" s="90"/>
      <c r="AFR35" s="90"/>
      <c r="AFS35" s="90"/>
      <c r="AFT35" s="90"/>
      <c r="AFU35" s="90"/>
      <c r="AFV35" s="90"/>
      <c r="AFW35" s="90"/>
      <c r="AFX35" s="90"/>
      <c r="AFY35" s="90"/>
      <c r="AFZ35" s="90"/>
      <c r="AGA35" s="90"/>
      <c r="AGB35" s="90"/>
      <c r="AGC35" s="90"/>
      <c r="AGD35" s="90"/>
      <c r="AGE35" s="90"/>
      <c r="AGF35" s="90"/>
      <c r="AGG35" s="90"/>
      <c r="AGH35" s="90"/>
      <c r="AGI35" s="90"/>
      <c r="AGJ35" s="90"/>
      <c r="AGK35" s="90"/>
      <c r="AGL35" s="90"/>
      <c r="AGM35" s="90"/>
      <c r="AGN35" s="90"/>
      <c r="AGO35" s="90"/>
      <c r="AGP35" s="90"/>
      <c r="AGQ35" s="90"/>
      <c r="AGR35" s="90"/>
      <c r="AGS35" s="90"/>
      <c r="AGT35" s="90"/>
      <c r="AGU35" s="90"/>
      <c r="AGV35" s="90"/>
      <c r="AGW35" s="90"/>
      <c r="AGX35" s="90"/>
      <c r="AGY35" s="90"/>
      <c r="AGZ35" s="90"/>
      <c r="AHA35" s="90"/>
      <c r="AHB35" s="90"/>
      <c r="AHC35" s="90"/>
      <c r="AHD35" s="90"/>
      <c r="AHE35" s="90"/>
      <c r="AHF35" s="90"/>
      <c r="AHG35" s="90"/>
      <c r="AHH35" s="90"/>
      <c r="AHI35" s="90"/>
      <c r="AHJ35" s="90"/>
      <c r="AHK35" s="90"/>
      <c r="AHL35" s="90"/>
      <c r="AHM35" s="90"/>
      <c r="AHN35" s="90"/>
      <c r="AHO35" s="90"/>
      <c r="AHP35" s="90"/>
      <c r="AHQ35" s="90"/>
      <c r="AHR35" s="90"/>
      <c r="AHS35" s="90"/>
      <c r="AHT35" s="90"/>
      <c r="AHU35" s="90"/>
      <c r="AHV35" s="90"/>
      <c r="AHW35" s="90"/>
      <c r="AHX35" s="90"/>
      <c r="AHY35" s="90"/>
      <c r="AHZ35" s="90"/>
      <c r="AIA35" s="90"/>
      <c r="AIB35" s="90"/>
      <c r="AIC35" s="90"/>
      <c r="AID35" s="90"/>
      <c r="AIE35" s="90"/>
      <c r="AIF35" s="90"/>
      <c r="AIG35" s="90"/>
      <c r="AIH35" s="90"/>
      <c r="AII35" s="90"/>
      <c r="AIJ35" s="90"/>
      <c r="AIK35" s="90"/>
      <c r="AIL35" s="90"/>
      <c r="AIM35" s="90"/>
      <c r="AIN35" s="90"/>
      <c r="AIO35" s="90"/>
      <c r="AIP35" s="90"/>
      <c r="AIQ35" s="90"/>
      <c r="AIR35" s="90"/>
      <c r="AIS35" s="90"/>
      <c r="AIT35" s="90"/>
      <c r="AIU35" s="90"/>
      <c r="AIV35" s="90"/>
      <c r="AIW35" s="90"/>
      <c r="AIX35" s="90"/>
      <c r="AIY35" s="90"/>
      <c r="AIZ35" s="90"/>
      <c r="AJA35" s="90"/>
      <c r="AJB35" s="90"/>
      <c r="AJC35" s="90"/>
      <c r="AJD35" s="90"/>
      <c r="AJE35" s="90"/>
      <c r="AJF35" s="90"/>
      <c r="AJG35" s="90"/>
      <c r="AJH35" s="90"/>
      <c r="AJI35" s="90"/>
      <c r="AJJ35" s="90"/>
      <c r="AJK35" s="90"/>
      <c r="AJL35" s="90"/>
      <c r="AJM35" s="90"/>
      <c r="AJN35" s="90"/>
      <c r="AJO35" s="90"/>
      <c r="AJP35" s="90"/>
      <c r="AJQ35" s="90"/>
      <c r="AJR35" s="90"/>
      <c r="AJS35" s="90"/>
      <c r="AJT35" s="90"/>
      <c r="AJU35" s="90"/>
      <c r="AJV35" s="90"/>
      <c r="AJW35" s="90"/>
      <c r="AJX35" s="90"/>
      <c r="AJY35" s="90"/>
      <c r="AJZ35" s="90"/>
      <c r="AKA35" s="90"/>
      <c r="AKB35" s="90"/>
      <c r="AKC35" s="90"/>
      <c r="AKD35" s="90"/>
      <c r="AKE35" s="90"/>
      <c r="AKF35" s="90"/>
      <c r="AKG35" s="90"/>
      <c r="AKH35" s="90"/>
      <c r="AKI35" s="90"/>
      <c r="AKJ35" s="90"/>
      <c r="AKK35" s="90"/>
      <c r="AKL35" s="90"/>
      <c r="AKM35" s="90"/>
      <c r="AKN35" s="90"/>
      <c r="AKO35" s="90"/>
      <c r="AKP35" s="90"/>
      <c r="AKQ35" s="90"/>
      <c r="AKR35" s="90"/>
      <c r="AKS35" s="90"/>
      <c r="AKT35" s="90"/>
      <c r="AKU35" s="90"/>
      <c r="AKV35" s="90"/>
      <c r="AKW35" s="90"/>
      <c r="AKX35" s="90"/>
      <c r="AKY35" s="90"/>
      <c r="AKZ35" s="90"/>
      <c r="ALA35" s="90"/>
      <c r="ALB35" s="90"/>
      <c r="ALC35" s="90"/>
      <c r="ALD35" s="90"/>
      <c r="ALE35" s="90"/>
      <c r="ALF35" s="90"/>
      <c r="ALG35" s="90"/>
      <c r="ALH35" s="90"/>
      <c r="ALI35" s="90"/>
      <c r="ALJ35" s="90"/>
      <c r="ALK35" s="90"/>
      <c r="ALL35" s="90"/>
      <c r="ALM35" s="90"/>
      <c r="ALN35" s="90"/>
      <c r="ALO35" s="90"/>
      <c r="ALP35" s="90"/>
      <c r="ALQ35" s="90"/>
      <c r="ALR35" s="90"/>
      <c r="ALS35" s="90"/>
      <c r="ALT35" s="90"/>
      <c r="ALU35" s="90"/>
      <c r="ALV35" s="90"/>
      <c r="ALW35" s="90"/>
      <c r="ALX35" s="90"/>
      <c r="ALY35" s="90"/>
      <c r="ALZ35" s="90"/>
      <c r="AMA35" s="90"/>
      <c r="AMB35" s="90"/>
      <c r="AMC35" s="90"/>
    </row>
    <row r="36" spans="1:1017">
      <c r="A36" s="98" t="s">
        <v>25</v>
      </c>
      <c r="B36" s="648" t="s">
        <v>555</v>
      </c>
      <c r="Q36" s="91">
        <f t="shared" si="640"/>
        <v>0</v>
      </c>
      <c r="R36" s="91">
        <f t="shared" si="641"/>
        <v>0</v>
      </c>
      <c r="AG36" s="91">
        <f t="shared" si="642"/>
        <v>0</v>
      </c>
      <c r="AH36" s="91">
        <f t="shared" si="643"/>
        <v>0</v>
      </c>
      <c r="AW36" s="91">
        <f t="shared" si="644"/>
        <v>0</v>
      </c>
      <c r="AX36" s="91">
        <f t="shared" si="645"/>
        <v>0</v>
      </c>
      <c r="BM36" s="91">
        <f t="shared" si="646"/>
        <v>0</v>
      </c>
      <c r="BN36" s="91">
        <f t="shared" si="647"/>
        <v>0</v>
      </c>
      <c r="CC36" s="91">
        <f t="shared" si="648"/>
        <v>0</v>
      </c>
      <c r="CD36" s="91">
        <f t="shared" si="649"/>
        <v>0</v>
      </c>
      <c r="CS36" s="91">
        <f t="shared" si="650"/>
        <v>0</v>
      </c>
      <c r="CT36" s="91">
        <f t="shared" si="651"/>
        <v>0</v>
      </c>
      <c r="DI36" s="91">
        <f t="shared" si="652"/>
        <v>0</v>
      </c>
      <c r="DJ36" s="91">
        <f t="shared" si="653"/>
        <v>0</v>
      </c>
      <c r="DY36" s="91">
        <f t="shared" si="654"/>
        <v>0</v>
      </c>
      <c r="DZ36" s="91">
        <f t="shared" si="655"/>
        <v>0</v>
      </c>
      <c r="EO36" s="91">
        <f t="shared" si="656"/>
        <v>0</v>
      </c>
      <c r="EP36" s="91">
        <f t="shared" si="657"/>
        <v>0</v>
      </c>
      <c r="FE36" s="91">
        <f t="shared" si="658"/>
        <v>0</v>
      </c>
      <c r="FF36" s="91">
        <f t="shared" si="659"/>
        <v>0</v>
      </c>
      <c r="FU36" s="91">
        <f t="shared" si="660"/>
        <v>0</v>
      </c>
      <c r="FV36" s="91">
        <f t="shared" si="661"/>
        <v>0</v>
      </c>
      <c r="GK36" s="91">
        <f t="shared" si="662"/>
        <v>0</v>
      </c>
      <c r="GL36" s="91">
        <f t="shared" si="663"/>
        <v>0</v>
      </c>
      <c r="HA36" s="91">
        <f t="shared" si="664"/>
        <v>0</v>
      </c>
      <c r="HB36" s="91">
        <f t="shared" si="665"/>
        <v>0</v>
      </c>
      <c r="HQ36" s="91">
        <f t="shared" si="666"/>
        <v>0</v>
      </c>
      <c r="HR36" s="91">
        <f t="shared" si="667"/>
        <v>0</v>
      </c>
      <c r="IG36" s="91">
        <f t="shared" si="668"/>
        <v>0</v>
      </c>
      <c r="IH36" s="91">
        <f t="shared" si="669"/>
        <v>0</v>
      </c>
      <c r="IW36" s="91">
        <f t="shared" si="670"/>
        <v>0</v>
      </c>
      <c r="IX36" s="91">
        <f t="shared" si="671"/>
        <v>0</v>
      </c>
      <c r="JM36" s="91">
        <f t="shared" si="672"/>
        <v>0</v>
      </c>
      <c r="JN36" s="91">
        <f t="shared" si="673"/>
        <v>0</v>
      </c>
      <c r="KC36" s="91">
        <f t="shared" si="674"/>
        <v>0</v>
      </c>
      <c r="KD36" s="91">
        <f t="shared" si="675"/>
        <v>0</v>
      </c>
      <c r="KS36" s="91">
        <f t="shared" si="676"/>
        <v>0</v>
      </c>
      <c r="KT36" s="91">
        <f t="shared" si="677"/>
        <v>0</v>
      </c>
      <c r="LI36" s="91">
        <f t="shared" si="678"/>
        <v>0</v>
      </c>
      <c r="LJ36" s="91">
        <f t="shared" si="679"/>
        <v>0</v>
      </c>
      <c r="LY36" s="91">
        <f t="shared" si="680"/>
        <v>0</v>
      </c>
      <c r="LZ36" s="91">
        <f t="shared" si="681"/>
        <v>0</v>
      </c>
      <c r="MO36" s="91">
        <f t="shared" si="682"/>
        <v>0</v>
      </c>
      <c r="MP36" s="91">
        <f t="shared" si="683"/>
        <v>0</v>
      </c>
      <c r="NE36" s="91">
        <f t="shared" si="684"/>
        <v>0</v>
      </c>
      <c r="NF36" s="91">
        <f t="shared" si="685"/>
        <v>0</v>
      </c>
      <c r="NU36" s="91">
        <f t="shared" si="686"/>
        <v>0</v>
      </c>
      <c r="NV36" s="91">
        <f t="shared" si="687"/>
        <v>0</v>
      </c>
      <c r="OK36" s="91">
        <f t="shared" si="688"/>
        <v>0</v>
      </c>
      <c r="OL36" s="91">
        <f t="shared" si="689"/>
        <v>0</v>
      </c>
      <c r="PA36" s="91">
        <f t="shared" si="690"/>
        <v>0</v>
      </c>
      <c r="PB36" s="91">
        <f t="shared" si="691"/>
        <v>0</v>
      </c>
      <c r="PQ36" s="91">
        <f t="shared" si="692"/>
        <v>0</v>
      </c>
      <c r="PR36" s="91">
        <f t="shared" si="693"/>
        <v>0</v>
      </c>
      <c r="QG36" s="91">
        <f t="shared" si="694"/>
        <v>0</v>
      </c>
      <c r="QH36" s="91">
        <f t="shared" si="695"/>
        <v>0</v>
      </c>
      <c r="QW36" s="91">
        <f t="shared" si="696"/>
        <v>0</v>
      </c>
      <c r="QX36" s="91">
        <f t="shared" si="697"/>
        <v>0</v>
      </c>
      <c r="RM36" s="91">
        <f t="shared" si="698"/>
        <v>0</v>
      </c>
      <c r="RN36" s="91">
        <f t="shared" si="699"/>
        <v>0</v>
      </c>
      <c r="SC36" s="91">
        <f t="shared" si="700"/>
        <v>0</v>
      </c>
      <c r="SD36" s="91">
        <f t="shared" si="701"/>
        <v>0</v>
      </c>
      <c r="SS36" s="91">
        <f t="shared" si="702"/>
        <v>0</v>
      </c>
      <c r="ST36" s="91">
        <f t="shared" si="703"/>
        <v>0</v>
      </c>
      <c r="TI36" s="91">
        <f t="shared" si="704"/>
        <v>0</v>
      </c>
      <c r="TJ36" s="91">
        <f t="shared" si="705"/>
        <v>0</v>
      </c>
      <c r="TY36" s="91">
        <f t="shared" si="706"/>
        <v>0</v>
      </c>
      <c r="TZ36" s="91">
        <f t="shared" si="707"/>
        <v>0</v>
      </c>
      <c r="UO36" s="91">
        <f t="shared" si="708"/>
        <v>0</v>
      </c>
      <c r="UP36" s="91">
        <f t="shared" si="764"/>
        <v>0</v>
      </c>
      <c r="VE36" s="91">
        <f t="shared" si="709"/>
        <v>0</v>
      </c>
      <c r="VF36" s="91">
        <f t="shared" si="710"/>
        <v>0</v>
      </c>
      <c r="VU36" s="91">
        <f t="shared" si="711"/>
        <v>0</v>
      </c>
      <c r="VV36" s="91">
        <f t="shared" si="712"/>
        <v>0</v>
      </c>
      <c r="WK36" s="91">
        <f t="shared" si="713"/>
        <v>0</v>
      </c>
      <c r="WL36" s="91">
        <f t="shared" si="714"/>
        <v>0</v>
      </c>
      <c r="WM36" s="89"/>
      <c r="WN36" s="87">
        <f t="shared" si="715"/>
        <v>0</v>
      </c>
      <c r="WO36" s="87">
        <f t="shared" si="716"/>
        <v>0</v>
      </c>
      <c r="WP36" s="87">
        <f t="shared" si="717"/>
        <v>0</v>
      </c>
      <c r="WQ36" s="87">
        <f t="shared" si="718"/>
        <v>0</v>
      </c>
      <c r="WR36" s="87">
        <f t="shared" si="719"/>
        <v>0</v>
      </c>
      <c r="WS36" s="87">
        <f t="shared" si="720"/>
        <v>0</v>
      </c>
      <c r="WT36" s="87">
        <f t="shared" si="721"/>
        <v>0</v>
      </c>
      <c r="WU36" s="87">
        <f t="shared" si="722"/>
        <v>0</v>
      </c>
      <c r="WV36" s="87">
        <f t="shared" si="723"/>
        <v>0</v>
      </c>
      <c r="WW36" s="87">
        <f t="shared" si="724"/>
        <v>0</v>
      </c>
      <c r="WX36" s="87">
        <f t="shared" si="725"/>
        <v>0</v>
      </c>
      <c r="WY36" s="87">
        <f t="shared" si="726"/>
        <v>0</v>
      </c>
      <c r="WZ36" s="87">
        <f t="shared" si="727"/>
        <v>0</v>
      </c>
      <c r="XA36" s="87">
        <f t="shared" si="728"/>
        <v>0</v>
      </c>
      <c r="XB36" s="92">
        <f t="shared" si="729"/>
        <v>0</v>
      </c>
      <c r="XC36" s="92">
        <f t="shared" si="730"/>
        <v>0</v>
      </c>
      <c r="XD36" s="89"/>
      <c r="XE36" s="92">
        <f t="shared" si="638"/>
        <v>0</v>
      </c>
      <c r="XF36" s="92">
        <f t="shared" si="639"/>
        <v>0</v>
      </c>
      <c r="XG36" s="89"/>
      <c r="XH36" s="92">
        <f t="shared" ref="XH36:XI36" si="769">SUM(XE36,XE74)</f>
        <v>26700</v>
      </c>
      <c r="XI36" s="92">
        <f t="shared" si="769"/>
        <v>80100</v>
      </c>
      <c r="XJ36" s="89"/>
      <c r="XK36" s="87">
        <f t="shared" si="732"/>
        <v>0</v>
      </c>
      <c r="XL36" s="87">
        <f t="shared" si="733"/>
        <v>26700</v>
      </c>
      <c r="XM36" s="87">
        <f t="shared" si="734"/>
        <v>0</v>
      </c>
      <c r="XN36" s="87">
        <f t="shared" si="735"/>
        <v>0</v>
      </c>
      <c r="XO36" s="87">
        <f t="shared" si="736"/>
        <v>0</v>
      </c>
      <c r="XP36" s="87">
        <f t="shared" si="737"/>
        <v>0</v>
      </c>
      <c r="XQ36" s="87">
        <f t="shared" si="738"/>
        <v>0</v>
      </c>
      <c r="XR36" s="92">
        <f t="shared" si="739"/>
        <v>26700</v>
      </c>
      <c r="XS36" s="89"/>
      <c r="XT36" s="87">
        <f t="shared" si="740"/>
        <v>0</v>
      </c>
      <c r="XU36" s="87">
        <f t="shared" si="741"/>
        <v>80100</v>
      </c>
      <c r="XV36" s="87">
        <f t="shared" si="742"/>
        <v>0</v>
      </c>
      <c r="XW36" s="87">
        <f t="shared" si="743"/>
        <v>0</v>
      </c>
      <c r="XX36" s="87">
        <f t="shared" si="744"/>
        <v>0</v>
      </c>
      <c r="XY36" s="87">
        <f t="shared" si="745"/>
        <v>0</v>
      </c>
      <c r="XZ36" s="87">
        <f t="shared" si="746"/>
        <v>0</v>
      </c>
      <c r="YA36" s="92">
        <f t="shared" si="747"/>
        <v>80100</v>
      </c>
      <c r="YB36" s="90"/>
      <c r="YC36" s="90"/>
      <c r="YD36" s="90"/>
      <c r="YE36" s="90"/>
      <c r="YF36" s="90"/>
      <c r="YG36" s="90"/>
      <c r="YH36" s="90"/>
      <c r="YI36" s="90"/>
      <c r="YJ36" s="90"/>
      <c r="YK36" s="90"/>
      <c r="YL36" s="90"/>
      <c r="YM36" s="90"/>
      <c r="YN36" s="90"/>
      <c r="YO36" s="90"/>
      <c r="YP36" s="90"/>
      <c r="YQ36" s="90"/>
      <c r="YR36" s="90"/>
      <c r="YS36" s="90"/>
      <c r="YT36" s="90"/>
      <c r="YU36" s="90"/>
      <c r="YV36" s="90"/>
      <c r="YW36" s="90"/>
      <c r="YX36" s="90"/>
      <c r="YY36" s="90"/>
      <c r="YZ36" s="90"/>
      <c r="ZA36" s="90"/>
      <c r="ZB36" s="90"/>
      <c r="ZC36" s="90"/>
      <c r="ZD36" s="90"/>
      <c r="ZE36" s="90"/>
      <c r="ZF36" s="90"/>
      <c r="ZG36" s="90"/>
      <c r="ZH36" s="90"/>
      <c r="ZI36" s="90"/>
      <c r="ZJ36" s="90"/>
      <c r="ZK36" s="90"/>
      <c r="ZL36" s="90"/>
      <c r="ZM36" s="90"/>
      <c r="ZN36" s="90"/>
      <c r="ZO36" s="90"/>
      <c r="ZP36" s="90"/>
      <c r="ZQ36" s="90"/>
      <c r="ZR36" s="90"/>
      <c r="ZS36" s="90"/>
      <c r="ZT36" s="90"/>
      <c r="ZU36" s="90"/>
      <c r="ZV36" s="90"/>
      <c r="ZW36" s="90"/>
      <c r="ZX36" s="90"/>
      <c r="ZY36" s="90"/>
      <c r="ZZ36" s="90"/>
      <c r="AAA36" s="90"/>
      <c r="AAB36" s="90"/>
      <c r="AAC36" s="90"/>
      <c r="AAD36" s="90"/>
      <c r="AAE36" s="90"/>
      <c r="AAF36" s="90"/>
      <c r="AAG36" s="90"/>
      <c r="AAH36" s="90"/>
      <c r="AAI36" s="90"/>
      <c r="AAJ36" s="90"/>
      <c r="AAK36" s="90"/>
      <c r="AAL36" s="90"/>
      <c r="AAM36" s="90"/>
      <c r="AAN36" s="90"/>
      <c r="AAO36" s="90"/>
      <c r="AAP36" s="90"/>
      <c r="AAQ36" s="90"/>
      <c r="AAR36" s="90"/>
      <c r="AAS36" s="90"/>
      <c r="AAT36" s="90"/>
      <c r="AAU36" s="90"/>
      <c r="AAV36" s="90"/>
      <c r="AAW36" s="90"/>
      <c r="AAX36" s="90"/>
      <c r="AAY36" s="90"/>
      <c r="AAZ36" s="90"/>
      <c r="ABA36" s="90"/>
      <c r="ABB36" s="90"/>
      <c r="ABC36" s="90"/>
      <c r="ABD36" s="90"/>
      <c r="ABE36" s="90"/>
      <c r="ABF36" s="90"/>
      <c r="ABG36" s="90"/>
      <c r="ABH36" s="90"/>
      <c r="ABI36" s="90"/>
      <c r="ABJ36" s="90"/>
      <c r="ABK36" s="90"/>
      <c r="ABL36" s="90"/>
      <c r="ABM36" s="90"/>
      <c r="ABN36" s="90"/>
      <c r="ABO36" s="90"/>
      <c r="ABP36" s="90"/>
      <c r="ABQ36" s="90"/>
      <c r="ABR36" s="90"/>
      <c r="ABS36" s="90"/>
      <c r="ABT36" s="90"/>
      <c r="ABU36" s="90"/>
      <c r="ABV36" s="90"/>
      <c r="ABW36" s="90"/>
      <c r="ABX36" s="90"/>
      <c r="ABY36" s="90"/>
      <c r="ABZ36" s="90"/>
      <c r="ACA36" s="90"/>
      <c r="ACB36" s="90"/>
      <c r="ACC36" s="90"/>
      <c r="ACD36" s="90"/>
      <c r="ACE36" s="90"/>
      <c r="ACF36" s="90"/>
      <c r="ACG36" s="90"/>
      <c r="ACH36" s="90"/>
      <c r="ACI36" s="90"/>
      <c r="ACJ36" s="90"/>
      <c r="ACK36" s="90"/>
      <c r="ACL36" s="90"/>
      <c r="ACM36" s="90"/>
      <c r="ACN36" s="90"/>
      <c r="ACO36" s="90"/>
      <c r="ACP36" s="90"/>
      <c r="ACQ36" s="90"/>
      <c r="ACR36" s="90"/>
      <c r="ACS36" s="90"/>
      <c r="ACT36" s="90"/>
      <c r="ACU36" s="90"/>
      <c r="ACV36" s="90"/>
      <c r="ACW36" s="90"/>
      <c r="ACX36" s="90"/>
      <c r="ACY36" s="90"/>
      <c r="ACZ36" s="90"/>
      <c r="ADA36" s="90"/>
      <c r="ADB36" s="90"/>
      <c r="ADC36" s="90"/>
      <c r="ADD36" s="90"/>
      <c r="ADE36" s="90"/>
      <c r="ADF36" s="90"/>
      <c r="ADG36" s="90"/>
      <c r="ADH36" s="90"/>
      <c r="ADI36" s="90"/>
      <c r="ADJ36" s="90"/>
      <c r="ADK36" s="90"/>
      <c r="ADL36" s="90"/>
      <c r="ADM36" s="90"/>
      <c r="ADN36" s="90"/>
      <c r="ADO36" s="90"/>
      <c r="ADP36" s="90"/>
      <c r="ADQ36" s="90"/>
      <c r="ADR36" s="90"/>
      <c r="ADS36" s="90"/>
      <c r="ADT36" s="90"/>
      <c r="ADU36" s="90"/>
      <c r="ADV36" s="90"/>
      <c r="ADW36" s="90"/>
      <c r="ADX36" s="90"/>
      <c r="ADY36" s="90"/>
      <c r="ADZ36" s="90"/>
      <c r="AEA36" s="90"/>
      <c r="AEB36" s="90"/>
      <c r="AEC36" s="90"/>
      <c r="AED36" s="90"/>
      <c r="AEE36" s="90"/>
      <c r="AEF36" s="90"/>
      <c r="AEG36" s="90"/>
      <c r="AEH36" s="90"/>
      <c r="AEI36" s="90"/>
      <c r="AEJ36" s="90"/>
      <c r="AEK36" s="90"/>
      <c r="AEL36" s="90"/>
      <c r="AEM36" s="90"/>
      <c r="AEN36" s="90"/>
      <c r="AEO36" s="90"/>
      <c r="AEP36" s="90"/>
      <c r="AEQ36" s="90"/>
      <c r="AER36" s="90"/>
      <c r="AES36" s="90"/>
      <c r="AET36" s="90"/>
      <c r="AEU36" s="90"/>
      <c r="AEV36" s="90"/>
      <c r="AEW36" s="90"/>
      <c r="AEX36" s="90"/>
      <c r="AEY36" s="90"/>
      <c r="AEZ36" s="90"/>
      <c r="AFA36" s="90"/>
      <c r="AFB36" s="90"/>
      <c r="AFC36" s="90"/>
      <c r="AFD36" s="90"/>
      <c r="AFE36" s="90"/>
      <c r="AFF36" s="90"/>
      <c r="AFG36" s="90"/>
      <c r="AFH36" s="90"/>
      <c r="AFI36" s="90"/>
      <c r="AFJ36" s="90"/>
      <c r="AFK36" s="90"/>
      <c r="AFL36" s="90"/>
      <c r="AFM36" s="90"/>
      <c r="AFN36" s="90"/>
      <c r="AFO36" s="90"/>
      <c r="AFP36" s="90"/>
      <c r="AFQ36" s="90"/>
      <c r="AFR36" s="90"/>
      <c r="AFS36" s="90"/>
      <c r="AFT36" s="90"/>
      <c r="AFU36" s="90"/>
      <c r="AFV36" s="90"/>
      <c r="AFW36" s="90"/>
      <c r="AFX36" s="90"/>
      <c r="AFY36" s="90"/>
      <c r="AFZ36" s="90"/>
      <c r="AGA36" s="90"/>
      <c r="AGB36" s="90"/>
      <c r="AGC36" s="90"/>
      <c r="AGD36" s="90"/>
      <c r="AGE36" s="90"/>
      <c r="AGF36" s="90"/>
      <c r="AGG36" s="90"/>
      <c r="AGH36" s="90"/>
      <c r="AGI36" s="90"/>
      <c r="AGJ36" s="90"/>
      <c r="AGK36" s="90"/>
      <c r="AGL36" s="90"/>
      <c r="AGM36" s="90"/>
      <c r="AGN36" s="90"/>
      <c r="AGO36" s="90"/>
      <c r="AGP36" s="90"/>
      <c r="AGQ36" s="90"/>
      <c r="AGR36" s="90"/>
      <c r="AGS36" s="90"/>
      <c r="AGT36" s="90"/>
      <c r="AGU36" s="90"/>
      <c r="AGV36" s="90"/>
      <c r="AGW36" s="90"/>
      <c r="AGX36" s="90"/>
      <c r="AGY36" s="90"/>
      <c r="AGZ36" s="90"/>
      <c r="AHA36" s="90"/>
      <c r="AHB36" s="90"/>
      <c r="AHC36" s="90"/>
      <c r="AHD36" s="90"/>
      <c r="AHE36" s="90"/>
      <c r="AHF36" s="90"/>
      <c r="AHG36" s="90"/>
      <c r="AHH36" s="90"/>
      <c r="AHI36" s="90"/>
      <c r="AHJ36" s="90"/>
      <c r="AHK36" s="90"/>
      <c r="AHL36" s="90"/>
      <c r="AHM36" s="90"/>
      <c r="AHN36" s="90"/>
      <c r="AHO36" s="90"/>
      <c r="AHP36" s="90"/>
      <c r="AHQ36" s="90"/>
      <c r="AHR36" s="90"/>
      <c r="AHS36" s="90"/>
      <c r="AHT36" s="90"/>
      <c r="AHU36" s="90"/>
      <c r="AHV36" s="90"/>
      <c r="AHW36" s="90"/>
      <c r="AHX36" s="90"/>
      <c r="AHY36" s="90"/>
      <c r="AHZ36" s="90"/>
      <c r="AIA36" s="90"/>
      <c r="AIB36" s="90"/>
      <c r="AIC36" s="90"/>
      <c r="AID36" s="90"/>
      <c r="AIE36" s="90"/>
      <c r="AIF36" s="90"/>
      <c r="AIG36" s="90"/>
      <c r="AIH36" s="90"/>
      <c r="AII36" s="90"/>
      <c r="AIJ36" s="90"/>
      <c r="AIK36" s="90"/>
      <c r="AIL36" s="90"/>
      <c r="AIM36" s="90"/>
      <c r="AIN36" s="90"/>
      <c r="AIO36" s="90"/>
      <c r="AIP36" s="90"/>
      <c r="AIQ36" s="90"/>
      <c r="AIR36" s="90"/>
      <c r="AIS36" s="90"/>
      <c r="AIT36" s="90"/>
      <c r="AIU36" s="90"/>
      <c r="AIV36" s="90"/>
      <c r="AIW36" s="90"/>
      <c r="AIX36" s="90"/>
      <c r="AIY36" s="90"/>
      <c r="AIZ36" s="90"/>
      <c r="AJA36" s="90"/>
      <c r="AJB36" s="90"/>
      <c r="AJC36" s="90"/>
      <c r="AJD36" s="90"/>
      <c r="AJE36" s="90"/>
      <c r="AJF36" s="90"/>
      <c r="AJG36" s="90"/>
      <c r="AJH36" s="90"/>
      <c r="AJI36" s="90"/>
      <c r="AJJ36" s="90"/>
      <c r="AJK36" s="90"/>
      <c r="AJL36" s="90"/>
      <c r="AJM36" s="90"/>
      <c r="AJN36" s="90"/>
      <c r="AJO36" s="90"/>
      <c r="AJP36" s="90"/>
      <c r="AJQ36" s="90"/>
      <c r="AJR36" s="90"/>
      <c r="AJS36" s="90"/>
      <c r="AJT36" s="90"/>
      <c r="AJU36" s="90"/>
      <c r="AJV36" s="90"/>
      <c r="AJW36" s="90"/>
      <c r="AJX36" s="90"/>
      <c r="AJY36" s="90"/>
      <c r="AJZ36" s="90"/>
      <c r="AKA36" s="90"/>
      <c r="AKB36" s="90"/>
      <c r="AKC36" s="90"/>
      <c r="AKD36" s="90"/>
      <c r="AKE36" s="90"/>
      <c r="AKF36" s="90"/>
      <c r="AKG36" s="90"/>
      <c r="AKH36" s="90"/>
      <c r="AKI36" s="90"/>
      <c r="AKJ36" s="90"/>
      <c r="AKK36" s="90"/>
      <c r="AKL36" s="90"/>
      <c r="AKM36" s="90"/>
      <c r="AKN36" s="90"/>
      <c r="AKO36" s="90"/>
      <c r="AKP36" s="90"/>
      <c r="AKQ36" s="90"/>
      <c r="AKR36" s="90"/>
      <c r="AKS36" s="90"/>
      <c r="AKT36" s="90"/>
      <c r="AKU36" s="90"/>
      <c r="AKV36" s="90"/>
      <c r="AKW36" s="90"/>
      <c r="AKX36" s="90"/>
      <c r="AKY36" s="90"/>
      <c r="AKZ36" s="90"/>
      <c r="ALA36" s="90"/>
      <c r="ALB36" s="90"/>
      <c r="ALC36" s="90"/>
      <c r="ALD36" s="90"/>
      <c r="ALE36" s="90"/>
      <c r="ALF36" s="90"/>
      <c r="ALG36" s="90"/>
      <c r="ALH36" s="90"/>
      <c r="ALI36" s="90"/>
      <c r="ALJ36" s="90"/>
      <c r="ALK36" s="90"/>
      <c r="ALL36" s="90"/>
      <c r="ALM36" s="90"/>
      <c r="ALN36" s="90"/>
      <c r="ALO36" s="90"/>
      <c r="ALP36" s="90"/>
      <c r="ALQ36" s="90"/>
      <c r="ALR36" s="90"/>
      <c r="ALS36" s="90"/>
      <c r="ALT36" s="90"/>
      <c r="ALU36" s="90"/>
      <c r="ALV36" s="90"/>
      <c r="ALW36" s="90"/>
      <c r="ALX36" s="90"/>
      <c r="ALY36" s="90"/>
      <c r="ALZ36" s="90"/>
      <c r="AMA36" s="90"/>
      <c r="AMB36" s="90"/>
      <c r="AMC36" s="90"/>
    </row>
    <row r="37" spans="1:1017">
      <c r="A37" s="98" t="s">
        <v>25</v>
      </c>
      <c r="B37" s="648" t="s">
        <v>556</v>
      </c>
      <c r="Q37" s="91">
        <f t="shared" si="640"/>
        <v>0</v>
      </c>
      <c r="R37" s="91">
        <f t="shared" si="641"/>
        <v>0</v>
      </c>
      <c r="AG37" s="91">
        <f t="shared" si="642"/>
        <v>0</v>
      </c>
      <c r="AH37" s="91">
        <f t="shared" si="643"/>
        <v>0</v>
      </c>
      <c r="AW37" s="91">
        <f t="shared" si="644"/>
        <v>0</v>
      </c>
      <c r="AX37" s="91">
        <f t="shared" si="645"/>
        <v>0</v>
      </c>
      <c r="BM37" s="91">
        <f t="shared" si="646"/>
        <v>0</v>
      </c>
      <c r="BN37" s="91">
        <f t="shared" si="647"/>
        <v>0</v>
      </c>
      <c r="CC37" s="91">
        <f t="shared" si="648"/>
        <v>0</v>
      </c>
      <c r="CD37" s="91">
        <f t="shared" si="649"/>
        <v>0</v>
      </c>
      <c r="CS37" s="91">
        <f t="shared" si="650"/>
        <v>0</v>
      </c>
      <c r="CT37" s="91">
        <f t="shared" si="651"/>
        <v>0</v>
      </c>
      <c r="DI37" s="91">
        <f t="shared" si="652"/>
        <v>0</v>
      </c>
      <c r="DJ37" s="91">
        <f t="shared" si="653"/>
        <v>0</v>
      </c>
      <c r="DY37" s="91">
        <f t="shared" si="654"/>
        <v>0</v>
      </c>
      <c r="DZ37" s="91">
        <f t="shared" si="655"/>
        <v>0</v>
      </c>
      <c r="EO37" s="91">
        <f t="shared" si="656"/>
        <v>0</v>
      </c>
      <c r="EP37" s="91">
        <f t="shared" si="657"/>
        <v>0</v>
      </c>
      <c r="FE37" s="91">
        <f t="shared" si="658"/>
        <v>0</v>
      </c>
      <c r="FF37" s="91">
        <f t="shared" si="659"/>
        <v>0</v>
      </c>
      <c r="FU37" s="91">
        <f t="shared" si="660"/>
        <v>0</v>
      </c>
      <c r="FV37" s="91">
        <f t="shared" si="661"/>
        <v>0</v>
      </c>
      <c r="GK37" s="91">
        <f t="shared" si="662"/>
        <v>0</v>
      </c>
      <c r="GL37" s="91">
        <f t="shared" si="663"/>
        <v>0</v>
      </c>
      <c r="HA37" s="91">
        <f t="shared" si="664"/>
        <v>0</v>
      </c>
      <c r="HB37" s="91">
        <f t="shared" si="665"/>
        <v>0</v>
      </c>
      <c r="HQ37" s="91">
        <f t="shared" si="666"/>
        <v>0</v>
      </c>
      <c r="HR37" s="91">
        <f t="shared" si="667"/>
        <v>0</v>
      </c>
      <c r="IG37" s="91">
        <f t="shared" si="668"/>
        <v>0</v>
      </c>
      <c r="IH37" s="91">
        <f t="shared" si="669"/>
        <v>0</v>
      </c>
      <c r="IW37" s="91">
        <f t="shared" si="670"/>
        <v>0</v>
      </c>
      <c r="IX37" s="91">
        <f t="shared" si="671"/>
        <v>0</v>
      </c>
      <c r="JM37" s="91">
        <f t="shared" si="672"/>
        <v>0</v>
      </c>
      <c r="JN37" s="91">
        <f t="shared" si="673"/>
        <v>0</v>
      </c>
      <c r="KC37" s="91">
        <f t="shared" si="674"/>
        <v>0</v>
      </c>
      <c r="KD37" s="91">
        <f t="shared" si="675"/>
        <v>0</v>
      </c>
      <c r="KS37" s="91">
        <f t="shared" si="676"/>
        <v>0</v>
      </c>
      <c r="KT37" s="91">
        <f t="shared" si="677"/>
        <v>0</v>
      </c>
      <c r="LI37" s="91">
        <f t="shared" si="678"/>
        <v>0</v>
      </c>
      <c r="LJ37" s="91">
        <f t="shared" si="679"/>
        <v>0</v>
      </c>
      <c r="LY37" s="91">
        <f t="shared" si="680"/>
        <v>0</v>
      </c>
      <c r="LZ37" s="91">
        <f t="shared" si="681"/>
        <v>0</v>
      </c>
      <c r="MO37" s="91">
        <f t="shared" si="682"/>
        <v>0</v>
      </c>
      <c r="MP37" s="91">
        <f t="shared" si="683"/>
        <v>0</v>
      </c>
      <c r="NE37" s="91">
        <f t="shared" si="684"/>
        <v>0</v>
      </c>
      <c r="NF37" s="91">
        <f t="shared" si="685"/>
        <v>0</v>
      </c>
      <c r="NU37" s="91">
        <f t="shared" si="686"/>
        <v>0</v>
      </c>
      <c r="NV37" s="91">
        <f t="shared" si="687"/>
        <v>0</v>
      </c>
      <c r="OK37" s="91">
        <f t="shared" si="688"/>
        <v>0</v>
      </c>
      <c r="OL37" s="91">
        <f t="shared" si="689"/>
        <v>0</v>
      </c>
      <c r="PA37" s="91">
        <f t="shared" si="690"/>
        <v>0</v>
      </c>
      <c r="PB37" s="91">
        <f t="shared" si="691"/>
        <v>0</v>
      </c>
      <c r="PQ37" s="91">
        <f t="shared" si="692"/>
        <v>0</v>
      </c>
      <c r="PR37" s="91">
        <f t="shared" si="693"/>
        <v>0</v>
      </c>
      <c r="QG37" s="91">
        <f t="shared" si="694"/>
        <v>0</v>
      </c>
      <c r="QH37" s="91">
        <f t="shared" si="695"/>
        <v>0</v>
      </c>
      <c r="QW37" s="91">
        <f t="shared" si="696"/>
        <v>0</v>
      </c>
      <c r="QX37" s="91">
        <f t="shared" si="697"/>
        <v>0</v>
      </c>
      <c r="RM37" s="91">
        <f t="shared" si="698"/>
        <v>0</v>
      </c>
      <c r="RN37" s="91">
        <f t="shared" si="699"/>
        <v>0</v>
      </c>
      <c r="SC37" s="91">
        <f t="shared" si="700"/>
        <v>0</v>
      </c>
      <c r="SD37" s="91">
        <f t="shared" si="701"/>
        <v>0</v>
      </c>
      <c r="SS37" s="91">
        <f t="shared" si="702"/>
        <v>0</v>
      </c>
      <c r="ST37" s="91">
        <f t="shared" si="703"/>
        <v>0</v>
      </c>
      <c r="TI37" s="91">
        <f t="shared" si="704"/>
        <v>0</v>
      </c>
      <c r="TJ37" s="91">
        <f t="shared" si="705"/>
        <v>0</v>
      </c>
      <c r="TY37" s="91">
        <f t="shared" si="706"/>
        <v>0</v>
      </c>
      <c r="TZ37" s="91">
        <f t="shared" si="707"/>
        <v>0</v>
      </c>
      <c r="UO37" s="91">
        <f t="shared" si="708"/>
        <v>0</v>
      </c>
      <c r="UP37" s="91">
        <f t="shared" si="764"/>
        <v>0</v>
      </c>
      <c r="VE37" s="91">
        <f t="shared" si="709"/>
        <v>0</v>
      </c>
      <c r="VF37" s="91">
        <f t="shared" si="710"/>
        <v>0</v>
      </c>
      <c r="VU37" s="91">
        <f t="shared" si="711"/>
        <v>0</v>
      </c>
      <c r="VV37" s="91">
        <f t="shared" si="712"/>
        <v>0</v>
      </c>
      <c r="WK37" s="91">
        <f t="shared" si="713"/>
        <v>0</v>
      </c>
      <c r="WL37" s="91">
        <f t="shared" si="714"/>
        <v>0</v>
      </c>
      <c r="WM37" s="89"/>
      <c r="WN37" s="87">
        <f t="shared" ref="WN37:WN41" si="770">SUMIF($C$5:$WL$5,$WN$5,C37:WL37)</f>
        <v>0</v>
      </c>
      <c r="WO37" s="87">
        <f t="shared" ref="WO37:WO41" si="771">SUMIF($C$5:$WL$5,$WO$5,C37:WL37)</f>
        <v>0</v>
      </c>
      <c r="WP37" s="87">
        <f t="shared" ref="WP37:WP41" si="772">SUMIF($C$5:$WL$5,$WP$5,C37:WL37)</f>
        <v>0</v>
      </c>
      <c r="WQ37" s="87">
        <f t="shared" ref="WQ37:WQ41" si="773">SUMIF($C$5:$WL$5,$WQ$5,C37:WL37)</f>
        <v>0</v>
      </c>
      <c r="WR37" s="87">
        <f t="shared" si="719"/>
        <v>0</v>
      </c>
      <c r="WS37" s="87">
        <f t="shared" si="720"/>
        <v>0</v>
      </c>
      <c r="WT37" s="87">
        <f t="shared" ref="WT37:WT41" si="774">SUMIF($C$5:$WL$5,$WT$5,C37:WL37)</f>
        <v>0</v>
      </c>
      <c r="WU37" s="87">
        <f t="shared" ref="WU37:WU41" si="775">SUMIF($C$5:$WL$5,$WU$5,C37:WL37)</f>
        <v>0</v>
      </c>
      <c r="WV37" s="87">
        <f t="shared" ref="WV37:WV41" si="776">SUMIF($C$5:$WL$5,$WV$5,C37:WL37)</f>
        <v>0</v>
      </c>
      <c r="WW37" s="87">
        <f t="shared" ref="WW37:WW41" si="777">SUMIF($C$5:$WL$5,$WW$5,C37:WL37)</f>
        <v>0</v>
      </c>
      <c r="WX37" s="87">
        <f t="shared" ref="WX37:WX41" si="778">SUMIF($C$5:$WL$5,$WX$5,C37:WL37)</f>
        <v>0</v>
      </c>
      <c r="WY37" s="87">
        <f t="shared" ref="WY37:WY41" si="779">SUMIF($C$5:$WL$5,$WY$5,C37:WL37)</f>
        <v>0</v>
      </c>
      <c r="WZ37" s="87">
        <f t="shared" ref="WZ37:WZ50" si="780">SUMIF($C$5:$WL$5,$WZ$5,C37:WL37)</f>
        <v>0</v>
      </c>
      <c r="XA37" s="87">
        <f t="shared" ref="XA37:XA50" si="781">SUMIF($C$5:$WL$5,$XA$5,C37:WL37)</f>
        <v>0</v>
      </c>
      <c r="XB37" s="92">
        <f t="shared" si="729"/>
        <v>0</v>
      </c>
      <c r="XC37" s="92">
        <f t="shared" si="730"/>
        <v>0</v>
      </c>
      <c r="XD37" s="89"/>
      <c r="XE37" s="92">
        <f t="shared" si="638"/>
        <v>0</v>
      </c>
      <c r="XF37" s="92">
        <f t="shared" si="639"/>
        <v>0</v>
      </c>
      <c r="XG37" s="89"/>
      <c r="XH37" s="92">
        <f t="shared" ref="XH37:XI37" si="782">SUM(XE37,XE75)</f>
        <v>0</v>
      </c>
      <c r="XI37" s="92">
        <f t="shared" si="782"/>
        <v>0</v>
      </c>
      <c r="XJ37" s="89"/>
      <c r="XK37" s="87">
        <f t="shared" si="732"/>
        <v>0</v>
      </c>
      <c r="XL37" s="87">
        <f t="shared" si="733"/>
        <v>0</v>
      </c>
      <c r="XM37" s="87">
        <f t="shared" si="734"/>
        <v>0</v>
      </c>
      <c r="XN37" s="87">
        <f t="shared" si="735"/>
        <v>0</v>
      </c>
      <c r="XO37" s="87">
        <f t="shared" si="736"/>
        <v>0</v>
      </c>
      <c r="XP37" s="87">
        <f t="shared" si="737"/>
        <v>0</v>
      </c>
      <c r="XQ37" s="87">
        <f t="shared" si="738"/>
        <v>0</v>
      </c>
      <c r="XR37" s="92">
        <f t="shared" si="739"/>
        <v>0</v>
      </c>
      <c r="XS37" s="89"/>
      <c r="XT37" s="87">
        <f t="shared" si="740"/>
        <v>0</v>
      </c>
      <c r="XU37" s="87">
        <f t="shared" si="741"/>
        <v>0</v>
      </c>
      <c r="XV37" s="87">
        <f t="shared" si="742"/>
        <v>0</v>
      </c>
      <c r="XW37" s="87">
        <f t="shared" si="743"/>
        <v>0</v>
      </c>
      <c r="XX37" s="87">
        <f t="shared" si="744"/>
        <v>0</v>
      </c>
      <c r="XY37" s="87">
        <f t="shared" si="745"/>
        <v>0</v>
      </c>
      <c r="XZ37" s="87">
        <f t="shared" si="746"/>
        <v>0</v>
      </c>
      <c r="YA37" s="92">
        <f t="shared" si="747"/>
        <v>0</v>
      </c>
      <c r="YB37" s="90"/>
      <c r="YC37" s="90"/>
      <c r="YD37" s="90"/>
      <c r="YE37" s="90"/>
      <c r="YF37" s="90"/>
      <c r="YG37" s="90"/>
      <c r="YH37" s="90"/>
      <c r="YI37" s="90"/>
      <c r="YJ37" s="90"/>
      <c r="YK37" s="90"/>
      <c r="YL37" s="90"/>
      <c r="YM37" s="90"/>
      <c r="YN37" s="90"/>
      <c r="YO37" s="90"/>
      <c r="YP37" s="90"/>
      <c r="YQ37" s="90"/>
      <c r="YR37" s="90"/>
      <c r="YS37" s="90"/>
      <c r="YT37" s="90"/>
      <c r="YU37" s="90"/>
      <c r="YV37" s="90"/>
      <c r="YW37" s="90"/>
      <c r="YX37" s="90"/>
      <c r="YY37" s="90"/>
      <c r="YZ37" s="90"/>
      <c r="ZA37" s="90"/>
      <c r="ZB37" s="90"/>
      <c r="ZC37" s="90"/>
      <c r="ZD37" s="90"/>
      <c r="ZE37" s="90"/>
      <c r="ZF37" s="90"/>
      <c r="ZG37" s="90"/>
      <c r="ZH37" s="90"/>
      <c r="ZI37" s="90"/>
      <c r="ZJ37" s="90"/>
      <c r="ZK37" s="90"/>
      <c r="ZL37" s="90"/>
      <c r="ZM37" s="90"/>
      <c r="ZN37" s="90"/>
      <c r="ZO37" s="90"/>
      <c r="ZP37" s="90"/>
      <c r="ZQ37" s="90"/>
      <c r="ZR37" s="90"/>
      <c r="ZS37" s="90"/>
      <c r="ZT37" s="90"/>
      <c r="ZU37" s="90"/>
      <c r="ZV37" s="90"/>
      <c r="ZW37" s="90"/>
      <c r="ZX37" s="90"/>
      <c r="ZY37" s="90"/>
      <c r="ZZ37" s="90"/>
      <c r="AAA37" s="90"/>
      <c r="AAB37" s="90"/>
      <c r="AAC37" s="90"/>
      <c r="AAD37" s="90"/>
      <c r="AAE37" s="90"/>
      <c r="AAF37" s="90"/>
      <c r="AAG37" s="90"/>
      <c r="AAH37" s="90"/>
      <c r="AAI37" s="90"/>
      <c r="AAJ37" s="90"/>
      <c r="AAK37" s="90"/>
      <c r="AAL37" s="90"/>
      <c r="AAM37" s="90"/>
      <c r="AAN37" s="90"/>
      <c r="AAO37" s="90"/>
      <c r="AAP37" s="90"/>
      <c r="AAQ37" s="90"/>
      <c r="AAR37" s="90"/>
      <c r="AAS37" s="90"/>
      <c r="AAT37" s="90"/>
      <c r="AAU37" s="90"/>
      <c r="AAV37" s="90"/>
      <c r="AAW37" s="90"/>
      <c r="AAX37" s="90"/>
      <c r="AAY37" s="90"/>
      <c r="AAZ37" s="90"/>
      <c r="ABA37" s="90"/>
      <c r="ABB37" s="90"/>
      <c r="ABC37" s="90"/>
      <c r="ABD37" s="90"/>
      <c r="ABE37" s="90"/>
      <c r="ABF37" s="90"/>
      <c r="ABG37" s="90"/>
      <c r="ABH37" s="90"/>
      <c r="ABI37" s="90"/>
      <c r="ABJ37" s="90"/>
      <c r="ABK37" s="90"/>
      <c r="ABL37" s="90"/>
      <c r="ABM37" s="90"/>
      <c r="ABN37" s="90"/>
      <c r="ABO37" s="90"/>
      <c r="ABP37" s="90"/>
      <c r="ABQ37" s="90"/>
      <c r="ABR37" s="90"/>
      <c r="ABS37" s="90"/>
      <c r="ABT37" s="90"/>
      <c r="ABU37" s="90"/>
      <c r="ABV37" s="90"/>
      <c r="ABW37" s="90"/>
      <c r="ABX37" s="90"/>
      <c r="ABY37" s="90"/>
      <c r="ABZ37" s="90"/>
      <c r="ACA37" s="90"/>
      <c r="ACB37" s="90"/>
      <c r="ACC37" s="90"/>
      <c r="ACD37" s="90"/>
      <c r="ACE37" s="90"/>
      <c r="ACF37" s="90"/>
      <c r="ACG37" s="90"/>
      <c r="ACH37" s="90"/>
      <c r="ACI37" s="90"/>
      <c r="ACJ37" s="90"/>
      <c r="ACK37" s="90"/>
      <c r="ACL37" s="90"/>
      <c r="ACM37" s="90"/>
      <c r="ACN37" s="90"/>
      <c r="ACO37" s="90"/>
      <c r="ACP37" s="90"/>
      <c r="ACQ37" s="90"/>
      <c r="ACR37" s="90"/>
      <c r="ACS37" s="90"/>
      <c r="ACT37" s="90"/>
      <c r="ACU37" s="90"/>
      <c r="ACV37" s="90"/>
      <c r="ACW37" s="90"/>
      <c r="ACX37" s="90"/>
      <c r="ACY37" s="90"/>
      <c r="ACZ37" s="90"/>
      <c r="ADA37" s="90"/>
      <c r="ADB37" s="90"/>
      <c r="ADC37" s="90"/>
      <c r="ADD37" s="90"/>
      <c r="ADE37" s="90"/>
      <c r="ADF37" s="90"/>
      <c r="ADG37" s="90"/>
      <c r="ADH37" s="90"/>
      <c r="ADI37" s="90"/>
      <c r="ADJ37" s="90"/>
      <c r="ADK37" s="90"/>
      <c r="ADL37" s="90"/>
      <c r="ADM37" s="90"/>
      <c r="ADN37" s="90"/>
      <c r="ADO37" s="90"/>
      <c r="ADP37" s="90"/>
      <c r="ADQ37" s="90"/>
      <c r="ADR37" s="90"/>
      <c r="ADS37" s="90"/>
      <c r="ADT37" s="90"/>
      <c r="ADU37" s="90"/>
      <c r="ADV37" s="90"/>
      <c r="ADW37" s="90"/>
      <c r="ADX37" s="90"/>
      <c r="ADY37" s="90"/>
      <c r="ADZ37" s="90"/>
      <c r="AEA37" s="90"/>
      <c r="AEB37" s="90"/>
      <c r="AEC37" s="90"/>
      <c r="AED37" s="90"/>
      <c r="AEE37" s="90"/>
      <c r="AEF37" s="90"/>
      <c r="AEG37" s="90"/>
      <c r="AEH37" s="90"/>
      <c r="AEI37" s="90"/>
      <c r="AEJ37" s="90"/>
      <c r="AEK37" s="90"/>
      <c r="AEL37" s="90"/>
      <c r="AEM37" s="90"/>
      <c r="AEN37" s="90"/>
      <c r="AEO37" s="90"/>
      <c r="AEP37" s="90"/>
      <c r="AEQ37" s="90"/>
      <c r="AER37" s="90"/>
      <c r="AES37" s="90"/>
      <c r="AET37" s="90"/>
      <c r="AEU37" s="90"/>
      <c r="AEV37" s="90"/>
      <c r="AEW37" s="90"/>
      <c r="AEX37" s="90"/>
      <c r="AEY37" s="90"/>
      <c r="AEZ37" s="90"/>
      <c r="AFA37" s="90"/>
      <c r="AFB37" s="90"/>
      <c r="AFC37" s="90"/>
      <c r="AFD37" s="90"/>
      <c r="AFE37" s="90"/>
      <c r="AFF37" s="90"/>
      <c r="AFG37" s="90"/>
      <c r="AFH37" s="90"/>
      <c r="AFI37" s="90"/>
      <c r="AFJ37" s="90"/>
      <c r="AFK37" s="90"/>
      <c r="AFL37" s="90"/>
      <c r="AFM37" s="90"/>
      <c r="AFN37" s="90"/>
      <c r="AFO37" s="90"/>
      <c r="AFP37" s="90"/>
      <c r="AFQ37" s="90"/>
      <c r="AFR37" s="90"/>
      <c r="AFS37" s="90"/>
      <c r="AFT37" s="90"/>
      <c r="AFU37" s="90"/>
      <c r="AFV37" s="90"/>
      <c r="AFW37" s="90"/>
      <c r="AFX37" s="90"/>
      <c r="AFY37" s="90"/>
      <c r="AFZ37" s="90"/>
      <c r="AGA37" s="90"/>
      <c r="AGB37" s="90"/>
      <c r="AGC37" s="90"/>
      <c r="AGD37" s="90"/>
      <c r="AGE37" s="90"/>
      <c r="AGF37" s="90"/>
      <c r="AGG37" s="90"/>
      <c r="AGH37" s="90"/>
      <c r="AGI37" s="90"/>
      <c r="AGJ37" s="90"/>
      <c r="AGK37" s="90"/>
      <c r="AGL37" s="90"/>
      <c r="AGM37" s="90"/>
      <c r="AGN37" s="90"/>
      <c r="AGO37" s="90"/>
      <c r="AGP37" s="90"/>
      <c r="AGQ37" s="90"/>
      <c r="AGR37" s="90"/>
      <c r="AGS37" s="90"/>
      <c r="AGT37" s="90"/>
      <c r="AGU37" s="90"/>
      <c r="AGV37" s="90"/>
      <c r="AGW37" s="90"/>
      <c r="AGX37" s="90"/>
      <c r="AGY37" s="90"/>
      <c r="AGZ37" s="90"/>
      <c r="AHA37" s="90"/>
      <c r="AHB37" s="90"/>
      <c r="AHC37" s="90"/>
      <c r="AHD37" s="90"/>
      <c r="AHE37" s="90"/>
      <c r="AHF37" s="90"/>
      <c r="AHG37" s="90"/>
      <c r="AHH37" s="90"/>
      <c r="AHI37" s="90"/>
      <c r="AHJ37" s="90"/>
      <c r="AHK37" s="90"/>
      <c r="AHL37" s="90"/>
      <c r="AHM37" s="90"/>
      <c r="AHN37" s="90"/>
      <c r="AHO37" s="90"/>
      <c r="AHP37" s="90"/>
      <c r="AHQ37" s="90"/>
      <c r="AHR37" s="90"/>
      <c r="AHS37" s="90"/>
      <c r="AHT37" s="90"/>
      <c r="AHU37" s="90"/>
      <c r="AHV37" s="90"/>
      <c r="AHW37" s="90"/>
      <c r="AHX37" s="90"/>
      <c r="AHY37" s="90"/>
      <c r="AHZ37" s="90"/>
      <c r="AIA37" s="90"/>
      <c r="AIB37" s="90"/>
      <c r="AIC37" s="90"/>
      <c r="AID37" s="90"/>
      <c r="AIE37" s="90"/>
      <c r="AIF37" s="90"/>
      <c r="AIG37" s="90"/>
      <c r="AIH37" s="90"/>
      <c r="AII37" s="90"/>
      <c r="AIJ37" s="90"/>
      <c r="AIK37" s="90"/>
      <c r="AIL37" s="90"/>
      <c r="AIM37" s="90"/>
      <c r="AIN37" s="90"/>
      <c r="AIO37" s="90"/>
      <c r="AIP37" s="90"/>
      <c r="AIQ37" s="90"/>
      <c r="AIR37" s="90"/>
      <c r="AIS37" s="90"/>
      <c r="AIT37" s="90"/>
      <c r="AIU37" s="90"/>
      <c r="AIV37" s="90"/>
      <c r="AIW37" s="90"/>
      <c r="AIX37" s="90"/>
      <c r="AIY37" s="90"/>
      <c r="AIZ37" s="90"/>
      <c r="AJA37" s="90"/>
      <c r="AJB37" s="90"/>
      <c r="AJC37" s="90"/>
      <c r="AJD37" s="90"/>
      <c r="AJE37" s="90"/>
      <c r="AJF37" s="90"/>
      <c r="AJG37" s="90"/>
      <c r="AJH37" s="90"/>
      <c r="AJI37" s="90"/>
      <c r="AJJ37" s="90"/>
      <c r="AJK37" s="90"/>
      <c r="AJL37" s="90"/>
      <c r="AJM37" s="90"/>
      <c r="AJN37" s="90"/>
      <c r="AJO37" s="90"/>
      <c r="AJP37" s="90"/>
      <c r="AJQ37" s="90"/>
      <c r="AJR37" s="90"/>
      <c r="AJS37" s="90"/>
      <c r="AJT37" s="90"/>
      <c r="AJU37" s="90"/>
      <c r="AJV37" s="90"/>
      <c r="AJW37" s="90"/>
      <c r="AJX37" s="90"/>
      <c r="AJY37" s="90"/>
      <c r="AJZ37" s="90"/>
      <c r="AKA37" s="90"/>
      <c r="AKB37" s="90"/>
      <c r="AKC37" s="90"/>
      <c r="AKD37" s="90"/>
      <c r="AKE37" s="90"/>
      <c r="AKF37" s="90"/>
      <c r="AKG37" s="90"/>
      <c r="AKH37" s="90"/>
      <c r="AKI37" s="90"/>
      <c r="AKJ37" s="90"/>
      <c r="AKK37" s="90"/>
      <c r="AKL37" s="90"/>
      <c r="AKM37" s="90"/>
      <c r="AKN37" s="90"/>
      <c r="AKO37" s="90"/>
      <c r="AKP37" s="90"/>
      <c r="AKQ37" s="90"/>
      <c r="AKR37" s="90"/>
      <c r="AKS37" s="90"/>
      <c r="AKT37" s="90"/>
      <c r="AKU37" s="90"/>
      <c r="AKV37" s="90"/>
      <c r="AKW37" s="90"/>
      <c r="AKX37" s="90"/>
      <c r="AKY37" s="90"/>
      <c r="AKZ37" s="90"/>
      <c r="ALA37" s="90"/>
      <c r="ALB37" s="90"/>
      <c r="ALC37" s="90"/>
      <c r="ALD37" s="90"/>
      <c r="ALE37" s="90"/>
      <c r="ALF37" s="90"/>
      <c r="ALG37" s="90"/>
      <c r="ALH37" s="90"/>
      <c r="ALI37" s="90"/>
      <c r="ALJ37" s="90"/>
      <c r="ALK37" s="90"/>
      <c r="ALL37" s="90"/>
      <c r="ALM37" s="90"/>
      <c r="ALN37" s="90"/>
      <c r="ALO37" s="90"/>
      <c r="ALP37" s="90"/>
      <c r="ALQ37" s="90"/>
      <c r="ALR37" s="90"/>
      <c r="ALS37" s="90"/>
      <c r="ALT37" s="90"/>
      <c r="ALU37" s="90"/>
      <c r="ALV37" s="90"/>
      <c r="ALW37" s="90"/>
      <c r="ALX37" s="90"/>
      <c r="ALY37" s="90"/>
      <c r="ALZ37" s="90"/>
      <c r="AMA37" s="90"/>
      <c r="AMB37" s="90"/>
      <c r="AMC37" s="90"/>
    </row>
    <row r="38" spans="1:1017">
      <c r="A38" s="98" t="s">
        <v>25</v>
      </c>
      <c r="B38" s="648" t="s">
        <v>24</v>
      </c>
      <c r="E38" s="98">
        <v>260000</v>
      </c>
      <c r="F38" s="98">
        <v>10400000</v>
      </c>
      <c r="Q38" s="91">
        <f t="shared" si="640"/>
        <v>260000</v>
      </c>
      <c r="R38" s="91">
        <f t="shared" si="641"/>
        <v>10400000</v>
      </c>
      <c r="AG38" s="91">
        <f t="shared" si="642"/>
        <v>0</v>
      </c>
      <c r="AH38" s="91">
        <f t="shared" si="643"/>
        <v>0</v>
      </c>
      <c r="AW38" s="91">
        <f t="shared" si="644"/>
        <v>0</v>
      </c>
      <c r="AX38" s="91">
        <f t="shared" si="645"/>
        <v>0</v>
      </c>
      <c r="BM38" s="91">
        <f t="shared" si="646"/>
        <v>0</v>
      </c>
      <c r="BN38" s="91">
        <f t="shared" si="647"/>
        <v>0</v>
      </c>
      <c r="CC38" s="91">
        <f t="shared" si="648"/>
        <v>0</v>
      </c>
      <c r="CD38" s="91">
        <f t="shared" si="649"/>
        <v>0</v>
      </c>
      <c r="CS38" s="91">
        <f t="shared" si="650"/>
        <v>0</v>
      </c>
      <c r="CT38" s="91">
        <f t="shared" si="651"/>
        <v>0</v>
      </c>
      <c r="DI38" s="91">
        <f t="shared" si="652"/>
        <v>0</v>
      </c>
      <c r="DJ38" s="91">
        <f t="shared" si="653"/>
        <v>0</v>
      </c>
      <c r="DY38" s="91">
        <f t="shared" si="654"/>
        <v>0</v>
      </c>
      <c r="DZ38" s="91">
        <f t="shared" si="655"/>
        <v>0</v>
      </c>
      <c r="EO38" s="91">
        <f t="shared" si="656"/>
        <v>0</v>
      </c>
      <c r="EP38" s="91">
        <f t="shared" si="657"/>
        <v>0</v>
      </c>
      <c r="FE38" s="91">
        <f t="shared" si="658"/>
        <v>0</v>
      </c>
      <c r="FF38" s="91">
        <f t="shared" si="659"/>
        <v>0</v>
      </c>
      <c r="FU38" s="91">
        <f t="shared" si="660"/>
        <v>0</v>
      </c>
      <c r="FV38" s="91">
        <f t="shared" si="661"/>
        <v>0</v>
      </c>
      <c r="GK38" s="91">
        <f t="shared" si="662"/>
        <v>0</v>
      </c>
      <c r="GL38" s="91">
        <f t="shared" si="663"/>
        <v>0</v>
      </c>
      <c r="HA38" s="91">
        <f t="shared" si="664"/>
        <v>0</v>
      </c>
      <c r="HB38" s="91">
        <f t="shared" si="665"/>
        <v>0</v>
      </c>
      <c r="HQ38" s="91">
        <f t="shared" si="666"/>
        <v>0</v>
      </c>
      <c r="HR38" s="91">
        <f t="shared" si="667"/>
        <v>0</v>
      </c>
      <c r="IG38" s="91">
        <f t="shared" si="668"/>
        <v>0</v>
      </c>
      <c r="IH38" s="91">
        <f t="shared" si="669"/>
        <v>0</v>
      </c>
      <c r="IW38" s="91">
        <f t="shared" si="670"/>
        <v>0</v>
      </c>
      <c r="IX38" s="91">
        <f t="shared" si="671"/>
        <v>0</v>
      </c>
      <c r="JM38" s="91">
        <f t="shared" si="672"/>
        <v>0</v>
      </c>
      <c r="JN38" s="91">
        <f t="shared" si="673"/>
        <v>0</v>
      </c>
      <c r="KC38" s="91">
        <f t="shared" si="674"/>
        <v>0</v>
      </c>
      <c r="KD38" s="91">
        <f t="shared" si="675"/>
        <v>0</v>
      </c>
      <c r="KS38" s="91">
        <f t="shared" si="676"/>
        <v>0</v>
      </c>
      <c r="KT38" s="91">
        <f t="shared" si="677"/>
        <v>0</v>
      </c>
      <c r="LI38" s="91">
        <f t="shared" si="678"/>
        <v>0</v>
      </c>
      <c r="LJ38" s="91">
        <f t="shared" si="679"/>
        <v>0</v>
      </c>
      <c r="LY38" s="91">
        <f t="shared" si="680"/>
        <v>0</v>
      </c>
      <c r="LZ38" s="91">
        <f t="shared" si="681"/>
        <v>0</v>
      </c>
      <c r="MC38" s="98">
        <v>23500</v>
      </c>
      <c r="MD38" s="98">
        <v>940000</v>
      </c>
      <c r="MO38" s="91">
        <f t="shared" si="682"/>
        <v>23500</v>
      </c>
      <c r="MP38" s="91">
        <f t="shared" si="683"/>
        <v>940000</v>
      </c>
      <c r="NE38" s="91">
        <f t="shared" si="684"/>
        <v>0</v>
      </c>
      <c r="NF38" s="91">
        <f t="shared" si="685"/>
        <v>0</v>
      </c>
      <c r="NI38" s="98">
        <v>77000</v>
      </c>
      <c r="NJ38" s="98">
        <v>3465000</v>
      </c>
      <c r="NU38" s="91">
        <f t="shared" si="686"/>
        <v>77000</v>
      </c>
      <c r="NV38" s="91">
        <f t="shared" si="687"/>
        <v>3465000</v>
      </c>
      <c r="OK38" s="91">
        <f t="shared" si="688"/>
        <v>0</v>
      </c>
      <c r="OL38" s="91">
        <f t="shared" si="689"/>
        <v>0</v>
      </c>
      <c r="PA38" s="91">
        <f t="shared" si="690"/>
        <v>0</v>
      </c>
      <c r="PB38" s="91">
        <f t="shared" si="691"/>
        <v>0</v>
      </c>
      <c r="PQ38" s="91">
        <f t="shared" si="692"/>
        <v>0</v>
      </c>
      <c r="PR38" s="91">
        <f t="shared" si="693"/>
        <v>0</v>
      </c>
      <c r="QG38" s="91">
        <f t="shared" si="694"/>
        <v>0</v>
      </c>
      <c r="QH38" s="91">
        <f t="shared" si="695"/>
        <v>0</v>
      </c>
      <c r="QW38" s="91">
        <f t="shared" si="696"/>
        <v>0</v>
      </c>
      <c r="QX38" s="91">
        <f t="shared" si="697"/>
        <v>0</v>
      </c>
      <c r="RM38" s="91">
        <f t="shared" si="698"/>
        <v>0</v>
      </c>
      <c r="RN38" s="91">
        <f t="shared" si="699"/>
        <v>0</v>
      </c>
      <c r="SC38" s="91">
        <f t="shared" si="700"/>
        <v>0</v>
      </c>
      <c r="SD38" s="91">
        <f t="shared" si="701"/>
        <v>0</v>
      </c>
      <c r="SS38" s="91">
        <f t="shared" si="702"/>
        <v>0</v>
      </c>
      <c r="ST38" s="91">
        <f t="shared" si="703"/>
        <v>0</v>
      </c>
      <c r="TI38" s="91">
        <f t="shared" si="704"/>
        <v>0</v>
      </c>
      <c r="TJ38" s="91">
        <f t="shared" si="705"/>
        <v>0</v>
      </c>
      <c r="TY38" s="91">
        <f t="shared" si="706"/>
        <v>0</v>
      </c>
      <c r="TZ38" s="91">
        <f t="shared" si="707"/>
        <v>0</v>
      </c>
      <c r="UO38" s="91">
        <f t="shared" si="708"/>
        <v>0</v>
      </c>
      <c r="UP38" s="91">
        <f t="shared" si="764"/>
        <v>0</v>
      </c>
      <c r="VE38" s="91">
        <f t="shared" si="709"/>
        <v>0</v>
      </c>
      <c r="VF38" s="91">
        <f t="shared" si="710"/>
        <v>0</v>
      </c>
      <c r="VI38" s="98">
        <v>415.8</v>
      </c>
      <c r="VJ38" s="98">
        <v>20790</v>
      </c>
      <c r="VU38" s="91">
        <f t="shared" si="711"/>
        <v>415.8</v>
      </c>
      <c r="VV38" s="91">
        <f t="shared" si="712"/>
        <v>20790</v>
      </c>
      <c r="WK38" s="91">
        <f t="shared" si="713"/>
        <v>0</v>
      </c>
      <c r="WL38" s="91">
        <f t="shared" si="714"/>
        <v>0</v>
      </c>
      <c r="WM38" s="89"/>
      <c r="WN38" s="87">
        <f t="shared" si="770"/>
        <v>0</v>
      </c>
      <c r="WO38" s="87">
        <f t="shared" si="771"/>
        <v>0</v>
      </c>
      <c r="WP38" s="87">
        <f t="shared" si="772"/>
        <v>360915.8</v>
      </c>
      <c r="WQ38" s="87">
        <f t="shared" si="773"/>
        <v>14825790</v>
      </c>
      <c r="WR38" s="87">
        <f t="shared" si="719"/>
        <v>0</v>
      </c>
      <c r="WS38" s="87">
        <f t="shared" si="720"/>
        <v>0</v>
      </c>
      <c r="WT38" s="87">
        <f t="shared" si="774"/>
        <v>0</v>
      </c>
      <c r="WU38" s="87">
        <f t="shared" si="775"/>
        <v>0</v>
      </c>
      <c r="WV38" s="87">
        <f t="shared" si="776"/>
        <v>0</v>
      </c>
      <c r="WW38" s="87">
        <f t="shared" si="777"/>
        <v>0</v>
      </c>
      <c r="WX38" s="87">
        <f t="shared" si="778"/>
        <v>0</v>
      </c>
      <c r="WY38" s="87">
        <f t="shared" si="779"/>
        <v>0</v>
      </c>
      <c r="WZ38" s="87">
        <f t="shared" si="780"/>
        <v>0</v>
      </c>
      <c r="XA38" s="87">
        <f t="shared" si="781"/>
        <v>0</v>
      </c>
      <c r="XB38" s="92">
        <f t="shared" si="729"/>
        <v>360915.8</v>
      </c>
      <c r="XC38" s="92">
        <f t="shared" si="730"/>
        <v>14825790</v>
      </c>
      <c r="XD38" s="89"/>
      <c r="XE38" s="92">
        <f t="shared" si="638"/>
        <v>1175832.8</v>
      </c>
      <c r="XF38" s="92">
        <f t="shared" si="639"/>
        <v>49484640</v>
      </c>
      <c r="XG38" s="89"/>
      <c r="XH38" s="92">
        <f t="shared" ref="XH38:XI38" si="783">SUM(XE38,XE76)</f>
        <v>1835605.8</v>
      </c>
      <c r="XI38" s="92">
        <f t="shared" si="783"/>
        <v>77297790</v>
      </c>
      <c r="XJ38" s="89"/>
      <c r="XK38" s="87">
        <f t="shared" si="732"/>
        <v>0</v>
      </c>
      <c r="XL38" s="87">
        <f t="shared" si="733"/>
        <v>3327924.8</v>
      </c>
      <c r="XM38" s="87">
        <f t="shared" si="734"/>
        <v>0</v>
      </c>
      <c r="XN38" s="87">
        <f t="shared" si="735"/>
        <v>0</v>
      </c>
      <c r="XO38" s="87">
        <f t="shared" si="736"/>
        <v>0</v>
      </c>
      <c r="XP38" s="87">
        <f t="shared" si="737"/>
        <v>0</v>
      </c>
      <c r="XQ38" s="87">
        <f t="shared" si="738"/>
        <v>0</v>
      </c>
      <c r="XR38" s="92">
        <f t="shared" si="739"/>
        <v>3327924.8</v>
      </c>
      <c r="XS38" s="89"/>
      <c r="XT38" s="87">
        <f t="shared" si="740"/>
        <v>0</v>
      </c>
      <c r="XU38" s="87">
        <f t="shared" si="741"/>
        <v>139269710</v>
      </c>
      <c r="XV38" s="87">
        <f t="shared" si="742"/>
        <v>0</v>
      </c>
      <c r="XW38" s="87">
        <f t="shared" si="743"/>
        <v>0</v>
      </c>
      <c r="XX38" s="87">
        <f t="shared" si="744"/>
        <v>0</v>
      </c>
      <c r="XY38" s="87">
        <f t="shared" si="745"/>
        <v>0</v>
      </c>
      <c r="XZ38" s="87">
        <f t="shared" si="746"/>
        <v>0</v>
      </c>
      <c r="YA38" s="92">
        <f t="shared" si="747"/>
        <v>139269710</v>
      </c>
      <c r="YB38" s="90"/>
      <c r="YC38" s="90"/>
      <c r="YD38" s="90"/>
      <c r="YE38" s="90"/>
      <c r="YF38" s="90"/>
      <c r="YG38" s="90"/>
      <c r="YH38" s="90"/>
      <c r="YI38" s="90"/>
      <c r="YJ38" s="90"/>
      <c r="YK38" s="90"/>
      <c r="YL38" s="90"/>
      <c r="YM38" s="90"/>
      <c r="YN38" s="90"/>
      <c r="YO38" s="90"/>
      <c r="YP38" s="90"/>
      <c r="YQ38" s="90"/>
      <c r="YR38" s="90"/>
      <c r="YS38" s="90"/>
      <c r="YT38" s="90"/>
      <c r="YU38" s="90"/>
      <c r="YV38" s="90"/>
      <c r="YW38" s="90"/>
      <c r="YX38" s="90"/>
      <c r="YY38" s="90"/>
      <c r="YZ38" s="90"/>
      <c r="ZA38" s="90"/>
      <c r="ZB38" s="90"/>
      <c r="ZC38" s="90"/>
      <c r="ZD38" s="90"/>
      <c r="ZE38" s="90"/>
      <c r="ZF38" s="90"/>
      <c r="ZG38" s="90"/>
      <c r="ZH38" s="90"/>
      <c r="ZI38" s="90"/>
      <c r="ZJ38" s="90"/>
      <c r="ZK38" s="90"/>
      <c r="ZL38" s="90"/>
      <c r="ZM38" s="90"/>
      <c r="ZN38" s="90"/>
      <c r="ZO38" s="90"/>
      <c r="ZP38" s="90"/>
      <c r="ZQ38" s="90"/>
      <c r="ZR38" s="90"/>
      <c r="ZS38" s="90"/>
      <c r="ZT38" s="90"/>
      <c r="ZU38" s="90"/>
      <c r="ZV38" s="90"/>
      <c r="ZW38" s="90"/>
      <c r="ZX38" s="90"/>
      <c r="ZY38" s="90"/>
      <c r="ZZ38" s="90"/>
      <c r="AAA38" s="90"/>
      <c r="AAB38" s="90"/>
      <c r="AAC38" s="90"/>
      <c r="AAD38" s="90"/>
      <c r="AAE38" s="90"/>
      <c r="AAF38" s="90"/>
      <c r="AAG38" s="90"/>
      <c r="AAH38" s="90"/>
      <c r="AAI38" s="90"/>
      <c r="AAJ38" s="90"/>
      <c r="AAK38" s="90"/>
      <c r="AAL38" s="90"/>
      <c r="AAM38" s="90"/>
      <c r="AAN38" s="90"/>
      <c r="AAO38" s="90"/>
      <c r="AAP38" s="90"/>
      <c r="AAQ38" s="90"/>
      <c r="AAR38" s="90"/>
      <c r="AAS38" s="90"/>
      <c r="AAT38" s="90"/>
      <c r="AAU38" s="90"/>
      <c r="AAV38" s="90"/>
      <c r="AAW38" s="90"/>
      <c r="AAX38" s="90"/>
      <c r="AAY38" s="90"/>
      <c r="AAZ38" s="90"/>
      <c r="ABA38" s="90"/>
      <c r="ABB38" s="90"/>
      <c r="ABC38" s="90"/>
      <c r="ABD38" s="90"/>
      <c r="ABE38" s="90"/>
      <c r="ABF38" s="90"/>
      <c r="ABG38" s="90"/>
      <c r="ABH38" s="90"/>
      <c r="ABI38" s="90"/>
      <c r="ABJ38" s="90"/>
      <c r="ABK38" s="90"/>
      <c r="ABL38" s="90"/>
      <c r="ABM38" s="90"/>
      <c r="ABN38" s="90"/>
      <c r="ABO38" s="90"/>
      <c r="ABP38" s="90"/>
      <c r="ABQ38" s="90"/>
      <c r="ABR38" s="90"/>
      <c r="ABS38" s="90"/>
      <c r="ABT38" s="90"/>
      <c r="ABU38" s="90"/>
      <c r="ABV38" s="90"/>
      <c r="ABW38" s="90"/>
      <c r="ABX38" s="90"/>
      <c r="ABY38" s="90"/>
      <c r="ABZ38" s="90"/>
      <c r="ACA38" s="90"/>
      <c r="ACB38" s="90"/>
      <c r="ACC38" s="90"/>
      <c r="ACD38" s="90"/>
      <c r="ACE38" s="90"/>
      <c r="ACF38" s="90"/>
      <c r="ACG38" s="90"/>
      <c r="ACH38" s="90"/>
      <c r="ACI38" s="90"/>
      <c r="ACJ38" s="90"/>
      <c r="ACK38" s="90"/>
      <c r="ACL38" s="90"/>
      <c r="ACM38" s="90"/>
      <c r="ACN38" s="90"/>
      <c r="ACO38" s="90"/>
      <c r="ACP38" s="90"/>
      <c r="ACQ38" s="90"/>
      <c r="ACR38" s="90"/>
      <c r="ACS38" s="90"/>
      <c r="ACT38" s="90"/>
      <c r="ACU38" s="90"/>
      <c r="ACV38" s="90"/>
      <c r="ACW38" s="90"/>
      <c r="ACX38" s="90"/>
      <c r="ACY38" s="90"/>
      <c r="ACZ38" s="90"/>
      <c r="ADA38" s="90"/>
      <c r="ADB38" s="90"/>
      <c r="ADC38" s="90"/>
      <c r="ADD38" s="90"/>
      <c r="ADE38" s="90"/>
      <c r="ADF38" s="90"/>
      <c r="ADG38" s="90"/>
      <c r="ADH38" s="90"/>
      <c r="ADI38" s="90"/>
      <c r="ADJ38" s="90"/>
      <c r="ADK38" s="90"/>
      <c r="ADL38" s="90"/>
      <c r="ADM38" s="90"/>
      <c r="ADN38" s="90"/>
      <c r="ADO38" s="90"/>
      <c r="ADP38" s="90"/>
      <c r="ADQ38" s="90"/>
      <c r="ADR38" s="90"/>
      <c r="ADS38" s="90"/>
      <c r="ADT38" s="90"/>
      <c r="ADU38" s="90"/>
      <c r="ADV38" s="90"/>
      <c r="ADW38" s="90"/>
      <c r="ADX38" s="90"/>
      <c r="ADY38" s="90"/>
      <c r="ADZ38" s="90"/>
      <c r="AEA38" s="90"/>
      <c r="AEB38" s="90"/>
      <c r="AEC38" s="90"/>
      <c r="AED38" s="90"/>
      <c r="AEE38" s="90"/>
      <c r="AEF38" s="90"/>
      <c r="AEG38" s="90"/>
      <c r="AEH38" s="90"/>
      <c r="AEI38" s="90"/>
      <c r="AEJ38" s="90"/>
      <c r="AEK38" s="90"/>
      <c r="AEL38" s="90"/>
      <c r="AEM38" s="90"/>
      <c r="AEN38" s="90"/>
      <c r="AEO38" s="90"/>
      <c r="AEP38" s="90"/>
      <c r="AEQ38" s="90"/>
      <c r="AER38" s="90"/>
      <c r="AES38" s="90"/>
      <c r="AET38" s="90"/>
      <c r="AEU38" s="90"/>
      <c r="AEV38" s="90"/>
      <c r="AEW38" s="90"/>
      <c r="AEX38" s="90"/>
      <c r="AEY38" s="90"/>
      <c r="AEZ38" s="90"/>
      <c r="AFA38" s="90"/>
      <c r="AFB38" s="90"/>
      <c r="AFC38" s="90"/>
      <c r="AFD38" s="90"/>
      <c r="AFE38" s="90"/>
      <c r="AFF38" s="90"/>
      <c r="AFG38" s="90"/>
      <c r="AFH38" s="90"/>
      <c r="AFI38" s="90"/>
      <c r="AFJ38" s="90"/>
      <c r="AFK38" s="90"/>
      <c r="AFL38" s="90"/>
      <c r="AFM38" s="90"/>
      <c r="AFN38" s="90"/>
      <c r="AFO38" s="90"/>
      <c r="AFP38" s="90"/>
      <c r="AFQ38" s="90"/>
      <c r="AFR38" s="90"/>
      <c r="AFS38" s="90"/>
      <c r="AFT38" s="90"/>
      <c r="AFU38" s="90"/>
      <c r="AFV38" s="90"/>
      <c r="AFW38" s="90"/>
      <c r="AFX38" s="90"/>
      <c r="AFY38" s="90"/>
      <c r="AFZ38" s="90"/>
      <c r="AGA38" s="90"/>
      <c r="AGB38" s="90"/>
      <c r="AGC38" s="90"/>
      <c r="AGD38" s="90"/>
      <c r="AGE38" s="90"/>
      <c r="AGF38" s="90"/>
      <c r="AGG38" s="90"/>
      <c r="AGH38" s="90"/>
      <c r="AGI38" s="90"/>
      <c r="AGJ38" s="90"/>
      <c r="AGK38" s="90"/>
      <c r="AGL38" s="90"/>
      <c r="AGM38" s="90"/>
      <c r="AGN38" s="90"/>
      <c r="AGO38" s="90"/>
      <c r="AGP38" s="90"/>
      <c r="AGQ38" s="90"/>
      <c r="AGR38" s="90"/>
      <c r="AGS38" s="90"/>
      <c r="AGT38" s="90"/>
      <c r="AGU38" s="90"/>
      <c r="AGV38" s="90"/>
      <c r="AGW38" s="90"/>
      <c r="AGX38" s="90"/>
      <c r="AGY38" s="90"/>
      <c r="AGZ38" s="90"/>
      <c r="AHA38" s="90"/>
      <c r="AHB38" s="90"/>
      <c r="AHC38" s="90"/>
      <c r="AHD38" s="90"/>
      <c r="AHE38" s="90"/>
      <c r="AHF38" s="90"/>
      <c r="AHG38" s="90"/>
      <c r="AHH38" s="90"/>
      <c r="AHI38" s="90"/>
      <c r="AHJ38" s="90"/>
      <c r="AHK38" s="90"/>
      <c r="AHL38" s="90"/>
      <c r="AHM38" s="90"/>
      <c r="AHN38" s="90"/>
      <c r="AHO38" s="90"/>
      <c r="AHP38" s="90"/>
      <c r="AHQ38" s="90"/>
      <c r="AHR38" s="90"/>
      <c r="AHS38" s="90"/>
      <c r="AHT38" s="90"/>
      <c r="AHU38" s="90"/>
      <c r="AHV38" s="90"/>
      <c r="AHW38" s="90"/>
      <c r="AHX38" s="90"/>
      <c r="AHY38" s="90"/>
      <c r="AHZ38" s="90"/>
      <c r="AIA38" s="90"/>
      <c r="AIB38" s="90"/>
      <c r="AIC38" s="90"/>
      <c r="AID38" s="90"/>
      <c r="AIE38" s="90"/>
      <c r="AIF38" s="90"/>
      <c r="AIG38" s="90"/>
      <c r="AIH38" s="90"/>
      <c r="AII38" s="90"/>
      <c r="AIJ38" s="90"/>
      <c r="AIK38" s="90"/>
      <c r="AIL38" s="90"/>
      <c r="AIM38" s="90"/>
      <c r="AIN38" s="90"/>
      <c r="AIO38" s="90"/>
      <c r="AIP38" s="90"/>
      <c r="AIQ38" s="90"/>
      <c r="AIR38" s="90"/>
      <c r="AIS38" s="90"/>
      <c r="AIT38" s="90"/>
      <c r="AIU38" s="90"/>
      <c r="AIV38" s="90"/>
      <c r="AIW38" s="90"/>
      <c r="AIX38" s="90"/>
      <c r="AIY38" s="90"/>
      <c r="AIZ38" s="90"/>
      <c r="AJA38" s="90"/>
      <c r="AJB38" s="90"/>
      <c r="AJC38" s="90"/>
      <c r="AJD38" s="90"/>
      <c r="AJE38" s="90"/>
      <c r="AJF38" s="90"/>
      <c r="AJG38" s="90"/>
      <c r="AJH38" s="90"/>
      <c r="AJI38" s="90"/>
      <c r="AJJ38" s="90"/>
      <c r="AJK38" s="90"/>
      <c r="AJL38" s="90"/>
      <c r="AJM38" s="90"/>
      <c r="AJN38" s="90"/>
      <c r="AJO38" s="90"/>
      <c r="AJP38" s="90"/>
      <c r="AJQ38" s="90"/>
      <c r="AJR38" s="90"/>
      <c r="AJS38" s="90"/>
      <c r="AJT38" s="90"/>
      <c r="AJU38" s="90"/>
      <c r="AJV38" s="90"/>
      <c r="AJW38" s="90"/>
      <c r="AJX38" s="90"/>
      <c r="AJY38" s="90"/>
      <c r="AJZ38" s="90"/>
      <c r="AKA38" s="90"/>
      <c r="AKB38" s="90"/>
      <c r="AKC38" s="90"/>
      <c r="AKD38" s="90"/>
      <c r="AKE38" s="90"/>
      <c r="AKF38" s="90"/>
      <c r="AKG38" s="90"/>
      <c r="AKH38" s="90"/>
      <c r="AKI38" s="90"/>
      <c r="AKJ38" s="90"/>
      <c r="AKK38" s="90"/>
      <c r="AKL38" s="90"/>
      <c r="AKM38" s="90"/>
      <c r="AKN38" s="90"/>
      <c r="AKO38" s="90"/>
      <c r="AKP38" s="90"/>
      <c r="AKQ38" s="90"/>
      <c r="AKR38" s="90"/>
      <c r="AKS38" s="90"/>
      <c r="AKT38" s="90"/>
      <c r="AKU38" s="90"/>
      <c r="AKV38" s="90"/>
      <c r="AKW38" s="90"/>
      <c r="AKX38" s="90"/>
      <c r="AKY38" s="90"/>
      <c r="AKZ38" s="90"/>
      <c r="ALA38" s="90"/>
      <c r="ALB38" s="90"/>
      <c r="ALC38" s="90"/>
      <c r="ALD38" s="90"/>
      <c r="ALE38" s="90"/>
      <c r="ALF38" s="90"/>
      <c r="ALG38" s="90"/>
      <c r="ALH38" s="90"/>
      <c r="ALI38" s="90"/>
      <c r="ALJ38" s="90"/>
      <c r="ALK38" s="90"/>
      <c r="ALL38" s="90"/>
      <c r="ALM38" s="90"/>
      <c r="ALN38" s="90"/>
      <c r="ALO38" s="90"/>
      <c r="ALP38" s="90"/>
      <c r="ALQ38" s="90"/>
      <c r="ALR38" s="90"/>
      <c r="ALS38" s="90"/>
      <c r="ALT38" s="90"/>
      <c r="ALU38" s="90"/>
      <c r="ALV38" s="90"/>
      <c r="ALW38" s="90"/>
      <c r="ALX38" s="90"/>
      <c r="ALY38" s="90"/>
      <c r="ALZ38" s="90"/>
      <c r="AMA38" s="90"/>
      <c r="AMB38" s="90"/>
      <c r="AMC38" s="90"/>
    </row>
    <row r="39" spans="1:1017">
      <c r="A39" s="98" t="s">
        <v>25</v>
      </c>
      <c r="B39" s="648" t="s">
        <v>557</v>
      </c>
      <c r="E39" s="98">
        <v>65405</v>
      </c>
      <c r="F39" s="98">
        <v>4934332.0520000001</v>
      </c>
      <c r="Q39" s="91">
        <f t="shared" si="640"/>
        <v>65405</v>
      </c>
      <c r="R39" s="91">
        <f t="shared" si="641"/>
        <v>4934332.0520000001</v>
      </c>
      <c r="U39" s="98">
        <v>1517450</v>
      </c>
      <c r="V39" s="98">
        <v>75872500</v>
      </c>
      <c r="AG39" s="91">
        <f t="shared" si="642"/>
        <v>1517450</v>
      </c>
      <c r="AH39" s="91">
        <f t="shared" si="643"/>
        <v>75872500</v>
      </c>
      <c r="AK39" s="98">
        <v>34100</v>
      </c>
      <c r="AL39" s="98">
        <v>2216500</v>
      </c>
      <c r="AW39" s="91">
        <f t="shared" si="644"/>
        <v>34100</v>
      </c>
      <c r="AX39" s="91">
        <f t="shared" si="645"/>
        <v>2216500</v>
      </c>
      <c r="BM39" s="91">
        <f t="shared" si="646"/>
        <v>0</v>
      </c>
      <c r="BN39" s="91">
        <f t="shared" si="647"/>
        <v>0</v>
      </c>
      <c r="CC39" s="91">
        <f t="shared" si="648"/>
        <v>0</v>
      </c>
      <c r="CD39" s="91">
        <f t="shared" si="649"/>
        <v>0</v>
      </c>
      <c r="CG39" s="98">
        <v>1330662.4708974799</v>
      </c>
      <c r="CH39" s="98">
        <v>66533123.54487399</v>
      </c>
      <c r="CS39" s="91">
        <f t="shared" si="650"/>
        <v>1330662.4708974799</v>
      </c>
      <c r="CT39" s="91">
        <f t="shared" si="651"/>
        <v>66533123.54487399</v>
      </c>
      <c r="CW39" s="98">
        <v>118311</v>
      </c>
      <c r="CX39" s="98">
        <v>8281769.983</v>
      </c>
      <c r="DI39" s="91">
        <f t="shared" si="652"/>
        <v>118311</v>
      </c>
      <c r="DJ39" s="91">
        <f t="shared" si="653"/>
        <v>8281769.983</v>
      </c>
      <c r="DY39" s="91">
        <f t="shared" si="654"/>
        <v>0</v>
      </c>
      <c r="DZ39" s="91">
        <f t="shared" si="655"/>
        <v>0</v>
      </c>
      <c r="EO39" s="91">
        <f t="shared" si="656"/>
        <v>0</v>
      </c>
      <c r="EP39" s="91">
        <f t="shared" si="657"/>
        <v>0</v>
      </c>
      <c r="ES39" s="98">
        <v>203854</v>
      </c>
      <c r="ET39" s="98">
        <v>10192700</v>
      </c>
      <c r="EW39" s="98">
        <v>1058854</v>
      </c>
      <c r="EX39" s="98">
        <v>52942700</v>
      </c>
      <c r="FE39" s="91">
        <f t="shared" si="658"/>
        <v>1262708</v>
      </c>
      <c r="FF39" s="91">
        <f t="shared" si="659"/>
        <v>63135400</v>
      </c>
      <c r="FI39" s="98">
        <v>125000</v>
      </c>
      <c r="FJ39" s="98">
        <v>7500000</v>
      </c>
      <c r="FU39" s="91">
        <f t="shared" si="660"/>
        <v>125000</v>
      </c>
      <c r="FV39" s="91">
        <f t="shared" si="661"/>
        <v>7500000</v>
      </c>
      <c r="GK39" s="91">
        <f t="shared" si="662"/>
        <v>0</v>
      </c>
      <c r="GL39" s="91">
        <f t="shared" si="663"/>
        <v>0</v>
      </c>
      <c r="HA39" s="91">
        <f t="shared" si="664"/>
        <v>0</v>
      </c>
      <c r="HB39" s="91">
        <f t="shared" si="665"/>
        <v>0</v>
      </c>
      <c r="HE39" s="98">
        <v>120000</v>
      </c>
      <c r="HF39" s="98">
        <v>6480000</v>
      </c>
      <c r="HQ39" s="91">
        <f t="shared" si="666"/>
        <v>120000</v>
      </c>
      <c r="HR39" s="91">
        <f t="shared" si="667"/>
        <v>6480000</v>
      </c>
      <c r="IG39" s="91">
        <f t="shared" si="668"/>
        <v>0</v>
      </c>
      <c r="IH39" s="91">
        <f t="shared" si="669"/>
        <v>0</v>
      </c>
      <c r="IW39" s="91">
        <f t="shared" si="670"/>
        <v>0</v>
      </c>
      <c r="IX39" s="91">
        <f t="shared" si="671"/>
        <v>0</v>
      </c>
      <c r="JM39" s="91">
        <f t="shared" si="672"/>
        <v>0</v>
      </c>
      <c r="JN39" s="91">
        <f t="shared" si="673"/>
        <v>0</v>
      </c>
      <c r="JQ39" s="98">
        <v>94548</v>
      </c>
      <c r="JR39" s="98">
        <v>7563840</v>
      </c>
      <c r="KC39" s="91">
        <f t="shared" si="674"/>
        <v>94548</v>
      </c>
      <c r="KD39" s="91">
        <f t="shared" si="675"/>
        <v>7563840</v>
      </c>
      <c r="KG39" s="98">
        <v>60413</v>
      </c>
      <c r="KH39" s="98">
        <v>4228910</v>
      </c>
      <c r="KS39" s="91">
        <f t="shared" si="676"/>
        <v>60413</v>
      </c>
      <c r="KT39" s="91">
        <f t="shared" si="677"/>
        <v>4228910</v>
      </c>
      <c r="KW39" s="98">
        <v>32349.45</v>
      </c>
      <c r="KX39" s="98">
        <v>1940967</v>
      </c>
      <c r="LI39" s="91">
        <f t="shared" si="678"/>
        <v>32349.45</v>
      </c>
      <c r="LJ39" s="91">
        <f t="shared" si="679"/>
        <v>1940967</v>
      </c>
      <c r="LY39" s="91">
        <f t="shared" si="680"/>
        <v>0</v>
      </c>
      <c r="LZ39" s="91">
        <f t="shared" si="681"/>
        <v>0</v>
      </c>
      <c r="MC39" s="98">
        <f>1454.8*1000</f>
        <v>1454800</v>
      </c>
      <c r="MD39" s="98">
        <v>87288000</v>
      </c>
      <c r="MO39" s="91">
        <f t="shared" si="682"/>
        <v>1454800</v>
      </c>
      <c r="MP39" s="91">
        <f t="shared" si="683"/>
        <v>87288000</v>
      </c>
      <c r="MS39" s="98">
        <v>43390</v>
      </c>
      <c r="MT39" s="98">
        <v>2820350</v>
      </c>
      <c r="NE39" s="91">
        <f t="shared" si="684"/>
        <v>43390</v>
      </c>
      <c r="NF39" s="91">
        <f t="shared" si="685"/>
        <v>2820350</v>
      </c>
      <c r="NI39" s="98">
        <v>352200</v>
      </c>
      <c r="NJ39" s="98">
        <v>21132000</v>
      </c>
      <c r="NU39" s="91">
        <f t="shared" si="686"/>
        <v>352200</v>
      </c>
      <c r="NV39" s="91">
        <f t="shared" si="687"/>
        <v>21132000</v>
      </c>
      <c r="NY39" s="98">
        <v>930427</v>
      </c>
      <c r="NZ39" s="98">
        <v>46521350</v>
      </c>
      <c r="OK39" s="91">
        <f t="shared" si="688"/>
        <v>930427</v>
      </c>
      <c r="OL39" s="91">
        <f t="shared" si="689"/>
        <v>46521350</v>
      </c>
      <c r="OO39" s="98">
        <v>492375</v>
      </c>
      <c r="OP39" s="98">
        <v>31019625</v>
      </c>
      <c r="PA39" s="91">
        <f t="shared" si="690"/>
        <v>492375</v>
      </c>
      <c r="PB39" s="91">
        <f t="shared" si="691"/>
        <v>31019625</v>
      </c>
      <c r="PE39" s="98">
        <v>24975</v>
      </c>
      <c r="PF39" s="98">
        <v>1498500</v>
      </c>
      <c r="PQ39" s="91">
        <f t="shared" si="692"/>
        <v>24975</v>
      </c>
      <c r="PR39" s="91">
        <f t="shared" si="693"/>
        <v>1498500</v>
      </c>
      <c r="PU39" s="98">
        <v>626230</v>
      </c>
      <c r="PV39" s="98">
        <v>37573800</v>
      </c>
      <c r="QA39" s="98">
        <v>307820</v>
      </c>
      <c r="QB39" s="98">
        <v>15391000</v>
      </c>
      <c r="QG39" s="91">
        <f t="shared" si="694"/>
        <v>934050</v>
      </c>
      <c r="QH39" s="91">
        <f t="shared" si="695"/>
        <v>52964800</v>
      </c>
      <c r="QW39" s="91">
        <f t="shared" si="696"/>
        <v>0</v>
      </c>
      <c r="QX39" s="91">
        <f t="shared" si="697"/>
        <v>0</v>
      </c>
      <c r="RM39" s="91">
        <f t="shared" si="698"/>
        <v>0</v>
      </c>
      <c r="RN39" s="91">
        <f t="shared" si="699"/>
        <v>0</v>
      </c>
      <c r="SC39" s="91">
        <f t="shared" si="700"/>
        <v>0</v>
      </c>
      <c r="SD39" s="91">
        <f t="shared" si="701"/>
        <v>0</v>
      </c>
      <c r="SS39" s="91">
        <f t="shared" si="702"/>
        <v>0</v>
      </c>
      <c r="ST39" s="91">
        <f t="shared" si="703"/>
        <v>0</v>
      </c>
      <c r="TI39" s="91">
        <f t="shared" si="704"/>
        <v>0</v>
      </c>
      <c r="TJ39" s="91">
        <f t="shared" si="705"/>
        <v>0</v>
      </c>
      <c r="TY39" s="91">
        <f t="shared" si="706"/>
        <v>0</v>
      </c>
      <c r="TZ39" s="91">
        <f t="shared" si="707"/>
        <v>0</v>
      </c>
      <c r="UO39" s="91">
        <f t="shared" si="708"/>
        <v>0</v>
      </c>
      <c r="UP39" s="91">
        <f t="shared" si="764"/>
        <v>0</v>
      </c>
      <c r="US39" s="98">
        <v>11500</v>
      </c>
      <c r="UT39" s="98">
        <v>690000</v>
      </c>
      <c r="VE39" s="91">
        <f t="shared" si="709"/>
        <v>11500</v>
      </c>
      <c r="VF39" s="91">
        <f t="shared" si="710"/>
        <v>690000</v>
      </c>
      <c r="VI39" s="98">
        <v>6651.7</v>
      </c>
      <c r="VJ39" s="98">
        <v>365843.5</v>
      </c>
      <c r="VU39" s="91">
        <f t="shared" si="711"/>
        <v>6651.7</v>
      </c>
      <c r="VV39" s="91">
        <f t="shared" si="712"/>
        <v>365843.5</v>
      </c>
      <c r="VY39" s="98">
        <v>126729</v>
      </c>
      <c r="VZ39" s="98">
        <v>5702805</v>
      </c>
      <c r="WC39" s="98">
        <v>0</v>
      </c>
      <c r="WD39" s="98">
        <v>0</v>
      </c>
      <c r="WK39" s="91">
        <f t="shared" si="713"/>
        <v>126729</v>
      </c>
      <c r="WL39" s="91">
        <f t="shared" si="714"/>
        <v>5702805</v>
      </c>
      <c r="WM39" s="89"/>
      <c r="WN39" s="87">
        <f t="shared" si="770"/>
        <v>0</v>
      </c>
      <c r="WO39" s="87">
        <f t="shared" si="771"/>
        <v>0</v>
      </c>
      <c r="WP39" s="87">
        <f t="shared" si="772"/>
        <v>7771370.6208974803</v>
      </c>
      <c r="WQ39" s="87">
        <f t="shared" si="773"/>
        <v>430356916.07987404</v>
      </c>
      <c r="WR39" s="87">
        <f t="shared" si="719"/>
        <v>0</v>
      </c>
      <c r="WS39" s="87">
        <f t="shared" si="720"/>
        <v>0</v>
      </c>
      <c r="WT39" s="87">
        <f t="shared" si="774"/>
        <v>1058854</v>
      </c>
      <c r="WU39" s="87">
        <f t="shared" si="775"/>
        <v>52942700</v>
      </c>
      <c r="WV39" s="87">
        <f t="shared" si="776"/>
        <v>307820</v>
      </c>
      <c r="WW39" s="87">
        <f t="shared" si="777"/>
        <v>15391000</v>
      </c>
      <c r="WX39" s="87">
        <f t="shared" si="778"/>
        <v>0</v>
      </c>
      <c r="WY39" s="87">
        <f t="shared" si="779"/>
        <v>0</v>
      </c>
      <c r="WZ39" s="87">
        <f t="shared" si="780"/>
        <v>0</v>
      </c>
      <c r="XA39" s="87">
        <f t="shared" si="781"/>
        <v>0</v>
      </c>
      <c r="XB39" s="92">
        <f t="shared" si="729"/>
        <v>9138044.6208974794</v>
      </c>
      <c r="XC39" s="92">
        <f t="shared" si="730"/>
        <v>498690616.07987404</v>
      </c>
      <c r="XD39" s="89"/>
      <c r="XE39" s="92">
        <f t="shared" si="638"/>
        <v>29144461.290940441</v>
      </c>
      <c r="XF39" s="92">
        <f t="shared" si="639"/>
        <v>1584533677.612874</v>
      </c>
      <c r="XG39" s="89"/>
      <c r="XH39" s="92">
        <f t="shared" ref="XH39:XI39" si="784">SUM(XE39,XE77)</f>
        <v>61422469.421956696</v>
      </c>
      <c r="XI39" s="92">
        <f t="shared" si="784"/>
        <v>3294740626.8661771</v>
      </c>
      <c r="XJ39" s="89"/>
      <c r="XK39" s="87">
        <f t="shared" si="732"/>
        <v>0</v>
      </c>
      <c r="XL39" s="87">
        <f t="shared" si="733"/>
        <v>99298900.497843653</v>
      </c>
      <c r="XM39" s="87">
        <f t="shared" si="734"/>
        <v>0</v>
      </c>
      <c r="XN39" s="87">
        <f t="shared" si="735"/>
        <v>12380434</v>
      </c>
      <c r="XO39" s="87">
        <f t="shared" si="736"/>
        <v>4616320</v>
      </c>
      <c r="XP39" s="87">
        <f t="shared" si="737"/>
        <v>0</v>
      </c>
      <c r="XQ39" s="87">
        <f t="shared" si="738"/>
        <v>0</v>
      </c>
      <c r="XR39" s="92">
        <f t="shared" si="739"/>
        <v>116295654.49784365</v>
      </c>
      <c r="XS39" s="89"/>
      <c r="XT39" s="87">
        <f t="shared" si="740"/>
        <v>0</v>
      </c>
      <c r="XU39" s="87">
        <f t="shared" si="741"/>
        <v>5403050248.2099533</v>
      </c>
      <c r="XV39" s="87">
        <f t="shared" si="742"/>
        <v>0</v>
      </c>
      <c r="XW39" s="87">
        <f t="shared" si="743"/>
        <v>602025678</v>
      </c>
      <c r="XX39" s="87">
        <f t="shared" si="744"/>
        <v>197371400</v>
      </c>
      <c r="XY39" s="87">
        <f t="shared" si="745"/>
        <v>0</v>
      </c>
      <c r="XZ39" s="87">
        <f t="shared" si="746"/>
        <v>0</v>
      </c>
      <c r="YA39" s="92">
        <f t="shared" si="747"/>
        <v>6202447326.2099533</v>
      </c>
      <c r="YB39" s="90"/>
      <c r="YC39" s="90"/>
      <c r="YD39" s="90"/>
      <c r="YE39" s="90"/>
      <c r="YF39" s="90"/>
      <c r="YG39" s="90"/>
      <c r="YH39" s="90"/>
      <c r="YI39" s="90"/>
      <c r="YJ39" s="90"/>
      <c r="YK39" s="90"/>
      <c r="YL39" s="90"/>
      <c r="YM39" s="90"/>
      <c r="YN39" s="90"/>
      <c r="YO39" s="90"/>
      <c r="YP39" s="90"/>
      <c r="YQ39" s="90"/>
      <c r="YR39" s="90"/>
      <c r="YS39" s="90"/>
      <c r="YT39" s="90"/>
      <c r="YU39" s="90"/>
      <c r="YV39" s="90"/>
      <c r="YW39" s="90"/>
      <c r="YX39" s="90"/>
      <c r="YY39" s="90"/>
      <c r="YZ39" s="90"/>
      <c r="ZA39" s="90"/>
      <c r="ZB39" s="90"/>
      <c r="ZC39" s="90"/>
      <c r="ZD39" s="90"/>
      <c r="ZE39" s="90"/>
      <c r="ZF39" s="90"/>
      <c r="ZG39" s="90"/>
      <c r="ZH39" s="90"/>
      <c r="ZI39" s="90"/>
      <c r="ZJ39" s="90"/>
      <c r="ZK39" s="90"/>
      <c r="ZL39" s="90"/>
      <c r="ZM39" s="90"/>
      <c r="ZN39" s="90"/>
      <c r="ZO39" s="90"/>
      <c r="ZP39" s="90"/>
      <c r="ZQ39" s="90"/>
      <c r="ZR39" s="90"/>
      <c r="ZS39" s="90"/>
      <c r="ZT39" s="90"/>
      <c r="ZU39" s="90"/>
      <c r="ZV39" s="90"/>
      <c r="ZW39" s="90"/>
      <c r="ZX39" s="90"/>
      <c r="ZY39" s="90"/>
      <c r="ZZ39" s="90"/>
      <c r="AAA39" s="90"/>
      <c r="AAB39" s="90"/>
      <c r="AAC39" s="90"/>
      <c r="AAD39" s="90"/>
      <c r="AAE39" s="90"/>
      <c r="AAF39" s="90"/>
      <c r="AAG39" s="90"/>
      <c r="AAH39" s="90"/>
      <c r="AAI39" s="90"/>
      <c r="AAJ39" s="90"/>
      <c r="AAK39" s="90"/>
      <c r="AAL39" s="90"/>
      <c r="AAM39" s="90"/>
      <c r="AAN39" s="90"/>
      <c r="AAO39" s="90"/>
      <c r="AAP39" s="90"/>
      <c r="AAQ39" s="90"/>
      <c r="AAR39" s="90"/>
      <c r="AAS39" s="90"/>
      <c r="AAT39" s="90"/>
      <c r="AAU39" s="90"/>
      <c r="AAV39" s="90"/>
      <c r="AAW39" s="90"/>
      <c r="AAX39" s="90"/>
      <c r="AAY39" s="90"/>
      <c r="AAZ39" s="90"/>
      <c r="ABA39" s="90"/>
      <c r="ABB39" s="90"/>
      <c r="ABC39" s="90"/>
      <c r="ABD39" s="90"/>
      <c r="ABE39" s="90"/>
      <c r="ABF39" s="90"/>
      <c r="ABG39" s="90"/>
      <c r="ABH39" s="90"/>
      <c r="ABI39" s="90"/>
      <c r="ABJ39" s="90"/>
      <c r="ABK39" s="90"/>
      <c r="ABL39" s="90"/>
      <c r="ABM39" s="90"/>
      <c r="ABN39" s="90"/>
      <c r="ABO39" s="90"/>
      <c r="ABP39" s="90"/>
      <c r="ABQ39" s="90"/>
      <c r="ABR39" s="90"/>
      <c r="ABS39" s="90"/>
      <c r="ABT39" s="90"/>
      <c r="ABU39" s="90"/>
      <c r="ABV39" s="90"/>
      <c r="ABW39" s="90"/>
      <c r="ABX39" s="90"/>
      <c r="ABY39" s="90"/>
      <c r="ABZ39" s="90"/>
      <c r="ACA39" s="90"/>
      <c r="ACB39" s="90"/>
      <c r="ACC39" s="90"/>
      <c r="ACD39" s="90"/>
      <c r="ACE39" s="90"/>
      <c r="ACF39" s="90"/>
      <c r="ACG39" s="90"/>
      <c r="ACH39" s="90"/>
      <c r="ACI39" s="90"/>
      <c r="ACJ39" s="90"/>
      <c r="ACK39" s="90"/>
      <c r="ACL39" s="90"/>
      <c r="ACM39" s="90"/>
      <c r="ACN39" s="90"/>
      <c r="ACO39" s="90"/>
      <c r="ACP39" s="90"/>
      <c r="ACQ39" s="90"/>
      <c r="ACR39" s="90"/>
      <c r="ACS39" s="90"/>
      <c r="ACT39" s="90"/>
      <c r="ACU39" s="90"/>
      <c r="ACV39" s="90"/>
      <c r="ACW39" s="90"/>
      <c r="ACX39" s="90"/>
      <c r="ACY39" s="90"/>
      <c r="ACZ39" s="90"/>
      <c r="ADA39" s="90"/>
      <c r="ADB39" s="90"/>
      <c r="ADC39" s="90"/>
      <c r="ADD39" s="90"/>
      <c r="ADE39" s="90"/>
      <c r="ADF39" s="90"/>
      <c r="ADG39" s="90"/>
      <c r="ADH39" s="90"/>
      <c r="ADI39" s="90"/>
      <c r="ADJ39" s="90"/>
      <c r="ADK39" s="90"/>
      <c r="ADL39" s="90"/>
      <c r="ADM39" s="90"/>
      <c r="ADN39" s="90"/>
      <c r="ADO39" s="90"/>
      <c r="ADP39" s="90"/>
      <c r="ADQ39" s="90"/>
      <c r="ADR39" s="90"/>
      <c r="ADS39" s="90"/>
      <c r="ADT39" s="90"/>
      <c r="ADU39" s="90"/>
      <c r="ADV39" s="90"/>
      <c r="ADW39" s="90"/>
      <c r="ADX39" s="90"/>
      <c r="ADY39" s="90"/>
      <c r="ADZ39" s="90"/>
      <c r="AEA39" s="90"/>
      <c r="AEB39" s="90"/>
      <c r="AEC39" s="90"/>
      <c r="AED39" s="90"/>
      <c r="AEE39" s="90"/>
      <c r="AEF39" s="90"/>
      <c r="AEG39" s="90"/>
      <c r="AEH39" s="90"/>
      <c r="AEI39" s="90"/>
      <c r="AEJ39" s="90"/>
      <c r="AEK39" s="90"/>
      <c r="AEL39" s="90"/>
      <c r="AEM39" s="90"/>
      <c r="AEN39" s="90"/>
      <c r="AEO39" s="90"/>
      <c r="AEP39" s="90"/>
      <c r="AEQ39" s="90"/>
      <c r="AER39" s="90"/>
      <c r="AES39" s="90"/>
      <c r="AET39" s="90"/>
      <c r="AEU39" s="90"/>
      <c r="AEV39" s="90"/>
      <c r="AEW39" s="90"/>
      <c r="AEX39" s="90"/>
      <c r="AEY39" s="90"/>
      <c r="AEZ39" s="90"/>
      <c r="AFA39" s="90"/>
      <c r="AFB39" s="90"/>
      <c r="AFC39" s="90"/>
      <c r="AFD39" s="90"/>
      <c r="AFE39" s="90"/>
      <c r="AFF39" s="90"/>
      <c r="AFG39" s="90"/>
      <c r="AFH39" s="90"/>
      <c r="AFI39" s="90"/>
      <c r="AFJ39" s="90"/>
      <c r="AFK39" s="90"/>
      <c r="AFL39" s="90"/>
      <c r="AFM39" s="90"/>
      <c r="AFN39" s="90"/>
      <c r="AFO39" s="90"/>
      <c r="AFP39" s="90"/>
      <c r="AFQ39" s="90"/>
      <c r="AFR39" s="90"/>
      <c r="AFS39" s="90"/>
      <c r="AFT39" s="90"/>
      <c r="AFU39" s="90"/>
      <c r="AFV39" s="90"/>
      <c r="AFW39" s="90"/>
      <c r="AFX39" s="90"/>
      <c r="AFY39" s="90"/>
      <c r="AFZ39" s="90"/>
      <c r="AGA39" s="90"/>
      <c r="AGB39" s="90"/>
      <c r="AGC39" s="90"/>
      <c r="AGD39" s="90"/>
      <c r="AGE39" s="90"/>
      <c r="AGF39" s="90"/>
      <c r="AGG39" s="90"/>
      <c r="AGH39" s="90"/>
      <c r="AGI39" s="90"/>
      <c r="AGJ39" s="90"/>
      <c r="AGK39" s="90"/>
      <c r="AGL39" s="90"/>
      <c r="AGM39" s="90"/>
      <c r="AGN39" s="90"/>
      <c r="AGO39" s="90"/>
      <c r="AGP39" s="90"/>
      <c r="AGQ39" s="90"/>
      <c r="AGR39" s="90"/>
      <c r="AGS39" s="90"/>
      <c r="AGT39" s="90"/>
      <c r="AGU39" s="90"/>
      <c r="AGV39" s="90"/>
      <c r="AGW39" s="90"/>
      <c r="AGX39" s="90"/>
      <c r="AGY39" s="90"/>
      <c r="AGZ39" s="90"/>
      <c r="AHA39" s="90"/>
      <c r="AHB39" s="90"/>
      <c r="AHC39" s="90"/>
      <c r="AHD39" s="90"/>
      <c r="AHE39" s="90"/>
      <c r="AHF39" s="90"/>
      <c r="AHG39" s="90"/>
      <c r="AHH39" s="90"/>
      <c r="AHI39" s="90"/>
      <c r="AHJ39" s="90"/>
      <c r="AHK39" s="90"/>
      <c r="AHL39" s="90"/>
      <c r="AHM39" s="90"/>
      <c r="AHN39" s="90"/>
      <c r="AHO39" s="90"/>
      <c r="AHP39" s="90"/>
      <c r="AHQ39" s="90"/>
      <c r="AHR39" s="90"/>
      <c r="AHS39" s="90"/>
      <c r="AHT39" s="90"/>
      <c r="AHU39" s="90"/>
      <c r="AHV39" s="90"/>
      <c r="AHW39" s="90"/>
      <c r="AHX39" s="90"/>
      <c r="AHY39" s="90"/>
      <c r="AHZ39" s="90"/>
      <c r="AIA39" s="90"/>
      <c r="AIB39" s="90"/>
      <c r="AIC39" s="90"/>
      <c r="AID39" s="90"/>
      <c r="AIE39" s="90"/>
      <c r="AIF39" s="90"/>
      <c r="AIG39" s="90"/>
      <c r="AIH39" s="90"/>
      <c r="AII39" s="90"/>
      <c r="AIJ39" s="90"/>
      <c r="AIK39" s="90"/>
      <c r="AIL39" s="90"/>
      <c r="AIM39" s="90"/>
      <c r="AIN39" s="90"/>
      <c r="AIO39" s="90"/>
      <c r="AIP39" s="90"/>
      <c r="AIQ39" s="90"/>
      <c r="AIR39" s="90"/>
      <c r="AIS39" s="90"/>
      <c r="AIT39" s="90"/>
      <c r="AIU39" s="90"/>
      <c r="AIV39" s="90"/>
      <c r="AIW39" s="90"/>
      <c r="AIX39" s="90"/>
      <c r="AIY39" s="90"/>
      <c r="AIZ39" s="90"/>
      <c r="AJA39" s="90"/>
      <c r="AJB39" s="90"/>
      <c r="AJC39" s="90"/>
      <c r="AJD39" s="90"/>
      <c r="AJE39" s="90"/>
      <c r="AJF39" s="90"/>
      <c r="AJG39" s="90"/>
      <c r="AJH39" s="90"/>
      <c r="AJI39" s="90"/>
      <c r="AJJ39" s="90"/>
      <c r="AJK39" s="90"/>
      <c r="AJL39" s="90"/>
      <c r="AJM39" s="90"/>
      <c r="AJN39" s="90"/>
      <c r="AJO39" s="90"/>
      <c r="AJP39" s="90"/>
      <c r="AJQ39" s="90"/>
      <c r="AJR39" s="90"/>
      <c r="AJS39" s="90"/>
      <c r="AJT39" s="90"/>
      <c r="AJU39" s="90"/>
      <c r="AJV39" s="90"/>
      <c r="AJW39" s="90"/>
      <c r="AJX39" s="90"/>
      <c r="AJY39" s="90"/>
      <c r="AJZ39" s="90"/>
      <c r="AKA39" s="90"/>
      <c r="AKB39" s="90"/>
      <c r="AKC39" s="90"/>
      <c r="AKD39" s="90"/>
      <c r="AKE39" s="90"/>
      <c r="AKF39" s="90"/>
      <c r="AKG39" s="90"/>
      <c r="AKH39" s="90"/>
      <c r="AKI39" s="90"/>
      <c r="AKJ39" s="90"/>
      <c r="AKK39" s="90"/>
      <c r="AKL39" s="90"/>
      <c r="AKM39" s="90"/>
      <c r="AKN39" s="90"/>
      <c r="AKO39" s="90"/>
      <c r="AKP39" s="90"/>
      <c r="AKQ39" s="90"/>
      <c r="AKR39" s="90"/>
      <c r="AKS39" s="90"/>
      <c r="AKT39" s="90"/>
      <c r="AKU39" s="90"/>
      <c r="AKV39" s="90"/>
      <c r="AKW39" s="90"/>
      <c r="AKX39" s="90"/>
      <c r="AKY39" s="90"/>
      <c r="AKZ39" s="90"/>
      <c r="ALA39" s="90"/>
      <c r="ALB39" s="90"/>
      <c r="ALC39" s="90"/>
      <c r="ALD39" s="90"/>
      <c r="ALE39" s="90"/>
      <c r="ALF39" s="90"/>
      <c r="ALG39" s="90"/>
      <c r="ALH39" s="90"/>
      <c r="ALI39" s="90"/>
      <c r="ALJ39" s="90"/>
      <c r="ALK39" s="90"/>
      <c r="ALL39" s="90"/>
      <c r="ALM39" s="90"/>
      <c r="ALN39" s="90"/>
      <c r="ALO39" s="90"/>
      <c r="ALP39" s="90"/>
      <c r="ALQ39" s="90"/>
      <c r="ALR39" s="90"/>
      <c r="ALS39" s="90"/>
      <c r="ALT39" s="90"/>
      <c r="ALU39" s="90"/>
      <c r="ALV39" s="90"/>
      <c r="ALW39" s="90"/>
      <c r="ALX39" s="90"/>
      <c r="ALY39" s="90"/>
      <c r="ALZ39" s="90"/>
      <c r="AMA39" s="90"/>
      <c r="AMB39" s="90"/>
      <c r="AMC39" s="90"/>
    </row>
    <row r="40" spans="1:1017">
      <c r="A40" s="98" t="s">
        <v>25</v>
      </c>
      <c r="B40" s="648" t="s">
        <v>359</v>
      </c>
      <c r="E40" s="98">
        <v>7900</v>
      </c>
      <c r="F40" s="98">
        <v>1027000</v>
      </c>
      <c r="Q40" s="91">
        <f t="shared" si="640"/>
        <v>7900</v>
      </c>
      <c r="R40" s="91">
        <f t="shared" si="641"/>
        <v>1027000</v>
      </c>
      <c r="AG40" s="91">
        <f t="shared" si="642"/>
        <v>0</v>
      </c>
      <c r="AH40" s="91">
        <f t="shared" si="643"/>
        <v>0</v>
      </c>
      <c r="AW40" s="91">
        <f t="shared" si="644"/>
        <v>0</v>
      </c>
      <c r="AX40" s="91">
        <f t="shared" si="645"/>
        <v>0</v>
      </c>
      <c r="BM40" s="91">
        <f t="shared" si="646"/>
        <v>0</v>
      </c>
      <c r="BN40" s="91">
        <f t="shared" si="647"/>
        <v>0</v>
      </c>
      <c r="CC40" s="91">
        <f t="shared" si="648"/>
        <v>0</v>
      </c>
      <c r="CD40" s="91">
        <f t="shared" si="649"/>
        <v>0</v>
      </c>
      <c r="CG40" s="98">
        <v>336561.70643939427</v>
      </c>
      <c r="CH40" s="98">
        <v>33656170.643939428</v>
      </c>
      <c r="CS40" s="91">
        <f t="shared" si="650"/>
        <v>336561.70643939427</v>
      </c>
      <c r="CT40" s="91">
        <f t="shared" si="651"/>
        <v>33656170.643939428</v>
      </c>
      <c r="DI40" s="91">
        <f t="shared" si="652"/>
        <v>0</v>
      </c>
      <c r="DJ40" s="91">
        <f t="shared" si="653"/>
        <v>0</v>
      </c>
      <c r="DY40" s="91">
        <f t="shared" si="654"/>
        <v>0</v>
      </c>
      <c r="DZ40" s="91">
        <f t="shared" si="655"/>
        <v>0</v>
      </c>
      <c r="EO40" s="91">
        <f t="shared" si="656"/>
        <v>0</v>
      </c>
      <c r="EP40" s="91">
        <f t="shared" si="657"/>
        <v>0</v>
      </c>
      <c r="FE40" s="91">
        <f t="shared" si="658"/>
        <v>0</v>
      </c>
      <c r="FF40" s="91">
        <f t="shared" si="659"/>
        <v>0</v>
      </c>
      <c r="FU40" s="91">
        <f t="shared" si="660"/>
        <v>0</v>
      </c>
      <c r="FV40" s="91">
        <f t="shared" si="661"/>
        <v>0</v>
      </c>
      <c r="GK40" s="91">
        <f t="shared" si="662"/>
        <v>0</v>
      </c>
      <c r="GL40" s="91">
        <f t="shared" si="663"/>
        <v>0</v>
      </c>
      <c r="HA40" s="91">
        <f t="shared" si="664"/>
        <v>0</v>
      </c>
      <c r="HB40" s="91">
        <f t="shared" si="665"/>
        <v>0</v>
      </c>
      <c r="HQ40" s="91">
        <f t="shared" si="666"/>
        <v>0</v>
      </c>
      <c r="HR40" s="91">
        <f t="shared" si="667"/>
        <v>0</v>
      </c>
      <c r="IG40" s="91">
        <f t="shared" si="668"/>
        <v>0</v>
      </c>
      <c r="IH40" s="91">
        <f t="shared" si="669"/>
        <v>0</v>
      </c>
      <c r="IW40" s="91">
        <f t="shared" si="670"/>
        <v>0</v>
      </c>
      <c r="IX40" s="91">
        <f t="shared" si="671"/>
        <v>0</v>
      </c>
      <c r="JM40" s="91">
        <f t="shared" si="672"/>
        <v>0</v>
      </c>
      <c r="JN40" s="91">
        <f t="shared" si="673"/>
        <v>0</v>
      </c>
      <c r="KC40" s="91">
        <f t="shared" si="674"/>
        <v>0</v>
      </c>
      <c r="KD40" s="91">
        <f t="shared" si="675"/>
        <v>0</v>
      </c>
      <c r="KS40" s="91">
        <f t="shared" si="676"/>
        <v>0</v>
      </c>
      <c r="KT40" s="91">
        <f t="shared" si="677"/>
        <v>0</v>
      </c>
      <c r="KW40" s="98">
        <v>2635.93</v>
      </c>
      <c r="KX40" s="98">
        <v>237234</v>
      </c>
      <c r="LI40" s="91">
        <f t="shared" si="678"/>
        <v>2635.93</v>
      </c>
      <c r="LJ40" s="91">
        <f t="shared" si="679"/>
        <v>237234</v>
      </c>
      <c r="LY40" s="91">
        <f t="shared" si="680"/>
        <v>0</v>
      </c>
      <c r="LZ40" s="91">
        <f t="shared" si="681"/>
        <v>0</v>
      </c>
      <c r="MO40" s="91">
        <f t="shared" si="682"/>
        <v>0</v>
      </c>
      <c r="MP40" s="91">
        <f t="shared" si="683"/>
        <v>0</v>
      </c>
      <c r="MS40" s="98">
        <v>1200</v>
      </c>
      <c r="MT40" s="98">
        <v>96000</v>
      </c>
      <c r="NE40" s="91">
        <f t="shared" si="684"/>
        <v>1200</v>
      </c>
      <c r="NF40" s="91">
        <f t="shared" si="685"/>
        <v>96000</v>
      </c>
      <c r="NI40" s="98">
        <v>233100</v>
      </c>
      <c r="NJ40" s="98">
        <v>20979000</v>
      </c>
      <c r="NU40" s="91">
        <f t="shared" si="686"/>
        <v>233100</v>
      </c>
      <c r="NV40" s="91">
        <f t="shared" si="687"/>
        <v>20979000</v>
      </c>
      <c r="NY40" s="98">
        <v>42</v>
      </c>
      <c r="NZ40" s="98">
        <v>6300</v>
      </c>
      <c r="OK40" s="91">
        <f t="shared" si="688"/>
        <v>42</v>
      </c>
      <c r="OL40" s="91">
        <f t="shared" si="689"/>
        <v>6300</v>
      </c>
      <c r="PA40" s="91">
        <f t="shared" si="690"/>
        <v>0</v>
      </c>
      <c r="PB40" s="91">
        <f t="shared" si="691"/>
        <v>0</v>
      </c>
      <c r="PQ40" s="91">
        <f t="shared" si="692"/>
        <v>0</v>
      </c>
      <c r="PR40" s="91">
        <f t="shared" si="693"/>
        <v>0</v>
      </c>
      <c r="QG40" s="91">
        <f t="shared" si="694"/>
        <v>0</v>
      </c>
      <c r="QH40" s="91">
        <f t="shared" si="695"/>
        <v>0</v>
      </c>
      <c r="QW40" s="91">
        <f t="shared" si="696"/>
        <v>0</v>
      </c>
      <c r="QX40" s="91">
        <f t="shared" si="697"/>
        <v>0</v>
      </c>
      <c r="RM40" s="91">
        <f t="shared" si="698"/>
        <v>0</v>
      </c>
      <c r="RN40" s="91">
        <f t="shared" si="699"/>
        <v>0</v>
      </c>
      <c r="SC40" s="91">
        <f t="shared" si="700"/>
        <v>0</v>
      </c>
      <c r="SD40" s="91">
        <f t="shared" si="701"/>
        <v>0</v>
      </c>
      <c r="SS40" s="91">
        <f t="shared" si="702"/>
        <v>0</v>
      </c>
      <c r="ST40" s="91">
        <f t="shared" si="703"/>
        <v>0</v>
      </c>
      <c r="TI40" s="91">
        <f t="shared" si="704"/>
        <v>0</v>
      </c>
      <c r="TJ40" s="91">
        <f t="shared" si="705"/>
        <v>0</v>
      </c>
      <c r="TY40" s="91">
        <f t="shared" si="706"/>
        <v>0</v>
      </c>
      <c r="TZ40" s="91">
        <f t="shared" si="707"/>
        <v>0</v>
      </c>
      <c r="UO40" s="91">
        <f t="shared" si="708"/>
        <v>0</v>
      </c>
      <c r="UP40" s="91">
        <f t="shared" si="764"/>
        <v>0</v>
      </c>
      <c r="VE40" s="91">
        <f t="shared" si="709"/>
        <v>0</v>
      </c>
      <c r="VF40" s="91">
        <f t="shared" si="710"/>
        <v>0</v>
      </c>
      <c r="VI40" s="98">
        <v>95.7</v>
      </c>
      <c r="VJ40" s="98">
        <v>6220.5000000000009</v>
      </c>
      <c r="VU40" s="91">
        <f t="shared" si="711"/>
        <v>95.7</v>
      </c>
      <c r="VV40" s="91">
        <f t="shared" si="712"/>
        <v>6220.5000000000009</v>
      </c>
      <c r="VY40" s="98">
        <v>17418</v>
      </c>
      <c r="VZ40" s="98">
        <v>1567620</v>
      </c>
      <c r="WK40" s="91">
        <f t="shared" si="713"/>
        <v>17418</v>
      </c>
      <c r="WL40" s="91">
        <f t="shared" si="714"/>
        <v>1567620</v>
      </c>
      <c r="WM40" s="89"/>
      <c r="WN40" s="87">
        <f t="shared" si="770"/>
        <v>0</v>
      </c>
      <c r="WO40" s="87">
        <f t="shared" si="771"/>
        <v>0</v>
      </c>
      <c r="WP40" s="87">
        <f t="shared" si="772"/>
        <v>598953.33643939416</v>
      </c>
      <c r="WQ40" s="87">
        <f t="shared" si="773"/>
        <v>57575545.143939428</v>
      </c>
      <c r="WR40" s="87">
        <f t="shared" si="719"/>
        <v>0</v>
      </c>
      <c r="WS40" s="87">
        <f t="shared" si="720"/>
        <v>0</v>
      </c>
      <c r="WT40" s="87">
        <f t="shared" si="774"/>
        <v>0</v>
      </c>
      <c r="WU40" s="87">
        <f t="shared" si="775"/>
        <v>0</v>
      </c>
      <c r="WV40" s="87">
        <f t="shared" si="776"/>
        <v>0</v>
      </c>
      <c r="WW40" s="87">
        <f t="shared" si="777"/>
        <v>0</v>
      </c>
      <c r="WX40" s="87">
        <f t="shared" si="778"/>
        <v>0</v>
      </c>
      <c r="WY40" s="87">
        <f t="shared" si="779"/>
        <v>0</v>
      </c>
      <c r="WZ40" s="87">
        <f t="shared" si="780"/>
        <v>0</v>
      </c>
      <c r="XA40" s="87">
        <f t="shared" si="781"/>
        <v>0</v>
      </c>
      <c r="XB40" s="92">
        <f t="shared" si="729"/>
        <v>598953.33643939416</v>
      </c>
      <c r="XC40" s="92">
        <f t="shared" si="730"/>
        <v>57575545.143939428</v>
      </c>
      <c r="XD40" s="89"/>
      <c r="XE40" s="92">
        <f t="shared" si="638"/>
        <v>2234252.896439394</v>
      </c>
      <c r="XF40" s="92">
        <f t="shared" si="639"/>
        <v>197927804.14393944</v>
      </c>
      <c r="XG40" s="89"/>
      <c r="XH40" s="92">
        <f t="shared" ref="XH40:XI40" si="785">SUM(XE40,XE78)</f>
        <v>3638904.1094658864</v>
      </c>
      <c r="XI40" s="92">
        <f t="shared" si="785"/>
        <v>330796166.4465887</v>
      </c>
      <c r="XJ40" s="89"/>
      <c r="XK40" s="87">
        <f t="shared" si="732"/>
        <v>0</v>
      </c>
      <c r="XL40" s="87">
        <f t="shared" si="733"/>
        <v>7148560.528956959</v>
      </c>
      <c r="XM40" s="87">
        <f t="shared" si="734"/>
        <v>0</v>
      </c>
      <c r="XN40" s="87">
        <f t="shared" si="735"/>
        <v>0</v>
      </c>
      <c r="XO40" s="87">
        <f t="shared" si="736"/>
        <v>0</v>
      </c>
      <c r="XP40" s="87">
        <f t="shared" si="737"/>
        <v>0</v>
      </c>
      <c r="XQ40" s="87">
        <f t="shared" si="738"/>
        <v>0</v>
      </c>
      <c r="XR40" s="92">
        <f t="shared" si="739"/>
        <v>7148560.528956959</v>
      </c>
      <c r="XS40" s="89"/>
      <c r="XT40" s="87">
        <f t="shared" si="740"/>
        <v>0</v>
      </c>
      <c r="XU40" s="87">
        <f t="shared" si="741"/>
        <v>649707624.78971636</v>
      </c>
      <c r="XV40" s="87">
        <f t="shared" si="742"/>
        <v>0</v>
      </c>
      <c r="XW40" s="87">
        <f t="shared" si="743"/>
        <v>0</v>
      </c>
      <c r="XX40" s="87">
        <f t="shared" si="744"/>
        <v>0</v>
      </c>
      <c r="XY40" s="87">
        <f t="shared" si="745"/>
        <v>0</v>
      </c>
      <c r="XZ40" s="87">
        <f t="shared" si="746"/>
        <v>0</v>
      </c>
      <c r="YA40" s="92">
        <f t="shared" si="747"/>
        <v>649707624.78971636</v>
      </c>
      <c r="YB40" s="90"/>
      <c r="YC40" s="90"/>
      <c r="YD40" s="90"/>
      <c r="YE40" s="90"/>
      <c r="YF40" s="90"/>
      <c r="YG40" s="90"/>
      <c r="YH40" s="90"/>
      <c r="YI40" s="90"/>
      <c r="YJ40" s="90"/>
      <c r="YK40" s="90"/>
      <c r="YL40" s="90"/>
      <c r="YM40" s="90"/>
      <c r="YN40" s="90"/>
      <c r="YO40" s="90"/>
      <c r="YP40" s="90"/>
      <c r="YQ40" s="90"/>
      <c r="YR40" s="90"/>
      <c r="YS40" s="90"/>
      <c r="YT40" s="90"/>
      <c r="YU40" s="90"/>
      <c r="YV40" s="90"/>
      <c r="YW40" s="90"/>
      <c r="YX40" s="90"/>
      <c r="YY40" s="90"/>
      <c r="YZ40" s="90"/>
      <c r="ZA40" s="90"/>
      <c r="ZB40" s="90"/>
      <c r="ZC40" s="90"/>
      <c r="ZD40" s="90"/>
      <c r="ZE40" s="90"/>
      <c r="ZF40" s="90"/>
      <c r="ZG40" s="90"/>
      <c r="ZH40" s="90"/>
      <c r="ZI40" s="90"/>
      <c r="ZJ40" s="90"/>
      <c r="ZK40" s="90"/>
      <c r="ZL40" s="90"/>
      <c r="ZM40" s="90"/>
      <c r="ZN40" s="90"/>
      <c r="ZO40" s="90"/>
      <c r="ZP40" s="90"/>
      <c r="ZQ40" s="90"/>
      <c r="ZR40" s="90"/>
      <c r="ZS40" s="90"/>
      <c r="ZT40" s="90"/>
      <c r="ZU40" s="90"/>
      <c r="ZV40" s="90"/>
      <c r="ZW40" s="90"/>
      <c r="ZX40" s="90"/>
      <c r="ZY40" s="90"/>
      <c r="ZZ40" s="90"/>
      <c r="AAA40" s="90"/>
      <c r="AAB40" s="90"/>
      <c r="AAC40" s="90"/>
      <c r="AAD40" s="90"/>
      <c r="AAE40" s="90"/>
      <c r="AAF40" s="90"/>
      <c r="AAG40" s="90"/>
      <c r="AAH40" s="90"/>
      <c r="AAI40" s="90"/>
      <c r="AAJ40" s="90"/>
      <c r="AAK40" s="90"/>
      <c r="AAL40" s="90"/>
      <c r="AAM40" s="90"/>
      <c r="AAN40" s="90"/>
      <c r="AAO40" s="90"/>
      <c r="AAP40" s="90"/>
      <c r="AAQ40" s="90"/>
      <c r="AAR40" s="90"/>
      <c r="AAS40" s="90"/>
      <c r="AAT40" s="90"/>
      <c r="AAU40" s="90"/>
      <c r="AAV40" s="90"/>
      <c r="AAW40" s="90"/>
      <c r="AAX40" s="90"/>
      <c r="AAY40" s="90"/>
      <c r="AAZ40" s="90"/>
      <c r="ABA40" s="90"/>
      <c r="ABB40" s="90"/>
      <c r="ABC40" s="90"/>
      <c r="ABD40" s="90"/>
      <c r="ABE40" s="90"/>
      <c r="ABF40" s="90"/>
      <c r="ABG40" s="90"/>
      <c r="ABH40" s="90"/>
      <c r="ABI40" s="90"/>
      <c r="ABJ40" s="90"/>
      <c r="ABK40" s="90"/>
      <c r="ABL40" s="90"/>
      <c r="ABM40" s="90"/>
      <c r="ABN40" s="90"/>
      <c r="ABO40" s="90"/>
      <c r="ABP40" s="90"/>
      <c r="ABQ40" s="90"/>
      <c r="ABR40" s="90"/>
      <c r="ABS40" s="90"/>
      <c r="ABT40" s="90"/>
      <c r="ABU40" s="90"/>
      <c r="ABV40" s="90"/>
      <c r="ABW40" s="90"/>
      <c r="ABX40" s="90"/>
      <c r="ABY40" s="90"/>
      <c r="ABZ40" s="90"/>
      <c r="ACA40" s="90"/>
      <c r="ACB40" s="90"/>
      <c r="ACC40" s="90"/>
      <c r="ACD40" s="90"/>
      <c r="ACE40" s="90"/>
      <c r="ACF40" s="90"/>
      <c r="ACG40" s="90"/>
      <c r="ACH40" s="90"/>
      <c r="ACI40" s="90"/>
      <c r="ACJ40" s="90"/>
      <c r="ACK40" s="90"/>
      <c r="ACL40" s="90"/>
      <c r="ACM40" s="90"/>
      <c r="ACN40" s="90"/>
      <c r="ACO40" s="90"/>
      <c r="ACP40" s="90"/>
      <c r="ACQ40" s="90"/>
      <c r="ACR40" s="90"/>
      <c r="ACS40" s="90"/>
      <c r="ACT40" s="90"/>
      <c r="ACU40" s="90"/>
      <c r="ACV40" s="90"/>
      <c r="ACW40" s="90"/>
      <c r="ACX40" s="90"/>
      <c r="ACY40" s="90"/>
      <c r="ACZ40" s="90"/>
      <c r="ADA40" s="90"/>
      <c r="ADB40" s="90"/>
      <c r="ADC40" s="90"/>
      <c r="ADD40" s="90"/>
      <c r="ADE40" s="90"/>
      <c r="ADF40" s="90"/>
      <c r="ADG40" s="90"/>
      <c r="ADH40" s="90"/>
      <c r="ADI40" s="90"/>
      <c r="ADJ40" s="90"/>
      <c r="ADK40" s="90"/>
      <c r="ADL40" s="90"/>
      <c r="ADM40" s="90"/>
      <c r="ADN40" s="90"/>
      <c r="ADO40" s="90"/>
      <c r="ADP40" s="90"/>
      <c r="ADQ40" s="90"/>
      <c r="ADR40" s="90"/>
      <c r="ADS40" s="90"/>
      <c r="ADT40" s="90"/>
      <c r="ADU40" s="90"/>
      <c r="ADV40" s="90"/>
      <c r="ADW40" s="90"/>
      <c r="ADX40" s="90"/>
      <c r="ADY40" s="90"/>
      <c r="ADZ40" s="90"/>
      <c r="AEA40" s="90"/>
      <c r="AEB40" s="90"/>
      <c r="AEC40" s="90"/>
      <c r="AED40" s="90"/>
      <c r="AEE40" s="90"/>
      <c r="AEF40" s="90"/>
      <c r="AEG40" s="90"/>
      <c r="AEH40" s="90"/>
      <c r="AEI40" s="90"/>
      <c r="AEJ40" s="90"/>
      <c r="AEK40" s="90"/>
      <c r="AEL40" s="90"/>
      <c r="AEM40" s="90"/>
      <c r="AEN40" s="90"/>
      <c r="AEO40" s="90"/>
      <c r="AEP40" s="90"/>
      <c r="AEQ40" s="90"/>
      <c r="AER40" s="90"/>
      <c r="AES40" s="90"/>
      <c r="AET40" s="90"/>
      <c r="AEU40" s="90"/>
      <c r="AEV40" s="90"/>
      <c r="AEW40" s="90"/>
      <c r="AEX40" s="90"/>
      <c r="AEY40" s="90"/>
      <c r="AEZ40" s="90"/>
      <c r="AFA40" s="90"/>
      <c r="AFB40" s="90"/>
      <c r="AFC40" s="90"/>
      <c r="AFD40" s="90"/>
      <c r="AFE40" s="90"/>
      <c r="AFF40" s="90"/>
      <c r="AFG40" s="90"/>
      <c r="AFH40" s="90"/>
      <c r="AFI40" s="90"/>
      <c r="AFJ40" s="90"/>
      <c r="AFK40" s="90"/>
      <c r="AFL40" s="90"/>
      <c r="AFM40" s="90"/>
      <c r="AFN40" s="90"/>
      <c r="AFO40" s="90"/>
      <c r="AFP40" s="90"/>
      <c r="AFQ40" s="90"/>
      <c r="AFR40" s="90"/>
      <c r="AFS40" s="90"/>
      <c r="AFT40" s="90"/>
      <c r="AFU40" s="90"/>
      <c r="AFV40" s="90"/>
      <c r="AFW40" s="90"/>
      <c r="AFX40" s="90"/>
      <c r="AFY40" s="90"/>
      <c r="AFZ40" s="90"/>
      <c r="AGA40" s="90"/>
      <c r="AGB40" s="90"/>
      <c r="AGC40" s="90"/>
      <c r="AGD40" s="90"/>
      <c r="AGE40" s="90"/>
      <c r="AGF40" s="90"/>
      <c r="AGG40" s="90"/>
      <c r="AGH40" s="90"/>
      <c r="AGI40" s="90"/>
      <c r="AGJ40" s="90"/>
      <c r="AGK40" s="90"/>
      <c r="AGL40" s="90"/>
      <c r="AGM40" s="90"/>
      <c r="AGN40" s="90"/>
      <c r="AGO40" s="90"/>
      <c r="AGP40" s="90"/>
      <c r="AGQ40" s="90"/>
      <c r="AGR40" s="90"/>
      <c r="AGS40" s="90"/>
      <c r="AGT40" s="90"/>
      <c r="AGU40" s="90"/>
      <c r="AGV40" s="90"/>
      <c r="AGW40" s="90"/>
      <c r="AGX40" s="90"/>
      <c r="AGY40" s="90"/>
      <c r="AGZ40" s="90"/>
      <c r="AHA40" s="90"/>
      <c r="AHB40" s="90"/>
      <c r="AHC40" s="90"/>
      <c r="AHD40" s="90"/>
      <c r="AHE40" s="90"/>
      <c r="AHF40" s="90"/>
      <c r="AHG40" s="90"/>
      <c r="AHH40" s="90"/>
      <c r="AHI40" s="90"/>
      <c r="AHJ40" s="90"/>
      <c r="AHK40" s="90"/>
      <c r="AHL40" s="90"/>
      <c r="AHM40" s="90"/>
      <c r="AHN40" s="90"/>
      <c r="AHO40" s="90"/>
      <c r="AHP40" s="90"/>
      <c r="AHQ40" s="90"/>
      <c r="AHR40" s="90"/>
      <c r="AHS40" s="90"/>
      <c r="AHT40" s="90"/>
      <c r="AHU40" s="90"/>
      <c r="AHV40" s="90"/>
      <c r="AHW40" s="90"/>
      <c r="AHX40" s="90"/>
      <c r="AHY40" s="90"/>
      <c r="AHZ40" s="90"/>
      <c r="AIA40" s="90"/>
      <c r="AIB40" s="90"/>
      <c r="AIC40" s="90"/>
      <c r="AID40" s="90"/>
      <c r="AIE40" s="90"/>
      <c r="AIF40" s="90"/>
      <c r="AIG40" s="90"/>
      <c r="AIH40" s="90"/>
      <c r="AII40" s="90"/>
      <c r="AIJ40" s="90"/>
      <c r="AIK40" s="90"/>
      <c r="AIL40" s="90"/>
      <c r="AIM40" s="90"/>
      <c r="AIN40" s="90"/>
      <c r="AIO40" s="90"/>
      <c r="AIP40" s="90"/>
      <c r="AIQ40" s="90"/>
      <c r="AIR40" s="90"/>
      <c r="AIS40" s="90"/>
      <c r="AIT40" s="90"/>
      <c r="AIU40" s="90"/>
      <c r="AIV40" s="90"/>
      <c r="AIW40" s="90"/>
      <c r="AIX40" s="90"/>
      <c r="AIY40" s="90"/>
      <c r="AIZ40" s="90"/>
      <c r="AJA40" s="90"/>
      <c r="AJB40" s="90"/>
      <c r="AJC40" s="90"/>
      <c r="AJD40" s="90"/>
      <c r="AJE40" s="90"/>
      <c r="AJF40" s="90"/>
      <c r="AJG40" s="90"/>
      <c r="AJH40" s="90"/>
      <c r="AJI40" s="90"/>
      <c r="AJJ40" s="90"/>
      <c r="AJK40" s="90"/>
      <c r="AJL40" s="90"/>
      <c r="AJM40" s="90"/>
      <c r="AJN40" s="90"/>
      <c r="AJO40" s="90"/>
      <c r="AJP40" s="90"/>
      <c r="AJQ40" s="90"/>
      <c r="AJR40" s="90"/>
      <c r="AJS40" s="90"/>
      <c r="AJT40" s="90"/>
      <c r="AJU40" s="90"/>
      <c r="AJV40" s="90"/>
      <c r="AJW40" s="90"/>
      <c r="AJX40" s="90"/>
      <c r="AJY40" s="90"/>
      <c r="AJZ40" s="90"/>
      <c r="AKA40" s="90"/>
      <c r="AKB40" s="90"/>
      <c r="AKC40" s="90"/>
      <c r="AKD40" s="90"/>
      <c r="AKE40" s="90"/>
      <c r="AKF40" s="90"/>
      <c r="AKG40" s="90"/>
      <c r="AKH40" s="90"/>
      <c r="AKI40" s="90"/>
      <c r="AKJ40" s="90"/>
      <c r="AKK40" s="90"/>
      <c r="AKL40" s="90"/>
      <c r="AKM40" s="90"/>
      <c r="AKN40" s="90"/>
      <c r="AKO40" s="90"/>
      <c r="AKP40" s="90"/>
      <c r="AKQ40" s="90"/>
      <c r="AKR40" s="90"/>
      <c r="AKS40" s="90"/>
      <c r="AKT40" s="90"/>
      <c r="AKU40" s="90"/>
      <c r="AKV40" s="90"/>
      <c r="AKW40" s="90"/>
      <c r="AKX40" s="90"/>
      <c r="AKY40" s="90"/>
      <c r="AKZ40" s="90"/>
      <c r="ALA40" s="90"/>
      <c r="ALB40" s="90"/>
      <c r="ALC40" s="90"/>
      <c r="ALD40" s="90"/>
      <c r="ALE40" s="90"/>
      <c r="ALF40" s="90"/>
      <c r="ALG40" s="90"/>
      <c r="ALH40" s="90"/>
      <c r="ALI40" s="90"/>
      <c r="ALJ40" s="90"/>
      <c r="ALK40" s="90"/>
      <c r="ALL40" s="90"/>
      <c r="ALM40" s="90"/>
      <c r="ALN40" s="90"/>
      <c r="ALO40" s="90"/>
      <c r="ALP40" s="90"/>
      <c r="ALQ40" s="90"/>
      <c r="ALR40" s="90"/>
      <c r="ALS40" s="90"/>
      <c r="ALT40" s="90"/>
      <c r="ALU40" s="90"/>
      <c r="ALV40" s="90"/>
      <c r="ALW40" s="90"/>
      <c r="ALX40" s="90"/>
      <c r="ALY40" s="90"/>
      <c r="ALZ40" s="90"/>
      <c r="AMA40" s="90"/>
      <c r="AMB40" s="90"/>
      <c r="AMC40" s="90"/>
    </row>
    <row r="41" spans="1:1017">
      <c r="A41" s="98" t="s">
        <v>25</v>
      </c>
      <c r="B41" s="775" t="s">
        <v>668</v>
      </c>
      <c r="E41" s="98">
        <v>15000</v>
      </c>
      <c r="F41" s="98">
        <v>600000</v>
      </c>
      <c r="Q41" s="91">
        <f t="shared" si="640"/>
        <v>15000</v>
      </c>
      <c r="R41" s="91">
        <f t="shared" si="641"/>
        <v>600000</v>
      </c>
      <c r="AG41" s="91">
        <f t="shared" si="642"/>
        <v>0</v>
      </c>
      <c r="AH41" s="91">
        <f t="shared" si="643"/>
        <v>0</v>
      </c>
      <c r="AW41" s="91">
        <f t="shared" si="644"/>
        <v>0</v>
      </c>
      <c r="AX41" s="91">
        <f t="shared" si="645"/>
        <v>0</v>
      </c>
      <c r="BM41" s="91">
        <f t="shared" si="646"/>
        <v>0</v>
      </c>
      <c r="BN41" s="91">
        <f t="shared" si="647"/>
        <v>0</v>
      </c>
      <c r="CC41" s="91">
        <f t="shared" si="648"/>
        <v>0</v>
      </c>
      <c r="CD41" s="91">
        <f t="shared" si="649"/>
        <v>0</v>
      </c>
      <c r="CS41" s="91">
        <f t="shared" si="650"/>
        <v>0</v>
      </c>
      <c r="CT41" s="91">
        <f t="shared" si="651"/>
        <v>0</v>
      </c>
      <c r="DI41" s="91">
        <f t="shared" si="652"/>
        <v>0</v>
      </c>
      <c r="DJ41" s="91">
        <f t="shared" si="653"/>
        <v>0</v>
      </c>
      <c r="DY41" s="91">
        <f t="shared" si="654"/>
        <v>0</v>
      </c>
      <c r="DZ41" s="91">
        <f t="shared" si="655"/>
        <v>0</v>
      </c>
      <c r="EO41" s="91">
        <f t="shared" si="656"/>
        <v>0</v>
      </c>
      <c r="EP41" s="91">
        <f t="shared" si="657"/>
        <v>0</v>
      </c>
      <c r="FE41" s="91">
        <f t="shared" si="658"/>
        <v>0</v>
      </c>
      <c r="FF41" s="91">
        <f t="shared" si="659"/>
        <v>0</v>
      </c>
      <c r="FU41" s="91">
        <f t="shared" si="660"/>
        <v>0</v>
      </c>
      <c r="FV41" s="91">
        <f t="shared" si="661"/>
        <v>0</v>
      </c>
      <c r="GK41" s="91">
        <f t="shared" si="662"/>
        <v>0</v>
      </c>
      <c r="GL41" s="91">
        <f t="shared" si="663"/>
        <v>0</v>
      </c>
      <c r="HA41" s="91">
        <f t="shared" si="664"/>
        <v>0</v>
      </c>
      <c r="HB41" s="91">
        <f t="shared" si="665"/>
        <v>0</v>
      </c>
      <c r="HQ41" s="91">
        <f t="shared" si="666"/>
        <v>0</v>
      </c>
      <c r="HR41" s="91">
        <f t="shared" si="667"/>
        <v>0</v>
      </c>
      <c r="IG41" s="91">
        <f t="shared" si="668"/>
        <v>0</v>
      </c>
      <c r="IH41" s="91">
        <f t="shared" si="669"/>
        <v>0</v>
      </c>
      <c r="IW41" s="91">
        <f t="shared" si="670"/>
        <v>0</v>
      </c>
      <c r="IX41" s="91">
        <f t="shared" si="671"/>
        <v>0</v>
      </c>
      <c r="JM41" s="91">
        <f t="shared" si="672"/>
        <v>0</v>
      </c>
      <c r="JN41" s="91">
        <f t="shared" si="673"/>
        <v>0</v>
      </c>
      <c r="KC41" s="91">
        <f t="shared" si="674"/>
        <v>0</v>
      </c>
      <c r="KD41" s="91">
        <f t="shared" si="675"/>
        <v>0</v>
      </c>
      <c r="KS41" s="91">
        <f t="shared" si="676"/>
        <v>0</v>
      </c>
      <c r="KT41" s="91">
        <f t="shared" si="677"/>
        <v>0</v>
      </c>
      <c r="LI41" s="91">
        <f t="shared" si="678"/>
        <v>0</v>
      </c>
      <c r="LJ41" s="91">
        <f t="shared" si="679"/>
        <v>0</v>
      </c>
      <c r="LY41" s="91">
        <f t="shared" si="680"/>
        <v>0</v>
      </c>
      <c r="LZ41" s="91">
        <f t="shared" si="681"/>
        <v>0</v>
      </c>
      <c r="MC41" s="98">
        <v>9900</v>
      </c>
      <c r="MD41" s="98">
        <v>396000</v>
      </c>
      <c r="MO41" s="91">
        <f t="shared" si="682"/>
        <v>9900</v>
      </c>
      <c r="MP41" s="91">
        <f t="shared" si="683"/>
        <v>396000</v>
      </c>
      <c r="NE41" s="91">
        <f t="shared" si="684"/>
        <v>0</v>
      </c>
      <c r="NF41" s="91">
        <f t="shared" si="685"/>
        <v>0</v>
      </c>
      <c r="NI41" s="98">
        <v>38000</v>
      </c>
      <c r="NJ41" s="98">
        <v>1710000</v>
      </c>
      <c r="NU41" s="91">
        <f t="shared" si="686"/>
        <v>38000</v>
      </c>
      <c r="NV41" s="91">
        <f t="shared" si="687"/>
        <v>1710000</v>
      </c>
      <c r="OK41" s="91">
        <f t="shared" si="688"/>
        <v>0</v>
      </c>
      <c r="OL41" s="91">
        <f t="shared" si="689"/>
        <v>0</v>
      </c>
      <c r="PA41" s="91">
        <f t="shared" si="690"/>
        <v>0</v>
      </c>
      <c r="PB41" s="91">
        <f t="shared" si="691"/>
        <v>0</v>
      </c>
      <c r="PQ41" s="91">
        <f t="shared" si="692"/>
        <v>0</v>
      </c>
      <c r="PR41" s="91">
        <f t="shared" si="693"/>
        <v>0</v>
      </c>
      <c r="QG41" s="91">
        <f t="shared" si="694"/>
        <v>0</v>
      </c>
      <c r="QH41" s="91">
        <f t="shared" si="695"/>
        <v>0</v>
      </c>
      <c r="QW41" s="91">
        <f t="shared" si="696"/>
        <v>0</v>
      </c>
      <c r="QX41" s="91">
        <f t="shared" si="697"/>
        <v>0</v>
      </c>
      <c r="RM41" s="91">
        <f t="shared" si="698"/>
        <v>0</v>
      </c>
      <c r="RN41" s="91">
        <f t="shared" si="699"/>
        <v>0</v>
      </c>
      <c r="SC41" s="91">
        <f t="shared" si="700"/>
        <v>0</v>
      </c>
      <c r="SD41" s="91">
        <f t="shared" si="701"/>
        <v>0</v>
      </c>
      <c r="SS41" s="91">
        <f t="shared" si="702"/>
        <v>0</v>
      </c>
      <c r="ST41" s="91">
        <f t="shared" si="703"/>
        <v>0</v>
      </c>
      <c r="TI41" s="91">
        <f t="shared" si="704"/>
        <v>0</v>
      </c>
      <c r="TJ41" s="91">
        <f t="shared" si="705"/>
        <v>0</v>
      </c>
      <c r="TY41" s="91">
        <f t="shared" si="706"/>
        <v>0</v>
      </c>
      <c r="TZ41" s="91">
        <f t="shared" si="707"/>
        <v>0</v>
      </c>
      <c r="UO41" s="91">
        <f t="shared" si="708"/>
        <v>0</v>
      </c>
      <c r="UP41" s="91">
        <f t="shared" si="764"/>
        <v>0</v>
      </c>
      <c r="VE41" s="91">
        <f t="shared" si="709"/>
        <v>0</v>
      </c>
      <c r="VF41" s="91">
        <f t="shared" si="710"/>
        <v>0</v>
      </c>
      <c r="VU41" s="91">
        <f t="shared" si="711"/>
        <v>0</v>
      </c>
      <c r="VV41" s="91">
        <f t="shared" si="712"/>
        <v>0</v>
      </c>
      <c r="WK41" s="91">
        <f t="shared" si="713"/>
        <v>0</v>
      </c>
      <c r="WL41" s="91">
        <f t="shared" si="714"/>
        <v>0</v>
      </c>
      <c r="WM41" s="89"/>
      <c r="WN41" s="87">
        <f t="shared" si="770"/>
        <v>0</v>
      </c>
      <c r="WO41" s="87">
        <f t="shared" si="771"/>
        <v>0</v>
      </c>
      <c r="WP41" s="87">
        <f t="shared" si="772"/>
        <v>62900</v>
      </c>
      <c r="WQ41" s="87">
        <f t="shared" si="773"/>
        <v>2706000</v>
      </c>
      <c r="WR41" s="87">
        <f t="shared" si="719"/>
        <v>0</v>
      </c>
      <c r="WS41" s="87">
        <f t="shared" si="720"/>
        <v>0</v>
      </c>
      <c r="WT41" s="87">
        <f t="shared" si="774"/>
        <v>0</v>
      </c>
      <c r="WU41" s="87">
        <f t="shared" si="775"/>
        <v>0</v>
      </c>
      <c r="WV41" s="87">
        <f t="shared" si="776"/>
        <v>0</v>
      </c>
      <c r="WW41" s="87">
        <f t="shared" si="777"/>
        <v>0</v>
      </c>
      <c r="WX41" s="87">
        <f t="shared" si="778"/>
        <v>0</v>
      </c>
      <c r="WY41" s="87">
        <f t="shared" si="779"/>
        <v>0</v>
      </c>
      <c r="WZ41" s="87">
        <f t="shared" si="780"/>
        <v>0</v>
      </c>
      <c r="XA41" s="87">
        <f t="shared" si="781"/>
        <v>0</v>
      </c>
      <c r="XB41" s="92">
        <f t="shared" si="729"/>
        <v>62900</v>
      </c>
      <c r="XC41" s="92">
        <f t="shared" si="730"/>
        <v>2706000</v>
      </c>
      <c r="XD41" s="89"/>
      <c r="XE41" s="92">
        <f t="shared" ref="XE41:XE42" si="786">SUM(XB41,XB79,XB117)</f>
        <v>195800</v>
      </c>
      <c r="XF41" s="92">
        <f t="shared" ref="XF41:XF42" si="787">SUM(XC41,XC79,XC117)</f>
        <v>8317000</v>
      </c>
      <c r="XG41" s="89"/>
      <c r="XH41" s="92">
        <f t="shared" ref="XH41:XI41" si="788">SUM(XE41,XE79)</f>
        <v>490500</v>
      </c>
      <c r="XI41" s="92">
        <f t="shared" si="788"/>
        <v>20812500</v>
      </c>
      <c r="XJ41" s="89"/>
      <c r="XK41" s="87">
        <f t="shared" si="732"/>
        <v>0</v>
      </c>
      <c r="XL41" s="87">
        <f t="shared" si="733"/>
        <v>816631</v>
      </c>
      <c r="XM41" s="87">
        <f t="shared" si="734"/>
        <v>0</v>
      </c>
      <c r="XN41" s="87">
        <f t="shared" si="735"/>
        <v>0</v>
      </c>
      <c r="XO41" s="87">
        <f t="shared" si="736"/>
        <v>0</v>
      </c>
      <c r="XP41" s="87">
        <f t="shared" si="737"/>
        <v>0</v>
      </c>
      <c r="XQ41" s="87">
        <f t="shared" si="738"/>
        <v>0</v>
      </c>
      <c r="XR41" s="92">
        <f t="shared" si="739"/>
        <v>816631</v>
      </c>
      <c r="XS41" s="89"/>
      <c r="XT41" s="87">
        <f t="shared" si="740"/>
        <v>0</v>
      </c>
      <c r="XU41" s="87">
        <f t="shared" si="741"/>
        <v>34993745</v>
      </c>
      <c r="XV41" s="87">
        <f t="shared" si="742"/>
        <v>0</v>
      </c>
      <c r="XW41" s="87">
        <f t="shared" si="743"/>
        <v>0</v>
      </c>
      <c r="XX41" s="87">
        <f t="shared" si="744"/>
        <v>0</v>
      </c>
      <c r="XY41" s="87">
        <f t="shared" si="745"/>
        <v>0</v>
      </c>
      <c r="XZ41" s="87">
        <f t="shared" si="746"/>
        <v>0</v>
      </c>
      <c r="YA41" s="92">
        <f t="shared" si="747"/>
        <v>34993745</v>
      </c>
      <c r="YB41" s="90"/>
      <c r="YC41" s="90"/>
      <c r="YD41" s="90"/>
      <c r="YE41" s="90"/>
      <c r="YF41" s="90"/>
      <c r="YG41" s="90"/>
      <c r="YH41" s="90"/>
      <c r="YI41" s="90"/>
      <c r="YJ41" s="90"/>
      <c r="YK41" s="90"/>
      <c r="YL41" s="90"/>
      <c r="YM41" s="90"/>
      <c r="YN41" s="90"/>
      <c r="YO41" s="90"/>
      <c r="YP41" s="90"/>
      <c r="YQ41" s="90"/>
      <c r="YR41" s="90"/>
      <c r="YS41" s="90"/>
      <c r="YT41" s="90"/>
      <c r="YU41" s="90"/>
      <c r="YV41" s="90"/>
      <c r="YW41" s="90"/>
      <c r="YX41" s="90"/>
      <c r="YY41" s="90"/>
      <c r="YZ41" s="90"/>
      <c r="ZA41" s="90"/>
      <c r="ZB41" s="90"/>
      <c r="ZC41" s="90"/>
      <c r="ZD41" s="90"/>
      <c r="ZE41" s="90"/>
      <c r="ZF41" s="90"/>
      <c r="ZG41" s="90"/>
      <c r="ZH41" s="90"/>
      <c r="ZI41" s="90"/>
      <c r="ZJ41" s="90"/>
      <c r="ZK41" s="90"/>
      <c r="ZL41" s="90"/>
      <c r="ZM41" s="90"/>
      <c r="ZN41" s="90"/>
      <c r="ZO41" s="90"/>
      <c r="ZP41" s="90"/>
      <c r="ZQ41" s="90"/>
      <c r="ZR41" s="90"/>
      <c r="ZS41" s="90"/>
      <c r="ZT41" s="90"/>
      <c r="ZU41" s="90"/>
      <c r="ZV41" s="90"/>
      <c r="ZW41" s="90"/>
      <c r="ZX41" s="90"/>
      <c r="ZY41" s="90"/>
      <c r="ZZ41" s="90"/>
      <c r="AAA41" s="90"/>
      <c r="AAB41" s="90"/>
      <c r="AAC41" s="90"/>
      <c r="AAD41" s="90"/>
      <c r="AAE41" s="90"/>
      <c r="AAF41" s="90"/>
      <c r="AAG41" s="90"/>
      <c r="AAH41" s="90"/>
      <c r="AAI41" s="90"/>
      <c r="AAJ41" s="90"/>
      <c r="AAK41" s="90"/>
      <c r="AAL41" s="90"/>
      <c r="AAM41" s="90"/>
      <c r="AAN41" s="90"/>
      <c r="AAO41" s="90"/>
      <c r="AAP41" s="90"/>
      <c r="AAQ41" s="90"/>
      <c r="AAR41" s="90"/>
      <c r="AAS41" s="90"/>
      <c r="AAT41" s="90"/>
      <c r="AAU41" s="90"/>
      <c r="AAV41" s="90"/>
      <c r="AAW41" s="90"/>
      <c r="AAX41" s="90"/>
      <c r="AAY41" s="90"/>
      <c r="AAZ41" s="90"/>
      <c r="ABA41" s="90"/>
      <c r="ABB41" s="90"/>
      <c r="ABC41" s="90"/>
      <c r="ABD41" s="90"/>
      <c r="ABE41" s="90"/>
      <c r="ABF41" s="90"/>
      <c r="ABG41" s="90"/>
      <c r="ABH41" s="90"/>
      <c r="ABI41" s="90"/>
      <c r="ABJ41" s="90"/>
      <c r="ABK41" s="90"/>
      <c r="ABL41" s="90"/>
      <c r="ABM41" s="90"/>
      <c r="ABN41" s="90"/>
      <c r="ABO41" s="90"/>
      <c r="ABP41" s="90"/>
      <c r="ABQ41" s="90"/>
      <c r="ABR41" s="90"/>
      <c r="ABS41" s="90"/>
      <c r="ABT41" s="90"/>
      <c r="ABU41" s="90"/>
      <c r="ABV41" s="90"/>
      <c r="ABW41" s="90"/>
      <c r="ABX41" s="90"/>
      <c r="ABY41" s="90"/>
      <c r="ABZ41" s="90"/>
      <c r="ACA41" s="90"/>
      <c r="ACB41" s="90"/>
      <c r="ACC41" s="90"/>
      <c r="ACD41" s="90"/>
      <c r="ACE41" s="90"/>
      <c r="ACF41" s="90"/>
      <c r="ACG41" s="90"/>
      <c r="ACH41" s="90"/>
      <c r="ACI41" s="90"/>
      <c r="ACJ41" s="90"/>
      <c r="ACK41" s="90"/>
      <c r="ACL41" s="90"/>
      <c r="ACM41" s="90"/>
      <c r="ACN41" s="90"/>
      <c r="ACO41" s="90"/>
      <c r="ACP41" s="90"/>
      <c r="ACQ41" s="90"/>
      <c r="ACR41" s="90"/>
      <c r="ACS41" s="90"/>
      <c r="ACT41" s="90"/>
      <c r="ACU41" s="90"/>
      <c r="ACV41" s="90"/>
      <c r="ACW41" s="90"/>
      <c r="ACX41" s="90"/>
      <c r="ACY41" s="90"/>
      <c r="ACZ41" s="90"/>
      <c r="ADA41" s="90"/>
      <c r="ADB41" s="90"/>
      <c r="ADC41" s="90"/>
      <c r="ADD41" s="90"/>
      <c r="ADE41" s="90"/>
      <c r="ADF41" s="90"/>
      <c r="ADG41" s="90"/>
      <c r="ADH41" s="90"/>
      <c r="ADI41" s="90"/>
      <c r="ADJ41" s="90"/>
      <c r="ADK41" s="90"/>
      <c r="ADL41" s="90"/>
      <c r="ADM41" s="90"/>
      <c r="ADN41" s="90"/>
      <c r="ADO41" s="90"/>
      <c r="ADP41" s="90"/>
      <c r="ADQ41" s="90"/>
      <c r="ADR41" s="90"/>
      <c r="ADS41" s="90"/>
      <c r="ADT41" s="90"/>
      <c r="ADU41" s="90"/>
      <c r="ADV41" s="90"/>
      <c r="ADW41" s="90"/>
      <c r="ADX41" s="90"/>
      <c r="ADY41" s="90"/>
      <c r="ADZ41" s="90"/>
      <c r="AEA41" s="90"/>
      <c r="AEB41" s="90"/>
      <c r="AEC41" s="90"/>
      <c r="AED41" s="90"/>
      <c r="AEE41" s="90"/>
      <c r="AEF41" s="90"/>
      <c r="AEG41" s="90"/>
      <c r="AEH41" s="90"/>
      <c r="AEI41" s="90"/>
      <c r="AEJ41" s="90"/>
      <c r="AEK41" s="90"/>
      <c r="AEL41" s="90"/>
      <c r="AEM41" s="90"/>
      <c r="AEN41" s="90"/>
      <c r="AEO41" s="90"/>
      <c r="AEP41" s="90"/>
      <c r="AEQ41" s="90"/>
      <c r="AER41" s="90"/>
      <c r="AES41" s="90"/>
      <c r="AET41" s="90"/>
      <c r="AEU41" s="90"/>
      <c r="AEV41" s="90"/>
      <c r="AEW41" s="90"/>
      <c r="AEX41" s="90"/>
      <c r="AEY41" s="90"/>
      <c r="AEZ41" s="90"/>
      <c r="AFA41" s="90"/>
      <c r="AFB41" s="90"/>
      <c r="AFC41" s="90"/>
      <c r="AFD41" s="90"/>
      <c r="AFE41" s="90"/>
      <c r="AFF41" s="90"/>
      <c r="AFG41" s="90"/>
      <c r="AFH41" s="90"/>
      <c r="AFI41" s="90"/>
      <c r="AFJ41" s="90"/>
      <c r="AFK41" s="90"/>
      <c r="AFL41" s="90"/>
      <c r="AFM41" s="90"/>
      <c r="AFN41" s="90"/>
      <c r="AFO41" s="90"/>
      <c r="AFP41" s="90"/>
      <c r="AFQ41" s="90"/>
      <c r="AFR41" s="90"/>
      <c r="AFS41" s="90"/>
      <c r="AFT41" s="90"/>
      <c r="AFU41" s="90"/>
      <c r="AFV41" s="90"/>
      <c r="AFW41" s="90"/>
      <c r="AFX41" s="90"/>
      <c r="AFY41" s="90"/>
      <c r="AFZ41" s="90"/>
      <c r="AGA41" s="90"/>
      <c r="AGB41" s="90"/>
      <c r="AGC41" s="90"/>
      <c r="AGD41" s="90"/>
      <c r="AGE41" s="90"/>
      <c r="AGF41" s="90"/>
      <c r="AGG41" s="90"/>
      <c r="AGH41" s="90"/>
      <c r="AGI41" s="90"/>
      <c r="AGJ41" s="90"/>
      <c r="AGK41" s="90"/>
      <c r="AGL41" s="90"/>
      <c r="AGM41" s="90"/>
      <c r="AGN41" s="90"/>
      <c r="AGO41" s="90"/>
      <c r="AGP41" s="90"/>
      <c r="AGQ41" s="90"/>
      <c r="AGR41" s="90"/>
      <c r="AGS41" s="90"/>
      <c r="AGT41" s="90"/>
      <c r="AGU41" s="90"/>
      <c r="AGV41" s="90"/>
      <c r="AGW41" s="90"/>
      <c r="AGX41" s="90"/>
      <c r="AGY41" s="90"/>
      <c r="AGZ41" s="90"/>
      <c r="AHA41" s="90"/>
      <c r="AHB41" s="90"/>
      <c r="AHC41" s="90"/>
      <c r="AHD41" s="90"/>
      <c r="AHE41" s="90"/>
      <c r="AHF41" s="90"/>
      <c r="AHG41" s="90"/>
      <c r="AHH41" s="90"/>
      <c r="AHI41" s="90"/>
      <c r="AHJ41" s="90"/>
      <c r="AHK41" s="90"/>
      <c r="AHL41" s="90"/>
      <c r="AHM41" s="90"/>
      <c r="AHN41" s="90"/>
      <c r="AHO41" s="90"/>
      <c r="AHP41" s="90"/>
      <c r="AHQ41" s="90"/>
      <c r="AHR41" s="90"/>
      <c r="AHS41" s="90"/>
      <c r="AHT41" s="90"/>
      <c r="AHU41" s="90"/>
      <c r="AHV41" s="90"/>
      <c r="AHW41" s="90"/>
      <c r="AHX41" s="90"/>
      <c r="AHY41" s="90"/>
      <c r="AHZ41" s="90"/>
      <c r="AIA41" s="90"/>
      <c r="AIB41" s="90"/>
      <c r="AIC41" s="90"/>
      <c r="AID41" s="90"/>
      <c r="AIE41" s="90"/>
      <c r="AIF41" s="90"/>
      <c r="AIG41" s="90"/>
      <c r="AIH41" s="90"/>
      <c r="AII41" s="90"/>
      <c r="AIJ41" s="90"/>
      <c r="AIK41" s="90"/>
      <c r="AIL41" s="90"/>
      <c r="AIM41" s="90"/>
      <c r="AIN41" s="90"/>
      <c r="AIO41" s="90"/>
      <c r="AIP41" s="90"/>
      <c r="AIQ41" s="90"/>
      <c r="AIR41" s="90"/>
      <c r="AIS41" s="90"/>
      <c r="AIT41" s="90"/>
      <c r="AIU41" s="90"/>
      <c r="AIV41" s="90"/>
      <c r="AIW41" s="90"/>
      <c r="AIX41" s="90"/>
      <c r="AIY41" s="90"/>
      <c r="AIZ41" s="90"/>
      <c r="AJA41" s="90"/>
      <c r="AJB41" s="90"/>
      <c r="AJC41" s="90"/>
      <c r="AJD41" s="90"/>
      <c r="AJE41" s="90"/>
      <c r="AJF41" s="90"/>
      <c r="AJG41" s="90"/>
      <c r="AJH41" s="90"/>
      <c r="AJI41" s="90"/>
      <c r="AJJ41" s="90"/>
      <c r="AJK41" s="90"/>
      <c r="AJL41" s="90"/>
      <c r="AJM41" s="90"/>
      <c r="AJN41" s="90"/>
      <c r="AJO41" s="90"/>
      <c r="AJP41" s="90"/>
      <c r="AJQ41" s="90"/>
      <c r="AJR41" s="90"/>
      <c r="AJS41" s="90"/>
      <c r="AJT41" s="90"/>
      <c r="AJU41" s="90"/>
      <c r="AJV41" s="90"/>
      <c r="AJW41" s="90"/>
      <c r="AJX41" s="90"/>
      <c r="AJY41" s="90"/>
      <c r="AJZ41" s="90"/>
      <c r="AKA41" s="90"/>
      <c r="AKB41" s="90"/>
      <c r="AKC41" s="90"/>
      <c r="AKD41" s="90"/>
      <c r="AKE41" s="90"/>
      <c r="AKF41" s="90"/>
      <c r="AKG41" s="90"/>
      <c r="AKH41" s="90"/>
      <c r="AKI41" s="90"/>
      <c r="AKJ41" s="90"/>
      <c r="AKK41" s="90"/>
      <c r="AKL41" s="90"/>
      <c r="AKM41" s="90"/>
      <c r="AKN41" s="90"/>
      <c r="AKO41" s="90"/>
      <c r="AKP41" s="90"/>
      <c r="AKQ41" s="90"/>
      <c r="AKR41" s="90"/>
      <c r="AKS41" s="90"/>
      <c r="AKT41" s="90"/>
      <c r="AKU41" s="90"/>
      <c r="AKV41" s="90"/>
      <c r="AKW41" s="90"/>
      <c r="AKX41" s="90"/>
      <c r="AKY41" s="90"/>
      <c r="AKZ41" s="90"/>
      <c r="ALA41" s="90"/>
      <c r="ALB41" s="90"/>
      <c r="ALC41" s="90"/>
      <c r="ALD41" s="90"/>
      <c r="ALE41" s="90"/>
      <c r="ALF41" s="90"/>
      <c r="ALG41" s="90"/>
      <c r="ALH41" s="90"/>
      <c r="ALI41" s="90"/>
      <c r="ALJ41" s="90"/>
      <c r="ALK41" s="90"/>
      <c r="ALL41" s="90"/>
      <c r="ALM41" s="90"/>
      <c r="ALN41" s="90"/>
      <c r="ALO41" s="90"/>
      <c r="ALP41" s="90"/>
      <c r="ALQ41" s="90"/>
      <c r="ALR41" s="90"/>
      <c r="ALS41" s="90"/>
      <c r="ALT41" s="90"/>
      <c r="ALU41" s="90"/>
      <c r="ALV41" s="90"/>
      <c r="ALW41" s="90"/>
      <c r="ALX41" s="90"/>
      <c r="ALY41" s="90"/>
      <c r="ALZ41" s="90"/>
      <c r="AMA41" s="90"/>
      <c r="AMB41" s="90"/>
      <c r="AMC41" s="90"/>
    </row>
    <row r="42" spans="1:1017">
      <c r="A42" s="98" t="s">
        <v>25</v>
      </c>
      <c r="B42" s="779" t="s">
        <v>671</v>
      </c>
      <c r="Q42" s="91">
        <f t="shared" si="640"/>
        <v>0</v>
      </c>
      <c r="R42" s="91">
        <f t="shared" si="641"/>
        <v>0</v>
      </c>
      <c r="AG42" s="91">
        <f t="shared" si="642"/>
        <v>0</v>
      </c>
      <c r="AH42" s="91">
        <f t="shared" si="643"/>
        <v>0</v>
      </c>
      <c r="AW42" s="91">
        <f t="shared" si="644"/>
        <v>0</v>
      </c>
      <c r="AX42" s="91">
        <f t="shared" si="645"/>
        <v>0</v>
      </c>
      <c r="BM42" s="91">
        <f t="shared" si="646"/>
        <v>0</v>
      </c>
      <c r="BN42" s="91">
        <f t="shared" si="647"/>
        <v>0</v>
      </c>
      <c r="CC42" s="91">
        <f t="shared" si="648"/>
        <v>0</v>
      </c>
      <c r="CD42" s="91">
        <f t="shared" si="649"/>
        <v>0</v>
      </c>
      <c r="CS42" s="91">
        <f t="shared" si="650"/>
        <v>0</v>
      </c>
      <c r="CT42" s="91">
        <f t="shared" si="651"/>
        <v>0</v>
      </c>
      <c r="DI42" s="91">
        <f t="shared" si="652"/>
        <v>0</v>
      </c>
      <c r="DJ42" s="91">
        <f t="shared" si="653"/>
        <v>0</v>
      </c>
      <c r="DY42" s="91">
        <f t="shared" si="654"/>
        <v>0</v>
      </c>
      <c r="DZ42" s="91">
        <f t="shared" si="655"/>
        <v>0</v>
      </c>
      <c r="EO42" s="91">
        <f t="shared" si="656"/>
        <v>0</v>
      </c>
      <c r="EP42" s="91">
        <f t="shared" si="657"/>
        <v>0</v>
      </c>
      <c r="FE42" s="91">
        <f t="shared" si="658"/>
        <v>0</v>
      </c>
      <c r="FF42" s="91">
        <f t="shared" si="659"/>
        <v>0</v>
      </c>
      <c r="FU42" s="91">
        <f t="shared" si="660"/>
        <v>0</v>
      </c>
      <c r="FV42" s="91">
        <f t="shared" si="661"/>
        <v>0</v>
      </c>
      <c r="GK42" s="91">
        <f t="shared" si="662"/>
        <v>0</v>
      </c>
      <c r="GL42" s="91">
        <f t="shared" si="663"/>
        <v>0</v>
      </c>
      <c r="HA42" s="91">
        <f t="shared" si="664"/>
        <v>0</v>
      </c>
      <c r="HB42" s="91">
        <f t="shared" si="665"/>
        <v>0</v>
      </c>
      <c r="HQ42" s="91">
        <f t="shared" si="666"/>
        <v>0</v>
      </c>
      <c r="HR42" s="91">
        <f t="shared" si="667"/>
        <v>0</v>
      </c>
      <c r="IG42" s="91">
        <f t="shared" si="668"/>
        <v>0</v>
      </c>
      <c r="IH42" s="91">
        <f t="shared" si="669"/>
        <v>0</v>
      </c>
      <c r="IW42" s="91">
        <f t="shared" si="670"/>
        <v>0</v>
      </c>
      <c r="IX42" s="91">
        <f t="shared" si="671"/>
        <v>0</v>
      </c>
      <c r="JM42" s="91">
        <f t="shared" si="672"/>
        <v>0</v>
      </c>
      <c r="JN42" s="91">
        <f t="shared" si="673"/>
        <v>0</v>
      </c>
      <c r="KC42" s="91">
        <f t="shared" si="674"/>
        <v>0</v>
      </c>
      <c r="KD42" s="91">
        <f t="shared" si="675"/>
        <v>0</v>
      </c>
      <c r="KS42" s="91">
        <f t="shared" si="676"/>
        <v>0</v>
      </c>
      <c r="KT42" s="91">
        <f t="shared" si="677"/>
        <v>0</v>
      </c>
      <c r="LI42" s="91">
        <f t="shared" si="678"/>
        <v>0</v>
      </c>
      <c r="LJ42" s="91">
        <f t="shared" si="679"/>
        <v>0</v>
      </c>
      <c r="LY42" s="91">
        <f t="shared" si="680"/>
        <v>0</v>
      </c>
      <c r="LZ42" s="91">
        <f t="shared" si="681"/>
        <v>0</v>
      </c>
      <c r="MO42" s="91">
        <f t="shared" si="682"/>
        <v>0</v>
      </c>
      <c r="MP42" s="91">
        <f t="shared" si="683"/>
        <v>0</v>
      </c>
      <c r="NE42" s="91">
        <f t="shared" si="684"/>
        <v>0</v>
      </c>
      <c r="NF42" s="91">
        <f t="shared" si="685"/>
        <v>0</v>
      </c>
      <c r="NI42" s="98">
        <v>142300</v>
      </c>
      <c r="NJ42" s="98">
        <v>5692000</v>
      </c>
      <c r="NU42" s="91">
        <f t="shared" si="686"/>
        <v>142300</v>
      </c>
      <c r="NV42" s="91">
        <f t="shared" si="687"/>
        <v>5692000</v>
      </c>
      <c r="OK42" s="91">
        <f t="shared" si="688"/>
        <v>0</v>
      </c>
      <c r="OL42" s="91">
        <f t="shared" si="689"/>
        <v>0</v>
      </c>
      <c r="PA42" s="91">
        <f t="shared" si="690"/>
        <v>0</v>
      </c>
      <c r="PB42" s="91">
        <f t="shared" si="691"/>
        <v>0</v>
      </c>
      <c r="PQ42" s="91">
        <f t="shared" si="692"/>
        <v>0</v>
      </c>
      <c r="PR42" s="91">
        <f t="shared" si="693"/>
        <v>0</v>
      </c>
      <c r="QG42" s="91">
        <f t="shared" si="694"/>
        <v>0</v>
      </c>
      <c r="QH42" s="91">
        <f t="shared" si="695"/>
        <v>0</v>
      </c>
      <c r="QW42" s="91">
        <f t="shared" si="696"/>
        <v>0</v>
      </c>
      <c r="QX42" s="91">
        <f t="shared" si="697"/>
        <v>0</v>
      </c>
      <c r="RM42" s="91">
        <f t="shared" si="698"/>
        <v>0</v>
      </c>
      <c r="RN42" s="91">
        <f t="shared" si="699"/>
        <v>0</v>
      </c>
      <c r="SC42" s="91">
        <f t="shared" si="700"/>
        <v>0</v>
      </c>
      <c r="SD42" s="91">
        <f t="shared" si="701"/>
        <v>0</v>
      </c>
      <c r="SS42" s="91">
        <f t="shared" si="702"/>
        <v>0</v>
      </c>
      <c r="ST42" s="91">
        <f t="shared" si="703"/>
        <v>0</v>
      </c>
      <c r="TI42" s="91">
        <f t="shared" si="704"/>
        <v>0</v>
      </c>
      <c r="TJ42" s="91">
        <f t="shared" si="705"/>
        <v>0</v>
      </c>
      <c r="TY42" s="91">
        <f t="shared" si="706"/>
        <v>0</v>
      </c>
      <c r="TZ42" s="91">
        <f t="shared" si="707"/>
        <v>0</v>
      </c>
      <c r="UO42" s="91">
        <f t="shared" si="708"/>
        <v>0</v>
      </c>
      <c r="UP42" s="91">
        <f t="shared" si="764"/>
        <v>0</v>
      </c>
      <c r="VE42" s="91">
        <f t="shared" si="709"/>
        <v>0</v>
      </c>
      <c r="VF42" s="91">
        <f t="shared" si="710"/>
        <v>0</v>
      </c>
      <c r="VU42" s="91">
        <f t="shared" si="711"/>
        <v>0</v>
      </c>
      <c r="VV42" s="91">
        <f t="shared" si="712"/>
        <v>0</v>
      </c>
      <c r="WK42" s="91">
        <f t="shared" si="713"/>
        <v>0</v>
      </c>
      <c r="WL42" s="91">
        <f t="shared" si="714"/>
        <v>0</v>
      </c>
      <c r="WM42" s="89"/>
      <c r="WN42" s="87">
        <f t="shared" ref="WN42:WN50" si="789">SUMIF($C$5:$WL$5,$WN$5,C42:WL42)</f>
        <v>0</v>
      </c>
      <c r="WO42" s="87">
        <f t="shared" ref="WO42:WO50" si="790">SUMIF($C$5:$WL$5,$WO$5,C42:WL42)</f>
        <v>0</v>
      </c>
      <c r="WP42" s="87">
        <f t="shared" ref="WP42:WP50" si="791">SUMIF($C$5:$WL$5,$WP$5,C42:WL42)</f>
        <v>142300</v>
      </c>
      <c r="WQ42" s="87">
        <f t="shared" ref="WQ42:WQ50" si="792">SUMIF($C$5:$WL$5,$WQ$5,C42:WL42)</f>
        <v>5692000</v>
      </c>
      <c r="WR42" s="87">
        <f t="shared" ref="WR42:WR50" si="793">SUMIF($C$5:$WL$5,$WR$5,C42:WL42)</f>
        <v>0</v>
      </c>
      <c r="WS42" s="87">
        <f t="shared" ref="WS42:WS50" si="794">SUMIF($C$5:$WL$5,$WS$5,C42:WL42)</f>
        <v>0</v>
      </c>
      <c r="WT42" s="87">
        <f t="shared" ref="WT42:WT50" si="795">SUMIF($C$5:$WL$5,$WT$5,C42:WL42)</f>
        <v>0</v>
      </c>
      <c r="WU42" s="87">
        <f t="shared" ref="WU42:WU50" si="796">SUMIF($C$5:$WL$5,$WU$5,C42:WL42)</f>
        <v>0</v>
      </c>
      <c r="WV42" s="87">
        <f t="shared" ref="WV42:WV50" si="797">SUMIF($C$5:$WL$5,$WV$5,C42:WL42)</f>
        <v>0</v>
      </c>
      <c r="WW42" s="87">
        <f t="shared" ref="WW42:WW50" si="798">SUMIF($C$5:$WL$5,$WW$5,C42:WL42)</f>
        <v>0</v>
      </c>
      <c r="WX42" s="87">
        <f t="shared" ref="WX42:WX50" si="799">SUMIF($C$5:$WL$5,$WX$5,C42:WL42)</f>
        <v>0</v>
      </c>
      <c r="WY42" s="87">
        <f t="shared" ref="WY42:WY50" si="800">SUMIF($C$5:$WL$5,$WY$5,C42:WL42)</f>
        <v>0</v>
      </c>
      <c r="WZ42" s="87">
        <f t="shared" si="780"/>
        <v>0</v>
      </c>
      <c r="XA42" s="87">
        <f t="shared" si="781"/>
        <v>0</v>
      </c>
      <c r="XB42" s="92">
        <f t="shared" ref="XB42:XB50" si="801">SUMIF($WN$12:$XA$12,$XB$12,WN42:XA42)</f>
        <v>142300</v>
      </c>
      <c r="XC42" s="92">
        <f t="shared" ref="XC42:XC50" si="802">SUMIF($WN$12:$XA$12,$XC$12,WN42:XA42)</f>
        <v>5692000</v>
      </c>
      <c r="XD42" s="89"/>
      <c r="XE42" s="92">
        <f t="shared" si="786"/>
        <v>359600</v>
      </c>
      <c r="XF42" s="92">
        <f t="shared" si="787"/>
        <v>14384000</v>
      </c>
      <c r="XG42" s="89"/>
      <c r="XH42" s="92">
        <f t="shared" ref="XH42:XI42" si="803">SUM(XE42,XE80)</f>
        <v>877600</v>
      </c>
      <c r="XI42" s="92">
        <f t="shared" si="803"/>
        <v>35104000</v>
      </c>
      <c r="XJ42" s="89"/>
      <c r="XK42" s="87">
        <f t="shared" si="732"/>
        <v>0</v>
      </c>
      <c r="XL42" s="87">
        <f t="shared" si="733"/>
        <v>1710001</v>
      </c>
      <c r="XM42" s="87">
        <f t="shared" si="734"/>
        <v>0</v>
      </c>
      <c r="XN42" s="87">
        <f t="shared" si="735"/>
        <v>0</v>
      </c>
      <c r="XO42" s="87">
        <f t="shared" si="736"/>
        <v>0</v>
      </c>
      <c r="XP42" s="87">
        <f t="shared" si="737"/>
        <v>0</v>
      </c>
      <c r="XQ42" s="87">
        <f t="shared" si="738"/>
        <v>0</v>
      </c>
      <c r="XR42" s="92">
        <f t="shared" si="739"/>
        <v>1710001</v>
      </c>
      <c r="XS42" s="89"/>
      <c r="XT42" s="87">
        <f t="shared" si="740"/>
        <v>0</v>
      </c>
      <c r="XU42" s="87">
        <f t="shared" si="741"/>
        <v>68400040</v>
      </c>
      <c r="XV42" s="87">
        <f t="shared" si="742"/>
        <v>0</v>
      </c>
      <c r="XW42" s="87">
        <f t="shared" si="743"/>
        <v>0</v>
      </c>
      <c r="XX42" s="87">
        <f t="shared" si="744"/>
        <v>0</v>
      </c>
      <c r="XY42" s="87">
        <f t="shared" si="745"/>
        <v>0</v>
      </c>
      <c r="XZ42" s="87">
        <f t="shared" si="746"/>
        <v>0</v>
      </c>
      <c r="YA42" s="92">
        <f t="shared" si="747"/>
        <v>68400040</v>
      </c>
      <c r="YB42" s="90"/>
      <c r="YC42" s="90"/>
      <c r="YD42" s="90"/>
      <c r="YE42" s="90"/>
      <c r="YF42" s="90"/>
      <c r="YG42" s="90"/>
      <c r="YH42" s="90"/>
      <c r="YI42" s="90"/>
      <c r="YJ42" s="90"/>
      <c r="YK42" s="90"/>
      <c r="YL42" s="90"/>
      <c r="YM42" s="90"/>
      <c r="YN42" s="90"/>
      <c r="YO42" s="90"/>
      <c r="YP42" s="90"/>
      <c r="YQ42" s="90"/>
      <c r="YR42" s="90"/>
      <c r="YS42" s="90"/>
      <c r="YT42" s="90"/>
      <c r="YU42" s="90"/>
      <c r="YV42" s="90"/>
      <c r="YW42" s="90"/>
      <c r="YX42" s="90"/>
      <c r="YY42" s="90"/>
      <c r="YZ42" s="90"/>
      <c r="ZA42" s="90"/>
      <c r="ZB42" s="90"/>
      <c r="ZC42" s="90"/>
      <c r="ZD42" s="90"/>
      <c r="ZE42" s="90"/>
      <c r="ZF42" s="90"/>
      <c r="ZG42" s="90"/>
      <c r="ZH42" s="90"/>
      <c r="ZI42" s="90"/>
      <c r="ZJ42" s="90"/>
      <c r="ZK42" s="90"/>
      <c r="ZL42" s="90"/>
      <c r="ZM42" s="90"/>
      <c r="ZN42" s="90"/>
      <c r="ZO42" s="90"/>
      <c r="ZP42" s="90"/>
      <c r="ZQ42" s="90"/>
      <c r="ZR42" s="90"/>
      <c r="ZS42" s="90"/>
      <c r="ZT42" s="90"/>
      <c r="ZU42" s="90"/>
      <c r="ZV42" s="90"/>
      <c r="ZW42" s="90"/>
      <c r="ZX42" s="90"/>
      <c r="ZY42" s="90"/>
      <c r="ZZ42" s="90"/>
      <c r="AAA42" s="90"/>
      <c r="AAB42" s="90"/>
      <c r="AAC42" s="90"/>
      <c r="AAD42" s="90"/>
      <c r="AAE42" s="90"/>
      <c r="AAF42" s="90"/>
      <c r="AAG42" s="90"/>
      <c r="AAH42" s="90"/>
      <c r="AAI42" s="90"/>
      <c r="AAJ42" s="90"/>
      <c r="AAK42" s="90"/>
      <c r="AAL42" s="90"/>
      <c r="AAM42" s="90"/>
      <c r="AAN42" s="90"/>
      <c r="AAO42" s="90"/>
      <c r="AAP42" s="90"/>
      <c r="AAQ42" s="90"/>
      <c r="AAR42" s="90"/>
      <c r="AAS42" s="90"/>
      <c r="AAT42" s="90"/>
      <c r="AAU42" s="90"/>
      <c r="AAV42" s="90"/>
      <c r="AAW42" s="90"/>
      <c r="AAX42" s="90"/>
      <c r="AAY42" s="90"/>
      <c r="AAZ42" s="90"/>
      <c r="ABA42" s="90"/>
      <c r="ABB42" s="90"/>
      <c r="ABC42" s="90"/>
      <c r="ABD42" s="90"/>
      <c r="ABE42" s="90"/>
      <c r="ABF42" s="90"/>
      <c r="ABG42" s="90"/>
      <c r="ABH42" s="90"/>
      <c r="ABI42" s="90"/>
      <c r="ABJ42" s="90"/>
      <c r="ABK42" s="90"/>
      <c r="ABL42" s="90"/>
      <c r="ABM42" s="90"/>
      <c r="ABN42" s="90"/>
      <c r="ABO42" s="90"/>
      <c r="ABP42" s="90"/>
      <c r="ABQ42" s="90"/>
      <c r="ABR42" s="90"/>
      <c r="ABS42" s="90"/>
      <c r="ABT42" s="90"/>
      <c r="ABU42" s="90"/>
      <c r="ABV42" s="90"/>
      <c r="ABW42" s="90"/>
      <c r="ABX42" s="90"/>
      <c r="ABY42" s="90"/>
      <c r="ABZ42" s="90"/>
      <c r="ACA42" s="90"/>
      <c r="ACB42" s="90"/>
      <c r="ACC42" s="90"/>
      <c r="ACD42" s="90"/>
      <c r="ACE42" s="90"/>
      <c r="ACF42" s="90"/>
      <c r="ACG42" s="90"/>
      <c r="ACH42" s="90"/>
      <c r="ACI42" s="90"/>
      <c r="ACJ42" s="90"/>
      <c r="ACK42" s="90"/>
      <c r="ACL42" s="90"/>
      <c r="ACM42" s="90"/>
      <c r="ACN42" s="90"/>
      <c r="ACO42" s="90"/>
      <c r="ACP42" s="90"/>
      <c r="ACQ42" s="90"/>
      <c r="ACR42" s="90"/>
      <c r="ACS42" s="90"/>
      <c r="ACT42" s="90"/>
      <c r="ACU42" s="90"/>
      <c r="ACV42" s="90"/>
      <c r="ACW42" s="90"/>
      <c r="ACX42" s="90"/>
      <c r="ACY42" s="90"/>
      <c r="ACZ42" s="90"/>
      <c r="ADA42" s="90"/>
      <c r="ADB42" s="90"/>
      <c r="ADC42" s="90"/>
      <c r="ADD42" s="90"/>
      <c r="ADE42" s="90"/>
      <c r="ADF42" s="90"/>
      <c r="ADG42" s="90"/>
      <c r="ADH42" s="90"/>
      <c r="ADI42" s="90"/>
      <c r="ADJ42" s="90"/>
      <c r="ADK42" s="90"/>
      <c r="ADL42" s="90"/>
      <c r="ADM42" s="90"/>
      <c r="ADN42" s="90"/>
      <c r="ADO42" s="90"/>
      <c r="ADP42" s="90"/>
      <c r="ADQ42" s="90"/>
      <c r="ADR42" s="90"/>
      <c r="ADS42" s="90"/>
      <c r="ADT42" s="90"/>
      <c r="ADU42" s="90"/>
      <c r="ADV42" s="90"/>
      <c r="ADW42" s="90"/>
      <c r="ADX42" s="90"/>
      <c r="ADY42" s="90"/>
      <c r="ADZ42" s="90"/>
      <c r="AEA42" s="90"/>
      <c r="AEB42" s="90"/>
      <c r="AEC42" s="90"/>
      <c r="AED42" s="90"/>
      <c r="AEE42" s="90"/>
      <c r="AEF42" s="90"/>
      <c r="AEG42" s="90"/>
      <c r="AEH42" s="90"/>
      <c r="AEI42" s="90"/>
      <c r="AEJ42" s="90"/>
      <c r="AEK42" s="90"/>
      <c r="AEL42" s="90"/>
      <c r="AEM42" s="90"/>
      <c r="AEN42" s="90"/>
      <c r="AEO42" s="90"/>
      <c r="AEP42" s="90"/>
      <c r="AEQ42" s="90"/>
      <c r="AER42" s="90"/>
      <c r="AES42" s="90"/>
      <c r="AET42" s="90"/>
      <c r="AEU42" s="90"/>
      <c r="AEV42" s="90"/>
      <c r="AEW42" s="90"/>
      <c r="AEX42" s="90"/>
      <c r="AEY42" s="90"/>
      <c r="AEZ42" s="90"/>
      <c r="AFA42" s="90"/>
      <c r="AFB42" s="90"/>
      <c r="AFC42" s="90"/>
      <c r="AFD42" s="90"/>
      <c r="AFE42" s="90"/>
      <c r="AFF42" s="90"/>
      <c r="AFG42" s="90"/>
      <c r="AFH42" s="90"/>
      <c r="AFI42" s="90"/>
      <c r="AFJ42" s="90"/>
      <c r="AFK42" s="90"/>
      <c r="AFL42" s="90"/>
      <c r="AFM42" s="90"/>
      <c r="AFN42" s="90"/>
      <c r="AFO42" s="90"/>
      <c r="AFP42" s="90"/>
      <c r="AFQ42" s="90"/>
      <c r="AFR42" s="90"/>
      <c r="AFS42" s="90"/>
      <c r="AFT42" s="90"/>
      <c r="AFU42" s="90"/>
      <c r="AFV42" s="90"/>
      <c r="AFW42" s="90"/>
      <c r="AFX42" s="90"/>
      <c r="AFY42" s="90"/>
      <c r="AFZ42" s="90"/>
      <c r="AGA42" s="90"/>
      <c r="AGB42" s="90"/>
      <c r="AGC42" s="90"/>
      <c r="AGD42" s="90"/>
      <c r="AGE42" s="90"/>
      <c r="AGF42" s="90"/>
      <c r="AGG42" s="90"/>
      <c r="AGH42" s="90"/>
      <c r="AGI42" s="90"/>
      <c r="AGJ42" s="90"/>
      <c r="AGK42" s="90"/>
      <c r="AGL42" s="90"/>
      <c r="AGM42" s="90"/>
      <c r="AGN42" s="90"/>
      <c r="AGO42" s="90"/>
      <c r="AGP42" s="90"/>
      <c r="AGQ42" s="90"/>
      <c r="AGR42" s="90"/>
      <c r="AGS42" s="90"/>
      <c r="AGT42" s="90"/>
      <c r="AGU42" s="90"/>
      <c r="AGV42" s="90"/>
      <c r="AGW42" s="90"/>
      <c r="AGX42" s="90"/>
      <c r="AGY42" s="90"/>
      <c r="AGZ42" s="90"/>
      <c r="AHA42" s="90"/>
      <c r="AHB42" s="90"/>
      <c r="AHC42" s="90"/>
      <c r="AHD42" s="90"/>
      <c r="AHE42" s="90"/>
      <c r="AHF42" s="90"/>
      <c r="AHG42" s="90"/>
      <c r="AHH42" s="90"/>
      <c r="AHI42" s="90"/>
      <c r="AHJ42" s="90"/>
      <c r="AHK42" s="90"/>
      <c r="AHL42" s="90"/>
      <c r="AHM42" s="90"/>
      <c r="AHN42" s="90"/>
      <c r="AHO42" s="90"/>
      <c r="AHP42" s="90"/>
      <c r="AHQ42" s="90"/>
      <c r="AHR42" s="90"/>
      <c r="AHS42" s="90"/>
      <c r="AHT42" s="90"/>
      <c r="AHU42" s="90"/>
      <c r="AHV42" s="90"/>
      <c r="AHW42" s="90"/>
      <c r="AHX42" s="90"/>
      <c r="AHY42" s="90"/>
      <c r="AHZ42" s="90"/>
      <c r="AIA42" s="90"/>
      <c r="AIB42" s="90"/>
      <c r="AIC42" s="90"/>
      <c r="AID42" s="90"/>
      <c r="AIE42" s="90"/>
      <c r="AIF42" s="90"/>
      <c r="AIG42" s="90"/>
      <c r="AIH42" s="90"/>
      <c r="AII42" s="90"/>
      <c r="AIJ42" s="90"/>
      <c r="AIK42" s="90"/>
      <c r="AIL42" s="90"/>
      <c r="AIM42" s="90"/>
      <c r="AIN42" s="90"/>
      <c r="AIO42" s="90"/>
      <c r="AIP42" s="90"/>
      <c r="AIQ42" s="90"/>
      <c r="AIR42" s="90"/>
      <c r="AIS42" s="90"/>
      <c r="AIT42" s="90"/>
      <c r="AIU42" s="90"/>
      <c r="AIV42" s="90"/>
      <c r="AIW42" s="90"/>
      <c r="AIX42" s="90"/>
      <c r="AIY42" s="90"/>
      <c r="AIZ42" s="90"/>
      <c r="AJA42" s="90"/>
      <c r="AJB42" s="90"/>
      <c r="AJC42" s="90"/>
      <c r="AJD42" s="90"/>
      <c r="AJE42" s="90"/>
      <c r="AJF42" s="90"/>
      <c r="AJG42" s="90"/>
      <c r="AJH42" s="90"/>
      <c r="AJI42" s="90"/>
      <c r="AJJ42" s="90"/>
      <c r="AJK42" s="90"/>
      <c r="AJL42" s="90"/>
      <c r="AJM42" s="90"/>
      <c r="AJN42" s="90"/>
      <c r="AJO42" s="90"/>
      <c r="AJP42" s="90"/>
      <c r="AJQ42" s="90"/>
      <c r="AJR42" s="90"/>
      <c r="AJS42" s="90"/>
      <c r="AJT42" s="90"/>
      <c r="AJU42" s="90"/>
      <c r="AJV42" s="90"/>
      <c r="AJW42" s="90"/>
      <c r="AJX42" s="90"/>
      <c r="AJY42" s="90"/>
      <c r="AJZ42" s="90"/>
      <c r="AKA42" s="90"/>
      <c r="AKB42" s="90"/>
      <c r="AKC42" s="90"/>
      <c r="AKD42" s="90"/>
      <c r="AKE42" s="90"/>
      <c r="AKF42" s="90"/>
      <c r="AKG42" s="90"/>
      <c r="AKH42" s="90"/>
      <c r="AKI42" s="90"/>
      <c r="AKJ42" s="90"/>
      <c r="AKK42" s="90"/>
      <c r="AKL42" s="90"/>
      <c r="AKM42" s="90"/>
      <c r="AKN42" s="90"/>
      <c r="AKO42" s="90"/>
      <c r="AKP42" s="90"/>
      <c r="AKQ42" s="90"/>
      <c r="AKR42" s="90"/>
      <c r="AKS42" s="90"/>
      <c r="AKT42" s="90"/>
      <c r="AKU42" s="90"/>
      <c r="AKV42" s="90"/>
      <c r="AKW42" s="90"/>
      <c r="AKX42" s="90"/>
      <c r="AKY42" s="90"/>
      <c r="AKZ42" s="90"/>
      <c r="ALA42" s="90"/>
      <c r="ALB42" s="90"/>
      <c r="ALC42" s="90"/>
      <c r="ALD42" s="90"/>
      <c r="ALE42" s="90"/>
      <c r="ALF42" s="90"/>
      <c r="ALG42" s="90"/>
      <c r="ALH42" s="90"/>
      <c r="ALI42" s="90"/>
      <c r="ALJ42" s="90"/>
      <c r="ALK42" s="90"/>
      <c r="ALL42" s="90"/>
      <c r="ALM42" s="90"/>
      <c r="ALN42" s="90"/>
      <c r="ALO42" s="90"/>
      <c r="ALP42" s="90"/>
      <c r="ALQ42" s="90"/>
      <c r="ALR42" s="90"/>
      <c r="ALS42" s="90"/>
      <c r="ALT42" s="90"/>
      <c r="ALU42" s="90"/>
      <c r="ALV42" s="90"/>
      <c r="ALW42" s="90"/>
      <c r="ALX42" s="90"/>
      <c r="ALY42" s="90"/>
      <c r="ALZ42" s="90"/>
      <c r="AMA42" s="90"/>
      <c r="AMB42" s="90"/>
      <c r="AMC42" s="90"/>
    </row>
    <row r="43" spans="1:1017">
      <c r="A43" s="98" t="s">
        <v>25</v>
      </c>
      <c r="B43" s="781" t="s">
        <v>674</v>
      </c>
      <c r="Q43" s="91">
        <f t="shared" si="640"/>
        <v>0</v>
      </c>
      <c r="R43" s="91">
        <f t="shared" si="641"/>
        <v>0</v>
      </c>
      <c r="AG43" s="91">
        <f t="shared" si="642"/>
        <v>0</v>
      </c>
      <c r="AH43" s="91">
        <f t="shared" si="643"/>
        <v>0</v>
      </c>
      <c r="AW43" s="91">
        <f t="shared" si="644"/>
        <v>0</v>
      </c>
      <c r="AX43" s="91">
        <f t="shared" si="645"/>
        <v>0</v>
      </c>
      <c r="BM43" s="91">
        <f t="shared" si="646"/>
        <v>0</v>
      </c>
      <c r="BN43" s="91">
        <f t="shared" si="647"/>
        <v>0</v>
      </c>
      <c r="CC43" s="91">
        <f t="shared" si="648"/>
        <v>0</v>
      </c>
      <c r="CD43" s="91">
        <f t="shared" si="649"/>
        <v>0</v>
      </c>
      <c r="CS43" s="91">
        <f t="shared" si="650"/>
        <v>0</v>
      </c>
      <c r="CT43" s="91">
        <f t="shared" si="651"/>
        <v>0</v>
      </c>
      <c r="DI43" s="91">
        <f t="shared" si="652"/>
        <v>0</v>
      </c>
      <c r="DJ43" s="91">
        <f t="shared" si="653"/>
        <v>0</v>
      </c>
      <c r="DY43" s="91">
        <f t="shared" si="654"/>
        <v>0</v>
      </c>
      <c r="DZ43" s="91">
        <f t="shared" si="655"/>
        <v>0</v>
      </c>
      <c r="EO43" s="91">
        <f t="shared" si="656"/>
        <v>0</v>
      </c>
      <c r="EP43" s="91">
        <f t="shared" si="657"/>
        <v>0</v>
      </c>
      <c r="FE43" s="91">
        <f t="shared" si="658"/>
        <v>0</v>
      </c>
      <c r="FF43" s="91">
        <f t="shared" si="659"/>
        <v>0</v>
      </c>
      <c r="FU43" s="91">
        <f t="shared" si="660"/>
        <v>0</v>
      </c>
      <c r="FV43" s="91">
        <f t="shared" si="661"/>
        <v>0</v>
      </c>
      <c r="GK43" s="91">
        <f t="shared" si="662"/>
        <v>0</v>
      </c>
      <c r="GL43" s="91">
        <f t="shared" si="663"/>
        <v>0</v>
      </c>
      <c r="HA43" s="91">
        <f t="shared" si="664"/>
        <v>0</v>
      </c>
      <c r="HB43" s="91">
        <f t="shared" si="665"/>
        <v>0</v>
      </c>
      <c r="HQ43" s="91">
        <f t="shared" si="666"/>
        <v>0</v>
      </c>
      <c r="HR43" s="91">
        <f t="shared" si="667"/>
        <v>0</v>
      </c>
      <c r="IG43" s="91">
        <f t="shared" si="668"/>
        <v>0</v>
      </c>
      <c r="IH43" s="91">
        <f t="shared" si="669"/>
        <v>0</v>
      </c>
      <c r="IW43" s="91">
        <f t="shared" si="670"/>
        <v>0</v>
      </c>
      <c r="IX43" s="91">
        <f t="shared" si="671"/>
        <v>0</v>
      </c>
      <c r="JM43" s="91">
        <f t="shared" si="672"/>
        <v>0</v>
      </c>
      <c r="JN43" s="91">
        <f t="shared" si="673"/>
        <v>0</v>
      </c>
      <c r="KC43" s="91">
        <f t="shared" si="674"/>
        <v>0</v>
      </c>
      <c r="KD43" s="91">
        <f t="shared" si="675"/>
        <v>0</v>
      </c>
      <c r="KS43" s="91">
        <f t="shared" si="676"/>
        <v>0</v>
      </c>
      <c r="KT43" s="91">
        <f t="shared" si="677"/>
        <v>0</v>
      </c>
      <c r="LI43" s="91">
        <f t="shared" si="678"/>
        <v>0</v>
      </c>
      <c r="LJ43" s="91">
        <f t="shared" si="679"/>
        <v>0</v>
      </c>
      <c r="LY43" s="91">
        <f t="shared" si="680"/>
        <v>0</v>
      </c>
      <c r="LZ43" s="91">
        <f t="shared" si="681"/>
        <v>0</v>
      </c>
      <c r="MO43" s="91">
        <f t="shared" si="682"/>
        <v>0</v>
      </c>
      <c r="MP43" s="91">
        <f t="shared" si="683"/>
        <v>0</v>
      </c>
      <c r="NE43" s="91">
        <f t="shared" si="684"/>
        <v>0</v>
      </c>
      <c r="NF43" s="91">
        <f t="shared" si="685"/>
        <v>0</v>
      </c>
      <c r="NU43" s="91">
        <f t="shared" si="686"/>
        <v>0</v>
      </c>
      <c r="NV43" s="91">
        <f t="shared" si="687"/>
        <v>0</v>
      </c>
      <c r="OK43" s="91">
        <f t="shared" si="688"/>
        <v>0</v>
      </c>
      <c r="OL43" s="91">
        <f t="shared" si="689"/>
        <v>0</v>
      </c>
      <c r="PA43" s="91">
        <f t="shared" si="690"/>
        <v>0</v>
      </c>
      <c r="PB43" s="91">
        <f t="shared" si="691"/>
        <v>0</v>
      </c>
      <c r="PQ43" s="91">
        <f t="shared" si="692"/>
        <v>0</v>
      </c>
      <c r="PR43" s="91">
        <f t="shared" si="693"/>
        <v>0</v>
      </c>
      <c r="QG43" s="91">
        <f t="shared" si="694"/>
        <v>0</v>
      </c>
      <c r="QH43" s="91">
        <f t="shared" si="695"/>
        <v>0</v>
      </c>
      <c r="QW43" s="91">
        <f t="shared" si="696"/>
        <v>0</v>
      </c>
      <c r="QX43" s="91">
        <f t="shared" si="697"/>
        <v>0</v>
      </c>
      <c r="RM43" s="91">
        <f t="shared" si="698"/>
        <v>0</v>
      </c>
      <c r="RN43" s="91">
        <f t="shared" si="699"/>
        <v>0</v>
      </c>
      <c r="SC43" s="91">
        <f t="shared" si="700"/>
        <v>0</v>
      </c>
      <c r="SD43" s="91">
        <f t="shared" si="701"/>
        <v>0</v>
      </c>
      <c r="SS43" s="91">
        <f t="shared" si="702"/>
        <v>0</v>
      </c>
      <c r="ST43" s="91">
        <f t="shared" si="703"/>
        <v>0</v>
      </c>
      <c r="TI43" s="91">
        <f t="shared" si="704"/>
        <v>0</v>
      </c>
      <c r="TJ43" s="91">
        <f t="shared" si="705"/>
        <v>0</v>
      </c>
      <c r="TY43" s="91">
        <f t="shared" si="706"/>
        <v>0</v>
      </c>
      <c r="TZ43" s="91">
        <f t="shared" si="707"/>
        <v>0</v>
      </c>
      <c r="UO43" s="91">
        <f t="shared" si="708"/>
        <v>0</v>
      </c>
      <c r="UP43" s="91">
        <f t="shared" si="764"/>
        <v>0</v>
      </c>
      <c r="VE43" s="91">
        <f t="shared" si="709"/>
        <v>0</v>
      </c>
      <c r="VF43" s="91">
        <f t="shared" si="710"/>
        <v>0</v>
      </c>
      <c r="VU43" s="91">
        <f t="shared" si="711"/>
        <v>0</v>
      </c>
      <c r="VV43" s="91">
        <f t="shared" si="712"/>
        <v>0</v>
      </c>
      <c r="WK43" s="91">
        <f t="shared" si="713"/>
        <v>0</v>
      </c>
      <c r="WL43" s="91">
        <f t="shared" si="714"/>
        <v>0</v>
      </c>
      <c r="WM43" s="89"/>
      <c r="WN43" s="87">
        <f t="shared" si="789"/>
        <v>0</v>
      </c>
      <c r="WO43" s="87">
        <f t="shared" si="790"/>
        <v>0</v>
      </c>
      <c r="WP43" s="87">
        <f t="shared" si="791"/>
        <v>0</v>
      </c>
      <c r="WQ43" s="87">
        <f t="shared" si="792"/>
        <v>0</v>
      </c>
      <c r="WR43" s="87">
        <f t="shared" si="793"/>
        <v>0</v>
      </c>
      <c r="WS43" s="87">
        <f t="shared" si="794"/>
        <v>0</v>
      </c>
      <c r="WT43" s="87">
        <f t="shared" si="795"/>
        <v>0</v>
      </c>
      <c r="WU43" s="87">
        <f t="shared" si="796"/>
        <v>0</v>
      </c>
      <c r="WV43" s="87">
        <f t="shared" si="797"/>
        <v>0</v>
      </c>
      <c r="WW43" s="87">
        <f t="shared" si="798"/>
        <v>0</v>
      </c>
      <c r="WX43" s="87">
        <f t="shared" si="799"/>
        <v>0</v>
      </c>
      <c r="WY43" s="87">
        <f t="shared" si="800"/>
        <v>0</v>
      </c>
      <c r="WZ43" s="87">
        <f t="shared" si="780"/>
        <v>0</v>
      </c>
      <c r="XA43" s="87">
        <f t="shared" si="781"/>
        <v>0</v>
      </c>
      <c r="XB43" s="92">
        <f t="shared" si="801"/>
        <v>0</v>
      </c>
      <c r="XC43" s="92">
        <f t="shared" si="802"/>
        <v>0</v>
      </c>
      <c r="XD43" s="89"/>
      <c r="XE43" s="92">
        <f t="shared" ref="XE43:XE50" si="804">SUM(XB43,XB81,XB119)</f>
        <v>0</v>
      </c>
      <c r="XF43" s="92">
        <f t="shared" ref="XF43:XF50" si="805">SUM(XC43,XC81,XC119)</f>
        <v>0</v>
      </c>
      <c r="XG43" s="89"/>
      <c r="XH43" s="92">
        <f t="shared" ref="XH43:XI43" si="806">SUM(XE43,XE81)</f>
        <v>0</v>
      </c>
      <c r="XI43" s="92">
        <f t="shared" si="806"/>
        <v>0</v>
      </c>
      <c r="XJ43" s="89"/>
      <c r="XK43" s="87">
        <f t="shared" si="732"/>
        <v>0</v>
      </c>
      <c r="XL43" s="87">
        <f t="shared" si="733"/>
        <v>0</v>
      </c>
      <c r="XM43" s="87">
        <f t="shared" si="734"/>
        <v>0</v>
      </c>
      <c r="XN43" s="87">
        <f t="shared" si="735"/>
        <v>260</v>
      </c>
      <c r="XO43" s="87">
        <f t="shared" si="736"/>
        <v>0</v>
      </c>
      <c r="XP43" s="87">
        <f t="shared" si="737"/>
        <v>0</v>
      </c>
      <c r="XQ43" s="87">
        <f t="shared" si="738"/>
        <v>0</v>
      </c>
      <c r="XR43" s="92">
        <f t="shared" si="739"/>
        <v>260</v>
      </c>
      <c r="XS43" s="89"/>
      <c r="XT43" s="87">
        <f t="shared" si="740"/>
        <v>0</v>
      </c>
      <c r="XU43" s="87">
        <f t="shared" si="741"/>
        <v>0</v>
      </c>
      <c r="XV43" s="87">
        <f t="shared" si="742"/>
        <v>0</v>
      </c>
      <c r="XW43" s="87">
        <f t="shared" si="743"/>
        <v>19500</v>
      </c>
      <c r="XX43" s="87">
        <f t="shared" si="744"/>
        <v>0</v>
      </c>
      <c r="XY43" s="87">
        <f t="shared" si="745"/>
        <v>0</v>
      </c>
      <c r="XZ43" s="87">
        <f t="shared" si="746"/>
        <v>0</v>
      </c>
      <c r="YA43" s="92">
        <f t="shared" si="747"/>
        <v>19500</v>
      </c>
      <c r="YB43" s="90"/>
      <c r="YC43" s="90"/>
      <c r="YD43" s="90"/>
      <c r="YE43" s="90"/>
      <c r="YF43" s="90"/>
      <c r="YG43" s="90"/>
      <c r="YH43" s="90"/>
      <c r="YI43" s="90"/>
      <c r="YJ43" s="90"/>
      <c r="YK43" s="90"/>
      <c r="YL43" s="90"/>
      <c r="YM43" s="90"/>
      <c r="YN43" s="90"/>
      <c r="YO43" s="90"/>
      <c r="YP43" s="90"/>
      <c r="YQ43" s="90"/>
      <c r="YR43" s="90"/>
      <c r="YS43" s="90"/>
      <c r="YT43" s="90"/>
      <c r="YU43" s="90"/>
      <c r="YV43" s="90"/>
      <c r="YW43" s="90"/>
      <c r="YX43" s="90"/>
      <c r="YY43" s="90"/>
      <c r="YZ43" s="90"/>
      <c r="ZA43" s="90"/>
      <c r="ZB43" s="90"/>
      <c r="ZC43" s="90"/>
      <c r="ZD43" s="90"/>
      <c r="ZE43" s="90"/>
      <c r="ZF43" s="90"/>
      <c r="ZG43" s="90"/>
      <c r="ZH43" s="90"/>
      <c r="ZI43" s="90"/>
      <c r="ZJ43" s="90"/>
      <c r="ZK43" s="90"/>
      <c r="ZL43" s="90"/>
      <c r="ZM43" s="90"/>
      <c r="ZN43" s="90"/>
      <c r="ZO43" s="90"/>
      <c r="ZP43" s="90"/>
      <c r="ZQ43" s="90"/>
      <c r="ZR43" s="90"/>
      <c r="ZS43" s="90"/>
      <c r="ZT43" s="90"/>
      <c r="ZU43" s="90"/>
      <c r="ZV43" s="90"/>
      <c r="ZW43" s="90"/>
      <c r="ZX43" s="90"/>
      <c r="ZY43" s="90"/>
      <c r="ZZ43" s="90"/>
      <c r="AAA43" s="90"/>
      <c r="AAB43" s="90"/>
      <c r="AAC43" s="90"/>
      <c r="AAD43" s="90"/>
      <c r="AAE43" s="90"/>
      <c r="AAF43" s="90"/>
      <c r="AAG43" s="90"/>
      <c r="AAH43" s="90"/>
      <c r="AAI43" s="90"/>
      <c r="AAJ43" s="90"/>
      <c r="AAK43" s="90"/>
      <c r="AAL43" s="90"/>
      <c r="AAM43" s="90"/>
      <c r="AAN43" s="90"/>
      <c r="AAO43" s="90"/>
      <c r="AAP43" s="90"/>
      <c r="AAQ43" s="90"/>
      <c r="AAR43" s="90"/>
      <c r="AAS43" s="90"/>
      <c r="AAT43" s="90"/>
      <c r="AAU43" s="90"/>
      <c r="AAV43" s="90"/>
      <c r="AAW43" s="90"/>
      <c r="AAX43" s="90"/>
      <c r="AAY43" s="90"/>
      <c r="AAZ43" s="90"/>
      <c r="ABA43" s="90"/>
      <c r="ABB43" s="90"/>
      <c r="ABC43" s="90"/>
      <c r="ABD43" s="90"/>
      <c r="ABE43" s="90"/>
      <c r="ABF43" s="90"/>
      <c r="ABG43" s="90"/>
      <c r="ABH43" s="90"/>
      <c r="ABI43" s="90"/>
      <c r="ABJ43" s="90"/>
      <c r="ABK43" s="90"/>
      <c r="ABL43" s="90"/>
      <c r="ABM43" s="90"/>
      <c r="ABN43" s="90"/>
      <c r="ABO43" s="90"/>
      <c r="ABP43" s="90"/>
      <c r="ABQ43" s="90"/>
      <c r="ABR43" s="90"/>
      <c r="ABS43" s="90"/>
      <c r="ABT43" s="90"/>
      <c r="ABU43" s="90"/>
      <c r="ABV43" s="90"/>
      <c r="ABW43" s="90"/>
      <c r="ABX43" s="90"/>
      <c r="ABY43" s="90"/>
      <c r="ABZ43" s="90"/>
      <c r="ACA43" s="90"/>
      <c r="ACB43" s="90"/>
      <c r="ACC43" s="90"/>
      <c r="ACD43" s="90"/>
      <c r="ACE43" s="90"/>
      <c r="ACF43" s="90"/>
      <c r="ACG43" s="90"/>
      <c r="ACH43" s="90"/>
      <c r="ACI43" s="90"/>
      <c r="ACJ43" s="90"/>
      <c r="ACK43" s="90"/>
      <c r="ACL43" s="90"/>
      <c r="ACM43" s="90"/>
      <c r="ACN43" s="90"/>
      <c r="ACO43" s="90"/>
      <c r="ACP43" s="90"/>
      <c r="ACQ43" s="90"/>
      <c r="ACR43" s="90"/>
      <c r="ACS43" s="90"/>
      <c r="ACT43" s="90"/>
      <c r="ACU43" s="90"/>
      <c r="ACV43" s="90"/>
      <c r="ACW43" s="90"/>
      <c r="ACX43" s="90"/>
      <c r="ACY43" s="90"/>
      <c r="ACZ43" s="90"/>
      <c r="ADA43" s="90"/>
      <c r="ADB43" s="90"/>
      <c r="ADC43" s="90"/>
      <c r="ADD43" s="90"/>
      <c r="ADE43" s="90"/>
      <c r="ADF43" s="90"/>
      <c r="ADG43" s="90"/>
      <c r="ADH43" s="90"/>
      <c r="ADI43" s="90"/>
      <c r="ADJ43" s="90"/>
      <c r="ADK43" s="90"/>
      <c r="ADL43" s="90"/>
      <c r="ADM43" s="90"/>
      <c r="ADN43" s="90"/>
      <c r="ADO43" s="90"/>
      <c r="ADP43" s="90"/>
      <c r="ADQ43" s="90"/>
      <c r="ADR43" s="90"/>
      <c r="ADS43" s="90"/>
      <c r="ADT43" s="90"/>
      <c r="ADU43" s="90"/>
      <c r="ADV43" s="90"/>
      <c r="ADW43" s="90"/>
      <c r="ADX43" s="90"/>
      <c r="ADY43" s="90"/>
      <c r="ADZ43" s="90"/>
      <c r="AEA43" s="90"/>
      <c r="AEB43" s="90"/>
      <c r="AEC43" s="90"/>
      <c r="AED43" s="90"/>
      <c r="AEE43" s="90"/>
      <c r="AEF43" s="90"/>
      <c r="AEG43" s="90"/>
      <c r="AEH43" s="90"/>
      <c r="AEI43" s="90"/>
      <c r="AEJ43" s="90"/>
      <c r="AEK43" s="90"/>
      <c r="AEL43" s="90"/>
      <c r="AEM43" s="90"/>
      <c r="AEN43" s="90"/>
      <c r="AEO43" s="90"/>
      <c r="AEP43" s="90"/>
      <c r="AEQ43" s="90"/>
      <c r="AER43" s="90"/>
      <c r="AES43" s="90"/>
      <c r="AET43" s="90"/>
      <c r="AEU43" s="90"/>
      <c r="AEV43" s="90"/>
      <c r="AEW43" s="90"/>
      <c r="AEX43" s="90"/>
      <c r="AEY43" s="90"/>
      <c r="AEZ43" s="90"/>
      <c r="AFA43" s="90"/>
      <c r="AFB43" s="90"/>
      <c r="AFC43" s="90"/>
      <c r="AFD43" s="90"/>
      <c r="AFE43" s="90"/>
      <c r="AFF43" s="90"/>
      <c r="AFG43" s="90"/>
      <c r="AFH43" s="90"/>
      <c r="AFI43" s="90"/>
      <c r="AFJ43" s="90"/>
      <c r="AFK43" s="90"/>
      <c r="AFL43" s="90"/>
      <c r="AFM43" s="90"/>
      <c r="AFN43" s="90"/>
      <c r="AFO43" s="90"/>
      <c r="AFP43" s="90"/>
      <c r="AFQ43" s="90"/>
      <c r="AFR43" s="90"/>
      <c r="AFS43" s="90"/>
      <c r="AFT43" s="90"/>
      <c r="AFU43" s="90"/>
      <c r="AFV43" s="90"/>
      <c r="AFW43" s="90"/>
      <c r="AFX43" s="90"/>
      <c r="AFY43" s="90"/>
      <c r="AFZ43" s="90"/>
      <c r="AGA43" s="90"/>
      <c r="AGB43" s="90"/>
      <c r="AGC43" s="90"/>
      <c r="AGD43" s="90"/>
      <c r="AGE43" s="90"/>
      <c r="AGF43" s="90"/>
      <c r="AGG43" s="90"/>
      <c r="AGH43" s="90"/>
      <c r="AGI43" s="90"/>
      <c r="AGJ43" s="90"/>
      <c r="AGK43" s="90"/>
      <c r="AGL43" s="90"/>
      <c r="AGM43" s="90"/>
      <c r="AGN43" s="90"/>
      <c r="AGO43" s="90"/>
      <c r="AGP43" s="90"/>
      <c r="AGQ43" s="90"/>
      <c r="AGR43" s="90"/>
      <c r="AGS43" s="90"/>
      <c r="AGT43" s="90"/>
      <c r="AGU43" s="90"/>
      <c r="AGV43" s="90"/>
      <c r="AGW43" s="90"/>
      <c r="AGX43" s="90"/>
      <c r="AGY43" s="90"/>
      <c r="AGZ43" s="90"/>
      <c r="AHA43" s="90"/>
      <c r="AHB43" s="90"/>
      <c r="AHC43" s="90"/>
      <c r="AHD43" s="90"/>
      <c r="AHE43" s="90"/>
      <c r="AHF43" s="90"/>
      <c r="AHG43" s="90"/>
      <c r="AHH43" s="90"/>
      <c r="AHI43" s="90"/>
      <c r="AHJ43" s="90"/>
      <c r="AHK43" s="90"/>
      <c r="AHL43" s="90"/>
      <c r="AHM43" s="90"/>
      <c r="AHN43" s="90"/>
      <c r="AHO43" s="90"/>
      <c r="AHP43" s="90"/>
      <c r="AHQ43" s="90"/>
      <c r="AHR43" s="90"/>
      <c r="AHS43" s="90"/>
      <c r="AHT43" s="90"/>
      <c r="AHU43" s="90"/>
      <c r="AHV43" s="90"/>
      <c r="AHW43" s="90"/>
      <c r="AHX43" s="90"/>
      <c r="AHY43" s="90"/>
      <c r="AHZ43" s="90"/>
      <c r="AIA43" s="90"/>
      <c r="AIB43" s="90"/>
      <c r="AIC43" s="90"/>
      <c r="AID43" s="90"/>
      <c r="AIE43" s="90"/>
      <c r="AIF43" s="90"/>
      <c r="AIG43" s="90"/>
      <c r="AIH43" s="90"/>
      <c r="AII43" s="90"/>
      <c r="AIJ43" s="90"/>
      <c r="AIK43" s="90"/>
      <c r="AIL43" s="90"/>
      <c r="AIM43" s="90"/>
      <c r="AIN43" s="90"/>
      <c r="AIO43" s="90"/>
      <c r="AIP43" s="90"/>
      <c r="AIQ43" s="90"/>
      <c r="AIR43" s="90"/>
      <c r="AIS43" s="90"/>
      <c r="AIT43" s="90"/>
      <c r="AIU43" s="90"/>
      <c r="AIV43" s="90"/>
      <c r="AIW43" s="90"/>
      <c r="AIX43" s="90"/>
      <c r="AIY43" s="90"/>
      <c r="AIZ43" s="90"/>
      <c r="AJA43" s="90"/>
      <c r="AJB43" s="90"/>
      <c r="AJC43" s="90"/>
      <c r="AJD43" s="90"/>
      <c r="AJE43" s="90"/>
      <c r="AJF43" s="90"/>
      <c r="AJG43" s="90"/>
      <c r="AJH43" s="90"/>
      <c r="AJI43" s="90"/>
      <c r="AJJ43" s="90"/>
      <c r="AJK43" s="90"/>
      <c r="AJL43" s="90"/>
      <c r="AJM43" s="90"/>
      <c r="AJN43" s="90"/>
      <c r="AJO43" s="90"/>
      <c r="AJP43" s="90"/>
      <c r="AJQ43" s="90"/>
      <c r="AJR43" s="90"/>
      <c r="AJS43" s="90"/>
      <c r="AJT43" s="90"/>
      <c r="AJU43" s="90"/>
      <c r="AJV43" s="90"/>
      <c r="AJW43" s="90"/>
      <c r="AJX43" s="90"/>
      <c r="AJY43" s="90"/>
      <c r="AJZ43" s="90"/>
      <c r="AKA43" s="90"/>
      <c r="AKB43" s="90"/>
      <c r="AKC43" s="90"/>
      <c r="AKD43" s="90"/>
      <c r="AKE43" s="90"/>
      <c r="AKF43" s="90"/>
      <c r="AKG43" s="90"/>
      <c r="AKH43" s="90"/>
      <c r="AKI43" s="90"/>
      <c r="AKJ43" s="90"/>
      <c r="AKK43" s="90"/>
      <c r="AKL43" s="90"/>
      <c r="AKM43" s="90"/>
      <c r="AKN43" s="90"/>
      <c r="AKO43" s="90"/>
      <c r="AKP43" s="90"/>
      <c r="AKQ43" s="90"/>
      <c r="AKR43" s="90"/>
      <c r="AKS43" s="90"/>
      <c r="AKT43" s="90"/>
      <c r="AKU43" s="90"/>
      <c r="AKV43" s="90"/>
      <c r="AKW43" s="90"/>
      <c r="AKX43" s="90"/>
      <c r="AKY43" s="90"/>
      <c r="AKZ43" s="90"/>
      <c r="ALA43" s="90"/>
      <c r="ALB43" s="90"/>
      <c r="ALC43" s="90"/>
      <c r="ALD43" s="90"/>
      <c r="ALE43" s="90"/>
      <c r="ALF43" s="90"/>
      <c r="ALG43" s="90"/>
      <c r="ALH43" s="90"/>
      <c r="ALI43" s="90"/>
      <c r="ALJ43" s="90"/>
      <c r="ALK43" s="90"/>
      <c r="ALL43" s="90"/>
      <c r="ALM43" s="90"/>
      <c r="ALN43" s="90"/>
      <c r="ALO43" s="90"/>
      <c r="ALP43" s="90"/>
      <c r="ALQ43" s="90"/>
      <c r="ALR43" s="90"/>
      <c r="ALS43" s="90"/>
      <c r="ALT43" s="90"/>
      <c r="ALU43" s="90"/>
      <c r="ALV43" s="90"/>
      <c r="ALW43" s="90"/>
      <c r="ALX43" s="90"/>
      <c r="ALY43" s="90"/>
      <c r="ALZ43" s="90"/>
      <c r="AMA43" s="90"/>
      <c r="AMB43" s="90"/>
      <c r="AMC43" s="90"/>
    </row>
    <row r="44" spans="1:1017">
      <c r="A44" s="98" t="s">
        <v>25</v>
      </c>
      <c r="B44" s="727" t="s">
        <v>605</v>
      </c>
      <c r="Q44" s="91">
        <f t="shared" si="640"/>
        <v>0</v>
      </c>
      <c r="R44" s="91">
        <f t="shared" si="641"/>
        <v>0</v>
      </c>
      <c r="AG44" s="91">
        <f t="shared" si="642"/>
        <v>0</v>
      </c>
      <c r="AH44" s="91">
        <f t="shared" si="643"/>
        <v>0</v>
      </c>
      <c r="AW44" s="91">
        <f t="shared" si="644"/>
        <v>0</v>
      </c>
      <c r="AX44" s="91">
        <f t="shared" si="645"/>
        <v>0</v>
      </c>
      <c r="BM44" s="91">
        <f t="shared" si="646"/>
        <v>0</v>
      </c>
      <c r="BN44" s="91">
        <f t="shared" si="647"/>
        <v>0</v>
      </c>
      <c r="CC44" s="91">
        <f t="shared" si="648"/>
        <v>0</v>
      </c>
      <c r="CD44" s="91">
        <f t="shared" si="649"/>
        <v>0</v>
      </c>
      <c r="CS44" s="91">
        <f t="shared" si="650"/>
        <v>0</v>
      </c>
      <c r="CT44" s="91">
        <f t="shared" si="651"/>
        <v>0</v>
      </c>
      <c r="DI44" s="91">
        <f t="shared" si="652"/>
        <v>0</v>
      </c>
      <c r="DJ44" s="91">
        <f t="shared" si="653"/>
        <v>0</v>
      </c>
      <c r="DY44" s="91">
        <f t="shared" si="654"/>
        <v>0</v>
      </c>
      <c r="DZ44" s="91">
        <f t="shared" si="655"/>
        <v>0</v>
      </c>
      <c r="EO44" s="91">
        <f t="shared" si="656"/>
        <v>0</v>
      </c>
      <c r="EP44" s="91">
        <f t="shared" si="657"/>
        <v>0</v>
      </c>
      <c r="FE44" s="91">
        <f t="shared" si="658"/>
        <v>0</v>
      </c>
      <c r="FF44" s="91">
        <f t="shared" si="659"/>
        <v>0</v>
      </c>
      <c r="FU44" s="91">
        <f t="shared" si="660"/>
        <v>0</v>
      </c>
      <c r="FV44" s="91">
        <f t="shared" si="661"/>
        <v>0</v>
      </c>
      <c r="GK44" s="91">
        <f t="shared" si="662"/>
        <v>0</v>
      </c>
      <c r="GL44" s="91">
        <f t="shared" si="663"/>
        <v>0</v>
      </c>
      <c r="HA44" s="91">
        <f t="shared" si="664"/>
        <v>0</v>
      </c>
      <c r="HB44" s="91">
        <f t="shared" si="665"/>
        <v>0</v>
      </c>
      <c r="HQ44" s="91">
        <f t="shared" si="666"/>
        <v>0</v>
      </c>
      <c r="HR44" s="91">
        <f t="shared" si="667"/>
        <v>0</v>
      </c>
      <c r="IG44" s="91">
        <f t="shared" si="668"/>
        <v>0</v>
      </c>
      <c r="IH44" s="91">
        <f t="shared" si="669"/>
        <v>0</v>
      </c>
      <c r="IW44" s="91">
        <f t="shared" si="670"/>
        <v>0</v>
      </c>
      <c r="IX44" s="91">
        <f t="shared" si="671"/>
        <v>0</v>
      </c>
      <c r="JM44" s="91">
        <f t="shared" si="672"/>
        <v>0</v>
      </c>
      <c r="JN44" s="91">
        <f t="shared" si="673"/>
        <v>0</v>
      </c>
      <c r="KC44" s="91">
        <f t="shared" si="674"/>
        <v>0</v>
      </c>
      <c r="KD44" s="91">
        <f t="shared" si="675"/>
        <v>0</v>
      </c>
      <c r="KS44" s="91">
        <f t="shared" si="676"/>
        <v>0</v>
      </c>
      <c r="KT44" s="91">
        <f t="shared" si="677"/>
        <v>0</v>
      </c>
      <c r="LI44" s="91">
        <f t="shared" si="678"/>
        <v>0</v>
      </c>
      <c r="LJ44" s="91">
        <f t="shared" si="679"/>
        <v>0</v>
      </c>
      <c r="LY44" s="91">
        <f t="shared" si="680"/>
        <v>0</v>
      </c>
      <c r="LZ44" s="91">
        <f t="shared" si="681"/>
        <v>0</v>
      </c>
      <c r="MO44" s="91">
        <f t="shared" si="682"/>
        <v>0</v>
      </c>
      <c r="MP44" s="91">
        <f t="shared" si="683"/>
        <v>0</v>
      </c>
      <c r="NE44" s="91">
        <f t="shared" si="684"/>
        <v>0</v>
      </c>
      <c r="NF44" s="91">
        <f t="shared" si="685"/>
        <v>0</v>
      </c>
      <c r="NU44" s="91">
        <f t="shared" si="686"/>
        <v>0</v>
      </c>
      <c r="NV44" s="91">
        <f t="shared" si="687"/>
        <v>0</v>
      </c>
      <c r="OK44" s="91">
        <f t="shared" si="688"/>
        <v>0</v>
      </c>
      <c r="OL44" s="91">
        <f t="shared" si="689"/>
        <v>0</v>
      </c>
      <c r="PA44" s="91">
        <f t="shared" si="690"/>
        <v>0</v>
      </c>
      <c r="PB44" s="91">
        <f t="shared" si="691"/>
        <v>0</v>
      </c>
      <c r="PQ44" s="91">
        <f t="shared" si="692"/>
        <v>0</v>
      </c>
      <c r="PR44" s="91">
        <f t="shared" si="693"/>
        <v>0</v>
      </c>
      <c r="QG44" s="91">
        <f t="shared" si="694"/>
        <v>0</v>
      </c>
      <c r="QH44" s="91">
        <f t="shared" si="695"/>
        <v>0</v>
      </c>
      <c r="QW44" s="91">
        <f t="shared" si="696"/>
        <v>0</v>
      </c>
      <c r="QX44" s="91">
        <f t="shared" si="697"/>
        <v>0</v>
      </c>
      <c r="RM44" s="91">
        <f t="shared" si="698"/>
        <v>0</v>
      </c>
      <c r="RN44" s="91">
        <f t="shared" si="699"/>
        <v>0</v>
      </c>
      <c r="SC44" s="91">
        <f t="shared" si="700"/>
        <v>0</v>
      </c>
      <c r="SD44" s="91">
        <f t="shared" si="701"/>
        <v>0</v>
      </c>
      <c r="SS44" s="91">
        <f t="shared" si="702"/>
        <v>0</v>
      </c>
      <c r="ST44" s="91">
        <f t="shared" si="703"/>
        <v>0</v>
      </c>
      <c r="TI44" s="91">
        <f t="shared" si="704"/>
        <v>0</v>
      </c>
      <c r="TJ44" s="91">
        <f t="shared" si="705"/>
        <v>0</v>
      </c>
      <c r="TY44" s="91">
        <f t="shared" si="706"/>
        <v>0</v>
      </c>
      <c r="TZ44" s="91">
        <f t="shared" si="707"/>
        <v>0</v>
      </c>
      <c r="UO44" s="91">
        <f t="shared" si="708"/>
        <v>0</v>
      </c>
      <c r="UP44" s="91">
        <f t="shared" si="764"/>
        <v>0</v>
      </c>
      <c r="VE44" s="91">
        <f t="shared" si="709"/>
        <v>0</v>
      </c>
      <c r="VF44" s="91">
        <f t="shared" si="710"/>
        <v>0</v>
      </c>
      <c r="VU44" s="91">
        <f t="shared" si="711"/>
        <v>0</v>
      </c>
      <c r="VV44" s="91">
        <f t="shared" si="712"/>
        <v>0</v>
      </c>
      <c r="WK44" s="91">
        <f t="shared" si="713"/>
        <v>0</v>
      </c>
      <c r="WL44" s="91">
        <f t="shared" si="714"/>
        <v>0</v>
      </c>
      <c r="WM44" s="89"/>
      <c r="WN44" s="87">
        <f t="shared" si="789"/>
        <v>0</v>
      </c>
      <c r="WO44" s="87">
        <f t="shared" si="790"/>
        <v>0</v>
      </c>
      <c r="WP44" s="87">
        <f t="shared" si="791"/>
        <v>0</v>
      </c>
      <c r="WQ44" s="87">
        <f t="shared" si="792"/>
        <v>0</v>
      </c>
      <c r="WR44" s="87">
        <f t="shared" si="793"/>
        <v>0</v>
      </c>
      <c r="WS44" s="87">
        <f t="shared" si="794"/>
        <v>0</v>
      </c>
      <c r="WT44" s="87">
        <f t="shared" si="795"/>
        <v>0</v>
      </c>
      <c r="WU44" s="87">
        <f t="shared" si="796"/>
        <v>0</v>
      </c>
      <c r="WV44" s="87">
        <f t="shared" si="797"/>
        <v>0</v>
      </c>
      <c r="WW44" s="87">
        <f t="shared" si="798"/>
        <v>0</v>
      </c>
      <c r="WX44" s="87">
        <f t="shared" si="799"/>
        <v>0</v>
      </c>
      <c r="WY44" s="87">
        <f t="shared" si="800"/>
        <v>0</v>
      </c>
      <c r="WZ44" s="87">
        <f t="shared" si="780"/>
        <v>0</v>
      </c>
      <c r="XA44" s="87">
        <f t="shared" si="781"/>
        <v>0</v>
      </c>
      <c r="XB44" s="92">
        <f t="shared" si="801"/>
        <v>0</v>
      </c>
      <c r="XC44" s="92">
        <f t="shared" si="802"/>
        <v>0</v>
      </c>
      <c r="XD44" s="89"/>
      <c r="XE44" s="92">
        <f t="shared" si="804"/>
        <v>0</v>
      </c>
      <c r="XF44" s="92">
        <f t="shared" si="805"/>
        <v>0</v>
      </c>
      <c r="XG44" s="89"/>
      <c r="XH44" s="92">
        <f t="shared" ref="XH44:XI44" si="807">SUM(XE44,XE82)</f>
        <v>0</v>
      </c>
      <c r="XI44" s="92">
        <f t="shared" si="807"/>
        <v>0</v>
      </c>
      <c r="XJ44" s="89"/>
      <c r="XK44" s="87">
        <f t="shared" si="732"/>
        <v>0</v>
      </c>
      <c r="XL44" s="87">
        <f t="shared" si="733"/>
        <v>0</v>
      </c>
      <c r="XM44" s="87">
        <f t="shared" si="734"/>
        <v>0</v>
      </c>
      <c r="XN44" s="87">
        <f t="shared" si="735"/>
        <v>0</v>
      </c>
      <c r="XO44" s="87">
        <f t="shared" si="736"/>
        <v>0</v>
      </c>
      <c r="XP44" s="87">
        <f t="shared" si="737"/>
        <v>0</v>
      </c>
      <c r="XQ44" s="87">
        <f t="shared" si="738"/>
        <v>0</v>
      </c>
      <c r="XR44" s="92">
        <f t="shared" si="739"/>
        <v>0</v>
      </c>
      <c r="XS44" s="89"/>
      <c r="XT44" s="87">
        <f t="shared" si="740"/>
        <v>0</v>
      </c>
      <c r="XU44" s="87">
        <f t="shared" si="741"/>
        <v>0</v>
      </c>
      <c r="XV44" s="87">
        <f t="shared" si="742"/>
        <v>0</v>
      </c>
      <c r="XW44" s="87">
        <f t="shared" si="743"/>
        <v>0</v>
      </c>
      <c r="XX44" s="87">
        <f t="shared" si="744"/>
        <v>0</v>
      </c>
      <c r="XY44" s="87">
        <f t="shared" si="745"/>
        <v>0</v>
      </c>
      <c r="XZ44" s="87">
        <f t="shared" si="746"/>
        <v>0</v>
      </c>
      <c r="YA44" s="92">
        <f t="shared" si="747"/>
        <v>0</v>
      </c>
      <c r="YB44" s="90"/>
      <c r="YC44" s="90"/>
      <c r="YD44" s="90"/>
      <c r="YE44" s="90"/>
      <c r="YF44" s="90"/>
      <c r="YG44" s="90"/>
      <c r="YH44" s="90"/>
      <c r="YI44" s="90"/>
      <c r="YJ44" s="90"/>
      <c r="YK44" s="90"/>
      <c r="YL44" s="90"/>
      <c r="YM44" s="90"/>
      <c r="YN44" s="90"/>
      <c r="YO44" s="90"/>
      <c r="YP44" s="90"/>
      <c r="YQ44" s="90"/>
      <c r="YR44" s="90"/>
      <c r="YS44" s="90"/>
      <c r="YT44" s="90"/>
      <c r="YU44" s="90"/>
      <c r="YV44" s="90"/>
      <c r="YW44" s="90"/>
      <c r="YX44" s="90"/>
      <c r="YY44" s="90"/>
      <c r="YZ44" s="90"/>
      <c r="ZA44" s="90"/>
      <c r="ZB44" s="90"/>
      <c r="ZC44" s="90"/>
      <c r="ZD44" s="90"/>
      <c r="ZE44" s="90"/>
      <c r="ZF44" s="90"/>
      <c r="ZG44" s="90"/>
      <c r="ZH44" s="90"/>
      <c r="ZI44" s="90"/>
      <c r="ZJ44" s="90"/>
      <c r="ZK44" s="90"/>
      <c r="ZL44" s="90"/>
      <c r="ZM44" s="90"/>
      <c r="ZN44" s="90"/>
      <c r="ZO44" s="90"/>
      <c r="ZP44" s="90"/>
      <c r="ZQ44" s="90"/>
      <c r="ZR44" s="90"/>
      <c r="ZS44" s="90"/>
      <c r="ZT44" s="90"/>
      <c r="ZU44" s="90"/>
      <c r="ZV44" s="90"/>
      <c r="ZW44" s="90"/>
      <c r="ZX44" s="90"/>
      <c r="ZY44" s="90"/>
      <c r="ZZ44" s="90"/>
      <c r="AAA44" s="90"/>
      <c r="AAB44" s="90"/>
      <c r="AAC44" s="90"/>
      <c r="AAD44" s="90"/>
      <c r="AAE44" s="90"/>
      <c r="AAF44" s="90"/>
      <c r="AAG44" s="90"/>
      <c r="AAH44" s="90"/>
      <c r="AAI44" s="90"/>
      <c r="AAJ44" s="90"/>
      <c r="AAK44" s="90"/>
      <c r="AAL44" s="90"/>
      <c r="AAM44" s="90"/>
      <c r="AAN44" s="90"/>
      <c r="AAO44" s="90"/>
      <c r="AAP44" s="90"/>
      <c r="AAQ44" s="90"/>
      <c r="AAR44" s="90"/>
      <c r="AAS44" s="90"/>
      <c r="AAT44" s="90"/>
      <c r="AAU44" s="90"/>
      <c r="AAV44" s="90"/>
      <c r="AAW44" s="90"/>
      <c r="AAX44" s="90"/>
      <c r="AAY44" s="90"/>
      <c r="AAZ44" s="90"/>
      <c r="ABA44" s="90"/>
      <c r="ABB44" s="90"/>
      <c r="ABC44" s="90"/>
      <c r="ABD44" s="90"/>
      <c r="ABE44" s="90"/>
      <c r="ABF44" s="90"/>
      <c r="ABG44" s="90"/>
      <c r="ABH44" s="90"/>
      <c r="ABI44" s="90"/>
      <c r="ABJ44" s="90"/>
      <c r="ABK44" s="90"/>
      <c r="ABL44" s="90"/>
      <c r="ABM44" s="90"/>
      <c r="ABN44" s="90"/>
      <c r="ABO44" s="90"/>
      <c r="ABP44" s="90"/>
      <c r="ABQ44" s="90"/>
      <c r="ABR44" s="90"/>
      <c r="ABS44" s="90"/>
      <c r="ABT44" s="90"/>
      <c r="ABU44" s="90"/>
      <c r="ABV44" s="90"/>
      <c r="ABW44" s="90"/>
      <c r="ABX44" s="90"/>
      <c r="ABY44" s="90"/>
      <c r="ABZ44" s="90"/>
      <c r="ACA44" s="90"/>
      <c r="ACB44" s="90"/>
      <c r="ACC44" s="90"/>
      <c r="ACD44" s="90"/>
      <c r="ACE44" s="90"/>
      <c r="ACF44" s="90"/>
      <c r="ACG44" s="90"/>
      <c r="ACH44" s="90"/>
      <c r="ACI44" s="90"/>
      <c r="ACJ44" s="90"/>
      <c r="ACK44" s="90"/>
      <c r="ACL44" s="90"/>
      <c r="ACM44" s="90"/>
      <c r="ACN44" s="90"/>
      <c r="ACO44" s="90"/>
      <c r="ACP44" s="90"/>
      <c r="ACQ44" s="90"/>
      <c r="ACR44" s="90"/>
      <c r="ACS44" s="90"/>
      <c r="ACT44" s="90"/>
      <c r="ACU44" s="90"/>
      <c r="ACV44" s="90"/>
      <c r="ACW44" s="90"/>
      <c r="ACX44" s="90"/>
      <c r="ACY44" s="90"/>
      <c r="ACZ44" s="90"/>
      <c r="ADA44" s="90"/>
      <c r="ADB44" s="90"/>
      <c r="ADC44" s="90"/>
      <c r="ADD44" s="90"/>
      <c r="ADE44" s="90"/>
      <c r="ADF44" s="90"/>
      <c r="ADG44" s="90"/>
      <c r="ADH44" s="90"/>
      <c r="ADI44" s="90"/>
      <c r="ADJ44" s="90"/>
      <c r="ADK44" s="90"/>
      <c r="ADL44" s="90"/>
      <c r="ADM44" s="90"/>
      <c r="ADN44" s="90"/>
      <c r="ADO44" s="90"/>
      <c r="ADP44" s="90"/>
      <c r="ADQ44" s="90"/>
      <c r="ADR44" s="90"/>
      <c r="ADS44" s="90"/>
      <c r="ADT44" s="90"/>
      <c r="ADU44" s="90"/>
      <c r="ADV44" s="90"/>
      <c r="ADW44" s="90"/>
      <c r="ADX44" s="90"/>
      <c r="ADY44" s="90"/>
      <c r="ADZ44" s="90"/>
      <c r="AEA44" s="90"/>
      <c r="AEB44" s="90"/>
      <c r="AEC44" s="90"/>
      <c r="AED44" s="90"/>
      <c r="AEE44" s="90"/>
      <c r="AEF44" s="90"/>
      <c r="AEG44" s="90"/>
      <c r="AEH44" s="90"/>
      <c r="AEI44" s="90"/>
      <c r="AEJ44" s="90"/>
      <c r="AEK44" s="90"/>
      <c r="AEL44" s="90"/>
      <c r="AEM44" s="90"/>
      <c r="AEN44" s="90"/>
      <c r="AEO44" s="90"/>
      <c r="AEP44" s="90"/>
      <c r="AEQ44" s="90"/>
      <c r="AER44" s="90"/>
      <c r="AES44" s="90"/>
      <c r="AET44" s="90"/>
      <c r="AEU44" s="90"/>
      <c r="AEV44" s="90"/>
      <c r="AEW44" s="90"/>
      <c r="AEX44" s="90"/>
      <c r="AEY44" s="90"/>
      <c r="AEZ44" s="90"/>
      <c r="AFA44" s="90"/>
      <c r="AFB44" s="90"/>
      <c r="AFC44" s="90"/>
      <c r="AFD44" s="90"/>
      <c r="AFE44" s="90"/>
      <c r="AFF44" s="90"/>
      <c r="AFG44" s="90"/>
      <c r="AFH44" s="90"/>
      <c r="AFI44" s="90"/>
      <c r="AFJ44" s="90"/>
      <c r="AFK44" s="90"/>
      <c r="AFL44" s="90"/>
      <c r="AFM44" s="90"/>
      <c r="AFN44" s="90"/>
      <c r="AFO44" s="90"/>
      <c r="AFP44" s="90"/>
      <c r="AFQ44" s="90"/>
      <c r="AFR44" s="90"/>
      <c r="AFS44" s="90"/>
      <c r="AFT44" s="90"/>
      <c r="AFU44" s="90"/>
      <c r="AFV44" s="90"/>
      <c r="AFW44" s="90"/>
      <c r="AFX44" s="90"/>
      <c r="AFY44" s="90"/>
      <c r="AFZ44" s="90"/>
      <c r="AGA44" s="90"/>
      <c r="AGB44" s="90"/>
      <c r="AGC44" s="90"/>
      <c r="AGD44" s="90"/>
      <c r="AGE44" s="90"/>
      <c r="AGF44" s="90"/>
      <c r="AGG44" s="90"/>
      <c r="AGH44" s="90"/>
      <c r="AGI44" s="90"/>
      <c r="AGJ44" s="90"/>
      <c r="AGK44" s="90"/>
      <c r="AGL44" s="90"/>
      <c r="AGM44" s="90"/>
      <c r="AGN44" s="90"/>
      <c r="AGO44" s="90"/>
      <c r="AGP44" s="90"/>
      <c r="AGQ44" s="90"/>
      <c r="AGR44" s="90"/>
      <c r="AGS44" s="90"/>
      <c r="AGT44" s="90"/>
      <c r="AGU44" s="90"/>
      <c r="AGV44" s="90"/>
      <c r="AGW44" s="90"/>
      <c r="AGX44" s="90"/>
      <c r="AGY44" s="90"/>
      <c r="AGZ44" s="90"/>
      <c r="AHA44" s="90"/>
      <c r="AHB44" s="90"/>
      <c r="AHC44" s="90"/>
      <c r="AHD44" s="90"/>
      <c r="AHE44" s="90"/>
      <c r="AHF44" s="90"/>
      <c r="AHG44" s="90"/>
      <c r="AHH44" s="90"/>
      <c r="AHI44" s="90"/>
      <c r="AHJ44" s="90"/>
      <c r="AHK44" s="90"/>
      <c r="AHL44" s="90"/>
      <c r="AHM44" s="90"/>
      <c r="AHN44" s="90"/>
      <c r="AHO44" s="90"/>
      <c r="AHP44" s="90"/>
      <c r="AHQ44" s="90"/>
      <c r="AHR44" s="90"/>
      <c r="AHS44" s="90"/>
      <c r="AHT44" s="90"/>
      <c r="AHU44" s="90"/>
      <c r="AHV44" s="90"/>
      <c r="AHW44" s="90"/>
      <c r="AHX44" s="90"/>
      <c r="AHY44" s="90"/>
      <c r="AHZ44" s="90"/>
      <c r="AIA44" s="90"/>
      <c r="AIB44" s="90"/>
      <c r="AIC44" s="90"/>
      <c r="AID44" s="90"/>
      <c r="AIE44" s="90"/>
      <c r="AIF44" s="90"/>
      <c r="AIG44" s="90"/>
      <c r="AIH44" s="90"/>
      <c r="AII44" s="90"/>
      <c r="AIJ44" s="90"/>
      <c r="AIK44" s="90"/>
      <c r="AIL44" s="90"/>
      <c r="AIM44" s="90"/>
      <c r="AIN44" s="90"/>
      <c r="AIO44" s="90"/>
      <c r="AIP44" s="90"/>
      <c r="AIQ44" s="90"/>
      <c r="AIR44" s="90"/>
      <c r="AIS44" s="90"/>
      <c r="AIT44" s="90"/>
      <c r="AIU44" s="90"/>
      <c r="AIV44" s="90"/>
      <c r="AIW44" s="90"/>
      <c r="AIX44" s="90"/>
      <c r="AIY44" s="90"/>
      <c r="AIZ44" s="90"/>
      <c r="AJA44" s="90"/>
      <c r="AJB44" s="90"/>
      <c r="AJC44" s="90"/>
      <c r="AJD44" s="90"/>
      <c r="AJE44" s="90"/>
      <c r="AJF44" s="90"/>
      <c r="AJG44" s="90"/>
      <c r="AJH44" s="90"/>
      <c r="AJI44" s="90"/>
      <c r="AJJ44" s="90"/>
      <c r="AJK44" s="90"/>
      <c r="AJL44" s="90"/>
      <c r="AJM44" s="90"/>
      <c r="AJN44" s="90"/>
      <c r="AJO44" s="90"/>
      <c r="AJP44" s="90"/>
      <c r="AJQ44" s="90"/>
      <c r="AJR44" s="90"/>
      <c r="AJS44" s="90"/>
      <c r="AJT44" s="90"/>
      <c r="AJU44" s="90"/>
      <c r="AJV44" s="90"/>
      <c r="AJW44" s="90"/>
      <c r="AJX44" s="90"/>
      <c r="AJY44" s="90"/>
      <c r="AJZ44" s="90"/>
      <c r="AKA44" s="90"/>
      <c r="AKB44" s="90"/>
      <c r="AKC44" s="90"/>
      <c r="AKD44" s="90"/>
      <c r="AKE44" s="90"/>
      <c r="AKF44" s="90"/>
      <c r="AKG44" s="90"/>
      <c r="AKH44" s="90"/>
      <c r="AKI44" s="90"/>
      <c r="AKJ44" s="90"/>
      <c r="AKK44" s="90"/>
      <c r="AKL44" s="90"/>
      <c r="AKM44" s="90"/>
      <c r="AKN44" s="90"/>
      <c r="AKO44" s="90"/>
      <c r="AKP44" s="90"/>
      <c r="AKQ44" s="90"/>
      <c r="AKR44" s="90"/>
      <c r="AKS44" s="90"/>
      <c r="AKT44" s="90"/>
      <c r="AKU44" s="90"/>
      <c r="AKV44" s="90"/>
      <c r="AKW44" s="90"/>
      <c r="AKX44" s="90"/>
      <c r="AKY44" s="90"/>
      <c r="AKZ44" s="90"/>
      <c r="ALA44" s="90"/>
      <c r="ALB44" s="90"/>
      <c r="ALC44" s="90"/>
      <c r="ALD44" s="90"/>
      <c r="ALE44" s="90"/>
      <c r="ALF44" s="90"/>
      <c r="ALG44" s="90"/>
      <c r="ALH44" s="90"/>
      <c r="ALI44" s="90"/>
      <c r="ALJ44" s="90"/>
      <c r="ALK44" s="90"/>
      <c r="ALL44" s="90"/>
      <c r="ALM44" s="90"/>
      <c r="ALN44" s="90"/>
      <c r="ALO44" s="90"/>
      <c r="ALP44" s="90"/>
      <c r="ALQ44" s="90"/>
      <c r="ALR44" s="90"/>
      <c r="ALS44" s="90"/>
      <c r="ALT44" s="90"/>
      <c r="ALU44" s="90"/>
      <c r="ALV44" s="90"/>
      <c r="ALW44" s="90"/>
      <c r="ALX44" s="90"/>
      <c r="ALY44" s="90"/>
      <c r="ALZ44" s="90"/>
      <c r="AMA44" s="90"/>
      <c r="AMB44" s="90"/>
      <c r="AMC44" s="90"/>
    </row>
    <row r="45" spans="1:1017">
      <c r="A45" s="98" t="s">
        <v>25</v>
      </c>
      <c r="B45" s="727" t="s">
        <v>606</v>
      </c>
      <c r="Q45" s="91">
        <f t="shared" si="640"/>
        <v>0</v>
      </c>
      <c r="R45" s="91">
        <f t="shared" si="641"/>
        <v>0</v>
      </c>
      <c r="AG45" s="91">
        <f t="shared" si="642"/>
        <v>0</v>
      </c>
      <c r="AH45" s="91">
        <f t="shared" si="643"/>
        <v>0</v>
      </c>
      <c r="AW45" s="91">
        <f t="shared" si="644"/>
        <v>0</v>
      </c>
      <c r="AX45" s="91">
        <f t="shared" si="645"/>
        <v>0</v>
      </c>
      <c r="BM45" s="91">
        <f t="shared" si="646"/>
        <v>0</v>
      </c>
      <c r="BN45" s="91">
        <f t="shared" si="647"/>
        <v>0</v>
      </c>
      <c r="CC45" s="91">
        <f t="shared" si="648"/>
        <v>0</v>
      </c>
      <c r="CD45" s="91">
        <f t="shared" si="649"/>
        <v>0</v>
      </c>
      <c r="CS45" s="91">
        <f t="shared" si="650"/>
        <v>0</v>
      </c>
      <c r="CT45" s="91">
        <f t="shared" si="651"/>
        <v>0</v>
      </c>
      <c r="DI45" s="91">
        <f t="shared" si="652"/>
        <v>0</v>
      </c>
      <c r="DJ45" s="91">
        <f t="shared" si="653"/>
        <v>0</v>
      </c>
      <c r="DY45" s="91">
        <f t="shared" si="654"/>
        <v>0</v>
      </c>
      <c r="DZ45" s="91">
        <f t="shared" si="655"/>
        <v>0</v>
      </c>
      <c r="EO45" s="91">
        <f t="shared" si="656"/>
        <v>0</v>
      </c>
      <c r="EP45" s="91">
        <f t="shared" si="657"/>
        <v>0</v>
      </c>
      <c r="FE45" s="91">
        <f t="shared" si="658"/>
        <v>0</v>
      </c>
      <c r="FF45" s="91">
        <f t="shared" si="659"/>
        <v>0</v>
      </c>
      <c r="FU45" s="91">
        <f t="shared" si="660"/>
        <v>0</v>
      </c>
      <c r="FV45" s="91">
        <f t="shared" si="661"/>
        <v>0</v>
      </c>
      <c r="GK45" s="91">
        <f t="shared" si="662"/>
        <v>0</v>
      </c>
      <c r="GL45" s="91">
        <f t="shared" si="663"/>
        <v>0</v>
      </c>
      <c r="HA45" s="91">
        <f t="shared" si="664"/>
        <v>0</v>
      </c>
      <c r="HB45" s="91">
        <f t="shared" si="665"/>
        <v>0</v>
      </c>
      <c r="HQ45" s="91">
        <f t="shared" si="666"/>
        <v>0</v>
      </c>
      <c r="HR45" s="91">
        <f t="shared" si="667"/>
        <v>0</v>
      </c>
      <c r="IG45" s="91">
        <f t="shared" si="668"/>
        <v>0</v>
      </c>
      <c r="IH45" s="91">
        <f t="shared" si="669"/>
        <v>0</v>
      </c>
      <c r="IW45" s="91">
        <f t="shared" si="670"/>
        <v>0</v>
      </c>
      <c r="IX45" s="91">
        <f t="shared" si="671"/>
        <v>0</v>
      </c>
      <c r="JM45" s="91">
        <f t="shared" si="672"/>
        <v>0</v>
      </c>
      <c r="JN45" s="91">
        <f t="shared" si="673"/>
        <v>0</v>
      </c>
      <c r="KC45" s="91">
        <f t="shared" si="674"/>
        <v>0</v>
      </c>
      <c r="KD45" s="91">
        <f t="shared" si="675"/>
        <v>0</v>
      </c>
      <c r="KS45" s="91">
        <f t="shared" si="676"/>
        <v>0</v>
      </c>
      <c r="KT45" s="91">
        <f t="shared" si="677"/>
        <v>0</v>
      </c>
      <c r="LI45" s="91">
        <f t="shared" si="678"/>
        <v>0</v>
      </c>
      <c r="LJ45" s="91">
        <f t="shared" si="679"/>
        <v>0</v>
      </c>
      <c r="LY45" s="91">
        <f t="shared" si="680"/>
        <v>0</v>
      </c>
      <c r="LZ45" s="91">
        <f t="shared" si="681"/>
        <v>0</v>
      </c>
      <c r="MO45" s="91">
        <f t="shared" si="682"/>
        <v>0</v>
      </c>
      <c r="MP45" s="91">
        <f t="shared" si="683"/>
        <v>0</v>
      </c>
      <c r="NE45" s="91">
        <f t="shared" si="684"/>
        <v>0</v>
      </c>
      <c r="NF45" s="91">
        <f t="shared" si="685"/>
        <v>0</v>
      </c>
      <c r="NU45" s="91">
        <f t="shared" si="686"/>
        <v>0</v>
      </c>
      <c r="NV45" s="91">
        <f t="shared" si="687"/>
        <v>0</v>
      </c>
      <c r="OK45" s="91">
        <f t="shared" si="688"/>
        <v>0</v>
      </c>
      <c r="OL45" s="91">
        <f t="shared" si="689"/>
        <v>0</v>
      </c>
      <c r="PA45" s="91">
        <f t="shared" si="690"/>
        <v>0</v>
      </c>
      <c r="PB45" s="91">
        <f t="shared" si="691"/>
        <v>0</v>
      </c>
      <c r="PQ45" s="91">
        <f t="shared" si="692"/>
        <v>0</v>
      </c>
      <c r="PR45" s="91">
        <f t="shared" si="693"/>
        <v>0</v>
      </c>
      <c r="QG45" s="91">
        <f t="shared" si="694"/>
        <v>0</v>
      </c>
      <c r="QH45" s="91">
        <f t="shared" si="695"/>
        <v>0</v>
      </c>
      <c r="QW45" s="91">
        <f t="shared" si="696"/>
        <v>0</v>
      </c>
      <c r="QX45" s="91">
        <f t="shared" si="697"/>
        <v>0</v>
      </c>
      <c r="RM45" s="91">
        <f t="shared" si="698"/>
        <v>0</v>
      </c>
      <c r="RN45" s="91">
        <f t="shared" si="699"/>
        <v>0</v>
      </c>
      <c r="SC45" s="91">
        <f t="shared" si="700"/>
        <v>0</v>
      </c>
      <c r="SD45" s="91">
        <f t="shared" si="701"/>
        <v>0</v>
      </c>
      <c r="SS45" s="91">
        <f t="shared" si="702"/>
        <v>0</v>
      </c>
      <c r="ST45" s="91">
        <f t="shared" si="703"/>
        <v>0</v>
      </c>
      <c r="TI45" s="91">
        <f t="shared" si="704"/>
        <v>0</v>
      </c>
      <c r="TJ45" s="91">
        <f t="shared" si="705"/>
        <v>0</v>
      </c>
      <c r="TY45" s="91">
        <f t="shared" si="706"/>
        <v>0</v>
      </c>
      <c r="TZ45" s="91">
        <f t="shared" si="707"/>
        <v>0</v>
      </c>
      <c r="UO45" s="91">
        <f t="shared" si="708"/>
        <v>0</v>
      </c>
      <c r="UP45" s="91">
        <f t="shared" si="764"/>
        <v>0</v>
      </c>
      <c r="VE45" s="91">
        <f t="shared" si="709"/>
        <v>0</v>
      </c>
      <c r="VF45" s="91">
        <f t="shared" si="710"/>
        <v>0</v>
      </c>
      <c r="VU45" s="91">
        <f t="shared" si="711"/>
        <v>0</v>
      </c>
      <c r="VV45" s="91">
        <f t="shared" si="712"/>
        <v>0</v>
      </c>
      <c r="WK45" s="91">
        <f t="shared" si="713"/>
        <v>0</v>
      </c>
      <c r="WL45" s="91">
        <f t="shared" si="714"/>
        <v>0</v>
      </c>
      <c r="WM45" s="89"/>
      <c r="WN45" s="87">
        <f t="shared" si="789"/>
        <v>0</v>
      </c>
      <c r="WO45" s="87">
        <f t="shared" si="790"/>
        <v>0</v>
      </c>
      <c r="WP45" s="87">
        <f t="shared" si="791"/>
        <v>0</v>
      </c>
      <c r="WQ45" s="87">
        <f t="shared" si="792"/>
        <v>0</v>
      </c>
      <c r="WR45" s="87">
        <f t="shared" si="793"/>
        <v>0</v>
      </c>
      <c r="WS45" s="87">
        <f t="shared" si="794"/>
        <v>0</v>
      </c>
      <c r="WT45" s="87">
        <f t="shared" si="795"/>
        <v>0</v>
      </c>
      <c r="WU45" s="87">
        <f t="shared" si="796"/>
        <v>0</v>
      </c>
      <c r="WV45" s="87">
        <f t="shared" si="797"/>
        <v>0</v>
      </c>
      <c r="WW45" s="87">
        <f t="shared" si="798"/>
        <v>0</v>
      </c>
      <c r="WX45" s="87">
        <f t="shared" si="799"/>
        <v>0</v>
      </c>
      <c r="WY45" s="87">
        <f t="shared" si="800"/>
        <v>0</v>
      </c>
      <c r="WZ45" s="87">
        <f t="shared" si="780"/>
        <v>0</v>
      </c>
      <c r="XA45" s="87">
        <f t="shared" si="781"/>
        <v>0</v>
      </c>
      <c r="XB45" s="92">
        <f t="shared" si="801"/>
        <v>0</v>
      </c>
      <c r="XC45" s="92">
        <f t="shared" si="802"/>
        <v>0</v>
      </c>
      <c r="XD45" s="89"/>
      <c r="XE45" s="92">
        <f t="shared" si="804"/>
        <v>0</v>
      </c>
      <c r="XF45" s="92">
        <f t="shared" si="805"/>
        <v>0</v>
      </c>
      <c r="XG45" s="89"/>
      <c r="XH45" s="92">
        <f t="shared" ref="XH45:XI45" si="808">SUM(XE45,XE83)</f>
        <v>0</v>
      </c>
      <c r="XI45" s="92">
        <f t="shared" si="808"/>
        <v>0</v>
      </c>
      <c r="XJ45" s="89"/>
      <c r="XK45" s="87">
        <f t="shared" si="732"/>
        <v>0</v>
      </c>
      <c r="XL45" s="87">
        <f t="shared" si="733"/>
        <v>0</v>
      </c>
      <c r="XM45" s="87">
        <f t="shared" si="734"/>
        <v>0</v>
      </c>
      <c r="XN45" s="87">
        <f t="shared" si="735"/>
        <v>0</v>
      </c>
      <c r="XO45" s="87">
        <f t="shared" si="736"/>
        <v>0</v>
      </c>
      <c r="XP45" s="87">
        <f t="shared" si="737"/>
        <v>0</v>
      </c>
      <c r="XQ45" s="87">
        <f t="shared" si="738"/>
        <v>0</v>
      </c>
      <c r="XR45" s="92">
        <f t="shared" si="739"/>
        <v>0</v>
      </c>
      <c r="XS45" s="89"/>
      <c r="XT45" s="87">
        <f t="shared" si="740"/>
        <v>0</v>
      </c>
      <c r="XU45" s="87">
        <f t="shared" si="741"/>
        <v>0</v>
      </c>
      <c r="XV45" s="87">
        <f t="shared" si="742"/>
        <v>0</v>
      </c>
      <c r="XW45" s="87">
        <f t="shared" si="743"/>
        <v>0</v>
      </c>
      <c r="XX45" s="87">
        <f t="shared" si="744"/>
        <v>0</v>
      </c>
      <c r="XY45" s="87">
        <f t="shared" si="745"/>
        <v>0</v>
      </c>
      <c r="XZ45" s="87">
        <f t="shared" si="746"/>
        <v>0</v>
      </c>
      <c r="YA45" s="92">
        <f t="shared" si="747"/>
        <v>0</v>
      </c>
      <c r="YB45" s="90"/>
      <c r="YC45" s="90"/>
      <c r="YD45" s="90"/>
      <c r="YE45" s="90"/>
      <c r="YF45" s="90"/>
      <c r="YG45" s="90"/>
      <c r="YH45" s="90"/>
      <c r="YI45" s="90"/>
      <c r="YJ45" s="90"/>
      <c r="YK45" s="90"/>
      <c r="YL45" s="90"/>
      <c r="YM45" s="90"/>
      <c r="YN45" s="90"/>
      <c r="YO45" s="90"/>
      <c r="YP45" s="90"/>
      <c r="YQ45" s="90"/>
      <c r="YR45" s="90"/>
      <c r="YS45" s="90"/>
      <c r="YT45" s="90"/>
      <c r="YU45" s="90"/>
      <c r="YV45" s="90"/>
      <c r="YW45" s="90"/>
      <c r="YX45" s="90"/>
      <c r="YY45" s="90"/>
      <c r="YZ45" s="90"/>
      <c r="ZA45" s="90"/>
      <c r="ZB45" s="90"/>
      <c r="ZC45" s="90"/>
      <c r="ZD45" s="90"/>
      <c r="ZE45" s="90"/>
      <c r="ZF45" s="90"/>
      <c r="ZG45" s="90"/>
      <c r="ZH45" s="90"/>
      <c r="ZI45" s="90"/>
      <c r="ZJ45" s="90"/>
      <c r="ZK45" s="90"/>
      <c r="ZL45" s="90"/>
      <c r="ZM45" s="90"/>
      <c r="ZN45" s="90"/>
      <c r="ZO45" s="90"/>
      <c r="ZP45" s="90"/>
      <c r="ZQ45" s="90"/>
      <c r="ZR45" s="90"/>
      <c r="ZS45" s="90"/>
      <c r="ZT45" s="90"/>
      <c r="ZU45" s="90"/>
      <c r="ZV45" s="90"/>
      <c r="ZW45" s="90"/>
      <c r="ZX45" s="90"/>
      <c r="ZY45" s="90"/>
      <c r="ZZ45" s="90"/>
      <c r="AAA45" s="90"/>
      <c r="AAB45" s="90"/>
      <c r="AAC45" s="90"/>
      <c r="AAD45" s="90"/>
      <c r="AAE45" s="90"/>
      <c r="AAF45" s="90"/>
      <c r="AAG45" s="90"/>
      <c r="AAH45" s="90"/>
      <c r="AAI45" s="90"/>
      <c r="AAJ45" s="90"/>
      <c r="AAK45" s="90"/>
      <c r="AAL45" s="90"/>
      <c r="AAM45" s="90"/>
      <c r="AAN45" s="90"/>
      <c r="AAO45" s="90"/>
      <c r="AAP45" s="90"/>
      <c r="AAQ45" s="90"/>
      <c r="AAR45" s="90"/>
      <c r="AAS45" s="90"/>
      <c r="AAT45" s="90"/>
      <c r="AAU45" s="90"/>
      <c r="AAV45" s="90"/>
      <c r="AAW45" s="90"/>
      <c r="AAX45" s="90"/>
      <c r="AAY45" s="90"/>
      <c r="AAZ45" s="90"/>
      <c r="ABA45" s="90"/>
      <c r="ABB45" s="90"/>
      <c r="ABC45" s="90"/>
      <c r="ABD45" s="90"/>
      <c r="ABE45" s="90"/>
      <c r="ABF45" s="90"/>
      <c r="ABG45" s="90"/>
      <c r="ABH45" s="90"/>
      <c r="ABI45" s="90"/>
      <c r="ABJ45" s="90"/>
      <c r="ABK45" s="90"/>
      <c r="ABL45" s="90"/>
      <c r="ABM45" s="90"/>
      <c r="ABN45" s="90"/>
      <c r="ABO45" s="90"/>
      <c r="ABP45" s="90"/>
      <c r="ABQ45" s="90"/>
      <c r="ABR45" s="90"/>
      <c r="ABS45" s="90"/>
      <c r="ABT45" s="90"/>
      <c r="ABU45" s="90"/>
      <c r="ABV45" s="90"/>
      <c r="ABW45" s="90"/>
      <c r="ABX45" s="90"/>
      <c r="ABY45" s="90"/>
      <c r="ABZ45" s="90"/>
      <c r="ACA45" s="90"/>
      <c r="ACB45" s="90"/>
      <c r="ACC45" s="90"/>
      <c r="ACD45" s="90"/>
      <c r="ACE45" s="90"/>
      <c r="ACF45" s="90"/>
      <c r="ACG45" s="90"/>
      <c r="ACH45" s="90"/>
      <c r="ACI45" s="90"/>
      <c r="ACJ45" s="90"/>
      <c r="ACK45" s="90"/>
      <c r="ACL45" s="90"/>
      <c r="ACM45" s="90"/>
      <c r="ACN45" s="90"/>
      <c r="ACO45" s="90"/>
      <c r="ACP45" s="90"/>
      <c r="ACQ45" s="90"/>
      <c r="ACR45" s="90"/>
      <c r="ACS45" s="90"/>
      <c r="ACT45" s="90"/>
      <c r="ACU45" s="90"/>
      <c r="ACV45" s="90"/>
      <c r="ACW45" s="90"/>
      <c r="ACX45" s="90"/>
      <c r="ACY45" s="90"/>
      <c r="ACZ45" s="90"/>
      <c r="ADA45" s="90"/>
      <c r="ADB45" s="90"/>
      <c r="ADC45" s="90"/>
      <c r="ADD45" s="90"/>
      <c r="ADE45" s="90"/>
      <c r="ADF45" s="90"/>
      <c r="ADG45" s="90"/>
      <c r="ADH45" s="90"/>
      <c r="ADI45" s="90"/>
      <c r="ADJ45" s="90"/>
      <c r="ADK45" s="90"/>
      <c r="ADL45" s="90"/>
      <c r="ADM45" s="90"/>
      <c r="ADN45" s="90"/>
      <c r="ADO45" s="90"/>
      <c r="ADP45" s="90"/>
      <c r="ADQ45" s="90"/>
      <c r="ADR45" s="90"/>
      <c r="ADS45" s="90"/>
      <c r="ADT45" s="90"/>
      <c r="ADU45" s="90"/>
      <c r="ADV45" s="90"/>
      <c r="ADW45" s="90"/>
      <c r="ADX45" s="90"/>
      <c r="ADY45" s="90"/>
      <c r="ADZ45" s="90"/>
      <c r="AEA45" s="90"/>
      <c r="AEB45" s="90"/>
      <c r="AEC45" s="90"/>
      <c r="AED45" s="90"/>
      <c r="AEE45" s="90"/>
      <c r="AEF45" s="90"/>
      <c r="AEG45" s="90"/>
      <c r="AEH45" s="90"/>
      <c r="AEI45" s="90"/>
      <c r="AEJ45" s="90"/>
      <c r="AEK45" s="90"/>
      <c r="AEL45" s="90"/>
      <c r="AEM45" s="90"/>
      <c r="AEN45" s="90"/>
      <c r="AEO45" s="90"/>
      <c r="AEP45" s="90"/>
      <c r="AEQ45" s="90"/>
      <c r="AER45" s="90"/>
      <c r="AES45" s="90"/>
      <c r="AET45" s="90"/>
      <c r="AEU45" s="90"/>
      <c r="AEV45" s="90"/>
      <c r="AEW45" s="90"/>
      <c r="AEX45" s="90"/>
      <c r="AEY45" s="90"/>
      <c r="AEZ45" s="90"/>
      <c r="AFA45" s="90"/>
      <c r="AFB45" s="90"/>
      <c r="AFC45" s="90"/>
      <c r="AFD45" s="90"/>
      <c r="AFE45" s="90"/>
      <c r="AFF45" s="90"/>
      <c r="AFG45" s="90"/>
      <c r="AFH45" s="90"/>
      <c r="AFI45" s="90"/>
      <c r="AFJ45" s="90"/>
      <c r="AFK45" s="90"/>
      <c r="AFL45" s="90"/>
      <c r="AFM45" s="90"/>
      <c r="AFN45" s="90"/>
      <c r="AFO45" s="90"/>
      <c r="AFP45" s="90"/>
      <c r="AFQ45" s="90"/>
      <c r="AFR45" s="90"/>
      <c r="AFS45" s="90"/>
      <c r="AFT45" s="90"/>
      <c r="AFU45" s="90"/>
      <c r="AFV45" s="90"/>
      <c r="AFW45" s="90"/>
      <c r="AFX45" s="90"/>
      <c r="AFY45" s="90"/>
      <c r="AFZ45" s="90"/>
      <c r="AGA45" s="90"/>
      <c r="AGB45" s="90"/>
      <c r="AGC45" s="90"/>
      <c r="AGD45" s="90"/>
      <c r="AGE45" s="90"/>
      <c r="AGF45" s="90"/>
      <c r="AGG45" s="90"/>
      <c r="AGH45" s="90"/>
      <c r="AGI45" s="90"/>
      <c r="AGJ45" s="90"/>
      <c r="AGK45" s="90"/>
      <c r="AGL45" s="90"/>
      <c r="AGM45" s="90"/>
      <c r="AGN45" s="90"/>
      <c r="AGO45" s="90"/>
      <c r="AGP45" s="90"/>
      <c r="AGQ45" s="90"/>
      <c r="AGR45" s="90"/>
      <c r="AGS45" s="90"/>
      <c r="AGT45" s="90"/>
      <c r="AGU45" s="90"/>
      <c r="AGV45" s="90"/>
      <c r="AGW45" s="90"/>
      <c r="AGX45" s="90"/>
      <c r="AGY45" s="90"/>
      <c r="AGZ45" s="90"/>
      <c r="AHA45" s="90"/>
      <c r="AHB45" s="90"/>
      <c r="AHC45" s="90"/>
      <c r="AHD45" s="90"/>
      <c r="AHE45" s="90"/>
      <c r="AHF45" s="90"/>
      <c r="AHG45" s="90"/>
      <c r="AHH45" s="90"/>
      <c r="AHI45" s="90"/>
      <c r="AHJ45" s="90"/>
      <c r="AHK45" s="90"/>
      <c r="AHL45" s="90"/>
      <c r="AHM45" s="90"/>
      <c r="AHN45" s="90"/>
      <c r="AHO45" s="90"/>
      <c r="AHP45" s="90"/>
      <c r="AHQ45" s="90"/>
      <c r="AHR45" s="90"/>
      <c r="AHS45" s="90"/>
      <c r="AHT45" s="90"/>
      <c r="AHU45" s="90"/>
      <c r="AHV45" s="90"/>
      <c r="AHW45" s="90"/>
      <c r="AHX45" s="90"/>
      <c r="AHY45" s="90"/>
      <c r="AHZ45" s="90"/>
      <c r="AIA45" s="90"/>
      <c r="AIB45" s="90"/>
      <c r="AIC45" s="90"/>
      <c r="AID45" s="90"/>
      <c r="AIE45" s="90"/>
      <c r="AIF45" s="90"/>
      <c r="AIG45" s="90"/>
      <c r="AIH45" s="90"/>
      <c r="AII45" s="90"/>
      <c r="AIJ45" s="90"/>
      <c r="AIK45" s="90"/>
      <c r="AIL45" s="90"/>
      <c r="AIM45" s="90"/>
      <c r="AIN45" s="90"/>
      <c r="AIO45" s="90"/>
      <c r="AIP45" s="90"/>
      <c r="AIQ45" s="90"/>
      <c r="AIR45" s="90"/>
      <c r="AIS45" s="90"/>
      <c r="AIT45" s="90"/>
      <c r="AIU45" s="90"/>
      <c r="AIV45" s="90"/>
      <c r="AIW45" s="90"/>
      <c r="AIX45" s="90"/>
      <c r="AIY45" s="90"/>
      <c r="AIZ45" s="90"/>
      <c r="AJA45" s="90"/>
      <c r="AJB45" s="90"/>
      <c r="AJC45" s="90"/>
      <c r="AJD45" s="90"/>
      <c r="AJE45" s="90"/>
      <c r="AJF45" s="90"/>
      <c r="AJG45" s="90"/>
      <c r="AJH45" s="90"/>
      <c r="AJI45" s="90"/>
      <c r="AJJ45" s="90"/>
      <c r="AJK45" s="90"/>
      <c r="AJL45" s="90"/>
      <c r="AJM45" s="90"/>
      <c r="AJN45" s="90"/>
      <c r="AJO45" s="90"/>
      <c r="AJP45" s="90"/>
      <c r="AJQ45" s="90"/>
      <c r="AJR45" s="90"/>
      <c r="AJS45" s="90"/>
      <c r="AJT45" s="90"/>
      <c r="AJU45" s="90"/>
      <c r="AJV45" s="90"/>
      <c r="AJW45" s="90"/>
      <c r="AJX45" s="90"/>
      <c r="AJY45" s="90"/>
      <c r="AJZ45" s="90"/>
      <c r="AKA45" s="90"/>
      <c r="AKB45" s="90"/>
      <c r="AKC45" s="90"/>
      <c r="AKD45" s="90"/>
      <c r="AKE45" s="90"/>
      <c r="AKF45" s="90"/>
      <c r="AKG45" s="90"/>
      <c r="AKH45" s="90"/>
      <c r="AKI45" s="90"/>
      <c r="AKJ45" s="90"/>
      <c r="AKK45" s="90"/>
      <c r="AKL45" s="90"/>
      <c r="AKM45" s="90"/>
      <c r="AKN45" s="90"/>
      <c r="AKO45" s="90"/>
      <c r="AKP45" s="90"/>
      <c r="AKQ45" s="90"/>
      <c r="AKR45" s="90"/>
      <c r="AKS45" s="90"/>
      <c r="AKT45" s="90"/>
      <c r="AKU45" s="90"/>
      <c r="AKV45" s="90"/>
      <c r="AKW45" s="90"/>
      <c r="AKX45" s="90"/>
      <c r="AKY45" s="90"/>
      <c r="AKZ45" s="90"/>
      <c r="ALA45" s="90"/>
      <c r="ALB45" s="90"/>
      <c r="ALC45" s="90"/>
      <c r="ALD45" s="90"/>
      <c r="ALE45" s="90"/>
      <c r="ALF45" s="90"/>
      <c r="ALG45" s="90"/>
      <c r="ALH45" s="90"/>
      <c r="ALI45" s="90"/>
      <c r="ALJ45" s="90"/>
      <c r="ALK45" s="90"/>
      <c r="ALL45" s="90"/>
      <c r="ALM45" s="90"/>
      <c r="ALN45" s="90"/>
      <c r="ALO45" s="90"/>
      <c r="ALP45" s="90"/>
      <c r="ALQ45" s="90"/>
      <c r="ALR45" s="90"/>
      <c r="ALS45" s="90"/>
      <c r="ALT45" s="90"/>
      <c r="ALU45" s="90"/>
      <c r="ALV45" s="90"/>
      <c r="ALW45" s="90"/>
      <c r="ALX45" s="90"/>
      <c r="ALY45" s="90"/>
      <c r="ALZ45" s="90"/>
      <c r="AMA45" s="90"/>
      <c r="AMB45" s="90"/>
      <c r="AMC45" s="90"/>
    </row>
    <row r="46" spans="1:1017">
      <c r="A46" s="98" t="s">
        <v>25</v>
      </c>
      <c r="B46" s="727" t="s">
        <v>607</v>
      </c>
      <c r="Q46" s="91">
        <f t="shared" si="640"/>
        <v>0</v>
      </c>
      <c r="R46" s="91">
        <f t="shared" si="641"/>
        <v>0</v>
      </c>
      <c r="AG46" s="91">
        <f t="shared" si="642"/>
        <v>0</v>
      </c>
      <c r="AH46" s="91">
        <f t="shared" si="643"/>
        <v>0</v>
      </c>
      <c r="AW46" s="91">
        <f t="shared" si="644"/>
        <v>0</v>
      </c>
      <c r="AX46" s="91">
        <f t="shared" si="645"/>
        <v>0</v>
      </c>
      <c r="BM46" s="91">
        <f t="shared" si="646"/>
        <v>0</v>
      </c>
      <c r="BN46" s="91">
        <f t="shared" si="647"/>
        <v>0</v>
      </c>
      <c r="CC46" s="91">
        <f t="shared" si="648"/>
        <v>0</v>
      </c>
      <c r="CD46" s="91">
        <f t="shared" si="649"/>
        <v>0</v>
      </c>
      <c r="CG46" s="98">
        <v>113104.73054421326</v>
      </c>
      <c r="CH46" s="98">
        <v>565523.65272106638</v>
      </c>
      <c r="CK46" s="98">
        <v>190494</v>
      </c>
      <c r="CL46" s="98">
        <v>952471.11519175058</v>
      </c>
      <c r="CS46" s="91">
        <f t="shared" si="650"/>
        <v>303598.73054421326</v>
      </c>
      <c r="CT46" s="91">
        <f t="shared" si="651"/>
        <v>1517994.767912817</v>
      </c>
      <c r="DI46" s="91">
        <f t="shared" si="652"/>
        <v>0</v>
      </c>
      <c r="DJ46" s="91">
        <f t="shared" si="653"/>
        <v>0</v>
      </c>
      <c r="DY46" s="91">
        <f t="shared" si="654"/>
        <v>0</v>
      </c>
      <c r="DZ46" s="91">
        <f t="shared" si="655"/>
        <v>0</v>
      </c>
      <c r="EO46" s="91">
        <f t="shared" si="656"/>
        <v>0</v>
      </c>
      <c r="EP46" s="91">
        <f t="shared" si="657"/>
        <v>0</v>
      </c>
      <c r="FE46" s="91">
        <f t="shared" si="658"/>
        <v>0</v>
      </c>
      <c r="FF46" s="91">
        <f t="shared" si="659"/>
        <v>0</v>
      </c>
      <c r="FU46" s="91">
        <f t="shared" si="660"/>
        <v>0</v>
      </c>
      <c r="FV46" s="91">
        <f t="shared" si="661"/>
        <v>0</v>
      </c>
      <c r="GK46" s="91">
        <f t="shared" si="662"/>
        <v>0</v>
      </c>
      <c r="GL46" s="91">
        <f t="shared" si="663"/>
        <v>0</v>
      </c>
      <c r="HA46" s="91">
        <f t="shared" si="664"/>
        <v>0</v>
      </c>
      <c r="HB46" s="91">
        <f t="shared" si="665"/>
        <v>0</v>
      </c>
      <c r="HQ46" s="91">
        <f t="shared" si="666"/>
        <v>0</v>
      </c>
      <c r="HR46" s="91">
        <f t="shared" si="667"/>
        <v>0</v>
      </c>
      <c r="IG46" s="91">
        <f t="shared" si="668"/>
        <v>0</v>
      </c>
      <c r="IH46" s="91">
        <f t="shared" si="669"/>
        <v>0</v>
      </c>
      <c r="IW46" s="91">
        <f t="shared" si="670"/>
        <v>0</v>
      </c>
      <c r="IX46" s="91">
        <f t="shared" si="671"/>
        <v>0</v>
      </c>
      <c r="JM46" s="91">
        <f t="shared" si="672"/>
        <v>0</v>
      </c>
      <c r="JN46" s="91">
        <f t="shared" si="673"/>
        <v>0</v>
      </c>
      <c r="KC46" s="91">
        <f t="shared" si="674"/>
        <v>0</v>
      </c>
      <c r="KD46" s="91">
        <f t="shared" si="675"/>
        <v>0</v>
      </c>
      <c r="KS46" s="91">
        <f t="shared" si="676"/>
        <v>0</v>
      </c>
      <c r="KT46" s="91">
        <f t="shared" si="677"/>
        <v>0</v>
      </c>
      <c r="LI46" s="91">
        <f t="shared" si="678"/>
        <v>0</v>
      </c>
      <c r="LJ46" s="91">
        <f t="shared" si="679"/>
        <v>0</v>
      </c>
      <c r="LY46" s="91">
        <f t="shared" si="680"/>
        <v>0</v>
      </c>
      <c r="LZ46" s="91">
        <f t="shared" si="681"/>
        <v>0</v>
      </c>
      <c r="MC46" s="98">
        <v>11600</v>
      </c>
      <c r="MD46" s="98">
        <v>34800</v>
      </c>
      <c r="MO46" s="91">
        <f t="shared" si="682"/>
        <v>11600</v>
      </c>
      <c r="MP46" s="91">
        <f t="shared" si="683"/>
        <v>34800</v>
      </c>
      <c r="MS46" s="98">
        <v>100</v>
      </c>
      <c r="MT46" s="98">
        <f>MS46*30</f>
        <v>3000</v>
      </c>
      <c r="NE46" s="91">
        <f t="shared" si="684"/>
        <v>100</v>
      </c>
      <c r="NF46" s="91">
        <f t="shared" si="685"/>
        <v>3000</v>
      </c>
      <c r="NU46" s="91">
        <f t="shared" si="686"/>
        <v>0</v>
      </c>
      <c r="NV46" s="91">
        <f t="shared" si="687"/>
        <v>0</v>
      </c>
      <c r="OK46" s="91">
        <f t="shared" si="688"/>
        <v>0</v>
      </c>
      <c r="OL46" s="91">
        <f t="shared" si="689"/>
        <v>0</v>
      </c>
      <c r="PA46" s="91">
        <f t="shared" si="690"/>
        <v>0</v>
      </c>
      <c r="PB46" s="91">
        <f t="shared" si="691"/>
        <v>0</v>
      </c>
      <c r="PQ46" s="91">
        <f t="shared" si="692"/>
        <v>0</v>
      </c>
      <c r="PR46" s="91">
        <f t="shared" si="693"/>
        <v>0</v>
      </c>
      <c r="QG46" s="91">
        <f t="shared" si="694"/>
        <v>0</v>
      </c>
      <c r="QH46" s="91">
        <f t="shared" si="695"/>
        <v>0</v>
      </c>
      <c r="QW46" s="91">
        <f t="shared" si="696"/>
        <v>0</v>
      </c>
      <c r="QX46" s="91">
        <f t="shared" si="697"/>
        <v>0</v>
      </c>
      <c r="RM46" s="91">
        <f t="shared" si="698"/>
        <v>0</v>
      </c>
      <c r="RN46" s="91">
        <f t="shared" si="699"/>
        <v>0</v>
      </c>
      <c r="SC46" s="91">
        <f t="shared" si="700"/>
        <v>0</v>
      </c>
      <c r="SD46" s="91">
        <f t="shared" si="701"/>
        <v>0</v>
      </c>
      <c r="SS46" s="91">
        <f t="shared" si="702"/>
        <v>0</v>
      </c>
      <c r="ST46" s="91">
        <f t="shared" si="703"/>
        <v>0</v>
      </c>
      <c r="TI46" s="91">
        <f t="shared" si="704"/>
        <v>0</v>
      </c>
      <c r="TJ46" s="91">
        <f t="shared" si="705"/>
        <v>0</v>
      </c>
      <c r="TY46" s="91">
        <f t="shared" si="706"/>
        <v>0</v>
      </c>
      <c r="TZ46" s="91">
        <f t="shared" si="707"/>
        <v>0</v>
      </c>
      <c r="UO46" s="91">
        <f t="shared" si="708"/>
        <v>0</v>
      </c>
      <c r="UP46" s="91">
        <f t="shared" si="764"/>
        <v>0</v>
      </c>
      <c r="VE46" s="91">
        <f t="shared" si="709"/>
        <v>0</v>
      </c>
      <c r="VF46" s="91">
        <f t="shared" si="710"/>
        <v>0</v>
      </c>
      <c r="VU46" s="91">
        <f t="shared" si="711"/>
        <v>0</v>
      </c>
      <c r="VV46" s="91">
        <f t="shared" si="712"/>
        <v>0</v>
      </c>
      <c r="WK46" s="91">
        <f t="shared" si="713"/>
        <v>0</v>
      </c>
      <c r="WL46" s="91">
        <f t="shared" si="714"/>
        <v>0</v>
      </c>
      <c r="WM46" s="89"/>
      <c r="WN46" s="87">
        <f t="shared" si="789"/>
        <v>0</v>
      </c>
      <c r="WO46" s="87">
        <f t="shared" si="790"/>
        <v>0</v>
      </c>
      <c r="WP46" s="87">
        <f t="shared" si="791"/>
        <v>124804.73054421326</v>
      </c>
      <c r="WQ46" s="87">
        <f t="shared" si="792"/>
        <v>603323.65272106638</v>
      </c>
      <c r="WR46" s="87">
        <f t="shared" si="793"/>
        <v>0</v>
      </c>
      <c r="WS46" s="87">
        <f t="shared" si="794"/>
        <v>0</v>
      </c>
      <c r="WT46" s="87">
        <f t="shared" si="795"/>
        <v>190494</v>
      </c>
      <c r="WU46" s="87">
        <f t="shared" si="796"/>
        <v>952471.11519175058</v>
      </c>
      <c r="WV46" s="87">
        <f t="shared" si="797"/>
        <v>0</v>
      </c>
      <c r="WW46" s="87">
        <f t="shared" si="798"/>
        <v>0</v>
      </c>
      <c r="WX46" s="87">
        <f t="shared" si="799"/>
        <v>0</v>
      </c>
      <c r="WY46" s="87">
        <f t="shared" si="800"/>
        <v>0</v>
      </c>
      <c r="WZ46" s="87">
        <f t="shared" si="780"/>
        <v>0</v>
      </c>
      <c r="XA46" s="87">
        <f t="shared" si="781"/>
        <v>0</v>
      </c>
      <c r="XB46" s="92">
        <f t="shared" si="801"/>
        <v>315298.73054421326</v>
      </c>
      <c r="XC46" s="92">
        <f t="shared" si="802"/>
        <v>1555794.767912817</v>
      </c>
      <c r="XD46" s="89"/>
      <c r="XE46" s="92">
        <f t="shared" si="804"/>
        <v>1460257.7305442132</v>
      </c>
      <c r="XF46" s="92">
        <f t="shared" si="805"/>
        <v>7281465.7679128172</v>
      </c>
      <c r="XG46" s="89"/>
      <c r="XH46" s="92">
        <f t="shared" ref="XH46:XI46" si="809">SUM(XE46,XE84)</f>
        <v>2561275.2209848734</v>
      </c>
      <c r="XI46" s="92">
        <f t="shared" si="809"/>
        <v>12815426.220116116</v>
      </c>
      <c r="XJ46" s="89"/>
      <c r="XK46" s="87">
        <f t="shared" si="732"/>
        <v>645</v>
      </c>
      <c r="XL46" s="87">
        <f t="shared" si="733"/>
        <v>2429049.9115045071</v>
      </c>
      <c r="XM46" s="87">
        <f t="shared" si="734"/>
        <v>0</v>
      </c>
      <c r="XN46" s="87">
        <f t="shared" si="735"/>
        <v>3496265.4526353306</v>
      </c>
      <c r="XO46" s="87">
        <f t="shared" si="736"/>
        <v>0</v>
      </c>
      <c r="XP46" s="87">
        <f t="shared" si="737"/>
        <v>0</v>
      </c>
      <c r="XQ46" s="87">
        <f t="shared" si="738"/>
        <v>0</v>
      </c>
      <c r="XR46" s="92">
        <f t="shared" si="739"/>
        <v>5925960.3641398381</v>
      </c>
      <c r="XS46" s="89"/>
      <c r="XT46" s="87">
        <f t="shared" si="740"/>
        <v>225750</v>
      </c>
      <c r="XU46" s="87">
        <f t="shared" si="741"/>
        <v>9722668.538235195</v>
      </c>
      <c r="XV46" s="87">
        <f t="shared" si="742"/>
        <v>0</v>
      </c>
      <c r="XW46" s="87">
        <f t="shared" si="743"/>
        <v>14461385.303656366</v>
      </c>
      <c r="XX46" s="87">
        <f t="shared" si="744"/>
        <v>0</v>
      </c>
      <c r="XY46" s="87">
        <f t="shared" si="745"/>
        <v>0</v>
      </c>
      <c r="XZ46" s="87">
        <f t="shared" si="746"/>
        <v>0</v>
      </c>
      <c r="YA46" s="92">
        <f t="shared" si="747"/>
        <v>24409803.841891561</v>
      </c>
      <c r="YB46" s="90"/>
      <c r="YC46" s="90"/>
      <c r="YD46" s="90"/>
      <c r="YE46" s="90"/>
      <c r="YF46" s="90"/>
      <c r="YG46" s="90"/>
      <c r="YH46" s="90"/>
      <c r="YI46" s="90"/>
      <c r="YJ46" s="90"/>
      <c r="YK46" s="90"/>
      <c r="YL46" s="90"/>
      <c r="YM46" s="90"/>
      <c r="YN46" s="90"/>
      <c r="YO46" s="90"/>
      <c r="YP46" s="90"/>
      <c r="YQ46" s="90"/>
      <c r="YR46" s="90"/>
      <c r="YS46" s="90"/>
      <c r="YT46" s="90"/>
      <c r="YU46" s="90"/>
      <c r="YV46" s="90"/>
      <c r="YW46" s="90"/>
      <c r="YX46" s="90"/>
      <c r="YY46" s="90"/>
      <c r="YZ46" s="90"/>
      <c r="ZA46" s="90"/>
      <c r="ZB46" s="90"/>
      <c r="ZC46" s="90"/>
      <c r="ZD46" s="90"/>
      <c r="ZE46" s="90"/>
      <c r="ZF46" s="90"/>
      <c r="ZG46" s="90"/>
      <c r="ZH46" s="90"/>
      <c r="ZI46" s="90"/>
      <c r="ZJ46" s="90"/>
      <c r="ZK46" s="90"/>
      <c r="ZL46" s="90"/>
      <c r="ZM46" s="90"/>
      <c r="ZN46" s="90"/>
      <c r="ZO46" s="90"/>
      <c r="ZP46" s="90"/>
      <c r="ZQ46" s="90"/>
      <c r="ZR46" s="90"/>
      <c r="ZS46" s="90"/>
      <c r="ZT46" s="90"/>
      <c r="ZU46" s="90"/>
      <c r="ZV46" s="90"/>
      <c r="ZW46" s="90"/>
      <c r="ZX46" s="90"/>
      <c r="ZY46" s="90"/>
      <c r="ZZ46" s="90"/>
      <c r="AAA46" s="90"/>
      <c r="AAB46" s="90"/>
      <c r="AAC46" s="90"/>
      <c r="AAD46" s="90"/>
      <c r="AAE46" s="90"/>
      <c r="AAF46" s="90"/>
      <c r="AAG46" s="90"/>
      <c r="AAH46" s="90"/>
      <c r="AAI46" s="90"/>
      <c r="AAJ46" s="90"/>
      <c r="AAK46" s="90"/>
      <c r="AAL46" s="90"/>
      <c r="AAM46" s="90"/>
      <c r="AAN46" s="90"/>
      <c r="AAO46" s="90"/>
      <c r="AAP46" s="90"/>
      <c r="AAQ46" s="90"/>
      <c r="AAR46" s="90"/>
      <c r="AAS46" s="90"/>
      <c r="AAT46" s="90"/>
      <c r="AAU46" s="90"/>
      <c r="AAV46" s="90"/>
      <c r="AAW46" s="90"/>
      <c r="AAX46" s="90"/>
      <c r="AAY46" s="90"/>
      <c r="AAZ46" s="90"/>
      <c r="ABA46" s="90"/>
      <c r="ABB46" s="90"/>
      <c r="ABC46" s="90"/>
      <c r="ABD46" s="90"/>
      <c r="ABE46" s="90"/>
      <c r="ABF46" s="90"/>
      <c r="ABG46" s="90"/>
      <c r="ABH46" s="90"/>
      <c r="ABI46" s="90"/>
      <c r="ABJ46" s="90"/>
      <c r="ABK46" s="90"/>
      <c r="ABL46" s="90"/>
      <c r="ABM46" s="90"/>
      <c r="ABN46" s="90"/>
      <c r="ABO46" s="90"/>
      <c r="ABP46" s="90"/>
      <c r="ABQ46" s="90"/>
      <c r="ABR46" s="90"/>
      <c r="ABS46" s="90"/>
      <c r="ABT46" s="90"/>
      <c r="ABU46" s="90"/>
      <c r="ABV46" s="90"/>
      <c r="ABW46" s="90"/>
      <c r="ABX46" s="90"/>
      <c r="ABY46" s="90"/>
      <c r="ABZ46" s="90"/>
      <c r="ACA46" s="90"/>
      <c r="ACB46" s="90"/>
      <c r="ACC46" s="90"/>
      <c r="ACD46" s="90"/>
      <c r="ACE46" s="90"/>
      <c r="ACF46" s="90"/>
      <c r="ACG46" s="90"/>
      <c r="ACH46" s="90"/>
      <c r="ACI46" s="90"/>
      <c r="ACJ46" s="90"/>
      <c r="ACK46" s="90"/>
      <c r="ACL46" s="90"/>
      <c r="ACM46" s="90"/>
      <c r="ACN46" s="90"/>
      <c r="ACO46" s="90"/>
      <c r="ACP46" s="90"/>
      <c r="ACQ46" s="90"/>
      <c r="ACR46" s="90"/>
      <c r="ACS46" s="90"/>
      <c r="ACT46" s="90"/>
      <c r="ACU46" s="90"/>
      <c r="ACV46" s="90"/>
      <c r="ACW46" s="90"/>
      <c r="ACX46" s="90"/>
      <c r="ACY46" s="90"/>
      <c r="ACZ46" s="90"/>
      <c r="ADA46" s="90"/>
      <c r="ADB46" s="90"/>
      <c r="ADC46" s="90"/>
      <c r="ADD46" s="90"/>
      <c r="ADE46" s="90"/>
      <c r="ADF46" s="90"/>
      <c r="ADG46" s="90"/>
      <c r="ADH46" s="90"/>
      <c r="ADI46" s="90"/>
      <c r="ADJ46" s="90"/>
      <c r="ADK46" s="90"/>
      <c r="ADL46" s="90"/>
      <c r="ADM46" s="90"/>
      <c r="ADN46" s="90"/>
      <c r="ADO46" s="90"/>
      <c r="ADP46" s="90"/>
      <c r="ADQ46" s="90"/>
      <c r="ADR46" s="90"/>
      <c r="ADS46" s="90"/>
      <c r="ADT46" s="90"/>
      <c r="ADU46" s="90"/>
      <c r="ADV46" s="90"/>
      <c r="ADW46" s="90"/>
      <c r="ADX46" s="90"/>
      <c r="ADY46" s="90"/>
      <c r="ADZ46" s="90"/>
      <c r="AEA46" s="90"/>
      <c r="AEB46" s="90"/>
      <c r="AEC46" s="90"/>
      <c r="AED46" s="90"/>
      <c r="AEE46" s="90"/>
      <c r="AEF46" s="90"/>
      <c r="AEG46" s="90"/>
      <c r="AEH46" s="90"/>
      <c r="AEI46" s="90"/>
      <c r="AEJ46" s="90"/>
      <c r="AEK46" s="90"/>
      <c r="AEL46" s="90"/>
      <c r="AEM46" s="90"/>
      <c r="AEN46" s="90"/>
      <c r="AEO46" s="90"/>
      <c r="AEP46" s="90"/>
      <c r="AEQ46" s="90"/>
      <c r="AER46" s="90"/>
      <c r="AES46" s="90"/>
      <c r="AET46" s="90"/>
      <c r="AEU46" s="90"/>
      <c r="AEV46" s="90"/>
      <c r="AEW46" s="90"/>
      <c r="AEX46" s="90"/>
      <c r="AEY46" s="90"/>
      <c r="AEZ46" s="90"/>
      <c r="AFA46" s="90"/>
      <c r="AFB46" s="90"/>
      <c r="AFC46" s="90"/>
      <c r="AFD46" s="90"/>
      <c r="AFE46" s="90"/>
      <c r="AFF46" s="90"/>
      <c r="AFG46" s="90"/>
      <c r="AFH46" s="90"/>
      <c r="AFI46" s="90"/>
      <c r="AFJ46" s="90"/>
      <c r="AFK46" s="90"/>
      <c r="AFL46" s="90"/>
      <c r="AFM46" s="90"/>
      <c r="AFN46" s="90"/>
      <c r="AFO46" s="90"/>
      <c r="AFP46" s="90"/>
      <c r="AFQ46" s="90"/>
      <c r="AFR46" s="90"/>
      <c r="AFS46" s="90"/>
      <c r="AFT46" s="90"/>
      <c r="AFU46" s="90"/>
      <c r="AFV46" s="90"/>
      <c r="AFW46" s="90"/>
      <c r="AFX46" s="90"/>
      <c r="AFY46" s="90"/>
      <c r="AFZ46" s="90"/>
      <c r="AGA46" s="90"/>
      <c r="AGB46" s="90"/>
      <c r="AGC46" s="90"/>
      <c r="AGD46" s="90"/>
      <c r="AGE46" s="90"/>
      <c r="AGF46" s="90"/>
      <c r="AGG46" s="90"/>
      <c r="AGH46" s="90"/>
      <c r="AGI46" s="90"/>
      <c r="AGJ46" s="90"/>
      <c r="AGK46" s="90"/>
      <c r="AGL46" s="90"/>
      <c r="AGM46" s="90"/>
      <c r="AGN46" s="90"/>
      <c r="AGO46" s="90"/>
      <c r="AGP46" s="90"/>
      <c r="AGQ46" s="90"/>
      <c r="AGR46" s="90"/>
      <c r="AGS46" s="90"/>
      <c r="AGT46" s="90"/>
      <c r="AGU46" s="90"/>
      <c r="AGV46" s="90"/>
      <c r="AGW46" s="90"/>
      <c r="AGX46" s="90"/>
      <c r="AGY46" s="90"/>
      <c r="AGZ46" s="90"/>
      <c r="AHA46" s="90"/>
      <c r="AHB46" s="90"/>
      <c r="AHC46" s="90"/>
      <c r="AHD46" s="90"/>
      <c r="AHE46" s="90"/>
      <c r="AHF46" s="90"/>
      <c r="AHG46" s="90"/>
      <c r="AHH46" s="90"/>
      <c r="AHI46" s="90"/>
      <c r="AHJ46" s="90"/>
      <c r="AHK46" s="90"/>
      <c r="AHL46" s="90"/>
      <c r="AHM46" s="90"/>
      <c r="AHN46" s="90"/>
      <c r="AHO46" s="90"/>
      <c r="AHP46" s="90"/>
      <c r="AHQ46" s="90"/>
      <c r="AHR46" s="90"/>
      <c r="AHS46" s="90"/>
      <c r="AHT46" s="90"/>
      <c r="AHU46" s="90"/>
      <c r="AHV46" s="90"/>
      <c r="AHW46" s="90"/>
      <c r="AHX46" s="90"/>
      <c r="AHY46" s="90"/>
      <c r="AHZ46" s="90"/>
      <c r="AIA46" s="90"/>
      <c r="AIB46" s="90"/>
      <c r="AIC46" s="90"/>
      <c r="AID46" s="90"/>
      <c r="AIE46" s="90"/>
      <c r="AIF46" s="90"/>
      <c r="AIG46" s="90"/>
      <c r="AIH46" s="90"/>
      <c r="AII46" s="90"/>
      <c r="AIJ46" s="90"/>
      <c r="AIK46" s="90"/>
      <c r="AIL46" s="90"/>
      <c r="AIM46" s="90"/>
      <c r="AIN46" s="90"/>
      <c r="AIO46" s="90"/>
      <c r="AIP46" s="90"/>
      <c r="AIQ46" s="90"/>
      <c r="AIR46" s="90"/>
      <c r="AIS46" s="90"/>
      <c r="AIT46" s="90"/>
      <c r="AIU46" s="90"/>
      <c r="AIV46" s="90"/>
      <c r="AIW46" s="90"/>
      <c r="AIX46" s="90"/>
      <c r="AIY46" s="90"/>
      <c r="AIZ46" s="90"/>
      <c r="AJA46" s="90"/>
      <c r="AJB46" s="90"/>
      <c r="AJC46" s="90"/>
      <c r="AJD46" s="90"/>
      <c r="AJE46" s="90"/>
      <c r="AJF46" s="90"/>
      <c r="AJG46" s="90"/>
      <c r="AJH46" s="90"/>
      <c r="AJI46" s="90"/>
      <c r="AJJ46" s="90"/>
      <c r="AJK46" s="90"/>
      <c r="AJL46" s="90"/>
      <c r="AJM46" s="90"/>
      <c r="AJN46" s="90"/>
      <c r="AJO46" s="90"/>
      <c r="AJP46" s="90"/>
      <c r="AJQ46" s="90"/>
      <c r="AJR46" s="90"/>
      <c r="AJS46" s="90"/>
      <c r="AJT46" s="90"/>
      <c r="AJU46" s="90"/>
      <c r="AJV46" s="90"/>
      <c r="AJW46" s="90"/>
      <c r="AJX46" s="90"/>
      <c r="AJY46" s="90"/>
      <c r="AJZ46" s="90"/>
      <c r="AKA46" s="90"/>
      <c r="AKB46" s="90"/>
      <c r="AKC46" s="90"/>
      <c r="AKD46" s="90"/>
      <c r="AKE46" s="90"/>
      <c r="AKF46" s="90"/>
      <c r="AKG46" s="90"/>
      <c r="AKH46" s="90"/>
      <c r="AKI46" s="90"/>
      <c r="AKJ46" s="90"/>
      <c r="AKK46" s="90"/>
      <c r="AKL46" s="90"/>
      <c r="AKM46" s="90"/>
      <c r="AKN46" s="90"/>
      <c r="AKO46" s="90"/>
      <c r="AKP46" s="90"/>
      <c r="AKQ46" s="90"/>
      <c r="AKR46" s="90"/>
      <c r="AKS46" s="90"/>
      <c r="AKT46" s="90"/>
      <c r="AKU46" s="90"/>
      <c r="AKV46" s="90"/>
      <c r="AKW46" s="90"/>
      <c r="AKX46" s="90"/>
      <c r="AKY46" s="90"/>
      <c r="AKZ46" s="90"/>
      <c r="ALA46" s="90"/>
      <c r="ALB46" s="90"/>
      <c r="ALC46" s="90"/>
      <c r="ALD46" s="90"/>
      <c r="ALE46" s="90"/>
      <c r="ALF46" s="90"/>
      <c r="ALG46" s="90"/>
      <c r="ALH46" s="90"/>
      <c r="ALI46" s="90"/>
      <c r="ALJ46" s="90"/>
      <c r="ALK46" s="90"/>
      <c r="ALL46" s="90"/>
      <c r="ALM46" s="90"/>
      <c r="ALN46" s="90"/>
      <c r="ALO46" s="90"/>
      <c r="ALP46" s="90"/>
      <c r="ALQ46" s="90"/>
      <c r="ALR46" s="90"/>
      <c r="ALS46" s="90"/>
      <c r="ALT46" s="90"/>
      <c r="ALU46" s="90"/>
      <c r="ALV46" s="90"/>
      <c r="ALW46" s="90"/>
      <c r="ALX46" s="90"/>
      <c r="ALY46" s="90"/>
      <c r="ALZ46" s="90"/>
      <c r="AMA46" s="90"/>
      <c r="AMB46" s="90"/>
      <c r="AMC46" s="90"/>
    </row>
    <row r="47" spans="1:1017">
      <c r="A47" s="98" t="s">
        <v>25</v>
      </c>
      <c r="B47" s="775" t="s">
        <v>669</v>
      </c>
      <c r="Q47" s="91">
        <f t="shared" si="640"/>
        <v>0</v>
      </c>
      <c r="R47" s="91">
        <f t="shared" si="641"/>
        <v>0</v>
      </c>
      <c r="S47" s="98">
        <v>1300</v>
      </c>
      <c r="T47" s="98">
        <v>13000</v>
      </c>
      <c r="AG47" s="91">
        <f t="shared" si="642"/>
        <v>1300</v>
      </c>
      <c r="AH47" s="91">
        <f t="shared" si="643"/>
        <v>13000</v>
      </c>
      <c r="AW47" s="91">
        <f t="shared" si="644"/>
        <v>0</v>
      </c>
      <c r="AX47" s="91">
        <f t="shared" si="645"/>
        <v>0</v>
      </c>
      <c r="BM47" s="91">
        <f t="shared" si="646"/>
        <v>0</v>
      </c>
      <c r="BN47" s="91">
        <f t="shared" si="647"/>
        <v>0</v>
      </c>
      <c r="CC47" s="91">
        <f t="shared" si="648"/>
        <v>0</v>
      </c>
      <c r="CD47" s="91">
        <f t="shared" si="649"/>
        <v>0</v>
      </c>
      <c r="CS47" s="91">
        <f t="shared" si="650"/>
        <v>0</v>
      </c>
      <c r="CT47" s="91">
        <f t="shared" si="651"/>
        <v>0</v>
      </c>
      <c r="DI47" s="91">
        <f t="shared" si="652"/>
        <v>0</v>
      </c>
      <c r="DJ47" s="91">
        <f t="shared" si="653"/>
        <v>0</v>
      </c>
      <c r="DY47" s="91">
        <f t="shared" si="654"/>
        <v>0</v>
      </c>
      <c r="DZ47" s="91">
        <f t="shared" si="655"/>
        <v>0</v>
      </c>
      <c r="EO47" s="91">
        <f t="shared" si="656"/>
        <v>0</v>
      </c>
      <c r="EP47" s="91">
        <f t="shared" si="657"/>
        <v>0</v>
      </c>
      <c r="FE47" s="91">
        <f t="shared" si="658"/>
        <v>0</v>
      </c>
      <c r="FF47" s="91">
        <f t="shared" si="659"/>
        <v>0</v>
      </c>
      <c r="FU47" s="91">
        <f t="shared" si="660"/>
        <v>0</v>
      </c>
      <c r="FV47" s="91">
        <f t="shared" si="661"/>
        <v>0</v>
      </c>
      <c r="GK47" s="91">
        <f t="shared" si="662"/>
        <v>0</v>
      </c>
      <c r="GL47" s="91">
        <f t="shared" si="663"/>
        <v>0</v>
      </c>
      <c r="HA47" s="91">
        <f t="shared" si="664"/>
        <v>0</v>
      </c>
      <c r="HB47" s="91">
        <f t="shared" si="665"/>
        <v>0</v>
      </c>
      <c r="HQ47" s="91">
        <f t="shared" si="666"/>
        <v>0</v>
      </c>
      <c r="HR47" s="91">
        <f t="shared" si="667"/>
        <v>0</v>
      </c>
      <c r="IG47" s="91">
        <f t="shared" si="668"/>
        <v>0</v>
      </c>
      <c r="IH47" s="91">
        <f t="shared" si="669"/>
        <v>0</v>
      </c>
      <c r="IW47" s="91">
        <f t="shared" si="670"/>
        <v>0</v>
      </c>
      <c r="IX47" s="91">
        <f t="shared" si="671"/>
        <v>0</v>
      </c>
      <c r="JM47" s="91">
        <f t="shared" si="672"/>
        <v>0</v>
      </c>
      <c r="JN47" s="91">
        <f t="shared" si="673"/>
        <v>0</v>
      </c>
      <c r="KC47" s="91">
        <f t="shared" si="674"/>
        <v>0</v>
      </c>
      <c r="KD47" s="91">
        <f t="shared" si="675"/>
        <v>0</v>
      </c>
      <c r="KS47" s="91">
        <f t="shared" si="676"/>
        <v>0</v>
      </c>
      <c r="KT47" s="91">
        <f t="shared" si="677"/>
        <v>0</v>
      </c>
      <c r="LI47" s="91">
        <f t="shared" si="678"/>
        <v>0</v>
      </c>
      <c r="LJ47" s="91">
        <f t="shared" si="679"/>
        <v>0</v>
      </c>
      <c r="LY47" s="91">
        <f t="shared" si="680"/>
        <v>0</v>
      </c>
      <c r="LZ47" s="91">
        <f t="shared" si="681"/>
        <v>0</v>
      </c>
      <c r="MO47" s="91">
        <f t="shared" si="682"/>
        <v>0</v>
      </c>
      <c r="MP47" s="91">
        <f t="shared" si="683"/>
        <v>0</v>
      </c>
      <c r="NE47" s="91">
        <f t="shared" si="684"/>
        <v>0</v>
      </c>
      <c r="NF47" s="91">
        <f t="shared" si="685"/>
        <v>0</v>
      </c>
      <c r="NU47" s="91">
        <f t="shared" si="686"/>
        <v>0</v>
      </c>
      <c r="NV47" s="91">
        <f t="shared" si="687"/>
        <v>0</v>
      </c>
      <c r="OK47" s="91">
        <f t="shared" si="688"/>
        <v>0</v>
      </c>
      <c r="OL47" s="91">
        <f t="shared" si="689"/>
        <v>0</v>
      </c>
      <c r="PA47" s="91">
        <f t="shared" si="690"/>
        <v>0</v>
      </c>
      <c r="PB47" s="91">
        <f t="shared" si="691"/>
        <v>0</v>
      </c>
      <c r="PQ47" s="91">
        <f t="shared" si="692"/>
        <v>0</v>
      </c>
      <c r="PR47" s="91">
        <f t="shared" si="693"/>
        <v>0</v>
      </c>
      <c r="QG47" s="91">
        <f t="shared" si="694"/>
        <v>0</v>
      </c>
      <c r="QH47" s="91">
        <f t="shared" si="695"/>
        <v>0</v>
      </c>
      <c r="QW47" s="91">
        <f t="shared" si="696"/>
        <v>0</v>
      </c>
      <c r="QX47" s="91">
        <f t="shared" si="697"/>
        <v>0</v>
      </c>
      <c r="RM47" s="91">
        <f t="shared" si="698"/>
        <v>0</v>
      </c>
      <c r="RN47" s="91">
        <f t="shared" si="699"/>
        <v>0</v>
      </c>
      <c r="SC47" s="91">
        <f t="shared" si="700"/>
        <v>0</v>
      </c>
      <c r="SD47" s="91">
        <f t="shared" si="701"/>
        <v>0</v>
      </c>
      <c r="SS47" s="91">
        <f t="shared" si="702"/>
        <v>0</v>
      </c>
      <c r="ST47" s="91">
        <f t="shared" si="703"/>
        <v>0</v>
      </c>
      <c r="TI47" s="91">
        <f t="shared" si="704"/>
        <v>0</v>
      </c>
      <c r="TJ47" s="91">
        <f t="shared" si="705"/>
        <v>0</v>
      </c>
      <c r="TY47" s="91">
        <f t="shared" si="706"/>
        <v>0</v>
      </c>
      <c r="TZ47" s="91">
        <f t="shared" si="707"/>
        <v>0</v>
      </c>
      <c r="UO47" s="91">
        <f t="shared" si="708"/>
        <v>0</v>
      </c>
      <c r="UP47" s="91">
        <f t="shared" si="764"/>
        <v>0</v>
      </c>
      <c r="VE47" s="91">
        <f t="shared" si="709"/>
        <v>0</v>
      </c>
      <c r="VF47" s="91">
        <f t="shared" si="710"/>
        <v>0</v>
      </c>
      <c r="VU47" s="91">
        <f t="shared" si="711"/>
        <v>0</v>
      </c>
      <c r="VV47" s="91">
        <f t="shared" si="712"/>
        <v>0</v>
      </c>
      <c r="WK47" s="91">
        <f t="shared" si="713"/>
        <v>0</v>
      </c>
      <c r="WL47" s="91">
        <f t="shared" si="714"/>
        <v>0</v>
      </c>
      <c r="WM47" s="89"/>
      <c r="WN47" s="87">
        <f t="shared" si="789"/>
        <v>1300</v>
      </c>
      <c r="WO47" s="87">
        <f t="shared" si="790"/>
        <v>13000</v>
      </c>
      <c r="WP47" s="87">
        <f t="shared" si="791"/>
        <v>0</v>
      </c>
      <c r="WQ47" s="87">
        <f t="shared" si="792"/>
        <v>0</v>
      </c>
      <c r="WR47" s="87">
        <f t="shared" si="793"/>
        <v>0</v>
      </c>
      <c r="WS47" s="87">
        <f t="shared" si="794"/>
        <v>0</v>
      </c>
      <c r="WT47" s="87">
        <f t="shared" si="795"/>
        <v>0</v>
      </c>
      <c r="WU47" s="87">
        <f t="shared" si="796"/>
        <v>0</v>
      </c>
      <c r="WV47" s="87">
        <f t="shared" si="797"/>
        <v>0</v>
      </c>
      <c r="WW47" s="87">
        <f t="shared" si="798"/>
        <v>0</v>
      </c>
      <c r="WX47" s="87">
        <f t="shared" si="799"/>
        <v>0</v>
      </c>
      <c r="WY47" s="87">
        <f t="shared" si="800"/>
        <v>0</v>
      </c>
      <c r="WZ47" s="87">
        <f t="shared" si="780"/>
        <v>0</v>
      </c>
      <c r="XA47" s="87">
        <f t="shared" si="781"/>
        <v>0</v>
      </c>
      <c r="XB47" s="92">
        <f t="shared" si="801"/>
        <v>1300</v>
      </c>
      <c r="XC47" s="92">
        <f t="shared" si="802"/>
        <v>13000</v>
      </c>
      <c r="XD47" s="89"/>
      <c r="XE47" s="92">
        <f t="shared" si="804"/>
        <v>3830</v>
      </c>
      <c r="XF47" s="92">
        <f t="shared" si="805"/>
        <v>38300</v>
      </c>
      <c r="XG47" s="89"/>
      <c r="XH47" s="92">
        <f t="shared" ref="XH47:XI47" si="810">SUM(XE47,XE85)</f>
        <v>7530</v>
      </c>
      <c r="XI47" s="92">
        <f t="shared" si="810"/>
        <v>75300</v>
      </c>
      <c r="XJ47" s="89"/>
      <c r="XK47" s="87">
        <f t="shared" si="732"/>
        <v>15415</v>
      </c>
      <c r="XL47" s="87">
        <f t="shared" si="733"/>
        <v>0</v>
      </c>
      <c r="XM47" s="87">
        <f t="shared" si="734"/>
        <v>0</v>
      </c>
      <c r="XN47" s="87">
        <f t="shared" si="735"/>
        <v>0</v>
      </c>
      <c r="XO47" s="87">
        <f t="shared" si="736"/>
        <v>0</v>
      </c>
      <c r="XP47" s="87">
        <f t="shared" si="737"/>
        <v>0</v>
      </c>
      <c r="XQ47" s="87">
        <f t="shared" si="738"/>
        <v>0</v>
      </c>
      <c r="XR47" s="92">
        <f t="shared" si="739"/>
        <v>15415</v>
      </c>
      <c r="XS47" s="89"/>
      <c r="XT47" s="87">
        <f t="shared" si="740"/>
        <v>154150</v>
      </c>
      <c r="XU47" s="87">
        <f t="shared" si="741"/>
        <v>0</v>
      </c>
      <c r="XV47" s="87">
        <f t="shared" si="742"/>
        <v>0</v>
      </c>
      <c r="XW47" s="87">
        <f t="shared" si="743"/>
        <v>0</v>
      </c>
      <c r="XX47" s="87">
        <f t="shared" si="744"/>
        <v>0</v>
      </c>
      <c r="XY47" s="87">
        <f t="shared" si="745"/>
        <v>0</v>
      </c>
      <c r="XZ47" s="87">
        <f t="shared" si="746"/>
        <v>0</v>
      </c>
      <c r="YA47" s="92">
        <f t="shared" si="747"/>
        <v>154150</v>
      </c>
      <c r="YB47" s="90"/>
      <c r="YC47" s="90"/>
      <c r="YD47" s="90"/>
      <c r="YE47" s="90"/>
      <c r="YF47" s="90"/>
      <c r="YG47" s="90"/>
      <c r="YH47" s="90"/>
      <c r="YI47" s="90"/>
      <c r="YJ47" s="90"/>
      <c r="YK47" s="90"/>
      <c r="YL47" s="90"/>
      <c r="YM47" s="90"/>
      <c r="YN47" s="90"/>
      <c r="YO47" s="90"/>
      <c r="YP47" s="90"/>
      <c r="YQ47" s="90"/>
      <c r="YR47" s="90"/>
      <c r="YS47" s="90"/>
      <c r="YT47" s="90"/>
      <c r="YU47" s="90"/>
      <c r="YV47" s="90"/>
      <c r="YW47" s="90"/>
      <c r="YX47" s="90"/>
      <c r="YY47" s="90"/>
      <c r="YZ47" s="90"/>
      <c r="ZA47" s="90"/>
      <c r="ZB47" s="90"/>
      <c r="ZC47" s="90"/>
      <c r="ZD47" s="90"/>
      <c r="ZE47" s="90"/>
      <c r="ZF47" s="90"/>
      <c r="ZG47" s="90"/>
      <c r="ZH47" s="90"/>
      <c r="ZI47" s="90"/>
      <c r="ZJ47" s="90"/>
      <c r="ZK47" s="90"/>
      <c r="ZL47" s="90"/>
      <c r="ZM47" s="90"/>
      <c r="ZN47" s="90"/>
      <c r="ZO47" s="90"/>
      <c r="ZP47" s="90"/>
      <c r="ZQ47" s="90"/>
      <c r="ZR47" s="90"/>
      <c r="ZS47" s="90"/>
      <c r="ZT47" s="90"/>
      <c r="ZU47" s="90"/>
      <c r="ZV47" s="90"/>
      <c r="ZW47" s="90"/>
      <c r="ZX47" s="90"/>
      <c r="ZY47" s="90"/>
      <c r="ZZ47" s="90"/>
      <c r="AAA47" s="90"/>
      <c r="AAB47" s="90"/>
      <c r="AAC47" s="90"/>
      <c r="AAD47" s="90"/>
      <c r="AAE47" s="90"/>
      <c r="AAF47" s="90"/>
      <c r="AAG47" s="90"/>
      <c r="AAH47" s="90"/>
      <c r="AAI47" s="90"/>
      <c r="AAJ47" s="90"/>
      <c r="AAK47" s="90"/>
      <c r="AAL47" s="90"/>
      <c r="AAM47" s="90"/>
      <c r="AAN47" s="90"/>
      <c r="AAO47" s="90"/>
      <c r="AAP47" s="90"/>
      <c r="AAQ47" s="90"/>
      <c r="AAR47" s="90"/>
      <c r="AAS47" s="90"/>
      <c r="AAT47" s="90"/>
      <c r="AAU47" s="90"/>
      <c r="AAV47" s="90"/>
      <c r="AAW47" s="90"/>
      <c r="AAX47" s="90"/>
      <c r="AAY47" s="90"/>
      <c r="AAZ47" s="90"/>
      <c r="ABA47" s="90"/>
      <c r="ABB47" s="90"/>
      <c r="ABC47" s="90"/>
      <c r="ABD47" s="90"/>
      <c r="ABE47" s="90"/>
      <c r="ABF47" s="90"/>
      <c r="ABG47" s="90"/>
      <c r="ABH47" s="90"/>
      <c r="ABI47" s="90"/>
      <c r="ABJ47" s="90"/>
      <c r="ABK47" s="90"/>
      <c r="ABL47" s="90"/>
      <c r="ABM47" s="90"/>
      <c r="ABN47" s="90"/>
      <c r="ABO47" s="90"/>
      <c r="ABP47" s="90"/>
      <c r="ABQ47" s="90"/>
      <c r="ABR47" s="90"/>
      <c r="ABS47" s="90"/>
      <c r="ABT47" s="90"/>
      <c r="ABU47" s="90"/>
      <c r="ABV47" s="90"/>
      <c r="ABW47" s="90"/>
      <c r="ABX47" s="90"/>
      <c r="ABY47" s="90"/>
      <c r="ABZ47" s="90"/>
      <c r="ACA47" s="90"/>
      <c r="ACB47" s="90"/>
      <c r="ACC47" s="90"/>
      <c r="ACD47" s="90"/>
      <c r="ACE47" s="90"/>
      <c r="ACF47" s="90"/>
      <c r="ACG47" s="90"/>
      <c r="ACH47" s="90"/>
      <c r="ACI47" s="90"/>
      <c r="ACJ47" s="90"/>
      <c r="ACK47" s="90"/>
      <c r="ACL47" s="90"/>
      <c r="ACM47" s="90"/>
      <c r="ACN47" s="90"/>
      <c r="ACO47" s="90"/>
      <c r="ACP47" s="90"/>
      <c r="ACQ47" s="90"/>
      <c r="ACR47" s="90"/>
      <c r="ACS47" s="90"/>
      <c r="ACT47" s="90"/>
      <c r="ACU47" s="90"/>
      <c r="ACV47" s="90"/>
      <c r="ACW47" s="90"/>
      <c r="ACX47" s="90"/>
      <c r="ACY47" s="90"/>
      <c r="ACZ47" s="90"/>
      <c r="ADA47" s="90"/>
      <c r="ADB47" s="90"/>
      <c r="ADC47" s="90"/>
      <c r="ADD47" s="90"/>
      <c r="ADE47" s="90"/>
      <c r="ADF47" s="90"/>
      <c r="ADG47" s="90"/>
      <c r="ADH47" s="90"/>
      <c r="ADI47" s="90"/>
      <c r="ADJ47" s="90"/>
      <c r="ADK47" s="90"/>
      <c r="ADL47" s="90"/>
      <c r="ADM47" s="90"/>
      <c r="ADN47" s="90"/>
      <c r="ADO47" s="90"/>
      <c r="ADP47" s="90"/>
      <c r="ADQ47" s="90"/>
      <c r="ADR47" s="90"/>
      <c r="ADS47" s="90"/>
      <c r="ADT47" s="90"/>
      <c r="ADU47" s="90"/>
      <c r="ADV47" s="90"/>
      <c r="ADW47" s="90"/>
      <c r="ADX47" s="90"/>
      <c r="ADY47" s="90"/>
      <c r="ADZ47" s="90"/>
      <c r="AEA47" s="90"/>
      <c r="AEB47" s="90"/>
      <c r="AEC47" s="90"/>
      <c r="AED47" s="90"/>
      <c r="AEE47" s="90"/>
      <c r="AEF47" s="90"/>
      <c r="AEG47" s="90"/>
      <c r="AEH47" s="90"/>
      <c r="AEI47" s="90"/>
      <c r="AEJ47" s="90"/>
      <c r="AEK47" s="90"/>
      <c r="AEL47" s="90"/>
      <c r="AEM47" s="90"/>
      <c r="AEN47" s="90"/>
      <c r="AEO47" s="90"/>
      <c r="AEP47" s="90"/>
      <c r="AEQ47" s="90"/>
      <c r="AER47" s="90"/>
      <c r="AES47" s="90"/>
      <c r="AET47" s="90"/>
      <c r="AEU47" s="90"/>
      <c r="AEV47" s="90"/>
      <c r="AEW47" s="90"/>
      <c r="AEX47" s="90"/>
      <c r="AEY47" s="90"/>
      <c r="AEZ47" s="90"/>
      <c r="AFA47" s="90"/>
      <c r="AFB47" s="90"/>
      <c r="AFC47" s="90"/>
      <c r="AFD47" s="90"/>
      <c r="AFE47" s="90"/>
      <c r="AFF47" s="90"/>
      <c r="AFG47" s="90"/>
      <c r="AFH47" s="90"/>
      <c r="AFI47" s="90"/>
      <c r="AFJ47" s="90"/>
      <c r="AFK47" s="90"/>
      <c r="AFL47" s="90"/>
      <c r="AFM47" s="90"/>
      <c r="AFN47" s="90"/>
      <c r="AFO47" s="90"/>
      <c r="AFP47" s="90"/>
      <c r="AFQ47" s="90"/>
      <c r="AFR47" s="90"/>
      <c r="AFS47" s="90"/>
      <c r="AFT47" s="90"/>
      <c r="AFU47" s="90"/>
      <c r="AFV47" s="90"/>
      <c r="AFW47" s="90"/>
      <c r="AFX47" s="90"/>
      <c r="AFY47" s="90"/>
      <c r="AFZ47" s="90"/>
      <c r="AGA47" s="90"/>
      <c r="AGB47" s="90"/>
      <c r="AGC47" s="90"/>
      <c r="AGD47" s="90"/>
      <c r="AGE47" s="90"/>
      <c r="AGF47" s="90"/>
      <c r="AGG47" s="90"/>
      <c r="AGH47" s="90"/>
      <c r="AGI47" s="90"/>
      <c r="AGJ47" s="90"/>
      <c r="AGK47" s="90"/>
      <c r="AGL47" s="90"/>
      <c r="AGM47" s="90"/>
      <c r="AGN47" s="90"/>
      <c r="AGO47" s="90"/>
      <c r="AGP47" s="90"/>
      <c r="AGQ47" s="90"/>
      <c r="AGR47" s="90"/>
      <c r="AGS47" s="90"/>
      <c r="AGT47" s="90"/>
      <c r="AGU47" s="90"/>
      <c r="AGV47" s="90"/>
      <c r="AGW47" s="90"/>
      <c r="AGX47" s="90"/>
      <c r="AGY47" s="90"/>
      <c r="AGZ47" s="90"/>
      <c r="AHA47" s="90"/>
      <c r="AHB47" s="90"/>
      <c r="AHC47" s="90"/>
      <c r="AHD47" s="90"/>
      <c r="AHE47" s="90"/>
      <c r="AHF47" s="90"/>
      <c r="AHG47" s="90"/>
      <c r="AHH47" s="90"/>
      <c r="AHI47" s="90"/>
      <c r="AHJ47" s="90"/>
      <c r="AHK47" s="90"/>
      <c r="AHL47" s="90"/>
      <c r="AHM47" s="90"/>
      <c r="AHN47" s="90"/>
      <c r="AHO47" s="90"/>
      <c r="AHP47" s="90"/>
      <c r="AHQ47" s="90"/>
      <c r="AHR47" s="90"/>
      <c r="AHS47" s="90"/>
      <c r="AHT47" s="90"/>
      <c r="AHU47" s="90"/>
      <c r="AHV47" s="90"/>
      <c r="AHW47" s="90"/>
      <c r="AHX47" s="90"/>
      <c r="AHY47" s="90"/>
      <c r="AHZ47" s="90"/>
      <c r="AIA47" s="90"/>
      <c r="AIB47" s="90"/>
      <c r="AIC47" s="90"/>
      <c r="AID47" s="90"/>
      <c r="AIE47" s="90"/>
      <c r="AIF47" s="90"/>
      <c r="AIG47" s="90"/>
      <c r="AIH47" s="90"/>
      <c r="AII47" s="90"/>
      <c r="AIJ47" s="90"/>
      <c r="AIK47" s="90"/>
      <c r="AIL47" s="90"/>
      <c r="AIM47" s="90"/>
      <c r="AIN47" s="90"/>
      <c r="AIO47" s="90"/>
      <c r="AIP47" s="90"/>
      <c r="AIQ47" s="90"/>
      <c r="AIR47" s="90"/>
      <c r="AIS47" s="90"/>
      <c r="AIT47" s="90"/>
      <c r="AIU47" s="90"/>
      <c r="AIV47" s="90"/>
      <c r="AIW47" s="90"/>
      <c r="AIX47" s="90"/>
      <c r="AIY47" s="90"/>
      <c r="AIZ47" s="90"/>
      <c r="AJA47" s="90"/>
      <c r="AJB47" s="90"/>
      <c r="AJC47" s="90"/>
      <c r="AJD47" s="90"/>
      <c r="AJE47" s="90"/>
      <c r="AJF47" s="90"/>
      <c r="AJG47" s="90"/>
      <c r="AJH47" s="90"/>
      <c r="AJI47" s="90"/>
      <c r="AJJ47" s="90"/>
      <c r="AJK47" s="90"/>
      <c r="AJL47" s="90"/>
      <c r="AJM47" s="90"/>
      <c r="AJN47" s="90"/>
      <c r="AJO47" s="90"/>
      <c r="AJP47" s="90"/>
      <c r="AJQ47" s="90"/>
      <c r="AJR47" s="90"/>
      <c r="AJS47" s="90"/>
      <c r="AJT47" s="90"/>
      <c r="AJU47" s="90"/>
      <c r="AJV47" s="90"/>
      <c r="AJW47" s="90"/>
      <c r="AJX47" s="90"/>
      <c r="AJY47" s="90"/>
      <c r="AJZ47" s="90"/>
      <c r="AKA47" s="90"/>
      <c r="AKB47" s="90"/>
      <c r="AKC47" s="90"/>
      <c r="AKD47" s="90"/>
      <c r="AKE47" s="90"/>
      <c r="AKF47" s="90"/>
      <c r="AKG47" s="90"/>
      <c r="AKH47" s="90"/>
      <c r="AKI47" s="90"/>
      <c r="AKJ47" s="90"/>
      <c r="AKK47" s="90"/>
      <c r="AKL47" s="90"/>
      <c r="AKM47" s="90"/>
      <c r="AKN47" s="90"/>
      <c r="AKO47" s="90"/>
      <c r="AKP47" s="90"/>
      <c r="AKQ47" s="90"/>
      <c r="AKR47" s="90"/>
      <c r="AKS47" s="90"/>
      <c r="AKT47" s="90"/>
      <c r="AKU47" s="90"/>
      <c r="AKV47" s="90"/>
      <c r="AKW47" s="90"/>
      <c r="AKX47" s="90"/>
      <c r="AKY47" s="90"/>
      <c r="AKZ47" s="90"/>
      <c r="ALA47" s="90"/>
      <c r="ALB47" s="90"/>
      <c r="ALC47" s="90"/>
      <c r="ALD47" s="90"/>
      <c r="ALE47" s="90"/>
      <c r="ALF47" s="90"/>
      <c r="ALG47" s="90"/>
      <c r="ALH47" s="90"/>
      <c r="ALI47" s="90"/>
      <c r="ALJ47" s="90"/>
      <c r="ALK47" s="90"/>
      <c r="ALL47" s="90"/>
      <c r="ALM47" s="90"/>
      <c r="ALN47" s="90"/>
      <c r="ALO47" s="90"/>
      <c r="ALP47" s="90"/>
      <c r="ALQ47" s="90"/>
      <c r="ALR47" s="90"/>
      <c r="ALS47" s="90"/>
      <c r="ALT47" s="90"/>
      <c r="ALU47" s="90"/>
      <c r="ALV47" s="90"/>
      <c r="ALW47" s="90"/>
      <c r="ALX47" s="90"/>
      <c r="ALY47" s="90"/>
      <c r="ALZ47" s="90"/>
      <c r="AMA47" s="90"/>
      <c r="AMB47" s="90"/>
      <c r="AMC47" s="90"/>
    </row>
    <row r="48" spans="1:1017">
      <c r="A48" s="98" t="s">
        <v>25</v>
      </c>
      <c r="B48" s="775" t="s">
        <v>670</v>
      </c>
      <c r="E48" s="773">
        <v>800</v>
      </c>
      <c r="F48" s="773">
        <v>80000</v>
      </c>
      <c r="Q48" s="91">
        <f t="shared" si="640"/>
        <v>800</v>
      </c>
      <c r="R48" s="91">
        <f t="shared" si="641"/>
        <v>80000</v>
      </c>
      <c r="AG48" s="91">
        <f t="shared" si="642"/>
        <v>0</v>
      </c>
      <c r="AH48" s="91">
        <f t="shared" si="643"/>
        <v>0</v>
      </c>
      <c r="AW48" s="91">
        <f t="shared" si="644"/>
        <v>0</v>
      </c>
      <c r="AX48" s="91">
        <f t="shared" si="645"/>
        <v>0</v>
      </c>
      <c r="BM48" s="91">
        <f t="shared" si="646"/>
        <v>0</v>
      </c>
      <c r="BN48" s="91">
        <f t="shared" si="647"/>
        <v>0</v>
      </c>
      <c r="CC48" s="91">
        <f t="shared" si="648"/>
        <v>0</v>
      </c>
      <c r="CD48" s="91">
        <f t="shared" si="649"/>
        <v>0</v>
      </c>
      <c r="CS48" s="91">
        <f t="shared" si="650"/>
        <v>0</v>
      </c>
      <c r="CT48" s="91">
        <f t="shared" si="651"/>
        <v>0</v>
      </c>
      <c r="DI48" s="91">
        <f t="shared" si="652"/>
        <v>0</v>
      </c>
      <c r="DJ48" s="91">
        <f t="shared" si="653"/>
        <v>0</v>
      </c>
      <c r="DY48" s="91">
        <f t="shared" si="654"/>
        <v>0</v>
      </c>
      <c r="DZ48" s="91">
        <f t="shared" si="655"/>
        <v>0</v>
      </c>
      <c r="EO48" s="91">
        <f t="shared" si="656"/>
        <v>0</v>
      </c>
      <c r="EP48" s="91">
        <f t="shared" si="657"/>
        <v>0</v>
      </c>
      <c r="FE48" s="91">
        <f t="shared" si="658"/>
        <v>0</v>
      </c>
      <c r="FF48" s="91">
        <f t="shared" si="659"/>
        <v>0</v>
      </c>
      <c r="FU48" s="91">
        <f t="shared" si="660"/>
        <v>0</v>
      </c>
      <c r="FV48" s="91">
        <f t="shared" si="661"/>
        <v>0</v>
      </c>
      <c r="GK48" s="91">
        <f t="shared" si="662"/>
        <v>0</v>
      </c>
      <c r="GL48" s="91">
        <f t="shared" si="663"/>
        <v>0</v>
      </c>
      <c r="HA48" s="91">
        <f t="shared" si="664"/>
        <v>0</v>
      </c>
      <c r="HB48" s="91">
        <f t="shared" si="665"/>
        <v>0</v>
      </c>
      <c r="HQ48" s="91">
        <f t="shared" si="666"/>
        <v>0</v>
      </c>
      <c r="HR48" s="91">
        <f t="shared" si="667"/>
        <v>0</v>
      </c>
      <c r="IG48" s="91">
        <f t="shared" si="668"/>
        <v>0</v>
      </c>
      <c r="IH48" s="91">
        <f t="shared" si="669"/>
        <v>0</v>
      </c>
      <c r="IW48" s="91">
        <f t="shared" si="670"/>
        <v>0</v>
      </c>
      <c r="IX48" s="91">
        <f t="shared" si="671"/>
        <v>0</v>
      </c>
      <c r="JM48" s="91">
        <f t="shared" si="672"/>
        <v>0</v>
      </c>
      <c r="JN48" s="91">
        <f t="shared" si="673"/>
        <v>0</v>
      </c>
      <c r="KC48" s="91">
        <f t="shared" si="674"/>
        <v>0</v>
      </c>
      <c r="KD48" s="91">
        <f t="shared" si="675"/>
        <v>0</v>
      </c>
      <c r="KS48" s="91">
        <f t="shared" si="676"/>
        <v>0</v>
      </c>
      <c r="KT48" s="91">
        <f t="shared" si="677"/>
        <v>0</v>
      </c>
      <c r="LI48" s="91">
        <f t="shared" si="678"/>
        <v>0</v>
      </c>
      <c r="LJ48" s="91">
        <f t="shared" si="679"/>
        <v>0</v>
      </c>
      <c r="LY48" s="91">
        <f t="shared" si="680"/>
        <v>0</v>
      </c>
      <c r="LZ48" s="91">
        <f t="shared" si="681"/>
        <v>0</v>
      </c>
      <c r="MO48" s="91">
        <f t="shared" si="682"/>
        <v>0</v>
      </c>
      <c r="MP48" s="91">
        <f t="shared" si="683"/>
        <v>0</v>
      </c>
      <c r="NE48" s="91">
        <f t="shared" si="684"/>
        <v>0</v>
      </c>
      <c r="NF48" s="91">
        <f t="shared" si="685"/>
        <v>0</v>
      </c>
      <c r="NU48" s="91">
        <f t="shared" si="686"/>
        <v>0</v>
      </c>
      <c r="NV48" s="91">
        <f t="shared" si="687"/>
        <v>0</v>
      </c>
      <c r="OK48" s="91">
        <f t="shared" si="688"/>
        <v>0</v>
      </c>
      <c r="OL48" s="91">
        <f t="shared" si="689"/>
        <v>0</v>
      </c>
      <c r="PA48" s="91">
        <f t="shared" si="690"/>
        <v>0</v>
      </c>
      <c r="PB48" s="91">
        <f t="shared" si="691"/>
        <v>0</v>
      </c>
      <c r="PQ48" s="91">
        <f t="shared" si="692"/>
        <v>0</v>
      </c>
      <c r="PR48" s="91">
        <f t="shared" si="693"/>
        <v>0</v>
      </c>
      <c r="QG48" s="91">
        <f t="shared" si="694"/>
        <v>0</v>
      </c>
      <c r="QH48" s="91">
        <f t="shared" si="695"/>
        <v>0</v>
      </c>
      <c r="QW48" s="91">
        <f t="shared" si="696"/>
        <v>0</v>
      </c>
      <c r="QX48" s="91">
        <f t="shared" si="697"/>
        <v>0</v>
      </c>
      <c r="RM48" s="91">
        <f t="shared" si="698"/>
        <v>0</v>
      </c>
      <c r="RN48" s="91">
        <f t="shared" si="699"/>
        <v>0</v>
      </c>
      <c r="SC48" s="91">
        <f t="shared" si="700"/>
        <v>0</v>
      </c>
      <c r="SD48" s="91">
        <f t="shared" si="701"/>
        <v>0</v>
      </c>
      <c r="SS48" s="91">
        <f t="shared" si="702"/>
        <v>0</v>
      </c>
      <c r="ST48" s="91">
        <f t="shared" si="703"/>
        <v>0</v>
      </c>
      <c r="TI48" s="91">
        <f t="shared" si="704"/>
        <v>0</v>
      </c>
      <c r="TJ48" s="91">
        <f t="shared" si="705"/>
        <v>0</v>
      </c>
      <c r="TY48" s="91">
        <f t="shared" si="706"/>
        <v>0</v>
      </c>
      <c r="TZ48" s="91">
        <f t="shared" si="707"/>
        <v>0</v>
      </c>
      <c r="UO48" s="91">
        <f t="shared" si="708"/>
        <v>0</v>
      </c>
      <c r="UP48" s="91">
        <f t="shared" si="764"/>
        <v>0</v>
      </c>
      <c r="VE48" s="91">
        <f t="shared" si="709"/>
        <v>0</v>
      </c>
      <c r="VF48" s="91">
        <f t="shared" si="710"/>
        <v>0</v>
      </c>
      <c r="VU48" s="91">
        <f t="shared" si="711"/>
        <v>0</v>
      </c>
      <c r="VV48" s="91">
        <f t="shared" si="712"/>
        <v>0</v>
      </c>
      <c r="WK48" s="91">
        <f t="shared" si="713"/>
        <v>0</v>
      </c>
      <c r="WL48" s="91">
        <f t="shared" si="714"/>
        <v>0</v>
      </c>
      <c r="WM48" s="89"/>
      <c r="WN48" s="87">
        <f t="shared" si="789"/>
        <v>0</v>
      </c>
      <c r="WO48" s="87">
        <f t="shared" si="790"/>
        <v>0</v>
      </c>
      <c r="WP48" s="87">
        <f t="shared" si="791"/>
        <v>800</v>
      </c>
      <c r="WQ48" s="87">
        <f t="shared" si="792"/>
        <v>80000</v>
      </c>
      <c r="WR48" s="87">
        <f t="shared" si="793"/>
        <v>0</v>
      </c>
      <c r="WS48" s="87">
        <f t="shared" si="794"/>
        <v>0</v>
      </c>
      <c r="WT48" s="87">
        <f t="shared" si="795"/>
        <v>0</v>
      </c>
      <c r="WU48" s="87">
        <f t="shared" si="796"/>
        <v>0</v>
      </c>
      <c r="WV48" s="87">
        <f t="shared" si="797"/>
        <v>0</v>
      </c>
      <c r="WW48" s="87">
        <f t="shared" si="798"/>
        <v>0</v>
      </c>
      <c r="WX48" s="87">
        <f t="shared" si="799"/>
        <v>0</v>
      </c>
      <c r="WY48" s="87">
        <f t="shared" si="800"/>
        <v>0</v>
      </c>
      <c r="WZ48" s="87">
        <f t="shared" si="780"/>
        <v>0</v>
      </c>
      <c r="XA48" s="87">
        <f t="shared" si="781"/>
        <v>0</v>
      </c>
      <c r="XB48" s="92">
        <f t="shared" si="801"/>
        <v>800</v>
      </c>
      <c r="XC48" s="92">
        <f t="shared" si="802"/>
        <v>80000</v>
      </c>
      <c r="XD48" s="89"/>
      <c r="XE48" s="92">
        <f t="shared" si="804"/>
        <v>800</v>
      </c>
      <c r="XF48" s="92">
        <f t="shared" si="805"/>
        <v>80000</v>
      </c>
      <c r="XG48" s="89"/>
      <c r="XH48" s="92">
        <f t="shared" ref="XH48:XI48" si="811">SUM(XE48,XE86)</f>
        <v>800</v>
      </c>
      <c r="XI48" s="92">
        <f t="shared" si="811"/>
        <v>80000</v>
      </c>
      <c r="XJ48" s="89"/>
      <c r="XK48" s="87">
        <f t="shared" si="732"/>
        <v>0</v>
      </c>
      <c r="XL48" s="87">
        <f t="shared" si="733"/>
        <v>800</v>
      </c>
      <c r="XM48" s="87">
        <f t="shared" si="734"/>
        <v>0</v>
      </c>
      <c r="XN48" s="87">
        <f t="shared" si="735"/>
        <v>0</v>
      </c>
      <c r="XO48" s="87">
        <f t="shared" si="736"/>
        <v>0</v>
      </c>
      <c r="XP48" s="87">
        <f t="shared" si="737"/>
        <v>0</v>
      </c>
      <c r="XQ48" s="87">
        <f t="shared" si="738"/>
        <v>0</v>
      </c>
      <c r="XR48" s="92">
        <f t="shared" si="739"/>
        <v>800</v>
      </c>
      <c r="XS48" s="89"/>
      <c r="XT48" s="87">
        <f t="shared" si="740"/>
        <v>0</v>
      </c>
      <c r="XU48" s="87">
        <f t="shared" si="741"/>
        <v>80000</v>
      </c>
      <c r="XV48" s="87">
        <f t="shared" si="742"/>
        <v>0</v>
      </c>
      <c r="XW48" s="87">
        <f t="shared" si="743"/>
        <v>0</v>
      </c>
      <c r="XX48" s="87">
        <f t="shared" si="744"/>
        <v>0</v>
      </c>
      <c r="XY48" s="87">
        <f t="shared" si="745"/>
        <v>0</v>
      </c>
      <c r="XZ48" s="87">
        <f t="shared" si="746"/>
        <v>0</v>
      </c>
      <c r="YA48" s="92">
        <f t="shared" si="747"/>
        <v>80000</v>
      </c>
      <c r="YB48" s="90"/>
      <c r="YC48" s="90"/>
      <c r="YD48" s="90"/>
      <c r="YE48" s="90"/>
      <c r="YF48" s="90"/>
      <c r="YG48" s="90"/>
      <c r="YH48" s="90"/>
      <c r="YI48" s="90"/>
      <c r="YJ48" s="90"/>
      <c r="YK48" s="90"/>
      <c r="YL48" s="90"/>
      <c r="YM48" s="90"/>
      <c r="YN48" s="90"/>
      <c r="YO48" s="90"/>
      <c r="YP48" s="90"/>
      <c r="YQ48" s="90"/>
      <c r="YR48" s="90"/>
      <c r="YS48" s="90"/>
      <c r="YT48" s="90"/>
      <c r="YU48" s="90"/>
      <c r="YV48" s="90"/>
      <c r="YW48" s="90"/>
      <c r="YX48" s="90"/>
      <c r="YY48" s="90"/>
      <c r="YZ48" s="90"/>
      <c r="ZA48" s="90"/>
      <c r="ZB48" s="90"/>
      <c r="ZC48" s="90"/>
      <c r="ZD48" s="90"/>
      <c r="ZE48" s="90"/>
      <c r="ZF48" s="90"/>
      <c r="ZG48" s="90"/>
      <c r="ZH48" s="90"/>
      <c r="ZI48" s="90"/>
      <c r="ZJ48" s="90"/>
      <c r="ZK48" s="90"/>
      <c r="ZL48" s="90"/>
      <c r="ZM48" s="90"/>
      <c r="ZN48" s="90"/>
      <c r="ZO48" s="90"/>
      <c r="ZP48" s="90"/>
      <c r="ZQ48" s="90"/>
      <c r="ZR48" s="90"/>
      <c r="ZS48" s="90"/>
      <c r="ZT48" s="90"/>
      <c r="ZU48" s="90"/>
      <c r="ZV48" s="90"/>
      <c r="ZW48" s="90"/>
      <c r="ZX48" s="90"/>
      <c r="ZY48" s="90"/>
      <c r="ZZ48" s="90"/>
      <c r="AAA48" s="90"/>
      <c r="AAB48" s="90"/>
      <c r="AAC48" s="90"/>
      <c r="AAD48" s="90"/>
      <c r="AAE48" s="90"/>
      <c r="AAF48" s="90"/>
      <c r="AAG48" s="90"/>
      <c r="AAH48" s="90"/>
      <c r="AAI48" s="90"/>
      <c r="AAJ48" s="90"/>
      <c r="AAK48" s="90"/>
      <c r="AAL48" s="90"/>
      <c r="AAM48" s="90"/>
      <c r="AAN48" s="90"/>
      <c r="AAO48" s="90"/>
      <c r="AAP48" s="90"/>
      <c r="AAQ48" s="90"/>
      <c r="AAR48" s="90"/>
      <c r="AAS48" s="90"/>
      <c r="AAT48" s="90"/>
      <c r="AAU48" s="90"/>
      <c r="AAV48" s="90"/>
      <c r="AAW48" s="90"/>
      <c r="AAX48" s="90"/>
      <c r="AAY48" s="90"/>
      <c r="AAZ48" s="90"/>
      <c r="ABA48" s="90"/>
      <c r="ABB48" s="90"/>
      <c r="ABC48" s="90"/>
      <c r="ABD48" s="90"/>
      <c r="ABE48" s="90"/>
      <c r="ABF48" s="90"/>
      <c r="ABG48" s="90"/>
      <c r="ABH48" s="90"/>
      <c r="ABI48" s="90"/>
      <c r="ABJ48" s="90"/>
      <c r="ABK48" s="90"/>
      <c r="ABL48" s="90"/>
      <c r="ABM48" s="90"/>
      <c r="ABN48" s="90"/>
      <c r="ABO48" s="90"/>
      <c r="ABP48" s="90"/>
      <c r="ABQ48" s="90"/>
      <c r="ABR48" s="90"/>
      <c r="ABS48" s="90"/>
      <c r="ABT48" s="90"/>
      <c r="ABU48" s="90"/>
      <c r="ABV48" s="90"/>
      <c r="ABW48" s="90"/>
      <c r="ABX48" s="90"/>
      <c r="ABY48" s="90"/>
      <c r="ABZ48" s="90"/>
      <c r="ACA48" s="90"/>
      <c r="ACB48" s="90"/>
      <c r="ACC48" s="90"/>
      <c r="ACD48" s="90"/>
      <c r="ACE48" s="90"/>
      <c r="ACF48" s="90"/>
      <c r="ACG48" s="90"/>
      <c r="ACH48" s="90"/>
      <c r="ACI48" s="90"/>
      <c r="ACJ48" s="90"/>
      <c r="ACK48" s="90"/>
      <c r="ACL48" s="90"/>
      <c r="ACM48" s="90"/>
      <c r="ACN48" s="90"/>
      <c r="ACO48" s="90"/>
      <c r="ACP48" s="90"/>
      <c r="ACQ48" s="90"/>
      <c r="ACR48" s="90"/>
      <c r="ACS48" s="90"/>
      <c r="ACT48" s="90"/>
      <c r="ACU48" s="90"/>
      <c r="ACV48" s="90"/>
      <c r="ACW48" s="90"/>
      <c r="ACX48" s="90"/>
      <c r="ACY48" s="90"/>
      <c r="ACZ48" s="90"/>
      <c r="ADA48" s="90"/>
      <c r="ADB48" s="90"/>
      <c r="ADC48" s="90"/>
      <c r="ADD48" s="90"/>
      <c r="ADE48" s="90"/>
      <c r="ADF48" s="90"/>
      <c r="ADG48" s="90"/>
      <c r="ADH48" s="90"/>
      <c r="ADI48" s="90"/>
      <c r="ADJ48" s="90"/>
      <c r="ADK48" s="90"/>
      <c r="ADL48" s="90"/>
      <c r="ADM48" s="90"/>
      <c r="ADN48" s="90"/>
      <c r="ADO48" s="90"/>
      <c r="ADP48" s="90"/>
      <c r="ADQ48" s="90"/>
      <c r="ADR48" s="90"/>
      <c r="ADS48" s="90"/>
      <c r="ADT48" s="90"/>
      <c r="ADU48" s="90"/>
      <c r="ADV48" s="90"/>
      <c r="ADW48" s="90"/>
      <c r="ADX48" s="90"/>
      <c r="ADY48" s="90"/>
      <c r="ADZ48" s="90"/>
      <c r="AEA48" s="90"/>
      <c r="AEB48" s="90"/>
      <c r="AEC48" s="90"/>
      <c r="AED48" s="90"/>
      <c r="AEE48" s="90"/>
      <c r="AEF48" s="90"/>
      <c r="AEG48" s="90"/>
      <c r="AEH48" s="90"/>
      <c r="AEI48" s="90"/>
      <c r="AEJ48" s="90"/>
      <c r="AEK48" s="90"/>
      <c r="AEL48" s="90"/>
      <c r="AEM48" s="90"/>
      <c r="AEN48" s="90"/>
      <c r="AEO48" s="90"/>
      <c r="AEP48" s="90"/>
      <c r="AEQ48" s="90"/>
      <c r="AER48" s="90"/>
      <c r="AES48" s="90"/>
      <c r="AET48" s="90"/>
      <c r="AEU48" s="90"/>
      <c r="AEV48" s="90"/>
      <c r="AEW48" s="90"/>
      <c r="AEX48" s="90"/>
      <c r="AEY48" s="90"/>
      <c r="AEZ48" s="90"/>
      <c r="AFA48" s="90"/>
      <c r="AFB48" s="90"/>
      <c r="AFC48" s="90"/>
      <c r="AFD48" s="90"/>
      <c r="AFE48" s="90"/>
      <c r="AFF48" s="90"/>
      <c r="AFG48" s="90"/>
      <c r="AFH48" s="90"/>
      <c r="AFI48" s="90"/>
      <c r="AFJ48" s="90"/>
      <c r="AFK48" s="90"/>
      <c r="AFL48" s="90"/>
      <c r="AFM48" s="90"/>
      <c r="AFN48" s="90"/>
      <c r="AFO48" s="90"/>
      <c r="AFP48" s="90"/>
      <c r="AFQ48" s="90"/>
      <c r="AFR48" s="90"/>
      <c r="AFS48" s="90"/>
      <c r="AFT48" s="90"/>
      <c r="AFU48" s="90"/>
      <c r="AFV48" s="90"/>
      <c r="AFW48" s="90"/>
      <c r="AFX48" s="90"/>
      <c r="AFY48" s="90"/>
      <c r="AFZ48" s="90"/>
      <c r="AGA48" s="90"/>
      <c r="AGB48" s="90"/>
      <c r="AGC48" s="90"/>
      <c r="AGD48" s="90"/>
      <c r="AGE48" s="90"/>
      <c r="AGF48" s="90"/>
      <c r="AGG48" s="90"/>
      <c r="AGH48" s="90"/>
      <c r="AGI48" s="90"/>
      <c r="AGJ48" s="90"/>
      <c r="AGK48" s="90"/>
      <c r="AGL48" s="90"/>
      <c r="AGM48" s="90"/>
      <c r="AGN48" s="90"/>
      <c r="AGO48" s="90"/>
      <c r="AGP48" s="90"/>
      <c r="AGQ48" s="90"/>
      <c r="AGR48" s="90"/>
      <c r="AGS48" s="90"/>
      <c r="AGT48" s="90"/>
      <c r="AGU48" s="90"/>
      <c r="AGV48" s="90"/>
      <c r="AGW48" s="90"/>
      <c r="AGX48" s="90"/>
      <c r="AGY48" s="90"/>
      <c r="AGZ48" s="90"/>
      <c r="AHA48" s="90"/>
      <c r="AHB48" s="90"/>
      <c r="AHC48" s="90"/>
      <c r="AHD48" s="90"/>
      <c r="AHE48" s="90"/>
      <c r="AHF48" s="90"/>
      <c r="AHG48" s="90"/>
      <c r="AHH48" s="90"/>
      <c r="AHI48" s="90"/>
      <c r="AHJ48" s="90"/>
      <c r="AHK48" s="90"/>
      <c r="AHL48" s="90"/>
      <c r="AHM48" s="90"/>
      <c r="AHN48" s="90"/>
      <c r="AHO48" s="90"/>
      <c r="AHP48" s="90"/>
      <c r="AHQ48" s="90"/>
      <c r="AHR48" s="90"/>
      <c r="AHS48" s="90"/>
      <c r="AHT48" s="90"/>
      <c r="AHU48" s="90"/>
      <c r="AHV48" s="90"/>
      <c r="AHW48" s="90"/>
      <c r="AHX48" s="90"/>
      <c r="AHY48" s="90"/>
      <c r="AHZ48" s="90"/>
      <c r="AIA48" s="90"/>
      <c r="AIB48" s="90"/>
      <c r="AIC48" s="90"/>
      <c r="AID48" s="90"/>
      <c r="AIE48" s="90"/>
      <c r="AIF48" s="90"/>
      <c r="AIG48" s="90"/>
      <c r="AIH48" s="90"/>
      <c r="AII48" s="90"/>
      <c r="AIJ48" s="90"/>
      <c r="AIK48" s="90"/>
      <c r="AIL48" s="90"/>
      <c r="AIM48" s="90"/>
      <c r="AIN48" s="90"/>
      <c r="AIO48" s="90"/>
      <c r="AIP48" s="90"/>
      <c r="AIQ48" s="90"/>
      <c r="AIR48" s="90"/>
      <c r="AIS48" s="90"/>
      <c r="AIT48" s="90"/>
      <c r="AIU48" s="90"/>
      <c r="AIV48" s="90"/>
      <c r="AIW48" s="90"/>
      <c r="AIX48" s="90"/>
      <c r="AIY48" s="90"/>
      <c r="AIZ48" s="90"/>
      <c r="AJA48" s="90"/>
      <c r="AJB48" s="90"/>
      <c r="AJC48" s="90"/>
      <c r="AJD48" s="90"/>
      <c r="AJE48" s="90"/>
      <c r="AJF48" s="90"/>
      <c r="AJG48" s="90"/>
      <c r="AJH48" s="90"/>
      <c r="AJI48" s="90"/>
      <c r="AJJ48" s="90"/>
      <c r="AJK48" s="90"/>
      <c r="AJL48" s="90"/>
      <c r="AJM48" s="90"/>
      <c r="AJN48" s="90"/>
      <c r="AJO48" s="90"/>
      <c r="AJP48" s="90"/>
      <c r="AJQ48" s="90"/>
      <c r="AJR48" s="90"/>
      <c r="AJS48" s="90"/>
      <c r="AJT48" s="90"/>
      <c r="AJU48" s="90"/>
      <c r="AJV48" s="90"/>
      <c r="AJW48" s="90"/>
      <c r="AJX48" s="90"/>
      <c r="AJY48" s="90"/>
      <c r="AJZ48" s="90"/>
      <c r="AKA48" s="90"/>
      <c r="AKB48" s="90"/>
      <c r="AKC48" s="90"/>
      <c r="AKD48" s="90"/>
      <c r="AKE48" s="90"/>
      <c r="AKF48" s="90"/>
      <c r="AKG48" s="90"/>
      <c r="AKH48" s="90"/>
      <c r="AKI48" s="90"/>
      <c r="AKJ48" s="90"/>
      <c r="AKK48" s="90"/>
      <c r="AKL48" s="90"/>
      <c r="AKM48" s="90"/>
      <c r="AKN48" s="90"/>
      <c r="AKO48" s="90"/>
      <c r="AKP48" s="90"/>
      <c r="AKQ48" s="90"/>
      <c r="AKR48" s="90"/>
      <c r="AKS48" s="90"/>
      <c r="AKT48" s="90"/>
      <c r="AKU48" s="90"/>
      <c r="AKV48" s="90"/>
      <c r="AKW48" s="90"/>
      <c r="AKX48" s="90"/>
      <c r="AKY48" s="90"/>
      <c r="AKZ48" s="90"/>
      <c r="ALA48" s="90"/>
      <c r="ALB48" s="90"/>
      <c r="ALC48" s="90"/>
      <c r="ALD48" s="90"/>
      <c r="ALE48" s="90"/>
      <c r="ALF48" s="90"/>
      <c r="ALG48" s="90"/>
      <c r="ALH48" s="90"/>
      <c r="ALI48" s="90"/>
      <c r="ALJ48" s="90"/>
      <c r="ALK48" s="90"/>
      <c r="ALL48" s="90"/>
      <c r="ALM48" s="90"/>
      <c r="ALN48" s="90"/>
      <c r="ALO48" s="90"/>
      <c r="ALP48" s="90"/>
      <c r="ALQ48" s="90"/>
      <c r="ALR48" s="90"/>
      <c r="ALS48" s="90"/>
      <c r="ALT48" s="90"/>
      <c r="ALU48" s="90"/>
      <c r="ALV48" s="90"/>
      <c r="ALW48" s="90"/>
      <c r="ALX48" s="90"/>
      <c r="ALY48" s="90"/>
      <c r="ALZ48" s="90"/>
      <c r="AMA48" s="90"/>
      <c r="AMB48" s="90"/>
      <c r="AMC48" s="90"/>
    </row>
    <row r="49" spans="1:1017">
      <c r="A49" s="98" t="s">
        <v>25</v>
      </c>
      <c r="B49" s="779" t="s">
        <v>672</v>
      </c>
      <c r="Q49" s="91">
        <f t="shared" si="640"/>
        <v>0</v>
      </c>
      <c r="R49" s="91">
        <f t="shared" si="641"/>
        <v>0</v>
      </c>
      <c r="AG49" s="91">
        <f t="shared" si="642"/>
        <v>0</v>
      </c>
      <c r="AH49" s="91">
        <f t="shared" si="643"/>
        <v>0</v>
      </c>
      <c r="AW49" s="91">
        <f t="shared" si="644"/>
        <v>0</v>
      </c>
      <c r="AX49" s="91">
        <f t="shared" si="645"/>
        <v>0</v>
      </c>
      <c r="BM49" s="91">
        <f t="shared" si="646"/>
        <v>0</v>
      </c>
      <c r="BN49" s="91">
        <f t="shared" si="647"/>
        <v>0</v>
      </c>
      <c r="CC49" s="91">
        <f t="shared" si="648"/>
        <v>0</v>
      </c>
      <c r="CD49" s="91">
        <f t="shared" si="649"/>
        <v>0</v>
      </c>
      <c r="CS49" s="91">
        <f t="shared" si="650"/>
        <v>0</v>
      </c>
      <c r="CT49" s="91">
        <f t="shared" si="651"/>
        <v>0</v>
      </c>
      <c r="DI49" s="91">
        <f t="shared" si="652"/>
        <v>0</v>
      </c>
      <c r="DJ49" s="91">
        <f t="shared" si="653"/>
        <v>0</v>
      </c>
      <c r="DY49" s="91">
        <f t="shared" si="654"/>
        <v>0</v>
      </c>
      <c r="DZ49" s="91">
        <f t="shared" si="655"/>
        <v>0</v>
      </c>
      <c r="EO49" s="91">
        <f t="shared" si="656"/>
        <v>0</v>
      </c>
      <c r="EP49" s="91">
        <f t="shared" si="657"/>
        <v>0</v>
      </c>
      <c r="FE49" s="91">
        <f t="shared" si="658"/>
        <v>0</v>
      </c>
      <c r="FF49" s="91">
        <f t="shared" si="659"/>
        <v>0</v>
      </c>
      <c r="FU49" s="91">
        <f t="shared" si="660"/>
        <v>0</v>
      </c>
      <c r="FV49" s="91">
        <f t="shared" si="661"/>
        <v>0</v>
      </c>
      <c r="GK49" s="91">
        <f t="shared" si="662"/>
        <v>0</v>
      </c>
      <c r="GL49" s="91">
        <f t="shared" si="663"/>
        <v>0</v>
      </c>
      <c r="HA49" s="91">
        <f t="shared" si="664"/>
        <v>0</v>
      </c>
      <c r="HB49" s="91">
        <f t="shared" si="665"/>
        <v>0</v>
      </c>
      <c r="HQ49" s="91">
        <f t="shared" si="666"/>
        <v>0</v>
      </c>
      <c r="HR49" s="91">
        <f t="shared" si="667"/>
        <v>0</v>
      </c>
      <c r="IG49" s="91">
        <f t="shared" si="668"/>
        <v>0</v>
      </c>
      <c r="IH49" s="91">
        <f t="shared" si="669"/>
        <v>0</v>
      </c>
      <c r="IW49" s="91">
        <f t="shared" si="670"/>
        <v>0</v>
      </c>
      <c r="IX49" s="91">
        <f t="shared" si="671"/>
        <v>0</v>
      </c>
      <c r="JM49" s="91">
        <f t="shared" si="672"/>
        <v>0</v>
      </c>
      <c r="JN49" s="91">
        <f t="shared" si="673"/>
        <v>0</v>
      </c>
      <c r="KC49" s="91">
        <f t="shared" si="674"/>
        <v>0</v>
      </c>
      <c r="KD49" s="91">
        <f t="shared" si="675"/>
        <v>0</v>
      </c>
      <c r="KS49" s="91">
        <f t="shared" si="676"/>
        <v>0</v>
      </c>
      <c r="KT49" s="91">
        <f t="shared" si="677"/>
        <v>0</v>
      </c>
      <c r="LI49" s="91">
        <f t="shared" si="678"/>
        <v>0</v>
      </c>
      <c r="LJ49" s="91">
        <f t="shared" si="679"/>
        <v>0</v>
      </c>
      <c r="LY49" s="91">
        <f t="shared" si="680"/>
        <v>0</v>
      </c>
      <c r="LZ49" s="91">
        <f t="shared" si="681"/>
        <v>0</v>
      </c>
      <c r="MO49" s="91">
        <f t="shared" si="682"/>
        <v>0</v>
      </c>
      <c r="MP49" s="91">
        <f t="shared" si="683"/>
        <v>0</v>
      </c>
      <c r="NE49" s="91">
        <f t="shared" si="684"/>
        <v>0</v>
      </c>
      <c r="NF49" s="91">
        <f t="shared" si="685"/>
        <v>0</v>
      </c>
      <c r="NI49" s="98">
        <v>90000</v>
      </c>
      <c r="NJ49" s="98">
        <v>1080000</v>
      </c>
      <c r="NU49" s="91">
        <f t="shared" si="686"/>
        <v>90000</v>
      </c>
      <c r="NV49" s="91">
        <f t="shared" si="687"/>
        <v>1080000</v>
      </c>
      <c r="OK49" s="91">
        <f t="shared" si="688"/>
        <v>0</v>
      </c>
      <c r="OL49" s="91">
        <f t="shared" si="689"/>
        <v>0</v>
      </c>
      <c r="PA49" s="91">
        <f t="shared" si="690"/>
        <v>0</v>
      </c>
      <c r="PB49" s="91">
        <f t="shared" si="691"/>
        <v>0</v>
      </c>
      <c r="PQ49" s="91">
        <f t="shared" si="692"/>
        <v>0</v>
      </c>
      <c r="PR49" s="91">
        <f t="shared" si="693"/>
        <v>0</v>
      </c>
      <c r="QG49" s="91">
        <f t="shared" si="694"/>
        <v>0</v>
      </c>
      <c r="QH49" s="91">
        <f t="shared" si="695"/>
        <v>0</v>
      </c>
      <c r="QW49" s="91">
        <f t="shared" si="696"/>
        <v>0</v>
      </c>
      <c r="QX49" s="91">
        <f t="shared" si="697"/>
        <v>0</v>
      </c>
      <c r="RM49" s="91">
        <f t="shared" si="698"/>
        <v>0</v>
      </c>
      <c r="RN49" s="91">
        <f t="shared" si="699"/>
        <v>0</v>
      </c>
      <c r="SC49" s="91">
        <f t="shared" si="700"/>
        <v>0</v>
      </c>
      <c r="SD49" s="91">
        <f t="shared" si="701"/>
        <v>0</v>
      </c>
      <c r="SS49" s="91">
        <f t="shared" si="702"/>
        <v>0</v>
      </c>
      <c r="ST49" s="91">
        <f t="shared" si="703"/>
        <v>0</v>
      </c>
      <c r="TI49" s="91">
        <f t="shared" si="704"/>
        <v>0</v>
      </c>
      <c r="TJ49" s="91">
        <f t="shared" si="705"/>
        <v>0</v>
      </c>
      <c r="TY49" s="91">
        <f t="shared" si="706"/>
        <v>0</v>
      </c>
      <c r="TZ49" s="91">
        <f t="shared" si="707"/>
        <v>0</v>
      </c>
      <c r="UO49" s="91">
        <f t="shared" si="708"/>
        <v>0</v>
      </c>
      <c r="UP49" s="91">
        <f t="shared" ref="UP49:UP50" si="812">SUMIF($C$12:$P$12,$A$1,UB49:UO49)</f>
        <v>0</v>
      </c>
      <c r="VE49" s="91">
        <f t="shared" si="709"/>
        <v>0</v>
      </c>
      <c r="VF49" s="91">
        <f t="shared" si="710"/>
        <v>0</v>
      </c>
      <c r="VU49" s="91">
        <f t="shared" si="711"/>
        <v>0</v>
      </c>
      <c r="VV49" s="91">
        <f t="shared" si="712"/>
        <v>0</v>
      </c>
      <c r="WK49" s="91">
        <f t="shared" si="713"/>
        <v>0</v>
      </c>
      <c r="WL49" s="91">
        <f t="shared" si="714"/>
        <v>0</v>
      </c>
      <c r="WM49" s="89"/>
      <c r="WN49" s="87">
        <f t="shared" si="789"/>
        <v>0</v>
      </c>
      <c r="WO49" s="87">
        <f t="shared" si="790"/>
        <v>0</v>
      </c>
      <c r="WP49" s="87">
        <f t="shared" si="791"/>
        <v>90000</v>
      </c>
      <c r="WQ49" s="87">
        <f t="shared" si="792"/>
        <v>1080000</v>
      </c>
      <c r="WR49" s="87">
        <f t="shared" si="793"/>
        <v>0</v>
      </c>
      <c r="WS49" s="87">
        <f t="shared" si="794"/>
        <v>0</v>
      </c>
      <c r="WT49" s="87">
        <f t="shared" si="795"/>
        <v>0</v>
      </c>
      <c r="WU49" s="87">
        <f t="shared" si="796"/>
        <v>0</v>
      </c>
      <c r="WV49" s="87">
        <f t="shared" si="797"/>
        <v>0</v>
      </c>
      <c r="WW49" s="87">
        <f t="shared" si="798"/>
        <v>0</v>
      </c>
      <c r="WX49" s="87">
        <f t="shared" si="799"/>
        <v>0</v>
      </c>
      <c r="WY49" s="87">
        <f t="shared" si="800"/>
        <v>0</v>
      </c>
      <c r="WZ49" s="87">
        <f t="shared" si="780"/>
        <v>0</v>
      </c>
      <c r="XA49" s="87">
        <f t="shared" si="781"/>
        <v>0</v>
      </c>
      <c r="XB49" s="92">
        <f t="shared" si="801"/>
        <v>90000</v>
      </c>
      <c r="XC49" s="92">
        <f t="shared" si="802"/>
        <v>1080000</v>
      </c>
      <c r="XD49" s="89"/>
      <c r="XE49" s="92">
        <f t="shared" si="804"/>
        <v>235500</v>
      </c>
      <c r="XF49" s="92">
        <f t="shared" si="805"/>
        <v>2826000</v>
      </c>
      <c r="XG49" s="89"/>
      <c r="XH49" s="92">
        <f t="shared" ref="XH49:XI49" si="813">SUM(XE49,XE87)</f>
        <v>588900</v>
      </c>
      <c r="XI49" s="92">
        <f t="shared" si="813"/>
        <v>7066800</v>
      </c>
      <c r="XJ49" s="89"/>
      <c r="XK49" s="87">
        <f t="shared" si="732"/>
        <v>0</v>
      </c>
      <c r="XL49" s="87">
        <f t="shared" si="733"/>
        <v>1162900</v>
      </c>
      <c r="XM49" s="87">
        <f t="shared" si="734"/>
        <v>0</v>
      </c>
      <c r="XN49" s="87">
        <f t="shared" si="735"/>
        <v>0</v>
      </c>
      <c r="XO49" s="87">
        <f t="shared" si="736"/>
        <v>0</v>
      </c>
      <c r="XP49" s="87">
        <f t="shared" si="737"/>
        <v>0</v>
      </c>
      <c r="XQ49" s="87">
        <f t="shared" si="738"/>
        <v>0</v>
      </c>
      <c r="XR49" s="92">
        <f t="shared" si="739"/>
        <v>1162900</v>
      </c>
      <c r="XS49" s="89"/>
      <c r="XT49" s="87">
        <f t="shared" si="740"/>
        <v>0</v>
      </c>
      <c r="XU49" s="87">
        <f t="shared" si="741"/>
        <v>13954800</v>
      </c>
      <c r="XV49" s="87">
        <f t="shared" si="742"/>
        <v>0</v>
      </c>
      <c r="XW49" s="87">
        <f t="shared" si="743"/>
        <v>0</v>
      </c>
      <c r="XX49" s="87">
        <f t="shared" si="744"/>
        <v>0</v>
      </c>
      <c r="XY49" s="87">
        <f t="shared" si="745"/>
        <v>0</v>
      </c>
      <c r="XZ49" s="87">
        <f t="shared" si="746"/>
        <v>0</v>
      </c>
      <c r="YA49" s="92">
        <f t="shared" si="747"/>
        <v>13954800</v>
      </c>
      <c r="YB49" s="90"/>
      <c r="YC49" s="90"/>
      <c r="YD49" s="90"/>
      <c r="YE49" s="90"/>
      <c r="YF49" s="90"/>
      <c r="YG49" s="90"/>
      <c r="YH49" s="90"/>
      <c r="YI49" s="90"/>
      <c r="YJ49" s="90"/>
      <c r="YK49" s="90"/>
      <c r="YL49" s="90"/>
      <c r="YM49" s="90"/>
      <c r="YN49" s="90"/>
      <c r="YO49" s="90"/>
      <c r="YP49" s="90"/>
      <c r="YQ49" s="90"/>
      <c r="YR49" s="90"/>
      <c r="YS49" s="90"/>
      <c r="YT49" s="90"/>
      <c r="YU49" s="90"/>
      <c r="YV49" s="90"/>
      <c r="YW49" s="90"/>
      <c r="YX49" s="90"/>
      <c r="YY49" s="90"/>
      <c r="YZ49" s="90"/>
      <c r="ZA49" s="90"/>
      <c r="ZB49" s="90"/>
      <c r="ZC49" s="90"/>
      <c r="ZD49" s="90"/>
      <c r="ZE49" s="90"/>
      <c r="ZF49" s="90"/>
      <c r="ZG49" s="90"/>
      <c r="ZH49" s="90"/>
      <c r="ZI49" s="90"/>
      <c r="ZJ49" s="90"/>
      <c r="ZK49" s="90"/>
      <c r="ZL49" s="90"/>
      <c r="ZM49" s="90"/>
      <c r="ZN49" s="90"/>
      <c r="ZO49" s="90"/>
      <c r="ZP49" s="90"/>
      <c r="ZQ49" s="90"/>
      <c r="ZR49" s="90"/>
      <c r="ZS49" s="90"/>
      <c r="ZT49" s="90"/>
      <c r="ZU49" s="90"/>
      <c r="ZV49" s="90"/>
      <c r="ZW49" s="90"/>
      <c r="ZX49" s="90"/>
      <c r="ZY49" s="90"/>
      <c r="ZZ49" s="90"/>
      <c r="AAA49" s="90"/>
      <c r="AAB49" s="90"/>
      <c r="AAC49" s="90"/>
      <c r="AAD49" s="90"/>
      <c r="AAE49" s="90"/>
      <c r="AAF49" s="90"/>
      <c r="AAG49" s="90"/>
      <c r="AAH49" s="90"/>
      <c r="AAI49" s="90"/>
      <c r="AAJ49" s="90"/>
      <c r="AAK49" s="90"/>
      <c r="AAL49" s="90"/>
      <c r="AAM49" s="90"/>
      <c r="AAN49" s="90"/>
      <c r="AAO49" s="90"/>
      <c r="AAP49" s="90"/>
      <c r="AAQ49" s="90"/>
      <c r="AAR49" s="90"/>
      <c r="AAS49" s="90"/>
      <c r="AAT49" s="90"/>
      <c r="AAU49" s="90"/>
      <c r="AAV49" s="90"/>
      <c r="AAW49" s="90"/>
      <c r="AAX49" s="90"/>
      <c r="AAY49" s="90"/>
      <c r="AAZ49" s="90"/>
      <c r="ABA49" s="90"/>
      <c r="ABB49" s="90"/>
      <c r="ABC49" s="90"/>
      <c r="ABD49" s="90"/>
      <c r="ABE49" s="90"/>
      <c r="ABF49" s="90"/>
      <c r="ABG49" s="90"/>
      <c r="ABH49" s="90"/>
      <c r="ABI49" s="90"/>
      <c r="ABJ49" s="90"/>
      <c r="ABK49" s="90"/>
      <c r="ABL49" s="90"/>
      <c r="ABM49" s="90"/>
      <c r="ABN49" s="90"/>
      <c r="ABO49" s="90"/>
      <c r="ABP49" s="90"/>
      <c r="ABQ49" s="90"/>
      <c r="ABR49" s="90"/>
      <c r="ABS49" s="90"/>
      <c r="ABT49" s="90"/>
      <c r="ABU49" s="90"/>
      <c r="ABV49" s="90"/>
      <c r="ABW49" s="90"/>
      <c r="ABX49" s="90"/>
      <c r="ABY49" s="90"/>
      <c r="ABZ49" s="90"/>
      <c r="ACA49" s="90"/>
      <c r="ACB49" s="90"/>
      <c r="ACC49" s="90"/>
      <c r="ACD49" s="90"/>
      <c r="ACE49" s="90"/>
      <c r="ACF49" s="90"/>
      <c r="ACG49" s="90"/>
      <c r="ACH49" s="90"/>
      <c r="ACI49" s="90"/>
      <c r="ACJ49" s="90"/>
      <c r="ACK49" s="90"/>
      <c r="ACL49" s="90"/>
      <c r="ACM49" s="90"/>
      <c r="ACN49" s="90"/>
      <c r="ACO49" s="90"/>
      <c r="ACP49" s="90"/>
      <c r="ACQ49" s="90"/>
      <c r="ACR49" s="90"/>
      <c r="ACS49" s="90"/>
      <c r="ACT49" s="90"/>
      <c r="ACU49" s="90"/>
      <c r="ACV49" s="90"/>
      <c r="ACW49" s="90"/>
      <c r="ACX49" s="90"/>
      <c r="ACY49" s="90"/>
      <c r="ACZ49" s="90"/>
      <c r="ADA49" s="90"/>
      <c r="ADB49" s="90"/>
      <c r="ADC49" s="90"/>
      <c r="ADD49" s="90"/>
      <c r="ADE49" s="90"/>
      <c r="ADF49" s="90"/>
      <c r="ADG49" s="90"/>
      <c r="ADH49" s="90"/>
      <c r="ADI49" s="90"/>
      <c r="ADJ49" s="90"/>
      <c r="ADK49" s="90"/>
      <c r="ADL49" s="90"/>
      <c r="ADM49" s="90"/>
      <c r="ADN49" s="90"/>
      <c r="ADO49" s="90"/>
      <c r="ADP49" s="90"/>
      <c r="ADQ49" s="90"/>
      <c r="ADR49" s="90"/>
      <c r="ADS49" s="90"/>
      <c r="ADT49" s="90"/>
      <c r="ADU49" s="90"/>
      <c r="ADV49" s="90"/>
      <c r="ADW49" s="90"/>
      <c r="ADX49" s="90"/>
      <c r="ADY49" s="90"/>
      <c r="ADZ49" s="90"/>
      <c r="AEA49" s="90"/>
      <c r="AEB49" s="90"/>
      <c r="AEC49" s="90"/>
      <c r="AED49" s="90"/>
      <c r="AEE49" s="90"/>
      <c r="AEF49" s="90"/>
      <c r="AEG49" s="90"/>
      <c r="AEH49" s="90"/>
      <c r="AEI49" s="90"/>
      <c r="AEJ49" s="90"/>
      <c r="AEK49" s="90"/>
      <c r="AEL49" s="90"/>
      <c r="AEM49" s="90"/>
      <c r="AEN49" s="90"/>
      <c r="AEO49" s="90"/>
      <c r="AEP49" s="90"/>
      <c r="AEQ49" s="90"/>
      <c r="AER49" s="90"/>
      <c r="AES49" s="90"/>
      <c r="AET49" s="90"/>
      <c r="AEU49" s="90"/>
      <c r="AEV49" s="90"/>
      <c r="AEW49" s="90"/>
      <c r="AEX49" s="90"/>
      <c r="AEY49" s="90"/>
      <c r="AEZ49" s="90"/>
      <c r="AFA49" s="90"/>
      <c r="AFB49" s="90"/>
      <c r="AFC49" s="90"/>
      <c r="AFD49" s="90"/>
      <c r="AFE49" s="90"/>
      <c r="AFF49" s="90"/>
      <c r="AFG49" s="90"/>
      <c r="AFH49" s="90"/>
      <c r="AFI49" s="90"/>
      <c r="AFJ49" s="90"/>
      <c r="AFK49" s="90"/>
      <c r="AFL49" s="90"/>
      <c r="AFM49" s="90"/>
      <c r="AFN49" s="90"/>
      <c r="AFO49" s="90"/>
      <c r="AFP49" s="90"/>
      <c r="AFQ49" s="90"/>
      <c r="AFR49" s="90"/>
      <c r="AFS49" s="90"/>
      <c r="AFT49" s="90"/>
      <c r="AFU49" s="90"/>
      <c r="AFV49" s="90"/>
      <c r="AFW49" s="90"/>
      <c r="AFX49" s="90"/>
      <c r="AFY49" s="90"/>
      <c r="AFZ49" s="90"/>
      <c r="AGA49" s="90"/>
      <c r="AGB49" s="90"/>
      <c r="AGC49" s="90"/>
      <c r="AGD49" s="90"/>
      <c r="AGE49" s="90"/>
      <c r="AGF49" s="90"/>
      <c r="AGG49" s="90"/>
      <c r="AGH49" s="90"/>
      <c r="AGI49" s="90"/>
      <c r="AGJ49" s="90"/>
      <c r="AGK49" s="90"/>
      <c r="AGL49" s="90"/>
      <c r="AGM49" s="90"/>
      <c r="AGN49" s="90"/>
      <c r="AGO49" s="90"/>
      <c r="AGP49" s="90"/>
      <c r="AGQ49" s="90"/>
      <c r="AGR49" s="90"/>
      <c r="AGS49" s="90"/>
      <c r="AGT49" s="90"/>
      <c r="AGU49" s="90"/>
      <c r="AGV49" s="90"/>
      <c r="AGW49" s="90"/>
      <c r="AGX49" s="90"/>
      <c r="AGY49" s="90"/>
      <c r="AGZ49" s="90"/>
      <c r="AHA49" s="90"/>
      <c r="AHB49" s="90"/>
      <c r="AHC49" s="90"/>
      <c r="AHD49" s="90"/>
      <c r="AHE49" s="90"/>
      <c r="AHF49" s="90"/>
      <c r="AHG49" s="90"/>
      <c r="AHH49" s="90"/>
      <c r="AHI49" s="90"/>
      <c r="AHJ49" s="90"/>
      <c r="AHK49" s="90"/>
      <c r="AHL49" s="90"/>
      <c r="AHM49" s="90"/>
      <c r="AHN49" s="90"/>
      <c r="AHO49" s="90"/>
      <c r="AHP49" s="90"/>
      <c r="AHQ49" s="90"/>
      <c r="AHR49" s="90"/>
      <c r="AHS49" s="90"/>
      <c r="AHT49" s="90"/>
      <c r="AHU49" s="90"/>
      <c r="AHV49" s="90"/>
      <c r="AHW49" s="90"/>
      <c r="AHX49" s="90"/>
      <c r="AHY49" s="90"/>
      <c r="AHZ49" s="90"/>
      <c r="AIA49" s="90"/>
      <c r="AIB49" s="90"/>
      <c r="AIC49" s="90"/>
      <c r="AID49" s="90"/>
      <c r="AIE49" s="90"/>
      <c r="AIF49" s="90"/>
      <c r="AIG49" s="90"/>
      <c r="AIH49" s="90"/>
      <c r="AII49" s="90"/>
      <c r="AIJ49" s="90"/>
      <c r="AIK49" s="90"/>
      <c r="AIL49" s="90"/>
      <c r="AIM49" s="90"/>
      <c r="AIN49" s="90"/>
      <c r="AIO49" s="90"/>
      <c r="AIP49" s="90"/>
      <c r="AIQ49" s="90"/>
      <c r="AIR49" s="90"/>
      <c r="AIS49" s="90"/>
      <c r="AIT49" s="90"/>
      <c r="AIU49" s="90"/>
      <c r="AIV49" s="90"/>
      <c r="AIW49" s="90"/>
      <c r="AIX49" s="90"/>
      <c r="AIY49" s="90"/>
      <c r="AIZ49" s="90"/>
      <c r="AJA49" s="90"/>
      <c r="AJB49" s="90"/>
      <c r="AJC49" s="90"/>
      <c r="AJD49" s="90"/>
      <c r="AJE49" s="90"/>
      <c r="AJF49" s="90"/>
      <c r="AJG49" s="90"/>
      <c r="AJH49" s="90"/>
      <c r="AJI49" s="90"/>
      <c r="AJJ49" s="90"/>
      <c r="AJK49" s="90"/>
      <c r="AJL49" s="90"/>
      <c r="AJM49" s="90"/>
      <c r="AJN49" s="90"/>
      <c r="AJO49" s="90"/>
      <c r="AJP49" s="90"/>
      <c r="AJQ49" s="90"/>
      <c r="AJR49" s="90"/>
      <c r="AJS49" s="90"/>
      <c r="AJT49" s="90"/>
      <c r="AJU49" s="90"/>
      <c r="AJV49" s="90"/>
      <c r="AJW49" s="90"/>
      <c r="AJX49" s="90"/>
      <c r="AJY49" s="90"/>
      <c r="AJZ49" s="90"/>
      <c r="AKA49" s="90"/>
      <c r="AKB49" s="90"/>
      <c r="AKC49" s="90"/>
      <c r="AKD49" s="90"/>
      <c r="AKE49" s="90"/>
      <c r="AKF49" s="90"/>
      <c r="AKG49" s="90"/>
      <c r="AKH49" s="90"/>
      <c r="AKI49" s="90"/>
      <c r="AKJ49" s="90"/>
      <c r="AKK49" s="90"/>
      <c r="AKL49" s="90"/>
      <c r="AKM49" s="90"/>
      <c r="AKN49" s="90"/>
      <c r="AKO49" s="90"/>
      <c r="AKP49" s="90"/>
      <c r="AKQ49" s="90"/>
      <c r="AKR49" s="90"/>
      <c r="AKS49" s="90"/>
      <c r="AKT49" s="90"/>
      <c r="AKU49" s="90"/>
      <c r="AKV49" s="90"/>
      <c r="AKW49" s="90"/>
      <c r="AKX49" s="90"/>
      <c r="AKY49" s="90"/>
      <c r="AKZ49" s="90"/>
      <c r="ALA49" s="90"/>
      <c r="ALB49" s="90"/>
      <c r="ALC49" s="90"/>
      <c r="ALD49" s="90"/>
      <c r="ALE49" s="90"/>
      <c r="ALF49" s="90"/>
      <c r="ALG49" s="90"/>
      <c r="ALH49" s="90"/>
      <c r="ALI49" s="90"/>
      <c r="ALJ49" s="90"/>
      <c r="ALK49" s="90"/>
      <c r="ALL49" s="90"/>
      <c r="ALM49" s="90"/>
      <c r="ALN49" s="90"/>
      <c r="ALO49" s="90"/>
      <c r="ALP49" s="90"/>
      <c r="ALQ49" s="90"/>
      <c r="ALR49" s="90"/>
      <c r="ALS49" s="90"/>
      <c r="ALT49" s="90"/>
      <c r="ALU49" s="90"/>
      <c r="ALV49" s="90"/>
      <c r="ALW49" s="90"/>
      <c r="ALX49" s="90"/>
      <c r="ALY49" s="90"/>
      <c r="ALZ49" s="90"/>
      <c r="AMA49" s="90"/>
      <c r="AMB49" s="90"/>
      <c r="AMC49" s="90"/>
    </row>
    <row r="50" spans="1:1017">
      <c r="A50" s="98" t="s">
        <v>25</v>
      </c>
      <c r="B50" s="780" t="s">
        <v>673</v>
      </c>
      <c r="Q50" s="91">
        <f t="shared" si="640"/>
        <v>0</v>
      </c>
      <c r="R50" s="91">
        <f t="shared" si="641"/>
        <v>0</v>
      </c>
      <c r="AG50" s="91">
        <f t="shared" si="642"/>
        <v>0</v>
      </c>
      <c r="AH50" s="91">
        <f t="shared" si="643"/>
        <v>0</v>
      </c>
      <c r="AW50" s="91">
        <f t="shared" si="644"/>
        <v>0</v>
      </c>
      <c r="AX50" s="91">
        <f t="shared" si="645"/>
        <v>0</v>
      </c>
      <c r="BM50" s="91">
        <f t="shared" si="646"/>
        <v>0</v>
      </c>
      <c r="BN50" s="91">
        <f t="shared" si="647"/>
        <v>0</v>
      </c>
      <c r="CC50" s="91">
        <f t="shared" si="648"/>
        <v>0</v>
      </c>
      <c r="CD50" s="91">
        <f t="shared" si="649"/>
        <v>0</v>
      </c>
      <c r="CS50" s="91">
        <f t="shared" si="650"/>
        <v>0</v>
      </c>
      <c r="CT50" s="91">
        <f t="shared" si="651"/>
        <v>0</v>
      </c>
      <c r="DI50" s="91">
        <f t="shared" si="652"/>
        <v>0</v>
      </c>
      <c r="DJ50" s="91">
        <f t="shared" si="653"/>
        <v>0</v>
      </c>
      <c r="DY50" s="91">
        <f t="shared" si="654"/>
        <v>0</v>
      </c>
      <c r="DZ50" s="91">
        <f t="shared" si="655"/>
        <v>0</v>
      </c>
      <c r="EO50" s="91">
        <f t="shared" si="656"/>
        <v>0</v>
      </c>
      <c r="EP50" s="91">
        <f t="shared" si="657"/>
        <v>0</v>
      </c>
      <c r="FE50" s="91">
        <f t="shared" si="658"/>
        <v>0</v>
      </c>
      <c r="FF50" s="91">
        <f t="shared" si="659"/>
        <v>0</v>
      </c>
      <c r="FU50" s="91">
        <f t="shared" si="660"/>
        <v>0</v>
      </c>
      <c r="FV50" s="91">
        <f t="shared" si="661"/>
        <v>0</v>
      </c>
      <c r="GK50" s="91">
        <f t="shared" si="662"/>
        <v>0</v>
      </c>
      <c r="GL50" s="91">
        <f t="shared" si="663"/>
        <v>0</v>
      </c>
      <c r="HA50" s="91">
        <f t="shared" si="664"/>
        <v>0</v>
      </c>
      <c r="HB50" s="91">
        <f t="shared" si="665"/>
        <v>0</v>
      </c>
      <c r="HQ50" s="91">
        <f t="shared" si="666"/>
        <v>0</v>
      </c>
      <c r="HR50" s="91">
        <f t="shared" si="667"/>
        <v>0</v>
      </c>
      <c r="IG50" s="91">
        <f t="shared" si="668"/>
        <v>0</v>
      </c>
      <c r="IH50" s="91">
        <f t="shared" si="669"/>
        <v>0</v>
      </c>
      <c r="IW50" s="91">
        <f t="shared" si="670"/>
        <v>0</v>
      </c>
      <c r="IX50" s="91">
        <f t="shared" si="671"/>
        <v>0</v>
      </c>
      <c r="JM50" s="91">
        <f t="shared" si="672"/>
        <v>0</v>
      </c>
      <c r="JN50" s="91">
        <f t="shared" si="673"/>
        <v>0</v>
      </c>
      <c r="KC50" s="91">
        <f t="shared" si="674"/>
        <v>0</v>
      </c>
      <c r="KD50" s="91">
        <f t="shared" si="675"/>
        <v>0</v>
      </c>
      <c r="KS50" s="91">
        <f t="shared" si="676"/>
        <v>0</v>
      </c>
      <c r="KT50" s="91">
        <f t="shared" si="677"/>
        <v>0</v>
      </c>
      <c r="LI50" s="91">
        <f t="shared" si="678"/>
        <v>0</v>
      </c>
      <c r="LJ50" s="91">
        <f t="shared" si="679"/>
        <v>0</v>
      </c>
      <c r="LY50" s="91">
        <f t="shared" si="680"/>
        <v>0</v>
      </c>
      <c r="LZ50" s="91">
        <f t="shared" si="681"/>
        <v>0</v>
      </c>
      <c r="MO50" s="91">
        <f t="shared" si="682"/>
        <v>0</v>
      </c>
      <c r="MP50" s="91">
        <f t="shared" si="683"/>
        <v>0</v>
      </c>
      <c r="NE50" s="91">
        <f t="shared" si="684"/>
        <v>0</v>
      </c>
      <c r="NF50" s="91">
        <f t="shared" si="685"/>
        <v>0</v>
      </c>
      <c r="NU50" s="91">
        <f t="shared" si="686"/>
        <v>0</v>
      </c>
      <c r="NV50" s="91">
        <f t="shared" si="687"/>
        <v>0</v>
      </c>
      <c r="OK50" s="91">
        <f t="shared" si="688"/>
        <v>0</v>
      </c>
      <c r="OL50" s="91">
        <f t="shared" si="689"/>
        <v>0</v>
      </c>
      <c r="PA50" s="91">
        <f t="shared" si="690"/>
        <v>0</v>
      </c>
      <c r="PB50" s="91">
        <f t="shared" si="691"/>
        <v>0</v>
      </c>
      <c r="PQ50" s="91">
        <f t="shared" si="692"/>
        <v>0</v>
      </c>
      <c r="PR50" s="91">
        <f t="shared" si="693"/>
        <v>0</v>
      </c>
      <c r="QA50" s="98">
        <v>605030</v>
      </c>
      <c r="QB50" s="98">
        <v>12100600</v>
      </c>
      <c r="QG50" s="91">
        <f t="shared" si="694"/>
        <v>605030</v>
      </c>
      <c r="QH50" s="91">
        <f t="shared" si="695"/>
        <v>12100600</v>
      </c>
      <c r="QW50" s="91">
        <f t="shared" si="696"/>
        <v>0</v>
      </c>
      <c r="QX50" s="91">
        <f t="shared" si="697"/>
        <v>0</v>
      </c>
      <c r="RM50" s="91">
        <f t="shared" si="698"/>
        <v>0</v>
      </c>
      <c r="RN50" s="91">
        <f t="shared" si="699"/>
        <v>0</v>
      </c>
      <c r="SC50" s="91">
        <f t="shared" si="700"/>
        <v>0</v>
      </c>
      <c r="SD50" s="91">
        <f t="shared" si="701"/>
        <v>0</v>
      </c>
      <c r="SS50" s="91">
        <f t="shared" si="702"/>
        <v>0</v>
      </c>
      <c r="ST50" s="91">
        <f t="shared" si="703"/>
        <v>0</v>
      </c>
      <c r="TI50" s="91">
        <f t="shared" si="704"/>
        <v>0</v>
      </c>
      <c r="TJ50" s="91">
        <f t="shared" si="705"/>
        <v>0</v>
      </c>
      <c r="TY50" s="91">
        <f t="shared" si="706"/>
        <v>0</v>
      </c>
      <c r="TZ50" s="91">
        <f t="shared" si="707"/>
        <v>0</v>
      </c>
      <c r="UO50" s="91">
        <f t="shared" si="708"/>
        <v>0</v>
      </c>
      <c r="UP50" s="91">
        <f t="shared" si="812"/>
        <v>0</v>
      </c>
      <c r="VE50" s="91">
        <f t="shared" si="709"/>
        <v>0</v>
      </c>
      <c r="VF50" s="91">
        <f t="shared" si="710"/>
        <v>0</v>
      </c>
      <c r="VU50" s="91">
        <f t="shared" si="711"/>
        <v>0</v>
      </c>
      <c r="VV50" s="91">
        <f t="shared" si="712"/>
        <v>0</v>
      </c>
      <c r="WK50" s="91">
        <f t="shared" si="713"/>
        <v>0</v>
      </c>
      <c r="WL50" s="91">
        <f t="shared" si="714"/>
        <v>0</v>
      </c>
      <c r="WM50" s="89"/>
      <c r="WN50" s="87">
        <f t="shared" si="789"/>
        <v>0</v>
      </c>
      <c r="WO50" s="87">
        <f t="shared" si="790"/>
        <v>0</v>
      </c>
      <c r="WP50" s="87">
        <f t="shared" si="791"/>
        <v>0</v>
      </c>
      <c r="WQ50" s="87">
        <f t="shared" si="792"/>
        <v>0</v>
      </c>
      <c r="WR50" s="87">
        <f t="shared" si="793"/>
        <v>0</v>
      </c>
      <c r="WS50" s="87">
        <f t="shared" si="794"/>
        <v>0</v>
      </c>
      <c r="WT50" s="87">
        <f t="shared" si="795"/>
        <v>0</v>
      </c>
      <c r="WU50" s="87">
        <f t="shared" si="796"/>
        <v>0</v>
      </c>
      <c r="WV50" s="87">
        <f t="shared" si="797"/>
        <v>605030</v>
      </c>
      <c r="WW50" s="87">
        <f t="shared" si="798"/>
        <v>12100600</v>
      </c>
      <c r="WX50" s="87">
        <f t="shared" si="799"/>
        <v>0</v>
      </c>
      <c r="WY50" s="87">
        <f t="shared" si="800"/>
        <v>0</v>
      </c>
      <c r="WZ50" s="87">
        <f t="shared" si="780"/>
        <v>0</v>
      </c>
      <c r="XA50" s="87">
        <f t="shared" si="781"/>
        <v>0</v>
      </c>
      <c r="XB50" s="92">
        <f t="shared" si="801"/>
        <v>605030</v>
      </c>
      <c r="XC50" s="92">
        <f t="shared" si="802"/>
        <v>12100600</v>
      </c>
      <c r="XD50" s="89"/>
      <c r="XE50" s="92">
        <f t="shared" si="804"/>
        <v>605030</v>
      </c>
      <c r="XF50" s="92">
        <f t="shared" si="805"/>
        <v>12100600</v>
      </c>
      <c r="XG50" s="89"/>
      <c r="XH50" s="92">
        <f t="shared" ref="XH50:XI50" si="814">SUM(XE50,XE88)</f>
        <v>605030</v>
      </c>
      <c r="XI50" s="92">
        <f t="shared" si="814"/>
        <v>12100600</v>
      </c>
      <c r="XJ50" s="89"/>
      <c r="XK50" s="87">
        <f t="shared" si="732"/>
        <v>0</v>
      </c>
      <c r="XL50" s="87">
        <f t="shared" si="733"/>
        <v>0</v>
      </c>
      <c r="XM50" s="87">
        <f t="shared" si="734"/>
        <v>0</v>
      </c>
      <c r="XN50" s="87">
        <f t="shared" si="735"/>
        <v>0</v>
      </c>
      <c r="XO50" s="87">
        <f t="shared" si="736"/>
        <v>605030</v>
      </c>
      <c r="XP50" s="87">
        <f t="shared" si="737"/>
        <v>0</v>
      </c>
      <c r="XQ50" s="87">
        <f t="shared" si="738"/>
        <v>0</v>
      </c>
      <c r="XR50" s="92">
        <f t="shared" si="739"/>
        <v>605030</v>
      </c>
      <c r="XS50" s="89"/>
      <c r="XT50" s="87">
        <f t="shared" si="740"/>
        <v>0</v>
      </c>
      <c r="XU50" s="87">
        <f t="shared" si="741"/>
        <v>0</v>
      </c>
      <c r="XV50" s="87">
        <f t="shared" si="742"/>
        <v>0</v>
      </c>
      <c r="XW50" s="87">
        <f t="shared" si="743"/>
        <v>0</v>
      </c>
      <c r="XX50" s="87">
        <f t="shared" si="744"/>
        <v>12100600</v>
      </c>
      <c r="XY50" s="87">
        <f t="shared" si="745"/>
        <v>0</v>
      </c>
      <c r="XZ50" s="87">
        <f t="shared" si="746"/>
        <v>0</v>
      </c>
      <c r="YA50" s="92">
        <f t="shared" si="747"/>
        <v>12100600</v>
      </c>
      <c r="YB50" s="90"/>
      <c r="YC50" s="90"/>
      <c r="YD50" s="90"/>
      <c r="YE50" s="90"/>
      <c r="YF50" s="90"/>
      <c r="YG50" s="90"/>
      <c r="YH50" s="90"/>
      <c r="YI50" s="90"/>
      <c r="YJ50" s="90"/>
      <c r="YK50" s="90"/>
      <c r="YL50" s="90"/>
      <c r="YM50" s="90"/>
      <c r="YN50" s="90"/>
      <c r="YO50" s="90"/>
      <c r="YP50" s="90"/>
      <c r="YQ50" s="90"/>
      <c r="YR50" s="90"/>
      <c r="YS50" s="90"/>
      <c r="YT50" s="90"/>
      <c r="YU50" s="90"/>
      <c r="YV50" s="90"/>
      <c r="YW50" s="90"/>
      <c r="YX50" s="90"/>
      <c r="YY50" s="90"/>
      <c r="YZ50" s="90"/>
      <c r="ZA50" s="90"/>
      <c r="ZB50" s="90"/>
      <c r="ZC50" s="90"/>
      <c r="ZD50" s="90"/>
      <c r="ZE50" s="90"/>
      <c r="ZF50" s="90"/>
      <c r="ZG50" s="90"/>
      <c r="ZH50" s="90"/>
      <c r="ZI50" s="90"/>
      <c r="ZJ50" s="90"/>
      <c r="ZK50" s="90"/>
      <c r="ZL50" s="90"/>
      <c r="ZM50" s="90"/>
      <c r="ZN50" s="90"/>
      <c r="ZO50" s="90"/>
      <c r="ZP50" s="90"/>
      <c r="ZQ50" s="90"/>
      <c r="ZR50" s="90"/>
      <c r="ZS50" s="90"/>
      <c r="ZT50" s="90"/>
      <c r="ZU50" s="90"/>
      <c r="ZV50" s="90"/>
      <c r="ZW50" s="90"/>
      <c r="ZX50" s="90"/>
      <c r="ZY50" s="90"/>
      <c r="ZZ50" s="90"/>
      <c r="AAA50" s="90"/>
      <c r="AAB50" s="90"/>
      <c r="AAC50" s="90"/>
      <c r="AAD50" s="90"/>
      <c r="AAE50" s="90"/>
      <c r="AAF50" s="90"/>
      <c r="AAG50" s="90"/>
      <c r="AAH50" s="90"/>
      <c r="AAI50" s="90"/>
      <c r="AAJ50" s="90"/>
      <c r="AAK50" s="90"/>
      <c r="AAL50" s="90"/>
      <c r="AAM50" s="90"/>
      <c r="AAN50" s="90"/>
      <c r="AAO50" s="90"/>
      <c r="AAP50" s="90"/>
      <c r="AAQ50" s="90"/>
      <c r="AAR50" s="90"/>
      <c r="AAS50" s="90"/>
      <c r="AAT50" s="90"/>
      <c r="AAU50" s="90"/>
      <c r="AAV50" s="90"/>
      <c r="AAW50" s="90"/>
      <c r="AAX50" s="90"/>
      <c r="AAY50" s="90"/>
      <c r="AAZ50" s="90"/>
      <c r="ABA50" s="90"/>
      <c r="ABB50" s="90"/>
      <c r="ABC50" s="90"/>
      <c r="ABD50" s="90"/>
      <c r="ABE50" s="90"/>
      <c r="ABF50" s="90"/>
      <c r="ABG50" s="90"/>
      <c r="ABH50" s="90"/>
      <c r="ABI50" s="90"/>
      <c r="ABJ50" s="90"/>
      <c r="ABK50" s="90"/>
      <c r="ABL50" s="90"/>
      <c r="ABM50" s="90"/>
      <c r="ABN50" s="90"/>
      <c r="ABO50" s="90"/>
      <c r="ABP50" s="90"/>
      <c r="ABQ50" s="90"/>
      <c r="ABR50" s="90"/>
      <c r="ABS50" s="90"/>
      <c r="ABT50" s="90"/>
      <c r="ABU50" s="90"/>
      <c r="ABV50" s="90"/>
      <c r="ABW50" s="90"/>
      <c r="ABX50" s="90"/>
      <c r="ABY50" s="90"/>
      <c r="ABZ50" s="90"/>
      <c r="ACA50" s="90"/>
      <c r="ACB50" s="90"/>
      <c r="ACC50" s="90"/>
      <c r="ACD50" s="90"/>
      <c r="ACE50" s="90"/>
      <c r="ACF50" s="90"/>
      <c r="ACG50" s="90"/>
      <c r="ACH50" s="90"/>
      <c r="ACI50" s="90"/>
      <c r="ACJ50" s="90"/>
      <c r="ACK50" s="90"/>
      <c r="ACL50" s="90"/>
      <c r="ACM50" s="90"/>
      <c r="ACN50" s="90"/>
      <c r="ACO50" s="90"/>
      <c r="ACP50" s="90"/>
      <c r="ACQ50" s="90"/>
      <c r="ACR50" s="90"/>
      <c r="ACS50" s="90"/>
      <c r="ACT50" s="90"/>
      <c r="ACU50" s="90"/>
      <c r="ACV50" s="90"/>
      <c r="ACW50" s="90"/>
      <c r="ACX50" s="90"/>
      <c r="ACY50" s="90"/>
      <c r="ACZ50" s="90"/>
      <c r="ADA50" s="90"/>
      <c r="ADB50" s="90"/>
      <c r="ADC50" s="90"/>
      <c r="ADD50" s="90"/>
      <c r="ADE50" s="90"/>
      <c r="ADF50" s="90"/>
      <c r="ADG50" s="90"/>
      <c r="ADH50" s="90"/>
      <c r="ADI50" s="90"/>
      <c r="ADJ50" s="90"/>
      <c r="ADK50" s="90"/>
      <c r="ADL50" s="90"/>
      <c r="ADM50" s="90"/>
      <c r="ADN50" s="90"/>
      <c r="ADO50" s="90"/>
      <c r="ADP50" s="90"/>
      <c r="ADQ50" s="90"/>
      <c r="ADR50" s="90"/>
      <c r="ADS50" s="90"/>
      <c r="ADT50" s="90"/>
      <c r="ADU50" s="90"/>
      <c r="ADV50" s="90"/>
      <c r="ADW50" s="90"/>
      <c r="ADX50" s="90"/>
      <c r="ADY50" s="90"/>
      <c r="ADZ50" s="90"/>
      <c r="AEA50" s="90"/>
      <c r="AEB50" s="90"/>
      <c r="AEC50" s="90"/>
      <c r="AED50" s="90"/>
      <c r="AEE50" s="90"/>
      <c r="AEF50" s="90"/>
      <c r="AEG50" s="90"/>
      <c r="AEH50" s="90"/>
      <c r="AEI50" s="90"/>
      <c r="AEJ50" s="90"/>
      <c r="AEK50" s="90"/>
      <c r="AEL50" s="90"/>
      <c r="AEM50" s="90"/>
      <c r="AEN50" s="90"/>
      <c r="AEO50" s="90"/>
      <c r="AEP50" s="90"/>
      <c r="AEQ50" s="90"/>
      <c r="AER50" s="90"/>
      <c r="AES50" s="90"/>
      <c r="AET50" s="90"/>
      <c r="AEU50" s="90"/>
      <c r="AEV50" s="90"/>
      <c r="AEW50" s="90"/>
      <c r="AEX50" s="90"/>
      <c r="AEY50" s="90"/>
      <c r="AEZ50" s="90"/>
      <c r="AFA50" s="90"/>
      <c r="AFB50" s="90"/>
      <c r="AFC50" s="90"/>
      <c r="AFD50" s="90"/>
      <c r="AFE50" s="90"/>
      <c r="AFF50" s="90"/>
      <c r="AFG50" s="90"/>
      <c r="AFH50" s="90"/>
      <c r="AFI50" s="90"/>
      <c r="AFJ50" s="90"/>
      <c r="AFK50" s="90"/>
      <c r="AFL50" s="90"/>
      <c r="AFM50" s="90"/>
      <c r="AFN50" s="90"/>
      <c r="AFO50" s="90"/>
      <c r="AFP50" s="90"/>
      <c r="AFQ50" s="90"/>
      <c r="AFR50" s="90"/>
      <c r="AFS50" s="90"/>
      <c r="AFT50" s="90"/>
      <c r="AFU50" s="90"/>
      <c r="AFV50" s="90"/>
      <c r="AFW50" s="90"/>
      <c r="AFX50" s="90"/>
      <c r="AFY50" s="90"/>
      <c r="AFZ50" s="90"/>
      <c r="AGA50" s="90"/>
      <c r="AGB50" s="90"/>
      <c r="AGC50" s="90"/>
      <c r="AGD50" s="90"/>
      <c r="AGE50" s="90"/>
      <c r="AGF50" s="90"/>
      <c r="AGG50" s="90"/>
      <c r="AGH50" s="90"/>
      <c r="AGI50" s="90"/>
      <c r="AGJ50" s="90"/>
      <c r="AGK50" s="90"/>
      <c r="AGL50" s="90"/>
      <c r="AGM50" s="90"/>
      <c r="AGN50" s="90"/>
      <c r="AGO50" s="90"/>
      <c r="AGP50" s="90"/>
      <c r="AGQ50" s="90"/>
      <c r="AGR50" s="90"/>
      <c r="AGS50" s="90"/>
      <c r="AGT50" s="90"/>
      <c r="AGU50" s="90"/>
      <c r="AGV50" s="90"/>
      <c r="AGW50" s="90"/>
      <c r="AGX50" s="90"/>
      <c r="AGY50" s="90"/>
      <c r="AGZ50" s="90"/>
      <c r="AHA50" s="90"/>
      <c r="AHB50" s="90"/>
      <c r="AHC50" s="90"/>
      <c r="AHD50" s="90"/>
      <c r="AHE50" s="90"/>
      <c r="AHF50" s="90"/>
      <c r="AHG50" s="90"/>
      <c r="AHH50" s="90"/>
      <c r="AHI50" s="90"/>
      <c r="AHJ50" s="90"/>
      <c r="AHK50" s="90"/>
      <c r="AHL50" s="90"/>
      <c r="AHM50" s="90"/>
      <c r="AHN50" s="90"/>
      <c r="AHO50" s="90"/>
      <c r="AHP50" s="90"/>
      <c r="AHQ50" s="90"/>
      <c r="AHR50" s="90"/>
      <c r="AHS50" s="90"/>
      <c r="AHT50" s="90"/>
      <c r="AHU50" s="90"/>
      <c r="AHV50" s="90"/>
      <c r="AHW50" s="90"/>
      <c r="AHX50" s="90"/>
      <c r="AHY50" s="90"/>
      <c r="AHZ50" s="90"/>
      <c r="AIA50" s="90"/>
      <c r="AIB50" s="90"/>
      <c r="AIC50" s="90"/>
      <c r="AID50" s="90"/>
      <c r="AIE50" s="90"/>
      <c r="AIF50" s="90"/>
      <c r="AIG50" s="90"/>
      <c r="AIH50" s="90"/>
      <c r="AII50" s="90"/>
      <c r="AIJ50" s="90"/>
      <c r="AIK50" s="90"/>
      <c r="AIL50" s="90"/>
      <c r="AIM50" s="90"/>
      <c r="AIN50" s="90"/>
      <c r="AIO50" s="90"/>
      <c r="AIP50" s="90"/>
      <c r="AIQ50" s="90"/>
      <c r="AIR50" s="90"/>
      <c r="AIS50" s="90"/>
      <c r="AIT50" s="90"/>
      <c r="AIU50" s="90"/>
      <c r="AIV50" s="90"/>
      <c r="AIW50" s="90"/>
      <c r="AIX50" s="90"/>
      <c r="AIY50" s="90"/>
      <c r="AIZ50" s="90"/>
      <c r="AJA50" s="90"/>
      <c r="AJB50" s="90"/>
      <c r="AJC50" s="90"/>
      <c r="AJD50" s="90"/>
      <c r="AJE50" s="90"/>
      <c r="AJF50" s="90"/>
      <c r="AJG50" s="90"/>
      <c r="AJH50" s="90"/>
      <c r="AJI50" s="90"/>
      <c r="AJJ50" s="90"/>
      <c r="AJK50" s="90"/>
      <c r="AJL50" s="90"/>
      <c r="AJM50" s="90"/>
      <c r="AJN50" s="90"/>
      <c r="AJO50" s="90"/>
      <c r="AJP50" s="90"/>
      <c r="AJQ50" s="90"/>
      <c r="AJR50" s="90"/>
      <c r="AJS50" s="90"/>
      <c r="AJT50" s="90"/>
      <c r="AJU50" s="90"/>
      <c r="AJV50" s="90"/>
      <c r="AJW50" s="90"/>
      <c r="AJX50" s="90"/>
      <c r="AJY50" s="90"/>
      <c r="AJZ50" s="90"/>
      <c r="AKA50" s="90"/>
      <c r="AKB50" s="90"/>
      <c r="AKC50" s="90"/>
      <c r="AKD50" s="90"/>
      <c r="AKE50" s="90"/>
      <c r="AKF50" s="90"/>
      <c r="AKG50" s="90"/>
      <c r="AKH50" s="90"/>
      <c r="AKI50" s="90"/>
      <c r="AKJ50" s="90"/>
      <c r="AKK50" s="90"/>
      <c r="AKL50" s="90"/>
      <c r="AKM50" s="90"/>
      <c r="AKN50" s="90"/>
      <c r="AKO50" s="90"/>
      <c r="AKP50" s="90"/>
      <c r="AKQ50" s="90"/>
      <c r="AKR50" s="90"/>
      <c r="AKS50" s="90"/>
      <c r="AKT50" s="90"/>
      <c r="AKU50" s="90"/>
      <c r="AKV50" s="90"/>
      <c r="AKW50" s="90"/>
      <c r="AKX50" s="90"/>
      <c r="AKY50" s="90"/>
      <c r="AKZ50" s="90"/>
      <c r="ALA50" s="90"/>
      <c r="ALB50" s="90"/>
      <c r="ALC50" s="90"/>
      <c r="ALD50" s="90"/>
      <c r="ALE50" s="90"/>
      <c r="ALF50" s="90"/>
      <c r="ALG50" s="90"/>
      <c r="ALH50" s="90"/>
      <c r="ALI50" s="90"/>
      <c r="ALJ50" s="90"/>
      <c r="ALK50" s="90"/>
      <c r="ALL50" s="90"/>
      <c r="ALM50" s="90"/>
      <c r="ALN50" s="90"/>
      <c r="ALO50" s="90"/>
      <c r="ALP50" s="90"/>
      <c r="ALQ50" s="90"/>
      <c r="ALR50" s="90"/>
      <c r="ALS50" s="90"/>
      <c r="ALT50" s="90"/>
      <c r="ALU50" s="90"/>
      <c r="ALV50" s="90"/>
      <c r="ALW50" s="90"/>
      <c r="ALX50" s="90"/>
      <c r="ALY50" s="90"/>
      <c r="ALZ50" s="90"/>
      <c r="AMA50" s="90"/>
      <c r="AMB50" s="90"/>
      <c r="AMC50" s="90"/>
    </row>
    <row r="51" spans="1:1017" s="102" customFormat="1">
      <c r="A51" s="100">
        <v>2</v>
      </c>
      <c r="B51" s="100" t="s">
        <v>57</v>
      </c>
      <c r="C51" s="100">
        <f t="shared" ref="C51:R51" si="815">SUM(C52:C88)</f>
        <v>0</v>
      </c>
      <c r="D51" s="100">
        <f t="shared" si="815"/>
        <v>0</v>
      </c>
      <c r="E51" s="100">
        <f t="shared" si="815"/>
        <v>1519847</v>
      </c>
      <c r="F51" s="100">
        <f t="shared" si="815"/>
        <v>49728961.527000003</v>
      </c>
      <c r="G51" s="100">
        <f t="shared" si="815"/>
        <v>0</v>
      </c>
      <c r="H51" s="100">
        <f t="shared" si="815"/>
        <v>0</v>
      </c>
      <c r="I51" s="100">
        <f t="shared" si="815"/>
        <v>114350</v>
      </c>
      <c r="J51" s="100">
        <f t="shared" si="815"/>
        <v>2569250</v>
      </c>
      <c r="K51" s="100">
        <f t="shared" si="815"/>
        <v>0</v>
      </c>
      <c r="L51" s="100">
        <f t="shared" si="815"/>
        <v>0</v>
      </c>
      <c r="M51" s="100">
        <f t="shared" si="815"/>
        <v>400</v>
      </c>
      <c r="N51" s="100">
        <f t="shared" si="815"/>
        <v>8000</v>
      </c>
      <c r="O51" s="100">
        <f t="shared" si="815"/>
        <v>0</v>
      </c>
      <c r="P51" s="100">
        <f t="shared" si="815"/>
        <v>0</v>
      </c>
      <c r="Q51" s="728">
        <f t="shared" si="815"/>
        <v>1634597</v>
      </c>
      <c r="R51" s="728">
        <f t="shared" si="815"/>
        <v>52306211.527000003</v>
      </c>
      <c r="S51" s="100">
        <f t="shared" ref="S51:CD51" si="816">SUM(S52:S88)</f>
        <v>4380</v>
      </c>
      <c r="T51" s="100">
        <f t="shared" si="816"/>
        <v>577300</v>
      </c>
      <c r="U51" s="100">
        <f t="shared" si="816"/>
        <v>1593845</v>
      </c>
      <c r="V51" s="100">
        <f t="shared" si="816"/>
        <v>79905325</v>
      </c>
      <c r="W51" s="100">
        <f t="shared" si="816"/>
        <v>0</v>
      </c>
      <c r="X51" s="100">
        <f t="shared" si="816"/>
        <v>0</v>
      </c>
      <c r="Y51" s="100">
        <f t="shared" si="816"/>
        <v>841220</v>
      </c>
      <c r="Z51" s="100">
        <f t="shared" si="816"/>
        <v>17054465</v>
      </c>
      <c r="AA51" s="100">
        <f t="shared" si="816"/>
        <v>6210</v>
      </c>
      <c r="AB51" s="100">
        <f t="shared" si="816"/>
        <v>169200</v>
      </c>
      <c r="AC51" s="100">
        <f t="shared" si="816"/>
        <v>3450</v>
      </c>
      <c r="AD51" s="100">
        <f t="shared" si="816"/>
        <v>95400</v>
      </c>
      <c r="AE51" s="100">
        <f t="shared" si="816"/>
        <v>2150</v>
      </c>
      <c r="AF51" s="100">
        <f t="shared" si="816"/>
        <v>52225</v>
      </c>
      <c r="AG51" s="728">
        <f t="shared" si="816"/>
        <v>2451255</v>
      </c>
      <c r="AH51" s="728">
        <f t="shared" si="816"/>
        <v>97853915</v>
      </c>
      <c r="AI51" s="100">
        <f t="shared" si="816"/>
        <v>0</v>
      </c>
      <c r="AJ51" s="100">
        <f t="shared" si="816"/>
        <v>0</v>
      </c>
      <c r="AK51" s="100">
        <f t="shared" si="816"/>
        <v>35200</v>
      </c>
      <c r="AL51" s="100">
        <f t="shared" si="816"/>
        <v>2288000</v>
      </c>
      <c r="AM51" s="100">
        <f t="shared" si="816"/>
        <v>0</v>
      </c>
      <c r="AN51" s="100">
        <f t="shared" si="816"/>
        <v>0</v>
      </c>
      <c r="AO51" s="100">
        <f t="shared" si="816"/>
        <v>1331600</v>
      </c>
      <c r="AP51" s="100">
        <f t="shared" si="816"/>
        <v>29130100</v>
      </c>
      <c r="AQ51" s="100">
        <f t="shared" si="816"/>
        <v>120</v>
      </c>
      <c r="AR51" s="100">
        <f t="shared" si="816"/>
        <v>3000</v>
      </c>
      <c r="AS51" s="100">
        <f t="shared" si="816"/>
        <v>0</v>
      </c>
      <c r="AT51" s="100">
        <f t="shared" si="816"/>
        <v>0</v>
      </c>
      <c r="AU51" s="100">
        <f t="shared" si="816"/>
        <v>2400</v>
      </c>
      <c r="AV51" s="100">
        <f t="shared" si="816"/>
        <v>60000</v>
      </c>
      <c r="AW51" s="728">
        <f t="shared" si="816"/>
        <v>1369320</v>
      </c>
      <c r="AX51" s="728">
        <f t="shared" si="816"/>
        <v>31481100</v>
      </c>
      <c r="AY51" s="100">
        <f t="shared" si="816"/>
        <v>0</v>
      </c>
      <c r="AZ51" s="100">
        <f t="shared" si="816"/>
        <v>0</v>
      </c>
      <c r="BA51" s="100">
        <f t="shared" si="816"/>
        <v>0</v>
      </c>
      <c r="BB51" s="100">
        <f t="shared" si="816"/>
        <v>0</v>
      </c>
      <c r="BC51" s="100">
        <f t="shared" si="816"/>
        <v>0</v>
      </c>
      <c r="BD51" s="100">
        <f t="shared" si="816"/>
        <v>0</v>
      </c>
      <c r="BE51" s="100">
        <f t="shared" si="816"/>
        <v>516246</v>
      </c>
      <c r="BF51" s="100">
        <f t="shared" si="816"/>
        <v>10341892</v>
      </c>
      <c r="BG51" s="100">
        <f t="shared" si="816"/>
        <v>19657</v>
      </c>
      <c r="BH51" s="100">
        <f t="shared" si="816"/>
        <v>359972</v>
      </c>
      <c r="BI51" s="100">
        <f t="shared" si="816"/>
        <v>0</v>
      </c>
      <c r="BJ51" s="100">
        <f t="shared" si="816"/>
        <v>0</v>
      </c>
      <c r="BK51" s="100">
        <f t="shared" si="816"/>
        <v>4242</v>
      </c>
      <c r="BL51" s="100">
        <f t="shared" si="816"/>
        <v>72480</v>
      </c>
      <c r="BM51" s="728">
        <f t="shared" si="816"/>
        <v>540145</v>
      </c>
      <c r="BN51" s="728">
        <f t="shared" si="816"/>
        <v>10774344</v>
      </c>
      <c r="BO51" s="100">
        <f t="shared" si="816"/>
        <v>0</v>
      </c>
      <c r="BP51" s="100">
        <f t="shared" si="816"/>
        <v>0</v>
      </c>
      <c r="BQ51" s="100">
        <f t="shared" si="816"/>
        <v>0</v>
      </c>
      <c r="BR51" s="100">
        <f t="shared" si="816"/>
        <v>0</v>
      </c>
      <c r="BS51" s="100">
        <f t="shared" si="816"/>
        <v>0</v>
      </c>
      <c r="BT51" s="100">
        <f t="shared" si="816"/>
        <v>0</v>
      </c>
      <c r="BU51" s="100">
        <f t="shared" si="816"/>
        <v>72229</v>
      </c>
      <c r="BV51" s="100">
        <f t="shared" si="816"/>
        <v>1545611</v>
      </c>
      <c r="BW51" s="100">
        <f t="shared" si="816"/>
        <v>0</v>
      </c>
      <c r="BX51" s="100">
        <f t="shared" si="816"/>
        <v>0</v>
      </c>
      <c r="BY51" s="100">
        <f t="shared" si="816"/>
        <v>0</v>
      </c>
      <c r="BZ51" s="100">
        <f t="shared" si="816"/>
        <v>0</v>
      </c>
      <c r="CA51" s="100">
        <f t="shared" si="816"/>
        <v>0</v>
      </c>
      <c r="CB51" s="100">
        <f t="shared" si="816"/>
        <v>0</v>
      </c>
      <c r="CC51" s="728">
        <f t="shared" si="816"/>
        <v>72229</v>
      </c>
      <c r="CD51" s="728">
        <f t="shared" si="816"/>
        <v>1545611</v>
      </c>
      <c r="CE51" s="100">
        <f t="shared" ref="CE51:EP51" si="817">SUM(CE52:CE88)</f>
        <v>424871</v>
      </c>
      <c r="CF51" s="100">
        <f t="shared" si="817"/>
        <v>1699483</v>
      </c>
      <c r="CG51" s="100">
        <f t="shared" si="817"/>
        <v>7147479.5899999999</v>
      </c>
      <c r="CH51" s="100">
        <f t="shared" si="817"/>
        <v>204225544</v>
      </c>
      <c r="CI51" s="100">
        <f t="shared" si="817"/>
        <v>0</v>
      </c>
      <c r="CJ51" s="100">
        <f t="shared" si="817"/>
        <v>0</v>
      </c>
      <c r="CK51" s="100">
        <f t="shared" si="817"/>
        <v>6566421</v>
      </c>
      <c r="CL51" s="100">
        <f t="shared" si="817"/>
        <v>104948869</v>
      </c>
      <c r="CM51" s="100">
        <f t="shared" si="817"/>
        <v>0</v>
      </c>
      <c r="CN51" s="100">
        <f t="shared" si="817"/>
        <v>0</v>
      </c>
      <c r="CO51" s="100">
        <f t="shared" si="817"/>
        <v>0</v>
      </c>
      <c r="CP51" s="100">
        <f t="shared" si="817"/>
        <v>0</v>
      </c>
      <c r="CQ51" s="100">
        <f t="shared" si="817"/>
        <v>0</v>
      </c>
      <c r="CR51" s="100">
        <f t="shared" si="817"/>
        <v>0</v>
      </c>
      <c r="CS51" s="728">
        <f t="shared" si="817"/>
        <v>14138771.59</v>
      </c>
      <c r="CT51" s="728">
        <f t="shared" si="817"/>
        <v>310873896</v>
      </c>
      <c r="CU51" s="100">
        <f t="shared" si="817"/>
        <v>0</v>
      </c>
      <c r="CV51" s="100">
        <f t="shared" si="817"/>
        <v>0</v>
      </c>
      <c r="CW51" s="100">
        <f t="shared" si="817"/>
        <v>128180.000495817</v>
      </c>
      <c r="CX51" s="100">
        <f t="shared" si="817"/>
        <v>9464650.0160000008</v>
      </c>
      <c r="CY51" s="100">
        <f t="shared" si="817"/>
        <v>0</v>
      </c>
      <c r="CZ51" s="100">
        <f t="shared" si="817"/>
        <v>0</v>
      </c>
      <c r="DA51" s="100">
        <f t="shared" si="817"/>
        <v>1459700</v>
      </c>
      <c r="DB51" s="100">
        <f t="shared" si="817"/>
        <v>32283970</v>
      </c>
      <c r="DC51" s="100">
        <f t="shared" si="817"/>
        <v>480</v>
      </c>
      <c r="DD51" s="100">
        <f t="shared" si="817"/>
        <v>13740</v>
      </c>
      <c r="DE51" s="100">
        <f t="shared" si="817"/>
        <v>0</v>
      </c>
      <c r="DF51" s="100">
        <f t="shared" si="817"/>
        <v>0</v>
      </c>
      <c r="DG51" s="100">
        <f t="shared" si="817"/>
        <v>0</v>
      </c>
      <c r="DH51" s="100">
        <f t="shared" si="817"/>
        <v>0</v>
      </c>
      <c r="DI51" s="728">
        <f t="shared" si="817"/>
        <v>1588360.000495817</v>
      </c>
      <c r="DJ51" s="728">
        <f t="shared" si="817"/>
        <v>41762360.016000003</v>
      </c>
      <c r="DK51" s="100">
        <f t="shared" si="817"/>
        <v>0</v>
      </c>
      <c r="DL51" s="100">
        <f t="shared" si="817"/>
        <v>0</v>
      </c>
      <c r="DM51" s="100">
        <f t="shared" si="817"/>
        <v>0</v>
      </c>
      <c r="DN51" s="100">
        <f t="shared" si="817"/>
        <v>0</v>
      </c>
      <c r="DO51" s="100">
        <f t="shared" si="817"/>
        <v>0</v>
      </c>
      <c r="DP51" s="100">
        <f t="shared" si="817"/>
        <v>0</v>
      </c>
      <c r="DQ51" s="100">
        <f t="shared" si="817"/>
        <v>1244800</v>
      </c>
      <c r="DR51" s="100">
        <f t="shared" si="817"/>
        <v>22208700</v>
      </c>
      <c r="DS51" s="100">
        <f t="shared" si="817"/>
        <v>0</v>
      </c>
      <c r="DT51" s="100">
        <f t="shared" si="817"/>
        <v>0</v>
      </c>
      <c r="DU51" s="100">
        <f t="shared" si="817"/>
        <v>0</v>
      </c>
      <c r="DV51" s="100">
        <f t="shared" si="817"/>
        <v>0</v>
      </c>
      <c r="DW51" s="100">
        <f t="shared" si="817"/>
        <v>0</v>
      </c>
      <c r="DX51" s="100">
        <f t="shared" si="817"/>
        <v>0</v>
      </c>
      <c r="DY51" s="728">
        <f t="shared" si="817"/>
        <v>1244800</v>
      </c>
      <c r="DZ51" s="728">
        <f t="shared" si="817"/>
        <v>22208700</v>
      </c>
      <c r="EA51" s="100">
        <f t="shared" si="817"/>
        <v>0</v>
      </c>
      <c r="EB51" s="100">
        <f t="shared" si="817"/>
        <v>0</v>
      </c>
      <c r="EC51" s="100">
        <f t="shared" si="817"/>
        <v>0</v>
      </c>
      <c r="ED51" s="100">
        <f t="shared" si="817"/>
        <v>0</v>
      </c>
      <c r="EE51" s="100">
        <f t="shared" si="817"/>
        <v>0</v>
      </c>
      <c r="EF51" s="100">
        <f t="shared" si="817"/>
        <v>0</v>
      </c>
      <c r="EG51" s="100">
        <f t="shared" si="817"/>
        <v>2135320</v>
      </c>
      <c r="EH51" s="100">
        <f t="shared" si="817"/>
        <v>40174720</v>
      </c>
      <c r="EI51" s="100">
        <f t="shared" si="817"/>
        <v>0</v>
      </c>
      <c r="EJ51" s="100">
        <f t="shared" si="817"/>
        <v>0</v>
      </c>
      <c r="EK51" s="100">
        <f t="shared" si="817"/>
        <v>0</v>
      </c>
      <c r="EL51" s="100">
        <f t="shared" si="817"/>
        <v>0</v>
      </c>
      <c r="EM51" s="100">
        <f t="shared" si="817"/>
        <v>0</v>
      </c>
      <c r="EN51" s="100">
        <f t="shared" si="817"/>
        <v>0</v>
      </c>
      <c r="EO51" s="728">
        <f t="shared" si="817"/>
        <v>2135320</v>
      </c>
      <c r="EP51" s="728">
        <f t="shared" si="817"/>
        <v>40174720</v>
      </c>
      <c r="EQ51" s="100">
        <f t="shared" ref="EQ51:HB51" si="818">SUM(EQ52:EQ88)</f>
        <v>0</v>
      </c>
      <c r="ER51" s="100">
        <f t="shared" si="818"/>
        <v>0</v>
      </c>
      <c r="ES51" s="100">
        <f t="shared" si="818"/>
        <v>499479</v>
      </c>
      <c r="ET51" s="100">
        <f t="shared" si="818"/>
        <v>31101675</v>
      </c>
      <c r="EU51" s="100">
        <f t="shared" si="818"/>
        <v>0</v>
      </c>
      <c r="EV51" s="100">
        <f t="shared" si="818"/>
        <v>0</v>
      </c>
      <c r="EW51" s="100">
        <f t="shared" si="818"/>
        <v>3744265</v>
      </c>
      <c r="EX51" s="100">
        <f t="shared" si="818"/>
        <v>117362481</v>
      </c>
      <c r="EY51" s="100">
        <f t="shared" si="818"/>
        <v>0</v>
      </c>
      <c r="EZ51" s="100">
        <f t="shared" si="818"/>
        <v>0</v>
      </c>
      <c r="FA51" s="100">
        <f t="shared" si="818"/>
        <v>7032</v>
      </c>
      <c r="FB51" s="100">
        <f t="shared" si="818"/>
        <v>154704</v>
      </c>
      <c r="FC51" s="100">
        <f t="shared" si="818"/>
        <v>455</v>
      </c>
      <c r="FD51" s="100">
        <f t="shared" si="818"/>
        <v>11375</v>
      </c>
      <c r="FE51" s="728">
        <f t="shared" si="818"/>
        <v>4251231</v>
      </c>
      <c r="FF51" s="728">
        <f t="shared" si="818"/>
        <v>148630235</v>
      </c>
      <c r="FG51" s="100">
        <f t="shared" si="818"/>
        <v>0</v>
      </c>
      <c r="FH51" s="100">
        <f t="shared" si="818"/>
        <v>0</v>
      </c>
      <c r="FI51" s="100">
        <f t="shared" si="818"/>
        <v>120000</v>
      </c>
      <c r="FJ51" s="100">
        <f t="shared" si="818"/>
        <v>7200000</v>
      </c>
      <c r="FK51" s="100">
        <f t="shared" si="818"/>
        <v>0</v>
      </c>
      <c r="FL51" s="100">
        <f t="shared" si="818"/>
        <v>0</v>
      </c>
      <c r="FM51" s="100">
        <f t="shared" si="818"/>
        <v>220000</v>
      </c>
      <c r="FN51" s="100">
        <f t="shared" si="818"/>
        <v>5696214</v>
      </c>
      <c r="FO51" s="100">
        <f t="shared" si="818"/>
        <v>0</v>
      </c>
      <c r="FP51" s="100">
        <f t="shared" si="818"/>
        <v>0</v>
      </c>
      <c r="FQ51" s="100">
        <f t="shared" si="818"/>
        <v>0</v>
      </c>
      <c r="FR51" s="100">
        <f t="shared" si="818"/>
        <v>0</v>
      </c>
      <c r="FS51" s="100">
        <f t="shared" si="818"/>
        <v>75000</v>
      </c>
      <c r="FT51" s="100">
        <f t="shared" si="818"/>
        <v>2250000</v>
      </c>
      <c r="FU51" s="728">
        <f t="shared" si="818"/>
        <v>415000</v>
      </c>
      <c r="FV51" s="728">
        <f t="shared" si="818"/>
        <v>15146214</v>
      </c>
      <c r="FW51" s="100">
        <f t="shared" si="818"/>
        <v>0</v>
      </c>
      <c r="FX51" s="100">
        <f t="shared" si="818"/>
        <v>0</v>
      </c>
      <c r="FY51" s="100">
        <f t="shared" si="818"/>
        <v>0</v>
      </c>
      <c r="FZ51" s="100">
        <f t="shared" si="818"/>
        <v>0</v>
      </c>
      <c r="GA51" s="100">
        <f t="shared" si="818"/>
        <v>0</v>
      </c>
      <c r="GB51" s="100">
        <f t="shared" si="818"/>
        <v>0</v>
      </c>
      <c r="GC51" s="100">
        <f t="shared" si="818"/>
        <v>319050</v>
      </c>
      <c r="GD51" s="100">
        <f t="shared" si="818"/>
        <v>6477500</v>
      </c>
      <c r="GE51" s="100">
        <f t="shared" si="818"/>
        <v>0</v>
      </c>
      <c r="GF51" s="100">
        <f t="shared" si="818"/>
        <v>0</v>
      </c>
      <c r="GG51" s="100">
        <f t="shared" si="818"/>
        <v>0</v>
      </c>
      <c r="GH51" s="100">
        <f t="shared" si="818"/>
        <v>0</v>
      </c>
      <c r="GI51" s="100">
        <f t="shared" si="818"/>
        <v>0</v>
      </c>
      <c r="GJ51" s="100">
        <f t="shared" si="818"/>
        <v>0</v>
      </c>
      <c r="GK51" s="728">
        <f t="shared" si="818"/>
        <v>319050</v>
      </c>
      <c r="GL51" s="728">
        <f t="shared" si="818"/>
        <v>6477500</v>
      </c>
      <c r="GM51" s="100">
        <f t="shared" si="818"/>
        <v>0</v>
      </c>
      <c r="GN51" s="100">
        <f t="shared" si="818"/>
        <v>0</v>
      </c>
      <c r="GO51" s="100">
        <f t="shared" si="818"/>
        <v>0</v>
      </c>
      <c r="GP51" s="100">
        <f t="shared" si="818"/>
        <v>0</v>
      </c>
      <c r="GQ51" s="100">
        <f t="shared" si="818"/>
        <v>0</v>
      </c>
      <c r="GR51" s="100">
        <f t="shared" si="818"/>
        <v>0</v>
      </c>
      <c r="GS51" s="100">
        <f t="shared" si="818"/>
        <v>159600</v>
      </c>
      <c r="GT51" s="100">
        <f t="shared" si="818"/>
        <v>3115900</v>
      </c>
      <c r="GU51" s="100">
        <f t="shared" si="818"/>
        <v>0</v>
      </c>
      <c r="GV51" s="100">
        <f t="shared" si="818"/>
        <v>0</v>
      </c>
      <c r="GW51" s="100">
        <f t="shared" si="818"/>
        <v>0</v>
      </c>
      <c r="GX51" s="100">
        <f t="shared" si="818"/>
        <v>0</v>
      </c>
      <c r="GY51" s="100">
        <f t="shared" si="818"/>
        <v>170</v>
      </c>
      <c r="GZ51" s="100">
        <f t="shared" si="818"/>
        <v>4650</v>
      </c>
      <c r="HA51" s="728">
        <f t="shared" si="818"/>
        <v>159770</v>
      </c>
      <c r="HB51" s="728">
        <f t="shared" si="818"/>
        <v>3120550</v>
      </c>
      <c r="HC51" s="100">
        <f t="shared" ref="HC51:JN51" si="819">SUM(HC52:HC88)</f>
        <v>0</v>
      </c>
      <c r="HD51" s="100">
        <f t="shared" si="819"/>
        <v>0</v>
      </c>
      <c r="HE51" s="100">
        <f t="shared" si="819"/>
        <v>105000</v>
      </c>
      <c r="HF51" s="100">
        <f t="shared" si="819"/>
        <v>5670000</v>
      </c>
      <c r="HG51" s="100">
        <f t="shared" si="819"/>
        <v>0</v>
      </c>
      <c r="HH51" s="100">
        <f t="shared" si="819"/>
        <v>0</v>
      </c>
      <c r="HI51" s="100">
        <f t="shared" si="819"/>
        <v>555300</v>
      </c>
      <c r="HJ51" s="100">
        <f t="shared" si="819"/>
        <v>9300000</v>
      </c>
      <c r="HK51" s="100">
        <f t="shared" si="819"/>
        <v>0</v>
      </c>
      <c r="HL51" s="100">
        <f t="shared" si="819"/>
        <v>0</v>
      </c>
      <c r="HM51" s="100">
        <f t="shared" si="819"/>
        <v>0</v>
      </c>
      <c r="HN51" s="100">
        <f t="shared" si="819"/>
        <v>0</v>
      </c>
      <c r="HO51" s="100">
        <f t="shared" si="819"/>
        <v>550000</v>
      </c>
      <c r="HP51" s="100">
        <f t="shared" si="819"/>
        <v>12650000</v>
      </c>
      <c r="HQ51" s="728">
        <f t="shared" si="819"/>
        <v>1210300</v>
      </c>
      <c r="HR51" s="728">
        <f t="shared" si="819"/>
        <v>27620000</v>
      </c>
      <c r="HS51" s="100">
        <f t="shared" si="819"/>
        <v>0</v>
      </c>
      <c r="HT51" s="100">
        <f t="shared" si="819"/>
        <v>0</v>
      </c>
      <c r="HU51" s="100">
        <f t="shared" si="819"/>
        <v>0</v>
      </c>
      <c r="HV51" s="100">
        <f t="shared" si="819"/>
        <v>0</v>
      </c>
      <c r="HW51" s="100">
        <f t="shared" si="819"/>
        <v>0</v>
      </c>
      <c r="HX51" s="100">
        <f t="shared" si="819"/>
        <v>0</v>
      </c>
      <c r="HY51" s="100">
        <f t="shared" si="819"/>
        <v>148250</v>
      </c>
      <c r="HZ51" s="100">
        <f t="shared" si="819"/>
        <v>3000550</v>
      </c>
      <c r="IA51" s="100">
        <f t="shared" si="819"/>
        <v>0</v>
      </c>
      <c r="IB51" s="100">
        <f t="shared" si="819"/>
        <v>0</v>
      </c>
      <c r="IC51" s="100">
        <f t="shared" si="819"/>
        <v>600</v>
      </c>
      <c r="ID51" s="100">
        <f t="shared" si="819"/>
        <v>15000</v>
      </c>
      <c r="IE51" s="100">
        <f t="shared" si="819"/>
        <v>0</v>
      </c>
      <c r="IF51" s="100">
        <f t="shared" si="819"/>
        <v>0</v>
      </c>
      <c r="IG51" s="728">
        <f t="shared" si="819"/>
        <v>148850</v>
      </c>
      <c r="IH51" s="728">
        <f t="shared" si="819"/>
        <v>3015550</v>
      </c>
      <c r="II51" s="100">
        <f t="shared" si="819"/>
        <v>0</v>
      </c>
      <c r="IJ51" s="100">
        <f t="shared" si="819"/>
        <v>0</v>
      </c>
      <c r="IK51" s="100">
        <f t="shared" si="819"/>
        <v>0</v>
      </c>
      <c r="IL51" s="100">
        <f t="shared" si="819"/>
        <v>0</v>
      </c>
      <c r="IM51" s="100">
        <f t="shared" si="819"/>
        <v>0</v>
      </c>
      <c r="IN51" s="100">
        <f t="shared" si="819"/>
        <v>0</v>
      </c>
      <c r="IO51" s="96">
        <f t="shared" si="819"/>
        <v>1009000</v>
      </c>
      <c r="IP51" s="96">
        <f t="shared" si="819"/>
        <v>19663200</v>
      </c>
      <c r="IQ51" s="100">
        <f t="shared" si="819"/>
        <v>0</v>
      </c>
      <c r="IR51" s="100">
        <f t="shared" si="819"/>
        <v>0</v>
      </c>
      <c r="IS51" s="100">
        <f t="shared" si="819"/>
        <v>0</v>
      </c>
      <c r="IT51" s="100">
        <f t="shared" si="819"/>
        <v>0</v>
      </c>
      <c r="IU51" s="100">
        <f t="shared" si="819"/>
        <v>0</v>
      </c>
      <c r="IV51" s="100">
        <f t="shared" si="819"/>
        <v>0</v>
      </c>
      <c r="IW51" s="728">
        <f t="shared" si="819"/>
        <v>1009000</v>
      </c>
      <c r="IX51" s="728">
        <f t="shared" si="819"/>
        <v>19663200</v>
      </c>
      <c r="IY51" s="100">
        <f t="shared" si="819"/>
        <v>0</v>
      </c>
      <c r="IZ51" s="100">
        <f t="shared" si="819"/>
        <v>0</v>
      </c>
      <c r="JA51" s="100">
        <f t="shared" si="819"/>
        <v>0</v>
      </c>
      <c r="JB51" s="100">
        <f t="shared" si="819"/>
        <v>0</v>
      </c>
      <c r="JC51" s="100">
        <f t="shared" si="819"/>
        <v>0</v>
      </c>
      <c r="JD51" s="100">
        <f t="shared" si="819"/>
        <v>0</v>
      </c>
      <c r="JE51" s="100">
        <f t="shared" si="819"/>
        <v>364798</v>
      </c>
      <c r="JF51" s="100">
        <f t="shared" si="819"/>
        <v>6938438</v>
      </c>
      <c r="JG51" s="100">
        <f t="shared" si="819"/>
        <v>0</v>
      </c>
      <c r="JH51" s="100">
        <f t="shared" si="819"/>
        <v>0</v>
      </c>
      <c r="JI51" s="100">
        <f t="shared" si="819"/>
        <v>0</v>
      </c>
      <c r="JJ51" s="100">
        <f t="shared" si="819"/>
        <v>0</v>
      </c>
      <c r="JK51" s="100">
        <f t="shared" si="819"/>
        <v>9970</v>
      </c>
      <c r="JL51" s="100">
        <f t="shared" si="819"/>
        <v>195740</v>
      </c>
      <c r="JM51" s="728">
        <f t="shared" si="819"/>
        <v>374768</v>
      </c>
      <c r="JN51" s="728">
        <f t="shared" si="819"/>
        <v>7134178</v>
      </c>
      <c r="JO51" s="100">
        <f t="shared" ref="JO51:LZ51" si="820">SUM(JO52:JO88)</f>
        <v>0</v>
      </c>
      <c r="JP51" s="100">
        <f t="shared" si="820"/>
        <v>0</v>
      </c>
      <c r="JQ51" s="100">
        <f t="shared" si="820"/>
        <v>150403</v>
      </c>
      <c r="JR51" s="100">
        <f t="shared" si="820"/>
        <v>11430628</v>
      </c>
      <c r="JS51" s="100">
        <f t="shared" si="820"/>
        <v>0</v>
      </c>
      <c r="JT51" s="100">
        <f t="shared" si="820"/>
        <v>0</v>
      </c>
      <c r="JU51" s="100">
        <f t="shared" si="820"/>
        <v>52294</v>
      </c>
      <c r="JV51" s="100">
        <f t="shared" si="820"/>
        <v>1368092</v>
      </c>
      <c r="JW51" s="100">
        <f t="shared" si="820"/>
        <v>0</v>
      </c>
      <c r="JX51" s="100">
        <f t="shared" si="820"/>
        <v>0</v>
      </c>
      <c r="JY51" s="100">
        <f t="shared" si="820"/>
        <v>0</v>
      </c>
      <c r="JZ51" s="100">
        <f t="shared" si="820"/>
        <v>0</v>
      </c>
      <c r="KA51" s="100">
        <f t="shared" si="820"/>
        <v>0</v>
      </c>
      <c r="KB51" s="100">
        <f t="shared" si="820"/>
        <v>0</v>
      </c>
      <c r="KC51" s="728">
        <f t="shared" si="820"/>
        <v>202697</v>
      </c>
      <c r="KD51" s="728">
        <f t="shared" si="820"/>
        <v>12798720</v>
      </c>
      <c r="KE51" s="100">
        <f t="shared" si="820"/>
        <v>0</v>
      </c>
      <c r="KF51" s="100">
        <f t="shared" si="820"/>
        <v>0</v>
      </c>
      <c r="KG51" s="100">
        <f t="shared" si="820"/>
        <v>46212</v>
      </c>
      <c r="KH51" s="100">
        <f t="shared" si="820"/>
        <v>3586104</v>
      </c>
      <c r="KI51" s="100">
        <f t="shared" si="820"/>
        <v>0</v>
      </c>
      <c r="KJ51" s="100">
        <f t="shared" si="820"/>
        <v>0</v>
      </c>
      <c r="KK51" s="100">
        <f t="shared" si="820"/>
        <v>51481</v>
      </c>
      <c r="KL51" s="100">
        <f t="shared" si="820"/>
        <v>1035100</v>
      </c>
      <c r="KM51" s="100">
        <f t="shared" si="820"/>
        <v>0</v>
      </c>
      <c r="KN51" s="100">
        <f t="shared" si="820"/>
        <v>0</v>
      </c>
      <c r="KO51" s="100">
        <f t="shared" si="820"/>
        <v>0</v>
      </c>
      <c r="KP51" s="100">
        <f t="shared" si="820"/>
        <v>0</v>
      </c>
      <c r="KQ51" s="100">
        <f t="shared" si="820"/>
        <v>0</v>
      </c>
      <c r="KR51" s="100">
        <f t="shared" si="820"/>
        <v>0</v>
      </c>
      <c r="KS51" s="728">
        <f t="shared" si="820"/>
        <v>97693</v>
      </c>
      <c r="KT51" s="728">
        <f t="shared" si="820"/>
        <v>4621204</v>
      </c>
      <c r="KU51" s="100">
        <f t="shared" si="820"/>
        <v>0</v>
      </c>
      <c r="KV51" s="100">
        <f t="shared" si="820"/>
        <v>0</v>
      </c>
      <c r="KW51" s="100">
        <f t="shared" si="820"/>
        <v>617908.49</v>
      </c>
      <c r="KX51" s="100">
        <f t="shared" si="820"/>
        <v>13749696</v>
      </c>
      <c r="KY51" s="100">
        <f t="shared" si="820"/>
        <v>0</v>
      </c>
      <c r="KZ51" s="100">
        <f t="shared" si="820"/>
        <v>0</v>
      </c>
      <c r="LA51" s="100">
        <f t="shared" si="820"/>
        <v>1326576.58</v>
      </c>
      <c r="LB51" s="100">
        <f t="shared" si="820"/>
        <v>24942025</v>
      </c>
      <c r="LC51" s="100">
        <f t="shared" si="820"/>
        <v>0</v>
      </c>
      <c r="LD51" s="100">
        <f t="shared" si="820"/>
        <v>0</v>
      </c>
      <c r="LE51" s="100">
        <f t="shared" si="820"/>
        <v>0</v>
      </c>
      <c r="LF51" s="100">
        <f t="shared" si="820"/>
        <v>0</v>
      </c>
      <c r="LG51" s="100">
        <f t="shared" si="820"/>
        <v>11233.53</v>
      </c>
      <c r="LH51" s="100">
        <f t="shared" si="820"/>
        <v>269604</v>
      </c>
      <c r="LI51" s="728">
        <f t="shared" si="820"/>
        <v>1955718.6</v>
      </c>
      <c r="LJ51" s="728">
        <f t="shared" si="820"/>
        <v>38961325</v>
      </c>
      <c r="LK51" s="100">
        <f t="shared" si="820"/>
        <v>0</v>
      </c>
      <c r="LL51" s="100">
        <f t="shared" si="820"/>
        <v>0</v>
      </c>
      <c r="LM51" s="100">
        <f t="shared" si="820"/>
        <v>0</v>
      </c>
      <c r="LN51" s="100">
        <f t="shared" si="820"/>
        <v>0</v>
      </c>
      <c r="LO51" s="100">
        <f t="shared" si="820"/>
        <v>0</v>
      </c>
      <c r="LP51" s="100">
        <f t="shared" si="820"/>
        <v>0</v>
      </c>
      <c r="LQ51" s="100">
        <f t="shared" si="820"/>
        <v>180926</v>
      </c>
      <c r="LR51" s="100">
        <f t="shared" si="820"/>
        <v>3666780.5</v>
      </c>
      <c r="LS51" s="100">
        <f t="shared" si="820"/>
        <v>0</v>
      </c>
      <c r="LT51" s="100">
        <f t="shared" si="820"/>
        <v>0</v>
      </c>
      <c r="LU51" s="100">
        <f t="shared" si="820"/>
        <v>0</v>
      </c>
      <c r="LV51" s="100">
        <f t="shared" si="820"/>
        <v>0</v>
      </c>
      <c r="LW51" s="100">
        <f t="shared" si="820"/>
        <v>944</v>
      </c>
      <c r="LX51" s="100">
        <f t="shared" si="820"/>
        <v>32096</v>
      </c>
      <c r="LY51" s="728">
        <f t="shared" si="820"/>
        <v>181870</v>
      </c>
      <c r="LZ51" s="728">
        <f t="shared" si="820"/>
        <v>3698876.5</v>
      </c>
      <c r="MA51" s="100">
        <f t="shared" ref="MA51:OL51" si="821">SUM(MA52:MA88)</f>
        <v>30900</v>
      </c>
      <c r="MB51" s="100">
        <f t="shared" si="821"/>
        <v>2626500</v>
      </c>
      <c r="MC51" s="100">
        <f t="shared" si="821"/>
        <v>1598200</v>
      </c>
      <c r="MD51" s="100">
        <f t="shared" si="821"/>
        <v>90292500</v>
      </c>
      <c r="ME51" s="100">
        <f t="shared" si="821"/>
        <v>0</v>
      </c>
      <c r="MF51" s="100">
        <f t="shared" si="821"/>
        <v>0</v>
      </c>
      <c r="MG51" s="100">
        <f t="shared" si="821"/>
        <v>63200</v>
      </c>
      <c r="MH51" s="100">
        <f t="shared" si="821"/>
        <v>1173600</v>
      </c>
      <c r="MI51" s="100">
        <f t="shared" si="821"/>
        <v>0</v>
      </c>
      <c r="MJ51" s="100">
        <f t="shared" si="821"/>
        <v>0</v>
      </c>
      <c r="MK51" s="100">
        <f t="shared" si="821"/>
        <v>0</v>
      </c>
      <c r="ML51" s="100">
        <f t="shared" si="821"/>
        <v>0</v>
      </c>
      <c r="MM51" s="100">
        <f t="shared" si="821"/>
        <v>1200</v>
      </c>
      <c r="MN51" s="100">
        <f t="shared" si="821"/>
        <v>24000</v>
      </c>
      <c r="MO51" s="728">
        <f t="shared" si="821"/>
        <v>1693500</v>
      </c>
      <c r="MP51" s="728">
        <f t="shared" si="821"/>
        <v>94116600</v>
      </c>
      <c r="MQ51" s="100">
        <f t="shared" si="821"/>
        <v>0</v>
      </c>
      <c r="MR51" s="100">
        <f t="shared" si="821"/>
        <v>0</v>
      </c>
      <c r="MS51" s="100">
        <f t="shared" si="821"/>
        <v>151966</v>
      </c>
      <c r="MT51" s="100">
        <f t="shared" si="821"/>
        <v>7339358</v>
      </c>
      <c r="MU51" s="100">
        <f t="shared" si="821"/>
        <v>0</v>
      </c>
      <c r="MV51" s="100">
        <f t="shared" si="821"/>
        <v>0</v>
      </c>
      <c r="MW51" s="100">
        <f t="shared" si="821"/>
        <v>14872</v>
      </c>
      <c r="MX51" s="100">
        <f t="shared" si="821"/>
        <v>343071</v>
      </c>
      <c r="MY51" s="100">
        <f t="shared" si="821"/>
        <v>0</v>
      </c>
      <c r="MZ51" s="100">
        <f t="shared" si="821"/>
        <v>0</v>
      </c>
      <c r="NA51" s="100">
        <f t="shared" si="821"/>
        <v>0</v>
      </c>
      <c r="NB51" s="100">
        <f t="shared" si="821"/>
        <v>0</v>
      </c>
      <c r="NC51" s="100">
        <f t="shared" si="821"/>
        <v>0</v>
      </c>
      <c r="ND51" s="100">
        <f t="shared" si="821"/>
        <v>0</v>
      </c>
      <c r="NE51" s="728">
        <f t="shared" si="821"/>
        <v>166838</v>
      </c>
      <c r="NF51" s="728">
        <f t="shared" si="821"/>
        <v>7682429</v>
      </c>
      <c r="NG51" s="100">
        <f t="shared" si="821"/>
        <v>0</v>
      </c>
      <c r="NH51" s="100">
        <f t="shared" si="821"/>
        <v>0</v>
      </c>
      <c r="NI51" s="100">
        <f t="shared" si="821"/>
        <v>6330751</v>
      </c>
      <c r="NJ51" s="100">
        <f t="shared" si="821"/>
        <v>182566485</v>
      </c>
      <c r="NK51" s="100">
        <f t="shared" si="821"/>
        <v>0</v>
      </c>
      <c r="NL51" s="100">
        <f t="shared" si="821"/>
        <v>0</v>
      </c>
      <c r="NM51" s="100">
        <f t="shared" si="821"/>
        <v>2567845</v>
      </c>
      <c r="NN51" s="100">
        <f t="shared" si="821"/>
        <v>41564120</v>
      </c>
      <c r="NO51" s="100">
        <f t="shared" si="821"/>
        <v>0</v>
      </c>
      <c r="NP51" s="100">
        <f t="shared" si="821"/>
        <v>0</v>
      </c>
      <c r="NQ51" s="100">
        <f t="shared" si="821"/>
        <v>29215</v>
      </c>
      <c r="NR51" s="100">
        <f t="shared" si="821"/>
        <v>531710</v>
      </c>
      <c r="NS51" s="100">
        <f t="shared" si="821"/>
        <v>0</v>
      </c>
      <c r="NT51" s="100">
        <f t="shared" si="821"/>
        <v>0</v>
      </c>
      <c r="NU51" s="728">
        <f t="shared" si="821"/>
        <v>8927811</v>
      </c>
      <c r="NV51" s="728">
        <f t="shared" si="821"/>
        <v>224662315</v>
      </c>
      <c r="NW51" s="100">
        <f t="shared" si="821"/>
        <v>3500</v>
      </c>
      <c r="NX51" s="100">
        <f t="shared" si="821"/>
        <v>97250</v>
      </c>
      <c r="NY51" s="100">
        <f t="shared" si="821"/>
        <v>914714</v>
      </c>
      <c r="NZ51" s="100">
        <f t="shared" si="821"/>
        <v>45061457</v>
      </c>
      <c r="OA51" s="100">
        <f t="shared" si="821"/>
        <v>0</v>
      </c>
      <c r="OB51" s="100">
        <f t="shared" si="821"/>
        <v>0</v>
      </c>
      <c r="OC51" s="100">
        <f t="shared" si="821"/>
        <v>58851</v>
      </c>
      <c r="OD51" s="100">
        <f t="shared" si="821"/>
        <v>1120169</v>
      </c>
      <c r="OE51" s="100">
        <f t="shared" si="821"/>
        <v>0</v>
      </c>
      <c r="OF51" s="100">
        <f t="shared" si="821"/>
        <v>0</v>
      </c>
      <c r="OG51" s="100">
        <f t="shared" si="821"/>
        <v>0</v>
      </c>
      <c r="OH51" s="100">
        <f t="shared" si="821"/>
        <v>0</v>
      </c>
      <c r="OI51" s="100">
        <f t="shared" si="821"/>
        <v>0</v>
      </c>
      <c r="OJ51" s="100">
        <f t="shared" si="821"/>
        <v>0</v>
      </c>
      <c r="OK51" s="728">
        <f t="shared" si="821"/>
        <v>977065</v>
      </c>
      <c r="OL51" s="728">
        <f t="shared" si="821"/>
        <v>46278876</v>
      </c>
      <c r="OM51" s="100">
        <f t="shared" ref="OM51:QX51" si="822">SUM(OM52:OM88)</f>
        <v>50680043</v>
      </c>
      <c r="ON51" s="100">
        <f t="shared" si="822"/>
        <v>307534428</v>
      </c>
      <c r="OO51" s="100">
        <f t="shared" si="822"/>
        <v>560162</v>
      </c>
      <c r="OP51" s="100">
        <f t="shared" si="822"/>
        <v>32434750</v>
      </c>
      <c r="OQ51" s="100">
        <f t="shared" si="822"/>
        <v>0</v>
      </c>
      <c r="OR51" s="100">
        <f t="shared" si="822"/>
        <v>0</v>
      </c>
      <c r="OS51" s="100">
        <f t="shared" si="822"/>
        <v>33160</v>
      </c>
      <c r="OT51" s="100">
        <f t="shared" si="822"/>
        <v>750120</v>
      </c>
      <c r="OU51" s="100">
        <f t="shared" si="822"/>
        <v>0</v>
      </c>
      <c r="OV51" s="100">
        <f t="shared" si="822"/>
        <v>0</v>
      </c>
      <c r="OW51" s="100">
        <f t="shared" si="822"/>
        <v>0</v>
      </c>
      <c r="OX51" s="100">
        <f t="shared" si="822"/>
        <v>0</v>
      </c>
      <c r="OY51" s="100">
        <f t="shared" si="822"/>
        <v>0</v>
      </c>
      <c r="OZ51" s="100">
        <f t="shared" si="822"/>
        <v>0</v>
      </c>
      <c r="PA51" s="728">
        <f t="shared" si="822"/>
        <v>51273365</v>
      </c>
      <c r="PB51" s="728">
        <f t="shared" si="822"/>
        <v>340719298</v>
      </c>
      <c r="PC51" s="100">
        <f t="shared" si="822"/>
        <v>226</v>
      </c>
      <c r="PD51" s="100">
        <f t="shared" si="822"/>
        <v>13560</v>
      </c>
      <c r="PE51" s="100">
        <f t="shared" si="822"/>
        <v>52900</v>
      </c>
      <c r="PF51" s="100">
        <f t="shared" si="822"/>
        <v>2163382</v>
      </c>
      <c r="PG51" s="100">
        <f t="shared" si="822"/>
        <v>0</v>
      </c>
      <c r="PH51" s="100">
        <f t="shared" si="822"/>
        <v>0</v>
      </c>
      <c r="PI51" s="100">
        <f t="shared" si="822"/>
        <v>390490</v>
      </c>
      <c r="PJ51" s="100">
        <f t="shared" si="822"/>
        <v>6745781</v>
      </c>
      <c r="PK51" s="100">
        <f t="shared" si="822"/>
        <v>0</v>
      </c>
      <c r="PL51" s="100">
        <f t="shared" si="822"/>
        <v>0</v>
      </c>
      <c r="PM51" s="100">
        <f t="shared" si="822"/>
        <v>0</v>
      </c>
      <c r="PN51" s="100">
        <f t="shared" si="822"/>
        <v>0</v>
      </c>
      <c r="PO51" s="100">
        <f t="shared" si="822"/>
        <v>0</v>
      </c>
      <c r="PP51" s="100">
        <f t="shared" si="822"/>
        <v>0</v>
      </c>
      <c r="PQ51" s="728">
        <f t="shared" si="822"/>
        <v>443616</v>
      </c>
      <c r="PR51" s="728">
        <f t="shared" si="822"/>
        <v>8922723</v>
      </c>
      <c r="PS51" s="100">
        <f t="shared" si="822"/>
        <v>280</v>
      </c>
      <c r="PT51" s="100">
        <f t="shared" si="822"/>
        <v>28000</v>
      </c>
      <c r="PU51" s="100">
        <f t="shared" si="822"/>
        <v>1400050</v>
      </c>
      <c r="PV51" s="100">
        <f t="shared" si="822"/>
        <v>56237340</v>
      </c>
      <c r="PW51" s="100">
        <f>SUM(PW52:PW88)</f>
        <v>0</v>
      </c>
      <c r="PX51" s="100">
        <f>SUM(PX52:PX88)</f>
        <v>0</v>
      </c>
      <c r="PY51" s="100">
        <f t="shared" si="822"/>
        <v>1296230</v>
      </c>
      <c r="PZ51" s="100">
        <f t="shared" si="822"/>
        <v>23780370</v>
      </c>
      <c r="QA51" s="100">
        <f>SUM(QA52:QA88)</f>
        <v>1866860</v>
      </c>
      <c r="QB51" s="100">
        <f>SUM(QB52:QB88)</f>
        <v>49151460</v>
      </c>
      <c r="QC51" s="100">
        <f t="shared" si="822"/>
        <v>622290</v>
      </c>
      <c r="QD51" s="100">
        <f t="shared" si="822"/>
        <v>11605550</v>
      </c>
      <c r="QE51" s="100">
        <f t="shared" si="822"/>
        <v>0</v>
      </c>
      <c r="QF51" s="100">
        <f t="shared" si="822"/>
        <v>0</v>
      </c>
      <c r="QG51" s="728">
        <f t="shared" si="822"/>
        <v>5185710</v>
      </c>
      <c r="QH51" s="728">
        <f t="shared" si="822"/>
        <v>140802720</v>
      </c>
      <c r="QI51" s="100">
        <f t="shared" si="822"/>
        <v>0</v>
      </c>
      <c r="QJ51" s="100">
        <f t="shared" si="822"/>
        <v>0</v>
      </c>
      <c r="QK51" s="100">
        <f t="shared" si="822"/>
        <v>0</v>
      </c>
      <c r="QL51" s="100">
        <f t="shared" si="822"/>
        <v>0</v>
      </c>
      <c r="QM51" s="100">
        <f t="shared" si="822"/>
        <v>0</v>
      </c>
      <c r="QN51" s="100">
        <f t="shared" si="822"/>
        <v>0</v>
      </c>
      <c r="QO51" s="100">
        <f t="shared" si="822"/>
        <v>4034000</v>
      </c>
      <c r="QP51" s="100">
        <f t="shared" si="822"/>
        <v>77017000</v>
      </c>
      <c r="QQ51" s="100">
        <f t="shared" si="822"/>
        <v>0</v>
      </c>
      <c r="QR51" s="100">
        <f t="shared" si="822"/>
        <v>0</v>
      </c>
      <c r="QS51" s="100">
        <f t="shared" si="822"/>
        <v>0</v>
      </c>
      <c r="QT51" s="100">
        <f t="shared" si="822"/>
        <v>0</v>
      </c>
      <c r="QU51" s="100">
        <f t="shared" si="822"/>
        <v>0</v>
      </c>
      <c r="QV51" s="100">
        <f t="shared" si="822"/>
        <v>0</v>
      </c>
      <c r="QW51" s="728">
        <f t="shared" si="822"/>
        <v>4034000</v>
      </c>
      <c r="QX51" s="728">
        <f t="shared" si="822"/>
        <v>77017000</v>
      </c>
      <c r="QY51" s="100">
        <f t="shared" ref="QY51:TJ51" si="823">SUM(QY52:QY88)</f>
        <v>0</v>
      </c>
      <c r="QZ51" s="100">
        <f t="shared" si="823"/>
        <v>0</v>
      </c>
      <c r="RA51" s="100">
        <f t="shared" si="823"/>
        <v>0</v>
      </c>
      <c r="RB51" s="100">
        <f t="shared" si="823"/>
        <v>0</v>
      </c>
      <c r="RC51" s="100">
        <f t="shared" si="823"/>
        <v>0</v>
      </c>
      <c r="RD51" s="100">
        <f t="shared" si="823"/>
        <v>0</v>
      </c>
      <c r="RE51" s="100">
        <f t="shared" si="823"/>
        <v>5993</v>
      </c>
      <c r="RF51" s="100">
        <f t="shared" si="823"/>
        <v>145011</v>
      </c>
      <c r="RG51" s="100">
        <f t="shared" si="823"/>
        <v>0</v>
      </c>
      <c r="RH51" s="100">
        <f t="shared" si="823"/>
        <v>0</v>
      </c>
      <c r="RI51" s="100">
        <f t="shared" si="823"/>
        <v>0</v>
      </c>
      <c r="RJ51" s="100">
        <f t="shared" si="823"/>
        <v>0</v>
      </c>
      <c r="RK51" s="100">
        <f t="shared" si="823"/>
        <v>0</v>
      </c>
      <c r="RL51" s="100">
        <f t="shared" si="823"/>
        <v>0</v>
      </c>
      <c r="RM51" s="728">
        <f t="shared" si="823"/>
        <v>5993</v>
      </c>
      <c r="RN51" s="728">
        <f t="shared" si="823"/>
        <v>145011</v>
      </c>
      <c r="RO51" s="100">
        <f t="shared" si="823"/>
        <v>0</v>
      </c>
      <c r="RP51" s="100">
        <f t="shared" si="823"/>
        <v>0</v>
      </c>
      <c r="RQ51" s="100">
        <f t="shared" si="823"/>
        <v>0</v>
      </c>
      <c r="RR51" s="100">
        <f t="shared" si="823"/>
        <v>0</v>
      </c>
      <c r="RS51" s="100">
        <f t="shared" si="823"/>
        <v>0</v>
      </c>
      <c r="RT51" s="100">
        <f t="shared" si="823"/>
        <v>0</v>
      </c>
      <c r="RU51" s="100">
        <f t="shared" si="823"/>
        <v>22630</v>
      </c>
      <c r="RV51" s="100">
        <f t="shared" si="823"/>
        <v>466540</v>
      </c>
      <c r="RW51" s="100">
        <f t="shared" si="823"/>
        <v>0</v>
      </c>
      <c r="RX51" s="100">
        <f t="shared" si="823"/>
        <v>0</v>
      </c>
      <c r="RY51" s="100">
        <f t="shared" si="823"/>
        <v>0</v>
      </c>
      <c r="RZ51" s="100">
        <f t="shared" si="823"/>
        <v>0</v>
      </c>
      <c r="SA51" s="100">
        <f t="shared" si="823"/>
        <v>0</v>
      </c>
      <c r="SB51" s="100">
        <f t="shared" si="823"/>
        <v>0</v>
      </c>
      <c r="SC51" s="728">
        <f t="shared" si="823"/>
        <v>22630</v>
      </c>
      <c r="SD51" s="728">
        <f t="shared" si="823"/>
        <v>466540</v>
      </c>
      <c r="SE51" s="100">
        <f t="shared" si="823"/>
        <v>0</v>
      </c>
      <c r="SF51" s="100">
        <f t="shared" si="823"/>
        <v>0</v>
      </c>
      <c r="SG51" s="100">
        <f t="shared" si="823"/>
        <v>0</v>
      </c>
      <c r="SH51" s="100">
        <f t="shared" si="823"/>
        <v>0</v>
      </c>
      <c r="SI51" s="100">
        <f t="shared" si="823"/>
        <v>0</v>
      </c>
      <c r="SJ51" s="100">
        <f t="shared" si="823"/>
        <v>0</v>
      </c>
      <c r="SK51" s="100">
        <f t="shared" si="823"/>
        <v>16700</v>
      </c>
      <c r="SL51" s="100">
        <f t="shared" si="823"/>
        <v>324500</v>
      </c>
      <c r="SM51" s="100">
        <f t="shared" si="823"/>
        <v>0</v>
      </c>
      <c r="SN51" s="100">
        <f t="shared" si="823"/>
        <v>0</v>
      </c>
      <c r="SO51" s="100">
        <f t="shared" si="823"/>
        <v>0</v>
      </c>
      <c r="SP51" s="100">
        <f t="shared" si="823"/>
        <v>0</v>
      </c>
      <c r="SQ51" s="100">
        <f t="shared" si="823"/>
        <v>0</v>
      </c>
      <c r="SR51" s="100">
        <f t="shared" si="823"/>
        <v>0</v>
      </c>
      <c r="SS51" s="728">
        <f t="shared" si="823"/>
        <v>16700</v>
      </c>
      <c r="ST51" s="728">
        <f t="shared" si="823"/>
        <v>324500</v>
      </c>
      <c r="SU51" s="100">
        <f t="shared" si="823"/>
        <v>0</v>
      </c>
      <c r="SV51" s="100">
        <f t="shared" si="823"/>
        <v>0</v>
      </c>
      <c r="SW51" s="100">
        <f t="shared" si="823"/>
        <v>0</v>
      </c>
      <c r="SX51" s="100">
        <f t="shared" si="823"/>
        <v>0</v>
      </c>
      <c r="SY51" s="100">
        <f t="shared" si="823"/>
        <v>0</v>
      </c>
      <c r="SZ51" s="100">
        <f t="shared" si="823"/>
        <v>0</v>
      </c>
      <c r="TA51" s="100">
        <f t="shared" si="823"/>
        <v>31595</v>
      </c>
      <c r="TB51" s="100">
        <f t="shared" si="823"/>
        <v>699163</v>
      </c>
      <c r="TC51" s="100">
        <f t="shared" si="823"/>
        <v>0</v>
      </c>
      <c r="TD51" s="100">
        <f t="shared" si="823"/>
        <v>0</v>
      </c>
      <c r="TE51" s="100">
        <f t="shared" si="823"/>
        <v>0</v>
      </c>
      <c r="TF51" s="100">
        <f t="shared" si="823"/>
        <v>0</v>
      </c>
      <c r="TG51" s="100">
        <f t="shared" si="823"/>
        <v>0</v>
      </c>
      <c r="TH51" s="100">
        <f t="shared" si="823"/>
        <v>0</v>
      </c>
      <c r="TI51" s="728">
        <f t="shared" si="823"/>
        <v>31595</v>
      </c>
      <c r="TJ51" s="728">
        <f t="shared" si="823"/>
        <v>699163</v>
      </c>
      <c r="TK51" s="100">
        <f t="shared" ref="TK51:VV51" si="824">SUM(TK52:TK88)</f>
        <v>0</v>
      </c>
      <c r="TL51" s="100">
        <f t="shared" si="824"/>
        <v>0</v>
      </c>
      <c r="TM51" s="100">
        <f t="shared" si="824"/>
        <v>0</v>
      </c>
      <c r="TN51" s="100">
        <f t="shared" si="824"/>
        <v>0</v>
      </c>
      <c r="TO51" s="100">
        <f t="shared" si="824"/>
        <v>0</v>
      </c>
      <c r="TP51" s="100">
        <f t="shared" si="824"/>
        <v>0</v>
      </c>
      <c r="TQ51" s="100">
        <f t="shared" si="824"/>
        <v>13300</v>
      </c>
      <c r="TR51" s="100">
        <f t="shared" si="824"/>
        <v>276700</v>
      </c>
      <c r="TS51" s="100">
        <f t="shared" si="824"/>
        <v>0</v>
      </c>
      <c r="TT51" s="100">
        <f t="shared" si="824"/>
        <v>0</v>
      </c>
      <c r="TU51" s="100">
        <f t="shared" si="824"/>
        <v>750</v>
      </c>
      <c r="TV51" s="100">
        <f t="shared" si="824"/>
        <v>24250</v>
      </c>
      <c r="TW51" s="100">
        <f t="shared" si="824"/>
        <v>0</v>
      </c>
      <c r="TX51" s="100">
        <f t="shared" si="824"/>
        <v>0</v>
      </c>
      <c r="TY51" s="728">
        <f t="shared" si="824"/>
        <v>14050</v>
      </c>
      <c r="TZ51" s="728">
        <f t="shared" si="824"/>
        <v>300950</v>
      </c>
      <c r="UA51" s="100">
        <f t="shared" si="824"/>
        <v>0</v>
      </c>
      <c r="UB51" s="100">
        <f t="shared" si="824"/>
        <v>0</v>
      </c>
      <c r="UC51" s="100">
        <f t="shared" si="824"/>
        <v>0</v>
      </c>
      <c r="UD51" s="100">
        <f t="shared" si="824"/>
        <v>0</v>
      </c>
      <c r="UE51" s="100">
        <f t="shared" si="824"/>
        <v>0</v>
      </c>
      <c r="UF51" s="100">
        <f t="shared" si="824"/>
        <v>0</v>
      </c>
      <c r="UG51" s="100">
        <f t="shared" si="824"/>
        <v>19119</v>
      </c>
      <c r="UH51" s="100">
        <f t="shared" si="824"/>
        <v>350264</v>
      </c>
      <c r="UI51" s="100">
        <f t="shared" si="824"/>
        <v>0</v>
      </c>
      <c r="UJ51" s="100">
        <f t="shared" si="824"/>
        <v>0</v>
      </c>
      <c r="UK51" s="100">
        <f t="shared" si="824"/>
        <v>0</v>
      </c>
      <c r="UL51" s="100">
        <f t="shared" si="824"/>
        <v>0</v>
      </c>
      <c r="UM51" s="100">
        <f t="shared" si="824"/>
        <v>0</v>
      </c>
      <c r="UN51" s="100">
        <f t="shared" si="824"/>
        <v>0</v>
      </c>
      <c r="UO51" s="728">
        <f t="shared" si="824"/>
        <v>19119</v>
      </c>
      <c r="UP51" s="728">
        <f t="shared" si="824"/>
        <v>350264</v>
      </c>
      <c r="UQ51" s="100">
        <f t="shared" si="824"/>
        <v>0</v>
      </c>
      <c r="UR51" s="100">
        <f t="shared" si="824"/>
        <v>0</v>
      </c>
      <c r="US51" s="100">
        <f t="shared" si="824"/>
        <v>227349</v>
      </c>
      <c r="UT51" s="100">
        <f t="shared" si="824"/>
        <v>1699584</v>
      </c>
      <c r="UU51" s="100">
        <f t="shared" si="824"/>
        <v>0</v>
      </c>
      <c r="UV51" s="100">
        <f t="shared" si="824"/>
        <v>0</v>
      </c>
      <c r="UW51" s="100">
        <f t="shared" si="824"/>
        <v>2221</v>
      </c>
      <c r="UX51" s="100">
        <f t="shared" si="824"/>
        <v>42199</v>
      </c>
      <c r="UY51" s="100">
        <f t="shared" si="824"/>
        <v>0</v>
      </c>
      <c r="UZ51" s="100">
        <f t="shared" si="824"/>
        <v>0</v>
      </c>
      <c r="VA51" s="100">
        <f t="shared" si="824"/>
        <v>0</v>
      </c>
      <c r="VB51" s="100">
        <f t="shared" si="824"/>
        <v>0</v>
      </c>
      <c r="VC51" s="100">
        <f t="shared" si="824"/>
        <v>0</v>
      </c>
      <c r="VD51" s="100">
        <f t="shared" si="824"/>
        <v>0</v>
      </c>
      <c r="VE51" s="728">
        <f t="shared" si="824"/>
        <v>229570</v>
      </c>
      <c r="VF51" s="728">
        <f t="shared" si="824"/>
        <v>1741783</v>
      </c>
      <c r="VG51" s="100">
        <f t="shared" si="824"/>
        <v>0</v>
      </c>
      <c r="VH51" s="100">
        <f t="shared" si="824"/>
        <v>0</v>
      </c>
      <c r="VI51" s="100">
        <f t="shared" si="824"/>
        <v>14818</v>
      </c>
      <c r="VJ51" s="100">
        <f t="shared" si="824"/>
        <v>584257</v>
      </c>
      <c r="VK51" s="100">
        <f t="shared" si="824"/>
        <v>0</v>
      </c>
      <c r="VL51" s="100">
        <f t="shared" si="824"/>
        <v>0</v>
      </c>
      <c r="VM51" s="100">
        <f t="shared" si="824"/>
        <v>16148</v>
      </c>
      <c r="VN51" s="100">
        <f t="shared" si="824"/>
        <v>322484</v>
      </c>
      <c r="VO51" s="100">
        <f t="shared" si="824"/>
        <v>0</v>
      </c>
      <c r="VP51" s="100">
        <f t="shared" si="824"/>
        <v>0</v>
      </c>
      <c r="VQ51" s="100">
        <f t="shared" si="824"/>
        <v>0</v>
      </c>
      <c r="VR51" s="100">
        <f t="shared" si="824"/>
        <v>0</v>
      </c>
      <c r="VS51" s="100">
        <f t="shared" si="824"/>
        <v>0</v>
      </c>
      <c r="VT51" s="100">
        <f t="shared" si="824"/>
        <v>0</v>
      </c>
      <c r="VU51" s="728">
        <f t="shared" si="824"/>
        <v>30966</v>
      </c>
      <c r="VV51" s="728">
        <f t="shared" si="824"/>
        <v>906741</v>
      </c>
      <c r="VW51" s="100">
        <f t="shared" ref="VW51:WL51" si="825">SUM(VW52:VW88)</f>
        <v>0</v>
      </c>
      <c r="VX51" s="100">
        <f t="shared" si="825"/>
        <v>0</v>
      </c>
      <c r="VY51" s="100">
        <f t="shared" si="825"/>
        <v>535099</v>
      </c>
      <c r="VZ51" s="100">
        <f t="shared" si="825"/>
        <v>20384214</v>
      </c>
      <c r="WA51" s="100">
        <f t="shared" si="825"/>
        <v>0</v>
      </c>
      <c r="WB51" s="100">
        <f t="shared" si="825"/>
        <v>0</v>
      </c>
      <c r="WC51" s="100">
        <f t="shared" si="825"/>
        <v>419530</v>
      </c>
      <c r="WD51" s="100">
        <f t="shared" si="825"/>
        <v>11165932</v>
      </c>
      <c r="WE51" s="100">
        <f t="shared" si="825"/>
        <v>0</v>
      </c>
      <c r="WF51" s="100">
        <f t="shared" si="825"/>
        <v>0</v>
      </c>
      <c r="WG51" s="100">
        <f t="shared" si="825"/>
        <v>0</v>
      </c>
      <c r="WH51" s="100">
        <f t="shared" si="825"/>
        <v>0</v>
      </c>
      <c r="WI51" s="100">
        <f t="shared" si="825"/>
        <v>8488</v>
      </c>
      <c r="WJ51" s="100">
        <f t="shared" si="825"/>
        <v>186736</v>
      </c>
      <c r="WK51" s="728">
        <f t="shared" si="825"/>
        <v>963117</v>
      </c>
      <c r="WL51" s="728">
        <f t="shared" si="825"/>
        <v>31736882</v>
      </c>
      <c r="WM51" s="101"/>
      <c r="WN51" s="96">
        <f t="shared" ref="WN51:XI51" si="826">SUM(WN52:WN88)</f>
        <v>51144200</v>
      </c>
      <c r="WO51" s="96">
        <f t="shared" si="826"/>
        <v>312576521</v>
      </c>
      <c r="WP51" s="96">
        <f t="shared" si="826"/>
        <v>23749563.080495816</v>
      </c>
      <c r="WQ51" s="96">
        <f t="shared" si="826"/>
        <v>857113910.54299998</v>
      </c>
      <c r="WR51" s="96">
        <f t="shared" si="826"/>
        <v>0</v>
      </c>
      <c r="WS51" s="96">
        <f t="shared" si="826"/>
        <v>0</v>
      </c>
      <c r="WT51" s="96">
        <f t="shared" si="826"/>
        <v>31419310.579999998</v>
      </c>
      <c r="WU51" s="96">
        <f t="shared" si="826"/>
        <v>629110881.5</v>
      </c>
      <c r="WV51" s="96">
        <f t="shared" si="826"/>
        <v>1893327</v>
      </c>
      <c r="WW51" s="96">
        <f t="shared" si="826"/>
        <v>49697372</v>
      </c>
      <c r="WX51" s="96">
        <f t="shared" si="826"/>
        <v>663737</v>
      </c>
      <c r="WY51" s="96">
        <f t="shared" si="826"/>
        <v>12434614</v>
      </c>
      <c r="WZ51" s="96">
        <f t="shared" si="826"/>
        <v>666252.53</v>
      </c>
      <c r="XA51" s="96">
        <f t="shared" si="826"/>
        <v>15808906</v>
      </c>
      <c r="XB51" s="96">
        <f t="shared" si="826"/>
        <v>109536390.1904958</v>
      </c>
      <c r="XC51" s="96">
        <f t="shared" si="826"/>
        <v>1876742205.043</v>
      </c>
      <c r="XD51" s="633" t="s">
        <v>171</v>
      </c>
      <c r="XE51" s="96">
        <f t="shared" si="826"/>
        <v>350946945.5762316</v>
      </c>
      <c r="XF51" s="96">
        <f t="shared" si="826"/>
        <v>5440004666.3943262</v>
      </c>
      <c r="XG51" s="633" t="s">
        <v>616</v>
      </c>
      <c r="XH51" s="96">
        <f t="shared" si="826"/>
        <v>761273590.95362329</v>
      </c>
      <c r="XI51" s="96">
        <f t="shared" si="826"/>
        <v>10494960859.987799</v>
      </c>
      <c r="XJ51" s="633"/>
      <c r="XK51" s="96"/>
      <c r="XL51" s="96"/>
      <c r="XM51" s="96"/>
      <c r="XN51" s="96"/>
      <c r="XO51" s="96"/>
      <c r="XP51" s="96"/>
      <c r="XQ51" s="96"/>
      <c r="XR51" s="96">
        <f t="shared" ref="XR51" ca="1" si="827">SUM(XR52:XR88)</f>
        <v>0</v>
      </c>
      <c r="XS51" s="633"/>
      <c r="XT51" s="96"/>
      <c r="XU51" s="96"/>
      <c r="XV51" s="96"/>
      <c r="XW51" s="96"/>
      <c r="XX51" s="96"/>
      <c r="XY51" s="96"/>
      <c r="XZ51" s="96"/>
      <c r="YA51" s="96">
        <f t="shared" ref="YA51" ca="1" si="828">SUM(YA52:YA88)</f>
        <v>0</v>
      </c>
      <c r="YB51" s="100"/>
      <c r="YC51" s="100"/>
      <c r="YD51" s="100"/>
      <c r="YE51" s="100"/>
      <c r="YF51" s="100"/>
      <c r="YG51" s="100"/>
      <c r="YH51" s="100"/>
      <c r="YI51" s="100"/>
      <c r="YJ51" s="100"/>
      <c r="YK51" s="100"/>
      <c r="YL51" s="100"/>
      <c r="YM51" s="100"/>
      <c r="YN51" s="100"/>
      <c r="YO51" s="100"/>
      <c r="YP51" s="100"/>
      <c r="YQ51" s="100"/>
      <c r="YR51" s="100"/>
      <c r="YS51" s="100"/>
      <c r="YT51" s="100"/>
      <c r="YU51" s="100"/>
      <c r="YV51" s="100"/>
      <c r="YW51" s="100"/>
      <c r="YX51" s="100"/>
      <c r="YY51" s="100"/>
      <c r="YZ51" s="100"/>
      <c r="ZA51" s="100"/>
      <c r="ZB51" s="100"/>
      <c r="ZC51" s="100"/>
      <c r="ZD51" s="100"/>
      <c r="ZE51" s="100"/>
      <c r="ZF51" s="100"/>
      <c r="ZG51" s="100"/>
      <c r="ZH51" s="100"/>
      <c r="ZI51" s="100"/>
      <c r="ZJ51" s="100"/>
      <c r="ZK51" s="100"/>
      <c r="ZL51" s="100"/>
      <c r="ZM51" s="100"/>
      <c r="ZN51" s="100"/>
      <c r="ZO51" s="100"/>
      <c r="ZP51" s="100"/>
      <c r="ZQ51" s="100"/>
      <c r="ZR51" s="100"/>
      <c r="ZS51" s="100"/>
      <c r="ZT51" s="100"/>
      <c r="ZU51" s="100"/>
      <c r="ZV51" s="100"/>
      <c r="ZW51" s="100"/>
      <c r="ZX51" s="100"/>
      <c r="ZY51" s="100"/>
      <c r="ZZ51" s="100"/>
      <c r="AAA51" s="100"/>
      <c r="AAB51" s="100"/>
      <c r="AAC51" s="100"/>
      <c r="AAD51" s="100"/>
      <c r="AAE51" s="100"/>
      <c r="AAF51" s="100"/>
      <c r="AAG51" s="100"/>
      <c r="AAH51" s="100"/>
      <c r="AAI51" s="100"/>
      <c r="AAJ51" s="100"/>
      <c r="AAK51" s="100"/>
      <c r="AAL51" s="100"/>
      <c r="AAM51" s="100"/>
      <c r="AAN51" s="100"/>
      <c r="AAO51" s="100"/>
      <c r="AAP51" s="100"/>
      <c r="AAQ51" s="100"/>
      <c r="AAR51" s="100"/>
      <c r="AAS51" s="100"/>
      <c r="AAT51" s="100"/>
      <c r="AAU51" s="100"/>
      <c r="AAV51" s="100"/>
      <c r="AAW51" s="100"/>
      <c r="AAX51" s="100"/>
      <c r="AAY51" s="100"/>
      <c r="AAZ51" s="100"/>
      <c r="ABA51" s="100"/>
      <c r="ABB51" s="100"/>
      <c r="ABC51" s="100"/>
      <c r="ABD51" s="100"/>
      <c r="ABE51" s="100"/>
      <c r="ABF51" s="100"/>
      <c r="ABG51" s="100"/>
      <c r="ABH51" s="100"/>
      <c r="ABI51" s="100"/>
      <c r="ABJ51" s="100"/>
      <c r="ABK51" s="100"/>
      <c r="ABL51" s="100"/>
      <c r="ABM51" s="100"/>
      <c r="ABN51" s="100"/>
      <c r="ABO51" s="100"/>
      <c r="ABP51" s="100"/>
      <c r="ABQ51" s="100"/>
      <c r="ABR51" s="100"/>
      <c r="ABS51" s="100"/>
      <c r="ABT51" s="100"/>
      <c r="ABU51" s="100"/>
      <c r="ABV51" s="100"/>
      <c r="ABW51" s="100"/>
      <c r="ABX51" s="100"/>
      <c r="ABY51" s="100"/>
      <c r="ABZ51" s="100"/>
      <c r="ACA51" s="100"/>
      <c r="ACB51" s="100"/>
      <c r="ACC51" s="100"/>
      <c r="ACD51" s="100"/>
      <c r="ACE51" s="100"/>
      <c r="ACF51" s="100"/>
      <c r="ACG51" s="100"/>
      <c r="ACH51" s="100"/>
      <c r="ACI51" s="100"/>
      <c r="ACJ51" s="100"/>
      <c r="ACK51" s="100"/>
      <c r="ACL51" s="100"/>
      <c r="ACM51" s="100"/>
      <c r="ACN51" s="100"/>
      <c r="ACO51" s="100"/>
      <c r="ACP51" s="100"/>
      <c r="ACQ51" s="100"/>
      <c r="ACR51" s="100"/>
      <c r="ACS51" s="100"/>
      <c r="ACT51" s="100"/>
      <c r="ACU51" s="100"/>
      <c r="ACV51" s="100"/>
      <c r="ACW51" s="100"/>
      <c r="ACX51" s="100"/>
      <c r="ACY51" s="100"/>
      <c r="ACZ51" s="100"/>
      <c r="ADA51" s="100"/>
      <c r="ADB51" s="100"/>
      <c r="ADC51" s="100"/>
      <c r="ADD51" s="100"/>
      <c r="ADE51" s="100"/>
      <c r="ADF51" s="100"/>
      <c r="ADG51" s="100"/>
      <c r="ADH51" s="100"/>
      <c r="ADI51" s="100"/>
      <c r="ADJ51" s="100"/>
      <c r="ADK51" s="100"/>
      <c r="ADL51" s="100"/>
      <c r="ADM51" s="100"/>
      <c r="ADN51" s="100"/>
      <c r="ADO51" s="100"/>
      <c r="ADP51" s="100"/>
      <c r="ADQ51" s="100"/>
      <c r="ADR51" s="100"/>
      <c r="ADS51" s="100"/>
      <c r="ADT51" s="100"/>
      <c r="ADU51" s="100"/>
      <c r="ADV51" s="100"/>
      <c r="ADW51" s="100"/>
      <c r="ADX51" s="100"/>
      <c r="ADY51" s="100"/>
      <c r="ADZ51" s="100"/>
      <c r="AEA51" s="100"/>
      <c r="AEB51" s="100"/>
      <c r="AEC51" s="100"/>
      <c r="AED51" s="100"/>
      <c r="AEE51" s="100"/>
      <c r="AEF51" s="100"/>
      <c r="AEG51" s="100"/>
      <c r="AEH51" s="100"/>
      <c r="AEI51" s="100"/>
      <c r="AEJ51" s="100"/>
      <c r="AEK51" s="100"/>
      <c r="AEL51" s="100"/>
      <c r="AEM51" s="100"/>
      <c r="AEN51" s="100"/>
      <c r="AEO51" s="100"/>
      <c r="AEP51" s="100"/>
      <c r="AEQ51" s="100"/>
      <c r="AER51" s="100"/>
      <c r="AES51" s="100"/>
      <c r="AET51" s="100"/>
      <c r="AEU51" s="100"/>
      <c r="AEV51" s="100"/>
      <c r="AEW51" s="100"/>
      <c r="AEX51" s="100"/>
      <c r="AEY51" s="100"/>
      <c r="AEZ51" s="100"/>
      <c r="AFA51" s="100"/>
      <c r="AFB51" s="100"/>
      <c r="AFC51" s="100"/>
      <c r="AFD51" s="100"/>
      <c r="AFE51" s="100"/>
      <c r="AFF51" s="100"/>
      <c r="AFG51" s="100"/>
      <c r="AFH51" s="100"/>
      <c r="AFI51" s="100"/>
      <c r="AFJ51" s="100"/>
      <c r="AFK51" s="100"/>
      <c r="AFL51" s="100"/>
      <c r="AFM51" s="100"/>
      <c r="AFN51" s="100"/>
      <c r="AFO51" s="100"/>
      <c r="AFP51" s="100"/>
      <c r="AFQ51" s="100"/>
      <c r="AFR51" s="100"/>
      <c r="AFS51" s="100"/>
      <c r="AFT51" s="100"/>
      <c r="AFU51" s="100"/>
      <c r="AFV51" s="100"/>
      <c r="AFW51" s="100"/>
      <c r="AFX51" s="100"/>
      <c r="AFY51" s="100"/>
      <c r="AFZ51" s="100"/>
      <c r="AGA51" s="100"/>
      <c r="AGB51" s="100"/>
      <c r="AGC51" s="100"/>
      <c r="AGD51" s="100"/>
      <c r="AGE51" s="100"/>
      <c r="AGF51" s="100"/>
      <c r="AGG51" s="100"/>
      <c r="AGH51" s="100"/>
      <c r="AGI51" s="100"/>
      <c r="AGJ51" s="100"/>
      <c r="AGK51" s="100"/>
      <c r="AGL51" s="100"/>
      <c r="AGM51" s="100"/>
      <c r="AGN51" s="100"/>
      <c r="AGO51" s="100"/>
      <c r="AGP51" s="100"/>
      <c r="AGQ51" s="100"/>
      <c r="AGR51" s="100"/>
      <c r="AGS51" s="100"/>
      <c r="AGT51" s="100"/>
      <c r="AGU51" s="100"/>
      <c r="AGV51" s="100"/>
      <c r="AGW51" s="100"/>
      <c r="AGX51" s="100"/>
      <c r="AGY51" s="100"/>
      <c r="AGZ51" s="100"/>
      <c r="AHA51" s="100"/>
      <c r="AHB51" s="100"/>
      <c r="AHC51" s="100"/>
      <c r="AHD51" s="100"/>
      <c r="AHE51" s="100"/>
      <c r="AHF51" s="100"/>
      <c r="AHG51" s="100"/>
      <c r="AHH51" s="100"/>
      <c r="AHI51" s="100"/>
      <c r="AHJ51" s="100"/>
      <c r="AHK51" s="100"/>
      <c r="AHL51" s="100"/>
      <c r="AHM51" s="100"/>
      <c r="AHN51" s="100"/>
      <c r="AHO51" s="100"/>
      <c r="AHP51" s="100"/>
      <c r="AHQ51" s="100"/>
      <c r="AHR51" s="100"/>
      <c r="AHS51" s="100"/>
      <c r="AHT51" s="100"/>
      <c r="AHU51" s="100"/>
      <c r="AHV51" s="100"/>
      <c r="AHW51" s="100"/>
      <c r="AHX51" s="100"/>
      <c r="AHY51" s="100"/>
      <c r="AHZ51" s="100"/>
      <c r="AIA51" s="100"/>
      <c r="AIB51" s="100"/>
      <c r="AIC51" s="100"/>
      <c r="AID51" s="100"/>
      <c r="AIE51" s="100"/>
      <c r="AIF51" s="100"/>
      <c r="AIG51" s="100"/>
      <c r="AIH51" s="100"/>
      <c r="AII51" s="100"/>
      <c r="AIJ51" s="100"/>
      <c r="AIK51" s="100"/>
      <c r="AIL51" s="100"/>
      <c r="AIM51" s="100"/>
      <c r="AIN51" s="100"/>
      <c r="AIO51" s="100"/>
      <c r="AIP51" s="100"/>
      <c r="AIQ51" s="100"/>
      <c r="AIR51" s="100"/>
      <c r="AIS51" s="100"/>
      <c r="AIT51" s="100"/>
      <c r="AIU51" s="100"/>
      <c r="AIV51" s="100"/>
      <c r="AIW51" s="100"/>
      <c r="AIX51" s="100"/>
      <c r="AIY51" s="100"/>
      <c r="AIZ51" s="100"/>
      <c r="AJA51" s="100"/>
      <c r="AJB51" s="100"/>
      <c r="AJC51" s="100"/>
      <c r="AJD51" s="100"/>
      <c r="AJE51" s="100"/>
      <c r="AJF51" s="100"/>
      <c r="AJG51" s="100"/>
      <c r="AJH51" s="100"/>
      <c r="AJI51" s="100"/>
      <c r="AJJ51" s="100"/>
      <c r="AJK51" s="100"/>
      <c r="AJL51" s="100"/>
      <c r="AJM51" s="100"/>
      <c r="AJN51" s="100"/>
      <c r="AJO51" s="100"/>
      <c r="AJP51" s="100"/>
      <c r="AJQ51" s="100"/>
      <c r="AJR51" s="100"/>
      <c r="AJS51" s="100"/>
      <c r="AJT51" s="100"/>
      <c r="AJU51" s="100"/>
      <c r="AJV51" s="100"/>
      <c r="AJW51" s="100"/>
      <c r="AJX51" s="100"/>
      <c r="AJY51" s="100"/>
      <c r="AJZ51" s="100"/>
      <c r="AKA51" s="100"/>
      <c r="AKB51" s="100"/>
      <c r="AKC51" s="100"/>
      <c r="AKD51" s="100"/>
      <c r="AKE51" s="100"/>
      <c r="AKF51" s="100"/>
      <c r="AKG51" s="100"/>
      <c r="AKH51" s="100"/>
      <c r="AKI51" s="100"/>
      <c r="AKJ51" s="100"/>
      <c r="AKK51" s="100"/>
      <c r="AKL51" s="100"/>
      <c r="AKM51" s="100"/>
      <c r="AKN51" s="100"/>
      <c r="AKO51" s="100"/>
      <c r="AKP51" s="100"/>
      <c r="AKQ51" s="100"/>
      <c r="AKR51" s="100"/>
      <c r="AKS51" s="100"/>
      <c r="AKT51" s="100"/>
      <c r="AKU51" s="100"/>
      <c r="AKV51" s="100"/>
      <c r="AKW51" s="100"/>
      <c r="AKX51" s="100"/>
      <c r="AKY51" s="100"/>
      <c r="AKZ51" s="100"/>
      <c r="ALA51" s="100"/>
      <c r="ALB51" s="100"/>
      <c r="ALC51" s="100"/>
      <c r="ALD51" s="100"/>
      <c r="ALE51" s="100"/>
      <c r="ALF51" s="100"/>
      <c r="ALG51" s="100"/>
      <c r="ALH51" s="100"/>
      <c r="ALI51" s="100"/>
      <c r="ALJ51" s="100"/>
      <c r="ALK51" s="100"/>
      <c r="ALL51" s="100"/>
      <c r="ALM51" s="100"/>
      <c r="ALN51" s="100"/>
      <c r="ALO51" s="100"/>
      <c r="ALP51" s="100"/>
      <c r="ALQ51" s="100"/>
      <c r="ALR51" s="100"/>
      <c r="ALS51" s="100"/>
      <c r="ALT51" s="100"/>
      <c r="ALU51" s="100"/>
      <c r="ALV51" s="100"/>
      <c r="ALW51" s="100"/>
      <c r="ALX51" s="100"/>
      <c r="ALY51" s="100"/>
      <c r="ALZ51" s="100"/>
      <c r="AMA51" s="100"/>
      <c r="AMB51" s="100"/>
      <c r="AMC51" s="100"/>
    </row>
    <row r="52" spans="1:1017">
      <c r="A52" s="98" t="s">
        <v>26</v>
      </c>
      <c r="B52" s="648" t="str">
        <f t="shared" ref="B52:B78" si="829">B14</f>
        <v xml:space="preserve">Bandeng </v>
      </c>
      <c r="E52" s="98">
        <v>582300</v>
      </c>
      <c r="F52" s="98">
        <v>16304400</v>
      </c>
      <c r="I52" s="98">
        <v>35450</v>
      </c>
      <c r="J52" s="98">
        <v>886250</v>
      </c>
      <c r="Q52" s="91">
        <f t="shared" ref="Q52:Q88" si="830">SUMIF($C$12:$P$12,$A$1,C52:P52)</f>
        <v>617750</v>
      </c>
      <c r="R52" s="91">
        <f t="shared" ref="R52:R88" si="831">SUMIF($C$12:$P$12,$A$3,C52:P52)</f>
        <v>17190650</v>
      </c>
      <c r="U52" s="98">
        <v>3660</v>
      </c>
      <c r="V52" s="98">
        <v>73200</v>
      </c>
      <c r="AG52" s="91">
        <f t="shared" ref="AG52:AG88" si="832">SUMIF($C$12:$P$12,$A$1,S52:AF52)</f>
        <v>3660</v>
      </c>
      <c r="AH52" s="91">
        <f t="shared" ref="AH52:AH88" si="833">SUMIF($C$12:$P$12,$A$3,S52:AF52)</f>
        <v>73200</v>
      </c>
      <c r="AW52" s="91">
        <f t="shared" ref="AW52:AW88" si="834">SUMIF($C$12:$P$12,$A$1,AI52:AV52)</f>
        <v>0</v>
      </c>
      <c r="AX52" s="91">
        <f t="shared" ref="AX52:AX88" si="835">SUMIF($C$12:$P$12,$A$3,AI52:AV52)</f>
        <v>0</v>
      </c>
      <c r="BG52" s="98">
        <v>3986</v>
      </c>
      <c r="BH52" s="98">
        <v>67762</v>
      </c>
      <c r="BM52" s="91">
        <f t="shared" ref="BM52:BM88" si="836">SUMIF($C$12:$P$12,$A$1,AY52:BL52)</f>
        <v>3986</v>
      </c>
      <c r="BN52" s="91">
        <f t="shared" ref="BN52:BN88" si="837">SUMIF($C$12:$P$12,$A$3,AY52:BL52)</f>
        <v>67762</v>
      </c>
      <c r="CC52" s="91">
        <f t="shared" ref="CC52:CC88" si="838">SUMIF($C$12:$P$12,$A$1,BO52:CB52)</f>
        <v>0</v>
      </c>
      <c r="CD52" s="91">
        <f t="shared" ref="CD52:CD88" si="839">SUMIF($C$12:$P$12,$A$3,BO52:CB52)</f>
        <v>0</v>
      </c>
      <c r="CG52" s="98">
        <v>4877777</v>
      </c>
      <c r="CH52" s="98">
        <v>97555544</v>
      </c>
      <c r="CK52" s="98">
        <v>4097426</v>
      </c>
      <c r="CL52" s="98">
        <v>77851091</v>
      </c>
      <c r="CS52" s="91">
        <f t="shared" ref="CS52:CS88" si="840">SUMIF($C$12:$P$12,$A$1,CE52:CR52)</f>
        <v>8975203</v>
      </c>
      <c r="CT52" s="91">
        <f t="shared" ref="CT52:CT88" si="841">SUMIF($C$12:$P$12,$A$3,CE52:CR52)</f>
        <v>175406635</v>
      </c>
      <c r="CW52" s="98">
        <v>2977.0004734037998</v>
      </c>
      <c r="CX52" s="98">
        <v>74425.013000000006</v>
      </c>
      <c r="DI52" s="91">
        <f t="shared" ref="DI52:DI88" si="842">SUMIF($C$12:$P$12,$A$1,CU52:DH52)</f>
        <v>2977.0004734037998</v>
      </c>
      <c r="DJ52" s="91">
        <f t="shared" ref="DJ52:DJ88" si="843">SUMIF($C$12:$P$12,$A$3,CU52:DH52)</f>
        <v>74425.013000000006</v>
      </c>
      <c r="DY52" s="91">
        <f t="shared" ref="DY52:DY88" si="844">SUMIF($C$12:$P$12,$A$1,DK52:DX52)</f>
        <v>0</v>
      </c>
      <c r="DZ52" s="91">
        <f t="shared" ref="DZ52:DZ88" si="845">SUMIF($C$12:$P$12,$A$3,DK52:DX52)</f>
        <v>0</v>
      </c>
      <c r="EO52" s="91">
        <f t="shared" ref="EO52:EO88" si="846">SUMIF($C$12:$P$12,$A$1,EA52:EN52)</f>
        <v>0</v>
      </c>
      <c r="EP52" s="91">
        <f t="shared" ref="EP52:EP88" si="847">SUMIF($C$12:$P$12,$A$3,EA52:EN52)</f>
        <v>0</v>
      </c>
      <c r="ES52" s="98">
        <v>53380</v>
      </c>
      <c r="ET52" s="98">
        <v>1334500</v>
      </c>
      <c r="EW52" s="98">
        <v>708139</v>
      </c>
      <c r="EX52" s="98">
        <v>17703475</v>
      </c>
      <c r="FE52" s="91">
        <f t="shared" ref="FE52:FE88" si="848">SUMIF($C$12:$P$12,$A$1,EQ52:FD52)</f>
        <v>761519</v>
      </c>
      <c r="FF52" s="91">
        <f t="shared" ref="FF52:FF88" si="849">SUMIF($C$12:$P$12,$A$3,EQ52:FD52)</f>
        <v>19037975</v>
      </c>
      <c r="FU52" s="91">
        <f t="shared" ref="FU52:FU88" si="850">SUMIF($C$12:$P$12,$A$1,FG52:FT52)</f>
        <v>0</v>
      </c>
      <c r="FV52" s="91">
        <f t="shared" ref="FV52:FV88" si="851">SUMIF($C$12:$P$12,$A$3,FG52:FT52)</f>
        <v>0</v>
      </c>
      <c r="GK52" s="91">
        <f t="shared" ref="GK52:GK88" si="852">SUMIF($C$12:$P$12,$A$1,FW52:GJ52)</f>
        <v>0</v>
      </c>
      <c r="GL52" s="91">
        <f t="shared" ref="GL52:GL88" si="853">SUMIF($C$12:$P$12,$A$3,FW52:GJ52)</f>
        <v>0</v>
      </c>
      <c r="HA52" s="91">
        <f t="shared" ref="HA52:HA88" si="854">SUMIF($C$12:$P$12,$A$1,GM52:GZ52)</f>
        <v>0</v>
      </c>
      <c r="HB52" s="91">
        <f t="shared" ref="HB52:HB88" si="855">SUMIF($C$12:$P$12,$A$3,GM52:GZ52)</f>
        <v>0</v>
      </c>
      <c r="HQ52" s="91">
        <f t="shared" ref="HQ52:HQ88" si="856">SUMIF($C$12:$P$12,$A$1,HC52:HP52)</f>
        <v>0</v>
      </c>
      <c r="HR52" s="91">
        <f t="shared" ref="HR52:HR88" si="857">SUMIF($C$12:$P$12,$A$3,HC52:HP52)</f>
        <v>0</v>
      </c>
      <c r="IG52" s="91">
        <f t="shared" ref="IG52:IG88" si="858">SUMIF($C$12:$P$12,$A$1,HS52:IF52)</f>
        <v>0</v>
      </c>
      <c r="IH52" s="91">
        <f t="shared" ref="IH52:IH88" si="859">SUMIF($C$12:$P$12,$A$3,HS52:IF52)</f>
        <v>0</v>
      </c>
      <c r="IW52" s="91">
        <f t="shared" ref="IW52:IW88" si="860">SUMIF($C$12:$P$12,$A$1,II52:IV52)</f>
        <v>0</v>
      </c>
      <c r="IX52" s="91">
        <f t="shared" ref="IX52:IX88" si="861">SUMIF($C$12:$P$12,$A$3,II52:IV52)</f>
        <v>0</v>
      </c>
      <c r="JM52" s="91">
        <f t="shared" ref="JM52:JM88" si="862">SUMIF($C$12:$P$12,$A$1,IY52:JL52)</f>
        <v>0</v>
      </c>
      <c r="JN52" s="91">
        <f t="shared" ref="JN52:JN88" si="863">SUMIF($C$12:$P$12,$A$3,IY52:JL52)</f>
        <v>0</v>
      </c>
      <c r="KC52" s="91">
        <f t="shared" ref="KC52:KC88" si="864">SUMIF($C$12:$P$12,$A$1,JO52:KB52)</f>
        <v>0</v>
      </c>
      <c r="KD52" s="91">
        <f t="shared" ref="KD52:KD88" si="865">SUMIF($C$12:$P$12,$A$3,JO52:KB52)</f>
        <v>0</v>
      </c>
      <c r="KG52" s="98">
        <v>384</v>
      </c>
      <c r="KH52" s="98">
        <v>11520</v>
      </c>
      <c r="KS52" s="91">
        <f t="shared" ref="KS52:KS88" si="866">SUMIF($C$12:$P$12,$A$1,KE52:KR52)</f>
        <v>384</v>
      </c>
      <c r="KT52" s="91">
        <f t="shared" ref="KT52:KT88" si="867">SUMIF($C$12:$P$12,$A$3,KE52:KR52)</f>
        <v>11520</v>
      </c>
      <c r="KW52" s="98">
        <v>392300.01</v>
      </c>
      <c r="KX52" s="98">
        <v>7061400</v>
      </c>
      <c r="LI52" s="91">
        <f t="shared" ref="LI52:LI88" si="868">SUMIF($C$12:$P$12,$A$1,KU52:LH52)</f>
        <v>392300.01</v>
      </c>
      <c r="LJ52" s="91">
        <f t="shared" ref="LJ52:LJ88" si="869">SUMIF($C$12:$P$12,$A$3,KU52:LH52)</f>
        <v>7061400</v>
      </c>
      <c r="LY52" s="91">
        <f t="shared" ref="LY52:LY88" si="870">SUMIF($C$12:$P$12,$A$1,LK52:LX52)</f>
        <v>0</v>
      </c>
      <c r="LZ52" s="91">
        <f t="shared" ref="LZ52:LZ88" si="871">SUMIF($C$12:$P$12,$A$3,LK52:LX52)</f>
        <v>0</v>
      </c>
      <c r="MC52" s="98">
        <v>108100</v>
      </c>
      <c r="MD52" s="98">
        <v>1621500</v>
      </c>
      <c r="MO52" s="91">
        <f t="shared" ref="MO52:MO88" si="872">SUMIF($C$12:$P$12,$A$1,MA52:MN52)</f>
        <v>108100</v>
      </c>
      <c r="MP52" s="91">
        <f t="shared" ref="MP52:MP88" si="873">SUMIF($C$12:$P$12,$A$3,MA52:MN52)</f>
        <v>1621500</v>
      </c>
      <c r="MS52" s="98">
        <v>67731</v>
      </c>
      <c r="MT52" s="98">
        <v>1896468</v>
      </c>
      <c r="NE52" s="91">
        <f t="shared" ref="NE52:NE88" si="874">SUMIF($C$12:$P$12,$A$1,MQ52:ND52)</f>
        <v>67731</v>
      </c>
      <c r="NF52" s="91">
        <f t="shared" ref="NF52:NF88" si="875">SUMIF($C$12:$P$12,$A$3,MQ52:ND52)</f>
        <v>1896468</v>
      </c>
      <c r="NI52" s="98">
        <v>3790900</v>
      </c>
      <c r="NJ52" s="98">
        <v>83399800</v>
      </c>
      <c r="NU52" s="91">
        <f t="shared" ref="NU52:NU88" si="876">SUMIF($C$12:$P$12,$A$1,NG52:NT52)</f>
        <v>3790900</v>
      </c>
      <c r="NV52" s="91">
        <f t="shared" ref="NV52:NV88" si="877">SUMIF($C$12:$P$12,$A$3,NG52:NT52)</f>
        <v>83399800</v>
      </c>
      <c r="NY52" s="98">
        <v>170</v>
      </c>
      <c r="NZ52" s="98">
        <v>3060</v>
      </c>
      <c r="OK52" s="91">
        <f t="shared" ref="OK52:OK88" si="878">SUMIF($C$12:$P$12,$A$1,NW52:OJ52)</f>
        <v>170</v>
      </c>
      <c r="OL52" s="91">
        <f t="shared" ref="OL52:OL88" si="879">SUMIF($C$12:$P$12,$A$3,NW52:OJ52)</f>
        <v>3060</v>
      </c>
      <c r="OO52" s="98">
        <v>72600</v>
      </c>
      <c r="OP52" s="98">
        <v>1815000</v>
      </c>
      <c r="PA52" s="91">
        <f t="shared" ref="PA52:PA88" si="880">SUMIF($C$12:$P$12,$A$1,OM52:OZ52)</f>
        <v>72600</v>
      </c>
      <c r="PB52" s="91">
        <f t="shared" ref="PB52:PB88" si="881">SUMIF($C$12:$P$12,$A$3,OM52:OZ52)</f>
        <v>1815000</v>
      </c>
      <c r="PQ52" s="91">
        <f t="shared" ref="PQ52:PQ88" si="882">SUMIF($C$12:$P$12,$A$1,PC52:PP52)</f>
        <v>0</v>
      </c>
      <c r="PR52" s="91">
        <f t="shared" ref="PR52:PR88" si="883">SUMIF($C$12:$P$12,$A$3,PC52:PP52)</f>
        <v>0</v>
      </c>
      <c r="PU52" s="98">
        <v>450560</v>
      </c>
      <c r="PV52" s="98">
        <v>9011200</v>
      </c>
      <c r="QA52" s="98">
        <v>614600</v>
      </c>
      <c r="QB52" s="98">
        <v>12292000</v>
      </c>
      <c r="QG52" s="91">
        <f t="shared" ref="QG52:QG88" si="884">SUMIF($C$12:$P$12,$A$1,PS52:QF52)</f>
        <v>1065160</v>
      </c>
      <c r="QH52" s="91">
        <f t="shared" ref="QH52:QH88" si="885">SUMIF($C$12:$P$12,$A$3,PS52:QF52)</f>
        <v>21303200</v>
      </c>
      <c r="QW52" s="91">
        <f t="shared" ref="QW52:QW88" si="886">SUMIF($C$12:$P$12,$A$1,QI52:QV52)</f>
        <v>0</v>
      </c>
      <c r="QX52" s="91">
        <f t="shared" ref="QX52:QX88" si="887">SUMIF($C$12:$P$12,$A$3,QI52:QV52)</f>
        <v>0</v>
      </c>
      <c r="RM52" s="91">
        <f t="shared" ref="RM52:RM88" si="888">SUMIF($C$12:$P$12,$A$1,QY52:RL52)</f>
        <v>0</v>
      </c>
      <c r="RN52" s="91">
        <f t="shared" ref="RN52:RN88" si="889">SUMIF($C$12:$P$12,$A$3,QY52:RL52)</f>
        <v>0</v>
      </c>
      <c r="SC52" s="91">
        <f t="shared" ref="SC52:SC88" si="890">SUMIF($C$12:$P$12,$A$1,RO52:SB52)</f>
        <v>0</v>
      </c>
      <c r="SD52" s="91">
        <f t="shared" ref="SD52:SD88" si="891">SUMIF($C$12:$P$12,$A$3,RO52:SB52)</f>
        <v>0</v>
      </c>
      <c r="SS52" s="91">
        <f t="shared" ref="SS52:SS88" si="892">SUMIF($C$12:$P$12,$A$1,SE52:SR52)</f>
        <v>0</v>
      </c>
      <c r="ST52" s="91">
        <f t="shared" ref="ST52:ST88" si="893">SUMIF($C$12:$P$12,$A$3,SE52:SR52)</f>
        <v>0</v>
      </c>
      <c r="TI52" s="91">
        <f t="shared" ref="TI52:TI88" si="894">SUMIF($C$12:$P$12,$A$1,SU52:TH52)</f>
        <v>0</v>
      </c>
      <c r="TJ52" s="91">
        <f t="shared" ref="TJ52:TJ88" si="895">SUMIF($C$12:$P$12,$A$3,SU52:TH52)</f>
        <v>0</v>
      </c>
      <c r="TY52" s="91">
        <f t="shared" ref="TY52:TY88" si="896">SUMIF($C$12:$P$12,$A$1,TK52:TX52)</f>
        <v>0</v>
      </c>
      <c r="TZ52" s="91">
        <f t="shared" ref="TZ52:TZ88" si="897">SUMIF($C$12:$P$12,$A$3,TK52:TX52)</f>
        <v>0</v>
      </c>
      <c r="UO52" s="91">
        <f t="shared" ref="UO52:UO88" si="898">SUMIF($C$12:$P$12,$A$1,UA52:UN52)</f>
        <v>0</v>
      </c>
      <c r="UP52" s="91">
        <f t="shared" ref="UP52:UP86" si="899">SUMIF($C$12:$P$12,$A$3,UA52:UN52)</f>
        <v>0</v>
      </c>
      <c r="US52" s="98">
        <v>99849</v>
      </c>
      <c r="UT52" s="98">
        <v>1597584</v>
      </c>
      <c r="VE52" s="91">
        <f t="shared" ref="VE52:VE88" si="900">SUMIF($C$12:$P$12,$A$1,UQ52:VD52)</f>
        <v>99849</v>
      </c>
      <c r="VF52" s="91">
        <f t="shared" ref="VF52:VF88" si="901">SUMIF($C$12:$P$12,$A$3,UQ52:VD52)</f>
        <v>1597584</v>
      </c>
      <c r="VI52" s="98">
        <v>5554</v>
      </c>
      <c r="VJ52" s="98">
        <v>88864</v>
      </c>
      <c r="VU52" s="91">
        <f t="shared" ref="VU52:VU88" si="902">SUMIF($C$12:$P$12,$A$1,VG52:VT52)</f>
        <v>5554</v>
      </c>
      <c r="VV52" s="91">
        <f t="shared" ref="VV52:VV88" si="903">SUMIF($C$12:$P$12,$A$3,VG52:VT52)</f>
        <v>88864</v>
      </c>
      <c r="VY52" s="98">
        <v>266342</v>
      </c>
      <c r="VZ52" s="98">
        <v>8789286</v>
      </c>
      <c r="WC52" s="98">
        <v>130663</v>
      </c>
      <c r="WD52" s="98">
        <v>3919890</v>
      </c>
      <c r="WK52" s="91">
        <f t="shared" ref="WK52:WK88" si="904">SUMIF($C$12:$P$12,$A$1,VW52:WJ52)</f>
        <v>397005</v>
      </c>
      <c r="WL52" s="91">
        <f t="shared" ref="WL52:WL88" si="905">SUMIF($C$12:$P$12,$A$3,VW52:WJ52)</f>
        <v>12709176</v>
      </c>
      <c r="WM52" s="89"/>
      <c r="WN52" s="87">
        <f t="shared" ref="WN52:WN79" si="906">SUMIF($C$5:$WL$5,$WN$5,C52:WL52)</f>
        <v>0</v>
      </c>
      <c r="WO52" s="87">
        <f t="shared" ref="WO52:WO79" si="907">SUMIF($C$5:$WL$5,$WO$5,C52:WL52)</f>
        <v>0</v>
      </c>
      <c r="WP52" s="87">
        <f t="shared" ref="WP52:WP79" si="908">SUMIF($C$5:$WL$5,$WP$5,C52:WL52)</f>
        <v>10774584.010473404</v>
      </c>
      <c r="WQ52" s="87">
        <f t="shared" ref="WQ52:WQ79" si="909">SUMIF($C$5:$WL$5,$WQ$5,C52:WL52)</f>
        <v>230637751.01300001</v>
      </c>
      <c r="WR52" s="87">
        <f t="shared" ref="WR52:WR79" si="910">SUMIF($C$5:$WL$5,$WR$5,C52:WL52)</f>
        <v>0</v>
      </c>
      <c r="WS52" s="87">
        <f t="shared" ref="WS52:WS79" si="911">SUMIF($C$5:$WL$5,$WS$5,C52:WL52)</f>
        <v>0</v>
      </c>
      <c r="WT52" s="87">
        <f t="shared" ref="WT52:WT79" si="912">SUMIF($C$5:$WL$5,$WT$5,C52:WL52)</f>
        <v>4971678</v>
      </c>
      <c r="WU52" s="87">
        <f t="shared" ref="WU52:WU79" si="913">SUMIF($C$5:$WL$5,$WU$5,C52:WL52)</f>
        <v>100360706</v>
      </c>
      <c r="WV52" s="87">
        <f t="shared" ref="WV52:WV79" si="914">SUMIF($C$5:$WL$5,$WV$5,C52:WL52)</f>
        <v>618586</v>
      </c>
      <c r="WW52" s="87">
        <f t="shared" ref="WW52:WW79" si="915">SUMIF($C$5:$WL$5,$WW$5,C52:WL52)</f>
        <v>12359762</v>
      </c>
      <c r="WX52" s="87">
        <f t="shared" ref="WX52:WX79" si="916">SUMIF($C$5:$WL$5,$WX$5,C52:WL52)</f>
        <v>0</v>
      </c>
      <c r="WY52" s="87">
        <f t="shared" ref="WY52:WY79" si="917">SUMIF($C$5:$WL$5,$WY$5,C52:WL52)</f>
        <v>0</v>
      </c>
      <c r="WZ52" s="87">
        <f t="shared" ref="WZ52:WZ74" si="918">SUMIF($C$5:$WL$5,$WZ$5,C52:WL52)</f>
        <v>0</v>
      </c>
      <c r="XA52" s="87">
        <f t="shared" ref="XA52:XA74" si="919">SUMIF($C$5:$WL$5,$XA$5,C52:WL52)</f>
        <v>0</v>
      </c>
      <c r="XB52" s="92">
        <f t="shared" ref="XB52:XB79" si="920">SUMIF($WN$12:$XA$12,$XB$12,WN52:XA52)</f>
        <v>16364848.010473404</v>
      </c>
      <c r="XC52" s="92">
        <f t="shared" ref="XC52:XC79" si="921">SUMIF($WN$12:$XA$12,$XC$12,WN52:XA52)</f>
        <v>343358219.01300001</v>
      </c>
      <c r="XD52" s="633" t="s">
        <v>171</v>
      </c>
      <c r="XE52" s="92">
        <f>SUM(XB128,XB166,XB204)</f>
        <v>46310846.625112638</v>
      </c>
      <c r="XF52" s="92">
        <f>SUM(XC128,XC166,XC204)</f>
        <v>984070135.52220225</v>
      </c>
      <c r="XG52" s="633" t="s">
        <v>616</v>
      </c>
      <c r="XH52" s="92">
        <f>SUM(XE90,XE128)</f>
        <v>74141747.508652672</v>
      </c>
      <c r="XI52" s="92">
        <f>SUM(XF90,XF128)</f>
        <v>1643898533.1990912</v>
      </c>
      <c r="XJ52" s="633"/>
      <c r="XK52" s="87"/>
      <c r="XL52" s="87"/>
      <c r="XM52" s="87"/>
      <c r="XN52" s="87"/>
      <c r="XO52" s="87"/>
      <c r="XP52" s="87"/>
      <c r="XQ52" s="87"/>
      <c r="XR52" s="92">
        <f t="shared" ref="XR52:XR88" ca="1" si="922">SUMIF($WN$12:$XA$12,$XB$12,XK52:XQ52)</f>
        <v>0</v>
      </c>
      <c r="XS52" s="633"/>
      <c r="XT52" s="87"/>
      <c r="XU52" s="87"/>
      <c r="XV52" s="87"/>
      <c r="XW52" s="87"/>
      <c r="XX52" s="87"/>
      <c r="XY52" s="87"/>
      <c r="XZ52" s="87"/>
      <c r="YA52" s="92">
        <f t="shared" ref="YA52:YA88" ca="1" si="923">SUMIF($WN$12:$XA$12,$XB$12,XT52:XZ52)</f>
        <v>0</v>
      </c>
    </row>
    <row r="53" spans="1:1017">
      <c r="A53" s="98" t="s">
        <v>26</v>
      </c>
      <c r="B53" s="648" t="str">
        <f t="shared" si="829"/>
        <v xml:space="preserve">Bawal </v>
      </c>
      <c r="Q53" s="91">
        <f t="shared" si="830"/>
        <v>0</v>
      </c>
      <c r="R53" s="91">
        <f t="shared" si="831"/>
        <v>0</v>
      </c>
      <c r="Y53" s="778">
        <v>1285</v>
      </c>
      <c r="Z53" s="778">
        <v>25700</v>
      </c>
      <c r="AG53" s="91">
        <f t="shared" si="832"/>
        <v>1285</v>
      </c>
      <c r="AH53" s="91">
        <f t="shared" si="833"/>
        <v>25700</v>
      </c>
      <c r="AW53" s="91">
        <f t="shared" si="834"/>
        <v>0</v>
      </c>
      <c r="AX53" s="91">
        <f t="shared" si="835"/>
        <v>0</v>
      </c>
      <c r="BM53" s="91">
        <f t="shared" si="836"/>
        <v>0</v>
      </c>
      <c r="BN53" s="91">
        <f t="shared" si="837"/>
        <v>0</v>
      </c>
      <c r="CC53" s="91">
        <f t="shared" si="838"/>
        <v>0</v>
      </c>
      <c r="CD53" s="91">
        <f t="shared" si="839"/>
        <v>0</v>
      </c>
      <c r="CS53" s="91">
        <f t="shared" si="840"/>
        <v>0</v>
      </c>
      <c r="CT53" s="91">
        <f t="shared" si="841"/>
        <v>0</v>
      </c>
      <c r="DI53" s="91">
        <f t="shared" si="842"/>
        <v>0</v>
      </c>
      <c r="DJ53" s="91">
        <f t="shared" si="843"/>
        <v>0</v>
      </c>
      <c r="DQ53" s="98">
        <v>383200</v>
      </c>
      <c r="DR53" s="98">
        <v>5939600</v>
      </c>
      <c r="DY53" s="91">
        <f t="shared" si="844"/>
        <v>383200</v>
      </c>
      <c r="DZ53" s="91">
        <f t="shared" si="845"/>
        <v>5939600</v>
      </c>
      <c r="EG53" s="98">
        <v>75700</v>
      </c>
      <c r="EH53" s="98">
        <v>832700</v>
      </c>
      <c r="EO53" s="91">
        <f t="shared" si="846"/>
        <v>75700</v>
      </c>
      <c r="EP53" s="91">
        <f t="shared" si="847"/>
        <v>832700</v>
      </c>
      <c r="FE53" s="91">
        <f t="shared" si="848"/>
        <v>0</v>
      </c>
      <c r="FF53" s="91">
        <f t="shared" si="849"/>
        <v>0</v>
      </c>
      <c r="FU53" s="91">
        <f t="shared" si="850"/>
        <v>0</v>
      </c>
      <c r="FV53" s="91">
        <f t="shared" si="851"/>
        <v>0</v>
      </c>
      <c r="GK53" s="91">
        <f t="shared" si="852"/>
        <v>0</v>
      </c>
      <c r="GL53" s="91">
        <f t="shared" si="853"/>
        <v>0</v>
      </c>
      <c r="HA53" s="91">
        <f t="shared" si="854"/>
        <v>0</v>
      </c>
      <c r="HB53" s="91">
        <f t="shared" si="855"/>
        <v>0</v>
      </c>
      <c r="HQ53" s="91">
        <f t="shared" si="856"/>
        <v>0</v>
      </c>
      <c r="HR53" s="91">
        <f t="shared" si="857"/>
        <v>0</v>
      </c>
      <c r="IG53" s="91">
        <f t="shared" si="858"/>
        <v>0</v>
      </c>
      <c r="IH53" s="91">
        <f t="shared" si="859"/>
        <v>0</v>
      </c>
      <c r="IO53" s="98">
        <v>2300</v>
      </c>
      <c r="IP53" s="98">
        <v>57500</v>
      </c>
      <c r="IW53" s="91">
        <f t="shared" si="860"/>
        <v>2300</v>
      </c>
      <c r="IX53" s="91">
        <f t="shared" si="861"/>
        <v>57500</v>
      </c>
      <c r="JM53" s="91">
        <f t="shared" si="862"/>
        <v>0</v>
      </c>
      <c r="JN53" s="91">
        <f t="shared" si="863"/>
        <v>0</v>
      </c>
      <c r="KC53" s="91">
        <f t="shared" si="864"/>
        <v>0</v>
      </c>
      <c r="KD53" s="91">
        <f t="shared" si="865"/>
        <v>0</v>
      </c>
      <c r="KS53" s="91">
        <f t="shared" si="866"/>
        <v>0</v>
      </c>
      <c r="KT53" s="91">
        <f t="shared" si="867"/>
        <v>0</v>
      </c>
      <c r="LI53" s="91">
        <f t="shared" si="868"/>
        <v>0</v>
      </c>
      <c r="LJ53" s="91">
        <f t="shared" si="869"/>
        <v>0</v>
      </c>
      <c r="LY53" s="91">
        <f t="shared" si="870"/>
        <v>0</v>
      </c>
      <c r="LZ53" s="91">
        <f t="shared" si="871"/>
        <v>0</v>
      </c>
      <c r="MO53" s="91">
        <f t="shared" si="872"/>
        <v>0</v>
      </c>
      <c r="MP53" s="91">
        <f t="shared" si="873"/>
        <v>0</v>
      </c>
      <c r="NE53" s="91">
        <f t="shared" si="874"/>
        <v>0</v>
      </c>
      <c r="NF53" s="91">
        <f t="shared" si="875"/>
        <v>0</v>
      </c>
      <c r="NQ53" s="98">
        <v>85</v>
      </c>
      <c r="NR53" s="98">
        <v>1530</v>
      </c>
      <c r="NU53" s="91">
        <f t="shared" si="876"/>
        <v>85</v>
      </c>
      <c r="NV53" s="91">
        <f t="shared" si="877"/>
        <v>1530</v>
      </c>
      <c r="OK53" s="91">
        <f t="shared" si="878"/>
        <v>0</v>
      </c>
      <c r="OL53" s="91">
        <f t="shared" si="879"/>
        <v>0</v>
      </c>
      <c r="PA53" s="91">
        <f t="shared" si="880"/>
        <v>0</v>
      </c>
      <c r="PB53" s="91">
        <f t="shared" si="881"/>
        <v>0</v>
      </c>
      <c r="PQ53" s="91">
        <f t="shared" si="882"/>
        <v>0</v>
      </c>
      <c r="PR53" s="91">
        <f t="shared" si="883"/>
        <v>0</v>
      </c>
      <c r="PY53" s="98">
        <v>16810</v>
      </c>
      <c r="PZ53" s="98">
        <v>420250</v>
      </c>
      <c r="QC53" s="98">
        <v>16440</v>
      </c>
      <c r="QD53" s="98">
        <v>411000</v>
      </c>
      <c r="QG53" s="91">
        <f t="shared" si="884"/>
        <v>33250</v>
      </c>
      <c r="QH53" s="91">
        <f t="shared" si="885"/>
        <v>831250</v>
      </c>
      <c r="QW53" s="91">
        <f t="shared" si="886"/>
        <v>0</v>
      </c>
      <c r="QX53" s="91">
        <f t="shared" si="887"/>
        <v>0</v>
      </c>
      <c r="RM53" s="91">
        <f t="shared" si="888"/>
        <v>0</v>
      </c>
      <c r="RN53" s="91">
        <f t="shared" si="889"/>
        <v>0</v>
      </c>
      <c r="SC53" s="91">
        <f t="shared" si="890"/>
        <v>0</v>
      </c>
      <c r="SD53" s="91">
        <f t="shared" si="891"/>
        <v>0</v>
      </c>
      <c r="SS53" s="91">
        <f t="shared" si="892"/>
        <v>0</v>
      </c>
      <c r="ST53" s="91">
        <f t="shared" si="893"/>
        <v>0</v>
      </c>
      <c r="TI53" s="91">
        <f t="shared" si="894"/>
        <v>0</v>
      </c>
      <c r="TJ53" s="91">
        <f t="shared" si="895"/>
        <v>0</v>
      </c>
      <c r="TY53" s="91">
        <f t="shared" si="896"/>
        <v>0</v>
      </c>
      <c r="TZ53" s="91">
        <f t="shared" si="897"/>
        <v>0</v>
      </c>
      <c r="UO53" s="91">
        <f t="shared" si="898"/>
        <v>0</v>
      </c>
      <c r="UP53" s="91">
        <f t="shared" si="899"/>
        <v>0</v>
      </c>
      <c r="VE53" s="91">
        <f t="shared" si="900"/>
        <v>0</v>
      </c>
      <c r="VF53" s="91">
        <f t="shared" si="901"/>
        <v>0</v>
      </c>
      <c r="VU53" s="91">
        <f t="shared" si="902"/>
        <v>0</v>
      </c>
      <c r="VV53" s="91">
        <f t="shared" si="903"/>
        <v>0</v>
      </c>
      <c r="WK53" s="91">
        <f t="shared" si="904"/>
        <v>0</v>
      </c>
      <c r="WL53" s="91">
        <f t="shared" si="905"/>
        <v>0</v>
      </c>
      <c r="WM53" s="89"/>
      <c r="WN53" s="87">
        <f t="shared" si="906"/>
        <v>0</v>
      </c>
      <c r="WO53" s="87">
        <f t="shared" si="907"/>
        <v>0</v>
      </c>
      <c r="WP53" s="87">
        <f t="shared" si="908"/>
        <v>0</v>
      </c>
      <c r="WQ53" s="87">
        <f t="shared" si="909"/>
        <v>0</v>
      </c>
      <c r="WR53" s="87">
        <f t="shared" si="910"/>
        <v>0</v>
      </c>
      <c r="WS53" s="87">
        <f t="shared" si="911"/>
        <v>0</v>
      </c>
      <c r="WT53" s="87">
        <f t="shared" si="912"/>
        <v>479295</v>
      </c>
      <c r="WU53" s="87">
        <f t="shared" si="913"/>
        <v>7275750</v>
      </c>
      <c r="WV53" s="87">
        <f t="shared" si="914"/>
        <v>0</v>
      </c>
      <c r="WW53" s="87">
        <f t="shared" si="915"/>
        <v>0</v>
      </c>
      <c r="WX53" s="87">
        <f t="shared" si="916"/>
        <v>16525</v>
      </c>
      <c r="WY53" s="87">
        <f t="shared" si="917"/>
        <v>412530</v>
      </c>
      <c r="WZ53" s="87">
        <f t="shared" si="918"/>
        <v>0</v>
      </c>
      <c r="XA53" s="87">
        <f t="shared" si="919"/>
        <v>0</v>
      </c>
      <c r="XB53" s="92">
        <f t="shared" si="920"/>
        <v>495820</v>
      </c>
      <c r="XC53" s="92">
        <f t="shared" si="921"/>
        <v>7688280</v>
      </c>
      <c r="XD53" s="89"/>
      <c r="XE53" s="92">
        <f t="shared" ref="XE53:XF53" si="924">SUM(XB129,XB167,XB205)</f>
        <v>1565352</v>
      </c>
      <c r="XF53" s="92">
        <f t="shared" si="924"/>
        <v>23712666</v>
      </c>
      <c r="XG53" s="89"/>
      <c r="XH53" s="92">
        <f t="shared" ref="XH53:XI53" si="925">SUM(XE91,XE129)</f>
        <v>2831303</v>
      </c>
      <c r="XI53" s="92">
        <f t="shared" si="925"/>
        <v>45488708</v>
      </c>
      <c r="XJ53" s="89"/>
      <c r="XK53" s="87"/>
      <c r="XL53" s="87"/>
      <c r="XM53" s="87"/>
      <c r="XN53" s="87"/>
      <c r="XO53" s="87"/>
      <c r="XP53" s="87"/>
      <c r="XQ53" s="87"/>
      <c r="XR53" s="92">
        <f t="shared" ca="1" si="922"/>
        <v>0</v>
      </c>
      <c r="XS53" s="89"/>
      <c r="XT53" s="87"/>
      <c r="XU53" s="87"/>
      <c r="XV53" s="87"/>
      <c r="XW53" s="87"/>
      <c r="XX53" s="87"/>
      <c r="XY53" s="87"/>
      <c r="XZ53" s="87"/>
      <c r="YA53" s="92">
        <f t="shared" ca="1" si="923"/>
        <v>0</v>
      </c>
    </row>
    <row r="54" spans="1:1017">
      <c r="A54" s="98" t="s">
        <v>26</v>
      </c>
      <c r="B54" s="648" t="str">
        <f t="shared" si="829"/>
        <v xml:space="preserve">Belanak </v>
      </c>
      <c r="E54" s="98">
        <v>166400</v>
      </c>
      <c r="F54" s="98">
        <v>4160000</v>
      </c>
      <c r="Q54" s="91">
        <f t="shared" si="830"/>
        <v>166400</v>
      </c>
      <c r="R54" s="91">
        <f t="shared" si="831"/>
        <v>4160000</v>
      </c>
      <c r="AG54" s="91">
        <f t="shared" si="832"/>
        <v>0</v>
      </c>
      <c r="AH54" s="91">
        <f t="shared" si="833"/>
        <v>0</v>
      </c>
      <c r="AW54" s="91">
        <f t="shared" si="834"/>
        <v>0</v>
      </c>
      <c r="AX54" s="91">
        <f t="shared" si="835"/>
        <v>0</v>
      </c>
      <c r="BM54" s="91">
        <f t="shared" si="836"/>
        <v>0</v>
      </c>
      <c r="BN54" s="91">
        <f t="shared" si="837"/>
        <v>0</v>
      </c>
      <c r="CC54" s="91">
        <f t="shared" si="838"/>
        <v>0</v>
      </c>
      <c r="CD54" s="91">
        <f t="shared" si="839"/>
        <v>0</v>
      </c>
      <c r="CS54" s="91">
        <f t="shared" si="840"/>
        <v>0</v>
      </c>
      <c r="CT54" s="91">
        <f t="shared" si="841"/>
        <v>0</v>
      </c>
      <c r="DI54" s="91">
        <f t="shared" si="842"/>
        <v>0</v>
      </c>
      <c r="DJ54" s="91">
        <f t="shared" si="843"/>
        <v>0</v>
      </c>
      <c r="DY54" s="91">
        <f t="shared" si="844"/>
        <v>0</v>
      </c>
      <c r="DZ54" s="91">
        <f t="shared" si="845"/>
        <v>0</v>
      </c>
      <c r="EO54" s="91">
        <f t="shared" si="846"/>
        <v>0</v>
      </c>
      <c r="EP54" s="91">
        <f t="shared" si="847"/>
        <v>0</v>
      </c>
      <c r="FE54" s="91">
        <f t="shared" si="848"/>
        <v>0</v>
      </c>
      <c r="FF54" s="91">
        <f t="shared" si="849"/>
        <v>0</v>
      </c>
      <c r="FU54" s="91">
        <f t="shared" si="850"/>
        <v>0</v>
      </c>
      <c r="FV54" s="91">
        <f t="shared" si="851"/>
        <v>0</v>
      </c>
      <c r="GK54" s="91">
        <f t="shared" si="852"/>
        <v>0</v>
      </c>
      <c r="GL54" s="91">
        <f t="shared" si="853"/>
        <v>0</v>
      </c>
      <c r="HA54" s="91">
        <f t="shared" si="854"/>
        <v>0</v>
      </c>
      <c r="HB54" s="91">
        <f t="shared" si="855"/>
        <v>0</v>
      </c>
      <c r="HQ54" s="91">
        <f t="shared" si="856"/>
        <v>0</v>
      </c>
      <c r="HR54" s="91">
        <f t="shared" si="857"/>
        <v>0</v>
      </c>
      <c r="IG54" s="91">
        <f t="shared" si="858"/>
        <v>0</v>
      </c>
      <c r="IH54" s="91">
        <f t="shared" si="859"/>
        <v>0</v>
      </c>
      <c r="IW54" s="91">
        <f t="shared" si="860"/>
        <v>0</v>
      </c>
      <c r="IX54" s="91">
        <f t="shared" si="861"/>
        <v>0</v>
      </c>
      <c r="JM54" s="91">
        <f t="shared" si="862"/>
        <v>0</v>
      </c>
      <c r="JN54" s="91">
        <f t="shared" si="863"/>
        <v>0</v>
      </c>
      <c r="KC54" s="91">
        <f t="shared" si="864"/>
        <v>0</v>
      </c>
      <c r="KD54" s="91">
        <f t="shared" si="865"/>
        <v>0</v>
      </c>
      <c r="KS54" s="91">
        <f t="shared" si="866"/>
        <v>0</v>
      </c>
      <c r="KT54" s="91">
        <f t="shared" si="867"/>
        <v>0</v>
      </c>
      <c r="LI54" s="91">
        <f t="shared" si="868"/>
        <v>0</v>
      </c>
      <c r="LJ54" s="91">
        <f t="shared" si="869"/>
        <v>0</v>
      </c>
      <c r="LY54" s="91">
        <f t="shared" si="870"/>
        <v>0</v>
      </c>
      <c r="LZ54" s="91">
        <f t="shared" si="871"/>
        <v>0</v>
      </c>
      <c r="MO54" s="91">
        <f t="shared" si="872"/>
        <v>0</v>
      </c>
      <c r="MP54" s="91">
        <f t="shared" si="873"/>
        <v>0</v>
      </c>
      <c r="MS54" s="98">
        <v>370</v>
      </c>
      <c r="MT54" s="98">
        <v>8140</v>
      </c>
      <c r="NE54" s="91">
        <f t="shared" si="874"/>
        <v>370</v>
      </c>
      <c r="NF54" s="91">
        <f t="shared" si="875"/>
        <v>8140</v>
      </c>
      <c r="NU54" s="91">
        <f t="shared" si="876"/>
        <v>0</v>
      </c>
      <c r="NV54" s="91">
        <f t="shared" si="877"/>
        <v>0</v>
      </c>
      <c r="OK54" s="91">
        <f t="shared" si="878"/>
        <v>0</v>
      </c>
      <c r="OL54" s="91">
        <f t="shared" si="879"/>
        <v>0</v>
      </c>
      <c r="PA54" s="91">
        <f t="shared" si="880"/>
        <v>0</v>
      </c>
      <c r="PB54" s="91">
        <f t="shared" si="881"/>
        <v>0</v>
      </c>
      <c r="PQ54" s="91">
        <f t="shared" si="882"/>
        <v>0</v>
      </c>
      <c r="PR54" s="91">
        <f t="shared" si="883"/>
        <v>0</v>
      </c>
      <c r="QG54" s="91">
        <f t="shared" si="884"/>
        <v>0</v>
      </c>
      <c r="QH54" s="91">
        <f t="shared" si="885"/>
        <v>0</v>
      </c>
      <c r="QW54" s="91">
        <f t="shared" si="886"/>
        <v>0</v>
      </c>
      <c r="QX54" s="91">
        <f t="shared" si="887"/>
        <v>0</v>
      </c>
      <c r="RM54" s="91">
        <f t="shared" si="888"/>
        <v>0</v>
      </c>
      <c r="RN54" s="91">
        <f t="shared" si="889"/>
        <v>0</v>
      </c>
      <c r="SC54" s="91">
        <f t="shared" si="890"/>
        <v>0</v>
      </c>
      <c r="SD54" s="91">
        <f t="shared" si="891"/>
        <v>0</v>
      </c>
      <c r="SS54" s="91">
        <f t="shared" si="892"/>
        <v>0</v>
      </c>
      <c r="ST54" s="91">
        <f t="shared" si="893"/>
        <v>0</v>
      </c>
      <c r="TI54" s="91">
        <f t="shared" si="894"/>
        <v>0</v>
      </c>
      <c r="TJ54" s="91">
        <f t="shared" si="895"/>
        <v>0</v>
      </c>
      <c r="TY54" s="91">
        <f t="shared" si="896"/>
        <v>0</v>
      </c>
      <c r="TZ54" s="91">
        <f t="shared" si="897"/>
        <v>0</v>
      </c>
      <c r="UO54" s="91">
        <f t="shared" si="898"/>
        <v>0</v>
      </c>
      <c r="UP54" s="91">
        <f t="shared" si="899"/>
        <v>0</v>
      </c>
      <c r="VE54" s="91">
        <f t="shared" si="900"/>
        <v>0</v>
      </c>
      <c r="VF54" s="91">
        <f t="shared" si="901"/>
        <v>0</v>
      </c>
      <c r="VU54" s="91">
        <f t="shared" si="902"/>
        <v>0</v>
      </c>
      <c r="VV54" s="91">
        <f t="shared" si="903"/>
        <v>0</v>
      </c>
      <c r="WK54" s="91">
        <f t="shared" si="904"/>
        <v>0</v>
      </c>
      <c r="WL54" s="91">
        <f t="shared" si="905"/>
        <v>0</v>
      </c>
      <c r="WM54" s="89"/>
      <c r="WN54" s="87">
        <f t="shared" si="906"/>
        <v>0</v>
      </c>
      <c r="WO54" s="87">
        <f t="shared" si="907"/>
        <v>0</v>
      </c>
      <c r="WP54" s="87">
        <f t="shared" si="908"/>
        <v>166770</v>
      </c>
      <c r="WQ54" s="87">
        <f t="shared" si="909"/>
        <v>4168140</v>
      </c>
      <c r="WR54" s="87">
        <f t="shared" si="910"/>
        <v>0</v>
      </c>
      <c r="WS54" s="87">
        <f t="shared" si="911"/>
        <v>0</v>
      </c>
      <c r="WT54" s="87">
        <f t="shared" si="912"/>
        <v>0</v>
      </c>
      <c r="WU54" s="87">
        <f t="shared" si="913"/>
        <v>0</v>
      </c>
      <c r="WV54" s="87">
        <f t="shared" si="914"/>
        <v>0</v>
      </c>
      <c r="WW54" s="87">
        <f t="shared" si="915"/>
        <v>0</v>
      </c>
      <c r="WX54" s="87">
        <f t="shared" si="916"/>
        <v>0</v>
      </c>
      <c r="WY54" s="87">
        <f t="shared" si="917"/>
        <v>0</v>
      </c>
      <c r="WZ54" s="87">
        <f t="shared" si="918"/>
        <v>0</v>
      </c>
      <c r="XA54" s="87">
        <f t="shared" si="919"/>
        <v>0</v>
      </c>
      <c r="XB54" s="92">
        <f t="shared" si="920"/>
        <v>166770</v>
      </c>
      <c r="XC54" s="92">
        <f t="shared" si="921"/>
        <v>4168140</v>
      </c>
      <c r="XD54" s="89"/>
      <c r="XE54" s="92">
        <f t="shared" ref="XE54:XF54" si="926">SUM(XB130,XB168,XB206)</f>
        <v>226962</v>
      </c>
      <c r="XF54" s="92">
        <f t="shared" si="926"/>
        <v>5745064</v>
      </c>
      <c r="XG54" s="89"/>
      <c r="XH54" s="92">
        <f t="shared" ref="XH54:XI54" si="927">SUM(XE92,XE130)</f>
        <v>618051</v>
      </c>
      <c r="XI54" s="92">
        <f t="shared" si="927"/>
        <v>18191822</v>
      </c>
      <c r="XJ54" s="89"/>
      <c r="XK54" s="87"/>
      <c r="XL54" s="87"/>
      <c r="XM54" s="87"/>
      <c r="XN54" s="87"/>
      <c r="XO54" s="87"/>
      <c r="XP54" s="87"/>
      <c r="XQ54" s="87"/>
      <c r="XR54" s="92">
        <f t="shared" ca="1" si="922"/>
        <v>0</v>
      </c>
      <c r="XS54" s="89"/>
      <c r="XT54" s="87"/>
      <c r="XU54" s="87"/>
      <c r="XV54" s="87"/>
      <c r="XW54" s="87"/>
      <c r="XX54" s="87"/>
      <c r="XY54" s="87"/>
      <c r="XZ54" s="87"/>
      <c r="YA54" s="92">
        <f t="shared" ca="1" si="923"/>
        <v>0</v>
      </c>
      <c r="YB54" s="90"/>
      <c r="YC54" s="90"/>
      <c r="YD54" s="90"/>
      <c r="YE54" s="90"/>
      <c r="YF54" s="90"/>
      <c r="YG54" s="90"/>
      <c r="YH54" s="90"/>
      <c r="YI54" s="90"/>
      <c r="YJ54" s="90"/>
      <c r="YK54" s="90"/>
      <c r="YL54" s="90"/>
      <c r="YM54" s="90"/>
      <c r="YN54" s="90"/>
      <c r="YO54" s="90"/>
      <c r="YP54" s="90"/>
      <c r="YQ54" s="90"/>
      <c r="YR54" s="90"/>
      <c r="YS54" s="90"/>
      <c r="YT54" s="90"/>
      <c r="YU54" s="90"/>
      <c r="YV54" s="90"/>
      <c r="YW54" s="90"/>
      <c r="YX54" s="90"/>
      <c r="YY54" s="90"/>
      <c r="YZ54" s="90"/>
      <c r="ZA54" s="90"/>
      <c r="ZB54" s="90"/>
      <c r="ZC54" s="90"/>
      <c r="ZD54" s="90"/>
      <c r="ZE54" s="90"/>
      <c r="ZF54" s="90"/>
      <c r="ZG54" s="90"/>
      <c r="ZH54" s="90"/>
      <c r="ZI54" s="90"/>
      <c r="ZJ54" s="90"/>
      <c r="ZK54" s="90"/>
      <c r="ZL54" s="90"/>
      <c r="ZM54" s="90"/>
      <c r="ZN54" s="90"/>
      <c r="ZO54" s="90"/>
      <c r="ZP54" s="90"/>
      <c r="ZQ54" s="90"/>
      <c r="ZR54" s="90"/>
      <c r="ZS54" s="90"/>
      <c r="ZT54" s="90"/>
      <c r="ZU54" s="90"/>
      <c r="ZV54" s="90"/>
      <c r="ZW54" s="90"/>
      <c r="ZX54" s="90"/>
      <c r="ZY54" s="90"/>
      <c r="ZZ54" s="90"/>
      <c r="AAA54" s="90"/>
      <c r="AAB54" s="90"/>
      <c r="AAC54" s="90"/>
      <c r="AAD54" s="90"/>
      <c r="AAE54" s="90"/>
      <c r="AAF54" s="90"/>
      <c r="AAG54" s="90"/>
      <c r="AAH54" s="90"/>
      <c r="AAI54" s="90"/>
      <c r="AAJ54" s="90"/>
      <c r="AAK54" s="90"/>
      <c r="AAL54" s="90"/>
      <c r="AAM54" s="90"/>
      <c r="AAN54" s="90"/>
      <c r="AAO54" s="90"/>
      <c r="AAP54" s="90"/>
      <c r="AAQ54" s="90"/>
      <c r="AAR54" s="90"/>
      <c r="AAS54" s="90"/>
      <c r="AAT54" s="90"/>
      <c r="AAU54" s="90"/>
      <c r="AAV54" s="90"/>
      <c r="AAW54" s="90"/>
      <c r="AAX54" s="90"/>
      <c r="AAY54" s="90"/>
      <c r="AAZ54" s="90"/>
      <c r="ABA54" s="90"/>
      <c r="ABB54" s="90"/>
      <c r="ABC54" s="90"/>
      <c r="ABD54" s="90"/>
      <c r="ABE54" s="90"/>
      <c r="ABF54" s="90"/>
      <c r="ABG54" s="90"/>
      <c r="ABH54" s="90"/>
      <c r="ABI54" s="90"/>
      <c r="ABJ54" s="90"/>
      <c r="ABK54" s="90"/>
      <c r="ABL54" s="90"/>
      <c r="ABM54" s="90"/>
      <c r="ABN54" s="90"/>
      <c r="ABO54" s="90"/>
      <c r="ABP54" s="90"/>
      <c r="ABQ54" s="90"/>
      <c r="ABR54" s="90"/>
      <c r="ABS54" s="90"/>
      <c r="ABT54" s="90"/>
      <c r="ABU54" s="90"/>
      <c r="ABV54" s="90"/>
      <c r="ABW54" s="90"/>
      <c r="ABX54" s="90"/>
      <c r="ABY54" s="90"/>
      <c r="ABZ54" s="90"/>
      <c r="ACA54" s="90"/>
      <c r="ACB54" s="90"/>
      <c r="ACC54" s="90"/>
      <c r="ACD54" s="90"/>
      <c r="ACE54" s="90"/>
      <c r="ACF54" s="90"/>
      <c r="ACG54" s="90"/>
      <c r="ACH54" s="90"/>
      <c r="ACI54" s="90"/>
      <c r="ACJ54" s="90"/>
      <c r="ACK54" s="90"/>
      <c r="ACL54" s="90"/>
      <c r="ACM54" s="90"/>
      <c r="ACN54" s="90"/>
      <c r="ACO54" s="90"/>
      <c r="ACP54" s="90"/>
      <c r="ACQ54" s="90"/>
      <c r="ACR54" s="90"/>
      <c r="ACS54" s="90"/>
      <c r="ACT54" s="90"/>
      <c r="ACU54" s="90"/>
      <c r="ACV54" s="90"/>
      <c r="ACW54" s="90"/>
      <c r="ACX54" s="90"/>
      <c r="ACY54" s="90"/>
      <c r="ACZ54" s="90"/>
      <c r="ADA54" s="90"/>
      <c r="ADB54" s="90"/>
      <c r="ADC54" s="90"/>
      <c r="ADD54" s="90"/>
      <c r="ADE54" s="90"/>
      <c r="ADF54" s="90"/>
      <c r="ADG54" s="90"/>
      <c r="ADH54" s="90"/>
      <c r="ADI54" s="90"/>
      <c r="ADJ54" s="90"/>
      <c r="ADK54" s="90"/>
      <c r="ADL54" s="90"/>
      <c r="ADM54" s="90"/>
      <c r="ADN54" s="90"/>
      <c r="ADO54" s="90"/>
      <c r="ADP54" s="90"/>
      <c r="ADQ54" s="90"/>
      <c r="ADR54" s="90"/>
      <c r="ADS54" s="90"/>
      <c r="ADT54" s="90"/>
      <c r="ADU54" s="90"/>
      <c r="ADV54" s="90"/>
      <c r="ADW54" s="90"/>
      <c r="ADX54" s="90"/>
      <c r="ADY54" s="90"/>
      <c r="ADZ54" s="90"/>
      <c r="AEA54" s="90"/>
      <c r="AEB54" s="90"/>
      <c r="AEC54" s="90"/>
      <c r="AED54" s="90"/>
      <c r="AEE54" s="90"/>
      <c r="AEF54" s="90"/>
      <c r="AEG54" s="90"/>
      <c r="AEH54" s="90"/>
      <c r="AEI54" s="90"/>
      <c r="AEJ54" s="90"/>
      <c r="AEK54" s="90"/>
      <c r="AEL54" s="90"/>
      <c r="AEM54" s="90"/>
      <c r="AEN54" s="90"/>
      <c r="AEO54" s="90"/>
      <c r="AEP54" s="90"/>
      <c r="AEQ54" s="90"/>
      <c r="AER54" s="90"/>
      <c r="AES54" s="90"/>
      <c r="AET54" s="90"/>
      <c r="AEU54" s="90"/>
      <c r="AEV54" s="90"/>
      <c r="AEW54" s="90"/>
      <c r="AEX54" s="90"/>
      <c r="AEY54" s="90"/>
      <c r="AEZ54" s="90"/>
      <c r="AFA54" s="90"/>
      <c r="AFB54" s="90"/>
      <c r="AFC54" s="90"/>
      <c r="AFD54" s="90"/>
      <c r="AFE54" s="90"/>
      <c r="AFF54" s="90"/>
      <c r="AFG54" s="90"/>
      <c r="AFH54" s="90"/>
      <c r="AFI54" s="90"/>
      <c r="AFJ54" s="90"/>
      <c r="AFK54" s="90"/>
      <c r="AFL54" s="90"/>
      <c r="AFM54" s="90"/>
      <c r="AFN54" s="90"/>
      <c r="AFO54" s="90"/>
      <c r="AFP54" s="90"/>
      <c r="AFQ54" s="90"/>
      <c r="AFR54" s="90"/>
      <c r="AFS54" s="90"/>
      <c r="AFT54" s="90"/>
      <c r="AFU54" s="90"/>
      <c r="AFV54" s="90"/>
      <c r="AFW54" s="90"/>
      <c r="AFX54" s="90"/>
      <c r="AFY54" s="90"/>
      <c r="AFZ54" s="90"/>
      <c r="AGA54" s="90"/>
      <c r="AGB54" s="90"/>
      <c r="AGC54" s="90"/>
      <c r="AGD54" s="90"/>
      <c r="AGE54" s="90"/>
      <c r="AGF54" s="90"/>
      <c r="AGG54" s="90"/>
      <c r="AGH54" s="90"/>
      <c r="AGI54" s="90"/>
      <c r="AGJ54" s="90"/>
      <c r="AGK54" s="90"/>
      <c r="AGL54" s="90"/>
      <c r="AGM54" s="90"/>
      <c r="AGN54" s="90"/>
      <c r="AGO54" s="90"/>
      <c r="AGP54" s="90"/>
      <c r="AGQ54" s="90"/>
      <c r="AGR54" s="90"/>
      <c r="AGS54" s="90"/>
      <c r="AGT54" s="90"/>
      <c r="AGU54" s="90"/>
      <c r="AGV54" s="90"/>
      <c r="AGW54" s="90"/>
      <c r="AGX54" s="90"/>
      <c r="AGY54" s="90"/>
      <c r="AGZ54" s="90"/>
      <c r="AHA54" s="90"/>
      <c r="AHB54" s="90"/>
      <c r="AHC54" s="90"/>
      <c r="AHD54" s="90"/>
      <c r="AHE54" s="90"/>
      <c r="AHF54" s="90"/>
      <c r="AHG54" s="90"/>
      <c r="AHH54" s="90"/>
      <c r="AHI54" s="90"/>
      <c r="AHJ54" s="90"/>
      <c r="AHK54" s="90"/>
      <c r="AHL54" s="90"/>
      <c r="AHM54" s="90"/>
      <c r="AHN54" s="90"/>
      <c r="AHO54" s="90"/>
      <c r="AHP54" s="90"/>
      <c r="AHQ54" s="90"/>
      <c r="AHR54" s="90"/>
      <c r="AHS54" s="90"/>
      <c r="AHT54" s="90"/>
      <c r="AHU54" s="90"/>
      <c r="AHV54" s="90"/>
      <c r="AHW54" s="90"/>
      <c r="AHX54" s="90"/>
      <c r="AHY54" s="90"/>
      <c r="AHZ54" s="90"/>
      <c r="AIA54" s="90"/>
      <c r="AIB54" s="90"/>
      <c r="AIC54" s="90"/>
      <c r="AID54" s="90"/>
      <c r="AIE54" s="90"/>
      <c r="AIF54" s="90"/>
      <c r="AIG54" s="90"/>
      <c r="AIH54" s="90"/>
      <c r="AII54" s="90"/>
      <c r="AIJ54" s="90"/>
      <c r="AIK54" s="90"/>
      <c r="AIL54" s="90"/>
      <c r="AIM54" s="90"/>
      <c r="AIN54" s="90"/>
      <c r="AIO54" s="90"/>
      <c r="AIP54" s="90"/>
      <c r="AIQ54" s="90"/>
      <c r="AIR54" s="90"/>
      <c r="AIS54" s="90"/>
      <c r="AIT54" s="90"/>
      <c r="AIU54" s="90"/>
      <c r="AIV54" s="90"/>
      <c r="AIW54" s="90"/>
      <c r="AIX54" s="90"/>
      <c r="AIY54" s="90"/>
      <c r="AIZ54" s="90"/>
      <c r="AJA54" s="90"/>
      <c r="AJB54" s="90"/>
      <c r="AJC54" s="90"/>
      <c r="AJD54" s="90"/>
      <c r="AJE54" s="90"/>
      <c r="AJF54" s="90"/>
      <c r="AJG54" s="90"/>
      <c r="AJH54" s="90"/>
      <c r="AJI54" s="90"/>
      <c r="AJJ54" s="90"/>
      <c r="AJK54" s="90"/>
      <c r="AJL54" s="90"/>
      <c r="AJM54" s="90"/>
      <c r="AJN54" s="90"/>
      <c r="AJO54" s="90"/>
      <c r="AJP54" s="90"/>
      <c r="AJQ54" s="90"/>
      <c r="AJR54" s="90"/>
      <c r="AJS54" s="90"/>
      <c r="AJT54" s="90"/>
      <c r="AJU54" s="90"/>
      <c r="AJV54" s="90"/>
      <c r="AJW54" s="90"/>
      <c r="AJX54" s="90"/>
      <c r="AJY54" s="90"/>
      <c r="AJZ54" s="90"/>
      <c r="AKA54" s="90"/>
      <c r="AKB54" s="90"/>
      <c r="AKC54" s="90"/>
      <c r="AKD54" s="90"/>
      <c r="AKE54" s="90"/>
      <c r="AKF54" s="90"/>
      <c r="AKG54" s="90"/>
      <c r="AKH54" s="90"/>
      <c r="AKI54" s="90"/>
      <c r="AKJ54" s="90"/>
      <c r="AKK54" s="90"/>
      <c r="AKL54" s="90"/>
      <c r="AKM54" s="90"/>
      <c r="AKN54" s="90"/>
      <c r="AKO54" s="90"/>
      <c r="AKP54" s="90"/>
      <c r="AKQ54" s="90"/>
      <c r="AKR54" s="90"/>
      <c r="AKS54" s="90"/>
      <c r="AKT54" s="90"/>
      <c r="AKU54" s="90"/>
      <c r="AKV54" s="90"/>
      <c r="AKW54" s="90"/>
      <c r="AKX54" s="90"/>
      <c r="AKY54" s="90"/>
      <c r="AKZ54" s="90"/>
      <c r="ALA54" s="90"/>
      <c r="ALB54" s="90"/>
      <c r="ALC54" s="90"/>
      <c r="ALD54" s="90"/>
      <c r="ALE54" s="90"/>
      <c r="ALF54" s="90"/>
      <c r="ALG54" s="90"/>
      <c r="ALH54" s="90"/>
      <c r="ALI54" s="90"/>
      <c r="ALJ54" s="90"/>
      <c r="ALK54" s="90"/>
      <c r="ALL54" s="90"/>
      <c r="ALM54" s="90"/>
      <c r="ALN54" s="90"/>
      <c r="ALO54" s="90"/>
      <c r="ALP54" s="90"/>
      <c r="ALQ54" s="90"/>
      <c r="ALR54" s="90"/>
      <c r="ALS54" s="90"/>
      <c r="ALT54" s="90"/>
      <c r="ALU54" s="90"/>
      <c r="ALV54" s="90"/>
      <c r="ALW54" s="90"/>
      <c r="ALX54" s="90"/>
      <c r="ALY54" s="90"/>
      <c r="ALZ54" s="90"/>
      <c r="AMA54" s="90"/>
      <c r="AMB54" s="90"/>
      <c r="AMC54" s="90"/>
    </row>
    <row r="55" spans="1:1017">
      <c r="A55" s="98" t="s">
        <v>26</v>
      </c>
      <c r="B55" s="648" t="str">
        <f t="shared" si="829"/>
        <v xml:space="preserve">Eucheuma cottonii </v>
      </c>
      <c r="Q55" s="91">
        <f t="shared" si="830"/>
        <v>0</v>
      </c>
      <c r="R55" s="91">
        <f t="shared" si="831"/>
        <v>0</v>
      </c>
      <c r="AG55" s="91">
        <f t="shared" si="832"/>
        <v>0</v>
      </c>
      <c r="AH55" s="91">
        <f t="shared" si="833"/>
        <v>0</v>
      </c>
      <c r="AW55" s="91">
        <f t="shared" si="834"/>
        <v>0</v>
      </c>
      <c r="AX55" s="91">
        <f t="shared" si="835"/>
        <v>0</v>
      </c>
      <c r="BM55" s="91">
        <f t="shared" si="836"/>
        <v>0</v>
      </c>
      <c r="BN55" s="91">
        <f t="shared" si="837"/>
        <v>0</v>
      </c>
      <c r="CC55" s="91">
        <f t="shared" si="838"/>
        <v>0</v>
      </c>
      <c r="CD55" s="91">
        <f t="shared" si="839"/>
        <v>0</v>
      </c>
      <c r="CS55" s="91">
        <f t="shared" si="840"/>
        <v>0</v>
      </c>
      <c r="CT55" s="91">
        <f t="shared" si="841"/>
        <v>0</v>
      </c>
      <c r="DI55" s="91">
        <f t="shared" si="842"/>
        <v>0</v>
      </c>
      <c r="DJ55" s="91">
        <f t="shared" si="843"/>
        <v>0</v>
      </c>
      <c r="DY55" s="91">
        <f t="shared" si="844"/>
        <v>0</v>
      </c>
      <c r="DZ55" s="91">
        <f t="shared" si="845"/>
        <v>0</v>
      </c>
      <c r="EO55" s="91">
        <f t="shared" si="846"/>
        <v>0</v>
      </c>
      <c r="EP55" s="91">
        <f t="shared" si="847"/>
        <v>0</v>
      </c>
      <c r="FE55" s="91">
        <f t="shared" si="848"/>
        <v>0</v>
      </c>
      <c r="FF55" s="91">
        <f t="shared" si="849"/>
        <v>0</v>
      </c>
      <c r="FU55" s="91">
        <f t="shared" si="850"/>
        <v>0</v>
      </c>
      <c r="FV55" s="91">
        <f t="shared" si="851"/>
        <v>0</v>
      </c>
      <c r="GK55" s="91">
        <f t="shared" si="852"/>
        <v>0</v>
      </c>
      <c r="GL55" s="91">
        <f t="shared" si="853"/>
        <v>0</v>
      </c>
      <c r="HA55" s="91">
        <f t="shared" si="854"/>
        <v>0</v>
      </c>
      <c r="HB55" s="91">
        <f t="shared" si="855"/>
        <v>0</v>
      </c>
      <c r="HQ55" s="91">
        <f t="shared" si="856"/>
        <v>0</v>
      </c>
      <c r="HR55" s="91">
        <f t="shared" si="857"/>
        <v>0</v>
      </c>
      <c r="IG55" s="91">
        <f t="shared" si="858"/>
        <v>0</v>
      </c>
      <c r="IH55" s="91">
        <f t="shared" si="859"/>
        <v>0</v>
      </c>
      <c r="IW55" s="91">
        <f t="shared" si="860"/>
        <v>0</v>
      </c>
      <c r="IX55" s="91">
        <f t="shared" si="861"/>
        <v>0</v>
      </c>
      <c r="JM55" s="91">
        <f t="shared" si="862"/>
        <v>0</v>
      </c>
      <c r="JN55" s="91">
        <f t="shared" si="863"/>
        <v>0</v>
      </c>
      <c r="KC55" s="91">
        <f t="shared" si="864"/>
        <v>0</v>
      </c>
      <c r="KD55" s="91">
        <f t="shared" si="865"/>
        <v>0</v>
      </c>
      <c r="KS55" s="91">
        <f t="shared" si="866"/>
        <v>0</v>
      </c>
      <c r="KT55" s="91">
        <f t="shared" si="867"/>
        <v>0</v>
      </c>
      <c r="LI55" s="91">
        <f t="shared" si="868"/>
        <v>0</v>
      </c>
      <c r="LJ55" s="91">
        <f t="shared" si="869"/>
        <v>0</v>
      </c>
      <c r="LY55" s="91">
        <f t="shared" si="870"/>
        <v>0</v>
      </c>
      <c r="LZ55" s="91">
        <f t="shared" si="871"/>
        <v>0</v>
      </c>
      <c r="MO55" s="91">
        <f t="shared" si="872"/>
        <v>0</v>
      </c>
      <c r="MP55" s="91">
        <f t="shared" si="873"/>
        <v>0</v>
      </c>
      <c r="NE55" s="91">
        <f t="shared" si="874"/>
        <v>0</v>
      </c>
      <c r="NF55" s="91">
        <f t="shared" si="875"/>
        <v>0</v>
      </c>
      <c r="NU55" s="91">
        <f t="shared" si="876"/>
        <v>0</v>
      </c>
      <c r="NV55" s="91">
        <f t="shared" si="877"/>
        <v>0</v>
      </c>
      <c r="NW55" s="98">
        <v>3000</v>
      </c>
      <c r="NX55" s="98">
        <v>12000</v>
      </c>
      <c r="OK55" s="91">
        <f t="shared" si="878"/>
        <v>3000</v>
      </c>
      <c r="OL55" s="91">
        <f t="shared" si="879"/>
        <v>12000</v>
      </c>
      <c r="OM55" s="98">
        <v>50662238</v>
      </c>
      <c r="ON55" s="98">
        <v>303973428</v>
      </c>
      <c r="PA55" s="91">
        <f t="shared" si="880"/>
        <v>50662238</v>
      </c>
      <c r="PB55" s="91">
        <f t="shared" si="881"/>
        <v>303973428</v>
      </c>
      <c r="PQ55" s="91">
        <f t="shared" si="882"/>
        <v>0</v>
      </c>
      <c r="PR55" s="91">
        <f t="shared" si="883"/>
        <v>0</v>
      </c>
      <c r="QG55" s="91">
        <f t="shared" si="884"/>
        <v>0</v>
      </c>
      <c r="QH55" s="91">
        <f t="shared" si="885"/>
        <v>0</v>
      </c>
      <c r="QW55" s="91">
        <f t="shared" si="886"/>
        <v>0</v>
      </c>
      <c r="QX55" s="91">
        <f t="shared" si="887"/>
        <v>0</v>
      </c>
      <c r="RM55" s="91">
        <f t="shared" si="888"/>
        <v>0</v>
      </c>
      <c r="RN55" s="91">
        <f t="shared" si="889"/>
        <v>0</v>
      </c>
      <c r="SC55" s="91">
        <f t="shared" si="890"/>
        <v>0</v>
      </c>
      <c r="SD55" s="91">
        <f t="shared" si="891"/>
        <v>0</v>
      </c>
      <c r="SS55" s="91">
        <f t="shared" si="892"/>
        <v>0</v>
      </c>
      <c r="ST55" s="91">
        <f t="shared" si="893"/>
        <v>0</v>
      </c>
      <c r="TI55" s="91">
        <f t="shared" si="894"/>
        <v>0</v>
      </c>
      <c r="TJ55" s="91">
        <f t="shared" si="895"/>
        <v>0</v>
      </c>
      <c r="TY55" s="91">
        <f t="shared" si="896"/>
        <v>0</v>
      </c>
      <c r="TZ55" s="91">
        <f t="shared" si="897"/>
        <v>0</v>
      </c>
      <c r="UO55" s="91">
        <f t="shared" si="898"/>
        <v>0</v>
      </c>
      <c r="UP55" s="91">
        <f t="shared" si="899"/>
        <v>0</v>
      </c>
      <c r="VE55" s="91">
        <f t="shared" si="900"/>
        <v>0</v>
      </c>
      <c r="VF55" s="91">
        <f t="shared" si="901"/>
        <v>0</v>
      </c>
      <c r="VU55" s="91">
        <f t="shared" si="902"/>
        <v>0</v>
      </c>
      <c r="VV55" s="91">
        <f t="shared" si="903"/>
        <v>0</v>
      </c>
      <c r="WK55" s="91">
        <f t="shared" si="904"/>
        <v>0</v>
      </c>
      <c r="WL55" s="91">
        <f t="shared" si="905"/>
        <v>0</v>
      </c>
      <c r="WM55" s="89"/>
      <c r="WN55" s="87">
        <f t="shared" si="906"/>
        <v>50665238</v>
      </c>
      <c r="WO55" s="87">
        <f t="shared" si="907"/>
        <v>303985428</v>
      </c>
      <c r="WP55" s="87">
        <f t="shared" si="908"/>
        <v>0</v>
      </c>
      <c r="WQ55" s="87">
        <f t="shared" si="909"/>
        <v>0</v>
      </c>
      <c r="WR55" s="87">
        <f t="shared" si="910"/>
        <v>0</v>
      </c>
      <c r="WS55" s="87">
        <f t="shared" si="911"/>
        <v>0</v>
      </c>
      <c r="WT55" s="87">
        <f t="shared" si="912"/>
        <v>0</v>
      </c>
      <c r="WU55" s="87">
        <f t="shared" si="913"/>
        <v>0</v>
      </c>
      <c r="WV55" s="87">
        <f t="shared" si="914"/>
        <v>0</v>
      </c>
      <c r="WW55" s="87">
        <f t="shared" si="915"/>
        <v>0</v>
      </c>
      <c r="WX55" s="87">
        <f t="shared" si="916"/>
        <v>0</v>
      </c>
      <c r="WY55" s="87">
        <f t="shared" si="917"/>
        <v>0</v>
      </c>
      <c r="WZ55" s="87">
        <f t="shared" si="918"/>
        <v>0</v>
      </c>
      <c r="XA55" s="87">
        <f t="shared" si="919"/>
        <v>0</v>
      </c>
      <c r="XB55" s="92">
        <f t="shared" si="920"/>
        <v>50665238</v>
      </c>
      <c r="XC55" s="92">
        <f t="shared" si="921"/>
        <v>303985428</v>
      </c>
      <c r="XD55" s="89"/>
      <c r="XE55" s="92">
        <f t="shared" ref="XE55:XF55" si="928">SUM(XB131,XB169,XB207)</f>
        <v>167969204</v>
      </c>
      <c r="XF55" s="92">
        <f t="shared" si="928"/>
        <v>700212370</v>
      </c>
      <c r="XG55" s="89"/>
      <c r="XH55" s="92">
        <f t="shared" ref="XH55:XI55" si="929">SUM(XE93,XE131)</f>
        <v>436799060</v>
      </c>
      <c r="XI55" s="92">
        <f t="shared" si="929"/>
        <v>2183995300</v>
      </c>
      <c r="XJ55" s="89"/>
      <c r="XK55" s="87"/>
      <c r="XL55" s="87"/>
      <c r="XM55" s="87"/>
      <c r="XN55" s="87"/>
      <c r="XO55" s="87"/>
      <c r="XP55" s="87"/>
      <c r="XQ55" s="87"/>
      <c r="XR55" s="92">
        <f t="shared" ca="1" si="922"/>
        <v>0</v>
      </c>
      <c r="XS55" s="89"/>
      <c r="XT55" s="87"/>
      <c r="XU55" s="87"/>
      <c r="XV55" s="87"/>
      <c r="XW55" s="87"/>
      <c r="XX55" s="87"/>
      <c r="XY55" s="87"/>
      <c r="XZ55" s="87"/>
      <c r="YA55" s="92">
        <f t="shared" ca="1" si="923"/>
        <v>0</v>
      </c>
      <c r="YB55" s="90"/>
      <c r="YC55" s="90"/>
      <c r="YD55" s="90"/>
      <c r="YE55" s="90"/>
      <c r="YF55" s="90"/>
      <c r="YG55" s="90"/>
      <c r="YH55" s="90"/>
      <c r="YI55" s="90"/>
      <c r="YJ55" s="90"/>
      <c r="YK55" s="90"/>
      <c r="YL55" s="90"/>
      <c r="YM55" s="90"/>
      <c r="YN55" s="90"/>
      <c r="YO55" s="90"/>
      <c r="YP55" s="90"/>
      <c r="YQ55" s="90"/>
      <c r="YR55" s="90"/>
      <c r="YS55" s="90"/>
      <c r="YT55" s="90"/>
      <c r="YU55" s="90"/>
      <c r="YV55" s="90"/>
      <c r="YW55" s="90"/>
      <c r="YX55" s="90"/>
      <c r="YY55" s="90"/>
      <c r="YZ55" s="90"/>
      <c r="ZA55" s="90"/>
      <c r="ZB55" s="90"/>
      <c r="ZC55" s="90"/>
      <c r="ZD55" s="90"/>
      <c r="ZE55" s="90"/>
      <c r="ZF55" s="90"/>
      <c r="ZG55" s="90"/>
      <c r="ZH55" s="90"/>
      <c r="ZI55" s="90"/>
      <c r="ZJ55" s="90"/>
      <c r="ZK55" s="90"/>
      <c r="ZL55" s="90"/>
      <c r="ZM55" s="90"/>
      <c r="ZN55" s="90"/>
      <c r="ZO55" s="90"/>
      <c r="ZP55" s="90"/>
      <c r="ZQ55" s="90"/>
      <c r="ZR55" s="90"/>
      <c r="ZS55" s="90"/>
      <c r="ZT55" s="90"/>
      <c r="ZU55" s="90"/>
      <c r="ZV55" s="90"/>
      <c r="ZW55" s="90"/>
      <c r="ZX55" s="90"/>
      <c r="ZY55" s="90"/>
      <c r="ZZ55" s="90"/>
      <c r="AAA55" s="90"/>
      <c r="AAB55" s="90"/>
      <c r="AAC55" s="90"/>
      <c r="AAD55" s="90"/>
      <c r="AAE55" s="90"/>
      <c r="AAF55" s="90"/>
      <c r="AAG55" s="90"/>
      <c r="AAH55" s="90"/>
      <c r="AAI55" s="90"/>
      <c r="AAJ55" s="90"/>
      <c r="AAK55" s="90"/>
      <c r="AAL55" s="90"/>
      <c r="AAM55" s="90"/>
      <c r="AAN55" s="90"/>
      <c r="AAO55" s="90"/>
      <c r="AAP55" s="90"/>
      <c r="AAQ55" s="90"/>
      <c r="AAR55" s="90"/>
      <c r="AAS55" s="90"/>
      <c r="AAT55" s="90"/>
      <c r="AAU55" s="90"/>
      <c r="AAV55" s="90"/>
      <c r="AAW55" s="90"/>
      <c r="AAX55" s="90"/>
      <c r="AAY55" s="90"/>
      <c r="AAZ55" s="90"/>
      <c r="ABA55" s="90"/>
      <c r="ABB55" s="90"/>
      <c r="ABC55" s="90"/>
      <c r="ABD55" s="90"/>
      <c r="ABE55" s="90"/>
      <c r="ABF55" s="90"/>
      <c r="ABG55" s="90"/>
      <c r="ABH55" s="90"/>
      <c r="ABI55" s="90"/>
      <c r="ABJ55" s="90"/>
      <c r="ABK55" s="90"/>
      <c r="ABL55" s="90"/>
      <c r="ABM55" s="90"/>
      <c r="ABN55" s="90"/>
      <c r="ABO55" s="90"/>
      <c r="ABP55" s="90"/>
      <c r="ABQ55" s="90"/>
      <c r="ABR55" s="90"/>
      <c r="ABS55" s="90"/>
      <c r="ABT55" s="90"/>
      <c r="ABU55" s="90"/>
      <c r="ABV55" s="90"/>
      <c r="ABW55" s="90"/>
      <c r="ABX55" s="90"/>
      <c r="ABY55" s="90"/>
      <c r="ABZ55" s="90"/>
      <c r="ACA55" s="90"/>
      <c r="ACB55" s="90"/>
      <c r="ACC55" s="90"/>
      <c r="ACD55" s="90"/>
      <c r="ACE55" s="90"/>
      <c r="ACF55" s="90"/>
      <c r="ACG55" s="90"/>
      <c r="ACH55" s="90"/>
      <c r="ACI55" s="90"/>
      <c r="ACJ55" s="90"/>
      <c r="ACK55" s="90"/>
      <c r="ACL55" s="90"/>
      <c r="ACM55" s="90"/>
      <c r="ACN55" s="90"/>
      <c r="ACO55" s="90"/>
      <c r="ACP55" s="90"/>
      <c r="ACQ55" s="90"/>
      <c r="ACR55" s="90"/>
      <c r="ACS55" s="90"/>
      <c r="ACT55" s="90"/>
      <c r="ACU55" s="90"/>
      <c r="ACV55" s="90"/>
      <c r="ACW55" s="90"/>
      <c r="ACX55" s="90"/>
      <c r="ACY55" s="90"/>
      <c r="ACZ55" s="90"/>
      <c r="ADA55" s="90"/>
      <c r="ADB55" s="90"/>
      <c r="ADC55" s="90"/>
      <c r="ADD55" s="90"/>
      <c r="ADE55" s="90"/>
      <c r="ADF55" s="90"/>
      <c r="ADG55" s="90"/>
      <c r="ADH55" s="90"/>
      <c r="ADI55" s="90"/>
      <c r="ADJ55" s="90"/>
      <c r="ADK55" s="90"/>
      <c r="ADL55" s="90"/>
      <c r="ADM55" s="90"/>
      <c r="ADN55" s="90"/>
      <c r="ADO55" s="90"/>
      <c r="ADP55" s="90"/>
      <c r="ADQ55" s="90"/>
      <c r="ADR55" s="90"/>
      <c r="ADS55" s="90"/>
      <c r="ADT55" s="90"/>
      <c r="ADU55" s="90"/>
      <c r="ADV55" s="90"/>
      <c r="ADW55" s="90"/>
      <c r="ADX55" s="90"/>
      <c r="ADY55" s="90"/>
      <c r="ADZ55" s="90"/>
      <c r="AEA55" s="90"/>
      <c r="AEB55" s="90"/>
      <c r="AEC55" s="90"/>
      <c r="AED55" s="90"/>
      <c r="AEE55" s="90"/>
      <c r="AEF55" s="90"/>
      <c r="AEG55" s="90"/>
      <c r="AEH55" s="90"/>
      <c r="AEI55" s="90"/>
      <c r="AEJ55" s="90"/>
      <c r="AEK55" s="90"/>
      <c r="AEL55" s="90"/>
      <c r="AEM55" s="90"/>
      <c r="AEN55" s="90"/>
      <c r="AEO55" s="90"/>
      <c r="AEP55" s="90"/>
      <c r="AEQ55" s="90"/>
      <c r="AER55" s="90"/>
      <c r="AES55" s="90"/>
      <c r="AET55" s="90"/>
      <c r="AEU55" s="90"/>
      <c r="AEV55" s="90"/>
      <c r="AEW55" s="90"/>
      <c r="AEX55" s="90"/>
      <c r="AEY55" s="90"/>
      <c r="AEZ55" s="90"/>
      <c r="AFA55" s="90"/>
      <c r="AFB55" s="90"/>
      <c r="AFC55" s="90"/>
      <c r="AFD55" s="90"/>
      <c r="AFE55" s="90"/>
      <c r="AFF55" s="90"/>
      <c r="AFG55" s="90"/>
      <c r="AFH55" s="90"/>
      <c r="AFI55" s="90"/>
      <c r="AFJ55" s="90"/>
      <c r="AFK55" s="90"/>
      <c r="AFL55" s="90"/>
      <c r="AFM55" s="90"/>
      <c r="AFN55" s="90"/>
      <c r="AFO55" s="90"/>
      <c r="AFP55" s="90"/>
      <c r="AFQ55" s="90"/>
      <c r="AFR55" s="90"/>
      <c r="AFS55" s="90"/>
      <c r="AFT55" s="90"/>
      <c r="AFU55" s="90"/>
      <c r="AFV55" s="90"/>
      <c r="AFW55" s="90"/>
      <c r="AFX55" s="90"/>
      <c r="AFY55" s="90"/>
      <c r="AFZ55" s="90"/>
      <c r="AGA55" s="90"/>
      <c r="AGB55" s="90"/>
      <c r="AGC55" s="90"/>
      <c r="AGD55" s="90"/>
      <c r="AGE55" s="90"/>
      <c r="AGF55" s="90"/>
      <c r="AGG55" s="90"/>
      <c r="AGH55" s="90"/>
      <c r="AGI55" s="90"/>
      <c r="AGJ55" s="90"/>
      <c r="AGK55" s="90"/>
      <c r="AGL55" s="90"/>
      <c r="AGM55" s="90"/>
      <c r="AGN55" s="90"/>
      <c r="AGO55" s="90"/>
      <c r="AGP55" s="90"/>
      <c r="AGQ55" s="90"/>
      <c r="AGR55" s="90"/>
      <c r="AGS55" s="90"/>
      <c r="AGT55" s="90"/>
      <c r="AGU55" s="90"/>
      <c r="AGV55" s="90"/>
      <c r="AGW55" s="90"/>
      <c r="AGX55" s="90"/>
      <c r="AGY55" s="90"/>
      <c r="AGZ55" s="90"/>
      <c r="AHA55" s="90"/>
      <c r="AHB55" s="90"/>
      <c r="AHC55" s="90"/>
      <c r="AHD55" s="90"/>
      <c r="AHE55" s="90"/>
      <c r="AHF55" s="90"/>
      <c r="AHG55" s="90"/>
      <c r="AHH55" s="90"/>
      <c r="AHI55" s="90"/>
      <c r="AHJ55" s="90"/>
      <c r="AHK55" s="90"/>
      <c r="AHL55" s="90"/>
      <c r="AHM55" s="90"/>
      <c r="AHN55" s="90"/>
      <c r="AHO55" s="90"/>
      <c r="AHP55" s="90"/>
      <c r="AHQ55" s="90"/>
      <c r="AHR55" s="90"/>
      <c r="AHS55" s="90"/>
      <c r="AHT55" s="90"/>
      <c r="AHU55" s="90"/>
      <c r="AHV55" s="90"/>
      <c r="AHW55" s="90"/>
      <c r="AHX55" s="90"/>
      <c r="AHY55" s="90"/>
      <c r="AHZ55" s="90"/>
      <c r="AIA55" s="90"/>
      <c r="AIB55" s="90"/>
      <c r="AIC55" s="90"/>
      <c r="AID55" s="90"/>
      <c r="AIE55" s="90"/>
      <c r="AIF55" s="90"/>
      <c r="AIG55" s="90"/>
      <c r="AIH55" s="90"/>
      <c r="AII55" s="90"/>
      <c r="AIJ55" s="90"/>
      <c r="AIK55" s="90"/>
      <c r="AIL55" s="90"/>
      <c r="AIM55" s="90"/>
      <c r="AIN55" s="90"/>
      <c r="AIO55" s="90"/>
      <c r="AIP55" s="90"/>
      <c r="AIQ55" s="90"/>
      <c r="AIR55" s="90"/>
      <c r="AIS55" s="90"/>
      <c r="AIT55" s="90"/>
      <c r="AIU55" s="90"/>
      <c r="AIV55" s="90"/>
      <c r="AIW55" s="90"/>
      <c r="AIX55" s="90"/>
      <c r="AIY55" s="90"/>
      <c r="AIZ55" s="90"/>
      <c r="AJA55" s="90"/>
      <c r="AJB55" s="90"/>
      <c r="AJC55" s="90"/>
      <c r="AJD55" s="90"/>
      <c r="AJE55" s="90"/>
      <c r="AJF55" s="90"/>
      <c r="AJG55" s="90"/>
      <c r="AJH55" s="90"/>
      <c r="AJI55" s="90"/>
      <c r="AJJ55" s="90"/>
      <c r="AJK55" s="90"/>
      <c r="AJL55" s="90"/>
      <c r="AJM55" s="90"/>
      <c r="AJN55" s="90"/>
      <c r="AJO55" s="90"/>
      <c r="AJP55" s="90"/>
      <c r="AJQ55" s="90"/>
      <c r="AJR55" s="90"/>
      <c r="AJS55" s="90"/>
      <c r="AJT55" s="90"/>
      <c r="AJU55" s="90"/>
      <c r="AJV55" s="90"/>
      <c r="AJW55" s="90"/>
      <c r="AJX55" s="90"/>
      <c r="AJY55" s="90"/>
      <c r="AJZ55" s="90"/>
      <c r="AKA55" s="90"/>
      <c r="AKB55" s="90"/>
      <c r="AKC55" s="90"/>
      <c r="AKD55" s="90"/>
      <c r="AKE55" s="90"/>
      <c r="AKF55" s="90"/>
      <c r="AKG55" s="90"/>
      <c r="AKH55" s="90"/>
      <c r="AKI55" s="90"/>
      <c r="AKJ55" s="90"/>
      <c r="AKK55" s="90"/>
      <c r="AKL55" s="90"/>
      <c r="AKM55" s="90"/>
      <c r="AKN55" s="90"/>
      <c r="AKO55" s="90"/>
      <c r="AKP55" s="90"/>
      <c r="AKQ55" s="90"/>
      <c r="AKR55" s="90"/>
      <c r="AKS55" s="90"/>
      <c r="AKT55" s="90"/>
      <c r="AKU55" s="90"/>
      <c r="AKV55" s="90"/>
      <c r="AKW55" s="90"/>
      <c r="AKX55" s="90"/>
      <c r="AKY55" s="90"/>
      <c r="AKZ55" s="90"/>
      <c r="ALA55" s="90"/>
      <c r="ALB55" s="90"/>
      <c r="ALC55" s="90"/>
      <c r="ALD55" s="90"/>
      <c r="ALE55" s="90"/>
      <c r="ALF55" s="90"/>
      <c r="ALG55" s="90"/>
      <c r="ALH55" s="90"/>
      <c r="ALI55" s="90"/>
      <c r="ALJ55" s="90"/>
      <c r="ALK55" s="90"/>
      <c r="ALL55" s="90"/>
      <c r="ALM55" s="90"/>
      <c r="ALN55" s="90"/>
      <c r="ALO55" s="90"/>
      <c r="ALP55" s="90"/>
      <c r="ALQ55" s="90"/>
      <c r="ALR55" s="90"/>
      <c r="ALS55" s="90"/>
      <c r="ALT55" s="90"/>
      <c r="ALU55" s="90"/>
      <c r="ALV55" s="90"/>
      <c r="ALW55" s="90"/>
      <c r="ALX55" s="90"/>
      <c r="ALY55" s="90"/>
      <c r="ALZ55" s="90"/>
      <c r="AMA55" s="90"/>
      <c r="AMB55" s="90"/>
      <c r="AMC55" s="90"/>
    </row>
    <row r="56" spans="1:1017">
      <c r="A56" s="98" t="s">
        <v>26</v>
      </c>
      <c r="B56" s="648" t="str">
        <f t="shared" si="829"/>
        <v xml:space="preserve">Gabus </v>
      </c>
      <c r="Q56" s="91">
        <f t="shared" si="830"/>
        <v>0</v>
      </c>
      <c r="R56" s="91">
        <f t="shared" si="831"/>
        <v>0</v>
      </c>
      <c r="Y56" s="778">
        <v>375</v>
      </c>
      <c r="Z56" s="778">
        <v>15000</v>
      </c>
      <c r="AG56" s="91">
        <f t="shared" si="832"/>
        <v>375</v>
      </c>
      <c r="AH56" s="91">
        <f t="shared" si="833"/>
        <v>15000</v>
      </c>
      <c r="AW56" s="91">
        <f t="shared" si="834"/>
        <v>0</v>
      </c>
      <c r="AX56" s="91">
        <f t="shared" si="835"/>
        <v>0</v>
      </c>
      <c r="BM56" s="91">
        <f t="shared" si="836"/>
        <v>0</v>
      </c>
      <c r="BN56" s="91">
        <f t="shared" si="837"/>
        <v>0</v>
      </c>
      <c r="CC56" s="91">
        <f t="shared" si="838"/>
        <v>0</v>
      </c>
      <c r="CD56" s="91">
        <f t="shared" si="839"/>
        <v>0</v>
      </c>
      <c r="CS56" s="91">
        <f t="shared" si="840"/>
        <v>0</v>
      </c>
      <c r="CT56" s="91">
        <f t="shared" si="841"/>
        <v>0</v>
      </c>
      <c r="DI56" s="91">
        <f t="shared" si="842"/>
        <v>0</v>
      </c>
      <c r="DJ56" s="91">
        <f t="shared" si="843"/>
        <v>0</v>
      </c>
      <c r="DY56" s="91">
        <f t="shared" si="844"/>
        <v>0</v>
      </c>
      <c r="DZ56" s="91">
        <f t="shared" si="845"/>
        <v>0</v>
      </c>
      <c r="EO56" s="91">
        <f t="shared" si="846"/>
        <v>0</v>
      </c>
      <c r="EP56" s="91">
        <f t="shared" si="847"/>
        <v>0</v>
      </c>
      <c r="EW56" s="98">
        <v>1764</v>
      </c>
      <c r="EX56" s="98">
        <v>105840</v>
      </c>
      <c r="FE56" s="91">
        <f t="shared" si="848"/>
        <v>1764</v>
      </c>
      <c r="FF56" s="91">
        <f t="shared" si="849"/>
        <v>105840</v>
      </c>
      <c r="FM56" s="98">
        <v>280</v>
      </c>
      <c r="FN56" s="98">
        <v>12600</v>
      </c>
      <c r="FU56" s="91">
        <f t="shared" si="850"/>
        <v>280</v>
      </c>
      <c r="FV56" s="91">
        <f t="shared" si="851"/>
        <v>12600</v>
      </c>
      <c r="GK56" s="91">
        <f t="shared" si="852"/>
        <v>0</v>
      </c>
      <c r="GL56" s="91">
        <f t="shared" si="853"/>
        <v>0</v>
      </c>
      <c r="HA56" s="91">
        <f t="shared" si="854"/>
        <v>0</v>
      </c>
      <c r="HB56" s="91">
        <f t="shared" si="855"/>
        <v>0</v>
      </c>
      <c r="HQ56" s="91">
        <f t="shared" si="856"/>
        <v>0</v>
      </c>
      <c r="HR56" s="91">
        <f t="shared" si="857"/>
        <v>0</v>
      </c>
      <c r="IG56" s="91">
        <f t="shared" si="858"/>
        <v>0</v>
      </c>
      <c r="IH56" s="91">
        <f t="shared" si="859"/>
        <v>0</v>
      </c>
      <c r="IO56" s="98">
        <v>1800</v>
      </c>
      <c r="IP56" s="98">
        <v>63000</v>
      </c>
      <c r="IW56" s="91">
        <f t="shared" si="860"/>
        <v>1800</v>
      </c>
      <c r="IX56" s="91">
        <f t="shared" si="861"/>
        <v>63000</v>
      </c>
      <c r="JM56" s="91">
        <f t="shared" si="862"/>
        <v>0</v>
      </c>
      <c r="JN56" s="91">
        <f t="shared" si="863"/>
        <v>0</v>
      </c>
      <c r="KC56" s="91">
        <f t="shared" si="864"/>
        <v>0</v>
      </c>
      <c r="KD56" s="91">
        <f t="shared" si="865"/>
        <v>0</v>
      </c>
      <c r="KS56" s="91">
        <f t="shared" si="866"/>
        <v>0</v>
      </c>
      <c r="KT56" s="91">
        <f t="shared" si="867"/>
        <v>0</v>
      </c>
      <c r="LI56" s="91">
        <f t="shared" si="868"/>
        <v>0</v>
      </c>
      <c r="LJ56" s="91">
        <f t="shared" si="869"/>
        <v>0</v>
      </c>
      <c r="LQ56" s="98">
        <v>32</v>
      </c>
      <c r="LR56" s="98">
        <v>1600</v>
      </c>
      <c r="LY56" s="91">
        <f t="shared" si="870"/>
        <v>32</v>
      </c>
      <c r="LZ56" s="91">
        <f t="shared" si="871"/>
        <v>1600</v>
      </c>
      <c r="MO56" s="91">
        <f t="shared" si="872"/>
        <v>0</v>
      </c>
      <c r="MP56" s="91">
        <f t="shared" si="873"/>
        <v>0</v>
      </c>
      <c r="NE56" s="91">
        <f t="shared" si="874"/>
        <v>0</v>
      </c>
      <c r="NF56" s="91">
        <f t="shared" si="875"/>
        <v>0</v>
      </c>
      <c r="NU56" s="91">
        <f t="shared" si="876"/>
        <v>0</v>
      </c>
      <c r="NV56" s="91">
        <f t="shared" si="877"/>
        <v>0</v>
      </c>
      <c r="OK56" s="91">
        <f t="shared" si="878"/>
        <v>0</v>
      </c>
      <c r="OL56" s="91">
        <f t="shared" si="879"/>
        <v>0</v>
      </c>
      <c r="PA56" s="91">
        <f t="shared" si="880"/>
        <v>0</v>
      </c>
      <c r="PB56" s="91">
        <f t="shared" si="881"/>
        <v>0</v>
      </c>
      <c r="PI56" s="98">
        <v>1300</v>
      </c>
      <c r="PJ56" s="98">
        <v>39000</v>
      </c>
      <c r="PQ56" s="91">
        <f t="shared" si="882"/>
        <v>1300</v>
      </c>
      <c r="PR56" s="91">
        <f t="shared" si="883"/>
        <v>39000</v>
      </c>
      <c r="PY56" s="98">
        <v>1630</v>
      </c>
      <c r="PZ56" s="98">
        <v>73350</v>
      </c>
      <c r="QG56" s="91">
        <f t="shared" si="884"/>
        <v>1630</v>
      </c>
      <c r="QH56" s="91">
        <f t="shared" si="885"/>
        <v>73350</v>
      </c>
      <c r="QO56" s="98">
        <v>5000</v>
      </c>
      <c r="QP56" s="98">
        <v>175000</v>
      </c>
      <c r="QW56" s="91">
        <f t="shared" si="886"/>
        <v>5000</v>
      </c>
      <c r="QX56" s="91">
        <f t="shared" si="887"/>
        <v>175000</v>
      </c>
      <c r="RM56" s="91">
        <f t="shared" si="888"/>
        <v>0</v>
      </c>
      <c r="RN56" s="91">
        <f t="shared" si="889"/>
        <v>0</v>
      </c>
      <c r="SC56" s="91">
        <f t="shared" si="890"/>
        <v>0</v>
      </c>
      <c r="SD56" s="91">
        <f t="shared" si="891"/>
        <v>0</v>
      </c>
      <c r="SS56" s="91">
        <f t="shared" si="892"/>
        <v>0</v>
      </c>
      <c r="ST56" s="91">
        <f t="shared" si="893"/>
        <v>0</v>
      </c>
      <c r="TI56" s="91">
        <f t="shared" si="894"/>
        <v>0</v>
      </c>
      <c r="TJ56" s="91">
        <f t="shared" si="895"/>
        <v>0</v>
      </c>
      <c r="TY56" s="91">
        <f t="shared" si="896"/>
        <v>0</v>
      </c>
      <c r="TZ56" s="91">
        <f t="shared" si="897"/>
        <v>0</v>
      </c>
      <c r="UO56" s="91">
        <f t="shared" si="898"/>
        <v>0</v>
      </c>
      <c r="UP56" s="91">
        <f t="shared" si="899"/>
        <v>0</v>
      </c>
      <c r="VE56" s="91">
        <f t="shared" si="900"/>
        <v>0</v>
      </c>
      <c r="VF56" s="91">
        <f t="shared" si="901"/>
        <v>0</v>
      </c>
      <c r="VU56" s="91">
        <f t="shared" si="902"/>
        <v>0</v>
      </c>
      <c r="VV56" s="91">
        <f t="shared" si="903"/>
        <v>0</v>
      </c>
      <c r="WK56" s="91">
        <f t="shared" si="904"/>
        <v>0</v>
      </c>
      <c r="WL56" s="91">
        <f t="shared" si="905"/>
        <v>0</v>
      </c>
      <c r="WM56" s="89"/>
      <c r="WN56" s="87">
        <f t="shared" si="906"/>
        <v>0</v>
      </c>
      <c r="WO56" s="87">
        <f t="shared" si="907"/>
        <v>0</v>
      </c>
      <c r="WP56" s="87">
        <f t="shared" si="908"/>
        <v>0</v>
      </c>
      <c r="WQ56" s="87">
        <f t="shared" si="909"/>
        <v>0</v>
      </c>
      <c r="WR56" s="87">
        <f t="shared" si="910"/>
        <v>0</v>
      </c>
      <c r="WS56" s="87">
        <f t="shared" si="911"/>
        <v>0</v>
      </c>
      <c r="WT56" s="87">
        <f t="shared" si="912"/>
        <v>12181</v>
      </c>
      <c r="WU56" s="87">
        <f t="shared" si="913"/>
        <v>485390</v>
      </c>
      <c r="WV56" s="87">
        <f t="shared" si="914"/>
        <v>0</v>
      </c>
      <c r="WW56" s="87">
        <f t="shared" si="915"/>
        <v>0</v>
      </c>
      <c r="WX56" s="87">
        <f t="shared" si="916"/>
        <v>0</v>
      </c>
      <c r="WY56" s="87">
        <f t="shared" si="917"/>
        <v>0</v>
      </c>
      <c r="WZ56" s="87">
        <f t="shared" si="918"/>
        <v>0</v>
      </c>
      <c r="XA56" s="87">
        <f t="shared" si="919"/>
        <v>0</v>
      </c>
      <c r="XB56" s="92">
        <f t="shared" si="920"/>
        <v>12181</v>
      </c>
      <c r="XC56" s="92">
        <f t="shared" si="921"/>
        <v>485390</v>
      </c>
      <c r="XD56" s="89"/>
      <c r="XE56" s="92">
        <f t="shared" ref="XE56:XF56" si="930">SUM(XB132,XB170,XB208)</f>
        <v>136391</v>
      </c>
      <c r="XF56" s="92">
        <f t="shared" si="930"/>
        <v>6443109</v>
      </c>
      <c r="XG56" s="89"/>
      <c r="XH56" s="92">
        <f t="shared" ref="XH56:XI56" si="931">SUM(XE94,XE132)</f>
        <v>43696</v>
      </c>
      <c r="XI56" s="92">
        <f t="shared" si="931"/>
        <v>1599040</v>
      </c>
      <c r="XJ56" s="89"/>
      <c r="XK56" s="87"/>
      <c r="XL56" s="87"/>
      <c r="XM56" s="87"/>
      <c r="XN56" s="87"/>
      <c r="XO56" s="87"/>
      <c r="XP56" s="87"/>
      <c r="XQ56" s="87"/>
      <c r="XR56" s="92">
        <f t="shared" ca="1" si="922"/>
        <v>0</v>
      </c>
      <c r="XS56" s="89"/>
      <c r="XT56" s="87"/>
      <c r="XU56" s="87"/>
      <c r="XV56" s="87"/>
      <c r="XW56" s="87"/>
      <c r="XX56" s="87"/>
      <c r="XY56" s="87"/>
      <c r="XZ56" s="87"/>
      <c r="YA56" s="92">
        <f t="shared" ca="1" si="923"/>
        <v>0</v>
      </c>
      <c r="YB56" s="90"/>
      <c r="YC56" s="90"/>
      <c r="YD56" s="90"/>
      <c r="YE56" s="90"/>
      <c r="YF56" s="90"/>
      <c r="YG56" s="90"/>
      <c r="YH56" s="90"/>
      <c r="YI56" s="90"/>
      <c r="YJ56" s="90"/>
      <c r="YK56" s="90"/>
      <c r="YL56" s="90"/>
      <c r="YM56" s="90"/>
      <c r="YN56" s="90"/>
      <c r="YO56" s="90"/>
      <c r="YP56" s="90"/>
      <c r="YQ56" s="90"/>
      <c r="YR56" s="90"/>
      <c r="YS56" s="90"/>
      <c r="YT56" s="90"/>
      <c r="YU56" s="90"/>
      <c r="YV56" s="90"/>
      <c r="YW56" s="90"/>
      <c r="YX56" s="90"/>
      <c r="YY56" s="90"/>
      <c r="YZ56" s="90"/>
      <c r="ZA56" s="90"/>
      <c r="ZB56" s="90"/>
      <c r="ZC56" s="90"/>
      <c r="ZD56" s="90"/>
      <c r="ZE56" s="90"/>
      <c r="ZF56" s="90"/>
      <c r="ZG56" s="90"/>
      <c r="ZH56" s="90"/>
      <c r="ZI56" s="90"/>
      <c r="ZJ56" s="90"/>
      <c r="ZK56" s="90"/>
      <c r="ZL56" s="90"/>
      <c r="ZM56" s="90"/>
      <c r="ZN56" s="90"/>
      <c r="ZO56" s="90"/>
      <c r="ZP56" s="90"/>
      <c r="ZQ56" s="90"/>
      <c r="ZR56" s="90"/>
      <c r="ZS56" s="90"/>
      <c r="ZT56" s="90"/>
      <c r="ZU56" s="90"/>
      <c r="ZV56" s="90"/>
      <c r="ZW56" s="90"/>
      <c r="ZX56" s="90"/>
      <c r="ZY56" s="90"/>
      <c r="ZZ56" s="90"/>
      <c r="AAA56" s="90"/>
      <c r="AAB56" s="90"/>
      <c r="AAC56" s="90"/>
      <c r="AAD56" s="90"/>
      <c r="AAE56" s="90"/>
      <c r="AAF56" s="90"/>
      <c r="AAG56" s="90"/>
      <c r="AAH56" s="90"/>
      <c r="AAI56" s="90"/>
      <c r="AAJ56" s="90"/>
      <c r="AAK56" s="90"/>
      <c r="AAL56" s="90"/>
      <c r="AAM56" s="90"/>
      <c r="AAN56" s="90"/>
      <c r="AAO56" s="90"/>
      <c r="AAP56" s="90"/>
      <c r="AAQ56" s="90"/>
      <c r="AAR56" s="90"/>
      <c r="AAS56" s="90"/>
      <c r="AAT56" s="90"/>
      <c r="AAU56" s="90"/>
      <c r="AAV56" s="90"/>
      <c r="AAW56" s="90"/>
      <c r="AAX56" s="90"/>
      <c r="AAY56" s="90"/>
      <c r="AAZ56" s="90"/>
      <c r="ABA56" s="90"/>
      <c r="ABB56" s="90"/>
      <c r="ABC56" s="90"/>
      <c r="ABD56" s="90"/>
      <c r="ABE56" s="90"/>
      <c r="ABF56" s="90"/>
      <c r="ABG56" s="90"/>
      <c r="ABH56" s="90"/>
      <c r="ABI56" s="90"/>
      <c r="ABJ56" s="90"/>
      <c r="ABK56" s="90"/>
      <c r="ABL56" s="90"/>
      <c r="ABM56" s="90"/>
      <c r="ABN56" s="90"/>
      <c r="ABO56" s="90"/>
      <c r="ABP56" s="90"/>
      <c r="ABQ56" s="90"/>
      <c r="ABR56" s="90"/>
      <c r="ABS56" s="90"/>
      <c r="ABT56" s="90"/>
      <c r="ABU56" s="90"/>
      <c r="ABV56" s="90"/>
      <c r="ABW56" s="90"/>
      <c r="ABX56" s="90"/>
      <c r="ABY56" s="90"/>
      <c r="ABZ56" s="90"/>
      <c r="ACA56" s="90"/>
      <c r="ACB56" s="90"/>
      <c r="ACC56" s="90"/>
      <c r="ACD56" s="90"/>
      <c r="ACE56" s="90"/>
      <c r="ACF56" s="90"/>
      <c r="ACG56" s="90"/>
      <c r="ACH56" s="90"/>
      <c r="ACI56" s="90"/>
      <c r="ACJ56" s="90"/>
      <c r="ACK56" s="90"/>
      <c r="ACL56" s="90"/>
      <c r="ACM56" s="90"/>
      <c r="ACN56" s="90"/>
      <c r="ACO56" s="90"/>
      <c r="ACP56" s="90"/>
      <c r="ACQ56" s="90"/>
      <c r="ACR56" s="90"/>
      <c r="ACS56" s="90"/>
      <c r="ACT56" s="90"/>
      <c r="ACU56" s="90"/>
      <c r="ACV56" s="90"/>
      <c r="ACW56" s="90"/>
      <c r="ACX56" s="90"/>
      <c r="ACY56" s="90"/>
      <c r="ACZ56" s="90"/>
      <c r="ADA56" s="90"/>
      <c r="ADB56" s="90"/>
      <c r="ADC56" s="90"/>
      <c r="ADD56" s="90"/>
      <c r="ADE56" s="90"/>
      <c r="ADF56" s="90"/>
      <c r="ADG56" s="90"/>
      <c r="ADH56" s="90"/>
      <c r="ADI56" s="90"/>
      <c r="ADJ56" s="90"/>
      <c r="ADK56" s="90"/>
      <c r="ADL56" s="90"/>
      <c r="ADM56" s="90"/>
      <c r="ADN56" s="90"/>
      <c r="ADO56" s="90"/>
      <c r="ADP56" s="90"/>
      <c r="ADQ56" s="90"/>
      <c r="ADR56" s="90"/>
      <c r="ADS56" s="90"/>
      <c r="ADT56" s="90"/>
      <c r="ADU56" s="90"/>
      <c r="ADV56" s="90"/>
      <c r="ADW56" s="90"/>
      <c r="ADX56" s="90"/>
      <c r="ADY56" s="90"/>
      <c r="ADZ56" s="90"/>
      <c r="AEA56" s="90"/>
      <c r="AEB56" s="90"/>
      <c r="AEC56" s="90"/>
      <c r="AED56" s="90"/>
      <c r="AEE56" s="90"/>
      <c r="AEF56" s="90"/>
      <c r="AEG56" s="90"/>
      <c r="AEH56" s="90"/>
      <c r="AEI56" s="90"/>
      <c r="AEJ56" s="90"/>
      <c r="AEK56" s="90"/>
      <c r="AEL56" s="90"/>
      <c r="AEM56" s="90"/>
      <c r="AEN56" s="90"/>
      <c r="AEO56" s="90"/>
      <c r="AEP56" s="90"/>
      <c r="AEQ56" s="90"/>
      <c r="AER56" s="90"/>
      <c r="AES56" s="90"/>
      <c r="AET56" s="90"/>
      <c r="AEU56" s="90"/>
      <c r="AEV56" s="90"/>
      <c r="AEW56" s="90"/>
      <c r="AEX56" s="90"/>
      <c r="AEY56" s="90"/>
      <c r="AEZ56" s="90"/>
      <c r="AFA56" s="90"/>
      <c r="AFB56" s="90"/>
      <c r="AFC56" s="90"/>
      <c r="AFD56" s="90"/>
      <c r="AFE56" s="90"/>
      <c r="AFF56" s="90"/>
      <c r="AFG56" s="90"/>
      <c r="AFH56" s="90"/>
      <c r="AFI56" s="90"/>
      <c r="AFJ56" s="90"/>
      <c r="AFK56" s="90"/>
      <c r="AFL56" s="90"/>
      <c r="AFM56" s="90"/>
      <c r="AFN56" s="90"/>
      <c r="AFO56" s="90"/>
      <c r="AFP56" s="90"/>
      <c r="AFQ56" s="90"/>
      <c r="AFR56" s="90"/>
      <c r="AFS56" s="90"/>
      <c r="AFT56" s="90"/>
      <c r="AFU56" s="90"/>
      <c r="AFV56" s="90"/>
      <c r="AFW56" s="90"/>
      <c r="AFX56" s="90"/>
      <c r="AFY56" s="90"/>
      <c r="AFZ56" s="90"/>
      <c r="AGA56" s="90"/>
      <c r="AGB56" s="90"/>
      <c r="AGC56" s="90"/>
      <c r="AGD56" s="90"/>
      <c r="AGE56" s="90"/>
      <c r="AGF56" s="90"/>
      <c r="AGG56" s="90"/>
      <c r="AGH56" s="90"/>
      <c r="AGI56" s="90"/>
      <c r="AGJ56" s="90"/>
      <c r="AGK56" s="90"/>
      <c r="AGL56" s="90"/>
      <c r="AGM56" s="90"/>
      <c r="AGN56" s="90"/>
      <c r="AGO56" s="90"/>
      <c r="AGP56" s="90"/>
      <c r="AGQ56" s="90"/>
      <c r="AGR56" s="90"/>
      <c r="AGS56" s="90"/>
      <c r="AGT56" s="90"/>
      <c r="AGU56" s="90"/>
      <c r="AGV56" s="90"/>
      <c r="AGW56" s="90"/>
      <c r="AGX56" s="90"/>
      <c r="AGY56" s="90"/>
      <c r="AGZ56" s="90"/>
      <c r="AHA56" s="90"/>
      <c r="AHB56" s="90"/>
      <c r="AHC56" s="90"/>
      <c r="AHD56" s="90"/>
      <c r="AHE56" s="90"/>
      <c r="AHF56" s="90"/>
      <c r="AHG56" s="90"/>
      <c r="AHH56" s="90"/>
      <c r="AHI56" s="90"/>
      <c r="AHJ56" s="90"/>
      <c r="AHK56" s="90"/>
      <c r="AHL56" s="90"/>
      <c r="AHM56" s="90"/>
      <c r="AHN56" s="90"/>
      <c r="AHO56" s="90"/>
      <c r="AHP56" s="90"/>
      <c r="AHQ56" s="90"/>
      <c r="AHR56" s="90"/>
      <c r="AHS56" s="90"/>
      <c r="AHT56" s="90"/>
      <c r="AHU56" s="90"/>
      <c r="AHV56" s="90"/>
      <c r="AHW56" s="90"/>
      <c r="AHX56" s="90"/>
      <c r="AHY56" s="90"/>
      <c r="AHZ56" s="90"/>
      <c r="AIA56" s="90"/>
      <c r="AIB56" s="90"/>
      <c r="AIC56" s="90"/>
      <c r="AID56" s="90"/>
      <c r="AIE56" s="90"/>
      <c r="AIF56" s="90"/>
      <c r="AIG56" s="90"/>
      <c r="AIH56" s="90"/>
      <c r="AII56" s="90"/>
      <c r="AIJ56" s="90"/>
      <c r="AIK56" s="90"/>
      <c r="AIL56" s="90"/>
      <c r="AIM56" s="90"/>
      <c r="AIN56" s="90"/>
      <c r="AIO56" s="90"/>
      <c r="AIP56" s="90"/>
      <c r="AIQ56" s="90"/>
      <c r="AIR56" s="90"/>
      <c r="AIS56" s="90"/>
      <c r="AIT56" s="90"/>
      <c r="AIU56" s="90"/>
      <c r="AIV56" s="90"/>
      <c r="AIW56" s="90"/>
      <c r="AIX56" s="90"/>
      <c r="AIY56" s="90"/>
      <c r="AIZ56" s="90"/>
      <c r="AJA56" s="90"/>
      <c r="AJB56" s="90"/>
      <c r="AJC56" s="90"/>
      <c r="AJD56" s="90"/>
      <c r="AJE56" s="90"/>
      <c r="AJF56" s="90"/>
      <c r="AJG56" s="90"/>
      <c r="AJH56" s="90"/>
      <c r="AJI56" s="90"/>
      <c r="AJJ56" s="90"/>
      <c r="AJK56" s="90"/>
      <c r="AJL56" s="90"/>
      <c r="AJM56" s="90"/>
      <c r="AJN56" s="90"/>
      <c r="AJO56" s="90"/>
      <c r="AJP56" s="90"/>
      <c r="AJQ56" s="90"/>
      <c r="AJR56" s="90"/>
      <c r="AJS56" s="90"/>
      <c r="AJT56" s="90"/>
      <c r="AJU56" s="90"/>
      <c r="AJV56" s="90"/>
      <c r="AJW56" s="90"/>
      <c r="AJX56" s="90"/>
      <c r="AJY56" s="90"/>
      <c r="AJZ56" s="90"/>
      <c r="AKA56" s="90"/>
      <c r="AKB56" s="90"/>
      <c r="AKC56" s="90"/>
      <c r="AKD56" s="90"/>
      <c r="AKE56" s="90"/>
      <c r="AKF56" s="90"/>
      <c r="AKG56" s="90"/>
      <c r="AKH56" s="90"/>
      <c r="AKI56" s="90"/>
      <c r="AKJ56" s="90"/>
      <c r="AKK56" s="90"/>
      <c r="AKL56" s="90"/>
      <c r="AKM56" s="90"/>
      <c r="AKN56" s="90"/>
      <c r="AKO56" s="90"/>
      <c r="AKP56" s="90"/>
      <c r="AKQ56" s="90"/>
      <c r="AKR56" s="90"/>
      <c r="AKS56" s="90"/>
      <c r="AKT56" s="90"/>
      <c r="AKU56" s="90"/>
      <c r="AKV56" s="90"/>
      <c r="AKW56" s="90"/>
      <c r="AKX56" s="90"/>
      <c r="AKY56" s="90"/>
      <c r="AKZ56" s="90"/>
      <c r="ALA56" s="90"/>
      <c r="ALB56" s="90"/>
      <c r="ALC56" s="90"/>
      <c r="ALD56" s="90"/>
      <c r="ALE56" s="90"/>
      <c r="ALF56" s="90"/>
      <c r="ALG56" s="90"/>
      <c r="ALH56" s="90"/>
      <c r="ALI56" s="90"/>
      <c r="ALJ56" s="90"/>
      <c r="ALK56" s="90"/>
      <c r="ALL56" s="90"/>
      <c r="ALM56" s="90"/>
      <c r="ALN56" s="90"/>
      <c r="ALO56" s="90"/>
      <c r="ALP56" s="90"/>
      <c r="ALQ56" s="90"/>
      <c r="ALR56" s="90"/>
      <c r="ALS56" s="90"/>
      <c r="ALT56" s="90"/>
      <c r="ALU56" s="90"/>
      <c r="ALV56" s="90"/>
      <c r="ALW56" s="90"/>
      <c r="ALX56" s="90"/>
      <c r="ALY56" s="90"/>
      <c r="ALZ56" s="90"/>
      <c r="AMA56" s="90"/>
      <c r="AMB56" s="90"/>
      <c r="AMC56" s="90"/>
    </row>
    <row r="57" spans="1:1017">
      <c r="A57" s="98" t="s">
        <v>26</v>
      </c>
      <c r="B57" s="648" t="str">
        <f t="shared" si="829"/>
        <v xml:space="preserve">Gracilaria verrucosa </v>
      </c>
      <c r="Q57" s="91">
        <f t="shared" si="830"/>
        <v>0</v>
      </c>
      <c r="R57" s="91">
        <f t="shared" si="831"/>
        <v>0</v>
      </c>
      <c r="AG57" s="91">
        <f t="shared" si="832"/>
        <v>0</v>
      </c>
      <c r="AH57" s="91">
        <f t="shared" si="833"/>
        <v>0</v>
      </c>
      <c r="AW57" s="91">
        <f t="shared" si="834"/>
        <v>0</v>
      </c>
      <c r="AX57" s="91">
        <f t="shared" si="835"/>
        <v>0</v>
      </c>
      <c r="BM57" s="91">
        <f t="shared" si="836"/>
        <v>0</v>
      </c>
      <c r="BN57" s="91">
        <f t="shared" si="837"/>
        <v>0</v>
      </c>
      <c r="CC57" s="91">
        <f t="shared" si="838"/>
        <v>0</v>
      </c>
      <c r="CD57" s="91">
        <f t="shared" si="839"/>
        <v>0</v>
      </c>
      <c r="CG57" s="98">
        <v>98293</v>
      </c>
      <c r="CH57" s="98">
        <v>245732</v>
      </c>
      <c r="CS57" s="91">
        <f t="shared" si="840"/>
        <v>98293</v>
      </c>
      <c r="CT57" s="91">
        <f t="shared" si="841"/>
        <v>245732</v>
      </c>
      <c r="DI57" s="91">
        <f t="shared" si="842"/>
        <v>0</v>
      </c>
      <c r="DJ57" s="91">
        <f t="shared" si="843"/>
        <v>0</v>
      </c>
      <c r="DY57" s="91">
        <f t="shared" si="844"/>
        <v>0</v>
      </c>
      <c r="DZ57" s="91">
        <f t="shared" si="845"/>
        <v>0</v>
      </c>
      <c r="EO57" s="91">
        <f t="shared" si="846"/>
        <v>0</v>
      </c>
      <c r="EP57" s="91">
        <f t="shared" si="847"/>
        <v>0</v>
      </c>
      <c r="FE57" s="91">
        <f t="shared" si="848"/>
        <v>0</v>
      </c>
      <c r="FF57" s="91">
        <f t="shared" si="849"/>
        <v>0</v>
      </c>
      <c r="FU57" s="91">
        <f t="shared" si="850"/>
        <v>0</v>
      </c>
      <c r="FV57" s="91">
        <f t="shared" si="851"/>
        <v>0</v>
      </c>
      <c r="GK57" s="91">
        <f t="shared" si="852"/>
        <v>0</v>
      </c>
      <c r="GL57" s="91">
        <f t="shared" si="853"/>
        <v>0</v>
      </c>
      <c r="HA57" s="91">
        <f t="shared" si="854"/>
        <v>0</v>
      </c>
      <c r="HB57" s="91">
        <f t="shared" si="855"/>
        <v>0</v>
      </c>
      <c r="HQ57" s="91">
        <f t="shared" si="856"/>
        <v>0</v>
      </c>
      <c r="HR57" s="91">
        <f t="shared" si="857"/>
        <v>0</v>
      </c>
      <c r="IG57" s="91">
        <f t="shared" si="858"/>
        <v>0</v>
      </c>
      <c r="IH57" s="91">
        <f t="shared" si="859"/>
        <v>0</v>
      </c>
      <c r="IW57" s="91">
        <f t="shared" si="860"/>
        <v>0</v>
      </c>
      <c r="IX57" s="91">
        <f t="shared" si="861"/>
        <v>0</v>
      </c>
      <c r="JM57" s="91">
        <f t="shared" si="862"/>
        <v>0</v>
      </c>
      <c r="JN57" s="91">
        <f t="shared" si="863"/>
        <v>0</v>
      </c>
      <c r="KC57" s="91">
        <f t="shared" si="864"/>
        <v>0</v>
      </c>
      <c r="KD57" s="91">
        <f t="shared" si="865"/>
        <v>0</v>
      </c>
      <c r="KS57" s="91">
        <f t="shared" si="866"/>
        <v>0</v>
      </c>
      <c r="KT57" s="91">
        <f t="shared" si="867"/>
        <v>0</v>
      </c>
      <c r="KW57" s="98">
        <v>101989.23</v>
      </c>
      <c r="KX57" s="98">
        <v>152983</v>
      </c>
      <c r="LI57" s="91">
        <f t="shared" si="868"/>
        <v>101989.23</v>
      </c>
      <c r="LJ57" s="91">
        <f t="shared" si="869"/>
        <v>152983</v>
      </c>
      <c r="LY57" s="91">
        <f t="shared" si="870"/>
        <v>0</v>
      </c>
      <c r="LZ57" s="91">
        <f t="shared" si="871"/>
        <v>0</v>
      </c>
      <c r="MO57" s="91">
        <f t="shared" si="872"/>
        <v>0</v>
      </c>
      <c r="MP57" s="91">
        <f t="shared" si="873"/>
        <v>0</v>
      </c>
      <c r="NE57" s="91">
        <f t="shared" si="874"/>
        <v>0</v>
      </c>
      <c r="NF57" s="91">
        <f t="shared" si="875"/>
        <v>0</v>
      </c>
      <c r="NI57" s="98">
        <v>202000</v>
      </c>
      <c r="NJ57" s="98">
        <v>464600</v>
      </c>
      <c r="NU57" s="91">
        <f t="shared" si="876"/>
        <v>202000</v>
      </c>
      <c r="NV57" s="91">
        <f t="shared" si="877"/>
        <v>464600</v>
      </c>
      <c r="NY57" s="98">
        <v>14349</v>
      </c>
      <c r="NZ57" s="98">
        <v>43047</v>
      </c>
      <c r="OK57" s="91">
        <f t="shared" si="878"/>
        <v>14349</v>
      </c>
      <c r="OL57" s="91">
        <f t="shared" si="879"/>
        <v>43047</v>
      </c>
      <c r="PA57" s="91">
        <f t="shared" si="880"/>
        <v>0</v>
      </c>
      <c r="PB57" s="91">
        <f t="shared" si="881"/>
        <v>0</v>
      </c>
      <c r="PE57" s="98">
        <v>26950</v>
      </c>
      <c r="PF57" s="98">
        <v>606382</v>
      </c>
      <c r="PQ57" s="91">
        <f t="shared" si="882"/>
        <v>26950</v>
      </c>
      <c r="PR57" s="91">
        <f t="shared" si="883"/>
        <v>606382</v>
      </c>
      <c r="QG57" s="91">
        <f t="shared" si="884"/>
        <v>0</v>
      </c>
      <c r="QH57" s="91">
        <f t="shared" si="885"/>
        <v>0</v>
      </c>
      <c r="QW57" s="91">
        <f t="shared" si="886"/>
        <v>0</v>
      </c>
      <c r="QX57" s="91">
        <f t="shared" si="887"/>
        <v>0</v>
      </c>
      <c r="RM57" s="91">
        <f t="shared" si="888"/>
        <v>0</v>
      </c>
      <c r="RN57" s="91">
        <f t="shared" si="889"/>
        <v>0</v>
      </c>
      <c r="SC57" s="91">
        <f t="shared" si="890"/>
        <v>0</v>
      </c>
      <c r="SD57" s="91">
        <f t="shared" si="891"/>
        <v>0</v>
      </c>
      <c r="SS57" s="91">
        <f t="shared" si="892"/>
        <v>0</v>
      </c>
      <c r="ST57" s="91">
        <f t="shared" si="893"/>
        <v>0</v>
      </c>
      <c r="TI57" s="91">
        <f t="shared" si="894"/>
        <v>0</v>
      </c>
      <c r="TJ57" s="91">
        <f t="shared" si="895"/>
        <v>0</v>
      </c>
      <c r="TY57" s="91">
        <f t="shared" si="896"/>
        <v>0</v>
      </c>
      <c r="TZ57" s="91">
        <f t="shared" si="897"/>
        <v>0</v>
      </c>
      <c r="UO57" s="91">
        <f t="shared" si="898"/>
        <v>0</v>
      </c>
      <c r="UP57" s="91">
        <f t="shared" si="899"/>
        <v>0</v>
      </c>
      <c r="US57" s="98">
        <v>127500</v>
      </c>
      <c r="UT57" s="98">
        <v>102000</v>
      </c>
      <c r="VE57" s="91">
        <f t="shared" si="900"/>
        <v>127500</v>
      </c>
      <c r="VF57" s="91">
        <f t="shared" si="901"/>
        <v>102000</v>
      </c>
      <c r="VU57" s="91">
        <f t="shared" si="902"/>
        <v>0</v>
      </c>
      <c r="VV57" s="91">
        <f t="shared" si="903"/>
        <v>0</v>
      </c>
      <c r="WK57" s="91">
        <f t="shared" si="904"/>
        <v>0</v>
      </c>
      <c r="WL57" s="91">
        <f t="shared" si="905"/>
        <v>0</v>
      </c>
      <c r="WM57" s="89"/>
      <c r="WN57" s="87">
        <f t="shared" si="906"/>
        <v>0</v>
      </c>
      <c r="WO57" s="87">
        <f t="shared" si="907"/>
        <v>0</v>
      </c>
      <c r="WP57" s="87">
        <f t="shared" si="908"/>
        <v>571081.23</v>
      </c>
      <c r="WQ57" s="87">
        <f t="shared" si="909"/>
        <v>1614744</v>
      </c>
      <c r="WR57" s="87">
        <f t="shared" si="910"/>
        <v>0</v>
      </c>
      <c r="WS57" s="87">
        <f t="shared" si="911"/>
        <v>0</v>
      </c>
      <c r="WT57" s="87">
        <f t="shared" si="912"/>
        <v>0</v>
      </c>
      <c r="WU57" s="87">
        <f t="shared" si="913"/>
        <v>0</v>
      </c>
      <c r="WV57" s="87">
        <f t="shared" si="914"/>
        <v>0</v>
      </c>
      <c r="WW57" s="87">
        <f t="shared" si="915"/>
        <v>0</v>
      </c>
      <c r="WX57" s="87">
        <f t="shared" si="916"/>
        <v>0</v>
      </c>
      <c r="WY57" s="87">
        <f t="shared" si="917"/>
        <v>0</v>
      </c>
      <c r="WZ57" s="87">
        <f t="shared" si="918"/>
        <v>0</v>
      </c>
      <c r="XA57" s="87">
        <f t="shared" si="919"/>
        <v>0</v>
      </c>
      <c r="XB57" s="92">
        <f t="shared" si="920"/>
        <v>571081.23</v>
      </c>
      <c r="XC57" s="92">
        <f t="shared" si="921"/>
        <v>1614744</v>
      </c>
      <c r="XD57" s="89"/>
      <c r="XE57" s="92">
        <f t="shared" ref="XE57:XF57" si="932">SUM(XB133,XB171,XB209)</f>
        <v>5729280.1802711301</v>
      </c>
      <c r="XF57" s="92">
        <f t="shared" si="932"/>
        <v>13496526.36162678</v>
      </c>
      <c r="XG57" s="89"/>
      <c r="XH57" s="92">
        <f t="shared" ref="XH57:XI57" si="933">SUM(XE95,XE133)</f>
        <v>14848671.370452352</v>
      </c>
      <c r="XI57" s="92">
        <f t="shared" si="933"/>
        <v>32837202.735730875</v>
      </c>
      <c r="XJ57" s="89"/>
      <c r="XK57" s="87"/>
      <c r="XL57" s="87"/>
      <c r="XM57" s="87"/>
      <c r="XN57" s="87"/>
      <c r="XO57" s="87"/>
      <c r="XP57" s="87"/>
      <c r="XQ57" s="87"/>
      <c r="XR57" s="92">
        <f t="shared" ca="1" si="922"/>
        <v>0</v>
      </c>
      <c r="XS57" s="89"/>
      <c r="XT57" s="87"/>
      <c r="XU57" s="87"/>
      <c r="XV57" s="87"/>
      <c r="XW57" s="87"/>
      <c r="XX57" s="87"/>
      <c r="XY57" s="87"/>
      <c r="XZ57" s="87"/>
      <c r="YA57" s="92">
        <f t="shared" ca="1" si="923"/>
        <v>0</v>
      </c>
      <c r="YB57" s="90"/>
      <c r="YC57" s="90"/>
      <c r="YD57" s="90"/>
      <c r="YE57" s="90"/>
      <c r="YF57" s="90"/>
      <c r="YG57" s="90"/>
      <c r="YH57" s="90"/>
      <c r="YI57" s="90"/>
      <c r="YJ57" s="90"/>
      <c r="YK57" s="90"/>
      <c r="YL57" s="90"/>
      <c r="YM57" s="90"/>
      <c r="YN57" s="90"/>
      <c r="YO57" s="90"/>
      <c r="YP57" s="90"/>
      <c r="YQ57" s="90"/>
      <c r="YR57" s="90"/>
      <c r="YS57" s="90"/>
      <c r="YT57" s="90"/>
      <c r="YU57" s="90"/>
      <c r="YV57" s="90"/>
      <c r="YW57" s="90"/>
      <c r="YX57" s="90"/>
      <c r="YY57" s="90"/>
      <c r="YZ57" s="90"/>
      <c r="ZA57" s="90"/>
      <c r="ZB57" s="90"/>
      <c r="ZC57" s="90"/>
      <c r="ZD57" s="90"/>
      <c r="ZE57" s="90"/>
      <c r="ZF57" s="90"/>
      <c r="ZG57" s="90"/>
      <c r="ZH57" s="90"/>
      <c r="ZI57" s="90"/>
      <c r="ZJ57" s="90"/>
      <c r="ZK57" s="90"/>
      <c r="ZL57" s="90"/>
      <c r="ZM57" s="90"/>
      <c r="ZN57" s="90"/>
      <c r="ZO57" s="90"/>
      <c r="ZP57" s="90"/>
      <c r="ZQ57" s="90"/>
      <c r="ZR57" s="90"/>
      <c r="ZS57" s="90"/>
      <c r="ZT57" s="90"/>
      <c r="ZU57" s="90"/>
      <c r="ZV57" s="90"/>
      <c r="ZW57" s="90"/>
      <c r="ZX57" s="90"/>
      <c r="ZY57" s="90"/>
      <c r="ZZ57" s="90"/>
      <c r="AAA57" s="90"/>
      <c r="AAB57" s="90"/>
      <c r="AAC57" s="90"/>
      <c r="AAD57" s="90"/>
      <c r="AAE57" s="90"/>
      <c r="AAF57" s="90"/>
      <c r="AAG57" s="90"/>
      <c r="AAH57" s="90"/>
      <c r="AAI57" s="90"/>
      <c r="AAJ57" s="90"/>
      <c r="AAK57" s="90"/>
      <c r="AAL57" s="90"/>
      <c r="AAM57" s="90"/>
      <c r="AAN57" s="90"/>
      <c r="AAO57" s="90"/>
      <c r="AAP57" s="90"/>
      <c r="AAQ57" s="90"/>
      <c r="AAR57" s="90"/>
      <c r="AAS57" s="90"/>
      <c r="AAT57" s="90"/>
      <c r="AAU57" s="90"/>
      <c r="AAV57" s="90"/>
      <c r="AAW57" s="90"/>
      <c r="AAX57" s="90"/>
      <c r="AAY57" s="90"/>
      <c r="AAZ57" s="90"/>
      <c r="ABA57" s="90"/>
      <c r="ABB57" s="90"/>
      <c r="ABC57" s="90"/>
      <c r="ABD57" s="90"/>
      <c r="ABE57" s="90"/>
      <c r="ABF57" s="90"/>
      <c r="ABG57" s="90"/>
      <c r="ABH57" s="90"/>
      <c r="ABI57" s="90"/>
      <c r="ABJ57" s="90"/>
      <c r="ABK57" s="90"/>
      <c r="ABL57" s="90"/>
      <c r="ABM57" s="90"/>
      <c r="ABN57" s="90"/>
      <c r="ABO57" s="90"/>
      <c r="ABP57" s="90"/>
      <c r="ABQ57" s="90"/>
      <c r="ABR57" s="90"/>
      <c r="ABS57" s="90"/>
      <c r="ABT57" s="90"/>
      <c r="ABU57" s="90"/>
      <c r="ABV57" s="90"/>
      <c r="ABW57" s="90"/>
      <c r="ABX57" s="90"/>
      <c r="ABY57" s="90"/>
      <c r="ABZ57" s="90"/>
      <c r="ACA57" s="90"/>
      <c r="ACB57" s="90"/>
      <c r="ACC57" s="90"/>
      <c r="ACD57" s="90"/>
      <c r="ACE57" s="90"/>
      <c r="ACF57" s="90"/>
      <c r="ACG57" s="90"/>
      <c r="ACH57" s="90"/>
      <c r="ACI57" s="90"/>
      <c r="ACJ57" s="90"/>
      <c r="ACK57" s="90"/>
      <c r="ACL57" s="90"/>
      <c r="ACM57" s="90"/>
      <c r="ACN57" s="90"/>
      <c r="ACO57" s="90"/>
      <c r="ACP57" s="90"/>
      <c r="ACQ57" s="90"/>
      <c r="ACR57" s="90"/>
      <c r="ACS57" s="90"/>
      <c r="ACT57" s="90"/>
      <c r="ACU57" s="90"/>
      <c r="ACV57" s="90"/>
      <c r="ACW57" s="90"/>
      <c r="ACX57" s="90"/>
      <c r="ACY57" s="90"/>
      <c r="ACZ57" s="90"/>
      <c r="ADA57" s="90"/>
      <c r="ADB57" s="90"/>
      <c r="ADC57" s="90"/>
      <c r="ADD57" s="90"/>
      <c r="ADE57" s="90"/>
      <c r="ADF57" s="90"/>
      <c r="ADG57" s="90"/>
      <c r="ADH57" s="90"/>
      <c r="ADI57" s="90"/>
      <c r="ADJ57" s="90"/>
      <c r="ADK57" s="90"/>
      <c r="ADL57" s="90"/>
      <c r="ADM57" s="90"/>
      <c r="ADN57" s="90"/>
      <c r="ADO57" s="90"/>
      <c r="ADP57" s="90"/>
      <c r="ADQ57" s="90"/>
      <c r="ADR57" s="90"/>
      <c r="ADS57" s="90"/>
      <c r="ADT57" s="90"/>
      <c r="ADU57" s="90"/>
      <c r="ADV57" s="90"/>
      <c r="ADW57" s="90"/>
      <c r="ADX57" s="90"/>
      <c r="ADY57" s="90"/>
      <c r="ADZ57" s="90"/>
      <c r="AEA57" s="90"/>
      <c r="AEB57" s="90"/>
      <c r="AEC57" s="90"/>
      <c r="AED57" s="90"/>
      <c r="AEE57" s="90"/>
      <c r="AEF57" s="90"/>
      <c r="AEG57" s="90"/>
      <c r="AEH57" s="90"/>
      <c r="AEI57" s="90"/>
      <c r="AEJ57" s="90"/>
      <c r="AEK57" s="90"/>
      <c r="AEL57" s="90"/>
      <c r="AEM57" s="90"/>
      <c r="AEN57" s="90"/>
      <c r="AEO57" s="90"/>
      <c r="AEP57" s="90"/>
      <c r="AEQ57" s="90"/>
      <c r="AER57" s="90"/>
      <c r="AES57" s="90"/>
      <c r="AET57" s="90"/>
      <c r="AEU57" s="90"/>
      <c r="AEV57" s="90"/>
      <c r="AEW57" s="90"/>
      <c r="AEX57" s="90"/>
      <c r="AEY57" s="90"/>
      <c r="AEZ57" s="90"/>
      <c r="AFA57" s="90"/>
      <c r="AFB57" s="90"/>
      <c r="AFC57" s="90"/>
      <c r="AFD57" s="90"/>
      <c r="AFE57" s="90"/>
      <c r="AFF57" s="90"/>
      <c r="AFG57" s="90"/>
      <c r="AFH57" s="90"/>
      <c r="AFI57" s="90"/>
      <c r="AFJ57" s="90"/>
      <c r="AFK57" s="90"/>
      <c r="AFL57" s="90"/>
      <c r="AFM57" s="90"/>
      <c r="AFN57" s="90"/>
      <c r="AFO57" s="90"/>
      <c r="AFP57" s="90"/>
      <c r="AFQ57" s="90"/>
      <c r="AFR57" s="90"/>
      <c r="AFS57" s="90"/>
      <c r="AFT57" s="90"/>
      <c r="AFU57" s="90"/>
      <c r="AFV57" s="90"/>
      <c r="AFW57" s="90"/>
      <c r="AFX57" s="90"/>
      <c r="AFY57" s="90"/>
      <c r="AFZ57" s="90"/>
      <c r="AGA57" s="90"/>
      <c r="AGB57" s="90"/>
      <c r="AGC57" s="90"/>
      <c r="AGD57" s="90"/>
      <c r="AGE57" s="90"/>
      <c r="AGF57" s="90"/>
      <c r="AGG57" s="90"/>
      <c r="AGH57" s="90"/>
      <c r="AGI57" s="90"/>
      <c r="AGJ57" s="90"/>
      <c r="AGK57" s="90"/>
      <c r="AGL57" s="90"/>
      <c r="AGM57" s="90"/>
      <c r="AGN57" s="90"/>
      <c r="AGO57" s="90"/>
      <c r="AGP57" s="90"/>
      <c r="AGQ57" s="90"/>
      <c r="AGR57" s="90"/>
      <c r="AGS57" s="90"/>
      <c r="AGT57" s="90"/>
      <c r="AGU57" s="90"/>
      <c r="AGV57" s="90"/>
      <c r="AGW57" s="90"/>
      <c r="AGX57" s="90"/>
      <c r="AGY57" s="90"/>
      <c r="AGZ57" s="90"/>
      <c r="AHA57" s="90"/>
      <c r="AHB57" s="90"/>
      <c r="AHC57" s="90"/>
      <c r="AHD57" s="90"/>
      <c r="AHE57" s="90"/>
      <c r="AHF57" s="90"/>
      <c r="AHG57" s="90"/>
      <c r="AHH57" s="90"/>
      <c r="AHI57" s="90"/>
      <c r="AHJ57" s="90"/>
      <c r="AHK57" s="90"/>
      <c r="AHL57" s="90"/>
      <c r="AHM57" s="90"/>
      <c r="AHN57" s="90"/>
      <c r="AHO57" s="90"/>
      <c r="AHP57" s="90"/>
      <c r="AHQ57" s="90"/>
      <c r="AHR57" s="90"/>
      <c r="AHS57" s="90"/>
      <c r="AHT57" s="90"/>
      <c r="AHU57" s="90"/>
      <c r="AHV57" s="90"/>
      <c r="AHW57" s="90"/>
      <c r="AHX57" s="90"/>
      <c r="AHY57" s="90"/>
      <c r="AHZ57" s="90"/>
      <c r="AIA57" s="90"/>
      <c r="AIB57" s="90"/>
      <c r="AIC57" s="90"/>
      <c r="AID57" s="90"/>
      <c r="AIE57" s="90"/>
      <c r="AIF57" s="90"/>
      <c r="AIG57" s="90"/>
      <c r="AIH57" s="90"/>
      <c r="AII57" s="90"/>
      <c r="AIJ57" s="90"/>
      <c r="AIK57" s="90"/>
      <c r="AIL57" s="90"/>
      <c r="AIM57" s="90"/>
      <c r="AIN57" s="90"/>
      <c r="AIO57" s="90"/>
      <c r="AIP57" s="90"/>
      <c r="AIQ57" s="90"/>
      <c r="AIR57" s="90"/>
      <c r="AIS57" s="90"/>
      <c r="AIT57" s="90"/>
      <c r="AIU57" s="90"/>
      <c r="AIV57" s="90"/>
      <c r="AIW57" s="90"/>
      <c r="AIX57" s="90"/>
      <c r="AIY57" s="90"/>
      <c r="AIZ57" s="90"/>
      <c r="AJA57" s="90"/>
      <c r="AJB57" s="90"/>
      <c r="AJC57" s="90"/>
      <c r="AJD57" s="90"/>
      <c r="AJE57" s="90"/>
      <c r="AJF57" s="90"/>
      <c r="AJG57" s="90"/>
      <c r="AJH57" s="90"/>
      <c r="AJI57" s="90"/>
      <c r="AJJ57" s="90"/>
      <c r="AJK57" s="90"/>
      <c r="AJL57" s="90"/>
      <c r="AJM57" s="90"/>
      <c r="AJN57" s="90"/>
      <c r="AJO57" s="90"/>
      <c r="AJP57" s="90"/>
      <c r="AJQ57" s="90"/>
      <c r="AJR57" s="90"/>
      <c r="AJS57" s="90"/>
      <c r="AJT57" s="90"/>
      <c r="AJU57" s="90"/>
      <c r="AJV57" s="90"/>
      <c r="AJW57" s="90"/>
      <c r="AJX57" s="90"/>
      <c r="AJY57" s="90"/>
      <c r="AJZ57" s="90"/>
      <c r="AKA57" s="90"/>
      <c r="AKB57" s="90"/>
      <c r="AKC57" s="90"/>
      <c r="AKD57" s="90"/>
      <c r="AKE57" s="90"/>
      <c r="AKF57" s="90"/>
      <c r="AKG57" s="90"/>
      <c r="AKH57" s="90"/>
      <c r="AKI57" s="90"/>
      <c r="AKJ57" s="90"/>
      <c r="AKK57" s="90"/>
      <c r="AKL57" s="90"/>
      <c r="AKM57" s="90"/>
      <c r="AKN57" s="90"/>
      <c r="AKO57" s="90"/>
      <c r="AKP57" s="90"/>
      <c r="AKQ57" s="90"/>
      <c r="AKR57" s="90"/>
      <c r="AKS57" s="90"/>
      <c r="AKT57" s="90"/>
      <c r="AKU57" s="90"/>
      <c r="AKV57" s="90"/>
      <c r="AKW57" s="90"/>
      <c r="AKX57" s="90"/>
      <c r="AKY57" s="90"/>
      <c r="AKZ57" s="90"/>
      <c r="ALA57" s="90"/>
      <c r="ALB57" s="90"/>
      <c r="ALC57" s="90"/>
      <c r="ALD57" s="90"/>
      <c r="ALE57" s="90"/>
      <c r="ALF57" s="90"/>
      <c r="ALG57" s="90"/>
      <c r="ALH57" s="90"/>
      <c r="ALI57" s="90"/>
      <c r="ALJ57" s="90"/>
      <c r="ALK57" s="90"/>
      <c r="ALL57" s="90"/>
      <c r="ALM57" s="90"/>
      <c r="ALN57" s="90"/>
      <c r="ALO57" s="90"/>
      <c r="ALP57" s="90"/>
      <c r="ALQ57" s="90"/>
      <c r="ALR57" s="90"/>
      <c r="ALS57" s="90"/>
      <c r="ALT57" s="90"/>
      <c r="ALU57" s="90"/>
      <c r="ALV57" s="90"/>
      <c r="ALW57" s="90"/>
      <c r="ALX57" s="90"/>
      <c r="ALY57" s="90"/>
      <c r="ALZ57" s="90"/>
      <c r="AMA57" s="90"/>
      <c r="AMB57" s="90"/>
      <c r="AMC57" s="90"/>
    </row>
    <row r="58" spans="1:1017">
      <c r="A58" s="98" t="s">
        <v>26</v>
      </c>
      <c r="B58" s="648" t="str">
        <f t="shared" si="829"/>
        <v xml:space="preserve">Gurame, Gurami </v>
      </c>
      <c r="Q58" s="91">
        <f t="shared" si="830"/>
        <v>0</v>
      </c>
      <c r="R58" s="91">
        <f t="shared" si="831"/>
        <v>0</v>
      </c>
      <c r="Y58" s="778">
        <v>10410</v>
      </c>
      <c r="Z58" s="778">
        <v>364350</v>
      </c>
      <c r="AG58" s="91">
        <f t="shared" si="832"/>
        <v>10410</v>
      </c>
      <c r="AH58" s="91">
        <f t="shared" si="833"/>
        <v>364350</v>
      </c>
      <c r="AO58" s="98">
        <v>553700</v>
      </c>
      <c r="AP58" s="98">
        <v>15503600</v>
      </c>
      <c r="AW58" s="91">
        <f t="shared" si="834"/>
        <v>553700</v>
      </c>
      <c r="AX58" s="91">
        <f t="shared" si="835"/>
        <v>15503600</v>
      </c>
      <c r="BE58" s="98">
        <v>7190</v>
      </c>
      <c r="BF58" s="98">
        <v>215700</v>
      </c>
      <c r="BM58" s="91">
        <f t="shared" si="836"/>
        <v>7190</v>
      </c>
      <c r="BN58" s="91">
        <f t="shared" si="837"/>
        <v>215700</v>
      </c>
      <c r="BU58" s="98">
        <v>3143</v>
      </c>
      <c r="BV58" s="98">
        <v>119434</v>
      </c>
      <c r="CC58" s="91">
        <f t="shared" si="838"/>
        <v>3143</v>
      </c>
      <c r="CD58" s="91">
        <f t="shared" si="839"/>
        <v>119434</v>
      </c>
      <c r="CK58" s="98">
        <v>399</v>
      </c>
      <c r="CL58" s="98">
        <v>7973</v>
      </c>
      <c r="CS58" s="91">
        <f t="shared" si="840"/>
        <v>399</v>
      </c>
      <c r="CT58" s="91">
        <f t="shared" si="841"/>
        <v>7973</v>
      </c>
      <c r="DA58" s="98">
        <v>232820</v>
      </c>
      <c r="DB58" s="98">
        <v>8148700</v>
      </c>
      <c r="DI58" s="91">
        <f t="shared" si="842"/>
        <v>232820</v>
      </c>
      <c r="DJ58" s="91">
        <f t="shared" si="843"/>
        <v>8148700</v>
      </c>
      <c r="DQ58" s="98">
        <v>30500</v>
      </c>
      <c r="DR58" s="98">
        <v>915000</v>
      </c>
      <c r="DY58" s="91">
        <f t="shared" si="844"/>
        <v>30500</v>
      </c>
      <c r="DZ58" s="91">
        <f t="shared" si="845"/>
        <v>915000</v>
      </c>
      <c r="EG58" s="98">
        <v>172400</v>
      </c>
      <c r="EH58" s="98">
        <v>4827200</v>
      </c>
      <c r="EO58" s="91">
        <f t="shared" si="846"/>
        <v>172400</v>
      </c>
      <c r="EP58" s="91">
        <f t="shared" si="847"/>
        <v>4827200</v>
      </c>
      <c r="FE58" s="91">
        <f t="shared" si="848"/>
        <v>0</v>
      </c>
      <c r="FF58" s="91">
        <f t="shared" si="849"/>
        <v>0</v>
      </c>
      <c r="FM58" s="98">
        <v>62500</v>
      </c>
      <c r="FN58" s="98">
        <v>2187500</v>
      </c>
      <c r="FU58" s="91">
        <f t="shared" si="850"/>
        <v>62500</v>
      </c>
      <c r="FV58" s="91">
        <f t="shared" si="851"/>
        <v>2187500</v>
      </c>
      <c r="GC58" s="98">
        <v>38000</v>
      </c>
      <c r="GD58" s="98">
        <v>1064000</v>
      </c>
      <c r="GK58" s="91">
        <f t="shared" si="852"/>
        <v>38000</v>
      </c>
      <c r="GL58" s="91">
        <f t="shared" si="853"/>
        <v>1064000</v>
      </c>
      <c r="GS58" s="98">
        <v>6400</v>
      </c>
      <c r="GT58" s="98">
        <v>179200</v>
      </c>
      <c r="HA58" s="91">
        <f t="shared" si="854"/>
        <v>6400</v>
      </c>
      <c r="HB58" s="91">
        <f t="shared" si="855"/>
        <v>179200</v>
      </c>
      <c r="HI58" s="98">
        <v>3500</v>
      </c>
      <c r="HJ58" s="98">
        <v>105000</v>
      </c>
      <c r="HQ58" s="91">
        <f t="shared" si="856"/>
        <v>3500</v>
      </c>
      <c r="HR58" s="91">
        <f t="shared" si="857"/>
        <v>105000</v>
      </c>
      <c r="HY58" s="98">
        <v>15680</v>
      </c>
      <c r="HZ58" s="98">
        <v>548800</v>
      </c>
      <c r="IG58" s="91">
        <f t="shared" si="858"/>
        <v>15680</v>
      </c>
      <c r="IH58" s="91">
        <f t="shared" si="859"/>
        <v>548800</v>
      </c>
      <c r="IO58" s="98">
        <v>91000</v>
      </c>
      <c r="IP58" s="98">
        <v>2548000</v>
      </c>
      <c r="IW58" s="91">
        <f t="shared" si="860"/>
        <v>91000</v>
      </c>
      <c r="IX58" s="91">
        <f t="shared" si="861"/>
        <v>2548000</v>
      </c>
      <c r="JE58" s="98">
        <v>15370</v>
      </c>
      <c r="JF58" s="98">
        <v>461100</v>
      </c>
      <c r="JM58" s="91">
        <f t="shared" si="862"/>
        <v>15370</v>
      </c>
      <c r="JN58" s="91">
        <f t="shared" si="863"/>
        <v>461100</v>
      </c>
      <c r="JU58" s="98">
        <v>270</v>
      </c>
      <c r="JV58" s="98">
        <v>9450</v>
      </c>
      <c r="KC58" s="91">
        <f t="shared" si="864"/>
        <v>270</v>
      </c>
      <c r="KD58" s="91">
        <f t="shared" si="865"/>
        <v>9450</v>
      </c>
      <c r="KK58" s="98">
        <v>157</v>
      </c>
      <c r="KL58" s="98">
        <v>7850</v>
      </c>
      <c r="KS58" s="91">
        <f t="shared" si="866"/>
        <v>157</v>
      </c>
      <c r="KT58" s="91">
        <f t="shared" si="867"/>
        <v>7850</v>
      </c>
      <c r="LA58" s="98">
        <v>21314.52</v>
      </c>
      <c r="LB58" s="98">
        <v>746008</v>
      </c>
      <c r="LI58" s="91">
        <f t="shared" si="868"/>
        <v>21314.52</v>
      </c>
      <c r="LJ58" s="91">
        <f t="shared" si="869"/>
        <v>746008</v>
      </c>
      <c r="LQ58" s="98">
        <v>27096</v>
      </c>
      <c r="LR58" s="98">
        <v>758688</v>
      </c>
      <c r="LY58" s="91">
        <f t="shared" si="870"/>
        <v>27096</v>
      </c>
      <c r="LZ58" s="91">
        <f t="shared" si="871"/>
        <v>758688</v>
      </c>
      <c r="MG58" s="98">
        <v>200</v>
      </c>
      <c r="MH58" s="98">
        <v>5400</v>
      </c>
      <c r="MO58" s="91">
        <f t="shared" si="872"/>
        <v>200</v>
      </c>
      <c r="MP58" s="91">
        <f t="shared" si="873"/>
        <v>5400</v>
      </c>
      <c r="NE58" s="91">
        <f t="shared" si="874"/>
        <v>0</v>
      </c>
      <c r="NF58" s="91">
        <f t="shared" si="875"/>
        <v>0</v>
      </c>
      <c r="NM58" s="98">
        <v>28000</v>
      </c>
      <c r="NN58" s="98">
        <v>784000</v>
      </c>
      <c r="NQ58" s="98">
        <v>800</v>
      </c>
      <c r="NR58" s="98">
        <v>22400</v>
      </c>
      <c r="NU58" s="91">
        <f t="shared" si="876"/>
        <v>28800</v>
      </c>
      <c r="NV58" s="91">
        <f t="shared" si="877"/>
        <v>806400</v>
      </c>
      <c r="OC58" s="98">
        <v>100</v>
      </c>
      <c r="OD58" s="98">
        <v>3300</v>
      </c>
      <c r="OK58" s="91">
        <f t="shared" si="878"/>
        <v>100</v>
      </c>
      <c r="OL58" s="91">
        <f t="shared" si="879"/>
        <v>3300</v>
      </c>
      <c r="OS58" s="98">
        <v>1792</v>
      </c>
      <c r="OT58" s="98">
        <v>91392</v>
      </c>
      <c r="PA58" s="91">
        <f t="shared" si="880"/>
        <v>1792</v>
      </c>
      <c r="PB58" s="91">
        <f t="shared" si="881"/>
        <v>91392</v>
      </c>
      <c r="PQ58" s="91">
        <f t="shared" si="882"/>
        <v>0</v>
      </c>
      <c r="PR58" s="91">
        <f t="shared" si="883"/>
        <v>0</v>
      </c>
      <c r="PY58" s="98">
        <v>2070</v>
      </c>
      <c r="PZ58" s="98">
        <v>62100</v>
      </c>
      <c r="QG58" s="91">
        <f t="shared" si="884"/>
        <v>2070</v>
      </c>
      <c r="QH58" s="91">
        <f t="shared" si="885"/>
        <v>62100</v>
      </c>
      <c r="QO58" s="98">
        <v>1680000</v>
      </c>
      <c r="QP58" s="98">
        <v>38640000</v>
      </c>
      <c r="QW58" s="91">
        <f t="shared" si="886"/>
        <v>1680000</v>
      </c>
      <c r="QX58" s="91">
        <f t="shared" si="887"/>
        <v>38640000</v>
      </c>
      <c r="RM58" s="91">
        <f t="shared" si="888"/>
        <v>0</v>
      </c>
      <c r="RN58" s="91">
        <f t="shared" si="889"/>
        <v>0</v>
      </c>
      <c r="RU58" s="98">
        <v>4780</v>
      </c>
      <c r="RV58" s="98">
        <v>114720</v>
      </c>
      <c r="SC58" s="91">
        <f t="shared" si="890"/>
        <v>4780</v>
      </c>
      <c r="SD58" s="91">
        <f t="shared" si="891"/>
        <v>114720</v>
      </c>
      <c r="SS58" s="91">
        <f t="shared" si="892"/>
        <v>0</v>
      </c>
      <c r="ST58" s="91">
        <f t="shared" si="893"/>
        <v>0</v>
      </c>
      <c r="TA58" s="98">
        <v>7345</v>
      </c>
      <c r="TB58" s="98">
        <v>220350</v>
      </c>
      <c r="TI58" s="91">
        <f t="shared" si="894"/>
        <v>7345</v>
      </c>
      <c r="TJ58" s="91">
        <f t="shared" si="895"/>
        <v>220350</v>
      </c>
      <c r="TY58" s="91">
        <f t="shared" si="896"/>
        <v>0</v>
      </c>
      <c r="TZ58" s="91">
        <f t="shared" si="897"/>
        <v>0</v>
      </c>
      <c r="UG58" s="98">
        <v>271</v>
      </c>
      <c r="UH58" s="98">
        <v>8130</v>
      </c>
      <c r="UO58" s="91">
        <f t="shared" si="898"/>
        <v>271</v>
      </c>
      <c r="UP58" s="91">
        <f t="shared" si="899"/>
        <v>8130</v>
      </c>
      <c r="VE58" s="91">
        <f t="shared" si="900"/>
        <v>0</v>
      </c>
      <c r="VF58" s="91">
        <f t="shared" si="901"/>
        <v>0</v>
      </c>
      <c r="VM58" s="98">
        <v>687</v>
      </c>
      <c r="VN58" s="98">
        <v>24045</v>
      </c>
      <c r="VU58" s="91">
        <f t="shared" si="902"/>
        <v>687</v>
      </c>
      <c r="VV58" s="91">
        <f t="shared" si="903"/>
        <v>24045</v>
      </c>
      <c r="WK58" s="91">
        <f t="shared" si="904"/>
        <v>0</v>
      </c>
      <c r="WL58" s="91">
        <f t="shared" si="905"/>
        <v>0</v>
      </c>
      <c r="WM58" s="89"/>
      <c r="WN58" s="87">
        <f t="shared" si="906"/>
        <v>0</v>
      </c>
      <c r="WO58" s="87">
        <f t="shared" si="907"/>
        <v>0</v>
      </c>
      <c r="WP58" s="87">
        <f t="shared" si="908"/>
        <v>0</v>
      </c>
      <c r="WQ58" s="87">
        <f t="shared" si="909"/>
        <v>0</v>
      </c>
      <c r="WR58" s="87">
        <f t="shared" si="910"/>
        <v>0</v>
      </c>
      <c r="WS58" s="87">
        <f t="shared" si="911"/>
        <v>0</v>
      </c>
      <c r="WT58" s="87">
        <f t="shared" si="912"/>
        <v>3017094.52</v>
      </c>
      <c r="WU58" s="87">
        <f t="shared" si="913"/>
        <v>78670990</v>
      </c>
      <c r="WV58" s="87">
        <f t="shared" si="914"/>
        <v>0</v>
      </c>
      <c r="WW58" s="87">
        <f t="shared" si="915"/>
        <v>0</v>
      </c>
      <c r="WX58" s="87">
        <f t="shared" si="916"/>
        <v>800</v>
      </c>
      <c r="WY58" s="87">
        <f t="shared" si="917"/>
        <v>22400</v>
      </c>
      <c r="WZ58" s="87">
        <f t="shared" si="918"/>
        <v>0</v>
      </c>
      <c r="XA58" s="87">
        <f t="shared" si="919"/>
        <v>0</v>
      </c>
      <c r="XB58" s="92">
        <f t="shared" si="920"/>
        <v>3017894.52</v>
      </c>
      <c r="XC58" s="92">
        <f t="shared" si="921"/>
        <v>78693390</v>
      </c>
      <c r="XD58" s="89"/>
      <c r="XE58" s="92">
        <f t="shared" ref="XE58:XF58" si="934">SUM(XB134,XB172,XB210)</f>
        <v>10274768.155002801</v>
      </c>
      <c r="XF58" s="92">
        <f t="shared" si="934"/>
        <v>296162206.79507005</v>
      </c>
      <c r="XG58" s="89"/>
      <c r="XH58" s="92">
        <f t="shared" ref="XH58:XI58" si="935">SUM(XE96,XE134)</f>
        <v>19639561.721460924</v>
      </c>
      <c r="XI58" s="92">
        <f t="shared" si="935"/>
        <v>533149260.09111226</v>
      </c>
      <c r="XJ58" s="89"/>
      <c r="XK58" s="87"/>
      <c r="XL58" s="87"/>
      <c r="XM58" s="87"/>
      <c r="XN58" s="87"/>
      <c r="XO58" s="87"/>
      <c r="XP58" s="87"/>
      <c r="XQ58" s="87"/>
      <c r="XR58" s="92">
        <f t="shared" ca="1" si="922"/>
        <v>0</v>
      </c>
      <c r="XS58" s="89"/>
      <c r="XT58" s="87"/>
      <c r="XU58" s="87"/>
      <c r="XV58" s="87"/>
      <c r="XW58" s="87"/>
      <c r="XX58" s="87"/>
      <c r="XY58" s="87"/>
      <c r="XZ58" s="87"/>
      <c r="YA58" s="92">
        <f t="shared" ca="1" si="923"/>
        <v>0</v>
      </c>
      <c r="YB58" s="90"/>
      <c r="YC58" s="90"/>
      <c r="YD58" s="90"/>
      <c r="YE58" s="90"/>
      <c r="YF58" s="90"/>
      <c r="YG58" s="90"/>
      <c r="YH58" s="90"/>
      <c r="YI58" s="90"/>
      <c r="YJ58" s="90"/>
      <c r="YK58" s="90"/>
      <c r="YL58" s="90"/>
      <c r="YM58" s="90"/>
      <c r="YN58" s="90"/>
      <c r="YO58" s="90"/>
      <c r="YP58" s="90"/>
      <c r="YQ58" s="90"/>
      <c r="YR58" s="90"/>
      <c r="YS58" s="90"/>
      <c r="YT58" s="90"/>
      <c r="YU58" s="90"/>
      <c r="YV58" s="90"/>
      <c r="YW58" s="90"/>
      <c r="YX58" s="90"/>
      <c r="YY58" s="90"/>
      <c r="YZ58" s="90"/>
      <c r="ZA58" s="90"/>
      <c r="ZB58" s="90"/>
      <c r="ZC58" s="90"/>
      <c r="ZD58" s="90"/>
      <c r="ZE58" s="90"/>
      <c r="ZF58" s="90"/>
      <c r="ZG58" s="90"/>
      <c r="ZH58" s="90"/>
      <c r="ZI58" s="90"/>
      <c r="ZJ58" s="90"/>
      <c r="ZK58" s="90"/>
      <c r="ZL58" s="90"/>
      <c r="ZM58" s="90"/>
      <c r="ZN58" s="90"/>
      <c r="ZO58" s="90"/>
      <c r="ZP58" s="90"/>
      <c r="ZQ58" s="90"/>
      <c r="ZR58" s="90"/>
      <c r="ZS58" s="90"/>
      <c r="ZT58" s="90"/>
      <c r="ZU58" s="90"/>
      <c r="ZV58" s="90"/>
      <c r="ZW58" s="90"/>
      <c r="ZX58" s="90"/>
      <c r="ZY58" s="90"/>
      <c r="ZZ58" s="90"/>
      <c r="AAA58" s="90"/>
      <c r="AAB58" s="90"/>
      <c r="AAC58" s="90"/>
      <c r="AAD58" s="90"/>
      <c r="AAE58" s="90"/>
      <c r="AAF58" s="90"/>
      <c r="AAG58" s="90"/>
      <c r="AAH58" s="90"/>
      <c r="AAI58" s="90"/>
      <c r="AAJ58" s="90"/>
      <c r="AAK58" s="90"/>
      <c r="AAL58" s="90"/>
      <c r="AAM58" s="90"/>
      <c r="AAN58" s="90"/>
      <c r="AAO58" s="90"/>
      <c r="AAP58" s="90"/>
      <c r="AAQ58" s="90"/>
      <c r="AAR58" s="90"/>
      <c r="AAS58" s="90"/>
      <c r="AAT58" s="90"/>
      <c r="AAU58" s="90"/>
      <c r="AAV58" s="90"/>
      <c r="AAW58" s="90"/>
      <c r="AAX58" s="90"/>
      <c r="AAY58" s="90"/>
      <c r="AAZ58" s="90"/>
      <c r="ABA58" s="90"/>
      <c r="ABB58" s="90"/>
      <c r="ABC58" s="90"/>
      <c r="ABD58" s="90"/>
      <c r="ABE58" s="90"/>
      <c r="ABF58" s="90"/>
      <c r="ABG58" s="90"/>
      <c r="ABH58" s="90"/>
      <c r="ABI58" s="90"/>
      <c r="ABJ58" s="90"/>
      <c r="ABK58" s="90"/>
      <c r="ABL58" s="90"/>
      <c r="ABM58" s="90"/>
      <c r="ABN58" s="90"/>
      <c r="ABO58" s="90"/>
      <c r="ABP58" s="90"/>
      <c r="ABQ58" s="90"/>
      <c r="ABR58" s="90"/>
      <c r="ABS58" s="90"/>
      <c r="ABT58" s="90"/>
      <c r="ABU58" s="90"/>
      <c r="ABV58" s="90"/>
      <c r="ABW58" s="90"/>
      <c r="ABX58" s="90"/>
      <c r="ABY58" s="90"/>
      <c r="ABZ58" s="90"/>
      <c r="ACA58" s="90"/>
      <c r="ACB58" s="90"/>
      <c r="ACC58" s="90"/>
      <c r="ACD58" s="90"/>
      <c r="ACE58" s="90"/>
      <c r="ACF58" s="90"/>
      <c r="ACG58" s="90"/>
      <c r="ACH58" s="90"/>
      <c r="ACI58" s="90"/>
      <c r="ACJ58" s="90"/>
      <c r="ACK58" s="90"/>
      <c r="ACL58" s="90"/>
      <c r="ACM58" s="90"/>
      <c r="ACN58" s="90"/>
      <c r="ACO58" s="90"/>
      <c r="ACP58" s="90"/>
      <c r="ACQ58" s="90"/>
      <c r="ACR58" s="90"/>
      <c r="ACS58" s="90"/>
      <c r="ACT58" s="90"/>
      <c r="ACU58" s="90"/>
      <c r="ACV58" s="90"/>
      <c r="ACW58" s="90"/>
      <c r="ACX58" s="90"/>
      <c r="ACY58" s="90"/>
      <c r="ACZ58" s="90"/>
      <c r="ADA58" s="90"/>
      <c r="ADB58" s="90"/>
      <c r="ADC58" s="90"/>
      <c r="ADD58" s="90"/>
      <c r="ADE58" s="90"/>
      <c r="ADF58" s="90"/>
      <c r="ADG58" s="90"/>
      <c r="ADH58" s="90"/>
      <c r="ADI58" s="90"/>
      <c r="ADJ58" s="90"/>
      <c r="ADK58" s="90"/>
      <c r="ADL58" s="90"/>
      <c r="ADM58" s="90"/>
      <c r="ADN58" s="90"/>
      <c r="ADO58" s="90"/>
      <c r="ADP58" s="90"/>
      <c r="ADQ58" s="90"/>
      <c r="ADR58" s="90"/>
      <c r="ADS58" s="90"/>
      <c r="ADT58" s="90"/>
      <c r="ADU58" s="90"/>
      <c r="ADV58" s="90"/>
      <c r="ADW58" s="90"/>
      <c r="ADX58" s="90"/>
      <c r="ADY58" s="90"/>
      <c r="ADZ58" s="90"/>
      <c r="AEA58" s="90"/>
      <c r="AEB58" s="90"/>
      <c r="AEC58" s="90"/>
      <c r="AED58" s="90"/>
      <c r="AEE58" s="90"/>
      <c r="AEF58" s="90"/>
      <c r="AEG58" s="90"/>
      <c r="AEH58" s="90"/>
      <c r="AEI58" s="90"/>
      <c r="AEJ58" s="90"/>
      <c r="AEK58" s="90"/>
      <c r="AEL58" s="90"/>
      <c r="AEM58" s="90"/>
      <c r="AEN58" s="90"/>
      <c r="AEO58" s="90"/>
      <c r="AEP58" s="90"/>
      <c r="AEQ58" s="90"/>
      <c r="AER58" s="90"/>
      <c r="AES58" s="90"/>
      <c r="AET58" s="90"/>
      <c r="AEU58" s="90"/>
      <c r="AEV58" s="90"/>
      <c r="AEW58" s="90"/>
      <c r="AEX58" s="90"/>
      <c r="AEY58" s="90"/>
      <c r="AEZ58" s="90"/>
      <c r="AFA58" s="90"/>
      <c r="AFB58" s="90"/>
      <c r="AFC58" s="90"/>
      <c r="AFD58" s="90"/>
      <c r="AFE58" s="90"/>
      <c r="AFF58" s="90"/>
      <c r="AFG58" s="90"/>
      <c r="AFH58" s="90"/>
      <c r="AFI58" s="90"/>
      <c r="AFJ58" s="90"/>
      <c r="AFK58" s="90"/>
      <c r="AFL58" s="90"/>
      <c r="AFM58" s="90"/>
      <c r="AFN58" s="90"/>
      <c r="AFO58" s="90"/>
      <c r="AFP58" s="90"/>
      <c r="AFQ58" s="90"/>
      <c r="AFR58" s="90"/>
      <c r="AFS58" s="90"/>
      <c r="AFT58" s="90"/>
      <c r="AFU58" s="90"/>
      <c r="AFV58" s="90"/>
      <c r="AFW58" s="90"/>
      <c r="AFX58" s="90"/>
      <c r="AFY58" s="90"/>
      <c r="AFZ58" s="90"/>
      <c r="AGA58" s="90"/>
      <c r="AGB58" s="90"/>
      <c r="AGC58" s="90"/>
      <c r="AGD58" s="90"/>
      <c r="AGE58" s="90"/>
      <c r="AGF58" s="90"/>
      <c r="AGG58" s="90"/>
      <c r="AGH58" s="90"/>
      <c r="AGI58" s="90"/>
      <c r="AGJ58" s="90"/>
      <c r="AGK58" s="90"/>
      <c r="AGL58" s="90"/>
      <c r="AGM58" s="90"/>
      <c r="AGN58" s="90"/>
      <c r="AGO58" s="90"/>
      <c r="AGP58" s="90"/>
      <c r="AGQ58" s="90"/>
      <c r="AGR58" s="90"/>
      <c r="AGS58" s="90"/>
      <c r="AGT58" s="90"/>
      <c r="AGU58" s="90"/>
      <c r="AGV58" s="90"/>
      <c r="AGW58" s="90"/>
      <c r="AGX58" s="90"/>
      <c r="AGY58" s="90"/>
      <c r="AGZ58" s="90"/>
      <c r="AHA58" s="90"/>
      <c r="AHB58" s="90"/>
      <c r="AHC58" s="90"/>
      <c r="AHD58" s="90"/>
      <c r="AHE58" s="90"/>
      <c r="AHF58" s="90"/>
      <c r="AHG58" s="90"/>
      <c r="AHH58" s="90"/>
      <c r="AHI58" s="90"/>
      <c r="AHJ58" s="90"/>
      <c r="AHK58" s="90"/>
      <c r="AHL58" s="90"/>
      <c r="AHM58" s="90"/>
      <c r="AHN58" s="90"/>
      <c r="AHO58" s="90"/>
      <c r="AHP58" s="90"/>
      <c r="AHQ58" s="90"/>
      <c r="AHR58" s="90"/>
      <c r="AHS58" s="90"/>
      <c r="AHT58" s="90"/>
      <c r="AHU58" s="90"/>
      <c r="AHV58" s="90"/>
      <c r="AHW58" s="90"/>
      <c r="AHX58" s="90"/>
      <c r="AHY58" s="90"/>
      <c r="AHZ58" s="90"/>
      <c r="AIA58" s="90"/>
      <c r="AIB58" s="90"/>
      <c r="AIC58" s="90"/>
      <c r="AID58" s="90"/>
      <c r="AIE58" s="90"/>
      <c r="AIF58" s="90"/>
      <c r="AIG58" s="90"/>
      <c r="AIH58" s="90"/>
      <c r="AII58" s="90"/>
      <c r="AIJ58" s="90"/>
      <c r="AIK58" s="90"/>
      <c r="AIL58" s="90"/>
      <c r="AIM58" s="90"/>
      <c r="AIN58" s="90"/>
      <c r="AIO58" s="90"/>
      <c r="AIP58" s="90"/>
      <c r="AIQ58" s="90"/>
      <c r="AIR58" s="90"/>
      <c r="AIS58" s="90"/>
      <c r="AIT58" s="90"/>
      <c r="AIU58" s="90"/>
      <c r="AIV58" s="90"/>
      <c r="AIW58" s="90"/>
      <c r="AIX58" s="90"/>
      <c r="AIY58" s="90"/>
      <c r="AIZ58" s="90"/>
      <c r="AJA58" s="90"/>
      <c r="AJB58" s="90"/>
      <c r="AJC58" s="90"/>
      <c r="AJD58" s="90"/>
      <c r="AJE58" s="90"/>
      <c r="AJF58" s="90"/>
      <c r="AJG58" s="90"/>
      <c r="AJH58" s="90"/>
      <c r="AJI58" s="90"/>
      <c r="AJJ58" s="90"/>
      <c r="AJK58" s="90"/>
      <c r="AJL58" s="90"/>
      <c r="AJM58" s="90"/>
      <c r="AJN58" s="90"/>
      <c r="AJO58" s="90"/>
      <c r="AJP58" s="90"/>
      <c r="AJQ58" s="90"/>
      <c r="AJR58" s="90"/>
      <c r="AJS58" s="90"/>
      <c r="AJT58" s="90"/>
      <c r="AJU58" s="90"/>
      <c r="AJV58" s="90"/>
      <c r="AJW58" s="90"/>
      <c r="AJX58" s="90"/>
      <c r="AJY58" s="90"/>
      <c r="AJZ58" s="90"/>
      <c r="AKA58" s="90"/>
      <c r="AKB58" s="90"/>
      <c r="AKC58" s="90"/>
      <c r="AKD58" s="90"/>
      <c r="AKE58" s="90"/>
      <c r="AKF58" s="90"/>
      <c r="AKG58" s="90"/>
      <c r="AKH58" s="90"/>
      <c r="AKI58" s="90"/>
      <c r="AKJ58" s="90"/>
      <c r="AKK58" s="90"/>
      <c r="AKL58" s="90"/>
      <c r="AKM58" s="90"/>
      <c r="AKN58" s="90"/>
      <c r="AKO58" s="90"/>
      <c r="AKP58" s="90"/>
      <c r="AKQ58" s="90"/>
      <c r="AKR58" s="90"/>
      <c r="AKS58" s="90"/>
      <c r="AKT58" s="90"/>
      <c r="AKU58" s="90"/>
      <c r="AKV58" s="90"/>
      <c r="AKW58" s="90"/>
      <c r="AKX58" s="90"/>
      <c r="AKY58" s="90"/>
      <c r="AKZ58" s="90"/>
      <c r="ALA58" s="90"/>
      <c r="ALB58" s="90"/>
      <c r="ALC58" s="90"/>
      <c r="ALD58" s="90"/>
      <c r="ALE58" s="90"/>
      <c r="ALF58" s="90"/>
      <c r="ALG58" s="90"/>
      <c r="ALH58" s="90"/>
      <c r="ALI58" s="90"/>
      <c r="ALJ58" s="90"/>
      <c r="ALK58" s="90"/>
      <c r="ALL58" s="90"/>
      <c r="ALM58" s="90"/>
      <c r="ALN58" s="90"/>
      <c r="ALO58" s="90"/>
      <c r="ALP58" s="90"/>
      <c r="ALQ58" s="90"/>
      <c r="ALR58" s="90"/>
      <c r="ALS58" s="90"/>
      <c r="ALT58" s="90"/>
      <c r="ALU58" s="90"/>
      <c r="ALV58" s="90"/>
      <c r="ALW58" s="90"/>
      <c r="ALX58" s="90"/>
      <c r="ALY58" s="90"/>
      <c r="ALZ58" s="90"/>
      <c r="AMA58" s="90"/>
      <c r="AMB58" s="90"/>
      <c r="AMC58" s="90"/>
    </row>
    <row r="59" spans="1:1017">
      <c r="A59" s="98" t="s">
        <v>26</v>
      </c>
      <c r="B59" s="648" t="str">
        <f t="shared" si="829"/>
        <v>Kakap Putih</v>
      </c>
      <c r="E59" s="98">
        <v>183000</v>
      </c>
      <c r="F59" s="98">
        <v>11895000</v>
      </c>
      <c r="Q59" s="91">
        <f t="shared" si="830"/>
        <v>183000</v>
      </c>
      <c r="R59" s="91">
        <f t="shared" si="831"/>
        <v>11895000</v>
      </c>
      <c r="S59" s="98">
        <v>100</v>
      </c>
      <c r="T59" s="98">
        <v>7500</v>
      </c>
      <c r="U59" s="98">
        <v>23195</v>
      </c>
      <c r="V59" s="98">
        <v>1739625</v>
      </c>
      <c r="AG59" s="91">
        <f t="shared" si="832"/>
        <v>23295</v>
      </c>
      <c r="AH59" s="91">
        <f t="shared" si="833"/>
        <v>1747125</v>
      </c>
      <c r="AW59" s="91">
        <f t="shared" si="834"/>
        <v>0</v>
      </c>
      <c r="AX59" s="91">
        <f t="shared" si="835"/>
        <v>0</v>
      </c>
      <c r="BM59" s="91">
        <f t="shared" si="836"/>
        <v>0</v>
      </c>
      <c r="BN59" s="91">
        <f t="shared" si="837"/>
        <v>0</v>
      </c>
      <c r="CC59" s="91">
        <f t="shared" si="838"/>
        <v>0</v>
      </c>
      <c r="CD59" s="91">
        <f t="shared" si="839"/>
        <v>0</v>
      </c>
      <c r="CG59" s="98">
        <v>1326.91</v>
      </c>
      <c r="CH59" s="98">
        <v>39807</v>
      </c>
      <c r="CS59" s="91">
        <f t="shared" si="840"/>
        <v>1326.91</v>
      </c>
      <c r="CT59" s="91">
        <f t="shared" si="841"/>
        <v>39807</v>
      </c>
      <c r="DI59" s="91">
        <f t="shared" si="842"/>
        <v>0</v>
      </c>
      <c r="DJ59" s="91">
        <f t="shared" si="843"/>
        <v>0</v>
      </c>
      <c r="DY59" s="91">
        <f t="shared" si="844"/>
        <v>0</v>
      </c>
      <c r="DZ59" s="91">
        <f t="shared" si="845"/>
        <v>0</v>
      </c>
      <c r="EO59" s="91">
        <f t="shared" si="846"/>
        <v>0</v>
      </c>
      <c r="EP59" s="91">
        <f t="shared" si="847"/>
        <v>0</v>
      </c>
      <c r="FE59" s="91">
        <f t="shared" si="848"/>
        <v>0</v>
      </c>
      <c r="FF59" s="91">
        <f t="shared" si="849"/>
        <v>0</v>
      </c>
      <c r="FU59" s="91">
        <f t="shared" si="850"/>
        <v>0</v>
      </c>
      <c r="FV59" s="91">
        <f t="shared" si="851"/>
        <v>0</v>
      </c>
      <c r="GK59" s="91">
        <f t="shared" si="852"/>
        <v>0</v>
      </c>
      <c r="GL59" s="91">
        <f t="shared" si="853"/>
        <v>0</v>
      </c>
      <c r="HA59" s="91">
        <f t="shared" si="854"/>
        <v>0</v>
      </c>
      <c r="HB59" s="91">
        <f t="shared" si="855"/>
        <v>0</v>
      </c>
      <c r="HQ59" s="91">
        <f t="shared" si="856"/>
        <v>0</v>
      </c>
      <c r="HR59" s="91">
        <f t="shared" si="857"/>
        <v>0</v>
      </c>
      <c r="IG59" s="91">
        <f t="shared" si="858"/>
        <v>0</v>
      </c>
      <c r="IH59" s="91">
        <f t="shared" si="859"/>
        <v>0</v>
      </c>
      <c r="IW59" s="91">
        <f t="shared" si="860"/>
        <v>0</v>
      </c>
      <c r="IX59" s="91">
        <f t="shared" si="861"/>
        <v>0</v>
      </c>
      <c r="JM59" s="91">
        <f t="shared" si="862"/>
        <v>0</v>
      </c>
      <c r="JN59" s="91">
        <f t="shared" si="863"/>
        <v>0</v>
      </c>
      <c r="KC59" s="91">
        <f t="shared" si="864"/>
        <v>0</v>
      </c>
      <c r="KD59" s="91">
        <f t="shared" si="865"/>
        <v>0</v>
      </c>
      <c r="KS59" s="91">
        <f t="shared" si="866"/>
        <v>0</v>
      </c>
      <c r="KT59" s="91">
        <f t="shared" si="867"/>
        <v>0</v>
      </c>
      <c r="LI59" s="91">
        <f t="shared" si="868"/>
        <v>0</v>
      </c>
      <c r="LJ59" s="91">
        <f t="shared" si="869"/>
        <v>0</v>
      </c>
      <c r="LY59" s="91">
        <f t="shared" si="870"/>
        <v>0</v>
      </c>
      <c r="LZ59" s="91">
        <f t="shared" si="871"/>
        <v>0</v>
      </c>
      <c r="MO59" s="91">
        <f t="shared" si="872"/>
        <v>0</v>
      </c>
      <c r="MP59" s="91">
        <f t="shared" si="873"/>
        <v>0</v>
      </c>
      <c r="MS59" s="98">
        <v>100</v>
      </c>
      <c r="MT59" s="98">
        <v>3000</v>
      </c>
      <c r="NE59" s="91">
        <f t="shared" si="874"/>
        <v>100</v>
      </c>
      <c r="NF59" s="91">
        <f t="shared" si="875"/>
        <v>3000</v>
      </c>
      <c r="NI59" s="98">
        <v>4351</v>
      </c>
      <c r="NJ59" s="98">
        <v>152285</v>
      </c>
      <c r="NU59" s="91">
        <f t="shared" si="876"/>
        <v>4351</v>
      </c>
      <c r="NV59" s="91">
        <f t="shared" si="877"/>
        <v>152285</v>
      </c>
      <c r="OK59" s="91">
        <f t="shared" si="878"/>
        <v>0</v>
      </c>
      <c r="OL59" s="91">
        <f t="shared" si="879"/>
        <v>0</v>
      </c>
      <c r="PA59" s="91">
        <f t="shared" si="880"/>
        <v>0</v>
      </c>
      <c r="PB59" s="91">
        <f t="shared" si="881"/>
        <v>0</v>
      </c>
      <c r="PQ59" s="91">
        <f t="shared" si="882"/>
        <v>0</v>
      </c>
      <c r="PR59" s="91">
        <f t="shared" si="883"/>
        <v>0</v>
      </c>
      <c r="PU59" s="98">
        <v>3950</v>
      </c>
      <c r="PV59" s="98">
        <v>158000</v>
      </c>
      <c r="QG59" s="91">
        <f t="shared" si="884"/>
        <v>3950</v>
      </c>
      <c r="QH59" s="91">
        <f t="shared" si="885"/>
        <v>158000</v>
      </c>
      <c r="QW59" s="91">
        <f t="shared" si="886"/>
        <v>0</v>
      </c>
      <c r="QX59" s="91">
        <f t="shared" si="887"/>
        <v>0</v>
      </c>
      <c r="RM59" s="91">
        <f t="shared" si="888"/>
        <v>0</v>
      </c>
      <c r="RN59" s="91">
        <f t="shared" si="889"/>
        <v>0</v>
      </c>
      <c r="SC59" s="91">
        <f t="shared" si="890"/>
        <v>0</v>
      </c>
      <c r="SD59" s="91">
        <f t="shared" si="891"/>
        <v>0</v>
      </c>
      <c r="SS59" s="91">
        <f t="shared" si="892"/>
        <v>0</v>
      </c>
      <c r="ST59" s="91">
        <f t="shared" si="893"/>
        <v>0</v>
      </c>
      <c r="TI59" s="91">
        <f t="shared" si="894"/>
        <v>0</v>
      </c>
      <c r="TJ59" s="91">
        <f t="shared" si="895"/>
        <v>0</v>
      </c>
      <c r="TY59" s="91">
        <f t="shared" si="896"/>
        <v>0</v>
      </c>
      <c r="TZ59" s="91">
        <f t="shared" si="897"/>
        <v>0</v>
      </c>
      <c r="UO59" s="91">
        <f t="shared" si="898"/>
        <v>0</v>
      </c>
      <c r="UP59" s="91">
        <f t="shared" si="899"/>
        <v>0</v>
      </c>
      <c r="VE59" s="91">
        <f t="shared" si="900"/>
        <v>0</v>
      </c>
      <c r="VF59" s="91">
        <f t="shared" si="901"/>
        <v>0</v>
      </c>
      <c r="VI59" s="98">
        <v>40</v>
      </c>
      <c r="VJ59" s="98">
        <v>1600</v>
      </c>
      <c r="VU59" s="91">
        <f t="shared" si="902"/>
        <v>40</v>
      </c>
      <c r="VV59" s="91">
        <f t="shared" si="903"/>
        <v>1600</v>
      </c>
      <c r="WK59" s="91">
        <f t="shared" si="904"/>
        <v>0</v>
      </c>
      <c r="WL59" s="91">
        <f t="shared" si="905"/>
        <v>0</v>
      </c>
      <c r="WM59" s="89"/>
      <c r="WN59" s="87">
        <f t="shared" si="906"/>
        <v>100</v>
      </c>
      <c r="WO59" s="87">
        <f t="shared" si="907"/>
        <v>7500</v>
      </c>
      <c r="WP59" s="87">
        <f t="shared" si="908"/>
        <v>215962.91</v>
      </c>
      <c r="WQ59" s="87">
        <f t="shared" si="909"/>
        <v>13989317</v>
      </c>
      <c r="WR59" s="87">
        <f t="shared" si="910"/>
        <v>0</v>
      </c>
      <c r="WS59" s="87">
        <f t="shared" si="911"/>
        <v>0</v>
      </c>
      <c r="WT59" s="87">
        <f t="shared" si="912"/>
        <v>0</v>
      </c>
      <c r="WU59" s="87">
        <f t="shared" si="913"/>
        <v>0</v>
      </c>
      <c r="WV59" s="87">
        <f t="shared" si="914"/>
        <v>0</v>
      </c>
      <c r="WW59" s="87">
        <f t="shared" si="915"/>
        <v>0</v>
      </c>
      <c r="WX59" s="87">
        <f t="shared" si="916"/>
        <v>0</v>
      </c>
      <c r="WY59" s="87">
        <f t="shared" si="917"/>
        <v>0</v>
      </c>
      <c r="WZ59" s="87">
        <f t="shared" si="918"/>
        <v>0</v>
      </c>
      <c r="XA59" s="87">
        <f t="shared" si="919"/>
        <v>0</v>
      </c>
      <c r="XB59" s="92">
        <f t="shared" si="920"/>
        <v>216062.91</v>
      </c>
      <c r="XC59" s="92">
        <f t="shared" si="921"/>
        <v>13996817</v>
      </c>
      <c r="XD59" s="89"/>
      <c r="XE59" s="92">
        <f t="shared" ref="XE59:XF59" si="936">SUM(XB135,XB173,XB211)</f>
        <v>345669.07864292531</v>
      </c>
      <c r="XF59" s="92">
        <f t="shared" si="936"/>
        <v>21529367.059287757</v>
      </c>
      <c r="XG59" s="89"/>
      <c r="XH59" s="92">
        <f t="shared" ref="XH59:XI59" si="937">SUM(XE97,XE135)</f>
        <v>841920.8534180572</v>
      </c>
      <c r="XI59" s="92">
        <f t="shared" si="937"/>
        <v>49627842.792107224</v>
      </c>
      <c r="XJ59" s="89"/>
      <c r="XK59" s="87"/>
      <c r="XL59" s="87"/>
      <c r="XM59" s="87"/>
      <c r="XN59" s="87"/>
      <c r="XO59" s="87"/>
      <c r="XP59" s="87"/>
      <c r="XQ59" s="87"/>
      <c r="XR59" s="92">
        <f t="shared" ca="1" si="922"/>
        <v>0</v>
      </c>
      <c r="XS59" s="89"/>
      <c r="XT59" s="87"/>
      <c r="XU59" s="87"/>
      <c r="XV59" s="87"/>
      <c r="XW59" s="87"/>
      <c r="XX59" s="87"/>
      <c r="XY59" s="87"/>
      <c r="XZ59" s="87"/>
      <c r="YA59" s="92">
        <f t="shared" ca="1" si="923"/>
        <v>0</v>
      </c>
      <c r="YB59" s="90"/>
      <c r="YC59" s="90"/>
      <c r="YD59" s="90"/>
      <c r="YE59" s="90"/>
      <c r="YF59" s="90"/>
      <c r="YG59" s="90"/>
      <c r="YH59" s="90"/>
      <c r="YI59" s="90"/>
      <c r="YJ59" s="90"/>
      <c r="YK59" s="90"/>
      <c r="YL59" s="90"/>
      <c r="YM59" s="90"/>
      <c r="YN59" s="90"/>
      <c r="YO59" s="90"/>
      <c r="YP59" s="90"/>
      <c r="YQ59" s="90"/>
      <c r="YR59" s="90"/>
      <c r="YS59" s="90"/>
      <c r="YT59" s="90"/>
      <c r="YU59" s="90"/>
      <c r="YV59" s="90"/>
      <c r="YW59" s="90"/>
      <c r="YX59" s="90"/>
      <c r="YY59" s="90"/>
      <c r="YZ59" s="90"/>
      <c r="ZA59" s="90"/>
      <c r="ZB59" s="90"/>
      <c r="ZC59" s="90"/>
      <c r="ZD59" s="90"/>
      <c r="ZE59" s="90"/>
      <c r="ZF59" s="90"/>
      <c r="ZG59" s="90"/>
      <c r="ZH59" s="90"/>
      <c r="ZI59" s="90"/>
      <c r="ZJ59" s="90"/>
      <c r="ZK59" s="90"/>
      <c r="ZL59" s="90"/>
      <c r="ZM59" s="90"/>
      <c r="ZN59" s="90"/>
      <c r="ZO59" s="90"/>
      <c r="ZP59" s="90"/>
      <c r="ZQ59" s="90"/>
      <c r="ZR59" s="90"/>
      <c r="ZS59" s="90"/>
      <c r="ZT59" s="90"/>
      <c r="ZU59" s="90"/>
      <c r="ZV59" s="90"/>
      <c r="ZW59" s="90"/>
      <c r="ZX59" s="90"/>
      <c r="ZY59" s="90"/>
      <c r="ZZ59" s="90"/>
      <c r="AAA59" s="90"/>
      <c r="AAB59" s="90"/>
      <c r="AAC59" s="90"/>
      <c r="AAD59" s="90"/>
      <c r="AAE59" s="90"/>
      <c r="AAF59" s="90"/>
      <c r="AAG59" s="90"/>
      <c r="AAH59" s="90"/>
      <c r="AAI59" s="90"/>
      <c r="AAJ59" s="90"/>
      <c r="AAK59" s="90"/>
      <c r="AAL59" s="90"/>
      <c r="AAM59" s="90"/>
      <c r="AAN59" s="90"/>
      <c r="AAO59" s="90"/>
      <c r="AAP59" s="90"/>
      <c r="AAQ59" s="90"/>
      <c r="AAR59" s="90"/>
      <c r="AAS59" s="90"/>
      <c r="AAT59" s="90"/>
      <c r="AAU59" s="90"/>
      <c r="AAV59" s="90"/>
      <c r="AAW59" s="90"/>
      <c r="AAX59" s="90"/>
      <c r="AAY59" s="90"/>
      <c r="AAZ59" s="90"/>
      <c r="ABA59" s="90"/>
      <c r="ABB59" s="90"/>
      <c r="ABC59" s="90"/>
      <c r="ABD59" s="90"/>
      <c r="ABE59" s="90"/>
      <c r="ABF59" s="90"/>
      <c r="ABG59" s="90"/>
      <c r="ABH59" s="90"/>
      <c r="ABI59" s="90"/>
      <c r="ABJ59" s="90"/>
      <c r="ABK59" s="90"/>
      <c r="ABL59" s="90"/>
      <c r="ABM59" s="90"/>
      <c r="ABN59" s="90"/>
      <c r="ABO59" s="90"/>
      <c r="ABP59" s="90"/>
      <c r="ABQ59" s="90"/>
      <c r="ABR59" s="90"/>
      <c r="ABS59" s="90"/>
      <c r="ABT59" s="90"/>
      <c r="ABU59" s="90"/>
      <c r="ABV59" s="90"/>
      <c r="ABW59" s="90"/>
      <c r="ABX59" s="90"/>
      <c r="ABY59" s="90"/>
      <c r="ABZ59" s="90"/>
      <c r="ACA59" s="90"/>
      <c r="ACB59" s="90"/>
      <c r="ACC59" s="90"/>
      <c r="ACD59" s="90"/>
      <c r="ACE59" s="90"/>
      <c r="ACF59" s="90"/>
      <c r="ACG59" s="90"/>
      <c r="ACH59" s="90"/>
      <c r="ACI59" s="90"/>
      <c r="ACJ59" s="90"/>
      <c r="ACK59" s="90"/>
      <c r="ACL59" s="90"/>
      <c r="ACM59" s="90"/>
      <c r="ACN59" s="90"/>
      <c r="ACO59" s="90"/>
      <c r="ACP59" s="90"/>
      <c r="ACQ59" s="90"/>
      <c r="ACR59" s="90"/>
      <c r="ACS59" s="90"/>
      <c r="ACT59" s="90"/>
      <c r="ACU59" s="90"/>
      <c r="ACV59" s="90"/>
      <c r="ACW59" s="90"/>
      <c r="ACX59" s="90"/>
      <c r="ACY59" s="90"/>
      <c r="ACZ59" s="90"/>
      <c r="ADA59" s="90"/>
      <c r="ADB59" s="90"/>
      <c r="ADC59" s="90"/>
      <c r="ADD59" s="90"/>
      <c r="ADE59" s="90"/>
      <c r="ADF59" s="90"/>
      <c r="ADG59" s="90"/>
      <c r="ADH59" s="90"/>
      <c r="ADI59" s="90"/>
      <c r="ADJ59" s="90"/>
      <c r="ADK59" s="90"/>
      <c r="ADL59" s="90"/>
      <c r="ADM59" s="90"/>
      <c r="ADN59" s="90"/>
      <c r="ADO59" s="90"/>
      <c r="ADP59" s="90"/>
      <c r="ADQ59" s="90"/>
      <c r="ADR59" s="90"/>
      <c r="ADS59" s="90"/>
      <c r="ADT59" s="90"/>
      <c r="ADU59" s="90"/>
      <c r="ADV59" s="90"/>
      <c r="ADW59" s="90"/>
      <c r="ADX59" s="90"/>
      <c r="ADY59" s="90"/>
      <c r="ADZ59" s="90"/>
      <c r="AEA59" s="90"/>
      <c r="AEB59" s="90"/>
      <c r="AEC59" s="90"/>
      <c r="AED59" s="90"/>
      <c r="AEE59" s="90"/>
      <c r="AEF59" s="90"/>
      <c r="AEG59" s="90"/>
      <c r="AEH59" s="90"/>
      <c r="AEI59" s="90"/>
      <c r="AEJ59" s="90"/>
      <c r="AEK59" s="90"/>
      <c r="AEL59" s="90"/>
      <c r="AEM59" s="90"/>
      <c r="AEN59" s="90"/>
      <c r="AEO59" s="90"/>
      <c r="AEP59" s="90"/>
      <c r="AEQ59" s="90"/>
      <c r="AER59" s="90"/>
      <c r="AES59" s="90"/>
      <c r="AET59" s="90"/>
      <c r="AEU59" s="90"/>
      <c r="AEV59" s="90"/>
      <c r="AEW59" s="90"/>
      <c r="AEX59" s="90"/>
      <c r="AEY59" s="90"/>
      <c r="AEZ59" s="90"/>
      <c r="AFA59" s="90"/>
      <c r="AFB59" s="90"/>
      <c r="AFC59" s="90"/>
      <c r="AFD59" s="90"/>
      <c r="AFE59" s="90"/>
      <c r="AFF59" s="90"/>
      <c r="AFG59" s="90"/>
      <c r="AFH59" s="90"/>
      <c r="AFI59" s="90"/>
      <c r="AFJ59" s="90"/>
      <c r="AFK59" s="90"/>
      <c r="AFL59" s="90"/>
      <c r="AFM59" s="90"/>
      <c r="AFN59" s="90"/>
      <c r="AFO59" s="90"/>
      <c r="AFP59" s="90"/>
      <c r="AFQ59" s="90"/>
      <c r="AFR59" s="90"/>
      <c r="AFS59" s="90"/>
      <c r="AFT59" s="90"/>
      <c r="AFU59" s="90"/>
      <c r="AFV59" s="90"/>
      <c r="AFW59" s="90"/>
      <c r="AFX59" s="90"/>
      <c r="AFY59" s="90"/>
      <c r="AFZ59" s="90"/>
      <c r="AGA59" s="90"/>
      <c r="AGB59" s="90"/>
      <c r="AGC59" s="90"/>
      <c r="AGD59" s="90"/>
      <c r="AGE59" s="90"/>
      <c r="AGF59" s="90"/>
      <c r="AGG59" s="90"/>
      <c r="AGH59" s="90"/>
      <c r="AGI59" s="90"/>
      <c r="AGJ59" s="90"/>
      <c r="AGK59" s="90"/>
      <c r="AGL59" s="90"/>
      <c r="AGM59" s="90"/>
      <c r="AGN59" s="90"/>
      <c r="AGO59" s="90"/>
      <c r="AGP59" s="90"/>
      <c r="AGQ59" s="90"/>
      <c r="AGR59" s="90"/>
      <c r="AGS59" s="90"/>
      <c r="AGT59" s="90"/>
      <c r="AGU59" s="90"/>
      <c r="AGV59" s="90"/>
      <c r="AGW59" s="90"/>
      <c r="AGX59" s="90"/>
      <c r="AGY59" s="90"/>
      <c r="AGZ59" s="90"/>
      <c r="AHA59" s="90"/>
      <c r="AHB59" s="90"/>
      <c r="AHC59" s="90"/>
      <c r="AHD59" s="90"/>
      <c r="AHE59" s="90"/>
      <c r="AHF59" s="90"/>
      <c r="AHG59" s="90"/>
      <c r="AHH59" s="90"/>
      <c r="AHI59" s="90"/>
      <c r="AHJ59" s="90"/>
      <c r="AHK59" s="90"/>
      <c r="AHL59" s="90"/>
      <c r="AHM59" s="90"/>
      <c r="AHN59" s="90"/>
      <c r="AHO59" s="90"/>
      <c r="AHP59" s="90"/>
      <c r="AHQ59" s="90"/>
      <c r="AHR59" s="90"/>
      <c r="AHS59" s="90"/>
      <c r="AHT59" s="90"/>
      <c r="AHU59" s="90"/>
      <c r="AHV59" s="90"/>
      <c r="AHW59" s="90"/>
      <c r="AHX59" s="90"/>
      <c r="AHY59" s="90"/>
      <c r="AHZ59" s="90"/>
      <c r="AIA59" s="90"/>
      <c r="AIB59" s="90"/>
      <c r="AIC59" s="90"/>
      <c r="AID59" s="90"/>
      <c r="AIE59" s="90"/>
      <c r="AIF59" s="90"/>
      <c r="AIG59" s="90"/>
      <c r="AIH59" s="90"/>
      <c r="AII59" s="90"/>
      <c r="AIJ59" s="90"/>
      <c r="AIK59" s="90"/>
      <c r="AIL59" s="90"/>
      <c r="AIM59" s="90"/>
      <c r="AIN59" s="90"/>
      <c r="AIO59" s="90"/>
      <c r="AIP59" s="90"/>
      <c r="AIQ59" s="90"/>
      <c r="AIR59" s="90"/>
      <c r="AIS59" s="90"/>
      <c r="AIT59" s="90"/>
      <c r="AIU59" s="90"/>
      <c r="AIV59" s="90"/>
      <c r="AIW59" s="90"/>
      <c r="AIX59" s="90"/>
      <c r="AIY59" s="90"/>
      <c r="AIZ59" s="90"/>
      <c r="AJA59" s="90"/>
      <c r="AJB59" s="90"/>
      <c r="AJC59" s="90"/>
      <c r="AJD59" s="90"/>
      <c r="AJE59" s="90"/>
      <c r="AJF59" s="90"/>
      <c r="AJG59" s="90"/>
      <c r="AJH59" s="90"/>
      <c r="AJI59" s="90"/>
      <c r="AJJ59" s="90"/>
      <c r="AJK59" s="90"/>
      <c r="AJL59" s="90"/>
      <c r="AJM59" s="90"/>
      <c r="AJN59" s="90"/>
      <c r="AJO59" s="90"/>
      <c r="AJP59" s="90"/>
      <c r="AJQ59" s="90"/>
      <c r="AJR59" s="90"/>
      <c r="AJS59" s="90"/>
      <c r="AJT59" s="90"/>
      <c r="AJU59" s="90"/>
      <c r="AJV59" s="90"/>
      <c r="AJW59" s="90"/>
      <c r="AJX59" s="90"/>
      <c r="AJY59" s="90"/>
      <c r="AJZ59" s="90"/>
      <c r="AKA59" s="90"/>
      <c r="AKB59" s="90"/>
      <c r="AKC59" s="90"/>
      <c r="AKD59" s="90"/>
      <c r="AKE59" s="90"/>
      <c r="AKF59" s="90"/>
      <c r="AKG59" s="90"/>
      <c r="AKH59" s="90"/>
      <c r="AKI59" s="90"/>
      <c r="AKJ59" s="90"/>
      <c r="AKK59" s="90"/>
      <c r="AKL59" s="90"/>
      <c r="AKM59" s="90"/>
      <c r="AKN59" s="90"/>
      <c r="AKO59" s="90"/>
      <c r="AKP59" s="90"/>
      <c r="AKQ59" s="90"/>
      <c r="AKR59" s="90"/>
      <c r="AKS59" s="90"/>
      <c r="AKT59" s="90"/>
      <c r="AKU59" s="90"/>
      <c r="AKV59" s="90"/>
      <c r="AKW59" s="90"/>
      <c r="AKX59" s="90"/>
      <c r="AKY59" s="90"/>
      <c r="AKZ59" s="90"/>
      <c r="ALA59" s="90"/>
      <c r="ALB59" s="90"/>
      <c r="ALC59" s="90"/>
      <c r="ALD59" s="90"/>
      <c r="ALE59" s="90"/>
      <c r="ALF59" s="90"/>
      <c r="ALG59" s="90"/>
      <c r="ALH59" s="90"/>
      <c r="ALI59" s="90"/>
      <c r="ALJ59" s="90"/>
      <c r="ALK59" s="90"/>
      <c r="ALL59" s="90"/>
      <c r="ALM59" s="90"/>
      <c r="ALN59" s="90"/>
      <c r="ALO59" s="90"/>
      <c r="ALP59" s="90"/>
      <c r="ALQ59" s="90"/>
      <c r="ALR59" s="90"/>
      <c r="ALS59" s="90"/>
      <c r="ALT59" s="90"/>
      <c r="ALU59" s="90"/>
      <c r="ALV59" s="90"/>
      <c r="ALW59" s="90"/>
      <c r="ALX59" s="90"/>
      <c r="ALY59" s="90"/>
      <c r="ALZ59" s="90"/>
      <c r="AMA59" s="90"/>
      <c r="AMB59" s="90"/>
      <c r="AMC59" s="90"/>
    </row>
    <row r="60" spans="1:1017">
      <c r="A60" s="98" t="s">
        <v>26</v>
      </c>
      <c r="B60" s="648" t="str">
        <f t="shared" si="829"/>
        <v>Kepiting  Bakau</v>
      </c>
      <c r="E60" s="98">
        <v>800</v>
      </c>
      <c r="F60" s="98">
        <v>80000</v>
      </c>
      <c r="Q60" s="91">
        <f t="shared" si="830"/>
        <v>800</v>
      </c>
      <c r="R60" s="91">
        <f t="shared" si="831"/>
        <v>80000</v>
      </c>
      <c r="U60" s="98">
        <v>4665</v>
      </c>
      <c r="V60" s="98">
        <v>279900</v>
      </c>
      <c r="AG60" s="91">
        <f t="shared" si="832"/>
        <v>4665</v>
      </c>
      <c r="AH60" s="91">
        <f t="shared" si="833"/>
        <v>279900</v>
      </c>
      <c r="AW60" s="91">
        <f t="shared" si="834"/>
        <v>0</v>
      </c>
      <c r="AX60" s="91">
        <f t="shared" si="835"/>
        <v>0</v>
      </c>
      <c r="BM60" s="91">
        <f t="shared" si="836"/>
        <v>0</v>
      </c>
      <c r="BN60" s="91">
        <f t="shared" si="837"/>
        <v>0</v>
      </c>
      <c r="CC60" s="91">
        <f t="shared" si="838"/>
        <v>0</v>
      </c>
      <c r="CD60" s="91">
        <f t="shared" si="839"/>
        <v>0</v>
      </c>
      <c r="CG60" s="98">
        <v>25671</v>
      </c>
      <c r="CH60" s="98">
        <v>1026858</v>
      </c>
      <c r="CS60" s="91">
        <f t="shared" si="840"/>
        <v>25671</v>
      </c>
      <c r="CT60" s="91">
        <f t="shared" si="841"/>
        <v>1026858</v>
      </c>
      <c r="DI60" s="91">
        <f t="shared" si="842"/>
        <v>0</v>
      </c>
      <c r="DJ60" s="91">
        <f t="shared" si="843"/>
        <v>0</v>
      </c>
      <c r="DY60" s="91">
        <f t="shared" si="844"/>
        <v>0</v>
      </c>
      <c r="DZ60" s="91">
        <f t="shared" si="845"/>
        <v>0</v>
      </c>
      <c r="EO60" s="91">
        <f t="shared" si="846"/>
        <v>0</v>
      </c>
      <c r="EP60" s="91">
        <f t="shared" si="847"/>
        <v>0</v>
      </c>
      <c r="FE60" s="91">
        <f t="shared" si="848"/>
        <v>0</v>
      </c>
      <c r="FF60" s="91">
        <f t="shared" si="849"/>
        <v>0</v>
      </c>
      <c r="FU60" s="91">
        <f t="shared" si="850"/>
        <v>0</v>
      </c>
      <c r="FV60" s="91">
        <f t="shared" si="851"/>
        <v>0</v>
      </c>
      <c r="GK60" s="91">
        <f t="shared" si="852"/>
        <v>0</v>
      </c>
      <c r="GL60" s="91">
        <f t="shared" si="853"/>
        <v>0</v>
      </c>
      <c r="HA60" s="91">
        <f t="shared" si="854"/>
        <v>0</v>
      </c>
      <c r="HB60" s="91">
        <f t="shared" si="855"/>
        <v>0</v>
      </c>
      <c r="HQ60" s="91">
        <f t="shared" si="856"/>
        <v>0</v>
      </c>
      <c r="HR60" s="91">
        <f t="shared" si="857"/>
        <v>0</v>
      </c>
      <c r="IG60" s="91">
        <f t="shared" si="858"/>
        <v>0</v>
      </c>
      <c r="IH60" s="91">
        <f t="shared" si="859"/>
        <v>0</v>
      </c>
      <c r="IW60" s="91">
        <f t="shared" si="860"/>
        <v>0</v>
      </c>
      <c r="IX60" s="91">
        <f t="shared" si="861"/>
        <v>0</v>
      </c>
      <c r="JM60" s="91">
        <f t="shared" si="862"/>
        <v>0</v>
      </c>
      <c r="JN60" s="91">
        <f t="shared" si="863"/>
        <v>0</v>
      </c>
      <c r="KC60" s="91">
        <f t="shared" si="864"/>
        <v>0</v>
      </c>
      <c r="KD60" s="91">
        <f t="shared" si="865"/>
        <v>0</v>
      </c>
      <c r="KS60" s="91">
        <f t="shared" si="866"/>
        <v>0</v>
      </c>
      <c r="KT60" s="91">
        <f t="shared" si="867"/>
        <v>0</v>
      </c>
      <c r="LI60" s="91">
        <f t="shared" si="868"/>
        <v>0</v>
      </c>
      <c r="LJ60" s="91">
        <f t="shared" si="869"/>
        <v>0</v>
      </c>
      <c r="LY60" s="91">
        <f t="shared" si="870"/>
        <v>0</v>
      </c>
      <c r="LZ60" s="91">
        <f t="shared" si="871"/>
        <v>0</v>
      </c>
      <c r="MC60" s="98">
        <v>10900</v>
      </c>
      <c r="MD60" s="98">
        <v>1090000</v>
      </c>
      <c r="MO60" s="91">
        <f t="shared" si="872"/>
        <v>10900</v>
      </c>
      <c r="MP60" s="91">
        <f t="shared" si="873"/>
        <v>1090000</v>
      </c>
      <c r="NE60" s="91">
        <f t="shared" si="874"/>
        <v>0</v>
      </c>
      <c r="NF60" s="91">
        <f t="shared" si="875"/>
        <v>0</v>
      </c>
      <c r="NI60" s="98">
        <v>17900</v>
      </c>
      <c r="NJ60" s="98">
        <v>716000</v>
      </c>
      <c r="NU60" s="91">
        <f t="shared" si="876"/>
        <v>17900</v>
      </c>
      <c r="NV60" s="91">
        <f t="shared" si="877"/>
        <v>716000</v>
      </c>
      <c r="OK60" s="91">
        <f t="shared" si="878"/>
        <v>0</v>
      </c>
      <c r="OL60" s="91">
        <f t="shared" si="879"/>
        <v>0</v>
      </c>
      <c r="PA60" s="91">
        <f t="shared" si="880"/>
        <v>0</v>
      </c>
      <c r="PB60" s="91">
        <f t="shared" si="881"/>
        <v>0</v>
      </c>
      <c r="PQ60" s="91">
        <f t="shared" si="882"/>
        <v>0</v>
      </c>
      <c r="PR60" s="91">
        <f t="shared" si="883"/>
        <v>0</v>
      </c>
      <c r="QG60" s="91">
        <f t="shared" si="884"/>
        <v>0</v>
      </c>
      <c r="QH60" s="91">
        <f t="shared" si="885"/>
        <v>0</v>
      </c>
      <c r="QW60" s="91">
        <f t="shared" si="886"/>
        <v>0</v>
      </c>
      <c r="QX60" s="91">
        <f t="shared" si="887"/>
        <v>0</v>
      </c>
      <c r="RM60" s="91">
        <f t="shared" si="888"/>
        <v>0</v>
      </c>
      <c r="RN60" s="91">
        <f t="shared" si="889"/>
        <v>0</v>
      </c>
      <c r="SC60" s="91">
        <f t="shared" si="890"/>
        <v>0</v>
      </c>
      <c r="SD60" s="91">
        <f t="shared" si="891"/>
        <v>0</v>
      </c>
      <c r="SS60" s="91">
        <f t="shared" si="892"/>
        <v>0</v>
      </c>
      <c r="ST60" s="91">
        <f t="shared" si="893"/>
        <v>0</v>
      </c>
      <c r="TI60" s="91">
        <f t="shared" si="894"/>
        <v>0</v>
      </c>
      <c r="TJ60" s="91">
        <f t="shared" si="895"/>
        <v>0</v>
      </c>
      <c r="TY60" s="91">
        <f t="shared" si="896"/>
        <v>0</v>
      </c>
      <c r="TZ60" s="91">
        <f t="shared" si="897"/>
        <v>0</v>
      </c>
      <c r="UO60" s="91">
        <f t="shared" si="898"/>
        <v>0</v>
      </c>
      <c r="UP60" s="91">
        <f t="shared" si="899"/>
        <v>0</v>
      </c>
      <c r="VE60" s="91">
        <f t="shared" si="900"/>
        <v>0</v>
      </c>
      <c r="VF60" s="91">
        <f t="shared" si="901"/>
        <v>0</v>
      </c>
      <c r="VI60" s="98">
        <v>262</v>
      </c>
      <c r="VJ60" s="98">
        <v>15720</v>
      </c>
      <c r="VU60" s="91">
        <f t="shared" si="902"/>
        <v>262</v>
      </c>
      <c r="VV60" s="91">
        <f t="shared" si="903"/>
        <v>15720</v>
      </c>
      <c r="WK60" s="91">
        <f t="shared" si="904"/>
        <v>0</v>
      </c>
      <c r="WL60" s="91">
        <f t="shared" si="905"/>
        <v>0</v>
      </c>
      <c r="WM60" s="89"/>
      <c r="WN60" s="87">
        <f t="shared" si="906"/>
        <v>0</v>
      </c>
      <c r="WO60" s="87">
        <f t="shared" si="907"/>
        <v>0</v>
      </c>
      <c r="WP60" s="87">
        <f t="shared" si="908"/>
        <v>60198</v>
      </c>
      <c r="WQ60" s="87">
        <f t="shared" si="909"/>
        <v>3208478</v>
      </c>
      <c r="WR60" s="87">
        <f t="shared" si="910"/>
        <v>0</v>
      </c>
      <c r="WS60" s="87">
        <f t="shared" si="911"/>
        <v>0</v>
      </c>
      <c r="WT60" s="87">
        <f t="shared" si="912"/>
        <v>0</v>
      </c>
      <c r="WU60" s="87">
        <f t="shared" si="913"/>
        <v>0</v>
      </c>
      <c r="WV60" s="87">
        <f t="shared" si="914"/>
        <v>0</v>
      </c>
      <c r="WW60" s="87">
        <f t="shared" si="915"/>
        <v>0</v>
      </c>
      <c r="WX60" s="87">
        <f t="shared" si="916"/>
        <v>0</v>
      </c>
      <c r="WY60" s="87">
        <f t="shared" si="917"/>
        <v>0</v>
      </c>
      <c r="WZ60" s="87">
        <f t="shared" si="918"/>
        <v>0</v>
      </c>
      <c r="XA60" s="87">
        <f t="shared" si="919"/>
        <v>0</v>
      </c>
      <c r="XB60" s="92">
        <f t="shared" si="920"/>
        <v>60198</v>
      </c>
      <c r="XC60" s="92">
        <f t="shared" si="921"/>
        <v>3208478</v>
      </c>
      <c r="XD60" s="89"/>
      <c r="XE60" s="92">
        <f t="shared" ref="XE60:XF60" si="938">SUM(XB136,XB174,XB212)</f>
        <v>170016.1856</v>
      </c>
      <c r="XF60" s="92">
        <f t="shared" si="938"/>
        <v>10459667.84</v>
      </c>
      <c r="XG60" s="89"/>
      <c r="XH60" s="92">
        <f t="shared" ref="XH60:XI60" si="939">SUM(XE98,XE136)</f>
        <v>365057.680934879</v>
      </c>
      <c r="XI60" s="92">
        <f t="shared" si="939"/>
        <v>17698532.290890682</v>
      </c>
      <c r="XJ60" s="89"/>
      <c r="XK60" s="87"/>
      <c r="XL60" s="87"/>
      <c r="XM60" s="87"/>
      <c r="XN60" s="87"/>
      <c r="XO60" s="87"/>
      <c r="XP60" s="87"/>
      <c r="XQ60" s="87"/>
      <c r="XR60" s="92">
        <f t="shared" ca="1" si="922"/>
        <v>0</v>
      </c>
      <c r="XS60" s="89"/>
      <c r="XT60" s="87"/>
      <c r="XU60" s="87"/>
      <c r="XV60" s="87"/>
      <c r="XW60" s="87"/>
      <c r="XX60" s="87"/>
      <c r="XY60" s="87"/>
      <c r="XZ60" s="87"/>
      <c r="YA60" s="92">
        <f t="shared" ca="1" si="923"/>
        <v>0</v>
      </c>
      <c r="YB60" s="90"/>
      <c r="YC60" s="90"/>
      <c r="YD60" s="90"/>
      <c r="YE60" s="90"/>
      <c r="YF60" s="90"/>
      <c r="YG60" s="90"/>
      <c r="YH60" s="90"/>
      <c r="YI60" s="90"/>
      <c r="YJ60" s="90"/>
      <c r="YK60" s="90"/>
      <c r="YL60" s="90"/>
      <c r="YM60" s="90"/>
      <c r="YN60" s="90"/>
      <c r="YO60" s="90"/>
      <c r="YP60" s="90"/>
      <c r="YQ60" s="90"/>
      <c r="YR60" s="90"/>
      <c r="YS60" s="90"/>
      <c r="YT60" s="90"/>
      <c r="YU60" s="90"/>
      <c r="YV60" s="90"/>
      <c r="YW60" s="90"/>
      <c r="YX60" s="90"/>
      <c r="YY60" s="90"/>
      <c r="YZ60" s="90"/>
      <c r="ZA60" s="90"/>
      <c r="ZB60" s="90"/>
      <c r="ZC60" s="90"/>
      <c r="ZD60" s="90"/>
      <c r="ZE60" s="90"/>
      <c r="ZF60" s="90"/>
      <c r="ZG60" s="90"/>
      <c r="ZH60" s="90"/>
      <c r="ZI60" s="90"/>
      <c r="ZJ60" s="90"/>
      <c r="ZK60" s="90"/>
      <c r="ZL60" s="90"/>
      <c r="ZM60" s="90"/>
      <c r="ZN60" s="90"/>
      <c r="ZO60" s="90"/>
      <c r="ZP60" s="90"/>
      <c r="ZQ60" s="90"/>
      <c r="ZR60" s="90"/>
      <c r="ZS60" s="90"/>
      <c r="ZT60" s="90"/>
      <c r="ZU60" s="90"/>
      <c r="ZV60" s="90"/>
      <c r="ZW60" s="90"/>
      <c r="ZX60" s="90"/>
      <c r="ZY60" s="90"/>
      <c r="ZZ60" s="90"/>
      <c r="AAA60" s="90"/>
      <c r="AAB60" s="90"/>
      <c r="AAC60" s="90"/>
      <c r="AAD60" s="90"/>
      <c r="AAE60" s="90"/>
      <c r="AAF60" s="90"/>
      <c r="AAG60" s="90"/>
      <c r="AAH60" s="90"/>
      <c r="AAI60" s="90"/>
      <c r="AAJ60" s="90"/>
      <c r="AAK60" s="90"/>
      <c r="AAL60" s="90"/>
      <c r="AAM60" s="90"/>
      <c r="AAN60" s="90"/>
      <c r="AAO60" s="90"/>
      <c r="AAP60" s="90"/>
      <c r="AAQ60" s="90"/>
      <c r="AAR60" s="90"/>
      <c r="AAS60" s="90"/>
      <c r="AAT60" s="90"/>
      <c r="AAU60" s="90"/>
      <c r="AAV60" s="90"/>
      <c r="AAW60" s="90"/>
      <c r="AAX60" s="90"/>
      <c r="AAY60" s="90"/>
      <c r="AAZ60" s="90"/>
      <c r="ABA60" s="90"/>
      <c r="ABB60" s="90"/>
      <c r="ABC60" s="90"/>
      <c r="ABD60" s="90"/>
      <c r="ABE60" s="90"/>
      <c r="ABF60" s="90"/>
      <c r="ABG60" s="90"/>
      <c r="ABH60" s="90"/>
      <c r="ABI60" s="90"/>
      <c r="ABJ60" s="90"/>
      <c r="ABK60" s="90"/>
      <c r="ABL60" s="90"/>
      <c r="ABM60" s="90"/>
      <c r="ABN60" s="90"/>
      <c r="ABO60" s="90"/>
      <c r="ABP60" s="90"/>
      <c r="ABQ60" s="90"/>
      <c r="ABR60" s="90"/>
      <c r="ABS60" s="90"/>
      <c r="ABT60" s="90"/>
      <c r="ABU60" s="90"/>
      <c r="ABV60" s="90"/>
      <c r="ABW60" s="90"/>
      <c r="ABX60" s="90"/>
      <c r="ABY60" s="90"/>
      <c r="ABZ60" s="90"/>
      <c r="ACA60" s="90"/>
      <c r="ACB60" s="90"/>
      <c r="ACC60" s="90"/>
      <c r="ACD60" s="90"/>
      <c r="ACE60" s="90"/>
      <c r="ACF60" s="90"/>
      <c r="ACG60" s="90"/>
      <c r="ACH60" s="90"/>
      <c r="ACI60" s="90"/>
      <c r="ACJ60" s="90"/>
      <c r="ACK60" s="90"/>
      <c r="ACL60" s="90"/>
      <c r="ACM60" s="90"/>
      <c r="ACN60" s="90"/>
      <c r="ACO60" s="90"/>
      <c r="ACP60" s="90"/>
      <c r="ACQ60" s="90"/>
      <c r="ACR60" s="90"/>
      <c r="ACS60" s="90"/>
      <c r="ACT60" s="90"/>
      <c r="ACU60" s="90"/>
      <c r="ACV60" s="90"/>
      <c r="ACW60" s="90"/>
      <c r="ACX60" s="90"/>
      <c r="ACY60" s="90"/>
      <c r="ACZ60" s="90"/>
      <c r="ADA60" s="90"/>
      <c r="ADB60" s="90"/>
      <c r="ADC60" s="90"/>
      <c r="ADD60" s="90"/>
      <c r="ADE60" s="90"/>
      <c r="ADF60" s="90"/>
      <c r="ADG60" s="90"/>
      <c r="ADH60" s="90"/>
      <c r="ADI60" s="90"/>
      <c r="ADJ60" s="90"/>
      <c r="ADK60" s="90"/>
      <c r="ADL60" s="90"/>
      <c r="ADM60" s="90"/>
      <c r="ADN60" s="90"/>
      <c r="ADO60" s="90"/>
      <c r="ADP60" s="90"/>
      <c r="ADQ60" s="90"/>
      <c r="ADR60" s="90"/>
      <c r="ADS60" s="90"/>
      <c r="ADT60" s="90"/>
      <c r="ADU60" s="90"/>
      <c r="ADV60" s="90"/>
      <c r="ADW60" s="90"/>
      <c r="ADX60" s="90"/>
      <c r="ADY60" s="90"/>
      <c r="ADZ60" s="90"/>
      <c r="AEA60" s="90"/>
      <c r="AEB60" s="90"/>
      <c r="AEC60" s="90"/>
      <c r="AED60" s="90"/>
      <c r="AEE60" s="90"/>
      <c r="AEF60" s="90"/>
      <c r="AEG60" s="90"/>
      <c r="AEH60" s="90"/>
      <c r="AEI60" s="90"/>
      <c r="AEJ60" s="90"/>
      <c r="AEK60" s="90"/>
      <c r="AEL60" s="90"/>
      <c r="AEM60" s="90"/>
      <c r="AEN60" s="90"/>
      <c r="AEO60" s="90"/>
      <c r="AEP60" s="90"/>
      <c r="AEQ60" s="90"/>
      <c r="AER60" s="90"/>
      <c r="AES60" s="90"/>
      <c r="AET60" s="90"/>
      <c r="AEU60" s="90"/>
      <c r="AEV60" s="90"/>
      <c r="AEW60" s="90"/>
      <c r="AEX60" s="90"/>
      <c r="AEY60" s="90"/>
      <c r="AEZ60" s="90"/>
      <c r="AFA60" s="90"/>
      <c r="AFB60" s="90"/>
      <c r="AFC60" s="90"/>
      <c r="AFD60" s="90"/>
      <c r="AFE60" s="90"/>
      <c r="AFF60" s="90"/>
      <c r="AFG60" s="90"/>
      <c r="AFH60" s="90"/>
      <c r="AFI60" s="90"/>
      <c r="AFJ60" s="90"/>
      <c r="AFK60" s="90"/>
      <c r="AFL60" s="90"/>
      <c r="AFM60" s="90"/>
      <c r="AFN60" s="90"/>
      <c r="AFO60" s="90"/>
      <c r="AFP60" s="90"/>
      <c r="AFQ60" s="90"/>
      <c r="AFR60" s="90"/>
      <c r="AFS60" s="90"/>
      <c r="AFT60" s="90"/>
      <c r="AFU60" s="90"/>
      <c r="AFV60" s="90"/>
      <c r="AFW60" s="90"/>
      <c r="AFX60" s="90"/>
      <c r="AFY60" s="90"/>
      <c r="AFZ60" s="90"/>
      <c r="AGA60" s="90"/>
      <c r="AGB60" s="90"/>
      <c r="AGC60" s="90"/>
      <c r="AGD60" s="90"/>
      <c r="AGE60" s="90"/>
      <c r="AGF60" s="90"/>
      <c r="AGG60" s="90"/>
      <c r="AGH60" s="90"/>
      <c r="AGI60" s="90"/>
      <c r="AGJ60" s="90"/>
      <c r="AGK60" s="90"/>
      <c r="AGL60" s="90"/>
      <c r="AGM60" s="90"/>
      <c r="AGN60" s="90"/>
      <c r="AGO60" s="90"/>
      <c r="AGP60" s="90"/>
      <c r="AGQ60" s="90"/>
      <c r="AGR60" s="90"/>
      <c r="AGS60" s="90"/>
      <c r="AGT60" s="90"/>
      <c r="AGU60" s="90"/>
      <c r="AGV60" s="90"/>
      <c r="AGW60" s="90"/>
      <c r="AGX60" s="90"/>
      <c r="AGY60" s="90"/>
      <c r="AGZ60" s="90"/>
      <c r="AHA60" s="90"/>
      <c r="AHB60" s="90"/>
      <c r="AHC60" s="90"/>
      <c r="AHD60" s="90"/>
      <c r="AHE60" s="90"/>
      <c r="AHF60" s="90"/>
      <c r="AHG60" s="90"/>
      <c r="AHH60" s="90"/>
      <c r="AHI60" s="90"/>
      <c r="AHJ60" s="90"/>
      <c r="AHK60" s="90"/>
      <c r="AHL60" s="90"/>
      <c r="AHM60" s="90"/>
      <c r="AHN60" s="90"/>
      <c r="AHO60" s="90"/>
      <c r="AHP60" s="90"/>
      <c r="AHQ60" s="90"/>
      <c r="AHR60" s="90"/>
      <c r="AHS60" s="90"/>
      <c r="AHT60" s="90"/>
      <c r="AHU60" s="90"/>
      <c r="AHV60" s="90"/>
      <c r="AHW60" s="90"/>
      <c r="AHX60" s="90"/>
      <c r="AHY60" s="90"/>
      <c r="AHZ60" s="90"/>
      <c r="AIA60" s="90"/>
      <c r="AIB60" s="90"/>
      <c r="AIC60" s="90"/>
      <c r="AID60" s="90"/>
      <c r="AIE60" s="90"/>
      <c r="AIF60" s="90"/>
      <c r="AIG60" s="90"/>
      <c r="AIH60" s="90"/>
      <c r="AII60" s="90"/>
      <c r="AIJ60" s="90"/>
      <c r="AIK60" s="90"/>
      <c r="AIL60" s="90"/>
      <c r="AIM60" s="90"/>
      <c r="AIN60" s="90"/>
      <c r="AIO60" s="90"/>
      <c r="AIP60" s="90"/>
      <c r="AIQ60" s="90"/>
      <c r="AIR60" s="90"/>
      <c r="AIS60" s="90"/>
      <c r="AIT60" s="90"/>
      <c r="AIU60" s="90"/>
      <c r="AIV60" s="90"/>
      <c r="AIW60" s="90"/>
      <c r="AIX60" s="90"/>
      <c r="AIY60" s="90"/>
      <c r="AIZ60" s="90"/>
      <c r="AJA60" s="90"/>
      <c r="AJB60" s="90"/>
      <c r="AJC60" s="90"/>
      <c r="AJD60" s="90"/>
      <c r="AJE60" s="90"/>
      <c r="AJF60" s="90"/>
      <c r="AJG60" s="90"/>
      <c r="AJH60" s="90"/>
      <c r="AJI60" s="90"/>
      <c r="AJJ60" s="90"/>
      <c r="AJK60" s="90"/>
      <c r="AJL60" s="90"/>
      <c r="AJM60" s="90"/>
      <c r="AJN60" s="90"/>
      <c r="AJO60" s="90"/>
      <c r="AJP60" s="90"/>
      <c r="AJQ60" s="90"/>
      <c r="AJR60" s="90"/>
      <c r="AJS60" s="90"/>
      <c r="AJT60" s="90"/>
      <c r="AJU60" s="90"/>
      <c r="AJV60" s="90"/>
      <c r="AJW60" s="90"/>
      <c r="AJX60" s="90"/>
      <c r="AJY60" s="90"/>
      <c r="AJZ60" s="90"/>
      <c r="AKA60" s="90"/>
      <c r="AKB60" s="90"/>
      <c r="AKC60" s="90"/>
      <c r="AKD60" s="90"/>
      <c r="AKE60" s="90"/>
      <c r="AKF60" s="90"/>
      <c r="AKG60" s="90"/>
      <c r="AKH60" s="90"/>
      <c r="AKI60" s="90"/>
      <c r="AKJ60" s="90"/>
      <c r="AKK60" s="90"/>
      <c r="AKL60" s="90"/>
      <c r="AKM60" s="90"/>
      <c r="AKN60" s="90"/>
      <c r="AKO60" s="90"/>
      <c r="AKP60" s="90"/>
      <c r="AKQ60" s="90"/>
      <c r="AKR60" s="90"/>
      <c r="AKS60" s="90"/>
      <c r="AKT60" s="90"/>
      <c r="AKU60" s="90"/>
      <c r="AKV60" s="90"/>
      <c r="AKW60" s="90"/>
      <c r="AKX60" s="90"/>
      <c r="AKY60" s="90"/>
      <c r="AKZ60" s="90"/>
      <c r="ALA60" s="90"/>
      <c r="ALB60" s="90"/>
      <c r="ALC60" s="90"/>
      <c r="ALD60" s="90"/>
      <c r="ALE60" s="90"/>
      <c r="ALF60" s="90"/>
      <c r="ALG60" s="90"/>
      <c r="ALH60" s="90"/>
      <c r="ALI60" s="90"/>
      <c r="ALJ60" s="90"/>
      <c r="ALK60" s="90"/>
      <c r="ALL60" s="90"/>
      <c r="ALM60" s="90"/>
      <c r="ALN60" s="90"/>
      <c r="ALO60" s="90"/>
      <c r="ALP60" s="90"/>
      <c r="ALQ60" s="90"/>
      <c r="ALR60" s="90"/>
      <c r="ALS60" s="90"/>
      <c r="ALT60" s="90"/>
      <c r="ALU60" s="90"/>
      <c r="ALV60" s="90"/>
      <c r="ALW60" s="90"/>
      <c r="ALX60" s="90"/>
      <c r="ALY60" s="90"/>
      <c r="ALZ60" s="90"/>
      <c r="AMA60" s="90"/>
      <c r="AMB60" s="90"/>
      <c r="AMC60" s="90"/>
    </row>
    <row r="61" spans="1:1017">
      <c r="A61" s="98" t="s">
        <v>26</v>
      </c>
      <c r="B61" s="648" t="str">
        <f t="shared" si="829"/>
        <v xml:space="preserve">Kerang Hijau </v>
      </c>
      <c r="Q61" s="91">
        <f t="shared" si="830"/>
        <v>0</v>
      </c>
      <c r="R61" s="91">
        <f t="shared" si="831"/>
        <v>0</v>
      </c>
      <c r="AG61" s="91">
        <f t="shared" si="832"/>
        <v>0</v>
      </c>
      <c r="AH61" s="91">
        <f t="shared" si="833"/>
        <v>0</v>
      </c>
      <c r="AW61" s="91">
        <f t="shared" si="834"/>
        <v>0</v>
      </c>
      <c r="AX61" s="91">
        <f t="shared" si="835"/>
        <v>0</v>
      </c>
      <c r="BM61" s="91">
        <f t="shared" si="836"/>
        <v>0</v>
      </c>
      <c r="BN61" s="91">
        <f t="shared" si="837"/>
        <v>0</v>
      </c>
      <c r="CC61" s="91">
        <f t="shared" si="838"/>
        <v>0</v>
      </c>
      <c r="CD61" s="91">
        <f t="shared" si="839"/>
        <v>0</v>
      </c>
      <c r="CE61" s="98">
        <v>424871</v>
      </c>
      <c r="CF61" s="98">
        <v>1699483</v>
      </c>
      <c r="CS61" s="91">
        <f t="shared" si="840"/>
        <v>424871</v>
      </c>
      <c r="CT61" s="91">
        <f t="shared" si="841"/>
        <v>1699483</v>
      </c>
      <c r="DI61" s="91">
        <f t="shared" si="842"/>
        <v>0</v>
      </c>
      <c r="DJ61" s="91">
        <f t="shared" si="843"/>
        <v>0</v>
      </c>
      <c r="DY61" s="91">
        <f t="shared" si="844"/>
        <v>0</v>
      </c>
      <c r="DZ61" s="91">
        <f t="shared" si="845"/>
        <v>0</v>
      </c>
      <c r="EO61" s="91">
        <f t="shared" si="846"/>
        <v>0</v>
      </c>
      <c r="EP61" s="91">
        <f t="shared" si="847"/>
        <v>0</v>
      </c>
      <c r="FE61" s="91">
        <f t="shared" si="848"/>
        <v>0</v>
      </c>
      <c r="FF61" s="91">
        <f t="shared" si="849"/>
        <v>0</v>
      </c>
      <c r="FU61" s="91">
        <f t="shared" si="850"/>
        <v>0</v>
      </c>
      <c r="FV61" s="91">
        <f t="shared" si="851"/>
        <v>0</v>
      </c>
      <c r="GK61" s="91">
        <f t="shared" si="852"/>
        <v>0</v>
      </c>
      <c r="GL61" s="91">
        <f t="shared" si="853"/>
        <v>0</v>
      </c>
      <c r="HA61" s="91">
        <f t="shared" si="854"/>
        <v>0</v>
      </c>
      <c r="HB61" s="91">
        <f t="shared" si="855"/>
        <v>0</v>
      </c>
      <c r="HQ61" s="91">
        <f t="shared" si="856"/>
        <v>0</v>
      </c>
      <c r="HR61" s="91">
        <f t="shared" si="857"/>
        <v>0</v>
      </c>
      <c r="IG61" s="91">
        <f t="shared" si="858"/>
        <v>0</v>
      </c>
      <c r="IH61" s="91">
        <f t="shared" si="859"/>
        <v>0</v>
      </c>
      <c r="IW61" s="91">
        <f t="shared" si="860"/>
        <v>0</v>
      </c>
      <c r="IX61" s="91">
        <f t="shared" si="861"/>
        <v>0</v>
      </c>
      <c r="JM61" s="91">
        <f t="shared" si="862"/>
        <v>0</v>
      </c>
      <c r="JN61" s="91">
        <f t="shared" si="863"/>
        <v>0</v>
      </c>
      <c r="KC61" s="91">
        <f t="shared" si="864"/>
        <v>0</v>
      </c>
      <c r="KD61" s="91">
        <f t="shared" si="865"/>
        <v>0</v>
      </c>
      <c r="KS61" s="91">
        <f t="shared" si="866"/>
        <v>0</v>
      </c>
      <c r="KT61" s="91">
        <f t="shared" si="867"/>
        <v>0</v>
      </c>
      <c r="LI61" s="91">
        <f t="shared" si="868"/>
        <v>0</v>
      </c>
      <c r="LJ61" s="91">
        <f t="shared" si="869"/>
        <v>0</v>
      </c>
      <c r="LY61" s="91">
        <f t="shared" si="870"/>
        <v>0</v>
      </c>
      <c r="LZ61" s="91">
        <f t="shared" si="871"/>
        <v>0</v>
      </c>
      <c r="MO61" s="91">
        <f t="shared" si="872"/>
        <v>0</v>
      </c>
      <c r="MP61" s="91">
        <f t="shared" si="873"/>
        <v>0</v>
      </c>
      <c r="NE61" s="91">
        <f t="shared" si="874"/>
        <v>0</v>
      </c>
      <c r="NF61" s="91">
        <f t="shared" si="875"/>
        <v>0</v>
      </c>
      <c r="NU61" s="91">
        <f t="shared" si="876"/>
        <v>0</v>
      </c>
      <c r="NV61" s="91">
        <f t="shared" si="877"/>
        <v>0</v>
      </c>
      <c r="OK61" s="91">
        <f t="shared" si="878"/>
        <v>0</v>
      </c>
      <c r="OL61" s="91">
        <f t="shared" si="879"/>
        <v>0</v>
      </c>
      <c r="PA61" s="91">
        <f t="shared" si="880"/>
        <v>0</v>
      </c>
      <c r="PB61" s="91">
        <f t="shared" si="881"/>
        <v>0</v>
      </c>
      <c r="PQ61" s="91">
        <f t="shared" si="882"/>
        <v>0</v>
      </c>
      <c r="PR61" s="91">
        <f t="shared" si="883"/>
        <v>0</v>
      </c>
      <c r="QG61" s="91">
        <f t="shared" si="884"/>
        <v>0</v>
      </c>
      <c r="QH61" s="91">
        <f t="shared" si="885"/>
        <v>0</v>
      </c>
      <c r="QW61" s="91">
        <f t="shared" si="886"/>
        <v>0</v>
      </c>
      <c r="QX61" s="91">
        <f t="shared" si="887"/>
        <v>0</v>
      </c>
      <c r="RM61" s="91">
        <f t="shared" si="888"/>
        <v>0</v>
      </c>
      <c r="RN61" s="91">
        <f t="shared" si="889"/>
        <v>0</v>
      </c>
      <c r="SC61" s="91">
        <f t="shared" si="890"/>
        <v>0</v>
      </c>
      <c r="SD61" s="91">
        <f t="shared" si="891"/>
        <v>0</v>
      </c>
      <c r="SS61" s="91">
        <f t="shared" si="892"/>
        <v>0</v>
      </c>
      <c r="ST61" s="91">
        <f t="shared" si="893"/>
        <v>0</v>
      </c>
      <c r="TI61" s="91">
        <f t="shared" si="894"/>
        <v>0</v>
      </c>
      <c r="TJ61" s="91">
        <f t="shared" si="895"/>
        <v>0</v>
      </c>
      <c r="TY61" s="91">
        <f t="shared" si="896"/>
        <v>0</v>
      </c>
      <c r="TZ61" s="91">
        <f t="shared" si="897"/>
        <v>0</v>
      </c>
      <c r="UO61" s="91">
        <f t="shared" si="898"/>
        <v>0</v>
      </c>
      <c r="UP61" s="91">
        <f t="shared" si="899"/>
        <v>0</v>
      </c>
      <c r="VE61" s="91">
        <f t="shared" si="900"/>
        <v>0</v>
      </c>
      <c r="VF61" s="91">
        <f t="shared" si="901"/>
        <v>0</v>
      </c>
      <c r="VU61" s="91">
        <f t="shared" si="902"/>
        <v>0</v>
      </c>
      <c r="VV61" s="91">
        <f t="shared" si="903"/>
        <v>0</v>
      </c>
      <c r="WK61" s="91">
        <f t="shared" si="904"/>
        <v>0</v>
      </c>
      <c r="WL61" s="91">
        <f t="shared" si="905"/>
        <v>0</v>
      </c>
      <c r="WM61" s="89"/>
      <c r="WN61" s="87">
        <f t="shared" si="906"/>
        <v>424871</v>
      </c>
      <c r="WO61" s="87">
        <f t="shared" si="907"/>
        <v>1699483</v>
      </c>
      <c r="WP61" s="87">
        <f t="shared" si="908"/>
        <v>0</v>
      </c>
      <c r="WQ61" s="87">
        <f t="shared" si="909"/>
        <v>0</v>
      </c>
      <c r="WR61" s="87">
        <f t="shared" si="910"/>
        <v>0</v>
      </c>
      <c r="WS61" s="87">
        <f t="shared" si="911"/>
        <v>0</v>
      </c>
      <c r="WT61" s="87">
        <f t="shared" si="912"/>
        <v>0</v>
      </c>
      <c r="WU61" s="87">
        <f t="shared" si="913"/>
        <v>0</v>
      </c>
      <c r="WV61" s="87">
        <f t="shared" si="914"/>
        <v>0</v>
      </c>
      <c r="WW61" s="87">
        <f t="shared" si="915"/>
        <v>0</v>
      </c>
      <c r="WX61" s="87">
        <f t="shared" si="916"/>
        <v>0</v>
      </c>
      <c r="WY61" s="87">
        <f t="shared" si="917"/>
        <v>0</v>
      </c>
      <c r="WZ61" s="87">
        <f t="shared" si="918"/>
        <v>0</v>
      </c>
      <c r="XA61" s="87">
        <f t="shared" si="919"/>
        <v>0</v>
      </c>
      <c r="XB61" s="92">
        <f t="shared" si="920"/>
        <v>424871</v>
      </c>
      <c r="XC61" s="92">
        <f t="shared" si="921"/>
        <v>1699483</v>
      </c>
      <c r="XD61" s="89"/>
      <c r="XE61" s="92">
        <f t="shared" ref="XE61:XF61" si="940">SUM(XB137,XB175,XB213)</f>
        <v>1407506.6906785597</v>
      </c>
      <c r="XF61" s="92">
        <f t="shared" si="940"/>
        <v>7037534.453392799</v>
      </c>
      <c r="XG61" s="89"/>
      <c r="XH61" s="92">
        <f t="shared" ref="XH61:XI61" si="941">SUM(XE99,XE137)</f>
        <v>11154804.235399788</v>
      </c>
      <c r="XI61" s="92">
        <f t="shared" si="941"/>
        <v>41507706.032943472</v>
      </c>
      <c r="XJ61" s="89"/>
      <c r="XK61" s="87"/>
      <c r="XL61" s="87"/>
      <c r="XM61" s="87"/>
      <c r="XN61" s="87"/>
      <c r="XO61" s="87"/>
      <c r="XP61" s="87"/>
      <c r="XQ61" s="87"/>
      <c r="XR61" s="92">
        <f t="shared" ca="1" si="922"/>
        <v>0</v>
      </c>
      <c r="XS61" s="89"/>
      <c r="XT61" s="87"/>
      <c r="XU61" s="87"/>
      <c r="XV61" s="87"/>
      <c r="XW61" s="87"/>
      <c r="XX61" s="87"/>
      <c r="XY61" s="87"/>
      <c r="XZ61" s="87"/>
      <c r="YA61" s="92">
        <f t="shared" ca="1" si="923"/>
        <v>0</v>
      </c>
      <c r="YB61" s="90"/>
      <c r="YC61" s="90"/>
      <c r="YD61" s="90"/>
      <c r="YE61" s="90"/>
      <c r="YF61" s="90"/>
      <c r="YG61" s="90"/>
      <c r="YH61" s="90"/>
      <c r="YI61" s="90"/>
      <c r="YJ61" s="90"/>
      <c r="YK61" s="90"/>
      <c r="YL61" s="90"/>
      <c r="YM61" s="90"/>
      <c r="YN61" s="90"/>
      <c r="YO61" s="90"/>
      <c r="YP61" s="90"/>
      <c r="YQ61" s="90"/>
      <c r="YR61" s="90"/>
      <c r="YS61" s="90"/>
      <c r="YT61" s="90"/>
      <c r="YU61" s="90"/>
      <c r="YV61" s="90"/>
      <c r="YW61" s="90"/>
      <c r="YX61" s="90"/>
      <c r="YY61" s="90"/>
      <c r="YZ61" s="90"/>
      <c r="ZA61" s="90"/>
      <c r="ZB61" s="90"/>
      <c r="ZC61" s="90"/>
      <c r="ZD61" s="90"/>
      <c r="ZE61" s="90"/>
      <c r="ZF61" s="90"/>
      <c r="ZG61" s="90"/>
      <c r="ZH61" s="90"/>
      <c r="ZI61" s="90"/>
      <c r="ZJ61" s="90"/>
      <c r="ZK61" s="90"/>
      <c r="ZL61" s="90"/>
      <c r="ZM61" s="90"/>
      <c r="ZN61" s="90"/>
      <c r="ZO61" s="90"/>
      <c r="ZP61" s="90"/>
      <c r="ZQ61" s="90"/>
      <c r="ZR61" s="90"/>
      <c r="ZS61" s="90"/>
      <c r="ZT61" s="90"/>
      <c r="ZU61" s="90"/>
      <c r="ZV61" s="90"/>
      <c r="ZW61" s="90"/>
      <c r="ZX61" s="90"/>
      <c r="ZY61" s="90"/>
      <c r="ZZ61" s="90"/>
      <c r="AAA61" s="90"/>
      <c r="AAB61" s="90"/>
      <c r="AAC61" s="90"/>
      <c r="AAD61" s="90"/>
      <c r="AAE61" s="90"/>
      <c r="AAF61" s="90"/>
      <c r="AAG61" s="90"/>
      <c r="AAH61" s="90"/>
      <c r="AAI61" s="90"/>
      <c r="AAJ61" s="90"/>
      <c r="AAK61" s="90"/>
      <c r="AAL61" s="90"/>
      <c r="AAM61" s="90"/>
      <c r="AAN61" s="90"/>
      <c r="AAO61" s="90"/>
      <c r="AAP61" s="90"/>
      <c r="AAQ61" s="90"/>
      <c r="AAR61" s="90"/>
      <c r="AAS61" s="90"/>
      <c r="AAT61" s="90"/>
      <c r="AAU61" s="90"/>
      <c r="AAV61" s="90"/>
      <c r="AAW61" s="90"/>
      <c r="AAX61" s="90"/>
      <c r="AAY61" s="90"/>
      <c r="AAZ61" s="90"/>
      <c r="ABA61" s="90"/>
      <c r="ABB61" s="90"/>
      <c r="ABC61" s="90"/>
      <c r="ABD61" s="90"/>
      <c r="ABE61" s="90"/>
      <c r="ABF61" s="90"/>
      <c r="ABG61" s="90"/>
      <c r="ABH61" s="90"/>
      <c r="ABI61" s="90"/>
      <c r="ABJ61" s="90"/>
      <c r="ABK61" s="90"/>
      <c r="ABL61" s="90"/>
      <c r="ABM61" s="90"/>
      <c r="ABN61" s="90"/>
      <c r="ABO61" s="90"/>
      <c r="ABP61" s="90"/>
      <c r="ABQ61" s="90"/>
      <c r="ABR61" s="90"/>
      <c r="ABS61" s="90"/>
      <c r="ABT61" s="90"/>
      <c r="ABU61" s="90"/>
      <c r="ABV61" s="90"/>
      <c r="ABW61" s="90"/>
      <c r="ABX61" s="90"/>
      <c r="ABY61" s="90"/>
      <c r="ABZ61" s="90"/>
      <c r="ACA61" s="90"/>
      <c r="ACB61" s="90"/>
      <c r="ACC61" s="90"/>
      <c r="ACD61" s="90"/>
      <c r="ACE61" s="90"/>
      <c r="ACF61" s="90"/>
      <c r="ACG61" s="90"/>
      <c r="ACH61" s="90"/>
      <c r="ACI61" s="90"/>
      <c r="ACJ61" s="90"/>
      <c r="ACK61" s="90"/>
      <c r="ACL61" s="90"/>
      <c r="ACM61" s="90"/>
      <c r="ACN61" s="90"/>
      <c r="ACO61" s="90"/>
      <c r="ACP61" s="90"/>
      <c r="ACQ61" s="90"/>
      <c r="ACR61" s="90"/>
      <c r="ACS61" s="90"/>
      <c r="ACT61" s="90"/>
      <c r="ACU61" s="90"/>
      <c r="ACV61" s="90"/>
      <c r="ACW61" s="90"/>
      <c r="ACX61" s="90"/>
      <c r="ACY61" s="90"/>
      <c r="ACZ61" s="90"/>
      <c r="ADA61" s="90"/>
      <c r="ADB61" s="90"/>
      <c r="ADC61" s="90"/>
      <c r="ADD61" s="90"/>
      <c r="ADE61" s="90"/>
      <c r="ADF61" s="90"/>
      <c r="ADG61" s="90"/>
      <c r="ADH61" s="90"/>
      <c r="ADI61" s="90"/>
      <c r="ADJ61" s="90"/>
      <c r="ADK61" s="90"/>
      <c r="ADL61" s="90"/>
      <c r="ADM61" s="90"/>
      <c r="ADN61" s="90"/>
      <c r="ADO61" s="90"/>
      <c r="ADP61" s="90"/>
      <c r="ADQ61" s="90"/>
      <c r="ADR61" s="90"/>
      <c r="ADS61" s="90"/>
      <c r="ADT61" s="90"/>
      <c r="ADU61" s="90"/>
      <c r="ADV61" s="90"/>
      <c r="ADW61" s="90"/>
      <c r="ADX61" s="90"/>
      <c r="ADY61" s="90"/>
      <c r="ADZ61" s="90"/>
      <c r="AEA61" s="90"/>
      <c r="AEB61" s="90"/>
      <c r="AEC61" s="90"/>
      <c r="AED61" s="90"/>
      <c r="AEE61" s="90"/>
      <c r="AEF61" s="90"/>
      <c r="AEG61" s="90"/>
      <c r="AEH61" s="90"/>
      <c r="AEI61" s="90"/>
      <c r="AEJ61" s="90"/>
      <c r="AEK61" s="90"/>
      <c r="AEL61" s="90"/>
      <c r="AEM61" s="90"/>
      <c r="AEN61" s="90"/>
      <c r="AEO61" s="90"/>
      <c r="AEP61" s="90"/>
      <c r="AEQ61" s="90"/>
      <c r="AER61" s="90"/>
      <c r="AES61" s="90"/>
      <c r="AET61" s="90"/>
      <c r="AEU61" s="90"/>
      <c r="AEV61" s="90"/>
      <c r="AEW61" s="90"/>
      <c r="AEX61" s="90"/>
      <c r="AEY61" s="90"/>
      <c r="AEZ61" s="90"/>
      <c r="AFA61" s="90"/>
      <c r="AFB61" s="90"/>
      <c r="AFC61" s="90"/>
      <c r="AFD61" s="90"/>
      <c r="AFE61" s="90"/>
      <c r="AFF61" s="90"/>
      <c r="AFG61" s="90"/>
      <c r="AFH61" s="90"/>
      <c r="AFI61" s="90"/>
      <c r="AFJ61" s="90"/>
      <c r="AFK61" s="90"/>
      <c r="AFL61" s="90"/>
      <c r="AFM61" s="90"/>
      <c r="AFN61" s="90"/>
      <c r="AFO61" s="90"/>
      <c r="AFP61" s="90"/>
      <c r="AFQ61" s="90"/>
      <c r="AFR61" s="90"/>
      <c r="AFS61" s="90"/>
      <c r="AFT61" s="90"/>
      <c r="AFU61" s="90"/>
      <c r="AFV61" s="90"/>
      <c r="AFW61" s="90"/>
      <c r="AFX61" s="90"/>
      <c r="AFY61" s="90"/>
      <c r="AFZ61" s="90"/>
      <c r="AGA61" s="90"/>
      <c r="AGB61" s="90"/>
      <c r="AGC61" s="90"/>
      <c r="AGD61" s="90"/>
      <c r="AGE61" s="90"/>
      <c r="AGF61" s="90"/>
      <c r="AGG61" s="90"/>
      <c r="AGH61" s="90"/>
      <c r="AGI61" s="90"/>
      <c r="AGJ61" s="90"/>
      <c r="AGK61" s="90"/>
      <c r="AGL61" s="90"/>
      <c r="AGM61" s="90"/>
      <c r="AGN61" s="90"/>
      <c r="AGO61" s="90"/>
      <c r="AGP61" s="90"/>
      <c r="AGQ61" s="90"/>
      <c r="AGR61" s="90"/>
      <c r="AGS61" s="90"/>
      <c r="AGT61" s="90"/>
      <c r="AGU61" s="90"/>
      <c r="AGV61" s="90"/>
      <c r="AGW61" s="90"/>
      <c r="AGX61" s="90"/>
      <c r="AGY61" s="90"/>
      <c r="AGZ61" s="90"/>
      <c r="AHA61" s="90"/>
      <c r="AHB61" s="90"/>
      <c r="AHC61" s="90"/>
      <c r="AHD61" s="90"/>
      <c r="AHE61" s="90"/>
      <c r="AHF61" s="90"/>
      <c r="AHG61" s="90"/>
      <c r="AHH61" s="90"/>
      <c r="AHI61" s="90"/>
      <c r="AHJ61" s="90"/>
      <c r="AHK61" s="90"/>
      <c r="AHL61" s="90"/>
      <c r="AHM61" s="90"/>
      <c r="AHN61" s="90"/>
      <c r="AHO61" s="90"/>
      <c r="AHP61" s="90"/>
      <c r="AHQ61" s="90"/>
      <c r="AHR61" s="90"/>
      <c r="AHS61" s="90"/>
      <c r="AHT61" s="90"/>
      <c r="AHU61" s="90"/>
      <c r="AHV61" s="90"/>
      <c r="AHW61" s="90"/>
      <c r="AHX61" s="90"/>
      <c r="AHY61" s="90"/>
      <c r="AHZ61" s="90"/>
      <c r="AIA61" s="90"/>
      <c r="AIB61" s="90"/>
      <c r="AIC61" s="90"/>
      <c r="AID61" s="90"/>
      <c r="AIE61" s="90"/>
      <c r="AIF61" s="90"/>
      <c r="AIG61" s="90"/>
      <c r="AIH61" s="90"/>
      <c r="AII61" s="90"/>
      <c r="AIJ61" s="90"/>
      <c r="AIK61" s="90"/>
      <c r="AIL61" s="90"/>
      <c r="AIM61" s="90"/>
      <c r="AIN61" s="90"/>
      <c r="AIO61" s="90"/>
      <c r="AIP61" s="90"/>
      <c r="AIQ61" s="90"/>
      <c r="AIR61" s="90"/>
      <c r="AIS61" s="90"/>
      <c r="AIT61" s="90"/>
      <c r="AIU61" s="90"/>
      <c r="AIV61" s="90"/>
      <c r="AIW61" s="90"/>
      <c r="AIX61" s="90"/>
      <c r="AIY61" s="90"/>
      <c r="AIZ61" s="90"/>
      <c r="AJA61" s="90"/>
      <c r="AJB61" s="90"/>
      <c r="AJC61" s="90"/>
      <c r="AJD61" s="90"/>
      <c r="AJE61" s="90"/>
      <c r="AJF61" s="90"/>
      <c r="AJG61" s="90"/>
      <c r="AJH61" s="90"/>
      <c r="AJI61" s="90"/>
      <c r="AJJ61" s="90"/>
      <c r="AJK61" s="90"/>
      <c r="AJL61" s="90"/>
      <c r="AJM61" s="90"/>
      <c r="AJN61" s="90"/>
      <c r="AJO61" s="90"/>
      <c r="AJP61" s="90"/>
      <c r="AJQ61" s="90"/>
      <c r="AJR61" s="90"/>
      <c r="AJS61" s="90"/>
      <c r="AJT61" s="90"/>
      <c r="AJU61" s="90"/>
      <c r="AJV61" s="90"/>
      <c r="AJW61" s="90"/>
      <c r="AJX61" s="90"/>
      <c r="AJY61" s="90"/>
      <c r="AJZ61" s="90"/>
      <c r="AKA61" s="90"/>
      <c r="AKB61" s="90"/>
      <c r="AKC61" s="90"/>
      <c r="AKD61" s="90"/>
      <c r="AKE61" s="90"/>
      <c r="AKF61" s="90"/>
      <c r="AKG61" s="90"/>
      <c r="AKH61" s="90"/>
      <c r="AKI61" s="90"/>
      <c r="AKJ61" s="90"/>
      <c r="AKK61" s="90"/>
      <c r="AKL61" s="90"/>
      <c r="AKM61" s="90"/>
      <c r="AKN61" s="90"/>
      <c r="AKO61" s="90"/>
      <c r="AKP61" s="90"/>
      <c r="AKQ61" s="90"/>
      <c r="AKR61" s="90"/>
      <c r="AKS61" s="90"/>
      <c r="AKT61" s="90"/>
      <c r="AKU61" s="90"/>
      <c r="AKV61" s="90"/>
      <c r="AKW61" s="90"/>
      <c r="AKX61" s="90"/>
      <c r="AKY61" s="90"/>
      <c r="AKZ61" s="90"/>
      <c r="ALA61" s="90"/>
      <c r="ALB61" s="90"/>
      <c r="ALC61" s="90"/>
      <c r="ALD61" s="90"/>
      <c r="ALE61" s="90"/>
      <c r="ALF61" s="90"/>
      <c r="ALG61" s="90"/>
      <c r="ALH61" s="90"/>
      <c r="ALI61" s="90"/>
      <c r="ALJ61" s="90"/>
      <c r="ALK61" s="90"/>
      <c r="ALL61" s="90"/>
      <c r="ALM61" s="90"/>
      <c r="ALN61" s="90"/>
      <c r="ALO61" s="90"/>
      <c r="ALP61" s="90"/>
      <c r="ALQ61" s="90"/>
      <c r="ALR61" s="90"/>
      <c r="ALS61" s="90"/>
      <c r="ALT61" s="90"/>
      <c r="ALU61" s="90"/>
      <c r="ALV61" s="90"/>
      <c r="ALW61" s="90"/>
      <c r="ALX61" s="90"/>
      <c r="ALY61" s="90"/>
      <c r="ALZ61" s="90"/>
      <c r="AMA61" s="90"/>
      <c r="AMB61" s="90"/>
      <c r="AMC61" s="90"/>
    </row>
    <row r="62" spans="1:1017">
      <c r="A62" s="98" t="s">
        <v>26</v>
      </c>
      <c r="B62" s="648" t="str">
        <f t="shared" si="829"/>
        <v>Kerapu Cantang</v>
      </c>
      <c r="Q62" s="91">
        <f t="shared" si="830"/>
        <v>0</v>
      </c>
      <c r="R62" s="91">
        <f t="shared" si="831"/>
        <v>0</v>
      </c>
      <c r="S62" s="98">
        <v>2000</v>
      </c>
      <c r="T62" s="98">
        <v>190000</v>
      </c>
      <c r="U62" s="98">
        <v>4035</v>
      </c>
      <c r="V62" s="98">
        <v>383325</v>
      </c>
      <c r="AG62" s="91">
        <f t="shared" si="832"/>
        <v>6035</v>
      </c>
      <c r="AH62" s="91">
        <f t="shared" si="833"/>
        <v>573325</v>
      </c>
      <c r="AW62" s="91">
        <f t="shared" si="834"/>
        <v>0</v>
      </c>
      <c r="AX62" s="91">
        <f t="shared" si="835"/>
        <v>0</v>
      </c>
      <c r="BM62" s="91">
        <f t="shared" si="836"/>
        <v>0</v>
      </c>
      <c r="BN62" s="91">
        <f t="shared" si="837"/>
        <v>0</v>
      </c>
      <c r="CC62" s="91">
        <f t="shared" si="838"/>
        <v>0</v>
      </c>
      <c r="CD62" s="91">
        <f t="shared" si="839"/>
        <v>0</v>
      </c>
      <c r="CG62" s="98">
        <v>13772</v>
      </c>
      <c r="CH62" s="98">
        <v>1514917</v>
      </c>
      <c r="CS62" s="91">
        <f t="shared" si="840"/>
        <v>13772</v>
      </c>
      <c r="CT62" s="91">
        <f t="shared" si="841"/>
        <v>1514917</v>
      </c>
      <c r="DI62" s="91">
        <f t="shared" si="842"/>
        <v>0</v>
      </c>
      <c r="DJ62" s="91">
        <f t="shared" si="843"/>
        <v>0</v>
      </c>
      <c r="DY62" s="91">
        <f t="shared" si="844"/>
        <v>0</v>
      </c>
      <c r="DZ62" s="91">
        <f t="shared" si="845"/>
        <v>0</v>
      </c>
      <c r="EO62" s="91">
        <f t="shared" si="846"/>
        <v>0</v>
      </c>
      <c r="EP62" s="91">
        <f t="shared" si="847"/>
        <v>0</v>
      </c>
      <c r="FE62" s="91">
        <f t="shared" si="848"/>
        <v>0</v>
      </c>
      <c r="FF62" s="91">
        <f t="shared" si="849"/>
        <v>0</v>
      </c>
      <c r="FU62" s="91">
        <f t="shared" si="850"/>
        <v>0</v>
      </c>
      <c r="FV62" s="91">
        <f t="shared" si="851"/>
        <v>0</v>
      </c>
      <c r="GK62" s="91">
        <f t="shared" si="852"/>
        <v>0</v>
      </c>
      <c r="GL62" s="91">
        <f t="shared" si="853"/>
        <v>0</v>
      </c>
      <c r="HA62" s="91">
        <f t="shared" si="854"/>
        <v>0</v>
      </c>
      <c r="HB62" s="91">
        <f t="shared" si="855"/>
        <v>0</v>
      </c>
      <c r="HQ62" s="91">
        <f t="shared" si="856"/>
        <v>0</v>
      </c>
      <c r="HR62" s="91">
        <f t="shared" si="857"/>
        <v>0</v>
      </c>
      <c r="IG62" s="91">
        <f t="shared" si="858"/>
        <v>0</v>
      </c>
      <c r="IH62" s="91">
        <f t="shared" si="859"/>
        <v>0</v>
      </c>
      <c r="IW62" s="91">
        <f t="shared" si="860"/>
        <v>0</v>
      </c>
      <c r="IX62" s="91">
        <f t="shared" si="861"/>
        <v>0</v>
      </c>
      <c r="JM62" s="91">
        <f t="shared" si="862"/>
        <v>0</v>
      </c>
      <c r="JN62" s="91">
        <f t="shared" si="863"/>
        <v>0</v>
      </c>
      <c r="KC62" s="91">
        <f t="shared" si="864"/>
        <v>0</v>
      </c>
      <c r="KD62" s="91">
        <f t="shared" si="865"/>
        <v>0</v>
      </c>
      <c r="KS62" s="91">
        <f t="shared" si="866"/>
        <v>0</v>
      </c>
      <c r="KT62" s="91">
        <f t="shared" si="867"/>
        <v>0</v>
      </c>
      <c r="LI62" s="91">
        <f t="shared" si="868"/>
        <v>0</v>
      </c>
      <c r="LJ62" s="91">
        <f t="shared" si="869"/>
        <v>0</v>
      </c>
      <c r="LY62" s="91">
        <f t="shared" si="870"/>
        <v>0</v>
      </c>
      <c r="LZ62" s="91">
        <f t="shared" si="871"/>
        <v>0</v>
      </c>
      <c r="MA62" s="98">
        <v>30900</v>
      </c>
      <c r="MB62" s="98">
        <v>2626500</v>
      </c>
      <c r="MO62" s="91">
        <f t="shared" si="872"/>
        <v>30900</v>
      </c>
      <c r="MP62" s="91">
        <f t="shared" si="873"/>
        <v>2626500</v>
      </c>
      <c r="NE62" s="91">
        <f t="shared" si="874"/>
        <v>0</v>
      </c>
      <c r="NF62" s="91">
        <f t="shared" si="875"/>
        <v>0</v>
      </c>
      <c r="NU62" s="91">
        <f t="shared" si="876"/>
        <v>0</v>
      </c>
      <c r="NV62" s="91">
        <f t="shared" si="877"/>
        <v>0</v>
      </c>
      <c r="NW62" s="98">
        <v>350</v>
      </c>
      <c r="NX62" s="98">
        <v>40250</v>
      </c>
      <c r="OK62" s="91">
        <f t="shared" si="878"/>
        <v>350</v>
      </c>
      <c r="OL62" s="91">
        <f t="shared" si="879"/>
        <v>40250</v>
      </c>
      <c r="PA62" s="91">
        <f t="shared" si="880"/>
        <v>0</v>
      </c>
      <c r="PB62" s="91">
        <f t="shared" si="881"/>
        <v>0</v>
      </c>
      <c r="PC62" s="98">
        <v>226</v>
      </c>
      <c r="PD62" s="98">
        <v>13560</v>
      </c>
      <c r="PQ62" s="91">
        <f t="shared" si="882"/>
        <v>226</v>
      </c>
      <c r="PR62" s="91">
        <f t="shared" si="883"/>
        <v>13560</v>
      </c>
      <c r="PS62" s="98">
        <v>280</v>
      </c>
      <c r="PT62" s="98">
        <v>28000</v>
      </c>
      <c r="PU62" s="98">
        <v>18680</v>
      </c>
      <c r="PV62" s="98">
        <v>896640</v>
      </c>
      <c r="QG62" s="91">
        <f t="shared" si="884"/>
        <v>18960</v>
      </c>
      <c r="QH62" s="91">
        <f t="shared" si="885"/>
        <v>924640</v>
      </c>
      <c r="QW62" s="91">
        <f t="shared" si="886"/>
        <v>0</v>
      </c>
      <c r="QX62" s="91">
        <f t="shared" si="887"/>
        <v>0</v>
      </c>
      <c r="RM62" s="91">
        <f t="shared" si="888"/>
        <v>0</v>
      </c>
      <c r="RN62" s="91">
        <f t="shared" si="889"/>
        <v>0</v>
      </c>
      <c r="SC62" s="91">
        <f t="shared" si="890"/>
        <v>0</v>
      </c>
      <c r="SD62" s="91">
        <f t="shared" si="891"/>
        <v>0</v>
      </c>
      <c r="SS62" s="91">
        <f t="shared" si="892"/>
        <v>0</v>
      </c>
      <c r="ST62" s="91">
        <f t="shared" si="893"/>
        <v>0</v>
      </c>
      <c r="TI62" s="91">
        <f t="shared" si="894"/>
        <v>0</v>
      </c>
      <c r="TJ62" s="91">
        <f t="shared" si="895"/>
        <v>0</v>
      </c>
      <c r="TY62" s="91">
        <f t="shared" si="896"/>
        <v>0</v>
      </c>
      <c r="TZ62" s="91">
        <f t="shared" si="897"/>
        <v>0</v>
      </c>
      <c r="UO62" s="91">
        <f t="shared" si="898"/>
        <v>0</v>
      </c>
      <c r="UP62" s="91">
        <f t="shared" si="899"/>
        <v>0</v>
      </c>
      <c r="VE62" s="91">
        <f t="shared" si="900"/>
        <v>0</v>
      </c>
      <c r="VF62" s="91">
        <f t="shared" si="901"/>
        <v>0</v>
      </c>
      <c r="VU62" s="91">
        <f t="shared" si="902"/>
        <v>0</v>
      </c>
      <c r="VV62" s="91">
        <f t="shared" si="903"/>
        <v>0</v>
      </c>
      <c r="WK62" s="91">
        <f t="shared" si="904"/>
        <v>0</v>
      </c>
      <c r="WL62" s="91">
        <f t="shared" si="905"/>
        <v>0</v>
      </c>
      <c r="WM62" s="89"/>
      <c r="WN62" s="87">
        <f t="shared" si="906"/>
        <v>33756</v>
      </c>
      <c r="WO62" s="87">
        <f t="shared" si="907"/>
        <v>2898310</v>
      </c>
      <c r="WP62" s="87">
        <f t="shared" si="908"/>
        <v>36487</v>
      </c>
      <c r="WQ62" s="87">
        <f t="shared" si="909"/>
        <v>2794882</v>
      </c>
      <c r="WR62" s="87">
        <f t="shared" si="910"/>
        <v>0</v>
      </c>
      <c r="WS62" s="87">
        <f t="shared" si="911"/>
        <v>0</v>
      </c>
      <c r="WT62" s="87">
        <f t="shared" si="912"/>
        <v>0</v>
      </c>
      <c r="WU62" s="87">
        <f t="shared" si="913"/>
        <v>0</v>
      </c>
      <c r="WV62" s="87">
        <f t="shared" si="914"/>
        <v>0</v>
      </c>
      <c r="WW62" s="87">
        <f t="shared" si="915"/>
        <v>0</v>
      </c>
      <c r="WX62" s="87">
        <f t="shared" si="916"/>
        <v>0</v>
      </c>
      <c r="WY62" s="87">
        <f t="shared" si="917"/>
        <v>0</v>
      </c>
      <c r="WZ62" s="87">
        <f t="shared" si="918"/>
        <v>0</v>
      </c>
      <c r="XA62" s="87">
        <f t="shared" si="919"/>
        <v>0</v>
      </c>
      <c r="XB62" s="92">
        <f t="shared" si="920"/>
        <v>70243</v>
      </c>
      <c r="XC62" s="92">
        <f t="shared" si="921"/>
        <v>5693192</v>
      </c>
      <c r="XD62" s="89"/>
      <c r="XE62" s="92">
        <f t="shared" ref="XE62:XF62" si="942">SUM(XB138,XB176,XB214)</f>
        <v>283340.33517219499</v>
      </c>
      <c r="XF62" s="92">
        <f t="shared" si="942"/>
        <v>29258330.424107298</v>
      </c>
      <c r="XG62" s="89"/>
      <c r="XH62" s="92">
        <f t="shared" ref="XH62:XI62" si="943">SUM(XE100,XE138)</f>
        <v>1152616.8017078666</v>
      </c>
      <c r="XI62" s="92">
        <f t="shared" si="943"/>
        <v>101414195.24985239</v>
      </c>
      <c r="XJ62" s="89"/>
      <c r="XK62" s="87"/>
      <c r="XL62" s="87"/>
      <c r="XM62" s="87"/>
      <c r="XN62" s="87"/>
      <c r="XO62" s="87"/>
      <c r="XP62" s="87"/>
      <c r="XQ62" s="87"/>
      <c r="XR62" s="92">
        <f t="shared" ca="1" si="922"/>
        <v>0</v>
      </c>
      <c r="XS62" s="89"/>
      <c r="XT62" s="87"/>
      <c r="XU62" s="87"/>
      <c r="XV62" s="87"/>
      <c r="XW62" s="87"/>
      <c r="XX62" s="87"/>
      <c r="XY62" s="87"/>
      <c r="XZ62" s="87"/>
      <c r="YA62" s="92">
        <f t="shared" ca="1" si="923"/>
        <v>0</v>
      </c>
      <c r="YB62" s="90"/>
      <c r="YC62" s="90"/>
      <c r="YD62" s="90"/>
      <c r="YE62" s="90"/>
      <c r="YF62" s="90"/>
      <c r="YG62" s="90"/>
      <c r="YH62" s="90"/>
      <c r="YI62" s="90"/>
      <c r="YJ62" s="90"/>
      <c r="YK62" s="90"/>
      <c r="YL62" s="90"/>
      <c r="YM62" s="90"/>
      <c r="YN62" s="90"/>
      <c r="YO62" s="90"/>
      <c r="YP62" s="90"/>
      <c r="YQ62" s="90"/>
      <c r="YR62" s="90"/>
      <c r="YS62" s="90"/>
      <c r="YT62" s="90"/>
      <c r="YU62" s="90"/>
      <c r="YV62" s="90"/>
      <c r="YW62" s="90"/>
      <c r="YX62" s="90"/>
      <c r="YY62" s="90"/>
      <c r="YZ62" s="90"/>
      <c r="ZA62" s="90"/>
      <c r="ZB62" s="90"/>
      <c r="ZC62" s="90"/>
      <c r="ZD62" s="90"/>
      <c r="ZE62" s="90"/>
      <c r="ZF62" s="90"/>
      <c r="ZG62" s="90"/>
      <c r="ZH62" s="90"/>
      <c r="ZI62" s="90"/>
      <c r="ZJ62" s="90"/>
      <c r="ZK62" s="90"/>
      <c r="ZL62" s="90"/>
      <c r="ZM62" s="90"/>
      <c r="ZN62" s="90"/>
      <c r="ZO62" s="90"/>
      <c r="ZP62" s="90"/>
      <c r="ZQ62" s="90"/>
      <c r="ZR62" s="90"/>
      <c r="ZS62" s="90"/>
      <c r="ZT62" s="90"/>
      <c r="ZU62" s="90"/>
      <c r="ZV62" s="90"/>
      <c r="ZW62" s="90"/>
      <c r="ZX62" s="90"/>
      <c r="ZY62" s="90"/>
      <c r="ZZ62" s="90"/>
      <c r="AAA62" s="90"/>
      <c r="AAB62" s="90"/>
      <c r="AAC62" s="90"/>
      <c r="AAD62" s="90"/>
      <c r="AAE62" s="90"/>
      <c r="AAF62" s="90"/>
      <c r="AAG62" s="90"/>
      <c r="AAH62" s="90"/>
      <c r="AAI62" s="90"/>
      <c r="AAJ62" s="90"/>
      <c r="AAK62" s="90"/>
      <c r="AAL62" s="90"/>
      <c r="AAM62" s="90"/>
      <c r="AAN62" s="90"/>
      <c r="AAO62" s="90"/>
      <c r="AAP62" s="90"/>
      <c r="AAQ62" s="90"/>
      <c r="AAR62" s="90"/>
      <c r="AAS62" s="90"/>
      <c r="AAT62" s="90"/>
      <c r="AAU62" s="90"/>
      <c r="AAV62" s="90"/>
      <c r="AAW62" s="90"/>
      <c r="AAX62" s="90"/>
      <c r="AAY62" s="90"/>
      <c r="AAZ62" s="90"/>
      <c r="ABA62" s="90"/>
      <c r="ABB62" s="90"/>
      <c r="ABC62" s="90"/>
      <c r="ABD62" s="90"/>
      <c r="ABE62" s="90"/>
      <c r="ABF62" s="90"/>
      <c r="ABG62" s="90"/>
      <c r="ABH62" s="90"/>
      <c r="ABI62" s="90"/>
      <c r="ABJ62" s="90"/>
      <c r="ABK62" s="90"/>
      <c r="ABL62" s="90"/>
      <c r="ABM62" s="90"/>
      <c r="ABN62" s="90"/>
      <c r="ABO62" s="90"/>
      <c r="ABP62" s="90"/>
      <c r="ABQ62" s="90"/>
      <c r="ABR62" s="90"/>
      <c r="ABS62" s="90"/>
      <c r="ABT62" s="90"/>
      <c r="ABU62" s="90"/>
      <c r="ABV62" s="90"/>
      <c r="ABW62" s="90"/>
      <c r="ABX62" s="90"/>
      <c r="ABY62" s="90"/>
      <c r="ABZ62" s="90"/>
      <c r="ACA62" s="90"/>
      <c r="ACB62" s="90"/>
      <c r="ACC62" s="90"/>
      <c r="ACD62" s="90"/>
      <c r="ACE62" s="90"/>
      <c r="ACF62" s="90"/>
      <c r="ACG62" s="90"/>
      <c r="ACH62" s="90"/>
      <c r="ACI62" s="90"/>
      <c r="ACJ62" s="90"/>
      <c r="ACK62" s="90"/>
      <c r="ACL62" s="90"/>
      <c r="ACM62" s="90"/>
      <c r="ACN62" s="90"/>
      <c r="ACO62" s="90"/>
      <c r="ACP62" s="90"/>
      <c r="ACQ62" s="90"/>
      <c r="ACR62" s="90"/>
      <c r="ACS62" s="90"/>
      <c r="ACT62" s="90"/>
      <c r="ACU62" s="90"/>
      <c r="ACV62" s="90"/>
      <c r="ACW62" s="90"/>
      <c r="ACX62" s="90"/>
      <c r="ACY62" s="90"/>
      <c r="ACZ62" s="90"/>
      <c r="ADA62" s="90"/>
      <c r="ADB62" s="90"/>
      <c r="ADC62" s="90"/>
      <c r="ADD62" s="90"/>
      <c r="ADE62" s="90"/>
      <c r="ADF62" s="90"/>
      <c r="ADG62" s="90"/>
      <c r="ADH62" s="90"/>
      <c r="ADI62" s="90"/>
      <c r="ADJ62" s="90"/>
      <c r="ADK62" s="90"/>
      <c r="ADL62" s="90"/>
      <c r="ADM62" s="90"/>
      <c r="ADN62" s="90"/>
      <c r="ADO62" s="90"/>
      <c r="ADP62" s="90"/>
      <c r="ADQ62" s="90"/>
      <c r="ADR62" s="90"/>
      <c r="ADS62" s="90"/>
      <c r="ADT62" s="90"/>
      <c r="ADU62" s="90"/>
      <c r="ADV62" s="90"/>
      <c r="ADW62" s="90"/>
      <c r="ADX62" s="90"/>
      <c r="ADY62" s="90"/>
      <c r="ADZ62" s="90"/>
      <c r="AEA62" s="90"/>
      <c r="AEB62" s="90"/>
      <c r="AEC62" s="90"/>
      <c r="AED62" s="90"/>
      <c r="AEE62" s="90"/>
      <c r="AEF62" s="90"/>
      <c r="AEG62" s="90"/>
      <c r="AEH62" s="90"/>
      <c r="AEI62" s="90"/>
      <c r="AEJ62" s="90"/>
      <c r="AEK62" s="90"/>
      <c r="AEL62" s="90"/>
      <c r="AEM62" s="90"/>
      <c r="AEN62" s="90"/>
      <c r="AEO62" s="90"/>
      <c r="AEP62" s="90"/>
      <c r="AEQ62" s="90"/>
      <c r="AER62" s="90"/>
      <c r="AES62" s="90"/>
      <c r="AET62" s="90"/>
      <c r="AEU62" s="90"/>
      <c r="AEV62" s="90"/>
      <c r="AEW62" s="90"/>
      <c r="AEX62" s="90"/>
      <c r="AEY62" s="90"/>
      <c r="AEZ62" s="90"/>
      <c r="AFA62" s="90"/>
      <c r="AFB62" s="90"/>
      <c r="AFC62" s="90"/>
      <c r="AFD62" s="90"/>
      <c r="AFE62" s="90"/>
      <c r="AFF62" s="90"/>
      <c r="AFG62" s="90"/>
      <c r="AFH62" s="90"/>
      <c r="AFI62" s="90"/>
      <c r="AFJ62" s="90"/>
      <c r="AFK62" s="90"/>
      <c r="AFL62" s="90"/>
      <c r="AFM62" s="90"/>
      <c r="AFN62" s="90"/>
      <c r="AFO62" s="90"/>
      <c r="AFP62" s="90"/>
      <c r="AFQ62" s="90"/>
      <c r="AFR62" s="90"/>
      <c r="AFS62" s="90"/>
      <c r="AFT62" s="90"/>
      <c r="AFU62" s="90"/>
      <c r="AFV62" s="90"/>
      <c r="AFW62" s="90"/>
      <c r="AFX62" s="90"/>
      <c r="AFY62" s="90"/>
      <c r="AFZ62" s="90"/>
      <c r="AGA62" s="90"/>
      <c r="AGB62" s="90"/>
      <c r="AGC62" s="90"/>
      <c r="AGD62" s="90"/>
      <c r="AGE62" s="90"/>
      <c r="AGF62" s="90"/>
      <c r="AGG62" s="90"/>
      <c r="AGH62" s="90"/>
      <c r="AGI62" s="90"/>
      <c r="AGJ62" s="90"/>
      <c r="AGK62" s="90"/>
      <c r="AGL62" s="90"/>
      <c r="AGM62" s="90"/>
      <c r="AGN62" s="90"/>
      <c r="AGO62" s="90"/>
      <c r="AGP62" s="90"/>
      <c r="AGQ62" s="90"/>
      <c r="AGR62" s="90"/>
      <c r="AGS62" s="90"/>
      <c r="AGT62" s="90"/>
      <c r="AGU62" s="90"/>
      <c r="AGV62" s="90"/>
      <c r="AGW62" s="90"/>
      <c r="AGX62" s="90"/>
      <c r="AGY62" s="90"/>
      <c r="AGZ62" s="90"/>
      <c r="AHA62" s="90"/>
      <c r="AHB62" s="90"/>
      <c r="AHC62" s="90"/>
      <c r="AHD62" s="90"/>
      <c r="AHE62" s="90"/>
      <c r="AHF62" s="90"/>
      <c r="AHG62" s="90"/>
      <c r="AHH62" s="90"/>
      <c r="AHI62" s="90"/>
      <c r="AHJ62" s="90"/>
      <c r="AHK62" s="90"/>
      <c r="AHL62" s="90"/>
      <c r="AHM62" s="90"/>
      <c r="AHN62" s="90"/>
      <c r="AHO62" s="90"/>
      <c r="AHP62" s="90"/>
      <c r="AHQ62" s="90"/>
      <c r="AHR62" s="90"/>
      <c r="AHS62" s="90"/>
      <c r="AHT62" s="90"/>
      <c r="AHU62" s="90"/>
      <c r="AHV62" s="90"/>
      <c r="AHW62" s="90"/>
      <c r="AHX62" s="90"/>
      <c r="AHY62" s="90"/>
      <c r="AHZ62" s="90"/>
      <c r="AIA62" s="90"/>
      <c r="AIB62" s="90"/>
      <c r="AIC62" s="90"/>
      <c r="AID62" s="90"/>
      <c r="AIE62" s="90"/>
      <c r="AIF62" s="90"/>
      <c r="AIG62" s="90"/>
      <c r="AIH62" s="90"/>
      <c r="AII62" s="90"/>
      <c r="AIJ62" s="90"/>
      <c r="AIK62" s="90"/>
      <c r="AIL62" s="90"/>
      <c r="AIM62" s="90"/>
      <c r="AIN62" s="90"/>
      <c r="AIO62" s="90"/>
      <c r="AIP62" s="90"/>
      <c r="AIQ62" s="90"/>
      <c r="AIR62" s="90"/>
      <c r="AIS62" s="90"/>
      <c r="AIT62" s="90"/>
      <c r="AIU62" s="90"/>
      <c r="AIV62" s="90"/>
      <c r="AIW62" s="90"/>
      <c r="AIX62" s="90"/>
      <c r="AIY62" s="90"/>
      <c r="AIZ62" s="90"/>
      <c r="AJA62" s="90"/>
      <c r="AJB62" s="90"/>
      <c r="AJC62" s="90"/>
      <c r="AJD62" s="90"/>
      <c r="AJE62" s="90"/>
      <c r="AJF62" s="90"/>
      <c r="AJG62" s="90"/>
      <c r="AJH62" s="90"/>
      <c r="AJI62" s="90"/>
      <c r="AJJ62" s="90"/>
      <c r="AJK62" s="90"/>
      <c r="AJL62" s="90"/>
      <c r="AJM62" s="90"/>
      <c r="AJN62" s="90"/>
      <c r="AJO62" s="90"/>
      <c r="AJP62" s="90"/>
      <c r="AJQ62" s="90"/>
      <c r="AJR62" s="90"/>
      <c r="AJS62" s="90"/>
      <c r="AJT62" s="90"/>
      <c r="AJU62" s="90"/>
      <c r="AJV62" s="90"/>
      <c r="AJW62" s="90"/>
      <c r="AJX62" s="90"/>
      <c r="AJY62" s="90"/>
      <c r="AJZ62" s="90"/>
      <c r="AKA62" s="90"/>
      <c r="AKB62" s="90"/>
      <c r="AKC62" s="90"/>
      <c r="AKD62" s="90"/>
      <c r="AKE62" s="90"/>
      <c r="AKF62" s="90"/>
      <c r="AKG62" s="90"/>
      <c r="AKH62" s="90"/>
      <c r="AKI62" s="90"/>
      <c r="AKJ62" s="90"/>
      <c r="AKK62" s="90"/>
      <c r="AKL62" s="90"/>
      <c r="AKM62" s="90"/>
      <c r="AKN62" s="90"/>
      <c r="AKO62" s="90"/>
      <c r="AKP62" s="90"/>
      <c r="AKQ62" s="90"/>
      <c r="AKR62" s="90"/>
      <c r="AKS62" s="90"/>
      <c r="AKT62" s="90"/>
      <c r="AKU62" s="90"/>
      <c r="AKV62" s="90"/>
      <c r="AKW62" s="90"/>
      <c r="AKX62" s="90"/>
      <c r="AKY62" s="90"/>
      <c r="AKZ62" s="90"/>
      <c r="ALA62" s="90"/>
      <c r="ALB62" s="90"/>
      <c r="ALC62" s="90"/>
      <c r="ALD62" s="90"/>
      <c r="ALE62" s="90"/>
      <c r="ALF62" s="90"/>
      <c r="ALG62" s="90"/>
      <c r="ALH62" s="90"/>
      <c r="ALI62" s="90"/>
      <c r="ALJ62" s="90"/>
      <c r="ALK62" s="90"/>
      <c r="ALL62" s="90"/>
      <c r="ALM62" s="90"/>
      <c r="ALN62" s="90"/>
      <c r="ALO62" s="90"/>
      <c r="ALP62" s="90"/>
      <c r="ALQ62" s="90"/>
      <c r="ALR62" s="90"/>
      <c r="ALS62" s="90"/>
      <c r="ALT62" s="90"/>
      <c r="ALU62" s="90"/>
      <c r="ALV62" s="90"/>
      <c r="ALW62" s="90"/>
      <c r="ALX62" s="90"/>
      <c r="ALY62" s="90"/>
      <c r="ALZ62" s="90"/>
      <c r="AMA62" s="90"/>
      <c r="AMB62" s="90"/>
      <c r="AMC62" s="90"/>
    </row>
    <row r="63" spans="1:1017">
      <c r="A63" s="98" t="s">
        <v>26</v>
      </c>
      <c r="B63" s="648" t="str">
        <f t="shared" si="829"/>
        <v>Kerapu Macan</v>
      </c>
      <c r="Q63" s="91">
        <f t="shared" si="830"/>
        <v>0</v>
      </c>
      <c r="R63" s="91">
        <f t="shared" si="831"/>
        <v>0</v>
      </c>
      <c r="AG63" s="91">
        <f t="shared" si="832"/>
        <v>0</v>
      </c>
      <c r="AH63" s="91">
        <f t="shared" si="833"/>
        <v>0</v>
      </c>
      <c r="AW63" s="91">
        <f t="shared" si="834"/>
        <v>0</v>
      </c>
      <c r="AX63" s="91">
        <f t="shared" si="835"/>
        <v>0</v>
      </c>
      <c r="BM63" s="91">
        <f t="shared" si="836"/>
        <v>0</v>
      </c>
      <c r="BN63" s="91">
        <f t="shared" si="837"/>
        <v>0</v>
      </c>
      <c r="CC63" s="91">
        <f t="shared" si="838"/>
        <v>0</v>
      </c>
      <c r="CD63" s="91">
        <f t="shared" si="839"/>
        <v>0</v>
      </c>
      <c r="CS63" s="91">
        <f t="shared" si="840"/>
        <v>0</v>
      </c>
      <c r="CT63" s="91">
        <f t="shared" si="841"/>
        <v>0</v>
      </c>
      <c r="DI63" s="91">
        <f t="shared" si="842"/>
        <v>0</v>
      </c>
      <c r="DJ63" s="91">
        <f t="shared" si="843"/>
        <v>0</v>
      </c>
      <c r="DY63" s="91">
        <f t="shared" si="844"/>
        <v>0</v>
      </c>
      <c r="DZ63" s="91">
        <f t="shared" si="845"/>
        <v>0</v>
      </c>
      <c r="EO63" s="91">
        <f t="shared" si="846"/>
        <v>0</v>
      </c>
      <c r="EP63" s="91">
        <f t="shared" si="847"/>
        <v>0</v>
      </c>
      <c r="ES63" s="98">
        <v>183062</v>
      </c>
      <c r="ET63" s="98">
        <v>17390890</v>
      </c>
      <c r="FE63" s="91">
        <f t="shared" si="848"/>
        <v>183062</v>
      </c>
      <c r="FF63" s="91">
        <f t="shared" si="849"/>
        <v>17390890</v>
      </c>
      <c r="FU63" s="91">
        <f t="shared" si="850"/>
        <v>0</v>
      </c>
      <c r="FV63" s="91">
        <f t="shared" si="851"/>
        <v>0</v>
      </c>
      <c r="GK63" s="91">
        <f t="shared" si="852"/>
        <v>0</v>
      </c>
      <c r="GL63" s="91">
        <f t="shared" si="853"/>
        <v>0</v>
      </c>
      <c r="HA63" s="91">
        <f t="shared" si="854"/>
        <v>0</v>
      </c>
      <c r="HB63" s="91">
        <f t="shared" si="855"/>
        <v>0</v>
      </c>
      <c r="HQ63" s="91">
        <f t="shared" si="856"/>
        <v>0</v>
      </c>
      <c r="HR63" s="91">
        <f t="shared" si="857"/>
        <v>0</v>
      </c>
      <c r="IG63" s="91">
        <f t="shared" si="858"/>
        <v>0</v>
      </c>
      <c r="IH63" s="91">
        <f t="shared" si="859"/>
        <v>0</v>
      </c>
      <c r="IW63" s="91">
        <f t="shared" si="860"/>
        <v>0</v>
      </c>
      <c r="IX63" s="91">
        <f t="shared" si="861"/>
        <v>0</v>
      </c>
      <c r="JM63" s="91">
        <f t="shared" si="862"/>
        <v>0</v>
      </c>
      <c r="JN63" s="91">
        <f t="shared" si="863"/>
        <v>0</v>
      </c>
      <c r="KC63" s="91">
        <f t="shared" si="864"/>
        <v>0</v>
      </c>
      <c r="KD63" s="91">
        <f t="shared" si="865"/>
        <v>0</v>
      </c>
      <c r="KS63" s="91">
        <f t="shared" si="866"/>
        <v>0</v>
      </c>
      <c r="KT63" s="91">
        <f t="shared" si="867"/>
        <v>0</v>
      </c>
      <c r="LI63" s="91">
        <f t="shared" si="868"/>
        <v>0</v>
      </c>
      <c r="LJ63" s="91">
        <f t="shared" si="869"/>
        <v>0</v>
      </c>
      <c r="LY63" s="91">
        <f t="shared" si="870"/>
        <v>0</v>
      </c>
      <c r="LZ63" s="91">
        <f t="shared" si="871"/>
        <v>0</v>
      </c>
      <c r="MO63" s="91">
        <f t="shared" si="872"/>
        <v>0</v>
      </c>
      <c r="MP63" s="91">
        <f t="shared" si="873"/>
        <v>0</v>
      </c>
      <c r="NE63" s="91">
        <f t="shared" si="874"/>
        <v>0</v>
      </c>
      <c r="NF63" s="91">
        <f t="shared" si="875"/>
        <v>0</v>
      </c>
      <c r="NU63" s="91">
        <f t="shared" si="876"/>
        <v>0</v>
      </c>
      <c r="NV63" s="91">
        <f t="shared" si="877"/>
        <v>0</v>
      </c>
      <c r="OK63" s="91">
        <f t="shared" si="878"/>
        <v>0</v>
      </c>
      <c r="OL63" s="91">
        <f t="shared" si="879"/>
        <v>0</v>
      </c>
      <c r="OM63" s="98">
        <v>17805</v>
      </c>
      <c r="ON63" s="98">
        <v>3561000</v>
      </c>
      <c r="PA63" s="91">
        <f>SUMIF($C$12:$P$12,$A$1,OM63:OZ63)</f>
        <v>17805</v>
      </c>
      <c r="PB63" s="91">
        <f>SUMIF($C$12:$P$12,$A$3,OM63:OZ63)</f>
        <v>3561000</v>
      </c>
      <c r="PQ63" s="91">
        <f t="shared" si="882"/>
        <v>0</v>
      </c>
      <c r="PR63" s="91">
        <f t="shared" si="883"/>
        <v>0</v>
      </c>
      <c r="QG63" s="91">
        <f t="shared" si="884"/>
        <v>0</v>
      </c>
      <c r="QH63" s="91">
        <f t="shared" si="885"/>
        <v>0</v>
      </c>
      <c r="QW63" s="91">
        <f t="shared" si="886"/>
        <v>0</v>
      </c>
      <c r="QX63" s="91">
        <f t="shared" si="887"/>
        <v>0</v>
      </c>
      <c r="RM63" s="91">
        <f t="shared" si="888"/>
        <v>0</v>
      </c>
      <c r="RN63" s="91">
        <f t="shared" si="889"/>
        <v>0</v>
      </c>
      <c r="SC63" s="91">
        <f t="shared" si="890"/>
        <v>0</v>
      </c>
      <c r="SD63" s="91">
        <f t="shared" si="891"/>
        <v>0</v>
      </c>
      <c r="SS63" s="91">
        <f t="shared" si="892"/>
        <v>0</v>
      </c>
      <c r="ST63" s="91">
        <f t="shared" si="893"/>
        <v>0</v>
      </c>
      <c r="TI63" s="91">
        <f t="shared" si="894"/>
        <v>0</v>
      </c>
      <c r="TJ63" s="91">
        <f t="shared" si="895"/>
        <v>0</v>
      </c>
      <c r="TY63" s="91">
        <f t="shared" si="896"/>
        <v>0</v>
      </c>
      <c r="TZ63" s="91">
        <f t="shared" si="897"/>
        <v>0</v>
      </c>
      <c r="UO63" s="91">
        <f t="shared" si="898"/>
        <v>0</v>
      </c>
      <c r="UP63" s="91">
        <f t="shared" si="899"/>
        <v>0</v>
      </c>
      <c r="VE63" s="91">
        <f t="shared" si="900"/>
        <v>0</v>
      </c>
      <c r="VF63" s="91">
        <f t="shared" si="901"/>
        <v>0</v>
      </c>
      <c r="VU63" s="91">
        <f t="shared" si="902"/>
        <v>0</v>
      </c>
      <c r="VV63" s="91">
        <f t="shared" si="903"/>
        <v>0</v>
      </c>
      <c r="WK63" s="91">
        <f t="shared" si="904"/>
        <v>0</v>
      </c>
      <c r="WL63" s="91">
        <f t="shared" si="905"/>
        <v>0</v>
      </c>
      <c r="WM63" s="89"/>
      <c r="WN63" s="87">
        <f t="shared" si="906"/>
        <v>17805</v>
      </c>
      <c r="WO63" s="87">
        <f t="shared" si="907"/>
        <v>3561000</v>
      </c>
      <c r="WP63" s="87">
        <f t="shared" si="908"/>
        <v>183062</v>
      </c>
      <c r="WQ63" s="87">
        <f t="shared" si="909"/>
        <v>17390890</v>
      </c>
      <c r="WR63" s="87">
        <f t="shared" si="910"/>
        <v>0</v>
      </c>
      <c r="WS63" s="87">
        <f t="shared" si="911"/>
        <v>0</v>
      </c>
      <c r="WT63" s="87">
        <f t="shared" si="912"/>
        <v>0</v>
      </c>
      <c r="WU63" s="87">
        <f t="shared" si="913"/>
        <v>0</v>
      </c>
      <c r="WV63" s="87">
        <f t="shared" si="914"/>
        <v>0</v>
      </c>
      <c r="WW63" s="87">
        <f t="shared" si="915"/>
        <v>0</v>
      </c>
      <c r="WX63" s="87">
        <f t="shared" si="916"/>
        <v>0</v>
      </c>
      <c r="WY63" s="87">
        <f t="shared" si="917"/>
        <v>0</v>
      </c>
      <c r="WZ63" s="87">
        <f t="shared" si="918"/>
        <v>0</v>
      </c>
      <c r="XA63" s="87">
        <f t="shared" si="919"/>
        <v>0</v>
      </c>
      <c r="XB63" s="92">
        <f t="shared" si="920"/>
        <v>200867</v>
      </c>
      <c r="XC63" s="92">
        <f t="shared" si="921"/>
        <v>20951890</v>
      </c>
      <c r="XD63" s="89"/>
      <c r="XE63" s="92">
        <f t="shared" ref="XE63:XF63" si="944">SUM(XB139,XB177,XB215)</f>
        <v>647277</v>
      </c>
      <c r="XF63" s="92">
        <f t="shared" si="944"/>
        <v>73804685</v>
      </c>
      <c r="XG63" s="89"/>
      <c r="XH63" s="92">
        <f t="shared" ref="XH63:XI63" si="945">SUM(XE101,XE139)</f>
        <v>180370.98297882715</v>
      </c>
      <c r="XI63" s="92">
        <f t="shared" si="945"/>
        <v>57572665.872999996</v>
      </c>
      <c r="XJ63" s="89"/>
      <c r="XK63" s="87"/>
      <c r="XL63" s="87"/>
      <c r="XM63" s="87"/>
      <c r="XN63" s="87"/>
      <c r="XO63" s="87"/>
      <c r="XP63" s="87"/>
      <c r="XQ63" s="87"/>
      <c r="XR63" s="92">
        <f t="shared" ca="1" si="922"/>
        <v>0</v>
      </c>
      <c r="XS63" s="89"/>
      <c r="XT63" s="87"/>
      <c r="XU63" s="87"/>
      <c r="XV63" s="87"/>
      <c r="XW63" s="87"/>
      <c r="XX63" s="87"/>
      <c r="XY63" s="87"/>
      <c r="XZ63" s="87"/>
      <c r="YA63" s="92">
        <f t="shared" ca="1" si="923"/>
        <v>0</v>
      </c>
      <c r="YB63" s="90"/>
      <c r="YC63" s="90"/>
      <c r="YD63" s="90"/>
      <c r="YE63" s="90"/>
      <c r="YF63" s="90"/>
      <c r="YG63" s="90"/>
      <c r="YH63" s="90"/>
      <c r="YI63" s="90"/>
      <c r="YJ63" s="90"/>
      <c r="YK63" s="90"/>
      <c r="YL63" s="90"/>
      <c r="YM63" s="90"/>
      <c r="YN63" s="90"/>
      <c r="YO63" s="90"/>
      <c r="YP63" s="90"/>
      <c r="YQ63" s="90"/>
      <c r="YR63" s="90"/>
      <c r="YS63" s="90"/>
      <c r="YT63" s="90"/>
      <c r="YU63" s="90"/>
      <c r="YV63" s="90"/>
      <c r="YW63" s="90"/>
      <c r="YX63" s="90"/>
      <c r="YY63" s="90"/>
      <c r="YZ63" s="90"/>
      <c r="ZA63" s="90"/>
      <c r="ZB63" s="90"/>
      <c r="ZC63" s="90"/>
      <c r="ZD63" s="90"/>
      <c r="ZE63" s="90"/>
      <c r="ZF63" s="90"/>
      <c r="ZG63" s="90"/>
      <c r="ZH63" s="90"/>
      <c r="ZI63" s="90"/>
      <c r="ZJ63" s="90"/>
      <c r="ZK63" s="90"/>
      <c r="ZL63" s="90"/>
      <c r="ZM63" s="90"/>
      <c r="ZN63" s="90"/>
      <c r="ZO63" s="90"/>
      <c r="ZP63" s="90"/>
      <c r="ZQ63" s="90"/>
      <c r="ZR63" s="90"/>
      <c r="ZS63" s="90"/>
      <c r="ZT63" s="90"/>
      <c r="ZU63" s="90"/>
      <c r="ZV63" s="90"/>
      <c r="ZW63" s="90"/>
      <c r="ZX63" s="90"/>
      <c r="ZY63" s="90"/>
      <c r="ZZ63" s="90"/>
      <c r="AAA63" s="90"/>
      <c r="AAB63" s="90"/>
      <c r="AAC63" s="90"/>
      <c r="AAD63" s="90"/>
      <c r="AAE63" s="90"/>
      <c r="AAF63" s="90"/>
      <c r="AAG63" s="90"/>
      <c r="AAH63" s="90"/>
      <c r="AAI63" s="90"/>
      <c r="AAJ63" s="90"/>
      <c r="AAK63" s="90"/>
      <c r="AAL63" s="90"/>
      <c r="AAM63" s="90"/>
      <c r="AAN63" s="90"/>
      <c r="AAO63" s="90"/>
      <c r="AAP63" s="90"/>
      <c r="AAQ63" s="90"/>
      <c r="AAR63" s="90"/>
      <c r="AAS63" s="90"/>
      <c r="AAT63" s="90"/>
      <c r="AAU63" s="90"/>
      <c r="AAV63" s="90"/>
      <c r="AAW63" s="90"/>
      <c r="AAX63" s="90"/>
      <c r="AAY63" s="90"/>
      <c r="AAZ63" s="90"/>
      <c r="ABA63" s="90"/>
      <c r="ABB63" s="90"/>
      <c r="ABC63" s="90"/>
      <c r="ABD63" s="90"/>
      <c r="ABE63" s="90"/>
      <c r="ABF63" s="90"/>
      <c r="ABG63" s="90"/>
      <c r="ABH63" s="90"/>
      <c r="ABI63" s="90"/>
      <c r="ABJ63" s="90"/>
      <c r="ABK63" s="90"/>
      <c r="ABL63" s="90"/>
      <c r="ABM63" s="90"/>
      <c r="ABN63" s="90"/>
      <c r="ABO63" s="90"/>
      <c r="ABP63" s="90"/>
      <c r="ABQ63" s="90"/>
      <c r="ABR63" s="90"/>
      <c r="ABS63" s="90"/>
      <c r="ABT63" s="90"/>
      <c r="ABU63" s="90"/>
      <c r="ABV63" s="90"/>
      <c r="ABW63" s="90"/>
      <c r="ABX63" s="90"/>
      <c r="ABY63" s="90"/>
      <c r="ABZ63" s="90"/>
      <c r="ACA63" s="90"/>
      <c r="ACB63" s="90"/>
      <c r="ACC63" s="90"/>
      <c r="ACD63" s="90"/>
      <c r="ACE63" s="90"/>
      <c r="ACF63" s="90"/>
      <c r="ACG63" s="90"/>
      <c r="ACH63" s="90"/>
      <c r="ACI63" s="90"/>
      <c r="ACJ63" s="90"/>
      <c r="ACK63" s="90"/>
      <c r="ACL63" s="90"/>
      <c r="ACM63" s="90"/>
      <c r="ACN63" s="90"/>
      <c r="ACO63" s="90"/>
      <c r="ACP63" s="90"/>
      <c r="ACQ63" s="90"/>
      <c r="ACR63" s="90"/>
      <c r="ACS63" s="90"/>
      <c r="ACT63" s="90"/>
      <c r="ACU63" s="90"/>
      <c r="ACV63" s="90"/>
      <c r="ACW63" s="90"/>
      <c r="ACX63" s="90"/>
      <c r="ACY63" s="90"/>
      <c r="ACZ63" s="90"/>
      <c r="ADA63" s="90"/>
      <c r="ADB63" s="90"/>
      <c r="ADC63" s="90"/>
      <c r="ADD63" s="90"/>
      <c r="ADE63" s="90"/>
      <c r="ADF63" s="90"/>
      <c r="ADG63" s="90"/>
      <c r="ADH63" s="90"/>
      <c r="ADI63" s="90"/>
      <c r="ADJ63" s="90"/>
      <c r="ADK63" s="90"/>
      <c r="ADL63" s="90"/>
      <c r="ADM63" s="90"/>
      <c r="ADN63" s="90"/>
      <c r="ADO63" s="90"/>
      <c r="ADP63" s="90"/>
      <c r="ADQ63" s="90"/>
      <c r="ADR63" s="90"/>
      <c r="ADS63" s="90"/>
      <c r="ADT63" s="90"/>
      <c r="ADU63" s="90"/>
      <c r="ADV63" s="90"/>
      <c r="ADW63" s="90"/>
      <c r="ADX63" s="90"/>
      <c r="ADY63" s="90"/>
      <c r="ADZ63" s="90"/>
      <c r="AEA63" s="90"/>
      <c r="AEB63" s="90"/>
      <c r="AEC63" s="90"/>
      <c r="AED63" s="90"/>
      <c r="AEE63" s="90"/>
      <c r="AEF63" s="90"/>
      <c r="AEG63" s="90"/>
      <c r="AEH63" s="90"/>
      <c r="AEI63" s="90"/>
      <c r="AEJ63" s="90"/>
      <c r="AEK63" s="90"/>
      <c r="AEL63" s="90"/>
      <c r="AEM63" s="90"/>
      <c r="AEN63" s="90"/>
      <c r="AEO63" s="90"/>
      <c r="AEP63" s="90"/>
      <c r="AEQ63" s="90"/>
      <c r="AER63" s="90"/>
      <c r="AES63" s="90"/>
      <c r="AET63" s="90"/>
      <c r="AEU63" s="90"/>
      <c r="AEV63" s="90"/>
      <c r="AEW63" s="90"/>
      <c r="AEX63" s="90"/>
      <c r="AEY63" s="90"/>
      <c r="AEZ63" s="90"/>
      <c r="AFA63" s="90"/>
      <c r="AFB63" s="90"/>
      <c r="AFC63" s="90"/>
      <c r="AFD63" s="90"/>
      <c r="AFE63" s="90"/>
      <c r="AFF63" s="90"/>
      <c r="AFG63" s="90"/>
      <c r="AFH63" s="90"/>
      <c r="AFI63" s="90"/>
      <c r="AFJ63" s="90"/>
      <c r="AFK63" s="90"/>
      <c r="AFL63" s="90"/>
      <c r="AFM63" s="90"/>
      <c r="AFN63" s="90"/>
      <c r="AFO63" s="90"/>
      <c r="AFP63" s="90"/>
      <c r="AFQ63" s="90"/>
      <c r="AFR63" s="90"/>
      <c r="AFS63" s="90"/>
      <c r="AFT63" s="90"/>
      <c r="AFU63" s="90"/>
      <c r="AFV63" s="90"/>
      <c r="AFW63" s="90"/>
      <c r="AFX63" s="90"/>
      <c r="AFY63" s="90"/>
      <c r="AFZ63" s="90"/>
      <c r="AGA63" s="90"/>
      <c r="AGB63" s="90"/>
      <c r="AGC63" s="90"/>
      <c r="AGD63" s="90"/>
      <c r="AGE63" s="90"/>
      <c r="AGF63" s="90"/>
      <c r="AGG63" s="90"/>
      <c r="AGH63" s="90"/>
      <c r="AGI63" s="90"/>
      <c r="AGJ63" s="90"/>
      <c r="AGK63" s="90"/>
      <c r="AGL63" s="90"/>
      <c r="AGM63" s="90"/>
      <c r="AGN63" s="90"/>
      <c r="AGO63" s="90"/>
      <c r="AGP63" s="90"/>
      <c r="AGQ63" s="90"/>
      <c r="AGR63" s="90"/>
      <c r="AGS63" s="90"/>
      <c r="AGT63" s="90"/>
      <c r="AGU63" s="90"/>
      <c r="AGV63" s="90"/>
      <c r="AGW63" s="90"/>
      <c r="AGX63" s="90"/>
      <c r="AGY63" s="90"/>
      <c r="AGZ63" s="90"/>
      <c r="AHA63" s="90"/>
      <c r="AHB63" s="90"/>
      <c r="AHC63" s="90"/>
      <c r="AHD63" s="90"/>
      <c r="AHE63" s="90"/>
      <c r="AHF63" s="90"/>
      <c r="AHG63" s="90"/>
      <c r="AHH63" s="90"/>
      <c r="AHI63" s="90"/>
      <c r="AHJ63" s="90"/>
      <c r="AHK63" s="90"/>
      <c r="AHL63" s="90"/>
      <c r="AHM63" s="90"/>
      <c r="AHN63" s="90"/>
      <c r="AHO63" s="90"/>
      <c r="AHP63" s="90"/>
      <c r="AHQ63" s="90"/>
      <c r="AHR63" s="90"/>
      <c r="AHS63" s="90"/>
      <c r="AHT63" s="90"/>
      <c r="AHU63" s="90"/>
      <c r="AHV63" s="90"/>
      <c r="AHW63" s="90"/>
      <c r="AHX63" s="90"/>
      <c r="AHY63" s="90"/>
      <c r="AHZ63" s="90"/>
      <c r="AIA63" s="90"/>
      <c r="AIB63" s="90"/>
      <c r="AIC63" s="90"/>
      <c r="AID63" s="90"/>
      <c r="AIE63" s="90"/>
      <c r="AIF63" s="90"/>
      <c r="AIG63" s="90"/>
      <c r="AIH63" s="90"/>
      <c r="AII63" s="90"/>
      <c r="AIJ63" s="90"/>
      <c r="AIK63" s="90"/>
      <c r="AIL63" s="90"/>
      <c r="AIM63" s="90"/>
      <c r="AIN63" s="90"/>
      <c r="AIO63" s="90"/>
      <c r="AIP63" s="90"/>
      <c r="AIQ63" s="90"/>
      <c r="AIR63" s="90"/>
      <c r="AIS63" s="90"/>
      <c r="AIT63" s="90"/>
      <c r="AIU63" s="90"/>
      <c r="AIV63" s="90"/>
      <c r="AIW63" s="90"/>
      <c r="AIX63" s="90"/>
      <c r="AIY63" s="90"/>
      <c r="AIZ63" s="90"/>
      <c r="AJA63" s="90"/>
      <c r="AJB63" s="90"/>
      <c r="AJC63" s="90"/>
      <c r="AJD63" s="90"/>
      <c r="AJE63" s="90"/>
      <c r="AJF63" s="90"/>
      <c r="AJG63" s="90"/>
      <c r="AJH63" s="90"/>
      <c r="AJI63" s="90"/>
      <c r="AJJ63" s="90"/>
      <c r="AJK63" s="90"/>
      <c r="AJL63" s="90"/>
      <c r="AJM63" s="90"/>
      <c r="AJN63" s="90"/>
      <c r="AJO63" s="90"/>
      <c r="AJP63" s="90"/>
      <c r="AJQ63" s="90"/>
      <c r="AJR63" s="90"/>
      <c r="AJS63" s="90"/>
      <c r="AJT63" s="90"/>
      <c r="AJU63" s="90"/>
      <c r="AJV63" s="90"/>
      <c r="AJW63" s="90"/>
      <c r="AJX63" s="90"/>
      <c r="AJY63" s="90"/>
      <c r="AJZ63" s="90"/>
      <c r="AKA63" s="90"/>
      <c r="AKB63" s="90"/>
      <c r="AKC63" s="90"/>
      <c r="AKD63" s="90"/>
      <c r="AKE63" s="90"/>
      <c r="AKF63" s="90"/>
      <c r="AKG63" s="90"/>
      <c r="AKH63" s="90"/>
      <c r="AKI63" s="90"/>
      <c r="AKJ63" s="90"/>
      <c r="AKK63" s="90"/>
      <c r="AKL63" s="90"/>
      <c r="AKM63" s="90"/>
      <c r="AKN63" s="90"/>
      <c r="AKO63" s="90"/>
      <c r="AKP63" s="90"/>
      <c r="AKQ63" s="90"/>
      <c r="AKR63" s="90"/>
      <c r="AKS63" s="90"/>
      <c r="AKT63" s="90"/>
      <c r="AKU63" s="90"/>
      <c r="AKV63" s="90"/>
      <c r="AKW63" s="90"/>
      <c r="AKX63" s="90"/>
      <c r="AKY63" s="90"/>
      <c r="AKZ63" s="90"/>
      <c r="ALA63" s="90"/>
      <c r="ALB63" s="90"/>
      <c r="ALC63" s="90"/>
      <c r="ALD63" s="90"/>
      <c r="ALE63" s="90"/>
      <c r="ALF63" s="90"/>
      <c r="ALG63" s="90"/>
      <c r="ALH63" s="90"/>
      <c r="ALI63" s="90"/>
      <c r="ALJ63" s="90"/>
      <c r="ALK63" s="90"/>
      <c r="ALL63" s="90"/>
      <c r="ALM63" s="90"/>
      <c r="ALN63" s="90"/>
      <c r="ALO63" s="90"/>
      <c r="ALP63" s="90"/>
      <c r="ALQ63" s="90"/>
      <c r="ALR63" s="90"/>
      <c r="ALS63" s="90"/>
      <c r="ALT63" s="90"/>
      <c r="ALU63" s="90"/>
      <c r="ALV63" s="90"/>
      <c r="ALW63" s="90"/>
      <c r="ALX63" s="90"/>
      <c r="ALY63" s="90"/>
      <c r="ALZ63" s="90"/>
      <c r="AMA63" s="90"/>
      <c r="AMB63" s="90"/>
      <c r="AMC63" s="90"/>
    </row>
    <row r="64" spans="1:1017">
      <c r="A64" s="98" t="s">
        <v>26</v>
      </c>
      <c r="B64" s="648" t="str">
        <f t="shared" si="829"/>
        <v>Kerong Kerong</v>
      </c>
      <c r="Q64" s="91">
        <f t="shared" si="830"/>
        <v>0</v>
      </c>
      <c r="R64" s="91">
        <f t="shared" si="831"/>
        <v>0</v>
      </c>
      <c r="AG64" s="91">
        <f t="shared" si="832"/>
        <v>0</v>
      </c>
      <c r="AH64" s="91">
        <f t="shared" si="833"/>
        <v>0</v>
      </c>
      <c r="AW64" s="91">
        <f t="shared" si="834"/>
        <v>0</v>
      </c>
      <c r="AX64" s="91">
        <f t="shared" si="835"/>
        <v>0</v>
      </c>
      <c r="BM64" s="91">
        <f t="shared" si="836"/>
        <v>0</v>
      </c>
      <c r="BN64" s="91">
        <f t="shared" si="837"/>
        <v>0</v>
      </c>
      <c r="CC64" s="91">
        <f t="shared" si="838"/>
        <v>0</v>
      </c>
      <c r="CD64" s="91">
        <f t="shared" si="839"/>
        <v>0</v>
      </c>
      <c r="CS64" s="91">
        <f t="shared" si="840"/>
        <v>0</v>
      </c>
      <c r="CT64" s="91">
        <f t="shared" si="841"/>
        <v>0</v>
      </c>
      <c r="DI64" s="91">
        <f t="shared" si="842"/>
        <v>0</v>
      </c>
      <c r="DJ64" s="91">
        <f t="shared" si="843"/>
        <v>0</v>
      </c>
      <c r="DY64" s="91">
        <f t="shared" si="844"/>
        <v>0</v>
      </c>
      <c r="DZ64" s="91">
        <f t="shared" si="845"/>
        <v>0</v>
      </c>
      <c r="EO64" s="91">
        <f t="shared" si="846"/>
        <v>0</v>
      </c>
      <c r="EP64" s="91">
        <f t="shared" si="847"/>
        <v>0</v>
      </c>
      <c r="FE64" s="91">
        <f t="shared" si="848"/>
        <v>0</v>
      </c>
      <c r="FF64" s="91">
        <f t="shared" si="849"/>
        <v>0</v>
      </c>
      <c r="FU64" s="91">
        <f t="shared" si="850"/>
        <v>0</v>
      </c>
      <c r="FV64" s="91">
        <f t="shared" si="851"/>
        <v>0</v>
      </c>
      <c r="GK64" s="91">
        <f t="shared" si="852"/>
        <v>0</v>
      </c>
      <c r="GL64" s="91">
        <f t="shared" si="853"/>
        <v>0</v>
      </c>
      <c r="HA64" s="91">
        <f t="shared" si="854"/>
        <v>0</v>
      </c>
      <c r="HB64" s="91">
        <f t="shared" si="855"/>
        <v>0</v>
      </c>
      <c r="HQ64" s="91">
        <f t="shared" si="856"/>
        <v>0</v>
      </c>
      <c r="HR64" s="91">
        <f t="shared" si="857"/>
        <v>0</v>
      </c>
      <c r="IG64" s="91">
        <f t="shared" si="858"/>
        <v>0</v>
      </c>
      <c r="IH64" s="91">
        <f t="shared" si="859"/>
        <v>0</v>
      </c>
      <c r="IW64" s="91">
        <f t="shared" si="860"/>
        <v>0</v>
      </c>
      <c r="IX64" s="91">
        <f t="shared" si="861"/>
        <v>0</v>
      </c>
      <c r="JM64" s="91">
        <f t="shared" si="862"/>
        <v>0</v>
      </c>
      <c r="JN64" s="91">
        <f t="shared" si="863"/>
        <v>0</v>
      </c>
      <c r="KC64" s="91">
        <f t="shared" si="864"/>
        <v>0</v>
      </c>
      <c r="KD64" s="91">
        <f t="shared" si="865"/>
        <v>0</v>
      </c>
      <c r="KS64" s="91">
        <f t="shared" si="866"/>
        <v>0</v>
      </c>
      <c r="KT64" s="91">
        <f t="shared" si="867"/>
        <v>0</v>
      </c>
      <c r="LI64" s="91">
        <f t="shared" si="868"/>
        <v>0</v>
      </c>
      <c r="LJ64" s="91">
        <f t="shared" si="869"/>
        <v>0</v>
      </c>
      <c r="LY64" s="91">
        <f t="shared" si="870"/>
        <v>0</v>
      </c>
      <c r="LZ64" s="91">
        <f t="shared" si="871"/>
        <v>0</v>
      </c>
      <c r="MO64" s="91">
        <f t="shared" si="872"/>
        <v>0</v>
      </c>
      <c r="MP64" s="91">
        <f t="shared" si="873"/>
        <v>0</v>
      </c>
      <c r="NE64" s="91">
        <f t="shared" si="874"/>
        <v>0</v>
      </c>
      <c r="NF64" s="91">
        <f t="shared" si="875"/>
        <v>0</v>
      </c>
      <c r="NU64" s="91">
        <f t="shared" si="876"/>
        <v>0</v>
      </c>
      <c r="NV64" s="91">
        <f t="shared" si="877"/>
        <v>0</v>
      </c>
      <c r="OK64" s="91">
        <f t="shared" si="878"/>
        <v>0</v>
      </c>
      <c r="OL64" s="91">
        <f t="shared" si="879"/>
        <v>0</v>
      </c>
      <c r="PA64" s="91">
        <f t="shared" si="880"/>
        <v>0</v>
      </c>
      <c r="PB64" s="91">
        <f t="shared" si="881"/>
        <v>0</v>
      </c>
      <c r="PQ64" s="91">
        <f t="shared" si="882"/>
        <v>0</v>
      </c>
      <c r="PR64" s="91">
        <f t="shared" si="883"/>
        <v>0</v>
      </c>
      <c r="QG64" s="91">
        <f t="shared" si="884"/>
        <v>0</v>
      </c>
      <c r="QH64" s="91">
        <f t="shared" si="885"/>
        <v>0</v>
      </c>
      <c r="QW64" s="91">
        <f t="shared" si="886"/>
        <v>0</v>
      </c>
      <c r="QX64" s="91">
        <f t="shared" si="887"/>
        <v>0</v>
      </c>
      <c r="RM64" s="91">
        <f t="shared" si="888"/>
        <v>0</v>
      </c>
      <c r="RN64" s="91">
        <f t="shared" si="889"/>
        <v>0</v>
      </c>
      <c r="SC64" s="91">
        <f t="shared" si="890"/>
        <v>0</v>
      </c>
      <c r="SD64" s="91">
        <f t="shared" si="891"/>
        <v>0</v>
      </c>
      <c r="SS64" s="91">
        <f t="shared" si="892"/>
        <v>0</v>
      </c>
      <c r="ST64" s="91">
        <f t="shared" si="893"/>
        <v>0</v>
      </c>
      <c r="TI64" s="91">
        <f t="shared" si="894"/>
        <v>0</v>
      </c>
      <c r="TJ64" s="91">
        <f t="shared" si="895"/>
        <v>0</v>
      </c>
      <c r="TY64" s="91">
        <f t="shared" si="896"/>
        <v>0</v>
      </c>
      <c r="TZ64" s="91">
        <f t="shared" si="897"/>
        <v>0</v>
      </c>
      <c r="UO64" s="91">
        <f t="shared" si="898"/>
        <v>0</v>
      </c>
      <c r="UP64" s="91">
        <f t="shared" si="899"/>
        <v>0</v>
      </c>
      <c r="VE64" s="91">
        <f t="shared" si="900"/>
        <v>0</v>
      </c>
      <c r="VF64" s="91">
        <f t="shared" si="901"/>
        <v>0</v>
      </c>
      <c r="VU64" s="91">
        <f t="shared" si="902"/>
        <v>0</v>
      </c>
      <c r="VV64" s="91">
        <f t="shared" si="903"/>
        <v>0</v>
      </c>
      <c r="WK64" s="91">
        <f t="shared" si="904"/>
        <v>0</v>
      </c>
      <c r="WL64" s="91">
        <f t="shared" si="905"/>
        <v>0</v>
      </c>
      <c r="WM64" s="89"/>
      <c r="WN64" s="87">
        <f t="shared" si="906"/>
        <v>0</v>
      </c>
      <c r="WO64" s="87">
        <f t="shared" si="907"/>
        <v>0</v>
      </c>
      <c r="WP64" s="87">
        <f t="shared" si="908"/>
        <v>0</v>
      </c>
      <c r="WQ64" s="87">
        <f t="shared" si="909"/>
        <v>0</v>
      </c>
      <c r="WR64" s="87">
        <f t="shared" si="910"/>
        <v>0</v>
      </c>
      <c r="WS64" s="87">
        <f t="shared" si="911"/>
        <v>0</v>
      </c>
      <c r="WT64" s="87">
        <f t="shared" si="912"/>
        <v>0</v>
      </c>
      <c r="WU64" s="87">
        <f t="shared" si="913"/>
        <v>0</v>
      </c>
      <c r="WV64" s="87">
        <f t="shared" si="914"/>
        <v>0</v>
      </c>
      <c r="WW64" s="87">
        <f t="shared" si="915"/>
        <v>0</v>
      </c>
      <c r="WX64" s="87">
        <f t="shared" si="916"/>
        <v>0</v>
      </c>
      <c r="WY64" s="87">
        <f t="shared" si="917"/>
        <v>0</v>
      </c>
      <c r="WZ64" s="87">
        <f t="shared" si="918"/>
        <v>0</v>
      </c>
      <c r="XA64" s="87">
        <f t="shared" si="919"/>
        <v>0</v>
      </c>
      <c r="XB64" s="92">
        <f t="shared" si="920"/>
        <v>0</v>
      </c>
      <c r="XC64" s="92">
        <f t="shared" si="921"/>
        <v>0</v>
      </c>
      <c r="XD64" s="89"/>
      <c r="XE64" s="92">
        <f t="shared" ref="XE64:XF64" si="946">SUM(XB140,XB178,XB216)</f>
        <v>535465</v>
      </c>
      <c r="XF64" s="92">
        <f t="shared" si="946"/>
        <v>10693740</v>
      </c>
      <c r="XG64" s="89"/>
      <c r="XH64" s="92">
        <f t="shared" ref="XH64:XI64" si="947">SUM(XE102,XE140)</f>
        <v>0</v>
      </c>
      <c r="XI64" s="92">
        <f t="shared" si="947"/>
        <v>0</v>
      </c>
      <c r="XJ64" s="89"/>
      <c r="XK64" s="87"/>
      <c r="XL64" s="87"/>
      <c r="XM64" s="87"/>
      <c r="XN64" s="87"/>
      <c r="XO64" s="87"/>
      <c r="XP64" s="87"/>
      <c r="XQ64" s="87"/>
      <c r="XR64" s="92">
        <f t="shared" ca="1" si="922"/>
        <v>0</v>
      </c>
      <c r="XS64" s="89"/>
      <c r="XT64" s="87"/>
      <c r="XU64" s="87"/>
      <c r="XV64" s="87"/>
      <c r="XW64" s="87"/>
      <c r="XX64" s="87"/>
      <c r="XY64" s="87"/>
      <c r="XZ64" s="87"/>
      <c r="YA64" s="92">
        <f t="shared" ca="1" si="923"/>
        <v>0</v>
      </c>
      <c r="YB64" s="90"/>
      <c r="YC64" s="90"/>
      <c r="YD64" s="90"/>
      <c r="YE64" s="90"/>
      <c r="YF64" s="90"/>
      <c r="YG64" s="90"/>
      <c r="YH64" s="90"/>
      <c r="YI64" s="90"/>
      <c r="YJ64" s="90"/>
      <c r="YK64" s="90"/>
      <c r="YL64" s="90"/>
      <c r="YM64" s="90"/>
      <c r="YN64" s="90"/>
      <c r="YO64" s="90"/>
      <c r="YP64" s="90"/>
      <c r="YQ64" s="90"/>
      <c r="YR64" s="90"/>
      <c r="YS64" s="90"/>
      <c r="YT64" s="90"/>
      <c r="YU64" s="90"/>
      <c r="YV64" s="90"/>
      <c r="YW64" s="90"/>
      <c r="YX64" s="90"/>
      <c r="YY64" s="90"/>
      <c r="YZ64" s="90"/>
      <c r="ZA64" s="90"/>
      <c r="ZB64" s="90"/>
      <c r="ZC64" s="90"/>
      <c r="ZD64" s="90"/>
      <c r="ZE64" s="90"/>
      <c r="ZF64" s="90"/>
      <c r="ZG64" s="90"/>
      <c r="ZH64" s="90"/>
      <c r="ZI64" s="90"/>
      <c r="ZJ64" s="90"/>
      <c r="ZK64" s="90"/>
      <c r="ZL64" s="90"/>
      <c r="ZM64" s="90"/>
      <c r="ZN64" s="90"/>
      <c r="ZO64" s="90"/>
      <c r="ZP64" s="90"/>
      <c r="ZQ64" s="90"/>
      <c r="ZR64" s="90"/>
      <c r="ZS64" s="90"/>
      <c r="ZT64" s="90"/>
      <c r="ZU64" s="90"/>
      <c r="ZV64" s="90"/>
      <c r="ZW64" s="90"/>
      <c r="ZX64" s="90"/>
      <c r="ZY64" s="90"/>
      <c r="ZZ64" s="90"/>
      <c r="AAA64" s="90"/>
      <c r="AAB64" s="90"/>
      <c r="AAC64" s="90"/>
      <c r="AAD64" s="90"/>
      <c r="AAE64" s="90"/>
      <c r="AAF64" s="90"/>
      <c r="AAG64" s="90"/>
      <c r="AAH64" s="90"/>
      <c r="AAI64" s="90"/>
      <c r="AAJ64" s="90"/>
      <c r="AAK64" s="90"/>
      <c r="AAL64" s="90"/>
      <c r="AAM64" s="90"/>
      <c r="AAN64" s="90"/>
      <c r="AAO64" s="90"/>
      <c r="AAP64" s="90"/>
      <c r="AAQ64" s="90"/>
      <c r="AAR64" s="90"/>
      <c r="AAS64" s="90"/>
      <c r="AAT64" s="90"/>
      <c r="AAU64" s="90"/>
      <c r="AAV64" s="90"/>
      <c r="AAW64" s="90"/>
      <c r="AAX64" s="90"/>
      <c r="AAY64" s="90"/>
      <c r="AAZ64" s="90"/>
      <c r="ABA64" s="90"/>
      <c r="ABB64" s="90"/>
      <c r="ABC64" s="90"/>
      <c r="ABD64" s="90"/>
      <c r="ABE64" s="90"/>
      <c r="ABF64" s="90"/>
      <c r="ABG64" s="90"/>
      <c r="ABH64" s="90"/>
      <c r="ABI64" s="90"/>
      <c r="ABJ64" s="90"/>
      <c r="ABK64" s="90"/>
      <c r="ABL64" s="90"/>
      <c r="ABM64" s="90"/>
      <c r="ABN64" s="90"/>
      <c r="ABO64" s="90"/>
      <c r="ABP64" s="90"/>
      <c r="ABQ64" s="90"/>
      <c r="ABR64" s="90"/>
      <c r="ABS64" s="90"/>
      <c r="ABT64" s="90"/>
      <c r="ABU64" s="90"/>
      <c r="ABV64" s="90"/>
      <c r="ABW64" s="90"/>
      <c r="ABX64" s="90"/>
      <c r="ABY64" s="90"/>
      <c r="ABZ64" s="90"/>
      <c r="ACA64" s="90"/>
      <c r="ACB64" s="90"/>
      <c r="ACC64" s="90"/>
      <c r="ACD64" s="90"/>
      <c r="ACE64" s="90"/>
      <c r="ACF64" s="90"/>
      <c r="ACG64" s="90"/>
      <c r="ACH64" s="90"/>
      <c r="ACI64" s="90"/>
      <c r="ACJ64" s="90"/>
      <c r="ACK64" s="90"/>
      <c r="ACL64" s="90"/>
      <c r="ACM64" s="90"/>
      <c r="ACN64" s="90"/>
      <c r="ACO64" s="90"/>
      <c r="ACP64" s="90"/>
      <c r="ACQ64" s="90"/>
      <c r="ACR64" s="90"/>
      <c r="ACS64" s="90"/>
      <c r="ACT64" s="90"/>
      <c r="ACU64" s="90"/>
      <c r="ACV64" s="90"/>
      <c r="ACW64" s="90"/>
      <c r="ACX64" s="90"/>
      <c r="ACY64" s="90"/>
      <c r="ACZ64" s="90"/>
      <c r="ADA64" s="90"/>
      <c r="ADB64" s="90"/>
      <c r="ADC64" s="90"/>
      <c r="ADD64" s="90"/>
      <c r="ADE64" s="90"/>
      <c r="ADF64" s="90"/>
      <c r="ADG64" s="90"/>
      <c r="ADH64" s="90"/>
      <c r="ADI64" s="90"/>
      <c r="ADJ64" s="90"/>
      <c r="ADK64" s="90"/>
      <c r="ADL64" s="90"/>
      <c r="ADM64" s="90"/>
      <c r="ADN64" s="90"/>
      <c r="ADO64" s="90"/>
      <c r="ADP64" s="90"/>
      <c r="ADQ64" s="90"/>
      <c r="ADR64" s="90"/>
      <c r="ADS64" s="90"/>
      <c r="ADT64" s="90"/>
      <c r="ADU64" s="90"/>
      <c r="ADV64" s="90"/>
      <c r="ADW64" s="90"/>
      <c r="ADX64" s="90"/>
      <c r="ADY64" s="90"/>
      <c r="ADZ64" s="90"/>
      <c r="AEA64" s="90"/>
      <c r="AEB64" s="90"/>
      <c r="AEC64" s="90"/>
      <c r="AED64" s="90"/>
      <c r="AEE64" s="90"/>
      <c r="AEF64" s="90"/>
      <c r="AEG64" s="90"/>
      <c r="AEH64" s="90"/>
      <c r="AEI64" s="90"/>
      <c r="AEJ64" s="90"/>
      <c r="AEK64" s="90"/>
      <c r="AEL64" s="90"/>
      <c r="AEM64" s="90"/>
      <c r="AEN64" s="90"/>
      <c r="AEO64" s="90"/>
      <c r="AEP64" s="90"/>
      <c r="AEQ64" s="90"/>
      <c r="AER64" s="90"/>
      <c r="AES64" s="90"/>
      <c r="AET64" s="90"/>
      <c r="AEU64" s="90"/>
      <c r="AEV64" s="90"/>
      <c r="AEW64" s="90"/>
      <c r="AEX64" s="90"/>
      <c r="AEY64" s="90"/>
      <c r="AEZ64" s="90"/>
      <c r="AFA64" s="90"/>
      <c r="AFB64" s="90"/>
      <c r="AFC64" s="90"/>
      <c r="AFD64" s="90"/>
      <c r="AFE64" s="90"/>
      <c r="AFF64" s="90"/>
      <c r="AFG64" s="90"/>
      <c r="AFH64" s="90"/>
      <c r="AFI64" s="90"/>
      <c r="AFJ64" s="90"/>
      <c r="AFK64" s="90"/>
      <c r="AFL64" s="90"/>
      <c r="AFM64" s="90"/>
      <c r="AFN64" s="90"/>
      <c r="AFO64" s="90"/>
      <c r="AFP64" s="90"/>
      <c r="AFQ64" s="90"/>
      <c r="AFR64" s="90"/>
      <c r="AFS64" s="90"/>
      <c r="AFT64" s="90"/>
      <c r="AFU64" s="90"/>
      <c r="AFV64" s="90"/>
      <c r="AFW64" s="90"/>
      <c r="AFX64" s="90"/>
      <c r="AFY64" s="90"/>
      <c r="AFZ64" s="90"/>
      <c r="AGA64" s="90"/>
      <c r="AGB64" s="90"/>
      <c r="AGC64" s="90"/>
      <c r="AGD64" s="90"/>
      <c r="AGE64" s="90"/>
      <c r="AGF64" s="90"/>
      <c r="AGG64" s="90"/>
      <c r="AGH64" s="90"/>
      <c r="AGI64" s="90"/>
      <c r="AGJ64" s="90"/>
      <c r="AGK64" s="90"/>
      <c r="AGL64" s="90"/>
      <c r="AGM64" s="90"/>
      <c r="AGN64" s="90"/>
      <c r="AGO64" s="90"/>
      <c r="AGP64" s="90"/>
      <c r="AGQ64" s="90"/>
      <c r="AGR64" s="90"/>
      <c r="AGS64" s="90"/>
      <c r="AGT64" s="90"/>
      <c r="AGU64" s="90"/>
      <c r="AGV64" s="90"/>
      <c r="AGW64" s="90"/>
      <c r="AGX64" s="90"/>
      <c r="AGY64" s="90"/>
      <c r="AGZ64" s="90"/>
      <c r="AHA64" s="90"/>
      <c r="AHB64" s="90"/>
      <c r="AHC64" s="90"/>
      <c r="AHD64" s="90"/>
      <c r="AHE64" s="90"/>
      <c r="AHF64" s="90"/>
      <c r="AHG64" s="90"/>
      <c r="AHH64" s="90"/>
      <c r="AHI64" s="90"/>
      <c r="AHJ64" s="90"/>
      <c r="AHK64" s="90"/>
      <c r="AHL64" s="90"/>
      <c r="AHM64" s="90"/>
      <c r="AHN64" s="90"/>
      <c r="AHO64" s="90"/>
      <c r="AHP64" s="90"/>
      <c r="AHQ64" s="90"/>
      <c r="AHR64" s="90"/>
      <c r="AHS64" s="90"/>
      <c r="AHT64" s="90"/>
      <c r="AHU64" s="90"/>
      <c r="AHV64" s="90"/>
      <c r="AHW64" s="90"/>
      <c r="AHX64" s="90"/>
      <c r="AHY64" s="90"/>
      <c r="AHZ64" s="90"/>
      <c r="AIA64" s="90"/>
      <c r="AIB64" s="90"/>
      <c r="AIC64" s="90"/>
      <c r="AID64" s="90"/>
      <c r="AIE64" s="90"/>
      <c r="AIF64" s="90"/>
      <c r="AIG64" s="90"/>
      <c r="AIH64" s="90"/>
      <c r="AII64" s="90"/>
      <c r="AIJ64" s="90"/>
      <c r="AIK64" s="90"/>
      <c r="AIL64" s="90"/>
      <c r="AIM64" s="90"/>
      <c r="AIN64" s="90"/>
      <c r="AIO64" s="90"/>
      <c r="AIP64" s="90"/>
      <c r="AIQ64" s="90"/>
      <c r="AIR64" s="90"/>
      <c r="AIS64" s="90"/>
      <c r="AIT64" s="90"/>
      <c r="AIU64" s="90"/>
      <c r="AIV64" s="90"/>
      <c r="AIW64" s="90"/>
      <c r="AIX64" s="90"/>
      <c r="AIY64" s="90"/>
      <c r="AIZ64" s="90"/>
      <c r="AJA64" s="90"/>
      <c r="AJB64" s="90"/>
      <c r="AJC64" s="90"/>
      <c r="AJD64" s="90"/>
      <c r="AJE64" s="90"/>
      <c r="AJF64" s="90"/>
      <c r="AJG64" s="90"/>
      <c r="AJH64" s="90"/>
      <c r="AJI64" s="90"/>
      <c r="AJJ64" s="90"/>
      <c r="AJK64" s="90"/>
      <c r="AJL64" s="90"/>
      <c r="AJM64" s="90"/>
      <c r="AJN64" s="90"/>
      <c r="AJO64" s="90"/>
      <c r="AJP64" s="90"/>
      <c r="AJQ64" s="90"/>
      <c r="AJR64" s="90"/>
      <c r="AJS64" s="90"/>
      <c r="AJT64" s="90"/>
      <c r="AJU64" s="90"/>
      <c r="AJV64" s="90"/>
      <c r="AJW64" s="90"/>
      <c r="AJX64" s="90"/>
      <c r="AJY64" s="90"/>
      <c r="AJZ64" s="90"/>
      <c r="AKA64" s="90"/>
      <c r="AKB64" s="90"/>
      <c r="AKC64" s="90"/>
      <c r="AKD64" s="90"/>
      <c r="AKE64" s="90"/>
      <c r="AKF64" s="90"/>
      <c r="AKG64" s="90"/>
      <c r="AKH64" s="90"/>
      <c r="AKI64" s="90"/>
      <c r="AKJ64" s="90"/>
      <c r="AKK64" s="90"/>
      <c r="AKL64" s="90"/>
      <c r="AKM64" s="90"/>
      <c r="AKN64" s="90"/>
      <c r="AKO64" s="90"/>
      <c r="AKP64" s="90"/>
      <c r="AKQ64" s="90"/>
      <c r="AKR64" s="90"/>
      <c r="AKS64" s="90"/>
      <c r="AKT64" s="90"/>
      <c r="AKU64" s="90"/>
      <c r="AKV64" s="90"/>
      <c r="AKW64" s="90"/>
      <c r="AKX64" s="90"/>
      <c r="AKY64" s="90"/>
      <c r="AKZ64" s="90"/>
      <c r="ALA64" s="90"/>
      <c r="ALB64" s="90"/>
      <c r="ALC64" s="90"/>
      <c r="ALD64" s="90"/>
      <c r="ALE64" s="90"/>
      <c r="ALF64" s="90"/>
      <c r="ALG64" s="90"/>
      <c r="ALH64" s="90"/>
      <c r="ALI64" s="90"/>
      <c r="ALJ64" s="90"/>
      <c r="ALK64" s="90"/>
      <c r="ALL64" s="90"/>
      <c r="ALM64" s="90"/>
      <c r="ALN64" s="90"/>
      <c r="ALO64" s="90"/>
      <c r="ALP64" s="90"/>
      <c r="ALQ64" s="90"/>
      <c r="ALR64" s="90"/>
      <c r="ALS64" s="90"/>
      <c r="ALT64" s="90"/>
      <c r="ALU64" s="90"/>
      <c r="ALV64" s="90"/>
      <c r="ALW64" s="90"/>
      <c r="ALX64" s="90"/>
      <c r="ALY64" s="90"/>
      <c r="ALZ64" s="90"/>
      <c r="AMA64" s="90"/>
      <c r="AMB64" s="90"/>
      <c r="AMC64" s="90"/>
    </row>
    <row r="65" spans="1:1017">
      <c r="A65" s="98" t="s">
        <v>26</v>
      </c>
      <c r="B65" s="648" t="str">
        <f t="shared" si="829"/>
        <v xml:space="preserve">Lele </v>
      </c>
      <c r="I65" s="98">
        <v>58300</v>
      </c>
      <c r="J65" s="98">
        <v>1166000</v>
      </c>
      <c r="M65" s="98">
        <v>400</v>
      </c>
      <c r="N65" s="98">
        <v>8000</v>
      </c>
      <c r="Q65" s="91">
        <f t="shared" si="830"/>
        <v>58700</v>
      </c>
      <c r="R65" s="91">
        <f t="shared" si="831"/>
        <v>1174000</v>
      </c>
      <c r="Y65" s="778">
        <v>576560</v>
      </c>
      <c r="Z65" s="778">
        <v>11531200</v>
      </c>
      <c r="AG65" s="91">
        <f t="shared" si="832"/>
        <v>576560</v>
      </c>
      <c r="AH65" s="91">
        <f t="shared" si="833"/>
        <v>11531200</v>
      </c>
      <c r="AO65" s="98">
        <v>716600</v>
      </c>
      <c r="AP65" s="98">
        <v>12182200</v>
      </c>
      <c r="AW65" s="91">
        <f t="shared" si="834"/>
        <v>716600</v>
      </c>
      <c r="AX65" s="91">
        <f t="shared" si="835"/>
        <v>12182200</v>
      </c>
      <c r="BE65" s="98">
        <v>382044</v>
      </c>
      <c r="BF65" s="98">
        <v>7258836</v>
      </c>
      <c r="BM65" s="91">
        <f t="shared" si="836"/>
        <v>382044</v>
      </c>
      <c r="BN65" s="91">
        <f t="shared" si="837"/>
        <v>7258836</v>
      </c>
      <c r="BU65" s="98">
        <v>62635</v>
      </c>
      <c r="BV65" s="98">
        <v>1252700</v>
      </c>
      <c r="CC65" s="91">
        <f t="shared" si="838"/>
        <v>62635</v>
      </c>
      <c r="CD65" s="91">
        <f t="shared" si="839"/>
        <v>1252700</v>
      </c>
      <c r="CK65" s="98">
        <v>104766</v>
      </c>
      <c r="CL65" s="98">
        <v>1571493</v>
      </c>
      <c r="CS65" s="91">
        <f t="shared" si="840"/>
        <v>104766</v>
      </c>
      <c r="CT65" s="91">
        <f t="shared" si="841"/>
        <v>1571493</v>
      </c>
      <c r="DA65" s="98">
        <v>1099740</v>
      </c>
      <c r="DB65" s="98">
        <v>20345190</v>
      </c>
      <c r="DI65" s="91">
        <f t="shared" si="842"/>
        <v>1099740</v>
      </c>
      <c r="DJ65" s="91">
        <f t="shared" si="843"/>
        <v>20345190</v>
      </c>
      <c r="DQ65" s="98">
        <v>645800</v>
      </c>
      <c r="DR65" s="98">
        <v>11947300</v>
      </c>
      <c r="DY65" s="91">
        <f t="shared" si="844"/>
        <v>645800</v>
      </c>
      <c r="DZ65" s="91">
        <f t="shared" si="845"/>
        <v>11947300</v>
      </c>
      <c r="EG65" s="98">
        <v>1674000</v>
      </c>
      <c r="EH65" s="98">
        <v>30132000</v>
      </c>
      <c r="EO65" s="91">
        <f t="shared" si="846"/>
        <v>1674000</v>
      </c>
      <c r="EP65" s="91">
        <f t="shared" si="847"/>
        <v>30132000</v>
      </c>
      <c r="EW65" s="98">
        <v>458929</v>
      </c>
      <c r="EX65" s="98">
        <v>10096438</v>
      </c>
      <c r="EZ65" s="98" t="s">
        <v>384</v>
      </c>
      <c r="FA65" s="98">
        <v>7032</v>
      </c>
      <c r="FB65" s="98">
        <v>154704</v>
      </c>
      <c r="FE65" s="91">
        <f t="shared" si="848"/>
        <v>465961</v>
      </c>
      <c r="FF65" s="91">
        <f t="shared" si="849"/>
        <v>10251142</v>
      </c>
      <c r="FM65" s="98">
        <v>93500</v>
      </c>
      <c r="FN65" s="98">
        <v>1776500</v>
      </c>
      <c r="FU65" s="91">
        <f t="shared" si="850"/>
        <v>93500</v>
      </c>
      <c r="FV65" s="91">
        <f t="shared" si="851"/>
        <v>1776500</v>
      </c>
      <c r="GC65" s="98">
        <v>218500</v>
      </c>
      <c r="GD65" s="98">
        <v>4042250</v>
      </c>
      <c r="GK65" s="91">
        <f t="shared" si="852"/>
        <v>218500</v>
      </c>
      <c r="GL65" s="91">
        <f t="shared" si="853"/>
        <v>4042250</v>
      </c>
      <c r="GS65" s="98">
        <v>138000</v>
      </c>
      <c r="GT65" s="98">
        <v>2553000</v>
      </c>
      <c r="HA65" s="91">
        <f t="shared" si="854"/>
        <v>138000</v>
      </c>
      <c r="HB65" s="91">
        <f t="shared" si="855"/>
        <v>2553000</v>
      </c>
      <c r="HI65" s="98">
        <v>500000</v>
      </c>
      <c r="HJ65" s="98">
        <v>8000000</v>
      </c>
      <c r="HQ65" s="91">
        <f t="shared" si="856"/>
        <v>500000</v>
      </c>
      <c r="HR65" s="91">
        <f t="shared" si="857"/>
        <v>8000000</v>
      </c>
      <c r="HY65" s="98">
        <v>121500</v>
      </c>
      <c r="HZ65" s="98">
        <v>2187000</v>
      </c>
      <c r="IG65" s="91">
        <f t="shared" si="858"/>
        <v>121500</v>
      </c>
      <c r="IH65" s="91">
        <f t="shared" si="859"/>
        <v>2187000</v>
      </c>
      <c r="IO65" s="98">
        <v>897000</v>
      </c>
      <c r="IP65" s="98">
        <v>16594500</v>
      </c>
      <c r="IW65" s="91">
        <f t="shared" si="860"/>
        <v>897000</v>
      </c>
      <c r="IX65" s="91">
        <f t="shared" si="861"/>
        <v>16594500</v>
      </c>
      <c r="JE65" s="98">
        <v>330148</v>
      </c>
      <c r="JF65" s="98">
        <v>6107738</v>
      </c>
      <c r="JM65" s="91">
        <f t="shared" si="862"/>
        <v>330148</v>
      </c>
      <c r="JN65" s="91">
        <f t="shared" si="863"/>
        <v>6107738</v>
      </c>
      <c r="JU65" s="98">
        <v>42018</v>
      </c>
      <c r="JV65" s="98">
        <v>1008432</v>
      </c>
      <c r="KC65" s="91">
        <f t="shared" si="864"/>
        <v>42018</v>
      </c>
      <c r="KD65" s="91">
        <f t="shared" si="865"/>
        <v>1008432</v>
      </c>
      <c r="KK65" s="98">
        <v>51170</v>
      </c>
      <c r="KL65" s="98">
        <v>1023400</v>
      </c>
      <c r="KS65" s="91">
        <f t="shared" si="866"/>
        <v>51170</v>
      </c>
      <c r="KT65" s="91">
        <f t="shared" si="867"/>
        <v>1023400</v>
      </c>
      <c r="LA65" s="98">
        <v>1207921.81</v>
      </c>
      <c r="LB65" s="98">
        <v>22346553</v>
      </c>
      <c r="LI65" s="91">
        <f t="shared" si="868"/>
        <v>1207921.81</v>
      </c>
      <c r="LJ65" s="91">
        <f t="shared" si="869"/>
        <v>22346553</v>
      </c>
      <c r="LQ65" s="98">
        <v>147689</v>
      </c>
      <c r="LR65" s="98">
        <v>2732246.5</v>
      </c>
      <c r="LY65" s="91">
        <f t="shared" si="870"/>
        <v>147689</v>
      </c>
      <c r="LZ65" s="91">
        <f t="shared" si="871"/>
        <v>2732246.5</v>
      </c>
      <c r="MG65" s="98">
        <v>61200</v>
      </c>
      <c r="MH65" s="98">
        <v>1132200</v>
      </c>
      <c r="MO65" s="91">
        <f t="shared" si="872"/>
        <v>61200</v>
      </c>
      <c r="MP65" s="91">
        <f t="shared" si="873"/>
        <v>1132200</v>
      </c>
      <c r="MW65" s="98">
        <v>14727</v>
      </c>
      <c r="MX65" s="98">
        <v>338721</v>
      </c>
      <c r="NE65" s="91">
        <f t="shared" si="874"/>
        <v>14727</v>
      </c>
      <c r="NF65" s="91">
        <f t="shared" si="875"/>
        <v>338721</v>
      </c>
      <c r="NM65" s="98">
        <v>2468545</v>
      </c>
      <c r="NN65" s="98">
        <v>39496720</v>
      </c>
      <c r="NQ65" s="98">
        <v>780</v>
      </c>
      <c r="NR65" s="98">
        <v>12480</v>
      </c>
      <c r="NU65" s="91">
        <f t="shared" si="876"/>
        <v>2469325</v>
      </c>
      <c r="NV65" s="91">
        <f t="shared" si="877"/>
        <v>39509200</v>
      </c>
      <c r="OC65" s="90">
        <v>58551</v>
      </c>
      <c r="OD65" s="98">
        <v>1112469</v>
      </c>
      <c r="OK65" s="91">
        <f t="shared" si="878"/>
        <v>58551</v>
      </c>
      <c r="OL65" s="91">
        <f t="shared" si="879"/>
        <v>1112469</v>
      </c>
      <c r="OS65" s="98">
        <v>31368</v>
      </c>
      <c r="OT65" s="98">
        <v>658728</v>
      </c>
      <c r="PA65" s="91">
        <f t="shared" si="880"/>
        <v>31368</v>
      </c>
      <c r="PB65" s="91">
        <f t="shared" si="881"/>
        <v>658728</v>
      </c>
      <c r="PI65" s="98">
        <v>337130</v>
      </c>
      <c r="PJ65" s="98">
        <v>5899745</v>
      </c>
      <c r="PQ65" s="91">
        <f t="shared" si="882"/>
        <v>337130</v>
      </c>
      <c r="PR65" s="91">
        <f t="shared" si="883"/>
        <v>5899745</v>
      </c>
      <c r="PY65" s="98">
        <v>790110</v>
      </c>
      <c r="PZ65" s="98">
        <v>15012090</v>
      </c>
      <c r="QC65" s="98">
        <v>306000</v>
      </c>
      <c r="QD65" s="98">
        <v>5814000</v>
      </c>
      <c r="QG65" s="91">
        <f t="shared" si="884"/>
        <v>1096110</v>
      </c>
      <c r="QH65" s="91">
        <f t="shared" si="885"/>
        <v>20826090</v>
      </c>
      <c r="QO65" s="98">
        <v>840000</v>
      </c>
      <c r="QP65" s="98">
        <v>15540000</v>
      </c>
      <c r="QW65" s="91">
        <f t="shared" si="886"/>
        <v>840000</v>
      </c>
      <c r="QX65" s="91">
        <f t="shared" si="887"/>
        <v>15540000</v>
      </c>
      <c r="RE65" s="98">
        <v>2740</v>
      </c>
      <c r="RF65" s="98">
        <f>RE65*20</f>
        <v>54800</v>
      </c>
      <c r="RM65" s="91">
        <f t="shared" si="888"/>
        <v>2740</v>
      </c>
      <c r="RN65" s="91">
        <f t="shared" si="889"/>
        <v>54800</v>
      </c>
      <c r="RU65" s="98">
        <v>10940</v>
      </c>
      <c r="RV65" s="98">
        <v>185980</v>
      </c>
      <c r="SC65" s="91">
        <f t="shared" si="890"/>
        <v>10940</v>
      </c>
      <c r="SD65" s="91">
        <f t="shared" si="891"/>
        <v>185980</v>
      </c>
      <c r="SK65" s="98">
        <v>15500</v>
      </c>
      <c r="SL65" s="98">
        <v>294500</v>
      </c>
      <c r="SS65" s="91">
        <f t="shared" si="892"/>
        <v>15500</v>
      </c>
      <c r="ST65" s="91">
        <f t="shared" si="893"/>
        <v>294500</v>
      </c>
      <c r="TA65" s="98">
        <v>21625</v>
      </c>
      <c r="TB65" s="98">
        <v>400063</v>
      </c>
      <c r="TI65" s="91">
        <f t="shared" si="894"/>
        <v>21625</v>
      </c>
      <c r="TJ65" s="91">
        <f t="shared" si="895"/>
        <v>400063</v>
      </c>
      <c r="TQ65" s="98">
        <v>8500</v>
      </c>
      <c r="TR65" s="98">
        <v>161500</v>
      </c>
      <c r="TY65" s="91">
        <f t="shared" si="896"/>
        <v>8500</v>
      </c>
      <c r="TZ65" s="91">
        <f t="shared" si="897"/>
        <v>161500</v>
      </c>
      <c r="UG65" s="98">
        <v>18148</v>
      </c>
      <c r="UH65" s="98">
        <v>326664</v>
      </c>
      <c r="UO65" s="91">
        <f t="shared" si="898"/>
        <v>18148</v>
      </c>
      <c r="UP65" s="91">
        <f t="shared" si="899"/>
        <v>326664</v>
      </c>
      <c r="UW65" s="98">
        <v>2221</v>
      </c>
      <c r="UX65" s="98">
        <v>42199</v>
      </c>
      <c r="VE65" s="91">
        <f t="shared" si="900"/>
        <v>2221</v>
      </c>
      <c r="VF65" s="91">
        <f t="shared" si="901"/>
        <v>42199</v>
      </c>
      <c r="VM65" s="98">
        <v>14681</v>
      </c>
      <c r="VN65" s="98">
        <v>278939</v>
      </c>
      <c r="VU65" s="91">
        <f t="shared" si="902"/>
        <v>14681</v>
      </c>
      <c r="VV65" s="91">
        <f t="shared" si="903"/>
        <v>278939</v>
      </c>
      <c r="WC65" s="98">
        <v>175661</v>
      </c>
      <c r="WD65" s="98">
        <v>3513220</v>
      </c>
      <c r="WI65" s="98">
        <v>8488</v>
      </c>
      <c r="WJ65" s="98">
        <v>186736</v>
      </c>
      <c r="WK65" s="91">
        <f t="shared" si="904"/>
        <v>184149</v>
      </c>
      <c r="WL65" s="91">
        <f t="shared" si="905"/>
        <v>3699956</v>
      </c>
      <c r="WM65" s="89"/>
      <c r="WN65" s="87">
        <f t="shared" si="906"/>
        <v>0</v>
      </c>
      <c r="WO65" s="87">
        <f t="shared" si="907"/>
        <v>0</v>
      </c>
      <c r="WP65" s="87">
        <f t="shared" si="908"/>
        <v>0</v>
      </c>
      <c r="WQ65" s="87">
        <f t="shared" si="909"/>
        <v>0</v>
      </c>
      <c r="WR65" s="87">
        <f t="shared" si="910"/>
        <v>0</v>
      </c>
      <c r="WS65" s="87">
        <f t="shared" si="911"/>
        <v>0</v>
      </c>
      <c r="WT65" s="87">
        <f t="shared" si="912"/>
        <v>14398467.810000001</v>
      </c>
      <c r="WU65" s="87">
        <f t="shared" si="913"/>
        <v>260303514.5</v>
      </c>
      <c r="WV65" s="87">
        <f t="shared" si="914"/>
        <v>0</v>
      </c>
      <c r="WW65" s="87">
        <f t="shared" si="915"/>
        <v>0</v>
      </c>
      <c r="WX65" s="87">
        <f t="shared" si="916"/>
        <v>314212</v>
      </c>
      <c r="WY65" s="87">
        <f t="shared" si="917"/>
        <v>5989184</v>
      </c>
      <c r="WZ65" s="87">
        <f t="shared" si="918"/>
        <v>8488</v>
      </c>
      <c r="XA65" s="87">
        <f t="shared" si="919"/>
        <v>186736</v>
      </c>
      <c r="XB65" s="92">
        <f t="shared" si="920"/>
        <v>14721167.810000001</v>
      </c>
      <c r="XC65" s="92">
        <f t="shared" si="921"/>
        <v>266479434.5</v>
      </c>
      <c r="XD65" s="89"/>
      <c r="XE65" s="92">
        <f t="shared" ref="XE65:XF65" si="948">SUM(XB141,XB179,XB217)</f>
        <v>39976780.245950118</v>
      </c>
      <c r="XF65" s="92">
        <f t="shared" si="948"/>
        <v>717413261.61936605</v>
      </c>
      <c r="XG65" s="89"/>
      <c r="XH65" s="92">
        <f t="shared" ref="XH65:XI65" si="949">SUM(XE103,XE141)</f>
        <v>81981128.329620779</v>
      </c>
      <c r="XI65" s="92">
        <f t="shared" si="949"/>
        <v>1449779195.697031</v>
      </c>
      <c r="XJ65" s="89"/>
      <c r="XK65" s="87"/>
      <c r="XL65" s="87"/>
      <c r="XM65" s="87"/>
      <c r="XN65" s="87"/>
      <c r="XO65" s="87"/>
      <c r="XP65" s="87"/>
      <c r="XQ65" s="87"/>
      <c r="XR65" s="92">
        <f t="shared" ca="1" si="922"/>
        <v>0</v>
      </c>
      <c r="XS65" s="89"/>
      <c r="XT65" s="87"/>
      <c r="XU65" s="87"/>
      <c r="XV65" s="87"/>
      <c r="XW65" s="87"/>
      <c r="XX65" s="87"/>
      <c r="XY65" s="87"/>
      <c r="XZ65" s="87"/>
      <c r="YA65" s="92">
        <f t="shared" ca="1" si="923"/>
        <v>0</v>
      </c>
      <c r="YB65" s="90"/>
      <c r="YC65" s="90"/>
      <c r="YD65" s="90"/>
      <c r="YE65" s="90"/>
      <c r="YF65" s="90"/>
      <c r="YG65" s="90"/>
      <c r="YH65" s="90"/>
      <c r="YI65" s="90"/>
      <c r="YJ65" s="90"/>
      <c r="YK65" s="90"/>
      <c r="YL65" s="90"/>
      <c r="YM65" s="90"/>
      <c r="YN65" s="90"/>
      <c r="YO65" s="90"/>
      <c r="YP65" s="90"/>
      <c r="YQ65" s="90"/>
      <c r="YR65" s="90"/>
      <c r="YS65" s="90"/>
      <c r="YT65" s="90"/>
      <c r="YU65" s="90"/>
      <c r="YV65" s="90"/>
      <c r="YW65" s="90"/>
      <c r="YX65" s="90"/>
      <c r="YY65" s="90"/>
      <c r="YZ65" s="90"/>
      <c r="ZA65" s="90"/>
      <c r="ZB65" s="90"/>
      <c r="ZC65" s="90"/>
      <c r="ZD65" s="90"/>
      <c r="ZE65" s="90"/>
      <c r="ZF65" s="90"/>
      <c r="ZG65" s="90"/>
      <c r="ZH65" s="90"/>
      <c r="ZI65" s="90"/>
      <c r="ZJ65" s="90"/>
      <c r="ZK65" s="90"/>
      <c r="ZL65" s="90"/>
      <c r="ZM65" s="90"/>
      <c r="ZN65" s="90"/>
      <c r="ZO65" s="90"/>
      <c r="ZP65" s="90"/>
      <c r="ZQ65" s="90"/>
      <c r="ZR65" s="90"/>
      <c r="ZS65" s="90"/>
      <c r="ZT65" s="90"/>
      <c r="ZU65" s="90"/>
      <c r="ZV65" s="90"/>
      <c r="ZW65" s="90"/>
      <c r="ZX65" s="90"/>
      <c r="ZY65" s="90"/>
      <c r="ZZ65" s="90"/>
      <c r="AAA65" s="90"/>
      <c r="AAB65" s="90"/>
      <c r="AAC65" s="90"/>
      <c r="AAD65" s="90"/>
      <c r="AAE65" s="90"/>
      <c r="AAF65" s="90"/>
      <c r="AAG65" s="90"/>
      <c r="AAH65" s="90"/>
      <c r="AAI65" s="90"/>
      <c r="AAJ65" s="90"/>
      <c r="AAK65" s="90"/>
      <c r="AAL65" s="90"/>
      <c r="AAM65" s="90"/>
      <c r="AAN65" s="90"/>
      <c r="AAO65" s="90"/>
      <c r="AAP65" s="90"/>
      <c r="AAQ65" s="90"/>
      <c r="AAR65" s="90"/>
      <c r="AAS65" s="90"/>
      <c r="AAT65" s="90"/>
      <c r="AAU65" s="90"/>
      <c r="AAV65" s="90"/>
      <c r="AAW65" s="90"/>
      <c r="AAX65" s="90"/>
      <c r="AAY65" s="90"/>
      <c r="AAZ65" s="90"/>
      <c r="ABA65" s="90"/>
      <c r="ABB65" s="90"/>
      <c r="ABC65" s="90"/>
      <c r="ABD65" s="90"/>
      <c r="ABE65" s="90"/>
      <c r="ABF65" s="90"/>
      <c r="ABG65" s="90"/>
      <c r="ABH65" s="90"/>
      <c r="ABI65" s="90"/>
      <c r="ABJ65" s="90"/>
      <c r="ABK65" s="90"/>
      <c r="ABL65" s="90"/>
      <c r="ABM65" s="90"/>
      <c r="ABN65" s="90"/>
      <c r="ABO65" s="90"/>
      <c r="ABP65" s="90"/>
      <c r="ABQ65" s="90"/>
      <c r="ABR65" s="90"/>
      <c r="ABS65" s="90"/>
      <c r="ABT65" s="90"/>
      <c r="ABU65" s="90"/>
      <c r="ABV65" s="90"/>
      <c r="ABW65" s="90"/>
      <c r="ABX65" s="90"/>
      <c r="ABY65" s="90"/>
      <c r="ABZ65" s="90"/>
      <c r="ACA65" s="90"/>
      <c r="ACB65" s="90"/>
      <c r="ACC65" s="90"/>
      <c r="ACD65" s="90"/>
      <c r="ACE65" s="90"/>
      <c r="ACF65" s="90"/>
      <c r="ACG65" s="90"/>
      <c r="ACH65" s="90"/>
      <c r="ACI65" s="90"/>
      <c r="ACJ65" s="90"/>
      <c r="ACK65" s="90"/>
      <c r="ACL65" s="90"/>
      <c r="ACM65" s="90"/>
      <c r="ACN65" s="90"/>
      <c r="ACO65" s="90"/>
      <c r="ACP65" s="90"/>
      <c r="ACQ65" s="90"/>
      <c r="ACR65" s="90"/>
      <c r="ACS65" s="90"/>
      <c r="ACT65" s="90"/>
      <c r="ACU65" s="90"/>
      <c r="ACV65" s="90"/>
      <c r="ACW65" s="90"/>
      <c r="ACX65" s="90"/>
      <c r="ACY65" s="90"/>
      <c r="ACZ65" s="90"/>
      <c r="ADA65" s="90"/>
      <c r="ADB65" s="90"/>
      <c r="ADC65" s="90"/>
      <c r="ADD65" s="90"/>
      <c r="ADE65" s="90"/>
      <c r="ADF65" s="90"/>
      <c r="ADG65" s="90"/>
      <c r="ADH65" s="90"/>
      <c r="ADI65" s="90"/>
      <c r="ADJ65" s="90"/>
      <c r="ADK65" s="90"/>
      <c r="ADL65" s="90"/>
      <c r="ADM65" s="90"/>
      <c r="ADN65" s="90"/>
      <c r="ADO65" s="90"/>
      <c r="ADP65" s="90"/>
      <c r="ADQ65" s="90"/>
      <c r="ADR65" s="90"/>
      <c r="ADS65" s="90"/>
      <c r="ADT65" s="90"/>
      <c r="ADU65" s="90"/>
      <c r="ADV65" s="90"/>
      <c r="ADW65" s="90"/>
      <c r="ADX65" s="90"/>
      <c r="ADY65" s="90"/>
      <c r="ADZ65" s="90"/>
      <c r="AEA65" s="90"/>
      <c r="AEB65" s="90"/>
      <c r="AEC65" s="90"/>
      <c r="AED65" s="90"/>
      <c r="AEE65" s="90"/>
      <c r="AEF65" s="90"/>
      <c r="AEG65" s="90"/>
      <c r="AEH65" s="90"/>
      <c r="AEI65" s="90"/>
      <c r="AEJ65" s="90"/>
      <c r="AEK65" s="90"/>
      <c r="AEL65" s="90"/>
      <c r="AEM65" s="90"/>
      <c r="AEN65" s="90"/>
      <c r="AEO65" s="90"/>
      <c r="AEP65" s="90"/>
      <c r="AEQ65" s="90"/>
      <c r="AER65" s="90"/>
      <c r="AES65" s="90"/>
      <c r="AET65" s="90"/>
      <c r="AEU65" s="90"/>
      <c r="AEV65" s="90"/>
      <c r="AEW65" s="90"/>
      <c r="AEX65" s="90"/>
      <c r="AEY65" s="90"/>
      <c r="AEZ65" s="90"/>
      <c r="AFA65" s="90"/>
      <c r="AFB65" s="90"/>
      <c r="AFC65" s="90"/>
      <c r="AFD65" s="90"/>
      <c r="AFE65" s="90"/>
      <c r="AFF65" s="90"/>
      <c r="AFG65" s="90"/>
      <c r="AFH65" s="90"/>
      <c r="AFI65" s="90"/>
      <c r="AFJ65" s="90"/>
      <c r="AFK65" s="90"/>
      <c r="AFL65" s="90"/>
      <c r="AFM65" s="90"/>
      <c r="AFN65" s="90"/>
      <c r="AFO65" s="90"/>
      <c r="AFP65" s="90"/>
      <c r="AFQ65" s="90"/>
      <c r="AFR65" s="90"/>
      <c r="AFS65" s="90"/>
      <c r="AFT65" s="90"/>
      <c r="AFU65" s="90"/>
      <c r="AFV65" s="90"/>
      <c r="AFW65" s="90"/>
      <c r="AFX65" s="90"/>
      <c r="AFY65" s="90"/>
      <c r="AFZ65" s="90"/>
      <c r="AGA65" s="90"/>
      <c r="AGB65" s="90"/>
      <c r="AGC65" s="90"/>
      <c r="AGD65" s="90"/>
      <c r="AGE65" s="90"/>
      <c r="AGF65" s="90"/>
      <c r="AGG65" s="90"/>
      <c r="AGH65" s="90"/>
      <c r="AGI65" s="90"/>
      <c r="AGJ65" s="90"/>
      <c r="AGK65" s="90"/>
      <c r="AGL65" s="90"/>
      <c r="AGM65" s="90"/>
      <c r="AGN65" s="90"/>
      <c r="AGO65" s="90"/>
      <c r="AGP65" s="90"/>
      <c r="AGQ65" s="90"/>
      <c r="AGR65" s="90"/>
      <c r="AGS65" s="90"/>
      <c r="AGT65" s="90"/>
      <c r="AGU65" s="90"/>
      <c r="AGV65" s="90"/>
      <c r="AGW65" s="90"/>
      <c r="AGX65" s="90"/>
      <c r="AGY65" s="90"/>
      <c r="AGZ65" s="90"/>
      <c r="AHA65" s="90"/>
      <c r="AHB65" s="90"/>
      <c r="AHC65" s="90"/>
      <c r="AHD65" s="90"/>
      <c r="AHE65" s="90"/>
      <c r="AHF65" s="90"/>
      <c r="AHG65" s="90"/>
      <c r="AHH65" s="90"/>
      <c r="AHI65" s="90"/>
      <c r="AHJ65" s="90"/>
      <c r="AHK65" s="90"/>
      <c r="AHL65" s="90"/>
      <c r="AHM65" s="90"/>
      <c r="AHN65" s="90"/>
      <c r="AHO65" s="90"/>
      <c r="AHP65" s="90"/>
      <c r="AHQ65" s="90"/>
      <c r="AHR65" s="90"/>
      <c r="AHS65" s="90"/>
      <c r="AHT65" s="90"/>
      <c r="AHU65" s="90"/>
      <c r="AHV65" s="90"/>
      <c r="AHW65" s="90"/>
      <c r="AHX65" s="90"/>
      <c r="AHY65" s="90"/>
      <c r="AHZ65" s="90"/>
      <c r="AIA65" s="90"/>
      <c r="AIB65" s="90"/>
      <c r="AIC65" s="90"/>
      <c r="AID65" s="90"/>
      <c r="AIE65" s="90"/>
      <c r="AIF65" s="90"/>
      <c r="AIG65" s="90"/>
      <c r="AIH65" s="90"/>
      <c r="AII65" s="90"/>
      <c r="AIJ65" s="90"/>
      <c r="AIK65" s="90"/>
      <c r="AIL65" s="90"/>
      <c r="AIM65" s="90"/>
      <c r="AIN65" s="90"/>
      <c r="AIO65" s="90"/>
      <c r="AIP65" s="90"/>
      <c r="AIQ65" s="90"/>
      <c r="AIR65" s="90"/>
      <c r="AIS65" s="90"/>
      <c r="AIT65" s="90"/>
      <c r="AIU65" s="90"/>
      <c r="AIV65" s="90"/>
      <c r="AIW65" s="90"/>
      <c r="AIX65" s="90"/>
      <c r="AIY65" s="90"/>
      <c r="AIZ65" s="90"/>
      <c r="AJA65" s="90"/>
      <c r="AJB65" s="90"/>
      <c r="AJC65" s="90"/>
      <c r="AJD65" s="90"/>
      <c r="AJE65" s="90"/>
      <c r="AJF65" s="90"/>
      <c r="AJG65" s="90"/>
      <c r="AJH65" s="90"/>
      <c r="AJI65" s="90"/>
      <c r="AJJ65" s="90"/>
      <c r="AJK65" s="90"/>
      <c r="AJL65" s="90"/>
      <c r="AJM65" s="90"/>
      <c r="AJN65" s="90"/>
      <c r="AJO65" s="90"/>
      <c r="AJP65" s="90"/>
      <c r="AJQ65" s="90"/>
      <c r="AJR65" s="90"/>
      <c r="AJS65" s="90"/>
      <c r="AJT65" s="90"/>
      <c r="AJU65" s="90"/>
      <c r="AJV65" s="90"/>
      <c r="AJW65" s="90"/>
      <c r="AJX65" s="90"/>
      <c r="AJY65" s="90"/>
      <c r="AJZ65" s="90"/>
      <c r="AKA65" s="90"/>
      <c r="AKB65" s="90"/>
      <c r="AKC65" s="90"/>
      <c r="AKD65" s="90"/>
      <c r="AKE65" s="90"/>
      <c r="AKF65" s="90"/>
      <c r="AKG65" s="90"/>
      <c r="AKH65" s="90"/>
      <c r="AKI65" s="90"/>
      <c r="AKJ65" s="90"/>
      <c r="AKK65" s="90"/>
      <c r="AKL65" s="90"/>
      <c r="AKM65" s="90"/>
      <c r="AKN65" s="90"/>
      <c r="AKO65" s="90"/>
      <c r="AKP65" s="90"/>
      <c r="AKQ65" s="90"/>
      <c r="AKR65" s="90"/>
      <c r="AKS65" s="90"/>
      <c r="AKT65" s="90"/>
      <c r="AKU65" s="90"/>
      <c r="AKV65" s="90"/>
      <c r="AKW65" s="90"/>
      <c r="AKX65" s="90"/>
      <c r="AKY65" s="90"/>
      <c r="AKZ65" s="90"/>
      <c r="ALA65" s="90"/>
      <c r="ALB65" s="90"/>
      <c r="ALC65" s="90"/>
      <c r="ALD65" s="90"/>
      <c r="ALE65" s="90"/>
      <c r="ALF65" s="90"/>
      <c r="ALG65" s="90"/>
      <c r="ALH65" s="90"/>
      <c r="ALI65" s="90"/>
      <c r="ALJ65" s="90"/>
      <c r="ALK65" s="90"/>
      <c r="ALL65" s="90"/>
      <c r="ALM65" s="90"/>
      <c r="ALN65" s="90"/>
      <c r="ALO65" s="90"/>
      <c r="ALP65" s="90"/>
      <c r="ALQ65" s="90"/>
      <c r="ALR65" s="90"/>
      <c r="ALS65" s="90"/>
      <c r="ALT65" s="90"/>
      <c r="ALU65" s="90"/>
      <c r="ALV65" s="90"/>
      <c r="ALW65" s="90"/>
      <c r="ALX65" s="90"/>
      <c r="ALY65" s="90"/>
      <c r="ALZ65" s="90"/>
      <c r="AMA65" s="90"/>
      <c r="AMB65" s="90"/>
      <c r="AMC65" s="90"/>
    </row>
    <row r="66" spans="1:1017">
      <c r="A66" s="98" t="s">
        <v>26</v>
      </c>
      <c r="B66" s="648" t="str">
        <f t="shared" si="829"/>
        <v xml:space="preserve">Lobster Air Laut </v>
      </c>
      <c r="I66" s="90"/>
      <c r="Q66" s="91">
        <f t="shared" si="830"/>
        <v>0</v>
      </c>
      <c r="R66" s="91">
        <f t="shared" si="831"/>
        <v>0</v>
      </c>
      <c r="S66" s="98">
        <v>1050</v>
      </c>
      <c r="T66" s="98">
        <v>367500</v>
      </c>
      <c r="Y66" s="90"/>
      <c r="AG66" s="91">
        <f t="shared" si="832"/>
        <v>1050</v>
      </c>
      <c r="AH66" s="91">
        <f t="shared" si="833"/>
        <v>367500</v>
      </c>
      <c r="AO66" s="90"/>
      <c r="AW66" s="91">
        <f t="shared" si="834"/>
        <v>0</v>
      </c>
      <c r="AX66" s="91">
        <f t="shared" si="835"/>
        <v>0</v>
      </c>
      <c r="BE66" s="90"/>
      <c r="BM66" s="91">
        <f t="shared" si="836"/>
        <v>0</v>
      </c>
      <c r="BN66" s="91">
        <f t="shared" si="837"/>
        <v>0</v>
      </c>
      <c r="BU66" s="90"/>
      <c r="CC66" s="91">
        <f t="shared" si="838"/>
        <v>0</v>
      </c>
      <c r="CD66" s="91">
        <f t="shared" si="839"/>
        <v>0</v>
      </c>
      <c r="CK66" s="90"/>
      <c r="CS66" s="91">
        <f t="shared" si="840"/>
        <v>0</v>
      </c>
      <c r="CT66" s="91">
        <f t="shared" si="841"/>
        <v>0</v>
      </c>
      <c r="DA66" s="90"/>
      <c r="DI66" s="91">
        <f t="shared" si="842"/>
        <v>0</v>
      </c>
      <c r="DJ66" s="91">
        <f t="shared" si="843"/>
        <v>0</v>
      </c>
      <c r="DQ66" s="90"/>
      <c r="DY66" s="91">
        <f t="shared" si="844"/>
        <v>0</v>
      </c>
      <c r="DZ66" s="91">
        <f t="shared" si="845"/>
        <v>0</v>
      </c>
      <c r="EG66" s="90"/>
      <c r="EO66" s="91">
        <f t="shared" si="846"/>
        <v>0</v>
      </c>
      <c r="EP66" s="91">
        <f t="shared" si="847"/>
        <v>0</v>
      </c>
      <c r="EW66" s="90"/>
      <c r="FE66" s="91">
        <f t="shared" si="848"/>
        <v>0</v>
      </c>
      <c r="FF66" s="91">
        <f t="shared" si="849"/>
        <v>0</v>
      </c>
      <c r="FM66" s="90"/>
      <c r="FU66" s="91">
        <f t="shared" si="850"/>
        <v>0</v>
      </c>
      <c r="FV66" s="91">
        <f t="shared" si="851"/>
        <v>0</v>
      </c>
      <c r="GC66" s="90"/>
      <c r="GK66" s="91">
        <f t="shared" si="852"/>
        <v>0</v>
      </c>
      <c r="GL66" s="91">
        <f t="shared" si="853"/>
        <v>0</v>
      </c>
      <c r="GS66" s="90"/>
      <c r="HA66" s="91">
        <f t="shared" si="854"/>
        <v>0</v>
      </c>
      <c r="HB66" s="91">
        <f t="shared" si="855"/>
        <v>0</v>
      </c>
      <c r="HI66" s="90"/>
      <c r="HQ66" s="91">
        <f t="shared" si="856"/>
        <v>0</v>
      </c>
      <c r="HR66" s="91">
        <f t="shared" si="857"/>
        <v>0</v>
      </c>
      <c r="HY66" s="90"/>
      <c r="IG66" s="91">
        <f t="shared" si="858"/>
        <v>0</v>
      </c>
      <c r="IH66" s="91">
        <f t="shared" si="859"/>
        <v>0</v>
      </c>
      <c r="IO66" s="90"/>
      <c r="IW66" s="91">
        <f t="shared" si="860"/>
        <v>0</v>
      </c>
      <c r="IX66" s="91">
        <f t="shared" si="861"/>
        <v>0</v>
      </c>
      <c r="JE66" s="90"/>
      <c r="JM66" s="91">
        <f t="shared" si="862"/>
        <v>0</v>
      </c>
      <c r="JN66" s="91">
        <f t="shared" si="863"/>
        <v>0</v>
      </c>
      <c r="JU66" s="90"/>
      <c r="KC66" s="91">
        <f t="shared" si="864"/>
        <v>0</v>
      </c>
      <c r="KD66" s="91">
        <f t="shared" si="865"/>
        <v>0</v>
      </c>
      <c r="KK66" s="90"/>
      <c r="KS66" s="91">
        <f t="shared" si="866"/>
        <v>0</v>
      </c>
      <c r="KT66" s="91">
        <f t="shared" si="867"/>
        <v>0</v>
      </c>
      <c r="LA66" s="90"/>
      <c r="LI66" s="91">
        <f t="shared" si="868"/>
        <v>0</v>
      </c>
      <c r="LJ66" s="91">
        <f t="shared" si="869"/>
        <v>0</v>
      </c>
      <c r="LQ66" s="90"/>
      <c r="LY66" s="91">
        <f t="shared" si="870"/>
        <v>0</v>
      </c>
      <c r="LZ66" s="91">
        <f t="shared" si="871"/>
        <v>0</v>
      </c>
      <c r="MG66" s="90"/>
      <c r="MO66" s="91">
        <f t="shared" si="872"/>
        <v>0</v>
      </c>
      <c r="MP66" s="91">
        <f t="shared" si="873"/>
        <v>0</v>
      </c>
      <c r="NE66" s="91">
        <f t="shared" si="874"/>
        <v>0</v>
      </c>
      <c r="NF66" s="91">
        <f t="shared" si="875"/>
        <v>0</v>
      </c>
      <c r="NM66" s="90"/>
      <c r="NU66" s="91">
        <f t="shared" si="876"/>
        <v>0</v>
      </c>
      <c r="NV66" s="91">
        <f t="shared" si="877"/>
        <v>0</v>
      </c>
      <c r="NW66" s="98">
        <v>150</v>
      </c>
      <c r="NX66" s="98">
        <v>45000</v>
      </c>
      <c r="OK66" s="91">
        <f t="shared" si="878"/>
        <v>150</v>
      </c>
      <c r="OL66" s="91">
        <f t="shared" si="879"/>
        <v>45000</v>
      </c>
      <c r="OS66" s="90"/>
      <c r="PA66" s="91">
        <f t="shared" si="880"/>
        <v>0</v>
      </c>
      <c r="PB66" s="91">
        <f t="shared" si="881"/>
        <v>0</v>
      </c>
      <c r="PI66" s="90"/>
      <c r="PQ66" s="91">
        <f t="shared" si="882"/>
        <v>0</v>
      </c>
      <c r="PR66" s="91">
        <f t="shared" si="883"/>
        <v>0</v>
      </c>
      <c r="PY66" s="90"/>
      <c r="QG66" s="91">
        <f t="shared" si="884"/>
        <v>0</v>
      </c>
      <c r="QH66" s="91">
        <f t="shared" si="885"/>
        <v>0</v>
      </c>
      <c r="QO66" s="90"/>
      <c r="QW66" s="91">
        <f t="shared" si="886"/>
        <v>0</v>
      </c>
      <c r="QX66" s="91">
        <f t="shared" si="887"/>
        <v>0</v>
      </c>
      <c r="RE66" s="90"/>
      <c r="RM66" s="91">
        <f t="shared" si="888"/>
        <v>0</v>
      </c>
      <c r="RN66" s="91">
        <f t="shared" si="889"/>
        <v>0</v>
      </c>
      <c r="RU66" s="90"/>
      <c r="SC66" s="91">
        <f t="shared" si="890"/>
        <v>0</v>
      </c>
      <c r="SD66" s="91">
        <f t="shared" si="891"/>
        <v>0</v>
      </c>
      <c r="SK66" s="90"/>
      <c r="SS66" s="91">
        <f t="shared" si="892"/>
        <v>0</v>
      </c>
      <c r="ST66" s="91">
        <f t="shared" si="893"/>
        <v>0</v>
      </c>
      <c r="TA66" s="90"/>
      <c r="TI66" s="91">
        <f t="shared" si="894"/>
        <v>0</v>
      </c>
      <c r="TJ66" s="91">
        <f t="shared" si="895"/>
        <v>0</v>
      </c>
      <c r="TQ66" s="90"/>
      <c r="TY66" s="91">
        <f t="shared" si="896"/>
        <v>0</v>
      </c>
      <c r="TZ66" s="91">
        <f t="shared" si="897"/>
        <v>0</v>
      </c>
      <c r="UG66" s="90"/>
      <c r="UO66" s="91">
        <f t="shared" si="898"/>
        <v>0</v>
      </c>
      <c r="UP66" s="91">
        <f t="shared" si="899"/>
        <v>0</v>
      </c>
      <c r="UW66" s="90"/>
      <c r="VE66" s="91">
        <f t="shared" si="900"/>
        <v>0</v>
      </c>
      <c r="VF66" s="91">
        <f t="shared" si="901"/>
        <v>0</v>
      </c>
      <c r="VM66" s="90"/>
      <c r="VU66" s="91">
        <f t="shared" si="902"/>
        <v>0</v>
      </c>
      <c r="VV66" s="91">
        <f t="shared" si="903"/>
        <v>0</v>
      </c>
      <c r="WC66" s="90"/>
      <c r="WK66" s="91">
        <f t="shared" si="904"/>
        <v>0</v>
      </c>
      <c r="WL66" s="91">
        <f t="shared" si="905"/>
        <v>0</v>
      </c>
      <c r="WM66" s="89"/>
      <c r="WN66" s="87">
        <f t="shared" si="906"/>
        <v>1200</v>
      </c>
      <c r="WO66" s="87">
        <f t="shared" si="907"/>
        <v>412500</v>
      </c>
      <c r="WP66" s="87">
        <f t="shared" si="908"/>
        <v>0</v>
      </c>
      <c r="WQ66" s="87">
        <f t="shared" si="909"/>
        <v>0</v>
      </c>
      <c r="WR66" s="87">
        <f t="shared" si="910"/>
        <v>0</v>
      </c>
      <c r="WS66" s="87">
        <f t="shared" si="911"/>
        <v>0</v>
      </c>
      <c r="WT66" s="87">
        <f t="shared" si="912"/>
        <v>0</v>
      </c>
      <c r="WU66" s="87">
        <f t="shared" si="913"/>
        <v>0</v>
      </c>
      <c r="WV66" s="87">
        <f t="shared" si="914"/>
        <v>0</v>
      </c>
      <c r="WW66" s="87">
        <f t="shared" si="915"/>
        <v>0</v>
      </c>
      <c r="WX66" s="87">
        <f t="shared" si="916"/>
        <v>0</v>
      </c>
      <c r="WY66" s="87">
        <f t="shared" si="917"/>
        <v>0</v>
      </c>
      <c r="WZ66" s="87">
        <f t="shared" si="918"/>
        <v>0</v>
      </c>
      <c r="XA66" s="87">
        <f t="shared" si="919"/>
        <v>0</v>
      </c>
      <c r="XB66" s="92">
        <f t="shared" si="920"/>
        <v>1200</v>
      </c>
      <c r="XC66" s="92">
        <f t="shared" si="921"/>
        <v>412500</v>
      </c>
      <c r="XD66" s="89"/>
      <c r="XE66" s="92">
        <f t="shared" ref="XE66:XF66" si="950">SUM(XB142,XB180,XB218)</f>
        <v>3290</v>
      </c>
      <c r="XF66" s="92">
        <f t="shared" si="950"/>
        <v>1151500</v>
      </c>
      <c r="XG66" s="89"/>
      <c r="XH66" s="92">
        <f t="shared" ref="XH66:XI66" si="951">SUM(XE104,XE142)</f>
        <v>5708</v>
      </c>
      <c r="XI66" s="92">
        <f t="shared" si="951"/>
        <v>1895940</v>
      </c>
      <c r="XJ66" s="89"/>
      <c r="XK66" s="87"/>
      <c r="XL66" s="87"/>
      <c r="XM66" s="87"/>
      <c r="XN66" s="87"/>
      <c r="XO66" s="87"/>
      <c r="XP66" s="87"/>
      <c r="XQ66" s="87"/>
      <c r="XR66" s="92">
        <f t="shared" ca="1" si="922"/>
        <v>0</v>
      </c>
      <c r="XS66" s="89"/>
      <c r="XT66" s="87"/>
      <c r="XU66" s="87"/>
      <c r="XV66" s="87"/>
      <c r="XW66" s="87"/>
      <c r="XX66" s="87"/>
      <c r="XY66" s="87"/>
      <c r="XZ66" s="87"/>
      <c r="YA66" s="92">
        <f t="shared" ca="1" si="923"/>
        <v>0</v>
      </c>
      <c r="YB66" s="90"/>
      <c r="YC66" s="90"/>
      <c r="YD66" s="90"/>
      <c r="YE66" s="90"/>
      <c r="YF66" s="90"/>
      <c r="YG66" s="90"/>
      <c r="YH66" s="90"/>
      <c r="YI66" s="90"/>
      <c r="YJ66" s="90"/>
      <c r="YK66" s="90"/>
      <c r="YL66" s="90"/>
      <c r="YM66" s="90"/>
      <c r="YN66" s="90"/>
      <c r="YO66" s="90"/>
      <c r="YP66" s="90"/>
      <c r="YQ66" s="90"/>
      <c r="YR66" s="90"/>
      <c r="YS66" s="90"/>
      <c r="YT66" s="90"/>
      <c r="YU66" s="90"/>
      <c r="YV66" s="90"/>
      <c r="YW66" s="90"/>
      <c r="YX66" s="90"/>
      <c r="YY66" s="90"/>
      <c r="YZ66" s="90"/>
      <c r="ZA66" s="90"/>
      <c r="ZB66" s="90"/>
      <c r="ZC66" s="90"/>
      <c r="ZD66" s="90"/>
      <c r="ZE66" s="90"/>
      <c r="ZF66" s="90"/>
      <c r="ZG66" s="90"/>
      <c r="ZH66" s="90"/>
      <c r="ZI66" s="90"/>
      <c r="ZJ66" s="90"/>
      <c r="ZK66" s="90"/>
      <c r="ZL66" s="90"/>
      <c r="ZM66" s="90"/>
      <c r="ZN66" s="90"/>
      <c r="ZO66" s="90"/>
      <c r="ZP66" s="90"/>
      <c r="ZQ66" s="90"/>
      <c r="ZR66" s="90"/>
      <c r="ZS66" s="90"/>
      <c r="ZT66" s="90"/>
      <c r="ZU66" s="90"/>
      <c r="ZV66" s="90"/>
      <c r="ZW66" s="90"/>
      <c r="ZX66" s="90"/>
      <c r="ZY66" s="90"/>
      <c r="ZZ66" s="90"/>
      <c r="AAA66" s="90"/>
      <c r="AAB66" s="90"/>
      <c r="AAC66" s="90"/>
      <c r="AAD66" s="90"/>
      <c r="AAE66" s="90"/>
      <c r="AAF66" s="90"/>
      <c r="AAG66" s="90"/>
      <c r="AAH66" s="90"/>
      <c r="AAI66" s="90"/>
      <c r="AAJ66" s="90"/>
      <c r="AAK66" s="90"/>
      <c r="AAL66" s="90"/>
      <c r="AAM66" s="90"/>
      <c r="AAN66" s="90"/>
      <c r="AAO66" s="90"/>
      <c r="AAP66" s="90"/>
      <c r="AAQ66" s="90"/>
      <c r="AAR66" s="90"/>
      <c r="AAS66" s="90"/>
      <c r="AAT66" s="90"/>
      <c r="AAU66" s="90"/>
      <c r="AAV66" s="90"/>
      <c r="AAW66" s="90"/>
      <c r="AAX66" s="90"/>
      <c r="AAY66" s="90"/>
      <c r="AAZ66" s="90"/>
      <c r="ABA66" s="90"/>
      <c r="ABB66" s="90"/>
      <c r="ABC66" s="90"/>
      <c r="ABD66" s="90"/>
      <c r="ABE66" s="90"/>
      <c r="ABF66" s="90"/>
      <c r="ABG66" s="90"/>
      <c r="ABH66" s="90"/>
      <c r="ABI66" s="90"/>
      <c r="ABJ66" s="90"/>
      <c r="ABK66" s="90"/>
      <c r="ABL66" s="90"/>
      <c r="ABM66" s="90"/>
      <c r="ABN66" s="90"/>
      <c r="ABO66" s="90"/>
      <c r="ABP66" s="90"/>
      <c r="ABQ66" s="90"/>
      <c r="ABR66" s="90"/>
      <c r="ABS66" s="90"/>
      <c r="ABT66" s="90"/>
      <c r="ABU66" s="90"/>
      <c r="ABV66" s="90"/>
      <c r="ABW66" s="90"/>
      <c r="ABX66" s="90"/>
      <c r="ABY66" s="90"/>
      <c r="ABZ66" s="90"/>
      <c r="ACA66" s="90"/>
      <c r="ACB66" s="90"/>
      <c r="ACC66" s="90"/>
      <c r="ACD66" s="90"/>
      <c r="ACE66" s="90"/>
      <c r="ACF66" s="90"/>
      <c r="ACG66" s="90"/>
      <c r="ACH66" s="90"/>
      <c r="ACI66" s="90"/>
      <c r="ACJ66" s="90"/>
      <c r="ACK66" s="90"/>
      <c r="ACL66" s="90"/>
      <c r="ACM66" s="90"/>
      <c r="ACN66" s="90"/>
      <c r="ACO66" s="90"/>
      <c r="ACP66" s="90"/>
      <c r="ACQ66" s="90"/>
      <c r="ACR66" s="90"/>
      <c r="ACS66" s="90"/>
      <c r="ACT66" s="90"/>
      <c r="ACU66" s="90"/>
      <c r="ACV66" s="90"/>
      <c r="ACW66" s="90"/>
      <c r="ACX66" s="90"/>
      <c r="ACY66" s="90"/>
      <c r="ACZ66" s="90"/>
      <c r="ADA66" s="90"/>
      <c r="ADB66" s="90"/>
      <c r="ADC66" s="90"/>
      <c r="ADD66" s="90"/>
      <c r="ADE66" s="90"/>
      <c r="ADF66" s="90"/>
      <c r="ADG66" s="90"/>
      <c r="ADH66" s="90"/>
      <c r="ADI66" s="90"/>
      <c r="ADJ66" s="90"/>
      <c r="ADK66" s="90"/>
      <c r="ADL66" s="90"/>
      <c r="ADM66" s="90"/>
      <c r="ADN66" s="90"/>
      <c r="ADO66" s="90"/>
      <c r="ADP66" s="90"/>
      <c r="ADQ66" s="90"/>
      <c r="ADR66" s="90"/>
      <c r="ADS66" s="90"/>
      <c r="ADT66" s="90"/>
      <c r="ADU66" s="90"/>
      <c r="ADV66" s="90"/>
      <c r="ADW66" s="90"/>
      <c r="ADX66" s="90"/>
      <c r="ADY66" s="90"/>
      <c r="ADZ66" s="90"/>
      <c r="AEA66" s="90"/>
      <c r="AEB66" s="90"/>
      <c r="AEC66" s="90"/>
      <c r="AED66" s="90"/>
      <c r="AEE66" s="90"/>
      <c r="AEF66" s="90"/>
      <c r="AEG66" s="90"/>
      <c r="AEH66" s="90"/>
      <c r="AEI66" s="90"/>
      <c r="AEJ66" s="90"/>
      <c r="AEK66" s="90"/>
      <c r="AEL66" s="90"/>
      <c r="AEM66" s="90"/>
      <c r="AEN66" s="90"/>
      <c r="AEO66" s="90"/>
      <c r="AEP66" s="90"/>
      <c r="AEQ66" s="90"/>
      <c r="AER66" s="90"/>
      <c r="AES66" s="90"/>
      <c r="AET66" s="90"/>
      <c r="AEU66" s="90"/>
      <c r="AEV66" s="90"/>
      <c r="AEW66" s="90"/>
      <c r="AEX66" s="90"/>
      <c r="AEY66" s="90"/>
      <c r="AEZ66" s="90"/>
      <c r="AFA66" s="90"/>
      <c r="AFB66" s="90"/>
      <c r="AFC66" s="90"/>
      <c r="AFD66" s="90"/>
      <c r="AFE66" s="90"/>
      <c r="AFF66" s="90"/>
      <c r="AFG66" s="90"/>
      <c r="AFH66" s="90"/>
      <c r="AFI66" s="90"/>
      <c r="AFJ66" s="90"/>
      <c r="AFK66" s="90"/>
      <c r="AFL66" s="90"/>
      <c r="AFM66" s="90"/>
      <c r="AFN66" s="90"/>
      <c r="AFO66" s="90"/>
      <c r="AFP66" s="90"/>
      <c r="AFQ66" s="90"/>
      <c r="AFR66" s="90"/>
      <c r="AFS66" s="90"/>
      <c r="AFT66" s="90"/>
      <c r="AFU66" s="90"/>
      <c r="AFV66" s="90"/>
      <c r="AFW66" s="90"/>
      <c r="AFX66" s="90"/>
      <c r="AFY66" s="90"/>
      <c r="AFZ66" s="90"/>
      <c r="AGA66" s="90"/>
      <c r="AGB66" s="90"/>
      <c r="AGC66" s="90"/>
      <c r="AGD66" s="90"/>
      <c r="AGE66" s="90"/>
      <c r="AGF66" s="90"/>
      <c r="AGG66" s="90"/>
      <c r="AGH66" s="90"/>
      <c r="AGI66" s="90"/>
      <c r="AGJ66" s="90"/>
      <c r="AGK66" s="90"/>
      <c r="AGL66" s="90"/>
      <c r="AGM66" s="90"/>
      <c r="AGN66" s="90"/>
      <c r="AGO66" s="90"/>
      <c r="AGP66" s="90"/>
      <c r="AGQ66" s="90"/>
      <c r="AGR66" s="90"/>
      <c r="AGS66" s="90"/>
      <c r="AGT66" s="90"/>
      <c r="AGU66" s="90"/>
      <c r="AGV66" s="90"/>
      <c r="AGW66" s="90"/>
      <c r="AGX66" s="90"/>
      <c r="AGY66" s="90"/>
      <c r="AGZ66" s="90"/>
      <c r="AHA66" s="90"/>
      <c r="AHB66" s="90"/>
      <c r="AHC66" s="90"/>
      <c r="AHD66" s="90"/>
      <c r="AHE66" s="90"/>
      <c r="AHF66" s="90"/>
      <c r="AHG66" s="90"/>
      <c r="AHH66" s="90"/>
      <c r="AHI66" s="90"/>
      <c r="AHJ66" s="90"/>
      <c r="AHK66" s="90"/>
      <c r="AHL66" s="90"/>
      <c r="AHM66" s="90"/>
      <c r="AHN66" s="90"/>
      <c r="AHO66" s="90"/>
      <c r="AHP66" s="90"/>
      <c r="AHQ66" s="90"/>
      <c r="AHR66" s="90"/>
      <c r="AHS66" s="90"/>
      <c r="AHT66" s="90"/>
      <c r="AHU66" s="90"/>
      <c r="AHV66" s="90"/>
      <c r="AHW66" s="90"/>
      <c r="AHX66" s="90"/>
      <c r="AHY66" s="90"/>
      <c r="AHZ66" s="90"/>
      <c r="AIA66" s="90"/>
      <c r="AIB66" s="90"/>
      <c r="AIC66" s="90"/>
      <c r="AID66" s="90"/>
      <c r="AIE66" s="90"/>
      <c r="AIF66" s="90"/>
      <c r="AIG66" s="90"/>
      <c r="AIH66" s="90"/>
      <c r="AII66" s="90"/>
      <c r="AIJ66" s="90"/>
      <c r="AIK66" s="90"/>
      <c r="AIL66" s="90"/>
      <c r="AIM66" s="90"/>
      <c r="AIN66" s="90"/>
      <c r="AIO66" s="90"/>
      <c r="AIP66" s="90"/>
      <c r="AIQ66" s="90"/>
      <c r="AIR66" s="90"/>
      <c r="AIS66" s="90"/>
      <c r="AIT66" s="90"/>
      <c r="AIU66" s="90"/>
      <c r="AIV66" s="90"/>
      <c r="AIW66" s="90"/>
      <c r="AIX66" s="90"/>
      <c r="AIY66" s="90"/>
      <c r="AIZ66" s="90"/>
      <c r="AJA66" s="90"/>
      <c r="AJB66" s="90"/>
      <c r="AJC66" s="90"/>
      <c r="AJD66" s="90"/>
      <c r="AJE66" s="90"/>
      <c r="AJF66" s="90"/>
      <c r="AJG66" s="90"/>
      <c r="AJH66" s="90"/>
      <c r="AJI66" s="90"/>
      <c r="AJJ66" s="90"/>
      <c r="AJK66" s="90"/>
      <c r="AJL66" s="90"/>
      <c r="AJM66" s="90"/>
      <c r="AJN66" s="90"/>
      <c r="AJO66" s="90"/>
      <c r="AJP66" s="90"/>
      <c r="AJQ66" s="90"/>
      <c r="AJR66" s="90"/>
      <c r="AJS66" s="90"/>
      <c r="AJT66" s="90"/>
      <c r="AJU66" s="90"/>
      <c r="AJV66" s="90"/>
      <c r="AJW66" s="90"/>
      <c r="AJX66" s="90"/>
      <c r="AJY66" s="90"/>
      <c r="AJZ66" s="90"/>
      <c r="AKA66" s="90"/>
      <c r="AKB66" s="90"/>
      <c r="AKC66" s="90"/>
      <c r="AKD66" s="90"/>
      <c r="AKE66" s="90"/>
      <c r="AKF66" s="90"/>
      <c r="AKG66" s="90"/>
      <c r="AKH66" s="90"/>
      <c r="AKI66" s="90"/>
      <c r="AKJ66" s="90"/>
      <c r="AKK66" s="90"/>
      <c r="AKL66" s="90"/>
      <c r="AKM66" s="90"/>
      <c r="AKN66" s="90"/>
      <c r="AKO66" s="90"/>
      <c r="AKP66" s="90"/>
      <c r="AKQ66" s="90"/>
      <c r="AKR66" s="90"/>
      <c r="AKS66" s="90"/>
      <c r="AKT66" s="90"/>
      <c r="AKU66" s="90"/>
      <c r="AKV66" s="90"/>
      <c r="AKW66" s="90"/>
      <c r="AKX66" s="90"/>
      <c r="AKY66" s="90"/>
      <c r="AKZ66" s="90"/>
      <c r="ALA66" s="90"/>
      <c r="ALB66" s="90"/>
      <c r="ALC66" s="90"/>
      <c r="ALD66" s="90"/>
      <c r="ALE66" s="90"/>
      <c r="ALF66" s="90"/>
      <c r="ALG66" s="90"/>
      <c r="ALH66" s="90"/>
      <c r="ALI66" s="90"/>
      <c r="ALJ66" s="90"/>
      <c r="ALK66" s="90"/>
      <c r="ALL66" s="90"/>
      <c r="ALM66" s="90"/>
      <c r="ALN66" s="90"/>
      <c r="ALO66" s="90"/>
      <c r="ALP66" s="90"/>
      <c r="ALQ66" s="90"/>
      <c r="ALR66" s="90"/>
      <c r="ALS66" s="90"/>
      <c r="ALT66" s="90"/>
      <c r="ALU66" s="90"/>
      <c r="ALV66" s="90"/>
      <c r="ALW66" s="90"/>
      <c r="ALX66" s="90"/>
      <c r="ALY66" s="90"/>
      <c r="ALZ66" s="90"/>
      <c r="AMA66" s="90"/>
      <c r="AMB66" s="90"/>
      <c r="AMC66" s="90"/>
    </row>
    <row r="67" spans="1:1017">
      <c r="A67" s="98" t="s">
        <v>26</v>
      </c>
      <c r="B67" s="648" t="str">
        <f t="shared" si="829"/>
        <v xml:space="preserve">Lobster Air Tawar, Cherax </v>
      </c>
      <c r="Q67" s="91">
        <f t="shared" si="830"/>
        <v>0</v>
      </c>
      <c r="R67" s="91">
        <f t="shared" si="831"/>
        <v>0</v>
      </c>
      <c r="AG67" s="91">
        <f t="shared" si="832"/>
        <v>0</v>
      </c>
      <c r="AH67" s="91">
        <f t="shared" si="833"/>
        <v>0</v>
      </c>
      <c r="AW67" s="91">
        <f t="shared" si="834"/>
        <v>0</v>
      </c>
      <c r="AX67" s="91">
        <f t="shared" si="835"/>
        <v>0</v>
      </c>
      <c r="BM67" s="91">
        <f t="shared" si="836"/>
        <v>0</v>
      </c>
      <c r="BN67" s="91">
        <f t="shared" si="837"/>
        <v>0</v>
      </c>
      <c r="CC67" s="91">
        <f t="shared" si="838"/>
        <v>0</v>
      </c>
      <c r="CD67" s="91">
        <f t="shared" si="839"/>
        <v>0</v>
      </c>
      <c r="CS67" s="91">
        <f t="shared" si="840"/>
        <v>0</v>
      </c>
      <c r="CT67" s="91">
        <f t="shared" si="841"/>
        <v>0</v>
      </c>
      <c r="DI67" s="91">
        <f t="shared" si="842"/>
        <v>0</v>
      </c>
      <c r="DJ67" s="91">
        <f t="shared" si="843"/>
        <v>0</v>
      </c>
      <c r="DY67" s="91">
        <f t="shared" si="844"/>
        <v>0</v>
      </c>
      <c r="DZ67" s="91">
        <f t="shared" si="845"/>
        <v>0</v>
      </c>
      <c r="EO67" s="91">
        <f t="shared" si="846"/>
        <v>0</v>
      </c>
      <c r="EP67" s="91">
        <f t="shared" si="847"/>
        <v>0</v>
      </c>
      <c r="FE67" s="91">
        <f t="shared" si="848"/>
        <v>0</v>
      </c>
      <c r="FF67" s="91">
        <f t="shared" si="849"/>
        <v>0</v>
      </c>
      <c r="FU67" s="91">
        <f t="shared" si="850"/>
        <v>0</v>
      </c>
      <c r="FV67" s="91">
        <f t="shared" si="851"/>
        <v>0</v>
      </c>
      <c r="GK67" s="91">
        <f t="shared" si="852"/>
        <v>0</v>
      </c>
      <c r="GL67" s="91">
        <f t="shared" si="853"/>
        <v>0</v>
      </c>
      <c r="HA67" s="91">
        <f t="shared" si="854"/>
        <v>0</v>
      </c>
      <c r="HB67" s="91">
        <f t="shared" si="855"/>
        <v>0</v>
      </c>
      <c r="HQ67" s="91">
        <f t="shared" si="856"/>
        <v>0</v>
      </c>
      <c r="HR67" s="91">
        <f t="shared" si="857"/>
        <v>0</v>
      </c>
      <c r="IG67" s="91">
        <f t="shared" si="858"/>
        <v>0</v>
      </c>
      <c r="IH67" s="91">
        <f t="shared" si="859"/>
        <v>0</v>
      </c>
      <c r="IO67" s="98">
        <v>250</v>
      </c>
      <c r="IP67" s="98">
        <v>26250</v>
      </c>
      <c r="IW67" s="91">
        <f t="shared" si="860"/>
        <v>250</v>
      </c>
      <c r="IX67" s="91">
        <f t="shared" si="861"/>
        <v>26250</v>
      </c>
      <c r="JM67" s="91">
        <f t="shared" si="862"/>
        <v>0</v>
      </c>
      <c r="JN67" s="91">
        <f t="shared" si="863"/>
        <v>0</v>
      </c>
      <c r="KC67" s="91">
        <f t="shared" si="864"/>
        <v>0</v>
      </c>
      <c r="KD67" s="91">
        <f t="shared" si="865"/>
        <v>0</v>
      </c>
      <c r="KS67" s="91">
        <f t="shared" si="866"/>
        <v>0</v>
      </c>
      <c r="KT67" s="91">
        <f t="shared" si="867"/>
        <v>0</v>
      </c>
      <c r="LI67" s="91">
        <f t="shared" si="868"/>
        <v>0</v>
      </c>
      <c r="LJ67" s="91">
        <f t="shared" si="869"/>
        <v>0</v>
      </c>
      <c r="LY67" s="91">
        <f t="shared" si="870"/>
        <v>0</v>
      </c>
      <c r="LZ67" s="91">
        <f t="shared" si="871"/>
        <v>0</v>
      </c>
      <c r="MO67" s="91">
        <f t="shared" si="872"/>
        <v>0</v>
      </c>
      <c r="MP67" s="91">
        <f t="shared" si="873"/>
        <v>0</v>
      </c>
      <c r="NE67" s="91">
        <f t="shared" si="874"/>
        <v>0</v>
      </c>
      <c r="NF67" s="91">
        <f t="shared" si="875"/>
        <v>0</v>
      </c>
      <c r="NU67" s="91">
        <f t="shared" si="876"/>
        <v>0</v>
      </c>
      <c r="NV67" s="91">
        <f t="shared" si="877"/>
        <v>0</v>
      </c>
      <c r="OK67" s="91">
        <f t="shared" si="878"/>
        <v>0</v>
      </c>
      <c r="OL67" s="91">
        <f t="shared" si="879"/>
        <v>0</v>
      </c>
      <c r="PA67" s="91">
        <f t="shared" si="880"/>
        <v>0</v>
      </c>
      <c r="PB67" s="91">
        <f t="shared" si="881"/>
        <v>0</v>
      </c>
      <c r="PQ67" s="91">
        <f t="shared" si="882"/>
        <v>0</v>
      </c>
      <c r="PR67" s="91">
        <f t="shared" si="883"/>
        <v>0</v>
      </c>
      <c r="QG67" s="91">
        <f t="shared" si="884"/>
        <v>0</v>
      </c>
      <c r="QH67" s="91">
        <f t="shared" si="885"/>
        <v>0</v>
      </c>
      <c r="QW67" s="91">
        <f t="shared" si="886"/>
        <v>0</v>
      </c>
      <c r="QX67" s="91">
        <f t="shared" si="887"/>
        <v>0</v>
      </c>
      <c r="RM67" s="91">
        <f t="shared" si="888"/>
        <v>0</v>
      </c>
      <c r="RN67" s="91">
        <f t="shared" si="889"/>
        <v>0</v>
      </c>
      <c r="SC67" s="91">
        <f t="shared" si="890"/>
        <v>0</v>
      </c>
      <c r="SD67" s="91">
        <f t="shared" si="891"/>
        <v>0</v>
      </c>
      <c r="SS67" s="91">
        <f t="shared" si="892"/>
        <v>0</v>
      </c>
      <c r="ST67" s="91">
        <f t="shared" si="893"/>
        <v>0</v>
      </c>
      <c r="TI67" s="91">
        <f t="shared" si="894"/>
        <v>0</v>
      </c>
      <c r="TJ67" s="91">
        <f t="shared" si="895"/>
        <v>0</v>
      </c>
      <c r="TY67" s="91">
        <f t="shared" si="896"/>
        <v>0</v>
      </c>
      <c r="TZ67" s="91">
        <f t="shared" si="897"/>
        <v>0</v>
      </c>
      <c r="UO67" s="91">
        <f t="shared" si="898"/>
        <v>0</v>
      </c>
      <c r="UP67" s="91">
        <f t="shared" si="899"/>
        <v>0</v>
      </c>
      <c r="VE67" s="91">
        <f t="shared" si="900"/>
        <v>0</v>
      </c>
      <c r="VF67" s="91">
        <f t="shared" si="901"/>
        <v>0</v>
      </c>
      <c r="VU67" s="91">
        <f t="shared" si="902"/>
        <v>0</v>
      </c>
      <c r="VV67" s="91">
        <f t="shared" si="903"/>
        <v>0</v>
      </c>
      <c r="WK67" s="91">
        <f t="shared" si="904"/>
        <v>0</v>
      </c>
      <c r="WL67" s="91">
        <f t="shared" si="905"/>
        <v>0</v>
      </c>
      <c r="WM67" s="89"/>
      <c r="WN67" s="87">
        <f t="shared" si="906"/>
        <v>0</v>
      </c>
      <c r="WO67" s="87">
        <f t="shared" si="907"/>
        <v>0</v>
      </c>
      <c r="WP67" s="87">
        <f t="shared" si="908"/>
        <v>0</v>
      </c>
      <c r="WQ67" s="87">
        <f t="shared" si="909"/>
        <v>0</v>
      </c>
      <c r="WR67" s="87">
        <f t="shared" si="910"/>
        <v>0</v>
      </c>
      <c r="WS67" s="87">
        <f t="shared" si="911"/>
        <v>0</v>
      </c>
      <c r="WT67" s="87">
        <f t="shared" si="912"/>
        <v>250</v>
      </c>
      <c r="WU67" s="87">
        <f t="shared" si="913"/>
        <v>26250</v>
      </c>
      <c r="WV67" s="87">
        <f t="shared" si="914"/>
        <v>0</v>
      </c>
      <c r="WW67" s="87">
        <f t="shared" si="915"/>
        <v>0</v>
      </c>
      <c r="WX67" s="87">
        <f t="shared" si="916"/>
        <v>0</v>
      </c>
      <c r="WY67" s="87">
        <f t="shared" si="917"/>
        <v>0</v>
      </c>
      <c r="WZ67" s="87">
        <f t="shared" si="918"/>
        <v>0</v>
      </c>
      <c r="XA67" s="87">
        <f t="shared" si="919"/>
        <v>0</v>
      </c>
      <c r="XB67" s="92">
        <f t="shared" si="920"/>
        <v>250</v>
      </c>
      <c r="XC67" s="92">
        <f t="shared" si="921"/>
        <v>26250</v>
      </c>
      <c r="XD67" s="89"/>
      <c r="XE67" s="92">
        <f t="shared" ref="XE67:XF67" si="952">SUM(XB143,XB181,XB219)</f>
        <v>700</v>
      </c>
      <c r="XF67" s="92">
        <f t="shared" si="952"/>
        <v>73500</v>
      </c>
      <c r="XG67" s="89"/>
      <c r="XH67" s="92">
        <f t="shared" ref="XH67:XI67" si="953">SUM(XE105,XE143)</f>
        <v>1250</v>
      </c>
      <c r="XI67" s="92">
        <f t="shared" si="953"/>
        <v>137500</v>
      </c>
      <c r="XJ67" s="89"/>
      <c r="XK67" s="87"/>
      <c r="XL67" s="87"/>
      <c r="XM67" s="87"/>
      <c r="XN67" s="87"/>
      <c r="XO67" s="87"/>
      <c r="XP67" s="87"/>
      <c r="XQ67" s="87"/>
      <c r="XR67" s="92">
        <f t="shared" ca="1" si="922"/>
        <v>0</v>
      </c>
      <c r="XS67" s="89"/>
      <c r="XT67" s="87"/>
      <c r="XU67" s="87"/>
      <c r="XV67" s="87"/>
      <c r="XW67" s="87"/>
      <c r="XX67" s="87"/>
      <c r="XY67" s="87"/>
      <c r="XZ67" s="87"/>
      <c r="YA67" s="92">
        <f t="shared" ca="1" si="923"/>
        <v>0</v>
      </c>
      <c r="YB67" s="90"/>
      <c r="YC67" s="90"/>
      <c r="YD67" s="90"/>
      <c r="YE67" s="90"/>
      <c r="YF67" s="90"/>
      <c r="YG67" s="90"/>
      <c r="YH67" s="90"/>
      <c r="YI67" s="90"/>
      <c r="YJ67" s="90"/>
      <c r="YK67" s="90"/>
      <c r="YL67" s="90"/>
      <c r="YM67" s="90"/>
      <c r="YN67" s="90"/>
      <c r="YO67" s="90"/>
      <c r="YP67" s="90"/>
      <c r="YQ67" s="90"/>
      <c r="YR67" s="90"/>
      <c r="YS67" s="90"/>
      <c r="YT67" s="90"/>
      <c r="YU67" s="90"/>
      <c r="YV67" s="90"/>
      <c r="YW67" s="90"/>
      <c r="YX67" s="90"/>
      <c r="YY67" s="90"/>
      <c r="YZ67" s="90"/>
      <c r="ZA67" s="90"/>
      <c r="ZB67" s="90"/>
      <c r="ZC67" s="90"/>
      <c r="ZD67" s="90"/>
      <c r="ZE67" s="90"/>
      <c r="ZF67" s="90"/>
      <c r="ZG67" s="90"/>
      <c r="ZH67" s="90"/>
      <c r="ZI67" s="90"/>
      <c r="ZJ67" s="90"/>
      <c r="ZK67" s="90"/>
      <c r="ZL67" s="90"/>
      <c r="ZM67" s="90"/>
      <c r="ZN67" s="90"/>
      <c r="ZO67" s="90"/>
      <c r="ZP67" s="90"/>
      <c r="ZQ67" s="90"/>
      <c r="ZR67" s="90"/>
      <c r="ZS67" s="90"/>
      <c r="ZT67" s="90"/>
      <c r="ZU67" s="90"/>
      <c r="ZV67" s="90"/>
      <c r="ZW67" s="90"/>
      <c r="ZX67" s="90"/>
      <c r="ZY67" s="90"/>
      <c r="ZZ67" s="90"/>
      <c r="AAA67" s="90"/>
      <c r="AAB67" s="90"/>
      <c r="AAC67" s="90"/>
      <c r="AAD67" s="90"/>
      <c r="AAE67" s="90"/>
      <c r="AAF67" s="90"/>
      <c r="AAG67" s="90"/>
      <c r="AAH67" s="90"/>
      <c r="AAI67" s="90"/>
      <c r="AAJ67" s="90"/>
      <c r="AAK67" s="90"/>
      <c r="AAL67" s="90"/>
      <c r="AAM67" s="90"/>
      <c r="AAN67" s="90"/>
      <c r="AAO67" s="90"/>
      <c r="AAP67" s="90"/>
      <c r="AAQ67" s="90"/>
      <c r="AAR67" s="90"/>
      <c r="AAS67" s="90"/>
      <c r="AAT67" s="90"/>
      <c r="AAU67" s="90"/>
      <c r="AAV67" s="90"/>
      <c r="AAW67" s="90"/>
      <c r="AAX67" s="90"/>
      <c r="AAY67" s="90"/>
      <c r="AAZ67" s="90"/>
      <c r="ABA67" s="90"/>
      <c r="ABB67" s="90"/>
      <c r="ABC67" s="90"/>
      <c r="ABD67" s="90"/>
      <c r="ABE67" s="90"/>
      <c r="ABF67" s="90"/>
      <c r="ABG67" s="90"/>
      <c r="ABH67" s="90"/>
      <c r="ABI67" s="90"/>
      <c r="ABJ67" s="90"/>
      <c r="ABK67" s="90"/>
      <c r="ABL67" s="90"/>
      <c r="ABM67" s="90"/>
      <c r="ABN67" s="90"/>
      <c r="ABO67" s="90"/>
      <c r="ABP67" s="90"/>
      <c r="ABQ67" s="90"/>
      <c r="ABR67" s="90"/>
      <c r="ABS67" s="90"/>
      <c r="ABT67" s="90"/>
      <c r="ABU67" s="90"/>
      <c r="ABV67" s="90"/>
      <c r="ABW67" s="90"/>
      <c r="ABX67" s="90"/>
      <c r="ABY67" s="90"/>
      <c r="ABZ67" s="90"/>
      <c r="ACA67" s="90"/>
      <c r="ACB67" s="90"/>
      <c r="ACC67" s="90"/>
      <c r="ACD67" s="90"/>
      <c r="ACE67" s="90"/>
      <c r="ACF67" s="90"/>
      <c r="ACG67" s="90"/>
      <c r="ACH67" s="90"/>
      <c r="ACI67" s="90"/>
      <c r="ACJ67" s="90"/>
      <c r="ACK67" s="90"/>
      <c r="ACL67" s="90"/>
      <c r="ACM67" s="90"/>
      <c r="ACN67" s="90"/>
      <c r="ACO67" s="90"/>
      <c r="ACP67" s="90"/>
      <c r="ACQ67" s="90"/>
      <c r="ACR67" s="90"/>
      <c r="ACS67" s="90"/>
      <c r="ACT67" s="90"/>
      <c r="ACU67" s="90"/>
      <c r="ACV67" s="90"/>
      <c r="ACW67" s="90"/>
      <c r="ACX67" s="90"/>
      <c r="ACY67" s="90"/>
      <c r="ACZ67" s="90"/>
      <c r="ADA67" s="90"/>
      <c r="ADB67" s="90"/>
      <c r="ADC67" s="90"/>
      <c r="ADD67" s="90"/>
      <c r="ADE67" s="90"/>
      <c r="ADF67" s="90"/>
      <c r="ADG67" s="90"/>
      <c r="ADH67" s="90"/>
      <c r="ADI67" s="90"/>
      <c r="ADJ67" s="90"/>
      <c r="ADK67" s="90"/>
      <c r="ADL67" s="90"/>
      <c r="ADM67" s="90"/>
      <c r="ADN67" s="90"/>
      <c r="ADO67" s="90"/>
      <c r="ADP67" s="90"/>
      <c r="ADQ67" s="90"/>
      <c r="ADR67" s="90"/>
      <c r="ADS67" s="90"/>
      <c r="ADT67" s="90"/>
      <c r="ADU67" s="90"/>
      <c r="ADV67" s="90"/>
      <c r="ADW67" s="90"/>
      <c r="ADX67" s="90"/>
      <c r="ADY67" s="90"/>
      <c r="ADZ67" s="90"/>
      <c r="AEA67" s="90"/>
      <c r="AEB67" s="90"/>
      <c r="AEC67" s="90"/>
      <c r="AED67" s="90"/>
      <c r="AEE67" s="90"/>
      <c r="AEF67" s="90"/>
      <c r="AEG67" s="90"/>
      <c r="AEH67" s="90"/>
      <c r="AEI67" s="90"/>
      <c r="AEJ67" s="90"/>
      <c r="AEK67" s="90"/>
      <c r="AEL67" s="90"/>
      <c r="AEM67" s="90"/>
      <c r="AEN67" s="90"/>
      <c r="AEO67" s="90"/>
      <c r="AEP67" s="90"/>
      <c r="AEQ67" s="90"/>
      <c r="AER67" s="90"/>
      <c r="AES67" s="90"/>
      <c r="AET67" s="90"/>
      <c r="AEU67" s="90"/>
      <c r="AEV67" s="90"/>
      <c r="AEW67" s="90"/>
      <c r="AEX67" s="90"/>
      <c r="AEY67" s="90"/>
      <c r="AEZ67" s="90"/>
      <c r="AFA67" s="90"/>
      <c r="AFB67" s="90"/>
      <c r="AFC67" s="90"/>
      <c r="AFD67" s="90"/>
      <c r="AFE67" s="90"/>
      <c r="AFF67" s="90"/>
      <c r="AFG67" s="90"/>
      <c r="AFH67" s="90"/>
      <c r="AFI67" s="90"/>
      <c r="AFJ67" s="90"/>
      <c r="AFK67" s="90"/>
      <c r="AFL67" s="90"/>
      <c r="AFM67" s="90"/>
      <c r="AFN67" s="90"/>
      <c r="AFO67" s="90"/>
      <c r="AFP67" s="90"/>
      <c r="AFQ67" s="90"/>
      <c r="AFR67" s="90"/>
      <c r="AFS67" s="90"/>
      <c r="AFT67" s="90"/>
      <c r="AFU67" s="90"/>
      <c r="AFV67" s="90"/>
      <c r="AFW67" s="90"/>
      <c r="AFX67" s="90"/>
      <c r="AFY67" s="90"/>
      <c r="AFZ67" s="90"/>
      <c r="AGA67" s="90"/>
      <c r="AGB67" s="90"/>
      <c r="AGC67" s="90"/>
      <c r="AGD67" s="90"/>
      <c r="AGE67" s="90"/>
      <c r="AGF67" s="90"/>
      <c r="AGG67" s="90"/>
      <c r="AGH67" s="90"/>
      <c r="AGI67" s="90"/>
      <c r="AGJ67" s="90"/>
      <c r="AGK67" s="90"/>
      <c r="AGL67" s="90"/>
      <c r="AGM67" s="90"/>
      <c r="AGN67" s="90"/>
      <c r="AGO67" s="90"/>
      <c r="AGP67" s="90"/>
      <c r="AGQ67" s="90"/>
      <c r="AGR67" s="90"/>
      <c r="AGS67" s="90"/>
      <c r="AGT67" s="90"/>
      <c r="AGU67" s="90"/>
      <c r="AGV67" s="90"/>
      <c r="AGW67" s="90"/>
      <c r="AGX67" s="90"/>
      <c r="AGY67" s="90"/>
      <c r="AGZ67" s="90"/>
      <c r="AHA67" s="90"/>
      <c r="AHB67" s="90"/>
      <c r="AHC67" s="90"/>
      <c r="AHD67" s="90"/>
      <c r="AHE67" s="90"/>
      <c r="AHF67" s="90"/>
      <c r="AHG67" s="90"/>
      <c r="AHH67" s="90"/>
      <c r="AHI67" s="90"/>
      <c r="AHJ67" s="90"/>
      <c r="AHK67" s="90"/>
      <c r="AHL67" s="90"/>
      <c r="AHM67" s="90"/>
      <c r="AHN67" s="90"/>
      <c r="AHO67" s="90"/>
      <c r="AHP67" s="90"/>
      <c r="AHQ67" s="90"/>
      <c r="AHR67" s="90"/>
      <c r="AHS67" s="90"/>
      <c r="AHT67" s="90"/>
      <c r="AHU67" s="90"/>
      <c r="AHV67" s="90"/>
      <c r="AHW67" s="90"/>
      <c r="AHX67" s="90"/>
      <c r="AHY67" s="90"/>
      <c r="AHZ67" s="90"/>
      <c r="AIA67" s="90"/>
      <c r="AIB67" s="90"/>
      <c r="AIC67" s="90"/>
      <c r="AID67" s="90"/>
      <c r="AIE67" s="90"/>
      <c r="AIF67" s="90"/>
      <c r="AIG67" s="90"/>
      <c r="AIH67" s="90"/>
      <c r="AII67" s="90"/>
      <c r="AIJ67" s="90"/>
      <c r="AIK67" s="90"/>
      <c r="AIL67" s="90"/>
      <c r="AIM67" s="90"/>
      <c r="AIN67" s="90"/>
      <c r="AIO67" s="90"/>
      <c r="AIP67" s="90"/>
      <c r="AIQ67" s="90"/>
      <c r="AIR67" s="90"/>
      <c r="AIS67" s="90"/>
      <c r="AIT67" s="90"/>
      <c r="AIU67" s="90"/>
      <c r="AIV67" s="90"/>
      <c r="AIW67" s="90"/>
      <c r="AIX67" s="90"/>
      <c r="AIY67" s="90"/>
      <c r="AIZ67" s="90"/>
      <c r="AJA67" s="90"/>
      <c r="AJB67" s="90"/>
      <c r="AJC67" s="90"/>
      <c r="AJD67" s="90"/>
      <c r="AJE67" s="90"/>
      <c r="AJF67" s="90"/>
      <c r="AJG67" s="90"/>
      <c r="AJH67" s="90"/>
      <c r="AJI67" s="90"/>
      <c r="AJJ67" s="90"/>
      <c r="AJK67" s="90"/>
      <c r="AJL67" s="90"/>
      <c r="AJM67" s="90"/>
      <c r="AJN67" s="90"/>
      <c r="AJO67" s="90"/>
      <c r="AJP67" s="90"/>
      <c r="AJQ67" s="90"/>
      <c r="AJR67" s="90"/>
      <c r="AJS67" s="90"/>
      <c r="AJT67" s="90"/>
      <c r="AJU67" s="90"/>
      <c r="AJV67" s="90"/>
      <c r="AJW67" s="90"/>
      <c r="AJX67" s="90"/>
      <c r="AJY67" s="90"/>
      <c r="AJZ67" s="90"/>
      <c r="AKA67" s="90"/>
      <c r="AKB67" s="90"/>
      <c r="AKC67" s="90"/>
      <c r="AKD67" s="90"/>
      <c r="AKE67" s="90"/>
      <c r="AKF67" s="90"/>
      <c r="AKG67" s="90"/>
      <c r="AKH67" s="90"/>
      <c r="AKI67" s="90"/>
      <c r="AKJ67" s="90"/>
      <c r="AKK67" s="90"/>
      <c r="AKL67" s="90"/>
      <c r="AKM67" s="90"/>
      <c r="AKN67" s="90"/>
      <c r="AKO67" s="90"/>
      <c r="AKP67" s="90"/>
      <c r="AKQ67" s="90"/>
      <c r="AKR67" s="90"/>
      <c r="AKS67" s="90"/>
      <c r="AKT67" s="90"/>
      <c r="AKU67" s="90"/>
      <c r="AKV67" s="90"/>
      <c r="AKW67" s="90"/>
      <c r="AKX67" s="90"/>
      <c r="AKY67" s="90"/>
      <c r="AKZ67" s="90"/>
      <c r="ALA67" s="90"/>
      <c r="ALB67" s="90"/>
      <c r="ALC67" s="90"/>
      <c r="ALD67" s="90"/>
      <c r="ALE67" s="90"/>
      <c r="ALF67" s="90"/>
      <c r="ALG67" s="90"/>
      <c r="ALH67" s="90"/>
      <c r="ALI67" s="90"/>
      <c r="ALJ67" s="90"/>
      <c r="ALK67" s="90"/>
      <c r="ALL67" s="90"/>
      <c r="ALM67" s="90"/>
      <c r="ALN67" s="90"/>
      <c r="ALO67" s="90"/>
      <c r="ALP67" s="90"/>
      <c r="ALQ67" s="90"/>
      <c r="ALR67" s="90"/>
      <c r="ALS67" s="90"/>
      <c r="ALT67" s="90"/>
      <c r="ALU67" s="90"/>
      <c r="ALV67" s="90"/>
      <c r="ALW67" s="90"/>
      <c r="ALX67" s="90"/>
      <c r="ALY67" s="90"/>
      <c r="ALZ67" s="90"/>
      <c r="AMA67" s="90"/>
      <c r="AMB67" s="90"/>
      <c r="AMC67" s="90"/>
    </row>
    <row r="68" spans="1:1017">
      <c r="A68" s="98" t="s">
        <v>26</v>
      </c>
      <c r="B68" s="648" t="str">
        <f t="shared" si="829"/>
        <v xml:space="preserve">Mas, Ikan Mas, Karper </v>
      </c>
      <c r="Q68" s="91">
        <f t="shared" si="830"/>
        <v>0</v>
      </c>
      <c r="R68" s="91">
        <f t="shared" si="831"/>
        <v>0</v>
      </c>
      <c r="Y68" s="778">
        <v>6230</v>
      </c>
      <c r="Z68" s="778">
        <v>218050</v>
      </c>
      <c r="AA68" s="98">
        <v>3000</v>
      </c>
      <c r="AB68" s="98">
        <v>105000</v>
      </c>
      <c r="AC68" s="98">
        <v>1760</v>
      </c>
      <c r="AD68" s="98">
        <v>61600</v>
      </c>
      <c r="AE68" s="98">
        <v>615</v>
      </c>
      <c r="AF68" s="98">
        <v>21525</v>
      </c>
      <c r="AG68" s="91">
        <f t="shared" si="832"/>
        <v>11605</v>
      </c>
      <c r="AH68" s="91">
        <f t="shared" si="833"/>
        <v>406175</v>
      </c>
      <c r="AW68" s="91">
        <f t="shared" si="834"/>
        <v>0</v>
      </c>
      <c r="AX68" s="91">
        <f t="shared" si="835"/>
        <v>0</v>
      </c>
      <c r="BE68" s="98">
        <v>2677</v>
      </c>
      <c r="BF68" s="98">
        <v>40155</v>
      </c>
      <c r="BG68" s="98">
        <v>772</v>
      </c>
      <c r="BH68" s="98">
        <v>11580</v>
      </c>
      <c r="BM68" s="91">
        <f t="shared" si="836"/>
        <v>3449</v>
      </c>
      <c r="BN68" s="91">
        <f t="shared" si="837"/>
        <v>51735</v>
      </c>
      <c r="BU68" s="90">
        <v>405</v>
      </c>
      <c r="BV68" s="98">
        <v>10935</v>
      </c>
      <c r="CC68" s="91">
        <f t="shared" si="838"/>
        <v>405</v>
      </c>
      <c r="CD68" s="91">
        <f t="shared" si="839"/>
        <v>10935</v>
      </c>
      <c r="CK68" s="98">
        <v>279087</v>
      </c>
      <c r="CL68" s="98">
        <v>3907214</v>
      </c>
      <c r="CS68" s="91">
        <f t="shared" si="840"/>
        <v>279087</v>
      </c>
      <c r="CT68" s="91">
        <f t="shared" si="841"/>
        <v>3907214</v>
      </c>
      <c r="DA68" s="98">
        <v>6280</v>
      </c>
      <c r="DB68" s="98">
        <v>169560</v>
      </c>
      <c r="DC68" s="98">
        <v>220</v>
      </c>
      <c r="DD68" s="98">
        <v>5940</v>
      </c>
      <c r="DI68" s="91">
        <f t="shared" si="842"/>
        <v>6500</v>
      </c>
      <c r="DJ68" s="91">
        <f t="shared" si="843"/>
        <v>175500</v>
      </c>
      <c r="DQ68" s="98">
        <v>17800</v>
      </c>
      <c r="DR68" s="98">
        <v>356000</v>
      </c>
      <c r="DY68" s="91">
        <f t="shared" si="844"/>
        <v>17800</v>
      </c>
      <c r="DZ68" s="91">
        <f t="shared" si="845"/>
        <v>356000</v>
      </c>
      <c r="EG68" s="98">
        <v>600</v>
      </c>
      <c r="EH68" s="98">
        <v>9000</v>
      </c>
      <c r="EO68" s="91">
        <f t="shared" si="846"/>
        <v>600</v>
      </c>
      <c r="EP68" s="91">
        <f t="shared" si="847"/>
        <v>9000</v>
      </c>
      <c r="EW68" s="98">
        <v>146470</v>
      </c>
      <c r="EX68" s="98">
        <v>2929400</v>
      </c>
      <c r="FE68" s="91">
        <f t="shared" si="848"/>
        <v>146470</v>
      </c>
      <c r="FF68" s="91">
        <f t="shared" si="849"/>
        <v>2929400</v>
      </c>
      <c r="FM68" s="98">
        <v>277</v>
      </c>
      <c r="FN68" s="98">
        <v>8310</v>
      </c>
      <c r="FU68" s="184">
        <f t="shared" si="850"/>
        <v>277</v>
      </c>
      <c r="FV68" s="184">
        <f t="shared" si="851"/>
        <v>8310</v>
      </c>
      <c r="GC68" s="98">
        <v>300</v>
      </c>
      <c r="GD68" s="98">
        <v>7500</v>
      </c>
      <c r="GK68" s="91">
        <f t="shared" si="852"/>
        <v>300</v>
      </c>
      <c r="GL68" s="91">
        <f t="shared" si="853"/>
        <v>7500</v>
      </c>
      <c r="GS68" s="98">
        <v>2600</v>
      </c>
      <c r="GT68" s="98">
        <v>70200</v>
      </c>
      <c r="GY68" s="98">
        <v>50</v>
      </c>
      <c r="GZ68" s="98">
        <v>1350</v>
      </c>
      <c r="HA68" s="91">
        <f t="shared" si="854"/>
        <v>2650</v>
      </c>
      <c r="HB68" s="91">
        <f t="shared" si="855"/>
        <v>71550</v>
      </c>
      <c r="HI68" s="98">
        <v>1800</v>
      </c>
      <c r="HJ68" s="98">
        <v>45000</v>
      </c>
      <c r="HQ68" s="91">
        <f t="shared" si="856"/>
        <v>1800</v>
      </c>
      <c r="HR68" s="91">
        <f t="shared" si="857"/>
        <v>45000</v>
      </c>
      <c r="IG68" s="91">
        <f t="shared" si="858"/>
        <v>0</v>
      </c>
      <c r="IH68" s="91">
        <f t="shared" si="859"/>
        <v>0</v>
      </c>
      <c r="IO68" s="98">
        <v>900</v>
      </c>
      <c r="IP68" s="98">
        <v>25200</v>
      </c>
      <c r="IW68" s="91">
        <f t="shared" si="860"/>
        <v>900</v>
      </c>
      <c r="IX68" s="91">
        <f t="shared" si="861"/>
        <v>25200</v>
      </c>
      <c r="JE68" s="98">
        <v>80</v>
      </c>
      <c r="JF68" s="98">
        <v>2000</v>
      </c>
      <c r="JM68" s="91">
        <f t="shared" si="862"/>
        <v>80</v>
      </c>
      <c r="JN68" s="91">
        <f t="shared" si="863"/>
        <v>2000</v>
      </c>
      <c r="KC68" s="91">
        <f t="shared" si="864"/>
        <v>0</v>
      </c>
      <c r="KD68" s="91">
        <f t="shared" si="865"/>
        <v>0</v>
      </c>
      <c r="KS68" s="91">
        <f t="shared" si="866"/>
        <v>0</v>
      </c>
      <c r="KT68" s="91">
        <f t="shared" si="867"/>
        <v>0</v>
      </c>
      <c r="LI68" s="91">
        <f t="shared" si="868"/>
        <v>0</v>
      </c>
      <c r="LJ68" s="91">
        <f t="shared" si="869"/>
        <v>0</v>
      </c>
      <c r="LY68" s="91">
        <f t="shared" si="870"/>
        <v>0</v>
      </c>
      <c r="LZ68" s="91">
        <f t="shared" si="871"/>
        <v>0</v>
      </c>
      <c r="MO68" s="91">
        <f t="shared" si="872"/>
        <v>0</v>
      </c>
      <c r="MP68" s="91">
        <f t="shared" si="873"/>
        <v>0</v>
      </c>
      <c r="NE68" s="91">
        <f t="shared" si="874"/>
        <v>0</v>
      </c>
      <c r="NF68" s="91">
        <f t="shared" si="875"/>
        <v>0</v>
      </c>
      <c r="NU68" s="91">
        <f t="shared" si="876"/>
        <v>0</v>
      </c>
      <c r="NV68" s="91">
        <f t="shared" si="877"/>
        <v>0</v>
      </c>
      <c r="OK68" s="91">
        <f t="shared" si="878"/>
        <v>0</v>
      </c>
      <c r="OL68" s="91">
        <f t="shared" si="879"/>
        <v>0</v>
      </c>
      <c r="PA68" s="91">
        <f t="shared" si="880"/>
        <v>0</v>
      </c>
      <c r="PB68" s="91">
        <f t="shared" si="881"/>
        <v>0</v>
      </c>
      <c r="PQ68" s="91">
        <f t="shared" si="882"/>
        <v>0</v>
      </c>
      <c r="PR68" s="91">
        <f t="shared" si="883"/>
        <v>0</v>
      </c>
      <c r="PY68" s="98">
        <v>174200</v>
      </c>
      <c r="PZ68" s="98">
        <v>3135600</v>
      </c>
      <c r="QA68" s="98">
        <v>159500</v>
      </c>
      <c r="QB68" s="98">
        <v>2871000</v>
      </c>
      <c r="QC68" s="98">
        <v>111500</v>
      </c>
      <c r="QD68" s="98">
        <v>2007000</v>
      </c>
      <c r="QG68" s="91">
        <f t="shared" si="884"/>
        <v>445200</v>
      </c>
      <c r="QH68" s="91">
        <f t="shared" si="885"/>
        <v>8013600</v>
      </c>
      <c r="QW68" s="91">
        <f t="shared" si="886"/>
        <v>0</v>
      </c>
      <c r="QX68" s="91">
        <f t="shared" si="887"/>
        <v>0</v>
      </c>
      <c r="RE68" s="98">
        <v>238</v>
      </c>
      <c r="RF68" s="98">
        <f>RE68*37</f>
        <v>8806</v>
      </c>
      <c r="RM68" s="91">
        <f t="shared" si="888"/>
        <v>238</v>
      </c>
      <c r="RN68" s="91">
        <f t="shared" si="889"/>
        <v>8806</v>
      </c>
      <c r="SC68" s="91">
        <f t="shared" si="890"/>
        <v>0</v>
      </c>
      <c r="SD68" s="91">
        <f t="shared" si="891"/>
        <v>0</v>
      </c>
      <c r="SS68" s="91">
        <f t="shared" si="892"/>
        <v>0</v>
      </c>
      <c r="ST68" s="91">
        <f t="shared" si="893"/>
        <v>0</v>
      </c>
      <c r="TI68" s="91">
        <f t="shared" si="894"/>
        <v>0</v>
      </c>
      <c r="TJ68" s="91">
        <f t="shared" si="895"/>
        <v>0</v>
      </c>
      <c r="TU68" s="98">
        <v>350</v>
      </c>
      <c r="TV68" s="98">
        <v>12250</v>
      </c>
      <c r="TY68" s="91">
        <f t="shared" si="896"/>
        <v>350</v>
      </c>
      <c r="TZ68" s="91">
        <f t="shared" si="897"/>
        <v>12250</v>
      </c>
      <c r="UO68" s="91">
        <f t="shared" si="898"/>
        <v>0</v>
      </c>
      <c r="UP68" s="91">
        <f t="shared" si="899"/>
        <v>0</v>
      </c>
      <c r="VE68" s="91">
        <f t="shared" si="900"/>
        <v>0</v>
      </c>
      <c r="VF68" s="91">
        <f t="shared" si="901"/>
        <v>0</v>
      </c>
      <c r="VU68" s="91">
        <f t="shared" si="902"/>
        <v>0</v>
      </c>
      <c r="VV68" s="91">
        <f t="shared" si="903"/>
        <v>0</v>
      </c>
      <c r="WK68" s="91">
        <f t="shared" si="904"/>
        <v>0</v>
      </c>
      <c r="WL68" s="91">
        <f t="shared" si="905"/>
        <v>0</v>
      </c>
      <c r="WM68" s="89"/>
      <c r="WN68" s="87">
        <f t="shared" si="906"/>
        <v>0</v>
      </c>
      <c r="WO68" s="87">
        <f t="shared" si="907"/>
        <v>0</v>
      </c>
      <c r="WP68" s="87">
        <f t="shared" si="908"/>
        <v>0</v>
      </c>
      <c r="WQ68" s="87">
        <f t="shared" si="909"/>
        <v>0</v>
      </c>
      <c r="WR68" s="87">
        <f t="shared" si="910"/>
        <v>0</v>
      </c>
      <c r="WS68" s="87">
        <f t="shared" si="911"/>
        <v>0</v>
      </c>
      <c r="WT68" s="87">
        <f t="shared" si="912"/>
        <v>639944</v>
      </c>
      <c r="WU68" s="87">
        <f t="shared" si="913"/>
        <v>10942930</v>
      </c>
      <c r="WV68" s="87">
        <f t="shared" si="914"/>
        <v>163492</v>
      </c>
      <c r="WW68" s="87">
        <f t="shared" si="915"/>
        <v>2993520</v>
      </c>
      <c r="WX68" s="87">
        <f t="shared" si="916"/>
        <v>113610</v>
      </c>
      <c r="WY68" s="87">
        <f t="shared" si="917"/>
        <v>2080850</v>
      </c>
      <c r="WZ68" s="87">
        <f t="shared" si="918"/>
        <v>665</v>
      </c>
      <c r="XA68" s="87">
        <f t="shared" si="919"/>
        <v>22875</v>
      </c>
      <c r="XB68" s="92">
        <f t="shared" si="920"/>
        <v>917711</v>
      </c>
      <c r="XC68" s="92">
        <f t="shared" si="921"/>
        <v>16040175</v>
      </c>
      <c r="XD68" s="89"/>
      <c r="XE68" s="92">
        <f t="shared" ref="XE68:XF68" si="954">SUM(XB144,XB182,XB220)</f>
        <v>3243321.58056123</v>
      </c>
      <c r="XF68" s="92">
        <f t="shared" si="954"/>
        <v>47625497.230117574</v>
      </c>
      <c r="XG68" s="89"/>
      <c r="XH68" s="92">
        <f t="shared" ref="XH68:XI68" si="955">SUM(XE106,XE144)</f>
        <v>3560007.0420683995</v>
      </c>
      <c r="XI68" s="92">
        <f t="shared" si="955"/>
        <v>60504093.879412048</v>
      </c>
      <c r="XJ68" s="89"/>
      <c r="XK68" s="87"/>
      <c r="XL68" s="87"/>
      <c r="XM68" s="87"/>
      <c r="XN68" s="87"/>
      <c r="XO68" s="87"/>
      <c r="XP68" s="87"/>
      <c r="XQ68" s="87"/>
      <c r="XR68" s="92">
        <f t="shared" ca="1" si="922"/>
        <v>0</v>
      </c>
      <c r="XS68" s="89"/>
      <c r="XT68" s="87"/>
      <c r="XU68" s="87"/>
      <c r="XV68" s="87"/>
      <c r="XW68" s="87"/>
      <c r="XX68" s="87"/>
      <c r="XY68" s="87"/>
      <c r="XZ68" s="87"/>
      <c r="YA68" s="92">
        <f t="shared" ca="1" si="923"/>
        <v>0</v>
      </c>
      <c r="YB68" s="90"/>
      <c r="YC68" s="90"/>
      <c r="YD68" s="90"/>
      <c r="YE68" s="90"/>
      <c r="YF68" s="90"/>
      <c r="YG68" s="90"/>
      <c r="YH68" s="90"/>
      <c r="YI68" s="90"/>
      <c r="YJ68" s="90"/>
      <c r="YK68" s="90"/>
      <c r="YL68" s="90"/>
      <c r="YM68" s="90"/>
      <c r="YN68" s="90"/>
      <c r="YO68" s="90"/>
      <c r="YP68" s="90"/>
      <c r="YQ68" s="90"/>
      <c r="YR68" s="90"/>
      <c r="YS68" s="90"/>
      <c r="YT68" s="90"/>
      <c r="YU68" s="90"/>
      <c r="YV68" s="90"/>
      <c r="YW68" s="90"/>
      <c r="YX68" s="90"/>
      <c r="YY68" s="90"/>
      <c r="YZ68" s="90"/>
      <c r="ZA68" s="90"/>
      <c r="ZB68" s="90"/>
      <c r="ZC68" s="90"/>
      <c r="ZD68" s="90"/>
      <c r="ZE68" s="90"/>
      <c r="ZF68" s="90"/>
      <c r="ZG68" s="90"/>
      <c r="ZH68" s="90"/>
      <c r="ZI68" s="90"/>
      <c r="ZJ68" s="90"/>
      <c r="ZK68" s="90"/>
      <c r="ZL68" s="90"/>
      <c r="ZM68" s="90"/>
      <c r="ZN68" s="90"/>
      <c r="ZO68" s="90"/>
      <c r="ZP68" s="90"/>
      <c r="ZQ68" s="90"/>
      <c r="ZR68" s="90"/>
      <c r="ZS68" s="90"/>
      <c r="ZT68" s="90"/>
      <c r="ZU68" s="90"/>
      <c r="ZV68" s="90"/>
      <c r="ZW68" s="90"/>
      <c r="ZX68" s="90"/>
      <c r="ZY68" s="90"/>
      <c r="ZZ68" s="90"/>
      <c r="AAA68" s="90"/>
      <c r="AAB68" s="90"/>
      <c r="AAC68" s="90"/>
      <c r="AAD68" s="90"/>
      <c r="AAE68" s="90"/>
      <c r="AAF68" s="90"/>
      <c r="AAG68" s="90"/>
      <c r="AAH68" s="90"/>
      <c r="AAI68" s="90"/>
      <c r="AAJ68" s="90"/>
      <c r="AAK68" s="90"/>
      <c r="AAL68" s="90"/>
      <c r="AAM68" s="90"/>
      <c r="AAN68" s="90"/>
      <c r="AAO68" s="90"/>
      <c r="AAP68" s="90"/>
      <c r="AAQ68" s="90"/>
      <c r="AAR68" s="90"/>
      <c r="AAS68" s="90"/>
      <c r="AAT68" s="90"/>
      <c r="AAU68" s="90"/>
      <c r="AAV68" s="90"/>
      <c r="AAW68" s="90"/>
      <c r="AAX68" s="90"/>
      <c r="AAY68" s="90"/>
      <c r="AAZ68" s="90"/>
      <c r="ABA68" s="90"/>
      <c r="ABB68" s="90"/>
      <c r="ABC68" s="90"/>
      <c r="ABD68" s="90"/>
      <c r="ABE68" s="90"/>
      <c r="ABF68" s="90"/>
      <c r="ABG68" s="90"/>
      <c r="ABH68" s="90"/>
      <c r="ABI68" s="90"/>
      <c r="ABJ68" s="90"/>
      <c r="ABK68" s="90"/>
      <c r="ABL68" s="90"/>
      <c r="ABM68" s="90"/>
      <c r="ABN68" s="90"/>
      <c r="ABO68" s="90"/>
      <c r="ABP68" s="90"/>
      <c r="ABQ68" s="90"/>
      <c r="ABR68" s="90"/>
      <c r="ABS68" s="90"/>
      <c r="ABT68" s="90"/>
      <c r="ABU68" s="90"/>
      <c r="ABV68" s="90"/>
      <c r="ABW68" s="90"/>
      <c r="ABX68" s="90"/>
      <c r="ABY68" s="90"/>
      <c r="ABZ68" s="90"/>
      <c r="ACA68" s="90"/>
      <c r="ACB68" s="90"/>
      <c r="ACC68" s="90"/>
      <c r="ACD68" s="90"/>
      <c r="ACE68" s="90"/>
      <c r="ACF68" s="90"/>
      <c r="ACG68" s="90"/>
      <c r="ACH68" s="90"/>
      <c r="ACI68" s="90"/>
      <c r="ACJ68" s="90"/>
      <c r="ACK68" s="90"/>
      <c r="ACL68" s="90"/>
      <c r="ACM68" s="90"/>
      <c r="ACN68" s="90"/>
      <c r="ACO68" s="90"/>
      <c r="ACP68" s="90"/>
      <c r="ACQ68" s="90"/>
      <c r="ACR68" s="90"/>
      <c r="ACS68" s="90"/>
      <c r="ACT68" s="90"/>
      <c r="ACU68" s="90"/>
      <c r="ACV68" s="90"/>
      <c r="ACW68" s="90"/>
      <c r="ACX68" s="90"/>
      <c r="ACY68" s="90"/>
      <c r="ACZ68" s="90"/>
      <c r="ADA68" s="90"/>
      <c r="ADB68" s="90"/>
      <c r="ADC68" s="90"/>
      <c r="ADD68" s="90"/>
      <c r="ADE68" s="90"/>
      <c r="ADF68" s="90"/>
      <c r="ADG68" s="90"/>
      <c r="ADH68" s="90"/>
      <c r="ADI68" s="90"/>
      <c r="ADJ68" s="90"/>
      <c r="ADK68" s="90"/>
      <c r="ADL68" s="90"/>
      <c r="ADM68" s="90"/>
      <c r="ADN68" s="90"/>
      <c r="ADO68" s="90"/>
      <c r="ADP68" s="90"/>
      <c r="ADQ68" s="90"/>
      <c r="ADR68" s="90"/>
      <c r="ADS68" s="90"/>
      <c r="ADT68" s="90"/>
      <c r="ADU68" s="90"/>
      <c r="ADV68" s="90"/>
      <c r="ADW68" s="90"/>
      <c r="ADX68" s="90"/>
      <c r="ADY68" s="90"/>
      <c r="ADZ68" s="90"/>
      <c r="AEA68" s="90"/>
      <c r="AEB68" s="90"/>
      <c r="AEC68" s="90"/>
      <c r="AED68" s="90"/>
      <c r="AEE68" s="90"/>
      <c r="AEF68" s="90"/>
      <c r="AEG68" s="90"/>
      <c r="AEH68" s="90"/>
      <c r="AEI68" s="90"/>
      <c r="AEJ68" s="90"/>
      <c r="AEK68" s="90"/>
      <c r="AEL68" s="90"/>
      <c r="AEM68" s="90"/>
      <c r="AEN68" s="90"/>
      <c r="AEO68" s="90"/>
      <c r="AEP68" s="90"/>
      <c r="AEQ68" s="90"/>
      <c r="AER68" s="90"/>
      <c r="AES68" s="90"/>
      <c r="AET68" s="90"/>
      <c r="AEU68" s="90"/>
      <c r="AEV68" s="90"/>
      <c r="AEW68" s="90"/>
      <c r="AEX68" s="90"/>
      <c r="AEY68" s="90"/>
      <c r="AEZ68" s="90"/>
      <c r="AFA68" s="90"/>
      <c r="AFB68" s="90"/>
      <c r="AFC68" s="90"/>
      <c r="AFD68" s="90"/>
      <c r="AFE68" s="90"/>
      <c r="AFF68" s="90"/>
      <c r="AFG68" s="90"/>
      <c r="AFH68" s="90"/>
      <c r="AFI68" s="90"/>
      <c r="AFJ68" s="90"/>
      <c r="AFK68" s="90"/>
      <c r="AFL68" s="90"/>
      <c r="AFM68" s="90"/>
      <c r="AFN68" s="90"/>
      <c r="AFO68" s="90"/>
      <c r="AFP68" s="90"/>
      <c r="AFQ68" s="90"/>
      <c r="AFR68" s="90"/>
      <c r="AFS68" s="90"/>
      <c r="AFT68" s="90"/>
      <c r="AFU68" s="90"/>
      <c r="AFV68" s="90"/>
      <c r="AFW68" s="90"/>
      <c r="AFX68" s="90"/>
      <c r="AFY68" s="90"/>
      <c r="AFZ68" s="90"/>
      <c r="AGA68" s="90"/>
      <c r="AGB68" s="90"/>
      <c r="AGC68" s="90"/>
      <c r="AGD68" s="90"/>
      <c r="AGE68" s="90"/>
      <c r="AGF68" s="90"/>
      <c r="AGG68" s="90"/>
      <c r="AGH68" s="90"/>
      <c r="AGI68" s="90"/>
      <c r="AGJ68" s="90"/>
      <c r="AGK68" s="90"/>
      <c r="AGL68" s="90"/>
      <c r="AGM68" s="90"/>
      <c r="AGN68" s="90"/>
      <c r="AGO68" s="90"/>
      <c r="AGP68" s="90"/>
      <c r="AGQ68" s="90"/>
      <c r="AGR68" s="90"/>
      <c r="AGS68" s="90"/>
      <c r="AGT68" s="90"/>
      <c r="AGU68" s="90"/>
      <c r="AGV68" s="90"/>
      <c r="AGW68" s="90"/>
      <c r="AGX68" s="90"/>
      <c r="AGY68" s="90"/>
      <c r="AGZ68" s="90"/>
      <c r="AHA68" s="90"/>
      <c r="AHB68" s="90"/>
      <c r="AHC68" s="90"/>
      <c r="AHD68" s="90"/>
      <c r="AHE68" s="90"/>
      <c r="AHF68" s="90"/>
      <c r="AHG68" s="90"/>
      <c r="AHH68" s="90"/>
      <c r="AHI68" s="90"/>
      <c r="AHJ68" s="90"/>
      <c r="AHK68" s="90"/>
      <c r="AHL68" s="90"/>
      <c r="AHM68" s="90"/>
      <c r="AHN68" s="90"/>
      <c r="AHO68" s="90"/>
      <c r="AHP68" s="90"/>
      <c r="AHQ68" s="90"/>
      <c r="AHR68" s="90"/>
      <c r="AHS68" s="90"/>
      <c r="AHT68" s="90"/>
      <c r="AHU68" s="90"/>
      <c r="AHV68" s="90"/>
      <c r="AHW68" s="90"/>
      <c r="AHX68" s="90"/>
      <c r="AHY68" s="90"/>
      <c r="AHZ68" s="90"/>
      <c r="AIA68" s="90"/>
      <c r="AIB68" s="90"/>
      <c r="AIC68" s="90"/>
      <c r="AID68" s="90"/>
      <c r="AIE68" s="90"/>
      <c r="AIF68" s="90"/>
      <c r="AIG68" s="90"/>
      <c r="AIH68" s="90"/>
      <c r="AII68" s="90"/>
      <c r="AIJ68" s="90"/>
      <c r="AIK68" s="90"/>
      <c r="AIL68" s="90"/>
      <c r="AIM68" s="90"/>
      <c r="AIN68" s="90"/>
      <c r="AIO68" s="90"/>
      <c r="AIP68" s="90"/>
      <c r="AIQ68" s="90"/>
      <c r="AIR68" s="90"/>
      <c r="AIS68" s="90"/>
      <c r="AIT68" s="90"/>
      <c r="AIU68" s="90"/>
      <c r="AIV68" s="90"/>
      <c r="AIW68" s="90"/>
      <c r="AIX68" s="90"/>
      <c r="AIY68" s="90"/>
      <c r="AIZ68" s="90"/>
      <c r="AJA68" s="90"/>
      <c r="AJB68" s="90"/>
      <c r="AJC68" s="90"/>
      <c r="AJD68" s="90"/>
      <c r="AJE68" s="90"/>
      <c r="AJF68" s="90"/>
      <c r="AJG68" s="90"/>
      <c r="AJH68" s="90"/>
      <c r="AJI68" s="90"/>
      <c r="AJJ68" s="90"/>
      <c r="AJK68" s="90"/>
      <c r="AJL68" s="90"/>
      <c r="AJM68" s="90"/>
      <c r="AJN68" s="90"/>
      <c r="AJO68" s="90"/>
      <c r="AJP68" s="90"/>
      <c r="AJQ68" s="90"/>
      <c r="AJR68" s="90"/>
      <c r="AJS68" s="90"/>
      <c r="AJT68" s="90"/>
      <c r="AJU68" s="90"/>
      <c r="AJV68" s="90"/>
      <c r="AJW68" s="90"/>
      <c r="AJX68" s="90"/>
      <c r="AJY68" s="90"/>
      <c r="AJZ68" s="90"/>
      <c r="AKA68" s="90"/>
      <c r="AKB68" s="90"/>
      <c r="AKC68" s="90"/>
      <c r="AKD68" s="90"/>
      <c r="AKE68" s="90"/>
      <c r="AKF68" s="90"/>
      <c r="AKG68" s="90"/>
      <c r="AKH68" s="90"/>
      <c r="AKI68" s="90"/>
      <c r="AKJ68" s="90"/>
      <c r="AKK68" s="90"/>
      <c r="AKL68" s="90"/>
      <c r="AKM68" s="90"/>
      <c r="AKN68" s="90"/>
      <c r="AKO68" s="90"/>
      <c r="AKP68" s="90"/>
      <c r="AKQ68" s="90"/>
      <c r="AKR68" s="90"/>
      <c r="AKS68" s="90"/>
      <c r="AKT68" s="90"/>
      <c r="AKU68" s="90"/>
      <c r="AKV68" s="90"/>
      <c r="AKW68" s="90"/>
      <c r="AKX68" s="90"/>
      <c r="AKY68" s="90"/>
      <c r="AKZ68" s="90"/>
      <c r="ALA68" s="90"/>
      <c r="ALB68" s="90"/>
      <c r="ALC68" s="90"/>
      <c r="ALD68" s="90"/>
      <c r="ALE68" s="90"/>
      <c r="ALF68" s="90"/>
      <c r="ALG68" s="90"/>
      <c r="ALH68" s="90"/>
      <c r="ALI68" s="90"/>
      <c r="ALJ68" s="90"/>
      <c r="ALK68" s="90"/>
      <c r="ALL68" s="90"/>
      <c r="ALM68" s="90"/>
      <c r="ALN68" s="90"/>
      <c r="ALO68" s="90"/>
      <c r="ALP68" s="90"/>
      <c r="ALQ68" s="90"/>
      <c r="ALR68" s="90"/>
      <c r="ALS68" s="90"/>
      <c r="ALT68" s="90"/>
      <c r="ALU68" s="90"/>
      <c r="ALV68" s="90"/>
      <c r="ALW68" s="90"/>
      <c r="ALX68" s="90"/>
      <c r="ALY68" s="90"/>
      <c r="ALZ68" s="90"/>
      <c r="AMA68" s="90"/>
      <c r="AMB68" s="90"/>
      <c r="AMC68" s="90"/>
    </row>
    <row r="69" spans="1:1017">
      <c r="A69" s="98" t="s">
        <v>26</v>
      </c>
      <c r="B69" s="648" t="str">
        <f t="shared" si="829"/>
        <v xml:space="preserve">Mujair </v>
      </c>
      <c r="E69" s="98">
        <v>282800</v>
      </c>
      <c r="F69" s="98">
        <v>4242000</v>
      </c>
      <c r="I69" s="98">
        <v>4600</v>
      </c>
      <c r="J69" s="98">
        <v>69000</v>
      </c>
      <c r="Q69" s="91">
        <f t="shared" si="830"/>
        <v>287400</v>
      </c>
      <c r="R69" s="91">
        <f t="shared" si="831"/>
        <v>4311000</v>
      </c>
      <c r="U69" s="98">
        <v>6055</v>
      </c>
      <c r="V69" s="98">
        <v>90825</v>
      </c>
      <c r="Y69" s="778">
        <v>4270</v>
      </c>
      <c r="Z69" s="778">
        <v>64050</v>
      </c>
      <c r="AG69" s="91">
        <f t="shared" si="832"/>
        <v>10325</v>
      </c>
      <c r="AH69" s="91">
        <f t="shared" si="833"/>
        <v>154875</v>
      </c>
      <c r="AW69" s="91">
        <f t="shared" si="834"/>
        <v>0</v>
      </c>
      <c r="AX69" s="91">
        <f t="shared" si="835"/>
        <v>0</v>
      </c>
      <c r="BM69" s="91">
        <f t="shared" si="836"/>
        <v>0</v>
      </c>
      <c r="BN69" s="91">
        <f t="shared" si="837"/>
        <v>0</v>
      </c>
      <c r="BU69" s="90"/>
      <c r="CC69" s="91">
        <f t="shared" si="838"/>
        <v>0</v>
      </c>
      <c r="CD69" s="91">
        <f t="shared" si="839"/>
        <v>0</v>
      </c>
      <c r="CG69" s="98">
        <v>185714</v>
      </c>
      <c r="CH69" s="98">
        <v>1671427</v>
      </c>
      <c r="CK69" s="98">
        <v>768257</v>
      </c>
      <c r="CL69" s="98">
        <v>6914313</v>
      </c>
      <c r="CS69" s="91">
        <f t="shared" si="840"/>
        <v>953971</v>
      </c>
      <c r="CT69" s="91">
        <f t="shared" si="841"/>
        <v>8585740</v>
      </c>
      <c r="DI69" s="91">
        <f t="shared" si="842"/>
        <v>0</v>
      </c>
      <c r="DJ69" s="91">
        <f t="shared" si="843"/>
        <v>0</v>
      </c>
      <c r="DY69" s="91">
        <f t="shared" si="844"/>
        <v>0</v>
      </c>
      <c r="DZ69" s="91">
        <f t="shared" si="845"/>
        <v>0</v>
      </c>
      <c r="EO69" s="91">
        <f t="shared" si="846"/>
        <v>0</v>
      </c>
      <c r="EP69" s="91">
        <f t="shared" si="847"/>
        <v>0</v>
      </c>
      <c r="ES69" s="98">
        <v>1202</v>
      </c>
      <c r="ET69" s="98">
        <v>6010</v>
      </c>
      <c r="EW69" s="98">
        <v>12119</v>
      </c>
      <c r="EX69" s="98">
        <v>60595</v>
      </c>
      <c r="EZ69" s="98" t="s">
        <v>384</v>
      </c>
      <c r="FB69" s="98" t="s">
        <v>384</v>
      </c>
      <c r="FE69" s="91">
        <f t="shared" si="848"/>
        <v>13321</v>
      </c>
      <c r="FF69" s="91">
        <f t="shared" si="849"/>
        <v>66605</v>
      </c>
      <c r="FU69" s="91">
        <f t="shared" si="850"/>
        <v>0</v>
      </c>
      <c r="FV69" s="91">
        <f t="shared" si="851"/>
        <v>0</v>
      </c>
      <c r="GK69" s="91">
        <f t="shared" si="852"/>
        <v>0</v>
      </c>
      <c r="GL69" s="91">
        <f t="shared" si="853"/>
        <v>0</v>
      </c>
      <c r="HA69" s="91">
        <f t="shared" si="854"/>
        <v>0</v>
      </c>
      <c r="HB69" s="91">
        <f t="shared" si="855"/>
        <v>0</v>
      </c>
      <c r="HQ69" s="91">
        <f t="shared" si="856"/>
        <v>0</v>
      </c>
      <c r="HR69" s="91">
        <f t="shared" si="857"/>
        <v>0</v>
      </c>
      <c r="IG69" s="91">
        <f t="shared" si="858"/>
        <v>0</v>
      </c>
      <c r="IH69" s="91">
        <f t="shared" si="859"/>
        <v>0</v>
      </c>
      <c r="IW69" s="91">
        <f t="shared" si="860"/>
        <v>0</v>
      </c>
      <c r="IX69" s="91">
        <f t="shared" si="861"/>
        <v>0</v>
      </c>
      <c r="JM69" s="91">
        <f t="shared" si="862"/>
        <v>0</v>
      </c>
      <c r="JN69" s="91">
        <f t="shared" si="863"/>
        <v>0</v>
      </c>
      <c r="KC69" s="91">
        <f t="shared" si="864"/>
        <v>0</v>
      </c>
      <c r="KD69" s="91">
        <f t="shared" si="865"/>
        <v>0</v>
      </c>
      <c r="KS69" s="91">
        <f t="shared" si="866"/>
        <v>0</v>
      </c>
      <c r="KT69" s="91">
        <f t="shared" si="867"/>
        <v>0</v>
      </c>
      <c r="LI69" s="91">
        <f t="shared" si="868"/>
        <v>0</v>
      </c>
      <c r="LJ69" s="91">
        <f t="shared" si="869"/>
        <v>0</v>
      </c>
      <c r="LY69" s="91">
        <f t="shared" si="870"/>
        <v>0</v>
      </c>
      <c r="LZ69" s="91">
        <f t="shared" si="871"/>
        <v>0</v>
      </c>
      <c r="MC69" s="98">
        <v>4900</v>
      </c>
      <c r="MD69" s="98">
        <v>49000</v>
      </c>
      <c r="MO69" s="91">
        <f t="shared" si="872"/>
        <v>4900</v>
      </c>
      <c r="MP69" s="91">
        <f t="shared" si="873"/>
        <v>49000</v>
      </c>
      <c r="MS69" s="98">
        <v>950</v>
      </c>
      <c r="MT69" s="98">
        <v>23750</v>
      </c>
      <c r="NE69" s="91">
        <f t="shared" si="874"/>
        <v>950</v>
      </c>
      <c r="NF69" s="91">
        <f t="shared" si="875"/>
        <v>23750</v>
      </c>
      <c r="NI69" s="98">
        <v>214000</v>
      </c>
      <c r="NJ69" s="98">
        <v>3424000</v>
      </c>
      <c r="NU69" s="91">
        <f t="shared" si="876"/>
        <v>214000</v>
      </c>
      <c r="NV69" s="91">
        <f t="shared" si="877"/>
        <v>3424000</v>
      </c>
      <c r="OK69" s="91">
        <f t="shared" si="878"/>
        <v>0</v>
      </c>
      <c r="OL69" s="91">
        <f t="shared" si="879"/>
        <v>0</v>
      </c>
      <c r="PA69" s="91">
        <f t="shared" si="880"/>
        <v>0</v>
      </c>
      <c r="PB69" s="91">
        <f t="shared" si="881"/>
        <v>0</v>
      </c>
      <c r="PQ69" s="91">
        <f t="shared" si="882"/>
        <v>0</v>
      </c>
      <c r="PR69" s="91">
        <f t="shared" si="883"/>
        <v>0</v>
      </c>
      <c r="PU69" s="98">
        <v>28310</v>
      </c>
      <c r="PV69" s="98">
        <v>339720</v>
      </c>
      <c r="QA69" s="98">
        <v>2030</v>
      </c>
      <c r="QB69" s="98">
        <v>24360</v>
      </c>
      <c r="QG69" s="91">
        <f t="shared" si="884"/>
        <v>30340</v>
      </c>
      <c r="QH69" s="91">
        <f t="shared" si="885"/>
        <v>364080</v>
      </c>
      <c r="QW69" s="91">
        <f t="shared" si="886"/>
        <v>0</v>
      </c>
      <c r="QX69" s="91">
        <f t="shared" si="887"/>
        <v>0</v>
      </c>
      <c r="RM69" s="91">
        <f t="shared" si="888"/>
        <v>0</v>
      </c>
      <c r="RN69" s="91">
        <f t="shared" si="889"/>
        <v>0</v>
      </c>
      <c r="SC69" s="91">
        <f t="shared" si="890"/>
        <v>0</v>
      </c>
      <c r="SD69" s="91">
        <f t="shared" si="891"/>
        <v>0</v>
      </c>
      <c r="SS69" s="91">
        <f t="shared" si="892"/>
        <v>0</v>
      </c>
      <c r="ST69" s="91">
        <f t="shared" si="893"/>
        <v>0</v>
      </c>
      <c r="TI69" s="91">
        <f t="shared" si="894"/>
        <v>0</v>
      </c>
      <c r="TJ69" s="91">
        <f t="shared" si="895"/>
        <v>0</v>
      </c>
      <c r="TY69" s="91">
        <f t="shared" si="896"/>
        <v>0</v>
      </c>
      <c r="TZ69" s="91">
        <f t="shared" si="897"/>
        <v>0</v>
      </c>
      <c r="UO69" s="91">
        <f t="shared" si="898"/>
        <v>0</v>
      </c>
      <c r="UP69" s="91">
        <f t="shared" si="899"/>
        <v>0</v>
      </c>
      <c r="VE69" s="91">
        <f t="shared" si="900"/>
        <v>0</v>
      </c>
      <c r="VF69" s="91">
        <f t="shared" si="901"/>
        <v>0</v>
      </c>
      <c r="VI69" s="98">
        <v>77</v>
      </c>
      <c r="VJ69" s="98">
        <v>693</v>
      </c>
      <c r="VU69" s="91">
        <f t="shared" si="902"/>
        <v>77</v>
      </c>
      <c r="VV69" s="91">
        <f t="shared" si="903"/>
        <v>693</v>
      </c>
      <c r="WK69" s="91">
        <f t="shared" si="904"/>
        <v>0</v>
      </c>
      <c r="WL69" s="91">
        <f t="shared" si="905"/>
        <v>0</v>
      </c>
      <c r="WM69" s="89"/>
      <c r="WN69" s="87">
        <f t="shared" si="906"/>
        <v>0</v>
      </c>
      <c r="WO69" s="87">
        <f t="shared" si="907"/>
        <v>0</v>
      </c>
      <c r="WP69" s="87">
        <f t="shared" si="908"/>
        <v>724008</v>
      </c>
      <c r="WQ69" s="87">
        <f t="shared" si="909"/>
        <v>9847425</v>
      </c>
      <c r="WR69" s="87">
        <f t="shared" si="910"/>
        <v>0</v>
      </c>
      <c r="WS69" s="87">
        <f t="shared" si="911"/>
        <v>0</v>
      </c>
      <c r="WT69" s="87">
        <f t="shared" si="912"/>
        <v>789246</v>
      </c>
      <c r="WU69" s="87">
        <f t="shared" si="913"/>
        <v>7107958</v>
      </c>
      <c r="WV69" s="87">
        <f t="shared" si="914"/>
        <v>2030</v>
      </c>
      <c r="WW69" s="87">
        <f t="shared" si="915"/>
        <v>24360</v>
      </c>
      <c r="WX69" s="87">
        <f t="shared" si="916"/>
        <v>0</v>
      </c>
      <c r="WY69" s="87">
        <f t="shared" si="917"/>
        <v>0</v>
      </c>
      <c r="WZ69" s="87">
        <f t="shared" si="918"/>
        <v>0</v>
      </c>
      <c r="XA69" s="87">
        <f t="shared" si="919"/>
        <v>0</v>
      </c>
      <c r="XB69" s="92">
        <f t="shared" si="920"/>
        <v>1515284</v>
      </c>
      <c r="XC69" s="92">
        <f t="shared" si="921"/>
        <v>16979743</v>
      </c>
      <c r="XD69" s="89"/>
      <c r="XE69" s="92">
        <f t="shared" ref="XE69:XF69" si="956">SUM(XB145,XB183,XB221)</f>
        <v>4708269.0813704841</v>
      </c>
      <c r="XF69" s="92">
        <f t="shared" si="956"/>
        <v>51461659.673018269</v>
      </c>
      <c r="XG69" s="89"/>
      <c r="XH69" s="92">
        <f t="shared" ref="XH69:XI69" si="957">SUM(XE107,XE145)</f>
        <v>7452824.6884875111</v>
      </c>
      <c r="XI69" s="92">
        <f t="shared" si="957"/>
        <v>82097811.212168083</v>
      </c>
      <c r="XJ69" s="89"/>
      <c r="XK69" s="87"/>
      <c r="XL69" s="87"/>
      <c r="XM69" s="87"/>
      <c r="XN69" s="87"/>
      <c r="XO69" s="87"/>
      <c r="XP69" s="87"/>
      <c r="XQ69" s="87"/>
      <c r="XR69" s="92">
        <f t="shared" ca="1" si="922"/>
        <v>0</v>
      </c>
      <c r="XS69" s="89"/>
      <c r="XT69" s="87"/>
      <c r="XU69" s="87"/>
      <c r="XV69" s="87"/>
      <c r="XW69" s="87"/>
      <c r="XX69" s="87"/>
      <c r="XY69" s="87"/>
      <c r="XZ69" s="87"/>
      <c r="YA69" s="92">
        <f t="shared" ca="1" si="923"/>
        <v>0</v>
      </c>
      <c r="YB69" s="90"/>
      <c r="YC69" s="90"/>
      <c r="YD69" s="90"/>
      <c r="YE69" s="90"/>
      <c r="YF69" s="90"/>
      <c r="YG69" s="90"/>
      <c r="YH69" s="90"/>
      <c r="YI69" s="90"/>
      <c r="YJ69" s="90"/>
      <c r="YK69" s="90"/>
      <c r="YL69" s="90"/>
      <c r="YM69" s="90"/>
      <c r="YN69" s="90"/>
      <c r="YO69" s="90"/>
      <c r="YP69" s="90"/>
      <c r="YQ69" s="90"/>
      <c r="YR69" s="90"/>
      <c r="YS69" s="90"/>
      <c r="YT69" s="90"/>
      <c r="YU69" s="90"/>
      <c r="YV69" s="90"/>
      <c r="YW69" s="90"/>
      <c r="YX69" s="90"/>
      <c r="YY69" s="90"/>
      <c r="YZ69" s="90"/>
      <c r="ZA69" s="90"/>
      <c r="ZB69" s="90"/>
      <c r="ZC69" s="90"/>
      <c r="ZD69" s="90"/>
      <c r="ZE69" s="90"/>
      <c r="ZF69" s="90"/>
      <c r="ZG69" s="90"/>
      <c r="ZH69" s="90"/>
      <c r="ZI69" s="90"/>
      <c r="ZJ69" s="90"/>
      <c r="ZK69" s="90"/>
      <c r="ZL69" s="90"/>
      <c r="ZM69" s="90"/>
      <c r="ZN69" s="90"/>
      <c r="ZO69" s="90"/>
      <c r="ZP69" s="90"/>
      <c r="ZQ69" s="90"/>
      <c r="ZR69" s="90"/>
      <c r="ZS69" s="90"/>
      <c r="ZT69" s="90"/>
      <c r="ZU69" s="90"/>
      <c r="ZV69" s="90"/>
      <c r="ZW69" s="90"/>
      <c r="ZX69" s="90"/>
      <c r="ZY69" s="90"/>
      <c r="ZZ69" s="90"/>
      <c r="AAA69" s="90"/>
      <c r="AAB69" s="90"/>
      <c r="AAC69" s="90"/>
      <c r="AAD69" s="90"/>
      <c r="AAE69" s="90"/>
      <c r="AAF69" s="90"/>
      <c r="AAG69" s="90"/>
      <c r="AAH69" s="90"/>
      <c r="AAI69" s="90"/>
      <c r="AAJ69" s="90"/>
      <c r="AAK69" s="90"/>
      <c r="AAL69" s="90"/>
      <c r="AAM69" s="90"/>
      <c r="AAN69" s="90"/>
      <c r="AAO69" s="90"/>
      <c r="AAP69" s="90"/>
      <c r="AAQ69" s="90"/>
      <c r="AAR69" s="90"/>
      <c r="AAS69" s="90"/>
      <c r="AAT69" s="90"/>
      <c r="AAU69" s="90"/>
      <c r="AAV69" s="90"/>
      <c r="AAW69" s="90"/>
      <c r="AAX69" s="90"/>
      <c r="AAY69" s="90"/>
      <c r="AAZ69" s="90"/>
      <c r="ABA69" s="90"/>
      <c r="ABB69" s="90"/>
      <c r="ABC69" s="90"/>
      <c r="ABD69" s="90"/>
      <c r="ABE69" s="90"/>
      <c r="ABF69" s="90"/>
      <c r="ABG69" s="90"/>
      <c r="ABH69" s="90"/>
      <c r="ABI69" s="90"/>
      <c r="ABJ69" s="90"/>
      <c r="ABK69" s="90"/>
      <c r="ABL69" s="90"/>
      <c r="ABM69" s="90"/>
      <c r="ABN69" s="90"/>
      <c r="ABO69" s="90"/>
      <c r="ABP69" s="90"/>
      <c r="ABQ69" s="90"/>
      <c r="ABR69" s="90"/>
      <c r="ABS69" s="90"/>
      <c r="ABT69" s="90"/>
      <c r="ABU69" s="90"/>
      <c r="ABV69" s="90"/>
      <c r="ABW69" s="90"/>
      <c r="ABX69" s="90"/>
      <c r="ABY69" s="90"/>
      <c r="ABZ69" s="90"/>
      <c r="ACA69" s="90"/>
      <c r="ACB69" s="90"/>
      <c r="ACC69" s="90"/>
      <c r="ACD69" s="90"/>
      <c r="ACE69" s="90"/>
      <c r="ACF69" s="90"/>
      <c r="ACG69" s="90"/>
      <c r="ACH69" s="90"/>
      <c r="ACI69" s="90"/>
      <c r="ACJ69" s="90"/>
      <c r="ACK69" s="90"/>
      <c r="ACL69" s="90"/>
      <c r="ACM69" s="90"/>
      <c r="ACN69" s="90"/>
      <c r="ACO69" s="90"/>
      <c r="ACP69" s="90"/>
      <c r="ACQ69" s="90"/>
      <c r="ACR69" s="90"/>
      <c r="ACS69" s="90"/>
      <c r="ACT69" s="90"/>
      <c r="ACU69" s="90"/>
      <c r="ACV69" s="90"/>
      <c r="ACW69" s="90"/>
      <c r="ACX69" s="90"/>
      <c r="ACY69" s="90"/>
      <c r="ACZ69" s="90"/>
      <c r="ADA69" s="90"/>
      <c r="ADB69" s="90"/>
      <c r="ADC69" s="90"/>
      <c r="ADD69" s="90"/>
      <c r="ADE69" s="90"/>
      <c r="ADF69" s="90"/>
      <c r="ADG69" s="90"/>
      <c r="ADH69" s="90"/>
      <c r="ADI69" s="90"/>
      <c r="ADJ69" s="90"/>
      <c r="ADK69" s="90"/>
      <c r="ADL69" s="90"/>
      <c r="ADM69" s="90"/>
      <c r="ADN69" s="90"/>
      <c r="ADO69" s="90"/>
      <c r="ADP69" s="90"/>
      <c r="ADQ69" s="90"/>
      <c r="ADR69" s="90"/>
      <c r="ADS69" s="90"/>
      <c r="ADT69" s="90"/>
      <c r="ADU69" s="90"/>
      <c r="ADV69" s="90"/>
      <c r="ADW69" s="90"/>
      <c r="ADX69" s="90"/>
      <c r="ADY69" s="90"/>
      <c r="ADZ69" s="90"/>
      <c r="AEA69" s="90"/>
      <c r="AEB69" s="90"/>
      <c r="AEC69" s="90"/>
      <c r="AED69" s="90"/>
      <c r="AEE69" s="90"/>
      <c r="AEF69" s="90"/>
      <c r="AEG69" s="90"/>
      <c r="AEH69" s="90"/>
      <c r="AEI69" s="90"/>
      <c r="AEJ69" s="90"/>
      <c r="AEK69" s="90"/>
      <c r="AEL69" s="90"/>
      <c r="AEM69" s="90"/>
      <c r="AEN69" s="90"/>
      <c r="AEO69" s="90"/>
      <c r="AEP69" s="90"/>
      <c r="AEQ69" s="90"/>
      <c r="AER69" s="90"/>
      <c r="AES69" s="90"/>
      <c r="AET69" s="90"/>
      <c r="AEU69" s="90"/>
      <c r="AEV69" s="90"/>
      <c r="AEW69" s="90"/>
      <c r="AEX69" s="90"/>
      <c r="AEY69" s="90"/>
      <c r="AEZ69" s="90"/>
      <c r="AFA69" s="90"/>
      <c r="AFB69" s="90"/>
      <c r="AFC69" s="90"/>
      <c r="AFD69" s="90"/>
      <c r="AFE69" s="90"/>
      <c r="AFF69" s="90"/>
      <c r="AFG69" s="90"/>
      <c r="AFH69" s="90"/>
      <c r="AFI69" s="90"/>
      <c r="AFJ69" s="90"/>
      <c r="AFK69" s="90"/>
      <c r="AFL69" s="90"/>
      <c r="AFM69" s="90"/>
      <c r="AFN69" s="90"/>
      <c r="AFO69" s="90"/>
      <c r="AFP69" s="90"/>
      <c r="AFQ69" s="90"/>
      <c r="AFR69" s="90"/>
      <c r="AFS69" s="90"/>
      <c r="AFT69" s="90"/>
      <c r="AFU69" s="90"/>
      <c r="AFV69" s="90"/>
      <c r="AFW69" s="90"/>
      <c r="AFX69" s="90"/>
      <c r="AFY69" s="90"/>
      <c r="AFZ69" s="90"/>
      <c r="AGA69" s="90"/>
      <c r="AGB69" s="90"/>
      <c r="AGC69" s="90"/>
      <c r="AGD69" s="90"/>
      <c r="AGE69" s="90"/>
      <c r="AGF69" s="90"/>
      <c r="AGG69" s="90"/>
      <c r="AGH69" s="90"/>
      <c r="AGI69" s="90"/>
      <c r="AGJ69" s="90"/>
      <c r="AGK69" s="90"/>
      <c r="AGL69" s="90"/>
      <c r="AGM69" s="90"/>
      <c r="AGN69" s="90"/>
      <c r="AGO69" s="90"/>
      <c r="AGP69" s="90"/>
      <c r="AGQ69" s="90"/>
      <c r="AGR69" s="90"/>
      <c r="AGS69" s="90"/>
      <c r="AGT69" s="90"/>
      <c r="AGU69" s="90"/>
      <c r="AGV69" s="90"/>
      <c r="AGW69" s="90"/>
      <c r="AGX69" s="90"/>
      <c r="AGY69" s="90"/>
      <c r="AGZ69" s="90"/>
      <c r="AHA69" s="90"/>
      <c r="AHB69" s="90"/>
      <c r="AHC69" s="90"/>
      <c r="AHD69" s="90"/>
      <c r="AHE69" s="90"/>
      <c r="AHF69" s="90"/>
      <c r="AHG69" s="90"/>
      <c r="AHH69" s="90"/>
      <c r="AHI69" s="90"/>
      <c r="AHJ69" s="90"/>
      <c r="AHK69" s="90"/>
      <c r="AHL69" s="90"/>
      <c r="AHM69" s="90"/>
      <c r="AHN69" s="90"/>
      <c r="AHO69" s="90"/>
      <c r="AHP69" s="90"/>
      <c r="AHQ69" s="90"/>
      <c r="AHR69" s="90"/>
      <c r="AHS69" s="90"/>
      <c r="AHT69" s="90"/>
      <c r="AHU69" s="90"/>
      <c r="AHV69" s="90"/>
      <c r="AHW69" s="90"/>
      <c r="AHX69" s="90"/>
      <c r="AHY69" s="90"/>
      <c r="AHZ69" s="90"/>
      <c r="AIA69" s="90"/>
      <c r="AIB69" s="90"/>
      <c r="AIC69" s="90"/>
      <c r="AID69" s="90"/>
      <c r="AIE69" s="90"/>
      <c r="AIF69" s="90"/>
      <c r="AIG69" s="90"/>
      <c r="AIH69" s="90"/>
      <c r="AII69" s="90"/>
      <c r="AIJ69" s="90"/>
      <c r="AIK69" s="90"/>
      <c r="AIL69" s="90"/>
      <c r="AIM69" s="90"/>
      <c r="AIN69" s="90"/>
      <c r="AIO69" s="90"/>
      <c r="AIP69" s="90"/>
      <c r="AIQ69" s="90"/>
      <c r="AIR69" s="90"/>
      <c r="AIS69" s="90"/>
      <c r="AIT69" s="90"/>
      <c r="AIU69" s="90"/>
      <c r="AIV69" s="90"/>
      <c r="AIW69" s="90"/>
      <c r="AIX69" s="90"/>
      <c r="AIY69" s="90"/>
      <c r="AIZ69" s="90"/>
      <c r="AJA69" s="90"/>
      <c r="AJB69" s="90"/>
      <c r="AJC69" s="90"/>
      <c r="AJD69" s="90"/>
      <c r="AJE69" s="90"/>
      <c r="AJF69" s="90"/>
      <c r="AJG69" s="90"/>
      <c r="AJH69" s="90"/>
      <c r="AJI69" s="90"/>
      <c r="AJJ69" s="90"/>
      <c r="AJK69" s="90"/>
      <c r="AJL69" s="90"/>
      <c r="AJM69" s="90"/>
      <c r="AJN69" s="90"/>
      <c r="AJO69" s="90"/>
      <c r="AJP69" s="90"/>
      <c r="AJQ69" s="90"/>
      <c r="AJR69" s="90"/>
      <c r="AJS69" s="90"/>
      <c r="AJT69" s="90"/>
      <c r="AJU69" s="90"/>
      <c r="AJV69" s="90"/>
      <c r="AJW69" s="90"/>
      <c r="AJX69" s="90"/>
      <c r="AJY69" s="90"/>
      <c r="AJZ69" s="90"/>
      <c r="AKA69" s="90"/>
      <c r="AKB69" s="90"/>
      <c r="AKC69" s="90"/>
      <c r="AKD69" s="90"/>
      <c r="AKE69" s="90"/>
      <c r="AKF69" s="90"/>
      <c r="AKG69" s="90"/>
      <c r="AKH69" s="90"/>
      <c r="AKI69" s="90"/>
      <c r="AKJ69" s="90"/>
      <c r="AKK69" s="90"/>
      <c r="AKL69" s="90"/>
      <c r="AKM69" s="90"/>
      <c r="AKN69" s="90"/>
      <c r="AKO69" s="90"/>
      <c r="AKP69" s="90"/>
      <c r="AKQ69" s="90"/>
      <c r="AKR69" s="90"/>
      <c r="AKS69" s="90"/>
      <c r="AKT69" s="90"/>
      <c r="AKU69" s="90"/>
      <c r="AKV69" s="90"/>
      <c r="AKW69" s="90"/>
      <c r="AKX69" s="90"/>
      <c r="AKY69" s="90"/>
      <c r="AKZ69" s="90"/>
      <c r="ALA69" s="90"/>
      <c r="ALB69" s="90"/>
      <c r="ALC69" s="90"/>
      <c r="ALD69" s="90"/>
      <c r="ALE69" s="90"/>
      <c r="ALF69" s="90"/>
      <c r="ALG69" s="90"/>
      <c r="ALH69" s="90"/>
      <c r="ALI69" s="90"/>
      <c r="ALJ69" s="90"/>
      <c r="ALK69" s="90"/>
      <c r="ALL69" s="90"/>
      <c r="ALM69" s="90"/>
      <c r="ALN69" s="90"/>
      <c r="ALO69" s="90"/>
      <c r="ALP69" s="90"/>
      <c r="ALQ69" s="90"/>
      <c r="ALR69" s="90"/>
      <c r="ALS69" s="90"/>
      <c r="ALT69" s="90"/>
      <c r="ALU69" s="90"/>
      <c r="ALV69" s="90"/>
      <c r="ALW69" s="90"/>
      <c r="ALX69" s="90"/>
      <c r="ALY69" s="90"/>
      <c r="ALZ69" s="90"/>
      <c r="AMA69" s="90"/>
      <c r="AMB69" s="90"/>
      <c r="AMC69" s="90"/>
    </row>
    <row r="70" spans="1:1017">
      <c r="A70" s="98" t="s">
        <v>26</v>
      </c>
      <c r="B70" s="648" t="str">
        <f t="shared" si="829"/>
        <v xml:space="preserve">Nila </v>
      </c>
      <c r="I70" s="98">
        <v>16000</v>
      </c>
      <c r="J70" s="98">
        <v>448000</v>
      </c>
      <c r="Q70" s="91">
        <f t="shared" si="830"/>
        <v>16000</v>
      </c>
      <c r="R70" s="91">
        <f t="shared" si="831"/>
        <v>448000</v>
      </c>
      <c r="U70" s="98">
        <v>9110</v>
      </c>
      <c r="V70" s="98">
        <v>182200</v>
      </c>
      <c r="Y70" s="778">
        <v>9980</v>
      </c>
      <c r="Z70" s="778">
        <v>199600</v>
      </c>
      <c r="AA70" s="98">
        <v>3210</v>
      </c>
      <c r="AB70" s="98">
        <v>64200</v>
      </c>
      <c r="AC70" s="98">
        <v>1690</v>
      </c>
      <c r="AD70" s="98">
        <v>33800</v>
      </c>
      <c r="AE70" s="98">
        <v>1535</v>
      </c>
      <c r="AF70" s="98">
        <v>30700</v>
      </c>
      <c r="AG70" s="91">
        <f t="shared" si="832"/>
        <v>25525</v>
      </c>
      <c r="AH70" s="91">
        <f t="shared" si="833"/>
        <v>510500</v>
      </c>
      <c r="AO70" s="98">
        <v>51500</v>
      </c>
      <c r="AP70" s="98">
        <v>1287500</v>
      </c>
      <c r="AQ70" s="98">
        <v>120</v>
      </c>
      <c r="AR70" s="98">
        <v>3000</v>
      </c>
      <c r="AU70" s="98">
        <v>2400</v>
      </c>
      <c r="AV70" s="98">
        <v>60000</v>
      </c>
      <c r="AW70" s="91">
        <f t="shared" si="834"/>
        <v>54020</v>
      </c>
      <c r="AX70" s="91">
        <f t="shared" si="835"/>
        <v>1350500</v>
      </c>
      <c r="BE70" s="98">
        <v>91621</v>
      </c>
      <c r="BF70" s="98">
        <v>2290525</v>
      </c>
      <c r="BG70" s="98">
        <v>8776</v>
      </c>
      <c r="BH70" s="98">
        <v>219400</v>
      </c>
      <c r="BK70" s="98">
        <v>1244</v>
      </c>
      <c r="BL70" s="98">
        <v>31100</v>
      </c>
      <c r="BM70" s="91">
        <f t="shared" si="836"/>
        <v>101641</v>
      </c>
      <c r="BN70" s="91">
        <f t="shared" si="837"/>
        <v>2541025</v>
      </c>
      <c r="BU70" s="90">
        <v>5846</v>
      </c>
      <c r="BV70" s="98">
        <v>157842</v>
      </c>
      <c r="CC70" s="91">
        <f t="shared" si="838"/>
        <v>5846</v>
      </c>
      <c r="CD70" s="91">
        <f t="shared" si="839"/>
        <v>157842</v>
      </c>
      <c r="CG70" s="98">
        <v>15374.68</v>
      </c>
      <c r="CH70" s="98">
        <v>215245</v>
      </c>
      <c r="CK70" s="740">
        <v>452962</v>
      </c>
      <c r="CL70" s="98">
        <v>6341465</v>
      </c>
      <c r="CS70" s="91">
        <f t="shared" si="840"/>
        <v>468336.68</v>
      </c>
      <c r="CT70" s="91">
        <f t="shared" si="841"/>
        <v>6556710</v>
      </c>
      <c r="DA70" s="740">
        <v>120420</v>
      </c>
      <c r="DB70" s="98">
        <v>3612600</v>
      </c>
      <c r="DC70" s="98">
        <v>260</v>
      </c>
      <c r="DD70" s="98">
        <v>7800</v>
      </c>
      <c r="DI70" s="91">
        <f t="shared" si="842"/>
        <v>120680</v>
      </c>
      <c r="DJ70" s="91">
        <f t="shared" si="843"/>
        <v>3620400</v>
      </c>
      <c r="DQ70" s="740">
        <v>17900</v>
      </c>
      <c r="DR70" s="98">
        <v>358000</v>
      </c>
      <c r="DY70" s="91">
        <f t="shared" si="844"/>
        <v>17900</v>
      </c>
      <c r="DZ70" s="91">
        <f t="shared" si="845"/>
        <v>358000</v>
      </c>
      <c r="EG70" s="740">
        <v>197500</v>
      </c>
      <c r="EH70" s="98">
        <v>4147500</v>
      </c>
      <c r="EO70" s="91">
        <f t="shared" si="846"/>
        <v>197500</v>
      </c>
      <c r="EP70" s="91">
        <f t="shared" si="847"/>
        <v>4147500</v>
      </c>
      <c r="ES70" s="98">
        <v>28859</v>
      </c>
      <c r="ET70" s="98">
        <v>721475</v>
      </c>
      <c r="EW70" s="740">
        <v>1059628</v>
      </c>
      <c r="EX70" s="98">
        <v>26490700</v>
      </c>
      <c r="EZ70" s="98" t="s">
        <v>384</v>
      </c>
      <c r="FB70" s="98" t="s">
        <v>384</v>
      </c>
      <c r="FC70" s="98">
        <v>455</v>
      </c>
      <c r="FD70" s="98">
        <v>11375</v>
      </c>
      <c r="FE70" s="91">
        <f t="shared" si="848"/>
        <v>1088942</v>
      </c>
      <c r="FF70" s="91">
        <f t="shared" si="849"/>
        <v>27223550</v>
      </c>
      <c r="FM70" s="740">
        <v>62800</v>
      </c>
      <c r="FN70" s="98">
        <v>1695600</v>
      </c>
      <c r="FS70" s="98">
        <v>75000</v>
      </c>
      <c r="FT70" s="98">
        <v>2250000</v>
      </c>
      <c r="FU70" s="91">
        <f t="shared" si="850"/>
        <v>137800</v>
      </c>
      <c r="FV70" s="91">
        <f t="shared" si="851"/>
        <v>3945600</v>
      </c>
      <c r="GC70" s="740">
        <v>34000</v>
      </c>
      <c r="GD70" s="98">
        <v>884000</v>
      </c>
      <c r="GK70" s="91">
        <f t="shared" si="852"/>
        <v>34000</v>
      </c>
      <c r="GL70" s="91">
        <f t="shared" si="853"/>
        <v>884000</v>
      </c>
      <c r="GS70" s="740">
        <v>9600</v>
      </c>
      <c r="GT70" s="98">
        <v>264000</v>
      </c>
      <c r="GY70" s="98">
        <v>120</v>
      </c>
      <c r="GZ70" s="98">
        <v>3300</v>
      </c>
      <c r="HA70" s="91">
        <f t="shared" si="854"/>
        <v>9720</v>
      </c>
      <c r="HB70" s="91">
        <f t="shared" si="855"/>
        <v>267300</v>
      </c>
      <c r="HI70" s="740">
        <v>50000</v>
      </c>
      <c r="HJ70" s="98">
        <v>1150000</v>
      </c>
      <c r="HO70" s="98">
        <v>550000</v>
      </c>
      <c r="HP70" s="98">
        <v>12650000</v>
      </c>
      <c r="HQ70" s="91">
        <f t="shared" si="856"/>
        <v>600000</v>
      </c>
      <c r="HR70" s="91">
        <f t="shared" si="857"/>
        <v>13800000</v>
      </c>
      <c r="HY70" s="740">
        <v>9570</v>
      </c>
      <c r="HZ70" s="98">
        <v>239250</v>
      </c>
      <c r="IC70" s="98">
        <v>600</v>
      </c>
      <c r="ID70" s="98">
        <v>15000</v>
      </c>
      <c r="IG70" s="91">
        <f t="shared" si="858"/>
        <v>10170</v>
      </c>
      <c r="IH70" s="91">
        <f t="shared" si="859"/>
        <v>254250</v>
      </c>
      <c r="IO70" s="740">
        <v>8250</v>
      </c>
      <c r="IP70" s="98">
        <v>206250</v>
      </c>
      <c r="IW70" s="91">
        <f t="shared" si="860"/>
        <v>8250</v>
      </c>
      <c r="IX70" s="91">
        <f t="shared" si="861"/>
        <v>206250</v>
      </c>
      <c r="JE70" s="740">
        <v>5500</v>
      </c>
      <c r="JF70" s="98">
        <v>121000</v>
      </c>
      <c r="JK70" s="98">
        <v>4070</v>
      </c>
      <c r="JL70" s="98">
        <v>89540</v>
      </c>
      <c r="JM70" s="91">
        <f t="shared" si="862"/>
        <v>9570</v>
      </c>
      <c r="JN70" s="91">
        <f t="shared" si="863"/>
        <v>210540</v>
      </c>
      <c r="JU70" s="740">
        <v>10006</v>
      </c>
      <c r="JV70" s="98">
        <v>350210</v>
      </c>
      <c r="KC70" s="91">
        <f t="shared" si="864"/>
        <v>10006</v>
      </c>
      <c r="KD70" s="91">
        <f t="shared" si="865"/>
        <v>350210</v>
      </c>
      <c r="KK70" s="740">
        <v>154</v>
      </c>
      <c r="KL70" s="98">
        <v>3850</v>
      </c>
      <c r="KS70" s="91">
        <f t="shared" si="866"/>
        <v>154</v>
      </c>
      <c r="KT70" s="91">
        <f t="shared" si="867"/>
        <v>3850</v>
      </c>
      <c r="KW70" s="98">
        <v>24846.68</v>
      </c>
      <c r="KX70" s="98">
        <v>496933</v>
      </c>
      <c r="LA70" s="740">
        <v>97340.25</v>
      </c>
      <c r="LB70" s="98">
        <v>1849464</v>
      </c>
      <c r="LG70" s="98">
        <v>11233.53</v>
      </c>
      <c r="LH70" s="98">
        <v>269604</v>
      </c>
      <c r="LI70" s="91">
        <f t="shared" si="868"/>
        <v>133420.46</v>
      </c>
      <c r="LJ70" s="91">
        <f t="shared" si="869"/>
        <v>2616001</v>
      </c>
      <c r="LQ70" s="98">
        <v>4475</v>
      </c>
      <c r="LR70" s="98">
        <v>143200</v>
      </c>
      <c r="LW70" s="98">
        <v>944</v>
      </c>
      <c r="LX70" s="98">
        <v>32096</v>
      </c>
      <c r="LY70" s="91">
        <f t="shared" si="870"/>
        <v>5419</v>
      </c>
      <c r="LZ70" s="91">
        <f t="shared" si="871"/>
        <v>175296</v>
      </c>
      <c r="MC70" s="98">
        <v>1900</v>
      </c>
      <c r="MD70" s="98">
        <v>38000</v>
      </c>
      <c r="MG70" s="740">
        <v>1800</v>
      </c>
      <c r="MH70" s="98">
        <v>36000</v>
      </c>
      <c r="MM70" s="98">
        <v>1200</v>
      </c>
      <c r="MN70" s="98">
        <v>24000</v>
      </c>
      <c r="MO70" s="91">
        <f t="shared" si="872"/>
        <v>4900</v>
      </c>
      <c r="MP70" s="91">
        <f t="shared" si="873"/>
        <v>98000</v>
      </c>
      <c r="MW70" s="98">
        <v>145</v>
      </c>
      <c r="MX70" s="98">
        <v>4350</v>
      </c>
      <c r="NE70" s="91">
        <f t="shared" si="874"/>
        <v>145</v>
      </c>
      <c r="NF70" s="91">
        <f t="shared" si="875"/>
        <v>4350</v>
      </c>
      <c r="NI70" s="98">
        <v>864100</v>
      </c>
      <c r="NJ70" s="98">
        <v>15553800</v>
      </c>
      <c r="NM70" s="98">
        <v>49100</v>
      </c>
      <c r="NN70" s="98">
        <v>883800</v>
      </c>
      <c r="NQ70" s="98">
        <v>7750</v>
      </c>
      <c r="NR70" s="98">
        <v>139500</v>
      </c>
      <c r="NU70" s="91">
        <f t="shared" si="876"/>
        <v>920950</v>
      </c>
      <c r="NV70" s="91">
        <f t="shared" si="877"/>
        <v>16577100</v>
      </c>
      <c r="OC70" s="740">
        <v>200</v>
      </c>
      <c r="OD70" s="98">
        <v>4400</v>
      </c>
      <c r="OK70" s="91">
        <f t="shared" si="878"/>
        <v>200</v>
      </c>
      <c r="OL70" s="91">
        <f t="shared" si="879"/>
        <v>4400</v>
      </c>
      <c r="OO70" s="98">
        <v>3452</v>
      </c>
      <c r="OP70" s="98">
        <v>120820</v>
      </c>
      <c r="OS70" s="740"/>
      <c r="PA70" s="91">
        <f t="shared" si="880"/>
        <v>3452</v>
      </c>
      <c r="PB70" s="91">
        <f t="shared" si="881"/>
        <v>120820</v>
      </c>
      <c r="PI70" s="740">
        <v>14900</v>
      </c>
      <c r="PJ70" s="98">
        <v>268200</v>
      </c>
      <c r="PQ70" s="91">
        <f t="shared" si="882"/>
        <v>14900</v>
      </c>
      <c r="PR70" s="91">
        <f t="shared" si="883"/>
        <v>268200</v>
      </c>
      <c r="PU70" s="98">
        <v>192410</v>
      </c>
      <c r="PV70" s="98">
        <v>3463380</v>
      </c>
      <c r="PY70" s="98">
        <v>184570</v>
      </c>
      <c r="PZ70" s="98">
        <v>3322260</v>
      </c>
      <c r="QA70" s="98">
        <v>188500</v>
      </c>
      <c r="QB70" s="98">
        <v>3393000</v>
      </c>
      <c r="QC70" s="98">
        <v>171600</v>
      </c>
      <c r="QD70" s="98">
        <v>3088800</v>
      </c>
      <c r="QG70" s="91">
        <f t="shared" si="884"/>
        <v>737080</v>
      </c>
      <c r="QH70" s="91">
        <f t="shared" si="885"/>
        <v>13267440</v>
      </c>
      <c r="QO70" s="740">
        <v>9000</v>
      </c>
      <c r="QP70" s="98">
        <v>162000</v>
      </c>
      <c r="QW70" s="91">
        <f t="shared" si="886"/>
        <v>9000</v>
      </c>
      <c r="QX70" s="91">
        <f t="shared" si="887"/>
        <v>162000</v>
      </c>
      <c r="RE70" s="98">
        <v>3015</v>
      </c>
      <c r="RF70" s="98">
        <f>RE70*27</f>
        <v>81405</v>
      </c>
      <c r="RM70" s="91">
        <f t="shared" si="888"/>
        <v>3015</v>
      </c>
      <c r="RN70" s="91">
        <f t="shared" si="889"/>
        <v>81405</v>
      </c>
      <c r="RU70" s="740">
        <v>6910</v>
      </c>
      <c r="RV70" s="98">
        <v>165840</v>
      </c>
      <c r="SC70" s="91">
        <f t="shared" si="890"/>
        <v>6910</v>
      </c>
      <c r="SD70" s="91">
        <f t="shared" si="891"/>
        <v>165840</v>
      </c>
      <c r="SK70" s="740">
        <v>1200</v>
      </c>
      <c r="SL70" s="98">
        <v>30000</v>
      </c>
      <c r="SS70" s="91">
        <f t="shared" si="892"/>
        <v>1200</v>
      </c>
      <c r="ST70" s="91">
        <f t="shared" si="893"/>
        <v>30000</v>
      </c>
      <c r="TA70" s="740">
        <v>2625</v>
      </c>
      <c r="TB70" s="98">
        <v>78750</v>
      </c>
      <c r="TI70" s="91">
        <f t="shared" si="894"/>
        <v>2625</v>
      </c>
      <c r="TJ70" s="91">
        <f t="shared" si="895"/>
        <v>78750</v>
      </c>
      <c r="TQ70" s="740">
        <v>4800</v>
      </c>
      <c r="TR70" s="98">
        <v>115200</v>
      </c>
      <c r="TU70" s="98">
        <v>400</v>
      </c>
      <c r="TV70" s="98">
        <v>12000</v>
      </c>
      <c r="TY70" s="91">
        <f t="shared" si="896"/>
        <v>5200</v>
      </c>
      <c r="TZ70" s="91">
        <f t="shared" si="897"/>
        <v>127200</v>
      </c>
      <c r="UG70" s="98">
        <v>490</v>
      </c>
      <c r="UH70" s="98">
        <v>11270</v>
      </c>
      <c r="UO70" s="91">
        <f t="shared" si="898"/>
        <v>490</v>
      </c>
      <c r="UP70" s="91">
        <f t="shared" si="899"/>
        <v>11270</v>
      </c>
      <c r="VE70" s="91">
        <f t="shared" si="900"/>
        <v>0</v>
      </c>
      <c r="VF70" s="91">
        <f t="shared" si="901"/>
        <v>0</v>
      </c>
      <c r="VI70" s="98">
        <v>330</v>
      </c>
      <c r="VJ70" s="98">
        <v>7590</v>
      </c>
      <c r="VM70" s="740">
        <v>780</v>
      </c>
      <c r="VN70" s="98">
        <v>19500</v>
      </c>
      <c r="VU70" s="91">
        <f t="shared" si="902"/>
        <v>1110</v>
      </c>
      <c r="VV70" s="91">
        <f t="shared" si="903"/>
        <v>27090</v>
      </c>
      <c r="VY70" s="98">
        <v>112271</v>
      </c>
      <c r="VZ70" s="98">
        <v>3143588</v>
      </c>
      <c r="WC70" s="740">
        <v>112834</v>
      </c>
      <c r="WD70" s="98">
        <v>3723522</v>
      </c>
      <c r="WK70" s="91">
        <f t="shared" si="904"/>
        <v>225105</v>
      </c>
      <c r="WL70" s="91">
        <f t="shared" si="905"/>
        <v>6867110</v>
      </c>
      <c r="WM70" s="89"/>
      <c r="WN70" s="87">
        <f t="shared" si="906"/>
        <v>0</v>
      </c>
      <c r="WO70" s="87">
        <f t="shared" si="907"/>
        <v>0</v>
      </c>
      <c r="WP70" s="87">
        <f t="shared" si="908"/>
        <v>1252653.3599999999</v>
      </c>
      <c r="WQ70" s="87">
        <f t="shared" si="909"/>
        <v>23943031</v>
      </c>
      <c r="WR70" s="87">
        <f t="shared" si="910"/>
        <v>0</v>
      </c>
      <c r="WS70" s="87">
        <f t="shared" si="911"/>
        <v>0</v>
      </c>
      <c r="WT70" s="87">
        <f t="shared" si="912"/>
        <v>2707421.25</v>
      </c>
      <c r="WU70" s="87">
        <f t="shared" si="913"/>
        <v>61147053</v>
      </c>
      <c r="WV70" s="87">
        <f t="shared" si="914"/>
        <v>200866</v>
      </c>
      <c r="WW70" s="87">
        <f t="shared" si="915"/>
        <v>3687400</v>
      </c>
      <c r="WX70" s="87">
        <f t="shared" si="916"/>
        <v>182040</v>
      </c>
      <c r="WY70" s="87">
        <f t="shared" si="917"/>
        <v>3289100</v>
      </c>
      <c r="WZ70" s="87">
        <f t="shared" si="918"/>
        <v>648201.53</v>
      </c>
      <c r="XA70" s="87">
        <f t="shared" si="919"/>
        <v>15451715</v>
      </c>
      <c r="XB70" s="92">
        <f t="shared" si="920"/>
        <v>4991182.1399999997</v>
      </c>
      <c r="XC70" s="92">
        <f t="shared" si="921"/>
        <v>107518299</v>
      </c>
      <c r="XD70" s="89"/>
      <c r="XE70" s="92">
        <f t="shared" ref="XE70:XF70" si="958">SUM(XB146,XB184,XB222)</f>
        <v>19633610.075857103</v>
      </c>
      <c r="XF70" s="92">
        <f t="shared" si="958"/>
        <v>353672694.07200313</v>
      </c>
      <c r="XG70" s="89"/>
      <c r="XH70" s="92">
        <f t="shared" ref="XH70:XI70" si="959">SUM(XE108,XE146)</f>
        <v>22328290.134707008</v>
      </c>
      <c r="XI70" s="92">
        <f t="shared" si="959"/>
        <v>445932820.35753596</v>
      </c>
      <c r="XJ70" s="89"/>
      <c r="XK70" s="87"/>
      <c r="XL70" s="87"/>
      <c r="XM70" s="87"/>
      <c r="XN70" s="87"/>
      <c r="XO70" s="87"/>
      <c r="XP70" s="87"/>
      <c r="XQ70" s="87"/>
      <c r="XR70" s="92">
        <f t="shared" ca="1" si="922"/>
        <v>0</v>
      </c>
      <c r="XS70" s="89"/>
      <c r="XT70" s="87"/>
      <c r="XU70" s="87"/>
      <c r="XV70" s="87"/>
      <c r="XW70" s="87"/>
      <c r="XX70" s="87"/>
      <c r="XY70" s="87"/>
      <c r="XZ70" s="87"/>
      <c r="YA70" s="92">
        <f t="shared" ca="1" si="923"/>
        <v>0</v>
      </c>
      <c r="YB70" s="90"/>
      <c r="YC70" s="90"/>
      <c r="YD70" s="90"/>
      <c r="YE70" s="90"/>
      <c r="YF70" s="90"/>
      <c r="YG70" s="90"/>
      <c r="YH70" s="90"/>
      <c r="YI70" s="90"/>
      <c r="YJ70" s="90"/>
      <c r="YK70" s="90"/>
      <c r="YL70" s="90"/>
      <c r="YM70" s="90"/>
      <c r="YN70" s="90"/>
      <c r="YO70" s="90"/>
      <c r="YP70" s="90"/>
      <c r="YQ70" s="90"/>
      <c r="YR70" s="90"/>
      <c r="YS70" s="90"/>
      <c r="YT70" s="90"/>
      <c r="YU70" s="90"/>
      <c r="YV70" s="90"/>
      <c r="YW70" s="90"/>
      <c r="YX70" s="90"/>
      <c r="YY70" s="90"/>
      <c r="YZ70" s="90"/>
      <c r="ZA70" s="90"/>
      <c r="ZB70" s="90"/>
      <c r="ZC70" s="90"/>
      <c r="ZD70" s="90"/>
      <c r="ZE70" s="90"/>
      <c r="ZF70" s="90"/>
      <c r="ZG70" s="90"/>
      <c r="ZH70" s="90"/>
      <c r="ZI70" s="90"/>
      <c r="ZJ70" s="90"/>
      <c r="ZK70" s="90"/>
      <c r="ZL70" s="90"/>
      <c r="ZM70" s="90"/>
      <c r="ZN70" s="90"/>
      <c r="ZO70" s="90"/>
      <c r="ZP70" s="90"/>
      <c r="ZQ70" s="90"/>
      <c r="ZR70" s="90"/>
      <c r="ZS70" s="90"/>
      <c r="ZT70" s="90"/>
      <c r="ZU70" s="90"/>
      <c r="ZV70" s="90"/>
      <c r="ZW70" s="90"/>
      <c r="ZX70" s="90"/>
      <c r="ZY70" s="90"/>
      <c r="ZZ70" s="90"/>
      <c r="AAA70" s="90"/>
      <c r="AAB70" s="90"/>
      <c r="AAC70" s="90"/>
      <c r="AAD70" s="90"/>
      <c r="AAE70" s="90"/>
      <c r="AAF70" s="90"/>
      <c r="AAG70" s="90"/>
      <c r="AAH70" s="90"/>
      <c r="AAI70" s="90"/>
      <c r="AAJ70" s="90"/>
      <c r="AAK70" s="90"/>
      <c r="AAL70" s="90"/>
      <c r="AAM70" s="90"/>
      <c r="AAN70" s="90"/>
      <c r="AAO70" s="90"/>
      <c r="AAP70" s="90"/>
      <c r="AAQ70" s="90"/>
      <c r="AAR70" s="90"/>
      <c r="AAS70" s="90"/>
      <c r="AAT70" s="90"/>
      <c r="AAU70" s="90"/>
      <c r="AAV70" s="90"/>
      <c r="AAW70" s="90"/>
      <c r="AAX70" s="90"/>
      <c r="AAY70" s="90"/>
      <c r="AAZ70" s="90"/>
      <c r="ABA70" s="90"/>
      <c r="ABB70" s="90"/>
      <c r="ABC70" s="90"/>
      <c r="ABD70" s="90"/>
      <c r="ABE70" s="90"/>
      <c r="ABF70" s="90"/>
      <c r="ABG70" s="90"/>
      <c r="ABH70" s="90"/>
      <c r="ABI70" s="90"/>
      <c r="ABJ70" s="90"/>
      <c r="ABK70" s="90"/>
      <c r="ABL70" s="90"/>
      <c r="ABM70" s="90"/>
      <c r="ABN70" s="90"/>
      <c r="ABO70" s="90"/>
      <c r="ABP70" s="90"/>
      <c r="ABQ70" s="90"/>
      <c r="ABR70" s="90"/>
      <c r="ABS70" s="90"/>
      <c r="ABT70" s="90"/>
      <c r="ABU70" s="90"/>
      <c r="ABV70" s="90"/>
      <c r="ABW70" s="90"/>
      <c r="ABX70" s="90"/>
      <c r="ABY70" s="90"/>
      <c r="ABZ70" s="90"/>
      <c r="ACA70" s="90"/>
      <c r="ACB70" s="90"/>
      <c r="ACC70" s="90"/>
      <c r="ACD70" s="90"/>
      <c r="ACE70" s="90"/>
      <c r="ACF70" s="90"/>
      <c r="ACG70" s="90"/>
      <c r="ACH70" s="90"/>
      <c r="ACI70" s="90"/>
      <c r="ACJ70" s="90"/>
      <c r="ACK70" s="90"/>
      <c r="ACL70" s="90"/>
      <c r="ACM70" s="90"/>
      <c r="ACN70" s="90"/>
      <c r="ACO70" s="90"/>
      <c r="ACP70" s="90"/>
      <c r="ACQ70" s="90"/>
      <c r="ACR70" s="90"/>
      <c r="ACS70" s="90"/>
      <c r="ACT70" s="90"/>
      <c r="ACU70" s="90"/>
      <c r="ACV70" s="90"/>
      <c r="ACW70" s="90"/>
      <c r="ACX70" s="90"/>
      <c r="ACY70" s="90"/>
      <c r="ACZ70" s="90"/>
      <c r="ADA70" s="90"/>
      <c r="ADB70" s="90"/>
      <c r="ADC70" s="90"/>
      <c r="ADD70" s="90"/>
      <c r="ADE70" s="90"/>
      <c r="ADF70" s="90"/>
      <c r="ADG70" s="90"/>
      <c r="ADH70" s="90"/>
      <c r="ADI70" s="90"/>
      <c r="ADJ70" s="90"/>
      <c r="ADK70" s="90"/>
      <c r="ADL70" s="90"/>
      <c r="ADM70" s="90"/>
      <c r="ADN70" s="90"/>
      <c r="ADO70" s="90"/>
      <c r="ADP70" s="90"/>
      <c r="ADQ70" s="90"/>
      <c r="ADR70" s="90"/>
      <c r="ADS70" s="90"/>
      <c r="ADT70" s="90"/>
      <c r="ADU70" s="90"/>
      <c r="ADV70" s="90"/>
      <c r="ADW70" s="90"/>
      <c r="ADX70" s="90"/>
      <c r="ADY70" s="90"/>
      <c r="ADZ70" s="90"/>
      <c r="AEA70" s="90"/>
      <c r="AEB70" s="90"/>
      <c r="AEC70" s="90"/>
      <c r="AED70" s="90"/>
      <c r="AEE70" s="90"/>
      <c r="AEF70" s="90"/>
      <c r="AEG70" s="90"/>
      <c r="AEH70" s="90"/>
      <c r="AEI70" s="90"/>
      <c r="AEJ70" s="90"/>
      <c r="AEK70" s="90"/>
      <c r="AEL70" s="90"/>
      <c r="AEM70" s="90"/>
      <c r="AEN70" s="90"/>
      <c r="AEO70" s="90"/>
      <c r="AEP70" s="90"/>
      <c r="AEQ70" s="90"/>
      <c r="AER70" s="90"/>
      <c r="AES70" s="90"/>
      <c r="AET70" s="90"/>
      <c r="AEU70" s="90"/>
      <c r="AEV70" s="90"/>
      <c r="AEW70" s="90"/>
      <c r="AEX70" s="90"/>
      <c r="AEY70" s="90"/>
      <c r="AEZ70" s="90"/>
      <c r="AFA70" s="90"/>
      <c r="AFB70" s="90"/>
      <c r="AFC70" s="90"/>
      <c r="AFD70" s="90"/>
      <c r="AFE70" s="90"/>
      <c r="AFF70" s="90"/>
      <c r="AFG70" s="90"/>
      <c r="AFH70" s="90"/>
      <c r="AFI70" s="90"/>
      <c r="AFJ70" s="90"/>
      <c r="AFK70" s="90"/>
      <c r="AFL70" s="90"/>
      <c r="AFM70" s="90"/>
      <c r="AFN70" s="90"/>
      <c r="AFO70" s="90"/>
      <c r="AFP70" s="90"/>
      <c r="AFQ70" s="90"/>
      <c r="AFR70" s="90"/>
      <c r="AFS70" s="90"/>
      <c r="AFT70" s="90"/>
      <c r="AFU70" s="90"/>
      <c r="AFV70" s="90"/>
      <c r="AFW70" s="90"/>
      <c r="AFX70" s="90"/>
      <c r="AFY70" s="90"/>
      <c r="AFZ70" s="90"/>
      <c r="AGA70" s="90"/>
      <c r="AGB70" s="90"/>
      <c r="AGC70" s="90"/>
      <c r="AGD70" s="90"/>
      <c r="AGE70" s="90"/>
      <c r="AGF70" s="90"/>
      <c r="AGG70" s="90"/>
      <c r="AGH70" s="90"/>
      <c r="AGI70" s="90"/>
      <c r="AGJ70" s="90"/>
      <c r="AGK70" s="90"/>
      <c r="AGL70" s="90"/>
      <c r="AGM70" s="90"/>
      <c r="AGN70" s="90"/>
      <c r="AGO70" s="90"/>
      <c r="AGP70" s="90"/>
      <c r="AGQ70" s="90"/>
      <c r="AGR70" s="90"/>
      <c r="AGS70" s="90"/>
      <c r="AGT70" s="90"/>
      <c r="AGU70" s="90"/>
      <c r="AGV70" s="90"/>
      <c r="AGW70" s="90"/>
      <c r="AGX70" s="90"/>
      <c r="AGY70" s="90"/>
      <c r="AGZ70" s="90"/>
      <c r="AHA70" s="90"/>
      <c r="AHB70" s="90"/>
      <c r="AHC70" s="90"/>
      <c r="AHD70" s="90"/>
      <c r="AHE70" s="90"/>
      <c r="AHF70" s="90"/>
      <c r="AHG70" s="90"/>
      <c r="AHH70" s="90"/>
      <c r="AHI70" s="90"/>
      <c r="AHJ70" s="90"/>
      <c r="AHK70" s="90"/>
      <c r="AHL70" s="90"/>
      <c r="AHM70" s="90"/>
      <c r="AHN70" s="90"/>
      <c r="AHO70" s="90"/>
      <c r="AHP70" s="90"/>
      <c r="AHQ70" s="90"/>
      <c r="AHR70" s="90"/>
      <c r="AHS70" s="90"/>
      <c r="AHT70" s="90"/>
      <c r="AHU70" s="90"/>
      <c r="AHV70" s="90"/>
      <c r="AHW70" s="90"/>
      <c r="AHX70" s="90"/>
      <c r="AHY70" s="90"/>
      <c r="AHZ70" s="90"/>
      <c r="AIA70" s="90"/>
      <c r="AIB70" s="90"/>
      <c r="AIC70" s="90"/>
      <c r="AID70" s="90"/>
      <c r="AIE70" s="90"/>
      <c r="AIF70" s="90"/>
      <c r="AIG70" s="90"/>
      <c r="AIH70" s="90"/>
      <c r="AII70" s="90"/>
      <c r="AIJ70" s="90"/>
      <c r="AIK70" s="90"/>
      <c r="AIL70" s="90"/>
      <c r="AIM70" s="90"/>
      <c r="AIN70" s="90"/>
      <c r="AIO70" s="90"/>
      <c r="AIP70" s="90"/>
      <c r="AIQ70" s="90"/>
      <c r="AIR70" s="90"/>
      <c r="AIS70" s="90"/>
      <c r="AIT70" s="90"/>
      <c r="AIU70" s="90"/>
      <c r="AIV70" s="90"/>
      <c r="AIW70" s="90"/>
      <c r="AIX70" s="90"/>
      <c r="AIY70" s="90"/>
      <c r="AIZ70" s="90"/>
      <c r="AJA70" s="90"/>
      <c r="AJB70" s="90"/>
      <c r="AJC70" s="90"/>
      <c r="AJD70" s="90"/>
      <c r="AJE70" s="90"/>
      <c r="AJF70" s="90"/>
      <c r="AJG70" s="90"/>
      <c r="AJH70" s="90"/>
      <c r="AJI70" s="90"/>
      <c r="AJJ70" s="90"/>
      <c r="AJK70" s="90"/>
      <c r="AJL70" s="90"/>
      <c r="AJM70" s="90"/>
      <c r="AJN70" s="90"/>
      <c r="AJO70" s="90"/>
      <c r="AJP70" s="90"/>
      <c r="AJQ70" s="90"/>
      <c r="AJR70" s="90"/>
      <c r="AJS70" s="90"/>
      <c r="AJT70" s="90"/>
      <c r="AJU70" s="90"/>
      <c r="AJV70" s="90"/>
      <c r="AJW70" s="90"/>
      <c r="AJX70" s="90"/>
      <c r="AJY70" s="90"/>
      <c r="AJZ70" s="90"/>
      <c r="AKA70" s="90"/>
      <c r="AKB70" s="90"/>
      <c r="AKC70" s="90"/>
      <c r="AKD70" s="90"/>
      <c r="AKE70" s="90"/>
      <c r="AKF70" s="90"/>
      <c r="AKG70" s="90"/>
      <c r="AKH70" s="90"/>
      <c r="AKI70" s="90"/>
      <c r="AKJ70" s="90"/>
      <c r="AKK70" s="90"/>
      <c r="AKL70" s="90"/>
      <c r="AKM70" s="90"/>
      <c r="AKN70" s="90"/>
      <c r="AKO70" s="90"/>
      <c r="AKP70" s="90"/>
      <c r="AKQ70" s="90"/>
      <c r="AKR70" s="90"/>
      <c r="AKS70" s="90"/>
      <c r="AKT70" s="90"/>
      <c r="AKU70" s="90"/>
      <c r="AKV70" s="90"/>
      <c r="AKW70" s="90"/>
      <c r="AKX70" s="90"/>
      <c r="AKY70" s="90"/>
      <c r="AKZ70" s="90"/>
      <c r="ALA70" s="90"/>
      <c r="ALB70" s="90"/>
      <c r="ALC70" s="90"/>
      <c r="ALD70" s="90"/>
      <c r="ALE70" s="90"/>
      <c r="ALF70" s="90"/>
      <c r="ALG70" s="90"/>
      <c r="ALH70" s="90"/>
      <c r="ALI70" s="90"/>
      <c r="ALJ70" s="90"/>
      <c r="ALK70" s="90"/>
      <c r="ALL70" s="90"/>
      <c r="ALM70" s="90"/>
      <c r="ALN70" s="90"/>
      <c r="ALO70" s="90"/>
      <c r="ALP70" s="90"/>
      <c r="ALQ70" s="90"/>
      <c r="ALR70" s="90"/>
      <c r="ALS70" s="90"/>
      <c r="ALT70" s="90"/>
      <c r="ALU70" s="90"/>
      <c r="ALV70" s="90"/>
      <c r="ALW70" s="90"/>
      <c r="ALX70" s="90"/>
      <c r="ALY70" s="90"/>
      <c r="ALZ70" s="90"/>
      <c r="AMA70" s="90"/>
      <c r="AMB70" s="90"/>
      <c r="AMC70" s="90"/>
    </row>
    <row r="71" spans="1:1017">
      <c r="A71" s="98" t="s">
        <v>26</v>
      </c>
      <c r="B71" s="648" t="str">
        <f t="shared" si="829"/>
        <v xml:space="preserve">Patin </v>
      </c>
      <c r="Q71" s="91">
        <f t="shared" si="830"/>
        <v>0</v>
      </c>
      <c r="R71" s="91">
        <f t="shared" si="831"/>
        <v>0</v>
      </c>
      <c r="Y71" s="778">
        <v>230215</v>
      </c>
      <c r="Z71" s="778">
        <v>4604300</v>
      </c>
      <c r="AG71" s="91">
        <f t="shared" si="832"/>
        <v>230215</v>
      </c>
      <c r="AH71" s="91">
        <f t="shared" si="833"/>
        <v>4604300</v>
      </c>
      <c r="AO71" s="98">
        <v>9800</v>
      </c>
      <c r="AP71" s="98">
        <v>156800</v>
      </c>
      <c r="AW71" s="91">
        <f t="shared" si="834"/>
        <v>9800</v>
      </c>
      <c r="AX71" s="91">
        <f t="shared" si="835"/>
        <v>156800</v>
      </c>
      <c r="BE71" s="98">
        <v>26192</v>
      </c>
      <c r="BF71" s="98">
        <v>471456</v>
      </c>
      <c r="BK71" s="98">
        <v>1425</v>
      </c>
      <c r="BL71" s="98">
        <v>25650</v>
      </c>
      <c r="BM71" s="91">
        <f t="shared" si="836"/>
        <v>27617</v>
      </c>
      <c r="BN71" s="91">
        <f t="shared" si="837"/>
        <v>497106</v>
      </c>
      <c r="BU71" s="90">
        <v>100</v>
      </c>
      <c r="BV71" s="98">
        <v>2700</v>
      </c>
      <c r="CC71" s="91">
        <f t="shared" si="838"/>
        <v>100</v>
      </c>
      <c r="CD71" s="91">
        <f t="shared" si="839"/>
        <v>2700</v>
      </c>
      <c r="CK71" s="98">
        <v>1142</v>
      </c>
      <c r="CL71" s="98">
        <v>18277</v>
      </c>
      <c r="CS71" s="91">
        <f t="shared" si="840"/>
        <v>1142</v>
      </c>
      <c r="CT71" s="91">
        <f t="shared" si="841"/>
        <v>18277</v>
      </c>
      <c r="DI71" s="91">
        <f t="shared" si="842"/>
        <v>0</v>
      </c>
      <c r="DJ71" s="91">
        <f t="shared" si="843"/>
        <v>0</v>
      </c>
      <c r="DQ71" s="98">
        <v>149600</v>
      </c>
      <c r="DR71" s="98">
        <v>2692800</v>
      </c>
      <c r="DY71" s="91">
        <f t="shared" si="844"/>
        <v>149600</v>
      </c>
      <c r="DZ71" s="91">
        <f t="shared" si="845"/>
        <v>2692800</v>
      </c>
      <c r="EG71" s="98">
        <v>15000</v>
      </c>
      <c r="EH71" s="98">
        <v>225000</v>
      </c>
      <c r="EO71" s="91">
        <f t="shared" si="846"/>
        <v>15000</v>
      </c>
      <c r="EP71" s="91">
        <f t="shared" si="847"/>
        <v>225000</v>
      </c>
      <c r="EW71" s="98">
        <v>676</v>
      </c>
      <c r="EX71" s="98">
        <v>12168</v>
      </c>
      <c r="EZ71" s="98" t="s">
        <v>384</v>
      </c>
      <c r="FB71" s="98" t="s">
        <v>384</v>
      </c>
      <c r="FD71" s="98" t="s">
        <v>384</v>
      </c>
      <c r="FE71" s="91">
        <f t="shared" si="848"/>
        <v>676</v>
      </c>
      <c r="FF71" s="91">
        <f t="shared" si="849"/>
        <v>12168</v>
      </c>
      <c r="FM71" s="98">
        <v>590</v>
      </c>
      <c r="FN71" s="98">
        <v>14750</v>
      </c>
      <c r="FU71" s="91">
        <f t="shared" si="850"/>
        <v>590</v>
      </c>
      <c r="FV71" s="91">
        <f t="shared" si="851"/>
        <v>14750</v>
      </c>
      <c r="GC71" s="98">
        <v>28000</v>
      </c>
      <c r="GD71" s="98">
        <v>476000</v>
      </c>
      <c r="GK71" s="91">
        <f t="shared" si="852"/>
        <v>28000</v>
      </c>
      <c r="GL71" s="91">
        <f t="shared" si="853"/>
        <v>476000</v>
      </c>
      <c r="GS71" s="98">
        <v>3000</v>
      </c>
      <c r="GT71" s="98">
        <v>49500</v>
      </c>
      <c r="HA71" s="91">
        <f t="shared" si="854"/>
        <v>3000</v>
      </c>
      <c r="HB71" s="91">
        <f t="shared" si="855"/>
        <v>49500</v>
      </c>
      <c r="HQ71" s="91">
        <f t="shared" si="856"/>
        <v>0</v>
      </c>
      <c r="HR71" s="91">
        <f t="shared" si="857"/>
        <v>0</v>
      </c>
      <c r="HY71" s="98">
        <v>1500</v>
      </c>
      <c r="HZ71" s="98">
        <v>25500</v>
      </c>
      <c r="IG71" s="91">
        <f t="shared" si="858"/>
        <v>1500</v>
      </c>
      <c r="IH71" s="91">
        <f t="shared" si="859"/>
        <v>25500</v>
      </c>
      <c r="IO71" s="98">
        <v>7500</v>
      </c>
      <c r="IP71" s="98">
        <v>142500</v>
      </c>
      <c r="IW71" s="91">
        <f t="shared" si="860"/>
        <v>7500</v>
      </c>
      <c r="IX71" s="91">
        <f t="shared" si="861"/>
        <v>142500</v>
      </c>
      <c r="JE71" s="98">
        <v>13700</v>
      </c>
      <c r="JF71" s="98">
        <v>246600</v>
      </c>
      <c r="JK71" s="98">
        <v>5900</v>
      </c>
      <c r="JL71" s="98">
        <v>106200</v>
      </c>
      <c r="JM71" s="91">
        <f t="shared" si="862"/>
        <v>19600</v>
      </c>
      <c r="JN71" s="91">
        <f t="shared" si="863"/>
        <v>352800</v>
      </c>
      <c r="KC71" s="91">
        <f t="shared" si="864"/>
        <v>0</v>
      </c>
      <c r="KD71" s="91">
        <f t="shared" si="865"/>
        <v>0</v>
      </c>
      <c r="KS71" s="91">
        <f t="shared" si="866"/>
        <v>0</v>
      </c>
      <c r="KT71" s="91">
        <f t="shared" si="867"/>
        <v>0</v>
      </c>
      <c r="LI71" s="91">
        <f t="shared" si="868"/>
        <v>0</v>
      </c>
      <c r="LJ71" s="91">
        <f t="shared" si="869"/>
        <v>0</v>
      </c>
      <c r="LQ71" s="98">
        <v>1634</v>
      </c>
      <c r="LR71" s="98">
        <v>31046</v>
      </c>
      <c r="LY71" s="91">
        <f t="shared" si="870"/>
        <v>1634</v>
      </c>
      <c r="LZ71" s="91">
        <f t="shared" si="871"/>
        <v>31046</v>
      </c>
      <c r="MO71" s="91">
        <f t="shared" si="872"/>
        <v>0</v>
      </c>
      <c r="MP71" s="91">
        <f t="shared" si="873"/>
        <v>0</v>
      </c>
      <c r="NE71" s="91">
        <f t="shared" si="874"/>
        <v>0</v>
      </c>
      <c r="NF71" s="91">
        <f t="shared" si="875"/>
        <v>0</v>
      </c>
      <c r="NM71" s="98">
        <v>22200</v>
      </c>
      <c r="NN71" s="98">
        <v>399600</v>
      </c>
      <c r="NQ71" s="98">
        <v>19500</v>
      </c>
      <c r="NR71" s="98">
        <v>351000</v>
      </c>
      <c r="NU71" s="91">
        <f t="shared" si="876"/>
        <v>41700</v>
      </c>
      <c r="NV71" s="91">
        <f t="shared" si="877"/>
        <v>750600</v>
      </c>
      <c r="OK71" s="91">
        <f t="shared" si="878"/>
        <v>0</v>
      </c>
      <c r="OL71" s="91">
        <f t="shared" si="879"/>
        <v>0</v>
      </c>
      <c r="PA71" s="91">
        <f t="shared" si="880"/>
        <v>0</v>
      </c>
      <c r="PB71" s="91">
        <f t="shared" si="881"/>
        <v>0</v>
      </c>
      <c r="PI71" s="98">
        <v>37160</v>
      </c>
      <c r="PJ71" s="98">
        <v>538836</v>
      </c>
      <c r="PQ71" s="91">
        <f t="shared" si="882"/>
        <v>37160</v>
      </c>
      <c r="PR71" s="91">
        <f t="shared" si="883"/>
        <v>538836</v>
      </c>
      <c r="PY71" s="98">
        <v>52900</v>
      </c>
      <c r="PZ71" s="98">
        <v>793500</v>
      </c>
      <c r="QC71" s="98">
        <v>16750</v>
      </c>
      <c r="QD71" s="98">
        <v>284750</v>
      </c>
      <c r="QG71" s="91">
        <f t="shared" si="884"/>
        <v>69650</v>
      </c>
      <c r="QH71" s="91">
        <f t="shared" si="885"/>
        <v>1078250</v>
      </c>
      <c r="QO71" s="98">
        <v>1500000</v>
      </c>
      <c r="QP71" s="98">
        <v>22500000</v>
      </c>
      <c r="QW71" s="91">
        <f t="shared" si="886"/>
        <v>1500000</v>
      </c>
      <c r="QX71" s="91">
        <f t="shared" si="887"/>
        <v>22500000</v>
      </c>
      <c r="RM71" s="91">
        <f t="shared" si="888"/>
        <v>0</v>
      </c>
      <c r="RN71" s="91">
        <f t="shared" si="889"/>
        <v>0</v>
      </c>
      <c r="SC71" s="91">
        <f t="shared" si="890"/>
        <v>0</v>
      </c>
      <c r="SD71" s="91">
        <f t="shared" si="891"/>
        <v>0</v>
      </c>
      <c r="SS71" s="91">
        <f t="shared" si="892"/>
        <v>0</v>
      </c>
      <c r="ST71" s="91">
        <f t="shared" si="893"/>
        <v>0</v>
      </c>
      <c r="TI71" s="91">
        <f t="shared" si="894"/>
        <v>0</v>
      </c>
      <c r="TJ71" s="91">
        <f t="shared" si="895"/>
        <v>0</v>
      </c>
      <c r="TY71" s="91">
        <f t="shared" si="896"/>
        <v>0</v>
      </c>
      <c r="TZ71" s="91">
        <f t="shared" si="897"/>
        <v>0</v>
      </c>
      <c r="UG71" s="98">
        <v>210</v>
      </c>
      <c r="UH71" s="98">
        <v>4200</v>
      </c>
      <c r="UO71" s="91">
        <f t="shared" si="898"/>
        <v>210</v>
      </c>
      <c r="UP71" s="91">
        <f t="shared" si="899"/>
        <v>4200</v>
      </c>
      <c r="VE71" s="91">
        <f t="shared" si="900"/>
        <v>0</v>
      </c>
      <c r="VF71" s="91">
        <f t="shared" si="901"/>
        <v>0</v>
      </c>
      <c r="VU71" s="91">
        <f t="shared" si="902"/>
        <v>0</v>
      </c>
      <c r="VV71" s="91">
        <f t="shared" si="903"/>
        <v>0</v>
      </c>
      <c r="WC71" s="98">
        <v>372</v>
      </c>
      <c r="WD71" s="98">
        <v>9300</v>
      </c>
      <c r="WK71" s="91">
        <f t="shared" si="904"/>
        <v>372</v>
      </c>
      <c r="WL71" s="91">
        <f t="shared" si="905"/>
        <v>9300</v>
      </c>
      <c r="WM71" s="89"/>
      <c r="WN71" s="87">
        <f t="shared" si="906"/>
        <v>0</v>
      </c>
      <c r="WO71" s="87">
        <f t="shared" si="907"/>
        <v>0</v>
      </c>
      <c r="WP71" s="87">
        <f t="shared" si="908"/>
        <v>0</v>
      </c>
      <c r="WQ71" s="87">
        <f t="shared" si="909"/>
        <v>0</v>
      </c>
      <c r="WR71" s="87">
        <f t="shared" si="910"/>
        <v>0</v>
      </c>
      <c r="WS71" s="87">
        <f t="shared" si="911"/>
        <v>0</v>
      </c>
      <c r="WT71" s="87">
        <f t="shared" si="912"/>
        <v>2101491</v>
      </c>
      <c r="WU71" s="87">
        <f t="shared" si="913"/>
        <v>33414833</v>
      </c>
      <c r="WV71" s="87">
        <f t="shared" si="914"/>
        <v>0</v>
      </c>
      <c r="WW71" s="87">
        <f t="shared" si="915"/>
        <v>0</v>
      </c>
      <c r="WX71" s="87">
        <f t="shared" si="916"/>
        <v>36250</v>
      </c>
      <c r="WY71" s="87">
        <f t="shared" si="917"/>
        <v>635750</v>
      </c>
      <c r="WZ71" s="87">
        <f t="shared" si="918"/>
        <v>7325</v>
      </c>
      <c r="XA71" s="87">
        <f t="shared" si="919"/>
        <v>131850</v>
      </c>
      <c r="XB71" s="92">
        <f t="shared" si="920"/>
        <v>2145066</v>
      </c>
      <c r="XC71" s="92">
        <f t="shared" si="921"/>
        <v>34182433</v>
      </c>
      <c r="XD71" s="89"/>
      <c r="XE71" s="92">
        <f t="shared" ref="XE71:XF71" si="960">SUM(XB147,XB185,XB223)</f>
        <v>7811610.5624428755</v>
      </c>
      <c r="XF71" s="92">
        <f t="shared" si="960"/>
        <v>125742226.0498575</v>
      </c>
      <c r="XG71" s="89"/>
      <c r="XH71" s="92">
        <f t="shared" ref="XH71:XI71" si="961">SUM(XE109,XE147)</f>
        <v>15366670.595683675</v>
      </c>
      <c r="XI71" s="92">
        <f t="shared" si="961"/>
        <v>300207988.53937483</v>
      </c>
      <c r="XJ71" s="89"/>
      <c r="XK71" s="87"/>
      <c r="XL71" s="87"/>
      <c r="XM71" s="87"/>
      <c r="XN71" s="87"/>
      <c r="XO71" s="87"/>
      <c r="XP71" s="87"/>
      <c r="XQ71" s="87"/>
      <c r="XR71" s="92">
        <f t="shared" ca="1" si="922"/>
        <v>0</v>
      </c>
      <c r="XS71" s="89"/>
      <c r="XT71" s="87"/>
      <c r="XU71" s="87"/>
      <c r="XV71" s="87"/>
      <c r="XW71" s="87"/>
      <c r="XX71" s="87"/>
      <c r="XY71" s="87"/>
      <c r="XZ71" s="87"/>
      <c r="YA71" s="92">
        <f t="shared" ca="1" si="923"/>
        <v>0</v>
      </c>
      <c r="YB71" s="90"/>
      <c r="YC71" s="90"/>
      <c r="YD71" s="90"/>
      <c r="YE71" s="90"/>
      <c r="YF71" s="90"/>
      <c r="YG71" s="90"/>
      <c r="YH71" s="90"/>
      <c r="YI71" s="90"/>
      <c r="YJ71" s="90"/>
      <c r="YK71" s="90"/>
      <c r="YL71" s="90"/>
      <c r="YM71" s="90"/>
      <c r="YN71" s="90"/>
      <c r="YO71" s="90"/>
      <c r="YP71" s="90"/>
      <c r="YQ71" s="90"/>
      <c r="YR71" s="90"/>
      <c r="YS71" s="90"/>
      <c r="YT71" s="90"/>
      <c r="YU71" s="90"/>
      <c r="YV71" s="90"/>
      <c r="YW71" s="90"/>
      <c r="YX71" s="90"/>
      <c r="YY71" s="90"/>
      <c r="YZ71" s="90"/>
      <c r="ZA71" s="90"/>
      <c r="ZB71" s="90"/>
      <c r="ZC71" s="90"/>
      <c r="ZD71" s="90"/>
      <c r="ZE71" s="90"/>
      <c r="ZF71" s="90"/>
      <c r="ZG71" s="90"/>
      <c r="ZH71" s="90"/>
      <c r="ZI71" s="90"/>
      <c r="ZJ71" s="90"/>
      <c r="ZK71" s="90"/>
      <c r="ZL71" s="90"/>
      <c r="ZM71" s="90"/>
      <c r="ZN71" s="90"/>
      <c r="ZO71" s="90"/>
      <c r="ZP71" s="90"/>
      <c r="ZQ71" s="90"/>
      <c r="ZR71" s="90"/>
      <c r="ZS71" s="90"/>
      <c r="ZT71" s="90"/>
      <c r="ZU71" s="90"/>
      <c r="ZV71" s="90"/>
      <c r="ZW71" s="90"/>
      <c r="ZX71" s="90"/>
      <c r="ZY71" s="90"/>
      <c r="ZZ71" s="90"/>
      <c r="AAA71" s="90"/>
      <c r="AAB71" s="90"/>
      <c r="AAC71" s="90"/>
      <c r="AAD71" s="90"/>
      <c r="AAE71" s="90"/>
      <c r="AAF71" s="90"/>
      <c r="AAG71" s="90"/>
      <c r="AAH71" s="90"/>
      <c r="AAI71" s="90"/>
      <c r="AAJ71" s="90"/>
      <c r="AAK71" s="90"/>
      <c r="AAL71" s="90"/>
      <c r="AAM71" s="90"/>
      <c r="AAN71" s="90"/>
      <c r="AAO71" s="90"/>
      <c r="AAP71" s="90"/>
      <c r="AAQ71" s="90"/>
      <c r="AAR71" s="90"/>
      <c r="AAS71" s="90"/>
      <c r="AAT71" s="90"/>
      <c r="AAU71" s="90"/>
      <c r="AAV71" s="90"/>
      <c r="AAW71" s="90"/>
      <c r="AAX71" s="90"/>
      <c r="AAY71" s="90"/>
      <c r="AAZ71" s="90"/>
      <c r="ABA71" s="90"/>
      <c r="ABB71" s="90"/>
      <c r="ABC71" s="90"/>
      <c r="ABD71" s="90"/>
      <c r="ABE71" s="90"/>
      <c r="ABF71" s="90"/>
      <c r="ABG71" s="90"/>
      <c r="ABH71" s="90"/>
      <c r="ABI71" s="90"/>
      <c r="ABJ71" s="90"/>
      <c r="ABK71" s="90"/>
      <c r="ABL71" s="90"/>
      <c r="ABM71" s="90"/>
      <c r="ABN71" s="90"/>
      <c r="ABO71" s="90"/>
      <c r="ABP71" s="90"/>
      <c r="ABQ71" s="90"/>
      <c r="ABR71" s="90"/>
      <c r="ABS71" s="90"/>
      <c r="ABT71" s="90"/>
      <c r="ABU71" s="90"/>
      <c r="ABV71" s="90"/>
      <c r="ABW71" s="90"/>
      <c r="ABX71" s="90"/>
      <c r="ABY71" s="90"/>
      <c r="ABZ71" s="90"/>
      <c r="ACA71" s="90"/>
      <c r="ACB71" s="90"/>
      <c r="ACC71" s="90"/>
      <c r="ACD71" s="90"/>
      <c r="ACE71" s="90"/>
      <c r="ACF71" s="90"/>
      <c r="ACG71" s="90"/>
      <c r="ACH71" s="90"/>
      <c r="ACI71" s="90"/>
      <c r="ACJ71" s="90"/>
      <c r="ACK71" s="90"/>
      <c r="ACL71" s="90"/>
      <c r="ACM71" s="90"/>
      <c r="ACN71" s="90"/>
      <c r="ACO71" s="90"/>
      <c r="ACP71" s="90"/>
      <c r="ACQ71" s="90"/>
      <c r="ACR71" s="90"/>
      <c r="ACS71" s="90"/>
      <c r="ACT71" s="90"/>
      <c r="ACU71" s="90"/>
      <c r="ACV71" s="90"/>
      <c r="ACW71" s="90"/>
      <c r="ACX71" s="90"/>
      <c r="ACY71" s="90"/>
      <c r="ACZ71" s="90"/>
      <c r="ADA71" s="90"/>
      <c r="ADB71" s="90"/>
      <c r="ADC71" s="90"/>
      <c r="ADD71" s="90"/>
      <c r="ADE71" s="90"/>
      <c r="ADF71" s="90"/>
      <c r="ADG71" s="90"/>
      <c r="ADH71" s="90"/>
      <c r="ADI71" s="90"/>
      <c r="ADJ71" s="90"/>
      <c r="ADK71" s="90"/>
      <c r="ADL71" s="90"/>
      <c r="ADM71" s="90"/>
      <c r="ADN71" s="90"/>
      <c r="ADO71" s="90"/>
      <c r="ADP71" s="90"/>
      <c r="ADQ71" s="90"/>
      <c r="ADR71" s="90"/>
      <c r="ADS71" s="90"/>
      <c r="ADT71" s="90"/>
      <c r="ADU71" s="90"/>
      <c r="ADV71" s="90"/>
      <c r="ADW71" s="90"/>
      <c r="ADX71" s="90"/>
      <c r="ADY71" s="90"/>
      <c r="ADZ71" s="90"/>
      <c r="AEA71" s="90"/>
      <c r="AEB71" s="90"/>
      <c r="AEC71" s="90"/>
      <c r="AED71" s="90"/>
      <c r="AEE71" s="90"/>
      <c r="AEF71" s="90"/>
      <c r="AEG71" s="90"/>
      <c r="AEH71" s="90"/>
      <c r="AEI71" s="90"/>
      <c r="AEJ71" s="90"/>
      <c r="AEK71" s="90"/>
      <c r="AEL71" s="90"/>
      <c r="AEM71" s="90"/>
      <c r="AEN71" s="90"/>
      <c r="AEO71" s="90"/>
      <c r="AEP71" s="90"/>
      <c r="AEQ71" s="90"/>
      <c r="AER71" s="90"/>
      <c r="AES71" s="90"/>
      <c r="AET71" s="90"/>
      <c r="AEU71" s="90"/>
      <c r="AEV71" s="90"/>
      <c r="AEW71" s="90"/>
      <c r="AEX71" s="90"/>
      <c r="AEY71" s="90"/>
      <c r="AEZ71" s="90"/>
      <c r="AFA71" s="90"/>
      <c r="AFB71" s="90"/>
      <c r="AFC71" s="90"/>
      <c r="AFD71" s="90"/>
      <c r="AFE71" s="90"/>
      <c r="AFF71" s="90"/>
      <c r="AFG71" s="90"/>
      <c r="AFH71" s="90"/>
      <c r="AFI71" s="90"/>
      <c r="AFJ71" s="90"/>
      <c r="AFK71" s="90"/>
      <c r="AFL71" s="90"/>
      <c r="AFM71" s="90"/>
      <c r="AFN71" s="90"/>
      <c r="AFO71" s="90"/>
      <c r="AFP71" s="90"/>
      <c r="AFQ71" s="90"/>
      <c r="AFR71" s="90"/>
      <c r="AFS71" s="90"/>
      <c r="AFT71" s="90"/>
      <c r="AFU71" s="90"/>
      <c r="AFV71" s="90"/>
      <c r="AFW71" s="90"/>
      <c r="AFX71" s="90"/>
      <c r="AFY71" s="90"/>
      <c r="AFZ71" s="90"/>
      <c r="AGA71" s="90"/>
      <c r="AGB71" s="90"/>
      <c r="AGC71" s="90"/>
      <c r="AGD71" s="90"/>
      <c r="AGE71" s="90"/>
      <c r="AGF71" s="90"/>
      <c r="AGG71" s="90"/>
      <c r="AGH71" s="90"/>
      <c r="AGI71" s="90"/>
      <c r="AGJ71" s="90"/>
      <c r="AGK71" s="90"/>
      <c r="AGL71" s="90"/>
      <c r="AGM71" s="90"/>
      <c r="AGN71" s="90"/>
      <c r="AGO71" s="90"/>
      <c r="AGP71" s="90"/>
      <c r="AGQ71" s="90"/>
      <c r="AGR71" s="90"/>
      <c r="AGS71" s="90"/>
      <c r="AGT71" s="90"/>
      <c r="AGU71" s="90"/>
      <c r="AGV71" s="90"/>
      <c r="AGW71" s="90"/>
      <c r="AGX71" s="90"/>
      <c r="AGY71" s="90"/>
      <c r="AGZ71" s="90"/>
      <c r="AHA71" s="90"/>
      <c r="AHB71" s="90"/>
      <c r="AHC71" s="90"/>
      <c r="AHD71" s="90"/>
      <c r="AHE71" s="90"/>
      <c r="AHF71" s="90"/>
      <c r="AHG71" s="90"/>
      <c r="AHH71" s="90"/>
      <c r="AHI71" s="90"/>
      <c r="AHJ71" s="90"/>
      <c r="AHK71" s="90"/>
      <c r="AHL71" s="90"/>
      <c r="AHM71" s="90"/>
      <c r="AHN71" s="90"/>
      <c r="AHO71" s="90"/>
      <c r="AHP71" s="90"/>
      <c r="AHQ71" s="90"/>
      <c r="AHR71" s="90"/>
      <c r="AHS71" s="90"/>
      <c r="AHT71" s="90"/>
      <c r="AHU71" s="90"/>
      <c r="AHV71" s="90"/>
      <c r="AHW71" s="90"/>
      <c r="AHX71" s="90"/>
      <c r="AHY71" s="90"/>
      <c r="AHZ71" s="90"/>
      <c r="AIA71" s="90"/>
      <c r="AIB71" s="90"/>
      <c r="AIC71" s="90"/>
      <c r="AID71" s="90"/>
      <c r="AIE71" s="90"/>
      <c r="AIF71" s="90"/>
      <c r="AIG71" s="90"/>
      <c r="AIH71" s="90"/>
      <c r="AII71" s="90"/>
      <c r="AIJ71" s="90"/>
      <c r="AIK71" s="90"/>
      <c r="AIL71" s="90"/>
      <c r="AIM71" s="90"/>
      <c r="AIN71" s="90"/>
      <c r="AIO71" s="90"/>
      <c r="AIP71" s="90"/>
      <c r="AIQ71" s="90"/>
      <c r="AIR71" s="90"/>
      <c r="AIS71" s="90"/>
      <c r="AIT71" s="90"/>
      <c r="AIU71" s="90"/>
      <c r="AIV71" s="90"/>
      <c r="AIW71" s="90"/>
      <c r="AIX71" s="90"/>
      <c r="AIY71" s="90"/>
      <c r="AIZ71" s="90"/>
      <c r="AJA71" s="90"/>
      <c r="AJB71" s="90"/>
      <c r="AJC71" s="90"/>
      <c r="AJD71" s="90"/>
      <c r="AJE71" s="90"/>
      <c r="AJF71" s="90"/>
      <c r="AJG71" s="90"/>
      <c r="AJH71" s="90"/>
      <c r="AJI71" s="90"/>
      <c r="AJJ71" s="90"/>
      <c r="AJK71" s="90"/>
      <c r="AJL71" s="90"/>
      <c r="AJM71" s="90"/>
      <c r="AJN71" s="90"/>
      <c r="AJO71" s="90"/>
      <c r="AJP71" s="90"/>
      <c r="AJQ71" s="90"/>
      <c r="AJR71" s="90"/>
      <c r="AJS71" s="90"/>
      <c r="AJT71" s="90"/>
      <c r="AJU71" s="90"/>
      <c r="AJV71" s="90"/>
      <c r="AJW71" s="90"/>
      <c r="AJX71" s="90"/>
      <c r="AJY71" s="90"/>
      <c r="AJZ71" s="90"/>
      <c r="AKA71" s="90"/>
      <c r="AKB71" s="90"/>
      <c r="AKC71" s="90"/>
      <c r="AKD71" s="90"/>
      <c r="AKE71" s="90"/>
      <c r="AKF71" s="90"/>
      <c r="AKG71" s="90"/>
      <c r="AKH71" s="90"/>
      <c r="AKI71" s="90"/>
      <c r="AKJ71" s="90"/>
      <c r="AKK71" s="90"/>
      <c r="AKL71" s="90"/>
      <c r="AKM71" s="90"/>
      <c r="AKN71" s="90"/>
      <c r="AKO71" s="90"/>
      <c r="AKP71" s="90"/>
      <c r="AKQ71" s="90"/>
      <c r="AKR71" s="90"/>
      <c r="AKS71" s="90"/>
      <c r="AKT71" s="90"/>
      <c r="AKU71" s="90"/>
      <c r="AKV71" s="90"/>
      <c r="AKW71" s="90"/>
      <c r="AKX71" s="90"/>
      <c r="AKY71" s="90"/>
      <c r="AKZ71" s="90"/>
      <c r="ALA71" s="90"/>
      <c r="ALB71" s="90"/>
      <c r="ALC71" s="90"/>
      <c r="ALD71" s="90"/>
      <c r="ALE71" s="90"/>
      <c r="ALF71" s="90"/>
      <c r="ALG71" s="90"/>
      <c r="ALH71" s="90"/>
      <c r="ALI71" s="90"/>
      <c r="ALJ71" s="90"/>
      <c r="ALK71" s="90"/>
      <c r="ALL71" s="90"/>
      <c r="ALM71" s="90"/>
      <c r="ALN71" s="90"/>
      <c r="ALO71" s="90"/>
      <c r="ALP71" s="90"/>
      <c r="ALQ71" s="90"/>
      <c r="ALR71" s="90"/>
      <c r="ALS71" s="90"/>
      <c r="ALT71" s="90"/>
      <c r="ALU71" s="90"/>
      <c r="ALV71" s="90"/>
      <c r="ALW71" s="90"/>
      <c r="ALX71" s="90"/>
      <c r="ALY71" s="90"/>
      <c r="ALZ71" s="90"/>
      <c r="AMA71" s="90"/>
      <c r="AMB71" s="90"/>
      <c r="AMC71" s="90"/>
    </row>
    <row r="72" spans="1:1017">
      <c r="A72" s="98" t="s">
        <v>26</v>
      </c>
      <c r="B72" s="648" t="str">
        <f t="shared" si="829"/>
        <v xml:space="preserve">Rajungan </v>
      </c>
      <c r="Q72" s="91">
        <f t="shared" si="830"/>
        <v>0</v>
      </c>
      <c r="R72" s="91">
        <f t="shared" si="831"/>
        <v>0</v>
      </c>
      <c r="AG72" s="91">
        <f t="shared" si="832"/>
        <v>0</v>
      </c>
      <c r="AH72" s="91">
        <f t="shared" si="833"/>
        <v>0</v>
      </c>
      <c r="AW72" s="91">
        <f t="shared" si="834"/>
        <v>0</v>
      </c>
      <c r="AX72" s="91">
        <f t="shared" si="835"/>
        <v>0</v>
      </c>
      <c r="BM72" s="91">
        <f t="shared" si="836"/>
        <v>0</v>
      </c>
      <c r="BN72" s="91">
        <f t="shared" si="837"/>
        <v>0</v>
      </c>
      <c r="BU72" s="90"/>
      <c r="CC72" s="91">
        <f t="shared" si="838"/>
        <v>0</v>
      </c>
      <c r="CD72" s="91">
        <f t="shared" si="839"/>
        <v>0</v>
      </c>
      <c r="CS72" s="91">
        <f t="shared" si="840"/>
        <v>0</v>
      </c>
      <c r="CT72" s="91">
        <f t="shared" si="841"/>
        <v>0</v>
      </c>
      <c r="DI72" s="91">
        <f t="shared" si="842"/>
        <v>0</v>
      </c>
      <c r="DJ72" s="91">
        <f t="shared" si="843"/>
        <v>0</v>
      </c>
      <c r="DY72" s="91">
        <f t="shared" si="844"/>
        <v>0</v>
      </c>
      <c r="DZ72" s="91">
        <f t="shared" si="845"/>
        <v>0</v>
      </c>
      <c r="EO72" s="91">
        <f t="shared" si="846"/>
        <v>0</v>
      </c>
      <c r="EP72" s="91">
        <f t="shared" si="847"/>
        <v>0</v>
      </c>
      <c r="FE72" s="91">
        <f t="shared" si="848"/>
        <v>0</v>
      </c>
      <c r="FF72" s="91">
        <f t="shared" si="849"/>
        <v>0</v>
      </c>
      <c r="FU72" s="91">
        <f t="shared" si="850"/>
        <v>0</v>
      </c>
      <c r="FV72" s="91">
        <f t="shared" si="851"/>
        <v>0</v>
      </c>
      <c r="GK72" s="91">
        <f t="shared" si="852"/>
        <v>0</v>
      </c>
      <c r="GL72" s="91">
        <f t="shared" si="853"/>
        <v>0</v>
      </c>
      <c r="HA72" s="91">
        <f t="shared" si="854"/>
        <v>0</v>
      </c>
      <c r="HB72" s="91">
        <f t="shared" si="855"/>
        <v>0</v>
      </c>
      <c r="HQ72" s="91">
        <f t="shared" si="856"/>
        <v>0</v>
      </c>
      <c r="HR72" s="91">
        <f t="shared" si="857"/>
        <v>0</v>
      </c>
      <c r="IG72" s="91">
        <f t="shared" si="858"/>
        <v>0</v>
      </c>
      <c r="IH72" s="91">
        <f t="shared" si="859"/>
        <v>0</v>
      </c>
      <c r="IW72" s="91">
        <f t="shared" si="860"/>
        <v>0</v>
      </c>
      <c r="IX72" s="91">
        <f t="shared" si="861"/>
        <v>0</v>
      </c>
      <c r="JM72" s="91">
        <f t="shared" si="862"/>
        <v>0</v>
      </c>
      <c r="JN72" s="91">
        <f t="shared" si="863"/>
        <v>0</v>
      </c>
      <c r="KC72" s="91">
        <f t="shared" si="864"/>
        <v>0</v>
      </c>
      <c r="KD72" s="91">
        <f t="shared" si="865"/>
        <v>0</v>
      </c>
      <c r="KS72" s="91">
        <f t="shared" si="866"/>
        <v>0</v>
      </c>
      <c r="KT72" s="91">
        <f t="shared" si="867"/>
        <v>0</v>
      </c>
      <c r="LI72" s="91">
        <f t="shared" si="868"/>
        <v>0</v>
      </c>
      <c r="LJ72" s="91">
        <f t="shared" si="869"/>
        <v>0</v>
      </c>
      <c r="LY72" s="91">
        <f t="shared" si="870"/>
        <v>0</v>
      </c>
      <c r="LZ72" s="91">
        <f t="shared" si="871"/>
        <v>0</v>
      </c>
      <c r="MO72" s="91">
        <f t="shared" si="872"/>
        <v>0</v>
      </c>
      <c r="MP72" s="91">
        <f t="shared" si="873"/>
        <v>0</v>
      </c>
      <c r="NE72" s="91">
        <f t="shared" si="874"/>
        <v>0</v>
      </c>
      <c r="NF72" s="91">
        <f t="shared" si="875"/>
        <v>0</v>
      </c>
      <c r="NU72" s="91">
        <f t="shared" si="876"/>
        <v>0</v>
      </c>
      <c r="NV72" s="91">
        <f t="shared" si="877"/>
        <v>0</v>
      </c>
      <c r="OK72" s="91">
        <f t="shared" si="878"/>
        <v>0</v>
      </c>
      <c r="OL72" s="91">
        <f t="shared" si="879"/>
        <v>0</v>
      </c>
      <c r="PA72" s="91">
        <f t="shared" si="880"/>
        <v>0</v>
      </c>
      <c r="PB72" s="91">
        <f t="shared" si="881"/>
        <v>0</v>
      </c>
      <c r="PQ72" s="91">
        <f t="shared" si="882"/>
        <v>0</v>
      </c>
      <c r="PR72" s="91">
        <f t="shared" si="883"/>
        <v>0</v>
      </c>
      <c r="QG72" s="91">
        <f t="shared" si="884"/>
        <v>0</v>
      </c>
      <c r="QH72" s="91">
        <f t="shared" si="885"/>
        <v>0</v>
      </c>
      <c r="QW72" s="91">
        <f t="shared" si="886"/>
        <v>0</v>
      </c>
      <c r="QX72" s="91">
        <f t="shared" si="887"/>
        <v>0</v>
      </c>
      <c r="RM72" s="91">
        <f t="shared" si="888"/>
        <v>0</v>
      </c>
      <c r="RN72" s="91">
        <f t="shared" si="889"/>
        <v>0</v>
      </c>
      <c r="SC72" s="91">
        <f t="shared" si="890"/>
        <v>0</v>
      </c>
      <c r="SD72" s="91">
        <f t="shared" si="891"/>
        <v>0</v>
      </c>
      <c r="SS72" s="91">
        <f t="shared" si="892"/>
        <v>0</v>
      </c>
      <c r="ST72" s="91">
        <f t="shared" si="893"/>
        <v>0</v>
      </c>
      <c r="TI72" s="91">
        <f t="shared" si="894"/>
        <v>0</v>
      </c>
      <c r="TJ72" s="91">
        <f t="shared" si="895"/>
        <v>0</v>
      </c>
      <c r="TY72" s="91">
        <f t="shared" si="896"/>
        <v>0</v>
      </c>
      <c r="TZ72" s="91">
        <f t="shared" si="897"/>
        <v>0</v>
      </c>
      <c r="UO72" s="91">
        <f t="shared" si="898"/>
        <v>0</v>
      </c>
      <c r="UP72" s="91">
        <f t="shared" si="899"/>
        <v>0</v>
      </c>
      <c r="VE72" s="91">
        <f t="shared" si="900"/>
        <v>0</v>
      </c>
      <c r="VF72" s="91">
        <f t="shared" si="901"/>
        <v>0</v>
      </c>
      <c r="VU72" s="91">
        <f t="shared" si="902"/>
        <v>0</v>
      </c>
      <c r="VV72" s="91">
        <f t="shared" si="903"/>
        <v>0</v>
      </c>
      <c r="WK72" s="91">
        <f t="shared" si="904"/>
        <v>0</v>
      </c>
      <c r="WL72" s="91">
        <f t="shared" si="905"/>
        <v>0</v>
      </c>
      <c r="WM72" s="89"/>
      <c r="WN72" s="87">
        <f t="shared" si="906"/>
        <v>0</v>
      </c>
      <c r="WO72" s="87">
        <f t="shared" si="907"/>
        <v>0</v>
      </c>
      <c r="WP72" s="87">
        <f t="shared" si="908"/>
        <v>0</v>
      </c>
      <c r="WQ72" s="87">
        <f t="shared" si="909"/>
        <v>0</v>
      </c>
      <c r="WR72" s="87">
        <f t="shared" si="910"/>
        <v>0</v>
      </c>
      <c r="WS72" s="87">
        <f t="shared" si="911"/>
        <v>0</v>
      </c>
      <c r="WT72" s="87">
        <f t="shared" si="912"/>
        <v>0</v>
      </c>
      <c r="WU72" s="87">
        <f t="shared" si="913"/>
        <v>0</v>
      </c>
      <c r="WV72" s="87">
        <f t="shared" si="914"/>
        <v>0</v>
      </c>
      <c r="WW72" s="87">
        <f t="shared" si="915"/>
        <v>0</v>
      </c>
      <c r="WX72" s="87">
        <f t="shared" si="916"/>
        <v>0</v>
      </c>
      <c r="WY72" s="87">
        <f t="shared" si="917"/>
        <v>0</v>
      </c>
      <c r="WZ72" s="87">
        <f t="shared" si="918"/>
        <v>0</v>
      </c>
      <c r="XA72" s="87">
        <f t="shared" si="919"/>
        <v>0</v>
      </c>
      <c r="XB72" s="92">
        <f t="shared" si="920"/>
        <v>0</v>
      </c>
      <c r="XC72" s="92">
        <f t="shared" si="921"/>
        <v>0</v>
      </c>
      <c r="XD72" s="89"/>
      <c r="XE72" s="92">
        <f t="shared" ref="XE72:XF72" si="962">SUM(XB148,XB186,XB224)</f>
        <v>0</v>
      </c>
      <c r="XF72" s="92">
        <f t="shared" si="962"/>
        <v>0</v>
      </c>
      <c r="XG72" s="89"/>
      <c r="XH72" s="92">
        <f t="shared" ref="XH72:XI72" si="963">SUM(XE110,XE148)</f>
        <v>0</v>
      </c>
      <c r="XI72" s="92">
        <f t="shared" si="963"/>
        <v>0</v>
      </c>
      <c r="XJ72" s="89"/>
      <c r="XK72" s="87"/>
      <c r="XL72" s="87"/>
      <c r="XM72" s="87"/>
      <c r="XN72" s="87"/>
      <c r="XO72" s="87"/>
      <c r="XP72" s="87"/>
      <c r="XQ72" s="87"/>
      <c r="XR72" s="92">
        <f t="shared" ca="1" si="922"/>
        <v>0</v>
      </c>
      <c r="XS72" s="89"/>
      <c r="XT72" s="87"/>
      <c r="XU72" s="87"/>
      <c r="XV72" s="87"/>
      <c r="XW72" s="87"/>
      <c r="XX72" s="87"/>
      <c r="XY72" s="87"/>
      <c r="XZ72" s="87"/>
      <c r="YA72" s="92">
        <f t="shared" ca="1" si="923"/>
        <v>0</v>
      </c>
      <c r="YB72" s="90"/>
      <c r="YC72" s="90"/>
      <c r="YD72" s="90"/>
      <c r="YE72" s="90"/>
      <c r="YF72" s="90"/>
      <c r="YG72" s="90"/>
      <c r="YH72" s="90"/>
      <c r="YI72" s="90"/>
      <c r="YJ72" s="90"/>
      <c r="YK72" s="90"/>
      <c r="YL72" s="90"/>
      <c r="YM72" s="90"/>
      <c r="YN72" s="90"/>
      <c r="YO72" s="90"/>
      <c r="YP72" s="90"/>
      <c r="YQ72" s="90"/>
      <c r="YR72" s="90"/>
      <c r="YS72" s="90"/>
      <c r="YT72" s="90"/>
      <c r="YU72" s="90"/>
      <c r="YV72" s="90"/>
      <c r="YW72" s="90"/>
      <c r="YX72" s="90"/>
      <c r="YY72" s="90"/>
      <c r="YZ72" s="90"/>
      <c r="ZA72" s="90"/>
      <c r="ZB72" s="90"/>
      <c r="ZC72" s="90"/>
      <c r="ZD72" s="90"/>
      <c r="ZE72" s="90"/>
      <c r="ZF72" s="90"/>
      <c r="ZG72" s="90"/>
      <c r="ZH72" s="90"/>
      <c r="ZI72" s="90"/>
      <c r="ZJ72" s="90"/>
      <c r="ZK72" s="90"/>
      <c r="ZL72" s="90"/>
      <c r="ZM72" s="90"/>
      <c r="ZN72" s="90"/>
      <c r="ZO72" s="90"/>
      <c r="ZP72" s="90"/>
      <c r="ZQ72" s="90"/>
      <c r="ZR72" s="90"/>
      <c r="ZS72" s="90"/>
      <c r="ZT72" s="90"/>
      <c r="ZU72" s="90"/>
      <c r="ZV72" s="90"/>
      <c r="ZW72" s="90"/>
      <c r="ZX72" s="90"/>
      <c r="ZY72" s="90"/>
      <c r="ZZ72" s="90"/>
      <c r="AAA72" s="90"/>
      <c r="AAB72" s="90"/>
      <c r="AAC72" s="90"/>
      <c r="AAD72" s="90"/>
      <c r="AAE72" s="90"/>
      <c r="AAF72" s="90"/>
      <c r="AAG72" s="90"/>
      <c r="AAH72" s="90"/>
      <c r="AAI72" s="90"/>
      <c r="AAJ72" s="90"/>
      <c r="AAK72" s="90"/>
      <c r="AAL72" s="90"/>
      <c r="AAM72" s="90"/>
      <c r="AAN72" s="90"/>
      <c r="AAO72" s="90"/>
      <c r="AAP72" s="90"/>
      <c r="AAQ72" s="90"/>
      <c r="AAR72" s="90"/>
      <c r="AAS72" s="90"/>
      <c r="AAT72" s="90"/>
      <c r="AAU72" s="90"/>
      <c r="AAV72" s="90"/>
      <c r="AAW72" s="90"/>
      <c r="AAX72" s="90"/>
      <c r="AAY72" s="90"/>
      <c r="AAZ72" s="90"/>
      <c r="ABA72" s="90"/>
      <c r="ABB72" s="90"/>
      <c r="ABC72" s="90"/>
      <c r="ABD72" s="90"/>
      <c r="ABE72" s="90"/>
      <c r="ABF72" s="90"/>
      <c r="ABG72" s="90"/>
      <c r="ABH72" s="90"/>
      <c r="ABI72" s="90"/>
      <c r="ABJ72" s="90"/>
      <c r="ABK72" s="90"/>
      <c r="ABL72" s="90"/>
      <c r="ABM72" s="90"/>
      <c r="ABN72" s="90"/>
      <c r="ABO72" s="90"/>
      <c r="ABP72" s="90"/>
      <c r="ABQ72" s="90"/>
      <c r="ABR72" s="90"/>
      <c r="ABS72" s="90"/>
      <c r="ABT72" s="90"/>
      <c r="ABU72" s="90"/>
      <c r="ABV72" s="90"/>
      <c r="ABW72" s="90"/>
      <c r="ABX72" s="90"/>
      <c r="ABY72" s="90"/>
      <c r="ABZ72" s="90"/>
      <c r="ACA72" s="90"/>
      <c r="ACB72" s="90"/>
      <c r="ACC72" s="90"/>
      <c r="ACD72" s="90"/>
      <c r="ACE72" s="90"/>
      <c r="ACF72" s="90"/>
      <c r="ACG72" s="90"/>
      <c r="ACH72" s="90"/>
      <c r="ACI72" s="90"/>
      <c r="ACJ72" s="90"/>
      <c r="ACK72" s="90"/>
      <c r="ACL72" s="90"/>
      <c r="ACM72" s="90"/>
      <c r="ACN72" s="90"/>
      <c r="ACO72" s="90"/>
      <c r="ACP72" s="90"/>
      <c r="ACQ72" s="90"/>
      <c r="ACR72" s="90"/>
      <c r="ACS72" s="90"/>
      <c r="ACT72" s="90"/>
      <c r="ACU72" s="90"/>
      <c r="ACV72" s="90"/>
      <c r="ACW72" s="90"/>
      <c r="ACX72" s="90"/>
      <c r="ACY72" s="90"/>
      <c r="ACZ72" s="90"/>
      <c r="ADA72" s="90"/>
      <c r="ADB72" s="90"/>
      <c r="ADC72" s="90"/>
      <c r="ADD72" s="90"/>
      <c r="ADE72" s="90"/>
      <c r="ADF72" s="90"/>
      <c r="ADG72" s="90"/>
      <c r="ADH72" s="90"/>
      <c r="ADI72" s="90"/>
      <c r="ADJ72" s="90"/>
      <c r="ADK72" s="90"/>
      <c r="ADL72" s="90"/>
      <c r="ADM72" s="90"/>
      <c r="ADN72" s="90"/>
      <c r="ADO72" s="90"/>
      <c r="ADP72" s="90"/>
      <c r="ADQ72" s="90"/>
      <c r="ADR72" s="90"/>
      <c r="ADS72" s="90"/>
      <c r="ADT72" s="90"/>
      <c r="ADU72" s="90"/>
      <c r="ADV72" s="90"/>
      <c r="ADW72" s="90"/>
      <c r="ADX72" s="90"/>
      <c r="ADY72" s="90"/>
      <c r="ADZ72" s="90"/>
      <c r="AEA72" s="90"/>
      <c r="AEB72" s="90"/>
      <c r="AEC72" s="90"/>
      <c r="AED72" s="90"/>
      <c r="AEE72" s="90"/>
      <c r="AEF72" s="90"/>
      <c r="AEG72" s="90"/>
      <c r="AEH72" s="90"/>
      <c r="AEI72" s="90"/>
      <c r="AEJ72" s="90"/>
      <c r="AEK72" s="90"/>
      <c r="AEL72" s="90"/>
      <c r="AEM72" s="90"/>
      <c r="AEN72" s="90"/>
      <c r="AEO72" s="90"/>
      <c r="AEP72" s="90"/>
      <c r="AEQ72" s="90"/>
      <c r="AER72" s="90"/>
      <c r="AES72" s="90"/>
      <c r="AET72" s="90"/>
      <c r="AEU72" s="90"/>
      <c r="AEV72" s="90"/>
      <c r="AEW72" s="90"/>
      <c r="AEX72" s="90"/>
      <c r="AEY72" s="90"/>
      <c r="AEZ72" s="90"/>
      <c r="AFA72" s="90"/>
      <c r="AFB72" s="90"/>
      <c r="AFC72" s="90"/>
      <c r="AFD72" s="90"/>
      <c r="AFE72" s="90"/>
      <c r="AFF72" s="90"/>
      <c r="AFG72" s="90"/>
      <c r="AFH72" s="90"/>
      <c r="AFI72" s="90"/>
      <c r="AFJ72" s="90"/>
      <c r="AFK72" s="90"/>
      <c r="AFL72" s="90"/>
      <c r="AFM72" s="90"/>
      <c r="AFN72" s="90"/>
      <c r="AFO72" s="90"/>
      <c r="AFP72" s="90"/>
      <c r="AFQ72" s="90"/>
      <c r="AFR72" s="90"/>
      <c r="AFS72" s="90"/>
      <c r="AFT72" s="90"/>
      <c r="AFU72" s="90"/>
      <c r="AFV72" s="90"/>
      <c r="AFW72" s="90"/>
      <c r="AFX72" s="90"/>
      <c r="AFY72" s="90"/>
      <c r="AFZ72" s="90"/>
      <c r="AGA72" s="90"/>
      <c r="AGB72" s="90"/>
      <c r="AGC72" s="90"/>
      <c r="AGD72" s="90"/>
      <c r="AGE72" s="90"/>
      <c r="AGF72" s="90"/>
      <c r="AGG72" s="90"/>
      <c r="AGH72" s="90"/>
      <c r="AGI72" s="90"/>
      <c r="AGJ72" s="90"/>
      <c r="AGK72" s="90"/>
      <c r="AGL72" s="90"/>
      <c r="AGM72" s="90"/>
      <c r="AGN72" s="90"/>
      <c r="AGO72" s="90"/>
      <c r="AGP72" s="90"/>
      <c r="AGQ72" s="90"/>
      <c r="AGR72" s="90"/>
      <c r="AGS72" s="90"/>
      <c r="AGT72" s="90"/>
      <c r="AGU72" s="90"/>
      <c r="AGV72" s="90"/>
      <c r="AGW72" s="90"/>
      <c r="AGX72" s="90"/>
      <c r="AGY72" s="90"/>
      <c r="AGZ72" s="90"/>
      <c r="AHA72" s="90"/>
      <c r="AHB72" s="90"/>
      <c r="AHC72" s="90"/>
      <c r="AHD72" s="90"/>
      <c r="AHE72" s="90"/>
      <c r="AHF72" s="90"/>
      <c r="AHG72" s="90"/>
      <c r="AHH72" s="90"/>
      <c r="AHI72" s="90"/>
      <c r="AHJ72" s="90"/>
      <c r="AHK72" s="90"/>
      <c r="AHL72" s="90"/>
      <c r="AHM72" s="90"/>
      <c r="AHN72" s="90"/>
      <c r="AHO72" s="90"/>
      <c r="AHP72" s="90"/>
      <c r="AHQ72" s="90"/>
      <c r="AHR72" s="90"/>
      <c r="AHS72" s="90"/>
      <c r="AHT72" s="90"/>
      <c r="AHU72" s="90"/>
      <c r="AHV72" s="90"/>
      <c r="AHW72" s="90"/>
      <c r="AHX72" s="90"/>
      <c r="AHY72" s="90"/>
      <c r="AHZ72" s="90"/>
      <c r="AIA72" s="90"/>
      <c r="AIB72" s="90"/>
      <c r="AIC72" s="90"/>
      <c r="AID72" s="90"/>
      <c r="AIE72" s="90"/>
      <c r="AIF72" s="90"/>
      <c r="AIG72" s="90"/>
      <c r="AIH72" s="90"/>
      <c r="AII72" s="90"/>
      <c r="AIJ72" s="90"/>
      <c r="AIK72" s="90"/>
      <c r="AIL72" s="90"/>
      <c r="AIM72" s="90"/>
      <c r="AIN72" s="90"/>
      <c r="AIO72" s="90"/>
      <c r="AIP72" s="90"/>
      <c r="AIQ72" s="90"/>
      <c r="AIR72" s="90"/>
      <c r="AIS72" s="90"/>
      <c r="AIT72" s="90"/>
      <c r="AIU72" s="90"/>
      <c r="AIV72" s="90"/>
      <c r="AIW72" s="90"/>
      <c r="AIX72" s="90"/>
      <c r="AIY72" s="90"/>
      <c r="AIZ72" s="90"/>
      <c r="AJA72" s="90"/>
      <c r="AJB72" s="90"/>
      <c r="AJC72" s="90"/>
      <c r="AJD72" s="90"/>
      <c r="AJE72" s="90"/>
      <c r="AJF72" s="90"/>
      <c r="AJG72" s="90"/>
      <c r="AJH72" s="90"/>
      <c r="AJI72" s="90"/>
      <c r="AJJ72" s="90"/>
      <c r="AJK72" s="90"/>
      <c r="AJL72" s="90"/>
      <c r="AJM72" s="90"/>
      <c r="AJN72" s="90"/>
      <c r="AJO72" s="90"/>
      <c r="AJP72" s="90"/>
      <c r="AJQ72" s="90"/>
      <c r="AJR72" s="90"/>
      <c r="AJS72" s="90"/>
      <c r="AJT72" s="90"/>
      <c r="AJU72" s="90"/>
      <c r="AJV72" s="90"/>
      <c r="AJW72" s="90"/>
      <c r="AJX72" s="90"/>
      <c r="AJY72" s="90"/>
      <c r="AJZ72" s="90"/>
      <c r="AKA72" s="90"/>
      <c r="AKB72" s="90"/>
      <c r="AKC72" s="90"/>
      <c r="AKD72" s="90"/>
      <c r="AKE72" s="90"/>
      <c r="AKF72" s="90"/>
      <c r="AKG72" s="90"/>
      <c r="AKH72" s="90"/>
      <c r="AKI72" s="90"/>
      <c r="AKJ72" s="90"/>
      <c r="AKK72" s="90"/>
      <c r="AKL72" s="90"/>
      <c r="AKM72" s="90"/>
      <c r="AKN72" s="90"/>
      <c r="AKO72" s="90"/>
      <c r="AKP72" s="90"/>
      <c r="AKQ72" s="90"/>
      <c r="AKR72" s="90"/>
      <c r="AKS72" s="90"/>
      <c r="AKT72" s="90"/>
      <c r="AKU72" s="90"/>
      <c r="AKV72" s="90"/>
      <c r="AKW72" s="90"/>
      <c r="AKX72" s="90"/>
      <c r="AKY72" s="90"/>
      <c r="AKZ72" s="90"/>
      <c r="ALA72" s="90"/>
      <c r="ALB72" s="90"/>
      <c r="ALC72" s="90"/>
      <c r="ALD72" s="90"/>
      <c r="ALE72" s="90"/>
      <c r="ALF72" s="90"/>
      <c r="ALG72" s="90"/>
      <c r="ALH72" s="90"/>
      <c r="ALI72" s="90"/>
      <c r="ALJ72" s="90"/>
      <c r="ALK72" s="90"/>
      <c r="ALL72" s="90"/>
      <c r="ALM72" s="90"/>
      <c r="ALN72" s="90"/>
      <c r="ALO72" s="90"/>
      <c r="ALP72" s="90"/>
      <c r="ALQ72" s="90"/>
      <c r="ALR72" s="90"/>
      <c r="ALS72" s="90"/>
      <c r="ALT72" s="90"/>
      <c r="ALU72" s="90"/>
      <c r="ALV72" s="90"/>
      <c r="ALW72" s="90"/>
      <c r="ALX72" s="90"/>
      <c r="ALY72" s="90"/>
      <c r="ALZ72" s="90"/>
      <c r="AMA72" s="90"/>
      <c r="AMB72" s="90"/>
      <c r="AMC72" s="90"/>
    </row>
    <row r="73" spans="1:1017">
      <c r="A73" s="98" t="s">
        <v>26</v>
      </c>
      <c r="B73" s="648" t="str">
        <f t="shared" si="829"/>
        <v>Tawes</v>
      </c>
      <c r="Q73" s="91">
        <f t="shared" si="830"/>
        <v>0</v>
      </c>
      <c r="R73" s="91">
        <f t="shared" si="831"/>
        <v>0</v>
      </c>
      <c r="Y73" s="778">
        <v>1895</v>
      </c>
      <c r="Z73" s="778">
        <v>32215</v>
      </c>
      <c r="AG73" s="91">
        <f t="shared" si="832"/>
        <v>1895</v>
      </c>
      <c r="AH73" s="91">
        <f t="shared" si="833"/>
        <v>32215</v>
      </c>
      <c r="AW73" s="91">
        <f t="shared" si="834"/>
        <v>0</v>
      </c>
      <c r="AX73" s="91">
        <f t="shared" si="835"/>
        <v>0</v>
      </c>
      <c r="BE73" s="98">
        <v>6522</v>
      </c>
      <c r="BF73" s="98">
        <v>65220</v>
      </c>
      <c r="BG73" s="98">
        <v>6123</v>
      </c>
      <c r="BH73" s="98">
        <v>61230</v>
      </c>
      <c r="BK73" s="98">
        <v>1573</v>
      </c>
      <c r="BL73" s="98">
        <v>15730</v>
      </c>
      <c r="BM73" s="91">
        <f t="shared" si="836"/>
        <v>14218</v>
      </c>
      <c r="BN73" s="91">
        <f t="shared" si="837"/>
        <v>142180</v>
      </c>
      <c r="BU73" s="90">
        <v>100</v>
      </c>
      <c r="BV73" s="98">
        <v>2000</v>
      </c>
      <c r="CC73" s="91">
        <f t="shared" si="838"/>
        <v>100</v>
      </c>
      <c r="CD73" s="91">
        <f t="shared" si="839"/>
        <v>2000</v>
      </c>
      <c r="CK73" s="98">
        <v>503141</v>
      </c>
      <c r="CL73" s="98">
        <v>6540837</v>
      </c>
      <c r="CS73" s="91">
        <f t="shared" si="840"/>
        <v>503141</v>
      </c>
      <c r="CT73" s="91">
        <f t="shared" si="841"/>
        <v>6540837</v>
      </c>
      <c r="DA73" s="98">
        <v>440</v>
      </c>
      <c r="DB73" s="98">
        <v>7920</v>
      </c>
      <c r="DI73" s="91">
        <f t="shared" si="842"/>
        <v>440</v>
      </c>
      <c r="DJ73" s="91">
        <f t="shared" si="843"/>
        <v>7920</v>
      </c>
      <c r="DY73" s="91">
        <f t="shared" si="844"/>
        <v>0</v>
      </c>
      <c r="DZ73" s="91">
        <f t="shared" si="845"/>
        <v>0</v>
      </c>
      <c r="EG73" s="98">
        <v>120</v>
      </c>
      <c r="EH73" s="98">
        <v>1320</v>
      </c>
      <c r="EO73" s="91">
        <f t="shared" si="846"/>
        <v>120</v>
      </c>
      <c r="EP73" s="91">
        <f t="shared" si="847"/>
        <v>1320</v>
      </c>
      <c r="EW73" s="98">
        <v>224661</v>
      </c>
      <c r="EX73" s="98">
        <v>3369915</v>
      </c>
      <c r="FE73" s="91">
        <f t="shared" si="848"/>
        <v>224661</v>
      </c>
      <c r="FF73" s="91">
        <f t="shared" si="849"/>
        <v>3369915</v>
      </c>
      <c r="FM73" s="98">
        <v>53</v>
      </c>
      <c r="FN73" s="98">
        <v>954</v>
      </c>
      <c r="FU73" s="91">
        <f t="shared" si="850"/>
        <v>53</v>
      </c>
      <c r="FV73" s="91">
        <f t="shared" si="851"/>
        <v>954</v>
      </c>
      <c r="GC73" s="98">
        <v>250</v>
      </c>
      <c r="GD73" s="98">
        <v>3750</v>
      </c>
      <c r="GK73" s="91">
        <f t="shared" si="852"/>
        <v>250</v>
      </c>
      <c r="GL73" s="91">
        <f t="shared" si="853"/>
        <v>3750</v>
      </c>
      <c r="HA73" s="91">
        <f t="shared" si="854"/>
        <v>0</v>
      </c>
      <c r="HB73" s="91">
        <f t="shared" si="855"/>
        <v>0</v>
      </c>
      <c r="HQ73" s="91">
        <f t="shared" si="856"/>
        <v>0</v>
      </c>
      <c r="HR73" s="91">
        <f t="shared" si="857"/>
        <v>0</v>
      </c>
      <c r="IG73" s="91">
        <f t="shared" si="858"/>
        <v>0</v>
      </c>
      <c r="IH73" s="91">
        <f t="shared" si="859"/>
        <v>0</v>
      </c>
      <c r="IW73" s="91">
        <f t="shared" si="860"/>
        <v>0</v>
      </c>
      <c r="IX73" s="91">
        <f t="shared" si="861"/>
        <v>0</v>
      </c>
      <c r="JM73" s="91">
        <f t="shared" si="862"/>
        <v>0</v>
      </c>
      <c r="JN73" s="91">
        <f t="shared" si="863"/>
        <v>0</v>
      </c>
      <c r="KC73" s="91">
        <f t="shared" si="864"/>
        <v>0</v>
      </c>
      <c r="KD73" s="91">
        <f t="shared" si="865"/>
        <v>0</v>
      </c>
      <c r="KS73" s="91">
        <f t="shared" si="866"/>
        <v>0</v>
      </c>
      <c r="KT73" s="91">
        <f t="shared" si="867"/>
        <v>0</v>
      </c>
      <c r="LI73" s="91">
        <f t="shared" si="868"/>
        <v>0</v>
      </c>
      <c r="LJ73" s="91">
        <f t="shared" si="869"/>
        <v>0</v>
      </c>
      <c r="LY73" s="91">
        <f t="shared" si="870"/>
        <v>0</v>
      </c>
      <c r="LZ73" s="91">
        <f t="shared" si="871"/>
        <v>0</v>
      </c>
      <c r="MO73" s="91">
        <f t="shared" si="872"/>
        <v>0</v>
      </c>
      <c r="MP73" s="91">
        <f t="shared" si="873"/>
        <v>0</v>
      </c>
      <c r="NE73" s="91">
        <f t="shared" si="874"/>
        <v>0</v>
      </c>
      <c r="NF73" s="91">
        <f t="shared" si="875"/>
        <v>0</v>
      </c>
      <c r="NQ73" s="98">
        <v>300</v>
      </c>
      <c r="NR73" s="98">
        <v>4800</v>
      </c>
      <c r="NU73" s="91">
        <f t="shared" si="876"/>
        <v>300</v>
      </c>
      <c r="NV73" s="91">
        <f t="shared" si="877"/>
        <v>4800</v>
      </c>
      <c r="OK73" s="91">
        <f t="shared" si="878"/>
        <v>0</v>
      </c>
      <c r="OL73" s="91">
        <f t="shared" si="879"/>
        <v>0</v>
      </c>
      <c r="PA73" s="91">
        <f t="shared" si="880"/>
        <v>0</v>
      </c>
      <c r="PB73" s="91">
        <f t="shared" si="881"/>
        <v>0</v>
      </c>
      <c r="PQ73" s="91">
        <f t="shared" si="882"/>
        <v>0</v>
      </c>
      <c r="PR73" s="91">
        <f t="shared" si="883"/>
        <v>0</v>
      </c>
      <c r="PY73" s="98">
        <v>73940</v>
      </c>
      <c r="PZ73" s="98">
        <v>961220</v>
      </c>
      <c r="QA73" s="98">
        <v>403900</v>
      </c>
      <c r="QB73" s="98">
        <v>5654600</v>
      </c>
      <c r="QG73" s="91">
        <f t="shared" si="884"/>
        <v>477840</v>
      </c>
      <c r="QH73" s="91">
        <f t="shared" si="885"/>
        <v>6615820</v>
      </c>
      <c r="QW73" s="91">
        <f t="shared" si="886"/>
        <v>0</v>
      </c>
      <c r="QX73" s="91">
        <f t="shared" si="887"/>
        <v>0</v>
      </c>
      <c r="RM73" s="91">
        <f t="shared" si="888"/>
        <v>0</v>
      </c>
      <c r="RN73" s="91">
        <f t="shared" si="889"/>
        <v>0</v>
      </c>
      <c r="SC73" s="91">
        <f t="shared" si="890"/>
        <v>0</v>
      </c>
      <c r="SD73" s="91">
        <f t="shared" si="891"/>
        <v>0</v>
      </c>
      <c r="SS73" s="91">
        <f t="shared" si="892"/>
        <v>0</v>
      </c>
      <c r="ST73" s="91">
        <f t="shared" si="893"/>
        <v>0</v>
      </c>
      <c r="TI73" s="91">
        <f t="shared" si="894"/>
        <v>0</v>
      </c>
      <c r="TJ73" s="91">
        <f t="shared" si="895"/>
        <v>0</v>
      </c>
      <c r="TY73" s="91">
        <f t="shared" si="896"/>
        <v>0</v>
      </c>
      <c r="TZ73" s="91">
        <f t="shared" si="897"/>
        <v>0</v>
      </c>
      <c r="UO73" s="91">
        <f t="shared" si="898"/>
        <v>0</v>
      </c>
      <c r="UP73" s="91">
        <f t="shared" si="899"/>
        <v>0</v>
      </c>
      <c r="VE73" s="91">
        <f t="shared" si="900"/>
        <v>0</v>
      </c>
      <c r="VF73" s="91">
        <f t="shared" si="901"/>
        <v>0</v>
      </c>
      <c r="VU73" s="91">
        <f t="shared" si="902"/>
        <v>0</v>
      </c>
      <c r="VV73" s="91">
        <f t="shared" si="903"/>
        <v>0</v>
      </c>
      <c r="WK73" s="91">
        <f t="shared" si="904"/>
        <v>0</v>
      </c>
      <c r="WL73" s="91">
        <f t="shared" si="905"/>
        <v>0</v>
      </c>
      <c r="WM73" s="89"/>
      <c r="WN73" s="87">
        <f t="shared" si="906"/>
        <v>0</v>
      </c>
      <c r="WO73" s="87">
        <f t="shared" si="907"/>
        <v>0</v>
      </c>
      <c r="WP73" s="87">
        <f t="shared" si="908"/>
        <v>0</v>
      </c>
      <c r="WQ73" s="87">
        <f t="shared" si="909"/>
        <v>0</v>
      </c>
      <c r="WR73" s="87">
        <f t="shared" si="910"/>
        <v>0</v>
      </c>
      <c r="WS73" s="87">
        <f t="shared" si="911"/>
        <v>0</v>
      </c>
      <c r="WT73" s="87">
        <f t="shared" si="912"/>
        <v>811122</v>
      </c>
      <c r="WU73" s="87">
        <f t="shared" si="913"/>
        <v>10985351</v>
      </c>
      <c r="WV73" s="87">
        <f t="shared" si="914"/>
        <v>410023</v>
      </c>
      <c r="WW73" s="87">
        <f t="shared" si="915"/>
        <v>5715830</v>
      </c>
      <c r="WX73" s="87">
        <f t="shared" si="916"/>
        <v>300</v>
      </c>
      <c r="WY73" s="87">
        <f t="shared" si="917"/>
        <v>4800</v>
      </c>
      <c r="WZ73" s="87">
        <f t="shared" si="918"/>
        <v>1573</v>
      </c>
      <c r="XA73" s="87">
        <f t="shared" si="919"/>
        <v>15730</v>
      </c>
      <c r="XB73" s="92">
        <f t="shared" si="920"/>
        <v>1223018</v>
      </c>
      <c r="XC73" s="92">
        <f t="shared" si="921"/>
        <v>16721711</v>
      </c>
      <c r="XD73" s="89"/>
      <c r="XE73" s="92">
        <f t="shared" ref="XE73:XF73" si="964">SUM(XB149,XB187,XB225)</f>
        <v>3327335.945086095</v>
      </c>
      <c r="XF73" s="92">
        <f t="shared" si="964"/>
        <v>46243103.286119238</v>
      </c>
      <c r="XG73" s="89"/>
      <c r="XH73" s="92">
        <f t="shared" ref="XH73:XI73" si="965">SUM(XE111,XE149)</f>
        <v>2980328.3695174772</v>
      </c>
      <c r="XI73" s="92">
        <f t="shared" si="965"/>
        <v>40201111.728869207</v>
      </c>
      <c r="XJ73" s="89"/>
      <c r="XK73" s="87"/>
      <c r="XL73" s="87"/>
      <c r="XM73" s="87"/>
      <c r="XN73" s="87"/>
      <c r="XO73" s="87"/>
      <c r="XP73" s="87"/>
      <c r="XQ73" s="87"/>
      <c r="XR73" s="92">
        <f t="shared" ca="1" si="922"/>
        <v>0</v>
      </c>
      <c r="XS73" s="89"/>
      <c r="XT73" s="87"/>
      <c r="XU73" s="87"/>
      <c r="XV73" s="87"/>
      <c r="XW73" s="87"/>
      <c r="XX73" s="87"/>
      <c r="XY73" s="87"/>
      <c r="XZ73" s="87"/>
      <c r="YA73" s="92">
        <f t="shared" ca="1" si="923"/>
        <v>0</v>
      </c>
      <c r="YB73" s="90"/>
      <c r="YC73" s="90"/>
      <c r="YD73" s="90"/>
      <c r="YE73" s="90"/>
      <c r="YF73" s="90"/>
      <c r="YG73" s="90"/>
      <c r="YH73" s="90"/>
      <c r="YI73" s="90"/>
      <c r="YJ73" s="90"/>
      <c r="YK73" s="90"/>
      <c r="YL73" s="90"/>
      <c r="YM73" s="90"/>
      <c r="YN73" s="90"/>
      <c r="YO73" s="90"/>
      <c r="YP73" s="90"/>
      <c r="YQ73" s="90"/>
      <c r="YR73" s="90"/>
      <c r="YS73" s="90"/>
      <c r="YT73" s="90"/>
      <c r="YU73" s="90"/>
      <c r="YV73" s="90"/>
      <c r="YW73" s="90"/>
      <c r="YX73" s="90"/>
      <c r="YY73" s="90"/>
      <c r="YZ73" s="90"/>
      <c r="ZA73" s="90"/>
      <c r="ZB73" s="90"/>
      <c r="ZC73" s="90"/>
      <c r="ZD73" s="90"/>
      <c r="ZE73" s="90"/>
      <c r="ZF73" s="90"/>
      <c r="ZG73" s="90"/>
      <c r="ZH73" s="90"/>
      <c r="ZI73" s="90"/>
      <c r="ZJ73" s="90"/>
      <c r="ZK73" s="90"/>
      <c r="ZL73" s="90"/>
      <c r="ZM73" s="90"/>
      <c r="ZN73" s="90"/>
      <c r="ZO73" s="90"/>
      <c r="ZP73" s="90"/>
      <c r="ZQ73" s="90"/>
      <c r="ZR73" s="90"/>
      <c r="ZS73" s="90"/>
      <c r="ZT73" s="90"/>
      <c r="ZU73" s="90"/>
      <c r="ZV73" s="90"/>
      <c r="ZW73" s="90"/>
      <c r="ZX73" s="90"/>
      <c r="ZY73" s="90"/>
      <c r="ZZ73" s="90"/>
      <c r="AAA73" s="90"/>
      <c r="AAB73" s="90"/>
      <c r="AAC73" s="90"/>
      <c r="AAD73" s="90"/>
      <c r="AAE73" s="90"/>
      <c r="AAF73" s="90"/>
      <c r="AAG73" s="90"/>
      <c r="AAH73" s="90"/>
      <c r="AAI73" s="90"/>
      <c r="AAJ73" s="90"/>
      <c r="AAK73" s="90"/>
      <c r="AAL73" s="90"/>
      <c r="AAM73" s="90"/>
      <c r="AAN73" s="90"/>
      <c r="AAO73" s="90"/>
      <c r="AAP73" s="90"/>
      <c r="AAQ73" s="90"/>
      <c r="AAR73" s="90"/>
      <c r="AAS73" s="90"/>
      <c r="AAT73" s="90"/>
      <c r="AAU73" s="90"/>
      <c r="AAV73" s="90"/>
      <c r="AAW73" s="90"/>
      <c r="AAX73" s="90"/>
      <c r="AAY73" s="90"/>
      <c r="AAZ73" s="90"/>
      <c r="ABA73" s="90"/>
      <c r="ABB73" s="90"/>
      <c r="ABC73" s="90"/>
      <c r="ABD73" s="90"/>
      <c r="ABE73" s="90"/>
      <c r="ABF73" s="90"/>
      <c r="ABG73" s="90"/>
      <c r="ABH73" s="90"/>
      <c r="ABI73" s="90"/>
      <c r="ABJ73" s="90"/>
      <c r="ABK73" s="90"/>
      <c r="ABL73" s="90"/>
      <c r="ABM73" s="90"/>
      <c r="ABN73" s="90"/>
      <c r="ABO73" s="90"/>
      <c r="ABP73" s="90"/>
      <c r="ABQ73" s="90"/>
      <c r="ABR73" s="90"/>
      <c r="ABS73" s="90"/>
      <c r="ABT73" s="90"/>
      <c r="ABU73" s="90"/>
      <c r="ABV73" s="90"/>
      <c r="ABW73" s="90"/>
      <c r="ABX73" s="90"/>
      <c r="ABY73" s="90"/>
      <c r="ABZ73" s="90"/>
      <c r="ACA73" s="90"/>
      <c r="ACB73" s="90"/>
      <c r="ACC73" s="90"/>
      <c r="ACD73" s="90"/>
      <c r="ACE73" s="90"/>
      <c r="ACF73" s="90"/>
      <c r="ACG73" s="90"/>
      <c r="ACH73" s="90"/>
      <c r="ACI73" s="90"/>
      <c r="ACJ73" s="90"/>
      <c r="ACK73" s="90"/>
      <c r="ACL73" s="90"/>
      <c r="ACM73" s="90"/>
      <c r="ACN73" s="90"/>
      <c r="ACO73" s="90"/>
      <c r="ACP73" s="90"/>
      <c r="ACQ73" s="90"/>
      <c r="ACR73" s="90"/>
      <c r="ACS73" s="90"/>
      <c r="ACT73" s="90"/>
      <c r="ACU73" s="90"/>
      <c r="ACV73" s="90"/>
      <c r="ACW73" s="90"/>
      <c r="ACX73" s="90"/>
      <c r="ACY73" s="90"/>
      <c r="ACZ73" s="90"/>
      <c r="ADA73" s="90"/>
      <c r="ADB73" s="90"/>
      <c r="ADC73" s="90"/>
      <c r="ADD73" s="90"/>
      <c r="ADE73" s="90"/>
      <c r="ADF73" s="90"/>
      <c r="ADG73" s="90"/>
      <c r="ADH73" s="90"/>
      <c r="ADI73" s="90"/>
      <c r="ADJ73" s="90"/>
      <c r="ADK73" s="90"/>
      <c r="ADL73" s="90"/>
      <c r="ADM73" s="90"/>
      <c r="ADN73" s="90"/>
      <c r="ADO73" s="90"/>
      <c r="ADP73" s="90"/>
      <c r="ADQ73" s="90"/>
      <c r="ADR73" s="90"/>
      <c r="ADS73" s="90"/>
      <c r="ADT73" s="90"/>
      <c r="ADU73" s="90"/>
      <c r="ADV73" s="90"/>
      <c r="ADW73" s="90"/>
      <c r="ADX73" s="90"/>
      <c r="ADY73" s="90"/>
      <c r="ADZ73" s="90"/>
      <c r="AEA73" s="90"/>
      <c r="AEB73" s="90"/>
      <c r="AEC73" s="90"/>
      <c r="AED73" s="90"/>
      <c r="AEE73" s="90"/>
      <c r="AEF73" s="90"/>
      <c r="AEG73" s="90"/>
      <c r="AEH73" s="90"/>
      <c r="AEI73" s="90"/>
      <c r="AEJ73" s="90"/>
      <c r="AEK73" s="90"/>
      <c r="AEL73" s="90"/>
      <c r="AEM73" s="90"/>
      <c r="AEN73" s="90"/>
      <c r="AEO73" s="90"/>
      <c r="AEP73" s="90"/>
      <c r="AEQ73" s="90"/>
      <c r="AER73" s="90"/>
      <c r="AES73" s="90"/>
      <c r="AET73" s="90"/>
      <c r="AEU73" s="90"/>
      <c r="AEV73" s="90"/>
      <c r="AEW73" s="90"/>
      <c r="AEX73" s="90"/>
      <c r="AEY73" s="90"/>
      <c r="AEZ73" s="90"/>
      <c r="AFA73" s="90"/>
      <c r="AFB73" s="90"/>
      <c r="AFC73" s="90"/>
      <c r="AFD73" s="90"/>
      <c r="AFE73" s="90"/>
      <c r="AFF73" s="90"/>
      <c r="AFG73" s="90"/>
      <c r="AFH73" s="90"/>
      <c r="AFI73" s="90"/>
      <c r="AFJ73" s="90"/>
      <c r="AFK73" s="90"/>
      <c r="AFL73" s="90"/>
      <c r="AFM73" s="90"/>
      <c r="AFN73" s="90"/>
      <c r="AFO73" s="90"/>
      <c r="AFP73" s="90"/>
      <c r="AFQ73" s="90"/>
      <c r="AFR73" s="90"/>
      <c r="AFS73" s="90"/>
      <c r="AFT73" s="90"/>
      <c r="AFU73" s="90"/>
      <c r="AFV73" s="90"/>
      <c r="AFW73" s="90"/>
      <c r="AFX73" s="90"/>
      <c r="AFY73" s="90"/>
      <c r="AFZ73" s="90"/>
      <c r="AGA73" s="90"/>
      <c r="AGB73" s="90"/>
      <c r="AGC73" s="90"/>
      <c r="AGD73" s="90"/>
      <c r="AGE73" s="90"/>
      <c r="AGF73" s="90"/>
      <c r="AGG73" s="90"/>
      <c r="AGH73" s="90"/>
      <c r="AGI73" s="90"/>
      <c r="AGJ73" s="90"/>
      <c r="AGK73" s="90"/>
      <c r="AGL73" s="90"/>
      <c r="AGM73" s="90"/>
      <c r="AGN73" s="90"/>
      <c r="AGO73" s="90"/>
      <c r="AGP73" s="90"/>
      <c r="AGQ73" s="90"/>
      <c r="AGR73" s="90"/>
      <c r="AGS73" s="90"/>
      <c r="AGT73" s="90"/>
      <c r="AGU73" s="90"/>
      <c r="AGV73" s="90"/>
      <c r="AGW73" s="90"/>
      <c r="AGX73" s="90"/>
      <c r="AGY73" s="90"/>
      <c r="AGZ73" s="90"/>
      <c r="AHA73" s="90"/>
      <c r="AHB73" s="90"/>
      <c r="AHC73" s="90"/>
      <c r="AHD73" s="90"/>
      <c r="AHE73" s="90"/>
      <c r="AHF73" s="90"/>
      <c r="AHG73" s="90"/>
      <c r="AHH73" s="90"/>
      <c r="AHI73" s="90"/>
      <c r="AHJ73" s="90"/>
      <c r="AHK73" s="90"/>
      <c r="AHL73" s="90"/>
      <c r="AHM73" s="90"/>
      <c r="AHN73" s="90"/>
      <c r="AHO73" s="90"/>
      <c r="AHP73" s="90"/>
      <c r="AHQ73" s="90"/>
      <c r="AHR73" s="90"/>
      <c r="AHS73" s="90"/>
      <c r="AHT73" s="90"/>
      <c r="AHU73" s="90"/>
      <c r="AHV73" s="90"/>
      <c r="AHW73" s="90"/>
      <c r="AHX73" s="90"/>
      <c r="AHY73" s="90"/>
      <c r="AHZ73" s="90"/>
      <c r="AIA73" s="90"/>
      <c r="AIB73" s="90"/>
      <c r="AIC73" s="90"/>
      <c r="AID73" s="90"/>
      <c r="AIE73" s="90"/>
      <c r="AIF73" s="90"/>
      <c r="AIG73" s="90"/>
      <c r="AIH73" s="90"/>
      <c r="AII73" s="90"/>
      <c r="AIJ73" s="90"/>
      <c r="AIK73" s="90"/>
      <c r="AIL73" s="90"/>
      <c r="AIM73" s="90"/>
      <c r="AIN73" s="90"/>
      <c r="AIO73" s="90"/>
      <c r="AIP73" s="90"/>
      <c r="AIQ73" s="90"/>
      <c r="AIR73" s="90"/>
      <c r="AIS73" s="90"/>
      <c r="AIT73" s="90"/>
      <c r="AIU73" s="90"/>
      <c r="AIV73" s="90"/>
      <c r="AIW73" s="90"/>
      <c r="AIX73" s="90"/>
      <c r="AIY73" s="90"/>
      <c r="AIZ73" s="90"/>
      <c r="AJA73" s="90"/>
      <c r="AJB73" s="90"/>
      <c r="AJC73" s="90"/>
      <c r="AJD73" s="90"/>
      <c r="AJE73" s="90"/>
      <c r="AJF73" s="90"/>
      <c r="AJG73" s="90"/>
      <c r="AJH73" s="90"/>
      <c r="AJI73" s="90"/>
      <c r="AJJ73" s="90"/>
      <c r="AJK73" s="90"/>
      <c r="AJL73" s="90"/>
      <c r="AJM73" s="90"/>
      <c r="AJN73" s="90"/>
      <c r="AJO73" s="90"/>
      <c r="AJP73" s="90"/>
      <c r="AJQ73" s="90"/>
      <c r="AJR73" s="90"/>
      <c r="AJS73" s="90"/>
      <c r="AJT73" s="90"/>
      <c r="AJU73" s="90"/>
      <c r="AJV73" s="90"/>
      <c r="AJW73" s="90"/>
      <c r="AJX73" s="90"/>
      <c r="AJY73" s="90"/>
      <c r="AJZ73" s="90"/>
      <c r="AKA73" s="90"/>
      <c r="AKB73" s="90"/>
      <c r="AKC73" s="90"/>
      <c r="AKD73" s="90"/>
      <c r="AKE73" s="90"/>
      <c r="AKF73" s="90"/>
      <c r="AKG73" s="90"/>
      <c r="AKH73" s="90"/>
      <c r="AKI73" s="90"/>
      <c r="AKJ73" s="90"/>
      <c r="AKK73" s="90"/>
      <c r="AKL73" s="90"/>
      <c r="AKM73" s="90"/>
      <c r="AKN73" s="90"/>
      <c r="AKO73" s="90"/>
      <c r="AKP73" s="90"/>
      <c r="AKQ73" s="90"/>
      <c r="AKR73" s="90"/>
      <c r="AKS73" s="90"/>
      <c r="AKT73" s="90"/>
      <c r="AKU73" s="90"/>
      <c r="AKV73" s="90"/>
      <c r="AKW73" s="90"/>
      <c r="AKX73" s="90"/>
      <c r="AKY73" s="90"/>
      <c r="AKZ73" s="90"/>
      <c r="ALA73" s="90"/>
      <c r="ALB73" s="90"/>
      <c r="ALC73" s="90"/>
      <c r="ALD73" s="90"/>
      <c r="ALE73" s="90"/>
      <c r="ALF73" s="90"/>
      <c r="ALG73" s="90"/>
      <c r="ALH73" s="90"/>
      <c r="ALI73" s="90"/>
      <c r="ALJ73" s="90"/>
      <c r="ALK73" s="90"/>
      <c r="ALL73" s="90"/>
      <c r="ALM73" s="90"/>
      <c r="ALN73" s="90"/>
      <c r="ALO73" s="90"/>
      <c r="ALP73" s="90"/>
      <c r="ALQ73" s="90"/>
      <c r="ALR73" s="90"/>
      <c r="ALS73" s="90"/>
      <c r="ALT73" s="90"/>
      <c r="ALU73" s="90"/>
      <c r="ALV73" s="90"/>
      <c r="ALW73" s="90"/>
      <c r="ALX73" s="90"/>
      <c r="ALY73" s="90"/>
      <c r="ALZ73" s="90"/>
      <c r="AMA73" s="90"/>
      <c r="AMB73" s="90"/>
      <c r="AMC73" s="90"/>
    </row>
    <row r="74" spans="1:1017">
      <c r="A74" s="98" t="s">
        <v>26</v>
      </c>
      <c r="B74" s="648" t="str">
        <f t="shared" si="829"/>
        <v>Teri</v>
      </c>
      <c r="Q74" s="91">
        <f t="shared" si="830"/>
        <v>0</v>
      </c>
      <c r="R74" s="91">
        <f t="shared" si="831"/>
        <v>0</v>
      </c>
      <c r="AG74" s="91">
        <f t="shared" si="832"/>
        <v>0</v>
      </c>
      <c r="AH74" s="91">
        <f t="shared" si="833"/>
        <v>0</v>
      </c>
      <c r="AW74" s="91">
        <f t="shared" si="834"/>
        <v>0</v>
      </c>
      <c r="AX74" s="91">
        <f t="shared" si="835"/>
        <v>0</v>
      </c>
      <c r="BM74" s="91">
        <f t="shared" si="836"/>
        <v>0</v>
      </c>
      <c r="BN74" s="91">
        <f t="shared" si="837"/>
        <v>0</v>
      </c>
      <c r="CC74" s="91">
        <f t="shared" si="838"/>
        <v>0</v>
      </c>
      <c r="CD74" s="91">
        <f t="shared" si="839"/>
        <v>0</v>
      </c>
      <c r="CS74" s="91">
        <f t="shared" si="840"/>
        <v>0</v>
      </c>
      <c r="CT74" s="91">
        <f t="shared" si="841"/>
        <v>0</v>
      </c>
      <c r="DI74" s="91">
        <f t="shared" si="842"/>
        <v>0</v>
      </c>
      <c r="DJ74" s="91">
        <f t="shared" si="843"/>
        <v>0</v>
      </c>
      <c r="DY74" s="91">
        <f t="shared" si="844"/>
        <v>0</v>
      </c>
      <c r="DZ74" s="91">
        <f t="shared" si="845"/>
        <v>0</v>
      </c>
      <c r="EO74" s="91">
        <f t="shared" si="846"/>
        <v>0</v>
      </c>
      <c r="EP74" s="91">
        <f t="shared" si="847"/>
        <v>0</v>
      </c>
      <c r="FE74" s="91">
        <f t="shared" si="848"/>
        <v>0</v>
      </c>
      <c r="FF74" s="91">
        <f t="shared" si="849"/>
        <v>0</v>
      </c>
      <c r="FU74" s="91">
        <f t="shared" si="850"/>
        <v>0</v>
      </c>
      <c r="FV74" s="91">
        <f t="shared" si="851"/>
        <v>0</v>
      </c>
      <c r="GK74" s="91">
        <f t="shared" si="852"/>
        <v>0</v>
      </c>
      <c r="GL74" s="91">
        <f t="shared" si="853"/>
        <v>0</v>
      </c>
      <c r="HA74" s="91">
        <f t="shared" si="854"/>
        <v>0</v>
      </c>
      <c r="HB74" s="91">
        <f t="shared" si="855"/>
        <v>0</v>
      </c>
      <c r="HQ74" s="91">
        <f t="shared" si="856"/>
        <v>0</v>
      </c>
      <c r="HR74" s="91">
        <f t="shared" si="857"/>
        <v>0</v>
      </c>
      <c r="IG74" s="91">
        <f t="shared" si="858"/>
        <v>0</v>
      </c>
      <c r="IH74" s="91">
        <f t="shared" si="859"/>
        <v>0</v>
      </c>
      <c r="IW74" s="91">
        <f t="shared" si="860"/>
        <v>0</v>
      </c>
      <c r="IX74" s="91">
        <f t="shared" si="861"/>
        <v>0</v>
      </c>
      <c r="JM74" s="91">
        <f t="shared" si="862"/>
        <v>0</v>
      </c>
      <c r="JN74" s="91">
        <f t="shared" si="863"/>
        <v>0</v>
      </c>
      <c r="KC74" s="91">
        <f t="shared" si="864"/>
        <v>0</v>
      </c>
      <c r="KD74" s="91">
        <f t="shared" si="865"/>
        <v>0</v>
      </c>
      <c r="KS74" s="91">
        <f t="shared" si="866"/>
        <v>0</v>
      </c>
      <c r="KT74" s="91">
        <f t="shared" si="867"/>
        <v>0</v>
      </c>
      <c r="LI74" s="91">
        <f t="shared" si="868"/>
        <v>0</v>
      </c>
      <c r="LJ74" s="91">
        <f t="shared" si="869"/>
        <v>0</v>
      </c>
      <c r="LY74" s="91">
        <f t="shared" si="870"/>
        <v>0</v>
      </c>
      <c r="LZ74" s="91">
        <f t="shared" si="871"/>
        <v>0</v>
      </c>
      <c r="MO74" s="91">
        <f t="shared" si="872"/>
        <v>0</v>
      </c>
      <c r="MP74" s="91">
        <f t="shared" si="873"/>
        <v>0</v>
      </c>
      <c r="NE74" s="91">
        <f t="shared" si="874"/>
        <v>0</v>
      </c>
      <c r="NF74" s="91">
        <f t="shared" si="875"/>
        <v>0</v>
      </c>
      <c r="NU74" s="91">
        <f t="shared" si="876"/>
        <v>0</v>
      </c>
      <c r="NV74" s="91">
        <f t="shared" si="877"/>
        <v>0</v>
      </c>
      <c r="OK74" s="91">
        <f t="shared" si="878"/>
        <v>0</v>
      </c>
      <c r="OL74" s="91">
        <f t="shared" si="879"/>
        <v>0</v>
      </c>
      <c r="PA74" s="91">
        <f t="shared" si="880"/>
        <v>0</v>
      </c>
      <c r="PB74" s="91">
        <f t="shared" si="881"/>
        <v>0</v>
      </c>
      <c r="PQ74" s="91">
        <f t="shared" si="882"/>
        <v>0</v>
      </c>
      <c r="PR74" s="91">
        <f t="shared" si="883"/>
        <v>0</v>
      </c>
      <c r="QG74" s="91">
        <f t="shared" si="884"/>
        <v>0</v>
      </c>
      <c r="QH74" s="91">
        <f t="shared" si="885"/>
        <v>0</v>
      </c>
      <c r="QW74" s="91">
        <f t="shared" si="886"/>
        <v>0</v>
      </c>
      <c r="QX74" s="91">
        <f t="shared" si="887"/>
        <v>0</v>
      </c>
      <c r="RM74" s="91">
        <f t="shared" si="888"/>
        <v>0</v>
      </c>
      <c r="RN74" s="91">
        <f t="shared" si="889"/>
        <v>0</v>
      </c>
      <c r="SC74" s="91">
        <f t="shared" si="890"/>
        <v>0</v>
      </c>
      <c r="SD74" s="91">
        <f t="shared" si="891"/>
        <v>0</v>
      </c>
      <c r="SS74" s="91">
        <f t="shared" si="892"/>
        <v>0</v>
      </c>
      <c r="ST74" s="91">
        <f t="shared" si="893"/>
        <v>0</v>
      </c>
      <c r="TI74" s="91">
        <f t="shared" si="894"/>
        <v>0</v>
      </c>
      <c r="TJ74" s="91">
        <f t="shared" si="895"/>
        <v>0</v>
      </c>
      <c r="TY74" s="91">
        <f t="shared" si="896"/>
        <v>0</v>
      </c>
      <c r="TZ74" s="91">
        <f t="shared" si="897"/>
        <v>0</v>
      </c>
      <c r="UO74" s="91">
        <f t="shared" si="898"/>
        <v>0</v>
      </c>
      <c r="UP74" s="91">
        <f t="shared" si="899"/>
        <v>0</v>
      </c>
      <c r="VE74" s="91">
        <f t="shared" si="900"/>
        <v>0</v>
      </c>
      <c r="VF74" s="91">
        <f t="shared" si="901"/>
        <v>0</v>
      </c>
      <c r="VU74" s="91">
        <f t="shared" si="902"/>
        <v>0</v>
      </c>
      <c r="VV74" s="91">
        <f t="shared" si="903"/>
        <v>0</v>
      </c>
      <c r="WK74" s="91">
        <f t="shared" si="904"/>
        <v>0</v>
      </c>
      <c r="WL74" s="91">
        <f t="shared" si="905"/>
        <v>0</v>
      </c>
      <c r="WM74" s="89"/>
      <c r="WN74" s="87">
        <f t="shared" si="906"/>
        <v>0</v>
      </c>
      <c r="WO74" s="87">
        <f t="shared" si="907"/>
        <v>0</v>
      </c>
      <c r="WP74" s="87">
        <f t="shared" si="908"/>
        <v>0</v>
      </c>
      <c r="WQ74" s="87">
        <f t="shared" si="909"/>
        <v>0</v>
      </c>
      <c r="WR74" s="87">
        <f t="shared" si="910"/>
        <v>0</v>
      </c>
      <c r="WS74" s="87">
        <f t="shared" si="911"/>
        <v>0</v>
      </c>
      <c r="WT74" s="87">
        <f t="shared" si="912"/>
        <v>0</v>
      </c>
      <c r="WU74" s="87">
        <f t="shared" si="913"/>
        <v>0</v>
      </c>
      <c r="WV74" s="87">
        <f t="shared" si="914"/>
        <v>0</v>
      </c>
      <c r="WW74" s="87">
        <f t="shared" si="915"/>
        <v>0</v>
      </c>
      <c r="WX74" s="87">
        <f t="shared" si="916"/>
        <v>0</v>
      </c>
      <c r="WY74" s="87">
        <f t="shared" si="917"/>
        <v>0</v>
      </c>
      <c r="WZ74" s="87">
        <f t="shared" si="918"/>
        <v>0</v>
      </c>
      <c r="XA74" s="87">
        <f t="shared" si="919"/>
        <v>0</v>
      </c>
      <c r="XB74" s="92">
        <f t="shared" si="920"/>
        <v>0</v>
      </c>
      <c r="XC74" s="92">
        <f t="shared" si="921"/>
        <v>0</v>
      </c>
      <c r="XD74" s="89"/>
      <c r="XE74" s="92">
        <f t="shared" ref="XE74:XF74" si="966">SUM(XB150,XB188,XB226)</f>
        <v>26700</v>
      </c>
      <c r="XF74" s="92">
        <f t="shared" si="966"/>
        <v>80100</v>
      </c>
      <c r="XG74" s="89"/>
      <c r="XH74" s="92">
        <f t="shared" ref="XH74:XI74" si="967">SUM(XE112,XE150)</f>
        <v>0</v>
      </c>
      <c r="XI74" s="92">
        <f t="shared" si="967"/>
        <v>0</v>
      </c>
      <c r="XJ74" s="89"/>
      <c r="XK74" s="87"/>
      <c r="XL74" s="87"/>
      <c r="XM74" s="87"/>
      <c r="XN74" s="87"/>
      <c r="XO74" s="87"/>
      <c r="XP74" s="87"/>
      <c r="XQ74" s="87"/>
      <c r="XR74" s="92">
        <f t="shared" ca="1" si="922"/>
        <v>0</v>
      </c>
      <c r="XS74" s="89"/>
      <c r="XT74" s="87"/>
      <c r="XU74" s="87"/>
      <c r="XV74" s="87"/>
      <c r="XW74" s="87"/>
      <c r="XX74" s="87"/>
      <c r="XY74" s="87"/>
      <c r="XZ74" s="87"/>
      <c r="YA74" s="92">
        <f t="shared" ca="1" si="923"/>
        <v>0</v>
      </c>
      <c r="YB74" s="90"/>
      <c r="YC74" s="90"/>
      <c r="YD74" s="90"/>
      <c r="YE74" s="90"/>
      <c r="YF74" s="90"/>
      <c r="YG74" s="90"/>
      <c r="YH74" s="90"/>
      <c r="YI74" s="90"/>
      <c r="YJ74" s="90"/>
      <c r="YK74" s="90"/>
      <c r="YL74" s="90"/>
      <c r="YM74" s="90"/>
      <c r="YN74" s="90"/>
      <c r="YO74" s="90"/>
      <c r="YP74" s="90"/>
      <c r="YQ74" s="90"/>
      <c r="YR74" s="90"/>
      <c r="YS74" s="90"/>
      <c r="YT74" s="90"/>
      <c r="YU74" s="90"/>
      <c r="YV74" s="90"/>
      <c r="YW74" s="90"/>
      <c r="YX74" s="90"/>
      <c r="YY74" s="90"/>
      <c r="YZ74" s="90"/>
      <c r="ZA74" s="90"/>
      <c r="ZB74" s="90"/>
      <c r="ZC74" s="90"/>
      <c r="ZD74" s="90"/>
      <c r="ZE74" s="90"/>
      <c r="ZF74" s="90"/>
      <c r="ZG74" s="90"/>
      <c r="ZH74" s="90"/>
      <c r="ZI74" s="90"/>
      <c r="ZJ74" s="90"/>
      <c r="ZK74" s="90"/>
      <c r="ZL74" s="90"/>
      <c r="ZM74" s="90"/>
      <c r="ZN74" s="90"/>
      <c r="ZO74" s="90"/>
      <c r="ZP74" s="90"/>
      <c r="ZQ74" s="90"/>
      <c r="ZR74" s="90"/>
      <c r="ZS74" s="90"/>
      <c r="ZT74" s="90"/>
      <c r="ZU74" s="90"/>
      <c r="ZV74" s="90"/>
      <c r="ZW74" s="90"/>
      <c r="ZX74" s="90"/>
      <c r="ZY74" s="90"/>
      <c r="ZZ74" s="90"/>
      <c r="AAA74" s="90"/>
      <c r="AAB74" s="90"/>
      <c r="AAC74" s="90"/>
      <c r="AAD74" s="90"/>
      <c r="AAE74" s="90"/>
      <c r="AAF74" s="90"/>
      <c r="AAG74" s="90"/>
      <c r="AAH74" s="90"/>
      <c r="AAI74" s="90"/>
      <c r="AAJ74" s="90"/>
      <c r="AAK74" s="90"/>
      <c r="AAL74" s="90"/>
      <c r="AAM74" s="90"/>
      <c r="AAN74" s="90"/>
      <c r="AAO74" s="90"/>
      <c r="AAP74" s="90"/>
      <c r="AAQ74" s="90"/>
      <c r="AAR74" s="90"/>
      <c r="AAS74" s="90"/>
      <c r="AAT74" s="90"/>
      <c r="AAU74" s="90"/>
      <c r="AAV74" s="90"/>
      <c r="AAW74" s="90"/>
      <c r="AAX74" s="90"/>
      <c r="AAY74" s="90"/>
      <c r="AAZ74" s="90"/>
      <c r="ABA74" s="90"/>
      <c r="ABB74" s="90"/>
      <c r="ABC74" s="90"/>
      <c r="ABD74" s="90"/>
      <c r="ABE74" s="90"/>
      <c r="ABF74" s="90"/>
      <c r="ABG74" s="90"/>
      <c r="ABH74" s="90"/>
      <c r="ABI74" s="90"/>
      <c r="ABJ74" s="90"/>
      <c r="ABK74" s="90"/>
      <c r="ABL74" s="90"/>
      <c r="ABM74" s="90"/>
      <c r="ABN74" s="90"/>
      <c r="ABO74" s="90"/>
      <c r="ABP74" s="90"/>
      <c r="ABQ74" s="90"/>
      <c r="ABR74" s="90"/>
      <c r="ABS74" s="90"/>
      <c r="ABT74" s="90"/>
      <c r="ABU74" s="90"/>
      <c r="ABV74" s="90"/>
      <c r="ABW74" s="90"/>
      <c r="ABX74" s="90"/>
      <c r="ABY74" s="90"/>
      <c r="ABZ74" s="90"/>
      <c r="ACA74" s="90"/>
      <c r="ACB74" s="90"/>
      <c r="ACC74" s="90"/>
      <c r="ACD74" s="90"/>
      <c r="ACE74" s="90"/>
      <c r="ACF74" s="90"/>
      <c r="ACG74" s="90"/>
      <c r="ACH74" s="90"/>
      <c r="ACI74" s="90"/>
      <c r="ACJ74" s="90"/>
      <c r="ACK74" s="90"/>
      <c r="ACL74" s="90"/>
      <c r="ACM74" s="90"/>
      <c r="ACN74" s="90"/>
      <c r="ACO74" s="90"/>
      <c r="ACP74" s="90"/>
      <c r="ACQ74" s="90"/>
      <c r="ACR74" s="90"/>
      <c r="ACS74" s="90"/>
      <c r="ACT74" s="90"/>
      <c r="ACU74" s="90"/>
      <c r="ACV74" s="90"/>
      <c r="ACW74" s="90"/>
      <c r="ACX74" s="90"/>
      <c r="ACY74" s="90"/>
      <c r="ACZ74" s="90"/>
      <c r="ADA74" s="90"/>
      <c r="ADB74" s="90"/>
      <c r="ADC74" s="90"/>
      <c r="ADD74" s="90"/>
      <c r="ADE74" s="90"/>
      <c r="ADF74" s="90"/>
      <c r="ADG74" s="90"/>
      <c r="ADH74" s="90"/>
      <c r="ADI74" s="90"/>
      <c r="ADJ74" s="90"/>
      <c r="ADK74" s="90"/>
      <c r="ADL74" s="90"/>
      <c r="ADM74" s="90"/>
      <c r="ADN74" s="90"/>
      <c r="ADO74" s="90"/>
      <c r="ADP74" s="90"/>
      <c r="ADQ74" s="90"/>
      <c r="ADR74" s="90"/>
      <c r="ADS74" s="90"/>
      <c r="ADT74" s="90"/>
      <c r="ADU74" s="90"/>
      <c r="ADV74" s="90"/>
      <c r="ADW74" s="90"/>
      <c r="ADX74" s="90"/>
      <c r="ADY74" s="90"/>
      <c r="ADZ74" s="90"/>
      <c r="AEA74" s="90"/>
      <c r="AEB74" s="90"/>
      <c r="AEC74" s="90"/>
      <c r="AED74" s="90"/>
      <c r="AEE74" s="90"/>
      <c r="AEF74" s="90"/>
      <c r="AEG74" s="90"/>
      <c r="AEH74" s="90"/>
      <c r="AEI74" s="90"/>
      <c r="AEJ74" s="90"/>
      <c r="AEK74" s="90"/>
      <c r="AEL74" s="90"/>
      <c r="AEM74" s="90"/>
      <c r="AEN74" s="90"/>
      <c r="AEO74" s="90"/>
      <c r="AEP74" s="90"/>
      <c r="AEQ74" s="90"/>
      <c r="AER74" s="90"/>
      <c r="AES74" s="90"/>
      <c r="AET74" s="90"/>
      <c r="AEU74" s="90"/>
      <c r="AEV74" s="90"/>
      <c r="AEW74" s="90"/>
      <c r="AEX74" s="90"/>
      <c r="AEY74" s="90"/>
      <c r="AEZ74" s="90"/>
      <c r="AFA74" s="90"/>
      <c r="AFB74" s="90"/>
      <c r="AFC74" s="90"/>
      <c r="AFD74" s="90"/>
      <c r="AFE74" s="90"/>
      <c r="AFF74" s="90"/>
      <c r="AFG74" s="90"/>
      <c r="AFH74" s="90"/>
      <c r="AFI74" s="90"/>
      <c r="AFJ74" s="90"/>
      <c r="AFK74" s="90"/>
      <c r="AFL74" s="90"/>
      <c r="AFM74" s="90"/>
      <c r="AFN74" s="90"/>
      <c r="AFO74" s="90"/>
      <c r="AFP74" s="90"/>
      <c r="AFQ74" s="90"/>
      <c r="AFR74" s="90"/>
      <c r="AFS74" s="90"/>
      <c r="AFT74" s="90"/>
      <c r="AFU74" s="90"/>
      <c r="AFV74" s="90"/>
      <c r="AFW74" s="90"/>
      <c r="AFX74" s="90"/>
      <c r="AFY74" s="90"/>
      <c r="AFZ74" s="90"/>
      <c r="AGA74" s="90"/>
      <c r="AGB74" s="90"/>
      <c r="AGC74" s="90"/>
      <c r="AGD74" s="90"/>
      <c r="AGE74" s="90"/>
      <c r="AGF74" s="90"/>
      <c r="AGG74" s="90"/>
      <c r="AGH74" s="90"/>
      <c r="AGI74" s="90"/>
      <c r="AGJ74" s="90"/>
      <c r="AGK74" s="90"/>
      <c r="AGL74" s="90"/>
      <c r="AGM74" s="90"/>
      <c r="AGN74" s="90"/>
      <c r="AGO74" s="90"/>
      <c r="AGP74" s="90"/>
      <c r="AGQ74" s="90"/>
      <c r="AGR74" s="90"/>
      <c r="AGS74" s="90"/>
      <c r="AGT74" s="90"/>
      <c r="AGU74" s="90"/>
      <c r="AGV74" s="90"/>
      <c r="AGW74" s="90"/>
      <c r="AGX74" s="90"/>
      <c r="AGY74" s="90"/>
      <c r="AGZ74" s="90"/>
      <c r="AHA74" s="90"/>
      <c r="AHB74" s="90"/>
      <c r="AHC74" s="90"/>
      <c r="AHD74" s="90"/>
      <c r="AHE74" s="90"/>
      <c r="AHF74" s="90"/>
      <c r="AHG74" s="90"/>
      <c r="AHH74" s="90"/>
      <c r="AHI74" s="90"/>
      <c r="AHJ74" s="90"/>
      <c r="AHK74" s="90"/>
      <c r="AHL74" s="90"/>
      <c r="AHM74" s="90"/>
      <c r="AHN74" s="90"/>
      <c r="AHO74" s="90"/>
      <c r="AHP74" s="90"/>
      <c r="AHQ74" s="90"/>
      <c r="AHR74" s="90"/>
      <c r="AHS74" s="90"/>
      <c r="AHT74" s="90"/>
      <c r="AHU74" s="90"/>
      <c r="AHV74" s="90"/>
      <c r="AHW74" s="90"/>
      <c r="AHX74" s="90"/>
      <c r="AHY74" s="90"/>
      <c r="AHZ74" s="90"/>
      <c r="AIA74" s="90"/>
      <c r="AIB74" s="90"/>
      <c r="AIC74" s="90"/>
      <c r="AID74" s="90"/>
      <c r="AIE74" s="90"/>
      <c r="AIF74" s="90"/>
      <c r="AIG74" s="90"/>
      <c r="AIH74" s="90"/>
      <c r="AII74" s="90"/>
      <c r="AIJ74" s="90"/>
      <c r="AIK74" s="90"/>
      <c r="AIL74" s="90"/>
      <c r="AIM74" s="90"/>
      <c r="AIN74" s="90"/>
      <c r="AIO74" s="90"/>
      <c r="AIP74" s="90"/>
      <c r="AIQ74" s="90"/>
      <c r="AIR74" s="90"/>
      <c r="AIS74" s="90"/>
      <c r="AIT74" s="90"/>
      <c r="AIU74" s="90"/>
      <c r="AIV74" s="90"/>
      <c r="AIW74" s="90"/>
      <c r="AIX74" s="90"/>
      <c r="AIY74" s="90"/>
      <c r="AIZ74" s="90"/>
      <c r="AJA74" s="90"/>
      <c r="AJB74" s="90"/>
      <c r="AJC74" s="90"/>
      <c r="AJD74" s="90"/>
      <c r="AJE74" s="90"/>
      <c r="AJF74" s="90"/>
      <c r="AJG74" s="90"/>
      <c r="AJH74" s="90"/>
      <c r="AJI74" s="90"/>
      <c r="AJJ74" s="90"/>
      <c r="AJK74" s="90"/>
      <c r="AJL74" s="90"/>
      <c r="AJM74" s="90"/>
      <c r="AJN74" s="90"/>
      <c r="AJO74" s="90"/>
      <c r="AJP74" s="90"/>
      <c r="AJQ74" s="90"/>
      <c r="AJR74" s="90"/>
      <c r="AJS74" s="90"/>
      <c r="AJT74" s="90"/>
      <c r="AJU74" s="90"/>
      <c r="AJV74" s="90"/>
      <c r="AJW74" s="90"/>
      <c r="AJX74" s="90"/>
      <c r="AJY74" s="90"/>
      <c r="AJZ74" s="90"/>
      <c r="AKA74" s="90"/>
      <c r="AKB74" s="90"/>
      <c r="AKC74" s="90"/>
      <c r="AKD74" s="90"/>
      <c r="AKE74" s="90"/>
      <c r="AKF74" s="90"/>
      <c r="AKG74" s="90"/>
      <c r="AKH74" s="90"/>
      <c r="AKI74" s="90"/>
      <c r="AKJ74" s="90"/>
      <c r="AKK74" s="90"/>
      <c r="AKL74" s="90"/>
      <c r="AKM74" s="90"/>
      <c r="AKN74" s="90"/>
      <c r="AKO74" s="90"/>
      <c r="AKP74" s="90"/>
      <c r="AKQ74" s="90"/>
      <c r="AKR74" s="90"/>
      <c r="AKS74" s="90"/>
      <c r="AKT74" s="90"/>
      <c r="AKU74" s="90"/>
      <c r="AKV74" s="90"/>
      <c r="AKW74" s="90"/>
      <c r="AKX74" s="90"/>
      <c r="AKY74" s="90"/>
      <c r="AKZ74" s="90"/>
      <c r="ALA74" s="90"/>
      <c r="ALB74" s="90"/>
      <c r="ALC74" s="90"/>
      <c r="ALD74" s="90"/>
      <c r="ALE74" s="90"/>
      <c r="ALF74" s="90"/>
      <c r="ALG74" s="90"/>
      <c r="ALH74" s="90"/>
      <c r="ALI74" s="90"/>
      <c r="ALJ74" s="90"/>
      <c r="ALK74" s="90"/>
      <c r="ALL74" s="90"/>
      <c r="ALM74" s="90"/>
      <c r="ALN74" s="90"/>
      <c r="ALO74" s="90"/>
      <c r="ALP74" s="90"/>
      <c r="ALQ74" s="90"/>
      <c r="ALR74" s="90"/>
      <c r="ALS74" s="90"/>
      <c r="ALT74" s="90"/>
      <c r="ALU74" s="90"/>
      <c r="ALV74" s="90"/>
      <c r="ALW74" s="90"/>
      <c r="ALX74" s="90"/>
      <c r="ALY74" s="90"/>
      <c r="ALZ74" s="90"/>
      <c r="AMA74" s="90"/>
      <c r="AMB74" s="90"/>
      <c r="AMC74" s="90"/>
    </row>
    <row r="75" spans="1:1017">
      <c r="A75" s="98" t="s">
        <v>26</v>
      </c>
      <c r="B75" s="648" t="str">
        <f t="shared" si="829"/>
        <v xml:space="preserve">Udang Galah </v>
      </c>
      <c r="Q75" s="91">
        <f t="shared" si="830"/>
        <v>0</v>
      </c>
      <c r="R75" s="91">
        <f t="shared" si="831"/>
        <v>0</v>
      </c>
      <c r="AG75" s="91">
        <f t="shared" si="832"/>
        <v>0</v>
      </c>
      <c r="AH75" s="91">
        <f t="shared" si="833"/>
        <v>0</v>
      </c>
      <c r="AW75" s="91">
        <f t="shared" si="834"/>
        <v>0</v>
      </c>
      <c r="AX75" s="91">
        <f t="shared" si="835"/>
        <v>0</v>
      </c>
      <c r="BM75" s="91">
        <f t="shared" si="836"/>
        <v>0</v>
      </c>
      <c r="BN75" s="91">
        <f t="shared" si="837"/>
        <v>0</v>
      </c>
      <c r="CC75" s="91">
        <f t="shared" si="838"/>
        <v>0</v>
      </c>
      <c r="CD75" s="91">
        <f t="shared" si="839"/>
        <v>0</v>
      </c>
      <c r="CS75" s="91">
        <f t="shared" si="840"/>
        <v>0</v>
      </c>
      <c r="CT75" s="91">
        <f t="shared" si="841"/>
        <v>0</v>
      </c>
      <c r="DI75" s="91">
        <f t="shared" si="842"/>
        <v>0</v>
      </c>
      <c r="DJ75" s="91">
        <f t="shared" si="843"/>
        <v>0</v>
      </c>
      <c r="DY75" s="91">
        <f t="shared" si="844"/>
        <v>0</v>
      </c>
      <c r="DZ75" s="91">
        <f t="shared" si="845"/>
        <v>0</v>
      </c>
      <c r="EO75" s="91">
        <f t="shared" si="846"/>
        <v>0</v>
      </c>
      <c r="EP75" s="91">
        <f t="shared" si="847"/>
        <v>0</v>
      </c>
      <c r="FE75" s="91">
        <f t="shared" si="848"/>
        <v>0</v>
      </c>
      <c r="FF75" s="91">
        <f t="shared" si="849"/>
        <v>0</v>
      </c>
      <c r="FU75" s="91">
        <f t="shared" si="850"/>
        <v>0</v>
      </c>
      <c r="FV75" s="91">
        <f t="shared" si="851"/>
        <v>0</v>
      </c>
      <c r="GK75" s="91">
        <f t="shared" si="852"/>
        <v>0</v>
      </c>
      <c r="GL75" s="91">
        <f t="shared" si="853"/>
        <v>0</v>
      </c>
      <c r="HA75" s="91">
        <f t="shared" si="854"/>
        <v>0</v>
      </c>
      <c r="HB75" s="91">
        <f t="shared" si="855"/>
        <v>0</v>
      </c>
      <c r="HQ75" s="91">
        <f t="shared" si="856"/>
        <v>0</v>
      </c>
      <c r="HR75" s="91">
        <f t="shared" si="857"/>
        <v>0</v>
      </c>
      <c r="IG75" s="91">
        <f t="shared" si="858"/>
        <v>0</v>
      </c>
      <c r="IH75" s="91">
        <f t="shared" si="859"/>
        <v>0</v>
      </c>
      <c r="IW75" s="91">
        <f t="shared" si="860"/>
        <v>0</v>
      </c>
      <c r="IX75" s="91">
        <f t="shared" si="861"/>
        <v>0</v>
      </c>
      <c r="JM75" s="91">
        <f t="shared" si="862"/>
        <v>0</v>
      </c>
      <c r="JN75" s="91">
        <f t="shared" si="863"/>
        <v>0</v>
      </c>
      <c r="KC75" s="91">
        <f t="shared" si="864"/>
        <v>0</v>
      </c>
      <c r="KD75" s="91">
        <f t="shared" si="865"/>
        <v>0</v>
      </c>
      <c r="KS75" s="91">
        <f t="shared" si="866"/>
        <v>0</v>
      </c>
      <c r="KT75" s="91">
        <f t="shared" si="867"/>
        <v>0</v>
      </c>
      <c r="LI75" s="91">
        <f t="shared" si="868"/>
        <v>0</v>
      </c>
      <c r="LJ75" s="91">
        <f t="shared" si="869"/>
        <v>0</v>
      </c>
      <c r="LY75" s="91">
        <f t="shared" si="870"/>
        <v>0</v>
      </c>
      <c r="LZ75" s="91">
        <f t="shared" si="871"/>
        <v>0</v>
      </c>
      <c r="MO75" s="91">
        <f t="shared" si="872"/>
        <v>0</v>
      </c>
      <c r="MP75" s="91">
        <f t="shared" si="873"/>
        <v>0</v>
      </c>
      <c r="NE75" s="91">
        <f t="shared" si="874"/>
        <v>0</v>
      </c>
      <c r="NF75" s="91">
        <f t="shared" si="875"/>
        <v>0</v>
      </c>
      <c r="NU75" s="91">
        <f t="shared" si="876"/>
        <v>0</v>
      </c>
      <c r="NV75" s="91">
        <f t="shared" si="877"/>
        <v>0</v>
      </c>
      <c r="OK75" s="91">
        <f t="shared" si="878"/>
        <v>0</v>
      </c>
      <c r="OL75" s="91">
        <f t="shared" si="879"/>
        <v>0</v>
      </c>
      <c r="PA75" s="91">
        <f t="shared" si="880"/>
        <v>0</v>
      </c>
      <c r="PB75" s="91">
        <f t="shared" si="881"/>
        <v>0</v>
      </c>
      <c r="PQ75" s="91">
        <f t="shared" si="882"/>
        <v>0</v>
      </c>
      <c r="PR75" s="91">
        <f t="shared" si="883"/>
        <v>0</v>
      </c>
      <c r="QG75" s="91">
        <f t="shared" si="884"/>
        <v>0</v>
      </c>
      <c r="QH75" s="91">
        <f t="shared" si="885"/>
        <v>0</v>
      </c>
      <c r="QW75" s="91">
        <f t="shared" si="886"/>
        <v>0</v>
      </c>
      <c r="QX75" s="91">
        <f t="shared" si="887"/>
        <v>0</v>
      </c>
      <c r="RM75" s="91">
        <f t="shared" si="888"/>
        <v>0</v>
      </c>
      <c r="RN75" s="91">
        <f t="shared" si="889"/>
        <v>0</v>
      </c>
      <c r="SC75" s="91">
        <f t="shared" si="890"/>
        <v>0</v>
      </c>
      <c r="SD75" s="91">
        <f t="shared" si="891"/>
        <v>0</v>
      </c>
      <c r="SS75" s="91">
        <f t="shared" si="892"/>
        <v>0</v>
      </c>
      <c r="ST75" s="91">
        <f t="shared" si="893"/>
        <v>0</v>
      </c>
      <c r="TI75" s="91">
        <f t="shared" si="894"/>
        <v>0</v>
      </c>
      <c r="TJ75" s="91">
        <f t="shared" si="895"/>
        <v>0</v>
      </c>
      <c r="TY75" s="91">
        <f t="shared" si="896"/>
        <v>0</v>
      </c>
      <c r="TZ75" s="91">
        <f t="shared" si="897"/>
        <v>0</v>
      </c>
      <c r="UO75" s="91">
        <f t="shared" si="898"/>
        <v>0</v>
      </c>
      <c r="UP75" s="91">
        <f t="shared" si="899"/>
        <v>0</v>
      </c>
      <c r="VE75" s="91">
        <f t="shared" si="900"/>
        <v>0</v>
      </c>
      <c r="VF75" s="91">
        <f t="shared" si="901"/>
        <v>0</v>
      </c>
      <c r="VU75" s="91">
        <f t="shared" si="902"/>
        <v>0</v>
      </c>
      <c r="VV75" s="91">
        <f t="shared" si="903"/>
        <v>0</v>
      </c>
      <c r="WK75" s="91">
        <f t="shared" si="904"/>
        <v>0</v>
      </c>
      <c r="WL75" s="91">
        <f t="shared" si="905"/>
        <v>0</v>
      </c>
      <c r="WM75" s="89"/>
      <c r="WN75" s="87">
        <f t="shared" si="906"/>
        <v>0</v>
      </c>
      <c r="WO75" s="87">
        <f t="shared" si="907"/>
        <v>0</v>
      </c>
      <c r="WP75" s="87">
        <f t="shared" si="908"/>
        <v>0</v>
      </c>
      <c r="WQ75" s="87">
        <f t="shared" si="909"/>
        <v>0</v>
      </c>
      <c r="WR75" s="87">
        <f t="shared" si="910"/>
        <v>0</v>
      </c>
      <c r="WS75" s="87">
        <f t="shared" si="911"/>
        <v>0</v>
      </c>
      <c r="WT75" s="87">
        <f t="shared" si="912"/>
        <v>0</v>
      </c>
      <c r="WU75" s="87">
        <f t="shared" si="913"/>
        <v>0</v>
      </c>
      <c r="WV75" s="87">
        <f t="shared" si="914"/>
        <v>0</v>
      </c>
      <c r="WW75" s="87">
        <f t="shared" si="915"/>
        <v>0</v>
      </c>
      <c r="WX75" s="87">
        <f t="shared" si="916"/>
        <v>0</v>
      </c>
      <c r="WY75" s="87">
        <f t="shared" si="917"/>
        <v>0</v>
      </c>
      <c r="WZ75" s="87">
        <f t="shared" ref="WZ75:WZ88" si="968">SUMIF($C$5:$WL$5,$WZ$5,C75:WL75)</f>
        <v>0</v>
      </c>
      <c r="XA75" s="87">
        <f t="shared" ref="XA75:XA88" si="969">SUMIF($C$5:$WL$5,$XA$5,C75:WL75)</f>
        <v>0</v>
      </c>
      <c r="XB75" s="92">
        <f t="shared" si="920"/>
        <v>0</v>
      </c>
      <c r="XC75" s="92">
        <f t="shared" si="921"/>
        <v>0</v>
      </c>
      <c r="XD75" s="89"/>
      <c r="XE75" s="92">
        <f t="shared" ref="XE75:XF75" si="970">SUM(XB151,XB189,XB227)</f>
        <v>0</v>
      </c>
      <c r="XF75" s="92">
        <f t="shared" si="970"/>
        <v>0</v>
      </c>
      <c r="XG75" s="89"/>
      <c r="XH75" s="92">
        <f t="shared" ref="XH75:XI75" si="971">SUM(XE113,XE151)</f>
        <v>0</v>
      </c>
      <c r="XI75" s="92">
        <f t="shared" si="971"/>
        <v>0</v>
      </c>
      <c r="XJ75" s="89"/>
      <c r="XK75" s="87"/>
      <c r="XL75" s="87"/>
      <c r="XM75" s="87"/>
      <c r="XN75" s="87"/>
      <c r="XO75" s="87"/>
      <c r="XP75" s="87"/>
      <c r="XQ75" s="87"/>
      <c r="XR75" s="92">
        <f t="shared" ca="1" si="922"/>
        <v>0</v>
      </c>
      <c r="XS75" s="89"/>
      <c r="XT75" s="87"/>
      <c r="XU75" s="87"/>
      <c r="XV75" s="87"/>
      <c r="XW75" s="87"/>
      <c r="XX75" s="87"/>
      <c r="XY75" s="87"/>
      <c r="XZ75" s="87"/>
      <c r="YA75" s="92">
        <f t="shared" ca="1" si="923"/>
        <v>0</v>
      </c>
      <c r="YB75" s="90"/>
      <c r="YC75" s="90"/>
      <c r="YD75" s="90"/>
      <c r="YE75" s="90"/>
      <c r="YF75" s="90"/>
      <c r="YG75" s="90"/>
      <c r="YH75" s="90"/>
      <c r="YI75" s="90"/>
      <c r="YJ75" s="90"/>
      <c r="YK75" s="90"/>
      <c r="YL75" s="90"/>
      <c r="YM75" s="90"/>
      <c r="YN75" s="90"/>
      <c r="YO75" s="90"/>
      <c r="YP75" s="90"/>
      <c r="YQ75" s="90"/>
      <c r="YR75" s="90"/>
      <c r="YS75" s="90"/>
      <c r="YT75" s="90"/>
      <c r="YU75" s="90"/>
      <c r="YV75" s="90"/>
      <c r="YW75" s="90"/>
      <c r="YX75" s="90"/>
      <c r="YY75" s="90"/>
      <c r="YZ75" s="90"/>
      <c r="ZA75" s="90"/>
      <c r="ZB75" s="90"/>
      <c r="ZC75" s="90"/>
      <c r="ZD75" s="90"/>
      <c r="ZE75" s="90"/>
      <c r="ZF75" s="90"/>
      <c r="ZG75" s="90"/>
      <c r="ZH75" s="90"/>
      <c r="ZI75" s="90"/>
      <c r="ZJ75" s="90"/>
      <c r="ZK75" s="90"/>
      <c r="ZL75" s="90"/>
      <c r="ZM75" s="90"/>
      <c r="ZN75" s="90"/>
      <c r="ZO75" s="90"/>
      <c r="ZP75" s="90"/>
      <c r="ZQ75" s="90"/>
      <c r="ZR75" s="90"/>
      <c r="ZS75" s="90"/>
      <c r="ZT75" s="90"/>
      <c r="ZU75" s="90"/>
      <c r="ZV75" s="90"/>
      <c r="ZW75" s="90"/>
      <c r="ZX75" s="90"/>
      <c r="ZY75" s="90"/>
      <c r="ZZ75" s="90"/>
      <c r="AAA75" s="90"/>
      <c r="AAB75" s="90"/>
      <c r="AAC75" s="90"/>
      <c r="AAD75" s="90"/>
      <c r="AAE75" s="90"/>
      <c r="AAF75" s="90"/>
      <c r="AAG75" s="90"/>
      <c r="AAH75" s="90"/>
      <c r="AAI75" s="90"/>
      <c r="AAJ75" s="90"/>
      <c r="AAK75" s="90"/>
      <c r="AAL75" s="90"/>
      <c r="AAM75" s="90"/>
      <c r="AAN75" s="90"/>
      <c r="AAO75" s="90"/>
      <c r="AAP75" s="90"/>
      <c r="AAQ75" s="90"/>
      <c r="AAR75" s="90"/>
      <c r="AAS75" s="90"/>
      <c r="AAT75" s="90"/>
      <c r="AAU75" s="90"/>
      <c r="AAV75" s="90"/>
      <c r="AAW75" s="90"/>
      <c r="AAX75" s="90"/>
      <c r="AAY75" s="90"/>
      <c r="AAZ75" s="90"/>
      <c r="ABA75" s="90"/>
      <c r="ABB75" s="90"/>
      <c r="ABC75" s="90"/>
      <c r="ABD75" s="90"/>
      <c r="ABE75" s="90"/>
      <c r="ABF75" s="90"/>
      <c r="ABG75" s="90"/>
      <c r="ABH75" s="90"/>
      <c r="ABI75" s="90"/>
      <c r="ABJ75" s="90"/>
      <c r="ABK75" s="90"/>
      <c r="ABL75" s="90"/>
      <c r="ABM75" s="90"/>
      <c r="ABN75" s="90"/>
      <c r="ABO75" s="90"/>
      <c r="ABP75" s="90"/>
      <c r="ABQ75" s="90"/>
      <c r="ABR75" s="90"/>
      <c r="ABS75" s="90"/>
      <c r="ABT75" s="90"/>
      <c r="ABU75" s="90"/>
      <c r="ABV75" s="90"/>
      <c r="ABW75" s="90"/>
      <c r="ABX75" s="90"/>
      <c r="ABY75" s="90"/>
      <c r="ABZ75" s="90"/>
      <c r="ACA75" s="90"/>
      <c r="ACB75" s="90"/>
      <c r="ACC75" s="90"/>
      <c r="ACD75" s="90"/>
      <c r="ACE75" s="90"/>
      <c r="ACF75" s="90"/>
      <c r="ACG75" s="90"/>
      <c r="ACH75" s="90"/>
      <c r="ACI75" s="90"/>
      <c r="ACJ75" s="90"/>
      <c r="ACK75" s="90"/>
      <c r="ACL75" s="90"/>
      <c r="ACM75" s="90"/>
      <c r="ACN75" s="90"/>
      <c r="ACO75" s="90"/>
      <c r="ACP75" s="90"/>
      <c r="ACQ75" s="90"/>
      <c r="ACR75" s="90"/>
      <c r="ACS75" s="90"/>
      <c r="ACT75" s="90"/>
      <c r="ACU75" s="90"/>
      <c r="ACV75" s="90"/>
      <c r="ACW75" s="90"/>
      <c r="ACX75" s="90"/>
      <c r="ACY75" s="90"/>
      <c r="ACZ75" s="90"/>
      <c r="ADA75" s="90"/>
      <c r="ADB75" s="90"/>
      <c r="ADC75" s="90"/>
      <c r="ADD75" s="90"/>
      <c r="ADE75" s="90"/>
      <c r="ADF75" s="90"/>
      <c r="ADG75" s="90"/>
      <c r="ADH75" s="90"/>
      <c r="ADI75" s="90"/>
      <c r="ADJ75" s="90"/>
      <c r="ADK75" s="90"/>
      <c r="ADL75" s="90"/>
      <c r="ADM75" s="90"/>
      <c r="ADN75" s="90"/>
      <c r="ADO75" s="90"/>
      <c r="ADP75" s="90"/>
      <c r="ADQ75" s="90"/>
      <c r="ADR75" s="90"/>
      <c r="ADS75" s="90"/>
      <c r="ADT75" s="90"/>
      <c r="ADU75" s="90"/>
      <c r="ADV75" s="90"/>
      <c r="ADW75" s="90"/>
      <c r="ADX75" s="90"/>
      <c r="ADY75" s="90"/>
      <c r="ADZ75" s="90"/>
      <c r="AEA75" s="90"/>
      <c r="AEB75" s="90"/>
      <c r="AEC75" s="90"/>
      <c r="AED75" s="90"/>
      <c r="AEE75" s="90"/>
      <c r="AEF75" s="90"/>
      <c r="AEG75" s="90"/>
      <c r="AEH75" s="90"/>
      <c r="AEI75" s="90"/>
      <c r="AEJ75" s="90"/>
      <c r="AEK75" s="90"/>
      <c r="AEL75" s="90"/>
      <c r="AEM75" s="90"/>
      <c r="AEN75" s="90"/>
      <c r="AEO75" s="90"/>
      <c r="AEP75" s="90"/>
      <c r="AEQ75" s="90"/>
      <c r="AER75" s="90"/>
      <c r="AES75" s="90"/>
      <c r="AET75" s="90"/>
      <c r="AEU75" s="90"/>
      <c r="AEV75" s="90"/>
      <c r="AEW75" s="90"/>
      <c r="AEX75" s="90"/>
      <c r="AEY75" s="90"/>
      <c r="AEZ75" s="90"/>
      <c r="AFA75" s="90"/>
      <c r="AFB75" s="90"/>
      <c r="AFC75" s="90"/>
      <c r="AFD75" s="90"/>
      <c r="AFE75" s="90"/>
      <c r="AFF75" s="90"/>
      <c r="AFG75" s="90"/>
      <c r="AFH75" s="90"/>
      <c r="AFI75" s="90"/>
      <c r="AFJ75" s="90"/>
      <c r="AFK75" s="90"/>
      <c r="AFL75" s="90"/>
      <c r="AFM75" s="90"/>
      <c r="AFN75" s="90"/>
      <c r="AFO75" s="90"/>
      <c r="AFP75" s="90"/>
      <c r="AFQ75" s="90"/>
      <c r="AFR75" s="90"/>
      <c r="AFS75" s="90"/>
      <c r="AFT75" s="90"/>
      <c r="AFU75" s="90"/>
      <c r="AFV75" s="90"/>
      <c r="AFW75" s="90"/>
      <c r="AFX75" s="90"/>
      <c r="AFY75" s="90"/>
      <c r="AFZ75" s="90"/>
      <c r="AGA75" s="90"/>
      <c r="AGB75" s="90"/>
      <c r="AGC75" s="90"/>
      <c r="AGD75" s="90"/>
      <c r="AGE75" s="90"/>
      <c r="AGF75" s="90"/>
      <c r="AGG75" s="90"/>
      <c r="AGH75" s="90"/>
      <c r="AGI75" s="90"/>
      <c r="AGJ75" s="90"/>
      <c r="AGK75" s="90"/>
      <c r="AGL75" s="90"/>
      <c r="AGM75" s="90"/>
      <c r="AGN75" s="90"/>
      <c r="AGO75" s="90"/>
      <c r="AGP75" s="90"/>
      <c r="AGQ75" s="90"/>
      <c r="AGR75" s="90"/>
      <c r="AGS75" s="90"/>
      <c r="AGT75" s="90"/>
      <c r="AGU75" s="90"/>
      <c r="AGV75" s="90"/>
      <c r="AGW75" s="90"/>
      <c r="AGX75" s="90"/>
      <c r="AGY75" s="90"/>
      <c r="AGZ75" s="90"/>
      <c r="AHA75" s="90"/>
      <c r="AHB75" s="90"/>
      <c r="AHC75" s="90"/>
      <c r="AHD75" s="90"/>
      <c r="AHE75" s="90"/>
      <c r="AHF75" s="90"/>
      <c r="AHG75" s="90"/>
      <c r="AHH75" s="90"/>
      <c r="AHI75" s="90"/>
      <c r="AHJ75" s="90"/>
      <c r="AHK75" s="90"/>
      <c r="AHL75" s="90"/>
      <c r="AHM75" s="90"/>
      <c r="AHN75" s="90"/>
      <c r="AHO75" s="90"/>
      <c r="AHP75" s="90"/>
      <c r="AHQ75" s="90"/>
      <c r="AHR75" s="90"/>
      <c r="AHS75" s="90"/>
      <c r="AHT75" s="90"/>
      <c r="AHU75" s="90"/>
      <c r="AHV75" s="90"/>
      <c r="AHW75" s="90"/>
      <c r="AHX75" s="90"/>
      <c r="AHY75" s="90"/>
      <c r="AHZ75" s="90"/>
      <c r="AIA75" s="90"/>
      <c r="AIB75" s="90"/>
      <c r="AIC75" s="90"/>
      <c r="AID75" s="90"/>
      <c r="AIE75" s="90"/>
      <c r="AIF75" s="90"/>
      <c r="AIG75" s="90"/>
      <c r="AIH75" s="90"/>
      <c r="AII75" s="90"/>
      <c r="AIJ75" s="90"/>
      <c r="AIK75" s="90"/>
      <c r="AIL75" s="90"/>
      <c r="AIM75" s="90"/>
      <c r="AIN75" s="90"/>
      <c r="AIO75" s="90"/>
      <c r="AIP75" s="90"/>
      <c r="AIQ75" s="90"/>
      <c r="AIR75" s="90"/>
      <c r="AIS75" s="90"/>
      <c r="AIT75" s="90"/>
      <c r="AIU75" s="90"/>
      <c r="AIV75" s="90"/>
      <c r="AIW75" s="90"/>
      <c r="AIX75" s="90"/>
      <c r="AIY75" s="90"/>
      <c r="AIZ75" s="90"/>
      <c r="AJA75" s="90"/>
      <c r="AJB75" s="90"/>
      <c r="AJC75" s="90"/>
      <c r="AJD75" s="90"/>
      <c r="AJE75" s="90"/>
      <c r="AJF75" s="90"/>
      <c r="AJG75" s="90"/>
      <c r="AJH75" s="90"/>
      <c r="AJI75" s="90"/>
      <c r="AJJ75" s="90"/>
      <c r="AJK75" s="90"/>
      <c r="AJL75" s="90"/>
      <c r="AJM75" s="90"/>
      <c r="AJN75" s="90"/>
      <c r="AJO75" s="90"/>
      <c r="AJP75" s="90"/>
      <c r="AJQ75" s="90"/>
      <c r="AJR75" s="90"/>
      <c r="AJS75" s="90"/>
      <c r="AJT75" s="90"/>
      <c r="AJU75" s="90"/>
      <c r="AJV75" s="90"/>
      <c r="AJW75" s="90"/>
      <c r="AJX75" s="90"/>
      <c r="AJY75" s="90"/>
      <c r="AJZ75" s="90"/>
      <c r="AKA75" s="90"/>
      <c r="AKB75" s="90"/>
      <c r="AKC75" s="90"/>
      <c r="AKD75" s="90"/>
      <c r="AKE75" s="90"/>
      <c r="AKF75" s="90"/>
      <c r="AKG75" s="90"/>
      <c r="AKH75" s="90"/>
      <c r="AKI75" s="90"/>
      <c r="AKJ75" s="90"/>
      <c r="AKK75" s="90"/>
      <c r="AKL75" s="90"/>
      <c r="AKM75" s="90"/>
      <c r="AKN75" s="90"/>
      <c r="AKO75" s="90"/>
      <c r="AKP75" s="90"/>
      <c r="AKQ75" s="90"/>
      <c r="AKR75" s="90"/>
      <c r="AKS75" s="90"/>
      <c r="AKT75" s="90"/>
      <c r="AKU75" s="90"/>
      <c r="AKV75" s="90"/>
      <c r="AKW75" s="90"/>
      <c r="AKX75" s="90"/>
      <c r="AKY75" s="90"/>
      <c r="AKZ75" s="90"/>
      <c r="ALA75" s="90"/>
      <c r="ALB75" s="90"/>
      <c r="ALC75" s="90"/>
      <c r="ALD75" s="90"/>
      <c r="ALE75" s="90"/>
      <c r="ALF75" s="90"/>
      <c r="ALG75" s="90"/>
      <c r="ALH75" s="90"/>
      <c r="ALI75" s="90"/>
      <c r="ALJ75" s="90"/>
      <c r="ALK75" s="90"/>
      <c r="ALL75" s="90"/>
      <c r="ALM75" s="90"/>
      <c r="ALN75" s="90"/>
      <c r="ALO75" s="90"/>
      <c r="ALP75" s="90"/>
      <c r="ALQ75" s="90"/>
      <c r="ALR75" s="90"/>
      <c r="ALS75" s="90"/>
      <c r="ALT75" s="90"/>
      <c r="ALU75" s="90"/>
      <c r="ALV75" s="90"/>
      <c r="ALW75" s="90"/>
      <c r="ALX75" s="90"/>
      <c r="ALY75" s="90"/>
      <c r="ALZ75" s="90"/>
      <c r="AMA75" s="90"/>
      <c r="AMB75" s="90"/>
      <c r="AMC75" s="90"/>
    </row>
    <row r="76" spans="1:1017">
      <c r="A76" s="98" t="s">
        <v>26</v>
      </c>
      <c r="B76" s="648" t="str">
        <f t="shared" si="829"/>
        <v>Udang Putih</v>
      </c>
      <c r="E76" s="98">
        <v>274500</v>
      </c>
      <c r="F76" s="98">
        <v>10980000</v>
      </c>
      <c r="Q76" s="91">
        <f t="shared" si="830"/>
        <v>274500</v>
      </c>
      <c r="R76" s="91">
        <f t="shared" si="831"/>
        <v>10980000</v>
      </c>
      <c r="AG76" s="91">
        <f t="shared" si="832"/>
        <v>0</v>
      </c>
      <c r="AH76" s="91">
        <f t="shared" si="833"/>
        <v>0</v>
      </c>
      <c r="AW76" s="91">
        <f t="shared" si="834"/>
        <v>0</v>
      </c>
      <c r="AX76" s="91">
        <f t="shared" si="835"/>
        <v>0</v>
      </c>
      <c r="BM76" s="91">
        <f t="shared" si="836"/>
        <v>0</v>
      </c>
      <c r="BN76" s="91">
        <f t="shared" si="837"/>
        <v>0</v>
      </c>
      <c r="CC76" s="91">
        <f t="shared" si="838"/>
        <v>0</v>
      </c>
      <c r="CD76" s="91">
        <f t="shared" si="839"/>
        <v>0</v>
      </c>
      <c r="CS76" s="91">
        <f t="shared" si="840"/>
        <v>0</v>
      </c>
      <c r="CT76" s="91">
        <f t="shared" si="841"/>
        <v>0</v>
      </c>
      <c r="DI76" s="91">
        <f t="shared" si="842"/>
        <v>0</v>
      </c>
      <c r="DJ76" s="91">
        <f t="shared" si="843"/>
        <v>0</v>
      </c>
      <c r="DY76" s="91">
        <f t="shared" si="844"/>
        <v>0</v>
      </c>
      <c r="DZ76" s="91">
        <f t="shared" si="845"/>
        <v>0</v>
      </c>
      <c r="EO76" s="91">
        <f t="shared" si="846"/>
        <v>0</v>
      </c>
      <c r="EP76" s="91">
        <f t="shared" si="847"/>
        <v>0</v>
      </c>
      <c r="FE76" s="91">
        <f t="shared" si="848"/>
        <v>0</v>
      </c>
      <c r="FF76" s="91">
        <f t="shared" si="849"/>
        <v>0</v>
      </c>
      <c r="FU76" s="91">
        <f t="shared" si="850"/>
        <v>0</v>
      </c>
      <c r="FV76" s="91">
        <f t="shared" si="851"/>
        <v>0</v>
      </c>
      <c r="GK76" s="91">
        <f t="shared" si="852"/>
        <v>0</v>
      </c>
      <c r="GL76" s="91">
        <f t="shared" si="853"/>
        <v>0</v>
      </c>
      <c r="HA76" s="91">
        <f t="shared" si="854"/>
        <v>0</v>
      </c>
      <c r="HB76" s="91">
        <f t="shared" si="855"/>
        <v>0</v>
      </c>
      <c r="HE76" s="98">
        <v>105000</v>
      </c>
      <c r="HF76" s="98">
        <v>5670000</v>
      </c>
      <c r="HQ76" s="91">
        <f t="shared" si="856"/>
        <v>105000</v>
      </c>
      <c r="HR76" s="91">
        <f t="shared" si="857"/>
        <v>5670000</v>
      </c>
      <c r="IG76" s="91">
        <f t="shared" si="858"/>
        <v>0</v>
      </c>
      <c r="IH76" s="91">
        <f t="shared" si="859"/>
        <v>0</v>
      </c>
      <c r="IW76" s="91">
        <f t="shared" si="860"/>
        <v>0</v>
      </c>
      <c r="IX76" s="91">
        <f t="shared" si="861"/>
        <v>0</v>
      </c>
      <c r="JM76" s="91">
        <f t="shared" si="862"/>
        <v>0</v>
      </c>
      <c r="JN76" s="91">
        <f t="shared" si="863"/>
        <v>0</v>
      </c>
      <c r="KC76" s="91">
        <f t="shared" si="864"/>
        <v>0</v>
      </c>
      <c r="KD76" s="91">
        <f t="shared" si="865"/>
        <v>0</v>
      </c>
      <c r="KS76" s="91">
        <f t="shared" si="866"/>
        <v>0</v>
      </c>
      <c r="KT76" s="91">
        <f t="shared" si="867"/>
        <v>0</v>
      </c>
      <c r="LI76" s="91">
        <f t="shared" si="868"/>
        <v>0</v>
      </c>
      <c r="LJ76" s="91">
        <f t="shared" si="869"/>
        <v>0</v>
      </c>
      <c r="LY76" s="91">
        <f t="shared" si="870"/>
        <v>0</v>
      </c>
      <c r="LZ76" s="91">
        <f t="shared" si="871"/>
        <v>0</v>
      </c>
      <c r="MC76" s="98">
        <v>14900</v>
      </c>
      <c r="MD76" s="98">
        <v>596000</v>
      </c>
      <c r="MO76" s="91">
        <f t="shared" si="872"/>
        <v>14900</v>
      </c>
      <c r="MP76" s="91">
        <f t="shared" si="873"/>
        <v>596000</v>
      </c>
      <c r="NE76" s="91">
        <f t="shared" si="874"/>
        <v>0</v>
      </c>
      <c r="NF76" s="91">
        <f t="shared" si="875"/>
        <v>0</v>
      </c>
      <c r="NI76" s="98">
        <v>57000</v>
      </c>
      <c r="NJ76" s="98">
        <v>2565000</v>
      </c>
      <c r="NU76" s="91">
        <f t="shared" si="876"/>
        <v>57000</v>
      </c>
      <c r="NV76" s="91">
        <f t="shared" si="877"/>
        <v>2565000</v>
      </c>
      <c r="OK76" s="91">
        <f t="shared" si="878"/>
        <v>0</v>
      </c>
      <c r="OL76" s="91">
        <f t="shared" si="879"/>
        <v>0</v>
      </c>
      <c r="PA76" s="91">
        <f t="shared" si="880"/>
        <v>0</v>
      </c>
      <c r="PB76" s="91">
        <f t="shared" si="881"/>
        <v>0</v>
      </c>
      <c r="PQ76" s="91">
        <f t="shared" si="882"/>
        <v>0</v>
      </c>
      <c r="PR76" s="91">
        <f t="shared" si="883"/>
        <v>0</v>
      </c>
      <c r="QG76" s="91">
        <f t="shared" si="884"/>
        <v>0</v>
      </c>
      <c r="QH76" s="91">
        <f t="shared" si="885"/>
        <v>0</v>
      </c>
      <c r="QW76" s="91">
        <f t="shared" si="886"/>
        <v>0</v>
      </c>
      <c r="QX76" s="91">
        <f t="shared" si="887"/>
        <v>0</v>
      </c>
      <c r="RM76" s="91">
        <f t="shared" si="888"/>
        <v>0</v>
      </c>
      <c r="RN76" s="91">
        <f t="shared" si="889"/>
        <v>0</v>
      </c>
      <c r="SC76" s="91">
        <f t="shared" si="890"/>
        <v>0</v>
      </c>
      <c r="SD76" s="91">
        <f t="shared" si="891"/>
        <v>0</v>
      </c>
      <c r="SS76" s="91">
        <f t="shared" si="892"/>
        <v>0</v>
      </c>
      <c r="ST76" s="91">
        <f t="shared" si="893"/>
        <v>0</v>
      </c>
      <c r="TI76" s="91">
        <f t="shared" si="894"/>
        <v>0</v>
      </c>
      <c r="TJ76" s="91">
        <f t="shared" si="895"/>
        <v>0</v>
      </c>
      <c r="TY76" s="91">
        <f t="shared" si="896"/>
        <v>0</v>
      </c>
      <c r="TZ76" s="91">
        <f t="shared" si="897"/>
        <v>0</v>
      </c>
      <c r="UO76" s="91">
        <f t="shared" si="898"/>
        <v>0</v>
      </c>
      <c r="UP76" s="91">
        <f t="shared" si="899"/>
        <v>0</v>
      </c>
      <c r="VE76" s="91">
        <f t="shared" si="900"/>
        <v>0</v>
      </c>
      <c r="VF76" s="91">
        <f t="shared" si="901"/>
        <v>0</v>
      </c>
      <c r="VI76" s="98">
        <v>271</v>
      </c>
      <c r="VJ76" s="98">
        <v>13550</v>
      </c>
      <c r="VU76" s="91">
        <f t="shared" si="902"/>
        <v>271</v>
      </c>
      <c r="VV76" s="91">
        <f t="shared" si="903"/>
        <v>13550</v>
      </c>
      <c r="WK76" s="91">
        <f t="shared" si="904"/>
        <v>0</v>
      </c>
      <c r="WL76" s="91">
        <f t="shared" si="905"/>
        <v>0</v>
      </c>
      <c r="WM76" s="89"/>
      <c r="WN76" s="87">
        <f t="shared" si="906"/>
        <v>0</v>
      </c>
      <c r="WO76" s="87">
        <f t="shared" si="907"/>
        <v>0</v>
      </c>
      <c r="WP76" s="87">
        <f t="shared" si="908"/>
        <v>451671</v>
      </c>
      <c r="WQ76" s="87">
        <f t="shared" si="909"/>
        <v>19824550</v>
      </c>
      <c r="WR76" s="87">
        <f t="shared" si="910"/>
        <v>0</v>
      </c>
      <c r="WS76" s="87">
        <f t="shared" si="911"/>
        <v>0</v>
      </c>
      <c r="WT76" s="87">
        <f t="shared" si="912"/>
        <v>0</v>
      </c>
      <c r="WU76" s="87">
        <f t="shared" si="913"/>
        <v>0</v>
      </c>
      <c r="WV76" s="87">
        <f t="shared" si="914"/>
        <v>0</v>
      </c>
      <c r="WW76" s="87">
        <f t="shared" si="915"/>
        <v>0</v>
      </c>
      <c r="WX76" s="87">
        <f t="shared" si="916"/>
        <v>0</v>
      </c>
      <c r="WY76" s="87">
        <f t="shared" si="917"/>
        <v>0</v>
      </c>
      <c r="WZ76" s="87">
        <f t="shared" si="968"/>
        <v>0</v>
      </c>
      <c r="XA76" s="87">
        <f t="shared" si="969"/>
        <v>0</v>
      </c>
      <c r="XB76" s="92">
        <f t="shared" si="920"/>
        <v>451671</v>
      </c>
      <c r="XC76" s="92">
        <f t="shared" si="921"/>
        <v>19824550</v>
      </c>
      <c r="XD76" s="89"/>
      <c r="XE76" s="92">
        <f t="shared" ref="XE76:XF76" si="972">SUM(XB152,XB190,XB228)</f>
        <v>659773</v>
      </c>
      <c r="XF76" s="92">
        <f t="shared" si="972"/>
        <v>27813150</v>
      </c>
      <c r="XG76" s="89"/>
      <c r="XH76" s="92">
        <f t="shared" ref="XH76:XI76" si="973">SUM(XE114,XE152)</f>
        <v>1492319</v>
      </c>
      <c r="XI76" s="92">
        <f t="shared" si="973"/>
        <v>61971920</v>
      </c>
      <c r="XJ76" s="89"/>
      <c r="XK76" s="87"/>
      <c r="XL76" s="87"/>
      <c r="XM76" s="87"/>
      <c r="XN76" s="87"/>
      <c r="XO76" s="87"/>
      <c r="XP76" s="87"/>
      <c r="XQ76" s="87"/>
      <c r="XR76" s="92">
        <f t="shared" ca="1" si="922"/>
        <v>0</v>
      </c>
      <c r="XS76" s="89"/>
      <c r="XT76" s="87"/>
      <c r="XU76" s="87"/>
      <c r="XV76" s="87"/>
      <c r="XW76" s="87"/>
      <c r="XX76" s="87"/>
      <c r="XY76" s="87"/>
      <c r="XZ76" s="87"/>
      <c r="YA76" s="92">
        <f t="shared" ca="1" si="923"/>
        <v>0</v>
      </c>
      <c r="YB76" s="90"/>
      <c r="YC76" s="90"/>
      <c r="YD76" s="90"/>
      <c r="YE76" s="90"/>
      <c r="YF76" s="90"/>
      <c r="YG76" s="90"/>
      <c r="YH76" s="90"/>
      <c r="YI76" s="90"/>
      <c r="YJ76" s="90"/>
      <c r="YK76" s="90"/>
      <c r="YL76" s="90"/>
      <c r="YM76" s="90"/>
      <c r="YN76" s="90"/>
      <c r="YO76" s="90"/>
      <c r="YP76" s="90"/>
      <c r="YQ76" s="90"/>
      <c r="YR76" s="90"/>
      <c r="YS76" s="90"/>
      <c r="YT76" s="90"/>
      <c r="YU76" s="90"/>
      <c r="YV76" s="90"/>
      <c r="YW76" s="90"/>
      <c r="YX76" s="90"/>
      <c r="YY76" s="90"/>
      <c r="YZ76" s="90"/>
      <c r="ZA76" s="90"/>
      <c r="ZB76" s="90"/>
      <c r="ZC76" s="90"/>
      <c r="ZD76" s="90"/>
      <c r="ZE76" s="90"/>
      <c r="ZF76" s="90"/>
      <c r="ZG76" s="90"/>
      <c r="ZH76" s="90"/>
      <c r="ZI76" s="90"/>
      <c r="ZJ76" s="90"/>
      <c r="ZK76" s="90"/>
      <c r="ZL76" s="90"/>
      <c r="ZM76" s="90"/>
      <c r="ZN76" s="90"/>
      <c r="ZO76" s="90"/>
      <c r="ZP76" s="90"/>
      <c r="ZQ76" s="90"/>
      <c r="ZR76" s="90"/>
      <c r="ZS76" s="90"/>
      <c r="ZT76" s="90"/>
      <c r="ZU76" s="90"/>
      <c r="ZV76" s="90"/>
      <c r="ZW76" s="90"/>
      <c r="ZX76" s="90"/>
      <c r="ZY76" s="90"/>
      <c r="ZZ76" s="90"/>
      <c r="AAA76" s="90"/>
      <c r="AAB76" s="90"/>
      <c r="AAC76" s="90"/>
      <c r="AAD76" s="90"/>
      <c r="AAE76" s="90"/>
      <c r="AAF76" s="90"/>
      <c r="AAG76" s="90"/>
      <c r="AAH76" s="90"/>
      <c r="AAI76" s="90"/>
      <c r="AAJ76" s="90"/>
      <c r="AAK76" s="90"/>
      <c r="AAL76" s="90"/>
      <c r="AAM76" s="90"/>
      <c r="AAN76" s="90"/>
      <c r="AAO76" s="90"/>
      <c r="AAP76" s="90"/>
      <c r="AAQ76" s="90"/>
      <c r="AAR76" s="90"/>
      <c r="AAS76" s="90"/>
      <c r="AAT76" s="90"/>
      <c r="AAU76" s="90"/>
      <c r="AAV76" s="90"/>
      <c r="AAW76" s="90"/>
      <c r="AAX76" s="90"/>
      <c r="AAY76" s="90"/>
      <c r="AAZ76" s="90"/>
      <c r="ABA76" s="90"/>
      <c r="ABB76" s="90"/>
      <c r="ABC76" s="90"/>
      <c r="ABD76" s="90"/>
      <c r="ABE76" s="90"/>
      <c r="ABF76" s="90"/>
      <c r="ABG76" s="90"/>
      <c r="ABH76" s="90"/>
      <c r="ABI76" s="90"/>
      <c r="ABJ76" s="90"/>
      <c r="ABK76" s="90"/>
      <c r="ABL76" s="90"/>
      <c r="ABM76" s="90"/>
      <c r="ABN76" s="90"/>
      <c r="ABO76" s="90"/>
      <c r="ABP76" s="90"/>
      <c r="ABQ76" s="90"/>
      <c r="ABR76" s="90"/>
      <c r="ABS76" s="90"/>
      <c r="ABT76" s="90"/>
      <c r="ABU76" s="90"/>
      <c r="ABV76" s="90"/>
      <c r="ABW76" s="90"/>
      <c r="ABX76" s="90"/>
      <c r="ABY76" s="90"/>
      <c r="ABZ76" s="90"/>
      <c r="ACA76" s="90"/>
      <c r="ACB76" s="90"/>
      <c r="ACC76" s="90"/>
      <c r="ACD76" s="90"/>
      <c r="ACE76" s="90"/>
      <c r="ACF76" s="90"/>
      <c r="ACG76" s="90"/>
      <c r="ACH76" s="90"/>
      <c r="ACI76" s="90"/>
      <c r="ACJ76" s="90"/>
      <c r="ACK76" s="90"/>
      <c r="ACL76" s="90"/>
      <c r="ACM76" s="90"/>
      <c r="ACN76" s="90"/>
      <c r="ACO76" s="90"/>
      <c r="ACP76" s="90"/>
      <c r="ACQ76" s="90"/>
      <c r="ACR76" s="90"/>
      <c r="ACS76" s="90"/>
      <c r="ACT76" s="90"/>
      <c r="ACU76" s="90"/>
      <c r="ACV76" s="90"/>
      <c r="ACW76" s="90"/>
      <c r="ACX76" s="90"/>
      <c r="ACY76" s="90"/>
      <c r="ACZ76" s="90"/>
      <c r="ADA76" s="90"/>
      <c r="ADB76" s="90"/>
      <c r="ADC76" s="90"/>
      <c r="ADD76" s="90"/>
      <c r="ADE76" s="90"/>
      <c r="ADF76" s="90"/>
      <c r="ADG76" s="90"/>
      <c r="ADH76" s="90"/>
      <c r="ADI76" s="90"/>
      <c r="ADJ76" s="90"/>
      <c r="ADK76" s="90"/>
      <c r="ADL76" s="90"/>
      <c r="ADM76" s="90"/>
      <c r="ADN76" s="90"/>
      <c r="ADO76" s="90"/>
      <c r="ADP76" s="90"/>
      <c r="ADQ76" s="90"/>
      <c r="ADR76" s="90"/>
      <c r="ADS76" s="90"/>
      <c r="ADT76" s="90"/>
      <c r="ADU76" s="90"/>
      <c r="ADV76" s="90"/>
      <c r="ADW76" s="90"/>
      <c r="ADX76" s="90"/>
      <c r="ADY76" s="90"/>
      <c r="ADZ76" s="90"/>
      <c r="AEA76" s="90"/>
      <c r="AEB76" s="90"/>
      <c r="AEC76" s="90"/>
      <c r="AED76" s="90"/>
      <c r="AEE76" s="90"/>
      <c r="AEF76" s="90"/>
      <c r="AEG76" s="90"/>
      <c r="AEH76" s="90"/>
      <c r="AEI76" s="90"/>
      <c r="AEJ76" s="90"/>
      <c r="AEK76" s="90"/>
      <c r="AEL76" s="90"/>
      <c r="AEM76" s="90"/>
      <c r="AEN76" s="90"/>
      <c r="AEO76" s="90"/>
      <c r="AEP76" s="90"/>
      <c r="AEQ76" s="90"/>
      <c r="AER76" s="90"/>
      <c r="AES76" s="90"/>
      <c r="AET76" s="90"/>
      <c r="AEU76" s="90"/>
      <c r="AEV76" s="90"/>
      <c r="AEW76" s="90"/>
      <c r="AEX76" s="90"/>
      <c r="AEY76" s="90"/>
      <c r="AEZ76" s="90"/>
      <c r="AFA76" s="90"/>
      <c r="AFB76" s="90"/>
      <c r="AFC76" s="90"/>
      <c r="AFD76" s="90"/>
      <c r="AFE76" s="90"/>
      <c r="AFF76" s="90"/>
      <c r="AFG76" s="90"/>
      <c r="AFH76" s="90"/>
      <c r="AFI76" s="90"/>
      <c r="AFJ76" s="90"/>
      <c r="AFK76" s="90"/>
      <c r="AFL76" s="90"/>
      <c r="AFM76" s="90"/>
      <c r="AFN76" s="90"/>
      <c r="AFO76" s="90"/>
      <c r="AFP76" s="90"/>
      <c r="AFQ76" s="90"/>
      <c r="AFR76" s="90"/>
      <c r="AFS76" s="90"/>
      <c r="AFT76" s="90"/>
      <c r="AFU76" s="90"/>
      <c r="AFV76" s="90"/>
      <c r="AFW76" s="90"/>
      <c r="AFX76" s="90"/>
      <c r="AFY76" s="90"/>
      <c r="AFZ76" s="90"/>
      <c r="AGA76" s="90"/>
      <c r="AGB76" s="90"/>
      <c r="AGC76" s="90"/>
      <c r="AGD76" s="90"/>
      <c r="AGE76" s="90"/>
      <c r="AGF76" s="90"/>
      <c r="AGG76" s="90"/>
      <c r="AGH76" s="90"/>
      <c r="AGI76" s="90"/>
      <c r="AGJ76" s="90"/>
      <c r="AGK76" s="90"/>
      <c r="AGL76" s="90"/>
      <c r="AGM76" s="90"/>
      <c r="AGN76" s="90"/>
      <c r="AGO76" s="90"/>
      <c r="AGP76" s="90"/>
      <c r="AGQ76" s="90"/>
      <c r="AGR76" s="90"/>
      <c r="AGS76" s="90"/>
      <c r="AGT76" s="90"/>
      <c r="AGU76" s="90"/>
      <c r="AGV76" s="90"/>
      <c r="AGW76" s="90"/>
      <c r="AGX76" s="90"/>
      <c r="AGY76" s="90"/>
      <c r="AGZ76" s="90"/>
      <c r="AHA76" s="90"/>
      <c r="AHB76" s="90"/>
      <c r="AHC76" s="90"/>
      <c r="AHD76" s="90"/>
      <c r="AHE76" s="90"/>
      <c r="AHF76" s="90"/>
      <c r="AHG76" s="90"/>
      <c r="AHH76" s="90"/>
      <c r="AHI76" s="90"/>
      <c r="AHJ76" s="90"/>
      <c r="AHK76" s="90"/>
      <c r="AHL76" s="90"/>
      <c r="AHM76" s="90"/>
      <c r="AHN76" s="90"/>
      <c r="AHO76" s="90"/>
      <c r="AHP76" s="90"/>
      <c r="AHQ76" s="90"/>
      <c r="AHR76" s="90"/>
      <c r="AHS76" s="90"/>
      <c r="AHT76" s="90"/>
      <c r="AHU76" s="90"/>
      <c r="AHV76" s="90"/>
      <c r="AHW76" s="90"/>
      <c r="AHX76" s="90"/>
      <c r="AHY76" s="90"/>
      <c r="AHZ76" s="90"/>
      <c r="AIA76" s="90"/>
      <c r="AIB76" s="90"/>
      <c r="AIC76" s="90"/>
      <c r="AID76" s="90"/>
      <c r="AIE76" s="90"/>
      <c r="AIF76" s="90"/>
      <c r="AIG76" s="90"/>
      <c r="AIH76" s="90"/>
      <c r="AII76" s="90"/>
      <c r="AIJ76" s="90"/>
      <c r="AIK76" s="90"/>
      <c r="AIL76" s="90"/>
      <c r="AIM76" s="90"/>
      <c r="AIN76" s="90"/>
      <c r="AIO76" s="90"/>
      <c r="AIP76" s="90"/>
      <c r="AIQ76" s="90"/>
      <c r="AIR76" s="90"/>
      <c r="AIS76" s="90"/>
      <c r="AIT76" s="90"/>
      <c r="AIU76" s="90"/>
      <c r="AIV76" s="90"/>
      <c r="AIW76" s="90"/>
      <c r="AIX76" s="90"/>
      <c r="AIY76" s="90"/>
      <c r="AIZ76" s="90"/>
      <c r="AJA76" s="90"/>
      <c r="AJB76" s="90"/>
      <c r="AJC76" s="90"/>
      <c r="AJD76" s="90"/>
      <c r="AJE76" s="90"/>
      <c r="AJF76" s="90"/>
      <c r="AJG76" s="90"/>
      <c r="AJH76" s="90"/>
      <c r="AJI76" s="90"/>
      <c r="AJJ76" s="90"/>
      <c r="AJK76" s="90"/>
      <c r="AJL76" s="90"/>
      <c r="AJM76" s="90"/>
      <c r="AJN76" s="90"/>
      <c r="AJO76" s="90"/>
      <c r="AJP76" s="90"/>
      <c r="AJQ76" s="90"/>
      <c r="AJR76" s="90"/>
      <c r="AJS76" s="90"/>
      <c r="AJT76" s="90"/>
      <c r="AJU76" s="90"/>
      <c r="AJV76" s="90"/>
      <c r="AJW76" s="90"/>
      <c r="AJX76" s="90"/>
      <c r="AJY76" s="90"/>
      <c r="AJZ76" s="90"/>
      <c r="AKA76" s="90"/>
      <c r="AKB76" s="90"/>
      <c r="AKC76" s="90"/>
      <c r="AKD76" s="90"/>
      <c r="AKE76" s="90"/>
      <c r="AKF76" s="90"/>
      <c r="AKG76" s="90"/>
      <c r="AKH76" s="90"/>
      <c r="AKI76" s="90"/>
      <c r="AKJ76" s="90"/>
      <c r="AKK76" s="90"/>
      <c r="AKL76" s="90"/>
      <c r="AKM76" s="90"/>
      <c r="AKN76" s="90"/>
      <c r="AKO76" s="90"/>
      <c r="AKP76" s="90"/>
      <c r="AKQ76" s="90"/>
      <c r="AKR76" s="90"/>
      <c r="AKS76" s="90"/>
      <c r="AKT76" s="90"/>
      <c r="AKU76" s="90"/>
      <c r="AKV76" s="90"/>
      <c r="AKW76" s="90"/>
      <c r="AKX76" s="90"/>
      <c r="AKY76" s="90"/>
      <c r="AKZ76" s="90"/>
      <c r="ALA76" s="90"/>
      <c r="ALB76" s="90"/>
      <c r="ALC76" s="90"/>
      <c r="ALD76" s="90"/>
      <c r="ALE76" s="90"/>
      <c r="ALF76" s="90"/>
      <c r="ALG76" s="90"/>
      <c r="ALH76" s="90"/>
      <c r="ALI76" s="90"/>
      <c r="ALJ76" s="90"/>
      <c r="ALK76" s="90"/>
      <c r="ALL76" s="90"/>
      <c r="ALM76" s="90"/>
      <c r="ALN76" s="90"/>
      <c r="ALO76" s="90"/>
      <c r="ALP76" s="90"/>
      <c r="ALQ76" s="90"/>
      <c r="ALR76" s="90"/>
      <c r="ALS76" s="90"/>
      <c r="ALT76" s="90"/>
      <c r="ALU76" s="90"/>
      <c r="ALV76" s="90"/>
      <c r="ALW76" s="90"/>
      <c r="ALX76" s="90"/>
      <c r="ALY76" s="90"/>
      <c r="ALZ76" s="90"/>
      <c r="AMA76" s="90"/>
      <c r="AMB76" s="90"/>
      <c r="AMC76" s="90"/>
    </row>
    <row r="77" spans="1:1017">
      <c r="A77" s="98" t="s">
        <v>26</v>
      </c>
      <c r="B77" s="648" t="str">
        <f t="shared" si="829"/>
        <v xml:space="preserve">Udang Vaname </v>
      </c>
      <c r="E77" s="98">
        <v>5947</v>
      </c>
      <c r="F77" s="98">
        <v>356561.527</v>
      </c>
      <c r="Q77" s="91">
        <f t="shared" si="830"/>
        <v>5947</v>
      </c>
      <c r="R77" s="91">
        <f t="shared" si="831"/>
        <v>356561.527</v>
      </c>
      <c r="U77" s="98">
        <v>1543125</v>
      </c>
      <c r="V77" s="98">
        <v>77156250</v>
      </c>
      <c r="AG77" s="91">
        <f t="shared" si="832"/>
        <v>1543125</v>
      </c>
      <c r="AH77" s="91">
        <f t="shared" si="833"/>
        <v>77156250</v>
      </c>
      <c r="AK77" s="98">
        <v>35200</v>
      </c>
      <c r="AL77" s="98">
        <v>2288000</v>
      </c>
      <c r="AW77" s="91">
        <f t="shared" si="834"/>
        <v>35200</v>
      </c>
      <c r="AX77" s="91">
        <f t="shared" si="835"/>
        <v>2288000</v>
      </c>
      <c r="BM77" s="91">
        <f t="shared" si="836"/>
        <v>0</v>
      </c>
      <c r="BN77" s="91">
        <f t="shared" si="837"/>
        <v>0</v>
      </c>
      <c r="CC77" s="91">
        <f t="shared" si="838"/>
        <v>0</v>
      </c>
      <c r="CD77" s="91">
        <f t="shared" si="839"/>
        <v>0</v>
      </c>
      <c r="CG77" s="98">
        <v>1492604</v>
      </c>
      <c r="CH77" s="98">
        <v>74630201</v>
      </c>
      <c r="CS77" s="91">
        <f t="shared" si="840"/>
        <v>1492604</v>
      </c>
      <c r="CT77" s="91">
        <f t="shared" si="841"/>
        <v>74630201</v>
      </c>
      <c r="CW77" s="98">
        <v>125203.00002241321</v>
      </c>
      <c r="CX77" s="98">
        <v>9390225.0030000005</v>
      </c>
      <c r="DI77" s="91">
        <f t="shared" si="842"/>
        <v>125203.00002241321</v>
      </c>
      <c r="DJ77" s="91">
        <f t="shared" si="843"/>
        <v>9390225.0030000005</v>
      </c>
      <c r="DY77" s="91">
        <f t="shared" si="844"/>
        <v>0</v>
      </c>
      <c r="DZ77" s="91">
        <f t="shared" si="845"/>
        <v>0</v>
      </c>
      <c r="EO77" s="91">
        <f t="shared" si="846"/>
        <v>0</v>
      </c>
      <c r="EP77" s="91">
        <f t="shared" si="847"/>
        <v>0</v>
      </c>
      <c r="ES77" s="98">
        <v>232976</v>
      </c>
      <c r="ET77" s="98">
        <v>11648800</v>
      </c>
      <c r="EW77" s="98">
        <v>1131879</v>
      </c>
      <c r="EX77" s="98">
        <v>56593950</v>
      </c>
      <c r="FE77" s="91">
        <f t="shared" si="848"/>
        <v>1364855</v>
      </c>
      <c r="FF77" s="91">
        <f t="shared" si="849"/>
        <v>68242750</v>
      </c>
      <c r="FI77" s="98">
        <v>120000</v>
      </c>
      <c r="FJ77" s="98">
        <v>7200000</v>
      </c>
      <c r="FU77" s="91">
        <f t="shared" si="850"/>
        <v>120000</v>
      </c>
      <c r="FV77" s="91">
        <f t="shared" si="851"/>
        <v>7200000</v>
      </c>
      <c r="GK77" s="91">
        <f t="shared" si="852"/>
        <v>0</v>
      </c>
      <c r="GL77" s="91">
        <f t="shared" si="853"/>
        <v>0</v>
      </c>
      <c r="HA77" s="91">
        <f t="shared" si="854"/>
        <v>0</v>
      </c>
      <c r="HB77" s="91">
        <f t="shared" si="855"/>
        <v>0</v>
      </c>
      <c r="HQ77" s="91">
        <f t="shared" si="856"/>
        <v>0</v>
      </c>
      <c r="HR77" s="91">
        <f t="shared" si="857"/>
        <v>0</v>
      </c>
      <c r="IG77" s="91">
        <f t="shared" si="858"/>
        <v>0</v>
      </c>
      <c r="IH77" s="91">
        <f t="shared" si="859"/>
        <v>0</v>
      </c>
      <c r="IW77" s="91">
        <f t="shared" si="860"/>
        <v>0</v>
      </c>
      <c r="IX77" s="91">
        <f t="shared" si="861"/>
        <v>0</v>
      </c>
      <c r="JM77" s="91">
        <f t="shared" si="862"/>
        <v>0</v>
      </c>
      <c r="JN77" s="91">
        <f t="shared" si="863"/>
        <v>0</v>
      </c>
      <c r="JQ77" s="98">
        <v>150403</v>
      </c>
      <c r="JR77" s="98">
        <v>11430628</v>
      </c>
      <c r="KC77" s="91">
        <f t="shared" si="864"/>
        <v>150403</v>
      </c>
      <c r="KD77" s="91">
        <f t="shared" si="865"/>
        <v>11430628</v>
      </c>
      <c r="KG77" s="98">
        <v>45828</v>
      </c>
      <c r="KH77" s="98">
        <v>3574584</v>
      </c>
      <c r="KS77" s="91">
        <f t="shared" si="866"/>
        <v>45828</v>
      </c>
      <c r="KT77" s="91">
        <f t="shared" si="867"/>
        <v>3574584</v>
      </c>
      <c r="KW77" s="98">
        <v>95038.33</v>
      </c>
      <c r="KX77" s="98">
        <v>5702299</v>
      </c>
      <c r="LI77" s="91">
        <f t="shared" si="868"/>
        <v>95038.33</v>
      </c>
      <c r="LJ77" s="91">
        <f t="shared" si="869"/>
        <v>5702299</v>
      </c>
      <c r="LY77" s="91">
        <f t="shared" si="870"/>
        <v>0</v>
      </c>
      <c r="LZ77" s="91">
        <f t="shared" si="871"/>
        <v>0</v>
      </c>
      <c r="MC77" s="98">
        <v>1429900</v>
      </c>
      <c r="MD77" s="98">
        <v>85794000</v>
      </c>
      <c r="MO77" s="91">
        <f t="shared" si="872"/>
        <v>1429900</v>
      </c>
      <c r="MP77" s="91">
        <f t="shared" si="873"/>
        <v>85794000</v>
      </c>
      <c r="MS77" s="98">
        <v>81030</v>
      </c>
      <c r="MT77" s="98">
        <v>5266950</v>
      </c>
      <c r="NE77" s="91">
        <f t="shared" si="874"/>
        <v>81030</v>
      </c>
      <c r="NF77" s="91">
        <f t="shared" si="875"/>
        <v>5266950</v>
      </c>
      <c r="NI77" s="98">
        <v>592700</v>
      </c>
      <c r="NJ77" s="98">
        <v>35562000</v>
      </c>
      <c r="NU77" s="91">
        <f t="shared" si="876"/>
        <v>592700</v>
      </c>
      <c r="NV77" s="91">
        <f t="shared" si="877"/>
        <v>35562000</v>
      </c>
      <c r="NY77" s="98">
        <v>900139</v>
      </c>
      <c r="NZ77" s="98">
        <v>45006950</v>
      </c>
      <c r="OK77" s="91">
        <f t="shared" si="878"/>
        <v>900139</v>
      </c>
      <c r="OL77" s="91">
        <f t="shared" si="879"/>
        <v>45006950</v>
      </c>
      <c r="OO77" s="98">
        <v>484110</v>
      </c>
      <c r="OP77" s="98">
        <v>30498930</v>
      </c>
      <c r="PA77" s="91">
        <f t="shared" si="880"/>
        <v>484110</v>
      </c>
      <c r="PB77" s="91">
        <f t="shared" si="881"/>
        <v>30498930</v>
      </c>
      <c r="PE77" s="98">
        <v>25950</v>
      </c>
      <c r="PF77" s="98">
        <v>1557000</v>
      </c>
      <c r="PQ77" s="91">
        <f t="shared" si="882"/>
        <v>25950</v>
      </c>
      <c r="PR77" s="91">
        <f t="shared" si="883"/>
        <v>1557000</v>
      </c>
      <c r="PU77" s="98">
        <v>706140</v>
      </c>
      <c r="PV77" s="98">
        <v>42368400</v>
      </c>
      <c r="QA77" s="98">
        <v>498330</v>
      </c>
      <c r="QB77" s="98">
        <v>24916500</v>
      </c>
      <c r="QG77" s="91">
        <f t="shared" si="884"/>
        <v>1204470</v>
      </c>
      <c r="QH77" s="91">
        <f t="shared" si="885"/>
        <v>67284900</v>
      </c>
      <c r="QW77" s="91">
        <f t="shared" si="886"/>
        <v>0</v>
      </c>
      <c r="QX77" s="91">
        <f t="shared" si="887"/>
        <v>0</v>
      </c>
      <c r="RM77" s="91">
        <f t="shared" si="888"/>
        <v>0</v>
      </c>
      <c r="RN77" s="91">
        <f t="shared" si="889"/>
        <v>0</v>
      </c>
      <c r="SC77" s="91">
        <f t="shared" si="890"/>
        <v>0</v>
      </c>
      <c r="SD77" s="91">
        <f t="shared" si="891"/>
        <v>0</v>
      </c>
      <c r="SS77" s="91">
        <f t="shared" si="892"/>
        <v>0</v>
      </c>
      <c r="ST77" s="91">
        <f t="shared" si="893"/>
        <v>0</v>
      </c>
      <c r="TI77" s="91">
        <f t="shared" si="894"/>
        <v>0</v>
      </c>
      <c r="TJ77" s="91">
        <f t="shared" si="895"/>
        <v>0</v>
      </c>
      <c r="TY77" s="91">
        <f t="shared" si="896"/>
        <v>0</v>
      </c>
      <c r="TZ77" s="91">
        <f t="shared" si="897"/>
        <v>0</v>
      </c>
      <c r="UO77" s="91">
        <f t="shared" si="898"/>
        <v>0</v>
      </c>
      <c r="UP77" s="91">
        <f t="shared" si="899"/>
        <v>0</v>
      </c>
      <c r="VE77" s="91">
        <f t="shared" si="900"/>
        <v>0</v>
      </c>
      <c r="VF77" s="91">
        <f t="shared" si="901"/>
        <v>0</v>
      </c>
      <c r="VI77" s="98">
        <v>8222</v>
      </c>
      <c r="VJ77" s="98">
        <v>452210</v>
      </c>
      <c r="VU77" s="91">
        <f t="shared" si="902"/>
        <v>8222</v>
      </c>
      <c r="VV77" s="91">
        <f t="shared" si="903"/>
        <v>452210</v>
      </c>
      <c r="VY77" s="98">
        <v>140810</v>
      </c>
      <c r="VZ77" s="98">
        <v>7040500</v>
      </c>
      <c r="WK77" s="91">
        <f t="shared" si="904"/>
        <v>140810</v>
      </c>
      <c r="WL77" s="91">
        <f t="shared" si="905"/>
        <v>7040500</v>
      </c>
      <c r="WM77" s="89"/>
      <c r="WN77" s="87">
        <f t="shared" si="906"/>
        <v>0</v>
      </c>
      <c r="WO77" s="87">
        <f t="shared" si="907"/>
        <v>0</v>
      </c>
      <c r="WP77" s="87">
        <f t="shared" si="908"/>
        <v>8215325.3300224133</v>
      </c>
      <c r="WQ77" s="87">
        <f t="shared" si="909"/>
        <v>456924488.52999997</v>
      </c>
      <c r="WR77" s="87">
        <f t="shared" si="910"/>
        <v>0</v>
      </c>
      <c r="WS77" s="87">
        <f t="shared" si="911"/>
        <v>0</v>
      </c>
      <c r="WT77" s="87">
        <f t="shared" si="912"/>
        <v>1131879</v>
      </c>
      <c r="WU77" s="87">
        <f t="shared" si="913"/>
        <v>56593950</v>
      </c>
      <c r="WV77" s="87">
        <f t="shared" si="914"/>
        <v>498330</v>
      </c>
      <c r="WW77" s="87">
        <f t="shared" si="915"/>
        <v>24916500</v>
      </c>
      <c r="WX77" s="87">
        <f t="shared" si="916"/>
        <v>0</v>
      </c>
      <c r="WY77" s="87">
        <f t="shared" si="917"/>
        <v>0</v>
      </c>
      <c r="WZ77" s="87">
        <f t="shared" si="968"/>
        <v>0</v>
      </c>
      <c r="XA77" s="87">
        <f t="shared" si="969"/>
        <v>0</v>
      </c>
      <c r="XB77" s="92">
        <f t="shared" si="920"/>
        <v>9845534.3300224133</v>
      </c>
      <c r="XC77" s="92">
        <f t="shared" si="921"/>
        <v>538434938.52999997</v>
      </c>
      <c r="XD77" s="89"/>
      <c r="XE77" s="92">
        <f t="shared" ref="XE77:XF77" si="974">SUM(XB153,XB191,XB229)</f>
        <v>32278008.131016254</v>
      </c>
      <c r="XF77" s="92">
        <f t="shared" si="974"/>
        <v>1710206949.2533031</v>
      </c>
      <c r="XG77" s="89"/>
      <c r="XH77" s="92">
        <f t="shared" ref="XH77:XI77" si="975">SUM(XE115,XE153)</f>
        <v>54873185.075886965</v>
      </c>
      <c r="XI77" s="92">
        <f t="shared" si="975"/>
        <v>2940282199.3437762</v>
      </c>
      <c r="XJ77" s="89"/>
      <c r="XK77" s="87"/>
      <c r="XL77" s="87"/>
      <c r="XM77" s="87"/>
      <c r="XN77" s="87"/>
      <c r="XO77" s="87"/>
      <c r="XP77" s="87"/>
      <c r="XQ77" s="87"/>
      <c r="XR77" s="92">
        <f t="shared" ca="1" si="922"/>
        <v>0</v>
      </c>
      <c r="XS77" s="89"/>
      <c r="XT77" s="87"/>
      <c r="XU77" s="87"/>
      <c r="XV77" s="87"/>
      <c r="XW77" s="87"/>
      <c r="XX77" s="87"/>
      <c r="XY77" s="87"/>
      <c r="XZ77" s="87"/>
      <c r="YA77" s="92">
        <f t="shared" ca="1" si="923"/>
        <v>0</v>
      </c>
      <c r="YB77" s="90"/>
      <c r="YC77" s="90"/>
      <c r="YD77" s="90"/>
      <c r="YE77" s="90"/>
      <c r="YF77" s="90"/>
      <c r="YG77" s="90"/>
      <c r="YH77" s="90"/>
      <c r="YI77" s="90"/>
      <c r="YJ77" s="90"/>
      <c r="YK77" s="90"/>
      <c r="YL77" s="90"/>
      <c r="YM77" s="90"/>
      <c r="YN77" s="90"/>
      <c r="YO77" s="90"/>
      <c r="YP77" s="90"/>
      <c r="YQ77" s="90"/>
      <c r="YR77" s="90"/>
      <c r="YS77" s="90"/>
      <c r="YT77" s="90"/>
      <c r="YU77" s="90"/>
      <c r="YV77" s="90"/>
      <c r="YW77" s="90"/>
      <c r="YX77" s="90"/>
      <c r="YY77" s="90"/>
      <c r="YZ77" s="90"/>
      <c r="ZA77" s="90"/>
      <c r="ZB77" s="90"/>
      <c r="ZC77" s="90"/>
      <c r="ZD77" s="90"/>
      <c r="ZE77" s="90"/>
      <c r="ZF77" s="90"/>
      <c r="ZG77" s="90"/>
      <c r="ZH77" s="90"/>
      <c r="ZI77" s="90"/>
      <c r="ZJ77" s="90"/>
      <c r="ZK77" s="90"/>
      <c r="ZL77" s="90"/>
      <c r="ZM77" s="90"/>
      <c r="ZN77" s="90"/>
      <c r="ZO77" s="90"/>
      <c r="ZP77" s="90"/>
      <c r="ZQ77" s="90"/>
      <c r="ZR77" s="90"/>
      <c r="ZS77" s="90"/>
      <c r="ZT77" s="90"/>
      <c r="ZU77" s="90"/>
      <c r="ZV77" s="90"/>
      <c r="ZW77" s="90"/>
      <c r="ZX77" s="90"/>
      <c r="ZY77" s="90"/>
      <c r="ZZ77" s="90"/>
      <c r="AAA77" s="90"/>
      <c r="AAB77" s="90"/>
      <c r="AAC77" s="90"/>
      <c r="AAD77" s="90"/>
      <c r="AAE77" s="90"/>
      <c r="AAF77" s="90"/>
      <c r="AAG77" s="90"/>
      <c r="AAH77" s="90"/>
      <c r="AAI77" s="90"/>
      <c r="AAJ77" s="90"/>
      <c r="AAK77" s="90"/>
      <c r="AAL77" s="90"/>
      <c r="AAM77" s="90"/>
      <c r="AAN77" s="90"/>
      <c r="AAO77" s="90"/>
      <c r="AAP77" s="90"/>
      <c r="AAQ77" s="90"/>
      <c r="AAR77" s="90"/>
      <c r="AAS77" s="90"/>
      <c r="AAT77" s="90"/>
      <c r="AAU77" s="90"/>
      <c r="AAV77" s="90"/>
      <c r="AAW77" s="90"/>
      <c r="AAX77" s="90"/>
      <c r="AAY77" s="90"/>
      <c r="AAZ77" s="90"/>
      <c r="ABA77" s="90"/>
      <c r="ABB77" s="90"/>
      <c r="ABC77" s="90"/>
      <c r="ABD77" s="90"/>
      <c r="ABE77" s="90"/>
      <c r="ABF77" s="90"/>
      <c r="ABG77" s="90"/>
      <c r="ABH77" s="90"/>
      <c r="ABI77" s="90"/>
      <c r="ABJ77" s="90"/>
      <c r="ABK77" s="90"/>
      <c r="ABL77" s="90"/>
      <c r="ABM77" s="90"/>
      <c r="ABN77" s="90"/>
      <c r="ABO77" s="90"/>
      <c r="ABP77" s="90"/>
      <c r="ABQ77" s="90"/>
      <c r="ABR77" s="90"/>
      <c r="ABS77" s="90"/>
      <c r="ABT77" s="90"/>
      <c r="ABU77" s="90"/>
      <c r="ABV77" s="90"/>
      <c r="ABW77" s="90"/>
      <c r="ABX77" s="90"/>
      <c r="ABY77" s="90"/>
      <c r="ABZ77" s="90"/>
      <c r="ACA77" s="90"/>
      <c r="ACB77" s="90"/>
      <c r="ACC77" s="90"/>
      <c r="ACD77" s="90"/>
      <c r="ACE77" s="90"/>
      <c r="ACF77" s="90"/>
      <c r="ACG77" s="90"/>
      <c r="ACH77" s="90"/>
      <c r="ACI77" s="90"/>
      <c r="ACJ77" s="90"/>
      <c r="ACK77" s="90"/>
      <c r="ACL77" s="90"/>
      <c r="ACM77" s="90"/>
      <c r="ACN77" s="90"/>
      <c r="ACO77" s="90"/>
      <c r="ACP77" s="90"/>
      <c r="ACQ77" s="90"/>
      <c r="ACR77" s="90"/>
      <c r="ACS77" s="90"/>
      <c r="ACT77" s="90"/>
      <c r="ACU77" s="90"/>
      <c r="ACV77" s="90"/>
      <c r="ACW77" s="90"/>
      <c r="ACX77" s="90"/>
      <c r="ACY77" s="90"/>
      <c r="ACZ77" s="90"/>
      <c r="ADA77" s="90"/>
      <c r="ADB77" s="90"/>
      <c r="ADC77" s="90"/>
      <c r="ADD77" s="90"/>
      <c r="ADE77" s="90"/>
      <c r="ADF77" s="90"/>
      <c r="ADG77" s="90"/>
      <c r="ADH77" s="90"/>
      <c r="ADI77" s="90"/>
      <c r="ADJ77" s="90"/>
      <c r="ADK77" s="90"/>
      <c r="ADL77" s="90"/>
      <c r="ADM77" s="90"/>
      <c r="ADN77" s="90"/>
      <c r="ADO77" s="90"/>
      <c r="ADP77" s="90"/>
      <c r="ADQ77" s="90"/>
      <c r="ADR77" s="90"/>
      <c r="ADS77" s="90"/>
      <c r="ADT77" s="90"/>
      <c r="ADU77" s="90"/>
      <c r="ADV77" s="90"/>
      <c r="ADW77" s="90"/>
      <c r="ADX77" s="90"/>
      <c r="ADY77" s="90"/>
      <c r="ADZ77" s="90"/>
      <c r="AEA77" s="90"/>
      <c r="AEB77" s="90"/>
      <c r="AEC77" s="90"/>
      <c r="AED77" s="90"/>
      <c r="AEE77" s="90"/>
      <c r="AEF77" s="90"/>
      <c r="AEG77" s="90"/>
      <c r="AEH77" s="90"/>
      <c r="AEI77" s="90"/>
      <c r="AEJ77" s="90"/>
      <c r="AEK77" s="90"/>
      <c r="AEL77" s="90"/>
      <c r="AEM77" s="90"/>
      <c r="AEN77" s="90"/>
      <c r="AEO77" s="90"/>
      <c r="AEP77" s="90"/>
      <c r="AEQ77" s="90"/>
      <c r="AER77" s="90"/>
      <c r="AES77" s="90"/>
      <c r="AET77" s="90"/>
      <c r="AEU77" s="90"/>
      <c r="AEV77" s="90"/>
      <c r="AEW77" s="90"/>
      <c r="AEX77" s="90"/>
      <c r="AEY77" s="90"/>
      <c r="AEZ77" s="90"/>
      <c r="AFA77" s="90"/>
      <c r="AFB77" s="90"/>
      <c r="AFC77" s="90"/>
      <c r="AFD77" s="90"/>
      <c r="AFE77" s="90"/>
      <c r="AFF77" s="90"/>
      <c r="AFG77" s="90"/>
      <c r="AFH77" s="90"/>
      <c r="AFI77" s="90"/>
      <c r="AFJ77" s="90"/>
      <c r="AFK77" s="90"/>
      <c r="AFL77" s="90"/>
      <c r="AFM77" s="90"/>
      <c r="AFN77" s="90"/>
      <c r="AFO77" s="90"/>
      <c r="AFP77" s="90"/>
      <c r="AFQ77" s="90"/>
      <c r="AFR77" s="90"/>
      <c r="AFS77" s="90"/>
      <c r="AFT77" s="90"/>
      <c r="AFU77" s="90"/>
      <c r="AFV77" s="90"/>
      <c r="AFW77" s="90"/>
      <c r="AFX77" s="90"/>
      <c r="AFY77" s="90"/>
      <c r="AFZ77" s="90"/>
      <c r="AGA77" s="90"/>
      <c r="AGB77" s="90"/>
      <c r="AGC77" s="90"/>
      <c r="AGD77" s="90"/>
      <c r="AGE77" s="90"/>
      <c r="AGF77" s="90"/>
      <c r="AGG77" s="90"/>
      <c r="AGH77" s="90"/>
      <c r="AGI77" s="90"/>
      <c r="AGJ77" s="90"/>
      <c r="AGK77" s="90"/>
      <c r="AGL77" s="90"/>
      <c r="AGM77" s="90"/>
      <c r="AGN77" s="90"/>
      <c r="AGO77" s="90"/>
      <c r="AGP77" s="90"/>
      <c r="AGQ77" s="90"/>
      <c r="AGR77" s="90"/>
      <c r="AGS77" s="90"/>
      <c r="AGT77" s="90"/>
      <c r="AGU77" s="90"/>
      <c r="AGV77" s="90"/>
      <c r="AGW77" s="90"/>
      <c r="AGX77" s="90"/>
      <c r="AGY77" s="90"/>
      <c r="AGZ77" s="90"/>
      <c r="AHA77" s="90"/>
      <c r="AHB77" s="90"/>
      <c r="AHC77" s="90"/>
      <c r="AHD77" s="90"/>
      <c r="AHE77" s="90"/>
      <c r="AHF77" s="90"/>
      <c r="AHG77" s="90"/>
      <c r="AHH77" s="90"/>
      <c r="AHI77" s="90"/>
      <c r="AHJ77" s="90"/>
      <c r="AHK77" s="90"/>
      <c r="AHL77" s="90"/>
      <c r="AHM77" s="90"/>
      <c r="AHN77" s="90"/>
      <c r="AHO77" s="90"/>
      <c r="AHP77" s="90"/>
      <c r="AHQ77" s="90"/>
      <c r="AHR77" s="90"/>
      <c r="AHS77" s="90"/>
      <c r="AHT77" s="90"/>
      <c r="AHU77" s="90"/>
      <c r="AHV77" s="90"/>
      <c r="AHW77" s="90"/>
      <c r="AHX77" s="90"/>
      <c r="AHY77" s="90"/>
      <c r="AHZ77" s="90"/>
      <c r="AIA77" s="90"/>
      <c r="AIB77" s="90"/>
      <c r="AIC77" s="90"/>
      <c r="AID77" s="90"/>
      <c r="AIE77" s="90"/>
      <c r="AIF77" s="90"/>
      <c r="AIG77" s="90"/>
      <c r="AIH77" s="90"/>
      <c r="AII77" s="90"/>
      <c r="AIJ77" s="90"/>
      <c r="AIK77" s="90"/>
      <c r="AIL77" s="90"/>
      <c r="AIM77" s="90"/>
      <c r="AIN77" s="90"/>
      <c r="AIO77" s="90"/>
      <c r="AIP77" s="90"/>
      <c r="AIQ77" s="90"/>
      <c r="AIR77" s="90"/>
      <c r="AIS77" s="90"/>
      <c r="AIT77" s="90"/>
      <c r="AIU77" s="90"/>
      <c r="AIV77" s="90"/>
      <c r="AIW77" s="90"/>
      <c r="AIX77" s="90"/>
      <c r="AIY77" s="90"/>
      <c r="AIZ77" s="90"/>
      <c r="AJA77" s="90"/>
      <c r="AJB77" s="90"/>
      <c r="AJC77" s="90"/>
      <c r="AJD77" s="90"/>
      <c r="AJE77" s="90"/>
      <c r="AJF77" s="90"/>
      <c r="AJG77" s="90"/>
      <c r="AJH77" s="90"/>
      <c r="AJI77" s="90"/>
      <c r="AJJ77" s="90"/>
      <c r="AJK77" s="90"/>
      <c r="AJL77" s="90"/>
      <c r="AJM77" s="90"/>
      <c r="AJN77" s="90"/>
      <c r="AJO77" s="90"/>
      <c r="AJP77" s="90"/>
      <c r="AJQ77" s="90"/>
      <c r="AJR77" s="90"/>
      <c r="AJS77" s="90"/>
      <c r="AJT77" s="90"/>
      <c r="AJU77" s="90"/>
      <c r="AJV77" s="90"/>
      <c r="AJW77" s="90"/>
      <c r="AJX77" s="90"/>
      <c r="AJY77" s="90"/>
      <c r="AJZ77" s="90"/>
      <c r="AKA77" s="90"/>
      <c r="AKB77" s="90"/>
      <c r="AKC77" s="90"/>
      <c r="AKD77" s="90"/>
      <c r="AKE77" s="90"/>
      <c r="AKF77" s="90"/>
      <c r="AKG77" s="90"/>
      <c r="AKH77" s="90"/>
      <c r="AKI77" s="90"/>
      <c r="AKJ77" s="90"/>
      <c r="AKK77" s="90"/>
      <c r="AKL77" s="90"/>
      <c r="AKM77" s="90"/>
      <c r="AKN77" s="90"/>
      <c r="AKO77" s="90"/>
      <c r="AKP77" s="90"/>
      <c r="AKQ77" s="90"/>
      <c r="AKR77" s="90"/>
      <c r="AKS77" s="90"/>
      <c r="AKT77" s="90"/>
      <c r="AKU77" s="90"/>
      <c r="AKV77" s="90"/>
      <c r="AKW77" s="90"/>
      <c r="AKX77" s="90"/>
      <c r="AKY77" s="90"/>
      <c r="AKZ77" s="90"/>
      <c r="ALA77" s="90"/>
      <c r="ALB77" s="90"/>
      <c r="ALC77" s="90"/>
      <c r="ALD77" s="90"/>
      <c r="ALE77" s="90"/>
      <c r="ALF77" s="90"/>
      <c r="ALG77" s="90"/>
      <c r="ALH77" s="90"/>
      <c r="ALI77" s="90"/>
      <c r="ALJ77" s="90"/>
      <c r="ALK77" s="90"/>
      <c r="ALL77" s="90"/>
      <c r="ALM77" s="90"/>
      <c r="ALN77" s="90"/>
      <c r="ALO77" s="90"/>
      <c r="ALP77" s="90"/>
      <c r="ALQ77" s="90"/>
      <c r="ALR77" s="90"/>
      <c r="ALS77" s="90"/>
      <c r="ALT77" s="90"/>
      <c r="ALU77" s="90"/>
      <c r="ALV77" s="90"/>
      <c r="ALW77" s="90"/>
      <c r="ALX77" s="90"/>
      <c r="ALY77" s="90"/>
      <c r="ALZ77" s="90"/>
      <c r="AMA77" s="90"/>
      <c r="AMB77" s="90"/>
      <c r="AMC77" s="90"/>
    </row>
    <row r="78" spans="1:1017">
      <c r="A78" s="98" t="s">
        <v>26</v>
      </c>
      <c r="B78" s="648" t="str">
        <f t="shared" si="829"/>
        <v xml:space="preserve">Udang Windu </v>
      </c>
      <c r="E78" s="98">
        <v>8300</v>
      </c>
      <c r="F78" s="98">
        <v>1079000</v>
      </c>
      <c r="Q78" s="91">
        <f t="shared" si="830"/>
        <v>8300</v>
      </c>
      <c r="R78" s="91">
        <f t="shared" si="831"/>
        <v>1079000</v>
      </c>
      <c r="AG78" s="91">
        <f t="shared" si="832"/>
        <v>0</v>
      </c>
      <c r="AH78" s="91">
        <f t="shared" si="833"/>
        <v>0</v>
      </c>
      <c r="AW78" s="91">
        <f t="shared" si="834"/>
        <v>0</v>
      </c>
      <c r="AX78" s="91">
        <f t="shared" si="835"/>
        <v>0</v>
      </c>
      <c r="BM78" s="91">
        <f t="shared" si="836"/>
        <v>0</v>
      </c>
      <c r="BN78" s="91">
        <f t="shared" si="837"/>
        <v>0</v>
      </c>
      <c r="CC78" s="91">
        <f t="shared" si="838"/>
        <v>0</v>
      </c>
      <c r="CD78" s="91">
        <f t="shared" si="839"/>
        <v>0</v>
      </c>
      <c r="CG78" s="98">
        <v>335214</v>
      </c>
      <c r="CH78" s="98">
        <v>26817148</v>
      </c>
      <c r="CS78" s="91">
        <f t="shared" si="840"/>
        <v>335214</v>
      </c>
      <c r="CT78" s="91">
        <f t="shared" si="841"/>
        <v>26817148</v>
      </c>
      <c r="DI78" s="91">
        <f t="shared" si="842"/>
        <v>0</v>
      </c>
      <c r="DJ78" s="91">
        <f t="shared" si="843"/>
        <v>0</v>
      </c>
      <c r="DY78" s="91">
        <f t="shared" si="844"/>
        <v>0</v>
      </c>
      <c r="DZ78" s="91">
        <f t="shared" si="845"/>
        <v>0</v>
      </c>
      <c r="EO78" s="91">
        <f t="shared" si="846"/>
        <v>0</v>
      </c>
      <c r="EP78" s="91">
        <f t="shared" si="847"/>
        <v>0</v>
      </c>
      <c r="FE78" s="91">
        <f t="shared" si="848"/>
        <v>0</v>
      </c>
      <c r="FF78" s="91">
        <f t="shared" si="849"/>
        <v>0</v>
      </c>
      <c r="FU78" s="91">
        <f t="shared" si="850"/>
        <v>0</v>
      </c>
      <c r="FV78" s="91">
        <f t="shared" si="851"/>
        <v>0</v>
      </c>
      <c r="GK78" s="91">
        <f t="shared" si="852"/>
        <v>0</v>
      </c>
      <c r="GL78" s="91">
        <f t="shared" si="853"/>
        <v>0</v>
      </c>
      <c r="HA78" s="91">
        <f t="shared" si="854"/>
        <v>0</v>
      </c>
      <c r="HB78" s="91">
        <f t="shared" si="855"/>
        <v>0</v>
      </c>
      <c r="HQ78" s="91">
        <f t="shared" si="856"/>
        <v>0</v>
      </c>
      <c r="HR78" s="91">
        <f t="shared" si="857"/>
        <v>0</v>
      </c>
      <c r="IG78" s="91">
        <f t="shared" si="858"/>
        <v>0</v>
      </c>
      <c r="IH78" s="91">
        <f t="shared" si="859"/>
        <v>0</v>
      </c>
      <c r="IW78" s="91">
        <f t="shared" si="860"/>
        <v>0</v>
      </c>
      <c r="IX78" s="91">
        <f t="shared" si="861"/>
        <v>0</v>
      </c>
      <c r="JM78" s="91">
        <f t="shared" si="862"/>
        <v>0</v>
      </c>
      <c r="JN78" s="91">
        <f t="shared" si="863"/>
        <v>0</v>
      </c>
      <c r="KC78" s="91">
        <f t="shared" si="864"/>
        <v>0</v>
      </c>
      <c r="KD78" s="91">
        <f t="shared" si="865"/>
        <v>0</v>
      </c>
      <c r="KS78" s="91">
        <f t="shared" si="866"/>
        <v>0</v>
      </c>
      <c r="KT78" s="91">
        <f t="shared" si="867"/>
        <v>0</v>
      </c>
      <c r="KW78" s="98">
        <v>3734.24</v>
      </c>
      <c r="KX78" s="98">
        <v>336081</v>
      </c>
      <c r="LI78" s="91">
        <f t="shared" si="868"/>
        <v>3734.24</v>
      </c>
      <c r="LJ78" s="91">
        <f t="shared" si="869"/>
        <v>336081</v>
      </c>
      <c r="LY78" s="91">
        <f t="shared" si="870"/>
        <v>0</v>
      </c>
      <c r="LZ78" s="91">
        <f t="shared" si="871"/>
        <v>0</v>
      </c>
      <c r="MO78" s="91">
        <f t="shared" si="872"/>
        <v>0</v>
      </c>
      <c r="MP78" s="91">
        <f t="shared" si="873"/>
        <v>0</v>
      </c>
      <c r="MS78" s="98">
        <v>1750</v>
      </c>
      <c r="MT78" s="98">
        <v>140000</v>
      </c>
      <c r="NE78" s="91">
        <f t="shared" si="874"/>
        <v>1750</v>
      </c>
      <c r="NF78" s="91">
        <f t="shared" si="875"/>
        <v>140000</v>
      </c>
      <c r="NI78" s="98">
        <v>381200</v>
      </c>
      <c r="NJ78" s="98">
        <v>34308000</v>
      </c>
      <c r="NU78" s="91">
        <f t="shared" si="876"/>
        <v>381200</v>
      </c>
      <c r="NV78" s="91">
        <f t="shared" si="877"/>
        <v>34308000</v>
      </c>
      <c r="NY78" s="98">
        <v>56</v>
      </c>
      <c r="NZ78" s="98">
        <v>8400</v>
      </c>
      <c r="OK78" s="91">
        <f t="shared" si="878"/>
        <v>56</v>
      </c>
      <c r="OL78" s="91">
        <f t="shared" si="879"/>
        <v>8400</v>
      </c>
      <c r="PA78" s="91">
        <f t="shared" si="880"/>
        <v>0</v>
      </c>
      <c r="PB78" s="91">
        <f t="shared" si="881"/>
        <v>0</v>
      </c>
      <c r="PQ78" s="91">
        <f t="shared" si="882"/>
        <v>0</v>
      </c>
      <c r="PR78" s="91">
        <f t="shared" si="883"/>
        <v>0</v>
      </c>
      <c r="QG78" s="91">
        <f t="shared" si="884"/>
        <v>0</v>
      </c>
      <c r="QH78" s="91">
        <f t="shared" si="885"/>
        <v>0</v>
      </c>
      <c r="QW78" s="91">
        <f t="shared" si="886"/>
        <v>0</v>
      </c>
      <c r="QX78" s="91">
        <f t="shared" si="887"/>
        <v>0</v>
      </c>
      <c r="RM78" s="91">
        <f t="shared" si="888"/>
        <v>0</v>
      </c>
      <c r="RN78" s="91">
        <f t="shared" si="889"/>
        <v>0</v>
      </c>
      <c r="SC78" s="91">
        <f t="shared" si="890"/>
        <v>0</v>
      </c>
      <c r="SD78" s="91">
        <f t="shared" si="891"/>
        <v>0</v>
      </c>
      <c r="SS78" s="91">
        <f t="shared" si="892"/>
        <v>0</v>
      </c>
      <c r="ST78" s="91">
        <f t="shared" si="893"/>
        <v>0</v>
      </c>
      <c r="TI78" s="91">
        <f t="shared" si="894"/>
        <v>0</v>
      </c>
      <c r="TJ78" s="91">
        <f t="shared" si="895"/>
        <v>0</v>
      </c>
      <c r="TY78" s="91">
        <f t="shared" si="896"/>
        <v>0</v>
      </c>
      <c r="TZ78" s="91">
        <f t="shared" si="897"/>
        <v>0</v>
      </c>
      <c r="UO78" s="91">
        <f t="shared" si="898"/>
        <v>0</v>
      </c>
      <c r="UP78" s="91">
        <f t="shared" si="899"/>
        <v>0</v>
      </c>
      <c r="VE78" s="91">
        <f t="shared" si="900"/>
        <v>0</v>
      </c>
      <c r="VF78" s="91">
        <f t="shared" si="901"/>
        <v>0</v>
      </c>
      <c r="VI78" s="98">
        <v>62</v>
      </c>
      <c r="VJ78" s="98">
        <v>4030</v>
      </c>
      <c r="VU78" s="91">
        <f t="shared" si="902"/>
        <v>62</v>
      </c>
      <c r="VV78" s="91">
        <f t="shared" si="903"/>
        <v>4030</v>
      </c>
      <c r="VY78" s="98">
        <v>15676</v>
      </c>
      <c r="VZ78" s="98">
        <v>1410840</v>
      </c>
      <c r="WK78" s="91">
        <f t="shared" si="904"/>
        <v>15676</v>
      </c>
      <c r="WL78" s="91">
        <f t="shared" si="905"/>
        <v>1410840</v>
      </c>
      <c r="WM78" s="89"/>
      <c r="WN78" s="87">
        <f t="shared" si="906"/>
        <v>0</v>
      </c>
      <c r="WO78" s="87">
        <f t="shared" si="907"/>
        <v>0</v>
      </c>
      <c r="WP78" s="87">
        <f t="shared" si="908"/>
        <v>745992.24</v>
      </c>
      <c r="WQ78" s="87">
        <f t="shared" si="909"/>
        <v>64103499</v>
      </c>
      <c r="WR78" s="87">
        <f t="shared" si="910"/>
        <v>0</v>
      </c>
      <c r="WS78" s="87">
        <f t="shared" si="911"/>
        <v>0</v>
      </c>
      <c r="WT78" s="87">
        <f t="shared" si="912"/>
        <v>0</v>
      </c>
      <c r="WU78" s="87">
        <f t="shared" si="913"/>
        <v>0</v>
      </c>
      <c r="WV78" s="87">
        <f t="shared" si="914"/>
        <v>0</v>
      </c>
      <c r="WW78" s="87">
        <f t="shared" si="915"/>
        <v>0</v>
      </c>
      <c r="WX78" s="87">
        <f t="shared" si="916"/>
        <v>0</v>
      </c>
      <c r="WY78" s="87">
        <f t="shared" si="917"/>
        <v>0</v>
      </c>
      <c r="WZ78" s="87">
        <f t="shared" si="968"/>
        <v>0</v>
      </c>
      <c r="XA78" s="87">
        <f t="shared" si="969"/>
        <v>0</v>
      </c>
      <c r="XB78" s="92">
        <f t="shared" si="920"/>
        <v>745992.24</v>
      </c>
      <c r="XC78" s="92">
        <f t="shared" si="921"/>
        <v>64103499</v>
      </c>
      <c r="XD78" s="89"/>
      <c r="XE78" s="92">
        <f t="shared" ref="XE78:XF78" si="976">SUM(XB154,XB192,XB230)</f>
        <v>1404651.2130264924</v>
      </c>
      <c r="XF78" s="92">
        <f t="shared" si="976"/>
        <v>132868362.30264924</v>
      </c>
      <c r="XG78" s="89"/>
      <c r="XH78" s="92">
        <f t="shared" ref="XH78:XI78" si="977">SUM(XE116,XE154)</f>
        <v>3509656.4194910717</v>
      </c>
      <c r="XI78" s="92">
        <f t="shared" si="977"/>
        <v>318911458.34312767</v>
      </c>
      <c r="XJ78" s="89"/>
      <c r="XK78" s="87"/>
      <c r="XL78" s="87"/>
      <c r="XM78" s="87"/>
      <c r="XN78" s="87"/>
      <c r="XO78" s="87"/>
      <c r="XP78" s="87"/>
      <c r="XQ78" s="87"/>
      <c r="XR78" s="92">
        <f t="shared" ca="1" si="922"/>
        <v>0</v>
      </c>
      <c r="XS78" s="89"/>
      <c r="XT78" s="87"/>
      <c r="XU78" s="87"/>
      <c r="XV78" s="87"/>
      <c r="XW78" s="87"/>
      <c r="XX78" s="87"/>
      <c r="XY78" s="87"/>
      <c r="XZ78" s="87"/>
      <c r="YA78" s="92">
        <f t="shared" ca="1" si="923"/>
        <v>0</v>
      </c>
      <c r="YB78" s="90"/>
      <c r="YC78" s="90"/>
      <c r="YD78" s="90"/>
      <c r="YE78" s="90"/>
      <c r="YF78" s="90"/>
      <c r="YG78" s="90"/>
      <c r="YH78" s="90"/>
      <c r="YI78" s="90"/>
      <c r="YJ78" s="90"/>
      <c r="YK78" s="90"/>
      <c r="YL78" s="90"/>
      <c r="YM78" s="90"/>
      <c r="YN78" s="90"/>
      <c r="YO78" s="90"/>
      <c r="YP78" s="90"/>
      <c r="YQ78" s="90"/>
      <c r="YR78" s="90"/>
      <c r="YS78" s="90"/>
      <c r="YT78" s="90"/>
      <c r="YU78" s="90"/>
      <c r="YV78" s="90"/>
      <c r="YW78" s="90"/>
      <c r="YX78" s="90"/>
      <c r="YY78" s="90"/>
      <c r="YZ78" s="90"/>
      <c r="ZA78" s="90"/>
      <c r="ZB78" s="90"/>
      <c r="ZC78" s="90"/>
      <c r="ZD78" s="90"/>
      <c r="ZE78" s="90"/>
      <c r="ZF78" s="90"/>
      <c r="ZG78" s="90"/>
      <c r="ZH78" s="90"/>
      <c r="ZI78" s="90"/>
      <c r="ZJ78" s="90"/>
      <c r="ZK78" s="90"/>
      <c r="ZL78" s="90"/>
      <c r="ZM78" s="90"/>
      <c r="ZN78" s="90"/>
      <c r="ZO78" s="90"/>
      <c r="ZP78" s="90"/>
      <c r="ZQ78" s="90"/>
      <c r="ZR78" s="90"/>
      <c r="ZS78" s="90"/>
      <c r="ZT78" s="90"/>
      <c r="ZU78" s="90"/>
      <c r="ZV78" s="90"/>
      <c r="ZW78" s="90"/>
      <c r="ZX78" s="90"/>
      <c r="ZY78" s="90"/>
      <c r="ZZ78" s="90"/>
      <c r="AAA78" s="90"/>
      <c r="AAB78" s="90"/>
      <c r="AAC78" s="90"/>
      <c r="AAD78" s="90"/>
      <c r="AAE78" s="90"/>
      <c r="AAF78" s="90"/>
      <c r="AAG78" s="90"/>
      <c r="AAH78" s="90"/>
      <c r="AAI78" s="90"/>
      <c r="AAJ78" s="90"/>
      <c r="AAK78" s="90"/>
      <c r="AAL78" s="90"/>
      <c r="AAM78" s="90"/>
      <c r="AAN78" s="90"/>
      <c r="AAO78" s="90"/>
      <c r="AAP78" s="90"/>
      <c r="AAQ78" s="90"/>
      <c r="AAR78" s="90"/>
      <c r="AAS78" s="90"/>
      <c r="AAT78" s="90"/>
      <c r="AAU78" s="90"/>
      <c r="AAV78" s="90"/>
      <c r="AAW78" s="90"/>
      <c r="AAX78" s="90"/>
      <c r="AAY78" s="90"/>
      <c r="AAZ78" s="90"/>
      <c r="ABA78" s="90"/>
      <c r="ABB78" s="90"/>
      <c r="ABC78" s="90"/>
      <c r="ABD78" s="90"/>
      <c r="ABE78" s="90"/>
      <c r="ABF78" s="90"/>
      <c r="ABG78" s="90"/>
      <c r="ABH78" s="90"/>
      <c r="ABI78" s="90"/>
      <c r="ABJ78" s="90"/>
      <c r="ABK78" s="90"/>
      <c r="ABL78" s="90"/>
      <c r="ABM78" s="90"/>
      <c r="ABN78" s="90"/>
      <c r="ABO78" s="90"/>
      <c r="ABP78" s="90"/>
      <c r="ABQ78" s="90"/>
      <c r="ABR78" s="90"/>
      <c r="ABS78" s="90"/>
      <c r="ABT78" s="90"/>
      <c r="ABU78" s="90"/>
      <c r="ABV78" s="90"/>
      <c r="ABW78" s="90"/>
      <c r="ABX78" s="90"/>
      <c r="ABY78" s="90"/>
      <c r="ABZ78" s="90"/>
      <c r="ACA78" s="90"/>
      <c r="ACB78" s="90"/>
      <c r="ACC78" s="90"/>
      <c r="ACD78" s="90"/>
      <c r="ACE78" s="90"/>
      <c r="ACF78" s="90"/>
      <c r="ACG78" s="90"/>
      <c r="ACH78" s="90"/>
      <c r="ACI78" s="90"/>
      <c r="ACJ78" s="90"/>
      <c r="ACK78" s="90"/>
      <c r="ACL78" s="90"/>
      <c r="ACM78" s="90"/>
      <c r="ACN78" s="90"/>
      <c r="ACO78" s="90"/>
      <c r="ACP78" s="90"/>
      <c r="ACQ78" s="90"/>
      <c r="ACR78" s="90"/>
      <c r="ACS78" s="90"/>
      <c r="ACT78" s="90"/>
      <c r="ACU78" s="90"/>
      <c r="ACV78" s="90"/>
      <c r="ACW78" s="90"/>
      <c r="ACX78" s="90"/>
      <c r="ACY78" s="90"/>
      <c r="ACZ78" s="90"/>
      <c r="ADA78" s="90"/>
      <c r="ADB78" s="90"/>
      <c r="ADC78" s="90"/>
      <c r="ADD78" s="90"/>
      <c r="ADE78" s="90"/>
      <c r="ADF78" s="90"/>
      <c r="ADG78" s="90"/>
      <c r="ADH78" s="90"/>
      <c r="ADI78" s="90"/>
      <c r="ADJ78" s="90"/>
      <c r="ADK78" s="90"/>
      <c r="ADL78" s="90"/>
      <c r="ADM78" s="90"/>
      <c r="ADN78" s="90"/>
      <c r="ADO78" s="90"/>
      <c r="ADP78" s="90"/>
      <c r="ADQ78" s="90"/>
      <c r="ADR78" s="90"/>
      <c r="ADS78" s="90"/>
      <c r="ADT78" s="90"/>
      <c r="ADU78" s="90"/>
      <c r="ADV78" s="90"/>
      <c r="ADW78" s="90"/>
      <c r="ADX78" s="90"/>
      <c r="ADY78" s="90"/>
      <c r="ADZ78" s="90"/>
      <c r="AEA78" s="90"/>
      <c r="AEB78" s="90"/>
      <c r="AEC78" s="90"/>
      <c r="AED78" s="90"/>
      <c r="AEE78" s="90"/>
      <c r="AEF78" s="90"/>
      <c r="AEG78" s="90"/>
      <c r="AEH78" s="90"/>
      <c r="AEI78" s="90"/>
      <c r="AEJ78" s="90"/>
      <c r="AEK78" s="90"/>
      <c r="AEL78" s="90"/>
      <c r="AEM78" s="90"/>
      <c r="AEN78" s="90"/>
      <c r="AEO78" s="90"/>
      <c r="AEP78" s="90"/>
      <c r="AEQ78" s="90"/>
      <c r="AER78" s="90"/>
      <c r="AES78" s="90"/>
      <c r="AET78" s="90"/>
      <c r="AEU78" s="90"/>
      <c r="AEV78" s="90"/>
      <c r="AEW78" s="90"/>
      <c r="AEX78" s="90"/>
      <c r="AEY78" s="90"/>
      <c r="AEZ78" s="90"/>
      <c r="AFA78" s="90"/>
      <c r="AFB78" s="90"/>
      <c r="AFC78" s="90"/>
      <c r="AFD78" s="90"/>
      <c r="AFE78" s="90"/>
      <c r="AFF78" s="90"/>
      <c r="AFG78" s="90"/>
      <c r="AFH78" s="90"/>
      <c r="AFI78" s="90"/>
      <c r="AFJ78" s="90"/>
      <c r="AFK78" s="90"/>
      <c r="AFL78" s="90"/>
      <c r="AFM78" s="90"/>
      <c r="AFN78" s="90"/>
      <c r="AFO78" s="90"/>
      <c r="AFP78" s="90"/>
      <c r="AFQ78" s="90"/>
      <c r="AFR78" s="90"/>
      <c r="AFS78" s="90"/>
      <c r="AFT78" s="90"/>
      <c r="AFU78" s="90"/>
      <c r="AFV78" s="90"/>
      <c r="AFW78" s="90"/>
      <c r="AFX78" s="90"/>
      <c r="AFY78" s="90"/>
      <c r="AFZ78" s="90"/>
      <c r="AGA78" s="90"/>
      <c r="AGB78" s="90"/>
      <c r="AGC78" s="90"/>
      <c r="AGD78" s="90"/>
      <c r="AGE78" s="90"/>
      <c r="AGF78" s="90"/>
      <c r="AGG78" s="90"/>
      <c r="AGH78" s="90"/>
      <c r="AGI78" s="90"/>
      <c r="AGJ78" s="90"/>
      <c r="AGK78" s="90"/>
      <c r="AGL78" s="90"/>
      <c r="AGM78" s="90"/>
      <c r="AGN78" s="90"/>
      <c r="AGO78" s="90"/>
      <c r="AGP78" s="90"/>
      <c r="AGQ78" s="90"/>
      <c r="AGR78" s="90"/>
      <c r="AGS78" s="90"/>
      <c r="AGT78" s="90"/>
      <c r="AGU78" s="90"/>
      <c r="AGV78" s="90"/>
      <c r="AGW78" s="90"/>
      <c r="AGX78" s="90"/>
      <c r="AGY78" s="90"/>
      <c r="AGZ78" s="90"/>
      <c r="AHA78" s="90"/>
      <c r="AHB78" s="90"/>
      <c r="AHC78" s="90"/>
      <c r="AHD78" s="90"/>
      <c r="AHE78" s="90"/>
      <c r="AHF78" s="90"/>
      <c r="AHG78" s="90"/>
      <c r="AHH78" s="90"/>
      <c r="AHI78" s="90"/>
      <c r="AHJ78" s="90"/>
      <c r="AHK78" s="90"/>
      <c r="AHL78" s="90"/>
      <c r="AHM78" s="90"/>
      <c r="AHN78" s="90"/>
      <c r="AHO78" s="90"/>
      <c r="AHP78" s="90"/>
      <c r="AHQ78" s="90"/>
      <c r="AHR78" s="90"/>
      <c r="AHS78" s="90"/>
      <c r="AHT78" s="90"/>
      <c r="AHU78" s="90"/>
      <c r="AHV78" s="90"/>
      <c r="AHW78" s="90"/>
      <c r="AHX78" s="90"/>
      <c r="AHY78" s="90"/>
      <c r="AHZ78" s="90"/>
      <c r="AIA78" s="90"/>
      <c r="AIB78" s="90"/>
      <c r="AIC78" s="90"/>
      <c r="AID78" s="90"/>
      <c r="AIE78" s="90"/>
      <c r="AIF78" s="90"/>
      <c r="AIG78" s="90"/>
      <c r="AIH78" s="90"/>
      <c r="AII78" s="90"/>
      <c r="AIJ78" s="90"/>
      <c r="AIK78" s="90"/>
      <c r="AIL78" s="90"/>
      <c r="AIM78" s="90"/>
      <c r="AIN78" s="90"/>
      <c r="AIO78" s="90"/>
      <c r="AIP78" s="90"/>
      <c r="AIQ78" s="90"/>
      <c r="AIR78" s="90"/>
      <c r="AIS78" s="90"/>
      <c r="AIT78" s="90"/>
      <c r="AIU78" s="90"/>
      <c r="AIV78" s="90"/>
      <c r="AIW78" s="90"/>
      <c r="AIX78" s="90"/>
      <c r="AIY78" s="90"/>
      <c r="AIZ78" s="90"/>
      <c r="AJA78" s="90"/>
      <c r="AJB78" s="90"/>
      <c r="AJC78" s="90"/>
      <c r="AJD78" s="90"/>
      <c r="AJE78" s="90"/>
      <c r="AJF78" s="90"/>
      <c r="AJG78" s="90"/>
      <c r="AJH78" s="90"/>
      <c r="AJI78" s="90"/>
      <c r="AJJ78" s="90"/>
      <c r="AJK78" s="90"/>
      <c r="AJL78" s="90"/>
      <c r="AJM78" s="90"/>
      <c r="AJN78" s="90"/>
      <c r="AJO78" s="90"/>
      <c r="AJP78" s="90"/>
      <c r="AJQ78" s="90"/>
      <c r="AJR78" s="90"/>
      <c r="AJS78" s="90"/>
      <c r="AJT78" s="90"/>
      <c r="AJU78" s="90"/>
      <c r="AJV78" s="90"/>
      <c r="AJW78" s="90"/>
      <c r="AJX78" s="90"/>
      <c r="AJY78" s="90"/>
      <c r="AJZ78" s="90"/>
      <c r="AKA78" s="90"/>
      <c r="AKB78" s="90"/>
      <c r="AKC78" s="90"/>
      <c r="AKD78" s="90"/>
      <c r="AKE78" s="90"/>
      <c r="AKF78" s="90"/>
      <c r="AKG78" s="90"/>
      <c r="AKH78" s="90"/>
      <c r="AKI78" s="90"/>
      <c r="AKJ78" s="90"/>
      <c r="AKK78" s="90"/>
      <c r="AKL78" s="90"/>
      <c r="AKM78" s="90"/>
      <c r="AKN78" s="90"/>
      <c r="AKO78" s="90"/>
      <c r="AKP78" s="90"/>
      <c r="AKQ78" s="90"/>
      <c r="AKR78" s="90"/>
      <c r="AKS78" s="90"/>
      <c r="AKT78" s="90"/>
      <c r="AKU78" s="90"/>
      <c r="AKV78" s="90"/>
      <c r="AKW78" s="90"/>
      <c r="AKX78" s="90"/>
      <c r="AKY78" s="90"/>
      <c r="AKZ78" s="90"/>
      <c r="ALA78" s="90"/>
      <c r="ALB78" s="90"/>
      <c r="ALC78" s="90"/>
      <c r="ALD78" s="90"/>
      <c r="ALE78" s="90"/>
      <c r="ALF78" s="90"/>
      <c r="ALG78" s="90"/>
      <c r="ALH78" s="90"/>
      <c r="ALI78" s="90"/>
      <c r="ALJ78" s="90"/>
      <c r="ALK78" s="90"/>
      <c r="ALL78" s="90"/>
      <c r="ALM78" s="90"/>
      <c r="ALN78" s="90"/>
      <c r="ALO78" s="90"/>
      <c r="ALP78" s="90"/>
      <c r="ALQ78" s="90"/>
      <c r="ALR78" s="90"/>
      <c r="ALS78" s="90"/>
      <c r="ALT78" s="90"/>
      <c r="ALU78" s="90"/>
      <c r="ALV78" s="90"/>
      <c r="ALW78" s="90"/>
      <c r="ALX78" s="90"/>
      <c r="ALY78" s="90"/>
      <c r="ALZ78" s="90"/>
      <c r="AMA78" s="90"/>
      <c r="AMB78" s="90"/>
      <c r="AMC78" s="90"/>
    </row>
    <row r="79" spans="1:1017">
      <c r="A79" s="98" t="s">
        <v>26</v>
      </c>
      <c r="B79" s="648" t="str">
        <f t="shared" ref="B79:B88" si="978">B41</f>
        <v xml:space="preserve">Udang_01 (Udang Api-Api) </v>
      </c>
      <c r="E79" s="98">
        <v>15800</v>
      </c>
      <c r="F79" s="98">
        <v>632000</v>
      </c>
      <c r="Q79" s="91">
        <f t="shared" si="830"/>
        <v>15800</v>
      </c>
      <c r="R79" s="91">
        <f t="shared" si="831"/>
        <v>632000</v>
      </c>
      <c r="AG79" s="91">
        <f t="shared" si="832"/>
        <v>0</v>
      </c>
      <c r="AH79" s="91">
        <f t="shared" si="833"/>
        <v>0</v>
      </c>
      <c r="AW79" s="91">
        <f t="shared" si="834"/>
        <v>0</v>
      </c>
      <c r="AX79" s="91">
        <f t="shared" si="835"/>
        <v>0</v>
      </c>
      <c r="BM79" s="91">
        <f t="shared" si="836"/>
        <v>0</v>
      </c>
      <c r="BN79" s="91">
        <f t="shared" si="837"/>
        <v>0</v>
      </c>
      <c r="CC79" s="91">
        <f t="shared" si="838"/>
        <v>0</v>
      </c>
      <c r="CD79" s="91">
        <f t="shared" si="839"/>
        <v>0</v>
      </c>
      <c r="CS79" s="91">
        <f t="shared" si="840"/>
        <v>0</v>
      </c>
      <c r="CT79" s="91">
        <f t="shared" si="841"/>
        <v>0</v>
      </c>
      <c r="DI79" s="91">
        <f t="shared" si="842"/>
        <v>0</v>
      </c>
      <c r="DJ79" s="91">
        <f t="shared" si="843"/>
        <v>0</v>
      </c>
      <c r="DY79" s="91">
        <f t="shared" si="844"/>
        <v>0</v>
      </c>
      <c r="DZ79" s="91">
        <f t="shared" si="845"/>
        <v>0</v>
      </c>
      <c r="EO79" s="91">
        <f t="shared" si="846"/>
        <v>0</v>
      </c>
      <c r="EP79" s="91">
        <f t="shared" si="847"/>
        <v>0</v>
      </c>
      <c r="FE79" s="91">
        <f t="shared" si="848"/>
        <v>0</v>
      </c>
      <c r="FF79" s="91">
        <f t="shared" si="849"/>
        <v>0</v>
      </c>
      <c r="FU79" s="91">
        <f t="shared" si="850"/>
        <v>0</v>
      </c>
      <c r="FV79" s="91">
        <f t="shared" si="851"/>
        <v>0</v>
      </c>
      <c r="GK79" s="91">
        <f t="shared" si="852"/>
        <v>0</v>
      </c>
      <c r="GL79" s="91">
        <f t="shared" si="853"/>
        <v>0</v>
      </c>
      <c r="HA79" s="91">
        <f t="shared" si="854"/>
        <v>0</v>
      </c>
      <c r="HB79" s="91">
        <f t="shared" si="855"/>
        <v>0</v>
      </c>
      <c r="HQ79" s="91">
        <f t="shared" si="856"/>
        <v>0</v>
      </c>
      <c r="HR79" s="91">
        <f t="shared" si="857"/>
        <v>0</v>
      </c>
      <c r="IG79" s="91">
        <f t="shared" si="858"/>
        <v>0</v>
      </c>
      <c r="IH79" s="91">
        <f t="shared" si="859"/>
        <v>0</v>
      </c>
      <c r="IW79" s="91">
        <f t="shared" si="860"/>
        <v>0</v>
      </c>
      <c r="IX79" s="91">
        <f t="shared" si="861"/>
        <v>0</v>
      </c>
      <c r="JM79" s="91">
        <f t="shared" si="862"/>
        <v>0</v>
      </c>
      <c r="JN79" s="91">
        <f t="shared" si="863"/>
        <v>0</v>
      </c>
      <c r="KC79" s="91">
        <f t="shared" si="864"/>
        <v>0</v>
      </c>
      <c r="KD79" s="91">
        <f t="shared" si="865"/>
        <v>0</v>
      </c>
      <c r="KS79" s="91">
        <f t="shared" si="866"/>
        <v>0</v>
      </c>
      <c r="KT79" s="91">
        <f t="shared" si="867"/>
        <v>0</v>
      </c>
      <c r="LI79" s="91">
        <f t="shared" si="868"/>
        <v>0</v>
      </c>
      <c r="LJ79" s="91">
        <f t="shared" si="869"/>
        <v>0</v>
      </c>
      <c r="LY79" s="91">
        <f t="shared" si="870"/>
        <v>0</v>
      </c>
      <c r="LZ79" s="91">
        <f t="shared" si="871"/>
        <v>0</v>
      </c>
      <c r="MC79" s="98">
        <v>27600</v>
      </c>
      <c r="MD79" s="98">
        <v>1104000</v>
      </c>
      <c r="MO79" s="91">
        <f t="shared" si="872"/>
        <v>27600</v>
      </c>
      <c r="MP79" s="91">
        <f t="shared" si="873"/>
        <v>1104000</v>
      </c>
      <c r="NE79" s="91">
        <f t="shared" si="874"/>
        <v>0</v>
      </c>
      <c r="NF79" s="91">
        <f t="shared" si="875"/>
        <v>0</v>
      </c>
      <c r="NI79" s="98">
        <v>29000</v>
      </c>
      <c r="NJ79" s="98">
        <v>1305000</v>
      </c>
      <c r="NU79" s="91">
        <f t="shared" si="876"/>
        <v>29000</v>
      </c>
      <c r="NV79" s="91">
        <f t="shared" si="877"/>
        <v>1305000</v>
      </c>
      <c r="OK79" s="91">
        <f t="shared" si="878"/>
        <v>0</v>
      </c>
      <c r="OL79" s="91">
        <f t="shared" si="879"/>
        <v>0</v>
      </c>
      <c r="PA79" s="91">
        <f t="shared" si="880"/>
        <v>0</v>
      </c>
      <c r="PB79" s="91">
        <f t="shared" si="881"/>
        <v>0</v>
      </c>
      <c r="PQ79" s="91">
        <f t="shared" si="882"/>
        <v>0</v>
      </c>
      <c r="PR79" s="91">
        <f t="shared" si="883"/>
        <v>0</v>
      </c>
      <c r="QG79" s="91">
        <f t="shared" si="884"/>
        <v>0</v>
      </c>
      <c r="QH79" s="91">
        <f t="shared" si="885"/>
        <v>0</v>
      </c>
      <c r="QW79" s="91">
        <f t="shared" si="886"/>
        <v>0</v>
      </c>
      <c r="QX79" s="91">
        <f t="shared" si="887"/>
        <v>0</v>
      </c>
      <c r="RM79" s="91">
        <f t="shared" si="888"/>
        <v>0</v>
      </c>
      <c r="RN79" s="91">
        <f t="shared" si="889"/>
        <v>0</v>
      </c>
      <c r="SC79" s="91">
        <f t="shared" si="890"/>
        <v>0</v>
      </c>
      <c r="SD79" s="91">
        <f t="shared" si="891"/>
        <v>0</v>
      </c>
      <c r="SS79" s="91">
        <f t="shared" si="892"/>
        <v>0</v>
      </c>
      <c r="ST79" s="91">
        <f t="shared" si="893"/>
        <v>0</v>
      </c>
      <c r="TI79" s="91">
        <f t="shared" si="894"/>
        <v>0</v>
      </c>
      <c r="TJ79" s="91">
        <f t="shared" si="895"/>
        <v>0</v>
      </c>
      <c r="TY79" s="91">
        <f t="shared" si="896"/>
        <v>0</v>
      </c>
      <c r="TZ79" s="91">
        <f t="shared" si="897"/>
        <v>0</v>
      </c>
      <c r="UO79" s="91">
        <f t="shared" si="898"/>
        <v>0</v>
      </c>
      <c r="UP79" s="91">
        <f t="shared" si="899"/>
        <v>0</v>
      </c>
      <c r="VE79" s="91">
        <f t="shared" si="900"/>
        <v>0</v>
      </c>
      <c r="VF79" s="91">
        <f t="shared" si="901"/>
        <v>0</v>
      </c>
      <c r="VU79" s="91">
        <f t="shared" si="902"/>
        <v>0</v>
      </c>
      <c r="VV79" s="91">
        <f t="shared" si="903"/>
        <v>0</v>
      </c>
      <c r="WK79" s="91">
        <f t="shared" si="904"/>
        <v>0</v>
      </c>
      <c r="WL79" s="91">
        <f t="shared" si="905"/>
        <v>0</v>
      </c>
      <c r="WM79" s="89"/>
      <c r="WN79" s="87">
        <f t="shared" si="906"/>
        <v>0</v>
      </c>
      <c r="WO79" s="87">
        <f t="shared" si="907"/>
        <v>0</v>
      </c>
      <c r="WP79" s="87">
        <f t="shared" si="908"/>
        <v>72400</v>
      </c>
      <c r="WQ79" s="87">
        <f t="shared" si="909"/>
        <v>3041000</v>
      </c>
      <c r="WR79" s="87">
        <f t="shared" si="910"/>
        <v>0</v>
      </c>
      <c r="WS79" s="87">
        <f t="shared" si="911"/>
        <v>0</v>
      </c>
      <c r="WT79" s="87">
        <f t="shared" si="912"/>
        <v>0</v>
      </c>
      <c r="WU79" s="87">
        <f t="shared" si="913"/>
        <v>0</v>
      </c>
      <c r="WV79" s="87">
        <f t="shared" si="914"/>
        <v>0</v>
      </c>
      <c r="WW79" s="87">
        <f t="shared" si="915"/>
        <v>0</v>
      </c>
      <c r="WX79" s="87">
        <f t="shared" si="916"/>
        <v>0</v>
      </c>
      <c r="WY79" s="87">
        <f t="shared" si="917"/>
        <v>0</v>
      </c>
      <c r="WZ79" s="87">
        <f t="shared" si="968"/>
        <v>0</v>
      </c>
      <c r="XA79" s="87">
        <f t="shared" si="969"/>
        <v>0</v>
      </c>
      <c r="XB79" s="92">
        <f t="shared" si="920"/>
        <v>72400</v>
      </c>
      <c r="XC79" s="92">
        <f t="shared" si="921"/>
        <v>3041000</v>
      </c>
      <c r="XD79" s="89"/>
      <c r="XE79" s="92">
        <f t="shared" ref="XE79:XF79" si="979">SUM(XB155,XB193,XB231)</f>
        <v>294700</v>
      </c>
      <c r="XF79" s="92">
        <f t="shared" si="979"/>
        <v>12495500</v>
      </c>
      <c r="XG79" s="89"/>
      <c r="XH79" s="92">
        <f t="shared" ref="XH79:XI79" si="980">SUM(XE117,XE155)</f>
        <v>326131</v>
      </c>
      <c r="XI79" s="92">
        <f t="shared" si="980"/>
        <v>14181245</v>
      </c>
      <c r="XJ79" s="89"/>
      <c r="XK79" s="87"/>
      <c r="XL79" s="87"/>
      <c r="XM79" s="87"/>
      <c r="XN79" s="87"/>
      <c r="XO79" s="87"/>
      <c r="XP79" s="87"/>
      <c r="XQ79" s="87"/>
      <c r="XR79" s="92">
        <f t="shared" ca="1" si="922"/>
        <v>0</v>
      </c>
      <c r="XS79" s="89"/>
      <c r="XT79" s="87"/>
      <c r="XU79" s="87"/>
      <c r="XV79" s="87"/>
      <c r="XW79" s="87"/>
      <c r="XX79" s="87"/>
      <c r="XY79" s="87"/>
      <c r="XZ79" s="87"/>
      <c r="YA79" s="92">
        <f t="shared" ca="1" si="923"/>
        <v>0</v>
      </c>
      <c r="YB79" s="90"/>
      <c r="YC79" s="90"/>
      <c r="YD79" s="90"/>
      <c r="YE79" s="90"/>
      <c r="YF79" s="90"/>
      <c r="YG79" s="90"/>
      <c r="YH79" s="90"/>
      <c r="YI79" s="90"/>
      <c r="YJ79" s="90"/>
      <c r="YK79" s="90"/>
      <c r="YL79" s="90"/>
      <c r="YM79" s="90"/>
      <c r="YN79" s="90"/>
      <c r="YO79" s="90"/>
      <c r="YP79" s="90"/>
      <c r="YQ79" s="90"/>
      <c r="YR79" s="90"/>
      <c r="YS79" s="90"/>
      <c r="YT79" s="90"/>
      <c r="YU79" s="90"/>
      <c r="YV79" s="90"/>
      <c r="YW79" s="90"/>
      <c r="YX79" s="90"/>
      <c r="YY79" s="90"/>
      <c r="YZ79" s="90"/>
      <c r="ZA79" s="90"/>
      <c r="ZB79" s="90"/>
      <c r="ZC79" s="90"/>
      <c r="ZD79" s="90"/>
      <c r="ZE79" s="90"/>
      <c r="ZF79" s="90"/>
      <c r="ZG79" s="90"/>
      <c r="ZH79" s="90"/>
      <c r="ZI79" s="90"/>
      <c r="ZJ79" s="90"/>
      <c r="ZK79" s="90"/>
      <c r="ZL79" s="90"/>
      <c r="ZM79" s="90"/>
      <c r="ZN79" s="90"/>
      <c r="ZO79" s="90"/>
      <c r="ZP79" s="90"/>
      <c r="ZQ79" s="90"/>
      <c r="ZR79" s="90"/>
      <c r="ZS79" s="90"/>
      <c r="ZT79" s="90"/>
      <c r="ZU79" s="90"/>
      <c r="ZV79" s="90"/>
      <c r="ZW79" s="90"/>
      <c r="ZX79" s="90"/>
      <c r="ZY79" s="90"/>
      <c r="ZZ79" s="90"/>
      <c r="AAA79" s="90"/>
      <c r="AAB79" s="90"/>
      <c r="AAC79" s="90"/>
      <c r="AAD79" s="90"/>
      <c r="AAE79" s="90"/>
      <c r="AAF79" s="90"/>
      <c r="AAG79" s="90"/>
      <c r="AAH79" s="90"/>
      <c r="AAI79" s="90"/>
      <c r="AAJ79" s="90"/>
      <c r="AAK79" s="90"/>
      <c r="AAL79" s="90"/>
      <c r="AAM79" s="90"/>
      <c r="AAN79" s="90"/>
      <c r="AAO79" s="90"/>
      <c r="AAP79" s="90"/>
      <c r="AAQ79" s="90"/>
      <c r="AAR79" s="90"/>
      <c r="AAS79" s="90"/>
      <c r="AAT79" s="90"/>
      <c r="AAU79" s="90"/>
      <c r="AAV79" s="90"/>
      <c r="AAW79" s="90"/>
      <c r="AAX79" s="90"/>
      <c r="AAY79" s="90"/>
      <c r="AAZ79" s="90"/>
      <c r="ABA79" s="90"/>
      <c r="ABB79" s="90"/>
      <c r="ABC79" s="90"/>
      <c r="ABD79" s="90"/>
      <c r="ABE79" s="90"/>
      <c r="ABF79" s="90"/>
      <c r="ABG79" s="90"/>
      <c r="ABH79" s="90"/>
      <c r="ABI79" s="90"/>
      <c r="ABJ79" s="90"/>
      <c r="ABK79" s="90"/>
      <c r="ABL79" s="90"/>
      <c r="ABM79" s="90"/>
      <c r="ABN79" s="90"/>
      <c r="ABO79" s="90"/>
      <c r="ABP79" s="90"/>
      <c r="ABQ79" s="90"/>
      <c r="ABR79" s="90"/>
      <c r="ABS79" s="90"/>
      <c r="ABT79" s="90"/>
      <c r="ABU79" s="90"/>
      <c r="ABV79" s="90"/>
      <c r="ABW79" s="90"/>
      <c r="ABX79" s="90"/>
      <c r="ABY79" s="90"/>
      <c r="ABZ79" s="90"/>
      <c r="ACA79" s="90"/>
      <c r="ACB79" s="90"/>
      <c r="ACC79" s="90"/>
      <c r="ACD79" s="90"/>
      <c r="ACE79" s="90"/>
      <c r="ACF79" s="90"/>
      <c r="ACG79" s="90"/>
      <c r="ACH79" s="90"/>
      <c r="ACI79" s="90"/>
      <c r="ACJ79" s="90"/>
      <c r="ACK79" s="90"/>
      <c r="ACL79" s="90"/>
      <c r="ACM79" s="90"/>
      <c r="ACN79" s="90"/>
      <c r="ACO79" s="90"/>
      <c r="ACP79" s="90"/>
      <c r="ACQ79" s="90"/>
      <c r="ACR79" s="90"/>
      <c r="ACS79" s="90"/>
      <c r="ACT79" s="90"/>
      <c r="ACU79" s="90"/>
      <c r="ACV79" s="90"/>
      <c r="ACW79" s="90"/>
      <c r="ACX79" s="90"/>
      <c r="ACY79" s="90"/>
      <c r="ACZ79" s="90"/>
      <c r="ADA79" s="90"/>
      <c r="ADB79" s="90"/>
      <c r="ADC79" s="90"/>
      <c r="ADD79" s="90"/>
      <c r="ADE79" s="90"/>
      <c r="ADF79" s="90"/>
      <c r="ADG79" s="90"/>
      <c r="ADH79" s="90"/>
      <c r="ADI79" s="90"/>
      <c r="ADJ79" s="90"/>
      <c r="ADK79" s="90"/>
      <c r="ADL79" s="90"/>
      <c r="ADM79" s="90"/>
      <c r="ADN79" s="90"/>
      <c r="ADO79" s="90"/>
      <c r="ADP79" s="90"/>
      <c r="ADQ79" s="90"/>
      <c r="ADR79" s="90"/>
      <c r="ADS79" s="90"/>
      <c r="ADT79" s="90"/>
      <c r="ADU79" s="90"/>
      <c r="ADV79" s="90"/>
      <c r="ADW79" s="90"/>
      <c r="ADX79" s="90"/>
      <c r="ADY79" s="90"/>
      <c r="ADZ79" s="90"/>
      <c r="AEA79" s="90"/>
      <c r="AEB79" s="90"/>
      <c r="AEC79" s="90"/>
      <c r="AED79" s="90"/>
      <c r="AEE79" s="90"/>
      <c r="AEF79" s="90"/>
      <c r="AEG79" s="90"/>
      <c r="AEH79" s="90"/>
      <c r="AEI79" s="90"/>
      <c r="AEJ79" s="90"/>
      <c r="AEK79" s="90"/>
      <c r="AEL79" s="90"/>
      <c r="AEM79" s="90"/>
      <c r="AEN79" s="90"/>
      <c r="AEO79" s="90"/>
      <c r="AEP79" s="90"/>
      <c r="AEQ79" s="90"/>
      <c r="AER79" s="90"/>
      <c r="AES79" s="90"/>
      <c r="AET79" s="90"/>
      <c r="AEU79" s="90"/>
      <c r="AEV79" s="90"/>
      <c r="AEW79" s="90"/>
      <c r="AEX79" s="90"/>
      <c r="AEY79" s="90"/>
      <c r="AEZ79" s="90"/>
      <c r="AFA79" s="90"/>
      <c r="AFB79" s="90"/>
      <c r="AFC79" s="90"/>
      <c r="AFD79" s="90"/>
      <c r="AFE79" s="90"/>
      <c r="AFF79" s="90"/>
      <c r="AFG79" s="90"/>
      <c r="AFH79" s="90"/>
      <c r="AFI79" s="90"/>
      <c r="AFJ79" s="90"/>
      <c r="AFK79" s="90"/>
      <c r="AFL79" s="90"/>
      <c r="AFM79" s="90"/>
      <c r="AFN79" s="90"/>
      <c r="AFO79" s="90"/>
      <c r="AFP79" s="90"/>
      <c r="AFQ79" s="90"/>
      <c r="AFR79" s="90"/>
      <c r="AFS79" s="90"/>
      <c r="AFT79" s="90"/>
      <c r="AFU79" s="90"/>
      <c r="AFV79" s="90"/>
      <c r="AFW79" s="90"/>
      <c r="AFX79" s="90"/>
      <c r="AFY79" s="90"/>
      <c r="AFZ79" s="90"/>
      <c r="AGA79" s="90"/>
      <c r="AGB79" s="90"/>
      <c r="AGC79" s="90"/>
      <c r="AGD79" s="90"/>
      <c r="AGE79" s="90"/>
      <c r="AGF79" s="90"/>
      <c r="AGG79" s="90"/>
      <c r="AGH79" s="90"/>
      <c r="AGI79" s="90"/>
      <c r="AGJ79" s="90"/>
      <c r="AGK79" s="90"/>
      <c r="AGL79" s="90"/>
      <c r="AGM79" s="90"/>
      <c r="AGN79" s="90"/>
      <c r="AGO79" s="90"/>
      <c r="AGP79" s="90"/>
      <c r="AGQ79" s="90"/>
      <c r="AGR79" s="90"/>
      <c r="AGS79" s="90"/>
      <c r="AGT79" s="90"/>
      <c r="AGU79" s="90"/>
      <c r="AGV79" s="90"/>
      <c r="AGW79" s="90"/>
      <c r="AGX79" s="90"/>
      <c r="AGY79" s="90"/>
      <c r="AGZ79" s="90"/>
      <c r="AHA79" s="90"/>
      <c r="AHB79" s="90"/>
      <c r="AHC79" s="90"/>
      <c r="AHD79" s="90"/>
      <c r="AHE79" s="90"/>
      <c r="AHF79" s="90"/>
      <c r="AHG79" s="90"/>
      <c r="AHH79" s="90"/>
      <c r="AHI79" s="90"/>
      <c r="AHJ79" s="90"/>
      <c r="AHK79" s="90"/>
      <c r="AHL79" s="90"/>
      <c r="AHM79" s="90"/>
      <c r="AHN79" s="90"/>
      <c r="AHO79" s="90"/>
      <c r="AHP79" s="90"/>
      <c r="AHQ79" s="90"/>
      <c r="AHR79" s="90"/>
      <c r="AHS79" s="90"/>
      <c r="AHT79" s="90"/>
      <c r="AHU79" s="90"/>
      <c r="AHV79" s="90"/>
      <c r="AHW79" s="90"/>
      <c r="AHX79" s="90"/>
      <c r="AHY79" s="90"/>
      <c r="AHZ79" s="90"/>
      <c r="AIA79" s="90"/>
      <c r="AIB79" s="90"/>
      <c r="AIC79" s="90"/>
      <c r="AID79" s="90"/>
      <c r="AIE79" s="90"/>
      <c r="AIF79" s="90"/>
      <c r="AIG79" s="90"/>
      <c r="AIH79" s="90"/>
      <c r="AII79" s="90"/>
      <c r="AIJ79" s="90"/>
      <c r="AIK79" s="90"/>
      <c r="AIL79" s="90"/>
      <c r="AIM79" s="90"/>
      <c r="AIN79" s="90"/>
      <c r="AIO79" s="90"/>
      <c r="AIP79" s="90"/>
      <c r="AIQ79" s="90"/>
      <c r="AIR79" s="90"/>
      <c r="AIS79" s="90"/>
      <c r="AIT79" s="90"/>
      <c r="AIU79" s="90"/>
      <c r="AIV79" s="90"/>
      <c r="AIW79" s="90"/>
      <c r="AIX79" s="90"/>
      <c r="AIY79" s="90"/>
      <c r="AIZ79" s="90"/>
      <c r="AJA79" s="90"/>
      <c r="AJB79" s="90"/>
      <c r="AJC79" s="90"/>
      <c r="AJD79" s="90"/>
      <c r="AJE79" s="90"/>
      <c r="AJF79" s="90"/>
      <c r="AJG79" s="90"/>
      <c r="AJH79" s="90"/>
      <c r="AJI79" s="90"/>
      <c r="AJJ79" s="90"/>
      <c r="AJK79" s="90"/>
      <c r="AJL79" s="90"/>
      <c r="AJM79" s="90"/>
      <c r="AJN79" s="90"/>
      <c r="AJO79" s="90"/>
      <c r="AJP79" s="90"/>
      <c r="AJQ79" s="90"/>
      <c r="AJR79" s="90"/>
      <c r="AJS79" s="90"/>
      <c r="AJT79" s="90"/>
      <c r="AJU79" s="90"/>
      <c r="AJV79" s="90"/>
      <c r="AJW79" s="90"/>
      <c r="AJX79" s="90"/>
      <c r="AJY79" s="90"/>
      <c r="AJZ79" s="90"/>
      <c r="AKA79" s="90"/>
      <c r="AKB79" s="90"/>
      <c r="AKC79" s="90"/>
      <c r="AKD79" s="90"/>
      <c r="AKE79" s="90"/>
      <c r="AKF79" s="90"/>
      <c r="AKG79" s="90"/>
      <c r="AKH79" s="90"/>
      <c r="AKI79" s="90"/>
      <c r="AKJ79" s="90"/>
      <c r="AKK79" s="90"/>
      <c r="AKL79" s="90"/>
      <c r="AKM79" s="90"/>
      <c r="AKN79" s="90"/>
      <c r="AKO79" s="90"/>
      <c r="AKP79" s="90"/>
      <c r="AKQ79" s="90"/>
      <c r="AKR79" s="90"/>
      <c r="AKS79" s="90"/>
      <c r="AKT79" s="90"/>
      <c r="AKU79" s="90"/>
      <c r="AKV79" s="90"/>
      <c r="AKW79" s="90"/>
      <c r="AKX79" s="90"/>
      <c r="AKY79" s="90"/>
      <c r="AKZ79" s="90"/>
      <c r="ALA79" s="90"/>
      <c r="ALB79" s="90"/>
      <c r="ALC79" s="90"/>
      <c r="ALD79" s="90"/>
      <c r="ALE79" s="90"/>
      <c r="ALF79" s="90"/>
      <c r="ALG79" s="90"/>
      <c r="ALH79" s="90"/>
      <c r="ALI79" s="90"/>
      <c r="ALJ79" s="90"/>
      <c r="ALK79" s="90"/>
      <c r="ALL79" s="90"/>
      <c r="ALM79" s="90"/>
      <c r="ALN79" s="90"/>
      <c r="ALO79" s="90"/>
      <c r="ALP79" s="90"/>
      <c r="ALQ79" s="90"/>
      <c r="ALR79" s="90"/>
      <c r="ALS79" s="90"/>
      <c r="ALT79" s="90"/>
      <c r="ALU79" s="90"/>
      <c r="ALV79" s="90"/>
      <c r="ALW79" s="90"/>
      <c r="ALX79" s="90"/>
      <c r="ALY79" s="90"/>
      <c r="ALZ79" s="90"/>
      <c r="AMA79" s="90"/>
      <c r="AMB79" s="90"/>
      <c r="AMC79" s="90"/>
    </row>
    <row r="80" spans="1:1017">
      <c r="A80" s="98" t="s">
        <v>26</v>
      </c>
      <c r="B80" s="648" t="str">
        <f t="shared" si="978"/>
        <v xml:space="preserve">Udang_02 (Udang Rebon) </v>
      </c>
      <c r="Q80" s="91">
        <f t="shared" si="830"/>
        <v>0</v>
      </c>
      <c r="R80" s="91">
        <f t="shared" si="831"/>
        <v>0</v>
      </c>
      <c r="AG80" s="91">
        <f t="shared" si="832"/>
        <v>0</v>
      </c>
      <c r="AH80" s="91">
        <f t="shared" si="833"/>
        <v>0</v>
      </c>
      <c r="AW80" s="91">
        <f t="shared" si="834"/>
        <v>0</v>
      </c>
      <c r="AX80" s="91">
        <f t="shared" si="835"/>
        <v>0</v>
      </c>
      <c r="BM80" s="91">
        <f t="shared" si="836"/>
        <v>0</v>
      </c>
      <c r="BN80" s="91">
        <f t="shared" si="837"/>
        <v>0</v>
      </c>
      <c r="CC80" s="91">
        <f t="shared" si="838"/>
        <v>0</v>
      </c>
      <c r="CD80" s="91">
        <f t="shared" si="839"/>
        <v>0</v>
      </c>
      <c r="CS80" s="91">
        <f t="shared" si="840"/>
        <v>0</v>
      </c>
      <c r="CT80" s="91">
        <f t="shared" si="841"/>
        <v>0</v>
      </c>
      <c r="DI80" s="91">
        <f t="shared" si="842"/>
        <v>0</v>
      </c>
      <c r="DJ80" s="91">
        <f t="shared" si="843"/>
        <v>0</v>
      </c>
      <c r="DY80" s="91">
        <f t="shared" si="844"/>
        <v>0</v>
      </c>
      <c r="DZ80" s="91">
        <f t="shared" si="845"/>
        <v>0</v>
      </c>
      <c r="EO80" s="91">
        <f t="shared" si="846"/>
        <v>0</v>
      </c>
      <c r="EP80" s="91">
        <f t="shared" si="847"/>
        <v>0</v>
      </c>
      <c r="FE80" s="91">
        <f t="shared" si="848"/>
        <v>0</v>
      </c>
      <c r="FF80" s="91">
        <f t="shared" si="849"/>
        <v>0</v>
      </c>
      <c r="FU80" s="91">
        <f t="shared" si="850"/>
        <v>0</v>
      </c>
      <c r="FV80" s="91">
        <f t="shared" si="851"/>
        <v>0</v>
      </c>
      <c r="GK80" s="91">
        <f t="shared" si="852"/>
        <v>0</v>
      </c>
      <c r="GL80" s="91">
        <f t="shared" si="853"/>
        <v>0</v>
      </c>
      <c r="HA80" s="91">
        <f t="shared" si="854"/>
        <v>0</v>
      </c>
      <c r="HB80" s="91">
        <f t="shared" si="855"/>
        <v>0</v>
      </c>
      <c r="HQ80" s="91">
        <f t="shared" si="856"/>
        <v>0</v>
      </c>
      <c r="HR80" s="91">
        <f t="shared" si="857"/>
        <v>0</v>
      </c>
      <c r="IG80" s="91">
        <f t="shared" si="858"/>
        <v>0</v>
      </c>
      <c r="IH80" s="91">
        <f t="shared" si="859"/>
        <v>0</v>
      </c>
      <c r="IW80" s="91">
        <f t="shared" si="860"/>
        <v>0</v>
      </c>
      <c r="IX80" s="91">
        <f t="shared" si="861"/>
        <v>0</v>
      </c>
      <c r="JM80" s="91">
        <f t="shared" si="862"/>
        <v>0</v>
      </c>
      <c r="JN80" s="91">
        <f t="shared" si="863"/>
        <v>0</v>
      </c>
      <c r="KC80" s="91">
        <f t="shared" si="864"/>
        <v>0</v>
      </c>
      <c r="KD80" s="91">
        <f t="shared" si="865"/>
        <v>0</v>
      </c>
      <c r="KS80" s="91">
        <f t="shared" si="866"/>
        <v>0</v>
      </c>
      <c r="KT80" s="91">
        <f t="shared" si="867"/>
        <v>0</v>
      </c>
      <c r="LI80" s="91">
        <f t="shared" si="868"/>
        <v>0</v>
      </c>
      <c r="LJ80" s="91">
        <f t="shared" si="869"/>
        <v>0</v>
      </c>
      <c r="LY80" s="91">
        <f t="shared" si="870"/>
        <v>0</v>
      </c>
      <c r="LZ80" s="91">
        <f t="shared" si="871"/>
        <v>0</v>
      </c>
      <c r="MO80" s="91">
        <f t="shared" si="872"/>
        <v>0</v>
      </c>
      <c r="MP80" s="91">
        <f t="shared" si="873"/>
        <v>0</v>
      </c>
      <c r="NE80" s="91">
        <f t="shared" si="874"/>
        <v>0</v>
      </c>
      <c r="NF80" s="91">
        <f t="shared" si="875"/>
        <v>0</v>
      </c>
      <c r="NI80" s="98">
        <v>106600</v>
      </c>
      <c r="NJ80" s="98">
        <v>4264000</v>
      </c>
      <c r="NU80" s="91">
        <f t="shared" si="876"/>
        <v>106600</v>
      </c>
      <c r="NV80" s="91">
        <f t="shared" si="877"/>
        <v>4264000</v>
      </c>
      <c r="OK80" s="91">
        <f t="shared" si="878"/>
        <v>0</v>
      </c>
      <c r="OL80" s="91">
        <f t="shared" si="879"/>
        <v>0</v>
      </c>
      <c r="PA80" s="91">
        <f t="shared" si="880"/>
        <v>0</v>
      </c>
      <c r="PB80" s="91">
        <f t="shared" si="881"/>
        <v>0</v>
      </c>
      <c r="PQ80" s="91">
        <f t="shared" si="882"/>
        <v>0</v>
      </c>
      <c r="PR80" s="91">
        <f t="shared" si="883"/>
        <v>0</v>
      </c>
      <c r="QG80" s="91">
        <f t="shared" si="884"/>
        <v>0</v>
      </c>
      <c r="QH80" s="91">
        <f t="shared" si="885"/>
        <v>0</v>
      </c>
      <c r="QW80" s="91">
        <f t="shared" si="886"/>
        <v>0</v>
      </c>
      <c r="QX80" s="91">
        <f t="shared" si="887"/>
        <v>0</v>
      </c>
      <c r="RM80" s="91">
        <f t="shared" si="888"/>
        <v>0</v>
      </c>
      <c r="RN80" s="91">
        <f t="shared" si="889"/>
        <v>0</v>
      </c>
      <c r="SC80" s="91">
        <f t="shared" si="890"/>
        <v>0</v>
      </c>
      <c r="SD80" s="91">
        <f t="shared" si="891"/>
        <v>0</v>
      </c>
      <c r="SS80" s="91">
        <f t="shared" si="892"/>
        <v>0</v>
      </c>
      <c r="ST80" s="91">
        <f t="shared" si="893"/>
        <v>0</v>
      </c>
      <c r="TI80" s="91">
        <f t="shared" si="894"/>
        <v>0</v>
      </c>
      <c r="TJ80" s="91">
        <f t="shared" si="895"/>
        <v>0</v>
      </c>
      <c r="TY80" s="91">
        <f t="shared" si="896"/>
        <v>0</v>
      </c>
      <c r="TZ80" s="91">
        <f t="shared" si="897"/>
        <v>0</v>
      </c>
      <c r="UO80" s="91">
        <f t="shared" si="898"/>
        <v>0</v>
      </c>
      <c r="UP80" s="91">
        <f t="shared" si="899"/>
        <v>0</v>
      </c>
      <c r="VE80" s="91">
        <f t="shared" si="900"/>
        <v>0</v>
      </c>
      <c r="VF80" s="91">
        <f t="shared" si="901"/>
        <v>0</v>
      </c>
      <c r="VU80" s="91">
        <f t="shared" si="902"/>
        <v>0</v>
      </c>
      <c r="VV80" s="91">
        <f t="shared" si="903"/>
        <v>0</v>
      </c>
      <c r="WK80" s="91">
        <f t="shared" si="904"/>
        <v>0</v>
      </c>
      <c r="WL80" s="91">
        <f t="shared" si="905"/>
        <v>0</v>
      </c>
      <c r="WM80" s="89"/>
      <c r="WN80" s="87">
        <f t="shared" ref="WN80:WN88" si="981">SUMIF($C$5:$WL$5,$WN$5,C80:WL80)</f>
        <v>0</v>
      </c>
      <c r="WO80" s="87">
        <f t="shared" ref="WO80:WO88" si="982">SUMIF($C$5:$WL$5,$WO$5,C80:WL80)</f>
        <v>0</v>
      </c>
      <c r="WP80" s="87">
        <f t="shared" ref="WP80:WP88" si="983">SUMIF($C$5:$WL$5,$WP$5,C80:WL80)</f>
        <v>106600</v>
      </c>
      <c r="WQ80" s="87">
        <f t="shared" ref="WQ80:WQ88" si="984">SUMIF($C$5:$WL$5,$WQ$5,C80:WL80)</f>
        <v>4264000</v>
      </c>
      <c r="WR80" s="87">
        <f t="shared" ref="WR80:WR88" si="985">SUMIF($C$5:$WL$5,$WR$5,C80:WL80)</f>
        <v>0</v>
      </c>
      <c r="WS80" s="87">
        <f t="shared" ref="WS80:WS88" si="986">SUMIF($C$5:$WL$5,$WS$5,C80:WL80)</f>
        <v>0</v>
      </c>
      <c r="WT80" s="87">
        <f t="shared" ref="WT80:WT88" si="987">SUMIF($C$5:$WL$5,$WT$5,C80:WL80)</f>
        <v>0</v>
      </c>
      <c r="WU80" s="87">
        <f t="shared" ref="WU80:WU88" si="988">SUMIF($C$5:$WL$5,$WU$5,C80:WL80)</f>
        <v>0</v>
      </c>
      <c r="WV80" s="87">
        <f t="shared" ref="WV80:WV88" si="989">SUMIF($C$5:$WL$5,$WV$5,C80:WL80)</f>
        <v>0</v>
      </c>
      <c r="WW80" s="87">
        <f t="shared" ref="WW80:WW88" si="990">SUMIF($C$5:$WL$5,$WW$5,C80:WL80)</f>
        <v>0</v>
      </c>
      <c r="WX80" s="87">
        <f t="shared" ref="WX80:WX88" si="991">SUMIF($C$5:$WL$5,$WX$5,C80:WL80)</f>
        <v>0</v>
      </c>
      <c r="WY80" s="87">
        <f t="shared" ref="WY80:WY88" si="992">SUMIF($C$5:$WL$5,$WY$5,C80:WL80)</f>
        <v>0</v>
      </c>
      <c r="WZ80" s="87">
        <f t="shared" si="968"/>
        <v>0</v>
      </c>
      <c r="XA80" s="87">
        <f t="shared" si="969"/>
        <v>0</v>
      </c>
      <c r="XB80" s="92">
        <f t="shared" ref="XB80:XB88" si="993">SUMIF($WN$12:$XA$12,$XB$12,WN80:XA80)</f>
        <v>106600</v>
      </c>
      <c r="XC80" s="92">
        <f t="shared" ref="XC80:XC88" si="994">SUMIF($WN$12:$XA$12,$XC$12,WN80:XA80)</f>
        <v>4264000</v>
      </c>
      <c r="XD80" s="89"/>
      <c r="XE80" s="92">
        <f t="shared" ref="XE80:XF80" si="995">SUM(XB156,XB194,XB232)</f>
        <v>518000</v>
      </c>
      <c r="XF80" s="92">
        <f t="shared" si="995"/>
        <v>20720000</v>
      </c>
      <c r="XG80" s="89"/>
      <c r="XH80" s="92">
        <f t="shared" ref="XH80:XI80" si="996">SUM(XE118,XE156)</f>
        <v>832401</v>
      </c>
      <c r="XI80" s="92">
        <f t="shared" si="996"/>
        <v>33296040</v>
      </c>
      <c r="XJ80" s="89"/>
      <c r="XK80" s="87"/>
      <c r="XL80" s="87"/>
      <c r="XM80" s="87"/>
      <c r="XN80" s="87"/>
      <c r="XO80" s="87"/>
      <c r="XP80" s="87"/>
      <c r="XQ80" s="87"/>
      <c r="XR80" s="92">
        <f t="shared" ca="1" si="922"/>
        <v>0</v>
      </c>
      <c r="XS80" s="89"/>
      <c r="XT80" s="87"/>
      <c r="XU80" s="87"/>
      <c r="XV80" s="87"/>
      <c r="XW80" s="87"/>
      <c r="XX80" s="87"/>
      <c r="XY80" s="87"/>
      <c r="XZ80" s="87"/>
      <c r="YA80" s="92">
        <f t="shared" ca="1" si="923"/>
        <v>0</v>
      </c>
      <c r="YB80" s="90"/>
      <c r="YC80" s="90"/>
      <c r="YD80" s="90"/>
      <c r="YE80" s="90"/>
      <c r="YF80" s="90"/>
      <c r="YG80" s="90"/>
      <c r="YH80" s="90"/>
      <c r="YI80" s="90"/>
      <c r="YJ80" s="90"/>
      <c r="YK80" s="90"/>
      <c r="YL80" s="90"/>
      <c r="YM80" s="90"/>
      <c r="YN80" s="90"/>
      <c r="YO80" s="90"/>
      <c r="YP80" s="90"/>
      <c r="YQ80" s="90"/>
      <c r="YR80" s="90"/>
      <c r="YS80" s="90"/>
      <c r="YT80" s="90"/>
      <c r="YU80" s="90"/>
      <c r="YV80" s="90"/>
      <c r="YW80" s="90"/>
      <c r="YX80" s="90"/>
      <c r="YY80" s="90"/>
      <c r="YZ80" s="90"/>
      <c r="ZA80" s="90"/>
      <c r="ZB80" s="90"/>
      <c r="ZC80" s="90"/>
      <c r="ZD80" s="90"/>
      <c r="ZE80" s="90"/>
      <c r="ZF80" s="90"/>
      <c r="ZG80" s="90"/>
      <c r="ZH80" s="90"/>
      <c r="ZI80" s="90"/>
      <c r="ZJ80" s="90"/>
      <c r="ZK80" s="90"/>
      <c r="ZL80" s="90"/>
      <c r="ZM80" s="90"/>
      <c r="ZN80" s="90"/>
      <c r="ZO80" s="90"/>
      <c r="ZP80" s="90"/>
      <c r="ZQ80" s="90"/>
      <c r="ZR80" s="90"/>
      <c r="ZS80" s="90"/>
      <c r="ZT80" s="90"/>
      <c r="ZU80" s="90"/>
      <c r="ZV80" s="90"/>
      <c r="ZW80" s="90"/>
      <c r="ZX80" s="90"/>
      <c r="ZY80" s="90"/>
      <c r="ZZ80" s="90"/>
      <c r="AAA80" s="90"/>
      <c r="AAB80" s="90"/>
      <c r="AAC80" s="90"/>
      <c r="AAD80" s="90"/>
      <c r="AAE80" s="90"/>
      <c r="AAF80" s="90"/>
      <c r="AAG80" s="90"/>
      <c r="AAH80" s="90"/>
      <c r="AAI80" s="90"/>
      <c r="AAJ80" s="90"/>
      <c r="AAK80" s="90"/>
      <c r="AAL80" s="90"/>
      <c r="AAM80" s="90"/>
      <c r="AAN80" s="90"/>
      <c r="AAO80" s="90"/>
      <c r="AAP80" s="90"/>
      <c r="AAQ80" s="90"/>
      <c r="AAR80" s="90"/>
      <c r="AAS80" s="90"/>
      <c r="AAT80" s="90"/>
      <c r="AAU80" s="90"/>
      <c r="AAV80" s="90"/>
      <c r="AAW80" s="90"/>
      <c r="AAX80" s="90"/>
      <c r="AAY80" s="90"/>
      <c r="AAZ80" s="90"/>
      <c r="ABA80" s="90"/>
      <c r="ABB80" s="90"/>
      <c r="ABC80" s="90"/>
      <c r="ABD80" s="90"/>
      <c r="ABE80" s="90"/>
      <c r="ABF80" s="90"/>
      <c r="ABG80" s="90"/>
      <c r="ABH80" s="90"/>
      <c r="ABI80" s="90"/>
      <c r="ABJ80" s="90"/>
      <c r="ABK80" s="90"/>
      <c r="ABL80" s="90"/>
      <c r="ABM80" s="90"/>
      <c r="ABN80" s="90"/>
      <c r="ABO80" s="90"/>
      <c r="ABP80" s="90"/>
      <c r="ABQ80" s="90"/>
      <c r="ABR80" s="90"/>
      <c r="ABS80" s="90"/>
      <c r="ABT80" s="90"/>
      <c r="ABU80" s="90"/>
      <c r="ABV80" s="90"/>
      <c r="ABW80" s="90"/>
      <c r="ABX80" s="90"/>
      <c r="ABY80" s="90"/>
      <c r="ABZ80" s="90"/>
      <c r="ACA80" s="90"/>
      <c r="ACB80" s="90"/>
      <c r="ACC80" s="90"/>
      <c r="ACD80" s="90"/>
      <c r="ACE80" s="90"/>
      <c r="ACF80" s="90"/>
      <c r="ACG80" s="90"/>
      <c r="ACH80" s="90"/>
      <c r="ACI80" s="90"/>
      <c r="ACJ80" s="90"/>
      <c r="ACK80" s="90"/>
      <c r="ACL80" s="90"/>
      <c r="ACM80" s="90"/>
      <c r="ACN80" s="90"/>
      <c r="ACO80" s="90"/>
      <c r="ACP80" s="90"/>
      <c r="ACQ80" s="90"/>
      <c r="ACR80" s="90"/>
      <c r="ACS80" s="90"/>
      <c r="ACT80" s="90"/>
      <c r="ACU80" s="90"/>
      <c r="ACV80" s="90"/>
      <c r="ACW80" s="90"/>
      <c r="ACX80" s="90"/>
      <c r="ACY80" s="90"/>
      <c r="ACZ80" s="90"/>
      <c r="ADA80" s="90"/>
      <c r="ADB80" s="90"/>
      <c r="ADC80" s="90"/>
      <c r="ADD80" s="90"/>
      <c r="ADE80" s="90"/>
      <c r="ADF80" s="90"/>
      <c r="ADG80" s="90"/>
      <c r="ADH80" s="90"/>
      <c r="ADI80" s="90"/>
      <c r="ADJ80" s="90"/>
      <c r="ADK80" s="90"/>
      <c r="ADL80" s="90"/>
      <c r="ADM80" s="90"/>
      <c r="ADN80" s="90"/>
      <c r="ADO80" s="90"/>
      <c r="ADP80" s="90"/>
      <c r="ADQ80" s="90"/>
      <c r="ADR80" s="90"/>
      <c r="ADS80" s="90"/>
      <c r="ADT80" s="90"/>
      <c r="ADU80" s="90"/>
      <c r="ADV80" s="90"/>
      <c r="ADW80" s="90"/>
      <c r="ADX80" s="90"/>
      <c r="ADY80" s="90"/>
      <c r="ADZ80" s="90"/>
      <c r="AEA80" s="90"/>
      <c r="AEB80" s="90"/>
      <c r="AEC80" s="90"/>
      <c r="AED80" s="90"/>
      <c r="AEE80" s="90"/>
      <c r="AEF80" s="90"/>
      <c r="AEG80" s="90"/>
      <c r="AEH80" s="90"/>
      <c r="AEI80" s="90"/>
      <c r="AEJ80" s="90"/>
      <c r="AEK80" s="90"/>
      <c r="AEL80" s="90"/>
      <c r="AEM80" s="90"/>
      <c r="AEN80" s="90"/>
      <c r="AEO80" s="90"/>
      <c r="AEP80" s="90"/>
      <c r="AEQ80" s="90"/>
      <c r="AER80" s="90"/>
      <c r="AES80" s="90"/>
      <c r="AET80" s="90"/>
      <c r="AEU80" s="90"/>
      <c r="AEV80" s="90"/>
      <c r="AEW80" s="90"/>
      <c r="AEX80" s="90"/>
      <c r="AEY80" s="90"/>
      <c r="AEZ80" s="90"/>
      <c r="AFA80" s="90"/>
      <c r="AFB80" s="90"/>
      <c r="AFC80" s="90"/>
      <c r="AFD80" s="90"/>
      <c r="AFE80" s="90"/>
      <c r="AFF80" s="90"/>
      <c r="AFG80" s="90"/>
      <c r="AFH80" s="90"/>
      <c r="AFI80" s="90"/>
      <c r="AFJ80" s="90"/>
      <c r="AFK80" s="90"/>
      <c r="AFL80" s="90"/>
      <c r="AFM80" s="90"/>
      <c r="AFN80" s="90"/>
      <c r="AFO80" s="90"/>
      <c r="AFP80" s="90"/>
      <c r="AFQ80" s="90"/>
      <c r="AFR80" s="90"/>
      <c r="AFS80" s="90"/>
      <c r="AFT80" s="90"/>
      <c r="AFU80" s="90"/>
      <c r="AFV80" s="90"/>
      <c r="AFW80" s="90"/>
      <c r="AFX80" s="90"/>
      <c r="AFY80" s="90"/>
      <c r="AFZ80" s="90"/>
      <c r="AGA80" s="90"/>
      <c r="AGB80" s="90"/>
      <c r="AGC80" s="90"/>
      <c r="AGD80" s="90"/>
      <c r="AGE80" s="90"/>
      <c r="AGF80" s="90"/>
      <c r="AGG80" s="90"/>
      <c r="AGH80" s="90"/>
      <c r="AGI80" s="90"/>
      <c r="AGJ80" s="90"/>
      <c r="AGK80" s="90"/>
      <c r="AGL80" s="90"/>
      <c r="AGM80" s="90"/>
      <c r="AGN80" s="90"/>
      <c r="AGO80" s="90"/>
      <c r="AGP80" s="90"/>
      <c r="AGQ80" s="90"/>
      <c r="AGR80" s="90"/>
      <c r="AGS80" s="90"/>
      <c r="AGT80" s="90"/>
      <c r="AGU80" s="90"/>
      <c r="AGV80" s="90"/>
      <c r="AGW80" s="90"/>
      <c r="AGX80" s="90"/>
      <c r="AGY80" s="90"/>
      <c r="AGZ80" s="90"/>
      <c r="AHA80" s="90"/>
      <c r="AHB80" s="90"/>
      <c r="AHC80" s="90"/>
      <c r="AHD80" s="90"/>
      <c r="AHE80" s="90"/>
      <c r="AHF80" s="90"/>
      <c r="AHG80" s="90"/>
      <c r="AHH80" s="90"/>
      <c r="AHI80" s="90"/>
      <c r="AHJ80" s="90"/>
      <c r="AHK80" s="90"/>
      <c r="AHL80" s="90"/>
      <c r="AHM80" s="90"/>
      <c r="AHN80" s="90"/>
      <c r="AHO80" s="90"/>
      <c r="AHP80" s="90"/>
      <c r="AHQ80" s="90"/>
      <c r="AHR80" s="90"/>
      <c r="AHS80" s="90"/>
      <c r="AHT80" s="90"/>
      <c r="AHU80" s="90"/>
      <c r="AHV80" s="90"/>
      <c r="AHW80" s="90"/>
      <c r="AHX80" s="90"/>
      <c r="AHY80" s="90"/>
      <c r="AHZ80" s="90"/>
      <c r="AIA80" s="90"/>
      <c r="AIB80" s="90"/>
      <c r="AIC80" s="90"/>
      <c r="AID80" s="90"/>
      <c r="AIE80" s="90"/>
      <c r="AIF80" s="90"/>
      <c r="AIG80" s="90"/>
      <c r="AIH80" s="90"/>
      <c r="AII80" s="90"/>
      <c r="AIJ80" s="90"/>
      <c r="AIK80" s="90"/>
      <c r="AIL80" s="90"/>
      <c r="AIM80" s="90"/>
      <c r="AIN80" s="90"/>
      <c r="AIO80" s="90"/>
      <c r="AIP80" s="90"/>
      <c r="AIQ80" s="90"/>
      <c r="AIR80" s="90"/>
      <c r="AIS80" s="90"/>
      <c r="AIT80" s="90"/>
      <c r="AIU80" s="90"/>
      <c r="AIV80" s="90"/>
      <c r="AIW80" s="90"/>
      <c r="AIX80" s="90"/>
      <c r="AIY80" s="90"/>
      <c r="AIZ80" s="90"/>
      <c r="AJA80" s="90"/>
      <c r="AJB80" s="90"/>
      <c r="AJC80" s="90"/>
      <c r="AJD80" s="90"/>
      <c r="AJE80" s="90"/>
      <c r="AJF80" s="90"/>
      <c r="AJG80" s="90"/>
      <c r="AJH80" s="90"/>
      <c r="AJI80" s="90"/>
      <c r="AJJ80" s="90"/>
      <c r="AJK80" s="90"/>
      <c r="AJL80" s="90"/>
      <c r="AJM80" s="90"/>
      <c r="AJN80" s="90"/>
      <c r="AJO80" s="90"/>
      <c r="AJP80" s="90"/>
      <c r="AJQ80" s="90"/>
      <c r="AJR80" s="90"/>
      <c r="AJS80" s="90"/>
      <c r="AJT80" s="90"/>
      <c r="AJU80" s="90"/>
      <c r="AJV80" s="90"/>
      <c r="AJW80" s="90"/>
      <c r="AJX80" s="90"/>
      <c r="AJY80" s="90"/>
      <c r="AJZ80" s="90"/>
      <c r="AKA80" s="90"/>
      <c r="AKB80" s="90"/>
      <c r="AKC80" s="90"/>
      <c r="AKD80" s="90"/>
      <c r="AKE80" s="90"/>
      <c r="AKF80" s="90"/>
      <c r="AKG80" s="90"/>
      <c r="AKH80" s="90"/>
      <c r="AKI80" s="90"/>
      <c r="AKJ80" s="90"/>
      <c r="AKK80" s="90"/>
      <c r="AKL80" s="90"/>
      <c r="AKM80" s="90"/>
      <c r="AKN80" s="90"/>
      <c r="AKO80" s="90"/>
      <c r="AKP80" s="90"/>
      <c r="AKQ80" s="90"/>
      <c r="AKR80" s="90"/>
      <c r="AKS80" s="90"/>
      <c r="AKT80" s="90"/>
      <c r="AKU80" s="90"/>
      <c r="AKV80" s="90"/>
      <c r="AKW80" s="90"/>
      <c r="AKX80" s="90"/>
      <c r="AKY80" s="90"/>
      <c r="AKZ80" s="90"/>
      <c r="ALA80" s="90"/>
      <c r="ALB80" s="90"/>
      <c r="ALC80" s="90"/>
      <c r="ALD80" s="90"/>
      <c r="ALE80" s="90"/>
      <c r="ALF80" s="90"/>
      <c r="ALG80" s="90"/>
      <c r="ALH80" s="90"/>
      <c r="ALI80" s="90"/>
      <c r="ALJ80" s="90"/>
      <c r="ALK80" s="90"/>
      <c r="ALL80" s="90"/>
      <c r="ALM80" s="90"/>
      <c r="ALN80" s="90"/>
      <c r="ALO80" s="90"/>
      <c r="ALP80" s="90"/>
      <c r="ALQ80" s="90"/>
      <c r="ALR80" s="90"/>
      <c r="ALS80" s="90"/>
      <c r="ALT80" s="90"/>
      <c r="ALU80" s="90"/>
      <c r="ALV80" s="90"/>
      <c r="ALW80" s="90"/>
      <c r="ALX80" s="90"/>
      <c r="ALY80" s="90"/>
      <c r="ALZ80" s="90"/>
      <c r="AMA80" s="90"/>
      <c r="AMB80" s="90"/>
      <c r="AMC80" s="90"/>
    </row>
    <row r="81" spans="1:1017">
      <c r="A81" s="98" t="s">
        <v>26</v>
      </c>
      <c r="B81" s="648" t="str">
        <f t="shared" si="978"/>
        <v xml:space="preserve">Belut Sawah </v>
      </c>
      <c r="Q81" s="91">
        <f t="shared" si="830"/>
        <v>0</v>
      </c>
      <c r="R81" s="91">
        <f t="shared" si="831"/>
        <v>0</v>
      </c>
      <c r="AG81" s="91">
        <f t="shared" si="832"/>
        <v>0</v>
      </c>
      <c r="AH81" s="91">
        <f t="shared" si="833"/>
        <v>0</v>
      </c>
      <c r="AW81" s="91">
        <f t="shared" si="834"/>
        <v>0</v>
      </c>
      <c r="AX81" s="91">
        <f t="shared" si="835"/>
        <v>0</v>
      </c>
      <c r="BM81" s="91">
        <f t="shared" si="836"/>
        <v>0</v>
      </c>
      <c r="BN81" s="91">
        <f t="shared" si="837"/>
        <v>0</v>
      </c>
      <c r="CC81" s="91">
        <f t="shared" si="838"/>
        <v>0</v>
      </c>
      <c r="CD81" s="91">
        <f t="shared" si="839"/>
        <v>0</v>
      </c>
      <c r="CS81" s="91">
        <f t="shared" si="840"/>
        <v>0</v>
      </c>
      <c r="CT81" s="91">
        <f t="shared" si="841"/>
        <v>0</v>
      </c>
      <c r="DI81" s="91">
        <f t="shared" si="842"/>
        <v>0</v>
      </c>
      <c r="DJ81" s="91">
        <f t="shared" si="843"/>
        <v>0</v>
      </c>
      <c r="DY81" s="91">
        <f t="shared" si="844"/>
        <v>0</v>
      </c>
      <c r="DZ81" s="91">
        <f t="shared" si="845"/>
        <v>0</v>
      </c>
      <c r="EO81" s="91">
        <f t="shared" si="846"/>
        <v>0</v>
      </c>
      <c r="EP81" s="91">
        <f t="shared" si="847"/>
        <v>0</v>
      </c>
      <c r="FE81" s="91">
        <f t="shared" si="848"/>
        <v>0</v>
      </c>
      <c r="FF81" s="91">
        <f t="shared" si="849"/>
        <v>0</v>
      </c>
      <c r="FU81" s="91">
        <f t="shared" si="850"/>
        <v>0</v>
      </c>
      <c r="FV81" s="91">
        <f t="shared" si="851"/>
        <v>0</v>
      </c>
      <c r="GK81" s="91">
        <f t="shared" si="852"/>
        <v>0</v>
      </c>
      <c r="GL81" s="91">
        <f t="shared" si="853"/>
        <v>0</v>
      </c>
      <c r="HA81" s="91">
        <f t="shared" si="854"/>
        <v>0</v>
      </c>
      <c r="HB81" s="91">
        <f t="shared" si="855"/>
        <v>0</v>
      </c>
      <c r="HQ81" s="91">
        <f t="shared" si="856"/>
        <v>0</v>
      </c>
      <c r="HR81" s="91">
        <f t="shared" si="857"/>
        <v>0</v>
      </c>
      <c r="IG81" s="91">
        <f t="shared" si="858"/>
        <v>0</v>
      </c>
      <c r="IH81" s="91">
        <f t="shared" si="859"/>
        <v>0</v>
      </c>
      <c r="IW81" s="91">
        <f t="shared" si="860"/>
        <v>0</v>
      </c>
      <c r="IX81" s="91">
        <f t="shared" si="861"/>
        <v>0</v>
      </c>
      <c r="JM81" s="91">
        <f t="shared" si="862"/>
        <v>0</v>
      </c>
      <c r="JN81" s="91">
        <f t="shared" si="863"/>
        <v>0</v>
      </c>
      <c r="KC81" s="91">
        <f t="shared" si="864"/>
        <v>0</v>
      </c>
      <c r="KD81" s="91">
        <f t="shared" si="865"/>
        <v>0</v>
      </c>
      <c r="KS81" s="91">
        <f t="shared" si="866"/>
        <v>0</v>
      </c>
      <c r="KT81" s="91">
        <f t="shared" si="867"/>
        <v>0</v>
      </c>
      <c r="LI81" s="91">
        <f t="shared" si="868"/>
        <v>0</v>
      </c>
      <c r="LJ81" s="91">
        <f t="shared" si="869"/>
        <v>0</v>
      </c>
      <c r="LY81" s="91">
        <f t="shared" si="870"/>
        <v>0</v>
      </c>
      <c r="LZ81" s="91">
        <f t="shared" si="871"/>
        <v>0</v>
      </c>
      <c r="MO81" s="91">
        <f t="shared" si="872"/>
        <v>0</v>
      </c>
      <c r="MP81" s="91">
        <f t="shared" si="873"/>
        <v>0</v>
      </c>
      <c r="NE81" s="91">
        <f t="shared" si="874"/>
        <v>0</v>
      </c>
      <c r="NF81" s="91">
        <f t="shared" si="875"/>
        <v>0</v>
      </c>
      <c r="NU81" s="91">
        <f t="shared" si="876"/>
        <v>0</v>
      </c>
      <c r="NV81" s="91">
        <f t="shared" si="877"/>
        <v>0</v>
      </c>
      <c r="OK81" s="91">
        <f t="shared" si="878"/>
        <v>0</v>
      </c>
      <c r="OL81" s="91">
        <f t="shared" si="879"/>
        <v>0</v>
      </c>
      <c r="PA81" s="91">
        <f t="shared" si="880"/>
        <v>0</v>
      </c>
      <c r="PB81" s="91">
        <f t="shared" si="881"/>
        <v>0</v>
      </c>
      <c r="PQ81" s="91">
        <f t="shared" si="882"/>
        <v>0</v>
      </c>
      <c r="PR81" s="91">
        <f t="shared" si="883"/>
        <v>0</v>
      </c>
      <c r="QG81" s="91">
        <f t="shared" si="884"/>
        <v>0</v>
      </c>
      <c r="QH81" s="91">
        <f t="shared" si="885"/>
        <v>0</v>
      </c>
      <c r="QW81" s="91">
        <f t="shared" si="886"/>
        <v>0</v>
      </c>
      <c r="QX81" s="91">
        <f t="shared" si="887"/>
        <v>0</v>
      </c>
      <c r="RM81" s="91">
        <f t="shared" si="888"/>
        <v>0</v>
      </c>
      <c r="RN81" s="91">
        <f t="shared" si="889"/>
        <v>0</v>
      </c>
      <c r="SC81" s="91">
        <f t="shared" si="890"/>
        <v>0</v>
      </c>
      <c r="SD81" s="91">
        <f t="shared" si="891"/>
        <v>0</v>
      </c>
      <c r="SS81" s="91">
        <f t="shared" si="892"/>
        <v>0</v>
      </c>
      <c r="ST81" s="91">
        <f t="shared" si="893"/>
        <v>0</v>
      </c>
      <c r="TI81" s="91">
        <f t="shared" si="894"/>
        <v>0</v>
      </c>
      <c r="TJ81" s="91">
        <f t="shared" si="895"/>
        <v>0</v>
      </c>
      <c r="TY81" s="91">
        <f t="shared" si="896"/>
        <v>0</v>
      </c>
      <c r="TZ81" s="91">
        <f t="shared" si="897"/>
        <v>0</v>
      </c>
      <c r="UO81" s="91">
        <f t="shared" si="898"/>
        <v>0</v>
      </c>
      <c r="UP81" s="91">
        <f t="shared" si="899"/>
        <v>0</v>
      </c>
      <c r="VE81" s="91">
        <f t="shared" si="900"/>
        <v>0</v>
      </c>
      <c r="VF81" s="91">
        <f t="shared" si="901"/>
        <v>0</v>
      </c>
      <c r="VU81" s="91">
        <f t="shared" si="902"/>
        <v>0</v>
      </c>
      <c r="VV81" s="91">
        <f t="shared" si="903"/>
        <v>0</v>
      </c>
      <c r="WK81" s="91">
        <f t="shared" si="904"/>
        <v>0</v>
      </c>
      <c r="WL81" s="91">
        <f t="shared" si="905"/>
        <v>0</v>
      </c>
      <c r="WM81" s="89"/>
      <c r="WN81" s="87">
        <f t="shared" si="981"/>
        <v>0</v>
      </c>
      <c r="WO81" s="87">
        <f t="shared" si="982"/>
        <v>0</v>
      </c>
      <c r="WP81" s="87">
        <f t="shared" si="983"/>
        <v>0</v>
      </c>
      <c r="WQ81" s="87">
        <f t="shared" si="984"/>
        <v>0</v>
      </c>
      <c r="WR81" s="87">
        <f t="shared" si="985"/>
        <v>0</v>
      </c>
      <c r="WS81" s="87">
        <f t="shared" si="986"/>
        <v>0</v>
      </c>
      <c r="WT81" s="87">
        <f t="shared" si="987"/>
        <v>0</v>
      </c>
      <c r="WU81" s="87">
        <f t="shared" si="988"/>
        <v>0</v>
      </c>
      <c r="WV81" s="87">
        <f t="shared" si="989"/>
        <v>0</v>
      </c>
      <c r="WW81" s="87">
        <f t="shared" si="990"/>
        <v>0</v>
      </c>
      <c r="WX81" s="87">
        <f t="shared" si="991"/>
        <v>0</v>
      </c>
      <c r="WY81" s="87">
        <f t="shared" si="992"/>
        <v>0</v>
      </c>
      <c r="WZ81" s="87">
        <f t="shared" si="968"/>
        <v>0</v>
      </c>
      <c r="XA81" s="87">
        <f t="shared" si="969"/>
        <v>0</v>
      </c>
      <c r="XB81" s="92">
        <f t="shared" si="993"/>
        <v>0</v>
      </c>
      <c r="XC81" s="92">
        <f t="shared" si="994"/>
        <v>0</v>
      </c>
      <c r="XD81" s="89"/>
      <c r="XE81" s="92">
        <f t="shared" ref="XE81:XF81" si="997">SUM(XB157,XB195,XB233)</f>
        <v>0</v>
      </c>
      <c r="XF81" s="92">
        <f t="shared" si="997"/>
        <v>0</v>
      </c>
      <c r="XG81" s="89"/>
      <c r="XH81" s="92">
        <f t="shared" ref="XH81:XI81" si="998">SUM(XE119,XE157)</f>
        <v>260</v>
      </c>
      <c r="XI81" s="92">
        <f t="shared" si="998"/>
        <v>19500</v>
      </c>
      <c r="XJ81" s="89"/>
      <c r="XK81" s="87"/>
      <c r="XL81" s="87"/>
      <c r="XM81" s="87"/>
      <c r="XN81" s="87"/>
      <c r="XO81" s="87"/>
      <c r="XP81" s="87"/>
      <c r="XQ81" s="87"/>
      <c r="XR81" s="92">
        <f t="shared" ca="1" si="922"/>
        <v>0</v>
      </c>
      <c r="XS81" s="89"/>
      <c r="XT81" s="87"/>
      <c r="XU81" s="87"/>
      <c r="XV81" s="87"/>
      <c r="XW81" s="87"/>
      <c r="XX81" s="87"/>
      <c r="XY81" s="87"/>
      <c r="XZ81" s="87"/>
      <c r="YA81" s="92">
        <f t="shared" ca="1" si="923"/>
        <v>0</v>
      </c>
      <c r="YB81" s="90"/>
      <c r="YC81" s="90"/>
      <c r="YD81" s="90"/>
      <c r="YE81" s="90"/>
      <c r="YF81" s="90"/>
      <c r="YG81" s="90"/>
      <c r="YH81" s="90"/>
      <c r="YI81" s="90"/>
      <c r="YJ81" s="90"/>
      <c r="YK81" s="90"/>
      <c r="YL81" s="90"/>
      <c r="YM81" s="90"/>
      <c r="YN81" s="90"/>
      <c r="YO81" s="90"/>
      <c r="YP81" s="90"/>
      <c r="YQ81" s="90"/>
      <c r="YR81" s="90"/>
      <c r="YS81" s="90"/>
      <c r="YT81" s="90"/>
      <c r="YU81" s="90"/>
      <c r="YV81" s="90"/>
      <c r="YW81" s="90"/>
      <c r="YX81" s="90"/>
      <c r="YY81" s="90"/>
      <c r="YZ81" s="90"/>
      <c r="ZA81" s="90"/>
      <c r="ZB81" s="90"/>
      <c r="ZC81" s="90"/>
      <c r="ZD81" s="90"/>
      <c r="ZE81" s="90"/>
      <c r="ZF81" s="90"/>
      <c r="ZG81" s="90"/>
      <c r="ZH81" s="90"/>
      <c r="ZI81" s="90"/>
      <c r="ZJ81" s="90"/>
      <c r="ZK81" s="90"/>
      <c r="ZL81" s="90"/>
      <c r="ZM81" s="90"/>
      <c r="ZN81" s="90"/>
      <c r="ZO81" s="90"/>
      <c r="ZP81" s="90"/>
      <c r="ZQ81" s="90"/>
      <c r="ZR81" s="90"/>
      <c r="ZS81" s="90"/>
      <c r="ZT81" s="90"/>
      <c r="ZU81" s="90"/>
      <c r="ZV81" s="90"/>
      <c r="ZW81" s="90"/>
      <c r="ZX81" s="90"/>
      <c r="ZY81" s="90"/>
      <c r="ZZ81" s="90"/>
      <c r="AAA81" s="90"/>
      <c r="AAB81" s="90"/>
      <c r="AAC81" s="90"/>
      <c r="AAD81" s="90"/>
      <c r="AAE81" s="90"/>
      <c r="AAF81" s="90"/>
      <c r="AAG81" s="90"/>
      <c r="AAH81" s="90"/>
      <c r="AAI81" s="90"/>
      <c r="AAJ81" s="90"/>
      <c r="AAK81" s="90"/>
      <c r="AAL81" s="90"/>
      <c r="AAM81" s="90"/>
      <c r="AAN81" s="90"/>
      <c r="AAO81" s="90"/>
      <c r="AAP81" s="90"/>
      <c r="AAQ81" s="90"/>
      <c r="AAR81" s="90"/>
      <c r="AAS81" s="90"/>
      <c r="AAT81" s="90"/>
      <c r="AAU81" s="90"/>
      <c r="AAV81" s="90"/>
      <c r="AAW81" s="90"/>
      <c r="AAX81" s="90"/>
      <c r="AAY81" s="90"/>
      <c r="AAZ81" s="90"/>
      <c r="ABA81" s="90"/>
      <c r="ABB81" s="90"/>
      <c r="ABC81" s="90"/>
      <c r="ABD81" s="90"/>
      <c r="ABE81" s="90"/>
      <c r="ABF81" s="90"/>
      <c r="ABG81" s="90"/>
      <c r="ABH81" s="90"/>
      <c r="ABI81" s="90"/>
      <c r="ABJ81" s="90"/>
      <c r="ABK81" s="90"/>
      <c r="ABL81" s="90"/>
      <c r="ABM81" s="90"/>
      <c r="ABN81" s="90"/>
      <c r="ABO81" s="90"/>
      <c r="ABP81" s="90"/>
      <c r="ABQ81" s="90"/>
      <c r="ABR81" s="90"/>
      <c r="ABS81" s="90"/>
      <c r="ABT81" s="90"/>
      <c r="ABU81" s="90"/>
      <c r="ABV81" s="90"/>
      <c r="ABW81" s="90"/>
      <c r="ABX81" s="90"/>
      <c r="ABY81" s="90"/>
      <c r="ABZ81" s="90"/>
      <c r="ACA81" s="90"/>
      <c r="ACB81" s="90"/>
      <c r="ACC81" s="90"/>
      <c r="ACD81" s="90"/>
      <c r="ACE81" s="90"/>
      <c r="ACF81" s="90"/>
      <c r="ACG81" s="90"/>
      <c r="ACH81" s="90"/>
      <c r="ACI81" s="90"/>
      <c r="ACJ81" s="90"/>
      <c r="ACK81" s="90"/>
      <c r="ACL81" s="90"/>
      <c r="ACM81" s="90"/>
      <c r="ACN81" s="90"/>
      <c r="ACO81" s="90"/>
      <c r="ACP81" s="90"/>
      <c r="ACQ81" s="90"/>
      <c r="ACR81" s="90"/>
      <c r="ACS81" s="90"/>
      <c r="ACT81" s="90"/>
      <c r="ACU81" s="90"/>
      <c r="ACV81" s="90"/>
      <c r="ACW81" s="90"/>
      <c r="ACX81" s="90"/>
      <c r="ACY81" s="90"/>
      <c r="ACZ81" s="90"/>
      <c r="ADA81" s="90"/>
      <c r="ADB81" s="90"/>
      <c r="ADC81" s="90"/>
      <c r="ADD81" s="90"/>
      <c r="ADE81" s="90"/>
      <c r="ADF81" s="90"/>
      <c r="ADG81" s="90"/>
      <c r="ADH81" s="90"/>
      <c r="ADI81" s="90"/>
      <c r="ADJ81" s="90"/>
      <c r="ADK81" s="90"/>
      <c r="ADL81" s="90"/>
      <c r="ADM81" s="90"/>
      <c r="ADN81" s="90"/>
      <c r="ADO81" s="90"/>
      <c r="ADP81" s="90"/>
      <c r="ADQ81" s="90"/>
      <c r="ADR81" s="90"/>
      <c r="ADS81" s="90"/>
      <c r="ADT81" s="90"/>
      <c r="ADU81" s="90"/>
      <c r="ADV81" s="90"/>
      <c r="ADW81" s="90"/>
      <c r="ADX81" s="90"/>
      <c r="ADY81" s="90"/>
      <c r="ADZ81" s="90"/>
      <c r="AEA81" s="90"/>
      <c r="AEB81" s="90"/>
      <c r="AEC81" s="90"/>
      <c r="AED81" s="90"/>
      <c r="AEE81" s="90"/>
      <c r="AEF81" s="90"/>
      <c r="AEG81" s="90"/>
      <c r="AEH81" s="90"/>
      <c r="AEI81" s="90"/>
      <c r="AEJ81" s="90"/>
      <c r="AEK81" s="90"/>
      <c r="AEL81" s="90"/>
      <c r="AEM81" s="90"/>
      <c r="AEN81" s="90"/>
      <c r="AEO81" s="90"/>
      <c r="AEP81" s="90"/>
      <c r="AEQ81" s="90"/>
      <c r="AER81" s="90"/>
      <c r="AES81" s="90"/>
      <c r="AET81" s="90"/>
      <c r="AEU81" s="90"/>
      <c r="AEV81" s="90"/>
      <c r="AEW81" s="90"/>
      <c r="AEX81" s="90"/>
      <c r="AEY81" s="90"/>
      <c r="AEZ81" s="90"/>
      <c r="AFA81" s="90"/>
      <c r="AFB81" s="90"/>
      <c r="AFC81" s="90"/>
      <c r="AFD81" s="90"/>
      <c r="AFE81" s="90"/>
      <c r="AFF81" s="90"/>
      <c r="AFG81" s="90"/>
      <c r="AFH81" s="90"/>
      <c r="AFI81" s="90"/>
      <c r="AFJ81" s="90"/>
      <c r="AFK81" s="90"/>
      <c r="AFL81" s="90"/>
      <c r="AFM81" s="90"/>
      <c r="AFN81" s="90"/>
      <c r="AFO81" s="90"/>
      <c r="AFP81" s="90"/>
      <c r="AFQ81" s="90"/>
      <c r="AFR81" s="90"/>
      <c r="AFS81" s="90"/>
      <c r="AFT81" s="90"/>
      <c r="AFU81" s="90"/>
      <c r="AFV81" s="90"/>
      <c r="AFW81" s="90"/>
      <c r="AFX81" s="90"/>
      <c r="AFY81" s="90"/>
      <c r="AFZ81" s="90"/>
      <c r="AGA81" s="90"/>
      <c r="AGB81" s="90"/>
      <c r="AGC81" s="90"/>
      <c r="AGD81" s="90"/>
      <c r="AGE81" s="90"/>
      <c r="AGF81" s="90"/>
      <c r="AGG81" s="90"/>
      <c r="AGH81" s="90"/>
      <c r="AGI81" s="90"/>
      <c r="AGJ81" s="90"/>
      <c r="AGK81" s="90"/>
      <c r="AGL81" s="90"/>
      <c r="AGM81" s="90"/>
      <c r="AGN81" s="90"/>
      <c r="AGO81" s="90"/>
      <c r="AGP81" s="90"/>
      <c r="AGQ81" s="90"/>
      <c r="AGR81" s="90"/>
      <c r="AGS81" s="90"/>
      <c r="AGT81" s="90"/>
      <c r="AGU81" s="90"/>
      <c r="AGV81" s="90"/>
      <c r="AGW81" s="90"/>
      <c r="AGX81" s="90"/>
      <c r="AGY81" s="90"/>
      <c r="AGZ81" s="90"/>
      <c r="AHA81" s="90"/>
      <c r="AHB81" s="90"/>
      <c r="AHC81" s="90"/>
      <c r="AHD81" s="90"/>
      <c r="AHE81" s="90"/>
      <c r="AHF81" s="90"/>
      <c r="AHG81" s="90"/>
      <c r="AHH81" s="90"/>
      <c r="AHI81" s="90"/>
      <c r="AHJ81" s="90"/>
      <c r="AHK81" s="90"/>
      <c r="AHL81" s="90"/>
      <c r="AHM81" s="90"/>
      <c r="AHN81" s="90"/>
      <c r="AHO81" s="90"/>
      <c r="AHP81" s="90"/>
      <c r="AHQ81" s="90"/>
      <c r="AHR81" s="90"/>
      <c r="AHS81" s="90"/>
      <c r="AHT81" s="90"/>
      <c r="AHU81" s="90"/>
      <c r="AHV81" s="90"/>
      <c r="AHW81" s="90"/>
      <c r="AHX81" s="90"/>
      <c r="AHY81" s="90"/>
      <c r="AHZ81" s="90"/>
      <c r="AIA81" s="90"/>
      <c r="AIB81" s="90"/>
      <c r="AIC81" s="90"/>
      <c r="AID81" s="90"/>
      <c r="AIE81" s="90"/>
      <c r="AIF81" s="90"/>
      <c r="AIG81" s="90"/>
      <c r="AIH81" s="90"/>
      <c r="AII81" s="90"/>
      <c r="AIJ81" s="90"/>
      <c r="AIK81" s="90"/>
      <c r="AIL81" s="90"/>
      <c r="AIM81" s="90"/>
      <c r="AIN81" s="90"/>
      <c r="AIO81" s="90"/>
      <c r="AIP81" s="90"/>
      <c r="AIQ81" s="90"/>
      <c r="AIR81" s="90"/>
      <c r="AIS81" s="90"/>
      <c r="AIT81" s="90"/>
      <c r="AIU81" s="90"/>
      <c r="AIV81" s="90"/>
      <c r="AIW81" s="90"/>
      <c r="AIX81" s="90"/>
      <c r="AIY81" s="90"/>
      <c r="AIZ81" s="90"/>
      <c r="AJA81" s="90"/>
      <c r="AJB81" s="90"/>
      <c r="AJC81" s="90"/>
      <c r="AJD81" s="90"/>
      <c r="AJE81" s="90"/>
      <c r="AJF81" s="90"/>
      <c r="AJG81" s="90"/>
      <c r="AJH81" s="90"/>
      <c r="AJI81" s="90"/>
      <c r="AJJ81" s="90"/>
      <c r="AJK81" s="90"/>
      <c r="AJL81" s="90"/>
      <c r="AJM81" s="90"/>
      <c r="AJN81" s="90"/>
      <c r="AJO81" s="90"/>
      <c r="AJP81" s="90"/>
      <c r="AJQ81" s="90"/>
      <c r="AJR81" s="90"/>
      <c r="AJS81" s="90"/>
      <c r="AJT81" s="90"/>
      <c r="AJU81" s="90"/>
      <c r="AJV81" s="90"/>
      <c r="AJW81" s="90"/>
      <c r="AJX81" s="90"/>
      <c r="AJY81" s="90"/>
      <c r="AJZ81" s="90"/>
      <c r="AKA81" s="90"/>
      <c r="AKB81" s="90"/>
      <c r="AKC81" s="90"/>
      <c r="AKD81" s="90"/>
      <c r="AKE81" s="90"/>
      <c r="AKF81" s="90"/>
      <c r="AKG81" s="90"/>
      <c r="AKH81" s="90"/>
      <c r="AKI81" s="90"/>
      <c r="AKJ81" s="90"/>
      <c r="AKK81" s="90"/>
      <c r="AKL81" s="90"/>
      <c r="AKM81" s="90"/>
      <c r="AKN81" s="90"/>
      <c r="AKO81" s="90"/>
      <c r="AKP81" s="90"/>
      <c r="AKQ81" s="90"/>
      <c r="AKR81" s="90"/>
      <c r="AKS81" s="90"/>
      <c r="AKT81" s="90"/>
      <c r="AKU81" s="90"/>
      <c r="AKV81" s="90"/>
      <c r="AKW81" s="90"/>
      <c r="AKX81" s="90"/>
      <c r="AKY81" s="90"/>
      <c r="AKZ81" s="90"/>
      <c r="ALA81" s="90"/>
      <c r="ALB81" s="90"/>
      <c r="ALC81" s="90"/>
      <c r="ALD81" s="90"/>
      <c r="ALE81" s="90"/>
      <c r="ALF81" s="90"/>
      <c r="ALG81" s="90"/>
      <c r="ALH81" s="90"/>
      <c r="ALI81" s="90"/>
      <c r="ALJ81" s="90"/>
      <c r="ALK81" s="90"/>
      <c r="ALL81" s="90"/>
      <c r="ALM81" s="90"/>
      <c r="ALN81" s="90"/>
      <c r="ALO81" s="90"/>
      <c r="ALP81" s="90"/>
      <c r="ALQ81" s="90"/>
      <c r="ALR81" s="90"/>
      <c r="ALS81" s="90"/>
      <c r="ALT81" s="90"/>
      <c r="ALU81" s="90"/>
      <c r="ALV81" s="90"/>
      <c r="ALW81" s="90"/>
      <c r="ALX81" s="90"/>
      <c r="ALY81" s="90"/>
      <c r="ALZ81" s="90"/>
      <c r="AMA81" s="90"/>
      <c r="AMB81" s="90"/>
      <c r="AMC81" s="90"/>
    </row>
    <row r="82" spans="1:1017">
      <c r="A82" s="98" t="s">
        <v>26</v>
      </c>
      <c r="B82" s="648" t="str">
        <f t="shared" si="978"/>
        <v xml:space="preserve">Udang_04 (Udang Lainnya) </v>
      </c>
      <c r="Q82" s="91">
        <f t="shared" si="830"/>
        <v>0</v>
      </c>
      <c r="R82" s="91">
        <f t="shared" si="831"/>
        <v>0</v>
      </c>
      <c r="AG82" s="91">
        <f t="shared" si="832"/>
        <v>0</v>
      </c>
      <c r="AH82" s="91">
        <f t="shared" si="833"/>
        <v>0</v>
      </c>
      <c r="AW82" s="91">
        <f t="shared" si="834"/>
        <v>0</v>
      </c>
      <c r="AX82" s="91">
        <f t="shared" si="835"/>
        <v>0</v>
      </c>
      <c r="BM82" s="91">
        <f t="shared" si="836"/>
        <v>0</v>
      </c>
      <c r="BN82" s="91">
        <f t="shared" si="837"/>
        <v>0</v>
      </c>
      <c r="CC82" s="91">
        <f t="shared" si="838"/>
        <v>0</v>
      </c>
      <c r="CD82" s="91">
        <f t="shared" si="839"/>
        <v>0</v>
      </c>
      <c r="CS82" s="91">
        <f t="shared" si="840"/>
        <v>0</v>
      </c>
      <c r="CT82" s="91">
        <f t="shared" si="841"/>
        <v>0</v>
      </c>
      <c r="DI82" s="91">
        <f t="shared" si="842"/>
        <v>0</v>
      </c>
      <c r="DJ82" s="91">
        <f t="shared" si="843"/>
        <v>0</v>
      </c>
      <c r="DY82" s="91">
        <f t="shared" si="844"/>
        <v>0</v>
      </c>
      <c r="DZ82" s="91">
        <f t="shared" si="845"/>
        <v>0</v>
      </c>
      <c r="EO82" s="91">
        <f t="shared" si="846"/>
        <v>0</v>
      </c>
      <c r="EP82" s="91">
        <f t="shared" si="847"/>
        <v>0</v>
      </c>
      <c r="FE82" s="91">
        <f t="shared" si="848"/>
        <v>0</v>
      </c>
      <c r="FF82" s="91">
        <f t="shared" si="849"/>
        <v>0</v>
      </c>
      <c r="FU82" s="91">
        <f t="shared" si="850"/>
        <v>0</v>
      </c>
      <c r="FV82" s="91">
        <f t="shared" si="851"/>
        <v>0</v>
      </c>
      <c r="GK82" s="91">
        <f t="shared" si="852"/>
        <v>0</v>
      </c>
      <c r="GL82" s="91">
        <f t="shared" si="853"/>
        <v>0</v>
      </c>
      <c r="HA82" s="91">
        <f t="shared" si="854"/>
        <v>0</v>
      </c>
      <c r="HB82" s="91">
        <f t="shared" si="855"/>
        <v>0</v>
      </c>
      <c r="HQ82" s="91">
        <f t="shared" si="856"/>
        <v>0</v>
      </c>
      <c r="HR82" s="91">
        <f t="shared" si="857"/>
        <v>0</v>
      </c>
      <c r="IG82" s="91">
        <f t="shared" si="858"/>
        <v>0</v>
      </c>
      <c r="IH82" s="91">
        <f t="shared" si="859"/>
        <v>0</v>
      </c>
      <c r="IW82" s="91">
        <f t="shared" si="860"/>
        <v>0</v>
      </c>
      <c r="IX82" s="91">
        <f t="shared" si="861"/>
        <v>0</v>
      </c>
      <c r="JM82" s="91">
        <f t="shared" si="862"/>
        <v>0</v>
      </c>
      <c r="JN82" s="91">
        <f t="shared" si="863"/>
        <v>0</v>
      </c>
      <c r="KC82" s="91">
        <f t="shared" si="864"/>
        <v>0</v>
      </c>
      <c r="KD82" s="91">
        <f t="shared" si="865"/>
        <v>0</v>
      </c>
      <c r="KS82" s="91">
        <f t="shared" si="866"/>
        <v>0</v>
      </c>
      <c r="KT82" s="91">
        <f t="shared" si="867"/>
        <v>0</v>
      </c>
      <c r="LI82" s="91">
        <f t="shared" si="868"/>
        <v>0</v>
      </c>
      <c r="LJ82" s="91">
        <f t="shared" si="869"/>
        <v>0</v>
      </c>
      <c r="LY82" s="91">
        <f t="shared" si="870"/>
        <v>0</v>
      </c>
      <c r="LZ82" s="91">
        <f t="shared" si="871"/>
        <v>0</v>
      </c>
      <c r="MO82" s="91">
        <f t="shared" si="872"/>
        <v>0</v>
      </c>
      <c r="MP82" s="91">
        <f t="shared" si="873"/>
        <v>0</v>
      </c>
      <c r="NE82" s="91">
        <f t="shared" si="874"/>
        <v>0</v>
      </c>
      <c r="NF82" s="91">
        <f t="shared" si="875"/>
        <v>0</v>
      </c>
      <c r="NU82" s="91">
        <f t="shared" si="876"/>
        <v>0</v>
      </c>
      <c r="NV82" s="91">
        <f t="shared" si="877"/>
        <v>0</v>
      </c>
      <c r="OK82" s="91">
        <f t="shared" si="878"/>
        <v>0</v>
      </c>
      <c r="OL82" s="91">
        <f t="shared" si="879"/>
        <v>0</v>
      </c>
      <c r="PA82" s="91">
        <f t="shared" si="880"/>
        <v>0</v>
      </c>
      <c r="PB82" s="91">
        <f t="shared" si="881"/>
        <v>0</v>
      </c>
      <c r="PQ82" s="91">
        <f t="shared" si="882"/>
        <v>0</v>
      </c>
      <c r="PR82" s="91">
        <f t="shared" si="883"/>
        <v>0</v>
      </c>
      <c r="QG82" s="91">
        <f t="shared" si="884"/>
        <v>0</v>
      </c>
      <c r="QH82" s="91">
        <f t="shared" si="885"/>
        <v>0</v>
      </c>
      <c r="QW82" s="91">
        <f t="shared" si="886"/>
        <v>0</v>
      </c>
      <c r="QX82" s="91">
        <f t="shared" si="887"/>
        <v>0</v>
      </c>
      <c r="RM82" s="91">
        <f t="shared" si="888"/>
        <v>0</v>
      </c>
      <c r="RN82" s="91">
        <f t="shared" si="889"/>
        <v>0</v>
      </c>
      <c r="SC82" s="91">
        <f t="shared" si="890"/>
        <v>0</v>
      </c>
      <c r="SD82" s="91">
        <f t="shared" si="891"/>
        <v>0</v>
      </c>
      <c r="SS82" s="91">
        <f t="shared" si="892"/>
        <v>0</v>
      </c>
      <c r="ST82" s="91">
        <f t="shared" si="893"/>
        <v>0</v>
      </c>
      <c r="TI82" s="91">
        <f t="shared" si="894"/>
        <v>0</v>
      </c>
      <c r="TJ82" s="91">
        <f t="shared" si="895"/>
        <v>0</v>
      </c>
      <c r="TY82" s="91">
        <f t="shared" si="896"/>
        <v>0</v>
      </c>
      <c r="TZ82" s="91">
        <f t="shared" si="897"/>
        <v>0</v>
      </c>
      <c r="UO82" s="91">
        <f t="shared" si="898"/>
        <v>0</v>
      </c>
      <c r="UP82" s="91">
        <f t="shared" si="899"/>
        <v>0</v>
      </c>
      <c r="VE82" s="91">
        <f t="shared" si="900"/>
        <v>0</v>
      </c>
      <c r="VF82" s="91">
        <f t="shared" si="901"/>
        <v>0</v>
      </c>
      <c r="VU82" s="91">
        <f t="shared" si="902"/>
        <v>0</v>
      </c>
      <c r="VV82" s="91">
        <f t="shared" si="903"/>
        <v>0</v>
      </c>
      <c r="WK82" s="91">
        <f t="shared" si="904"/>
        <v>0</v>
      </c>
      <c r="WL82" s="91">
        <f t="shared" si="905"/>
        <v>0</v>
      </c>
      <c r="WM82" s="89"/>
      <c r="WN82" s="87">
        <f t="shared" si="981"/>
        <v>0</v>
      </c>
      <c r="WO82" s="87">
        <f t="shared" si="982"/>
        <v>0</v>
      </c>
      <c r="WP82" s="87">
        <f t="shared" si="983"/>
        <v>0</v>
      </c>
      <c r="WQ82" s="87">
        <f t="shared" si="984"/>
        <v>0</v>
      </c>
      <c r="WR82" s="87">
        <f t="shared" si="985"/>
        <v>0</v>
      </c>
      <c r="WS82" s="87">
        <f t="shared" si="986"/>
        <v>0</v>
      </c>
      <c r="WT82" s="87">
        <f t="shared" si="987"/>
        <v>0</v>
      </c>
      <c r="WU82" s="87">
        <f t="shared" si="988"/>
        <v>0</v>
      </c>
      <c r="WV82" s="87">
        <f t="shared" si="989"/>
        <v>0</v>
      </c>
      <c r="WW82" s="87">
        <f t="shared" si="990"/>
        <v>0</v>
      </c>
      <c r="WX82" s="87">
        <f t="shared" si="991"/>
        <v>0</v>
      </c>
      <c r="WY82" s="87">
        <f t="shared" si="992"/>
        <v>0</v>
      </c>
      <c r="WZ82" s="87">
        <f t="shared" si="968"/>
        <v>0</v>
      </c>
      <c r="XA82" s="87">
        <f t="shared" si="969"/>
        <v>0</v>
      </c>
      <c r="XB82" s="92">
        <f t="shared" si="993"/>
        <v>0</v>
      </c>
      <c r="XC82" s="92">
        <f t="shared" si="994"/>
        <v>0</v>
      </c>
      <c r="XD82" s="89"/>
      <c r="XE82" s="92">
        <f t="shared" ref="XE82:XF82" si="999">SUM(XB158,XB196,XB234)</f>
        <v>0</v>
      </c>
      <c r="XF82" s="92">
        <f t="shared" si="999"/>
        <v>0</v>
      </c>
      <c r="XG82" s="89"/>
      <c r="XH82" s="92">
        <f t="shared" ref="XH82:XI82" si="1000">SUM(XE120,XE158)</f>
        <v>0</v>
      </c>
      <c r="XI82" s="92">
        <f t="shared" si="1000"/>
        <v>0</v>
      </c>
      <c r="XJ82" s="89"/>
      <c r="XK82" s="87"/>
      <c r="XL82" s="87"/>
      <c r="XM82" s="87"/>
      <c r="XN82" s="87"/>
      <c r="XO82" s="87"/>
      <c r="XP82" s="87"/>
      <c r="XQ82" s="87"/>
      <c r="XR82" s="92">
        <f t="shared" ca="1" si="922"/>
        <v>0</v>
      </c>
      <c r="XS82" s="89"/>
      <c r="XT82" s="87"/>
      <c r="XU82" s="87"/>
      <c r="XV82" s="87"/>
      <c r="XW82" s="87"/>
      <c r="XX82" s="87"/>
      <c r="XY82" s="87"/>
      <c r="XZ82" s="87"/>
      <c r="YA82" s="92">
        <f t="shared" ca="1" si="923"/>
        <v>0</v>
      </c>
      <c r="YB82" s="90"/>
      <c r="YC82" s="90"/>
      <c r="YD82" s="90"/>
      <c r="YE82" s="90"/>
      <c r="YF82" s="90"/>
      <c r="YG82" s="90"/>
      <c r="YH82" s="90"/>
      <c r="YI82" s="90"/>
      <c r="YJ82" s="90"/>
      <c r="YK82" s="90"/>
      <c r="YL82" s="90"/>
      <c r="YM82" s="90"/>
      <c r="YN82" s="90"/>
      <c r="YO82" s="90"/>
      <c r="YP82" s="90"/>
      <c r="YQ82" s="90"/>
      <c r="YR82" s="90"/>
      <c r="YS82" s="90"/>
      <c r="YT82" s="90"/>
      <c r="YU82" s="90"/>
      <c r="YV82" s="90"/>
      <c r="YW82" s="90"/>
      <c r="YX82" s="90"/>
      <c r="YY82" s="90"/>
      <c r="YZ82" s="90"/>
      <c r="ZA82" s="90"/>
      <c r="ZB82" s="90"/>
      <c r="ZC82" s="90"/>
      <c r="ZD82" s="90"/>
      <c r="ZE82" s="90"/>
      <c r="ZF82" s="90"/>
      <c r="ZG82" s="90"/>
      <c r="ZH82" s="90"/>
      <c r="ZI82" s="90"/>
      <c r="ZJ82" s="90"/>
      <c r="ZK82" s="90"/>
      <c r="ZL82" s="90"/>
      <c r="ZM82" s="90"/>
      <c r="ZN82" s="90"/>
      <c r="ZO82" s="90"/>
      <c r="ZP82" s="90"/>
      <c r="ZQ82" s="90"/>
      <c r="ZR82" s="90"/>
      <c r="ZS82" s="90"/>
      <c r="ZT82" s="90"/>
      <c r="ZU82" s="90"/>
      <c r="ZV82" s="90"/>
      <c r="ZW82" s="90"/>
      <c r="ZX82" s="90"/>
      <c r="ZY82" s="90"/>
      <c r="ZZ82" s="90"/>
      <c r="AAA82" s="90"/>
      <c r="AAB82" s="90"/>
      <c r="AAC82" s="90"/>
      <c r="AAD82" s="90"/>
      <c r="AAE82" s="90"/>
      <c r="AAF82" s="90"/>
      <c r="AAG82" s="90"/>
      <c r="AAH82" s="90"/>
      <c r="AAI82" s="90"/>
      <c r="AAJ82" s="90"/>
      <c r="AAK82" s="90"/>
      <c r="AAL82" s="90"/>
      <c r="AAM82" s="90"/>
      <c r="AAN82" s="90"/>
      <c r="AAO82" s="90"/>
      <c r="AAP82" s="90"/>
      <c r="AAQ82" s="90"/>
      <c r="AAR82" s="90"/>
      <c r="AAS82" s="90"/>
      <c r="AAT82" s="90"/>
      <c r="AAU82" s="90"/>
      <c r="AAV82" s="90"/>
      <c r="AAW82" s="90"/>
      <c r="AAX82" s="90"/>
      <c r="AAY82" s="90"/>
      <c r="AAZ82" s="90"/>
      <c r="ABA82" s="90"/>
      <c r="ABB82" s="90"/>
      <c r="ABC82" s="90"/>
      <c r="ABD82" s="90"/>
      <c r="ABE82" s="90"/>
      <c r="ABF82" s="90"/>
      <c r="ABG82" s="90"/>
      <c r="ABH82" s="90"/>
      <c r="ABI82" s="90"/>
      <c r="ABJ82" s="90"/>
      <c r="ABK82" s="90"/>
      <c r="ABL82" s="90"/>
      <c r="ABM82" s="90"/>
      <c r="ABN82" s="90"/>
      <c r="ABO82" s="90"/>
      <c r="ABP82" s="90"/>
      <c r="ABQ82" s="90"/>
      <c r="ABR82" s="90"/>
      <c r="ABS82" s="90"/>
      <c r="ABT82" s="90"/>
      <c r="ABU82" s="90"/>
      <c r="ABV82" s="90"/>
      <c r="ABW82" s="90"/>
      <c r="ABX82" s="90"/>
      <c r="ABY82" s="90"/>
      <c r="ABZ82" s="90"/>
      <c r="ACA82" s="90"/>
      <c r="ACB82" s="90"/>
      <c r="ACC82" s="90"/>
      <c r="ACD82" s="90"/>
      <c r="ACE82" s="90"/>
      <c r="ACF82" s="90"/>
      <c r="ACG82" s="90"/>
      <c r="ACH82" s="90"/>
      <c r="ACI82" s="90"/>
      <c r="ACJ82" s="90"/>
      <c r="ACK82" s="90"/>
      <c r="ACL82" s="90"/>
      <c r="ACM82" s="90"/>
      <c r="ACN82" s="90"/>
      <c r="ACO82" s="90"/>
      <c r="ACP82" s="90"/>
      <c r="ACQ82" s="90"/>
      <c r="ACR82" s="90"/>
      <c r="ACS82" s="90"/>
      <c r="ACT82" s="90"/>
      <c r="ACU82" s="90"/>
      <c r="ACV82" s="90"/>
      <c r="ACW82" s="90"/>
      <c r="ACX82" s="90"/>
      <c r="ACY82" s="90"/>
      <c r="ACZ82" s="90"/>
      <c r="ADA82" s="90"/>
      <c r="ADB82" s="90"/>
      <c r="ADC82" s="90"/>
      <c r="ADD82" s="90"/>
      <c r="ADE82" s="90"/>
      <c r="ADF82" s="90"/>
      <c r="ADG82" s="90"/>
      <c r="ADH82" s="90"/>
      <c r="ADI82" s="90"/>
      <c r="ADJ82" s="90"/>
      <c r="ADK82" s="90"/>
      <c r="ADL82" s="90"/>
      <c r="ADM82" s="90"/>
      <c r="ADN82" s="90"/>
      <c r="ADO82" s="90"/>
      <c r="ADP82" s="90"/>
      <c r="ADQ82" s="90"/>
      <c r="ADR82" s="90"/>
      <c r="ADS82" s="90"/>
      <c r="ADT82" s="90"/>
      <c r="ADU82" s="90"/>
      <c r="ADV82" s="90"/>
      <c r="ADW82" s="90"/>
      <c r="ADX82" s="90"/>
      <c r="ADY82" s="90"/>
      <c r="ADZ82" s="90"/>
      <c r="AEA82" s="90"/>
      <c r="AEB82" s="90"/>
      <c r="AEC82" s="90"/>
      <c r="AED82" s="90"/>
      <c r="AEE82" s="90"/>
      <c r="AEF82" s="90"/>
      <c r="AEG82" s="90"/>
      <c r="AEH82" s="90"/>
      <c r="AEI82" s="90"/>
      <c r="AEJ82" s="90"/>
      <c r="AEK82" s="90"/>
      <c r="AEL82" s="90"/>
      <c r="AEM82" s="90"/>
      <c r="AEN82" s="90"/>
      <c r="AEO82" s="90"/>
      <c r="AEP82" s="90"/>
      <c r="AEQ82" s="90"/>
      <c r="AER82" s="90"/>
      <c r="AES82" s="90"/>
      <c r="AET82" s="90"/>
      <c r="AEU82" s="90"/>
      <c r="AEV82" s="90"/>
      <c r="AEW82" s="90"/>
      <c r="AEX82" s="90"/>
      <c r="AEY82" s="90"/>
      <c r="AEZ82" s="90"/>
      <c r="AFA82" s="90"/>
      <c r="AFB82" s="90"/>
      <c r="AFC82" s="90"/>
      <c r="AFD82" s="90"/>
      <c r="AFE82" s="90"/>
      <c r="AFF82" s="90"/>
      <c r="AFG82" s="90"/>
      <c r="AFH82" s="90"/>
      <c r="AFI82" s="90"/>
      <c r="AFJ82" s="90"/>
      <c r="AFK82" s="90"/>
      <c r="AFL82" s="90"/>
      <c r="AFM82" s="90"/>
      <c r="AFN82" s="90"/>
      <c r="AFO82" s="90"/>
      <c r="AFP82" s="90"/>
      <c r="AFQ82" s="90"/>
      <c r="AFR82" s="90"/>
      <c r="AFS82" s="90"/>
      <c r="AFT82" s="90"/>
      <c r="AFU82" s="90"/>
      <c r="AFV82" s="90"/>
      <c r="AFW82" s="90"/>
      <c r="AFX82" s="90"/>
      <c r="AFY82" s="90"/>
      <c r="AFZ82" s="90"/>
      <c r="AGA82" s="90"/>
      <c r="AGB82" s="90"/>
      <c r="AGC82" s="90"/>
      <c r="AGD82" s="90"/>
      <c r="AGE82" s="90"/>
      <c r="AGF82" s="90"/>
      <c r="AGG82" s="90"/>
      <c r="AGH82" s="90"/>
      <c r="AGI82" s="90"/>
      <c r="AGJ82" s="90"/>
      <c r="AGK82" s="90"/>
      <c r="AGL82" s="90"/>
      <c r="AGM82" s="90"/>
      <c r="AGN82" s="90"/>
      <c r="AGO82" s="90"/>
      <c r="AGP82" s="90"/>
      <c r="AGQ82" s="90"/>
      <c r="AGR82" s="90"/>
      <c r="AGS82" s="90"/>
      <c r="AGT82" s="90"/>
      <c r="AGU82" s="90"/>
      <c r="AGV82" s="90"/>
      <c r="AGW82" s="90"/>
      <c r="AGX82" s="90"/>
      <c r="AGY82" s="90"/>
      <c r="AGZ82" s="90"/>
      <c r="AHA82" s="90"/>
      <c r="AHB82" s="90"/>
      <c r="AHC82" s="90"/>
      <c r="AHD82" s="90"/>
      <c r="AHE82" s="90"/>
      <c r="AHF82" s="90"/>
      <c r="AHG82" s="90"/>
      <c r="AHH82" s="90"/>
      <c r="AHI82" s="90"/>
      <c r="AHJ82" s="90"/>
      <c r="AHK82" s="90"/>
      <c r="AHL82" s="90"/>
      <c r="AHM82" s="90"/>
      <c r="AHN82" s="90"/>
      <c r="AHO82" s="90"/>
      <c r="AHP82" s="90"/>
      <c r="AHQ82" s="90"/>
      <c r="AHR82" s="90"/>
      <c r="AHS82" s="90"/>
      <c r="AHT82" s="90"/>
      <c r="AHU82" s="90"/>
      <c r="AHV82" s="90"/>
      <c r="AHW82" s="90"/>
      <c r="AHX82" s="90"/>
      <c r="AHY82" s="90"/>
      <c r="AHZ82" s="90"/>
      <c r="AIA82" s="90"/>
      <c r="AIB82" s="90"/>
      <c r="AIC82" s="90"/>
      <c r="AID82" s="90"/>
      <c r="AIE82" s="90"/>
      <c r="AIF82" s="90"/>
      <c r="AIG82" s="90"/>
      <c r="AIH82" s="90"/>
      <c r="AII82" s="90"/>
      <c r="AIJ82" s="90"/>
      <c r="AIK82" s="90"/>
      <c r="AIL82" s="90"/>
      <c r="AIM82" s="90"/>
      <c r="AIN82" s="90"/>
      <c r="AIO82" s="90"/>
      <c r="AIP82" s="90"/>
      <c r="AIQ82" s="90"/>
      <c r="AIR82" s="90"/>
      <c r="AIS82" s="90"/>
      <c r="AIT82" s="90"/>
      <c r="AIU82" s="90"/>
      <c r="AIV82" s="90"/>
      <c r="AIW82" s="90"/>
      <c r="AIX82" s="90"/>
      <c r="AIY82" s="90"/>
      <c r="AIZ82" s="90"/>
      <c r="AJA82" s="90"/>
      <c r="AJB82" s="90"/>
      <c r="AJC82" s="90"/>
      <c r="AJD82" s="90"/>
      <c r="AJE82" s="90"/>
      <c r="AJF82" s="90"/>
      <c r="AJG82" s="90"/>
      <c r="AJH82" s="90"/>
      <c r="AJI82" s="90"/>
      <c r="AJJ82" s="90"/>
      <c r="AJK82" s="90"/>
      <c r="AJL82" s="90"/>
      <c r="AJM82" s="90"/>
      <c r="AJN82" s="90"/>
      <c r="AJO82" s="90"/>
      <c r="AJP82" s="90"/>
      <c r="AJQ82" s="90"/>
      <c r="AJR82" s="90"/>
      <c r="AJS82" s="90"/>
      <c r="AJT82" s="90"/>
      <c r="AJU82" s="90"/>
      <c r="AJV82" s="90"/>
      <c r="AJW82" s="90"/>
      <c r="AJX82" s="90"/>
      <c r="AJY82" s="90"/>
      <c r="AJZ82" s="90"/>
      <c r="AKA82" s="90"/>
      <c r="AKB82" s="90"/>
      <c r="AKC82" s="90"/>
      <c r="AKD82" s="90"/>
      <c r="AKE82" s="90"/>
      <c r="AKF82" s="90"/>
      <c r="AKG82" s="90"/>
      <c r="AKH82" s="90"/>
      <c r="AKI82" s="90"/>
      <c r="AKJ82" s="90"/>
      <c r="AKK82" s="90"/>
      <c r="AKL82" s="90"/>
      <c r="AKM82" s="90"/>
      <c r="AKN82" s="90"/>
      <c r="AKO82" s="90"/>
      <c r="AKP82" s="90"/>
      <c r="AKQ82" s="90"/>
      <c r="AKR82" s="90"/>
      <c r="AKS82" s="90"/>
      <c r="AKT82" s="90"/>
      <c r="AKU82" s="90"/>
      <c r="AKV82" s="90"/>
      <c r="AKW82" s="90"/>
      <c r="AKX82" s="90"/>
      <c r="AKY82" s="90"/>
      <c r="AKZ82" s="90"/>
      <c r="ALA82" s="90"/>
      <c r="ALB82" s="90"/>
      <c r="ALC82" s="90"/>
      <c r="ALD82" s="90"/>
      <c r="ALE82" s="90"/>
      <c r="ALF82" s="90"/>
      <c r="ALG82" s="90"/>
      <c r="ALH82" s="90"/>
      <c r="ALI82" s="90"/>
      <c r="ALJ82" s="90"/>
      <c r="ALK82" s="90"/>
      <c r="ALL82" s="90"/>
      <c r="ALM82" s="90"/>
      <c r="ALN82" s="90"/>
      <c r="ALO82" s="90"/>
      <c r="ALP82" s="90"/>
      <c r="ALQ82" s="90"/>
      <c r="ALR82" s="90"/>
      <c r="ALS82" s="90"/>
      <c r="ALT82" s="90"/>
      <c r="ALU82" s="90"/>
      <c r="ALV82" s="90"/>
      <c r="ALW82" s="90"/>
      <c r="ALX82" s="90"/>
      <c r="ALY82" s="90"/>
      <c r="ALZ82" s="90"/>
      <c r="AMA82" s="90"/>
      <c r="AMB82" s="90"/>
      <c r="AMC82" s="90"/>
    </row>
    <row r="83" spans="1:1017">
      <c r="A83" s="98" t="s">
        <v>26</v>
      </c>
      <c r="B83" s="648" t="str">
        <f t="shared" si="978"/>
        <v xml:space="preserve">Udang_05 (Udang Lainnya) </v>
      </c>
      <c r="Q83" s="91">
        <f t="shared" si="830"/>
        <v>0</v>
      </c>
      <c r="R83" s="91">
        <f t="shared" si="831"/>
        <v>0</v>
      </c>
      <c r="AG83" s="91">
        <f t="shared" si="832"/>
        <v>0</v>
      </c>
      <c r="AH83" s="91">
        <f t="shared" si="833"/>
        <v>0</v>
      </c>
      <c r="AW83" s="91">
        <f t="shared" si="834"/>
        <v>0</v>
      </c>
      <c r="AX83" s="91">
        <f t="shared" si="835"/>
        <v>0</v>
      </c>
      <c r="BM83" s="91">
        <f t="shared" si="836"/>
        <v>0</v>
      </c>
      <c r="BN83" s="91">
        <f t="shared" si="837"/>
        <v>0</v>
      </c>
      <c r="CC83" s="91">
        <f t="shared" si="838"/>
        <v>0</v>
      </c>
      <c r="CD83" s="91">
        <f t="shared" si="839"/>
        <v>0</v>
      </c>
      <c r="CS83" s="91">
        <f t="shared" si="840"/>
        <v>0</v>
      </c>
      <c r="CT83" s="91">
        <f t="shared" si="841"/>
        <v>0</v>
      </c>
      <c r="DI83" s="91">
        <f t="shared" si="842"/>
        <v>0</v>
      </c>
      <c r="DJ83" s="91">
        <f t="shared" si="843"/>
        <v>0</v>
      </c>
      <c r="DY83" s="91">
        <f t="shared" si="844"/>
        <v>0</v>
      </c>
      <c r="DZ83" s="91">
        <f t="shared" si="845"/>
        <v>0</v>
      </c>
      <c r="EO83" s="91">
        <f t="shared" si="846"/>
        <v>0</v>
      </c>
      <c r="EP83" s="91">
        <f t="shared" si="847"/>
        <v>0</v>
      </c>
      <c r="FE83" s="91">
        <f t="shared" si="848"/>
        <v>0</v>
      </c>
      <c r="FF83" s="91">
        <f t="shared" si="849"/>
        <v>0</v>
      </c>
      <c r="FU83" s="91">
        <f t="shared" si="850"/>
        <v>0</v>
      </c>
      <c r="FV83" s="91">
        <f t="shared" si="851"/>
        <v>0</v>
      </c>
      <c r="GK83" s="91">
        <f t="shared" si="852"/>
        <v>0</v>
      </c>
      <c r="GL83" s="91">
        <f t="shared" si="853"/>
        <v>0</v>
      </c>
      <c r="HA83" s="91">
        <f t="shared" si="854"/>
        <v>0</v>
      </c>
      <c r="HB83" s="91">
        <f t="shared" si="855"/>
        <v>0</v>
      </c>
      <c r="HQ83" s="91">
        <f t="shared" si="856"/>
        <v>0</v>
      </c>
      <c r="HR83" s="91">
        <f t="shared" si="857"/>
        <v>0</v>
      </c>
      <c r="IG83" s="91">
        <f t="shared" si="858"/>
        <v>0</v>
      </c>
      <c r="IH83" s="91">
        <f t="shared" si="859"/>
        <v>0</v>
      </c>
      <c r="IW83" s="91">
        <f t="shared" si="860"/>
        <v>0</v>
      </c>
      <c r="IX83" s="91">
        <f t="shared" si="861"/>
        <v>0</v>
      </c>
      <c r="JM83" s="91">
        <f t="shared" si="862"/>
        <v>0</v>
      </c>
      <c r="JN83" s="91">
        <f t="shared" si="863"/>
        <v>0</v>
      </c>
      <c r="KC83" s="91">
        <f t="shared" si="864"/>
        <v>0</v>
      </c>
      <c r="KD83" s="91">
        <f t="shared" si="865"/>
        <v>0</v>
      </c>
      <c r="KS83" s="91">
        <f t="shared" si="866"/>
        <v>0</v>
      </c>
      <c r="KT83" s="91">
        <f t="shared" si="867"/>
        <v>0</v>
      </c>
      <c r="LI83" s="91">
        <f t="shared" si="868"/>
        <v>0</v>
      </c>
      <c r="LJ83" s="91">
        <f t="shared" si="869"/>
        <v>0</v>
      </c>
      <c r="LY83" s="91">
        <f t="shared" si="870"/>
        <v>0</v>
      </c>
      <c r="LZ83" s="91">
        <f t="shared" si="871"/>
        <v>0</v>
      </c>
      <c r="MO83" s="91">
        <f t="shared" si="872"/>
        <v>0</v>
      </c>
      <c r="MP83" s="91">
        <f t="shared" si="873"/>
        <v>0</v>
      </c>
      <c r="NE83" s="91">
        <f t="shared" si="874"/>
        <v>0</v>
      </c>
      <c r="NF83" s="91">
        <f t="shared" si="875"/>
        <v>0</v>
      </c>
      <c r="NU83" s="91">
        <f t="shared" si="876"/>
        <v>0</v>
      </c>
      <c r="NV83" s="91">
        <f t="shared" si="877"/>
        <v>0</v>
      </c>
      <c r="OK83" s="91">
        <f t="shared" si="878"/>
        <v>0</v>
      </c>
      <c r="OL83" s="91">
        <f t="shared" si="879"/>
        <v>0</v>
      </c>
      <c r="PA83" s="91">
        <f t="shared" si="880"/>
        <v>0</v>
      </c>
      <c r="PB83" s="91">
        <f t="shared" si="881"/>
        <v>0</v>
      </c>
      <c r="PQ83" s="91">
        <f t="shared" si="882"/>
        <v>0</v>
      </c>
      <c r="PR83" s="91">
        <f t="shared" si="883"/>
        <v>0</v>
      </c>
      <c r="QG83" s="91">
        <f t="shared" si="884"/>
        <v>0</v>
      </c>
      <c r="QH83" s="91">
        <f t="shared" si="885"/>
        <v>0</v>
      </c>
      <c r="QW83" s="91">
        <f t="shared" si="886"/>
        <v>0</v>
      </c>
      <c r="QX83" s="91">
        <f t="shared" si="887"/>
        <v>0</v>
      </c>
      <c r="RM83" s="91">
        <f t="shared" si="888"/>
        <v>0</v>
      </c>
      <c r="RN83" s="91">
        <f t="shared" si="889"/>
        <v>0</v>
      </c>
      <c r="SC83" s="91">
        <f t="shared" si="890"/>
        <v>0</v>
      </c>
      <c r="SD83" s="91">
        <f t="shared" si="891"/>
        <v>0</v>
      </c>
      <c r="SS83" s="91">
        <f t="shared" si="892"/>
        <v>0</v>
      </c>
      <c r="ST83" s="91">
        <f t="shared" si="893"/>
        <v>0</v>
      </c>
      <c r="TI83" s="91">
        <f t="shared" si="894"/>
        <v>0</v>
      </c>
      <c r="TJ83" s="91">
        <f t="shared" si="895"/>
        <v>0</v>
      </c>
      <c r="TY83" s="91">
        <f t="shared" si="896"/>
        <v>0</v>
      </c>
      <c r="TZ83" s="91">
        <f t="shared" si="897"/>
        <v>0</v>
      </c>
      <c r="UO83" s="91">
        <f t="shared" si="898"/>
        <v>0</v>
      </c>
      <c r="UP83" s="91">
        <f t="shared" si="899"/>
        <v>0</v>
      </c>
      <c r="VE83" s="91">
        <f t="shared" si="900"/>
        <v>0</v>
      </c>
      <c r="VF83" s="91">
        <f t="shared" si="901"/>
        <v>0</v>
      </c>
      <c r="VU83" s="91">
        <f t="shared" si="902"/>
        <v>0</v>
      </c>
      <c r="VV83" s="91">
        <f t="shared" si="903"/>
        <v>0</v>
      </c>
      <c r="WK83" s="91">
        <f t="shared" si="904"/>
        <v>0</v>
      </c>
      <c r="WL83" s="91">
        <f t="shared" si="905"/>
        <v>0</v>
      </c>
      <c r="WM83" s="89"/>
      <c r="WN83" s="87">
        <f t="shared" si="981"/>
        <v>0</v>
      </c>
      <c r="WO83" s="87">
        <f t="shared" si="982"/>
        <v>0</v>
      </c>
      <c r="WP83" s="87">
        <f t="shared" si="983"/>
        <v>0</v>
      </c>
      <c r="WQ83" s="87">
        <f t="shared" si="984"/>
        <v>0</v>
      </c>
      <c r="WR83" s="87">
        <f t="shared" si="985"/>
        <v>0</v>
      </c>
      <c r="WS83" s="87">
        <f t="shared" si="986"/>
        <v>0</v>
      </c>
      <c r="WT83" s="87">
        <f t="shared" si="987"/>
        <v>0</v>
      </c>
      <c r="WU83" s="87">
        <f t="shared" si="988"/>
        <v>0</v>
      </c>
      <c r="WV83" s="87">
        <f t="shared" si="989"/>
        <v>0</v>
      </c>
      <c r="WW83" s="87">
        <f t="shared" si="990"/>
        <v>0</v>
      </c>
      <c r="WX83" s="87">
        <f t="shared" si="991"/>
        <v>0</v>
      </c>
      <c r="WY83" s="87">
        <f t="shared" si="992"/>
        <v>0</v>
      </c>
      <c r="WZ83" s="87">
        <f t="shared" si="968"/>
        <v>0</v>
      </c>
      <c r="XA83" s="87">
        <f t="shared" si="969"/>
        <v>0</v>
      </c>
      <c r="XB83" s="92">
        <f t="shared" si="993"/>
        <v>0</v>
      </c>
      <c r="XC83" s="92">
        <f t="shared" si="994"/>
        <v>0</v>
      </c>
      <c r="XD83" s="89"/>
      <c r="XE83" s="92">
        <f t="shared" ref="XE83:XF83" si="1001">SUM(XB159,XB197,XB235)</f>
        <v>0</v>
      </c>
      <c r="XF83" s="92">
        <f t="shared" si="1001"/>
        <v>0</v>
      </c>
      <c r="XG83" s="89"/>
      <c r="XH83" s="92">
        <f t="shared" ref="XH83:XI83" si="1002">SUM(XE121,XE159)</f>
        <v>0</v>
      </c>
      <c r="XI83" s="92">
        <f t="shared" si="1002"/>
        <v>0</v>
      </c>
      <c r="XJ83" s="89"/>
      <c r="XK83" s="87"/>
      <c r="XL83" s="87"/>
      <c r="XM83" s="87"/>
      <c r="XN83" s="87"/>
      <c r="XO83" s="87"/>
      <c r="XP83" s="87"/>
      <c r="XQ83" s="87"/>
      <c r="XR83" s="92">
        <f t="shared" ca="1" si="922"/>
        <v>0</v>
      </c>
      <c r="XS83" s="89"/>
      <c r="XT83" s="87"/>
      <c r="XU83" s="87"/>
      <c r="XV83" s="87"/>
      <c r="XW83" s="87"/>
      <c r="XX83" s="87"/>
      <c r="XY83" s="87"/>
      <c r="XZ83" s="87"/>
      <c r="YA83" s="92">
        <f t="shared" ca="1" si="923"/>
        <v>0</v>
      </c>
      <c r="YB83" s="90"/>
      <c r="YC83" s="90"/>
      <c r="YD83" s="90"/>
      <c r="YE83" s="90"/>
      <c r="YF83" s="90"/>
      <c r="YG83" s="90"/>
      <c r="YH83" s="90"/>
      <c r="YI83" s="90"/>
      <c r="YJ83" s="90"/>
      <c r="YK83" s="90"/>
      <c r="YL83" s="90"/>
      <c r="YM83" s="90"/>
      <c r="YN83" s="90"/>
      <c r="YO83" s="90"/>
      <c r="YP83" s="90"/>
      <c r="YQ83" s="90"/>
      <c r="YR83" s="90"/>
      <c r="YS83" s="90"/>
      <c r="YT83" s="90"/>
      <c r="YU83" s="90"/>
      <c r="YV83" s="90"/>
      <c r="YW83" s="90"/>
      <c r="YX83" s="90"/>
      <c r="YY83" s="90"/>
      <c r="YZ83" s="90"/>
      <c r="ZA83" s="90"/>
      <c r="ZB83" s="90"/>
      <c r="ZC83" s="90"/>
      <c r="ZD83" s="90"/>
      <c r="ZE83" s="90"/>
      <c r="ZF83" s="90"/>
      <c r="ZG83" s="90"/>
      <c r="ZH83" s="90"/>
      <c r="ZI83" s="90"/>
      <c r="ZJ83" s="90"/>
      <c r="ZK83" s="90"/>
      <c r="ZL83" s="90"/>
      <c r="ZM83" s="90"/>
      <c r="ZN83" s="90"/>
      <c r="ZO83" s="90"/>
      <c r="ZP83" s="90"/>
      <c r="ZQ83" s="90"/>
      <c r="ZR83" s="90"/>
      <c r="ZS83" s="90"/>
      <c r="ZT83" s="90"/>
      <c r="ZU83" s="90"/>
      <c r="ZV83" s="90"/>
      <c r="ZW83" s="90"/>
      <c r="ZX83" s="90"/>
      <c r="ZY83" s="90"/>
      <c r="ZZ83" s="90"/>
      <c r="AAA83" s="90"/>
      <c r="AAB83" s="90"/>
      <c r="AAC83" s="90"/>
      <c r="AAD83" s="90"/>
      <c r="AAE83" s="90"/>
      <c r="AAF83" s="90"/>
      <c r="AAG83" s="90"/>
      <c r="AAH83" s="90"/>
      <c r="AAI83" s="90"/>
      <c r="AAJ83" s="90"/>
      <c r="AAK83" s="90"/>
      <c r="AAL83" s="90"/>
      <c r="AAM83" s="90"/>
      <c r="AAN83" s="90"/>
      <c r="AAO83" s="90"/>
      <c r="AAP83" s="90"/>
      <c r="AAQ83" s="90"/>
      <c r="AAR83" s="90"/>
      <c r="AAS83" s="90"/>
      <c r="AAT83" s="90"/>
      <c r="AAU83" s="90"/>
      <c r="AAV83" s="90"/>
      <c r="AAW83" s="90"/>
      <c r="AAX83" s="90"/>
      <c r="AAY83" s="90"/>
      <c r="AAZ83" s="90"/>
      <c r="ABA83" s="90"/>
      <c r="ABB83" s="90"/>
      <c r="ABC83" s="90"/>
      <c r="ABD83" s="90"/>
      <c r="ABE83" s="90"/>
      <c r="ABF83" s="90"/>
      <c r="ABG83" s="90"/>
      <c r="ABH83" s="90"/>
      <c r="ABI83" s="90"/>
      <c r="ABJ83" s="90"/>
      <c r="ABK83" s="90"/>
      <c r="ABL83" s="90"/>
      <c r="ABM83" s="90"/>
      <c r="ABN83" s="90"/>
      <c r="ABO83" s="90"/>
      <c r="ABP83" s="90"/>
      <c r="ABQ83" s="90"/>
      <c r="ABR83" s="90"/>
      <c r="ABS83" s="90"/>
      <c r="ABT83" s="90"/>
      <c r="ABU83" s="90"/>
      <c r="ABV83" s="90"/>
      <c r="ABW83" s="90"/>
      <c r="ABX83" s="90"/>
      <c r="ABY83" s="90"/>
      <c r="ABZ83" s="90"/>
      <c r="ACA83" s="90"/>
      <c r="ACB83" s="90"/>
      <c r="ACC83" s="90"/>
      <c r="ACD83" s="90"/>
      <c r="ACE83" s="90"/>
      <c r="ACF83" s="90"/>
      <c r="ACG83" s="90"/>
      <c r="ACH83" s="90"/>
      <c r="ACI83" s="90"/>
      <c r="ACJ83" s="90"/>
      <c r="ACK83" s="90"/>
      <c r="ACL83" s="90"/>
      <c r="ACM83" s="90"/>
      <c r="ACN83" s="90"/>
      <c r="ACO83" s="90"/>
      <c r="ACP83" s="90"/>
      <c r="ACQ83" s="90"/>
      <c r="ACR83" s="90"/>
      <c r="ACS83" s="90"/>
      <c r="ACT83" s="90"/>
      <c r="ACU83" s="90"/>
      <c r="ACV83" s="90"/>
      <c r="ACW83" s="90"/>
      <c r="ACX83" s="90"/>
      <c r="ACY83" s="90"/>
      <c r="ACZ83" s="90"/>
      <c r="ADA83" s="90"/>
      <c r="ADB83" s="90"/>
      <c r="ADC83" s="90"/>
      <c r="ADD83" s="90"/>
      <c r="ADE83" s="90"/>
      <c r="ADF83" s="90"/>
      <c r="ADG83" s="90"/>
      <c r="ADH83" s="90"/>
      <c r="ADI83" s="90"/>
      <c r="ADJ83" s="90"/>
      <c r="ADK83" s="90"/>
      <c r="ADL83" s="90"/>
      <c r="ADM83" s="90"/>
      <c r="ADN83" s="90"/>
      <c r="ADO83" s="90"/>
      <c r="ADP83" s="90"/>
      <c r="ADQ83" s="90"/>
      <c r="ADR83" s="90"/>
      <c r="ADS83" s="90"/>
      <c r="ADT83" s="90"/>
      <c r="ADU83" s="90"/>
      <c r="ADV83" s="90"/>
      <c r="ADW83" s="90"/>
      <c r="ADX83" s="90"/>
      <c r="ADY83" s="90"/>
      <c r="ADZ83" s="90"/>
      <c r="AEA83" s="90"/>
      <c r="AEB83" s="90"/>
      <c r="AEC83" s="90"/>
      <c r="AED83" s="90"/>
      <c r="AEE83" s="90"/>
      <c r="AEF83" s="90"/>
      <c r="AEG83" s="90"/>
      <c r="AEH83" s="90"/>
      <c r="AEI83" s="90"/>
      <c r="AEJ83" s="90"/>
      <c r="AEK83" s="90"/>
      <c r="AEL83" s="90"/>
      <c r="AEM83" s="90"/>
      <c r="AEN83" s="90"/>
      <c r="AEO83" s="90"/>
      <c r="AEP83" s="90"/>
      <c r="AEQ83" s="90"/>
      <c r="AER83" s="90"/>
      <c r="AES83" s="90"/>
      <c r="AET83" s="90"/>
      <c r="AEU83" s="90"/>
      <c r="AEV83" s="90"/>
      <c r="AEW83" s="90"/>
      <c r="AEX83" s="90"/>
      <c r="AEY83" s="90"/>
      <c r="AEZ83" s="90"/>
      <c r="AFA83" s="90"/>
      <c r="AFB83" s="90"/>
      <c r="AFC83" s="90"/>
      <c r="AFD83" s="90"/>
      <c r="AFE83" s="90"/>
      <c r="AFF83" s="90"/>
      <c r="AFG83" s="90"/>
      <c r="AFH83" s="90"/>
      <c r="AFI83" s="90"/>
      <c r="AFJ83" s="90"/>
      <c r="AFK83" s="90"/>
      <c r="AFL83" s="90"/>
      <c r="AFM83" s="90"/>
      <c r="AFN83" s="90"/>
      <c r="AFO83" s="90"/>
      <c r="AFP83" s="90"/>
      <c r="AFQ83" s="90"/>
      <c r="AFR83" s="90"/>
      <c r="AFS83" s="90"/>
      <c r="AFT83" s="90"/>
      <c r="AFU83" s="90"/>
      <c r="AFV83" s="90"/>
      <c r="AFW83" s="90"/>
      <c r="AFX83" s="90"/>
      <c r="AFY83" s="90"/>
      <c r="AFZ83" s="90"/>
      <c r="AGA83" s="90"/>
      <c r="AGB83" s="90"/>
      <c r="AGC83" s="90"/>
      <c r="AGD83" s="90"/>
      <c r="AGE83" s="90"/>
      <c r="AGF83" s="90"/>
      <c r="AGG83" s="90"/>
      <c r="AGH83" s="90"/>
      <c r="AGI83" s="90"/>
      <c r="AGJ83" s="90"/>
      <c r="AGK83" s="90"/>
      <c r="AGL83" s="90"/>
      <c r="AGM83" s="90"/>
      <c r="AGN83" s="90"/>
      <c r="AGO83" s="90"/>
      <c r="AGP83" s="90"/>
      <c r="AGQ83" s="90"/>
      <c r="AGR83" s="90"/>
      <c r="AGS83" s="90"/>
      <c r="AGT83" s="90"/>
      <c r="AGU83" s="90"/>
      <c r="AGV83" s="90"/>
      <c r="AGW83" s="90"/>
      <c r="AGX83" s="90"/>
      <c r="AGY83" s="90"/>
      <c r="AGZ83" s="90"/>
      <c r="AHA83" s="90"/>
      <c r="AHB83" s="90"/>
      <c r="AHC83" s="90"/>
      <c r="AHD83" s="90"/>
      <c r="AHE83" s="90"/>
      <c r="AHF83" s="90"/>
      <c r="AHG83" s="90"/>
      <c r="AHH83" s="90"/>
      <c r="AHI83" s="90"/>
      <c r="AHJ83" s="90"/>
      <c r="AHK83" s="90"/>
      <c r="AHL83" s="90"/>
      <c r="AHM83" s="90"/>
      <c r="AHN83" s="90"/>
      <c r="AHO83" s="90"/>
      <c r="AHP83" s="90"/>
      <c r="AHQ83" s="90"/>
      <c r="AHR83" s="90"/>
      <c r="AHS83" s="90"/>
      <c r="AHT83" s="90"/>
      <c r="AHU83" s="90"/>
      <c r="AHV83" s="90"/>
      <c r="AHW83" s="90"/>
      <c r="AHX83" s="90"/>
      <c r="AHY83" s="90"/>
      <c r="AHZ83" s="90"/>
      <c r="AIA83" s="90"/>
      <c r="AIB83" s="90"/>
      <c r="AIC83" s="90"/>
      <c r="AID83" s="90"/>
      <c r="AIE83" s="90"/>
      <c r="AIF83" s="90"/>
      <c r="AIG83" s="90"/>
      <c r="AIH83" s="90"/>
      <c r="AII83" s="90"/>
      <c r="AIJ83" s="90"/>
      <c r="AIK83" s="90"/>
      <c r="AIL83" s="90"/>
      <c r="AIM83" s="90"/>
      <c r="AIN83" s="90"/>
      <c r="AIO83" s="90"/>
      <c r="AIP83" s="90"/>
      <c r="AIQ83" s="90"/>
      <c r="AIR83" s="90"/>
      <c r="AIS83" s="90"/>
      <c r="AIT83" s="90"/>
      <c r="AIU83" s="90"/>
      <c r="AIV83" s="90"/>
      <c r="AIW83" s="90"/>
      <c r="AIX83" s="90"/>
      <c r="AIY83" s="90"/>
      <c r="AIZ83" s="90"/>
      <c r="AJA83" s="90"/>
      <c r="AJB83" s="90"/>
      <c r="AJC83" s="90"/>
      <c r="AJD83" s="90"/>
      <c r="AJE83" s="90"/>
      <c r="AJF83" s="90"/>
      <c r="AJG83" s="90"/>
      <c r="AJH83" s="90"/>
      <c r="AJI83" s="90"/>
      <c r="AJJ83" s="90"/>
      <c r="AJK83" s="90"/>
      <c r="AJL83" s="90"/>
      <c r="AJM83" s="90"/>
      <c r="AJN83" s="90"/>
      <c r="AJO83" s="90"/>
      <c r="AJP83" s="90"/>
      <c r="AJQ83" s="90"/>
      <c r="AJR83" s="90"/>
      <c r="AJS83" s="90"/>
      <c r="AJT83" s="90"/>
      <c r="AJU83" s="90"/>
      <c r="AJV83" s="90"/>
      <c r="AJW83" s="90"/>
      <c r="AJX83" s="90"/>
      <c r="AJY83" s="90"/>
      <c r="AJZ83" s="90"/>
      <c r="AKA83" s="90"/>
      <c r="AKB83" s="90"/>
      <c r="AKC83" s="90"/>
      <c r="AKD83" s="90"/>
      <c r="AKE83" s="90"/>
      <c r="AKF83" s="90"/>
      <c r="AKG83" s="90"/>
      <c r="AKH83" s="90"/>
      <c r="AKI83" s="90"/>
      <c r="AKJ83" s="90"/>
      <c r="AKK83" s="90"/>
      <c r="AKL83" s="90"/>
      <c r="AKM83" s="90"/>
      <c r="AKN83" s="90"/>
      <c r="AKO83" s="90"/>
      <c r="AKP83" s="90"/>
      <c r="AKQ83" s="90"/>
      <c r="AKR83" s="90"/>
      <c r="AKS83" s="90"/>
      <c r="AKT83" s="90"/>
      <c r="AKU83" s="90"/>
      <c r="AKV83" s="90"/>
      <c r="AKW83" s="90"/>
      <c r="AKX83" s="90"/>
      <c r="AKY83" s="90"/>
      <c r="AKZ83" s="90"/>
      <c r="ALA83" s="90"/>
      <c r="ALB83" s="90"/>
      <c r="ALC83" s="90"/>
      <c r="ALD83" s="90"/>
      <c r="ALE83" s="90"/>
      <c r="ALF83" s="90"/>
      <c r="ALG83" s="90"/>
      <c r="ALH83" s="90"/>
      <c r="ALI83" s="90"/>
      <c r="ALJ83" s="90"/>
      <c r="ALK83" s="90"/>
      <c r="ALL83" s="90"/>
      <c r="ALM83" s="90"/>
      <c r="ALN83" s="90"/>
      <c r="ALO83" s="90"/>
      <c r="ALP83" s="90"/>
      <c r="ALQ83" s="90"/>
      <c r="ALR83" s="90"/>
      <c r="ALS83" s="90"/>
      <c r="ALT83" s="90"/>
      <c r="ALU83" s="90"/>
      <c r="ALV83" s="90"/>
      <c r="ALW83" s="90"/>
      <c r="ALX83" s="90"/>
      <c r="ALY83" s="90"/>
      <c r="ALZ83" s="90"/>
      <c r="AMA83" s="90"/>
      <c r="AMB83" s="90"/>
      <c r="AMC83" s="90"/>
    </row>
    <row r="84" spans="1:1017">
      <c r="A84" s="98" t="s">
        <v>26</v>
      </c>
      <c r="B84" s="648" t="str">
        <f t="shared" si="978"/>
        <v>Ikan_01 (Ikan Lainnya)</v>
      </c>
      <c r="Q84" s="91">
        <f t="shared" si="830"/>
        <v>0</v>
      </c>
      <c r="R84" s="91">
        <f t="shared" si="831"/>
        <v>0</v>
      </c>
      <c r="AG84" s="91">
        <f t="shared" si="832"/>
        <v>0</v>
      </c>
      <c r="AH84" s="91">
        <f t="shared" si="833"/>
        <v>0</v>
      </c>
      <c r="AW84" s="91">
        <f t="shared" si="834"/>
        <v>0</v>
      </c>
      <c r="AX84" s="91">
        <f t="shared" si="835"/>
        <v>0</v>
      </c>
      <c r="BM84" s="91">
        <f t="shared" si="836"/>
        <v>0</v>
      </c>
      <c r="BN84" s="91">
        <f t="shared" si="837"/>
        <v>0</v>
      </c>
      <c r="CC84" s="91">
        <f t="shared" si="838"/>
        <v>0</v>
      </c>
      <c r="CD84" s="91">
        <f t="shared" si="839"/>
        <v>0</v>
      </c>
      <c r="CG84" s="98">
        <v>101733</v>
      </c>
      <c r="CH84" s="98">
        <v>508665</v>
      </c>
      <c r="CK84" s="98">
        <v>359241</v>
      </c>
      <c r="CL84" s="98">
        <v>1796206</v>
      </c>
      <c r="CS84" s="91">
        <f t="shared" si="840"/>
        <v>460974</v>
      </c>
      <c r="CT84" s="91">
        <f t="shared" si="841"/>
        <v>2304871</v>
      </c>
      <c r="DI84" s="91">
        <f t="shared" si="842"/>
        <v>0</v>
      </c>
      <c r="DJ84" s="91">
        <f t="shared" si="843"/>
        <v>0</v>
      </c>
      <c r="DY84" s="91">
        <f t="shared" si="844"/>
        <v>0</v>
      </c>
      <c r="DZ84" s="91">
        <f t="shared" si="845"/>
        <v>0</v>
      </c>
      <c r="EO84" s="91">
        <f t="shared" si="846"/>
        <v>0</v>
      </c>
      <c r="EP84" s="91">
        <f t="shared" si="847"/>
        <v>0</v>
      </c>
      <c r="FE84" s="91">
        <f t="shared" si="848"/>
        <v>0</v>
      </c>
      <c r="FF84" s="91">
        <f t="shared" si="849"/>
        <v>0</v>
      </c>
      <c r="FU84" s="91">
        <f t="shared" si="850"/>
        <v>0</v>
      </c>
      <c r="FV84" s="91">
        <f t="shared" si="851"/>
        <v>0</v>
      </c>
      <c r="GK84" s="91">
        <f t="shared" si="852"/>
        <v>0</v>
      </c>
      <c r="GL84" s="91">
        <f t="shared" si="853"/>
        <v>0</v>
      </c>
      <c r="HA84" s="91">
        <f t="shared" si="854"/>
        <v>0</v>
      </c>
      <c r="HB84" s="91">
        <f t="shared" si="855"/>
        <v>0</v>
      </c>
      <c r="HQ84" s="91">
        <f t="shared" si="856"/>
        <v>0</v>
      </c>
      <c r="HR84" s="91">
        <f t="shared" si="857"/>
        <v>0</v>
      </c>
      <c r="IG84" s="91">
        <f t="shared" si="858"/>
        <v>0</v>
      </c>
      <c r="IH84" s="91">
        <f t="shared" si="859"/>
        <v>0</v>
      </c>
      <c r="IW84" s="91">
        <f t="shared" si="860"/>
        <v>0</v>
      </c>
      <c r="IX84" s="91">
        <f t="shared" si="861"/>
        <v>0</v>
      </c>
      <c r="JM84" s="91">
        <f t="shared" si="862"/>
        <v>0</v>
      </c>
      <c r="JN84" s="91">
        <f t="shared" si="863"/>
        <v>0</v>
      </c>
      <c r="KC84" s="91">
        <f t="shared" si="864"/>
        <v>0</v>
      </c>
      <c r="KD84" s="91">
        <f t="shared" si="865"/>
        <v>0</v>
      </c>
      <c r="KS84" s="91">
        <f t="shared" si="866"/>
        <v>0</v>
      </c>
      <c r="KT84" s="91">
        <f t="shared" si="867"/>
        <v>0</v>
      </c>
      <c r="LI84" s="91">
        <f t="shared" si="868"/>
        <v>0</v>
      </c>
      <c r="LJ84" s="91">
        <f t="shared" si="869"/>
        <v>0</v>
      </c>
      <c r="LY84" s="91">
        <f t="shared" si="870"/>
        <v>0</v>
      </c>
      <c r="LZ84" s="91">
        <f t="shared" si="871"/>
        <v>0</v>
      </c>
      <c r="MO84" s="91">
        <f t="shared" si="872"/>
        <v>0</v>
      </c>
      <c r="MP84" s="91">
        <f t="shared" si="873"/>
        <v>0</v>
      </c>
      <c r="MS84" s="98">
        <v>35</v>
      </c>
      <c r="MT84" s="98">
        <v>1050</v>
      </c>
      <c r="NE84" s="91">
        <f t="shared" si="874"/>
        <v>35</v>
      </c>
      <c r="NF84" s="91">
        <f t="shared" si="875"/>
        <v>1050</v>
      </c>
      <c r="NU84" s="91">
        <f t="shared" si="876"/>
        <v>0</v>
      </c>
      <c r="NV84" s="91">
        <f t="shared" si="877"/>
        <v>0</v>
      </c>
      <c r="OK84" s="91">
        <f t="shared" si="878"/>
        <v>0</v>
      </c>
      <c r="OL84" s="91">
        <f t="shared" si="879"/>
        <v>0</v>
      </c>
      <c r="PA84" s="91">
        <f t="shared" si="880"/>
        <v>0</v>
      </c>
      <c r="PB84" s="91">
        <f t="shared" si="881"/>
        <v>0</v>
      </c>
      <c r="PQ84" s="91">
        <f t="shared" si="882"/>
        <v>0</v>
      </c>
      <c r="PR84" s="91">
        <f t="shared" si="883"/>
        <v>0</v>
      </c>
      <c r="QG84" s="91">
        <f t="shared" si="884"/>
        <v>0</v>
      </c>
      <c r="QH84" s="91">
        <f t="shared" si="885"/>
        <v>0</v>
      </c>
      <c r="QW84" s="91">
        <f t="shared" si="886"/>
        <v>0</v>
      </c>
      <c r="QX84" s="91">
        <f t="shared" si="887"/>
        <v>0</v>
      </c>
      <c r="RM84" s="91">
        <f t="shared" si="888"/>
        <v>0</v>
      </c>
      <c r="RN84" s="91">
        <f t="shared" si="889"/>
        <v>0</v>
      </c>
      <c r="SC84" s="91">
        <f t="shared" si="890"/>
        <v>0</v>
      </c>
      <c r="SD84" s="91">
        <f t="shared" si="891"/>
        <v>0</v>
      </c>
      <c r="SS84" s="91">
        <f t="shared" si="892"/>
        <v>0</v>
      </c>
      <c r="ST84" s="91">
        <f t="shared" si="893"/>
        <v>0</v>
      </c>
      <c r="TI84" s="91">
        <f t="shared" si="894"/>
        <v>0</v>
      </c>
      <c r="TJ84" s="91">
        <f t="shared" si="895"/>
        <v>0</v>
      </c>
      <c r="TY84" s="91">
        <f t="shared" si="896"/>
        <v>0</v>
      </c>
      <c r="TZ84" s="91">
        <f t="shared" si="897"/>
        <v>0</v>
      </c>
      <c r="UO84" s="91">
        <f t="shared" si="898"/>
        <v>0</v>
      </c>
      <c r="UP84" s="91">
        <f t="shared" si="899"/>
        <v>0</v>
      </c>
      <c r="VE84" s="91">
        <f t="shared" si="900"/>
        <v>0</v>
      </c>
      <c r="VF84" s="91">
        <f t="shared" si="901"/>
        <v>0</v>
      </c>
      <c r="VU84" s="91">
        <f t="shared" si="902"/>
        <v>0</v>
      </c>
      <c r="VV84" s="91">
        <f t="shared" si="903"/>
        <v>0</v>
      </c>
      <c r="WK84" s="91">
        <f t="shared" si="904"/>
        <v>0</v>
      </c>
      <c r="WL84" s="91">
        <f t="shared" si="905"/>
        <v>0</v>
      </c>
      <c r="WM84" s="89"/>
      <c r="WN84" s="87">
        <f t="shared" si="981"/>
        <v>0</v>
      </c>
      <c r="WO84" s="87">
        <f t="shared" si="982"/>
        <v>0</v>
      </c>
      <c r="WP84" s="87">
        <f t="shared" si="983"/>
        <v>101768</v>
      </c>
      <c r="WQ84" s="87">
        <f t="shared" si="984"/>
        <v>509715</v>
      </c>
      <c r="WR84" s="87">
        <f t="shared" si="985"/>
        <v>0</v>
      </c>
      <c r="WS84" s="87">
        <f t="shared" si="986"/>
        <v>0</v>
      </c>
      <c r="WT84" s="87">
        <f t="shared" si="987"/>
        <v>359241</v>
      </c>
      <c r="WU84" s="87">
        <f t="shared" si="988"/>
        <v>1796206</v>
      </c>
      <c r="WV84" s="87">
        <f t="shared" si="989"/>
        <v>0</v>
      </c>
      <c r="WW84" s="87">
        <f t="shared" si="990"/>
        <v>0</v>
      </c>
      <c r="WX84" s="87">
        <f t="shared" si="991"/>
        <v>0</v>
      </c>
      <c r="WY84" s="87">
        <f t="shared" si="992"/>
        <v>0</v>
      </c>
      <c r="WZ84" s="87">
        <f t="shared" si="968"/>
        <v>0</v>
      </c>
      <c r="XA84" s="87">
        <f t="shared" si="969"/>
        <v>0</v>
      </c>
      <c r="XB84" s="92">
        <f t="shared" si="993"/>
        <v>461009</v>
      </c>
      <c r="XC84" s="92">
        <f t="shared" si="994"/>
        <v>2305921</v>
      </c>
      <c r="XD84" s="89"/>
      <c r="XE84" s="92">
        <f t="shared" ref="XE84:XF84" si="1003">SUM(XB160,XB198,XB236)</f>
        <v>1101017.4904406599</v>
      </c>
      <c r="XF84" s="92">
        <f t="shared" si="1003"/>
        <v>5533960.4522032999</v>
      </c>
      <c r="XG84" s="89"/>
      <c r="XH84" s="92">
        <f t="shared" ref="XH84:XI84" si="1004">SUM(XE122,XE160)</f>
        <v>3364685.1431549648</v>
      </c>
      <c r="XI84" s="92">
        <f t="shared" si="1004"/>
        <v>11594377.621775445</v>
      </c>
      <c r="XJ84" s="89"/>
      <c r="XK84" s="87"/>
      <c r="XL84" s="87"/>
      <c r="XM84" s="87"/>
      <c r="XN84" s="87"/>
      <c r="XO84" s="87"/>
      <c r="XP84" s="87"/>
      <c r="XQ84" s="87"/>
      <c r="XR84" s="92">
        <f t="shared" ca="1" si="922"/>
        <v>0</v>
      </c>
      <c r="XS84" s="89"/>
      <c r="XT84" s="87"/>
      <c r="XU84" s="87"/>
      <c r="XV84" s="87"/>
      <c r="XW84" s="87"/>
      <c r="XX84" s="87"/>
      <c r="XY84" s="87"/>
      <c r="XZ84" s="87"/>
      <c r="YA84" s="92">
        <f t="shared" ca="1" si="923"/>
        <v>0</v>
      </c>
      <c r="YB84" s="90"/>
      <c r="YC84" s="90"/>
      <c r="YD84" s="90"/>
      <c r="YE84" s="90"/>
      <c r="YF84" s="90"/>
      <c r="YG84" s="90"/>
      <c r="YH84" s="90"/>
      <c r="YI84" s="90"/>
      <c r="YJ84" s="90"/>
      <c r="YK84" s="90"/>
      <c r="YL84" s="90"/>
      <c r="YM84" s="90"/>
      <c r="YN84" s="90"/>
      <c r="YO84" s="90"/>
      <c r="YP84" s="90"/>
      <c r="YQ84" s="90"/>
      <c r="YR84" s="90"/>
      <c r="YS84" s="90"/>
      <c r="YT84" s="90"/>
      <c r="YU84" s="90"/>
      <c r="YV84" s="90"/>
      <c r="YW84" s="90"/>
      <c r="YX84" s="90"/>
      <c r="YY84" s="90"/>
      <c r="YZ84" s="90"/>
      <c r="ZA84" s="90"/>
      <c r="ZB84" s="90"/>
      <c r="ZC84" s="90"/>
      <c r="ZD84" s="90"/>
      <c r="ZE84" s="90"/>
      <c r="ZF84" s="90"/>
      <c r="ZG84" s="90"/>
      <c r="ZH84" s="90"/>
      <c r="ZI84" s="90"/>
      <c r="ZJ84" s="90"/>
      <c r="ZK84" s="90"/>
      <c r="ZL84" s="90"/>
      <c r="ZM84" s="90"/>
      <c r="ZN84" s="90"/>
      <c r="ZO84" s="90"/>
      <c r="ZP84" s="90"/>
      <c r="ZQ84" s="90"/>
      <c r="ZR84" s="90"/>
      <c r="ZS84" s="90"/>
      <c r="ZT84" s="90"/>
      <c r="ZU84" s="90"/>
      <c r="ZV84" s="90"/>
      <c r="ZW84" s="90"/>
      <c r="ZX84" s="90"/>
      <c r="ZY84" s="90"/>
      <c r="ZZ84" s="90"/>
      <c r="AAA84" s="90"/>
      <c r="AAB84" s="90"/>
      <c r="AAC84" s="90"/>
      <c r="AAD84" s="90"/>
      <c r="AAE84" s="90"/>
      <c r="AAF84" s="90"/>
      <c r="AAG84" s="90"/>
      <c r="AAH84" s="90"/>
      <c r="AAI84" s="90"/>
      <c r="AAJ84" s="90"/>
      <c r="AAK84" s="90"/>
      <c r="AAL84" s="90"/>
      <c r="AAM84" s="90"/>
      <c r="AAN84" s="90"/>
      <c r="AAO84" s="90"/>
      <c r="AAP84" s="90"/>
      <c r="AAQ84" s="90"/>
      <c r="AAR84" s="90"/>
      <c r="AAS84" s="90"/>
      <c r="AAT84" s="90"/>
      <c r="AAU84" s="90"/>
      <c r="AAV84" s="90"/>
      <c r="AAW84" s="90"/>
      <c r="AAX84" s="90"/>
      <c r="AAY84" s="90"/>
      <c r="AAZ84" s="90"/>
      <c r="ABA84" s="90"/>
      <c r="ABB84" s="90"/>
      <c r="ABC84" s="90"/>
      <c r="ABD84" s="90"/>
      <c r="ABE84" s="90"/>
      <c r="ABF84" s="90"/>
      <c r="ABG84" s="90"/>
      <c r="ABH84" s="90"/>
      <c r="ABI84" s="90"/>
      <c r="ABJ84" s="90"/>
      <c r="ABK84" s="90"/>
      <c r="ABL84" s="90"/>
      <c r="ABM84" s="90"/>
      <c r="ABN84" s="90"/>
      <c r="ABO84" s="90"/>
      <c r="ABP84" s="90"/>
      <c r="ABQ84" s="90"/>
      <c r="ABR84" s="90"/>
      <c r="ABS84" s="90"/>
      <c r="ABT84" s="90"/>
      <c r="ABU84" s="90"/>
      <c r="ABV84" s="90"/>
      <c r="ABW84" s="90"/>
      <c r="ABX84" s="90"/>
      <c r="ABY84" s="90"/>
      <c r="ABZ84" s="90"/>
      <c r="ACA84" s="90"/>
      <c r="ACB84" s="90"/>
      <c r="ACC84" s="90"/>
      <c r="ACD84" s="90"/>
      <c r="ACE84" s="90"/>
      <c r="ACF84" s="90"/>
      <c r="ACG84" s="90"/>
      <c r="ACH84" s="90"/>
      <c r="ACI84" s="90"/>
      <c r="ACJ84" s="90"/>
      <c r="ACK84" s="90"/>
      <c r="ACL84" s="90"/>
      <c r="ACM84" s="90"/>
      <c r="ACN84" s="90"/>
      <c r="ACO84" s="90"/>
      <c r="ACP84" s="90"/>
      <c r="ACQ84" s="90"/>
      <c r="ACR84" s="90"/>
      <c r="ACS84" s="90"/>
      <c r="ACT84" s="90"/>
      <c r="ACU84" s="90"/>
      <c r="ACV84" s="90"/>
      <c r="ACW84" s="90"/>
      <c r="ACX84" s="90"/>
      <c r="ACY84" s="90"/>
      <c r="ACZ84" s="90"/>
      <c r="ADA84" s="90"/>
      <c r="ADB84" s="90"/>
      <c r="ADC84" s="90"/>
      <c r="ADD84" s="90"/>
      <c r="ADE84" s="90"/>
      <c r="ADF84" s="90"/>
      <c r="ADG84" s="90"/>
      <c r="ADH84" s="90"/>
      <c r="ADI84" s="90"/>
      <c r="ADJ84" s="90"/>
      <c r="ADK84" s="90"/>
      <c r="ADL84" s="90"/>
      <c r="ADM84" s="90"/>
      <c r="ADN84" s="90"/>
      <c r="ADO84" s="90"/>
      <c r="ADP84" s="90"/>
      <c r="ADQ84" s="90"/>
      <c r="ADR84" s="90"/>
      <c r="ADS84" s="90"/>
      <c r="ADT84" s="90"/>
      <c r="ADU84" s="90"/>
      <c r="ADV84" s="90"/>
      <c r="ADW84" s="90"/>
      <c r="ADX84" s="90"/>
      <c r="ADY84" s="90"/>
      <c r="ADZ84" s="90"/>
      <c r="AEA84" s="90"/>
      <c r="AEB84" s="90"/>
      <c r="AEC84" s="90"/>
      <c r="AED84" s="90"/>
      <c r="AEE84" s="90"/>
      <c r="AEF84" s="90"/>
      <c r="AEG84" s="90"/>
      <c r="AEH84" s="90"/>
      <c r="AEI84" s="90"/>
      <c r="AEJ84" s="90"/>
      <c r="AEK84" s="90"/>
      <c r="AEL84" s="90"/>
      <c r="AEM84" s="90"/>
      <c r="AEN84" s="90"/>
      <c r="AEO84" s="90"/>
      <c r="AEP84" s="90"/>
      <c r="AEQ84" s="90"/>
      <c r="AER84" s="90"/>
      <c r="AES84" s="90"/>
      <c r="AET84" s="90"/>
      <c r="AEU84" s="90"/>
      <c r="AEV84" s="90"/>
      <c r="AEW84" s="90"/>
      <c r="AEX84" s="90"/>
      <c r="AEY84" s="90"/>
      <c r="AEZ84" s="90"/>
      <c r="AFA84" s="90"/>
      <c r="AFB84" s="90"/>
      <c r="AFC84" s="90"/>
      <c r="AFD84" s="90"/>
      <c r="AFE84" s="90"/>
      <c r="AFF84" s="90"/>
      <c r="AFG84" s="90"/>
      <c r="AFH84" s="90"/>
      <c r="AFI84" s="90"/>
      <c r="AFJ84" s="90"/>
      <c r="AFK84" s="90"/>
      <c r="AFL84" s="90"/>
      <c r="AFM84" s="90"/>
      <c r="AFN84" s="90"/>
      <c r="AFO84" s="90"/>
      <c r="AFP84" s="90"/>
      <c r="AFQ84" s="90"/>
      <c r="AFR84" s="90"/>
      <c r="AFS84" s="90"/>
      <c r="AFT84" s="90"/>
      <c r="AFU84" s="90"/>
      <c r="AFV84" s="90"/>
      <c r="AFW84" s="90"/>
      <c r="AFX84" s="90"/>
      <c r="AFY84" s="90"/>
      <c r="AFZ84" s="90"/>
      <c r="AGA84" s="90"/>
      <c r="AGB84" s="90"/>
      <c r="AGC84" s="90"/>
      <c r="AGD84" s="90"/>
      <c r="AGE84" s="90"/>
      <c r="AGF84" s="90"/>
      <c r="AGG84" s="90"/>
      <c r="AGH84" s="90"/>
      <c r="AGI84" s="90"/>
      <c r="AGJ84" s="90"/>
      <c r="AGK84" s="90"/>
      <c r="AGL84" s="90"/>
      <c r="AGM84" s="90"/>
      <c r="AGN84" s="90"/>
      <c r="AGO84" s="90"/>
      <c r="AGP84" s="90"/>
      <c r="AGQ84" s="90"/>
      <c r="AGR84" s="90"/>
      <c r="AGS84" s="90"/>
      <c r="AGT84" s="90"/>
      <c r="AGU84" s="90"/>
      <c r="AGV84" s="90"/>
      <c r="AGW84" s="90"/>
      <c r="AGX84" s="90"/>
      <c r="AGY84" s="90"/>
      <c r="AGZ84" s="90"/>
      <c r="AHA84" s="90"/>
      <c r="AHB84" s="90"/>
      <c r="AHC84" s="90"/>
      <c r="AHD84" s="90"/>
      <c r="AHE84" s="90"/>
      <c r="AHF84" s="90"/>
      <c r="AHG84" s="90"/>
      <c r="AHH84" s="90"/>
      <c r="AHI84" s="90"/>
      <c r="AHJ84" s="90"/>
      <c r="AHK84" s="90"/>
      <c r="AHL84" s="90"/>
      <c r="AHM84" s="90"/>
      <c r="AHN84" s="90"/>
      <c r="AHO84" s="90"/>
      <c r="AHP84" s="90"/>
      <c r="AHQ84" s="90"/>
      <c r="AHR84" s="90"/>
      <c r="AHS84" s="90"/>
      <c r="AHT84" s="90"/>
      <c r="AHU84" s="90"/>
      <c r="AHV84" s="90"/>
      <c r="AHW84" s="90"/>
      <c r="AHX84" s="90"/>
      <c r="AHY84" s="90"/>
      <c r="AHZ84" s="90"/>
      <c r="AIA84" s="90"/>
      <c r="AIB84" s="90"/>
      <c r="AIC84" s="90"/>
      <c r="AID84" s="90"/>
      <c r="AIE84" s="90"/>
      <c r="AIF84" s="90"/>
      <c r="AIG84" s="90"/>
      <c r="AIH84" s="90"/>
      <c r="AII84" s="90"/>
      <c r="AIJ84" s="90"/>
      <c r="AIK84" s="90"/>
      <c r="AIL84" s="90"/>
      <c r="AIM84" s="90"/>
      <c r="AIN84" s="90"/>
      <c r="AIO84" s="90"/>
      <c r="AIP84" s="90"/>
      <c r="AIQ84" s="90"/>
      <c r="AIR84" s="90"/>
      <c r="AIS84" s="90"/>
      <c r="AIT84" s="90"/>
      <c r="AIU84" s="90"/>
      <c r="AIV84" s="90"/>
      <c r="AIW84" s="90"/>
      <c r="AIX84" s="90"/>
      <c r="AIY84" s="90"/>
      <c r="AIZ84" s="90"/>
      <c r="AJA84" s="90"/>
      <c r="AJB84" s="90"/>
      <c r="AJC84" s="90"/>
      <c r="AJD84" s="90"/>
      <c r="AJE84" s="90"/>
      <c r="AJF84" s="90"/>
      <c r="AJG84" s="90"/>
      <c r="AJH84" s="90"/>
      <c r="AJI84" s="90"/>
      <c r="AJJ84" s="90"/>
      <c r="AJK84" s="90"/>
      <c r="AJL84" s="90"/>
      <c r="AJM84" s="90"/>
      <c r="AJN84" s="90"/>
      <c r="AJO84" s="90"/>
      <c r="AJP84" s="90"/>
      <c r="AJQ84" s="90"/>
      <c r="AJR84" s="90"/>
      <c r="AJS84" s="90"/>
      <c r="AJT84" s="90"/>
      <c r="AJU84" s="90"/>
      <c r="AJV84" s="90"/>
      <c r="AJW84" s="90"/>
      <c r="AJX84" s="90"/>
      <c r="AJY84" s="90"/>
      <c r="AJZ84" s="90"/>
      <c r="AKA84" s="90"/>
      <c r="AKB84" s="90"/>
      <c r="AKC84" s="90"/>
      <c r="AKD84" s="90"/>
      <c r="AKE84" s="90"/>
      <c r="AKF84" s="90"/>
      <c r="AKG84" s="90"/>
      <c r="AKH84" s="90"/>
      <c r="AKI84" s="90"/>
      <c r="AKJ84" s="90"/>
      <c r="AKK84" s="90"/>
      <c r="AKL84" s="90"/>
      <c r="AKM84" s="90"/>
      <c r="AKN84" s="90"/>
      <c r="AKO84" s="90"/>
      <c r="AKP84" s="90"/>
      <c r="AKQ84" s="90"/>
      <c r="AKR84" s="90"/>
      <c r="AKS84" s="90"/>
      <c r="AKT84" s="90"/>
      <c r="AKU84" s="90"/>
      <c r="AKV84" s="90"/>
      <c r="AKW84" s="90"/>
      <c r="AKX84" s="90"/>
      <c r="AKY84" s="90"/>
      <c r="AKZ84" s="90"/>
      <c r="ALA84" s="90"/>
      <c r="ALB84" s="90"/>
      <c r="ALC84" s="90"/>
      <c r="ALD84" s="90"/>
      <c r="ALE84" s="90"/>
      <c r="ALF84" s="90"/>
      <c r="ALG84" s="90"/>
      <c r="ALH84" s="90"/>
      <c r="ALI84" s="90"/>
      <c r="ALJ84" s="90"/>
      <c r="ALK84" s="90"/>
      <c r="ALL84" s="90"/>
      <c r="ALM84" s="90"/>
      <c r="ALN84" s="90"/>
      <c r="ALO84" s="90"/>
      <c r="ALP84" s="90"/>
      <c r="ALQ84" s="90"/>
      <c r="ALR84" s="90"/>
      <c r="ALS84" s="90"/>
      <c r="ALT84" s="90"/>
      <c r="ALU84" s="90"/>
      <c r="ALV84" s="90"/>
      <c r="ALW84" s="90"/>
      <c r="ALX84" s="90"/>
      <c r="ALY84" s="90"/>
      <c r="ALZ84" s="90"/>
      <c r="AMA84" s="90"/>
      <c r="AMB84" s="90"/>
      <c r="AMC84" s="90"/>
    </row>
    <row r="85" spans="1:1017">
      <c r="A85" s="98" t="s">
        <v>26</v>
      </c>
      <c r="B85" s="648" t="str">
        <f t="shared" si="978"/>
        <v>Ikan_02 (Tiram)</v>
      </c>
      <c r="Q85" s="91">
        <f t="shared" si="830"/>
        <v>0</v>
      </c>
      <c r="R85" s="91">
        <f t="shared" si="831"/>
        <v>0</v>
      </c>
      <c r="S85" s="98">
        <v>1230</v>
      </c>
      <c r="T85" s="98">
        <v>12300</v>
      </c>
      <c r="AG85" s="91">
        <f t="shared" si="832"/>
        <v>1230</v>
      </c>
      <c r="AH85" s="91">
        <f t="shared" si="833"/>
        <v>12300</v>
      </c>
      <c r="AW85" s="91">
        <f t="shared" si="834"/>
        <v>0</v>
      </c>
      <c r="AX85" s="91">
        <f t="shared" si="835"/>
        <v>0</v>
      </c>
      <c r="BM85" s="91">
        <f t="shared" si="836"/>
        <v>0</v>
      </c>
      <c r="BN85" s="91">
        <f t="shared" si="837"/>
        <v>0</v>
      </c>
      <c r="CC85" s="91">
        <f t="shared" si="838"/>
        <v>0</v>
      </c>
      <c r="CD85" s="91">
        <f t="shared" si="839"/>
        <v>0</v>
      </c>
      <c r="CS85" s="91">
        <f t="shared" si="840"/>
        <v>0</v>
      </c>
      <c r="CT85" s="91">
        <f t="shared" si="841"/>
        <v>0</v>
      </c>
      <c r="DI85" s="91">
        <f t="shared" si="842"/>
        <v>0</v>
      </c>
      <c r="DJ85" s="91">
        <f t="shared" si="843"/>
        <v>0</v>
      </c>
      <c r="DY85" s="91">
        <f t="shared" si="844"/>
        <v>0</v>
      </c>
      <c r="DZ85" s="91">
        <f t="shared" si="845"/>
        <v>0</v>
      </c>
      <c r="EO85" s="91">
        <f t="shared" si="846"/>
        <v>0</v>
      </c>
      <c r="EP85" s="91">
        <f t="shared" si="847"/>
        <v>0</v>
      </c>
      <c r="FE85" s="91">
        <f t="shared" si="848"/>
        <v>0</v>
      </c>
      <c r="FF85" s="91">
        <f t="shared" si="849"/>
        <v>0</v>
      </c>
      <c r="FU85" s="91">
        <f t="shared" si="850"/>
        <v>0</v>
      </c>
      <c r="FV85" s="91">
        <f t="shared" si="851"/>
        <v>0</v>
      </c>
      <c r="GK85" s="91">
        <f t="shared" si="852"/>
        <v>0</v>
      </c>
      <c r="GL85" s="91">
        <f t="shared" si="853"/>
        <v>0</v>
      </c>
      <c r="HA85" s="91">
        <f t="shared" si="854"/>
        <v>0</v>
      </c>
      <c r="HB85" s="91">
        <f t="shared" si="855"/>
        <v>0</v>
      </c>
      <c r="HQ85" s="91">
        <f t="shared" si="856"/>
        <v>0</v>
      </c>
      <c r="HR85" s="91">
        <f t="shared" si="857"/>
        <v>0</v>
      </c>
      <c r="IG85" s="91">
        <f t="shared" si="858"/>
        <v>0</v>
      </c>
      <c r="IH85" s="91">
        <f t="shared" si="859"/>
        <v>0</v>
      </c>
      <c r="IW85" s="91">
        <f t="shared" si="860"/>
        <v>0</v>
      </c>
      <c r="IX85" s="91">
        <f t="shared" si="861"/>
        <v>0</v>
      </c>
      <c r="JM85" s="91">
        <f t="shared" si="862"/>
        <v>0</v>
      </c>
      <c r="JN85" s="91">
        <f t="shared" si="863"/>
        <v>0</v>
      </c>
      <c r="KC85" s="91">
        <f t="shared" si="864"/>
        <v>0</v>
      </c>
      <c r="KD85" s="91">
        <f t="shared" si="865"/>
        <v>0</v>
      </c>
      <c r="KS85" s="91">
        <f t="shared" si="866"/>
        <v>0</v>
      </c>
      <c r="KT85" s="91">
        <f t="shared" si="867"/>
        <v>0</v>
      </c>
      <c r="LI85" s="91">
        <f t="shared" si="868"/>
        <v>0</v>
      </c>
      <c r="LJ85" s="91">
        <f t="shared" si="869"/>
        <v>0</v>
      </c>
      <c r="LY85" s="91">
        <f t="shared" si="870"/>
        <v>0</v>
      </c>
      <c r="LZ85" s="91">
        <f t="shared" si="871"/>
        <v>0</v>
      </c>
      <c r="MO85" s="91">
        <f t="shared" si="872"/>
        <v>0</v>
      </c>
      <c r="MP85" s="91">
        <f t="shared" si="873"/>
        <v>0</v>
      </c>
      <c r="NE85" s="91">
        <f t="shared" si="874"/>
        <v>0</v>
      </c>
      <c r="NF85" s="91">
        <f t="shared" si="875"/>
        <v>0</v>
      </c>
      <c r="NU85" s="91">
        <f t="shared" si="876"/>
        <v>0</v>
      </c>
      <c r="NV85" s="91">
        <f t="shared" si="877"/>
        <v>0</v>
      </c>
      <c r="OK85" s="91">
        <f t="shared" si="878"/>
        <v>0</v>
      </c>
      <c r="OL85" s="91">
        <f t="shared" si="879"/>
        <v>0</v>
      </c>
      <c r="PA85" s="91">
        <f t="shared" si="880"/>
        <v>0</v>
      </c>
      <c r="PB85" s="91">
        <f t="shared" si="881"/>
        <v>0</v>
      </c>
      <c r="PQ85" s="91">
        <f t="shared" si="882"/>
        <v>0</v>
      </c>
      <c r="PR85" s="91">
        <f t="shared" si="883"/>
        <v>0</v>
      </c>
      <c r="QG85" s="91">
        <f t="shared" si="884"/>
        <v>0</v>
      </c>
      <c r="QH85" s="91">
        <f t="shared" si="885"/>
        <v>0</v>
      </c>
      <c r="QW85" s="91">
        <f t="shared" si="886"/>
        <v>0</v>
      </c>
      <c r="QX85" s="91">
        <f t="shared" si="887"/>
        <v>0</v>
      </c>
      <c r="RM85" s="91">
        <f t="shared" si="888"/>
        <v>0</v>
      </c>
      <c r="RN85" s="91">
        <f t="shared" si="889"/>
        <v>0</v>
      </c>
      <c r="SC85" s="91">
        <f t="shared" si="890"/>
        <v>0</v>
      </c>
      <c r="SD85" s="91">
        <f t="shared" si="891"/>
        <v>0</v>
      </c>
      <c r="SS85" s="91">
        <f t="shared" si="892"/>
        <v>0</v>
      </c>
      <c r="ST85" s="91">
        <f t="shared" si="893"/>
        <v>0</v>
      </c>
      <c r="TI85" s="91">
        <f t="shared" si="894"/>
        <v>0</v>
      </c>
      <c r="TJ85" s="91">
        <f t="shared" si="895"/>
        <v>0</v>
      </c>
      <c r="TY85" s="91">
        <f t="shared" si="896"/>
        <v>0</v>
      </c>
      <c r="TZ85" s="91">
        <f t="shared" si="897"/>
        <v>0</v>
      </c>
      <c r="UO85" s="91">
        <f t="shared" si="898"/>
        <v>0</v>
      </c>
      <c r="UP85" s="91">
        <f t="shared" si="899"/>
        <v>0</v>
      </c>
      <c r="VE85" s="91">
        <f t="shared" si="900"/>
        <v>0</v>
      </c>
      <c r="VF85" s="91">
        <f t="shared" si="901"/>
        <v>0</v>
      </c>
      <c r="VU85" s="91">
        <f t="shared" si="902"/>
        <v>0</v>
      </c>
      <c r="VV85" s="91">
        <f t="shared" si="903"/>
        <v>0</v>
      </c>
      <c r="WK85" s="91">
        <f t="shared" si="904"/>
        <v>0</v>
      </c>
      <c r="WL85" s="91">
        <f t="shared" si="905"/>
        <v>0</v>
      </c>
      <c r="WM85" s="89"/>
      <c r="WN85" s="87">
        <f t="shared" si="981"/>
        <v>1230</v>
      </c>
      <c r="WO85" s="87">
        <f t="shared" si="982"/>
        <v>12300</v>
      </c>
      <c r="WP85" s="87">
        <f t="shared" si="983"/>
        <v>0</v>
      </c>
      <c r="WQ85" s="87">
        <f t="shared" si="984"/>
        <v>0</v>
      </c>
      <c r="WR85" s="87">
        <f t="shared" si="985"/>
        <v>0</v>
      </c>
      <c r="WS85" s="87">
        <f t="shared" si="986"/>
        <v>0</v>
      </c>
      <c r="WT85" s="87">
        <f t="shared" si="987"/>
        <v>0</v>
      </c>
      <c r="WU85" s="87">
        <f t="shared" si="988"/>
        <v>0</v>
      </c>
      <c r="WV85" s="87">
        <f t="shared" si="989"/>
        <v>0</v>
      </c>
      <c r="WW85" s="87">
        <f t="shared" si="990"/>
        <v>0</v>
      </c>
      <c r="WX85" s="87">
        <f t="shared" si="991"/>
        <v>0</v>
      </c>
      <c r="WY85" s="87">
        <f t="shared" si="992"/>
        <v>0</v>
      </c>
      <c r="WZ85" s="87">
        <f t="shared" si="968"/>
        <v>0</v>
      </c>
      <c r="XA85" s="87">
        <f t="shared" si="969"/>
        <v>0</v>
      </c>
      <c r="XB85" s="92">
        <f t="shared" si="993"/>
        <v>1230</v>
      </c>
      <c r="XC85" s="92">
        <f t="shared" si="994"/>
        <v>12300</v>
      </c>
      <c r="XD85" s="89"/>
      <c r="XE85" s="92">
        <f t="shared" ref="XE85:XF85" si="1005">SUM(XB161,XB199,XB237)</f>
        <v>3700</v>
      </c>
      <c r="XF85" s="92">
        <f t="shared" si="1005"/>
        <v>37000</v>
      </c>
      <c r="XG85" s="89"/>
      <c r="XH85" s="92">
        <f t="shared" ref="XH85:XI85" si="1006">SUM(XE123,XE161)</f>
        <v>7885</v>
      </c>
      <c r="XI85" s="92">
        <f t="shared" si="1006"/>
        <v>78850</v>
      </c>
      <c r="XJ85" s="89"/>
      <c r="XK85" s="87"/>
      <c r="XL85" s="87"/>
      <c r="XM85" s="87"/>
      <c r="XN85" s="87"/>
      <c r="XO85" s="87"/>
      <c r="XP85" s="87"/>
      <c r="XQ85" s="87"/>
      <c r="XR85" s="92">
        <f t="shared" ca="1" si="922"/>
        <v>0</v>
      </c>
      <c r="XS85" s="89"/>
      <c r="XT85" s="87"/>
      <c r="XU85" s="87"/>
      <c r="XV85" s="87"/>
      <c r="XW85" s="87"/>
      <c r="XX85" s="87"/>
      <c r="XY85" s="87"/>
      <c r="XZ85" s="87"/>
      <c r="YA85" s="92">
        <f t="shared" ca="1" si="923"/>
        <v>0</v>
      </c>
      <c r="YB85" s="90"/>
      <c r="YC85" s="90"/>
      <c r="YD85" s="90"/>
      <c r="YE85" s="90"/>
      <c r="YF85" s="90"/>
      <c r="YG85" s="90"/>
      <c r="YH85" s="90"/>
      <c r="YI85" s="90"/>
      <c r="YJ85" s="90"/>
      <c r="YK85" s="90"/>
      <c r="YL85" s="90"/>
      <c r="YM85" s="90"/>
      <c r="YN85" s="90"/>
      <c r="YO85" s="90"/>
      <c r="YP85" s="90"/>
      <c r="YQ85" s="90"/>
      <c r="YR85" s="90"/>
      <c r="YS85" s="90"/>
      <c r="YT85" s="90"/>
      <c r="YU85" s="90"/>
      <c r="YV85" s="90"/>
      <c r="YW85" s="90"/>
      <c r="YX85" s="90"/>
      <c r="YY85" s="90"/>
      <c r="YZ85" s="90"/>
      <c r="ZA85" s="90"/>
      <c r="ZB85" s="90"/>
      <c r="ZC85" s="90"/>
      <c r="ZD85" s="90"/>
      <c r="ZE85" s="90"/>
      <c r="ZF85" s="90"/>
      <c r="ZG85" s="90"/>
      <c r="ZH85" s="90"/>
      <c r="ZI85" s="90"/>
      <c r="ZJ85" s="90"/>
      <c r="ZK85" s="90"/>
      <c r="ZL85" s="90"/>
      <c r="ZM85" s="90"/>
      <c r="ZN85" s="90"/>
      <c r="ZO85" s="90"/>
      <c r="ZP85" s="90"/>
      <c r="ZQ85" s="90"/>
      <c r="ZR85" s="90"/>
      <c r="ZS85" s="90"/>
      <c r="ZT85" s="90"/>
      <c r="ZU85" s="90"/>
      <c r="ZV85" s="90"/>
      <c r="ZW85" s="90"/>
      <c r="ZX85" s="90"/>
      <c r="ZY85" s="90"/>
      <c r="ZZ85" s="90"/>
      <c r="AAA85" s="90"/>
      <c r="AAB85" s="90"/>
      <c r="AAC85" s="90"/>
      <c r="AAD85" s="90"/>
      <c r="AAE85" s="90"/>
      <c r="AAF85" s="90"/>
      <c r="AAG85" s="90"/>
      <c r="AAH85" s="90"/>
      <c r="AAI85" s="90"/>
      <c r="AAJ85" s="90"/>
      <c r="AAK85" s="90"/>
      <c r="AAL85" s="90"/>
      <c r="AAM85" s="90"/>
      <c r="AAN85" s="90"/>
      <c r="AAO85" s="90"/>
      <c r="AAP85" s="90"/>
      <c r="AAQ85" s="90"/>
      <c r="AAR85" s="90"/>
      <c r="AAS85" s="90"/>
      <c r="AAT85" s="90"/>
      <c r="AAU85" s="90"/>
      <c r="AAV85" s="90"/>
      <c r="AAW85" s="90"/>
      <c r="AAX85" s="90"/>
      <c r="AAY85" s="90"/>
      <c r="AAZ85" s="90"/>
      <c r="ABA85" s="90"/>
      <c r="ABB85" s="90"/>
      <c r="ABC85" s="90"/>
      <c r="ABD85" s="90"/>
      <c r="ABE85" s="90"/>
      <c r="ABF85" s="90"/>
      <c r="ABG85" s="90"/>
      <c r="ABH85" s="90"/>
      <c r="ABI85" s="90"/>
      <c r="ABJ85" s="90"/>
      <c r="ABK85" s="90"/>
      <c r="ABL85" s="90"/>
      <c r="ABM85" s="90"/>
      <c r="ABN85" s="90"/>
      <c r="ABO85" s="90"/>
      <c r="ABP85" s="90"/>
      <c r="ABQ85" s="90"/>
      <c r="ABR85" s="90"/>
      <c r="ABS85" s="90"/>
      <c r="ABT85" s="90"/>
      <c r="ABU85" s="90"/>
      <c r="ABV85" s="90"/>
      <c r="ABW85" s="90"/>
      <c r="ABX85" s="90"/>
      <c r="ABY85" s="90"/>
      <c r="ABZ85" s="90"/>
      <c r="ACA85" s="90"/>
      <c r="ACB85" s="90"/>
      <c r="ACC85" s="90"/>
      <c r="ACD85" s="90"/>
      <c r="ACE85" s="90"/>
      <c r="ACF85" s="90"/>
      <c r="ACG85" s="90"/>
      <c r="ACH85" s="90"/>
      <c r="ACI85" s="90"/>
      <c r="ACJ85" s="90"/>
      <c r="ACK85" s="90"/>
      <c r="ACL85" s="90"/>
      <c r="ACM85" s="90"/>
      <c r="ACN85" s="90"/>
      <c r="ACO85" s="90"/>
      <c r="ACP85" s="90"/>
      <c r="ACQ85" s="90"/>
      <c r="ACR85" s="90"/>
      <c r="ACS85" s="90"/>
      <c r="ACT85" s="90"/>
      <c r="ACU85" s="90"/>
      <c r="ACV85" s="90"/>
      <c r="ACW85" s="90"/>
      <c r="ACX85" s="90"/>
      <c r="ACY85" s="90"/>
      <c r="ACZ85" s="90"/>
      <c r="ADA85" s="90"/>
      <c r="ADB85" s="90"/>
      <c r="ADC85" s="90"/>
      <c r="ADD85" s="90"/>
      <c r="ADE85" s="90"/>
      <c r="ADF85" s="90"/>
      <c r="ADG85" s="90"/>
      <c r="ADH85" s="90"/>
      <c r="ADI85" s="90"/>
      <c r="ADJ85" s="90"/>
      <c r="ADK85" s="90"/>
      <c r="ADL85" s="90"/>
      <c r="ADM85" s="90"/>
      <c r="ADN85" s="90"/>
      <c r="ADO85" s="90"/>
      <c r="ADP85" s="90"/>
      <c r="ADQ85" s="90"/>
      <c r="ADR85" s="90"/>
      <c r="ADS85" s="90"/>
      <c r="ADT85" s="90"/>
      <c r="ADU85" s="90"/>
      <c r="ADV85" s="90"/>
      <c r="ADW85" s="90"/>
      <c r="ADX85" s="90"/>
      <c r="ADY85" s="90"/>
      <c r="ADZ85" s="90"/>
      <c r="AEA85" s="90"/>
      <c r="AEB85" s="90"/>
      <c r="AEC85" s="90"/>
      <c r="AED85" s="90"/>
      <c r="AEE85" s="90"/>
      <c r="AEF85" s="90"/>
      <c r="AEG85" s="90"/>
      <c r="AEH85" s="90"/>
      <c r="AEI85" s="90"/>
      <c r="AEJ85" s="90"/>
      <c r="AEK85" s="90"/>
      <c r="AEL85" s="90"/>
      <c r="AEM85" s="90"/>
      <c r="AEN85" s="90"/>
      <c r="AEO85" s="90"/>
      <c r="AEP85" s="90"/>
      <c r="AEQ85" s="90"/>
      <c r="AER85" s="90"/>
      <c r="AES85" s="90"/>
      <c r="AET85" s="90"/>
      <c r="AEU85" s="90"/>
      <c r="AEV85" s="90"/>
      <c r="AEW85" s="90"/>
      <c r="AEX85" s="90"/>
      <c r="AEY85" s="90"/>
      <c r="AEZ85" s="90"/>
      <c r="AFA85" s="90"/>
      <c r="AFB85" s="90"/>
      <c r="AFC85" s="90"/>
      <c r="AFD85" s="90"/>
      <c r="AFE85" s="90"/>
      <c r="AFF85" s="90"/>
      <c r="AFG85" s="90"/>
      <c r="AFH85" s="90"/>
      <c r="AFI85" s="90"/>
      <c r="AFJ85" s="90"/>
      <c r="AFK85" s="90"/>
      <c r="AFL85" s="90"/>
      <c r="AFM85" s="90"/>
      <c r="AFN85" s="90"/>
      <c r="AFO85" s="90"/>
      <c r="AFP85" s="90"/>
      <c r="AFQ85" s="90"/>
      <c r="AFR85" s="90"/>
      <c r="AFS85" s="90"/>
      <c r="AFT85" s="90"/>
      <c r="AFU85" s="90"/>
      <c r="AFV85" s="90"/>
      <c r="AFW85" s="90"/>
      <c r="AFX85" s="90"/>
      <c r="AFY85" s="90"/>
      <c r="AFZ85" s="90"/>
      <c r="AGA85" s="90"/>
      <c r="AGB85" s="90"/>
      <c r="AGC85" s="90"/>
      <c r="AGD85" s="90"/>
      <c r="AGE85" s="90"/>
      <c r="AGF85" s="90"/>
      <c r="AGG85" s="90"/>
      <c r="AGH85" s="90"/>
      <c r="AGI85" s="90"/>
      <c r="AGJ85" s="90"/>
      <c r="AGK85" s="90"/>
      <c r="AGL85" s="90"/>
      <c r="AGM85" s="90"/>
      <c r="AGN85" s="90"/>
      <c r="AGO85" s="90"/>
      <c r="AGP85" s="90"/>
      <c r="AGQ85" s="90"/>
      <c r="AGR85" s="90"/>
      <c r="AGS85" s="90"/>
      <c r="AGT85" s="90"/>
      <c r="AGU85" s="90"/>
      <c r="AGV85" s="90"/>
      <c r="AGW85" s="90"/>
      <c r="AGX85" s="90"/>
      <c r="AGY85" s="90"/>
      <c r="AGZ85" s="90"/>
      <c r="AHA85" s="90"/>
      <c r="AHB85" s="90"/>
      <c r="AHC85" s="90"/>
      <c r="AHD85" s="90"/>
      <c r="AHE85" s="90"/>
      <c r="AHF85" s="90"/>
      <c r="AHG85" s="90"/>
      <c r="AHH85" s="90"/>
      <c r="AHI85" s="90"/>
      <c r="AHJ85" s="90"/>
      <c r="AHK85" s="90"/>
      <c r="AHL85" s="90"/>
      <c r="AHM85" s="90"/>
      <c r="AHN85" s="90"/>
      <c r="AHO85" s="90"/>
      <c r="AHP85" s="90"/>
      <c r="AHQ85" s="90"/>
      <c r="AHR85" s="90"/>
      <c r="AHS85" s="90"/>
      <c r="AHT85" s="90"/>
      <c r="AHU85" s="90"/>
      <c r="AHV85" s="90"/>
      <c r="AHW85" s="90"/>
      <c r="AHX85" s="90"/>
      <c r="AHY85" s="90"/>
      <c r="AHZ85" s="90"/>
      <c r="AIA85" s="90"/>
      <c r="AIB85" s="90"/>
      <c r="AIC85" s="90"/>
      <c r="AID85" s="90"/>
      <c r="AIE85" s="90"/>
      <c r="AIF85" s="90"/>
      <c r="AIG85" s="90"/>
      <c r="AIH85" s="90"/>
      <c r="AII85" s="90"/>
      <c r="AIJ85" s="90"/>
      <c r="AIK85" s="90"/>
      <c r="AIL85" s="90"/>
      <c r="AIM85" s="90"/>
      <c r="AIN85" s="90"/>
      <c r="AIO85" s="90"/>
      <c r="AIP85" s="90"/>
      <c r="AIQ85" s="90"/>
      <c r="AIR85" s="90"/>
      <c r="AIS85" s="90"/>
      <c r="AIT85" s="90"/>
      <c r="AIU85" s="90"/>
      <c r="AIV85" s="90"/>
      <c r="AIW85" s="90"/>
      <c r="AIX85" s="90"/>
      <c r="AIY85" s="90"/>
      <c r="AIZ85" s="90"/>
      <c r="AJA85" s="90"/>
      <c r="AJB85" s="90"/>
      <c r="AJC85" s="90"/>
      <c r="AJD85" s="90"/>
      <c r="AJE85" s="90"/>
      <c r="AJF85" s="90"/>
      <c r="AJG85" s="90"/>
      <c r="AJH85" s="90"/>
      <c r="AJI85" s="90"/>
      <c r="AJJ85" s="90"/>
      <c r="AJK85" s="90"/>
      <c r="AJL85" s="90"/>
      <c r="AJM85" s="90"/>
      <c r="AJN85" s="90"/>
      <c r="AJO85" s="90"/>
      <c r="AJP85" s="90"/>
      <c r="AJQ85" s="90"/>
      <c r="AJR85" s="90"/>
      <c r="AJS85" s="90"/>
      <c r="AJT85" s="90"/>
      <c r="AJU85" s="90"/>
      <c r="AJV85" s="90"/>
      <c r="AJW85" s="90"/>
      <c r="AJX85" s="90"/>
      <c r="AJY85" s="90"/>
      <c r="AJZ85" s="90"/>
      <c r="AKA85" s="90"/>
      <c r="AKB85" s="90"/>
      <c r="AKC85" s="90"/>
      <c r="AKD85" s="90"/>
      <c r="AKE85" s="90"/>
      <c r="AKF85" s="90"/>
      <c r="AKG85" s="90"/>
      <c r="AKH85" s="90"/>
      <c r="AKI85" s="90"/>
      <c r="AKJ85" s="90"/>
      <c r="AKK85" s="90"/>
      <c r="AKL85" s="90"/>
      <c r="AKM85" s="90"/>
      <c r="AKN85" s="90"/>
      <c r="AKO85" s="90"/>
      <c r="AKP85" s="90"/>
      <c r="AKQ85" s="90"/>
      <c r="AKR85" s="90"/>
      <c r="AKS85" s="90"/>
      <c r="AKT85" s="90"/>
      <c r="AKU85" s="90"/>
      <c r="AKV85" s="90"/>
      <c r="AKW85" s="90"/>
      <c r="AKX85" s="90"/>
      <c r="AKY85" s="90"/>
      <c r="AKZ85" s="90"/>
      <c r="ALA85" s="90"/>
      <c r="ALB85" s="90"/>
      <c r="ALC85" s="90"/>
      <c r="ALD85" s="90"/>
      <c r="ALE85" s="90"/>
      <c r="ALF85" s="90"/>
      <c r="ALG85" s="90"/>
      <c r="ALH85" s="90"/>
      <c r="ALI85" s="90"/>
      <c r="ALJ85" s="90"/>
      <c r="ALK85" s="90"/>
      <c r="ALL85" s="90"/>
      <c r="ALM85" s="90"/>
      <c r="ALN85" s="90"/>
      <c r="ALO85" s="90"/>
      <c r="ALP85" s="90"/>
      <c r="ALQ85" s="90"/>
      <c r="ALR85" s="90"/>
      <c r="ALS85" s="90"/>
      <c r="ALT85" s="90"/>
      <c r="ALU85" s="90"/>
      <c r="ALV85" s="90"/>
      <c r="ALW85" s="90"/>
      <c r="ALX85" s="90"/>
      <c r="ALY85" s="90"/>
      <c r="ALZ85" s="90"/>
      <c r="AMA85" s="90"/>
      <c r="AMB85" s="90"/>
      <c r="AMC85" s="90"/>
    </row>
    <row r="86" spans="1:1017">
      <c r="A86" s="98" t="s">
        <v>26</v>
      </c>
      <c r="B86" s="648" t="str">
        <f t="shared" si="978"/>
        <v>Ikan_03 (Kerang Darah)</v>
      </c>
      <c r="Q86" s="91">
        <f t="shared" si="830"/>
        <v>0</v>
      </c>
      <c r="R86" s="91">
        <f t="shared" si="831"/>
        <v>0</v>
      </c>
      <c r="AG86" s="91">
        <f t="shared" si="832"/>
        <v>0</v>
      </c>
      <c r="AH86" s="91">
        <f t="shared" si="833"/>
        <v>0</v>
      </c>
      <c r="AW86" s="91">
        <f t="shared" si="834"/>
        <v>0</v>
      </c>
      <c r="AX86" s="91">
        <f t="shared" si="835"/>
        <v>0</v>
      </c>
      <c r="BM86" s="91">
        <f t="shared" si="836"/>
        <v>0</v>
      </c>
      <c r="BN86" s="91">
        <f t="shared" si="837"/>
        <v>0</v>
      </c>
      <c r="CC86" s="91">
        <f t="shared" si="838"/>
        <v>0</v>
      </c>
      <c r="CD86" s="91">
        <f t="shared" si="839"/>
        <v>0</v>
      </c>
      <c r="CS86" s="91">
        <f t="shared" si="840"/>
        <v>0</v>
      </c>
      <c r="CT86" s="91">
        <f t="shared" si="841"/>
        <v>0</v>
      </c>
      <c r="DI86" s="91">
        <f t="shared" si="842"/>
        <v>0</v>
      </c>
      <c r="DJ86" s="91">
        <f t="shared" si="843"/>
        <v>0</v>
      </c>
      <c r="DY86" s="91">
        <f t="shared" si="844"/>
        <v>0</v>
      </c>
      <c r="DZ86" s="91">
        <f t="shared" si="845"/>
        <v>0</v>
      </c>
      <c r="EO86" s="91">
        <f t="shared" si="846"/>
        <v>0</v>
      </c>
      <c r="EP86" s="91">
        <f t="shared" si="847"/>
        <v>0</v>
      </c>
      <c r="FE86" s="91">
        <f t="shared" si="848"/>
        <v>0</v>
      </c>
      <c r="FF86" s="91">
        <f t="shared" si="849"/>
        <v>0</v>
      </c>
      <c r="FU86" s="91">
        <f t="shared" si="850"/>
        <v>0</v>
      </c>
      <c r="FV86" s="91">
        <f t="shared" si="851"/>
        <v>0</v>
      </c>
      <c r="GK86" s="91">
        <f t="shared" si="852"/>
        <v>0</v>
      </c>
      <c r="GL86" s="91">
        <f t="shared" si="853"/>
        <v>0</v>
      </c>
      <c r="HA86" s="91">
        <f t="shared" si="854"/>
        <v>0</v>
      </c>
      <c r="HB86" s="91">
        <f t="shared" si="855"/>
        <v>0</v>
      </c>
      <c r="HQ86" s="91">
        <f t="shared" si="856"/>
        <v>0</v>
      </c>
      <c r="HR86" s="91">
        <f t="shared" si="857"/>
        <v>0</v>
      </c>
      <c r="IG86" s="91">
        <f t="shared" si="858"/>
        <v>0</v>
      </c>
      <c r="IH86" s="91">
        <f t="shared" si="859"/>
        <v>0</v>
      </c>
      <c r="IW86" s="91">
        <f t="shared" si="860"/>
        <v>0</v>
      </c>
      <c r="IX86" s="91">
        <f t="shared" si="861"/>
        <v>0</v>
      </c>
      <c r="JM86" s="91">
        <f t="shared" si="862"/>
        <v>0</v>
      </c>
      <c r="JN86" s="91">
        <f t="shared" si="863"/>
        <v>0</v>
      </c>
      <c r="KC86" s="91">
        <f t="shared" si="864"/>
        <v>0</v>
      </c>
      <c r="KD86" s="91">
        <f t="shared" si="865"/>
        <v>0</v>
      </c>
      <c r="KS86" s="91">
        <f t="shared" si="866"/>
        <v>0</v>
      </c>
      <c r="KT86" s="91">
        <f t="shared" si="867"/>
        <v>0</v>
      </c>
      <c r="LI86" s="91">
        <f t="shared" si="868"/>
        <v>0</v>
      </c>
      <c r="LJ86" s="91">
        <f t="shared" si="869"/>
        <v>0</v>
      </c>
      <c r="LY86" s="91">
        <f t="shared" si="870"/>
        <v>0</v>
      </c>
      <c r="LZ86" s="91">
        <f t="shared" si="871"/>
        <v>0</v>
      </c>
      <c r="MO86" s="91">
        <f t="shared" si="872"/>
        <v>0</v>
      </c>
      <c r="MP86" s="91">
        <f t="shared" si="873"/>
        <v>0</v>
      </c>
      <c r="NE86" s="91">
        <f t="shared" si="874"/>
        <v>0</v>
      </c>
      <c r="NF86" s="91">
        <f t="shared" si="875"/>
        <v>0</v>
      </c>
      <c r="NU86" s="91">
        <f t="shared" si="876"/>
        <v>0</v>
      </c>
      <c r="NV86" s="91">
        <f t="shared" si="877"/>
        <v>0</v>
      </c>
      <c r="OK86" s="91">
        <f t="shared" si="878"/>
        <v>0</v>
      </c>
      <c r="OL86" s="91">
        <f t="shared" si="879"/>
        <v>0</v>
      </c>
      <c r="PA86" s="91">
        <f t="shared" si="880"/>
        <v>0</v>
      </c>
      <c r="PB86" s="91">
        <f t="shared" si="881"/>
        <v>0</v>
      </c>
      <c r="PQ86" s="91">
        <f t="shared" si="882"/>
        <v>0</v>
      </c>
      <c r="PR86" s="91">
        <f t="shared" si="883"/>
        <v>0</v>
      </c>
      <c r="QG86" s="91">
        <f t="shared" si="884"/>
        <v>0</v>
      </c>
      <c r="QH86" s="91">
        <f t="shared" si="885"/>
        <v>0</v>
      </c>
      <c r="QW86" s="91">
        <f t="shared" si="886"/>
        <v>0</v>
      </c>
      <c r="QX86" s="91">
        <f t="shared" si="887"/>
        <v>0</v>
      </c>
      <c r="RM86" s="91">
        <f t="shared" si="888"/>
        <v>0</v>
      </c>
      <c r="RN86" s="91">
        <f t="shared" si="889"/>
        <v>0</v>
      </c>
      <c r="SC86" s="91">
        <f t="shared" si="890"/>
        <v>0</v>
      </c>
      <c r="SD86" s="91">
        <f t="shared" si="891"/>
        <v>0</v>
      </c>
      <c r="SS86" s="91">
        <f t="shared" si="892"/>
        <v>0</v>
      </c>
      <c r="ST86" s="91">
        <f t="shared" si="893"/>
        <v>0</v>
      </c>
      <c r="TI86" s="91">
        <f t="shared" si="894"/>
        <v>0</v>
      </c>
      <c r="TJ86" s="91">
        <f t="shared" si="895"/>
        <v>0</v>
      </c>
      <c r="TY86" s="91">
        <f t="shared" si="896"/>
        <v>0</v>
      </c>
      <c r="TZ86" s="91">
        <f t="shared" si="897"/>
        <v>0</v>
      </c>
      <c r="UO86" s="91">
        <f t="shared" si="898"/>
        <v>0</v>
      </c>
      <c r="UP86" s="91">
        <f t="shared" si="899"/>
        <v>0</v>
      </c>
      <c r="VE86" s="91">
        <f t="shared" si="900"/>
        <v>0</v>
      </c>
      <c r="VF86" s="91">
        <f t="shared" si="901"/>
        <v>0</v>
      </c>
      <c r="VU86" s="91">
        <f t="shared" si="902"/>
        <v>0</v>
      </c>
      <c r="VV86" s="91">
        <f t="shared" si="903"/>
        <v>0</v>
      </c>
      <c r="WK86" s="91">
        <f t="shared" si="904"/>
        <v>0</v>
      </c>
      <c r="WL86" s="91">
        <f t="shared" si="905"/>
        <v>0</v>
      </c>
      <c r="WM86" s="89"/>
      <c r="WN86" s="87">
        <f t="shared" si="981"/>
        <v>0</v>
      </c>
      <c r="WO86" s="87">
        <f t="shared" si="982"/>
        <v>0</v>
      </c>
      <c r="WP86" s="87">
        <f t="shared" si="983"/>
        <v>0</v>
      </c>
      <c r="WQ86" s="87">
        <f t="shared" si="984"/>
        <v>0</v>
      </c>
      <c r="WR86" s="87">
        <f t="shared" si="985"/>
        <v>0</v>
      </c>
      <c r="WS86" s="87">
        <f t="shared" si="986"/>
        <v>0</v>
      </c>
      <c r="WT86" s="87">
        <f t="shared" si="987"/>
        <v>0</v>
      </c>
      <c r="WU86" s="87">
        <f t="shared" si="988"/>
        <v>0</v>
      </c>
      <c r="WV86" s="87">
        <f t="shared" si="989"/>
        <v>0</v>
      </c>
      <c r="WW86" s="87">
        <f t="shared" si="990"/>
        <v>0</v>
      </c>
      <c r="WX86" s="87">
        <f t="shared" si="991"/>
        <v>0</v>
      </c>
      <c r="WY86" s="87">
        <f t="shared" si="992"/>
        <v>0</v>
      </c>
      <c r="WZ86" s="87">
        <f t="shared" si="968"/>
        <v>0</v>
      </c>
      <c r="XA86" s="87">
        <f t="shared" si="969"/>
        <v>0</v>
      </c>
      <c r="XB86" s="92">
        <f t="shared" si="993"/>
        <v>0</v>
      </c>
      <c r="XC86" s="92">
        <f t="shared" si="994"/>
        <v>0</v>
      </c>
      <c r="XD86" s="89"/>
      <c r="XE86" s="92">
        <f t="shared" ref="XE86:XF86" si="1007">SUM(XB162,XB200,XB238)</f>
        <v>0</v>
      </c>
      <c r="XF86" s="92">
        <f t="shared" si="1007"/>
        <v>0</v>
      </c>
      <c r="XG86" s="89"/>
      <c r="XH86" s="92">
        <f t="shared" ref="XH86:XI86" si="1008">SUM(XE124,XE162)</f>
        <v>0</v>
      </c>
      <c r="XI86" s="92">
        <f t="shared" si="1008"/>
        <v>0</v>
      </c>
      <c r="XJ86" s="89"/>
      <c r="XK86" s="87"/>
      <c r="XL86" s="87"/>
      <c r="XM86" s="87"/>
      <c r="XN86" s="87"/>
      <c r="XO86" s="87"/>
      <c r="XP86" s="87"/>
      <c r="XQ86" s="87"/>
      <c r="XR86" s="92">
        <f t="shared" ca="1" si="922"/>
        <v>0</v>
      </c>
      <c r="XS86" s="89"/>
      <c r="XT86" s="87"/>
      <c r="XU86" s="87"/>
      <c r="XV86" s="87"/>
      <c r="XW86" s="87"/>
      <c r="XX86" s="87"/>
      <c r="XY86" s="87"/>
      <c r="XZ86" s="87"/>
      <c r="YA86" s="92">
        <f t="shared" ca="1" si="923"/>
        <v>0</v>
      </c>
      <c r="YB86" s="90"/>
      <c r="YC86" s="90"/>
      <c r="YD86" s="90"/>
      <c r="YE86" s="90"/>
      <c r="YF86" s="90"/>
      <c r="YG86" s="90"/>
      <c r="YH86" s="90"/>
      <c r="YI86" s="90"/>
      <c r="YJ86" s="90"/>
      <c r="YK86" s="90"/>
      <c r="YL86" s="90"/>
      <c r="YM86" s="90"/>
      <c r="YN86" s="90"/>
      <c r="YO86" s="90"/>
      <c r="YP86" s="90"/>
      <c r="YQ86" s="90"/>
      <c r="YR86" s="90"/>
      <c r="YS86" s="90"/>
      <c r="YT86" s="90"/>
      <c r="YU86" s="90"/>
      <c r="YV86" s="90"/>
      <c r="YW86" s="90"/>
      <c r="YX86" s="90"/>
      <c r="YY86" s="90"/>
      <c r="YZ86" s="90"/>
      <c r="ZA86" s="90"/>
      <c r="ZB86" s="90"/>
      <c r="ZC86" s="90"/>
      <c r="ZD86" s="90"/>
      <c r="ZE86" s="90"/>
      <c r="ZF86" s="90"/>
      <c r="ZG86" s="90"/>
      <c r="ZH86" s="90"/>
      <c r="ZI86" s="90"/>
      <c r="ZJ86" s="90"/>
      <c r="ZK86" s="90"/>
      <c r="ZL86" s="90"/>
      <c r="ZM86" s="90"/>
      <c r="ZN86" s="90"/>
      <c r="ZO86" s="90"/>
      <c r="ZP86" s="90"/>
      <c r="ZQ86" s="90"/>
      <c r="ZR86" s="90"/>
      <c r="ZS86" s="90"/>
      <c r="ZT86" s="90"/>
      <c r="ZU86" s="90"/>
      <c r="ZV86" s="90"/>
      <c r="ZW86" s="90"/>
      <c r="ZX86" s="90"/>
      <c r="ZY86" s="90"/>
      <c r="ZZ86" s="90"/>
      <c r="AAA86" s="90"/>
      <c r="AAB86" s="90"/>
      <c r="AAC86" s="90"/>
      <c r="AAD86" s="90"/>
      <c r="AAE86" s="90"/>
      <c r="AAF86" s="90"/>
      <c r="AAG86" s="90"/>
      <c r="AAH86" s="90"/>
      <c r="AAI86" s="90"/>
      <c r="AAJ86" s="90"/>
      <c r="AAK86" s="90"/>
      <c r="AAL86" s="90"/>
      <c r="AAM86" s="90"/>
      <c r="AAN86" s="90"/>
      <c r="AAO86" s="90"/>
      <c r="AAP86" s="90"/>
      <c r="AAQ86" s="90"/>
      <c r="AAR86" s="90"/>
      <c r="AAS86" s="90"/>
      <c r="AAT86" s="90"/>
      <c r="AAU86" s="90"/>
      <c r="AAV86" s="90"/>
      <c r="AAW86" s="90"/>
      <c r="AAX86" s="90"/>
      <c r="AAY86" s="90"/>
      <c r="AAZ86" s="90"/>
      <c r="ABA86" s="90"/>
      <c r="ABB86" s="90"/>
      <c r="ABC86" s="90"/>
      <c r="ABD86" s="90"/>
      <c r="ABE86" s="90"/>
      <c r="ABF86" s="90"/>
      <c r="ABG86" s="90"/>
      <c r="ABH86" s="90"/>
      <c r="ABI86" s="90"/>
      <c r="ABJ86" s="90"/>
      <c r="ABK86" s="90"/>
      <c r="ABL86" s="90"/>
      <c r="ABM86" s="90"/>
      <c r="ABN86" s="90"/>
      <c r="ABO86" s="90"/>
      <c r="ABP86" s="90"/>
      <c r="ABQ86" s="90"/>
      <c r="ABR86" s="90"/>
      <c r="ABS86" s="90"/>
      <c r="ABT86" s="90"/>
      <c r="ABU86" s="90"/>
      <c r="ABV86" s="90"/>
      <c r="ABW86" s="90"/>
      <c r="ABX86" s="90"/>
      <c r="ABY86" s="90"/>
      <c r="ABZ86" s="90"/>
      <c r="ACA86" s="90"/>
      <c r="ACB86" s="90"/>
      <c r="ACC86" s="90"/>
      <c r="ACD86" s="90"/>
      <c r="ACE86" s="90"/>
      <c r="ACF86" s="90"/>
      <c r="ACG86" s="90"/>
      <c r="ACH86" s="90"/>
      <c r="ACI86" s="90"/>
      <c r="ACJ86" s="90"/>
      <c r="ACK86" s="90"/>
      <c r="ACL86" s="90"/>
      <c r="ACM86" s="90"/>
      <c r="ACN86" s="90"/>
      <c r="ACO86" s="90"/>
      <c r="ACP86" s="90"/>
      <c r="ACQ86" s="90"/>
      <c r="ACR86" s="90"/>
      <c r="ACS86" s="90"/>
      <c r="ACT86" s="90"/>
      <c r="ACU86" s="90"/>
      <c r="ACV86" s="90"/>
      <c r="ACW86" s="90"/>
      <c r="ACX86" s="90"/>
      <c r="ACY86" s="90"/>
      <c r="ACZ86" s="90"/>
      <c r="ADA86" s="90"/>
      <c r="ADB86" s="90"/>
      <c r="ADC86" s="90"/>
      <c r="ADD86" s="90"/>
      <c r="ADE86" s="90"/>
      <c r="ADF86" s="90"/>
      <c r="ADG86" s="90"/>
      <c r="ADH86" s="90"/>
      <c r="ADI86" s="90"/>
      <c r="ADJ86" s="90"/>
      <c r="ADK86" s="90"/>
      <c r="ADL86" s="90"/>
      <c r="ADM86" s="90"/>
      <c r="ADN86" s="90"/>
      <c r="ADO86" s="90"/>
      <c r="ADP86" s="90"/>
      <c r="ADQ86" s="90"/>
      <c r="ADR86" s="90"/>
      <c r="ADS86" s="90"/>
      <c r="ADT86" s="90"/>
      <c r="ADU86" s="90"/>
      <c r="ADV86" s="90"/>
      <c r="ADW86" s="90"/>
      <c r="ADX86" s="90"/>
      <c r="ADY86" s="90"/>
      <c r="ADZ86" s="90"/>
      <c r="AEA86" s="90"/>
      <c r="AEB86" s="90"/>
      <c r="AEC86" s="90"/>
      <c r="AED86" s="90"/>
      <c r="AEE86" s="90"/>
      <c r="AEF86" s="90"/>
      <c r="AEG86" s="90"/>
      <c r="AEH86" s="90"/>
      <c r="AEI86" s="90"/>
      <c r="AEJ86" s="90"/>
      <c r="AEK86" s="90"/>
      <c r="AEL86" s="90"/>
      <c r="AEM86" s="90"/>
      <c r="AEN86" s="90"/>
      <c r="AEO86" s="90"/>
      <c r="AEP86" s="90"/>
      <c r="AEQ86" s="90"/>
      <c r="AER86" s="90"/>
      <c r="AES86" s="90"/>
      <c r="AET86" s="90"/>
      <c r="AEU86" s="90"/>
      <c r="AEV86" s="90"/>
      <c r="AEW86" s="90"/>
      <c r="AEX86" s="90"/>
      <c r="AEY86" s="90"/>
      <c r="AEZ86" s="90"/>
      <c r="AFA86" s="90"/>
      <c r="AFB86" s="90"/>
      <c r="AFC86" s="90"/>
      <c r="AFD86" s="90"/>
      <c r="AFE86" s="90"/>
      <c r="AFF86" s="90"/>
      <c r="AFG86" s="90"/>
      <c r="AFH86" s="90"/>
      <c r="AFI86" s="90"/>
      <c r="AFJ86" s="90"/>
      <c r="AFK86" s="90"/>
      <c r="AFL86" s="90"/>
      <c r="AFM86" s="90"/>
      <c r="AFN86" s="90"/>
      <c r="AFO86" s="90"/>
      <c r="AFP86" s="90"/>
      <c r="AFQ86" s="90"/>
      <c r="AFR86" s="90"/>
      <c r="AFS86" s="90"/>
      <c r="AFT86" s="90"/>
      <c r="AFU86" s="90"/>
      <c r="AFV86" s="90"/>
      <c r="AFW86" s="90"/>
      <c r="AFX86" s="90"/>
      <c r="AFY86" s="90"/>
      <c r="AFZ86" s="90"/>
      <c r="AGA86" s="90"/>
      <c r="AGB86" s="90"/>
      <c r="AGC86" s="90"/>
      <c r="AGD86" s="90"/>
      <c r="AGE86" s="90"/>
      <c r="AGF86" s="90"/>
      <c r="AGG86" s="90"/>
      <c r="AGH86" s="90"/>
      <c r="AGI86" s="90"/>
      <c r="AGJ86" s="90"/>
      <c r="AGK86" s="90"/>
      <c r="AGL86" s="90"/>
      <c r="AGM86" s="90"/>
      <c r="AGN86" s="90"/>
      <c r="AGO86" s="90"/>
      <c r="AGP86" s="90"/>
      <c r="AGQ86" s="90"/>
      <c r="AGR86" s="90"/>
      <c r="AGS86" s="90"/>
      <c r="AGT86" s="90"/>
      <c r="AGU86" s="90"/>
      <c r="AGV86" s="90"/>
      <c r="AGW86" s="90"/>
      <c r="AGX86" s="90"/>
      <c r="AGY86" s="90"/>
      <c r="AGZ86" s="90"/>
      <c r="AHA86" s="90"/>
      <c r="AHB86" s="90"/>
      <c r="AHC86" s="90"/>
      <c r="AHD86" s="90"/>
      <c r="AHE86" s="90"/>
      <c r="AHF86" s="90"/>
      <c r="AHG86" s="90"/>
      <c r="AHH86" s="90"/>
      <c r="AHI86" s="90"/>
      <c r="AHJ86" s="90"/>
      <c r="AHK86" s="90"/>
      <c r="AHL86" s="90"/>
      <c r="AHM86" s="90"/>
      <c r="AHN86" s="90"/>
      <c r="AHO86" s="90"/>
      <c r="AHP86" s="90"/>
      <c r="AHQ86" s="90"/>
      <c r="AHR86" s="90"/>
      <c r="AHS86" s="90"/>
      <c r="AHT86" s="90"/>
      <c r="AHU86" s="90"/>
      <c r="AHV86" s="90"/>
      <c r="AHW86" s="90"/>
      <c r="AHX86" s="90"/>
      <c r="AHY86" s="90"/>
      <c r="AHZ86" s="90"/>
      <c r="AIA86" s="90"/>
      <c r="AIB86" s="90"/>
      <c r="AIC86" s="90"/>
      <c r="AID86" s="90"/>
      <c r="AIE86" s="90"/>
      <c r="AIF86" s="90"/>
      <c r="AIG86" s="90"/>
      <c r="AIH86" s="90"/>
      <c r="AII86" s="90"/>
      <c r="AIJ86" s="90"/>
      <c r="AIK86" s="90"/>
      <c r="AIL86" s="90"/>
      <c r="AIM86" s="90"/>
      <c r="AIN86" s="90"/>
      <c r="AIO86" s="90"/>
      <c r="AIP86" s="90"/>
      <c r="AIQ86" s="90"/>
      <c r="AIR86" s="90"/>
      <c r="AIS86" s="90"/>
      <c r="AIT86" s="90"/>
      <c r="AIU86" s="90"/>
      <c r="AIV86" s="90"/>
      <c r="AIW86" s="90"/>
      <c r="AIX86" s="90"/>
      <c r="AIY86" s="90"/>
      <c r="AIZ86" s="90"/>
      <c r="AJA86" s="90"/>
      <c r="AJB86" s="90"/>
      <c r="AJC86" s="90"/>
      <c r="AJD86" s="90"/>
      <c r="AJE86" s="90"/>
      <c r="AJF86" s="90"/>
      <c r="AJG86" s="90"/>
      <c r="AJH86" s="90"/>
      <c r="AJI86" s="90"/>
      <c r="AJJ86" s="90"/>
      <c r="AJK86" s="90"/>
      <c r="AJL86" s="90"/>
      <c r="AJM86" s="90"/>
      <c r="AJN86" s="90"/>
      <c r="AJO86" s="90"/>
      <c r="AJP86" s="90"/>
      <c r="AJQ86" s="90"/>
      <c r="AJR86" s="90"/>
      <c r="AJS86" s="90"/>
      <c r="AJT86" s="90"/>
      <c r="AJU86" s="90"/>
      <c r="AJV86" s="90"/>
      <c r="AJW86" s="90"/>
      <c r="AJX86" s="90"/>
      <c r="AJY86" s="90"/>
      <c r="AJZ86" s="90"/>
      <c r="AKA86" s="90"/>
      <c r="AKB86" s="90"/>
      <c r="AKC86" s="90"/>
      <c r="AKD86" s="90"/>
      <c r="AKE86" s="90"/>
      <c r="AKF86" s="90"/>
      <c r="AKG86" s="90"/>
      <c r="AKH86" s="90"/>
      <c r="AKI86" s="90"/>
      <c r="AKJ86" s="90"/>
      <c r="AKK86" s="90"/>
      <c r="AKL86" s="90"/>
      <c r="AKM86" s="90"/>
      <c r="AKN86" s="90"/>
      <c r="AKO86" s="90"/>
      <c r="AKP86" s="90"/>
      <c r="AKQ86" s="90"/>
      <c r="AKR86" s="90"/>
      <c r="AKS86" s="90"/>
      <c r="AKT86" s="90"/>
      <c r="AKU86" s="90"/>
      <c r="AKV86" s="90"/>
      <c r="AKW86" s="90"/>
      <c r="AKX86" s="90"/>
      <c r="AKY86" s="90"/>
      <c r="AKZ86" s="90"/>
      <c r="ALA86" s="90"/>
      <c r="ALB86" s="90"/>
      <c r="ALC86" s="90"/>
      <c r="ALD86" s="90"/>
      <c r="ALE86" s="90"/>
      <c r="ALF86" s="90"/>
      <c r="ALG86" s="90"/>
      <c r="ALH86" s="90"/>
      <c r="ALI86" s="90"/>
      <c r="ALJ86" s="90"/>
      <c r="ALK86" s="90"/>
      <c r="ALL86" s="90"/>
      <c r="ALM86" s="90"/>
      <c r="ALN86" s="90"/>
      <c r="ALO86" s="90"/>
      <c r="ALP86" s="90"/>
      <c r="ALQ86" s="90"/>
      <c r="ALR86" s="90"/>
      <c r="ALS86" s="90"/>
      <c r="ALT86" s="90"/>
      <c r="ALU86" s="90"/>
      <c r="ALV86" s="90"/>
      <c r="ALW86" s="90"/>
      <c r="ALX86" s="90"/>
      <c r="ALY86" s="90"/>
      <c r="ALZ86" s="90"/>
      <c r="AMA86" s="90"/>
      <c r="AMB86" s="90"/>
      <c r="AMC86" s="90"/>
    </row>
    <row r="87" spans="1:1017">
      <c r="A87" s="98" t="s">
        <v>26</v>
      </c>
      <c r="B87" s="648" t="str">
        <f t="shared" si="978"/>
        <v>Ikan_04 (Ikan Keting)</v>
      </c>
      <c r="Q87" s="91">
        <f t="shared" si="830"/>
        <v>0</v>
      </c>
      <c r="R87" s="91">
        <f t="shared" si="831"/>
        <v>0</v>
      </c>
      <c r="AG87" s="91">
        <f t="shared" si="832"/>
        <v>0</v>
      </c>
      <c r="AH87" s="91">
        <f t="shared" si="833"/>
        <v>0</v>
      </c>
      <c r="AW87" s="91">
        <f t="shared" si="834"/>
        <v>0</v>
      </c>
      <c r="AX87" s="91">
        <f t="shared" si="835"/>
        <v>0</v>
      </c>
      <c r="BM87" s="91">
        <f t="shared" si="836"/>
        <v>0</v>
      </c>
      <c r="BN87" s="91">
        <f t="shared" si="837"/>
        <v>0</v>
      </c>
      <c r="CC87" s="91">
        <f t="shared" si="838"/>
        <v>0</v>
      </c>
      <c r="CD87" s="91">
        <f t="shared" si="839"/>
        <v>0</v>
      </c>
      <c r="CS87" s="91">
        <f t="shared" si="840"/>
        <v>0</v>
      </c>
      <c r="CT87" s="91">
        <f t="shared" si="841"/>
        <v>0</v>
      </c>
      <c r="DI87" s="91">
        <f t="shared" si="842"/>
        <v>0</v>
      </c>
      <c r="DJ87" s="91">
        <f t="shared" si="843"/>
        <v>0</v>
      </c>
      <c r="DY87" s="91">
        <f t="shared" si="844"/>
        <v>0</v>
      </c>
      <c r="DZ87" s="91">
        <f t="shared" si="845"/>
        <v>0</v>
      </c>
      <c r="EO87" s="91">
        <f t="shared" si="846"/>
        <v>0</v>
      </c>
      <c r="EP87" s="91">
        <f t="shared" si="847"/>
        <v>0</v>
      </c>
      <c r="FE87" s="91">
        <f t="shared" si="848"/>
        <v>0</v>
      </c>
      <c r="FF87" s="91">
        <f t="shared" si="849"/>
        <v>0</v>
      </c>
      <c r="FU87" s="91">
        <f t="shared" si="850"/>
        <v>0</v>
      </c>
      <c r="FV87" s="91">
        <f t="shared" si="851"/>
        <v>0</v>
      </c>
      <c r="GK87" s="91">
        <f t="shared" si="852"/>
        <v>0</v>
      </c>
      <c r="GL87" s="91">
        <f t="shared" si="853"/>
        <v>0</v>
      </c>
      <c r="HA87" s="91">
        <f t="shared" si="854"/>
        <v>0</v>
      </c>
      <c r="HB87" s="91">
        <f t="shared" si="855"/>
        <v>0</v>
      </c>
      <c r="HQ87" s="91">
        <f t="shared" si="856"/>
        <v>0</v>
      </c>
      <c r="HR87" s="91">
        <f t="shared" si="857"/>
        <v>0</v>
      </c>
      <c r="IG87" s="91">
        <f t="shared" si="858"/>
        <v>0</v>
      </c>
      <c r="IH87" s="91">
        <f t="shared" si="859"/>
        <v>0</v>
      </c>
      <c r="IW87" s="91">
        <f t="shared" si="860"/>
        <v>0</v>
      </c>
      <c r="IX87" s="91">
        <f t="shared" si="861"/>
        <v>0</v>
      </c>
      <c r="JM87" s="91">
        <f t="shared" si="862"/>
        <v>0</v>
      </c>
      <c r="JN87" s="91">
        <f t="shared" si="863"/>
        <v>0</v>
      </c>
      <c r="KC87" s="91">
        <f t="shared" si="864"/>
        <v>0</v>
      </c>
      <c r="KD87" s="91">
        <f t="shared" si="865"/>
        <v>0</v>
      </c>
      <c r="KS87" s="91">
        <f t="shared" si="866"/>
        <v>0</v>
      </c>
      <c r="KT87" s="91">
        <f t="shared" si="867"/>
        <v>0</v>
      </c>
      <c r="LI87" s="91">
        <f t="shared" si="868"/>
        <v>0</v>
      </c>
      <c r="LJ87" s="91">
        <f t="shared" si="869"/>
        <v>0</v>
      </c>
      <c r="LY87" s="91">
        <f t="shared" si="870"/>
        <v>0</v>
      </c>
      <c r="LZ87" s="91">
        <f t="shared" si="871"/>
        <v>0</v>
      </c>
      <c r="MO87" s="91">
        <f t="shared" si="872"/>
        <v>0</v>
      </c>
      <c r="MP87" s="91">
        <f t="shared" si="873"/>
        <v>0</v>
      </c>
      <c r="NE87" s="91">
        <f t="shared" si="874"/>
        <v>0</v>
      </c>
      <c r="NF87" s="91">
        <f t="shared" si="875"/>
        <v>0</v>
      </c>
      <c r="NI87" s="98">
        <v>71000</v>
      </c>
      <c r="NJ87" s="98">
        <v>852000</v>
      </c>
      <c r="NU87" s="91">
        <f t="shared" si="876"/>
        <v>71000</v>
      </c>
      <c r="NV87" s="91">
        <f t="shared" si="877"/>
        <v>852000</v>
      </c>
      <c r="OK87" s="91">
        <f t="shared" si="878"/>
        <v>0</v>
      </c>
      <c r="OL87" s="91">
        <f t="shared" si="879"/>
        <v>0</v>
      </c>
      <c r="PA87" s="91">
        <f t="shared" si="880"/>
        <v>0</v>
      </c>
      <c r="PB87" s="91">
        <f t="shared" si="881"/>
        <v>0</v>
      </c>
      <c r="PQ87" s="91">
        <f t="shared" si="882"/>
        <v>0</v>
      </c>
      <c r="PR87" s="91">
        <f t="shared" si="883"/>
        <v>0</v>
      </c>
      <c r="QG87" s="91">
        <f t="shared" si="884"/>
        <v>0</v>
      </c>
      <c r="QH87" s="91">
        <f t="shared" si="885"/>
        <v>0</v>
      </c>
      <c r="QW87" s="91">
        <f t="shared" si="886"/>
        <v>0</v>
      </c>
      <c r="QX87" s="91">
        <f t="shared" si="887"/>
        <v>0</v>
      </c>
      <c r="RM87" s="91">
        <f t="shared" si="888"/>
        <v>0</v>
      </c>
      <c r="RN87" s="91">
        <f t="shared" si="889"/>
        <v>0</v>
      </c>
      <c r="SC87" s="91">
        <f t="shared" si="890"/>
        <v>0</v>
      </c>
      <c r="SD87" s="91">
        <f t="shared" si="891"/>
        <v>0</v>
      </c>
      <c r="SS87" s="91">
        <f t="shared" si="892"/>
        <v>0</v>
      </c>
      <c r="ST87" s="91">
        <f t="shared" si="893"/>
        <v>0</v>
      </c>
      <c r="TI87" s="91">
        <f t="shared" si="894"/>
        <v>0</v>
      </c>
      <c r="TJ87" s="91">
        <f t="shared" si="895"/>
        <v>0</v>
      </c>
      <c r="TY87" s="91">
        <f t="shared" si="896"/>
        <v>0</v>
      </c>
      <c r="TZ87" s="91">
        <f t="shared" si="897"/>
        <v>0</v>
      </c>
      <c r="UO87" s="91">
        <f t="shared" si="898"/>
        <v>0</v>
      </c>
      <c r="UP87" s="91">
        <f t="shared" ref="UP87:UP88" si="1009">SUMIF($C$12:$P$12,$A$1,UB87:UO87)</f>
        <v>0</v>
      </c>
      <c r="VE87" s="91">
        <f t="shared" si="900"/>
        <v>0</v>
      </c>
      <c r="VF87" s="91">
        <f t="shared" si="901"/>
        <v>0</v>
      </c>
      <c r="VU87" s="91">
        <f t="shared" si="902"/>
        <v>0</v>
      </c>
      <c r="VV87" s="91">
        <f t="shared" si="903"/>
        <v>0</v>
      </c>
      <c r="WK87" s="91">
        <f t="shared" si="904"/>
        <v>0</v>
      </c>
      <c r="WL87" s="91">
        <f t="shared" si="905"/>
        <v>0</v>
      </c>
      <c r="WM87" s="89"/>
      <c r="WN87" s="87">
        <f t="shared" si="981"/>
        <v>0</v>
      </c>
      <c r="WO87" s="87">
        <f t="shared" si="982"/>
        <v>0</v>
      </c>
      <c r="WP87" s="87">
        <f t="shared" si="983"/>
        <v>71000</v>
      </c>
      <c r="WQ87" s="87">
        <f t="shared" si="984"/>
        <v>852000</v>
      </c>
      <c r="WR87" s="87">
        <f t="shared" si="985"/>
        <v>0</v>
      </c>
      <c r="WS87" s="87">
        <f t="shared" si="986"/>
        <v>0</v>
      </c>
      <c r="WT87" s="87">
        <f t="shared" si="987"/>
        <v>0</v>
      </c>
      <c r="WU87" s="87">
        <f t="shared" si="988"/>
        <v>0</v>
      </c>
      <c r="WV87" s="87">
        <f t="shared" si="989"/>
        <v>0</v>
      </c>
      <c r="WW87" s="87">
        <f t="shared" si="990"/>
        <v>0</v>
      </c>
      <c r="WX87" s="87">
        <f t="shared" si="991"/>
        <v>0</v>
      </c>
      <c r="WY87" s="87">
        <f t="shared" si="992"/>
        <v>0</v>
      </c>
      <c r="WZ87" s="87">
        <f t="shared" si="968"/>
        <v>0</v>
      </c>
      <c r="XA87" s="87">
        <f t="shared" si="969"/>
        <v>0</v>
      </c>
      <c r="XB87" s="92">
        <f t="shared" si="993"/>
        <v>71000</v>
      </c>
      <c r="XC87" s="92">
        <f t="shared" si="994"/>
        <v>852000</v>
      </c>
      <c r="XD87" s="89"/>
      <c r="XE87" s="92">
        <f t="shared" ref="XE87:XF87" si="1010">SUM(XB163,XB201,XB239)</f>
        <v>353400</v>
      </c>
      <c r="XF87" s="92">
        <f t="shared" si="1010"/>
        <v>4240800</v>
      </c>
      <c r="XG87" s="89"/>
      <c r="XH87" s="92">
        <f t="shared" ref="XH87:XI87" si="1011">SUM(XE125,XE163)</f>
        <v>574000</v>
      </c>
      <c r="XI87" s="92">
        <f t="shared" si="1011"/>
        <v>6888000</v>
      </c>
      <c r="XJ87" s="89"/>
      <c r="XK87" s="87"/>
      <c r="XL87" s="87"/>
      <c r="XM87" s="87"/>
      <c r="XN87" s="87"/>
      <c r="XO87" s="87"/>
      <c r="XP87" s="87"/>
      <c r="XQ87" s="87"/>
      <c r="XR87" s="92">
        <f t="shared" ca="1" si="922"/>
        <v>0</v>
      </c>
      <c r="XS87" s="89"/>
      <c r="XT87" s="87"/>
      <c r="XU87" s="87"/>
      <c r="XV87" s="87"/>
      <c r="XW87" s="87"/>
      <c r="XX87" s="87"/>
      <c r="XY87" s="87"/>
      <c r="XZ87" s="87"/>
      <c r="YA87" s="92">
        <f t="shared" ca="1" si="923"/>
        <v>0</v>
      </c>
      <c r="YB87" s="90"/>
      <c r="YC87" s="90"/>
      <c r="YD87" s="90"/>
      <c r="YE87" s="90"/>
      <c r="YF87" s="90"/>
      <c r="YG87" s="90"/>
      <c r="YH87" s="90"/>
      <c r="YI87" s="90"/>
      <c r="YJ87" s="90"/>
      <c r="YK87" s="90"/>
      <c r="YL87" s="90"/>
      <c r="YM87" s="90"/>
      <c r="YN87" s="90"/>
      <c r="YO87" s="90"/>
      <c r="YP87" s="90"/>
      <c r="YQ87" s="90"/>
      <c r="YR87" s="90"/>
      <c r="YS87" s="90"/>
      <c r="YT87" s="90"/>
      <c r="YU87" s="90"/>
      <c r="YV87" s="90"/>
      <c r="YW87" s="90"/>
      <c r="YX87" s="90"/>
      <c r="YY87" s="90"/>
      <c r="YZ87" s="90"/>
      <c r="ZA87" s="90"/>
      <c r="ZB87" s="90"/>
      <c r="ZC87" s="90"/>
      <c r="ZD87" s="90"/>
      <c r="ZE87" s="90"/>
      <c r="ZF87" s="90"/>
      <c r="ZG87" s="90"/>
      <c r="ZH87" s="90"/>
      <c r="ZI87" s="90"/>
      <c r="ZJ87" s="90"/>
      <c r="ZK87" s="90"/>
      <c r="ZL87" s="90"/>
      <c r="ZM87" s="90"/>
      <c r="ZN87" s="90"/>
      <c r="ZO87" s="90"/>
      <c r="ZP87" s="90"/>
      <c r="ZQ87" s="90"/>
      <c r="ZR87" s="90"/>
      <c r="ZS87" s="90"/>
      <c r="ZT87" s="90"/>
      <c r="ZU87" s="90"/>
      <c r="ZV87" s="90"/>
      <c r="ZW87" s="90"/>
      <c r="ZX87" s="90"/>
      <c r="ZY87" s="90"/>
      <c r="ZZ87" s="90"/>
      <c r="AAA87" s="90"/>
      <c r="AAB87" s="90"/>
      <c r="AAC87" s="90"/>
      <c r="AAD87" s="90"/>
      <c r="AAE87" s="90"/>
      <c r="AAF87" s="90"/>
      <c r="AAG87" s="90"/>
      <c r="AAH87" s="90"/>
      <c r="AAI87" s="90"/>
      <c r="AAJ87" s="90"/>
      <c r="AAK87" s="90"/>
      <c r="AAL87" s="90"/>
      <c r="AAM87" s="90"/>
      <c r="AAN87" s="90"/>
      <c r="AAO87" s="90"/>
      <c r="AAP87" s="90"/>
      <c r="AAQ87" s="90"/>
      <c r="AAR87" s="90"/>
      <c r="AAS87" s="90"/>
      <c r="AAT87" s="90"/>
      <c r="AAU87" s="90"/>
      <c r="AAV87" s="90"/>
      <c r="AAW87" s="90"/>
      <c r="AAX87" s="90"/>
      <c r="AAY87" s="90"/>
      <c r="AAZ87" s="90"/>
      <c r="ABA87" s="90"/>
      <c r="ABB87" s="90"/>
      <c r="ABC87" s="90"/>
      <c r="ABD87" s="90"/>
      <c r="ABE87" s="90"/>
      <c r="ABF87" s="90"/>
      <c r="ABG87" s="90"/>
      <c r="ABH87" s="90"/>
      <c r="ABI87" s="90"/>
      <c r="ABJ87" s="90"/>
      <c r="ABK87" s="90"/>
      <c r="ABL87" s="90"/>
      <c r="ABM87" s="90"/>
      <c r="ABN87" s="90"/>
      <c r="ABO87" s="90"/>
      <c r="ABP87" s="90"/>
      <c r="ABQ87" s="90"/>
      <c r="ABR87" s="90"/>
      <c r="ABS87" s="90"/>
      <c r="ABT87" s="90"/>
      <c r="ABU87" s="90"/>
      <c r="ABV87" s="90"/>
      <c r="ABW87" s="90"/>
      <c r="ABX87" s="90"/>
      <c r="ABY87" s="90"/>
      <c r="ABZ87" s="90"/>
      <c r="ACA87" s="90"/>
      <c r="ACB87" s="90"/>
      <c r="ACC87" s="90"/>
      <c r="ACD87" s="90"/>
      <c r="ACE87" s="90"/>
      <c r="ACF87" s="90"/>
      <c r="ACG87" s="90"/>
      <c r="ACH87" s="90"/>
      <c r="ACI87" s="90"/>
      <c r="ACJ87" s="90"/>
      <c r="ACK87" s="90"/>
      <c r="ACL87" s="90"/>
      <c r="ACM87" s="90"/>
      <c r="ACN87" s="90"/>
      <c r="ACO87" s="90"/>
      <c r="ACP87" s="90"/>
      <c r="ACQ87" s="90"/>
      <c r="ACR87" s="90"/>
      <c r="ACS87" s="90"/>
      <c r="ACT87" s="90"/>
      <c r="ACU87" s="90"/>
      <c r="ACV87" s="90"/>
      <c r="ACW87" s="90"/>
      <c r="ACX87" s="90"/>
      <c r="ACY87" s="90"/>
      <c r="ACZ87" s="90"/>
      <c r="ADA87" s="90"/>
      <c r="ADB87" s="90"/>
      <c r="ADC87" s="90"/>
      <c r="ADD87" s="90"/>
      <c r="ADE87" s="90"/>
      <c r="ADF87" s="90"/>
      <c r="ADG87" s="90"/>
      <c r="ADH87" s="90"/>
      <c r="ADI87" s="90"/>
      <c r="ADJ87" s="90"/>
      <c r="ADK87" s="90"/>
      <c r="ADL87" s="90"/>
      <c r="ADM87" s="90"/>
      <c r="ADN87" s="90"/>
      <c r="ADO87" s="90"/>
      <c r="ADP87" s="90"/>
      <c r="ADQ87" s="90"/>
      <c r="ADR87" s="90"/>
      <c r="ADS87" s="90"/>
      <c r="ADT87" s="90"/>
      <c r="ADU87" s="90"/>
      <c r="ADV87" s="90"/>
      <c r="ADW87" s="90"/>
      <c r="ADX87" s="90"/>
      <c r="ADY87" s="90"/>
      <c r="ADZ87" s="90"/>
      <c r="AEA87" s="90"/>
      <c r="AEB87" s="90"/>
      <c r="AEC87" s="90"/>
      <c r="AED87" s="90"/>
      <c r="AEE87" s="90"/>
      <c r="AEF87" s="90"/>
      <c r="AEG87" s="90"/>
      <c r="AEH87" s="90"/>
      <c r="AEI87" s="90"/>
      <c r="AEJ87" s="90"/>
      <c r="AEK87" s="90"/>
      <c r="AEL87" s="90"/>
      <c r="AEM87" s="90"/>
      <c r="AEN87" s="90"/>
      <c r="AEO87" s="90"/>
      <c r="AEP87" s="90"/>
      <c r="AEQ87" s="90"/>
      <c r="AER87" s="90"/>
      <c r="AES87" s="90"/>
      <c r="AET87" s="90"/>
      <c r="AEU87" s="90"/>
      <c r="AEV87" s="90"/>
      <c r="AEW87" s="90"/>
      <c r="AEX87" s="90"/>
      <c r="AEY87" s="90"/>
      <c r="AEZ87" s="90"/>
      <c r="AFA87" s="90"/>
      <c r="AFB87" s="90"/>
      <c r="AFC87" s="90"/>
      <c r="AFD87" s="90"/>
      <c r="AFE87" s="90"/>
      <c r="AFF87" s="90"/>
      <c r="AFG87" s="90"/>
      <c r="AFH87" s="90"/>
      <c r="AFI87" s="90"/>
      <c r="AFJ87" s="90"/>
      <c r="AFK87" s="90"/>
      <c r="AFL87" s="90"/>
      <c r="AFM87" s="90"/>
      <c r="AFN87" s="90"/>
      <c r="AFO87" s="90"/>
      <c r="AFP87" s="90"/>
      <c r="AFQ87" s="90"/>
      <c r="AFR87" s="90"/>
      <c r="AFS87" s="90"/>
      <c r="AFT87" s="90"/>
      <c r="AFU87" s="90"/>
      <c r="AFV87" s="90"/>
      <c r="AFW87" s="90"/>
      <c r="AFX87" s="90"/>
      <c r="AFY87" s="90"/>
      <c r="AFZ87" s="90"/>
      <c r="AGA87" s="90"/>
      <c r="AGB87" s="90"/>
      <c r="AGC87" s="90"/>
      <c r="AGD87" s="90"/>
      <c r="AGE87" s="90"/>
      <c r="AGF87" s="90"/>
      <c r="AGG87" s="90"/>
      <c r="AGH87" s="90"/>
      <c r="AGI87" s="90"/>
      <c r="AGJ87" s="90"/>
      <c r="AGK87" s="90"/>
      <c r="AGL87" s="90"/>
      <c r="AGM87" s="90"/>
      <c r="AGN87" s="90"/>
      <c r="AGO87" s="90"/>
      <c r="AGP87" s="90"/>
      <c r="AGQ87" s="90"/>
      <c r="AGR87" s="90"/>
      <c r="AGS87" s="90"/>
      <c r="AGT87" s="90"/>
      <c r="AGU87" s="90"/>
      <c r="AGV87" s="90"/>
      <c r="AGW87" s="90"/>
      <c r="AGX87" s="90"/>
      <c r="AGY87" s="90"/>
      <c r="AGZ87" s="90"/>
      <c r="AHA87" s="90"/>
      <c r="AHB87" s="90"/>
      <c r="AHC87" s="90"/>
      <c r="AHD87" s="90"/>
      <c r="AHE87" s="90"/>
      <c r="AHF87" s="90"/>
      <c r="AHG87" s="90"/>
      <c r="AHH87" s="90"/>
      <c r="AHI87" s="90"/>
      <c r="AHJ87" s="90"/>
      <c r="AHK87" s="90"/>
      <c r="AHL87" s="90"/>
      <c r="AHM87" s="90"/>
      <c r="AHN87" s="90"/>
      <c r="AHO87" s="90"/>
      <c r="AHP87" s="90"/>
      <c r="AHQ87" s="90"/>
      <c r="AHR87" s="90"/>
      <c r="AHS87" s="90"/>
      <c r="AHT87" s="90"/>
      <c r="AHU87" s="90"/>
      <c r="AHV87" s="90"/>
      <c r="AHW87" s="90"/>
      <c r="AHX87" s="90"/>
      <c r="AHY87" s="90"/>
      <c r="AHZ87" s="90"/>
      <c r="AIA87" s="90"/>
      <c r="AIB87" s="90"/>
      <c r="AIC87" s="90"/>
      <c r="AID87" s="90"/>
      <c r="AIE87" s="90"/>
      <c r="AIF87" s="90"/>
      <c r="AIG87" s="90"/>
      <c r="AIH87" s="90"/>
      <c r="AII87" s="90"/>
      <c r="AIJ87" s="90"/>
      <c r="AIK87" s="90"/>
      <c r="AIL87" s="90"/>
      <c r="AIM87" s="90"/>
      <c r="AIN87" s="90"/>
      <c r="AIO87" s="90"/>
      <c r="AIP87" s="90"/>
      <c r="AIQ87" s="90"/>
      <c r="AIR87" s="90"/>
      <c r="AIS87" s="90"/>
      <c r="AIT87" s="90"/>
      <c r="AIU87" s="90"/>
      <c r="AIV87" s="90"/>
      <c r="AIW87" s="90"/>
      <c r="AIX87" s="90"/>
      <c r="AIY87" s="90"/>
      <c r="AIZ87" s="90"/>
      <c r="AJA87" s="90"/>
      <c r="AJB87" s="90"/>
      <c r="AJC87" s="90"/>
      <c r="AJD87" s="90"/>
      <c r="AJE87" s="90"/>
      <c r="AJF87" s="90"/>
      <c r="AJG87" s="90"/>
      <c r="AJH87" s="90"/>
      <c r="AJI87" s="90"/>
      <c r="AJJ87" s="90"/>
      <c r="AJK87" s="90"/>
      <c r="AJL87" s="90"/>
      <c r="AJM87" s="90"/>
      <c r="AJN87" s="90"/>
      <c r="AJO87" s="90"/>
      <c r="AJP87" s="90"/>
      <c r="AJQ87" s="90"/>
      <c r="AJR87" s="90"/>
      <c r="AJS87" s="90"/>
      <c r="AJT87" s="90"/>
      <c r="AJU87" s="90"/>
      <c r="AJV87" s="90"/>
      <c r="AJW87" s="90"/>
      <c r="AJX87" s="90"/>
      <c r="AJY87" s="90"/>
      <c r="AJZ87" s="90"/>
      <c r="AKA87" s="90"/>
      <c r="AKB87" s="90"/>
      <c r="AKC87" s="90"/>
      <c r="AKD87" s="90"/>
      <c r="AKE87" s="90"/>
      <c r="AKF87" s="90"/>
      <c r="AKG87" s="90"/>
      <c r="AKH87" s="90"/>
      <c r="AKI87" s="90"/>
      <c r="AKJ87" s="90"/>
      <c r="AKK87" s="90"/>
      <c r="AKL87" s="90"/>
      <c r="AKM87" s="90"/>
      <c r="AKN87" s="90"/>
      <c r="AKO87" s="90"/>
      <c r="AKP87" s="90"/>
      <c r="AKQ87" s="90"/>
      <c r="AKR87" s="90"/>
      <c r="AKS87" s="90"/>
      <c r="AKT87" s="90"/>
      <c r="AKU87" s="90"/>
      <c r="AKV87" s="90"/>
      <c r="AKW87" s="90"/>
      <c r="AKX87" s="90"/>
      <c r="AKY87" s="90"/>
      <c r="AKZ87" s="90"/>
      <c r="ALA87" s="90"/>
      <c r="ALB87" s="90"/>
      <c r="ALC87" s="90"/>
      <c r="ALD87" s="90"/>
      <c r="ALE87" s="90"/>
      <c r="ALF87" s="90"/>
      <c r="ALG87" s="90"/>
      <c r="ALH87" s="90"/>
      <c r="ALI87" s="90"/>
      <c r="ALJ87" s="90"/>
      <c r="ALK87" s="90"/>
      <c r="ALL87" s="90"/>
      <c r="ALM87" s="90"/>
      <c r="ALN87" s="90"/>
      <c r="ALO87" s="90"/>
      <c r="ALP87" s="90"/>
      <c r="ALQ87" s="90"/>
      <c r="ALR87" s="90"/>
      <c r="ALS87" s="90"/>
      <c r="ALT87" s="90"/>
      <c r="ALU87" s="90"/>
      <c r="ALV87" s="90"/>
      <c r="ALW87" s="90"/>
      <c r="ALX87" s="90"/>
      <c r="ALY87" s="90"/>
      <c r="ALZ87" s="90"/>
      <c r="AMA87" s="90"/>
      <c r="AMB87" s="90"/>
      <c r="AMC87" s="90"/>
    </row>
    <row r="88" spans="1:1017">
      <c r="A88" s="98" t="s">
        <v>26</v>
      </c>
      <c r="B88" s="648" t="str">
        <f t="shared" si="978"/>
        <v>Ikan_05 (Ikan betutu)</v>
      </c>
      <c r="Q88" s="91">
        <f t="shared" si="830"/>
        <v>0</v>
      </c>
      <c r="R88" s="91">
        <f t="shared" si="831"/>
        <v>0</v>
      </c>
      <c r="AG88" s="91">
        <f t="shared" si="832"/>
        <v>0</v>
      </c>
      <c r="AH88" s="91">
        <f t="shared" si="833"/>
        <v>0</v>
      </c>
      <c r="AW88" s="91">
        <f t="shared" si="834"/>
        <v>0</v>
      </c>
      <c r="AX88" s="91">
        <f t="shared" si="835"/>
        <v>0</v>
      </c>
      <c r="BM88" s="91">
        <f t="shared" si="836"/>
        <v>0</v>
      </c>
      <c r="BN88" s="91">
        <f t="shared" si="837"/>
        <v>0</v>
      </c>
      <c r="CC88" s="91">
        <f t="shared" si="838"/>
        <v>0</v>
      </c>
      <c r="CD88" s="91">
        <f t="shared" si="839"/>
        <v>0</v>
      </c>
      <c r="CS88" s="91">
        <f t="shared" si="840"/>
        <v>0</v>
      </c>
      <c r="CT88" s="91">
        <f t="shared" si="841"/>
        <v>0</v>
      </c>
      <c r="DI88" s="91">
        <f t="shared" si="842"/>
        <v>0</v>
      </c>
      <c r="DJ88" s="91">
        <f t="shared" si="843"/>
        <v>0</v>
      </c>
      <c r="DY88" s="91">
        <f t="shared" si="844"/>
        <v>0</v>
      </c>
      <c r="DZ88" s="91">
        <f t="shared" si="845"/>
        <v>0</v>
      </c>
      <c r="EO88" s="91">
        <f t="shared" si="846"/>
        <v>0</v>
      </c>
      <c r="EP88" s="91">
        <f t="shared" si="847"/>
        <v>0</v>
      </c>
      <c r="FE88" s="91">
        <f t="shared" si="848"/>
        <v>0</v>
      </c>
      <c r="FF88" s="91">
        <f t="shared" si="849"/>
        <v>0</v>
      </c>
      <c r="FU88" s="91">
        <f t="shared" si="850"/>
        <v>0</v>
      </c>
      <c r="FV88" s="91">
        <f t="shared" si="851"/>
        <v>0</v>
      </c>
      <c r="GK88" s="91">
        <f t="shared" si="852"/>
        <v>0</v>
      </c>
      <c r="GL88" s="91">
        <f t="shared" si="853"/>
        <v>0</v>
      </c>
      <c r="HA88" s="91">
        <f t="shared" si="854"/>
        <v>0</v>
      </c>
      <c r="HB88" s="91">
        <f t="shared" si="855"/>
        <v>0</v>
      </c>
      <c r="HQ88" s="91">
        <f t="shared" si="856"/>
        <v>0</v>
      </c>
      <c r="HR88" s="91">
        <f t="shared" si="857"/>
        <v>0</v>
      </c>
      <c r="IG88" s="91">
        <f t="shared" si="858"/>
        <v>0</v>
      </c>
      <c r="IH88" s="91">
        <f t="shared" si="859"/>
        <v>0</v>
      </c>
      <c r="IW88" s="91">
        <f t="shared" si="860"/>
        <v>0</v>
      </c>
      <c r="IX88" s="91">
        <f t="shared" si="861"/>
        <v>0</v>
      </c>
      <c r="JM88" s="91">
        <f t="shared" si="862"/>
        <v>0</v>
      </c>
      <c r="JN88" s="91">
        <f t="shared" si="863"/>
        <v>0</v>
      </c>
      <c r="KC88" s="91">
        <f t="shared" si="864"/>
        <v>0</v>
      </c>
      <c r="KD88" s="91">
        <f t="shared" si="865"/>
        <v>0</v>
      </c>
      <c r="KS88" s="91">
        <f t="shared" si="866"/>
        <v>0</v>
      </c>
      <c r="KT88" s="91">
        <f t="shared" si="867"/>
        <v>0</v>
      </c>
      <c r="LI88" s="91">
        <f t="shared" si="868"/>
        <v>0</v>
      </c>
      <c r="LJ88" s="91">
        <f t="shared" si="869"/>
        <v>0</v>
      </c>
      <c r="LY88" s="91">
        <f t="shared" si="870"/>
        <v>0</v>
      </c>
      <c r="LZ88" s="91">
        <f t="shared" si="871"/>
        <v>0</v>
      </c>
      <c r="MO88" s="91">
        <f t="shared" si="872"/>
        <v>0</v>
      </c>
      <c r="MP88" s="91">
        <f t="shared" si="873"/>
        <v>0</v>
      </c>
      <c r="NE88" s="91">
        <f t="shared" si="874"/>
        <v>0</v>
      </c>
      <c r="NF88" s="91">
        <f t="shared" si="875"/>
        <v>0</v>
      </c>
      <c r="NU88" s="91">
        <f t="shared" si="876"/>
        <v>0</v>
      </c>
      <c r="NV88" s="91">
        <f t="shared" si="877"/>
        <v>0</v>
      </c>
      <c r="OK88" s="91">
        <f t="shared" si="878"/>
        <v>0</v>
      </c>
      <c r="OL88" s="91">
        <f t="shared" si="879"/>
        <v>0</v>
      </c>
      <c r="PA88" s="91">
        <f t="shared" si="880"/>
        <v>0</v>
      </c>
      <c r="PB88" s="91">
        <f t="shared" si="881"/>
        <v>0</v>
      </c>
      <c r="PQ88" s="91">
        <f t="shared" si="882"/>
        <v>0</v>
      </c>
      <c r="PR88" s="91">
        <f t="shared" si="883"/>
        <v>0</v>
      </c>
      <c r="QG88" s="91">
        <f t="shared" si="884"/>
        <v>0</v>
      </c>
      <c r="QH88" s="91">
        <f t="shared" si="885"/>
        <v>0</v>
      </c>
      <c r="QW88" s="91">
        <f t="shared" si="886"/>
        <v>0</v>
      </c>
      <c r="QX88" s="91">
        <f t="shared" si="887"/>
        <v>0</v>
      </c>
      <c r="RM88" s="91">
        <f t="shared" si="888"/>
        <v>0</v>
      </c>
      <c r="RN88" s="91">
        <f t="shared" si="889"/>
        <v>0</v>
      </c>
      <c r="SC88" s="91">
        <f t="shared" si="890"/>
        <v>0</v>
      </c>
      <c r="SD88" s="91">
        <f t="shared" si="891"/>
        <v>0</v>
      </c>
      <c r="SS88" s="91">
        <f t="shared" si="892"/>
        <v>0</v>
      </c>
      <c r="ST88" s="91">
        <f t="shared" si="893"/>
        <v>0</v>
      </c>
      <c r="TI88" s="91">
        <f t="shared" si="894"/>
        <v>0</v>
      </c>
      <c r="TJ88" s="91">
        <f t="shared" si="895"/>
        <v>0</v>
      </c>
      <c r="TY88" s="91">
        <f t="shared" si="896"/>
        <v>0</v>
      </c>
      <c r="TZ88" s="91">
        <f t="shared" si="897"/>
        <v>0</v>
      </c>
      <c r="UO88" s="91">
        <f t="shared" si="898"/>
        <v>0</v>
      </c>
      <c r="UP88" s="91">
        <f t="shared" si="1009"/>
        <v>0</v>
      </c>
      <c r="VE88" s="91">
        <f t="shared" si="900"/>
        <v>0</v>
      </c>
      <c r="VF88" s="91">
        <f t="shared" si="901"/>
        <v>0</v>
      </c>
      <c r="VU88" s="91">
        <f t="shared" si="902"/>
        <v>0</v>
      </c>
      <c r="VV88" s="91">
        <f t="shared" si="903"/>
        <v>0</v>
      </c>
      <c r="WK88" s="91">
        <f t="shared" si="904"/>
        <v>0</v>
      </c>
      <c r="WL88" s="91">
        <f t="shared" si="905"/>
        <v>0</v>
      </c>
      <c r="WM88" s="89"/>
      <c r="WN88" s="87">
        <f t="shared" si="981"/>
        <v>0</v>
      </c>
      <c r="WO88" s="87">
        <f t="shared" si="982"/>
        <v>0</v>
      </c>
      <c r="WP88" s="87">
        <f t="shared" si="983"/>
        <v>0</v>
      </c>
      <c r="WQ88" s="87">
        <f t="shared" si="984"/>
        <v>0</v>
      </c>
      <c r="WR88" s="87">
        <f t="shared" si="985"/>
        <v>0</v>
      </c>
      <c r="WS88" s="87">
        <f t="shared" si="986"/>
        <v>0</v>
      </c>
      <c r="WT88" s="87">
        <f t="shared" si="987"/>
        <v>0</v>
      </c>
      <c r="WU88" s="87">
        <f t="shared" si="988"/>
        <v>0</v>
      </c>
      <c r="WV88" s="87">
        <f t="shared" si="989"/>
        <v>0</v>
      </c>
      <c r="WW88" s="87">
        <f t="shared" si="990"/>
        <v>0</v>
      </c>
      <c r="WX88" s="87">
        <f t="shared" si="991"/>
        <v>0</v>
      </c>
      <c r="WY88" s="87">
        <f t="shared" si="992"/>
        <v>0</v>
      </c>
      <c r="WZ88" s="87">
        <f t="shared" si="968"/>
        <v>0</v>
      </c>
      <c r="XA88" s="87">
        <f t="shared" si="969"/>
        <v>0</v>
      </c>
      <c r="XB88" s="92">
        <f t="shared" si="993"/>
        <v>0</v>
      </c>
      <c r="XC88" s="92">
        <f t="shared" si="994"/>
        <v>0</v>
      </c>
      <c r="XD88" s="89"/>
      <c r="XE88" s="92">
        <f t="shared" ref="XE88:XF88" si="1012">SUM(XB164,XB202,XB240)</f>
        <v>0</v>
      </c>
      <c r="XF88" s="92">
        <f t="shared" si="1012"/>
        <v>0</v>
      </c>
      <c r="XG88" s="89"/>
      <c r="XH88" s="92">
        <f t="shared" ref="XH88:XI88" si="1013">SUM(XE126,XE164)</f>
        <v>0</v>
      </c>
      <c r="XI88" s="92">
        <f t="shared" si="1013"/>
        <v>0</v>
      </c>
      <c r="XJ88" s="89"/>
      <c r="XK88" s="87"/>
      <c r="XL88" s="87"/>
      <c r="XM88" s="87"/>
      <c r="XN88" s="87"/>
      <c r="XO88" s="87"/>
      <c r="XP88" s="87"/>
      <c r="XQ88" s="87"/>
      <c r="XR88" s="92">
        <f t="shared" ca="1" si="922"/>
        <v>0</v>
      </c>
      <c r="XS88" s="89"/>
      <c r="XT88" s="87"/>
      <c r="XU88" s="87"/>
      <c r="XV88" s="87"/>
      <c r="XW88" s="87"/>
      <c r="XX88" s="87"/>
      <c r="XY88" s="87"/>
      <c r="XZ88" s="87"/>
      <c r="YA88" s="92">
        <f t="shared" ca="1" si="923"/>
        <v>0</v>
      </c>
      <c r="YB88" s="90"/>
      <c r="YC88" s="90"/>
      <c r="YD88" s="90"/>
      <c r="YE88" s="90"/>
      <c r="YF88" s="90"/>
      <c r="YG88" s="90"/>
      <c r="YH88" s="90"/>
      <c r="YI88" s="90"/>
      <c r="YJ88" s="90"/>
      <c r="YK88" s="90"/>
      <c r="YL88" s="90"/>
      <c r="YM88" s="90"/>
      <c r="YN88" s="90"/>
      <c r="YO88" s="90"/>
      <c r="YP88" s="90"/>
      <c r="YQ88" s="90"/>
      <c r="YR88" s="90"/>
      <c r="YS88" s="90"/>
      <c r="YT88" s="90"/>
      <c r="YU88" s="90"/>
      <c r="YV88" s="90"/>
      <c r="YW88" s="90"/>
      <c r="YX88" s="90"/>
      <c r="YY88" s="90"/>
      <c r="YZ88" s="90"/>
      <c r="ZA88" s="90"/>
      <c r="ZB88" s="90"/>
      <c r="ZC88" s="90"/>
      <c r="ZD88" s="90"/>
      <c r="ZE88" s="90"/>
      <c r="ZF88" s="90"/>
      <c r="ZG88" s="90"/>
      <c r="ZH88" s="90"/>
      <c r="ZI88" s="90"/>
      <c r="ZJ88" s="90"/>
      <c r="ZK88" s="90"/>
      <c r="ZL88" s="90"/>
      <c r="ZM88" s="90"/>
      <c r="ZN88" s="90"/>
      <c r="ZO88" s="90"/>
      <c r="ZP88" s="90"/>
      <c r="ZQ88" s="90"/>
      <c r="ZR88" s="90"/>
      <c r="ZS88" s="90"/>
      <c r="ZT88" s="90"/>
      <c r="ZU88" s="90"/>
      <c r="ZV88" s="90"/>
      <c r="ZW88" s="90"/>
      <c r="ZX88" s="90"/>
      <c r="ZY88" s="90"/>
      <c r="ZZ88" s="90"/>
      <c r="AAA88" s="90"/>
      <c r="AAB88" s="90"/>
      <c r="AAC88" s="90"/>
      <c r="AAD88" s="90"/>
      <c r="AAE88" s="90"/>
      <c r="AAF88" s="90"/>
      <c r="AAG88" s="90"/>
      <c r="AAH88" s="90"/>
      <c r="AAI88" s="90"/>
      <c r="AAJ88" s="90"/>
      <c r="AAK88" s="90"/>
      <c r="AAL88" s="90"/>
      <c r="AAM88" s="90"/>
      <c r="AAN88" s="90"/>
      <c r="AAO88" s="90"/>
      <c r="AAP88" s="90"/>
      <c r="AAQ88" s="90"/>
      <c r="AAR88" s="90"/>
      <c r="AAS88" s="90"/>
      <c r="AAT88" s="90"/>
      <c r="AAU88" s="90"/>
      <c r="AAV88" s="90"/>
      <c r="AAW88" s="90"/>
      <c r="AAX88" s="90"/>
      <c r="AAY88" s="90"/>
      <c r="AAZ88" s="90"/>
      <c r="ABA88" s="90"/>
      <c r="ABB88" s="90"/>
      <c r="ABC88" s="90"/>
      <c r="ABD88" s="90"/>
      <c r="ABE88" s="90"/>
      <c r="ABF88" s="90"/>
      <c r="ABG88" s="90"/>
      <c r="ABH88" s="90"/>
      <c r="ABI88" s="90"/>
      <c r="ABJ88" s="90"/>
      <c r="ABK88" s="90"/>
      <c r="ABL88" s="90"/>
      <c r="ABM88" s="90"/>
      <c r="ABN88" s="90"/>
      <c r="ABO88" s="90"/>
      <c r="ABP88" s="90"/>
      <c r="ABQ88" s="90"/>
      <c r="ABR88" s="90"/>
      <c r="ABS88" s="90"/>
      <c r="ABT88" s="90"/>
      <c r="ABU88" s="90"/>
      <c r="ABV88" s="90"/>
      <c r="ABW88" s="90"/>
      <c r="ABX88" s="90"/>
      <c r="ABY88" s="90"/>
      <c r="ABZ88" s="90"/>
      <c r="ACA88" s="90"/>
      <c r="ACB88" s="90"/>
      <c r="ACC88" s="90"/>
      <c r="ACD88" s="90"/>
      <c r="ACE88" s="90"/>
      <c r="ACF88" s="90"/>
      <c r="ACG88" s="90"/>
      <c r="ACH88" s="90"/>
      <c r="ACI88" s="90"/>
      <c r="ACJ88" s="90"/>
      <c r="ACK88" s="90"/>
      <c r="ACL88" s="90"/>
      <c r="ACM88" s="90"/>
      <c r="ACN88" s="90"/>
      <c r="ACO88" s="90"/>
      <c r="ACP88" s="90"/>
      <c r="ACQ88" s="90"/>
      <c r="ACR88" s="90"/>
      <c r="ACS88" s="90"/>
      <c r="ACT88" s="90"/>
      <c r="ACU88" s="90"/>
      <c r="ACV88" s="90"/>
      <c r="ACW88" s="90"/>
      <c r="ACX88" s="90"/>
      <c r="ACY88" s="90"/>
      <c r="ACZ88" s="90"/>
      <c r="ADA88" s="90"/>
      <c r="ADB88" s="90"/>
      <c r="ADC88" s="90"/>
      <c r="ADD88" s="90"/>
      <c r="ADE88" s="90"/>
      <c r="ADF88" s="90"/>
      <c r="ADG88" s="90"/>
      <c r="ADH88" s="90"/>
      <c r="ADI88" s="90"/>
      <c r="ADJ88" s="90"/>
      <c r="ADK88" s="90"/>
      <c r="ADL88" s="90"/>
      <c r="ADM88" s="90"/>
      <c r="ADN88" s="90"/>
      <c r="ADO88" s="90"/>
      <c r="ADP88" s="90"/>
      <c r="ADQ88" s="90"/>
      <c r="ADR88" s="90"/>
      <c r="ADS88" s="90"/>
      <c r="ADT88" s="90"/>
      <c r="ADU88" s="90"/>
      <c r="ADV88" s="90"/>
      <c r="ADW88" s="90"/>
      <c r="ADX88" s="90"/>
      <c r="ADY88" s="90"/>
      <c r="ADZ88" s="90"/>
      <c r="AEA88" s="90"/>
      <c r="AEB88" s="90"/>
      <c r="AEC88" s="90"/>
      <c r="AED88" s="90"/>
      <c r="AEE88" s="90"/>
      <c r="AEF88" s="90"/>
      <c r="AEG88" s="90"/>
      <c r="AEH88" s="90"/>
      <c r="AEI88" s="90"/>
      <c r="AEJ88" s="90"/>
      <c r="AEK88" s="90"/>
      <c r="AEL88" s="90"/>
      <c r="AEM88" s="90"/>
      <c r="AEN88" s="90"/>
      <c r="AEO88" s="90"/>
      <c r="AEP88" s="90"/>
      <c r="AEQ88" s="90"/>
      <c r="AER88" s="90"/>
      <c r="AES88" s="90"/>
      <c r="AET88" s="90"/>
      <c r="AEU88" s="90"/>
      <c r="AEV88" s="90"/>
      <c r="AEW88" s="90"/>
      <c r="AEX88" s="90"/>
      <c r="AEY88" s="90"/>
      <c r="AEZ88" s="90"/>
      <c r="AFA88" s="90"/>
      <c r="AFB88" s="90"/>
      <c r="AFC88" s="90"/>
      <c r="AFD88" s="90"/>
      <c r="AFE88" s="90"/>
      <c r="AFF88" s="90"/>
      <c r="AFG88" s="90"/>
      <c r="AFH88" s="90"/>
      <c r="AFI88" s="90"/>
      <c r="AFJ88" s="90"/>
      <c r="AFK88" s="90"/>
      <c r="AFL88" s="90"/>
      <c r="AFM88" s="90"/>
      <c r="AFN88" s="90"/>
      <c r="AFO88" s="90"/>
      <c r="AFP88" s="90"/>
      <c r="AFQ88" s="90"/>
      <c r="AFR88" s="90"/>
      <c r="AFS88" s="90"/>
      <c r="AFT88" s="90"/>
      <c r="AFU88" s="90"/>
      <c r="AFV88" s="90"/>
      <c r="AFW88" s="90"/>
      <c r="AFX88" s="90"/>
      <c r="AFY88" s="90"/>
      <c r="AFZ88" s="90"/>
      <c r="AGA88" s="90"/>
      <c r="AGB88" s="90"/>
      <c r="AGC88" s="90"/>
      <c r="AGD88" s="90"/>
      <c r="AGE88" s="90"/>
      <c r="AGF88" s="90"/>
      <c r="AGG88" s="90"/>
      <c r="AGH88" s="90"/>
      <c r="AGI88" s="90"/>
      <c r="AGJ88" s="90"/>
      <c r="AGK88" s="90"/>
      <c r="AGL88" s="90"/>
      <c r="AGM88" s="90"/>
      <c r="AGN88" s="90"/>
      <c r="AGO88" s="90"/>
      <c r="AGP88" s="90"/>
      <c r="AGQ88" s="90"/>
      <c r="AGR88" s="90"/>
      <c r="AGS88" s="90"/>
      <c r="AGT88" s="90"/>
      <c r="AGU88" s="90"/>
      <c r="AGV88" s="90"/>
      <c r="AGW88" s="90"/>
      <c r="AGX88" s="90"/>
      <c r="AGY88" s="90"/>
      <c r="AGZ88" s="90"/>
      <c r="AHA88" s="90"/>
      <c r="AHB88" s="90"/>
      <c r="AHC88" s="90"/>
      <c r="AHD88" s="90"/>
      <c r="AHE88" s="90"/>
      <c r="AHF88" s="90"/>
      <c r="AHG88" s="90"/>
      <c r="AHH88" s="90"/>
      <c r="AHI88" s="90"/>
      <c r="AHJ88" s="90"/>
      <c r="AHK88" s="90"/>
      <c r="AHL88" s="90"/>
      <c r="AHM88" s="90"/>
      <c r="AHN88" s="90"/>
      <c r="AHO88" s="90"/>
      <c r="AHP88" s="90"/>
      <c r="AHQ88" s="90"/>
      <c r="AHR88" s="90"/>
      <c r="AHS88" s="90"/>
      <c r="AHT88" s="90"/>
      <c r="AHU88" s="90"/>
      <c r="AHV88" s="90"/>
      <c r="AHW88" s="90"/>
      <c r="AHX88" s="90"/>
      <c r="AHY88" s="90"/>
      <c r="AHZ88" s="90"/>
      <c r="AIA88" s="90"/>
      <c r="AIB88" s="90"/>
      <c r="AIC88" s="90"/>
      <c r="AID88" s="90"/>
      <c r="AIE88" s="90"/>
      <c r="AIF88" s="90"/>
      <c r="AIG88" s="90"/>
      <c r="AIH88" s="90"/>
      <c r="AII88" s="90"/>
      <c r="AIJ88" s="90"/>
      <c r="AIK88" s="90"/>
      <c r="AIL88" s="90"/>
      <c r="AIM88" s="90"/>
      <c r="AIN88" s="90"/>
      <c r="AIO88" s="90"/>
      <c r="AIP88" s="90"/>
      <c r="AIQ88" s="90"/>
      <c r="AIR88" s="90"/>
      <c r="AIS88" s="90"/>
      <c r="AIT88" s="90"/>
      <c r="AIU88" s="90"/>
      <c r="AIV88" s="90"/>
      <c r="AIW88" s="90"/>
      <c r="AIX88" s="90"/>
      <c r="AIY88" s="90"/>
      <c r="AIZ88" s="90"/>
      <c r="AJA88" s="90"/>
      <c r="AJB88" s="90"/>
      <c r="AJC88" s="90"/>
      <c r="AJD88" s="90"/>
      <c r="AJE88" s="90"/>
      <c r="AJF88" s="90"/>
      <c r="AJG88" s="90"/>
      <c r="AJH88" s="90"/>
      <c r="AJI88" s="90"/>
      <c r="AJJ88" s="90"/>
      <c r="AJK88" s="90"/>
      <c r="AJL88" s="90"/>
      <c r="AJM88" s="90"/>
      <c r="AJN88" s="90"/>
      <c r="AJO88" s="90"/>
      <c r="AJP88" s="90"/>
      <c r="AJQ88" s="90"/>
      <c r="AJR88" s="90"/>
      <c r="AJS88" s="90"/>
      <c r="AJT88" s="90"/>
      <c r="AJU88" s="90"/>
      <c r="AJV88" s="90"/>
      <c r="AJW88" s="90"/>
      <c r="AJX88" s="90"/>
      <c r="AJY88" s="90"/>
      <c r="AJZ88" s="90"/>
      <c r="AKA88" s="90"/>
      <c r="AKB88" s="90"/>
      <c r="AKC88" s="90"/>
      <c r="AKD88" s="90"/>
      <c r="AKE88" s="90"/>
      <c r="AKF88" s="90"/>
      <c r="AKG88" s="90"/>
      <c r="AKH88" s="90"/>
      <c r="AKI88" s="90"/>
      <c r="AKJ88" s="90"/>
      <c r="AKK88" s="90"/>
      <c r="AKL88" s="90"/>
      <c r="AKM88" s="90"/>
      <c r="AKN88" s="90"/>
      <c r="AKO88" s="90"/>
      <c r="AKP88" s="90"/>
      <c r="AKQ88" s="90"/>
      <c r="AKR88" s="90"/>
      <c r="AKS88" s="90"/>
      <c r="AKT88" s="90"/>
      <c r="AKU88" s="90"/>
      <c r="AKV88" s="90"/>
      <c r="AKW88" s="90"/>
      <c r="AKX88" s="90"/>
      <c r="AKY88" s="90"/>
      <c r="AKZ88" s="90"/>
      <c r="ALA88" s="90"/>
      <c r="ALB88" s="90"/>
      <c r="ALC88" s="90"/>
      <c r="ALD88" s="90"/>
      <c r="ALE88" s="90"/>
      <c r="ALF88" s="90"/>
      <c r="ALG88" s="90"/>
      <c r="ALH88" s="90"/>
      <c r="ALI88" s="90"/>
      <c r="ALJ88" s="90"/>
      <c r="ALK88" s="90"/>
      <c r="ALL88" s="90"/>
      <c r="ALM88" s="90"/>
      <c r="ALN88" s="90"/>
      <c r="ALO88" s="90"/>
      <c r="ALP88" s="90"/>
      <c r="ALQ88" s="90"/>
      <c r="ALR88" s="90"/>
      <c r="ALS88" s="90"/>
      <c r="ALT88" s="90"/>
      <c r="ALU88" s="90"/>
      <c r="ALV88" s="90"/>
      <c r="ALW88" s="90"/>
      <c r="ALX88" s="90"/>
      <c r="ALY88" s="90"/>
      <c r="ALZ88" s="90"/>
      <c r="AMA88" s="90"/>
      <c r="AMB88" s="90"/>
      <c r="AMC88" s="90"/>
    </row>
    <row r="89" spans="1:1017" s="100" customFormat="1">
      <c r="A89" s="100">
        <v>3</v>
      </c>
      <c r="B89" s="100" t="s">
        <v>58</v>
      </c>
      <c r="C89" s="100">
        <f t="shared" ref="C89:R89" si="1014">SUM(C90:C126)</f>
        <v>0</v>
      </c>
      <c r="D89" s="100">
        <f t="shared" si="1014"/>
        <v>0</v>
      </c>
      <c r="E89" s="100">
        <f t="shared" si="1014"/>
        <v>1596050</v>
      </c>
      <c r="F89" s="100">
        <f t="shared" si="1014"/>
        <v>52101740</v>
      </c>
      <c r="G89" s="100">
        <f t="shared" si="1014"/>
        <v>0</v>
      </c>
      <c r="H89" s="100">
        <f t="shared" si="1014"/>
        <v>0</v>
      </c>
      <c r="I89" s="100">
        <f t="shared" si="1014"/>
        <v>118600</v>
      </c>
      <c r="J89" s="100">
        <f t="shared" si="1014"/>
        <v>2665300</v>
      </c>
      <c r="K89" s="100">
        <f t="shared" si="1014"/>
        <v>0</v>
      </c>
      <c r="L89" s="100">
        <f t="shared" si="1014"/>
        <v>0</v>
      </c>
      <c r="M89" s="100">
        <f t="shared" si="1014"/>
        <v>600</v>
      </c>
      <c r="N89" s="100">
        <f t="shared" si="1014"/>
        <v>12000</v>
      </c>
      <c r="O89" s="100">
        <f t="shared" si="1014"/>
        <v>0</v>
      </c>
      <c r="P89" s="100">
        <f t="shared" si="1014"/>
        <v>0</v>
      </c>
      <c r="Q89" s="728">
        <f t="shared" si="1014"/>
        <v>1715250</v>
      </c>
      <c r="R89" s="728">
        <f t="shared" si="1014"/>
        <v>54779040</v>
      </c>
      <c r="S89" s="100">
        <f t="shared" ref="S89:CD89" si="1015">SUM(S90:S126)</f>
        <v>5150</v>
      </c>
      <c r="T89" s="100">
        <f t="shared" si="1015"/>
        <v>635900</v>
      </c>
      <c r="U89" s="100">
        <f t="shared" si="1015"/>
        <v>1608090</v>
      </c>
      <c r="V89" s="100">
        <f t="shared" si="1015"/>
        <v>79992275</v>
      </c>
      <c r="W89" s="100">
        <f t="shared" si="1015"/>
        <v>0</v>
      </c>
      <c r="X89" s="100">
        <f t="shared" si="1015"/>
        <v>0</v>
      </c>
      <c r="Y89" s="100">
        <f t="shared" si="1015"/>
        <v>820170</v>
      </c>
      <c r="Z89" s="100">
        <f t="shared" si="1015"/>
        <v>16694595</v>
      </c>
      <c r="AA89" s="100">
        <f t="shared" si="1015"/>
        <v>6215</v>
      </c>
      <c r="AB89" s="100">
        <f t="shared" si="1015"/>
        <v>169450</v>
      </c>
      <c r="AC89" s="100">
        <f t="shared" si="1015"/>
        <v>3560</v>
      </c>
      <c r="AD89" s="100">
        <f t="shared" si="1015"/>
        <v>97375</v>
      </c>
      <c r="AE89" s="100">
        <f t="shared" si="1015"/>
        <v>1695</v>
      </c>
      <c r="AF89" s="100">
        <f t="shared" si="1015"/>
        <v>40050</v>
      </c>
      <c r="AG89" s="785">
        <f t="shared" si="1015"/>
        <v>2444880</v>
      </c>
      <c r="AH89" s="785">
        <f t="shared" si="1015"/>
        <v>97629645</v>
      </c>
      <c r="AI89" s="100">
        <f t="shared" si="1015"/>
        <v>0</v>
      </c>
      <c r="AJ89" s="100">
        <f t="shared" si="1015"/>
        <v>0</v>
      </c>
      <c r="AK89" s="100">
        <f t="shared" si="1015"/>
        <v>35700</v>
      </c>
      <c r="AL89" s="100">
        <f t="shared" si="1015"/>
        <v>2320500</v>
      </c>
      <c r="AM89" s="100">
        <f t="shared" si="1015"/>
        <v>0</v>
      </c>
      <c r="AN89" s="100">
        <f t="shared" si="1015"/>
        <v>0</v>
      </c>
      <c r="AO89" s="100">
        <f t="shared" si="1015"/>
        <v>1382100</v>
      </c>
      <c r="AP89" s="100">
        <f t="shared" si="1015"/>
        <v>30199400</v>
      </c>
      <c r="AQ89" s="100">
        <f t="shared" si="1015"/>
        <v>200</v>
      </c>
      <c r="AR89" s="100">
        <f t="shared" si="1015"/>
        <v>4800</v>
      </c>
      <c r="AS89" s="100">
        <f t="shared" si="1015"/>
        <v>0</v>
      </c>
      <c r="AT89" s="100">
        <f t="shared" si="1015"/>
        <v>0</v>
      </c>
      <c r="AU89" s="100">
        <f t="shared" si="1015"/>
        <v>2560</v>
      </c>
      <c r="AV89" s="100">
        <f t="shared" si="1015"/>
        <v>61440</v>
      </c>
      <c r="AW89" s="728">
        <f t="shared" si="1015"/>
        <v>1420560</v>
      </c>
      <c r="AX89" s="728">
        <f t="shared" si="1015"/>
        <v>32586140</v>
      </c>
      <c r="AY89" s="100">
        <f t="shared" si="1015"/>
        <v>0</v>
      </c>
      <c r="AZ89" s="100">
        <f t="shared" si="1015"/>
        <v>0</v>
      </c>
      <c r="BA89" s="100">
        <f t="shared" si="1015"/>
        <v>0</v>
      </c>
      <c r="BB89" s="100">
        <f t="shared" si="1015"/>
        <v>0</v>
      </c>
      <c r="BC89" s="100">
        <f t="shared" si="1015"/>
        <v>0</v>
      </c>
      <c r="BD89" s="100">
        <f t="shared" si="1015"/>
        <v>0</v>
      </c>
      <c r="BE89" s="100">
        <f t="shared" si="1015"/>
        <v>488845</v>
      </c>
      <c r="BF89" s="100">
        <f t="shared" si="1015"/>
        <v>9843470</v>
      </c>
      <c r="BG89" s="100">
        <f t="shared" si="1015"/>
        <v>12735</v>
      </c>
      <c r="BH89" s="100">
        <f t="shared" si="1015"/>
        <v>265196</v>
      </c>
      <c r="BI89" s="100">
        <f t="shared" si="1015"/>
        <v>0</v>
      </c>
      <c r="BJ89" s="100">
        <f t="shared" si="1015"/>
        <v>0</v>
      </c>
      <c r="BK89" s="100">
        <f t="shared" si="1015"/>
        <v>3247</v>
      </c>
      <c r="BL89" s="100">
        <f t="shared" si="1015"/>
        <v>54730</v>
      </c>
      <c r="BM89" s="728">
        <f t="shared" si="1015"/>
        <v>504827</v>
      </c>
      <c r="BN89" s="728">
        <f t="shared" si="1015"/>
        <v>10163396</v>
      </c>
      <c r="BO89" s="100">
        <f t="shared" si="1015"/>
        <v>0</v>
      </c>
      <c r="BP89" s="100">
        <f t="shared" si="1015"/>
        <v>0</v>
      </c>
      <c r="BQ89" s="100">
        <f t="shared" si="1015"/>
        <v>0</v>
      </c>
      <c r="BR89" s="100">
        <f t="shared" si="1015"/>
        <v>0</v>
      </c>
      <c r="BS89" s="100">
        <f t="shared" si="1015"/>
        <v>0</v>
      </c>
      <c r="BT89" s="100">
        <f t="shared" si="1015"/>
        <v>0</v>
      </c>
      <c r="BU89" s="100">
        <f t="shared" si="1015"/>
        <v>78873</v>
      </c>
      <c r="BV89" s="100">
        <f t="shared" si="1015"/>
        <v>1699424</v>
      </c>
      <c r="BW89" s="100">
        <f t="shared" si="1015"/>
        <v>0</v>
      </c>
      <c r="BX89" s="100">
        <f t="shared" si="1015"/>
        <v>0</v>
      </c>
      <c r="BY89" s="100">
        <f t="shared" si="1015"/>
        <v>0</v>
      </c>
      <c r="BZ89" s="100">
        <f t="shared" si="1015"/>
        <v>0</v>
      </c>
      <c r="CA89" s="100">
        <f t="shared" si="1015"/>
        <v>0</v>
      </c>
      <c r="CB89" s="100">
        <f t="shared" si="1015"/>
        <v>0</v>
      </c>
      <c r="CC89" s="728">
        <f t="shared" si="1015"/>
        <v>78873</v>
      </c>
      <c r="CD89" s="728">
        <f t="shared" si="1015"/>
        <v>1699424</v>
      </c>
      <c r="CE89" s="100">
        <f t="shared" ref="CE89:EP89" si="1016">SUM(CE90:CE126)</f>
        <v>598742</v>
      </c>
      <c r="CF89" s="100">
        <f t="shared" si="1016"/>
        <v>2394967</v>
      </c>
      <c r="CG89" s="100">
        <f t="shared" si="1016"/>
        <v>8335551</v>
      </c>
      <c r="CH89" s="100">
        <f t="shared" si="1016"/>
        <v>243942062</v>
      </c>
      <c r="CI89" s="100">
        <f t="shared" si="1016"/>
        <v>0</v>
      </c>
      <c r="CJ89" s="100">
        <f t="shared" si="1016"/>
        <v>0</v>
      </c>
      <c r="CK89" s="100">
        <f t="shared" si="1016"/>
        <v>5727627</v>
      </c>
      <c r="CL89" s="100">
        <f t="shared" si="1016"/>
        <v>94620592.577696249</v>
      </c>
      <c r="CM89" s="100">
        <f t="shared" si="1016"/>
        <v>0</v>
      </c>
      <c r="CN89" s="100">
        <f t="shared" si="1016"/>
        <v>0</v>
      </c>
      <c r="CO89" s="100">
        <f t="shared" si="1016"/>
        <v>0</v>
      </c>
      <c r="CP89" s="100">
        <f t="shared" si="1016"/>
        <v>0</v>
      </c>
      <c r="CQ89" s="100">
        <f t="shared" si="1016"/>
        <v>0</v>
      </c>
      <c r="CR89" s="100">
        <f t="shared" si="1016"/>
        <v>0</v>
      </c>
      <c r="CS89" s="728">
        <f t="shared" si="1016"/>
        <v>14661920</v>
      </c>
      <c r="CT89" s="728">
        <f t="shared" si="1016"/>
        <v>340957621.5776962</v>
      </c>
      <c r="CU89" s="100">
        <f t="shared" si="1016"/>
        <v>0</v>
      </c>
      <c r="CV89" s="100">
        <f t="shared" si="1016"/>
        <v>0</v>
      </c>
      <c r="CW89" s="100">
        <f t="shared" si="1016"/>
        <v>119765.0004958881</v>
      </c>
      <c r="CX89" s="100">
        <f t="shared" si="1016"/>
        <v>7703971.0139999995</v>
      </c>
      <c r="CY89" s="100">
        <f t="shared" si="1016"/>
        <v>0</v>
      </c>
      <c r="CZ89" s="100">
        <f t="shared" si="1016"/>
        <v>0</v>
      </c>
      <c r="DA89" s="100">
        <f t="shared" si="1016"/>
        <v>1295793</v>
      </c>
      <c r="DB89" s="100">
        <f t="shared" si="1016"/>
        <v>29069937.999000002</v>
      </c>
      <c r="DC89" s="100">
        <f t="shared" si="1016"/>
        <v>15310</v>
      </c>
      <c r="DD89" s="100">
        <f t="shared" si="1016"/>
        <v>398260</v>
      </c>
      <c r="DE89" s="100">
        <f t="shared" si="1016"/>
        <v>0</v>
      </c>
      <c r="DF89" s="100">
        <f t="shared" si="1016"/>
        <v>0</v>
      </c>
      <c r="DG89" s="100">
        <f t="shared" si="1016"/>
        <v>0</v>
      </c>
      <c r="DH89" s="100">
        <f t="shared" si="1016"/>
        <v>0</v>
      </c>
      <c r="DI89" s="728">
        <f t="shared" si="1016"/>
        <v>1430868.0004958881</v>
      </c>
      <c r="DJ89" s="728">
        <f t="shared" si="1016"/>
        <v>37172169.013000004</v>
      </c>
      <c r="DK89" s="100">
        <f t="shared" si="1016"/>
        <v>0</v>
      </c>
      <c r="DL89" s="100">
        <f t="shared" si="1016"/>
        <v>0</v>
      </c>
      <c r="DM89" s="100">
        <f t="shared" si="1016"/>
        <v>0</v>
      </c>
      <c r="DN89" s="100">
        <f t="shared" si="1016"/>
        <v>0</v>
      </c>
      <c r="DO89" s="100">
        <f t="shared" si="1016"/>
        <v>0</v>
      </c>
      <c r="DP89" s="100">
        <f t="shared" si="1016"/>
        <v>0</v>
      </c>
      <c r="DQ89" s="100">
        <f t="shared" si="1016"/>
        <v>1267700</v>
      </c>
      <c r="DR89" s="100">
        <f t="shared" si="1016"/>
        <v>22457050</v>
      </c>
      <c r="DS89" s="100">
        <f t="shared" si="1016"/>
        <v>0</v>
      </c>
      <c r="DT89" s="100">
        <f t="shared" si="1016"/>
        <v>0</v>
      </c>
      <c r="DU89" s="100">
        <f t="shared" si="1016"/>
        <v>0</v>
      </c>
      <c r="DV89" s="100">
        <f t="shared" si="1016"/>
        <v>0</v>
      </c>
      <c r="DW89" s="100">
        <f t="shared" si="1016"/>
        <v>0</v>
      </c>
      <c r="DX89" s="100">
        <f t="shared" si="1016"/>
        <v>0</v>
      </c>
      <c r="DY89" s="728">
        <f t="shared" si="1016"/>
        <v>1267700</v>
      </c>
      <c r="DZ89" s="728">
        <f t="shared" si="1016"/>
        <v>22457050</v>
      </c>
      <c r="EA89" s="100">
        <f t="shared" si="1016"/>
        <v>0</v>
      </c>
      <c r="EB89" s="100">
        <f t="shared" si="1016"/>
        <v>0</v>
      </c>
      <c r="EC89" s="100">
        <f t="shared" si="1016"/>
        <v>0</v>
      </c>
      <c r="ED89" s="100">
        <f t="shared" si="1016"/>
        <v>0</v>
      </c>
      <c r="EE89" s="100">
        <f t="shared" si="1016"/>
        <v>0</v>
      </c>
      <c r="EF89" s="100">
        <f t="shared" si="1016"/>
        <v>0</v>
      </c>
      <c r="EG89" s="100">
        <f t="shared" si="1016"/>
        <v>2193250</v>
      </c>
      <c r="EH89" s="100">
        <f t="shared" si="1016"/>
        <v>40848750</v>
      </c>
      <c r="EI89" s="100">
        <f t="shared" si="1016"/>
        <v>0</v>
      </c>
      <c r="EJ89" s="100">
        <f t="shared" si="1016"/>
        <v>0</v>
      </c>
      <c r="EK89" s="100">
        <f t="shared" si="1016"/>
        <v>0</v>
      </c>
      <c r="EL89" s="100">
        <f t="shared" si="1016"/>
        <v>0</v>
      </c>
      <c r="EM89" s="100">
        <f t="shared" si="1016"/>
        <v>0</v>
      </c>
      <c r="EN89" s="100">
        <f t="shared" si="1016"/>
        <v>0</v>
      </c>
      <c r="EO89" s="728">
        <f t="shared" si="1016"/>
        <v>2193250</v>
      </c>
      <c r="EP89" s="728">
        <f t="shared" si="1016"/>
        <v>40848750</v>
      </c>
      <c r="EQ89" s="100">
        <f t="shared" ref="EQ89:HB89" si="1017">SUM(EQ90:EQ126)</f>
        <v>0</v>
      </c>
      <c r="ER89" s="100">
        <f t="shared" si="1017"/>
        <v>0</v>
      </c>
      <c r="ES89" s="100">
        <f t="shared" si="1017"/>
        <v>312174</v>
      </c>
      <c r="ET89" s="100">
        <f t="shared" si="1017"/>
        <v>19438560</v>
      </c>
      <c r="EU89" s="100">
        <f t="shared" si="1017"/>
        <v>0</v>
      </c>
      <c r="EV89" s="100">
        <f t="shared" si="1017"/>
        <v>0</v>
      </c>
      <c r="EW89" s="100">
        <f t="shared" si="1017"/>
        <v>6455657</v>
      </c>
      <c r="EX89" s="100">
        <f t="shared" si="1017"/>
        <v>189050942</v>
      </c>
      <c r="EY89" s="100">
        <f t="shared" si="1017"/>
        <v>0</v>
      </c>
      <c r="EZ89" s="100">
        <f t="shared" si="1017"/>
        <v>0</v>
      </c>
      <c r="FA89" s="100">
        <f t="shared" si="1017"/>
        <v>5367</v>
      </c>
      <c r="FB89" s="100">
        <f t="shared" si="1017"/>
        <v>118074</v>
      </c>
      <c r="FC89" s="100">
        <f t="shared" si="1017"/>
        <v>521</v>
      </c>
      <c r="FD89" s="100">
        <f t="shared" si="1017"/>
        <v>13025</v>
      </c>
      <c r="FE89" s="728">
        <f t="shared" si="1017"/>
        <v>6773719</v>
      </c>
      <c r="FF89" s="728">
        <f t="shared" si="1017"/>
        <v>208620601</v>
      </c>
      <c r="FG89" s="100">
        <f t="shared" si="1017"/>
        <v>0</v>
      </c>
      <c r="FH89" s="100">
        <f t="shared" si="1017"/>
        <v>0</v>
      </c>
      <c r="FI89" s="100">
        <f t="shared" si="1017"/>
        <v>140000</v>
      </c>
      <c r="FJ89" s="100">
        <f t="shared" si="1017"/>
        <v>8400000</v>
      </c>
      <c r="FK89" s="100">
        <f t="shared" si="1017"/>
        <v>0</v>
      </c>
      <c r="FL89" s="100">
        <f t="shared" si="1017"/>
        <v>0</v>
      </c>
      <c r="FM89" s="100">
        <f t="shared" si="1017"/>
        <v>240000.4</v>
      </c>
      <c r="FN89" s="100">
        <f t="shared" si="1017"/>
        <v>6228198</v>
      </c>
      <c r="FO89" s="100">
        <f t="shared" si="1017"/>
        <v>0</v>
      </c>
      <c r="FP89" s="100">
        <f t="shared" si="1017"/>
        <v>0</v>
      </c>
      <c r="FQ89" s="100">
        <f t="shared" si="1017"/>
        <v>0</v>
      </c>
      <c r="FR89" s="100">
        <f t="shared" si="1017"/>
        <v>0</v>
      </c>
      <c r="FS89" s="100">
        <f t="shared" si="1017"/>
        <v>85000</v>
      </c>
      <c r="FT89" s="100">
        <f t="shared" si="1017"/>
        <v>2550000</v>
      </c>
      <c r="FU89" s="728">
        <f t="shared" si="1017"/>
        <v>465000.4</v>
      </c>
      <c r="FV89" s="728">
        <f t="shared" si="1017"/>
        <v>17178198</v>
      </c>
      <c r="FW89" s="100">
        <f t="shared" si="1017"/>
        <v>0</v>
      </c>
      <c r="FX89" s="100">
        <f t="shared" si="1017"/>
        <v>0</v>
      </c>
      <c r="FY89" s="100">
        <f t="shared" si="1017"/>
        <v>0</v>
      </c>
      <c r="FZ89" s="100">
        <f t="shared" si="1017"/>
        <v>0</v>
      </c>
      <c r="GA89" s="100">
        <f t="shared" si="1017"/>
        <v>0</v>
      </c>
      <c r="GB89" s="100">
        <f t="shared" si="1017"/>
        <v>0</v>
      </c>
      <c r="GC89" s="100">
        <f t="shared" si="1017"/>
        <v>341300</v>
      </c>
      <c r="GD89" s="100">
        <f t="shared" si="1017"/>
        <v>7121500</v>
      </c>
      <c r="GE89" s="100">
        <f t="shared" si="1017"/>
        <v>0</v>
      </c>
      <c r="GF89" s="100">
        <f t="shared" si="1017"/>
        <v>0</v>
      </c>
      <c r="GG89" s="100">
        <f t="shared" si="1017"/>
        <v>0</v>
      </c>
      <c r="GH89" s="100">
        <f t="shared" si="1017"/>
        <v>0</v>
      </c>
      <c r="GI89" s="100">
        <f t="shared" si="1017"/>
        <v>0</v>
      </c>
      <c r="GJ89" s="100">
        <f t="shared" si="1017"/>
        <v>0</v>
      </c>
      <c r="GK89" s="728">
        <f t="shared" si="1017"/>
        <v>341300</v>
      </c>
      <c r="GL89" s="728">
        <f t="shared" si="1017"/>
        <v>7121500</v>
      </c>
      <c r="GM89" s="100">
        <f t="shared" si="1017"/>
        <v>0</v>
      </c>
      <c r="GN89" s="100">
        <f t="shared" si="1017"/>
        <v>0</v>
      </c>
      <c r="GO89" s="100">
        <f t="shared" si="1017"/>
        <v>0</v>
      </c>
      <c r="GP89" s="100">
        <f t="shared" si="1017"/>
        <v>0</v>
      </c>
      <c r="GQ89" s="100">
        <f t="shared" si="1017"/>
        <v>0</v>
      </c>
      <c r="GR89" s="100">
        <f t="shared" si="1017"/>
        <v>0</v>
      </c>
      <c r="GS89" s="100">
        <f t="shared" si="1017"/>
        <v>170500</v>
      </c>
      <c r="GT89" s="100">
        <f t="shared" si="1017"/>
        <v>3359150</v>
      </c>
      <c r="GU89" s="100">
        <f t="shared" si="1017"/>
        <v>0</v>
      </c>
      <c r="GV89" s="100">
        <f t="shared" si="1017"/>
        <v>0</v>
      </c>
      <c r="GW89" s="100">
        <f t="shared" si="1017"/>
        <v>0</v>
      </c>
      <c r="GX89" s="100">
        <f t="shared" si="1017"/>
        <v>0</v>
      </c>
      <c r="GY89" s="100">
        <f t="shared" si="1017"/>
        <v>210</v>
      </c>
      <c r="GZ89" s="100">
        <f t="shared" si="1017"/>
        <v>5850</v>
      </c>
      <c r="HA89" s="728">
        <f t="shared" si="1017"/>
        <v>170710</v>
      </c>
      <c r="HB89" s="728">
        <f t="shared" si="1017"/>
        <v>3365000</v>
      </c>
      <c r="HC89" s="100">
        <f t="shared" ref="HC89:JN89" si="1018">SUM(HC90:HC126)</f>
        <v>0</v>
      </c>
      <c r="HD89" s="100">
        <f t="shared" si="1018"/>
        <v>0</v>
      </c>
      <c r="HE89" s="100">
        <f t="shared" si="1018"/>
        <v>85000</v>
      </c>
      <c r="HF89" s="100">
        <f t="shared" si="1018"/>
        <v>4675000</v>
      </c>
      <c r="HG89" s="100">
        <f t="shared" si="1018"/>
        <v>0</v>
      </c>
      <c r="HH89" s="100">
        <f t="shared" si="1018"/>
        <v>0</v>
      </c>
      <c r="HI89" s="100">
        <f t="shared" si="1018"/>
        <v>693000</v>
      </c>
      <c r="HJ89" s="100">
        <f t="shared" si="1018"/>
        <v>13025000</v>
      </c>
      <c r="HK89" s="100">
        <f t="shared" si="1018"/>
        <v>0</v>
      </c>
      <c r="HL89" s="100">
        <f t="shared" si="1018"/>
        <v>0</v>
      </c>
      <c r="HM89" s="100">
        <f t="shared" si="1018"/>
        <v>0</v>
      </c>
      <c r="HN89" s="100">
        <f t="shared" si="1018"/>
        <v>0</v>
      </c>
      <c r="HO89" s="100">
        <f t="shared" si="1018"/>
        <v>500000</v>
      </c>
      <c r="HP89" s="100">
        <f t="shared" si="1018"/>
        <v>11500000</v>
      </c>
      <c r="HQ89" s="728">
        <f t="shared" si="1018"/>
        <v>1278000</v>
      </c>
      <c r="HR89" s="728">
        <f t="shared" si="1018"/>
        <v>29200000</v>
      </c>
      <c r="HS89" s="100">
        <f t="shared" si="1018"/>
        <v>0</v>
      </c>
      <c r="HT89" s="100">
        <f t="shared" si="1018"/>
        <v>0</v>
      </c>
      <c r="HU89" s="100">
        <f t="shared" si="1018"/>
        <v>0</v>
      </c>
      <c r="HV89" s="100">
        <f t="shared" si="1018"/>
        <v>0</v>
      </c>
      <c r="HW89" s="100">
        <f t="shared" si="1018"/>
        <v>0</v>
      </c>
      <c r="HX89" s="100">
        <f t="shared" si="1018"/>
        <v>0</v>
      </c>
      <c r="HY89" s="100">
        <f t="shared" si="1018"/>
        <v>165350</v>
      </c>
      <c r="HZ89" s="100">
        <f t="shared" si="1018"/>
        <v>3344380</v>
      </c>
      <c r="IA89" s="100">
        <f t="shared" si="1018"/>
        <v>0</v>
      </c>
      <c r="IB89" s="100">
        <f t="shared" si="1018"/>
        <v>0</v>
      </c>
      <c r="IC89" s="100">
        <f t="shared" si="1018"/>
        <v>0</v>
      </c>
      <c r="ID89" s="100">
        <f t="shared" si="1018"/>
        <v>0</v>
      </c>
      <c r="IE89" s="100">
        <f t="shared" si="1018"/>
        <v>0</v>
      </c>
      <c r="IF89" s="100">
        <f t="shared" si="1018"/>
        <v>0</v>
      </c>
      <c r="IG89" s="728">
        <f t="shared" si="1018"/>
        <v>165350</v>
      </c>
      <c r="IH89" s="728">
        <f t="shared" si="1018"/>
        <v>3344380</v>
      </c>
      <c r="II89" s="100">
        <f t="shared" si="1018"/>
        <v>0</v>
      </c>
      <c r="IJ89" s="100">
        <f t="shared" si="1018"/>
        <v>0</v>
      </c>
      <c r="IK89" s="100">
        <f t="shared" si="1018"/>
        <v>0</v>
      </c>
      <c r="IL89" s="100">
        <f t="shared" si="1018"/>
        <v>0</v>
      </c>
      <c r="IM89" s="100">
        <f t="shared" si="1018"/>
        <v>0</v>
      </c>
      <c r="IN89" s="100">
        <f t="shared" si="1018"/>
        <v>0</v>
      </c>
      <c r="IO89" s="96">
        <f t="shared" si="1018"/>
        <v>1005000</v>
      </c>
      <c r="IP89" s="96">
        <f t="shared" si="1018"/>
        <v>19584200</v>
      </c>
      <c r="IQ89" s="100">
        <f t="shared" si="1018"/>
        <v>0</v>
      </c>
      <c r="IR89" s="100">
        <f t="shared" si="1018"/>
        <v>0</v>
      </c>
      <c r="IS89" s="100">
        <f t="shared" si="1018"/>
        <v>0</v>
      </c>
      <c r="IT89" s="100">
        <f t="shared" si="1018"/>
        <v>0</v>
      </c>
      <c r="IU89" s="100">
        <f t="shared" si="1018"/>
        <v>0</v>
      </c>
      <c r="IV89" s="100">
        <f t="shared" si="1018"/>
        <v>0</v>
      </c>
      <c r="IW89" s="728">
        <f t="shared" si="1018"/>
        <v>1005000</v>
      </c>
      <c r="IX89" s="728">
        <f t="shared" si="1018"/>
        <v>19584200</v>
      </c>
      <c r="IY89" s="100">
        <f t="shared" si="1018"/>
        <v>0</v>
      </c>
      <c r="IZ89" s="100">
        <f t="shared" si="1018"/>
        <v>0</v>
      </c>
      <c r="JA89" s="100">
        <f t="shared" si="1018"/>
        <v>0</v>
      </c>
      <c r="JB89" s="100">
        <f t="shared" si="1018"/>
        <v>0</v>
      </c>
      <c r="JC89" s="100">
        <f t="shared" si="1018"/>
        <v>0</v>
      </c>
      <c r="JD89" s="100">
        <f t="shared" si="1018"/>
        <v>0</v>
      </c>
      <c r="JE89" s="100">
        <f t="shared" si="1018"/>
        <v>366988</v>
      </c>
      <c r="JF89" s="100">
        <f t="shared" si="1018"/>
        <v>6982409</v>
      </c>
      <c r="JG89" s="100">
        <f t="shared" si="1018"/>
        <v>0</v>
      </c>
      <c r="JH89" s="100">
        <f t="shared" si="1018"/>
        <v>0</v>
      </c>
      <c r="JI89" s="100">
        <f t="shared" si="1018"/>
        <v>0</v>
      </c>
      <c r="JJ89" s="100">
        <f t="shared" si="1018"/>
        <v>0</v>
      </c>
      <c r="JK89" s="100">
        <f t="shared" si="1018"/>
        <v>11180</v>
      </c>
      <c r="JL89" s="100">
        <f t="shared" si="1018"/>
        <v>220748</v>
      </c>
      <c r="JM89" s="728">
        <f t="shared" si="1018"/>
        <v>378168</v>
      </c>
      <c r="JN89" s="728">
        <f t="shared" si="1018"/>
        <v>7203157</v>
      </c>
      <c r="JO89" s="100">
        <f t="shared" ref="JO89:LZ89" si="1019">SUM(JO90:JO126)</f>
        <v>0</v>
      </c>
      <c r="JP89" s="100">
        <f t="shared" si="1019"/>
        <v>0</v>
      </c>
      <c r="JQ89" s="100">
        <f t="shared" si="1019"/>
        <v>140570</v>
      </c>
      <c r="JR89" s="100">
        <f t="shared" si="1019"/>
        <v>10693720</v>
      </c>
      <c r="JS89" s="100">
        <f t="shared" si="1019"/>
        <v>0</v>
      </c>
      <c r="JT89" s="100">
        <f t="shared" si="1019"/>
        <v>0</v>
      </c>
      <c r="JU89" s="100">
        <f t="shared" si="1019"/>
        <v>67169</v>
      </c>
      <c r="JV89" s="100">
        <f t="shared" si="1019"/>
        <v>1751261</v>
      </c>
      <c r="JW89" s="100">
        <f t="shared" si="1019"/>
        <v>0</v>
      </c>
      <c r="JX89" s="100">
        <f t="shared" si="1019"/>
        <v>0</v>
      </c>
      <c r="JY89" s="100">
        <f t="shared" si="1019"/>
        <v>0</v>
      </c>
      <c r="JZ89" s="100">
        <f t="shared" si="1019"/>
        <v>0</v>
      </c>
      <c r="KA89" s="100">
        <f t="shared" si="1019"/>
        <v>0</v>
      </c>
      <c r="KB89" s="100">
        <f t="shared" si="1019"/>
        <v>0</v>
      </c>
      <c r="KC89" s="728">
        <f t="shared" si="1019"/>
        <v>207739</v>
      </c>
      <c r="KD89" s="728">
        <f t="shared" si="1019"/>
        <v>12444981</v>
      </c>
      <c r="KE89" s="100">
        <f t="shared" si="1019"/>
        <v>0</v>
      </c>
      <c r="KF89" s="100">
        <f t="shared" si="1019"/>
        <v>0</v>
      </c>
      <c r="KG89" s="100">
        <f t="shared" si="1019"/>
        <v>35335</v>
      </c>
      <c r="KH89" s="100">
        <f t="shared" si="1019"/>
        <v>2106390</v>
      </c>
      <c r="KI89" s="100">
        <f t="shared" si="1019"/>
        <v>0</v>
      </c>
      <c r="KJ89" s="100">
        <f t="shared" si="1019"/>
        <v>0</v>
      </c>
      <c r="KK89" s="100">
        <f t="shared" si="1019"/>
        <v>66350</v>
      </c>
      <c r="KL89" s="100">
        <f t="shared" si="1019"/>
        <v>1333605</v>
      </c>
      <c r="KM89" s="100">
        <f t="shared" si="1019"/>
        <v>0</v>
      </c>
      <c r="KN89" s="100">
        <f t="shared" si="1019"/>
        <v>0</v>
      </c>
      <c r="KO89" s="100">
        <f t="shared" si="1019"/>
        <v>0</v>
      </c>
      <c r="KP89" s="100">
        <f t="shared" si="1019"/>
        <v>0</v>
      </c>
      <c r="KQ89" s="100">
        <f t="shared" si="1019"/>
        <v>0</v>
      </c>
      <c r="KR89" s="100">
        <f t="shared" si="1019"/>
        <v>0</v>
      </c>
      <c r="KS89" s="728">
        <f t="shared" si="1019"/>
        <v>101685</v>
      </c>
      <c r="KT89" s="728">
        <f t="shared" si="1019"/>
        <v>3439995</v>
      </c>
      <c r="KU89" s="100">
        <f t="shared" si="1019"/>
        <v>0</v>
      </c>
      <c r="KV89" s="100">
        <f t="shared" si="1019"/>
        <v>0</v>
      </c>
      <c r="KW89" s="100">
        <f t="shared" si="1019"/>
        <v>446402.39999999997</v>
      </c>
      <c r="KX89" s="100">
        <f t="shared" si="1019"/>
        <v>8176432</v>
      </c>
      <c r="KY89" s="100">
        <f t="shared" si="1019"/>
        <v>0</v>
      </c>
      <c r="KZ89" s="100">
        <f t="shared" si="1019"/>
        <v>0</v>
      </c>
      <c r="LA89" s="100">
        <f t="shared" si="1019"/>
        <v>1659706.76</v>
      </c>
      <c r="LB89" s="100">
        <f t="shared" si="1019"/>
        <v>31054744</v>
      </c>
      <c r="LC89" s="100">
        <f t="shared" si="1019"/>
        <v>0</v>
      </c>
      <c r="LD89" s="100">
        <f t="shared" si="1019"/>
        <v>0</v>
      </c>
      <c r="LE89" s="100">
        <f t="shared" si="1019"/>
        <v>0</v>
      </c>
      <c r="LF89" s="100">
        <f t="shared" si="1019"/>
        <v>0</v>
      </c>
      <c r="LG89" s="100">
        <f t="shared" si="1019"/>
        <v>10231.81</v>
      </c>
      <c r="LH89" s="100">
        <f t="shared" si="1019"/>
        <v>245563</v>
      </c>
      <c r="LI89" s="728">
        <f t="shared" si="1019"/>
        <v>2116340.9699999997</v>
      </c>
      <c r="LJ89" s="728">
        <f t="shared" si="1019"/>
        <v>39476739</v>
      </c>
      <c r="LK89" s="100">
        <f t="shared" si="1019"/>
        <v>0</v>
      </c>
      <c r="LL89" s="100">
        <f t="shared" si="1019"/>
        <v>0</v>
      </c>
      <c r="LM89" s="100">
        <f t="shared" si="1019"/>
        <v>0</v>
      </c>
      <c r="LN89" s="100">
        <f t="shared" si="1019"/>
        <v>0</v>
      </c>
      <c r="LO89" s="100">
        <f t="shared" si="1019"/>
        <v>0</v>
      </c>
      <c r="LP89" s="100">
        <f t="shared" si="1019"/>
        <v>0</v>
      </c>
      <c r="LQ89" s="100">
        <f t="shared" si="1019"/>
        <v>201672</v>
      </c>
      <c r="LR89" s="100">
        <f t="shared" si="1019"/>
        <v>4112258</v>
      </c>
      <c r="LS89" s="100">
        <f t="shared" si="1019"/>
        <v>0</v>
      </c>
      <c r="LT89" s="100">
        <f t="shared" si="1019"/>
        <v>0</v>
      </c>
      <c r="LU89" s="100">
        <f t="shared" si="1019"/>
        <v>0</v>
      </c>
      <c r="LV89" s="100">
        <f t="shared" si="1019"/>
        <v>0</v>
      </c>
      <c r="LW89" s="100">
        <f t="shared" si="1019"/>
        <v>1270</v>
      </c>
      <c r="LX89" s="100">
        <f t="shared" si="1019"/>
        <v>43180</v>
      </c>
      <c r="LY89" s="728">
        <f t="shared" si="1019"/>
        <v>202942</v>
      </c>
      <c r="LZ89" s="728">
        <f t="shared" si="1019"/>
        <v>4155438</v>
      </c>
      <c r="MA89" s="100">
        <f t="shared" ref="MA89:OL89" si="1020">SUM(MA90:MA126)</f>
        <v>36000</v>
      </c>
      <c r="MB89" s="100">
        <f t="shared" si="1020"/>
        <v>3060000</v>
      </c>
      <c r="MC89" s="100">
        <f t="shared" si="1020"/>
        <v>1029900</v>
      </c>
      <c r="MD89" s="100">
        <f t="shared" si="1020"/>
        <v>61498000</v>
      </c>
      <c r="ME89" s="100">
        <f t="shared" si="1020"/>
        <v>0</v>
      </c>
      <c r="MF89" s="100">
        <f t="shared" si="1020"/>
        <v>0</v>
      </c>
      <c r="MG89" s="100">
        <f t="shared" si="1020"/>
        <v>102500</v>
      </c>
      <c r="MH89" s="100">
        <f t="shared" si="1020"/>
        <v>1897100</v>
      </c>
      <c r="MI89" s="100">
        <f t="shared" si="1020"/>
        <v>0</v>
      </c>
      <c r="MJ89" s="100">
        <f t="shared" si="1020"/>
        <v>0</v>
      </c>
      <c r="MK89" s="100">
        <f t="shared" si="1020"/>
        <v>0</v>
      </c>
      <c r="ML89" s="100">
        <f t="shared" si="1020"/>
        <v>0</v>
      </c>
      <c r="MM89" s="100">
        <f t="shared" si="1020"/>
        <v>3600</v>
      </c>
      <c r="MN89" s="100">
        <f t="shared" si="1020"/>
        <v>72000</v>
      </c>
      <c r="MO89" s="728">
        <f t="shared" si="1020"/>
        <v>1172000</v>
      </c>
      <c r="MP89" s="728">
        <f t="shared" si="1020"/>
        <v>66527100</v>
      </c>
      <c r="MQ89" s="100">
        <f t="shared" si="1020"/>
        <v>0</v>
      </c>
      <c r="MR89" s="100">
        <f t="shared" si="1020"/>
        <v>0</v>
      </c>
      <c r="MS89" s="100">
        <f t="shared" si="1020"/>
        <v>37676</v>
      </c>
      <c r="MT89" s="100">
        <f t="shared" si="1020"/>
        <v>1718941</v>
      </c>
      <c r="MU89" s="100">
        <f t="shared" si="1020"/>
        <v>0</v>
      </c>
      <c r="MV89" s="100">
        <f t="shared" si="1020"/>
        <v>0</v>
      </c>
      <c r="MW89" s="100">
        <f t="shared" si="1020"/>
        <v>23380</v>
      </c>
      <c r="MX89" s="100">
        <f t="shared" si="1020"/>
        <v>538930</v>
      </c>
      <c r="MY89" s="100">
        <f t="shared" si="1020"/>
        <v>0</v>
      </c>
      <c r="MZ89" s="100">
        <f t="shared" si="1020"/>
        <v>0</v>
      </c>
      <c r="NA89" s="100">
        <f t="shared" si="1020"/>
        <v>0</v>
      </c>
      <c r="NB89" s="100">
        <f t="shared" si="1020"/>
        <v>0</v>
      </c>
      <c r="NC89" s="100">
        <f t="shared" si="1020"/>
        <v>0</v>
      </c>
      <c r="ND89" s="100">
        <f t="shared" si="1020"/>
        <v>0</v>
      </c>
      <c r="NE89" s="728">
        <f t="shared" si="1020"/>
        <v>61056</v>
      </c>
      <c r="NF89" s="728">
        <f t="shared" si="1020"/>
        <v>2257871</v>
      </c>
      <c r="NG89" s="100">
        <f t="shared" si="1020"/>
        <v>0</v>
      </c>
      <c r="NH89" s="100">
        <f t="shared" si="1020"/>
        <v>0</v>
      </c>
      <c r="NI89" s="100">
        <f t="shared" si="1020"/>
        <v>7849540</v>
      </c>
      <c r="NJ89" s="100">
        <f t="shared" si="1020"/>
        <v>219880430</v>
      </c>
      <c r="NK89" s="100">
        <f t="shared" si="1020"/>
        <v>0</v>
      </c>
      <c r="NL89" s="100">
        <f t="shared" si="1020"/>
        <v>0</v>
      </c>
      <c r="NM89" s="100">
        <f t="shared" si="1020"/>
        <v>2796500</v>
      </c>
      <c r="NN89" s="100">
        <f t="shared" si="1020"/>
        <v>45181600</v>
      </c>
      <c r="NO89" s="100">
        <f t="shared" si="1020"/>
        <v>0</v>
      </c>
      <c r="NP89" s="100">
        <f t="shared" si="1020"/>
        <v>0</v>
      </c>
      <c r="NQ89" s="100">
        <f t="shared" si="1020"/>
        <v>27190</v>
      </c>
      <c r="NR89" s="100">
        <f t="shared" si="1020"/>
        <v>494440</v>
      </c>
      <c r="NS89" s="100">
        <f t="shared" si="1020"/>
        <v>0</v>
      </c>
      <c r="NT89" s="100">
        <f t="shared" si="1020"/>
        <v>0</v>
      </c>
      <c r="NU89" s="728">
        <f t="shared" si="1020"/>
        <v>10673230</v>
      </c>
      <c r="NV89" s="728">
        <f t="shared" si="1020"/>
        <v>265556470</v>
      </c>
      <c r="NW89" s="100">
        <f t="shared" si="1020"/>
        <v>3900</v>
      </c>
      <c r="NX89" s="100">
        <f t="shared" si="1020"/>
        <v>139000</v>
      </c>
      <c r="NY89" s="100">
        <f t="shared" si="1020"/>
        <v>943274</v>
      </c>
      <c r="NZ89" s="100">
        <f t="shared" si="1020"/>
        <v>46470252</v>
      </c>
      <c r="OA89" s="100">
        <f t="shared" si="1020"/>
        <v>0</v>
      </c>
      <c r="OB89" s="100">
        <f t="shared" si="1020"/>
        <v>0</v>
      </c>
      <c r="OC89" s="100">
        <f t="shared" si="1020"/>
        <v>55632</v>
      </c>
      <c r="OD89" s="100">
        <f t="shared" si="1020"/>
        <v>1059656</v>
      </c>
      <c r="OE89" s="100">
        <f t="shared" si="1020"/>
        <v>0</v>
      </c>
      <c r="OF89" s="100">
        <f t="shared" si="1020"/>
        <v>0</v>
      </c>
      <c r="OG89" s="100">
        <f t="shared" si="1020"/>
        <v>0</v>
      </c>
      <c r="OH89" s="100">
        <f t="shared" si="1020"/>
        <v>0</v>
      </c>
      <c r="OI89" s="100">
        <f t="shared" si="1020"/>
        <v>0</v>
      </c>
      <c r="OJ89" s="100">
        <f t="shared" si="1020"/>
        <v>0</v>
      </c>
      <c r="OK89" s="728">
        <f t="shared" si="1020"/>
        <v>1002806</v>
      </c>
      <c r="OL89" s="728">
        <f t="shared" si="1020"/>
        <v>47668908</v>
      </c>
      <c r="OM89" s="100">
        <f t="shared" ref="OM89:QX89" si="1021">SUM(OM90:OM126)</f>
        <v>57586433</v>
      </c>
      <c r="ON89" s="100">
        <f t="shared" si="1021"/>
        <v>350169554</v>
      </c>
      <c r="OO89" s="100">
        <f t="shared" si="1021"/>
        <v>581810</v>
      </c>
      <c r="OP89" s="100">
        <f t="shared" si="1021"/>
        <v>33649250</v>
      </c>
      <c r="OQ89" s="100">
        <f t="shared" si="1021"/>
        <v>0</v>
      </c>
      <c r="OR89" s="100">
        <f t="shared" si="1021"/>
        <v>0</v>
      </c>
      <c r="OS89" s="100">
        <f t="shared" si="1021"/>
        <v>32012.7</v>
      </c>
      <c r="OT89" s="100">
        <f t="shared" si="1021"/>
        <v>730286.7</v>
      </c>
      <c r="OU89" s="100">
        <f t="shared" si="1021"/>
        <v>0</v>
      </c>
      <c r="OV89" s="100">
        <f t="shared" si="1021"/>
        <v>0</v>
      </c>
      <c r="OW89" s="100">
        <f t="shared" si="1021"/>
        <v>0</v>
      </c>
      <c r="OX89" s="100">
        <f t="shared" si="1021"/>
        <v>0</v>
      </c>
      <c r="OY89" s="100">
        <f t="shared" si="1021"/>
        <v>0</v>
      </c>
      <c r="OZ89" s="100">
        <f t="shared" si="1021"/>
        <v>0</v>
      </c>
      <c r="PA89" s="728">
        <f t="shared" si="1021"/>
        <v>58200255.700000003</v>
      </c>
      <c r="PB89" s="728">
        <f t="shared" si="1021"/>
        <v>384549090.69999999</v>
      </c>
      <c r="PC89" s="100">
        <f t="shared" si="1021"/>
        <v>232</v>
      </c>
      <c r="PD89" s="100">
        <f t="shared" si="1021"/>
        <v>13920</v>
      </c>
      <c r="PE89" s="100">
        <f t="shared" si="1021"/>
        <v>26837</v>
      </c>
      <c r="PF89" s="100">
        <f t="shared" si="1021"/>
        <v>1610220</v>
      </c>
      <c r="PG89" s="100">
        <f t="shared" si="1021"/>
        <v>0</v>
      </c>
      <c r="PH89" s="100">
        <f t="shared" si="1021"/>
        <v>0</v>
      </c>
      <c r="PI89" s="100">
        <f t="shared" si="1021"/>
        <v>430475</v>
      </c>
      <c r="PJ89" s="100">
        <f t="shared" si="1021"/>
        <v>7581471</v>
      </c>
      <c r="PK89" s="100">
        <f t="shared" si="1021"/>
        <v>0</v>
      </c>
      <c r="PL89" s="100">
        <f t="shared" si="1021"/>
        <v>0</v>
      </c>
      <c r="PM89" s="100">
        <f t="shared" si="1021"/>
        <v>0</v>
      </c>
      <c r="PN89" s="100">
        <f t="shared" si="1021"/>
        <v>0</v>
      </c>
      <c r="PO89" s="100">
        <f t="shared" si="1021"/>
        <v>0</v>
      </c>
      <c r="PP89" s="100">
        <f t="shared" si="1021"/>
        <v>0</v>
      </c>
      <c r="PQ89" s="728">
        <f t="shared" si="1021"/>
        <v>457544</v>
      </c>
      <c r="PR89" s="728">
        <f t="shared" si="1021"/>
        <v>9205611</v>
      </c>
      <c r="PS89" s="100">
        <f t="shared" si="1021"/>
        <v>0</v>
      </c>
      <c r="PT89" s="100">
        <f t="shared" si="1021"/>
        <v>0</v>
      </c>
      <c r="PU89" s="100">
        <f t="shared" si="1021"/>
        <v>1080360</v>
      </c>
      <c r="PV89" s="100">
        <f t="shared" si="1021"/>
        <v>48857570</v>
      </c>
      <c r="PW89" s="100">
        <f>SUM(PW90:PW126)</f>
        <v>0</v>
      </c>
      <c r="PX89" s="100">
        <f>SUM(PX90:PX126)</f>
        <v>0</v>
      </c>
      <c r="PY89" s="100">
        <f t="shared" si="1021"/>
        <v>1166780</v>
      </c>
      <c r="PZ89" s="100">
        <f t="shared" si="1021"/>
        <v>21847740</v>
      </c>
      <c r="QA89" s="100">
        <f>SUM(QA90:QA126)</f>
        <v>1555710</v>
      </c>
      <c r="QB89" s="100">
        <f>SUM(QB90:QB126)</f>
        <v>46933930</v>
      </c>
      <c r="QC89" s="100">
        <f t="shared" si="1021"/>
        <v>518570</v>
      </c>
      <c r="QD89" s="100">
        <f t="shared" si="1021"/>
        <v>9579170</v>
      </c>
      <c r="QE89" s="100">
        <f t="shared" si="1021"/>
        <v>0</v>
      </c>
      <c r="QF89" s="100">
        <f t="shared" si="1021"/>
        <v>0</v>
      </c>
      <c r="QG89" s="728">
        <f t="shared" si="1021"/>
        <v>4321420</v>
      </c>
      <c r="QH89" s="728">
        <f t="shared" si="1021"/>
        <v>127218410</v>
      </c>
      <c r="QI89" s="100">
        <f t="shared" si="1021"/>
        <v>0</v>
      </c>
      <c r="QJ89" s="100">
        <f t="shared" si="1021"/>
        <v>0</v>
      </c>
      <c r="QK89" s="100">
        <f t="shared" si="1021"/>
        <v>0</v>
      </c>
      <c r="QL89" s="100">
        <f t="shared" si="1021"/>
        <v>0</v>
      </c>
      <c r="QM89" s="100">
        <f t="shared" si="1021"/>
        <v>0</v>
      </c>
      <c r="QN89" s="100">
        <f t="shared" si="1021"/>
        <v>0</v>
      </c>
      <c r="QO89" s="100">
        <f t="shared" si="1021"/>
        <v>4244000</v>
      </c>
      <c r="QP89" s="100">
        <f t="shared" si="1021"/>
        <v>81712000</v>
      </c>
      <c r="QQ89" s="100">
        <f t="shared" si="1021"/>
        <v>0</v>
      </c>
      <c r="QR89" s="100">
        <f t="shared" si="1021"/>
        <v>0</v>
      </c>
      <c r="QS89" s="100">
        <f t="shared" si="1021"/>
        <v>0</v>
      </c>
      <c r="QT89" s="100">
        <f t="shared" si="1021"/>
        <v>0</v>
      </c>
      <c r="QU89" s="100">
        <f t="shared" si="1021"/>
        <v>0</v>
      </c>
      <c r="QV89" s="100">
        <f t="shared" si="1021"/>
        <v>0</v>
      </c>
      <c r="QW89" s="728">
        <f t="shared" si="1021"/>
        <v>4244000</v>
      </c>
      <c r="QX89" s="728">
        <f t="shared" si="1021"/>
        <v>81712000</v>
      </c>
      <c r="QY89" s="100">
        <f t="shared" ref="QY89:TJ89" si="1022">SUM(QY90:QY126)</f>
        <v>0</v>
      </c>
      <c r="QZ89" s="100">
        <f t="shared" si="1022"/>
        <v>0</v>
      </c>
      <c r="RA89" s="100">
        <f t="shared" si="1022"/>
        <v>0</v>
      </c>
      <c r="RB89" s="100">
        <f t="shared" si="1022"/>
        <v>0</v>
      </c>
      <c r="RC89" s="100">
        <f t="shared" si="1022"/>
        <v>0</v>
      </c>
      <c r="RD89" s="100">
        <f t="shared" si="1022"/>
        <v>0</v>
      </c>
      <c r="RE89" s="100">
        <f t="shared" si="1022"/>
        <v>4573</v>
      </c>
      <c r="RF89" s="100">
        <f t="shared" si="1022"/>
        <v>111987</v>
      </c>
      <c r="RG89" s="100">
        <f t="shared" si="1022"/>
        <v>0</v>
      </c>
      <c r="RH89" s="100">
        <f t="shared" si="1022"/>
        <v>0</v>
      </c>
      <c r="RI89" s="100">
        <f t="shared" si="1022"/>
        <v>0</v>
      </c>
      <c r="RJ89" s="100">
        <f t="shared" si="1022"/>
        <v>0</v>
      </c>
      <c r="RK89" s="100">
        <f t="shared" si="1022"/>
        <v>0</v>
      </c>
      <c r="RL89" s="100">
        <f t="shared" si="1022"/>
        <v>0</v>
      </c>
      <c r="RM89" s="728">
        <f t="shared" si="1022"/>
        <v>4573</v>
      </c>
      <c r="RN89" s="728">
        <f t="shared" si="1022"/>
        <v>111987</v>
      </c>
      <c r="RO89" s="100">
        <f t="shared" si="1022"/>
        <v>0</v>
      </c>
      <c r="RP89" s="100">
        <f t="shared" si="1022"/>
        <v>0</v>
      </c>
      <c r="RQ89" s="100">
        <f t="shared" si="1022"/>
        <v>0</v>
      </c>
      <c r="RR89" s="100">
        <f t="shared" si="1022"/>
        <v>0</v>
      </c>
      <c r="RS89" s="100">
        <f t="shared" si="1022"/>
        <v>0</v>
      </c>
      <c r="RT89" s="100">
        <f t="shared" si="1022"/>
        <v>0</v>
      </c>
      <c r="RU89" s="100">
        <f t="shared" si="1022"/>
        <v>22990</v>
      </c>
      <c r="RV89" s="100">
        <f t="shared" si="1022"/>
        <v>465690</v>
      </c>
      <c r="RW89" s="100">
        <f t="shared" si="1022"/>
        <v>0</v>
      </c>
      <c r="RX89" s="100">
        <f t="shared" si="1022"/>
        <v>0</v>
      </c>
      <c r="RY89" s="100">
        <f t="shared" si="1022"/>
        <v>0</v>
      </c>
      <c r="RZ89" s="100">
        <f t="shared" si="1022"/>
        <v>0</v>
      </c>
      <c r="SA89" s="100">
        <f t="shared" si="1022"/>
        <v>0</v>
      </c>
      <c r="SB89" s="100">
        <f t="shared" si="1022"/>
        <v>0</v>
      </c>
      <c r="SC89" s="728">
        <f t="shared" si="1022"/>
        <v>22990</v>
      </c>
      <c r="SD89" s="728">
        <f t="shared" si="1022"/>
        <v>465690</v>
      </c>
      <c r="SE89" s="100">
        <f t="shared" si="1022"/>
        <v>0</v>
      </c>
      <c r="SF89" s="100">
        <f t="shared" si="1022"/>
        <v>0</v>
      </c>
      <c r="SG89" s="100">
        <f t="shared" si="1022"/>
        <v>0</v>
      </c>
      <c r="SH89" s="100">
        <f t="shared" si="1022"/>
        <v>0</v>
      </c>
      <c r="SI89" s="100">
        <f t="shared" si="1022"/>
        <v>0</v>
      </c>
      <c r="SJ89" s="100">
        <f t="shared" si="1022"/>
        <v>0</v>
      </c>
      <c r="SK89" s="100">
        <f t="shared" si="1022"/>
        <v>18000</v>
      </c>
      <c r="SL89" s="100">
        <f t="shared" si="1022"/>
        <v>342000</v>
      </c>
      <c r="SM89" s="100">
        <f t="shared" si="1022"/>
        <v>0</v>
      </c>
      <c r="SN89" s="100">
        <f t="shared" si="1022"/>
        <v>0</v>
      </c>
      <c r="SO89" s="100">
        <f t="shared" si="1022"/>
        <v>0</v>
      </c>
      <c r="SP89" s="100">
        <f t="shared" si="1022"/>
        <v>0</v>
      </c>
      <c r="SQ89" s="100">
        <f t="shared" si="1022"/>
        <v>0</v>
      </c>
      <c r="SR89" s="100">
        <f t="shared" si="1022"/>
        <v>0</v>
      </c>
      <c r="SS89" s="728">
        <f t="shared" si="1022"/>
        <v>18000</v>
      </c>
      <c r="ST89" s="728">
        <f t="shared" si="1022"/>
        <v>342000</v>
      </c>
      <c r="SU89" s="100">
        <f t="shared" si="1022"/>
        <v>0</v>
      </c>
      <c r="SV89" s="100">
        <f t="shared" si="1022"/>
        <v>0</v>
      </c>
      <c r="SW89" s="100">
        <f t="shared" si="1022"/>
        <v>0</v>
      </c>
      <c r="SX89" s="100">
        <f t="shared" si="1022"/>
        <v>0</v>
      </c>
      <c r="SY89" s="100">
        <f t="shared" si="1022"/>
        <v>0</v>
      </c>
      <c r="SZ89" s="100">
        <f t="shared" si="1022"/>
        <v>0</v>
      </c>
      <c r="TA89" s="100">
        <f t="shared" si="1022"/>
        <v>30324.979999999996</v>
      </c>
      <c r="TB89" s="100">
        <f t="shared" si="1022"/>
        <v>678312.39999999991</v>
      </c>
      <c r="TC89" s="100">
        <f t="shared" si="1022"/>
        <v>0</v>
      </c>
      <c r="TD89" s="100">
        <f t="shared" si="1022"/>
        <v>0</v>
      </c>
      <c r="TE89" s="100">
        <f t="shared" si="1022"/>
        <v>0</v>
      </c>
      <c r="TF89" s="100">
        <f t="shared" si="1022"/>
        <v>0</v>
      </c>
      <c r="TG89" s="100">
        <f t="shared" si="1022"/>
        <v>0</v>
      </c>
      <c r="TH89" s="100">
        <f t="shared" si="1022"/>
        <v>0</v>
      </c>
      <c r="TI89" s="728">
        <f t="shared" si="1022"/>
        <v>30324.979999999996</v>
      </c>
      <c r="TJ89" s="728">
        <f t="shared" si="1022"/>
        <v>678312.39999999991</v>
      </c>
      <c r="TK89" s="100">
        <f t="shared" ref="TK89:VV89" si="1023">SUM(TK90:TK126)</f>
        <v>0</v>
      </c>
      <c r="TL89" s="100">
        <f t="shared" si="1023"/>
        <v>0</v>
      </c>
      <c r="TM89" s="100">
        <f t="shared" si="1023"/>
        <v>0</v>
      </c>
      <c r="TN89" s="100">
        <f t="shared" si="1023"/>
        <v>0</v>
      </c>
      <c r="TO89" s="100">
        <f t="shared" si="1023"/>
        <v>0</v>
      </c>
      <c r="TP89" s="100">
        <f t="shared" si="1023"/>
        <v>0</v>
      </c>
      <c r="TQ89" s="100">
        <f t="shared" si="1023"/>
        <v>26600</v>
      </c>
      <c r="TR89" s="100">
        <f t="shared" si="1023"/>
        <v>553400</v>
      </c>
      <c r="TS89" s="100">
        <f t="shared" si="1023"/>
        <v>0</v>
      </c>
      <c r="TT89" s="100">
        <f t="shared" si="1023"/>
        <v>0</v>
      </c>
      <c r="TU89" s="100">
        <f t="shared" si="1023"/>
        <v>1500</v>
      </c>
      <c r="TV89" s="100">
        <f t="shared" si="1023"/>
        <v>48500</v>
      </c>
      <c r="TW89" s="100">
        <f t="shared" si="1023"/>
        <v>0</v>
      </c>
      <c r="TX89" s="100">
        <f t="shared" si="1023"/>
        <v>0</v>
      </c>
      <c r="TY89" s="728">
        <f t="shared" si="1023"/>
        <v>28100</v>
      </c>
      <c r="TZ89" s="728">
        <f t="shared" si="1023"/>
        <v>601900</v>
      </c>
      <c r="UA89" s="100">
        <f t="shared" si="1023"/>
        <v>0</v>
      </c>
      <c r="UB89" s="100">
        <f t="shared" si="1023"/>
        <v>0</v>
      </c>
      <c r="UC89" s="100">
        <f t="shared" si="1023"/>
        <v>0</v>
      </c>
      <c r="UD89" s="100">
        <f t="shared" si="1023"/>
        <v>0</v>
      </c>
      <c r="UE89" s="100">
        <f t="shared" si="1023"/>
        <v>0</v>
      </c>
      <c r="UF89" s="100">
        <f t="shared" si="1023"/>
        <v>0</v>
      </c>
      <c r="UG89" s="100">
        <f t="shared" si="1023"/>
        <v>19111</v>
      </c>
      <c r="UH89" s="100">
        <f t="shared" si="1023"/>
        <v>349858.00199999998</v>
      </c>
      <c r="UI89" s="100">
        <f t="shared" si="1023"/>
        <v>0</v>
      </c>
      <c r="UJ89" s="100">
        <f t="shared" si="1023"/>
        <v>0</v>
      </c>
      <c r="UK89" s="100">
        <f t="shared" si="1023"/>
        <v>0</v>
      </c>
      <c r="UL89" s="100">
        <f t="shared" si="1023"/>
        <v>0</v>
      </c>
      <c r="UM89" s="100">
        <f t="shared" si="1023"/>
        <v>0</v>
      </c>
      <c r="UN89" s="100">
        <f t="shared" si="1023"/>
        <v>0</v>
      </c>
      <c r="UO89" s="728">
        <f t="shared" si="1023"/>
        <v>19111</v>
      </c>
      <c r="UP89" s="728">
        <f t="shared" si="1023"/>
        <v>349858.00199999998</v>
      </c>
      <c r="UQ89" s="100">
        <f t="shared" si="1023"/>
        <v>0</v>
      </c>
      <c r="UR89" s="100">
        <f t="shared" si="1023"/>
        <v>0</v>
      </c>
      <c r="US89" s="100">
        <f t="shared" si="1023"/>
        <v>201891</v>
      </c>
      <c r="UT89" s="100">
        <f t="shared" si="1023"/>
        <v>1588656</v>
      </c>
      <c r="UU89" s="100">
        <f t="shared" si="1023"/>
        <v>0</v>
      </c>
      <c r="UV89" s="100">
        <f t="shared" si="1023"/>
        <v>0</v>
      </c>
      <c r="UW89" s="100">
        <f t="shared" si="1023"/>
        <v>2967</v>
      </c>
      <c r="UX89" s="100">
        <f t="shared" si="1023"/>
        <v>56463</v>
      </c>
      <c r="UY89" s="100">
        <f t="shared" si="1023"/>
        <v>0</v>
      </c>
      <c r="UZ89" s="100">
        <f t="shared" si="1023"/>
        <v>0</v>
      </c>
      <c r="VA89" s="100">
        <f t="shared" si="1023"/>
        <v>0</v>
      </c>
      <c r="VB89" s="100">
        <f t="shared" si="1023"/>
        <v>0</v>
      </c>
      <c r="VC89" s="100">
        <f t="shared" si="1023"/>
        <v>0</v>
      </c>
      <c r="VD89" s="100">
        <f t="shared" si="1023"/>
        <v>0</v>
      </c>
      <c r="VE89" s="728">
        <f t="shared" si="1023"/>
        <v>204858</v>
      </c>
      <c r="VF89" s="728">
        <f t="shared" si="1023"/>
        <v>1645119</v>
      </c>
      <c r="VG89" s="100">
        <f t="shared" si="1023"/>
        <v>0</v>
      </c>
      <c r="VH89" s="100">
        <f t="shared" si="1023"/>
        <v>0</v>
      </c>
      <c r="VI89" s="100">
        <f t="shared" si="1023"/>
        <v>13995</v>
      </c>
      <c r="VJ89" s="100">
        <f t="shared" si="1023"/>
        <v>644079</v>
      </c>
      <c r="VK89" s="100">
        <f t="shared" si="1023"/>
        <v>0</v>
      </c>
      <c r="VL89" s="100">
        <f t="shared" si="1023"/>
        <v>0</v>
      </c>
      <c r="VM89" s="100">
        <f t="shared" si="1023"/>
        <v>17130</v>
      </c>
      <c r="VN89" s="100">
        <f t="shared" si="1023"/>
        <v>348420</v>
      </c>
      <c r="VO89" s="100">
        <f t="shared" si="1023"/>
        <v>0</v>
      </c>
      <c r="VP89" s="100">
        <f t="shared" si="1023"/>
        <v>0</v>
      </c>
      <c r="VQ89" s="100">
        <f t="shared" si="1023"/>
        <v>0</v>
      </c>
      <c r="VR89" s="100">
        <f t="shared" si="1023"/>
        <v>0</v>
      </c>
      <c r="VS89" s="100">
        <f t="shared" si="1023"/>
        <v>0</v>
      </c>
      <c r="VT89" s="100">
        <f t="shared" si="1023"/>
        <v>0</v>
      </c>
      <c r="VU89" s="728">
        <f t="shared" si="1023"/>
        <v>31125</v>
      </c>
      <c r="VV89" s="728">
        <f t="shared" si="1023"/>
        <v>992499</v>
      </c>
      <c r="VW89" s="100">
        <f t="shared" ref="VW89:WL89" si="1024">SUM(VW90:VW126)</f>
        <v>0</v>
      </c>
      <c r="VX89" s="100">
        <f t="shared" si="1024"/>
        <v>0</v>
      </c>
      <c r="VY89" s="100">
        <f t="shared" si="1024"/>
        <v>590525</v>
      </c>
      <c r="VZ89" s="100">
        <f t="shared" si="1024"/>
        <v>22595045</v>
      </c>
      <c r="WA89" s="100">
        <f t="shared" si="1024"/>
        <v>0</v>
      </c>
      <c r="WB89" s="100">
        <f t="shared" si="1024"/>
        <v>0</v>
      </c>
      <c r="WC89" s="100">
        <f t="shared" si="1024"/>
        <v>461281</v>
      </c>
      <c r="WD89" s="100">
        <f t="shared" si="1024"/>
        <v>11656063</v>
      </c>
      <c r="WE89" s="100">
        <f t="shared" si="1024"/>
        <v>0</v>
      </c>
      <c r="WF89" s="100">
        <f t="shared" si="1024"/>
        <v>0</v>
      </c>
      <c r="WG89" s="100">
        <f t="shared" si="1024"/>
        <v>0</v>
      </c>
      <c r="WH89" s="100">
        <f t="shared" si="1024"/>
        <v>0</v>
      </c>
      <c r="WI89" s="100">
        <f t="shared" si="1024"/>
        <v>6790</v>
      </c>
      <c r="WJ89" s="100">
        <f t="shared" si="1024"/>
        <v>135800</v>
      </c>
      <c r="WK89" s="728">
        <f t="shared" si="1024"/>
        <v>1058596</v>
      </c>
      <c r="WL89" s="728">
        <f t="shared" si="1024"/>
        <v>34386908</v>
      </c>
      <c r="WM89" s="89"/>
      <c r="WN89" s="96">
        <f t="shared" ref="WN89:XF89" si="1025">SUM(WN90:WN126)</f>
        <v>58230457</v>
      </c>
      <c r="WO89" s="96">
        <f t="shared" si="1025"/>
        <v>356413341</v>
      </c>
      <c r="WP89" s="96">
        <f t="shared" si="1025"/>
        <v>25210445.400495887</v>
      </c>
      <c r="WQ89" s="96">
        <f t="shared" si="1025"/>
        <v>878063093.01400006</v>
      </c>
      <c r="WR89" s="96">
        <f t="shared" si="1025"/>
        <v>0</v>
      </c>
      <c r="WS89" s="96">
        <f t="shared" si="1025"/>
        <v>0</v>
      </c>
      <c r="WT89" s="96">
        <f t="shared" si="1025"/>
        <v>34259907.840000004</v>
      </c>
      <c r="WU89" s="96">
        <f t="shared" si="1025"/>
        <v>710157143.67869627</v>
      </c>
      <c r="WV89" s="96">
        <f t="shared" si="1025"/>
        <v>1590170</v>
      </c>
      <c r="WW89" s="96">
        <f t="shared" si="1025"/>
        <v>47771636</v>
      </c>
      <c r="WX89" s="96">
        <f t="shared" si="1025"/>
        <v>556787</v>
      </c>
      <c r="WY89" s="96">
        <f t="shared" si="1025"/>
        <v>10349559</v>
      </c>
      <c r="WZ89" s="96">
        <f t="shared" si="1025"/>
        <v>626304.81000000006</v>
      </c>
      <c r="XA89" s="96">
        <f t="shared" si="1025"/>
        <v>14942386</v>
      </c>
      <c r="XB89" s="96">
        <f t="shared" si="1025"/>
        <v>120474072.05049588</v>
      </c>
      <c r="XC89" s="96">
        <f t="shared" si="1025"/>
        <v>2017697158.6926963</v>
      </c>
      <c r="XD89" s="633" t="s">
        <v>172</v>
      </c>
      <c r="XE89" s="96">
        <f t="shared" si="1025"/>
        <v>384636551.36981368</v>
      </c>
      <c r="XF89" s="96">
        <f t="shared" si="1025"/>
        <v>5241823556.00455</v>
      </c>
      <c r="XG89" s="89"/>
      <c r="XH89" s="96"/>
      <c r="XI89" s="96"/>
      <c r="XJ89" s="89"/>
      <c r="XK89" s="96"/>
      <c r="XL89" s="96"/>
      <c r="XM89" s="96"/>
      <c r="XN89" s="96"/>
      <c r="XO89" s="96"/>
      <c r="XP89" s="96"/>
      <c r="XQ89" s="96"/>
      <c r="XR89" s="96">
        <f t="shared" ref="XR89" ca="1" si="1026">SUM(XR90:XR126)</f>
        <v>0</v>
      </c>
      <c r="XS89" s="89"/>
      <c r="XT89" s="96"/>
      <c r="XU89" s="96"/>
      <c r="XV89" s="96"/>
      <c r="XW89" s="96"/>
      <c r="XX89" s="96"/>
      <c r="XY89" s="96"/>
      <c r="XZ89" s="96"/>
      <c r="YA89" s="96">
        <f t="shared" ref="YA89" ca="1" si="1027">SUM(YA90:YA126)</f>
        <v>0</v>
      </c>
    </row>
    <row r="90" spans="1:1017">
      <c r="A90" s="98" t="s">
        <v>47</v>
      </c>
      <c r="B90" s="90" t="str">
        <f t="shared" ref="B90:B116" si="1028">B52</f>
        <v xml:space="preserve">Bandeng </v>
      </c>
      <c r="E90" s="98">
        <v>612900</v>
      </c>
      <c r="F90" s="98">
        <v>17161200</v>
      </c>
      <c r="I90" s="98">
        <v>36800</v>
      </c>
      <c r="J90" s="98">
        <v>920000</v>
      </c>
      <c r="Q90" s="91">
        <f t="shared" ref="Q90:Q126" si="1029">SUMIF($C$12:$P$12,$A$1,C90:P90)</f>
        <v>649700</v>
      </c>
      <c r="R90" s="91">
        <f t="shared" ref="R90:R126" si="1030">SUMIF($C$12:$P$12,$A$3,C90:P90)</f>
        <v>18081200</v>
      </c>
      <c r="U90" s="98">
        <v>5120</v>
      </c>
      <c r="V90" s="98">
        <v>102400</v>
      </c>
      <c r="AG90" s="91">
        <f t="shared" ref="AG90:AG126" si="1031">SUMIF($C$12:$P$12,$A$1,S90:AF90)</f>
        <v>5120</v>
      </c>
      <c r="AH90" s="91">
        <f t="shared" ref="AH90:AH126" si="1032">SUMIF($C$12:$P$12,$A$3,S90:AF90)</f>
        <v>102400</v>
      </c>
      <c r="AW90" s="91">
        <f t="shared" ref="AW90:AW126" si="1033">SUMIF($C$12:$P$12,$A$1,AI90:AV90)</f>
        <v>0</v>
      </c>
      <c r="AX90" s="91">
        <f t="shared" ref="AX90:AX126" si="1034">SUMIF($C$12:$P$12,$A$3,AI90:AV90)</f>
        <v>0</v>
      </c>
      <c r="BG90" s="98">
        <v>3543</v>
      </c>
      <c r="BH90" s="98">
        <v>60231</v>
      </c>
      <c r="BM90" s="91">
        <f t="shared" ref="BM90:BM126" si="1035">SUMIF($C$12:$P$12,$A$1,AY90:BL90)</f>
        <v>3543</v>
      </c>
      <c r="BN90" s="91">
        <f t="shared" ref="BN90:BN126" si="1036">SUMIF($C$12:$P$12,$A$3,AY90:BL90)</f>
        <v>60231</v>
      </c>
      <c r="CC90" s="91">
        <f t="shared" ref="CC90:CC126" si="1037">SUMIF($C$12:$P$12,$A$1,BO90:CB90)</f>
        <v>0</v>
      </c>
      <c r="CD90" s="91">
        <f t="shared" ref="CD90:CD126" si="1038">SUMIF($C$12:$P$12,$A$3,BO90:CB90)</f>
        <v>0</v>
      </c>
      <c r="CG90" s="98">
        <v>4541373</v>
      </c>
      <c r="CH90" s="98">
        <v>104451593</v>
      </c>
      <c r="CK90" s="98">
        <v>3111885</v>
      </c>
      <c r="CL90" s="98">
        <v>68461461</v>
      </c>
      <c r="CS90" s="91">
        <f t="shared" ref="CS90:CS126" si="1039">SUMIF($C$12:$P$12,$A$1,CE90:CR90)</f>
        <v>7653258</v>
      </c>
      <c r="CT90" s="91">
        <f t="shared" ref="CT90:CT126" si="1040">SUMIF($C$12:$P$12,$A$3,CE90:CR90)</f>
        <v>172913054</v>
      </c>
      <c r="CW90" s="98">
        <v>1878.0004753379999</v>
      </c>
      <c r="CX90" s="98">
        <v>41316.010999999999</v>
      </c>
      <c r="DI90" s="91">
        <f t="shared" ref="DI90:DI126" si="1041">SUMIF($C$12:$P$12,$A$1,CU90:DH90)</f>
        <v>1878.0004753379999</v>
      </c>
      <c r="DJ90" s="91">
        <f t="shared" ref="DJ90:DJ126" si="1042">SUMIF($C$12:$P$12,$A$3,CU90:DH90)</f>
        <v>41316.010999999999</v>
      </c>
      <c r="DY90" s="91">
        <f t="shared" ref="DY90:DY126" si="1043">SUMIF($C$12:$P$12,$A$1,DK90:DX90)</f>
        <v>0</v>
      </c>
      <c r="DZ90" s="91">
        <f t="shared" ref="DZ90:DZ126" si="1044">SUMIF($C$12:$P$12,$A$3,DK90:DX90)</f>
        <v>0</v>
      </c>
      <c r="EO90" s="91">
        <f t="shared" ref="EO90:EO126" si="1045">SUMIF($C$12:$P$12,$A$1,EA90:EN90)</f>
        <v>0</v>
      </c>
      <c r="EP90" s="91">
        <f t="shared" ref="EP90:EP126" si="1046">SUMIF($C$12:$P$12,$A$3,EA90:EN90)</f>
        <v>0</v>
      </c>
      <c r="ES90" s="98">
        <v>33362</v>
      </c>
      <c r="ET90" s="98">
        <v>834050</v>
      </c>
      <c r="EW90" s="98">
        <v>2655351</v>
      </c>
      <c r="EX90" s="98">
        <v>63728424</v>
      </c>
      <c r="FE90" s="91">
        <f t="shared" ref="FE90:FE126" si="1047">SUMIF($C$12:$P$12,$A$1,EQ90:FD90)</f>
        <v>2688713</v>
      </c>
      <c r="FF90" s="91">
        <f t="shared" ref="FF90:FF126" si="1048">SUMIF($C$12:$P$12,$A$3,EQ90:FD90)</f>
        <v>64562474</v>
      </c>
      <c r="FU90" s="91">
        <f t="shared" ref="FU90:FU126" si="1049">SUMIF($C$12:$P$12,$A$1,FG90:FT90)</f>
        <v>0</v>
      </c>
      <c r="FV90" s="91">
        <f t="shared" ref="FV90:FV126" si="1050">SUMIF($C$12:$P$12,$A$3,FG90:FT90)</f>
        <v>0</v>
      </c>
      <c r="GK90" s="91">
        <f t="shared" ref="GK90:GK126" si="1051">SUMIF($C$12:$P$12,$A$1,FW90:GJ90)</f>
        <v>0</v>
      </c>
      <c r="GL90" s="91">
        <f t="shared" ref="GL90:GL126" si="1052">SUMIF($C$12:$P$12,$A$3,FW90:GJ90)</f>
        <v>0</v>
      </c>
      <c r="HA90" s="91">
        <f t="shared" ref="HA90:HA126" si="1053">SUMIF($C$12:$P$12,$A$1,GM90:GZ90)</f>
        <v>0</v>
      </c>
      <c r="HB90" s="91">
        <f t="shared" ref="HB90:HB126" si="1054">SUMIF($C$12:$P$12,$A$3,GM90:GZ90)</f>
        <v>0</v>
      </c>
      <c r="HQ90" s="91">
        <f t="shared" ref="HQ90:HQ126" si="1055">SUMIF($C$12:$P$12,$A$1,HC90:HP90)</f>
        <v>0</v>
      </c>
      <c r="HR90" s="91">
        <f t="shared" ref="HR90:HR126" si="1056">SUMIF($C$12:$P$12,$A$3,HC90:HP90)</f>
        <v>0</v>
      </c>
      <c r="IG90" s="91">
        <f t="shared" ref="IG90:IG126" si="1057">SUMIF($C$12:$P$12,$A$1,HS90:IF90)</f>
        <v>0</v>
      </c>
      <c r="IH90" s="91">
        <f t="shared" ref="IH90:IH126" si="1058">SUMIF($C$12:$P$12,$A$3,HS90:IF90)</f>
        <v>0</v>
      </c>
      <c r="IW90" s="91">
        <f t="shared" ref="IW90:IW126" si="1059">SUMIF($C$12:$P$12,$A$1,II90:IV90)</f>
        <v>0</v>
      </c>
      <c r="IX90" s="91">
        <f t="shared" ref="IX90:IX126" si="1060">SUMIF($C$12:$P$12,$A$3,II90:IV90)</f>
        <v>0</v>
      </c>
      <c r="JM90" s="91">
        <f t="shared" ref="JM90:JM126" si="1061">SUMIF($C$12:$P$12,$A$1,IY90:JL90)</f>
        <v>0</v>
      </c>
      <c r="JN90" s="91">
        <f t="shared" ref="JN90:JN126" si="1062">SUMIF($C$12:$P$12,$A$3,IY90:JL90)</f>
        <v>0</v>
      </c>
      <c r="KC90" s="91">
        <f t="shared" ref="KC90:KC126" si="1063">SUMIF($C$12:$P$12,$A$1,JO90:KB90)</f>
        <v>0</v>
      </c>
      <c r="KD90" s="91">
        <f t="shared" ref="KD90:KD126" si="1064">SUMIF($C$12:$P$12,$A$3,JO90:KB90)</f>
        <v>0</v>
      </c>
      <c r="KG90" s="98">
        <v>457</v>
      </c>
      <c r="KH90" s="98">
        <v>13710</v>
      </c>
      <c r="KS90" s="91">
        <f t="shared" ref="KS90:KS126" si="1065">SUMIF($C$12:$P$12,$A$1,KE90:KR90)</f>
        <v>457</v>
      </c>
      <c r="KT90" s="91">
        <f t="shared" ref="KT90:KT126" si="1066">SUMIF($C$12:$P$12,$A$3,KE90:KR90)</f>
        <v>13710</v>
      </c>
      <c r="KW90" s="98">
        <v>306705.98</v>
      </c>
      <c r="KX90" s="98">
        <v>5520707</v>
      </c>
      <c r="LI90" s="91">
        <f t="shared" ref="LI90:LI126" si="1067">SUMIF($C$12:$P$12,$A$1,KU90:LH90)</f>
        <v>306705.98</v>
      </c>
      <c r="LJ90" s="91">
        <f t="shared" ref="LJ90:LJ126" si="1068">SUMIF($C$12:$P$12,$A$3,KU90:LH90)</f>
        <v>5520707</v>
      </c>
      <c r="LY90" s="91">
        <f t="shared" ref="LY90:LY126" si="1069">SUMIF($C$12:$P$12,$A$1,LK90:LX90)</f>
        <v>0</v>
      </c>
      <c r="LZ90" s="91">
        <f t="shared" ref="LZ90:LZ126" si="1070">SUMIF($C$12:$P$12,$A$3,LK90:LX90)</f>
        <v>0</v>
      </c>
      <c r="MO90" s="91">
        <f t="shared" ref="MO90:MO126" si="1071">SUMIF($C$12:$P$12,$A$1,MA90:MN90)</f>
        <v>0</v>
      </c>
      <c r="MP90" s="91">
        <f t="shared" ref="MP90:MP126" si="1072">SUMIF($C$12:$P$12,$A$3,MA90:MN90)</f>
        <v>0</v>
      </c>
      <c r="MS90" s="98">
        <v>17567</v>
      </c>
      <c r="MT90" s="98">
        <v>491876</v>
      </c>
      <c r="NE90" s="91">
        <f t="shared" ref="NE90:NE126" si="1073">SUMIF($C$12:$P$12,$A$1,MQ90:ND90)</f>
        <v>17567</v>
      </c>
      <c r="NF90" s="91">
        <f t="shared" ref="NF90:NF126" si="1074">SUMIF($C$12:$P$12,$A$3,MQ90:ND90)</f>
        <v>491876</v>
      </c>
      <c r="NI90" s="98">
        <v>4212000</v>
      </c>
      <c r="NJ90" s="98">
        <v>92664000</v>
      </c>
      <c r="NU90" s="91">
        <f t="shared" ref="NU90:NU126" si="1075">SUMIF($C$12:$P$12,$A$1,NG90:NT90)</f>
        <v>4212000</v>
      </c>
      <c r="NV90" s="91">
        <f t="shared" ref="NV90:NV126" si="1076">SUMIF($C$12:$P$12,$A$3,NG90:NT90)</f>
        <v>92664000</v>
      </c>
      <c r="NY90" s="98">
        <v>150</v>
      </c>
      <c r="NZ90" s="98">
        <v>2700</v>
      </c>
      <c r="OK90" s="91">
        <f t="shared" ref="OK90:OK126" si="1077">SUMIF($C$12:$P$12,$A$1,NW90:OJ90)</f>
        <v>150</v>
      </c>
      <c r="OL90" s="91">
        <f t="shared" ref="OL90:OL126" si="1078">SUMIF($C$12:$P$12,$A$3,NW90:OJ90)</f>
        <v>2700</v>
      </c>
      <c r="OO90" s="98">
        <v>76310</v>
      </c>
      <c r="OP90" s="98">
        <v>1907750</v>
      </c>
      <c r="PA90" s="91">
        <f t="shared" ref="PA90:PA126" si="1079">SUMIF($C$12:$P$12,$A$1,OM90:OZ90)</f>
        <v>76310</v>
      </c>
      <c r="PB90" s="91">
        <f t="shared" ref="PB90:PB126" si="1080">SUMIF($C$12:$P$12,$A$3,OM90:OZ90)</f>
        <v>1907750</v>
      </c>
      <c r="PQ90" s="91">
        <f t="shared" ref="PQ90:PQ126" si="1081">SUMIF($C$12:$P$12,$A$1,PC90:PP90)</f>
        <v>0</v>
      </c>
      <c r="PR90" s="91">
        <f t="shared" ref="PR90:PR126" si="1082">SUMIF($C$12:$P$12,$A$3,PC90:PP90)</f>
        <v>0</v>
      </c>
      <c r="PU90" s="98">
        <v>261170</v>
      </c>
      <c r="PV90" s="98">
        <v>5223400</v>
      </c>
      <c r="QA90" s="98">
        <v>609250</v>
      </c>
      <c r="QB90" s="98">
        <v>13403500</v>
      </c>
      <c r="QG90" s="91">
        <f t="shared" ref="QG90:QG126" si="1083">SUMIF($C$12:$P$12,$A$1,PS90:QF90)</f>
        <v>870420</v>
      </c>
      <c r="QH90" s="91">
        <f t="shared" ref="QH90:QH126" si="1084">SUMIF($C$12:$P$12,$A$3,PS90:QF90)</f>
        <v>18626900</v>
      </c>
      <c r="QW90" s="91">
        <f t="shared" ref="QW90:QW126" si="1085">SUMIF($C$12:$P$12,$A$1,QI90:QV90)</f>
        <v>0</v>
      </c>
      <c r="QX90" s="91">
        <f t="shared" ref="QX90:QX126" si="1086">SUMIF($C$12:$P$12,$A$3,QI90:QV90)</f>
        <v>0</v>
      </c>
      <c r="RM90" s="91">
        <f t="shared" ref="RM90:RM126" si="1087">SUMIF($C$12:$P$12,$A$1,QY90:RL90)</f>
        <v>0</v>
      </c>
      <c r="RN90" s="91">
        <f t="shared" ref="RN90:RN126" si="1088">SUMIF($C$12:$P$12,$A$3,QY90:RL90)</f>
        <v>0</v>
      </c>
      <c r="SC90" s="91">
        <f t="shared" ref="SC90:SC126" si="1089">SUMIF($C$12:$P$12,$A$1,RO90:SB90)</f>
        <v>0</v>
      </c>
      <c r="SD90" s="91">
        <f t="shared" ref="SD90:SD126" si="1090">SUMIF($C$12:$P$12,$A$3,RO90:SB90)</f>
        <v>0</v>
      </c>
      <c r="SS90" s="91">
        <f t="shared" ref="SS90:SS126" si="1091">SUMIF($C$12:$P$12,$A$1,SE90:SR90)</f>
        <v>0</v>
      </c>
      <c r="ST90" s="91">
        <f t="shared" ref="ST90:ST126" si="1092">SUMIF($C$12:$P$12,$A$3,SE90:SR90)</f>
        <v>0</v>
      </c>
      <c r="TI90" s="91">
        <f t="shared" ref="TI90:TI126" si="1093">SUMIF($C$12:$P$12,$A$1,SU90:TH90)</f>
        <v>0</v>
      </c>
      <c r="TJ90" s="91">
        <f t="shared" ref="TJ90:TJ126" si="1094">SUMIF($C$12:$P$12,$A$3,SU90:TH90)</f>
        <v>0</v>
      </c>
      <c r="TY90" s="91">
        <f t="shared" ref="TY90:TY126" si="1095">SUMIF($C$12:$P$12,$A$1,TK90:TX90)</f>
        <v>0</v>
      </c>
      <c r="TZ90" s="91">
        <f t="shared" ref="TZ90:TZ126" si="1096">SUMIF($C$12:$P$12,$A$3,TK90:TX90)</f>
        <v>0</v>
      </c>
      <c r="UO90" s="91">
        <f t="shared" ref="UO90:UO126" si="1097">SUMIF($C$12:$P$12,$A$1,UA90:UN90)</f>
        <v>0</v>
      </c>
      <c r="UP90" s="91">
        <f t="shared" ref="UP90:UP124" si="1098">SUMIF($C$12:$P$12,$A$3,UA90:UN90)</f>
        <v>0</v>
      </c>
      <c r="US90" s="98">
        <v>93891</v>
      </c>
      <c r="UT90" s="98">
        <v>1502256</v>
      </c>
      <c r="VE90" s="91">
        <f t="shared" ref="VE90:VE126" si="1099">SUMIF($C$12:$P$12,$A$1,UQ90:VD90)</f>
        <v>93891</v>
      </c>
      <c r="VF90" s="91">
        <f t="shared" ref="VF90:VF126" si="1100">SUMIF($C$12:$P$12,$A$3,UQ90:VD90)</f>
        <v>1502256</v>
      </c>
      <c r="VI90" s="98">
        <v>2930</v>
      </c>
      <c r="VJ90" s="98">
        <v>46880</v>
      </c>
      <c r="VU90" s="91">
        <f t="shared" ref="VU90:VU126" si="1101">SUMIF($C$12:$P$12,$A$1,VG90:VT90)</f>
        <v>2930</v>
      </c>
      <c r="VV90" s="91">
        <f t="shared" ref="VV90:VV126" si="1102">SUMIF($C$12:$P$12,$A$3,VG90:VT90)</f>
        <v>46880</v>
      </c>
      <c r="VY90" s="98">
        <v>292977</v>
      </c>
      <c r="VZ90" s="98">
        <v>9668241</v>
      </c>
      <c r="WC90" s="98">
        <v>143730</v>
      </c>
      <c r="WD90" s="98">
        <v>4311900</v>
      </c>
      <c r="WK90" s="91">
        <f t="shared" ref="WK90:WK126" si="1103">SUMIF($C$12:$P$12,$A$1,VW90:WJ90)</f>
        <v>436707</v>
      </c>
      <c r="WL90" s="91">
        <f t="shared" ref="WL90:WL126" si="1104">SUMIF($C$12:$P$12,$A$3,VW90:WJ90)</f>
        <v>13980141</v>
      </c>
      <c r="WM90" s="89"/>
      <c r="WN90" s="87">
        <f t="shared" ref="WN90:WN117" si="1105">SUMIF($C$5:$WL$5,$WN$5,C90:WL90)</f>
        <v>0</v>
      </c>
      <c r="WO90" s="87">
        <f t="shared" ref="WO90:WO117" si="1106">SUMIF($C$5:$WL$5,$WO$5,C90:WL90)</f>
        <v>0</v>
      </c>
      <c r="WP90" s="87">
        <f t="shared" ref="WP90:WP117" si="1107">SUMIF($C$5:$WL$5,$WP$5,C90:WL90)</f>
        <v>10458790.980475338</v>
      </c>
      <c r="WQ90" s="87">
        <f t="shared" ref="WQ90:WQ117" si="1108">SUMIF($C$5:$WL$5,$WQ$5,C90:WL90)</f>
        <v>239632079.01100001</v>
      </c>
      <c r="WR90" s="87">
        <f t="shared" ref="WR90:WR117" si="1109">SUMIF($C$5:$WL$5,$WR$5,C90:WL90)</f>
        <v>0</v>
      </c>
      <c r="WS90" s="87">
        <f t="shared" ref="WS90:WS117" si="1110">SUMIF($C$5:$WL$5,$WS$5,C90:WL90)</f>
        <v>0</v>
      </c>
      <c r="WT90" s="87">
        <f t="shared" ref="WT90:WT117" si="1111">SUMIF($C$5:$WL$5,$WT$5,C90:WL90)</f>
        <v>5947766</v>
      </c>
      <c r="WU90" s="87">
        <f t="shared" ref="WU90:WU117" si="1112">SUMIF($C$5:$WL$5,$WU$5,C90:WL90)</f>
        <v>137421785</v>
      </c>
      <c r="WV90" s="87">
        <f t="shared" ref="WV90:WV117" si="1113">SUMIF($C$5:$WL$5,$WV$5,C90:WL90)</f>
        <v>612793</v>
      </c>
      <c r="WW90" s="87">
        <f t="shared" ref="WW90:WW117" si="1114">SUMIF($C$5:$WL$5,$WW$5,C90:WL90)</f>
        <v>13463731</v>
      </c>
      <c r="WX90" s="87">
        <f t="shared" ref="WX90:WX117" si="1115">SUMIF($C$5:$WL$5,$WX$5,C90:WL90)</f>
        <v>0</v>
      </c>
      <c r="WY90" s="87">
        <f t="shared" ref="WY90:WY117" si="1116">SUMIF($C$5:$WL$5,$WY$5,C90:WL90)</f>
        <v>0</v>
      </c>
      <c r="WZ90" s="87">
        <f t="shared" ref="WZ90:WZ112" si="1117">SUMIF($C$5:$WL$5,$WZ$5,C90:WL90)</f>
        <v>0</v>
      </c>
      <c r="XA90" s="87">
        <f t="shared" ref="XA90:XA112" si="1118">SUMIF($C$5:$WL$5,$XA$5,C90:WL90)</f>
        <v>0</v>
      </c>
      <c r="XB90" s="92">
        <f t="shared" ref="XB90:XB117" si="1119">SUMIF($WN$12:$XA$12,$XB$12,WN90:XA90)</f>
        <v>17019349.980475336</v>
      </c>
      <c r="XC90" s="92">
        <f t="shared" ref="XC90:XC117" si="1120">SUMIF($WN$12:$XA$12,$XC$12,WN90:XA90)</f>
        <v>390517595.01100004</v>
      </c>
      <c r="XD90" s="633" t="s">
        <v>172</v>
      </c>
      <c r="XE90" s="92">
        <f>SUM(XB242,XB280,XB318)</f>
        <v>38093201.906779423</v>
      </c>
      <c r="XF90" s="92">
        <f t="shared" ref="XF90" si="1121">SUM(XC242,XC280,XC318)</f>
        <v>825647496.4488343</v>
      </c>
      <c r="XG90" s="633"/>
      <c r="XH90" s="92"/>
      <c r="XI90" s="92"/>
      <c r="XJ90" s="633"/>
      <c r="XK90" s="87"/>
      <c r="XL90" s="87"/>
      <c r="XM90" s="87"/>
      <c r="XN90" s="87"/>
      <c r="XO90" s="87"/>
      <c r="XP90" s="87"/>
      <c r="XQ90" s="87"/>
      <c r="XR90" s="92">
        <f t="shared" ref="XR90:XR126" ca="1" si="1122">SUMIF($WN$12:$XA$12,$XB$12,XK90:XQ90)</f>
        <v>0</v>
      </c>
      <c r="XS90" s="633"/>
      <c r="XT90" s="87"/>
      <c r="XU90" s="87"/>
      <c r="XV90" s="87"/>
      <c r="XW90" s="87"/>
      <c r="XX90" s="87"/>
      <c r="XY90" s="87"/>
      <c r="XZ90" s="87"/>
      <c r="YA90" s="92">
        <f t="shared" ref="YA90:YA126" ca="1" si="1123">SUMIF($WN$12:$XA$12,$XB$12,XT90:XZ90)</f>
        <v>0</v>
      </c>
      <c r="YB90" s="90"/>
      <c r="YC90" s="90"/>
      <c r="YD90" s="90"/>
      <c r="YE90" s="90"/>
      <c r="YF90" s="90"/>
      <c r="YG90" s="90"/>
      <c r="YH90" s="90"/>
      <c r="YI90" s="90"/>
      <c r="YJ90" s="90"/>
      <c r="YK90" s="90"/>
      <c r="YL90" s="90"/>
      <c r="YM90" s="90"/>
      <c r="YN90" s="90"/>
      <c r="YO90" s="90"/>
      <c r="YP90" s="90"/>
      <c r="YQ90" s="90"/>
      <c r="YR90" s="90"/>
      <c r="YS90" s="90"/>
      <c r="YT90" s="90"/>
      <c r="YU90" s="90"/>
      <c r="YV90" s="90"/>
      <c r="YW90" s="90"/>
      <c r="YX90" s="90"/>
      <c r="YY90" s="90"/>
      <c r="YZ90" s="90"/>
      <c r="ZA90" s="90"/>
      <c r="ZB90" s="90"/>
      <c r="ZC90" s="90"/>
      <c r="ZD90" s="90"/>
      <c r="ZE90" s="90"/>
      <c r="ZF90" s="90"/>
      <c r="ZG90" s="90"/>
      <c r="ZH90" s="90"/>
      <c r="ZI90" s="90"/>
      <c r="ZJ90" s="90"/>
      <c r="ZK90" s="90"/>
      <c r="ZL90" s="90"/>
      <c r="ZM90" s="90"/>
      <c r="ZN90" s="90"/>
      <c r="ZO90" s="90"/>
      <c r="ZP90" s="90"/>
      <c r="ZQ90" s="90"/>
      <c r="ZR90" s="90"/>
      <c r="ZS90" s="90"/>
      <c r="ZT90" s="90"/>
      <c r="ZU90" s="90"/>
      <c r="ZV90" s="90"/>
      <c r="ZW90" s="90"/>
      <c r="ZX90" s="90"/>
      <c r="ZY90" s="90"/>
      <c r="ZZ90" s="90"/>
      <c r="AAA90" s="90"/>
      <c r="AAB90" s="90"/>
      <c r="AAC90" s="90"/>
      <c r="AAD90" s="90"/>
      <c r="AAE90" s="90"/>
      <c r="AAF90" s="90"/>
      <c r="AAG90" s="90"/>
      <c r="AAH90" s="90"/>
      <c r="AAI90" s="90"/>
      <c r="AAJ90" s="90"/>
      <c r="AAK90" s="90"/>
      <c r="AAL90" s="90"/>
      <c r="AAM90" s="90"/>
      <c r="AAN90" s="90"/>
      <c r="AAO90" s="90"/>
      <c r="AAP90" s="90"/>
      <c r="AAQ90" s="90"/>
      <c r="AAR90" s="90"/>
      <c r="AAS90" s="90"/>
      <c r="AAT90" s="90"/>
      <c r="AAU90" s="90"/>
      <c r="AAV90" s="90"/>
      <c r="AAW90" s="90"/>
      <c r="AAX90" s="90"/>
      <c r="AAY90" s="90"/>
      <c r="AAZ90" s="90"/>
      <c r="ABA90" s="90"/>
      <c r="ABB90" s="90"/>
      <c r="ABC90" s="90"/>
      <c r="ABD90" s="90"/>
      <c r="ABE90" s="90"/>
      <c r="ABF90" s="90"/>
      <c r="ABG90" s="90"/>
      <c r="ABH90" s="90"/>
      <c r="ABI90" s="90"/>
      <c r="ABJ90" s="90"/>
      <c r="ABK90" s="90"/>
      <c r="ABL90" s="90"/>
      <c r="ABM90" s="90"/>
      <c r="ABN90" s="90"/>
      <c r="ABO90" s="90"/>
      <c r="ABP90" s="90"/>
      <c r="ABQ90" s="90"/>
      <c r="ABR90" s="90"/>
      <c r="ABS90" s="90"/>
      <c r="ABT90" s="90"/>
      <c r="ABU90" s="90"/>
      <c r="ABV90" s="90"/>
      <c r="ABW90" s="90"/>
      <c r="ABX90" s="90"/>
      <c r="ABY90" s="90"/>
      <c r="ABZ90" s="90"/>
      <c r="ACA90" s="90"/>
      <c r="ACB90" s="90"/>
      <c r="ACC90" s="90"/>
      <c r="ACD90" s="90"/>
      <c r="ACE90" s="90"/>
      <c r="ACF90" s="90"/>
      <c r="ACG90" s="90"/>
      <c r="ACH90" s="90"/>
      <c r="ACI90" s="90"/>
      <c r="ACJ90" s="90"/>
      <c r="ACK90" s="90"/>
      <c r="ACL90" s="90"/>
      <c r="ACM90" s="90"/>
      <c r="ACN90" s="90"/>
      <c r="ACO90" s="90"/>
      <c r="ACP90" s="90"/>
      <c r="ACQ90" s="90"/>
      <c r="ACR90" s="90"/>
      <c r="ACS90" s="90"/>
      <c r="ACT90" s="90"/>
      <c r="ACU90" s="90"/>
      <c r="ACV90" s="90"/>
      <c r="ACW90" s="90"/>
      <c r="ACX90" s="90"/>
      <c r="ACY90" s="90"/>
      <c r="ACZ90" s="90"/>
      <c r="ADA90" s="90"/>
      <c r="ADB90" s="90"/>
      <c r="ADC90" s="90"/>
      <c r="ADD90" s="90"/>
      <c r="ADE90" s="90"/>
      <c r="ADF90" s="90"/>
      <c r="ADG90" s="90"/>
      <c r="ADH90" s="90"/>
      <c r="ADI90" s="90"/>
      <c r="ADJ90" s="90"/>
      <c r="ADK90" s="90"/>
      <c r="ADL90" s="90"/>
      <c r="ADM90" s="90"/>
      <c r="ADN90" s="90"/>
      <c r="ADO90" s="90"/>
      <c r="ADP90" s="90"/>
      <c r="ADQ90" s="90"/>
      <c r="ADR90" s="90"/>
      <c r="ADS90" s="90"/>
      <c r="ADT90" s="90"/>
      <c r="ADU90" s="90"/>
      <c r="ADV90" s="90"/>
      <c r="ADW90" s="90"/>
      <c r="ADX90" s="90"/>
      <c r="ADY90" s="90"/>
      <c r="ADZ90" s="90"/>
      <c r="AEA90" s="90"/>
      <c r="AEB90" s="90"/>
      <c r="AEC90" s="90"/>
      <c r="AED90" s="90"/>
      <c r="AEE90" s="90"/>
      <c r="AEF90" s="90"/>
      <c r="AEG90" s="90"/>
      <c r="AEH90" s="90"/>
      <c r="AEI90" s="90"/>
      <c r="AEJ90" s="90"/>
      <c r="AEK90" s="90"/>
      <c r="AEL90" s="90"/>
      <c r="AEM90" s="90"/>
      <c r="AEN90" s="90"/>
      <c r="AEO90" s="90"/>
      <c r="AEP90" s="90"/>
      <c r="AEQ90" s="90"/>
      <c r="AER90" s="90"/>
      <c r="AES90" s="90"/>
      <c r="AET90" s="90"/>
      <c r="AEU90" s="90"/>
      <c r="AEV90" s="90"/>
      <c r="AEW90" s="90"/>
      <c r="AEX90" s="90"/>
      <c r="AEY90" s="90"/>
      <c r="AEZ90" s="90"/>
      <c r="AFA90" s="90"/>
      <c r="AFB90" s="90"/>
      <c r="AFC90" s="90"/>
      <c r="AFD90" s="90"/>
      <c r="AFE90" s="90"/>
      <c r="AFF90" s="90"/>
      <c r="AFG90" s="90"/>
      <c r="AFH90" s="90"/>
      <c r="AFI90" s="90"/>
      <c r="AFJ90" s="90"/>
      <c r="AFK90" s="90"/>
      <c r="AFL90" s="90"/>
      <c r="AFM90" s="90"/>
      <c r="AFN90" s="90"/>
      <c r="AFO90" s="90"/>
      <c r="AFP90" s="90"/>
      <c r="AFQ90" s="90"/>
      <c r="AFR90" s="90"/>
      <c r="AFS90" s="90"/>
      <c r="AFT90" s="90"/>
      <c r="AFU90" s="90"/>
      <c r="AFV90" s="90"/>
      <c r="AFW90" s="90"/>
      <c r="AFX90" s="90"/>
      <c r="AFY90" s="90"/>
      <c r="AFZ90" s="90"/>
      <c r="AGA90" s="90"/>
      <c r="AGB90" s="90"/>
      <c r="AGC90" s="90"/>
      <c r="AGD90" s="90"/>
      <c r="AGE90" s="90"/>
      <c r="AGF90" s="90"/>
      <c r="AGG90" s="90"/>
      <c r="AGH90" s="90"/>
      <c r="AGI90" s="90"/>
      <c r="AGJ90" s="90"/>
      <c r="AGK90" s="90"/>
      <c r="AGL90" s="90"/>
      <c r="AGM90" s="90"/>
      <c r="AGN90" s="90"/>
      <c r="AGO90" s="90"/>
      <c r="AGP90" s="90"/>
      <c r="AGQ90" s="90"/>
      <c r="AGR90" s="90"/>
      <c r="AGS90" s="90"/>
      <c r="AGT90" s="90"/>
      <c r="AGU90" s="90"/>
      <c r="AGV90" s="90"/>
      <c r="AGW90" s="90"/>
      <c r="AGX90" s="90"/>
      <c r="AGY90" s="90"/>
      <c r="AGZ90" s="90"/>
      <c r="AHA90" s="90"/>
      <c r="AHB90" s="90"/>
      <c r="AHC90" s="90"/>
      <c r="AHD90" s="90"/>
      <c r="AHE90" s="90"/>
      <c r="AHF90" s="90"/>
      <c r="AHG90" s="90"/>
      <c r="AHH90" s="90"/>
      <c r="AHI90" s="90"/>
      <c r="AHJ90" s="90"/>
      <c r="AHK90" s="90"/>
      <c r="AHL90" s="90"/>
      <c r="AHM90" s="90"/>
      <c r="AHN90" s="90"/>
      <c r="AHO90" s="90"/>
      <c r="AHP90" s="90"/>
      <c r="AHQ90" s="90"/>
      <c r="AHR90" s="90"/>
      <c r="AHS90" s="90"/>
      <c r="AHT90" s="90"/>
      <c r="AHU90" s="90"/>
      <c r="AHV90" s="90"/>
      <c r="AHW90" s="90"/>
      <c r="AHX90" s="90"/>
      <c r="AHY90" s="90"/>
      <c r="AHZ90" s="90"/>
      <c r="AIA90" s="90"/>
      <c r="AIB90" s="90"/>
      <c r="AIC90" s="90"/>
      <c r="AID90" s="90"/>
      <c r="AIE90" s="90"/>
      <c r="AIF90" s="90"/>
      <c r="AIG90" s="90"/>
      <c r="AIH90" s="90"/>
      <c r="AII90" s="90"/>
      <c r="AIJ90" s="90"/>
      <c r="AIK90" s="90"/>
      <c r="AIL90" s="90"/>
      <c r="AIM90" s="90"/>
      <c r="AIN90" s="90"/>
      <c r="AIO90" s="90"/>
      <c r="AIP90" s="90"/>
      <c r="AIQ90" s="90"/>
      <c r="AIR90" s="90"/>
      <c r="AIS90" s="90"/>
      <c r="AIT90" s="90"/>
      <c r="AIU90" s="90"/>
      <c r="AIV90" s="90"/>
      <c r="AIW90" s="90"/>
      <c r="AIX90" s="90"/>
      <c r="AIY90" s="90"/>
      <c r="AIZ90" s="90"/>
      <c r="AJA90" s="90"/>
      <c r="AJB90" s="90"/>
      <c r="AJC90" s="90"/>
      <c r="AJD90" s="90"/>
      <c r="AJE90" s="90"/>
      <c r="AJF90" s="90"/>
      <c r="AJG90" s="90"/>
      <c r="AJH90" s="90"/>
      <c r="AJI90" s="90"/>
      <c r="AJJ90" s="90"/>
      <c r="AJK90" s="90"/>
      <c r="AJL90" s="90"/>
      <c r="AJM90" s="90"/>
      <c r="AJN90" s="90"/>
      <c r="AJO90" s="90"/>
      <c r="AJP90" s="90"/>
      <c r="AJQ90" s="90"/>
      <c r="AJR90" s="90"/>
      <c r="AJS90" s="90"/>
      <c r="AJT90" s="90"/>
      <c r="AJU90" s="90"/>
      <c r="AJV90" s="90"/>
      <c r="AJW90" s="90"/>
      <c r="AJX90" s="90"/>
      <c r="AJY90" s="90"/>
      <c r="AJZ90" s="90"/>
      <c r="AKA90" s="90"/>
      <c r="AKB90" s="90"/>
      <c r="AKC90" s="90"/>
      <c r="AKD90" s="90"/>
      <c r="AKE90" s="90"/>
      <c r="AKF90" s="90"/>
      <c r="AKG90" s="90"/>
      <c r="AKH90" s="90"/>
      <c r="AKI90" s="90"/>
      <c r="AKJ90" s="90"/>
      <c r="AKK90" s="90"/>
      <c r="AKL90" s="90"/>
      <c r="AKM90" s="90"/>
      <c r="AKN90" s="90"/>
      <c r="AKO90" s="90"/>
      <c r="AKP90" s="90"/>
      <c r="AKQ90" s="90"/>
      <c r="AKR90" s="90"/>
      <c r="AKS90" s="90"/>
      <c r="AKT90" s="90"/>
      <c r="AKU90" s="90"/>
      <c r="AKV90" s="90"/>
      <c r="AKW90" s="90"/>
      <c r="AKX90" s="90"/>
      <c r="AKY90" s="90"/>
      <c r="AKZ90" s="90"/>
      <c r="ALA90" s="90"/>
      <c r="ALB90" s="90"/>
      <c r="ALC90" s="90"/>
      <c r="ALD90" s="90"/>
      <c r="ALE90" s="90"/>
      <c r="ALF90" s="90"/>
      <c r="ALG90" s="90"/>
      <c r="ALH90" s="90"/>
      <c r="ALI90" s="90"/>
      <c r="ALJ90" s="90"/>
      <c r="ALK90" s="90"/>
      <c r="ALL90" s="90"/>
      <c r="ALM90" s="90"/>
      <c r="ALN90" s="90"/>
      <c r="ALO90" s="90"/>
      <c r="ALP90" s="90"/>
      <c r="ALQ90" s="90"/>
      <c r="ALR90" s="90"/>
      <c r="ALS90" s="90"/>
      <c r="ALT90" s="90"/>
      <c r="ALU90" s="90"/>
      <c r="ALV90" s="90"/>
      <c r="ALW90" s="90"/>
      <c r="ALX90" s="90"/>
      <c r="ALY90" s="90"/>
      <c r="ALZ90" s="90"/>
      <c r="AMA90" s="90"/>
      <c r="AMB90" s="90"/>
      <c r="AMC90" s="90"/>
    </row>
    <row r="91" spans="1:1017">
      <c r="A91" s="98" t="s">
        <v>47</v>
      </c>
      <c r="B91" s="90" t="str">
        <f t="shared" si="1028"/>
        <v xml:space="preserve">Bawal </v>
      </c>
      <c r="Q91" s="91">
        <f t="shared" si="1029"/>
        <v>0</v>
      </c>
      <c r="R91" s="91">
        <f t="shared" si="1030"/>
        <v>0</v>
      </c>
      <c r="Y91" s="778">
        <v>1155</v>
      </c>
      <c r="Z91" s="778">
        <v>23100</v>
      </c>
      <c r="AG91" s="91">
        <f t="shared" si="1031"/>
        <v>1155</v>
      </c>
      <c r="AH91" s="91">
        <f t="shared" si="1032"/>
        <v>23100</v>
      </c>
      <c r="AW91" s="91">
        <f t="shared" si="1033"/>
        <v>0</v>
      </c>
      <c r="AX91" s="91">
        <f t="shared" si="1034"/>
        <v>0</v>
      </c>
      <c r="BM91" s="91">
        <f t="shared" si="1035"/>
        <v>0</v>
      </c>
      <c r="BN91" s="91">
        <f t="shared" si="1036"/>
        <v>0</v>
      </c>
      <c r="CC91" s="91">
        <f t="shared" si="1037"/>
        <v>0</v>
      </c>
      <c r="CD91" s="91">
        <f t="shared" si="1038"/>
        <v>0</v>
      </c>
      <c r="CS91" s="91">
        <f t="shared" si="1039"/>
        <v>0</v>
      </c>
      <c r="CT91" s="91">
        <f t="shared" si="1040"/>
        <v>0</v>
      </c>
      <c r="DI91" s="91">
        <f t="shared" si="1041"/>
        <v>0</v>
      </c>
      <c r="DJ91" s="91">
        <f t="shared" si="1042"/>
        <v>0</v>
      </c>
      <c r="DQ91" s="98">
        <v>468900</v>
      </c>
      <c r="DR91" s="98">
        <v>7267950</v>
      </c>
      <c r="DY91" s="91">
        <f t="shared" si="1043"/>
        <v>468900</v>
      </c>
      <c r="DZ91" s="91">
        <f t="shared" si="1044"/>
        <v>7267950</v>
      </c>
      <c r="EG91" s="98">
        <v>67500</v>
      </c>
      <c r="EH91" s="98">
        <v>742500</v>
      </c>
      <c r="EO91" s="91">
        <f t="shared" si="1045"/>
        <v>67500</v>
      </c>
      <c r="EP91" s="91">
        <f t="shared" si="1046"/>
        <v>742500</v>
      </c>
      <c r="FE91" s="91">
        <f t="shared" si="1047"/>
        <v>0</v>
      </c>
      <c r="FF91" s="91">
        <f t="shared" si="1048"/>
        <v>0</v>
      </c>
      <c r="FU91" s="91">
        <f t="shared" si="1049"/>
        <v>0</v>
      </c>
      <c r="FV91" s="91">
        <f t="shared" si="1050"/>
        <v>0</v>
      </c>
      <c r="GK91" s="91">
        <f t="shared" si="1051"/>
        <v>0</v>
      </c>
      <c r="GL91" s="91">
        <f t="shared" si="1052"/>
        <v>0</v>
      </c>
      <c r="HA91" s="91">
        <f t="shared" si="1053"/>
        <v>0</v>
      </c>
      <c r="HB91" s="91">
        <f t="shared" si="1054"/>
        <v>0</v>
      </c>
      <c r="HQ91" s="91">
        <f t="shared" si="1055"/>
        <v>0</v>
      </c>
      <c r="HR91" s="91">
        <f t="shared" si="1056"/>
        <v>0</v>
      </c>
      <c r="IG91" s="91">
        <f t="shared" si="1057"/>
        <v>0</v>
      </c>
      <c r="IH91" s="91">
        <f t="shared" si="1058"/>
        <v>0</v>
      </c>
      <c r="IO91" s="98">
        <v>2100</v>
      </c>
      <c r="IP91" s="98">
        <v>52500</v>
      </c>
      <c r="IW91" s="91">
        <f t="shared" si="1059"/>
        <v>2100</v>
      </c>
      <c r="IX91" s="91">
        <f t="shared" si="1060"/>
        <v>52500</v>
      </c>
      <c r="JM91" s="91">
        <f t="shared" si="1061"/>
        <v>0</v>
      </c>
      <c r="JN91" s="91">
        <f t="shared" si="1062"/>
        <v>0</v>
      </c>
      <c r="KC91" s="91">
        <f t="shared" si="1063"/>
        <v>0</v>
      </c>
      <c r="KD91" s="91">
        <f t="shared" si="1064"/>
        <v>0</v>
      </c>
      <c r="KS91" s="91">
        <f t="shared" si="1065"/>
        <v>0</v>
      </c>
      <c r="KT91" s="91">
        <f t="shared" si="1066"/>
        <v>0</v>
      </c>
      <c r="LI91" s="91">
        <f t="shared" si="1067"/>
        <v>0</v>
      </c>
      <c r="LJ91" s="91">
        <f t="shared" si="1068"/>
        <v>0</v>
      </c>
      <c r="LY91" s="91">
        <f t="shared" si="1069"/>
        <v>0</v>
      </c>
      <c r="LZ91" s="91">
        <f t="shared" si="1070"/>
        <v>0</v>
      </c>
      <c r="MO91" s="91">
        <f t="shared" si="1071"/>
        <v>0</v>
      </c>
      <c r="MP91" s="91">
        <f t="shared" si="1072"/>
        <v>0</v>
      </c>
      <c r="NE91" s="91">
        <f t="shared" si="1073"/>
        <v>0</v>
      </c>
      <c r="NF91" s="91">
        <f t="shared" si="1074"/>
        <v>0</v>
      </c>
      <c r="NQ91" s="98">
        <v>100</v>
      </c>
      <c r="NR91" s="98">
        <v>1800</v>
      </c>
      <c r="NU91" s="91">
        <f t="shared" si="1075"/>
        <v>100</v>
      </c>
      <c r="NV91" s="91">
        <f t="shared" si="1076"/>
        <v>1800</v>
      </c>
      <c r="OK91" s="91">
        <f t="shared" si="1077"/>
        <v>0</v>
      </c>
      <c r="OL91" s="91">
        <f t="shared" si="1078"/>
        <v>0</v>
      </c>
      <c r="PA91" s="91">
        <f t="shared" si="1079"/>
        <v>0</v>
      </c>
      <c r="PB91" s="91">
        <f t="shared" si="1080"/>
        <v>0</v>
      </c>
      <c r="PQ91" s="91">
        <f t="shared" si="1081"/>
        <v>0</v>
      </c>
      <c r="PR91" s="91">
        <f t="shared" si="1082"/>
        <v>0</v>
      </c>
      <c r="PY91" s="98">
        <v>14900</v>
      </c>
      <c r="PZ91" s="98">
        <v>372500</v>
      </c>
      <c r="QC91" s="98">
        <v>15980</v>
      </c>
      <c r="QD91" s="98">
        <v>399500</v>
      </c>
      <c r="QG91" s="91">
        <f t="shared" si="1083"/>
        <v>30880</v>
      </c>
      <c r="QH91" s="91">
        <f t="shared" si="1084"/>
        <v>772000</v>
      </c>
      <c r="QW91" s="91">
        <f t="shared" si="1085"/>
        <v>0</v>
      </c>
      <c r="QX91" s="91">
        <f t="shared" si="1086"/>
        <v>0</v>
      </c>
      <c r="RM91" s="91">
        <f t="shared" si="1087"/>
        <v>0</v>
      </c>
      <c r="RN91" s="91">
        <f t="shared" si="1088"/>
        <v>0</v>
      </c>
      <c r="SC91" s="91">
        <f t="shared" si="1089"/>
        <v>0</v>
      </c>
      <c r="SD91" s="91">
        <f t="shared" si="1090"/>
        <v>0</v>
      </c>
      <c r="SS91" s="91">
        <f t="shared" si="1091"/>
        <v>0</v>
      </c>
      <c r="ST91" s="91">
        <f t="shared" si="1092"/>
        <v>0</v>
      </c>
      <c r="TI91" s="91">
        <f t="shared" si="1093"/>
        <v>0</v>
      </c>
      <c r="TJ91" s="91">
        <f t="shared" si="1094"/>
        <v>0</v>
      </c>
      <c r="TY91" s="91">
        <f t="shared" si="1095"/>
        <v>0</v>
      </c>
      <c r="TZ91" s="91">
        <f t="shared" si="1096"/>
        <v>0</v>
      </c>
      <c r="UO91" s="91">
        <f t="shared" si="1097"/>
        <v>0</v>
      </c>
      <c r="UP91" s="91">
        <f t="shared" si="1098"/>
        <v>0</v>
      </c>
      <c r="VE91" s="91">
        <f t="shared" si="1099"/>
        <v>0</v>
      </c>
      <c r="VF91" s="91">
        <f t="shared" si="1100"/>
        <v>0</v>
      </c>
      <c r="VU91" s="91">
        <f t="shared" si="1101"/>
        <v>0</v>
      </c>
      <c r="VV91" s="91">
        <f t="shared" si="1102"/>
        <v>0</v>
      </c>
      <c r="WK91" s="91">
        <f t="shared" si="1103"/>
        <v>0</v>
      </c>
      <c r="WL91" s="91">
        <f t="shared" si="1104"/>
        <v>0</v>
      </c>
      <c r="WM91" s="89"/>
      <c r="WN91" s="87">
        <f t="shared" si="1105"/>
        <v>0</v>
      </c>
      <c r="WO91" s="87">
        <f t="shared" si="1106"/>
        <v>0</v>
      </c>
      <c r="WP91" s="87">
        <f t="shared" si="1107"/>
        <v>0</v>
      </c>
      <c r="WQ91" s="87">
        <f t="shared" si="1108"/>
        <v>0</v>
      </c>
      <c r="WR91" s="87">
        <f t="shared" si="1109"/>
        <v>0</v>
      </c>
      <c r="WS91" s="87">
        <f t="shared" si="1110"/>
        <v>0</v>
      </c>
      <c r="WT91" s="87">
        <f t="shared" si="1111"/>
        <v>554555</v>
      </c>
      <c r="WU91" s="87">
        <f t="shared" si="1112"/>
        <v>8458550</v>
      </c>
      <c r="WV91" s="87">
        <f t="shared" si="1113"/>
        <v>0</v>
      </c>
      <c r="WW91" s="87">
        <f t="shared" si="1114"/>
        <v>0</v>
      </c>
      <c r="WX91" s="87">
        <f t="shared" si="1115"/>
        <v>16080</v>
      </c>
      <c r="WY91" s="87">
        <f t="shared" si="1116"/>
        <v>401300</v>
      </c>
      <c r="WZ91" s="87">
        <f t="shared" si="1117"/>
        <v>0</v>
      </c>
      <c r="XA91" s="87">
        <f t="shared" si="1118"/>
        <v>0</v>
      </c>
      <c r="XB91" s="92">
        <f t="shared" si="1119"/>
        <v>570635</v>
      </c>
      <c r="XC91" s="92">
        <f t="shared" si="1120"/>
        <v>8859850</v>
      </c>
      <c r="XD91" s="89"/>
      <c r="XE91" s="92">
        <f t="shared" ref="XE91:XF91" si="1124">SUM(XB243,XB281,XB319)</f>
        <v>1335706</v>
      </c>
      <c r="XF91" s="92">
        <f t="shared" si="1124"/>
        <v>21490552</v>
      </c>
      <c r="XG91" s="89"/>
      <c r="XH91" s="92"/>
      <c r="XI91" s="92"/>
      <c r="XJ91" s="89"/>
      <c r="XK91" s="87"/>
      <c r="XL91" s="87"/>
      <c r="XM91" s="87"/>
      <c r="XN91" s="87"/>
      <c r="XO91" s="87"/>
      <c r="XP91" s="87"/>
      <c r="XQ91" s="87"/>
      <c r="XR91" s="92">
        <f t="shared" ca="1" si="1122"/>
        <v>0</v>
      </c>
      <c r="XS91" s="89"/>
      <c r="XT91" s="87"/>
      <c r="XU91" s="87"/>
      <c r="XV91" s="87"/>
      <c r="XW91" s="87"/>
      <c r="XX91" s="87"/>
      <c r="XY91" s="87"/>
      <c r="XZ91" s="87"/>
      <c r="YA91" s="92">
        <f t="shared" ca="1" si="1123"/>
        <v>0</v>
      </c>
      <c r="YB91" s="90"/>
      <c r="YC91" s="90"/>
      <c r="YD91" s="90"/>
      <c r="YE91" s="90"/>
      <c r="YF91" s="90"/>
      <c r="YG91" s="90"/>
      <c r="YH91" s="90"/>
      <c r="YI91" s="90"/>
      <c r="YJ91" s="90"/>
      <c r="YK91" s="90"/>
      <c r="YL91" s="90"/>
      <c r="YM91" s="90"/>
      <c r="YN91" s="90"/>
      <c r="YO91" s="90"/>
      <c r="YP91" s="90"/>
      <c r="YQ91" s="90"/>
      <c r="YR91" s="90"/>
      <c r="YS91" s="90"/>
      <c r="YT91" s="90"/>
      <c r="YU91" s="90"/>
      <c r="YV91" s="90"/>
      <c r="YW91" s="90"/>
      <c r="YX91" s="90"/>
      <c r="YY91" s="90"/>
      <c r="YZ91" s="90"/>
      <c r="ZA91" s="90"/>
      <c r="ZB91" s="90"/>
      <c r="ZC91" s="90"/>
      <c r="ZD91" s="90"/>
      <c r="ZE91" s="90"/>
      <c r="ZF91" s="90"/>
      <c r="ZG91" s="90"/>
      <c r="ZH91" s="90"/>
      <c r="ZI91" s="90"/>
      <c r="ZJ91" s="90"/>
      <c r="ZK91" s="90"/>
      <c r="ZL91" s="90"/>
      <c r="ZM91" s="90"/>
      <c r="ZN91" s="90"/>
      <c r="ZO91" s="90"/>
      <c r="ZP91" s="90"/>
      <c r="ZQ91" s="90"/>
      <c r="ZR91" s="90"/>
      <c r="ZS91" s="90"/>
      <c r="ZT91" s="90"/>
      <c r="ZU91" s="90"/>
      <c r="ZV91" s="90"/>
      <c r="ZW91" s="90"/>
      <c r="ZX91" s="90"/>
      <c r="ZY91" s="90"/>
      <c r="ZZ91" s="90"/>
      <c r="AAA91" s="90"/>
      <c r="AAB91" s="90"/>
      <c r="AAC91" s="90"/>
      <c r="AAD91" s="90"/>
      <c r="AAE91" s="90"/>
      <c r="AAF91" s="90"/>
      <c r="AAG91" s="90"/>
      <c r="AAH91" s="90"/>
      <c r="AAI91" s="90"/>
      <c r="AAJ91" s="90"/>
      <c r="AAK91" s="90"/>
      <c r="AAL91" s="90"/>
      <c r="AAM91" s="90"/>
      <c r="AAN91" s="90"/>
      <c r="AAO91" s="90"/>
      <c r="AAP91" s="90"/>
      <c r="AAQ91" s="90"/>
      <c r="AAR91" s="90"/>
      <c r="AAS91" s="90"/>
      <c r="AAT91" s="90"/>
      <c r="AAU91" s="90"/>
      <c r="AAV91" s="90"/>
      <c r="AAW91" s="90"/>
      <c r="AAX91" s="90"/>
      <c r="AAY91" s="90"/>
      <c r="AAZ91" s="90"/>
      <c r="ABA91" s="90"/>
      <c r="ABB91" s="90"/>
      <c r="ABC91" s="90"/>
      <c r="ABD91" s="90"/>
      <c r="ABE91" s="90"/>
      <c r="ABF91" s="90"/>
      <c r="ABG91" s="90"/>
      <c r="ABH91" s="90"/>
      <c r="ABI91" s="90"/>
      <c r="ABJ91" s="90"/>
      <c r="ABK91" s="90"/>
      <c r="ABL91" s="90"/>
      <c r="ABM91" s="90"/>
      <c r="ABN91" s="90"/>
      <c r="ABO91" s="90"/>
      <c r="ABP91" s="90"/>
      <c r="ABQ91" s="90"/>
      <c r="ABR91" s="90"/>
      <c r="ABS91" s="90"/>
      <c r="ABT91" s="90"/>
      <c r="ABU91" s="90"/>
      <c r="ABV91" s="90"/>
      <c r="ABW91" s="90"/>
      <c r="ABX91" s="90"/>
      <c r="ABY91" s="90"/>
      <c r="ABZ91" s="90"/>
      <c r="ACA91" s="90"/>
      <c r="ACB91" s="90"/>
      <c r="ACC91" s="90"/>
      <c r="ACD91" s="90"/>
      <c r="ACE91" s="90"/>
      <c r="ACF91" s="90"/>
      <c r="ACG91" s="90"/>
      <c r="ACH91" s="90"/>
      <c r="ACI91" s="90"/>
      <c r="ACJ91" s="90"/>
      <c r="ACK91" s="90"/>
      <c r="ACL91" s="90"/>
      <c r="ACM91" s="90"/>
      <c r="ACN91" s="90"/>
      <c r="ACO91" s="90"/>
      <c r="ACP91" s="90"/>
      <c r="ACQ91" s="90"/>
      <c r="ACR91" s="90"/>
      <c r="ACS91" s="90"/>
      <c r="ACT91" s="90"/>
      <c r="ACU91" s="90"/>
      <c r="ACV91" s="90"/>
      <c r="ACW91" s="90"/>
      <c r="ACX91" s="90"/>
      <c r="ACY91" s="90"/>
      <c r="ACZ91" s="90"/>
      <c r="ADA91" s="90"/>
      <c r="ADB91" s="90"/>
      <c r="ADC91" s="90"/>
      <c r="ADD91" s="90"/>
      <c r="ADE91" s="90"/>
      <c r="ADF91" s="90"/>
      <c r="ADG91" s="90"/>
      <c r="ADH91" s="90"/>
      <c r="ADI91" s="90"/>
      <c r="ADJ91" s="90"/>
      <c r="ADK91" s="90"/>
      <c r="ADL91" s="90"/>
      <c r="ADM91" s="90"/>
      <c r="ADN91" s="90"/>
      <c r="ADO91" s="90"/>
      <c r="ADP91" s="90"/>
      <c r="ADQ91" s="90"/>
      <c r="ADR91" s="90"/>
      <c r="ADS91" s="90"/>
      <c r="ADT91" s="90"/>
      <c r="ADU91" s="90"/>
      <c r="ADV91" s="90"/>
      <c r="ADW91" s="90"/>
      <c r="ADX91" s="90"/>
      <c r="ADY91" s="90"/>
      <c r="ADZ91" s="90"/>
      <c r="AEA91" s="90"/>
      <c r="AEB91" s="90"/>
      <c r="AEC91" s="90"/>
      <c r="AED91" s="90"/>
      <c r="AEE91" s="90"/>
      <c r="AEF91" s="90"/>
      <c r="AEG91" s="90"/>
      <c r="AEH91" s="90"/>
      <c r="AEI91" s="90"/>
      <c r="AEJ91" s="90"/>
      <c r="AEK91" s="90"/>
      <c r="AEL91" s="90"/>
      <c r="AEM91" s="90"/>
      <c r="AEN91" s="90"/>
      <c r="AEO91" s="90"/>
      <c r="AEP91" s="90"/>
      <c r="AEQ91" s="90"/>
      <c r="AER91" s="90"/>
      <c r="AES91" s="90"/>
      <c r="AET91" s="90"/>
      <c r="AEU91" s="90"/>
      <c r="AEV91" s="90"/>
      <c r="AEW91" s="90"/>
      <c r="AEX91" s="90"/>
      <c r="AEY91" s="90"/>
      <c r="AEZ91" s="90"/>
      <c r="AFA91" s="90"/>
      <c r="AFB91" s="90"/>
      <c r="AFC91" s="90"/>
      <c r="AFD91" s="90"/>
      <c r="AFE91" s="90"/>
      <c r="AFF91" s="90"/>
      <c r="AFG91" s="90"/>
      <c r="AFH91" s="90"/>
      <c r="AFI91" s="90"/>
      <c r="AFJ91" s="90"/>
      <c r="AFK91" s="90"/>
      <c r="AFL91" s="90"/>
      <c r="AFM91" s="90"/>
      <c r="AFN91" s="90"/>
      <c r="AFO91" s="90"/>
      <c r="AFP91" s="90"/>
      <c r="AFQ91" s="90"/>
      <c r="AFR91" s="90"/>
      <c r="AFS91" s="90"/>
      <c r="AFT91" s="90"/>
      <c r="AFU91" s="90"/>
      <c r="AFV91" s="90"/>
      <c r="AFW91" s="90"/>
      <c r="AFX91" s="90"/>
      <c r="AFY91" s="90"/>
      <c r="AFZ91" s="90"/>
      <c r="AGA91" s="90"/>
      <c r="AGB91" s="90"/>
      <c r="AGC91" s="90"/>
      <c r="AGD91" s="90"/>
      <c r="AGE91" s="90"/>
      <c r="AGF91" s="90"/>
      <c r="AGG91" s="90"/>
      <c r="AGH91" s="90"/>
      <c r="AGI91" s="90"/>
      <c r="AGJ91" s="90"/>
      <c r="AGK91" s="90"/>
      <c r="AGL91" s="90"/>
      <c r="AGM91" s="90"/>
      <c r="AGN91" s="90"/>
      <c r="AGO91" s="90"/>
      <c r="AGP91" s="90"/>
      <c r="AGQ91" s="90"/>
      <c r="AGR91" s="90"/>
      <c r="AGS91" s="90"/>
      <c r="AGT91" s="90"/>
      <c r="AGU91" s="90"/>
      <c r="AGV91" s="90"/>
      <c r="AGW91" s="90"/>
      <c r="AGX91" s="90"/>
      <c r="AGY91" s="90"/>
      <c r="AGZ91" s="90"/>
      <c r="AHA91" s="90"/>
      <c r="AHB91" s="90"/>
      <c r="AHC91" s="90"/>
      <c r="AHD91" s="90"/>
      <c r="AHE91" s="90"/>
      <c r="AHF91" s="90"/>
      <c r="AHG91" s="90"/>
      <c r="AHH91" s="90"/>
      <c r="AHI91" s="90"/>
      <c r="AHJ91" s="90"/>
      <c r="AHK91" s="90"/>
      <c r="AHL91" s="90"/>
      <c r="AHM91" s="90"/>
      <c r="AHN91" s="90"/>
      <c r="AHO91" s="90"/>
      <c r="AHP91" s="90"/>
      <c r="AHQ91" s="90"/>
      <c r="AHR91" s="90"/>
      <c r="AHS91" s="90"/>
      <c r="AHT91" s="90"/>
      <c r="AHU91" s="90"/>
      <c r="AHV91" s="90"/>
      <c r="AHW91" s="90"/>
      <c r="AHX91" s="90"/>
      <c r="AHY91" s="90"/>
      <c r="AHZ91" s="90"/>
      <c r="AIA91" s="90"/>
      <c r="AIB91" s="90"/>
      <c r="AIC91" s="90"/>
      <c r="AID91" s="90"/>
      <c r="AIE91" s="90"/>
      <c r="AIF91" s="90"/>
      <c r="AIG91" s="90"/>
      <c r="AIH91" s="90"/>
      <c r="AII91" s="90"/>
      <c r="AIJ91" s="90"/>
      <c r="AIK91" s="90"/>
      <c r="AIL91" s="90"/>
      <c r="AIM91" s="90"/>
      <c r="AIN91" s="90"/>
      <c r="AIO91" s="90"/>
      <c r="AIP91" s="90"/>
      <c r="AIQ91" s="90"/>
      <c r="AIR91" s="90"/>
      <c r="AIS91" s="90"/>
      <c r="AIT91" s="90"/>
      <c r="AIU91" s="90"/>
      <c r="AIV91" s="90"/>
      <c r="AIW91" s="90"/>
      <c r="AIX91" s="90"/>
      <c r="AIY91" s="90"/>
      <c r="AIZ91" s="90"/>
      <c r="AJA91" s="90"/>
      <c r="AJB91" s="90"/>
      <c r="AJC91" s="90"/>
      <c r="AJD91" s="90"/>
      <c r="AJE91" s="90"/>
      <c r="AJF91" s="90"/>
      <c r="AJG91" s="90"/>
      <c r="AJH91" s="90"/>
      <c r="AJI91" s="90"/>
      <c r="AJJ91" s="90"/>
      <c r="AJK91" s="90"/>
      <c r="AJL91" s="90"/>
      <c r="AJM91" s="90"/>
      <c r="AJN91" s="90"/>
      <c r="AJO91" s="90"/>
      <c r="AJP91" s="90"/>
      <c r="AJQ91" s="90"/>
      <c r="AJR91" s="90"/>
      <c r="AJS91" s="90"/>
      <c r="AJT91" s="90"/>
      <c r="AJU91" s="90"/>
      <c r="AJV91" s="90"/>
      <c r="AJW91" s="90"/>
      <c r="AJX91" s="90"/>
      <c r="AJY91" s="90"/>
      <c r="AJZ91" s="90"/>
      <c r="AKA91" s="90"/>
      <c r="AKB91" s="90"/>
      <c r="AKC91" s="90"/>
      <c r="AKD91" s="90"/>
      <c r="AKE91" s="90"/>
      <c r="AKF91" s="90"/>
      <c r="AKG91" s="90"/>
      <c r="AKH91" s="90"/>
      <c r="AKI91" s="90"/>
      <c r="AKJ91" s="90"/>
      <c r="AKK91" s="90"/>
      <c r="AKL91" s="90"/>
      <c r="AKM91" s="90"/>
      <c r="AKN91" s="90"/>
      <c r="AKO91" s="90"/>
      <c r="AKP91" s="90"/>
      <c r="AKQ91" s="90"/>
      <c r="AKR91" s="90"/>
      <c r="AKS91" s="90"/>
      <c r="AKT91" s="90"/>
      <c r="AKU91" s="90"/>
      <c r="AKV91" s="90"/>
      <c r="AKW91" s="90"/>
      <c r="AKX91" s="90"/>
      <c r="AKY91" s="90"/>
      <c r="AKZ91" s="90"/>
      <c r="ALA91" s="90"/>
      <c r="ALB91" s="90"/>
      <c r="ALC91" s="90"/>
      <c r="ALD91" s="90"/>
      <c r="ALE91" s="90"/>
      <c r="ALF91" s="90"/>
      <c r="ALG91" s="90"/>
      <c r="ALH91" s="90"/>
      <c r="ALI91" s="90"/>
      <c r="ALJ91" s="90"/>
      <c r="ALK91" s="90"/>
      <c r="ALL91" s="90"/>
      <c r="ALM91" s="90"/>
      <c r="ALN91" s="90"/>
      <c r="ALO91" s="90"/>
      <c r="ALP91" s="90"/>
      <c r="ALQ91" s="90"/>
      <c r="ALR91" s="90"/>
      <c r="ALS91" s="90"/>
      <c r="ALT91" s="90"/>
      <c r="ALU91" s="90"/>
      <c r="ALV91" s="90"/>
      <c r="ALW91" s="90"/>
      <c r="ALX91" s="90"/>
      <c r="ALY91" s="90"/>
      <c r="ALZ91" s="90"/>
      <c r="AMA91" s="90"/>
      <c r="AMB91" s="90"/>
      <c r="AMC91" s="90"/>
    </row>
    <row r="92" spans="1:1017">
      <c r="A92" s="98" t="s">
        <v>47</v>
      </c>
      <c r="B92" s="90" t="str">
        <f t="shared" si="1028"/>
        <v xml:space="preserve">Belanak </v>
      </c>
      <c r="E92" s="98">
        <v>175100</v>
      </c>
      <c r="F92" s="98">
        <v>4377500</v>
      </c>
      <c r="Q92" s="91">
        <f t="shared" si="1029"/>
        <v>175100</v>
      </c>
      <c r="R92" s="91">
        <f t="shared" si="1030"/>
        <v>4377500</v>
      </c>
      <c r="AG92" s="91">
        <f t="shared" si="1031"/>
        <v>0</v>
      </c>
      <c r="AH92" s="91">
        <f t="shared" si="1032"/>
        <v>0</v>
      </c>
      <c r="AW92" s="91">
        <f t="shared" si="1033"/>
        <v>0</v>
      </c>
      <c r="AX92" s="91">
        <f t="shared" si="1034"/>
        <v>0</v>
      </c>
      <c r="BM92" s="91">
        <f t="shared" si="1035"/>
        <v>0</v>
      </c>
      <c r="BN92" s="91">
        <f t="shared" si="1036"/>
        <v>0</v>
      </c>
      <c r="CC92" s="91">
        <f t="shared" si="1037"/>
        <v>0</v>
      </c>
      <c r="CD92" s="91">
        <f t="shared" si="1038"/>
        <v>0</v>
      </c>
      <c r="CS92" s="91">
        <f t="shared" si="1039"/>
        <v>0</v>
      </c>
      <c r="CT92" s="91">
        <f t="shared" si="1040"/>
        <v>0</v>
      </c>
      <c r="DI92" s="91">
        <f t="shared" si="1041"/>
        <v>0</v>
      </c>
      <c r="DJ92" s="91">
        <f t="shared" si="1042"/>
        <v>0</v>
      </c>
      <c r="DY92" s="91">
        <f t="shared" si="1043"/>
        <v>0</v>
      </c>
      <c r="DZ92" s="91">
        <f t="shared" si="1044"/>
        <v>0</v>
      </c>
      <c r="EO92" s="91">
        <f t="shared" si="1045"/>
        <v>0</v>
      </c>
      <c r="EP92" s="91">
        <f t="shared" si="1046"/>
        <v>0</v>
      </c>
      <c r="FE92" s="91">
        <f t="shared" si="1047"/>
        <v>0</v>
      </c>
      <c r="FF92" s="91">
        <f t="shared" si="1048"/>
        <v>0</v>
      </c>
      <c r="FU92" s="91">
        <f t="shared" si="1049"/>
        <v>0</v>
      </c>
      <c r="FV92" s="91">
        <f t="shared" si="1050"/>
        <v>0</v>
      </c>
      <c r="GK92" s="91">
        <f t="shared" si="1051"/>
        <v>0</v>
      </c>
      <c r="GL92" s="91">
        <f t="shared" si="1052"/>
        <v>0</v>
      </c>
      <c r="HA92" s="91">
        <f t="shared" si="1053"/>
        <v>0</v>
      </c>
      <c r="HB92" s="91">
        <f t="shared" si="1054"/>
        <v>0</v>
      </c>
      <c r="HQ92" s="91">
        <f t="shared" si="1055"/>
        <v>0</v>
      </c>
      <c r="HR92" s="91">
        <f t="shared" si="1056"/>
        <v>0</v>
      </c>
      <c r="IG92" s="91">
        <f t="shared" si="1057"/>
        <v>0</v>
      </c>
      <c r="IH92" s="91">
        <f t="shared" si="1058"/>
        <v>0</v>
      </c>
      <c r="IW92" s="91">
        <f t="shared" si="1059"/>
        <v>0</v>
      </c>
      <c r="IX92" s="91">
        <f t="shared" si="1060"/>
        <v>0</v>
      </c>
      <c r="JM92" s="91">
        <f t="shared" si="1061"/>
        <v>0</v>
      </c>
      <c r="JN92" s="91">
        <f t="shared" si="1062"/>
        <v>0</v>
      </c>
      <c r="KC92" s="91">
        <f t="shared" si="1063"/>
        <v>0</v>
      </c>
      <c r="KD92" s="91">
        <f t="shared" si="1064"/>
        <v>0</v>
      </c>
      <c r="KS92" s="91">
        <f t="shared" si="1065"/>
        <v>0</v>
      </c>
      <c r="KT92" s="91">
        <f t="shared" si="1066"/>
        <v>0</v>
      </c>
      <c r="LI92" s="91">
        <f t="shared" si="1067"/>
        <v>0</v>
      </c>
      <c r="LJ92" s="91">
        <f t="shared" si="1068"/>
        <v>0</v>
      </c>
      <c r="LY92" s="91">
        <f t="shared" si="1069"/>
        <v>0</v>
      </c>
      <c r="LZ92" s="91">
        <f t="shared" si="1070"/>
        <v>0</v>
      </c>
      <c r="MO92" s="91">
        <f t="shared" si="1071"/>
        <v>0</v>
      </c>
      <c r="MP92" s="91">
        <f t="shared" si="1072"/>
        <v>0</v>
      </c>
      <c r="MS92" s="98">
        <v>720</v>
      </c>
      <c r="MT92" s="98">
        <v>15840</v>
      </c>
      <c r="NE92" s="91">
        <f t="shared" si="1073"/>
        <v>720</v>
      </c>
      <c r="NF92" s="91">
        <f t="shared" si="1074"/>
        <v>15840</v>
      </c>
      <c r="NU92" s="91">
        <f t="shared" si="1075"/>
        <v>0</v>
      </c>
      <c r="NV92" s="91">
        <f t="shared" si="1076"/>
        <v>0</v>
      </c>
      <c r="OK92" s="91">
        <f t="shared" si="1077"/>
        <v>0</v>
      </c>
      <c r="OL92" s="91">
        <f t="shared" si="1078"/>
        <v>0</v>
      </c>
      <c r="PA92" s="91">
        <f t="shared" si="1079"/>
        <v>0</v>
      </c>
      <c r="PB92" s="91">
        <f t="shared" si="1080"/>
        <v>0</v>
      </c>
      <c r="PQ92" s="91">
        <f t="shared" si="1081"/>
        <v>0</v>
      </c>
      <c r="PR92" s="91">
        <f t="shared" si="1082"/>
        <v>0</v>
      </c>
      <c r="QG92" s="91">
        <f t="shared" si="1083"/>
        <v>0</v>
      </c>
      <c r="QH92" s="91">
        <f t="shared" si="1084"/>
        <v>0</v>
      </c>
      <c r="QW92" s="91">
        <f t="shared" si="1085"/>
        <v>0</v>
      </c>
      <c r="QX92" s="91">
        <f t="shared" si="1086"/>
        <v>0</v>
      </c>
      <c r="RM92" s="91">
        <f t="shared" si="1087"/>
        <v>0</v>
      </c>
      <c r="RN92" s="91">
        <f t="shared" si="1088"/>
        <v>0</v>
      </c>
      <c r="SC92" s="91">
        <f t="shared" si="1089"/>
        <v>0</v>
      </c>
      <c r="SD92" s="91">
        <f t="shared" si="1090"/>
        <v>0</v>
      </c>
      <c r="SS92" s="91">
        <f t="shared" si="1091"/>
        <v>0</v>
      </c>
      <c r="ST92" s="91">
        <f t="shared" si="1092"/>
        <v>0</v>
      </c>
      <c r="TI92" s="91">
        <f t="shared" si="1093"/>
        <v>0</v>
      </c>
      <c r="TJ92" s="91">
        <f t="shared" si="1094"/>
        <v>0</v>
      </c>
      <c r="TY92" s="91">
        <f t="shared" si="1095"/>
        <v>0</v>
      </c>
      <c r="TZ92" s="91">
        <f t="shared" si="1096"/>
        <v>0</v>
      </c>
      <c r="UO92" s="91">
        <f t="shared" si="1097"/>
        <v>0</v>
      </c>
      <c r="UP92" s="91">
        <f t="shared" si="1098"/>
        <v>0</v>
      </c>
      <c r="VE92" s="91">
        <f t="shared" si="1099"/>
        <v>0</v>
      </c>
      <c r="VF92" s="91">
        <f t="shared" si="1100"/>
        <v>0</v>
      </c>
      <c r="VU92" s="91">
        <f t="shared" si="1101"/>
        <v>0</v>
      </c>
      <c r="VV92" s="91">
        <f t="shared" si="1102"/>
        <v>0</v>
      </c>
      <c r="WK92" s="91">
        <f t="shared" si="1103"/>
        <v>0</v>
      </c>
      <c r="WL92" s="91">
        <f t="shared" si="1104"/>
        <v>0</v>
      </c>
      <c r="WM92" s="89"/>
      <c r="WN92" s="87">
        <f t="shared" si="1105"/>
        <v>0</v>
      </c>
      <c r="WO92" s="87">
        <f t="shared" si="1106"/>
        <v>0</v>
      </c>
      <c r="WP92" s="87">
        <f t="shared" si="1107"/>
        <v>175820</v>
      </c>
      <c r="WQ92" s="87">
        <f t="shared" si="1108"/>
        <v>4393340</v>
      </c>
      <c r="WR92" s="87">
        <f t="shared" si="1109"/>
        <v>0</v>
      </c>
      <c r="WS92" s="87">
        <f t="shared" si="1110"/>
        <v>0</v>
      </c>
      <c r="WT92" s="87">
        <f t="shared" si="1111"/>
        <v>0</v>
      </c>
      <c r="WU92" s="87">
        <f t="shared" si="1112"/>
        <v>0</v>
      </c>
      <c r="WV92" s="87">
        <f t="shared" si="1113"/>
        <v>0</v>
      </c>
      <c r="WW92" s="87">
        <f t="shared" si="1114"/>
        <v>0</v>
      </c>
      <c r="WX92" s="87">
        <f t="shared" si="1115"/>
        <v>0</v>
      </c>
      <c r="WY92" s="87">
        <f t="shared" si="1116"/>
        <v>0</v>
      </c>
      <c r="WZ92" s="87">
        <f t="shared" si="1117"/>
        <v>0</v>
      </c>
      <c r="XA92" s="87">
        <f t="shared" si="1118"/>
        <v>0</v>
      </c>
      <c r="XB92" s="92">
        <f t="shared" si="1119"/>
        <v>175820</v>
      </c>
      <c r="XC92" s="92">
        <f t="shared" si="1120"/>
        <v>4393340</v>
      </c>
      <c r="XD92" s="89"/>
      <c r="XE92" s="92">
        <f t="shared" ref="XE92:XE126" si="1125">SUM(XB244,XB282,XB320)</f>
        <v>187430</v>
      </c>
      <c r="XF92" s="92">
        <f t="shared" ref="XF92:XF126" si="1126">SUM(XC244,XC282,XC320)</f>
        <v>5290560</v>
      </c>
      <c r="XG92" s="89"/>
      <c r="XH92" s="92"/>
      <c r="XI92" s="92"/>
      <c r="XJ92" s="89"/>
      <c r="XK92" s="87"/>
      <c r="XL92" s="87"/>
      <c r="XM92" s="87"/>
      <c r="XN92" s="87"/>
      <c r="XO92" s="87"/>
      <c r="XP92" s="87"/>
      <c r="XQ92" s="87"/>
      <c r="XR92" s="92">
        <f t="shared" ca="1" si="1122"/>
        <v>0</v>
      </c>
      <c r="XS92" s="89"/>
      <c r="XT92" s="87"/>
      <c r="XU92" s="87"/>
      <c r="XV92" s="87"/>
      <c r="XW92" s="87"/>
      <c r="XX92" s="87"/>
      <c r="XY92" s="87"/>
      <c r="XZ92" s="87"/>
      <c r="YA92" s="92">
        <f t="shared" ca="1" si="1123"/>
        <v>0</v>
      </c>
      <c r="YB92" s="90"/>
      <c r="YC92" s="90"/>
      <c r="YD92" s="90"/>
      <c r="YE92" s="90"/>
      <c r="YF92" s="90"/>
      <c r="YG92" s="90"/>
      <c r="YH92" s="90"/>
      <c r="YI92" s="90"/>
      <c r="YJ92" s="90"/>
      <c r="YK92" s="90"/>
      <c r="YL92" s="90"/>
      <c r="YM92" s="90"/>
      <c r="YN92" s="90"/>
      <c r="YO92" s="90"/>
      <c r="YP92" s="90"/>
      <c r="YQ92" s="90"/>
      <c r="YR92" s="90"/>
      <c r="YS92" s="90"/>
      <c r="YT92" s="90"/>
      <c r="YU92" s="90"/>
      <c r="YV92" s="90"/>
      <c r="YW92" s="90"/>
      <c r="YX92" s="90"/>
      <c r="YY92" s="90"/>
      <c r="YZ92" s="90"/>
      <c r="ZA92" s="90"/>
      <c r="ZB92" s="90"/>
      <c r="ZC92" s="90"/>
      <c r="ZD92" s="90"/>
      <c r="ZE92" s="90"/>
      <c r="ZF92" s="90"/>
      <c r="ZG92" s="90"/>
      <c r="ZH92" s="90"/>
      <c r="ZI92" s="90"/>
      <c r="ZJ92" s="90"/>
      <c r="ZK92" s="90"/>
      <c r="ZL92" s="90"/>
      <c r="ZM92" s="90"/>
      <c r="ZN92" s="90"/>
      <c r="ZO92" s="90"/>
      <c r="ZP92" s="90"/>
      <c r="ZQ92" s="90"/>
      <c r="ZR92" s="90"/>
      <c r="ZS92" s="90"/>
      <c r="ZT92" s="90"/>
      <c r="ZU92" s="90"/>
      <c r="ZV92" s="90"/>
      <c r="ZW92" s="90"/>
      <c r="ZX92" s="90"/>
      <c r="ZY92" s="90"/>
      <c r="ZZ92" s="90"/>
      <c r="AAA92" s="90"/>
      <c r="AAB92" s="90"/>
      <c r="AAC92" s="90"/>
      <c r="AAD92" s="90"/>
      <c r="AAE92" s="90"/>
      <c r="AAF92" s="90"/>
      <c r="AAG92" s="90"/>
      <c r="AAH92" s="90"/>
      <c r="AAI92" s="90"/>
      <c r="AAJ92" s="90"/>
      <c r="AAK92" s="90"/>
      <c r="AAL92" s="90"/>
      <c r="AAM92" s="90"/>
      <c r="AAN92" s="90"/>
      <c r="AAO92" s="90"/>
      <c r="AAP92" s="90"/>
      <c r="AAQ92" s="90"/>
      <c r="AAR92" s="90"/>
      <c r="AAS92" s="90"/>
      <c r="AAT92" s="90"/>
      <c r="AAU92" s="90"/>
      <c r="AAV92" s="90"/>
      <c r="AAW92" s="90"/>
      <c r="AAX92" s="90"/>
      <c r="AAY92" s="90"/>
      <c r="AAZ92" s="90"/>
      <c r="ABA92" s="90"/>
      <c r="ABB92" s="90"/>
      <c r="ABC92" s="90"/>
      <c r="ABD92" s="90"/>
      <c r="ABE92" s="90"/>
      <c r="ABF92" s="90"/>
      <c r="ABG92" s="90"/>
      <c r="ABH92" s="90"/>
      <c r="ABI92" s="90"/>
      <c r="ABJ92" s="90"/>
      <c r="ABK92" s="90"/>
      <c r="ABL92" s="90"/>
      <c r="ABM92" s="90"/>
      <c r="ABN92" s="90"/>
      <c r="ABO92" s="90"/>
      <c r="ABP92" s="90"/>
      <c r="ABQ92" s="90"/>
      <c r="ABR92" s="90"/>
      <c r="ABS92" s="90"/>
      <c r="ABT92" s="90"/>
      <c r="ABU92" s="90"/>
      <c r="ABV92" s="90"/>
      <c r="ABW92" s="90"/>
      <c r="ABX92" s="90"/>
      <c r="ABY92" s="90"/>
      <c r="ABZ92" s="90"/>
      <c r="ACA92" s="90"/>
      <c r="ACB92" s="90"/>
      <c r="ACC92" s="90"/>
      <c r="ACD92" s="90"/>
      <c r="ACE92" s="90"/>
      <c r="ACF92" s="90"/>
      <c r="ACG92" s="90"/>
      <c r="ACH92" s="90"/>
      <c r="ACI92" s="90"/>
      <c r="ACJ92" s="90"/>
      <c r="ACK92" s="90"/>
      <c r="ACL92" s="90"/>
      <c r="ACM92" s="90"/>
      <c r="ACN92" s="90"/>
      <c r="ACO92" s="90"/>
      <c r="ACP92" s="90"/>
      <c r="ACQ92" s="90"/>
      <c r="ACR92" s="90"/>
      <c r="ACS92" s="90"/>
      <c r="ACT92" s="90"/>
      <c r="ACU92" s="90"/>
      <c r="ACV92" s="90"/>
      <c r="ACW92" s="90"/>
      <c r="ACX92" s="90"/>
      <c r="ACY92" s="90"/>
      <c r="ACZ92" s="90"/>
      <c r="ADA92" s="90"/>
      <c r="ADB92" s="90"/>
      <c r="ADC92" s="90"/>
      <c r="ADD92" s="90"/>
      <c r="ADE92" s="90"/>
      <c r="ADF92" s="90"/>
      <c r="ADG92" s="90"/>
      <c r="ADH92" s="90"/>
      <c r="ADI92" s="90"/>
      <c r="ADJ92" s="90"/>
      <c r="ADK92" s="90"/>
      <c r="ADL92" s="90"/>
      <c r="ADM92" s="90"/>
      <c r="ADN92" s="90"/>
      <c r="ADO92" s="90"/>
      <c r="ADP92" s="90"/>
      <c r="ADQ92" s="90"/>
      <c r="ADR92" s="90"/>
      <c r="ADS92" s="90"/>
      <c r="ADT92" s="90"/>
      <c r="ADU92" s="90"/>
      <c r="ADV92" s="90"/>
      <c r="ADW92" s="90"/>
      <c r="ADX92" s="90"/>
      <c r="ADY92" s="90"/>
      <c r="ADZ92" s="90"/>
      <c r="AEA92" s="90"/>
      <c r="AEB92" s="90"/>
      <c r="AEC92" s="90"/>
      <c r="AED92" s="90"/>
      <c r="AEE92" s="90"/>
      <c r="AEF92" s="90"/>
      <c r="AEG92" s="90"/>
      <c r="AEH92" s="90"/>
      <c r="AEI92" s="90"/>
      <c r="AEJ92" s="90"/>
      <c r="AEK92" s="90"/>
      <c r="AEL92" s="90"/>
      <c r="AEM92" s="90"/>
      <c r="AEN92" s="90"/>
      <c r="AEO92" s="90"/>
      <c r="AEP92" s="90"/>
      <c r="AEQ92" s="90"/>
      <c r="AER92" s="90"/>
      <c r="AES92" s="90"/>
      <c r="AET92" s="90"/>
      <c r="AEU92" s="90"/>
      <c r="AEV92" s="90"/>
      <c r="AEW92" s="90"/>
      <c r="AEX92" s="90"/>
      <c r="AEY92" s="90"/>
      <c r="AEZ92" s="90"/>
      <c r="AFA92" s="90"/>
      <c r="AFB92" s="90"/>
      <c r="AFC92" s="90"/>
      <c r="AFD92" s="90"/>
      <c r="AFE92" s="90"/>
      <c r="AFF92" s="90"/>
      <c r="AFG92" s="90"/>
      <c r="AFH92" s="90"/>
      <c r="AFI92" s="90"/>
      <c r="AFJ92" s="90"/>
      <c r="AFK92" s="90"/>
      <c r="AFL92" s="90"/>
      <c r="AFM92" s="90"/>
      <c r="AFN92" s="90"/>
      <c r="AFO92" s="90"/>
      <c r="AFP92" s="90"/>
      <c r="AFQ92" s="90"/>
      <c r="AFR92" s="90"/>
      <c r="AFS92" s="90"/>
      <c r="AFT92" s="90"/>
      <c r="AFU92" s="90"/>
      <c r="AFV92" s="90"/>
      <c r="AFW92" s="90"/>
      <c r="AFX92" s="90"/>
      <c r="AFY92" s="90"/>
      <c r="AFZ92" s="90"/>
      <c r="AGA92" s="90"/>
      <c r="AGB92" s="90"/>
      <c r="AGC92" s="90"/>
      <c r="AGD92" s="90"/>
      <c r="AGE92" s="90"/>
      <c r="AGF92" s="90"/>
      <c r="AGG92" s="90"/>
      <c r="AGH92" s="90"/>
      <c r="AGI92" s="90"/>
      <c r="AGJ92" s="90"/>
      <c r="AGK92" s="90"/>
      <c r="AGL92" s="90"/>
      <c r="AGM92" s="90"/>
      <c r="AGN92" s="90"/>
      <c r="AGO92" s="90"/>
      <c r="AGP92" s="90"/>
      <c r="AGQ92" s="90"/>
      <c r="AGR92" s="90"/>
      <c r="AGS92" s="90"/>
      <c r="AGT92" s="90"/>
      <c r="AGU92" s="90"/>
      <c r="AGV92" s="90"/>
      <c r="AGW92" s="90"/>
      <c r="AGX92" s="90"/>
      <c r="AGY92" s="90"/>
      <c r="AGZ92" s="90"/>
      <c r="AHA92" s="90"/>
      <c r="AHB92" s="90"/>
      <c r="AHC92" s="90"/>
      <c r="AHD92" s="90"/>
      <c r="AHE92" s="90"/>
      <c r="AHF92" s="90"/>
      <c r="AHG92" s="90"/>
      <c r="AHH92" s="90"/>
      <c r="AHI92" s="90"/>
      <c r="AHJ92" s="90"/>
      <c r="AHK92" s="90"/>
      <c r="AHL92" s="90"/>
      <c r="AHM92" s="90"/>
      <c r="AHN92" s="90"/>
      <c r="AHO92" s="90"/>
      <c r="AHP92" s="90"/>
      <c r="AHQ92" s="90"/>
      <c r="AHR92" s="90"/>
      <c r="AHS92" s="90"/>
      <c r="AHT92" s="90"/>
      <c r="AHU92" s="90"/>
      <c r="AHV92" s="90"/>
      <c r="AHW92" s="90"/>
      <c r="AHX92" s="90"/>
      <c r="AHY92" s="90"/>
      <c r="AHZ92" s="90"/>
      <c r="AIA92" s="90"/>
      <c r="AIB92" s="90"/>
      <c r="AIC92" s="90"/>
      <c r="AID92" s="90"/>
      <c r="AIE92" s="90"/>
      <c r="AIF92" s="90"/>
      <c r="AIG92" s="90"/>
      <c r="AIH92" s="90"/>
      <c r="AII92" s="90"/>
      <c r="AIJ92" s="90"/>
      <c r="AIK92" s="90"/>
      <c r="AIL92" s="90"/>
      <c r="AIM92" s="90"/>
      <c r="AIN92" s="90"/>
      <c r="AIO92" s="90"/>
      <c r="AIP92" s="90"/>
      <c r="AIQ92" s="90"/>
      <c r="AIR92" s="90"/>
      <c r="AIS92" s="90"/>
      <c r="AIT92" s="90"/>
      <c r="AIU92" s="90"/>
      <c r="AIV92" s="90"/>
      <c r="AIW92" s="90"/>
      <c r="AIX92" s="90"/>
      <c r="AIY92" s="90"/>
      <c r="AIZ92" s="90"/>
      <c r="AJA92" s="90"/>
      <c r="AJB92" s="90"/>
      <c r="AJC92" s="90"/>
      <c r="AJD92" s="90"/>
      <c r="AJE92" s="90"/>
      <c r="AJF92" s="90"/>
      <c r="AJG92" s="90"/>
      <c r="AJH92" s="90"/>
      <c r="AJI92" s="90"/>
      <c r="AJJ92" s="90"/>
      <c r="AJK92" s="90"/>
      <c r="AJL92" s="90"/>
      <c r="AJM92" s="90"/>
      <c r="AJN92" s="90"/>
      <c r="AJO92" s="90"/>
      <c r="AJP92" s="90"/>
      <c r="AJQ92" s="90"/>
      <c r="AJR92" s="90"/>
      <c r="AJS92" s="90"/>
      <c r="AJT92" s="90"/>
      <c r="AJU92" s="90"/>
      <c r="AJV92" s="90"/>
      <c r="AJW92" s="90"/>
      <c r="AJX92" s="90"/>
      <c r="AJY92" s="90"/>
      <c r="AJZ92" s="90"/>
      <c r="AKA92" s="90"/>
      <c r="AKB92" s="90"/>
      <c r="AKC92" s="90"/>
      <c r="AKD92" s="90"/>
      <c r="AKE92" s="90"/>
      <c r="AKF92" s="90"/>
      <c r="AKG92" s="90"/>
      <c r="AKH92" s="90"/>
      <c r="AKI92" s="90"/>
      <c r="AKJ92" s="90"/>
      <c r="AKK92" s="90"/>
      <c r="AKL92" s="90"/>
      <c r="AKM92" s="90"/>
      <c r="AKN92" s="90"/>
      <c r="AKO92" s="90"/>
      <c r="AKP92" s="90"/>
      <c r="AKQ92" s="90"/>
      <c r="AKR92" s="90"/>
      <c r="AKS92" s="90"/>
      <c r="AKT92" s="90"/>
      <c r="AKU92" s="90"/>
      <c r="AKV92" s="90"/>
      <c r="AKW92" s="90"/>
      <c r="AKX92" s="90"/>
      <c r="AKY92" s="90"/>
      <c r="AKZ92" s="90"/>
      <c r="ALA92" s="90"/>
      <c r="ALB92" s="90"/>
      <c r="ALC92" s="90"/>
      <c r="ALD92" s="90"/>
      <c r="ALE92" s="90"/>
      <c r="ALF92" s="90"/>
      <c r="ALG92" s="90"/>
      <c r="ALH92" s="90"/>
      <c r="ALI92" s="90"/>
      <c r="ALJ92" s="90"/>
      <c r="ALK92" s="90"/>
      <c r="ALL92" s="90"/>
      <c r="ALM92" s="90"/>
      <c r="ALN92" s="90"/>
      <c r="ALO92" s="90"/>
      <c r="ALP92" s="90"/>
      <c r="ALQ92" s="90"/>
      <c r="ALR92" s="90"/>
      <c r="ALS92" s="90"/>
      <c r="ALT92" s="90"/>
      <c r="ALU92" s="90"/>
      <c r="ALV92" s="90"/>
      <c r="ALW92" s="90"/>
      <c r="ALX92" s="90"/>
      <c r="ALY92" s="90"/>
      <c r="ALZ92" s="90"/>
      <c r="AMA92" s="90"/>
      <c r="AMB92" s="90"/>
      <c r="AMC92" s="90"/>
    </row>
    <row r="93" spans="1:1017">
      <c r="A93" s="98" t="s">
        <v>47</v>
      </c>
      <c r="B93" s="90" t="str">
        <f t="shared" si="1028"/>
        <v xml:space="preserve">Eucheuma cottonii </v>
      </c>
      <c r="Q93" s="91">
        <f t="shared" si="1029"/>
        <v>0</v>
      </c>
      <c r="R93" s="91">
        <f t="shared" si="1030"/>
        <v>0</v>
      </c>
      <c r="AG93" s="91">
        <f t="shared" si="1031"/>
        <v>0</v>
      </c>
      <c r="AH93" s="91">
        <f t="shared" si="1032"/>
        <v>0</v>
      </c>
      <c r="AW93" s="91">
        <f t="shared" si="1033"/>
        <v>0</v>
      </c>
      <c r="AX93" s="91">
        <f t="shared" si="1034"/>
        <v>0</v>
      </c>
      <c r="BM93" s="91">
        <f t="shared" si="1035"/>
        <v>0</v>
      </c>
      <c r="BN93" s="91">
        <f t="shared" si="1036"/>
        <v>0</v>
      </c>
      <c r="CC93" s="91">
        <f t="shared" si="1037"/>
        <v>0</v>
      </c>
      <c r="CD93" s="91">
        <f t="shared" si="1038"/>
        <v>0</v>
      </c>
      <c r="CS93" s="91">
        <f t="shared" si="1039"/>
        <v>0</v>
      </c>
      <c r="CT93" s="91">
        <f t="shared" si="1040"/>
        <v>0</v>
      </c>
      <c r="DI93" s="91">
        <f t="shared" si="1041"/>
        <v>0</v>
      </c>
      <c r="DJ93" s="91">
        <f t="shared" si="1042"/>
        <v>0</v>
      </c>
      <c r="DY93" s="91">
        <f t="shared" si="1043"/>
        <v>0</v>
      </c>
      <c r="DZ93" s="91">
        <f t="shared" si="1044"/>
        <v>0</v>
      </c>
      <c r="EO93" s="91">
        <f t="shared" si="1045"/>
        <v>0</v>
      </c>
      <c r="EP93" s="91">
        <f t="shared" si="1046"/>
        <v>0</v>
      </c>
      <c r="FE93" s="91">
        <f t="shared" si="1047"/>
        <v>0</v>
      </c>
      <c r="FF93" s="91">
        <f t="shared" si="1048"/>
        <v>0</v>
      </c>
      <c r="FU93" s="91">
        <f t="shared" si="1049"/>
        <v>0</v>
      </c>
      <c r="FV93" s="91">
        <f t="shared" si="1050"/>
        <v>0</v>
      </c>
      <c r="GK93" s="91">
        <f t="shared" si="1051"/>
        <v>0</v>
      </c>
      <c r="GL93" s="91">
        <f t="shared" si="1052"/>
        <v>0</v>
      </c>
      <c r="HA93" s="91">
        <f t="shared" si="1053"/>
        <v>0</v>
      </c>
      <c r="HB93" s="91">
        <f t="shared" si="1054"/>
        <v>0</v>
      </c>
      <c r="HQ93" s="91">
        <f t="shared" si="1055"/>
        <v>0</v>
      </c>
      <c r="HR93" s="91">
        <f t="shared" si="1056"/>
        <v>0</v>
      </c>
      <c r="IG93" s="91">
        <f t="shared" si="1057"/>
        <v>0</v>
      </c>
      <c r="IH93" s="91">
        <f t="shared" si="1058"/>
        <v>0</v>
      </c>
      <c r="IW93" s="91">
        <f t="shared" si="1059"/>
        <v>0</v>
      </c>
      <c r="IX93" s="91">
        <f t="shared" si="1060"/>
        <v>0</v>
      </c>
      <c r="JM93" s="91">
        <f t="shared" si="1061"/>
        <v>0</v>
      </c>
      <c r="JN93" s="91">
        <f t="shared" si="1062"/>
        <v>0</v>
      </c>
      <c r="KC93" s="91">
        <f t="shared" si="1063"/>
        <v>0</v>
      </c>
      <c r="KD93" s="91">
        <f t="shared" si="1064"/>
        <v>0</v>
      </c>
      <c r="KS93" s="91">
        <f t="shared" si="1065"/>
        <v>0</v>
      </c>
      <c r="KT93" s="91">
        <f t="shared" si="1066"/>
        <v>0</v>
      </c>
      <c r="LI93" s="91">
        <f t="shared" si="1067"/>
        <v>0</v>
      </c>
      <c r="LJ93" s="91">
        <f t="shared" si="1068"/>
        <v>0</v>
      </c>
      <c r="LY93" s="91">
        <f t="shared" si="1069"/>
        <v>0</v>
      </c>
      <c r="LZ93" s="91">
        <f t="shared" si="1070"/>
        <v>0</v>
      </c>
      <c r="MO93" s="91">
        <f t="shared" si="1071"/>
        <v>0</v>
      </c>
      <c r="MP93" s="91">
        <f t="shared" si="1072"/>
        <v>0</v>
      </c>
      <c r="NE93" s="91">
        <f t="shared" si="1073"/>
        <v>0</v>
      </c>
      <c r="NF93" s="91">
        <f t="shared" si="1074"/>
        <v>0</v>
      </c>
      <c r="NU93" s="91">
        <f t="shared" si="1075"/>
        <v>0</v>
      </c>
      <c r="NV93" s="91">
        <f t="shared" si="1076"/>
        <v>0</v>
      </c>
      <c r="NW93" s="98">
        <v>3000</v>
      </c>
      <c r="NX93" s="98">
        <v>12000</v>
      </c>
      <c r="OK93" s="91">
        <f t="shared" si="1077"/>
        <v>3000</v>
      </c>
      <c r="OL93" s="91">
        <f t="shared" si="1078"/>
        <v>12000</v>
      </c>
      <c r="OM93" s="98">
        <v>57562459</v>
      </c>
      <c r="ON93" s="98">
        <v>345374754</v>
      </c>
      <c r="PA93" s="91">
        <f t="shared" si="1079"/>
        <v>57562459</v>
      </c>
      <c r="PB93" s="91">
        <f t="shared" si="1080"/>
        <v>345374754</v>
      </c>
      <c r="PQ93" s="91">
        <f t="shared" si="1081"/>
        <v>0</v>
      </c>
      <c r="PR93" s="91">
        <f t="shared" si="1082"/>
        <v>0</v>
      </c>
      <c r="QG93" s="91">
        <f t="shared" si="1083"/>
        <v>0</v>
      </c>
      <c r="QH93" s="91">
        <f t="shared" si="1084"/>
        <v>0</v>
      </c>
      <c r="QW93" s="91">
        <f t="shared" si="1085"/>
        <v>0</v>
      </c>
      <c r="QX93" s="91">
        <f t="shared" si="1086"/>
        <v>0</v>
      </c>
      <c r="RM93" s="91">
        <f t="shared" si="1087"/>
        <v>0</v>
      </c>
      <c r="RN93" s="91">
        <f t="shared" si="1088"/>
        <v>0</v>
      </c>
      <c r="SC93" s="91">
        <f t="shared" si="1089"/>
        <v>0</v>
      </c>
      <c r="SD93" s="91">
        <f t="shared" si="1090"/>
        <v>0</v>
      </c>
      <c r="SS93" s="91">
        <f t="shared" si="1091"/>
        <v>0</v>
      </c>
      <c r="ST93" s="91">
        <f t="shared" si="1092"/>
        <v>0</v>
      </c>
      <c r="TI93" s="91">
        <f t="shared" si="1093"/>
        <v>0</v>
      </c>
      <c r="TJ93" s="91">
        <f t="shared" si="1094"/>
        <v>0</v>
      </c>
      <c r="TY93" s="91">
        <f t="shared" si="1095"/>
        <v>0</v>
      </c>
      <c r="TZ93" s="91">
        <f t="shared" si="1096"/>
        <v>0</v>
      </c>
      <c r="UO93" s="91">
        <f t="shared" si="1097"/>
        <v>0</v>
      </c>
      <c r="UP93" s="91">
        <f t="shared" si="1098"/>
        <v>0</v>
      </c>
      <c r="VE93" s="91">
        <f t="shared" si="1099"/>
        <v>0</v>
      </c>
      <c r="VF93" s="91">
        <f t="shared" si="1100"/>
        <v>0</v>
      </c>
      <c r="VU93" s="91">
        <f t="shared" si="1101"/>
        <v>0</v>
      </c>
      <c r="VV93" s="91">
        <f t="shared" si="1102"/>
        <v>0</v>
      </c>
      <c r="WK93" s="91">
        <f t="shared" si="1103"/>
        <v>0</v>
      </c>
      <c r="WL93" s="91">
        <f t="shared" si="1104"/>
        <v>0</v>
      </c>
      <c r="WM93" s="89"/>
      <c r="WN93" s="87">
        <f t="shared" si="1105"/>
        <v>57565459</v>
      </c>
      <c r="WO93" s="87">
        <f t="shared" si="1106"/>
        <v>345386754</v>
      </c>
      <c r="WP93" s="87">
        <f t="shared" si="1107"/>
        <v>0</v>
      </c>
      <c r="WQ93" s="87">
        <f t="shared" si="1108"/>
        <v>0</v>
      </c>
      <c r="WR93" s="87">
        <f t="shared" si="1109"/>
        <v>0</v>
      </c>
      <c r="WS93" s="87">
        <f t="shared" si="1110"/>
        <v>0</v>
      </c>
      <c r="WT93" s="87">
        <f t="shared" si="1111"/>
        <v>0</v>
      </c>
      <c r="WU93" s="87">
        <f t="shared" si="1112"/>
        <v>0</v>
      </c>
      <c r="WV93" s="87">
        <f t="shared" si="1113"/>
        <v>0</v>
      </c>
      <c r="WW93" s="87">
        <f t="shared" si="1114"/>
        <v>0</v>
      </c>
      <c r="WX93" s="87">
        <f t="shared" si="1115"/>
        <v>0</v>
      </c>
      <c r="WY93" s="87">
        <f t="shared" si="1116"/>
        <v>0</v>
      </c>
      <c r="WZ93" s="87">
        <f t="shared" si="1117"/>
        <v>0</v>
      </c>
      <c r="XA93" s="87">
        <f t="shared" si="1118"/>
        <v>0</v>
      </c>
      <c r="XB93" s="92">
        <f t="shared" si="1119"/>
        <v>57565459</v>
      </c>
      <c r="XC93" s="92">
        <f t="shared" si="1120"/>
        <v>345386754</v>
      </c>
      <c r="XD93" s="89"/>
      <c r="XE93" s="92">
        <f t="shared" si="1125"/>
        <v>222920220</v>
      </c>
      <c r="XF93" s="92">
        <f t="shared" si="1126"/>
        <v>1114601100</v>
      </c>
      <c r="XG93" s="89"/>
      <c r="XH93" s="92"/>
      <c r="XI93" s="92"/>
      <c r="XJ93" s="89"/>
      <c r="XK93" s="87"/>
      <c r="XL93" s="87"/>
      <c r="XM93" s="87"/>
      <c r="XN93" s="87"/>
      <c r="XO93" s="87"/>
      <c r="XP93" s="87"/>
      <c r="XQ93" s="87"/>
      <c r="XR93" s="92">
        <f t="shared" ca="1" si="1122"/>
        <v>0</v>
      </c>
      <c r="XS93" s="89"/>
      <c r="XT93" s="87"/>
      <c r="XU93" s="87"/>
      <c r="XV93" s="87"/>
      <c r="XW93" s="87"/>
      <c r="XX93" s="87"/>
      <c r="XY93" s="87"/>
      <c r="XZ93" s="87"/>
      <c r="YA93" s="92">
        <f t="shared" ca="1" si="1123"/>
        <v>0</v>
      </c>
      <c r="YB93" s="90"/>
      <c r="YC93" s="90"/>
      <c r="YD93" s="90"/>
      <c r="YE93" s="90"/>
      <c r="YF93" s="90"/>
      <c r="YG93" s="90"/>
      <c r="YH93" s="90"/>
      <c r="YI93" s="90"/>
      <c r="YJ93" s="90"/>
      <c r="YK93" s="90"/>
      <c r="YL93" s="90"/>
      <c r="YM93" s="90"/>
      <c r="YN93" s="90"/>
      <c r="YO93" s="90"/>
      <c r="YP93" s="90"/>
      <c r="YQ93" s="90"/>
      <c r="YR93" s="90"/>
      <c r="YS93" s="90"/>
      <c r="YT93" s="90"/>
      <c r="YU93" s="90"/>
      <c r="YV93" s="90"/>
      <c r="YW93" s="90"/>
      <c r="YX93" s="90"/>
      <c r="YY93" s="90"/>
      <c r="YZ93" s="90"/>
      <c r="ZA93" s="90"/>
      <c r="ZB93" s="90"/>
      <c r="ZC93" s="90"/>
      <c r="ZD93" s="90"/>
      <c r="ZE93" s="90"/>
      <c r="ZF93" s="90"/>
      <c r="ZG93" s="90"/>
      <c r="ZH93" s="90"/>
      <c r="ZI93" s="90"/>
      <c r="ZJ93" s="90"/>
      <c r="ZK93" s="90"/>
      <c r="ZL93" s="90"/>
      <c r="ZM93" s="90"/>
      <c r="ZN93" s="90"/>
      <c r="ZO93" s="90"/>
      <c r="ZP93" s="90"/>
      <c r="ZQ93" s="90"/>
      <c r="ZR93" s="90"/>
      <c r="ZS93" s="90"/>
      <c r="ZT93" s="90"/>
      <c r="ZU93" s="90"/>
      <c r="ZV93" s="90"/>
      <c r="ZW93" s="90"/>
      <c r="ZX93" s="90"/>
      <c r="ZY93" s="90"/>
      <c r="ZZ93" s="90"/>
      <c r="AAA93" s="90"/>
      <c r="AAB93" s="90"/>
      <c r="AAC93" s="90"/>
      <c r="AAD93" s="90"/>
      <c r="AAE93" s="90"/>
      <c r="AAF93" s="90"/>
      <c r="AAG93" s="90"/>
      <c r="AAH93" s="90"/>
      <c r="AAI93" s="90"/>
      <c r="AAJ93" s="90"/>
      <c r="AAK93" s="90"/>
      <c r="AAL93" s="90"/>
      <c r="AAM93" s="90"/>
      <c r="AAN93" s="90"/>
      <c r="AAO93" s="90"/>
      <c r="AAP93" s="90"/>
      <c r="AAQ93" s="90"/>
      <c r="AAR93" s="90"/>
      <c r="AAS93" s="90"/>
      <c r="AAT93" s="90"/>
      <c r="AAU93" s="90"/>
      <c r="AAV93" s="90"/>
      <c r="AAW93" s="90"/>
      <c r="AAX93" s="90"/>
      <c r="AAY93" s="90"/>
      <c r="AAZ93" s="90"/>
      <c r="ABA93" s="90"/>
      <c r="ABB93" s="90"/>
      <c r="ABC93" s="90"/>
      <c r="ABD93" s="90"/>
      <c r="ABE93" s="90"/>
      <c r="ABF93" s="90"/>
      <c r="ABG93" s="90"/>
      <c r="ABH93" s="90"/>
      <c r="ABI93" s="90"/>
      <c r="ABJ93" s="90"/>
      <c r="ABK93" s="90"/>
      <c r="ABL93" s="90"/>
      <c r="ABM93" s="90"/>
      <c r="ABN93" s="90"/>
      <c r="ABO93" s="90"/>
      <c r="ABP93" s="90"/>
      <c r="ABQ93" s="90"/>
      <c r="ABR93" s="90"/>
      <c r="ABS93" s="90"/>
      <c r="ABT93" s="90"/>
      <c r="ABU93" s="90"/>
      <c r="ABV93" s="90"/>
      <c r="ABW93" s="90"/>
      <c r="ABX93" s="90"/>
      <c r="ABY93" s="90"/>
      <c r="ABZ93" s="90"/>
      <c r="ACA93" s="90"/>
      <c r="ACB93" s="90"/>
      <c r="ACC93" s="90"/>
      <c r="ACD93" s="90"/>
      <c r="ACE93" s="90"/>
      <c r="ACF93" s="90"/>
      <c r="ACG93" s="90"/>
      <c r="ACH93" s="90"/>
      <c r="ACI93" s="90"/>
      <c r="ACJ93" s="90"/>
      <c r="ACK93" s="90"/>
      <c r="ACL93" s="90"/>
      <c r="ACM93" s="90"/>
      <c r="ACN93" s="90"/>
      <c r="ACO93" s="90"/>
      <c r="ACP93" s="90"/>
      <c r="ACQ93" s="90"/>
      <c r="ACR93" s="90"/>
      <c r="ACS93" s="90"/>
      <c r="ACT93" s="90"/>
      <c r="ACU93" s="90"/>
      <c r="ACV93" s="90"/>
      <c r="ACW93" s="90"/>
      <c r="ACX93" s="90"/>
      <c r="ACY93" s="90"/>
      <c r="ACZ93" s="90"/>
      <c r="ADA93" s="90"/>
      <c r="ADB93" s="90"/>
      <c r="ADC93" s="90"/>
      <c r="ADD93" s="90"/>
      <c r="ADE93" s="90"/>
      <c r="ADF93" s="90"/>
      <c r="ADG93" s="90"/>
      <c r="ADH93" s="90"/>
      <c r="ADI93" s="90"/>
      <c r="ADJ93" s="90"/>
      <c r="ADK93" s="90"/>
      <c r="ADL93" s="90"/>
      <c r="ADM93" s="90"/>
      <c r="ADN93" s="90"/>
      <c r="ADO93" s="90"/>
      <c r="ADP93" s="90"/>
      <c r="ADQ93" s="90"/>
      <c r="ADR93" s="90"/>
      <c r="ADS93" s="90"/>
      <c r="ADT93" s="90"/>
      <c r="ADU93" s="90"/>
      <c r="ADV93" s="90"/>
      <c r="ADW93" s="90"/>
      <c r="ADX93" s="90"/>
      <c r="ADY93" s="90"/>
      <c r="ADZ93" s="90"/>
      <c r="AEA93" s="90"/>
      <c r="AEB93" s="90"/>
      <c r="AEC93" s="90"/>
      <c r="AED93" s="90"/>
      <c r="AEE93" s="90"/>
      <c r="AEF93" s="90"/>
      <c r="AEG93" s="90"/>
      <c r="AEH93" s="90"/>
      <c r="AEI93" s="90"/>
      <c r="AEJ93" s="90"/>
      <c r="AEK93" s="90"/>
      <c r="AEL93" s="90"/>
      <c r="AEM93" s="90"/>
      <c r="AEN93" s="90"/>
      <c r="AEO93" s="90"/>
      <c r="AEP93" s="90"/>
      <c r="AEQ93" s="90"/>
      <c r="AER93" s="90"/>
      <c r="AES93" s="90"/>
      <c r="AET93" s="90"/>
      <c r="AEU93" s="90"/>
      <c r="AEV93" s="90"/>
      <c r="AEW93" s="90"/>
      <c r="AEX93" s="90"/>
      <c r="AEY93" s="90"/>
      <c r="AEZ93" s="90"/>
      <c r="AFA93" s="90"/>
      <c r="AFB93" s="90"/>
      <c r="AFC93" s="90"/>
      <c r="AFD93" s="90"/>
      <c r="AFE93" s="90"/>
      <c r="AFF93" s="90"/>
      <c r="AFG93" s="90"/>
      <c r="AFH93" s="90"/>
      <c r="AFI93" s="90"/>
      <c r="AFJ93" s="90"/>
      <c r="AFK93" s="90"/>
      <c r="AFL93" s="90"/>
      <c r="AFM93" s="90"/>
      <c r="AFN93" s="90"/>
      <c r="AFO93" s="90"/>
      <c r="AFP93" s="90"/>
      <c r="AFQ93" s="90"/>
      <c r="AFR93" s="90"/>
      <c r="AFS93" s="90"/>
      <c r="AFT93" s="90"/>
      <c r="AFU93" s="90"/>
      <c r="AFV93" s="90"/>
      <c r="AFW93" s="90"/>
      <c r="AFX93" s="90"/>
      <c r="AFY93" s="90"/>
      <c r="AFZ93" s="90"/>
      <c r="AGA93" s="90"/>
      <c r="AGB93" s="90"/>
      <c r="AGC93" s="90"/>
      <c r="AGD93" s="90"/>
      <c r="AGE93" s="90"/>
      <c r="AGF93" s="90"/>
      <c r="AGG93" s="90"/>
      <c r="AGH93" s="90"/>
      <c r="AGI93" s="90"/>
      <c r="AGJ93" s="90"/>
      <c r="AGK93" s="90"/>
      <c r="AGL93" s="90"/>
      <c r="AGM93" s="90"/>
      <c r="AGN93" s="90"/>
      <c r="AGO93" s="90"/>
      <c r="AGP93" s="90"/>
      <c r="AGQ93" s="90"/>
      <c r="AGR93" s="90"/>
      <c r="AGS93" s="90"/>
      <c r="AGT93" s="90"/>
      <c r="AGU93" s="90"/>
      <c r="AGV93" s="90"/>
      <c r="AGW93" s="90"/>
      <c r="AGX93" s="90"/>
      <c r="AGY93" s="90"/>
      <c r="AGZ93" s="90"/>
      <c r="AHA93" s="90"/>
      <c r="AHB93" s="90"/>
      <c r="AHC93" s="90"/>
      <c r="AHD93" s="90"/>
      <c r="AHE93" s="90"/>
      <c r="AHF93" s="90"/>
      <c r="AHG93" s="90"/>
      <c r="AHH93" s="90"/>
      <c r="AHI93" s="90"/>
      <c r="AHJ93" s="90"/>
      <c r="AHK93" s="90"/>
      <c r="AHL93" s="90"/>
      <c r="AHM93" s="90"/>
      <c r="AHN93" s="90"/>
      <c r="AHO93" s="90"/>
      <c r="AHP93" s="90"/>
      <c r="AHQ93" s="90"/>
      <c r="AHR93" s="90"/>
      <c r="AHS93" s="90"/>
      <c r="AHT93" s="90"/>
      <c r="AHU93" s="90"/>
      <c r="AHV93" s="90"/>
      <c r="AHW93" s="90"/>
      <c r="AHX93" s="90"/>
      <c r="AHY93" s="90"/>
      <c r="AHZ93" s="90"/>
      <c r="AIA93" s="90"/>
      <c r="AIB93" s="90"/>
      <c r="AIC93" s="90"/>
      <c r="AID93" s="90"/>
      <c r="AIE93" s="90"/>
      <c r="AIF93" s="90"/>
      <c r="AIG93" s="90"/>
      <c r="AIH93" s="90"/>
      <c r="AII93" s="90"/>
      <c r="AIJ93" s="90"/>
      <c r="AIK93" s="90"/>
      <c r="AIL93" s="90"/>
      <c r="AIM93" s="90"/>
      <c r="AIN93" s="90"/>
      <c r="AIO93" s="90"/>
      <c r="AIP93" s="90"/>
      <c r="AIQ93" s="90"/>
      <c r="AIR93" s="90"/>
      <c r="AIS93" s="90"/>
      <c r="AIT93" s="90"/>
      <c r="AIU93" s="90"/>
      <c r="AIV93" s="90"/>
      <c r="AIW93" s="90"/>
      <c r="AIX93" s="90"/>
      <c r="AIY93" s="90"/>
      <c r="AIZ93" s="90"/>
      <c r="AJA93" s="90"/>
      <c r="AJB93" s="90"/>
      <c r="AJC93" s="90"/>
      <c r="AJD93" s="90"/>
      <c r="AJE93" s="90"/>
      <c r="AJF93" s="90"/>
      <c r="AJG93" s="90"/>
      <c r="AJH93" s="90"/>
      <c r="AJI93" s="90"/>
      <c r="AJJ93" s="90"/>
      <c r="AJK93" s="90"/>
      <c r="AJL93" s="90"/>
      <c r="AJM93" s="90"/>
      <c r="AJN93" s="90"/>
      <c r="AJO93" s="90"/>
      <c r="AJP93" s="90"/>
      <c r="AJQ93" s="90"/>
      <c r="AJR93" s="90"/>
      <c r="AJS93" s="90"/>
      <c r="AJT93" s="90"/>
      <c r="AJU93" s="90"/>
      <c r="AJV93" s="90"/>
      <c r="AJW93" s="90"/>
      <c r="AJX93" s="90"/>
      <c r="AJY93" s="90"/>
      <c r="AJZ93" s="90"/>
      <c r="AKA93" s="90"/>
      <c r="AKB93" s="90"/>
      <c r="AKC93" s="90"/>
      <c r="AKD93" s="90"/>
      <c r="AKE93" s="90"/>
      <c r="AKF93" s="90"/>
      <c r="AKG93" s="90"/>
      <c r="AKH93" s="90"/>
      <c r="AKI93" s="90"/>
      <c r="AKJ93" s="90"/>
      <c r="AKK93" s="90"/>
      <c r="AKL93" s="90"/>
      <c r="AKM93" s="90"/>
      <c r="AKN93" s="90"/>
      <c r="AKO93" s="90"/>
      <c r="AKP93" s="90"/>
      <c r="AKQ93" s="90"/>
      <c r="AKR93" s="90"/>
      <c r="AKS93" s="90"/>
      <c r="AKT93" s="90"/>
      <c r="AKU93" s="90"/>
      <c r="AKV93" s="90"/>
      <c r="AKW93" s="90"/>
      <c r="AKX93" s="90"/>
      <c r="AKY93" s="90"/>
      <c r="AKZ93" s="90"/>
      <c r="ALA93" s="90"/>
      <c r="ALB93" s="90"/>
      <c r="ALC93" s="90"/>
      <c r="ALD93" s="90"/>
      <c r="ALE93" s="90"/>
      <c r="ALF93" s="90"/>
      <c r="ALG93" s="90"/>
      <c r="ALH93" s="90"/>
      <c r="ALI93" s="90"/>
      <c r="ALJ93" s="90"/>
      <c r="ALK93" s="90"/>
      <c r="ALL93" s="90"/>
      <c r="ALM93" s="90"/>
      <c r="ALN93" s="90"/>
      <c r="ALO93" s="90"/>
      <c r="ALP93" s="90"/>
      <c r="ALQ93" s="90"/>
      <c r="ALR93" s="90"/>
      <c r="ALS93" s="90"/>
      <c r="ALT93" s="90"/>
      <c r="ALU93" s="90"/>
      <c r="ALV93" s="90"/>
      <c r="ALW93" s="90"/>
      <c r="ALX93" s="90"/>
      <c r="ALY93" s="90"/>
      <c r="ALZ93" s="90"/>
      <c r="AMA93" s="90"/>
      <c r="AMB93" s="90"/>
      <c r="AMC93" s="90"/>
    </row>
    <row r="94" spans="1:1017">
      <c r="A94" s="98" t="s">
        <v>47</v>
      </c>
      <c r="B94" s="90" t="str">
        <f t="shared" si="1028"/>
        <v xml:space="preserve">Gabus </v>
      </c>
      <c r="Q94" s="91">
        <f t="shared" si="1029"/>
        <v>0</v>
      </c>
      <c r="R94" s="91">
        <f t="shared" si="1030"/>
        <v>0</v>
      </c>
      <c r="Y94" s="778">
        <v>735</v>
      </c>
      <c r="Z94" s="778">
        <v>29400</v>
      </c>
      <c r="AG94" s="91">
        <f t="shared" si="1031"/>
        <v>735</v>
      </c>
      <c r="AH94" s="91">
        <f t="shared" si="1032"/>
        <v>29400</v>
      </c>
      <c r="AW94" s="91">
        <f t="shared" si="1033"/>
        <v>0</v>
      </c>
      <c r="AX94" s="91">
        <f t="shared" si="1034"/>
        <v>0</v>
      </c>
      <c r="BM94" s="91">
        <f t="shared" si="1035"/>
        <v>0</v>
      </c>
      <c r="BN94" s="91">
        <f t="shared" si="1036"/>
        <v>0</v>
      </c>
      <c r="CC94" s="91">
        <f t="shared" si="1037"/>
        <v>0</v>
      </c>
      <c r="CD94" s="91">
        <f t="shared" si="1038"/>
        <v>0</v>
      </c>
      <c r="CS94" s="91">
        <f t="shared" si="1039"/>
        <v>0</v>
      </c>
      <c r="CT94" s="91">
        <f t="shared" si="1040"/>
        <v>0</v>
      </c>
      <c r="DI94" s="91">
        <f t="shared" si="1041"/>
        <v>0</v>
      </c>
      <c r="DJ94" s="91">
        <f t="shared" si="1042"/>
        <v>0</v>
      </c>
      <c r="DY94" s="91">
        <f t="shared" si="1043"/>
        <v>0</v>
      </c>
      <c r="DZ94" s="91">
        <f t="shared" si="1044"/>
        <v>0</v>
      </c>
      <c r="EO94" s="91">
        <f t="shared" si="1045"/>
        <v>0</v>
      </c>
      <c r="EP94" s="91">
        <f t="shared" si="1046"/>
        <v>0</v>
      </c>
      <c r="EW94" s="98">
        <v>2940</v>
      </c>
      <c r="EX94" s="98">
        <v>176400</v>
      </c>
      <c r="FE94" s="91">
        <f t="shared" si="1047"/>
        <v>2940</v>
      </c>
      <c r="FF94" s="91">
        <f t="shared" si="1048"/>
        <v>176400</v>
      </c>
      <c r="FM94" s="98">
        <v>350</v>
      </c>
      <c r="FN94" s="98">
        <v>15750</v>
      </c>
      <c r="FU94" s="91">
        <f t="shared" si="1049"/>
        <v>350</v>
      </c>
      <c r="FV94" s="91">
        <f t="shared" si="1050"/>
        <v>15750</v>
      </c>
      <c r="GK94" s="91">
        <f t="shared" si="1051"/>
        <v>0</v>
      </c>
      <c r="GL94" s="91">
        <f t="shared" si="1052"/>
        <v>0</v>
      </c>
      <c r="HA94" s="91">
        <f t="shared" si="1053"/>
        <v>0</v>
      </c>
      <c r="HB94" s="91">
        <f t="shared" si="1054"/>
        <v>0</v>
      </c>
      <c r="HQ94" s="91">
        <f t="shared" si="1055"/>
        <v>0</v>
      </c>
      <c r="HR94" s="91">
        <f t="shared" si="1056"/>
        <v>0</v>
      </c>
      <c r="IG94" s="91">
        <f t="shared" si="1057"/>
        <v>0</v>
      </c>
      <c r="IH94" s="91">
        <f t="shared" si="1058"/>
        <v>0</v>
      </c>
      <c r="IW94" s="91">
        <f t="shared" si="1059"/>
        <v>0</v>
      </c>
      <c r="IX94" s="91">
        <f t="shared" si="1060"/>
        <v>0</v>
      </c>
      <c r="JM94" s="91">
        <f t="shared" si="1061"/>
        <v>0</v>
      </c>
      <c r="JN94" s="91">
        <f t="shared" si="1062"/>
        <v>0</v>
      </c>
      <c r="KC94" s="91">
        <f t="shared" si="1063"/>
        <v>0</v>
      </c>
      <c r="KD94" s="91">
        <f t="shared" si="1064"/>
        <v>0</v>
      </c>
      <c r="KS94" s="91">
        <f t="shared" si="1065"/>
        <v>0</v>
      </c>
      <c r="KT94" s="91">
        <f t="shared" si="1066"/>
        <v>0</v>
      </c>
      <c r="LI94" s="91">
        <f t="shared" si="1067"/>
        <v>0</v>
      </c>
      <c r="LJ94" s="91">
        <f t="shared" si="1068"/>
        <v>0</v>
      </c>
      <c r="LQ94" s="98">
        <v>47</v>
      </c>
      <c r="LR94" s="98">
        <v>2820</v>
      </c>
      <c r="LY94" s="91">
        <f t="shared" si="1069"/>
        <v>47</v>
      </c>
      <c r="LZ94" s="91">
        <f t="shared" si="1070"/>
        <v>2820</v>
      </c>
      <c r="MO94" s="91">
        <f t="shared" si="1071"/>
        <v>0</v>
      </c>
      <c r="MP94" s="91">
        <f t="shared" si="1072"/>
        <v>0</v>
      </c>
      <c r="NE94" s="91">
        <f t="shared" si="1073"/>
        <v>0</v>
      </c>
      <c r="NF94" s="91">
        <f t="shared" si="1074"/>
        <v>0</v>
      </c>
      <c r="NU94" s="91">
        <f t="shared" si="1075"/>
        <v>0</v>
      </c>
      <c r="NV94" s="91">
        <f t="shared" si="1076"/>
        <v>0</v>
      </c>
      <c r="OK94" s="91">
        <f t="shared" si="1077"/>
        <v>0</v>
      </c>
      <c r="OL94" s="91">
        <f t="shared" si="1078"/>
        <v>0</v>
      </c>
      <c r="OM94" s="103"/>
      <c r="PA94" s="91">
        <f t="shared" si="1079"/>
        <v>0</v>
      </c>
      <c r="PB94" s="91">
        <f t="shared" si="1080"/>
        <v>0</v>
      </c>
      <c r="PI94" s="98">
        <v>1330</v>
      </c>
      <c r="PJ94" s="98">
        <v>39900</v>
      </c>
      <c r="PQ94" s="91">
        <f t="shared" si="1081"/>
        <v>1330</v>
      </c>
      <c r="PR94" s="91">
        <f t="shared" si="1082"/>
        <v>39900</v>
      </c>
      <c r="PY94" s="98">
        <v>2080</v>
      </c>
      <c r="PZ94" s="98">
        <v>93600</v>
      </c>
      <c r="QG94" s="91">
        <f t="shared" si="1083"/>
        <v>2080</v>
      </c>
      <c r="QH94" s="91">
        <f t="shared" si="1084"/>
        <v>93600</v>
      </c>
      <c r="QO94" s="98">
        <v>5000</v>
      </c>
      <c r="QP94" s="98">
        <v>175000</v>
      </c>
      <c r="QW94" s="91">
        <f t="shared" si="1085"/>
        <v>5000</v>
      </c>
      <c r="QX94" s="91">
        <f t="shared" si="1086"/>
        <v>175000</v>
      </c>
      <c r="RM94" s="91">
        <f t="shared" si="1087"/>
        <v>0</v>
      </c>
      <c r="RN94" s="91">
        <f t="shared" si="1088"/>
        <v>0</v>
      </c>
      <c r="SC94" s="91">
        <f t="shared" si="1089"/>
        <v>0</v>
      </c>
      <c r="SD94" s="91">
        <f t="shared" si="1090"/>
        <v>0</v>
      </c>
      <c r="SS94" s="91">
        <f t="shared" si="1091"/>
        <v>0</v>
      </c>
      <c r="ST94" s="91">
        <f t="shared" si="1092"/>
        <v>0</v>
      </c>
      <c r="TI94" s="91">
        <f t="shared" si="1093"/>
        <v>0</v>
      </c>
      <c r="TJ94" s="91">
        <f t="shared" si="1094"/>
        <v>0</v>
      </c>
      <c r="TY94" s="91">
        <f t="shared" si="1095"/>
        <v>0</v>
      </c>
      <c r="TZ94" s="91">
        <f t="shared" si="1096"/>
        <v>0</v>
      </c>
      <c r="UO94" s="91">
        <f t="shared" si="1097"/>
        <v>0</v>
      </c>
      <c r="UP94" s="91">
        <f t="shared" si="1098"/>
        <v>0</v>
      </c>
      <c r="VE94" s="91">
        <f t="shared" si="1099"/>
        <v>0</v>
      </c>
      <c r="VF94" s="91">
        <f t="shared" si="1100"/>
        <v>0</v>
      </c>
      <c r="VU94" s="91">
        <f t="shared" si="1101"/>
        <v>0</v>
      </c>
      <c r="VV94" s="91">
        <f t="shared" si="1102"/>
        <v>0</v>
      </c>
      <c r="WK94" s="91">
        <f t="shared" si="1103"/>
        <v>0</v>
      </c>
      <c r="WL94" s="91">
        <f t="shared" si="1104"/>
        <v>0</v>
      </c>
      <c r="WM94" s="89"/>
      <c r="WN94" s="87">
        <f t="shared" si="1105"/>
        <v>0</v>
      </c>
      <c r="WO94" s="87">
        <f t="shared" si="1106"/>
        <v>0</v>
      </c>
      <c r="WP94" s="87">
        <f t="shared" si="1107"/>
        <v>0</v>
      </c>
      <c r="WQ94" s="87">
        <f t="shared" si="1108"/>
        <v>0</v>
      </c>
      <c r="WR94" s="87">
        <f t="shared" si="1109"/>
        <v>0</v>
      </c>
      <c r="WS94" s="87">
        <f t="shared" si="1110"/>
        <v>0</v>
      </c>
      <c r="WT94" s="87">
        <f t="shared" si="1111"/>
        <v>12482</v>
      </c>
      <c r="WU94" s="87">
        <f t="shared" si="1112"/>
        <v>532870</v>
      </c>
      <c r="WV94" s="87">
        <f t="shared" si="1113"/>
        <v>0</v>
      </c>
      <c r="WW94" s="87">
        <f t="shared" si="1114"/>
        <v>0</v>
      </c>
      <c r="WX94" s="87">
        <f t="shared" si="1115"/>
        <v>0</v>
      </c>
      <c r="WY94" s="87">
        <f t="shared" si="1116"/>
        <v>0</v>
      </c>
      <c r="WZ94" s="87">
        <f t="shared" si="1117"/>
        <v>0</v>
      </c>
      <c r="XA94" s="87">
        <f t="shared" si="1118"/>
        <v>0</v>
      </c>
      <c r="XB94" s="92">
        <f t="shared" si="1119"/>
        <v>12482</v>
      </c>
      <c r="XC94" s="92">
        <f t="shared" si="1120"/>
        <v>532870</v>
      </c>
      <c r="XD94" s="89"/>
      <c r="XE94" s="92">
        <f t="shared" si="1125"/>
        <v>21121</v>
      </c>
      <c r="XF94" s="92">
        <f t="shared" si="1126"/>
        <v>782795</v>
      </c>
      <c r="XG94" s="89"/>
      <c r="XH94" s="92"/>
      <c r="XI94" s="92"/>
      <c r="XJ94" s="89"/>
      <c r="XK94" s="87"/>
      <c r="XL94" s="87"/>
      <c r="XM94" s="87"/>
      <c r="XN94" s="87"/>
      <c r="XO94" s="87"/>
      <c r="XP94" s="87"/>
      <c r="XQ94" s="87"/>
      <c r="XR94" s="92">
        <f t="shared" ca="1" si="1122"/>
        <v>0</v>
      </c>
      <c r="XS94" s="89"/>
      <c r="XT94" s="87"/>
      <c r="XU94" s="87"/>
      <c r="XV94" s="87"/>
      <c r="XW94" s="87"/>
      <c r="XX94" s="87"/>
      <c r="XY94" s="87"/>
      <c r="XZ94" s="87"/>
      <c r="YA94" s="92">
        <f t="shared" ca="1" si="1123"/>
        <v>0</v>
      </c>
      <c r="YB94" s="90"/>
      <c r="YC94" s="90"/>
      <c r="YD94" s="90"/>
      <c r="YE94" s="90"/>
      <c r="YF94" s="90"/>
      <c r="YG94" s="90"/>
      <c r="YH94" s="90"/>
      <c r="YI94" s="90"/>
      <c r="YJ94" s="90"/>
      <c r="YK94" s="90"/>
      <c r="YL94" s="90"/>
      <c r="YM94" s="90"/>
      <c r="YN94" s="90"/>
      <c r="YO94" s="90"/>
      <c r="YP94" s="90"/>
      <c r="YQ94" s="90"/>
      <c r="YR94" s="90"/>
      <c r="YS94" s="90"/>
      <c r="YT94" s="90"/>
      <c r="YU94" s="90"/>
      <c r="YV94" s="90"/>
      <c r="YW94" s="90"/>
      <c r="YX94" s="90"/>
      <c r="YY94" s="90"/>
      <c r="YZ94" s="90"/>
      <c r="ZA94" s="90"/>
      <c r="ZB94" s="90"/>
      <c r="ZC94" s="90"/>
      <c r="ZD94" s="90"/>
      <c r="ZE94" s="90"/>
      <c r="ZF94" s="90"/>
      <c r="ZG94" s="90"/>
      <c r="ZH94" s="90"/>
      <c r="ZI94" s="90"/>
      <c r="ZJ94" s="90"/>
      <c r="ZK94" s="90"/>
      <c r="ZL94" s="90"/>
      <c r="ZM94" s="90"/>
      <c r="ZN94" s="90"/>
      <c r="ZO94" s="90"/>
      <c r="ZP94" s="90"/>
      <c r="ZQ94" s="90"/>
      <c r="ZR94" s="90"/>
      <c r="ZS94" s="90"/>
      <c r="ZT94" s="90"/>
      <c r="ZU94" s="90"/>
      <c r="ZV94" s="90"/>
      <c r="ZW94" s="90"/>
      <c r="ZX94" s="90"/>
      <c r="ZY94" s="90"/>
      <c r="ZZ94" s="90"/>
      <c r="AAA94" s="90"/>
      <c r="AAB94" s="90"/>
      <c r="AAC94" s="90"/>
      <c r="AAD94" s="90"/>
      <c r="AAE94" s="90"/>
      <c r="AAF94" s="90"/>
      <c r="AAG94" s="90"/>
      <c r="AAH94" s="90"/>
      <c r="AAI94" s="90"/>
      <c r="AAJ94" s="90"/>
      <c r="AAK94" s="90"/>
      <c r="AAL94" s="90"/>
      <c r="AAM94" s="90"/>
      <c r="AAN94" s="90"/>
      <c r="AAO94" s="90"/>
      <c r="AAP94" s="90"/>
      <c r="AAQ94" s="90"/>
      <c r="AAR94" s="90"/>
      <c r="AAS94" s="90"/>
      <c r="AAT94" s="90"/>
      <c r="AAU94" s="90"/>
      <c r="AAV94" s="90"/>
      <c r="AAW94" s="90"/>
      <c r="AAX94" s="90"/>
      <c r="AAY94" s="90"/>
      <c r="AAZ94" s="90"/>
      <c r="ABA94" s="90"/>
      <c r="ABB94" s="90"/>
      <c r="ABC94" s="90"/>
      <c r="ABD94" s="90"/>
      <c r="ABE94" s="90"/>
      <c r="ABF94" s="90"/>
      <c r="ABG94" s="90"/>
      <c r="ABH94" s="90"/>
      <c r="ABI94" s="90"/>
      <c r="ABJ94" s="90"/>
      <c r="ABK94" s="90"/>
      <c r="ABL94" s="90"/>
      <c r="ABM94" s="90"/>
      <c r="ABN94" s="90"/>
      <c r="ABO94" s="90"/>
      <c r="ABP94" s="90"/>
      <c r="ABQ94" s="90"/>
      <c r="ABR94" s="90"/>
      <c r="ABS94" s="90"/>
      <c r="ABT94" s="90"/>
      <c r="ABU94" s="90"/>
      <c r="ABV94" s="90"/>
      <c r="ABW94" s="90"/>
      <c r="ABX94" s="90"/>
      <c r="ABY94" s="90"/>
      <c r="ABZ94" s="90"/>
      <c r="ACA94" s="90"/>
      <c r="ACB94" s="90"/>
      <c r="ACC94" s="90"/>
      <c r="ACD94" s="90"/>
      <c r="ACE94" s="90"/>
      <c r="ACF94" s="90"/>
      <c r="ACG94" s="90"/>
      <c r="ACH94" s="90"/>
      <c r="ACI94" s="90"/>
      <c r="ACJ94" s="90"/>
      <c r="ACK94" s="90"/>
      <c r="ACL94" s="90"/>
      <c r="ACM94" s="90"/>
      <c r="ACN94" s="90"/>
      <c r="ACO94" s="90"/>
      <c r="ACP94" s="90"/>
      <c r="ACQ94" s="90"/>
      <c r="ACR94" s="90"/>
      <c r="ACS94" s="90"/>
      <c r="ACT94" s="90"/>
      <c r="ACU94" s="90"/>
      <c r="ACV94" s="90"/>
      <c r="ACW94" s="90"/>
      <c r="ACX94" s="90"/>
      <c r="ACY94" s="90"/>
      <c r="ACZ94" s="90"/>
      <c r="ADA94" s="90"/>
      <c r="ADB94" s="90"/>
      <c r="ADC94" s="90"/>
      <c r="ADD94" s="90"/>
      <c r="ADE94" s="90"/>
      <c r="ADF94" s="90"/>
      <c r="ADG94" s="90"/>
      <c r="ADH94" s="90"/>
      <c r="ADI94" s="90"/>
      <c r="ADJ94" s="90"/>
      <c r="ADK94" s="90"/>
      <c r="ADL94" s="90"/>
      <c r="ADM94" s="90"/>
      <c r="ADN94" s="90"/>
      <c r="ADO94" s="90"/>
      <c r="ADP94" s="90"/>
      <c r="ADQ94" s="90"/>
      <c r="ADR94" s="90"/>
      <c r="ADS94" s="90"/>
      <c r="ADT94" s="90"/>
      <c r="ADU94" s="90"/>
      <c r="ADV94" s="90"/>
      <c r="ADW94" s="90"/>
      <c r="ADX94" s="90"/>
      <c r="ADY94" s="90"/>
      <c r="ADZ94" s="90"/>
      <c r="AEA94" s="90"/>
      <c r="AEB94" s="90"/>
      <c r="AEC94" s="90"/>
      <c r="AED94" s="90"/>
      <c r="AEE94" s="90"/>
      <c r="AEF94" s="90"/>
      <c r="AEG94" s="90"/>
      <c r="AEH94" s="90"/>
      <c r="AEI94" s="90"/>
      <c r="AEJ94" s="90"/>
      <c r="AEK94" s="90"/>
      <c r="AEL94" s="90"/>
      <c r="AEM94" s="90"/>
      <c r="AEN94" s="90"/>
      <c r="AEO94" s="90"/>
      <c r="AEP94" s="90"/>
      <c r="AEQ94" s="90"/>
      <c r="AER94" s="90"/>
      <c r="AES94" s="90"/>
      <c r="AET94" s="90"/>
      <c r="AEU94" s="90"/>
      <c r="AEV94" s="90"/>
      <c r="AEW94" s="90"/>
      <c r="AEX94" s="90"/>
      <c r="AEY94" s="90"/>
      <c r="AEZ94" s="90"/>
      <c r="AFA94" s="90"/>
      <c r="AFB94" s="90"/>
      <c r="AFC94" s="90"/>
      <c r="AFD94" s="90"/>
      <c r="AFE94" s="90"/>
      <c r="AFF94" s="90"/>
      <c r="AFG94" s="90"/>
      <c r="AFH94" s="90"/>
      <c r="AFI94" s="90"/>
      <c r="AFJ94" s="90"/>
      <c r="AFK94" s="90"/>
      <c r="AFL94" s="90"/>
      <c r="AFM94" s="90"/>
      <c r="AFN94" s="90"/>
      <c r="AFO94" s="90"/>
      <c r="AFP94" s="90"/>
      <c r="AFQ94" s="90"/>
      <c r="AFR94" s="90"/>
      <c r="AFS94" s="90"/>
      <c r="AFT94" s="90"/>
      <c r="AFU94" s="90"/>
      <c r="AFV94" s="90"/>
      <c r="AFW94" s="90"/>
      <c r="AFX94" s="90"/>
      <c r="AFY94" s="90"/>
      <c r="AFZ94" s="90"/>
      <c r="AGA94" s="90"/>
      <c r="AGB94" s="90"/>
      <c r="AGC94" s="90"/>
      <c r="AGD94" s="90"/>
      <c r="AGE94" s="90"/>
      <c r="AGF94" s="90"/>
      <c r="AGG94" s="90"/>
      <c r="AGH94" s="90"/>
      <c r="AGI94" s="90"/>
      <c r="AGJ94" s="90"/>
      <c r="AGK94" s="90"/>
      <c r="AGL94" s="90"/>
      <c r="AGM94" s="90"/>
      <c r="AGN94" s="90"/>
      <c r="AGO94" s="90"/>
      <c r="AGP94" s="90"/>
      <c r="AGQ94" s="90"/>
      <c r="AGR94" s="90"/>
      <c r="AGS94" s="90"/>
      <c r="AGT94" s="90"/>
      <c r="AGU94" s="90"/>
      <c r="AGV94" s="90"/>
      <c r="AGW94" s="90"/>
      <c r="AGX94" s="90"/>
      <c r="AGY94" s="90"/>
      <c r="AGZ94" s="90"/>
      <c r="AHA94" s="90"/>
      <c r="AHB94" s="90"/>
      <c r="AHC94" s="90"/>
      <c r="AHD94" s="90"/>
      <c r="AHE94" s="90"/>
      <c r="AHF94" s="90"/>
      <c r="AHG94" s="90"/>
      <c r="AHH94" s="90"/>
      <c r="AHI94" s="90"/>
      <c r="AHJ94" s="90"/>
      <c r="AHK94" s="90"/>
      <c r="AHL94" s="90"/>
      <c r="AHM94" s="90"/>
      <c r="AHN94" s="90"/>
      <c r="AHO94" s="90"/>
      <c r="AHP94" s="90"/>
      <c r="AHQ94" s="90"/>
      <c r="AHR94" s="90"/>
      <c r="AHS94" s="90"/>
      <c r="AHT94" s="90"/>
      <c r="AHU94" s="90"/>
      <c r="AHV94" s="90"/>
      <c r="AHW94" s="90"/>
      <c r="AHX94" s="90"/>
      <c r="AHY94" s="90"/>
      <c r="AHZ94" s="90"/>
      <c r="AIA94" s="90"/>
      <c r="AIB94" s="90"/>
      <c r="AIC94" s="90"/>
      <c r="AID94" s="90"/>
      <c r="AIE94" s="90"/>
      <c r="AIF94" s="90"/>
      <c r="AIG94" s="90"/>
      <c r="AIH94" s="90"/>
      <c r="AII94" s="90"/>
      <c r="AIJ94" s="90"/>
      <c r="AIK94" s="90"/>
      <c r="AIL94" s="90"/>
      <c r="AIM94" s="90"/>
      <c r="AIN94" s="90"/>
      <c r="AIO94" s="90"/>
      <c r="AIP94" s="90"/>
      <c r="AIQ94" s="90"/>
      <c r="AIR94" s="90"/>
      <c r="AIS94" s="90"/>
      <c r="AIT94" s="90"/>
      <c r="AIU94" s="90"/>
      <c r="AIV94" s="90"/>
      <c r="AIW94" s="90"/>
      <c r="AIX94" s="90"/>
      <c r="AIY94" s="90"/>
      <c r="AIZ94" s="90"/>
      <c r="AJA94" s="90"/>
      <c r="AJB94" s="90"/>
      <c r="AJC94" s="90"/>
      <c r="AJD94" s="90"/>
      <c r="AJE94" s="90"/>
      <c r="AJF94" s="90"/>
      <c r="AJG94" s="90"/>
      <c r="AJH94" s="90"/>
      <c r="AJI94" s="90"/>
      <c r="AJJ94" s="90"/>
      <c r="AJK94" s="90"/>
      <c r="AJL94" s="90"/>
      <c r="AJM94" s="90"/>
      <c r="AJN94" s="90"/>
      <c r="AJO94" s="90"/>
      <c r="AJP94" s="90"/>
      <c r="AJQ94" s="90"/>
      <c r="AJR94" s="90"/>
      <c r="AJS94" s="90"/>
      <c r="AJT94" s="90"/>
      <c r="AJU94" s="90"/>
      <c r="AJV94" s="90"/>
      <c r="AJW94" s="90"/>
      <c r="AJX94" s="90"/>
      <c r="AJY94" s="90"/>
      <c r="AJZ94" s="90"/>
      <c r="AKA94" s="90"/>
      <c r="AKB94" s="90"/>
      <c r="AKC94" s="90"/>
      <c r="AKD94" s="90"/>
      <c r="AKE94" s="90"/>
      <c r="AKF94" s="90"/>
      <c r="AKG94" s="90"/>
      <c r="AKH94" s="90"/>
      <c r="AKI94" s="90"/>
      <c r="AKJ94" s="90"/>
      <c r="AKK94" s="90"/>
      <c r="AKL94" s="90"/>
      <c r="AKM94" s="90"/>
      <c r="AKN94" s="90"/>
      <c r="AKO94" s="90"/>
      <c r="AKP94" s="90"/>
      <c r="AKQ94" s="90"/>
      <c r="AKR94" s="90"/>
      <c r="AKS94" s="90"/>
      <c r="AKT94" s="90"/>
      <c r="AKU94" s="90"/>
      <c r="AKV94" s="90"/>
      <c r="AKW94" s="90"/>
      <c r="AKX94" s="90"/>
      <c r="AKY94" s="90"/>
      <c r="AKZ94" s="90"/>
      <c r="ALA94" s="90"/>
      <c r="ALB94" s="90"/>
      <c r="ALC94" s="90"/>
      <c r="ALD94" s="90"/>
      <c r="ALE94" s="90"/>
      <c r="ALF94" s="90"/>
      <c r="ALG94" s="90"/>
      <c r="ALH94" s="90"/>
      <c r="ALI94" s="90"/>
      <c r="ALJ94" s="90"/>
      <c r="ALK94" s="90"/>
      <c r="ALL94" s="90"/>
      <c r="ALM94" s="90"/>
      <c r="ALN94" s="90"/>
      <c r="ALO94" s="90"/>
      <c r="ALP94" s="90"/>
      <c r="ALQ94" s="90"/>
      <c r="ALR94" s="90"/>
      <c r="ALS94" s="90"/>
      <c r="ALT94" s="90"/>
      <c r="ALU94" s="90"/>
      <c r="ALV94" s="90"/>
      <c r="ALW94" s="90"/>
      <c r="ALX94" s="90"/>
      <c r="ALY94" s="90"/>
      <c r="ALZ94" s="90"/>
      <c r="AMA94" s="90"/>
      <c r="AMB94" s="90"/>
      <c r="AMC94" s="90"/>
    </row>
    <row r="95" spans="1:1017">
      <c r="A95" s="98" t="s">
        <v>47</v>
      </c>
      <c r="B95" s="90" t="str">
        <f t="shared" si="1028"/>
        <v xml:space="preserve">Gracilaria verrucosa </v>
      </c>
      <c r="Q95" s="91">
        <f t="shared" si="1029"/>
        <v>0</v>
      </c>
      <c r="R95" s="91">
        <f t="shared" si="1030"/>
        <v>0</v>
      </c>
      <c r="AG95" s="91">
        <f t="shared" si="1031"/>
        <v>0</v>
      </c>
      <c r="AH95" s="91">
        <f t="shared" si="1032"/>
        <v>0</v>
      </c>
      <c r="AW95" s="91">
        <f t="shared" si="1033"/>
        <v>0</v>
      </c>
      <c r="AX95" s="91">
        <f t="shared" si="1034"/>
        <v>0</v>
      </c>
      <c r="BM95" s="91">
        <f t="shared" si="1035"/>
        <v>0</v>
      </c>
      <c r="BN95" s="91">
        <f t="shared" si="1036"/>
        <v>0</v>
      </c>
      <c r="CC95" s="91">
        <f t="shared" si="1037"/>
        <v>0</v>
      </c>
      <c r="CD95" s="91">
        <f t="shared" si="1038"/>
        <v>0</v>
      </c>
      <c r="CG95" s="98">
        <v>210627</v>
      </c>
      <c r="CH95" s="98">
        <v>631881</v>
      </c>
      <c r="CS95" s="91">
        <f t="shared" si="1039"/>
        <v>210627</v>
      </c>
      <c r="CT95" s="91">
        <f t="shared" si="1040"/>
        <v>631881</v>
      </c>
      <c r="DI95" s="91">
        <f t="shared" si="1041"/>
        <v>0</v>
      </c>
      <c r="DJ95" s="91">
        <f t="shared" si="1042"/>
        <v>0</v>
      </c>
      <c r="DY95" s="91">
        <f t="shared" si="1043"/>
        <v>0</v>
      </c>
      <c r="DZ95" s="91">
        <f t="shared" si="1044"/>
        <v>0</v>
      </c>
      <c r="EO95" s="91">
        <f t="shared" si="1045"/>
        <v>0</v>
      </c>
      <c r="EP95" s="91">
        <f t="shared" si="1046"/>
        <v>0</v>
      </c>
      <c r="FE95" s="91">
        <f t="shared" si="1047"/>
        <v>0</v>
      </c>
      <c r="FF95" s="91">
        <f t="shared" si="1048"/>
        <v>0</v>
      </c>
      <c r="FU95" s="91">
        <f t="shared" si="1049"/>
        <v>0</v>
      </c>
      <c r="FV95" s="91">
        <f t="shared" si="1050"/>
        <v>0</v>
      </c>
      <c r="GK95" s="91">
        <f t="shared" si="1051"/>
        <v>0</v>
      </c>
      <c r="GL95" s="91">
        <f t="shared" si="1052"/>
        <v>0</v>
      </c>
      <c r="HA95" s="91">
        <f t="shared" si="1053"/>
        <v>0</v>
      </c>
      <c r="HB95" s="91">
        <f t="shared" si="1054"/>
        <v>0</v>
      </c>
      <c r="HQ95" s="91">
        <f t="shared" si="1055"/>
        <v>0</v>
      </c>
      <c r="HR95" s="91">
        <f t="shared" si="1056"/>
        <v>0</v>
      </c>
      <c r="IG95" s="91">
        <f t="shared" si="1057"/>
        <v>0</v>
      </c>
      <c r="IH95" s="91">
        <f t="shared" si="1058"/>
        <v>0</v>
      </c>
      <c r="IW95" s="91">
        <f t="shared" si="1059"/>
        <v>0</v>
      </c>
      <c r="IX95" s="91">
        <f t="shared" si="1060"/>
        <v>0</v>
      </c>
      <c r="JM95" s="91">
        <f t="shared" si="1061"/>
        <v>0</v>
      </c>
      <c r="JN95" s="91">
        <f t="shared" si="1062"/>
        <v>0</v>
      </c>
      <c r="KC95" s="91">
        <f t="shared" si="1063"/>
        <v>0</v>
      </c>
      <c r="KD95" s="91">
        <f t="shared" si="1064"/>
        <v>0</v>
      </c>
      <c r="KS95" s="91">
        <f t="shared" si="1065"/>
        <v>0</v>
      </c>
      <c r="KT95" s="91">
        <f t="shared" si="1066"/>
        <v>0</v>
      </c>
      <c r="KW95" s="98">
        <v>90370.2</v>
      </c>
      <c r="KX95" s="98">
        <v>135555</v>
      </c>
      <c r="LI95" s="91">
        <f t="shared" si="1067"/>
        <v>90370.2</v>
      </c>
      <c r="LJ95" s="91">
        <f t="shared" si="1068"/>
        <v>135555</v>
      </c>
      <c r="LY95" s="91">
        <f t="shared" si="1069"/>
        <v>0</v>
      </c>
      <c r="LZ95" s="91">
        <f t="shared" si="1070"/>
        <v>0</v>
      </c>
      <c r="MO95" s="91">
        <f t="shared" si="1071"/>
        <v>0</v>
      </c>
      <c r="MP95" s="91">
        <f t="shared" si="1072"/>
        <v>0</v>
      </c>
      <c r="NE95" s="91">
        <f t="shared" si="1073"/>
        <v>0</v>
      </c>
      <c r="NF95" s="91">
        <f t="shared" si="1074"/>
        <v>0</v>
      </c>
      <c r="NI95" s="98">
        <v>303100</v>
      </c>
      <c r="NJ95" s="98">
        <v>697130</v>
      </c>
      <c r="NU95" s="91">
        <f t="shared" si="1075"/>
        <v>303100</v>
      </c>
      <c r="NV95" s="91">
        <f t="shared" si="1076"/>
        <v>697130</v>
      </c>
      <c r="NY95" s="98">
        <v>14784</v>
      </c>
      <c r="NZ95" s="98">
        <v>44352</v>
      </c>
      <c r="OK95" s="91">
        <f t="shared" si="1077"/>
        <v>14784</v>
      </c>
      <c r="OL95" s="91">
        <f t="shared" si="1078"/>
        <v>44352</v>
      </c>
      <c r="PA95" s="91">
        <f t="shared" si="1079"/>
        <v>0</v>
      </c>
      <c r="PB95" s="91">
        <f t="shared" si="1080"/>
        <v>0</v>
      </c>
      <c r="PQ95" s="91">
        <f t="shared" si="1081"/>
        <v>0</v>
      </c>
      <c r="PR95" s="91">
        <f t="shared" si="1082"/>
        <v>0</v>
      </c>
      <c r="QG95" s="91">
        <f t="shared" si="1083"/>
        <v>0</v>
      </c>
      <c r="QH95" s="91">
        <f t="shared" si="1084"/>
        <v>0</v>
      </c>
      <c r="QW95" s="91">
        <f t="shared" si="1085"/>
        <v>0</v>
      </c>
      <c r="QX95" s="91">
        <f t="shared" si="1086"/>
        <v>0</v>
      </c>
      <c r="RM95" s="91">
        <f t="shared" si="1087"/>
        <v>0</v>
      </c>
      <c r="RN95" s="91">
        <f t="shared" si="1088"/>
        <v>0</v>
      </c>
      <c r="SC95" s="91">
        <f t="shared" si="1089"/>
        <v>0</v>
      </c>
      <c r="SD95" s="91">
        <f t="shared" si="1090"/>
        <v>0</v>
      </c>
      <c r="SS95" s="91">
        <f t="shared" si="1091"/>
        <v>0</v>
      </c>
      <c r="ST95" s="91">
        <f t="shared" si="1092"/>
        <v>0</v>
      </c>
      <c r="TI95" s="91">
        <f t="shared" si="1093"/>
        <v>0</v>
      </c>
      <c r="TJ95" s="91">
        <f t="shared" si="1094"/>
        <v>0</v>
      </c>
      <c r="TY95" s="91">
        <f t="shared" si="1095"/>
        <v>0</v>
      </c>
      <c r="TZ95" s="91">
        <f t="shared" si="1096"/>
        <v>0</v>
      </c>
      <c r="UO95" s="91">
        <f t="shared" si="1097"/>
        <v>0</v>
      </c>
      <c r="UP95" s="91">
        <f t="shared" si="1098"/>
        <v>0</v>
      </c>
      <c r="US95" s="98">
        <v>108000</v>
      </c>
      <c r="UT95" s="98">
        <v>86400</v>
      </c>
      <c r="VE95" s="91">
        <f t="shared" si="1099"/>
        <v>108000</v>
      </c>
      <c r="VF95" s="91">
        <f t="shared" si="1100"/>
        <v>86400</v>
      </c>
      <c r="VU95" s="91">
        <f t="shared" si="1101"/>
        <v>0</v>
      </c>
      <c r="VV95" s="91">
        <f t="shared" si="1102"/>
        <v>0</v>
      </c>
      <c r="WK95" s="91">
        <f t="shared" si="1103"/>
        <v>0</v>
      </c>
      <c r="WL95" s="91">
        <f t="shared" si="1104"/>
        <v>0</v>
      </c>
      <c r="WM95" s="89"/>
      <c r="WN95" s="87">
        <f t="shared" si="1105"/>
        <v>0</v>
      </c>
      <c r="WO95" s="87">
        <f t="shared" si="1106"/>
        <v>0</v>
      </c>
      <c r="WP95" s="87">
        <f t="shared" si="1107"/>
        <v>726881.2</v>
      </c>
      <c r="WQ95" s="87">
        <f t="shared" si="1108"/>
        <v>1595318</v>
      </c>
      <c r="WR95" s="87">
        <f t="shared" si="1109"/>
        <v>0</v>
      </c>
      <c r="WS95" s="87">
        <f t="shared" si="1110"/>
        <v>0</v>
      </c>
      <c r="WT95" s="87">
        <f t="shared" si="1111"/>
        <v>0</v>
      </c>
      <c r="WU95" s="87">
        <f t="shared" si="1112"/>
        <v>0</v>
      </c>
      <c r="WV95" s="87">
        <f t="shared" si="1113"/>
        <v>0</v>
      </c>
      <c r="WW95" s="87">
        <f t="shared" si="1114"/>
        <v>0</v>
      </c>
      <c r="WX95" s="87">
        <f t="shared" si="1115"/>
        <v>0</v>
      </c>
      <c r="WY95" s="87">
        <f t="shared" si="1116"/>
        <v>0</v>
      </c>
      <c r="WZ95" s="87">
        <f t="shared" si="1117"/>
        <v>0</v>
      </c>
      <c r="XA95" s="87">
        <f t="shared" si="1118"/>
        <v>0</v>
      </c>
      <c r="XB95" s="92">
        <f t="shared" si="1119"/>
        <v>726881.2</v>
      </c>
      <c r="XC95" s="92">
        <f t="shared" si="1120"/>
        <v>1595318</v>
      </c>
      <c r="XD95" s="89"/>
      <c r="XE95" s="92">
        <f t="shared" si="1125"/>
        <v>8653710.06125235</v>
      </c>
      <c r="XF95" s="92">
        <f t="shared" si="1126"/>
        <v>18746848.078130875</v>
      </c>
      <c r="XG95" s="89"/>
      <c r="XH95" s="92"/>
      <c r="XI95" s="92"/>
      <c r="XJ95" s="89"/>
      <c r="XK95" s="87"/>
      <c r="XL95" s="87"/>
      <c r="XM95" s="87"/>
      <c r="XN95" s="87"/>
      <c r="XO95" s="87"/>
      <c r="XP95" s="87"/>
      <c r="XQ95" s="87"/>
      <c r="XR95" s="92">
        <f t="shared" ca="1" si="1122"/>
        <v>0</v>
      </c>
      <c r="XS95" s="89"/>
      <c r="XT95" s="87"/>
      <c r="XU95" s="87"/>
      <c r="XV95" s="87"/>
      <c r="XW95" s="87"/>
      <c r="XX95" s="87"/>
      <c r="XY95" s="87"/>
      <c r="XZ95" s="87"/>
      <c r="YA95" s="92">
        <f t="shared" ca="1" si="1123"/>
        <v>0</v>
      </c>
      <c r="YB95" s="90"/>
      <c r="YC95" s="90"/>
      <c r="YD95" s="90"/>
      <c r="YE95" s="90"/>
      <c r="YF95" s="90"/>
      <c r="YG95" s="90"/>
      <c r="YH95" s="90"/>
      <c r="YI95" s="90"/>
      <c r="YJ95" s="90"/>
      <c r="YK95" s="90"/>
      <c r="YL95" s="90"/>
      <c r="YM95" s="90"/>
      <c r="YN95" s="90"/>
      <c r="YO95" s="90"/>
      <c r="YP95" s="90"/>
      <c r="YQ95" s="90"/>
      <c r="YR95" s="90"/>
      <c r="YS95" s="90"/>
      <c r="YT95" s="90"/>
      <c r="YU95" s="90"/>
      <c r="YV95" s="90"/>
      <c r="YW95" s="90"/>
      <c r="YX95" s="90"/>
      <c r="YY95" s="90"/>
      <c r="YZ95" s="90"/>
      <c r="ZA95" s="90"/>
      <c r="ZB95" s="90"/>
      <c r="ZC95" s="90"/>
      <c r="ZD95" s="90"/>
      <c r="ZE95" s="90"/>
      <c r="ZF95" s="90"/>
      <c r="ZG95" s="90"/>
      <c r="ZH95" s="90"/>
      <c r="ZI95" s="90"/>
      <c r="ZJ95" s="90"/>
      <c r="ZK95" s="90"/>
      <c r="ZL95" s="90"/>
      <c r="ZM95" s="90"/>
      <c r="ZN95" s="90"/>
      <c r="ZO95" s="90"/>
      <c r="ZP95" s="90"/>
      <c r="ZQ95" s="90"/>
      <c r="ZR95" s="90"/>
      <c r="ZS95" s="90"/>
      <c r="ZT95" s="90"/>
      <c r="ZU95" s="90"/>
      <c r="ZV95" s="90"/>
      <c r="ZW95" s="90"/>
      <c r="ZX95" s="90"/>
      <c r="ZY95" s="90"/>
      <c r="ZZ95" s="90"/>
      <c r="AAA95" s="90"/>
      <c r="AAB95" s="90"/>
      <c r="AAC95" s="90"/>
      <c r="AAD95" s="90"/>
      <c r="AAE95" s="90"/>
      <c r="AAF95" s="90"/>
      <c r="AAG95" s="90"/>
      <c r="AAH95" s="90"/>
      <c r="AAI95" s="90"/>
      <c r="AAJ95" s="90"/>
      <c r="AAK95" s="90"/>
      <c r="AAL95" s="90"/>
      <c r="AAM95" s="90"/>
      <c r="AAN95" s="90"/>
      <c r="AAO95" s="90"/>
      <c r="AAP95" s="90"/>
      <c r="AAQ95" s="90"/>
      <c r="AAR95" s="90"/>
      <c r="AAS95" s="90"/>
      <c r="AAT95" s="90"/>
      <c r="AAU95" s="90"/>
      <c r="AAV95" s="90"/>
      <c r="AAW95" s="90"/>
      <c r="AAX95" s="90"/>
      <c r="AAY95" s="90"/>
      <c r="AAZ95" s="90"/>
      <c r="ABA95" s="90"/>
      <c r="ABB95" s="90"/>
      <c r="ABC95" s="90"/>
      <c r="ABD95" s="90"/>
      <c r="ABE95" s="90"/>
      <c r="ABF95" s="90"/>
      <c r="ABG95" s="90"/>
      <c r="ABH95" s="90"/>
      <c r="ABI95" s="90"/>
      <c r="ABJ95" s="90"/>
      <c r="ABK95" s="90"/>
      <c r="ABL95" s="90"/>
      <c r="ABM95" s="90"/>
      <c r="ABN95" s="90"/>
      <c r="ABO95" s="90"/>
      <c r="ABP95" s="90"/>
      <c r="ABQ95" s="90"/>
      <c r="ABR95" s="90"/>
      <c r="ABS95" s="90"/>
      <c r="ABT95" s="90"/>
      <c r="ABU95" s="90"/>
      <c r="ABV95" s="90"/>
      <c r="ABW95" s="90"/>
      <c r="ABX95" s="90"/>
      <c r="ABY95" s="90"/>
      <c r="ABZ95" s="90"/>
      <c r="ACA95" s="90"/>
      <c r="ACB95" s="90"/>
      <c r="ACC95" s="90"/>
      <c r="ACD95" s="90"/>
      <c r="ACE95" s="90"/>
      <c r="ACF95" s="90"/>
      <c r="ACG95" s="90"/>
      <c r="ACH95" s="90"/>
      <c r="ACI95" s="90"/>
      <c r="ACJ95" s="90"/>
      <c r="ACK95" s="90"/>
      <c r="ACL95" s="90"/>
      <c r="ACM95" s="90"/>
      <c r="ACN95" s="90"/>
      <c r="ACO95" s="90"/>
      <c r="ACP95" s="90"/>
      <c r="ACQ95" s="90"/>
      <c r="ACR95" s="90"/>
      <c r="ACS95" s="90"/>
      <c r="ACT95" s="90"/>
      <c r="ACU95" s="90"/>
      <c r="ACV95" s="90"/>
      <c r="ACW95" s="90"/>
      <c r="ACX95" s="90"/>
      <c r="ACY95" s="90"/>
      <c r="ACZ95" s="90"/>
      <c r="ADA95" s="90"/>
      <c r="ADB95" s="90"/>
      <c r="ADC95" s="90"/>
      <c r="ADD95" s="90"/>
      <c r="ADE95" s="90"/>
      <c r="ADF95" s="90"/>
      <c r="ADG95" s="90"/>
      <c r="ADH95" s="90"/>
      <c r="ADI95" s="90"/>
      <c r="ADJ95" s="90"/>
      <c r="ADK95" s="90"/>
      <c r="ADL95" s="90"/>
      <c r="ADM95" s="90"/>
      <c r="ADN95" s="90"/>
      <c r="ADO95" s="90"/>
      <c r="ADP95" s="90"/>
      <c r="ADQ95" s="90"/>
      <c r="ADR95" s="90"/>
      <c r="ADS95" s="90"/>
      <c r="ADT95" s="90"/>
      <c r="ADU95" s="90"/>
      <c r="ADV95" s="90"/>
      <c r="ADW95" s="90"/>
      <c r="ADX95" s="90"/>
      <c r="ADY95" s="90"/>
      <c r="ADZ95" s="90"/>
      <c r="AEA95" s="90"/>
      <c r="AEB95" s="90"/>
      <c r="AEC95" s="90"/>
      <c r="AED95" s="90"/>
      <c r="AEE95" s="90"/>
      <c r="AEF95" s="90"/>
      <c r="AEG95" s="90"/>
      <c r="AEH95" s="90"/>
      <c r="AEI95" s="90"/>
      <c r="AEJ95" s="90"/>
      <c r="AEK95" s="90"/>
      <c r="AEL95" s="90"/>
      <c r="AEM95" s="90"/>
      <c r="AEN95" s="90"/>
      <c r="AEO95" s="90"/>
      <c r="AEP95" s="90"/>
      <c r="AEQ95" s="90"/>
      <c r="AER95" s="90"/>
      <c r="AES95" s="90"/>
      <c r="AET95" s="90"/>
      <c r="AEU95" s="90"/>
      <c r="AEV95" s="90"/>
      <c r="AEW95" s="90"/>
      <c r="AEX95" s="90"/>
      <c r="AEY95" s="90"/>
      <c r="AEZ95" s="90"/>
      <c r="AFA95" s="90"/>
      <c r="AFB95" s="90"/>
      <c r="AFC95" s="90"/>
      <c r="AFD95" s="90"/>
      <c r="AFE95" s="90"/>
      <c r="AFF95" s="90"/>
      <c r="AFG95" s="90"/>
      <c r="AFH95" s="90"/>
      <c r="AFI95" s="90"/>
      <c r="AFJ95" s="90"/>
      <c r="AFK95" s="90"/>
      <c r="AFL95" s="90"/>
      <c r="AFM95" s="90"/>
      <c r="AFN95" s="90"/>
      <c r="AFO95" s="90"/>
      <c r="AFP95" s="90"/>
      <c r="AFQ95" s="90"/>
      <c r="AFR95" s="90"/>
      <c r="AFS95" s="90"/>
      <c r="AFT95" s="90"/>
      <c r="AFU95" s="90"/>
      <c r="AFV95" s="90"/>
      <c r="AFW95" s="90"/>
      <c r="AFX95" s="90"/>
      <c r="AFY95" s="90"/>
      <c r="AFZ95" s="90"/>
      <c r="AGA95" s="90"/>
      <c r="AGB95" s="90"/>
      <c r="AGC95" s="90"/>
      <c r="AGD95" s="90"/>
      <c r="AGE95" s="90"/>
      <c r="AGF95" s="90"/>
      <c r="AGG95" s="90"/>
      <c r="AGH95" s="90"/>
      <c r="AGI95" s="90"/>
      <c r="AGJ95" s="90"/>
      <c r="AGK95" s="90"/>
      <c r="AGL95" s="90"/>
      <c r="AGM95" s="90"/>
      <c r="AGN95" s="90"/>
      <c r="AGO95" s="90"/>
      <c r="AGP95" s="90"/>
      <c r="AGQ95" s="90"/>
      <c r="AGR95" s="90"/>
      <c r="AGS95" s="90"/>
      <c r="AGT95" s="90"/>
      <c r="AGU95" s="90"/>
      <c r="AGV95" s="90"/>
      <c r="AGW95" s="90"/>
      <c r="AGX95" s="90"/>
      <c r="AGY95" s="90"/>
      <c r="AGZ95" s="90"/>
      <c r="AHA95" s="90"/>
      <c r="AHB95" s="90"/>
      <c r="AHC95" s="90"/>
      <c r="AHD95" s="90"/>
      <c r="AHE95" s="90"/>
      <c r="AHF95" s="90"/>
      <c r="AHG95" s="90"/>
      <c r="AHH95" s="90"/>
      <c r="AHI95" s="90"/>
      <c r="AHJ95" s="90"/>
      <c r="AHK95" s="90"/>
      <c r="AHL95" s="90"/>
      <c r="AHM95" s="90"/>
      <c r="AHN95" s="90"/>
      <c r="AHO95" s="90"/>
      <c r="AHP95" s="90"/>
      <c r="AHQ95" s="90"/>
      <c r="AHR95" s="90"/>
      <c r="AHS95" s="90"/>
      <c r="AHT95" s="90"/>
      <c r="AHU95" s="90"/>
      <c r="AHV95" s="90"/>
      <c r="AHW95" s="90"/>
      <c r="AHX95" s="90"/>
      <c r="AHY95" s="90"/>
      <c r="AHZ95" s="90"/>
      <c r="AIA95" s="90"/>
      <c r="AIB95" s="90"/>
      <c r="AIC95" s="90"/>
      <c r="AID95" s="90"/>
      <c r="AIE95" s="90"/>
      <c r="AIF95" s="90"/>
      <c r="AIG95" s="90"/>
      <c r="AIH95" s="90"/>
      <c r="AII95" s="90"/>
      <c r="AIJ95" s="90"/>
      <c r="AIK95" s="90"/>
      <c r="AIL95" s="90"/>
      <c r="AIM95" s="90"/>
      <c r="AIN95" s="90"/>
      <c r="AIO95" s="90"/>
      <c r="AIP95" s="90"/>
      <c r="AIQ95" s="90"/>
      <c r="AIR95" s="90"/>
      <c r="AIS95" s="90"/>
      <c r="AIT95" s="90"/>
      <c r="AIU95" s="90"/>
      <c r="AIV95" s="90"/>
      <c r="AIW95" s="90"/>
      <c r="AIX95" s="90"/>
      <c r="AIY95" s="90"/>
      <c r="AIZ95" s="90"/>
      <c r="AJA95" s="90"/>
      <c r="AJB95" s="90"/>
      <c r="AJC95" s="90"/>
      <c r="AJD95" s="90"/>
      <c r="AJE95" s="90"/>
      <c r="AJF95" s="90"/>
      <c r="AJG95" s="90"/>
      <c r="AJH95" s="90"/>
      <c r="AJI95" s="90"/>
      <c r="AJJ95" s="90"/>
      <c r="AJK95" s="90"/>
      <c r="AJL95" s="90"/>
      <c r="AJM95" s="90"/>
      <c r="AJN95" s="90"/>
      <c r="AJO95" s="90"/>
      <c r="AJP95" s="90"/>
      <c r="AJQ95" s="90"/>
      <c r="AJR95" s="90"/>
      <c r="AJS95" s="90"/>
      <c r="AJT95" s="90"/>
      <c r="AJU95" s="90"/>
      <c r="AJV95" s="90"/>
      <c r="AJW95" s="90"/>
      <c r="AJX95" s="90"/>
      <c r="AJY95" s="90"/>
      <c r="AJZ95" s="90"/>
      <c r="AKA95" s="90"/>
      <c r="AKB95" s="90"/>
      <c r="AKC95" s="90"/>
      <c r="AKD95" s="90"/>
      <c r="AKE95" s="90"/>
      <c r="AKF95" s="90"/>
      <c r="AKG95" s="90"/>
      <c r="AKH95" s="90"/>
      <c r="AKI95" s="90"/>
      <c r="AKJ95" s="90"/>
      <c r="AKK95" s="90"/>
      <c r="AKL95" s="90"/>
      <c r="AKM95" s="90"/>
      <c r="AKN95" s="90"/>
      <c r="AKO95" s="90"/>
      <c r="AKP95" s="90"/>
      <c r="AKQ95" s="90"/>
      <c r="AKR95" s="90"/>
      <c r="AKS95" s="90"/>
      <c r="AKT95" s="90"/>
      <c r="AKU95" s="90"/>
      <c r="AKV95" s="90"/>
      <c r="AKW95" s="90"/>
      <c r="AKX95" s="90"/>
      <c r="AKY95" s="90"/>
      <c r="AKZ95" s="90"/>
      <c r="ALA95" s="90"/>
      <c r="ALB95" s="90"/>
      <c r="ALC95" s="90"/>
      <c r="ALD95" s="90"/>
      <c r="ALE95" s="90"/>
      <c r="ALF95" s="90"/>
      <c r="ALG95" s="90"/>
      <c r="ALH95" s="90"/>
      <c r="ALI95" s="90"/>
      <c r="ALJ95" s="90"/>
      <c r="ALK95" s="90"/>
      <c r="ALL95" s="90"/>
      <c r="ALM95" s="90"/>
      <c r="ALN95" s="90"/>
      <c r="ALO95" s="90"/>
      <c r="ALP95" s="90"/>
      <c r="ALQ95" s="90"/>
      <c r="ALR95" s="90"/>
      <c r="ALS95" s="90"/>
      <c r="ALT95" s="90"/>
      <c r="ALU95" s="90"/>
      <c r="ALV95" s="90"/>
      <c r="ALW95" s="90"/>
      <c r="ALX95" s="90"/>
      <c r="ALY95" s="90"/>
      <c r="ALZ95" s="90"/>
      <c r="AMA95" s="90"/>
      <c r="AMB95" s="90"/>
      <c r="AMC95" s="90"/>
    </row>
    <row r="96" spans="1:1017">
      <c r="A96" s="98" t="s">
        <v>47</v>
      </c>
      <c r="B96" s="90" t="str">
        <f t="shared" si="1028"/>
        <v xml:space="preserve">Gurame, Gurami </v>
      </c>
      <c r="Q96" s="91">
        <f t="shared" si="1029"/>
        <v>0</v>
      </c>
      <c r="R96" s="91">
        <f t="shared" si="1030"/>
        <v>0</v>
      </c>
      <c r="Y96" s="778">
        <v>13000</v>
      </c>
      <c r="Z96" s="778">
        <v>455000</v>
      </c>
      <c r="AG96" s="91">
        <f t="shared" si="1031"/>
        <v>13000</v>
      </c>
      <c r="AH96" s="91">
        <f t="shared" si="1032"/>
        <v>455000</v>
      </c>
      <c r="AO96" s="98">
        <v>567400</v>
      </c>
      <c r="AP96" s="98">
        <v>15887200</v>
      </c>
      <c r="AW96" s="91">
        <f t="shared" si="1033"/>
        <v>567400</v>
      </c>
      <c r="AX96" s="91">
        <f t="shared" si="1034"/>
        <v>15887200</v>
      </c>
      <c r="BE96" s="98">
        <v>7432</v>
      </c>
      <c r="BF96" s="98">
        <v>222960</v>
      </c>
      <c r="BM96" s="91">
        <f t="shared" si="1035"/>
        <v>7432</v>
      </c>
      <c r="BN96" s="91">
        <f t="shared" si="1036"/>
        <v>222960</v>
      </c>
      <c r="BU96" s="98">
        <v>4045</v>
      </c>
      <c r="BV96" s="98">
        <v>153710</v>
      </c>
      <c r="CC96" s="91">
        <f t="shared" si="1037"/>
        <v>4045</v>
      </c>
      <c r="CD96" s="91">
        <f t="shared" si="1038"/>
        <v>153710</v>
      </c>
      <c r="CK96" s="98">
        <v>180</v>
      </c>
      <c r="CL96" s="98">
        <v>3246.0245071199997</v>
      </c>
      <c r="CS96" s="91">
        <f t="shared" si="1039"/>
        <v>180</v>
      </c>
      <c r="CT96" s="91">
        <f t="shared" si="1040"/>
        <v>3246.0245071199997</v>
      </c>
      <c r="DA96" s="98">
        <v>244646</v>
      </c>
      <c r="DB96" s="98">
        <v>8073318</v>
      </c>
      <c r="DI96" s="91">
        <f t="shared" si="1041"/>
        <v>244646</v>
      </c>
      <c r="DJ96" s="91">
        <f t="shared" si="1042"/>
        <v>8073318</v>
      </c>
      <c r="DQ96" s="98">
        <v>38600</v>
      </c>
      <c r="DR96" s="98">
        <v>1158000</v>
      </c>
      <c r="DY96" s="91">
        <f t="shared" si="1043"/>
        <v>38600</v>
      </c>
      <c r="DZ96" s="91">
        <f t="shared" si="1044"/>
        <v>1158000</v>
      </c>
      <c r="EG96" s="98">
        <v>127000</v>
      </c>
      <c r="EH96" s="98">
        <v>3556000</v>
      </c>
      <c r="EO96" s="91">
        <f t="shared" si="1045"/>
        <v>127000</v>
      </c>
      <c r="EP96" s="91">
        <f t="shared" si="1046"/>
        <v>3556000</v>
      </c>
      <c r="FE96" s="91">
        <f t="shared" si="1047"/>
        <v>0</v>
      </c>
      <c r="FF96" s="91">
        <f t="shared" si="1048"/>
        <v>0</v>
      </c>
      <c r="FM96" s="98">
        <v>75600</v>
      </c>
      <c r="FN96" s="98">
        <v>2646000</v>
      </c>
      <c r="FU96" s="91">
        <f t="shared" si="1049"/>
        <v>75600</v>
      </c>
      <c r="FV96" s="91">
        <f t="shared" si="1050"/>
        <v>2646000</v>
      </c>
      <c r="GC96" s="98">
        <v>44100</v>
      </c>
      <c r="GD96" s="98">
        <v>1323000</v>
      </c>
      <c r="GK96" s="91">
        <f t="shared" si="1051"/>
        <v>44100</v>
      </c>
      <c r="GL96" s="91">
        <f t="shared" si="1052"/>
        <v>1323000</v>
      </c>
      <c r="GS96" s="98">
        <v>7500</v>
      </c>
      <c r="GT96" s="98">
        <v>217500</v>
      </c>
      <c r="HA96" s="91">
        <f t="shared" si="1053"/>
        <v>7500</v>
      </c>
      <c r="HB96" s="91">
        <f t="shared" si="1054"/>
        <v>217500</v>
      </c>
      <c r="HI96" s="98">
        <v>12000</v>
      </c>
      <c r="HJ96" s="98">
        <v>360000</v>
      </c>
      <c r="HQ96" s="91">
        <f t="shared" si="1055"/>
        <v>12000</v>
      </c>
      <c r="HR96" s="91">
        <f t="shared" si="1056"/>
        <v>360000</v>
      </c>
      <c r="HY96" s="98">
        <v>17240</v>
      </c>
      <c r="HZ96" s="98">
        <v>603400</v>
      </c>
      <c r="IG96" s="91">
        <f t="shared" si="1057"/>
        <v>17240</v>
      </c>
      <c r="IH96" s="91">
        <f t="shared" si="1058"/>
        <v>603400</v>
      </c>
      <c r="IO96" s="98">
        <v>93700</v>
      </c>
      <c r="IP96" s="98">
        <v>2623600</v>
      </c>
      <c r="IW96" s="91">
        <f t="shared" si="1059"/>
        <v>93700</v>
      </c>
      <c r="IX96" s="91">
        <f t="shared" si="1060"/>
        <v>2623600</v>
      </c>
      <c r="JE96" s="98">
        <v>15410</v>
      </c>
      <c r="JF96" s="98">
        <v>462300</v>
      </c>
      <c r="JM96" s="91">
        <f t="shared" si="1061"/>
        <v>15410</v>
      </c>
      <c r="JN96" s="91">
        <f t="shared" si="1062"/>
        <v>462300</v>
      </c>
      <c r="JU96" s="98">
        <v>225</v>
      </c>
      <c r="JV96" s="98">
        <v>7875</v>
      </c>
      <c r="KC96" s="91">
        <f t="shared" si="1063"/>
        <v>225</v>
      </c>
      <c r="KD96" s="91">
        <f t="shared" si="1064"/>
        <v>7875</v>
      </c>
      <c r="KK96" s="98">
        <v>189</v>
      </c>
      <c r="KL96" s="98">
        <v>9450</v>
      </c>
      <c r="KS96" s="91">
        <f t="shared" si="1065"/>
        <v>189</v>
      </c>
      <c r="KT96" s="91">
        <f t="shared" si="1066"/>
        <v>9450</v>
      </c>
      <c r="LA96" s="98">
        <v>16907.509999999998</v>
      </c>
      <c r="LB96" s="98">
        <v>591763</v>
      </c>
      <c r="LI96" s="91">
        <f t="shared" si="1067"/>
        <v>16907.509999999998</v>
      </c>
      <c r="LJ96" s="91">
        <f t="shared" si="1068"/>
        <v>591763</v>
      </c>
      <c r="LQ96" s="98">
        <v>29894</v>
      </c>
      <c r="LR96" s="98">
        <v>866926</v>
      </c>
      <c r="LY96" s="91">
        <f t="shared" si="1069"/>
        <v>29894</v>
      </c>
      <c r="LZ96" s="91">
        <f t="shared" si="1070"/>
        <v>866926</v>
      </c>
      <c r="MG96" s="98">
        <v>100</v>
      </c>
      <c r="MH96" s="98">
        <v>2700</v>
      </c>
      <c r="MO96" s="91">
        <f t="shared" si="1071"/>
        <v>100</v>
      </c>
      <c r="MP96" s="91">
        <f t="shared" si="1072"/>
        <v>2700</v>
      </c>
      <c r="NE96" s="91">
        <f t="shared" si="1073"/>
        <v>0</v>
      </c>
      <c r="NF96" s="91">
        <f t="shared" si="1074"/>
        <v>0</v>
      </c>
      <c r="NM96" s="98">
        <v>24900</v>
      </c>
      <c r="NN96" s="98">
        <v>697200</v>
      </c>
      <c r="NQ96" s="98">
        <v>700</v>
      </c>
      <c r="NR96" s="98">
        <v>19600</v>
      </c>
      <c r="NU96" s="91">
        <f t="shared" si="1075"/>
        <v>25600</v>
      </c>
      <c r="NV96" s="91">
        <f t="shared" si="1076"/>
        <v>716800</v>
      </c>
      <c r="OC96" s="98">
        <v>100</v>
      </c>
      <c r="OD96" s="98">
        <v>3000</v>
      </c>
      <c r="OK96" s="91">
        <f t="shared" si="1077"/>
        <v>100</v>
      </c>
      <c r="OL96" s="91">
        <f t="shared" si="1078"/>
        <v>3000</v>
      </c>
      <c r="OS96" s="98">
        <v>1934</v>
      </c>
      <c r="OT96" s="98">
        <v>98634</v>
      </c>
      <c r="PA96" s="91">
        <f t="shared" si="1079"/>
        <v>1934</v>
      </c>
      <c r="PB96" s="91">
        <f t="shared" si="1080"/>
        <v>98634</v>
      </c>
      <c r="PI96" s="98">
        <v>27775</v>
      </c>
      <c r="PJ96" s="98">
        <v>624938</v>
      </c>
      <c r="PQ96" s="91">
        <f t="shared" si="1081"/>
        <v>27775</v>
      </c>
      <c r="PR96" s="91">
        <f t="shared" si="1082"/>
        <v>624938</v>
      </c>
      <c r="PY96" s="98">
        <v>1880</v>
      </c>
      <c r="PZ96" s="98">
        <v>56400</v>
      </c>
      <c r="QC96" s="98">
        <v>3480</v>
      </c>
      <c r="QD96" s="98">
        <v>104400</v>
      </c>
      <c r="QG96" s="91">
        <f t="shared" si="1083"/>
        <v>5360</v>
      </c>
      <c r="QH96" s="91">
        <f t="shared" si="1084"/>
        <v>160800</v>
      </c>
      <c r="QO96" s="98">
        <v>1860000</v>
      </c>
      <c r="QP96" s="98">
        <v>42780000</v>
      </c>
      <c r="QW96" s="91">
        <f t="shared" si="1085"/>
        <v>1860000</v>
      </c>
      <c r="QX96" s="91">
        <f t="shared" si="1086"/>
        <v>42780000</v>
      </c>
      <c r="RM96" s="91">
        <f t="shared" si="1087"/>
        <v>0</v>
      </c>
      <c r="RN96" s="91">
        <f t="shared" si="1088"/>
        <v>0</v>
      </c>
      <c r="RU96" s="98">
        <v>5010</v>
      </c>
      <c r="RV96" s="98">
        <v>120240</v>
      </c>
      <c r="SC96" s="91">
        <f t="shared" si="1089"/>
        <v>5010</v>
      </c>
      <c r="SD96" s="91">
        <f t="shared" si="1090"/>
        <v>120240</v>
      </c>
      <c r="SS96" s="91">
        <f t="shared" si="1091"/>
        <v>0</v>
      </c>
      <c r="ST96" s="91">
        <f t="shared" si="1092"/>
        <v>0</v>
      </c>
      <c r="TA96" s="98">
        <v>7099.99</v>
      </c>
      <c r="TB96" s="98">
        <v>212999.69999999998</v>
      </c>
      <c r="TI96" s="91">
        <f t="shared" si="1093"/>
        <v>7099.99</v>
      </c>
      <c r="TJ96" s="91">
        <f t="shared" si="1094"/>
        <v>212999.69999999998</v>
      </c>
      <c r="TY96" s="91">
        <f t="shared" si="1095"/>
        <v>0</v>
      </c>
      <c r="TZ96" s="91">
        <f t="shared" si="1096"/>
        <v>0</v>
      </c>
      <c r="UG96" s="98">
        <v>260</v>
      </c>
      <c r="UH96" s="98">
        <v>7800</v>
      </c>
      <c r="UO96" s="91">
        <f t="shared" si="1097"/>
        <v>260</v>
      </c>
      <c r="UP96" s="91">
        <f t="shared" si="1098"/>
        <v>7800</v>
      </c>
      <c r="VE96" s="91">
        <f t="shared" si="1099"/>
        <v>0</v>
      </c>
      <c r="VF96" s="91">
        <f t="shared" si="1100"/>
        <v>0</v>
      </c>
      <c r="VM96" s="98">
        <v>1010</v>
      </c>
      <c r="VN96" s="98">
        <v>37370</v>
      </c>
      <c r="VU96" s="91">
        <f t="shared" si="1101"/>
        <v>1010</v>
      </c>
      <c r="VV96" s="91">
        <f t="shared" si="1102"/>
        <v>37370</v>
      </c>
      <c r="WK96" s="91">
        <f t="shared" si="1103"/>
        <v>0</v>
      </c>
      <c r="WL96" s="91">
        <f t="shared" si="1104"/>
        <v>0</v>
      </c>
      <c r="WM96" s="89"/>
      <c r="WN96" s="87">
        <f t="shared" si="1105"/>
        <v>0</v>
      </c>
      <c r="WO96" s="87">
        <f t="shared" si="1106"/>
        <v>0</v>
      </c>
      <c r="WP96" s="87">
        <f t="shared" si="1107"/>
        <v>0</v>
      </c>
      <c r="WQ96" s="87">
        <f t="shared" si="1108"/>
        <v>0</v>
      </c>
      <c r="WR96" s="87">
        <f t="shared" si="1109"/>
        <v>0</v>
      </c>
      <c r="WS96" s="87">
        <f t="shared" si="1110"/>
        <v>0</v>
      </c>
      <c r="WT96" s="87">
        <f t="shared" si="1111"/>
        <v>3245137.5</v>
      </c>
      <c r="WU96" s="87">
        <f t="shared" si="1112"/>
        <v>83862529.724507123</v>
      </c>
      <c r="WV96" s="87">
        <f t="shared" si="1113"/>
        <v>0</v>
      </c>
      <c r="WW96" s="87">
        <f t="shared" si="1114"/>
        <v>0</v>
      </c>
      <c r="WX96" s="87">
        <f t="shared" si="1115"/>
        <v>4180</v>
      </c>
      <c r="WY96" s="87">
        <f t="shared" si="1116"/>
        <v>124000</v>
      </c>
      <c r="WZ96" s="87">
        <f t="shared" si="1117"/>
        <v>0</v>
      </c>
      <c r="XA96" s="87">
        <f t="shared" si="1118"/>
        <v>0</v>
      </c>
      <c r="XB96" s="92">
        <f t="shared" si="1119"/>
        <v>3249317.5</v>
      </c>
      <c r="XC96" s="92">
        <f t="shared" si="1120"/>
        <v>83986529.724507123</v>
      </c>
      <c r="XD96" s="89"/>
      <c r="XE96" s="92">
        <f t="shared" si="1125"/>
        <v>9507704.7599999998</v>
      </c>
      <c r="XF96" s="92">
        <f t="shared" si="1126"/>
        <v>247775594</v>
      </c>
      <c r="XG96" s="89"/>
      <c r="XH96" s="92"/>
      <c r="XI96" s="92"/>
      <c r="XJ96" s="89"/>
      <c r="XK96" s="87"/>
      <c r="XL96" s="87"/>
      <c r="XM96" s="87"/>
      <c r="XN96" s="87"/>
      <c r="XO96" s="87"/>
      <c r="XP96" s="87"/>
      <c r="XQ96" s="87"/>
      <c r="XR96" s="92">
        <f t="shared" ca="1" si="1122"/>
        <v>0</v>
      </c>
      <c r="XS96" s="89"/>
      <c r="XT96" s="87"/>
      <c r="XU96" s="87"/>
      <c r="XV96" s="87"/>
      <c r="XW96" s="87"/>
      <c r="XX96" s="87"/>
      <c r="XY96" s="87"/>
      <c r="XZ96" s="87"/>
      <c r="YA96" s="92">
        <f t="shared" ca="1" si="1123"/>
        <v>0</v>
      </c>
      <c r="YB96" s="90"/>
      <c r="YC96" s="90"/>
      <c r="YD96" s="90"/>
      <c r="YE96" s="90"/>
      <c r="YF96" s="90"/>
      <c r="YG96" s="90"/>
      <c r="YH96" s="90"/>
      <c r="YI96" s="90"/>
      <c r="YJ96" s="90"/>
      <c r="YK96" s="90"/>
      <c r="YL96" s="90"/>
      <c r="YM96" s="90"/>
      <c r="YN96" s="90"/>
      <c r="YO96" s="90"/>
      <c r="YP96" s="90"/>
      <c r="YQ96" s="90"/>
      <c r="YR96" s="90"/>
      <c r="YS96" s="90"/>
      <c r="YT96" s="90"/>
      <c r="YU96" s="90"/>
      <c r="YV96" s="90"/>
      <c r="YW96" s="90"/>
      <c r="YX96" s="90"/>
      <c r="YY96" s="90"/>
      <c r="YZ96" s="90"/>
      <c r="ZA96" s="90"/>
      <c r="ZB96" s="90"/>
      <c r="ZC96" s="90"/>
      <c r="ZD96" s="90"/>
      <c r="ZE96" s="90"/>
      <c r="ZF96" s="90"/>
      <c r="ZG96" s="90"/>
      <c r="ZH96" s="90"/>
      <c r="ZI96" s="90"/>
      <c r="ZJ96" s="90"/>
      <c r="ZK96" s="90"/>
      <c r="ZL96" s="90"/>
      <c r="ZM96" s="90"/>
      <c r="ZN96" s="90"/>
      <c r="ZO96" s="90"/>
      <c r="ZP96" s="90"/>
      <c r="ZQ96" s="90"/>
      <c r="ZR96" s="90"/>
      <c r="ZS96" s="90"/>
      <c r="ZT96" s="90"/>
      <c r="ZU96" s="90"/>
      <c r="ZV96" s="90"/>
      <c r="ZW96" s="90"/>
      <c r="ZX96" s="90"/>
      <c r="ZY96" s="90"/>
      <c r="ZZ96" s="90"/>
      <c r="AAA96" s="90"/>
      <c r="AAB96" s="90"/>
      <c r="AAC96" s="90"/>
      <c r="AAD96" s="90"/>
      <c r="AAE96" s="90"/>
      <c r="AAF96" s="90"/>
      <c r="AAG96" s="90"/>
      <c r="AAH96" s="90"/>
      <c r="AAI96" s="90"/>
      <c r="AAJ96" s="90"/>
      <c r="AAK96" s="90"/>
      <c r="AAL96" s="90"/>
      <c r="AAM96" s="90"/>
      <c r="AAN96" s="90"/>
      <c r="AAO96" s="90"/>
      <c r="AAP96" s="90"/>
      <c r="AAQ96" s="90"/>
      <c r="AAR96" s="90"/>
      <c r="AAS96" s="90"/>
      <c r="AAT96" s="90"/>
      <c r="AAU96" s="90"/>
      <c r="AAV96" s="90"/>
      <c r="AAW96" s="90"/>
      <c r="AAX96" s="90"/>
      <c r="AAY96" s="90"/>
      <c r="AAZ96" s="90"/>
      <c r="ABA96" s="90"/>
      <c r="ABB96" s="90"/>
      <c r="ABC96" s="90"/>
      <c r="ABD96" s="90"/>
      <c r="ABE96" s="90"/>
      <c r="ABF96" s="90"/>
      <c r="ABG96" s="90"/>
      <c r="ABH96" s="90"/>
      <c r="ABI96" s="90"/>
      <c r="ABJ96" s="90"/>
      <c r="ABK96" s="90"/>
      <c r="ABL96" s="90"/>
      <c r="ABM96" s="90"/>
      <c r="ABN96" s="90"/>
      <c r="ABO96" s="90"/>
      <c r="ABP96" s="90"/>
      <c r="ABQ96" s="90"/>
      <c r="ABR96" s="90"/>
      <c r="ABS96" s="90"/>
      <c r="ABT96" s="90"/>
      <c r="ABU96" s="90"/>
      <c r="ABV96" s="90"/>
      <c r="ABW96" s="90"/>
      <c r="ABX96" s="90"/>
      <c r="ABY96" s="90"/>
      <c r="ABZ96" s="90"/>
      <c r="ACA96" s="90"/>
      <c r="ACB96" s="90"/>
      <c r="ACC96" s="90"/>
      <c r="ACD96" s="90"/>
      <c r="ACE96" s="90"/>
      <c r="ACF96" s="90"/>
      <c r="ACG96" s="90"/>
      <c r="ACH96" s="90"/>
      <c r="ACI96" s="90"/>
      <c r="ACJ96" s="90"/>
      <c r="ACK96" s="90"/>
      <c r="ACL96" s="90"/>
      <c r="ACM96" s="90"/>
      <c r="ACN96" s="90"/>
      <c r="ACO96" s="90"/>
      <c r="ACP96" s="90"/>
      <c r="ACQ96" s="90"/>
      <c r="ACR96" s="90"/>
      <c r="ACS96" s="90"/>
      <c r="ACT96" s="90"/>
      <c r="ACU96" s="90"/>
      <c r="ACV96" s="90"/>
      <c r="ACW96" s="90"/>
      <c r="ACX96" s="90"/>
      <c r="ACY96" s="90"/>
      <c r="ACZ96" s="90"/>
      <c r="ADA96" s="90"/>
      <c r="ADB96" s="90"/>
      <c r="ADC96" s="90"/>
      <c r="ADD96" s="90"/>
      <c r="ADE96" s="90"/>
      <c r="ADF96" s="90"/>
      <c r="ADG96" s="90"/>
      <c r="ADH96" s="90"/>
      <c r="ADI96" s="90"/>
      <c r="ADJ96" s="90"/>
      <c r="ADK96" s="90"/>
      <c r="ADL96" s="90"/>
      <c r="ADM96" s="90"/>
      <c r="ADN96" s="90"/>
      <c r="ADO96" s="90"/>
      <c r="ADP96" s="90"/>
      <c r="ADQ96" s="90"/>
      <c r="ADR96" s="90"/>
      <c r="ADS96" s="90"/>
      <c r="ADT96" s="90"/>
      <c r="ADU96" s="90"/>
      <c r="ADV96" s="90"/>
      <c r="ADW96" s="90"/>
      <c r="ADX96" s="90"/>
      <c r="ADY96" s="90"/>
      <c r="ADZ96" s="90"/>
      <c r="AEA96" s="90"/>
      <c r="AEB96" s="90"/>
      <c r="AEC96" s="90"/>
      <c r="AED96" s="90"/>
      <c r="AEE96" s="90"/>
      <c r="AEF96" s="90"/>
      <c r="AEG96" s="90"/>
      <c r="AEH96" s="90"/>
      <c r="AEI96" s="90"/>
      <c r="AEJ96" s="90"/>
      <c r="AEK96" s="90"/>
      <c r="AEL96" s="90"/>
      <c r="AEM96" s="90"/>
      <c r="AEN96" s="90"/>
      <c r="AEO96" s="90"/>
      <c r="AEP96" s="90"/>
      <c r="AEQ96" s="90"/>
      <c r="AER96" s="90"/>
      <c r="AES96" s="90"/>
      <c r="AET96" s="90"/>
      <c r="AEU96" s="90"/>
      <c r="AEV96" s="90"/>
      <c r="AEW96" s="90"/>
      <c r="AEX96" s="90"/>
      <c r="AEY96" s="90"/>
      <c r="AEZ96" s="90"/>
      <c r="AFA96" s="90"/>
      <c r="AFB96" s="90"/>
      <c r="AFC96" s="90"/>
      <c r="AFD96" s="90"/>
      <c r="AFE96" s="90"/>
      <c r="AFF96" s="90"/>
      <c r="AFG96" s="90"/>
      <c r="AFH96" s="90"/>
      <c r="AFI96" s="90"/>
      <c r="AFJ96" s="90"/>
      <c r="AFK96" s="90"/>
      <c r="AFL96" s="90"/>
      <c r="AFM96" s="90"/>
      <c r="AFN96" s="90"/>
      <c r="AFO96" s="90"/>
      <c r="AFP96" s="90"/>
      <c r="AFQ96" s="90"/>
      <c r="AFR96" s="90"/>
      <c r="AFS96" s="90"/>
      <c r="AFT96" s="90"/>
      <c r="AFU96" s="90"/>
      <c r="AFV96" s="90"/>
      <c r="AFW96" s="90"/>
      <c r="AFX96" s="90"/>
      <c r="AFY96" s="90"/>
      <c r="AFZ96" s="90"/>
      <c r="AGA96" s="90"/>
      <c r="AGB96" s="90"/>
      <c r="AGC96" s="90"/>
      <c r="AGD96" s="90"/>
      <c r="AGE96" s="90"/>
      <c r="AGF96" s="90"/>
      <c r="AGG96" s="90"/>
      <c r="AGH96" s="90"/>
      <c r="AGI96" s="90"/>
      <c r="AGJ96" s="90"/>
      <c r="AGK96" s="90"/>
      <c r="AGL96" s="90"/>
      <c r="AGM96" s="90"/>
      <c r="AGN96" s="90"/>
      <c r="AGO96" s="90"/>
      <c r="AGP96" s="90"/>
      <c r="AGQ96" s="90"/>
      <c r="AGR96" s="90"/>
      <c r="AGS96" s="90"/>
      <c r="AGT96" s="90"/>
      <c r="AGU96" s="90"/>
      <c r="AGV96" s="90"/>
      <c r="AGW96" s="90"/>
      <c r="AGX96" s="90"/>
      <c r="AGY96" s="90"/>
      <c r="AGZ96" s="90"/>
      <c r="AHA96" s="90"/>
      <c r="AHB96" s="90"/>
      <c r="AHC96" s="90"/>
      <c r="AHD96" s="90"/>
      <c r="AHE96" s="90"/>
      <c r="AHF96" s="90"/>
      <c r="AHG96" s="90"/>
      <c r="AHH96" s="90"/>
      <c r="AHI96" s="90"/>
      <c r="AHJ96" s="90"/>
      <c r="AHK96" s="90"/>
      <c r="AHL96" s="90"/>
      <c r="AHM96" s="90"/>
      <c r="AHN96" s="90"/>
      <c r="AHO96" s="90"/>
      <c r="AHP96" s="90"/>
      <c r="AHQ96" s="90"/>
      <c r="AHR96" s="90"/>
      <c r="AHS96" s="90"/>
      <c r="AHT96" s="90"/>
      <c r="AHU96" s="90"/>
      <c r="AHV96" s="90"/>
      <c r="AHW96" s="90"/>
      <c r="AHX96" s="90"/>
      <c r="AHY96" s="90"/>
      <c r="AHZ96" s="90"/>
      <c r="AIA96" s="90"/>
      <c r="AIB96" s="90"/>
      <c r="AIC96" s="90"/>
      <c r="AID96" s="90"/>
      <c r="AIE96" s="90"/>
      <c r="AIF96" s="90"/>
      <c r="AIG96" s="90"/>
      <c r="AIH96" s="90"/>
      <c r="AII96" s="90"/>
      <c r="AIJ96" s="90"/>
      <c r="AIK96" s="90"/>
      <c r="AIL96" s="90"/>
      <c r="AIM96" s="90"/>
      <c r="AIN96" s="90"/>
      <c r="AIO96" s="90"/>
      <c r="AIP96" s="90"/>
      <c r="AIQ96" s="90"/>
      <c r="AIR96" s="90"/>
      <c r="AIS96" s="90"/>
      <c r="AIT96" s="90"/>
      <c r="AIU96" s="90"/>
      <c r="AIV96" s="90"/>
      <c r="AIW96" s="90"/>
      <c r="AIX96" s="90"/>
      <c r="AIY96" s="90"/>
      <c r="AIZ96" s="90"/>
      <c r="AJA96" s="90"/>
      <c r="AJB96" s="90"/>
      <c r="AJC96" s="90"/>
      <c r="AJD96" s="90"/>
      <c r="AJE96" s="90"/>
      <c r="AJF96" s="90"/>
      <c r="AJG96" s="90"/>
      <c r="AJH96" s="90"/>
      <c r="AJI96" s="90"/>
      <c r="AJJ96" s="90"/>
      <c r="AJK96" s="90"/>
      <c r="AJL96" s="90"/>
      <c r="AJM96" s="90"/>
      <c r="AJN96" s="90"/>
      <c r="AJO96" s="90"/>
      <c r="AJP96" s="90"/>
      <c r="AJQ96" s="90"/>
      <c r="AJR96" s="90"/>
      <c r="AJS96" s="90"/>
      <c r="AJT96" s="90"/>
      <c r="AJU96" s="90"/>
      <c r="AJV96" s="90"/>
      <c r="AJW96" s="90"/>
      <c r="AJX96" s="90"/>
      <c r="AJY96" s="90"/>
      <c r="AJZ96" s="90"/>
      <c r="AKA96" s="90"/>
      <c r="AKB96" s="90"/>
      <c r="AKC96" s="90"/>
      <c r="AKD96" s="90"/>
      <c r="AKE96" s="90"/>
      <c r="AKF96" s="90"/>
      <c r="AKG96" s="90"/>
      <c r="AKH96" s="90"/>
      <c r="AKI96" s="90"/>
      <c r="AKJ96" s="90"/>
      <c r="AKK96" s="90"/>
      <c r="AKL96" s="90"/>
      <c r="AKM96" s="90"/>
      <c r="AKN96" s="90"/>
      <c r="AKO96" s="90"/>
      <c r="AKP96" s="90"/>
      <c r="AKQ96" s="90"/>
      <c r="AKR96" s="90"/>
      <c r="AKS96" s="90"/>
      <c r="AKT96" s="90"/>
      <c r="AKU96" s="90"/>
      <c r="AKV96" s="90"/>
      <c r="AKW96" s="90"/>
      <c r="AKX96" s="90"/>
      <c r="AKY96" s="90"/>
      <c r="AKZ96" s="90"/>
      <c r="ALA96" s="90"/>
      <c r="ALB96" s="90"/>
      <c r="ALC96" s="90"/>
      <c r="ALD96" s="90"/>
      <c r="ALE96" s="90"/>
      <c r="ALF96" s="90"/>
      <c r="ALG96" s="90"/>
      <c r="ALH96" s="90"/>
      <c r="ALI96" s="90"/>
      <c r="ALJ96" s="90"/>
      <c r="ALK96" s="90"/>
      <c r="ALL96" s="90"/>
      <c r="ALM96" s="90"/>
      <c r="ALN96" s="90"/>
      <c r="ALO96" s="90"/>
      <c r="ALP96" s="90"/>
      <c r="ALQ96" s="90"/>
      <c r="ALR96" s="90"/>
      <c r="ALS96" s="90"/>
      <c r="ALT96" s="90"/>
      <c r="ALU96" s="90"/>
      <c r="ALV96" s="90"/>
      <c r="ALW96" s="90"/>
      <c r="ALX96" s="90"/>
      <c r="ALY96" s="90"/>
      <c r="ALZ96" s="90"/>
      <c r="AMA96" s="90"/>
      <c r="AMB96" s="90"/>
      <c r="AMC96" s="90"/>
    </row>
    <row r="97" spans="1:1017">
      <c r="A97" s="98" t="s">
        <v>47</v>
      </c>
      <c r="B97" s="90" t="str">
        <f t="shared" si="1028"/>
        <v>Kakap Putih</v>
      </c>
      <c r="E97" s="98">
        <v>192600</v>
      </c>
      <c r="F97" s="98">
        <v>12519000</v>
      </c>
      <c r="Q97" s="91">
        <f t="shared" si="1029"/>
        <v>192600</v>
      </c>
      <c r="R97" s="91">
        <f t="shared" si="1030"/>
        <v>12519000</v>
      </c>
      <c r="S97" s="98">
        <v>20</v>
      </c>
      <c r="T97" s="98">
        <v>1500</v>
      </c>
      <c r="U97" s="98">
        <v>5455</v>
      </c>
      <c r="V97" s="98">
        <v>409125</v>
      </c>
      <c r="AG97" s="91">
        <f t="shared" si="1031"/>
        <v>5475</v>
      </c>
      <c r="AH97" s="91">
        <f t="shared" si="1032"/>
        <v>410625</v>
      </c>
      <c r="AW97" s="91">
        <f t="shared" si="1033"/>
        <v>0</v>
      </c>
      <c r="AX97" s="91">
        <f t="shared" si="1034"/>
        <v>0</v>
      </c>
      <c r="BM97" s="91">
        <f t="shared" si="1035"/>
        <v>0</v>
      </c>
      <c r="BN97" s="91">
        <f t="shared" si="1036"/>
        <v>0</v>
      </c>
      <c r="CC97" s="91">
        <f t="shared" si="1037"/>
        <v>0</v>
      </c>
      <c r="CD97" s="91">
        <f t="shared" si="1038"/>
        <v>0</v>
      </c>
      <c r="CG97" s="98">
        <v>8924</v>
      </c>
      <c r="CH97" s="98">
        <v>267720</v>
      </c>
      <c r="CS97" s="91">
        <f t="shared" si="1039"/>
        <v>8924</v>
      </c>
      <c r="CT97" s="91">
        <f t="shared" si="1040"/>
        <v>267720</v>
      </c>
      <c r="DI97" s="91">
        <f t="shared" si="1041"/>
        <v>0</v>
      </c>
      <c r="DJ97" s="91">
        <f t="shared" si="1042"/>
        <v>0</v>
      </c>
      <c r="DY97" s="91">
        <f t="shared" si="1043"/>
        <v>0</v>
      </c>
      <c r="DZ97" s="91">
        <f t="shared" si="1044"/>
        <v>0</v>
      </c>
      <c r="EO97" s="91">
        <f t="shared" si="1045"/>
        <v>0</v>
      </c>
      <c r="EP97" s="91">
        <f t="shared" si="1046"/>
        <v>0</v>
      </c>
      <c r="FE97" s="91">
        <f t="shared" si="1047"/>
        <v>0</v>
      </c>
      <c r="FF97" s="91">
        <f t="shared" si="1048"/>
        <v>0</v>
      </c>
      <c r="FU97" s="91">
        <f t="shared" si="1049"/>
        <v>0</v>
      </c>
      <c r="FV97" s="91">
        <f t="shared" si="1050"/>
        <v>0</v>
      </c>
      <c r="GK97" s="91">
        <f t="shared" si="1051"/>
        <v>0</v>
      </c>
      <c r="GL97" s="91">
        <f t="shared" si="1052"/>
        <v>0</v>
      </c>
      <c r="HA97" s="91">
        <f t="shared" si="1053"/>
        <v>0</v>
      </c>
      <c r="HB97" s="91">
        <f t="shared" si="1054"/>
        <v>0</v>
      </c>
      <c r="HQ97" s="91">
        <f t="shared" si="1055"/>
        <v>0</v>
      </c>
      <c r="HR97" s="91">
        <f t="shared" si="1056"/>
        <v>0</v>
      </c>
      <c r="IG97" s="91">
        <f t="shared" si="1057"/>
        <v>0</v>
      </c>
      <c r="IH97" s="91">
        <f t="shared" si="1058"/>
        <v>0</v>
      </c>
      <c r="IW97" s="91">
        <f t="shared" si="1059"/>
        <v>0</v>
      </c>
      <c r="IX97" s="91">
        <f t="shared" si="1060"/>
        <v>0</v>
      </c>
      <c r="JM97" s="91">
        <f t="shared" si="1061"/>
        <v>0</v>
      </c>
      <c r="JN97" s="91">
        <f t="shared" si="1062"/>
        <v>0</v>
      </c>
      <c r="KC97" s="91">
        <f t="shared" si="1063"/>
        <v>0</v>
      </c>
      <c r="KD97" s="91">
        <f t="shared" si="1064"/>
        <v>0</v>
      </c>
      <c r="KS97" s="91">
        <f t="shared" si="1065"/>
        <v>0</v>
      </c>
      <c r="KT97" s="91">
        <f t="shared" si="1066"/>
        <v>0</v>
      </c>
      <c r="LI97" s="91">
        <f t="shared" si="1067"/>
        <v>0</v>
      </c>
      <c r="LJ97" s="91">
        <f t="shared" si="1068"/>
        <v>0</v>
      </c>
      <c r="LY97" s="91">
        <f t="shared" si="1069"/>
        <v>0</v>
      </c>
      <c r="LZ97" s="91">
        <f t="shared" si="1070"/>
        <v>0</v>
      </c>
      <c r="MO97" s="91">
        <f t="shared" si="1071"/>
        <v>0</v>
      </c>
      <c r="MP97" s="91">
        <f t="shared" si="1072"/>
        <v>0</v>
      </c>
      <c r="MS97" s="98">
        <v>400</v>
      </c>
      <c r="MT97" s="98">
        <v>12000</v>
      </c>
      <c r="NE97" s="91">
        <f t="shared" si="1073"/>
        <v>400</v>
      </c>
      <c r="NF97" s="91">
        <f t="shared" si="1074"/>
        <v>12000</v>
      </c>
      <c r="NI97" s="98">
        <v>4540</v>
      </c>
      <c r="NJ97" s="98">
        <v>158900</v>
      </c>
      <c r="NU97" s="91">
        <f t="shared" si="1075"/>
        <v>4540</v>
      </c>
      <c r="NV97" s="91">
        <f t="shared" si="1076"/>
        <v>158900</v>
      </c>
      <c r="NW97" s="98">
        <v>300</v>
      </c>
      <c r="NX97" s="98">
        <v>21000</v>
      </c>
      <c r="OK97" s="91">
        <f t="shared" si="1077"/>
        <v>300</v>
      </c>
      <c r="OL97" s="91">
        <f t="shared" si="1078"/>
        <v>21000</v>
      </c>
      <c r="PA97" s="91">
        <f t="shared" si="1079"/>
        <v>0</v>
      </c>
      <c r="PB97" s="91">
        <f t="shared" si="1080"/>
        <v>0</v>
      </c>
      <c r="PQ97" s="91">
        <f t="shared" si="1081"/>
        <v>0</v>
      </c>
      <c r="PR97" s="91">
        <f t="shared" si="1082"/>
        <v>0</v>
      </c>
      <c r="PU97" s="98">
        <v>13840</v>
      </c>
      <c r="PV97" s="98">
        <v>553600</v>
      </c>
      <c r="QG97" s="91">
        <f t="shared" si="1083"/>
        <v>13840</v>
      </c>
      <c r="QH97" s="91">
        <f t="shared" si="1084"/>
        <v>553600</v>
      </c>
      <c r="QW97" s="91">
        <f t="shared" si="1085"/>
        <v>0</v>
      </c>
      <c r="QX97" s="91">
        <f t="shared" si="1086"/>
        <v>0</v>
      </c>
      <c r="RM97" s="91">
        <f t="shared" si="1087"/>
        <v>0</v>
      </c>
      <c r="RN97" s="91">
        <f t="shared" si="1088"/>
        <v>0</v>
      </c>
      <c r="SC97" s="91">
        <f t="shared" si="1089"/>
        <v>0</v>
      </c>
      <c r="SD97" s="91">
        <f t="shared" si="1090"/>
        <v>0</v>
      </c>
      <c r="SS97" s="91">
        <f t="shared" si="1091"/>
        <v>0</v>
      </c>
      <c r="ST97" s="91">
        <f t="shared" si="1092"/>
        <v>0</v>
      </c>
      <c r="TI97" s="91">
        <f t="shared" si="1093"/>
        <v>0</v>
      </c>
      <c r="TJ97" s="91">
        <f t="shared" si="1094"/>
        <v>0</v>
      </c>
      <c r="TY97" s="91">
        <f t="shared" si="1095"/>
        <v>0</v>
      </c>
      <c r="TZ97" s="91">
        <f t="shared" si="1096"/>
        <v>0</v>
      </c>
      <c r="UO97" s="91">
        <f t="shared" si="1097"/>
        <v>0</v>
      </c>
      <c r="UP97" s="91">
        <f t="shared" si="1098"/>
        <v>0</v>
      </c>
      <c r="VE97" s="91">
        <f t="shared" si="1099"/>
        <v>0</v>
      </c>
      <c r="VF97" s="91">
        <f t="shared" si="1100"/>
        <v>0</v>
      </c>
      <c r="VI97" s="98">
        <v>19</v>
      </c>
      <c r="VJ97" s="98">
        <v>760</v>
      </c>
      <c r="VU97" s="91">
        <f t="shared" si="1101"/>
        <v>19</v>
      </c>
      <c r="VV97" s="91">
        <f t="shared" si="1102"/>
        <v>760</v>
      </c>
      <c r="WK97" s="91">
        <f t="shared" si="1103"/>
        <v>0</v>
      </c>
      <c r="WL97" s="91">
        <f t="shared" si="1104"/>
        <v>0</v>
      </c>
      <c r="WM97" s="89"/>
      <c r="WN97" s="87">
        <f t="shared" si="1105"/>
        <v>320</v>
      </c>
      <c r="WO97" s="87">
        <f t="shared" si="1106"/>
        <v>22500</v>
      </c>
      <c r="WP97" s="87">
        <f t="shared" si="1107"/>
        <v>225778</v>
      </c>
      <c r="WQ97" s="87">
        <f t="shared" si="1108"/>
        <v>13921105</v>
      </c>
      <c r="WR97" s="87">
        <f t="shared" si="1109"/>
        <v>0</v>
      </c>
      <c r="WS97" s="87">
        <f t="shared" si="1110"/>
        <v>0</v>
      </c>
      <c r="WT97" s="87">
        <f t="shared" si="1111"/>
        <v>0</v>
      </c>
      <c r="WU97" s="87">
        <f t="shared" si="1112"/>
        <v>0</v>
      </c>
      <c r="WV97" s="87">
        <f t="shared" si="1113"/>
        <v>0</v>
      </c>
      <c r="WW97" s="87">
        <f t="shared" si="1114"/>
        <v>0</v>
      </c>
      <c r="WX97" s="87">
        <f t="shared" si="1115"/>
        <v>0</v>
      </c>
      <c r="WY97" s="87">
        <f t="shared" si="1116"/>
        <v>0</v>
      </c>
      <c r="WZ97" s="87">
        <f t="shared" si="1117"/>
        <v>0</v>
      </c>
      <c r="XA97" s="87">
        <f t="shared" si="1118"/>
        <v>0</v>
      </c>
      <c r="XB97" s="92">
        <f t="shared" si="1119"/>
        <v>226098</v>
      </c>
      <c r="XC97" s="92">
        <f t="shared" si="1120"/>
        <v>13943605</v>
      </c>
      <c r="XD97" s="89"/>
      <c r="XE97" s="92">
        <f t="shared" si="1125"/>
        <v>262528.00220593147</v>
      </c>
      <c r="XF97" s="92">
        <f t="shared" si="1126"/>
        <v>15696130.077207603</v>
      </c>
      <c r="XG97" s="89"/>
      <c r="XH97" s="92"/>
      <c r="XI97" s="92"/>
      <c r="XJ97" s="89"/>
      <c r="XK97" s="87"/>
      <c r="XL97" s="87"/>
      <c r="XM97" s="87"/>
      <c r="XN97" s="87"/>
      <c r="XO97" s="87"/>
      <c r="XP97" s="87"/>
      <c r="XQ97" s="87"/>
      <c r="XR97" s="92">
        <f t="shared" ca="1" si="1122"/>
        <v>0</v>
      </c>
      <c r="XS97" s="89"/>
      <c r="XT97" s="87"/>
      <c r="XU97" s="87"/>
      <c r="XV97" s="87"/>
      <c r="XW97" s="87"/>
      <c r="XX97" s="87"/>
      <c r="XY97" s="87"/>
      <c r="XZ97" s="87"/>
      <c r="YA97" s="92">
        <f t="shared" ca="1" si="1123"/>
        <v>0</v>
      </c>
      <c r="YB97" s="90"/>
      <c r="YC97" s="90"/>
      <c r="YD97" s="90"/>
      <c r="YE97" s="90"/>
      <c r="YF97" s="90"/>
      <c r="YG97" s="90"/>
      <c r="YH97" s="90"/>
      <c r="YI97" s="90"/>
      <c r="YJ97" s="90"/>
      <c r="YK97" s="90"/>
      <c r="YL97" s="90"/>
      <c r="YM97" s="90"/>
      <c r="YN97" s="90"/>
      <c r="YO97" s="90"/>
      <c r="YP97" s="90"/>
      <c r="YQ97" s="90"/>
      <c r="YR97" s="90"/>
      <c r="YS97" s="90"/>
      <c r="YT97" s="90"/>
      <c r="YU97" s="90"/>
      <c r="YV97" s="90"/>
      <c r="YW97" s="90"/>
      <c r="YX97" s="90"/>
      <c r="YY97" s="90"/>
      <c r="YZ97" s="90"/>
      <c r="ZA97" s="90"/>
      <c r="ZB97" s="90"/>
      <c r="ZC97" s="90"/>
      <c r="ZD97" s="90"/>
      <c r="ZE97" s="90"/>
      <c r="ZF97" s="90"/>
      <c r="ZG97" s="90"/>
      <c r="ZH97" s="90"/>
      <c r="ZI97" s="90"/>
      <c r="ZJ97" s="90"/>
      <c r="ZK97" s="90"/>
      <c r="ZL97" s="90"/>
      <c r="ZM97" s="90"/>
      <c r="ZN97" s="90"/>
      <c r="ZO97" s="90"/>
      <c r="ZP97" s="90"/>
      <c r="ZQ97" s="90"/>
      <c r="ZR97" s="90"/>
      <c r="ZS97" s="90"/>
      <c r="ZT97" s="90"/>
      <c r="ZU97" s="90"/>
      <c r="ZV97" s="90"/>
      <c r="ZW97" s="90"/>
      <c r="ZX97" s="90"/>
      <c r="ZY97" s="90"/>
      <c r="ZZ97" s="90"/>
      <c r="AAA97" s="90"/>
      <c r="AAB97" s="90"/>
      <c r="AAC97" s="90"/>
      <c r="AAD97" s="90"/>
      <c r="AAE97" s="90"/>
      <c r="AAF97" s="90"/>
      <c r="AAG97" s="90"/>
      <c r="AAH97" s="90"/>
      <c r="AAI97" s="90"/>
      <c r="AAJ97" s="90"/>
      <c r="AAK97" s="90"/>
      <c r="AAL97" s="90"/>
      <c r="AAM97" s="90"/>
      <c r="AAN97" s="90"/>
      <c r="AAO97" s="90"/>
      <c r="AAP97" s="90"/>
      <c r="AAQ97" s="90"/>
      <c r="AAR97" s="90"/>
      <c r="AAS97" s="90"/>
      <c r="AAT97" s="90"/>
      <c r="AAU97" s="90"/>
      <c r="AAV97" s="90"/>
      <c r="AAW97" s="90"/>
      <c r="AAX97" s="90"/>
      <c r="AAY97" s="90"/>
      <c r="AAZ97" s="90"/>
      <c r="ABA97" s="90"/>
      <c r="ABB97" s="90"/>
      <c r="ABC97" s="90"/>
      <c r="ABD97" s="90"/>
      <c r="ABE97" s="90"/>
      <c r="ABF97" s="90"/>
      <c r="ABG97" s="90"/>
      <c r="ABH97" s="90"/>
      <c r="ABI97" s="90"/>
      <c r="ABJ97" s="90"/>
      <c r="ABK97" s="90"/>
      <c r="ABL97" s="90"/>
      <c r="ABM97" s="90"/>
      <c r="ABN97" s="90"/>
      <c r="ABO97" s="90"/>
      <c r="ABP97" s="90"/>
      <c r="ABQ97" s="90"/>
      <c r="ABR97" s="90"/>
      <c r="ABS97" s="90"/>
      <c r="ABT97" s="90"/>
      <c r="ABU97" s="90"/>
      <c r="ABV97" s="90"/>
      <c r="ABW97" s="90"/>
      <c r="ABX97" s="90"/>
      <c r="ABY97" s="90"/>
      <c r="ABZ97" s="90"/>
      <c r="ACA97" s="90"/>
      <c r="ACB97" s="90"/>
      <c r="ACC97" s="90"/>
      <c r="ACD97" s="90"/>
      <c r="ACE97" s="90"/>
      <c r="ACF97" s="90"/>
      <c r="ACG97" s="90"/>
      <c r="ACH97" s="90"/>
      <c r="ACI97" s="90"/>
      <c r="ACJ97" s="90"/>
      <c r="ACK97" s="90"/>
      <c r="ACL97" s="90"/>
      <c r="ACM97" s="90"/>
      <c r="ACN97" s="90"/>
      <c r="ACO97" s="90"/>
      <c r="ACP97" s="90"/>
      <c r="ACQ97" s="90"/>
      <c r="ACR97" s="90"/>
      <c r="ACS97" s="90"/>
      <c r="ACT97" s="90"/>
      <c r="ACU97" s="90"/>
      <c r="ACV97" s="90"/>
      <c r="ACW97" s="90"/>
      <c r="ACX97" s="90"/>
      <c r="ACY97" s="90"/>
      <c r="ACZ97" s="90"/>
      <c r="ADA97" s="90"/>
      <c r="ADB97" s="90"/>
      <c r="ADC97" s="90"/>
      <c r="ADD97" s="90"/>
      <c r="ADE97" s="90"/>
      <c r="ADF97" s="90"/>
      <c r="ADG97" s="90"/>
      <c r="ADH97" s="90"/>
      <c r="ADI97" s="90"/>
      <c r="ADJ97" s="90"/>
      <c r="ADK97" s="90"/>
      <c r="ADL97" s="90"/>
      <c r="ADM97" s="90"/>
      <c r="ADN97" s="90"/>
      <c r="ADO97" s="90"/>
      <c r="ADP97" s="90"/>
      <c r="ADQ97" s="90"/>
      <c r="ADR97" s="90"/>
      <c r="ADS97" s="90"/>
      <c r="ADT97" s="90"/>
      <c r="ADU97" s="90"/>
      <c r="ADV97" s="90"/>
      <c r="ADW97" s="90"/>
      <c r="ADX97" s="90"/>
      <c r="ADY97" s="90"/>
      <c r="ADZ97" s="90"/>
      <c r="AEA97" s="90"/>
      <c r="AEB97" s="90"/>
      <c r="AEC97" s="90"/>
      <c r="AED97" s="90"/>
      <c r="AEE97" s="90"/>
      <c r="AEF97" s="90"/>
      <c r="AEG97" s="90"/>
      <c r="AEH97" s="90"/>
      <c r="AEI97" s="90"/>
      <c r="AEJ97" s="90"/>
      <c r="AEK97" s="90"/>
      <c r="AEL97" s="90"/>
      <c r="AEM97" s="90"/>
      <c r="AEN97" s="90"/>
      <c r="AEO97" s="90"/>
      <c r="AEP97" s="90"/>
      <c r="AEQ97" s="90"/>
      <c r="AER97" s="90"/>
      <c r="AES97" s="90"/>
      <c r="AET97" s="90"/>
      <c r="AEU97" s="90"/>
      <c r="AEV97" s="90"/>
      <c r="AEW97" s="90"/>
      <c r="AEX97" s="90"/>
      <c r="AEY97" s="90"/>
      <c r="AEZ97" s="90"/>
      <c r="AFA97" s="90"/>
      <c r="AFB97" s="90"/>
      <c r="AFC97" s="90"/>
      <c r="AFD97" s="90"/>
      <c r="AFE97" s="90"/>
      <c r="AFF97" s="90"/>
      <c r="AFG97" s="90"/>
      <c r="AFH97" s="90"/>
      <c r="AFI97" s="90"/>
      <c r="AFJ97" s="90"/>
      <c r="AFK97" s="90"/>
      <c r="AFL97" s="90"/>
      <c r="AFM97" s="90"/>
      <c r="AFN97" s="90"/>
      <c r="AFO97" s="90"/>
      <c r="AFP97" s="90"/>
      <c r="AFQ97" s="90"/>
      <c r="AFR97" s="90"/>
      <c r="AFS97" s="90"/>
      <c r="AFT97" s="90"/>
      <c r="AFU97" s="90"/>
      <c r="AFV97" s="90"/>
      <c r="AFW97" s="90"/>
      <c r="AFX97" s="90"/>
      <c r="AFY97" s="90"/>
      <c r="AFZ97" s="90"/>
      <c r="AGA97" s="90"/>
      <c r="AGB97" s="90"/>
      <c r="AGC97" s="90"/>
      <c r="AGD97" s="90"/>
      <c r="AGE97" s="90"/>
      <c r="AGF97" s="90"/>
      <c r="AGG97" s="90"/>
      <c r="AGH97" s="90"/>
      <c r="AGI97" s="90"/>
      <c r="AGJ97" s="90"/>
      <c r="AGK97" s="90"/>
      <c r="AGL97" s="90"/>
      <c r="AGM97" s="90"/>
      <c r="AGN97" s="90"/>
      <c r="AGO97" s="90"/>
      <c r="AGP97" s="90"/>
      <c r="AGQ97" s="90"/>
      <c r="AGR97" s="90"/>
      <c r="AGS97" s="90"/>
      <c r="AGT97" s="90"/>
      <c r="AGU97" s="90"/>
      <c r="AGV97" s="90"/>
      <c r="AGW97" s="90"/>
      <c r="AGX97" s="90"/>
      <c r="AGY97" s="90"/>
      <c r="AGZ97" s="90"/>
      <c r="AHA97" s="90"/>
      <c r="AHB97" s="90"/>
      <c r="AHC97" s="90"/>
      <c r="AHD97" s="90"/>
      <c r="AHE97" s="90"/>
      <c r="AHF97" s="90"/>
      <c r="AHG97" s="90"/>
      <c r="AHH97" s="90"/>
      <c r="AHI97" s="90"/>
      <c r="AHJ97" s="90"/>
      <c r="AHK97" s="90"/>
      <c r="AHL97" s="90"/>
      <c r="AHM97" s="90"/>
      <c r="AHN97" s="90"/>
      <c r="AHO97" s="90"/>
      <c r="AHP97" s="90"/>
      <c r="AHQ97" s="90"/>
      <c r="AHR97" s="90"/>
      <c r="AHS97" s="90"/>
      <c r="AHT97" s="90"/>
      <c r="AHU97" s="90"/>
      <c r="AHV97" s="90"/>
      <c r="AHW97" s="90"/>
      <c r="AHX97" s="90"/>
      <c r="AHY97" s="90"/>
      <c r="AHZ97" s="90"/>
      <c r="AIA97" s="90"/>
      <c r="AIB97" s="90"/>
      <c r="AIC97" s="90"/>
      <c r="AID97" s="90"/>
      <c r="AIE97" s="90"/>
      <c r="AIF97" s="90"/>
      <c r="AIG97" s="90"/>
      <c r="AIH97" s="90"/>
      <c r="AII97" s="90"/>
      <c r="AIJ97" s="90"/>
      <c r="AIK97" s="90"/>
      <c r="AIL97" s="90"/>
      <c r="AIM97" s="90"/>
      <c r="AIN97" s="90"/>
      <c r="AIO97" s="90"/>
      <c r="AIP97" s="90"/>
      <c r="AIQ97" s="90"/>
      <c r="AIR97" s="90"/>
      <c r="AIS97" s="90"/>
      <c r="AIT97" s="90"/>
      <c r="AIU97" s="90"/>
      <c r="AIV97" s="90"/>
      <c r="AIW97" s="90"/>
      <c r="AIX97" s="90"/>
      <c r="AIY97" s="90"/>
      <c r="AIZ97" s="90"/>
      <c r="AJA97" s="90"/>
      <c r="AJB97" s="90"/>
      <c r="AJC97" s="90"/>
      <c r="AJD97" s="90"/>
      <c r="AJE97" s="90"/>
      <c r="AJF97" s="90"/>
      <c r="AJG97" s="90"/>
      <c r="AJH97" s="90"/>
      <c r="AJI97" s="90"/>
      <c r="AJJ97" s="90"/>
      <c r="AJK97" s="90"/>
      <c r="AJL97" s="90"/>
      <c r="AJM97" s="90"/>
      <c r="AJN97" s="90"/>
      <c r="AJO97" s="90"/>
      <c r="AJP97" s="90"/>
      <c r="AJQ97" s="90"/>
      <c r="AJR97" s="90"/>
      <c r="AJS97" s="90"/>
      <c r="AJT97" s="90"/>
      <c r="AJU97" s="90"/>
      <c r="AJV97" s="90"/>
      <c r="AJW97" s="90"/>
      <c r="AJX97" s="90"/>
      <c r="AJY97" s="90"/>
      <c r="AJZ97" s="90"/>
      <c r="AKA97" s="90"/>
      <c r="AKB97" s="90"/>
      <c r="AKC97" s="90"/>
      <c r="AKD97" s="90"/>
      <c r="AKE97" s="90"/>
      <c r="AKF97" s="90"/>
      <c r="AKG97" s="90"/>
      <c r="AKH97" s="90"/>
      <c r="AKI97" s="90"/>
      <c r="AKJ97" s="90"/>
      <c r="AKK97" s="90"/>
      <c r="AKL97" s="90"/>
      <c r="AKM97" s="90"/>
      <c r="AKN97" s="90"/>
      <c r="AKO97" s="90"/>
      <c r="AKP97" s="90"/>
      <c r="AKQ97" s="90"/>
      <c r="AKR97" s="90"/>
      <c r="AKS97" s="90"/>
      <c r="AKT97" s="90"/>
      <c r="AKU97" s="90"/>
      <c r="AKV97" s="90"/>
      <c r="AKW97" s="90"/>
      <c r="AKX97" s="90"/>
      <c r="AKY97" s="90"/>
      <c r="AKZ97" s="90"/>
      <c r="ALA97" s="90"/>
      <c r="ALB97" s="90"/>
      <c r="ALC97" s="90"/>
      <c r="ALD97" s="90"/>
      <c r="ALE97" s="90"/>
      <c r="ALF97" s="90"/>
      <c r="ALG97" s="90"/>
      <c r="ALH97" s="90"/>
      <c r="ALI97" s="90"/>
      <c r="ALJ97" s="90"/>
      <c r="ALK97" s="90"/>
      <c r="ALL97" s="90"/>
      <c r="ALM97" s="90"/>
      <c r="ALN97" s="90"/>
      <c r="ALO97" s="90"/>
      <c r="ALP97" s="90"/>
      <c r="ALQ97" s="90"/>
      <c r="ALR97" s="90"/>
      <c r="ALS97" s="90"/>
      <c r="ALT97" s="90"/>
      <c r="ALU97" s="90"/>
      <c r="ALV97" s="90"/>
      <c r="ALW97" s="90"/>
      <c r="ALX97" s="90"/>
      <c r="ALY97" s="90"/>
      <c r="ALZ97" s="90"/>
      <c r="AMA97" s="90"/>
      <c r="AMB97" s="90"/>
      <c r="AMC97" s="90"/>
    </row>
    <row r="98" spans="1:1017">
      <c r="A98" s="98" t="s">
        <v>47</v>
      </c>
      <c r="B98" s="90" t="str">
        <f t="shared" si="1028"/>
        <v>Kepiting  Bakau</v>
      </c>
      <c r="E98" s="98">
        <v>900</v>
      </c>
      <c r="F98" s="98">
        <v>90000</v>
      </c>
      <c r="Q98" s="91">
        <f t="shared" si="1029"/>
        <v>900</v>
      </c>
      <c r="R98" s="91">
        <f t="shared" si="1030"/>
        <v>90000</v>
      </c>
      <c r="U98" s="98">
        <v>5940</v>
      </c>
      <c r="V98" s="98">
        <v>356400</v>
      </c>
      <c r="AG98" s="91">
        <f t="shared" si="1031"/>
        <v>5940</v>
      </c>
      <c r="AH98" s="91">
        <f t="shared" si="1032"/>
        <v>356400</v>
      </c>
      <c r="AW98" s="91">
        <f t="shared" si="1033"/>
        <v>0</v>
      </c>
      <c r="AX98" s="91">
        <f t="shared" si="1034"/>
        <v>0</v>
      </c>
      <c r="BM98" s="91">
        <f t="shared" si="1035"/>
        <v>0</v>
      </c>
      <c r="BN98" s="91">
        <f t="shared" si="1036"/>
        <v>0</v>
      </c>
      <c r="CC98" s="91">
        <f t="shared" si="1037"/>
        <v>0</v>
      </c>
      <c r="CD98" s="91">
        <f t="shared" si="1038"/>
        <v>0</v>
      </c>
      <c r="CG98" s="98">
        <v>40664</v>
      </c>
      <c r="CH98" s="98">
        <v>1423238</v>
      </c>
      <c r="CS98" s="91">
        <f t="shared" si="1039"/>
        <v>40664</v>
      </c>
      <c r="CT98" s="91">
        <f t="shared" si="1040"/>
        <v>1423238</v>
      </c>
      <c r="DI98" s="91">
        <f t="shared" si="1041"/>
        <v>0</v>
      </c>
      <c r="DJ98" s="91">
        <f t="shared" si="1042"/>
        <v>0</v>
      </c>
      <c r="DY98" s="91">
        <f t="shared" si="1043"/>
        <v>0</v>
      </c>
      <c r="DZ98" s="91">
        <f t="shared" si="1044"/>
        <v>0</v>
      </c>
      <c r="EO98" s="91">
        <f t="shared" si="1045"/>
        <v>0</v>
      </c>
      <c r="EP98" s="91">
        <f t="shared" si="1046"/>
        <v>0</v>
      </c>
      <c r="FE98" s="91">
        <f t="shared" si="1047"/>
        <v>0</v>
      </c>
      <c r="FF98" s="91">
        <f t="shared" si="1048"/>
        <v>0</v>
      </c>
      <c r="FU98" s="91">
        <f t="shared" si="1049"/>
        <v>0</v>
      </c>
      <c r="FV98" s="91">
        <f t="shared" si="1050"/>
        <v>0</v>
      </c>
      <c r="GK98" s="91">
        <f t="shared" si="1051"/>
        <v>0</v>
      </c>
      <c r="GL98" s="91">
        <f t="shared" si="1052"/>
        <v>0</v>
      </c>
      <c r="HA98" s="91">
        <f t="shared" si="1053"/>
        <v>0</v>
      </c>
      <c r="HB98" s="91">
        <f t="shared" si="1054"/>
        <v>0</v>
      </c>
      <c r="HQ98" s="91">
        <f t="shared" si="1055"/>
        <v>0</v>
      </c>
      <c r="HR98" s="91">
        <f t="shared" si="1056"/>
        <v>0</v>
      </c>
      <c r="IG98" s="91">
        <f t="shared" si="1057"/>
        <v>0</v>
      </c>
      <c r="IH98" s="91">
        <f t="shared" si="1058"/>
        <v>0</v>
      </c>
      <c r="IW98" s="91">
        <f t="shared" si="1059"/>
        <v>0</v>
      </c>
      <c r="IX98" s="91">
        <f t="shared" si="1060"/>
        <v>0</v>
      </c>
      <c r="JM98" s="91">
        <f t="shared" si="1061"/>
        <v>0</v>
      </c>
      <c r="JN98" s="91">
        <f t="shared" si="1062"/>
        <v>0</v>
      </c>
      <c r="JQ98" s="98">
        <v>100</v>
      </c>
      <c r="JR98" s="98">
        <v>18000</v>
      </c>
      <c r="KC98" s="91">
        <f t="shared" si="1063"/>
        <v>100</v>
      </c>
      <c r="KD98" s="91">
        <f t="shared" si="1064"/>
        <v>18000</v>
      </c>
      <c r="KS98" s="91">
        <f t="shared" si="1065"/>
        <v>0</v>
      </c>
      <c r="KT98" s="91">
        <f t="shared" si="1066"/>
        <v>0</v>
      </c>
      <c r="LI98" s="91">
        <f t="shared" si="1067"/>
        <v>0</v>
      </c>
      <c r="LJ98" s="91">
        <f t="shared" si="1068"/>
        <v>0</v>
      </c>
      <c r="LY98" s="91">
        <f t="shared" si="1069"/>
        <v>0</v>
      </c>
      <c r="LZ98" s="91">
        <f t="shared" si="1070"/>
        <v>0</v>
      </c>
      <c r="MC98" s="98">
        <v>7900</v>
      </c>
      <c r="MD98" s="98">
        <v>790000</v>
      </c>
      <c r="MO98" s="91">
        <f t="shared" si="1071"/>
        <v>7900</v>
      </c>
      <c r="MP98" s="91">
        <f t="shared" si="1072"/>
        <v>790000</v>
      </c>
      <c r="NE98" s="91">
        <f t="shared" si="1073"/>
        <v>0</v>
      </c>
      <c r="NF98" s="91">
        <f t="shared" si="1074"/>
        <v>0</v>
      </c>
      <c r="NI98" s="98">
        <v>19000</v>
      </c>
      <c r="NJ98" s="98">
        <v>760000</v>
      </c>
      <c r="NU98" s="91">
        <f t="shared" si="1075"/>
        <v>19000</v>
      </c>
      <c r="NV98" s="91">
        <f t="shared" si="1076"/>
        <v>760000</v>
      </c>
      <c r="OK98" s="91">
        <f t="shared" si="1077"/>
        <v>0</v>
      </c>
      <c r="OL98" s="91">
        <f t="shared" si="1078"/>
        <v>0</v>
      </c>
      <c r="PA98" s="91">
        <f t="shared" si="1079"/>
        <v>0</v>
      </c>
      <c r="PB98" s="91">
        <f t="shared" si="1080"/>
        <v>0</v>
      </c>
      <c r="PQ98" s="91">
        <f t="shared" si="1081"/>
        <v>0</v>
      </c>
      <c r="PR98" s="91">
        <f t="shared" si="1082"/>
        <v>0</v>
      </c>
      <c r="QG98" s="91">
        <f t="shared" si="1083"/>
        <v>0</v>
      </c>
      <c r="QH98" s="91">
        <f t="shared" si="1084"/>
        <v>0</v>
      </c>
      <c r="QW98" s="91">
        <f t="shared" si="1085"/>
        <v>0</v>
      </c>
      <c r="QX98" s="91">
        <f t="shared" si="1086"/>
        <v>0</v>
      </c>
      <c r="RM98" s="91">
        <f t="shared" si="1087"/>
        <v>0</v>
      </c>
      <c r="RN98" s="91">
        <f t="shared" si="1088"/>
        <v>0</v>
      </c>
      <c r="SC98" s="91">
        <f t="shared" si="1089"/>
        <v>0</v>
      </c>
      <c r="SD98" s="91">
        <f t="shared" si="1090"/>
        <v>0</v>
      </c>
      <c r="SS98" s="91">
        <f t="shared" si="1091"/>
        <v>0</v>
      </c>
      <c r="ST98" s="91">
        <f t="shared" si="1092"/>
        <v>0</v>
      </c>
      <c r="TI98" s="91">
        <f t="shared" si="1093"/>
        <v>0</v>
      </c>
      <c r="TJ98" s="91">
        <f t="shared" si="1094"/>
        <v>0</v>
      </c>
      <c r="TY98" s="91">
        <f t="shared" si="1095"/>
        <v>0</v>
      </c>
      <c r="TZ98" s="91">
        <f t="shared" si="1096"/>
        <v>0</v>
      </c>
      <c r="UO98" s="91">
        <f t="shared" si="1097"/>
        <v>0</v>
      </c>
      <c r="UP98" s="91">
        <f t="shared" si="1098"/>
        <v>0</v>
      </c>
      <c r="VE98" s="91">
        <f t="shared" si="1099"/>
        <v>0</v>
      </c>
      <c r="VF98" s="91">
        <f t="shared" si="1100"/>
        <v>0</v>
      </c>
      <c r="VI98" s="98">
        <v>309</v>
      </c>
      <c r="VJ98" s="98">
        <v>18540</v>
      </c>
      <c r="VU98" s="91">
        <f t="shared" si="1101"/>
        <v>309</v>
      </c>
      <c r="VV98" s="91">
        <f t="shared" si="1102"/>
        <v>18540</v>
      </c>
      <c r="WK98" s="91">
        <f t="shared" si="1103"/>
        <v>0</v>
      </c>
      <c r="WL98" s="91">
        <f t="shared" si="1104"/>
        <v>0</v>
      </c>
      <c r="WM98" s="89"/>
      <c r="WN98" s="87">
        <f t="shared" si="1105"/>
        <v>0</v>
      </c>
      <c r="WO98" s="87">
        <f t="shared" si="1106"/>
        <v>0</v>
      </c>
      <c r="WP98" s="87">
        <f t="shared" si="1107"/>
        <v>74813</v>
      </c>
      <c r="WQ98" s="87">
        <f t="shared" si="1108"/>
        <v>3456178</v>
      </c>
      <c r="WR98" s="87">
        <f t="shared" si="1109"/>
        <v>0</v>
      </c>
      <c r="WS98" s="87">
        <f t="shared" si="1110"/>
        <v>0</v>
      </c>
      <c r="WT98" s="87">
        <f t="shared" si="1111"/>
        <v>0</v>
      </c>
      <c r="WU98" s="87">
        <f t="shared" si="1112"/>
        <v>0</v>
      </c>
      <c r="WV98" s="87">
        <f t="shared" si="1113"/>
        <v>0</v>
      </c>
      <c r="WW98" s="87">
        <f t="shared" si="1114"/>
        <v>0</v>
      </c>
      <c r="WX98" s="87">
        <f t="shared" si="1115"/>
        <v>0</v>
      </c>
      <c r="WY98" s="87">
        <f t="shared" si="1116"/>
        <v>0</v>
      </c>
      <c r="WZ98" s="87">
        <f t="shared" si="1117"/>
        <v>0</v>
      </c>
      <c r="XA98" s="87">
        <f t="shared" si="1118"/>
        <v>0</v>
      </c>
      <c r="XB98" s="92">
        <f t="shared" si="1119"/>
        <v>74813</v>
      </c>
      <c r="XC98" s="92">
        <f t="shared" si="1120"/>
        <v>3456178</v>
      </c>
      <c r="XD98" s="89"/>
      <c r="XE98" s="92">
        <f t="shared" si="1125"/>
        <v>198768.24758630138</v>
      </c>
      <c r="XF98" s="92">
        <f t="shared" si="1126"/>
        <v>8899317.6655205488</v>
      </c>
      <c r="XG98" s="89"/>
      <c r="XH98" s="92"/>
      <c r="XI98" s="92"/>
      <c r="XJ98" s="89"/>
      <c r="XK98" s="87"/>
      <c r="XL98" s="87"/>
      <c r="XM98" s="87"/>
      <c r="XN98" s="87"/>
      <c r="XO98" s="87"/>
      <c r="XP98" s="87"/>
      <c r="XQ98" s="87"/>
      <c r="XR98" s="92">
        <f t="shared" ca="1" si="1122"/>
        <v>0</v>
      </c>
      <c r="XS98" s="89"/>
      <c r="XT98" s="87"/>
      <c r="XU98" s="87"/>
      <c r="XV98" s="87"/>
      <c r="XW98" s="87"/>
      <c r="XX98" s="87"/>
      <c r="XY98" s="87"/>
      <c r="XZ98" s="87"/>
      <c r="YA98" s="92">
        <f t="shared" ca="1" si="1123"/>
        <v>0</v>
      </c>
      <c r="YB98" s="90"/>
      <c r="YC98" s="90"/>
      <c r="YD98" s="90"/>
      <c r="YE98" s="90"/>
      <c r="YF98" s="90"/>
      <c r="YG98" s="90"/>
      <c r="YH98" s="90"/>
      <c r="YI98" s="90"/>
      <c r="YJ98" s="90"/>
      <c r="YK98" s="90"/>
      <c r="YL98" s="90"/>
      <c r="YM98" s="90"/>
      <c r="YN98" s="90"/>
      <c r="YO98" s="90"/>
      <c r="YP98" s="90"/>
      <c r="YQ98" s="90"/>
      <c r="YR98" s="90"/>
      <c r="YS98" s="90"/>
      <c r="YT98" s="90"/>
      <c r="YU98" s="90"/>
      <c r="YV98" s="90"/>
      <c r="YW98" s="90"/>
      <c r="YX98" s="90"/>
      <c r="YY98" s="90"/>
      <c r="YZ98" s="90"/>
      <c r="ZA98" s="90"/>
      <c r="ZB98" s="90"/>
      <c r="ZC98" s="90"/>
      <c r="ZD98" s="90"/>
      <c r="ZE98" s="90"/>
      <c r="ZF98" s="90"/>
      <c r="ZG98" s="90"/>
      <c r="ZH98" s="90"/>
      <c r="ZI98" s="90"/>
      <c r="ZJ98" s="90"/>
      <c r="ZK98" s="90"/>
      <c r="ZL98" s="90"/>
      <c r="ZM98" s="90"/>
      <c r="ZN98" s="90"/>
      <c r="ZO98" s="90"/>
      <c r="ZP98" s="90"/>
      <c r="ZQ98" s="90"/>
      <c r="ZR98" s="90"/>
      <c r="ZS98" s="90"/>
      <c r="ZT98" s="90"/>
      <c r="ZU98" s="90"/>
      <c r="ZV98" s="90"/>
      <c r="ZW98" s="90"/>
      <c r="ZX98" s="90"/>
      <c r="ZY98" s="90"/>
      <c r="ZZ98" s="90"/>
      <c r="AAA98" s="90"/>
      <c r="AAB98" s="90"/>
      <c r="AAC98" s="90"/>
      <c r="AAD98" s="90"/>
      <c r="AAE98" s="90"/>
      <c r="AAF98" s="90"/>
      <c r="AAG98" s="90"/>
      <c r="AAH98" s="90"/>
      <c r="AAI98" s="90"/>
      <c r="AAJ98" s="90"/>
      <c r="AAK98" s="90"/>
      <c r="AAL98" s="90"/>
      <c r="AAM98" s="90"/>
      <c r="AAN98" s="90"/>
      <c r="AAO98" s="90"/>
      <c r="AAP98" s="90"/>
      <c r="AAQ98" s="90"/>
      <c r="AAR98" s="90"/>
      <c r="AAS98" s="90"/>
      <c r="AAT98" s="90"/>
      <c r="AAU98" s="90"/>
      <c r="AAV98" s="90"/>
      <c r="AAW98" s="90"/>
      <c r="AAX98" s="90"/>
      <c r="AAY98" s="90"/>
      <c r="AAZ98" s="90"/>
      <c r="ABA98" s="90"/>
      <c r="ABB98" s="90"/>
      <c r="ABC98" s="90"/>
      <c r="ABD98" s="90"/>
      <c r="ABE98" s="90"/>
      <c r="ABF98" s="90"/>
      <c r="ABG98" s="90"/>
      <c r="ABH98" s="90"/>
      <c r="ABI98" s="90"/>
      <c r="ABJ98" s="90"/>
      <c r="ABK98" s="90"/>
      <c r="ABL98" s="90"/>
      <c r="ABM98" s="90"/>
      <c r="ABN98" s="90"/>
      <c r="ABO98" s="90"/>
      <c r="ABP98" s="90"/>
      <c r="ABQ98" s="90"/>
      <c r="ABR98" s="90"/>
      <c r="ABS98" s="90"/>
      <c r="ABT98" s="90"/>
      <c r="ABU98" s="90"/>
      <c r="ABV98" s="90"/>
      <c r="ABW98" s="90"/>
      <c r="ABX98" s="90"/>
      <c r="ABY98" s="90"/>
      <c r="ABZ98" s="90"/>
      <c r="ACA98" s="90"/>
      <c r="ACB98" s="90"/>
      <c r="ACC98" s="90"/>
      <c r="ACD98" s="90"/>
      <c r="ACE98" s="90"/>
      <c r="ACF98" s="90"/>
      <c r="ACG98" s="90"/>
      <c r="ACH98" s="90"/>
      <c r="ACI98" s="90"/>
      <c r="ACJ98" s="90"/>
      <c r="ACK98" s="90"/>
      <c r="ACL98" s="90"/>
      <c r="ACM98" s="90"/>
      <c r="ACN98" s="90"/>
      <c r="ACO98" s="90"/>
      <c r="ACP98" s="90"/>
      <c r="ACQ98" s="90"/>
      <c r="ACR98" s="90"/>
      <c r="ACS98" s="90"/>
      <c r="ACT98" s="90"/>
      <c r="ACU98" s="90"/>
      <c r="ACV98" s="90"/>
      <c r="ACW98" s="90"/>
      <c r="ACX98" s="90"/>
      <c r="ACY98" s="90"/>
      <c r="ACZ98" s="90"/>
      <c r="ADA98" s="90"/>
      <c r="ADB98" s="90"/>
      <c r="ADC98" s="90"/>
      <c r="ADD98" s="90"/>
      <c r="ADE98" s="90"/>
      <c r="ADF98" s="90"/>
      <c r="ADG98" s="90"/>
      <c r="ADH98" s="90"/>
      <c r="ADI98" s="90"/>
      <c r="ADJ98" s="90"/>
      <c r="ADK98" s="90"/>
      <c r="ADL98" s="90"/>
      <c r="ADM98" s="90"/>
      <c r="ADN98" s="90"/>
      <c r="ADO98" s="90"/>
      <c r="ADP98" s="90"/>
      <c r="ADQ98" s="90"/>
      <c r="ADR98" s="90"/>
      <c r="ADS98" s="90"/>
      <c r="ADT98" s="90"/>
      <c r="ADU98" s="90"/>
      <c r="ADV98" s="90"/>
      <c r="ADW98" s="90"/>
      <c r="ADX98" s="90"/>
      <c r="ADY98" s="90"/>
      <c r="ADZ98" s="90"/>
      <c r="AEA98" s="90"/>
      <c r="AEB98" s="90"/>
      <c r="AEC98" s="90"/>
      <c r="AED98" s="90"/>
      <c r="AEE98" s="90"/>
      <c r="AEF98" s="90"/>
      <c r="AEG98" s="90"/>
      <c r="AEH98" s="90"/>
      <c r="AEI98" s="90"/>
      <c r="AEJ98" s="90"/>
      <c r="AEK98" s="90"/>
      <c r="AEL98" s="90"/>
      <c r="AEM98" s="90"/>
      <c r="AEN98" s="90"/>
      <c r="AEO98" s="90"/>
      <c r="AEP98" s="90"/>
      <c r="AEQ98" s="90"/>
      <c r="AER98" s="90"/>
      <c r="AES98" s="90"/>
      <c r="AET98" s="90"/>
      <c r="AEU98" s="90"/>
      <c r="AEV98" s="90"/>
      <c r="AEW98" s="90"/>
      <c r="AEX98" s="90"/>
      <c r="AEY98" s="90"/>
      <c r="AEZ98" s="90"/>
      <c r="AFA98" s="90"/>
      <c r="AFB98" s="90"/>
      <c r="AFC98" s="90"/>
      <c r="AFD98" s="90"/>
      <c r="AFE98" s="90"/>
      <c r="AFF98" s="90"/>
      <c r="AFG98" s="90"/>
      <c r="AFH98" s="90"/>
      <c r="AFI98" s="90"/>
      <c r="AFJ98" s="90"/>
      <c r="AFK98" s="90"/>
      <c r="AFL98" s="90"/>
      <c r="AFM98" s="90"/>
      <c r="AFN98" s="90"/>
      <c r="AFO98" s="90"/>
      <c r="AFP98" s="90"/>
      <c r="AFQ98" s="90"/>
      <c r="AFR98" s="90"/>
      <c r="AFS98" s="90"/>
      <c r="AFT98" s="90"/>
      <c r="AFU98" s="90"/>
      <c r="AFV98" s="90"/>
      <c r="AFW98" s="90"/>
      <c r="AFX98" s="90"/>
      <c r="AFY98" s="90"/>
      <c r="AFZ98" s="90"/>
      <c r="AGA98" s="90"/>
      <c r="AGB98" s="90"/>
      <c r="AGC98" s="90"/>
      <c r="AGD98" s="90"/>
      <c r="AGE98" s="90"/>
      <c r="AGF98" s="90"/>
      <c r="AGG98" s="90"/>
      <c r="AGH98" s="90"/>
      <c r="AGI98" s="90"/>
      <c r="AGJ98" s="90"/>
      <c r="AGK98" s="90"/>
      <c r="AGL98" s="90"/>
      <c r="AGM98" s="90"/>
      <c r="AGN98" s="90"/>
      <c r="AGO98" s="90"/>
      <c r="AGP98" s="90"/>
      <c r="AGQ98" s="90"/>
      <c r="AGR98" s="90"/>
      <c r="AGS98" s="90"/>
      <c r="AGT98" s="90"/>
      <c r="AGU98" s="90"/>
      <c r="AGV98" s="90"/>
      <c r="AGW98" s="90"/>
      <c r="AGX98" s="90"/>
      <c r="AGY98" s="90"/>
      <c r="AGZ98" s="90"/>
      <c r="AHA98" s="90"/>
      <c r="AHB98" s="90"/>
      <c r="AHC98" s="90"/>
      <c r="AHD98" s="90"/>
      <c r="AHE98" s="90"/>
      <c r="AHF98" s="90"/>
      <c r="AHG98" s="90"/>
      <c r="AHH98" s="90"/>
      <c r="AHI98" s="90"/>
      <c r="AHJ98" s="90"/>
      <c r="AHK98" s="90"/>
      <c r="AHL98" s="90"/>
      <c r="AHM98" s="90"/>
      <c r="AHN98" s="90"/>
      <c r="AHO98" s="90"/>
      <c r="AHP98" s="90"/>
      <c r="AHQ98" s="90"/>
      <c r="AHR98" s="90"/>
      <c r="AHS98" s="90"/>
      <c r="AHT98" s="90"/>
      <c r="AHU98" s="90"/>
      <c r="AHV98" s="90"/>
      <c r="AHW98" s="90"/>
      <c r="AHX98" s="90"/>
      <c r="AHY98" s="90"/>
      <c r="AHZ98" s="90"/>
      <c r="AIA98" s="90"/>
      <c r="AIB98" s="90"/>
      <c r="AIC98" s="90"/>
      <c r="AID98" s="90"/>
      <c r="AIE98" s="90"/>
      <c r="AIF98" s="90"/>
      <c r="AIG98" s="90"/>
      <c r="AIH98" s="90"/>
      <c r="AII98" s="90"/>
      <c r="AIJ98" s="90"/>
      <c r="AIK98" s="90"/>
      <c r="AIL98" s="90"/>
      <c r="AIM98" s="90"/>
      <c r="AIN98" s="90"/>
      <c r="AIO98" s="90"/>
      <c r="AIP98" s="90"/>
      <c r="AIQ98" s="90"/>
      <c r="AIR98" s="90"/>
      <c r="AIS98" s="90"/>
      <c r="AIT98" s="90"/>
      <c r="AIU98" s="90"/>
      <c r="AIV98" s="90"/>
      <c r="AIW98" s="90"/>
      <c r="AIX98" s="90"/>
      <c r="AIY98" s="90"/>
      <c r="AIZ98" s="90"/>
      <c r="AJA98" s="90"/>
      <c r="AJB98" s="90"/>
      <c r="AJC98" s="90"/>
      <c r="AJD98" s="90"/>
      <c r="AJE98" s="90"/>
      <c r="AJF98" s="90"/>
      <c r="AJG98" s="90"/>
      <c r="AJH98" s="90"/>
      <c r="AJI98" s="90"/>
      <c r="AJJ98" s="90"/>
      <c r="AJK98" s="90"/>
      <c r="AJL98" s="90"/>
      <c r="AJM98" s="90"/>
      <c r="AJN98" s="90"/>
      <c r="AJO98" s="90"/>
      <c r="AJP98" s="90"/>
      <c r="AJQ98" s="90"/>
      <c r="AJR98" s="90"/>
      <c r="AJS98" s="90"/>
      <c r="AJT98" s="90"/>
      <c r="AJU98" s="90"/>
      <c r="AJV98" s="90"/>
      <c r="AJW98" s="90"/>
      <c r="AJX98" s="90"/>
      <c r="AJY98" s="90"/>
      <c r="AJZ98" s="90"/>
      <c r="AKA98" s="90"/>
      <c r="AKB98" s="90"/>
      <c r="AKC98" s="90"/>
      <c r="AKD98" s="90"/>
      <c r="AKE98" s="90"/>
      <c r="AKF98" s="90"/>
      <c r="AKG98" s="90"/>
      <c r="AKH98" s="90"/>
      <c r="AKI98" s="90"/>
      <c r="AKJ98" s="90"/>
      <c r="AKK98" s="90"/>
      <c r="AKL98" s="90"/>
      <c r="AKM98" s="90"/>
      <c r="AKN98" s="90"/>
      <c r="AKO98" s="90"/>
      <c r="AKP98" s="90"/>
      <c r="AKQ98" s="90"/>
      <c r="AKR98" s="90"/>
      <c r="AKS98" s="90"/>
      <c r="AKT98" s="90"/>
      <c r="AKU98" s="90"/>
      <c r="AKV98" s="90"/>
      <c r="AKW98" s="90"/>
      <c r="AKX98" s="90"/>
      <c r="AKY98" s="90"/>
      <c r="AKZ98" s="90"/>
      <c r="ALA98" s="90"/>
      <c r="ALB98" s="90"/>
      <c r="ALC98" s="90"/>
      <c r="ALD98" s="90"/>
      <c r="ALE98" s="90"/>
      <c r="ALF98" s="90"/>
      <c r="ALG98" s="90"/>
      <c r="ALH98" s="90"/>
      <c r="ALI98" s="90"/>
      <c r="ALJ98" s="90"/>
      <c r="ALK98" s="90"/>
      <c r="ALL98" s="90"/>
      <c r="ALM98" s="90"/>
      <c r="ALN98" s="90"/>
      <c r="ALO98" s="90"/>
      <c r="ALP98" s="90"/>
      <c r="ALQ98" s="90"/>
      <c r="ALR98" s="90"/>
      <c r="ALS98" s="90"/>
      <c r="ALT98" s="90"/>
      <c r="ALU98" s="90"/>
      <c r="ALV98" s="90"/>
      <c r="ALW98" s="90"/>
      <c r="ALX98" s="90"/>
      <c r="ALY98" s="90"/>
      <c r="ALZ98" s="90"/>
      <c r="AMA98" s="90"/>
      <c r="AMB98" s="90"/>
      <c r="AMC98" s="90"/>
    </row>
    <row r="99" spans="1:1017">
      <c r="A99" s="98" t="s">
        <v>47</v>
      </c>
      <c r="B99" s="90" t="str">
        <f t="shared" si="1028"/>
        <v xml:space="preserve">Kerang Hijau </v>
      </c>
      <c r="Q99" s="91">
        <f t="shared" si="1029"/>
        <v>0</v>
      </c>
      <c r="R99" s="91">
        <f t="shared" si="1030"/>
        <v>0</v>
      </c>
      <c r="AG99" s="91">
        <f t="shared" si="1031"/>
        <v>0</v>
      </c>
      <c r="AH99" s="91">
        <f t="shared" si="1032"/>
        <v>0</v>
      </c>
      <c r="AW99" s="91">
        <f t="shared" si="1033"/>
        <v>0</v>
      </c>
      <c r="AX99" s="91">
        <f t="shared" si="1034"/>
        <v>0</v>
      </c>
      <c r="BM99" s="91">
        <f t="shared" si="1035"/>
        <v>0</v>
      </c>
      <c r="BN99" s="91">
        <f t="shared" si="1036"/>
        <v>0</v>
      </c>
      <c r="CC99" s="91">
        <f t="shared" si="1037"/>
        <v>0</v>
      </c>
      <c r="CD99" s="91">
        <f t="shared" si="1038"/>
        <v>0</v>
      </c>
      <c r="CE99" s="98">
        <v>598742</v>
      </c>
      <c r="CF99" s="98">
        <v>2394967</v>
      </c>
      <c r="CS99" s="91">
        <f t="shared" si="1039"/>
        <v>598742</v>
      </c>
      <c r="CT99" s="91">
        <f t="shared" si="1040"/>
        <v>2394967</v>
      </c>
      <c r="DI99" s="91">
        <f t="shared" si="1041"/>
        <v>0</v>
      </c>
      <c r="DJ99" s="91">
        <f t="shared" si="1042"/>
        <v>0</v>
      </c>
      <c r="DY99" s="91">
        <f t="shared" si="1043"/>
        <v>0</v>
      </c>
      <c r="DZ99" s="91">
        <f t="shared" si="1044"/>
        <v>0</v>
      </c>
      <c r="EO99" s="91">
        <f t="shared" si="1045"/>
        <v>0</v>
      </c>
      <c r="EP99" s="91">
        <f t="shared" si="1046"/>
        <v>0</v>
      </c>
      <c r="FE99" s="91">
        <f t="shared" si="1047"/>
        <v>0</v>
      </c>
      <c r="FF99" s="91">
        <f t="shared" si="1048"/>
        <v>0</v>
      </c>
      <c r="FU99" s="91">
        <f t="shared" si="1049"/>
        <v>0</v>
      </c>
      <c r="FV99" s="91">
        <f t="shared" si="1050"/>
        <v>0</v>
      </c>
      <c r="GK99" s="91">
        <f t="shared" si="1051"/>
        <v>0</v>
      </c>
      <c r="GL99" s="91">
        <f t="shared" si="1052"/>
        <v>0</v>
      </c>
      <c r="HA99" s="91">
        <f t="shared" si="1053"/>
        <v>0</v>
      </c>
      <c r="HB99" s="91">
        <f t="shared" si="1054"/>
        <v>0</v>
      </c>
      <c r="HQ99" s="91">
        <f t="shared" si="1055"/>
        <v>0</v>
      </c>
      <c r="HR99" s="91">
        <f t="shared" si="1056"/>
        <v>0</v>
      </c>
      <c r="IG99" s="91">
        <f t="shared" si="1057"/>
        <v>0</v>
      </c>
      <c r="IH99" s="91">
        <f t="shared" si="1058"/>
        <v>0</v>
      </c>
      <c r="IW99" s="91">
        <f t="shared" si="1059"/>
        <v>0</v>
      </c>
      <c r="IX99" s="91">
        <f t="shared" si="1060"/>
        <v>0</v>
      </c>
      <c r="JM99" s="91">
        <f t="shared" si="1061"/>
        <v>0</v>
      </c>
      <c r="JN99" s="91">
        <f t="shared" si="1062"/>
        <v>0</v>
      </c>
      <c r="KC99" s="91">
        <f t="shared" si="1063"/>
        <v>0</v>
      </c>
      <c r="KD99" s="91">
        <f t="shared" si="1064"/>
        <v>0</v>
      </c>
      <c r="KS99" s="91">
        <f t="shared" si="1065"/>
        <v>0</v>
      </c>
      <c r="KT99" s="91">
        <f t="shared" si="1066"/>
        <v>0</v>
      </c>
      <c r="LI99" s="91">
        <f t="shared" si="1067"/>
        <v>0</v>
      </c>
      <c r="LJ99" s="91">
        <f t="shared" si="1068"/>
        <v>0</v>
      </c>
      <c r="LY99" s="91">
        <f t="shared" si="1069"/>
        <v>0</v>
      </c>
      <c r="LZ99" s="91">
        <f t="shared" si="1070"/>
        <v>0</v>
      </c>
      <c r="MO99" s="91">
        <f t="shared" si="1071"/>
        <v>0</v>
      </c>
      <c r="MP99" s="91">
        <f t="shared" si="1072"/>
        <v>0</v>
      </c>
      <c r="NE99" s="91">
        <f t="shared" si="1073"/>
        <v>0</v>
      </c>
      <c r="NF99" s="91">
        <f t="shared" si="1074"/>
        <v>0</v>
      </c>
      <c r="NU99" s="91">
        <f t="shared" si="1075"/>
        <v>0</v>
      </c>
      <c r="NV99" s="91">
        <f t="shared" si="1076"/>
        <v>0</v>
      </c>
      <c r="OK99" s="91">
        <f t="shared" si="1077"/>
        <v>0</v>
      </c>
      <c r="OL99" s="91">
        <f t="shared" si="1078"/>
        <v>0</v>
      </c>
      <c r="PA99" s="91">
        <f t="shared" si="1079"/>
        <v>0</v>
      </c>
      <c r="PB99" s="91">
        <f t="shared" si="1080"/>
        <v>0</v>
      </c>
      <c r="PQ99" s="91">
        <f t="shared" si="1081"/>
        <v>0</v>
      </c>
      <c r="PR99" s="91">
        <f t="shared" si="1082"/>
        <v>0</v>
      </c>
      <c r="QG99" s="91">
        <f t="shared" si="1083"/>
        <v>0</v>
      </c>
      <c r="QH99" s="91">
        <f t="shared" si="1084"/>
        <v>0</v>
      </c>
      <c r="QW99" s="91">
        <f t="shared" si="1085"/>
        <v>0</v>
      </c>
      <c r="QX99" s="91">
        <f t="shared" si="1086"/>
        <v>0</v>
      </c>
      <c r="RM99" s="91">
        <f t="shared" si="1087"/>
        <v>0</v>
      </c>
      <c r="RN99" s="91">
        <f t="shared" si="1088"/>
        <v>0</v>
      </c>
      <c r="SC99" s="91">
        <f t="shared" si="1089"/>
        <v>0</v>
      </c>
      <c r="SD99" s="91">
        <f t="shared" si="1090"/>
        <v>0</v>
      </c>
      <c r="SS99" s="91">
        <f t="shared" si="1091"/>
        <v>0</v>
      </c>
      <c r="ST99" s="91">
        <f t="shared" si="1092"/>
        <v>0</v>
      </c>
      <c r="TI99" s="91">
        <f t="shared" si="1093"/>
        <v>0</v>
      </c>
      <c r="TJ99" s="91">
        <f t="shared" si="1094"/>
        <v>0</v>
      </c>
      <c r="TY99" s="91">
        <f t="shared" si="1095"/>
        <v>0</v>
      </c>
      <c r="TZ99" s="91">
        <f t="shared" si="1096"/>
        <v>0</v>
      </c>
      <c r="UO99" s="91">
        <f t="shared" si="1097"/>
        <v>0</v>
      </c>
      <c r="UP99" s="91">
        <f t="shared" si="1098"/>
        <v>0</v>
      </c>
      <c r="VE99" s="91">
        <f t="shared" si="1099"/>
        <v>0</v>
      </c>
      <c r="VF99" s="91">
        <f t="shared" si="1100"/>
        <v>0</v>
      </c>
      <c r="VU99" s="91">
        <f t="shared" si="1101"/>
        <v>0</v>
      </c>
      <c r="VV99" s="91">
        <f t="shared" si="1102"/>
        <v>0</v>
      </c>
      <c r="WK99" s="91">
        <f t="shared" si="1103"/>
        <v>0</v>
      </c>
      <c r="WL99" s="91">
        <f t="shared" si="1104"/>
        <v>0</v>
      </c>
      <c r="WM99" s="89"/>
      <c r="WN99" s="87">
        <f t="shared" si="1105"/>
        <v>598742</v>
      </c>
      <c r="WO99" s="87">
        <f t="shared" si="1106"/>
        <v>2394967</v>
      </c>
      <c r="WP99" s="87">
        <f t="shared" si="1107"/>
        <v>0</v>
      </c>
      <c r="WQ99" s="87">
        <f t="shared" si="1108"/>
        <v>0</v>
      </c>
      <c r="WR99" s="87">
        <f t="shared" si="1109"/>
        <v>0</v>
      </c>
      <c r="WS99" s="87">
        <f t="shared" si="1110"/>
        <v>0</v>
      </c>
      <c r="WT99" s="87">
        <f t="shared" si="1111"/>
        <v>0</v>
      </c>
      <c r="WU99" s="87">
        <f t="shared" si="1112"/>
        <v>0</v>
      </c>
      <c r="WV99" s="87">
        <f t="shared" si="1113"/>
        <v>0</v>
      </c>
      <c r="WW99" s="87">
        <f t="shared" si="1114"/>
        <v>0</v>
      </c>
      <c r="WX99" s="87">
        <f t="shared" si="1115"/>
        <v>0</v>
      </c>
      <c r="WY99" s="87">
        <f t="shared" si="1116"/>
        <v>0</v>
      </c>
      <c r="WZ99" s="87">
        <f t="shared" si="1117"/>
        <v>0</v>
      </c>
      <c r="XA99" s="87">
        <f t="shared" si="1118"/>
        <v>0</v>
      </c>
      <c r="XB99" s="92">
        <f t="shared" si="1119"/>
        <v>598742</v>
      </c>
      <c r="XC99" s="92">
        <f t="shared" si="1120"/>
        <v>2394967</v>
      </c>
      <c r="XD99" s="89"/>
      <c r="XE99" s="92">
        <f t="shared" si="1125"/>
        <v>4684302</v>
      </c>
      <c r="XF99" s="92">
        <f t="shared" si="1126"/>
        <v>18737206.061000001</v>
      </c>
      <c r="XG99" s="89"/>
      <c r="XH99" s="92"/>
      <c r="XI99" s="92"/>
      <c r="XJ99" s="89"/>
      <c r="XK99" s="87"/>
      <c r="XL99" s="87"/>
      <c r="XM99" s="87"/>
      <c r="XN99" s="87"/>
      <c r="XO99" s="87"/>
      <c r="XP99" s="87"/>
      <c r="XQ99" s="87"/>
      <c r="XR99" s="92">
        <f t="shared" ca="1" si="1122"/>
        <v>0</v>
      </c>
      <c r="XS99" s="89"/>
      <c r="XT99" s="87"/>
      <c r="XU99" s="87"/>
      <c r="XV99" s="87"/>
      <c r="XW99" s="87"/>
      <c r="XX99" s="87"/>
      <c r="XY99" s="87"/>
      <c r="XZ99" s="87"/>
      <c r="YA99" s="92">
        <f t="shared" ca="1" si="1123"/>
        <v>0</v>
      </c>
      <c r="YB99" s="90"/>
      <c r="YC99" s="90"/>
      <c r="YD99" s="90"/>
      <c r="YE99" s="90"/>
      <c r="YF99" s="90"/>
      <c r="YG99" s="90"/>
      <c r="YH99" s="90"/>
      <c r="YI99" s="90"/>
      <c r="YJ99" s="90"/>
      <c r="YK99" s="90"/>
      <c r="YL99" s="90"/>
      <c r="YM99" s="90"/>
      <c r="YN99" s="90"/>
      <c r="YO99" s="90"/>
      <c r="YP99" s="90"/>
      <c r="YQ99" s="90"/>
      <c r="YR99" s="90"/>
      <c r="YS99" s="90"/>
      <c r="YT99" s="90"/>
      <c r="YU99" s="90"/>
      <c r="YV99" s="90"/>
      <c r="YW99" s="90"/>
      <c r="YX99" s="90"/>
      <c r="YY99" s="90"/>
      <c r="YZ99" s="90"/>
      <c r="ZA99" s="90"/>
      <c r="ZB99" s="90"/>
      <c r="ZC99" s="90"/>
      <c r="ZD99" s="90"/>
      <c r="ZE99" s="90"/>
      <c r="ZF99" s="90"/>
      <c r="ZG99" s="90"/>
      <c r="ZH99" s="90"/>
      <c r="ZI99" s="90"/>
      <c r="ZJ99" s="90"/>
      <c r="ZK99" s="90"/>
      <c r="ZL99" s="90"/>
      <c r="ZM99" s="90"/>
      <c r="ZN99" s="90"/>
      <c r="ZO99" s="90"/>
      <c r="ZP99" s="90"/>
      <c r="ZQ99" s="90"/>
      <c r="ZR99" s="90"/>
      <c r="ZS99" s="90"/>
      <c r="ZT99" s="90"/>
      <c r="ZU99" s="90"/>
      <c r="ZV99" s="90"/>
      <c r="ZW99" s="90"/>
      <c r="ZX99" s="90"/>
      <c r="ZY99" s="90"/>
      <c r="ZZ99" s="90"/>
      <c r="AAA99" s="90"/>
      <c r="AAB99" s="90"/>
      <c r="AAC99" s="90"/>
      <c r="AAD99" s="90"/>
      <c r="AAE99" s="90"/>
      <c r="AAF99" s="90"/>
      <c r="AAG99" s="90"/>
      <c r="AAH99" s="90"/>
      <c r="AAI99" s="90"/>
      <c r="AAJ99" s="90"/>
      <c r="AAK99" s="90"/>
      <c r="AAL99" s="90"/>
      <c r="AAM99" s="90"/>
      <c r="AAN99" s="90"/>
      <c r="AAO99" s="90"/>
      <c r="AAP99" s="90"/>
      <c r="AAQ99" s="90"/>
      <c r="AAR99" s="90"/>
      <c r="AAS99" s="90"/>
      <c r="AAT99" s="90"/>
      <c r="AAU99" s="90"/>
      <c r="AAV99" s="90"/>
      <c r="AAW99" s="90"/>
      <c r="AAX99" s="90"/>
      <c r="AAY99" s="90"/>
      <c r="AAZ99" s="90"/>
      <c r="ABA99" s="90"/>
      <c r="ABB99" s="90"/>
      <c r="ABC99" s="90"/>
      <c r="ABD99" s="90"/>
      <c r="ABE99" s="90"/>
      <c r="ABF99" s="90"/>
      <c r="ABG99" s="90"/>
      <c r="ABH99" s="90"/>
      <c r="ABI99" s="90"/>
      <c r="ABJ99" s="90"/>
      <c r="ABK99" s="90"/>
      <c r="ABL99" s="90"/>
      <c r="ABM99" s="90"/>
      <c r="ABN99" s="90"/>
      <c r="ABO99" s="90"/>
      <c r="ABP99" s="90"/>
      <c r="ABQ99" s="90"/>
      <c r="ABR99" s="90"/>
      <c r="ABS99" s="90"/>
      <c r="ABT99" s="90"/>
      <c r="ABU99" s="90"/>
      <c r="ABV99" s="90"/>
      <c r="ABW99" s="90"/>
      <c r="ABX99" s="90"/>
      <c r="ABY99" s="90"/>
      <c r="ABZ99" s="90"/>
      <c r="ACA99" s="90"/>
      <c r="ACB99" s="90"/>
      <c r="ACC99" s="90"/>
      <c r="ACD99" s="90"/>
      <c r="ACE99" s="90"/>
      <c r="ACF99" s="90"/>
      <c r="ACG99" s="90"/>
      <c r="ACH99" s="90"/>
      <c r="ACI99" s="90"/>
      <c r="ACJ99" s="90"/>
      <c r="ACK99" s="90"/>
      <c r="ACL99" s="90"/>
      <c r="ACM99" s="90"/>
      <c r="ACN99" s="90"/>
      <c r="ACO99" s="90"/>
      <c r="ACP99" s="90"/>
      <c r="ACQ99" s="90"/>
      <c r="ACR99" s="90"/>
      <c r="ACS99" s="90"/>
      <c r="ACT99" s="90"/>
      <c r="ACU99" s="90"/>
      <c r="ACV99" s="90"/>
      <c r="ACW99" s="90"/>
      <c r="ACX99" s="90"/>
      <c r="ACY99" s="90"/>
      <c r="ACZ99" s="90"/>
      <c r="ADA99" s="90"/>
      <c r="ADB99" s="90"/>
      <c r="ADC99" s="90"/>
      <c r="ADD99" s="90"/>
      <c r="ADE99" s="90"/>
      <c r="ADF99" s="90"/>
      <c r="ADG99" s="90"/>
      <c r="ADH99" s="90"/>
      <c r="ADI99" s="90"/>
      <c r="ADJ99" s="90"/>
      <c r="ADK99" s="90"/>
      <c r="ADL99" s="90"/>
      <c r="ADM99" s="90"/>
      <c r="ADN99" s="90"/>
      <c r="ADO99" s="90"/>
      <c r="ADP99" s="90"/>
      <c r="ADQ99" s="90"/>
      <c r="ADR99" s="90"/>
      <c r="ADS99" s="90"/>
      <c r="ADT99" s="90"/>
      <c r="ADU99" s="90"/>
      <c r="ADV99" s="90"/>
      <c r="ADW99" s="90"/>
      <c r="ADX99" s="90"/>
      <c r="ADY99" s="90"/>
      <c r="ADZ99" s="90"/>
      <c r="AEA99" s="90"/>
      <c r="AEB99" s="90"/>
      <c r="AEC99" s="90"/>
      <c r="AED99" s="90"/>
      <c r="AEE99" s="90"/>
      <c r="AEF99" s="90"/>
      <c r="AEG99" s="90"/>
      <c r="AEH99" s="90"/>
      <c r="AEI99" s="90"/>
      <c r="AEJ99" s="90"/>
      <c r="AEK99" s="90"/>
      <c r="AEL99" s="90"/>
      <c r="AEM99" s="90"/>
      <c r="AEN99" s="90"/>
      <c r="AEO99" s="90"/>
      <c r="AEP99" s="90"/>
      <c r="AEQ99" s="90"/>
      <c r="AER99" s="90"/>
      <c r="AES99" s="90"/>
      <c r="AET99" s="90"/>
      <c r="AEU99" s="90"/>
      <c r="AEV99" s="90"/>
      <c r="AEW99" s="90"/>
      <c r="AEX99" s="90"/>
      <c r="AEY99" s="90"/>
      <c r="AEZ99" s="90"/>
      <c r="AFA99" s="90"/>
      <c r="AFB99" s="90"/>
      <c r="AFC99" s="90"/>
      <c r="AFD99" s="90"/>
      <c r="AFE99" s="90"/>
      <c r="AFF99" s="90"/>
      <c r="AFG99" s="90"/>
      <c r="AFH99" s="90"/>
      <c r="AFI99" s="90"/>
      <c r="AFJ99" s="90"/>
      <c r="AFK99" s="90"/>
      <c r="AFL99" s="90"/>
      <c r="AFM99" s="90"/>
      <c r="AFN99" s="90"/>
      <c r="AFO99" s="90"/>
      <c r="AFP99" s="90"/>
      <c r="AFQ99" s="90"/>
      <c r="AFR99" s="90"/>
      <c r="AFS99" s="90"/>
      <c r="AFT99" s="90"/>
      <c r="AFU99" s="90"/>
      <c r="AFV99" s="90"/>
      <c r="AFW99" s="90"/>
      <c r="AFX99" s="90"/>
      <c r="AFY99" s="90"/>
      <c r="AFZ99" s="90"/>
      <c r="AGA99" s="90"/>
      <c r="AGB99" s="90"/>
      <c r="AGC99" s="90"/>
      <c r="AGD99" s="90"/>
      <c r="AGE99" s="90"/>
      <c r="AGF99" s="90"/>
      <c r="AGG99" s="90"/>
      <c r="AGH99" s="90"/>
      <c r="AGI99" s="90"/>
      <c r="AGJ99" s="90"/>
      <c r="AGK99" s="90"/>
      <c r="AGL99" s="90"/>
      <c r="AGM99" s="90"/>
      <c r="AGN99" s="90"/>
      <c r="AGO99" s="90"/>
      <c r="AGP99" s="90"/>
      <c r="AGQ99" s="90"/>
      <c r="AGR99" s="90"/>
      <c r="AGS99" s="90"/>
      <c r="AGT99" s="90"/>
      <c r="AGU99" s="90"/>
      <c r="AGV99" s="90"/>
      <c r="AGW99" s="90"/>
      <c r="AGX99" s="90"/>
      <c r="AGY99" s="90"/>
      <c r="AGZ99" s="90"/>
      <c r="AHA99" s="90"/>
      <c r="AHB99" s="90"/>
      <c r="AHC99" s="90"/>
      <c r="AHD99" s="90"/>
      <c r="AHE99" s="90"/>
      <c r="AHF99" s="90"/>
      <c r="AHG99" s="90"/>
      <c r="AHH99" s="90"/>
      <c r="AHI99" s="90"/>
      <c r="AHJ99" s="90"/>
      <c r="AHK99" s="90"/>
      <c r="AHL99" s="90"/>
      <c r="AHM99" s="90"/>
      <c r="AHN99" s="90"/>
      <c r="AHO99" s="90"/>
      <c r="AHP99" s="90"/>
      <c r="AHQ99" s="90"/>
      <c r="AHR99" s="90"/>
      <c r="AHS99" s="90"/>
      <c r="AHT99" s="90"/>
      <c r="AHU99" s="90"/>
      <c r="AHV99" s="90"/>
      <c r="AHW99" s="90"/>
      <c r="AHX99" s="90"/>
      <c r="AHY99" s="90"/>
      <c r="AHZ99" s="90"/>
      <c r="AIA99" s="90"/>
      <c r="AIB99" s="90"/>
      <c r="AIC99" s="90"/>
      <c r="AID99" s="90"/>
      <c r="AIE99" s="90"/>
      <c r="AIF99" s="90"/>
      <c r="AIG99" s="90"/>
      <c r="AIH99" s="90"/>
      <c r="AII99" s="90"/>
      <c r="AIJ99" s="90"/>
      <c r="AIK99" s="90"/>
      <c r="AIL99" s="90"/>
      <c r="AIM99" s="90"/>
      <c r="AIN99" s="90"/>
      <c r="AIO99" s="90"/>
      <c r="AIP99" s="90"/>
      <c r="AIQ99" s="90"/>
      <c r="AIR99" s="90"/>
      <c r="AIS99" s="90"/>
      <c r="AIT99" s="90"/>
      <c r="AIU99" s="90"/>
      <c r="AIV99" s="90"/>
      <c r="AIW99" s="90"/>
      <c r="AIX99" s="90"/>
      <c r="AIY99" s="90"/>
      <c r="AIZ99" s="90"/>
      <c r="AJA99" s="90"/>
      <c r="AJB99" s="90"/>
      <c r="AJC99" s="90"/>
      <c r="AJD99" s="90"/>
      <c r="AJE99" s="90"/>
      <c r="AJF99" s="90"/>
      <c r="AJG99" s="90"/>
      <c r="AJH99" s="90"/>
      <c r="AJI99" s="90"/>
      <c r="AJJ99" s="90"/>
      <c r="AJK99" s="90"/>
      <c r="AJL99" s="90"/>
      <c r="AJM99" s="90"/>
      <c r="AJN99" s="90"/>
      <c r="AJO99" s="90"/>
      <c r="AJP99" s="90"/>
      <c r="AJQ99" s="90"/>
      <c r="AJR99" s="90"/>
      <c r="AJS99" s="90"/>
      <c r="AJT99" s="90"/>
      <c r="AJU99" s="90"/>
      <c r="AJV99" s="90"/>
      <c r="AJW99" s="90"/>
      <c r="AJX99" s="90"/>
      <c r="AJY99" s="90"/>
      <c r="AJZ99" s="90"/>
      <c r="AKA99" s="90"/>
      <c r="AKB99" s="90"/>
      <c r="AKC99" s="90"/>
      <c r="AKD99" s="90"/>
      <c r="AKE99" s="90"/>
      <c r="AKF99" s="90"/>
      <c r="AKG99" s="90"/>
      <c r="AKH99" s="90"/>
      <c r="AKI99" s="90"/>
      <c r="AKJ99" s="90"/>
      <c r="AKK99" s="90"/>
      <c r="AKL99" s="90"/>
      <c r="AKM99" s="90"/>
      <c r="AKN99" s="90"/>
      <c r="AKO99" s="90"/>
      <c r="AKP99" s="90"/>
      <c r="AKQ99" s="90"/>
      <c r="AKR99" s="90"/>
      <c r="AKS99" s="90"/>
      <c r="AKT99" s="90"/>
      <c r="AKU99" s="90"/>
      <c r="AKV99" s="90"/>
      <c r="AKW99" s="90"/>
      <c r="AKX99" s="90"/>
      <c r="AKY99" s="90"/>
      <c r="AKZ99" s="90"/>
      <c r="ALA99" s="90"/>
      <c r="ALB99" s="90"/>
      <c r="ALC99" s="90"/>
      <c r="ALD99" s="90"/>
      <c r="ALE99" s="90"/>
      <c r="ALF99" s="90"/>
      <c r="ALG99" s="90"/>
      <c r="ALH99" s="90"/>
      <c r="ALI99" s="90"/>
      <c r="ALJ99" s="90"/>
      <c r="ALK99" s="90"/>
      <c r="ALL99" s="90"/>
      <c r="ALM99" s="90"/>
      <c r="ALN99" s="90"/>
      <c r="ALO99" s="90"/>
      <c r="ALP99" s="90"/>
      <c r="ALQ99" s="90"/>
      <c r="ALR99" s="90"/>
      <c r="ALS99" s="90"/>
      <c r="ALT99" s="90"/>
      <c r="ALU99" s="90"/>
      <c r="ALV99" s="90"/>
      <c r="ALW99" s="90"/>
      <c r="ALX99" s="90"/>
      <c r="ALY99" s="90"/>
      <c r="ALZ99" s="90"/>
      <c r="AMA99" s="90"/>
      <c r="AMB99" s="90"/>
      <c r="AMC99" s="90"/>
    </row>
    <row r="100" spans="1:1017">
      <c r="A100" s="98" t="s">
        <v>47</v>
      </c>
      <c r="B100" s="90" t="str">
        <f t="shared" si="1028"/>
        <v>Kerapu Cantang</v>
      </c>
      <c r="Q100" s="91">
        <f t="shared" si="1029"/>
        <v>0</v>
      </c>
      <c r="R100" s="91">
        <f t="shared" si="1030"/>
        <v>0</v>
      </c>
      <c r="S100" s="98">
        <v>2820</v>
      </c>
      <c r="T100" s="98">
        <v>267900</v>
      </c>
      <c r="U100" s="98">
        <v>3865</v>
      </c>
      <c r="V100" s="98">
        <v>367175</v>
      </c>
      <c r="AG100" s="91">
        <f t="shared" si="1031"/>
        <v>6685</v>
      </c>
      <c r="AH100" s="91">
        <f t="shared" si="1032"/>
        <v>635075</v>
      </c>
      <c r="AW100" s="91">
        <f t="shared" si="1033"/>
        <v>0</v>
      </c>
      <c r="AX100" s="91">
        <f t="shared" si="1034"/>
        <v>0</v>
      </c>
      <c r="BM100" s="91">
        <f t="shared" si="1035"/>
        <v>0</v>
      </c>
      <c r="BN100" s="91">
        <f t="shared" si="1036"/>
        <v>0</v>
      </c>
      <c r="CC100" s="91">
        <f t="shared" si="1037"/>
        <v>0</v>
      </c>
      <c r="CD100" s="91">
        <f t="shared" si="1038"/>
        <v>0</v>
      </c>
      <c r="CG100" s="98">
        <v>9531</v>
      </c>
      <c r="CH100" s="98">
        <v>1239091</v>
      </c>
      <c r="CS100" s="91">
        <f t="shared" si="1039"/>
        <v>9531</v>
      </c>
      <c r="CT100" s="91">
        <f t="shared" si="1040"/>
        <v>1239091</v>
      </c>
      <c r="DI100" s="91">
        <f t="shared" si="1041"/>
        <v>0</v>
      </c>
      <c r="DJ100" s="91">
        <f t="shared" si="1042"/>
        <v>0</v>
      </c>
      <c r="DY100" s="91">
        <f t="shared" si="1043"/>
        <v>0</v>
      </c>
      <c r="DZ100" s="91">
        <f t="shared" si="1044"/>
        <v>0</v>
      </c>
      <c r="EO100" s="91">
        <f t="shared" si="1045"/>
        <v>0</v>
      </c>
      <c r="EP100" s="91">
        <f t="shared" si="1046"/>
        <v>0</v>
      </c>
      <c r="FE100" s="91">
        <f t="shared" si="1047"/>
        <v>0</v>
      </c>
      <c r="FF100" s="91">
        <f t="shared" si="1048"/>
        <v>0</v>
      </c>
      <c r="FU100" s="91">
        <f t="shared" si="1049"/>
        <v>0</v>
      </c>
      <c r="FV100" s="91">
        <f t="shared" si="1050"/>
        <v>0</v>
      </c>
      <c r="GK100" s="91">
        <f t="shared" si="1051"/>
        <v>0</v>
      </c>
      <c r="GL100" s="91">
        <f t="shared" si="1052"/>
        <v>0</v>
      </c>
      <c r="HA100" s="91">
        <f t="shared" si="1053"/>
        <v>0</v>
      </c>
      <c r="HB100" s="91">
        <f t="shared" si="1054"/>
        <v>0</v>
      </c>
      <c r="HQ100" s="91">
        <f t="shared" si="1055"/>
        <v>0</v>
      </c>
      <c r="HR100" s="91">
        <f t="shared" si="1056"/>
        <v>0</v>
      </c>
      <c r="IG100" s="91">
        <f t="shared" si="1057"/>
        <v>0</v>
      </c>
      <c r="IH100" s="91">
        <f t="shared" si="1058"/>
        <v>0</v>
      </c>
      <c r="IW100" s="91">
        <f t="shared" si="1059"/>
        <v>0</v>
      </c>
      <c r="IX100" s="91">
        <f t="shared" si="1060"/>
        <v>0</v>
      </c>
      <c r="JM100" s="91">
        <f t="shared" si="1061"/>
        <v>0</v>
      </c>
      <c r="JN100" s="91">
        <f t="shared" si="1062"/>
        <v>0</v>
      </c>
      <c r="KC100" s="91">
        <f t="shared" si="1063"/>
        <v>0</v>
      </c>
      <c r="KD100" s="91">
        <f t="shared" si="1064"/>
        <v>0</v>
      </c>
      <c r="KS100" s="91">
        <f t="shared" si="1065"/>
        <v>0</v>
      </c>
      <c r="KT100" s="91">
        <f t="shared" si="1066"/>
        <v>0</v>
      </c>
      <c r="LI100" s="91">
        <f t="shared" si="1067"/>
        <v>0</v>
      </c>
      <c r="LJ100" s="91">
        <f t="shared" si="1068"/>
        <v>0</v>
      </c>
      <c r="LY100" s="91">
        <f t="shared" si="1069"/>
        <v>0</v>
      </c>
      <c r="LZ100" s="91">
        <f t="shared" si="1070"/>
        <v>0</v>
      </c>
      <c r="MA100" s="98">
        <v>36000</v>
      </c>
      <c r="MB100" s="98">
        <v>3060000</v>
      </c>
      <c r="MO100" s="91">
        <f t="shared" si="1071"/>
        <v>36000</v>
      </c>
      <c r="MP100" s="91">
        <f t="shared" si="1072"/>
        <v>3060000</v>
      </c>
      <c r="NE100" s="91">
        <f t="shared" si="1073"/>
        <v>0</v>
      </c>
      <c r="NF100" s="91">
        <f t="shared" si="1074"/>
        <v>0</v>
      </c>
      <c r="NU100" s="91">
        <f t="shared" si="1075"/>
        <v>0</v>
      </c>
      <c r="NV100" s="91">
        <f t="shared" si="1076"/>
        <v>0</v>
      </c>
      <c r="NW100" s="98">
        <v>400</v>
      </c>
      <c r="NX100" s="98">
        <v>46000</v>
      </c>
      <c r="OK100" s="91">
        <f t="shared" si="1077"/>
        <v>400</v>
      </c>
      <c r="OL100" s="91">
        <f t="shared" si="1078"/>
        <v>46000</v>
      </c>
      <c r="PA100" s="91">
        <f t="shared" si="1079"/>
        <v>0</v>
      </c>
      <c r="PB100" s="91">
        <f t="shared" si="1080"/>
        <v>0</v>
      </c>
      <c r="PC100" s="98">
        <v>232</v>
      </c>
      <c r="PD100" s="98">
        <v>13920</v>
      </c>
      <c r="PQ100" s="91">
        <f t="shared" si="1081"/>
        <v>232</v>
      </c>
      <c r="PR100" s="91">
        <f t="shared" si="1082"/>
        <v>13920</v>
      </c>
      <c r="PU100" s="98">
        <v>19550</v>
      </c>
      <c r="PV100" s="98">
        <v>879750</v>
      </c>
      <c r="QG100" s="91">
        <f t="shared" si="1083"/>
        <v>19550</v>
      </c>
      <c r="QH100" s="91">
        <f t="shared" si="1084"/>
        <v>879750</v>
      </c>
      <c r="QW100" s="91">
        <f t="shared" si="1085"/>
        <v>0</v>
      </c>
      <c r="QX100" s="91">
        <f t="shared" si="1086"/>
        <v>0</v>
      </c>
      <c r="RM100" s="91">
        <f t="shared" si="1087"/>
        <v>0</v>
      </c>
      <c r="RN100" s="91">
        <f t="shared" si="1088"/>
        <v>0</v>
      </c>
      <c r="SC100" s="91">
        <f t="shared" si="1089"/>
        <v>0</v>
      </c>
      <c r="SD100" s="91">
        <f t="shared" si="1090"/>
        <v>0</v>
      </c>
      <c r="SS100" s="91">
        <f t="shared" si="1091"/>
        <v>0</v>
      </c>
      <c r="ST100" s="91">
        <f t="shared" si="1092"/>
        <v>0</v>
      </c>
      <c r="TI100" s="91">
        <f t="shared" si="1093"/>
        <v>0</v>
      </c>
      <c r="TJ100" s="91">
        <f t="shared" si="1094"/>
        <v>0</v>
      </c>
      <c r="TY100" s="91">
        <f t="shared" si="1095"/>
        <v>0</v>
      </c>
      <c r="TZ100" s="91">
        <f t="shared" si="1096"/>
        <v>0</v>
      </c>
      <c r="UO100" s="91">
        <f t="shared" si="1097"/>
        <v>0</v>
      </c>
      <c r="UP100" s="91">
        <f t="shared" si="1098"/>
        <v>0</v>
      </c>
      <c r="VE100" s="91">
        <f t="shared" si="1099"/>
        <v>0</v>
      </c>
      <c r="VF100" s="91">
        <f t="shared" si="1100"/>
        <v>0</v>
      </c>
      <c r="VU100" s="91">
        <f t="shared" si="1101"/>
        <v>0</v>
      </c>
      <c r="VV100" s="91">
        <f t="shared" si="1102"/>
        <v>0</v>
      </c>
      <c r="WK100" s="91">
        <f t="shared" si="1103"/>
        <v>0</v>
      </c>
      <c r="WL100" s="91">
        <f t="shared" si="1104"/>
        <v>0</v>
      </c>
      <c r="WM100" s="89"/>
      <c r="WN100" s="87">
        <f t="shared" si="1105"/>
        <v>39452</v>
      </c>
      <c r="WO100" s="87">
        <f t="shared" si="1106"/>
        <v>3387820</v>
      </c>
      <c r="WP100" s="87">
        <f t="shared" si="1107"/>
        <v>32946</v>
      </c>
      <c r="WQ100" s="87">
        <f t="shared" si="1108"/>
        <v>2486016</v>
      </c>
      <c r="WR100" s="87">
        <f t="shared" si="1109"/>
        <v>0</v>
      </c>
      <c r="WS100" s="87">
        <f t="shared" si="1110"/>
        <v>0</v>
      </c>
      <c r="WT100" s="87">
        <f t="shared" si="1111"/>
        <v>0</v>
      </c>
      <c r="WU100" s="87">
        <f t="shared" si="1112"/>
        <v>0</v>
      </c>
      <c r="WV100" s="87">
        <f t="shared" si="1113"/>
        <v>0</v>
      </c>
      <c r="WW100" s="87">
        <f t="shared" si="1114"/>
        <v>0</v>
      </c>
      <c r="WX100" s="87">
        <f t="shared" si="1115"/>
        <v>0</v>
      </c>
      <c r="WY100" s="87">
        <f t="shared" si="1116"/>
        <v>0</v>
      </c>
      <c r="WZ100" s="87">
        <f t="shared" si="1117"/>
        <v>0</v>
      </c>
      <c r="XA100" s="87">
        <f t="shared" si="1118"/>
        <v>0</v>
      </c>
      <c r="XB100" s="92">
        <f t="shared" si="1119"/>
        <v>72398</v>
      </c>
      <c r="XC100" s="92">
        <f t="shared" si="1120"/>
        <v>5873836</v>
      </c>
      <c r="XD100" s="89"/>
      <c r="XE100" s="92">
        <f t="shared" si="1125"/>
        <v>578790.21068954538</v>
      </c>
      <c r="XF100" s="92">
        <f t="shared" si="1126"/>
        <v>48278691.282745451</v>
      </c>
      <c r="XG100" s="89"/>
      <c r="XH100" s="92"/>
      <c r="XI100" s="92"/>
      <c r="XJ100" s="89"/>
      <c r="XK100" s="87"/>
      <c r="XL100" s="87"/>
      <c r="XM100" s="87"/>
      <c r="XN100" s="87"/>
      <c r="XO100" s="87"/>
      <c r="XP100" s="87"/>
      <c r="XQ100" s="87"/>
      <c r="XR100" s="92">
        <f t="shared" ca="1" si="1122"/>
        <v>0</v>
      </c>
      <c r="XS100" s="89"/>
      <c r="XT100" s="87"/>
      <c r="XU100" s="87"/>
      <c r="XV100" s="87"/>
      <c r="XW100" s="87"/>
      <c r="XX100" s="87"/>
      <c r="XY100" s="87"/>
      <c r="XZ100" s="87"/>
      <c r="YA100" s="92">
        <f t="shared" ca="1" si="1123"/>
        <v>0</v>
      </c>
      <c r="YB100" s="90"/>
      <c r="YC100" s="90"/>
      <c r="YD100" s="90"/>
      <c r="YE100" s="90"/>
      <c r="YF100" s="90"/>
      <c r="YG100" s="90"/>
      <c r="YH100" s="90"/>
      <c r="YI100" s="90"/>
      <c r="YJ100" s="90"/>
      <c r="YK100" s="90"/>
      <c r="YL100" s="90"/>
      <c r="YM100" s="90"/>
      <c r="YN100" s="90"/>
      <c r="YO100" s="90"/>
      <c r="YP100" s="90"/>
      <c r="YQ100" s="90"/>
      <c r="YR100" s="90"/>
      <c r="YS100" s="90"/>
      <c r="YT100" s="90"/>
      <c r="YU100" s="90"/>
      <c r="YV100" s="90"/>
      <c r="YW100" s="90"/>
      <c r="YX100" s="90"/>
      <c r="YY100" s="90"/>
      <c r="YZ100" s="90"/>
      <c r="ZA100" s="90"/>
      <c r="ZB100" s="90"/>
      <c r="ZC100" s="90"/>
      <c r="ZD100" s="90"/>
      <c r="ZE100" s="90"/>
      <c r="ZF100" s="90"/>
      <c r="ZG100" s="90"/>
      <c r="ZH100" s="90"/>
      <c r="ZI100" s="90"/>
      <c r="ZJ100" s="90"/>
      <c r="ZK100" s="90"/>
      <c r="ZL100" s="90"/>
      <c r="ZM100" s="90"/>
      <c r="ZN100" s="90"/>
      <c r="ZO100" s="90"/>
      <c r="ZP100" s="90"/>
      <c r="ZQ100" s="90"/>
      <c r="ZR100" s="90"/>
      <c r="ZS100" s="90"/>
      <c r="ZT100" s="90"/>
      <c r="ZU100" s="90"/>
      <c r="ZV100" s="90"/>
      <c r="ZW100" s="90"/>
      <c r="ZX100" s="90"/>
      <c r="ZY100" s="90"/>
      <c r="ZZ100" s="90"/>
      <c r="AAA100" s="90"/>
      <c r="AAB100" s="90"/>
      <c r="AAC100" s="90"/>
      <c r="AAD100" s="90"/>
      <c r="AAE100" s="90"/>
      <c r="AAF100" s="90"/>
      <c r="AAG100" s="90"/>
      <c r="AAH100" s="90"/>
      <c r="AAI100" s="90"/>
      <c r="AAJ100" s="90"/>
      <c r="AAK100" s="90"/>
      <c r="AAL100" s="90"/>
      <c r="AAM100" s="90"/>
      <c r="AAN100" s="90"/>
      <c r="AAO100" s="90"/>
      <c r="AAP100" s="90"/>
      <c r="AAQ100" s="90"/>
      <c r="AAR100" s="90"/>
      <c r="AAS100" s="90"/>
      <c r="AAT100" s="90"/>
      <c r="AAU100" s="90"/>
      <c r="AAV100" s="90"/>
      <c r="AAW100" s="90"/>
      <c r="AAX100" s="90"/>
      <c r="AAY100" s="90"/>
      <c r="AAZ100" s="90"/>
      <c r="ABA100" s="90"/>
      <c r="ABB100" s="90"/>
      <c r="ABC100" s="90"/>
      <c r="ABD100" s="90"/>
      <c r="ABE100" s="90"/>
      <c r="ABF100" s="90"/>
      <c r="ABG100" s="90"/>
      <c r="ABH100" s="90"/>
      <c r="ABI100" s="90"/>
      <c r="ABJ100" s="90"/>
      <c r="ABK100" s="90"/>
      <c r="ABL100" s="90"/>
      <c r="ABM100" s="90"/>
      <c r="ABN100" s="90"/>
      <c r="ABO100" s="90"/>
      <c r="ABP100" s="90"/>
      <c r="ABQ100" s="90"/>
      <c r="ABR100" s="90"/>
      <c r="ABS100" s="90"/>
      <c r="ABT100" s="90"/>
      <c r="ABU100" s="90"/>
      <c r="ABV100" s="90"/>
      <c r="ABW100" s="90"/>
      <c r="ABX100" s="90"/>
      <c r="ABY100" s="90"/>
      <c r="ABZ100" s="90"/>
      <c r="ACA100" s="90"/>
      <c r="ACB100" s="90"/>
      <c r="ACC100" s="90"/>
      <c r="ACD100" s="90"/>
      <c r="ACE100" s="90"/>
      <c r="ACF100" s="90"/>
      <c r="ACG100" s="90"/>
      <c r="ACH100" s="90"/>
      <c r="ACI100" s="90"/>
      <c r="ACJ100" s="90"/>
      <c r="ACK100" s="90"/>
      <c r="ACL100" s="90"/>
      <c r="ACM100" s="90"/>
      <c r="ACN100" s="90"/>
      <c r="ACO100" s="90"/>
      <c r="ACP100" s="90"/>
      <c r="ACQ100" s="90"/>
      <c r="ACR100" s="90"/>
      <c r="ACS100" s="90"/>
      <c r="ACT100" s="90"/>
      <c r="ACU100" s="90"/>
      <c r="ACV100" s="90"/>
      <c r="ACW100" s="90"/>
      <c r="ACX100" s="90"/>
      <c r="ACY100" s="90"/>
      <c r="ACZ100" s="90"/>
      <c r="ADA100" s="90"/>
      <c r="ADB100" s="90"/>
      <c r="ADC100" s="90"/>
      <c r="ADD100" s="90"/>
      <c r="ADE100" s="90"/>
      <c r="ADF100" s="90"/>
      <c r="ADG100" s="90"/>
      <c r="ADH100" s="90"/>
      <c r="ADI100" s="90"/>
      <c r="ADJ100" s="90"/>
      <c r="ADK100" s="90"/>
      <c r="ADL100" s="90"/>
      <c r="ADM100" s="90"/>
      <c r="ADN100" s="90"/>
      <c r="ADO100" s="90"/>
      <c r="ADP100" s="90"/>
      <c r="ADQ100" s="90"/>
      <c r="ADR100" s="90"/>
      <c r="ADS100" s="90"/>
      <c r="ADT100" s="90"/>
      <c r="ADU100" s="90"/>
      <c r="ADV100" s="90"/>
      <c r="ADW100" s="90"/>
      <c r="ADX100" s="90"/>
      <c r="ADY100" s="90"/>
      <c r="ADZ100" s="90"/>
      <c r="AEA100" s="90"/>
      <c r="AEB100" s="90"/>
      <c r="AEC100" s="90"/>
      <c r="AED100" s="90"/>
      <c r="AEE100" s="90"/>
      <c r="AEF100" s="90"/>
      <c r="AEG100" s="90"/>
      <c r="AEH100" s="90"/>
      <c r="AEI100" s="90"/>
      <c r="AEJ100" s="90"/>
      <c r="AEK100" s="90"/>
      <c r="AEL100" s="90"/>
      <c r="AEM100" s="90"/>
      <c r="AEN100" s="90"/>
      <c r="AEO100" s="90"/>
      <c r="AEP100" s="90"/>
      <c r="AEQ100" s="90"/>
      <c r="AER100" s="90"/>
      <c r="AES100" s="90"/>
      <c r="AET100" s="90"/>
      <c r="AEU100" s="90"/>
      <c r="AEV100" s="90"/>
      <c r="AEW100" s="90"/>
      <c r="AEX100" s="90"/>
      <c r="AEY100" s="90"/>
      <c r="AEZ100" s="90"/>
      <c r="AFA100" s="90"/>
      <c r="AFB100" s="90"/>
      <c r="AFC100" s="90"/>
      <c r="AFD100" s="90"/>
      <c r="AFE100" s="90"/>
      <c r="AFF100" s="90"/>
      <c r="AFG100" s="90"/>
      <c r="AFH100" s="90"/>
      <c r="AFI100" s="90"/>
      <c r="AFJ100" s="90"/>
      <c r="AFK100" s="90"/>
      <c r="AFL100" s="90"/>
      <c r="AFM100" s="90"/>
      <c r="AFN100" s="90"/>
      <c r="AFO100" s="90"/>
      <c r="AFP100" s="90"/>
      <c r="AFQ100" s="90"/>
      <c r="AFR100" s="90"/>
      <c r="AFS100" s="90"/>
      <c r="AFT100" s="90"/>
      <c r="AFU100" s="90"/>
      <c r="AFV100" s="90"/>
      <c r="AFW100" s="90"/>
      <c r="AFX100" s="90"/>
      <c r="AFY100" s="90"/>
      <c r="AFZ100" s="90"/>
      <c r="AGA100" s="90"/>
      <c r="AGB100" s="90"/>
      <c r="AGC100" s="90"/>
      <c r="AGD100" s="90"/>
      <c r="AGE100" s="90"/>
      <c r="AGF100" s="90"/>
      <c r="AGG100" s="90"/>
      <c r="AGH100" s="90"/>
      <c r="AGI100" s="90"/>
      <c r="AGJ100" s="90"/>
      <c r="AGK100" s="90"/>
      <c r="AGL100" s="90"/>
      <c r="AGM100" s="90"/>
      <c r="AGN100" s="90"/>
      <c r="AGO100" s="90"/>
      <c r="AGP100" s="90"/>
      <c r="AGQ100" s="90"/>
      <c r="AGR100" s="90"/>
      <c r="AGS100" s="90"/>
      <c r="AGT100" s="90"/>
      <c r="AGU100" s="90"/>
      <c r="AGV100" s="90"/>
      <c r="AGW100" s="90"/>
      <c r="AGX100" s="90"/>
      <c r="AGY100" s="90"/>
      <c r="AGZ100" s="90"/>
      <c r="AHA100" s="90"/>
      <c r="AHB100" s="90"/>
      <c r="AHC100" s="90"/>
      <c r="AHD100" s="90"/>
      <c r="AHE100" s="90"/>
      <c r="AHF100" s="90"/>
      <c r="AHG100" s="90"/>
      <c r="AHH100" s="90"/>
      <c r="AHI100" s="90"/>
      <c r="AHJ100" s="90"/>
      <c r="AHK100" s="90"/>
      <c r="AHL100" s="90"/>
      <c r="AHM100" s="90"/>
      <c r="AHN100" s="90"/>
      <c r="AHO100" s="90"/>
      <c r="AHP100" s="90"/>
      <c r="AHQ100" s="90"/>
      <c r="AHR100" s="90"/>
      <c r="AHS100" s="90"/>
      <c r="AHT100" s="90"/>
      <c r="AHU100" s="90"/>
      <c r="AHV100" s="90"/>
      <c r="AHW100" s="90"/>
      <c r="AHX100" s="90"/>
      <c r="AHY100" s="90"/>
      <c r="AHZ100" s="90"/>
      <c r="AIA100" s="90"/>
      <c r="AIB100" s="90"/>
      <c r="AIC100" s="90"/>
      <c r="AID100" s="90"/>
      <c r="AIE100" s="90"/>
      <c r="AIF100" s="90"/>
      <c r="AIG100" s="90"/>
      <c r="AIH100" s="90"/>
      <c r="AII100" s="90"/>
      <c r="AIJ100" s="90"/>
      <c r="AIK100" s="90"/>
      <c r="AIL100" s="90"/>
      <c r="AIM100" s="90"/>
      <c r="AIN100" s="90"/>
      <c r="AIO100" s="90"/>
      <c r="AIP100" s="90"/>
      <c r="AIQ100" s="90"/>
      <c r="AIR100" s="90"/>
      <c r="AIS100" s="90"/>
      <c r="AIT100" s="90"/>
      <c r="AIU100" s="90"/>
      <c r="AIV100" s="90"/>
      <c r="AIW100" s="90"/>
      <c r="AIX100" s="90"/>
      <c r="AIY100" s="90"/>
      <c r="AIZ100" s="90"/>
      <c r="AJA100" s="90"/>
      <c r="AJB100" s="90"/>
      <c r="AJC100" s="90"/>
      <c r="AJD100" s="90"/>
      <c r="AJE100" s="90"/>
      <c r="AJF100" s="90"/>
      <c r="AJG100" s="90"/>
      <c r="AJH100" s="90"/>
      <c r="AJI100" s="90"/>
      <c r="AJJ100" s="90"/>
      <c r="AJK100" s="90"/>
      <c r="AJL100" s="90"/>
      <c r="AJM100" s="90"/>
      <c r="AJN100" s="90"/>
      <c r="AJO100" s="90"/>
      <c r="AJP100" s="90"/>
      <c r="AJQ100" s="90"/>
      <c r="AJR100" s="90"/>
      <c r="AJS100" s="90"/>
      <c r="AJT100" s="90"/>
      <c r="AJU100" s="90"/>
      <c r="AJV100" s="90"/>
      <c r="AJW100" s="90"/>
      <c r="AJX100" s="90"/>
      <c r="AJY100" s="90"/>
      <c r="AJZ100" s="90"/>
      <c r="AKA100" s="90"/>
      <c r="AKB100" s="90"/>
      <c r="AKC100" s="90"/>
      <c r="AKD100" s="90"/>
      <c r="AKE100" s="90"/>
      <c r="AKF100" s="90"/>
      <c r="AKG100" s="90"/>
      <c r="AKH100" s="90"/>
      <c r="AKI100" s="90"/>
      <c r="AKJ100" s="90"/>
      <c r="AKK100" s="90"/>
      <c r="AKL100" s="90"/>
      <c r="AKM100" s="90"/>
      <c r="AKN100" s="90"/>
      <c r="AKO100" s="90"/>
      <c r="AKP100" s="90"/>
      <c r="AKQ100" s="90"/>
      <c r="AKR100" s="90"/>
      <c r="AKS100" s="90"/>
      <c r="AKT100" s="90"/>
      <c r="AKU100" s="90"/>
      <c r="AKV100" s="90"/>
      <c r="AKW100" s="90"/>
      <c r="AKX100" s="90"/>
      <c r="AKY100" s="90"/>
      <c r="AKZ100" s="90"/>
      <c r="ALA100" s="90"/>
      <c r="ALB100" s="90"/>
      <c r="ALC100" s="90"/>
      <c r="ALD100" s="90"/>
      <c r="ALE100" s="90"/>
      <c r="ALF100" s="90"/>
      <c r="ALG100" s="90"/>
      <c r="ALH100" s="90"/>
      <c r="ALI100" s="90"/>
      <c r="ALJ100" s="90"/>
      <c r="ALK100" s="90"/>
      <c r="ALL100" s="90"/>
      <c r="ALM100" s="90"/>
      <c r="ALN100" s="90"/>
      <c r="ALO100" s="90"/>
      <c r="ALP100" s="90"/>
      <c r="ALQ100" s="90"/>
      <c r="ALR100" s="90"/>
      <c r="ALS100" s="90"/>
      <c r="ALT100" s="90"/>
      <c r="ALU100" s="90"/>
      <c r="ALV100" s="90"/>
      <c r="ALW100" s="90"/>
      <c r="ALX100" s="90"/>
      <c r="ALY100" s="90"/>
      <c r="ALZ100" s="90"/>
      <c r="AMA100" s="90"/>
      <c r="AMB100" s="90"/>
      <c r="AMC100" s="90"/>
    </row>
    <row r="101" spans="1:1017">
      <c r="A101" s="98" t="s">
        <v>47</v>
      </c>
      <c r="B101" s="90" t="str">
        <f t="shared" si="1028"/>
        <v>Kerapu Macan</v>
      </c>
      <c r="Q101" s="91">
        <f t="shared" si="1029"/>
        <v>0</v>
      </c>
      <c r="R101" s="91">
        <f t="shared" si="1030"/>
        <v>0</v>
      </c>
      <c r="AG101" s="91">
        <f t="shared" si="1031"/>
        <v>0</v>
      </c>
      <c r="AH101" s="91">
        <f t="shared" si="1032"/>
        <v>0</v>
      </c>
      <c r="AW101" s="91">
        <f t="shared" si="1033"/>
        <v>0</v>
      </c>
      <c r="AX101" s="91">
        <f t="shared" si="1034"/>
        <v>0</v>
      </c>
      <c r="BM101" s="91">
        <f t="shared" si="1035"/>
        <v>0</v>
      </c>
      <c r="BN101" s="91">
        <f t="shared" si="1036"/>
        <v>0</v>
      </c>
      <c r="CC101" s="91">
        <f t="shared" si="1037"/>
        <v>0</v>
      </c>
      <c r="CD101" s="91">
        <f t="shared" si="1038"/>
        <v>0</v>
      </c>
      <c r="CS101" s="91">
        <f t="shared" si="1039"/>
        <v>0</v>
      </c>
      <c r="CT101" s="91">
        <f t="shared" si="1040"/>
        <v>0</v>
      </c>
      <c r="DI101" s="91">
        <f t="shared" si="1041"/>
        <v>0</v>
      </c>
      <c r="DJ101" s="91">
        <f t="shared" si="1042"/>
        <v>0</v>
      </c>
      <c r="DY101" s="91">
        <f t="shared" si="1043"/>
        <v>0</v>
      </c>
      <c r="DZ101" s="91">
        <f t="shared" si="1044"/>
        <v>0</v>
      </c>
      <c r="EO101" s="91">
        <f t="shared" si="1045"/>
        <v>0</v>
      </c>
      <c r="EP101" s="91">
        <f t="shared" si="1046"/>
        <v>0</v>
      </c>
      <c r="ES101" s="98">
        <v>114414</v>
      </c>
      <c r="ET101" s="98">
        <v>10869330</v>
      </c>
      <c r="FE101" s="91">
        <f t="shared" si="1047"/>
        <v>114414</v>
      </c>
      <c r="FF101" s="91">
        <f t="shared" si="1048"/>
        <v>10869330</v>
      </c>
      <c r="FU101" s="91">
        <f t="shared" si="1049"/>
        <v>0</v>
      </c>
      <c r="FV101" s="91">
        <f t="shared" si="1050"/>
        <v>0</v>
      </c>
      <c r="GK101" s="91">
        <f t="shared" si="1051"/>
        <v>0</v>
      </c>
      <c r="GL101" s="91">
        <f t="shared" si="1052"/>
        <v>0</v>
      </c>
      <c r="HA101" s="91">
        <f t="shared" si="1053"/>
        <v>0</v>
      </c>
      <c r="HB101" s="91">
        <f t="shared" si="1054"/>
        <v>0</v>
      </c>
      <c r="HQ101" s="91">
        <f t="shared" si="1055"/>
        <v>0</v>
      </c>
      <c r="HR101" s="91">
        <f t="shared" si="1056"/>
        <v>0</v>
      </c>
      <c r="IG101" s="91">
        <f t="shared" si="1057"/>
        <v>0</v>
      </c>
      <c r="IH101" s="91">
        <f t="shared" si="1058"/>
        <v>0</v>
      </c>
      <c r="IW101" s="91">
        <f t="shared" si="1059"/>
        <v>0</v>
      </c>
      <c r="IX101" s="91">
        <f t="shared" si="1060"/>
        <v>0</v>
      </c>
      <c r="JM101" s="91">
        <f t="shared" si="1061"/>
        <v>0</v>
      </c>
      <c r="JN101" s="91">
        <f t="shared" si="1062"/>
        <v>0</v>
      </c>
      <c r="KC101" s="91">
        <f t="shared" si="1063"/>
        <v>0</v>
      </c>
      <c r="KD101" s="91">
        <f t="shared" si="1064"/>
        <v>0</v>
      </c>
      <c r="KS101" s="91">
        <f t="shared" si="1065"/>
        <v>0</v>
      </c>
      <c r="KT101" s="91">
        <f t="shared" si="1066"/>
        <v>0</v>
      </c>
      <c r="LI101" s="91">
        <f t="shared" si="1067"/>
        <v>0</v>
      </c>
      <c r="LJ101" s="91">
        <f t="shared" si="1068"/>
        <v>0</v>
      </c>
      <c r="LY101" s="91">
        <f t="shared" si="1069"/>
        <v>0</v>
      </c>
      <c r="LZ101" s="91">
        <f t="shared" si="1070"/>
        <v>0</v>
      </c>
      <c r="MO101" s="91">
        <f t="shared" si="1071"/>
        <v>0</v>
      </c>
      <c r="MP101" s="91">
        <f t="shared" si="1072"/>
        <v>0</v>
      </c>
      <c r="NE101" s="91">
        <f t="shared" si="1073"/>
        <v>0</v>
      </c>
      <c r="NF101" s="91">
        <f t="shared" si="1074"/>
        <v>0</v>
      </c>
      <c r="NU101" s="91">
        <f t="shared" si="1075"/>
        <v>0</v>
      </c>
      <c r="NV101" s="91">
        <f t="shared" si="1076"/>
        <v>0</v>
      </c>
      <c r="OK101" s="91">
        <f t="shared" si="1077"/>
        <v>0</v>
      </c>
      <c r="OL101" s="91">
        <f t="shared" si="1078"/>
        <v>0</v>
      </c>
      <c r="OM101" s="98">
        <v>23974</v>
      </c>
      <c r="ON101" s="98">
        <v>4794800</v>
      </c>
      <c r="PA101" s="91">
        <f>SUMIF($C$12:$P$12,$A$1,OM101:OZ101)</f>
        <v>23974</v>
      </c>
      <c r="PB101" s="91">
        <f>SUMIF($C$12:$P$12,$A$3,OM101:OZ101)</f>
        <v>4794800</v>
      </c>
      <c r="PQ101" s="91">
        <f t="shared" si="1081"/>
        <v>0</v>
      </c>
      <c r="PR101" s="91">
        <f t="shared" si="1082"/>
        <v>0</v>
      </c>
      <c r="QG101" s="91">
        <f t="shared" si="1083"/>
        <v>0</v>
      </c>
      <c r="QH101" s="91">
        <f t="shared" si="1084"/>
        <v>0</v>
      </c>
      <c r="QW101" s="91">
        <f t="shared" si="1085"/>
        <v>0</v>
      </c>
      <c r="QX101" s="91">
        <f t="shared" si="1086"/>
        <v>0</v>
      </c>
      <c r="RM101" s="91">
        <f t="shared" si="1087"/>
        <v>0</v>
      </c>
      <c r="RN101" s="91">
        <f t="shared" si="1088"/>
        <v>0</v>
      </c>
      <c r="SC101" s="91">
        <f t="shared" si="1089"/>
        <v>0</v>
      </c>
      <c r="SD101" s="91">
        <f t="shared" si="1090"/>
        <v>0</v>
      </c>
      <c r="SS101" s="91">
        <f t="shared" si="1091"/>
        <v>0</v>
      </c>
      <c r="ST101" s="91">
        <f t="shared" si="1092"/>
        <v>0</v>
      </c>
      <c r="TI101" s="91">
        <f t="shared" si="1093"/>
        <v>0</v>
      </c>
      <c r="TJ101" s="91">
        <f t="shared" si="1094"/>
        <v>0</v>
      </c>
      <c r="TY101" s="91">
        <f t="shared" si="1095"/>
        <v>0</v>
      </c>
      <c r="TZ101" s="91">
        <f t="shared" si="1096"/>
        <v>0</v>
      </c>
      <c r="UO101" s="91">
        <f t="shared" si="1097"/>
        <v>0</v>
      </c>
      <c r="UP101" s="91">
        <f t="shared" si="1098"/>
        <v>0</v>
      </c>
      <c r="VE101" s="91">
        <f t="shared" si="1099"/>
        <v>0</v>
      </c>
      <c r="VF101" s="91">
        <f t="shared" si="1100"/>
        <v>0</v>
      </c>
      <c r="VU101" s="91">
        <f t="shared" si="1101"/>
        <v>0</v>
      </c>
      <c r="VV101" s="91">
        <f t="shared" si="1102"/>
        <v>0</v>
      </c>
      <c r="WK101" s="91">
        <f t="shared" si="1103"/>
        <v>0</v>
      </c>
      <c r="WL101" s="91">
        <f t="shared" si="1104"/>
        <v>0</v>
      </c>
      <c r="WM101" s="89"/>
      <c r="WN101" s="87">
        <f t="shared" si="1105"/>
        <v>23974</v>
      </c>
      <c r="WO101" s="87">
        <f t="shared" si="1106"/>
        <v>4794800</v>
      </c>
      <c r="WP101" s="87">
        <f t="shared" si="1107"/>
        <v>114414</v>
      </c>
      <c r="WQ101" s="87">
        <f t="shared" si="1108"/>
        <v>10869330</v>
      </c>
      <c r="WR101" s="87">
        <f t="shared" si="1109"/>
        <v>0</v>
      </c>
      <c r="WS101" s="87">
        <f t="shared" si="1110"/>
        <v>0</v>
      </c>
      <c r="WT101" s="87">
        <f t="shared" si="1111"/>
        <v>0</v>
      </c>
      <c r="WU101" s="87">
        <f t="shared" si="1112"/>
        <v>0</v>
      </c>
      <c r="WV101" s="87">
        <f t="shared" si="1113"/>
        <v>0</v>
      </c>
      <c r="WW101" s="87">
        <f t="shared" si="1114"/>
        <v>0</v>
      </c>
      <c r="WX101" s="87">
        <f t="shared" si="1115"/>
        <v>0</v>
      </c>
      <c r="WY101" s="87">
        <f t="shared" si="1116"/>
        <v>0</v>
      </c>
      <c r="WZ101" s="87">
        <f t="shared" si="1117"/>
        <v>0</v>
      </c>
      <c r="XA101" s="87">
        <f t="shared" si="1118"/>
        <v>0</v>
      </c>
      <c r="XB101" s="92">
        <f t="shared" si="1119"/>
        <v>138388</v>
      </c>
      <c r="XC101" s="92">
        <f t="shared" si="1120"/>
        <v>15664130</v>
      </c>
      <c r="XD101" s="89"/>
      <c r="XE101" s="92">
        <f t="shared" si="1125"/>
        <v>87482</v>
      </c>
      <c r="XF101" s="92">
        <f t="shared" si="1126"/>
        <v>40100800</v>
      </c>
      <c r="XG101" s="89"/>
      <c r="XH101" s="92"/>
      <c r="XI101" s="92"/>
      <c r="XJ101" s="89"/>
      <c r="XK101" s="87"/>
      <c r="XL101" s="87"/>
      <c r="XM101" s="87"/>
      <c r="XN101" s="87"/>
      <c r="XO101" s="87"/>
      <c r="XP101" s="87"/>
      <c r="XQ101" s="87"/>
      <c r="XR101" s="92">
        <f t="shared" ca="1" si="1122"/>
        <v>0</v>
      </c>
      <c r="XS101" s="89"/>
      <c r="XT101" s="87"/>
      <c r="XU101" s="87"/>
      <c r="XV101" s="87"/>
      <c r="XW101" s="87"/>
      <c r="XX101" s="87"/>
      <c r="XY101" s="87"/>
      <c r="XZ101" s="87"/>
      <c r="YA101" s="92">
        <f t="shared" ca="1" si="1123"/>
        <v>0</v>
      </c>
      <c r="YB101" s="90"/>
      <c r="YC101" s="90"/>
      <c r="YD101" s="90"/>
      <c r="YE101" s="90"/>
      <c r="YF101" s="90"/>
      <c r="YG101" s="90"/>
      <c r="YH101" s="90"/>
      <c r="YI101" s="90"/>
      <c r="YJ101" s="90"/>
      <c r="YK101" s="90"/>
      <c r="YL101" s="90"/>
      <c r="YM101" s="90"/>
      <c r="YN101" s="90"/>
      <c r="YO101" s="90"/>
      <c r="YP101" s="90"/>
      <c r="YQ101" s="90"/>
      <c r="YR101" s="90"/>
      <c r="YS101" s="90"/>
      <c r="YT101" s="90"/>
      <c r="YU101" s="90"/>
      <c r="YV101" s="90"/>
      <c r="YW101" s="90"/>
      <c r="YX101" s="90"/>
      <c r="YY101" s="90"/>
      <c r="YZ101" s="90"/>
      <c r="ZA101" s="90"/>
      <c r="ZB101" s="90"/>
      <c r="ZC101" s="90"/>
      <c r="ZD101" s="90"/>
      <c r="ZE101" s="90"/>
      <c r="ZF101" s="90"/>
      <c r="ZG101" s="90"/>
      <c r="ZH101" s="90"/>
      <c r="ZI101" s="90"/>
      <c r="ZJ101" s="90"/>
      <c r="ZK101" s="90"/>
      <c r="ZL101" s="90"/>
      <c r="ZM101" s="90"/>
      <c r="ZN101" s="90"/>
      <c r="ZO101" s="90"/>
      <c r="ZP101" s="90"/>
      <c r="ZQ101" s="90"/>
      <c r="ZR101" s="90"/>
      <c r="ZS101" s="90"/>
      <c r="ZT101" s="90"/>
      <c r="ZU101" s="90"/>
      <c r="ZV101" s="90"/>
      <c r="ZW101" s="90"/>
      <c r="ZX101" s="90"/>
      <c r="ZY101" s="90"/>
      <c r="ZZ101" s="90"/>
      <c r="AAA101" s="90"/>
      <c r="AAB101" s="90"/>
      <c r="AAC101" s="90"/>
      <c r="AAD101" s="90"/>
      <c r="AAE101" s="90"/>
      <c r="AAF101" s="90"/>
      <c r="AAG101" s="90"/>
      <c r="AAH101" s="90"/>
      <c r="AAI101" s="90"/>
      <c r="AAJ101" s="90"/>
      <c r="AAK101" s="90"/>
      <c r="AAL101" s="90"/>
      <c r="AAM101" s="90"/>
      <c r="AAN101" s="90"/>
      <c r="AAO101" s="90"/>
      <c r="AAP101" s="90"/>
      <c r="AAQ101" s="90"/>
      <c r="AAR101" s="90"/>
      <c r="AAS101" s="90"/>
      <c r="AAT101" s="90"/>
      <c r="AAU101" s="90"/>
      <c r="AAV101" s="90"/>
      <c r="AAW101" s="90"/>
      <c r="AAX101" s="90"/>
      <c r="AAY101" s="90"/>
      <c r="AAZ101" s="90"/>
      <c r="ABA101" s="90"/>
      <c r="ABB101" s="90"/>
      <c r="ABC101" s="90"/>
      <c r="ABD101" s="90"/>
      <c r="ABE101" s="90"/>
      <c r="ABF101" s="90"/>
      <c r="ABG101" s="90"/>
      <c r="ABH101" s="90"/>
      <c r="ABI101" s="90"/>
      <c r="ABJ101" s="90"/>
      <c r="ABK101" s="90"/>
      <c r="ABL101" s="90"/>
      <c r="ABM101" s="90"/>
      <c r="ABN101" s="90"/>
      <c r="ABO101" s="90"/>
      <c r="ABP101" s="90"/>
      <c r="ABQ101" s="90"/>
      <c r="ABR101" s="90"/>
      <c r="ABS101" s="90"/>
      <c r="ABT101" s="90"/>
      <c r="ABU101" s="90"/>
      <c r="ABV101" s="90"/>
      <c r="ABW101" s="90"/>
      <c r="ABX101" s="90"/>
      <c r="ABY101" s="90"/>
      <c r="ABZ101" s="90"/>
      <c r="ACA101" s="90"/>
      <c r="ACB101" s="90"/>
      <c r="ACC101" s="90"/>
      <c r="ACD101" s="90"/>
      <c r="ACE101" s="90"/>
      <c r="ACF101" s="90"/>
      <c r="ACG101" s="90"/>
      <c r="ACH101" s="90"/>
      <c r="ACI101" s="90"/>
      <c r="ACJ101" s="90"/>
      <c r="ACK101" s="90"/>
      <c r="ACL101" s="90"/>
      <c r="ACM101" s="90"/>
      <c r="ACN101" s="90"/>
      <c r="ACO101" s="90"/>
      <c r="ACP101" s="90"/>
      <c r="ACQ101" s="90"/>
      <c r="ACR101" s="90"/>
      <c r="ACS101" s="90"/>
      <c r="ACT101" s="90"/>
      <c r="ACU101" s="90"/>
      <c r="ACV101" s="90"/>
      <c r="ACW101" s="90"/>
      <c r="ACX101" s="90"/>
      <c r="ACY101" s="90"/>
      <c r="ACZ101" s="90"/>
      <c r="ADA101" s="90"/>
      <c r="ADB101" s="90"/>
      <c r="ADC101" s="90"/>
      <c r="ADD101" s="90"/>
      <c r="ADE101" s="90"/>
      <c r="ADF101" s="90"/>
      <c r="ADG101" s="90"/>
      <c r="ADH101" s="90"/>
      <c r="ADI101" s="90"/>
      <c r="ADJ101" s="90"/>
      <c r="ADK101" s="90"/>
      <c r="ADL101" s="90"/>
      <c r="ADM101" s="90"/>
      <c r="ADN101" s="90"/>
      <c r="ADO101" s="90"/>
      <c r="ADP101" s="90"/>
      <c r="ADQ101" s="90"/>
      <c r="ADR101" s="90"/>
      <c r="ADS101" s="90"/>
      <c r="ADT101" s="90"/>
      <c r="ADU101" s="90"/>
      <c r="ADV101" s="90"/>
      <c r="ADW101" s="90"/>
      <c r="ADX101" s="90"/>
      <c r="ADY101" s="90"/>
      <c r="ADZ101" s="90"/>
      <c r="AEA101" s="90"/>
      <c r="AEB101" s="90"/>
      <c r="AEC101" s="90"/>
      <c r="AED101" s="90"/>
      <c r="AEE101" s="90"/>
      <c r="AEF101" s="90"/>
      <c r="AEG101" s="90"/>
      <c r="AEH101" s="90"/>
      <c r="AEI101" s="90"/>
      <c r="AEJ101" s="90"/>
      <c r="AEK101" s="90"/>
      <c r="AEL101" s="90"/>
      <c r="AEM101" s="90"/>
      <c r="AEN101" s="90"/>
      <c r="AEO101" s="90"/>
      <c r="AEP101" s="90"/>
      <c r="AEQ101" s="90"/>
      <c r="AER101" s="90"/>
      <c r="AES101" s="90"/>
      <c r="AET101" s="90"/>
      <c r="AEU101" s="90"/>
      <c r="AEV101" s="90"/>
      <c r="AEW101" s="90"/>
      <c r="AEX101" s="90"/>
      <c r="AEY101" s="90"/>
      <c r="AEZ101" s="90"/>
      <c r="AFA101" s="90"/>
      <c r="AFB101" s="90"/>
      <c r="AFC101" s="90"/>
      <c r="AFD101" s="90"/>
      <c r="AFE101" s="90"/>
      <c r="AFF101" s="90"/>
      <c r="AFG101" s="90"/>
      <c r="AFH101" s="90"/>
      <c r="AFI101" s="90"/>
      <c r="AFJ101" s="90"/>
      <c r="AFK101" s="90"/>
      <c r="AFL101" s="90"/>
      <c r="AFM101" s="90"/>
      <c r="AFN101" s="90"/>
      <c r="AFO101" s="90"/>
      <c r="AFP101" s="90"/>
      <c r="AFQ101" s="90"/>
      <c r="AFR101" s="90"/>
      <c r="AFS101" s="90"/>
      <c r="AFT101" s="90"/>
      <c r="AFU101" s="90"/>
      <c r="AFV101" s="90"/>
      <c r="AFW101" s="90"/>
      <c r="AFX101" s="90"/>
      <c r="AFY101" s="90"/>
      <c r="AFZ101" s="90"/>
      <c r="AGA101" s="90"/>
      <c r="AGB101" s="90"/>
      <c r="AGC101" s="90"/>
      <c r="AGD101" s="90"/>
      <c r="AGE101" s="90"/>
      <c r="AGF101" s="90"/>
      <c r="AGG101" s="90"/>
      <c r="AGH101" s="90"/>
      <c r="AGI101" s="90"/>
      <c r="AGJ101" s="90"/>
      <c r="AGK101" s="90"/>
      <c r="AGL101" s="90"/>
      <c r="AGM101" s="90"/>
      <c r="AGN101" s="90"/>
      <c r="AGO101" s="90"/>
      <c r="AGP101" s="90"/>
      <c r="AGQ101" s="90"/>
      <c r="AGR101" s="90"/>
      <c r="AGS101" s="90"/>
      <c r="AGT101" s="90"/>
      <c r="AGU101" s="90"/>
      <c r="AGV101" s="90"/>
      <c r="AGW101" s="90"/>
      <c r="AGX101" s="90"/>
      <c r="AGY101" s="90"/>
      <c r="AGZ101" s="90"/>
      <c r="AHA101" s="90"/>
      <c r="AHB101" s="90"/>
      <c r="AHC101" s="90"/>
      <c r="AHD101" s="90"/>
      <c r="AHE101" s="90"/>
      <c r="AHF101" s="90"/>
      <c r="AHG101" s="90"/>
      <c r="AHH101" s="90"/>
      <c r="AHI101" s="90"/>
      <c r="AHJ101" s="90"/>
      <c r="AHK101" s="90"/>
      <c r="AHL101" s="90"/>
      <c r="AHM101" s="90"/>
      <c r="AHN101" s="90"/>
      <c r="AHO101" s="90"/>
      <c r="AHP101" s="90"/>
      <c r="AHQ101" s="90"/>
      <c r="AHR101" s="90"/>
      <c r="AHS101" s="90"/>
      <c r="AHT101" s="90"/>
      <c r="AHU101" s="90"/>
      <c r="AHV101" s="90"/>
      <c r="AHW101" s="90"/>
      <c r="AHX101" s="90"/>
      <c r="AHY101" s="90"/>
      <c r="AHZ101" s="90"/>
      <c r="AIA101" s="90"/>
      <c r="AIB101" s="90"/>
      <c r="AIC101" s="90"/>
      <c r="AID101" s="90"/>
      <c r="AIE101" s="90"/>
      <c r="AIF101" s="90"/>
      <c r="AIG101" s="90"/>
      <c r="AIH101" s="90"/>
      <c r="AII101" s="90"/>
      <c r="AIJ101" s="90"/>
      <c r="AIK101" s="90"/>
      <c r="AIL101" s="90"/>
      <c r="AIM101" s="90"/>
      <c r="AIN101" s="90"/>
      <c r="AIO101" s="90"/>
      <c r="AIP101" s="90"/>
      <c r="AIQ101" s="90"/>
      <c r="AIR101" s="90"/>
      <c r="AIS101" s="90"/>
      <c r="AIT101" s="90"/>
      <c r="AIU101" s="90"/>
      <c r="AIV101" s="90"/>
      <c r="AIW101" s="90"/>
      <c r="AIX101" s="90"/>
      <c r="AIY101" s="90"/>
      <c r="AIZ101" s="90"/>
      <c r="AJA101" s="90"/>
      <c r="AJB101" s="90"/>
      <c r="AJC101" s="90"/>
      <c r="AJD101" s="90"/>
      <c r="AJE101" s="90"/>
      <c r="AJF101" s="90"/>
      <c r="AJG101" s="90"/>
      <c r="AJH101" s="90"/>
      <c r="AJI101" s="90"/>
      <c r="AJJ101" s="90"/>
      <c r="AJK101" s="90"/>
      <c r="AJL101" s="90"/>
      <c r="AJM101" s="90"/>
      <c r="AJN101" s="90"/>
      <c r="AJO101" s="90"/>
      <c r="AJP101" s="90"/>
      <c r="AJQ101" s="90"/>
      <c r="AJR101" s="90"/>
      <c r="AJS101" s="90"/>
      <c r="AJT101" s="90"/>
      <c r="AJU101" s="90"/>
      <c r="AJV101" s="90"/>
      <c r="AJW101" s="90"/>
      <c r="AJX101" s="90"/>
      <c r="AJY101" s="90"/>
      <c r="AJZ101" s="90"/>
      <c r="AKA101" s="90"/>
      <c r="AKB101" s="90"/>
      <c r="AKC101" s="90"/>
      <c r="AKD101" s="90"/>
      <c r="AKE101" s="90"/>
      <c r="AKF101" s="90"/>
      <c r="AKG101" s="90"/>
      <c r="AKH101" s="90"/>
      <c r="AKI101" s="90"/>
      <c r="AKJ101" s="90"/>
      <c r="AKK101" s="90"/>
      <c r="AKL101" s="90"/>
      <c r="AKM101" s="90"/>
      <c r="AKN101" s="90"/>
      <c r="AKO101" s="90"/>
      <c r="AKP101" s="90"/>
      <c r="AKQ101" s="90"/>
      <c r="AKR101" s="90"/>
      <c r="AKS101" s="90"/>
      <c r="AKT101" s="90"/>
      <c r="AKU101" s="90"/>
      <c r="AKV101" s="90"/>
      <c r="AKW101" s="90"/>
      <c r="AKX101" s="90"/>
      <c r="AKY101" s="90"/>
      <c r="AKZ101" s="90"/>
      <c r="ALA101" s="90"/>
      <c r="ALB101" s="90"/>
      <c r="ALC101" s="90"/>
      <c r="ALD101" s="90"/>
      <c r="ALE101" s="90"/>
      <c r="ALF101" s="90"/>
      <c r="ALG101" s="90"/>
      <c r="ALH101" s="90"/>
      <c r="ALI101" s="90"/>
      <c r="ALJ101" s="90"/>
      <c r="ALK101" s="90"/>
      <c r="ALL101" s="90"/>
      <c r="ALM101" s="90"/>
      <c r="ALN101" s="90"/>
      <c r="ALO101" s="90"/>
      <c r="ALP101" s="90"/>
      <c r="ALQ101" s="90"/>
      <c r="ALR101" s="90"/>
      <c r="ALS101" s="90"/>
      <c r="ALT101" s="90"/>
      <c r="ALU101" s="90"/>
      <c r="ALV101" s="90"/>
      <c r="ALW101" s="90"/>
      <c r="ALX101" s="90"/>
      <c r="ALY101" s="90"/>
      <c r="ALZ101" s="90"/>
      <c r="AMA101" s="90"/>
      <c r="AMB101" s="90"/>
      <c r="AMC101" s="90"/>
    </row>
    <row r="102" spans="1:1017">
      <c r="A102" s="98" t="s">
        <v>47</v>
      </c>
      <c r="B102" s="90" t="str">
        <f t="shared" si="1028"/>
        <v>Kerong Kerong</v>
      </c>
      <c r="Q102" s="91">
        <f t="shared" si="1029"/>
        <v>0</v>
      </c>
      <c r="R102" s="91">
        <f t="shared" si="1030"/>
        <v>0</v>
      </c>
      <c r="AG102" s="91">
        <f t="shared" si="1031"/>
        <v>0</v>
      </c>
      <c r="AH102" s="91">
        <f t="shared" si="1032"/>
        <v>0</v>
      </c>
      <c r="AW102" s="91">
        <f t="shared" si="1033"/>
        <v>0</v>
      </c>
      <c r="AX102" s="91">
        <f t="shared" si="1034"/>
        <v>0</v>
      </c>
      <c r="BM102" s="91">
        <f t="shared" si="1035"/>
        <v>0</v>
      </c>
      <c r="BN102" s="91">
        <f t="shared" si="1036"/>
        <v>0</v>
      </c>
      <c r="CC102" s="91">
        <f t="shared" si="1037"/>
        <v>0</v>
      </c>
      <c r="CD102" s="91">
        <f t="shared" si="1038"/>
        <v>0</v>
      </c>
      <c r="CS102" s="91">
        <f t="shared" si="1039"/>
        <v>0</v>
      </c>
      <c r="CT102" s="91">
        <f t="shared" si="1040"/>
        <v>0</v>
      </c>
      <c r="DI102" s="91">
        <f t="shared" si="1041"/>
        <v>0</v>
      </c>
      <c r="DJ102" s="91">
        <f t="shared" si="1042"/>
        <v>0</v>
      </c>
      <c r="DY102" s="91">
        <f t="shared" si="1043"/>
        <v>0</v>
      </c>
      <c r="DZ102" s="91">
        <f t="shared" si="1044"/>
        <v>0</v>
      </c>
      <c r="EO102" s="91">
        <f t="shared" si="1045"/>
        <v>0</v>
      </c>
      <c r="EP102" s="91">
        <f t="shared" si="1046"/>
        <v>0</v>
      </c>
      <c r="FE102" s="91">
        <f t="shared" si="1047"/>
        <v>0</v>
      </c>
      <c r="FF102" s="91">
        <f t="shared" si="1048"/>
        <v>0</v>
      </c>
      <c r="FU102" s="91">
        <f t="shared" si="1049"/>
        <v>0</v>
      </c>
      <c r="FV102" s="91">
        <f t="shared" si="1050"/>
        <v>0</v>
      </c>
      <c r="GK102" s="91">
        <f t="shared" si="1051"/>
        <v>0</v>
      </c>
      <c r="GL102" s="91">
        <f t="shared" si="1052"/>
        <v>0</v>
      </c>
      <c r="HA102" s="91">
        <f t="shared" si="1053"/>
        <v>0</v>
      </c>
      <c r="HB102" s="91">
        <f t="shared" si="1054"/>
        <v>0</v>
      </c>
      <c r="HQ102" s="91">
        <f t="shared" si="1055"/>
        <v>0</v>
      </c>
      <c r="HR102" s="91">
        <f t="shared" si="1056"/>
        <v>0</v>
      </c>
      <c r="IG102" s="91">
        <f t="shared" si="1057"/>
        <v>0</v>
      </c>
      <c r="IH102" s="91">
        <f t="shared" si="1058"/>
        <v>0</v>
      </c>
      <c r="IW102" s="91">
        <f t="shared" si="1059"/>
        <v>0</v>
      </c>
      <c r="IX102" s="91">
        <f t="shared" si="1060"/>
        <v>0</v>
      </c>
      <c r="JM102" s="91">
        <f t="shared" si="1061"/>
        <v>0</v>
      </c>
      <c r="JN102" s="91">
        <f t="shared" si="1062"/>
        <v>0</v>
      </c>
      <c r="KC102" s="91">
        <f t="shared" si="1063"/>
        <v>0</v>
      </c>
      <c r="KD102" s="91">
        <f t="shared" si="1064"/>
        <v>0</v>
      </c>
      <c r="KS102" s="91">
        <f t="shared" si="1065"/>
        <v>0</v>
      </c>
      <c r="KT102" s="91">
        <f t="shared" si="1066"/>
        <v>0</v>
      </c>
      <c r="LI102" s="91">
        <f t="shared" si="1067"/>
        <v>0</v>
      </c>
      <c r="LJ102" s="91">
        <f t="shared" si="1068"/>
        <v>0</v>
      </c>
      <c r="LY102" s="91">
        <f t="shared" si="1069"/>
        <v>0</v>
      </c>
      <c r="LZ102" s="91">
        <f t="shared" si="1070"/>
        <v>0</v>
      </c>
      <c r="MO102" s="91">
        <f t="shared" si="1071"/>
        <v>0</v>
      </c>
      <c r="MP102" s="91">
        <f t="shared" si="1072"/>
        <v>0</v>
      </c>
      <c r="NE102" s="91">
        <f t="shared" si="1073"/>
        <v>0</v>
      </c>
      <c r="NF102" s="91">
        <f t="shared" si="1074"/>
        <v>0</v>
      </c>
      <c r="NU102" s="91">
        <f t="shared" si="1075"/>
        <v>0</v>
      </c>
      <c r="NV102" s="91">
        <f t="shared" si="1076"/>
        <v>0</v>
      </c>
      <c r="OK102" s="91">
        <f t="shared" si="1077"/>
        <v>0</v>
      </c>
      <c r="OL102" s="91">
        <f t="shared" si="1078"/>
        <v>0</v>
      </c>
      <c r="PA102" s="91">
        <f t="shared" si="1079"/>
        <v>0</v>
      </c>
      <c r="PB102" s="91">
        <f t="shared" si="1080"/>
        <v>0</v>
      </c>
      <c r="PQ102" s="91">
        <f t="shared" si="1081"/>
        <v>0</v>
      </c>
      <c r="PR102" s="91">
        <f t="shared" si="1082"/>
        <v>0</v>
      </c>
      <c r="QG102" s="91">
        <f t="shared" si="1083"/>
        <v>0</v>
      </c>
      <c r="QH102" s="91">
        <f t="shared" si="1084"/>
        <v>0</v>
      </c>
      <c r="QW102" s="91">
        <f t="shared" si="1085"/>
        <v>0</v>
      </c>
      <c r="QX102" s="91">
        <f t="shared" si="1086"/>
        <v>0</v>
      </c>
      <c r="RM102" s="91">
        <f t="shared" si="1087"/>
        <v>0</v>
      </c>
      <c r="RN102" s="91">
        <f t="shared" si="1088"/>
        <v>0</v>
      </c>
      <c r="SC102" s="91">
        <f t="shared" si="1089"/>
        <v>0</v>
      </c>
      <c r="SD102" s="91">
        <f t="shared" si="1090"/>
        <v>0</v>
      </c>
      <c r="SS102" s="91">
        <f t="shared" si="1091"/>
        <v>0</v>
      </c>
      <c r="ST102" s="91">
        <f t="shared" si="1092"/>
        <v>0</v>
      </c>
      <c r="TI102" s="91">
        <f t="shared" si="1093"/>
        <v>0</v>
      </c>
      <c r="TJ102" s="91">
        <f t="shared" si="1094"/>
        <v>0</v>
      </c>
      <c r="TY102" s="91">
        <f t="shared" si="1095"/>
        <v>0</v>
      </c>
      <c r="TZ102" s="91">
        <f t="shared" si="1096"/>
        <v>0</v>
      </c>
      <c r="UO102" s="91">
        <f t="shared" si="1097"/>
        <v>0</v>
      </c>
      <c r="UP102" s="91">
        <f t="shared" si="1098"/>
        <v>0</v>
      </c>
      <c r="VE102" s="91">
        <f t="shared" si="1099"/>
        <v>0</v>
      </c>
      <c r="VF102" s="91">
        <f t="shared" si="1100"/>
        <v>0</v>
      </c>
      <c r="VU102" s="91">
        <f t="shared" si="1101"/>
        <v>0</v>
      </c>
      <c r="VV102" s="91">
        <f t="shared" si="1102"/>
        <v>0</v>
      </c>
      <c r="WK102" s="91">
        <f t="shared" si="1103"/>
        <v>0</v>
      </c>
      <c r="WL102" s="91">
        <f t="shared" si="1104"/>
        <v>0</v>
      </c>
      <c r="WM102" s="89"/>
      <c r="WN102" s="87">
        <f t="shared" si="1105"/>
        <v>0</v>
      </c>
      <c r="WO102" s="87">
        <f t="shared" si="1106"/>
        <v>0</v>
      </c>
      <c r="WP102" s="87">
        <f t="shared" si="1107"/>
        <v>0</v>
      </c>
      <c r="WQ102" s="87">
        <f t="shared" si="1108"/>
        <v>0</v>
      </c>
      <c r="WR102" s="87">
        <f t="shared" si="1109"/>
        <v>0</v>
      </c>
      <c r="WS102" s="87">
        <f t="shared" si="1110"/>
        <v>0</v>
      </c>
      <c r="WT102" s="87">
        <f t="shared" si="1111"/>
        <v>0</v>
      </c>
      <c r="WU102" s="87">
        <f t="shared" si="1112"/>
        <v>0</v>
      </c>
      <c r="WV102" s="87">
        <f t="shared" si="1113"/>
        <v>0</v>
      </c>
      <c r="WW102" s="87">
        <f t="shared" si="1114"/>
        <v>0</v>
      </c>
      <c r="WX102" s="87">
        <f t="shared" si="1115"/>
        <v>0</v>
      </c>
      <c r="WY102" s="87">
        <f t="shared" si="1116"/>
        <v>0</v>
      </c>
      <c r="WZ102" s="87">
        <f t="shared" si="1117"/>
        <v>0</v>
      </c>
      <c r="XA102" s="87">
        <f t="shared" si="1118"/>
        <v>0</v>
      </c>
      <c r="XB102" s="92">
        <f t="shared" si="1119"/>
        <v>0</v>
      </c>
      <c r="XC102" s="92">
        <f t="shared" si="1120"/>
        <v>0</v>
      </c>
      <c r="XD102" s="89"/>
      <c r="XE102" s="92">
        <f t="shared" si="1125"/>
        <v>0</v>
      </c>
      <c r="XF102" s="92">
        <f t="shared" si="1126"/>
        <v>0</v>
      </c>
      <c r="XG102" s="89"/>
      <c r="XH102" s="92"/>
      <c r="XI102" s="92"/>
      <c r="XJ102" s="89"/>
      <c r="XK102" s="87"/>
      <c r="XL102" s="87"/>
      <c r="XM102" s="87"/>
      <c r="XN102" s="87"/>
      <c r="XO102" s="87"/>
      <c r="XP102" s="87"/>
      <c r="XQ102" s="87"/>
      <c r="XR102" s="92">
        <f t="shared" ca="1" si="1122"/>
        <v>0</v>
      </c>
      <c r="XS102" s="89"/>
      <c r="XT102" s="87"/>
      <c r="XU102" s="87"/>
      <c r="XV102" s="87"/>
      <c r="XW102" s="87"/>
      <c r="XX102" s="87"/>
      <c r="XY102" s="87"/>
      <c r="XZ102" s="87"/>
      <c r="YA102" s="92">
        <f t="shared" ca="1" si="1123"/>
        <v>0</v>
      </c>
      <c r="YB102" s="90"/>
      <c r="YC102" s="90"/>
      <c r="YD102" s="90"/>
      <c r="YE102" s="90"/>
      <c r="YF102" s="90"/>
      <c r="YG102" s="90"/>
      <c r="YH102" s="90"/>
      <c r="YI102" s="90"/>
      <c r="YJ102" s="90"/>
      <c r="YK102" s="90"/>
      <c r="YL102" s="90"/>
      <c r="YM102" s="90"/>
      <c r="YN102" s="90"/>
      <c r="YO102" s="90"/>
      <c r="YP102" s="90"/>
      <c r="YQ102" s="90"/>
      <c r="YR102" s="90"/>
      <c r="YS102" s="90"/>
      <c r="YT102" s="90"/>
      <c r="YU102" s="90"/>
      <c r="YV102" s="90"/>
      <c r="YW102" s="90"/>
      <c r="YX102" s="90"/>
      <c r="YY102" s="90"/>
      <c r="YZ102" s="90"/>
      <c r="ZA102" s="90"/>
      <c r="ZB102" s="90"/>
      <c r="ZC102" s="90"/>
      <c r="ZD102" s="90"/>
      <c r="ZE102" s="90"/>
      <c r="ZF102" s="90"/>
      <c r="ZG102" s="90"/>
      <c r="ZH102" s="90"/>
      <c r="ZI102" s="90"/>
      <c r="ZJ102" s="90"/>
      <c r="ZK102" s="90"/>
      <c r="ZL102" s="90"/>
      <c r="ZM102" s="90"/>
      <c r="ZN102" s="90"/>
      <c r="ZO102" s="90"/>
      <c r="ZP102" s="90"/>
      <c r="ZQ102" s="90"/>
      <c r="ZR102" s="90"/>
      <c r="ZS102" s="90"/>
      <c r="ZT102" s="90"/>
      <c r="ZU102" s="90"/>
      <c r="ZV102" s="90"/>
      <c r="ZW102" s="90"/>
      <c r="ZX102" s="90"/>
      <c r="ZY102" s="90"/>
      <c r="ZZ102" s="90"/>
      <c r="AAA102" s="90"/>
      <c r="AAB102" s="90"/>
      <c r="AAC102" s="90"/>
      <c r="AAD102" s="90"/>
      <c r="AAE102" s="90"/>
      <c r="AAF102" s="90"/>
      <c r="AAG102" s="90"/>
      <c r="AAH102" s="90"/>
      <c r="AAI102" s="90"/>
      <c r="AAJ102" s="90"/>
      <c r="AAK102" s="90"/>
      <c r="AAL102" s="90"/>
      <c r="AAM102" s="90"/>
      <c r="AAN102" s="90"/>
      <c r="AAO102" s="90"/>
      <c r="AAP102" s="90"/>
      <c r="AAQ102" s="90"/>
      <c r="AAR102" s="90"/>
      <c r="AAS102" s="90"/>
      <c r="AAT102" s="90"/>
      <c r="AAU102" s="90"/>
      <c r="AAV102" s="90"/>
      <c r="AAW102" s="90"/>
      <c r="AAX102" s="90"/>
      <c r="AAY102" s="90"/>
      <c r="AAZ102" s="90"/>
      <c r="ABA102" s="90"/>
      <c r="ABB102" s="90"/>
      <c r="ABC102" s="90"/>
      <c r="ABD102" s="90"/>
      <c r="ABE102" s="90"/>
      <c r="ABF102" s="90"/>
      <c r="ABG102" s="90"/>
      <c r="ABH102" s="90"/>
      <c r="ABI102" s="90"/>
      <c r="ABJ102" s="90"/>
      <c r="ABK102" s="90"/>
      <c r="ABL102" s="90"/>
      <c r="ABM102" s="90"/>
      <c r="ABN102" s="90"/>
      <c r="ABO102" s="90"/>
      <c r="ABP102" s="90"/>
      <c r="ABQ102" s="90"/>
      <c r="ABR102" s="90"/>
      <c r="ABS102" s="90"/>
      <c r="ABT102" s="90"/>
      <c r="ABU102" s="90"/>
      <c r="ABV102" s="90"/>
      <c r="ABW102" s="90"/>
      <c r="ABX102" s="90"/>
      <c r="ABY102" s="90"/>
      <c r="ABZ102" s="90"/>
      <c r="ACA102" s="90"/>
      <c r="ACB102" s="90"/>
      <c r="ACC102" s="90"/>
      <c r="ACD102" s="90"/>
      <c r="ACE102" s="90"/>
      <c r="ACF102" s="90"/>
      <c r="ACG102" s="90"/>
      <c r="ACH102" s="90"/>
      <c r="ACI102" s="90"/>
      <c r="ACJ102" s="90"/>
      <c r="ACK102" s="90"/>
      <c r="ACL102" s="90"/>
      <c r="ACM102" s="90"/>
      <c r="ACN102" s="90"/>
      <c r="ACO102" s="90"/>
      <c r="ACP102" s="90"/>
      <c r="ACQ102" s="90"/>
      <c r="ACR102" s="90"/>
      <c r="ACS102" s="90"/>
      <c r="ACT102" s="90"/>
      <c r="ACU102" s="90"/>
      <c r="ACV102" s="90"/>
      <c r="ACW102" s="90"/>
      <c r="ACX102" s="90"/>
      <c r="ACY102" s="90"/>
      <c r="ACZ102" s="90"/>
      <c r="ADA102" s="90"/>
      <c r="ADB102" s="90"/>
      <c r="ADC102" s="90"/>
      <c r="ADD102" s="90"/>
      <c r="ADE102" s="90"/>
      <c r="ADF102" s="90"/>
      <c r="ADG102" s="90"/>
      <c r="ADH102" s="90"/>
      <c r="ADI102" s="90"/>
      <c r="ADJ102" s="90"/>
      <c r="ADK102" s="90"/>
      <c r="ADL102" s="90"/>
      <c r="ADM102" s="90"/>
      <c r="ADN102" s="90"/>
      <c r="ADO102" s="90"/>
      <c r="ADP102" s="90"/>
      <c r="ADQ102" s="90"/>
      <c r="ADR102" s="90"/>
      <c r="ADS102" s="90"/>
      <c r="ADT102" s="90"/>
      <c r="ADU102" s="90"/>
      <c r="ADV102" s="90"/>
      <c r="ADW102" s="90"/>
      <c r="ADX102" s="90"/>
      <c r="ADY102" s="90"/>
      <c r="ADZ102" s="90"/>
      <c r="AEA102" s="90"/>
      <c r="AEB102" s="90"/>
      <c r="AEC102" s="90"/>
      <c r="AED102" s="90"/>
      <c r="AEE102" s="90"/>
      <c r="AEF102" s="90"/>
      <c r="AEG102" s="90"/>
      <c r="AEH102" s="90"/>
      <c r="AEI102" s="90"/>
      <c r="AEJ102" s="90"/>
      <c r="AEK102" s="90"/>
      <c r="AEL102" s="90"/>
      <c r="AEM102" s="90"/>
      <c r="AEN102" s="90"/>
      <c r="AEO102" s="90"/>
      <c r="AEP102" s="90"/>
      <c r="AEQ102" s="90"/>
      <c r="AER102" s="90"/>
      <c r="AES102" s="90"/>
      <c r="AET102" s="90"/>
      <c r="AEU102" s="90"/>
      <c r="AEV102" s="90"/>
      <c r="AEW102" s="90"/>
      <c r="AEX102" s="90"/>
      <c r="AEY102" s="90"/>
      <c r="AEZ102" s="90"/>
      <c r="AFA102" s="90"/>
      <c r="AFB102" s="90"/>
      <c r="AFC102" s="90"/>
      <c r="AFD102" s="90"/>
      <c r="AFE102" s="90"/>
      <c r="AFF102" s="90"/>
      <c r="AFG102" s="90"/>
      <c r="AFH102" s="90"/>
      <c r="AFI102" s="90"/>
      <c r="AFJ102" s="90"/>
      <c r="AFK102" s="90"/>
      <c r="AFL102" s="90"/>
      <c r="AFM102" s="90"/>
      <c r="AFN102" s="90"/>
      <c r="AFO102" s="90"/>
      <c r="AFP102" s="90"/>
      <c r="AFQ102" s="90"/>
      <c r="AFR102" s="90"/>
      <c r="AFS102" s="90"/>
      <c r="AFT102" s="90"/>
      <c r="AFU102" s="90"/>
      <c r="AFV102" s="90"/>
      <c r="AFW102" s="90"/>
      <c r="AFX102" s="90"/>
      <c r="AFY102" s="90"/>
      <c r="AFZ102" s="90"/>
      <c r="AGA102" s="90"/>
      <c r="AGB102" s="90"/>
      <c r="AGC102" s="90"/>
      <c r="AGD102" s="90"/>
      <c r="AGE102" s="90"/>
      <c r="AGF102" s="90"/>
      <c r="AGG102" s="90"/>
      <c r="AGH102" s="90"/>
      <c r="AGI102" s="90"/>
      <c r="AGJ102" s="90"/>
      <c r="AGK102" s="90"/>
      <c r="AGL102" s="90"/>
      <c r="AGM102" s="90"/>
      <c r="AGN102" s="90"/>
      <c r="AGO102" s="90"/>
      <c r="AGP102" s="90"/>
      <c r="AGQ102" s="90"/>
      <c r="AGR102" s="90"/>
      <c r="AGS102" s="90"/>
      <c r="AGT102" s="90"/>
      <c r="AGU102" s="90"/>
      <c r="AGV102" s="90"/>
      <c r="AGW102" s="90"/>
      <c r="AGX102" s="90"/>
      <c r="AGY102" s="90"/>
      <c r="AGZ102" s="90"/>
      <c r="AHA102" s="90"/>
      <c r="AHB102" s="90"/>
      <c r="AHC102" s="90"/>
      <c r="AHD102" s="90"/>
      <c r="AHE102" s="90"/>
      <c r="AHF102" s="90"/>
      <c r="AHG102" s="90"/>
      <c r="AHH102" s="90"/>
      <c r="AHI102" s="90"/>
      <c r="AHJ102" s="90"/>
      <c r="AHK102" s="90"/>
      <c r="AHL102" s="90"/>
      <c r="AHM102" s="90"/>
      <c r="AHN102" s="90"/>
      <c r="AHO102" s="90"/>
      <c r="AHP102" s="90"/>
      <c r="AHQ102" s="90"/>
      <c r="AHR102" s="90"/>
      <c r="AHS102" s="90"/>
      <c r="AHT102" s="90"/>
      <c r="AHU102" s="90"/>
      <c r="AHV102" s="90"/>
      <c r="AHW102" s="90"/>
      <c r="AHX102" s="90"/>
      <c r="AHY102" s="90"/>
      <c r="AHZ102" s="90"/>
      <c r="AIA102" s="90"/>
      <c r="AIB102" s="90"/>
      <c r="AIC102" s="90"/>
      <c r="AID102" s="90"/>
      <c r="AIE102" s="90"/>
      <c r="AIF102" s="90"/>
      <c r="AIG102" s="90"/>
      <c r="AIH102" s="90"/>
      <c r="AII102" s="90"/>
      <c r="AIJ102" s="90"/>
      <c r="AIK102" s="90"/>
      <c r="AIL102" s="90"/>
      <c r="AIM102" s="90"/>
      <c r="AIN102" s="90"/>
      <c r="AIO102" s="90"/>
      <c r="AIP102" s="90"/>
      <c r="AIQ102" s="90"/>
      <c r="AIR102" s="90"/>
      <c r="AIS102" s="90"/>
      <c r="AIT102" s="90"/>
      <c r="AIU102" s="90"/>
      <c r="AIV102" s="90"/>
      <c r="AIW102" s="90"/>
      <c r="AIX102" s="90"/>
      <c r="AIY102" s="90"/>
      <c r="AIZ102" s="90"/>
      <c r="AJA102" s="90"/>
      <c r="AJB102" s="90"/>
      <c r="AJC102" s="90"/>
      <c r="AJD102" s="90"/>
      <c r="AJE102" s="90"/>
      <c r="AJF102" s="90"/>
      <c r="AJG102" s="90"/>
      <c r="AJH102" s="90"/>
      <c r="AJI102" s="90"/>
      <c r="AJJ102" s="90"/>
      <c r="AJK102" s="90"/>
      <c r="AJL102" s="90"/>
      <c r="AJM102" s="90"/>
      <c r="AJN102" s="90"/>
      <c r="AJO102" s="90"/>
      <c r="AJP102" s="90"/>
      <c r="AJQ102" s="90"/>
      <c r="AJR102" s="90"/>
      <c r="AJS102" s="90"/>
      <c r="AJT102" s="90"/>
      <c r="AJU102" s="90"/>
      <c r="AJV102" s="90"/>
      <c r="AJW102" s="90"/>
      <c r="AJX102" s="90"/>
      <c r="AJY102" s="90"/>
      <c r="AJZ102" s="90"/>
      <c r="AKA102" s="90"/>
      <c r="AKB102" s="90"/>
      <c r="AKC102" s="90"/>
      <c r="AKD102" s="90"/>
      <c r="AKE102" s="90"/>
      <c r="AKF102" s="90"/>
      <c r="AKG102" s="90"/>
      <c r="AKH102" s="90"/>
      <c r="AKI102" s="90"/>
      <c r="AKJ102" s="90"/>
      <c r="AKK102" s="90"/>
      <c r="AKL102" s="90"/>
      <c r="AKM102" s="90"/>
      <c r="AKN102" s="90"/>
      <c r="AKO102" s="90"/>
      <c r="AKP102" s="90"/>
      <c r="AKQ102" s="90"/>
      <c r="AKR102" s="90"/>
      <c r="AKS102" s="90"/>
      <c r="AKT102" s="90"/>
      <c r="AKU102" s="90"/>
      <c r="AKV102" s="90"/>
      <c r="AKW102" s="90"/>
      <c r="AKX102" s="90"/>
      <c r="AKY102" s="90"/>
      <c r="AKZ102" s="90"/>
      <c r="ALA102" s="90"/>
      <c r="ALB102" s="90"/>
      <c r="ALC102" s="90"/>
      <c r="ALD102" s="90"/>
      <c r="ALE102" s="90"/>
      <c r="ALF102" s="90"/>
      <c r="ALG102" s="90"/>
      <c r="ALH102" s="90"/>
      <c r="ALI102" s="90"/>
      <c r="ALJ102" s="90"/>
      <c r="ALK102" s="90"/>
      <c r="ALL102" s="90"/>
      <c r="ALM102" s="90"/>
      <c r="ALN102" s="90"/>
      <c r="ALO102" s="90"/>
      <c r="ALP102" s="90"/>
      <c r="ALQ102" s="90"/>
      <c r="ALR102" s="90"/>
      <c r="ALS102" s="90"/>
      <c r="ALT102" s="90"/>
      <c r="ALU102" s="90"/>
      <c r="ALV102" s="90"/>
      <c r="ALW102" s="90"/>
      <c r="ALX102" s="90"/>
      <c r="ALY102" s="90"/>
      <c r="ALZ102" s="90"/>
      <c r="AMA102" s="90"/>
      <c r="AMB102" s="90"/>
      <c r="AMC102" s="90"/>
    </row>
    <row r="103" spans="1:1017">
      <c r="A103" s="98" t="s">
        <v>47</v>
      </c>
      <c r="B103" s="90" t="str">
        <f t="shared" si="1028"/>
        <v xml:space="preserve">Lele </v>
      </c>
      <c r="I103" s="98">
        <v>60500</v>
      </c>
      <c r="J103" s="98">
        <v>1210000</v>
      </c>
      <c r="M103" s="98">
        <v>600</v>
      </c>
      <c r="N103" s="98">
        <v>12000</v>
      </c>
      <c r="Q103" s="91">
        <f t="shared" si="1029"/>
        <v>61100</v>
      </c>
      <c r="R103" s="91">
        <f t="shared" si="1030"/>
        <v>1222000</v>
      </c>
      <c r="Y103" s="778">
        <v>557500</v>
      </c>
      <c r="Z103" s="778">
        <v>11150000</v>
      </c>
      <c r="AE103" s="98">
        <v>250</v>
      </c>
      <c r="AF103" s="98">
        <v>5000</v>
      </c>
      <c r="AG103" s="91">
        <f t="shared" si="1031"/>
        <v>557750</v>
      </c>
      <c r="AH103" s="91">
        <f t="shared" si="1032"/>
        <v>11155000</v>
      </c>
      <c r="AO103" s="98">
        <v>744200</v>
      </c>
      <c r="AP103" s="98">
        <v>12651400</v>
      </c>
      <c r="AW103" s="91">
        <f t="shared" si="1033"/>
        <v>744200</v>
      </c>
      <c r="AX103" s="91">
        <f t="shared" si="1034"/>
        <v>12651400</v>
      </c>
      <c r="BE103" s="98">
        <v>361742</v>
      </c>
      <c r="BF103" s="98">
        <v>6873098</v>
      </c>
      <c r="BM103" s="91">
        <f t="shared" si="1035"/>
        <v>361742</v>
      </c>
      <c r="BN103" s="91">
        <f t="shared" si="1036"/>
        <v>6873098</v>
      </c>
      <c r="BU103" s="98">
        <v>67691</v>
      </c>
      <c r="BV103" s="98">
        <v>1353820</v>
      </c>
      <c r="CC103" s="91">
        <f t="shared" si="1037"/>
        <v>67691</v>
      </c>
      <c r="CD103" s="91">
        <f t="shared" si="1038"/>
        <v>1353820</v>
      </c>
      <c r="CK103" s="98">
        <v>154582</v>
      </c>
      <c r="CL103" s="98">
        <v>2318727</v>
      </c>
      <c r="CS103" s="91">
        <f t="shared" si="1039"/>
        <v>154582</v>
      </c>
      <c r="CT103" s="91">
        <f t="shared" si="1040"/>
        <v>2318727</v>
      </c>
      <c r="DA103" s="98">
        <v>914571</v>
      </c>
      <c r="DB103" s="98">
        <v>16919544.999000002</v>
      </c>
      <c r="DI103" s="91">
        <f t="shared" si="1041"/>
        <v>914571</v>
      </c>
      <c r="DJ103" s="91">
        <f t="shared" si="1042"/>
        <v>16919544.999000002</v>
      </c>
      <c r="DQ103" s="98">
        <v>537000</v>
      </c>
      <c r="DR103" s="98">
        <v>9934500</v>
      </c>
      <c r="DY103" s="91">
        <f t="shared" si="1043"/>
        <v>537000</v>
      </c>
      <c r="DZ103" s="91">
        <f t="shared" si="1044"/>
        <v>9934500</v>
      </c>
      <c r="EG103" s="98">
        <v>1760000</v>
      </c>
      <c r="EH103" s="98">
        <v>31680000</v>
      </c>
      <c r="EO103" s="91">
        <f t="shared" si="1045"/>
        <v>1760000</v>
      </c>
      <c r="EP103" s="91">
        <f t="shared" si="1046"/>
        <v>31680000</v>
      </c>
      <c r="ET103" s="98" t="s">
        <v>384</v>
      </c>
      <c r="EW103" s="98">
        <v>343047</v>
      </c>
      <c r="EX103" s="98">
        <v>7547034</v>
      </c>
      <c r="EZ103" s="98" t="s">
        <v>384</v>
      </c>
      <c r="FA103" s="98">
        <v>5367</v>
      </c>
      <c r="FB103" s="98">
        <v>118074</v>
      </c>
      <c r="FE103" s="91">
        <f t="shared" si="1047"/>
        <v>348414</v>
      </c>
      <c r="FF103" s="91">
        <f t="shared" si="1048"/>
        <v>7665108</v>
      </c>
      <c r="FM103" s="98">
        <v>107668</v>
      </c>
      <c r="FN103" s="98">
        <v>2045692</v>
      </c>
      <c r="FU103" s="91">
        <f t="shared" si="1049"/>
        <v>107668</v>
      </c>
      <c r="FV103" s="91">
        <f t="shared" si="1050"/>
        <v>2045692</v>
      </c>
      <c r="GC103" s="98">
        <v>224000</v>
      </c>
      <c r="GD103" s="98">
        <v>4144000</v>
      </c>
      <c r="GK103" s="91">
        <f t="shared" si="1051"/>
        <v>224000</v>
      </c>
      <c r="GL103" s="91">
        <f t="shared" si="1052"/>
        <v>4144000</v>
      </c>
      <c r="GS103" s="98">
        <v>146000</v>
      </c>
      <c r="GT103" s="98">
        <v>2701000</v>
      </c>
      <c r="HA103" s="91">
        <f t="shared" si="1053"/>
        <v>146000</v>
      </c>
      <c r="HB103" s="91">
        <f t="shared" si="1054"/>
        <v>2701000</v>
      </c>
      <c r="HI103" s="98">
        <v>600000</v>
      </c>
      <c r="HJ103" s="98">
        <v>10800000</v>
      </c>
      <c r="HQ103" s="91">
        <f t="shared" si="1055"/>
        <v>600000</v>
      </c>
      <c r="HR103" s="91">
        <f t="shared" si="1056"/>
        <v>10800000</v>
      </c>
      <c r="HY103" s="98">
        <v>135110</v>
      </c>
      <c r="HZ103" s="98">
        <v>2431980</v>
      </c>
      <c r="IG103" s="91">
        <f t="shared" si="1057"/>
        <v>135110</v>
      </c>
      <c r="IH103" s="91">
        <f t="shared" si="1058"/>
        <v>2431980</v>
      </c>
      <c r="IO103" s="98">
        <v>892500</v>
      </c>
      <c r="IP103" s="98">
        <v>16511250</v>
      </c>
      <c r="IW103" s="91">
        <f t="shared" si="1059"/>
        <v>892500</v>
      </c>
      <c r="IX103" s="91">
        <f t="shared" si="1060"/>
        <v>16511250</v>
      </c>
      <c r="JE103" s="98">
        <v>330074</v>
      </c>
      <c r="JF103" s="98">
        <v>6106369</v>
      </c>
      <c r="JM103" s="91">
        <f t="shared" si="1061"/>
        <v>330074</v>
      </c>
      <c r="JN103" s="91">
        <f t="shared" si="1062"/>
        <v>6106369</v>
      </c>
      <c r="JU103" s="98">
        <v>54514</v>
      </c>
      <c r="JV103" s="98">
        <v>1308336</v>
      </c>
      <c r="KC103" s="91">
        <f t="shared" si="1063"/>
        <v>54514</v>
      </c>
      <c r="KD103" s="91">
        <f t="shared" si="1064"/>
        <v>1308336</v>
      </c>
      <c r="KK103" s="98">
        <v>65974</v>
      </c>
      <c r="KL103" s="98">
        <v>1319480</v>
      </c>
      <c r="KS103" s="91">
        <f t="shared" si="1065"/>
        <v>65974</v>
      </c>
      <c r="KT103" s="91">
        <f t="shared" si="1066"/>
        <v>1319480</v>
      </c>
      <c r="LA103" s="98">
        <v>1500406.73</v>
      </c>
      <c r="LB103" s="98">
        <v>27757524</v>
      </c>
      <c r="LI103" s="91">
        <f t="shared" si="1067"/>
        <v>1500406.73</v>
      </c>
      <c r="LJ103" s="91">
        <f t="shared" si="1068"/>
        <v>27757524</v>
      </c>
      <c r="LQ103" s="98">
        <v>165060</v>
      </c>
      <c r="LR103" s="98">
        <v>3053610</v>
      </c>
      <c r="LY103" s="91">
        <f t="shared" si="1069"/>
        <v>165060</v>
      </c>
      <c r="LZ103" s="91">
        <f t="shared" si="1070"/>
        <v>3053610</v>
      </c>
      <c r="MG103" s="98">
        <v>102400</v>
      </c>
      <c r="MH103" s="98">
        <v>1894400</v>
      </c>
      <c r="MO103" s="91">
        <f t="shared" si="1071"/>
        <v>102400</v>
      </c>
      <c r="MP103" s="91">
        <f t="shared" si="1072"/>
        <v>1894400</v>
      </c>
      <c r="MW103" s="98">
        <v>23210</v>
      </c>
      <c r="MX103" s="98">
        <v>533830</v>
      </c>
      <c r="NE103" s="91">
        <f t="shared" si="1073"/>
        <v>23210</v>
      </c>
      <c r="NF103" s="91">
        <f t="shared" si="1074"/>
        <v>533830</v>
      </c>
      <c r="NM103" s="98">
        <v>2702200</v>
      </c>
      <c r="NN103" s="98">
        <v>43235200</v>
      </c>
      <c r="NQ103" s="98">
        <v>840</v>
      </c>
      <c r="NR103" s="98">
        <v>13440</v>
      </c>
      <c r="NU103" s="91">
        <f t="shared" si="1075"/>
        <v>2703040</v>
      </c>
      <c r="NV103" s="91">
        <f t="shared" si="1076"/>
        <v>43248640</v>
      </c>
      <c r="OC103" s="98">
        <v>55360</v>
      </c>
      <c r="OD103" s="98">
        <v>1051840</v>
      </c>
      <c r="OK103" s="91">
        <f t="shared" si="1077"/>
        <v>55360</v>
      </c>
      <c r="OL103" s="91">
        <f t="shared" si="1078"/>
        <v>1051840</v>
      </c>
      <c r="OS103" s="98">
        <v>30078.7</v>
      </c>
      <c r="OT103" s="98">
        <v>631652.69999999995</v>
      </c>
      <c r="PA103" s="91">
        <f t="shared" si="1079"/>
        <v>30078.7</v>
      </c>
      <c r="PB103" s="91">
        <f t="shared" si="1080"/>
        <v>631652.69999999995</v>
      </c>
      <c r="PI103" s="98">
        <v>347750</v>
      </c>
      <c r="PJ103" s="98">
        <v>6085586</v>
      </c>
      <c r="PQ103" s="91">
        <f t="shared" si="1081"/>
        <v>347750</v>
      </c>
      <c r="PR103" s="91">
        <f t="shared" si="1082"/>
        <v>6085586</v>
      </c>
      <c r="PY103" s="98">
        <v>890420</v>
      </c>
      <c r="PZ103" s="98">
        <v>16917980</v>
      </c>
      <c r="QC103" s="98">
        <v>155500</v>
      </c>
      <c r="QD103" s="98">
        <v>2954500</v>
      </c>
      <c r="QG103" s="91">
        <f t="shared" si="1083"/>
        <v>1045920</v>
      </c>
      <c r="QH103" s="91">
        <f t="shared" si="1084"/>
        <v>19872480</v>
      </c>
      <c r="QO103" s="98">
        <v>870000</v>
      </c>
      <c r="QP103" s="98">
        <v>16095000</v>
      </c>
      <c r="QW103" s="91">
        <f t="shared" si="1085"/>
        <v>870000</v>
      </c>
      <c r="QX103" s="91">
        <f t="shared" si="1086"/>
        <v>16095000</v>
      </c>
      <c r="RE103" s="98">
        <v>1892</v>
      </c>
      <c r="RF103" s="98">
        <f>RE103*20</f>
        <v>37840</v>
      </c>
      <c r="RM103" s="91">
        <f t="shared" si="1087"/>
        <v>1892</v>
      </c>
      <c r="RN103" s="91">
        <f t="shared" si="1088"/>
        <v>37840</v>
      </c>
      <c r="RU103" s="98">
        <v>9680</v>
      </c>
      <c r="RV103" s="98">
        <v>164560</v>
      </c>
      <c r="SC103" s="91">
        <f t="shared" si="1089"/>
        <v>9680</v>
      </c>
      <c r="SD103" s="91">
        <f t="shared" si="1090"/>
        <v>164560</v>
      </c>
      <c r="SK103" s="98">
        <v>18000</v>
      </c>
      <c r="SL103" s="98">
        <v>342000</v>
      </c>
      <c r="SS103" s="91">
        <f t="shared" si="1091"/>
        <v>18000</v>
      </c>
      <c r="ST103" s="91">
        <f t="shared" si="1092"/>
        <v>342000</v>
      </c>
      <c r="TA103" s="98">
        <v>20125</v>
      </c>
      <c r="TB103" s="98">
        <v>372313</v>
      </c>
      <c r="TI103" s="91">
        <f t="shared" si="1093"/>
        <v>20125</v>
      </c>
      <c r="TJ103" s="91">
        <f t="shared" si="1094"/>
        <v>372313</v>
      </c>
      <c r="TQ103" s="98">
        <v>17000</v>
      </c>
      <c r="TR103" s="98">
        <v>323000</v>
      </c>
      <c r="TY103" s="91">
        <f t="shared" si="1095"/>
        <v>17000</v>
      </c>
      <c r="TZ103" s="91">
        <f t="shared" si="1096"/>
        <v>323000</v>
      </c>
      <c r="UG103" s="98">
        <v>18171</v>
      </c>
      <c r="UH103" s="98">
        <v>327078</v>
      </c>
      <c r="UO103" s="91">
        <f t="shared" si="1097"/>
        <v>18171</v>
      </c>
      <c r="UP103" s="91">
        <f t="shared" si="1098"/>
        <v>327078</v>
      </c>
      <c r="UW103" s="98">
        <v>2937</v>
      </c>
      <c r="UX103" s="98">
        <v>55803</v>
      </c>
      <c r="VE103" s="91">
        <f t="shared" si="1099"/>
        <v>2937</v>
      </c>
      <c r="VF103" s="91">
        <f t="shared" si="1100"/>
        <v>55803</v>
      </c>
      <c r="VM103" s="98">
        <v>15325</v>
      </c>
      <c r="VN103" s="98">
        <v>291175</v>
      </c>
      <c r="VU103" s="91">
        <f t="shared" si="1101"/>
        <v>15325</v>
      </c>
      <c r="VV103" s="91">
        <f t="shared" si="1102"/>
        <v>291175</v>
      </c>
      <c r="WC103" s="98">
        <v>193227</v>
      </c>
      <c r="WD103" s="98">
        <v>3864540</v>
      </c>
      <c r="WI103" s="98">
        <v>6790</v>
      </c>
      <c r="WJ103" s="98">
        <v>135800</v>
      </c>
      <c r="WK103" s="91">
        <f t="shared" si="1103"/>
        <v>200017</v>
      </c>
      <c r="WL103" s="91">
        <f t="shared" si="1104"/>
        <v>4000340</v>
      </c>
      <c r="WM103" s="89"/>
      <c r="WN103" s="87">
        <f t="shared" si="1105"/>
        <v>0</v>
      </c>
      <c r="WO103" s="87">
        <f t="shared" si="1106"/>
        <v>0</v>
      </c>
      <c r="WP103" s="87">
        <f t="shared" si="1107"/>
        <v>0</v>
      </c>
      <c r="WQ103" s="87">
        <f t="shared" si="1108"/>
        <v>0</v>
      </c>
      <c r="WR103" s="87">
        <f t="shared" si="1109"/>
        <v>0</v>
      </c>
      <c r="WS103" s="87">
        <f t="shared" si="1110"/>
        <v>0</v>
      </c>
      <c r="WT103" s="87">
        <f t="shared" si="1111"/>
        <v>15039915.43</v>
      </c>
      <c r="WU103" s="87">
        <f t="shared" si="1112"/>
        <v>272041162.699</v>
      </c>
      <c r="WV103" s="87">
        <f t="shared" si="1113"/>
        <v>0</v>
      </c>
      <c r="WW103" s="87">
        <f t="shared" si="1114"/>
        <v>0</v>
      </c>
      <c r="WX103" s="87">
        <f t="shared" si="1115"/>
        <v>162307</v>
      </c>
      <c r="WY103" s="87">
        <f t="shared" si="1116"/>
        <v>3098014</v>
      </c>
      <c r="WZ103" s="87">
        <f t="shared" si="1117"/>
        <v>7040</v>
      </c>
      <c r="XA103" s="87">
        <f t="shared" si="1118"/>
        <v>140800</v>
      </c>
      <c r="XB103" s="92">
        <f t="shared" si="1119"/>
        <v>15209262.43</v>
      </c>
      <c r="XC103" s="92">
        <f t="shared" si="1120"/>
        <v>275279976.699</v>
      </c>
      <c r="XD103" s="89"/>
      <c r="XE103" s="92">
        <f t="shared" si="1125"/>
        <v>40667071.210000001</v>
      </c>
      <c r="XF103" s="92">
        <f t="shared" si="1126"/>
        <v>706044789.70099998</v>
      </c>
      <c r="XG103" s="89"/>
      <c r="XH103" s="92"/>
      <c r="XI103" s="92"/>
      <c r="XJ103" s="89"/>
      <c r="XK103" s="87"/>
      <c r="XL103" s="87"/>
      <c r="XM103" s="87"/>
      <c r="XN103" s="87"/>
      <c r="XO103" s="87"/>
      <c r="XP103" s="87"/>
      <c r="XQ103" s="87"/>
      <c r="XR103" s="92">
        <f t="shared" ca="1" si="1122"/>
        <v>0</v>
      </c>
      <c r="XS103" s="89"/>
      <c r="XT103" s="87"/>
      <c r="XU103" s="87"/>
      <c r="XV103" s="87"/>
      <c r="XW103" s="87"/>
      <c r="XX103" s="87"/>
      <c r="XY103" s="87"/>
      <c r="XZ103" s="87"/>
      <c r="YA103" s="92">
        <f t="shared" ca="1" si="1123"/>
        <v>0</v>
      </c>
      <c r="YB103" s="90"/>
      <c r="YC103" s="90"/>
      <c r="YD103" s="90"/>
      <c r="YE103" s="90"/>
      <c r="YF103" s="90"/>
      <c r="YG103" s="90"/>
      <c r="YH103" s="90"/>
      <c r="YI103" s="90"/>
      <c r="YJ103" s="90"/>
      <c r="YK103" s="90"/>
      <c r="YL103" s="90"/>
      <c r="YM103" s="90"/>
      <c r="YN103" s="90"/>
      <c r="YO103" s="90"/>
      <c r="YP103" s="90"/>
      <c r="YQ103" s="90"/>
      <c r="YR103" s="90"/>
      <c r="YS103" s="90"/>
      <c r="YT103" s="90"/>
      <c r="YU103" s="90"/>
      <c r="YV103" s="90"/>
      <c r="YW103" s="90"/>
      <c r="YX103" s="90"/>
      <c r="YY103" s="90"/>
      <c r="YZ103" s="90"/>
      <c r="ZA103" s="90"/>
      <c r="ZB103" s="90"/>
      <c r="ZC103" s="90"/>
      <c r="ZD103" s="90"/>
      <c r="ZE103" s="90"/>
      <c r="ZF103" s="90"/>
      <c r="ZG103" s="90"/>
      <c r="ZH103" s="90"/>
      <c r="ZI103" s="90"/>
      <c r="ZJ103" s="90"/>
      <c r="ZK103" s="90"/>
      <c r="ZL103" s="90"/>
      <c r="ZM103" s="90"/>
      <c r="ZN103" s="90"/>
      <c r="ZO103" s="90"/>
      <c r="ZP103" s="90"/>
      <c r="ZQ103" s="90"/>
      <c r="ZR103" s="90"/>
      <c r="ZS103" s="90"/>
      <c r="ZT103" s="90"/>
      <c r="ZU103" s="90"/>
      <c r="ZV103" s="90"/>
      <c r="ZW103" s="90"/>
      <c r="ZX103" s="90"/>
      <c r="ZY103" s="90"/>
      <c r="ZZ103" s="90"/>
      <c r="AAA103" s="90"/>
      <c r="AAB103" s="90"/>
      <c r="AAC103" s="90"/>
      <c r="AAD103" s="90"/>
      <c r="AAE103" s="90"/>
      <c r="AAF103" s="90"/>
      <c r="AAG103" s="90"/>
      <c r="AAH103" s="90"/>
      <c r="AAI103" s="90"/>
      <c r="AAJ103" s="90"/>
      <c r="AAK103" s="90"/>
      <c r="AAL103" s="90"/>
      <c r="AAM103" s="90"/>
      <c r="AAN103" s="90"/>
      <c r="AAO103" s="90"/>
      <c r="AAP103" s="90"/>
      <c r="AAQ103" s="90"/>
      <c r="AAR103" s="90"/>
      <c r="AAS103" s="90"/>
      <c r="AAT103" s="90"/>
      <c r="AAU103" s="90"/>
      <c r="AAV103" s="90"/>
      <c r="AAW103" s="90"/>
      <c r="AAX103" s="90"/>
      <c r="AAY103" s="90"/>
      <c r="AAZ103" s="90"/>
      <c r="ABA103" s="90"/>
      <c r="ABB103" s="90"/>
      <c r="ABC103" s="90"/>
      <c r="ABD103" s="90"/>
      <c r="ABE103" s="90"/>
      <c r="ABF103" s="90"/>
      <c r="ABG103" s="90"/>
      <c r="ABH103" s="90"/>
      <c r="ABI103" s="90"/>
      <c r="ABJ103" s="90"/>
      <c r="ABK103" s="90"/>
      <c r="ABL103" s="90"/>
      <c r="ABM103" s="90"/>
      <c r="ABN103" s="90"/>
      <c r="ABO103" s="90"/>
      <c r="ABP103" s="90"/>
      <c r="ABQ103" s="90"/>
      <c r="ABR103" s="90"/>
      <c r="ABS103" s="90"/>
      <c r="ABT103" s="90"/>
      <c r="ABU103" s="90"/>
      <c r="ABV103" s="90"/>
      <c r="ABW103" s="90"/>
      <c r="ABX103" s="90"/>
      <c r="ABY103" s="90"/>
      <c r="ABZ103" s="90"/>
      <c r="ACA103" s="90"/>
      <c r="ACB103" s="90"/>
      <c r="ACC103" s="90"/>
      <c r="ACD103" s="90"/>
      <c r="ACE103" s="90"/>
      <c r="ACF103" s="90"/>
      <c r="ACG103" s="90"/>
      <c r="ACH103" s="90"/>
      <c r="ACI103" s="90"/>
      <c r="ACJ103" s="90"/>
      <c r="ACK103" s="90"/>
      <c r="ACL103" s="90"/>
      <c r="ACM103" s="90"/>
      <c r="ACN103" s="90"/>
      <c r="ACO103" s="90"/>
      <c r="ACP103" s="90"/>
      <c r="ACQ103" s="90"/>
      <c r="ACR103" s="90"/>
      <c r="ACS103" s="90"/>
      <c r="ACT103" s="90"/>
      <c r="ACU103" s="90"/>
      <c r="ACV103" s="90"/>
      <c r="ACW103" s="90"/>
      <c r="ACX103" s="90"/>
      <c r="ACY103" s="90"/>
      <c r="ACZ103" s="90"/>
      <c r="ADA103" s="90"/>
      <c r="ADB103" s="90"/>
      <c r="ADC103" s="90"/>
      <c r="ADD103" s="90"/>
      <c r="ADE103" s="90"/>
      <c r="ADF103" s="90"/>
      <c r="ADG103" s="90"/>
      <c r="ADH103" s="90"/>
      <c r="ADI103" s="90"/>
      <c r="ADJ103" s="90"/>
      <c r="ADK103" s="90"/>
      <c r="ADL103" s="90"/>
      <c r="ADM103" s="90"/>
      <c r="ADN103" s="90"/>
      <c r="ADO103" s="90"/>
      <c r="ADP103" s="90"/>
      <c r="ADQ103" s="90"/>
      <c r="ADR103" s="90"/>
      <c r="ADS103" s="90"/>
      <c r="ADT103" s="90"/>
      <c r="ADU103" s="90"/>
      <c r="ADV103" s="90"/>
      <c r="ADW103" s="90"/>
      <c r="ADX103" s="90"/>
      <c r="ADY103" s="90"/>
      <c r="ADZ103" s="90"/>
      <c r="AEA103" s="90"/>
      <c r="AEB103" s="90"/>
      <c r="AEC103" s="90"/>
      <c r="AED103" s="90"/>
      <c r="AEE103" s="90"/>
      <c r="AEF103" s="90"/>
      <c r="AEG103" s="90"/>
      <c r="AEH103" s="90"/>
      <c r="AEI103" s="90"/>
      <c r="AEJ103" s="90"/>
      <c r="AEK103" s="90"/>
      <c r="AEL103" s="90"/>
      <c r="AEM103" s="90"/>
      <c r="AEN103" s="90"/>
      <c r="AEO103" s="90"/>
      <c r="AEP103" s="90"/>
      <c r="AEQ103" s="90"/>
      <c r="AER103" s="90"/>
      <c r="AES103" s="90"/>
      <c r="AET103" s="90"/>
      <c r="AEU103" s="90"/>
      <c r="AEV103" s="90"/>
      <c r="AEW103" s="90"/>
      <c r="AEX103" s="90"/>
      <c r="AEY103" s="90"/>
      <c r="AEZ103" s="90"/>
      <c r="AFA103" s="90"/>
      <c r="AFB103" s="90"/>
      <c r="AFC103" s="90"/>
      <c r="AFD103" s="90"/>
      <c r="AFE103" s="90"/>
      <c r="AFF103" s="90"/>
      <c r="AFG103" s="90"/>
      <c r="AFH103" s="90"/>
      <c r="AFI103" s="90"/>
      <c r="AFJ103" s="90"/>
      <c r="AFK103" s="90"/>
      <c r="AFL103" s="90"/>
      <c r="AFM103" s="90"/>
      <c r="AFN103" s="90"/>
      <c r="AFO103" s="90"/>
      <c r="AFP103" s="90"/>
      <c r="AFQ103" s="90"/>
      <c r="AFR103" s="90"/>
      <c r="AFS103" s="90"/>
      <c r="AFT103" s="90"/>
      <c r="AFU103" s="90"/>
      <c r="AFV103" s="90"/>
      <c r="AFW103" s="90"/>
      <c r="AFX103" s="90"/>
      <c r="AFY103" s="90"/>
      <c r="AFZ103" s="90"/>
      <c r="AGA103" s="90"/>
      <c r="AGB103" s="90"/>
      <c r="AGC103" s="90"/>
      <c r="AGD103" s="90"/>
      <c r="AGE103" s="90"/>
      <c r="AGF103" s="90"/>
      <c r="AGG103" s="90"/>
      <c r="AGH103" s="90"/>
      <c r="AGI103" s="90"/>
      <c r="AGJ103" s="90"/>
      <c r="AGK103" s="90"/>
      <c r="AGL103" s="90"/>
      <c r="AGM103" s="90"/>
      <c r="AGN103" s="90"/>
      <c r="AGO103" s="90"/>
      <c r="AGP103" s="90"/>
      <c r="AGQ103" s="90"/>
      <c r="AGR103" s="90"/>
      <c r="AGS103" s="90"/>
      <c r="AGT103" s="90"/>
      <c r="AGU103" s="90"/>
      <c r="AGV103" s="90"/>
      <c r="AGW103" s="90"/>
      <c r="AGX103" s="90"/>
      <c r="AGY103" s="90"/>
      <c r="AGZ103" s="90"/>
      <c r="AHA103" s="90"/>
      <c r="AHB103" s="90"/>
      <c r="AHC103" s="90"/>
      <c r="AHD103" s="90"/>
      <c r="AHE103" s="90"/>
      <c r="AHF103" s="90"/>
      <c r="AHG103" s="90"/>
      <c r="AHH103" s="90"/>
      <c r="AHI103" s="90"/>
      <c r="AHJ103" s="90"/>
      <c r="AHK103" s="90"/>
      <c r="AHL103" s="90"/>
      <c r="AHM103" s="90"/>
      <c r="AHN103" s="90"/>
      <c r="AHO103" s="90"/>
      <c r="AHP103" s="90"/>
      <c r="AHQ103" s="90"/>
      <c r="AHR103" s="90"/>
      <c r="AHS103" s="90"/>
      <c r="AHT103" s="90"/>
      <c r="AHU103" s="90"/>
      <c r="AHV103" s="90"/>
      <c r="AHW103" s="90"/>
      <c r="AHX103" s="90"/>
      <c r="AHY103" s="90"/>
      <c r="AHZ103" s="90"/>
      <c r="AIA103" s="90"/>
      <c r="AIB103" s="90"/>
      <c r="AIC103" s="90"/>
      <c r="AID103" s="90"/>
      <c r="AIE103" s="90"/>
      <c r="AIF103" s="90"/>
      <c r="AIG103" s="90"/>
      <c r="AIH103" s="90"/>
      <c r="AII103" s="90"/>
      <c r="AIJ103" s="90"/>
      <c r="AIK103" s="90"/>
      <c r="AIL103" s="90"/>
      <c r="AIM103" s="90"/>
      <c r="AIN103" s="90"/>
      <c r="AIO103" s="90"/>
      <c r="AIP103" s="90"/>
      <c r="AIQ103" s="90"/>
      <c r="AIR103" s="90"/>
      <c r="AIS103" s="90"/>
      <c r="AIT103" s="90"/>
      <c r="AIU103" s="90"/>
      <c r="AIV103" s="90"/>
      <c r="AIW103" s="90"/>
      <c r="AIX103" s="90"/>
      <c r="AIY103" s="90"/>
      <c r="AIZ103" s="90"/>
      <c r="AJA103" s="90"/>
      <c r="AJB103" s="90"/>
      <c r="AJC103" s="90"/>
      <c r="AJD103" s="90"/>
      <c r="AJE103" s="90"/>
      <c r="AJF103" s="90"/>
      <c r="AJG103" s="90"/>
      <c r="AJH103" s="90"/>
      <c r="AJI103" s="90"/>
      <c r="AJJ103" s="90"/>
      <c r="AJK103" s="90"/>
      <c r="AJL103" s="90"/>
      <c r="AJM103" s="90"/>
      <c r="AJN103" s="90"/>
      <c r="AJO103" s="90"/>
      <c r="AJP103" s="90"/>
      <c r="AJQ103" s="90"/>
      <c r="AJR103" s="90"/>
      <c r="AJS103" s="90"/>
      <c r="AJT103" s="90"/>
      <c r="AJU103" s="90"/>
      <c r="AJV103" s="90"/>
      <c r="AJW103" s="90"/>
      <c r="AJX103" s="90"/>
      <c r="AJY103" s="90"/>
      <c r="AJZ103" s="90"/>
      <c r="AKA103" s="90"/>
      <c r="AKB103" s="90"/>
      <c r="AKC103" s="90"/>
      <c r="AKD103" s="90"/>
      <c r="AKE103" s="90"/>
      <c r="AKF103" s="90"/>
      <c r="AKG103" s="90"/>
      <c r="AKH103" s="90"/>
      <c r="AKI103" s="90"/>
      <c r="AKJ103" s="90"/>
      <c r="AKK103" s="90"/>
      <c r="AKL103" s="90"/>
      <c r="AKM103" s="90"/>
      <c r="AKN103" s="90"/>
      <c r="AKO103" s="90"/>
      <c r="AKP103" s="90"/>
      <c r="AKQ103" s="90"/>
      <c r="AKR103" s="90"/>
      <c r="AKS103" s="90"/>
      <c r="AKT103" s="90"/>
      <c r="AKU103" s="90"/>
      <c r="AKV103" s="90"/>
      <c r="AKW103" s="90"/>
      <c r="AKX103" s="90"/>
      <c r="AKY103" s="90"/>
      <c r="AKZ103" s="90"/>
      <c r="ALA103" s="90"/>
      <c r="ALB103" s="90"/>
      <c r="ALC103" s="90"/>
      <c r="ALD103" s="90"/>
      <c r="ALE103" s="90"/>
      <c r="ALF103" s="90"/>
      <c r="ALG103" s="90"/>
      <c r="ALH103" s="90"/>
      <c r="ALI103" s="90"/>
      <c r="ALJ103" s="90"/>
      <c r="ALK103" s="90"/>
      <c r="ALL103" s="90"/>
      <c r="ALM103" s="90"/>
      <c r="ALN103" s="90"/>
      <c r="ALO103" s="90"/>
      <c r="ALP103" s="90"/>
      <c r="ALQ103" s="90"/>
      <c r="ALR103" s="90"/>
      <c r="ALS103" s="90"/>
      <c r="ALT103" s="90"/>
      <c r="ALU103" s="90"/>
      <c r="ALV103" s="90"/>
      <c r="ALW103" s="90"/>
      <c r="ALX103" s="90"/>
      <c r="ALY103" s="90"/>
      <c r="ALZ103" s="90"/>
      <c r="AMA103" s="90"/>
      <c r="AMB103" s="90"/>
      <c r="AMC103" s="90"/>
    </row>
    <row r="104" spans="1:1017">
      <c r="A104" s="98" t="s">
        <v>47</v>
      </c>
      <c r="B104" s="90" t="str">
        <f t="shared" si="1028"/>
        <v xml:space="preserve">Lobster Air Laut </v>
      </c>
      <c r="I104" s="90"/>
      <c r="Q104" s="91">
        <f t="shared" si="1029"/>
        <v>0</v>
      </c>
      <c r="R104" s="91">
        <f t="shared" si="1030"/>
        <v>0</v>
      </c>
      <c r="S104" s="98">
        <v>1010</v>
      </c>
      <c r="T104" s="98">
        <v>353500</v>
      </c>
      <c r="Y104" s="90"/>
      <c r="AG104" s="91">
        <f t="shared" si="1031"/>
        <v>1010</v>
      </c>
      <c r="AH104" s="91">
        <f t="shared" si="1032"/>
        <v>353500</v>
      </c>
      <c r="AO104" s="90"/>
      <c r="AW104" s="91">
        <f t="shared" si="1033"/>
        <v>0</v>
      </c>
      <c r="AX104" s="91">
        <f t="shared" si="1034"/>
        <v>0</v>
      </c>
      <c r="BE104" s="90"/>
      <c r="BM104" s="91">
        <f t="shared" si="1035"/>
        <v>0</v>
      </c>
      <c r="BN104" s="91">
        <f t="shared" si="1036"/>
        <v>0</v>
      </c>
      <c r="BU104" s="90"/>
      <c r="CC104" s="91">
        <f t="shared" si="1037"/>
        <v>0</v>
      </c>
      <c r="CD104" s="91">
        <f t="shared" si="1038"/>
        <v>0</v>
      </c>
      <c r="CK104" s="90"/>
      <c r="CS104" s="91">
        <f t="shared" si="1039"/>
        <v>0</v>
      </c>
      <c r="CT104" s="91">
        <f t="shared" si="1040"/>
        <v>0</v>
      </c>
      <c r="DA104" s="90"/>
      <c r="DI104" s="91">
        <f t="shared" si="1041"/>
        <v>0</v>
      </c>
      <c r="DJ104" s="91">
        <f t="shared" si="1042"/>
        <v>0</v>
      </c>
      <c r="DQ104" s="90"/>
      <c r="DY104" s="91">
        <f t="shared" si="1043"/>
        <v>0</v>
      </c>
      <c r="DZ104" s="91">
        <f t="shared" si="1044"/>
        <v>0</v>
      </c>
      <c r="EG104" s="90"/>
      <c r="EO104" s="91">
        <f t="shared" si="1045"/>
        <v>0</v>
      </c>
      <c r="EP104" s="91">
        <f t="shared" si="1046"/>
        <v>0</v>
      </c>
      <c r="ET104" s="98" t="s">
        <v>384</v>
      </c>
      <c r="EX104" s="98" t="s">
        <v>384</v>
      </c>
      <c r="EY104" s="90"/>
      <c r="EZ104" s="98" t="s">
        <v>384</v>
      </c>
      <c r="FB104" s="98" t="s">
        <v>384</v>
      </c>
      <c r="FE104" s="91">
        <f t="shared" si="1047"/>
        <v>0</v>
      </c>
      <c r="FF104" s="91">
        <f t="shared" si="1048"/>
        <v>0</v>
      </c>
      <c r="FM104" s="90"/>
      <c r="FU104" s="91">
        <f t="shared" si="1049"/>
        <v>0</v>
      </c>
      <c r="FV104" s="91">
        <f t="shared" si="1050"/>
        <v>0</v>
      </c>
      <c r="GC104" s="90"/>
      <c r="GK104" s="91">
        <f t="shared" si="1051"/>
        <v>0</v>
      </c>
      <c r="GL104" s="91">
        <f t="shared" si="1052"/>
        <v>0</v>
      </c>
      <c r="GS104" s="90"/>
      <c r="HA104" s="91">
        <f t="shared" si="1053"/>
        <v>0</v>
      </c>
      <c r="HB104" s="91">
        <f t="shared" si="1054"/>
        <v>0</v>
      </c>
      <c r="HI104" s="90"/>
      <c r="HQ104" s="91">
        <f t="shared" si="1055"/>
        <v>0</v>
      </c>
      <c r="HR104" s="91">
        <f t="shared" si="1056"/>
        <v>0</v>
      </c>
      <c r="HY104" s="90"/>
      <c r="IG104" s="91">
        <f t="shared" si="1057"/>
        <v>0</v>
      </c>
      <c r="IH104" s="91">
        <f t="shared" si="1058"/>
        <v>0</v>
      </c>
      <c r="IO104" s="90"/>
      <c r="IW104" s="91">
        <f t="shared" si="1059"/>
        <v>0</v>
      </c>
      <c r="IX104" s="91">
        <f t="shared" si="1060"/>
        <v>0</v>
      </c>
      <c r="JE104" s="90"/>
      <c r="JM104" s="91">
        <f t="shared" si="1061"/>
        <v>0</v>
      </c>
      <c r="JN104" s="91">
        <f t="shared" si="1062"/>
        <v>0</v>
      </c>
      <c r="JU104" s="90"/>
      <c r="KC104" s="91">
        <f t="shared" si="1063"/>
        <v>0</v>
      </c>
      <c r="KD104" s="91">
        <f t="shared" si="1064"/>
        <v>0</v>
      </c>
      <c r="KK104" s="90"/>
      <c r="KS104" s="91">
        <f t="shared" si="1065"/>
        <v>0</v>
      </c>
      <c r="KT104" s="91">
        <f t="shared" si="1066"/>
        <v>0</v>
      </c>
      <c r="LA104" s="90"/>
      <c r="LI104" s="91">
        <f t="shared" si="1067"/>
        <v>0</v>
      </c>
      <c r="LJ104" s="91">
        <f t="shared" si="1068"/>
        <v>0</v>
      </c>
      <c r="LQ104" s="90"/>
      <c r="LY104" s="91">
        <f t="shared" si="1069"/>
        <v>0</v>
      </c>
      <c r="LZ104" s="91">
        <f t="shared" si="1070"/>
        <v>0</v>
      </c>
      <c r="MG104" s="90"/>
      <c r="MO104" s="91">
        <f t="shared" si="1071"/>
        <v>0</v>
      </c>
      <c r="MP104" s="91">
        <f t="shared" si="1072"/>
        <v>0</v>
      </c>
      <c r="MW104" s="90"/>
      <c r="NE104" s="91">
        <f t="shared" si="1073"/>
        <v>0</v>
      </c>
      <c r="NF104" s="91">
        <f t="shared" si="1074"/>
        <v>0</v>
      </c>
      <c r="NM104" s="90"/>
      <c r="NU104" s="91">
        <f t="shared" si="1075"/>
        <v>0</v>
      </c>
      <c r="NV104" s="91">
        <f t="shared" si="1076"/>
        <v>0</v>
      </c>
      <c r="NW104" s="98">
        <v>200</v>
      </c>
      <c r="NX104" s="98">
        <v>60000</v>
      </c>
      <c r="OC104" s="90"/>
      <c r="OK104" s="91">
        <f t="shared" si="1077"/>
        <v>200</v>
      </c>
      <c r="OL104" s="91">
        <f t="shared" si="1078"/>
        <v>60000</v>
      </c>
      <c r="OS104" s="90"/>
      <c r="PA104" s="91">
        <f t="shared" si="1079"/>
        <v>0</v>
      </c>
      <c r="PB104" s="91">
        <f t="shared" si="1080"/>
        <v>0</v>
      </c>
      <c r="PI104" s="90"/>
      <c r="PQ104" s="91">
        <f t="shared" si="1081"/>
        <v>0</v>
      </c>
      <c r="PR104" s="91">
        <f t="shared" si="1082"/>
        <v>0</v>
      </c>
      <c r="PY104" s="90"/>
      <c r="QG104" s="91">
        <f t="shared" si="1083"/>
        <v>0</v>
      </c>
      <c r="QH104" s="91">
        <f t="shared" si="1084"/>
        <v>0</v>
      </c>
      <c r="QO104" s="90"/>
      <c r="QW104" s="91">
        <f t="shared" si="1085"/>
        <v>0</v>
      </c>
      <c r="QX104" s="91">
        <f t="shared" si="1086"/>
        <v>0</v>
      </c>
      <c r="RE104" s="90"/>
      <c r="RM104" s="91">
        <f t="shared" si="1087"/>
        <v>0</v>
      </c>
      <c r="RN104" s="91">
        <f t="shared" si="1088"/>
        <v>0</v>
      </c>
      <c r="RU104" s="90"/>
      <c r="SC104" s="91">
        <f t="shared" si="1089"/>
        <v>0</v>
      </c>
      <c r="SD104" s="91">
        <f t="shared" si="1090"/>
        <v>0</v>
      </c>
      <c r="SK104" s="90"/>
      <c r="SS104" s="91">
        <f t="shared" si="1091"/>
        <v>0</v>
      </c>
      <c r="ST104" s="91">
        <f t="shared" si="1092"/>
        <v>0</v>
      </c>
      <c r="TA104" s="90"/>
      <c r="TI104" s="91">
        <f t="shared" si="1093"/>
        <v>0</v>
      </c>
      <c r="TJ104" s="91">
        <f t="shared" si="1094"/>
        <v>0</v>
      </c>
      <c r="TQ104" s="90"/>
      <c r="TY104" s="91">
        <f t="shared" si="1095"/>
        <v>0</v>
      </c>
      <c r="TZ104" s="91">
        <f t="shared" si="1096"/>
        <v>0</v>
      </c>
      <c r="UG104" s="90"/>
      <c r="UO104" s="91">
        <f t="shared" si="1097"/>
        <v>0</v>
      </c>
      <c r="UP104" s="91">
        <f t="shared" si="1098"/>
        <v>0</v>
      </c>
      <c r="UW104" s="90"/>
      <c r="VE104" s="91">
        <f t="shared" si="1099"/>
        <v>0</v>
      </c>
      <c r="VF104" s="91">
        <f t="shared" si="1100"/>
        <v>0</v>
      </c>
      <c r="VM104" s="90"/>
      <c r="VU104" s="91">
        <f t="shared" si="1101"/>
        <v>0</v>
      </c>
      <c r="VV104" s="91">
        <f t="shared" si="1102"/>
        <v>0</v>
      </c>
      <c r="WC104" s="90"/>
      <c r="WK104" s="91">
        <f t="shared" si="1103"/>
        <v>0</v>
      </c>
      <c r="WL104" s="91">
        <f t="shared" si="1104"/>
        <v>0</v>
      </c>
      <c r="WM104" s="89"/>
      <c r="WN104" s="87">
        <f t="shared" si="1105"/>
        <v>1210</v>
      </c>
      <c r="WO104" s="87">
        <f t="shared" si="1106"/>
        <v>413500</v>
      </c>
      <c r="WP104" s="87">
        <f t="shared" si="1107"/>
        <v>0</v>
      </c>
      <c r="WQ104" s="87">
        <f t="shared" si="1108"/>
        <v>0</v>
      </c>
      <c r="WR104" s="87">
        <f t="shared" si="1109"/>
        <v>0</v>
      </c>
      <c r="WS104" s="87">
        <f t="shared" si="1110"/>
        <v>0</v>
      </c>
      <c r="WT104" s="87">
        <f t="shared" si="1111"/>
        <v>0</v>
      </c>
      <c r="WU104" s="87">
        <f t="shared" si="1112"/>
        <v>0</v>
      </c>
      <c r="WV104" s="87">
        <f t="shared" si="1113"/>
        <v>0</v>
      </c>
      <c r="WW104" s="87">
        <f t="shared" si="1114"/>
        <v>0</v>
      </c>
      <c r="WX104" s="87">
        <f t="shared" si="1115"/>
        <v>0</v>
      </c>
      <c r="WY104" s="87">
        <f t="shared" si="1116"/>
        <v>0</v>
      </c>
      <c r="WZ104" s="87">
        <f t="shared" si="1117"/>
        <v>0</v>
      </c>
      <c r="XA104" s="87">
        <f t="shared" si="1118"/>
        <v>0</v>
      </c>
      <c r="XB104" s="92">
        <f t="shared" si="1119"/>
        <v>1210</v>
      </c>
      <c r="XC104" s="92">
        <f t="shared" si="1120"/>
        <v>413500</v>
      </c>
      <c r="XD104" s="89"/>
      <c r="XE104" s="92">
        <f t="shared" si="1125"/>
        <v>2588</v>
      </c>
      <c r="XF104" s="92">
        <f t="shared" si="1126"/>
        <v>803940</v>
      </c>
      <c r="XG104" s="89"/>
      <c r="XH104" s="92"/>
      <c r="XI104" s="92"/>
      <c r="XJ104" s="89"/>
      <c r="XK104" s="87"/>
      <c r="XL104" s="87"/>
      <c r="XM104" s="87"/>
      <c r="XN104" s="87"/>
      <c r="XO104" s="87"/>
      <c r="XP104" s="87"/>
      <c r="XQ104" s="87"/>
      <c r="XR104" s="92">
        <f t="shared" ca="1" si="1122"/>
        <v>0</v>
      </c>
      <c r="XS104" s="89"/>
      <c r="XT104" s="87"/>
      <c r="XU104" s="87"/>
      <c r="XV104" s="87"/>
      <c r="XW104" s="87"/>
      <c r="XX104" s="87"/>
      <c r="XY104" s="87"/>
      <c r="XZ104" s="87"/>
      <c r="YA104" s="92">
        <f t="shared" ca="1" si="1123"/>
        <v>0</v>
      </c>
      <c r="YB104" s="90"/>
      <c r="YC104" s="90"/>
      <c r="YD104" s="90"/>
      <c r="YE104" s="90"/>
      <c r="YF104" s="90"/>
      <c r="YG104" s="90"/>
      <c r="YH104" s="90"/>
      <c r="YI104" s="90"/>
      <c r="YJ104" s="90"/>
      <c r="YK104" s="90"/>
      <c r="YL104" s="90"/>
      <c r="YM104" s="90"/>
      <c r="YN104" s="90"/>
      <c r="YO104" s="90"/>
      <c r="YP104" s="90"/>
      <c r="YQ104" s="90"/>
      <c r="YR104" s="90"/>
      <c r="YS104" s="90"/>
      <c r="YT104" s="90"/>
      <c r="YU104" s="90"/>
      <c r="YV104" s="90"/>
      <c r="YW104" s="90"/>
      <c r="YX104" s="90"/>
      <c r="YY104" s="90"/>
      <c r="YZ104" s="90"/>
      <c r="ZA104" s="90"/>
      <c r="ZB104" s="90"/>
      <c r="ZC104" s="90"/>
      <c r="ZD104" s="90"/>
      <c r="ZE104" s="90"/>
      <c r="ZF104" s="90"/>
      <c r="ZG104" s="90"/>
      <c r="ZH104" s="90"/>
      <c r="ZI104" s="90"/>
      <c r="ZJ104" s="90"/>
      <c r="ZK104" s="90"/>
      <c r="ZL104" s="90"/>
      <c r="ZM104" s="90"/>
      <c r="ZN104" s="90"/>
      <c r="ZO104" s="90"/>
      <c r="ZP104" s="90"/>
      <c r="ZQ104" s="90"/>
      <c r="ZR104" s="90"/>
      <c r="ZS104" s="90"/>
      <c r="ZT104" s="90"/>
      <c r="ZU104" s="90"/>
      <c r="ZV104" s="90"/>
      <c r="ZW104" s="90"/>
      <c r="ZX104" s="90"/>
      <c r="ZY104" s="90"/>
      <c r="ZZ104" s="90"/>
      <c r="AAA104" s="90"/>
      <c r="AAB104" s="90"/>
      <c r="AAC104" s="90"/>
      <c r="AAD104" s="90"/>
      <c r="AAE104" s="90"/>
      <c r="AAF104" s="90"/>
      <c r="AAG104" s="90"/>
      <c r="AAH104" s="90"/>
      <c r="AAI104" s="90"/>
      <c r="AAJ104" s="90"/>
      <c r="AAK104" s="90"/>
      <c r="AAL104" s="90"/>
      <c r="AAM104" s="90"/>
      <c r="AAN104" s="90"/>
      <c r="AAO104" s="90"/>
      <c r="AAP104" s="90"/>
      <c r="AAQ104" s="90"/>
      <c r="AAR104" s="90"/>
      <c r="AAS104" s="90"/>
      <c r="AAT104" s="90"/>
      <c r="AAU104" s="90"/>
      <c r="AAV104" s="90"/>
      <c r="AAW104" s="90"/>
      <c r="AAX104" s="90"/>
      <c r="AAY104" s="90"/>
      <c r="AAZ104" s="90"/>
      <c r="ABA104" s="90"/>
      <c r="ABB104" s="90"/>
      <c r="ABC104" s="90"/>
      <c r="ABD104" s="90"/>
      <c r="ABE104" s="90"/>
      <c r="ABF104" s="90"/>
      <c r="ABG104" s="90"/>
      <c r="ABH104" s="90"/>
      <c r="ABI104" s="90"/>
      <c r="ABJ104" s="90"/>
      <c r="ABK104" s="90"/>
      <c r="ABL104" s="90"/>
      <c r="ABM104" s="90"/>
      <c r="ABN104" s="90"/>
      <c r="ABO104" s="90"/>
      <c r="ABP104" s="90"/>
      <c r="ABQ104" s="90"/>
      <c r="ABR104" s="90"/>
      <c r="ABS104" s="90"/>
      <c r="ABT104" s="90"/>
      <c r="ABU104" s="90"/>
      <c r="ABV104" s="90"/>
      <c r="ABW104" s="90"/>
      <c r="ABX104" s="90"/>
      <c r="ABY104" s="90"/>
      <c r="ABZ104" s="90"/>
      <c r="ACA104" s="90"/>
      <c r="ACB104" s="90"/>
      <c r="ACC104" s="90"/>
      <c r="ACD104" s="90"/>
      <c r="ACE104" s="90"/>
      <c r="ACF104" s="90"/>
      <c r="ACG104" s="90"/>
      <c r="ACH104" s="90"/>
      <c r="ACI104" s="90"/>
      <c r="ACJ104" s="90"/>
      <c r="ACK104" s="90"/>
      <c r="ACL104" s="90"/>
      <c r="ACM104" s="90"/>
      <c r="ACN104" s="90"/>
      <c r="ACO104" s="90"/>
      <c r="ACP104" s="90"/>
      <c r="ACQ104" s="90"/>
      <c r="ACR104" s="90"/>
      <c r="ACS104" s="90"/>
      <c r="ACT104" s="90"/>
      <c r="ACU104" s="90"/>
      <c r="ACV104" s="90"/>
      <c r="ACW104" s="90"/>
      <c r="ACX104" s="90"/>
      <c r="ACY104" s="90"/>
      <c r="ACZ104" s="90"/>
      <c r="ADA104" s="90"/>
      <c r="ADB104" s="90"/>
      <c r="ADC104" s="90"/>
      <c r="ADD104" s="90"/>
      <c r="ADE104" s="90"/>
      <c r="ADF104" s="90"/>
      <c r="ADG104" s="90"/>
      <c r="ADH104" s="90"/>
      <c r="ADI104" s="90"/>
      <c r="ADJ104" s="90"/>
      <c r="ADK104" s="90"/>
      <c r="ADL104" s="90"/>
      <c r="ADM104" s="90"/>
      <c r="ADN104" s="90"/>
      <c r="ADO104" s="90"/>
      <c r="ADP104" s="90"/>
      <c r="ADQ104" s="90"/>
      <c r="ADR104" s="90"/>
      <c r="ADS104" s="90"/>
      <c r="ADT104" s="90"/>
      <c r="ADU104" s="90"/>
      <c r="ADV104" s="90"/>
      <c r="ADW104" s="90"/>
      <c r="ADX104" s="90"/>
      <c r="ADY104" s="90"/>
      <c r="ADZ104" s="90"/>
      <c r="AEA104" s="90"/>
      <c r="AEB104" s="90"/>
      <c r="AEC104" s="90"/>
      <c r="AED104" s="90"/>
      <c r="AEE104" s="90"/>
      <c r="AEF104" s="90"/>
      <c r="AEG104" s="90"/>
      <c r="AEH104" s="90"/>
      <c r="AEI104" s="90"/>
      <c r="AEJ104" s="90"/>
      <c r="AEK104" s="90"/>
      <c r="AEL104" s="90"/>
      <c r="AEM104" s="90"/>
      <c r="AEN104" s="90"/>
      <c r="AEO104" s="90"/>
      <c r="AEP104" s="90"/>
      <c r="AEQ104" s="90"/>
      <c r="AER104" s="90"/>
      <c r="AES104" s="90"/>
      <c r="AET104" s="90"/>
      <c r="AEU104" s="90"/>
      <c r="AEV104" s="90"/>
      <c r="AEW104" s="90"/>
      <c r="AEX104" s="90"/>
      <c r="AEY104" s="90"/>
      <c r="AEZ104" s="90"/>
      <c r="AFA104" s="90"/>
      <c r="AFB104" s="90"/>
      <c r="AFC104" s="90"/>
      <c r="AFD104" s="90"/>
      <c r="AFE104" s="90"/>
      <c r="AFF104" s="90"/>
      <c r="AFG104" s="90"/>
      <c r="AFH104" s="90"/>
      <c r="AFI104" s="90"/>
      <c r="AFJ104" s="90"/>
      <c r="AFK104" s="90"/>
      <c r="AFL104" s="90"/>
      <c r="AFM104" s="90"/>
      <c r="AFN104" s="90"/>
      <c r="AFO104" s="90"/>
      <c r="AFP104" s="90"/>
      <c r="AFQ104" s="90"/>
      <c r="AFR104" s="90"/>
      <c r="AFS104" s="90"/>
      <c r="AFT104" s="90"/>
      <c r="AFU104" s="90"/>
      <c r="AFV104" s="90"/>
      <c r="AFW104" s="90"/>
      <c r="AFX104" s="90"/>
      <c r="AFY104" s="90"/>
      <c r="AFZ104" s="90"/>
      <c r="AGA104" s="90"/>
      <c r="AGB104" s="90"/>
      <c r="AGC104" s="90"/>
      <c r="AGD104" s="90"/>
      <c r="AGE104" s="90"/>
      <c r="AGF104" s="90"/>
      <c r="AGG104" s="90"/>
      <c r="AGH104" s="90"/>
      <c r="AGI104" s="90"/>
      <c r="AGJ104" s="90"/>
      <c r="AGK104" s="90"/>
      <c r="AGL104" s="90"/>
      <c r="AGM104" s="90"/>
      <c r="AGN104" s="90"/>
      <c r="AGO104" s="90"/>
      <c r="AGP104" s="90"/>
      <c r="AGQ104" s="90"/>
      <c r="AGR104" s="90"/>
      <c r="AGS104" s="90"/>
      <c r="AGT104" s="90"/>
      <c r="AGU104" s="90"/>
      <c r="AGV104" s="90"/>
      <c r="AGW104" s="90"/>
      <c r="AGX104" s="90"/>
      <c r="AGY104" s="90"/>
      <c r="AGZ104" s="90"/>
      <c r="AHA104" s="90"/>
      <c r="AHB104" s="90"/>
      <c r="AHC104" s="90"/>
      <c r="AHD104" s="90"/>
      <c r="AHE104" s="90"/>
      <c r="AHF104" s="90"/>
      <c r="AHG104" s="90"/>
      <c r="AHH104" s="90"/>
      <c r="AHI104" s="90"/>
      <c r="AHJ104" s="90"/>
      <c r="AHK104" s="90"/>
      <c r="AHL104" s="90"/>
      <c r="AHM104" s="90"/>
      <c r="AHN104" s="90"/>
      <c r="AHO104" s="90"/>
      <c r="AHP104" s="90"/>
      <c r="AHQ104" s="90"/>
      <c r="AHR104" s="90"/>
      <c r="AHS104" s="90"/>
      <c r="AHT104" s="90"/>
      <c r="AHU104" s="90"/>
      <c r="AHV104" s="90"/>
      <c r="AHW104" s="90"/>
      <c r="AHX104" s="90"/>
      <c r="AHY104" s="90"/>
      <c r="AHZ104" s="90"/>
      <c r="AIA104" s="90"/>
      <c r="AIB104" s="90"/>
      <c r="AIC104" s="90"/>
      <c r="AID104" s="90"/>
      <c r="AIE104" s="90"/>
      <c r="AIF104" s="90"/>
      <c r="AIG104" s="90"/>
      <c r="AIH104" s="90"/>
      <c r="AII104" s="90"/>
      <c r="AIJ104" s="90"/>
      <c r="AIK104" s="90"/>
      <c r="AIL104" s="90"/>
      <c r="AIM104" s="90"/>
      <c r="AIN104" s="90"/>
      <c r="AIO104" s="90"/>
      <c r="AIP104" s="90"/>
      <c r="AIQ104" s="90"/>
      <c r="AIR104" s="90"/>
      <c r="AIS104" s="90"/>
      <c r="AIT104" s="90"/>
      <c r="AIU104" s="90"/>
      <c r="AIV104" s="90"/>
      <c r="AIW104" s="90"/>
      <c r="AIX104" s="90"/>
      <c r="AIY104" s="90"/>
      <c r="AIZ104" s="90"/>
      <c r="AJA104" s="90"/>
      <c r="AJB104" s="90"/>
      <c r="AJC104" s="90"/>
      <c r="AJD104" s="90"/>
      <c r="AJE104" s="90"/>
      <c r="AJF104" s="90"/>
      <c r="AJG104" s="90"/>
      <c r="AJH104" s="90"/>
      <c r="AJI104" s="90"/>
      <c r="AJJ104" s="90"/>
      <c r="AJK104" s="90"/>
      <c r="AJL104" s="90"/>
      <c r="AJM104" s="90"/>
      <c r="AJN104" s="90"/>
      <c r="AJO104" s="90"/>
      <c r="AJP104" s="90"/>
      <c r="AJQ104" s="90"/>
      <c r="AJR104" s="90"/>
      <c r="AJS104" s="90"/>
      <c r="AJT104" s="90"/>
      <c r="AJU104" s="90"/>
      <c r="AJV104" s="90"/>
      <c r="AJW104" s="90"/>
      <c r="AJX104" s="90"/>
      <c r="AJY104" s="90"/>
      <c r="AJZ104" s="90"/>
      <c r="AKA104" s="90"/>
      <c r="AKB104" s="90"/>
      <c r="AKC104" s="90"/>
      <c r="AKD104" s="90"/>
      <c r="AKE104" s="90"/>
      <c r="AKF104" s="90"/>
      <c r="AKG104" s="90"/>
      <c r="AKH104" s="90"/>
      <c r="AKI104" s="90"/>
      <c r="AKJ104" s="90"/>
      <c r="AKK104" s="90"/>
      <c r="AKL104" s="90"/>
      <c r="AKM104" s="90"/>
      <c r="AKN104" s="90"/>
      <c r="AKO104" s="90"/>
      <c r="AKP104" s="90"/>
      <c r="AKQ104" s="90"/>
      <c r="AKR104" s="90"/>
      <c r="AKS104" s="90"/>
      <c r="AKT104" s="90"/>
      <c r="AKU104" s="90"/>
      <c r="AKV104" s="90"/>
      <c r="AKW104" s="90"/>
      <c r="AKX104" s="90"/>
      <c r="AKY104" s="90"/>
      <c r="AKZ104" s="90"/>
      <c r="ALA104" s="90"/>
      <c r="ALB104" s="90"/>
      <c r="ALC104" s="90"/>
      <c r="ALD104" s="90"/>
      <c r="ALE104" s="90"/>
      <c r="ALF104" s="90"/>
      <c r="ALG104" s="90"/>
      <c r="ALH104" s="90"/>
      <c r="ALI104" s="90"/>
      <c r="ALJ104" s="90"/>
      <c r="ALK104" s="90"/>
      <c r="ALL104" s="90"/>
      <c r="ALM104" s="90"/>
      <c r="ALN104" s="90"/>
      <c r="ALO104" s="90"/>
      <c r="ALP104" s="90"/>
      <c r="ALQ104" s="90"/>
      <c r="ALR104" s="90"/>
      <c r="ALS104" s="90"/>
      <c r="ALT104" s="90"/>
      <c r="ALU104" s="90"/>
      <c r="ALV104" s="90"/>
      <c r="ALW104" s="90"/>
      <c r="ALX104" s="90"/>
      <c r="ALY104" s="90"/>
      <c r="ALZ104" s="90"/>
      <c r="AMA104" s="90"/>
      <c r="AMB104" s="90"/>
      <c r="AMC104" s="90"/>
    </row>
    <row r="105" spans="1:1017">
      <c r="A105" s="98" t="s">
        <v>47</v>
      </c>
      <c r="B105" s="90" t="str">
        <f t="shared" si="1028"/>
        <v xml:space="preserve">Lobster Air Tawar, Cherax </v>
      </c>
      <c r="Q105" s="91">
        <f t="shared" si="1029"/>
        <v>0</v>
      </c>
      <c r="R105" s="91">
        <f t="shared" si="1030"/>
        <v>0</v>
      </c>
      <c r="AG105" s="91">
        <f t="shared" si="1031"/>
        <v>0</v>
      </c>
      <c r="AH105" s="91">
        <f t="shared" si="1032"/>
        <v>0</v>
      </c>
      <c r="AW105" s="91">
        <f t="shared" si="1033"/>
        <v>0</v>
      </c>
      <c r="AX105" s="91">
        <f t="shared" si="1034"/>
        <v>0</v>
      </c>
      <c r="BM105" s="91">
        <f t="shared" si="1035"/>
        <v>0</v>
      </c>
      <c r="BN105" s="91">
        <f t="shared" si="1036"/>
        <v>0</v>
      </c>
      <c r="CC105" s="91">
        <f t="shared" si="1037"/>
        <v>0</v>
      </c>
      <c r="CD105" s="91">
        <f t="shared" si="1038"/>
        <v>0</v>
      </c>
      <c r="CS105" s="91">
        <f t="shared" si="1039"/>
        <v>0</v>
      </c>
      <c r="CT105" s="91">
        <f t="shared" si="1040"/>
        <v>0</v>
      </c>
      <c r="DI105" s="91">
        <f t="shared" si="1041"/>
        <v>0</v>
      </c>
      <c r="DJ105" s="91">
        <f t="shared" si="1042"/>
        <v>0</v>
      </c>
      <c r="DY105" s="91">
        <f t="shared" si="1043"/>
        <v>0</v>
      </c>
      <c r="DZ105" s="91">
        <f t="shared" si="1044"/>
        <v>0</v>
      </c>
      <c r="EO105" s="91">
        <f t="shared" si="1045"/>
        <v>0</v>
      </c>
      <c r="EP105" s="91">
        <f t="shared" si="1046"/>
        <v>0</v>
      </c>
      <c r="ET105" s="98" t="s">
        <v>384</v>
      </c>
      <c r="EX105" s="98" t="s">
        <v>384</v>
      </c>
      <c r="EZ105" s="98" t="s">
        <v>384</v>
      </c>
      <c r="FB105" s="98" t="s">
        <v>384</v>
      </c>
      <c r="FE105" s="91">
        <f t="shared" si="1047"/>
        <v>0</v>
      </c>
      <c r="FF105" s="91">
        <f t="shared" si="1048"/>
        <v>0</v>
      </c>
      <c r="FU105" s="91">
        <f t="shared" si="1049"/>
        <v>0</v>
      </c>
      <c r="FV105" s="91">
        <f t="shared" si="1050"/>
        <v>0</v>
      </c>
      <c r="GK105" s="91">
        <f t="shared" si="1051"/>
        <v>0</v>
      </c>
      <c r="GL105" s="91">
        <f t="shared" si="1052"/>
        <v>0</v>
      </c>
      <c r="HA105" s="91">
        <f t="shared" si="1053"/>
        <v>0</v>
      </c>
      <c r="HB105" s="91">
        <f t="shared" si="1054"/>
        <v>0</v>
      </c>
      <c r="HQ105" s="91">
        <f t="shared" si="1055"/>
        <v>0</v>
      </c>
      <c r="HR105" s="91">
        <f t="shared" si="1056"/>
        <v>0</v>
      </c>
      <c r="IG105" s="91">
        <f t="shared" si="1057"/>
        <v>0</v>
      </c>
      <c r="IH105" s="91">
        <f t="shared" si="1058"/>
        <v>0</v>
      </c>
      <c r="IO105" s="98">
        <v>250</v>
      </c>
      <c r="IP105" s="98">
        <v>26250</v>
      </c>
      <c r="IW105" s="91">
        <f t="shared" si="1059"/>
        <v>250</v>
      </c>
      <c r="IX105" s="91">
        <f t="shared" si="1060"/>
        <v>26250</v>
      </c>
      <c r="JM105" s="91">
        <f t="shared" si="1061"/>
        <v>0</v>
      </c>
      <c r="JN105" s="91">
        <f t="shared" si="1062"/>
        <v>0</v>
      </c>
      <c r="KC105" s="91">
        <f t="shared" si="1063"/>
        <v>0</v>
      </c>
      <c r="KD105" s="91">
        <f t="shared" si="1064"/>
        <v>0</v>
      </c>
      <c r="KS105" s="91">
        <f t="shared" si="1065"/>
        <v>0</v>
      </c>
      <c r="KT105" s="91">
        <f t="shared" si="1066"/>
        <v>0</v>
      </c>
      <c r="LI105" s="91">
        <f t="shared" si="1067"/>
        <v>0</v>
      </c>
      <c r="LJ105" s="91">
        <f t="shared" si="1068"/>
        <v>0</v>
      </c>
      <c r="LY105" s="91">
        <f t="shared" si="1069"/>
        <v>0</v>
      </c>
      <c r="LZ105" s="91">
        <f t="shared" si="1070"/>
        <v>0</v>
      </c>
      <c r="MO105" s="91">
        <f t="shared" si="1071"/>
        <v>0</v>
      </c>
      <c r="MP105" s="91">
        <f t="shared" si="1072"/>
        <v>0</v>
      </c>
      <c r="NE105" s="91">
        <f t="shared" si="1073"/>
        <v>0</v>
      </c>
      <c r="NF105" s="91">
        <f t="shared" si="1074"/>
        <v>0</v>
      </c>
      <c r="NU105" s="91">
        <f t="shared" si="1075"/>
        <v>0</v>
      </c>
      <c r="NV105" s="91">
        <f t="shared" si="1076"/>
        <v>0</v>
      </c>
      <c r="OK105" s="91">
        <f t="shared" si="1077"/>
        <v>0</v>
      </c>
      <c r="OL105" s="91">
        <f t="shared" si="1078"/>
        <v>0</v>
      </c>
      <c r="PA105" s="91">
        <f t="shared" si="1079"/>
        <v>0</v>
      </c>
      <c r="PB105" s="91">
        <f t="shared" si="1080"/>
        <v>0</v>
      </c>
      <c r="PQ105" s="91">
        <f t="shared" si="1081"/>
        <v>0</v>
      </c>
      <c r="PR105" s="91">
        <f t="shared" si="1082"/>
        <v>0</v>
      </c>
      <c r="QG105" s="91">
        <f t="shared" si="1083"/>
        <v>0</v>
      </c>
      <c r="QH105" s="91">
        <f t="shared" si="1084"/>
        <v>0</v>
      </c>
      <c r="QW105" s="91">
        <f t="shared" si="1085"/>
        <v>0</v>
      </c>
      <c r="QX105" s="91">
        <f t="shared" si="1086"/>
        <v>0</v>
      </c>
      <c r="RM105" s="91">
        <f t="shared" si="1087"/>
        <v>0</v>
      </c>
      <c r="RN105" s="91">
        <f t="shared" si="1088"/>
        <v>0</v>
      </c>
      <c r="SC105" s="91">
        <f t="shared" si="1089"/>
        <v>0</v>
      </c>
      <c r="SD105" s="91">
        <f t="shared" si="1090"/>
        <v>0</v>
      </c>
      <c r="SS105" s="91">
        <f t="shared" si="1091"/>
        <v>0</v>
      </c>
      <c r="ST105" s="91">
        <f t="shared" si="1092"/>
        <v>0</v>
      </c>
      <c r="TI105" s="91">
        <f t="shared" si="1093"/>
        <v>0</v>
      </c>
      <c r="TJ105" s="91">
        <f t="shared" si="1094"/>
        <v>0</v>
      </c>
      <c r="TY105" s="91">
        <f t="shared" si="1095"/>
        <v>0</v>
      </c>
      <c r="TZ105" s="91">
        <f t="shared" si="1096"/>
        <v>0</v>
      </c>
      <c r="UO105" s="91">
        <f t="shared" si="1097"/>
        <v>0</v>
      </c>
      <c r="UP105" s="91">
        <f t="shared" si="1098"/>
        <v>0</v>
      </c>
      <c r="VE105" s="91">
        <f t="shared" si="1099"/>
        <v>0</v>
      </c>
      <c r="VF105" s="91">
        <f t="shared" si="1100"/>
        <v>0</v>
      </c>
      <c r="VU105" s="91">
        <f t="shared" si="1101"/>
        <v>0</v>
      </c>
      <c r="VV105" s="91">
        <f t="shared" si="1102"/>
        <v>0</v>
      </c>
      <c r="WK105" s="91">
        <f t="shared" si="1103"/>
        <v>0</v>
      </c>
      <c r="WL105" s="91">
        <f t="shared" si="1104"/>
        <v>0</v>
      </c>
      <c r="WM105" s="89"/>
      <c r="WN105" s="87">
        <f t="shared" si="1105"/>
        <v>0</v>
      </c>
      <c r="WO105" s="87">
        <f t="shared" si="1106"/>
        <v>0</v>
      </c>
      <c r="WP105" s="87">
        <f t="shared" si="1107"/>
        <v>0</v>
      </c>
      <c r="WQ105" s="87">
        <f t="shared" si="1108"/>
        <v>0</v>
      </c>
      <c r="WR105" s="87">
        <f t="shared" si="1109"/>
        <v>0</v>
      </c>
      <c r="WS105" s="87">
        <f t="shared" si="1110"/>
        <v>0</v>
      </c>
      <c r="WT105" s="87">
        <f t="shared" si="1111"/>
        <v>250</v>
      </c>
      <c r="WU105" s="87">
        <f t="shared" si="1112"/>
        <v>26250</v>
      </c>
      <c r="WV105" s="87">
        <f t="shared" si="1113"/>
        <v>0</v>
      </c>
      <c r="WW105" s="87">
        <f t="shared" si="1114"/>
        <v>0</v>
      </c>
      <c r="WX105" s="87">
        <f t="shared" si="1115"/>
        <v>0</v>
      </c>
      <c r="WY105" s="87">
        <f t="shared" si="1116"/>
        <v>0</v>
      </c>
      <c r="WZ105" s="87">
        <f t="shared" si="1117"/>
        <v>0</v>
      </c>
      <c r="XA105" s="87">
        <f t="shared" si="1118"/>
        <v>0</v>
      </c>
      <c r="XB105" s="92">
        <f t="shared" si="1119"/>
        <v>250</v>
      </c>
      <c r="XC105" s="92">
        <f t="shared" si="1120"/>
        <v>26250</v>
      </c>
      <c r="XD105" s="89"/>
      <c r="XE105" s="92">
        <f t="shared" si="1125"/>
        <v>450</v>
      </c>
      <c r="XF105" s="92">
        <f t="shared" si="1126"/>
        <v>49500</v>
      </c>
      <c r="XG105" s="89"/>
      <c r="XH105" s="92"/>
      <c r="XI105" s="92"/>
      <c r="XJ105" s="89"/>
      <c r="XK105" s="87"/>
      <c r="XL105" s="87"/>
      <c r="XM105" s="87"/>
      <c r="XN105" s="87"/>
      <c r="XO105" s="87"/>
      <c r="XP105" s="87"/>
      <c r="XQ105" s="87"/>
      <c r="XR105" s="92">
        <f t="shared" ca="1" si="1122"/>
        <v>0</v>
      </c>
      <c r="XS105" s="89"/>
      <c r="XT105" s="87"/>
      <c r="XU105" s="87"/>
      <c r="XV105" s="87"/>
      <c r="XW105" s="87"/>
      <c r="XX105" s="87"/>
      <c r="XY105" s="87"/>
      <c r="XZ105" s="87"/>
      <c r="YA105" s="92">
        <f t="shared" ca="1" si="1123"/>
        <v>0</v>
      </c>
      <c r="YB105" s="90"/>
      <c r="YC105" s="90"/>
      <c r="YD105" s="90"/>
      <c r="YE105" s="90"/>
      <c r="YF105" s="90"/>
      <c r="YG105" s="90"/>
      <c r="YH105" s="90"/>
      <c r="YI105" s="90"/>
      <c r="YJ105" s="90"/>
      <c r="YK105" s="90"/>
      <c r="YL105" s="90"/>
      <c r="YM105" s="90"/>
      <c r="YN105" s="90"/>
      <c r="YO105" s="90"/>
      <c r="YP105" s="90"/>
      <c r="YQ105" s="90"/>
      <c r="YR105" s="90"/>
      <c r="YS105" s="90"/>
      <c r="YT105" s="90"/>
      <c r="YU105" s="90"/>
      <c r="YV105" s="90"/>
      <c r="YW105" s="90"/>
      <c r="YX105" s="90"/>
      <c r="YY105" s="90"/>
      <c r="YZ105" s="90"/>
      <c r="ZA105" s="90"/>
      <c r="ZB105" s="90"/>
      <c r="ZC105" s="90"/>
      <c r="ZD105" s="90"/>
      <c r="ZE105" s="90"/>
      <c r="ZF105" s="90"/>
      <c r="ZG105" s="90"/>
      <c r="ZH105" s="90"/>
      <c r="ZI105" s="90"/>
      <c r="ZJ105" s="90"/>
      <c r="ZK105" s="90"/>
      <c r="ZL105" s="90"/>
      <c r="ZM105" s="90"/>
      <c r="ZN105" s="90"/>
      <c r="ZO105" s="90"/>
      <c r="ZP105" s="90"/>
      <c r="ZQ105" s="90"/>
      <c r="ZR105" s="90"/>
      <c r="ZS105" s="90"/>
      <c r="ZT105" s="90"/>
      <c r="ZU105" s="90"/>
      <c r="ZV105" s="90"/>
      <c r="ZW105" s="90"/>
      <c r="ZX105" s="90"/>
      <c r="ZY105" s="90"/>
      <c r="ZZ105" s="90"/>
      <c r="AAA105" s="90"/>
      <c r="AAB105" s="90"/>
      <c r="AAC105" s="90"/>
      <c r="AAD105" s="90"/>
      <c r="AAE105" s="90"/>
      <c r="AAF105" s="90"/>
      <c r="AAG105" s="90"/>
      <c r="AAH105" s="90"/>
      <c r="AAI105" s="90"/>
      <c r="AAJ105" s="90"/>
      <c r="AAK105" s="90"/>
      <c r="AAL105" s="90"/>
      <c r="AAM105" s="90"/>
      <c r="AAN105" s="90"/>
      <c r="AAO105" s="90"/>
      <c r="AAP105" s="90"/>
      <c r="AAQ105" s="90"/>
      <c r="AAR105" s="90"/>
      <c r="AAS105" s="90"/>
      <c r="AAT105" s="90"/>
      <c r="AAU105" s="90"/>
      <c r="AAV105" s="90"/>
      <c r="AAW105" s="90"/>
      <c r="AAX105" s="90"/>
      <c r="AAY105" s="90"/>
      <c r="AAZ105" s="90"/>
      <c r="ABA105" s="90"/>
      <c r="ABB105" s="90"/>
      <c r="ABC105" s="90"/>
      <c r="ABD105" s="90"/>
      <c r="ABE105" s="90"/>
      <c r="ABF105" s="90"/>
      <c r="ABG105" s="90"/>
      <c r="ABH105" s="90"/>
      <c r="ABI105" s="90"/>
      <c r="ABJ105" s="90"/>
      <c r="ABK105" s="90"/>
      <c r="ABL105" s="90"/>
      <c r="ABM105" s="90"/>
      <c r="ABN105" s="90"/>
      <c r="ABO105" s="90"/>
      <c r="ABP105" s="90"/>
      <c r="ABQ105" s="90"/>
      <c r="ABR105" s="90"/>
      <c r="ABS105" s="90"/>
      <c r="ABT105" s="90"/>
      <c r="ABU105" s="90"/>
      <c r="ABV105" s="90"/>
      <c r="ABW105" s="90"/>
      <c r="ABX105" s="90"/>
      <c r="ABY105" s="90"/>
      <c r="ABZ105" s="90"/>
      <c r="ACA105" s="90"/>
      <c r="ACB105" s="90"/>
      <c r="ACC105" s="90"/>
      <c r="ACD105" s="90"/>
      <c r="ACE105" s="90"/>
      <c r="ACF105" s="90"/>
      <c r="ACG105" s="90"/>
      <c r="ACH105" s="90"/>
      <c r="ACI105" s="90"/>
      <c r="ACJ105" s="90"/>
      <c r="ACK105" s="90"/>
      <c r="ACL105" s="90"/>
      <c r="ACM105" s="90"/>
      <c r="ACN105" s="90"/>
      <c r="ACO105" s="90"/>
      <c r="ACP105" s="90"/>
      <c r="ACQ105" s="90"/>
      <c r="ACR105" s="90"/>
      <c r="ACS105" s="90"/>
      <c r="ACT105" s="90"/>
      <c r="ACU105" s="90"/>
      <c r="ACV105" s="90"/>
      <c r="ACW105" s="90"/>
      <c r="ACX105" s="90"/>
      <c r="ACY105" s="90"/>
      <c r="ACZ105" s="90"/>
      <c r="ADA105" s="90"/>
      <c r="ADB105" s="90"/>
      <c r="ADC105" s="90"/>
      <c r="ADD105" s="90"/>
      <c r="ADE105" s="90"/>
      <c r="ADF105" s="90"/>
      <c r="ADG105" s="90"/>
      <c r="ADH105" s="90"/>
      <c r="ADI105" s="90"/>
      <c r="ADJ105" s="90"/>
      <c r="ADK105" s="90"/>
      <c r="ADL105" s="90"/>
      <c r="ADM105" s="90"/>
      <c r="ADN105" s="90"/>
      <c r="ADO105" s="90"/>
      <c r="ADP105" s="90"/>
      <c r="ADQ105" s="90"/>
      <c r="ADR105" s="90"/>
      <c r="ADS105" s="90"/>
      <c r="ADT105" s="90"/>
      <c r="ADU105" s="90"/>
      <c r="ADV105" s="90"/>
      <c r="ADW105" s="90"/>
      <c r="ADX105" s="90"/>
      <c r="ADY105" s="90"/>
      <c r="ADZ105" s="90"/>
      <c r="AEA105" s="90"/>
      <c r="AEB105" s="90"/>
      <c r="AEC105" s="90"/>
      <c r="AED105" s="90"/>
      <c r="AEE105" s="90"/>
      <c r="AEF105" s="90"/>
      <c r="AEG105" s="90"/>
      <c r="AEH105" s="90"/>
      <c r="AEI105" s="90"/>
      <c r="AEJ105" s="90"/>
      <c r="AEK105" s="90"/>
      <c r="AEL105" s="90"/>
      <c r="AEM105" s="90"/>
      <c r="AEN105" s="90"/>
      <c r="AEO105" s="90"/>
      <c r="AEP105" s="90"/>
      <c r="AEQ105" s="90"/>
      <c r="AER105" s="90"/>
      <c r="AES105" s="90"/>
      <c r="AET105" s="90"/>
      <c r="AEU105" s="90"/>
      <c r="AEV105" s="90"/>
      <c r="AEW105" s="90"/>
      <c r="AEX105" s="90"/>
      <c r="AEY105" s="90"/>
      <c r="AEZ105" s="90"/>
      <c r="AFA105" s="90"/>
      <c r="AFB105" s="90"/>
      <c r="AFC105" s="90"/>
      <c r="AFD105" s="90"/>
      <c r="AFE105" s="90"/>
      <c r="AFF105" s="90"/>
      <c r="AFG105" s="90"/>
      <c r="AFH105" s="90"/>
      <c r="AFI105" s="90"/>
      <c r="AFJ105" s="90"/>
      <c r="AFK105" s="90"/>
      <c r="AFL105" s="90"/>
      <c r="AFM105" s="90"/>
      <c r="AFN105" s="90"/>
      <c r="AFO105" s="90"/>
      <c r="AFP105" s="90"/>
      <c r="AFQ105" s="90"/>
      <c r="AFR105" s="90"/>
      <c r="AFS105" s="90"/>
      <c r="AFT105" s="90"/>
      <c r="AFU105" s="90"/>
      <c r="AFV105" s="90"/>
      <c r="AFW105" s="90"/>
      <c r="AFX105" s="90"/>
      <c r="AFY105" s="90"/>
      <c r="AFZ105" s="90"/>
      <c r="AGA105" s="90"/>
      <c r="AGB105" s="90"/>
      <c r="AGC105" s="90"/>
      <c r="AGD105" s="90"/>
      <c r="AGE105" s="90"/>
      <c r="AGF105" s="90"/>
      <c r="AGG105" s="90"/>
      <c r="AGH105" s="90"/>
      <c r="AGI105" s="90"/>
      <c r="AGJ105" s="90"/>
      <c r="AGK105" s="90"/>
      <c r="AGL105" s="90"/>
      <c r="AGM105" s="90"/>
      <c r="AGN105" s="90"/>
      <c r="AGO105" s="90"/>
      <c r="AGP105" s="90"/>
      <c r="AGQ105" s="90"/>
      <c r="AGR105" s="90"/>
      <c r="AGS105" s="90"/>
      <c r="AGT105" s="90"/>
      <c r="AGU105" s="90"/>
      <c r="AGV105" s="90"/>
      <c r="AGW105" s="90"/>
      <c r="AGX105" s="90"/>
      <c r="AGY105" s="90"/>
      <c r="AGZ105" s="90"/>
      <c r="AHA105" s="90"/>
      <c r="AHB105" s="90"/>
      <c r="AHC105" s="90"/>
      <c r="AHD105" s="90"/>
      <c r="AHE105" s="90"/>
      <c r="AHF105" s="90"/>
      <c r="AHG105" s="90"/>
      <c r="AHH105" s="90"/>
      <c r="AHI105" s="90"/>
      <c r="AHJ105" s="90"/>
      <c r="AHK105" s="90"/>
      <c r="AHL105" s="90"/>
      <c r="AHM105" s="90"/>
      <c r="AHN105" s="90"/>
      <c r="AHO105" s="90"/>
      <c r="AHP105" s="90"/>
      <c r="AHQ105" s="90"/>
      <c r="AHR105" s="90"/>
      <c r="AHS105" s="90"/>
      <c r="AHT105" s="90"/>
      <c r="AHU105" s="90"/>
      <c r="AHV105" s="90"/>
      <c r="AHW105" s="90"/>
      <c r="AHX105" s="90"/>
      <c r="AHY105" s="90"/>
      <c r="AHZ105" s="90"/>
      <c r="AIA105" s="90"/>
      <c r="AIB105" s="90"/>
      <c r="AIC105" s="90"/>
      <c r="AID105" s="90"/>
      <c r="AIE105" s="90"/>
      <c r="AIF105" s="90"/>
      <c r="AIG105" s="90"/>
      <c r="AIH105" s="90"/>
      <c r="AII105" s="90"/>
      <c r="AIJ105" s="90"/>
      <c r="AIK105" s="90"/>
      <c r="AIL105" s="90"/>
      <c r="AIM105" s="90"/>
      <c r="AIN105" s="90"/>
      <c r="AIO105" s="90"/>
      <c r="AIP105" s="90"/>
      <c r="AIQ105" s="90"/>
      <c r="AIR105" s="90"/>
      <c r="AIS105" s="90"/>
      <c r="AIT105" s="90"/>
      <c r="AIU105" s="90"/>
      <c r="AIV105" s="90"/>
      <c r="AIW105" s="90"/>
      <c r="AIX105" s="90"/>
      <c r="AIY105" s="90"/>
      <c r="AIZ105" s="90"/>
      <c r="AJA105" s="90"/>
      <c r="AJB105" s="90"/>
      <c r="AJC105" s="90"/>
      <c r="AJD105" s="90"/>
      <c r="AJE105" s="90"/>
      <c r="AJF105" s="90"/>
      <c r="AJG105" s="90"/>
      <c r="AJH105" s="90"/>
      <c r="AJI105" s="90"/>
      <c r="AJJ105" s="90"/>
      <c r="AJK105" s="90"/>
      <c r="AJL105" s="90"/>
      <c r="AJM105" s="90"/>
      <c r="AJN105" s="90"/>
      <c r="AJO105" s="90"/>
      <c r="AJP105" s="90"/>
      <c r="AJQ105" s="90"/>
      <c r="AJR105" s="90"/>
      <c r="AJS105" s="90"/>
      <c r="AJT105" s="90"/>
      <c r="AJU105" s="90"/>
      <c r="AJV105" s="90"/>
      <c r="AJW105" s="90"/>
      <c r="AJX105" s="90"/>
      <c r="AJY105" s="90"/>
      <c r="AJZ105" s="90"/>
      <c r="AKA105" s="90"/>
      <c r="AKB105" s="90"/>
      <c r="AKC105" s="90"/>
      <c r="AKD105" s="90"/>
      <c r="AKE105" s="90"/>
      <c r="AKF105" s="90"/>
      <c r="AKG105" s="90"/>
      <c r="AKH105" s="90"/>
      <c r="AKI105" s="90"/>
      <c r="AKJ105" s="90"/>
      <c r="AKK105" s="90"/>
      <c r="AKL105" s="90"/>
      <c r="AKM105" s="90"/>
      <c r="AKN105" s="90"/>
      <c r="AKO105" s="90"/>
      <c r="AKP105" s="90"/>
      <c r="AKQ105" s="90"/>
      <c r="AKR105" s="90"/>
      <c r="AKS105" s="90"/>
      <c r="AKT105" s="90"/>
      <c r="AKU105" s="90"/>
      <c r="AKV105" s="90"/>
      <c r="AKW105" s="90"/>
      <c r="AKX105" s="90"/>
      <c r="AKY105" s="90"/>
      <c r="AKZ105" s="90"/>
      <c r="ALA105" s="90"/>
      <c r="ALB105" s="90"/>
      <c r="ALC105" s="90"/>
      <c r="ALD105" s="90"/>
      <c r="ALE105" s="90"/>
      <c r="ALF105" s="90"/>
      <c r="ALG105" s="90"/>
      <c r="ALH105" s="90"/>
      <c r="ALI105" s="90"/>
      <c r="ALJ105" s="90"/>
      <c r="ALK105" s="90"/>
      <c r="ALL105" s="90"/>
      <c r="ALM105" s="90"/>
      <c r="ALN105" s="90"/>
      <c r="ALO105" s="90"/>
      <c r="ALP105" s="90"/>
      <c r="ALQ105" s="90"/>
      <c r="ALR105" s="90"/>
      <c r="ALS105" s="90"/>
      <c r="ALT105" s="90"/>
      <c r="ALU105" s="90"/>
      <c r="ALV105" s="90"/>
      <c r="ALW105" s="90"/>
      <c r="ALX105" s="90"/>
      <c r="ALY105" s="90"/>
      <c r="ALZ105" s="90"/>
      <c r="AMA105" s="90"/>
      <c r="AMB105" s="90"/>
      <c r="AMC105" s="90"/>
    </row>
    <row r="106" spans="1:1017">
      <c r="A106" s="98" t="s">
        <v>47</v>
      </c>
      <c r="B106" s="90" t="str">
        <f t="shared" si="1028"/>
        <v xml:space="preserve">Mas, Ikan Mas, Karper </v>
      </c>
      <c r="Q106" s="91">
        <f t="shared" si="1029"/>
        <v>0</v>
      </c>
      <c r="R106" s="91">
        <f t="shared" si="1030"/>
        <v>0</v>
      </c>
      <c r="Y106" s="778">
        <v>7190</v>
      </c>
      <c r="Z106" s="778">
        <v>251650</v>
      </c>
      <c r="AA106" s="98">
        <v>3010</v>
      </c>
      <c r="AB106" s="98">
        <v>105350</v>
      </c>
      <c r="AC106" s="98">
        <v>1745</v>
      </c>
      <c r="AD106" s="98">
        <v>61075</v>
      </c>
      <c r="AE106" s="98">
        <v>410</v>
      </c>
      <c r="AF106" s="98">
        <v>14350</v>
      </c>
      <c r="AG106" s="91">
        <f t="shared" si="1031"/>
        <v>12355</v>
      </c>
      <c r="AH106" s="91">
        <f t="shared" si="1032"/>
        <v>432425</v>
      </c>
      <c r="AW106" s="91">
        <f t="shared" si="1033"/>
        <v>0</v>
      </c>
      <c r="AX106" s="91">
        <f t="shared" si="1034"/>
        <v>0</v>
      </c>
      <c r="BE106" s="98">
        <v>1758</v>
      </c>
      <c r="BF106" s="98">
        <v>26370</v>
      </c>
      <c r="BG106" s="98">
        <v>313</v>
      </c>
      <c r="BH106" s="98">
        <v>4695</v>
      </c>
      <c r="BM106" s="91">
        <f t="shared" si="1035"/>
        <v>2071</v>
      </c>
      <c r="BN106" s="91">
        <f t="shared" si="1036"/>
        <v>31065</v>
      </c>
      <c r="BU106" s="98">
        <v>360</v>
      </c>
      <c r="BV106" s="98">
        <v>9720</v>
      </c>
      <c r="CC106" s="91">
        <f t="shared" si="1037"/>
        <v>360</v>
      </c>
      <c r="CD106" s="91">
        <f t="shared" si="1038"/>
        <v>9720</v>
      </c>
      <c r="CK106" s="98">
        <v>153609</v>
      </c>
      <c r="CL106" s="98">
        <v>2150520</v>
      </c>
      <c r="CS106" s="91">
        <f t="shared" si="1039"/>
        <v>153609</v>
      </c>
      <c r="CT106" s="91">
        <f t="shared" si="1040"/>
        <v>2150520</v>
      </c>
      <c r="DA106" s="98">
        <v>5183</v>
      </c>
      <c r="DB106" s="98">
        <v>139941</v>
      </c>
      <c r="DC106" s="98">
        <v>200</v>
      </c>
      <c r="DD106" s="98">
        <v>5400</v>
      </c>
      <c r="DI106" s="91">
        <f t="shared" si="1041"/>
        <v>5383</v>
      </c>
      <c r="DJ106" s="91">
        <f t="shared" si="1042"/>
        <v>145341</v>
      </c>
      <c r="DQ106" s="98">
        <v>19300</v>
      </c>
      <c r="DR106" s="98">
        <v>386000</v>
      </c>
      <c r="DY106" s="91">
        <f t="shared" si="1043"/>
        <v>19300</v>
      </c>
      <c r="DZ106" s="91">
        <f t="shared" si="1044"/>
        <v>386000</v>
      </c>
      <c r="EO106" s="91">
        <f t="shared" si="1045"/>
        <v>0</v>
      </c>
      <c r="EP106" s="91">
        <f t="shared" si="1046"/>
        <v>0</v>
      </c>
      <c r="ET106" s="98" t="s">
        <v>384</v>
      </c>
      <c r="EW106" s="98">
        <v>243900</v>
      </c>
      <c r="EX106" s="98">
        <v>4878000</v>
      </c>
      <c r="EZ106" s="98" t="s">
        <v>384</v>
      </c>
      <c r="FB106" s="98" t="s">
        <v>384</v>
      </c>
      <c r="FE106" s="91">
        <f t="shared" si="1047"/>
        <v>243900</v>
      </c>
      <c r="FF106" s="91">
        <f t="shared" si="1048"/>
        <v>4878000</v>
      </c>
      <c r="FM106" s="98">
        <v>370</v>
      </c>
      <c r="FN106" s="98">
        <v>11100</v>
      </c>
      <c r="FU106" s="91">
        <f t="shared" si="1049"/>
        <v>370</v>
      </c>
      <c r="FV106" s="91">
        <f t="shared" si="1050"/>
        <v>11100</v>
      </c>
      <c r="GC106" s="98">
        <v>400</v>
      </c>
      <c r="GD106" s="98">
        <v>10000</v>
      </c>
      <c r="GK106" s="91">
        <f t="shared" si="1051"/>
        <v>400</v>
      </c>
      <c r="GL106" s="91">
        <f t="shared" si="1052"/>
        <v>10000</v>
      </c>
      <c r="GS106" s="98">
        <v>2500</v>
      </c>
      <c r="GT106" s="98">
        <v>68750</v>
      </c>
      <c r="GY106" s="98">
        <v>60</v>
      </c>
      <c r="GZ106" s="98">
        <v>1650</v>
      </c>
      <c r="HA106" s="91">
        <f t="shared" si="1053"/>
        <v>2560</v>
      </c>
      <c r="HB106" s="91">
        <f t="shared" si="1054"/>
        <v>70400</v>
      </c>
      <c r="HI106" s="98">
        <v>1000</v>
      </c>
      <c r="HJ106" s="98">
        <v>25000</v>
      </c>
      <c r="HQ106" s="91">
        <f t="shared" si="1055"/>
        <v>1000</v>
      </c>
      <c r="HR106" s="91">
        <f t="shared" si="1056"/>
        <v>25000</v>
      </c>
      <c r="IG106" s="91">
        <f t="shared" si="1057"/>
        <v>0</v>
      </c>
      <c r="IH106" s="91">
        <f t="shared" si="1058"/>
        <v>0</v>
      </c>
      <c r="IO106" s="98">
        <v>850</v>
      </c>
      <c r="IP106" s="98">
        <v>23800</v>
      </c>
      <c r="IW106" s="91">
        <f t="shared" si="1059"/>
        <v>850</v>
      </c>
      <c r="IX106" s="91">
        <f t="shared" si="1060"/>
        <v>23800</v>
      </c>
      <c r="JE106" s="98">
        <v>84</v>
      </c>
      <c r="JF106" s="98">
        <v>2100</v>
      </c>
      <c r="JM106" s="91">
        <f t="shared" si="1061"/>
        <v>84</v>
      </c>
      <c r="JN106" s="91">
        <f t="shared" si="1062"/>
        <v>2100</v>
      </c>
      <c r="KC106" s="91">
        <f t="shared" si="1063"/>
        <v>0</v>
      </c>
      <c r="KD106" s="91">
        <f t="shared" si="1064"/>
        <v>0</v>
      </c>
      <c r="KS106" s="91">
        <f t="shared" si="1065"/>
        <v>0</v>
      </c>
      <c r="KT106" s="91">
        <f t="shared" si="1066"/>
        <v>0</v>
      </c>
      <c r="LI106" s="91">
        <f t="shared" si="1067"/>
        <v>0</v>
      </c>
      <c r="LJ106" s="91">
        <f t="shared" si="1068"/>
        <v>0</v>
      </c>
      <c r="LY106" s="91">
        <f t="shared" si="1069"/>
        <v>0</v>
      </c>
      <c r="LZ106" s="91">
        <f t="shared" si="1070"/>
        <v>0</v>
      </c>
      <c r="MO106" s="91">
        <f t="shared" si="1071"/>
        <v>0</v>
      </c>
      <c r="MP106" s="91">
        <f t="shared" si="1072"/>
        <v>0</v>
      </c>
      <c r="NE106" s="91">
        <f t="shared" si="1073"/>
        <v>0</v>
      </c>
      <c r="NF106" s="91">
        <f t="shared" si="1074"/>
        <v>0</v>
      </c>
      <c r="NU106" s="91">
        <f t="shared" si="1075"/>
        <v>0</v>
      </c>
      <c r="NV106" s="91">
        <f t="shared" si="1076"/>
        <v>0</v>
      </c>
      <c r="OK106" s="91">
        <f t="shared" si="1077"/>
        <v>0</v>
      </c>
      <c r="OL106" s="91">
        <f t="shared" si="1078"/>
        <v>0</v>
      </c>
      <c r="PA106" s="91">
        <f t="shared" si="1079"/>
        <v>0</v>
      </c>
      <c r="PB106" s="91">
        <f t="shared" si="1080"/>
        <v>0</v>
      </c>
      <c r="PQ106" s="91">
        <f t="shared" si="1081"/>
        <v>0</v>
      </c>
      <c r="PR106" s="91">
        <f t="shared" si="1082"/>
        <v>0</v>
      </c>
      <c r="PY106" s="98">
        <v>89900</v>
      </c>
      <c r="PZ106" s="98">
        <v>1618200</v>
      </c>
      <c r="QA106" s="98">
        <v>74500</v>
      </c>
      <c r="QB106" s="98">
        <v>1341000</v>
      </c>
      <c r="QC106" s="98">
        <v>129900</v>
      </c>
      <c r="QD106" s="98">
        <v>2338200</v>
      </c>
      <c r="QG106" s="91">
        <f t="shared" si="1083"/>
        <v>294300</v>
      </c>
      <c r="QH106" s="91">
        <f t="shared" si="1084"/>
        <v>5297400</v>
      </c>
      <c r="QW106" s="91">
        <f t="shared" si="1085"/>
        <v>0</v>
      </c>
      <c r="QX106" s="91">
        <f t="shared" si="1086"/>
        <v>0</v>
      </c>
      <c r="RE106" s="98">
        <v>176</v>
      </c>
      <c r="RF106" s="98">
        <f>RE106*37</f>
        <v>6512</v>
      </c>
      <c r="RM106" s="91">
        <f t="shared" si="1087"/>
        <v>176</v>
      </c>
      <c r="RN106" s="91">
        <f t="shared" si="1088"/>
        <v>6512</v>
      </c>
      <c r="SC106" s="91">
        <f t="shared" si="1089"/>
        <v>0</v>
      </c>
      <c r="SD106" s="91">
        <f t="shared" si="1090"/>
        <v>0</v>
      </c>
      <c r="SS106" s="91">
        <f t="shared" si="1091"/>
        <v>0</v>
      </c>
      <c r="ST106" s="91">
        <f t="shared" si="1092"/>
        <v>0</v>
      </c>
      <c r="TI106" s="91">
        <f t="shared" si="1093"/>
        <v>0</v>
      </c>
      <c r="TJ106" s="91">
        <f t="shared" si="1094"/>
        <v>0</v>
      </c>
      <c r="TU106" s="98">
        <v>700</v>
      </c>
      <c r="TV106" s="98">
        <v>24500</v>
      </c>
      <c r="TY106" s="91">
        <f t="shared" si="1095"/>
        <v>700</v>
      </c>
      <c r="TZ106" s="91">
        <f t="shared" si="1096"/>
        <v>24500</v>
      </c>
      <c r="UO106" s="91">
        <f t="shared" si="1097"/>
        <v>0</v>
      </c>
      <c r="UP106" s="91">
        <f t="shared" si="1098"/>
        <v>0</v>
      </c>
      <c r="VE106" s="91">
        <f t="shared" si="1099"/>
        <v>0</v>
      </c>
      <c r="VF106" s="91">
        <f t="shared" si="1100"/>
        <v>0</v>
      </c>
      <c r="VU106" s="91">
        <f t="shared" si="1101"/>
        <v>0</v>
      </c>
      <c r="VV106" s="91">
        <f t="shared" si="1102"/>
        <v>0</v>
      </c>
      <c r="WK106" s="91">
        <f t="shared" si="1103"/>
        <v>0</v>
      </c>
      <c r="WL106" s="91">
        <f t="shared" si="1104"/>
        <v>0</v>
      </c>
      <c r="WM106" s="89"/>
      <c r="WN106" s="87">
        <f t="shared" si="1105"/>
        <v>0</v>
      </c>
      <c r="WO106" s="87">
        <f t="shared" si="1106"/>
        <v>0</v>
      </c>
      <c r="WP106" s="87">
        <f t="shared" si="1107"/>
        <v>0</v>
      </c>
      <c r="WQ106" s="87">
        <f t="shared" si="1108"/>
        <v>0</v>
      </c>
      <c r="WR106" s="87">
        <f t="shared" si="1109"/>
        <v>0</v>
      </c>
      <c r="WS106" s="87">
        <f t="shared" si="1110"/>
        <v>0</v>
      </c>
      <c r="WT106" s="87">
        <f t="shared" si="1111"/>
        <v>526580</v>
      </c>
      <c r="WU106" s="87">
        <f t="shared" si="1112"/>
        <v>9607663</v>
      </c>
      <c r="WV106" s="87">
        <f t="shared" si="1113"/>
        <v>78023</v>
      </c>
      <c r="WW106" s="87">
        <f t="shared" si="1114"/>
        <v>1456445</v>
      </c>
      <c r="WX106" s="87">
        <f t="shared" si="1115"/>
        <v>132345</v>
      </c>
      <c r="WY106" s="87">
        <f t="shared" si="1116"/>
        <v>2423775</v>
      </c>
      <c r="WZ106" s="87">
        <f t="shared" si="1117"/>
        <v>470</v>
      </c>
      <c r="XA106" s="87">
        <f t="shared" si="1118"/>
        <v>16000</v>
      </c>
      <c r="XB106" s="92">
        <f t="shared" si="1119"/>
        <v>737418</v>
      </c>
      <c r="XC106" s="92">
        <f t="shared" si="1120"/>
        <v>13503883</v>
      </c>
      <c r="XD106" s="89"/>
      <c r="XE106" s="92">
        <f t="shared" si="1125"/>
        <v>1322026</v>
      </c>
      <c r="XF106" s="92">
        <f t="shared" si="1126"/>
        <v>21387412.916159347</v>
      </c>
      <c r="XG106" s="89"/>
      <c r="XH106" s="92"/>
      <c r="XI106" s="92"/>
      <c r="XJ106" s="89"/>
      <c r="XK106" s="87"/>
      <c r="XL106" s="87"/>
      <c r="XM106" s="87"/>
      <c r="XN106" s="87"/>
      <c r="XO106" s="87"/>
      <c r="XP106" s="87"/>
      <c r="XQ106" s="87"/>
      <c r="XR106" s="92">
        <f t="shared" ca="1" si="1122"/>
        <v>0</v>
      </c>
      <c r="XS106" s="89"/>
      <c r="XT106" s="87"/>
      <c r="XU106" s="87"/>
      <c r="XV106" s="87"/>
      <c r="XW106" s="87"/>
      <c r="XX106" s="87"/>
      <c r="XY106" s="87"/>
      <c r="XZ106" s="87"/>
      <c r="YA106" s="92">
        <f t="shared" ca="1" si="1123"/>
        <v>0</v>
      </c>
      <c r="YB106" s="90"/>
      <c r="YC106" s="90"/>
      <c r="YD106" s="90"/>
      <c r="YE106" s="90"/>
      <c r="YF106" s="90"/>
      <c r="YG106" s="90"/>
      <c r="YH106" s="90"/>
      <c r="YI106" s="90"/>
      <c r="YJ106" s="90"/>
      <c r="YK106" s="90"/>
      <c r="YL106" s="90"/>
      <c r="YM106" s="90"/>
      <c r="YN106" s="90"/>
      <c r="YO106" s="90"/>
      <c r="YP106" s="90"/>
      <c r="YQ106" s="90"/>
      <c r="YR106" s="90"/>
      <c r="YS106" s="90"/>
      <c r="YT106" s="90"/>
      <c r="YU106" s="90"/>
      <c r="YV106" s="90"/>
      <c r="YW106" s="90"/>
      <c r="YX106" s="90"/>
      <c r="YY106" s="90"/>
      <c r="YZ106" s="90"/>
      <c r="ZA106" s="90"/>
      <c r="ZB106" s="90"/>
      <c r="ZC106" s="90"/>
      <c r="ZD106" s="90"/>
      <c r="ZE106" s="90"/>
      <c r="ZF106" s="90"/>
      <c r="ZG106" s="90"/>
      <c r="ZH106" s="90"/>
      <c r="ZI106" s="90"/>
      <c r="ZJ106" s="90"/>
      <c r="ZK106" s="90"/>
      <c r="ZL106" s="90"/>
      <c r="ZM106" s="90"/>
      <c r="ZN106" s="90"/>
      <c r="ZO106" s="90"/>
      <c r="ZP106" s="90"/>
      <c r="ZQ106" s="90"/>
      <c r="ZR106" s="90"/>
      <c r="ZS106" s="90"/>
      <c r="ZT106" s="90"/>
      <c r="ZU106" s="90"/>
      <c r="ZV106" s="90"/>
      <c r="ZW106" s="90"/>
      <c r="ZX106" s="90"/>
      <c r="ZY106" s="90"/>
      <c r="ZZ106" s="90"/>
      <c r="AAA106" s="90"/>
      <c r="AAB106" s="90"/>
      <c r="AAC106" s="90"/>
      <c r="AAD106" s="90"/>
      <c r="AAE106" s="90"/>
      <c r="AAF106" s="90"/>
      <c r="AAG106" s="90"/>
      <c r="AAH106" s="90"/>
      <c r="AAI106" s="90"/>
      <c r="AAJ106" s="90"/>
      <c r="AAK106" s="90"/>
      <c r="AAL106" s="90"/>
      <c r="AAM106" s="90"/>
      <c r="AAN106" s="90"/>
      <c r="AAO106" s="90"/>
      <c r="AAP106" s="90"/>
      <c r="AAQ106" s="90"/>
      <c r="AAR106" s="90"/>
      <c r="AAS106" s="90"/>
      <c r="AAT106" s="90"/>
      <c r="AAU106" s="90"/>
      <c r="AAV106" s="90"/>
      <c r="AAW106" s="90"/>
      <c r="AAX106" s="90"/>
      <c r="AAY106" s="90"/>
      <c r="AAZ106" s="90"/>
      <c r="ABA106" s="90"/>
      <c r="ABB106" s="90"/>
      <c r="ABC106" s="90"/>
      <c r="ABD106" s="90"/>
      <c r="ABE106" s="90"/>
      <c r="ABF106" s="90"/>
      <c r="ABG106" s="90"/>
      <c r="ABH106" s="90"/>
      <c r="ABI106" s="90"/>
      <c r="ABJ106" s="90"/>
      <c r="ABK106" s="90"/>
      <c r="ABL106" s="90"/>
      <c r="ABM106" s="90"/>
      <c r="ABN106" s="90"/>
      <c r="ABO106" s="90"/>
      <c r="ABP106" s="90"/>
      <c r="ABQ106" s="90"/>
      <c r="ABR106" s="90"/>
      <c r="ABS106" s="90"/>
      <c r="ABT106" s="90"/>
      <c r="ABU106" s="90"/>
      <c r="ABV106" s="90"/>
      <c r="ABW106" s="90"/>
      <c r="ABX106" s="90"/>
      <c r="ABY106" s="90"/>
      <c r="ABZ106" s="90"/>
      <c r="ACA106" s="90"/>
      <c r="ACB106" s="90"/>
      <c r="ACC106" s="90"/>
      <c r="ACD106" s="90"/>
      <c r="ACE106" s="90"/>
      <c r="ACF106" s="90"/>
      <c r="ACG106" s="90"/>
      <c r="ACH106" s="90"/>
      <c r="ACI106" s="90"/>
      <c r="ACJ106" s="90"/>
      <c r="ACK106" s="90"/>
      <c r="ACL106" s="90"/>
      <c r="ACM106" s="90"/>
      <c r="ACN106" s="90"/>
      <c r="ACO106" s="90"/>
      <c r="ACP106" s="90"/>
      <c r="ACQ106" s="90"/>
      <c r="ACR106" s="90"/>
      <c r="ACS106" s="90"/>
      <c r="ACT106" s="90"/>
      <c r="ACU106" s="90"/>
      <c r="ACV106" s="90"/>
      <c r="ACW106" s="90"/>
      <c r="ACX106" s="90"/>
      <c r="ACY106" s="90"/>
      <c r="ACZ106" s="90"/>
      <c r="ADA106" s="90"/>
      <c r="ADB106" s="90"/>
      <c r="ADC106" s="90"/>
      <c r="ADD106" s="90"/>
      <c r="ADE106" s="90"/>
      <c r="ADF106" s="90"/>
      <c r="ADG106" s="90"/>
      <c r="ADH106" s="90"/>
      <c r="ADI106" s="90"/>
      <c r="ADJ106" s="90"/>
      <c r="ADK106" s="90"/>
      <c r="ADL106" s="90"/>
      <c r="ADM106" s="90"/>
      <c r="ADN106" s="90"/>
      <c r="ADO106" s="90"/>
      <c r="ADP106" s="90"/>
      <c r="ADQ106" s="90"/>
      <c r="ADR106" s="90"/>
      <c r="ADS106" s="90"/>
      <c r="ADT106" s="90"/>
      <c r="ADU106" s="90"/>
      <c r="ADV106" s="90"/>
      <c r="ADW106" s="90"/>
      <c r="ADX106" s="90"/>
      <c r="ADY106" s="90"/>
      <c r="ADZ106" s="90"/>
      <c r="AEA106" s="90"/>
      <c r="AEB106" s="90"/>
      <c r="AEC106" s="90"/>
      <c r="AED106" s="90"/>
      <c r="AEE106" s="90"/>
      <c r="AEF106" s="90"/>
      <c r="AEG106" s="90"/>
      <c r="AEH106" s="90"/>
      <c r="AEI106" s="90"/>
      <c r="AEJ106" s="90"/>
      <c r="AEK106" s="90"/>
      <c r="AEL106" s="90"/>
      <c r="AEM106" s="90"/>
      <c r="AEN106" s="90"/>
      <c r="AEO106" s="90"/>
      <c r="AEP106" s="90"/>
      <c r="AEQ106" s="90"/>
      <c r="AER106" s="90"/>
      <c r="AES106" s="90"/>
      <c r="AET106" s="90"/>
      <c r="AEU106" s="90"/>
      <c r="AEV106" s="90"/>
      <c r="AEW106" s="90"/>
      <c r="AEX106" s="90"/>
      <c r="AEY106" s="90"/>
      <c r="AEZ106" s="90"/>
      <c r="AFA106" s="90"/>
      <c r="AFB106" s="90"/>
      <c r="AFC106" s="90"/>
      <c r="AFD106" s="90"/>
      <c r="AFE106" s="90"/>
      <c r="AFF106" s="90"/>
      <c r="AFG106" s="90"/>
      <c r="AFH106" s="90"/>
      <c r="AFI106" s="90"/>
      <c r="AFJ106" s="90"/>
      <c r="AFK106" s="90"/>
      <c r="AFL106" s="90"/>
      <c r="AFM106" s="90"/>
      <c r="AFN106" s="90"/>
      <c r="AFO106" s="90"/>
      <c r="AFP106" s="90"/>
      <c r="AFQ106" s="90"/>
      <c r="AFR106" s="90"/>
      <c r="AFS106" s="90"/>
      <c r="AFT106" s="90"/>
      <c r="AFU106" s="90"/>
      <c r="AFV106" s="90"/>
      <c r="AFW106" s="90"/>
      <c r="AFX106" s="90"/>
      <c r="AFY106" s="90"/>
      <c r="AFZ106" s="90"/>
      <c r="AGA106" s="90"/>
      <c r="AGB106" s="90"/>
      <c r="AGC106" s="90"/>
      <c r="AGD106" s="90"/>
      <c r="AGE106" s="90"/>
      <c r="AGF106" s="90"/>
      <c r="AGG106" s="90"/>
      <c r="AGH106" s="90"/>
      <c r="AGI106" s="90"/>
      <c r="AGJ106" s="90"/>
      <c r="AGK106" s="90"/>
      <c r="AGL106" s="90"/>
      <c r="AGM106" s="90"/>
      <c r="AGN106" s="90"/>
      <c r="AGO106" s="90"/>
      <c r="AGP106" s="90"/>
      <c r="AGQ106" s="90"/>
      <c r="AGR106" s="90"/>
      <c r="AGS106" s="90"/>
      <c r="AGT106" s="90"/>
      <c r="AGU106" s="90"/>
      <c r="AGV106" s="90"/>
      <c r="AGW106" s="90"/>
      <c r="AGX106" s="90"/>
      <c r="AGY106" s="90"/>
      <c r="AGZ106" s="90"/>
      <c r="AHA106" s="90"/>
      <c r="AHB106" s="90"/>
      <c r="AHC106" s="90"/>
      <c r="AHD106" s="90"/>
      <c r="AHE106" s="90"/>
      <c r="AHF106" s="90"/>
      <c r="AHG106" s="90"/>
      <c r="AHH106" s="90"/>
      <c r="AHI106" s="90"/>
      <c r="AHJ106" s="90"/>
      <c r="AHK106" s="90"/>
      <c r="AHL106" s="90"/>
      <c r="AHM106" s="90"/>
      <c r="AHN106" s="90"/>
      <c r="AHO106" s="90"/>
      <c r="AHP106" s="90"/>
      <c r="AHQ106" s="90"/>
      <c r="AHR106" s="90"/>
      <c r="AHS106" s="90"/>
      <c r="AHT106" s="90"/>
      <c r="AHU106" s="90"/>
      <c r="AHV106" s="90"/>
      <c r="AHW106" s="90"/>
      <c r="AHX106" s="90"/>
      <c r="AHY106" s="90"/>
      <c r="AHZ106" s="90"/>
      <c r="AIA106" s="90"/>
      <c r="AIB106" s="90"/>
      <c r="AIC106" s="90"/>
      <c r="AID106" s="90"/>
      <c r="AIE106" s="90"/>
      <c r="AIF106" s="90"/>
      <c r="AIG106" s="90"/>
      <c r="AIH106" s="90"/>
      <c r="AII106" s="90"/>
      <c r="AIJ106" s="90"/>
      <c r="AIK106" s="90"/>
      <c r="AIL106" s="90"/>
      <c r="AIM106" s="90"/>
      <c r="AIN106" s="90"/>
      <c r="AIO106" s="90"/>
      <c r="AIP106" s="90"/>
      <c r="AIQ106" s="90"/>
      <c r="AIR106" s="90"/>
      <c r="AIS106" s="90"/>
      <c r="AIT106" s="90"/>
      <c r="AIU106" s="90"/>
      <c r="AIV106" s="90"/>
      <c r="AIW106" s="90"/>
      <c r="AIX106" s="90"/>
      <c r="AIY106" s="90"/>
      <c r="AIZ106" s="90"/>
      <c r="AJA106" s="90"/>
      <c r="AJB106" s="90"/>
      <c r="AJC106" s="90"/>
      <c r="AJD106" s="90"/>
      <c r="AJE106" s="90"/>
      <c r="AJF106" s="90"/>
      <c r="AJG106" s="90"/>
      <c r="AJH106" s="90"/>
      <c r="AJI106" s="90"/>
      <c r="AJJ106" s="90"/>
      <c r="AJK106" s="90"/>
      <c r="AJL106" s="90"/>
      <c r="AJM106" s="90"/>
      <c r="AJN106" s="90"/>
      <c r="AJO106" s="90"/>
      <c r="AJP106" s="90"/>
      <c r="AJQ106" s="90"/>
      <c r="AJR106" s="90"/>
      <c r="AJS106" s="90"/>
      <c r="AJT106" s="90"/>
      <c r="AJU106" s="90"/>
      <c r="AJV106" s="90"/>
      <c r="AJW106" s="90"/>
      <c r="AJX106" s="90"/>
      <c r="AJY106" s="90"/>
      <c r="AJZ106" s="90"/>
      <c r="AKA106" s="90"/>
      <c r="AKB106" s="90"/>
      <c r="AKC106" s="90"/>
      <c r="AKD106" s="90"/>
      <c r="AKE106" s="90"/>
      <c r="AKF106" s="90"/>
      <c r="AKG106" s="90"/>
      <c r="AKH106" s="90"/>
      <c r="AKI106" s="90"/>
      <c r="AKJ106" s="90"/>
      <c r="AKK106" s="90"/>
      <c r="AKL106" s="90"/>
      <c r="AKM106" s="90"/>
      <c r="AKN106" s="90"/>
      <c r="AKO106" s="90"/>
      <c r="AKP106" s="90"/>
      <c r="AKQ106" s="90"/>
      <c r="AKR106" s="90"/>
      <c r="AKS106" s="90"/>
      <c r="AKT106" s="90"/>
      <c r="AKU106" s="90"/>
      <c r="AKV106" s="90"/>
      <c r="AKW106" s="90"/>
      <c r="AKX106" s="90"/>
      <c r="AKY106" s="90"/>
      <c r="AKZ106" s="90"/>
      <c r="ALA106" s="90"/>
      <c r="ALB106" s="90"/>
      <c r="ALC106" s="90"/>
      <c r="ALD106" s="90"/>
      <c r="ALE106" s="90"/>
      <c r="ALF106" s="90"/>
      <c r="ALG106" s="90"/>
      <c r="ALH106" s="90"/>
      <c r="ALI106" s="90"/>
      <c r="ALJ106" s="90"/>
      <c r="ALK106" s="90"/>
      <c r="ALL106" s="90"/>
      <c r="ALM106" s="90"/>
      <c r="ALN106" s="90"/>
      <c r="ALO106" s="90"/>
      <c r="ALP106" s="90"/>
      <c r="ALQ106" s="90"/>
      <c r="ALR106" s="90"/>
      <c r="ALS106" s="90"/>
      <c r="ALT106" s="90"/>
      <c r="ALU106" s="90"/>
      <c r="ALV106" s="90"/>
      <c r="ALW106" s="90"/>
      <c r="ALX106" s="90"/>
      <c r="ALY106" s="90"/>
      <c r="ALZ106" s="90"/>
      <c r="AMA106" s="90"/>
      <c r="AMB106" s="90"/>
      <c r="AMC106" s="90"/>
    </row>
    <row r="107" spans="1:1017">
      <c r="A107" s="98" t="s">
        <v>47</v>
      </c>
      <c r="B107" s="90" t="str">
        <f t="shared" si="1028"/>
        <v xml:space="preserve">Mujair </v>
      </c>
      <c r="E107" s="98">
        <v>297700</v>
      </c>
      <c r="F107" s="98">
        <v>4465500</v>
      </c>
      <c r="I107" s="98">
        <v>4700</v>
      </c>
      <c r="J107" s="98">
        <v>70500</v>
      </c>
      <c r="Q107" s="91">
        <f t="shared" si="1029"/>
        <v>302400</v>
      </c>
      <c r="R107" s="91">
        <f t="shared" si="1030"/>
        <v>4536000</v>
      </c>
      <c r="U107" s="98">
        <v>8155</v>
      </c>
      <c r="V107" s="98">
        <v>122325</v>
      </c>
      <c r="Y107" s="778">
        <v>4290</v>
      </c>
      <c r="Z107" s="778">
        <v>64350</v>
      </c>
      <c r="AG107" s="91">
        <f t="shared" si="1031"/>
        <v>12445</v>
      </c>
      <c r="AH107" s="91">
        <f t="shared" si="1032"/>
        <v>186675</v>
      </c>
      <c r="AW107" s="91">
        <f t="shared" si="1033"/>
        <v>0</v>
      </c>
      <c r="AX107" s="91">
        <f t="shared" si="1034"/>
        <v>0</v>
      </c>
      <c r="BM107" s="91">
        <f t="shared" si="1035"/>
        <v>0</v>
      </c>
      <c r="BN107" s="91">
        <f t="shared" si="1036"/>
        <v>0</v>
      </c>
      <c r="CC107" s="91">
        <f t="shared" si="1037"/>
        <v>0</v>
      </c>
      <c r="CD107" s="91">
        <f t="shared" si="1038"/>
        <v>0</v>
      </c>
      <c r="CG107" s="98">
        <v>884741</v>
      </c>
      <c r="CH107" s="98">
        <v>7962672</v>
      </c>
      <c r="CK107" s="98">
        <v>1078538</v>
      </c>
      <c r="CL107" s="98">
        <v>8628303.1999999993</v>
      </c>
      <c r="CS107" s="91">
        <f t="shared" si="1039"/>
        <v>1963279</v>
      </c>
      <c r="CT107" s="91">
        <f t="shared" si="1040"/>
        <v>16590975.199999999</v>
      </c>
      <c r="DI107" s="91">
        <f t="shared" si="1041"/>
        <v>0</v>
      </c>
      <c r="DJ107" s="91">
        <f t="shared" si="1042"/>
        <v>0</v>
      </c>
      <c r="DY107" s="91">
        <f t="shared" si="1043"/>
        <v>0</v>
      </c>
      <c r="DZ107" s="91">
        <f t="shared" si="1044"/>
        <v>0</v>
      </c>
      <c r="EG107" s="98">
        <v>500</v>
      </c>
      <c r="EH107" s="98">
        <v>7500</v>
      </c>
      <c r="EO107" s="91">
        <f t="shared" si="1045"/>
        <v>500</v>
      </c>
      <c r="EP107" s="91">
        <f t="shared" si="1046"/>
        <v>7500</v>
      </c>
      <c r="ES107" s="98">
        <v>751</v>
      </c>
      <c r="ET107" s="98">
        <v>3755</v>
      </c>
      <c r="EW107" s="98">
        <v>15594</v>
      </c>
      <c r="EX107" s="98">
        <v>77970</v>
      </c>
      <c r="EZ107" s="98" t="s">
        <v>384</v>
      </c>
      <c r="FB107" s="98" t="s">
        <v>384</v>
      </c>
      <c r="FE107" s="91">
        <f t="shared" si="1047"/>
        <v>16345</v>
      </c>
      <c r="FF107" s="91">
        <f t="shared" si="1048"/>
        <v>81725</v>
      </c>
      <c r="FU107" s="91">
        <f t="shared" si="1049"/>
        <v>0</v>
      </c>
      <c r="FV107" s="91">
        <f t="shared" si="1050"/>
        <v>0</v>
      </c>
      <c r="GK107" s="91">
        <f t="shared" si="1051"/>
        <v>0</v>
      </c>
      <c r="GL107" s="91">
        <f t="shared" si="1052"/>
        <v>0</v>
      </c>
      <c r="HA107" s="91">
        <f t="shared" si="1053"/>
        <v>0</v>
      </c>
      <c r="HB107" s="91">
        <f t="shared" si="1054"/>
        <v>0</v>
      </c>
      <c r="HQ107" s="91">
        <f t="shared" si="1055"/>
        <v>0</v>
      </c>
      <c r="HR107" s="91">
        <f t="shared" si="1056"/>
        <v>0</v>
      </c>
      <c r="IG107" s="91">
        <f t="shared" si="1057"/>
        <v>0</v>
      </c>
      <c r="IH107" s="91">
        <f t="shared" si="1058"/>
        <v>0</v>
      </c>
      <c r="IW107" s="91">
        <f t="shared" si="1059"/>
        <v>0</v>
      </c>
      <c r="IX107" s="91">
        <f t="shared" si="1060"/>
        <v>0</v>
      </c>
      <c r="JM107" s="91">
        <f t="shared" si="1061"/>
        <v>0</v>
      </c>
      <c r="JN107" s="91">
        <f t="shared" si="1062"/>
        <v>0</v>
      </c>
      <c r="KC107" s="91">
        <f t="shared" si="1063"/>
        <v>0</v>
      </c>
      <c r="KD107" s="91">
        <f t="shared" si="1064"/>
        <v>0</v>
      </c>
      <c r="KS107" s="91">
        <f t="shared" si="1065"/>
        <v>0</v>
      </c>
      <c r="KT107" s="91">
        <f t="shared" si="1066"/>
        <v>0</v>
      </c>
      <c r="LI107" s="91">
        <f t="shared" si="1067"/>
        <v>0</v>
      </c>
      <c r="LJ107" s="91">
        <f t="shared" si="1068"/>
        <v>0</v>
      </c>
      <c r="LY107" s="91">
        <f t="shared" si="1069"/>
        <v>0</v>
      </c>
      <c r="LZ107" s="91">
        <f t="shared" si="1070"/>
        <v>0</v>
      </c>
      <c r="MO107" s="91">
        <f t="shared" si="1071"/>
        <v>0</v>
      </c>
      <c r="MP107" s="91">
        <f t="shared" si="1072"/>
        <v>0</v>
      </c>
      <c r="MS107" s="98">
        <v>1214</v>
      </c>
      <c r="MT107" s="98">
        <v>30350</v>
      </c>
      <c r="NE107" s="91">
        <f t="shared" si="1073"/>
        <v>1214</v>
      </c>
      <c r="NF107" s="91">
        <f t="shared" si="1074"/>
        <v>30350</v>
      </c>
      <c r="NI107" s="98">
        <v>222300</v>
      </c>
      <c r="NJ107" s="98">
        <v>3556800</v>
      </c>
      <c r="NU107" s="91">
        <f t="shared" si="1075"/>
        <v>222300</v>
      </c>
      <c r="NV107" s="91">
        <f t="shared" si="1076"/>
        <v>3556800</v>
      </c>
      <c r="OK107" s="91">
        <f t="shared" si="1077"/>
        <v>0</v>
      </c>
      <c r="OL107" s="91">
        <f t="shared" si="1078"/>
        <v>0</v>
      </c>
      <c r="PA107" s="91">
        <f t="shared" si="1079"/>
        <v>0</v>
      </c>
      <c r="PB107" s="91">
        <f t="shared" si="1080"/>
        <v>0</v>
      </c>
      <c r="PQ107" s="91">
        <f t="shared" si="1081"/>
        <v>0</v>
      </c>
      <c r="PR107" s="91">
        <f t="shared" si="1082"/>
        <v>0</v>
      </c>
      <c r="PU107" s="98">
        <v>31360</v>
      </c>
      <c r="PV107" s="98">
        <v>376320</v>
      </c>
      <c r="QA107" s="98">
        <v>33090</v>
      </c>
      <c r="QB107" s="98">
        <v>397080</v>
      </c>
      <c r="QG107" s="91">
        <f t="shared" si="1083"/>
        <v>64450</v>
      </c>
      <c r="QH107" s="91">
        <f t="shared" si="1084"/>
        <v>773400</v>
      </c>
      <c r="QW107" s="91">
        <f t="shared" si="1085"/>
        <v>0</v>
      </c>
      <c r="QX107" s="91">
        <f t="shared" si="1086"/>
        <v>0</v>
      </c>
      <c r="RM107" s="91">
        <f t="shared" si="1087"/>
        <v>0</v>
      </c>
      <c r="RN107" s="91">
        <f t="shared" si="1088"/>
        <v>0</v>
      </c>
      <c r="SC107" s="91">
        <f t="shared" si="1089"/>
        <v>0</v>
      </c>
      <c r="SD107" s="91">
        <f t="shared" si="1090"/>
        <v>0</v>
      </c>
      <c r="SS107" s="91">
        <f t="shared" si="1091"/>
        <v>0</v>
      </c>
      <c r="ST107" s="91">
        <f t="shared" si="1092"/>
        <v>0</v>
      </c>
      <c r="TI107" s="91">
        <f t="shared" si="1093"/>
        <v>0</v>
      </c>
      <c r="TJ107" s="91">
        <f t="shared" si="1094"/>
        <v>0</v>
      </c>
      <c r="TY107" s="91">
        <f t="shared" si="1095"/>
        <v>0</v>
      </c>
      <c r="TZ107" s="91">
        <f t="shared" si="1096"/>
        <v>0</v>
      </c>
      <c r="UO107" s="91">
        <f t="shared" si="1097"/>
        <v>0</v>
      </c>
      <c r="UP107" s="91">
        <f t="shared" si="1098"/>
        <v>0</v>
      </c>
      <c r="VE107" s="91">
        <f t="shared" si="1099"/>
        <v>0</v>
      </c>
      <c r="VF107" s="91">
        <f t="shared" si="1100"/>
        <v>0</v>
      </c>
      <c r="VI107" s="98">
        <v>26</v>
      </c>
      <c r="VJ107" s="98">
        <v>234</v>
      </c>
      <c r="VU107" s="91">
        <f t="shared" si="1101"/>
        <v>26</v>
      </c>
      <c r="VV107" s="91">
        <f t="shared" si="1102"/>
        <v>234</v>
      </c>
      <c r="WK107" s="91">
        <f t="shared" si="1103"/>
        <v>0</v>
      </c>
      <c r="WL107" s="91">
        <f t="shared" si="1104"/>
        <v>0</v>
      </c>
      <c r="WM107" s="89"/>
      <c r="WN107" s="87">
        <f t="shared" si="1105"/>
        <v>0</v>
      </c>
      <c r="WO107" s="87">
        <f t="shared" si="1106"/>
        <v>0</v>
      </c>
      <c r="WP107" s="87">
        <f t="shared" si="1107"/>
        <v>1446247</v>
      </c>
      <c r="WQ107" s="87">
        <f t="shared" si="1108"/>
        <v>16517956</v>
      </c>
      <c r="WR107" s="87">
        <f t="shared" si="1109"/>
        <v>0</v>
      </c>
      <c r="WS107" s="87">
        <f t="shared" si="1110"/>
        <v>0</v>
      </c>
      <c r="WT107" s="87">
        <f t="shared" si="1111"/>
        <v>1103622</v>
      </c>
      <c r="WU107" s="87">
        <f t="shared" si="1112"/>
        <v>8848623.1999999993</v>
      </c>
      <c r="WV107" s="87">
        <f t="shared" si="1113"/>
        <v>33090</v>
      </c>
      <c r="WW107" s="87">
        <f t="shared" si="1114"/>
        <v>397080</v>
      </c>
      <c r="WX107" s="87">
        <f t="shared" si="1115"/>
        <v>0</v>
      </c>
      <c r="WY107" s="87">
        <f t="shared" si="1116"/>
        <v>0</v>
      </c>
      <c r="WZ107" s="87">
        <f t="shared" si="1117"/>
        <v>0</v>
      </c>
      <c r="XA107" s="87">
        <f t="shared" si="1118"/>
        <v>0</v>
      </c>
      <c r="XB107" s="92">
        <f t="shared" si="1119"/>
        <v>2582959</v>
      </c>
      <c r="XC107" s="92">
        <f t="shared" si="1120"/>
        <v>25763659.199999999</v>
      </c>
      <c r="XD107" s="89"/>
      <c r="XE107" s="92">
        <f t="shared" si="1125"/>
        <v>3294317.1254365472</v>
      </c>
      <c r="XF107" s="92">
        <f t="shared" si="1126"/>
        <v>38763224.12892893</v>
      </c>
      <c r="XG107" s="89"/>
      <c r="XH107" s="92"/>
      <c r="XI107" s="92"/>
      <c r="XJ107" s="89"/>
      <c r="XK107" s="87"/>
      <c r="XL107" s="87"/>
      <c r="XM107" s="87"/>
      <c r="XN107" s="87"/>
      <c r="XO107" s="87"/>
      <c r="XP107" s="87"/>
      <c r="XQ107" s="87"/>
      <c r="XR107" s="92">
        <f t="shared" ca="1" si="1122"/>
        <v>0</v>
      </c>
      <c r="XS107" s="89"/>
      <c r="XT107" s="87"/>
      <c r="XU107" s="87"/>
      <c r="XV107" s="87"/>
      <c r="XW107" s="87"/>
      <c r="XX107" s="87"/>
      <c r="XY107" s="87"/>
      <c r="XZ107" s="87"/>
      <c r="YA107" s="92">
        <f t="shared" ca="1" si="1123"/>
        <v>0</v>
      </c>
      <c r="YB107" s="90"/>
      <c r="YC107" s="90"/>
      <c r="YD107" s="90"/>
      <c r="YE107" s="90"/>
      <c r="YF107" s="90"/>
      <c r="YG107" s="90"/>
      <c r="YH107" s="90"/>
      <c r="YI107" s="90"/>
      <c r="YJ107" s="90"/>
      <c r="YK107" s="90"/>
      <c r="YL107" s="90"/>
      <c r="YM107" s="90"/>
      <c r="YN107" s="90"/>
      <c r="YO107" s="90"/>
      <c r="YP107" s="90"/>
      <c r="YQ107" s="90"/>
      <c r="YR107" s="90"/>
      <c r="YS107" s="90"/>
      <c r="YT107" s="90"/>
      <c r="YU107" s="90"/>
      <c r="YV107" s="90"/>
      <c r="YW107" s="90"/>
      <c r="YX107" s="90"/>
      <c r="YY107" s="90"/>
      <c r="YZ107" s="90"/>
      <c r="ZA107" s="90"/>
      <c r="ZB107" s="90"/>
      <c r="ZC107" s="90"/>
      <c r="ZD107" s="90"/>
      <c r="ZE107" s="90"/>
      <c r="ZF107" s="90"/>
      <c r="ZG107" s="90"/>
      <c r="ZH107" s="90"/>
      <c r="ZI107" s="90"/>
      <c r="ZJ107" s="90"/>
      <c r="ZK107" s="90"/>
      <c r="ZL107" s="90"/>
      <c r="ZM107" s="90"/>
      <c r="ZN107" s="90"/>
      <c r="ZO107" s="90"/>
      <c r="ZP107" s="90"/>
      <c r="ZQ107" s="90"/>
      <c r="ZR107" s="90"/>
      <c r="ZS107" s="90"/>
      <c r="ZT107" s="90"/>
      <c r="ZU107" s="90"/>
      <c r="ZV107" s="90"/>
      <c r="ZW107" s="90"/>
      <c r="ZX107" s="90"/>
      <c r="ZY107" s="90"/>
      <c r="ZZ107" s="90"/>
      <c r="AAA107" s="90"/>
      <c r="AAB107" s="90"/>
      <c r="AAC107" s="90"/>
      <c r="AAD107" s="90"/>
      <c r="AAE107" s="90"/>
      <c r="AAF107" s="90"/>
      <c r="AAG107" s="90"/>
      <c r="AAH107" s="90"/>
      <c r="AAI107" s="90"/>
      <c r="AAJ107" s="90"/>
      <c r="AAK107" s="90"/>
      <c r="AAL107" s="90"/>
      <c r="AAM107" s="90"/>
      <c r="AAN107" s="90"/>
      <c r="AAO107" s="90"/>
      <c r="AAP107" s="90"/>
      <c r="AAQ107" s="90"/>
      <c r="AAR107" s="90"/>
      <c r="AAS107" s="90"/>
      <c r="AAT107" s="90"/>
      <c r="AAU107" s="90"/>
      <c r="AAV107" s="90"/>
      <c r="AAW107" s="90"/>
      <c r="AAX107" s="90"/>
      <c r="AAY107" s="90"/>
      <c r="AAZ107" s="90"/>
      <c r="ABA107" s="90"/>
      <c r="ABB107" s="90"/>
      <c r="ABC107" s="90"/>
      <c r="ABD107" s="90"/>
      <c r="ABE107" s="90"/>
      <c r="ABF107" s="90"/>
      <c r="ABG107" s="90"/>
      <c r="ABH107" s="90"/>
      <c r="ABI107" s="90"/>
      <c r="ABJ107" s="90"/>
      <c r="ABK107" s="90"/>
      <c r="ABL107" s="90"/>
      <c r="ABM107" s="90"/>
      <c r="ABN107" s="90"/>
      <c r="ABO107" s="90"/>
      <c r="ABP107" s="90"/>
      <c r="ABQ107" s="90"/>
      <c r="ABR107" s="90"/>
      <c r="ABS107" s="90"/>
      <c r="ABT107" s="90"/>
      <c r="ABU107" s="90"/>
      <c r="ABV107" s="90"/>
      <c r="ABW107" s="90"/>
      <c r="ABX107" s="90"/>
      <c r="ABY107" s="90"/>
      <c r="ABZ107" s="90"/>
      <c r="ACA107" s="90"/>
      <c r="ACB107" s="90"/>
      <c r="ACC107" s="90"/>
      <c r="ACD107" s="90"/>
      <c r="ACE107" s="90"/>
      <c r="ACF107" s="90"/>
      <c r="ACG107" s="90"/>
      <c r="ACH107" s="90"/>
      <c r="ACI107" s="90"/>
      <c r="ACJ107" s="90"/>
      <c r="ACK107" s="90"/>
      <c r="ACL107" s="90"/>
      <c r="ACM107" s="90"/>
      <c r="ACN107" s="90"/>
      <c r="ACO107" s="90"/>
      <c r="ACP107" s="90"/>
      <c r="ACQ107" s="90"/>
      <c r="ACR107" s="90"/>
      <c r="ACS107" s="90"/>
      <c r="ACT107" s="90"/>
      <c r="ACU107" s="90"/>
      <c r="ACV107" s="90"/>
      <c r="ACW107" s="90"/>
      <c r="ACX107" s="90"/>
      <c r="ACY107" s="90"/>
      <c r="ACZ107" s="90"/>
      <c r="ADA107" s="90"/>
      <c r="ADB107" s="90"/>
      <c r="ADC107" s="90"/>
      <c r="ADD107" s="90"/>
      <c r="ADE107" s="90"/>
      <c r="ADF107" s="90"/>
      <c r="ADG107" s="90"/>
      <c r="ADH107" s="90"/>
      <c r="ADI107" s="90"/>
      <c r="ADJ107" s="90"/>
      <c r="ADK107" s="90"/>
      <c r="ADL107" s="90"/>
      <c r="ADM107" s="90"/>
      <c r="ADN107" s="90"/>
      <c r="ADO107" s="90"/>
      <c r="ADP107" s="90"/>
      <c r="ADQ107" s="90"/>
      <c r="ADR107" s="90"/>
      <c r="ADS107" s="90"/>
      <c r="ADT107" s="90"/>
      <c r="ADU107" s="90"/>
      <c r="ADV107" s="90"/>
      <c r="ADW107" s="90"/>
      <c r="ADX107" s="90"/>
      <c r="ADY107" s="90"/>
      <c r="ADZ107" s="90"/>
      <c r="AEA107" s="90"/>
      <c r="AEB107" s="90"/>
      <c r="AEC107" s="90"/>
      <c r="AED107" s="90"/>
      <c r="AEE107" s="90"/>
      <c r="AEF107" s="90"/>
      <c r="AEG107" s="90"/>
      <c r="AEH107" s="90"/>
      <c r="AEI107" s="90"/>
      <c r="AEJ107" s="90"/>
      <c r="AEK107" s="90"/>
      <c r="AEL107" s="90"/>
      <c r="AEM107" s="90"/>
      <c r="AEN107" s="90"/>
      <c r="AEO107" s="90"/>
      <c r="AEP107" s="90"/>
      <c r="AEQ107" s="90"/>
      <c r="AER107" s="90"/>
      <c r="AES107" s="90"/>
      <c r="AET107" s="90"/>
      <c r="AEU107" s="90"/>
      <c r="AEV107" s="90"/>
      <c r="AEW107" s="90"/>
      <c r="AEX107" s="90"/>
      <c r="AEY107" s="90"/>
      <c r="AEZ107" s="90"/>
      <c r="AFA107" s="90"/>
      <c r="AFB107" s="90"/>
      <c r="AFC107" s="90"/>
      <c r="AFD107" s="90"/>
      <c r="AFE107" s="90"/>
      <c r="AFF107" s="90"/>
      <c r="AFG107" s="90"/>
      <c r="AFH107" s="90"/>
      <c r="AFI107" s="90"/>
      <c r="AFJ107" s="90"/>
      <c r="AFK107" s="90"/>
      <c r="AFL107" s="90"/>
      <c r="AFM107" s="90"/>
      <c r="AFN107" s="90"/>
      <c r="AFO107" s="90"/>
      <c r="AFP107" s="90"/>
      <c r="AFQ107" s="90"/>
      <c r="AFR107" s="90"/>
      <c r="AFS107" s="90"/>
      <c r="AFT107" s="90"/>
      <c r="AFU107" s="90"/>
      <c r="AFV107" s="90"/>
      <c r="AFW107" s="90"/>
      <c r="AFX107" s="90"/>
      <c r="AFY107" s="90"/>
      <c r="AFZ107" s="90"/>
      <c r="AGA107" s="90"/>
      <c r="AGB107" s="90"/>
      <c r="AGC107" s="90"/>
      <c r="AGD107" s="90"/>
      <c r="AGE107" s="90"/>
      <c r="AGF107" s="90"/>
      <c r="AGG107" s="90"/>
      <c r="AGH107" s="90"/>
      <c r="AGI107" s="90"/>
      <c r="AGJ107" s="90"/>
      <c r="AGK107" s="90"/>
      <c r="AGL107" s="90"/>
      <c r="AGM107" s="90"/>
      <c r="AGN107" s="90"/>
      <c r="AGO107" s="90"/>
      <c r="AGP107" s="90"/>
      <c r="AGQ107" s="90"/>
      <c r="AGR107" s="90"/>
      <c r="AGS107" s="90"/>
      <c r="AGT107" s="90"/>
      <c r="AGU107" s="90"/>
      <c r="AGV107" s="90"/>
      <c r="AGW107" s="90"/>
      <c r="AGX107" s="90"/>
      <c r="AGY107" s="90"/>
      <c r="AGZ107" s="90"/>
      <c r="AHA107" s="90"/>
      <c r="AHB107" s="90"/>
      <c r="AHC107" s="90"/>
      <c r="AHD107" s="90"/>
      <c r="AHE107" s="90"/>
      <c r="AHF107" s="90"/>
      <c r="AHG107" s="90"/>
      <c r="AHH107" s="90"/>
      <c r="AHI107" s="90"/>
      <c r="AHJ107" s="90"/>
      <c r="AHK107" s="90"/>
      <c r="AHL107" s="90"/>
      <c r="AHM107" s="90"/>
      <c r="AHN107" s="90"/>
      <c r="AHO107" s="90"/>
      <c r="AHP107" s="90"/>
      <c r="AHQ107" s="90"/>
      <c r="AHR107" s="90"/>
      <c r="AHS107" s="90"/>
      <c r="AHT107" s="90"/>
      <c r="AHU107" s="90"/>
      <c r="AHV107" s="90"/>
      <c r="AHW107" s="90"/>
      <c r="AHX107" s="90"/>
      <c r="AHY107" s="90"/>
      <c r="AHZ107" s="90"/>
      <c r="AIA107" s="90"/>
      <c r="AIB107" s="90"/>
      <c r="AIC107" s="90"/>
      <c r="AID107" s="90"/>
      <c r="AIE107" s="90"/>
      <c r="AIF107" s="90"/>
      <c r="AIG107" s="90"/>
      <c r="AIH107" s="90"/>
      <c r="AII107" s="90"/>
      <c r="AIJ107" s="90"/>
      <c r="AIK107" s="90"/>
      <c r="AIL107" s="90"/>
      <c r="AIM107" s="90"/>
      <c r="AIN107" s="90"/>
      <c r="AIO107" s="90"/>
      <c r="AIP107" s="90"/>
      <c r="AIQ107" s="90"/>
      <c r="AIR107" s="90"/>
      <c r="AIS107" s="90"/>
      <c r="AIT107" s="90"/>
      <c r="AIU107" s="90"/>
      <c r="AIV107" s="90"/>
      <c r="AIW107" s="90"/>
      <c r="AIX107" s="90"/>
      <c r="AIY107" s="90"/>
      <c r="AIZ107" s="90"/>
      <c r="AJA107" s="90"/>
      <c r="AJB107" s="90"/>
      <c r="AJC107" s="90"/>
      <c r="AJD107" s="90"/>
      <c r="AJE107" s="90"/>
      <c r="AJF107" s="90"/>
      <c r="AJG107" s="90"/>
      <c r="AJH107" s="90"/>
      <c r="AJI107" s="90"/>
      <c r="AJJ107" s="90"/>
      <c r="AJK107" s="90"/>
      <c r="AJL107" s="90"/>
      <c r="AJM107" s="90"/>
      <c r="AJN107" s="90"/>
      <c r="AJO107" s="90"/>
      <c r="AJP107" s="90"/>
      <c r="AJQ107" s="90"/>
      <c r="AJR107" s="90"/>
      <c r="AJS107" s="90"/>
      <c r="AJT107" s="90"/>
      <c r="AJU107" s="90"/>
      <c r="AJV107" s="90"/>
      <c r="AJW107" s="90"/>
      <c r="AJX107" s="90"/>
      <c r="AJY107" s="90"/>
      <c r="AJZ107" s="90"/>
      <c r="AKA107" s="90"/>
      <c r="AKB107" s="90"/>
      <c r="AKC107" s="90"/>
      <c r="AKD107" s="90"/>
      <c r="AKE107" s="90"/>
      <c r="AKF107" s="90"/>
      <c r="AKG107" s="90"/>
      <c r="AKH107" s="90"/>
      <c r="AKI107" s="90"/>
      <c r="AKJ107" s="90"/>
      <c r="AKK107" s="90"/>
      <c r="AKL107" s="90"/>
      <c r="AKM107" s="90"/>
      <c r="AKN107" s="90"/>
      <c r="AKO107" s="90"/>
      <c r="AKP107" s="90"/>
      <c r="AKQ107" s="90"/>
      <c r="AKR107" s="90"/>
      <c r="AKS107" s="90"/>
      <c r="AKT107" s="90"/>
      <c r="AKU107" s="90"/>
      <c r="AKV107" s="90"/>
      <c r="AKW107" s="90"/>
      <c r="AKX107" s="90"/>
      <c r="AKY107" s="90"/>
      <c r="AKZ107" s="90"/>
      <c r="ALA107" s="90"/>
      <c r="ALB107" s="90"/>
      <c r="ALC107" s="90"/>
      <c r="ALD107" s="90"/>
      <c r="ALE107" s="90"/>
      <c r="ALF107" s="90"/>
      <c r="ALG107" s="90"/>
      <c r="ALH107" s="90"/>
      <c r="ALI107" s="90"/>
      <c r="ALJ107" s="90"/>
      <c r="ALK107" s="90"/>
      <c r="ALL107" s="90"/>
      <c r="ALM107" s="90"/>
      <c r="ALN107" s="90"/>
      <c r="ALO107" s="90"/>
      <c r="ALP107" s="90"/>
      <c r="ALQ107" s="90"/>
      <c r="ALR107" s="90"/>
      <c r="ALS107" s="90"/>
      <c r="ALT107" s="90"/>
      <c r="ALU107" s="90"/>
      <c r="ALV107" s="90"/>
      <c r="ALW107" s="90"/>
      <c r="ALX107" s="90"/>
      <c r="ALY107" s="90"/>
      <c r="ALZ107" s="90"/>
      <c r="AMA107" s="90"/>
      <c r="AMB107" s="90"/>
      <c r="AMC107" s="90"/>
    </row>
    <row r="108" spans="1:1017">
      <c r="A108" s="98" t="s">
        <v>47</v>
      </c>
      <c r="B108" s="90" t="str">
        <f t="shared" si="1028"/>
        <v xml:space="preserve">Nila </v>
      </c>
      <c r="I108" s="98">
        <v>16600</v>
      </c>
      <c r="J108" s="98">
        <v>464800</v>
      </c>
      <c r="Q108" s="91">
        <f t="shared" si="1029"/>
        <v>16600</v>
      </c>
      <c r="R108" s="91">
        <f t="shared" si="1030"/>
        <v>464800</v>
      </c>
      <c r="U108" s="98">
        <v>11430</v>
      </c>
      <c r="V108" s="98">
        <v>228600</v>
      </c>
      <c r="Y108" s="778">
        <v>10855</v>
      </c>
      <c r="Z108" s="778">
        <v>217100</v>
      </c>
      <c r="AA108" s="98">
        <v>3205</v>
      </c>
      <c r="AB108" s="98">
        <v>64100</v>
      </c>
      <c r="AC108" s="98">
        <v>1815</v>
      </c>
      <c r="AD108" s="98">
        <v>36300</v>
      </c>
      <c r="AE108" s="98">
        <v>1035</v>
      </c>
      <c r="AF108" s="98">
        <v>20700</v>
      </c>
      <c r="AG108" s="91">
        <f t="shared" si="1031"/>
        <v>28340</v>
      </c>
      <c r="AH108" s="91">
        <f t="shared" si="1032"/>
        <v>566800</v>
      </c>
      <c r="AO108" s="98">
        <v>59200</v>
      </c>
      <c r="AP108" s="98">
        <v>1480000</v>
      </c>
      <c r="AQ108" s="98">
        <v>200</v>
      </c>
      <c r="AR108" s="98">
        <v>4800</v>
      </c>
      <c r="AU108" s="98">
        <v>2560</v>
      </c>
      <c r="AV108" s="98">
        <v>61440</v>
      </c>
      <c r="AW108" s="91">
        <f t="shared" si="1033"/>
        <v>61960</v>
      </c>
      <c r="AX108" s="91">
        <f t="shared" si="1034"/>
        <v>1546240</v>
      </c>
      <c r="BE108" s="98">
        <v>89224</v>
      </c>
      <c r="BF108" s="98">
        <v>2230600</v>
      </c>
      <c r="BG108" s="98">
        <v>7432</v>
      </c>
      <c r="BH108" s="98">
        <v>185800</v>
      </c>
      <c r="BK108" s="98">
        <v>980</v>
      </c>
      <c r="BL108" s="98">
        <v>24500</v>
      </c>
      <c r="BM108" s="91">
        <f t="shared" si="1035"/>
        <v>97636</v>
      </c>
      <c r="BN108" s="91">
        <f t="shared" si="1036"/>
        <v>2440900</v>
      </c>
      <c r="BU108" s="98">
        <v>6662</v>
      </c>
      <c r="BV108" s="98">
        <v>179874</v>
      </c>
      <c r="CC108" s="91">
        <f t="shared" si="1037"/>
        <v>6662</v>
      </c>
      <c r="CD108" s="91">
        <f t="shared" si="1038"/>
        <v>179874</v>
      </c>
      <c r="CG108" s="98">
        <v>126447</v>
      </c>
      <c r="CH108" s="98">
        <v>1770257</v>
      </c>
      <c r="CK108" s="98">
        <v>440498</v>
      </c>
      <c r="CL108" s="98">
        <v>6166966.5048071137</v>
      </c>
      <c r="CS108" s="91">
        <f t="shared" si="1039"/>
        <v>566945</v>
      </c>
      <c r="CT108" s="91">
        <f t="shared" si="1040"/>
        <v>7937223.5048071137</v>
      </c>
      <c r="DA108" s="98">
        <v>131005</v>
      </c>
      <c r="DB108" s="98">
        <v>3930150</v>
      </c>
      <c r="DC108" s="98">
        <v>15110</v>
      </c>
      <c r="DD108" s="98">
        <v>392860</v>
      </c>
      <c r="DI108" s="91">
        <f t="shared" si="1041"/>
        <v>146115</v>
      </c>
      <c r="DJ108" s="91">
        <f t="shared" si="1042"/>
        <v>4323010</v>
      </c>
      <c r="DQ108" s="98">
        <v>20200</v>
      </c>
      <c r="DR108" s="98">
        <v>404000</v>
      </c>
      <c r="DY108" s="91">
        <f t="shared" si="1043"/>
        <v>20200</v>
      </c>
      <c r="DZ108" s="91">
        <f t="shared" si="1044"/>
        <v>404000</v>
      </c>
      <c r="EG108" s="98">
        <v>215000</v>
      </c>
      <c r="EH108" s="98">
        <v>4515000</v>
      </c>
      <c r="EO108" s="91">
        <f t="shared" si="1045"/>
        <v>215000</v>
      </c>
      <c r="EP108" s="91">
        <f t="shared" si="1046"/>
        <v>4515000</v>
      </c>
      <c r="ES108" s="98">
        <v>18037</v>
      </c>
      <c r="ET108" s="98">
        <v>450925</v>
      </c>
      <c r="EW108" s="98">
        <v>1360213</v>
      </c>
      <c r="EX108" s="98">
        <v>34005325</v>
      </c>
      <c r="EZ108" s="98" t="s">
        <v>384</v>
      </c>
      <c r="FB108" s="98" t="s">
        <v>384</v>
      </c>
      <c r="FC108" s="98">
        <v>521</v>
      </c>
      <c r="FD108" s="98">
        <v>13025</v>
      </c>
      <c r="FE108" s="91">
        <f t="shared" si="1047"/>
        <v>1378771</v>
      </c>
      <c r="FF108" s="91">
        <f t="shared" si="1048"/>
        <v>34469275</v>
      </c>
      <c r="FM108" s="98">
        <v>55000</v>
      </c>
      <c r="FN108" s="98">
        <v>1485000</v>
      </c>
      <c r="FS108" s="98">
        <v>85000</v>
      </c>
      <c r="FT108" s="98">
        <v>2550000</v>
      </c>
      <c r="FU108" s="91">
        <f t="shared" si="1049"/>
        <v>140000</v>
      </c>
      <c r="FV108" s="91">
        <f t="shared" si="1050"/>
        <v>4035000</v>
      </c>
      <c r="GC108" s="98">
        <v>37500</v>
      </c>
      <c r="GD108" s="98">
        <v>975000</v>
      </c>
      <c r="GK108" s="91">
        <f t="shared" si="1051"/>
        <v>37500</v>
      </c>
      <c r="GL108" s="91">
        <f t="shared" si="1052"/>
        <v>975000</v>
      </c>
      <c r="GS108" s="98">
        <v>11400</v>
      </c>
      <c r="GT108" s="98">
        <v>319200</v>
      </c>
      <c r="GY108" s="98">
        <v>150</v>
      </c>
      <c r="GZ108" s="98">
        <v>4200</v>
      </c>
      <c r="HA108" s="91">
        <f t="shared" si="1053"/>
        <v>11550</v>
      </c>
      <c r="HB108" s="91">
        <f t="shared" si="1054"/>
        <v>323400</v>
      </c>
      <c r="HI108" s="98">
        <v>80000</v>
      </c>
      <c r="HJ108" s="98">
        <v>1840000</v>
      </c>
      <c r="HO108" s="98">
        <v>500000</v>
      </c>
      <c r="HP108" s="98">
        <v>11500000</v>
      </c>
      <c r="HQ108" s="91">
        <f t="shared" si="1055"/>
        <v>580000</v>
      </c>
      <c r="HR108" s="91">
        <f t="shared" si="1056"/>
        <v>13340000</v>
      </c>
      <c r="HY108" s="98">
        <v>11000</v>
      </c>
      <c r="HZ108" s="98">
        <v>275000</v>
      </c>
      <c r="IG108" s="91">
        <f t="shared" si="1057"/>
        <v>11000</v>
      </c>
      <c r="IH108" s="91">
        <f t="shared" si="1058"/>
        <v>275000</v>
      </c>
      <c r="IO108" s="98">
        <v>8400</v>
      </c>
      <c r="IP108" s="98">
        <v>210000</v>
      </c>
      <c r="IW108" s="91">
        <f t="shared" si="1059"/>
        <v>8400</v>
      </c>
      <c r="IX108" s="91">
        <f t="shared" si="1060"/>
        <v>210000</v>
      </c>
      <c r="JE108" s="98">
        <v>6520</v>
      </c>
      <c r="JF108" s="98">
        <v>143440</v>
      </c>
      <c r="JK108" s="98">
        <v>4877</v>
      </c>
      <c r="JL108" s="98">
        <v>107294</v>
      </c>
      <c r="JM108" s="91">
        <f t="shared" si="1061"/>
        <v>11397</v>
      </c>
      <c r="JN108" s="91">
        <f t="shared" si="1062"/>
        <v>250734</v>
      </c>
      <c r="JU108" s="98">
        <v>12430</v>
      </c>
      <c r="JV108" s="98">
        <v>435050</v>
      </c>
      <c r="KC108" s="91">
        <f t="shared" si="1063"/>
        <v>12430</v>
      </c>
      <c r="KD108" s="91">
        <f t="shared" si="1064"/>
        <v>435050</v>
      </c>
      <c r="KK108" s="98">
        <v>187</v>
      </c>
      <c r="KL108" s="98">
        <v>4675</v>
      </c>
      <c r="KS108" s="91">
        <f t="shared" si="1065"/>
        <v>187</v>
      </c>
      <c r="KT108" s="91">
        <f t="shared" si="1066"/>
        <v>4675</v>
      </c>
      <c r="KW108" s="98">
        <v>13258.56</v>
      </c>
      <c r="KX108" s="98">
        <v>265171</v>
      </c>
      <c r="LA108" s="98">
        <v>142392.51999999999</v>
      </c>
      <c r="LB108" s="98">
        <v>2705457</v>
      </c>
      <c r="LG108" s="98">
        <v>10231.81</v>
      </c>
      <c r="LH108" s="98">
        <v>245563</v>
      </c>
      <c r="LI108" s="91">
        <f t="shared" si="1067"/>
        <v>165882.88999999998</v>
      </c>
      <c r="LJ108" s="91">
        <f t="shared" si="1068"/>
        <v>3216191</v>
      </c>
      <c r="LQ108" s="98">
        <v>4781</v>
      </c>
      <c r="LR108" s="98">
        <v>152992</v>
      </c>
      <c r="LW108" s="98">
        <v>1270</v>
      </c>
      <c r="LX108" s="98">
        <v>43180</v>
      </c>
      <c r="LY108" s="91">
        <f t="shared" si="1069"/>
        <v>6051</v>
      </c>
      <c r="LZ108" s="91">
        <f t="shared" si="1070"/>
        <v>196172</v>
      </c>
      <c r="MC108" s="98">
        <v>1400</v>
      </c>
      <c r="MD108" s="98">
        <v>28000</v>
      </c>
      <c r="MM108" s="98">
        <v>3600</v>
      </c>
      <c r="MN108" s="98">
        <v>72000</v>
      </c>
      <c r="MO108" s="91">
        <f t="shared" si="1071"/>
        <v>5000</v>
      </c>
      <c r="MP108" s="91">
        <f t="shared" si="1072"/>
        <v>100000</v>
      </c>
      <c r="MW108" s="98">
        <v>170</v>
      </c>
      <c r="MX108" s="98">
        <v>5100</v>
      </c>
      <c r="NE108" s="91">
        <f t="shared" si="1073"/>
        <v>170</v>
      </c>
      <c r="NF108" s="91">
        <f t="shared" si="1074"/>
        <v>5100</v>
      </c>
      <c r="NI108" s="98">
        <v>1653700</v>
      </c>
      <c r="NJ108" s="98">
        <v>29766600</v>
      </c>
      <c r="NM108" s="98">
        <v>47800</v>
      </c>
      <c r="NN108" s="98">
        <v>860400</v>
      </c>
      <c r="NQ108" s="98">
        <v>6400</v>
      </c>
      <c r="NR108" s="98">
        <v>115200</v>
      </c>
      <c r="NU108" s="91">
        <f t="shared" si="1075"/>
        <v>1707900</v>
      </c>
      <c r="NV108" s="91">
        <f t="shared" si="1076"/>
        <v>30742200</v>
      </c>
      <c r="OC108" s="98">
        <v>172</v>
      </c>
      <c r="OD108" s="98">
        <v>4816</v>
      </c>
      <c r="OK108" s="91">
        <f t="shared" si="1077"/>
        <v>172</v>
      </c>
      <c r="OL108" s="91">
        <f t="shared" si="1078"/>
        <v>4816</v>
      </c>
      <c r="OO108" s="98">
        <v>3750</v>
      </c>
      <c r="OP108" s="98">
        <v>131250</v>
      </c>
      <c r="PA108" s="91">
        <f t="shared" si="1079"/>
        <v>3750</v>
      </c>
      <c r="PB108" s="91">
        <f t="shared" si="1080"/>
        <v>131250</v>
      </c>
      <c r="PI108" s="98">
        <v>15300</v>
      </c>
      <c r="PJ108" s="98">
        <v>275400</v>
      </c>
      <c r="PQ108" s="91">
        <f t="shared" si="1081"/>
        <v>15300</v>
      </c>
      <c r="PR108" s="91">
        <f t="shared" si="1082"/>
        <v>275400</v>
      </c>
      <c r="PU108" s="98">
        <v>81950</v>
      </c>
      <c r="PV108" s="98">
        <v>1475100</v>
      </c>
      <c r="PY108" s="98">
        <v>102520</v>
      </c>
      <c r="PZ108" s="98">
        <v>1845360</v>
      </c>
      <c r="QA108" s="98">
        <v>87700</v>
      </c>
      <c r="QB108" s="98">
        <v>1578600</v>
      </c>
      <c r="QC108" s="98">
        <v>149500</v>
      </c>
      <c r="QD108" s="98">
        <v>2691000</v>
      </c>
      <c r="QG108" s="91">
        <f t="shared" si="1083"/>
        <v>421670</v>
      </c>
      <c r="QH108" s="91">
        <f t="shared" si="1084"/>
        <v>7590060</v>
      </c>
      <c r="QO108" s="98">
        <v>9000</v>
      </c>
      <c r="QP108" s="98">
        <v>162000</v>
      </c>
      <c r="QW108" s="91">
        <f t="shared" si="1085"/>
        <v>9000</v>
      </c>
      <c r="QX108" s="91">
        <f t="shared" si="1086"/>
        <v>162000</v>
      </c>
      <c r="RE108" s="98">
        <v>2505</v>
      </c>
      <c r="RF108" s="98">
        <f>RE108*27</f>
        <v>67635</v>
      </c>
      <c r="RM108" s="91">
        <f t="shared" si="1087"/>
        <v>2505</v>
      </c>
      <c r="RN108" s="91">
        <f t="shared" si="1088"/>
        <v>67635</v>
      </c>
      <c r="RU108" s="98">
        <v>6870</v>
      </c>
      <c r="RV108" s="98">
        <v>158010</v>
      </c>
      <c r="SC108" s="91">
        <f t="shared" si="1089"/>
        <v>6870</v>
      </c>
      <c r="SD108" s="91">
        <f t="shared" si="1090"/>
        <v>158010</v>
      </c>
      <c r="SS108" s="91">
        <f t="shared" si="1091"/>
        <v>0</v>
      </c>
      <c r="ST108" s="91">
        <f t="shared" si="1092"/>
        <v>0</v>
      </c>
      <c r="TA108" s="98">
        <v>3099.99</v>
      </c>
      <c r="TB108" s="98">
        <v>92999.7</v>
      </c>
      <c r="TI108" s="91">
        <f t="shared" si="1093"/>
        <v>3099.99</v>
      </c>
      <c r="TJ108" s="91">
        <f t="shared" si="1094"/>
        <v>92999.7</v>
      </c>
      <c r="TQ108" s="98">
        <v>9600</v>
      </c>
      <c r="TR108" s="98">
        <v>230400</v>
      </c>
      <c r="TU108" s="98">
        <v>800</v>
      </c>
      <c r="TV108" s="98">
        <v>24000</v>
      </c>
      <c r="TY108" s="91">
        <f t="shared" si="1095"/>
        <v>10400</v>
      </c>
      <c r="TZ108" s="91">
        <f t="shared" si="1096"/>
        <v>254400</v>
      </c>
      <c r="UG108" s="98">
        <v>460</v>
      </c>
      <c r="UH108" s="98">
        <v>10580.001</v>
      </c>
      <c r="UO108" s="91">
        <f t="shared" si="1097"/>
        <v>460</v>
      </c>
      <c r="UP108" s="91">
        <f t="shared" si="1098"/>
        <v>10580.001</v>
      </c>
      <c r="VE108" s="91">
        <f t="shared" si="1099"/>
        <v>0</v>
      </c>
      <c r="VF108" s="91">
        <f t="shared" si="1100"/>
        <v>0</v>
      </c>
      <c r="VI108" s="98">
        <v>300</v>
      </c>
      <c r="VJ108" s="98">
        <v>6900</v>
      </c>
      <c r="VM108" s="98">
        <v>795</v>
      </c>
      <c r="VN108" s="98">
        <v>19875</v>
      </c>
      <c r="VU108" s="91">
        <f t="shared" si="1101"/>
        <v>1095</v>
      </c>
      <c r="VV108" s="91">
        <f t="shared" si="1102"/>
        <v>26775</v>
      </c>
      <c r="VY108" s="98">
        <v>123498</v>
      </c>
      <c r="VZ108" s="98">
        <v>3457944</v>
      </c>
      <c r="WC108" s="98">
        <v>124117</v>
      </c>
      <c r="WD108" s="98">
        <v>3475276</v>
      </c>
      <c r="WK108" s="91">
        <f t="shared" si="1103"/>
        <v>247615</v>
      </c>
      <c r="WL108" s="91">
        <f t="shared" si="1104"/>
        <v>6933220</v>
      </c>
      <c r="WM108" s="89"/>
      <c r="WN108" s="87">
        <f t="shared" si="1105"/>
        <v>0</v>
      </c>
      <c r="WO108" s="87">
        <f t="shared" si="1106"/>
        <v>0</v>
      </c>
      <c r="WP108" s="87">
        <f t="shared" si="1107"/>
        <v>2033770.56</v>
      </c>
      <c r="WQ108" s="87">
        <f t="shared" si="1108"/>
        <v>37580747</v>
      </c>
      <c r="WR108" s="87">
        <f t="shared" si="1109"/>
        <v>0</v>
      </c>
      <c r="WS108" s="87">
        <f t="shared" si="1110"/>
        <v>0</v>
      </c>
      <c r="WT108" s="87">
        <f t="shared" si="1111"/>
        <v>3041476.5100000002</v>
      </c>
      <c r="WU108" s="87">
        <f t="shared" si="1112"/>
        <v>69347481.20580712</v>
      </c>
      <c r="WV108" s="87">
        <f t="shared" si="1113"/>
        <v>113647</v>
      </c>
      <c r="WW108" s="87">
        <f t="shared" si="1114"/>
        <v>2226160</v>
      </c>
      <c r="WX108" s="87">
        <f t="shared" si="1115"/>
        <v>158515</v>
      </c>
      <c r="WY108" s="87">
        <f t="shared" si="1116"/>
        <v>2866500</v>
      </c>
      <c r="WZ108" s="87">
        <f t="shared" si="1117"/>
        <v>610224.81000000006</v>
      </c>
      <c r="XA108" s="87">
        <f t="shared" si="1118"/>
        <v>14641902</v>
      </c>
      <c r="XB108" s="92">
        <f t="shared" si="1119"/>
        <v>5957633.8800000008</v>
      </c>
      <c r="XC108" s="92">
        <f t="shared" si="1120"/>
        <v>126662790.20580712</v>
      </c>
      <c r="XD108" s="89"/>
      <c r="XE108" s="92">
        <f t="shared" si="1125"/>
        <v>10557053.909597199</v>
      </c>
      <c r="XF108" s="92">
        <f t="shared" si="1126"/>
        <v>207644616.94746798</v>
      </c>
      <c r="XG108" s="89"/>
      <c r="XH108" s="92"/>
      <c r="XI108" s="92"/>
      <c r="XJ108" s="89"/>
      <c r="XK108" s="87"/>
      <c r="XL108" s="87"/>
      <c r="XM108" s="87"/>
      <c r="XN108" s="87"/>
      <c r="XO108" s="87"/>
      <c r="XP108" s="87"/>
      <c r="XQ108" s="87"/>
      <c r="XR108" s="92">
        <f t="shared" ca="1" si="1122"/>
        <v>0</v>
      </c>
      <c r="XS108" s="89"/>
      <c r="XT108" s="87"/>
      <c r="XU108" s="87"/>
      <c r="XV108" s="87"/>
      <c r="XW108" s="87"/>
      <c r="XX108" s="87"/>
      <c r="XY108" s="87"/>
      <c r="XZ108" s="87"/>
      <c r="YA108" s="92">
        <f t="shared" ca="1" si="1123"/>
        <v>0</v>
      </c>
      <c r="YB108" s="90"/>
      <c r="YC108" s="90"/>
      <c r="YD108" s="90"/>
      <c r="YE108" s="90"/>
      <c r="YF108" s="90"/>
      <c r="YG108" s="90"/>
      <c r="YH108" s="90"/>
      <c r="YI108" s="90"/>
      <c r="YJ108" s="90"/>
      <c r="YK108" s="90"/>
      <c r="YL108" s="90"/>
      <c r="YM108" s="90"/>
      <c r="YN108" s="90"/>
      <c r="YO108" s="90"/>
      <c r="YP108" s="90"/>
      <c r="YQ108" s="90"/>
      <c r="YR108" s="90"/>
      <c r="YS108" s="90"/>
      <c r="YT108" s="90"/>
      <c r="YU108" s="90"/>
      <c r="YV108" s="90"/>
      <c r="YW108" s="90"/>
      <c r="YX108" s="90"/>
      <c r="YY108" s="90"/>
      <c r="YZ108" s="90"/>
      <c r="ZA108" s="90"/>
      <c r="ZB108" s="90"/>
      <c r="ZC108" s="90"/>
      <c r="ZD108" s="90"/>
      <c r="ZE108" s="90"/>
      <c r="ZF108" s="90"/>
      <c r="ZG108" s="90"/>
      <c r="ZH108" s="90"/>
      <c r="ZI108" s="90"/>
      <c r="ZJ108" s="90"/>
      <c r="ZK108" s="90"/>
      <c r="ZL108" s="90"/>
      <c r="ZM108" s="90"/>
      <c r="ZN108" s="90"/>
      <c r="ZO108" s="90"/>
      <c r="ZP108" s="90"/>
      <c r="ZQ108" s="90"/>
      <c r="ZR108" s="90"/>
      <c r="ZS108" s="90"/>
      <c r="ZT108" s="90"/>
      <c r="ZU108" s="90"/>
      <c r="ZV108" s="90"/>
      <c r="ZW108" s="90"/>
      <c r="ZX108" s="90"/>
      <c r="ZY108" s="90"/>
      <c r="ZZ108" s="90"/>
      <c r="AAA108" s="90"/>
      <c r="AAB108" s="90"/>
      <c r="AAC108" s="90"/>
      <c r="AAD108" s="90"/>
      <c r="AAE108" s="90"/>
      <c r="AAF108" s="90"/>
      <c r="AAG108" s="90"/>
      <c r="AAH108" s="90"/>
      <c r="AAI108" s="90"/>
      <c r="AAJ108" s="90"/>
      <c r="AAK108" s="90"/>
      <c r="AAL108" s="90"/>
      <c r="AAM108" s="90"/>
      <c r="AAN108" s="90"/>
      <c r="AAO108" s="90"/>
      <c r="AAP108" s="90"/>
      <c r="AAQ108" s="90"/>
      <c r="AAR108" s="90"/>
      <c r="AAS108" s="90"/>
      <c r="AAT108" s="90"/>
      <c r="AAU108" s="90"/>
      <c r="AAV108" s="90"/>
      <c r="AAW108" s="90"/>
      <c r="AAX108" s="90"/>
      <c r="AAY108" s="90"/>
      <c r="AAZ108" s="90"/>
      <c r="ABA108" s="90"/>
      <c r="ABB108" s="90"/>
      <c r="ABC108" s="90"/>
      <c r="ABD108" s="90"/>
      <c r="ABE108" s="90"/>
      <c r="ABF108" s="90"/>
      <c r="ABG108" s="90"/>
      <c r="ABH108" s="90"/>
      <c r="ABI108" s="90"/>
      <c r="ABJ108" s="90"/>
      <c r="ABK108" s="90"/>
      <c r="ABL108" s="90"/>
      <c r="ABM108" s="90"/>
      <c r="ABN108" s="90"/>
      <c r="ABO108" s="90"/>
      <c r="ABP108" s="90"/>
      <c r="ABQ108" s="90"/>
      <c r="ABR108" s="90"/>
      <c r="ABS108" s="90"/>
      <c r="ABT108" s="90"/>
      <c r="ABU108" s="90"/>
      <c r="ABV108" s="90"/>
      <c r="ABW108" s="90"/>
      <c r="ABX108" s="90"/>
      <c r="ABY108" s="90"/>
      <c r="ABZ108" s="90"/>
      <c r="ACA108" s="90"/>
      <c r="ACB108" s="90"/>
      <c r="ACC108" s="90"/>
      <c r="ACD108" s="90"/>
      <c r="ACE108" s="90"/>
      <c r="ACF108" s="90"/>
      <c r="ACG108" s="90"/>
      <c r="ACH108" s="90"/>
      <c r="ACI108" s="90"/>
      <c r="ACJ108" s="90"/>
      <c r="ACK108" s="90"/>
      <c r="ACL108" s="90"/>
      <c r="ACM108" s="90"/>
      <c r="ACN108" s="90"/>
      <c r="ACO108" s="90"/>
      <c r="ACP108" s="90"/>
      <c r="ACQ108" s="90"/>
      <c r="ACR108" s="90"/>
      <c r="ACS108" s="90"/>
      <c r="ACT108" s="90"/>
      <c r="ACU108" s="90"/>
      <c r="ACV108" s="90"/>
      <c r="ACW108" s="90"/>
      <c r="ACX108" s="90"/>
      <c r="ACY108" s="90"/>
      <c r="ACZ108" s="90"/>
      <c r="ADA108" s="90"/>
      <c r="ADB108" s="90"/>
      <c r="ADC108" s="90"/>
      <c r="ADD108" s="90"/>
      <c r="ADE108" s="90"/>
      <c r="ADF108" s="90"/>
      <c r="ADG108" s="90"/>
      <c r="ADH108" s="90"/>
      <c r="ADI108" s="90"/>
      <c r="ADJ108" s="90"/>
      <c r="ADK108" s="90"/>
      <c r="ADL108" s="90"/>
      <c r="ADM108" s="90"/>
      <c r="ADN108" s="90"/>
      <c r="ADO108" s="90"/>
      <c r="ADP108" s="90"/>
      <c r="ADQ108" s="90"/>
      <c r="ADR108" s="90"/>
      <c r="ADS108" s="90"/>
      <c r="ADT108" s="90"/>
      <c r="ADU108" s="90"/>
      <c r="ADV108" s="90"/>
      <c r="ADW108" s="90"/>
      <c r="ADX108" s="90"/>
      <c r="ADY108" s="90"/>
      <c r="ADZ108" s="90"/>
      <c r="AEA108" s="90"/>
      <c r="AEB108" s="90"/>
      <c r="AEC108" s="90"/>
      <c r="AED108" s="90"/>
      <c r="AEE108" s="90"/>
      <c r="AEF108" s="90"/>
      <c r="AEG108" s="90"/>
      <c r="AEH108" s="90"/>
      <c r="AEI108" s="90"/>
      <c r="AEJ108" s="90"/>
      <c r="AEK108" s="90"/>
      <c r="AEL108" s="90"/>
      <c r="AEM108" s="90"/>
      <c r="AEN108" s="90"/>
      <c r="AEO108" s="90"/>
      <c r="AEP108" s="90"/>
      <c r="AEQ108" s="90"/>
      <c r="AER108" s="90"/>
      <c r="AES108" s="90"/>
      <c r="AET108" s="90"/>
      <c r="AEU108" s="90"/>
      <c r="AEV108" s="90"/>
      <c r="AEW108" s="90"/>
      <c r="AEX108" s="90"/>
      <c r="AEY108" s="90"/>
      <c r="AEZ108" s="90"/>
      <c r="AFA108" s="90"/>
      <c r="AFB108" s="90"/>
      <c r="AFC108" s="90"/>
      <c r="AFD108" s="90"/>
      <c r="AFE108" s="90"/>
      <c r="AFF108" s="90"/>
      <c r="AFG108" s="90"/>
      <c r="AFH108" s="90"/>
      <c r="AFI108" s="90"/>
      <c r="AFJ108" s="90"/>
      <c r="AFK108" s="90"/>
      <c r="AFL108" s="90"/>
      <c r="AFM108" s="90"/>
      <c r="AFN108" s="90"/>
      <c r="AFO108" s="90"/>
      <c r="AFP108" s="90"/>
      <c r="AFQ108" s="90"/>
      <c r="AFR108" s="90"/>
      <c r="AFS108" s="90"/>
      <c r="AFT108" s="90"/>
      <c r="AFU108" s="90"/>
      <c r="AFV108" s="90"/>
      <c r="AFW108" s="90"/>
      <c r="AFX108" s="90"/>
      <c r="AFY108" s="90"/>
      <c r="AFZ108" s="90"/>
      <c r="AGA108" s="90"/>
      <c r="AGB108" s="90"/>
      <c r="AGC108" s="90"/>
      <c r="AGD108" s="90"/>
      <c r="AGE108" s="90"/>
      <c r="AGF108" s="90"/>
      <c r="AGG108" s="90"/>
      <c r="AGH108" s="90"/>
      <c r="AGI108" s="90"/>
      <c r="AGJ108" s="90"/>
      <c r="AGK108" s="90"/>
      <c r="AGL108" s="90"/>
      <c r="AGM108" s="90"/>
      <c r="AGN108" s="90"/>
      <c r="AGO108" s="90"/>
      <c r="AGP108" s="90"/>
      <c r="AGQ108" s="90"/>
      <c r="AGR108" s="90"/>
      <c r="AGS108" s="90"/>
      <c r="AGT108" s="90"/>
      <c r="AGU108" s="90"/>
      <c r="AGV108" s="90"/>
      <c r="AGW108" s="90"/>
      <c r="AGX108" s="90"/>
      <c r="AGY108" s="90"/>
      <c r="AGZ108" s="90"/>
      <c r="AHA108" s="90"/>
      <c r="AHB108" s="90"/>
      <c r="AHC108" s="90"/>
      <c r="AHD108" s="90"/>
      <c r="AHE108" s="90"/>
      <c r="AHF108" s="90"/>
      <c r="AHG108" s="90"/>
      <c r="AHH108" s="90"/>
      <c r="AHI108" s="90"/>
      <c r="AHJ108" s="90"/>
      <c r="AHK108" s="90"/>
      <c r="AHL108" s="90"/>
      <c r="AHM108" s="90"/>
      <c r="AHN108" s="90"/>
      <c r="AHO108" s="90"/>
      <c r="AHP108" s="90"/>
      <c r="AHQ108" s="90"/>
      <c r="AHR108" s="90"/>
      <c r="AHS108" s="90"/>
      <c r="AHT108" s="90"/>
      <c r="AHU108" s="90"/>
      <c r="AHV108" s="90"/>
      <c r="AHW108" s="90"/>
      <c r="AHX108" s="90"/>
      <c r="AHY108" s="90"/>
      <c r="AHZ108" s="90"/>
      <c r="AIA108" s="90"/>
      <c r="AIB108" s="90"/>
      <c r="AIC108" s="90"/>
      <c r="AID108" s="90"/>
      <c r="AIE108" s="90"/>
      <c r="AIF108" s="90"/>
      <c r="AIG108" s="90"/>
      <c r="AIH108" s="90"/>
      <c r="AII108" s="90"/>
      <c r="AIJ108" s="90"/>
      <c r="AIK108" s="90"/>
      <c r="AIL108" s="90"/>
      <c r="AIM108" s="90"/>
      <c r="AIN108" s="90"/>
      <c r="AIO108" s="90"/>
      <c r="AIP108" s="90"/>
      <c r="AIQ108" s="90"/>
      <c r="AIR108" s="90"/>
      <c r="AIS108" s="90"/>
      <c r="AIT108" s="90"/>
      <c r="AIU108" s="90"/>
      <c r="AIV108" s="90"/>
      <c r="AIW108" s="90"/>
      <c r="AIX108" s="90"/>
      <c r="AIY108" s="90"/>
      <c r="AIZ108" s="90"/>
      <c r="AJA108" s="90"/>
      <c r="AJB108" s="90"/>
      <c r="AJC108" s="90"/>
      <c r="AJD108" s="90"/>
      <c r="AJE108" s="90"/>
      <c r="AJF108" s="90"/>
      <c r="AJG108" s="90"/>
      <c r="AJH108" s="90"/>
      <c r="AJI108" s="90"/>
      <c r="AJJ108" s="90"/>
      <c r="AJK108" s="90"/>
      <c r="AJL108" s="90"/>
      <c r="AJM108" s="90"/>
      <c r="AJN108" s="90"/>
      <c r="AJO108" s="90"/>
      <c r="AJP108" s="90"/>
      <c r="AJQ108" s="90"/>
      <c r="AJR108" s="90"/>
      <c r="AJS108" s="90"/>
      <c r="AJT108" s="90"/>
      <c r="AJU108" s="90"/>
      <c r="AJV108" s="90"/>
      <c r="AJW108" s="90"/>
      <c r="AJX108" s="90"/>
      <c r="AJY108" s="90"/>
      <c r="AJZ108" s="90"/>
      <c r="AKA108" s="90"/>
      <c r="AKB108" s="90"/>
      <c r="AKC108" s="90"/>
      <c r="AKD108" s="90"/>
      <c r="AKE108" s="90"/>
      <c r="AKF108" s="90"/>
      <c r="AKG108" s="90"/>
      <c r="AKH108" s="90"/>
      <c r="AKI108" s="90"/>
      <c r="AKJ108" s="90"/>
      <c r="AKK108" s="90"/>
      <c r="AKL108" s="90"/>
      <c r="AKM108" s="90"/>
      <c r="AKN108" s="90"/>
      <c r="AKO108" s="90"/>
      <c r="AKP108" s="90"/>
      <c r="AKQ108" s="90"/>
      <c r="AKR108" s="90"/>
      <c r="AKS108" s="90"/>
      <c r="AKT108" s="90"/>
      <c r="AKU108" s="90"/>
      <c r="AKV108" s="90"/>
      <c r="AKW108" s="90"/>
      <c r="AKX108" s="90"/>
      <c r="AKY108" s="90"/>
      <c r="AKZ108" s="90"/>
      <c r="ALA108" s="90"/>
      <c r="ALB108" s="90"/>
      <c r="ALC108" s="90"/>
      <c r="ALD108" s="90"/>
      <c r="ALE108" s="90"/>
      <c r="ALF108" s="90"/>
      <c r="ALG108" s="90"/>
      <c r="ALH108" s="90"/>
      <c r="ALI108" s="90"/>
      <c r="ALJ108" s="90"/>
      <c r="ALK108" s="90"/>
      <c r="ALL108" s="90"/>
      <c r="ALM108" s="90"/>
      <c r="ALN108" s="90"/>
      <c r="ALO108" s="90"/>
      <c r="ALP108" s="90"/>
      <c r="ALQ108" s="90"/>
      <c r="ALR108" s="90"/>
      <c r="ALS108" s="90"/>
      <c r="ALT108" s="90"/>
      <c r="ALU108" s="90"/>
      <c r="ALV108" s="90"/>
      <c r="ALW108" s="90"/>
      <c r="ALX108" s="90"/>
      <c r="ALY108" s="90"/>
      <c r="ALZ108" s="90"/>
      <c r="AMA108" s="90"/>
      <c r="AMB108" s="90"/>
      <c r="AMC108" s="90"/>
    </row>
    <row r="109" spans="1:1017">
      <c r="A109" s="98" t="s">
        <v>47</v>
      </c>
      <c r="B109" s="90" t="str">
        <f t="shared" si="1028"/>
        <v xml:space="preserve">Patin </v>
      </c>
      <c r="Q109" s="91">
        <f t="shared" si="1029"/>
        <v>0</v>
      </c>
      <c r="R109" s="91">
        <f t="shared" si="1030"/>
        <v>0</v>
      </c>
      <c r="Y109" s="778">
        <v>223810</v>
      </c>
      <c r="Z109" s="778">
        <v>4476200</v>
      </c>
      <c r="AG109" s="91">
        <f t="shared" si="1031"/>
        <v>223810</v>
      </c>
      <c r="AH109" s="91">
        <f t="shared" si="1032"/>
        <v>4476200</v>
      </c>
      <c r="AO109" s="98">
        <v>11300</v>
      </c>
      <c r="AP109" s="98">
        <v>180800</v>
      </c>
      <c r="AW109" s="91">
        <f t="shared" si="1033"/>
        <v>11300</v>
      </c>
      <c r="AX109" s="91">
        <f t="shared" si="1034"/>
        <v>180800</v>
      </c>
      <c r="BE109" s="98">
        <v>25444</v>
      </c>
      <c r="BF109" s="98">
        <v>457992</v>
      </c>
      <c r="BK109" s="98">
        <v>945</v>
      </c>
      <c r="BL109" s="98">
        <v>17010</v>
      </c>
      <c r="BM109" s="91">
        <f t="shared" si="1035"/>
        <v>26389</v>
      </c>
      <c r="BN109" s="91">
        <f t="shared" si="1036"/>
        <v>475002</v>
      </c>
      <c r="CC109" s="91">
        <f t="shared" si="1037"/>
        <v>0</v>
      </c>
      <c r="CD109" s="91">
        <f t="shared" si="1038"/>
        <v>0</v>
      </c>
      <c r="CK109" s="98">
        <v>1071</v>
      </c>
      <c r="CL109" s="98">
        <v>19274.848382018285</v>
      </c>
      <c r="CS109" s="91">
        <f t="shared" si="1039"/>
        <v>1071</v>
      </c>
      <c r="CT109" s="91">
        <f t="shared" si="1040"/>
        <v>19274.848382018285</v>
      </c>
      <c r="DI109" s="91">
        <f t="shared" si="1041"/>
        <v>0</v>
      </c>
      <c r="DJ109" s="91">
        <f t="shared" si="1042"/>
        <v>0</v>
      </c>
      <c r="DQ109" s="98">
        <v>183700</v>
      </c>
      <c r="DR109" s="98">
        <v>3306600</v>
      </c>
      <c r="DY109" s="91">
        <f t="shared" si="1043"/>
        <v>183700</v>
      </c>
      <c r="DZ109" s="91">
        <f t="shared" si="1044"/>
        <v>3306600</v>
      </c>
      <c r="EG109" s="98">
        <v>23000</v>
      </c>
      <c r="EH109" s="98">
        <v>345000</v>
      </c>
      <c r="EO109" s="91">
        <f t="shared" si="1045"/>
        <v>23000</v>
      </c>
      <c r="EP109" s="91">
        <f t="shared" si="1046"/>
        <v>345000</v>
      </c>
      <c r="ET109" s="98" t="s">
        <v>384</v>
      </c>
      <c r="EW109" s="98">
        <v>498</v>
      </c>
      <c r="EX109" s="98">
        <v>8964</v>
      </c>
      <c r="EZ109" s="98" t="s">
        <v>384</v>
      </c>
      <c r="FB109" s="98" t="s">
        <v>384</v>
      </c>
      <c r="FD109" s="98" t="s">
        <v>384</v>
      </c>
      <c r="FE109" s="91">
        <f t="shared" si="1047"/>
        <v>498</v>
      </c>
      <c r="FF109" s="91">
        <f t="shared" si="1048"/>
        <v>8964</v>
      </c>
      <c r="FM109" s="98">
        <v>920.4</v>
      </c>
      <c r="FN109" s="98">
        <v>23000</v>
      </c>
      <c r="FU109" s="91">
        <f t="shared" si="1049"/>
        <v>920.4</v>
      </c>
      <c r="FV109" s="91">
        <f t="shared" si="1050"/>
        <v>23000</v>
      </c>
      <c r="GC109" s="98">
        <v>35000</v>
      </c>
      <c r="GD109" s="98">
        <v>665000</v>
      </c>
      <c r="GK109" s="91">
        <f t="shared" si="1051"/>
        <v>35000</v>
      </c>
      <c r="GL109" s="91">
        <f t="shared" si="1052"/>
        <v>665000</v>
      </c>
      <c r="GS109" s="98">
        <v>3100</v>
      </c>
      <c r="GT109" s="98">
        <v>52700</v>
      </c>
      <c r="HA109" s="91">
        <f t="shared" si="1053"/>
        <v>3100</v>
      </c>
      <c r="HB109" s="91">
        <f t="shared" si="1054"/>
        <v>52700</v>
      </c>
      <c r="HQ109" s="91">
        <f t="shared" si="1055"/>
        <v>0</v>
      </c>
      <c r="HR109" s="91">
        <f t="shared" si="1056"/>
        <v>0</v>
      </c>
      <c r="HY109" s="98">
        <v>2000</v>
      </c>
      <c r="HZ109" s="98">
        <v>34000</v>
      </c>
      <c r="IG109" s="91">
        <f t="shared" si="1057"/>
        <v>2000</v>
      </c>
      <c r="IH109" s="91">
        <f t="shared" si="1058"/>
        <v>34000</v>
      </c>
      <c r="IO109" s="98">
        <v>7200</v>
      </c>
      <c r="IP109" s="98">
        <v>136800</v>
      </c>
      <c r="IW109" s="91">
        <f t="shared" si="1059"/>
        <v>7200</v>
      </c>
      <c r="IX109" s="91">
        <f t="shared" si="1060"/>
        <v>136800</v>
      </c>
      <c r="JE109" s="98">
        <v>14900</v>
      </c>
      <c r="JF109" s="98">
        <v>268200</v>
      </c>
      <c r="JK109" s="98">
        <v>6303</v>
      </c>
      <c r="JL109" s="98">
        <v>113454</v>
      </c>
      <c r="JM109" s="91">
        <f t="shared" si="1061"/>
        <v>21203</v>
      </c>
      <c r="JN109" s="91">
        <f t="shared" si="1062"/>
        <v>381654</v>
      </c>
      <c r="KC109" s="91">
        <f t="shared" si="1063"/>
        <v>0</v>
      </c>
      <c r="KD109" s="91">
        <f t="shared" si="1064"/>
        <v>0</v>
      </c>
      <c r="KS109" s="91">
        <f t="shared" si="1065"/>
        <v>0</v>
      </c>
      <c r="KT109" s="91">
        <f t="shared" si="1066"/>
        <v>0</v>
      </c>
      <c r="LI109" s="91">
        <f t="shared" si="1067"/>
        <v>0</v>
      </c>
      <c r="LJ109" s="91">
        <f t="shared" si="1068"/>
        <v>0</v>
      </c>
      <c r="LQ109" s="98">
        <v>1890</v>
      </c>
      <c r="LR109" s="98">
        <v>35910</v>
      </c>
      <c r="LY109" s="91">
        <f t="shared" si="1069"/>
        <v>1890</v>
      </c>
      <c r="LZ109" s="91">
        <f t="shared" si="1070"/>
        <v>35910</v>
      </c>
      <c r="MO109" s="91">
        <f t="shared" si="1071"/>
        <v>0</v>
      </c>
      <c r="MP109" s="91">
        <f t="shared" si="1072"/>
        <v>0</v>
      </c>
      <c r="NE109" s="91">
        <f t="shared" si="1073"/>
        <v>0</v>
      </c>
      <c r="NF109" s="91">
        <f t="shared" si="1074"/>
        <v>0</v>
      </c>
      <c r="NM109" s="98">
        <v>21600</v>
      </c>
      <c r="NN109" s="98">
        <v>388800</v>
      </c>
      <c r="NQ109" s="98">
        <v>19000</v>
      </c>
      <c r="NR109" s="98">
        <v>342000</v>
      </c>
      <c r="NU109" s="91">
        <f t="shared" si="1075"/>
        <v>40600</v>
      </c>
      <c r="NV109" s="91">
        <f t="shared" si="1076"/>
        <v>730800</v>
      </c>
      <c r="OK109" s="91">
        <f t="shared" si="1077"/>
        <v>0</v>
      </c>
      <c r="OL109" s="91">
        <f t="shared" si="1078"/>
        <v>0</v>
      </c>
      <c r="PA109" s="91">
        <f t="shared" si="1079"/>
        <v>0</v>
      </c>
      <c r="PB109" s="91">
        <f t="shared" si="1080"/>
        <v>0</v>
      </c>
      <c r="PI109" s="98">
        <v>38320</v>
      </c>
      <c r="PJ109" s="98">
        <v>555647</v>
      </c>
      <c r="PQ109" s="91">
        <f t="shared" si="1081"/>
        <v>38320</v>
      </c>
      <c r="PR109" s="91">
        <f t="shared" si="1082"/>
        <v>555647</v>
      </c>
      <c r="PY109" s="98">
        <v>32580</v>
      </c>
      <c r="PZ109" s="98">
        <v>488700</v>
      </c>
      <c r="QC109" s="98">
        <v>64210</v>
      </c>
      <c r="QD109" s="98">
        <v>1091570</v>
      </c>
      <c r="QG109" s="91">
        <f t="shared" si="1083"/>
        <v>96790</v>
      </c>
      <c r="QH109" s="91">
        <f t="shared" si="1084"/>
        <v>1580270</v>
      </c>
      <c r="QO109" s="98">
        <v>1500000</v>
      </c>
      <c r="QP109" s="98">
        <v>22500000</v>
      </c>
      <c r="QW109" s="91">
        <f t="shared" si="1085"/>
        <v>1500000</v>
      </c>
      <c r="QX109" s="91">
        <f t="shared" si="1086"/>
        <v>22500000</v>
      </c>
      <c r="RM109" s="91">
        <f t="shared" si="1087"/>
        <v>0</v>
      </c>
      <c r="RN109" s="91">
        <f t="shared" si="1088"/>
        <v>0</v>
      </c>
      <c r="RU109" s="98">
        <v>1430</v>
      </c>
      <c r="RV109" s="98">
        <v>22880</v>
      </c>
      <c r="SC109" s="91">
        <f t="shared" si="1089"/>
        <v>1430</v>
      </c>
      <c r="SD109" s="91">
        <f t="shared" si="1090"/>
        <v>22880</v>
      </c>
      <c r="SS109" s="91">
        <f t="shared" si="1091"/>
        <v>0</v>
      </c>
      <c r="ST109" s="91">
        <f t="shared" si="1092"/>
        <v>0</v>
      </c>
      <c r="TI109" s="91">
        <f t="shared" si="1093"/>
        <v>0</v>
      </c>
      <c r="TJ109" s="91">
        <f t="shared" si="1094"/>
        <v>0</v>
      </c>
      <c r="TY109" s="91">
        <f t="shared" si="1095"/>
        <v>0</v>
      </c>
      <c r="TZ109" s="91">
        <f t="shared" si="1096"/>
        <v>0</v>
      </c>
      <c r="UG109" s="98">
        <v>220</v>
      </c>
      <c r="UH109" s="98">
        <v>4400.0010000000002</v>
      </c>
      <c r="UO109" s="91">
        <f t="shared" si="1097"/>
        <v>220</v>
      </c>
      <c r="UP109" s="91">
        <f t="shared" si="1098"/>
        <v>4400.0010000000002</v>
      </c>
      <c r="UW109" s="98">
        <v>30</v>
      </c>
      <c r="UX109" s="98">
        <v>660</v>
      </c>
      <c r="VE109" s="91">
        <f t="shared" si="1099"/>
        <v>30</v>
      </c>
      <c r="VF109" s="91">
        <f t="shared" si="1100"/>
        <v>660</v>
      </c>
      <c r="VU109" s="91">
        <f t="shared" si="1101"/>
        <v>0</v>
      </c>
      <c r="VV109" s="91">
        <f t="shared" si="1102"/>
        <v>0</v>
      </c>
      <c r="WC109" s="98">
        <v>207</v>
      </c>
      <c r="WD109" s="98">
        <v>4347</v>
      </c>
      <c r="WK109" s="91">
        <f t="shared" si="1103"/>
        <v>207</v>
      </c>
      <c r="WL109" s="91">
        <f t="shared" si="1104"/>
        <v>4347</v>
      </c>
      <c r="WM109" s="89"/>
      <c r="WN109" s="87">
        <f t="shared" si="1105"/>
        <v>0</v>
      </c>
      <c r="WO109" s="87">
        <f t="shared" si="1106"/>
        <v>0</v>
      </c>
      <c r="WP109" s="87">
        <f t="shared" si="1107"/>
        <v>0</v>
      </c>
      <c r="WQ109" s="87">
        <f t="shared" si="1108"/>
        <v>0</v>
      </c>
      <c r="WR109" s="87">
        <f t="shared" si="1109"/>
        <v>0</v>
      </c>
      <c r="WS109" s="87">
        <f t="shared" si="1110"/>
        <v>0</v>
      </c>
      <c r="WT109" s="87">
        <f t="shared" si="1111"/>
        <v>2128220.4</v>
      </c>
      <c r="WU109" s="87">
        <f t="shared" si="1112"/>
        <v>33975874.849382021</v>
      </c>
      <c r="WV109" s="87">
        <f t="shared" si="1113"/>
        <v>0</v>
      </c>
      <c r="WW109" s="87">
        <f t="shared" si="1114"/>
        <v>0</v>
      </c>
      <c r="WX109" s="87">
        <f t="shared" si="1115"/>
        <v>83210</v>
      </c>
      <c r="WY109" s="87">
        <f t="shared" si="1116"/>
        <v>1433570</v>
      </c>
      <c r="WZ109" s="87">
        <f t="shared" si="1117"/>
        <v>7248</v>
      </c>
      <c r="XA109" s="87">
        <f t="shared" si="1118"/>
        <v>130464</v>
      </c>
      <c r="XB109" s="92">
        <f t="shared" si="1119"/>
        <v>2218678.4</v>
      </c>
      <c r="XC109" s="92">
        <f t="shared" si="1120"/>
        <v>35539908.849382021</v>
      </c>
      <c r="XD109" s="89"/>
      <c r="XE109" s="92">
        <f t="shared" si="1125"/>
        <v>7457226.8199999994</v>
      </c>
      <c r="XF109" s="92">
        <f t="shared" si="1126"/>
        <v>124892220</v>
      </c>
      <c r="XG109" s="89"/>
      <c r="XH109" s="92"/>
      <c r="XI109" s="92"/>
      <c r="XJ109" s="89"/>
      <c r="XK109" s="87"/>
      <c r="XL109" s="87"/>
      <c r="XM109" s="87"/>
      <c r="XN109" s="87"/>
      <c r="XO109" s="87"/>
      <c r="XP109" s="87"/>
      <c r="XQ109" s="87"/>
      <c r="XR109" s="92">
        <f t="shared" ca="1" si="1122"/>
        <v>0</v>
      </c>
      <c r="XS109" s="89"/>
      <c r="XT109" s="87"/>
      <c r="XU109" s="87"/>
      <c r="XV109" s="87"/>
      <c r="XW109" s="87"/>
      <c r="XX109" s="87"/>
      <c r="XY109" s="87"/>
      <c r="XZ109" s="87"/>
      <c r="YA109" s="92">
        <f t="shared" ca="1" si="1123"/>
        <v>0</v>
      </c>
      <c r="YB109" s="90"/>
      <c r="YC109" s="90"/>
      <c r="YD109" s="90"/>
      <c r="YE109" s="90"/>
      <c r="YF109" s="90"/>
      <c r="YG109" s="90"/>
      <c r="YH109" s="90"/>
      <c r="YI109" s="90"/>
      <c r="YJ109" s="90"/>
      <c r="YK109" s="90"/>
      <c r="YL109" s="90"/>
      <c r="YM109" s="90"/>
      <c r="YN109" s="90"/>
      <c r="YO109" s="90"/>
      <c r="YP109" s="90"/>
      <c r="YQ109" s="90"/>
      <c r="YR109" s="90"/>
      <c r="YS109" s="90"/>
      <c r="YT109" s="90"/>
      <c r="YU109" s="90"/>
      <c r="YV109" s="90"/>
      <c r="YW109" s="90"/>
      <c r="YX109" s="90"/>
      <c r="YY109" s="90"/>
      <c r="YZ109" s="90"/>
      <c r="ZA109" s="90"/>
      <c r="ZB109" s="90"/>
      <c r="ZC109" s="90"/>
      <c r="ZD109" s="90"/>
      <c r="ZE109" s="90"/>
      <c r="ZF109" s="90"/>
      <c r="ZG109" s="90"/>
      <c r="ZH109" s="90"/>
      <c r="ZI109" s="90"/>
      <c r="ZJ109" s="90"/>
      <c r="ZK109" s="90"/>
      <c r="ZL109" s="90"/>
      <c r="ZM109" s="90"/>
      <c r="ZN109" s="90"/>
      <c r="ZO109" s="90"/>
      <c r="ZP109" s="90"/>
      <c r="ZQ109" s="90"/>
      <c r="ZR109" s="90"/>
      <c r="ZS109" s="90"/>
      <c r="ZT109" s="90"/>
      <c r="ZU109" s="90"/>
      <c r="ZV109" s="90"/>
      <c r="ZW109" s="90"/>
      <c r="ZX109" s="90"/>
      <c r="ZY109" s="90"/>
      <c r="ZZ109" s="90"/>
      <c r="AAA109" s="90"/>
      <c r="AAB109" s="90"/>
      <c r="AAC109" s="90"/>
      <c r="AAD109" s="90"/>
      <c r="AAE109" s="90"/>
      <c r="AAF109" s="90"/>
      <c r="AAG109" s="90"/>
      <c r="AAH109" s="90"/>
      <c r="AAI109" s="90"/>
      <c r="AAJ109" s="90"/>
      <c r="AAK109" s="90"/>
      <c r="AAL109" s="90"/>
      <c r="AAM109" s="90"/>
      <c r="AAN109" s="90"/>
      <c r="AAO109" s="90"/>
      <c r="AAP109" s="90"/>
      <c r="AAQ109" s="90"/>
      <c r="AAR109" s="90"/>
      <c r="AAS109" s="90"/>
      <c r="AAT109" s="90"/>
      <c r="AAU109" s="90"/>
      <c r="AAV109" s="90"/>
      <c r="AAW109" s="90"/>
      <c r="AAX109" s="90"/>
      <c r="AAY109" s="90"/>
      <c r="AAZ109" s="90"/>
      <c r="ABA109" s="90"/>
      <c r="ABB109" s="90"/>
      <c r="ABC109" s="90"/>
      <c r="ABD109" s="90"/>
      <c r="ABE109" s="90"/>
      <c r="ABF109" s="90"/>
      <c r="ABG109" s="90"/>
      <c r="ABH109" s="90"/>
      <c r="ABI109" s="90"/>
      <c r="ABJ109" s="90"/>
      <c r="ABK109" s="90"/>
      <c r="ABL109" s="90"/>
      <c r="ABM109" s="90"/>
      <c r="ABN109" s="90"/>
      <c r="ABO109" s="90"/>
      <c r="ABP109" s="90"/>
      <c r="ABQ109" s="90"/>
      <c r="ABR109" s="90"/>
      <c r="ABS109" s="90"/>
      <c r="ABT109" s="90"/>
      <c r="ABU109" s="90"/>
      <c r="ABV109" s="90"/>
      <c r="ABW109" s="90"/>
      <c r="ABX109" s="90"/>
      <c r="ABY109" s="90"/>
      <c r="ABZ109" s="90"/>
      <c r="ACA109" s="90"/>
      <c r="ACB109" s="90"/>
      <c r="ACC109" s="90"/>
      <c r="ACD109" s="90"/>
      <c r="ACE109" s="90"/>
      <c r="ACF109" s="90"/>
      <c r="ACG109" s="90"/>
      <c r="ACH109" s="90"/>
      <c r="ACI109" s="90"/>
      <c r="ACJ109" s="90"/>
      <c r="ACK109" s="90"/>
      <c r="ACL109" s="90"/>
      <c r="ACM109" s="90"/>
      <c r="ACN109" s="90"/>
      <c r="ACO109" s="90"/>
      <c r="ACP109" s="90"/>
      <c r="ACQ109" s="90"/>
      <c r="ACR109" s="90"/>
      <c r="ACS109" s="90"/>
      <c r="ACT109" s="90"/>
      <c r="ACU109" s="90"/>
      <c r="ACV109" s="90"/>
      <c r="ACW109" s="90"/>
      <c r="ACX109" s="90"/>
      <c r="ACY109" s="90"/>
      <c r="ACZ109" s="90"/>
      <c r="ADA109" s="90"/>
      <c r="ADB109" s="90"/>
      <c r="ADC109" s="90"/>
      <c r="ADD109" s="90"/>
      <c r="ADE109" s="90"/>
      <c r="ADF109" s="90"/>
      <c r="ADG109" s="90"/>
      <c r="ADH109" s="90"/>
      <c r="ADI109" s="90"/>
      <c r="ADJ109" s="90"/>
      <c r="ADK109" s="90"/>
      <c r="ADL109" s="90"/>
      <c r="ADM109" s="90"/>
      <c r="ADN109" s="90"/>
      <c r="ADO109" s="90"/>
      <c r="ADP109" s="90"/>
      <c r="ADQ109" s="90"/>
      <c r="ADR109" s="90"/>
      <c r="ADS109" s="90"/>
      <c r="ADT109" s="90"/>
      <c r="ADU109" s="90"/>
      <c r="ADV109" s="90"/>
      <c r="ADW109" s="90"/>
      <c r="ADX109" s="90"/>
      <c r="ADY109" s="90"/>
      <c r="ADZ109" s="90"/>
      <c r="AEA109" s="90"/>
      <c r="AEB109" s="90"/>
      <c r="AEC109" s="90"/>
      <c r="AED109" s="90"/>
      <c r="AEE109" s="90"/>
      <c r="AEF109" s="90"/>
      <c r="AEG109" s="90"/>
      <c r="AEH109" s="90"/>
      <c r="AEI109" s="90"/>
      <c r="AEJ109" s="90"/>
      <c r="AEK109" s="90"/>
      <c r="AEL109" s="90"/>
      <c r="AEM109" s="90"/>
      <c r="AEN109" s="90"/>
      <c r="AEO109" s="90"/>
      <c r="AEP109" s="90"/>
      <c r="AEQ109" s="90"/>
      <c r="AER109" s="90"/>
      <c r="AES109" s="90"/>
      <c r="AET109" s="90"/>
      <c r="AEU109" s="90"/>
      <c r="AEV109" s="90"/>
      <c r="AEW109" s="90"/>
      <c r="AEX109" s="90"/>
      <c r="AEY109" s="90"/>
      <c r="AEZ109" s="90"/>
      <c r="AFA109" s="90"/>
      <c r="AFB109" s="90"/>
      <c r="AFC109" s="90"/>
      <c r="AFD109" s="90"/>
      <c r="AFE109" s="90"/>
      <c r="AFF109" s="90"/>
      <c r="AFG109" s="90"/>
      <c r="AFH109" s="90"/>
      <c r="AFI109" s="90"/>
      <c r="AFJ109" s="90"/>
      <c r="AFK109" s="90"/>
      <c r="AFL109" s="90"/>
      <c r="AFM109" s="90"/>
      <c r="AFN109" s="90"/>
      <c r="AFO109" s="90"/>
      <c r="AFP109" s="90"/>
      <c r="AFQ109" s="90"/>
      <c r="AFR109" s="90"/>
      <c r="AFS109" s="90"/>
      <c r="AFT109" s="90"/>
      <c r="AFU109" s="90"/>
      <c r="AFV109" s="90"/>
      <c r="AFW109" s="90"/>
      <c r="AFX109" s="90"/>
      <c r="AFY109" s="90"/>
      <c r="AFZ109" s="90"/>
      <c r="AGA109" s="90"/>
      <c r="AGB109" s="90"/>
      <c r="AGC109" s="90"/>
      <c r="AGD109" s="90"/>
      <c r="AGE109" s="90"/>
      <c r="AGF109" s="90"/>
      <c r="AGG109" s="90"/>
      <c r="AGH109" s="90"/>
      <c r="AGI109" s="90"/>
      <c r="AGJ109" s="90"/>
      <c r="AGK109" s="90"/>
      <c r="AGL109" s="90"/>
      <c r="AGM109" s="90"/>
      <c r="AGN109" s="90"/>
      <c r="AGO109" s="90"/>
      <c r="AGP109" s="90"/>
      <c r="AGQ109" s="90"/>
      <c r="AGR109" s="90"/>
      <c r="AGS109" s="90"/>
      <c r="AGT109" s="90"/>
      <c r="AGU109" s="90"/>
      <c r="AGV109" s="90"/>
      <c r="AGW109" s="90"/>
      <c r="AGX109" s="90"/>
      <c r="AGY109" s="90"/>
      <c r="AGZ109" s="90"/>
      <c r="AHA109" s="90"/>
      <c r="AHB109" s="90"/>
      <c r="AHC109" s="90"/>
      <c r="AHD109" s="90"/>
      <c r="AHE109" s="90"/>
      <c r="AHF109" s="90"/>
      <c r="AHG109" s="90"/>
      <c r="AHH109" s="90"/>
      <c r="AHI109" s="90"/>
      <c r="AHJ109" s="90"/>
      <c r="AHK109" s="90"/>
      <c r="AHL109" s="90"/>
      <c r="AHM109" s="90"/>
      <c r="AHN109" s="90"/>
      <c r="AHO109" s="90"/>
      <c r="AHP109" s="90"/>
      <c r="AHQ109" s="90"/>
      <c r="AHR109" s="90"/>
      <c r="AHS109" s="90"/>
      <c r="AHT109" s="90"/>
      <c r="AHU109" s="90"/>
      <c r="AHV109" s="90"/>
      <c r="AHW109" s="90"/>
      <c r="AHX109" s="90"/>
      <c r="AHY109" s="90"/>
      <c r="AHZ109" s="90"/>
      <c r="AIA109" s="90"/>
      <c r="AIB109" s="90"/>
      <c r="AIC109" s="90"/>
      <c r="AID109" s="90"/>
      <c r="AIE109" s="90"/>
      <c r="AIF109" s="90"/>
      <c r="AIG109" s="90"/>
      <c r="AIH109" s="90"/>
      <c r="AII109" s="90"/>
      <c r="AIJ109" s="90"/>
      <c r="AIK109" s="90"/>
      <c r="AIL109" s="90"/>
      <c r="AIM109" s="90"/>
      <c r="AIN109" s="90"/>
      <c r="AIO109" s="90"/>
      <c r="AIP109" s="90"/>
      <c r="AIQ109" s="90"/>
      <c r="AIR109" s="90"/>
      <c r="AIS109" s="90"/>
      <c r="AIT109" s="90"/>
      <c r="AIU109" s="90"/>
      <c r="AIV109" s="90"/>
      <c r="AIW109" s="90"/>
      <c r="AIX109" s="90"/>
      <c r="AIY109" s="90"/>
      <c r="AIZ109" s="90"/>
      <c r="AJA109" s="90"/>
      <c r="AJB109" s="90"/>
      <c r="AJC109" s="90"/>
      <c r="AJD109" s="90"/>
      <c r="AJE109" s="90"/>
      <c r="AJF109" s="90"/>
      <c r="AJG109" s="90"/>
      <c r="AJH109" s="90"/>
      <c r="AJI109" s="90"/>
      <c r="AJJ109" s="90"/>
      <c r="AJK109" s="90"/>
      <c r="AJL109" s="90"/>
      <c r="AJM109" s="90"/>
      <c r="AJN109" s="90"/>
      <c r="AJO109" s="90"/>
      <c r="AJP109" s="90"/>
      <c r="AJQ109" s="90"/>
      <c r="AJR109" s="90"/>
      <c r="AJS109" s="90"/>
      <c r="AJT109" s="90"/>
      <c r="AJU109" s="90"/>
      <c r="AJV109" s="90"/>
      <c r="AJW109" s="90"/>
      <c r="AJX109" s="90"/>
      <c r="AJY109" s="90"/>
      <c r="AJZ109" s="90"/>
      <c r="AKA109" s="90"/>
      <c r="AKB109" s="90"/>
      <c r="AKC109" s="90"/>
      <c r="AKD109" s="90"/>
      <c r="AKE109" s="90"/>
      <c r="AKF109" s="90"/>
      <c r="AKG109" s="90"/>
      <c r="AKH109" s="90"/>
      <c r="AKI109" s="90"/>
      <c r="AKJ109" s="90"/>
      <c r="AKK109" s="90"/>
      <c r="AKL109" s="90"/>
      <c r="AKM109" s="90"/>
      <c r="AKN109" s="90"/>
      <c r="AKO109" s="90"/>
      <c r="AKP109" s="90"/>
      <c r="AKQ109" s="90"/>
      <c r="AKR109" s="90"/>
      <c r="AKS109" s="90"/>
      <c r="AKT109" s="90"/>
      <c r="AKU109" s="90"/>
      <c r="AKV109" s="90"/>
      <c r="AKW109" s="90"/>
      <c r="AKX109" s="90"/>
      <c r="AKY109" s="90"/>
      <c r="AKZ109" s="90"/>
      <c r="ALA109" s="90"/>
      <c r="ALB109" s="90"/>
      <c r="ALC109" s="90"/>
      <c r="ALD109" s="90"/>
      <c r="ALE109" s="90"/>
      <c r="ALF109" s="90"/>
      <c r="ALG109" s="90"/>
      <c r="ALH109" s="90"/>
      <c r="ALI109" s="90"/>
      <c r="ALJ109" s="90"/>
      <c r="ALK109" s="90"/>
      <c r="ALL109" s="90"/>
      <c r="ALM109" s="90"/>
      <c r="ALN109" s="90"/>
      <c r="ALO109" s="90"/>
      <c r="ALP109" s="90"/>
      <c r="ALQ109" s="90"/>
      <c r="ALR109" s="90"/>
      <c r="ALS109" s="90"/>
      <c r="ALT109" s="90"/>
      <c r="ALU109" s="90"/>
      <c r="ALV109" s="90"/>
      <c r="ALW109" s="90"/>
      <c r="ALX109" s="90"/>
      <c r="ALY109" s="90"/>
      <c r="ALZ109" s="90"/>
      <c r="AMA109" s="90"/>
      <c r="AMB109" s="90"/>
      <c r="AMC109" s="90"/>
    </row>
    <row r="110" spans="1:1017">
      <c r="A110" s="98" t="s">
        <v>47</v>
      </c>
      <c r="B110" s="90" t="str">
        <f t="shared" si="1028"/>
        <v xml:space="preserve">Rajungan </v>
      </c>
      <c r="Q110" s="91">
        <f t="shared" si="1029"/>
        <v>0</v>
      </c>
      <c r="R110" s="91">
        <f t="shared" si="1030"/>
        <v>0</v>
      </c>
      <c r="AG110" s="91">
        <f t="shared" si="1031"/>
        <v>0</v>
      </c>
      <c r="AH110" s="91">
        <f t="shared" si="1032"/>
        <v>0</v>
      </c>
      <c r="AW110" s="91">
        <f t="shared" si="1033"/>
        <v>0</v>
      </c>
      <c r="AX110" s="91">
        <f t="shared" si="1034"/>
        <v>0</v>
      </c>
      <c r="BM110" s="91">
        <f t="shared" si="1035"/>
        <v>0</v>
      </c>
      <c r="BN110" s="91">
        <f t="shared" si="1036"/>
        <v>0</v>
      </c>
      <c r="CC110" s="91">
        <f t="shared" si="1037"/>
        <v>0</v>
      </c>
      <c r="CD110" s="91">
        <f t="shared" si="1038"/>
        <v>0</v>
      </c>
      <c r="CS110" s="91">
        <f t="shared" si="1039"/>
        <v>0</v>
      </c>
      <c r="CT110" s="91">
        <f t="shared" si="1040"/>
        <v>0</v>
      </c>
      <c r="DI110" s="91">
        <f t="shared" si="1041"/>
        <v>0</v>
      </c>
      <c r="DJ110" s="91">
        <f t="shared" si="1042"/>
        <v>0</v>
      </c>
      <c r="DY110" s="91">
        <f t="shared" si="1043"/>
        <v>0</v>
      </c>
      <c r="DZ110" s="91">
        <f t="shared" si="1044"/>
        <v>0</v>
      </c>
      <c r="EO110" s="91">
        <f t="shared" si="1045"/>
        <v>0</v>
      </c>
      <c r="EP110" s="91">
        <f t="shared" si="1046"/>
        <v>0</v>
      </c>
      <c r="FE110" s="91">
        <f t="shared" si="1047"/>
        <v>0</v>
      </c>
      <c r="FF110" s="91">
        <f t="shared" si="1048"/>
        <v>0</v>
      </c>
      <c r="FU110" s="91">
        <f t="shared" si="1049"/>
        <v>0</v>
      </c>
      <c r="FV110" s="91">
        <f t="shared" si="1050"/>
        <v>0</v>
      </c>
      <c r="GK110" s="91">
        <f t="shared" si="1051"/>
        <v>0</v>
      </c>
      <c r="GL110" s="91">
        <f t="shared" si="1052"/>
        <v>0</v>
      </c>
      <c r="HA110" s="91">
        <f t="shared" si="1053"/>
        <v>0</v>
      </c>
      <c r="HB110" s="91">
        <f t="shared" si="1054"/>
        <v>0</v>
      </c>
      <c r="HQ110" s="91">
        <f t="shared" si="1055"/>
        <v>0</v>
      </c>
      <c r="HR110" s="91">
        <f t="shared" si="1056"/>
        <v>0</v>
      </c>
      <c r="IG110" s="91">
        <f t="shared" si="1057"/>
        <v>0</v>
      </c>
      <c r="IH110" s="91">
        <f t="shared" si="1058"/>
        <v>0</v>
      </c>
      <c r="IW110" s="91">
        <f t="shared" si="1059"/>
        <v>0</v>
      </c>
      <c r="IX110" s="91">
        <f t="shared" si="1060"/>
        <v>0</v>
      </c>
      <c r="JM110" s="91">
        <f t="shared" si="1061"/>
        <v>0</v>
      </c>
      <c r="JN110" s="91">
        <f t="shared" si="1062"/>
        <v>0</v>
      </c>
      <c r="KC110" s="91">
        <f t="shared" si="1063"/>
        <v>0</v>
      </c>
      <c r="KD110" s="91">
        <f t="shared" si="1064"/>
        <v>0</v>
      </c>
      <c r="KS110" s="91">
        <f t="shared" si="1065"/>
        <v>0</v>
      </c>
      <c r="KT110" s="91">
        <f t="shared" si="1066"/>
        <v>0</v>
      </c>
      <c r="LI110" s="91">
        <f t="shared" si="1067"/>
        <v>0</v>
      </c>
      <c r="LJ110" s="91">
        <f t="shared" si="1068"/>
        <v>0</v>
      </c>
      <c r="LY110" s="91">
        <f t="shared" si="1069"/>
        <v>0</v>
      </c>
      <c r="LZ110" s="91">
        <f t="shared" si="1070"/>
        <v>0</v>
      </c>
      <c r="MO110" s="91">
        <f t="shared" si="1071"/>
        <v>0</v>
      </c>
      <c r="MP110" s="91">
        <f t="shared" si="1072"/>
        <v>0</v>
      </c>
      <c r="NE110" s="91">
        <f t="shared" si="1073"/>
        <v>0</v>
      </c>
      <c r="NF110" s="91">
        <f t="shared" si="1074"/>
        <v>0</v>
      </c>
      <c r="NU110" s="91">
        <f t="shared" si="1075"/>
        <v>0</v>
      </c>
      <c r="NV110" s="91">
        <f t="shared" si="1076"/>
        <v>0</v>
      </c>
      <c r="OK110" s="91">
        <f t="shared" si="1077"/>
        <v>0</v>
      </c>
      <c r="OL110" s="91">
        <f t="shared" si="1078"/>
        <v>0</v>
      </c>
      <c r="PA110" s="91">
        <f t="shared" si="1079"/>
        <v>0</v>
      </c>
      <c r="PB110" s="91">
        <f t="shared" si="1080"/>
        <v>0</v>
      </c>
      <c r="PQ110" s="91">
        <f t="shared" si="1081"/>
        <v>0</v>
      </c>
      <c r="PR110" s="91">
        <f t="shared" si="1082"/>
        <v>0</v>
      </c>
      <c r="QG110" s="91">
        <f t="shared" si="1083"/>
        <v>0</v>
      </c>
      <c r="QH110" s="91">
        <f t="shared" si="1084"/>
        <v>0</v>
      </c>
      <c r="QW110" s="91">
        <f t="shared" si="1085"/>
        <v>0</v>
      </c>
      <c r="QX110" s="91">
        <f t="shared" si="1086"/>
        <v>0</v>
      </c>
      <c r="RM110" s="91">
        <f t="shared" si="1087"/>
        <v>0</v>
      </c>
      <c r="RN110" s="91">
        <f t="shared" si="1088"/>
        <v>0</v>
      </c>
      <c r="SC110" s="91">
        <f t="shared" si="1089"/>
        <v>0</v>
      </c>
      <c r="SD110" s="91">
        <f t="shared" si="1090"/>
        <v>0</v>
      </c>
      <c r="SS110" s="91">
        <f t="shared" si="1091"/>
        <v>0</v>
      </c>
      <c r="ST110" s="91">
        <f t="shared" si="1092"/>
        <v>0</v>
      </c>
      <c r="TI110" s="91">
        <f t="shared" si="1093"/>
        <v>0</v>
      </c>
      <c r="TJ110" s="91">
        <f t="shared" si="1094"/>
        <v>0</v>
      </c>
      <c r="TY110" s="91">
        <f t="shared" si="1095"/>
        <v>0</v>
      </c>
      <c r="TZ110" s="91">
        <f t="shared" si="1096"/>
        <v>0</v>
      </c>
      <c r="UO110" s="91">
        <f t="shared" si="1097"/>
        <v>0</v>
      </c>
      <c r="UP110" s="91">
        <f t="shared" si="1098"/>
        <v>0</v>
      </c>
      <c r="VE110" s="91">
        <f t="shared" si="1099"/>
        <v>0</v>
      </c>
      <c r="VF110" s="91">
        <f t="shared" si="1100"/>
        <v>0</v>
      </c>
      <c r="VU110" s="91">
        <f t="shared" si="1101"/>
        <v>0</v>
      </c>
      <c r="VV110" s="91">
        <f t="shared" si="1102"/>
        <v>0</v>
      </c>
      <c r="WK110" s="91">
        <f t="shared" si="1103"/>
        <v>0</v>
      </c>
      <c r="WL110" s="91">
        <f t="shared" si="1104"/>
        <v>0</v>
      </c>
      <c r="WM110" s="89"/>
      <c r="WN110" s="87">
        <f t="shared" si="1105"/>
        <v>0</v>
      </c>
      <c r="WO110" s="87">
        <f t="shared" si="1106"/>
        <v>0</v>
      </c>
      <c r="WP110" s="87">
        <f t="shared" si="1107"/>
        <v>0</v>
      </c>
      <c r="WQ110" s="87">
        <f t="shared" si="1108"/>
        <v>0</v>
      </c>
      <c r="WR110" s="87">
        <f t="shared" si="1109"/>
        <v>0</v>
      </c>
      <c r="WS110" s="87">
        <f t="shared" si="1110"/>
        <v>0</v>
      </c>
      <c r="WT110" s="87">
        <f t="shared" si="1111"/>
        <v>0</v>
      </c>
      <c r="WU110" s="87">
        <f t="shared" si="1112"/>
        <v>0</v>
      </c>
      <c r="WV110" s="87">
        <f t="shared" si="1113"/>
        <v>0</v>
      </c>
      <c r="WW110" s="87">
        <f t="shared" si="1114"/>
        <v>0</v>
      </c>
      <c r="WX110" s="87">
        <f t="shared" si="1115"/>
        <v>0</v>
      </c>
      <c r="WY110" s="87">
        <f t="shared" si="1116"/>
        <v>0</v>
      </c>
      <c r="WZ110" s="87">
        <f t="shared" si="1117"/>
        <v>0</v>
      </c>
      <c r="XA110" s="87">
        <f t="shared" si="1118"/>
        <v>0</v>
      </c>
      <c r="XB110" s="92">
        <f t="shared" si="1119"/>
        <v>0</v>
      </c>
      <c r="XC110" s="92">
        <f t="shared" si="1120"/>
        <v>0</v>
      </c>
      <c r="XD110" s="89"/>
      <c r="XE110" s="92">
        <f t="shared" si="1125"/>
        <v>0</v>
      </c>
      <c r="XF110" s="92">
        <f t="shared" si="1126"/>
        <v>0</v>
      </c>
      <c r="XG110" s="89"/>
      <c r="XH110" s="92"/>
      <c r="XI110" s="92"/>
      <c r="XJ110" s="89"/>
      <c r="XK110" s="87"/>
      <c r="XL110" s="87"/>
      <c r="XM110" s="87"/>
      <c r="XN110" s="87"/>
      <c r="XO110" s="87"/>
      <c r="XP110" s="87"/>
      <c r="XQ110" s="87"/>
      <c r="XR110" s="92">
        <f t="shared" ca="1" si="1122"/>
        <v>0</v>
      </c>
      <c r="XS110" s="89"/>
      <c r="XT110" s="87"/>
      <c r="XU110" s="87"/>
      <c r="XV110" s="87"/>
      <c r="XW110" s="87"/>
      <c r="XX110" s="87"/>
      <c r="XY110" s="87"/>
      <c r="XZ110" s="87"/>
      <c r="YA110" s="92">
        <f t="shared" ca="1" si="1123"/>
        <v>0</v>
      </c>
      <c r="YB110" s="90"/>
      <c r="YC110" s="90"/>
      <c r="YD110" s="90"/>
      <c r="YE110" s="90"/>
      <c r="YF110" s="90"/>
      <c r="YG110" s="90"/>
      <c r="YH110" s="90"/>
      <c r="YI110" s="90"/>
      <c r="YJ110" s="90"/>
      <c r="YK110" s="90"/>
      <c r="YL110" s="90"/>
      <c r="YM110" s="90"/>
      <c r="YN110" s="90"/>
      <c r="YO110" s="90"/>
      <c r="YP110" s="90"/>
      <c r="YQ110" s="90"/>
      <c r="YR110" s="90"/>
      <c r="YS110" s="90"/>
      <c r="YT110" s="90"/>
      <c r="YU110" s="90"/>
      <c r="YV110" s="90"/>
      <c r="YW110" s="90"/>
      <c r="YX110" s="90"/>
      <c r="YY110" s="90"/>
      <c r="YZ110" s="90"/>
      <c r="ZA110" s="90"/>
      <c r="ZB110" s="90"/>
      <c r="ZC110" s="90"/>
      <c r="ZD110" s="90"/>
      <c r="ZE110" s="90"/>
      <c r="ZF110" s="90"/>
      <c r="ZG110" s="90"/>
      <c r="ZH110" s="90"/>
      <c r="ZI110" s="90"/>
      <c r="ZJ110" s="90"/>
      <c r="ZK110" s="90"/>
      <c r="ZL110" s="90"/>
      <c r="ZM110" s="90"/>
      <c r="ZN110" s="90"/>
      <c r="ZO110" s="90"/>
      <c r="ZP110" s="90"/>
      <c r="ZQ110" s="90"/>
      <c r="ZR110" s="90"/>
      <c r="ZS110" s="90"/>
      <c r="ZT110" s="90"/>
      <c r="ZU110" s="90"/>
      <c r="ZV110" s="90"/>
      <c r="ZW110" s="90"/>
      <c r="ZX110" s="90"/>
      <c r="ZY110" s="90"/>
      <c r="ZZ110" s="90"/>
      <c r="AAA110" s="90"/>
      <c r="AAB110" s="90"/>
      <c r="AAC110" s="90"/>
      <c r="AAD110" s="90"/>
      <c r="AAE110" s="90"/>
      <c r="AAF110" s="90"/>
      <c r="AAG110" s="90"/>
      <c r="AAH110" s="90"/>
      <c r="AAI110" s="90"/>
      <c r="AAJ110" s="90"/>
      <c r="AAK110" s="90"/>
      <c r="AAL110" s="90"/>
      <c r="AAM110" s="90"/>
      <c r="AAN110" s="90"/>
      <c r="AAO110" s="90"/>
      <c r="AAP110" s="90"/>
      <c r="AAQ110" s="90"/>
      <c r="AAR110" s="90"/>
      <c r="AAS110" s="90"/>
      <c r="AAT110" s="90"/>
      <c r="AAU110" s="90"/>
      <c r="AAV110" s="90"/>
      <c r="AAW110" s="90"/>
      <c r="AAX110" s="90"/>
      <c r="AAY110" s="90"/>
      <c r="AAZ110" s="90"/>
      <c r="ABA110" s="90"/>
      <c r="ABB110" s="90"/>
      <c r="ABC110" s="90"/>
      <c r="ABD110" s="90"/>
      <c r="ABE110" s="90"/>
      <c r="ABF110" s="90"/>
      <c r="ABG110" s="90"/>
      <c r="ABH110" s="90"/>
      <c r="ABI110" s="90"/>
      <c r="ABJ110" s="90"/>
      <c r="ABK110" s="90"/>
      <c r="ABL110" s="90"/>
      <c r="ABM110" s="90"/>
      <c r="ABN110" s="90"/>
      <c r="ABO110" s="90"/>
      <c r="ABP110" s="90"/>
      <c r="ABQ110" s="90"/>
      <c r="ABR110" s="90"/>
      <c r="ABS110" s="90"/>
      <c r="ABT110" s="90"/>
      <c r="ABU110" s="90"/>
      <c r="ABV110" s="90"/>
      <c r="ABW110" s="90"/>
      <c r="ABX110" s="90"/>
      <c r="ABY110" s="90"/>
      <c r="ABZ110" s="90"/>
      <c r="ACA110" s="90"/>
      <c r="ACB110" s="90"/>
      <c r="ACC110" s="90"/>
      <c r="ACD110" s="90"/>
      <c r="ACE110" s="90"/>
      <c r="ACF110" s="90"/>
      <c r="ACG110" s="90"/>
      <c r="ACH110" s="90"/>
      <c r="ACI110" s="90"/>
      <c r="ACJ110" s="90"/>
      <c r="ACK110" s="90"/>
      <c r="ACL110" s="90"/>
      <c r="ACM110" s="90"/>
      <c r="ACN110" s="90"/>
      <c r="ACO110" s="90"/>
      <c r="ACP110" s="90"/>
      <c r="ACQ110" s="90"/>
      <c r="ACR110" s="90"/>
      <c r="ACS110" s="90"/>
      <c r="ACT110" s="90"/>
      <c r="ACU110" s="90"/>
      <c r="ACV110" s="90"/>
      <c r="ACW110" s="90"/>
      <c r="ACX110" s="90"/>
      <c r="ACY110" s="90"/>
      <c r="ACZ110" s="90"/>
      <c r="ADA110" s="90"/>
      <c r="ADB110" s="90"/>
      <c r="ADC110" s="90"/>
      <c r="ADD110" s="90"/>
      <c r="ADE110" s="90"/>
      <c r="ADF110" s="90"/>
      <c r="ADG110" s="90"/>
      <c r="ADH110" s="90"/>
      <c r="ADI110" s="90"/>
      <c r="ADJ110" s="90"/>
      <c r="ADK110" s="90"/>
      <c r="ADL110" s="90"/>
      <c r="ADM110" s="90"/>
      <c r="ADN110" s="90"/>
      <c r="ADO110" s="90"/>
      <c r="ADP110" s="90"/>
      <c r="ADQ110" s="90"/>
      <c r="ADR110" s="90"/>
      <c r="ADS110" s="90"/>
      <c r="ADT110" s="90"/>
      <c r="ADU110" s="90"/>
      <c r="ADV110" s="90"/>
      <c r="ADW110" s="90"/>
      <c r="ADX110" s="90"/>
      <c r="ADY110" s="90"/>
      <c r="ADZ110" s="90"/>
      <c r="AEA110" s="90"/>
      <c r="AEB110" s="90"/>
      <c r="AEC110" s="90"/>
      <c r="AED110" s="90"/>
      <c r="AEE110" s="90"/>
      <c r="AEF110" s="90"/>
      <c r="AEG110" s="90"/>
      <c r="AEH110" s="90"/>
      <c r="AEI110" s="90"/>
      <c r="AEJ110" s="90"/>
      <c r="AEK110" s="90"/>
      <c r="AEL110" s="90"/>
      <c r="AEM110" s="90"/>
      <c r="AEN110" s="90"/>
      <c r="AEO110" s="90"/>
      <c r="AEP110" s="90"/>
      <c r="AEQ110" s="90"/>
      <c r="AER110" s="90"/>
      <c r="AES110" s="90"/>
      <c r="AET110" s="90"/>
      <c r="AEU110" s="90"/>
      <c r="AEV110" s="90"/>
      <c r="AEW110" s="90"/>
      <c r="AEX110" s="90"/>
      <c r="AEY110" s="90"/>
      <c r="AEZ110" s="90"/>
      <c r="AFA110" s="90"/>
      <c r="AFB110" s="90"/>
      <c r="AFC110" s="90"/>
      <c r="AFD110" s="90"/>
      <c r="AFE110" s="90"/>
      <c r="AFF110" s="90"/>
      <c r="AFG110" s="90"/>
      <c r="AFH110" s="90"/>
      <c r="AFI110" s="90"/>
      <c r="AFJ110" s="90"/>
      <c r="AFK110" s="90"/>
      <c r="AFL110" s="90"/>
      <c r="AFM110" s="90"/>
      <c r="AFN110" s="90"/>
      <c r="AFO110" s="90"/>
      <c r="AFP110" s="90"/>
      <c r="AFQ110" s="90"/>
      <c r="AFR110" s="90"/>
      <c r="AFS110" s="90"/>
      <c r="AFT110" s="90"/>
      <c r="AFU110" s="90"/>
      <c r="AFV110" s="90"/>
      <c r="AFW110" s="90"/>
      <c r="AFX110" s="90"/>
      <c r="AFY110" s="90"/>
      <c r="AFZ110" s="90"/>
      <c r="AGA110" s="90"/>
      <c r="AGB110" s="90"/>
      <c r="AGC110" s="90"/>
      <c r="AGD110" s="90"/>
      <c r="AGE110" s="90"/>
      <c r="AGF110" s="90"/>
      <c r="AGG110" s="90"/>
      <c r="AGH110" s="90"/>
      <c r="AGI110" s="90"/>
      <c r="AGJ110" s="90"/>
      <c r="AGK110" s="90"/>
      <c r="AGL110" s="90"/>
      <c r="AGM110" s="90"/>
      <c r="AGN110" s="90"/>
      <c r="AGO110" s="90"/>
      <c r="AGP110" s="90"/>
      <c r="AGQ110" s="90"/>
      <c r="AGR110" s="90"/>
      <c r="AGS110" s="90"/>
      <c r="AGT110" s="90"/>
      <c r="AGU110" s="90"/>
      <c r="AGV110" s="90"/>
      <c r="AGW110" s="90"/>
      <c r="AGX110" s="90"/>
      <c r="AGY110" s="90"/>
      <c r="AGZ110" s="90"/>
      <c r="AHA110" s="90"/>
      <c r="AHB110" s="90"/>
      <c r="AHC110" s="90"/>
      <c r="AHD110" s="90"/>
      <c r="AHE110" s="90"/>
      <c r="AHF110" s="90"/>
      <c r="AHG110" s="90"/>
      <c r="AHH110" s="90"/>
      <c r="AHI110" s="90"/>
      <c r="AHJ110" s="90"/>
      <c r="AHK110" s="90"/>
      <c r="AHL110" s="90"/>
      <c r="AHM110" s="90"/>
      <c r="AHN110" s="90"/>
      <c r="AHO110" s="90"/>
      <c r="AHP110" s="90"/>
      <c r="AHQ110" s="90"/>
      <c r="AHR110" s="90"/>
      <c r="AHS110" s="90"/>
      <c r="AHT110" s="90"/>
      <c r="AHU110" s="90"/>
      <c r="AHV110" s="90"/>
      <c r="AHW110" s="90"/>
      <c r="AHX110" s="90"/>
      <c r="AHY110" s="90"/>
      <c r="AHZ110" s="90"/>
      <c r="AIA110" s="90"/>
      <c r="AIB110" s="90"/>
      <c r="AIC110" s="90"/>
      <c r="AID110" s="90"/>
      <c r="AIE110" s="90"/>
      <c r="AIF110" s="90"/>
      <c r="AIG110" s="90"/>
      <c r="AIH110" s="90"/>
      <c r="AII110" s="90"/>
      <c r="AIJ110" s="90"/>
      <c r="AIK110" s="90"/>
      <c r="AIL110" s="90"/>
      <c r="AIM110" s="90"/>
      <c r="AIN110" s="90"/>
      <c r="AIO110" s="90"/>
      <c r="AIP110" s="90"/>
      <c r="AIQ110" s="90"/>
      <c r="AIR110" s="90"/>
      <c r="AIS110" s="90"/>
      <c r="AIT110" s="90"/>
      <c r="AIU110" s="90"/>
      <c r="AIV110" s="90"/>
      <c r="AIW110" s="90"/>
      <c r="AIX110" s="90"/>
      <c r="AIY110" s="90"/>
      <c r="AIZ110" s="90"/>
      <c r="AJA110" s="90"/>
      <c r="AJB110" s="90"/>
      <c r="AJC110" s="90"/>
      <c r="AJD110" s="90"/>
      <c r="AJE110" s="90"/>
      <c r="AJF110" s="90"/>
      <c r="AJG110" s="90"/>
      <c r="AJH110" s="90"/>
      <c r="AJI110" s="90"/>
      <c r="AJJ110" s="90"/>
      <c r="AJK110" s="90"/>
      <c r="AJL110" s="90"/>
      <c r="AJM110" s="90"/>
      <c r="AJN110" s="90"/>
      <c r="AJO110" s="90"/>
      <c r="AJP110" s="90"/>
      <c r="AJQ110" s="90"/>
      <c r="AJR110" s="90"/>
      <c r="AJS110" s="90"/>
      <c r="AJT110" s="90"/>
      <c r="AJU110" s="90"/>
      <c r="AJV110" s="90"/>
      <c r="AJW110" s="90"/>
      <c r="AJX110" s="90"/>
      <c r="AJY110" s="90"/>
      <c r="AJZ110" s="90"/>
      <c r="AKA110" s="90"/>
      <c r="AKB110" s="90"/>
      <c r="AKC110" s="90"/>
      <c r="AKD110" s="90"/>
      <c r="AKE110" s="90"/>
      <c r="AKF110" s="90"/>
      <c r="AKG110" s="90"/>
      <c r="AKH110" s="90"/>
      <c r="AKI110" s="90"/>
      <c r="AKJ110" s="90"/>
      <c r="AKK110" s="90"/>
      <c r="AKL110" s="90"/>
      <c r="AKM110" s="90"/>
      <c r="AKN110" s="90"/>
      <c r="AKO110" s="90"/>
      <c r="AKP110" s="90"/>
      <c r="AKQ110" s="90"/>
      <c r="AKR110" s="90"/>
      <c r="AKS110" s="90"/>
      <c r="AKT110" s="90"/>
      <c r="AKU110" s="90"/>
      <c r="AKV110" s="90"/>
      <c r="AKW110" s="90"/>
      <c r="AKX110" s="90"/>
      <c r="AKY110" s="90"/>
      <c r="AKZ110" s="90"/>
      <c r="ALA110" s="90"/>
      <c r="ALB110" s="90"/>
      <c r="ALC110" s="90"/>
      <c r="ALD110" s="90"/>
      <c r="ALE110" s="90"/>
      <c r="ALF110" s="90"/>
      <c r="ALG110" s="90"/>
      <c r="ALH110" s="90"/>
      <c r="ALI110" s="90"/>
      <c r="ALJ110" s="90"/>
      <c r="ALK110" s="90"/>
      <c r="ALL110" s="90"/>
      <c r="ALM110" s="90"/>
      <c r="ALN110" s="90"/>
      <c r="ALO110" s="90"/>
      <c r="ALP110" s="90"/>
      <c r="ALQ110" s="90"/>
      <c r="ALR110" s="90"/>
      <c r="ALS110" s="90"/>
      <c r="ALT110" s="90"/>
      <c r="ALU110" s="90"/>
      <c r="ALV110" s="90"/>
      <c r="ALW110" s="90"/>
      <c r="ALX110" s="90"/>
      <c r="ALY110" s="90"/>
      <c r="ALZ110" s="90"/>
      <c r="AMA110" s="90"/>
      <c r="AMB110" s="90"/>
      <c r="AMC110" s="90"/>
    </row>
    <row r="111" spans="1:1017">
      <c r="A111" s="98" t="s">
        <v>47</v>
      </c>
      <c r="B111" s="90" t="str">
        <f t="shared" si="1028"/>
        <v>Tawes</v>
      </c>
      <c r="Q111" s="91">
        <f t="shared" si="1029"/>
        <v>0</v>
      </c>
      <c r="R111" s="91">
        <f t="shared" si="1030"/>
        <v>0</v>
      </c>
      <c r="Y111" s="778">
        <v>1635</v>
      </c>
      <c r="Z111" s="778">
        <v>27795</v>
      </c>
      <c r="AG111" s="91">
        <f t="shared" si="1031"/>
        <v>1635</v>
      </c>
      <c r="AH111" s="91">
        <f t="shared" si="1032"/>
        <v>27795</v>
      </c>
      <c r="AW111" s="91">
        <f t="shared" si="1033"/>
        <v>0</v>
      </c>
      <c r="AX111" s="91">
        <f t="shared" si="1034"/>
        <v>0</v>
      </c>
      <c r="BE111" s="98">
        <v>3245</v>
      </c>
      <c r="BF111" s="98">
        <v>32450</v>
      </c>
      <c r="BG111" s="98">
        <v>1447</v>
      </c>
      <c r="BH111" s="98">
        <v>14470</v>
      </c>
      <c r="BK111" s="98">
        <v>1322</v>
      </c>
      <c r="BL111" s="98">
        <v>13220</v>
      </c>
      <c r="BM111" s="91">
        <f t="shared" si="1035"/>
        <v>6014</v>
      </c>
      <c r="BN111" s="91">
        <f t="shared" si="1036"/>
        <v>60140</v>
      </c>
      <c r="BU111" s="98">
        <v>115</v>
      </c>
      <c r="BV111" s="98">
        <v>2300</v>
      </c>
      <c r="CC111" s="91">
        <f t="shared" si="1037"/>
        <v>115</v>
      </c>
      <c r="CD111" s="91">
        <f t="shared" si="1038"/>
        <v>2300</v>
      </c>
      <c r="CK111" s="98">
        <v>366972</v>
      </c>
      <c r="CL111" s="98">
        <v>4770635</v>
      </c>
      <c r="CS111" s="91">
        <f t="shared" si="1039"/>
        <v>366972</v>
      </c>
      <c r="CT111" s="91">
        <f t="shared" si="1040"/>
        <v>4770635</v>
      </c>
      <c r="DA111" s="98">
        <v>388</v>
      </c>
      <c r="DB111" s="98">
        <v>6984</v>
      </c>
      <c r="DI111" s="91">
        <f t="shared" si="1041"/>
        <v>388</v>
      </c>
      <c r="DJ111" s="91">
        <f t="shared" si="1042"/>
        <v>6984</v>
      </c>
      <c r="DY111" s="91">
        <f t="shared" si="1043"/>
        <v>0</v>
      </c>
      <c r="DZ111" s="91">
        <f t="shared" si="1044"/>
        <v>0</v>
      </c>
      <c r="EG111" s="98">
        <v>250</v>
      </c>
      <c r="EH111" s="98">
        <v>2750</v>
      </c>
      <c r="EO111" s="91">
        <f t="shared" si="1045"/>
        <v>250</v>
      </c>
      <c r="EP111" s="91">
        <f t="shared" si="1046"/>
        <v>2750</v>
      </c>
      <c r="EW111" s="98">
        <v>373625</v>
      </c>
      <c r="EX111" s="98">
        <v>5604375</v>
      </c>
      <c r="FE111" s="91">
        <f t="shared" si="1047"/>
        <v>373625</v>
      </c>
      <c r="FF111" s="91">
        <f t="shared" si="1048"/>
        <v>5604375</v>
      </c>
      <c r="FM111" s="98">
        <v>92</v>
      </c>
      <c r="FN111" s="98">
        <v>1656</v>
      </c>
      <c r="FU111" s="91">
        <f>SUMIF($C$12:$P$12,$A$1,FG111:FT111)</f>
        <v>92</v>
      </c>
      <c r="FV111" s="91">
        <f t="shared" si="1050"/>
        <v>1656</v>
      </c>
      <c r="GC111" s="98">
        <v>300</v>
      </c>
      <c r="GD111" s="98">
        <v>4500</v>
      </c>
      <c r="GK111" s="91">
        <f t="shared" si="1051"/>
        <v>300</v>
      </c>
      <c r="GL111" s="91">
        <f t="shared" si="1052"/>
        <v>4500</v>
      </c>
      <c r="HA111" s="91">
        <f t="shared" si="1053"/>
        <v>0</v>
      </c>
      <c r="HB111" s="91">
        <f t="shared" si="1054"/>
        <v>0</v>
      </c>
      <c r="HQ111" s="91">
        <f t="shared" si="1055"/>
        <v>0</v>
      </c>
      <c r="HR111" s="91">
        <f t="shared" si="1056"/>
        <v>0</v>
      </c>
      <c r="IG111" s="91">
        <f t="shared" si="1057"/>
        <v>0</v>
      </c>
      <c r="IH111" s="91">
        <f t="shared" si="1058"/>
        <v>0</v>
      </c>
      <c r="IW111" s="91">
        <f t="shared" si="1059"/>
        <v>0</v>
      </c>
      <c r="IX111" s="91">
        <f t="shared" si="1060"/>
        <v>0</v>
      </c>
      <c r="JM111" s="91">
        <f t="shared" si="1061"/>
        <v>0</v>
      </c>
      <c r="JN111" s="91">
        <f t="shared" si="1062"/>
        <v>0</v>
      </c>
      <c r="KC111" s="91">
        <f t="shared" si="1063"/>
        <v>0</v>
      </c>
      <c r="KD111" s="91">
        <f t="shared" si="1064"/>
        <v>0</v>
      </c>
      <c r="KS111" s="91">
        <f t="shared" si="1065"/>
        <v>0</v>
      </c>
      <c r="KT111" s="91">
        <f t="shared" si="1066"/>
        <v>0</v>
      </c>
      <c r="LI111" s="91">
        <f t="shared" si="1067"/>
        <v>0</v>
      </c>
      <c r="LJ111" s="91">
        <f t="shared" si="1068"/>
        <v>0</v>
      </c>
      <c r="LY111" s="91">
        <f t="shared" si="1069"/>
        <v>0</v>
      </c>
      <c r="LZ111" s="91">
        <f t="shared" si="1070"/>
        <v>0</v>
      </c>
      <c r="MO111" s="91">
        <f t="shared" si="1071"/>
        <v>0</v>
      </c>
      <c r="MP111" s="91">
        <f t="shared" si="1072"/>
        <v>0</v>
      </c>
      <c r="NE111" s="91">
        <f t="shared" si="1073"/>
        <v>0</v>
      </c>
      <c r="NF111" s="91">
        <f t="shared" si="1074"/>
        <v>0</v>
      </c>
      <c r="NQ111" s="98">
        <v>150</v>
      </c>
      <c r="NR111" s="98">
        <v>2400</v>
      </c>
      <c r="NU111" s="91">
        <f t="shared" si="1075"/>
        <v>150</v>
      </c>
      <c r="NV111" s="91">
        <f t="shared" si="1076"/>
        <v>2400</v>
      </c>
      <c r="OK111" s="91">
        <f t="shared" si="1077"/>
        <v>0</v>
      </c>
      <c r="OL111" s="91">
        <f t="shared" si="1078"/>
        <v>0</v>
      </c>
      <c r="PA111" s="91">
        <f t="shared" si="1079"/>
        <v>0</v>
      </c>
      <c r="PB111" s="91">
        <f t="shared" si="1080"/>
        <v>0</v>
      </c>
      <c r="PQ111" s="91">
        <f t="shared" si="1081"/>
        <v>0</v>
      </c>
      <c r="PR111" s="91">
        <f t="shared" si="1082"/>
        <v>0</v>
      </c>
      <c r="PY111" s="98">
        <v>32500</v>
      </c>
      <c r="PZ111" s="98">
        <v>455000</v>
      </c>
      <c r="QA111" s="98">
        <v>209850</v>
      </c>
      <c r="QB111" s="98">
        <v>3147750</v>
      </c>
      <c r="QG111" s="91">
        <f t="shared" si="1083"/>
        <v>242350</v>
      </c>
      <c r="QH111" s="91">
        <f t="shared" si="1084"/>
        <v>3602750</v>
      </c>
      <c r="QW111" s="91">
        <f t="shared" si="1085"/>
        <v>0</v>
      </c>
      <c r="QX111" s="91">
        <f t="shared" si="1086"/>
        <v>0</v>
      </c>
      <c r="RM111" s="91">
        <f t="shared" si="1087"/>
        <v>0</v>
      </c>
      <c r="RN111" s="91">
        <f t="shared" si="1088"/>
        <v>0</v>
      </c>
      <c r="SC111" s="91">
        <f t="shared" si="1089"/>
        <v>0</v>
      </c>
      <c r="SD111" s="91">
        <f t="shared" si="1090"/>
        <v>0</v>
      </c>
      <c r="SS111" s="91">
        <f t="shared" si="1091"/>
        <v>0</v>
      </c>
      <c r="ST111" s="91">
        <f t="shared" si="1092"/>
        <v>0</v>
      </c>
      <c r="TI111" s="91">
        <f t="shared" si="1093"/>
        <v>0</v>
      </c>
      <c r="TJ111" s="91">
        <f t="shared" si="1094"/>
        <v>0</v>
      </c>
      <c r="TY111" s="91">
        <f t="shared" si="1095"/>
        <v>0</v>
      </c>
      <c r="TZ111" s="91">
        <f t="shared" si="1096"/>
        <v>0</v>
      </c>
      <c r="UO111" s="91">
        <f t="shared" si="1097"/>
        <v>0</v>
      </c>
      <c r="UP111" s="91">
        <f t="shared" si="1098"/>
        <v>0</v>
      </c>
      <c r="VE111" s="91">
        <f t="shared" si="1099"/>
        <v>0</v>
      </c>
      <c r="VF111" s="91">
        <f t="shared" si="1100"/>
        <v>0</v>
      </c>
      <c r="VU111" s="91">
        <f t="shared" si="1101"/>
        <v>0</v>
      </c>
      <c r="VV111" s="91">
        <f t="shared" si="1102"/>
        <v>0</v>
      </c>
      <c r="WK111" s="91">
        <f t="shared" si="1103"/>
        <v>0</v>
      </c>
      <c r="WL111" s="91">
        <f t="shared" si="1104"/>
        <v>0</v>
      </c>
      <c r="WM111" s="89"/>
      <c r="WN111" s="87">
        <f t="shared" si="1105"/>
        <v>0</v>
      </c>
      <c r="WO111" s="87">
        <f t="shared" si="1106"/>
        <v>0</v>
      </c>
      <c r="WP111" s="87">
        <f t="shared" si="1107"/>
        <v>0</v>
      </c>
      <c r="WQ111" s="87">
        <f t="shared" si="1108"/>
        <v>0</v>
      </c>
      <c r="WR111" s="87">
        <f t="shared" si="1109"/>
        <v>0</v>
      </c>
      <c r="WS111" s="87">
        <f t="shared" si="1110"/>
        <v>0</v>
      </c>
      <c r="WT111" s="87">
        <f t="shared" si="1111"/>
        <v>779122</v>
      </c>
      <c r="WU111" s="87">
        <f t="shared" si="1112"/>
        <v>10908445</v>
      </c>
      <c r="WV111" s="87">
        <f t="shared" si="1113"/>
        <v>211297</v>
      </c>
      <c r="WW111" s="87">
        <f t="shared" si="1114"/>
        <v>3162220</v>
      </c>
      <c r="WX111" s="87">
        <f t="shared" si="1115"/>
        <v>150</v>
      </c>
      <c r="WY111" s="87">
        <f t="shared" si="1116"/>
        <v>2400</v>
      </c>
      <c r="WZ111" s="87">
        <f t="shared" si="1117"/>
        <v>1322</v>
      </c>
      <c r="XA111" s="87">
        <f t="shared" si="1118"/>
        <v>13220</v>
      </c>
      <c r="XB111" s="92">
        <f t="shared" si="1119"/>
        <v>991891</v>
      </c>
      <c r="XC111" s="92">
        <f t="shared" si="1120"/>
        <v>14086285</v>
      </c>
      <c r="XD111" s="89"/>
      <c r="XE111" s="92">
        <f t="shared" si="1125"/>
        <v>1507830</v>
      </c>
      <c r="XF111" s="92">
        <f t="shared" si="1126"/>
        <v>19036501</v>
      </c>
      <c r="XG111" s="89"/>
      <c r="XH111" s="92"/>
      <c r="XI111" s="92"/>
      <c r="XJ111" s="89"/>
      <c r="XK111" s="87"/>
      <c r="XL111" s="87"/>
      <c r="XM111" s="87"/>
      <c r="XN111" s="87"/>
      <c r="XO111" s="87"/>
      <c r="XP111" s="87"/>
      <c r="XQ111" s="87"/>
      <c r="XR111" s="92">
        <f t="shared" ca="1" si="1122"/>
        <v>0</v>
      </c>
      <c r="XS111" s="89"/>
      <c r="XT111" s="87"/>
      <c r="XU111" s="87"/>
      <c r="XV111" s="87"/>
      <c r="XW111" s="87"/>
      <c r="XX111" s="87"/>
      <c r="XY111" s="87"/>
      <c r="XZ111" s="87"/>
      <c r="YA111" s="92">
        <f t="shared" ca="1" si="1123"/>
        <v>0</v>
      </c>
      <c r="YB111" s="90"/>
      <c r="YC111" s="90"/>
      <c r="YD111" s="90"/>
      <c r="YE111" s="90"/>
      <c r="YF111" s="90"/>
      <c r="YG111" s="90"/>
      <c r="YH111" s="90"/>
      <c r="YI111" s="90"/>
      <c r="YJ111" s="90"/>
      <c r="YK111" s="90"/>
      <c r="YL111" s="90"/>
      <c r="YM111" s="90"/>
      <c r="YN111" s="90"/>
      <c r="YO111" s="90"/>
      <c r="YP111" s="90"/>
      <c r="YQ111" s="90"/>
      <c r="YR111" s="90"/>
      <c r="YS111" s="90"/>
      <c r="YT111" s="90"/>
      <c r="YU111" s="90"/>
      <c r="YV111" s="90"/>
      <c r="YW111" s="90"/>
      <c r="YX111" s="90"/>
      <c r="YY111" s="90"/>
      <c r="YZ111" s="90"/>
      <c r="ZA111" s="90"/>
      <c r="ZB111" s="90"/>
      <c r="ZC111" s="90"/>
      <c r="ZD111" s="90"/>
      <c r="ZE111" s="90"/>
      <c r="ZF111" s="90"/>
      <c r="ZG111" s="90"/>
      <c r="ZH111" s="90"/>
      <c r="ZI111" s="90"/>
      <c r="ZJ111" s="90"/>
      <c r="ZK111" s="90"/>
      <c r="ZL111" s="90"/>
      <c r="ZM111" s="90"/>
      <c r="ZN111" s="90"/>
      <c r="ZO111" s="90"/>
      <c r="ZP111" s="90"/>
      <c r="ZQ111" s="90"/>
      <c r="ZR111" s="90"/>
      <c r="ZS111" s="90"/>
      <c r="ZT111" s="90"/>
      <c r="ZU111" s="90"/>
      <c r="ZV111" s="90"/>
      <c r="ZW111" s="90"/>
      <c r="ZX111" s="90"/>
      <c r="ZY111" s="90"/>
      <c r="ZZ111" s="90"/>
      <c r="AAA111" s="90"/>
      <c r="AAB111" s="90"/>
      <c r="AAC111" s="90"/>
      <c r="AAD111" s="90"/>
      <c r="AAE111" s="90"/>
      <c r="AAF111" s="90"/>
      <c r="AAG111" s="90"/>
      <c r="AAH111" s="90"/>
      <c r="AAI111" s="90"/>
      <c r="AAJ111" s="90"/>
      <c r="AAK111" s="90"/>
      <c r="AAL111" s="90"/>
      <c r="AAM111" s="90"/>
      <c r="AAN111" s="90"/>
      <c r="AAO111" s="90"/>
      <c r="AAP111" s="90"/>
      <c r="AAQ111" s="90"/>
      <c r="AAR111" s="90"/>
      <c r="AAS111" s="90"/>
      <c r="AAT111" s="90"/>
      <c r="AAU111" s="90"/>
      <c r="AAV111" s="90"/>
      <c r="AAW111" s="90"/>
      <c r="AAX111" s="90"/>
      <c r="AAY111" s="90"/>
      <c r="AAZ111" s="90"/>
      <c r="ABA111" s="90"/>
      <c r="ABB111" s="90"/>
      <c r="ABC111" s="90"/>
      <c r="ABD111" s="90"/>
      <c r="ABE111" s="90"/>
      <c r="ABF111" s="90"/>
      <c r="ABG111" s="90"/>
      <c r="ABH111" s="90"/>
      <c r="ABI111" s="90"/>
      <c r="ABJ111" s="90"/>
      <c r="ABK111" s="90"/>
      <c r="ABL111" s="90"/>
      <c r="ABM111" s="90"/>
      <c r="ABN111" s="90"/>
      <c r="ABO111" s="90"/>
      <c r="ABP111" s="90"/>
      <c r="ABQ111" s="90"/>
      <c r="ABR111" s="90"/>
      <c r="ABS111" s="90"/>
      <c r="ABT111" s="90"/>
      <c r="ABU111" s="90"/>
      <c r="ABV111" s="90"/>
      <c r="ABW111" s="90"/>
      <c r="ABX111" s="90"/>
      <c r="ABY111" s="90"/>
      <c r="ABZ111" s="90"/>
      <c r="ACA111" s="90"/>
      <c r="ACB111" s="90"/>
      <c r="ACC111" s="90"/>
      <c r="ACD111" s="90"/>
      <c r="ACE111" s="90"/>
      <c r="ACF111" s="90"/>
      <c r="ACG111" s="90"/>
      <c r="ACH111" s="90"/>
      <c r="ACI111" s="90"/>
      <c r="ACJ111" s="90"/>
      <c r="ACK111" s="90"/>
      <c r="ACL111" s="90"/>
      <c r="ACM111" s="90"/>
      <c r="ACN111" s="90"/>
      <c r="ACO111" s="90"/>
      <c r="ACP111" s="90"/>
      <c r="ACQ111" s="90"/>
      <c r="ACR111" s="90"/>
      <c r="ACS111" s="90"/>
      <c r="ACT111" s="90"/>
      <c r="ACU111" s="90"/>
      <c r="ACV111" s="90"/>
      <c r="ACW111" s="90"/>
      <c r="ACX111" s="90"/>
      <c r="ACY111" s="90"/>
      <c r="ACZ111" s="90"/>
      <c r="ADA111" s="90"/>
      <c r="ADB111" s="90"/>
      <c r="ADC111" s="90"/>
      <c r="ADD111" s="90"/>
      <c r="ADE111" s="90"/>
      <c r="ADF111" s="90"/>
      <c r="ADG111" s="90"/>
      <c r="ADH111" s="90"/>
      <c r="ADI111" s="90"/>
      <c r="ADJ111" s="90"/>
      <c r="ADK111" s="90"/>
      <c r="ADL111" s="90"/>
      <c r="ADM111" s="90"/>
      <c r="ADN111" s="90"/>
      <c r="ADO111" s="90"/>
      <c r="ADP111" s="90"/>
      <c r="ADQ111" s="90"/>
      <c r="ADR111" s="90"/>
      <c r="ADS111" s="90"/>
      <c r="ADT111" s="90"/>
      <c r="ADU111" s="90"/>
      <c r="ADV111" s="90"/>
      <c r="ADW111" s="90"/>
      <c r="ADX111" s="90"/>
      <c r="ADY111" s="90"/>
      <c r="ADZ111" s="90"/>
      <c r="AEA111" s="90"/>
      <c r="AEB111" s="90"/>
      <c r="AEC111" s="90"/>
      <c r="AED111" s="90"/>
      <c r="AEE111" s="90"/>
      <c r="AEF111" s="90"/>
      <c r="AEG111" s="90"/>
      <c r="AEH111" s="90"/>
      <c r="AEI111" s="90"/>
      <c r="AEJ111" s="90"/>
      <c r="AEK111" s="90"/>
      <c r="AEL111" s="90"/>
      <c r="AEM111" s="90"/>
      <c r="AEN111" s="90"/>
      <c r="AEO111" s="90"/>
      <c r="AEP111" s="90"/>
      <c r="AEQ111" s="90"/>
      <c r="AER111" s="90"/>
      <c r="AES111" s="90"/>
      <c r="AET111" s="90"/>
      <c r="AEU111" s="90"/>
      <c r="AEV111" s="90"/>
      <c r="AEW111" s="90"/>
      <c r="AEX111" s="90"/>
      <c r="AEY111" s="90"/>
      <c r="AEZ111" s="90"/>
      <c r="AFA111" s="90"/>
      <c r="AFB111" s="90"/>
      <c r="AFC111" s="90"/>
      <c r="AFD111" s="90"/>
      <c r="AFE111" s="90"/>
      <c r="AFF111" s="90"/>
      <c r="AFG111" s="90"/>
      <c r="AFH111" s="90"/>
      <c r="AFI111" s="90"/>
      <c r="AFJ111" s="90"/>
      <c r="AFK111" s="90"/>
      <c r="AFL111" s="90"/>
      <c r="AFM111" s="90"/>
      <c r="AFN111" s="90"/>
      <c r="AFO111" s="90"/>
      <c r="AFP111" s="90"/>
      <c r="AFQ111" s="90"/>
      <c r="AFR111" s="90"/>
      <c r="AFS111" s="90"/>
      <c r="AFT111" s="90"/>
      <c r="AFU111" s="90"/>
      <c r="AFV111" s="90"/>
      <c r="AFW111" s="90"/>
      <c r="AFX111" s="90"/>
      <c r="AFY111" s="90"/>
      <c r="AFZ111" s="90"/>
      <c r="AGA111" s="90"/>
      <c r="AGB111" s="90"/>
      <c r="AGC111" s="90"/>
      <c r="AGD111" s="90"/>
      <c r="AGE111" s="90"/>
      <c r="AGF111" s="90"/>
      <c r="AGG111" s="90"/>
      <c r="AGH111" s="90"/>
      <c r="AGI111" s="90"/>
      <c r="AGJ111" s="90"/>
      <c r="AGK111" s="90"/>
      <c r="AGL111" s="90"/>
      <c r="AGM111" s="90"/>
      <c r="AGN111" s="90"/>
      <c r="AGO111" s="90"/>
      <c r="AGP111" s="90"/>
      <c r="AGQ111" s="90"/>
      <c r="AGR111" s="90"/>
      <c r="AGS111" s="90"/>
      <c r="AGT111" s="90"/>
      <c r="AGU111" s="90"/>
      <c r="AGV111" s="90"/>
      <c r="AGW111" s="90"/>
      <c r="AGX111" s="90"/>
      <c r="AGY111" s="90"/>
      <c r="AGZ111" s="90"/>
      <c r="AHA111" s="90"/>
      <c r="AHB111" s="90"/>
      <c r="AHC111" s="90"/>
      <c r="AHD111" s="90"/>
      <c r="AHE111" s="90"/>
      <c r="AHF111" s="90"/>
      <c r="AHG111" s="90"/>
      <c r="AHH111" s="90"/>
      <c r="AHI111" s="90"/>
      <c r="AHJ111" s="90"/>
      <c r="AHK111" s="90"/>
      <c r="AHL111" s="90"/>
      <c r="AHM111" s="90"/>
      <c r="AHN111" s="90"/>
      <c r="AHO111" s="90"/>
      <c r="AHP111" s="90"/>
      <c r="AHQ111" s="90"/>
      <c r="AHR111" s="90"/>
      <c r="AHS111" s="90"/>
      <c r="AHT111" s="90"/>
      <c r="AHU111" s="90"/>
      <c r="AHV111" s="90"/>
      <c r="AHW111" s="90"/>
      <c r="AHX111" s="90"/>
      <c r="AHY111" s="90"/>
      <c r="AHZ111" s="90"/>
      <c r="AIA111" s="90"/>
      <c r="AIB111" s="90"/>
      <c r="AIC111" s="90"/>
      <c r="AID111" s="90"/>
      <c r="AIE111" s="90"/>
      <c r="AIF111" s="90"/>
      <c r="AIG111" s="90"/>
      <c r="AIH111" s="90"/>
      <c r="AII111" s="90"/>
      <c r="AIJ111" s="90"/>
      <c r="AIK111" s="90"/>
      <c r="AIL111" s="90"/>
      <c r="AIM111" s="90"/>
      <c r="AIN111" s="90"/>
      <c r="AIO111" s="90"/>
      <c r="AIP111" s="90"/>
      <c r="AIQ111" s="90"/>
      <c r="AIR111" s="90"/>
      <c r="AIS111" s="90"/>
      <c r="AIT111" s="90"/>
      <c r="AIU111" s="90"/>
      <c r="AIV111" s="90"/>
      <c r="AIW111" s="90"/>
      <c r="AIX111" s="90"/>
      <c r="AIY111" s="90"/>
      <c r="AIZ111" s="90"/>
      <c r="AJA111" s="90"/>
      <c r="AJB111" s="90"/>
      <c r="AJC111" s="90"/>
      <c r="AJD111" s="90"/>
      <c r="AJE111" s="90"/>
      <c r="AJF111" s="90"/>
      <c r="AJG111" s="90"/>
      <c r="AJH111" s="90"/>
      <c r="AJI111" s="90"/>
      <c r="AJJ111" s="90"/>
      <c r="AJK111" s="90"/>
      <c r="AJL111" s="90"/>
      <c r="AJM111" s="90"/>
      <c r="AJN111" s="90"/>
      <c r="AJO111" s="90"/>
      <c r="AJP111" s="90"/>
      <c r="AJQ111" s="90"/>
      <c r="AJR111" s="90"/>
      <c r="AJS111" s="90"/>
      <c r="AJT111" s="90"/>
      <c r="AJU111" s="90"/>
      <c r="AJV111" s="90"/>
      <c r="AJW111" s="90"/>
      <c r="AJX111" s="90"/>
      <c r="AJY111" s="90"/>
      <c r="AJZ111" s="90"/>
      <c r="AKA111" s="90"/>
      <c r="AKB111" s="90"/>
      <c r="AKC111" s="90"/>
      <c r="AKD111" s="90"/>
      <c r="AKE111" s="90"/>
      <c r="AKF111" s="90"/>
      <c r="AKG111" s="90"/>
      <c r="AKH111" s="90"/>
      <c r="AKI111" s="90"/>
      <c r="AKJ111" s="90"/>
      <c r="AKK111" s="90"/>
      <c r="AKL111" s="90"/>
      <c r="AKM111" s="90"/>
      <c r="AKN111" s="90"/>
      <c r="AKO111" s="90"/>
      <c r="AKP111" s="90"/>
      <c r="AKQ111" s="90"/>
      <c r="AKR111" s="90"/>
      <c r="AKS111" s="90"/>
      <c r="AKT111" s="90"/>
      <c r="AKU111" s="90"/>
      <c r="AKV111" s="90"/>
      <c r="AKW111" s="90"/>
      <c r="AKX111" s="90"/>
      <c r="AKY111" s="90"/>
      <c r="AKZ111" s="90"/>
      <c r="ALA111" s="90"/>
      <c r="ALB111" s="90"/>
      <c r="ALC111" s="90"/>
      <c r="ALD111" s="90"/>
      <c r="ALE111" s="90"/>
      <c r="ALF111" s="90"/>
      <c r="ALG111" s="90"/>
      <c r="ALH111" s="90"/>
      <c r="ALI111" s="90"/>
      <c r="ALJ111" s="90"/>
      <c r="ALK111" s="90"/>
      <c r="ALL111" s="90"/>
      <c r="ALM111" s="90"/>
      <c r="ALN111" s="90"/>
      <c r="ALO111" s="90"/>
      <c r="ALP111" s="90"/>
      <c r="ALQ111" s="90"/>
      <c r="ALR111" s="90"/>
      <c r="ALS111" s="90"/>
      <c r="ALT111" s="90"/>
      <c r="ALU111" s="90"/>
      <c r="ALV111" s="90"/>
      <c r="ALW111" s="90"/>
      <c r="ALX111" s="90"/>
      <c r="ALY111" s="90"/>
      <c r="ALZ111" s="90"/>
      <c r="AMA111" s="90"/>
      <c r="AMB111" s="90"/>
      <c r="AMC111" s="90"/>
    </row>
    <row r="112" spans="1:1017">
      <c r="A112" s="98" t="s">
        <v>47</v>
      </c>
      <c r="B112" s="90" t="str">
        <f t="shared" si="1028"/>
        <v>Teri</v>
      </c>
      <c r="Q112" s="91">
        <f t="shared" si="1029"/>
        <v>0</v>
      </c>
      <c r="R112" s="91">
        <f t="shared" si="1030"/>
        <v>0</v>
      </c>
      <c r="AG112" s="91">
        <f t="shared" si="1031"/>
        <v>0</v>
      </c>
      <c r="AH112" s="91">
        <f t="shared" si="1032"/>
        <v>0</v>
      </c>
      <c r="AW112" s="91">
        <f t="shared" si="1033"/>
        <v>0</v>
      </c>
      <c r="AX112" s="91">
        <f t="shared" si="1034"/>
        <v>0</v>
      </c>
      <c r="BM112" s="91">
        <f t="shared" si="1035"/>
        <v>0</v>
      </c>
      <c r="BN112" s="91">
        <f t="shared" si="1036"/>
        <v>0</v>
      </c>
      <c r="CC112" s="91">
        <f t="shared" si="1037"/>
        <v>0</v>
      </c>
      <c r="CD112" s="91">
        <f t="shared" si="1038"/>
        <v>0</v>
      </c>
      <c r="CS112" s="91">
        <f t="shared" si="1039"/>
        <v>0</v>
      </c>
      <c r="CT112" s="91">
        <f t="shared" si="1040"/>
        <v>0</v>
      </c>
      <c r="DI112" s="91">
        <f t="shared" si="1041"/>
        <v>0</v>
      </c>
      <c r="DJ112" s="91">
        <f t="shared" si="1042"/>
        <v>0</v>
      </c>
      <c r="DY112" s="91">
        <f t="shared" si="1043"/>
        <v>0</v>
      </c>
      <c r="DZ112" s="91">
        <f t="shared" si="1044"/>
        <v>0</v>
      </c>
      <c r="EO112" s="91">
        <f t="shared" si="1045"/>
        <v>0</v>
      </c>
      <c r="EP112" s="91">
        <f t="shared" si="1046"/>
        <v>0</v>
      </c>
      <c r="FE112" s="91">
        <f t="shared" si="1047"/>
        <v>0</v>
      </c>
      <c r="FF112" s="91">
        <f t="shared" si="1048"/>
        <v>0</v>
      </c>
      <c r="FU112" s="91">
        <f t="shared" si="1049"/>
        <v>0</v>
      </c>
      <c r="FV112" s="91">
        <f t="shared" si="1050"/>
        <v>0</v>
      </c>
      <c r="GK112" s="91">
        <f t="shared" si="1051"/>
        <v>0</v>
      </c>
      <c r="GL112" s="91">
        <f t="shared" si="1052"/>
        <v>0</v>
      </c>
      <c r="HA112" s="91">
        <f t="shared" si="1053"/>
        <v>0</v>
      </c>
      <c r="HB112" s="91">
        <f t="shared" si="1054"/>
        <v>0</v>
      </c>
      <c r="HQ112" s="91">
        <f t="shared" si="1055"/>
        <v>0</v>
      </c>
      <c r="HR112" s="91">
        <f t="shared" si="1056"/>
        <v>0</v>
      </c>
      <c r="IG112" s="91">
        <f t="shared" si="1057"/>
        <v>0</v>
      </c>
      <c r="IH112" s="91">
        <f t="shared" si="1058"/>
        <v>0</v>
      </c>
      <c r="IW112" s="91">
        <f t="shared" si="1059"/>
        <v>0</v>
      </c>
      <c r="IX112" s="91">
        <f t="shared" si="1060"/>
        <v>0</v>
      </c>
      <c r="JM112" s="91">
        <f t="shared" si="1061"/>
        <v>0</v>
      </c>
      <c r="JN112" s="91">
        <f t="shared" si="1062"/>
        <v>0</v>
      </c>
      <c r="KC112" s="91">
        <f t="shared" si="1063"/>
        <v>0</v>
      </c>
      <c r="KD112" s="91">
        <f t="shared" si="1064"/>
        <v>0</v>
      </c>
      <c r="KS112" s="91">
        <f t="shared" si="1065"/>
        <v>0</v>
      </c>
      <c r="KT112" s="91">
        <f t="shared" si="1066"/>
        <v>0</v>
      </c>
      <c r="LI112" s="91">
        <f t="shared" si="1067"/>
        <v>0</v>
      </c>
      <c r="LJ112" s="91">
        <f t="shared" si="1068"/>
        <v>0</v>
      </c>
      <c r="LY112" s="91">
        <f t="shared" si="1069"/>
        <v>0</v>
      </c>
      <c r="LZ112" s="91">
        <f t="shared" si="1070"/>
        <v>0</v>
      </c>
      <c r="MO112" s="91">
        <f t="shared" si="1071"/>
        <v>0</v>
      </c>
      <c r="MP112" s="91">
        <f t="shared" si="1072"/>
        <v>0</v>
      </c>
      <c r="NE112" s="91">
        <f t="shared" si="1073"/>
        <v>0</v>
      </c>
      <c r="NF112" s="91">
        <f t="shared" si="1074"/>
        <v>0</v>
      </c>
      <c r="NU112" s="91">
        <f t="shared" si="1075"/>
        <v>0</v>
      </c>
      <c r="NV112" s="91">
        <f t="shared" si="1076"/>
        <v>0</v>
      </c>
      <c r="OK112" s="91">
        <f t="shared" si="1077"/>
        <v>0</v>
      </c>
      <c r="OL112" s="91">
        <f t="shared" si="1078"/>
        <v>0</v>
      </c>
      <c r="PA112" s="91">
        <f t="shared" si="1079"/>
        <v>0</v>
      </c>
      <c r="PB112" s="91">
        <f t="shared" si="1080"/>
        <v>0</v>
      </c>
      <c r="PQ112" s="91">
        <f t="shared" si="1081"/>
        <v>0</v>
      </c>
      <c r="PR112" s="91">
        <f t="shared" si="1082"/>
        <v>0</v>
      </c>
      <c r="QG112" s="91">
        <f t="shared" si="1083"/>
        <v>0</v>
      </c>
      <c r="QH112" s="91">
        <f t="shared" si="1084"/>
        <v>0</v>
      </c>
      <c r="QW112" s="91">
        <f t="shared" si="1085"/>
        <v>0</v>
      </c>
      <c r="QX112" s="91">
        <f t="shared" si="1086"/>
        <v>0</v>
      </c>
      <c r="RM112" s="91">
        <f t="shared" si="1087"/>
        <v>0</v>
      </c>
      <c r="RN112" s="91">
        <f t="shared" si="1088"/>
        <v>0</v>
      </c>
      <c r="SC112" s="91">
        <f t="shared" si="1089"/>
        <v>0</v>
      </c>
      <c r="SD112" s="91">
        <f t="shared" si="1090"/>
        <v>0</v>
      </c>
      <c r="SS112" s="91">
        <f t="shared" si="1091"/>
        <v>0</v>
      </c>
      <c r="ST112" s="91">
        <f t="shared" si="1092"/>
        <v>0</v>
      </c>
      <c r="TI112" s="91">
        <f t="shared" si="1093"/>
        <v>0</v>
      </c>
      <c r="TJ112" s="91">
        <f t="shared" si="1094"/>
        <v>0</v>
      </c>
      <c r="TY112" s="91">
        <f t="shared" si="1095"/>
        <v>0</v>
      </c>
      <c r="TZ112" s="91">
        <f t="shared" si="1096"/>
        <v>0</v>
      </c>
      <c r="UO112" s="91">
        <f t="shared" si="1097"/>
        <v>0</v>
      </c>
      <c r="UP112" s="91">
        <f t="shared" si="1098"/>
        <v>0</v>
      </c>
      <c r="VE112" s="91">
        <f t="shared" si="1099"/>
        <v>0</v>
      </c>
      <c r="VF112" s="91">
        <f t="shared" si="1100"/>
        <v>0</v>
      </c>
      <c r="VU112" s="91">
        <f t="shared" si="1101"/>
        <v>0</v>
      </c>
      <c r="VV112" s="91">
        <f t="shared" si="1102"/>
        <v>0</v>
      </c>
      <c r="WK112" s="91">
        <f t="shared" si="1103"/>
        <v>0</v>
      </c>
      <c r="WL112" s="91">
        <f t="shared" si="1104"/>
        <v>0</v>
      </c>
      <c r="WM112" s="89"/>
      <c r="WN112" s="87">
        <f t="shared" si="1105"/>
        <v>0</v>
      </c>
      <c r="WO112" s="87">
        <f t="shared" si="1106"/>
        <v>0</v>
      </c>
      <c r="WP112" s="87">
        <f t="shared" si="1107"/>
        <v>0</v>
      </c>
      <c r="WQ112" s="87">
        <f t="shared" si="1108"/>
        <v>0</v>
      </c>
      <c r="WR112" s="87">
        <f t="shared" si="1109"/>
        <v>0</v>
      </c>
      <c r="WS112" s="87">
        <f t="shared" si="1110"/>
        <v>0</v>
      </c>
      <c r="WT112" s="87">
        <f t="shared" si="1111"/>
        <v>0</v>
      </c>
      <c r="WU112" s="87">
        <f t="shared" si="1112"/>
        <v>0</v>
      </c>
      <c r="WV112" s="87">
        <f t="shared" si="1113"/>
        <v>0</v>
      </c>
      <c r="WW112" s="87">
        <f t="shared" si="1114"/>
        <v>0</v>
      </c>
      <c r="WX112" s="87">
        <f t="shared" si="1115"/>
        <v>0</v>
      </c>
      <c r="WY112" s="87">
        <f t="shared" si="1116"/>
        <v>0</v>
      </c>
      <c r="WZ112" s="87">
        <f t="shared" si="1117"/>
        <v>0</v>
      </c>
      <c r="XA112" s="87">
        <f t="shared" si="1118"/>
        <v>0</v>
      </c>
      <c r="XB112" s="92">
        <f t="shared" si="1119"/>
        <v>0</v>
      </c>
      <c r="XC112" s="92">
        <f t="shared" si="1120"/>
        <v>0</v>
      </c>
      <c r="XD112" s="89"/>
      <c r="XE112" s="92">
        <f t="shared" si="1125"/>
        <v>0</v>
      </c>
      <c r="XF112" s="92">
        <f t="shared" si="1126"/>
        <v>0</v>
      </c>
      <c r="XG112" s="89"/>
      <c r="XH112" s="92"/>
      <c r="XI112" s="92"/>
      <c r="XJ112" s="89"/>
      <c r="XK112" s="87"/>
      <c r="XL112" s="87"/>
      <c r="XM112" s="87"/>
      <c r="XN112" s="87"/>
      <c r="XO112" s="87"/>
      <c r="XP112" s="87"/>
      <c r="XQ112" s="87"/>
      <c r="XR112" s="92">
        <f t="shared" ca="1" si="1122"/>
        <v>0</v>
      </c>
      <c r="XS112" s="89"/>
      <c r="XT112" s="87"/>
      <c r="XU112" s="87"/>
      <c r="XV112" s="87"/>
      <c r="XW112" s="87"/>
      <c r="XX112" s="87"/>
      <c r="XY112" s="87"/>
      <c r="XZ112" s="87"/>
      <c r="YA112" s="92">
        <f t="shared" ca="1" si="1123"/>
        <v>0</v>
      </c>
      <c r="YB112" s="90"/>
      <c r="YC112" s="90"/>
      <c r="YD112" s="90"/>
      <c r="YE112" s="90"/>
      <c r="YF112" s="90"/>
      <c r="YG112" s="90"/>
      <c r="YH112" s="90"/>
      <c r="YI112" s="90"/>
      <c r="YJ112" s="90"/>
      <c r="YK112" s="90"/>
      <c r="YL112" s="90"/>
      <c r="YM112" s="90"/>
      <c r="YN112" s="90"/>
      <c r="YO112" s="90"/>
      <c r="YP112" s="90"/>
      <c r="YQ112" s="90"/>
      <c r="YR112" s="90"/>
      <c r="YS112" s="90"/>
      <c r="YT112" s="90"/>
      <c r="YU112" s="90"/>
      <c r="YV112" s="90"/>
      <c r="YW112" s="90"/>
      <c r="YX112" s="90"/>
      <c r="YY112" s="90"/>
      <c r="YZ112" s="90"/>
      <c r="ZA112" s="90"/>
      <c r="ZB112" s="90"/>
      <c r="ZC112" s="90"/>
      <c r="ZD112" s="90"/>
      <c r="ZE112" s="90"/>
      <c r="ZF112" s="90"/>
      <c r="ZG112" s="90"/>
      <c r="ZH112" s="90"/>
      <c r="ZI112" s="90"/>
      <c r="ZJ112" s="90"/>
      <c r="ZK112" s="90"/>
      <c r="ZL112" s="90"/>
      <c r="ZM112" s="90"/>
      <c r="ZN112" s="90"/>
      <c r="ZO112" s="90"/>
      <c r="ZP112" s="90"/>
      <c r="ZQ112" s="90"/>
      <c r="ZR112" s="90"/>
      <c r="ZS112" s="90"/>
      <c r="ZT112" s="90"/>
      <c r="ZU112" s="90"/>
      <c r="ZV112" s="90"/>
      <c r="ZW112" s="90"/>
      <c r="ZX112" s="90"/>
      <c r="ZY112" s="90"/>
      <c r="ZZ112" s="90"/>
      <c r="AAA112" s="90"/>
      <c r="AAB112" s="90"/>
      <c r="AAC112" s="90"/>
      <c r="AAD112" s="90"/>
      <c r="AAE112" s="90"/>
      <c r="AAF112" s="90"/>
      <c r="AAG112" s="90"/>
      <c r="AAH112" s="90"/>
      <c r="AAI112" s="90"/>
      <c r="AAJ112" s="90"/>
      <c r="AAK112" s="90"/>
      <c r="AAL112" s="90"/>
      <c r="AAM112" s="90"/>
      <c r="AAN112" s="90"/>
      <c r="AAO112" s="90"/>
      <c r="AAP112" s="90"/>
      <c r="AAQ112" s="90"/>
      <c r="AAR112" s="90"/>
      <c r="AAS112" s="90"/>
      <c r="AAT112" s="90"/>
      <c r="AAU112" s="90"/>
      <c r="AAV112" s="90"/>
      <c r="AAW112" s="90"/>
      <c r="AAX112" s="90"/>
      <c r="AAY112" s="90"/>
      <c r="AAZ112" s="90"/>
      <c r="ABA112" s="90"/>
      <c r="ABB112" s="90"/>
      <c r="ABC112" s="90"/>
      <c r="ABD112" s="90"/>
      <c r="ABE112" s="90"/>
      <c r="ABF112" s="90"/>
      <c r="ABG112" s="90"/>
      <c r="ABH112" s="90"/>
      <c r="ABI112" s="90"/>
      <c r="ABJ112" s="90"/>
      <c r="ABK112" s="90"/>
      <c r="ABL112" s="90"/>
      <c r="ABM112" s="90"/>
      <c r="ABN112" s="90"/>
      <c r="ABO112" s="90"/>
      <c r="ABP112" s="90"/>
      <c r="ABQ112" s="90"/>
      <c r="ABR112" s="90"/>
      <c r="ABS112" s="90"/>
      <c r="ABT112" s="90"/>
      <c r="ABU112" s="90"/>
      <c r="ABV112" s="90"/>
      <c r="ABW112" s="90"/>
      <c r="ABX112" s="90"/>
      <c r="ABY112" s="90"/>
      <c r="ABZ112" s="90"/>
      <c r="ACA112" s="90"/>
      <c r="ACB112" s="90"/>
      <c r="ACC112" s="90"/>
      <c r="ACD112" s="90"/>
      <c r="ACE112" s="90"/>
      <c r="ACF112" s="90"/>
      <c r="ACG112" s="90"/>
      <c r="ACH112" s="90"/>
      <c r="ACI112" s="90"/>
      <c r="ACJ112" s="90"/>
      <c r="ACK112" s="90"/>
      <c r="ACL112" s="90"/>
      <c r="ACM112" s="90"/>
      <c r="ACN112" s="90"/>
      <c r="ACO112" s="90"/>
      <c r="ACP112" s="90"/>
      <c r="ACQ112" s="90"/>
      <c r="ACR112" s="90"/>
      <c r="ACS112" s="90"/>
      <c r="ACT112" s="90"/>
      <c r="ACU112" s="90"/>
      <c r="ACV112" s="90"/>
      <c r="ACW112" s="90"/>
      <c r="ACX112" s="90"/>
      <c r="ACY112" s="90"/>
      <c r="ACZ112" s="90"/>
      <c r="ADA112" s="90"/>
      <c r="ADB112" s="90"/>
      <c r="ADC112" s="90"/>
      <c r="ADD112" s="90"/>
      <c r="ADE112" s="90"/>
      <c r="ADF112" s="90"/>
      <c r="ADG112" s="90"/>
      <c r="ADH112" s="90"/>
      <c r="ADI112" s="90"/>
      <c r="ADJ112" s="90"/>
      <c r="ADK112" s="90"/>
      <c r="ADL112" s="90"/>
      <c r="ADM112" s="90"/>
      <c r="ADN112" s="90"/>
      <c r="ADO112" s="90"/>
      <c r="ADP112" s="90"/>
      <c r="ADQ112" s="90"/>
      <c r="ADR112" s="90"/>
      <c r="ADS112" s="90"/>
      <c r="ADT112" s="90"/>
      <c r="ADU112" s="90"/>
      <c r="ADV112" s="90"/>
      <c r="ADW112" s="90"/>
      <c r="ADX112" s="90"/>
      <c r="ADY112" s="90"/>
      <c r="ADZ112" s="90"/>
      <c r="AEA112" s="90"/>
      <c r="AEB112" s="90"/>
      <c r="AEC112" s="90"/>
      <c r="AED112" s="90"/>
      <c r="AEE112" s="90"/>
      <c r="AEF112" s="90"/>
      <c r="AEG112" s="90"/>
      <c r="AEH112" s="90"/>
      <c r="AEI112" s="90"/>
      <c r="AEJ112" s="90"/>
      <c r="AEK112" s="90"/>
      <c r="AEL112" s="90"/>
      <c r="AEM112" s="90"/>
      <c r="AEN112" s="90"/>
      <c r="AEO112" s="90"/>
      <c r="AEP112" s="90"/>
      <c r="AEQ112" s="90"/>
      <c r="AER112" s="90"/>
      <c r="AES112" s="90"/>
      <c r="AET112" s="90"/>
      <c r="AEU112" s="90"/>
      <c r="AEV112" s="90"/>
      <c r="AEW112" s="90"/>
      <c r="AEX112" s="90"/>
      <c r="AEY112" s="90"/>
      <c r="AEZ112" s="90"/>
      <c r="AFA112" s="90"/>
      <c r="AFB112" s="90"/>
      <c r="AFC112" s="90"/>
      <c r="AFD112" s="90"/>
      <c r="AFE112" s="90"/>
      <c r="AFF112" s="90"/>
      <c r="AFG112" s="90"/>
      <c r="AFH112" s="90"/>
      <c r="AFI112" s="90"/>
      <c r="AFJ112" s="90"/>
      <c r="AFK112" s="90"/>
      <c r="AFL112" s="90"/>
      <c r="AFM112" s="90"/>
      <c r="AFN112" s="90"/>
      <c r="AFO112" s="90"/>
      <c r="AFP112" s="90"/>
      <c r="AFQ112" s="90"/>
      <c r="AFR112" s="90"/>
      <c r="AFS112" s="90"/>
      <c r="AFT112" s="90"/>
      <c r="AFU112" s="90"/>
      <c r="AFV112" s="90"/>
      <c r="AFW112" s="90"/>
      <c r="AFX112" s="90"/>
      <c r="AFY112" s="90"/>
      <c r="AFZ112" s="90"/>
      <c r="AGA112" s="90"/>
      <c r="AGB112" s="90"/>
      <c r="AGC112" s="90"/>
      <c r="AGD112" s="90"/>
      <c r="AGE112" s="90"/>
      <c r="AGF112" s="90"/>
      <c r="AGG112" s="90"/>
      <c r="AGH112" s="90"/>
      <c r="AGI112" s="90"/>
      <c r="AGJ112" s="90"/>
      <c r="AGK112" s="90"/>
      <c r="AGL112" s="90"/>
      <c r="AGM112" s="90"/>
      <c r="AGN112" s="90"/>
      <c r="AGO112" s="90"/>
      <c r="AGP112" s="90"/>
      <c r="AGQ112" s="90"/>
      <c r="AGR112" s="90"/>
      <c r="AGS112" s="90"/>
      <c r="AGT112" s="90"/>
      <c r="AGU112" s="90"/>
      <c r="AGV112" s="90"/>
      <c r="AGW112" s="90"/>
      <c r="AGX112" s="90"/>
      <c r="AGY112" s="90"/>
      <c r="AGZ112" s="90"/>
      <c r="AHA112" s="90"/>
      <c r="AHB112" s="90"/>
      <c r="AHC112" s="90"/>
      <c r="AHD112" s="90"/>
      <c r="AHE112" s="90"/>
      <c r="AHF112" s="90"/>
      <c r="AHG112" s="90"/>
      <c r="AHH112" s="90"/>
      <c r="AHI112" s="90"/>
      <c r="AHJ112" s="90"/>
      <c r="AHK112" s="90"/>
      <c r="AHL112" s="90"/>
      <c r="AHM112" s="90"/>
      <c r="AHN112" s="90"/>
      <c r="AHO112" s="90"/>
      <c r="AHP112" s="90"/>
      <c r="AHQ112" s="90"/>
      <c r="AHR112" s="90"/>
      <c r="AHS112" s="90"/>
      <c r="AHT112" s="90"/>
      <c r="AHU112" s="90"/>
      <c r="AHV112" s="90"/>
      <c r="AHW112" s="90"/>
      <c r="AHX112" s="90"/>
      <c r="AHY112" s="90"/>
      <c r="AHZ112" s="90"/>
      <c r="AIA112" s="90"/>
      <c r="AIB112" s="90"/>
      <c r="AIC112" s="90"/>
      <c r="AID112" s="90"/>
      <c r="AIE112" s="90"/>
      <c r="AIF112" s="90"/>
      <c r="AIG112" s="90"/>
      <c r="AIH112" s="90"/>
      <c r="AII112" s="90"/>
      <c r="AIJ112" s="90"/>
      <c r="AIK112" s="90"/>
      <c r="AIL112" s="90"/>
      <c r="AIM112" s="90"/>
      <c r="AIN112" s="90"/>
      <c r="AIO112" s="90"/>
      <c r="AIP112" s="90"/>
      <c r="AIQ112" s="90"/>
      <c r="AIR112" s="90"/>
      <c r="AIS112" s="90"/>
      <c r="AIT112" s="90"/>
      <c r="AIU112" s="90"/>
      <c r="AIV112" s="90"/>
      <c r="AIW112" s="90"/>
      <c r="AIX112" s="90"/>
      <c r="AIY112" s="90"/>
      <c r="AIZ112" s="90"/>
      <c r="AJA112" s="90"/>
      <c r="AJB112" s="90"/>
      <c r="AJC112" s="90"/>
      <c r="AJD112" s="90"/>
      <c r="AJE112" s="90"/>
      <c r="AJF112" s="90"/>
      <c r="AJG112" s="90"/>
      <c r="AJH112" s="90"/>
      <c r="AJI112" s="90"/>
      <c r="AJJ112" s="90"/>
      <c r="AJK112" s="90"/>
      <c r="AJL112" s="90"/>
      <c r="AJM112" s="90"/>
      <c r="AJN112" s="90"/>
      <c r="AJO112" s="90"/>
      <c r="AJP112" s="90"/>
      <c r="AJQ112" s="90"/>
      <c r="AJR112" s="90"/>
      <c r="AJS112" s="90"/>
      <c r="AJT112" s="90"/>
      <c r="AJU112" s="90"/>
      <c r="AJV112" s="90"/>
      <c r="AJW112" s="90"/>
      <c r="AJX112" s="90"/>
      <c r="AJY112" s="90"/>
      <c r="AJZ112" s="90"/>
      <c r="AKA112" s="90"/>
      <c r="AKB112" s="90"/>
      <c r="AKC112" s="90"/>
      <c r="AKD112" s="90"/>
      <c r="AKE112" s="90"/>
      <c r="AKF112" s="90"/>
      <c r="AKG112" s="90"/>
      <c r="AKH112" s="90"/>
      <c r="AKI112" s="90"/>
      <c r="AKJ112" s="90"/>
      <c r="AKK112" s="90"/>
      <c r="AKL112" s="90"/>
      <c r="AKM112" s="90"/>
      <c r="AKN112" s="90"/>
      <c r="AKO112" s="90"/>
      <c r="AKP112" s="90"/>
      <c r="AKQ112" s="90"/>
      <c r="AKR112" s="90"/>
      <c r="AKS112" s="90"/>
      <c r="AKT112" s="90"/>
      <c r="AKU112" s="90"/>
      <c r="AKV112" s="90"/>
      <c r="AKW112" s="90"/>
      <c r="AKX112" s="90"/>
      <c r="AKY112" s="90"/>
      <c r="AKZ112" s="90"/>
      <c r="ALA112" s="90"/>
      <c r="ALB112" s="90"/>
      <c r="ALC112" s="90"/>
      <c r="ALD112" s="90"/>
      <c r="ALE112" s="90"/>
      <c r="ALF112" s="90"/>
      <c r="ALG112" s="90"/>
      <c r="ALH112" s="90"/>
      <c r="ALI112" s="90"/>
      <c r="ALJ112" s="90"/>
      <c r="ALK112" s="90"/>
      <c r="ALL112" s="90"/>
      <c r="ALM112" s="90"/>
      <c r="ALN112" s="90"/>
      <c r="ALO112" s="90"/>
      <c r="ALP112" s="90"/>
      <c r="ALQ112" s="90"/>
      <c r="ALR112" s="90"/>
      <c r="ALS112" s="90"/>
      <c r="ALT112" s="90"/>
      <c r="ALU112" s="90"/>
      <c r="ALV112" s="90"/>
      <c r="ALW112" s="90"/>
      <c r="ALX112" s="90"/>
      <c r="ALY112" s="90"/>
      <c r="ALZ112" s="90"/>
      <c r="AMA112" s="90"/>
      <c r="AMB112" s="90"/>
      <c r="AMC112" s="90"/>
    </row>
    <row r="113" spans="1:1017">
      <c r="A113" s="98" t="s">
        <v>47</v>
      </c>
      <c r="B113" s="90" t="str">
        <f t="shared" si="1028"/>
        <v xml:space="preserve">Udang Galah </v>
      </c>
      <c r="Q113" s="91">
        <f t="shared" si="1029"/>
        <v>0</v>
      </c>
      <c r="R113" s="91">
        <f t="shared" si="1030"/>
        <v>0</v>
      </c>
      <c r="AG113" s="91">
        <f t="shared" si="1031"/>
        <v>0</v>
      </c>
      <c r="AH113" s="91">
        <f t="shared" si="1032"/>
        <v>0</v>
      </c>
      <c r="AW113" s="91">
        <f t="shared" si="1033"/>
        <v>0</v>
      </c>
      <c r="AX113" s="91">
        <f t="shared" si="1034"/>
        <v>0</v>
      </c>
      <c r="BM113" s="91">
        <f t="shared" si="1035"/>
        <v>0</v>
      </c>
      <c r="BN113" s="91">
        <f t="shared" si="1036"/>
        <v>0</v>
      </c>
      <c r="CC113" s="91">
        <f t="shared" si="1037"/>
        <v>0</v>
      </c>
      <c r="CD113" s="91">
        <f t="shared" si="1038"/>
        <v>0</v>
      </c>
      <c r="CS113" s="91">
        <f t="shared" si="1039"/>
        <v>0</v>
      </c>
      <c r="CT113" s="91">
        <f t="shared" si="1040"/>
        <v>0</v>
      </c>
      <c r="DI113" s="91">
        <f t="shared" si="1041"/>
        <v>0</v>
      </c>
      <c r="DJ113" s="91">
        <f t="shared" si="1042"/>
        <v>0</v>
      </c>
      <c r="DY113" s="91">
        <f t="shared" si="1043"/>
        <v>0</v>
      </c>
      <c r="DZ113" s="91">
        <f t="shared" si="1044"/>
        <v>0</v>
      </c>
      <c r="EO113" s="91">
        <f t="shared" si="1045"/>
        <v>0</v>
      </c>
      <c r="EP113" s="91">
        <f t="shared" si="1046"/>
        <v>0</v>
      </c>
      <c r="FE113" s="91">
        <f t="shared" si="1047"/>
        <v>0</v>
      </c>
      <c r="FF113" s="91">
        <f t="shared" si="1048"/>
        <v>0</v>
      </c>
      <c r="FU113" s="91">
        <f t="shared" si="1049"/>
        <v>0</v>
      </c>
      <c r="FV113" s="91">
        <f t="shared" si="1050"/>
        <v>0</v>
      </c>
      <c r="GK113" s="91">
        <f t="shared" si="1051"/>
        <v>0</v>
      </c>
      <c r="GL113" s="91">
        <f t="shared" si="1052"/>
        <v>0</v>
      </c>
      <c r="HA113" s="91">
        <f t="shared" si="1053"/>
        <v>0</v>
      </c>
      <c r="HB113" s="91">
        <f t="shared" si="1054"/>
        <v>0</v>
      </c>
      <c r="HQ113" s="91">
        <f t="shared" si="1055"/>
        <v>0</v>
      </c>
      <c r="HR113" s="91">
        <f t="shared" si="1056"/>
        <v>0</v>
      </c>
      <c r="IG113" s="91">
        <f t="shared" si="1057"/>
        <v>0</v>
      </c>
      <c r="IH113" s="91">
        <f t="shared" si="1058"/>
        <v>0</v>
      </c>
      <c r="IW113" s="91">
        <f t="shared" si="1059"/>
        <v>0</v>
      </c>
      <c r="IX113" s="91">
        <f t="shared" si="1060"/>
        <v>0</v>
      </c>
      <c r="JM113" s="91">
        <f t="shared" si="1061"/>
        <v>0</v>
      </c>
      <c r="JN113" s="91">
        <f t="shared" si="1062"/>
        <v>0</v>
      </c>
      <c r="KC113" s="91">
        <f t="shared" si="1063"/>
        <v>0</v>
      </c>
      <c r="KD113" s="91">
        <f t="shared" si="1064"/>
        <v>0</v>
      </c>
      <c r="KS113" s="91">
        <f t="shared" si="1065"/>
        <v>0</v>
      </c>
      <c r="KT113" s="91">
        <f t="shared" si="1066"/>
        <v>0</v>
      </c>
      <c r="LI113" s="91">
        <f t="shared" si="1067"/>
        <v>0</v>
      </c>
      <c r="LJ113" s="91">
        <f t="shared" si="1068"/>
        <v>0</v>
      </c>
      <c r="LY113" s="91">
        <f t="shared" si="1069"/>
        <v>0</v>
      </c>
      <c r="LZ113" s="91">
        <f t="shared" si="1070"/>
        <v>0</v>
      </c>
      <c r="MO113" s="91">
        <f t="shared" si="1071"/>
        <v>0</v>
      </c>
      <c r="MP113" s="91">
        <f t="shared" si="1072"/>
        <v>0</v>
      </c>
      <c r="NE113" s="91">
        <f t="shared" si="1073"/>
        <v>0</v>
      </c>
      <c r="NF113" s="91">
        <f t="shared" si="1074"/>
        <v>0</v>
      </c>
      <c r="NU113" s="91">
        <f t="shared" si="1075"/>
        <v>0</v>
      </c>
      <c r="NV113" s="91">
        <f t="shared" si="1076"/>
        <v>0</v>
      </c>
      <c r="OK113" s="91">
        <f t="shared" si="1077"/>
        <v>0</v>
      </c>
      <c r="OL113" s="91">
        <f t="shared" si="1078"/>
        <v>0</v>
      </c>
      <c r="PA113" s="91">
        <f t="shared" si="1079"/>
        <v>0</v>
      </c>
      <c r="PB113" s="91">
        <f t="shared" si="1080"/>
        <v>0</v>
      </c>
      <c r="PQ113" s="91">
        <f t="shared" si="1081"/>
        <v>0</v>
      </c>
      <c r="PR113" s="91">
        <f t="shared" si="1082"/>
        <v>0</v>
      </c>
      <c r="QG113" s="91">
        <f t="shared" si="1083"/>
        <v>0</v>
      </c>
      <c r="QH113" s="91">
        <f t="shared" si="1084"/>
        <v>0</v>
      </c>
      <c r="QW113" s="91">
        <f t="shared" si="1085"/>
        <v>0</v>
      </c>
      <c r="QX113" s="91">
        <f t="shared" si="1086"/>
        <v>0</v>
      </c>
      <c r="RM113" s="91">
        <f t="shared" si="1087"/>
        <v>0</v>
      </c>
      <c r="RN113" s="91">
        <f t="shared" si="1088"/>
        <v>0</v>
      </c>
      <c r="SC113" s="91">
        <f t="shared" si="1089"/>
        <v>0</v>
      </c>
      <c r="SD113" s="91">
        <f t="shared" si="1090"/>
        <v>0</v>
      </c>
      <c r="SS113" s="91">
        <f t="shared" si="1091"/>
        <v>0</v>
      </c>
      <c r="ST113" s="91">
        <f t="shared" si="1092"/>
        <v>0</v>
      </c>
      <c r="TI113" s="91">
        <f t="shared" si="1093"/>
        <v>0</v>
      </c>
      <c r="TJ113" s="91">
        <f t="shared" si="1094"/>
        <v>0</v>
      </c>
      <c r="TY113" s="91">
        <f t="shared" si="1095"/>
        <v>0</v>
      </c>
      <c r="TZ113" s="91">
        <f t="shared" si="1096"/>
        <v>0</v>
      </c>
      <c r="UO113" s="91">
        <f t="shared" si="1097"/>
        <v>0</v>
      </c>
      <c r="UP113" s="91">
        <f t="shared" si="1098"/>
        <v>0</v>
      </c>
      <c r="VE113" s="91">
        <f t="shared" si="1099"/>
        <v>0</v>
      </c>
      <c r="VF113" s="91">
        <f t="shared" si="1100"/>
        <v>0</v>
      </c>
      <c r="VU113" s="91">
        <f t="shared" si="1101"/>
        <v>0</v>
      </c>
      <c r="VV113" s="91">
        <f t="shared" si="1102"/>
        <v>0</v>
      </c>
      <c r="WK113" s="91">
        <f t="shared" si="1103"/>
        <v>0</v>
      </c>
      <c r="WL113" s="91">
        <f t="shared" si="1104"/>
        <v>0</v>
      </c>
      <c r="WM113" s="89"/>
      <c r="WN113" s="87">
        <f t="shared" si="1105"/>
        <v>0</v>
      </c>
      <c r="WO113" s="87">
        <f t="shared" si="1106"/>
        <v>0</v>
      </c>
      <c r="WP113" s="87">
        <f t="shared" si="1107"/>
        <v>0</v>
      </c>
      <c r="WQ113" s="87">
        <f t="shared" si="1108"/>
        <v>0</v>
      </c>
      <c r="WR113" s="87">
        <f t="shared" si="1109"/>
        <v>0</v>
      </c>
      <c r="WS113" s="87">
        <f t="shared" si="1110"/>
        <v>0</v>
      </c>
      <c r="WT113" s="87">
        <f t="shared" si="1111"/>
        <v>0</v>
      </c>
      <c r="WU113" s="87">
        <f t="shared" si="1112"/>
        <v>0</v>
      </c>
      <c r="WV113" s="87">
        <f t="shared" si="1113"/>
        <v>0</v>
      </c>
      <c r="WW113" s="87">
        <f t="shared" si="1114"/>
        <v>0</v>
      </c>
      <c r="WX113" s="87">
        <f t="shared" si="1115"/>
        <v>0</v>
      </c>
      <c r="WY113" s="87">
        <f t="shared" si="1116"/>
        <v>0</v>
      </c>
      <c r="WZ113" s="87">
        <f t="shared" ref="WZ113:WZ126" si="1127">SUMIF($C$5:$WL$5,$WZ$5,C113:WL113)</f>
        <v>0</v>
      </c>
      <c r="XA113" s="87">
        <f t="shared" ref="XA113:XA126" si="1128">SUMIF($C$5:$WL$5,$XA$5,C113:WL113)</f>
        <v>0</v>
      </c>
      <c r="XB113" s="92">
        <f t="shared" si="1119"/>
        <v>0</v>
      </c>
      <c r="XC113" s="92">
        <f t="shared" si="1120"/>
        <v>0</v>
      </c>
      <c r="XD113" s="89"/>
      <c r="XE113" s="92">
        <f t="shared" si="1125"/>
        <v>0</v>
      </c>
      <c r="XF113" s="92">
        <f t="shared" si="1126"/>
        <v>0</v>
      </c>
      <c r="XG113" s="89"/>
      <c r="XH113" s="92"/>
      <c r="XI113" s="92"/>
      <c r="XJ113" s="89"/>
      <c r="XK113" s="87"/>
      <c r="XL113" s="87"/>
      <c r="XM113" s="87"/>
      <c r="XN113" s="87"/>
      <c r="XO113" s="87"/>
      <c r="XP113" s="87"/>
      <c r="XQ113" s="87"/>
      <c r="XR113" s="92">
        <f t="shared" ca="1" si="1122"/>
        <v>0</v>
      </c>
      <c r="XS113" s="89"/>
      <c r="XT113" s="87"/>
      <c r="XU113" s="87"/>
      <c r="XV113" s="87"/>
      <c r="XW113" s="87"/>
      <c r="XX113" s="87"/>
      <c r="XY113" s="87"/>
      <c r="XZ113" s="87"/>
      <c r="YA113" s="92">
        <f t="shared" ca="1" si="1123"/>
        <v>0</v>
      </c>
      <c r="YB113" s="90"/>
      <c r="YC113" s="90"/>
      <c r="YD113" s="90"/>
      <c r="YE113" s="90"/>
      <c r="YF113" s="90"/>
      <c r="YG113" s="90"/>
      <c r="YH113" s="90"/>
      <c r="YI113" s="90"/>
      <c r="YJ113" s="90"/>
      <c r="YK113" s="90"/>
      <c r="YL113" s="90"/>
      <c r="YM113" s="90"/>
      <c r="YN113" s="90"/>
      <c r="YO113" s="90"/>
      <c r="YP113" s="90"/>
      <c r="YQ113" s="90"/>
      <c r="YR113" s="90"/>
      <c r="YS113" s="90"/>
      <c r="YT113" s="90"/>
      <c r="YU113" s="90"/>
      <c r="YV113" s="90"/>
      <c r="YW113" s="90"/>
      <c r="YX113" s="90"/>
      <c r="YY113" s="90"/>
      <c r="YZ113" s="90"/>
      <c r="ZA113" s="90"/>
      <c r="ZB113" s="90"/>
      <c r="ZC113" s="90"/>
      <c r="ZD113" s="90"/>
      <c r="ZE113" s="90"/>
      <c r="ZF113" s="90"/>
      <c r="ZG113" s="90"/>
      <c r="ZH113" s="90"/>
      <c r="ZI113" s="90"/>
      <c r="ZJ113" s="90"/>
      <c r="ZK113" s="90"/>
      <c r="ZL113" s="90"/>
      <c r="ZM113" s="90"/>
      <c r="ZN113" s="90"/>
      <c r="ZO113" s="90"/>
      <c r="ZP113" s="90"/>
      <c r="ZQ113" s="90"/>
      <c r="ZR113" s="90"/>
      <c r="ZS113" s="90"/>
      <c r="ZT113" s="90"/>
      <c r="ZU113" s="90"/>
      <c r="ZV113" s="90"/>
      <c r="ZW113" s="90"/>
      <c r="ZX113" s="90"/>
      <c r="ZY113" s="90"/>
      <c r="ZZ113" s="90"/>
      <c r="AAA113" s="90"/>
      <c r="AAB113" s="90"/>
      <c r="AAC113" s="90"/>
      <c r="AAD113" s="90"/>
      <c r="AAE113" s="90"/>
      <c r="AAF113" s="90"/>
      <c r="AAG113" s="90"/>
      <c r="AAH113" s="90"/>
      <c r="AAI113" s="90"/>
      <c r="AAJ113" s="90"/>
      <c r="AAK113" s="90"/>
      <c r="AAL113" s="90"/>
      <c r="AAM113" s="90"/>
      <c r="AAN113" s="90"/>
      <c r="AAO113" s="90"/>
      <c r="AAP113" s="90"/>
      <c r="AAQ113" s="90"/>
      <c r="AAR113" s="90"/>
      <c r="AAS113" s="90"/>
      <c r="AAT113" s="90"/>
      <c r="AAU113" s="90"/>
      <c r="AAV113" s="90"/>
      <c r="AAW113" s="90"/>
      <c r="AAX113" s="90"/>
      <c r="AAY113" s="90"/>
      <c r="AAZ113" s="90"/>
      <c r="ABA113" s="90"/>
      <c r="ABB113" s="90"/>
      <c r="ABC113" s="90"/>
      <c r="ABD113" s="90"/>
      <c r="ABE113" s="90"/>
      <c r="ABF113" s="90"/>
      <c r="ABG113" s="90"/>
      <c r="ABH113" s="90"/>
      <c r="ABI113" s="90"/>
      <c r="ABJ113" s="90"/>
      <c r="ABK113" s="90"/>
      <c r="ABL113" s="90"/>
      <c r="ABM113" s="90"/>
      <c r="ABN113" s="90"/>
      <c r="ABO113" s="90"/>
      <c r="ABP113" s="90"/>
      <c r="ABQ113" s="90"/>
      <c r="ABR113" s="90"/>
      <c r="ABS113" s="90"/>
      <c r="ABT113" s="90"/>
      <c r="ABU113" s="90"/>
      <c r="ABV113" s="90"/>
      <c r="ABW113" s="90"/>
      <c r="ABX113" s="90"/>
      <c r="ABY113" s="90"/>
      <c r="ABZ113" s="90"/>
      <c r="ACA113" s="90"/>
      <c r="ACB113" s="90"/>
      <c r="ACC113" s="90"/>
      <c r="ACD113" s="90"/>
      <c r="ACE113" s="90"/>
      <c r="ACF113" s="90"/>
      <c r="ACG113" s="90"/>
      <c r="ACH113" s="90"/>
      <c r="ACI113" s="90"/>
      <c r="ACJ113" s="90"/>
      <c r="ACK113" s="90"/>
      <c r="ACL113" s="90"/>
      <c r="ACM113" s="90"/>
      <c r="ACN113" s="90"/>
      <c r="ACO113" s="90"/>
      <c r="ACP113" s="90"/>
      <c r="ACQ113" s="90"/>
      <c r="ACR113" s="90"/>
      <c r="ACS113" s="90"/>
      <c r="ACT113" s="90"/>
      <c r="ACU113" s="90"/>
      <c r="ACV113" s="90"/>
      <c r="ACW113" s="90"/>
      <c r="ACX113" s="90"/>
      <c r="ACY113" s="90"/>
      <c r="ACZ113" s="90"/>
      <c r="ADA113" s="90"/>
      <c r="ADB113" s="90"/>
      <c r="ADC113" s="90"/>
      <c r="ADD113" s="90"/>
      <c r="ADE113" s="90"/>
      <c r="ADF113" s="90"/>
      <c r="ADG113" s="90"/>
      <c r="ADH113" s="90"/>
      <c r="ADI113" s="90"/>
      <c r="ADJ113" s="90"/>
      <c r="ADK113" s="90"/>
      <c r="ADL113" s="90"/>
      <c r="ADM113" s="90"/>
      <c r="ADN113" s="90"/>
      <c r="ADO113" s="90"/>
      <c r="ADP113" s="90"/>
      <c r="ADQ113" s="90"/>
      <c r="ADR113" s="90"/>
      <c r="ADS113" s="90"/>
      <c r="ADT113" s="90"/>
      <c r="ADU113" s="90"/>
      <c r="ADV113" s="90"/>
      <c r="ADW113" s="90"/>
      <c r="ADX113" s="90"/>
      <c r="ADY113" s="90"/>
      <c r="ADZ113" s="90"/>
      <c r="AEA113" s="90"/>
      <c r="AEB113" s="90"/>
      <c r="AEC113" s="90"/>
      <c r="AED113" s="90"/>
      <c r="AEE113" s="90"/>
      <c r="AEF113" s="90"/>
      <c r="AEG113" s="90"/>
      <c r="AEH113" s="90"/>
      <c r="AEI113" s="90"/>
      <c r="AEJ113" s="90"/>
      <c r="AEK113" s="90"/>
      <c r="AEL113" s="90"/>
      <c r="AEM113" s="90"/>
      <c r="AEN113" s="90"/>
      <c r="AEO113" s="90"/>
      <c r="AEP113" s="90"/>
      <c r="AEQ113" s="90"/>
      <c r="AER113" s="90"/>
      <c r="AES113" s="90"/>
      <c r="AET113" s="90"/>
      <c r="AEU113" s="90"/>
      <c r="AEV113" s="90"/>
      <c r="AEW113" s="90"/>
      <c r="AEX113" s="90"/>
      <c r="AEY113" s="90"/>
      <c r="AEZ113" s="90"/>
      <c r="AFA113" s="90"/>
      <c r="AFB113" s="90"/>
      <c r="AFC113" s="90"/>
      <c r="AFD113" s="90"/>
      <c r="AFE113" s="90"/>
      <c r="AFF113" s="90"/>
      <c r="AFG113" s="90"/>
      <c r="AFH113" s="90"/>
      <c r="AFI113" s="90"/>
      <c r="AFJ113" s="90"/>
      <c r="AFK113" s="90"/>
      <c r="AFL113" s="90"/>
      <c r="AFM113" s="90"/>
      <c r="AFN113" s="90"/>
      <c r="AFO113" s="90"/>
      <c r="AFP113" s="90"/>
      <c r="AFQ113" s="90"/>
      <c r="AFR113" s="90"/>
      <c r="AFS113" s="90"/>
      <c r="AFT113" s="90"/>
      <c r="AFU113" s="90"/>
      <c r="AFV113" s="90"/>
      <c r="AFW113" s="90"/>
      <c r="AFX113" s="90"/>
      <c r="AFY113" s="90"/>
      <c r="AFZ113" s="90"/>
      <c r="AGA113" s="90"/>
      <c r="AGB113" s="90"/>
      <c r="AGC113" s="90"/>
      <c r="AGD113" s="90"/>
      <c r="AGE113" s="90"/>
      <c r="AGF113" s="90"/>
      <c r="AGG113" s="90"/>
      <c r="AGH113" s="90"/>
      <c r="AGI113" s="90"/>
      <c r="AGJ113" s="90"/>
      <c r="AGK113" s="90"/>
      <c r="AGL113" s="90"/>
      <c r="AGM113" s="90"/>
      <c r="AGN113" s="90"/>
      <c r="AGO113" s="90"/>
      <c r="AGP113" s="90"/>
      <c r="AGQ113" s="90"/>
      <c r="AGR113" s="90"/>
      <c r="AGS113" s="90"/>
      <c r="AGT113" s="90"/>
      <c r="AGU113" s="90"/>
      <c r="AGV113" s="90"/>
      <c r="AGW113" s="90"/>
      <c r="AGX113" s="90"/>
      <c r="AGY113" s="90"/>
      <c r="AGZ113" s="90"/>
      <c r="AHA113" s="90"/>
      <c r="AHB113" s="90"/>
      <c r="AHC113" s="90"/>
      <c r="AHD113" s="90"/>
      <c r="AHE113" s="90"/>
      <c r="AHF113" s="90"/>
      <c r="AHG113" s="90"/>
      <c r="AHH113" s="90"/>
      <c r="AHI113" s="90"/>
      <c r="AHJ113" s="90"/>
      <c r="AHK113" s="90"/>
      <c r="AHL113" s="90"/>
      <c r="AHM113" s="90"/>
      <c r="AHN113" s="90"/>
      <c r="AHO113" s="90"/>
      <c r="AHP113" s="90"/>
      <c r="AHQ113" s="90"/>
      <c r="AHR113" s="90"/>
      <c r="AHS113" s="90"/>
      <c r="AHT113" s="90"/>
      <c r="AHU113" s="90"/>
      <c r="AHV113" s="90"/>
      <c r="AHW113" s="90"/>
      <c r="AHX113" s="90"/>
      <c r="AHY113" s="90"/>
      <c r="AHZ113" s="90"/>
      <c r="AIA113" s="90"/>
      <c r="AIB113" s="90"/>
      <c r="AIC113" s="90"/>
      <c r="AID113" s="90"/>
      <c r="AIE113" s="90"/>
      <c r="AIF113" s="90"/>
      <c r="AIG113" s="90"/>
      <c r="AIH113" s="90"/>
      <c r="AII113" s="90"/>
      <c r="AIJ113" s="90"/>
      <c r="AIK113" s="90"/>
      <c r="AIL113" s="90"/>
      <c r="AIM113" s="90"/>
      <c r="AIN113" s="90"/>
      <c r="AIO113" s="90"/>
      <c r="AIP113" s="90"/>
      <c r="AIQ113" s="90"/>
      <c r="AIR113" s="90"/>
      <c r="AIS113" s="90"/>
      <c r="AIT113" s="90"/>
      <c r="AIU113" s="90"/>
      <c r="AIV113" s="90"/>
      <c r="AIW113" s="90"/>
      <c r="AIX113" s="90"/>
      <c r="AIY113" s="90"/>
      <c r="AIZ113" s="90"/>
      <c r="AJA113" s="90"/>
      <c r="AJB113" s="90"/>
      <c r="AJC113" s="90"/>
      <c r="AJD113" s="90"/>
      <c r="AJE113" s="90"/>
      <c r="AJF113" s="90"/>
      <c r="AJG113" s="90"/>
      <c r="AJH113" s="90"/>
      <c r="AJI113" s="90"/>
      <c r="AJJ113" s="90"/>
      <c r="AJK113" s="90"/>
      <c r="AJL113" s="90"/>
      <c r="AJM113" s="90"/>
      <c r="AJN113" s="90"/>
      <c r="AJO113" s="90"/>
      <c r="AJP113" s="90"/>
      <c r="AJQ113" s="90"/>
      <c r="AJR113" s="90"/>
      <c r="AJS113" s="90"/>
      <c r="AJT113" s="90"/>
      <c r="AJU113" s="90"/>
      <c r="AJV113" s="90"/>
      <c r="AJW113" s="90"/>
      <c r="AJX113" s="90"/>
      <c r="AJY113" s="90"/>
      <c r="AJZ113" s="90"/>
      <c r="AKA113" s="90"/>
      <c r="AKB113" s="90"/>
      <c r="AKC113" s="90"/>
      <c r="AKD113" s="90"/>
      <c r="AKE113" s="90"/>
      <c r="AKF113" s="90"/>
      <c r="AKG113" s="90"/>
      <c r="AKH113" s="90"/>
      <c r="AKI113" s="90"/>
      <c r="AKJ113" s="90"/>
      <c r="AKK113" s="90"/>
      <c r="AKL113" s="90"/>
      <c r="AKM113" s="90"/>
      <c r="AKN113" s="90"/>
      <c r="AKO113" s="90"/>
      <c r="AKP113" s="90"/>
      <c r="AKQ113" s="90"/>
      <c r="AKR113" s="90"/>
      <c r="AKS113" s="90"/>
      <c r="AKT113" s="90"/>
      <c r="AKU113" s="90"/>
      <c r="AKV113" s="90"/>
      <c r="AKW113" s="90"/>
      <c r="AKX113" s="90"/>
      <c r="AKY113" s="90"/>
      <c r="AKZ113" s="90"/>
      <c r="ALA113" s="90"/>
      <c r="ALB113" s="90"/>
      <c r="ALC113" s="90"/>
      <c r="ALD113" s="90"/>
      <c r="ALE113" s="90"/>
      <c r="ALF113" s="90"/>
      <c r="ALG113" s="90"/>
      <c r="ALH113" s="90"/>
      <c r="ALI113" s="90"/>
      <c r="ALJ113" s="90"/>
      <c r="ALK113" s="90"/>
      <c r="ALL113" s="90"/>
      <c r="ALM113" s="90"/>
      <c r="ALN113" s="90"/>
      <c r="ALO113" s="90"/>
      <c r="ALP113" s="90"/>
      <c r="ALQ113" s="90"/>
      <c r="ALR113" s="90"/>
      <c r="ALS113" s="90"/>
      <c r="ALT113" s="90"/>
      <c r="ALU113" s="90"/>
      <c r="ALV113" s="90"/>
      <c r="ALW113" s="90"/>
      <c r="ALX113" s="90"/>
      <c r="ALY113" s="90"/>
      <c r="ALZ113" s="90"/>
      <c r="AMA113" s="90"/>
      <c r="AMB113" s="90"/>
      <c r="AMC113" s="90"/>
    </row>
    <row r="114" spans="1:1017">
      <c r="A114" s="98" t="s">
        <v>47</v>
      </c>
      <c r="B114" s="90" t="str">
        <f t="shared" si="1028"/>
        <v>Udang Putih</v>
      </c>
      <c r="E114" s="98">
        <v>288900</v>
      </c>
      <c r="F114" s="98">
        <v>11556000</v>
      </c>
      <c r="Q114" s="91">
        <f t="shared" si="1029"/>
        <v>288900</v>
      </c>
      <c r="R114" s="91">
        <f t="shared" si="1030"/>
        <v>11556000</v>
      </c>
      <c r="AG114" s="91">
        <f t="shared" si="1031"/>
        <v>0</v>
      </c>
      <c r="AH114" s="91">
        <f t="shared" si="1032"/>
        <v>0</v>
      </c>
      <c r="AW114" s="91">
        <f t="shared" si="1033"/>
        <v>0</v>
      </c>
      <c r="AX114" s="91">
        <f t="shared" si="1034"/>
        <v>0</v>
      </c>
      <c r="BM114" s="91">
        <f t="shared" si="1035"/>
        <v>0</v>
      </c>
      <c r="BN114" s="91">
        <f t="shared" si="1036"/>
        <v>0</v>
      </c>
      <c r="CC114" s="91">
        <f t="shared" si="1037"/>
        <v>0</v>
      </c>
      <c r="CD114" s="91">
        <f t="shared" si="1038"/>
        <v>0</v>
      </c>
      <c r="CS114" s="91">
        <f t="shared" si="1039"/>
        <v>0</v>
      </c>
      <c r="CT114" s="91">
        <f t="shared" si="1040"/>
        <v>0</v>
      </c>
      <c r="DI114" s="91">
        <f t="shared" si="1041"/>
        <v>0</v>
      </c>
      <c r="DJ114" s="91">
        <f t="shared" si="1042"/>
        <v>0</v>
      </c>
      <c r="DY114" s="91">
        <f t="shared" si="1043"/>
        <v>0</v>
      </c>
      <c r="DZ114" s="91">
        <f t="shared" si="1044"/>
        <v>0</v>
      </c>
      <c r="EO114" s="91">
        <f t="shared" si="1045"/>
        <v>0</v>
      </c>
      <c r="EP114" s="91">
        <f t="shared" si="1046"/>
        <v>0</v>
      </c>
      <c r="FE114" s="91">
        <f t="shared" si="1047"/>
        <v>0</v>
      </c>
      <c r="FF114" s="91">
        <f t="shared" si="1048"/>
        <v>0</v>
      </c>
      <c r="FU114" s="91">
        <f t="shared" si="1049"/>
        <v>0</v>
      </c>
      <c r="FV114" s="91">
        <f t="shared" si="1050"/>
        <v>0</v>
      </c>
      <c r="GK114" s="91">
        <f t="shared" si="1051"/>
        <v>0</v>
      </c>
      <c r="GL114" s="91">
        <f t="shared" si="1052"/>
        <v>0</v>
      </c>
      <c r="HA114" s="91">
        <f t="shared" si="1053"/>
        <v>0</v>
      </c>
      <c r="HB114" s="91">
        <f t="shared" si="1054"/>
        <v>0</v>
      </c>
      <c r="HQ114" s="91">
        <f t="shared" si="1055"/>
        <v>0</v>
      </c>
      <c r="HR114" s="91">
        <f t="shared" si="1056"/>
        <v>0</v>
      </c>
      <c r="IG114" s="91">
        <f t="shared" si="1057"/>
        <v>0</v>
      </c>
      <c r="IH114" s="91">
        <f t="shared" si="1058"/>
        <v>0</v>
      </c>
      <c r="IW114" s="91">
        <f t="shared" si="1059"/>
        <v>0</v>
      </c>
      <c r="IX114" s="91">
        <f t="shared" si="1060"/>
        <v>0</v>
      </c>
      <c r="JM114" s="91">
        <f t="shared" si="1061"/>
        <v>0</v>
      </c>
      <c r="JN114" s="91">
        <f t="shared" si="1062"/>
        <v>0</v>
      </c>
      <c r="KC114" s="91">
        <f t="shared" si="1063"/>
        <v>0</v>
      </c>
      <c r="KD114" s="91">
        <f t="shared" si="1064"/>
        <v>0</v>
      </c>
      <c r="KS114" s="91">
        <f t="shared" si="1065"/>
        <v>0</v>
      </c>
      <c r="KT114" s="91">
        <f t="shared" si="1066"/>
        <v>0</v>
      </c>
      <c r="LI114" s="91">
        <f t="shared" si="1067"/>
        <v>0</v>
      </c>
      <c r="LJ114" s="91">
        <f t="shared" si="1068"/>
        <v>0</v>
      </c>
      <c r="LY114" s="91">
        <f t="shared" si="1069"/>
        <v>0</v>
      </c>
      <c r="LZ114" s="91">
        <f t="shared" si="1070"/>
        <v>0</v>
      </c>
      <c r="MC114" s="98">
        <v>13900</v>
      </c>
      <c r="MD114" s="98">
        <v>556000</v>
      </c>
      <c r="MO114" s="91">
        <f t="shared" si="1071"/>
        <v>13900</v>
      </c>
      <c r="MP114" s="91">
        <f t="shared" si="1072"/>
        <v>556000</v>
      </c>
      <c r="NE114" s="91">
        <f t="shared" si="1073"/>
        <v>0</v>
      </c>
      <c r="NF114" s="91">
        <f t="shared" si="1074"/>
        <v>0</v>
      </c>
      <c r="NI114" s="98">
        <v>60000</v>
      </c>
      <c r="NJ114" s="98">
        <v>2700000</v>
      </c>
      <c r="NU114" s="91">
        <f t="shared" si="1075"/>
        <v>60000</v>
      </c>
      <c r="NV114" s="91">
        <f t="shared" si="1076"/>
        <v>2700000</v>
      </c>
      <c r="OK114" s="91">
        <f t="shared" si="1077"/>
        <v>0</v>
      </c>
      <c r="OL114" s="91">
        <f t="shared" si="1078"/>
        <v>0</v>
      </c>
      <c r="PA114" s="91">
        <f t="shared" si="1079"/>
        <v>0</v>
      </c>
      <c r="PB114" s="91">
        <f t="shared" si="1080"/>
        <v>0</v>
      </c>
      <c r="PQ114" s="91">
        <f t="shared" si="1081"/>
        <v>0</v>
      </c>
      <c r="PR114" s="91">
        <f t="shared" si="1082"/>
        <v>0</v>
      </c>
      <c r="QG114" s="91">
        <f t="shared" si="1083"/>
        <v>0</v>
      </c>
      <c r="QH114" s="91">
        <f t="shared" si="1084"/>
        <v>0</v>
      </c>
      <c r="QW114" s="91">
        <f t="shared" si="1085"/>
        <v>0</v>
      </c>
      <c r="QX114" s="91">
        <f t="shared" si="1086"/>
        <v>0</v>
      </c>
      <c r="RM114" s="91">
        <f t="shared" si="1087"/>
        <v>0</v>
      </c>
      <c r="RN114" s="91">
        <f t="shared" si="1088"/>
        <v>0</v>
      </c>
      <c r="SC114" s="91">
        <f t="shared" si="1089"/>
        <v>0</v>
      </c>
      <c r="SD114" s="91">
        <f t="shared" si="1090"/>
        <v>0</v>
      </c>
      <c r="SS114" s="91">
        <f t="shared" si="1091"/>
        <v>0</v>
      </c>
      <c r="ST114" s="91">
        <f t="shared" si="1092"/>
        <v>0</v>
      </c>
      <c r="TI114" s="91">
        <f t="shared" si="1093"/>
        <v>0</v>
      </c>
      <c r="TJ114" s="91">
        <f t="shared" si="1094"/>
        <v>0</v>
      </c>
      <c r="TY114" s="91">
        <f t="shared" si="1095"/>
        <v>0</v>
      </c>
      <c r="TZ114" s="91">
        <f t="shared" si="1096"/>
        <v>0</v>
      </c>
      <c r="UO114" s="91">
        <f t="shared" si="1097"/>
        <v>0</v>
      </c>
      <c r="UP114" s="91">
        <f t="shared" si="1098"/>
        <v>0</v>
      </c>
      <c r="VE114" s="91">
        <f t="shared" si="1099"/>
        <v>0</v>
      </c>
      <c r="VF114" s="91">
        <f t="shared" si="1100"/>
        <v>0</v>
      </c>
      <c r="VI114" s="98">
        <v>446</v>
      </c>
      <c r="VJ114" s="98">
        <v>22300</v>
      </c>
      <c r="VU114" s="91">
        <f t="shared" si="1101"/>
        <v>446</v>
      </c>
      <c r="VV114" s="91">
        <f t="shared" si="1102"/>
        <v>22300</v>
      </c>
      <c r="WK114" s="91">
        <f t="shared" si="1103"/>
        <v>0</v>
      </c>
      <c r="WL114" s="91">
        <f t="shared" si="1104"/>
        <v>0</v>
      </c>
      <c r="WM114" s="89"/>
      <c r="WN114" s="87">
        <f t="shared" si="1105"/>
        <v>0</v>
      </c>
      <c r="WO114" s="87">
        <f t="shared" si="1106"/>
        <v>0</v>
      </c>
      <c r="WP114" s="87">
        <f t="shared" si="1107"/>
        <v>363246</v>
      </c>
      <c r="WQ114" s="87">
        <f t="shared" si="1108"/>
        <v>14834300</v>
      </c>
      <c r="WR114" s="87">
        <f t="shared" si="1109"/>
        <v>0</v>
      </c>
      <c r="WS114" s="87">
        <f t="shared" si="1110"/>
        <v>0</v>
      </c>
      <c r="WT114" s="87">
        <f t="shared" si="1111"/>
        <v>0</v>
      </c>
      <c r="WU114" s="87">
        <f t="shared" si="1112"/>
        <v>0</v>
      </c>
      <c r="WV114" s="87">
        <f t="shared" si="1113"/>
        <v>0</v>
      </c>
      <c r="WW114" s="87">
        <f t="shared" si="1114"/>
        <v>0</v>
      </c>
      <c r="WX114" s="87">
        <f t="shared" si="1115"/>
        <v>0</v>
      </c>
      <c r="WY114" s="87">
        <f t="shared" si="1116"/>
        <v>0</v>
      </c>
      <c r="WZ114" s="87">
        <f t="shared" si="1127"/>
        <v>0</v>
      </c>
      <c r="XA114" s="87">
        <f t="shared" si="1128"/>
        <v>0</v>
      </c>
      <c r="XB114" s="92">
        <f t="shared" si="1119"/>
        <v>363246</v>
      </c>
      <c r="XC114" s="92">
        <f t="shared" si="1120"/>
        <v>14834300</v>
      </c>
      <c r="XD114" s="89"/>
      <c r="XE114" s="92">
        <f t="shared" si="1125"/>
        <v>575226</v>
      </c>
      <c r="XF114" s="92">
        <f t="shared" si="1126"/>
        <v>24326520</v>
      </c>
      <c r="XG114" s="89"/>
      <c r="XH114" s="92"/>
      <c r="XI114" s="92"/>
      <c r="XJ114" s="89"/>
      <c r="XK114" s="87"/>
      <c r="XL114" s="87"/>
      <c r="XM114" s="87"/>
      <c r="XN114" s="87"/>
      <c r="XO114" s="87"/>
      <c r="XP114" s="87"/>
      <c r="XQ114" s="87"/>
      <c r="XR114" s="92">
        <f t="shared" ca="1" si="1122"/>
        <v>0</v>
      </c>
      <c r="XS114" s="89"/>
      <c r="XT114" s="87"/>
      <c r="XU114" s="87"/>
      <c r="XV114" s="87"/>
      <c r="XW114" s="87"/>
      <c r="XX114" s="87"/>
      <c r="XY114" s="87"/>
      <c r="XZ114" s="87"/>
      <c r="YA114" s="92">
        <f t="shared" ca="1" si="1123"/>
        <v>0</v>
      </c>
      <c r="YB114" s="90"/>
      <c r="YC114" s="90"/>
      <c r="YD114" s="90"/>
      <c r="YE114" s="90"/>
      <c r="YF114" s="90"/>
      <c r="YG114" s="90"/>
      <c r="YH114" s="90"/>
      <c r="YI114" s="90"/>
      <c r="YJ114" s="90"/>
      <c r="YK114" s="90"/>
      <c r="YL114" s="90"/>
      <c r="YM114" s="90"/>
      <c r="YN114" s="90"/>
      <c r="YO114" s="90"/>
      <c r="YP114" s="90"/>
      <c r="YQ114" s="90"/>
      <c r="YR114" s="90"/>
      <c r="YS114" s="90"/>
      <c r="YT114" s="90"/>
      <c r="YU114" s="90"/>
      <c r="YV114" s="90"/>
      <c r="YW114" s="90"/>
      <c r="YX114" s="90"/>
      <c r="YY114" s="90"/>
      <c r="YZ114" s="90"/>
      <c r="ZA114" s="90"/>
      <c r="ZB114" s="90"/>
      <c r="ZC114" s="90"/>
      <c r="ZD114" s="90"/>
      <c r="ZE114" s="90"/>
      <c r="ZF114" s="90"/>
      <c r="ZG114" s="90"/>
      <c r="ZH114" s="90"/>
      <c r="ZI114" s="90"/>
      <c r="ZJ114" s="90"/>
      <c r="ZK114" s="90"/>
      <c r="ZL114" s="90"/>
      <c r="ZM114" s="90"/>
      <c r="ZN114" s="90"/>
      <c r="ZO114" s="90"/>
      <c r="ZP114" s="90"/>
      <c r="ZQ114" s="90"/>
      <c r="ZR114" s="90"/>
      <c r="ZS114" s="90"/>
      <c r="ZT114" s="90"/>
      <c r="ZU114" s="90"/>
      <c r="ZV114" s="90"/>
      <c r="ZW114" s="90"/>
      <c r="ZX114" s="90"/>
      <c r="ZY114" s="90"/>
      <c r="ZZ114" s="90"/>
      <c r="AAA114" s="90"/>
      <c r="AAB114" s="90"/>
      <c r="AAC114" s="90"/>
      <c r="AAD114" s="90"/>
      <c r="AAE114" s="90"/>
      <c r="AAF114" s="90"/>
      <c r="AAG114" s="90"/>
      <c r="AAH114" s="90"/>
      <c r="AAI114" s="90"/>
      <c r="AAJ114" s="90"/>
      <c r="AAK114" s="90"/>
      <c r="AAL114" s="90"/>
      <c r="AAM114" s="90"/>
      <c r="AAN114" s="90"/>
      <c r="AAO114" s="90"/>
      <c r="AAP114" s="90"/>
      <c r="AAQ114" s="90"/>
      <c r="AAR114" s="90"/>
      <c r="AAS114" s="90"/>
      <c r="AAT114" s="90"/>
      <c r="AAU114" s="90"/>
      <c r="AAV114" s="90"/>
      <c r="AAW114" s="90"/>
      <c r="AAX114" s="90"/>
      <c r="AAY114" s="90"/>
      <c r="AAZ114" s="90"/>
      <c r="ABA114" s="90"/>
      <c r="ABB114" s="90"/>
      <c r="ABC114" s="90"/>
      <c r="ABD114" s="90"/>
      <c r="ABE114" s="90"/>
      <c r="ABF114" s="90"/>
      <c r="ABG114" s="90"/>
      <c r="ABH114" s="90"/>
      <c r="ABI114" s="90"/>
      <c r="ABJ114" s="90"/>
      <c r="ABK114" s="90"/>
      <c r="ABL114" s="90"/>
      <c r="ABM114" s="90"/>
      <c r="ABN114" s="90"/>
      <c r="ABO114" s="90"/>
      <c r="ABP114" s="90"/>
      <c r="ABQ114" s="90"/>
      <c r="ABR114" s="90"/>
      <c r="ABS114" s="90"/>
      <c r="ABT114" s="90"/>
      <c r="ABU114" s="90"/>
      <c r="ABV114" s="90"/>
      <c r="ABW114" s="90"/>
      <c r="ABX114" s="90"/>
      <c r="ABY114" s="90"/>
      <c r="ABZ114" s="90"/>
      <c r="ACA114" s="90"/>
      <c r="ACB114" s="90"/>
      <c r="ACC114" s="90"/>
      <c r="ACD114" s="90"/>
      <c r="ACE114" s="90"/>
      <c r="ACF114" s="90"/>
      <c r="ACG114" s="90"/>
      <c r="ACH114" s="90"/>
      <c r="ACI114" s="90"/>
      <c r="ACJ114" s="90"/>
      <c r="ACK114" s="90"/>
      <c r="ACL114" s="90"/>
      <c r="ACM114" s="90"/>
      <c r="ACN114" s="90"/>
      <c r="ACO114" s="90"/>
      <c r="ACP114" s="90"/>
      <c r="ACQ114" s="90"/>
      <c r="ACR114" s="90"/>
      <c r="ACS114" s="90"/>
      <c r="ACT114" s="90"/>
      <c r="ACU114" s="90"/>
      <c r="ACV114" s="90"/>
      <c r="ACW114" s="90"/>
      <c r="ACX114" s="90"/>
      <c r="ACY114" s="90"/>
      <c r="ACZ114" s="90"/>
      <c r="ADA114" s="90"/>
      <c r="ADB114" s="90"/>
      <c r="ADC114" s="90"/>
      <c r="ADD114" s="90"/>
      <c r="ADE114" s="90"/>
      <c r="ADF114" s="90"/>
      <c r="ADG114" s="90"/>
      <c r="ADH114" s="90"/>
      <c r="ADI114" s="90"/>
      <c r="ADJ114" s="90"/>
      <c r="ADK114" s="90"/>
      <c r="ADL114" s="90"/>
      <c r="ADM114" s="90"/>
      <c r="ADN114" s="90"/>
      <c r="ADO114" s="90"/>
      <c r="ADP114" s="90"/>
      <c r="ADQ114" s="90"/>
      <c r="ADR114" s="90"/>
      <c r="ADS114" s="90"/>
      <c r="ADT114" s="90"/>
      <c r="ADU114" s="90"/>
      <c r="ADV114" s="90"/>
      <c r="ADW114" s="90"/>
      <c r="ADX114" s="90"/>
      <c r="ADY114" s="90"/>
      <c r="ADZ114" s="90"/>
      <c r="AEA114" s="90"/>
      <c r="AEB114" s="90"/>
      <c r="AEC114" s="90"/>
      <c r="AED114" s="90"/>
      <c r="AEE114" s="90"/>
      <c r="AEF114" s="90"/>
      <c r="AEG114" s="90"/>
      <c r="AEH114" s="90"/>
      <c r="AEI114" s="90"/>
      <c r="AEJ114" s="90"/>
      <c r="AEK114" s="90"/>
      <c r="AEL114" s="90"/>
      <c r="AEM114" s="90"/>
      <c r="AEN114" s="90"/>
      <c r="AEO114" s="90"/>
      <c r="AEP114" s="90"/>
      <c r="AEQ114" s="90"/>
      <c r="AER114" s="90"/>
      <c r="AES114" s="90"/>
      <c r="AET114" s="90"/>
      <c r="AEU114" s="90"/>
      <c r="AEV114" s="90"/>
      <c r="AEW114" s="90"/>
      <c r="AEX114" s="90"/>
      <c r="AEY114" s="90"/>
      <c r="AEZ114" s="90"/>
      <c r="AFA114" s="90"/>
      <c r="AFB114" s="90"/>
      <c r="AFC114" s="90"/>
      <c r="AFD114" s="90"/>
      <c r="AFE114" s="90"/>
      <c r="AFF114" s="90"/>
      <c r="AFG114" s="90"/>
      <c r="AFH114" s="90"/>
      <c r="AFI114" s="90"/>
      <c r="AFJ114" s="90"/>
      <c r="AFK114" s="90"/>
      <c r="AFL114" s="90"/>
      <c r="AFM114" s="90"/>
      <c r="AFN114" s="90"/>
      <c r="AFO114" s="90"/>
      <c r="AFP114" s="90"/>
      <c r="AFQ114" s="90"/>
      <c r="AFR114" s="90"/>
      <c r="AFS114" s="90"/>
      <c r="AFT114" s="90"/>
      <c r="AFU114" s="90"/>
      <c r="AFV114" s="90"/>
      <c r="AFW114" s="90"/>
      <c r="AFX114" s="90"/>
      <c r="AFY114" s="90"/>
      <c r="AFZ114" s="90"/>
      <c r="AGA114" s="90"/>
      <c r="AGB114" s="90"/>
      <c r="AGC114" s="90"/>
      <c r="AGD114" s="90"/>
      <c r="AGE114" s="90"/>
      <c r="AGF114" s="90"/>
      <c r="AGG114" s="90"/>
      <c r="AGH114" s="90"/>
      <c r="AGI114" s="90"/>
      <c r="AGJ114" s="90"/>
      <c r="AGK114" s="90"/>
      <c r="AGL114" s="90"/>
      <c r="AGM114" s="90"/>
      <c r="AGN114" s="90"/>
      <c r="AGO114" s="90"/>
      <c r="AGP114" s="90"/>
      <c r="AGQ114" s="90"/>
      <c r="AGR114" s="90"/>
      <c r="AGS114" s="90"/>
      <c r="AGT114" s="90"/>
      <c r="AGU114" s="90"/>
      <c r="AGV114" s="90"/>
      <c r="AGW114" s="90"/>
      <c r="AGX114" s="90"/>
      <c r="AGY114" s="90"/>
      <c r="AGZ114" s="90"/>
      <c r="AHA114" s="90"/>
      <c r="AHB114" s="90"/>
      <c r="AHC114" s="90"/>
      <c r="AHD114" s="90"/>
      <c r="AHE114" s="90"/>
      <c r="AHF114" s="90"/>
      <c r="AHG114" s="90"/>
      <c r="AHH114" s="90"/>
      <c r="AHI114" s="90"/>
      <c r="AHJ114" s="90"/>
      <c r="AHK114" s="90"/>
      <c r="AHL114" s="90"/>
      <c r="AHM114" s="90"/>
      <c r="AHN114" s="90"/>
      <c r="AHO114" s="90"/>
      <c r="AHP114" s="90"/>
      <c r="AHQ114" s="90"/>
      <c r="AHR114" s="90"/>
      <c r="AHS114" s="90"/>
      <c r="AHT114" s="90"/>
      <c r="AHU114" s="90"/>
      <c r="AHV114" s="90"/>
      <c r="AHW114" s="90"/>
      <c r="AHX114" s="90"/>
      <c r="AHY114" s="90"/>
      <c r="AHZ114" s="90"/>
      <c r="AIA114" s="90"/>
      <c r="AIB114" s="90"/>
      <c r="AIC114" s="90"/>
      <c r="AID114" s="90"/>
      <c r="AIE114" s="90"/>
      <c r="AIF114" s="90"/>
      <c r="AIG114" s="90"/>
      <c r="AIH114" s="90"/>
      <c r="AII114" s="90"/>
      <c r="AIJ114" s="90"/>
      <c r="AIK114" s="90"/>
      <c r="AIL114" s="90"/>
      <c r="AIM114" s="90"/>
      <c r="AIN114" s="90"/>
      <c r="AIO114" s="90"/>
      <c r="AIP114" s="90"/>
      <c r="AIQ114" s="90"/>
      <c r="AIR114" s="90"/>
      <c r="AIS114" s="90"/>
      <c r="AIT114" s="90"/>
      <c r="AIU114" s="90"/>
      <c r="AIV114" s="90"/>
      <c r="AIW114" s="90"/>
      <c r="AIX114" s="90"/>
      <c r="AIY114" s="90"/>
      <c r="AIZ114" s="90"/>
      <c r="AJA114" s="90"/>
      <c r="AJB114" s="90"/>
      <c r="AJC114" s="90"/>
      <c r="AJD114" s="90"/>
      <c r="AJE114" s="90"/>
      <c r="AJF114" s="90"/>
      <c r="AJG114" s="90"/>
      <c r="AJH114" s="90"/>
      <c r="AJI114" s="90"/>
      <c r="AJJ114" s="90"/>
      <c r="AJK114" s="90"/>
      <c r="AJL114" s="90"/>
      <c r="AJM114" s="90"/>
      <c r="AJN114" s="90"/>
      <c r="AJO114" s="90"/>
      <c r="AJP114" s="90"/>
      <c r="AJQ114" s="90"/>
      <c r="AJR114" s="90"/>
      <c r="AJS114" s="90"/>
      <c r="AJT114" s="90"/>
      <c r="AJU114" s="90"/>
      <c r="AJV114" s="90"/>
      <c r="AJW114" s="90"/>
      <c r="AJX114" s="90"/>
      <c r="AJY114" s="90"/>
      <c r="AJZ114" s="90"/>
      <c r="AKA114" s="90"/>
      <c r="AKB114" s="90"/>
      <c r="AKC114" s="90"/>
      <c r="AKD114" s="90"/>
      <c r="AKE114" s="90"/>
      <c r="AKF114" s="90"/>
      <c r="AKG114" s="90"/>
      <c r="AKH114" s="90"/>
      <c r="AKI114" s="90"/>
      <c r="AKJ114" s="90"/>
      <c r="AKK114" s="90"/>
      <c r="AKL114" s="90"/>
      <c r="AKM114" s="90"/>
      <c r="AKN114" s="90"/>
      <c r="AKO114" s="90"/>
      <c r="AKP114" s="90"/>
      <c r="AKQ114" s="90"/>
      <c r="AKR114" s="90"/>
      <c r="AKS114" s="90"/>
      <c r="AKT114" s="90"/>
      <c r="AKU114" s="90"/>
      <c r="AKV114" s="90"/>
      <c r="AKW114" s="90"/>
      <c r="AKX114" s="90"/>
      <c r="AKY114" s="90"/>
      <c r="AKZ114" s="90"/>
      <c r="ALA114" s="90"/>
      <c r="ALB114" s="90"/>
      <c r="ALC114" s="90"/>
      <c r="ALD114" s="90"/>
      <c r="ALE114" s="90"/>
      <c r="ALF114" s="90"/>
      <c r="ALG114" s="90"/>
      <c r="ALH114" s="90"/>
      <c r="ALI114" s="90"/>
      <c r="ALJ114" s="90"/>
      <c r="ALK114" s="90"/>
      <c r="ALL114" s="90"/>
      <c r="ALM114" s="90"/>
      <c r="ALN114" s="90"/>
      <c r="ALO114" s="90"/>
      <c r="ALP114" s="90"/>
      <c r="ALQ114" s="90"/>
      <c r="ALR114" s="90"/>
      <c r="ALS114" s="90"/>
      <c r="ALT114" s="90"/>
      <c r="ALU114" s="90"/>
      <c r="ALV114" s="90"/>
      <c r="ALW114" s="90"/>
      <c r="ALX114" s="90"/>
      <c r="ALY114" s="90"/>
      <c r="ALZ114" s="90"/>
      <c r="AMA114" s="90"/>
      <c r="AMB114" s="90"/>
      <c r="AMC114" s="90"/>
    </row>
    <row r="115" spans="1:1017">
      <c r="A115" s="98" t="s">
        <v>47</v>
      </c>
      <c r="B115" s="90" t="str">
        <f t="shared" si="1028"/>
        <v xml:space="preserve">Udang Vaname </v>
      </c>
      <c r="E115" s="98">
        <v>2600</v>
      </c>
      <c r="F115" s="98">
        <v>131040</v>
      </c>
      <c r="Q115" s="91">
        <f t="shared" si="1029"/>
        <v>2600</v>
      </c>
      <c r="R115" s="91">
        <f t="shared" si="1030"/>
        <v>131040</v>
      </c>
      <c r="U115" s="98">
        <v>1568125</v>
      </c>
      <c r="V115" s="98">
        <v>78406250</v>
      </c>
      <c r="AG115" s="91">
        <f t="shared" si="1031"/>
        <v>1568125</v>
      </c>
      <c r="AH115" s="91">
        <f t="shared" si="1032"/>
        <v>78406250</v>
      </c>
      <c r="AK115" s="98">
        <v>35700</v>
      </c>
      <c r="AL115" s="98">
        <v>2320500</v>
      </c>
      <c r="AW115" s="91">
        <f t="shared" si="1033"/>
        <v>35700</v>
      </c>
      <c r="AX115" s="91">
        <f t="shared" si="1034"/>
        <v>2320500</v>
      </c>
      <c r="BM115" s="91">
        <f t="shared" si="1035"/>
        <v>0</v>
      </c>
      <c r="BN115" s="91">
        <f t="shared" si="1036"/>
        <v>0</v>
      </c>
      <c r="CC115" s="91">
        <f t="shared" si="1037"/>
        <v>0</v>
      </c>
      <c r="CD115" s="91">
        <f t="shared" si="1038"/>
        <v>0</v>
      </c>
      <c r="CG115" s="98">
        <v>1836320</v>
      </c>
      <c r="CH115" s="98">
        <v>91816023</v>
      </c>
      <c r="CS115" s="91">
        <f t="shared" si="1039"/>
        <v>1836320</v>
      </c>
      <c r="CT115" s="91">
        <f t="shared" si="1040"/>
        <v>91816023</v>
      </c>
      <c r="CW115" s="98">
        <v>117887.0000205501</v>
      </c>
      <c r="CX115" s="98">
        <v>7662655.0029999996</v>
      </c>
      <c r="DI115" s="91">
        <f t="shared" si="1041"/>
        <v>117887.0000205501</v>
      </c>
      <c r="DJ115" s="91">
        <f t="shared" si="1042"/>
        <v>7662655.0029999996</v>
      </c>
      <c r="DY115" s="91">
        <f t="shared" si="1043"/>
        <v>0</v>
      </c>
      <c r="DZ115" s="91">
        <f t="shared" si="1044"/>
        <v>0</v>
      </c>
      <c r="EO115" s="91">
        <f t="shared" si="1045"/>
        <v>0</v>
      </c>
      <c r="EP115" s="91">
        <f t="shared" si="1046"/>
        <v>0</v>
      </c>
      <c r="ES115" s="98">
        <v>145610</v>
      </c>
      <c r="ET115" s="98">
        <v>7280500</v>
      </c>
      <c r="EW115" s="98">
        <v>1460489</v>
      </c>
      <c r="EX115" s="98">
        <v>73024450</v>
      </c>
      <c r="FE115" s="91">
        <f t="shared" si="1047"/>
        <v>1606099</v>
      </c>
      <c r="FF115" s="91">
        <f t="shared" si="1048"/>
        <v>80304950</v>
      </c>
      <c r="FI115" s="98">
        <v>140000</v>
      </c>
      <c r="FJ115" s="98">
        <v>8400000</v>
      </c>
      <c r="FU115" s="91">
        <f t="shared" si="1049"/>
        <v>140000</v>
      </c>
      <c r="FV115" s="91">
        <f t="shared" si="1050"/>
        <v>8400000</v>
      </c>
      <c r="GK115" s="91">
        <f t="shared" si="1051"/>
        <v>0</v>
      </c>
      <c r="GL115" s="91">
        <f t="shared" si="1052"/>
        <v>0</v>
      </c>
      <c r="HA115" s="91">
        <f t="shared" si="1053"/>
        <v>0</v>
      </c>
      <c r="HB115" s="91">
        <f t="shared" si="1054"/>
        <v>0</v>
      </c>
      <c r="HE115" s="98">
        <v>85000</v>
      </c>
      <c r="HF115" s="98">
        <v>4675000</v>
      </c>
      <c r="HQ115" s="91">
        <f t="shared" si="1055"/>
        <v>85000</v>
      </c>
      <c r="HR115" s="91">
        <f t="shared" si="1056"/>
        <v>4675000</v>
      </c>
      <c r="IG115" s="91">
        <f t="shared" si="1057"/>
        <v>0</v>
      </c>
      <c r="IH115" s="91">
        <f t="shared" si="1058"/>
        <v>0</v>
      </c>
      <c r="IW115" s="91">
        <f t="shared" si="1059"/>
        <v>0</v>
      </c>
      <c r="IX115" s="91">
        <f t="shared" si="1060"/>
        <v>0</v>
      </c>
      <c r="JM115" s="91">
        <f t="shared" si="1061"/>
        <v>0</v>
      </c>
      <c r="JN115" s="91">
        <f t="shared" si="1062"/>
        <v>0</v>
      </c>
      <c r="JQ115" s="98">
        <v>140470</v>
      </c>
      <c r="JR115" s="98">
        <v>10675720</v>
      </c>
      <c r="KC115" s="91">
        <f t="shared" si="1063"/>
        <v>140470</v>
      </c>
      <c r="KD115" s="91">
        <f t="shared" si="1064"/>
        <v>10675720</v>
      </c>
      <c r="KG115" s="98">
        <v>34878</v>
      </c>
      <c r="KH115" s="98">
        <v>2092680</v>
      </c>
      <c r="KS115" s="91">
        <f t="shared" si="1065"/>
        <v>34878</v>
      </c>
      <c r="KT115" s="91">
        <f t="shared" si="1066"/>
        <v>2092680</v>
      </c>
      <c r="KW115" s="98">
        <v>33036.339999999997</v>
      </c>
      <c r="KX115" s="98">
        <v>1982180</v>
      </c>
      <c r="LI115" s="91">
        <f t="shared" si="1067"/>
        <v>33036.339999999997</v>
      </c>
      <c r="LJ115" s="91">
        <f t="shared" si="1068"/>
        <v>1982180</v>
      </c>
      <c r="LY115" s="91">
        <f t="shared" si="1069"/>
        <v>0</v>
      </c>
      <c r="LZ115" s="91">
        <f t="shared" si="1070"/>
        <v>0</v>
      </c>
      <c r="MC115" s="98">
        <v>992800</v>
      </c>
      <c r="MD115" s="98">
        <v>59568000</v>
      </c>
      <c r="MO115" s="91">
        <f t="shared" si="1071"/>
        <v>992800</v>
      </c>
      <c r="MP115" s="91">
        <f t="shared" si="1072"/>
        <v>59568000</v>
      </c>
      <c r="MS115" s="98">
        <v>16875</v>
      </c>
      <c r="MT115" s="98">
        <v>1096875</v>
      </c>
      <c r="NE115" s="91">
        <f t="shared" si="1073"/>
        <v>16875</v>
      </c>
      <c r="NF115" s="91">
        <f t="shared" si="1074"/>
        <v>1096875</v>
      </c>
      <c r="NI115" s="98">
        <v>715600</v>
      </c>
      <c r="NJ115" s="98">
        <v>42936000</v>
      </c>
      <c r="NU115" s="91">
        <f t="shared" si="1075"/>
        <v>715600</v>
      </c>
      <c r="NV115" s="91">
        <f t="shared" si="1076"/>
        <v>42936000</v>
      </c>
      <c r="NY115" s="98">
        <v>928278</v>
      </c>
      <c r="NZ115" s="98">
        <v>46413900</v>
      </c>
      <c r="OK115" s="91">
        <f t="shared" si="1077"/>
        <v>928278</v>
      </c>
      <c r="OL115" s="91">
        <f t="shared" si="1078"/>
        <v>46413900</v>
      </c>
      <c r="OO115" s="98">
        <v>501750</v>
      </c>
      <c r="OP115" s="98">
        <v>31610250</v>
      </c>
      <c r="PA115" s="91">
        <f t="shared" si="1079"/>
        <v>501750</v>
      </c>
      <c r="PB115" s="91">
        <f t="shared" si="1080"/>
        <v>31610250</v>
      </c>
      <c r="PE115" s="98">
        <v>26837</v>
      </c>
      <c r="PF115" s="98">
        <v>1610220</v>
      </c>
      <c r="PQ115" s="91">
        <f t="shared" si="1081"/>
        <v>26837</v>
      </c>
      <c r="PR115" s="91">
        <f t="shared" si="1082"/>
        <v>1610220</v>
      </c>
      <c r="PU115" s="98">
        <v>672490</v>
      </c>
      <c r="PV115" s="98">
        <v>40349400</v>
      </c>
      <c r="QA115" s="98">
        <v>541320</v>
      </c>
      <c r="QB115" s="98">
        <v>27066000</v>
      </c>
      <c r="QG115" s="91">
        <f t="shared" si="1083"/>
        <v>1213810</v>
      </c>
      <c r="QH115" s="91">
        <f t="shared" si="1084"/>
        <v>67415400</v>
      </c>
      <c r="QW115" s="91">
        <f t="shared" si="1085"/>
        <v>0</v>
      </c>
      <c r="QX115" s="91">
        <f t="shared" si="1086"/>
        <v>0</v>
      </c>
      <c r="RM115" s="91">
        <f t="shared" si="1087"/>
        <v>0</v>
      </c>
      <c r="RN115" s="91">
        <f t="shared" si="1088"/>
        <v>0</v>
      </c>
      <c r="SC115" s="91">
        <f t="shared" si="1089"/>
        <v>0</v>
      </c>
      <c r="SD115" s="91">
        <f t="shared" si="1090"/>
        <v>0</v>
      </c>
      <c r="SS115" s="91">
        <f t="shared" si="1091"/>
        <v>0</v>
      </c>
      <c r="ST115" s="91">
        <f t="shared" si="1092"/>
        <v>0</v>
      </c>
      <c r="TI115" s="91">
        <f t="shared" si="1093"/>
        <v>0</v>
      </c>
      <c r="TJ115" s="91">
        <f t="shared" si="1094"/>
        <v>0</v>
      </c>
      <c r="TY115" s="91">
        <f t="shared" si="1095"/>
        <v>0</v>
      </c>
      <c r="TZ115" s="91">
        <f t="shared" si="1096"/>
        <v>0</v>
      </c>
      <c r="UO115" s="91">
        <f t="shared" si="1097"/>
        <v>0</v>
      </c>
      <c r="UP115" s="91">
        <f t="shared" si="1098"/>
        <v>0</v>
      </c>
      <c r="VE115" s="91">
        <f t="shared" si="1099"/>
        <v>0</v>
      </c>
      <c r="VF115" s="91">
        <f t="shared" si="1100"/>
        <v>0</v>
      </c>
      <c r="VI115" s="98">
        <v>9926</v>
      </c>
      <c r="VJ115" s="98">
        <v>545930</v>
      </c>
      <c r="VU115" s="91">
        <f t="shared" si="1101"/>
        <v>9926</v>
      </c>
      <c r="VV115" s="91">
        <f t="shared" si="1102"/>
        <v>545930</v>
      </c>
      <c r="VY115" s="98">
        <v>154891</v>
      </c>
      <c r="VZ115" s="98">
        <v>7744550</v>
      </c>
      <c r="WK115" s="91">
        <f t="shared" si="1103"/>
        <v>154891</v>
      </c>
      <c r="WL115" s="91">
        <f t="shared" si="1104"/>
        <v>7744550</v>
      </c>
      <c r="WM115" s="89"/>
      <c r="WN115" s="87">
        <f t="shared" si="1105"/>
        <v>0</v>
      </c>
      <c r="WO115" s="87">
        <f t="shared" si="1106"/>
        <v>0</v>
      </c>
      <c r="WP115" s="87">
        <f t="shared" si="1107"/>
        <v>8159073.3400205504</v>
      </c>
      <c r="WQ115" s="87">
        <f t="shared" si="1108"/>
        <v>447317673.00300002</v>
      </c>
      <c r="WR115" s="87">
        <f t="shared" si="1109"/>
        <v>0</v>
      </c>
      <c r="WS115" s="87">
        <f t="shared" si="1110"/>
        <v>0</v>
      </c>
      <c r="WT115" s="87">
        <f t="shared" si="1111"/>
        <v>1460489</v>
      </c>
      <c r="WU115" s="87">
        <f t="shared" si="1112"/>
        <v>73024450</v>
      </c>
      <c r="WV115" s="87">
        <f t="shared" si="1113"/>
        <v>541320</v>
      </c>
      <c r="WW115" s="87">
        <f t="shared" si="1114"/>
        <v>27066000</v>
      </c>
      <c r="WX115" s="87">
        <f t="shared" si="1115"/>
        <v>0</v>
      </c>
      <c r="WY115" s="87">
        <f t="shared" si="1116"/>
        <v>0</v>
      </c>
      <c r="WZ115" s="87">
        <f t="shared" si="1127"/>
        <v>0</v>
      </c>
      <c r="XA115" s="87">
        <f t="shared" si="1128"/>
        <v>0</v>
      </c>
      <c r="XB115" s="92">
        <f t="shared" si="1119"/>
        <v>10160882.34002055</v>
      </c>
      <c r="XC115" s="92">
        <f t="shared" si="1120"/>
        <v>547408123.00300002</v>
      </c>
      <c r="XD115" s="89"/>
      <c r="XE115" s="92">
        <f t="shared" si="1125"/>
        <v>27644977.245249819</v>
      </c>
      <c r="XF115" s="92">
        <f t="shared" si="1126"/>
        <v>1520286634.2782729</v>
      </c>
      <c r="XG115" s="89"/>
      <c r="XH115" s="92"/>
      <c r="XI115" s="92"/>
      <c r="XJ115" s="89"/>
      <c r="XK115" s="87"/>
      <c r="XL115" s="87"/>
      <c r="XM115" s="87"/>
      <c r="XN115" s="87"/>
      <c r="XO115" s="87"/>
      <c r="XP115" s="87"/>
      <c r="XQ115" s="87"/>
      <c r="XR115" s="92">
        <f t="shared" ca="1" si="1122"/>
        <v>0</v>
      </c>
      <c r="XS115" s="89"/>
      <c r="XT115" s="87"/>
      <c r="XU115" s="87"/>
      <c r="XV115" s="87"/>
      <c r="XW115" s="87"/>
      <c r="XX115" s="87"/>
      <c r="XY115" s="87"/>
      <c r="XZ115" s="87"/>
      <c r="YA115" s="92">
        <f t="shared" ca="1" si="1123"/>
        <v>0</v>
      </c>
      <c r="YB115" s="90"/>
      <c r="YC115" s="90"/>
      <c r="YD115" s="90"/>
      <c r="YE115" s="90"/>
      <c r="YF115" s="90"/>
      <c r="YG115" s="90"/>
      <c r="YH115" s="90"/>
      <c r="YI115" s="90"/>
      <c r="YJ115" s="90"/>
      <c r="YK115" s="90"/>
      <c r="YL115" s="90"/>
      <c r="YM115" s="90"/>
      <c r="YN115" s="90"/>
      <c r="YO115" s="90"/>
      <c r="YP115" s="90"/>
      <c r="YQ115" s="90"/>
      <c r="YR115" s="90"/>
      <c r="YS115" s="90"/>
      <c r="YT115" s="90"/>
      <c r="YU115" s="90"/>
      <c r="YV115" s="90"/>
      <c r="YW115" s="90"/>
      <c r="YX115" s="90"/>
      <c r="YY115" s="90"/>
      <c r="YZ115" s="90"/>
      <c r="ZA115" s="90"/>
      <c r="ZB115" s="90"/>
      <c r="ZC115" s="90"/>
      <c r="ZD115" s="90"/>
      <c r="ZE115" s="90"/>
      <c r="ZF115" s="90"/>
      <c r="ZG115" s="90"/>
      <c r="ZH115" s="90"/>
      <c r="ZI115" s="90"/>
      <c r="ZJ115" s="90"/>
      <c r="ZK115" s="90"/>
      <c r="ZL115" s="90"/>
      <c r="ZM115" s="90"/>
      <c r="ZN115" s="90"/>
      <c r="ZO115" s="90"/>
      <c r="ZP115" s="90"/>
      <c r="ZQ115" s="90"/>
      <c r="ZR115" s="90"/>
      <c r="ZS115" s="90"/>
      <c r="ZT115" s="90"/>
      <c r="ZU115" s="90"/>
      <c r="ZV115" s="90"/>
      <c r="ZW115" s="90"/>
      <c r="ZX115" s="90"/>
      <c r="ZY115" s="90"/>
      <c r="ZZ115" s="90"/>
      <c r="AAA115" s="90"/>
      <c r="AAB115" s="90"/>
      <c r="AAC115" s="90"/>
      <c r="AAD115" s="90"/>
      <c r="AAE115" s="90"/>
      <c r="AAF115" s="90"/>
      <c r="AAG115" s="90"/>
      <c r="AAH115" s="90"/>
      <c r="AAI115" s="90"/>
      <c r="AAJ115" s="90"/>
      <c r="AAK115" s="90"/>
      <c r="AAL115" s="90"/>
      <c r="AAM115" s="90"/>
      <c r="AAN115" s="90"/>
      <c r="AAO115" s="90"/>
      <c r="AAP115" s="90"/>
      <c r="AAQ115" s="90"/>
      <c r="AAR115" s="90"/>
      <c r="AAS115" s="90"/>
      <c r="AAT115" s="90"/>
      <c r="AAU115" s="90"/>
      <c r="AAV115" s="90"/>
      <c r="AAW115" s="90"/>
      <c r="AAX115" s="90"/>
      <c r="AAY115" s="90"/>
      <c r="AAZ115" s="90"/>
      <c r="ABA115" s="90"/>
      <c r="ABB115" s="90"/>
      <c r="ABC115" s="90"/>
      <c r="ABD115" s="90"/>
      <c r="ABE115" s="90"/>
      <c r="ABF115" s="90"/>
      <c r="ABG115" s="90"/>
      <c r="ABH115" s="90"/>
      <c r="ABI115" s="90"/>
      <c r="ABJ115" s="90"/>
      <c r="ABK115" s="90"/>
      <c r="ABL115" s="90"/>
      <c r="ABM115" s="90"/>
      <c r="ABN115" s="90"/>
      <c r="ABO115" s="90"/>
      <c r="ABP115" s="90"/>
      <c r="ABQ115" s="90"/>
      <c r="ABR115" s="90"/>
      <c r="ABS115" s="90"/>
      <c r="ABT115" s="90"/>
      <c r="ABU115" s="90"/>
      <c r="ABV115" s="90"/>
      <c r="ABW115" s="90"/>
      <c r="ABX115" s="90"/>
      <c r="ABY115" s="90"/>
      <c r="ABZ115" s="90"/>
      <c r="ACA115" s="90"/>
      <c r="ACB115" s="90"/>
      <c r="ACC115" s="90"/>
      <c r="ACD115" s="90"/>
      <c r="ACE115" s="90"/>
      <c r="ACF115" s="90"/>
      <c r="ACG115" s="90"/>
      <c r="ACH115" s="90"/>
      <c r="ACI115" s="90"/>
      <c r="ACJ115" s="90"/>
      <c r="ACK115" s="90"/>
      <c r="ACL115" s="90"/>
      <c r="ACM115" s="90"/>
      <c r="ACN115" s="90"/>
      <c r="ACO115" s="90"/>
      <c r="ACP115" s="90"/>
      <c r="ACQ115" s="90"/>
      <c r="ACR115" s="90"/>
      <c r="ACS115" s="90"/>
      <c r="ACT115" s="90"/>
      <c r="ACU115" s="90"/>
      <c r="ACV115" s="90"/>
      <c r="ACW115" s="90"/>
      <c r="ACX115" s="90"/>
      <c r="ACY115" s="90"/>
      <c r="ACZ115" s="90"/>
      <c r="ADA115" s="90"/>
      <c r="ADB115" s="90"/>
      <c r="ADC115" s="90"/>
      <c r="ADD115" s="90"/>
      <c r="ADE115" s="90"/>
      <c r="ADF115" s="90"/>
      <c r="ADG115" s="90"/>
      <c r="ADH115" s="90"/>
      <c r="ADI115" s="90"/>
      <c r="ADJ115" s="90"/>
      <c r="ADK115" s="90"/>
      <c r="ADL115" s="90"/>
      <c r="ADM115" s="90"/>
      <c r="ADN115" s="90"/>
      <c r="ADO115" s="90"/>
      <c r="ADP115" s="90"/>
      <c r="ADQ115" s="90"/>
      <c r="ADR115" s="90"/>
      <c r="ADS115" s="90"/>
      <c r="ADT115" s="90"/>
      <c r="ADU115" s="90"/>
      <c r="ADV115" s="90"/>
      <c r="ADW115" s="90"/>
      <c r="ADX115" s="90"/>
      <c r="ADY115" s="90"/>
      <c r="ADZ115" s="90"/>
      <c r="AEA115" s="90"/>
      <c r="AEB115" s="90"/>
      <c r="AEC115" s="90"/>
      <c r="AED115" s="90"/>
      <c r="AEE115" s="90"/>
      <c r="AEF115" s="90"/>
      <c r="AEG115" s="90"/>
      <c r="AEH115" s="90"/>
      <c r="AEI115" s="90"/>
      <c r="AEJ115" s="90"/>
      <c r="AEK115" s="90"/>
      <c r="AEL115" s="90"/>
      <c r="AEM115" s="90"/>
      <c r="AEN115" s="90"/>
      <c r="AEO115" s="90"/>
      <c r="AEP115" s="90"/>
      <c r="AEQ115" s="90"/>
      <c r="AER115" s="90"/>
      <c r="AES115" s="90"/>
      <c r="AET115" s="90"/>
      <c r="AEU115" s="90"/>
      <c r="AEV115" s="90"/>
      <c r="AEW115" s="90"/>
      <c r="AEX115" s="90"/>
      <c r="AEY115" s="90"/>
      <c r="AEZ115" s="90"/>
      <c r="AFA115" s="90"/>
      <c r="AFB115" s="90"/>
      <c r="AFC115" s="90"/>
      <c r="AFD115" s="90"/>
      <c r="AFE115" s="90"/>
      <c r="AFF115" s="90"/>
      <c r="AFG115" s="90"/>
      <c r="AFH115" s="90"/>
      <c r="AFI115" s="90"/>
      <c r="AFJ115" s="90"/>
      <c r="AFK115" s="90"/>
      <c r="AFL115" s="90"/>
      <c r="AFM115" s="90"/>
      <c r="AFN115" s="90"/>
      <c r="AFO115" s="90"/>
      <c r="AFP115" s="90"/>
      <c r="AFQ115" s="90"/>
      <c r="AFR115" s="90"/>
      <c r="AFS115" s="90"/>
      <c r="AFT115" s="90"/>
      <c r="AFU115" s="90"/>
      <c r="AFV115" s="90"/>
      <c r="AFW115" s="90"/>
      <c r="AFX115" s="90"/>
      <c r="AFY115" s="90"/>
      <c r="AFZ115" s="90"/>
      <c r="AGA115" s="90"/>
      <c r="AGB115" s="90"/>
      <c r="AGC115" s="90"/>
      <c r="AGD115" s="90"/>
      <c r="AGE115" s="90"/>
      <c r="AGF115" s="90"/>
      <c r="AGG115" s="90"/>
      <c r="AGH115" s="90"/>
      <c r="AGI115" s="90"/>
      <c r="AGJ115" s="90"/>
      <c r="AGK115" s="90"/>
      <c r="AGL115" s="90"/>
      <c r="AGM115" s="90"/>
      <c r="AGN115" s="90"/>
      <c r="AGO115" s="90"/>
      <c r="AGP115" s="90"/>
      <c r="AGQ115" s="90"/>
      <c r="AGR115" s="90"/>
      <c r="AGS115" s="90"/>
      <c r="AGT115" s="90"/>
      <c r="AGU115" s="90"/>
      <c r="AGV115" s="90"/>
      <c r="AGW115" s="90"/>
      <c r="AGX115" s="90"/>
      <c r="AGY115" s="90"/>
      <c r="AGZ115" s="90"/>
      <c r="AHA115" s="90"/>
      <c r="AHB115" s="90"/>
      <c r="AHC115" s="90"/>
      <c r="AHD115" s="90"/>
      <c r="AHE115" s="90"/>
      <c r="AHF115" s="90"/>
      <c r="AHG115" s="90"/>
      <c r="AHH115" s="90"/>
      <c r="AHI115" s="90"/>
      <c r="AHJ115" s="90"/>
      <c r="AHK115" s="90"/>
      <c r="AHL115" s="90"/>
      <c r="AHM115" s="90"/>
      <c r="AHN115" s="90"/>
      <c r="AHO115" s="90"/>
      <c r="AHP115" s="90"/>
      <c r="AHQ115" s="90"/>
      <c r="AHR115" s="90"/>
      <c r="AHS115" s="90"/>
      <c r="AHT115" s="90"/>
      <c r="AHU115" s="90"/>
      <c r="AHV115" s="90"/>
      <c r="AHW115" s="90"/>
      <c r="AHX115" s="90"/>
      <c r="AHY115" s="90"/>
      <c r="AHZ115" s="90"/>
      <c r="AIA115" s="90"/>
      <c r="AIB115" s="90"/>
      <c r="AIC115" s="90"/>
      <c r="AID115" s="90"/>
      <c r="AIE115" s="90"/>
      <c r="AIF115" s="90"/>
      <c r="AIG115" s="90"/>
      <c r="AIH115" s="90"/>
      <c r="AII115" s="90"/>
      <c r="AIJ115" s="90"/>
      <c r="AIK115" s="90"/>
      <c r="AIL115" s="90"/>
      <c r="AIM115" s="90"/>
      <c r="AIN115" s="90"/>
      <c r="AIO115" s="90"/>
      <c r="AIP115" s="90"/>
      <c r="AIQ115" s="90"/>
      <c r="AIR115" s="90"/>
      <c r="AIS115" s="90"/>
      <c r="AIT115" s="90"/>
      <c r="AIU115" s="90"/>
      <c r="AIV115" s="90"/>
      <c r="AIW115" s="90"/>
      <c r="AIX115" s="90"/>
      <c r="AIY115" s="90"/>
      <c r="AIZ115" s="90"/>
      <c r="AJA115" s="90"/>
      <c r="AJB115" s="90"/>
      <c r="AJC115" s="90"/>
      <c r="AJD115" s="90"/>
      <c r="AJE115" s="90"/>
      <c r="AJF115" s="90"/>
      <c r="AJG115" s="90"/>
      <c r="AJH115" s="90"/>
      <c r="AJI115" s="90"/>
      <c r="AJJ115" s="90"/>
      <c r="AJK115" s="90"/>
      <c r="AJL115" s="90"/>
      <c r="AJM115" s="90"/>
      <c r="AJN115" s="90"/>
      <c r="AJO115" s="90"/>
      <c r="AJP115" s="90"/>
      <c r="AJQ115" s="90"/>
      <c r="AJR115" s="90"/>
      <c r="AJS115" s="90"/>
      <c r="AJT115" s="90"/>
      <c r="AJU115" s="90"/>
      <c r="AJV115" s="90"/>
      <c r="AJW115" s="90"/>
      <c r="AJX115" s="90"/>
      <c r="AJY115" s="90"/>
      <c r="AJZ115" s="90"/>
      <c r="AKA115" s="90"/>
      <c r="AKB115" s="90"/>
      <c r="AKC115" s="90"/>
      <c r="AKD115" s="90"/>
      <c r="AKE115" s="90"/>
      <c r="AKF115" s="90"/>
      <c r="AKG115" s="90"/>
      <c r="AKH115" s="90"/>
      <c r="AKI115" s="90"/>
      <c r="AKJ115" s="90"/>
      <c r="AKK115" s="90"/>
      <c r="AKL115" s="90"/>
      <c r="AKM115" s="90"/>
      <c r="AKN115" s="90"/>
      <c r="AKO115" s="90"/>
      <c r="AKP115" s="90"/>
      <c r="AKQ115" s="90"/>
      <c r="AKR115" s="90"/>
      <c r="AKS115" s="90"/>
      <c r="AKT115" s="90"/>
      <c r="AKU115" s="90"/>
      <c r="AKV115" s="90"/>
      <c r="AKW115" s="90"/>
      <c r="AKX115" s="90"/>
      <c r="AKY115" s="90"/>
      <c r="AKZ115" s="90"/>
      <c r="ALA115" s="90"/>
      <c r="ALB115" s="90"/>
      <c r="ALC115" s="90"/>
      <c r="ALD115" s="90"/>
      <c r="ALE115" s="90"/>
      <c r="ALF115" s="90"/>
      <c r="ALG115" s="90"/>
      <c r="ALH115" s="90"/>
      <c r="ALI115" s="90"/>
      <c r="ALJ115" s="90"/>
      <c r="ALK115" s="90"/>
      <c r="ALL115" s="90"/>
      <c r="ALM115" s="90"/>
      <c r="ALN115" s="90"/>
      <c r="ALO115" s="90"/>
      <c r="ALP115" s="90"/>
      <c r="ALQ115" s="90"/>
      <c r="ALR115" s="90"/>
      <c r="ALS115" s="90"/>
      <c r="ALT115" s="90"/>
      <c r="ALU115" s="90"/>
      <c r="ALV115" s="90"/>
      <c r="ALW115" s="90"/>
      <c r="ALX115" s="90"/>
      <c r="ALY115" s="90"/>
      <c r="ALZ115" s="90"/>
      <c r="AMA115" s="90"/>
      <c r="AMB115" s="90"/>
      <c r="AMC115" s="90"/>
    </row>
    <row r="116" spans="1:1017">
      <c r="A116" s="98" t="s">
        <v>47</v>
      </c>
      <c r="B116" s="90" t="str">
        <f t="shared" si="1028"/>
        <v xml:space="preserve">Udang Windu </v>
      </c>
      <c r="E116" s="98">
        <v>8750</v>
      </c>
      <c r="F116" s="98">
        <v>1137500</v>
      </c>
      <c r="Q116" s="91">
        <f t="shared" si="1029"/>
        <v>8750</v>
      </c>
      <c r="R116" s="91">
        <f t="shared" si="1030"/>
        <v>1137500</v>
      </c>
      <c r="AG116" s="91">
        <f t="shared" si="1031"/>
        <v>0</v>
      </c>
      <c r="AH116" s="91">
        <f t="shared" si="1032"/>
        <v>0</v>
      </c>
      <c r="AW116" s="91">
        <f t="shared" si="1033"/>
        <v>0</v>
      </c>
      <c r="AX116" s="91">
        <f t="shared" si="1034"/>
        <v>0</v>
      </c>
      <c r="BM116" s="91">
        <f t="shared" si="1035"/>
        <v>0</v>
      </c>
      <c r="BN116" s="91">
        <f t="shared" si="1036"/>
        <v>0</v>
      </c>
      <c r="CC116" s="91">
        <f t="shared" si="1037"/>
        <v>0</v>
      </c>
      <c r="CD116" s="91">
        <f t="shared" si="1038"/>
        <v>0</v>
      </c>
      <c r="CG116" s="98">
        <v>413266</v>
      </c>
      <c r="CH116" s="98">
        <v>33061296</v>
      </c>
      <c r="CS116" s="91">
        <f t="shared" si="1039"/>
        <v>413266</v>
      </c>
      <c r="CT116" s="91">
        <f t="shared" si="1040"/>
        <v>33061296</v>
      </c>
      <c r="DI116" s="91">
        <f t="shared" si="1041"/>
        <v>0</v>
      </c>
      <c r="DJ116" s="91">
        <f t="shared" si="1042"/>
        <v>0</v>
      </c>
      <c r="DY116" s="91">
        <f t="shared" si="1043"/>
        <v>0</v>
      </c>
      <c r="DZ116" s="91">
        <f t="shared" si="1044"/>
        <v>0</v>
      </c>
      <c r="EO116" s="91">
        <f t="shared" si="1045"/>
        <v>0</v>
      </c>
      <c r="EP116" s="91">
        <f t="shared" si="1046"/>
        <v>0</v>
      </c>
      <c r="FE116" s="91">
        <f t="shared" si="1047"/>
        <v>0</v>
      </c>
      <c r="FF116" s="91">
        <f t="shared" si="1048"/>
        <v>0</v>
      </c>
      <c r="FU116" s="91">
        <f t="shared" si="1049"/>
        <v>0</v>
      </c>
      <c r="FV116" s="91">
        <f t="shared" si="1050"/>
        <v>0</v>
      </c>
      <c r="GK116" s="91">
        <f t="shared" si="1051"/>
        <v>0</v>
      </c>
      <c r="GL116" s="91">
        <f t="shared" si="1052"/>
        <v>0</v>
      </c>
      <c r="HA116" s="91">
        <f t="shared" si="1053"/>
        <v>0</v>
      </c>
      <c r="HB116" s="91">
        <f t="shared" si="1054"/>
        <v>0</v>
      </c>
      <c r="HQ116" s="91">
        <f t="shared" si="1055"/>
        <v>0</v>
      </c>
      <c r="HR116" s="91">
        <f t="shared" si="1056"/>
        <v>0</v>
      </c>
      <c r="IG116" s="91">
        <f t="shared" si="1057"/>
        <v>0</v>
      </c>
      <c r="IH116" s="91">
        <f t="shared" si="1058"/>
        <v>0</v>
      </c>
      <c r="IW116" s="91">
        <f t="shared" si="1059"/>
        <v>0</v>
      </c>
      <c r="IX116" s="91">
        <f t="shared" si="1060"/>
        <v>0</v>
      </c>
      <c r="JM116" s="91">
        <f t="shared" si="1061"/>
        <v>0</v>
      </c>
      <c r="JN116" s="91">
        <f t="shared" si="1062"/>
        <v>0</v>
      </c>
      <c r="KC116" s="91">
        <f t="shared" si="1063"/>
        <v>0</v>
      </c>
      <c r="KD116" s="91">
        <f t="shared" si="1064"/>
        <v>0</v>
      </c>
      <c r="KS116" s="91">
        <f t="shared" si="1065"/>
        <v>0</v>
      </c>
      <c r="KT116" s="91">
        <f t="shared" si="1066"/>
        <v>0</v>
      </c>
      <c r="KW116" s="98">
        <v>3031.32</v>
      </c>
      <c r="KX116" s="98">
        <v>272819</v>
      </c>
      <c r="LI116" s="91">
        <f t="shared" si="1067"/>
        <v>3031.32</v>
      </c>
      <c r="LJ116" s="91">
        <f t="shared" si="1068"/>
        <v>272819</v>
      </c>
      <c r="LY116" s="91">
        <f t="shared" si="1069"/>
        <v>0</v>
      </c>
      <c r="LZ116" s="91">
        <f t="shared" si="1070"/>
        <v>0</v>
      </c>
      <c r="MO116" s="91">
        <f t="shared" si="1071"/>
        <v>0</v>
      </c>
      <c r="MP116" s="91">
        <f t="shared" si="1072"/>
        <v>0</v>
      </c>
      <c r="MS116" s="98">
        <v>900</v>
      </c>
      <c r="MT116" s="98">
        <v>72000</v>
      </c>
      <c r="NE116" s="91">
        <f t="shared" si="1073"/>
        <v>900</v>
      </c>
      <c r="NF116" s="91">
        <f t="shared" si="1074"/>
        <v>72000</v>
      </c>
      <c r="NI116" s="98">
        <v>444100</v>
      </c>
      <c r="NJ116" s="98">
        <v>39969000</v>
      </c>
      <c r="NU116" s="91">
        <f t="shared" si="1075"/>
        <v>444100</v>
      </c>
      <c r="NV116" s="91">
        <f t="shared" si="1076"/>
        <v>39969000</v>
      </c>
      <c r="NY116" s="98">
        <v>62</v>
      </c>
      <c r="NZ116" s="98">
        <v>9300</v>
      </c>
      <c r="OK116" s="91">
        <f t="shared" si="1077"/>
        <v>62</v>
      </c>
      <c r="OL116" s="91">
        <f t="shared" si="1078"/>
        <v>9300</v>
      </c>
      <c r="PA116" s="91">
        <f t="shared" si="1079"/>
        <v>0</v>
      </c>
      <c r="PB116" s="91">
        <f t="shared" si="1080"/>
        <v>0</v>
      </c>
      <c r="PQ116" s="91">
        <f t="shared" si="1081"/>
        <v>0</v>
      </c>
      <c r="PR116" s="91">
        <f t="shared" si="1082"/>
        <v>0</v>
      </c>
      <c r="QG116" s="91">
        <f t="shared" si="1083"/>
        <v>0</v>
      </c>
      <c r="QH116" s="91">
        <f t="shared" si="1084"/>
        <v>0</v>
      </c>
      <c r="QW116" s="91">
        <f t="shared" si="1085"/>
        <v>0</v>
      </c>
      <c r="QX116" s="91">
        <f t="shared" si="1086"/>
        <v>0</v>
      </c>
      <c r="RM116" s="91">
        <f t="shared" si="1087"/>
        <v>0</v>
      </c>
      <c r="RN116" s="91">
        <f t="shared" si="1088"/>
        <v>0</v>
      </c>
      <c r="SC116" s="91">
        <f t="shared" si="1089"/>
        <v>0</v>
      </c>
      <c r="SD116" s="91">
        <f t="shared" si="1090"/>
        <v>0</v>
      </c>
      <c r="SS116" s="91">
        <f t="shared" si="1091"/>
        <v>0</v>
      </c>
      <c r="ST116" s="91">
        <f t="shared" si="1092"/>
        <v>0</v>
      </c>
      <c r="TI116" s="91">
        <f t="shared" si="1093"/>
        <v>0</v>
      </c>
      <c r="TJ116" s="91">
        <f t="shared" si="1094"/>
        <v>0</v>
      </c>
      <c r="TY116" s="91">
        <f t="shared" si="1095"/>
        <v>0</v>
      </c>
      <c r="TZ116" s="91">
        <f t="shared" si="1096"/>
        <v>0</v>
      </c>
      <c r="UO116" s="91">
        <f t="shared" si="1097"/>
        <v>0</v>
      </c>
      <c r="UP116" s="91">
        <f t="shared" si="1098"/>
        <v>0</v>
      </c>
      <c r="VE116" s="91">
        <f t="shared" si="1099"/>
        <v>0</v>
      </c>
      <c r="VF116" s="91">
        <f t="shared" si="1100"/>
        <v>0</v>
      </c>
      <c r="VI116" s="98">
        <v>39</v>
      </c>
      <c r="VJ116" s="98">
        <v>2535</v>
      </c>
      <c r="VU116" s="91">
        <f t="shared" si="1101"/>
        <v>39</v>
      </c>
      <c r="VV116" s="91">
        <f t="shared" si="1102"/>
        <v>2535</v>
      </c>
      <c r="VY116" s="98">
        <v>19159</v>
      </c>
      <c r="VZ116" s="98">
        <v>1724310</v>
      </c>
      <c r="WK116" s="91">
        <f t="shared" si="1103"/>
        <v>19159</v>
      </c>
      <c r="WL116" s="91">
        <f t="shared" si="1104"/>
        <v>1724310</v>
      </c>
      <c r="WM116" s="89"/>
      <c r="WN116" s="87">
        <f t="shared" si="1105"/>
        <v>0</v>
      </c>
      <c r="WO116" s="87">
        <f t="shared" si="1106"/>
        <v>0</v>
      </c>
      <c r="WP116" s="87">
        <f t="shared" si="1107"/>
        <v>889307.32000000007</v>
      </c>
      <c r="WQ116" s="87">
        <f t="shared" si="1108"/>
        <v>76248760</v>
      </c>
      <c r="WR116" s="87">
        <f t="shared" si="1109"/>
        <v>0</v>
      </c>
      <c r="WS116" s="87">
        <f t="shared" si="1110"/>
        <v>0</v>
      </c>
      <c r="WT116" s="87">
        <f t="shared" si="1111"/>
        <v>0</v>
      </c>
      <c r="WU116" s="87">
        <f t="shared" si="1112"/>
        <v>0</v>
      </c>
      <c r="WV116" s="87">
        <f t="shared" si="1113"/>
        <v>0</v>
      </c>
      <c r="WW116" s="87">
        <f t="shared" si="1114"/>
        <v>0</v>
      </c>
      <c r="WX116" s="87">
        <f t="shared" si="1115"/>
        <v>0</v>
      </c>
      <c r="WY116" s="87">
        <f t="shared" si="1116"/>
        <v>0</v>
      </c>
      <c r="WZ116" s="87">
        <f t="shared" si="1127"/>
        <v>0</v>
      </c>
      <c r="XA116" s="87">
        <f t="shared" si="1128"/>
        <v>0</v>
      </c>
      <c r="XB116" s="92">
        <f t="shared" si="1119"/>
        <v>889307.32000000007</v>
      </c>
      <c r="XC116" s="92">
        <f t="shared" si="1120"/>
        <v>76248760</v>
      </c>
      <c r="XD116" s="89"/>
      <c r="XE116" s="92">
        <f t="shared" si="1125"/>
        <v>1863935.7881028992</v>
      </c>
      <c r="XF116" s="92">
        <f t="shared" si="1126"/>
        <v>175084556.81028992</v>
      </c>
      <c r="XG116" s="89"/>
      <c r="XH116" s="92"/>
      <c r="XI116" s="92"/>
      <c r="XJ116" s="89"/>
      <c r="XK116" s="87"/>
      <c r="XL116" s="87"/>
      <c r="XM116" s="87"/>
      <c r="XN116" s="87"/>
      <c r="XO116" s="87"/>
      <c r="XP116" s="87"/>
      <c r="XQ116" s="87"/>
      <c r="XR116" s="92">
        <f t="shared" ca="1" si="1122"/>
        <v>0</v>
      </c>
      <c r="XS116" s="89"/>
      <c r="XT116" s="87"/>
      <c r="XU116" s="87"/>
      <c r="XV116" s="87"/>
      <c r="XW116" s="87"/>
      <c r="XX116" s="87"/>
      <c r="XY116" s="87"/>
      <c r="XZ116" s="87"/>
      <c r="YA116" s="92">
        <f t="shared" ca="1" si="1123"/>
        <v>0</v>
      </c>
      <c r="YB116" s="90"/>
      <c r="YC116" s="90"/>
      <c r="YD116" s="90"/>
      <c r="YE116" s="90"/>
      <c r="YF116" s="90"/>
      <c r="YG116" s="90"/>
      <c r="YH116" s="90"/>
      <c r="YI116" s="90"/>
      <c r="YJ116" s="90"/>
      <c r="YK116" s="90"/>
      <c r="YL116" s="90"/>
      <c r="YM116" s="90"/>
      <c r="YN116" s="90"/>
      <c r="YO116" s="90"/>
      <c r="YP116" s="90"/>
      <c r="YQ116" s="90"/>
      <c r="YR116" s="90"/>
      <c r="YS116" s="90"/>
      <c r="YT116" s="90"/>
      <c r="YU116" s="90"/>
      <c r="YV116" s="90"/>
      <c r="YW116" s="90"/>
      <c r="YX116" s="90"/>
      <c r="YY116" s="90"/>
      <c r="YZ116" s="90"/>
      <c r="ZA116" s="90"/>
      <c r="ZB116" s="90"/>
      <c r="ZC116" s="90"/>
      <c r="ZD116" s="90"/>
      <c r="ZE116" s="90"/>
      <c r="ZF116" s="90"/>
      <c r="ZG116" s="90"/>
      <c r="ZH116" s="90"/>
      <c r="ZI116" s="90"/>
      <c r="ZJ116" s="90"/>
      <c r="ZK116" s="90"/>
      <c r="ZL116" s="90"/>
      <c r="ZM116" s="90"/>
      <c r="ZN116" s="90"/>
      <c r="ZO116" s="90"/>
      <c r="ZP116" s="90"/>
      <c r="ZQ116" s="90"/>
      <c r="ZR116" s="90"/>
      <c r="ZS116" s="90"/>
      <c r="ZT116" s="90"/>
      <c r="ZU116" s="90"/>
      <c r="ZV116" s="90"/>
      <c r="ZW116" s="90"/>
      <c r="ZX116" s="90"/>
      <c r="ZY116" s="90"/>
      <c r="ZZ116" s="90"/>
      <c r="AAA116" s="90"/>
      <c r="AAB116" s="90"/>
      <c r="AAC116" s="90"/>
      <c r="AAD116" s="90"/>
      <c r="AAE116" s="90"/>
      <c r="AAF116" s="90"/>
      <c r="AAG116" s="90"/>
      <c r="AAH116" s="90"/>
      <c r="AAI116" s="90"/>
      <c r="AAJ116" s="90"/>
      <c r="AAK116" s="90"/>
      <c r="AAL116" s="90"/>
      <c r="AAM116" s="90"/>
      <c r="AAN116" s="90"/>
      <c r="AAO116" s="90"/>
      <c r="AAP116" s="90"/>
      <c r="AAQ116" s="90"/>
      <c r="AAR116" s="90"/>
      <c r="AAS116" s="90"/>
      <c r="AAT116" s="90"/>
      <c r="AAU116" s="90"/>
      <c r="AAV116" s="90"/>
      <c r="AAW116" s="90"/>
      <c r="AAX116" s="90"/>
      <c r="AAY116" s="90"/>
      <c r="AAZ116" s="90"/>
      <c r="ABA116" s="90"/>
      <c r="ABB116" s="90"/>
      <c r="ABC116" s="90"/>
      <c r="ABD116" s="90"/>
      <c r="ABE116" s="90"/>
      <c r="ABF116" s="90"/>
      <c r="ABG116" s="90"/>
      <c r="ABH116" s="90"/>
      <c r="ABI116" s="90"/>
      <c r="ABJ116" s="90"/>
      <c r="ABK116" s="90"/>
      <c r="ABL116" s="90"/>
      <c r="ABM116" s="90"/>
      <c r="ABN116" s="90"/>
      <c r="ABO116" s="90"/>
      <c r="ABP116" s="90"/>
      <c r="ABQ116" s="90"/>
      <c r="ABR116" s="90"/>
      <c r="ABS116" s="90"/>
      <c r="ABT116" s="90"/>
      <c r="ABU116" s="90"/>
      <c r="ABV116" s="90"/>
      <c r="ABW116" s="90"/>
      <c r="ABX116" s="90"/>
      <c r="ABY116" s="90"/>
      <c r="ABZ116" s="90"/>
      <c r="ACA116" s="90"/>
      <c r="ACB116" s="90"/>
      <c r="ACC116" s="90"/>
      <c r="ACD116" s="90"/>
      <c r="ACE116" s="90"/>
      <c r="ACF116" s="90"/>
      <c r="ACG116" s="90"/>
      <c r="ACH116" s="90"/>
      <c r="ACI116" s="90"/>
      <c r="ACJ116" s="90"/>
      <c r="ACK116" s="90"/>
      <c r="ACL116" s="90"/>
      <c r="ACM116" s="90"/>
      <c r="ACN116" s="90"/>
      <c r="ACO116" s="90"/>
      <c r="ACP116" s="90"/>
      <c r="ACQ116" s="90"/>
      <c r="ACR116" s="90"/>
      <c r="ACS116" s="90"/>
      <c r="ACT116" s="90"/>
      <c r="ACU116" s="90"/>
      <c r="ACV116" s="90"/>
      <c r="ACW116" s="90"/>
      <c r="ACX116" s="90"/>
      <c r="ACY116" s="90"/>
      <c r="ACZ116" s="90"/>
      <c r="ADA116" s="90"/>
      <c r="ADB116" s="90"/>
      <c r="ADC116" s="90"/>
      <c r="ADD116" s="90"/>
      <c r="ADE116" s="90"/>
      <c r="ADF116" s="90"/>
      <c r="ADG116" s="90"/>
      <c r="ADH116" s="90"/>
      <c r="ADI116" s="90"/>
      <c r="ADJ116" s="90"/>
      <c r="ADK116" s="90"/>
      <c r="ADL116" s="90"/>
      <c r="ADM116" s="90"/>
      <c r="ADN116" s="90"/>
      <c r="ADO116" s="90"/>
      <c r="ADP116" s="90"/>
      <c r="ADQ116" s="90"/>
      <c r="ADR116" s="90"/>
      <c r="ADS116" s="90"/>
      <c r="ADT116" s="90"/>
      <c r="ADU116" s="90"/>
      <c r="ADV116" s="90"/>
      <c r="ADW116" s="90"/>
      <c r="ADX116" s="90"/>
      <c r="ADY116" s="90"/>
      <c r="ADZ116" s="90"/>
      <c r="AEA116" s="90"/>
      <c r="AEB116" s="90"/>
      <c r="AEC116" s="90"/>
      <c r="AED116" s="90"/>
      <c r="AEE116" s="90"/>
      <c r="AEF116" s="90"/>
      <c r="AEG116" s="90"/>
      <c r="AEH116" s="90"/>
      <c r="AEI116" s="90"/>
      <c r="AEJ116" s="90"/>
      <c r="AEK116" s="90"/>
      <c r="AEL116" s="90"/>
      <c r="AEM116" s="90"/>
      <c r="AEN116" s="90"/>
      <c r="AEO116" s="90"/>
      <c r="AEP116" s="90"/>
      <c r="AEQ116" s="90"/>
      <c r="AER116" s="90"/>
      <c r="AES116" s="90"/>
      <c r="AET116" s="90"/>
      <c r="AEU116" s="90"/>
      <c r="AEV116" s="90"/>
      <c r="AEW116" s="90"/>
      <c r="AEX116" s="90"/>
      <c r="AEY116" s="90"/>
      <c r="AEZ116" s="90"/>
      <c r="AFA116" s="90"/>
      <c r="AFB116" s="90"/>
      <c r="AFC116" s="90"/>
      <c r="AFD116" s="90"/>
      <c r="AFE116" s="90"/>
      <c r="AFF116" s="90"/>
      <c r="AFG116" s="90"/>
      <c r="AFH116" s="90"/>
      <c r="AFI116" s="90"/>
      <c r="AFJ116" s="90"/>
      <c r="AFK116" s="90"/>
      <c r="AFL116" s="90"/>
      <c r="AFM116" s="90"/>
      <c r="AFN116" s="90"/>
      <c r="AFO116" s="90"/>
      <c r="AFP116" s="90"/>
      <c r="AFQ116" s="90"/>
      <c r="AFR116" s="90"/>
      <c r="AFS116" s="90"/>
      <c r="AFT116" s="90"/>
      <c r="AFU116" s="90"/>
      <c r="AFV116" s="90"/>
      <c r="AFW116" s="90"/>
      <c r="AFX116" s="90"/>
      <c r="AFY116" s="90"/>
      <c r="AFZ116" s="90"/>
      <c r="AGA116" s="90"/>
      <c r="AGB116" s="90"/>
      <c r="AGC116" s="90"/>
      <c r="AGD116" s="90"/>
      <c r="AGE116" s="90"/>
      <c r="AGF116" s="90"/>
      <c r="AGG116" s="90"/>
      <c r="AGH116" s="90"/>
      <c r="AGI116" s="90"/>
      <c r="AGJ116" s="90"/>
      <c r="AGK116" s="90"/>
      <c r="AGL116" s="90"/>
      <c r="AGM116" s="90"/>
      <c r="AGN116" s="90"/>
      <c r="AGO116" s="90"/>
      <c r="AGP116" s="90"/>
      <c r="AGQ116" s="90"/>
      <c r="AGR116" s="90"/>
      <c r="AGS116" s="90"/>
      <c r="AGT116" s="90"/>
      <c r="AGU116" s="90"/>
      <c r="AGV116" s="90"/>
      <c r="AGW116" s="90"/>
      <c r="AGX116" s="90"/>
      <c r="AGY116" s="90"/>
      <c r="AGZ116" s="90"/>
      <c r="AHA116" s="90"/>
      <c r="AHB116" s="90"/>
      <c r="AHC116" s="90"/>
      <c r="AHD116" s="90"/>
      <c r="AHE116" s="90"/>
      <c r="AHF116" s="90"/>
      <c r="AHG116" s="90"/>
      <c r="AHH116" s="90"/>
      <c r="AHI116" s="90"/>
      <c r="AHJ116" s="90"/>
      <c r="AHK116" s="90"/>
      <c r="AHL116" s="90"/>
      <c r="AHM116" s="90"/>
      <c r="AHN116" s="90"/>
      <c r="AHO116" s="90"/>
      <c r="AHP116" s="90"/>
      <c r="AHQ116" s="90"/>
      <c r="AHR116" s="90"/>
      <c r="AHS116" s="90"/>
      <c r="AHT116" s="90"/>
      <c r="AHU116" s="90"/>
      <c r="AHV116" s="90"/>
      <c r="AHW116" s="90"/>
      <c r="AHX116" s="90"/>
      <c r="AHY116" s="90"/>
      <c r="AHZ116" s="90"/>
      <c r="AIA116" s="90"/>
      <c r="AIB116" s="90"/>
      <c r="AIC116" s="90"/>
      <c r="AID116" s="90"/>
      <c r="AIE116" s="90"/>
      <c r="AIF116" s="90"/>
      <c r="AIG116" s="90"/>
      <c r="AIH116" s="90"/>
      <c r="AII116" s="90"/>
      <c r="AIJ116" s="90"/>
      <c r="AIK116" s="90"/>
      <c r="AIL116" s="90"/>
      <c r="AIM116" s="90"/>
      <c r="AIN116" s="90"/>
      <c r="AIO116" s="90"/>
      <c r="AIP116" s="90"/>
      <c r="AIQ116" s="90"/>
      <c r="AIR116" s="90"/>
      <c r="AIS116" s="90"/>
      <c r="AIT116" s="90"/>
      <c r="AIU116" s="90"/>
      <c r="AIV116" s="90"/>
      <c r="AIW116" s="90"/>
      <c r="AIX116" s="90"/>
      <c r="AIY116" s="90"/>
      <c r="AIZ116" s="90"/>
      <c r="AJA116" s="90"/>
      <c r="AJB116" s="90"/>
      <c r="AJC116" s="90"/>
      <c r="AJD116" s="90"/>
      <c r="AJE116" s="90"/>
      <c r="AJF116" s="90"/>
      <c r="AJG116" s="90"/>
      <c r="AJH116" s="90"/>
      <c r="AJI116" s="90"/>
      <c r="AJJ116" s="90"/>
      <c r="AJK116" s="90"/>
      <c r="AJL116" s="90"/>
      <c r="AJM116" s="90"/>
      <c r="AJN116" s="90"/>
      <c r="AJO116" s="90"/>
      <c r="AJP116" s="90"/>
      <c r="AJQ116" s="90"/>
      <c r="AJR116" s="90"/>
      <c r="AJS116" s="90"/>
      <c r="AJT116" s="90"/>
      <c r="AJU116" s="90"/>
      <c r="AJV116" s="90"/>
      <c r="AJW116" s="90"/>
      <c r="AJX116" s="90"/>
      <c r="AJY116" s="90"/>
      <c r="AJZ116" s="90"/>
      <c r="AKA116" s="90"/>
      <c r="AKB116" s="90"/>
      <c r="AKC116" s="90"/>
      <c r="AKD116" s="90"/>
      <c r="AKE116" s="90"/>
      <c r="AKF116" s="90"/>
      <c r="AKG116" s="90"/>
      <c r="AKH116" s="90"/>
      <c r="AKI116" s="90"/>
      <c r="AKJ116" s="90"/>
      <c r="AKK116" s="90"/>
      <c r="AKL116" s="90"/>
      <c r="AKM116" s="90"/>
      <c r="AKN116" s="90"/>
      <c r="AKO116" s="90"/>
      <c r="AKP116" s="90"/>
      <c r="AKQ116" s="90"/>
      <c r="AKR116" s="90"/>
      <c r="AKS116" s="90"/>
      <c r="AKT116" s="90"/>
      <c r="AKU116" s="90"/>
      <c r="AKV116" s="90"/>
      <c r="AKW116" s="90"/>
      <c r="AKX116" s="90"/>
      <c r="AKY116" s="90"/>
      <c r="AKZ116" s="90"/>
      <c r="ALA116" s="90"/>
      <c r="ALB116" s="90"/>
      <c r="ALC116" s="90"/>
      <c r="ALD116" s="90"/>
      <c r="ALE116" s="90"/>
      <c r="ALF116" s="90"/>
      <c r="ALG116" s="90"/>
      <c r="ALH116" s="90"/>
      <c r="ALI116" s="90"/>
      <c r="ALJ116" s="90"/>
      <c r="ALK116" s="90"/>
      <c r="ALL116" s="90"/>
      <c r="ALM116" s="90"/>
      <c r="ALN116" s="90"/>
      <c r="ALO116" s="90"/>
      <c r="ALP116" s="90"/>
      <c r="ALQ116" s="90"/>
      <c r="ALR116" s="90"/>
      <c r="ALS116" s="90"/>
      <c r="ALT116" s="90"/>
      <c r="ALU116" s="90"/>
      <c r="ALV116" s="90"/>
      <c r="ALW116" s="90"/>
      <c r="ALX116" s="90"/>
      <c r="ALY116" s="90"/>
      <c r="ALZ116" s="90"/>
      <c r="AMA116" s="90"/>
      <c r="AMB116" s="90"/>
      <c r="AMC116" s="90"/>
    </row>
    <row r="117" spans="1:1017">
      <c r="A117" s="98" t="s">
        <v>47</v>
      </c>
      <c r="B117" s="90" t="str">
        <f t="shared" ref="B117:B126" si="1129">B79</f>
        <v xml:space="preserve">Udang_01 (Udang Api-Api) </v>
      </c>
      <c r="E117" s="98">
        <v>16600</v>
      </c>
      <c r="F117" s="98">
        <v>664000</v>
      </c>
      <c r="Q117" s="91">
        <f t="shared" si="1029"/>
        <v>16600</v>
      </c>
      <c r="R117" s="91">
        <f t="shared" si="1030"/>
        <v>664000</v>
      </c>
      <c r="AG117" s="91">
        <f t="shared" si="1031"/>
        <v>0</v>
      </c>
      <c r="AH117" s="91">
        <f t="shared" si="1032"/>
        <v>0</v>
      </c>
      <c r="AW117" s="91">
        <f t="shared" si="1033"/>
        <v>0</v>
      </c>
      <c r="AX117" s="91">
        <f t="shared" si="1034"/>
        <v>0</v>
      </c>
      <c r="BM117" s="91">
        <f t="shared" si="1035"/>
        <v>0</v>
      </c>
      <c r="BN117" s="91">
        <f t="shared" si="1036"/>
        <v>0</v>
      </c>
      <c r="CC117" s="91">
        <f t="shared" si="1037"/>
        <v>0</v>
      </c>
      <c r="CD117" s="91">
        <f t="shared" si="1038"/>
        <v>0</v>
      </c>
      <c r="CS117" s="91">
        <f t="shared" si="1039"/>
        <v>0</v>
      </c>
      <c r="CT117" s="91">
        <f t="shared" si="1040"/>
        <v>0</v>
      </c>
      <c r="DI117" s="91">
        <f t="shared" si="1041"/>
        <v>0</v>
      </c>
      <c r="DJ117" s="91">
        <f t="shared" si="1042"/>
        <v>0</v>
      </c>
      <c r="DY117" s="91">
        <f t="shared" si="1043"/>
        <v>0</v>
      </c>
      <c r="DZ117" s="91">
        <f t="shared" si="1044"/>
        <v>0</v>
      </c>
      <c r="EO117" s="91">
        <f t="shared" si="1045"/>
        <v>0</v>
      </c>
      <c r="EP117" s="91">
        <f t="shared" si="1046"/>
        <v>0</v>
      </c>
      <c r="FE117" s="91">
        <f t="shared" si="1047"/>
        <v>0</v>
      </c>
      <c r="FF117" s="91">
        <f t="shared" si="1048"/>
        <v>0</v>
      </c>
      <c r="FU117" s="91">
        <f t="shared" si="1049"/>
        <v>0</v>
      </c>
      <c r="FV117" s="91">
        <f t="shared" si="1050"/>
        <v>0</v>
      </c>
      <c r="GK117" s="91">
        <f t="shared" si="1051"/>
        <v>0</v>
      </c>
      <c r="GL117" s="91">
        <f t="shared" si="1052"/>
        <v>0</v>
      </c>
      <c r="HA117" s="91">
        <f t="shared" si="1053"/>
        <v>0</v>
      </c>
      <c r="HB117" s="91">
        <f t="shared" si="1054"/>
        <v>0</v>
      </c>
      <c r="HQ117" s="91">
        <f t="shared" si="1055"/>
        <v>0</v>
      </c>
      <c r="HR117" s="91">
        <f t="shared" si="1056"/>
        <v>0</v>
      </c>
      <c r="IG117" s="91">
        <f t="shared" si="1057"/>
        <v>0</v>
      </c>
      <c r="IH117" s="91">
        <f t="shared" si="1058"/>
        <v>0</v>
      </c>
      <c r="IW117" s="91">
        <f t="shared" si="1059"/>
        <v>0</v>
      </c>
      <c r="IX117" s="91">
        <f t="shared" si="1060"/>
        <v>0</v>
      </c>
      <c r="JM117" s="91">
        <f t="shared" si="1061"/>
        <v>0</v>
      </c>
      <c r="JN117" s="91">
        <f t="shared" si="1062"/>
        <v>0</v>
      </c>
      <c r="KC117" s="91">
        <f t="shared" si="1063"/>
        <v>0</v>
      </c>
      <c r="KD117" s="91">
        <f t="shared" si="1064"/>
        <v>0</v>
      </c>
      <c r="KS117" s="91">
        <f t="shared" si="1065"/>
        <v>0</v>
      </c>
      <c r="KT117" s="91">
        <f t="shared" si="1066"/>
        <v>0</v>
      </c>
      <c r="LI117" s="91">
        <f t="shared" si="1067"/>
        <v>0</v>
      </c>
      <c r="LJ117" s="91">
        <f t="shared" si="1068"/>
        <v>0</v>
      </c>
      <c r="LY117" s="91">
        <f t="shared" si="1069"/>
        <v>0</v>
      </c>
      <c r="LZ117" s="91">
        <f t="shared" si="1070"/>
        <v>0</v>
      </c>
      <c r="MC117" s="98">
        <v>13900</v>
      </c>
      <c r="MD117" s="98">
        <v>556000</v>
      </c>
      <c r="MO117" s="91">
        <f t="shared" si="1071"/>
        <v>13900</v>
      </c>
      <c r="MP117" s="91">
        <f t="shared" si="1072"/>
        <v>556000</v>
      </c>
      <c r="NE117" s="91">
        <f t="shared" si="1073"/>
        <v>0</v>
      </c>
      <c r="NF117" s="91">
        <f t="shared" si="1074"/>
        <v>0</v>
      </c>
      <c r="NI117" s="98">
        <v>30000</v>
      </c>
      <c r="NJ117" s="98">
        <v>1350000</v>
      </c>
      <c r="NU117" s="91">
        <f t="shared" si="1075"/>
        <v>30000</v>
      </c>
      <c r="NV117" s="91">
        <f t="shared" si="1076"/>
        <v>1350000</v>
      </c>
      <c r="OK117" s="91">
        <f t="shared" si="1077"/>
        <v>0</v>
      </c>
      <c r="OL117" s="91">
        <f t="shared" si="1078"/>
        <v>0</v>
      </c>
      <c r="PA117" s="91">
        <f t="shared" si="1079"/>
        <v>0</v>
      </c>
      <c r="PB117" s="91">
        <f t="shared" si="1080"/>
        <v>0</v>
      </c>
      <c r="PQ117" s="91">
        <f t="shared" si="1081"/>
        <v>0</v>
      </c>
      <c r="PR117" s="91">
        <f t="shared" si="1082"/>
        <v>0</v>
      </c>
      <c r="QG117" s="91">
        <f t="shared" si="1083"/>
        <v>0</v>
      </c>
      <c r="QH117" s="91">
        <f t="shared" si="1084"/>
        <v>0</v>
      </c>
      <c r="QW117" s="91">
        <f t="shared" si="1085"/>
        <v>0</v>
      </c>
      <c r="QX117" s="91">
        <f t="shared" si="1086"/>
        <v>0</v>
      </c>
      <c r="RM117" s="91">
        <f t="shared" si="1087"/>
        <v>0</v>
      </c>
      <c r="RN117" s="91">
        <f t="shared" si="1088"/>
        <v>0</v>
      </c>
      <c r="SC117" s="91">
        <f t="shared" si="1089"/>
        <v>0</v>
      </c>
      <c r="SD117" s="91">
        <f t="shared" si="1090"/>
        <v>0</v>
      </c>
      <c r="SS117" s="91">
        <f t="shared" si="1091"/>
        <v>0</v>
      </c>
      <c r="ST117" s="91">
        <f t="shared" si="1092"/>
        <v>0</v>
      </c>
      <c r="TI117" s="91">
        <f t="shared" si="1093"/>
        <v>0</v>
      </c>
      <c r="TJ117" s="91">
        <f t="shared" si="1094"/>
        <v>0</v>
      </c>
      <c r="TY117" s="91">
        <f t="shared" si="1095"/>
        <v>0</v>
      </c>
      <c r="TZ117" s="91">
        <f t="shared" si="1096"/>
        <v>0</v>
      </c>
      <c r="UO117" s="91">
        <f t="shared" si="1097"/>
        <v>0</v>
      </c>
      <c r="UP117" s="91">
        <f t="shared" si="1098"/>
        <v>0</v>
      </c>
      <c r="VE117" s="91">
        <f t="shared" si="1099"/>
        <v>0</v>
      </c>
      <c r="VF117" s="91">
        <f t="shared" si="1100"/>
        <v>0</v>
      </c>
      <c r="VU117" s="91">
        <f t="shared" si="1101"/>
        <v>0</v>
      </c>
      <c r="VV117" s="91">
        <f t="shared" si="1102"/>
        <v>0</v>
      </c>
      <c r="WK117" s="91">
        <f t="shared" si="1103"/>
        <v>0</v>
      </c>
      <c r="WL117" s="91">
        <f t="shared" si="1104"/>
        <v>0</v>
      </c>
      <c r="WM117" s="89"/>
      <c r="WN117" s="87">
        <f t="shared" si="1105"/>
        <v>0</v>
      </c>
      <c r="WO117" s="87">
        <f t="shared" si="1106"/>
        <v>0</v>
      </c>
      <c r="WP117" s="87">
        <f t="shared" si="1107"/>
        <v>60500</v>
      </c>
      <c r="WQ117" s="87">
        <f t="shared" si="1108"/>
        <v>2570000</v>
      </c>
      <c r="WR117" s="87">
        <f t="shared" si="1109"/>
        <v>0</v>
      </c>
      <c r="WS117" s="87">
        <f t="shared" si="1110"/>
        <v>0</v>
      </c>
      <c r="WT117" s="87">
        <f t="shared" si="1111"/>
        <v>0</v>
      </c>
      <c r="WU117" s="87">
        <f t="shared" si="1112"/>
        <v>0</v>
      </c>
      <c r="WV117" s="87">
        <f t="shared" si="1113"/>
        <v>0</v>
      </c>
      <c r="WW117" s="87">
        <f t="shared" si="1114"/>
        <v>0</v>
      </c>
      <c r="WX117" s="87">
        <f t="shared" si="1115"/>
        <v>0</v>
      </c>
      <c r="WY117" s="87">
        <f t="shared" si="1116"/>
        <v>0</v>
      </c>
      <c r="WZ117" s="87">
        <f t="shared" si="1127"/>
        <v>0</v>
      </c>
      <c r="XA117" s="87">
        <f t="shared" si="1128"/>
        <v>0</v>
      </c>
      <c r="XB117" s="92">
        <f t="shared" si="1119"/>
        <v>60500</v>
      </c>
      <c r="XC117" s="92">
        <f t="shared" si="1120"/>
        <v>2570000</v>
      </c>
      <c r="XD117" s="89"/>
      <c r="XE117" s="92">
        <f t="shared" si="1125"/>
        <v>167340</v>
      </c>
      <c r="XF117" s="92">
        <f t="shared" si="1126"/>
        <v>7349600</v>
      </c>
      <c r="XG117" s="89"/>
      <c r="XH117" s="92"/>
      <c r="XI117" s="92"/>
      <c r="XJ117" s="89"/>
      <c r="XK117" s="87"/>
      <c r="XL117" s="87"/>
      <c r="XM117" s="87"/>
      <c r="XN117" s="87"/>
      <c r="XO117" s="87"/>
      <c r="XP117" s="87"/>
      <c r="XQ117" s="87"/>
      <c r="XR117" s="92">
        <f t="shared" ca="1" si="1122"/>
        <v>0</v>
      </c>
      <c r="XS117" s="89"/>
      <c r="XT117" s="87"/>
      <c r="XU117" s="87"/>
      <c r="XV117" s="87"/>
      <c r="XW117" s="87"/>
      <c r="XX117" s="87"/>
      <c r="XY117" s="87"/>
      <c r="XZ117" s="87"/>
      <c r="YA117" s="92">
        <f t="shared" ca="1" si="1123"/>
        <v>0</v>
      </c>
      <c r="YB117" s="90"/>
      <c r="YC117" s="90"/>
      <c r="YD117" s="90"/>
      <c r="YE117" s="90"/>
      <c r="YF117" s="90"/>
      <c r="YG117" s="90"/>
      <c r="YH117" s="90"/>
      <c r="YI117" s="90"/>
      <c r="YJ117" s="90"/>
      <c r="YK117" s="90"/>
      <c r="YL117" s="90"/>
      <c r="YM117" s="90"/>
      <c r="YN117" s="90"/>
      <c r="YO117" s="90"/>
      <c r="YP117" s="90"/>
      <c r="YQ117" s="90"/>
      <c r="YR117" s="90"/>
      <c r="YS117" s="90"/>
      <c r="YT117" s="90"/>
      <c r="YU117" s="90"/>
      <c r="YV117" s="90"/>
      <c r="YW117" s="90"/>
      <c r="YX117" s="90"/>
      <c r="YY117" s="90"/>
      <c r="YZ117" s="90"/>
      <c r="ZA117" s="90"/>
      <c r="ZB117" s="90"/>
      <c r="ZC117" s="90"/>
      <c r="ZD117" s="90"/>
      <c r="ZE117" s="90"/>
      <c r="ZF117" s="90"/>
      <c r="ZG117" s="90"/>
      <c r="ZH117" s="90"/>
      <c r="ZI117" s="90"/>
      <c r="ZJ117" s="90"/>
      <c r="ZK117" s="90"/>
      <c r="ZL117" s="90"/>
      <c r="ZM117" s="90"/>
      <c r="ZN117" s="90"/>
      <c r="ZO117" s="90"/>
      <c r="ZP117" s="90"/>
      <c r="ZQ117" s="90"/>
      <c r="ZR117" s="90"/>
      <c r="ZS117" s="90"/>
      <c r="ZT117" s="90"/>
      <c r="ZU117" s="90"/>
      <c r="ZV117" s="90"/>
      <c r="ZW117" s="90"/>
      <c r="ZX117" s="90"/>
      <c r="ZY117" s="90"/>
      <c r="ZZ117" s="90"/>
      <c r="AAA117" s="90"/>
      <c r="AAB117" s="90"/>
      <c r="AAC117" s="90"/>
      <c r="AAD117" s="90"/>
      <c r="AAE117" s="90"/>
      <c r="AAF117" s="90"/>
      <c r="AAG117" s="90"/>
      <c r="AAH117" s="90"/>
      <c r="AAI117" s="90"/>
      <c r="AAJ117" s="90"/>
      <c r="AAK117" s="90"/>
      <c r="AAL117" s="90"/>
      <c r="AAM117" s="90"/>
      <c r="AAN117" s="90"/>
      <c r="AAO117" s="90"/>
      <c r="AAP117" s="90"/>
      <c r="AAQ117" s="90"/>
      <c r="AAR117" s="90"/>
      <c r="AAS117" s="90"/>
      <c r="AAT117" s="90"/>
      <c r="AAU117" s="90"/>
      <c r="AAV117" s="90"/>
      <c r="AAW117" s="90"/>
      <c r="AAX117" s="90"/>
      <c r="AAY117" s="90"/>
      <c r="AAZ117" s="90"/>
      <c r="ABA117" s="90"/>
      <c r="ABB117" s="90"/>
      <c r="ABC117" s="90"/>
      <c r="ABD117" s="90"/>
      <c r="ABE117" s="90"/>
      <c r="ABF117" s="90"/>
      <c r="ABG117" s="90"/>
      <c r="ABH117" s="90"/>
      <c r="ABI117" s="90"/>
      <c r="ABJ117" s="90"/>
      <c r="ABK117" s="90"/>
      <c r="ABL117" s="90"/>
      <c r="ABM117" s="90"/>
      <c r="ABN117" s="90"/>
      <c r="ABO117" s="90"/>
      <c r="ABP117" s="90"/>
      <c r="ABQ117" s="90"/>
      <c r="ABR117" s="90"/>
      <c r="ABS117" s="90"/>
      <c r="ABT117" s="90"/>
      <c r="ABU117" s="90"/>
      <c r="ABV117" s="90"/>
      <c r="ABW117" s="90"/>
      <c r="ABX117" s="90"/>
      <c r="ABY117" s="90"/>
      <c r="ABZ117" s="90"/>
      <c r="ACA117" s="90"/>
      <c r="ACB117" s="90"/>
      <c r="ACC117" s="90"/>
      <c r="ACD117" s="90"/>
      <c r="ACE117" s="90"/>
      <c r="ACF117" s="90"/>
      <c r="ACG117" s="90"/>
      <c r="ACH117" s="90"/>
      <c r="ACI117" s="90"/>
      <c r="ACJ117" s="90"/>
      <c r="ACK117" s="90"/>
      <c r="ACL117" s="90"/>
      <c r="ACM117" s="90"/>
      <c r="ACN117" s="90"/>
      <c r="ACO117" s="90"/>
      <c r="ACP117" s="90"/>
      <c r="ACQ117" s="90"/>
      <c r="ACR117" s="90"/>
      <c r="ACS117" s="90"/>
      <c r="ACT117" s="90"/>
      <c r="ACU117" s="90"/>
      <c r="ACV117" s="90"/>
      <c r="ACW117" s="90"/>
      <c r="ACX117" s="90"/>
      <c r="ACY117" s="90"/>
      <c r="ACZ117" s="90"/>
      <c r="ADA117" s="90"/>
      <c r="ADB117" s="90"/>
      <c r="ADC117" s="90"/>
      <c r="ADD117" s="90"/>
      <c r="ADE117" s="90"/>
      <c r="ADF117" s="90"/>
      <c r="ADG117" s="90"/>
      <c r="ADH117" s="90"/>
      <c r="ADI117" s="90"/>
      <c r="ADJ117" s="90"/>
      <c r="ADK117" s="90"/>
      <c r="ADL117" s="90"/>
      <c r="ADM117" s="90"/>
      <c r="ADN117" s="90"/>
      <c r="ADO117" s="90"/>
      <c r="ADP117" s="90"/>
      <c r="ADQ117" s="90"/>
      <c r="ADR117" s="90"/>
      <c r="ADS117" s="90"/>
      <c r="ADT117" s="90"/>
      <c r="ADU117" s="90"/>
      <c r="ADV117" s="90"/>
      <c r="ADW117" s="90"/>
      <c r="ADX117" s="90"/>
      <c r="ADY117" s="90"/>
      <c r="ADZ117" s="90"/>
      <c r="AEA117" s="90"/>
      <c r="AEB117" s="90"/>
      <c r="AEC117" s="90"/>
      <c r="AED117" s="90"/>
      <c r="AEE117" s="90"/>
      <c r="AEF117" s="90"/>
      <c r="AEG117" s="90"/>
      <c r="AEH117" s="90"/>
      <c r="AEI117" s="90"/>
      <c r="AEJ117" s="90"/>
      <c r="AEK117" s="90"/>
      <c r="AEL117" s="90"/>
      <c r="AEM117" s="90"/>
      <c r="AEN117" s="90"/>
      <c r="AEO117" s="90"/>
      <c r="AEP117" s="90"/>
      <c r="AEQ117" s="90"/>
      <c r="AER117" s="90"/>
      <c r="AES117" s="90"/>
      <c r="AET117" s="90"/>
      <c r="AEU117" s="90"/>
      <c r="AEV117" s="90"/>
      <c r="AEW117" s="90"/>
      <c r="AEX117" s="90"/>
      <c r="AEY117" s="90"/>
      <c r="AEZ117" s="90"/>
      <c r="AFA117" s="90"/>
      <c r="AFB117" s="90"/>
      <c r="AFC117" s="90"/>
      <c r="AFD117" s="90"/>
      <c r="AFE117" s="90"/>
      <c r="AFF117" s="90"/>
      <c r="AFG117" s="90"/>
      <c r="AFH117" s="90"/>
      <c r="AFI117" s="90"/>
      <c r="AFJ117" s="90"/>
      <c r="AFK117" s="90"/>
      <c r="AFL117" s="90"/>
      <c r="AFM117" s="90"/>
      <c r="AFN117" s="90"/>
      <c r="AFO117" s="90"/>
      <c r="AFP117" s="90"/>
      <c r="AFQ117" s="90"/>
      <c r="AFR117" s="90"/>
      <c r="AFS117" s="90"/>
      <c r="AFT117" s="90"/>
      <c r="AFU117" s="90"/>
      <c r="AFV117" s="90"/>
      <c r="AFW117" s="90"/>
      <c r="AFX117" s="90"/>
      <c r="AFY117" s="90"/>
      <c r="AFZ117" s="90"/>
      <c r="AGA117" s="90"/>
      <c r="AGB117" s="90"/>
      <c r="AGC117" s="90"/>
      <c r="AGD117" s="90"/>
      <c r="AGE117" s="90"/>
      <c r="AGF117" s="90"/>
      <c r="AGG117" s="90"/>
      <c r="AGH117" s="90"/>
      <c r="AGI117" s="90"/>
      <c r="AGJ117" s="90"/>
      <c r="AGK117" s="90"/>
      <c r="AGL117" s="90"/>
      <c r="AGM117" s="90"/>
      <c r="AGN117" s="90"/>
      <c r="AGO117" s="90"/>
      <c r="AGP117" s="90"/>
      <c r="AGQ117" s="90"/>
      <c r="AGR117" s="90"/>
      <c r="AGS117" s="90"/>
      <c r="AGT117" s="90"/>
      <c r="AGU117" s="90"/>
      <c r="AGV117" s="90"/>
      <c r="AGW117" s="90"/>
      <c r="AGX117" s="90"/>
      <c r="AGY117" s="90"/>
      <c r="AGZ117" s="90"/>
      <c r="AHA117" s="90"/>
      <c r="AHB117" s="90"/>
      <c r="AHC117" s="90"/>
      <c r="AHD117" s="90"/>
      <c r="AHE117" s="90"/>
      <c r="AHF117" s="90"/>
      <c r="AHG117" s="90"/>
      <c r="AHH117" s="90"/>
      <c r="AHI117" s="90"/>
      <c r="AHJ117" s="90"/>
      <c r="AHK117" s="90"/>
      <c r="AHL117" s="90"/>
      <c r="AHM117" s="90"/>
      <c r="AHN117" s="90"/>
      <c r="AHO117" s="90"/>
      <c r="AHP117" s="90"/>
      <c r="AHQ117" s="90"/>
      <c r="AHR117" s="90"/>
      <c r="AHS117" s="90"/>
      <c r="AHT117" s="90"/>
      <c r="AHU117" s="90"/>
      <c r="AHV117" s="90"/>
      <c r="AHW117" s="90"/>
      <c r="AHX117" s="90"/>
      <c r="AHY117" s="90"/>
      <c r="AHZ117" s="90"/>
      <c r="AIA117" s="90"/>
      <c r="AIB117" s="90"/>
      <c r="AIC117" s="90"/>
      <c r="AID117" s="90"/>
      <c r="AIE117" s="90"/>
      <c r="AIF117" s="90"/>
      <c r="AIG117" s="90"/>
      <c r="AIH117" s="90"/>
      <c r="AII117" s="90"/>
      <c r="AIJ117" s="90"/>
      <c r="AIK117" s="90"/>
      <c r="AIL117" s="90"/>
      <c r="AIM117" s="90"/>
      <c r="AIN117" s="90"/>
      <c r="AIO117" s="90"/>
      <c r="AIP117" s="90"/>
      <c r="AIQ117" s="90"/>
      <c r="AIR117" s="90"/>
      <c r="AIS117" s="90"/>
      <c r="AIT117" s="90"/>
      <c r="AIU117" s="90"/>
      <c r="AIV117" s="90"/>
      <c r="AIW117" s="90"/>
      <c r="AIX117" s="90"/>
      <c r="AIY117" s="90"/>
      <c r="AIZ117" s="90"/>
      <c r="AJA117" s="90"/>
      <c r="AJB117" s="90"/>
      <c r="AJC117" s="90"/>
      <c r="AJD117" s="90"/>
      <c r="AJE117" s="90"/>
      <c r="AJF117" s="90"/>
      <c r="AJG117" s="90"/>
      <c r="AJH117" s="90"/>
      <c r="AJI117" s="90"/>
      <c r="AJJ117" s="90"/>
      <c r="AJK117" s="90"/>
      <c r="AJL117" s="90"/>
      <c r="AJM117" s="90"/>
      <c r="AJN117" s="90"/>
      <c r="AJO117" s="90"/>
      <c r="AJP117" s="90"/>
      <c r="AJQ117" s="90"/>
      <c r="AJR117" s="90"/>
      <c r="AJS117" s="90"/>
      <c r="AJT117" s="90"/>
      <c r="AJU117" s="90"/>
      <c r="AJV117" s="90"/>
      <c r="AJW117" s="90"/>
      <c r="AJX117" s="90"/>
      <c r="AJY117" s="90"/>
      <c r="AJZ117" s="90"/>
      <c r="AKA117" s="90"/>
      <c r="AKB117" s="90"/>
      <c r="AKC117" s="90"/>
      <c r="AKD117" s="90"/>
      <c r="AKE117" s="90"/>
      <c r="AKF117" s="90"/>
      <c r="AKG117" s="90"/>
      <c r="AKH117" s="90"/>
      <c r="AKI117" s="90"/>
      <c r="AKJ117" s="90"/>
      <c r="AKK117" s="90"/>
      <c r="AKL117" s="90"/>
      <c r="AKM117" s="90"/>
      <c r="AKN117" s="90"/>
      <c r="AKO117" s="90"/>
      <c r="AKP117" s="90"/>
      <c r="AKQ117" s="90"/>
      <c r="AKR117" s="90"/>
      <c r="AKS117" s="90"/>
      <c r="AKT117" s="90"/>
      <c r="AKU117" s="90"/>
      <c r="AKV117" s="90"/>
      <c r="AKW117" s="90"/>
      <c r="AKX117" s="90"/>
      <c r="AKY117" s="90"/>
      <c r="AKZ117" s="90"/>
      <c r="ALA117" s="90"/>
      <c r="ALB117" s="90"/>
      <c r="ALC117" s="90"/>
      <c r="ALD117" s="90"/>
      <c r="ALE117" s="90"/>
      <c r="ALF117" s="90"/>
      <c r="ALG117" s="90"/>
      <c r="ALH117" s="90"/>
      <c r="ALI117" s="90"/>
      <c r="ALJ117" s="90"/>
      <c r="ALK117" s="90"/>
      <c r="ALL117" s="90"/>
      <c r="ALM117" s="90"/>
      <c r="ALN117" s="90"/>
      <c r="ALO117" s="90"/>
      <c r="ALP117" s="90"/>
      <c r="ALQ117" s="90"/>
      <c r="ALR117" s="90"/>
      <c r="ALS117" s="90"/>
      <c r="ALT117" s="90"/>
      <c r="ALU117" s="90"/>
      <c r="ALV117" s="90"/>
      <c r="ALW117" s="90"/>
      <c r="ALX117" s="90"/>
      <c r="ALY117" s="90"/>
      <c r="ALZ117" s="90"/>
      <c r="AMA117" s="90"/>
      <c r="AMB117" s="90"/>
      <c r="AMC117" s="90"/>
    </row>
    <row r="118" spans="1:1017">
      <c r="A118" s="98" t="s">
        <v>47</v>
      </c>
      <c r="B118" s="90" t="str">
        <f t="shared" si="1129"/>
        <v xml:space="preserve">Udang_02 (Udang Rebon) </v>
      </c>
      <c r="Q118" s="91">
        <f t="shared" si="1029"/>
        <v>0</v>
      </c>
      <c r="R118" s="91">
        <f t="shared" si="1030"/>
        <v>0</v>
      </c>
      <c r="AG118" s="91">
        <f t="shared" si="1031"/>
        <v>0</v>
      </c>
      <c r="AH118" s="91">
        <f t="shared" si="1032"/>
        <v>0</v>
      </c>
      <c r="AW118" s="91">
        <f t="shared" si="1033"/>
        <v>0</v>
      </c>
      <c r="AX118" s="91">
        <f t="shared" si="1034"/>
        <v>0</v>
      </c>
      <c r="BM118" s="91">
        <f t="shared" si="1035"/>
        <v>0</v>
      </c>
      <c r="BN118" s="91">
        <f t="shared" si="1036"/>
        <v>0</v>
      </c>
      <c r="CC118" s="91">
        <f t="shared" si="1037"/>
        <v>0</v>
      </c>
      <c r="CD118" s="91">
        <f t="shared" si="1038"/>
        <v>0</v>
      </c>
      <c r="CS118" s="91">
        <f t="shared" si="1039"/>
        <v>0</v>
      </c>
      <c r="CT118" s="91">
        <f t="shared" si="1040"/>
        <v>0</v>
      </c>
      <c r="DI118" s="91">
        <f t="shared" si="1041"/>
        <v>0</v>
      </c>
      <c r="DJ118" s="91">
        <f t="shared" si="1042"/>
        <v>0</v>
      </c>
      <c r="DY118" s="91">
        <f t="shared" si="1043"/>
        <v>0</v>
      </c>
      <c r="DZ118" s="91">
        <f t="shared" si="1044"/>
        <v>0</v>
      </c>
      <c r="EO118" s="91">
        <f t="shared" si="1045"/>
        <v>0</v>
      </c>
      <c r="EP118" s="91">
        <f t="shared" si="1046"/>
        <v>0</v>
      </c>
      <c r="FE118" s="91">
        <f t="shared" si="1047"/>
        <v>0</v>
      </c>
      <c r="FF118" s="91">
        <f t="shared" si="1048"/>
        <v>0</v>
      </c>
      <c r="FU118" s="91">
        <f t="shared" si="1049"/>
        <v>0</v>
      </c>
      <c r="FV118" s="91">
        <f t="shared" si="1050"/>
        <v>0</v>
      </c>
      <c r="GK118" s="91">
        <f t="shared" si="1051"/>
        <v>0</v>
      </c>
      <c r="GL118" s="91">
        <f t="shared" si="1052"/>
        <v>0</v>
      </c>
      <c r="HA118" s="91">
        <f t="shared" si="1053"/>
        <v>0</v>
      </c>
      <c r="HB118" s="91">
        <f t="shared" si="1054"/>
        <v>0</v>
      </c>
      <c r="HQ118" s="91">
        <f t="shared" si="1055"/>
        <v>0</v>
      </c>
      <c r="HR118" s="91">
        <f t="shared" si="1056"/>
        <v>0</v>
      </c>
      <c r="IG118" s="91">
        <f t="shared" si="1057"/>
        <v>0</v>
      </c>
      <c r="IH118" s="91">
        <f t="shared" si="1058"/>
        <v>0</v>
      </c>
      <c r="IW118" s="91">
        <f t="shared" si="1059"/>
        <v>0</v>
      </c>
      <c r="IX118" s="91">
        <f t="shared" si="1060"/>
        <v>0</v>
      </c>
      <c r="JM118" s="91">
        <f t="shared" si="1061"/>
        <v>0</v>
      </c>
      <c r="JN118" s="91">
        <f t="shared" si="1062"/>
        <v>0</v>
      </c>
      <c r="KC118" s="91">
        <f t="shared" si="1063"/>
        <v>0</v>
      </c>
      <c r="KD118" s="91">
        <f t="shared" si="1064"/>
        <v>0</v>
      </c>
      <c r="KS118" s="91">
        <f t="shared" si="1065"/>
        <v>0</v>
      </c>
      <c r="KT118" s="91">
        <f t="shared" si="1066"/>
        <v>0</v>
      </c>
      <c r="LI118" s="91">
        <f t="shared" si="1067"/>
        <v>0</v>
      </c>
      <c r="LJ118" s="91">
        <f t="shared" si="1068"/>
        <v>0</v>
      </c>
      <c r="LY118" s="91">
        <f t="shared" si="1069"/>
        <v>0</v>
      </c>
      <c r="LZ118" s="91">
        <f t="shared" si="1070"/>
        <v>0</v>
      </c>
      <c r="MO118" s="91">
        <f t="shared" si="1071"/>
        <v>0</v>
      </c>
      <c r="MP118" s="91">
        <f t="shared" si="1072"/>
        <v>0</v>
      </c>
      <c r="NE118" s="91">
        <f t="shared" si="1073"/>
        <v>0</v>
      </c>
      <c r="NF118" s="91">
        <f t="shared" si="1074"/>
        <v>0</v>
      </c>
      <c r="NI118" s="98">
        <v>110700</v>
      </c>
      <c r="NJ118" s="98">
        <v>4428000</v>
      </c>
      <c r="NU118" s="91">
        <f t="shared" si="1075"/>
        <v>110700</v>
      </c>
      <c r="NV118" s="91">
        <f t="shared" si="1076"/>
        <v>4428000</v>
      </c>
      <c r="OK118" s="91">
        <f t="shared" si="1077"/>
        <v>0</v>
      </c>
      <c r="OL118" s="91">
        <f t="shared" si="1078"/>
        <v>0</v>
      </c>
      <c r="PA118" s="91">
        <f t="shared" si="1079"/>
        <v>0</v>
      </c>
      <c r="PB118" s="91">
        <f t="shared" si="1080"/>
        <v>0</v>
      </c>
      <c r="PQ118" s="91">
        <f t="shared" si="1081"/>
        <v>0</v>
      </c>
      <c r="PR118" s="91">
        <f t="shared" si="1082"/>
        <v>0</v>
      </c>
      <c r="QG118" s="91">
        <f t="shared" si="1083"/>
        <v>0</v>
      </c>
      <c r="QH118" s="91">
        <f t="shared" si="1084"/>
        <v>0</v>
      </c>
      <c r="QW118" s="91">
        <f t="shared" si="1085"/>
        <v>0</v>
      </c>
      <c r="QX118" s="91">
        <f t="shared" si="1086"/>
        <v>0</v>
      </c>
      <c r="RM118" s="91">
        <f t="shared" si="1087"/>
        <v>0</v>
      </c>
      <c r="RN118" s="91">
        <f t="shared" si="1088"/>
        <v>0</v>
      </c>
      <c r="SC118" s="91">
        <f t="shared" si="1089"/>
        <v>0</v>
      </c>
      <c r="SD118" s="91">
        <f t="shared" si="1090"/>
        <v>0</v>
      </c>
      <c r="SS118" s="91">
        <f t="shared" si="1091"/>
        <v>0</v>
      </c>
      <c r="ST118" s="91">
        <f t="shared" si="1092"/>
        <v>0</v>
      </c>
      <c r="TI118" s="91">
        <f t="shared" si="1093"/>
        <v>0</v>
      </c>
      <c r="TJ118" s="91">
        <f t="shared" si="1094"/>
        <v>0</v>
      </c>
      <c r="TY118" s="91">
        <f t="shared" si="1095"/>
        <v>0</v>
      </c>
      <c r="TZ118" s="91">
        <f t="shared" si="1096"/>
        <v>0</v>
      </c>
      <c r="UO118" s="91">
        <f t="shared" si="1097"/>
        <v>0</v>
      </c>
      <c r="UP118" s="91">
        <f t="shared" si="1098"/>
        <v>0</v>
      </c>
      <c r="VE118" s="91">
        <f t="shared" si="1099"/>
        <v>0</v>
      </c>
      <c r="VF118" s="91">
        <f t="shared" si="1100"/>
        <v>0</v>
      </c>
      <c r="VU118" s="91">
        <f t="shared" si="1101"/>
        <v>0</v>
      </c>
      <c r="VV118" s="91">
        <f t="shared" si="1102"/>
        <v>0</v>
      </c>
      <c r="WK118" s="91">
        <f t="shared" si="1103"/>
        <v>0</v>
      </c>
      <c r="WL118" s="91">
        <f t="shared" si="1104"/>
        <v>0</v>
      </c>
      <c r="WM118" s="89"/>
      <c r="WN118" s="87">
        <f t="shared" ref="WN118:WN126" si="1130">SUMIF($C$5:$WL$5,$WN$5,C118:WL118)</f>
        <v>0</v>
      </c>
      <c r="WO118" s="87">
        <f t="shared" ref="WO118:WO126" si="1131">SUMIF($C$5:$WL$5,$WO$5,C118:WL118)</f>
        <v>0</v>
      </c>
      <c r="WP118" s="87">
        <f t="shared" ref="WP118:WP126" si="1132">SUMIF($C$5:$WL$5,$WP$5,C118:WL118)</f>
        <v>110700</v>
      </c>
      <c r="WQ118" s="87">
        <f t="shared" ref="WQ118:WQ126" si="1133">SUMIF($C$5:$WL$5,$WQ$5,C118:WL118)</f>
        <v>4428000</v>
      </c>
      <c r="WR118" s="87">
        <f t="shared" ref="WR118:WR126" si="1134">SUMIF($C$5:$WL$5,$WR$5,C118:WL118)</f>
        <v>0</v>
      </c>
      <c r="WS118" s="87">
        <f t="shared" ref="WS118:WS126" si="1135">SUMIF($C$5:$WL$5,$WS$5,C118:WL118)</f>
        <v>0</v>
      </c>
      <c r="WT118" s="87">
        <f t="shared" ref="WT118:WT126" si="1136">SUMIF($C$5:$WL$5,$WT$5,C118:WL118)</f>
        <v>0</v>
      </c>
      <c r="WU118" s="87">
        <f t="shared" ref="WU118:WU126" si="1137">SUMIF($C$5:$WL$5,$WU$5,C118:WL118)</f>
        <v>0</v>
      </c>
      <c r="WV118" s="87">
        <f t="shared" ref="WV118:WV126" si="1138">SUMIF($C$5:$WL$5,$WV$5,C118:WL118)</f>
        <v>0</v>
      </c>
      <c r="WW118" s="87">
        <f t="shared" ref="WW118:WW126" si="1139">SUMIF($C$5:$WL$5,$WW$5,C118:WL118)</f>
        <v>0</v>
      </c>
      <c r="WX118" s="87">
        <f t="shared" ref="WX118:WX126" si="1140">SUMIF($C$5:$WL$5,$WX$5,C118:WL118)</f>
        <v>0</v>
      </c>
      <c r="WY118" s="87">
        <f t="shared" ref="WY118:WY126" si="1141">SUMIF($C$5:$WL$5,$WY$5,C118:WL118)</f>
        <v>0</v>
      </c>
      <c r="WZ118" s="87">
        <f t="shared" si="1127"/>
        <v>0</v>
      </c>
      <c r="XA118" s="87">
        <f t="shared" si="1128"/>
        <v>0</v>
      </c>
      <c r="XB118" s="92">
        <f t="shared" ref="XB118:XB126" si="1142">SUMIF($WN$12:$XA$12,$XB$12,WN118:XA118)</f>
        <v>110700</v>
      </c>
      <c r="XC118" s="92">
        <f t="shared" ref="XC118:XC126" si="1143">SUMIF($WN$12:$XA$12,$XC$12,WN118:XA118)</f>
        <v>4428000</v>
      </c>
      <c r="XD118" s="89"/>
      <c r="XE118" s="92">
        <f t="shared" si="1125"/>
        <v>480200</v>
      </c>
      <c r="XF118" s="92">
        <f t="shared" si="1126"/>
        <v>19208000</v>
      </c>
      <c r="XG118" s="89"/>
      <c r="XH118" s="92"/>
      <c r="XI118" s="92"/>
      <c r="XJ118" s="89"/>
      <c r="XK118" s="87"/>
      <c r="XL118" s="87"/>
      <c r="XM118" s="87"/>
      <c r="XN118" s="87"/>
      <c r="XO118" s="87"/>
      <c r="XP118" s="87"/>
      <c r="XQ118" s="87"/>
      <c r="XR118" s="92">
        <f t="shared" ca="1" si="1122"/>
        <v>0</v>
      </c>
      <c r="XS118" s="89"/>
      <c r="XT118" s="87"/>
      <c r="XU118" s="87"/>
      <c r="XV118" s="87"/>
      <c r="XW118" s="87"/>
      <c r="XX118" s="87"/>
      <c r="XY118" s="87"/>
      <c r="XZ118" s="87"/>
      <c r="YA118" s="92">
        <f t="shared" ca="1" si="1123"/>
        <v>0</v>
      </c>
      <c r="YB118" s="90"/>
      <c r="YC118" s="90"/>
      <c r="YD118" s="90"/>
      <c r="YE118" s="90"/>
      <c r="YF118" s="90"/>
      <c r="YG118" s="90"/>
      <c r="YH118" s="90"/>
      <c r="YI118" s="90"/>
      <c r="YJ118" s="90"/>
      <c r="YK118" s="90"/>
      <c r="YL118" s="90"/>
      <c r="YM118" s="90"/>
      <c r="YN118" s="90"/>
      <c r="YO118" s="90"/>
      <c r="YP118" s="90"/>
      <c r="YQ118" s="90"/>
      <c r="YR118" s="90"/>
      <c r="YS118" s="90"/>
      <c r="YT118" s="90"/>
      <c r="YU118" s="90"/>
      <c r="YV118" s="90"/>
      <c r="YW118" s="90"/>
      <c r="YX118" s="90"/>
      <c r="YY118" s="90"/>
      <c r="YZ118" s="90"/>
      <c r="ZA118" s="90"/>
      <c r="ZB118" s="90"/>
      <c r="ZC118" s="90"/>
      <c r="ZD118" s="90"/>
      <c r="ZE118" s="90"/>
      <c r="ZF118" s="90"/>
      <c r="ZG118" s="90"/>
      <c r="ZH118" s="90"/>
      <c r="ZI118" s="90"/>
      <c r="ZJ118" s="90"/>
      <c r="ZK118" s="90"/>
      <c r="ZL118" s="90"/>
      <c r="ZM118" s="90"/>
      <c r="ZN118" s="90"/>
      <c r="ZO118" s="90"/>
      <c r="ZP118" s="90"/>
      <c r="ZQ118" s="90"/>
      <c r="ZR118" s="90"/>
      <c r="ZS118" s="90"/>
      <c r="ZT118" s="90"/>
      <c r="ZU118" s="90"/>
      <c r="ZV118" s="90"/>
      <c r="ZW118" s="90"/>
      <c r="ZX118" s="90"/>
      <c r="ZY118" s="90"/>
      <c r="ZZ118" s="90"/>
      <c r="AAA118" s="90"/>
      <c r="AAB118" s="90"/>
      <c r="AAC118" s="90"/>
      <c r="AAD118" s="90"/>
      <c r="AAE118" s="90"/>
      <c r="AAF118" s="90"/>
      <c r="AAG118" s="90"/>
      <c r="AAH118" s="90"/>
      <c r="AAI118" s="90"/>
      <c r="AAJ118" s="90"/>
      <c r="AAK118" s="90"/>
      <c r="AAL118" s="90"/>
      <c r="AAM118" s="90"/>
      <c r="AAN118" s="90"/>
      <c r="AAO118" s="90"/>
      <c r="AAP118" s="90"/>
      <c r="AAQ118" s="90"/>
      <c r="AAR118" s="90"/>
      <c r="AAS118" s="90"/>
      <c r="AAT118" s="90"/>
      <c r="AAU118" s="90"/>
      <c r="AAV118" s="90"/>
      <c r="AAW118" s="90"/>
      <c r="AAX118" s="90"/>
      <c r="AAY118" s="90"/>
      <c r="AAZ118" s="90"/>
      <c r="ABA118" s="90"/>
      <c r="ABB118" s="90"/>
      <c r="ABC118" s="90"/>
      <c r="ABD118" s="90"/>
      <c r="ABE118" s="90"/>
      <c r="ABF118" s="90"/>
      <c r="ABG118" s="90"/>
      <c r="ABH118" s="90"/>
      <c r="ABI118" s="90"/>
      <c r="ABJ118" s="90"/>
      <c r="ABK118" s="90"/>
      <c r="ABL118" s="90"/>
      <c r="ABM118" s="90"/>
      <c r="ABN118" s="90"/>
      <c r="ABO118" s="90"/>
      <c r="ABP118" s="90"/>
      <c r="ABQ118" s="90"/>
      <c r="ABR118" s="90"/>
      <c r="ABS118" s="90"/>
      <c r="ABT118" s="90"/>
      <c r="ABU118" s="90"/>
      <c r="ABV118" s="90"/>
      <c r="ABW118" s="90"/>
      <c r="ABX118" s="90"/>
      <c r="ABY118" s="90"/>
      <c r="ABZ118" s="90"/>
      <c r="ACA118" s="90"/>
      <c r="ACB118" s="90"/>
      <c r="ACC118" s="90"/>
      <c r="ACD118" s="90"/>
      <c r="ACE118" s="90"/>
      <c r="ACF118" s="90"/>
      <c r="ACG118" s="90"/>
      <c r="ACH118" s="90"/>
      <c r="ACI118" s="90"/>
      <c r="ACJ118" s="90"/>
      <c r="ACK118" s="90"/>
      <c r="ACL118" s="90"/>
      <c r="ACM118" s="90"/>
      <c r="ACN118" s="90"/>
      <c r="ACO118" s="90"/>
      <c r="ACP118" s="90"/>
      <c r="ACQ118" s="90"/>
      <c r="ACR118" s="90"/>
      <c r="ACS118" s="90"/>
      <c r="ACT118" s="90"/>
      <c r="ACU118" s="90"/>
      <c r="ACV118" s="90"/>
      <c r="ACW118" s="90"/>
      <c r="ACX118" s="90"/>
      <c r="ACY118" s="90"/>
      <c r="ACZ118" s="90"/>
      <c r="ADA118" s="90"/>
      <c r="ADB118" s="90"/>
      <c r="ADC118" s="90"/>
      <c r="ADD118" s="90"/>
      <c r="ADE118" s="90"/>
      <c r="ADF118" s="90"/>
      <c r="ADG118" s="90"/>
      <c r="ADH118" s="90"/>
      <c r="ADI118" s="90"/>
      <c r="ADJ118" s="90"/>
      <c r="ADK118" s="90"/>
      <c r="ADL118" s="90"/>
      <c r="ADM118" s="90"/>
      <c r="ADN118" s="90"/>
      <c r="ADO118" s="90"/>
      <c r="ADP118" s="90"/>
      <c r="ADQ118" s="90"/>
      <c r="ADR118" s="90"/>
      <c r="ADS118" s="90"/>
      <c r="ADT118" s="90"/>
      <c r="ADU118" s="90"/>
      <c r="ADV118" s="90"/>
      <c r="ADW118" s="90"/>
      <c r="ADX118" s="90"/>
      <c r="ADY118" s="90"/>
      <c r="ADZ118" s="90"/>
      <c r="AEA118" s="90"/>
      <c r="AEB118" s="90"/>
      <c r="AEC118" s="90"/>
      <c r="AED118" s="90"/>
      <c r="AEE118" s="90"/>
      <c r="AEF118" s="90"/>
      <c r="AEG118" s="90"/>
      <c r="AEH118" s="90"/>
      <c r="AEI118" s="90"/>
      <c r="AEJ118" s="90"/>
      <c r="AEK118" s="90"/>
      <c r="AEL118" s="90"/>
      <c r="AEM118" s="90"/>
      <c r="AEN118" s="90"/>
      <c r="AEO118" s="90"/>
      <c r="AEP118" s="90"/>
      <c r="AEQ118" s="90"/>
      <c r="AER118" s="90"/>
      <c r="AES118" s="90"/>
      <c r="AET118" s="90"/>
      <c r="AEU118" s="90"/>
      <c r="AEV118" s="90"/>
      <c r="AEW118" s="90"/>
      <c r="AEX118" s="90"/>
      <c r="AEY118" s="90"/>
      <c r="AEZ118" s="90"/>
      <c r="AFA118" s="90"/>
      <c r="AFB118" s="90"/>
      <c r="AFC118" s="90"/>
      <c r="AFD118" s="90"/>
      <c r="AFE118" s="90"/>
      <c r="AFF118" s="90"/>
      <c r="AFG118" s="90"/>
      <c r="AFH118" s="90"/>
      <c r="AFI118" s="90"/>
      <c r="AFJ118" s="90"/>
      <c r="AFK118" s="90"/>
      <c r="AFL118" s="90"/>
      <c r="AFM118" s="90"/>
      <c r="AFN118" s="90"/>
      <c r="AFO118" s="90"/>
      <c r="AFP118" s="90"/>
      <c r="AFQ118" s="90"/>
      <c r="AFR118" s="90"/>
      <c r="AFS118" s="90"/>
      <c r="AFT118" s="90"/>
      <c r="AFU118" s="90"/>
      <c r="AFV118" s="90"/>
      <c r="AFW118" s="90"/>
      <c r="AFX118" s="90"/>
      <c r="AFY118" s="90"/>
      <c r="AFZ118" s="90"/>
      <c r="AGA118" s="90"/>
      <c r="AGB118" s="90"/>
      <c r="AGC118" s="90"/>
      <c r="AGD118" s="90"/>
      <c r="AGE118" s="90"/>
      <c r="AGF118" s="90"/>
      <c r="AGG118" s="90"/>
      <c r="AGH118" s="90"/>
      <c r="AGI118" s="90"/>
      <c r="AGJ118" s="90"/>
      <c r="AGK118" s="90"/>
      <c r="AGL118" s="90"/>
      <c r="AGM118" s="90"/>
      <c r="AGN118" s="90"/>
      <c r="AGO118" s="90"/>
      <c r="AGP118" s="90"/>
      <c r="AGQ118" s="90"/>
      <c r="AGR118" s="90"/>
      <c r="AGS118" s="90"/>
      <c r="AGT118" s="90"/>
      <c r="AGU118" s="90"/>
      <c r="AGV118" s="90"/>
      <c r="AGW118" s="90"/>
      <c r="AGX118" s="90"/>
      <c r="AGY118" s="90"/>
      <c r="AGZ118" s="90"/>
      <c r="AHA118" s="90"/>
      <c r="AHB118" s="90"/>
      <c r="AHC118" s="90"/>
      <c r="AHD118" s="90"/>
      <c r="AHE118" s="90"/>
      <c r="AHF118" s="90"/>
      <c r="AHG118" s="90"/>
      <c r="AHH118" s="90"/>
      <c r="AHI118" s="90"/>
      <c r="AHJ118" s="90"/>
      <c r="AHK118" s="90"/>
      <c r="AHL118" s="90"/>
      <c r="AHM118" s="90"/>
      <c r="AHN118" s="90"/>
      <c r="AHO118" s="90"/>
      <c r="AHP118" s="90"/>
      <c r="AHQ118" s="90"/>
      <c r="AHR118" s="90"/>
      <c r="AHS118" s="90"/>
      <c r="AHT118" s="90"/>
      <c r="AHU118" s="90"/>
      <c r="AHV118" s="90"/>
      <c r="AHW118" s="90"/>
      <c r="AHX118" s="90"/>
      <c r="AHY118" s="90"/>
      <c r="AHZ118" s="90"/>
      <c r="AIA118" s="90"/>
      <c r="AIB118" s="90"/>
      <c r="AIC118" s="90"/>
      <c r="AID118" s="90"/>
      <c r="AIE118" s="90"/>
      <c r="AIF118" s="90"/>
      <c r="AIG118" s="90"/>
      <c r="AIH118" s="90"/>
      <c r="AII118" s="90"/>
      <c r="AIJ118" s="90"/>
      <c r="AIK118" s="90"/>
      <c r="AIL118" s="90"/>
      <c r="AIM118" s="90"/>
      <c r="AIN118" s="90"/>
      <c r="AIO118" s="90"/>
      <c r="AIP118" s="90"/>
      <c r="AIQ118" s="90"/>
      <c r="AIR118" s="90"/>
      <c r="AIS118" s="90"/>
      <c r="AIT118" s="90"/>
      <c r="AIU118" s="90"/>
      <c r="AIV118" s="90"/>
      <c r="AIW118" s="90"/>
      <c r="AIX118" s="90"/>
      <c r="AIY118" s="90"/>
      <c r="AIZ118" s="90"/>
      <c r="AJA118" s="90"/>
      <c r="AJB118" s="90"/>
      <c r="AJC118" s="90"/>
      <c r="AJD118" s="90"/>
      <c r="AJE118" s="90"/>
      <c r="AJF118" s="90"/>
      <c r="AJG118" s="90"/>
      <c r="AJH118" s="90"/>
      <c r="AJI118" s="90"/>
      <c r="AJJ118" s="90"/>
      <c r="AJK118" s="90"/>
      <c r="AJL118" s="90"/>
      <c r="AJM118" s="90"/>
      <c r="AJN118" s="90"/>
      <c r="AJO118" s="90"/>
      <c r="AJP118" s="90"/>
      <c r="AJQ118" s="90"/>
      <c r="AJR118" s="90"/>
      <c r="AJS118" s="90"/>
      <c r="AJT118" s="90"/>
      <c r="AJU118" s="90"/>
      <c r="AJV118" s="90"/>
      <c r="AJW118" s="90"/>
      <c r="AJX118" s="90"/>
      <c r="AJY118" s="90"/>
      <c r="AJZ118" s="90"/>
      <c r="AKA118" s="90"/>
      <c r="AKB118" s="90"/>
      <c r="AKC118" s="90"/>
      <c r="AKD118" s="90"/>
      <c r="AKE118" s="90"/>
      <c r="AKF118" s="90"/>
      <c r="AKG118" s="90"/>
      <c r="AKH118" s="90"/>
      <c r="AKI118" s="90"/>
      <c r="AKJ118" s="90"/>
      <c r="AKK118" s="90"/>
      <c r="AKL118" s="90"/>
      <c r="AKM118" s="90"/>
      <c r="AKN118" s="90"/>
      <c r="AKO118" s="90"/>
      <c r="AKP118" s="90"/>
      <c r="AKQ118" s="90"/>
      <c r="AKR118" s="90"/>
      <c r="AKS118" s="90"/>
      <c r="AKT118" s="90"/>
      <c r="AKU118" s="90"/>
      <c r="AKV118" s="90"/>
      <c r="AKW118" s="90"/>
      <c r="AKX118" s="90"/>
      <c r="AKY118" s="90"/>
      <c r="AKZ118" s="90"/>
      <c r="ALA118" s="90"/>
      <c r="ALB118" s="90"/>
      <c r="ALC118" s="90"/>
      <c r="ALD118" s="90"/>
      <c r="ALE118" s="90"/>
      <c r="ALF118" s="90"/>
      <c r="ALG118" s="90"/>
      <c r="ALH118" s="90"/>
      <c r="ALI118" s="90"/>
      <c r="ALJ118" s="90"/>
      <c r="ALK118" s="90"/>
      <c r="ALL118" s="90"/>
      <c r="ALM118" s="90"/>
      <c r="ALN118" s="90"/>
      <c r="ALO118" s="90"/>
      <c r="ALP118" s="90"/>
      <c r="ALQ118" s="90"/>
      <c r="ALR118" s="90"/>
      <c r="ALS118" s="90"/>
      <c r="ALT118" s="90"/>
      <c r="ALU118" s="90"/>
      <c r="ALV118" s="90"/>
      <c r="ALW118" s="90"/>
      <c r="ALX118" s="90"/>
      <c r="ALY118" s="90"/>
      <c r="ALZ118" s="90"/>
      <c r="AMA118" s="90"/>
      <c r="AMB118" s="90"/>
      <c r="AMC118" s="90"/>
    </row>
    <row r="119" spans="1:1017">
      <c r="A119" s="98" t="s">
        <v>47</v>
      </c>
      <c r="B119" s="90" t="str">
        <f t="shared" si="1129"/>
        <v xml:space="preserve">Belut Sawah </v>
      </c>
      <c r="Q119" s="91">
        <f t="shared" si="1029"/>
        <v>0</v>
      </c>
      <c r="R119" s="91">
        <f t="shared" si="1030"/>
        <v>0</v>
      </c>
      <c r="AG119" s="91">
        <f t="shared" si="1031"/>
        <v>0</v>
      </c>
      <c r="AH119" s="91">
        <f t="shared" si="1032"/>
        <v>0</v>
      </c>
      <c r="AW119" s="91">
        <f t="shared" si="1033"/>
        <v>0</v>
      </c>
      <c r="AX119" s="91">
        <f t="shared" si="1034"/>
        <v>0</v>
      </c>
      <c r="BM119" s="91">
        <f t="shared" si="1035"/>
        <v>0</v>
      </c>
      <c r="BN119" s="91">
        <f t="shared" si="1036"/>
        <v>0</v>
      </c>
      <c r="CC119" s="91">
        <f t="shared" si="1037"/>
        <v>0</v>
      </c>
      <c r="CD119" s="91">
        <f t="shared" si="1038"/>
        <v>0</v>
      </c>
      <c r="CS119" s="91">
        <f t="shared" si="1039"/>
        <v>0</v>
      </c>
      <c r="CT119" s="91">
        <f t="shared" si="1040"/>
        <v>0</v>
      </c>
      <c r="DI119" s="91">
        <f t="shared" si="1041"/>
        <v>0</v>
      </c>
      <c r="DJ119" s="91">
        <f t="shared" si="1042"/>
        <v>0</v>
      </c>
      <c r="DY119" s="91">
        <f t="shared" si="1043"/>
        <v>0</v>
      </c>
      <c r="DZ119" s="91">
        <f t="shared" si="1044"/>
        <v>0</v>
      </c>
      <c r="EO119" s="91">
        <f t="shared" si="1045"/>
        <v>0</v>
      </c>
      <c r="EP119" s="91">
        <f t="shared" si="1046"/>
        <v>0</v>
      </c>
      <c r="FE119" s="91">
        <f t="shared" si="1047"/>
        <v>0</v>
      </c>
      <c r="FF119" s="91">
        <f t="shared" si="1048"/>
        <v>0</v>
      </c>
      <c r="FU119" s="91">
        <f t="shared" si="1049"/>
        <v>0</v>
      </c>
      <c r="FV119" s="91">
        <f t="shared" si="1050"/>
        <v>0</v>
      </c>
      <c r="GK119" s="91">
        <f t="shared" si="1051"/>
        <v>0</v>
      </c>
      <c r="GL119" s="91">
        <f t="shared" si="1052"/>
        <v>0</v>
      </c>
      <c r="HA119" s="91">
        <f t="shared" si="1053"/>
        <v>0</v>
      </c>
      <c r="HB119" s="91">
        <f t="shared" si="1054"/>
        <v>0</v>
      </c>
      <c r="HQ119" s="91">
        <f t="shared" si="1055"/>
        <v>0</v>
      </c>
      <c r="HR119" s="91">
        <f t="shared" si="1056"/>
        <v>0</v>
      </c>
      <c r="IG119" s="91">
        <f t="shared" si="1057"/>
        <v>0</v>
      </c>
      <c r="IH119" s="91">
        <f t="shared" si="1058"/>
        <v>0</v>
      </c>
      <c r="IW119" s="91">
        <f t="shared" si="1059"/>
        <v>0</v>
      </c>
      <c r="IX119" s="91">
        <f t="shared" si="1060"/>
        <v>0</v>
      </c>
      <c r="JM119" s="91">
        <f t="shared" si="1061"/>
        <v>0</v>
      </c>
      <c r="JN119" s="91">
        <f t="shared" si="1062"/>
        <v>0</v>
      </c>
      <c r="KC119" s="91">
        <f t="shared" si="1063"/>
        <v>0</v>
      </c>
      <c r="KD119" s="91">
        <f t="shared" si="1064"/>
        <v>0</v>
      </c>
      <c r="KS119" s="91">
        <f t="shared" si="1065"/>
        <v>0</v>
      </c>
      <c r="KT119" s="91">
        <f t="shared" si="1066"/>
        <v>0</v>
      </c>
      <c r="LI119" s="91">
        <f t="shared" si="1067"/>
        <v>0</v>
      </c>
      <c r="LJ119" s="91">
        <f t="shared" si="1068"/>
        <v>0</v>
      </c>
      <c r="LY119" s="91">
        <f t="shared" si="1069"/>
        <v>0</v>
      </c>
      <c r="LZ119" s="91">
        <f t="shared" si="1070"/>
        <v>0</v>
      </c>
      <c r="MO119" s="91">
        <f t="shared" si="1071"/>
        <v>0</v>
      </c>
      <c r="MP119" s="91">
        <f t="shared" si="1072"/>
        <v>0</v>
      </c>
      <c r="NE119" s="91">
        <f t="shared" si="1073"/>
        <v>0</v>
      </c>
      <c r="NF119" s="91">
        <f t="shared" si="1074"/>
        <v>0</v>
      </c>
      <c r="NU119" s="91">
        <f t="shared" si="1075"/>
        <v>0</v>
      </c>
      <c r="NV119" s="91">
        <f t="shared" si="1076"/>
        <v>0</v>
      </c>
      <c r="OK119" s="91">
        <f t="shared" si="1077"/>
        <v>0</v>
      </c>
      <c r="OL119" s="91">
        <f t="shared" si="1078"/>
        <v>0</v>
      </c>
      <c r="PA119" s="91">
        <f t="shared" si="1079"/>
        <v>0</v>
      </c>
      <c r="PB119" s="91">
        <f t="shared" si="1080"/>
        <v>0</v>
      </c>
      <c r="PQ119" s="91">
        <f t="shared" si="1081"/>
        <v>0</v>
      </c>
      <c r="PR119" s="91">
        <f t="shared" si="1082"/>
        <v>0</v>
      </c>
      <c r="QG119" s="91">
        <f t="shared" si="1083"/>
        <v>0</v>
      </c>
      <c r="QH119" s="91">
        <f t="shared" si="1084"/>
        <v>0</v>
      </c>
      <c r="QW119" s="91">
        <f t="shared" si="1085"/>
        <v>0</v>
      </c>
      <c r="QX119" s="91">
        <f t="shared" si="1086"/>
        <v>0</v>
      </c>
      <c r="RM119" s="91">
        <f t="shared" si="1087"/>
        <v>0</v>
      </c>
      <c r="RN119" s="91">
        <f t="shared" si="1088"/>
        <v>0</v>
      </c>
      <c r="SC119" s="91">
        <f t="shared" si="1089"/>
        <v>0</v>
      </c>
      <c r="SD119" s="91">
        <f t="shared" si="1090"/>
        <v>0</v>
      </c>
      <c r="SS119" s="91">
        <f t="shared" si="1091"/>
        <v>0</v>
      </c>
      <c r="ST119" s="91">
        <f t="shared" si="1092"/>
        <v>0</v>
      </c>
      <c r="TI119" s="91">
        <f t="shared" si="1093"/>
        <v>0</v>
      </c>
      <c r="TJ119" s="91">
        <f t="shared" si="1094"/>
        <v>0</v>
      </c>
      <c r="TY119" s="91">
        <f t="shared" si="1095"/>
        <v>0</v>
      </c>
      <c r="TZ119" s="91">
        <f t="shared" si="1096"/>
        <v>0</v>
      </c>
      <c r="UO119" s="91">
        <f t="shared" si="1097"/>
        <v>0</v>
      </c>
      <c r="UP119" s="91">
        <f t="shared" si="1098"/>
        <v>0</v>
      </c>
      <c r="VE119" s="91">
        <f t="shared" si="1099"/>
        <v>0</v>
      </c>
      <c r="VF119" s="91">
        <f t="shared" si="1100"/>
        <v>0</v>
      </c>
      <c r="VU119" s="91">
        <f t="shared" si="1101"/>
        <v>0</v>
      </c>
      <c r="VV119" s="91">
        <f t="shared" si="1102"/>
        <v>0</v>
      </c>
      <c r="WK119" s="91">
        <f t="shared" si="1103"/>
        <v>0</v>
      </c>
      <c r="WL119" s="91">
        <f t="shared" si="1104"/>
        <v>0</v>
      </c>
      <c r="WM119" s="89"/>
      <c r="WN119" s="87">
        <f t="shared" si="1130"/>
        <v>0</v>
      </c>
      <c r="WO119" s="87">
        <f t="shared" si="1131"/>
        <v>0</v>
      </c>
      <c r="WP119" s="87">
        <f t="shared" si="1132"/>
        <v>0</v>
      </c>
      <c r="WQ119" s="87">
        <f t="shared" si="1133"/>
        <v>0</v>
      </c>
      <c r="WR119" s="87">
        <f t="shared" si="1134"/>
        <v>0</v>
      </c>
      <c r="WS119" s="87">
        <f t="shared" si="1135"/>
        <v>0</v>
      </c>
      <c r="WT119" s="87">
        <f t="shared" si="1136"/>
        <v>0</v>
      </c>
      <c r="WU119" s="87">
        <f t="shared" si="1137"/>
        <v>0</v>
      </c>
      <c r="WV119" s="87">
        <f t="shared" si="1138"/>
        <v>0</v>
      </c>
      <c r="WW119" s="87">
        <f t="shared" si="1139"/>
        <v>0</v>
      </c>
      <c r="WX119" s="87">
        <f t="shared" si="1140"/>
        <v>0</v>
      </c>
      <c r="WY119" s="87">
        <f t="shared" si="1141"/>
        <v>0</v>
      </c>
      <c r="WZ119" s="87">
        <f t="shared" si="1127"/>
        <v>0</v>
      </c>
      <c r="XA119" s="87">
        <f t="shared" si="1128"/>
        <v>0</v>
      </c>
      <c r="XB119" s="92">
        <f t="shared" si="1142"/>
        <v>0</v>
      </c>
      <c r="XC119" s="92">
        <f t="shared" si="1143"/>
        <v>0</v>
      </c>
      <c r="XD119" s="89"/>
      <c r="XE119" s="92">
        <f t="shared" si="1125"/>
        <v>60</v>
      </c>
      <c r="XF119" s="92">
        <f t="shared" si="1126"/>
        <v>4500</v>
      </c>
      <c r="XG119" s="89"/>
      <c r="XH119" s="92"/>
      <c r="XI119" s="92"/>
      <c r="XJ119" s="89"/>
      <c r="XK119" s="87"/>
      <c r="XL119" s="87"/>
      <c r="XM119" s="87"/>
      <c r="XN119" s="87"/>
      <c r="XO119" s="87"/>
      <c r="XP119" s="87"/>
      <c r="XQ119" s="87"/>
      <c r="XR119" s="92">
        <f t="shared" ca="1" si="1122"/>
        <v>0</v>
      </c>
      <c r="XS119" s="89"/>
      <c r="XT119" s="87"/>
      <c r="XU119" s="87"/>
      <c r="XV119" s="87"/>
      <c r="XW119" s="87"/>
      <c r="XX119" s="87"/>
      <c r="XY119" s="87"/>
      <c r="XZ119" s="87"/>
      <c r="YA119" s="92">
        <f t="shared" ca="1" si="1123"/>
        <v>0</v>
      </c>
      <c r="YB119" s="90"/>
      <c r="YC119" s="90"/>
      <c r="YD119" s="90"/>
      <c r="YE119" s="90"/>
      <c r="YF119" s="90"/>
      <c r="YG119" s="90"/>
      <c r="YH119" s="90"/>
      <c r="YI119" s="90"/>
      <c r="YJ119" s="90"/>
      <c r="YK119" s="90"/>
      <c r="YL119" s="90"/>
      <c r="YM119" s="90"/>
      <c r="YN119" s="90"/>
      <c r="YO119" s="90"/>
      <c r="YP119" s="90"/>
      <c r="YQ119" s="90"/>
      <c r="YR119" s="90"/>
      <c r="YS119" s="90"/>
      <c r="YT119" s="90"/>
      <c r="YU119" s="90"/>
      <c r="YV119" s="90"/>
      <c r="YW119" s="90"/>
      <c r="YX119" s="90"/>
      <c r="YY119" s="90"/>
      <c r="YZ119" s="90"/>
      <c r="ZA119" s="90"/>
      <c r="ZB119" s="90"/>
      <c r="ZC119" s="90"/>
      <c r="ZD119" s="90"/>
      <c r="ZE119" s="90"/>
      <c r="ZF119" s="90"/>
      <c r="ZG119" s="90"/>
      <c r="ZH119" s="90"/>
      <c r="ZI119" s="90"/>
      <c r="ZJ119" s="90"/>
      <c r="ZK119" s="90"/>
      <c r="ZL119" s="90"/>
      <c r="ZM119" s="90"/>
      <c r="ZN119" s="90"/>
      <c r="ZO119" s="90"/>
      <c r="ZP119" s="90"/>
      <c r="ZQ119" s="90"/>
      <c r="ZR119" s="90"/>
      <c r="ZS119" s="90"/>
      <c r="ZT119" s="90"/>
      <c r="ZU119" s="90"/>
      <c r="ZV119" s="90"/>
      <c r="ZW119" s="90"/>
      <c r="ZX119" s="90"/>
      <c r="ZY119" s="90"/>
      <c r="ZZ119" s="90"/>
      <c r="AAA119" s="90"/>
      <c r="AAB119" s="90"/>
      <c r="AAC119" s="90"/>
      <c r="AAD119" s="90"/>
      <c r="AAE119" s="90"/>
      <c r="AAF119" s="90"/>
      <c r="AAG119" s="90"/>
      <c r="AAH119" s="90"/>
      <c r="AAI119" s="90"/>
      <c r="AAJ119" s="90"/>
      <c r="AAK119" s="90"/>
      <c r="AAL119" s="90"/>
      <c r="AAM119" s="90"/>
      <c r="AAN119" s="90"/>
      <c r="AAO119" s="90"/>
      <c r="AAP119" s="90"/>
      <c r="AAQ119" s="90"/>
      <c r="AAR119" s="90"/>
      <c r="AAS119" s="90"/>
      <c r="AAT119" s="90"/>
      <c r="AAU119" s="90"/>
      <c r="AAV119" s="90"/>
      <c r="AAW119" s="90"/>
      <c r="AAX119" s="90"/>
      <c r="AAY119" s="90"/>
      <c r="AAZ119" s="90"/>
      <c r="ABA119" s="90"/>
      <c r="ABB119" s="90"/>
      <c r="ABC119" s="90"/>
      <c r="ABD119" s="90"/>
      <c r="ABE119" s="90"/>
      <c r="ABF119" s="90"/>
      <c r="ABG119" s="90"/>
      <c r="ABH119" s="90"/>
      <c r="ABI119" s="90"/>
      <c r="ABJ119" s="90"/>
      <c r="ABK119" s="90"/>
      <c r="ABL119" s="90"/>
      <c r="ABM119" s="90"/>
      <c r="ABN119" s="90"/>
      <c r="ABO119" s="90"/>
      <c r="ABP119" s="90"/>
      <c r="ABQ119" s="90"/>
      <c r="ABR119" s="90"/>
      <c r="ABS119" s="90"/>
      <c r="ABT119" s="90"/>
      <c r="ABU119" s="90"/>
      <c r="ABV119" s="90"/>
      <c r="ABW119" s="90"/>
      <c r="ABX119" s="90"/>
      <c r="ABY119" s="90"/>
      <c r="ABZ119" s="90"/>
      <c r="ACA119" s="90"/>
      <c r="ACB119" s="90"/>
      <c r="ACC119" s="90"/>
      <c r="ACD119" s="90"/>
      <c r="ACE119" s="90"/>
      <c r="ACF119" s="90"/>
      <c r="ACG119" s="90"/>
      <c r="ACH119" s="90"/>
      <c r="ACI119" s="90"/>
      <c r="ACJ119" s="90"/>
      <c r="ACK119" s="90"/>
      <c r="ACL119" s="90"/>
      <c r="ACM119" s="90"/>
      <c r="ACN119" s="90"/>
      <c r="ACO119" s="90"/>
      <c r="ACP119" s="90"/>
      <c r="ACQ119" s="90"/>
      <c r="ACR119" s="90"/>
      <c r="ACS119" s="90"/>
      <c r="ACT119" s="90"/>
      <c r="ACU119" s="90"/>
      <c r="ACV119" s="90"/>
      <c r="ACW119" s="90"/>
      <c r="ACX119" s="90"/>
      <c r="ACY119" s="90"/>
      <c r="ACZ119" s="90"/>
      <c r="ADA119" s="90"/>
      <c r="ADB119" s="90"/>
      <c r="ADC119" s="90"/>
      <c r="ADD119" s="90"/>
      <c r="ADE119" s="90"/>
      <c r="ADF119" s="90"/>
      <c r="ADG119" s="90"/>
      <c r="ADH119" s="90"/>
      <c r="ADI119" s="90"/>
      <c r="ADJ119" s="90"/>
      <c r="ADK119" s="90"/>
      <c r="ADL119" s="90"/>
      <c r="ADM119" s="90"/>
      <c r="ADN119" s="90"/>
      <c r="ADO119" s="90"/>
      <c r="ADP119" s="90"/>
      <c r="ADQ119" s="90"/>
      <c r="ADR119" s="90"/>
      <c r="ADS119" s="90"/>
      <c r="ADT119" s="90"/>
      <c r="ADU119" s="90"/>
      <c r="ADV119" s="90"/>
      <c r="ADW119" s="90"/>
      <c r="ADX119" s="90"/>
      <c r="ADY119" s="90"/>
      <c r="ADZ119" s="90"/>
      <c r="AEA119" s="90"/>
      <c r="AEB119" s="90"/>
      <c r="AEC119" s="90"/>
      <c r="AED119" s="90"/>
      <c r="AEE119" s="90"/>
      <c r="AEF119" s="90"/>
      <c r="AEG119" s="90"/>
      <c r="AEH119" s="90"/>
      <c r="AEI119" s="90"/>
      <c r="AEJ119" s="90"/>
      <c r="AEK119" s="90"/>
      <c r="AEL119" s="90"/>
      <c r="AEM119" s="90"/>
      <c r="AEN119" s="90"/>
      <c r="AEO119" s="90"/>
      <c r="AEP119" s="90"/>
      <c r="AEQ119" s="90"/>
      <c r="AER119" s="90"/>
      <c r="AES119" s="90"/>
      <c r="AET119" s="90"/>
      <c r="AEU119" s="90"/>
      <c r="AEV119" s="90"/>
      <c r="AEW119" s="90"/>
      <c r="AEX119" s="90"/>
      <c r="AEY119" s="90"/>
      <c r="AEZ119" s="90"/>
      <c r="AFA119" s="90"/>
      <c r="AFB119" s="90"/>
      <c r="AFC119" s="90"/>
      <c r="AFD119" s="90"/>
      <c r="AFE119" s="90"/>
      <c r="AFF119" s="90"/>
      <c r="AFG119" s="90"/>
      <c r="AFH119" s="90"/>
      <c r="AFI119" s="90"/>
      <c r="AFJ119" s="90"/>
      <c r="AFK119" s="90"/>
      <c r="AFL119" s="90"/>
      <c r="AFM119" s="90"/>
      <c r="AFN119" s="90"/>
      <c r="AFO119" s="90"/>
      <c r="AFP119" s="90"/>
      <c r="AFQ119" s="90"/>
      <c r="AFR119" s="90"/>
      <c r="AFS119" s="90"/>
      <c r="AFT119" s="90"/>
      <c r="AFU119" s="90"/>
      <c r="AFV119" s="90"/>
      <c r="AFW119" s="90"/>
      <c r="AFX119" s="90"/>
      <c r="AFY119" s="90"/>
      <c r="AFZ119" s="90"/>
      <c r="AGA119" s="90"/>
      <c r="AGB119" s="90"/>
      <c r="AGC119" s="90"/>
      <c r="AGD119" s="90"/>
      <c r="AGE119" s="90"/>
      <c r="AGF119" s="90"/>
      <c r="AGG119" s="90"/>
      <c r="AGH119" s="90"/>
      <c r="AGI119" s="90"/>
      <c r="AGJ119" s="90"/>
      <c r="AGK119" s="90"/>
      <c r="AGL119" s="90"/>
      <c r="AGM119" s="90"/>
      <c r="AGN119" s="90"/>
      <c r="AGO119" s="90"/>
      <c r="AGP119" s="90"/>
      <c r="AGQ119" s="90"/>
      <c r="AGR119" s="90"/>
      <c r="AGS119" s="90"/>
      <c r="AGT119" s="90"/>
      <c r="AGU119" s="90"/>
      <c r="AGV119" s="90"/>
      <c r="AGW119" s="90"/>
      <c r="AGX119" s="90"/>
      <c r="AGY119" s="90"/>
      <c r="AGZ119" s="90"/>
      <c r="AHA119" s="90"/>
      <c r="AHB119" s="90"/>
      <c r="AHC119" s="90"/>
      <c r="AHD119" s="90"/>
      <c r="AHE119" s="90"/>
      <c r="AHF119" s="90"/>
      <c r="AHG119" s="90"/>
      <c r="AHH119" s="90"/>
      <c r="AHI119" s="90"/>
      <c r="AHJ119" s="90"/>
      <c r="AHK119" s="90"/>
      <c r="AHL119" s="90"/>
      <c r="AHM119" s="90"/>
      <c r="AHN119" s="90"/>
      <c r="AHO119" s="90"/>
      <c r="AHP119" s="90"/>
      <c r="AHQ119" s="90"/>
      <c r="AHR119" s="90"/>
      <c r="AHS119" s="90"/>
      <c r="AHT119" s="90"/>
      <c r="AHU119" s="90"/>
      <c r="AHV119" s="90"/>
      <c r="AHW119" s="90"/>
      <c r="AHX119" s="90"/>
      <c r="AHY119" s="90"/>
      <c r="AHZ119" s="90"/>
      <c r="AIA119" s="90"/>
      <c r="AIB119" s="90"/>
      <c r="AIC119" s="90"/>
      <c r="AID119" s="90"/>
      <c r="AIE119" s="90"/>
      <c r="AIF119" s="90"/>
      <c r="AIG119" s="90"/>
      <c r="AIH119" s="90"/>
      <c r="AII119" s="90"/>
      <c r="AIJ119" s="90"/>
      <c r="AIK119" s="90"/>
      <c r="AIL119" s="90"/>
      <c r="AIM119" s="90"/>
      <c r="AIN119" s="90"/>
      <c r="AIO119" s="90"/>
      <c r="AIP119" s="90"/>
      <c r="AIQ119" s="90"/>
      <c r="AIR119" s="90"/>
      <c r="AIS119" s="90"/>
      <c r="AIT119" s="90"/>
      <c r="AIU119" s="90"/>
      <c r="AIV119" s="90"/>
      <c r="AIW119" s="90"/>
      <c r="AIX119" s="90"/>
      <c r="AIY119" s="90"/>
      <c r="AIZ119" s="90"/>
      <c r="AJA119" s="90"/>
      <c r="AJB119" s="90"/>
      <c r="AJC119" s="90"/>
      <c r="AJD119" s="90"/>
      <c r="AJE119" s="90"/>
      <c r="AJF119" s="90"/>
      <c r="AJG119" s="90"/>
      <c r="AJH119" s="90"/>
      <c r="AJI119" s="90"/>
      <c r="AJJ119" s="90"/>
      <c r="AJK119" s="90"/>
      <c r="AJL119" s="90"/>
      <c r="AJM119" s="90"/>
      <c r="AJN119" s="90"/>
      <c r="AJO119" s="90"/>
      <c r="AJP119" s="90"/>
      <c r="AJQ119" s="90"/>
      <c r="AJR119" s="90"/>
      <c r="AJS119" s="90"/>
      <c r="AJT119" s="90"/>
      <c r="AJU119" s="90"/>
      <c r="AJV119" s="90"/>
      <c r="AJW119" s="90"/>
      <c r="AJX119" s="90"/>
      <c r="AJY119" s="90"/>
      <c r="AJZ119" s="90"/>
      <c r="AKA119" s="90"/>
      <c r="AKB119" s="90"/>
      <c r="AKC119" s="90"/>
      <c r="AKD119" s="90"/>
      <c r="AKE119" s="90"/>
      <c r="AKF119" s="90"/>
      <c r="AKG119" s="90"/>
      <c r="AKH119" s="90"/>
      <c r="AKI119" s="90"/>
      <c r="AKJ119" s="90"/>
      <c r="AKK119" s="90"/>
      <c r="AKL119" s="90"/>
      <c r="AKM119" s="90"/>
      <c r="AKN119" s="90"/>
      <c r="AKO119" s="90"/>
      <c r="AKP119" s="90"/>
      <c r="AKQ119" s="90"/>
      <c r="AKR119" s="90"/>
      <c r="AKS119" s="90"/>
      <c r="AKT119" s="90"/>
      <c r="AKU119" s="90"/>
      <c r="AKV119" s="90"/>
      <c r="AKW119" s="90"/>
      <c r="AKX119" s="90"/>
      <c r="AKY119" s="90"/>
      <c r="AKZ119" s="90"/>
      <c r="ALA119" s="90"/>
      <c r="ALB119" s="90"/>
      <c r="ALC119" s="90"/>
      <c r="ALD119" s="90"/>
      <c r="ALE119" s="90"/>
      <c r="ALF119" s="90"/>
      <c r="ALG119" s="90"/>
      <c r="ALH119" s="90"/>
      <c r="ALI119" s="90"/>
      <c r="ALJ119" s="90"/>
      <c r="ALK119" s="90"/>
      <c r="ALL119" s="90"/>
      <c r="ALM119" s="90"/>
      <c r="ALN119" s="90"/>
      <c r="ALO119" s="90"/>
      <c r="ALP119" s="90"/>
      <c r="ALQ119" s="90"/>
      <c r="ALR119" s="90"/>
      <c r="ALS119" s="90"/>
      <c r="ALT119" s="90"/>
      <c r="ALU119" s="90"/>
      <c r="ALV119" s="90"/>
      <c r="ALW119" s="90"/>
      <c r="ALX119" s="90"/>
      <c r="ALY119" s="90"/>
      <c r="ALZ119" s="90"/>
      <c r="AMA119" s="90"/>
      <c r="AMB119" s="90"/>
      <c r="AMC119" s="90"/>
    </row>
    <row r="120" spans="1:1017">
      <c r="A120" s="98" t="s">
        <v>47</v>
      </c>
      <c r="B120" s="90" t="str">
        <f t="shared" si="1129"/>
        <v xml:space="preserve">Udang_04 (Udang Lainnya) </v>
      </c>
      <c r="Q120" s="91">
        <f t="shared" si="1029"/>
        <v>0</v>
      </c>
      <c r="R120" s="91">
        <f t="shared" si="1030"/>
        <v>0</v>
      </c>
      <c r="AG120" s="91">
        <f t="shared" si="1031"/>
        <v>0</v>
      </c>
      <c r="AH120" s="91">
        <f t="shared" si="1032"/>
        <v>0</v>
      </c>
      <c r="AW120" s="91">
        <f t="shared" si="1033"/>
        <v>0</v>
      </c>
      <c r="AX120" s="91">
        <f t="shared" si="1034"/>
        <v>0</v>
      </c>
      <c r="BM120" s="91">
        <f t="shared" si="1035"/>
        <v>0</v>
      </c>
      <c r="BN120" s="91">
        <f t="shared" si="1036"/>
        <v>0</v>
      </c>
      <c r="CC120" s="91">
        <f t="shared" si="1037"/>
        <v>0</v>
      </c>
      <c r="CD120" s="91">
        <f t="shared" si="1038"/>
        <v>0</v>
      </c>
      <c r="CS120" s="91">
        <f t="shared" si="1039"/>
        <v>0</v>
      </c>
      <c r="CT120" s="91">
        <f t="shared" si="1040"/>
        <v>0</v>
      </c>
      <c r="DI120" s="91">
        <f t="shared" si="1041"/>
        <v>0</v>
      </c>
      <c r="DJ120" s="91">
        <f t="shared" si="1042"/>
        <v>0</v>
      </c>
      <c r="DY120" s="91">
        <f t="shared" si="1043"/>
        <v>0</v>
      </c>
      <c r="DZ120" s="91">
        <f t="shared" si="1044"/>
        <v>0</v>
      </c>
      <c r="EO120" s="91">
        <f t="shared" si="1045"/>
        <v>0</v>
      </c>
      <c r="EP120" s="91">
        <f t="shared" si="1046"/>
        <v>0</v>
      </c>
      <c r="FE120" s="91">
        <f t="shared" si="1047"/>
        <v>0</v>
      </c>
      <c r="FF120" s="91">
        <f t="shared" si="1048"/>
        <v>0</v>
      </c>
      <c r="FU120" s="91">
        <f t="shared" si="1049"/>
        <v>0</v>
      </c>
      <c r="FV120" s="91">
        <f t="shared" si="1050"/>
        <v>0</v>
      </c>
      <c r="GK120" s="91">
        <f t="shared" si="1051"/>
        <v>0</v>
      </c>
      <c r="GL120" s="91">
        <f t="shared" si="1052"/>
        <v>0</v>
      </c>
      <c r="HA120" s="91">
        <f t="shared" si="1053"/>
        <v>0</v>
      </c>
      <c r="HB120" s="91">
        <f t="shared" si="1054"/>
        <v>0</v>
      </c>
      <c r="HQ120" s="91">
        <f t="shared" si="1055"/>
        <v>0</v>
      </c>
      <c r="HR120" s="91">
        <f t="shared" si="1056"/>
        <v>0</v>
      </c>
      <c r="IG120" s="91">
        <f t="shared" si="1057"/>
        <v>0</v>
      </c>
      <c r="IH120" s="91">
        <f t="shared" si="1058"/>
        <v>0</v>
      </c>
      <c r="IW120" s="91">
        <f t="shared" si="1059"/>
        <v>0</v>
      </c>
      <c r="IX120" s="91">
        <f t="shared" si="1060"/>
        <v>0</v>
      </c>
      <c r="JM120" s="91">
        <f t="shared" si="1061"/>
        <v>0</v>
      </c>
      <c r="JN120" s="91">
        <f t="shared" si="1062"/>
        <v>0</v>
      </c>
      <c r="KC120" s="91">
        <f t="shared" si="1063"/>
        <v>0</v>
      </c>
      <c r="KD120" s="91">
        <f t="shared" si="1064"/>
        <v>0</v>
      </c>
      <c r="KS120" s="91">
        <f t="shared" si="1065"/>
        <v>0</v>
      </c>
      <c r="KT120" s="91">
        <f t="shared" si="1066"/>
        <v>0</v>
      </c>
      <c r="LI120" s="91">
        <f t="shared" si="1067"/>
        <v>0</v>
      </c>
      <c r="LJ120" s="91">
        <f t="shared" si="1068"/>
        <v>0</v>
      </c>
      <c r="LY120" s="91">
        <f t="shared" si="1069"/>
        <v>0</v>
      </c>
      <c r="LZ120" s="91">
        <f t="shared" si="1070"/>
        <v>0</v>
      </c>
      <c r="MO120" s="91">
        <f t="shared" si="1071"/>
        <v>0</v>
      </c>
      <c r="MP120" s="91">
        <f t="shared" si="1072"/>
        <v>0</v>
      </c>
      <c r="NE120" s="91">
        <f t="shared" si="1073"/>
        <v>0</v>
      </c>
      <c r="NF120" s="91">
        <f t="shared" si="1074"/>
        <v>0</v>
      </c>
      <c r="NU120" s="91">
        <f t="shared" si="1075"/>
        <v>0</v>
      </c>
      <c r="NV120" s="91">
        <f t="shared" si="1076"/>
        <v>0</v>
      </c>
      <c r="OK120" s="91">
        <f t="shared" si="1077"/>
        <v>0</v>
      </c>
      <c r="OL120" s="91">
        <f t="shared" si="1078"/>
        <v>0</v>
      </c>
      <c r="PA120" s="91">
        <f t="shared" si="1079"/>
        <v>0</v>
      </c>
      <c r="PB120" s="91">
        <f t="shared" si="1080"/>
        <v>0</v>
      </c>
      <c r="PQ120" s="91">
        <f t="shared" si="1081"/>
        <v>0</v>
      </c>
      <c r="PR120" s="91">
        <f t="shared" si="1082"/>
        <v>0</v>
      </c>
      <c r="QG120" s="91">
        <f t="shared" si="1083"/>
        <v>0</v>
      </c>
      <c r="QH120" s="91">
        <f t="shared" si="1084"/>
        <v>0</v>
      </c>
      <c r="QW120" s="91">
        <f t="shared" si="1085"/>
        <v>0</v>
      </c>
      <c r="QX120" s="91">
        <f t="shared" si="1086"/>
        <v>0</v>
      </c>
      <c r="RM120" s="91">
        <f t="shared" si="1087"/>
        <v>0</v>
      </c>
      <c r="RN120" s="91">
        <f t="shared" si="1088"/>
        <v>0</v>
      </c>
      <c r="SC120" s="91">
        <f t="shared" si="1089"/>
        <v>0</v>
      </c>
      <c r="SD120" s="91">
        <f t="shared" si="1090"/>
        <v>0</v>
      </c>
      <c r="SS120" s="91">
        <f t="shared" si="1091"/>
        <v>0</v>
      </c>
      <c r="ST120" s="91">
        <f t="shared" si="1092"/>
        <v>0</v>
      </c>
      <c r="TI120" s="91">
        <f t="shared" si="1093"/>
        <v>0</v>
      </c>
      <c r="TJ120" s="91">
        <f t="shared" si="1094"/>
        <v>0</v>
      </c>
      <c r="TY120" s="91">
        <f t="shared" si="1095"/>
        <v>0</v>
      </c>
      <c r="TZ120" s="91">
        <f t="shared" si="1096"/>
        <v>0</v>
      </c>
      <c r="UO120" s="91">
        <f t="shared" si="1097"/>
        <v>0</v>
      </c>
      <c r="UP120" s="91">
        <f t="shared" si="1098"/>
        <v>0</v>
      </c>
      <c r="VE120" s="91">
        <f t="shared" si="1099"/>
        <v>0</v>
      </c>
      <c r="VF120" s="91">
        <f t="shared" si="1100"/>
        <v>0</v>
      </c>
      <c r="VU120" s="91">
        <f t="shared" si="1101"/>
        <v>0</v>
      </c>
      <c r="VV120" s="91">
        <f t="shared" si="1102"/>
        <v>0</v>
      </c>
      <c r="WK120" s="91">
        <f t="shared" si="1103"/>
        <v>0</v>
      </c>
      <c r="WL120" s="91">
        <f t="shared" si="1104"/>
        <v>0</v>
      </c>
      <c r="WM120" s="89"/>
      <c r="WN120" s="87">
        <f t="shared" si="1130"/>
        <v>0</v>
      </c>
      <c r="WO120" s="87">
        <f t="shared" si="1131"/>
        <v>0</v>
      </c>
      <c r="WP120" s="87">
        <f t="shared" si="1132"/>
        <v>0</v>
      </c>
      <c r="WQ120" s="87">
        <f t="shared" si="1133"/>
        <v>0</v>
      </c>
      <c r="WR120" s="87">
        <f t="shared" si="1134"/>
        <v>0</v>
      </c>
      <c r="WS120" s="87">
        <f t="shared" si="1135"/>
        <v>0</v>
      </c>
      <c r="WT120" s="87">
        <f t="shared" si="1136"/>
        <v>0</v>
      </c>
      <c r="WU120" s="87">
        <f t="shared" si="1137"/>
        <v>0</v>
      </c>
      <c r="WV120" s="87">
        <f t="shared" si="1138"/>
        <v>0</v>
      </c>
      <c r="WW120" s="87">
        <f t="shared" si="1139"/>
        <v>0</v>
      </c>
      <c r="WX120" s="87">
        <f t="shared" si="1140"/>
        <v>0</v>
      </c>
      <c r="WY120" s="87">
        <f t="shared" si="1141"/>
        <v>0</v>
      </c>
      <c r="WZ120" s="87">
        <f t="shared" si="1127"/>
        <v>0</v>
      </c>
      <c r="XA120" s="87">
        <f t="shared" si="1128"/>
        <v>0</v>
      </c>
      <c r="XB120" s="92">
        <f t="shared" si="1142"/>
        <v>0</v>
      </c>
      <c r="XC120" s="92">
        <f t="shared" si="1143"/>
        <v>0</v>
      </c>
      <c r="XD120" s="89"/>
      <c r="XE120" s="92">
        <f t="shared" si="1125"/>
        <v>0</v>
      </c>
      <c r="XF120" s="92">
        <f t="shared" si="1126"/>
        <v>0</v>
      </c>
      <c r="XG120" s="89"/>
      <c r="XH120" s="92"/>
      <c r="XI120" s="92"/>
      <c r="XJ120" s="89"/>
      <c r="XK120" s="87"/>
      <c r="XL120" s="87"/>
      <c r="XM120" s="87"/>
      <c r="XN120" s="87"/>
      <c r="XO120" s="87"/>
      <c r="XP120" s="87"/>
      <c r="XQ120" s="87"/>
      <c r="XR120" s="92">
        <f t="shared" ca="1" si="1122"/>
        <v>0</v>
      </c>
      <c r="XS120" s="89"/>
      <c r="XT120" s="87"/>
      <c r="XU120" s="87"/>
      <c r="XV120" s="87"/>
      <c r="XW120" s="87"/>
      <c r="XX120" s="87"/>
      <c r="XY120" s="87"/>
      <c r="XZ120" s="87"/>
      <c r="YA120" s="92">
        <f t="shared" ca="1" si="1123"/>
        <v>0</v>
      </c>
      <c r="YB120" s="90"/>
      <c r="YC120" s="90"/>
      <c r="YD120" s="90"/>
      <c r="YE120" s="90"/>
      <c r="YF120" s="90"/>
      <c r="YG120" s="90"/>
      <c r="YH120" s="90"/>
      <c r="YI120" s="90"/>
      <c r="YJ120" s="90"/>
      <c r="YK120" s="90"/>
      <c r="YL120" s="90"/>
      <c r="YM120" s="90"/>
      <c r="YN120" s="90"/>
      <c r="YO120" s="90"/>
      <c r="YP120" s="90"/>
      <c r="YQ120" s="90"/>
      <c r="YR120" s="90"/>
      <c r="YS120" s="90"/>
      <c r="YT120" s="90"/>
      <c r="YU120" s="90"/>
      <c r="YV120" s="90"/>
      <c r="YW120" s="90"/>
      <c r="YX120" s="90"/>
      <c r="YY120" s="90"/>
      <c r="YZ120" s="90"/>
      <c r="ZA120" s="90"/>
      <c r="ZB120" s="90"/>
      <c r="ZC120" s="90"/>
      <c r="ZD120" s="90"/>
      <c r="ZE120" s="90"/>
      <c r="ZF120" s="90"/>
      <c r="ZG120" s="90"/>
      <c r="ZH120" s="90"/>
      <c r="ZI120" s="90"/>
      <c r="ZJ120" s="90"/>
      <c r="ZK120" s="90"/>
      <c r="ZL120" s="90"/>
      <c r="ZM120" s="90"/>
      <c r="ZN120" s="90"/>
      <c r="ZO120" s="90"/>
      <c r="ZP120" s="90"/>
      <c r="ZQ120" s="90"/>
      <c r="ZR120" s="90"/>
      <c r="ZS120" s="90"/>
      <c r="ZT120" s="90"/>
      <c r="ZU120" s="90"/>
      <c r="ZV120" s="90"/>
      <c r="ZW120" s="90"/>
      <c r="ZX120" s="90"/>
      <c r="ZY120" s="90"/>
      <c r="ZZ120" s="90"/>
      <c r="AAA120" s="90"/>
      <c r="AAB120" s="90"/>
      <c r="AAC120" s="90"/>
      <c r="AAD120" s="90"/>
      <c r="AAE120" s="90"/>
      <c r="AAF120" s="90"/>
      <c r="AAG120" s="90"/>
      <c r="AAH120" s="90"/>
      <c r="AAI120" s="90"/>
      <c r="AAJ120" s="90"/>
      <c r="AAK120" s="90"/>
      <c r="AAL120" s="90"/>
      <c r="AAM120" s="90"/>
      <c r="AAN120" s="90"/>
      <c r="AAO120" s="90"/>
      <c r="AAP120" s="90"/>
      <c r="AAQ120" s="90"/>
      <c r="AAR120" s="90"/>
      <c r="AAS120" s="90"/>
      <c r="AAT120" s="90"/>
      <c r="AAU120" s="90"/>
      <c r="AAV120" s="90"/>
      <c r="AAW120" s="90"/>
      <c r="AAX120" s="90"/>
      <c r="AAY120" s="90"/>
      <c r="AAZ120" s="90"/>
      <c r="ABA120" s="90"/>
      <c r="ABB120" s="90"/>
      <c r="ABC120" s="90"/>
      <c r="ABD120" s="90"/>
      <c r="ABE120" s="90"/>
      <c r="ABF120" s="90"/>
      <c r="ABG120" s="90"/>
      <c r="ABH120" s="90"/>
      <c r="ABI120" s="90"/>
      <c r="ABJ120" s="90"/>
      <c r="ABK120" s="90"/>
      <c r="ABL120" s="90"/>
      <c r="ABM120" s="90"/>
      <c r="ABN120" s="90"/>
      <c r="ABO120" s="90"/>
      <c r="ABP120" s="90"/>
      <c r="ABQ120" s="90"/>
      <c r="ABR120" s="90"/>
      <c r="ABS120" s="90"/>
      <c r="ABT120" s="90"/>
      <c r="ABU120" s="90"/>
      <c r="ABV120" s="90"/>
      <c r="ABW120" s="90"/>
      <c r="ABX120" s="90"/>
      <c r="ABY120" s="90"/>
      <c r="ABZ120" s="90"/>
      <c r="ACA120" s="90"/>
      <c r="ACB120" s="90"/>
      <c r="ACC120" s="90"/>
      <c r="ACD120" s="90"/>
      <c r="ACE120" s="90"/>
      <c r="ACF120" s="90"/>
      <c r="ACG120" s="90"/>
      <c r="ACH120" s="90"/>
      <c r="ACI120" s="90"/>
      <c r="ACJ120" s="90"/>
      <c r="ACK120" s="90"/>
      <c r="ACL120" s="90"/>
      <c r="ACM120" s="90"/>
      <c r="ACN120" s="90"/>
      <c r="ACO120" s="90"/>
      <c r="ACP120" s="90"/>
      <c r="ACQ120" s="90"/>
      <c r="ACR120" s="90"/>
      <c r="ACS120" s="90"/>
      <c r="ACT120" s="90"/>
      <c r="ACU120" s="90"/>
      <c r="ACV120" s="90"/>
      <c r="ACW120" s="90"/>
      <c r="ACX120" s="90"/>
      <c r="ACY120" s="90"/>
      <c r="ACZ120" s="90"/>
      <c r="ADA120" s="90"/>
      <c r="ADB120" s="90"/>
      <c r="ADC120" s="90"/>
      <c r="ADD120" s="90"/>
      <c r="ADE120" s="90"/>
      <c r="ADF120" s="90"/>
      <c r="ADG120" s="90"/>
      <c r="ADH120" s="90"/>
      <c r="ADI120" s="90"/>
      <c r="ADJ120" s="90"/>
      <c r="ADK120" s="90"/>
      <c r="ADL120" s="90"/>
      <c r="ADM120" s="90"/>
      <c r="ADN120" s="90"/>
      <c r="ADO120" s="90"/>
      <c r="ADP120" s="90"/>
      <c r="ADQ120" s="90"/>
      <c r="ADR120" s="90"/>
      <c r="ADS120" s="90"/>
      <c r="ADT120" s="90"/>
      <c r="ADU120" s="90"/>
      <c r="ADV120" s="90"/>
      <c r="ADW120" s="90"/>
      <c r="ADX120" s="90"/>
      <c r="ADY120" s="90"/>
      <c r="ADZ120" s="90"/>
      <c r="AEA120" s="90"/>
      <c r="AEB120" s="90"/>
      <c r="AEC120" s="90"/>
      <c r="AED120" s="90"/>
      <c r="AEE120" s="90"/>
      <c r="AEF120" s="90"/>
      <c r="AEG120" s="90"/>
      <c r="AEH120" s="90"/>
      <c r="AEI120" s="90"/>
      <c r="AEJ120" s="90"/>
      <c r="AEK120" s="90"/>
      <c r="AEL120" s="90"/>
      <c r="AEM120" s="90"/>
      <c r="AEN120" s="90"/>
      <c r="AEO120" s="90"/>
      <c r="AEP120" s="90"/>
      <c r="AEQ120" s="90"/>
      <c r="AER120" s="90"/>
      <c r="AES120" s="90"/>
      <c r="AET120" s="90"/>
      <c r="AEU120" s="90"/>
      <c r="AEV120" s="90"/>
      <c r="AEW120" s="90"/>
      <c r="AEX120" s="90"/>
      <c r="AEY120" s="90"/>
      <c r="AEZ120" s="90"/>
      <c r="AFA120" s="90"/>
      <c r="AFB120" s="90"/>
      <c r="AFC120" s="90"/>
      <c r="AFD120" s="90"/>
      <c r="AFE120" s="90"/>
      <c r="AFF120" s="90"/>
      <c r="AFG120" s="90"/>
      <c r="AFH120" s="90"/>
      <c r="AFI120" s="90"/>
      <c r="AFJ120" s="90"/>
      <c r="AFK120" s="90"/>
      <c r="AFL120" s="90"/>
      <c r="AFM120" s="90"/>
      <c r="AFN120" s="90"/>
      <c r="AFO120" s="90"/>
      <c r="AFP120" s="90"/>
      <c r="AFQ120" s="90"/>
      <c r="AFR120" s="90"/>
      <c r="AFS120" s="90"/>
      <c r="AFT120" s="90"/>
      <c r="AFU120" s="90"/>
      <c r="AFV120" s="90"/>
      <c r="AFW120" s="90"/>
      <c r="AFX120" s="90"/>
      <c r="AFY120" s="90"/>
      <c r="AFZ120" s="90"/>
      <c r="AGA120" s="90"/>
      <c r="AGB120" s="90"/>
      <c r="AGC120" s="90"/>
      <c r="AGD120" s="90"/>
      <c r="AGE120" s="90"/>
      <c r="AGF120" s="90"/>
      <c r="AGG120" s="90"/>
      <c r="AGH120" s="90"/>
      <c r="AGI120" s="90"/>
      <c r="AGJ120" s="90"/>
      <c r="AGK120" s="90"/>
      <c r="AGL120" s="90"/>
      <c r="AGM120" s="90"/>
      <c r="AGN120" s="90"/>
      <c r="AGO120" s="90"/>
      <c r="AGP120" s="90"/>
      <c r="AGQ120" s="90"/>
      <c r="AGR120" s="90"/>
      <c r="AGS120" s="90"/>
      <c r="AGT120" s="90"/>
      <c r="AGU120" s="90"/>
      <c r="AGV120" s="90"/>
      <c r="AGW120" s="90"/>
      <c r="AGX120" s="90"/>
      <c r="AGY120" s="90"/>
      <c r="AGZ120" s="90"/>
      <c r="AHA120" s="90"/>
      <c r="AHB120" s="90"/>
      <c r="AHC120" s="90"/>
      <c r="AHD120" s="90"/>
      <c r="AHE120" s="90"/>
      <c r="AHF120" s="90"/>
      <c r="AHG120" s="90"/>
      <c r="AHH120" s="90"/>
      <c r="AHI120" s="90"/>
      <c r="AHJ120" s="90"/>
      <c r="AHK120" s="90"/>
      <c r="AHL120" s="90"/>
      <c r="AHM120" s="90"/>
      <c r="AHN120" s="90"/>
      <c r="AHO120" s="90"/>
      <c r="AHP120" s="90"/>
      <c r="AHQ120" s="90"/>
      <c r="AHR120" s="90"/>
      <c r="AHS120" s="90"/>
      <c r="AHT120" s="90"/>
      <c r="AHU120" s="90"/>
      <c r="AHV120" s="90"/>
      <c r="AHW120" s="90"/>
      <c r="AHX120" s="90"/>
      <c r="AHY120" s="90"/>
      <c r="AHZ120" s="90"/>
      <c r="AIA120" s="90"/>
      <c r="AIB120" s="90"/>
      <c r="AIC120" s="90"/>
      <c r="AID120" s="90"/>
      <c r="AIE120" s="90"/>
      <c r="AIF120" s="90"/>
      <c r="AIG120" s="90"/>
      <c r="AIH120" s="90"/>
      <c r="AII120" s="90"/>
      <c r="AIJ120" s="90"/>
      <c r="AIK120" s="90"/>
      <c r="AIL120" s="90"/>
      <c r="AIM120" s="90"/>
      <c r="AIN120" s="90"/>
      <c r="AIO120" s="90"/>
      <c r="AIP120" s="90"/>
      <c r="AIQ120" s="90"/>
      <c r="AIR120" s="90"/>
      <c r="AIS120" s="90"/>
      <c r="AIT120" s="90"/>
      <c r="AIU120" s="90"/>
      <c r="AIV120" s="90"/>
      <c r="AIW120" s="90"/>
      <c r="AIX120" s="90"/>
      <c r="AIY120" s="90"/>
      <c r="AIZ120" s="90"/>
      <c r="AJA120" s="90"/>
      <c r="AJB120" s="90"/>
      <c r="AJC120" s="90"/>
      <c r="AJD120" s="90"/>
      <c r="AJE120" s="90"/>
      <c r="AJF120" s="90"/>
      <c r="AJG120" s="90"/>
      <c r="AJH120" s="90"/>
      <c r="AJI120" s="90"/>
      <c r="AJJ120" s="90"/>
      <c r="AJK120" s="90"/>
      <c r="AJL120" s="90"/>
      <c r="AJM120" s="90"/>
      <c r="AJN120" s="90"/>
      <c r="AJO120" s="90"/>
      <c r="AJP120" s="90"/>
      <c r="AJQ120" s="90"/>
      <c r="AJR120" s="90"/>
      <c r="AJS120" s="90"/>
      <c r="AJT120" s="90"/>
      <c r="AJU120" s="90"/>
      <c r="AJV120" s="90"/>
      <c r="AJW120" s="90"/>
      <c r="AJX120" s="90"/>
      <c r="AJY120" s="90"/>
      <c r="AJZ120" s="90"/>
      <c r="AKA120" s="90"/>
      <c r="AKB120" s="90"/>
      <c r="AKC120" s="90"/>
      <c r="AKD120" s="90"/>
      <c r="AKE120" s="90"/>
      <c r="AKF120" s="90"/>
      <c r="AKG120" s="90"/>
      <c r="AKH120" s="90"/>
      <c r="AKI120" s="90"/>
      <c r="AKJ120" s="90"/>
      <c r="AKK120" s="90"/>
      <c r="AKL120" s="90"/>
      <c r="AKM120" s="90"/>
      <c r="AKN120" s="90"/>
      <c r="AKO120" s="90"/>
      <c r="AKP120" s="90"/>
      <c r="AKQ120" s="90"/>
      <c r="AKR120" s="90"/>
      <c r="AKS120" s="90"/>
      <c r="AKT120" s="90"/>
      <c r="AKU120" s="90"/>
      <c r="AKV120" s="90"/>
      <c r="AKW120" s="90"/>
      <c r="AKX120" s="90"/>
      <c r="AKY120" s="90"/>
      <c r="AKZ120" s="90"/>
      <c r="ALA120" s="90"/>
      <c r="ALB120" s="90"/>
      <c r="ALC120" s="90"/>
      <c r="ALD120" s="90"/>
      <c r="ALE120" s="90"/>
      <c r="ALF120" s="90"/>
      <c r="ALG120" s="90"/>
      <c r="ALH120" s="90"/>
      <c r="ALI120" s="90"/>
      <c r="ALJ120" s="90"/>
      <c r="ALK120" s="90"/>
      <c r="ALL120" s="90"/>
      <c r="ALM120" s="90"/>
      <c r="ALN120" s="90"/>
      <c r="ALO120" s="90"/>
      <c r="ALP120" s="90"/>
      <c r="ALQ120" s="90"/>
      <c r="ALR120" s="90"/>
      <c r="ALS120" s="90"/>
      <c r="ALT120" s="90"/>
      <c r="ALU120" s="90"/>
      <c r="ALV120" s="90"/>
      <c r="ALW120" s="90"/>
      <c r="ALX120" s="90"/>
      <c r="ALY120" s="90"/>
      <c r="ALZ120" s="90"/>
      <c r="AMA120" s="90"/>
      <c r="AMB120" s="90"/>
      <c r="AMC120" s="90"/>
    </row>
    <row r="121" spans="1:1017">
      <c r="A121" s="98" t="s">
        <v>47</v>
      </c>
      <c r="B121" s="90" t="str">
        <f t="shared" si="1129"/>
        <v xml:space="preserve">Udang_05 (Udang Lainnya) </v>
      </c>
      <c r="Q121" s="91">
        <f t="shared" si="1029"/>
        <v>0</v>
      </c>
      <c r="R121" s="91">
        <f t="shared" si="1030"/>
        <v>0</v>
      </c>
      <c r="AG121" s="91">
        <f t="shared" si="1031"/>
        <v>0</v>
      </c>
      <c r="AH121" s="91">
        <f t="shared" si="1032"/>
        <v>0</v>
      </c>
      <c r="AW121" s="91">
        <f t="shared" si="1033"/>
        <v>0</v>
      </c>
      <c r="AX121" s="91">
        <f t="shared" si="1034"/>
        <v>0</v>
      </c>
      <c r="BM121" s="91">
        <f t="shared" si="1035"/>
        <v>0</v>
      </c>
      <c r="BN121" s="91">
        <f t="shared" si="1036"/>
        <v>0</v>
      </c>
      <c r="CC121" s="91">
        <f t="shared" si="1037"/>
        <v>0</v>
      </c>
      <c r="CD121" s="91">
        <f t="shared" si="1038"/>
        <v>0</v>
      </c>
      <c r="CS121" s="91">
        <f t="shared" si="1039"/>
        <v>0</v>
      </c>
      <c r="CT121" s="91">
        <f t="shared" si="1040"/>
        <v>0</v>
      </c>
      <c r="DI121" s="91">
        <f t="shared" si="1041"/>
        <v>0</v>
      </c>
      <c r="DJ121" s="91">
        <f t="shared" si="1042"/>
        <v>0</v>
      </c>
      <c r="DY121" s="91">
        <f t="shared" si="1043"/>
        <v>0</v>
      </c>
      <c r="DZ121" s="91">
        <f t="shared" si="1044"/>
        <v>0</v>
      </c>
      <c r="EO121" s="91">
        <f t="shared" si="1045"/>
        <v>0</v>
      </c>
      <c r="EP121" s="91">
        <f t="shared" si="1046"/>
        <v>0</v>
      </c>
      <c r="FE121" s="91">
        <f t="shared" si="1047"/>
        <v>0</v>
      </c>
      <c r="FF121" s="91">
        <f t="shared" si="1048"/>
        <v>0</v>
      </c>
      <c r="FU121" s="91">
        <f t="shared" si="1049"/>
        <v>0</v>
      </c>
      <c r="FV121" s="91">
        <f t="shared" si="1050"/>
        <v>0</v>
      </c>
      <c r="GK121" s="91">
        <f t="shared" si="1051"/>
        <v>0</v>
      </c>
      <c r="GL121" s="91">
        <f t="shared" si="1052"/>
        <v>0</v>
      </c>
      <c r="HA121" s="91">
        <f t="shared" si="1053"/>
        <v>0</v>
      </c>
      <c r="HB121" s="91">
        <f t="shared" si="1054"/>
        <v>0</v>
      </c>
      <c r="HQ121" s="91">
        <f t="shared" si="1055"/>
        <v>0</v>
      </c>
      <c r="HR121" s="91">
        <f t="shared" si="1056"/>
        <v>0</v>
      </c>
      <c r="IG121" s="91">
        <f t="shared" si="1057"/>
        <v>0</v>
      </c>
      <c r="IH121" s="91">
        <f t="shared" si="1058"/>
        <v>0</v>
      </c>
      <c r="IW121" s="91">
        <f t="shared" si="1059"/>
        <v>0</v>
      </c>
      <c r="IX121" s="91">
        <f t="shared" si="1060"/>
        <v>0</v>
      </c>
      <c r="JM121" s="91">
        <f t="shared" si="1061"/>
        <v>0</v>
      </c>
      <c r="JN121" s="91">
        <f t="shared" si="1062"/>
        <v>0</v>
      </c>
      <c r="KC121" s="91">
        <f t="shared" si="1063"/>
        <v>0</v>
      </c>
      <c r="KD121" s="91">
        <f t="shared" si="1064"/>
        <v>0</v>
      </c>
      <c r="KS121" s="91">
        <f t="shared" si="1065"/>
        <v>0</v>
      </c>
      <c r="KT121" s="91">
        <f t="shared" si="1066"/>
        <v>0</v>
      </c>
      <c r="LI121" s="91">
        <f t="shared" si="1067"/>
        <v>0</v>
      </c>
      <c r="LJ121" s="91">
        <f t="shared" si="1068"/>
        <v>0</v>
      </c>
      <c r="LY121" s="91">
        <f t="shared" si="1069"/>
        <v>0</v>
      </c>
      <c r="LZ121" s="91">
        <f t="shared" si="1070"/>
        <v>0</v>
      </c>
      <c r="MO121" s="91">
        <f t="shared" si="1071"/>
        <v>0</v>
      </c>
      <c r="MP121" s="91">
        <f t="shared" si="1072"/>
        <v>0</v>
      </c>
      <c r="NE121" s="91">
        <f t="shared" si="1073"/>
        <v>0</v>
      </c>
      <c r="NF121" s="91">
        <f t="shared" si="1074"/>
        <v>0</v>
      </c>
      <c r="NU121" s="91">
        <f t="shared" si="1075"/>
        <v>0</v>
      </c>
      <c r="NV121" s="91">
        <f t="shared" si="1076"/>
        <v>0</v>
      </c>
      <c r="OK121" s="91">
        <f t="shared" si="1077"/>
        <v>0</v>
      </c>
      <c r="OL121" s="91">
        <f t="shared" si="1078"/>
        <v>0</v>
      </c>
      <c r="PA121" s="91">
        <f t="shared" si="1079"/>
        <v>0</v>
      </c>
      <c r="PB121" s="91">
        <f t="shared" si="1080"/>
        <v>0</v>
      </c>
      <c r="PQ121" s="91">
        <f t="shared" si="1081"/>
        <v>0</v>
      </c>
      <c r="PR121" s="91">
        <f t="shared" si="1082"/>
        <v>0</v>
      </c>
      <c r="QG121" s="91">
        <f t="shared" si="1083"/>
        <v>0</v>
      </c>
      <c r="QH121" s="91">
        <f t="shared" si="1084"/>
        <v>0</v>
      </c>
      <c r="QW121" s="91">
        <f t="shared" si="1085"/>
        <v>0</v>
      </c>
      <c r="QX121" s="91">
        <f t="shared" si="1086"/>
        <v>0</v>
      </c>
      <c r="RM121" s="91">
        <f t="shared" si="1087"/>
        <v>0</v>
      </c>
      <c r="RN121" s="91">
        <f t="shared" si="1088"/>
        <v>0</v>
      </c>
      <c r="SC121" s="91">
        <f t="shared" si="1089"/>
        <v>0</v>
      </c>
      <c r="SD121" s="91">
        <f t="shared" si="1090"/>
        <v>0</v>
      </c>
      <c r="SS121" s="91">
        <f t="shared" si="1091"/>
        <v>0</v>
      </c>
      <c r="ST121" s="91">
        <f t="shared" si="1092"/>
        <v>0</v>
      </c>
      <c r="TI121" s="91">
        <f t="shared" si="1093"/>
        <v>0</v>
      </c>
      <c r="TJ121" s="91">
        <f t="shared" si="1094"/>
        <v>0</v>
      </c>
      <c r="TY121" s="91">
        <f t="shared" si="1095"/>
        <v>0</v>
      </c>
      <c r="TZ121" s="91">
        <f t="shared" si="1096"/>
        <v>0</v>
      </c>
      <c r="UO121" s="91">
        <f t="shared" si="1097"/>
        <v>0</v>
      </c>
      <c r="UP121" s="91">
        <f t="shared" si="1098"/>
        <v>0</v>
      </c>
      <c r="VE121" s="91">
        <f t="shared" si="1099"/>
        <v>0</v>
      </c>
      <c r="VF121" s="91">
        <f t="shared" si="1100"/>
        <v>0</v>
      </c>
      <c r="VU121" s="91">
        <f t="shared" si="1101"/>
        <v>0</v>
      </c>
      <c r="VV121" s="91">
        <f t="shared" si="1102"/>
        <v>0</v>
      </c>
      <c r="WK121" s="91">
        <f t="shared" si="1103"/>
        <v>0</v>
      </c>
      <c r="WL121" s="91">
        <f t="shared" si="1104"/>
        <v>0</v>
      </c>
      <c r="WM121" s="89"/>
      <c r="WN121" s="87">
        <f t="shared" si="1130"/>
        <v>0</v>
      </c>
      <c r="WO121" s="87">
        <f t="shared" si="1131"/>
        <v>0</v>
      </c>
      <c r="WP121" s="87">
        <f t="shared" si="1132"/>
        <v>0</v>
      </c>
      <c r="WQ121" s="87">
        <f t="shared" si="1133"/>
        <v>0</v>
      </c>
      <c r="WR121" s="87">
        <f t="shared" si="1134"/>
        <v>0</v>
      </c>
      <c r="WS121" s="87">
        <f t="shared" si="1135"/>
        <v>0</v>
      </c>
      <c r="WT121" s="87">
        <f t="shared" si="1136"/>
        <v>0</v>
      </c>
      <c r="WU121" s="87">
        <f t="shared" si="1137"/>
        <v>0</v>
      </c>
      <c r="WV121" s="87">
        <f t="shared" si="1138"/>
        <v>0</v>
      </c>
      <c r="WW121" s="87">
        <f t="shared" si="1139"/>
        <v>0</v>
      </c>
      <c r="WX121" s="87">
        <f t="shared" si="1140"/>
        <v>0</v>
      </c>
      <c r="WY121" s="87">
        <f t="shared" si="1141"/>
        <v>0</v>
      </c>
      <c r="WZ121" s="87">
        <f t="shared" si="1127"/>
        <v>0</v>
      </c>
      <c r="XA121" s="87">
        <f t="shared" si="1128"/>
        <v>0</v>
      </c>
      <c r="XB121" s="92">
        <f t="shared" si="1142"/>
        <v>0</v>
      </c>
      <c r="XC121" s="92">
        <f t="shared" si="1143"/>
        <v>0</v>
      </c>
      <c r="XD121" s="89"/>
      <c r="XE121" s="92">
        <f t="shared" si="1125"/>
        <v>0</v>
      </c>
      <c r="XF121" s="92">
        <f t="shared" si="1126"/>
        <v>0</v>
      </c>
      <c r="XG121" s="89"/>
      <c r="XH121" s="92"/>
      <c r="XI121" s="92"/>
      <c r="XJ121" s="89"/>
      <c r="XK121" s="87"/>
      <c r="XL121" s="87"/>
      <c r="XM121" s="87"/>
      <c r="XN121" s="87"/>
      <c r="XO121" s="87"/>
      <c r="XP121" s="87"/>
      <c r="XQ121" s="87"/>
      <c r="XR121" s="92">
        <f t="shared" ca="1" si="1122"/>
        <v>0</v>
      </c>
      <c r="XS121" s="89"/>
      <c r="XT121" s="87"/>
      <c r="XU121" s="87"/>
      <c r="XV121" s="87"/>
      <c r="XW121" s="87"/>
      <c r="XX121" s="87"/>
      <c r="XY121" s="87"/>
      <c r="XZ121" s="87"/>
      <c r="YA121" s="92">
        <f t="shared" ca="1" si="1123"/>
        <v>0</v>
      </c>
      <c r="YB121" s="90"/>
      <c r="YC121" s="90"/>
      <c r="YD121" s="90"/>
      <c r="YE121" s="90"/>
      <c r="YF121" s="90"/>
      <c r="YG121" s="90"/>
      <c r="YH121" s="90"/>
      <c r="YI121" s="90"/>
      <c r="YJ121" s="90"/>
      <c r="YK121" s="90"/>
      <c r="YL121" s="90"/>
      <c r="YM121" s="90"/>
      <c r="YN121" s="90"/>
      <c r="YO121" s="90"/>
      <c r="YP121" s="90"/>
      <c r="YQ121" s="90"/>
      <c r="YR121" s="90"/>
      <c r="YS121" s="90"/>
      <c r="YT121" s="90"/>
      <c r="YU121" s="90"/>
      <c r="YV121" s="90"/>
      <c r="YW121" s="90"/>
      <c r="YX121" s="90"/>
      <c r="YY121" s="90"/>
      <c r="YZ121" s="90"/>
      <c r="ZA121" s="90"/>
      <c r="ZB121" s="90"/>
      <c r="ZC121" s="90"/>
      <c r="ZD121" s="90"/>
      <c r="ZE121" s="90"/>
      <c r="ZF121" s="90"/>
      <c r="ZG121" s="90"/>
      <c r="ZH121" s="90"/>
      <c r="ZI121" s="90"/>
      <c r="ZJ121" s="90"/>
      <c r="ZK121" s="90"/>
      <c r="ZL121" s="90"/>
      <c r="ZM121" s="90"/>
      <c r="ZN121" s="90"/>
      <c r="ZO121" s="90"/>
      <c r="ZP121" s="90"/>
      <c r="ZQ121" s="90"/>
      <c r="ZR121" s="90"/>
      <c r="ZS121" s="90"/>
      <c r="ZT121" s="90"/>
      <c r="ZU121" s="90"/>
      <c r="ZV121" s="90"/>
      <c r="ZW121" s="90"/>
      <c r="ZX121" s="90"/>
      <c r="ZY121" s="90"/>
      <c r="ZZ121" s="90"/>
      <c r="AAA121" s="90"/>
      <c r="AAB121" s="90"/>
      <c r="AAC121" s="90"/>
      <c r="AAD121" s="90"/>
      <c r="AAE121" s="90"/>
      <c r="AAF121" s="90"/>
      <c r="AAG121" s="90"/>
      <c r="AAH121" s="90"/>
      <c r="AAI121" s="90"/>
      <c r="AAJ121" s="90"/>
      <c r="AAK121" s="90"/>
      <c r="AAL121" s="90"/>
      <c r="AAM121" s="90"/>
      <c r="AAN121" s="90"/>
      <c r="AAO121" s="90"/>
      <c r="AAP121" s="90"/>
      <c r="AAQ121" s="90"/>
      <c r="AAR121" s="90"/>
      <c r="AAS121" s="90"/>
      <c r="AAT121" s="90"/>
      <c r="AAU121" s="90"/>
      <c r="AAV121" s="90"/>
      <c r="AAW121" s="90"/>
      <c r="AAX121" s="90"/>
      <c r="AAY121" s="90"/>
      <c r="AAZ121" s="90"/>
      <c r="ABA121" s="90"/>
      <c r="ABB121" s="90"/>
      <c r="ABC121" s="90"/>
      <c r="ABD121" s="90"/>
      <c r="ABE121" s="90"/>
      <c r="ABF121" s="90"/>
      <c r="ABG121" s="90"/>
      <c r="ABH121" s="90"/>
      <c r="ABI121" s="90"/>
      <c r="ABJ121" s="90"/>
      <c r="ABK121" s="90"/>
      <c r="ABL121" s="90"/>
      <c r="ABM121" s="90"/>
      <c r="ABN121" s="90"/>
      <c r="ABO121" s="90"/>
      <c r="ABP121" s="90"/>
      <c r="ABQ121" s="90"/>
      <c r="ABR121" s="90"/>
      <c r="ABS121" s="90"/>
      <c r="ABT121" s="90"/>
      <c r="ABU121" s="90"/>
      <c r="ABV121" s="90"/>
      <c r="ABW121" s="90"/>
      <c r="ABX121" s="90"/>
      <c r="ABY121" s="90"/>
      <c r="ABZ121" s="90"/>
      <c r="ACA121" s="90"/>
      <c r="ACB121" s="90"/>
      <c r="ACC121" s="90"/>
      <c r="ACD121" s="90"/>
      <c r="ACE121" s="90"/>
      <c r="ACF121" s="90"/>
      <c r="ACG121" s="90"/>
      <c r="ACH121" s="90"/>
      <c r="ACI121" s="90"/>
      <c r="ACJ121" s="90"/>
      <c r="ACK121" s="90"/>
      <c r="ACL121" s="90"/>
      <c r="ACM121" s="90"/>
      <c r="ACN121" s="90"/>
      <c r="ACO121" s="90"/>
      <c r="ACP121" s="90"/>
      <c r="ACQ121" s="90"/>
      <c r="ACR121" s="90"/>
      <c r="ACS121" s="90"/>
      <c r="ACT121" s="90"/>
      <c r="ACU121" s="90"/>
      <c r="ACV121" s="90"/>
      <c r="ACW121" s="90"/>
      <c r="ACX121" s="90"/>
      <c r="ACY121" s="90"/>
      <c r="ACZ121" s="90"/>
      <c r="ADA121" s="90"/>
      <c r="ADB121" s="90"/>
      <c r="ADC121" s="90"/>
      <c r="ADD121" s="90"/>
      <c r="ADE121" s="90"/>
      <c r="ADF121" s="90"/>
      <c r="ADG121" s="90"/>
      <c r="ADH121" s="90"/>
      <c r="ADI121" s="90"/>
      <c r="ADJ121" s="90"/>
      <c r="ADK121" s="90"/>
      <c r="ADL121" s="90"/>
      <c r="ADM121" s="90"/>
      <c r="ADN121" s="90"/>
      <c r="ADO121" s="90"/>
      <c r="ADP121" s="90"/>
      <c r="ADQ121" s="90"/>
      <c r="ADR121" s="90"/>
      <c r="ADS121" s="90"/>
      <c r="ADT121" s="90"/>
      <c r="ADU121" s="90"/>
      <c r="ADV121" s="90"/>
      <c r="ADW121" s="90"/>
      <c r="ADX121" s="90"/>
      <c r="ADY121" s="90"/>
      <c r="ADZ121" s="90"/>
      <c r="AEA121" s="90"/>
      <c r="AEB121" s="90"/>
      <c r="AEC121" s="90"/>
      <c r="AED121" s="90"/>
      <c r="AEE121" s="90"/>
      <c r="AEF121" s="90"/>
      <c r="AEG121" s="90"/>
      <c r="AEH121" s="90"/>
      <c r="AEI121" s="90"/>
      <c r="AEJ121" s="90"/>
      <c r="AEK121" s="90"/>
      <c r="AEL121" s="90"/>
      <c r="AEM121" s="90"/>
      <c r="AEN121" s="90"/>
      <c r="AEO121" s="90"/>
      <c r="AEP121" s="90"/>
      <c r="AEQ121" s="90"/>
      <c r="AER121" s="90"/>
      <c r="AES121" s="90"/>
      <c r="AET121" s="90"/>
      <c r="AEU121" s="90"/>
      <c r="AEV121" s="90"/>
      <c r="AEW121" s="90"/>
      <c r="AEX121" s="90"/>
      <c r="AEY121" s="90"/>
      <c r="AEZ121" s="90"/>
      <c r="AFA121" s="90"/>
      <c r="AFB121" s="90"/>
      <c r="AFC121" s="90"/>
      <c r="AFD121" s="90"/>
      <c r="AFE121" s="90"/>
      <c r="AFF121" s="90"/>
      <c r="AFG121" s="90"/>
      <c r="AFH121" s="90"/>
      <c r="AFI121" s="90"/>
      <c r="AFJ121" s="90"/>
      <c r="AFK121" s="90"/>
      <c r="AFL121" s="90"/>
      <c r="AFM121" s="90"/>
      <c r="AFN121" s="90"/>
      <c r="AFO121" s="90"/>
      <c r="AFP121" s="90"/>
      <c r="AFQ121" s="90"/>
      <c r="AFR121" s="90"/>
      <c r="AFS121" s="90"/>
      <c r="AFT121" s="90"/>
      <c r="AFU121" s="90"/>
      <c r="AFV121" s="90"/>
      <c r="AFW121" s="90"/>
      <c r="AFX121" s="90"/>
      <c r="AFY121" s="90"/>
      <c r="AFZ121" s="90"/>
      <c r="AGA121" s="90"/>
      <c r="AGB121" s="90"/>
      <c r="AGC121" s="90"/>
      <c r="AGD121" s="90"/>
      <c r="AGE121" s="90"/>
      <c r="AGF121" s="90"/>
      <c r="AGG121" s="90"/>
      <c r="AGH121" s="90"/>
      <c r="AGI121" s="90"/>
      <c r="AGJ121" s="90"/>
      <c r="AGK121" s="90"/>
      <c r="AGL121" s="90"/>
      <c r="AGM121" s="90"/>
      <c r="AGN121" s="90"/>
      <c r="AGO121" s="90"/>
      <c r="AGP121" s="90"/>
      <c r="AGQ121" s="90"/>
      <c r="AGR121" s="90"/>
      <c r="AGS121" s="90"/>
      <c r="AGT121" s="90"/>
      <c r="AGU121" s="90"/>
      <c r="AGV121" s="90"/>
      <c r="AGW121" s="90"/>
      <c r="AGX121" s="90"/>
      <c r="AGY121" s="90"/>
      <c r="AGZ121" s="90"/>
      <c r="AHA121" s="90"/>
      <c r="AHB121" s="90"/>
      <c r="AHC121" s="90"/>
      <c r="AHD121" s="90"/>
      <c r="AHE121" s="90"/>
      <c r="AHF121" s="90"/>
      <c r="AHG121" s="90"/>
      <c r="AHH121" s="90"/>
      <c r="AHI121" s="90"/>
      <c r="AHJ121" s="90"/>
      <c r="AHK121" s="90"/>
      <c r="AHL121" s="90"/>
      <c r="AHM121" s="90"/>
      <c r="AHN121" s="90"/>
      <c r="AHO121" s="90"/>
      <c r="AHP121" s="90"/>
      <c r="AHQ121" s="90"/>
      <c r="AHR121" s="90"/>
      <c r="AHS121" s="90"/>
      <c r="AHT121" s="90"/>
      <c r="AHU121" s="90"/>
      <c r="AHV121" s="90"/>
      <c r="AHW121" s="90"/>
      <c r="AHX121" s="90"/>
      <c r="AHY121" s="90"/>
      <c r="AHZ121" s="90"/>
      <c r="AIA121" s="90"/>
      <c r="AIB121" s="90"/>
      <c r="AIC121" s="90"/>
      <c r="AID121" s="90"/>
      <c r="AIE121" s="90"/>
      <c r="AIF121" s="90"/>
      <c r="AIG121" s="90"/>
      <c r="AIH121" s="90"/>
      <c r="AII121" s="90"/>
      <c r="AIJ121" s="90"/>
      <c r="AIK121" s="90"/>
      <c r="AIL121" s="90"/>
      <c r="AIM121" s="90"/>
      <c r="AIN121" s="90"/>
      <c r="AIO121" s="90"/>
      <c r="AIP121" s="90"/>
      <c r="AIQ121" s="90"/>
      <c r="AIR121" s="90"/>
      <c r="AIS121" s="90"/>
      <c r="AIT121" s="90"/>
      <c r="AIU121" s="90"/>
      <c r="AIV121" s="90"/>
      <c r="AIW121" s="90"/>
      <c r="AIX121" s="90"/>
      <c r="AIY121" s="90"/>
      <c r="AIZ121" s="90"/>
      <c r="AJA121" s="90"/>
      <c r="AJB121" s="90"/>
      <c r="AJC121" s="90"/>
      <c r="AJD121" s="90"/>
      <c r="AJE121" s="90"/>
      <c r="AJF121" s="90"/>
      <c r="AJG121" s="90"/>
      <c r="AJH121" s="90"/>
      <c r="AJI121" s="90"/>
      <c r="AJJ121" s="90"/>
      <c r="AJK121" s="90"/>
      <c r="AJL121" s="90"/>
      <c r="AJM121" s="90"/>
      <c r="AJN121" s="90"/>
      <c r="AJO121" s="90"/>
      <c r="AJP121" s="90"/>
      <c r="AJQ121" s="90"/>
      <c r="AJR121" s="90"/>
      <c r="AJS121" s="90"/>
      <c r="AJT121" s="90"/>
      <c r="AJU121" s="90"/>
      <c r="AJV121" s="90"/>
      <c r="AJW121" s="90"/>
      <c r="AJX121" s="90"/>
      <c r="AJY121" s="90"/>
      <c r="AJZ121" s="90"/>
      <c r="AKA121" s="90"/>
      <c r="AKB121" s="90"/>
      <c r="AKC121" s="90"/>
      <c r="AKD121" s="90"/>
      <c r="AKE121" s="90"/>
      <c r="AKF121" s="90"/>
      <c r="AKG121" s="90"/>
      <c r="AKH121" s="90"/>
      <c r="AKI121" s="90"/>
      <c r="AKJ121" s="90"/>
      <c r="AKK121" s="90"/>
      <c r="AKL121" s="90"/>
      <c r="AKM121" s="90"/>
      <c r="AKN121" s="90"/>
      <c r="AKO121" s="90"/>
      <c r="AKP121" s="90"/>
      <c r="AKQ121" s="90"/>
      <c r="AKR121" s="90"/>
      <c r="AKS121" s="90"/>
      <c r="AKT121" s="90"/>
      <c r="AKU121" s="90"/>
      <c r="AKV121" s="90"/>
      <c r="AKW121" s="90"/>
      <c r="AKX121" s="90"/>
      <c r="AKY121" s="90"/>
      <c r="AKZ121" s="90"/>
      <c r="ALA121" s="90"/>
      <c r="ALB121" s="90"/>
      <c r="ALC121" s="90"/>
      <c r="ALD121" s="90"/>
      <c r="ALE121" s="90"/>
      <c r="ALF121" s="90"/>
      <c r="ALG121" s="90"/>
      <c r="ALH121" s="90"/>
      <c r="ALI121" s="90"/>
      <c r="ALJ121" s="90"/>
      <c r="ALK121" s="90"/>
      <c r="ALL121" s="90"/>
      <c r="ALM121" s="90"/>
      <c r="ALN121" s="90"/>
      <c r="ALO121" s="90"/>
      <c r="ALP121" s="90"/>
      <c r="ALQ121" s="90"/>
      <c r="ALR121" s="90"/>
      <c r="ALS121" s="90"/>
      <c r="ALT121" s="90"/>
      <c r="ALU121" s="90"/>
      <c r="ALV121" s="90"/>
      <c r="ALW121" s="90"/>
      <c r="ALX121" s="90"/>
      <c r="ALY121" s="90"/>
      <c r="ALZ121" s="90"/>
      <c r="AMA121" s="90"/>
      <c r="AMB121" s="90"/>
      <c r="AMC121" s="90"/>
    </row>
    <row r="122" spans="1:1017">
      <c r="A122" s="98" t="s">
        <v>47</v>
      </c>
      <c r="B122" s="90" t="str">
        <f t="shared" si="1129"/>
        <v>Ikan_01 (Ikan Lainnya)</v>
      </c>
      <c r="Q122" s="91">
        <f t="shared" si="1029"/>
        <v>0</v>
      </c>
      <c r="R122" s="91">
        <f t="shared" si="1030"/>
        <v>0</v>
      </c>
      <c r="AG122" s="91">
        <f t="shared" si="1031"/>
        <v>0</v>
      </c>
      <c r="AH122" s="91">
        <f t="shared" si="1032"/>
        <v>0</v>
      </c>
      <c r="AW122" s="91">
        <f t="shared" si="1033"/>
        <v>0</v>
      </c>
      <c r="AX122" s="91">
        <f t="shared" si="1034"/>
        <v>0</v>
      </c>
      <c r="BM122" s="91">
        <f t="shared" si="1035"/>
        <v>0</v>
      </c>
      <c r="BN122" s="91">
        <f t="shared" si="1036"/>
        <v>0</v>
      </c>
      <c r="CC122" s="91">
        <f t="shared" si="1037"/>
        <v>0</v>
      </c>
      <c r="CD122" s="91">
        <f t="shared" si="1038"/>
        <v>0</v>
      </c>
      <c r="CG122" s="98">
        <v>263658</v>
      </c>
      <c r="CH122" s="98">
        <v>1318291</v>
      </c>
      <c r="CK122" s="98">
        <v>420292</v>
      </c>
      <c r="CL122" s="98">
        <v>2101459</v>
      </c>
      <c r="CS122" s="91">
        <f t="shared" si="1039"/>
        <v>683950</v>
      </c>
      <c r="CT122" s="91">
        <f t="shared" si="1040"/>
        <v>3419750</v>
      </c>
      <c r="DI122" s="91">
        <f t="shared" si="1041"/>
        <v>0</v>
      </c>
      <c r="DJ122" s="91">
        <f t="shared" si="1042"/>
        <v>0</v>
      </c>
      <c r="DY122" s="91">
        <f t="shared" si="1043"/>
        <v>0</v>
      </c>
      <c r="DZ122" s="91">
        <f t="shared" si="1044"/>
        <v>0</v>
      </c>
      <c r="EO122" s="91">
        <f t="shared" si="1045"/>
        <v>0</v>
      </c>
      <c r="EP122" s="91">
        <f t="shared" si="1046"/>
        <v>0</v>
      </c>
      <c r="FE122" s="91">
        <f t="shared" si="1047"/>
        <v>0</v>
      </c>
      <c r="FF122" s="91">
        <f t="shared" si="1048"/>
        <v>0</v>
      </c>
      <c r="FU122" s="91">
        <f t="shared" si="1049"/>
        <v>0</v>
      </c>
      <c r="FV122" s="91">
        <f t="shared" si="1050"/>
        <v>0</v>
      </c>
      <c r="GK122" s="91">
        <f t="shared" si="1051"/>
        <v>0</v>
      </c>
      <c r="GL122" s="91">
        <f t="shared" si="1052"/>
        <v>0</v>
      </c>
      <c r="HA122" s="91">
        <f t="shared" si="1053"/>
        <v>0</v>
      </c>
      <c r="HB122" s="91">
        <f t="shared" si="1054"/>
        <v>0</v>
      </c>
      <c r="HQ122" s="91">
        <f t="shared" si="1055"/>
        <v>0</v>
      </c>
      <c r="HR122" s="91">
        <f t="shared" si="1056"/>
        <v>0</v>
      </c>
      <c r="IG122" s="91">
        <f t="shared" si="1057"/>
        <v>0</v>
      </c>
      <c r="IH122" s="91">
        <f t="shared" si="1058"/>
        <v>0</v>
      </c>
      <c r="IW122" s="91">
        <f t="shared" si="1059"/>
        <v>0</v>
      </c>
      <c r="IX122" s="91">
        <f t="shared" si="1060"/>
        <v>0</v>
      </c>
      <c r="JM122" s="91">
        <f t="shared" si="1061"/>
        <v>0</v>
      </c>
      <c r="JN122" s="91">
        <f t="shared" si="1062"/>
        <v>0</v>
      </c>
      <c r="KC122" s="91">
        <f t="shared" si="1063"/>
        <v>0</v>
      </c>
      <c r="KD122" s="91">
        <f t="shared" si="1064"/>
        <v>0</v>
      </c>
      <c r="KS122" s="91">
        <f t="shared" si="1065"/>
        <v>0</v>
      </c>
      <c r="KT122" s="91">
        <f t="shared" si="1066"/>
        <v>0</v>
      </c>
      <c r="LI122" s="91">
        <f t="shared" si="1067"/>
        <v>0</v>
      </c>
      <c r="LJ122" s="91">
        <f t="shared" si="1068"/>
        <v>0</v>
      </c>
      <c r="LY122" s="91">
        <f t="shared" si="1069"/>
        <v>0</v>
      </c>
      <c r="LZ122" s="91">
        <f t="shared" si="1070"/>
        <v>0</v>
      </c>
      <c r="MO122" s="91">
        <f t="shared" si="1071"/>
        <v>0</v>
      </c>
      <c r="MP122" s="91">
        <f t="shared" si="1072"/>
        <v>0</v>
      </c>
      <c r="NE122" s="91">
        <f t="shared" si="1073"/>
        <v>0</v>
      </c>
      <c r="NF122" s="91">
        <f t="shared" si="1074"/>
        <v>0</v>
      </c>
      <c r="NU122" s="91">
        <f t="shared" si="1075"/>
        <v>0</v>
      </c>
      <c r="NV122" s="91">
        <f t="shared" si="1076"/>
        <v>0</v>
      </c>
      <c r="OK122" s="91">
        <f t="shared" si="1077"/>
        <v>0</v>
      </c>
      <c r="OL122" s="91">
        <f t="shared" si="1078"/>
        <v>0</v>
      </c>
      <c r="PA122" s="91">
        <f t="shared" si="1079"/>
        <v>0</v>
      </c>
      <c r="PB122" s="91">
        <f t="shared" si="1080"/>
        <v>0</v>
      </c>
      <c r="PQ122" s="91">
        <f t="shared" si="1081"/>
        <v>0</v>
      </c>
      <c r="PR122" s="91">
        <f t="shared" si="1082"/>
        <v>0</v>
      </c>
      <c r="QG122" s="91">
        <f t="shared" si="1083"/>
        <v>0</v>
      </c>
      <c r="QH122" s="91">
        <f t="shared" si="1084"/>
        <v>0</v>
      </c>
      <c r="QW122" s="91">
        <f t="shared" si="1085"/>
        <v>0</v>
      </c>
      <c r="QX122" s="91">
        <f t="shared" si="1086"/>
        <v>0</v>
      </c>
      <c r="RM122" s="91">
        <f t="shared" si="1087"/>
        <v>0</v>
      </c>
      <c r="RN122" s="91">
        <f t="shared" si="1088"/>
        <v>0</v>
      </c>
      <c r="SC122" s="91">
        <f t="shared" si="1089"/>
        <v>0</v>
      </c>
      <c r="SD122" s="91">
        <f t="shared" si="1090"/>
        <v>0</v>
      </c>
      <c r="SS122" s="91">
        <f t="shared" si="1091"/>
        <v>0</v>
      </c>
      <c r="ST122" s="91">
        <f t="shared" si="1092"/>
        <v>0</v>
      </c>
      <c r="TI122" s="91">
        <f t="shared" si="1093"/>
        <v>0</v>
      </c>
      <c r="TJ122" s="91">
        <f t="shared" si="1094"/>
        <v>0</v>
      </c>
      <c r="TY122" s="91">
        <f t="shared" si="1095"/>
        <v>0</v>
      </c>
      <c r="TZ122" s="91">
        <f t="shared" si="1096"/>
        <v>0</v>
      </c>
      <c r="UO122" s="91">
        <f t="shared" si="1097"/>
        <v>0</v>
      </c>
      <c r="UP122" s="91">
        <f t="shared" si="1098"/>
        <v>0</v>
      </c>
      <c r="VE122" s="91">
        <f t="shared" si="1099"/>
        <v>0</v>
      </c>
      <c r="VF122" s="91">
        <f t="shared" si="1100"/>
        <v>0</v>
      </c>
      <c r="VU122" s="91">
        <f t="shared" si="1101"/>
        <v>0</v>
      </c>
      <c r="VV122" s="91">
        <f t="shared" si="1102"/>
        <v>0</v>
      </c>
      <c r="WK122" s="91">
        <f t="shared" si="1103"/>
        <v>0</v>
      </c>
      <c r="WL122" s="91">
        <f t="shared" si="1104"/>
        <v>0</v>
      </c>
      <c r="WM122" s="89"/>
      <c r="WN122" s="87">
        <f t="shared" si="1130"/>
        <v>0</v>
      </c>
      <c r="WO122" s="87">
        <f t="shared" si="1131"/>
        <v>0</v>
      </c>
      <c r="WP122" s="87">
        <f t="shared" si="1132"/>
        <v>263658</v>
      </c>
      <c r="WQ122" s="87">
        <f t="shared" si="1133"/>
        <v>1318291</v>
      </c>
      <c r="WR122" s="87">
        <f t="shared" si="1134"/>
        <v>0</v>
      </c>
      <c r="WS122" s="87">
        <f t="shared" si="1135"/>
        <v>0</v>
      </c>
      <c r="WT122" s="87">
        <f t="shared" si="1136"/>
        <v>420292</v>
      </c>
      <c r="WU122" s="87">
        <f t="shared" si="1137"/>
        <v>2101459</v>
      </c>
      <c r="WV122" s="87">
        <f t="shared" si="1138"/>
        <v>0</v>
      </c>
      <c r="WW122" s="87">
        <f t="shared" si="1139"/>
        <v>0</v>
      </c>
      <c r="WX122" s="87">
        <f t="shared" si="1140"/>
        <v>0</v>
      </c>
      <c r="WY122" s="87">
        <f t="shared" si="1141"/>
        <v>0</v>
      </c>
      <c r="WZ122" s="87">
        <f t="shared" si="1127"/>
        <v>0</v>
      </c>
      <c r="XA122" s="87">
        <f t="shared" si="1128"/>
        <v>0</v>
      </c>
      <c r="XB122" s="92">
        <f t="shared" si="1142"/>
        <v>683950</v>
      </c>
      <c r="XC122" s="92">
        <f t="shared" si="1143"/>
        <v>3419750</v>
      </c>
      <c r="XD122" s="89"/>
      <c r="XE122" s="92">
        <f t="shared" si="1125"/>
        <v>2233945.0829136712</v>
      </c>
      <c r="XF122" s="92">
        <f t="shared" si="1126"/>
        <v>6925649.6089914162</v>
      </c>
      <c r="XG122" s="89"/>
      <c r="XH122" s="92"/>
      <c r="XI122" s="92"/>
      <c r="XJ122" s="89"/>
      <c r="XK122" s="87"/>
      <c r="XL122" s="87"/>
      <c r="XM122" s="87"/>
      <c r="XN122" s="87"/>
      <c r="XO122" s="87"/>
      <c r="XP122" s="87"/>
      <c r="XQ122" s="87"/>
      <c r="XR122" s="92">
        <f t="shared" ca="1" si="1122"/>
        <v>0</v>
      </c>
      <c r="XS122" s="89"/>
      <c r="XT122" s="87"/>
      <c r="XU122" s="87"/>
      <c r="XV122" s="87"/>
      <c r="XW122" s="87"/>
      <c r="XX122" s="87"/>
      <c r="XY122" s="87"/>
      <c r="XZ122" s="87"/>
      <c r="YA122" s="92">
        <f t="shared" ca="1" si="1123"/>
        <v>0</v>
      </c>
      <c r="YB122" s="90"/>
      <c r="YC122" s="90"/>
      <c r="YD122" s="90"/>
      <c r="YE122" s="90"/>
      <c r="YF122" s="90"/>
      <c r="YG122" s="90"/>
      <c r="YH122" s="90"/>
      <c r="YI122" s="90"/>
      <c r="YJ122" s="90"/>
      <c r="YK122" s="90"/>
      <c r="YL122" s="90"/>
      <c r="YM122" s="90"/>
      <c r="YN122" s="90"/>
      <c r="YO122" s="90"/>
      <c r="YP122" s="90"/>
      <c r="YQ122" s="90"/>
      <c r="YR122" s="90"/>
      <c r="YS122" s="90"/>
      <c r="YT122" s="90"/>
      <c r="YU122" s="90"/>
      <c r="YV122" s="90"/>
      <c r="YW122" s="90"/>
      <c r="YX122" s="90"/>
      <c r="YY122" s="90"/>
      <c r="YZ122" s="90"/>
      <c r="ZA122" s="90"/>
      <c r="ZB122" s="90"/>
      <c r="ZC122" s="90"/>
      <c r="ZD122" s="90"/>
      <c r="ZE122" s="90"/>
      <c r="ZF122" s="90"/>
      <c r="ZG122" s="90"/>
      <c r="ZH122" s="90"/>
      <c r="ZI122" s="90"/>
      <c r="ZJ122" s="90"/>
      <c r="ZK122" s="90"/>
      <c r="ZL122" s="90"/>
      <c r="ZM122" s="90"/>
      <c r="ZN122" s="90"/>
      <c r="ZO122" s="90"/>
      <c r="ZP122" s="90"/>
      <c r="ZQ122" s="90"/>
      <c r="ZR122" s="90"/>
      <c r="ZS122" s="90"/>
      <c r="ZT122" s="90"/>
      <c r="ZU122" s="90"/>
      <c r="ZV122" s="90"/>
      <c r="ZW122" s="90"/>
      <c r="ZX122" s="90"/>
      <c r="ZY122" s="90"/>
      <c r="ZZ122" s="90"/>
      <c r="AAA122" s="90"/>
      <c r="AAB122" s="90"/>
      <c r="AAC122" s="90"/>
      <c r="AAD122" s="90"/>
      <c r="AAE122" s="90"/>
      <c r="AAF122" s="90"/>
      <c r="AAG122" s="90"/>
      <c r="AAH122" s="90"/>
      <c r="AAI122" s="90"/>
      <c r="AAJ122" s="90"/>
      <c r="AAK122" s="90"/>
      <c r="AAL122" s="90"/>
      <c r="AAM122" s="90"/>
      <c r="AAN122" s="90"/>
      <c r="AAO122" s="90"/>
      <c r="AAP122" s="90"/>
      <c r="AAQ122" s="90"/>
      <c r="AAR122" s="90"/>
      <c r="AAS122" s="90"/>
      <c r="AAT122" s="90"/>
      <c r="AAU122" s="90"/>
      <c r="AAV122" s="90"/>
      <c r="AAW122" s="90"/>
      <c r="AAX122" s="90"/>
      <c r="AAY122" s="90"/>
      <c r="AAZ122" s="90"/>
      <c r="ABA122" s="90"/>
      <c r="ABB122" s="90"/>
      <c r="ABC122" s="90"/>
      <c r="ABD122" s="90"/>
      <c r="ABE122" s="90"/>
      <c r="ABF122" s="90"/>
      <c r="ABG122" s="90"/>
      <c r="ABH122" s="90"/>
      <c r="ABI122" s="90"/>
      <c r="ABJ122" s="90"/>
      <c r="ABK122" s="90"/>
      <c r="ABL122" s="90"/>
      <c r="ABM122" s="90"/>
      <c r="ABN122" s="90"/>
      <c r="ABO122" s="90"/>
      <c r="ABP122" s="90"/>
      <c r="ABQ122" s="90"/>
      <c r="ABR122" s="90"/>
      <c r="ABS122" s="90"/>
      <c r="ABT122" s="90"/>
      <c r="ABU122" s="90"/>
      <c r="ABV122" s="90"/>
      <c r="ABW122" s="90"/>
      <c r="ABX122" s="90"/>
      <c r="ABY122" s="90"/>
      <c r="ABZ122" s="90"/>
      <c r="ACA122" s="90"/>
      <c r="ACB122" s="90"/>
      <c r="ACC122" s="90"/>
      <c r="ACD122" s="90"/>
      <c r="ACE122" s="90"/>
      <c r="ACF122" s="90"/>
      <c r="ACG122" s="90"/>
      <c r="ACH122" s="90"/>
      <c r="ACI122" s="90"/>
      <c r="ACJ122" s="90"/>
      <c r="ACK122" s="90"/>
      <c r="ACL122" s="90"/>
      <c r="ACM122" s="90"/>
      <c r="ACN122" s="90"/>
      <c r="ACO122" s="90"/>
      <c r="ACP122" s="90"/>
      <c r="ACQ122" s="90"/>
      <c r="ACR122" s="90"/>
      <c r="ACS122" s="90"/>
      <c r="ACT122" s="90"/>
      <c r="ACU122" s="90"/>
      <c r="ACV122" s="90"/>
      <c r="ACW122" s="90"/>
      <c r="ACX122" s="90"/>
      <c r="ACY122" s="90"/>
      <c r="ACZ122" s="90"/>
      <c r="ADA122" s="90"/>
      <c r="ADB122" s="90"/>
      <c r="ADC122" s="90"/>
      <c r="ADD122" s="90"/>
      <c r="ADE122" s="90"/>
      <c r="ADF122" s="90"/>
      <c r="ADG122" s="90"/>
      <c r="ADH122" s="90"/>
      <c r="ADI122" s="90"/>
      <c r="ADJ122" s="90"/>
      <c r="ADK122" s="90"/>
      <c r="ADL122" s="90"/>
      <c r="ADM122" s="90"/>
      <c r="ADN122" s="90"/>
      <c r="ADO122" s="90"/>
      <c r="ADP122" s="90"/>
      <c r="ADQ122" s="90"/>
      <c r="ADR122" s="90"/>
      <c r="ADS122" s="90"/>
      <c r="ADT122" s="90"/>
      <c r="ADU122" s="90"/>
      <c r="ADV122" s="90"/>
      <c r="ADW122" s="90"/>
      <c r="ADX122" s="90"/>
      <c r="ADY122" s="90"/>
      <c r="ADZ122" s="90"/>
      <c r="AEA122" s="90"/>
      <c r="AEB122" s="90"/>
      <c r="AEC122" s="90"/>
      <c r="AED122" s="90"/>
      <c r="AEE122" s="90"/>
      <c r="AEF122" s="90"/>
      <c r="AEG122" s="90"/>
      <c r="AEH122" s="90"/>
      <c r="AEI122" s="90"/>
      <c r="AEJ122" s="90"/>
      <c r="AEK122" s="90"/>
      <c r="AEL122" s="90"/>
      <c r="AEM122" s="90"/>
      <c r="AEN122" s="90"/>
      <c r="AEO122" s="90"/>
      <c r="AEP122" s="90"/>
      <c r="AEQ122" s="90"/>
      <c r="AER122" s="90"/>
      <c r="AES122" s="90"/>
      <c r="AET122" s="90"/>
      <c r="AEU122" s="90"/>
      <c r="AEV122" s="90"/>
      <c r="AEW122" s="90"/>
      <c r="AEX122" s="90"/>
      <c r="AEY122" s="90"/>
      <c r="AEZ122" s="90"/>
      <c r="AFA122" s="90"/>
      <c r="AFB122" s="90"/>
      <c r="AFC122" s="90"/>
      <c r="AFD122" s="90"/>
      <c r="AFE122" s="90"/>
      <c r="AFF122" s="90"/>
      <c r="AFG122" s="90"/>
      <c r="AFH122" s="90"/>
      <c r="AFI122" s="90"/>
      <c r="AFJ122" s="90"/>
      <c r="AFK122" s="90"/>
      <c r="AFL122" s="90"/>
      <c r="AFM122" s="90"/>
      <c r="AFN122" s="90"/>
      <c r="AFO122" s="90"/>
      <c r="AFP122" s="90"/>
      <c r="AFQ122" s="90"/>
      <c r="AFR122" s="90"/>
      <c r="AFS122" s="90"/>
      <c r="AFT122" s="90"/>
      <c r="AFU122" s="90"/>
      <c r="AFV122" s="90"/>
      <c r="AFW122" s="90"/>
      <c r="AFX122" s="90"/>
      <c r="AFY122" s="90"/>
      <c r="AFZ122" s="90"/>
      <c r="AGA122" s="90"/>
      <c r="AGB122" s="90"/>
      <c r="AGC122" s="90"/>
      <c r="AGD122" s="90"/>
      <c r="AGE122" s="90"/>
      <c r="AGF122" s="90"/>
      <c r="AGG122" s="90"/>
      <c r="AGH122" s="90"/>
      <c r="AGI122" s="90"/>
      <c r="AGJ122" s="90"/>
      <c r="AGK122" s="90"/>
      <c r="AGL122" s="90"/>
      <c r="AGM122" s="90"/>
      <c r="AGN122" s="90"/>
      <c r="AGO122" s="90"/>
      <c r="AGP122" s="90"/>
      <c r="AGQ122" s="90"/>
      <c r="AGR122" s="90"/>
      <c r="AGS122" s="90"/>
      <c r="AGT122" s="90"/>
      <c r="AGU122" s="90"/>
      <c r="AGV122" s="90"/>
      <c r="AGW122" s="90"/>
      <c r="AGX122" s="90"/>
      <c r="AGY122" s="90"/>
      <c r="AGZ122" s="90"/>
      <c r="AHA122" s="90"/>
      <c r="AHB122" s="90"/>
      <c r="AHC122" s="90"/>
      <c r="AHD122" s="90"/>
      <c r="AHE122" s="90"/>
      <c r="AHF122" s="90"/>
      <c r="AHG122" s="90"/>
      <c r="AHH122" s="90"/>
      <c r="AHI122" s="90"/>
      <c r="AHJ122" s="90"/>
      <c r="AHK122" s="90"/>
      <c r="AHL122" s="90"/>
      <c r="AHM122" s="90"/>
      <c r="AHN122" s="90"/>
      <c r="AHO122" s="90"/>
      <c r="AHP122" s="90"/>
      <c r="AHQ122" s="90"/>
      <c r="AHR122" s="90"/>
      <c r="AHS122" s="90"/>
      <c r="AHT122" s="90"/>
      <c r="AHU122" s="90"/>
      <c r="AHV122" s="90"/>
      <c r="AHW122" s="90"/>
      <c r="AHX122" s="90"/>
      <c r="AHY122" s="90"/>
      <c r="AHZ122" s="90"/>
      <c r="AIA122" s="90"/>
      <c r="AIB122" s="90"/>
      <c r="AIC122" s="90"/>
      <c r="AID122" s="90"/>
      <c r="AIE122" s="90"/>
      <c r="AIF122" s="90"/>
      <c r="AIG122" s="90"/>
      <c r="AIH122" s="90"/>
      <c r="AII122" s="90"/>
      <c r="AIJ122" s="90"/>
      <c r="AIK122" s="90"/>
      <c r="AIL122" s="90"/>
      <c r="AIM122" s="90"/>
      <c r="AIN122" s="90"/>
      <c r="AIO122" s="90"/>
      <c r="AIP122" s="90"/>
      <c r="AIQ122" s="90"/>
      <c r="AIR122" s="90"/>
      <c r="AIS122" s="90"/>
      <c r="AIT122" s="90"/>
      <c r="AIU122" s="90"/>
      <c r="AIV122" s="90"/>
      <c r="AIW122" s="90"/>
      <c r="AIX122" s="90"/>
      <c r="AIY122" s="90"/>
      <c r="AIZ122" s="90"/>
      <c r="AJA122" s="90"/>
      <c r="AJB122" s="90"/>
      <c r="AJC122" s="90"/>
      <c r="AJD122" s="90"/>
      <c r="AJE122" s="90"/>
      <c r="AJF122" s="90"/>
      <c r="AJG122" s="90"/>
      <c r="AJH122" s="90"/>
      <c r="AJI122" s="90"/>
      <c r="AJJ122" s="90"/>
      <c r="AJK122" s="90"/>
      <c r="AJL122" s="90"/>
      <c r="AJM122" s="90"/>
      <c r="AJN122" s="90"/>
      <c r="AJO122" s="90"/>
      <c r="AJP122" s="90"/>
      <c r="AJQ122" s="90"/>
      <c r="AJR122" s="90"/>
      <c r="AJS122" s="90"/>
      <c r="AJT122" s="90"/>
      <c r="AJU122" s="90"/>
      <c r="AJV122" s="90"/>
      <c r="AJW122" s="90"/>
      <c r="AJX122" s="90"/>
      <c r="AJY122" s="90"/>
      <c r="AJZ122" s="90"/>
      <c r="AKA122" s="90"/>
      <c r="AKB122" s="90"/>
      <c r="AKC122" s="90"/>
      <c r="AKD122" s="90"/>
      <c r="AKE122" s="90"/>
      <c r="AKF122" s="90"/>
      <c r="AKG122" s="90"/>
      <c r="AKH122" s="90"/>
      <c r="AKI122" s="90"/>
      <c r="AKJ122" s="90"/>
      <c r="AKK122" s="90"/>
      <c r="AKL122" s="90"/>
      <c r="AKM122" s="90"/>
      <c r="AKN122" s="90"/>
      <c r="AKO122" s="90"/>
      <c r="AKP122" s="90"/>
      <c r="AKQ122" s="90"/>
      <c r="AKR122" s="90"/>
      <c r="AKS122" s="90"/>
      <c r="AKT122" s="90"/>
      <c r="AKU122" s="90"/>
      <c r="AKV122" s="90"/>
      <c r="AKW122" s="90"/>
      <c r="AKX122" s="90"/>
      <c r="AKY122" s="90"/>
      <c r="AKZ122" s="90"/>
      <c r="ALA122" s="90"/>
      <c r="ALB122" s="90"/>
      <c r="ALC122" s="90"/>
      <c r="ALD122" s="90"/>
      <c r="ALE122" s="90"/>
      <c r="ALF122" s="90"/>
      <c r="ALG122" s="90"/>
      <c r="ALH122" s="90"/>
      <c r="ALI122" s="90"/>
      <c r="ALJ122" s="90"/>
      <c r="ALK122" s="90"/>
      <c r="ALL122" s="90"/>
      <c r="ALM122" s="90"/>
      <c r="ALN122" s="90"/>
      <c r="ALO122" s="90"/>
      <c r="ALP122" s="90"/>
      <c r="ALQ122" s="90"/>
      <c r="ALR122" s="90"/>
      <c r="ALS122" s="90"/>
      <c r="ALT122" s="90"/>
      <c r="ALU122" s="90"/>
      <c r="ALV122" s="90"/>
      <c r="ALW122" s="90"/>
      <c r="ALX122" s="90"/>
      <c r="ALY122" s="90"/>
      <c r="ALZ122" s="90"/>
      <c r="AMA122" s="90"/>
      <c r="AMB122" s="90"/>
      <c r="AMC122" s="90"/>
    </row>
    <row r="123" spans="1:1017">
      <c r="A123" s="98" t="s">
        <v>47</v>
      </c>
      <c r="B123" s="90" t="str">
        <f t="shared" si="1129"/>
        <v>Ikan_02 (Tiram)</v>
      </c>
      <c r="Q123" s="91">
        <f t="shared" si="1029"/>
        <v>0</v>
      </c>
      <c r="R123" s="91">
        <f t="shared" si="1030"/>
        <v>0</v>
      </c>
      <c r="S123" s="98">
        <v>1300</v>
      </c>
      <c r="T123" s="98">
        <v>13000</v>
      </c>
      <c r="AG123" s="91">
        <f t="shared" si="1031"/>
        <v>1300</v>
      </c>
      <c r="AH123" s="91">
        <f t="shared" si="1032"/>
        <v>13000</v>
      </c>
      <c r="AW123" s="91">
        <f t="shared" si="1033"/>
        <v>0</v>
      </c>
      <c r="AX123" s="91">
        <f t="shared" si="1034"/>
        <v>0</v>
      </c>
      <c r="BM123" s="91">
        <f t="shared" si="1035"/>
        <v>0</v>
      </c>
      <c r="BN123" s="91">
        <f t="shared" si="1036"/>
        <v>0</v>
      </c>
      <c r="CC123" s="91">
        <f t="shared" si="1037"/>
        <v>0</v>
      </c>
      <c r="CD123" s="91">
        <f t="shared" si="1038"/>
        <v>0</v>
      </c>
      <c r="CS123" s="91">
        <f t="shared" si="1039"/>
        <v>0</v>
      </c>
      <c r="CT123" s="91">
        <f t="shared" si="1040"/>
        <v>0</v>
      </c>
      <c r="DI123" s="91">
        <f t="shared" si="1041"/>
        <v>0</v>
      </c>
      <c r="DJ123" s="91">
        <f t="shared" si="1042"/>
        <v>0</v>
      </c>
      <c r="DY123" s="91">
        <f t="shared" si="1043"/>
        <v>0</v>
      </c>
      <c r="DZ123" s="91">
        <f t="shared" si="1044"/>
        <v>0</v>
      </c>
      <c r="EO123" s="91">
        <f t="shared" si="1045"/>
        <v>0</v>
      </c>
      <c r="EP123" s="91">
        <f t="shared" si="1046"/>
        <v>0</v>
      </c>
      <c r="FE123" s="91">
        <f t="shared" si="1047"/>
        <v>0</v>
      </c>
      <c r="FF123" s="91">
        <f t="shared" si="1048"/>
        <v>0</v>
      </c>
      <c r="FU123" s="91">
        <f t="shared" si="1049"/>
        <v>0</v>
      </c>
      <c r="FV123" s="91">
        <f t="shared" si="1050"/>
        <v>0</v>
      </c>
      <c r="GK123" s="91">
        <f t="shared" si="1051"/>
        <v>0</v>
      </c>
      <c r="GL123" s="91">
        <f t="shared" si="1052"/>
        <v>0</v>
      </c>
      <c r="HA123" s="91">
        <f t="shared" si="1053"/>
        <v>0</v>
      </c>
      <c r="HB123" s="91">
        <f t="shared" si="1054"/>
        <v>0</v>
      </c>
      <c r="HQ123" s="91">
        <f t="shared" si="1055"/>
        <v>0</v>
      </c>
      <c r="HR123" s="91">
        <f t="shared" si="1056"/>
        <v>0</v>
      </c>
      <c r="IG123" s="91">
        <f t="shared" si="1057"/>
        <v>0</v>
      </c>
      <c r="IH123" s="91">
        <f t="shared" si="1058"/>
        <v>0</v>
      </c>
      <c r="IW123" s="91">
        <f t="shared" si="1059"/>
        <v>0</v>
      </c>
      <c r="IX123" s="91">
        <f t="shared" si="1060"/>
        <v>0</v>
      </c>
      <c r="JM123" s="91">
        <f t="shared" si="1061"/>
        <v>0</v>
      </c>
      <c r="JN123" s="91">
        <f t="shared" si="1062"/>
        <v>0</v>
      </c>
      <c r="KC123" s="91">
        <f t="shared" si="1063"/>
        <v>0</v>
      </c>
      <c r="KD123" s="91">
        <f t="shared" si="1064"/>
        <v>0</v>
      </c>
      <c r="KS123" s="91">
        <f t="shared" si="1065"/>
        <v>0</v>
      </c>
      <c r="KT123" s="91">
        <f t="shared" si="1066"/>
        <v>0</v>
      </c>
      <c r="LI123" s="91">
        <f t="shared" si="1067"/>
        <v>0</v>
      </c>
      <c r="LJ123" s="91">
        <f t="shared" si="1068"/>
        <v>0</v>
      </c>
      <c r="LY123" s="91">
        <f t="shared" si="1069"/>
        <v>0</v>
      </c>
      <c r="LZ123" s="91">
        <f t="shared" si="1070"/>
        <v>0</v>
      </c>
      <c r="MO123" s="91">
        <f t="shared" si="1071"/>
        <v>0</v>
      </c>
      <c r="MP123" s="91">
        <f t="shared" si="1072"/>
        <v>0</v>
      </c>
      <c r="NE123" s="91">
        <f t="shared" si="1073"/>
        <v>0</v>
      </c>
      <c r="NF123" s="91">
        <f t="shared" si="1074"/>
        <v>0</v>
      </c>
      <c r="NU123" s="91">
        <f t="shared" si="1075"/>
        <v>0</v>
      </c>
      <c r="NV123" s="91">
        <f t="shared" si="1076"/>
        <v>0</v>
      </c>
      <c r="OK123" s="91">
        <f t="shared" si="1077"/>
        <v>0</v>
      </c>
      <c r="OL123" s="91">
        <f t="shared" si="1078"/>
        <v>0</v>
      </c>
      <c r="PA123" s="91">
        <f t="shared" si="1079"/>
        <v>0</v>
      </c>
      <c r="PB123" s="91">
        <f t="shared" si="1080"/>
        <v>0</v>
      </c>
      <c r="PQ123" s="91">
        <f t="shared" si="1081"/>
        <v>0</v>
      </c>
      <c r="PR123" s="91">
        <f t="shared" si="1082"/>
        <v>0</v>
      </c>
      <c r="QG123" s="91">
        <f t="shared" si="1083"/>
        <v>0</v>
      </c>
      <c r="QH123" s="91">
        <f t="shared" si="1084"/>
        <v>0</v>
      </c>
      <c r="QW123" s="91">
        <f t="shared" si="1085"/>
        <v>0</v>
      </c>
      <c r="QX123" s="91">
        <f t="shared" si="1086"/>
        <v>0</v>
      </c>
      <c r="RM123" s="91">
        <f t="shared" si="1087"/>
        <v>0</v>
      </c>
      <c r="RN123" s="91">
        <f t="shared" si="1088"/>
        <v>0</v>
      </c>
      <c r="SC123" s="91">
        <f t="shared" si="1089"/>
        <v>0</v>
      </c>
      <c r="SD123" s="91">
        <f t="shared" si="1090"/>
        <v>0</v>
      </c>
      <c r="SS123" s="91">
        <f t="shared" si="1091"/>
        <v>0</v>
      </c>
      <c r="ST123" s="91">
        <f t="shared" si="1092"/>
        <v>0</v>
      </c>
      <c r="TI123" s="91">
        <f t="shared" si="1093"/>
        <v>0</v>
      </c>
      <c r="TJ123" s="91">
        <f t="shared" si="1094"/>
        <v>0</v>
      </c>
      <c r="TY123" s="91">
        <f t="shared" si="1095"/>
        <v>0</v>
      </c>
      <c r="TZ123" s="91">
        <f t="shared" si="1096"/>
        <v>0</v>
      </c>
      <c r="UO123" s="91">
        <f t="shared" si="1097"/>
        <v>0</v>
      </c>
      <c r="UP123" s="91">
        <f t="shared" si="1098"/>
        <v>0</v>
      </c>
      <c r="VE123" s="91">
        <f t="shared" si="1099"/>
        <v>0</v>
      </c>
      <c r="VF123" s="91">
        <f t="shared" si="1100"/>
        <v>0</v>
      </c>
      <c r="VU123" s="91">
        <f t="shared" si="1101"/>
        <v>0</v>
      </c>
      <c r="VV123" s="91">
        <f t="shared" si="1102"/>
        <v>0</v>
      </c>
      <c r="WK123" s="91">
        <f t="shared" si="1103"/>
        <v>0</v>
      </c>
      <c r="WL123" s="91">
        <f t="shared" si="1104"/>
        <v>0</v>
      </c>
      <c r="WM123" s="89"/>
      <c r="WN123" s="87">
        <f t="shared" si="1130"/>
        <v>1300</v>
      </c>
      <c r="WO123" s="87">
        <f t="shared" si="1131"/>
        <v>13000</v>
      </c>
      <c r="WP123" s="87">
        <f t="shared" si="1132"/>
        <v>0</v>
      </c>
      <c r="WQ123" s="87">
        <f t="shared" si="1133"/>
        <v>0</v>
      </c>
      <c r="WR123" s="87">
        <f t="shared" si="1134"/>
        <v>0</v>
      </c>
      <c r="WS123" s="87">
        <f t="shared" si="1135"/>
        <v>0</v>
      </c>
      <c r="WT123" s="87">
        <f t="shared" si="1136"/>
        <v>0</v>
      </c>
      <c r="WU123" s="87">
        <f t="shared" si="1137"/>
        <v>0</v>
      </c>
      <c r="WV123" s="87">
        <f t="shared" si="1138"/>
        <v>0</v>
      </c>
      <c r="WW123" s="87">
        <f t="shared" si="1139"/>
        <v>0</v>
      </c>
      <c r="WX123" s="87">
        <f t="shared" si="1140"/>
        <v>0</v>
      </c>
      <c r="WY123" s="87">
        <f t="shared" si="1141"/>
        <v>0</v>
      </c>
      <c r="WZ123" s="87">
        <f t="shared" si="1127"/>
        <v>0</v>
      </c>
      <c r="XA123" s="87">
        <f t="shared" si="1128"/>
        <v>0</v>
      </c>
      <c r="XB123" s="92">
        <f t="shared" si="1142"/>
        <v>1300</v>
      </c>
      <c r="XC123" s="92">
        <f t="shared" si="1143"/>
        <v>13000</v>
      </c>
      <c r="XD123" s="89"/>
      <c r="XE123" s="92">
        <f t="shared" si="1125"/>
        <v>3640</v>
      </c>
      <c r="XF123" s="92">
        <f t="shared" si="1126"/>
        <v>36400</v>
      </c>
      <c r="XG123" s="89"/>
      <c r="XH123" s="92"/>
      <c r="XI123" s="92"/>
      <c r="XJ123" s="89"/>
      <c r="XK123" s="87"/>
      <c r="XL123" s="87"/>
      <c r="XM123" s="87"/>
      <c r="XN123" s="87"/>
      <c r="XO123" s="87"/>
      <c r="XP123" s="87"/>
      <c r="XQ123" s="87"/>
      <c r="XR123" s="92">
        <f t="shared" ca="1" si="1122"/>
        <v>0</v>
      </c>
      <c r="XS123" s="89"/>
      <c r="XT123" s="87"/>
      <c r="XU123" s="87"/>
      <c r="XV123" s="87"/>
      <c r="XW123" s="87"/>
      <c r="XX123" s="87"/>
      <c r="XY123" s="87"/>
      <c r="XZ123" s="87"/>
      <c r="YA123" s="92">
        <f t="shared" ca="1" si="1123"/>
        <v>0</v>
      </c>
      <c r="YB123" s="90"/>
      <c r="YC123" s="90"/>
      <c r="YD123" s="90"/>
      <c r="YE123" s="90"/>
      <c r="YF123" s="90"/>
      <c r="YG123" s="90"/>
      <c r="YH123" s="90"/>
      <c r="YI123" s="90"/>
      <c r="YJ123" s="90"/>
      <c r="YK123" s="90"/>
      <c r="YL123" s="90"/>
      <c r="YM123" s="90"/>
      <c r="YN123" s="90"/>
      <c r="YO123" s="90"/>
      <c r="YP123" s="90"/>
      <c r="YQ123" s="90"/>
      <c r="YR123" s="90"/>
      <c r="YS123" s="90"/>
      <c r="YT123" s="90"/>
      <c r="YU123" s="90"/>
      <c r="YV123" s="90"/>
      <c r="YW123" s="90"/>
      <c r="YX123" s="90"/>
      <c r="YY123" s="90"/>
      <c r="YZ123" s="90"/>
      <c r="ZA123" s="90"/>
      <c r="ZB123" s="90"/>
      <c r="ZC123" s="90"/>
      <c r="ZD123" s="90"/>
      <c r="ZE123" s="90"/>
      <c r="ZF123" s="90"/>
      <c r="ZG123" s="90"/>
      <c r="ZH123" s="90"/>
      <c r="ZI123" s="90"/>
      <c r="ZJ123" s="90"/>
      <c r="ZK123" s="90"/>
      <c r="ZL123" s="90"/>
      <c r="ZM123" s="90"/>
      <c r="ZN123" s="90"/>
      <c r="ZO123" s="90"/>
      <c r="ZP123" s="90"/>
      <c r="ZQ123" s="90"/>
      <c r="ZR123" s="90"/>
      <c r="ZS123" s="90"/>
      <c r="ZT123" s="90"/>
      <c r="ZU123" s="90"/>
      <c r="ZV123" s="90"/>
      <c r="ZW123" s="90"/>
      <c r="ZX123" s="90"/>
      <c r="ZY123" s="90"/>
      <c r="ZZ123" s="90"/>
      <c r="AAA123" s="90"/>
      <c r="AAB123" s="90"/>
      <c r="AAC123" s="90"/>
      <c r="AAD123" s="90"/>
      <c r="AAE123" s="90"/>
      <c r="AAF123" s="90"/>
      <c r="AAG123" s="90"/>
      <c r="AAH123" s="90"/>
      <c r="AAI123" s="90"/>
      <c r="AAJ123" s="90"/>
      <c r="AAK123" s="90"/>
      <c r="AAL123" s="90"/>
      <c r="AAM123" s="90"/>
      <c r="AAN123" s="90"/>
      <c r="AAO123" s="90"/>
      <c r="AAP123" s="90"/>
      <c r="AAQ123" s="90"/>
      <c r="AAR123" s="90"/>
      <c r="AAS123" s="90"/>
      <c r="AAT123" s="90"/>
      <c r="AAU123" s="90"/>
      <c r="AAV123" s="90"/>
      <c r="AAW123" s="90"/>
      <c r="AAX123" s="90"/>
      <c r="AAY123" s="90"/>
      <c r="AAZ123" s="90"/>
      <c r="ABA123" s="90"/>
      <c r="ABB123" s="90"/>
      <c r="ABC123" s="90"/>
      <c r="ABD123" s="90"/>
      <c r="ABE123" s="90"/>
      <c r="ABF123" s="90"/>
      <c r="ABG123" s="90"/>
      <c r="ABH123" s="90"/>
      <c r="ABI123" s="90"/>
      <c r="ABJ123" s="90"/>
      <c r="ABK123" s="90"/>
      <c r="ABL123" s="90"/>
      <c r="ABM123" s="90"/>
      <c r="ABN123" s="90"/>
      <c r="ABO123" s="90"/>
      <c r="ABP123" s="90"/>
      <c r="ABQ123" s="90"/>
      <c r="ABR123" s="90"/>
      <c r="ABS123" s="90"/>
      <c r="ABT123" s="90"/>
      <c r="ABU123" s="90"/>
      <c r="ABV123" s="90"/>
      <c r="ABW123" s="90"/>
      <c r="ABX123" s="90"/>
      <c r="ABY123" s="90"/>
      <c r="ABZ123" s="90"/>
      <c r="ACA123" s="90"/>
      <c r="ACB123" s="90"/>
      <c r="ACC123" s="90"/>
      <c r="ACD123" s="90"/>
      <c r="ACE123" s="90"/>
      <c r="ACF123" s="90"/>
      <c r="ACG123" s="90"/>
      <c r="ACH123" s="90"/>
      <c r="ACI123" s="90"/>
      <c r="ACJ123" s="90"/>
      <c r="ACK123" s="90"/>
      <c r="ACL123" s="90"/>
      <c r="ACM123" s="90"/>
      <c r="ACN123" s="90"/>
      <c r="ACO123" s="90"/>
      <c r="ACP123" s="90"/>
      <c r="ACQ123" s="90"/>
      <c r="ACR123" s="90"/>
      <c r="ACS123" s="90"/>
      <c r="ACT123" s="90"/>
      <c r="ACU123" s="90"/>
      <c r="ACV123" s="90"/>
      <c r="ACW123" s="90"/>
      <c r="ACX123" s="90"/>
      <c r="ACY123" s="90"/>
      <c r="ACZ123" s="90"/>
      <c r="ADA123" s="90"/>
      <c r="ADB123" s="90"/>
      <c r="ADC123" s="90"/>
      <c r="ADD123" s="90"/>
      <c r="ADE123" s="90"/>
      <c r="ADF123" s="90"/>
      <c r="ADG123" s="90"/>
      <c r="ADH123" s="90"/>
      <c r="ADI123" s="90"/>
      <c r="ADJ123" s="90"/>
      <c r="ADK123" s="90"/>
      <c r="ADL123" s="90"/>
      <c r="ADM123" s="90"/>
      <c r="ADN123" s="90"/>
      <c r="ADO123" s="90"/>
      <c r="ADP123" s="90"/>
      <c r="ADQ123" s="90"/>
      <c r="ADR123" s="90"/>
      <c r="ADS123" s="90"/>
      <c r="ADT123" s="90"/>
      <c r="ADU123" s="90"/>
      <c r="ADV123" s="90"/>
      <c r="ADW123" s="90"/>
      <c r="ADX123" s="90"/>
      <c r="ADY123" s="90"/>
      <c r="ADZ123" s="90"/>
      <c r="AEA123" s="90"/>
      <c r="AEB123" s="90"/>
      <c r="AEC123" s="90"/>
      <c r="AED123" s="90"/>
      <c r="AEE123" s="90"/>
      <c r="AEF123" s="90"/>
      <c r="AEG123" s="90"/>
      <c r="AEH123" s="90"/>
      <c r="AEI123" s="90"/>
      <c r="AEJ123" s="90"/>
      <c r="AEK123" s="90"/>
      <c r="AEL123" s="90"/>
      <c r="AEM123" s="90"/>
      <c r="AEN123" s="90"/>
      <c r="AEO123" s="90"/>
      <c r="AEP123" s="90"/>
      <c r="AEQ123" s="90"/>
      <c r="AER123" s="90"/>
      <c r="AES123" s="90"/>
      <c r="AET123" s="90"/>
      <c r="AEU123" s="90"/>
      <c r="AEV123" s="90"/>
      <c r="AEW123" s="90"/>
      <c r="AEX123" s="90"/>
      <c r="AEY123" s="90"/>
      <c r="AEZ123" s="90"/>
      <c r="AFA123" s="90"/>
      <c r="AFB123" s="90"/>
      <c r="AFC123" s="90"/>
      <c r="AFD123" s="90"/>
      <c r="AFE123" s="90"/>
      <c r="AFF123" s="90"/>
      <c r="AFG123" s="90"/>
      <c r="AFH123" s="90"/>
      <c r="AFI123" s="90"/>
      <c r="AFJ123" s="90"/>
      <c r="AFK123" s="90"/>
      <c r="AFL123" s="90"/>
      <c r="AFM123" s="90"/>
      <c r="AFN123" s="90"/>
      <c r="AFO123" s="90"/>
      <c r="AFP123" s="90"/>
      <c r="AFQ123" s="90"/>
      <c r="AFR123" s="90"/>
      <c r="AFS123" s="90"/>
      <c r="AFT123" s="90"/>
      <c r="AFU123" s="90"/>
      <c r="AFV123" s="90"/>
      <c r="AFW123" s="90"/>
      <c r="AFX123" s="90"/>
      <c r="AFY123" s="90"/>
      <c r="AFZ123" s="90"/>
      <c r="AGA123" s="90"/>
      <c r="AGB123" s="90"/>
      <c r="AGC123" s="90"/>
      <c r="AGD123" s="90"/>
      <c r="AGE123" s="90"/>
      <c r="AGF123" s="90"/>
      <c r="AGG123" s="90"/>
      <c r="AGH123" s="90"/>
      <c r="AGI123" s="90"/>
      <c r="AGJ123" s="90"/>
      <c r="AGK123" s="90"/>
      <c r="AGL123" s="90"/>
      <c r="AGM123" s="90"/>
      <c r="AGN123" s="90"/>
      <c r="AGO123" s="90"/>
      <c r="AGP123" s="90"/>
      <c r="AGQ123" s="90"/>
      <c r="AGR123" s="90"/>
      <c r="AGS123" s="90"/>
      <c r="AGT123" s="90"/>
      <c r="AGU123" s="90"/>
      <c r="AGV123" s="90"/>
      <c r="AGW123" s="90"/>
      <c r="AGX123" s="90"/>
      <c r="AGY123" s="90"/>
      <c r="AGZ123" s="90"/>
      <c r="AHA123" s="90"/>
      <c r="AHB123" s="90"/>
      <c r="AHC123" s="90"/>
      <c r="AHD123" s="90"/>
      <c r="AHE123" s="90"/>
      <c r="AHF123" s="90"/>
      <c r="AHG123" s="90"/>
      <c r="AHH123" s="90"/>
      <c r="AHI123" s="90"/>
      <c r="AHJ123" s="90"/>
      <c r="AHK123" s="90"/>
      <c r="AHL123" s="90"/>
      <c r="AHM123" s="90"/>
      <c r="AHN123" s="90"/>
      <c r="AHO123" s="90"/>
      <c r="AHP123" s="90"/>
      <c r="AHQ123" s="90"/>
      <c r="AHR123" s="90"/>
      <c r="AHS123" s="90"/>
      <c r="AHT123" s="90"/>
      <c r="AHU123" s="90"/>
      <c r="AHV123" s="90"/>
      <c r="AHW123" s="90"/>
      <c r="AHX123" s="90"/>
      <c r="AHY123" s="90"/>
      <c r="AHZ123" s="90"/>
      <c r="AIA123" s="90"/>
      <c r="AIB123" s="90"/>
      <c r="AIC123" s="90"/>
      <c r="AID123" s="90"/>
      <c r="AIE123" s="90"/>
      <c r="AIF123" s="90"/>
      <c r="AIG123" s="90"/>
      <c r="AIH123" s="90"/>
      <c r="AII123" s="90"/>
      <c r="AIJ123" s="90"/>
      <c r="AIK123" s="90"/>
      <c r="AIL123" s="90"/>
      <c r="AIM123" s="90"/>
      <c r="AIN123" s="90"/>
      <c r="AIO123" s="90"/>
      <c r="AIP123" s="90"/>
      <c r="AIQ123" s="90"/>
      <c r="AIR123" s="90"/>
      <c r="AIS123" s="90"/>
      <c r="AIT123" s="90"/>
      <c r="AIU123" s="90"/>
      <c r="AIV123" s="90"/>
      <c r="AIW123" s="90"/>
      <c r="AIX123" s="90"/>
      <c r="AIY123" s="90"/>
      <c r="AIZ123" s="90"/>
      <c r="AJA123" s="90"/>
      <c r="AJB123" s="90"/>
      <c r="AJC123" s="90"/>
      <c r="AJD123" s="90"/>
      <c r="AJE123" s="90"/>
      <c r="AJF123" s="90"/>
      <c r="AJG123" s="90"/>
      <c r="AJH123" s="90"/>
      <c r="AJI123" s="90"/>
      <c r="AJJ123" s="90"/>
      <c r="AJK123" s="90"/>
      <c r="AJL123" s="90"/>
      <c r="AJM123" s="90"/>
      <c r="AJN123" s="90"/>
      <c r="AJO123" s="90"/>
      <c r="AJP123" s="90"/>
      <c r="AJQ123" s="90"/>
      <c r="AJR123" s="90"/>
      <c r="AJS123" s="90"/>
      <c r="AJT123" s="90"/>
      <c r="AJU123" s="90"/>
      <c r="AJV123" s="90"/>
      <c r="AJW123" s="90"/>
      <c r="AJX123" s="90"/>
      <c r="AJY123" s="90"/>
      <c r="AJZ123" s="90"/>
      <c r="AKA123" s="90"/>
      <c r="AKB123" s="90"/>
      <c r="AKC123" s="90"/>
      <c r="AKD123" s="90"/>
      <c r="AKE123" s="90"/>
      <c r="AKF123" s="90"/>
      <c r="AKG123" s="90"/>
      <c r="AKH123" s="90"/>
      <c r="AKI123" s="90"/>
      <c r="AKJ123" s="90"/>
      <c r="AKK123" s="90"/>
      <c r="AKL123" s="90"/>
      <c r="AKM123" s="90"/>
      <c r="AKN123" s="90"/>
      <c r="AKO123" s="90"/>
      <c r="AKP123" s="90"/>
      <c r="AKQ123" s="90"/>
      <c r="AKR123" s="90"/>
      <c r="AKS123" s="90"/>
      <c r="AKT123" s="90"/>
      <c r="AKU123" s="90"/>
      <c r="AKV123" s="90"/>
      <c r="AKW123" s="90"/>
      <c r="AKX123" s="90"/>
      <c r="AKY123" s="90"/>
      <c r="AKZ123" s="90"/>
      <c r="ALA123" s="90"/>
      <c r="ALB123" s="90"/>
      <c r="ALC123" s="90"/>
      <c r="ALD123" s="90"/>
      <c r="ALE123" s="90"/>
      <c r="ALF123" s="90"/>
      <c r="ALG123" s="90"/>
      <c r="ALH123" s="90"/>
      <c r="ALI123" s="90"/>
      <c r="ALJ123" s="90"/>
      <c r="ALK123" s="90"/>
      <c r="ALL123" s="90"/>
      <c r="ALM123" s="90"/>
      <c r="ALN123" s="90"/>
      <c r="ALO123" s="90"/>
      <c r="ALP123" s="90"/>
      <c r="ALQ123" s="90"/>
      <c r="ALR123" s="90"/>
      <c r="ALS123" s="90"/>
      <c r="ALT123" s="90"/>
      <c r="ALU123" s="90"/>
      <c r="ALV123" s="90"/>
      <c r="ALW123" s="90"/>
      <c r="ALX123" s="90"/>
      <c r="ALY123" s="90"/>
      <c r="ALZ123" s="90"/>
      <c r="AMA123" s="90"/>
      <c r="AMB123" s="90"/>
      <c r="AMC123" s="90"/>
    </row>
    <row r="124" spans="1:1017">
      <c r="A124" s="98" t="s">
        <v>47</v>
      </c>
      <c r="B124" s="90" t="str">
        <f t="shared" si="1129"/>
        <v>Ikan_03 (Kerang Darah)</v>
      </c>
      <c r="Q124" s="91">
        <f t="shared" si="1029"/>
        <v>0</v>
      </c>
      <c r="R124" s="91">
        <f t="shared" si="1030"/>
        <v>0</v>
      </c>
      <c r="AG124" s="91">
        <f t="shared" si="1031"/>
        <v>0</v>
      </c>
      <c r="AH124" s="91">
        <f t="shared" si="1032"/>
        <v>0</v>
      </c>
      <c r="AW124" s="91">
        <f t="shared" si="1033"/>
        <v>0</v>
      </c>
      <c r="AX124" s="91">
        <f t="shared" si="1034"/>
        <v>0</v>
      </c>
      <c r="BM124" s="91">
        <f t="shared" si="1035"/>
        <v>0</v>
      </c>
      <c r="BN124" s="91">
        <f t="shared" si="1036"/>
        <v>0</v>
      </c>
      <c r="CC124" s="91">
        <f t="shared" si="1037"/>
        <v>0</v>
      </c>
      <c r="CD124" s="91">
        <f t="shared" si="1038"/>
        <v>0</v>
      </c>
      <c r="CS124" s="91">
        <f t="shared" si="1039"/>
        <v>0</v>
      </c>
      <c r="CT124" s="91">
        <f t="shared" si="1040"/>
        <v>0</v>
      </c>
      <c r="DI124" s="91">
        <f t="shared" si="1041"/>
        <v>0</v>
      </c>
      <c r="DJ124" s="91">
        <f t="shared" si="1042"/>
        <v>0</v>
      </c>
      <c r="DY124" s="91">
        <f t="shared" si="1043"/>
        <v>0</v>
      </c>
      <c r="DZ124" s="91">
        <f t="shared" si="1044"/>
        <v>0</v>
      </c>
      <c r="EO124" s="91">
        <f t="shared" si="1045"/>
        <v>0</v>
      </c>
      <c r="EP124" s="91">
        <f t="shared" si="1046"/>
        <v>0</v>
      </c>
      <c r="FE124" s="91">
        <f t="shared" si="1047"/>
        <v>0</v>
      </c>
      <c r="FF124" s="91">
        <f t="shared" si="1048"/>
        <v>0</v>
      </c>
      <c r="FU124" s="91">
        <f t="shared" si="1049"/>
        <v>0</v>
      </c>
      <c r="FV124" s="91">
        <f t="shared" si="1050"/>
        <v>0</v>
      </c>
      <c r="GK124" s="91">
        <f t="shared" si="1051"/>
        <v>0</v>
      </c>
      <c r="GL124" s="91">
        <f t="shared" si="1052"/>
        <v>0</v>
      </c>
      <c r="HA124" s="91">
        <f t="shared" si="1053"/>
        <v>0</v>
      </c>
      <c r="HB124" s="91">
        <f t="shared" si="1054"/>
        <v>0</v>
      </c>
      <c r="HQ124" s="91">
        <f t="shared" si="1055"/>
        <v>0</v>
      </c>
      <c r="HR124" s="91">
        <f t="shared" si="1056"/>
        <v>0</v>
      </c>
      <c r="IG124" s="91">
        <f t="shared" si="1057"/>
        <v>0</v>
      </c>
      <c r="IH124" s="91">
        <f t="shared" si="1058"/>
        <v>0</v>
      </c>
      <c r="IW124" s="91">
        <f t="shared" si="1059"/>
        <v>0</v>
      </c>
      <c r="IX124" s="91">
        <f t="shared" si="1060"/>
        <v>0</v>
      </c>
      <c r="JM124" s="91">
        <f t="shared" si="1061"/>
        <v>0</v>
      </c>
      <c r="JN124" s="91">
        <f t="shared" si="1062"/>
        <v>0</v>
      </c>
      <c r="KC124" s="91">
        <f t="shared" si="1063"/>
        <v>0</v>
      </c>
      <c r="KD124" s="91">
        <f t="shared" si="1064"/>
        <v>0</v>
      </c>
      <c r="KS124" s="91">
        <f t="shared" si="1065"/>
        <v>0</v>
      </c>
      <c r="KT124" s="91">
        <f t="shared" si="1066"/>
        <v>0</v>
      </c>
      <c r="LI124" s="91">
        <f t="shared" si="1067"/>
        <v>0</v>
      </c>
      <c r="LJ124" s="91">
        <f t="shared" si="1068"/>
        <v>0</v>
      </c>
      <c r="LY124" s="91">
        <f t="shared" si="1069"/>
        <v>0</v>
      </c>
      <c r="LZ124" s="91">
        <f t="shared" si="1070"/>
        <v>0</v>
      </c>
      <c r="MO124" s="91">
        <f t="shared" si="1071"/>
        <v>0</v>
      </c>
      <c r="MP124" s="91">
        <f t="shared" si="1072"/>
        <v>0</v>
      </c>
      <c r="NE124" s="91">
        <f t="shared" si="1073"/>
        <v>0</v>
      </c>
      <c r="NF124" s="91">
        <f t="shared" si="1074"/>
        <v>0</v>
      </c>
      <c r="NU124" s="91">
        <f t="shared" si="1075"/>
        <v>0</v>
      </c>
      <c r="NV124" s="91">
        <f t="shared" si="1076"/>
        <v>0</v>
      </c>
      <c r="OK124" s="91">
        <f t="shared" si="1077"/>
        <v>0</v>
      </c>
      <c r="OL124" s="91">
        <f t="shared" si="1078"/>
        <v>0</v>
      </c>
      <c r="PA124" s="91">
        <f t="shared" si="1079"/>
        <v>0</v>
      </c>
      <c r="PB124" s="91">
        <f t="shared" si="1080"/>
        <v>0</v>
      </c>
      <c r="PQ124" s="91">
        <f t="shared" si="1081"/>
        <v>0</v>
      </c>
      <c r="PR124" s="91">
        <f t="shared" si="1082"/>
        <v>0</v>
      </c>
      <c r="QG124" s="91">
        <f t="shared" si="1083"/>
        <v>0</v>
      </c>
      <c r="QH124" s="91">
        <f t="shared" si="1084"/>
        <v>0</v>
      </c>
      <c r="QW124" s="91">
        <f t="shared" si="1085"/>
        <v>0</v>
      </c>
      <c r="QX124" s="91">
        <f t="shared" si="1086"/>
        <v>0</v>
      </c>
      <c r="RM124" s="91">
        <f t="shared" si="1087"/>
        <v>0</v>
      </c>
      <c r="RN124" s="91">
        <f t="shared" si="1088"/>
        <v>0</v>
      </c>
      <c r="SC124" s="91">
        <f t="shared" si="1089"/>
        <v>0</v>
      </c>
      <c r="SD124" s="91">
        <f t="shared" si="1090"/>
        <v>0</v>
      </c>
      <c r="SS124" s="91">
        <f t="shared" si="1091"/>
        <v>0</v>
      </c>
      <c r="ST124" s="91">
        <f t="shared" si="1092"/>
        <v>0</v>
      </c>
      <c r="TI124" s="91">
        <f t="shared" si="1093"/>
        <v>0</v>
      </c>
      <c r="TJ124" s="91">
        <f t="shared" si="1094"/>
        <v>0</v>
      </c>
      <c r="TY124" s="91">
        <f t="shared" si="1095"/>
        <v>0</v>
      </c>
      <c r="TZ124" s="91">
        <f t="shared" si="1096"/>
        <v>0</v>
      </c>
      <c r="UO124" s="91">
        <f t="shared" si="1097"/>
        <v>0</v>
      </c>
      <c r="UP124" s="91">
        <f t="shared" si="1098"/>
        <v>0</v>
      </c>
      <c r="VE124" s="91">
        <f t="shared" si="1099"/>
        <v>0</v>
      </c>
      <c r="VF124" s="91">
        <f t="shared" si="1100"/>
        <v>0</v>
      </c>
      <c r="VU124" s="91">
        <f t="shared" si="1101"/>
        <v>0</v>
      </c>
      <c r="VV124" s="91">
        <f t="shared" si="1102"/>
        <v>0</v>
      </c>
      <c r="WK124" s="91">
        <f t="shared" si="1103"/>
        <v>0</v>
      </c>
      <c r="WL124" s="91">
        <f t="shared" si="1104"/>
        <v>0</v>
      </c>
      <c r="WM124" s="89"/>
      <c r="WN124" s="87">
        <f t="shared" si="1130"/>
        <v>0</v>
      </c>
      <c r="WO124" s="87">
        <f t="shared" si="1131"/>
        <v>0</v>
      </c>
      <c r="WP124" s="87">
        <f t="shared" si="1132"/>
        <v>0</v>
      </c>
      <c r="WQ124" s="87">
        <f t="shared" si="1133"/>
        <v>0</v>
      </c>
      <c r="WR124" s="87">
        <f t="shared" si="1134"/>
        <v>0</v>
      </c>
      <c r="WS124" s="87">
        <f t="shared" si="1135"/>
        <v>0</v>
      </c>
      <c r="WT124" s="87">
        <f t="shared" si="1136"/>
        <v>0</v>
      </c>
      <c r="WU124" s="87">
        <f t="shared" si="1137"/>
        <v>0</v>
      </c>
      <c r="WV124" s="87">
        <f t="shared" si="1138"/>
        <v>0</v>
      </c>
      <c r="WW124" s="87">
        <f t="shared" si="1139"/>
        <v>0</v>
      </c>
      <c r="WX124" s="87">
        <f t="shared" si="1140"/>
        <v>0</v>
      </c>
      <c r="WY124" s="87">
        <f t="shared" si="1141"/>
        <v>0</v>
      </c>
      <c r="WZ124" s="87">
        <f t="shared" si="1127"/>
        <v>0</v>
      </c>
      <c r="XA124" s="87">
        <f t="shared" si="1128"/>
        <v>0</v>
      </c>
      <c r="XB124" s="92">
        <f t="shared" si="1142"/>
        <v>0</v>
      </c>
      <c r="XC124" s="92">
        <f t="shared" si="1143"/>
        <v>0</v>
      </c>
      <c r="XD124" s="89"/>
      <c r="XE124" s="92">
        <f t="shared" si="1125"/>
        <v>0</v>
      </c>
      <c r="XF124" s="92">
        <f t="shared" si="1126"/>
        <v>0</v>
      </c>
      <c r="XG124" s="89"/>
      <c r="XH124" s="92"/>
      <c r="XI124" s="92"/>
      <c r="XJ124" s="89"/>
      <c r="XK124" s="87"/>
      <c r="XL124" s="87"/>
      <c r="XM124" s="87"/>
      <c r="XN124" s="87"/>
      <c r="XO124" s="87"/>
      <c r="XP124" s="87"/>
      <c r="XQ124" s="87"/>
      <c r="XR124" s="92">
        <f t="shared" ca="1" si="1122"/>
        <v>0</v>
      </c>
      <c r="XS124" s="89"/>
      <c r="XT124" s="87"/>
      <c r="XU124" s="87"/>
      <c r="XV124" s="87"/>
      <c r="XW124" s="87"/>
      <c r="XX124" s="87"/>
      <c r="XY124" s="87"/>
      <c r="XZ124" s="87"/>
      <c r="YA124" s="92">
        <f t="shared" ca="1" si="1123"/>
        <v>0</v>
      </c>
      <c r="YB124" s="90"/>
      <c r="YC124" s="90"/>
      <c r="YD124" s="90"/>
      <c r="YE124" s="90"/>
      <c r="YF124" s="90"/>
      <c r="YG124" s="90"/>
      <c r="YH124" s="90"/>
      <c r="YI124" s="90"/>
      <c r="YJ124" s="90"/>
      <c r="YK124" s="90"/>
      <c r="YL124" s="90"/>
      <c r="YM124" s="90"/>
      <c r="YN124" s="90"/>
      <c r="YO124" s="90"/>
      <c r="YP124" s="90"/>
      <c r="YQ124" s="90"/>
      <c r="YR124" s="90"/>
      <c r="YS124" s="90"/>
      <c r="YT124" s="90"/>
      <c r="YU124" s="90"/>
      <c r="YV124" s="90"/>
      <c r="YW124" s="90"/>
      <c r="YX124" s="90"/>
      <c r="YY124" s="90"/>
      <c r="YZ124" s="90"/>
      <c r="ZA124" s="90"/>
      <c r="ZB124" s="90"/>
      <c r="ZC124" s="90"/>
      <c r="ZD124" s="90"/>
      <c r="ZE124" s="90"/>
      <c r="ZF124" s="90"/>
      <c r="ZG124" s="90"/>
      <c r="ZH124" s="90"/>
      <c r="ZI124" s="90"/>
      <c r="ZJ124" s="90"/>
      <c r="ZK124" s="90"/>
      <c r="ZL124" s="90"/>
      <c r="ZM124" s="90"/>
      <c r="ZN124" s="90"/>
      <c r="ZO124" s="90"/>
      <c r="ZP124" s="90"/>
      <c r="ZQ124" s="90"/>
      <c r="ZR124" s="90"/>
      <c r="ZS124" s="90"/>
      <c r="ZT124" s="90"/>
      <c r="ZU124" s="90"/>
      <c r="ZV124" s="90"/>
      <c r="ZW124" s="90"/>
      <c r="ZX124" s="90"/>
      <c r="ZY124" s="90"/>
      <c r="ZZ124" s="90"/>
      <c r="AAA124" s="90"/>
      <c r="AAB124" s="90"/>
      <c r="AAC124" s="90"/>
      <c r="AAD124" s="90"/>
      <c r="AAE124" s="90"/>
      <c r="AAF124" s="90"/>
      <c r="AAG124" s="90"/>
      <c r="AAH124" s="90"/>
      <c r="AAI124" s="90"/>
      <c r="AAJ124" s="90"/>
      <c r="AAK124" s="90"/>
      <c r="AAL124" s="90"/>
      <c r="AAM124" s="90"/>
      <c r="AAN124" s="90"/>
      <c r="AAO124" s="90"/>
      <c r="AAP124" s="90"/>
      <c r="AAQ124" s="90"/>
      <c r="AAR124" s="90"/>
      <c r="AAS124" s="90"/>
      <c r="AAT124" s="90"/>
      <c r="AAU124" s="90"/>
      <c r="AAV124" s="90"/>
      <c r="AAW124" s="90"/>
      <c r="AAX124" s="90"/>
      <c r="AAY124" s="90"/>
      <c r="AAZ124" s="90"/>
      <c r="ABA124" s="90"/>
      <c r="ABB124" s="90"/>
      <c r="ABC124" s="90"/>
      <c r="ABD124" s="90"/>
      <c r="ABE124" s="90"/>
      <c r="ABF124" s="90"/>
      <c r="ABG124" s="90"/>
      <c r="ABH124" s="90"/>
      <c r="ABI124" s="90"/>
      <c r="ABJ124" s="90"/>
      <c r="ABK124" s="90"/>
      <c r="ABL124" s="90"/>
      <c r="ABM124" s="90"/>
      <c r="ABN124" s="90"/>
      <c r="ABO124" s="90"/>
      <c r="ABP124" s="90"/>
      <c r="ABQ124" s="90"/>
      <c r="ABR124" s="90"/>
      <c r="ABS124" s="90"/>
      <c r="ABT124" s="90"/>
      <c r="ABU124" s="90"/>
      <c r="ABV124" s="90"/>
      <c r="ABW124" s="90"/>
      <c r="ABX124" s="90"/>
      <c r="ABY124" s="90"/>
      <c r="ABZ124" s="90"/>
      <c r="ACA124" s="90"/>
      <c r="ACB124" s="90"/>
      <c r="ACC124" s="90"/>
      <c r="ACD124" s="90"/>
      <c r="ACE124" s="90"/>
      <c r="ACF124" s="90"/>
      <c r="ACG124" s="90"/>
      <c r="ACH124" s="90"/>
      <c r="ACI124" s="90"/>
      <c r="ACJ124" s="90"/>
      <c r="ACK124" s="90"/>
      <c r="ACL124" s="90"/>
      <c r="ACM124" s="90"/>
      <c r="ACN124" s="90"/>
      <c r="ACO124" s="90"/>
      <c r="ACP124" s="90"/>
      <c r="ACQ124" s="90"/>
      <c r="ACR124" s="90"/>
      <c r="ACS124" s="90"/>
      <c r="ACT124" s="90"/>
      <c r="ACU124" s="90"/>
      <c r="ACV124" s="90"/>
      <c r="ACW124" s="90"/>
      <c r="ACX124" s="90"/>
      <c r="ACY124" s="90"/>
      <c r="ACZ124" s="90"/>
      <c r="ADA124" s="90"/>
      <c r="ADB124" s="90"/>
      <c r="ADC124" s="90"/>
      <c r="ADD124" s="90"/>
      <c r="ADE124" s="90"/>
      <c r="ADF124" s="90"/>
      <c r="ADG124" s="90"/>
      <c r="ADH124" s="90"/>
      <c r="ADI124" s="90"/>
      <c r="ADJ124" s="90"/>
      <c r="ADK124" s="90"/>
      <c r="ADL124" s="90"/>
      <c r="ADM124" s="90"/>
      <c r="ADN124" s="90"/>
      <c r="ADO124" s="90"/>
      <c r="ADP124" s="90"/>
      <c r="ADQ124" s="90"/>
      <c r="ADR124" s="90"/>
      <c r="ADS124" s="90"/>
      <c r="ADT124" s="90"/>
      <c r="ADU124" s="90"/>
      <c r="ADV124" s="90"/>
      <c r="ADW124" s="90"/>
      <c r="ADX124" s="90"/>
      <c r="ADY124" s="90"/>
      <c r="ADZ124" s="90"/>
      <c r="AEA124" s="90"/>
      <c r="AEB124" s="90"/>
      <c r="AEC124" s="90"/>
      <c r="AED124" s="90"/>
      <c r="AEE124" s="90"/>
      <c r="AEF124" s="90"/>
      <c r="AEG124" s="90"/>
      <c r="AEH124" s="90"/>
      <c r="AEI124" s="90"/>
      <c r="AEJ124" s="90"/>
      <c r="AEK124" s="90"/>
      <c r="AEL124" s="90"/>
      <c r="AEM124" s="90"/>
      <c r="AEN124" s="90"/>
      <c r="AEO124" s="90"/>
      <c r="AEP124" s="90"/>
      <c r="AEQ124" s="90"/>
      <c r="AER124" s="90"/>
      <c r="AES124" s="90"/>
      <c r="AET124" s="90"/>
      <c r="AEU124" s="90"/>
      <c r="AEV124" s="90"/>
      <c r="AEW124" s="90"/>
      <c r="AEX124" s="90"/>
      <c r="AEY124" s="90"/>
      <c r="AEZ124" s="90"/>
      <c r="AFA124" s="90"/>
      <c r="AFB124" s="90"/>
      <c r="AFC124" s="90"/>
      <c r="AFD124" s="90"/>
      <c r="AFE124" s="90"/>
      <c r="AFF124" s="90"/>
      <c r="AFG124" s="90"/>
      <c r="AFH124" s="90"/>
      <c r="AFI124" s="90"/>
      <c r="AFJ124" s="90"/>
      <c r="AFK124" s="90"/>
      <c r="AFL124" s="90"/>
      <c r="AFM124" s="90"/>
      <c r="AFN124" s="90"/>
      <c r="AFO124" s="90"/>
      <c r="AFP124" s="90"/>
      <c r="AFQ124" s="90"/>
      <c r="AFR124" s="90"/>
      <c r="AFS124" s="90"/>
      <c r="AFT124" s="90"/>
      <c r="AFU124" s="90"/>
      <c r="AFV124" s="90"/>
      <c r="AFW124" s="90"/>
      <c r="AFX124" s="90"/>
      <c r="AFY124" s="90"/>
      <c r="AFZ124" s="90"/>
      <c r="AGA124" s="90"/>
      <c r="AGB124" s="90"/>
      <c r="AGC124" s="90"/>
      <c r="AGD124" s="90"/>
      <c r="AGE124" s="90"/>
      <c r="AGF124" s="90"/>
      <c r="AGG124" s="90"/>
      <c r="AGH124" s="90"/>
      <c r="AGI124" s="90"/>
      <c r="AGJ124" s="90"/>
      <c r="AGK124" s="90"/>
      <c r="AGL124" s="90"/>
      <c r="AGM124" s="90"/>
      <c r="AGN124" s="90"/>
      <c r="AGO124" s="90"/>
      <c r="AGP124" s="90"/>
      <c r="AGQ124" s="90"/>
      <c r="AGR124" s="90"/>
      <c r="AGS124" s="90"/>
      <c r="AGT124" s="90"/>
      <c r="AGU124" s="90"/>
      <c r="AGV124" s="90"/>
      <c r="AGW124" s="90"/>
      <c r="AGX124" s="90"/>
      <c r="AGY124" s="90"/>
      <c r="AGZ124" s="90"/>
      <c r="AHA124" s="90"/>
      <c r="AHB124" s="90"/>
      <c r="AHC124" s="90"/>
      <c r="AHD124" s="90"/>
      <c r="AHE124" s="90"/>
      <c r="AHF124" s="90"/>
      <c r="AHG124" s="90"/>
      <c r="AHH124" s="90"/>
      <c r="AHI124" s="90"/>
      <c r="AHJ124" s="90"/>
      <c r="AHK124" s="90"/>
      <c r="AHL124" s="90"/>
      <c r="AHM124" s="90"/>
      <c r="AHN124" s="90"/>
      <c r="AHO124" s="90"/>
      <c r="AHP124" s="90"/>
      <c r="AHQ124" s="90"/>
      <c r="AHR124" s="90"/>
      <c r="AHS124" s="90"/>
      <c r="AHT124" s="90"/>
      <c r="AHU124" s="90"/>
      <c r="AHV124" s="90"/>
      <c r="AHW124" s="90"/>
      <c r="AHX124" s="90"/>
      <c r="AHY124" s="90"/>
      <c r="AHZ124" s="90"/>
      <c r="AIA124" s="90"/>
      <c r="AIB124" s="90"/>
      <c r="AIC124" s="90"/>
      <c r="AID124" s="90"/>
      <c r="AIE124" s="90"/>
      <c r="AIF124" s="90"/>
      <c r="AIG124" s="90"/>
      <c r="AIH124" s="90"/>
      <c r="AII124" s="90"/>
      <c r="AIJ124" s="90"/>
      <c r="AIK124" s="90"/>
      <c r="AIL124" s="90"/>
      <c r="AIM124" s="90"/>
      <c r="AIN124" s="90"/>
      <c r="AIO124" s="90"/>
      <c r="AIP124" s="90"/>
      <c r="AIQ124" s="90"/>
      <c r="AIR124" s="90"/>
      <c r="AIS124" s="90"/>
      <c r="AIT124" s="90"/>
      <c r="AIU124" s="90"/>
      <c r="AIV124" s="90"/>
      <c r="AIW124" s="90"/>
      <c r="AIX124" s="90"/>
      <c r="AIY124" s="90"/>
      <c r="AIZ124" s="90"/>
      <c r="AJA124" s="90"/>
      <c r="AJB124" s="90"/>
      <c r="AJC124" s="90"/>
      <c r="AJD124" s="90"/>
      <c r="AJE124" s="90"/>
      <c r="AJF124" s="90"/>
      <c r="AJG124" s="90"/>
      <c r="AJH124" s="90"/>
      <c r="AJI124" s="90"/>
      <c r="AJJ124" s="90"/>
      <c r="AJK124" s="90"/>
      <c r="AJL124" s="90"/>
      <c r="AJM124" s="90"/>
      <c r="AJN124" s="90"/>
      <c r="AJO124" s="90"/>
      <c r="AJP124" s="90"/>
      <c r="AJQ124" s="90"/>
      <c r="AJR124" s="90"/>
      <c r="AJS124" s="90"/>
      <c r="AJT124" s="90"/>
      <c r="AJU124" s="90"/>
      <c r="AJV124" s="90"/>
      <c r="AJW124" s="90"/>
      <c r="AJX124" s="90"/>
      <c r="AJY124" s="90"/>
      <c r="AJZ124" s="90"/>
      <c r="AKA124" s="90"/>
      <c r="AKB124" s="90"/>
      <c r="AKC124" s="90"/>
      <c r="AKD124" s="90"/>
      <c r="AKE124" s="90"/>
      <c r="AKF124" s="90"/>
      <c r="AKG124" s="90"/>
      <c r="AKH124" s="90"/>
      <c r="AKI124" s="90"/>
      <c r="AKJ124" s="90"/>
      <c r="AKK124" s="90"/>
      <c r="AKL124" s="90"/>
      <c r="AKM124" s="90"/>
      <c r="AKN124" s="90"/>
      <c r="AKO124" s="90"/>
      <c r="AKP124" s="90"/>
      <c r="AKQ124" s="90"/>
      <c r="AKR124" s="90"/>
      <c r="AKS124" s="90"/>
      <c r="AKT124" s="90"/>
      <c r="AKU124" s="90"/>
      <c r="AKV124" s="90"/>
      <c r="AKW124" s="90"/>
      <c r="AKX124" s="90"/>
      <c r="AKY124" s="90"/>
      <c r="AKZ124" s="90"/>
      <c r="ALA124" s="90"/>
      <c r="ALB124" s="90"/>
      <c r="ALC124" s="90"/>
      <c r="ALD124" s="90"/>
      <c r="ALE124" s="90"/>
      <c r="ALF124" s="90"/>
      <c r="ALG124" s="90"/>
      <c r="ALH124" s="90"/>
      <c r="ALI124" s="90"/>
      <c r="ALJ124" s="90"/>
      <c r="ALK124" s="90"/>
      <c r="ALL124" s="90"/>
      <c r="ALM124" s="90"/>
      <c r="ALN124" s="90"/>
      <c r="ALO124" s="90"/>
      <c r="ALP124" s="90"/>
      <c r="ALQ124" s="90"/>
      <c r="ALR124" s="90"/>
      <c r="ALS124" s="90"/>
      <c r="ALT124" s="90"/>
      <c r="ALU124" s="90"/>
      <c r="ALV124" s="90"/>
      <c r="ALW124" s="90"/>
      <c r="ALX124" s="90"/>
      <c r="ALY124" s="90"/>
      <c r="ALZ124" s="90"/>
      <c r="AMA124" s="90"/>
      <c r="AMB124" s="90"/>
      <c r="AMC124" s="90"/>
    </row>
    <row r="125" spans="1:1017">
      <c r="A125" s="98" t="s">
        <v>47</v>
      </c>
      <c r="B125" s="90" t="str">
        <f t="shared" si="1129"/>
        <v>Ikan_04 (Ikan Keting)</v>
      </c>
      <c r="Q125" s="91">
        <f t="shared" si="1029"/>
        <v>0</v>
      </c>
      <c r="R125" s="91">
        <f t="shared" si="1030"/>
        <v>0</v>
      </c>
      <c r="AG125" s="91">
        <f t="shared" si="1031"/>
        <v>0</v>
      </c>
      <c r="AH125" s="91">
        <f t="shared" si="1032"/>
        <v>0</v>
      </c>
      <c r="AW125" s="91">
        <f t="shared" si="1033"/>
        <v>0</v>
      </c>
      <c r="AX125" s="91">
        <f t="shared" si="1034"/>
        <v>0</v>
      </c>
      <c r="BM125" s="91">
        <f t="shared" si="1035"/>
        <v>0</v>
      </c>
      <c r="BN125" s="91">
        <f t="shared" si="1036"/>
        <v>0</v>
      </c>
      <c r="CC125" s="91">
        <f t="shared" si="1037"/>
        <v>0</v>
      </c>
      <c r="CD125" s="91">
        <f t="shared" si="1038"/>
        <v>0</v>
      </c>
      <c r="CS125" s="91">
        <f t="shared" si="1039"/>
        <v>0</v>
      </c>
      <c r="CT125" s="91">
        <f t="shared" si="1040"/>
        <v>0</v>
      </c>
      <c r="DI125" s="91">
        <f t="shared" si="1041"/>
        <v>0</v>
      </c>
      <c r="DJ125" s="91">
        <f t="shared" si="1042"/>
        <v>0</v>
      </c>
      <c r="DY125" s="91">
        <f t="shared" si="1043"/>
        <v>0</v>
      </c>
      <c r="DZ125" s="91">
        <f t="shared" si="1044"/>
        <v>0</v>
      </c>
      <c r="EO125" s="91">
        <f t="shared" si="1045"/>
        <v>0</v>
      </c>
      <c r="EP125" s="91">
        <f t="shared" si="1046"/>
        <v>0</v>
      </c>
      <c r="FE125" s="91">
        <f t="shared" si="1047"/>
        <v>0</v>
      </c>
      <c r="FF125" s="91">
        <f t="shared" si="1048"/>
        <v>0</v>
      </c>
      <c r="FU125" s="91">
        <f t="shared" si="1049"/>
        <v>0</v>
      </c>
      <c r="FV125" s="91">
        <f t="shared" si="1050"/>
        <v>0</v>
      </c>
      <c r="GK125" s="91">
        <f t="shared" si="1051"/>
        <v>0</v>
      </c>
      <c r="GL125" s="91">
        <f t="shared" si="1052"/>
        <v>0</v>
      </c>
      <c r="HA125" s="91">
        <f t="shared" si="1053"/>
        <v>0</v>
      </c>
      <c r="HB125" s="91">
        <f t="shared" si="1054"/>
        <v>0</v>
      </c>
      <c r="HQ125" s="91">
        <f t="shared" si="1055"/>
        <v>0</v>
      </c>
      <c r="HR125" s="91">
        <f t="shared" si="1056"/>
        <v>0</v>
      </c>
      <c r="IG125" s="91">
        <f t="shared" si="1057"/>
        <v>0</v>
      </c>
      <c r="IH125" s="91">
        <f t="shared" si="1058"/>
        <v>0</v>
      </c>
      <c r="IW125" s="91">
        <f t="shared" si="1059"/>
        <v>0</v>
      </c>
      <c r="IX125" s="91">
        <f t="shared" si="1060"/>
        <v>0</v>
      </c>
      <c r="JM125" s="91">
        <f t="shared" si="1061"/>
        <v>0</v>
      </c>
      <c r="JN125" s="91">
        <f t="shared" si="1062"/>
        <v>0</v>
      </c>
      <c r="KC125" s="91">
        <f t="shared" si="1063"/>
        <v>0</v>
      </c>
      <c r="KD125" s="91">
        <f t="shared" si="1064"/>
        <v>0</v>
      </c>
      <c r="KS125" s="91">
        <f t="shared" si="1065"/>
        <v>0</v>
      </c>
      <c r="KT125" s="91">
        <f t="shared" si="1066"/>
        <v>0</v>
      </c>
      <c r="LI125" s="91">
        <f t="shared" si="1067"/>
        <v>0</v>
      </c>
      <c r="LJ125" s="91">
        <f t="shared" si="1068"/>
        <v>0</v>
      </c>
      <c r="LY125" s="91">
        <f t="shared" si="1069"/>
        <v>0</v>
      </c>
      <c r="LZ125" s="91">
        <f t="shared" si="1070"/>
        <v>0</v>
      </c>
      <c r="MO125" s="91">
        <f t="shared" si="1071"/>
        <v>0</v>
      </c>
      <c r="MP125" s="91">
        <f t="shared" si="1072"/>
        <v>0</v>
      </c>
      <c r="NE125" s="91">
        <f t="shared" si="1073"/>
        <v>0</v>
      </c>
      <c r="NF125" s="91">
        <f t="shared" si="1074"/>
        <v>0</v>
      </c>
      <c r="NI125" s="98">
        <v>74500</v>
      </c>
      <c r="NJ125" s="98">
        <v>894000</v>
      </c>
      <c r="NU125" s="91">
        <f t="shared" si="1075"/>
        <v>74500</v>
      </c>
      <c r="NV125" s="91">
        <f t="shared" si="1076"/>
        <v>894000</v>
      </c>
      <c r="OK125" s="91">
        <f t="shared" si="1077"/>
        <v>0</v>
      </c>
      <c r="OL125" s="91">
        <f t="shared" si="1078"/>
        <v>0</v>
      </c>
      <c r="PA125" s="91">
        <f t="shared" si="1079"/>
        <v>0</v>
      </c>
      <c r="PB125" s="91">
        <f t="shared" si="1080"/>
        <v>0</v>
      </c>
      <c r="PQ125" s="91">
        <f t="shared" si="1081"/>
        <v>0</v>
      </c>
      <c r="PR125" s="91">
        <f t="shared" si="1082"/>
        <v>0</v>
      </c>
      <c r="QG125" s="91">
        <f t="shared" si="1083"/>
        <v>0</v>
      </c>
      <c r="QH125" s="91">
        <f t="shared" si="1084"/>
        <v>0</v>
      </c>
      <c r="QW125" s="91">
        <f t="shared" si="1085"/>
        <v>0</v>
      </c>
      <c r="QX125" s="91">
        <f t="shared" si="1086"/>
        <v>0</v>
      </c>
      <c r="RM125" s="91">
        <f t="shared" si="1087"/>
        <v>0</v>
      </c>
      <c r="RN125" s="91">
        <f t="shared" si="1088"/>
        <v>0</v>
      </c>
      <c r="SC125" s="91">
        <f t="shared" si="1089"/>
        <v>0</v>
      </c>
      <c r="SD125" s="91">
        <f t="shared" si="1090"/>
        <v>0</v>
      </c>
      <c r="SS125" s="91">
        <f t="shared" si="1091"/>
        <v>0</v>
      </c>
      <c r="ST125" s="91">
        <f t="shared" si="1092"/>
        <v>0</v>
      </c>
      <c r="TI125" s="91">
        <f t="shared" si="1093"/>
        <v>0</v>
      </c>
      <c r="TJ125" s="91">
        <f t="shared" si="1094"/>
        <v>0</v>
      </c>
      <c r="TY125" s="91">
        <f t="shared" si="1095"/>
        <v>0</v>
      </c>
      <c r="TZ125" s="91">
        <f t="shared" si="1096"/>
        <v>0</v>
      </c>
      <c r="UO125" s="91">
        <f t="shared" si="1097"/>
        <v>0</v>
      </c>
      <c r="UP125" s="91">
        <f t="shared" ref="UP125:UP126" si="1144">SUMIF($C$12:$P$12,$A$1,UB125:UO125)</f>
        <v>0</v>
      </c>
      <c r="VE125" s="91">
        <f t="shared" si="1099"/>
        <v>0</v>
      </c>
      <c r="VF125" s="91">
        <f t="shared" si="1100"/>
        <v>0</v>
      </c>
      <c r="VU125" s="91">
        <f t="shared" si="1101"/>
        <v>0</v>
      </c>
      <c r="VV125" s="91">
        <f t="shared" si="1102"/>
        <v>0</v>
      </c>
      <c r="WK125" s="91">
        <f t="shared" si="1103"/>
        <v>0</v>
      </c>
      <c r="WL125" s="91">
        <f t="shared" si="1104"/>
        <v>0</v>
      </c>
      <c r="WM125" s="89"/>
      <c r="WN125" s="87">
        <f t="shared" si="1130"/>
        <v>0</v>
      </c>
      <c r="WO125" s="87">
        <f t="shared" si="1131"/>
        <v>0</v>
      </c>
      <c r="WP125" s="87">
        <f t="shared" si="1132"/>
        <v>74500</v>
      </c>
      <c r="WQ125" s="87">
        <f t="shared" si="1133"/>
        <v>894000</v>
      </c>
      <c r="WR125" s="87">
        <f t="shared" si="1134"/>
        <v>0</v>
      </c>
      <c r="WS125" s="87">
        <f t="shared" si="1135"/>
        <v>0</v>
      </c>
      <c r="WT125" s="87">
        <f t="shared" si="1136"/>
        <v>0</v>
      </c>
      <c r="WU125" s="87">
        <f t="shared" si="1137"/>
        <v>0</v>
      </c>
      <c r="WV125" s="87">
        <f t="shared" si="1138"/>
        <v>0</v>
      </c>
      <c r="WW125" s="87">
        <f t="shared" si="1139"/>
        <v>0</v>
      </c>
      <c r="WX125" s="87">
        <f t="shared" si="1140"/>
        <v>0</v>
      </c>
      <c r="WY125" s="87">
        <f t="shared" si="1141"/>
        <v>0</v>
      </c>
      <c r="WZ125" s="87">
        <f t="shared" si="1127"/>
        <v>0</v>
      </c>
      <c r="XA125" s="87">
        <f t="shared" si="1128"/>
        <v>0</v>
      </c>
      <c r="XB125" s="92">
        <f t="shared" si="1142"/>
        <v>74500</v>
      </c>
      <c r="XC125" s="92">
        <f t="shared" si="1143"/>
        <v>894000</v>
      </c>
      <c r="XD125" s="89"/>
      <c r="XE125" s="92">
        <f t="shared" si="1125"/>
        <v>327700</v>
      </c>
      <c r="XF125" s="92">
        <f t="shared" si="1126"/>
        <v>3932400</v>
      </c>
      <c r="XG125" s="89"/>
      <c r="XH125" s="92"/>
      <c r="XI125" s="92"/>
      <c r="XJ125" s="89"/>
      <c r="XK125" s="87"/>
      <c r="XL125" s="87"/>
      <c r="XM125" s="87"/>
      <c r="XN125" s="87"/>
      <c r="XO125" s="87"/>
      <c r="XP125" s="87"/>
      <c r="XQ125" s="87"/>
      <c r="XR125" s="92">
        <f t="shared" ca="1" si="1122"/>
        <v>0</v>
      </c>
      <c r="XS125" s="89"/>
      <c r="XT125" s="87"/>
      <c r="XU125" s="87"/>
      <c r="XV125" s="87"/>
      <c r="XW125" s="87"/>
      <c r="XX125" s="87"/>
      <c r="XY125" s="87"/>
      <c r="XZ125" s="87"/>
      <c r="YA125" s="92">
        <f t="shared" ca="1" si="1123"/>
        <v>0</v>
      </c>
      <c r="YB125" s="90"/>
      <c r="YC125" s="90"/>
      <c r="YD125" s="90"/>
      <c r="YE125" s="90"/>
      <c r="YF125" s="90"/>
      <c r="YG125" s="90"/>
      <c r="YH125" s="90"/>
      <c r="YI125" s="90"/>
      <c r="YJ125" s="90"/>
      <c r="YK125" s="90"/>
      <c r="YL125" s="90"/>
      <c r="YM125" s="90"/>
      <c r="YN125" s="90"/>
      <c r="YO125" s="90"/>
      <c r="YP125" s="90"/>
      <c r="YQ125" s="90"/>
      <c r="YR125" s="90"/>
      <c r="YS125" s="90"/>
      <c r="YT125" s="90"/>
      <c r="YU125" s="90"/>
      <c r="YV125" s="90"/>
      <c r="YW125" s="90"/>
      <c r="YX125" s="90"/>
      <c r="YY125" s="90"/>
      <c r="YZ125" s="90"/>
      <c r="ZA125" s="90"/>
      <c r="ZB125" s="90"/>
      <c r="ZC125" s="90"/>
      <c r="ZD125" s="90"/>
      <c r="ZE125" s="90"/>
      <c r="ZF125" s="90"/>
      <c r="ZG125" s="90"/>
      <c r="ZH125" s="90"/>
      <c r="ZI125" s="90"/>
      <c r="ZJ125" s="90"/>
      <c r="ZK125" s="90"/>
      <c r="ZL125" s="90"/>
      <c r="ZM125" s="90"/>
      <c r="ZN125" s="90"/>
      <c r="ZO125" s="90"/>
      <c r="ZP125" s="90"/>
      <c r="ZQ125" s="90"/>
      <c r="ZR125" s="90"/>
      <c r="ZS125" s="90"/>
      <c r="ZT125" s="90"/>
      <c r="ZU125" s="90"/>
      <c r="ZV125" s="90"/>
      <c r="ZW125" s="90"/>
      <c r="ZX125" s="90"/>
      <c r="ZY125" s="90"/>
      <c r="ZZ125" s="90"/>
      <c r="AAA125" s="90"/>
      <c r="AAB125" s="90"/>
      <c r="AAC125" s="90"/>
      <c r="AAD125" s="90"/>
      <c r="AAE125" s="90"/>
      <c r="AAF125" s="90"/>
      <c r="AAG125" s="90"/>
      <c r="AAH125" s="90"/>
      <c r="AAI125" s="90"/>
      <c r="AAJ125" s="90"/>
      <c r="AAK125" s="90"/>
      <c r="AAL125" s="90"/>
      <c r="AAM125" s="90"/>
      <c r="AAN125" s="90"/>
      <c r="AAO125" s="90"/>
      <c r="AAP125" s="90"/>
      <c r="AAQ125" s="90"/>
      <c r="AAR125" s="90"/>
      <c r="AAS125" s="90"/>
      <c r="AAT125" s="90"/>
      <c r="AAU125" s="90"/>
      <c r="AAV125" s="90"/>
      <c r="AAW125" s="90"/>
      <c r="AAX125" s="90"/>
      <c r="AAY125" s="90"/>
      <c r="AAZ125" s="90"/>
      <c r="ABA125" s="90"/>
      <c r="ABB125" s="90"/>
      <c r="ABC125" s="90"/>
      <c r="ABD125" s="90"/>
      <c r="ABE125" s="90"/>
      <c r="ABF125" s="90"/>
      <c r="ABG125" s="90"/>
      <c r="ABH125" s="90"/>
      <c r="ABI125" s="90"/>
      <c r="ABJ125" s="90"/>
      <c r="ABK125" s="90"/>
      <c r="ABL125" s="90"/>
      <c r="ABM125" s="90"/>
      <c r="ABN125" s="90"/>
      <c r="ABO125" s="90"/>
      <c r="ABP125" s="90"/>
      <c r="ABQ125" s="90"/>
      <c r="ABR125" s="90"/>
      <c r="ABS125" s="90"/>
      <c r="ABT125" s="90"/>
      <c r="ABU125" s="90"/>
      <c r="ABV125" s="90"/>
      <c r="ABW125" s="90"/>
      <c r="ABX125" s="90"/>
      <c r="ABY125" s="90"/>
      <c r="ABZ125" s="90"/>
      <c r="ACA125" s="90"/>
      <c r="ACB125" s="90"/>
      <c r="ACC125" s="90"/>
      <c r="ACD125" s="90"/>
      <c r="ACE125" s="90"/>
      <c r="ACF125" s="90"/>
      <c r="ACG125" s="90"/>
      <c r="ACH125" s="90"/>
      <c r="ACI125" s="90"/>
      <c r="ACJ125" s="90"/>
      <c r="ACK125" s="90"/>
      <c r="ACL125" s="90"/>
      <c r="ACM125" s="90"/>
      <c r="ACN125" s="90"/>
      <c r="ACO125" s="90"/>
      <c r="ACP125" s="90"/>
      <c r="ACQ125" s="90"/>
      <c r="ACR125" s="90"/>
      <c r="ACS125" s="90"/>
      <c r="ACT125" s="90"/>
      <c r="ACU125" s="90"/>
      <c r="ACV125" s="90"/>
      <c r="ACW125" s="90"/>
      <c r="ACX125" s="90"/>
      <c r="ACY125" s="90"/>
      <c r="ACZ125" s="90"/>
      <c r="ADA125" s="90"/>
      <c r="ADB125" s="90"/>
      <c r="ADC125" s="90"/>
      <c r="ADD125" s="90"/>
      <c r="ADE125" s="90"/>
      <c r="ADF125" s="90"/>
      <c r="ADG125" s="90"/>
      <c r="ADH125" s="90"/>
      <c r="ADI125" s="90"/>
      <c r="ADJ125" s="90"/>
      <c r="ADK125" s="90"/>
      <c r="ADL125" s="90"/>
      <c r="ADM125" s="90"/>
      <c r="ADN125" s="90"/>
      <c r="ADO125" s="90"/>
      <c r="ADP125" s="90"/>
      <c r="ADQ125" s="90"/>
      <c r="ADR125" s="90"/>
      <c r="ADS125" s="90"/>
      <c r="ADT125" s="90"/>
      <c r="ADU125" s="90"/>
      <c r="ADV125" s="90"/>
      <c r="ADW125" s="90"/>
      <c r="ADX125" s="90"/>
      <c r="ADY125" s="90"/>
      <c r="ADZ125" s="90"/>
      <c r="AEA125" s="90"/>
      <c r="AEB125" s="90"/>
      <c r="AEC125" s="90"/>
      <c r="AED125" s="90"/>
      <c r="AEE125" s="90"/>
      <c r="AEF125" s="90"/>
      <c r="AEG125" s="90"/>
      <c r="AEH125" s="90"/>
      <c r="AEI125" s="90"/>
      <c r="AEJ125" s="90"/>
      <c r="AEK125" s="90"/>
      <c r="AEL125" s="90"/>
      <c r="AEM125" s="90"/>
      <c r="AEN125" s="90"/>
      <c r="AEO125" s="90"/>
      <c r="AEP125" s="90"/>
      <c r="AEQ125" s="90"/>
      <c r="AER125" s="90"/>
      <c r="AES125" s="90"/>
      <c r="AET125" s="90"/>
      <c r="AEU125" s="90"/>
      <c r="AEV125" s="90"/>
      <c r="AEW125" s="90"/>
      <c r="AEX125" s="90"/>
      <c r="AEY125" s="90"/>
      <c r="AEZ125" s="90"/>
      <c r="AFA125" s="90"/>
      <c r="AFB125" s="90"/>
      <c r="AFC125" s="90"/>
      <c r="AFD125" s="90"/>
      <c r="AFE125" s="90"/>
      <c r="AFF125" s="90"/>
      <c r="AFG125" s="90"/>
      <c r="AFH125" s="90"/>
      <c r="AFI125" s="90"/>
      <c r="AFJ125" s="90"/>
      <c r="AFK125" s="90"/>
      <c r="AFL125" s="90"/>
      <c r="AFM125" s="90"/>
      <c r="AFN125" s="90"/>
      <c r="AFO125" s="90"/>
      <c r="AFP125" s="90"/>
      <c r="AFQ125" s="90"/>
      <c r="AFR125" s="90"/>
      <c r="AFS125" s="90"/>
      <c r="AFT125" s="90"/>
      <c r="AFU125" s="90"/>
      <c r="AFV125" s="90"/>
      <c r="AFW125" s="90"/>
      <c r="AFX125" s="90"/>
      <c r="AFY125" s="90"/>
      <c r="AFZ125" s="90"/>
      <c r="AGA125" s="90"/>
      <c r="AGB125" s="90"/>
      <c r="AGC125" s="90"/>
      <c r="AGD125" s="90"/>
      <c r="AGE125" s="90"/>
      <c r="AGF125" s="90"/>
      <c r="AGG125" s="90"/>
      <c r="AGH125" s="90"/>
      <c r="AGI125" s="90"/>
      <c r="AGJ125" s="90"/>
      <c r="AGK125" s="90"/>
      <c r="AGL125" s="90"/>
      <c r="AGM125" s="90"/>
      <c r="AGN125" s="90"/>
      <c r="AGO125" s="90"/>
      <c r="AGP125" s="90"/>
      <c r="AGQ125" s="90"/>
      <c r="AGR125" s="90"/>
      <c r="AGS125" s="90"/>
      <c r="AGT125" s="90"/>
      <c r="AGU125" s="90"/>
      <c r="AGV125" s="90"/>
      <c r="AGW125" s="90"/>
      <c r="AGX125" s="90"/>
      <c r="AGY125" s="90"/>
      <c r="AGZ125" s="90"/>
      <c r="AHA125" s="90"/>
      <c r="AHB125" s="90"/>
      <c r="AHC125" s="90"/>
      <c r="AHD125" s="90"/>
      <c r="AHE125" s="90"/>
      <c r="AHF125" s="90"/>
      <c r="AHG125" s="90"/>
      <c r="AHH125" s="90"/>
      <c r="AHI125" s="90"/>
      <c r="AHJ125" s="90"/>
      <c r="AHK125" s="90"/>
      <c r="AHL125" s="90"/>
      <c r="AHM125" s="90"/>
      <c r="AHN125" s="90"/>
      <c r="AHO125" s="90"/>
      <c r="AHP125" s="90"/>
      <c r="AHQ125" s="90"/>
      <c r="AHR125" s="90"/>
      <c r="AHS125" s="90"/>
      <c r="AHT125" s="90"/>
      <c r="AHU125" s="90"/>
      <c r="AHV125" s="90"/>
      <c r="AHW125" s="90"/>
      <c r="AHX125" s="90"/>
      <c r="AHY125" s="90"/>
      <c r="AHZ125" s="90"/>
      <c r="AIA125" s="90"/>
      <c r="AIB125" s="90"/>
      <c r="AIC125" s="90"/>
      <c r="AID125" s="90"/>
      <c r="AIE125" s="90"/>
      <c r="AIF125" s="90"/>
      <c r="AIG125" s="90"/>
      <c r="AIH125" s="90"/>
      <c r="AII125" s="90"/>
      <c r="AIJ125" s="90"/>
      <c r="AIK125" s="90"/>
      <c r="AIL125" s="90"/>
      <c r="AIM125" s="90"/>
      <c r="AIN125" s="90"/>
      <c r="AIO125" s="90"/>
      <c r="AIP125" s="90"/>
      <c r="AIQ125" s="90"/>
      <c r="AIR125" s="90"/>
      <c r="AIS125" s="90"/>
      <c r="AIT125" s="90"/>
      <c r="AIU125" s="90"/>
      <c r="AIV125" s="90"/>
      <c r="AIW125" s="90"/>
      <c r="AIX125" s="90"/>
      <c r="AIY125" s="90"/>
      <c r="AIZ125" s="90"/>
      <c r="AJA125" s="90"/>
      <c r="AJB125" s="90"/>
      <c r="AJC125" s="90"/>
      <c r="AJD125" s="90"/>
      <c r="AJE125" s="90"/>
      <c r="AJF125" s="90"/>
      <c r="AJG125" s="90"/>
      <c r="AJH125" s="90"/>
      <c r="AJI125" s="90"/>
      <c r="AJJ125" s="90"/>
      <c r="AJK125" s="90"/>
      <c r="AJL125" s="90"/>
      <c r="AJM125" s="90"/>
      <c r="AJN125" s="90"/>
      <c r="AJO125" s="90"/>
      <c r="AJP125" s="90"/>
      <c r="AJQ125" s="90"/>
      <c r="AJR125" s="90"/>
      <c r="AJS125" s="90"/>
      <c r="AJT125" s="90"/>
      <c r="AJU125" s="90"/>
      <c r="AJV125" s="90"/>
      <c r="AJW125" s="90"/>
      <c r="AJX125" s="90"/>
      <c r="AJY125" s="90"/>
      <c r="AJZ125" s="90"/>
      <c r="AKA125" s="90"/>
      <c r="AKB125" s="90"/>
      <c r="AKC125" s="90"/>
      <c r="AKD125" s="90"/>
      <c r="AKE125" s="90"/>
      <c r="AKF125" s="90"/>
      <c r="AKG125" s="90"/>
      <c r="AKH125" s="90"/>
      <c r="AKI125" s="90"/>
      <c r="AKJ125" s="90"/>
      <c r="AKK125" s="90"/>
      <c r="AKL125" s="90"/>
      <c r="AKM125" s="90"/>
      <c r="AKN125" s="90"/>
      <c r="AKO125" s="90"/>
      <c r="AKP125" s="90"/>
      <c r="AKQ125" s="90"/>
      <c r="AKR125" s="90"/>
      <c r="AKS125" s="90"/>
      <c r="AKT125" s="90"/>
      <c r="AKU125" s="90"/>
      <c r="AKV125" s="90"/>
      <c r="AKW125" s="90"/>
      <c r="AKX125" s="90"/>
      <c r="AKY125" s="90"/>
      <c r="AKZ125" s="90"/>
      <c r="ALA125" s="90"/>
      <c r="ALB125" s="90"/>
      <c r="ALC125" s="90"/>
      <c r="ALD125" s="90"/>
      <c r="ALE125" s="90"/>
      <c r="ALF125" s="90"/>
      <c r="ALG125" s="90"/>
      <c r="ALH125" s="90"/>
      <c r="ALI125" s="90"/>
      <c r="ALJ125" s="90"/>
      <c r="ALK125" s="90"/>
      <c r="ALL125" s="90"/>
      <c r="ALM125" s="90"/>
      <c r="ALN125" s="90"/>
      <c r="ALO125" s="90"/>
      <c r="ALP125" s="90"/>
      <c r="ALQ125" s="90"/>
      <c r="ALR125" s="90"/>
      <c r="ALS125" s="90"/>
      <c r="ALT125" s="90"/>
      <c r="ALU125" s="90"/>
      <c r="ALV125" s="90"/>
      <c r="ALW125" s="90"/>
      <c r="ALX125" s="90"/>
      <c r="ALY125" s="90"/>
      <c r="ALZ125" s="90"/>
      <c r="AMA125" s="90"/>
      <c r="AMB125" s="90"/>
      <c r="AMC125" s="90"/>
    </row>
    <row r="126" spans="1:1017">
      <c r="A126" s="98" t="s">
        <v>47</v>
      </c>
      <c r="B126" s="90" t="str">
        <f t="shared" si="1129"/>
        <v>Ikan_05 (Ikan betutu)</v>
      </c>
      <c r="Q126" s="91">
        <f t="shared" si="1029"/>
        <v>0</v>
      </c>
      <c r="R126" s="91">
        <f t="shared" si="1030"/>
        <v>0</v>
      </c>
      <c r="AG126" s="91">
        <f t="shared" si="1031"/>
        <v>0</v>
      </c>
      <c r="AH126" s="91">
        <f t="shared" si="1032"/>
        <v>0</v>
      </c>
      <c r="AW126" s="91">
        <f t="shared" si="1033"/>
        <v>0</v>
      </c>
      <c r="AX126" s="91">
        <f t="shared" si="1034"/>
        <v>0</v>
      </c>
      <c r="BM126" s="91">
        <f t="shared" si="1035"/>
        <v>0</v>
      </c>
      <c r="BN126" s="91">
        <f t="shared" si="1036"/>
        <v>0</v>
      </c>
      <c r="CC126" s="91">
        <f t="shared" si="1037"/>
        <v>0</v>
      </c>
      <c r="CD126" s="91">
        <f t="shared" si="1038"/>
        <v>0</v>
      </c>
      <c r="CS126" s="91">
        <f t="shared" si="1039"/>
        <v>0</v>
      </c>
      <c r="CT126" s="91">
        <f t="shared" si="1040"/>
        <v>0</v>
      </c>
      <c r="DI126" s="91">
        <f t="shared" si="1041"/>
        <v>0</v>
      </c>
      <c r="DJ126" s="91">
        <f t="shared" si="1042"/>
        <v>0</v>
      </c>
      <c r="DY126" s="91">
        <f t="shared" si="1043"/>
        <v>0</v>
      </c>
      <c r="DZ126" s="91">
        <f t="shared" si="1044"/>
        <v>0</v>
      </c>
      <c r="EO126" s="91">
        <f t="shared" si="1045"/>
        <v>0</v>
      </c>
      <c r="EP126" s="91">
        <f t="shared" si="1046"/>
        <v>0</v>
      </c>
      <c r="FE126" s="91">
        <f t="shared" si="1047"/>
        <v>0</v>
      </c>
      <c r="FF126" s="91">
        <f t="shared" si="1048"/>
        <v>0</v>
      </c>
      <c r="FU126" s="91">
        <f t="shared" si="1049"/>
        <v>0</v>
      </c>
      <c r="FV126" s="91">
        <f t="shared" si="1050"/>
        <v>0</v>
      </c>
      <c r="GK126" s="91">
        <f t="shared" si="1051"/>
        <v>0</v>
      </c>
      <c r="GL126" s="91">
        <f t="shared" si="1052"/>
        <v>0</v>
      </c>
      <c r="HA126" s="91">
        <f t="shared" si="1053"/>
        <v>0</v>
      </c>
      <c r="HB126" s="91">
        <f t="shared" si="1054"/>
        <v>0</v>
      </c>
      <c r="HQ126" s="91">
        <f t="shared" si="1055"/>
        <v>0</v>
      </c>
      <c r="HR126" s="91">
        <f t="shared" si="1056"/>
        <v>0</v>
      </c>
      <c r="IG126" s="91">
        <f t="shared" si="1057"/>
        <v>0</v>
      </c>
      <c r="IH126" s="91">
        <f t="shared" si="1058"/>
        <v>0</v>
      </c>
      <c r="IW126" s="91">
        <f t="shared" si="1059"/>
        <v>0</v>
      </c>
      <c r="IX126" s="91">
        <f t="shared" si="1060"/>
        <v>0</v>
      </c>
      <c r="JM126" s="91">
        <f t="shared" si="1061"/>
        <v>0</v>
      </c>
      <c r="JN126" s="91">
        <f t="shared" si="1062"/>
        <v>0</v>
      </c>
      <c r="KC126" s="91">
        <f t="shared" si="1063"/>
        <v>0</v>
      </c>
      <c r="KD126" s="91">
        <f t="shared" si="1064"/>
        <v>0</v>
      </c>
      <c r="KS126" s="91">
        <f t="shared" si="1065"/>
        <v>0</v>
      </c>
      <c r="KT126" s="91">
        <f t="shared" si="1066"/>
        <v>0</v>
      </c>
      <c r="LI126" s="91">
        <f t="shared" si="1067"/>
        <v>0</v>
      </c>
      <c r="LJ126" s="91">
        <f t="shared" si="1068"/>
        <v>0</v>
      </c>
      <c r="LY126" s="91">
        <f t="shared" si="1069"/>
        <v>0</v>
      </c>
      <c r="LZ126" s="91">
        <f t="shared" si="1070"/>
        <v>0</v>
      </c>
      <c r="MO126" s="91">
        <f t="shared" si="1071"/>
        <v>0</v>
      </c>
      <c r="MP126" s="91">
        <f t="shared" si="1072"/>
        <v>0</v>
      </c>
      <c r="NE126" s="91">
        <f t="shared" si="1073"/>
        <v>0</v>
      </c>
      <c r="NF126" s="91">
        <f t="shared" si="1074"/>
        <v>0</v>
      </c>
      <c r="NU126" s="91">
        <f t="shared" si="1075"/>
        <v>0</v>
      </c>
      <c r="NV126" s="91">
        <f t="shared" si="1076"/>
        <v>0</v>
      </c>
      <c r="OK126" s="91">
        <f t="shared" si="1077"/>
        <v>0</v>
      </c>
      <c r="OL126" s="91">
        <f t="shared" si="1078"/>
        <v>0</v>
      </c>
      <c r="PA126" s="91">
        <f t="shared" si="1079"/>
        <v>0</v>
      </c>
      <c r="PB126" s="91">
        <f t="shared" si="1080"/>
        <v>0</v>
      </c>
      <c r="PQ126" s="91">
        <f t="shared" si="1081"/>
        <v>0</v>
      </c>
      <c r="PR126" s="91">
        <f t="shared" si="1082"/>
        <v>0</v>
      </c>
      <c r="QG126" s="91">
        <f t="shared" si="1083"/>
        <v>0</v>
      </c>
      <c r="QH126" s="91">
        <f t="shared" si="1084"/>
        <v>0</v>
      </c>
      <c r="QW126" s="91">
        <f t="shared" si="1085"/>
        <v>0</v>
      </c>
      <c r="QX126" s="91">
        <f t="shared" si="1086"/>
        <v>0</v>
      </c>
      <c r="RM126" s="91">
        <f t="shared" si="1087"/>
        <v>0</v>
      </c>
      <c r="RN126" s="91">
        <f t="shared" si="1088"/>
        <v>0</v>
      </c>
      <c r="SC126" s="91">
        <f t="shared" si="1089"/>
        <v>0</v>
      </c>
      <c r="SD126" s="91">
        <f t="shared" si="1090"/>
        <v>0</v>
      </c>
      <c r="SS126" s="91">
        <f t="shared" si="1091"/>
        <v>0</v>
      </c>
      <c r="ST126" s="91">
        <f t="shared" si="1092"/>
        <v>0</v>
      </c>
      <c r="TI126" s="91">
        <f t="shared" si="1093"/>
        <v>0</v>
      </c>
      <c r="TJ126" s="91">
        <f t="shared" si="1094"/>
        <v>0</v>
      </c>
      <c r="TY126" s="91">
        <f t="shared" si="1095"/>
        <v>0</v>
      </c>
      <c r="TZ126" s="91">
        <f t="shared" si="1096"/>
        <v>0</v>
      </c>
      <c r="UO126" s="91">
        <f t="shared" si="1097"/>
        <v>0</v>
      </c>
      <c r="UP126" s="91">
        <f t="shared" si="1144"/>
        <v>0</v>
      </c>
      <c r="VE126" s="91">
        <f t="shared" si="1099"/>
        <v>0</v>
      </c>
      <c r="VF126" s="91">
        <f t="shared" si="1100"/>
        <v>0</v>
      </c>
      <c r="VU126" s="91">
        <f t="shared" si="1101"/>
        <v>0</v>
      </c>
      <c r="VV126" s="91">
        <f t="shared" si="1102"/>
        <v>0</v>
      </c>
      <c r="WK126" s="91">
        <f t="shared" si="1103"/>
        <v>0</v>
      </c>
      <c r="WL126" s="91">
        <f t="shared" si="1104"/>
        <v>0</v>
      </c>
      <c r="WM126" s="89"/>
      <c r="WN126" s="87">
        <f t="shared" si="1130"/>
        <v>0</v>
      </c>
      <c r="WO126" s="87">
        <f t="shared" si="1131"/>
        <v>0</v>
      </c>
      <c r="WP126" s="87">
        <f t="shared" si="1132"/>
        <v>0</v>
      </c>
      <c r="WQ126" s="87">
        <f t="shared" si="1133"/>
        <v>0</v>
      </c>
      <c r="WR126" s="87">
        <f t="shared" si="1134"/>
        <v>0</v>
      </c>
      <c r="WS126" s="87">
        <f t="shared" si="1135"/>
        <v>0</v>
      </c>
      <c r="WT126" s="87">
        <f t="shared" si="1136"/>
        <v>0</v>
      </c>
      <c r="WU126" s="87">
        <f t="shared" si="1137"/>
        <v>0</v>
      </c>
      <c r="WV126" s="87">
        <f t="shared" si="1138"/>
        <v>0</v>
      </c>
      <c r="WW126" s="87">
        <f t="shared" si="1139"/>
        <v>0</v>
      </c>
      <c r="WX126" s="87">
        <f t="shared" si="1140"/>
        <v>0</v>
      </c>
      <c r="WY126" s="87">
        <f t="shared" si="1141"/>
        <v>0</v>
      </c>
      <c r="WZ126" s="87">
        <f t="shared" si="1127"/>
        <v>0</v>
      </c>
      <c r="XA126" s="87">
        <f t="shared" si="1128"/>
        <v>0</v>
      </c>
      <c r="XB126" s="92">
        <f t="shared" si="1142"/>
        <v>0</v>
      </c>
      <c r="XC126" s="92">
        <f t="shared" si="1143"/>
        <v>0</v>
      </c>
      <c r="XD126" s="89"/>
      <c r="XE126" s="92">
        <f t="shared" si="1125"/>
        <v>0</v>
      </c>
      <c r="XF126" s="92">
        <f t="shared" si="1126"/>
        <v>0</v>
      </c>
      <c r="XG126" s="89"/>
      <c r="XH126" s="92"/>
      <c r="XI126" s="92"/>
      <c r="XJ126" s="89"/>
      <c r="XK126" s="87"/>
      <c r="XL126" s="87"/>
      <c r="XM126" s="87"/>
      <c r="XN126" s="87"/>
      <c r="XO126" s="87"/>
      <c r="XP126" s="87"/>
      <c r="XQ126" s="87"/>
      <c r="XR126" s="92">
        <f t="shared" ca="1" si="1122"/>
        <v>0</v>
      </c>
      <c r="XS126" s="89"/>
      <c r="XT126" s="87"/>
      <c r="XU126" s="87"/>
      <c r="XV126" s="87"/>
      <c r="XW126" s="87"/>
      <c r="XX126" s="87"/>
      <c r="XY126" s="87"/>
      <c r="XZ126" s="87"/>
      <c r="YA126" s="92">
        <f t="shared" ca="1" si="1123"/>
        <v>0</v>
      </c>
      <c r="YB126" s="90"/>
      <c r="YC126" s="90"/>
      <c r="YD126" s="90"/>
      <c r="YE126" s="90"/>
      <c r="YF126" s="90"/>
      <c r="YG126" s="90"/>
      <c r="YH126" s="90"/>
      <c r="YI126" s="90"/>
      <c r="YJ126" s="90"/>
      <c r="YK126" s="90"/>
      <c r="YL126" s="90"/>
      <c r="YM126" s="90"/>
      <c r="YN126" s="90"/>
      <c r="YO126" s="90"/>
      <c r="YP126" s="90"/>
      <c r="YQ126" s="90"/>
      <c r="YR126" s="90"/>
      <c r="YS126" s="90"/>
      <c r="YT126" s="90"/>
      <c r="YU126" s="90"/>
      <c r="YV126" s="90"/>
      <c r="YW126" s="90"/>
      <c r="YX126" s="90"/>
      <c r="YY126" s="90"/>
      <c r="YZ126" s="90"/>
      <c r="ZA126" s="90"/>
      <c r="ZB126" s="90"/>
      <c r="ZC126" s="90"/>
      <c r="ZD126" s="90"/>
      <c r="ZE126" s="90"/>
      <c r="ZF126" s="90"/>
      <c r="ZG126" s="90"/>
      <c r="ZH126" s="90"/>
      <c r="ZI126" s="90"/>
      <c r="ZJ126" s="90"/>
      <c r="ZK126" s="90"/>
      <c r="ZL126" s="90"/>
      <c r="ZM126" s="90"/>
      <c r="ZN126" s="90"/>
      <c r="ZO126" s="90"/>
      <c r="ZP126" s="90"/>
      <c r="ZQ126" s="90"/>
      <c r="ZR126" s="90"/>
      <c r="ZS126" s="90"/>
      <c r="ZT126" s="90"/>
      <c r="ZU126" s="90"/>
      <c r="ZV126" s="90"/>
      <c r="ZW126" s="90"/>
      <c r="ZX126" s="90"/>
      <c r="ZY126" s="90"/>
      <c r="ZZ126" s="90"/>
      <c r="AAA126" s="90"/>
      <c r="AAB126" s="90"/>
      <c r="AAC126" s="90"/>
      <c r="AAD126" s="90"/>
      <c r="AAE126" s="90"/>
      <c r="AAF126" s="90"/>
      <c r="AAG126" s="90"/>
      <c r="AAH126" s="90"/>
      <c r="AAI126" s="90"/>
      <c r="AAJ126" s="90"/>
      <c r="AAK126" s="90"/>
      <c r="AAL126" s="90"/>
      <c r="AAM126" s="90"/>
      <c r="AAN126" s="90"/>
      <c r="AAO126" s="90"/>
      <c r="AAP126" s="90"/>
      <c r="AAQ126" s="90"/>
      <c r="AAR126" s="90"/>
      <c r="AAS126" s="90"/>
      <c r="AAT126" s="90"/>
      <c r="AAU126" s="90"/>
      <c r="AAV126" s="90"/>
      <c r="AAW126" s="90"/>
      <c r="AAX126" s="90"/>
      <c r="AAY126" s="90"/>
      <c r="AAZ126" s="90"/>
      <c r="ABA126" s="90"/>
      <c r="ABB126" s="90"/>
      <c r="ABC126" s="90"/>
      <c r="ABD126" s="90"/>
      <c r="ABE126" s="90"/>
      <c r="ABF126" s="90"/>
      <c r="ABG126" s="90"/>
      <c r="ABH126" s="90"/>
      <c r="ABI126" s="90"/>
      <c r="ABJ126" s="90"/>
      <c r="ABK126" s="90"/>
      <c r="ABL126" s="90"/>
      <c r="ABM126" s="90"/>
      <c r="ABN126" s="90"/>
      <c r="ABO126" s="90"/>
      <c r="ABP126" s="90"/>
      <c r="ABQ126" s="90"/>
      <c r="ABR126" s="90"/>
      <c r="ABS126" s="90"/>
      <c r="ABT126" s="90"/>
      <c r="ABU126" s="90"/>
      <c r="ABV126" s="90"/>
      <c r="ABW126" s="90"/>
      <c r="ABX126" s="90"/>
      <c r="ABY126" s="90"/>
      <c r="ABZ126" s="90"/>
      <c r="ACA126" s="90"/>
      <c r="ACB126" s="90"/>
      <c r="ACC126" s="90"/>
      <c r="ACD126" s="90"/>
      <c r="ACE126" s="90"/>
      <c r="ACF126" s="90"/>
      <c r="ACG126" s="90"/>
      <c r="ACH126" s="90"/>
      <c r="ACI126" s="90"/>
      <c r="ACJ126" s="90"/>
      <c r="ACK126" s="90"/>
      <c r="ACL126" s="90"/>
      <c r="ACM126" s="90"/>
      <c r="ACN126" s="90"/>
      <c r="ACO126" s="90"/>
      <c r="ACP126" s="90"/>
      <c r="ACQ126" s="90"/>
      <c r="ACR126" s="90"/>
      <c r="ACS126" s="90"/>
      <c r="ACT126" s="90"/>
      <c r="ACU126" s="90"/>
      <c r="ACV126" s="90"/>
      <c r="ACW126" s="90"/>
      <c r="ACX126" s="90"/>
      <c r="ACY126" s="90"/>
      <c r="ACZ126" s="90"/>
      <c r="ADA126" s="90"/>
      <c r="ADB126" s="90"/>
      <c r="ADC126" s="90"/>
      <c r="ADD126" s="90"/>
      <c r="ADE126" s="90"/>
      <c r="ADF126" s="90"/>
      <c r="ADG126" s="90"/>
      <c r="ADH126" s="90"/>
      <c r="ADI126" s="90"/>
      <c r="ADJ126" s="90"/>
      <c r="ADK126" s="90"/>
      <c r="ADL126" s="90"/>
      <c r="ADM126" s="90"/>
      <c r="ADN126" s="90"/>
      <c r="ADO126" s="90"/>
      <c r="ADP126" s="90"/>
      <c r="ADQ126" s="90"/>
      <c r="ADR126" s="90"/>
      <c r="ADS126" s="90"/>
      <c r="ADT126" s="90"/>
      <c r="ADU126" s="90"/>
      <c r="ADV126" s="90"/>
      <c r="ADW126" s="90"/>
      <c r="ADX126" s="90"/>
      <c r="ADY126" s="90"/>
      <c r="ADZ126" s="90"/>
      <c r="AEA126" s="90"/>
      <c r="AEB126" s="90"/>
      <c r="AEC126" s="90"/>
      <c r="AED126" s="90"/>
      <c r="AEE126" s="90"/>
      <c r="AEF126" s="90"/>
      <c r="AEG126" s="90"/>
      <c r="AEH126" s="90"/>
      <c r="AEI126" s="90"/>
      <c r="AEJ126" s="90"/>
      <c r="AEK126" s="90"/>
      <c r="AEL126" s="90"/>
      <c r="AEM126" s="90"/>
      <c r="AEN126" s="90"/>
      <c r="AEO126" s="90"/>
      <c r="AEP126" s="90"/>
      <c r="AEQ126" s="90"/>
      <c r="AER126" s="90"/>
      <c r="AES126" s="90"/>
      <c r="AET126" s="90"/>
      <c r="AEU126" s="90"/>
      <c r="AEV126" s="90"/>
      <c r="AEW126" s="90"/>
      <c r="AEX126" s="90"/>
      <c r="AEY126" s="90"/>
      <c r="AEZ126" s="90"/>
      <c r="AFA126" s="90"/>
      <c r="AFB126" s="90"/>
      <c r="AFC126" s="90"/>
      <c r="AFD126" s="90"/>
      <c r="AFE126" s="90"/>
      <c r="AFF126" s="90"/>
      <c r="AFG126" s="90"/>
      <c r="AFH126" s="90"/>
      <c r="AFI126" s="90"/>
      <c r="AFJ126" s="90"/>
      <c r="AFK126" s="90"/>
      <c r="AFL126" s="90"/>
      <c r="AFM126" s="90"/>
      <c r="AFN126" s="90"/>
      <c r="AFO126" s="90"/>
      <c r="AFP126" s="90"/>
      <c r="AFQ126" s="90"/>
      <c r="AFR126" s="90"/>
      <c r="AFS126" s="90"/>
      <c r="AFT126" s="90"/>
      <c r="AFU126" s="90"/>
      <c r="AFV126" s="90"/>
      <c r="AFW126" s="90"/>
      <c r="AFX126" s="90"/>
      <c r="AFY126" s="90"/>
      <c r="AFZ126" s="90"/>
      <c r="AGA126" s="90"/>
      <c r="AGB126" s="90"/>
      <c r="AGC126" s="90"/>
      <c r="AGD126" s="90"/>
      <c r="AGE126" s="90"/>
      <c r="AGF126" s="90"/>
      <c r="AGG126" s="90"/>
      <c r="AGH126" s="90"/>
      <c r="AGI126" s="90"/>
      <c r="AGJ126" s="90"/>
      <c r="AGK126" s="90"/>
      <c r="AGL126" s="90"/>
      <c r="AGM126" s="90"/>
      <c r="AGN126" s="90"/>
      <c r="AGO126" s="90"/>
      <c r="AGP126" s="90"/>
      <c r="AGQ126" s="90"/>
      <c r="AGR126" s="90"/>
      <c r="AGS126" s="90"/>
      <c r="AGT126" s="90"/>
      <c r="AGU126" s="90"/>
      <c r="AGV126" s="90"/>
      <c r="AGW126" s="90"/>
      <c r="AGX126" s="90"/>
      <c r="AGY126" s="90"/>
      <c r="AGZ126" s="90"/>
      <c r="AHA126" s="90"/>
      <c r="AHB126" s="90"/>
      <c r="AHC126" s="90"/>
      <c r="AHD126" s="90"/>
      <c r="AHE126" s="90"/>
      <c r="AHF126" s="90"/>
      <c r="AHG126" s="90"/>
      <c r="AHH126" s="90"/>
      <c r="AHI126" s="90"/>
      <c r="AHJ126" s="90"/>
      <c r="AHK126" s="90"/>
      <c r="AHL126" s="90"/>
      <c r="AHM126" s="90"/>
      <c r="AHN126" s="90"/>
      <c r="AHO126" s="90"/>
      <c r="AHP126" s="90"/>
      <c r="AHQ126" s="90"/>
      <c r="AHR126" s="90"/>
      <c r="AHS126" s="90"/>
      <c r="AHT126" s="90"/>
      <c r="AHU126" s="90"/>
      <c r="AHV126" s="90"/>
      <c r="AHW126" s="90"/>
      <c r="AHX126" s="90"/>
      <c r="AHY126" s="90"/>
      <c r="AHZ126" s="90"/>
      <c r="AIA126" s="90"/>
      <c r="AIB126" s="90"/>
      <c r="AIC126" s="90"/>
      <c r="AID126" s="90"/>
      <c r="AIE126" s="90"/>
      <c r="AIF126" s="90"/>
      <c r="AIG126" s="90"/>
      <c r="AIH126" s="90"/>
      <c r="AII126" s="90"/>
      <c r="AIJ126" s="90"/>
      <c r="AIK126" s="90"/>
      <c r="AIL126" s="90"/>
      <c r="AIM126" s="90"/>
      <c r="AIN126" s="90"/>
      <c r="AIO126" s="90"/>
      <c r="AIP126" s="90"/>
      <c r="AIQ126" s="90"/>
      <c r="AIR126" s="90"/>
      <c r="AIS126" s="90"/>
      <c r="AIT126" s="90"/>
      <c r="AIU126" s="90"/>
      <c r="AIV126" s="90"/>
      <c r="AIW126" s="90"/>
      <c r="AIX126" s="90"/>
      <c r="AIY126" s="90"/>
      <c r="AIZ126" s="90"/>
      <c r="AJA126" s="90"/>
      <c r="AJB126" s="90"/>
      <c r="AJC126" s="90"/>
      <c r="AJD126" s="90"/>
      <c r="AJE126" s="90"/>
      <c r="AJF126" s="90"/>
      <c r="AJG126" s="90"/>
      <c r="AJH126" s="90"/>
      <c r="AJI126" s="90"/>
      <c r="AJJ126" s="90"/>
      <c r="AJK126" s="90"/>
      <c r="AJL126" s="90"/>
      <c r="AJM126" s="90"/>
      <c r="AJN126" s="90"/>
      <c r="AJO126" s="90"/>
      <c r="AJP126" s="90"/>
      <c r="AJQ126" s="90"/>
      <c r="AJR126" s="90"/>
      <c r="AJS126" s="90"/>
      <c r="AJT126" s="90"/>
      <c r="AJU126" s="90"/>
      <c r="AJV126" s="90"/>
      <c r="AJW126" s="90"/>
      <c r="AJX126" s="90"/>
      <c r="AJY126" s="90"/>
      <c r="AJZ126" s="90"/>
      <c r="AKA126" s="90"/>
      <c r="AKB126" s="90"/>
      <c r="AKC126" s="90"/>
      <c r="AKD126" s="90"/>
      <c r="AKE126" s="90"/>
      <c r="AKF126" s="90"/>
      <c r="AKG126" s="90"/>
      <c r="AKH126" s="90"/>
      <c r="AKI126" s="90"/>
      <c r="AKJ126" s="90"/>
      <c r="AKK126" s="90"/>
      <c r="AKL126" s="90"/>
      <c r="AKM126" s="90"/>
      <c r="AKN126" s="90"/>
      <c r="AKO126" s="90"/>
      <c r="AKP126" s="90"/>
      <c r="AKQ126" s="90"/>
      <c r="AKR126" s="90"/>
      <c r="AKS126" s="90"/>
      <c r="AKT126" s="90"/>
      <c r="AKU126" s="90"/>
      <c r="AKV126" s="90"/>
      <c r="AKW126" s="90"/>
      <c r="AKX126" s="90"/>
      <c r="AKY126" s="90"/>
      <c r="AKZ126" s="90"/>
      <c r="ALA126" s="90"/>
      <c r="ALB126" s="90"/>
      <c r="ALC126" s="90"/>
      <c r="ALD126" s="90"/>
      <c r="ALE126" s="90"/>
      <c r="ALF126" s="90"/>
      <c r="ALG126" s="90"/>
      <c r="ALH126" s="90"/>
      <c r="ALI126" s="90"/>
      <c r="ALJ126" s="90"/>
      <c r="ALK126" s="90"/>
      <c r="ALL126" s="90"/>
      <c r="ALM126" s="90"/>
      <c r="ALN126" s="90"/>
      <c r="ALO126" s="90"/>
      <c r="ALP126" s="90"/>
      <c r="ALQ126" s="90"/>
      <c r="ALR126" s="90"/>
      <c r="ALS126" s="90"/>
      <c r="ALT126" s="90"/>
      <c r="ALU126" s="90"/>
      <c r="ALV126" s="90"/>
      <c r="ALW126" s="90"/>
      <c r="ALX126" s="90"/>
      <c r="ALY126" s="90"/>
      <c r="ALZ126" s="90"/>
      <c r="AMA126" s="90"/>
      <c r="AMB126" s="90"/>
      <c r="AMC126" s="90"/>
    </row>
    <row r="127" spans="1:1017" s="100" customFormat="1">
      <c r="A127" s="100">
        <v>4</v>
      </c>
      <c r="B127" s="100" t="s">
        <v>59</v>
      </c>
      <c r="C127" s="100">
        <f t="shared" ref="C127:R127" si="1145">SUM(C128:C164)</f>
        <v>0</v>
      </c>
      <c r="D127" s="100">
        <f t="shared" si="1145"/>
        <v>0</v>
      </c>
      <c r="E127" s="100">
        <f t="shared" si="1145"/>
        <v>685250</v>
      </c>
      <c r="F127" s="100">
        <f t="shared" si="1145"/>
        <v>22405000</v>
      </c>
      <c r="G127" s="100">
        <f t="shared" si="1145"/>
        <v>0</v>
      </c>
      <c r="H127" s="100">
        <f t="shared" si="1145"/>
        <v>0</v>
      </c>
      <c r="I127" s="100">
        <f t="shared" si="1145"/>
        <v>50750</v>
      </c>
      <c r="J127" s="100">
        <f t="shared" si="1145"/>
        <v>1140550</v>
      </c>
      <c r="K127" s="100">
        <f t="shared" si="1145"/>
        <v>0</v>
      </c>
      <c r="L127" s="100">
        <f t="shared" si="1145"/>
        <v>0</v>
      </c>
      <c r="M127" s="100">
        <f t="shared" si="1145"/>
        <v>500</v>
      </c>
      <c r="N127" s="100">
        <f t="shared" si="1145"/>
        <v>10000</v>
      </c>
      <c r="O127" s="100">
        <f t="shared" si="1145"/>
        <v>0</v>
      </c>
      <c r="P127" s="100">
        <f t="shared" si="1145"/>
        <v>0</v>
      </c>
      <c r="Q127" s="728">
        <f t="shared" si="1145"/>
        <v>736500</v>
      </c>
      <c r="R127" s="728">
        <f t="shared" si="1145"/>
        <v>23555550</v>
      </c>
      <c r="S127" s="100">
        <f t="shared" ref="S127:CD127" si="1146">SUM(S128:S164)</f>
        <v>9795</v>
      </c>
      <c r="T127" s="100">
        <f t="shared" si="1146"/>
        <v>968075</v>
      </c>
      <c r="U127" s="100">
        <f t="shared" si="1146"/>
        <v>1686755</v>
      </c>
      <c r="V127" s="100">
        <f t="shared" si="1146"/>
        <v>87732050</v>
      </c>
      <c r="W127" s="100">
        <f t="shared" si="1146"/>
        <v>0</v>
      </c>
      <c r="X127" s="100">
        <f t="shared" si="1146"/>
        <v>0</v>
      </c>
      <c r="Y127" s="100">
        <f t="shared" si="1146"/>
        <v>778410</v>
      </c>
      <c r="Z127" s="100">
        <f t="shared" si="1146"/>
        <v>15848220</v>
      </c>
      <c r="AA127" s="100">
        <f t="shared" si="1146"/>
        <v>5380</v>
      </c>
      <c r="AB127" s="100">
        <f t="shared" si="1146"/>
        <v>146975</v>
      </c>
      <c r="AC127" s="100">
        <f t="shared" si="1146"/>
        <v>3195</v>
      </c>
      <c r="AD127" s="100">
        <f t="shared" si="1146"/>
        <v>88500</v>
      </c>
      <c r="AE127" s="100">
        <f t="shared" si="1146"/>
        <v>2360</v>
      </c>
      <c r="AF127" s="100">
        <f t="shared" si="1146"/>
        <v>54475</v>
      </c>
      <c r="AG127" s="728">
        <f t="shared" si="1146"/>
        <v>2485895</v>
      </c>
      <c r="AH127" s="728">
        <f t="shared" si="1146"/>
        <v>104838295</v>
      </c>
      <c r="AI127" s="100">
        <f t="shared" si="1146"/>
        <v>0</v>
      </c>
      <c r="AJ127" s="100">
        <f t="shared" si="1146"/>
        <v>0</v>
      </c>
      <c r="AK127" s="100">
        <f t="shared" si="1146"/>
        <v>36200</v>
      </c>
      <c r="AL127" s="100">
        <f t="shared" si="1146"/>
        <v>2353000</v>
      </c>
      <c r="AM127" s="100">
        <f t="shared" si="1146"/>
        <v>0</v>
      </c>
      <c r="AN127" s="100">
        <f t="shared" si="1146"/>
        <v>0</v>
      </c>
      <c r="AO127" s="100">
        <f t="shared" si="1146"/>
        <v>1452700</v>
      </c>
      <c r="AP127" s="100">
        <f t="shared" si="1146"/>
        <v>31596400</v>
      </c>
      <c r="AQ127" s="100">
        <f t="shared" si="1146"/>
        <v>200</v>
      </c>
      <c r="AR127" s="100">
        <f t="shared" si="1146"/>
        <v>4800</v>
      </c>
      <c r="AS127" s="100">
        <f t="shared" si="1146"/>
        <v>0</v>
      </c>
      <c r="AT127" s="100">
        <f t="shared" si="1146"/>
        <v>0</v>
      </c>
      <c r="AU127" s="100">
        <f t="shared" si="1146"/>
        <v>3050</v>
      </c>
      <c r="AV127" s="100">
        <f t="shared" si="1146"/>
        <v>73200</v>
      </c>
      <c r="AW127" s="728">
        <f t="shared" si="1146"/>
        <v>1492150</v>
      </c>
      <c r="AX127" s="728">
        <f t="shared" si="1146"/>
        <v>34027400</v>
      </c>
      <c r="AY127" s="100">
        <f t="shared" si="1146"/>
        <v>0</v>
      </c>
      <c r="AZ127" s="100">
        <f t="shared" si="1146"/>
        <v>0</v>
      </c>
      <c r="BA127" s="100">
        <f t="shared" si="1146"/>
        <v>0</v>
      </c>
      <c r="BB127" s="100">
        <f t="shared" si="1146"/>
        <v>0</v>
      </c>
      <c r="BC127" s="100">
        <f t="shared" si="1146"/>
        <v>0</v>
      </c>
      <c r="BD127" s="100">
        <f t="shared" si="1146"/>
        <v>0</v>
      </c>
      <c r="BE127" s="100">
        <f t="shared" si="1146"/>
        <v>447886</v>
      </c>
      <c r="BF127" s="100">
        <f t="shared" si="1146"/>
        <v>9068208</v>
      </c>
      <c r="BG127" s="100">
        <f t="shared" si="1146"/>
        <v>10012</v>
      </c>
      <c r="BH127" s="100">
        <f t="shared" si="1146"/>
        <v>221568</v>
      </c>
      <c r="BI127" s="100">
        <f t="shared" si="1146"/>
        <v>0</v>
      </c>
      <c r="BJ127" s="100">
        <f t="shared" si="1146"/>
        <v>0</v>
      </c>
      <c r="BK127" s="100">
        <f t="shared" si="1146"/>
        <v>2672</v>
      </c>
      <c r="BL127" s="100">
        <f t="shared" si="1146"/>
        <v>46451</v>
      </c>
      <c r="BM127" s="728">
        <f t="shared" si="1146"/>
        <v>460570</v>
      </c>
      <c r="BN127" s="728">
        <f t="shared" si="1146"/>
        <v>9336227</v>
      </c>
      <c r="BO127" s="100">
        <f t="shared" si="1146"/>
        <v>0</v>
      </c>
      <c r="BP127" s="100">
        <f t="shared" si="1146"/>
        <v>0</v>
      </c>
      <c r="BQ127" s="100">
        <f t="shared" si="1146"/>
        <v>0</v>
      </c>
      <c r="BR127" s="100">
        <f t="shared" si="1146"/>
        <v>0</v>
      </c>
      <c r="BS127" s="100">
        <f t="shared" si="1146"/>
        <v>0</v>
      </c>
      <c r="BT127" s="100">
        <f t="shared" si="1146"/>
        <v>0</v>
      </c>
      <c r="BU127" s="100">
        <f t="shared" si="1146"/>
        <v>70170</v>
      </c>
      <c r="BV127" s="100">
        <f t="shared" si="1146"/>
        <v>1504428</v>
      </c>
      <c r="BW127" s="100">
        <f t="shared" si="1146"/>
        <v>0</v>
      </c>
      <c r="BX127" s="100">
        <f t="shared" si="1146"/>
        <v>0</v>
      </c>
      <c r="BY127" s="100">
        <f t="shared" si="1146"/>
        <v>0</v>
      </c>
      <c r="BZ127" s="100">
        <f t="shared" si="1146"/>
        <v>0</v>
      </c>
      <c r="CA127" s="100">
        <f t="shared" si="1146"/>
        <v>0</v>
      </c>
      <c r="CB127" s="100">
        <f t="shared" si="1146"/>
        <v>0</v>
      </c>
      <c r="CC127" s="728">
        <f t="shared" si="1146"/>
        <v>70170</v>
      </c>
      <c r="CD127" s="728">
        <f t="shared" si="1146"/>
        <v>1504428</v>
      </c>
      <c r="CE127" s="100">
        <f t="shared" ref="CE127:EP127" si="1147">SUM(CE128:CE164)</f>
        <v>231117</v>
      </c>
      <c r="CF127" s="100">
        <f t="shared" si="1147"/>
        <v>1155587</v>
      </c>
      <c r="CG127" s="100">
        <f t="shared" si="1147"/>
        <v>7335629.6699999999</v>
      </c>
      <c r="CH127" s="100">
        <f t="shared" si="1147"/>
        <v>224289914</v>
      </c>
      <c r="CI127" s="100">
        <f t="shared" si="1147"/>
        <v>0</v>
      </c>
      <c r="CJ127" s="100">
        <f t="shared" si="1147"/>
        <v>0</v>
      </c>
      <c r="CK127" s="100">
        <f t="shared" si="1147"/>
        <v>6047893</v>
      </c>
      <c r="CL127" s="100">
        <f t="shared" si="1147"/>
        <v>112719390.10226035</v>
      </c>
      <c r="CM127" s="100">
        <f t="shared" si="1147"/>
        <v>0</v>
      </c>
      <c r="CN127" s="100">
        <f t="shared" si="1147"/>
        <v>0</v>
      </c>
      <c r="CO127" s="100">
        <f t="shared" si="1147"/>
        <v>0</v>
      </c>
      <c r="CP127" s="100">
        <f t="shared" si="1147"/>
        <v>0</v>
      </c>
      <c r="CQ127" s="100">
        <f t="shared" si="1147"/>
        <v>0</v>
      </c>
      <c r="CR127" s="100">
        <f t="shared" si="1147"/>
        <v>0</v>
      </c>
      <c r="CS127" s="728">
        <f t="shared" si="1147"/>
        <v>13614639.67</v>
      </c>
      <c r="CT127" s="728">
        <f t="shared" si="1147"/>
        <v>338164891.10226035</v>
      </c>
      <c r="CU127" s="100">
        <f t="shared" si="1147"/>
        <v>0</v>
      </c>
      <c r="CV127" s="100">
        <f t="shared" si="1147"/>
        <v>0</v>
      </c>
      <c r="CW127" s="100">
        <f t="shared" si="1147"/>
        <v>280758.00047056196</v>
      </c>
      <c r="CX127" s="100">
        <f t="shared" si="1147"/>
        <v>15345300.013</v>
      </c>
      <c r="CY127" s="100">
        <f t="shared" si="1147"/>
        <v>0</v>
      </c>
      <c r="CZ127" s="100">
        <f t="shared" si="1147"/>
        <v>0</v>
      </c>
      <c r="DA127" s="100">
        <f t="shared" si="1147"/>
        <v>849526</v>
      </c>
      <c r="DB127" s="100">
        <f t="shared" si="1147"/>
        <v>18726692</v>
      </c>
      <c r="DC127" s="100">
        <f t="shared" si="1147"/>
        <v>2719</v>
      </c>
      <c r="DD127" s="100">
        <f t="shared" si="1147"/>
        <v>60622</v>
      </c>
      <c r="DE127" s="100">
        <f t="shared" si="1147"/>
        <v>0</v>
      </c>
      <c r="DF127" s="100">
        <f t="shared" si="1147"/>
        <v>0</v>
      </c>
      <c r="DG127" s="100">
        <f t="shared" si="1147"/>
        <v>0</v>
      </c>
      <c r="DH127" s="100">
        <f t="shared" si="1147"/>
        <v>0</v>
      </c>
      <c r="DI127" s="728">
        <f t="shared" si="1147"/>
        <v>1133003.0004705619</v>
      </c>
      <c r="DJ127" s="728">
        <f t="shared" si="1147"/>
        <v>34132614.012999997</v>
      </c>
      <c r="DK127" s="100">
        <f t="shared" si="1147"/>
        <v>0</v>
      </c>
      <c r="DL127" s="100">
        <f t="shared" si="1147"/>
        <v>0</v>
      </c>
      <c r="DM127" s="100">
        <f t="shared" si="1147"/>
        <v>0</v>
      </c>
      <c r="DN127" s="100">
        <f t="shared" si="1147"/>
        <v>0</v>
      </c>
      <c r="DO127" s="100">
        <f t="shared" si="1147"/>
        <v>0</v>
      </c>
      <c r="DP127" s="100">
        <f t="shared" si="1147"/>
        <v>0</v>
      </c>
      <c r="DQ127" s="100">
        <f t="shared" si="1147"/>
        <v>1349700</v>
      </c>
      <c r="DR127" s="100">
        <f t="shared" si="1147"/>
        <v>24186750</v>
      </c>
      <c r="DS127" s="100">
        <f t="shared" si="1147"/>
        <v>0</v>
      </c>
      <c r="DT127" s="100">
        <f t="shared" si="1147"/>
        <v>0</v>
      </c>
      <c r="DU127" s="100">
        <f t="shared" si="1147"/>
        <v>0</v>
      </c>
      <c r="DV127" s="100">
        <f t="shared" si="1147"/>
        <v>0</v>
      </c>
      <c r="DW127" s="100">
        <f t="shared" si="1147"/>
        <v>0</v>
      </c>
      <c r="DX127" s="100">
        <f t="shared" si="1147"/>
        <v>0</v>
      </c>
      <c r="DY127" s="728">
        <f t="shared" si="1147"/>
        <v>1349700</v>
      </c>
      <c r="DZ127" s="728">
        <f t="shared" si="1147"/>
        <v>24186750</v>
      </c>
      <c r="EA127" s="100">
        <f t="shared" si="1147"/>
        <v>0</v>
      </c>
      <c r="EB127" s="100">
        <f t="shared" si="1147"/>
        <v>0</v>
      </c>
      <c r="EC127" s="100">
        <f t="shared" si="1147"/>
        <v>0</v>
      </c>
      <c r="ED127" s="100">
        <f t="shared" si="1147"/>
        <v>0</v>
      </c>
      <c r="EE127" s="100">
        <f t="shared" si="1147"/>
        <v>0</v>
      </c>
      <c r="EF127" s="100">
        <f t="shared" si="1147"/>
        <v>0</v>
      </c>
      <c r="EG127" s="100">
        <f t="shared" si="1147"/>
        <v>2124380</v>
      </c>
      <c r="EH127" s="100">
        <f t="shared" si="1147"/>
        <v>39836580</v>
      </c>
      <c r="EI127" s="100">
        <f t="shared" si="1147"/>
        <v>0</v>
      </c>
      <c r="EJ127" s="100">
        <f t="shared" si="1147"/>
        <v>0</v>
      </c>
      <c r="EK127" s="100">
        <f t="shared" si="1147"/>
        <v>0</v>
      </c>
      <c r="EL127" s="100">
        <f t="shared" si="1147"/>
        <v>0</v>
      </c>
      <c r="EM127" s="100">
        <f t="shared" si="1147"/>
        <v>0</v>
      </c>
      <c r="EN127" s="100">
        <f t="shared" si="1147"/>
        <v>0</v>
      </c>
      <c r="EO127" s="728">
        <f t="shared" si="1147"/>
        <v>2124380</v>
      </c>
      <c r="EP127" s="728">
        <f t="shared" si="1147"/>
        <v>39836580</v>
      </c>
      <c r="EQ127" s="100">
        <f t="shared" ref="EQ127:HB127" si="1148">SUM(EQ128:EQ164)</f>
        <v>0</v>
      </c>
      <c r="ER127" s="100">
        <f t="shared" si="1148"/>
        <v>0</v>
      </c>
      <c r="ES127" s="100">
        <f t="shared" si="1148"/>
        <v>559417</v>
      </c>
      <c r="ET127" s="100">
        <f t="shared" si="1148"/>
        <v>35602837</v>
      </c>
      <c r="EU127" s="100">
        <f t="shared" si="1148"/>
        <v>0</v>
      </c>
      <c r="EV127" s="100">
        <f t="shared" si="1148"/>
        <v>0</v>
      </c>
      <c r="EW127" s="100">
        <f t="shared" si="1148"/>
        <v>7972332</v>
      </c>
      <c r="EX127" s="100">
        <f t="shared" si="1148"/>
        <v>211537821</v>
      </c>
      <c r="EY127" s="100">
        <f t="shared" si="1148"/>
        <v>0</v>
      </c>
      <c r="EZ127" s="100">
        <f t="shared" si="1148"/>
        <v>0</v>
      </c>
      <c r="FA127" s="100">
        <f t="shared" si="1148"/>
        <v>12954</v>
      </c>
      <c r="FB127" s="100">
        <f t="shared" si="1148"/>
        <v>220218</v>
      </c>
      <c r="FC127" s="100">
        <f t="shared" si="1148"/>
        <v>765</v>
      </c>
      <c r="FD127" s="100">
        <f t="shared" si="1148"/>
        <v>9945</v>
      </c>
      <c r="FE127" s="728">
        <f t="shared" si="1148"/>
        <v>8545468</v>
      </c>
      <c r="FF127" s="728">
        <f t="shared" si="1148"/>
        <v>247370821</v>
      </c>
      <c r="FG127" s="100">
        <f t="shared" si="1148"/>
        <v>0</v>
      </c>
      <c r="FH127" s="100">
        <f t="shared" si="1148"/>
        <v>0</v>
      </c>
      <c r="FI127" s="100">
        <f t="shared" si="1148"/>
        <v>120000</v>
      </c>
      <c r="FJ127" s="100">
        <f t="shared" si="1148"/>
        <v>7200000</v>
      </c>
      <c r="FK127" s="100">
        <f t="shared" si="1148"/>
        <v>0</v>
      </c>
      <c r="FL127" s="100">
        <f t="shared" si="1148"/>
        <v>0</v>
      </c>
      <c r="FM127" s="100">
        <f t="shared" si="1148"/>
        <v>230122</v>
      </c>
      <c r="FN127" s="100">
        <f t="shared" si="1148"/>
        <v>5821855</v>
      </c>
      <c r="FO127" s="100">
        <f t="shared" si="1148"/>
        <v>0</v>
      </c>
      <c r="FP127" s="100">
        <f t="shared" si="1148"/>
        <v>0</v>
      </c>
      <c r="FQ127" s="100">
        <f t="shared" si="1148"/>
        <v>0</v>
      </c>
      <c r="FR127" s="100">
        <f t="shared" si="1148"/>
        <v>0</v>
      </c>
      <c r="FS127" s="100">
        <f t="shared" si="1148"/>
        <v>75012</v>
      </c>
      <c r="FT127" s="100">
        <f t="shared" si="1148"/>
        <v>2250360</v>
      </c>
      <c r="FU127" s="728">
        <f t="shared" si="1148"/>
        <v>425134</v>
      </c>
      <c r="FV127" s="728">
        <f t="shared" si="1148"/>
        <v>15272215</v>
      </c>
      <c r="FW127" s="100">
        <f t="shared" si="1148"/>
        <v>0</v>
      </c>
      <c r="FX127" s="100">
        <f t="shared" si="1148"/>
        <v>0</v>
      </c>
      <c r="FY127" s="100">
        <f t="shared" si="1148"/>
        <v>0</v>
      </c>
      <c r="FZ127" s="100">
        <f t="shared" si="1148"/>
        <v>0</v>
      </c>
      <c r="GA127" s="100">
        <f t="shared" si="1148"/>
        <v>0</v>
      </c>
      <c r="GB127" s="100">
        <f t="shared" si="1148"/>
        <v>0</v>
      </c>
      <c r="GC127" s="100">
        <f t="shared" si="1148"/>
        <v>349100</v>
      </c>
      <c r="GD127" s="100">
        <f t="shared" si="1148"/>
        <v>7145750</v>
      </c>
      <c r="GE127" s="100">
        <f t="shared" si="1148"/>
        <v>0</v>
      </c>
      <c r="GF127" s="100">
        <f t="shared" si="1148"/>
        <v>0</v>
      </c>
      <c r="GG127" s="100">
        <f t="shared" si="1148"/>
        <v>0</v>
      </c>
      <c r="GH127" s="100">
        <f t="shared" si="1148"/>
        <v>0</v>
      </c>
      <c r="GI127" s="100">
        <f t="shared" si="1148"/>
        <v>0</v>
      </c>
      <c r="GJ127" s="100">
        <f t="shared" si="1148"/>
        <v>0</v>
      </c>
      <c r="GK127" s="728">
        <f t="shared" si="1148"/>
        <v>349100</v>
      </c>
      <c r="GL127" s="728">
        <f t="shared" si="1148"/>
        <v>7145750</v>
      </c>
      <c r="GM127" s="100">
        <f t="shared" si="1148"/>
        <v>0</v>
      </c>
      <c r="GN127" s="100">
        <f t="shared" si="1148"/>
        <v>0</v>
      </c>
      <c r="GO127" s="100">
        <f t="shared" si="1148"/>
        <v>0</v>
      </c>
      <c r="GP127" s="100">
        <f t="shared" si="1148"/>
        <v>0</v>
      </c>
      <c r="GQ127" s="100">
        <f t="shared" si="1148"/>
        <v>0</v>
      </c>
      <c r="GR127" s="100">
        <f t="shared" si="1148"/>
        <v>0</v>
      </c>
      <c r="GS127" s="100">
        <f t="shared" si="1148"/>
        <v>160550</v>
      </c>
      <c r="GT127" s="100">
        <f t="shared" si="1148"/>
        <v>3141200</v>
      </c>
      <c r="GU127" s="100">
        <f t="shared" si="1148"/>
        <v>0</v>
      </c>
      <c r="GV127" s="100">
        <f t="shared" si="1148"/>
        <v>0</v>
      </c>
      <c r="GW127" s="100">
        <f t="shared" si="1148"/>
        <v>0</v>
      </c>
      <c r="GX127" s="100">
        <f t="shared" si="1148"/>
        <v>0</v>
      </c>
      <c r="GY127" s="100">
        <f t="shared" si="1148"/>
        <v>150</v>
      </c>
      <c r="GZ127" s="100">
        <f t="shared" si="1148"/>
        <v>4100</v>
      </c>
      <c r="HA127" s="728">
        <f t="shared" si="1148"/>
        <v>160700</v>
      </c>
      <c r="HB127" s="728">
        <f t="shared" si="1148"/>
        <v>3145300</v>
      </c>
      <c r="HC127" s="100">
        <f t="shared" ref="HC127:JN127" si="1149">SUM(HC128:HC164)</f>
        <v>0</v>
      </c>
      <c r="HD127" s="100">
        <f t="shared" si="1149"/>
        <v>0</v>
      </c>
      <c r="HE127" s="100">
        <f t="shared" si="1149"/>
        <v>250000</v>
      </c>
      <c r="HF127" s="100">
        <f t="shared" si="1149"/>
        <v>13750000</v>
      </c>
      <c r="HG127" s="100">
        <f t="shared" si="1149"/>
        <v>0</v>
      </c>
      <c r="HH127" s="100">
        <f t="shared" si="1149"/>
        <v>0</v>
      </c>
      <c r="HI127" s="100">
        <f t="shared" si="1149"/>
        <v>629500</v>
      </c>
      <c r="HJ127" s="100">
        <f t="shared" si="1149"/>
        <v>11792500</v>
      </c>
      <c r="HK127" s="100">
        <f t="shared" si="1149"/>
        <v>0</v>
      </c>
      <c r="HL127" s="100">
        <f t="shared" si="1149"/>
        <v>0</v>
      </c>
      <c r="HM127" s="100">
        <f t="shared" si="1149"/>
        <v>0</v>
      </c>
      <c r="HN127" s="100">
        <f t="shared" si="1149"/>
        <v>0</v>
      </c>
      <c r="HO127" s="100">
        <f t="shared" si="1149"/>
        <v>470000</v>
      </c>
      <c r="HP127" s="100">
        <f t="shared" si="1149"/>
        <v>10810000</v>
      </c>
      <c r="HQ127" s="728">
        <f t="shared" si="1149"/>
        <v>1349500</v>
      </c>
      <c r="HR127" s="728">
        <f t="shared" si="1149"/>
        <v>36352500</v>
      </c>
      <c r="HS127" s="100">
        <f t="shared" si="1149"/>
        <v>0</v>
      </c>
      <c r="HT127" s="100">
        <f t="shared" si="1149"/>
        <v>0</v>
      </c>
      <c r="HU127" s="100">
        <f t="shared" si="1149"/>
        <v>0</v>
      </c>
      <c r="HV127" s="100">
        <f t="shared" si="1149"/>
        <v>0</v>
      </c>
      <c r="HW127" s="100">
        <f t="shared" si="1149"/>
        <v>0</v>
      </c>
      <c r="HX127" s="100">
        <f t="shared" si="1149"/>
        <v>0</v>
      </c>
      <c r="HY127" s="100">
        <f t="shared" si="1149"/>
        <v>152450</v>
      </c>
      <c r="HZ127" s="100">
        <f t="shared" si="1149"/>
        <v>2915950</v>
      </c>
      <c r="IA127" s="100">
        <f t="shared" si="1149"/>
        <v>0</v>
      </c>
      <c r="IB127" s="100">
        <f t="shared" si="1149"/>
        <v>0</v>
      </c>
      <c r="IC127" s="100">
        <f t="shared" si="1149"/>
        <v>400</v>
      </c>
      <c r="ID127" s="100">
        <f t="shared" si="1149"/>
        <v>8000</v>
      </c>
      <c r="IE127" s="100">
        <f t="shared" si="1149"/>
        <v>0</v>
      </c>
      <c r="IF127" s="100">
        <f t="shared" si="1149"/>
        <v>0</v>
      </c>
      <c r="IG127" s="728">
        <f t="shared" si="1149"/>
        <v>152850</v>
      </c>
      <c r="IH127" s="728">
        <f t="shared" si="1149"/>
        <v>2923950</v>
      </c>
      <c r="II127" s="100">
        <f t="shared" si="1149"/>
        <v>0</v>
      </c>
      <c r="IJ127" s="100">
        <f t="shared" si="1149"/>
        <v>0</v>
      </c>
      <c r="IK127" s="100">
        <f t="shared" si="1149"/>
        <v>0</v>
      </c>
      <c r="IL127" s="100">
        <f t="shared" si="1149"/>
        <v>0</v>
      </c>
      <c r="IM127" s="100">
        <f t="shared" si="1149"/>
        <v>0</v>
      </c>
      <c r="IN127" s="100">
        <f t="shared" si="1149"/>
        <v>0</v>
      </c>
      <c r="IO127" s="96">
        <f t="shared" si="1149"/>
        <v>985000</v>
      </c>
      <c r="IP127" s="96">
        <f t="shared" si="1149"/>
        <v>19580350</v>
      </c>
      <c r="IQ127" s="100">
        <f t="shared" si="1149"/>
        <v>0</v>
      </c>
      <c r="IR127" s="100">
        <f t="shared" si="1149"/>
        <v>0</v>
      </c>
      <c r="IS127" s="100">
        <f t="shared" si="1149"/>
        <v>0</v>
      </c>
      <c r="IT127" s="100">
        <f t="shared" si="1149"/>
        <v>0</v>
      </c>
      <c r="IU127" s="100">
        <f t="shared" si="1149"/>
        <v>0</v>
      </c>
      <c r="IV127" s="100">
        <f t="shared" si="1149"/>
        <v>0</v>
      </c>
      <c r="IW127" s="728">
        <f t="shared" si="1149"/>
        <v>985000</v>
      </c>
      <c r="IX127" s="728">
        <f t="shared" si="1149"/>
        <v>19580350</v>
      </c>
      <c r="IY127" s="100">
        <f t="shared" si="1149"/>
        <v>0</v>
      </c>
      <c r="IZ127" s="100">
        <f t="shared" si="1149"/>
        <v>0</v>
      </c>
      <c r="JA127" s="100">
        <f t="shared" si="1149"/>
        <v>0</v>
      </c>
      <c r="JB127" s="100">
        <f t="shared" si="1149"/>
        <v>0</v>
      </c>
      <c r="JC127" s="100">
        <f t="shared" si="1149"/>
        <v>0</v>
      </c>
      <c r="JD127" s="100">
        <f t="shared" si="1149"/>
        <v>0</v>
      </c>
      <c r="JE127" s="100">
        <f t="shared" si="1149"/>
        <v>377032</v>
      </c>
      <c r="JF127" s="100">
        <f t="shared" si="1149"/>
        <v>7159380</v>
      </c>
      <c r="JG127" s="100">
        <f t="shared" si="1149"/>
        <v>0</v>
      </c>
      <c r="JH127" s="100">
        <f t="shared" si="1149"/>
        <v>0</v>
      </c>
      <c r="JI127" s="100">
        <f t="shared" si="1149"/>
        <v>0</v>
      </c>
      <c r="JJ127" s="100">
        <f t="shared" si="1149"/>
        <v>0</v>
      </c>
      <c r="JK127" s="100">
        <f t="shared" si="1149"/>
        <v>9880</v>
      </c>
      <c r="JL127" s="100">
        <f t="shared" si="1149"/>
        <v>187710</v>
      </c>
      <c r="JM127" s="728">
        <f t="shared" si="1149"/>
        <v>386912</v>
      </c>
      <c r="JN127" s="728">
        <f t="shared" si="1149"/>
        <v>7347090</v>
      </c>
      <c r="JO127" s="100">
        <f t="shared" ref="JO127:LZ127" si="1150">SUM(JO128:JO164)</f>
        <v>0</v>
      </c>
      <c r="JP127" s="100">
        <f t="shared" si="1150"/>
        <v>0</v>
      </c>
      <c r="JQ127" s="100">
        <f t="shared" si="1150"/>
        <v>130470</v>
      </c>
      <c r="JR127" s="100">
        <f t="shared" si="1150"/>
        <v>10442600</v>
      </c>
      <c r="JS127" s="100">
        <f t="shared" si="1150"/>
        <v>0</v>
      </c>
      <c r="JT127" s="100">
        <f t="shared" si="1150"/>
        <v>0</v>
      </c>
      <c r="JU127" s="100">
        <f t="shared" si="1150"/>
        <v>79255</v>
      </c>
      <c r="JV127" s="100">
        <f t="shared" si="1150"/>
        <v>2034230</v>
      </c>
      <c r="JW127" s="100">
        <f t="shared" si="1150"/>
        <v>0</v>
      </c>
      <c r="JX127" s="100">
        <f t="shared" si="1150"/>
        <v>0</v>
      </c>
      <c r="JY127" s="100">
        <f t="shared" si="1150"/>
        <v>0</v>
      </c>
      <c r="JZ127" s="100">
        <f t="shared" si="1150"/>
        <v>0</v>
      </c>
      <c r="KA127" s="100">
        <f t="shared" si="1150"/>
        <v>0</v>
      </c>
      <c r="KB127" s="100">
        <f t="shared" si="1150"/>
        <v>0</v>
      </c>
      <c r="KC127" s="728">
        <f t="shared" si="1150"/>
        <v>209725</v>
      </c>
      <c r="KD127" s="728">
        <f t="shared" si="1150"/>
        <v>12476830</v>
      </c>
      <c r="KE127" s="100">
        <f t="shared" si="1150"/>
        <v>0</v>
      </c>
      <c r="KF127" s="100">
        <f t="shared" si="1150"/>
        <v>0</v>
      </c>
      <c r="KG127" s="100">
        <f t="shared" si="1150"/>
        <v>15326</v>
      </c>
      <c r="KH127" s="100">
        <f t="shared" si="1150"/>
        <v>760200</v>
      </c>
      <c r="KI127" s="100">
        <f t="shared" si="1150"/>
        <v>0</v>
      </c>
      <c r="KJ127" s="100">
        <f t="shared" si="1150"/>
        <v>0</v>
      </c>
      <c r="KK127" s="100">
        <f t="shared" si="1150"/>
        <v>61318</v>
      </c>
      <c r="KL127" s="100">
        <f t="shared" si="1150"/>
        <v>1231625</v>
      </c>
      <c r="KM127" s="100">
        <f t="shared" si="1150"/>
        <v>0</v>
      </c>
      <c r="KN127" s="100">
        <f t="shared" si="1150"/>
        <v>0</v>
      </c>
      <c r="KO127" s="100">
        <f t="shared" si="1150"/>
        <v>0</v>
      </c>
      <c r="KP127" s="100">
        <f t="shared" si="1150"/>
        <v>0</v>
      </c>
      <c r="KQ127" s="100">
        <f t="shared" si="1150"/>
        <v>0</v>
      </c>
      <c r="KR127" s="100">
        <f t="shared" si="1150"/>
        <v>0</v>
      </c>
      <c r="KS127" s="728">
        <f t="shared" si="1150"/>
        <v>76644</v>
      </c>
      <c r="KT127" s="728">
        <f t="shared" si="1150"/>
        <v>1991825</v>
      </c>
      <c r="KU127" s="100">
        <f t="shared" si="1150"/>
        <v>0</v>
      </c>
      <c r="KV127" s="100">
        <f t="shared" si="1150"/>
        <v>0</v>
      </c>
      <c r="KW127" s="100">
        <f t="shared" si="1150"/>
        <v>412139.08</v>
      </c>
      <c r="KX127" s="100">
        <f t="shared" si="1150"/>
        <v>7149035</v>
      </c>
      <c r="KY127" s="100">
        <f t="shared" si="1150"/>
        <v>0</v>
      </c>
      <c r="KZ127" s="100">
        <f t="shared" si="1150"/>
        <v>0</v>
      </c>
      <c r="LA127" s="100">
        <f t="shared" si="1150"/>
        <v>1942346.47</v>
      </c>
      <c r="LB127" s="100">
        <f t="shared" si="1150"/>
        <v>35161224</v>
      </c>
      <c r="LC127" s="100">
        <f t="shared" si="1150"/>
        <v>0</v>
      </c>
      <c r="LD127" s="100">
        <f t="shared" si="1150"/>
        <v>0</v>
      </c>
      <c r="LE127" s="100">
        <f t="shared" si="1150"/>
        <v>0</v>
      </c>
      <c r="LF127" s="100">
        <f t="shared" si="1150"/>
        <v>0</v>
      </c>
      <c r="LG127" s="100">
        <f t="shared" si="1150"/>
        <v>11412.41</v>
      </c>
      <c r="LH127" s="100">
        <f t="shared" si="1150"/>
        <v>273897</v>
      </c>
      <c r="LI127" s="728">
        <f t="shared" si="1150"/>
        <v>2365897.96</v>
      </c>
      <c r="LJ127" s="728">
        <f t="shared" si="1150"/>
        <v>42584156</v>
      </c>
      <c r="LK127" s="100">
        <f t="shared" si="1150"/>
        <v>0</v>
      </c>
      <c r="LL127" s="100">
        <f t="shared" si="1150"/>
        <v>0</v>
      </c>
      <c r="LM127" s="100">
        <f t="shared" si="1150"/>
        <v>0</v>
      </c>
      <c r="LN127" s="100">
        <f t="shared" si="1150"/>
        <v>0</v>
      </c>
      <c r="LO127" s="100">
        <f t="shared" si="1150"/>
        <v>0</v>
      </c>
      <c r="LP127" s="100">
        <f t="shared" si="1150"/>
        <v>0</v>
      </c>
      <c r="LQ127" s="100">
        <f t="shared" si="1150"/>
        <v>205789</v>
      </c>
      <c r="LR127" s="100">
        <f t="shared" si="1150"/>
        <v>4282252.7</v>
      </c>
      <c r="LS127" s="100">
        <f t="shared" si="1150"/>
        <v>0</v>
      </c>
      <c r="LT127" s="100">
        <f t="shared" si="1150"/>
        <v>0</v>
      </c>
      <c r="LU127" s="100">
        <f t="shared" si="1150"/>
        <v>0</v>
      </c>
      <c r="LV127" s="100">
        <f t="shared" si="1150"/>
        <v>0</v>
      </c>
      <c r="LW127" s="100">
        <f t="shared" si="1150"/>
        <v>1935</v>
      </c>
      <c r="LX127" s="100">
        <f t="shared" si="1150"/>
        <v>65790</v>
      </c>
      <c r="LY127" s="728">
        <f t="shared" si="1150"/>
        <v>207724</v>
      </c>
      <c r="LZ127" s="728">
        <f t="shared" si="1150"/>
        <v>4348042.7</v>
      </c>
      <c r="MA127" s="100">
        <f t="shared" ref="MA127:OL127" si="1151">SUM(MA128:MA164)</f>
        <v>32000</v>
      </c>
      <c r="MB127" s="100">
        <f t="shared" si="1151"/>
        <v>2720000</v>
      </c>
      <c r="MC127" s="100">
        <f t="shared" si="1151"/>
        <v>1848900</v>
      </c>
      <c r="MD127" s="100">
        <f t="shared" si="1151"/>
        <v>96449800</v>
      </c>
      <c r="ME127" s="100">
        <f t="shared" si="1151"/>
        <v>0</v>
      </c>
      <c r="MF127" s="100">
        <f t="shared" si="1151"/>
        <v>0</v>
      </c>
      <c r="MG127" s="100">
        <f t="shared" si="1151"/>
        <v>56100</v>
      </c>
      <c r="MH127" s="100">
        <f t="shared" si="1151"/>
        <v>1037850</v>
      </c>
      <c r="MI127" s="100">
        <f t="shared" si="1151"/>
        <v>0</v>
      </c>
      <c r="MJ127" s="100">
        <f t="shared" si="1151"/>
        <v>0</v>
      </c>
      <c r="MK127" s="100">
        <f t="shared" si="1151"/>
        <v>0</v>
      </c>
      <c r="ML127" s="100">
        <f t="shared" si="1151"/>
        <v>0</v>
      </c>
      <c r="MM127" s="100">
        <f t="shared" si="1151"/>
        <v>2100</v>
      </c>
      <c r="MN127" s="100">
        <f t="shared" si="1151"/>
        <v>37800</v>
      </c>
      <c r="MO127" s="728">
        <f t="shared" si="1151"/>
        <v>1939100</v>
      </c>
      <c r="MP127" s="728">
        <f t="shared" si="1151"/>
        <v>100245450</v>
      </c>
      <c r="MQ127" s="100">
        <f t="shared" si="1151"/>
        <v>0</v>
      </c>
      <c r="MR127" s="100">
        <f t="shared" si="1151"/>
        <v>0</v>
      </c>
      <c r="MS127" s="100">
        <f t="shared" si="1151"/>
        <v>75707</v>
      </c>
      <c r="MT127" s="100">
        <f t="shared" si="1151"/>
        <v>3643188</v>
      </c>
      <c r="MU127" s="100">
        <f t="shared" si="1151"/>
        <v>0</v>
      </c>
      <c r="MV127" s="100">
        <f t="shared" si="1151"/>
        <v>0</v>
      </c>
      <c r="MW127" s="100">
        <f t="shared" si="1151"/>
        <v>16006</v>
      </c>
      <c r="MX127" s="100">
        <f t="shared" si="1151"/>
        <v>368138</v>
      </c>
      <c r="MY127" s="100">
        <f t="shared" si="1151"/>
        <v>0</v>
      </c>
      <c r="MZ127" s="100">
        <f t="shared" si="1151"/>
        <v>0</v>
      </c>
      <c r="NA127" s="100">
        <f t="shared" si="1151"/>
        <v>0</v>
      </c>
      <c r="NB127" s="100">
        <f t="shared" si="1151"/>
        <v>0</v>
      </c>
      <c r="NC127" s="100">
        <f t="shared" si="1151"/>
        <v>0</v>
      </c>
      <c r="ND127" s="100">
        <f t="shared" si="1151"/>
        <v>0</v>
      </c>
      <c r="NE127" s="728">
        <f t="shared" si="1151"/>
        <v>91713</v>
      </c>
      <c r="NF127" s="728">
        <f t="shared" si="1151"/>
        <v>4011326</v>
      </c>
      <c r="NG127" s="100">
        <f t="shared" si="1151"/>
        <v>0</v>
      </c>
      <c r="NH127" s="100">
        <f t="shared" si="1151"/>
        <v>0</v>
      </c>
      <c r="NI127" s="100">
        <f t="shared" si="1151"/>
        <v>6463500</v>
      </c>
      <c r="NJ127" s="100">
        <f t="shared" si="1151"/>
        <v>148541050</v>
      </c>
      <c r="NK127" s="100">
        <f t="shared" si="1151"/>
        <v>0</v>
      </c>
      <c r="NL127" s="100">
        <f t="shared" si="1151"/>
        <v>0</v>
      </c>
      <c r="NM127" s="100">
        <f t="shared" si="1151"/>
        <v>2514000</v>
      </c>
      <c r="NN127" s="100">
        <f t="shared" si="1151"/>
        <v>40538800</v>
      </c>
      <c r="NO127" s="100">
        <f t="shared" si="1151"/>
        <v>0</v>
      </c>
      <c r="NP127" s="100">
        <f t="shared" si="1151"/>
        <v>0</v>
      </c>
      <c r="NQ127" s="100">
        <f t="shared" si="1151"/>
        <v>22300</v>
      </c>
      <c r="NR127" s="100">
        <f t="shared" si="1151"/>
        <v>403800</v>
      </c>
      <c r="NS127" s="100">
        <f t="shared" si="1151"/>
        <v>0</v>
      </c>
      <c r="NT127" s="100">
        <f t="shared" si="1151"/>
        <v>0</v>
      </c>
      <c r="NU127" s="728">
        <f t="shared" si="1151"/>
        <v>8999800</v>
      </c>
      <c r="NV127" s="728">
        <f t="shared" si="1151"/>
        <v>189483650</v>
      </c>
      <c r="NW127" s="100">
        <f t="shared" si="1151"/>
        <v>4500</v>
      </c>
      <c r="NX127" s="100">
        <f t="shared" si="1151"/>
        <v>166000</v>
      </c>
      <c r="NY127" s="100">
        <f t="shared" si="1151"/>
        <v>952571</v>
      </c>
      <c r="NZ127" s="100">
        <f t="shared" si="1151"/>
        <v>47176550</v>
      </c>
      <c r="OA127" s="100">
        <f t="shared" si="1151"/>
        <v>0</v>
      </c>
      <c r="OB127" s="100">
        <f t="shared" si="1151"/>
        <v>0</v>
      </c>
      <c r="OC127" s="100">
        <f t="shared" si="1151"/>
        <v>49051</v>
      </c>
      <c r="OD127" s="100">
        <f t="shared" si="1151"/>
        <v>935219</v>
      </c>
      <c r="OE127" s="100">
        <f t="shared" si="1151"/>
        <v>0</v>
      </c>
      <c r="OF127" s="100">
        <f t="shared" si="1151"/>
        <v>0</v>
      </c>
      <c r="OG127" s="100">
        <f t="shared" si="1151"/>
        <v>0</v>
      </c>
      <c r="OH127" s="100">
        <f t="shared" si="1151"/>
        <v>0</v>
      </c>
      <c r="OI127" s="100">
        <f t="shared" si="1151"/>
        <v>0</v>
      </c>
      <c r="OJ127" s="100">
        <f t="shared" si="1151"/>
        <v>0</v>
      </c>
      <c r="OK127" s="728">
        <f t="shared" si="1151"/>
        <v>1006122</v>
      </c>
      <c r="OL127" s="728">
        <f t="shared" si="1151"/>
        <v>48277769</v>
      </c>
      <c r="OM127" s="100">
        <f t="shared" ref="OM127:QX127" si="1152">SUM(OM128:OM164)</f>
        <v>55636810</v>
      </c>
      <c r="ON127" s="100">
        <f t="shared" si="1152"/>
        <v>281939750</v>
      </c>
      <c r="OO127" s="100">
        <f t="shared" si="1152"/>
        <v>574097</v>
      </c>
      <c r="OP127" s="100">
        <f t="shared" si="1152"/>
        <v>33238991</v>
      </c>
      <c r="OQ127" s="100">
        <f t="shared" si="1152"/>
        <v>0</v>
      </c>
      <c r="OR127" s="100">
        <f t="shared" si="1152"/>
        <v>0</v>
      </c>
      <c r="OS127" s="100">
        <f t="shared" si="1152"/>
        <v>37353.5</v>
      </c>
      <c r="OT127" s="100">
        <f t="shared" si="1152"/>
        <v>815598.49999999988</v>
      </c>
      <c r="OU127" s="100">
        <f t="shared" si="1152"/>
        <v>0</v>
      </c>
      <c r="OV127" s="100">
        <f t="shared" si="1152"/>
        <v>0</v>
      </c>
      <c r="OW127" s="100">
        <f t="shared" si="1152"/>
        <v>0</v>
      </c>
      <c r="OX127" s="100">
        <f t="shared" si="1152"/>
        <v>0</v>
      </c>
      <c r="OY127" s="100">
        <f t="shared" si="1152"/>
        <v>0</v>
      </c>
      <c r="OZ127" s="100">
        <f t="shared" si="1152"/>
        <v>0</v>
      </c>
      <c r="PA127" s="728">
        <f t="shared" si="1152"/>
        <v>56248260.5</v>
      </c>
      <c r="PB127" s="728">
        <f t="shared" si="1152"/>
        <v>315994339.5</v>
      </c>
      <c r="PC127" s="100">
        <f t="shared" si="1152"/>
        <v>197</v>
      </c>
      <c r="PD127" s="100">
        <f t="shared" si="1152"/>
        <v>12805</v>
      </c>
      <c r="PE127" s="100">
        <f t="shared" si="1152"/>
        <v>28991</v>
      </c>
      <c r="PF127" s="100">
        <f t="shared" si="1152"/>
        <v>2174325</v>
      </c>
      <c r="PG127" s="100">
        <f t="shared" si="1152"/>
        <v>0</v>
      </c>
      <c r="PH127" s="100">
        <f t="shared" si="1152"/>
        <v>0</v>
      </c>
      <c r="PI127" s="100">
        <f t="shared" si="1152"/>
        <v>456370</v>
      </c>
      <c r="PJ127" s="100">
        <f t="shared" si="1152"/>
        <v>8446574</v>
      </c>
      <c r="PK127" s="100">
        <f t="shared" si="1152"/>
        <v>0</v>
      </c>
      <c r="PL127" s="100">
        <f t="shared" si="1152"/>
        <v>0</v>
      </c>
      <c r="PM127" s="100">
        <f t="shared" si="1152"/>
        <v>0</v>
      </c>
      <c r="PN127" s="100">
        <f t="shared" si="1152"/>
        <v>0</v>
      </c>
      <c r="PO127" s="100">
        <f t="shared" si="1152"/>
        <v>0</v>
      </c>
      <c r="PP127" s="100">
        <f t="shared" si="1152"/>
        <v>0</v>
      </c>
      <c r="PQ127" s="728">
        <f t="shared" si="1152"/>
        <v>485558</v>
      </c>
      <c r="PR127" s="728">
        <f t="shared" si="1152"/>
        <v>10633704</v>
      </c>
      <c r="PS127" s="100">
        <f t="shared" si="1152"/>
        <v>0</v>
      </c>
      <c r="PT127" s="100">
        <f t="shared" si="1152"/>
        <v>0</v>
      </c>
      <c r="PU127" s="100">
        <f t="shared" si="1152"/>
        <v>1284080</v>
      </c>
      <c r="PV127" s="100">
        <f t="shared" si="1152"/>
        <v>49149720</v>
      </c>
      <c r="PW127" s="100">
        <f t="shared" si="1152"/>
        <v>0</v>
      </c>
      <c r="PX127" s="100">
        <f t="shared" si="1152"/>
        <v>0</v>
      </c>
      <c r="PY127" s="100">
        <f t="shared" si="1152"/>
        <v>1333470</v>
      </c>
      <c r="PZ127" s="100">
        <f t="shared" si="1152"/>
        <v>27011080</v>
      </c>
      <c r="QA127" s="100">
        <f>SUM(QA128:QA164)</f>
        <v>1827340</v>
      </c>
      <c r="QB127" s="100">
        <f>SUM(QB128:QB164)</f>
        <v>46966290</v>
      </c>
      <c r="QC127" s="100">
        <f t="shared" si="1152"/>
        <v>493880</v>
      </c>
      <c r="QD127" s="100">
        <f t="shared" si="1152"/>
        <v>9348620</v>
      </c>
      <c r="QE127" s="100">
        <f t="shared" si="1152"/>
        <v>0</v>
      </c>
      <c r="QF127" s="100">
        <f t="shared" si="1152"/>
        <v>0</v>
      </c>
      <c r="QG127" s="728">
        <f t="shared" si="1152"/>
        <v>4938770</v>
      </c>
      <c r="QH127" s="728">
        <f t="shared" si="1152"/>
        <v>132475710</v>
      </c>
      <c r="QI127" s="100">
        <f t="shared" si="1152"/>
        <v>0</v>
      </c>
      <c r="QJ127" s="100">
        <f t="shared" si="1152"/>
        <v>0</v>
      </c>
      <c r="QK127" s="100">
        <f t="shared" si="1152"/>
        <v>0</v>
      </c>
      <c r="QL127" s="100">
        <f t="shared" si="1152"/>
        <v>0</v>
      </c>
      <c r="QM127" s="100">
        <f t="shared" si="1152"/>
        <v>0</v>
      </c>
      <c r="QN127" s="100">
        <f t="shared" si="1152"/>
        <v>0</v>
      </c>
      <c r="QO127" s="100">
        <f t="shared" si="1152"/>
        <v>4436000</v>
      </c>
      <c r="QP127" s="100">
        <f t="shared" si="1152"/>
        <v>89533000</v>
      </c>
      <c r="QQ127" s="100">
        <f t="shared" si="1152"/>
        <v>0</v>
      </c>
      <c r="QR127" s="100">
        <f t="shared" si="1152"/>
        <v>0</v>
      </c>
      <c r="QS127" s="100">
        <f t="shared" si="1152"/>
        <v>0</v>
      </c>
      <c r="QT127" s="100">
        <f t="shared" si="1152"/>
        <v>0</v>
      </c>
      <c r="QU127" s="100">
        <f t="shared" si="1152"/>
        <v>0</v>
      </c>
      <c r="QV127" s="100">
        <f t="shared" si="1152"/>
        <v>0</v>
      </c>
      <c r="QW127" s="728">
        <f t="shared" si="1152"/>
        <v>4436000</v>
      </c>
      <c r="QX127" s="728">
        <f t="shared" si="1152"/>
        <v>89533000</v>
      </c>
      <c r="QY127" s="100">
        <f t="shared" ref="QY127:TJ127" si="1153">SUM(QY128:QY164)</f>
        <v>0</v>
      </c>
      <c r="QZ127" s="100">
        <f t="shared" si="1153"/>
        <v>0</v>
      </c>
      <c r="RA127" s="100">
        <f t="shared" si="1153"/>
        <v>0</v>
      </c>
      <c r="RB127" s="100">
        <f t="shared" si="1153"/>
        <v>0</v>
      </c>
      <c r="RC127" s="100">
        <f t="shared" si="1153"/>
        <v>0</v>
      </c>
      <c r="RD127" s="100">
        <f t="shared" si="1153"/>
        <v>0</v>
      </c>
      <c r="RE127" s="100">
        <f t="shared" si="1153"/>
        <v>5630</v>
      </c>
      <c r="RF127" s="100">
        <f t="shared" si="1153"/>
        <v>134950</v>
      </c>
      <c r="RG127" s="100">
        <f t="shared" si="1153"/>
        <v>0</v>
      </c>
      <c r="RH127" s="100">
        <f t="shared" si="1153"/>
        <v>0</v>
      </c>
      <c r="RI127" s="100">
        <f t="shared" si="1153"/>
        <v>0</v>
      </c>
      <c r="RJ127" s="100">
        <f t="shared" si="1153"/>
        <v>0</v>
      </c>
      <c r="RK127" s="100">
        <f t="shared" si="1153"/>
        <v>0</v>
      </c>
      <c r="RL127" s="100">
        <f t="shared" si="1153"/>
        <v>0</v>
      </c>
      <c r="RM127" s="728">
        <f t="shared" si="1153"/>
        <v>5630</v>
      </c>
      <c r="RN127" s="728">
        <f t="shared" si="1153"/>
        <v>134950</v>
      </c>
      <c r="RO127" s="100">
        <f t="shared" si="1153"/>
        <v>0</v>
      </c>
      <c r="RP127" s="100">
        <f t="shared" si="1153"/>
        <v>0</v>
      </c>
      <c r="RQ127" s="100">
        <f t="shared" si="1153"/>
        <v>0</v>
      </c>
      <c r="RR127" s="100">
        <f t="shared" si="1153"/>
        <v>0</v>
      </c>
      <c r="RS127" s="100">
        <f t="shared" si="1153"/>
        <v>0</v>
      </c>
      <c r="RT127" s="100">
        <f t="shared" si="1153"/>
        <v>0</v>
      </c>
      <c r="RU127" s="100">
        <f t="shared" si="1153"/>
        <v>22570</v>
      </c>
      <c r="RV127" s="100">
        <f t="shared" si="1153"/>
        <v>457270</v>
      </c>
      <c r="RW127" s="100">
        <f t="shared" si="1153"/>
        <v>0</v>
      </c>
      <c r="RX127" s="100">
        <f t="shared" si="1153"/>
        <v>0</v>
      </c>
      <c r="RY127" s="100">
        <f t="shared" si="1153"/>
        <v>0</v>
      </c>
      <c r="RZ127" s="100">
        <f t="shared" si="1153"/>
        <v>0</v>
      </c>
      <c r="SA127" s="100">
        <f t="shared" si="1153"/>
        <v>0</v>
      </c>
      <c r="SB127" s="100">
        <f t="shared" si="1153"/>
        <v>0</v>
      </c>
      <c r="SC127" s="728">
        <f t="shared" si="1153"/>
        <v>22570</v>
      </c>
      <c r="SD127" s="728">
        <f t="shared" si="1153"/>
        <v>457270</v>
      </c>
      <c r="SE127" s="100">
        <f t="shared" si="1153"/>
        <v>0</v>
      </c>
      <c r="SF127" s="100">
        <f t="shared" si="1153"/>
        <v>0</v>
      </c>
      <c r="SG127" s="100">
        <f t="shared" si="1153"/>
        <v>0</v>
      </c>
      <c r="SH127" s="100">
        <f t="shared" si="1153"/>
        <v>0</v>
      </c>
      <c r="SI127" s="100">
        <f t="shared" si="1153"/>
        <v>0</v>
      </c>
      <c r="SJ127" s="100">
        <f t="shared" si="1153"/>
        <v>0</v>
      </c>
      <c r="SK127" s="100">
        <f t="shared" si="1153"/>
        <v>16100</v>
      </c>
      <c r="SL127" s="100">
        <f t="shared" si="1153"/>
        <v>305900</v>
      </c>
      <c r="SM127" s="100">
        <f t="shared" si="1153"/>
        <v>0</v>
      </c>
      <c r="SN127" s="100">
        <f t="shared" si="1153"/>
        <v>0</v>
      </c>
      <c r="SO127" s="100">
        <f t="shared" si="1153"/>
        <v>0</v>
      </c>
      <c r="SP127" s="100">
        <f t="shared" si="1153"/>
        <v>0</v>
      </c>
      <c r="SQ127" s="100">
        <f t="shared" si="1153"/>
        <v>0</v>
      </c>
      <c r="SR127" s="100">
        <f t="shared" si="1153"/>
        <v>0</v>
      </c>
      <c r="SS127" s="728">
        <f t="shared" si="1153"/>
        <v>16100</v>
      </c>
      <c r="ST127" s="728">
        <f t="shared" si="1153"/>
        <v>305900</v>
      </c>
      <c r="SU127" s="100">
        <f t="shared" si="1153"/>
        <v>0</v>
      </c>
      <c r="SV127" s="100">
        <f t="shared" si="1153"/>
        <v>0</v>
      </c>
      <c r="SW127" s="100">
        <f t="shared" si="1153"/>
        <v>0</v>
      </c>
      <c r="SX127" s="100">
        <f t="shared" si="1153"/>
        <v>0</v>
      </c>
      <c r="SY127" s="100">
        <f t="shared" si="1153"/>
        <v>0</v>
      </c>
      <c r="SZ127" s="100">
        <f t="shared" si="1153"/>
        <v>0</v>
      </c>
      <c r="TA127" s="100">
        <f t="shared" si="1153"/>
        <v>29899.97</v>
      </c>
      <c r="TB127" s="100">
        <f t="shared" si="1153"/>
        <v>664302.22199999995</v>
      </c>
      <c r="TC127" s="100">
        <f t="shared" si="1153"/>
        <v>0</v>
      </c>
      <c r="TD127" s="100">
        <f t="shared" si="1153"/>
        <v>0</v>
      </c>
      <c r="TE127" s="100">
        <f t="shared" si="1153"/>
        <v>0</v>
      </c>
      <c r="TF127" s="100">
        <f t="shared" si="1153"/>
        <v>0</v>
      </c>
      <c r="TG127" s="100">
        <f t="shared" si="1153"/>
        <v>0</v>
      </c>
      <c r="TH127" s="100">
        <f t="shared" si="1153"/>
        <v>0</v>
      </c>
      <c r="TI127" s="728">
        <f t="shared" si="1153"/>
        <v>29899.97</v>
      </c>
      <c r="TJ127" s="728">
        <f t="shared" si="1153"/>
        <v>664302.22199999995</v>
      </c>
      <c r="TK127" s="100">
        <f t="shared" ref="TK127:VV127" si="1154">SUM(TK128:TK164)</f>
        <v>0</v>
      </c>
      <c r="TL127" s="100">
        <f t="shared" si="1154"/>
        <v>0</v>
      </c>
      <c r="TM127" s="100">
        <f t="shared" si="1154"/>
        <v>0</v>
      </c>
      <c r="TN127" s="100">
        <f t="shared" si="1154"/>
        <v>0</v>
      </c>
      <c r="TO127" s="100">
        <f t="shared" si="1154"/>
        <v>0</v>
      </c>
      <c r="TP127" s="100">
        <f t="shared" si="1154"/>
        <v>0</v>
      </c>
      <c r="TQ127" s="100">
        <f t="shared" si="1154"/>
        <v>6000</v>
      </c>
      <c r="TR127" s="100">
        <f t="shared" si="1154"/>
        <v>123600</v>
      </c>
      <c r="TS127" s="100">
        <f t="shared" si="1154"/>
        <v>0</v>
      </c>
      <c r="TT127" s="100">
        <f t="shared" si="1154"/>
        <v>0</v>
      </c>
      <c r="TU127" s="100">
        <f t="shared" si="1154"/>
        <v>950</v>
      </c>
      <c r="TV127" s="100">
        <f t="shared" si="1154"/>
        <v>31000</v>
      </c>
      <c r="TW127" s="100">
        <f t="shared" si="1154"/>
        <v>0</v>
      </c>
      <c r="TX127" s="100">
        <f t="shared" si="1154"/>
        <v>0</v>
      </c>
      <c r="TY127" s="728">
        <f t="shared" si="1154"/>
        <v>6950</v>
      </c>
      <c r="TZ127" s="728">
        <f t="shared" si="1154"/>
        <v>154600</v>
      </c>
      <c r="UA127" s="100">
        <f t="shared" si="1154"/>
        <v>0</v>
      </c>
      <c r="UB127" s="100">
        <f t="shared" si="1154"/>
        <v>0</v>
      </c>
      <c r="UC127" s="100">
        <f t="shared" si="1154"/>
        <v>0</v>
      </c>
      <c r="UD127" s="100">
        <f t="shared" si="1154"/>
        <v>0</v>
      </c>
      <c r="UE127" s="100">
        <f t="shared" si="1154"/>
        <v>0</v>
      </c>
      <c r="UF127" s="100">
        <f t="shared" si="1154"/>
        <v>0</v>
      </c>
      <c r="UG127" s="100">
        <f t="shared" si="1154"/>
        <v>18964</v>
      </c>
      <c r="UH127" s="100">
        <f t="shared" si="1154"/>
        <v>347325</v>
      </c>
      <c r="UI127" s="100">
        <f t="shared" si="1154"/>
        <v>0</v>
      </c>
      <c r="UJ127" s="100">
        <f t="shared" si="1154"/>
        <v>0</v>
      </c>
      <c r="UK127" s="100">
        <f t="shared" si="1154"/>
        <v>0</v>
      </c>
      <c r="UL127" s="100">
        <f t="shared" si="1154"/>
        <v>0</v>
      </c>
      <c r="UM127" s="100">
        <f t="shared" si="1154"/>
        <v>0</v>
      </c>
      <c r="UN127" s="100">
        <f t="shared" si="1154"/>
        <v>0</v>
      </c>
      <c r="UO127" s="728">
        <f t="shared" si="1154"/>
        <v>18964</v>
      </c>
      <c r="UP127" s="728">
        <f t="shared" si="1154"/>
        <v>347325</v>
      </c>
      <c r="UQ127" s="100">
        <f t="shared" si="1154"/>
        <v>0</v>
      </c>
      <c r="UR127" s="100">
        <f t="shared" si="1154"/>
        <v>0</v>
      </c>
      <c r="US127" s="100">
        <f t="shared" si="1154"/>
        <v>210445</v>
      </c>
      <c r="UT127" s="100">
        <f t="shared" si="1154"/>
        <v>1603920</v>
      </c>
      <c r="UU127" s="100">
        <f t="shared" si="1154"/>
        <v>0</v>
      </c>
      <c r="UV127" s="100">
        <f t="shared" si="1154"/>
        <v>0</v>
      </c>
      <c r="UW127" s="100">
        <f t="shared" si="1154"/>
        <v>6923</v>
      </c>
      <c r="UX127" s="100">
        <f t="shared" si="1154"/>
        <v>138460</v>
      </c>
      <c r="UY127" s="100">
        <f t="shared" si="1154"/>
        <v>0</v>
      </c>
      <c r="UZ127" s="100">
        <f t="shared" si="1154"/>
        <v>0</v>
      </c>
      <c r="VA127" s="100">
        <f t="shared" si="1154"/>
        <v>0</v>
      </c>
      <c r="VB127" s="100">
        <f t="shared" si="1154"/>
        <v>0</v>
      </c>
      <c r="VC127" s="100">
        <f t="shared" si="1154"/>
        <v>0</v>
      </c>
      <c r="VD127" s="100">
        <f t="shared" si="1154"/>
        <v>0</v>
      </c>
      <c r="VE127" s="728">
        <f t="shared" si="1154"/>
        <v>217368</v>
      </c>
      <c r="VF127" s="728">
        <f t="shared" si="1154"/>
        <v>1742380</v>
      </c>
      <c r="VG127" s="100">
        <f t="shared" si="1154"/>
        <v>0</v>
      </c>
      <c r="VH127" s="100">
        <f t="shared" si="1154"/>
        <v>0</v>
      </c>
      <c r="VI127" s="100">
        <f t="shared" si="1154"/>
        <v>11378</v>
      </c>
      <c r="VJ127" s="100">
        <f t="shared" si="1154"/>
        <v>478164</v>
      </c>
      <c r="VK127" s="100">
        <f t="shared" si="1154"/>
        <v>0</v>
      </c>
      <c r="VL127" s="100">
        <f t="shared" si="1154"/>
        <v>0</v>
      </c>
      <c r="VM127" s="100">
        <f t="shared" si="1154"/>
        <v>12745</v>
      </c>
      <c r="VN127" s="100">
        <f t="shared" si="1154"/>
        <v>258991</v>
      </c>
      <c r="VO127" s="100">
        <f t="shared" si="1154"/>
        <v>0</v>
      </c>
      <c r="VP127" s="100">
        <f t="shared" si="1154"/>
        <v>0</v>
      </c>
      <c r="VQ127" s="100">
        <f t="shared" si="1154"/>
        <v>0</v>
      </c>
      <c r="VR127" s="100">
        <f t="shared" si="1154"/>
        <v>0</v>
      </c>
      <c r="VS127" s="100">
        <f t="shared" si="1154"/>
        <v>0</v>
      </c>
      <c r="VT127" s="100">
        <f t="shared" si="1154"/>
        <v>0</v>
      </c>
      <c r="VU127" s="728">
        <f t="shared" si="1154"/>
        <v>24123</v>
      </c>
      <c r="VV127" s="728">
        <f t="shared" si="1154"/>
        <v>737155</v>
      </c>
      <c r="VW127" s="100">
        <f t="shared" ref="VW127:WL127" si="1155">SUM(VW128:VW164)</f>
        <v>0</v>
      </c>
      <c r="VX127" s="100">
        <f t="shared" si="1155"/>
        <v>0</v>
      </c>
      <c r="VY127" s="100">
        <f t="shared" si="1155"/>
        <v>365391</v>
      </c>
      <c r="VZ127" s="100">
        <f t="shared" si="1155"/>
        <v>13596917</v>
      </c>
      <c r="WA127" s="100">
        <f t="shared" si="1155"/>
        <v>0</v>
      </c>
      <c r="WB127" s="100">
        <f t="shared" si="1155"/>
        <v>0</v>
      </c>
      <c r="WC127" s="100">
        <f t="shared" si="1155"/>
        <v>316923</v>
      </c>
      <c r="WD127" s="100">
        <f t="shared" si="1155"/>
        <v>8147204</v>
      </c>
      <c r="WE127" s="100">
        <f t="shared" si="1155"/>
        <v>0</v>
      </c>
      <c r="WF127" s="100">
        <f t="shared" si="1155"/>
        <v>0</v>
      </c>
      <c r="WG127" s="100">
        <f t="shared" si="1155"/>
        <v>0</v>
      </c>
      <c r="WH127" s="100">
        <f t="shared" si="1155"/>
        <v>0</v>
      </c>
      <c r="WI127" s="100">
        <f t="shared" si="1155"/>
        <v>8216</v>
      </c>
      <c r="WJ127" s="100">
        <f t="shared" si="1155"/>
        <v>180752</v>
      </c>
      <c r="WK127" s="728">
        <f t="shared" si="1155"/>
        <v>690530</v>
      </c>
      <c r="WL127" s="728">
        <f t="shared" si="1155"/>
        <v>21924873</v>
      </c>
      <c r="WM127" s="89"/>
      <c r="WN127" s="96">
        <f t="shared" ref="WN127:XF127" si="1156">SUM(WN128:WN164)</f>
        <v>55914419</v>
      </c>
      <c r="WO127" s="96">
        <f t="shared" si="1156"/>
        <v>286962217</v>
      </c>
      <c r="WP127" s="96">
        <f t="shared" si="1156"/>
        <v>23327004.750470564</v>
      </c>
      <c r="WQ127" s="96">
        <f t="shared" si="1156"/>
        <v>823082561.01300001</v>
      </c>
      <c r="WR127" s="96">
        <f t="shared" si="1156"/>
        <v>0</v>
      </c>
      <c r="WS127" s="96">
        <f t="shared" si="1156"/>
        <v>0</v>
      </c>
      <c r="WT127" s="96">
        <f t="shared" si="1156"/>
        <v>35650314.939999998</v>
      </c>
      <c r="WU127" s="96">
        <f t="shared" si="1156"/>
        <v>745695617.5242604</v>
      </c>
      <c r="WV127" s="96">
        <f t="shared" si="1156"/>
        <v>1845651</v>
      </c>
      <c r="WW127" s="96">
        <f t="shared" si="1156"/>
        <v>47400255</v>
      </c>
      <c r="WX127" s="96">
        <f t="shared" si="1156"/>
        <v>534179</v>
      </c>
      <c r="WY127" s="96">
        <f t="shared" si="1156"/>
        <v>10110138</v>
      </c>
      <c r="WZ127" s="96">
        <f t="shared" si="1156"/>
        <v>587552.41</v>
      </c>
      <c r="XA127" s="96">
        <f t="shared" si="1156"/>
        <v>13994480</v>
      </c>
      <c r="XB127" s="96">
        <f t="shared" si="1156"/>
        <v>117859121.10047056</v>
      </c>
      <c r="XC127" s="96">
        <f t="shared" si="1156"/>
        <v>1927245268.5372601</v>
      </c>
      <c r="XD127" s="633" t="s">
        <v>173</v>
      </c>
      <c r="XE127" s="96">
        <f t="shared" si="1156"/>
        <v>376637039.58380967</v>
      </c>
      <c r="XF127" s="96">
        <f t="shared" si="1156"/>
        <v>5253137303.9832497</v>
      </c>
      <c r="XG127" s="89"/>
      <c r="XH127" s="96"/>
      <c r="XI127" s="96"/>
      <c r="XJ127" s="89"/>
      <c r="XK127" s="96"/>
      <c r="XL127" s="96"/>
      <c r="XM127" s="96"/>
      <c r="XN127" s="96"/>
      <c r="XO127" s="96"/>
      <c r="XP127" s="96"/>
      <c r="XQ127" s="96"/>
      <c r="XR127" s="96">
        <f t="shared" ref="XR127" ca="1" si="1157">SUM(XR128:XR164)</f>
        <v>0</v>
      </c>
      <c r="XS127" s="89"/>
      <c r="XT127" s="96"/>
      <c r="XU127" s="96"/>
      <c r="XV127" s="96"/>
      <c r="XW127" s="96"/>
      <c r="XX127" s="96"/>
      <c r="XY127" s="96"/>
      <c r="XZ127" s="96"/>
      <c r="YA127" s="96">
        <f t="shared" ref="YA127" ca="1" si="1158">SUM(YA128:YA164)</f>
        <v>0</v>
      </c>
    </row>
    <row r="128" spans="1:1017">
      <c r="A128" s="98" t="s">
        <v>48</v>
      </c>
      <c r="B128" s="90" t="str">
        <f t="shared" ref="B128:B154" si="1159">B90</f>
        <v xml:space="preserve">Bandeng </v>
      </c>
      <c r="E128" s="98">
        <v>262700</v>
      </c>
      <c r="F128" s="98">
        <v>7355600</v>
      </c>
      <c r="I128" s="98">
        <v>15750</v>
      </c>
      <c r="J128" s="98">
        <v>393750</v>
      </c>
      <c r="Q128" s="91">
        <f t="shared" ref="Q128:Q164" si="1160">SUMIF($C$12:$P$12,$A$1,C128:P128)</f>
        <v>278450</v>
      </c>
      <c r="R128" s="91">
        <f t="shared" ref="R128:R164" si="1161">SUMIF($C$12:$P$12,$A$3,C128:P128)</f>
        <v>7749350</v>
      </c>
      <c r="U128" s="98">
        <v>3180</v>
      </c>
      <c r="V128" s="98">
        <v>63600</v>
      </c>
      <c r="AG128" s="91">
        <f t="shared" ref="AG128:AG164" si="1162">SUMIF($C$12:$P$12,$A$1,S128:AF128)</f>
        <v>3180</v>
      </c>
      <c r="AH128" s="91">
        <f t="shared" ref="AH128:AH164" si="1163">SUMIF($C$12:$P$12,$A$3,S128:AF128)</f>
        <v>63600</v>
      </c>
      <c r="AW128" s="91">
        <f t="shared" ref="AW128:AW164" si="1164">SUMIF($C$12:$P$12,$A$1,AI128:AV128)</f>
        <v>0</v>
      </c>
      <c r="AX128" s="91">
        <f t="shared" ref="AX128:AX164" si="1165">SUMIF($C$12:$P$12,$A$3,AI128:AV128)</f>
        <v>0</v>
      </c>
      <c r="BG128" s="98">
        <v>3219</v>
      </c>
      <c r="BH128" s="98">
        <v>54723</v>
      </c>
      <c r="BM128" s="91">
        <f t="shared" ref="BM128:BM164" si="1166">SUMIF($C$12:$P$12,$A$1,AY128:BL128)</f>
        <v>3219</v>
      </c>
      <c r="BN128" s="91">
        <f t="shared" ref="BN128:BN164" si="1167">SUMIF($C$12:$P$12,$A$3,AY128:BL128)</f>
        <v>54723</v>
      </c>
      <c r="CC128" s="91">
        <f t="shared" ref="CC128:CC164" si="1168">SUMIF($C$12:$P$12,$A$1,BO128:CB128)</f>
        <v>0</v>
      </c>
      <c r="CD128" s="91">
        <f t="shared" ref="CD128:CD164" si="1169">SUMIF($C$12:$P$12,$A$3,BO128:CB128)</f>
        <v>0</v>
      </c>
      <c r="CG128" s="98">
        <v>4958079</v>
      </c>
      <c r="CH128" s="98">
        <v>118993895</v>
      </c>
      <c r="CK128" s="98">
        <v>3752172</v>
      </c>
      <c r="CL128" s="98">
        <v>86299951</v>
      </c>
      <c r="CS128" s="91">
        <f t="shared" ref="CS128" si="1170">SUMIF($C$12:$P$12,$A$1,CE128:CR128)</f>
        <v>8710251</v>
      </c>
      <c r="CT128" s="91">
        <f t="shared" ref="CT128" si="1171">SUMIF($C$12:$P$12,$A$3,CE128:CR128)</f>
        <v>205293846</v>
      </c>
      <c r="CW128" s="98">
        <v>2754.0004311989996</v>
      </c>
      <c r="CX128" s="98">
        <v>55080.01</v>
      </c>
      <c r="DI128" s="91">
        <f t="shared" ref="DI128:DI164" si="1172">SUMIF($C$12:$P$12,$A$1,CU128:DH128)</f>
        <v>2754.0004311989996</v>
      </c>
      <c r="DJ128" s="91">
        <f t="shared" ref="DJ128:DJ164" si="1173">SUMIF($C$12:$P$12,$A$3,CU128:DH128)</f>
        <v>55080.01</v>
      </c>
      <c r="DY128" s="91">
        <f t="shared" ref="DY128:DY164" si="1174">SUMIF($C$12:$P$12,$A$1,DK128:DX128)</f>
        <v>0</v>
      </c>
      <c r="DZ128" s="91">
        <f t="shared" ref="DZ128:DZ164" si="1175">SUMIF($C$12:$P$12,$A$3,DK128:DX128)</f>
        <v>0</v>
      </c>
      <c r="EO128" s="91">
        <f t="shared" ref="EO128:EO164" si="1176">SUMIF($C$12:$P$12,$A$1,EA128:EN128)</f>
        <v>0</v>
      </c>
      <c r="EP128" s="91">
        <f t="shared" ref="EP128:EP164" si="1177">SUMIF($C$12:$P$12,$A$3,EA128:EN128)</f>
        <v>0</v>
      </c>
      <c r="ES128" s="98">
        <v>59786</v>
      </c>
      <c r="ET128" s="98">
        <v>896790</v>
      </c>
      <c r="EW128" s="98">
        <v>2301319</v>
      </c>
      <c r="EX128" s="98">
        <v>37971764</v>
      </c>
      <c r="FE128" s="91">
        <f t="shared" ref="FE128:FE164" si="1178">SUMIF($C$12:$P$12,$A$1,EQ128:FD128)</f>
        <v>2361105</v>
      </c>
      <c r="FF128" s="91">
        <f t="shared" ref="FF128:FF164" si="1179">SUMIF($C$12:$P$12,$A$3,EQ128:FD128)</f>
        <v>38868554</v>
      </c>
      <c r="FU128" s="91">
        <f t="shared" ref="FU128:FU164" si="1180">SUMIF($C$12:$P$12,$A$1,FG128:FT128)</f>
        <v>0</v>
      </c>
      <c r="FV128" s="91">
        <f t="shared" ref="FV128:FV164" si="1181">SUMIF($C$12:$P$12,$A$3,FG128:FT128)</f>
        <v>0</v>
      </c>
      <c r="GK128" s="91">
        <f t="shared" ref="GK128:GK164" si="1182">SUMIF($C$12:$P$12,$A$1,FW128:GJ128)</f>
        <v>0</v>
      </c>
      <c r="GL128" s="91">
        <f t="shared" ref="GL128:GL164" si="1183">SUMIF($C$12:$P$12,$A$3,FW128:GJ128)</f>
        <v>0</v>
      </c>
      <c r="HA128" s="91">
        <f t="shared" ref="HA128:HA164" si="1184">SUMIF($C$12:$P$12,$A$1,GM128:GZ128)</f>
        <v>0</v>
      </c>
      <c r="HB128" s="91">
        <f t="shared" ref="HB128:HB164" si="1185">SUMIF($C$12:$P$12,$A$3,GM128:GZ128)</f>
        <v>0</v>
      </c>
      <c r="HQ128" s="91">
        <f t="shared" ref="HQ128:HQ164" si="1186">SUMIF($C$12:$P$12,$A$1,HC128:HP128)</f>
        <v>0</v>
      </c>
      <c r="HR128" s="91">
        <f t="shared" ref="HR128:HR164" si="1187">SUMIF($C$12:$P$12,$A$3,HC128:HP128)</f>
        <v>0</v>
      </c>
      <c r="IG128" s="91">
        <f t="shared" ref="IG128:IG164" si="1188">SUMIF($C$12:$P$12,$A$1,HS128:IF128)</f>
        <v>0</v>
      </c>
      <c r="IH128" s="91">
        <f t="shared" ref="IH128:IH164" si="1189">SUMIF($C$12:$P$12,$A$3,HS128:IF128)</f>
        <v>0</v>
      </c>
      <c r="IW128" s="91">
        <f t="shared" ref="IW128:IW164" si="1190">SUMIF($C$12:$P$12,$A$1,II128:IV128)</f>
        <v>0</v>
      </c>
      <c r="IX128" s="91">
        <f t="shared" ref="IX128:IX164" si="1191">SUMIF($C$12:$P$12,$A$3,II128:IV128)</f>
        <v>0</v>
      </c>
      <c r="JM128" s="91">
        <f t="shared" ref="JM128:JM164" si="1192">SUMIF($C$12:$P$12,$A$1,IY128:JL128)</f>
        <v>0</v>
      </c>
      <c r="JN128" s="91">
        <f t="shared" ref="JN128:JN164" si="1193">SUMIF($C$12:$P$12,$A$3,IY128:JL128)</f>
        <v>0</v>
      </c>
      <c r="KC128" s="91">
        <f t="shared" ref="KC128:KC164" si="1194">SUMIF($C$12:$P$12,$A$1,JO128:KB128)</f>
        <v>0</v>
      </c>
      <c r="KD128" s="91">
        <f t="shared" ref="KD128:KD164" si="1195">SUMIF($C$12:$P$12,$A$3,JO128:KB128)</f>
        <v>0</v>
      </c>
      <c r="KG128" s="98">
        <v>305</v>
      </c>
      <c r="KH128" s="98">
        <v>9150</v>
      </c>
      <c r="KS128" s="91">
        <f t="shared" ref="KS128:KS164" si="1196">SUMIF($C$12:$P$12,$A$1,KE128:KR128)</f>
        <v>305</v>
      </c>
      <c r="KT128" s="91">
        <f t="shared" ref="KT128:KT164" si="1197">SUMIF($C$12:$P$12,$A$3,KE128:KR128)</f>
        <v>9150</v>
      </c>
      <c r="KW128" s="98">
        <v>181736.78</v>
      </c>
      <c r="KX128" s="98">
        <v>3634735</v>
      </c>
      <c r="LI128" s="91">
        <f t="shared" ref="LI128:LI164" si="1198">SUMIF($C$12:$P$12,$A$1,KU128:LH128)</f>
        <v>181736.78</v>
      </c>
      <c r="LJ128" s="91">
        <f t="shared" ref="LJ128:LJ164" si="1199">SUMIF($C$12:$P$12,$A$3,KU128:LH128)</f>
        <v>3634735</v>
      </c>
      <c r="LY128" s="91">
        <f t="shared" ref="LY128:LY164" si="1200">SUMIF($C$12:$P$12,$A$1,LK128:LX128)</f>
        <v>0</v>
      </c>
      <c r="LZ128" s="91">
        <f t="shared" ref="LZ128:LZ164" si="1201">SUMIF($C$12:$P$12,$A$3,LK128:LX128)</f>
        <v>0</v>
      </c>
      <c r="MC128" s="98">
        <v>218400</v>
      </c>
      <c r="MD128" s="98">
        <v>3276000</v>
      </c>
      <c r="MO128" s="91">
        <f t="shared" ref="MO128:MO164" si="1202">SUMIF($C$12:$P$12,$A$1,MA128:MN128)</f>
        <v>218400</v>
      </c>
      <c r="MP128" s="91">
        <f t="shared" ref="MP128:MP164" si="1203">SUMIF($C$12:$P$12,$A$3,MA128:MN128)</f>
        <v>3276000</v>
      </c>
      <c r="MS128" s="98">
        <v>33983</v>
      </c>
      <c r="MT128" s="98">
        <v>951524</v>
      </c>
      <c r="NE128" s="91">
        <f t="shared" ref="NE128:NE164" si="1204">SUMIF($C$12:$P$12,$A$1,MQ128:ND128)</f>
        <v>33983</v>
      </c>
      <c r="NF128" s="91">
        <f t="shared" ref="NF128:NF164" si="1205">SUMIF($C$12:$P$12,$A$3,MQ128:ND128)</f>
        <v>951524</v>
      </c>
      <c r="NI128" s="98">
        <v>2281600</v>
      </c>
      <c r="NJ128" s="98">
        <v>50195200</v>
      </c>
      <c r="NU128" s="91">
        <f t="shared" ref="NU128:NU164" si="1206">SUMIF($C$12:$P$12,$A$1,NG128:NT128)</f>
        <v>2281600</v>
      </c>
      <c r="NV128" s="91">
        <f t="shared" ref="NV128:NV164" si="1207">SUMIF($C$12:$P$12,$A$3,NG128:NT128)</f>
        <v>50195200</v>
      </c>
      <c r="NW128" s="98">
        <v>100</v>
      </c>
      <c r="NX128" s="98">
        <v>4500</v>
      </c>
      <c r="NY128" s="98">
        <v>160</v>
      </c>
      <c r="NZ128" s="98">
        <v>2880</v>
      </c>
      <c r="OK128" s="91">
        <f t="shared" ref="OK128:OK164" si="1208">SUMIF($C$12:$P$12,$A$1,NW128:OJ128)</f>
        <v>260</v>
      </c>
      <c r="OL128" s="91">
        <f t="shared" ref="OL128:OL164" si="1209">SUMIF($C$12:$P$12,$A$3,NW128:OJ128)</f>
        <v>7380</v>
      </c>
      <c r="OO128" s="98">
        <v>85520</v>
      </c>
      <c r="OP128" s="98">
        <v>2565600</v>
      </c>
      <c r="PA128" s="91">
        <f t="shared" ref="PA128:PA164" si="1210">SUMIF($C$12:$P$12,$A$1,OM128:OZ128)</f>
        <v>85520</v>
      </c>
      <c r="PB128" s="91">
        <f t="shared" ref="PB128:PB164" si="1211">SUMIF($C$12:$P$12,$A$3,OM128:OZ128)</f>
        <v>2565600</v>
      </c>
      <c r="PQ128" s="91">
        <f t="shared" ref="PQ128:PQ164" si="1212">SUMIF($C$12:$P$12,$A$1,PC128:PP128)</f>
        <v>0</v>
      </c>
      <c r="PR128" s="91">
        <f t="shared" ref="PR128:PR164" si="1213">SUMIF($C$12:$P$12,$A$3,PC128:PP128)</f>
        <v>0</v>
      </c>
      <c r="PU128" s="98">
        <v>439140</v>
      </c>
      <c r="PV128" s="98">
        <v>8782800</v>
      </c>
      <c r="QA128" s="98">
        <v>568650</v>
      </c>
      <c r="QB128" s="98">
        <v>11373000</v>
      </c>
      <c r="QG128" s="91">
        <f t="shared" ref="QG128:QG164" si="1214">SUMIF($C$12:$P$12,$A$1,PS128:QF128)</f>
        <v>1007790</v>
      </c>
      <c r="QH128" s="91">
        <f t="shared" ref="QH128:QH164" si="1215">SUMIF($C$12:$P$12,$A$3,PS128:QF128)</f>
        <v>20155800</v>
      </c>
      <c r="QW128" s="91">
        <f t="shared" ref="QW128:QW164" si="1216">SUMIF($C$12:$P$12,$A$1,QI128:QV128)</f>
        <v>0</v>
      </c>
      <c r="QX128" s="91">
        <f t="shared" ref="QX128:QX164" si="1217">SUMIF($C$12:$P$12,$A$3,QI128:QV128)</f>
        <v>0</v>
      </c>
      <c r="RM128" s="91">
        <f t="shared" ref="RM128:RM164" si="1218">SUMIF($C$12:$P$12,$A$1,QY128:RL128)</f>
        <v>0</v>
      </c>
      <c r="RN128" s="91">
        <f t="shared" ref="RN128:RN164" si="1219">SUMIF($C$12:$P$12,$A$3,QY128:RL128)</f>
        <v>0</v>
      </c>
      <c r="SC128" s="91">
        <f t="shared" ref="SC128:SC164" si="1220">SUMIF($C$12:$P$12,$A$1,RO128:SB128)</f>
        <v>0</v>
      </c>
      <c r="SD128" s="91">
        <f t="shared" ref="SD128:SD164" si="1221">SUMIF($C$12:$P$12,$A$3,RO128:SB128)</f>
        <v>0</v>
      </c>
      <c r="SS128" s="91">
        <f t="shared" ref="SS128:SS164" si="1222">SUMIF($C$12:$P$12,$A$1,SE128:SR128)</f>
        <v>0</v>
      </c>
      <c r="ST128" s="91">
        <f t="shared" ref="ST128:ST164" si="1223">SUMIF($C$12:$P$12,$A$3,SE128:SR128)</f>
        <v>0</v>
      </c>
      <c r="TI128" s="91">
        <f t="shared" ref="TI128:TI164" si="1224">SUMIF($C$12:$P$12,$A$1,SU128:TH128)</f>
        <v>0</v>
      </c>
      <c r="TJ128" s="91">
        <f t="shared" ref="TJ128:TJ164" si="1225">SUMIF($C$12:$P$12,$A$3,SU128:TH128)</f>
        <v>0</v>
      </c>
      <c r="TY128" s="91">
        <f t="shared" ref="TY128:TY164" si="1226">SUMIF($C$12:$P$12,$A$1,TK128:TX128)</f>
        <v>0</v>
      </c>
      <c r="TZ128" s="91">
        <f t="shared" ref="TZ128:TZ164" si="1227">SUMIF($C$12:$P$12,$A$3,TK128:TX128)</f>
        <v>0</v>
      </c>
      <c r="UO128" s="91">
        <f t="shared" ref="UO128:UO164" si="1228">SUMIF($C$12:$P$12,$A$1,UA128:UN128)</f>
        <v>0</v>
      </c>
      <c r="UP128" s="91">
        <f t="shared" ref="UP128:UP162" si="1229">SUMIF($C$12:$P$12,$A$3,UA128:UN128)</f>
        <v>0</v>
      </c>
      <c r="US128" s="98">
        <v>94445</v>
      </c>
      <c r="UT128" s="98">
        <v>1511120</v>
      </c>
      <c r="VE128" s="91">
        <f t="shared" ref="VE128:VE164" si="1230">SUMIF($C$12:$P$12,$A$1,UQ128:VD128)</f>
        <v>94445</v>
      </c>
      <c r="VF128" s="91">
        <f t="shared" ref="VF128:VF164" si="1231">SUMIF($C$12:$P$12,$A$3,UQ128:VD128)</f>
        <v>1511120</v>
      </c>
      <c r="VI128" s="98">
        <v>3392</v>
      </c>
      <c r="VJ128" s="98">
        <v>54272</v>
      </c>
      <c r="VU128" s="91">
        <f t="shared" ref="VU128:VU164" si="1232">SUMIF($C$12:$P$12,$A$1,VG128:VT128)</f>
        <v>3392</v>
      </c>
      <c r="VV128" s="91">
        <f t="shared" ref="VV128:VV164" si="1233">SUMIF($C$12:$P$12,$A$3,VG128:VT128)</f>
        <v>54272</v>
      </c>
      <c r="VY128" s="98">
        <v>182131</v>
      </c>
      <c r="VZ128" s="98">
        <v>6010323</v>
      </c>
      <c r="WC128" s="98">
        <v>114359</v>
      </c>
      <c r="WD128" s="98">
        <v>3430770</v>
      </c>
      <c r="WK128" s="91">
        <f t="shared" ref="WK128:WK164" si="1234">SUMIF($C$12:$P$12,$A$1,VW128:WJ128)</f>
        <v>296490</v>
      </c>
      <c r="WL128" s="91">
        <f t="shared" ref="WL128:WL164" si="1235">SUMIF($C$12:$P$12,$A$3,VW128:WJ128)</f>
        <v>9441093</v>
      </c>
      <c r="WM128" s="89"/>
      <c r="WN128" s="87">
        <f t="shared" ref="WN128:WN155" si="1236">SUMIF($C$5:$WL$5,$WN$5,C128:WL128)</f>
        <v>100</v>
      </c>
      <c r="WO128" s="87">
        <f t="shared" ref="WO128:WO155" si="1237">SUMIF($C$5:$WL$5,$WO$5,C128:WL128)</f>
        <v>4500</v>
      </c>
      <c r="WP128" s="87">
        <f t="shared" ref="WP128:WP155" si="1238">SUMIF($C$5:$WL$5,$WP$5,C128:WL128)</f>
        <v>8807311.7804311998</v>
      </c>
      <c r="WQ128" s="87">
        <f t="shared" ref="WQ128:WQ155" si="1239">SUMIF($C$5:$WL$5,$WQ$5,C128:WL128)</f>
        <v>204358569.00999999</v>
      </c>
      <c r="WR128" s="87">
        <f t="shared" ref="WR128:WR155" si="1240">SUMIF($C$5:$WL$5,$WR$5,C128:WL128)</f>
        <v>0</v>
      </c>
      <c r="WS128" s="87">
        <f t="shared" ref="WS128:WS155" si="1241">SUMIF($C$5:$WL$5,$WS$5,C128:WL128)</f>
        <v>0</v>
      </c>
      <c r="WT128" s="87">
        <f t="shared" ref="WT128:WT155" si="1242">SUMIF($C$5:$WL$5,$WT$5,C128:WL128)</f>
        <v>6183600</v>
      </c>
      <c r="WU128" s="87">
        <f t="shared" ref="WU128:WU155" si="1243">SUMIF($C$5:$WL$5,$WU$5,C128:WL128)</f>
        <v>128096235</v>
      </c>
      <c r="WV128" s="87">
        <f t="shared" ref="WV128:WV155" si="1244">SUMIF($C$5:$WL$5,$WV$5,C128:WL128)</f>
        <v>571869</v>
      </c>
      <c r="WW128" s="87">
        <f t="shared" ref="WW128:WW155" si="1245">SUMIF($C$5:$WL$5,$WW$5,C128:WL128)</f>
        <v>11427723</v>
      </c>
      <c r="WX128" s="87">
        <f t="shared" ref="WX128:WX155" si="1246">SUMIF($C$5:$WL$5,$WX$5,C128:WL128)</f>
        <v>0</v>
      </c>
      <c r="WY128" s="87">
        <f t="shared" ref="WY128:WY155" si="1247">SUMIF($C$5:$WL$5,$WY$5,C128:WL128)</f>
        <v>0</v>
      </c>
      <c r="WZ128" s="87">
        <f t="shared" ref="WZ128:WZ150" si="1248">SUMIF($C$5:$WL$5,$WZ$5,C128:WL128)</f>
        <v>0</v>
      </c>
      <c r="XA128" s="87">
        <f t="shared" ref="XA128:XA150" si="1249">SUMIF($C$5:$WL$5,$XA$5,C128:WL128)</f>
        <v>0</v>
      </c>
      <c r="XB128" s="92">
        <f t="shared" ref="XB128:XB155" si="1250">SUMIF($WN$12:$XA$12,$XB$12,WN128:XA128)</f>
        <v>15562880.7804312</v>
      </c>
      <c r="XC128" s="92">
        <f t="shared" ref="XC128:XC155" si="1251">SUMIF($WN$12:$XA$12,$XC$12,WN128:XA128)</f>
        <v>343887027.00999999</v>
      </c>
      <c r="XD128" s="633" t="s">
        <v>173</v>
      </c>
      <c r="XE128" s="92">
        <f>SUM(XB356,XB394,XB432)</f>
        <v>36048545.601873249</v>
      </c>
      <c r="XF128" s="92">
        <f>SUM(XC356,XC394,XC432)</f>
        <v>818251036.7502569</v>
      </c>
      <c r="XG128" s="633"/>
      <c r="XH128" s="92"/>
      <c r="XI128" s="92"/>
      <c r="XJ128" s="633"/>
      <c r="XK128" s="87"/>
      <c r="XL128" s="87"/>
      <c r="XM128" s="87"/>
      <c r="XN128" s="87"/>
      <c r="XO128" s="87"/>
      <c r="XP128" s="87"/>
      <c r="XQ128" s="87"/>
      <c r="XR128" s="92">
        <f t="shared" ref="XR128:XR164" ca="1" si="1252">SUMIF($WN$12:$XA$12,$XB$12,XK128:XQ128)</f>
        <v>0</v>
      </c>
      <c r="XS128" s="633"/>
      <c r="XT128" s="87"/>
      <c r="XU128" s="87"/>
      <c r="XV128" s="87"/>
      <c r="XW128" s="87"/>
      <c r="XX128" s="87"/>
      <c r="XY128" s="87"/>
      <c r="XZ128" s="87"/>
      <c r="YA128" s="92">
        <f t="shared" ref="YA128:YA164" ca="1" si="1253">SUMIF($WN$12:$XA$12,$XB$12,XT128:XZ128)</f>
        <v>0</v>
      </c>
      <c r="YB128" s="90"/>
      <c r="YC128" s="90"/>
      <c r="YD128" s="90"/>
      <c r="YE128" s="90"/>
      <c r="YF128" s="90"/>
      <c r="YG128" s="90"/>
      <c r="YH128" s="90"/>
      <c r="YI128" s="90"/>
      <c r="YJ128" s="90"/>
      <c r="YK128" s="90"/>
      <c r="YL128" s="90"/>
      <c r="YM128" s="90"/>
      <c r="YN128" s="90"/>
      <c r="YO128" s="90"/>
      <c r="YP128" s="90"/>
      <c r="YQ128" s="90"/>
      <c r="YR128" s="90"/>
      <c r="YS128" s="90"/>
      <c r="YT128" s="90"/>
      <c r="YU128" s="90"/>
      <c r="YV128" s="90"/>
      <c r="YW128" s="90"/>
      <c r="YX128" s="90"/>
      <c r="YY128" s="90"/>
      <c r="YZ128" s="90"/>
      <c r="ZA128" s="90"/>
      <c r="ZB128" s="90"/>
      <c r="ZC128" s="90"/>
      <c r="ZD128" s="90"/>
      <c r="ZE128" s="90"/>
      <c r="ZF128" s="90"/>
      <c r="ZG128" s="90"/>
      <c r="ZH128" s="90"/>
      <c r="ZI128" s="90"/>
      <c r="ZJ128" s="90"/>
      <c r="ZK128" s="90"/>
      <c r="ZL128" s="90"/>
      <c r="ZM128" s="90"/>
      <c r="ZN128" s="90"/>
      <c r="ZO128" s="90"/>
      <c r="ZP128" s="90"/>
      <c r="ZQ128" s="90"/>
      <c r="ZR128" s="90"/>
      <c r="ZS128" s="90"/>
      <c r="ZT128" s="90"/>
      <c r="ZU128" s="90"/>
      <c r="ZV128" s="90"/>
      <c r="ZW128" s="90"/>
      <c r="ZX128" s="90"/>
      <c r="ZY128" s="90"/>
      <c r="ZZ128" s="90"/>
      <c r="AAA128" s="90"/>
      <c r="AAB128" s="90"/>
      <c r="AAC128" s="90"/>
      <c r="AAD128" s="90"/>
      <c r="AAE128" s="90"/>
      <c r="AAF128" s="90"/>
      <c r="AAG128" s="90"/>
      <c r="AAH128" s="90"/>
      <c r="AAI128" s="90"/>
      <c r="AAJ128" s="90"/>
      <c r="AAK128" s="90"/>
      <c r="AAL128" s="90"/>
      <c r="AAM128" s="90"/>
      <c r="AAN128" s="90"/>
      <c r="AAO128" s="90"/>
      <c r="AAP128" s="90"/>
      <c r="AAQ128" s="90"/>
      <c r="AAR128" s="90"/>
      <c r="AAS128" s="90"/>
      <c r="AAT128" s="90"/>
      <c r="AAU128" s="90"/>
      <c r="AAV128" s="90"/>
      <c r="AAW128" s="90"/>
      <c r="AAX128" s="90"/>
      <c r="AAY128" s="90"/>
      <c r="AAZ128" s="90"/>
      <c r="ABA128" s="90"/>
      <c r="ABB128" s="90"/>
      <c r="ABC128" s="90"/>
      <c r="ABD128" s="90"/>
      <c r="ABE128" s="90"/>
      <c r="ABF128" s="90"/>
      <c r="ABG128" s="90"/>
      <c r="ABH128" s="90"/>
      <c r="ABI128" s="90"/>
      <c r="ABJ128" s="90"/>
      <c r="ABK128" s="90"/>
      <c r="ABL128" s="90"/>
      <c r="ABM128" s="90"/>
      <c r="ABN128" s="90"/>
      <c r="ABO128" s="90"/>
      <c r="ABP128" s="90"/>
      <c r="ABQ128" s="90"/>
      <c r="ABR128" s="90"/>
      <c r="ABS128" s="90"/>
      <c r="ABT128" s="90"/>
      <c r="ABU128" s="90"/>
      <c r="ABV128" s="90"/>
      <c r="ABW128" s="90"/>
      <c r="ABX128" s="90"/>
      <c r="ABY128" s="90"/>
      <c r="ABZ128" s="90"/>
      <c r="ACA128" s="90"/>
      <c r="ACB128" s="90"/>
      <c r="ACC128" s="90"/>
      <c r="ACD128" s="90"/>
      <c r="ACE128" s="90"/>
      <c r="ACF128" s="90"/>
      <c r="ACG128" s="90"/>
      <c r="ACH128" s="90"/>
      <c r="ACI128" s="90"/>
      <c r="ACJ128" s="90"/>
      <c r="ACK128" s="90"/>
      <c r="ACL128" s="90"/>
      <c r="ACM128" s="90"/>
      <c r="ACN128" s="90"/>
      <c r="ACO128" s="90"/>
      <c r="ACP128" s="90"/>
      <c r="ACQ128" s="90"/>
      <c r="ACR128" s="90"/>
      <c r="ACS128" s="90"/>
      <c r="ACT128" s="90"/>
      <c r="ACU128" s="90"/>
      <c r="ACV128" s="90"/>
      <c r="ACW128" s="90"/>
      <c r="ACX128" s="90"/>
      <c r="ACY128" s="90"/>
      <c r="ACZ128" s="90"/>
      <c r="ADA128" s="90"/>
      <c r="ADB128" s="90"/>
      <c r="ADC128" s="90"/>
      <c r="ADD128" s="90"/>
      <c r="ADE128" s="90"/>
      <c r="ADF128" s="90"/>
      <c r="ADG128" s="90"/>
      <c r="ADH128" s="90"/>
      <c r="ADI128" s="90"/>
      <c r="ADJ128" s="90"/>
      <c r="ADK128" s="90"/>
      <c r="ADL128" s="90"/>
      <c r="ADM128" s="90"/>
      <c r="ADN128" s="90"/>
      <c r="ADO128" s="90"/>
      <c r="ADP128" s="90"/>
      <c r="ADQ128" s="90"/>
      <c r="ADR128" s="90"/>
      <c r="ADS128" s="90"/>
      <c r="ADT128" s="90"/>
      <c r="ADU128" s="90"/>
      <c r="ADV128" s="90"/>
      <c r="ADW128" s="90"/>
      <c r="ADX128" s="90"/>
      <c r="ADY128" s="90"/>
      <c r="ADZ128" s="90"/>
      <c r="AEA128" s="90"/>
      <c r="AEB128" s="90"/>
      <c r="AEC128" s="90"/>
      <c r="AED128" s="90"/>
      <c r="AEE128" s="90"/>
      <c r="AEF128" s="90"/>
      <c r="AEG128" s="90"/>
      <c r="AEH128" s="90"/>
      <c r="AEI128" s="90"/>
      <c r="AEJ128" s="90"/>
      <c r="AEK128" s="90"/>
      <c r="AEL128" s="90"/>
      <c r="AEM128" s="90"/>
      <c r="AEN128" s="90"/>
      <c r="AEO128" s="90"/>
      <c r="AEP128" s="90"/>
      <c r="AEQ128" s="90"/>
      <c r="AER128" s="90"/>
      <c r="AES128" s="90"/>
      <c r="AET128" s="90"/>
      <c r="AEU128" s="90"/>
      <c r="AEV128" s="90"/>
      <c r="AEW128" s="90"/>
      <c r="AEX128" s="90"/>
      <c r="AEY128" s="90"/>
      <c r="AEZ128" s="90"/>
      <c r="AFA128" s="90"/>
      <c r="AFB128" s="90"/>
      <c r="AFC128" s="90"/>
      <c r="AFD128" s="90"/>
      <c r="AFE128" s="90"/>
      <c r="AFF128" s="90"/>
      <c r="AFG128" s="90"/>
      <c r="AFH128" s="90"/>
      <c r="AFI128" s="90"/>
      <c r="AFJ128" s="90"/>
      <c r="AFK128" s="90"/>
      <c r="AFL128" s="90"/>
      <c r="AFM128" s="90"/>
      <c r="AFN128" s="90"/>
      <c r="AFO128" s="90"/>
      <c r="AFP128" s="90"/>
      <c r="AFQ128" s="90"/>
      <c r="AFR128" s="90"/>
      <c r="AFS128" s="90"/>
      <c r="AFT128" s="90"/>
      <c r="AFU128" s="90"/>
      <c r="AFV128" s="90"/>
      <c r="AFW128" s="90"/>
      <c r="AFX128" s="90"/>
      <c r="AFY128" s="90"/>
      <c r="AFZ128" s="90"/>
      <c r="AGA128" s="90"/>
      <c r="AGB128" s="90"/>
      <c r="AGC128" s="90"/>
      <c r="AGD128" s="90"/>
      <c r="AGE128" s="90"/>
      <c r="AGF128" s="90"/>
      <c r="AGG128" s="90"/>
      <c r="AGH128" s="90"/>
      <c r="AGI128" s="90"/>
      <c r="AGJ128" s="90"/>
      <c r="AGK128" s="90"/>
      <c r="AGL128" s="90"/>
      <c r="AGM128" s="90"/>
      <c r="AGN128" s="90"/>
      <c r="AGO128" s="90"/>
      <c r="AGP128" s="90"/>
      <c r="AGQ128" s="90"/>
      <c r="AGR128" s="90"/>
      <c r="AGS128" s="90"/>
      <c r="AGT128" s="90"/>
      <c r="AGU128" s="90"/>
      <c r="AGV128" s="90"/>
      <c r="AGW128" s="90"/>
      <c r="AGX128" s="90"/>
      <c r="AGY128" s="90"/>
      <c r="AGZ128" s="90"/>
      <c r="AHA128" s="90"/>
      <c r="AHB128" s="90"/>
      <c r="AHC128" s="90"/>
      <c r="AHD128" s="90"/>
      <c r="AHE128" s="90"/>
      <c r="AHF128" s="90"/>
      <c r="AHG128" s="90"/>
      <c r="AHH128" s="90"/>
      <c r="AHI128" s="90"/>
      <c r="AHJ128" s="90"/>
      <c r="AHK128" s="90"/>
      <c r="AHL128" s="90"/>
      <c r="AHM128" s="90"/>
      <c r="AHN128" s="90"/>
      <c r="AHO128" s="90"/>
      <c r="AHP128" s="90"/>
      <c r="AHQ128" s="90"/>
      <c r="AHR128" s="90"/>
      <c r="AHS128" s="90"/>
      <c r="AHT128" s="90"/>
      <c r="AHU128" s="90"/>
      <c r="AHV128" s="90"/>
      <c r="AHW128" s="90"/>
      <c r="AHX128" s="90"/>
      <c r="AHY128" s="90"/>
      <c r="AHZ128" s="90"/>
      <c r="AIA128" s="90"/>
      <c r="AIB128" s="90"/>
      <c r="AIC128" s="90"/>
      <c r="AID128" s="90"/>
      <c r="AIE128" s="90"/>
      <c r="AIF128" s="90"/>
      <c r="AIG128" s="90"/>
      <c r="AIH128" s="90"/>
      <c r="AII128" s="90"/>
      <c r="AIJ128" s="90"/>
      <c r="AIK128" s="90"/>
      <c r="AIL128" s="90"/>
      <c r="AIM128" s="90"/>
      <c r="AIN128" s="90"/>
      <c r="AIO128" s="90"/>
      <c r="AIP128" s="90"/>
      <c r="AIQ128" s="90"/>
      <c r="AIR128" s="90"/>
      <c r="AIS128" s="90"/>
      <c r="AIT128" s="90"/>
      <c r="AIU128" s="90"/>
      <c r="AIV128" s="90"/>
      <c r="AIW128" s="90"/>
      <c r="AIX128" s="90"/>
      <c r="AIY128" s="90"/>
      <c r="AIZ128" s="90"/>
      <c r="AJA128" s="90"/>
      <c r="AJB128" s="90"/>
      <c r="AJC128" s="90"/>
      <c r="AJD128" s="90"/>
      <c r="AJE128" s="90"/>
      <c r="AJF128" s="90"/>
      <c r="AJG128" s="90"/>
      <c r="AJH128" s="90"/>
      <c r="AJI128" s="90"/>
      <c r="AJJ128" s="90"/>
      <c r="AJK128" s="90"/>
      <c r="AJL128" s="90"/>
      <c r="AJM128" s="90"/>
      <c r="AJN128" s="90"/>
      <c r="AJO128" s="90"/>
      <c r="AJP128" s="90"/>
      <c r="AJQ128" s="90"/>
      <c r="AJR128" s="90"/>
      <c r="AJS128" s="90"/>
      <c r="AJT128" s="90"/>
      <c r="AJU128" s="90"/>
      <c r="AJV128" s="90"/>
      <c r="AJW128" s="90"/>
      <c r="AJX128" s="90"/>
      <c r="AJY128" s="90"/>
      <c r="AJZ128" s="90"/>
      <c r="AKA128" s="90"/>
      <c r="AKB128" s="90"/>
      <c r="AKC128" s="90"/>
      <c r="AKD128" s="90"/>
      <c r="AKE128" s="90"/>
      <c r="AKF128" s="90"/>
      <c r="AKG128" s="90"/>
      <c r="AKH128" s="90"/>
      <c r="AKI128" s="90"/>
      <c r="AKJ128" s="90"/>
      <c r="AKK128" s="90"/>
      <c r="AKL128" s="90"/>
      <c r="AKM128" s="90"/>
      <c r="AKN128" s="90"/>
      <c r="AKO128" s="90"/>
      <c r="AKP128" s="90"/>
      <c r="AKQ128" s="90"/>
      <c r="AKR128" s="90"/>
      <c r="AKS128" s="90"/>
      <c r="AKT128" s="90"/>
      <c r="AKU128" s="90"/>
      <c r="AKV128" s="90"/>
      <c r="AKW128" s="90"/>
      <c r="AKX128" s="90"/>
      <c r="AKY128" s="90"/>
      <c r="AKZ128" s="90"/>
      <c r="ALA128" s="90"/>
      <c r="ALB128" s="90"/>
      <c r="ALC128" s="90"/>
      <c r="ALD128" s="90"/>
      <c r="ALE128" s="90"/>
      <c r="ALF128" s="90"/>
      <c r="ALG128" s="90"/>
      <c r="ALH128" s="90"/>
      <c r="ALI128" s="90"/>
      <c r="ALJ128" s="90"/>
      <c r="ALK128" s="90"/>
      <c r="ALL128" s="90"/>
      <c r="ALM128" s="90"/>
      <c r="ALN128" s="90"/>
      <c r="ALO128" s="90"/>
      <c r="ALP128" s="90"/>
      <c r="ALQ128" s="90"/>
      <c r="ALR128" s="90"/>
      <c r="ALS128" s="90"/>
      <c r="ALT128" s="90"/>
      <c r="ALU128" s="90"/>
      <c r="ALV128" s="90"/>
      <c r="ALW128" s="90"/>
      <c r="ALX128" s="90"/>
      <c r="ALY128" s="90"/>
      <c r="ALZ128" s="90"/>
      <c r="AMA128" s="90"/>
      <c r="AMB128" s="90"/>
      <c r="AMC128" s="90"/>
    </row>
    <row r="129" spans="1:1017">
      <c r="A129" s="98" t="s">
        <v>48</v>
      </c>
      <c r="B129" s="90" t="str">
        <f t="shared" si="1159"/>
        <v xml:space="preserve">Bawal </v>
      </c>
      <c r="Q129" s="91">
        <f t="shared" si="1160"/>
        <v>0</v>
      </c>
      <c r="R129" s="91">
        <f t="shared" si="1161"/>
        <v>0</v>
      </c>
      <c r="Y129" s="98">
        <v>1860</v>
      </c>
      <c r="Z129" s="98">
        <v>37200</v>
      </c>
      <c r="AG129" s="91">
        <f t="shared" si="1162"/>
        <v>1860</v>
      </c>
      <c r="AH129" s="91">
        <f t="shared" si="1163"/>
        <v>37200</v>
      </c>
      <c r="AW129" s="91">
        <f t="shared" si="1164"/>
        <v>0</v>
      </c>
      <c r="AX129" s="91">
        <f t="shared" si="1165"/>
        <v>0</v>
      </c>
      <c r="BM129" s="91">
        <f t="shared" si="1166"/>
        <v>0</v>
      </c>
      <c r="BN129" s="91">
        <f t="shared" si="1167"/>
        <v>0</v>
      </c>
      <c r="CC129" s="91">
        <f t="shared" si="1168"/>
        <v>0</v>
      </c>
      <c r="CD129" s="91">
        <f t="shared" si="1169"/>
        <v>0</v>
      </c>
      <c r="CS129" s="91">
        <f t="shared" ref="CS129:CS164" si="1254">SUMIF($C$12:$P$12,$A$1,CE129:CR129)</f>
        <v>0</v>
      </c>
      <c r="CT129" s="91">
        <f t="shared" ref="CT129:CT164" si="1255">SUMIF($C$12:$P$12,$A$3,CE129:CR129)</f>
        <v>0</v>
      </c>
      <c r="DI129" s="91">
        <f t="shared" si="1172"/>
        <v>0</v>
      </c>
      <c r="DJ129" s="91">
        <f t="shared" si="1173"/>
        <v>0</v>
      </c>
      <c r="DQ129" s="98">
        <v>392100</v>
      </c>
      <c r="DR129" s="98">
        <v>6077550</v>
      </c>
      <c r="DY129" s="91">
        <f t="shared" si="1174"/>
        <v>392100</v>
      </c>
      <c r="DZ129" s="91">
        <f t="shared" si="1175"/>
        <v>6077550</v>
      </c>
      <c r="EG129" s="98">
        <v>65600</v>
      </c>
      <c r="EH129" s="98">
        <v>721600</v>
      </c>
      <c r="EO129" s="91">
        <f t="shared" si="1176"/>
        <v>65600</v>
      </c>
      <c r="EP129" s="91">
        <f t="shared" si="1177"/>
        <v>721600</v>
      </c>
      <c r="FE129" s="91">
        <f t="shared" si="1178"/>
        <v>0</v>
      </c>
      <c r="FF129" s="91">
        <f t="shared" si="1179"/>
        <v>0</v>
      </c>
      <c r="FU129" s="91">
        <f t="shared" si="1180"/>
        <v>0</v>
      </c>
      <c r="FV129" s="91">
        <f t="shared" si="1181"/>
        <v>0</v>
      </c>
      <c r="GK129" s="91">
        <f t="shared" si="1182"/>
        <v>0</v>
      </c>
      <c r="GL129" s="91">
        <f t="shared" si="1183"/>
        <v>0</v>
      </c>
      <c r="HA129" s="91">
        <f t="shared" si="1184"/>
        <v>0</v>
      </c>
      <c r="HB129" s="91">
        <f t="shared" si="1185"/>
        <v>0</v>
      </c>
      <c r="HQ129" s="91">
        <f t="shared" si="1186"/>
        <v>0</v>
      </c>
      <c r="HR129" s="91">
        <f t="shared" si="1187"/>
        <v>0</v>
      </c>
      <c r="IG129" s="91">
        <f t="shared" si="1188"/>
        <v>0</v>
      </c>
      <c r="IH129" s="91">
        <f t="shared" si="1189"/>
        <v>0</v>
      </c>
      <c r="IO129" s="98">
        <v>2200</v>
      </c>
      <c r="IP129" s="98">
        <v>55000</v>
      </c>
      <c r="IW129" s="91">
        <f t="shared" si="1190"/>
        <v>2200</v>
      </c>
      <c r="IX129" s="91">
        <f t="shared" si="1191"/>
        <v>55000</v>
      </c>
      <c r="JM129" s="91">
        <f t="shared" si="1192"/>
        <v>0</v>
      </c>
      <c r="JN129" s="91">
        <f t="shared" si="1193"/>
        <v>0</v>
      </c>
      <c r="KC129" s="91">
        <f t="shared" si="1194"/>
        <v>0</v>
      </c>
      <c r="KD129" s="91">
        <f t="shared" si="1195"/>
        <v>0</v>
      </c>
      <c r="KS129" s="91">
        <f t="shared" si="1196"/>
        <v>0</v>
      </c>
      <c r="KT129" s="91">
        <f t="shared" si="1197"/>
        <v>0</v>
      </c>
      <c r="LI129" s="91">
        <f t="shared" si="1198"/>
        <v>0</v>
      </c>
      <c r="LJ129" s="91">
        <f t="shared" si="1199"/>
        <v>0</v>
      </c>
      <c r="LY129" s="91">
        <f t="shared" si="1200"/>
        <v>0</v>
      </c>
      <c r="LZ129" s="91">
        <f t="shared" si="1201"/>
        <v>0</v>
      </c>
      <c r="MO129" s="91">
        <f t="shared" si="1202"/>
        <v>0</v>
      </c>
      <c r="MP129" s="91">
        <f t="shared" si="1203"/>
        <v>0</v>
      </c>
      <c r="NE129" s="91">
        <f t="shared" si="1204"/>
        <v>0</v>
      </c>
      <c r="NF129" s="91">
        <f t="shared" si="1205"/>
        <v>0</v>
      </c>
      <c r="NQ129" s="98">
        <v>100</v>
      </c>
      <c r="NR129" s="98">
        <v>1800</v>
      </c>
      <c r="NU129" s="91">
        <f t="shared" si="1206"/>
        <v>100</v>
      </c>
      <c r="NV129" s="91">
        <f t="shared" si="1207"/>
        <v>1800</v>
      </c>
      <c r="OK129" s="91">
        <f t="shared" si="1208"/>
        <v>0</v>
      </c>
      <c r="OL129" s="91">
        <f t="shared" si="1209"/>
        <v>0</v>
      </c>
      <c r="PA129" s="91">
        <f t="shared" si="1210"/>
        <v>0</v>
      </c>
      <c r="PB129" s="91">
        <f t="shared" si="1211"/>
        <v>0</v>
      </c>
      <c r="PQ129" s="91">
        <f t="shared" si="1212"/>
        <v>0</v>
      </c>
      <c r="PR129" s="91">
        <f t="shared" si="1213"/>
        <v>0</v>
      </c>
      <c r="QC129" s="98">
        <v>43990</v>
      </c>
      <c r="QD129" s="98">
        <v>703840</v>
      </c>
      <c r="QG129" s="91">
        <f t="shared" si="1214"/>
        <v>43990</v>
      </c>
      <c r="QH129" s="91">
        <f t="shared" si="1215"/>
        <v>703840</v>
      </c>
      <c r="QW129" s="91">
        <f t="shared" si="1216"/>
        <v>0</v>
      </c>
      <c r="QX129" s="91">
        <f t="shared" si="1217"/>
        <v>0</v>
      </c>
      <c r="RM129" s="91">
        <f t="shared" si="1218"/>
        <v>0</v>
      </c>
      <c r="RN129" s="91">
        <f t="shared" si="1219"/>
        <v>0</v>
      </c>
      <c r="SC129" s="91">
        <f t="shared" si="1220"/>
        <v>0</v>
      </c>
      <c r="SD129" s="91">
        <f t="shared" si="1221"/>
        <v>0</v>
      </c>
      <c r="SS129" s="91">
        <f t="shared" si="1222"/>
        <v>0</v>
      </c>
      <c r="ST129" s="91">
        <f t="shared" si="1223"/>
        <v>0</v>
      </c>
      <c r="TI129" s="91">
        <f t="shared" si="1224"/>
        <v>0</v>
      </c>
      <c r="TJ129" s="91">
        <f t="shared" si="1225"/>
        <v>0</v>
      </c>
      <c r="TY129" s="91">
        <f t="shared" si="1226"/>
        <v>0</v>
      </c>
      <c r="TZ129" s="91">
        <f t="shared" si="1227"/>
        <v>0</v>
      </c>
      <c r="UO129" s="91">
        <f t="shared" si="1228"/>
        <v>0</v>
      </c>
      <c r="UP129" s="91">
        <f t="shared" si="1229"/>
        <v>0</v>
      </c>
      <c r="VE129" s="91">
        <f t="shared" si="1230"/>
        <v>0</v>
      </c>
      <c r="VF129" s="91">
        <f t="shared" si="1231"/>
        <v>0</v>
      </c>
      <c r="VU129" s="91">
        <f t="shared" si="1232"/>
        <v>0</v>
      </c>
      <c r="VV129" s="91">
        <f t="shared" si="1233"/>
        <v>0</v>
      </c>
      <c r="WK129" s="91">
        <f t="shared" si="1234"/>
        <v>0</v>
      </c>
      <c r="WL129" s="91">
        <f t="shared" si="1235"/>
        <v>0</v>
      </c>
      <c r="WM129" s="89"/>
      <c r="WN129" s="87">
        <f t="shared" si="1236"/>
        <v>0</v>
      </c>
      <c r="WO129" s="87">
        <f t="shared" si="1237"/>
        <v>0</v>
      </c>
      <c r="WP129" s="87">
        <f t="shared" si="1238"/>
        <v>0</v>
      </c>
      <c r="WQ129" s="87">
        <f t="shared" si="1239"/>
        <v>0</v>
      </c>
      <c r="WR129" s="87">
        <f t="shared" si="1240"/>
        <v>0</v>
      </c>
      <c r="WS129" s="87">
        <f t="shared" si="1241"/>
        <v>0</v>
      </c>
      <c r="WT129" s="87">
        <f t="shared" si="1242"/>
        <v>461760</v>
      </c>
      <c r="WU129" s="87">
        <f t="shared" si="1243"/>
        <v>6891350</v>
      </c>
      <c r="WV129" s="87">
        <f t="shared" si="1244"/>
        <v>0</v>
      </c>
      <c r="WW129" s="87">
        <f t="shared" si="1245"/>
        <v>0</v>
      </c>
      <c r="WX129" s="87">
        <f t="shared" si="1246"/>
        <v>44090</v>
      </c>
      <c r="WY129" s="87">
        <f t="shared" si="1247"/>
        <v>705640</v>
      </c>
      <c r="WZ129" s="87">
        <f t="shared" si="1248"/>
        <v>0</v>
      </c>
      <c r="XA129" s="87">
        <f t="shared" si="1249"/>
        <v>0</v>
      </c>
      <c r="XB129" s="92">
        <f t="shared" si="1250"/>
        <v>505850</v>
      </c>
      <c r="XC129" s="92">
        <f t="shared" si="1251"/>
        <v>7596990</v>
      </c>
      <c r="XD129" s="89"/>
      <c r="XE129" s="92">
        <f t="shared" ref="XE129:XF129" si="1256">SUM(XB357,XB395,XB433)</f>
        <v>1495597</v>
      </c>
      <c r="XF129" s="92">
        <f t="shared" si="1256"/>
        <v>23998156</v>
      </c>
      <c r="XG129" s="89"/>
      <c r="XH129" s="92"/>
      <c r="XI129" s="92"/>
      <c r="XJ129" s="89"/>
      <c r="XK129" s="87"/>
      <c r="XL129" s="87"/>
      <c r="XM129" s="87"/>
      <c r="XN129" s="87"/>
      <c r="XO129" s="87"/>
      <c r="XP129" s="87"/>
      <c r="XQ129" s="87"/>
      <c r="XR129" s="92">
        <f t="shared" ca="1" si="1252"/>
        <v>0</v>
      </c>
      <c r="XS129" s="89"/>
      <c r="XT129" s="87"/>
      <c r="XU129" s="87"/>
      <c r="XV129" s="87"/>
      <c r="XW129" s="87"/>
      <c r="XX129" s="87"/>
      <c r="XY129" s="87"/>
      <c r="XZ129" s="87"/>
      <c r="YA129" s="92">
        <f t="shared" ca="1" si="1253"/>
        <v>0</v>
      </c>
      <c r="YB129" s="90"/>
      <c r="YC129" s="90"/>
      <c r="YD129" s="90"/>
      <c r="YE129" s="90"/>
      <c r="YF129" s="90"/>
      <c r="YG129" s="90"/>
      <c r="YH129" s="90"/>
      <c r="YI129" s="90"/>
      <c r="YJ129" s="90"/>
      <c r="YK129" s="90"/>
      <c r="YL129" s="90"/>
      <c r="YM129" s="90"/>
      <c r="YN129" s="90"/>
      <c r="YO129" s="90"/>
      <c r="YP129" s="90"/>
      <c r="YQ129" s="90"/>
      <c r="YR129" s="90"/>
      <c r="YS129" s="90"/>
      <c r="YT129" s="90"/>
      <c r="YU129" s="90"/>
      <c r="YV129" s="90"/>
      <c r="YW129" s="90"/>
      <c r="YX129" s="90"/>
      <c r="YY129" s="90"/>
      <c r="YZ129" s="90"/>
      <c r="ZA129" s="90"/>
      <c r="ZB129" s="90"/>
      <c r="ZC129" s="90"/>
      <c r="ZD129" s="90"/>
      <c r="ZE129" s="90"/>
      <c r="ZF129" s="90"/>
      <c r="ZG129" s="90"/>
      <c r="ZH129" s="90"/>
      <c r="ZI129" s="90"/>
      <c r="ZJ129" s="90"/>
      <c r="ZK129" s="90"/>
      <c r="ZL129" s="90"/>
      <c r="ZM129" s="90"/>
      <c r="ZN129" s="90"/>
      <c r="ZO129" s="90"/>
      <c r="ZP129" s="90"/>
      <c r="ZQ129" s="90"/>
      <c r="ZR129" s="90"/>
      <c r="ZS129" s="90"/>
      <c r="ZT129" s="90"/>
      <c r="ZU129" s="90"/>
      <c r="ZV129" s="90"/>
      <c r="ZW129" s="90"/>
      <c r="ZX129" s="90"/>
      <c r="ZY129" s="90"/>
      <c r="ZZ129" s="90"/>
      <c r="AAA129" s="90"/>
      <c r="AAB129" s="90"/>
      <c r="AAC129" s="90"/>
      <c r="AAD129" s="90"/>
      <c r="AAE129" s="90"/>
      <c r="AAF129" s="90"/>
      <c r="AAG129" s="90"/>
      <c r="AAH129" s="90"/>
      <c r="AAI129" s="90"/>
      <c r="AAJ129" s="90"/>
      <c r="AAK129" s="90"/>
      <c r="AAL129" s="90"/>
      <c r="AAM129" s="90"/>
      <c r="AAN129" s="90"/>
      <c r="AAO129" s="90"/>
      <c r="AAP129" s="90"/>
      <c r="AAQ129" s="90"/>
      <c r="AAR129" s="90"/>
      <c r="AAS129" s="90"/>
      <c r="AAT129" s="90"/>
      <c r="AAU129" s="90"/>
      <c r="AAV129" s="90"/>
      <c r="AAW129" s="90"/>
      <c r="AAX129" s="90"/>
      <c r="AAY129" s="90"/>
      <c r="AAZ129" s="90"/>
      <c r="ABA129" s="90"/>
      <c r="ABB129" s="90"/>
      <c r="ABC129" s="90"/>
      <c r="ABD129" s="90"/>
      <c r="ABE129" s="90"/>
      <c r="ABF129" s="90"/>
      <c r="ABG129" s="90"/>
      <c r="ABH129" s="90"/>
      <c r="ABI129" s="90"/>
      <c r="ABJ129" s="90"/>
      <c r="ABK129" s="90"/>
      <c r="ABL129" s="90"/>
      <c r="ABM129" s="90"/>
      <c r="ABN129" s="90"/>
      <c r="ABO129" s="90"/>
      <c r="ABP129" s="90"/>
      <c r="ABQ129" s="90"/>
      <c r="ABR129" s="90"/>
      <c r="ABS129" s="90"/>
      <c r="ABT129" s="90"/>
      <c r="ABU129" s="90"/>
      <c r="ABV129" s="90"/>
      <c r="ABW129" s="90"/>
      <c r="ABX129" s="90"/>
      <c r="ABY129" s="90"/>
      <c r="ABZ129" s="90"/>
      <c r="ACA129" s="90"/>
      <c r="ACB129" s="90"/>
      <c r="ACC129" s="90"/>
      <c r="ACD129" s="90"/>
      <c r="ACE129" s="90"/>
      <c r="ACF129" s="90"/>
      <c r="ACG129" s="90"/>
      <c r="ACH129" s="90"/>
      <c r="ACI129" s="90"/>
      <c r="ACJ129" s="90"/>
      <c r="ACK129" s="90"/>
      <c r="ACL129" s="90"/>
      <c r="ACM129" s="90"/>
      <c r="ACN129" s="90"/>
      <c r="ACO129" s="90"/>
      <c r="ACP129" s="90"/>
      <c r="ACQ129" s="90"/>
      <c r="ACR129" s="90"/>
      <c r="ACS129" s="90"/>
      <c r="ACT129" s="90"/>
      <c r="ACU129" s="90"/>
      <c r="ACV129" s="90"/>
      <c r="ACW129" s="90"/>
      <c r="ACX129" s="90"/>
      <c r="ACY129" s="90"/>
      <c r="ACZ129" s="90"/>
      <c r="ADA129" s="90"/>
      <c r="ADB129" s="90"/>
      <c r="ADC129" s="90"/>
      <c r="ADD129" s="90"/>
      <c r="ADE129" s="90"/>
      <c r="ADF129" s="90"/>
      <c r="ADG129" s="90"/>
      <c r="ADH129" s="90"/>
      <c r="ADI129" s="90"/>
      <c r="ADJ129" s="90"/>
      <c r="ADK129" s="90"/>
      <c r="ADL129" s="90"/>
      <c r="ADM129" s="90"/>
      <c r="ADN129" s="90"/>
      <c r="ADO129" s="90"/>
      <c r="ADP129" s="90"/>
      <c r="ADQ129" s="90"/>
      <c r="ADR129" s="90"/>
      <c r="ADS129" s="90"/>
      <c r="ADT129" s="90"/>
      <c r="ADU129" s="90"/>
      <c r="ADV129" s="90"/>
      <c r="ADW129" s="90"/>
      <c r="ADX129" s="90"/>
      <c r="ADY129" s="90"/>
      <c r="ADZ129" s="90"/>
      <c r="AEA129" s="90"/>
      <c r="AEB129" s="90"/>
      <c r="AEC129" s="90"/>
      <c r="AED129" s="90"/>
      <c r="AEE129" s="90"/>
      <c r="AEF129" s="90"/>
      <c r="AEG129" s="90"/>
      <c r="AEH129" s="90"/>
      <c r="AEI129" s="90"/>
      <c r="AEJ129" s="90"/>
      <c r="AEK129" s="90"/>
      <c r="AEL129" s="90"/>
      <c r="AEM129" s="90"/>
      <c r="AEN129" s="90"/>
      <c r="AEO129" s="90"/>
      <c r="AEP129" s="90"/>
      <c r="AEQ129" s="90"/>
      <c r="AER129" s="90"/>
      <c r="AES129" s="90"/>
      <c r="AET129" s="90"/>
      <c r="AEU129" s="90"/>
      <c r="AEV129" s="90"/>
      <c r="AEW129" s="90"/>
      <c r="AEX129" s="90"/>
      <c r="AEY129" s="90"/>
      <c r="AEZ129" s="90"/>
      <c r="AFA129" s="90"/>
      <c r="AFB129" s="90"/>
      <c r="AFC129" s="90"/>
      <c r="AFD129" s="90"/>
      <c r="AFE129" s="90"/>
      <c r="AFF129" s="90"/>
      <c r="AFG129" s="90"/>
      <c r="AFH129" s="90"/>
      <c r="AFI129" s="90"/>
      <c r="AFJ129" s="90"/>
      <c r="AFK129" s="90"/>
      <c r="AFL129" s="90"/>
      <c r="AFM129" s="90"/>
      <c r="AFN129" s="90"/>
      <c r="AFO129" s="90"/>
      <c r="AFP129" s="90"/>
      <c r="AFQ129" s="90"/>
      <c r="AFR129" s="90"/>
      <c r="AFS129" s="90"/>
      <c r="AFT129" s="90"/>
      <c r="AFU129" s="90"/>
      <c r="AFV129" s="90"/>
      <c r="AFW129" s="90"/>
      <c r="AFX129" s="90"/>
      <c r="AFY129" s="90"/>
      <c r="AFZ129" s="90"/>
      <c r="AGA129" s="90"/>
      <c r="AGB129" s="90"/>
      <c r="AGC129" s="90"/>
      <c r="AGD129" s="90"/>
      <c r="AGE129" s="90"/>
      <c r="AGF129" s="90"/>
      <c r="AGG129" s="90"/>
      <c r="AGH129" s="90"/>
      <c r="AGI129" s="90"/>
      <c r="AGJ129" s="90"/>
      <c r="AGK129" s="90"/>
      <c r="AGL129" s="90"/>
      <c r="AGM129" s="90"/>
      <c r="AGN129" s="90"/>
      <c r="AGO129" s="90"/>
      <c r="AGP129" s="90"/>
      <c r="AGQ129" s="90"/>
      <c r="AGR129" s="90"/>
      <c r="AGS129" s="90"/>
      <c r="AGT129" s="90"/>
      <c r="AGU129" s="90"/>
      <c r="AGV129" s="90"/>
      <c r="AGW129" s="90"/>
      <c r="AGX129" s="90"/>
      <c r="AGY129" s="90"/>
      <c r="AGZ129" s="90"/>
      <c r="AHA129" s="90"/>
      <c r="AHB129" s="90"/>
      <c r="AHC129" s="90"/>
      <c r="AHD129" s="90"/>
      <c r="AHE129" s="90"/>
      <c r="AHF129" s="90"/>
      <c r="AHG129" s="90"/>
      <c r="AHH129" s="90"/>
      <c r="AHI129" s="90"/>
      <c r="AHJ129" s="90"/>
      <c r="AHK129" s="90"/>
      <c r="AHL129" s="90"/>
      <c r="AHM129" s="90"/>
      <c r="AHN129" s="90"/>
      <c r="AHO129" s="90"/>
      <c r="AHP129" s="90"/>
      <c r="AHQ129" s="90"/>
      <c r="AHR129" s="90"/>
      <c r="AHS129" s="90"/>
      <c r="AHT129" s="90"/>
      <c r="AHU129" s="90"/>
      <c r="AHV129" s="90"/>
      <c r="AHW129" s="90"/>
      <c r="AHX129" s="90"/>
      <c r="AHY129" s="90"/>
      <c r="AHZ129" s="90"/>
      <c r="AIA129" s="90"/>
      <c r="AIB129" s="90"/>
      <c r="AIC129" s="90"/>
      <c r="AID129" s="90"/>
      <c r="AIE129" s="90"/>
      <c r="AIF129" s="90"/>
      <c r="AIG129" s="90"/>
      <c r="AIH129" s="90"/>
      <c r="AII129" s="90"/>
      <c r="AIJ129" s="90"/>
      <c r="AIK129" s="90"/>
      <c r="AIL129" s="90"/>
      <c r="AIM129" s="90"/>
      <c r="AIN129" s="90"/>
      <c r="AIO129" s="90"/>
      <c r="AIP129" s="90"/>
      <c r="AIQ129" s="90"/>
      <c r="AIR129" s="90"/>
      <c r="AIS129" s="90"/>
      <c r="AIT129" s="90"/>
      <c r="AIU129" s="90"/>
      <c r="AIV129" s="90"/>
      <c r="AIW129" s="90"/>
      <c r="AIX129" s="90"/>
      <c r="AIY129" s="90"/>
      <c r="AIZ129" s="90"/>
      <c r="AJA129" s="90"/>
      <c r="AJB129" s="90"/>
      <c r="AJC129" s="90"/>
      <c r="AJD129" s="90"/>
      <c r="AJE129" s="90"/>
      <c r="AJF129" s="90"/>
      <c r="AJG129" s="90"/>
      <c r="AJH129" s="90"/>
      <c r="AJI129" s="90"/>
      <c r="AJJ129" s="90"/>
      <c r="AJK129" s="90"/>
      <c r="AJL129" s="90"/>
      <c r="AJM129" s="90"/>
      <c r="AJN129" s="90"/>
      <c r="AJO129" s="90"/>
      <c r="AJP129" s="90"/>
      <c r="AJQ129" s="90"/>
      <c r="AJR129" s="90"/>
      <c r="AJS129" s="90"/>
      <c r="AJT129" s="90"/>
      <c r="AJU129" s="90"/>
      <c r="AJV129" s="90"/>
      <c r="AJW129" s="90"/>
      <c r="AJX129" s="90"/>
      <c r="AJY129" s="90"/>
      <c r="AJZ129" s="90"/>
      <c r="AKA129" s="90"/>
      <c r="AKB129" s="90"/>
      <c r="AKC129" s="90"/>
      <c r="AKD129" s="90"/>
      <c r="AKE129" s="90"/>
      <c r="AKF129" s="90"/>
      <c r="AKG129" s="90"/>
      <c r="AKH129" s="90"/>
      <c r="AKI129" s="90"/>
      <c r="AKJ129" s="90"/>
      <c r="AKK129" s="90"/>
      <c r="AKL129" s="90"/>
      <c r="AKM129" s="90"/>
      <c r="AKN129" s="90"/>
      <c r="AKO129" s="90"/>
      <c r="AKP129" s="90"/>
      <c r="AKQ129" s="90"/>
      <c r="AKR129" s="90"/>
      <c r="AKS129" s="90"/>
      <c r="AKT129" s="90"/>
      <c r="AKU129" s="90"/>
      <c r="AKV129" s="90"/>
      <c r="AKW129" s="90"/>
      <c r="AKX129" s="90"/>
      <c r="AKY129" s="90"/>
      <c r="AKZ129" s="90"/>
      <c r="ALA129" s="90"/>
      <c r="ALB129" s="90"/>
      <c r="ALC129" s="90"/>
      <c r="ALD129" s="90"/>
      <c r="ALE129" s="90"/>
      <c r="ALF129" s="90"/>
      <c r="ALG129" s="90"/>
      <c r="ALH129" s="90"/>
      <c r="ALI129" s="90"/>
      <c r="ALJ129" s="90"/>
      <c r="ALK129" s="90"/>
      <c r="ALL129" s="90"/>
      <c r="ALM129" s="90"/>
      <c r="ALN129" s="90"/>
      <c r="ALO129" s="90"/>
      <c r="ALP129" s="90"/>
      <c r="ALQ129" s="90"/>
      <c r="ALR129" s="90"/>
      <c r="ALS129" s="90"/>
      <c r="ALT129" s="90"/>
      <c r="ALU129" s="90"/>
      <c r="ALV129" s="90"/>
      <c r="ALW129" s="90"/>
      <c r="ALX129" s="90"/>
      <c r="ALY129" s="90"/>
      <c r="ALZ129" s="90"/>
      <c r="AMA129" s="90"/>
      <c r="AMB129" s="90"/>
      <c r="AMC129" s="90"/>
    </row>
    <row r="130" spans="1:1017">
      <c r="A130" s="98" t="s">
        <v>48</v>
      </c>
      <c r="B130" s="90" t="str">
        <f t="shared" si="1159"/>
        <v xml:space="preserve">Belanak </v>
      </c>
      <c r="E130" s="98">
        <v>75000</v>
      </c>
      <c r="F130" s="98">
        <v>1875000</v>
      </c>
      <c r="Q130" s="91">
        <f t="shared" si="1160"/>
        <v>75000</v>
      </c>
      <c r="R130" s="91">
        <f t="shared" si="1161"/>
        <v>1875000</v>
      </c>
      <c r="AG130" s="91">
        <f t="shared" si="1162"/>
        <v>0</v>
      </c>
      <c r="AH130" s="91">
        <f t="shared" si="1163"/>
        <v>0</v>
      </c>
      <c r="AW130" s="91">
        <f t="shared" si="1164"/>
        <v>0</v>
      </c>
      <c r="AX130" s="91">
        <f t="shared" si="1165"/>
        <v>0</v>
      </c>
      <c r="BM130" s="91">
        <f t="shared" si="1166"/>
        <v>0</v>
      </c>
      <c r="BN130" s="91">
        <f t="shared" si="1167"/>
        <v>0</v>
      </c>
      <c r="CC130" s="91">
        <f t="shared" si="1168"/>
        <v>0</v>
      </c>
      <c r="CD130" s="91">
        <f t="shared" si="1169"/>
        <v>0</v>
      </c>
      <c r="CS130" s="91">
        <f t="shared" si="1254"/>
        <v>0</v>
      </c>
      <c r="CT130" s="91">
        <f t="shared" si="1255"/>
        <v>0</v>
      </c>
      <c r="DI130" s="91">
        <f t="shared" si="1172"/>
        <v>0</v>
      </c>
      <c r="DJ130" s="91">
        <f t="shared" si="1173"/>
        <v>0</v>
      </c>
      <c r="DY130" s="91">
        <f t="shared" si="1174"/>
        <v>0</v>
      </c>
      <c r="DZ130" s="91">
        <f t="shared" si="1175"/>
        <v>0</v>
      </c>
      <c r="EO130" s="91">
        <f t="shared" si="1176"/>
        <v>0</v>
      </c>
      <c r="EP130" s="91">
        <f t="shared" si="1177"/>
        <v>0</v>
      </c>
      <c r="FE130" s="91">
        <f t="shared" si="1178"/>
        <v>0</v>
      </c>
      <c r="FF130" s="91">
        <f t="shared" si="1179"/>
        <v>0</v>
      </c>
      <c r="FU130" s="91">
        <f t="shared" si="1180"/>
        <v>0</v>
      </c>
      <c r="FV130" s="91">
        <f t="shared" si="1181"/>
        <v>0</v>
      </c>
      <c r="GK130" s="91">
        <f t="shared" si="1182"/>
        <v>0</v>
      </c>
      <c r="GL130" s="91">
        <f t="shared" si="1183"/>
        <v>0</v>
      </c>
      <c r="HA130" s="91">
        <f t="shared" si="1184"/>
        <v>0</v>
      </c>
      <c r="HB130" s="91">
        <f t="shared" si="1185"/>
        <v>0</v>
      </c>
      <c r="HQ130" s="91">
        <f t="shared" si="1186"/>
        <v>0</v>
      </c>
      <c r="HR130" s="91">
        <f t="shared" si="1187"/>
        <v>0</v>
      </c>
      <c r="IG130" s="91">
        <f t="shared" si="1188"/>
        <v>0</v>
      </c>
      <c r="IH130" s="91">
        <f t="shared" si="1189"/>
        <v>0</v>
      </c>
      <c r="IW130" s="91">
        <f t="shared" si="1190"/>
        <v>0</v>
      </c>
      <c r="IX130" s="91">
        <f t="shared" si="1191"/>
        <v>0</v>
      </c>
      <c r="JM130" s="91">
        <f t="shared" si="1192"/>
        <v>0</v>
      </c>
      <c r="JN130" s="91">
        <f t="shared" si="1193"/>
        <v>0</v>
      </c>
      <c r="KC130" s="91">
        <f t="shared" si="1194"/>
        <v>0</v>
      </c>
      <c r="KD130" s="91">
        <f t="shared" si="1195"/>
        <v>0</v>
      </c>
      <c r="KS130" s="91">
        <f t="shared" si="1196"/>
        <v>0</v>
      </c>
      <c r="KT130" s="91">
        <f t="shared" si="1197"/>
        <v>0</v>
      </c>
      <c r="LI130" s="91">
        <f t="shared" si="1198"/>
        <v>0</v>
      </c>
      <c r="LJ130" s="91">
        <f t="shared" si="1199"/>
        <v>0</v>
      </c>
      <c r="LY130" s="91">
        <f t="shared" si="1200"/>
        <v>0</v>
      </c>
      <c r="LZ130" s="91">
        <f t="shared" si="1201"/>
        <v>0</v>
      </c>
      <c r="MC130" s="98">
        <v>6500</v>
      </c>
      <c r="MD130" s="98">
        <v>78000</v>
      </c>
      <c r="MO130" s="91">
        <f t="shared" si="1202"/>
        <v>6500</v>
      </c>
      <c r="MP130" s="91">
        <f t="shared" si="1203"/>
        <v>78000</v>
      </c>
      <c r="MS130" s="98">
        <v>462</v>
      </c>
      <c r="MT130" s="98">
        <v>10164</v>
      </c>
      <c r="NE130" s="91">
        <f t="shared" si="1204"/>
        <v>462</v>
      </c>
      <c r="NF130" s="91">
        <f t="shared" si="1205"/>
        <v>10164</v>
      </c>
      <c r="NU130" s="91">
        <f t="shared" si="1206"/>
        <v>0</v>
      </c>
      <c r="NV130" s="91">
        <f t="shared" si="1207"/>
        <v>0</v>
      </c>
      <c r="OK130" s="91">
        <f t="shared" si="1208"/>
        <v>0</v>
      </c>
      <c r="OL130" s="91">
        <f t="shared" si="1209"/>
        <v>0</v>
      </c>
      <c r="PA130" s="91">
        <f t="shared" si="1210"/>
        <v>0</v>
      </c>
      <c r="PB130" s="91">
        <f t="shared" si="1211"/>
        <v>0</v>
      </c>
      <c r="PQ130" s="91">
        <f t="shared" si="1212"/>
        <v>0</v>
      </c>
      <c r="PR130" s="91">
        <f t="shared" si="1213"/>
        <v>0</v>
      </c>
      <c r="QG130" s="91">
        <f t="shared" si="1214"/>
        <v>0</v>
      </c>
      <c r="QH130" s="91">
        <f t="shared" si="1215"/>
        <v>0</v>
      </c>
      <c r="QW130" s="91">
        <f t="shared" si="1216"/>
        <v>0</v>
      </c>
      <c r="QX130" s="91">
        <f t="shared" si="1217"/>
        <v>0</v>
      </c>
      <c r="RM130" s="91">
        <f t="shared" si="1218"/>
        <v>0</v>
      </c>
      <c r="RN130" s="91">
        <f t="shared" si="1219"/>
        <v>0</v>
      </c>
      <c r="SC130" s="91">
        <f t="shared" si="1220"/>
        <v>0</v>
      </c>
      <c r="SD130" s="91">
        <f t="shared" si="1221"/>
        <v>0</v>
      </c>
      <c r="SS130" s="91">
        <f t="shared" si="1222"/>
        <v>0</v>
      </c>
      <c r="ST130" s="91">
        <f t="shared" si="1223"/>
        <v>0</v>
      </c>
      <c r="TI130" s="91">
        <f t="shared" si="1224"/>
        <v>0</v>
      </c>
      <c r="TJ130" s="91">
        <f t="shared" si="1225"/>
        <v>0</v>
      </c>
      <c r="TY130" s="91">
        <f t="shared" si="1226"/>
        <v>0</v>
      </c>
      <c r="TZ130" s="91">
        <f t="shared" si="1227"/>
        <v>0</v>
      </c>
      <c r="UO130" s="91">
        <f t="shared" si="1228"/>
        <v>0</v>
      </c>
      <c r="UP130" s="91">
        <f t="shared" si="1229"/>
        <v>0</v>
      </c>
      <c r="VE130" s="91">
        <f t="shared" si="1230"/>
        <v>0</v>
      </c>
      <c r="VF130" s="91">
        <f t="shared" si="1231"/>
        <v>0</v>
      </c>
      <c r="VU130" s="91">
        <f t="shared" si="1232"/>
        <v>0</v>
      </c>
      <c r="VV130" s="91">
        <f t="shared" si="1233"/>
        <v>0</v>
      </c>
      <c r="WK130" s="91">
        <f t="shared" si="1234"/>
        <v>0</v>
      </c>
      <c r="WL130" s="91">
        <f t="shared" si="1235"/>
        <v>0</v>
      </c>
      <c r="WM130" s="89"/>
      <c r="WN130" s="87">
        <f t="shared" si="1236"/>
        <v>0</v>
      </c>
      <c r="WO130" s="87">
        <f t="shared" si="1237"/>
        <v>0</v>
      </c>
      <c r="WP130" s="87">
        <f t="shared" si="1238"/>
        <v>81962</v>
      </c>
      <c r="WQ130" s="87">
        <f t="shared" si="1239"/>
        <v>1963164</v>
      </c>
      <c r="WR130" s="87">
        <f t="shared" si="1240"/>
        <v>0</v>
      </c>
      <c r="WS130" s="87">
        <f t="shared" si="1241"/>
        <v>0</v>
      </c>
      <c r="WT130" s="87">
        <f t="shared" si="1242"/>
        <v>0</v>
      </c>
      <c r="WU130" s="87">
        <f t="shared" si="1243"/>
        <v>0</v>
      </c>
      <c r="WV130" s="87">
        <f t="shared" si="1244"/>
        <v>0</v>
      </c>
      <c r="WW130" s="87">
        <f t="shared" si="1245"/>
        <v>0</v>
      </c>
      <c r="WX130" s="87">
        <f t="shared" si="1246"/>
        <v>0</v>
      </c>
      <c r="WY130" s="87">
        <f t="shared" si="1247"/>
        <v>0</v>
      </c>
      <c r="WZ130" s="87">
        <f t="shared" si="1248"/>
        <v>0</v>
      </c>
      <c r="XA130" s="87">
        <f t="shared" si="1249"/>
        <v>0</v>
      </c>
      <c r="XB130" s="92">
        <f t="shared" si="1250"/>
        <v>81962</v>
      </c>
      <c r="XC130" s="92">
        <f t="shared" si="1251"/>
        <v>1963164</v>
      </c>
      <c r="XD130" s="89"/>
      <c r="XE130" s="92">
        <f t="shared" ref="XE130:XF130" si="1257">SUM(XB358,XB396,XB434)</f>
        <v>430621</v>
      </c>
      <c r="XF130" s="92">
        <f t="shared" si="1257"/>
        <v>12901262</v>
      </c>
      <c r="XG130" s="89"/>
      <c r="XH130" s="92"/>
      <c r="XI130" s="92"/>
      <c r="XJ130" s="89"/>
      <c r="XK130" s="87"/>
      <c r="XL130" s="87"/>
      <c r="XM130" s="87"/>
      <c r="XN130" s="87"/>
      <c r="XO130" s="87"/>
      <c r="XP130" s="87"/>
      <c r="XQ130" s="87"/>
      <c r="XR130" s="92">
        <f t="shared" ca="1" si="1252"/>
        <v>0</v>
      </c>
      <c r="XS130" s="89"/>
      <c r="XT130" s="87"/>
      <c r="XU130" s="87"/>
      <c r="XV130" s="87"/>
      <c r="XW130" s="87"/>
      <c r="XX130" s="87"/>
      <c r="XY130" s="87"/>
      <c r="XZ130" s="87"/>
      <c r="YA130" s="92">
        <f t="shared" ca="1" si="1253"/>
        <v>0</v>
      </c>
      <c r="YB130" s="90"/>
      <c r="YC130" s="90"/>
      <c r="YD130" s="90"/>
      <c r="YE130" s="90"/>
      <c r="YF130" s="90"/>
      <c r="YG130" s="90"/>
      <c r="YH130" s="90"/>
      <c r="YI130" s="90"/>
      <c r="YJ130" s="90"/>
      <c r="YK130" s="90"/>
      <c r="YL130" s="90"/>
      <c r="YM130" s="90"/>
      <c r="YN130" s="90"/>
      <c r="YO130" s="90"/>
      <c r="YP130" s="90"/>
      <c r="YQ130" s="90"/>
      <c r="YR130" s="90"/>
      <c r="YS130" s="90"/>
      <c r="YT130" s="90"/>
      <c r="YU130" s="90"/>
      <c r="YV130" s="90"/>
      <c r="YW130" s="90"/>
      <c r="YX130" s="90"/>
      <c r="YY130" s="90"/>
      <c r="YZ130" s="90"/>
      <c r="ZA130" s="90"/>
      <c r="ZB130" s="90"/>
      <c r="ZC130" s="90"/>
      <c r="ZD130" s="90"/>
      <c r="ZE130" s="90"/>
      <c r="ZF130" s="90"/>
      <c r="ZG130" s="90"/>
      <c r="ZH130" s="90"/>
      <c r="ZI130" s="90"/>
      <c r="ZJ130" s="90"/>
      <c r="ZK130" s="90"/>
      <c r="ZL130" s="90"/>
      <c r="ZM130" s="90"/>
      <c r="ZN130" s="90"/>
      <c r="ZO130" s="90"/>
      <c r="ZP130" s="90"/>
      <c r="ZQ130" s="90"/>
      <c r="ZR130" s="90"/>
      <c r="ZS130" s="90"/>
      <c r="ZT130" s="90"/>
      <c r="ZU130" s="90"/>
      <c r="ZV130" s="90"/>
      <c r="ZW130" s="90"/>
      <c r="ZX130" s="90"/>
      <c r="ZY130" s="90"/>
      <c r="ZZ130" s="90"/>
      <c r="AAA130" s="90"/>
      <c r="AAB130" s="90"/>
      <c r="AAC130" s="90"/>
      <c r="AAD130" s="90"/>
      <c r="AAE130" s="90"/>
      <c r="AAF130" s="90"/>
      <c r="AAG130" s="90"/>
      <c r="AAH130" s="90"/>
      <c r="AAI130" s="90"/>
      <c r="AAJ130" s="90"/>
      <c r="AAK130" s="90"/>
      <c r="AAL130" s="90"/>
      <c r="AAM130" s="90"/>
      <c r="AAN130" s="90"/>
      <c r="AAO130" s="90"/>
      <c r="AAP130" s="90"/>
      <c r="AAQ130" s="90"/>
      <c r="AAR130" s="90"/>
      <c r="AAS130" s="90"/>
      <c r="AAT130" s="90"/>
      <c r="AAU130" s="90"/>
      <c r="AAV130" s="90"/>
      <c r="AAW130" s="90"/>
      <c r="AAX130" s="90"/>
      <c r="AAY130" s="90"/>
      <c r="AAZ130" s="90"/>
      <c r="ABA130" s="90"/>
      <c r="ABB130" s="90"/>
      <c r="ABC130" s="90"/>
      <c r="ABD130" s="90"/>
      <c r="ABE130" s="90"/>
      <c r="ABF130" s="90"/>
      <c r="ABG130" s="90"/>
      <c r="ABH130" s="90"/>
      <c r="ABI130" s="90"/>
      <c r="ABJ130" s="90"/>
      <c r="ABK130" s="90"/>
      <c r="ABL130" s="90"/>
      <c r="ABM130" s="90"/>
      <c r="ABN130" s="90"/>
      <c r="ABO130" s="90"/>
      <c r="ABP130" s="90"/>
      <c r="ABQ130" s="90"/>
      <c r="ABR130" s="90"/>
      <c r="ABS130" s="90"/>
      <c r="ABT130" s="90"/>
      <c r="ABU130" s="90"/>
      <c r="ABV130" s="90"/>
      <c r="ABW130" s="90"/>
      <c r="ABX130" s="90"/>
      <c r="ABY130" s="90"/>
      <c r="ABZ130" s="90"/>
      <c r="ACA130" s="90"/>
      <c r="ACB130" s="90"/>
      <c r="ACC130" s="90"/>
      <c r="ACD130" s="90"/>
      <c r="ACE130" s="90"/>
      <c r="ACF130" s="90"/>
      <c r="ACG130" s="90"/>
      <c r="ACH130" s="90"/>
      <c r="ACI130" s="90"/>
      <c r="ACJ130" s="90"/>
      <c r="ACK130" s="90"/>
      <c r="ACL130" s="90"/>
      <c r="ACM130" s="90"/>
      <c r="ACN130" s="90"/>
      <c r="ACO130" s="90"/>
      <c r="ACP130" s="90"/>
      <c r="ACQ130" s="90"/>
      <c r="ACR130" s="90"/>
      <c r="ACS130" s="90"/>
      <c r="ACT130" s="90"/>
      <c r="ACU130" s="90"/>
      <c r="ACV130" s="90"/>
      <c r="ACW130" s="90"/>
      <c r="ACX130" s="90"/>
      <c r="ACY130" s="90"/>
      <c r="ACZ130" s="90"/>
      <c r="ADA130" s="90"/>
      <c r="ADB130" s="90"/>
      <c r="ADC130" s="90"/>
      <c r="ADD130" s="90"/>
      <c r="ADE130" s="90"/>
      <c r="ADF130" s="90"/>
      <c r="ADG130" s="90"/>
      <c r="ADH130" s="90"/>
      <c r="ADI130" s="90"/>
      <c r="ADJ130" s="90"/>
      <c r="ADK130" s="90"/>
      <c r="ADL130" s="90"/>
      <c r="ADM130" s="90"/>
      <c r="ADN130" s="90"/>
      <c r="ADO130" s="90"/>
      <c r="ADP130" s="90"/>
      <c r="ADQ130" s="90"/>
      <c r="ADR130" s="90"/>
      <c r="ADS130" s="90"/>
      <c r="ADT130" s="90"/>
      <c r="ADU130" s="90"/>
      <c r="ADV130" s="90"/>
      <c r="ADW130" s="90"/>
      <c r="ADX130" s="90"/>
      <c r="ADY130" s="90"/>
      <c r="ADZ130" s="90"/>
      <c r="AEA130" s="90"/>
      <c r="AEB130" s="90"/>
      <c r="AEC130" s="90"/>
      <c r="AED130" s="90"/>
      <c r="AEE130" s="90"/>
      <c r="AEF130" s="90"/>
      <c r="AEG130" s="90"/>
      <c r="AEH130" s="90"/>
      <c r="AEI130" s="90"/>
      <c r="AEJ130" s="90"/>
      <c r="AEK130" s="90"/>
      <c r="AEL130" s="90"/>
      <c r="AEM130" s="90"/>
      <c r="AEN130" s="90"/>
      <c r="AEO130" s="90"/>
      <c r="AEP130" s="90"/>
      <c r="AEQ130" s="90"/>
      <c r="AER130" s="90"/>
      <c r="AES130" s="90"/>
      <c r="AET130" s="90"/>
      <c r="AEU130" s="90"/>
      <c r="AEV130" s="90"/>
      <c r="AEW130" s="90"/>
      <c r="AEX130" s="90"/>
      <c r="AEY130" s="90"/>
      <c r="AEZ130" s="90"/>
      <c r="AFA130" s="90"/>
      <c r="AFB130" s="90"/>
      <c r="AFC130" s="90"/>
      <c r="AFD130" s="90"/>
      <c r="AFE130" s="90"/>
      <c r="AFF130" s="90"/>
      <c r="AFG130" s="90"/>
      <c r="AFH130" s="90"/>
      <c r="AFI130" s="90"/>
      <c r="AFJ130" s="90"/>
      <c r="AFK130" s="90"/>
      <c r="AFL130" s="90"/>
      <c r="AFM130" s="90"/>
      <c r="AFN130" s="90"/>
      <c r="AFO130" s="90"/>
      <c r="AFP130" s="90"/>
      <c r="AFQ130" s="90"/>
      <c r="AFR130" s="90"/>
      <c r="AFS130" s="90"/>
      <c r="AFT130" s="90"/>
      <c r="AFU130" s="90"/>
      <c r="AFV130" s="90"/>
      <c r="AFW130" s="90"/>
      <c r="AFX130" s="90"/>
      <c r="AFY130" s="90"/>
      <c r="AFZ130" s="90"/>
      <c r="AGA130" s="90"/>
      <c r="AGB130" s="90"/>
      <c r="AGC130" s="90"/>
      <c r="AGD130" s="90"/>
      <c r="AGE130" s="90"/>
      <c r="AGF130" s="90"/>
      <c r="AGG130" s="90"/>
      <c r="AGH130" s="90"/>
      <c r="AGI130" s="90"/>
      <c r="AGJ130" s="90"/>
      <c r="AGK130" s="90"/>
      <c r="AGL130" s="90"/>
      <c r="AGM130" s="90"/>
      <c r="AGN130" s="90"/>
      <c r="AGO130" s="90"/>
      <c r="AGP130" s="90"/>
      <c r="AGQ130" s="90"/>
      <c r="AGR130" s="90"/>
      <c r="AGS130" s="90"/>
      <c r="AGT130" s="90"/>
      <c r="AGU130" s="90"/>
      <c r="AGV130" s="90"/>
      <c r="AGW130" s="90"/>
      <c r="AGX130" s="90"/>
      <c r="AGY130" s="90"/>
      <c r="AGZ130" s="90"/>
      <c r="AHA130" s="90"/>
      <c r="AHB130" s="90"/>
      <c r="AHC130" s="90"/>
      <c r="AHD130" s="90"/>
      <c r="AHE130" s="90"/>
      <c r="AHF130" s="90"/>
      <c r="AHG130" s="90"/>
      <c r="AHH130" s="90"/>
      <c r="AHI130" s="90"/>
      <c r="AHJ130" s="90"/>
      <c r="AHK130" s="90"/>
      <c r="AHL130" s="90"/>
      <c r="AHM130" s="90"/>
      <c r="AHN130" s="90"/>
      <c r="AHO130" s="90"/>
      <c r="AHP130" s="90"/>
      <c r="AHQ130" s="90"/>
      <c r="AHR130" s="90"/>
      <c r="AHS130" s="90"/>
      <c r="AHT130" s="90"/>
      <c r="AHU130" s="90"/>
      <c r="AHV130" s="90"/>
      <c r="AHW130" s="90"/>
      <c r="AHX130" s="90"/>
      <c r="AHY130" s="90"/>
      <c r="AHZ130" s="90"/>
      <c r="AIA130" s="90"/>
      <c r="AIB130" s="90"/>
      <c r="AIC130" s="90"/>
      <c r="AID130" s="90"/>
      <c r="AIE130" s="90"/>
      <c r="AIF130" s="90"/>
      <c r="AIG130" s="90"/>
      <c r="AIH130" s="90"/>
      <c r="AII130" s="90"/>
      <c r="AIJ130" s="90"/>
      <c r="AIK130" s="90"/>
      <c r="AIL130" s="90"/>
      <c r="AIM130" s="90"/>
      <c r="AIN130" s="90"/>
      <c r="AIO130" s="90"/>
      <c r="AIP130" s="90"/>
      <c r="AIQ130" s="90"/>
      <c r="AIR130" s="90"/>
      <c r="AIS130" s="90"/>
      <c r="AIT130" s="90"/>
      <c r="AIU130" s="90"/>
      <c r="AIV130" s="90"/>
      <c r="AIW130" s="90"/>
      <c r="AIX130" s="90"/>
      <c r="AIY130" s="90"/>
      <c r="AIZ130" s="90"/>
      <c r="AJA130" s="90"/>
      <c r="AJB130" s="90"/>
      <c r="AJC130" s="90"/>
      <c r="AJD130" s="90"/>
      <c r="AJE130" s="90"/>
      <c r="AJF130" s="90"/>
      <c r="AJG130" s="90"/>
      <c r="AJH130" s="90"/>
      <c r="AJI130" s="90"/>
      <c r="AJJ130" s="90"/>
      <c r="AJK130" s="90"/>
      <c r="AJL130" s="90"/>
      <c r="AJM130" s="90"/>
      <c r="AJN130" s="90"/>
      <c r="AJO130" s="90"/>
      <c r="AJP130" s="90"/>
      <c r="AJQ130" s="90"/>
      <c r="AJR130" s="90"/>
      <c r="AJS130" s="90"/>
      <c r="AJT130" s="90"/>
      <c r="AJU130" s="90"/>
      <c r="AJV130" s="90"/>
      <c r="AJW130" s="90"/>
      <c r="AJX130" s="90"/>
      <c r="AJY130" s="90"/>
      <c r="AJZ130" s="90"/>
      <c r="AKA130" s="90"/>
      <c r="AKB130" s="90"/>
      <c r="AKC130" s="90"/>
      <c r="AKD130" s="90"/>
      <c r="AKE130" s="90"/>
      <c r="AKF130" s="90"/>
      <c r="AKG130" s="90"/>
      <c r="AKH130" s="90"/>
      <c r="AKI130" s="90"/>
      <c r="AKJ130" s="90"/>
      <c r="AKK130" s="90"/>
      <c r="AKL130" s="90"/>
      <c r="AKM130" s="90"/>
      <c r="AKN130" s="90"/>
      <c r="AKO130" s="90"/>
      <c r="AKP130" s="90"/>
      <c r="AKQ130" s="90"/>
      <c r="AKR130" s="90"/>
      <c r="AKS130" s="90"/>
      <c r="AKT130" s="90"/>
      <c r="AKU130" s="90"/>
      <c r="AKV130" s="90"/>
      <c r="AKW130" s="90"/>
      <c r="AKX130" s="90"/>
      <c r="AKY130" s="90"/>
      <c r="AKZ130" s="90"/>
      <c r="ALA130" s="90"/>
      <c r="ALB130" s="90"/>
      <c r="ALC130" s="90"/>
      <c r="ALD130" s="90"/>
      <c r="ALE130" s="90"/>
      <c r="ALF130" s="90"/>
      <c r="ALG130" s="90"/>
      <c r="ALH130" s="90"/>
      <c r="ALI130" s="90"/>
      <c r="ALJ130" s="90"/>
      <c r="ALK130" s="90"/>
      <c r="ALL130" s="90"/>
      <c r="ALM130" s="90"/>
      <c r="ALN130" s="90"/>
      <c r="ALO130" s="90"/>
      <c r="ALP130" s="90"/>
      <c r="ALQ130" s="90"/>
      <c r="ALR130" s="90"/>
      <c r="ALS130" s="90"/>
      <c r="ALT130" s="90"/>
      <c r="ALU130" s="90"/>
      <c r="ALV130" s="90"/>
      <c r="ALW130" s="90"/>
      <c r="ALX130" s="90"/>
      <c r="ALY130" s="90"/>
      <c r="ALZ130" s="90"/>
      <c r="AMA130" s="90"/>
      <c r="AMB130" s="90"/>
      <c r="AMC130" s="90"/>
    </row>
    <row r="131" spans="1:1017">
      <c r="A131" s="98" t="s">
        <v>48</v>
      </c>
      <c r="B131" s="90" t="str">
        <f t="shared" si="1159"/>
        <v xml:space="preserve">Eucheuma cottonii </v>
      </c>
      <c r="Q131" s="91">
        <f t="shared" si="1160"/>
        <v>0</v>
      </c>
      <c r="R131" s="91">
        <f t="shared" si="1161"/>
        <v>0</v>
      </c>
      <c r="AG131" s="91">
        <f t="shared" si="1162"/>
        <v>0</v>
      </c>
      <c r="AH131" s="91">
        <f t="shared" si="1163"/>
        <v>0</v>
      </c>
      <c r="AW131" s="91">
        <f t="shared" si="1164"/>
        <v>0</v>
      </c>
      <c r="AX131" s="91">
        <f t="shared" si="1165"/>
        <v>0</v>
      </c>
      <c r="BM131" s="91">
        <f t="shared" si="1166"/>
        <v>0</v>
      </c>
      <c r="BN131" s="91">
        <f t="shared" si="1167"/>
        <v>0</v>
      </c>
      <c r="CC131" s="91">
        <f t="shared" si="1168"/>
        <v>0</v>
      </c>
      <c r="CD131" s="91">
        <f t="shared" si="1169"/>
        <v>0</v>
      </c>
      <c r="CS131" s="91">
        <f t="shared" si="1254"/>
        <v>0</v>
      </c>
      <c r="CT131" s="91">
        <f t="shared" si="1255"/>
        <v>0</v>
      </c>
      <c r="DI131" s="91">
        <f t="shared" si="1172"/>
        <v>0</v>
      </c>
      <c r="DJ131" s="91">
        <f t="shared" si="1173"/>
        <v>0</v>
      </c>
      <c r="DY131" s="91">
        <f t="shared" si="1174"/>
        <v>0</v>
      </c>
      <c r="DZ131" s="91">
        <f t="shared" si="1175"/>
        <v>0</v>
      </c>
      <c r="EO131" s="91">
        <f t="shared" si="1176"/>
        <v>0</v>
      </c>
      <c r="EP131" s="91">
        <f t="shared" si="1177"/>
        <v>0</v>
      </c>
      <c r="FE131" s="91">
        <f t="shared" si="1178"/>
        <v>0</v>
      </c>
      <c r="FF131" s="91">
        <f t="shared" si="1179"/>
        <v>0</v>
      </c>
      <c r="FU131" s="91">
        <f t="shared" si="1180"/>
        <v>0</v>
      </c>
      <c r="FV131" s="91">
        <f t="shared" si="1181"/>
        <v>0</v>
      </c>
      <c r="GK131" s="91">
        <f t="shared" si="1182"/>
        <v>0</v>
      </c>
      <c r="GL131" s="91">
        <f t="shared" si="1183"/>
        <v>0</v>
      </c>
      <c r="HA131" s="91">
        <f t="shared" si="1184"/>
        <v>0</v>
      </c>
      <c r="HB131" s="91">
        <f t="shared" si="1185"/>
        <v>0</v>
      </c>
      <c r="HQ131" s="91">
        <f t="shared" si="1186"/>
        <v>0</v>
      </c>
      <c r="HR131" s="91">
        <f t="shared" si="1187"/>
        <v>0</v>
      </c>
      <c r="IG131" s="91">
        <f t="shared" si="1188"/>
        <v>0</v>
      </c>
      <c r="IH131" s="91">
        <f t="shared" si="1189"/>
        <v>0</v>
      </c>
      <c r="IW131" s="91">
        <f t="shared" si="1190"/>
        <v>0</v>
      </c>
      <c r="IX131" s="91">
        <f t="shared" si="1191"/>
        <v>0</v>
      </c>
      <c r="JM131" s="91">
        <f t="shared" si="1192"/>
        <v>0</v>
      </c>
      <c r="JN131" s="91">
        <f t="shared" si="1193"/>
        <v>0</v>
      </c>
      <c r="KC131" s="91">
        <f t="shared" si="1194"/>
        <v>0</v>
      </c>
      <c r="KD131" s="91">
        <f t="shared" si="1195"/>
        <v>0</v>
      </c>
      <c r="KS131" s="91">
        <f t="shared" si="1196"/>
        <v>0</v>
      </c>
      <c r="KT131" s="91">
        <f t="shared" si="1197"/>
        <v>0</v>
      </c>
      <c r="LI131" s="91">
        <f t="shared" si="1198"/>
        <v>0</v>
      </c>
      <c r="LJ131" s="91">
        <f t="shared" si="1199"/>
        <v>0</v>
      </c>
      <c r="LY131" s="91">
        <f t="shared" si="1200"/>
        <v>0</v>
      </c>
      <c r="LZ131" s="91">
        <f t="shared" si="1201"/>
        <v>0</v>
      </c>
      <c r="MO131" s="91">
        <f t="shared" si="1202"/>
        <v>0</v>
      </c>
      <c r="MP131" s="91">
        <f t="shared" si="1203"/>
        <v>0</v>
      </c>
      <c r="NE131" s="91">
        <f t="shared" si="1204"/>
        <v>0</v>
      </c>
      <c r="NF131" s="91">
        <f t="shared" si="1205"/>
        <v>0</v>
      </c>
      <c r="NU131" s="91">
        <f t="shared" si="1206"/>
        <v>0</v>
      </c>
      <c r="NV131" s="91">
        <f t="shared" si="1207"/>
        <v>0</v>
      </c>
      <c r="NW131" s="98">
        <v>3500</v>
      </c>
      <c r="NX131" s="98">
        <v>14000</v>
      </c>
      <c r="OK131" s="91">
        <f t="shared" si="1208"/>
        <v>3500</v>
      </c>
      <c r="OL131" s="91">
        <f t="shared" si="1209"/>
        <v>14000</v>
      </c>
      <c r="OM131" s="98">
        <v>55617550</v>
      </c>
      <c r="ON131" s="98">
        <v>278087750</v>
      </c>
      <c r="PA131" s="91">
        <f t="shared" si="1210"/>
        <v>55617550</v>
      </c>
      <c r="PB131" s="91">
        <f t="shared" si="1211"/>
        <v>278087750</v>
      </c>
      <c r="PQ131" s="91">
        <f t="shared" si="1212"/>
        <v>0</v>
      </c>
      <c r="PR131" s="91">
        <f t="shared" si="1213"/>
        <v>0</v>
      </c>
      <c r="QG131" s="91">
        <f t="shared" si="1214"/>
        <v>0</v>
      </c>
      <c r="QH131" s="91">
        <f t="shared" si="1215"/>
        <v>0</v>
      </c>
      <c r="QW131" s="91">
        <f t="shared" si="1216"/>
        <v>0</v>
      </c>
      <c r="QX131" s="91">
        <f t="shared" si="1217"/>
        <v>0</v>
      </c>
      <c r="RM131" s="91">
        <f t="shared" si="1218"/>
        <v>0</v>
      </c>
      <c r="RN131" s="91">
        <f t="shared" si="1219"/>
        <v>0</v>
      </c>
      <c r="SC131" s="91">
        <f t="shared" si="1220"/>
        <v>0</v>
      </c>
      <c r="SD131" s="91">
        <f t="shared" si="1221"/>
        <v>0</v>
      </c>
      <c r="SS131" s="91">
        <f t="shared" si="1222"/>
        <v>0</v>
      </c>
      <c r="ST131" s="91">
        <f t="shared" si="1223"/>
        <v>0</v>
      </c>
      <c r="TI131" s="91">
        <f t="shared" si="1224"/>
        <v>0</v>
      </c>
      <c r="TJ131" s="91">
        <f t="shared" si="1225"/>
        <v>0</v>
      </c>
      <c r="TY131" s="91">
        <f t="shared" si="1226"/>
        <v>0</v>
      </c>
      <c r="TZ131" s="91">
        <f t="shared" si="1227"/>
        <v>0</v>
      </c>
      <c r="UO131" s="91">
        <f t="shared" si="1228"/>
        <v>0</v>
      </c>
      <c r="UP131" s="91">
        <f t="shared" si="1229"/>
        <v>0</v>
      </c>
      <c r="VE131" s="91">
        <f t="shared" si="1230"/>
        <v>0</v>
      </c>
      <c r="VF131" s="91">
        <f t="shared" si="1231"/>
        <v>0</v>
      </c>
      <c r="VU131" s="91">
        <f t="shared" si="1232"/>
        <v>0</v>
      </c>
      <c r="VV131" s="91">
        <f t="shared" si="1233"/>
        <v>0</v>
      </c>
      <c r="WK131" s="91">
        <f t="shared" si="1234"/>
        <v>0</v>
      </c>
      <c r="WL131" s="91">
        <f t="shared" si="1235"/>
        <v>0</v>
      </c>
      <c r="WM131" s="89"/>
      <c r="WN131" s="87">
        <f t="shared" si="1236"/>
        <v>55621050</v>
      </c>
      <c r="WO131" s="87">
        <f t="shared" si="1237"/>
        <v>278101750</v>
      </c>
      <c r="WP131" s="87">
        <f t="shared" si="1238"/>
        <v>0</v>
      </c>
      <c r="WQ131" s="87">
        <f t="shared" si="1239"/>
        <v>0</v>
      </c>
      <c r="WR131" s="87">
        <f t="shared" si="1240"/>
        <v>0</v>
      </c>
      <c r="WS131" s="87">
        <f t="shared" si="1241"/>
        <v>0</v>
      </c>
      <c r="WT131" s="87">
        <f t="shared" si="1242"/>
        <v>0</v>
      </c>
      <c r="WU131" s="87">
        <f t="shared" si="1243"/>
        <v>0</v>
      </c>
      <c r="WV131" s="87">
        <f t="shared" si="1244"/>
        <v>0</v>
      </c>
      <c r="WW131" s="87">
        <f t="shared" si="1245"/>
        <v>0</v>
      </c>
      <c r="WX131" s="87">
        <f t="shared" si="1246"/>
        <v>0</v>
      </c>
      <c r="WY131" s="87">
        <f t="shared" si="1247"/>
        <v>0</v>
      </c>
      <c r="WZ131" s="87">
        <f t="shared" si="1248"/>
        <v>0</v>
      </c>
      <c r="XA131" s="87">
        <f t="shared" si="1249"/>
        <v>0</v>
      </c>
      <c r="XB131" s="92">
        <f t="shared" si="1250"/>
        <v>55621050</v>
      </c>
      <c r="XC131" s="92">
        <f t="shared" si="1251"/>
        <v>278101750</v>
      </c>
      <c r="XD131" s="89"/>
      <c r="XE131" s="92">
        <f t="shared" ref="XE131:XF131" si="1258">SUM(XB359,XB397,XB435)</f>
        <v>213878840</v>
      </c>
      <c r="XF131" s="92">
        <f t="shared" si="1258"/>
        <v>1069394200</v>
      </c>
      <c r="XG131" s="89"/>
      <c r="XH131" s="92"/>
      <c r="XI131" s="92"/>
      <c r="XJ131" s="89"/>
      <c r="XK131" s="87"/>
      <c r="XL131" s="87"/>
      <c r="XM131" s="87"/>
      <c r="XN131" s="87"/>
      <c r="XO131" s="87"/>
      <c r="XP131" s="87"/>
      <c r="XQ131" s="87"/>
      <c r="XR131" s="92">
        <f t="shared" ca="1" si="1252"/>
        <v>0</v>
      </c>
      <c r="XS131" s="89"/>
      <c r="XT131" s="87"/>
      <c r="XU131" s="87"/>
      <c r="XV131" s="87"/>
      <c r="XW131" s="87"/>
      <c r="XX131" s="87"/>
      <c r="XY131" s="87"/>
      <c r="XZ131" s="87"/>
      <c r="YA131" s="92">
        <f t="shared" ca="1" si="1253"/>
        <v>0</v>
      </c>
      <c r="YB131" s="90"/>
      <c r="YC131" s="90"/>
      <c r="YD131" s="90"/>
      <c r="YE131" s="90"/>
      <c r="YF131" s="90"/>
      <c r="YG131" s="90"/>
      <c r="YH131" s="90"/>
      <c r="YI131" s="90"/>
      <c r="YJ131" s="90"/>
      <c r="YK131" s="90"/>
      <c r="YL131" s="90"/>
      <c r="YM131" s="90"/>
      <c r="YN131" s="90"/>
      <c r="YO131" s="90"/>
      <c r="YP131" s="90"/>
      <c r="YQ131" s="90"/>
      <c r="YR131" s="90"/>
      <c r="YS131" s="90"/>
      <c r="YT131" s="90"/>
      <c r="YU131" s="90"/>
      <c r="YV131" s="90"/>
      <c r="YW131" s="90"/>
      <c r="YX131" s="90"/>
      <c r="YY131" s="90"/>
      <c r="YZ131" s="90"/>
      <c r="ZA131" s="90"/>
      <c r="ZB131" s="90"/>
      <c r="ZC131" s="90"/>
      <c r="ZD131" s="90"/>
      <c r="ZE131" s="90"/>
      <c r="ZF131" s="90"/>
      <c r="ZG131" s="90"/>
      <c r="ZH131" s="90"/>
      <c r="ZI131" s="90"/>
      <c r="ZJ131" s="90"/>
      <c r="ZK131" s="90"/>
      <c r="ZL131" s="90"/>
      <c r="ZM131" s="90"/>
      <c r="ZN131" s="90"/>
      <c r="ZO131" s="90"/>
      <c r="ZP131" s="90"/>
      <c r="ZQ131" s="90"/>
      <c r="ZR131" s="90"/>
      <c r="ZS131" s="90"/>
      <c r="ZT131" s="90"/>
      <c r="ZU131" s="90"/>
      <c r="ZV131" s="90"/>
      <c r="ZW131" s="90"/>
      <c r="ZX131" s="90"/>
      <c r="ZY131" s="90"/>
      <c r="ZZ131" s="90"/>
      <c r="AAA131" s="90"/>
      <c r="AAB131" s="90"/>
      <c r="AAC131" s="90"/>
      <c r="AAD131" s="90"/>
      <c r="AAE131" s="90"/>
      <c r="AAF131" s="90"/>
      <c r="AAG131" s="90"/>
      <c r="AAH131" s="90"/>
      <c r="AAI131" s="90"/>
      <c r="AAJ131" s="90"/>
      <c r="AAK131" s="90"/>
      <c r="AAL131" s="90"/>
      <c r="AAM131" s="90"/>
      <c r="AAN131" s="90"/>
      <c r="AAO131" s="90"/>
      <c r="AAP131" s="90"/>
      <c r="AAQ131" s="90"/>
      <c r="AAR131" s="90"/>
      <c r="AAS131" s="90"/>
      <c r="AAT131" s="90"/>
      <c r="AAU131" s="90"/>
      <c r="AAV131" s="90"/>
      <c r="AAW131" s="90"/>
      <c r="AAX131" s="90"/>
      <c r="AAY131" s="90"/>
      <c r="AAZ131" s="90"/>
      <c r="ABA131" s="90"/>
      <c r="ABB131" s="90"/>
      <c r="ABC131" s="90"/>
      <c r="ABD131" s="90"/>
      <c r="ABE131" s="90"/>
      <c r="ABF131" s="90"/>
      <c r="ABG131" s="90"/>
      <c r="ABH131" s="90"/>
      <c r="ABI131" s="90"/>
      <c r="ABJ131" s="90"/>
      <c r="ABK131" s="90"/>
      <c r="ABL131" s="90"/>
      <c r="ABM131" s="90"/>
      <c r="ABN131" s="90"/>
      <c r="ABO131" s="90"/>
      <c r="ABP131" s="90"/>
      <c r="ABQ131" s="90"/>
      <c r="ABR131" s="90"/>
      <c r="ABS131" s="90"/>
      <c r="ABT131" s="90"/>
      <c r="ABU131" s="90"/>
      <c r="ABV131" s="90"/>
      <c r="ABW131" s="90"/>
      <c r="ABX131" s="90"/>
      <c r="ABY131" s="90"/>
      <c r="ABZ131" s="90"/>
      <c r="ACA131" s="90"/>
      <c r="ACB131" s="90"/>
      <c r="ACC131" s="90"/>
      <c r="ACD131" s="90"/>
      <c r="ACE131" s="90"/>
      <c r="ACF131" s="90"/>
      <c r="ACG131" s="90"/>
      <c r="ACH131" s="90"/>
      <c r="ACI131" s="90"/>
      <c r="ACJ131" s="90"/>
      <c r="ACK131" s="90"/>
      <c r="ACL131" s="90"/>
      <c r="ACM131" s="90"/>
      <c r="ACN131" s="90"/>
      <c r="ACO131" s="90"/>
      <c r="ACP131" s="90"/>
      <c r="ACQ131" s="90"/>
      <c r="ACR131" s="90"/>
      <c r="ACS131" s="90"/>
      <c r="ACT131" s="90"/>
      <c r="ACU131" s="90"/>
      <c r="ACV131" s="90"/>
      <c r="ACW131" s="90"/>
      <c r="ACX131" s="90"/>
      <c r="ACY131" s="90"/>
      <c r="ACZ131" s="90"/>
      <c r="ADA131" s="90"/>
      <c r="ADB131" s="90"/>
      <c r="ADC131" s="90"/>
      <c r="ADD131" s="90"/>
      <c r="ADE131" s="90"/>
      <c r="ADF131" s="90"/>
      <c r="ADG131" s="90"/>
      <c r="ADH131" s="90"/>
      <c r="ADI131" s="90"/>
      <c r="ADJ131" s="90"/>
      <c r="ADK131" s="90"/>
      <c r="ADL131" s="90"/>
      <c r="ADM131" s="90"/>
      <c r="ADN131" s="90"/>
      <c r="ADO131" s="90"/>
      <c r="ADP131" s="90"/>
      <c r="ADQ131" s="90"/>
      <c r="ADR131" s="90"/>
      <c r="ADS131" s="90"/>
      <c r="ADT131" s="90"/>
      <c r="ADU131" s="90"/>
      <c r="ADV131" s="90"/>
      <c r="ADW131" s="90"/>
      <c r="ADX131" s="90"/>
      <c r="ADY131" s="90"/>
      <c r="ADZ131" s="90"/>
      <c r="AEA131" s="90"/>
      <c r="AEB131" s="90"/>
      <c r="AEC131" s="90"/>
      <c r="AED131" s="90"/>
      <c r="AEE131" s="90"/>
      <c r="AEF131" s="90"/>
      <c r="AEG131" s="90"/>
      <c r="AEH131" s="90"/>
      <c r="AEI131" s="90"/>
      <c r="AEJ131" s="90"/>
      <c r="AEK131" s="90"/>
      <c r="AEL131" s="90"/>
      <c r="AEM131" s="90"/>
      <c r="AEN131" s="90"/>
      <c r="AEO131" s="90"/>
      <c r="AEP131" s="90"/>
      <c r="AEQ131" s="90"/>
      <c r="AER131" s="90"/>
      <c r="AES131" s="90"/>
      <c r="AET131" s="90"/>
      <c r="AEU131" s="90"/>
      <c r="AEV131" s="90"/>
      <c r="AEW131" s="90"/>
      <c r="AEX131" s="90"/>
      <c r="AEY131" s="90"/>
      <c r="AEZ131" s="90"/>
      <c r="AFA131" s="90"/>
      <c r="AFB131" s="90"/>
      <c r="AFC131" s="90"/>
      <c r="AFD131" s="90"/>
      <c r="AFE131" s="90"/>
      <c r="AFF131" s="90"/>
      <c r="AFG131" s="90"/>
      <c r="AFH131" s="90"/>
      <c r="AFI131" s="90"/>
      <c r="AFJ131" s="90"/>
      <c r="AFK131" s="90"/>
      <c r="AFL131" s="90"/>
      <c r="AFM131" s="90"/>
      <c r="AFN131" s="90"/>
      <c r="AFO131" s="90"/>
      <c r="AFP131" s="90"/>
      <c r="AFQ131" s="90"/>
      <c r="AFR131" s="90"/>
      <c r="AFS131" s="90"/>
      <c r="AFT131" s="90"/>
      <c r="AFU131" s="90"/>
      <c r="AFV131" s="90"/>
      <c r="AFW131" s="90"/>
      <c r="AFX131" s="90"/>
      <c r="AFY131" s="90"/>
      <c r="AFZ131" s="90"/>
      <c r="AGA131" s="90"/>
      <c r="AGB131" s="90"/>
      <c r="AGC131" s="90"/>
      <c r="AGD131" s="90"/>
      <c r="AGE131" s="90"/>
      <c r="AGF131" s="90"/>
      <c r="AGG131" s="90"/>
      <c r="AGH131" s="90"/>
      <c r="AGI131" s="90"/>
      <c r="AGJ131" s="90"/>
      <c r="AGK131" s="90"/>
      <c r="AGL131" s="90"/>
      <c r="AGM131" s="90"/>
      <c r="AGN131" s="90"/>
      <c r="AGO131" s="90"/>
      <c r="AGP131" s="90"/>
      <c r="AGQ131" s="90"/>
      <c r="AGR131" s="90"/>
      <c r="AGS131" s="90"/>
      <c r="AGT131" s="90"/>
      <c r="AGU131" s="90"/>
      <c r="AGV131" s="90"/>
      <c r="AGW131" s="90"/>
      <c r="AGX131" s="90"/>
      <c r="AGY131" s="90"/>
      <c r="AGZ131" s="90"/>
      <c r="AHA131" s="90"/>
      <c r="AHB131" s="90"/>
      <c r="AHC131" s="90"/>
      <c r="AHD131" s="90"/>
      <c r="AHE131" s="90"/>
      <c r="AHF131" s="90"/>
      <c r="AHG131" s="90"/>
      <c r="AHH131" s="90"/>
      <c r="AHI131" s="90"/>
      <c r="AHJ131" s="90"/>
      <c r="AHK131" s="90"/>
      <c r="AHL131" s="90"/>
      <c r="AHM131" s="90"/>
      <c r="AHN131" s="90"/>
      <c r="AHO131" s="90"/>
      <c r="AHP131" s="90"/>
      <c r="AHQ131" s="90"/>
      <c r="AHR131" s="90"/>
      <c r="AHS131" s="90"/>
      <c r="AHT131" s="90"/>
      <c r="AHU131" s="90"/>
      <c r="AHV131" s="90"/>
      <c r="AHW131" s="90"/>
      <c r="AHX131" s="90"/>
      <c r="AHY131" s="90"/>
      <c r="AHZ131" s="90"/>
      <c r="AIA131" s="90"/>
      <c r="AIB131" s="90"/>
      <c r="AIC131" s="90"/>
      <c r="AID131" s="90"/>
      <c r="AIE131" s="90"/>
      <c r="AIF131" s="90"/>
      <c r="AIG131" s="90"/>
      <c r="AIH131" s="90"/>
      <c r="AII131" s="90"/>
      <c r="AIJ131" s="90"/>
      <c r="AIK131" s="90"/>
      <c r="AIL131" s="90"/>
      <c r="AIM131" s="90"/>
      <c r="AIN131" s="90"/>
      <c r="AIO131" s="90"/>
      <c r="AIP131" s="90"/>
      <c r="AIQ131" s="90"/>
      <c r="AIR131" s="90"/>
      <c r="AIS131" s="90"/>
      <c r="AIT131" s="90"/>
      <c r="AIU131" s="90"/>
      <c r="AIV131" s="90"/>
      <c r="AIW131" s="90"/>
      <c r="AIX131" s="90"/>
      <c r="AIY131" s="90"/>
      <c r="AIZ131" s="90"/>
      <c r="AJA131" s="90"/>
      <c r="AJB131" s="90"/>
      <c r="AJC131" s="90"/>
      <c r="AJD131" s="90"/>
      <c r="AJE131" s="90"/>
      <c r="AJF131" s="90"/>
      <c r="AJG131" s="90"/>
      <c r="AJH131" s="90"/>
      <c r="AJI131" s="90"/>
      <c r="AJJ131" s="90"/>
      <c r="AJK131" s="90"/>
      <c r="AJL131" s="90"/>
      <c r="AJM131" s="90"/>
      <c r="AJN131" s="90"/>
      <c r="AJO131" s="90"/>
      <c r="AJP131" s="90"/>
      <c r="AJQ131" s="90"/>
      <c r="AJR131" s="90"/>
      <c r="AJS131" s="90"/>
      <c r="AJT131" s="90"/>
      <c r="AJU131" s="90"/>
      <c r="AJV131" s="90"/>
      <c r="AJW131" s="90"/>
      <c r="AJX131" s="90"/>
      <c r="AJY131" s="90"/>
      <c r="AJZ131" s="90"/>
      <c r="AKA131" s="90"/>
      <c r="AKB131" s="90"/>
      <c r="AKC131" s="90"/>
      <c r="AKD131" s="90"/>
      <c r="AKE131" s="90"/>
      <c r="AKF131" s="90"/>
      <c r="AKG131" s="90"/>
      <c r="AKH131" s="90"/>
      <c r="AKI131" s="90"/>
      <c r="AKJ131" s="90"/>
      <c r="AKK131" s="90"/>
      <c r="AKL131" s="90"/>
      <c r="AKM131" s="90"/>
      <c r="AKN131" s="90"/>
      <c r="AKO131" s="90"/>
      <c r="AKP131" s="90"/>
      <c r="AKQ131" s="90"/>
      <c r="AKR131" s="90"/>
      <c r="AKS131" s="90"/>
      <c r="AKT131" s="90"/>
      <c r="AKU131" s="90"/>
      <c r="AKV131" s="90"/>
      <c r="AKW131" s="90"/>
      <c r="AKX131" s="90"/>
      <c r="AKY131" s="90"/>
      <c r="AKZ131" s="90"/>
      <c r="ALA131" s="90"/>
      <c r="ALB131" s="90"/>
      <c r="ALC131" s="90"/>
      <c r="ALD131" s="90"/>
      <c r="ALE131" s="90"/>
      <c r="ALF131" s="90"/>
      <c r="ALG131" s="90"/>
      <c r="ALH131" s="90"/>
      <c r="ALI131" s="90"/>
      <c r="ALJ131" s="90"/>
      <c r="ALK131" s="90"/>
      <c r="ALL131" s="90"/>
      <c r="ALM131" s="90"/>
      <c r="ALN131" s="90"/>
      <c r="ALO131" s="90"/>
      <c r="ALP131" s="90"/>
      <c r="ALQ131" s="90"/>
      <c r="ALR131" s="90"/>
      <c r="ALS131" s="90"/>
      <c r="ALT131" s="90"/>
      <c r="ALU131" s="90"/>
      <c r="ALV131" s="90"/>
      <c r="ALW131" s="90"/>
      <c r="ALX131" s="90"/>
      <c r="ALY131" s="90"/>
      <c r="ALZ131" s="90"/>
      <c r="AMA131" s="90"/>
      <c r="AMB131" s="90"/>
      <c r="AMC131" s="90"/>
    </row>
    <row r="132" spans="1:1017">
      <c r="A132" s="98" t="s">
        <v>48</v>
      </c>
      <c r="B132" s="90" t="str">
        <f t="shared" si="1159"/>
        <v xml:space="preserve">Gabus </v>
      </c>
      <c r="C132" s="103"/>
      <c r="Q132" s="91">
        <f t="shared" si="1160"/>
        <v>0</v>
      </c>
      <c r="R132" s="91">
        <f t="shared" si="1161"/>
        <v>0</v>
      </c>
      <c r="S132" s="103"/>
      <c r="Y132" s="98">
        <v>370</v>
      </c>
      <c r="Z132" s="98">
        <v>14800</v>
      </c>
      <c r="AG132" s="91">
        <f t="shared" si="1162"/>
        <v>370</v>
      </c>
      <c r="AH132" s="91">
        <f t="shared" si="1163"/>
        <v>14800</v>
      </c>
      <c r="AI132" s="103"/>
      <c r="AW132" s="91">
        <f t="shared" si="1164"/>
        <v>0</v>
      </c>
      <c r="AX132" s="91">
        <f t="shared" si="1165"/>
        <v>0</v>
      </c>
      <c r="AY132" s="103"/>
      <c r="BM132" s="91">
        <f t="shared" si="1166"/>
        <v>0</v>
      </c>
      <c r="BN132" s="91">
        <f t="shared" si="1167"/>
        <v>0</v>
      </c>
      <c r="BO132" s="103"/>
      <c r="CC132" s="91">
        <f t="shared" si="1168"/>
        <v>0</v>
      </c>
      <c r="CD132" s="91">
        <f t="shared" si="1169"/>
        <v>0</v>
      </c>
      <c r="CE132" s="103"/>
      <c r="CS132" s="91">
        <f t="shared" si="1254"/>
        <v>0</v>
      </c>
      <c r="CT132" s="91">
        <f t="shared" si="1255"/>
        <v>0</v>
      </c>
      <c r="CU132" s="103"/>
      <c r="DI132" s="91">
        <f t="shared" si="1172"/>
        <v>0</v>
      </c>
      <c r="DJ132" s="91">
        <f t="shared" si="1173"/>
        <v>0</v>
      </c>
      <c r="DK132" s="103"/>
      <c r="DY132" s="91">
        <f t="shared" si="1174"/>
        <v>0</v>
      </c>
      <c r="DZ132" s="91">
        <f t="shared" si="1175"/>
        <v>0</v>
      </c>
      <c r="EA132" s="103"/>
      <c r="EO132" s="91">
        <f t="shared" si="1176"/>
        <v>0</v>
      </c>
      <c r="EP132" s="91">
        <f t="shared" si="1177"/>
        <v>0</v>
      </c>
      <c r="EQ132" s="103"/>
      <c r="EW132" s="782">
        <v>3823</v>
      </c>
      <c r="EX132" s="98">
        <v>152920</v>
      </c>
      <c r="FE132" s="91">
        <f t="shared" si="1178"/>
        <v>3823</v>
      </c>
      <c r="FF132" s="91">
        <f t="shared" si="1179"/>
        <v>152920</v>
      </c>
      <c r="FG132" s="103"/>
      <c r="FM132" s="98">
        <v>300</v>
      </c>
      <c r="FN132" s="98">
        <v>13500</v>
      </c>
      <c r="FU132" s="91">
        <f t="shared" si="1180"/>
        <v>300</v>
      </c>
      <c r="FV132" s="91">
        <f t="shared" si="1181"/>
        <v>13500</v>
      </c>
      <c r="FW132" s="103"/>
      <c r="GK132" s="91">
        <f t="shared" si="1182"/>
        <v>0</v>
      </c>
      <c r="GL132" s="91">
        <f t="shared" si="1183"/>
        <v>0</v>
      </c>
      <c r="GM132" s="103"/>
      <c r="HA132" s="91">
        <f t="shared" si="1184"/>
        <v>0</v>
      </c>
      <c r="HB132" s="91">
        <f t="shared" si="1185"/>
        <v>0</v>
      </c>
      <c r="HC132" s="103"/>
      <c r="HQ132" s="91">
        <f t="shared" si="1186"/>
        <v>0</v>
      </c>
      <c r="HR132" s="91">
        <f t="shared" si="1187"/>
        <v>0</v>
      </c>
      <c r="HS132" s="103"/>
      <c r="IG132" s="91">
        <f t="shared" si="1188"/>
        <v>0</v>
      </c>
      <c r="IH132" s="91">
        <f t="shared" si="1189"/>
        <v>0</v>
      </c>
      <c r="II132" s="103"/>
      <c r="IW132" s="91">
        <f t="shared" si="1190"/>
        <v>0</v>
      </c>
      <c r="IX132" s="91">
        <f t="shared" si="1191"/>
        <v>0</v>
      </c>
      <c r="IY132" s="103"/>
      <c r="JM132" s="91">
        <f t="shared" si="1192"/>
        <v>0</v>
      </c>
      <c r="JN132" s="91">
        <f t="shared" si="1193"/>
        <v>0</v>
      </c>
      <c r="JO132" s="103"/>
      <c r="KC132" s="91">
        <f t="shared" si="1194"/>
        <v>0</v>
      </c>
      <c r="KD132" s="91">
        <f t="shared" si="1195"/>
        <v>0</v>
      </c>
      <c r="KE132" s="103"/>
      <c r="KS132" s="91">
        <f t="shared" si="1196"/>
        <v>0</v>
      </c>
      <c r="KT132" s="91">
        <f t="shared" si="1197"/>
        <v>0</v>
      </c>
      <c r="KU132" s="103"/>
      <c r="LI132" s="91">
        <f t="shared" si="1198"/>
        <v>0</v>
      </c>
      <c r="LJ132" s="91">
        <f t="shared" si="1199"/>
        <v>0</v>
      </c>
      <c r="LK132" s="103"/>
      <c r="LQ132" s="98">
        <v>53</v>
      </c>
      <c r="LR132" s="98">
        <v>3180</v>
      </c>
      <c r="LY132" s="91">
        <f t="shared" si="1200"/>
        <v>53</v>
      </c>
      <c r="LZ132" s="91">
        <f t="shared" si="1201"/>
        <v>3180</v>
      </c>
      <c r="MA132" s="103"/>
      <c r="MO132" s="91">
        <f t="shared" si="1202"/>
        <v>0</v>
      </c>
      <c r="MP132" s="91">
        <f t="shared" si="1203"/>
        <v>0</v>
      </c>
      <c r="MQ132" s="103"/>
      <c r="NE132" s="91">
        <f t="shared" si="1204"/>
        <v>0</v>
      </c>
      <c r="NF132" s="91">
        <f t="shared" si="1205"/>
        <v>0</v>
      </c>
      <c r="NG132" s="103"/>
      <c r="NU132" s="91">
        <f t="shared" si="1206"/>
        <v>0</v>
      </c>
      <c r="NV132" s="91">
        <f t="shared" si="1207"/>
        <v>0</v>
      </c>
      <c r="NW132" s="103"/>
      <c r="OK132" s="91">
        <f t="shared" si="1208"/>
        <v>0</v>
      </c>
      <c r="OL132" s="91">
        <f t="shared" si="1209"/>
        <v>0</v>
      </c>
      <c r="PA132" s="91">
        <f t="shared" si="1210"/>
        <v>0</v>
      </c>
      <c r="PB132" s="91">
        <f t="shared" si="1211"/>
        <v>0</v>
      </c>
      <c r="PC132" s="103"/>
      <c r="PI132" s="98">
        <v>1132</v>
      </c>
      <c r="PJ132" s="98">
        <v>33960</v>
      </c>
      <c r="PQ132" s="91">
        <f t="shared" si="1212"/>
        <v>1132</v>
      </c>
      <c r="PR132" s="91">
        <f t="shared" si="1213"/>
        <v>33960</v>
      </c>
      <c r="PS132" s="103"/>
      <c r="PY132" s="98">
        <v>40010</v>
      </c>
      <c r="PZ132" s="98">
        <v>2000500</v>
      </c>
      <c r="QG132" s="91">
        <f t="shared" si="1214"/>
        <v>40010</v>
      </c>
      <c r="QH132" s="91">
        <f t="shared" si="1215"/>
        <v>2000500</v>
      </c>
      <c r="QI132" s="103"/>
      <c r="QO132" s="98">
        <v>5000</v>
      </c>
      <c r="QP132" s="98">
        <v>175000</v>
      </c>
      <c r="QW132" s="91">
        <f t="shared" si="1216"/>
        <v>5000</v>
      </c>
      <c r="QX132" s="91">
        <f t="shared" si="1217"/>
        <v>175000</v>
      </c>
      <c r="QY132" s="103"/>
      <c r="RM132" s="91">
        <f t="shared" si="1218"/>
        <v>0</v>
      </c>
      <c r="RN132" s="91">
        <f t="shared" si="1219"/>
        <v>0</v>
      </c>
      <c r="RO132" s="103"/>
      <c r="SC132" s="91">
        <f t="shared" si="1220"/>
        <v>0</v>
      </c>
      <c r="SD132" s="91">
        <f t="shared" si="1221"/>
        <v>0</v>
      </c>
      <c r="SE132" s="103"/>
      <c r="SS132" s="91">
        <f t="shared" si="1222"/>
        <v>0</v>
      </c>
      <c r="ST132" s="91">
        <f t="shared" si="1223"/>
        <v>0</v>
      </c>
      <c r="SU132" s="103"/>
      <c r="TI132" s="91">
        <f t="shared" si="1224"/>
        <v>0</v>
      </c>
      <c r="TJ132" s="91">
        <f t="shared" si="1225"/>
        <v>0</v>
      </c>
      <c r="TK132" s="103"/>
      <c r="TY132" s="91">
        <f t="shared" si="1226"/>
        <v>0</v>
      </c>
      <c r="TZ132" s="91">
        <f t="shared" si="1227"/>
        <v>0</v>
      </c>
      <c r="UA132" s="103"/>
      <c r="UO132" s="91">
        <f t="shared" si="1228"/>
        <v>0</v>
      </c>
      <c r="UP132" s="91">
        <f t="shared" si="1229"/>
        <v>0</v>
      </c>
      <c r="UQ132" s="103"/>
      <c r="VE132" s="91">
        <f t="shared" si="1230"/>
        <v>0</v>
      </c>
      <c r="VF132" s="91">
        <f t="shared" si="1231"/>
        <v>0</v>
      </c>
      <c r="VG132" s="103"/>
      <c r="VU132" s="91">
        <f t="shared" si="1232"/>
        <v>0</v>
      </c>
      <c r="VV132" s="91">
        <f t="shared" si="1233"/>
        <v>0</v>
      </c>
      <c r="VW132" s="103"/>
      <c r="WK132" s="91">
        <f t="shared" si="1234"/>
        <v>0</v>
      </c>
      <c r="WL132" s="91">
        <f t="shared" si="1235"/>
        <v>0</v>
      </c>
      <c r="WM132" s="89"/>
      <c r="WN132" s="87">
        <f t="shared" si="1236"/>
        <v>0</v>
      </c>
      <c r="WO132" s="87">
        <f t="shared" si="1237"/>
        <v>0</v>
      </c>
      <c r="WP132" s="87">
        <f t="shared" si="1238"/>
        <v>0</v>
      </c>
      <c r="WQ132" s="87">
        <f t="shared" si="1239"/>
        <v>0</v>
      </c>
      <c r="WR132" s="87">
        <f t="shared" si="1240"/>
        <v>0</v>
      </c>
      <c r="WS132" s="87">
        <f t="shared" si="1241"/>
        <v>0</v>
      </c>
      <c r="WT132" s="87">
        <f t="shared" si="1242"/>
        <v>50688</v>
      </c>
      <c r="WU132" s="87">
        <f t="shared" si="1243"/>
        <v>2393860</v>
      </c>
      <c r="WV132" s="87">
        <f t="shared" si="1244"/>
        <v>0</v>
      </c>
      <c r="WW132" s="87">
        <f t="shared" si="1245"/>
        <v>0</v>
      </c>
      <c r="WX132" s="87">
        <f t="shared" si="1246"/>
        <v>0</v>
      </c>
      <c r="WY132" s="87">
        <f t="shared" si="1247"/>
        <v>0</v>
      </c>
      <c r="WZ132" s="87">
        <f t="shared" si="1248"/>
        <v>0</v>
      </c>
      <c r="XA132" s="87">
        <f t="shared" si="1249"/>
        <v>0</v>
      </c>
      <c r="XB132" s="92">
        <f t="shared" si="1250"/>
        <v>50688</v>
      </c>
      <c r="XC132" s="92">
        <f t="shared" si="1251"/>
        <v>2393860</v>
      </c>
      <c r="XD132" s="89"/>
      <c r="XE132" s="92">
        <f t="shared" ref="XE132:XF132" si="1259">SUM(XB360,XB398,XB436)</f>
        <v>22575</v>
      </c>
      <c r="XF132" s="92">
        <f t="shared" si="1259"/>
        <v>816245</v>
      </c>
      <c r="XG132" s="89"/>
      <c r="XH132" s="92"/>
      <c r="XI132" s="92"/>
      <c r="XJ132" s="89"/>
      <c r="XK132" s="87"/>
      <c r="XL132" s="87"/>
      <c r="XM132" s="87"/>
      <c r="XN132" s="87"/>
      <c r="XO132" s="87"/>
      <c r="XP132" s="87"/>
      <c r="XQ132" s="87"/>
      <c r="XR132" s="92">
        <f t="shared" ca="1" si="1252"/>
        <v>0</v>
      </c>
      <c r="XS132" s="89"/>
      <c r="XT132" s="87"/>
      <c r="XU132" s="87"/>
      <c r="XV132" s="87"/>
      <c r="XW132" s="87"/>
      <c r="XX132" s="87"/>
      <c r="XY132" s="87"/>
      <c r="XZ132" s="87"/>
      <c r="YA132" s="92">
        <f t="shared" ca="1" si="1253"/>
        <v>0</v>
      </c>
      <c r="YB132" s="90"/>
      <c r="YC132" s="90"/>
      <c r="YD132" s="90"/>
      <c r="YE132" s="90"/>
      <c r="YF132" s="90"/>
      <c r="YG132" s="90"/>
      <c r="YH132" s="90"/>
      <c r="YI132" s="90"/>
      <c r="YJ132" s="90"/>
      <c r="YK132" s="90"/>
      <c r="YL132" s="90"/>
      <c r="YM132" s="90"/>
      <c r="YN132" s="90"/>
      <c r="YO132" s="90"/>
      <c r="YP132" s="90"/>
      <c r="YQ132" s="90"/>
      <c r="YR132" s="90"/>
      <c r="YS132" s="90"/>
      <c r="YT132" s="90"/>
      <c r="YU132" s="90"/>
      <c r="YV132" s="90"/>
      <c r="YW132" s="90"/>
      <c r="YX132" s="90"/>
      <c r="YY132" s="90"/>
      <c r="YZ132" s="90"/>
      <c r="ZA132" s="90"/>
      <c r="ZB132" s="90"/>
      <c r="ZC132" s="90"/>
      <c r="ZD132" s="90"/>
      <c r="ZE132" s="90"/>
      <c r="ZF132" s="90"/>
      <c r="ZG132" s="90"/>
      <c r="ZH132" s="90"/>
      <c r="ZI132" s="90"/>
      <c r="ZJ132" s="90"/>
      <c r="ZK132" s="90"/>
      <c r="ZL132" s="90"/>
      <c r="ZM132" s="90"/>
      <c r="ZN132" s="90"/>
      <c r="ZO132" s="90"/>
      <c r="ZP132" s="90"/>
      <c r="ZQ132" s="90"/>
      <c r="ZR132" s="90"/>
      <c r="ZS132" s="90"/>
      <c r="ZT132" s="90"/>
      <c r="ZU132" s="90"/>
      <c r="ZV132" s="90"/>
      <c r="ZW132" s="90"/>
      <c r="ZX132" s="90"/>
      <c r="ZY132" s="90"/>
      <c r="ZZ132" s="90"/>
      <c r="AAA132" s="90"/>
      <c r="AAB132" s="90"/>
      <c r="AAC132" s="90"/>
      <c r="AAD132" s="90"/>
      <c r="AAE132" s="90"/>
      <c r="AAF132" s="90"/>
      <c r="AAG132" s="90"/>
      <c r="AAH132" s="90"/>
      <c r="AAI132" s="90"/>
      <c r="AAJ132" s="90"/>
      <c r="AAK132" s="90"/>
      <c r="AAL132" s="90"/>
      <c r="AAM132" s="90"/>
      <c r="AAN132" s="90"/>
      <c r="AAO132" s="90"/>
      <c r="AAP132" s="90"/>
      <c r="AAQ132" s="90"/>
      <c r="AAR132" s="90"/>
      <c r="AAS132" s="90"/>
      <c r="AAT132" s="90"/>
      <c r="AAU132" s="90"/>
      <c r="AAV132" s="90"/>
      <c r="AAW132" s="90"/>
      <c r="AAX132" s="90"/>
      <c r="AAY132" s="90"/>
      <c r="AAZ132" s="90"/>
      <c r="ABA132" s="90"/>
      <c r="ABB132" s="90"/>
      <c r="ABC132" s="90"/>
      <c r="ABD132" s="90"/>
      <c r="ABE132" s="90"/>
      <c r="ABF132" s="90"/>
      <c r="ABG132" s="90"/>
      <c r="ABH132" s="90"/>
      <c r="ABI132" s="90"/>
      <c r="ABJ132" s="90"/>
      <c r="ABK132" s="90"/>
      <c r="ABL132" s="90"/>
      <c r="ABM132" s="90"/>
      <c r="ABN132" s="90"/>
      <c r="ABO132" s="90"/>
      <c r="ABP132" s="90"/>
      <c r="ABQ132" s="90"/>
      <c r="ABR132" s="90"/>
      <c r="ABS132" s="90"/>
      <c r="ABT132" s="90"/>
      <c r="ABU132" s="90"/>
      <c r="ABV132" s="90"/>
      <c r="ABW132" s="90"/>
      <c r="ABX132" s="90"/>
      <c r="ABY132" s="90"/>
      <c r="ABZ132" s="90"/>
      <c r="ACA132" s="90"/>
      <c r="ACB132" s="90"/>
      <c r="ACC132" s="90"/>
      <c r="ACD132" s="90"/>
      <c r="ACE132" s="90"/>
      <c r="ACF132" s="90"/>
      <c r="ACG132" s="90"/>
      <c r="ACH132" s="90"/>
      <c r="ACI132" s="90"/>
      <c r="ACJ132" s="90"/>
      <c r="ACK132" s="90"/>
      <c r="ACL132" s="90"/>
      <c r="ACM132" s="90"/>
      <c r="ACN132" s="90"/>
      <c r="ACO132" s="90"/>
      <c r="ACP132" s="90"/>
      <c r="ACQ132" s="90"/>
      <c r="ACR132" s="90"/>
      <c r="ACS132" s="90"/>
      <c r="ACT132" s="90"/>
      <c r="ACU132" s="90"/>
      <c r="ACV132" s="90"/>
      <c r="ACW132" s="90"/>
      <c r="ACX132" s="90"/>
      <c r="ACY132" s="90"/>
      <c r="ACZ132" s="90"/>
      <c r="ADA132" s="90"/>
      <c r="ADB132" s="90"/>
      <c r="ADC132" s="90"/>
      <c r="ADD132" s="90"/>
      <c r="ADE132" s="90"/>
      <c r="ADF132" s="90"/>
      <c r="ADG132" s="90"/>
      <c r="ADH132" s="90"/>
      <c r="ADI132" s="90"/>
      <c r="ADJ132" s="90"/>
      <c r="ADK132" s="90"/>
      <c r="ADL132" s="90"/>
      <c r="ADM132" s="90"/>
      <c r="ADN132" s="90"/>
      <c r="ADO132" s="90"/>
      <c r="ADP132" s="90"/>
      <c r="ADQ132" s="90"/>
      <c r="ADR132" s="90"/>
      <c r="ADS132" s="90"/>
      <c r="ADT132" s="90"/>
      <c r="ADU132" s="90"/>
      <c r="ADV132" s="90"/>
      <c r="ADW132" s="90"/>
      <c r="ADX132" s="90"/>
      <c r="ADY132" s="90"/>
      <c r="ADZ132" s="90"/>
      <c r="AEA132" s="90"/>
      <c r="AEB132" s="90"/>
      <c r="AEC132" s="90"/>
      <c r="AED132" s="90"/>
      <c r="AEE132" s="90"/>
      <c r="AEF132" s="90"/>
      <c r="AEG132" s="90"/>
      <c r="AEH132" s="90"/>
      <c r="AEI132" s="90"/>
      <c r="AEJ132" s="90"/>
      <c r="AEK132" s="90"/>
      <c r="AEL132" s="90"/>
      <c r="AEM132" s="90"/>
      <c r="AEN132" s="90"/>
      <c r="AEO132" s="90"/>
      <c r="AEP132" s="90"/>
      <c r="AEQ132" s="90"/>
      <c r="AER132" s="90"/>
      <c r="AES132" s="90"/>
      <c r="AET132" s="90"/>
      <c r="AEU132" s="90"/>
      <c r="AEV132" s="90"/>
      <c r="AEW132" s="90"/>
      <c r="AEX132" s="90"/>
      <c r="AEY132" s="90"/>
      <c r="AEZ132" s="90"/>
      <c r="AFA132" s="90"/>
      <c r="AFB132" s="90"/>
      <c r="AFC132" s="90"/>
      <c r="AFD132" s="90"/>
      <c r="AFE132" s="90"/>
      <c r="AFF132" s="90"/>
      <c r="AFG132" s="90"/>
      <c r="AFH132" s="90"/>
      <c r="AFI132" s="90"/>
      <c r="AFJ132" s="90"/>
      <c r="AFK132" s="90"/>
      <c r="AFL132" s="90"/>
      <c r="AFM132" s="90"/>
      <c r="AFN132" s="90"/>
      <c r="AFO132" s="90"/>
      <c r="AFP132" s="90"/>
      <c r="AFQ132" s="90"/>
      <c r="AFR132" s="90"/>
      <c r="AFS132" s="90"/>
      <c r="AFT132" s="90"/>
      <c r="AFU132" s="90"/>
      <c r="AFV132" s="90"/>
      <c r="AFW132" s="90"/>
      <c r="AFX132" s="90"/>
      <c r="AFY132" s="90"/>
      <c r="AFZ132" s="90"/>
      <c r="AGA132" s="90"/>
      <c r="AGB132" s="90"/>
      <c r="AGC132" s="90"/>
      <c r="AGD132" s="90"/>
      <c r="AGE132" s="90"/>
      <c r="AGF132" s="90"/>
      <c r="AGG132" s="90"/>
      <c r="AGH132" s="90"/>
      <c r="AGI132" s="90"/>
      <c r="AGJ132" s="90"/>
      <c r="AGK132" s="90"/>
      <c r="AGL132" s="90"/>
      <c r="AGM132" s="90"/>
      <c r="AGN132" s="90"/>
      <c r="AGO132" s="90"/>
      <c r="AGP132" s="90"/>
      <c r="AGQ132" s="90"/>
      <c r="AGR132" s="90"/>
      <c r="AGS132" s="90"/>
      <c r="AGT132" s="90"/>
      <c r="AGU132" s="90"/>
      <c r="AGV132" s="90"/>
      <c r="AGW132" s="90"/>
      <c r="AGX132" s="90"/>
      <c r="AGY132" s="90"/>
      <c r="AGZ132" s="90"/>
      <c r="AHA132" s="90"/>
      <c r="AHB132" s="90"/>
      <c r="AHC132" s="90"/>
      <c r="AHD132" s="90"/>
      <c r="AHE132" s="90"/>
      <c r="AHF132" s="90"/>
      <c r="AHG132" s="90"/>
      <c r="AHH132" s="90"/>
      <c r="AHI132" s="90"/>
      <c r="AHJ132" s="90"/>
      <c r="AHK132" s="90"/>
      <c r="AHL132" s="90"/>
      <c r="AHM132" s="90"/>
      <c r="AHN132" s="90"/>
      <c r="AHO132" s="90"/>
      <c r="AHP132" s="90"/>
      <c r="AHQ132" s="90"/>
      <c r="AHR132" s="90"/>
      <c r="AHS132" s="90"/>
      <c r="AHT132" s="90"/>
      <c r="AHU132" s="90"/>
      <c r="AHV132" s="90"/>
      <c r="AHW132" s="90"/>
      <c r="AHX132" s="90"/>
      <c r="AHY132" s="90"/>
      <c r="AHZ132" s="90"/>
      <c r="AIA132" s="90"/>
      <c r="AIB132" s="90"/>
      <c r="AIC132" s="90"/>
      <c r="AID132" s="90"/>
      <c r="AIE132" s="90"/>
      <c r="AIF132" s="90"/>
      <c r="AIG132" s="90"/>
      <c r="AIH132" s="90"/>
      <c r="AII132" s="90"/>
      <c r="AIJ132" s="90"/>
      <c r="AIK132" s="90"/>
      <c r="AIL132" s="90"/>
      <c r="AIM132" s="90"/>
      <c r="AIN132" s="90"/>
      <c r="AIO132" s="90"/>
      <c r="AIP132" s="90"/>
      <c r="AIQ132" s="90"/>
      <c r="AIR132" s="90"/>
      <c r="AIS132" s="90"/>
      <c r="AIT132" s="90"/>
      <c r="AIU132" s="90"/>
      <c r="AIV132" s="90"/>
      <c r="AIW132" s="90"/>
      <c r="AIX132" s="90"/>
      <c r="AIY132" s="90"/>
      <c r="AIZ132" s="90"/>
      <c r="AJA132" s="90"/>
      <c r="AJB132" s="90"/>
      <c r="AJC132" s="90"/>
      <c r="AJD132" s="90"/>
      <c r="AJE132" s="90"/>
      <c r="AJF132" s="90"/>
      <c r="AJG132" s="90"/>
      <c r="AJH132" s="90"/>
      <c r="AJI132" s="90"/>
      <c r="AJJ132" s="90"/>
      <c r="AJK132" s="90"/>
      <c r="AJL132" s="90"/>
      <c r="AJM132" s="90"/>
      <c r="AJN132" s="90"/>
      <c r="AJO132" s="90"/>
      <c r="AJP132" s="90"/>
      <c r="AJQ132" s="90"/>
      <c r="AJR132" s="90"/>
      <c r="AJS132" s="90"/>
      <c r="AJT132" s="90"/>
      <c r="AJU132" s="90"/>
      <c r="AJV132" s="90"/>
      <c r="AJW132" s="90"/>
      <c r="AJX132" s="90"/>
      <c r="AJY132" s="90"/>
      <c r="AJZ132" s="90"/>
      <c r="AKA132" s="90"/>
      <c r="AKB132" s="90"/>
      <c r="AKC132" s="90"/>
      <c r="AKD132" s="90"/>
      <c r="AKE132" s="90"/>
      <c r="AKF132" s="90"/>
      <c r="AKG132" s="90"/>
      <c r="AKH132" s="90"/>
      <c r="AKI132" s="90"/>
      <c r="AKJ132" s="90"/>
      <c r="AKK132" s="90"/>
      <c r="AKL132" s="90"/>
      <c r="AKM132" s="90"/>
      <c r="AKN132" s="90"/>
      <c r="AKO132" s="90"/>
      <c r="AKP132" s="90"/>
      <c r="AKQ132" s="90"/>
      <c r="AKR132" s="90"/>
      <c r="AKS132" s="90"/>
      <c r="AKT132" s="90"/>
      <c r="AKU132" s="90"/>
      <c r="AKV132" s="90"/>
      <c r="AKW132" s="90"/>
      <c r="AKX132" s="90"/>
      <c r="AKY132" s="90"/>
      <c r="AKZ132" s="90"/>
      <c r="ALA132" s="90"/>
      <c r="ALB132" s="90"/>
      <c r="ALC132" s="90"/>
      <c r="ALD132" s="90"/>
      <c r="ALE132" s="90"/>
      <c r="ALF132" s="90"/>
      <c r="ALG132" s="90"/>
      <c r="ALH132" s="90"/>
      <c r="ALI132" s="90"/>
      <c r="ALJ132" s="90"/>
      <c r="ALK132" s="90"/>
      <c r="ALL132" s="90"/>
      <c r="ALM132" s="90"/>
      <c r="ALN132" s="90"/>
      <c r="ALO132" s="90"/>
      <c r="ALP132" s="90"/>
      <c r="ALQ132" s="90"/>
      <c r="ALR132" s="90"/>
      <c r="ALS132" s="90"/>
      <c r="ALT132" s="90"/>
      <c r="ALU132" s="90"/>
      <c r="ALV132" s="90"/>
      <c r="ALW132" s="90"/>
      <c r="ALX132" s="90"/>
      <c r="ALY132" s="90"/>
      <c r="ALZ132" s="90"/>
      <c r="AMA132" s="90"/>
      <c r="AMB132" s="90"/>
      <c r="AMC132" s="90"/>
    </row>
    <row r="133" spans="1:1017">
      <c r="A133" s="98" t="s">
        <v>48</v>
      </c>
      <c r="B133" s="90" t="str">
        <f t="shared" si="1159"/>
        <v xml:space="preserve">Gracilaria verrucosa </v>
      </c>
      <c r="Q133" s="91">
        <f t="shared" si="1160"/>
        <v>0</v>
      </c>
      <c r="R133" s="91">
        <f t="shared" si="1161"/>
        <v>0</v>
      </c>
      <c r="AG133" s="91">
        <f t="shared" si="1162"/>
        <v>0</v>
      </c>
      <c r="AH133" s="91">
        <f t="shared" si="1163"/>
        <v>0</v>
      </c>
      <c r="AW133" s="91">
        <f t="shared" si="1164"/>
        <v>0</v>
      </c>
      <c r="AX133" s="91">
        <f t="shared" si="1165"/>
        <v>0</v>
      </c>
      <c r="BM133" s="91">
        <f t="shared" si="1166"/>
        <v>0</v>
      </c>
      <c r="BN133" s="91">
        <f t="shared" si="1167"/>
        <v>0</v>
      </c>
      <c r="CC133" s="91">
        <f t="shared" si="1168"/>
        <v>0</v>
      </c>
      <c r="CD133" s="91">
        <f t="shared" si="1169"/>
        <v>0</v>
      </c>
      <c r="CG133" s="98">
        <v>243274</v>
      </c>
      <c r="CH133" s="98">
        <v>729823</v>
      </c>
      <c r="CS133" s="91">
        <f t="shared" si="1254"/>
        <v>243274</v>
      </c>
      <c r="CT133" s="91">
        <f t="shared" si="1255"/>
        <v>729823</v>
      </c>
      <c r="DI133" s="91">
        <f t="shared" si="1172"/>
        <v>0</v>
      </c>
      <c r="DJ133" s="91">
        <f t="shared" si="1173"/>
        <v>0</v>
      </c>
      <c r="DY133" s="91">
        <f t="shared" si="1174"/>
        <v>0</v>
      </c>
      <c r="DZ133" s="91">
        <f t="shared" si="1175"/>
        <v>0</v>
      </c>
      <c r="EO133" s="91">
        <f t="shared" si="1176"/>
        <v>0</v>
      </c>
      <c r="EP133" s="91">
        <f t="shared" si="1177"/>
        <v>0</v>
      </c>
      <c r="FE133" s="91">
        <f t="shared" si="1178"/>
        <v>0</v>
      </c>
      <c r="FF133" s="91">
        <f t="shared" si="1179"/>
        <v>0</v>
      </c>
      <c r="FU133" s="91">
        <f t="shared" si="1180"/>
        <v>0</v>
      </c>
      <c r="FV133" s="91">
        <f t="shared" si="1181"/>
        <v>0</v>
      </c>
      <c r="GK133" s="91">
        <f t="shared" si="1182"/>
        <v>0</v>
      </c>
      <c r="GL133" s="91">
        <f t="shared" si="1183"/>
        <v>0</v>
      </c>
      <c r="HA133" s="91">
        <f t="shared" si="1184"/>
        <v>0</v>
      </c>
      <c r="HB133" s="91">
        <f t="shared" si="1185"/>
        <v>0</v>
      </c>
      <c r="HQ133" s="91">
        <f t="shared" si="1186"/>
        <v>0</v>
      </c>
      <c r="HR133" s="91">
        <f t="shared" si="1187"/>
        <v>0</v>
      </c>
      <c r="IG133" s="91">
        <f t="shared" si="1188"/>
        <v>0</v>
      </c>
      <c r="IH133" s="91">
        <f t="shared" si="1189"/>
        <v>0</v>
      </c>
      <c r="IW133" s="91">
        <f t="shared" si="1190"/>
        <v>0</v>
      </c>
      <c r="IX133" s="91">
        <f t="shared" si="1191"/>
        <v>0</v>
      </c>
      <c r="JM133" s="91">
        <f t="shared" si="1192"/>
        <v>0</v>
      </c>
      <c r="JN133" s="91">
        <f t="shared" si="1193"/>
        <v>0</v>
      </c>
      <c r="KC133" s="91">
        <f t="shared" si="1194"/>
        <v>0</v>
      </c>
      <c r="KD133" s="91">
        <f t="shared" si="1195"/>
        <v>0</v>
      </c>
      <c r="KS133" s="91">
        <f t="shared" si="1196"/>
        <v>0</v>
      </c>
      <c r="KT133" s="91">
        <f t="shared" si="1197"/>
        <v>0</v>
      </c>
      <c r="KW133" s="98">
        <v>155204.35999999999</v>
      </c>
      <c r="KX133" s="98">
        <v>232806</v>
      </c>
      <c r="LI133" s="91">
        <f t="shared" si="1198"/>
        <v>155204.35999999999</v>
      </c>
      <c r="LJ133" s="91">
        <f t="shared" si="1199"/>
        <v>232806</v>
      </c>
      <c r="LY133" s="91">
        <f t="shared" si="1200"/>
        <v>0</v>
      </c>
      <c r="LZ133" s="91">
        <f t="shared" si="1201"/>
        <v>0</v>
      </c>
      <c r="MO133" s="91">
        <f t="shared" si="1202"/>
        <v>0</v>
      </c>
      <c r="MP133" s="91">
        <f t="shared" si="1203"/>
        <v>0</v>
      </c>
      <c r="NE133" s="91">
        <f t="shared" si="1204"/>
        <v>0</v>
      </c>
      <c r="NF133" s="91">
        <f t="shared" si="1205"/>
        <v>0</v>
      </c>
      <c r="NI133" s="98">
        <v>1004500</v>
      </c>
      <c r="NJ133" s="98">
        <v>2310350</v>
      </c>
      <c r="NU133" s="91">
        <f t="shared" si="1206"/>
        <v>1004500</v>
      </c>
      <c r="NV133" s="91">
        <f t="shared" si="1207"/>
        <v>2310350</v>
      </c>
      <c r="NY133" s="98">
        <v>9640</v>
      </c>
      <c r="NZ133" s="98">
        <v>28920</v>
      </c>
      <c r="OK133" s="91">
        <f t="shared" si="1208"/>
        <v>9640</v>
      </c>
      <c r="OL133" s="91">
        <f t="shared" si="1209"/>
        <v>28920</v>
      </c>
      <c r="PA133" s="91">
        <f t="shared" si="1210"/>
        <v>0</v>
      </c>
      <c r="PB133" s="91">
        <f t="shared" si="1211"/>
        <v>0</v>
      </c>
      <c r="PQ133" s="91">
        <f t="shared" si="1212"/>
        <v>0</v>
      </c>
      <c r="PR133" s="91">
        <f t="shared" si="1213"/>
        <v>0</v>
      </c>
      <c r="QG133" s="91">
        <f t="shared" si="1214"/>
        <v>0</v>
      </c>
      <c r="QH133" s="91">
        <f t="shared" si="1215"/>
        <v>0</v>
      </c>
      <c r="QW133" s="91">
        <f t="shared" si="1216"/>
        <v>0</v>
      </c>
      <c r="QX133" s="91">
        <f t="shared" si="1217"/>
        <v>0</v>
      </c>
      <c r="RM133" s="91">
        <f t="shared" si="1218"/>
        <v>0</v>
      </c>
      <c r="RN133" s="91">
        <f t="shared" si="1219"/>
        <v>0</v>
      </c>
      <c r="SC133" s="91">
        <f t="shared" si="1220"/>
        <v>0</v>
      </c>
      <c r="SD133" s="91">
        <f t="shared" si="1221"/>
        <v>0</v>
      </c>
      <c r="SS133" s="91">
        <f t="shared" si="1222"/>
        <v>0</v>
      </c>
      <c r="ST133" s="91">
        <f t="shared" si="1223"/>
        <v>0</v>
      </c>
      <c r="TI133" s="91">
        <f t="shared" si="1224"/>
        <v>0</v>
      </c>
      <c r="TJ133" s="91">
        <f t="shared" si="1225"/>
        <v>0</v>
      </c>
      <c r="TY133" s="91">
        <f t="shared" si="1226"/>
        <v>0</v>
      </c>
      <c r="TZ133" s="91">
        <f t="shared" si="1227"/>
        <v>0</v>
      </c>
      <c r="UO133" s="91">
        <f t="shared" si="1228"/>
        <v>0</v>
      </c>
      <c r="UP133" s="91">
        <f t="shared" si="1229"/>
        <v>0</v>
      </c>
      <c r="US133" s="98">
        <v>116000</v>
      </c>
      <c r="UT133" s="98">
        <v>92800</v>
      </c>
      <c r="VE133" s="91">
        <f t="shared" si="1230"/>
        <v>116000</v>
      </c>
      <c r="VF133" s="91">
        <f t="shared" si="1231"/>
        <v>92800</v>
      </c>
      <c r="VU133" s="91">
        <f t="shared" si="1232"/>
        <v>0</v>
      </c>
      <c r="VV133" s="91">
        <f t="shared" si="1233"/>
        <v>0</v>
      </c>
      <c r="WK133" s="91">
        <f t="shared" si="1234"/>
        <v>0</v>
      </c>
      <c r="WL133" s="91">
        <f t="shared" si="1235"/>
        <v>0</v>
      </c>
      <c r="WM133" s="89"/>
      <c r="WN133" s="87">
        <f t="shared" si="1236"/>
        <v>0</v>
      </c>
      <c r="WO133" s="87">
        <f t="shared" si="1237"/>
        <v>0</v>
      </c>
      <c r="WP133" s="87">
        <f t="shared" si="1238"/>
        <v>1528618.3599999999</v>
      </c>
      <c r="WQ133" s="87">
        <f t="shared" si="1239"/>
        <v>3394699</v>
      </c>
      <c r="WR133" s="87">
        <f t="shared" si="1240"/>
        <v>0</v>
      </c>
      <c r="WS133" s="87">
        <f t="shared" si="1241"/>
        <v>0</v>
      </c>
      <c r="WT133" s="87">
        <f t="shared" si="1242"/>
        <v>0</v>
      </c>
      <c r="WU133" s="87">
        <f t="shared" si="1243"/>
        <v>0</v>
      </c>
      <c r="WV133" s="87">
        <f t="shared" si="1244"/>
        <v>0</v>
      </c>
      <c r="WW133" s="87">
        <f t="shared" si="1245"/>
        <v>0</v>
      </c>
      <c r="WX133" s="87">
        <f t="shared" si="1246"/>
        <v>0</v>
      </c>
      <c r="WY133" s="87">
        <f t="shared" si="1247"/>
        <v>0</v>
      </c>
      <c r="WZ133" s="87">
        <f t="shared" si="1248"/>
        <v>0</v>
      </c>
      <c r="XA133" s="87">
        <f t="shared" si="1249"/>
        <v>0</v>
      </c>
      <c r="XB133" s="92">
        <f t="shared" si="1250"/>
        <v>1528618.3599999999</v>
      </c>
      <c r="XC133" s="92">
        <f t="shared" si="1251"/>
        <v>3394699</v>
      </c>
      <c r="XD133" s="89"/>
      <c r="XE133" s="92">
        <f t="shared" ref="XE133:XF133" si="1260">SUM(XB361,XB399,XB437)</f>
        <v>6194961.3092000009</v>
      </c>
      <c r="XF133" s="92">
        <f t="shared" si="1260"/>
        <v>14090354.657600001</v>
      </c>
      <c r="XG133" s="89"/>
      <c r="XH133" s="92"/>
      <c r="XI133" s="92"/>
      <c r="XJ133" s="89"/>
      <c r="XK133" s="87"/>
      <c r="XL133" s="87"/>
      <c r="XM133" s="87"/>
      <c r="XN133" s="87"/>
      <c r="XO133" s="87"/>
      <c r="XP133" s="87"/>
      <c r="XQ133" s="87"/>
      <c r="XR133" s="92">
        <f t="shared" ca="1" si="1252"/>
        <v>0</v>
      </c>
      <c r="XS133" s="89"/>
      <c r="XT133" s="87"/>
      <c r="XU133" s="87"/>
      <c r="XV133" s="87"/>
      <c r="XW133" s="87"/>
      <c r="XX133" s="87"/>
      <c r="XY133" s="87"/>
      <c r="XZ133" s="87"/>
      <c r="YA133" s="92">
        <f t="shared" ca="1" si="1253"/>
        <v>0</v>
      </c>
      <c r="YB133" s="90"/>
      <c r="YC133" s="90"/>
      <c r="YD133" s="90"/>
      <c r="YE133" s="90"/>
      <c r="YF133" s="90"/>
      <c r="YG133" s="90"/>
      <c r="YH133" s="90"/>
      <c r="YI133" s="90"/>
      <c r="YJ133" s="90"/>
      <c r="YK133" s="90"/>
      <c r="YL133" s="90"/>
      <c r="YM133" s="90"/>
      <c r="YN133" s="90"/>
      <c r="YO133" s="90"/>
      <c r="YP133" s="90"/>
      <c r="YQ133" s="90"/>
      <c r="YR133" s="90"/>
      <c r="YS133" s="90"/>
      <c r="YT133" s="90"/>
      <c r="YU133" s="90"/>
      <c r="YV133" s="90"/>
      <c r="YW133" s="90"/>
      <c r="YX133" s="90"/>
      <c r="YY133" s="90"/>
      <c r="YZ133" s="90"/>
      <c r="ZA133" s="90"/>
      <c r="ZB133" s="90"/>
      <c r="ZC133" s="90"/>
      <c r="ZD133" s="90"/>
      <c r="ZE133" s="90"/>
      <c r="ZF133" s="90"/>
      <c r="ZG133" s="90"/>
      <c r="ZH133" s="90"/>
      <c r="ZI133" s="90"/>
      <c r="ZJ133" s="90"/>
      <c r="ZK133" s="90"/>
      <c r="ZL133" s="90"/>
      <c r="ZM133" s="90"/>
      <c r="ZN133" s="90"/>
      <c r="ZO133" s="90"/>
      <c r="ZP133" s="90"/>
      <c r="ZQ133" s="90"/>
      <c r="ZR133" s="90"/>
      <c r="ZS133" s="90"/>
      <c r="ZT133" s="90"/>
      <c r="ZU133" s="90"/>
      <c r="ZV133" s="90"/>
      <c r="ZW133" s="90"/>
      <c r="ZX133" s="90"/>
      <c r="ZY133" s="90"/>
      <c r="ZZ133" s="90"/>
      <c r="AAA133" s="90"/>
      <c r="AAB133" s="90"/>
      <c r="AAC133" s="90"/>
      <c r="AAD133" s="90"/>
      <c r="AAE133" s="90"/>
      <c r="AAF133" s="90"/>
      <c r="AAG133" s="90"/>
      <c r="AAH133" s="90"/>
      <c r="AAI133" s="90"/>
      <c r="AAJ133" s="90"/>
      <c r="AAK133" s="90"/>
      <c r="AAL133" s="90"/>
      <c r="AAM133" s="90"/>
      <c r="AAN133" s="90"/>
      <c r="AAO133" s="90"/>
      <c r="AAP133" s="90"/>
      <c r="AAQ133" s="90"/>
      <c r="AAR133" s="90"/>
      <c r="AAS133" s="90"/>
      <c r="AAT133" s="90"/>
      <c r="AAU133" s="90"/>
      <c r="AAV133" s="90"/>
      <c r="AAW133" s="90"/>
      <c r="AAX133" s="90"/>
      <c r="AAY133" s="90"/>
      <c r="AAZ133" s="90"/>
      <c r="ABA133" s="90"/>
      <c r="ABB133" s="90"/>
      <c r="ABC133" s="90"/>
      <c r="ABD133" s="90"/>
      <c r="ABE133" s="90"/>
      <c r="ABF133" s="90"/>
      <c r="ABG133" s="90"/>
      <c r="ABH133" s="90"/>
      <c r="ABI133" s="90"/>
      <c r="ABJ133" s="90"/>
      <c r="ABK133" s="90"/>
      <c r="ABL133" s="90"/>
      <c r="ABM133" s="90"/>
      <c r="ABN133" s="90"/>
      <c r="ABO133" s="90"/>
      <c r="ABP133" s="90"/>
      <c r="ABQ133" s="90"/>
      <c r="ABR133" s="90"/>
      <c r="ABS133" s="90"/>
      <c r="ABT133" s="90"/>
      <c r="ABU133" s="90"/>
      <c r="ABV133" s="90"/>
      <c r="ABW133" s="90"/>
      <c r="ABX133" s="90"/>
      <c r="ABY133" s="90"/>
      <c r="ABZ133" s="90"/>
      <c r="ACA133" s="90"/>
      <c r="ACB133" s="90"/>
      <c r="ACC133" s="90"/>
      <c r="ACD133" s="90"/>
      <c r="ACE133" s="90"/>
      <c r="ACF133" s="90"/>
      <c r="ACG133" s="90"/>
      <c r="ACH133" s="90"/>
      <c r="ACI133" s="90"/>
      <c r="ACJ133" s="90"/>
      <c r="ACK133" s="90"/>
      <c r="ACL133" s="90"/>
      <c r="ACM133" s="90"/>
      <c r="ACN133" s="90"/>
      <c r="ACO133" s="90"/>
      <c r="ACP133" s="90"/>
      <c r="ACQ133" s="90"/>
      <c r="ACR133" s="90"/>
      <c r="ACS133" s="90"/>
      <c r="ACT133" s="90"/>
      <c r="ACU133" s="90"/>
      <c r="ACV133" s="90"/>
      <c r="ACW133" s="90"/>
      <c r="ACX133" s="90"/>
      <c r="ACY133" s="90"/>
      <c r="ACZ133" s="90"/>
      <c r="ADA133" s="90"/>
      <c r="ADB133" s="90"/>
      <c r="ADC133" s="90"/>
      <c r="ADD133" s="90"/>
      <c r="ADE133" s="90"/>
      <c r="ADF133" s="90"/>
      <c r="ADG133" s="90"/>
      <c r="ADH133" s="90"/>
      <c r="ADI133" s="90"/>
      <c r="ADJ133" s="90"/>
      <c r="ADK133" s="90"/>
      <c r="ADL133" s="90"/>
      <c r="ADM133" s="90"/>
      <c r="ADN133" s="90"/>
      <c r="ADO133" s="90"/>
      <c r="ADP133" s="90"/>
      <c r="ADQ133" s="90"/>
      <c r="ADR133" s="90"/>
      <c r="ADS133" s="90"/>
      <c r="ADT133" s="90"/>
      <c r="ADU133" s="90"/>
      <c r="ADV133" s="90"/>
      <c r="ADW133" s="90"/>
      <c r="ADX133" s="90"/>
      <c r="ADY133" s="90"/>
      <c r="ADZ133" s="90"/>
      <c r="AEA133" s="90"/>
      <c r="AEB133" s="90"/>
      <c r="AEC133" s="90"/>
      <c r="AED133" s="90"/>
      <c r="AEE133" s="90"/>
      <c r="AEF133" s="90"/>
      <c r="AEG133" s="90"/>
      <c r="AEH133" s="90"/>
      <c r="AEI133" s="90"/>
      <c r="AEJ133" s="90"/>
      <c r="AEK133" s="90"/>
      <c r="AEL133" s="90"/>
      <c r="AEM133" s="90"/>
      <c r="AEN133" s="90"/>
      <c r="AEO133" s="90"/>
      <c r="AEP133" s="90"/>
      <c r="AEQ133" s="90"/>
      <c r="AER133" s="90"/>
      <c r="AES133" s="90"/>
      <c r="AET133" s="90"/>
      <c r="AEU133" s="90"/>
      <c r="AEV133" s="90"/>
      <c r="AEW133" s="90"/>
      <c r="AEX133" s="90"/>
      <c r="AEY133" s="90"/>
      <c r="AEZ133" s="90"/>
      <c r="AFA133" s="90"/>
      <c r="AFB133" s="90"/>
      <c r="AFC133" s="90"/>
      <c r="AFD133" s="90"/>
      <c r="AFE133" s="90"/>
      <c r="AFF133" s="90"/>
      <c r="AFG133" s="90"/>
      <c r="AFH133" s="90"/>
      <c r="AFI133" s="90"/>
      <c r="AFJ133" s="90"/>
      <c r="AFK133" s="90"/>
      <c r="AFL133" s="90"/>
      <c r="AFM133" s="90"/>
      <c r="AFN133" s="90"/>
      <c r="AFO133" s="90"/>
      <c r="AFP133" s="90"/>
      <c r="AFQ133" s="90"/>
      <c r="AFR133" s="90"/>
      <c r="AFS133" s="90"/>
      <c r="AFT133" s="90"/>
      <c r="AFU133" s="90"/>
      <c r="AFV133" s="90"/>
      <c r="AFW133" s="90"/>
      <c r="AFX133" s="90"/>
      <c r="AFY133" s="90"/>
      <c r="AFZ133" s="90"/>
      <c r="AGA133" s="90"/>
      <c r="AGB133" s="90"/>
      <c r="AGC133" s="90"/>
      <c r="AGD133" s="90"/>
      <c r="AGE133" s="90"/>
      <c r="AGF133" s="90"/>
      <c r="AGG133" s="90"/>
      <c r="AGH133" s="90"/>
      <c r="AGI133" s="90"/>
      <c r="AGJ133" s="90"/>
      <c r="AGK133" s="90"/>
      <c r="AGL133" s="90"/>
      <c r="AGM133" s="90"/>
      <c r="AGN133" s="90"/>
      <c r="AGO133" s="90"/>
      <c r="AGP133" s="90"/>
      <c r="AGQ133" s="90"/>
      <c r="AGR133" s="90"/>
      <c r="AGS133" s="90"/>
      <c r="AGT133" s="90"/>
      <c r="AGU133" s="90"/>
      <c r="AGV133" s="90"/>
      <c r="AGW133" s="90"/>
      <c r="AGX133" s="90"/>
      <c r="AGY133" s="90"/>
      <c r="AGZ133" s="90"/>
      <c r="AHA133" s="90"/>
      <c r="AHB133" s="90"/>
      <c r="AHC133" s="90"/>
      <c r="AHD133" s="90"/>
      <c r="AHE133" s="90"/>
      <c r="AHF133" s="90"/>
      <c r="AHG133" s="90"/>
      <c r="AHH133" s="90"/>
      <c r="AHI133" s="90"/>
      <c r="AHJ133" s="90"/>
      <c r="AHK133" s="90"/>
      <c r="AHL133" s="90"/>
      <c r="AHM133" s="90"/>
      <c r="AHN133" s="90"/>
      <c r="AHO133" s="90"/>
      <c r="AHP133" s="90"/>
      <c r="AHQ133" s="90"/>
      <c r="AHR133" s="90"/>
      <c r="AHS133" s="90"/>
      <c r="AHT133" s="90"/>
      <c r="AHU133" s="90"/>
      <c r="AHV133" s="90"/>
      <c r="AHW133" s="90"/>
      <c r="AHX133" s="90"/>
      <c r="AHY133" s="90"/>
      <c r="AHZ133" s="90"/>
      <c r="AIA133" s="90"/>
      <c r="AIB133" s="90"/>
      <c r="AIC133" s="90"/>
      <c r="AID133" s="90"/>
      <c r="AIE133" s="90"/>
      <c r="AIF133" s="90"/>
      <c r="AIG133" s="90"/>
      <c r="AIH133" s="90"/>
      <c r="AII133" s="90"/>
      <c r="AIJ133" s="90"/>
      <c r="AIK133" s="90"/>
      <c r="AIL133" s="90"/>
      <c r="AIM133" s="90"/>
      <c r="AIN133" s="90"/>
      <c r="AIO133" s="90"/>
      <c r="AIP133" s="90"/>
      <c r="AIQ133" s="90"/>
      <c r="AIR133" s="90"/>
      <c r="AIS133" s="90"/>
      <c r="AIT133" s="90"/>
      <c r="AIU133" s="90"/>
      <c r="AIV133" s="90"/>
      <c r="AIW133" s="90"/>
      <c r="AIX133" s="90"/>
      <c r="AIY133" s="90"/>
      <c r="AIZ133" s="90"/>
      <c r="AJA133" s="90"/>
      <c r="AJB133" s="90"/>
      <c r="AJC133" s="90"/>
      <c r="AJD133" s="90"/>
      <c r="AJE133" s="90"/>
      <c r="AJF133" s="90"/>
      <c r="AJG133" s="90"/>
      <c r="AJH133" s="90"/>
      <c r="AJI133" s="90"/>
      <c r="AJJ133" s="90"/>
      <c r="AJK133" s="90"/>
      <c r="AJL133" s="90"/>
      <c r="AJM133" s="90"/>
      <c r="AJN133" s="90"/>
      <c r="AJO133" s="90"/>
      <c r="AJP133" s="90"/>
      <c r="AJQ133" s="90"/>
      <c r="AJR133" s="90"/>
      <c r="AJS133" s="90"/>
      <c r="AJT133" s="90"/>
      <c r="AJU133" s="90"/>
      <c r="AJV133" s="90"/>
      <c r="AJW133" s="90"/>
      <c r="AJX133" s="90"/>
      <c r="AJY133" s="90"/>
      <c r="AJZ133" s="90"/>
      <c r="AKA133" s="90"/>
      <c r="AKB133" s="90"/>
      <c r="AKC133" s="90"/>
      <c r="AKD133" s="90"/>
      <c r="AKE133" s="90"/>
      <c r="AKF133" s="90"/>
      <c r="AKG133" s="90"/>
      <c r="AKH133" s="90"/>
      <c r="AKI133" s="90"/>
      <c r="AKJ133" s="90"/>
      <c r="AKK133" s="90"/>
      <c r="AKL133" s="90"/>
      <c r="AKM133" s="90"/>
      <c r="AKN133" s="90"/>
      <c r="AKO133" s="90"/>
      <c r="AKP133" s="90"/>
      <c r="AKQ133" s="90"/>
      <c r="AKR133" s="90"/>
      <c r="AKS133" s="90"/>
      <c r="AKT133" s="90"/>
      <c r="AKU133" s="90"/>
      <c r="AKV133" s="90"/>
      <c r="AKW133" s="90"/>
      <c r="AKX133" s="90"/>
      <c r="AKY133" s="90"/>
      <c r="AKZ133" s="90"/>
      <c r="ALA133" s="90"/>
      <c r="ALB133" s="90"/>
      <c r="ALC133" s="90"/>
      <c r="ALD133" s="90"/>
      <c r="ALE133" s="90"/>
      <c r="ALF133" s="90"/>
      <c r="ALG133" s="90"/>
      <c r="ALH133" s="90"/>
      <c r="ALI133" s="90"/>
      <c r="ALJ133" s="90"/>
      <c r="ALK133" s="90"/>
      <c r="ALL133" s="90"/>
      <c r="ALM133" s="90"/>
      <c r="ALN133" s="90"/>
      <c r="ALO133" s="90"/>
      <c r="ALP133" s="90"/>
      <c r="ALQ133" s="90"/>
      <c r="ALR133" s="90"/>
      <c r="ALS133" s="90"/>
      <c r="ALT133" s="90"/>
      <c r="ALU133" s="90"/>
      <c r="ALV133" s="90"/>
      <c r="ALW133" s="90"/>
      <c r="ALX133" s="90"/>
      <c r="ALY133" s="90"/>
      <c r="ALZ133" s="90"/>
      <c r="AMA133" s="90"/>
      <c r="AMB133" s="90"/>
      <c r="AMC133" s="90"/>
    </row>
    <row r="134" spans="1:1017">
      <c r="A134" s="98" t="s">
        <v>48</v>
      </c>
      <c r="B134" s="90" t="str">
        <f>B96</f>
        <v xml:space="preserve">Gurame, Gurami </v>
      </c>
      <c r="Q134" s="91">
        <f t="shared" si="1160"/>
        <v>0</v>
      </c>
      <c r="R134" s="91">
        <f t="shared" si="1161"/>
        <v>0</v>
      </c>
      <c r="Y134" s="98">
        <v>13080</v>
      </c>
      <c r="Z134" s="98">
        <v>457800</v>
      </c>
      <c r="AG134" s="91">
        <f t="shared" si="1162"/>
        <v>13080</v>
      </c>
      <c r="AH134" s="91">
        <f t="shared" si="1163"/>
        <v>457800</v>
      </c>
      <c r="AO134" s="98">
        <v>589000</v>
      </c>
      <c r="AP134" s="98">
        <v>16492000</v>
      </c>
      <c r="AW134" s="91">
        <f t="shared" si="1164"/>
        <v>589000</v>
      </c>
      <c r="AX134" s="91">
        <f t="shared" si="1165"/>
        <v>16492000</v>
      </c>
      <c r="BE134" s="98">
        <v>6779</v>
      </c>
      <c r="BF134" s="98">
        <v>203370</v>
      </c>
      <c r="BM134" s="91">
        <f t="shared" si="1166"/>
        <v>6779</v>
      </c>
      <c r="BN134" s="91">
        <f t="shared" si="1167"/>
        <v>203370</v>
      </c>
      <c r="BU134" s="98">
        <v>3431</v>
      </c>
      <c r="BV134" s="98">
        <v>130378</v>
      </c>
      <c r="CC134" s="91">
        <f t="shared" si="1168"/>
        <v>3431</v>
      </c>
      <c r="CD134" s="91">
        <f t="shared" si="1169"/>
        <v>130378</v>
      </c>
      <c r="CK134" s="98">
        <v>310</v>
      </c>
      <c r="CL134" s="98">
        <v>7744</v>
      </c>
      <c r="CS134" s="91">
        <f t="shared" si="1254"/>
        <v>310</v>
      </c>
      <c r="CT134" s="91">
        <f t="shared" si="1255"/>
        <v>7744</v>
      </c>
      <c r="DA134" s="98">
        <v>221386</v>
      </c>
      <c r="DB134" s="98">
        <v>6641580</v>
      </c>
      <c r="DI134" s="91">
        <f t="shared" si="1172"/>
        <v>221386</v>
      </c>
      <c r="DJ134" s="91">
        <f t="shared" si="1173"/>
        <v>6641580</v>
      </c>
      <c r="DQ134" s="98">
        <v>37500</v>
      </c>
      <c r="DR134" s="98">
        <v>1125000</v>
      </c>
      <c r="DY134" s="91">
        <f t="shared" si="1174"/>
        <v>37500</v>
      </c>
      <c r="DZ134" s="91">
        <f t="shared" si="1175"/>
        <v>1125000</v>
      </c>
      <c r="EG134" s="98">
        <v>203200</v>
      </c>
      <c r="EH134" s="98">
        <v>5689600</v>
      </c>
      <c r="EO134" s="91">
        <f t="shared" si="1176"/>
        <v>203200</v>
      </c>
      <c r="EP134" s="91">
        <f t="shared" si="1177"/>
        <v>5689600</v>
      </c>
      <c r="FE134" s="91">
        <f t="shared" si="1178"/>
        <v>0</v>
      </c>
      <c r="FF134" s="91">
        <f t="shared" si="1179"/>
        <v>0</v>
      </c>
      <c r="FM134" s="98">
        <v>69420</v>
      </c>
      <c r="FN134" s="98">
        <v>2429700</v>
      </c>
      <c r="FU134" s="91">
        <f t="shared" si="1180"/>
        <v>69420</v>
      </c>
      <c r="FV134" s="91">
        <f t="shared" si="1181"/>
        <v>2429700</v>
      </c>
      <c r="GC134" s="98">
        <v>48000</v>
      </c>
      <c r="GD134" s="98">
        <v>1296000</v>
      </c>
      <c r="GK134" s="91">
        <f t="shared" si="1182"/>
        <v>48000</v>
      </c>
      <c r="GL134" s="91">
        <f t="shared" si="1183"/>
        <v>1296000</v>
      </c>
      <c r="GS134" s="98">
        <v>6750</v>
      </c>
      <c r="GT134" s="98">
        <v>189000</v>
      </c>
      <c r="HA134" s="91">
        <f t="shared" si="1184"/>
        <v>6750</v>
      </c>
      <c r="HB134" s="91">
        <f t="shared" si="1185"/>
        <v>189000</v>
      </c>
      <c r="HI134" s="98">
        <v>9000</v>
      </c>
      <c r="HJ134" s="98">
        <v>270000</v>
      </c>
      <c r="HQ134" s="91">
        <f t="shared" si="1186"/>
        <v>9000</v>
      </c>
      <c r="HR134" s="91">
        <f t="shared" si="1187"/>
        <v>270000</v>
      </c>
      <c r="HY134" s="98">
        <v>7700</v>
      </c>
      <c r="HZ134" s="98">
        <v>269500</v>
      </c>
      <c r="IG134" s="91">
        <f t="shared" si="1188"/>
        <v>7700</v>
      </c>
      <c r="IH134" s="91">
        <f t="shared" si="1189"/>
        <v>269500</v>
      </c>
      <c r="IO134" s="98">
        <v>92700</v>
      </c>
      <c r="IP134" s="98">
        <v>2966400</v>
      </c>
      <c r="IW134" s="91">
        <f t="shared" si="1190"/>
        <v>92700</v>
      </c>
      <c r="IX134" s="91">
        <f t="shared" si="1191"/>
        <v>2966400</v>
      </c>
      <c r="JE134" s="98">
        <v>15800</v>
      </c>
      <c r="JF134" s="98">
        <v>474000</v>
      </c>
      <c r="JM134" s="91">
        <f t="shared" si="1192"/>
        <v>15800</v>
      </c>
      <c r="JN134" s="91">
        <f t="shared" si="1193"/>
        <v>474000</v>
      </c>
      <c r="KC134" s="91">
        <f t="shared" si="1194"/>
        <v>0</v>
      </c>
      <c r="KD134" s="91">
        <f t="shared" si="1195"/>
        <v>0</v>
      </c>
      <c r="KK134" s="98">
        <v>150</v>
      </c>
      <c r="KL134" s="98">
        <v>7500</v>
      </c>
      <c r="KS134" s="91">
        <f t="shared" si="1196"/>
        <v>150</v>
      </c>
      <c r="KT134" s="91">
        <f t="shared" si="1197"/>
        <v>7500</v>
      </c>
      <c r="LA134" s="98">
        <v>11705.2</v>
      </c>
      <c r="LB134" s="98">
        <v>409682</v>
      </c>
      <c r="LI134" s="91">
        <f t="shared" si="1198"/>
        <v>11705.2</v>
      </c>
      <c r="LJ134" s="91">
        <f t="shared" si="1199"/>
        <v>409682</v>
      </c>
      <c r="LQ134" s="98">
        <v>30112</v>
      </c>
      <c r="LR134" s="98">
        <v>933472</v>
      </c>
      <c r="LY134" s="91">
        <f t="shared" si="1200"/>
        <v>30112</v>
      </c>
      <c r="LZ134" s="91">
        <f t="shared" si="1201"/>
        <v>933472</v>
      </c>
      <c r="MO134" s="91">
        <f t="shared" si="1202"/>
        <v>0</v>
      </c>
      <c r="MP134" s="91">
        <f t="shared" si="1203"/>
        <v>0</v>
      </c>
      <c r="NE134" s="91">
        <f t="shared" si="1204"/>
        <v>0</v>
      </c>
      <c r="NF134" s="91">
        <f t="shared" si="1205"/>
        <v>0</v>
      </c>
      <c r="NM134" s="98">
        <v>20000</v>
      </c>
      <c r="NN134" s="98">
        <v>560000</v>
      </c>
      <c r="NQ134" s="98">
        <v>450</v>
      </c>
      <c r="NR134" s="98">
        <v>12600</v>
      </c>
      <c r="NU134" s="91">
        <f t="shared" si="1206"/>
        <v>20450</v>
      </c>
      <c r="NV134" s="91">
        <f t="shared" si="1207"/>
        <v>572600</v>
      </c>
      <c r="OC134" s="98">
        <v>150</v>
      </c>
      <c r="OD134" s="98">
        <v>6000</v>
      </c>
      <c r="OK134" s="91">
        <f t="shared" si="1208"/>
        <v>150</v>
      </c>
      <c r="OL134" s="91">
        <f t="shared" si="1209"/>
        <v>6000</v>
      </c>
      <c r="OS134" s="98">
        <v>1075</v>
      </c>
      <c r="OT134" s="98">
        <v>53750</v>
      </c>
      <c r="PA134" s="91">
        <f t="shared" si="1210"/>
        <v>1075</v>
      </c>
      <c r="PB134" s="91">
        <f t="shared" si="1211"/>
        <v>53750</v>
      </c>
      <c r="PI134" s="98">
        <v>29892</v>
      </c>
      <c r="PJ134" s="98">
        <v>717408</v>
      </c>
      <c r="PQ134" s="91">
        <f t="shared" si="1212"/>
        <v>29892</v>
      </c>
      <c r="PR134" s="91">
        <f t="shared" si="1213"/>
        <v>717408</v>
      </c>
      <c r="PY134" s="98">
        <v>50760</v>
      </c>
      <c r="PZ134" s="98">
        <v>2538000</v>
      </c>
      <c r="QC134" s="98">
        <v>30100</v>
      </c>
      <c r="QD134" s="98">
        <v>1204000</v>
      </c>
      <c r="QG134" s="91">
        <f t="shared" si="1214"/>
        <v>80860</v>
      </c>
      <c r="QH134" s="91">
        <f t="shared" si="1215"/>
        <v>3742000</v>
      </c>
      <c r="QO134" s="98">
        <v>1890000</v>
      </c>
      <c r="QP134" s="98">
        <v>47250000</v>
      </c>
      <c r="QW134" s="91">
        <f t="shared" si="1216"/>
        <v>1890000</v>
      </c>
      <c r="QX134" s="91">
        <f t="shared" si="1217"/>
        <v>47250000</v>
      </c>
      <c r="RM134" s="91">
        <f t="shared" si="1218"/>
        <v>0</v>
      </c>
      <c r="RN134" s="91">
        <f t="shared" si="1219"/>
        <v>0</v>
      </c>
      <c r="RU134" s="98">
        <v>4650</v>
      </c>
      <c r="RV134" s="98">
        <v>116250</v>
      </c>
      <c r="SC134" s="91">
        <f t="shared" si="1220"/>
        <v>4650</v>
      </c>
      <c r="SD134" s="91">
        <f t="shared" si="1221"/>
        <v>116250</v>
      </c>
      <c r="SS134" s="91">
        <f t="shared" si="1222"/>
        <v>0</v>
      </c>
      <c r="ST134" s="91">
        <f t="shared" si="1223"/>
        <v>0</v>
      </c>
      <c r="TA134" s="98">
        <v>6489.99</v>
      </c>
      <c r="TB134" s="98">
        <v>214169.66999999998</v>
      </c>
      <c r="TI134" s="91">
        <f t="shared" si="1224"/>
        <v>6489.99</v>
      </c>
      <c r="TJ134" s="91">
        <f t="shared" si="1225"/>
        <v>214169.66999999998</v>
      </c>
      <c r="TY134" s="91">
        <f t="shared" si="1226"/>
        <v>0</v>
      </c>
      <c r="TZ134" s="91">
        <f t="shared" si="1227"/>
        <v>0</v>
      </c>
      <c r="UG134" s="98">
        <v>279</v>
      </c>
      <c r="UH134" s="98">
        <v>8370</v>
      </c>
      <c r="UO134" s="91">
        <f t="shared" si="1228"/>
        <v>279</v>
      </c>
      <c r="UP134" s="91">
        <f t="shared" si="1229"/>
        <v>8370</v>
      </c>
      <c r="VE134" s="91">
        <f t="shared" si="1230"/>
        <v>0</v>
      </c>
      <c r="VF134" s="91">
        <f t="shared" si="1231"/>
        <v>0</v>
      </c>
      <c r="VM134" s="98">
        <v>708</v>
      </c>
      <c r="VN134" s="98">
        <v>26196</v>
      </c>
      <c r="VU134" s="91">
        <f t="shared" si="1232"/>
        <v>708</v>
      </c>
      <c r="VV134" s="91">
        <f t="shared" si="1233"/>
        <v>26196</v>
      </c>
      <c r="WK134" s="91">
        <f t="shared" si="1234"/>
        <v>0</v>
      </c>
      <c r="WL134" s="91">
        <f t="shared" si="1235"/>
        <v>0</v>
      </c>
      <c r="WM134" s="89"/>
      <c r="WN134" s="87">
        <f t="shared" si="1236"/>
        <v>0</v>
      </c>
      <c r="WO134" s="87">
        <f t="shared" si="1237"/>
        <v>0</v>
      </c>
      <c r="WP134" s="87">
        <f t="shared" si="1238"/>
        <v>0</v>
      </c>
      <c r="WQ134" s="87">
        <f t="shared" si="1239"/>
        <v>0</v>
      </c>
      <c r="WR134" s="87">
        <f t="shared" si="1240"/>
        <v>0</v>
      </c>
      <c r="WS134" s="87">
        <f t="shared" si="1241"/>
        <v>0</v>
      </c>
      <c r="WT134" s="87">
        <f t="shared" si="1242"/>
        <v>3370027.1900000004</v>
      </c>
      <c r="WU134" s="87">
        <f t="shared" si="1243"/>
        <v>91482869.670000002</v>
      </c>
      <c r="WV134" s="87">
        <f t="shared" si="1244"/>
        <v>0</v>
      </c>
      <c r="WW134" s="87">
        <f t="shared" si="1245"/>
        <v>0</v>
      </c>
      <c r="WX134" s="87">
        <f t="shared" si="1246"/>
        <v>30550</v>
      </c>
      <c r="WY134" s="87">
        <f t="shared" si="1247"/>
        <v>1216600</v>
      </c>
      <c r="WZ134" s="87">
        <f t="shared" si="1248"/>
        <v>0</v>
      </c>
      <c r="XA134" s="87">
        <f t="shared" si="1249"/>
        <v>0</v>
      </c>
      <c r="XB134" s="92">
        <f t="shared" si="1250"/>
        <v>3400577.1900000004</v>
      </c>
      <c r="XC134" s="92">
        <f t="shared" si="1251"/>
        <v>92699469.670000002</v>
      </c>
      <c r="XD134" s="89"/>
      <c r="XE134" s="92">
        <f t="shared" ref="XE134:XF134" si="1261">SUM(XB362,XB400,XB438)</f>
        <v>10131856.961460926</v>
      </c>
      <c r="XF134" s="92">
        <f t="shared" si="1261"/>
        <v>285373666.09111226</v>
      </c>
      <c r="XG134" s="89"/>
      <c r="XH134" s="92"/>
      <c r="XI134" s="92"/>
      <c r="XJ134" s="89"/>
      <c r="XK134" s="87"/>
      <c r="XL134" s="87"/>
      <c r="XM134" s="87"/>
      <c r="XN134" s="87"/>
      <c r="XO134" s="87"/>
      <c r="XP134" s="87"/>
      <c r="XQ134" s="87"/>
      <c r="XR134" s="92">
        <f t="shared" ca="1" si="1252"/>
        <v>0</v>
      </c>
      <c r="XS134" s="89"/>
      <c r="XT134" s="87"/>
      <c r="XU134" s="87"/>
      <c r="XV134" s="87"/>
      <c r="XW134" s="87"/>
      <c r="XX134" s="87"/>
      <c r="XY134" s="87"/>
      <c r="XZ134" s="87"/>
      <c r="YA134" s="92">
        <f t="shared" ca="1" si="1253"/>
        <v>0</v>
      </c>
      <c r="YB134" s="90"/>
      <c r="YC134" s="90"/>
      <c r="YD134" s="90"/>
      <c r="YE134" s="90"/>
      <c r="YF134" s="90"/>
      <c r="YG134" s="90"/>
      <c r="YH134" s="90"/>
      <c r="YI134" s="90"/>
      <c r="YJ134" s="90"/>
      <c r="YK134" s="90"/>
      <c r="YL134" s="90"/>
      <c r="YM134" s="90"/>
      <c r="YN134" s="90"/>
      <c r="YO134" s="90"/>
      <c r="YP134" s="90"/>
      <c r="YQ134" s="90"/>
      <c r="YR134" s="90"/>
      <c r="YS134" s="90"/>
      <c r="YT134" s="90"/>
      <c r="YU134" s="90"/>
      <c r="YV134" s="90"/>
      <c r="YW134" s="90"/>
      <c r="YX134" s="90"/>
      <c r="YY134" s="90"/>
      <c r="YZ134" s="90"/>
      <c r="ZA134" s="90"/>
      <c r="ZB134" s="90"/>
      <c r="ZC134" s="90"/>
      <c r="ZD134" s="90"/>
      <c r="ZE134" s="90"/>
      <c r="ZF134" s="90"/>
      <c r="ZG134" s="90"/>
      <c r="ZH134" s="90"/>
      <c r="ZI134" s="90"/>
      <c r="ZJ134" s="90"/>
      <c r="ZK134" s="90"/>
      <c r="ZL134" s="90"/>
      <c r="ZM134" s="90"/>
      <c r="ZN134" s="90"/>
      <c r="ZO134" s="90"/>
      <c r="ZP134" s="90"/>
      <c r="ZQ134" s="90"/>
      <c r="ZR134" s="90"/>
      <c r="ZS134" s="90"/>
      <c r="ZT134" s="90"/>
      <c r="ZU134" s="90"/>
      <c r="ZV134" s="90"/>
      <c r="ZW134" s="90"/>
      <c r="ZX134" s="90"/>
      <c r="ZY134" s="90"/>
      <c r="ZZ134" s="90"/>
      <c r="AAA134" s="90"/>
      <c r="AAB134" s="90"/>
      <c r="AAC134" s="90"/>
      <c r="AAD134" s="90"/>
      <c r="AAE134" s="90"/>
      <c r="AAF134" s="90"/>
      <c r="AAG134" s="90"/>
      <c r="AAH134" s="90"/>
      <c r="AAI134" s="90"/>
      <c r="AAJ134" s="90"/>
      <c r="AAK134" s="90"/>
      <c r="AAL134" s="90"/>
      <c r="AAM134" s="90"/>
      <c r="AAN134" s="90"/>
      <c r="AAO134" s="90"/>
      <c r="AAP134" s="90"/>
      <c r="AAQ134" s="90"/>
      <c r="AAR134" s="90"/>
      <c r="AAS134" s="90"/>
      <c r="AAT134" s="90"/>
      <c r="AAU134" s="90"/>
      <c r="AAV134" s="90"/>
      <c r="AAW134" s="90"/>
      <c r="AAX134" s="90"/>
      <c r="AAY134" s="90"/>
      <c r="AAZ134" s="90"/>
      <c r="ABA134" s="90"/>
      <c r="ABB134" s="90"/>
      <c r="ABC134" s="90"/>
      <c r="ABD134" s="90"/>
      <c r="ABE134" s="90"/>
      <c r="ABF134" s="90"/>
      <c r="ABG134" s="90"/>
      <c r="ABH134" s="90"/>
      <c r="ABI134" s="90"/>
      <c r="ABJ134" s="90"/>
      <c r="ABK134" s="90"/>
      <c r="ABL134" s="90"/>
      <c r="ABM134" s="90"/>
      <c r="ABN134" s="90"/>
      <c r="ABO134" s="90"/>
      <c r="ABP134" s="90"/>
      <c r="ABQ134" s="90"/>
      <c r="ABR134" s="90"/>
      <c r="ABS134" s="90"/>
      <c r="ABT134" s="90"/>
      <c r="ABU134" s="90"/>
      <c r="ABV134" s="90"/>
      <c r="ABW134" s="90"/>
      <c r="ABX134" s="90"/>
      <c r="ABY134" s="90"/>
      <c r="ABZ134" s="90"/>
      <c r="ACA134" s="90"/>
      <c r="ACB134" s="90"/>
      <c r="ACC134" s="90"/>
      <c r="ACD134" s="90"/>
      <c r="ACE134" s="90"/>
      <c r="ACF134" s="90"/>
      <c r="ACG134" s="90"/>
      <c r="ACH134" s="90"/>
      <c r="ACI134" s="90"/>
      <c r="ACJ134" s="90"/>
      <c r="ACK134" s="90"/>
      <c r="ACL134" s="90"/>
      <c r="ACM134" s="90"/>
      <c r="ACN134" s="90"/>
      <c r="ACO134" s="90"/>
      <c r="ACP134" s="90"/>
      <c r="ACQ134" s="90"/>
      <c r="ACR134" s="90"/>
      <c r="ACS134" s="90"/>
      <c r="ACT134" s="90"/>
      <c r="ACU134" s="90"/>
      <c r="ACV134" s="90"/>
      <c r="ACW134" s="90"/>
      <c r="ACX134" s="90"/>
      <c r="ACY134" s="90"/>
      <c r="ACZ134" s="90"/>
      <c r="ADA134" s="90"/>
      <c r="ADB134" s="90"/>
      <c r="ADC134" s="90"/>
      <c r="ADD134" s="90"/>
      <c r="ADE134" s="90"/>
      <c r="ADF134" s="90"/>
      <c r="ADG134" s="90"/>
      <c r="ADH134" s="90"/>
      <c r="ADI134" s="90"/>
      <c r="ADJ134" s="90"/>
      <c r="ADK134" s="90"/>
      <c r="ADL134" s="90"/>
      <c r="ADM134" s="90"/>
      <c r="ADN134" s="90"/>
      <c r="ADO134" s="90"/>
      <c r="ADP134" s="90"/>
      <c r="ADQ134" s="90"/>
      <c r="ADR134" s="90"/>
      <c r="ADS134" s="90"/>
      <c r="ADT134" s="90"/>
      <c r="ADU134" s="90"/>
      <c r="ADV134" s="90"/>
      <c r="ADW134" s="90"/>
      <c r="ADX134" s="90"/>
      <c r="ADY134" s="90"/>
      <c r="ADZ134" s="90"/>
      <c r="AEA134" s="90"/>
      <c r="AEB134" s="90"/>
      <c r="AEC134" s="90"/>
      <c r="AED134" s="90"/>
      <c r="AEE134" s="90"/>
      <c r="AEF134" s="90"/>
      <c r="AEG134" s="90"/>
      <c r="AEH134" s="90"/>
      <c r="AEI134" s="90"/>
      <c r="AEJ134" s="90"/>
      <c r="AEK134" s="90"/>
      <c r="AEL134" s="90"/>
      <c r="AEM134" s="90"/>
      <c r="AEN134" s="90"/>
      <c r="AEO134" s="90"/>
      <c r="AEP134" s="90"/>
      <c r="AEQ134" s="90"/>
      <c r="AER134" s="90"/>
      <c r="AES134" s="90"/>
      <c r="AET134" s="90"/>
      <c r="AEU134" s="90"/>
      <c r="AEV134" s="90"/>
      <c r="AEW134" s="90"/>
      <c r="AEX134" s="90"/>
      <c r="AEY134" s="90"/>
      <c r="AEZ134" s="90"/>
      <c r="AFA134" s="90"/>
      <c r="AFB134" s="90"/>
      <c r="AFC134" s="90"/>
      <c r="AFD134" s="90"/>
      <c r="AFE134" s="90"/>
      <c r="AFF134" s="90"/>
      <c r="AFG134" s="90"/>
      <c r="AFH134" s="90"/>
      <c r="AFI134" s="90"/>
      <c r="AFJ134" s="90"/>
      <c r="AFK134" s="90"/>
      <c r="AFL134" s="90"/>
      <c r="AFM134" s="90"/>
      <c r="AFN134" s="90"/>
      <c r="AFO134" s="90"/>
      <c r="AFP134" s="90"/>
      <c r="AFQ134" s="90"/>
      <c r="AFR134" s="90"/>
      <c r="AFS134" s="90"/>
      <c r="AFT134" s="90"/>
      <c r="AFU134" s="90"/>
      <c r="AFV134" s="90"/>
      <c r="AFW134" s="90"/>
      <c r="AFX134" s="90"/>
      <c r="AFY134" s="90"/>
      <c r="AFZ134" s="90"/>
      <c r="AGA134" s="90"/>
      <c r="AGB134" s="90"/>
      <c r="AGC134" s="90"/>
      <c r="AGD134" s="90"/>
      <c r="AGE134" s="90"/>
      <c r="AGF134" s="90"/>
      <c r="AGG134" s="90"/>
      <c r="AGH134" s="90"/>
      <c r="AGI134" s="90"/>
      <c r="AGJ134" s="90"/>
      <c r="AGK134" s="90"/>
      <c r="AGL134" s="90"/>
      <c r="AGM134" s="90"/>
      <c r="AGN134" s="90"/>
      <c r="AGO134" s="90"/>
      <c r="AGP134" s="90"/>
      <c r="AGQ134" s="90"/>
      <c r="AGR134" s="90"/>
      <c r="AGS134" s="90"/>
      <c r="AGT134" s="90"/>
      <c r="AGU134" s="90"/>
      <c r="AGV134" s="90"/>
      <c r="AGW134" s="90"/>
      <c r="AGX134" s="90"/>
      <c r="AGY134" s="90"/>
      <c r="AGZ134" s="90"/>
      <c r="AHA134" s="90"/>
      <c r="AHB134" s="90"/>
      <c r="AHC134" s="90"/>
      <c r="AHD134" s="90"/>
      <c r="AHE134" s="90"/>
      <c r="AHF134" s="90"/>
      <c r="AHG134" s="90"/>
      <c r="AHH134" s="90"/>
      <c r="AHI134" s="90"/>
      <c r="AHJ134" s="90"/>
      <c r="AHK134" s="90"/>
      <c r="AHL134" s="90"/>
      <c r="AHM134" s="90"/>
      <c r="AHN134" s="90"/>
      <c r="AHO134" s="90"/>
      <c r="AHP134" s="90"/>
      <c r="AHQ134" s="90"/>
      <c r="AHR134" s="90"/>
      <c r="AHS134" s="90"/>
      <c r="AHT134" s="90"/>
      <c r="AHU134" s="90"/>
      <c r="AHV134" s="90"/>
      <c r="AHW134" s="90"/>
      <c r="AHX134" s="90"/>
      <c r="AHY134" s="90"/>
      <c r="AHZ134" s="90"/>
      <c r="AIA134" s="90"/>
      <c r="AIB134" s="90"/>
      <c r="AIC134" s="90"/>
      <c r="AID134" s="90"/>
      <c r="AIE134" s="90"/>
      <c r="AIF134" s="90"/>
      <c r="AIG134" s="90"/>
      <c r="AIH134" s="90"/>
      <c r="AII134" s="90"/>
      <c r="AIJ134" s="90"/>
      <c r="AIK134" s="90"/>
      <c r="AIL134" s="90"/>
      <c r="AIM134" s="90"/>
      <c r="AIN134" s="90"/>
      <c r="AIO134" s="90"/>
      <c r="AIP134" s="90"/>
      <c r="AIQ134" s="90"/>
      <c r="AIR134" s="90"/>
      <c r="AIS134" s="90"/>
      <c r="AIT134" s="90"/>
      <c r="AIU134" s="90"/>
      <c r="AIV134" s="90"/>
      <c r="AIW134" s="90"/>
      <c r="AIX134" s="90"/>
      <c r="AIY134" s="90"/>
      <c r="AIZ134" s="90"/>
      <c r="AJA134" s="90"/>
      <c r="AJB134" s="90"/>
      <c r="AJC134" s="90"/>
      <c r="AJD134" s="90"/>
      <c r="AJE134" s="90"/>
      <c r="AJF134" s="90"/>
      <c r="AJG134" s="90"/>
      <c r="AJH134" s="90"/>
      <c r="AJI134" s="90"/>
      <c r="AJJ134" s="90"/>
      <c r="AJK134" s="90"/>
      <c r="AJL134" s="90"/>
      <c r="AJM134" s="90"/>
      <c r="AJN134" s="90"/>
      <c r="AJO134" s="90"/>
      <c r="AJP134" s="90"/>
      <c r="AJQ134" s="90"/>
      <c r="AJR134" s="90"/>
      <c r="AJS134" s="90"/>
      <c r="AJT134" s="90"/>
      <c r="AJU134" s="90"/>
      <c r="AJV134" s="90"/>
      <c r="AJW134" s="90"/>
      <c r="AJX134" s="90"/>
      <c r="AJY134" s="90"/>
      <c r="AJZ134" s="90"/>
      <c r="AKA134" s="90"/>
      <c r="AKB134" s="90"/>
      <c r="AKC134" s="90"/>
      <c r="AKD134" s="90"/>
      <c r="AKE134" s="90"/>
      <c r="AKF134" s="90"/>
      <c r="AKG134" s="90"/>
      <c r="AKH134" s="90"/>
      <c r="AKI134" s="90"/>
      <c r="AKJ134" s="90"/>
      <c r="AKK134" s="90"/>
      <c r="AKL134" s="90"/>
      <c r="AKM134" s="90"/>
      <c r="AKN134" s="90"/>
      <c r="AKO134" s="90"/>
      <c r="AKP134" s="90"/>
      <c r="AKQ134" s="90"/>
      <c r="AKR134" s="90"/>
      <c r="AKS134" s="90"/>
      <c r="AKT134" s="90"/>
      <c r="AKU134" s="90"/>
      <c r="AKV134" s="90"/>
      <c r="AKW134" s="90"/>
      <c r="AKX134" s="90"/>
      <c r="AKY134" s="90"/>
      <c r="AKZ134" s="90"/>
      <c r="ALA134" s="90"/>
      <c r="ALB134" s="90"/>
      <c r="ALC134" s="90"/>
      <c r="ALD134" s="90"/>
      <c r="ALE134" s="90"/>
      <c r="ALF134" s="90"/>
      <c r="ALG134" s="90"/>
      <c r="ALH134" s="90"/>
      <c r="ALI134" s="90"/>
      <c r="ALJ134" s="90"/>
      <c r="ALK134" s="90"/>
      <c r="ALL134" s="90"/>
      <c r="ALM134" s="90"/>
      <c r="ALN134" s="90"/>
      <c r="ALO134" s="90"/>
      <c r="ALP134" s="90"/>
      <c r="ALQ134" s="90"/>
      <c r="ALR134" s="90"/>
      <c r="ALS134" s="90"/>
      <c r="ALT134" s="90"/>
      <c r="ALU134" s="90"/>
      <c r="ALV134" s="90"/>
      <c r="ALW134" s="90"/>
      <c r="ALX134" s="90"/>
      <c r="ALY134" s="90"/>
      <c r="ALZ134" s="90"/>
      <c r="AMA134" s="90"/>
      <c r="AMB134" s="90"/>
      <c r="AMC134" s="90"/>
    </row>
    <row r="135" spans="1:1017">
      <c r="A135" s="98" t="s">
        <v>48</v>
      </c>
      <c r="B135" s="90" t="str">
        <f t="shared" si="1159"/>
        <v>Kakap Putih</v>
      </c>
      <c r="E135" s="98">
        <v>82500</v>
      </c>
      <c r="F135" s="98">
        <v>5362500</v>
      </c>
      <c r="Q135" s="91">
        <f t="shared" si="1160"/>
        <v>82500</v>
      </c>
      <c r="R135" s="91">
        <f t="shared" si="1161"/>
        <v>5362500</v>
      </c>
      <c r="S135" s="98">
        <v>465</v>
      </c>
      <c r="T135" s="98">
        <v>34875</v>
      </c>
      <c r="U135" s="98">
        <v>19820</v>
      </c>
      <c r="V135" s="98">
        <v>1486500</v>
      </c>
      <c r="AG135" s="91">
        <f t="shared" si="1162"/>
        <v>20285</v>
      </c>
      <c r="AH135" s="91">
        <f t="shared" si="1163"/>
        <v>1521375</v>
      </c>
      <c r="AW135" s="91">
        <f t="shared" si="1164"/>
        <v>0</v>
      </c>
      <c r="AX135" s="91">
        <f t="shared" si="1165"/>
        <v>0</v>
      </c>
      <c r="BM135" s="91">
        <f t="shared" si="1166"/>
        <v>0</v>
      </c>
      <c r="BN135" s="91">
        <f t="shared" si="1167"/>
        <v>0</v>
      </c>
      <c r="CC135" s="91">
        <f t="shared" si="1168"/>
        <v>0</v>
      </c>
      <c r="CD135" s="91">
        <f t="shared" si="1169"/>
        <v>0</v>
      </c>
      <c r="CG135" s="98">
        <v>1129.67</v>
      </c>
      <c r="CH135" s="98">
        <v>33920</v>
      </c>
      <c r="CS135" s="91">
        <f t="shared" si="1254"/>
        <v>1129.67</v>
      </c>
      <c r="CT135" s="91">
        <f t="shared" si="1255"/>
        <v>33920</v>
      </c>
      <c r="DI135" s="91">
        <f t="shared" si="1172"/>
        <v>0</v>
      </c>
      <c r="DJ135" s="91">
        <f t="shared" si="1173"/>
        <v>0</v>
      </c>
      <c r="DY135" s="91">
        <f t="shared" si="1174"/>
        <v>0</v>
      </c>
      <c r="DZ135" s="91">
        <f t="shared" si="1175"/>
        <v>0</v>
      </c>
      <c r="EO135" s="91">
        <f t="shared" si="1176"/>
        <v>0</v>
      </c>
      <c r="EP135" s="91">
        <f t="shared" si="1177"/>
        <v>0</v>
      </c>
      <c r="FE135" s="91">
        <f t="shared" si="1178"/>
        <v>0</v>
      </c>
      <c r="FF135" s="91">
        <f t="shared" si="1179"/>
        <v>0</v>
      </c>
      <c r="FU135" s="91">
        <f t="shared" si="1180"/>
        <v>0</v>
      </c>
      <c r="FV135" s="91">
        <f t="shared" si="1181"/>
        <v>0</v>
      </c>
      <c r="GK135" s="91">
        <f t="shared" si="1182"/>
        <v>0</v>
      </c>
      <c r="GL135" s="91">
        <f t="shared" si="1183"/>
        <v>0</v>
      </c>
      <c r="HA135" s="91">
        <f t="shared" si="1184"/>
        <v>0</v>
      </c>
      <c r="HB135" s="91">
        <f t="shared" si="1185"/>
        <v>0</v>
      </c>
      <c r="HQ135" s="91">
        <f t="shared" si="1186"/>
        <v>0</v>
      </c>
      <c r="HR135" s="91">
        <f t="shared" si="1187"/>
        <v>0</v>
      </c>
      <c r="IG135" s="91">
        <f t="shared" si="1188"/>
        <v>0</v>
      </c>
      <c r="IH135" s="91">
        <f t="shared" si="1189"/>
        <v>0</v>
      </c>
      <c r="IW135" s="91">
        <f t="shared" si="1190"/>
        <v>0</v>
      </c>
      <c r="IX135" s="91">
        <f t="shared" si="1191"/>
        <v>0</v>
      </c>
      <c r="JM135" s="91">
        <f t="shared" si="1192"/>
        <v>0</v>
      </c>
      <c r="JN135" s="91">
        <f t="shared" si="1193"/>
        <v>0</v>
      </c>
      <c r="KC135" s="91">
        <f t="shared" si="1194"/>
        <v>0</v>
      </c>
      <c r="KD135" s="91">
        <f t="shared" si="1195"/>
        <v>0</v>
      </c>
      <c r="KS135" s="91">
        <f t="shared" si="1196"/>
        <v>0</v>
      </c>
      <c r="KT135" s="91">
        <f t="shared" si="1197"/>
        <v>0</v>
      </c>
      <c r="LI135" s="91">
        <f t="shared" si="1198"/>
        <v>0</v>
      </c>
      <c r="LJ135" s="91">
        <f t="shared" si="1199"/>
        <v>0</v>
      </c>
      <c r="LY135" s="91">
        <f t="shared" si="1200"/>
        <v>0</v>
      </c>
      <c r="LZ135" s="91">
        <f t="shared" si="1201"/>
        <v>0</v>
      </c>
      <c r="MO135" s="91">
        <f t="shared" si="1202"/>
        <v>0</v>
      </c>
      <c r="MP135" s="91">
        <f t="shared" si="1203"/>
        <v>0</v>
      </c>
      <c r="MS135" s="98">
        <v>170</v>
      </c>
      <c r="MT135" s="98">
        <v>5100</v>
      </c>
      <c r="NE135" s="91">
        <f t="shared" si="1204"/>
        <v>170</v>
      </c>
      <c r="NF135" s="91">
        <f t="shared" si="1205"/>
        <v>5100</v>
      </c>
      <c r="NI135" s="98">
        <v>6600</v>
      </c>
      <c r="NJ135" s="98">
        <v>231000</v>
      </c>
      <c r="NU135" s="91">
        <f t="shared" si="1206"/>
        <v>6600</v>
      </c>
      <c r="NV135" s="91">
        <f t="shared" si="1207"/>
        <v>231000</v>
      </c>
      <c r="NW135" s="98">
        <v>250</v>
      </c>
      <c r="NX135" s="98">
        <v>20000</v>
      </c>
      <c r="OK135" s="91">
        <f t="shared" si="1208"/>
        <v>250</v>
      </c>
      <c r="OL135" s="91">
        <f t="shared" si="1209"/>
        <v>20000</v>
      </c>
      <c r="PA135" s="91">
        <f t="shared" si="1210"/>
        <v>0</v>
      </c>
      <c r="PB135" s="91">
        <f t="shared" si="1211"/>
        <v>0</v>
      </c>
      <c r="PQ135" s="91">
        <f t="shared" si="1212"/>
        <v>0</v>
      </c>
      <c r="PR135" s="91">
        <f t="shared" si="1213"/>
        <v>0</v>
      </c>
      <c r="QG135" s="91">
        <f t="shared" si="1214"/>
        <v>0</v>
      </c>
      <c r="QH135" s="91">
        <f t="shared" si="1215"/>
        <v>0</v>
      </c>
      <c r="QW135" s="91">
        <f t="shared" si="1216"/>
        <v>0</v>
      </c>
      <c r="QX135" s="91">
        <f t="shared" si="1217"/>
        <v>0</v>
      </c>
      <c r="RM135" s="91">
        <f t="shared" si="1218"/>
        <v>0</v>
      </c>
      <c r="RN135" s="91">
        <f t="shared" si="1219"/>
        <v>0</v>
      </c>
      <c r="SC135" s="91">
        <f t="shared" si="1220"/>
        <v>0</v>
      </c>
      <c r="SD135" s="91">
        <f t="shared" si="1221"/>
        <v>0</v>
      </c>
      <c r="SS135" s="91">
        <f t="shared" si="1222"/>
        <v>0</v>
      </c>
      <c r="ST135" s="91">
        <f t="shared" si="1223"/>
        <v>0</v>
      </c>
      <c r="TI135" s="91">
        <f t="shared" si="1224"/>
        <v>0</v>
      </c>
      <c r="TJ135" s="91">
        <f t="shared" si="1225"/>
        <v>0</v>
      </c>
      <c r="TY135" s="91">
        <f t="shared" si="1226"/>
        <v>0</v>
      </c>
      <c r="TZ135" s="91">
        <f t="shared" si="1227"/>
        <v>0</v>
      </c>
      <c r="UO135" s="91">
        <f t="shared" si="1228"/>
        <v>0</v>
      </c>
      <c r="UP135" s="91">
        <f t="shared" si="1229"/>
        <v>0</v>
      </c>
      <c r="VE135" s="91">
        <f t="shared" si="1230"/>
        <v>0</v>
      </c>
      <c r="VF135" s="91">
        <f t="shared" si="1231"/>
        <v>0</v>
      </c>
      <c r="VI135" s="98">
        <v>41</v>
      </c>
      <c r="VJ135" s="98">
        <v>1640</v>
      </c>
      <c r="VU135" s="91">
        <f t="shared" si="1232"/>
        <v>41</v>
      </c>
      <c r="VV135" s="91">
        <f t="shared" si="1233"/>
        <v>1640</v>
      </c>
      <c r="WK135" s="91">
        <f t="shared" si="1234"/>
        <v>0</v>
      </c>
      <c r="WL135" s="91">
        <f t="shared" si="1235"/>
        <v>0</v>
      </c>
      <c r="WM135" s="89"/>
      <c r="WN135" s="87">
        <f t="shared" si="1236"/>
        <v>715</v>
      </c>
      <c r="WO135" s="87">
        <f t="shared" si="1237"/>
        <v>54875</v>
      </c>
      <c r="WP135" s="87">
        <f t="shared" si="1238"/>
        <v>110260.67</v>
      </c>
      <c r="WQ135" s="87">
        <f t="shared" si="1239"/>
        <v>7120660</v>
      </c>
      <c r="WR135" s="87">
        <f t="shared" si="1240"/>
        <v>0</v>
      </c>
      <c r="WS135" s="87">
        <f t="shared" si="1241"/>
        <v>0</v>
      </c>
      <c r="WT135" s="87">
        <f t="shared" si="1242"/>
        <v>0</v>
      </c>
      <c r="WU135" s="87">
        <f t="shared" si="1243"/>
        <v>0</v>
      </c>
      <c r="WV135" s="87">
        <f t="shared" si="1244"/>
        <v>0</v>
      </c>
      <c r="WW135" s="87">
        <f t="shared" si="1245"/>
        <v>0</v>
      </c>
      <c r="WX135" s="87">
        <f t="shared" si="1246"/>
        <v>0</v>
      </c>
      <c r="WY135" s="87">
        <f t="shared" si="1247"/>
        <v>0</v>
      </c>
      <c r="WZ135" s="87">
        <f t="shared" si="1248"/>
        <v>0</v>
      </c>
      <c r="XA135" s="87">
        <f t="shared" si="1249"/>
        <v>0</v>
      </c>
      <c r="XB135" s="92">
        <f t="shared" si="1250"/>
        <v>110975.67</v>
      </c>
      <c r="XC135" s="92">
        <f t="shared" si="1251"/>
        <v>7175535</v>
      </c>
      <c r="XD135" s="89"/>
      <c r="XE135" s="92">
        <f t="shared" ref="XE135:XF135" si="1262">SUM(XB363,XB401,XB439)</f>
        <v>579392.85121212574</v>
      </c>
      <c r="XF135" s="92">
        <f t="shared" si="1262"/>
        <v>33931712.714899622</v>
      </c>
      <c r="XG135" s="89"/>
      <c r="XH135" s="92"/>
      <c r="XI135" s="92"/>
      <c r="XJ135" s="89"/>
      <c r="XK135" s="87"/>
      <c r="XL135" s="87"/>
      <c r="XM135" s="87"/>
      <c r="XN135" s="87"/>
      <c r="XO135" s="87"/>
      <c r="XP135" s="87"/>
      <c r="XQ135" s="87"/>
      <c r="XR135" s="92">
        <f t="shared" ca="1" si="1252"/>
        <v>0</v>
      </c>
      <c r="XS135" s="89"/>
      <c r="XT135" s="87"/>
      <c r="XU135" s="87"/>
      <c r="XV135" s="87"/>
      <c r="XW135" s="87"/>
      <c r="XX135" s="87"/>
      <c r="XY135" s="87"/>
      <c r="XZ135" s="87"/>
      <c r="YA135" s="92">
        <f t="shared" ca="1" si="1253"/>
        <v>0</v>
      </c>
      <c r="YB135" s="90"/>
      <c r="YC135" s="90"/>
      <c r="YD135" s="90"/>
      <c r="YE135" s="90"/>
      <c r="YF135" s="90"/>
      <c r="YG135" s="90"/>
      <c r="YH135" s="90"/>
      <c r="YI135" s="90"/>
      <c r="YJ135" s="90"/>
      <c r="YK135" s="90"/>
      <c r="YL135" s="90"/>
      <c r="YM135" s="90"/>
      <c r="YN135" s="90"/>
      <c r="YO135" s="90"/>
      <c r="YP135" s="90"/>
      <c r="YQ135" s="90"/>
      <c r="YR135" s="90"/>
      <c r="YS135" s="90"/>
      <c r="YT135" s="90"/>
      <c r="YU135" s="90"/>
      <c r="YV135" s="90"/>
      <c r="YW135" s="90"/>
      <c r="YX135" s="90"/>
      <c r="YY135" s="90"/>
      <c r="YZ135" s="90"/>
      <c r="ZA135" s="90"/>
      <c r="ZB135" s="90"/>
      <c r="ZC135" s="90"/>
      <c r="ZD135" s="90"/>
      <c r="ZE135" s="90"/>
      <c r="ZF135" s="90"/>
      <c r="ZG135" s="90"/>
      <c r="ZH135" s="90"/>
      <c r="ZI135" s="90"/>
      <c r="ZJ135" s="90"/>
      <c r="ZK135" s="90"/>
      <c r="ZL135" s="90"/>
      <c r="ZM135" s="90"/>
      <c r="ZN135" s="90"/>
      <c r="ZO135" s="90"/>
      <c r="ZP135" s="90"/>
      <c r="ZQ135" s="90"/>
      <c r="ZR135" s="90"/>
      <c r="ZS135" s="90"/>
      <c r="ZT135" s="90"/>
      <c r="ZU135" s="90"/>
      <c r="ZV135" s="90"/>
      <c r="ZW135" s="90"/>
      <c r="ZX135" s="90"/>
      <c r="ZY135" s="90"/>
      <c r="ZZ135" s="90"/>
      <c r="AAA135" s="90"/>
      <c r="AAB135" s="90"/>
      <c r="AAC135" s="90"/>
      <c r="AAD135" s="90"/>
      <c r="AAE135" s="90"/>
      <c r="AAF135" s="90"/>
      <c r="AAG135" s="90"/>
      <c r="AAH135" s="90"/>
      <c r="AAI135" s="90"/>
      <c r="AAJ135" s="90"/>
      <c r="AAK135" s="90"/>
      <c r="AAL135" s="90"/>
      <c r="AAM135" s="90"/>
      <c r="AAN135" s="90"/>
      <c r="AAO135" s="90"/>
      <c r="AAP135" s="90"/>
      <c r="AAQ135" s="90"/>
      <c r="AAR135" s="90"/>
      <c r="AAS135" s="90"/>
      <c r="AAT135" s="90"/>
      <c r="AAU135" s="90"/>
      <c r="AAV135" s="90"/>
      <c r="AAW135" s="90"/>
      <c r="AAX135" s="90"/>
      <c r="AAY135" s="90"/>
      <c r="AAZ135" s="90"/>
      <c r="ABA135" s="90"/>
      <c r="ABB135" s="90"/>
      <c r="ABC135" s="90"/>
      <c r="ABD135" s="90"/>
      <c r="ABE135" s="90"/>
      <c r="ABF135" s="90"/>
      <c r="ABG135" s="90"/>
      <c r="ABH135" s="90"/>
      <c r="ABI135" s="90"/>
      <c r="ABJ135" s="90"/>
      <c r="ABK135" s="90"/>
      <c r="ABL135" s="90"/>
      <c r="ABM135" s="90"/>
      <c r="ABN135" s="90"/>
      <c r="ABO135" s="90"/>
      <c r="ABP135" s="90"/>
      <c r="ABQ135" s="90"/>
      <c r="ABR135" s="90"/>
      <c r="ABS135" s="90"/>
      <c r="ABT135" s="90"/>
      <c r="ABU135" s="90"/>
      <c r="ABV135" s="90"/>
      <c r="ABW135" s="90"/>
      <c r="ABX135" s="90"/>
      <c r="ABY135" s="90"/>
      <c r="ABZ135" s="90"/>
      <c r="ACA135" s="90"/>
      <c r="ACB135" s="90"/>
      <c r="ACC135" s="90"/>
      <c r="ACD135" s="90"/>
      <c r="ACE135" s="90"/>
      <c r="ACF135" s="90"/>
      <c r="ACG135" s="90"/>
      <c r="ACH135" s="90"/>
      <c r="ACI135" s="90"/>
      <c r="ACJ135" s="90"/>
      <c r="ACK135" s="90"/>
      <c r="ACL135" s="90"/>
      <c r="ACM135" s="90"/>
      <c r="ACN135" s="90"/>
      <c r="ACO135" s="90"/>
      <c r="ACP135" s="90"/>
      <c r="ACQ135" s="90"/>
      <c r="ACR135" s="90"/>
      <c r="ACS135" s="90"/>
      <c r="ACT135" s="90"/>
      <c r="ACU135" s="90"/>
      <c r="ACV135" s="90"/>
      <c r="ACW135" s="90"/>
      <c r="ACX135" s="90"/>
      <c r="ACY135" s="90"/>
      <c r="ACZ135" s="90"/>
      <c r="ADA135" s="90"/>
      <c r="ADB135" s="90"/>
      <c r="ADC135" s="90"/>
      <c r="ADD135" s="90"/>
      <c r="ADE135" s="90"/>
      <c r="ADF135" s="90"/>
      <c r="ADG135" s="90"/>
      <c r="ADH135" s="90"/>
      <c r="ADI135" s="90"/>
      <c r="ADJ135" s="90"/>
      <c r="ADK135" s="90"/>
      <c r="ADL135" s="90"/>
      <c r="ADM135" s="90"/>
      <c r="ADN135" s="90"/>
      <c r="ADO135" s="90"/>
      <c r="ADP135" s="90"/>
      <c r="ADQ135" s="90"/>
      <c r="ADR135" s="90"/>
      <c r="ADS135" s="90"/>
      <c r="ADT135" s="90"/>
      <c r="ADU135" s="90"/>
      <c r="ADV135" s="90"/>
      <c r="ADW135" s="90"/>
      <c r="ADX135" s="90"/>
      <c r="ADY135" s="90"/>
      <c r="ADZ135" s="90"/>
      <c r="AEA135" s="90"/>
      <c r="AEB135" s="90"/>
      <c r="AEC135" s="90"/>
      <c r="AED135" s="90"/>
      <c r="AEE135" s="90"/>
      <c r="AEF135" s="90"/>
      <c r="AEG135" s="90"/>
      <c r="AEH135" s="90"/>
      <c r="AEI135" s="90"/>
      <c r="AEJ135" s="90"/>
      <c r="AEK135" s="90"/>
      <c r="AEL135" s="90"/>
      <c r="AEM135" s="90"/>
      <c r="AEN135" s="90"/>
      <c r="AEO135" s="90"/>
      <c r="AEP135" s="90"/>
      <c r="AEQ135" s="90"/>
      <c r="AER135" s="90"/>
      <c r="AES135" s="90"/>
      <c r="AET135" s="90"/>
      <c r="AEU135" s="90"/>
      <c r="AEV135" s="90"/>
      <c r="AEW135" s="90"/>
      <c r="AEX135" s="90"/>
      <c r="AEY135" s="90"/>
      <c r="AEZ135" s="90"/>
      <c r="AFA135" s="90"/>
      <c r="AFB135" s="90"/>
      <c r="AFC135" s="90"/>
      <c r="AFD135" s="90"/>
      <c r="AFE135" s="90"/>
      <c r="AFF135" s="90"/>
      <c r="AFG135" s="90"/>
      <c r="AFH135" s="90"/>
      <c r="AFI135" s="90"/>
      <c r="AFJ135" s="90"/>
      <c r="AFK135" s="90"/>
      <c r="AFL135" s="90"/>
      <c r="AFM135" s="90"/>
      <c r="AFN135" s="90"/>
      <c r="AFO135" s="90"/>
      <c r="AFP135" s="90"/>
      <c r="AFQ135" s="90"/>
      <c r="AFR135" s="90"/>
      <c r="AFS135" s="90"/>
      <c r="AFT135" s="90"/>
      <c r="AFU135" s="90"/>
      <c r="AFV135" s="90"/>
      <c r="AFW135" s="90"/>
      <c r="AFX135" s="90"/>
      <c r="AFY135" s="90"/>
      <c r="AFZ135" s="90"/>
      <c r="AGA135" s="90"/>
      <c r="AGB135" s="90"/>
      <c r="AGC135" s="90"/>
      <c r="AGD135" s="90"/>
      <c r="AGE135" s="90"/>
      <c r="AGF135" s="90"/>
      <c r="AGG135" s="90"/>
      <c r="AGH135" s="90"/>
      <c r="AGI135" s="90"/>
      <c r="AGJ135" s="90"/>
      <c r="AGK135" s="90"/>
      <c r="AGL135" s="90"/>
      <c r="AGM135" s="90"/>
      <c r="AGN135" s="90"/>
      <c r="AGO135" s="90"/>
      <c r="AGP135" s="90"/>
      <c r="AGQ135" s="90"/>
      <c r="AGR135" s="90"/>
      <c r="AGS135" s="90"/>
      <c r="AGT135" s="90"/>
      <c r="AGU135" s="90"/>
      <c r="AGV135" s="90"/>
      <c r="AGW135" s="90"/>
      <c r="AGX135" s="90"/>
      <c r="AGY135" s="90"/>
      <c r="AGZ135" s="90"/>
      <c r="AHA135" s="90"/>
      <c r="AHB135" s="90"/>
      <c r="AHC135" s="90"/>
      <c r="AHD135" s="90"/>
      <c r="AHE135" s="90"/>
      <c r="AHF135" s="90"/>
      <c r="AHG135" s="90"/>
      <c r="AHH135" s="90"/>
      <c r="AHI135" s="90"/>
      <c r="AHJ135" s="90"/>
      <c r="AHK135" s="90"/>
      <c r="AHL135" s="90"/>
      <c r="AHM135" s="90"/>
      <c r="AHN135" s="90"/>
      <c r="AHO135" s="90"/>
      <c r="AHP135" s="90"/>
      <c r="AHQ135" s="90"/>
      <c r="AHR135" s="90"/>
      <c r="AHS135" s="90"/>
      <c r="AHT135" s="90"/>
      <c r="AHU135" s="90"/>
      <c r="AHV135" s="90"/>
      <c r="AHW135" s="90"/>
      <c r="AHX135" s="90"/>
      <c r="AHY135" s="90"/>
      <c r="AHZ135" s="90"/>
      <c r="AIA135" s="90"/>
      <c r="AIB135" s="90"/>
      <c r="AIC135" s="90"/>
      <c r="AID135" s="90"/>
      <c r="AIE135" s="90"/>
      <c r="AIF135" s="90"/>
      <c r="AIG135" s="90"/>
      <c r="AIH135" s="90"/>
      <c r="AII135" s="90"/>
      <c r="AIJ135" s="90"/>
      <c r="AIK135" s="90"/>
      <c r="AIL135" s="90"/>
      <c r="AIM135" s="90"/>
      <c r="AIN135" s="90"/>
      <c r="AIO135" s="90"/>
      <c r="AIP135" s="90"/>
      <c r="AIQ135" s="90"/>
      <c r="AIR135" s="90"/>
      <c r="AIS135" s="90"/>
      <c r="AIT135" s="90"/>
      <c r="AIU135" s="90"/>
      <c r="AIV135" s="90"/>
      <c r="AIW135" s="90"/>
      <c r="AIX135" s="90"/>
      <c r="AIY135" s="90"/>
      <c r="AIZ135" s="90"/>
      <c r="AJA135" s="90"/>
      <c r="AJB135" s="90"/>
      <c r="AJC135" s="90"/>
      <c r="AJD135" s="90"/>
      <c r="AJE135" s="90"/>
      <c r="AJF135" s="90"/>
      <c r="AJG135" s="90"/>
      <c r="AJH135" s="90"/>
      <c r="AJI135" s="90"/>
      <c r="AJJ135" s="90"/>
      <c r="AJK135" s="90"/>
      <c r="AJL135" s="90"/>
      <c r="AJM135" s="90"/>
      <c r="AJN135" s="90"/>
      <c r="AJO135" s="90"/>
      <c r="AJP135" s="90"/>
      <c r="AJQ135" s="90"/>
      <c r="AJR135" s="90"/>
      <c r="AJS135" s="90"/>
      <c r="AJT135" s="90"/>
      <c r="AJU135" s="90"/>
      <c r="AJV135" s="90"/>
      <c r="AJW135" s="90"/>
      <c r="AJX135" s="90"/>
      <c r="AJY135" s="90"/>
      <c r="AJZ135" s="90"/>
      <c r="AKA135" s="90"/>
      <c r="AKB135" s="90"/>
      <c r="AKC135" s="90"/>
      <c r="AKD135" s="90"/>
      <c r="AKE135" s="90"/>
      <c r="AKF135" s="90"/>
      <c r="AKG135" s="90"/>
      <c r="AKH135" s="90"/>
      <c r="AKI135" s="90"/>
      <c r="AKJ135" s="90"/>
      <c r="AKK135" s="90"/>
      <c r="AKL135" s="90"/>
      <c r="AKM135" s="90"/>
      <c r="AKN135" s="90"/>
      <c r="AKO135" s="90"/>
      <c r="AKP135" s="90"/>
      <c r="AKQ135" s="90"/>
      <c r="AKR135" s="90"/>
      <c r="AKS135" s="90"/>
      <c r="AKT135" s="90"/>
      <c r="AKU135" s="90"/>
      <c r="AKV135" s="90"/>
      <c r="AKW135" s="90"/>
      <c r="AKX135" s="90"/>
      <c r="AKY135" s="90"/>
      <c r="AKZ135" s="90"/>
      <c r="ALA135" s="90"/>
      <c r="ALB135" s="90"/>
      <c r="ALC135" s="90"/>
      <c r="ALD135" s="90"/>
      <c r="ALE135" s="90"/>
      <c r="ALF135" s="90"/>
      <c r="ALG135" s="90"/>
      <c r="ALH135" s="90"/>
      <c r="ALI135" s="90"/>
      <c r="ALJ135" s="90"/>
      <c r="ALK135" s="90"/>
      <c r="ALL135" s="90"/>
      <c r="ALM135" s="90"/>
      <c r="ALN135" s="90"/>
      <c r="ALO135" s="90"/>
      <c r="ALP135" s="90"/>
      <c r="ALQ135" s="90"/>
      <c r="ALR135" s="90"/>
      <c r="ALS135" s="90"/>
      <c r="ALT135" s="90"/>
      <c r="ALU135" s="90"/>
      <c r="ALV135" s="90"/>
      <c r="ALW135" s="90"/>
      <c r="ALX135" s="90"/>
      <c r="ALY135" s="90"/>
      <c r="ALZ135" s="90"/>
      <c r="AMA135" s="90"/>
      <c r="AMB135" s="90"/>
      <c r="AMC135" s="90"/>
    </row>
    <row r="136" spans="1:1017">
      <c r="A136" s="98" t="s">
        <v>48</v>
      </c>
      <c r="B136" s="90" t="str">
        <f t="shared" si="1159"/>
        <v>Kepiting  Bakau</v>
      </c>
      <c r="E136" s="98">
        <v>400</v>
      </c>
      <c r="F136" s="98">
        <v>40000</v>
      </c>
      <c r="Q136" s="91">
        <f t="shared" si="1160"/>
        <v>400</v>
      </c>
      <c r="R136" s="91">
        <f t="shared" si="1161"/>
        <v>40000</v>
      </c>
      <c r="U136" s="98">
        <v>9690</v>
      </c>
      <c r="V136" s="98">
        <v>581400</v>
      </c>
      <c r="AG136" s="91">
        <f t="shared" si="1162"/>
        <v>9690</v>
      </c>
      <c r="AH136" s="91">
        <f t="shared" si="1163"/>
        <v>581400</v>
      </c>
      <c r="AW136" s="91">
        <f t="shared" si="1164"/>
        <v>0</v>
      </c>
      <c r="AX136" s="91">
        <f t="shared" si="1165"/>
        <v>0</v>
      </c>
      <c r="BM136" s="91">
        <f t="shared" si="1166"/>
        <v>0</v>
      </c>
      <c r="BN136" s="91">
        <f t="shared" si="1167"/>
        <v>0</v>
      </c>
      <c r="CC136" s="91">
        <f t="shared" si="1168"/>
        <v>0</v>
      </c>
      <c r="CD136" s="91">
        <f t="shared" si="1169"/>
        <v>0</v>
      </c>
      <c r="CG136" s="98">
        <v>25277</v>
      </c>
      <c r="CH136" s="98">
        <v>1263884</v>
      </c>
      <c r="CS136" s="91">
        <f t="shared" si="1254"/>
        <v>25277</v>
      </c>
      <c r="CT136" s="91">
        <f t="shared" si="1255"/>
        <v>1263884</v>
      </c>
      <c r="DI136" s="91">
        <f t="shared" si="1172"/>
        <v>0</v>
      </c>
      <c r="DJ136" s="91">
        <f t="shared" si="1173"/>
        <v>0</v>
      </c>
      <c r="DY136" s="91">
        <f t="shared" si="1174"/>
        <v>0</v>
      </c>
      <c r="DZ136" s="91">
        <f t="shared" si="1175"/>
        <v>0</v>
      </c>
      <c r="EO136" s="91">
        <f t="shared" si="1176"/>
        <v>0</v>
      </c>
      <c r="EP136" s="91">
        <f t="shared" si="1177"/>
        <v>0</v>
      </c>
      <c r="FE136" s="91">
        <f t="shared" si="1178"/>
        <v>0</v>
      </c>
      <c r="FF136" s="91">
        <f t="shared" si="1179"/>
        <v>0</v>
      </c>
      <c r="FU136" s="91">
        <f t="shared" si="1180"/>
        <v>0</v>
      </c>
      <c r="FV136" s="91">
        <f t="shared" si="1181"/>
        <v>0</v>
      </c>
      <c r="GK136" s="91">
        <f t="shared" si="1182"/>
        <v>0</v>
      </c>
      <c r="GL136" s="91">
        <f t="shared" si="1183"/>
        <v>0</v>
      </c>
      <c r="HA136" s="91">
        <f t="shared" si="1184"/>
        <v>0</v>
      </c>
      <c r="HB136" s="91">
        <f t="shared" si="1185"/>
        <v>0</v>
      </c>
      <c r="HQ136" s="91">
        <f t="shared" si="1186"/>
        <v>0</v>
      </c>
      <c r="HR136" s="91">
        <f t="shared" si="1187"/>
        <v>0</v>
      </c>
      <c r="IG136" s="91">
        <f t="shared" si="1188"/>
        <v>0</v>
      </c>
      <c r="IH136" s="91">
        <f t="shared" si="1189"/>
        <v>0</v>
      </c>
      <c r="IW136" s="91">
        <f t="shared" si="1190"/>
        <v>0</v>
      </c>
      <c r="IX136" s="91">
        <f t="shared" si="1191"/>
        <v>0</v>
      </c>
      <c r="JM136" s="91">
        <f t="shared" si="1192"/>
        <v>0</v>
      </c>
      <c r="JN136" s="91">
        <f t="shared" si="1193"/>
        <v>0</v>
      </c>
      <c r="JQ136" s="98">
        <v>50</v>
      </c>
      <c r="JR136" s="98">
        <v>9000</v>
      </c>
      <c r="KC136" s="91">
        <f t="shared" si="1194"/>
        <v>50</v>
      </c>
      <c r="KD136" s="91">
        <f t="shared" si="1195"/>
        <v>9000</v>
      </c>
      <c r="KS136" s="91">
        <f t="shared" si="1196"/>
        <v>0</v>
      </c>
      <c r="KT136" s="91">
        <f t="shared" si="1197"/>
        <v>0</v>
      </c>
      <c r="LI136" s="91">
        <f t="shared" si="1198"/>
        <v>0</v>
      </c>
      <c r="LJ136" s="91">
        <f t="shared" si="1199"/>
        <v>0</v>
      </c>
      <c r="LY136" s="91">
        <f t="shared" si="1200"/>
        <v>0</v>
      </c>
      <c r="LZ136" s="91">
        <f t="shared" si="1201"/>
        <v>0</v>
      </c>
      <c r="MC136" s="98">
        <v>8800</v>
      </c>
      <c r="MD136" s="98">
        <v>880000</v>
      </c>
      <c r="MO136" s="91">
        <f t="shared" si="1202"/>
        <v>8800</v>
      </c>
      <c r="MP136" s="91">
        <f t="shared" si="1203"/>
        <v>880000</v>
      </c>
      <c r="MS136" s="98">
        <v>50</v>
      </c>
      <c r="MT136" s="98">
        <v>5000</v>
      </c>
      <c r="NE136" s="91">
        <f t="shared" si="1204"/>
        <v>50</v>
      </c>
      <c r="NF136" s="91">
        <f t="shared" si="1205"/>
        <v>5000</v>
      </c>
      <c r="NI136" s="98">
        <v>19400</v>
      </c>
      <c r="NJ136" s="98">
        <v>776000</v>
      </c>
      <c r="NU136" s="91">
        <f t="shared" si="1206"/>
        <v>19400</v>
      </c>
      <c r="NV136" s="91">
        <f t="shared" si="1207"/>
        <v>776000</v>
      </c>
      <c r="OK136" s="91">
        <f t="shared" si="1208"/>
        <v>0</v>
      </c>
      <c r="OL136" s="91">
        <f t="shared" si="1209"/>
        <v>0</v>
      </c>
      <c r="PA136" s="91">
        <f t="shared" si="1210"/>
        <v>0</v>
      </c>
      <c r="PB136" s="91">
        <f t="shared" si="1211"/>
        <v>0</v>
      </c>
      <c r="PQ136" s="91">
        <f t="shared" si="1212"/>
        <v>0</v>
      </c>
      <c r="PR136" s="91">
        <f t="shared" si="1213"/>
        <v>0</v>
      </c>
      <c r="QG136" s="91">
        <f t="shared" si="1214"/>
        <v>0</v>
      </c>
      <c r="QH136" s="91">
        <f t="shared" si="1215"/>
        <v>0</v>
      </c>
      <c r="QW136" s="91">
        <f t="shared" si="1216"/>
        <v>0</v>
      </c>
      <c r="QX136" s="91">
        <f t="shared" si="1217"/>
        <v>0</v>
      </c>
      <c r="RM136" s="91">
        <f t="shared" si="1218"/>
        <v>0</v>
      </c>
      <c r="RN136" s="91">
        <f t="shared" si="1219"/>
        <v>0</v>
      </c>
      <c r="SC136" s="91">
        <f t="shared" si="1220"/>
        <v>0</v>
      </c>
      <c r="SD136" s="91">
        <f t="shared" si="1221"/>
        <v>0</v>
      </c>
      <c r="SS136" s="91">
        <f t="shared" si="1222"/>
        <v>0</v>
      </c>
      <c r="ST136" s="91">
        <f t="shared" si="1223"/>
        <v>0</v>
      </c>
      <c r="TI136" s="91">
        <f t="shared" si="1224"/>
        <v>0</v>
      </c>
      <c r="TJ136" s="91">
        <f t="shared" si="1225"/>
        <v>0</v>
      </c>
      <c r="TY136" s="91">
        <f t="shared" si="1226"/>
        <v>0</v>
      </c>
      <c r="TZ136" s="91">
        <f t="shared" si="1227"/>
        <v>0</v>
      </c>
      <c r="UO136" s="91">
        <f t="shared" si="1228"/>
        <v>0</v>
      </c>
      <c r="UP136" s="91">
        <f t="shared" si="1229"/>
        <v>0</v>
      </c>
      <c r="VE136" s="91">
        <f t="shared" si="1230"/>
        <v>0</v>
      </c>
      <c r="VF136" s="91">
        <f t="shared" si="1231"/>
        <v>0</v>
      </c>
      <c r="VI136" s="98">
        <v>214</v>
      </c>
      <c r="VJ136" s="98">
        <v>12840</v>
      </c>
      <c r="VU136" s="91">
        <f t="shared" si="1232"/>
        <v>214</v>
      </c>
      <c r="VV136" s="91">
        <f t="shared" si="1233"/>
        <v>12840</v>
      </c>
      <c r="WK136" s="91">
        <f t="shared" si="1234"/>
        <v>0</v>
      </c>
      <c r="WL136" s="91">
        <f t="shared" si="1235"/>
        <v>0</v>
      </c>
      <c r="WM136" s="89"/>
      <c r="WN136" s="87">
        <f t="shared" si="1236"/>
        <v>0</v>
      </c>
      <c r="WO136" s="87">
        <f t="shared" si="1237"/>
        <v>0</v>
      </c>
      <c r="WP136" s="87">
        <f t="shared" si="1238"/>
        <v>63881</v>
      </c>
      <c r="WQ136" s="87">
        <f t="shared" si="1239"/>
        <v>3568124</v>
      </c>
      <c r="WR136" s="87">
        <f t="shared" si="1240"/>
        <v>0</v>
      </c>
      <c r="WS136" s="87">
        <f t="shared" si="1241"/>
        <v>0</v>
      </c>
      <c r="WT136" s="87">
        <f t="shared" si="1242"/>
        <v>0</v>
      </c>
      <c r="WU136" s="87">
        <f t="shared" si="1243"/>
        <v>0</v>
      </c>
      <c r="WV136" s="87">
        <f t="shared" si="1244"/>
        <v>0</v>
      </c>
      <c r="WW136" s="87">
        <f t="shared" si="1245"/>
        <v>0</v>
      </c>
      <c r="WX136" s="87">
        <f t="shared" si="1246"/>
        <v>0</v>
      </c>
      <c r="WY136" s="87">
        <f t="shared" si="1247"/>
        <v>0</v>
      </c>
      <c r="WZ136" s="87">
        <f t="shared" si="1248"/>
        <v>0</v>
      </c>
      <c r="XA136" s="87">
        <f t="shared" si="1249"/>
        <v>0</v>
      </c>
      <c r="XB136" s="92">
        <f t="shared" si="1250"/>
        <v>63881</v>
      </c>
      <c r="XC136" s="92">
        <f t="shared" si="1251"/>
        <v>3568124</v>
      </c>
      <c r="XD136" s="89"/>
      <c r="XE136" s="92">
        <f t="shared" ref="XE136:XF136" si="1263">SUM(XB364,XB402,XB440)</f>
        <v>166289.43334857764</v>
      </c>
      <c r="XF136" s="92">
        <f t="shared" si="1263"/>
        <v>8799214.6253701337</v>
      </c>
      <c r="XG136" s="89"/>
      <c r="XH136" s="92"/>
      <c r="XI136" s="92"/>
      <c r="XJ136" s="89"/>
      <c r="XK136" s="87"/>
      <c r="XL136" s="87"/>
      <c r="XM136" s="87"/>
      <c r="XN136" s="87"/>
      <c r="XO136" s="87"/>
      <c r="XP136" s="87"/>
      <c r="XQ136" s="87"/>
      <c r="XR136" s="92">
        <f t="shared" ca="1" si="1252"/>
        <v>0</v>
      </c>
      <c r="XS136" s="89"/>
      <c r="XT136" s="87"/>
      <c r="XU136" s="87"/>
      <c r="XV136" s="87"/>
      <c r="XW136" s="87"/>
      <c r="XX136" s="87"/>
      <c r="XY136" s="87"/>
      <c r="XZ136" s="87"/>
      <c r="YA136" s="92">
        <f t="shared" ca="1" si="1253"/>
        <v>0</v>
      </c>
      <c r="YB136" s="90"/>
      <c r="YC136" s="90"/>
      <c r="YD136" s="90"/>
      <c r="YE136" s="90"/>
      <c r="YF136" s="90"/>
      <c r="YG136" s="90"/>
      <c r="YH136" s="90"/>
      <c r="YI136" s="90"/>
      <c r="YJ136" s="90"/>
      <c r="YK136" s="90"/>
      <c r="YL136" s="90"/>
      <c r="YM136" s="90"/>
      <c r="YN136" s="90"/>
      <c r="YO136" s="90"/>
      <c r="YP136" s="90"/>
      <c r="YQ136" s="90"/>
      <c r="YR136" s="90"/>
      <c r="YS136" s="90"/>
      <c r="YT136" s="90"/>
      <c r="YU136" s="90"/>
      <c r="YV136" s="90"/>
      <c r="YW136" s="90"/>
      <c r="YX136" s="90"/>
      <c r="YY136" s="90"/>
      <c r="YZ136" s="90"/>
      <c r="ZA136" s="90"/>
      <c r="ZB136" s="90"/>
      <c r="ZC136" s="90"/>
      <c r="ZD136" s="90"/>
      <c r="ZE136" s="90"/>
      <c r="ZF136" s="90"/>
      <c r="ZG136" s="90"/>
      <c r="ZH136" s="90"/>
      <c r="ZI136" s="90"/>
      <c r="ZJ136" s="90"/>
      <c r="ZK136" s="90"/>
      <c r="ZL136" s="90"/>
      <c r="ZM136" s="90"/>
      <c r="ZN136" s="90"/>
      <c r="ZO136" s="90"/>
      <c r="ZP136" s="90"/>
      <c r="ZQ136" s="90"/>
      <c r="ZR136" s="90"/>
      <c r="ZS136" s="90"/>
      <c r="ZT136" s="90"/>
      <c r="ZU136" s="90"/>
      <c r="ZV136" s="90"/>
      <c r="ZW136" s="90"/>
      <c r="ZX136" s="90"/>
      <c r="ZY136" s="90"/>
      <c r="ZZ136" s="90"/>
      <c r="AAA136" s="90"/>
      <c r="AAB136" s="90"/>
      <c r="AAC136" s="90"/>
      <c r="AAD136" s="90"/>
      <c r="AAE136" s="90"/>
      <c r="AAF136" s="90"/>
      <c r="AAG136" s="90"/>
      <c r="AAH136" s="90"/>
      <c r="AAI136" s="90"/>
      <c r="AAJ136" s="90"/>
      <c r="AAK136" s="90"/>
      <c r="AAL136" s="90"/>
      <c r="AAM136" s="90"/>
      <c r="AAN136" s="90"/>
      <c r="AAO136" s="90"/>
      <c r="AAP136" s="90"/>
      <c r="AAQ136" s="90"/>
      <c r="AAR136" s="90"/>
      <c r="AAS136" s="90"/>
      <c r="AAT136" s="90"/>
      <c r="AAU136" s="90"/>
      <c r="AAV136" s="90"/>
      <c r="AAW136" s="90"/>
      <c r="AAX136" s="90"/>
      <c r="AAY136" s="90"/>
      <c r="AAZ136" s="90"/>
      <c r="ABA136" s="90"/>
      <c r="ABB136" s="90"/>
      <c r="ABC136" s="90"/>
      <c r="ABD136" s="90"/>
      <c r="ABE136" s="90"/>
      <c r="ABF136" s="90"/>
      <c r="ABG136" s="90"/>
      <c r="ABH136" s="90"/>
      <c r="ABI136" s="90"/>
      <c r="ABJ136" s="90"/>
      <c r="ABK136" s="90"/>
      <c r="ABL136" s="90"/>
      <c r="ABM136" s="90"/>
      <c r="ABN136" s="90"/>
      <c r="ABO136" s="90"/>
      <c r="ABP136" s="90"/>
      <c r="ABQ136" s="90"/>
      <c r="ABR136" s="90"/>
      <c r="ABS136" s="90"/>
      <c r="ABT136" s="90"/>
      <c r="ABU136" s="90"/>
      <c r="ABV136" s="90"/>
      <c r="ABW136" s="90"/>
      <c r="ABX136" s="90"/>
      <c r="ABY136" s="90"/>
      <c r="ABZ136" s="90"/>
      <c r="ACA136" s="90"/>
      <c r="ACB136" s="90"/>
      <c r="ACC136" s="90"/>
      <c r="ACD136" s="90"/>
      <c r="ACE136" s="90"/>
      <c r="ACF136" s="90"/>
      <c r="ACG136" s="90"/>
      <c r="ACH136" s="90"/>
      <c r="ACI136" s="90"/>
      <c r="ACJ136" s="90"/>
      <c r="ACK136" s="90"/>
      <c r="ACL136" s="90"/>
      <c r="ACM136" s="90"/>
      <c r="ACN136" s="90"/>
      <c r="ACO136" s="90"/>
      <c r="ACP136" s="90"/>
      <c r="ACQ136" s="90"/>
      <c r="ACR136" s="90"/>
      <c r="ACS136" s="90"/>
      <c r="ACT136" s="90"/>
      <c r="ACU136" s="90"/>
      <c r="ACV136" s="90"/>
      <c r="ACW136" s="90"/>
      <c r="ACX136" s="90"/>
      <c r="ACY136" s="90"/>
      <c r="ACZ136" s="90"/>
      <c r="ADA136" s="90"/>
      <c r="ADB136" s="90"/>
      <c r="ADC136" s="90"/>
      <c r="ADD136" s="90"/>
      <c r="ADE136" s="90"/>
      <c r="ADF136" s="90"/>
      <c r="ADG136" s="90"/>
      <c r="ADH136" s="90"/>
      <c r="ADI136" s="90"/>
      <c r="ADJ136" s="90"/>
      <c r="ADK136" s="90"/>
      <c r="ADL136" s="90"/>
      <c r="ADM136" s="90"/>
      <c r="ADN136" s="90"/>
      <c r="ADO136" s="90"/>
      <c r="ADP136" s="90"/>
      <c r="ADQ136" s="90"/>
      <c r="ADR136" s="90"/>
      <c r="ADS136" s="90"/>
      <c r="ADT136" s="90"/>
      <c r="ADU136" s="90"/>
      <c r="ADV136" s="90"/>
      <c r="ADW136" s="90"/>
      <c r="ADX136" s="90"/>
      <c r="ADY136" s="90"/>
      <c r="ADZ136" s="90"/>
      <c r="AEA136" s="90"/>
      <c r="AEB136" s="90"/>
      <c r="AEC136" s="90"/>
      <c r="AED136" s="90"/>
      <c r="AEE136" s="90"/>
      <c r="AEF136" s="90"/>
      <c r="AEG136" s="90"/>
      <c r="AEH136" s="90"/>
      <c r="AEI136" s="90"/>
      <c r="AEJ136" s="90"/>
      <c r="AEK136" s="90"/>
      <c r="AEL136" s="90"/>
      <c r="AEM136" s="90"/>
      <c r="AEN136" s="90"/>
      <c r="AEO136" s="90"/>
      <c r="AEP136" s="90"/>
      <c r="AEQ136" s="90"/>
      <c r="AER136" s="90"/>
      <c r="AES136" s="90"/>
      <c r="AET136" s="90"/>
      <c r="AEU136" s="90"/>
      <c r="AEV136" s="90"/>
      <c r="AEW136" s="90"/>
      <c r="AEX136" s="90"/>
      <c r="AEY136" s="90"/>
      <c r="AEZ136" s="90"/>
      <c r="AFA136" s="90"/>
      <c r="AFB136" s="90"/>
      <c r="AFC136" s="90"/>
      <c r="AFD136" s="90"/>
      <c r="AFE136" s="90"/>
      <c r="AFF136" s="90"/>
      <c r="AFG136" s="90"/>
      <c r="AFH136" s="90"/>
      <c r="AFI136" s="90"/>
      <c r="AFJ136" s="90"/>
      <c r="AFK136" s="90"/>
      <c r="AFL136" s="90"/>
      <c r="AFM136" s="90"/>
      <c r="AFN136" s="90"/>
      <c r="AFO136" s="90"/>
      <c r="AFP136" s="90"/>
      <c r="AFQ136" s="90"/>
      <c r="AFR136" s="90"/>
      <c r="AFS136" s="90"/>
      <c r="AFT136" s="90"/>
      <c r="AFU136" s="90"/>
      <c r="AFV136" s="90"/>
      <c r="AFW136" s="90"/>
      <c r="AFX136" s="90"/>
      <c r="AFY136" s="90"/>
      <c r="AFZ136" s="90"/>
      <c r="AGA136" s="90"/>
      <c r="AGB136" s="90"/>
      <c r="AGC136" s="90"/>
      <c r="AGD136" s="90"/>
      <c r="AGE136" s="90"/>
      <c r="AGF136" s="90"/>
      <c r="AGG136" s="90"/>
      <c r="AGH136" s="90"/>
      <c r="AGI136" s="90"/>
      <c r="AGJ136" s="90"/>
      <c r="AGK136" s="90"/>
      <c r="AGL136" s="90"/>
      <c r="AGM136" s="90"/>
      <c r="AGN136" s="90"/>
      <c r="AGO136" s="90"/>
      <c r="AGP136" s="90"/>
      <c r="AGQ136" s="90"/>
      <c r="AGR136" s="90"/>
      <c r="AGS136" s="90"/>
      <c r="AGT136" s="90"/>
      <c r="AGU136" s="90"/>
      <c r="AGV136" s="90"/>
      <c r="AGW136" s="90"/>
      <c r="AGX136" s="90"/>
      <c r="AGY136" s="90"/>
      <c r="AGZ136" s="90"/>
      <c r="AHA136" s="90"/>
      <c r="AHB136" s="90"/>
      <c r="AHC136" s="90"/>
      <c r="AHD136" s="90"/>
      <c r="AHE136" s="90"/>
      <c r="AHF136" s="90"/>
      <c r="AHG136" s="90"/>
      <c r="AHH136" s="90"/>
      <c r="AHI136" s="90"/>
      <c r="AHJ136" s="90"/>
      <c r="AHK136" s="90"/>
      <c r="AHL136" s="90"/>
      <c r="AHM136" s="90"/>
      <c r="AHN136" s="90"/>
      <c r="AHO136" s="90"/>
      <c r="AHP136" s="90"/>
      <c r="AHQ136" s="90"/>
      <c r="AHR136" s="90"/>
      <c r="AHS136" s="90"/>
      <c r="AHT136" s="90"/>
      <c r="AHU136" s="90"/>
      <c r="AHV136" s="90"/>
      <c r="AHW136" s="90"/>
      <c r="AHX136" s="90"/>
      <c r="AHY136" s="90"/>
      <c r="AHZ136" s="90"/>
      <c r="AIA136" s="90"/>
      <c r="AIB136" s="90"/>
      <c r="AIC136" s="90"/>
      <c r="AID136" s="90"/>
      <c r="AIE136" s="90"/>
      <c r="AIF136" s="90"/>
      <c r="AIG136" s="90"/>
      <c r="AIH136" s="90"/>
      <c r="AII136" s="90"/>
      <c r="AIJ136" s="90"/>
      <c r="AIK136" s="90"/>
      <c r="AIL136" s="90"/>
      <c r="AIM136" s="90"/>
      <c r="AIN136" s="90"/>
      <c r="AIO136" s="90"/>
      <c r="AIP136" s="90"/>
      <c r="AIQ136" s="90"/>
      <c r="AIR136" s="90"/>
      <c r="AIS136" s="90"/>
      <c r="AIT136" s="90"/>
      <c r="AIU136" s="90"/>
      <c r="AIV136" s="90"/>
      <c r="AIW136" s="90"/>
      <c r="AIX136" s="90"/>
      <c r="AIY136" s="90"/>
      <c r="AIZ136" s="90"/>
      <c r="AJA136" s="90"/>
      <c r="AJB136" s="90"/>
      <c r="AJC136" s="90"/>
      <c r="AJD136" s="90"/>
      <c r="AJE136" s="90"/>
      <c r="AJF136" s="90"/>
      <c r="AJG136" s="90"/>
      <c r="AJH136" s="90"/>
      <c r="AJI136" s="90"/>
      <c r="AJJ136" s="90"/>
      <c r="AJK136" s="90"/>
      <c r="AJL136" s="90"/>
      <c r="AJM136" s="90"/>
      <c r="AJN136" s="90"/>
      <c r="AJO136" s="90"/>
      <c r="AJP136" s="90"/>
      <c r="AJQ136" s="90"/>
      <c r="AJR136" s="90"/>
      <c r="AJS136" s="90"/>
      <c r="AJT136" s="90"/>
      <c r="AJU136" s="90"/>
      <c r="AJV136" s="90"/>
      <c r="AJW136" s="90"/>
      <c r="AJX136" s="90"/>
      <c r="AJY136" s="90"/>
      <c r="AJZ136" s="90"/>
      <c r="AKA136" s="90"/>
      <c r="AKB136" s="90"/>
      <c r="AKC136" s="90"/>
      <c r="AKD136" s="90"/>
      <c r="AKE136" s="90"/>
      <c r="AKF136" s="90"/>
      <c r="AKG136" s="90"/>
      <c r="AKH136" s="90"/>
      <c r="AKI136" s="90"/>
      <c r="AKJ136" s="90"/>
      <c r="AKK136" s="90"/>
      <c r="AKL136" s="90"/>
      <c r="AKM136" s="90"/>
      <c r="AKN136" s="90"/>
      <c r="AKO136" s="90"/>
      <c r="AKP136" s="90"/>
      <c r="AKQ136" s="90"/>
      <c r="AKR136" s="90"/>
      <c r="AKS136" s="90"/>
      <c r="AKT136" s="90"/>
      <c r="AKU136" s="90"/>
      <c r="AKV136" s="90"/>
      <c r="AKW136" s="90"/>
      <c r="AKX136" s="90"/>
      <c r="AKY136" s="90"/>
      <c r="AKZ136" s="90"/>
      <c r="ALA136" s="90"/>
      <c r="ALB136" s="90"/>
      <c r="ALC136" s="90"/>
      <c r="ALD136" s="90"/>
      <c r="ALE136" s="90"/>
      <c r="ALF136" s="90"/>
      <c r="ALG136" s="90"/>
      <c r="ALH136" s="90"/>
      <c r="ALI136" s="90"/>
      <c r="ALJ136" s="90"/>
      <c r="ALK136" s="90"/>
      <c r="ALL136" s="90"/>
      <c r="ALM136" s="90"/>
      <c r="ALN136" s="90"/>
      <c r="ALO136" s="90"/>
      <c r="ALP136" s="90"/>
      <c r="ALQ136" s="90"/>
      <c r="ALR136" s="90"/>
      <c r="ALS136" s="90"/>
      <c r="ALT136" s="90"/>
      <c r="ALU136" s="90"/>
      <c r="ALV136" s="90"/>
      <c r="ALW136" s="90"/>
      <c r="ALX136" s="90"/>
      <c r="ALY136" s="90"/>
      <c r="ALZ136" s="90"/>
      <c r="AMA136" s="90"/>
      <c r="AMB136" s="90"/>
      <c r="AMC136" s="90"/>
    </row>
    <row r="137" spans="1:1017">
      <c r="A137" s="98" t="s">
        <v>48</v>
      </c>
      <c r="B137" s="90" t="str">
        <f t="shared" si="1159"/>
        <v xml:space="preserve">Kerang Hijau </v>
      </c>
      <c r="Q137" s="91">
        <f t="shared" si="1160"/>
        <v>0</v>
      </c>
      <c r="R137" s="91">
        <f t="shared" si="1161"/>
        <v>0</v>
      </c>
      <c r="AG137" s="91">
        <f t="shared" si="1162"/>
        <v>0</v>
      </c>
      <c r="AH137" s="91">
        <f t="shared" si="1163"/>
        <v>0</v>
      </c>
      <c r="AW137" s="91">
        <f t="shared" si="1164"/>
        <v>0</v>
      </c>
      <c r="AX137" s="91">
        <f t="shared" si="1165"/>
        <v>0</v>
      </c>
      <c r="BM137" s="91">
        <f t="shared" si="1166"/>
        <v>0</v>
      </c>
      <c r="BN137" s="91">
        <f t="shared" si="1167"/>
        <v>0</v>
      </c>
      <c r="CC137" s="91">
        <f t="shared" si="1168"/>
        <v>0</v>
      </c>
      <c r="CD137" s="91">
        <f t="shared" si="1169"/>
        <v>0</v>
      </c>
      <c r="CE137" s="98">
        <v>231117</v>
      </c>
      <c r="CF137" s="98">
        <v>1155587</v>
      </c>
      <c r="CS137" s="91">
        <f t="shared" si="1254"/>
        <v>231117</v>
      </c>
      <c r="CT137" s="91">
        <f t="shared" si="1255"/>
        <v>1155587</v>
      </c>
      <c r="DI137" s="91">
        <f t="shared" si="1172"/>
        <v>0</v>
      </c>
      <c r="DJ137" s="91">
        <f t="shared" si="1173"/>
        <v>0</v>
      </c>
      <c r="DY137" s="91">
        <f t="shared" si="1174"/>
        <v>0</v>
      </c>
      <c r="DZ137" s="91">
        <f t="shared" si="1175"/>
        <v>0</v>
      </c>
      <c r="EO137" s="91">
        <f t="shared" si="1176"/>
        <v>0</v>
      </c>
      <c r="EP137" s="91">
        <f t="shared" si="1177"/>
        <v>0</v>
      </c>
      <c r="FE137" s="91">
        <f t="shared" si="1178"/>
        <v>0</v>
      </c>
      <c r="FF137" s="91">
        <f t="shared" si="1179"/>
        <v>0</v>
      </c>
      <c r="FU137" s="91">
        <f t="shared" si="1180"/>
        <v>0</v>
      </c>
      <c r="FV137" s="91">
        <f t="shared" si="1181"/>
        <v>0</v>
      </c>
      <c r="GK137" s="91">
        <f t="shared" si="1182"/>
        <v>0</v>
      </c>
      <c r="GL137" s="91">
        <f t="shared" si="1183"/>
        <v>0</v>
      </c>
      <c r="HA137" s="91">
        <f t="shared" si="1184"/>
        <v>0</v>
      </c>
      <c r="HB137" s="91">
        <f t="shared" si="1185"/>
        <v>0</v>
      </c>
      <c r="HQ137" s="91">
        <f t="shared" si="1186"/>
        <v>0</v>
      </c>
      <c r="HR137" s="91">
        <f t="shared" si="1187"/>
        <v>0</v>
      </c>
      <c r="IG137" s="91">
        <f t="shared" si="1188"/>
        <v>0</v>
      </c>
      <c r="IH137" s="91">
        <f t="shared" si="1189"/>
        <v>0</v>
      </c>
      <c r="IW137" s="91">
        <f t="shared" si="1190"/>
        <v>0</v>
      </c>
      <c r="IX137" s="91">
        <f t="shared" si="1191"/>
        <v>0</v>
      </c>
      <c r="JM137" s="91">
        <f t="shared" si="1192"/>
        <v>0</v>
      </c>
      <c r="JN137" s="91">
        <f t="shared" si="1193"/>
        <v>0</v>
      </c>
      <c r="KC137" s="91">
        <f t="shared" si="1194"/>
        <v>0</v>
      </c>
      <c r="KD137" s="91">
        <f t="shared" si="1195"/>
        <v>0</v>
      </c>
      <c r="KS137" s="91">
        <f t="shared" si="1196"/>
        <v>0</v>
      </c>
      <c r="KT137" s="91">
        <f t="shared" si="1197"/>
        <v>0</v>
      </c>
      <c r="LI137" s="91">
        <f t="shared" si="1198"/>
        <v>0</v>
      </c>
      <c r="LJ137" s="91">
        <f t="shared" si="1199"/>
        <v>0</v>
      </c>
      <c r="LY137" s="91">
        <f t="shared" si="1200"/>
        <v>0</v>
      </c>
      <c r="LZ137" s="91">
        <f t="shared" si="1201"/>
        <v>0</v>
      </c>
      <c r="MO137" s="91">
        <f t="shared" si="1202"/>
        <v>0</v>
      </c>
      <c r="MP137" s="91">
        <f t="shared" si="1203"/>
        <v>0</v>
      </c>
      <c r="NE137" s="91">
        <f t="shared" si="1204"/>
        <v>0</v>
      </c>
      <c r="NF137" s="91">
        <f t="shared" si="1205"/>
        <v>0</v>
      </c>
      <c r="NU137" s="91">
        <f t="shared" si="1206"/>
        <v>0</v>
      </c>
      <c r="NV137" s="91">
        <f t="shared" si="1207"/>
        <v>0</v>
      </c>
      <c r="OK137" s="91">
        <f t="shared" si="1208"/>
        <v>0</v>
      </c>
      <c r="OL137" s="91">
        <f t="shared" si="1209"/>
        <v>0</v>
      </c>
      <c r="PA137" s="91">
        <f t="shared" si="1210"/>
        <v>0</v>
      </c>
      <c r="PB137" s="91">
        <f t="shared" si="1211"/>
        <v>0</v>
      </c>
      <c r="PQ137" s="91">
        <f t="shared" si="1212"/>
        <v>0</v>
      </c>
      <c r="PR137" s="91">
        <f t="shared" si="1213"/>
        <v>0</v>
      </c>
      <c r="QG137" s="91">
        <f t="shared" si="1214"/>
        <v>0</v>
      </c>
      <c r="QH137" s="91">
        <f t="shared" si="1215"/>
        <v>0</v>
      </c>
      <c r="QW137" s="91">
        <f t="shared" si="1216"/>
        <v>0</v>
      </c>
      <c r="QX137" s="91">
        <f t="shared" si="1217"/>
        <v>0</v>
      </c>
      <c r="RM137" s="91">
        <f t="shared" si="1218"/>
        <v>0</v>
      </c>
      <c r="RN137" s="91">
        <f t="shared" si="1219"/>
        <v>0</v>
      </c>
      <c r="SC137" s="91">
        <f t="shared" si="1220"/>
        <v>0</v>
      </c>
      <c r="SD137" s="91">
        <f t="shared" si="1221"/>
        <v>0</v>
      </c>
      <c r="SS137" s="91">
        <f t="shared" si="1222"/>
        <v>0</v>
      </c>
      <c r="ST137" s="91">
        <f t="shared" si="1223"/>
        <v>0</v>
      </c>
      <c r="TI137" s="91">
        <f t="shared" si="1224"/>
        <v>0</v>
      </c>
      <c r="TJ137" s="91">
        <f t="shared" si="1225"/>
        <v>0</v>
      </c>
      <c r="TY137" s="91">
        <f t="shared" si="1226"/>
        <v>0</v>
      </c>
      <c r="TZ137" s="91">
        <f t="shared" si="1227"/>
        <v>0</v>
      </c>
      <c r="UO137" s="91">
        <f t="shared" si="1228"/>
        <v>0</v>
      </c>
      <c r="UP137" s="91">
        <f t="shared" si="1229"/>
        <v>0</v>
      </c>
      <c r="VE137" s="91">
        <f t="shared" si="1230"/>
        <v>0</v>
      </c>
      <c r="VF137" s="91">
        <f t="shared" si="1231"/>
        <v>0</v>
      </c>
      <c r="VU137" s="91">
        <f t="shared" si="1232"/>
        <v>0</v>
      </c>
      <c r="VV137" s="91">
        <f t="shared" si="1233"/>
        <v>0</v>
      </c>
      <c r="WK137" s="91">
        <f t="shared" si="1234"/>
        <v>0</v>
      </c>
      <c r="WL137" s="91">
        <f t="shared" si="1235"/>
        <v>0</v>
      </c>
      <c r="WM137" s="89"/>
      <c r="WN137" s="87">
        <f t="shared" si="1236"/>
        <v>231117</v>
      </c>
      <c r="WO137" s="87">
        <f t="shared" si="1237"/>
        <v>1155587</v>
      </c>
      <c r="WP137" s="87">
        <f t="shared" si="1238"/>
        <v>0</v>
      </c>
      <c r="WQ137" s="87">
        <f t="shared" si="1239"/>
        <v>0</v>
      </c>
      <c r="WR137" s="87">
        <f t="shared" si="1240"/>
        <v>0</v>
      </c>
      <c r="WS137" s="87">
        <f t="shared" si="1241"/>
        <v>0</v>
      </c>
      <c r="WT137" s="87">
        <f t="shared" si="1242"/>
        <v>0</v>
      </c>
      <c r="WU137" s="87">
        <f t="shared" si="1243"/>
        <v>0</v>
      </c>
      <c r="WV137" s="87">
        <f t="shared" si="1244"/>
        <v>0</v>
      </c>
      <c r="WW137" s="87">
        <f t="shared" si="1245"/>
        <v>0</v>
      </c>
      <c r="WX137" s="87">
        <f t="shared" si="1246"/>
        <v>0</v>
      </c>
      <c r="WY137" s="87">
        <f t="shared" si="1247"/>
        <v>0</v>
      </c>
      <c r="WZ137" s="87">
        <f t="shared" si="1248"/>
        <v>0</v>
      </c>
      <c r="XA137" s="87">
        <f t="shared" si="1249"/>
        <v>0</v>
      </c>
      <c r="XB137" s="92">
        <f t="shared" si="1250"/>
        <v>231117</v>
      </c>
      <c r="XC137" s="92">
        <f t="shared" si="1251"/>
        <v>1155587</v>
      </c>
      <c r="XD137" s="89"/>
      <c r="XE137" s="92">
        <f t="shared" ref="XE137:XF137" si="1264">SUM(XB365,XB403,XB441)</f>
        <v>6470502.2353997882</v>
      </c>
      <c r="XF137" s="92">
        <f t="shared" si="1264"/>
        <v>22770499.971943468</v>
      </c>
      <c r="XG137" s="89"/>
      <c r="XH137" s="92"/>
      <c r="XI137" s="92"/>
      <c r="XJ137" s="89"/>
      <c r="XK137" s="87"/>
      <c r="XL137" s="87"/>
      <c r="XM137" s="87"/>
      <c r="XN137" s="87"/>
      <c r="XO137" s="87"/>
      <c r="XP137" s="87"/>
      <c r="XQ137" s="87"/>
      <c r="XR137" s="92">
        <f t="shared" ca="1" si="1252"/>
        <v>0</v>
      </c>
      <c r="XS137" s="89"/>
      <c r="XT137" s="87"/>
      <c r="XU137" s="87"/>
      <c r="XV137" s="87"/>
      <c r="XW137" s="87"/>
      <c r="XX137" s="87"/>
      <c r="XY137" s="87"/>
      <c r="XZ137" s="87"/>
      <c r="YA137" s="92">
        <f t="shared" ca="1" si="1253"/>
        <v>0</v>
      </c>
      <c r="YB137" s="90"/>
      <c r="YC137" s="90"/>
      <c r="YD137" s="90"/>
      <c r="YE137" s="90"/>
      <c r="YF137" s="90"/>
      <c r="YG137" s="90"/>
      <c r="YH137" s="90"/>
      <c r="YI137" s="90"/>
      <c r="YJ137" s="90"/>
      <c r="YK137" s="90"/>
      <c r="YL137" s="90"/>
      <c r="YM137" s="90"/>
      <c r="YN137" s="90"/>
      <c r="YO137" s="90"/>
      <c r="YP137" s="90"/>
      <c r="YQ137" s="90"/>
      <c r="YR137" s="90"/>
      <c r="YS137" s="90"/>
      <c r="YT137" s="90"/>
      <c r="YU137" s="90"/>
      <c r="YV137" s="90"/>
      <c r="YW137" s="90"/>
      <c r="YX137" s="90"/>
      <c r="YY137" s="90"/>
      <c r="YZ137" s="90"/>
      <c r="ZA137" s="90"/>
      <c r="ZB137" s="90"/>
      <c r="ZC137" s="90"/>
      <c r="ZD137" s="90"/>
      <c r="ZE137" s="90"/>
      <c r="ZF137" s="90"/>
      <c r="ZG137" s="90"/>
      <c r="ZH137" s="90"/>
      <c r="ZI137" s="90"/>
      <c r="ZJ137" s="90"/>
      <c r="ZK137" s="90"/>
      <c r="ZL137" s="90"/>
      <c r="ZM137" s="90"/>
      <c r="ZN137" s="90"/>
      <c r="ZO137" s="90"/>
      <c r="ZP137" s="90"/>
      <c r="ZQ137" s="90"/>
      <c r="ZR137" s="90"/>
      <c r="ZS137" s="90"/>
      <c r="ZT137" s="90"/>
      <c r="ZU137" s="90"/>
      <c r="ZV137" s="90"/>
      <c r="ZW137" s="90"/>
      <c r="ZX137" s="90"/>
      <c r="ZY137" s="90"/>
      <c r="ZZ137" s="90"/>
      <c r="AAA137" s="90"/>
      <c r="AAB137" s="90"/>
      <c r="AAC137" s="90"/>
      <c r="AAD137" s="90"/>
      <c r="AAE137" s="90"/>
      <c r="AAF137" s="90"/>
      <c r="AAG137" s="90"/>
      <c r="AAH137" s="90"/>
      <c r="AAI137" s="90"/>
      <c r="AAJ137" s="90"/>
      <c r="AAK137" s="90"/>
      <c r="AAL137" s="90"/>
      <c r="AAM137" s="90"/>
      <c r="AAN137" s="90"/>
      <c r="AAO137" s="90"/>
      <c r="AAP137" s="90"/>
      <c r="AAQ137" s="90"/>
      <c r="AAR137" s="90"/>
      <c r="AAS137" s="90"/>
      <c r="AAT137" s="90"/>
      <c r="AAU137" s="90"/>
      <c r="AAV137" s="90"/>
      <c r="AAW137" s="90"/>
      <c r="AAX137" s="90"/>
      <c r="AAY137" s="90"/>
      <c r="AAZ137" s="90"/>
      <c r="ABA137" s="90"/>
      <c r="ABB137" s="90"/>
      <c r="ABC137" s="90"/>
      <c r="ABD137" s="90"/>
      <c r="ABE137" s="90"/>
      <c r="ABF137" s="90"/>
      <c r="ABG137" s="90"/>
      <c r="ABH137" s="90"/>
      <c r="ABI137" s="90"/>
      <c r="ABJ137" s="90"/>
      <c r="ABK137" s="90"/>
      <c r="ABL137" s="90"/>
      <c r="ABM137" s="90"/>
      <c r="ABN137" s="90"/>
      <c r="ABO137" s="90"/>
      <c r="ABP137" s="90"/>
      <c r="ABQ137" s="90"/>
      <c r="ABR137" s="90"/>
      <c r="ABS137" s="90"/>
      <c r="ABT137" s="90"/>
      <c r="ABU137" s="90"/>
      <c r="ABV137" s="90"/>
      <c r="ABW137" s="90"/>
      <c r="ABX137" s="90"/>
      <c r="ABY137" s="90"/>
      <c r="ABZ137" s="90"/>
      <c r="ACA137" s="90"/>
      <c r="ACB137" s="90"/>
      <c r="ACC137" s="90"/>
      <c r="ACD137" s="90"/>
      <c r="ACE137" s="90"/>
      <c r="ACF137" s="90"/>
      <c r="ACG137" s="90"/>
      <c r="ACH137" s="90"/>
      <c r="ACI137" s="90"/>
      <c r="ACJ137" s="90"/>
      <c r="ACK137" s="90"/>
      <c r="ACL137" s="90"/>
      <c r="ACM137" s="90"/>
      <c r="ACN137" s="90"/>
      <c r="ACO137" s="90"/>
      <c r="ACP137" s="90"/>
      <c r="ACQ137" s="90"/>
      <c r="ACR137" s="90"/>
      <c r="ACS137" s="90"/>
      <c r="ACT137" s="90"/>
      <c r="ACU137" s="90"/>
      <c r="ACV137" s="90"/>
      <c r="ACW137" s="90"/>
      <c r="ACX137" s="90"/>
      <c r="ACY137" s="90"/>
      <c r="ACZ137" s="90"/>
      <c r="ADA137" s="90"/>
      <c r="ADB137" s="90"/>
      <c r="ADC137" s="90"/>
      <c r="ADD137" s="90"/>
      <c r="ADE137" s="90"/>
      <c r="ADF137" s="90"/>
      <c r="ADG137" s="90"/>
      <c r="ADH137" s="90"/>
      <c r="ADI137" s="90"/>
      <c r="ADJ137" s="90"/>
      <c r="ADK137" s="90"/>
      <c r="ADL137" s="90"/>
      <c r="ADM137" s="90"/>
      <c r="ADN137" s="90"/>
      <c r="ADO137" s="90"/>
      <c r="ADP137" s="90"/>
      <c r="ADQ137" s="90"/>
      <c r="ADR137" s="90"/>
      <c r="ADS137" s="90"/>
      <c r="ADT137" s="90"/>
      <c r="ADU137" s="90"/>
      <c r="ADV137" s="90"/>
      <c r="ADW137" s="90"/>
      <c r="ADX137" s="90"/>
      <c r="ADY137" s="90"/>
      <c r="ADZ137" s="90"/>
      <c r="AEA137" s="90"/>
      <c r="AEB137" s="90"/>
      <c r="AEC137" s="90"/>
      <c r="AED137" s="90"/>
      <c r="AEE137" s="90"/>
      <c r="AEF137" s="90"/>
      <c r="AEG137" s="90"/>
      <c r="AEH137" s="90"/>
      <c r="AEI137" s="90"/>
      <c r="AEJ137" s="90"/>
      <c r="AEK137" s="90"/>
      <c r="AEL137" s="90"/>
      <c r="AEM137" s="90"/>
      <c r="AEN137" s="90"/>
      <c r="AEO137" s="90"/>
      <c r="AEP137" s="90"/>
      <c r="AEQ137" s="90"/>
      <c r="AER137" s="90"/>
      <c r="AES137" s="90"/>
      <c r="AET137" s="90"/>
      <c r="AEU137" s="90"/>
      <c r="AEV137" s="90"/>
      <c r="AEW137" s="90"/>
      <c r="AEX137" s="90"/>
      <c r="AEY137" s="90"/>
      <c r="AEZ137" s="90"/>
      <c r="AFA137" s="90"/>
      <c r="AFB137" s="90"/>
      <c r="AFC137" s="90"/>
      <c r="AFD137" s="90"/>
      <c r="AFE137" s="90"/>
      <c r="AFF137" s="90"/>
      <c r="AFG137" s="90"/>
      <c r="AFH137" s="90"/>
      <c r="AFI137" s="90"/>
      <c r="AFJ137" s="90"/>
      <c r="AFK137" s="90"/>
      <c r="AFL137" s="90"/>
      <c r="AFM137" s="90"/>
      <c r="AFN137" s="90"/>
      <c r="AFO137" s="90"/>
      <c r="AFP137" s="90"/>
      <c r="AFQ137" s="90"/>
      <c r="AFR137" s="90"/>
      <c r="AFS137" s="90"/>
      <c r="AFT137" s="90"/>
      <c r="AFU137" s="90"/>
      <c r="AFV137" s="90"/>
      <c r="AFW137" s="90"/>
      <c r="AFX137" s="90"/>
      <c r="AFY137" s="90"/>
      <c r="AFZ137" s="90"/>
      <c r="AGA137" s="90"/>
      <c r="AGB137" s="90"/>
      <c r="AGC137" s="90"/>
      <c r="AGD137" s="90"/>
      <c r="AGE137" s="90"/>
      <c r="AGF137" s="90"/>
      <c r="AGG137" s="90"/>
      <c r="AGH137" s="90"/>
      <c r="AGI137" s="90"/>
      <c r="AGJ137" s="90"/>
      <c r="AGK137" s="90"/>
      <c r="AGL137" s="90"/>
      <c r="AGM137" s="90"/>
      <c r="AGN137" s="90"/>
      <c r="AGO137" s="90"/>
      <c r="AGP137" s="90"/>
      <c r="AGQ137" s="90"/>
      <c r="AGR137" s="90"/>
      <c r="AGS137" s="90"/>
      <c r="AGT137" s="90"/>
      <c r="AGU137" s="90"/>
      <c r="AGV137" s="90"/>
      <c r="AGW137" s="90"/>
      <c r="AGX137" s="90"/>
      <c r="AGY137" s="90"/>
      <c r="AGZ137" s="90"/>
      <c r="AHA137" s="90"/>
      <c r="AHB137" s="90"/>
      <c r="AHC137" s="90"/>
      <c r="AHD137" s="90"/>
      <c r="AHE137" s="90"/>
      <c r="AHF137" s="90"/>
      <c r="AHG137" s="90"/>
      <c r="AHH137" s="90"/>
      <c r="AHI137" s="90"/>
      <c r="AHJ137" s="90"/>
      <c r="AHK137" s="90"/>
      <c r="AHL137" s="90"/>
      <c r="AHM137" s="90"/>
      <c r="AHN137" s="90"/>
      <c r="AHO137" s="90"/>
      <c r="AHP137" s="90"/>
      <c r="AHQ137" s="90"/>
      <c r="AHR137" s="90"/>
      <c r="AHS137" s="90"/>
      <c r="AHT137" s="90"/>
      <c r="AHU137" s="90"/>
      <c r="AHV137" s="90"/>
      <c r="AHW137" s="90"/>
      <c r="AHX137" s="90"/>
      <c r="AHY137" s="90"/>
      <c r="AHZ137" s="90"/>
      <c r="AIA137" s="90"/>
      <c r="AIB137" s="90"/>
      <c r="AIC137" s="90"/>
      <c r="AID137" s="90"/>
      <c r="AIE137" s="90"/>
      <c r="AIF137" s="90"/>
      <c r="AIG137" s="90"/>
      <c r="AIH137" s="90"/>
      <c r="AII137" s="90"/>
      <c r="AIJ137" s="90"/>
      <c r="AIK137" s="90"/>
      <c r="AIL137" s="90"/>
      <c r="AIM137" s="90"/>
      <c r="AIN137" s="90"/>
      <c r="AIO137" s="90"/>
      <c r="AIP137" s="90"/>
      <c r="AIQ137" s="90"/>
      <c r="AIR137" s="90"/>
      <c r="AIS137" s="90"/>
      <c r="AIT137" s="90"/>
      <c r="AIU137" s="90"/>
      <c r="AIV137" s="90"/>
      <c r="AIW137" s="90"/>
      <c r="AIX137" s="90"/>
      <c r="AIY137" s="90"/>
      <c r="AIZ137" s="90"/>
      <c r="AJA137" s="90"/>
      <c r="AJB137" s="90"/>
      <c r="AJC137" s="90"/>
      <c r="AJD137" s="90"/>
      <c r="AJE137" s="90"/>
      <c r="AJF137" s="90"/>
      <c r="AJG137" s="90"/>
      <c r="AJH137" s="90"/>
      <c r="AJI137" s="90"/>
      <c r="AJJ137" s="90"/>
      <c r="AJK137" s="90"/>
      <c r="AJL137" s="90"/>
      <c r="AJM137" s="90"/>
      <c r="AJN137" s="90"/>
      <c r="AJO137" s="90"/>
      <c r="AJP137" s="90"/>
      <c r="AJQ137" s="90"/>
      <c r="AJR137" s="90"/>
      <c r="AJS137" s="90"/>
      <c r="AJT137" s="90"/>
      <c r="AJU137" s="90"/>
      <c r="AJV137" s="90"/>
      <c r="AJW137" s="90"/>
      <c r="AJX137" s="90"/>
      <c r="AJY137" s="90"/>
      <c r="AJZ137" s="90"/>
      <c r="AKA137" s="90"/>
      <c r="AKB137" s="90"/>
      <c r="AKC137" s="90"/>
      <c r="AKD137" s="90"/>
      <c r="AKE137" s="90"/>
      <c r="AKF137" s="90"/>
      <c r="AKG137" s="90"/>
      <c r="AKH137" s="90"/>
      <c r="AKI137" s="90"/>
      <c r="AKJ137" s="90"/>
      <c r="AKK137" s="90"/>
      <c r="AKL137" s="90"/>
      <c r="AKM137" s="90"/>
      <c r="AKN137" s="90"/>
      <c r="AKO137" s="90"/>
      <c r="AKP137" s="90"/>
      <c r="AKQ137" s="90"/>
      <c r="AKR137" s="90"/>
      <c r="AKS137" s="90"/>
      <c r="AKT137" s="90"/>
      <c r="AKU137" s="90"/>
      <c r="AKV137" s="90"/>
      <c r="AKW137" s="90"/>
      <c r="AKX137" s="90"/>
      <c r="AKY137" s="90"/>
      <c r="AKZ137" s="90"/>
      <c r="ALA137" s="90"/>
      <c r="ALB137" s="90"/>
      <c r="ALC137" s="90"/>
      <c r="ALD137" s="90"/>
      <c r="ALE137" s="90"/>
      <c r="ALF137" s="90"/>
      <c r="ALG137" s="90"/>
      <c r="ALH137" s="90"/>
      <c r="ALI137" s="90"/>
      <c r="ALJ137" s="90"/>
      <c r="ALK137" s="90"/>
      <c r="ALL137" s="90"/>
      <c r="ALM137" s="90"/>
      <c r="ALN137" s="90"/>
      <c r="ALO137" s="90"/>
      <c r="ALP137" s="90"/>
      <c r="ALQ137" s="90"/>
      <c r="ALR137" s="90"/>
      <c r="ALS137" s="90"/>
      <c r="ALT137" s="90"/>
      <c r="ALU137" s="90"/>
      <c r="ALV137" s="90"/>
      <c r="ALW137" s="90"/>
      <c r="ALX137" s="90"/>
      <c r="ALY137" s="90"/>
      <c r="ALZ137" s="90"/>
      <c r="AMA137" s="90"/>
      <c r="AMB137" s="90"/>
      <c r="AMC137" s="90"/>
    </row>
    <row r="138" spans="1:1017">
      <c r="A138" s="98" t="s">
        <v>48</v>
      </c>
      <c r="B138" s="90" t="str">
        <f t="shared" si="1159"/>
        <v>Kerapu Cantang</v>
      </c>
      <c r="Q138" s="91">
        <f t="shared" si="1160"/>
        <v>0</v>
      </c>
      <c r="R138" s="91">
        <f t="shared" si="1161"/>
        <v>0</v>
      </c>
      <c r="S138" s="98">
        <v>7300</v>
      </c>
      <c r="T138" s="98">
        <v>620500</v>
      </c>
      <c r="U138" s="98">
        <v>3415</v>
      </c>
      <c r="V138" s="98">
        <v>324425</v>
      </c>
      <c r="AG138" s="91">
        <f t="shared" si="1162"/>
        <v>10715</v>
      </c>
      <c r="AH138" s="91">
        <f t="shared" si="1163"/>
        <v>944925</v>
      </c>
      <c r="AW138" s="91">
        <f t="shared" si="1164"/>
        <v>0</v>
      </c>
      <c r="AX138" s="91">
        <f t="shared" si="1165"/>
        <v>0</v>
      </c>
      <c r="BM138" s="91">
        <f t="shared" si="1166"/>
        <v>0</v>
      </c>
      <c r="BN138" s="91">
        <f t="shared" si="1167"/>
        <v>0</v>
      </c>
      <c r="CC138" s="91">
        <f t="shared" si="1168"/>
        <v>0</v>
      </c>
      <c r="CD138" s="91">
        <f t="shared" si="1169"/>
        <v>0</v>
      </c>
      <c r="CG138" s="98">
        <v>12037</v>
      </c>
      <c r="CH138" s="98">
        <v>1685174</v>
      </c>
      <c r="CS138" s="91">
        <f t="shared" si="1254"/>
        <v>12037</v>
      </c>
      <c r="CT138" s="91">
        <f t="shared" si="1255"/>
        <v>1685174</v>
      </c>
      <c r="DI138" s="91">
        <f t="shared" si="1172"/>
        <v>0</v>
      </c>
      <c r="DJ138" s="91">
        <f t="shared" si="1173"/>
        <v>0</v>
      </c>
      <c r="DY138" s="91">
        <f t="shared" si="1174"/>
        <v>0</v>
      </c>
      <c r="DZ138" s="91">
        <f t="shared" si="1175"/>
        <v>0</v>
      </c>
      <c r="EO138" s="91">
        <f t="shared" si="1176"/>
        <v>0</v>
      </c>
      <c r="EP138" s="91">
        <f t="shared" si="1177"/>
        <v>0</v>
      </c>
      <c r="FE138" s="91">
        <f t="shared" si="1178"/>
        <v>0</v>
      </c>
      <c r="FF138" s="91">
        <f t="shared" si="1179"/>
        <v>0</v>
      </c>
      <c r="FU138" s="91">
        <f t="shared" si="1180"/>
        <v>0</v>
      </c>
      <c r="FV138" s="91">
        <f t="shared" si="1181"/>
        <v>0</v>
      </c>
      <c r="GK138" s="91">
        <f t="shared" si="1182"/>
        <v>0</v>
      </c>
      <c r="GL138" s="91">
        <f t="shared" si="1183"/>
        <v>0</v>
      </c>
      <c r="HA138" s="91">
        <f t="shared" si="1184"/>
        <v>0</v>
      </c>
      <c r="HB138" s="91">
        <f t="shared" si="1185"/>
        <v>0</v>
      </c>
      <c r="HQ138" s="91">
        <f t="shared" si="1186"/>
        <v>0</v>
      </c>
      <c r="HR138" s="91">
        <f t="shared" si="1187"/>
        <v>0</v>
      </c>
      <c r="IG138" s="91">
        <f t="shared" si="1188"/>
        <v>0</v>
      </c>
      <c r="IH138" s="91">
        <f t="shared" si="1189"/>
        <v>0</v>
      </c>
      <c r="IW138" s="91">
        <f t="shared" si="1190"/>
        <v>0</v>
      </c>
      <c r="IX138" s="91">
        <f t="shared" si="1191"/>
        <v>0</v>
      </c>
      <c r="JM138" s="91">
        <f t="shared" si="1192"/>
        <v>0</v>
      </c>
      <c r="JN138" s="91">
        <f t="shared" si="1193"/>
        <v>0</v>
      </c>
      <c r="KC138" s="91">
        <f t="shared" si="1194"/>
        <v>0</v>
      </c>
      <c r="KD138" s="91">
        <f t="shared" si="1195"/>
        <v>0</v>
      </c>
      <c r="KS138" s="91">
        <f t="shared" si="1196"/>
        <v>0</v>
      </c>
      <c r="KT138" s="91">
        <f t="shared" si="1197"/>
        <v>0</v>
      </c>
      <c r="LI138" s="91">
        <f t="shared" si="1198"/>
        <v>0</v>
      </c>
      <c r="LJ138" s="91">
        <f t="shared" si="1199"/>
        <v>0</v>
      </c>
      <c r="LY138" s="91">
        <f t="shared" si="1200"/>
        <v>0</v>
      </c>
      <c r="LZ138" s="91">
        <f t="shared" si="1201"/>
        <v>0</v>
      </c>
      <c r="MA138" s="98">
        <v>32000</v>
      </c>
      <c r="MB138" s="98">
        <v>2720000</v>
      </c>
      <c r="MO138" s="91">
        <f t="shared" si="1202"/>
        <v>32000</v>
      </c>
      <c r="MP138" s="91">
        <f t="shared" si="1203"/>
        <v>2720000</v>
      </c>
      <c r="NE138" s="91">
        <f t="shared" si="1204"/>
        <v>0</v>
      </c>
      <c r="NF138" s="91">
        <f t="shared" si="1205"/>
        <v>0</v>
      </c>
      <c r="NU138" s="91">
        <f t="shared" si="1206"/>
        <v>0</v>
      </c>
      <c r="NV138" s="91">
        <f t="shared" si="1207"/>
        <v>0</v>
      </c>
      <c r="NW138" s="98">
        <v>400</v>
      </c>
      <c r="NX138" s="98">
        <v>40000</v>
      </c>
      <c r="OK138" s="91">
        <f t="shared" si="1208"/>
        <v>400</v>
      </c>
      <c r="OL138" s="91">
        <f t="shared" si="1209"/>
        <v>40000</v>
      </c>
      <c r="PA138" s="91">
        <f t="shared" si="1210"/>
        <v>0</v>
      </c>
      <c r="PB138" s="91">
        <f t="shared" si="1211"/>
        <v>0</v>
      </c>
      <c r="PC138" s="98">
        <v>197</v>
      </c>
      <c r="PD138" s="98">
        <v>12805</v>
      </c>
      <c r="PQ138" s="91">
        <f t="shared" si="1212"/>
        <v>197</v>
      </c>
      <c r="PR138" s="91">
        <f t="shared" si="1213"/>
        <v>12805</v>
      </c>
      <c r="PU138" s="98">
        <v>53700</v>
      </c>
      <c r="PV138" s="98">
        <v>5907000</v>
      </c>
      <c r="QG138" s="91">
        <f t="shared" si="1214"/>
        <v>53700</v>
      </c>
      <c r="QH138" s="91">
        <f t="shared" si="1215"/>
        <v>5907000</v>
      </c>
      <c r="QW138" s="91">
        <f t="shared" si="1216"/>
        <v>0</v>
      </c>
      <c r="QX138" s="91">
        <f t="shared" si="1217"/>
        <v>0</v>
      </c>
      <c r="RM138" s="91">
        <f t="shared" si="1218"/>
        <v>0</v>
      </c>
      <c r="RN138" s="91">
        <f t="shared" si="1219"/>
        <v>0</v>
      </c>
      <c r="SC138" s="91">
        <f t="shared" si="1220"/>
        <v>0</v>
      </c>
      <c r="SD138" s="91">
        <f t="shared" si="1221"/>
        <v>0</v>
      </c>
      <c r="SS138" s="91">
        <f t="shared" si="1222"/>
        <v>0</v>
      </c>
      <c r="ST138" s="91">
        <f t="shared" si="1223"/>
        <v>0</v>
      </c>
      <c r="TI138" s="91">
        <f t="shared" si="1224"/>
        <v>0</v>
      </c>
      <c r="TJ138" s="91">
        <f t="shared" si="1225"/>
        <v>0</v>
      </c>
      <c r="TY138" s="91">
        <f t="shared" si="1226"/>
        <v>0</v>
      </c>
      <c r="TZ138" s="91">
        <f t="shared" si="1227"/>
        <v>0</v>
      </c>
      <c r="UO138" s="91">
        <f t="shared" si="1228"/>
        <v>0</v>
      </c>
      <c r="UP138" s="91">
        <f t="shared" si="1229"/>
        <v>0</v>
      </c>
      <c r="VE138" s="91">
        <f t="shared" si="1230"/>
        <v>0</v>
      </c>
      <c r="VF138" s="91">
        <f t="shared" si="1231"/>
        <v>0</v>
      </c>
      <c r="VU138" s="91">
        <f t="shared" si="1232"/>
        <v>0</v>
      </c>
      <c r="VV138" s="91">
        <f t="shared" si="1233"/>
        <v>0</v>
      </c>
      <c r="WK138" s="91">
        <f t="shared" si="1234"/>
        <v>0</v>
      </c>
      <c r="WL138" s="91">
        <f t="shared" si="1235"/>
        <v>0</v>
      </c>
      <c r="WM138" s="89"/>
      <c r="WN138" s="87">
        <f t="shared" si="1236"/>
        <v>39897</v>
      </c>
      <c r="WO138" s="87">
        <f t="shared" si="1237"/>
        <v>3393305</v>
      </c>
      <c r="WP138" s="87">
        <f t="shared" si="1238"/>
        <v>69152</v>
      </c>
      <c r="WQ138" s="87">
        <f t="shared" si="1239"/>
        <v>7916599</v>
      </c>
      <c r="WR138" s="87">
        <f t="shared" si="1240"/>
        <v>0</v>
      </c>
      <c r="WS138" s="87">
        <f t="shared" si="1241"/>
        <v>0</v>
      </c>
      <c r="WT138" s="87">
        <f t="shared" si="1242"/>
        <v>0</v>
      </c>
      <c r="WU138" s="87">
        <f t="shared" si="1243"/>
        <v>0</v>
      </c>
      <c r="WV138" s="87">
        <f t="shared" si="1244"/>
        <v>0</v>
      </c>
      <c r="WW138" s="87">
        <f t="shared" si="1245"/>
        <v>0</v>
      </c>
      <c r="WX138" s="87">
        <f t="shared" si="1246"/>
        <v>0</v>
      </c>
      <c r="WY138" s="87">
        <f t="shared" si="1247"/>
        <v>0</v>
      </c>
      <c r="WZ138" s="87">
        <f t="shared" si="1248"/>
        <v>0</v>
      </c>
      <c r="XA138" s="87">
        <f t="shared" si="1249"/>
        <v>0</v>
      </c>
      <c r="XB138" s="92">
        <f t="shared" si="1250"/>
        <v>109049</v>
      </c>
      <c r="XC138" s="92">
        <f t="shared" si="1251"/>
        <v>11309904</v>
      </c>
      <c r="XD138" s="89"/>
      <c r="XE138" s="92">
        <f t="shared" ref="XE138:XF138" si="1265">SUM(XB366,XB404,XB442)</f>
        <v>573826.59101832123</v>
      </c>
      <c r="XF138" s="92">
        <f t="shared" si="1265"/>
        <v>53135503.967106938</v>
      </c>
      <c r="XG138" s="89"/>
      <c r="XH138" s="92"/>
      <c r="XI138" s="92"/>
      <c r="XJ138" s="89"/>
      <c r="XK138" s="87"/>
      <c r="XL138" s="87"/>
      <c r="XM138" s="87"/>
      <c r="XN138" s="87"/>
      <c r="XO138" s="87"/>
      <c r="XP138" s="87"/>
      <c r="XQ138" s="87"/>
      <c r="XR138" s="92">
        <f t="shared" ca="1" si="1252"/>
        <v>0</v>
      </c>
      <c r="XS138" s="89"/>
      <c r="XT138" s="87"/>
      <c r="XU138" s="87"/>
      <c r="XV138" s="87"/>
      <c r="XW138" s="87"/>
      <c r="XX138" s="87"/>
      <c r="XY138" s="87"/>
      <c r="XZ138" s="87"/>
      <c r="YA138" s="92">
        <f t="shared" ca="1" si="1253"/>
        <v>0</v>
      </c>
      <c r="YB138" s="90"/>
      <c r="YC138" s="90"/>
      <c r="YD138" s="90"/>
      <c r="YE138" s="90"/>
      <c r="YF138" s="90"/>
      <c r="YG138" s="90"/>
      <c r="YH138" s="90"/>
      <c r="YI138" s="90"/>
      <c r="YJ138" s="90"/>
      <c r="YK138" s="90"/>
      <c r="YL138" s="90"/>
      <c r="YM138" s="90"/>
      <c r="YN138" s="90"/>
      <c r="YO138" s="90"/>
      <c r="YP138" s="90"/>
      <c r="YQ138" s="90"/>
      <c r="YR138" s="90"/>
      <c r="YS138" s="90"/>
      <c r="YT138" s="90"/>
      <c r="YU138" s="90"/>
      <c r="YV138" s="90"/>
      <c r="YW138" s="90"/>
      <c r="YX138" s="90"/>
      <c r="YY138" s="90"/>
      <c r="YZ138" s="90"/>
      <c r="ZA138" s="90"/>
      <c r="ZB138" s="90"/>
      <c r="ZC138" s="90"/>
      <c r="ZD138" s="90"/>
      <c r="ZE138" s="90"/>
      <c r="ZF138" s="90"/>
      <c r="ZG138" s="90"/>
      <c r="ZH138" s="90"/>
      <c r="ZI138" s="90"/>
      <c r="ZJ138" s="90"/>
      <c r="ZK138" s="90"/>
      <c r="ZL138" s="90"/>
      <c r="ZM138" s="90"/>
      <c r="ZN138" s="90"/>
      <c r="ZO138" s="90"/>
      <c r="ZP138" s="90"/>
      <c r="ZQ138" s="90"/>
      <c r="ZR138" s="90"/>
      <c r="ZS138" s="90"/>
      <c r="ZT138" s="90"/>
      <c r="ZU138" s="90"/>
      <c r="ZV138" s="90"/>
      <c r="ZW138" s="90"/>
      <c r="ZX138" s="90"/>
      <c r="ZY138" s="90"/>
      <c r="ZZ138" s="90"/>
      <c r="AAA138" s="90"/>
      <c r="AAB138" s="90"/>
      <c r="AAC138" s="90"/>
      <c r="AAD138" s="90"/>
      <c r="AAE138" s="90"/>
      <c r="AAF138" s="90"/>
      <c r="AAG138" s="90"/>
      <c r="AAH138" s="90"/>
      <c r="AAI138" s="90"/>
      <c r="AAJ138" s="90"/>
      <c r="AAK138" s="90"/>
      <c r="AAL138" s="90"/>
      <c r="AAM138" s="90"/>
      <c r="AAN138" s="90"/>
      <c r="AAO138" s="90"/>
      <c r="AAP138" s="90"/>
      <c r="AAQ138" s="90"/>
      <c r="AAR138" s="90"/>
      <c r="AAS138" s="90"/>
      <c r="AAT138" s="90"/>
      <c r="AAU138" s="90"/>
      <c r="AAV138" s="90"/>
      <c r="AAW138" s="90"/>
      <c r="AAX138" s="90"/>
      <c r="AAY138" s="90"/>
      <c r="AAZ138" s="90"/>
      <c r="ABA138" s="90"/>
      <c r="ABB138" s="90"/>
      <c r="ABC138" s="90"/>
      <c r="ABD138" s="90"/>
      <c r="ABE138" s="90"/>
      <c r="ABF138" s="90"/>
      <c r="ABG138" s="90"/>
      <c r="ABH138" s="90"/>
      <c r="ABI138" s="90"/>
      <c r="ABJ138" s="90"/>
      <c r="ABK138" s="90"/>
      <c r="ABL138" s="90"/>
      <c r="ABM138" s="90"/>
      <c r="ABN138" s="90"/>
      <c r="ABO138" s="90"/>
      <c r="ABP138" s="90"/>
      <c r="ABQ138" s="90"/>
      <c r="ABR138" s="90"/>
      <c r="ABS138" s="90"/>
      <c r="ABT138" s="90"/>
      <c r="ABU138" s="90"/>
      <c r="ABV138" s="90"/>
      <c r="ABW138" s="90"/>
      <c r="ABX138" s="90"/>
      <c r="ABY138" s="90"/>
      <c r="ABZ138" s="90"/>
      <c r="ACA138" s="90"/>
      <c r="ACB138" s="90"/>
      <c r="ACC138" s="90"/>
      <c r="ACD138" s="90"/>
      <c r="ACE138" s="90"/>
      <c r="ACF138" s="90"/>
      <c r="ACG138" s="90"/>
      <c r="ACH138" s="90"/>
      <c r="ACI138" s="90"/>
      <c r="ACJ138" s="90"/>
      <c r="ACK138" s="90"/>
      <c r="ACL138" s="90"/>
      <c r="ACM138" s="90"/>
      <c r="ACN138" s="90"/>
      <c r="ACO138" s="90"/>
      <c r="ACP138" s="90"/>
      <c r="ACQ138" s="90"/>
      <c r="ACR138" s="90"/>
      <c r="ACS138" s="90"/>
      <c r="ACT138" s="90"/>
      <c r="ACU138" s="90"/>
      <c r="ACV138" s="90"/>
      <c r="ACW138" s="90"/>
      <c r="ACX138" s="90"/>
      <c r="ACY138" s="90"/>
      <c r="ACZ138" s="90"/>
      <c r="ADA138" s="90"/>
      <c r="ADB138" s="90"/>
      <c r="ADC138" s="90"/>
      <c r="ADD138" s="90"/>
      <c r="ADE138" s="90"/>
      <c r="ADF138" s="90"/>
      <c r="ADG138" s="90"/>
      <c r="ADH138" s="90"/>
      <c r="ADI138" s="90"/>
      <c r="ADJ138" s="90"/>
      <c r="ADK138" s="90"/>
      <c r="ADL138" s="90"/>
      <c r="ADM138" s="90"/>
      <c r="ADN138" s="90"/>
      <c r="ADO138" s="90"/>
      <c r="ADP138" s="90"/>
      <c r="ADQ138" s="90"/>
      <c r="ADR138" s="90"/>
      <c r="ADS138" s="90"/>
      <c r="ADT138" s="90"/>
      <c r="ADU138" s="90"/>
      <c r="ADV138" s="90"/>
      <c r="ADW138" s="90"/>
      <c r="ADX138" s="90"/>
      <c r="ADY138" s="90"/>
      <c r="ADZ138" s="90"/>
      <c r="AEA138" s="90"/>
      <c r="AEB138" s="90"/>
      <c r="AEC138" s="90"/>
      <c r="AED138" s="90"/>
      <c r="AEE138" s="90"/>
      <c r="AEF138" s="90"/>
      <c r="AEG138" s="90"/>
      <c r="AEH138" s="90"/>
      <c r="AEI138" s="90"/>
      <c r="AEJ138" s="90"/>
      <c r="AEK138" s="90"/>
      <c r="AEL138" s="90"/>
      <c r="AEM138" s="90"/>
      <c r="AEN138" s="90"/>
      <c r="AEO138" s="90"/>
      <c r="AEP138" s="90"/>
      <c r="AEQ138" s="90"/>
      <c r="AER138" s="90"/>
      <c r="AES138" s="90"/>
      <c r="AET138" s="90"/>
      <c r="AEU138" s="90"/>
      <c r="AEV138" s="90"/>
      <c r="AEW138" s="90"/>
      <c r="AEX138" s="90"/>
      <c r="AEY138" s="90"/>
      <c r="AEZ138" s="90"/>
      <c r="AFA138" s="90"/>
      <c r="AFB138" s="90"/>
      <c r="AFC138" s="90"/>
      <c r="AFD138" s="90"/>
      <c r="AFE138" s="90"/>
      <c r="AFF138" s="90"/>
      <c r="AFG138" s="90"/>
      <c r="AFH138" s="90"/>
      <c r="AFI138" s="90"/>
      <c r="AFJ138" s="90"/>
      <c r="AFK138" s="90"/>
      <c r="AFL138" s="90"/>
      <c r="AFM138" s="90"/>
      <c r="AFN138" s="90"/>
      <c r="AFO138" s="90"/>
      <c r="AFP138" s="90"/>
      <c r="AFQ138" s="90"/>
      <c r="AFR138" s="90"/>
      <c r="AFS138" s="90"/>
      <c r="AFT138" s="90"/>
      <c r="AFU138" s="90"/>
      <c r="AFV138" s="90"/>
      <c r="AFW138" s="90"/>
      <c r="AFX138" s="90"/>
      <c r="AFY138" s="90"/>
      <c r="AFZ138" s="90"/>
      <c r="AGA138" s="90"/>
      <c r="AGB138" s="90"/>
      <c r="AGC138" s="90"/>
      <c r="AGD138" s="90"/>
      <c r="AGE138" s="90"/>
      <c r="AGF138" s="90"/>
      <c r="AGG138" s="90"/>
      <c r="AGH138" s="90"/>
      <c r="AGI138" s="90"/>
      <c r="AGJ138" s="90"/>
      <c r="AGK138" s="90"/>
      <c r="AGL138" s="90"/>
      <c r="AGM138" s="90"/>
      <c r="AGN138" s="90"/>
      <c r="AGO138" s="90"/>
      <c r="AGP138" s="90"/>
      <c r="AGQ138" s="90"/>
      <c r="AGR138" s="90"/>
      <c r="AGS138" s="90"/>
      <c r="AGT138" s="90"/>
      <c r="AGU138" s="90"/>
      <c r="AGV138" s="90"/>
      <c r="AGW138" s="90"/>
      <c r="AGX138" s="90"/>
      <c r="AGY138" s="90"/>
      <c r="AGZ138" s="90"/>
      <c r="AHA138" s="90"/>
      <c r="AHB138" s="90"/>
      <c r="AHC138" s="90"/>
      <c r="AHD138" s="90"/>
      <c r="AHE138" s="90"/>
      <c r="AHF138" s="90"/>
      <c r="AHG138" s="90"/>
      <c r="AHH138" s="90"/>
      <c r="AHI138" s="90"/>
      <c r="AHJ138" s="90"/>
      <c r="AHK138" s="90"/>
      <c r="AHL138" s="90"/>
      <c r="AHM138" s="90"/>
      <c r="AHN138" s="90"/>
      <c r="AHO138" s="90"/>
      <c r="AHP138" s="90"/>
      <c r="AHQ138" s="90"/>
      <c r="AHR138" s="90"/>
      <c r="AHS138" s="90"/>
      <c r="AHT138" s="90"/>
      <c r="AHU138" s="90"/>
      <c r="AHV138" s="90"/>
      <c r="AHW138" s="90"/>
      <c r="AHX138" s="90"/>
      <c r="AHY138" s="90"/>
      <c r="AHZ138" s="90"/>
      <c r="AIA138" s="90"/>
      <c r="AIB138" s="90"/>
      <c r="AIC138" s="90"/>
      <c r="AID138" s="90"/>
      <c r="AIE138" s="90"/>
      <c r="AIF138" s="90"/>
      <c r="AIG138" s="90"/>
      <c r="AIH138" s="90"/>
      <c r="AII138" s="90"/>
      <c r="AIJ138" s="90"/>
      <c r="AIK138" s="90"/>
      <c r="AIL138" s="90"/>
      <c r="AIM138" s="90"/>
      <c r="AIN138" s="90"/>
      <c r="AIO138" s="90"/>
      <c r="AIP138" s="90"/>
      <c r="AIQ138" s="90"/>
      <c r="AIR138" s="90"/>
      <c r="AIS138" s="90"/>
      <c r="AIT138" s="90"/>
      <c r="AIU138" s="90"/>
      <c r="AIV138" s="90"/>
      <c r="AIW138" s="90"/>
      <c r="AIX138" s="90"/>
      <c r="AIY138" s="90"/>
      <c r="AIZ138" s="90"/>
      <c r="AJA138" s="90"/>
      <c r="AJB138" s="90"/>
      <c r="AJC138" s="90"/>
      <c r="AJD138" s="90"/>
      <c r="AJE138" s="90"/>
      <c r="AJF138" s="90"/>
      <c r="AJG138" s="90"/>
      <c r="AJH138" s="90"/>
      <c r="AJI138" s="90"/>
      <c r="AJJ138" s="90"/>
      <c r="AJK138" s="90"/>
      <c r="AJL138" s="90"/>
      <c r="AJM138" s="90"/>
      <c r="AJN138" s="90"/>
      <c r="AJO138" s="90"/>
      <c r="AJP138" s="90"/>
      <c r="AJQ138" s="90"/>
      <c r="AJR138" s="90"/>
      <c r="AJS138" s="90"/>
      <c r="AJT138" s="90"/>
      <c r="AJU138" s="90"/>
      <c r="AJV138" s="90"/>
      <c r="AJW138" s="90"/>
      <c r="AJX138" s="90"/>
      <c r="AJY138" s="90"/>
      <c r="AJZ138" s="90"/>
      <c r="AKA138" s="90"/>
      <c r="AKB138" s="90"/>
      <c r="AKC138" s="90"/>
      <c r="AKD138" s="90"/>
      <c r="AKE138" s="90"/>
      <c r="AKF138" s="90"/>
      <c r="AKG138" s="90"/>
      <c r="AKH138" s="90"/>
      <c r="AKI138" s="90"/>
      <c r="AKJ138" s="90"/>
      <c r="AKK138" s="90"/>
      <c r="AKL138" s="90"/>
      <c r="AKM138" s="90"/>
      <c r="AKN138" s="90"/>
      <c r="AKO138" s="90"/>
      <c r="AKP138" s="90"/>
      <c r="AKQ138" s="90"/>
      <c r="AKR138" s="90"/>
      <c r="AKS138" s="90"/>
      <c r="AKT138" s="90"/>
      <c r="AKU138" s="90"/>
      <c r="AKV138" s="90"/>
      <c r="AKW138" s="90"/>
      <c r="AKX138" s="90"/>
      <c r="AKY138" s="90"/>
      <c r="AKZ138" s="90"/>
      <c r="ALA138" s="90"/>
      <c r="ALB138" s="90"/>
      <c r="ALC138" s="90"/>
      <c r="ALD138" s="90"/>
      <c r="ALE138" s="90"/>
      <c r="ALF138" s="90"/>
      <c r="ALG138" s="90"/>
      <c r="ALH138" s="90"/>
      <c r="ALI138" s="90"/>
      <c r="ALJ138" s="90"/>
      <c r="ALK138" s="90"/>
      <c r="ALL138" s="90"/>
      <c r="ALM138" s="90"/>
      <c r="ALN138" s="90"/>
      <c r="ALO138" s="90"/>
      <c r="ALP138" s="90"/>
      <c r="ALQ138" s="90"/>
      <c r="ALR138" s="90"/>
      <c r="ALS138" s="90"/>
      <c r="ALT138" s="90"/>
      <c r="ALU138" s="90"/>
      <c r="ALV138" s="90"/>
      <c r="ALW138" s="90"/>
      <c r="ALX138" s="90"/>
      <c r="ALY138" s="90"/>
      <c r="ALZ138" s="90"/>
      <c r="AMA138" s="90"/>
      <c r="AMB138" s="90"/>
      <c r="AMC138" s="90"/>
    </row>
    <row r="139" spans="1:1017">
      <c r="A139" s="98" t="s">
        <v>48</v>
      </c>
      <c r="B139" s="90" t="str">
        <f t="shared" si="1159"/>
        <v>Kerapu Macan</v>
      </c>
      <c r="Q139" s="91">
        <f t="shared" si="1160"/>
        <v>0</v>
      </c>
      <c r="R139" s="91">
        <f t="shared" si="1161"/>
        <v>0</v>
      </c>
      <c r="AG139" s="91">
        <f t="shared" si="1162"/>
        <v>0</v>
      </c>
      <c r="AH139" s="91">
        <f t="shared" si="1163"/>
        <v>0</v>
      </c>
      <c r="AW139" s="91">
        <f t="shared" si="1164"/>
        <v>0</v>
      </c>
      <c r="AX139" s="91">
        <f t="shared" si="1165"/>
        <v>0</v>
      </c>
      <c r="BM139" s="91">
        <f t="shared" si="1166"/>
        <v>0</v>
      </c>
      <c r="BN139" s="91">
        <f t="shared" si="1167"/>
        <v>0</v>
      </c>
      <c r="CC139" s="91">
        <f t="shared" si="1168"/>
        <v>0</v>
      </c>
      <c r="CD139" s="91">
        <f t="shared" si="1169"/>
        <v>0</v>
      </c>
      <c r="CS139" s="91">
        <f t="shared" si="1254"/>
        <v>0</v>
      </c>
      <c r="CT139" s="91">
        <f t="shared" si="1255"/>
        <v>0</v>
      </c>
      <c r="DI139" s="91">
        <f t="shared" si="1172"/>
        <v>0</v>
      </c>
      <c r="DJ139" s="91">
        <f t="shared" si="1173"/>
        <v>0</v>
      </c>
      <c r="DY139" s="91">
        <f t="shared" si="1174"/>
        <v>0</v>
      </c>
      <c r="DZ139" s="91">
        <f t="shared" si="1175"/>
        <v>0</v>
      </c>
      <c r="EO139" s="91">
        <f t="shared" si="1176"/>
        <v>0</v>
      </c>
      <c r="EP139" s="91">
        <f t="shared" si="1177"/>
        <v>0</v>
      </c>
      <c r="ES139" s="98">
        <v>205029</v>
      </c>
      <c r="ET139" s="98">
        <v>21528045</v>
      </c>
      <c r="FE139" s="91">
        <f t="shared" si="1178"/>
        <v>205029</v>
      </c>
      <c r="FF139" s="91">
        <f t="shared" si="1179"/>
        <v>21528045</v>
      </c>
      <c r="FU139" s="91">
        <f t="shared" si="1180"/>
        <v>0</v>
      </c>
      <c r="FV139" s="91">
        <f t="shared" si="1181"/>
        <v>0</v>
      </c>
      <c r="GK139" s="91">
        <f t="shared" si="1182"/>
        <v>0</v>
      </c>
      <c r="GL139" s="91">
        <f t="shared" si="1183"/>
        <v>0</v>
      </c>
      <c r="HA139" s="91">
        <f t="shared" si="1184"/>
        <v>0</v>
      </c>
      <c r="HB139" s="91">
        <f t="shared" si="1185"/>
        <v>0</v>
      </c>
      <c r="HQ139" s="91">
        <f t="shared" si="1186"/>
        <v>0</v>
      </c>
      <c r="HR139" s="91">
        <f t="shared" si="1187"/>
        <v>0</v>
      </c>
      <c r="IG139" s="91">
        <f t="shared" si="1188"/>
        <v>0</v>
      </c>
      <c r="IH139" s="91">
        <f t="shared" si="1189"/>
        <v>0</v>
      </c>
      <c r="IW139" s="91">
        <f t="shared" si="1190"/>
        <v>0</v>
      </c>
      <c r="IX139" s="91">
        <f t="shared" si="1191"/>
        <v>0</v>
      </c>
      <c r="JM139" s="91">
        <f t="shared" si="1192"/>
        <v>0</v>
      </c>
      <c r="JN139" s="91">
        <f t="shared" si="1193"/>
        <v>0</v>
      </c>
      <c r="KC139" s="91">
        <f t="shared" si="1194"/>
        <v>0</v>
      </c>
      <c r="KD139" s="91">
        <f t="shared" si="1195"/>
        <v>0</v>
      </c>
      <c r="KS139" s="91">
        <f t="shared" si="1196"/>
        <v>0</v>
      </c>
      <c r="KT139" s="91">
        <f t="shared" si="1197"/>
        <v>0</v>
      </c>
      <c r="LI139" s="91">
        <f t="shared" si="1198"/>
        <v>0</v>
      </c>
      <c r="LJ139" s="91">
        <f t="shared" si="1199"/>
        <v>0</v>
      </c>
      <c r="LY139" s="91">
        <f t="shared" si="1200"/>
        <v>0</v>
      </c>
      <c r="LZ139" s="91">
        <f t="shared" si="1201"/>
        <v>0</v>
      </c>
      <c r="MO139" s="91">
        <f t="shared" si="1202"/>
        <v>0</v>
      </c>
      <c r="MP139" s="91">
        <f t="shared" si="1203"/>
        <v>0</v>
      </c>
      <c r="NE139" s="91">
        <f t="shared" si="1204"/>
        <v>0</v>
      </c>
      <c r="NF139" s="91">
        <f t="shared" si="1205"/>
        <v>0</v>
      </c>
      <c r="NU139" s="91">
        <f t="shared" si="1206"/>
        <v>0</v>
      </c>
      <c r="NV139" s="91">
        <f t="shared" si="1207"/>
        <v>0</v>
      </c>
      <c r="OK139" s="91">
        <f t="shared" si="1208"/>
        <v>0</v>
      </c>
      <c r="OL139" s="91">
        <f t="shared" si="1209"/>
        <v>0</v>
      </c>
      <c r="OM139" s="98">
        <v>19260</v>
      </c>
      <c r="ON139" s="98">
        <v>3852000</v>
      </c>
      <c r="PA139" s="91">
        <f>SUMIF($C$12:$P$12,$A$1,OM139:OZ139)</f>
        <v>19260</v>
      </c>
      <c r="PB139" s="91">
        <f>SUMIF($C$12:$P$12,$A$3,OM139:OZ139)</f>
        <v>3852000</v>
      </c>
      <c r="PQ139" s="91">
        <f t="shared" si="1212"/>
        <v>0</v>
      </c>
      <c r="PR139" s="91">
        <f t="shared" si="1213"/>
        <v>0</v>
      </c>
      <c r="QG139" s="91">
        <f t="shared" si="1214"/>
        <v>0</v>
      </c>
      <c r="QH139" s="91">
        <f t="shared" si="1215"/>
        <v>0</v>
      </c>
      <c r="QW139" s="91">
        <f t="shared" si="1216"/>
        <v>0</v>
      </c>
      <c r="QX139" s="91">
        <f t="shared" si="1217"/>
        <v>0</v>
      </c>
      <c r="RM139" s="91">
        <f t="shared" si="1218"/>
        <v>0</v>
      </c>
      <c r="RN139" s="91">
        <f t="shared" si="1219"/>
        <v>0</v>
      </c>
      <c r="SC139" s="91">
        <f t="shared" si="1220"/>
        <v>0</v>
      </c>
      <c r="SD139" s="91">
        <f t="shared" si="1221"/>
        <v>0</v>
      </c>
      <c r="SS139" s="91">
        <f t="shared" si="1222"/>
        <v>0</v>
      </c>
      <c r="ST139" s="91">
        <f t="shared" si="1223"/>
        <v>0</v>
      </c>
      <c r="TI139" s="91">
        <f t="shared" si="1224"/>
        <v>0</v>
      </c>
      <c r="TJ139" s="91">
        <f t="shared" si="1225"/>
        <v>0</v>
      </c>
      <c r="TY139" s="91">
        <f t="shared" si="1226"/>
        <v>0</v>
      </c>
      <c r="TZ139" s="91">
        <f t="shared" si="1227"/>
        <v>0</v>
      </c>
      <c r="UO139" s="91">
        <f t="shared" si="1228"/>
        <v>0</v>
      </c>
      <c r="UP139" s="91">
        <f t="shared" si="1229"/>
        <v>0</v>
      </c>
      <c r="VE139" s="91">
        <f t="shared" si="1230"/>
        <v>0</v>
      </c>
      <c r="VF139" s="91">
        <f t="shared" si="1231"/>
        <v>0</v>
      </c>
      <c r="VU139" s="91">
        <f t="shared" si="1232"/>
        <v>0</v>
      </c>
      <c r="VV139" s="91">
        <f t="shared" si="1233"/>
        <v>0</v>
      </c>
      <c r="WK139" s="91">
        <f t="shared" si="1234"/>
        <v>0</v>
      </c>
      <c r="WL139" s="91">
        <f t="shared" si="1235"/>
        <v>0</v>
      </c>
      <c r="WM139" s="89"/>
      <c r="WN139" s="87">
        <f t="shared" si="1236"/>
        <v>19260</v>
      </c>
      <c r="WO139" s="87">
        <f t="shared" si="1237"/>
        <v>3852000</v>
      </c>
      <c r="WP139" s="87">
        <f t="shared" si="1238"/>
        <v>205029</v>
      </c>
      <c r="WQ139" s="87">
        <f t="shared" si="1239"/>
        <v>21528045</v>
      </c>
      <c r="WR139" s="87">
        <f t="shared" si="1240"/>
        <v>0</v>
      </c>
      <c r="WS139" s="87">
        <f t="shared" si="1241"/>
        <v>0</v>
      </c>
      <c r="WT139" s="87">
        <f t="shared" si="1242"/>
        <v>0</v>
      </c>
      <c r="WU139" s="87">
        <f t="shared" si="1243"/>
        <v>0</v>
      </c>
      <c r="WV139" s="87">
        <f t="shared" si="1244"/>
        <v>0</v>
      </c>
      <c r="WW139" s="87">
        <f t="shared" si="1245"/>
        <v>0</v>
      </c>
      <c r="WX139" s="87">
        <f t="shared" si="1246"/>
        <v>0</v>
      </c>
      <c r="WY139" s="87">
        <f t="shared" si="1247"/>
        <v>0</v>
      </c>
      <c r="WZ139" s="87">
        <f t="shared" si="1248"/>
        <v>0</v>
      </c>
      <c r="XA139" s="87">
        <f t="shared" si="1249"/>
        <v>0</v>
      </c>
      <c r="XB139" s="92">
        <f t="shared" si="1250"/>
        <v>224289</v>
      </c>
      <c r="XC139" s="92">
        <f t="shared" si="1251"/>
        <v>25380045</v>
      </c>
      <c r="XD139" s="89"/>
      <c r="XE139" s="92">
        <f t="shared" ref="XE139:XF139" si="1266">SUM(XB367,XB405,XB443)</f>
        <v>92888.982978827145</v>
      </c>
      <c r="XF139" s="92">
        <f t="shared" si="1266"/>
        <v>17471865.873</v>
      </c>
      <c r="XG139" s="89"/>
      <c r="XH139" s="92"/>
      <c r="XI139" s="92"/>
      <c r="XJ139" s="89"/>
      <c r="XK139" s="87"/>
      <c r="XL139" s="87"/>
      <c r="XM139" s="87"/>
      <c r="XN139" s="87"/>
      <c r="XO139" s="87"/>
      <c r="XP139" s="87"/>
      <c r="XQ139" s="87"/>
      <c r="XR139" s="92">
        <f t="shared" ca="1" si="1252"/>
        <v>0</v>
      </c>
      <c r="XS139" s="89"/>
      <c r="XT139" s="87"/>
      <c r="XU139" s="87"/>
      <c r="XV139" s="87"/>
      <c r="XW139" s="87"/>
      <c r="XX139" s="87"/>
      <c r="XY139" s="87"/>
      <c r="XZ139" s="87"/>
      <c r="YA139" s="92">
        <f t="shared" ca="1" si="1253"/>
        <v>0</v>
      </c>
      <c r="YB139" s="90"/>
      <c r="YC139" s="90"/>
      <c r="YD139" s="90"/>
      <c r="YE139" s="90"/>
      <c r="YF139" s="90"/>
      <c r="YG139" s="90"/>
      <c r="YH139" s="90"/>
      <c r="YI139" s="90"/>
      <c r="YJ139" s="90"/>
      <c r="YK139" s="90"/>
      <c r="YL139" s="90"/>
      <c r="YM139" s="90"/>
      <c r="YN139" s="90"/>
      <c r="YO139" s="90"/>
      <c r="YP139" s="90"/>
      <c r="YQ139" s="90"/>
      <c r="YR139" s="90"/>
      <c r="YS139" s="90"/>
      <c r="YT139" s="90"/>
      <c r="YU139" s="90"/>
      <c r="YV139" s="90"/>
      <c r="YW139" s="90"/>
      <c r="YX139" s="90"/>
      <c r="YY139" s="90"/>
      <c r="YZ139" s="90"/>
      <c r="ZA139" s="90"/>
      <c r="ZB139" s="90"/>
      <c r="ZC139" s="90"/>
      <c r="ZD139" s="90"/>
      <c r="ZE139" s="90"/>
      <c r="ZF139" s="90"/>
      <c r="ZG139" s="90"/>
      <c r="ZH139" s="90"/>
      <c r="ZI139" s="90"/>
      <c r="ZJ139" s="90"/>
      <c r="ZK139" s="90"/>
      <c r="ZL139" s="90"/>
      <c r="ZM139" s="90"/>
      <c r="ZN139" s="90"/>
      <c r="ZO139" s="90"/>
      <c r="ZP139" s="90"/>
      <c r="ZQ139" s="90"/>
      <c r="ZR139" s="90"/>
      <c r="ZS139" s="90"/>
      <c r="ZT139" s="90"/>
      <c r="ZU139" s="90"/>
      <c r="ZV139" s="90"/>
      <c r="ZW139" s="90"/>
      <c r="ZX139" s="90"/>
      <c r="ZY139" s="90"/>
      <c r="ZZ139" s="90"/>
      <c r="AAA139" s="90"/>
      <c r="AAB139" s="90"/>
      <c r="AAC139" s="90"/>
      <c r="AAD139" s="90"/>
      <c r="AAE139" s="90"/>
      <c r="AAF139" s="90"/>
      <c r="AAG139" s="90"/>
      <c r="AAH139" s="90"/>
      <c r="AAI139" s="90"/>
      <c r="AAJ139" s="90"/>
      <c r="AAK139" s="90"/>
      <c r="AAL139" s="90"/>
      <c r="AAM139" s="90"/>
      <c r="AAN139" s="90"/>
      <c r="AAO139" s="90"/>
      <c r="AAP139" s="90"/>
      <c r="AAQ139" s="90"/>
      <c r="AAR139" s="90"/>
      <c r="AAS139" s="90"/>
      <c r="AAT139" s="90"/>
      <c r="AAU139" s="90"/>
      <c r="AAV139" s="90"/>
      <c r="AAW139" s="90"/>
      <c r="AAX139" s="90"/>
      <c r="AAY139" s="90"/>
      <c r="AAZ139" s="90"/>
      <c r="ABA139" s="90"/>
      <c r="ABB139" s="90"/>
      <c r="ABC139" s="90"/>
      <c r="ABD139" s="90"/>
      <c r="ABE139" s="90"/>
      <c r="ABF139" s="90"/>
      <c r="ABG139" s="90"/>
      <c r="ABH139" s="90"/>
      <c r="ABI139" s="90"/>
      <c r="ABJ139" s="90"/>
      <c r="ABK139" s="90"/>
      <c r="ABL139" s="90"/>
      <c r="ABM139" s="90"/>
      <c r="ABN139" s="90"/>
      <c r="ABO139" s="90"/>
      <c r="ABP139" s="90"/>
      <c r="ABQ139" s="90"/>
      <c r="ABR139" s="90"/>
      <c r="ABS139" s="90"/>
      <c r="ABT139" s="90"/>
      <c r="ABU139" s="90"/>
      <c r="ABV139" s="90"/>
      <c r="ABW139" s="90"/>
      <c r="ABX139" s="90"/>
      <c r="ABY139" s="90"/>
      <c r="ABZ139" s="90"/>
      <c r="ACA139" s="90"/>
      <c r="ACB139" s="90"/>
      <c r="ACC139" s="90"/>
      <c r="ACD139" s="90"/>
      <c r="ACE139" s="90"/>
      <c r="ACF139" s="90"/>
      <c r="ACG139" s="90"/>
      <c r="ACH139" s="90"/>
      <c r="ACI139" s="90"/>
      <c r="ACJ139" s="90"/>
      <c r="ACK139" s="90"/>
      <c r="ACL139" s="90"/>
      <c r="ACM139" s="90"/>
      <c r="ACN139" s="90"/>
      <c r="ACO139" s="90"/>
      <c r="ACP139" s="90"/>
      <c r="ACQ139" s="90"/>
      <c r="ACR139" s="90"/>
      <c r="ACS139" s="90"/>
      <c r="ACT139" s="90"/>
      <c r="ACU139" s="90"/>
      <c r="ACV139" s="90"/>
      <c r="ACW139" s="90"/>
      <c r="ACX139" s="90"/>
      <c r="ACY139" s="90"/>
      <c r="ACZ139" s="90"/>
      <c r="ADA139" s="90"/>
      <c r="ADB139" s="90"/>
      <c r="ADC139" s="90"/>
      <c r="ADD139" s="90"/>
      <c r="ADE139" s="90"/>
      <c r="ADF139" s="90"/>
      <c r="ADG139" s="90"/>
      <c r="ADH139" s="90"/>
      <c r="ADI139" s="90"/>
      <c r="ADJ139" s="90"/>
      <c r="ADK139" s="90"/>
      <c r="ADL139" s="90"/>
      <c r="ADM139" s="90"/>
      <c r="ADN139" s="90"/>
      <c r="ADO139" s="90"/>
      <c r="ADP139" s="90"/>
      <c r="ADQ139" s="90"/>
      <c r="ADR139" s="90"/>
      <c r="ADS139" s="90"/>
      <c r="ADT139" s="90"/>
      <c r="ADU139" s="90"/>
      <c r="ADV139" s="90"/>
      <c r="ADW139" s="90"/>
      <c r="ADX139" s="90"/>
      <c r="ADY139" s="90"/>
      <c r="ADZ139" s="90"/>
      <c r="AEA139" s="90"/>
      <c r="AEB139" s="90"/>
      <c r="AEC139" s="90"/>
      <c r="AED139" s="90"/>
      <c r="AEE139" s="90"/>
      <c r="AEF139" s="90"/>
      <c r="AEG139" s="90"/>
      <c r="AEH139" s="90"/>
      <c r="AEI139" s="90"/>
      <c r="AEJ139" s="90"/>
      <c r="AEK139" s="90"/>
      <c r="AEL139" s="90"/>
      <c r="AEM139" s="90"/>
      <c r="AEN139" s="90"/>
      <c r="AEO139" s="90"/>
      <c r="AEP139" s="90"/>
      <c r="AEQ139" s="90"/>
      <c r="AER139" s="90"/>
      <c r="AES139" s="90"/>
      <c r="AET139" s="90"/>
      <c r="AEU139" s="90"/>
      <c r="AEV139" s="90"/>
      <c r="AEW139" s="90"/>
      <c r="AEX139" s="90"/>
      <c r="AEY139" s="90"/>
      <c r="AEZ139" s="90"/>
      <c r="AFA139" s="90"/>
      <c r="AFB139" s="90"/>
      <c r="AFC139" s="90"/>
      <c r="AFD139" s="90"/>
      <c r="AFE139" s="90"/>
      <c r="AFF139" s="90"/>
      <c r="AFG139" s="90"/>
      <c r="AFH139" s="90"/>
      <c r="AFI139" s="90"/>
      <c r="AFJ139" s="90"/>
      <c r="AFK139" s="90"/>
      <c r="AFL139" s="90"/>
      <c r="AFM139" s="90"/>
      <c r="AFN139" s="90"/>
      <c r="AFO139" s="90"/>
      <c r="AFP139" s="90"/>
      <c r="AFQ139" s="90"/>
      <c r="AFR139" s="90"/>
      <c r="AFS139" s="90"/>
      <c r="AFT139" s="90"/>
      <c r="AFU139" s="90"/>
      <c r="AFV139" s="90"/>
      <c r="AFW139" s="90"/>
      <c r="AFX139" s="90"/>
      <c r="AFY139" s="90"/>
      <c r="AFZ139" s="90"/>
      <c r="AGA139" s="90"/>
      <c r="AGB139" s="90"/>
      <c r="AGC139" s="90"/>
      <c r="AGD139" s="90"/>
      <c r="AGE139" s="90"/>
      <c r="AGF139" s="90"/>
      <c r="AGG139" s="90"/>
      <c r="AGH139" s="90"/>
      <c r="AGI139" s="90"/>
      <c r="AGJ139" s="90"/>
      <c r="AGK139" s="90"/>
      <c r="AGL139" s="90"/>
      <c r="AGM139" s="90"/>
      <c r="AGN139" s="90"/>
      <c r="AGO139" s="90"/>
      <c r="AGP139" s="90"/>
      <c r="AGQ139" s="90"/>
      <c r="AGR139" s="90"/>
      <c r="AGS139" s="90"/>
      <c r="AGT139" s="90"/>
      <c r="AGU139" s="90"/>
      <c r="AGV139" s="90"/>
      <c r="AGW139" s="90"/>
      <c r="AGX139" s="90"/>
      <c r="AGY139" s="90"/>
      <c r="AGZ139" s="90"/>
      <c r="AHA139" s="90"/>
      <c r="AHB139" s="90"/>
      <c r="AHC139" s="90"/>
      <c r="AHD139" s="90"/>
      <c r="AHE139" s="90"/>
      <c r="AHF139" s="90"/>
      <c r="AHG139" s="90"/>
      <c r="AHH139" s="90"/>
      <c r="AHI139" s="90"/>
      <c r="AHJ139" s="90"/>
      <c r="AHK139" s="90"/>
      <c r="AHL139" s="90"/>
      <c r="AHM139" s="90"/>
      <c r="AHN139" s="90"/>
      <c r="AHO139" s="90"/>
      <c r="AHP139" s="90"/>
      <c r="AHQ139" s="90"/>
      <c r="AHR139" s="90"/>
      <c r="AHS139" s="90"/>
      <c r="AHT139" s="90"/>
      <c r="AHU139" s="90"/>
      <c r="AHV139" s="90"/>
      <c r="AHW139" s="90"/>
      <c r="AHX139" s="90"/>
      <c r="AHY139" s="90"/>
      <c r="AHZ139" s="90"/>
      <c r="AIA139" s="90"/>
      <c r="AIB139" s="90"/>
      <c r="AIC139" s="90"/>
      <c r="AID139" s="90"/>
      <c r="AIE139" s="90"/>
      <c r="AIF139" s="90"/>
      <c r="AIG139" s="90"/>
      <c r="AIH139" s="90"/>
      <c r="AII139" s="90"/>
      <c r="AIJ139" s="90"/>
      <c r="AIK139" s="90"/>
      <c r="AIL139" s="90"/>
      <c r="AIM139" s="90"/>
      <c r="AIN139" s="90"/>
      <c r="AIO139" s="90"/>
      <c r="AIP139" s="90"/>
      <c r="AIQ139" s="90"/>
      <c r="AIR139" s="90"/>
      <c r="AIS139" s="90"/>
      <c r="AIT139" s="90"/>
      <c r="AIU139" s="90"/>
      <c r="AIV139" s="90"/>
      <c r="AIW139" s="90"/>
      <c r="AIX139" s="90"/>
      <c r="AIY139" s="90"/>
      <c r="AIZ139" s="90"/>
      <c r="AJA139" s="90"/>
      <c r="AJB139" s="90"/>
      <c r="AJC139" s="90"/>
      <c r="AJD139" s="90"/>
      <c r="AJE139" s="90"/>
      <c r="AJF139" s="90"/>
      <c r="AJG139" s="90"/>
      <c r="AJH139" s="90"/>
      <c r="AJI139" s="90"/>
      <c r="AJJ139" s="90"/>
      <c r="AJK139" s="90"/>
      <c r="AJL139" s="90"/>
      <c r="AJM139" s="90"/>
      <c r="AJN139" s="90"/>
      <c r="AJO139" s="90"/>
      <c r="AJP139" s="90"/>
      <c r="AJQ139" s="90"/>
      <c r="AJR139" s="90"/>
      <c r="AJS139" s="90"/>
      <c r="AJT139" s="90"/>
      <c r="AJU139" s="90"/>
      <c r="AJV139" s="90"/>
      <c r="AJW139" s="90"/>
      <c r="AJX139" s="90"/>
      <c r="AJY139" s="90"/>
      <c r="AJZ139" s="90"/>
      <c r="AKA139" s="90"/>
      <c r="AKB139" s="90"/>
      <c r="AKC139" s="90"/>
      <c r="AKD139" s="90"/>
      <c r="AKE139" s="90"/>
      <c r="AKF139" s="90"/>
      <c r="AKG139" s="90"/>
      <c r="AKH139" s="90"/>
      <c r="AKI139" s="90"/>
      <c r="AKJ139" s="90"/>
      <c r="AKK139" s="90"/>
      <c r="AKL139" s="90"/>
      <c r="AKM139" s="90"/>
      <c r="AKN139" s="90"/>
      <c r="AKO139" s="90"/>
      <c r="AKP139" s="90"/>
      <c r="AKQ139" s="90"/>
      <c r="AKR139" s="90"/>
      <c r="AKS139" s="90"/>
      <c r="AKT139" s="90"/>
      <c r="AKU139" s="90"/>
      <c r="AKV139" s="90"/>
      <c r="AKW139" s="90"/>
      <c r="AKX139" s="90"/>
      <c r="AKY139" s="90"/>
      <c r="AKZ139" s="90"/>
      <c r="ALA139" s="90"/>
      <c r="ALB139" s="90"/>
      <c r="ALC139" s="90"/>
      <c r="ALD139" s="90"/>
      <c r="ALE139" s="90"/>
      <c r="ALF139" s="90"/>
      <c r="ALG139" s="90"/>
      <c r="ALH139" s="90"/>
      <c r="ALI139" s="90"/>
      <c r="ALJ139" s="90"/>
      <c r="ALK139" s="90"/>
      <c r="ALL139" s="90"/>
      <c r="ALM139" s="90"/>
      <c r="ALN139" s="90"/>
      <c r="ALO139" s="90"/>
      <c r="ALP139" s="90"/>
      <c r="ALQ139" s="90"/>
      <c r="ALR139" s="90"/>
      <c r="ALS139" s="90"/>
      <c r="ALT139" s="90"/>
      <c r="ALU139" s="90"/>
      <c r="ALV139" s="90"/>
      <c r="ALW139" s="90"/>
      <c r="ALX139" s="90"/>
      <c r="ALY139" s="90"/>
      <c r="ALZ139" s="90"/>
      <c r="AMA139" s="90"/>
      <c r="AMB139" s="90"/>
      <c r="AMC139" s="90"/>
    </row>
    <row r="140" spans="1:1017">
      <c r="A140" s="98" t="s">
        <v>48</v>
      </c>
      <c r="B140" s="90" t="str">
        <f t="shared" si="1159"/>
        <v>Kerong Kerong</v>
      </c>
      <c r="Q140" s="91">
        <f t="shared" si="1160"/>
        <v>0</v>
      </c>
      <c r="R140" s="91">
        <f t="shared" si="1161"/>
        <v>0</v>
      </c>
      <c r="AG140" s="91">
        <f t="shared" si="1162"/>
        <v>0</v>
      </c>
      <c r="AH140" s="91">
        <f t="shared" si="1163"/>
        <v>0</v>
      </c>
      <c r="AW140" s="91">
        <f t="shared" si="1164"/>
        <v>0</v>
      </c>
      <c r="AX140" s="91">
        <f t="shared" si="1165"/>
        <v>0</v>
      </c>
      <c r="BM140" s="91">
        <f t="shared" si="1166"/>
        <v>0</v>
      </c>
      <c r="BN140" s="91">
        <f t="shared" si="1167"/>
        <v>0</v>
      </c>
      <c r="CC140" s="91">
        <f t="shared" si="1168"/>
        <v>0</v>
      </c>
      <c r="CD140" s="91">
        <f t="shared" si="1169"/>
        <v>0</v>
      </c>
      <c r="CS140" s="91">
        <f t="shared" si="1254"/>
        <v>0</v>
      </c>
      <c r="CT140" s="91">
        <f t="shared" si="1255"/>
        <v>0</v>
      </c>
      <c r="DI140" s="91">
        <f t="shared" si="1172"/>
        <v>0</v>
      </c>
      <c r="DJ140" s="91">
        <f t="shared" si="1173"/>
        <v>0</v>
      </c>
      <c r="DY140" s="91">
        <f t="shared" si="1174"/>
        <v>0</v>
      </c>
      <c r="DZ140" s="91">
        <f t="shared" si="1175"/>
        <v>0</v>
      </c>
      <c r="EO140" s="91">
        <f t="shared" si="1176"/>
        <v>0</v>
      </c>
      <c r="EP140" s="91">
        <f t="shared" si="1177"/>
        <v>0</v>
      </c>
      <c r="FE140" s="91">
        <f t="shared" si="1178"/>
        <v>0</v>
      </c>
      <c r="FF140" s="91">
        <f t="shared" si="1179"/>
        <v>0</v>
      </c>
      <c r="FU140" s="91">
        <f t="shared" si="1180"/>
        <v>0</v>
      </c>
      <c r="FV140" s="91">
        <f t="shared" si="1181"/>
        <v>0</v>
      </c>
      <c r="GK140" s="91">
        <f t="shared" si="1182"/>
        <v>0</v>
      </c>
      <c r="GL140" s="91">
        <f t="shared" si="1183"/>
        <v>0</v>
      </c>
      <c r="HA140" s="91">
        <f t="shared" si="1184"/>
        <v>0</v>
      </c>
      <c r="HB140" s="91">
        <f t="shared" si="1185"/>
        <v>0</v>
      </c>
      <c r="HQ140" s="91">
        <f t="shared" si="1186"/>
        <v>0</v>
      </c>
      <c r="HR140" s="91">
        <f t="shared" si="1187"/>
        <v>0</v>
      </c>
      <c r="IG140" s="91">
        <f t="shared" si="1188"/>
        <v>0</v>
      </c>
      <c r="IH140" s="91">
        <f t="shared" si="1189"/>
        <v>0</v>
      </c>
      <c r="IW140" s="91">
        <f t="shared" si="1190"/>
        <v>0</v>
      </c>
      <c r="IX140" s="91">
        <f t="shared" si="1191"/>
        <v>0</v>
      </c>
      <c r="JM140" s="91">
        <f t="shared" si="1192"/>
        <v>0</v>
      </c>
      <c r="JN140" s="91">
        <f t="shared" si="1193"/>
        <v>0</v>
      </c>
      <c r="KC140" s="91">
        <f t="shared" si="1194"/>
        <v>0</v>
      </c>
      <c r="KD140" s="91">
        <f t="shared" si="1195"/>
        <v>0</v>
      </c>
      <c r="KS140" s="91">
        <f t="shared" si="1196"/>
        <v>0</v>
      </c>
      <c r="KT140" s="91">
        <f t="shared" si="1197"/>
        <v>0</v>
      </c>
      <c r="LI140" s="91">
        <f t="shared" si="1198"/>
        <v>0</v>
      </c>
      <c r="LJ140" s="91">
        <f t="shared" si="1199"/>
        <v>0</v>
      </c>
      <c r="LY140" s="91">
        <f t="shared" si="1200"/>
        <v>0</v>
      </c>
      <c r="LZ140" s="91">
        <f t="shared" si="1201"/>
        <v>0</v>
      </c>
      <c r="MO140" s="91">
        <f t="shared" si="1202"/>
        <v>0</v>
      </c>
      <c r="MP140" s="91">
        <f t="shared" si="1203"/>
        <v>0</v>
      </c>
      <c r="NE140" s="91">
        <f t="shared" si="1204"/>
        <v>0</v>
      </c>
      <c r="NF140" s="91">
        <f t="shared" si="1205"/>
        <v>0</v>
      </c>
      <c r="NU140" s="91">
        <f t="shared" si="1206"/>
        <v>0</v>
      </c>
      <c r="NV140" s="91">
        <f t="shared" si="1207"/>
        <v>0</v>
      </c>
      <c r="OK140" s="91">
        <f t="shared" si="1208"/>
        <v>0</v>
      </c>
      <c r="OL140" s="91">
        <f t="shared" si="1209"/>
        <v>0</v>
      </c>
      <c r="PA140" s="91">
        <f t="shared" si="1210"/>
        <v>0</v>
      </c>
      <c r="PB140" s="91">
        <f t="shared" si="1211"/>
        <v>0</v>
      </c>
      <c r="PQ140" s="91">
        <f t="shared" si="1212"/>
        <v>0</v>
      </c>
      <c r="PR140" s="91">
        <f t="shared" si="1213"/>
        <v>0</v>
      </c>
      <c r="QG140" s="91">
        <f t="shared" si="1214"/>
        <v>0</v>
      </c>
      <c r="QH140" s="91">
        <f t="shared" si="1215"/>
        <v>0</v>
      </c>
      <c r="QW140" s="91">
        <f t="shared" si="1216"/>
        <v>0</v>
      </c>
      <c r="QX140" s="91">
        <f t="shared" si="1217"/>
        <v>0</v>
      </c>
      <c r="RM140" s="91">
        <f t="shared" si="1218"/>
        <v>0</v>
      </c>
      <c r="RN140" s="91">
        <f t="shared" si="1219"/>
        <v>0</v>
      </c>
      <c r="SC140" s="91">
        <f t="shared" si="1220"/>
        <v>0</v>
      </c>
      <c r="SD140" s="91">
        <f t="shared" si="1221"/>
        <v>0</v>
      </c>
      <c r="SS140" s="91">
        <f t="shared" si="1222"/>
        <v>0</v>
      </c>
      <c r="ST140" s="91">
        <f t="shared" si="1223"/>
        <v>0</v>
      </c>
      <c r="TI140" s="91">
        <f t="shared" si="1224"/>
        <v>0</v>
      </c>
      <c r="TJ140" s="91">
        <f t="shared" si="1225"/>
        <v>0</v>
      </c>
      <c r="TY140" s="91">
        <f t="shared" si="1226"/>
        <v>0</v>
      </c>
      <c r="TZ140" s="91">
        <f t="shared" si="1227"/>
        <v>0</v>
      </c>
      <c r="UO140" s="91">
        <f t="shared" si="1228"/>
        <v>0</v>
      </c>
      <c r="UP140" s="91">
        <f t="shared" si="1229"/>
        <v>0</v>
      </c>
      <c r="VE140" s="91">
        <f t="shared" si="1230"/>
        <v>0</v>
      </c>
      <c r="VF140" s="91">
        <f t="shared" si="1231"/>
        <v>0</v>
      </c>
      <c r="VU140" s="91">
        <f t="shared" si="1232"/>
        <v>0</v>
      </c>
      <c r="VV140" s="91">
        <f t="shared" si="1233"/>
        <v>0</v>
      </c>
      <c r="WK140" s="91">
        <f t="shared" si="1234"/>
        <v>0</v>
      </c>
      <c r="WL140" s="91">
        <f t="shared" si="1235"/>
        <v>0</v>
      </c>
      <c r="WM140" s="89"/>
      <c r="WN140" s="87">
        <f t="shared" si="1236"/>
        <v>0</v>
      </c>
      <c r="WO140" s="87">
        <f t="shared" si="1237"/>
        <v>0</v>
      </c>
      <c r="WP140" s="87">
        <f t="shared" si="1238"/>
        <v>0</v>
      </c>
      <c r="WQ140" s="87">
        <f t="shared" si="1239"/>
        <v>0</v>
      </c>
      <c r="WR140" s="87">
        <f t="shared" si="1240"/>
        <v>0</v>
      </c>
      <c r="WS140" s="87">
        <f t="shared" si="1241"/>
        <v>0</v>
      </c>
      <c r="WT140" s="87">
        <f t="shared" si="1242"/>
        <v>0</v>
      </c>
      <c r="WU140" s="87">
        <f t="shared" si="1243"/>
        <v>0</v>
      </c>
      <c r="WV140" s="87">
        <f t="shared" si="1244"/>
        <v>0</v>
      </c>
      <c r="WW140" s="87">
        <f t="shared" si="1245"/>
        <v>0</v>
      </c>
      <c r="WX140" s="87">
        <f t="shared" si="1246"/>
        <v>0</v>
      </c>
      <c r="WY140" s="87">
        <f t="shared" si="1247"/>
        <v>0</v>
      </c>
      <c r="WZ140" s="87">
        <f t="shared" si="1248"/>
        <v>0</v>
      </c>
      <c r="XA140" s="87">
        <f t="shared" si="1249"/>
        <v>0</v>
      </c>
      <c r="XB140" s="92">
        <f t="shared" si="1250"/>
        <v>0</v>
      </c>
      <c r="XC140" s="92">
        <f t="shared" si="1251"/>
        <v>0</v>
      </c>
      <c r="XD140" s="89"/>
      <c r="XE140" s="92">
        <f t="shared" ref="XE140:XF140" si="1267">SUM(XB368,XB406,XB444)</f>
        <v>0</v>
      </c>
      <c r="XF140" s="92">
        <f t="shared" si="1267"/>
        <v>0</v>
      </c>
      <c r="XG140" s="89"/>
      <c r="XH140" s="92"/>
      <c r="XI140" s="92"/>
      <c r="XJ140" s="89"/>
      <c r="XK140" s="87"/>
      <c r="XL140" s="87"/>
      <c r="XM140" s="87"/>
      <c r="XN140" s="87"/>
      <c r="XO140" s="87"/>
      <c r="XP140" s="87"/>
      <c r="XQ140" s="87"/>
      <c r="XR140" s="92">
        <f t="shared" ca="1" si="1252"/>
        <v>0</v>
      </c>
      <c r="XS140" s="89"/>
      <c r="XT140" s="87"/>
      <c r="XU140" s="87"/>
      <c r="XV140" s="87"/>
      <c r="XW140" s="87"/>
      <c r="XX140" s="87"/>
      <c r="XY140" s="87"/>
      <c r="XZ140" s="87"/>
      <c r="YA140" s="92">
        <f t="shared" ca="1" si="1253"/>
        <v>0</v>
      </c>
      <c r="YB140" s="90"/>
      <c r="YC140" s="90"/>
      <c r="YD140" s="90"/>
      <c r="YE140" s="90"/>
      <c r="YF140" s="90"/>
      <c r="YG140" s="90"/>
      <c r="YH140" s="90"/>
      <c r="YI140" s="90"/>
      <c r="YJ140" s="90"/>
      <c r="YK140" s="90"/>
      <c r="YL140" s="90"/>
      <c r="YM140" s="90"/>
      <c r="YN140" s="90"/>
      <c r="YO140" s="90"/>
      <c r="YP140" s="90"/>
      <c r="YQ140" s="90"/>
      <c r="YR140" s="90"/>
      <c r="YS140" s="90"/>
      <c r="YT140" s="90"/>
      <c r="YU140" s="90"/>
      <c r="YV140" s="90"/>
      <c r="YW140" s="90"/>
      <c r="YX140" s="90"/>
      <c r="YY140" s="90"/>
      <c r="YZ140" s="90"/>
      <c r="ZA140" s="90"/>
      <c r="ZB140" s="90"/>
      <c r="ZC140" s="90"/>
      <c r="ZD140" s="90"/>
      <c r="ZE140" s="90"/>
      <c r="ZF140" s="90"/>
      <c r="ZG140" s="90"/>
      <c r="ZH140" s="90"/>
      <c r="ZI140" s="90"/>
      <c r="ZJ140" s="90"/>
      <c r="ZK140" s="90"/>
      <c r="ZL140" s="90"/>
      <c r="ZM140" s="90"/>
      <c r="ZN140" s="90"/>
      <c r="ZO140" s="90"/>
      <c r="ZP140" s="90"/>
      <c r="ZQ140" s="90"/>
      <c r="ZR140" s="90"/>
      <c r="ZS140" s="90"/>
      <c r="ZT140" s="90"/>
      <c r="ZU140" s="90"/>
      <c r="ZV140" s="90"/>
      <c r="ZW140" s="90"/>
      <c r="ZX140" s="90"/>
      <c r="ZY140" s="90"/>
      <c r="ZZ140" s="90"/>
      <c r="AAA140" s="90"/>
      <c r="AAB140" s="90"/>
      <c r="AAC140" s="90"/>
      <c r="AAD140" s="90"/>
      <c r="AAE140" s="90"/>
      <c r="AAF140" s="90"/>
      <c r="AAG140" s="90"/>
      <c r="AAH140" s="90"/>
      <c r="AAI140" s="90"/>
      <c r="AAJ140" s="90"/>
      <c r="AAK140" s="90"/>
      <c r="AAL140" s="90"/>
      <c r="AAM140" s="90"/>
      <c r="AAN140" s="90"/>
      <c r="AAO140" s="90"/>
      <c r="AAP140" s="90"/>
      <c r="AAQ140" s="90"/>
      <c r="AAR140" s="90"/>
      <c r="AAS140" s="90"/>
      <c r="AAT140" s="90"/>
      <c r="AAU140" s="90"/>
      <c r="AAV140" s="90"/>
      <c r="AAW140" s="90"/>
      <c r="AAX140" s="90"/>
      <c r="AAY140" s="90"/>
      <c r="AAZ140" s="90"/>
      <c r="ABA140" s="90"/>
      <c r="ABB140" s="90"/>
      <c r="ABC140" s="90"/>
      <c r="ABD140" s="90"/>
      <c r="ABE140" s="90"/>
      <c r="ABF140" s="90"/>
      <c r="ABG140" s="90"/>
      <c r="ABH140" s="90"/>
      <c r="ABI140" s="90"/>
      <c r="ABJ140" s="90"/>
      <c r="ABK140" s="90"/>
      <c r="ABL140" s="90"/>
      <c r="ABM140" s="90"/>
      <c r="ABN140" s="90"/>
      <c r="ABO140" s="90"/>
      <c r="ABP140" s="90"/>
      <c r="ABQ140" s="90"/>
      <c r="ABR140" s="90"/>
      <c r="ABS140" s="90"/>
      <c r="ABT140" s="90"/>
      <c r="ABU140" s="90"/>
      <c r="ABV140" s="90"/>
      <c r="ABW140" s="90"/>
      <c r="ABX140" s="90"/>
      <c r="ABY140" s="90"/>
      <c r="ABZ140" s="90"/>
      <c r="ACA140" s="90"/>
      <c r="ACB140" s="90"/>
      <c r="ACC140" s="90"/>
      <c r="ACD140" s="90"/>
      <c r="ACE140" s="90"/>
      <c r="ACF140" s="90"/>
      <c r="ACG140" s="90"/>
      <c r="ACH140" s="90"/>
      <c r="ACI140" s="90"/>
      <c r="ACJ140" s="90"/>
      <c r="ACK140" s="90"/>
      <c r="ACL140" s="90"/>
      <c r="ACM140" s="90"/>
      <c r="ACN140" s="90"/>
      <c r="ACO140" s="90"/>
      <c r="ACP140" s="90"/>
      <c r="ACQ140" s="90"/>
      <c r="ACR140" s="90"/>
      <c r="ACS140" s="90"/>
      <c r="ACT140" s="90"/>
      <c r="ACU140" s="90"/>
      <c r="ACV140" s="90"/>
      <c r="ACW140" s="90"/>
      <c r="ACX140" s="90"/>
      <c r="ACY140" s="90"/>
      <c r="ACZ140" s="90"/>
      <c r="ADA140" s="90"/>
      <c r="ADB140" s="90"/>
      <c r="ADC140" s="90"/>
      <c r="ADD140" s="90"/>
      <c r="ADE140" s="90"/>
      <c r="ADF140" s="90"/>
      <c r="ADG140" s="90"/>
      <c r="ADH140" s="90"/>
      <c r="ADI140" s="90"/>
      <c r="ADJ140" s="90"/>
      <c r="ADK140" s="90"/>
      <c r="ADL140" s="90"/>
      <c r="ADM140" s="90"/>
      <c r="ADN140" s="90"/>
      <c r="ADO140" s="90"/>
      <c r="ADP140" s="90"/>
      <c r="ADQ140" s="90"/>
      <c r="ADR140" s="90"/>
      <c r="ADS140" s="90"/>
      <c r="ADT140" s="90"/>
      <c r="ADU140" s="90"/>
      <c r="ADV140" s="90"/>
      <c r="ADW140" s="90"/>
      <c r="ADX140" s="90"/>
      <c r="ADY140" s="90"/>
      <c r="ADZ140" s="90"/>
      <c r="AEA140" s="90"/>
      <c r="AEB140" s="90"/>
      <c r="AEC140" s="90"/>
      <c r="AED140" s="90"/>
      <c r="AEE140" s="90"/>
      <c r="AEF140" s="90"/>
      <c r="AEG140" s="90"/>
      <c r="AEH140" s="90"/>
      <c r="AEI140" s="90"/>
      <c r="AEJ140" s="90"/>
      <c r="AEK140" s="90"/>
      <c r="AEL140" s="90"/>
      <c r="AEM140" s="90"/>
      <c r="AEN140" s="90"/>
      <c r="AEO140" s="90"/>
      <c r="AEP140" s="90"/>
      <c r="AEQ140" s="90"/>
      <c r="AER140" s="90"/>
      <c r="AES140" s="90"/>
      <c r="AET140" s="90"/>
      <c r="AEU140" s="90"/>
      <c r="AEV140" s="90"/>
      <c r="AEW140" s="90"/>
      <c r="AEX140" s="90"/>
      <c r="AEY140" s="90"/>
      <c r="AEZ140" s="90"/>
      <c r="AFA140" s="90"/>
      <c r="AFB140" s="90"/>
      <c r="AFC140" s="90"/>
      <c r="AFD140" s="90"/>
      <c r="AFE140" s="90"/>
      <c r="AFF140" s="90"/>
      <c r="AFG140" s="90"/>
      <c r="AFH140" s="90"/>
      <c r="AFI140" s="90"/>
      <c r="AFJ140" s="90"/>
      <c r="AFK140" s="90"/>
      <c r="AFL140" s="90"/>
      <c r="AFM140" s="90"/>
      <c r="AFN140" s="90"/>
      <c r="AFO140" s="90"/>
      <c r="AFP140" s="90"/>
      <c r="AFQ140" s="90"/>
      <c r="AFR140" s="90"/>
      <c r="AFS140" s="90"/>
      <c r="AFT140" s="90"/>
      <c r="AFU140" s="90"/>
      <c r="AFV140" s="90"/>
      <c r="AFW140" s="90"/>
      <c r="AFX140" s="90"/>
      <c r="AFY140" s="90"/>
      <c r="AFZ140" s="90"/>
      <c r="AGA140" s="90"/>
      <c r="AGB140" s="90"/>
      <c r="AGC140" s="90"/>
      <c r="AGD140" s="90"/>
      <c r="AGE140" s="90"/>
      <c r="AGF140" s="90"/>
      <c r="AGG140" s="90"/>
      <c r="AGH140" s="90"/>
      <c r="AGI140" s="90"/>
      <c r="AGJ140" s="90"/>
      <c r="AGK140" s="90"/>
      <c r="AGL140" s="90"/>
      <c r="AGM140" s="90"/>
      <c r="AGN140" s="90"/>
      <c r="AGO140" s="90"/>
      <c r="AGP140" s="90"/>
      <c r="AGQ140" s="90"/>
      <c r="AGR140" s="90"/>
      <c r="AGS140" s="90"/>
      <c r="AGT140" s="90"/>
      <c r="AGU140" s="90"/>
      <c r="AGV140" s="90"/>
      <c r="AGW140" s="90"/>
      <c r="AGX140" s="90"/>
      <c r="AGY140" s="90"/>
      <c r="AGZ140" s="90"/>
      <c r="AHA140" s="90"/>
      <c r="AHB140" s="90"/>
      <c r="AHC140" s="90"/>
      <c r="AHD140" s="90"/>
      <c r="AHE140" s="90"/>
      <c r="AHF140" s="90"/>
      <c r="AHG140" s="90"/>
      <c r="AHH140" s="90"/>
      <c r="AHI140" s="90"/>
      <c r="AHJ140" s="90"/>
      <c r="AHK140" s="90"/>
      <c r="AHL140" s="90"/>
      <c r="AHM140" s="90"/>
      <c r="AHN140" s="90"/>
      <c r="AHO140" s="90"/>
      <c r="AHP140" s="90"/>
      <c r="AHQ140" s="90"/>
      <c r="AHR140" s="90"/>
      <c r="AHS140" s="90"/>
      <c r="AHT140" s="90"/>
      <c r="AHU140" s="90"/>
      <c r="AHV140" s="90"/>
      <c r="AHW140" s="90"/>
      <c r="AHX140" s="90"/>
      <c r="AHY140" s="90"/>
      <c r="AHZ140" s="90"/>
      <c r="AIA140" s="90"/>
      <c r="AIB140" s="90"/>
      <c r="AIC140" s="90"/>
      <c r="AID140" s="90"/>
      <c r="AIE140" s="90"/>
      <c r="AIF140" s="90"/>
      <c r="AIG140" s="90"/>
      <c r="AIH140" s="90"/>
      <c r="AII140" s="90"/>
      <c r="AIJ140" s="90"/>
      <c r="AIK140" s="90"/>
      <c r="AIL140" s="90"/>
      <c r="AIM140" s="90"/>
      <c r="AIN140" s="90"/>
      <c r="AIO140" s="90"/>
      <c r="AIP140" s="90"/>
      <c r="AIQ140" s="90"/>
      <c r="AIR140" s="90"/>
      <c r="AIS140" s="90"/>
      <c r="AIT140" s="90"/>
      <c r="AIU140" s="90"/>
      <c r="AIV140" s="90"/>
      <c r="AIW140" s="90"/>
      <c r="AIX140" s="90"/>
      <c r="AIY140" s="90"/>
      <c r="AIZ140" s="90"/>
      <c r="AJA140" s="90"/>
      <c r="AJB140" s="90"/>
      <c r="AJC140" s="90"/>
      <c r="AJD140" s="90"/>
      <c r="AJE140" s="90"/>
      <c r="AJF140" s="90"/>
      <c r="AJG140" s="90"/>
      <c r="AJH140" s="90"/>
      <c r="AJI140" s="90"/>
      <c r="AJJ140" s="90"/>
      <c r="AJK140" s="90"/>
      <c r="AJL140" s="90"/>
      <c r="AJM140" s="90"/>
      <c r="AJN140" s="90"/>
      <c r="AJO140" s="90"/>
      <c r="AJP140" s="90"/>
      <c r="AJQ140" s="90"/>
      <c r="AJR140" s="90"/>
      <c r="AJS140" s="90"/>
      <c r="AJT140" s="90"/>
      <c r="AJU140" s="90"/>
      <c r="AJV140" s="90"/>
      <c r="AJW140" s="90"/>
      <c r="AJX140" s="90"/>
      <c r="AJY140" s="90"/>
      <c r="AJZ140" s="90"/>
      <c r="AKA140" s="90"/>
      <c r="AKB140" s="90"/>
      <c r="AKC140" s="90"/>
      <c r="AKD140" s="90"/>
      <c r="AKE140" s="90"/>
      <c r="AKF140" s="90"/>
      <c r="AKG140" s="90"/>
      <c r="AKH140" s="90"/>
      <c r="AKI140" s="90"/>
      <c r="AKJ140" s="90"/>
      <c r="AKK140" s="90"/>
      <c r="AKL140" s="90"/>
      <c r="AKM140" s="90"/>
      <c r="AKN140" s="90"/>
      <c r="AKO140" s="90"/>
      <c r="AKP140" s="90"/>
      <c r="AKQ140" s="90"/>
      <c r="AKR140" s="90"/>
      <c r="AKS140" s="90"/>
      <c r="AKT140" s="90"/>
      <c r="AKU140" s="90"/>
      <c r="AKV140" s="90"/>
      <c r="AKW140" s="90"/>
      <c r="AKX140" s="90"/>
      <c r="AKY140" s="90"/>
      <c r="AKZ140" s="90"/>
      <c r="ALA140" s="90"/>
      <c r="ALB140" s="90"/>
      <c r="ALC140" s="90"/>
      <c r="ALD140" s="90"/>
      <c r="ALE140" s="90"/>
      <c r="ALF140" s="90"/>
      <c r="ALG140" s="90"/>
      <c r="ALH140" s="90"/>
      <c r="ALI140" s="90"/>
      <c r="ALJ140" s="90"/>
      <c r="ALK140" s="90"/>
      <c r="ALL140" s="90"/>
      <c r="ALM140" s="90"/>
      <c r="ALN140" s="90"/>
      <c r="ALO140" s="90"/>
      <c r="ALP140" s="90"/>
      <c r="ALQ140" s="90"/>
      <c r="ALR140" s="90"/>
      <c r="ALS140" s="90"/>
      <c r="ALT140" s="90"/>
      <c r="ALU140" s="90"/>
      <c r="ALV140" s="90"/>
      <c r="ALW140" s="90"/>
      <c r="ALX140" s="90"/>
      <c r="ALY140" s="90"/>
      <c r="ALZ140" s="90"/>
      <c r="AMA140" s="90"/>
      <c r="AMB140" s="90"/>
      <c r="AMC140" s="90"/>
    </row>
    <row r="141" spans="1:1017">
      <c r="A141" s="98" t="s">
        <v>48</v>
      </c>
      <c r="B141" s="90" t="str">
        <f t="shared" si="1159"/>
        <v xml:space="preserve">Lele </v>
      </c>
      <c r="I141" s="98">
        <v>25900</v>
      </c>
      <c r="J141" s="98">
        <v>518000</v>
      </c>
      <c r="M141" s="98">
        <v>500</v>
      </c>
      <c r="N141" s="98">
        <v>10000</v>
      </c>
      <c r="Q141" s="91">
        <f t="shared" si="1160"/>
        <v>26400</v>
      </c>
      <c r="R141" s="91">
        <f t="shared" si="1161"/>
        <v>528000</v>
      </c>
      <c r="Y141" s="98">
        <v>534295</v>
      </c>
      <c r="Z141" s="98">
        <v>10685900</v>
      </c>
      <c r="AE141" s="98">
        <v>735</v>
      </c>
      <c r="AF141" s="98">
        <v>14700</v>
      </c>
      <c r="AG141" s="91">
        <f t="shared" si="1162"/>
        <v>535030</v>
      </c>
      <c r="AH141" s="91">
        <f t="shared" si="1163"/>
        <v>10700600</v>
      </c>
      <c r="AO141" s="98">
        <v>796500</v>
      </c>
      <c r="AP141" s="98">
        <v>13540500</v>
      </c>
      <c r="AW141" s="91">
        <f t="shared" si="1164"/>
        <v>796500</v>
      </c>
      <c r="AX141" s="91">
        <f t="shared" si="1165"/>
        <v>13540500</v>
      </c>
      <c r="BE141" s="98">
        <v>328162</v>
      </c>
      <c r="BF141" s="98">
        <v>6235078</v>
      </c>
      <c r="BM141" s="91">
        <f t="shared" si="1166"/>
        <v>328162</v>
      </c>
      <c r="BN141" s="91">
        <f t="shared" si="1167"/>
        <v>6235078</v>
      </c>
      <c r="BU141" s="98">
        <v>61015</v>
      </c>
      <c r="BV141" s="98">
        <v>1220300</v>
      </c>
      <c r="CC141" s="91">
        <f t="shared" si="1168"/>
        <v>61015</v>
      </c>
      <c r="CD141" s="91">
        <f t="shared" si="1169"/>
        <v>1220300</v>
      </c>
      <c r="CK141" s="98">
        <v>156578</v>
      </c>
      <c r="CL141" s="98">
        <v>2505250</v>
      </c>
      <c r="CS141" s="91">
        <f t="shared" si="1254"/>
        <v>156578</v>
      </c>
      <c r="CT141" s="91">
        <f t="shared" si="1255"/>
        <v>2505250</v>
      </c>
      <c r="DA141" s="98">
        <v>551682</v>
      </c>
      <c r="DB141" s="98">
        <v>10206117</v>
      </c>
      <c r="DI141" s="91">
        <f t="shared" si="1172"/>
        <v>551682</v>
      </c>
      <c r="DJ141" s="91">
        <f t="shared" si="1173"/>
        <v>10206117</v>
      </c>
      <c r="DQ141" s="98">
        <v>701600</v>
      </c>
      <c r="DR141" s="98">
        <v>12979600</v>
      </c>
      <c r="DY141" s="91">
        <f t="shared" si="1174"/>
        <v>701600</v>
      </c>
      <c r="DZ141" s="91">
        <f t="shared" si="1175"/>
        <v>12979600</v>
      </c>
      <c r="EG141" s="98">
        <v>1518000</v>
      </c>
      <c r="EH141" s="98">
        <v>27324000</v>
      </c>
      <c r="EO141" s="91">
        <f t="shared" si="1176"/>
        <v>1518000</v>
      </c>
      <c r="EP141" s="91">
        <f t="shared" si="1177"/>
        <v>27324000</v>
      </c>
      <c r="EW141" s="98">
        <v>501229</v>
      </c>
      <c r="EX141" s="98">
        <v>8520893</v>
      </c>
      <c r="EZ141" s="98" t="s">
        <v>384</v>
      </c>
      <c r="FA141" s="98">
        <v>12954</v>
      </c>
      <c r="FB141" s="98">
        <v>220218</v>
      </c>
      <c r="FE141" s="91">
        <f t="shared" si="1178"/>
        <v>514183</v>
      </c>
      <c r="FF141" s="91">
        <f t="shared" si="1179"/>
        <v>8741111</v>
      </c>
      <c r="FM141" s="98">
        <v>97300</v>
      </c>
      <c r="FN141" s="98">
        <v>1800050</v>
      </c>
      <c r="FU141" s="91">
        <f t="shared" si="1180"/>
        <v>97300</v>
      </c>
      <c r="FV141" s="91">
        <f t="shared" si="1181"/>
        <v>1800050</v>
      </c>
      <c r="GC141" s="98">
        <v>228000</v>
      </c>
      <c r="GD141" s="98">
        <v>4218000</v>
      </c>
      <c r="GK141" s="91">
        <f t="shared" si="1182"/>
        <v>228000</v>
      </c>
      <c r="GL141" s="184">
        <f t="shared" si="1183"/>
        <v>4218000</v>
      </c>
      <c r="GS141" s="98">
        <v>138000</v>
      </c>
      <c r="GT141" s="98">
        <v>2553000</v>
      </c>
      <c r="HA141" s="91">
        <f t="shared" si="1184"/>
        <v>138000</v>
      </c>
      <c r="HB141" s="91">
        <f t="shared" si="1185"/>
        <v>2553000</v>
      </c>
      <c r="HI141" s="98">
        <v>550000</v>
      </c>
      <c r="HJ141" s="98">
        <v>9900000</v>
      </c>
      <c r="HQ141" s="91">
        <f t="shared" si="1186"/>
        <v>550000</v>
      </c>
      <c r="HR141" s="91">
        <f t="shared" si="1187"/>
        <v>9900000</v>
      </c>
      <c r="HY141" s="98">
        <v>132200</v>
      </c>
      <c r="HZ141" s="98">
        <v>2379600</v>
      </c>
      <c r="IG141" s="91">
        <f t="shared" si="1188"/>
        <v>132200</v>
      </c>
      <c r="IH141" s="91">
        <f t="shared" si="1189"/>
        <v>2379600</v>
      </c>
      <c r="IO141" s="98">
        <v>874000</v>
      </c>
      <c r="IP141" s="98">
        <v>16169000</v>
      </c>
      <c r="IW141" s="91">
        <f t="shared" si="1190"/>
        <v>874000</v>
      </c>
      <c r="IX141" s="91">
        <f t="shared" si="1191"/>
        <v>16169000</v>
      </c>
      <c r="JE141" s="98">
        <v>338800</v>
      </c>
      <c r="JF141" s="98">
        <v>6267800</v>
      </c>
      <c r="JM141" s="91">
        <f t="shared" si="1192"/>
        <v>338800</v>
      </c>
      <c r="JN141" s="91">
        <f t="shared" si="1193"/>
        <v>6267800</v>
      </c>
      <c r="JU141" s="98">
        <v>67245</v>
      </c>
      <c r="JV141" s="98">
        <v>1613880</v>
      </c>
      <c r="KC141" s="91">
        <f t="shared" si="1194"/>
        <v>67245</v>
      </c>
      <c r="KD141" s="91">
        <f t="shared" si="1195"/>
        <v>1613880</v>
      </c>
      <c r="KK141" s="98">
        <v>61015</v>
      </c>
      <c r="KL141" s="98">
        <v>1220300</v>
      </c>
      <c r="KS141" s="91">
        <f t="shared" si="1196"/>
        <v>61015</v>
      </c>
      <c r="KT141" s="91">
        <f t="shared" si="1197"/>
        <v>1220300</v>
      </c>
      <c r="LA141" s="98">
        <v>1915731.32</v>
      </c>
      <c r="LB141" s="98">
        <v>34483163</v>
      </c>
      <c r="LI141" s="91">
        <f t="shared" si="1198"/>
        <v>1915731.32</v>
      </c>
      <c r="LJ141" s="91">
        <f t="shared" si="1199"/>
        <v>34483163</v>
      </c>
      <c r="LQ141" s="98">
        <v>169231</v>
      </c>
      <c r="LR141" s="98">
        <v>3164619.7</v>
      </c>
      <c r="LY141" s="91">
        <f t="shared" si="1200"/>
        <v>169231</v>
      </c>
      <c r="LZ141" s="91">
        <f t="shared" si="1201"/>
        <v>3164619.7</v>
      </c>
      <c r="MG141" s="98">
        <v>56100</v>
      </c>
      <c r="MH141" s="98">
        <v>1037850</v>
      </c>
      <c r="MO141" s="91">
        <f t="shared" si="1202"/>
        <v>56100</v>
      </c>
      <c r="MP141" s="91">
        <f t="shared" si="1203"/>
        <v>1037850</v>
      </c>
      <c r="MW141" s="98">
        <v>16006</v>
      </c>
      <c r="MX141" s="98">
        <v>368138</v>
      </c>
      <c r="NE141" s="91">
        <f t="shared" si="1204"/>
        <v>16006</v>
      </c>
      <c r="NF141" s="91">
        <f t="shared" si="1205"/>
        <v>368138</v>
      </c>
      <c r="NM141" s="98">
        <v>2456600</v>
      </c>
      <c r="NN141" s="98">
        <v>39305600</v>
      </c>
      <c r="NQ141" s="98">
        <v>800</v>
      </c>
      <c r="NR141" s="98">
        <v>12800</v>
      </c>
      <c r="NU141" s="91">
        <f t="shared" si="1206"/>
        <v>2457400</v>
      </c>
      <c r="NV141" s="91">
        <f t="shared" si="1207"/>
        <v>39318400</v>
      </c>
      <c r="OC141" s="98">
        <v>48881</v>
      </c>
      <c r="OD141" s="98">
        <v>928739</v>
      </c>
      <c r="OK141" s="91">
        <f t="shared" si="1208"/>
        <v>48881</v>
      </c>
      <c r="OL141" s="91">
        <f t="shared" si="1209"/>
        <v>928739</v>
      </c>
      <c r="OS141" s="98">
        <v>36278.5</v>
      </c>
      <c r="OT141" s="98">
        <v>761848.49999999988</v>
      </c>
      <c r="PA141" s="91">
        <f t="shared" si="1210"/>
        <v>36278.5</v>
      </c>
      <c r="PB141" s="91">
        <f t="shared" si="1211"/>
        <v>761848.49999999988</v>
      </c>
      <c r="PI141" s="98">
        <v>366832</v>
      </c>
      <c r="PJ141" s="98">
        <v>6786392</v>
      </c>
      <c r="PQ141" s="91">
        <f t="shared" si="1212"/>
        <v>366832</v>
      </c>
      <c r="PR141" s="91">
        <f t="shared" si="1213"/>
        <v>6786392</v>
      </c>
      <c r="PY141" s="98">
        <v>800530</v>
      </c>
      <c r="PZ141" s="98">
        <v>15210070</v>
      </c>
      <c r="QC141" s="98">
        <v>134850</v>
      </c>
      <c r="QD141" s="98">
        <v>2562150</v>
      </c>
      <c r="QG141" s="91">
        <f t="shared" si="1214"/>
        <v>935380</v>
      </c>
      <c r="QH141" s="91">
        <f t="shared" si="1215"/>
        <v>17772220</v>
      </c>
      <c r="QO141" s="98">
        <v>900000</v>
      </c>
      <c r="QP141" s="98">
        <v>16650000</v>
      </c>
      <c r="QW141" s="91">
        <f t="shared" si="1216"/>
        <v>900000</v>
      </c>
      <c r="QX141" s="91">
        <f t="shared" si="1217"/>
        <v>16650000</v>
      </c>
      <c r="RE141" s="98">
        <v>2680</v>
      </c>
      <c r="RF141" s="98">
        <f>RE141*20</f>
        <v>53600</v>
      </c>
      <c r="RM141" s="91">
        <f t="shared" si="1218"/>
        <v>2680</v>
      </c>
      <c r="RN141" s="91">
        <f t="shared" si="1219"/>
        <v>53600</v>
      </c>
      <c r="RU141" s="98">
        <v>10950</v>
      </c>
      <c r="RV141" s="98">
        <v>197100</v>
      </c>
      <c r="SC141" s="91">
        <f t="shared" si="1220"/>
        <v>10950</v>
      </c>
      <c r="SD141" s="91">
        <f t="shared" si="1221"/>
        <v>197100</v>
      </c>
      <c r="SK141" s="98">
        <v>16100</v>
      </c>
      <c r="SL141" s="98">
        <v>305900</v>
      </c>
      <c r="SS141" s="91">
        <f t="shared" si="1222"/>
        <v>16100</v>
      </c>
      <c r="ST141" s="91">
        <f t="shared" si="1223"/>
        <v>305900</v>
      </c>
      <c r="TA141" s="98">
        <v>20759.990000000002</v>
      </c>
      <c r="TB141" s="98">
        <v>379907.81700000004</v>
      </c>
      <c r="TI141" s="91">
        <f t="shared" si="1224"/>
        <v>20759.990000000002</v>
      </c>
      <c r="TJ141" s="91">
        <f t="shared" si="1225"/>
        <v>379907.81700000004</v>
      </c>
      <c r="TQ141" s="98">
        <v>4400</v>
      </c>
      <c r="TR141" s="98">
        <v>83600</v>
      </c>
      <c r="TY141" s="91">
        <f t="shared" si="1226"/>
        <v>4400</v>
      </c>
      <c r="TZ141" s="91">
        <f t="shared" si="1227"/>
        <v>83600</v>
      </c>
      <c r="UG141" s="98">
        <v>18040</v>
      </c>
      <c r="UH141" s="98">
        <v>324720</v>
      </c>
      <c r="UO141" s="91">
        <f t="shared" si="1228"/>
        <v>18040</v>
      </c>
      <c r="UP141" s="91">
        <f t="shared" si="1229"/>
        <v>324720</v>
      </c>
      <c r="UW141" s="98">
        <v>6923</v>
      </c>
      <c r="UX141" s="98">
        <v>138460</v>
      </c>
      <c r="VE141" s="91">
        <f t="shared" si="1230"/>
        <v>6923</v>
      </c>
      <c r="VF141" s="91">
        <f t="shared" si="1231"/>
        <v>138460</v>
      </c>
      <c r="VM141" s="98">
        <v>11355</v>
      </c>
      <c r="VN141" s="98">
        <v>215745</v>
      </c>
      <c r="VU141" s="91">
        <f t="shared" si="1232"/>
        <v>11355</v>
      </c>
      <c r="VV141" s="91">
        <f t="shared" si="1233"/>
        <v>215745</v>
      </c>
      <c r="WC141" s="98">
        <v>118909</v>
      </c>
      <c r="WD141" s="98">
        <v>2378180</v>
      </c>
      <c r="WI141" s="98">
        <v>8216</v>
      </c>
      <c r="WJ141" s="98">
        <v>180752</v>
      </c>
      <c r="WK141" s="91">
        <f t="shared" si="1234"/>
        <v>127125</v>
      </c>
      <c r="WL141" s="91">
        <f t="shared" si="1235"/>
        <v>2558932</v>
      </c>
      <c r="WM141" s="89"/>
      <c r="WN141" s="87">
        <f t="shared" si="1236"/>
        <v>0</v>
      </c>
      <c r="WO141" s="87">
        <f t="shared" si="1237"/>
        <v>0</v>
      </c>
      <c r="WP141" s="87">
        <f t="shared" si="1238"/>
        <v>0</v>
      </c>
      <c r="WQ141" s="87">
        <f t="shared" si="1239"/>
        <v>0</v>
      </c>
      <c r="WR141" s="87">
        <f t="shared" si="1240"/>
        <v>0</v>
      </c>
      <c r="WS141" s="87">
        <f t="shared" si="1241"/>
        <v>0</v>
      </c>
      <c r="WT141" s="87">
        <f t="shared" si="1242"/>
        <v>14637827.810000001</v>
      </c>
      <c r="WU141" s="87">
        <f t="shared" si="1243"/>
        <v>262630901.01699999</v>
      </c>
      <c r="WV141" s="87">
        <f t="shared" si="1244"/>
        <v>0</v>
      </c>
      <c r="WW141" s="87">
        <f t="shared" si="1245"/>
        <v>0</v>
      </c>
      <c r="WX141" s="87">
        <f t="shared" si="1246"/>
        <v>149104</v>
      </c>
      <c r="WY141" s="87">
        <f t="shared" si="1247"/>
        <v>2805168</v>
      </c>
      <c r="WZ141" s="87">
        <f t="shared" si="1248"/>
        <v>8951</v>
      </c>
      <c r="XA141" s="87">
        <f t="shared" si="1249"/>
        <v>195452</v>
      </c>
      <c r="XB141" s="92">
        <f t="shared" si="1250"/>
        <v>14795882.810000001</v>
      </c>
      <c r="XC141" s="92">
        <f t="shared" si="1251"/>
        <v>265631521.01699999</v>
      </c>
      <c r="XD141" s="89"/>
      <c r="XE141" s="92">
        <f t="shared" ref="XE141:XF141" si="1268">SUM(XB369,XB407,XB445)</f>
        <v>41314057.119620785</v>
      </c>
      <c r="XF141" s="92">
        <f t="shared" si="1268"/>
        <v>743734405.99603117</v>
      </c>
      <c r="XG141" s="89"/>
      <c r="XH141" s="92"/>
      <c r="XI141" s="92"/>
      <c r="XJ141" s="89"/>
      <c r="XK141" s="87"/>
      <c r="XL141" s="87"/>
      <c r="XM141" s="87"/>
      <c r="XN141" s="87"/>
      <c r="XO141" s="87"/>
      <c r="XP141" s="87"/>
      <c r="XQ141" s="87"/>
      <c r="XR141" s="92">
        <f t="shared" ca="1" si="1252"/>
        <v>0</v>
      </c>
      <c r="XS141" s="89"/>
      <c r="XT141" s="87"/>
      <c r="XU141" s="87"/>
      <c r="XV141" s="87"/>
      <c r="XW141" s="87"/>
      <c r="XX141" s="87"/>
      <c r="XY141" s="87"/>
      <c r="XZ141" s="87"/>
      <c r="YA141" s="92">
        <f t="shared" ca="1" si="1253"/>
        <v>0</v>
      </c>
      <c r="YB141" s="90"/>
      <c r="YC141" s="90"/>
      <c r="YD141" s="90"/>
      <c r="YE141" s="90"/>
      <c r="YF141" s="90"/>
      <c r="YG141" s="90"/>
      <c r="YH141" s="90"/>
      <c r="YI141" s="90"/>
      <c r="YJ141" s="90"/>
      <c r="YK141" s="90"/>
      <c r="YL141" s="90"/>
      <c r="YM141" s="90"/>
      <c r="YN141" s="90"/>
      <c r="YO141" s="90"/>
      <c r="YP141" s="90"/>
      <c r="YQ141" s="90"/>
      <c r="YR141" s="90"/>
      <c r="YS141" s="90"/>
      <c r="YT141" s="90"/>
      <c r="YU141" s="90"/>
      <c r="YV141" s="90"/>
      <c r="YW141" s="90"/>
      <c r="YX141" s="90"/>
      <c r="YY141" s="90"/>
      <c r="YZ141" s="90"/>
      <c r="ZA141" s="90"/>
      <c r="ZB141" s="90"/>
      <c r="ZC141" s="90"/>
      <c r="ZD141" s="90"/>
      <c r="ZE141" s="90"/>
      <c r="ZF141" s="90"/>
      <c r="ZG141" s="90"/>
      <c r="ZH141" s="90"/>
      <c r="ZI141" s="90"/>
      <c r="ZJ141" s="90"/>
      <c r="ZK141" s="90"/>
      <c r="ZL141" s="90"/>
      <c r="ZM141" s="90"/>
      <c r="ZN141" s="90"/>
      <c r="ZO141" s="90"/>
      <c r="ZP141" s="90"/>
      <c r="ZQ141" s="90"/>
      <c r="ZR141" s="90"/>
      <c r="ZS141" s="90"/>
      <c r="ZT141" s="90"/>
      <c r="ZU141" s="90"/>
      <c r="ZV141" s="90"/>
      <c r="ZW141" s="90"/>
      <c r="ZX141" s="90"/>
      <c r="ZY141" s="90"/>
      <c r="ZZ141" s="90"/>
      <c r="AAA141" s="90"/>
      <c r="AAB141" s="90"/>
      <c r="AAC141" s="90"/>
      <c r="AAD141" s="90"/>
      <c r="AAE141" s="90"/>
      <c r="AAF141" s="90"/>
      <c r="AAG141" s="90"/>
      <c r="AAH141" s="90"/>
      <c r="AAI141" s="90"/>
      <c r="AAJ141" s="90"/>
      <c r="AAK141" s="90"/>
      <c r="AAL141" s="90"/>
      <c r="AAM141" s="90"/>
      <c r="AAN141" s="90"/>
      <c r="AAO141" s="90"/>
      <c r="AAP141" s="90"/>
      <c r="AAQ141" s="90"/>
      <c r="AAR141" s="90"/>
      <c r="AAS141" s="90"/>
      <c r="AAT141" s="90"/>
      <c r="AAU141" s="90"/>
      <c r="AAV141" s="90"/>
      <c r="AAW141" s="90"/>
      <c r="AAX141" s="90"/>
      <c r="AAY141" s="90"/>
      <c r="AAZ141" s="90"/>
      <c r="ABA141" s="90"/>
      <c r="ABB141" s="90"/>
      <c r="ABC141" s="90"/>
      <c r="ABD141" s="90"/>
      <c r="ABE141" s="90"/>
      <c r="ABF141" s="90"/>
      <c r="ABG141" s="90"/>
      <c r="ABH141" s="90"/>
      <c r="ABI141" s="90"/>
      <c r="ABJ141" s="90"/>
      <c r="ABK141" s="90"/>
      <c r="ABL141" s="90"/>
      <c r="ABM141" s="90"/>
      <c r="ABN141" s="90"/>
      <c r="ABO141" s="90"/>
      <c r="ABP141" s="90"/>
      <c r="ABQ141" s="90"/>
      <c r="ABR141" s="90"/>
      <c r="ABS141" s="90"/>
      <c r="ABT141" s="90"/>
      <c r="ABU141" s="90"/>
      <c r="ABV141" s="90"/>
      <c r="ABW141" s="90"/>
      <c r="ABX141" s="90"/>
      <c r="ABY141" s="90"/>
      <c r="ABZ141" s="90"/>
      <c r="ACA141" s="90"/>
      <c r="ACB141" s="90"/>
      <c r="ACC141" s="90"/>
      <c r="ACD141" s="90"/>
      <c r="ACE141" s="90"/>
      <c r="ACF141" s="90"/>
      <c r="ACG141" s="90"/>
      <c r="ACH141" s="90"/>
      <c r="ACI141" s="90"/>
      <c r="ACJ141" s="90"/>
      <c r="ACK141" s="90"/>
      <c r="ACL141" s="90"/>
      <c r="ACM141" s="90"/>
      <c r="ACN141" s="90"/>
      <c r="ACO141" s="90"/>
      <c r="ACP141" s="90"/>
      <c r="ACQ141" s="90"/>
      <c r="ACR141" s="90"/>
      <c r="ACS141" s="90"/>
      <c r="ACT141" s="90"/>
      <c r="ACU141" s="90"/>
      <c r="ACV141" s="90"/>
      <c r="ACW141" s="90"/>
      <c r="ACX141" s="90"/>
      <c r="ACY141" s="90"/>
      <c r="ACZ141" s="90"/>
      <c r="ADA141" s="90"/>
      <c r="ADB141" s="90"/>
      <c r="ADC141" s="90"/>
      <c r="ADD141" s="90"/>
      <c r="ADE141" s="90"/>
      <c r="ADF141" s="90"/>
      <c r="ADG141" s="90"/>
      <c r="ADH141" s="90"/>
      <c r="ADI141" s="90"/>
      <c r="ADJ141" s="90"/>
      <c r="ADK141" s="90"/>
      <c r="ADL141" s="90"/>
      <c r="ADM141" s="90"/>
      <c r="ADN141" s="90"/>
      <c r="ADO141" s="90"/>
      <c r="ADP141" s="90"/>
      <c r="ADQ141" s="90"/>
      <c r="ADR141" s="90"/>
      <c r="ADS141" s="90"/>
      <c r="ADT141" s="90"/>
      <c r="ADU141" s="90"/>
      <c r="ADV141" s="90"/>
      <c r="ADW141" s="90"/>
      <c r="ADX141" s="90"/>
      <c r="ADY141" s="90"/>
      <c r="ADZ141" s="90"/>
      <c r="AEA141" s="90"/>
      <c r="AEB141" s="90"/>
      <c r="AEC141" s="90"/>
      <c r="AED141" s="90"/>
      <c r="AEE141" s="90"/>
      <c r="AEF141" s="90"/>
      <c r="AEG141" s="90"/>
      <c r="AEH141" s="90"/>
      <c r="AEI141" s="90"/>
      <c r="AEJ141" s="90"/>
      <c r="AEK141" s="90"/>
      <c r="AEL141" s="90"/>
      <c r="AEM141" s="90"/>
      <c r="AEN141" s="90"/>
      <c r="AEO141" s="90"/>
      <c r="AEP141" s="90"/>
      <c r="AEQ141" s="90"/>
      <c r="AER141" s="90"/>
      <c r="AES141" s="90"/>
      <c r="AET141" s="90"/>
      <c r="AEU141" s="90"/>
      <c r="AEV141" s="90"/>
      <c r="AEW141" s="90"/>
      <c r="AEX141" s="90"/>
      <c r="AEY141" s="90"/>
      <c r="AEZ141" s="90"/>
      <c r="AFA141" s="90"/>
      <c r="AFB141" s="90"/>
      <c r="AFC141" s="90"/>
      <c r="AFD141" s="90"/>
      <c r="AFE141" s="90"/>
      <c r="AFF141" s="90"/>
      <c r="AFG141" s="90"/>
      <c r="AFH141" s="90"/>
      <c r="AFI141" s="90"/>
      <c r="AFJ141" s="90"/>
      <c r="AFK141" s="90"/>
      <c r="AFL141" s="90"/>
      <c r="AFM141" s="90"/>
      <c r="AFN141" s="90"/>
      <c r="AFO141" s="90"/>
      <c r="AFP141" s="90"/>
      <c r="AFQ141" s="90"/>
      <c r="AFR141" s="90"/>
      <c r="AFS141" s="90"/>
      <c r="AFT141" s="90"/>
      <c r="AFU141" s="90"/>
      <c r="AFV141" s="90"/>
      <c r="AFW141" s="90"/>
      <c r="AFX141" s="90"/>
      <c r="AFY141" s="90"/>
      <c r="AFZ141" s="90"/>
      <c r="AGA141" s="90"/>
      <c r="AGB141" s="90"/>
      <c r="AGC141" s="90"/>
      <c r="AGD141" s="90"/>
      <c r="AGE141" s="90"/>
      <c r="AGF141" s="90"/>
      <c r="AGG141" s="90"/>
      <c r="AGH141" s="90"/>
      <c r="AGI141" s="90"/>
      <c r="AGJ141" s="90"/>
      <c r="AGK141" s="90"/>
      <c r="AGL141" s="90"/>
      <c r="AGM141" s="90"/>
      <c r="AGN141" s="90"/>
      <c r="AGO141" s="90"/>
      <c r="AGP141" s="90"/>
      <c r="AGQ141" s="90"/>
      <c r="AGR141" s="90"/>
      <c r="AGS141" s="90"/>
      <c r="AGT141" s="90"/>
      <c r="AGU141" s="90"/>
      <c r="AGV141" s="90"/>
      <c r="AGW141" s="90"/>
      <c r="AGX141" s="90"/>
      <c r="AGY141" s="90"/>
      <c r="AGZ141" s="90"/>
      <c r="AHA141" s="90"/>
      <c r="AHB141" s="90"/>
      <c r="AHC141" s="90"/>
      <c r="AHD141" s="90"/>
      <c r="AHE141" s="90"/>
      <c r="AHF141" s="90"/>
      <c r="AHG141" s="90"/>
      <c r="AHH141" s="90"/>
      <c r="AHI141" s="90"/>
      <c r="AHJ141" s="90"/>
      <c r="AHK141" s="90"/>
      <c r="AHL141" s="90"/>
      <c r="AHM141" s="90"/>
      <c r="AHN141" s="90"/>
      <c r="AHO141" s="90"/>
      <c r="AHP141" s="90"/>
      <c r="AHQ141" s="90"/>
      <c r="AHR141" s="90"/>
      <c r="AHS141" s="90"/>
      <c r="AHT141" s="90"/>
      <c r="AHU141" s="90"/>
      <c r="AHV141" s="90"/>
      <c r="AHW141" s="90"/>
      <c r="AHX141" s="90"/>
      <c r="AHY141" s="90"/>
      <c r="AHZ141" s="90"/>
      <c r="AIA141" s="90"/>
      <c r="AIB141" s="90"/>
      <c r="AIC141" s="90"/>
      <c r="AID141" s="90"/>
      <c r="AIE141" s="90"/>
      <c r="AIF141" s="90"/>
      <c r="AIG141" s="90"/>
      <c r="AIH141" s="90"/>
      <c r="AII141" s="90"/>
      <c r="AIJ141" s="90"/>
      <c r="AIK141" s="90"/>
      <c r="AIL141" s="90"/>
      <c r="AIM141" s="90"/>
      <c r="AIN141" s="90"/>
      <c r="AIO141" s="90"/>
      <c r="AIP141" s="90"/>
      <c r="AIQ141" s="90"/>
      <c r="AIR141" s="90"/>
      <c r="AIS141" s="90"/>
      <c r="AIT141" s="90"/>
      <c r="AIU141" s="90"/>
      <c r="AIV141" s="90"/>
      <c r="AIW141" s="90"/>
      <c r="AIX141" s="90"/>
      <c r="AIY141" s="90"/>
      <c r="AIZ141" s="90"/>
      <c r="AJA141" s="90"/>
      <c r="AJB141" s="90"/>
      <c r="AJC141" s="90"/>
      <c r="AJD141" s="90"/>
      <c r="AJE141" s="90"/>
      <c r="AJF141" s="90"/>
      <c r="AJG141" s="90"/>
      <c r="AJH141" s="90"/>
      <c r="AJI141" s="90"/>
      <c r="AJJ141" s="90"/>
      <c r="AJK141" s="90"/>
      <c r="AJL141" s="90"/>
      <c r="AJM141" s="90"/>
      <c r="AJN141" s="90"/>
      <c r="AJO141" s="90"/>
      <c r="AJP141" s="90"/>
      <c r="AJQ141" s="90"/>
      <c r="AJR141" s="90"/>
      <c r="AJS141" s="90"/>
      <c r="AJT141" s="90"/>
      <c r="AJU141" s="90"/>
      <c r="AJV141" s="90"/>
      <c r="AJW141" s="90"/>
      <c r="AJX141" s="90"/>
      <c r="AJY141" s="90"/>
      <c r="AJZ141" s="90"/>
      <c r="AKA141" s="90"/>
      <c r="AKB141" s="90"/>
      <c r="AKC141" s="90"/>
      <c r="AKD141" s="90"/>
      <c r="AKE141" s="90"/>
      <c r="AKF141" s="90"/>
      <c r="AKG141" s="90"/>
      <c r="AKH141" s="90"/>
      <c r="AKI141" s="90"/>
      <c r="AKJ141" s="90"/>
      <c r="AKK141" s="90"/>
      <c r="AKL141" s="90"/>
      <c r="AKM141" s="90"/>
      <c r="AKN141" s="90"/>
      <c r="AKO141" s="90"/>
      <c r="AKP141" s="90"/>
      <c r="AKQ141" s="90"/>
      <c r="AKR141" s="90"/>
      <c r="AKS141" s="90"/>
      <c r="AKT141" s="90"/>
      <c r="AKU141" s="90"/>
      <c r="AKV141" s="90"/>
      <c r="AKW141" s="90"/>
      <c r="AKX141" s="90"/>
      <c r="AKY141" s="90"/>
      <c r="AKZ141" s="90"/>
      <c r="ALA141" s="90"/>
      <c r="ALB141" s="90"/>
      <c r="ALC141" s="90"/>
      <c r="ALD141" s="90"/>
      <c r="ALE141" s="90"/>
      <c r="ALF141" s="90"/>
      <c r="ALG141" s="90"/>
      <c r="ALH141" s="90"/>
      <c r="ALI141" s="90"/>
      <c r="ALJ141" s="90"/>
      <c r="ALK141" s="90"/>
      <c r="ALL141" s="90"/>
      <c r="ALM141" s="90"/>
      <c r="ALN141" s="90"/>
      <c r="ALO141" s="90"/>
      <c r="ALP141" s="90"/>
      <c r="ALQ141" s="90"/>
      <c r="ALR141" s="90"/>
      <c r="ALS141" s="90"/>
      <c r="ALT141" s="90"/>
      <c r="ALU141" s="90"/>
      <c r="ALV141" s="90"/>
      <c r="ALW141" s="90"/>
      <c r="ALX141" s="90"/>
      <c r="ALY141" s="90"/>
      <c r="ALZ141" s="90"/>
      <c r="AMA141" s="90"/>
      <c r="AMB141" s="90"/>
      <c r="AMC141" s="90"/>
    </row>
    <row r="142" spans="1:1017">
      <c r="A142" s="98" t="s">
        <v>48</v>
      </c>
      <c r="B142" s="90" t="str">
        <f t="shared" si="1159"/>
        <v xml:space="preserve">Lobster Air Laut </v>
      </c>
      <c r="Q142" s="91">
        <f t="shared" si="1160"/>
        <v>0</v>
      </c>
      <c r="R142" s="91">
        <f t="shared" si="1161"/>
        <v>0</v>
      </c>
      <c r="S142" s="98">
        <v>860</v>
      </c>
      <c r="T142" s="98">
        <v>301000</v>
      </c>
      <c r="AG142" s="91">
        <f t="shared" si="1162"/>
        <v>860</v>
      </c>
      <c r="AH142" s="91">
        <f t="shared" si="1163"/>
        <v>301000</v>
      </c>
      <c r="AW142" s="91">
        <f t="shared" si="1164"/>
        <v>0</v>
      </c>
      <c r="AX142" s="91">
        <f t="shared" si="1165"/>
        <v>0</v>
      </c>
      <c r="BM142" s="91">
        <f t="shared" si="1166"/>
        <v>0</v>
      </c>
      <c r="BN142" s="91">
        <f t="shared" si="1167"/>
        <v>0</v>
      </c>
      <c r="CC142" s="91">
        <f t="shared" si="1168"/>
        <v>0</v>
      </c>
      <c r="CD142" s="91">
        <f t="shared" si="1169"/>
        <v>0</v>
      </c>
      <c r="CS142" s="91">
        <f t="shared" si="1254"/>
        <v>0</v>
      </c>
      <c r="CT142" s="91">
        <f t="shared" si="1255"/>
        <v>0</v>
      </c>
      <c r="DI142" s="91">
        <f t="shared" si="1172"/>
        <v>0</v>
      </c>
      <c r="DJ142" s="91">
        <f t="shared" si="1173"/>
        <v>0</v>
      </c>
      <c r="DY142" s="91">
        <f t="shared" si="1174"/>
        <v>0</v>
      </c>
      <c r="DZ142" s="91">
        <f t="shared" si="1175"/>
        <v>0</v>
      </c>
      <c r="EO142" s="91">
        <f t="shared" si="1176"/>
        <v>0</v>
      </c>
      <c r="EP142" s="91">
        <f t="shared" si="1177"/>
        <v>0</v>
      </c>
      <c r="FE142" s="91">
        <f t="shared" si="1178"/>
        <v>0</v>
      </c>
      <c r="FF142" s="91">
        <f t="shared" si="1179"/>
        <v>0</v>
      </c>
      <c r="FU142" s="91">
        <f t="shared" si="1180"/>
        <v>0</v>
      </c>
      <c r="FV142" s="91">
        <f t="shared" si="1181"/>
        <v>0</v>
      </c>
      <c r="GK142" s="91">
        <f t="shared" si="1182"/>
        <v>0</v>
      </c>
      <c r="GL142" s="91">
        <f t="shared" si="1183"/>
        <v>0</v>
      </c>
      <c r="HA142" s="91">
        <f t="shared" si="1184"/>
        <v>0</v>
      </c>
      <c r="HB142" s="91">
        <f t="shared" si="1185"/>
        <v>0</v>
      </c>
      <c r="HQ142" s="91">
        <f t="shared" si="1186"/>
        <v>0</v>
      </c>
      <c r="HR142" s="91">
        <f t="shared" si="1187"/>
        <v>0</v>
      </c>
      <c r="IG142" s="91">
        <f t="shared" si="1188"/>
        <v>0</v>
      </c>
      <c r="IH142" s="91">
        <f t="shared" si="1189"/>
        <v>0</v>
      </c>
      <c r="IW142" s="91">
        <f t="shared" si="1190"/>
        <v>0</v>
      </c>
      <c r="IX142" s="91">
        <f t="shared" si="1191"/>
        <v>0</v>
      </c>
      <c r="JM142" s="91">
        <f t="shared" si="1192"/>
        <v>0</v>
      </c>
      <c r="JN142" s="91">
        <f t="shared" si="1193"/>
        <v>0</v>
      </c>
      <c r="KC142" s="91">
        <f t="shared" si="1194"/>
        <v>0</v>
      </c>
      <c r="KD142" s="91">
        <f t="shared" si="1195"/>
        <v>0</v>
      </c>
      <c r="KS142" s="91">
        <f t="shared" si="1196"/>
        <v>0</v>
      </c>
      <c r="KT142" s="91">
        <f t="shared" si="1197"/>
        <v>0</v>
      </c>
      <c r="LI142" s="91">
        <f t="shared" si="1198"/>
        <v>0</v>
      </c>
      <c r="LJ142" s="91">
        <f t="shared" si="1199"/>
        <v>0</v>
      </c>
      <c r="LY142" s="91">
        <f t="shared" si="1200"/>
        <v>0</v>
      </c>
      <c r="LZ142" s="91">
        <f t="shared" si="1201"/>
        <v>0</v>
      </c>
      <c r="MO142" s="91">
        <f t="shared" si="1202"/>
        <v>0</v>
      </c>
      <c r="MP142" s="91">
        <f t="shared" si="1203"/>
        <v>0</v>
      </c>
      <c r="NE142" s="91">
        <f t="shared" si="1204"/>
        <v>0</v>
      </c>
      <c r="NF142" s="91">
        <f t="shared" si="1205"/>
        <v>0</v>
      </c>
      <c r="NU142" s="91">
        <f t="shared" si="1206"/>
        <v>0</v>
      </c>
      <c r="NV142" s="91">
        <f t="shared" si="1207"/>
        <v>0</v>
      </c>
      <c r="NW142" s="98">
        <v>250</v>
      </c>
      <c r="NX142" s="98">
        <v>87500</v>
      </c>
      <c r="OK142" s="91">
        <f t="shared" si="1208"/>
        <v>250</v>
      </c>
      <c r="OL142" s="91">
        <f t="shared" si="1209"/>
        <v>87500</v>
      </c>
      <c r="PA142" s="91">
        <f t="shared" si="1210"/>
        <v>0</v>
      </c>
      <c r="PB142" s="91">
        <f t="shared" si="1211"/>
        <v>0</v>
      </c>
      <c r="PQ142" s="91">
        <f t="shared" si="1212"/>
        <v>0</v>
      </c>
      <c r="PR142" s="91">
        <f t="shared" si="1213"/>
        <v>0</v>
      </c>
      <c r="QG142" s="91">
        <f t="shared" si="1214"/>
        <v>0</v>
      </c>
      <c r="QH142" s="91">
        <f t="shared" si="1215"/>
        <v>0</v>
      </c>
      <c r="QW142" s="91">
        <f t="shared" si="1216"/>
        <v>0</v>
      </c>
      <c r="QX142" s="91">
        <f t="shared" si="1217"/>
        <v>0</v>
      </c>
      <c r="RM142" s="91">
        <f t="shared" si="1218"/>
        <v>0</v>
      </c>
      <c r="RN142" s="91">
        <f t="shared" si="1219"/>
        <v>0</v>
      </c>
      <c r="SC142" s="91">
        <f t="shared" si="1220"/>
        <v>0</v>
      </c>
      <c r="SD142" s="91">
        <f t="shared" si="1221"/>
        <v>0</v>
      </c>
      <c r="SS142" s="91">
        <f t="shared" si="1222"/>
        <v>0</v>
      </c>
      <c r="ST142" s="91">
        <f t="shared" si="1223"/>
        <v>0</v>
      </c>
      <c r="TI142" s="91">
        <f t="shared" si="1224"/>
        <v>0</v>
      </c>
      <c r="TJ142" s="91">
        <f t="shared" si="1225"/>
        <v>0</v>
      </c>
      <c r="TY142" s="91">
        <f t="shared" si="1226"/>
        <v>0</v>
      </c>
      <c r="TZ142" s="91">
        <f t="shared" si="1227"/>
        <v>0</v>
      </c>
      <c r="UO142" s="91">
        <f t="shared" si="1228"/>
        <v>0</v>
      </c>
      <c r="UP142" s="91">
        <f t="shared" si="1229"/>
        <v>0</v>
      </c>
      <c r="VE142" s="91">
        <f t="shared" si="1230"/>
        <v>0</v>
      </c>
      <c r="VF142" s="91">
        <f t="shared" si="1231"/>
        <v>0</v>
      </c>
      <c r="VU142" s="91">
        <f t="shared" si="1232"/>
        <v>0</v>
      </c>
      <c r="VV142" s="91">
        <f t="shared" si="1233"/>
        <v>0</v>
      </c>
      <c r="WK142" s="91">
        <f t="shared" si="1234"/>
        <v>0</v>
      </c>
      <c r="WL142" s="91">
        <f t="shared" si="1235"/>
        <v>0</v>
      </c>
      <c r="WM142" s="89"/>
      <c r="WN142" s="87">
        <f t="shared" si="1236"/>
        <v>1110</v>
      </c>
      <c r="WO142" s="87">
        <f t="shared" si="1237"/>
        <v>388500</v>
      </c>
      <c r="WP142" s="87">
        <f t="shared" si="1238"/>
        <v>0</v>
      </c>
      <c r="WQ142" s="87">
        <f t="shared" si="1239"/>
        <v>0</v>
      </c>
      <c r="WR142" s="87">
        <f t="shared" si="1240"/>
        <v>0</v>
      </c>
      <c r="WS142" s="87">
        <f t="shared" si="1241"/>
        <v>0</v>
      </c>
      <c r="WT142" s="87">
        <f t="shared" si="1242"/>
        <v>0</v>
      </c>
      <c r="WU142" s="87">
        <f t="shared" si="1243"/>
        <v>0</v>
      </c>
      <c r="WV142" s="87">
        <f t="shared" si="1244"/>
        <v>0</v>
      </c>
      <c r="WW142" s="87">
        <f t="shared" si="1245"/>
        <v>0</v>
      </c>
      <c r="WX142" s="87">
        <f t="shared" si="1246"/>
        <v>0</v>
      </c>
      <c r="WY142" s="87">
        <f t="shared" si="1247"/>
        <v>0</v>
      </c>
      <c r="WZ142" s="87">
        <f t="shared" si="1248"/>
        <v>0</v>
      </c>
      <c r="XA142" s="87">
        <f t="shared" si="1249"/>
        <v>0</v>
      </c>
      <c r="XB142" s="92">
        <f t="shared" si="1250"/>
        <v>1110</v>
      </c>
      <c r="XC142" s="92">
        <f t="shared" si="1251"/>
        <v>388500</v>
      </c>
      <c r="XD142" s="89"/>
      <c r="XE142" s="92">
        <f t="shared" ref="XE142:XF142" si="1269">SUM(XB370,XB408,XB446)</f>
        <v>3120</v>
      </c>
      <c r="XF142" s="92">
        <f t="shared" si="1269"/>
        <v>1092000</v>
      </c>
      <c r="XG142" s="89"/>
      <c r="XH142" s="92"/>
      <c r="XI142" s="92"/>
      <c r="XJ142" s="89"/>
      <c r="XK142" s="87"/>
      <c r="XL142" s="87"/>
      <c r="XM142" s="87"/>
      <c r="XN142" s="87"/>
      <c r="XO142" s="87"/>
      <c r="XP142" s="87"/>
      <c r="XQ142" s="87"/>
      <c r="XR142" s="92">
        <f t="shared" ca="1" si="1252"/>
        <v>0</v>
      </c>
      <c r="XS142" s="89"/>
      <c r="XT142" s="87"/>
      <c r="XU142" s="87"/>
      <c r="XV142" s="87"/>
      <c r="XW142" s="87"/>
      <c r="XX142" s="87"/>
      <c r="XY142" s="87"/>
      <c r="XZ142" s="87"/>
      <c r="YA142" s="92">
        <f t="shared" ca="1" si="1253"/>
        <v>0</v>
      </c>
      <c r="YB142" s="90"/>
      <c r="YC142" s="90"/>
      <c r="YD142" s="90"/>
      <c r="YE142" s="90"/>
      <c r="YF142" s="90"/>
      <c r="YG142" s="90"/>
      <c r="YH142" s="90"/>
      <c r="YI142" s="90"/>
      <c r="YJ142" s="90"/>
      <c r="YK142" s="90"/>
      <c r="YL142" s="90"/>
      <c r="YM142" s="90"/>
      <c r="YN142" s="90"/>
      <c r="YO142" s="90"/>
      <c r="YP142" s="90"/>
      <c r="YQ142" s="90"/>
      <c r="YR142" s="90"/>
      <c r="YS142" s="90"/>
      <c r="YT142" s="90"/>
      <c r="YU142" s="90"/>
      <c r="YV142" s="90"/>
      <c r="YW142" s="90"/>
      <c r="YX142" s="90"/>
      <c r="YY142" s="90"/>
      <c r="YZ142" s="90"/>
      <c r="ZA142" s="90"/>
      <c r="ZB142" s="90"/>
      <c r="ZC142" s="90"/>
      <c r="ZD142" s="90"/>
      <c r="ZE142" s="90"/>
      <c r="ZF142" s="90"/>
      <c r="ZG142" s="90"/>
      <c r="ZH142" s="90"/>
      <c r="ZI142" s="90"/>
      <c r="ZJ142" s="90"/>
      <c r="ZK142" s="90"/>
      <c r="ZL142" s="90"/>
      <c r="ZM142" s="90"/>
      <c r="ZN142" s="90"/>
      <c r="ZO142" s="90"/>
      <c r="ZP142" s="90"/>
      <c r="ZQ142" s="90"/>
      <c r="ZR142" s="90"/>
      <c r="ZS142" s="90"/>
      <c r="ZT142" s="90"/>
      <c r="ZU142" s="90"/>
      <c r="ZV142" s="90"/>
      <c r="ZW142" s="90"/>
      <c r="ZX142" s="90"/>
      <c r="ZY142" s="90"/>
      <c r="ZZ142" s="90"/>
      <c r="AAA142" s="90"/>
      <c r="AAB142" s="90"/>
      <c r="AAC142" s="90"/>
      <c r="AAD142" s="90"/>
      <c r="AAE142" s="90"/>
      <c r="AAF142" s="90"/>
      <c r="AAG142" s="90"/>
      <c r="AAH142" s="90"/>
      <c r="AAI142" s="90"/>
      <c r="AAJ142" s="90"/>
      <c r="AAK142" s="90"/>
      <c r="AAL142" s="90"/>
      <c r="AAM142" s="90"/>
      <c r="AAN142" s="90"/>
      <c r="AAO142" s="90"/>
      <c r="AAP142" s="90"/>
      <c r="AAQ142" s="90"/>
      <c r="AAR142" s="90"/>
      <c r="AAS142" s="90"/>
      <c r="AAT142" s="90"/>
      <c r="AAU142" s="90"/>
      <c r="AAV142" s="90"/>
      <c r="AAW142" s="90"/>
      <c r="AAX142" s="90"/>
      <c r="AAY142" s="90"/>
      <c r="AAZ142" s="90"/>
      <c r="ABA142" s="90"/>
      <c r="ABB142" s="90"/>
      <c r="ABC142" s="90"/>
      <c r="ABD142" s="90"/>
      <c r="ABE142" s="90"/>
      <c r="ABF142" s="90"/>
      <c r="ABG142" s="90"/>
      <c r="ABH142" s="90"/>
      <c r="ABI142" s="90"/>
      <c r="ABJ142" s="90"/>
      <c r="ABK142" s="90"/>
      <c r="ABL142" s="90"/>
      <c r="ABM142" s="90"/>
      <c r="ABN142" s="90"/>
      <c r="ABO142" s="90"/>
      <c r="ABP142" s="90"/>
      <c r="ABQ142" s="90"/>
      <c r="ABR142" s="90"/>
      <c r="ABS142" s="90"/>
      <c r="ABT142" s="90"/>
      <c r="ABU142" s="90"/>
      <c r="ABV142" s="90"/>
      <c r="ABW142" s="90"/>
      <c r="ABX142" s="90"/>
      <c r="ABY142" s="90"/>
      <c r="ABZ142" s="90"/>
      <c r="ACA142" s="90"/>
      <c r="ACB142" s="90"/>
      <c r="ACC142" s="90"/>
      <c r="ACD142" s="90"/>
      <c r="ACE142" s="90"/>
      <c r="ACF142" s="90"/>
      <c r="ACG142" s="90"/>
      <c r="ACH142" s="90"/>
      <c r="ACI142" s="90"/>
      <c r="ACJ142" s="90"/>
      <c r="ACK142" s="90"/>
      <c r="ACL142" s="90"/>
      <c r="ACM142" s="90"/>
      <c r="ACN142" s="90"/>
      <c r="ACO142" s="90"/>
      <c r="ACP142" s="90"/>
      <c r="ACQ142" s="90"/>
      <c r="ACR142" s="90"/>
      <c r="ACS142" s="90"/>
      <c r="ACT142" s="90"/>
      <c r="ACU142" s="90"/>
      <c r="ACV142" s="90"/>
      <c r="ACW142" s="90"/>
      <c r="ACX142" s="90"/>
      <c r="ACY142" s="90"/>
      <c r="ACZ142" s="90"/>
      <c r="ADA142" s="90"/>
      <c r="ADB142" s="90"/>
      <c r="ADC142" s="90"/>
      <c r="ADD142" s="90"/>
      <c r="ADE142" s="90"/>
      <c r="ADF142" s="90"/>
      <c r="ADG142" s="90"/>
      <c r="ADH142" s="90"/>
      <c r="ADI142" s="90"/>
      <c r="ADJ142" s="90"/>
      <c r="ADK142" s="90"/>
      <c r="ADL142" s="90"/>
      <c r="ADM142" s="90"/>
      <c r="ADN142" s="90"/>
      <c r="ADO142" s="90"/>
      <c r="ADP142" s="90"/>
      <c r="ADQ142" s="90"/>
      <c r="ADR142" s="90"/>
      <c r="ADS142" s="90"/>
      <c r="ADT142" s="90"/>
      <c r="ADU142" s="90"/>
      <c r="ADV142" s="90"/>
      <c r="ADW142" s="90"/>
      <c r="ADX142" s="90"/>
      <c r="ADY142" s="90"/>
      <c r="ADZ142" s="90"/>
      <c r="AEA142" s="90"/>
      <c r="AEB142" s="90"/>
      <c r="AEC142" s="90"/>
      <c r="AED142" s="90"/>
      <c r="AEE142" s="90"/>
      <c r="AEF142" s="90"/>
      <c r="AEG142" s="90"/>
      <c r="AEH142" s="90"/>
      <c r="AEI142" s="90"/>
      <c r="AEJ142" s="90"/>
      <c r="AEK142" s="90"/>
      <c r="AEL142" s="90"/>
      <c r="AEM142" s="90"/>
      <c r="AEN142" s="90"/>
      <c r="AEO142" s="90"/>
      <c r="AEP142" s="90"/>
      <c r="AEQ142" s="90"/>
      <c r="AER142" s="90"/>
      <c r="AES142" s="90"/>
      <c r="AET142" s="90"/>
      <c r="AEU142" s="90"/>
      <c r="AEV142" s="90"/>
      <c r="AEW142" s="90"/>
      <c r="AEX142" s="90"/>
      <c r="AEY142" s="90"/>
      <c r="AEZ142" s="90"/>
      <c r="AFA142" s="90"/>
      <c r="AFB142" s="90"/>
      <c r="AFC142" s="90"/>
      <c r="AFD142" s="90"/>
      <c r="AFE142" s="90"/>
      <c r="AFF142" s="90"/>
      <c r="AFG142" s="90"/>
      <c r="AFH142" s="90"/>
      <c r="AFI142" s="90"/>
      <c r="AFJ142" s="90"/>
      <c r="AFK142" s="90"/>
      <c r="AFL142" s="90"/>
      <c r="AFM142" s="90"/>
      <c r="AFN142" s="90"/>
      <c r="AFO142" s="90"/>
      <c r="AFP142" s="90"/>
      <c r="AFQ142" s="90"/>
      <c r="AFR142" s="90"/>
      <c r="AFS142" s="90"/>
      <c r="AFT142" s="90"/>
      <c r="AFU142" s="90"/>
      <c r="AFV142" s="90"/>
      <c r="AFW142" s="90"/>
      <c r="AFX142" s="90"/>
      <c r="AFY142" s="90"/>
      <c r="AFZ142" s="90"/>
      <c r="AGA142" s="90"/>
      <c r="AGB142" s="90"/>
      <c r="AGC142" s="90"/>
      <c r="AGD142" s="90"/>
      <c r="AGE142" s="90"/>
      <c r="AGF142" s="90"/>
      <c r="AGG142" s="90"/>
      <c r="AGH142" s="90"/>
      <c r="AGI142" s="90"/>
      <c r="AGJ142" s="90"/>
      <c r="AGK142" s="90"/>
      <c r="AGL142" s="90"/>
      <c r="AGM142" s="90"/>
      <c r="AGN142" s="90"/>
      <c r="AGO142" s="90"/>
      <c r="AGP142" s="90"/>
      <c r="AGQ142" s="90"/>
      <c r="AGR142" s="90"/>
      <c r="AGS142" s="90"/>
      <c r="AGT142" s="90"/>
      <c r="AGU142" s="90"/>
      <c r="AGV142" s="90"/>
      <c r="AGW142" s="90"/>
      <c r="AGX142" s="90"/>
      <c r="AGY142" s="90"/>
      <c r="AGZ142" s="90"/>
      <c r="AHA142" s="90"/>
      <c r="AHB142" s="90"/>
      <c r="AHC142" s="90"/>
      <c r="AHD142" s="90"/>
      <c r="AHE142" s="90"/>
      <c r="AHF142" s="90"/>
      <c r="AHG142" s="90"/>
      <c r="AHH142" s="90"/>
      <c r="AHI142" s="90"/>
      <c r="AHJ142" s="90"/>
      <c r="AHK142" s="90"/>
      <c r="AHL142" s="90"/>
      <c r="AHM142" s="90"/>
      <c r="AHN142" s="90"/>
      <c r="AHO142" s="90"/>
      <c r="AHP142" s="90"/>
      <c r="AHQ142" s="90"/>
      <c r="AHR142" s="90"/>
      <c r="AHS142" s="90"/>
      <c r="AHT142" s="90"/>
      <c r="AHU142" s="90"/>
      <c r="AHV142" s="90"/>
      <c r="AHW142" s="90"/>
      <c r="AHX142" s="90"/>
      <c r="AHY142" s="90"/>
      <c r="AHZ142" s="90"/>
      <c r="AIA142" s="90"/>
      <c r="AIB142" s="90"/>
      <c r="AIC142" s="90"/>
      <c r="AID142" s="90"/>
      <c r="AIE142" s="90"/>
      <c r="AIF142" s="90"/>
      <c r="AIG142" s="90"/>
      <c r="AIH142" s="90"/>
      <c r="AII142" s="90"/>
      <c r="AIJ142" s="90"/>
      <c r="AIK142" s="90"/>
      <c r="AIL142" s="90"/>
      <c r="AIM142" s="90"/>
      <c r="AIN142" s="90"/>
      <c r="AIO142" s="90"/>
      <c r="AIP142" s="90"/>
      <c r="AIQ142" s="90"/>
      <c r="AIR142" s="90"/>
      <c r="AIS142" s="90"/>
      <c r="AIT142" s="90"/>
      <c r="AIU142" s="90"/>
      <c r="AIV142" s="90"/>
      <c r="AIW142" s="90"/>
      <c r="AIX142" s="90"/>
      <c r="AIY142" s="90"/>
      <c r="AIZ142" s="90"/>
      <c r="AJA142" s="90"/>
      <c r="AJB142" s="90"/>
      <c r="AJC142" s="90"/>
      <c r="AJD142" s="90"/>
      <c r="AJE142" s="90"/>
      <c r="AJF142" s="90"/>
      <c r="AJG142" s="90"/>
      <c r="AJH142" s="90"/>
      <c r="AJI142" s="90"/>
      <c r="AJJ142" s="90"/>
      <c r="AJK142" s="90"/>
      <c r="AJL142" s="90"/>
      <c r="AJM142" s="90"/>
      <c r="AJN142" s="90"/>
      <c r="AJO142" s="90"/>
      <c r="AJP142" s="90"/>
      <c r="AJQ142" s="90"/>
      <c r="AJR142" s="90"/>
      <c r="AJS142" s="90"/>
      <c r="AJT142" s="90"/>
      <c r="AJU142" s="90"/>
      <c r="AJV142" s="90"/>
      <c r="AJW142" s="90"/>
      <c r="AJX142" s="90"/>
      <c r="AJY142" s="90"/>
      <c r="AJZ142" s="90"/>
      <c r="AKA142" s="90"/>
      <c r="AKB142" s="90"/>
      <c r="AKC142" s="90"/>
      <c r="AKD142" s="90"/>
      <c r="AKE142" s="90"/>
      <c r="AKF142" s="90"/>
      <c r="AKG142" s="90"/>
      <c r="AKH142" s="90"/>
      <c r="AKI142" s="90"/>
      <c r="AKJ142" s="90"/>
      <c r="AKK142" s="90"/>
      <c r="AKL142" s="90"/>
      <c r="AKM142" s="90"/>
      <c r="AKN142" s="90"/>
      <c r="AKO142" s="90"/>
      <c r="AKP142" s="90"/>
      <c r="AKQ142" s="90"/>
      <c r="AKR142" s="90"/>
      <c r="AKS142" s="90"/>
      <c r="AKT142" s="90"/>
      <c r="AKU142" s="90"/>
      <c r="AKV142" s="90"/>
      <c r="AKW142" s="90"/>
      <c r="AKX142" s="90"/>
      <c r="AKY142" s="90"/>
      <c r="AKZ142" s="90"/>
      <c r="ALA142" s="90"/>
      <c r="ALB142" s="90"/>
      <c r="ALC142" s="90"/>
      <c r="ALD142" s="90"/>
      <c r="ALE142" s="90"/>
      <c r="ALF142" s="90"/>
      <c r="ALG142" s="90"/>
      <c r="ALH142" s="90"/>
      <c r="ALI142" s="90"/>
      <c r="ALJ142" s="90"/>
      <c r="ALK142" s="90"/>
      <c r="ALL142" s="90"/>
      <c r="ALM142" s="90"/>
      <c r="ALN142" s="90"/>
      <c r="ALO142" s="90"/>
      <c r="ALP142" s="90"/>
      <c r="ALQ142" s="90"/>
      <c r="ALR142" s="90"/>
      <c r="ALS142" s="90"/>
      <c r="ALT142" s="90"/>
      <c r="ALU142" s="90"/>
      <c r="ALV142" s="90"/>
      <c r="ALW142" s="90"/>
      <c r="ALX142" s="90"/>
      <c r="ALY142" s="90"/>
      <c r="ALZ142" s="90"/>
      <c r="AMA142" s="90"/>
      <c r="AMB142" s="90"/>
      <c r="AMC142" s="90"/>
    </row>
    <row r="143" spans="1:1017">
      <c r="A143" s="98" t="s">
        <v>48</v>
      </c>
      <c r="B143" s="90" t="str">
        <f t="shared" si="1159"/>
        <v xml:space="preserve">Lobster Air Tawar, Cherax </v>
      </c>
      <c r="Q143" s="91">
        <f t="shared" si="1160"/>
        <v>0</v>
      </c>
      <c r="R143" s="91">
        <f t="shared" si="1161"/>
        <v>0</v>
      </c>
      <c r="AG143" s="91">
        <f t="shared" si="1162"/>
        <v>0</v>
      </c>
      <c r="AH143" s="91">
        <f t="shared" si="1163"/>
        <v>0</v>
      </c>
      <c r="AW143" s="91">
        <f t="shared" si="1164"/>
        <v>0</v>
      </c>
      <c r="AX143" s="91">
        <f t="shared" si="1165"/>
        <v>0</v>
      </c>
      <c r="BM143" s="91">
        <f t="shared" si="1166"/>
        <v>0</v>
      </c>
      <c r="BN143" s="91">
        <f t="shared" si="1167"/>
        <v>0</v>
      </c>
      <c r="CC143" s="91">
        <f t="shared" si="1168"/>
        <v>0</v>
      </c>
      <c r="CD143" s="91">
        <f t="shared" si="1169"/>
        <v>0</v>
      </c>
      <c r="CS143" s="91">
        <f t="shared" si="1254"/>
        <v>0</v>
      </c>
      <c r="CT143" s="91">
        <f t="shared" si="1255"/>
        <v>0</v>
      </c>
      <c r="DI143" s="91">
        <f t="shared" si="1172"/>
        <v>0</v>
      </c>
      <c r="DJ143" s="91">
        <f t="shared" si="1173"/>
        <v>0</v>
      </c>
      <c r="DY143" s="91">
        <f t="shared" si="1174"/>
        <v>0</v>
      </c>
      <c r="DZ143" s="91">
        <f t="shared" si="1175"/>
        <v>0</v>
      </c>
      <c r="EO143" s="91">
        <f t="shared" si="1176"/>
        <v>0</v>
      </c>
      <c r="EP143" s="91">
        <f t="shared" si="1177"/>
        <v>0</v>
      </c>
      <c r="FE143" s="91">
        <f t="shared" si="1178"/>
        <v>0</v>
      </c>
      <c r="FF143" s="91">
        <f t="shared" si="1179"/>
        <v>0</v>
      </c>
      <c r="FU143" s="91">
        <f t="shared" si="1180"/>
        <v>0</v>
      </c>
      <c r="FV143" s="91">
        <f t="shared" si="1181"/>
        <v>0</v>
      </c>
      <c r="GK143" s="91">
        <f t="shared" si="1182"/>
        <v>0</v>
      </c>
      <c r="GL143" s="91">
        <f t="shared" si="1183"/>
        <v>0</v>
      </c>
      <c r="HA143" s="91">
        <f t="shared" si="1184"/>
        <v>0</v>
      </c>
      <c r="HB143" s="91">
        <f t="shared" si="1185"/>
        <v>0</v>
      </c>
      <c r="HQ143" s="91">
        <f t="shared" si="1186"/>
        <v>0</v>
      </c>
      <c r="HR143" s="91">
        <f t="shared" si="1187"/>
        <v>0</v>
      </c>
      <c r="IG143" s="91">
        <f t="shared" si="1188"/>
        <v>0</v>
      </c>
      <c r="IH143" s="91">
        <f t="shared" si="1189"/>
        <v>0</v>
      </c>
      <c r="IO143" s="98">
        <v>300</v>
      </c>
      <c r="IP143" s="98">
        <v>31500</v>
      </c>
      <c r="IW143" s="91">
        <f t="shared" si="1190"/>
        <v>300</v>
      </c>
      <c r="IX143" s="91">
        <f t="shared" si="1191"/>
        <v>31500</v>
      </c>
      <c r="JM143" s="91">
        <f t="shared" si="1192"/>
        <v>0</v>
      </c>
      <c r="JN143" s="91">
        <f t="shared" si="1193"/>
        <v>0</v>
      </c>
      <c r="KC143" s="91">
        <f t="shared" si="1194"/>
        <v>0</v>
      </c>
      <c r="KD143" s="91">
        <f t="shared" si="1195"/>
        <v>0</v>
      </c>
      <c r="KS143" s="91">
        <f t="shared" si="1196"/>
        <v>0</v>
      </c>
      <c r="KT143" s="91">
        <f t="shared" si="1197"/>
        <v>0</v>
      </c>
      <c r="LI143" s="91">
        <f t="shared" si="1198"/>
        <v>0</v>
      </c>
      <c r="LJ143" s="91">
        <f t="shared" si="1199"/>
        <v>0</v>
      </c>
      <c r="LY143" s="91">
        <f t="shared" si="1200"/>
        <v>0</v>
      </c>
      <c r="LZ143" s="91">
        <f t="shared" si="1201"/>
        <v>0</v>
      </c>
      <c r="MO143" s="91">
        <f t="shared" si="1202"/>
        <v>0</v>
      </c>
      <c r="MP143" s="91">
        <f t="shared" si="1203"/>
        <v>0</v>
      </c>
      <c r="NE143" s="91">
        <f t="shared" si="1204"/>
        <v>0</v>
      </c>
      <c r="NF143" s="91">
        <f t="shared" si="1205"/>
        <v>0</v>
      </c>
      <c r="NU143" s="91">
        <f t="shared" si="1206"/>
        <v>0</v>
      </c>
      <c r="NV143" s="91">
        <f t="shared" si="1207"/>
        <v>0</v>
      </c>
      <c r="OK143" s="91">
        <f t="shared" si="1208"/>
        <v>0</v>
      </c>
      <c r="OL143" s="91">
        <f t="shared" si="1209"/>
        <v>0</v>
      </c>
      <c r="PA143" s="91">
        <f t="shared" si="1210"/>
        <v>0</v>
      </c>
      <c r="PB143" s="91">
        <f t="shared" si="1211"/>
        <v>0</v>
      </c>
      <c r="PQ143" s="91">
        <f t="shared" si="1212"/>
        <v>0</v>
      </c>
      <c r="PR143" s="91">
        <f t="shared" si="1213"/>
        <v>0</v>
      </c>
      <c r="QG143" s="91">
        <f t="shared" si="1214"/>
        <v>0</v>
      </c>
      <c r="QH143" s="91">
        <f t="shared" si="1215"/>
        <v>0</v>
      </c>
      <c r="QW143" s="91">
        <f t="shared" si="1216"/>
        <v>0</v>
      </c>
      <c r="QX143" s="91">
        <f t="shared" si="1217"/>
        <v>0</v>
      </c>
      <c r="RM143" s="91">
        <f t="shared" si="1218"/>
        <v>0</v>
      </c>
      <c r="RN143" s="91">
        <f t="shared" si="1219"/>
        <v>0</v>
      </c>
      <c r="SC143" s="91">
        <f t="shared" si="1220"/>
        <v>0</v>
      </c>
      <c r="SD143" s="91">
        <f t="shared" si="1221"/>
        <v>0</v>
      </c>
      <c r="SS143" s="91">
        <f t="shared" si="1222"/>
        <v>0</v>
      </c>
      <c r="ST143" s="91">
        <f t="shared" si="1223"/>
        <v>0</v>
      </c>
      <c r="TI143" s="91">
        <f t="shared" si="1224"/>
        <v>0</v>
      </c>
      <c r="TJ143" s="91">
        <f t="shared" si="1225"/>
        <v>0</v>
      </c>
      <c r="TY143" s="91">
        <f t="shared" si="1226"/>
        <v>0</v>
      </c>
      <c r="TZ143" s="91">
        <f t="shared" si="1227"/>
        <v>0</v>
      </c>
      <c r="UO143" s="91">
        <f t="shared" si="1228"/>
        <v>0</v>
      </c>
      <c r="UP143" s="91">
        <f t="shared" si="1229"/>
        <v>0</v>
      </c>
      <c r="VE143" s="91">
        <f t="shared" si="1230"/>
        <v>0</v>
      </c>
      <c r="VF143" s="91">
        <f t="shared" si="1231"/>
        <v>0</v>
      </c>
      <c r="VU143" s="91">
        <f t="shared" si="1232"/>
        <v>0</v>
      </c>
      <c r="VV143" s="91">
        <f t="shared" si="1233"/>
        <v>0</v>
      </c>
      <c r="WK143" s="91">
        <f t="shared" si="1234"/>
        <v>0</v>
      </c>
      <c r="WL143" s="91">
        <f t="shared" si="1235"/>
        <v>0</v>
      </c>
      <c r="WM143" s="89"/>
      <c r="WN143" s="87">
        <f t="shared" si="1236"/>
        <v>0</v>
      </c>
      <c r="WO143" s="87">
        <f t="shared" si="1237"/>
        <v>0</v>
      </c>
      <c r="WP143" s="87">
        <f t="shared" si="1238"/>
        <v>0</v>
      </c>
      <c r="WQ143" s="87">
        <f t="shared" si="1239"/>
        <v>0</v>
      </c>
      <c r="WR143" s="87">
        <f t="shared" si="1240"/>
        <v>0</v>
      </c>
      <c r="WS143" s="87">
        <f t="shared" si="1241"/>
        <v>0</v>
      </c>
      <c r="WT143" s="87">
        <f t="shared" si="1242"/>
        <v>300</v>
      </c>
      <c r="WU143" s="87">
        <f t="shared" si="1243"/>
        <v>31500</v>
      </c>
      <c r="WV143" s="87">
        <f t="shared" si="1244"/>
        <v>0</v>
      </c>
      <c r="WW143" s="87">
        <f t="shared" si="1245"/>
        <v>0</v>
      </c>
      <c r="WX143" s="87">
        <f t="shared" si="1246"/>
        <v>0</v>
      </c>
      <c r="WY143" s="87">
        <f t="shared" si="1247"/>
        <v>0</v>
      </c>
      <c r="WZ143" s="87">
        <f t="shared" si="1248"/>
        <v>0</v>
      </c>
      <c r="XA143" s="87">
        <f t="shared" si="1249"/>
        <v>0</v>
      </c>
      <c r="XB143" s="92">
        <f t="shared" si="1250"/>
        <v>300</v>
      </c>
      <c r="XC143" s="92">
        <f t="shared" si="1251"/>
        <v>31500</v>
      </c>
      <c r="XD143" s="89"/>
      <c r="XE143" s="92">
        <f t="shared" ref="XE143:XF143" si="1270">SUM(XB371,XB409,XB447)</f>
        <v>800</v>
      </c>
      <c r="XF143" s="92">
        <f t="shared" si="1270"/>
        <v>88000</v>
      </c>
      <c r="XG143" s="89"/>
      <c r="XH143" s="92"/>
      <c r="XI143" s="92"/>
      <c r="XJ143" s="89"/>
      <c r="XK143" s="87"/>
      <c r="XL143" s="87"/>
      <c r="XM143" s="87"/>
      <c r="XN143" s="87"/>
      <c r="XO143" s="87"/>
      <c r="XP143" s="87"/>
      <c r="XQ143" s="87"/>
      <c r="XR143" s="92">
        <f t="shared" ca="1" si="1252"/>
        <v>0</v>
      </c>
      <c r="XS143" s="89"/>
      <c r="XT143" s="87"/>
      <c r="XU143" s="87"/>
      <c r="XV143" s="87"/>
      <c r="XW143" s="87"/>
      <c r="XX143" s="87"/>
      <c r="XY143" s="87"/>
      <c r="XZ143" s="87"/>
      <c r="YA143" s="92">
        <f t="shared" ca="1" si="1253"/>
        <v>0</v>
      </c>
      <c r="YB143" s="90"/>
      <c r="YC143" s="90"/>
      <c r="YD143" s="90"/>
      <c r="YE143" s="90"/>
      <c r="YF143" s="90"/>
      <c r="YG143" s="90"/>
      <c r="YH143" s="90"/>
      <c r="YI143" s="90"/>
      <c r="YJ143" s="90"/>
      <c r="YK143" s="90"/>
      <c r="YL143" s="90"/>
      <c r="YM143" s="90"/>
      <c r="YN143" s="90"/>
      <c r="YO143" s="90"/>
      <c r="YP143" s="90"/>
      <c r="YQ143" s="90"/>
      <c r="YR143" s="90"/>
      <c r="YS143" s="90"/>
      <c r="YT143" s="90"/>
      <c r="YU143" s="90"/>
      <c r="YV143" s="90"/>
      <c r="YW143" s="90"/>
      <c r="YX143" s="90"/>
      <c r="YY143" s="90"/>
      <c r="YZ143" s="90"/>
      <c r="ZA143" s="90"/>
      <c r="ZB143" s="90"/>
      <c r="ZC143" s="90"/>
      <c r="ZD143" s="90"/>
      <c r="ZE143" s="90"/>
      <c r="ZF143" s="90"/>
      <c r="ZG143" s="90"/>
      <c r="ZH143" s="90"/>
      <c r="ZI143" s="90"/>
      <c r="ZJ143" s="90"/>
      <c r="ZK143" s="90"/>
      <c r="ZL143" s="90"/>
      <c r="ZM143" s="90"/>
      <c r="ZN143" s="90"/>
      <c r="ZO143" s="90"/>
      <c r="ZP143" s="90"/>
      <c r="ZQ143" s="90"/>
      <c r="ZR143" s="90"/>
      <c r="ZS143" s="90"/>
      <c r="ZT143" s="90"/>
      <c r="ZU143" s="90"/>
      <c r="ZV143" s="90"/>
      <c r="ZW143" s="90"/>
      <c r="ZX143" s="90"/>
      <c r="ZY143" s="90"/>
      <c r="ZZ143" s="90"/>
      <c r="AAA143" s="90"/>
      <c r="AAB143" s="90"/>
      <c r="AAC143" s="90"/>
      <c r="AAD143" s="90"/>
      <c r="AAE143" s="90"/>
      <c r="AAF143" s="90"/>
      <c r="AAG143" s="90"/>
      <c r="AAH143" s="90"/>
      <c r="AAI143" s="90"/>
      <c r="AAJ143" s="90"/>
      <c r="AAK143" s="90"/>
      <c r="AAL143" s="90"/>
      <c r="AAM143" s="90"/>
      <c r="AAN143" s="90"/>
      <c r="AAO143" s="90"/>
      <c r="AAP143" s="90"/>
      <c r="AAQ143" s="90"/>
      <c r="AAR143" s="90"/>
      <c r="AAS143" s="90"/>
      <c r="AAT143" s="90"/>
      <c r="AAU143" s="90"/>
      <c r="AAV143" s="90"/>
      <c r="AAW143" s="90"/>
      <c r="AAX143" s="90"/>
      <c r="AAY143" s="90"/>
      <c r="AAZ143" s="90"/>
      <c r="ABA143" s="90"/>
      <c r="ABB143" s="90"/>
      <c r="ABC143" s="90"/>
      <c r="ABD143" s="90"/>
      <c r="ABE143" s="90"/>
      <c r="ABF143" s="90"/>
      <c r="ABG143" s="90"/>
      <c r="ABH143" s="90"/>
      <c r="ABI143" s="90"/>
      <c r="ABJ143" s="90"/>
      <c r="ABK143" s="90"/>
      <c r="ABL143" s="90"/>
      <c r="ABM143" s="90"/>
      <c r="ABN143" s="90"/>
      <c r="ABO143" s="90"/>
      <c r="ABP143" s="90"/>
      <c r="ABQ143" s="90"/>
      <c r="ABR143" s="90"/>
      <c r="ABS143" s="90"/>
      <c r="ABT143" s="90"/>
      <c r="ABU143" s="90"/>
      <c r="ABV143" s="90"/>
      <c r="ABW143" s="90"/>
      <c r="ABX143" s="90"/>
      <c r="ABY143" s="90"/>
      <c r="ABZ143" s="90"/>
      <c r="ACA143" s="90"/>
      <c r="ACB143" s="90"/>
      <c r="ACC143" s="90"/>
      <c r="ACD143" s="90"/>
      <c r="ACE143" s="90"/>
      <c r="ACF143" s="90"/>
      <c r="ACG143" s="90"/>
      <c r="ACH143" s="90"/>
      <c r="ACI143" s="90"/>
      <c r="ACJ143" s="90"/>
      <c r="ACK143" s="90"/>
      <c r="ACL143" s="90"/>
      <c r="ACM143" s="90"/>
      <c r="ACN143" s="90"/>
      <c r="ACO143" s="90"/>
      <c r="ACP143" s="90"/>
      <c r="ACQ143" s="90"/>
      <c r="ACR143" s="90"/>
      <c r="ACS143" s="90"/>
      <c r="ACT143" s="90"/>
      <c r="ACU143" s="90"/>
      <c r="ACV143" s="90"/>
      <c r="ACW143" s="90"/>
      <c r="ACX143" s="90"/>
      <c r="ACY143" s="90"/>
      <c r="ACZ143" s="90"/>
      <c r="ADA143" s="90"/>
      <c r="ADB143" s="90"/>
      <c r="ADC143" s="90"/>
      <c r="ADD143" s="90"/>
      <c r="ADE143" s="90"/>
      <c r="ADF143" s="90"/>
      <c r="ADG143" s="90"/>
      <c r="ADH143" s="90"/>
      <c r="ADI143" s="90"/>
      <c r="ADJ143" s="90"/>
      <c r="ADK143" s="90"/>
      <c r="ADL143" s="90"/>
      <c r="ADM143" s="90"/>
      <c r="ADN143" s="90"/>
      <c r="ADO143" s="90"/>
      <c r="ADP143" s="90"/>
      <c r="ADQ143" s="90"/>
      <c r="ADR143" s="90"/>
      <c r="ADS143" s="90"/>
      <c r="ADT143" s="90"/>
      <c r="ADU143" s="90"/>
      <c r="ADV143" s="90"/>
      <c r="ADW143" s="90"/>
      <c r="ADX143" s="90"/>
      <c r="ADY143" s="90"/>
      <c r="ADZ143" s="90"/>
      <c r="AEA143" s="90"/>
      <c r="AEB143" s="90"/>
      <c r="AEC143" s="90"/>
      <c r="AED143" s="90"/>
      <c r="AEE143" s="90"/>
      <c r="AEF143" s="90"/>
      <c r="AEG143" s="90"/>
      <c r="AEH143" s="90"/>
      <c r="AEI143" s="90"/>
      <c r="AEJ143" s="90"/>
      <c r="AEK143" s="90"/>
      <c r="AEL143" s="90"/>
      <c r="AEM143" s="90"/>
      <c r="AEN143" s="90"/>
      <c r="AEO143" s="90"/>
      <c r="AEP143" s="90"/>
      <c r="AEQ143" s="90"/>
      <c r="AER143" s="90"/>
      <c r="AES143" s="90"/>
      <c r="AET143" s="90"/>
      <c r="AEU143" s="90"/>
      <c r="AEV143" s="90"/>
      <c r="AEW143" s="90"/>
      <c r="AEX143" s="90"/>
      <c r="AEY143" s="90"/>
      <c r="AEZ143" s="90"/>
      <c r="AFA143" s="90"/>
      <c r="AFB143" s="90"/>
      <c r="AFC143" s="90"/>
      <c r="AFD143" s="90"/>
      <c r="AFE143" s="90"/>
      <c r="AFF143" s="90"/>
      <c r="AFG143" s="90"/>
      <c r="AFH143" s="90"/>
      <c r="AFI143" s="90"/>
      <c r="AFJ143" s="90"/>
      <c r="AFK143" s="90"/>
      <c r="AFL143" s="90"/>
      <c r="AFM143" s="90"/>
      <c r="AFN143" s="90"/>
      <c r="AFO143" s="90"/>
      <c r="AFP143" s="90"/>
      <c r="AFQ143" s="90"/>
      <c r="AFR143" s="90"/>
      <c r="AFS143" s="90"/>
      <c r="AFT143" s="90"/>
      <c r="AFU143" s="90"/>
      <c r="AFV143" s="90"/>
      <c r="AFW143" s="90"/>
      <c r="AFX143" s="90"/>
      <c r="AFY143" s="90"/>
      <c r="AFZ143" s="90"/>
      <c r="AGA143" s="90"/>
      <c r="AGB143" s="90"/>
      <c r="AGC143" s="90"/>
      <c r="AGD143" s="90"/>
      <c r="AGE143" s="90"/>
      <c r="AGF143" s="90"/>
      <c r="AGG143" s="90"/>
      <c r="AGH143" s="90"/>
      <c r="AGI143" s="90"/>
      <c r="AGJ143" s="90"/>
      <c r="AGK143" s="90"/>
      <c r="AGL143" s="90"/>
      <c r="AGM143" s="90"/>
      <c r="AGN143" s="90"/>
      <c r="AGO143" s="90"/>
      <c r="AGP143" s="90"/>
      <c r="AGQ143" s="90"/>
      <c r="AGR143" s="90"/>
      <c r="AGS143" s="90"/>
      <c r="AGT143" s="90"/>
      <c r="AGU143" s="90"/>
      <c r="AGV143" s="90"/>
      <c r="AGW143" s="90"/>
      <c r="AGX143" s="90"/>
      <c r="AGY143" s="90"/>
      <c r="AGZ143" s="90"/>
      <c r="AHA143" s="90"/>
      <c r="AHB143" s="90"/>
      <c r="AHC143" s="90"/>
      <c r="AHD143" s="90"/>
      <c r="AHE143" s="90"/>
      <c r="AHF143" s="90"/>
      <c r="AHG143" s="90"/>
      <c r="AHH143" s="90"/>
      <c r="AHI143" s="90"/>
      <c r="AHJ143" s="90"/>
      <c r="AHK143" s="90"/>
      <c r="AHL143" s="90"/>
      <c r="AHM143" s="90"/>
      <c r="AHN143" s="90"/>
      <c r="AHO143" s="90"/>
      <c r="AHP143" s="90"/>
      <c r="AHQ143" s="90"/>
      <c r="AHR143" s="90"/>
      <c r="AHS143" s="90"/>
      <c r="AHT143" s="90"/>
      <c r="AHU143" s="90"/>
      <c r="AHV143" s="90"/>
      <c r="AHW143" s="90"/>
      <c r="AHX143" s="90"/>
      <c r="AHY143" s="90"/>
      <c r="AHZ143" s="90"/>
      <c r="AIA143" s="90"/>
      <c r="AIB143" s="90"/>
      <c r="AIC143" s="90"/>
      <c r="AID143" s="90"/>
      <c r="AIE143" s="90"/>
      <c r="AIF143" s="90"/>
      <c r="AIG143" s="90"/>
      <c r="AIH143" s="90"/>
      <c r="AII143" s="90"/>
      <c r="AIJ143" s="90"/>
      <c r="AIK143" s="90"/>
      <c r="AIL143" s="90"/>
      <c r="AIM143" s="90"/>
      <c r="AIN143" s="90"/>
      <c r="AIO143" s="90"/>
      <c r="AIP143" s="90"/>
      <c r="AIQ143" s="90"/>
      <c r="AIR143" s="90"/>
      <c r="AIS143" s="90"/>
      <c r="AIT143" s="90"/>
      <c r="AIU143" s="90"/>
      <c r="AIV143" s="90"/>
      <c r="AIW143" s="90"/>
      <c r="AIX143" s="90"/>
      <c r="AIY143" s="90"/>
      <c r="AIZ143" s="90"/>
      <c r="AJA143" s="90"/>
      <c r="AJB143" s="90"/>
      <c r="AJC143" s="90"/>
      <c r="AJD143" s="90"/>
      <c r="AJE143" s="90"/>
      <c r="AJF143" s="90"/>
      <c r="AJG143" s="90"/>
      <c r="AJH143" s="90"/>
      <c r="AJI143" s="90"/>
      <c r="AJJ143" s="90"/>
      <c r="AJK143" s="90"/>
      <c r="AJL143" s="90"/>
      <c r="AJM143" s="90"/>
      <c r="AJN143" s="90"/>
      <c r="AJO143" s="90"/>
      <c r="AJP143" s="90"/>
      <c r="AJQ143" s="90"/>
      <c r="AJR143" s="90"/>
      <c r="AJS143" s="90"/>
      <c r="AJT143" s="90"/>
      <c r="AJU143" s="90"/>
      <c r="AJV143" s="90"/>
      <c r="AJW143" s="90"/>
      <c r="AJX143" s="90"/>
      <c r="AJY143" s="90"/>
      <c r="AJZ143" s="90"/>
      <c r="AKA143" s="90"/>
      <c r="AKB143" s="90"/>
      <c r="AKC143" s="90"/>
      <c r="AKD143" s="90"/>
      <c r="AKE143" s="90"/>
      <c r="AKF143" s="90"/>
      <c r="AKG143" s="90"/>
      <c r="AKH143" s="90"/>
      <c r="AKI143" s="90"/>
      <c r="AKJ143" s="90"/>
      <c r="AKK143" s="90"/>
      <c r="AKL143" s="90"/>
      <c r="AKM143" s="90"/>
      <c r="AKN143" s="90"/>
      <c r="AKO143" s="90"/>
      <c r="AKP143" s="90"/>
      <c r="AKQ143" s="90"/>
      <c r="AKR143" s="90"/>
      <c r="AKS143" s="90"/>
      <c r="AKT143" s="90"/>
      <c r="AKU143" s="90"/>
      <c r="AKV143" s="90"/>
      <c r="AKW143" s="90"/>
      <c r="AKX143" s="90"/>
      <c r="AKY143" s="90"/>
      <c r="AKZ143" s="90"/>
      <c r="ALA143" s="90"/>
      <c r="ALB143" s="90"/>
      <c r="ALC143" s="90"/>
      <c r="ALD143" s="90"/>
      <c r="ALE143" s="90"/>
      <c r="ALF143" s="90"/>
      <c r="ALG143" s="90"/>
      <c r="ALH143" s="90"/>
      <c r="ALI143" s="90"/>
      <c r="ALJ143" s="90"/>
      <c r="ALK143" s="90"/>
      <c r="ALL143" s="90"/>
      <c r="ALM143" s="90"/>
      <c r="ALN143" s="90"/>
      <c r="ALO143" s="90"/>
      <c r="ALP143" s="90"/>
      <c r="ALQ143" s="90"/>
      <c r="ALR143" s="90"/>
      <c r="ALS143" s="90"/>
      <c r="ALT143" s="90"/>
      <c r="ALU143" s="90"/>
      <c r="ALV143" s="90"/>
      <c r="ALW143" s="90"/>
      <c r="ALX143" s="90"/>
      <c r="ALY143" s="90"/>
      <c r="ALZ143" s="90"/>
      <c r="AMA143" s="90"/>
      <c r="AMB143" s="90"/>
      <c r="AMC143" s="90"/>
    </row>
    <row r="144" spans="1:1017">
      <c r="A144" s="98" t="s">
        <v>48</v>
      </c>
      <c r="B144" s="90" t="str">
        <f t="shared" si="1159"/>
        <v xml:space="preserve">Mas, Ikan Mas, Karper </v>
      </c>
      <c r="Q144" s="91">
        <f t="shared" si="1160"/>
        <v>0</v>
      </c>
      <c r="R144" s="91">
        <f t="shared" si="1161"/>
        <v>0</v>
      </c>
      <c r="Y144" s="98">
        <v>7505</v>
      </c>
      <c r="Z144" s="98">
        <v>262675</v>
      </c>
      <c r="AA144" s="98">
        <v>2625</v>
      </c>
      <c r="AB144" s="98">
        <v>91875</v>
      </c>
      <c r="AC144" s="98">
        <v>1640</v>
      </c>
      <c r="AD144" s="98">
        <v>57400</v>
      </c>
      <c r="AE144" s="98">
        <v>485</v>
      </c>
      <c r="AF144" s="98">
        <v>16975</v>
      </c>
      <c r="AG144" s="91">
        <f t="shared" si="1162"/>
        <v>12255</v>
      </c>
      <c r="AH144" s="91">
        <f t="shared" si="1163"/>
        <v>428925</v>
      </c>
      <c r="AW144" s="91">
        <f t="shared" si="1164"/>
        <v>0</v>
      </c>
      <c r="AX144" s="91">
        <f t="shared" si="1165"/>
        <v>0</v>
      </c>
      <c r="BE144" s="98">
        <v>1024</v>
      </c>
      <c r="BF144" s="98">
        <v>15360</v>
      </c>
      <c r="BG144" s="98">
        <v>298</v>
      </c>
      <c r="BH144" s="98">
        <v>4470</v>
      </c>
      <c r="BM144" s="91">
        <f t="shared" si="1166"/>
        <v>1322</v>
      </c>
      <c r="BN144" s="91">
        <f t="shared" si="1167"/>
        <v>19830</v>
      </c>
      <c r="CC144" s="91">
        <f t="shared" si="1168"/>
        <v>0</v>
      </c>
      <c r="CD144" s="91">
        <f t="shared" si="1169"/>
        <v>0</v>
      </c>
      <c r="CK144" s="98">
        <v>212945</v>
      </c>
      <c r="CL144" s="98">
        <v>1366700.1022603556</v>
      </c>
      <c r="CS144" s="91">
        <f t="shared" si="1254"/>
        <v>212945</v>
      </c>
      <c r="CT144" s="91">
        <f t="shared" si="1255"/>
        <v>1366700.1022603556</v>
      </c>
      <c r="DA144" s="98">
        <v>9430</v>
      </c>
      <c r="DB144" s="98">
        <v>207460</v>
      </c>
      <c r="DC144" s="98">
        <v>1112</v>
      </c>
      <c r="DD144" s="98">
        <v>24464</v>
      </c>
      <c r="DI144" s="91">
        <f t="shared" si="1172"/>
        <v>10542</v>
      </c>
      <c r="DJ144" s="91">
        <f t="shared" si="1173"/>
        <v>231924</v>
      </c>
      <c r="DQ144" s="98">
        <v>17500</v>
      </c>
      <c r="DR144" s="98">
        <v>350000</v>
      </c>
      <c r="DY144" s="91">
        <f t="shared" si="1174"/>
        <v>17500</v>
      </c>
      <c r="DZ144" s="91">
        <f t="shared" si="1175"/>
        <v>350000</v>
      </c>
      <c r="EG144" s="98">
        <v>400</v>
      </c>
      <c r="EH144" s="98">
        <v>6000</v>
      </c>
      <c r="EO144" s="91">
        <f t="shared" si="1176"/>
        <v>400</v>
      </c>
      <c r="EP144" s="91">
        <f t="shared" si="1177"/>
        <v>6000</v>
      </c>
      <c r="EW144" s="98">
        <v>319191</v>
      </c>
      <c r="EX144" s="98">
        <v>4787865</v>
      </c>
      <c r="EZ144" s="98" t="s">
        <v>384</v>
      </c>
      <c r="FE144" s="91">
        <f t="shared" si="1178"/>
        <v>319191</v>
      </c>
      <c r="FF144" s="91">
        <f t="shared" si="1179"/>
        <v>4787865</v>
      </c>
      <c r="FM144" s="98">
        <v>323</v>
      </c>
      <c r="FN144" s="98">
        <v>9690</v>
      </c>
      <c r="FU144" s="91">
        <f t="shared" si="1180"/>
        <v>323</v>
      </c>
      <c r="FV144" s="91">
        <f t="shared" si="1181"/>
        <v>9690</v>
      </c>
      <c r="GC144" s="98">
        <v>300</v>
      </c>
      <c r="GD144" s="98">
        <v>7500</v>
      </c>
      <c r="GK144" s="91">
        <f t="shared" si="1182"/>
        <v>300</v>
      </c>
      <c r="GL144" s="91">
        <f t="shared" si="1183"/>
        <v>7500</v>
      </c>
      <c r="GS144" s="98">
        <v>2400</v>
      </c>
      <c r="GT144" s="98">
        <v>64800</v>
      </c>
      <c r="GY144" s="98">
        <v>50</v>
      </c>
      <c r="GZ144" s="98">
        <v>1350</v>
      </c>
      <c r="HA144" s="91">
        <f t="shared" si="1184"/>
        <v>2450</v>
      </c>
      <c r="HB144" s="91">
        <f t="shared" si="1185"/>
        <v>66150</v>
      </c>
      <c r="HI144" s="98">
        <v>500</v>
      </c>
      <c r="HJ144" s="98">
        <v>12500</v>
      </c>
      <c r="HQ144" s="91">
        <f t="shared" si="1186"/>
        <v>500</v>
      </c>
      <c r="HR144" s="91">
        <f t="shared" si="1187"/>
        <v>12500</v>
      </c>
      <c r="IG144" s="91">
        <f t="shared" si="1188"/>
        <v>0</v>
      </c>
      <c r="IH144" s="91">
        <f t="shared" si="1189"/>
        <v>0</v>
      </c>
      <c r="IW144" s="91">
        <f t="shared" si="1190"/>
        <v>0</v>
      </c>
      <c r="IX144" s="91">
        <f t="shared" si="1191"/>
        <v>0</v>
      </c>
      <c r="JE144" s="98">
        <v>92</v>
      </c>
      <c r="JF144" s="98">
        <v>2300</v>
      </c>
      <c r="JM144" s="91">
        <f t="shared" si="1192"/>
        <v>92</v>
      </c>
      <c r="JN144" s="91">
        <f t="shared" si="1193"/>
        <v>2300</v>
      </c>
      <c r="KC144" s="91">
        <f t="shared" si="1194"/>
        <v>0</v>
      </c>
      <c r="KD144" s="91">
        <f t="shared" si="1195"/>
        <v>0</v>
      </c>
      <c r="KS144" s="91">
        <f t="shared" si="1196"/>
        <v>0</v>
      </c>
      <c r="KT144" s="91">
        <f t="shared" si="1197"/>
        <v>0</v>
      </c>
      <c r="LI144" s="91">
        <f t="shared" si="1198"/>
        <v>0</v>
      </c>
      <c r="LJ144" s="91">
        <f t="shared" si="1199"/>
        <v>0</v>
      </c>
      <c r="LY144" s="91">
        <f t="shared" si="1200"/>
        <v>0</v>
      </c>
      <c r="LZ144" s="91">
        <f t="shared" si="1201"/>
        <v>0</v>
      </c>
      <c r="MO144" s="91">
        <f t="shared" si="1202"/>
        <v>0</v>
      </c>
      <c r="MP144" s="91">
        <f t="shared" si="1203"/>
        <v>0</v>
      </c>
      <c r="NE144" s="91">
        <f t="shared" si="1204"/>
        <v>0</v>
      </c>
      <c r="NF144" s="91">
        <f t="shared" si="1205"/>
        <v>0</v>
      </c>
      <c r="NU144" s="91">
        <f t="shared" si="1206"/>
        <v>0</v>
      </c>
      <c r="NV144" s="91">
        <f t="shared" si="1207"/>
        <v>0</v>
      </c>
      <c r="OK144" s="91">
        <f t="shared" si="1208"/>
        <v>0</v>
      </c>
      <c r="OL144" s="91">
        <f t="shared" si="1209"/>
        <v>0</v>
      </c>
      <c r="PA144" s="91">
        <f t="shared" si="1210"/>
        <v>0</v>
      </c>
      <c r="PB144" s="91">
        <f t="shared" si="1211"/>
        <v>0</v>
      </c>
      <c r="PQ144" s="91">
        <f t="shared" si="1212"/>
        <v>0</v>
      </c>
      <c r="PR144" s="91">
        <f t="shared" si="1213"/>
        <v>0</v>
      </c>
      <c r="PY144" s="98">
        <v>141520</v>
      </c>
      <c r="PZ144" s="98">
        <v>2547360</v>
      </c>
      <c r="QA144" s="98">
        <v>321590</v>
      </c>
      <c r="QB144" s="98">
        <v>5788620</v>
      </c>
      <c r="QC144" s="98">
        <v>99750</v>
      </c>
      <c r="QD144" s="98">
        <v>1795500</v>
      </c>
      <c r="QG144" s="91">
        <f t="shared" si="1214"/>
        <v>562860</v>
      </c>
      <c r="QH144" s="91">
        <f t="shared" si="1215"/>
        <v>10131480</v>
      </c>
      <c r="QW144" s="91">
        <f t="shared" si="1216"/>
        <v>0</v>
      </c>
      <c r="QX144" s="91">
        <f t="shared" si="1217"/>
        <v>0</v>
      </c>
      <c r="RE144" s="98">
        <v>170</v>
      </c>
      <c r="RF144" s="98">
        <f>RE144*37</f>
        <v>6290</v>
      </c>
      <c r="RM144" s="91">
        <f t="shared" si="1218"/>
        <v>170</v>
      </c>
      <c r="RN144" s="91">
        <f t="shared" si="1219"/>
        <v>6290</v>
      </c>
      <c r="SC144" s="91">
        <f t="shared" si="1220"/>
        <v>0</v>
      </c>
      <c r="SD144" s="91">
        <f t="shared" si="1221"/>
        <v>0</v>
      </c>
      <c r="SS144" s="91">
        <f t="shared" si="1222"/>
        <v>0</v>
      </c>
      <c r="ST144" s="91">
        <f t="shared" si="1223"/>
        <v>0</v>
      </c>
      <c r="TI144" s="91">
        <f t="shared" si="1224"/>
        <v>0</v>
      </c>
      <c r="TJ144" s="91">
        <f t="shared" si="1225"/>
        <v>0</v>
      </c>
      <c r="TU144" s="98">
        <v>500</v>
      </c>
      <c r="TV144" s="98">
        <v>17500</v>
      </c>
      <c r="TY144" s="91">
        <f t="shared" si="1226"/>
        <v>500</v>
      </c>
      <c r="TZ144" s="91">
        <f t="shared" si="1227"/>
        <v>17500</v>
      </c>
      <c r="UO144" s="91">
        <f t="shared" si="1228"/>
        <v>0</v>
      </c>
      <c r="UP144" s="91">
        <f t="shared" si="1229"/>
        <v>0</v>
      </c>
      <c r="VE144" s="91">
        <f t="shared" si="1230"/>
        <v>0</v>
      </c>
      <c r="VF144" s="91">
        <f t="shared" si="1231"/>
        <v>0</v>
      </c>
      <c r="VU144" s="91">
        <f t="shared" si="1232"/>
        <v>0</v>
      </c>
      <c r="VV144" s="91">
        <f t="shared" si="1233"/>
        <v>0</v>
      </c>
      <c r="WK144" s="91">
        <f t="shared" si="1234"/>
        <v>0</v>
      </c>
      <c r="WL144" s="91">
        <f t="shared" si="1235"/>
        <v>0</v>
      </c>
      <c r="WM144" s="89"/>
      <c r="WN144" s="87">
        <f t="shared" si="1236"/>
        <v>0</v>
      </c>
      <c r="WO144" s="87">
        <f t="shared" si="1237"/>
        <v>0</v>
      </c>
      <c r="WP144" s="87">
        <f t="shared" si="1238"/>
        <v>0</v>
      </c>
      <c r="WQ144" s="87">
        <f t="shared" si="1239"/>
        <v>0</v>
      </c>
      <c r="WR144" s="87">
        <f t="shared" si="1240"/>
        <v>0</v>
      </c>
      <c r="WS144" s="87">
        <f t="shared" si="1241"/>
        <v>0</v>
      </c>
      <c r="WT144" s="87">
        <f t="shared" si="1242"/>
        <v>713300</v>
      </c>
      <c r="WU144" s="87">
        <f t="shared" si="1243"/>
        <v>9646500.1022603549</v>
      </c>
      <c r="WV144" s="87">
        <f t="shared" si="1244"/>
        <v>325625</v>
      </c>
      <c r="WW144" s="87">
        <f t="shared" si="1245"/>
        <v>5909429</v>
      </c>
      <c r="WX144" s="87">
        <f t="shared" si="1246"/>
        <v>101890</v>
      </c>
      <c r="WY144" s="87">
        <f t="shared" si="1247"/>
        <v>1870400</v>
      </c>
      <c r="WZ144" s="87">
        <f t="shared" si="1248"/>
        <v>535</v>
      </c>
      <c r="XA144" s="87">
        <f t="shared" si="1249"/>
        <v>18325</v>
      </c>
      <c r="XB144" s="92">
        <f t="shared" si="1250"/>
        <v>1141350</v>
      </c>
      <c r="XC144" s="92">
        <f t="shared" si="1251"/>
        <v>17444654.102260355</v>
      </c>
      <c r="XD144" s="89"/>
      <c r="XE144" s="92">
        <f t="shared" ref="XE144:XF144" si="1271">SUM(XB372,XB410,XB448)</f>
        <v>2237981.0420683995</v>
      </c>
      <c r="XF144" s="92">
        <f t="shared" si="1271"/>
        <v>39116680.963252701</v>
      </c>
      <c r="XG144" s="89"/>
      <c r="XH144" s="92"/>
      <c r="XI144" s="92"/>
      <c r="XJ144" s="89"/>
      <c r="XK144" s="87"/>
      <c r="XL144" s="87"/>
      <c r="XM144" s="87"/>
      <c r="XN144" s="87"/>
      <c r="XO144" s="87"/>
      <c r="XP144" s="87"/>
      <c r="XQ144" s="87"/>
      <c r="XR144" s="92">
        <f t="shared" ca="1" si="1252"/>
        <v>0</v>
      </c>
      <c r="XS144" s="89"/>
      <c r="XT144" s="87"/>
      <c r="XU144" s="87"/>
      <c r="XV144" s="87"/>
      <c r="XW144" s="87"/>
      <c r="XX144" s="87"/>
      <c r="XY144" s="87"/>
      <c r="XZ144" s="87"/>
      <c r="YA144" s="92">
        <f t="shared" ca="1" si="1253"/>
        <v>0</v>
      </c>
      <c r="YB144" s="90"/>
      <c r="YC144" s="90"/>
      <c r="YD144" s="90"/>
      <c r="YE144" s="90"/>
      <c r="YF144" s="90"/>
      <c r="YG144" s="90"/>
      <c r="YH144" s="90"/>
      <c r="YI144" s="90"/>
      <c r="YJ144" s="90"/>
      <c r="YK144" s="90"/>
      <c r="YL144" s="90"/>
      <c r="YM144" s="90"/>
      <c r="YN144" s="90"/>
      <c r="YO144" s="90"/>
      <c r="YP144" s="90"/>
      <c r="YQ144" s="90"/>
      <c r="YR144" s="90"/>
      <c r="YS144" s="90"/>
      <c r="YT144" s="90"/>
      <c r="YU144" s="90"/>
      <c r="YV144" s="90"/>
      <c r="YW144" s="90"/>
      <c r="YX144" s="90"/>
      <c r="YY144" s="90"/>
      <c r="YZ144" s="90"/>
      <c r="ZA144" s="90"/>
      <c r="ZB144" s="90"/>
      <c r="ZC144" s="90"/>
      <c r="ZD144" s="90"/>
      <c r="ZE144" s="90"/>
      <c r="ZF144" s="90"/>
      <c r="ZG144" s="90"/>
      <c r="ZH144" s="90"/>
      <c r="ZI144" s="90"/>
      <c r="ZJ144" s="90"/>
      <c r="ZK144" s="90"/>
      <c r="ZL144" s="90"/>
      <c r="ZM144" s="90"/>
      <c r="ZN144" s="90"/>
      <c r="ZO144" s="90"/>
      <c r="ZP144" s="90"/>
      <c r="ZQ144" s="90"/>
      <c r="ZR144" s="90"/>
      <c r="ZS144" s="90"/>
      <c r="ZT144" s="90"/>
      <c r="ZU144" s="90"/>
      <c r="ZV144" s="90"/>
      <c r="ZW144" s="90"/>
      <c r="ZX144" s="90"/>
      <c r="ZY144" s="90"/>
      <c r="ZZ144" s="90"/>
      <c r="AAA144" s="90"/>
      <c r="AAB144" s="90"/>
      <c r="AAC144" s="90"/>
      <c r="AAD144" s="90"/>
      <c r="AAE144" s="90"/>
      <c r="AAF144" s="90"/>
      <c r="AAG144" s="90"/>
      <c r="AAH144" s="90"/>
      <c r="AAI144" s="90"/>
      <c r="AAJ144" s="90"/>
      <c r="AAK144" s="90"/>
      <c r="AAL144" s="90"/>
      <c r="AAM144" s="90"/>
      <c r="AAN144" s="90"/>
      <c r="AAO144" s="90"/>
      <c r="AAP144" s="90"/>
      <c r="AAQ144" s="90"/>
      <c r="AAR144" s="90"/>
      <c r="AAS144" s="90"/>
      <c r="AAT144" s="90"/>
      <c r="AAU144" s="90"/>
      <c r="AAV144" s="90"/>
      <c r="AAW144" s="90"/>
      <c r="AAX144" s="90"/>
      <c r="AAY144" s="90"/>
      <c r="AAZ144" s="90"/>
      <c r="ABA144" s="90"/>
      <c r="ABB144" s="90"/>
      <c r="ABC144" s="90"/>
      <c r="ABD144" s="90"/>
      <c r="ABE144" s="90"/>
      <c r="ABF144" s="90"/>
      <c r="ABG144" s="90"/>
      <c r="ABH144" s="90"/>
      <c r="ABI144" s="90"/>
      <c r="ABJ144" s="90"/>
      <c r="ABK144" s="90"/>
      <c r="ABL144" s="90"/>
      <c r="ABM144" s="90"/>
      <c r="ABN144" s="90"/>
      <c r="ABO144" s="90"/>
      <c r="ABP144" s="90"/>
      <c r="ABQ144" s="90"/>
      <c r="ABR144" s="90"/>
      <c r="ABS144" s="90"/>
      <c r="ABT144" s="90"/>
      <c r="ABU144" s="90"/>
      <c r="ABV144" s="90"/>
      <c r="ABW144" s="90"/>
      <c r="ABX144" s="90"/>
      <c r="ABY144" s="90"/>
      <c r="ABZ144" s="90"/>
      <c r="ACA144" s="90"/>
      <c r="ACB144" s="90"/>
      <c r="ACC144" s="90"/>
      <c r="ACD144" s="90"/>
      <c r="ACE144" s="90"/>
      <c r="ACF144" s="90"/>
      <c r="ACG144" s="90"/>
      <c r="ACH144" s="90"/>
      <c r="ACI144" s="90"/>
      <c r="ACJ144" s="90"/>
      <c r="ACK144" s="90"/>
      <c r="ACL144" s="90"/>
      <c r="ACM144" s="90"/>
      <c r="ACN144" s="90"/>
      <c r="ACO144" s="90"/>
      <c r="ACP144" s="90"/>
      <c r="ACQ144" s="90"/>
      <c r="ACR144" s="90"/>
      <c r="ACS144" s="90"/>
      <c r="ACT144" s="90"/>
      <c r="ACU144" s="90"/>
      <c r="ACV144" s="90"/>
      <c r="ACW144" s="90"/>
      <c r="ACX144" s="90"/>
      <c r="ACY144" s="90"/>
      <c r="ACZ144" s="90"/>
      <c r="ADA144" s="90"/>
      <c r="ADB144" s="90"/>
      <c r="ADC144" s="90"/>
      <c r="ADD144" s="90"/>
      <c r="ADE144" s="90"/>
      <c r="ADF144" s="90"/>
      <c r="ADG144" s="90"/>
      <c r="ADH144" s="90"/>
      <c r="ADI144" s="90"/>
      <c r="ADJ144" s="90"/>
      <c r="ADK144" s="90"/>
      <c r="ADL144" s="90"/>
      <c r="ADM144" s="90"/>
      <c r="ADN144" s="90"/>
      <c r="ADO144" s="90"/>
      <c r="ADP144" s="90"/>
      <c r="ADQ144" s="90"/>
      <c r="ADR144" s="90"/>
      <c r="ADS144" s="90"/>
      <c r="ADT144" s="90"/>
      <c r="ADU144" s="90"/>
      <c r="ADV144" s="90"/>
      <c r="ADW144" s="90"/>
      <c r="ADX144" s="90"/>
      <c r="ADY144" s="90"/>
      <c r="ADZ144" s="90"/>
      <c r="AEA144" s="90"/>
      <c r="AEB144" s="90"/>
      <c r="AEC144" s="90"/>
      <c r="AED144" s="90"/>
      <c r="AEE144" s="90"/>
      <c r="AEF144" s="90"/>
      <c r="AEG144" s="90"/>
      <c r="AEH144" s="90"/>
      <c r="AEI144" s="90"/>
      <c r="AEJ144" s="90"/>
      <c r="AEK144" s="90"/>
      <c r="AEL144" s="90"/>
      <c r="AEM144" s="90"/>
      <c r="AEN144" s="90"/>
      <c r="AEO144" s="90"/>
      <c r="AEP144" s="90"/>
      <c r="AEQ144" s="90"/>
      <c r="AER144" s="90"/>
      <c r="AES144" s="90"/>
      <c r="AET144" s="90"/>
      <c r="AEU144" s="90"/>
      <c r="AEV144" s="90"/>
      <c r="AEW144" s="90"/>
      <c r="AEX144" s="90"/>
      <c r="AEY144" s="90"/>
      <c r="AEZ144" s="90"/>
      <c r="AFA144" s="90"/>
      <c r="AFB144" s="90"/>
      <c r="AFC144" s="90"/>
      <c r="AFD144" s="90"/>
      <c r="AFE144" s="90"/>
      <c r="AFF144" s="90"/>
      <c r="AFG144" s="90"/>
      <c r="AFH144" s="90"/>
      <c r="AFI144" s="90"/>
      <c r="AFJ144" s="90"/>
      <c r="AFK144" s="90"/>
      <c r="AFL144" s="90"/>
      <c r="AFM144" s="90"/>
      <c r="AFN144" s="90"/>
      <c r="AFO144" s="90"/>
      <c r="AFP144" s="90"/>
      <c r="AFQ144" s="90"/>
      <c r="AFR144" s="90"/>
      <c r="AFS144" s="90"/>
      <c r="AFT144" s="90"/>
      <c r="AFU144" s="90"/>
      <c r="AFV144" s="90"/>
      <c r="AFW144" s="90"/>
      <c r="AFX144" s="90"/>
      <c r="AFY144" s="90"/>
      <c r="AFZ144" s="90"/>
      <c r="AGA144" s="90"/>
      <c r="AGB144" s="90"/>
      <c r="AGC144" s="90"/>
      <c r="AGD144" s="90"/>
      <c r="AGE144" s="90"/>
      <c r="AGF144" s="90"/>
      <c r="AGG144" s="90"/>
      <c r="AGH144" s="90"/>
      <c r="AGI144" s="90"/>
      <c r="AGJ144" s="90"/>
      <c r="AGK144" s="90"/>
      <c r="AGL144" s="90"/>
      <c r="AGM144" s="90"/>
      <c r="AGN144" s="90"/>
      <c r="AGO144" s="90"/>
      <c r="AGP144" s="90"/>
      <c r="AGQ144" s="90"/>
      <c r="AGR144" s="90"/>
      <c r="AGS144" s="90"/>
      <c r="AGT144" s="90"/>
      <c r="AGU144" s="90"/>
      <c r="AGV144" s="90"/>
      <c r="AGW144" s="90"/>
      <c r="AGX144" s="90"/>
      <c r="AGY144" s="90"/>
      <c r="AGZ144" s="90"/>
      <c r="AHA144" s="90"/>
      <c r="AHB144" s="90"/>
      <c r="AHC144" s="90"/>
      <c r="AHD144" s="90"/>
      <c r="AHE144" s="90"/>
      <c r="AHF144" s="90"/>
      <c r="AHG144" s="90"/>
      <c r="AHH144" s="90"/>
      <c r="AHI144" s="90"/>
      <c r="AHJ144" s="90"/>
      <c r="AHK144" s="90"/>
      <c r="AHL144" s="90"/>
      <c r="AHM144" s="90"/>
      <c r="AHN144" s="90"/>
      <c r="AHO144" s="90"/>
      <c r="AHP144" s="90"/>
      <c r="AHQ144" s="90"/>
      <c r="AHR144" s="90"/>
      <c r="AHS144" s="90"/>
      <c r="AHT144" s="90"/>
      <c r="AHU144" s="90"/>
      <c r="AHV144" s="90"/>
      <c r="AHW144" s="90"/>
      <c r="AHX144" s="90"/>
      <c r="AHY144" s="90"/>
      <c r="AHZ144" s="90"/>
      <c r="AIA144" s="90"/>
      <c r="AIB144" s="90"/>
      <c r="AIC144" s="90"/>
      <c r="AID144" s="90"/>
      <c r="AIE144" s="90"/>
      <c r="AIF144" s="90"/>
      <c r="AIG144" s="90"/>
      <c r="AIH144" s="90"/>
      <c r="AII144" s="90"/>
      <c r="AIJ144" s="90"/>
      <c r="AIK144" s="90"/>
      <c r="AIL144" s="90"/>
      <c r="AIM144" s="90"/>
      <c r="AIN144" s="90"/>
      <c r="AIO144" s="90"/>
      <c r="AIP144" s="90"/>
      <c r="AIQ144" s="90"/>
      <c r="AIR144" s="90"/>
      <c r="AIS144" s="90"/>
      <c r="AIT144" s="90"/>
      <c r="AIU144" s="90"/>
      <c r="AIV144" s="90"/>
      <c r="AIW144" s="90"/>
      <c r="AIX144" s="90"/>
      <c r="AIY144" s="90"/>
      <c r="AIZ144" s="90"/>
      <c r="AJA144" s="90"/>
      <c r="AJB144" s="90"/>
      <c r="AJC144" s="90"/>
      <c r="AJD144" s="90"/>
      <c r="AJE144" s="90"/>
      <c r="AJF144" s="90"/>
      <c r="AJG144" s="90"/>
      <c r="AJH144" s="90"/>
      <c r="AJI144" s="90"/>
      <c r="AJJ144" s="90"/>
      <c r="AJK144" s="90"/>
      <c r="AJL144" s="90"/>
      <c r="AJM144" s="90"/>
      <c r="AJN144" s="90"/>
      <c r="AJO144" s="90"/>
      <c r="AJP144" s="90"/>
      <c r="AJQ144" s="90"/>
      <c r="AJR144" s="90"/>
      <c r="AJS144" s="90"/>
      <c r="AJT144" s="90"/>
      <c r="AJU144" s="90"/>
      <c r="AJV144" s="90"/>
      <c r="AJW144" s="90"/>
      <c r="AJX144" s="90"/>
      <c r="AJY144" s="90"/>
      <c r="AJZ144" s="90"/>
      <c r="AKA144" s="90"/>
      <c r="AKB144" s="90"/>
      <c r="AKC144" s="90"/>
      <c r="AKD144" s="90"/>
      <c r="AKE144" s="90"/>
      <c r="AKF144" s="90"/>
      <c r="AKG144" s="90"/>
      <c r="AKH144" s="90"/>
      <c r="AKI144" s="90"/>
      <c r="AKJ144" s="90"/>
      <c r="AKK144" s="90"/>
      <c r="AKL144" s="90"/>
      <c r="AKM144" s="90"/>
      <c r="AKN144" s="90"/>
      <c r="AKO144" s="90"/>
      <c r="AKP144" s="90"/>
      <c r="AKQ144" s="90"/>
      <c r="AKR144" s="90"/>
      <c r="AKS144" s="90"/>
      <c r="AKT144" s="90"/>
      <c r="AKU144" s="90"/>
      <c r="AKV144" s="90"/>
      <c r="AKW144" s="90"/>
      <c r="AKX144" s="90"/>
      <c r="AKY144" s="90"/>
      <c r="AKZ144" s="90"/>
      <c r="ALA144" s="90"/>
      <c r="ALB144" s="90"/>
      <c r="ALC144" s="90"/>
      <c r="ALD144" s="90"/>
      <c r="ALE144" s="90"/>
      <c r="ALF144" s="90"/>
      <c r="ALG144" s="90"/>
      <c r="ALH144" s="90"/>
      <c r="ALI144" s="90"/>
      <c r="ALJ144" s="90"/>
      <c r="ALK144" s="90"/>
      <c r="ALL144" s="90"/>
      <c r="ALM144" s="90"/>
      <c r="ALN144" s="90"/>
      <c r="ALO144" s="90"/>
      <c r="ALP144" s="90"/>
      <c r="ALQ144" s="90"/>
      <c r="ALR144" s="90"/>
      <c r="ALS144" s="90"/>
      <c r="ALT144" s="90"/>
      <c r="ALU144" s="90"/>
      <c r="ALV144" s="90"/>
      <c r="ALW144" s="90"/>
      <c r="ALX144" s="90"/>
      <c r="ALY144" s="90"/>
      <c r="ALZ144" s="90"/>
      <c r="AMA144" s="90"/>
      <c r="AMB144" s="90"/>
      <c r="AMC144" s="90"/>
    </row>
    <row r="145" spans="1:1017">
      <c r="A145" s="98" t="s">
        <v>48</v>
      </c>
      <c r="B145" s="90" t="str">
        <f t="shared" si="1159"/>
        <v xml:space="preserve">Mujair </v>
      </c>
      <c r="E145" s="98">
        <v>127600</v>
      </c>
      <c r="F145" s="98">
        <v>1914000</v>
      </c>
      <c r="I145" s="98">
        <v>2000</v>
      </c>
      <c r="J145" s="98">
        <v>30000</v>
      </c>
      <c r="Q145" s="91">
        <f t="shared" si="1160"/>
        <v>129600</v>
      </c>
      <c r="R145" s="91">
        <f t="shared" si="1161"/>
        <v>1944000</v>
      </c>
      <c r="U145" s="98">
        <v>5135</v>
      </c>
      <c r="V145" s="98">
        <v>77025</v>
      </c>
      <c r="Y145" s="98">
        <v>6085</v>
      </c>
      <c r="Z145" s="98">
        <v>91275</v>
      </c>
      <c r="AG145" s="91">
        <f t="shared" si="1162"/>
        <v>11220</v>
      </c>
      <c r="AH145" s="91">
        <f t="shared" si="1163"/>
        <v>168300</v>
      </c>
      <c r="AW145" s="91">
        <f t="shared" si="1164"/>
        <v>0</v>
      </c>
      <c r="AX145" s="91">
        <f t="shared" si="1165"/>
        <v>0</v>
      </c>
      <c r="BM145" s="91">
        <f t="shared" si="1166"/>
        <v>0</v>
      </c>
      <c r="BN145" s="91">
        <f t="shared" si="1167"/>
        <v>0</v>
      </c>
      <c r="BU145" s="98">
        <v>310</v>
      </c>
      <c r="BV145" s="98">
        <v>8370</v>
      </c>
      <c r="CC145" s="91">
        <f t="shared" si="1168"/>
        <v>310</v>
      </c>
      <c r="CD145" s="91">
        <f t="shared" si="1169"/>
        <v>8370</v>
      </c>
      <c r="CG145" s="98">
        <v>240704</v>
      </c>
      <c r="CH145" s="98">
        <v>2407037</v>
      </c>
      <c r="CK145" s="98">
        <v>823544</v>
      </c>
      <c r="CL145" s="98">
        <v>7411896</v>
      </c>
      <c r="CS145" s="91">
        <f t="shared" si="1254"/>
        <v>1064248</v>
      </c>
      <c r="CT145" s="91">
        <f t="shared" si="1255"/>
        <v>9818933</v>
      </c>
      <c r="DI145" s="91">
        <f t="shared" si="1172"/>
        <v>0</v>
      </c>
      <c r="DJ145" s="91">
        <f t="shared" si="1173"/>
        <v>0</v>
      </c>
      <c r="DY145" s="91">
        <f t="shared" si="1174"/>
        <v>0</v>
      </c>
      <c r="DZ145" s="91">
        <f t="shared" si="1175"/>
        <v>0</v>
      </c>
      <c r="EO145" s="91">
        <f t="shared" si="1176"/>
        <v>0</v>
      </c>
      <c r="EP145" s="91">
        <f t="shared" si="1177"/>
        <v>0</v>
      </c>
      <c r="ES145" s="98">
        <v>1346</v>
      </c>
      <c r="ET145" s="98">
        <v>6730</v>
      </c>
      <c r="EW145" s="98">
        <v>25319</v>
      </c>
      <c r="EX145" s="98">
        <v>126595</v>
      </c>
      <c r="EZ145" s="98" t="s">
        <v>384</v>
      </c>
      <c r="FE145" s="91">
        <f t="shared" si="1178"/>
        <v>26665</v>
      </c>
      <c r="FF145" s="91">
        <f t="shared" si="1179"/>
        <v>133325</v>
      </c>
      <c r="FU145" s="91">
        <f t="shared" si="1180"/>
        <v>0</v>
      </c>
      <c r="FV145" s="91">
        <f t="shared" si="1181"/>
        <v>0</v>
      </c>
      <c r="GK145" s="91">
        <f t="shared" si="1182"/>
        <v>0</v>
      </c>
      <c r="GL145" s="91">
        <f t="shared" si="1183"/>
        <v>0</v>
      </c>
      <c r="HA145" s="91">
        <f t="shared" si="1184"/>
        <v>0</v>
      </c>
      <c r="HB145" s="91">
        <f t="shared" si="1185"/>
        <v>0</v>
      </c>
      <c r="HQ145" s="91">
        <f t="shared" si="1186"/>
        <v>0</v>
      </c>
      <c r="HR145" s="91">
        <f t="shared" si="1187"/>
        <v>0</v>
      </c>
      <c r="IG145" s="91">
        <f t="shared" si="1188"/>
        <v>0</v>
      </c>
      <c r="IH145" s="91">
        <f t="shared" si="1189"/>
        <v>0</v>
      </c>
      <c r="IW145" s="91">
        <f t="shared" si="1190"/>
        <v>0</v>
      </c>
      <c r="IX145" s="91">
        <f t="shared" si="1191"/>
        <v>0</v>
      </c>
      <c r="JM145" s="91">
        <f t="shared" si="1192"/>
        <v>0</v>
      </c>
      <c r="JN145" s="91">
        <f t="shared" si="1193"/>
        <v>0</v>
      </c>
      <c r="KC145" s="91">
        <f t="shared" si="1194"/>
        <v>0</v>
      </c>
      <c r="KD145" s="91">
        <f t="shared" si="1195"/>
        <v>0</v>
      </c>
      <c r="KS145" s="91">
        <f t="shared" si="1196"/>
        <v>0</v>
      </c>
      <c r="KT145" s="91">
        <f t="shared" si="1197"/>
        <v>0</v>
      </c>
      <c r="LI145" s="91">
        <f t="shared" si="1198"/>
        <v>0</v>
      </c>
      <c r="LJ145" s="91">
        <f t="shared" si="1199"/>
        <v>0</v>
      </c>
      <c r="LY145" s="91">
        <f t="shared" si="1200"/>
        <v>0</v>
      </c>
      <c r="LZ145" s="91">
        <f t="shared" si="1201"/>
        <v>0</v>
      </c>
      <c r="MC145" s="98">
        <v>21500</v>
      </c>
      <c r="MD145" s="98">
        <v>215000</v>
      </c>
      <c r="MO145" s="91">
        <f t="shared" si="1202"/>
        <v>21500</v>
      </c>
      <c r="MP145" s="91">
        <f t="shared" si="1203"/>
        <v>215000</v>
      </c>
      <c r="MS145" s="98">
        <v>622</v>
      </c>
      <c r="MT145" s="98">
        <v>15550</v>
      </c>
      <c r="NE145" s="91">
        <f t="shared" si="1204"/>
        <v>622</v>
      </c>
      <c r="NF145" s="91">
        <f t="shared" si="1205"/>
        <v>15550</v>
      </c>
      <c r="NI145" s="98">
        <v>318900</v>
      </c>
      <c r="NJ145" s="98">
        <v>5102400</v>
      </c>
      <c r="NU145" s="91">
        <f t="shared" si="1206"/>
        <v>318900</v>
      </c>
      <c r="NV145" s="91">
        <f t="shared" si="1207"/>
        <v>5102400</v>
      </c>
      <c r="OK145" s="91">
        <f t="shared" si="1208"/>
        <v>0</v>
      </c>
      <c r="OL145" s="91">
        <f t="shared" si="1209"/>
        <v>0</v>
      </c>
      <c r="PA145" s="91">
        <f t="shared" si="1210"/>
        <v>0</v>
      </c>
      <c r="PB145" s="91">
        <f t="shared" si="1211"/>
        <v>0</v>
      </c>
      <c r="PQ145" s="91">
        <f t="shared" si="1212"/>
        <v>0</v>
      </c>
      <c r="PR145" s="91">
        <f t="shared" si="1213"/>
        <v>0</v>
      </c>
      <c r="PU145" s="98">
        <v>59000</v>
      </c>
      <c r="PV145" s="98">
        <v>708000</v>
      </c>
      <c r="QG145" s="91">
        <f t="shared" si="1214"/>
        <v>59000</v>
      </c>
      <c r="QH145" s="91">
        <f t="shared" si="1215"/>
        <v>708000</v>
      </c>
      <c r="QW145" s="91">
        <f t="shared" si="1216"/>
        <v>0</v>
      </c>
      <c r="QX145" s="91">
        <f t="shared" si="1217"/>
        <v>0</v>
      </c>
      <c r="RM145" s="91">
        <f t="shared" si="1218"/>
        <v>0</v>
      </c>
      <c r="RN145" s="91">
        <f t="shared" si="1219"/>
        <v>0</v>
      </c>
      <c r="SC145" s="91">
        <f t="shared" si="1220"/>
        <v>0</v>
      </c>
      <c r="SD145" s="91">
        <f t="shared" si="1221"/>
        <v>0</v>
      </c>
      <c r="SS145" s="91">
        <f t="shared" si="1222"/>
        <v>0</v>
      </c>
      <c r="ST145" s="91">
        <f t="shared" si="1223"/>
        <v>0</v>
      </c>
      <c r="TI145" s="91">
        <f t="shared" si="1224"/>
        <v>0</v>
      </c>
      <c r="TJ145" s="91">
        <f t="shared" si="1225"/>
        <v>0</v>
      </c>
      <c r="TY145" s="91">
        <f t="shared" si="1226"/>
        <v>0</v>
      </c>
      <c r="TZ145" s="91">
        <f t="shared" si="1227"/>
        <v>0</v>
      </c>
      <c r="UO145" s="91">
        <f t="shared" si="1228"/>
        <v>0</v>
      </c>
      <c r="UP145" s="91">
        <f t="shared" si="1229"/>
        <v>0</v>
      </c>
      <c r="VE145" s="91">
        <f t="shared" si="1230"/>
        <v>0</v>
      </c>
      <c r="VF145" s="91">
        <f t="shared" si="1231"/>
        <v>0</v>
      </c>
      <c r="VI145" s="98">
        <v>23</v>
      </c>
      <c r="VJ145" s="98">
        <v>207</v>
      </c>
      <c r="VU145" s="91">
        <f t="shared" si="1232"/>
        <v>23</v>
      </c>
      <c r="VV145" s="91">
        <f t="shared" si="1233"/>
        <v>207</v>
      </c>
      <c r="WK145" s="91">
        <f t="shared" si="1234"/>
        <v>0</v>
      </c>
      <c r="WL145" s="91">
        <f t="shared" si="1235"/>
        <v>0</v>
      </c>
      <c r="WM145" s="89"/>
      <c r="WN145" s="87">
        <f t="shared" si="1236"/>
        <v>0</v>
      </c>
      <c r="WO145" s="87">
        <f t="shared" si="1237"/>
        <v>0</v>
      </c>
      <c r="WP145" s="87">
        <f t="shared" si="1238"/>
        <v>774830</v>
      </c>
      <c r="WQ145" s="87">
        <f t="shared" si="1239"/>
        <v>10445949</v>
      </c>
      <c r="WR145" s="87">
        <f t="shared" si="1240"/>
        <v>0</v>
      </c>
      <c r="WS145" s="87">
        <f t="shared" si="1241"/>
        <v>0</v>
      </c>
      <c r="WT145" s="87">
        <f t="shared" si="1242"/>
        <v>857258</v>
      </c>
      <c r="WU145" s="87">
        <f t="shared" si="1243"/>
        <v>7668136</v>
      </c>
      <c r="WV145" s="87">
        <f t="shared" si="1244"/>
        <v>0</v>
      </c>
      <c r="WW145" s="87">
        <f t="shared" si="1245"/>
        <v>0</v>
      </c>
      <c r="WX145" s="87">
        <f t="shared" si="1246"/>
        <v>0</v>
      </c>
      <c r="WY145" s="87">
        <f t="shared" si="1247"/>
        <v>0</v>
      </c>
      <c r="WZ145" s="87">
        <f t="shared" si="1248"/>
        <v>0</v>
      </c>
      <c r="XA145" s="87">
        <f t="shared" si="1249"/>
        <v>0</v>
      </c>
      <c r="XB145" s="92">
        <f t="shared" si="1250"/>
        <v>1632088</v>
      </c>
      <c r="XC145" s="92">
        <f t="shared" si="1251"/>
        <v>18114085</v>
      </c>
      <c r="XD145" s="89"/>
      <c r="XE145" s="92">
        <f t="shared" ref="XE145:XF145" si="1272">SUM(XB373,XB411,XB449)</f>
        <v>4158507.5630509635</v>
      </c>
      <c r="XF145" s="92">
        <f t="shared" si="1272"/>
        <v>43334587.083239153</v>
      </c>
      <c r="XG145" s="89"/>
      <c r="XH145" s="92"/>
      <c r="XI145" s="92"/>
      <c r="XJ145" s="89"/>
      <c r="XK145" s="87"/>
      <c r="XL145" s="87"/>
      <c r="XM145" s="87"/>
      <c r="XN145" s="87"/>
      <c r="XO145" s="87"/>
      <c r="XP145" s="87"/>
      <c r="XQ145" s="87"/>
      <c r="XR145" s="92">
        <f t="shared" ca="1" si="1252"/>
        <v>0</v>
      </c>
      <c r="XS145" s="89"/>
      <c r="XT145" s="87"/>
      <c r="XU145" s="87"/>
      <c r="XV145" s="87"/>
      <c r="XW145" s="87"/>
      <c r="XX145" s="87"/>
      <c r="XY145" s="87"/>
      <c r="XZ145" s="87"/>
      <c r="YA145" s="92">
        <f t="shared" ca="1" si="1253"/>
        <v>0</v>
      </c>
      <c r="YB145" s="90"/>
      <c r="YC145" s="90"/>
      <c r="YD145" s="90"/>
      <c r="YE145" s="90"/>
      <c r="YF145" s="90"/>
      <c r="YG145" s="90"/>
      <c r="YH145" s="90"/>
      <c r="YI145" s="90"/>
      <c r="YJ145" s="90"/>
      <c r="YK145" s="90"/>
      <c r="YL145" s="90"/>
      <c r="YM145" s="90"/>
      <c r="YN145" s="90"/>
      <c r="YO145" s="90"/>
      <c r="YP145" s="90"/>
      <c r="YQ145" s="90"/>
      <c r="YR145" s="90"/>
      <c r="YS145" s="90"/>
      <c r="YT145" s="90"/>
      <c r="YU145" s="90"/>
      <c r="YV145" s="90"/>
      <c r="YW145" s="90"/>
      <c r="YX145" s="90"/>
      <c r="YY145" s="90"/>
      <c r="YZ145" s="90"/>
      <c r="ZA145" s="90"/>
      <c r="ZB145" s="90"/>
      <c r="ZC145" s="90"/>
      <c r="ZD145" s="90"/>
      <c r="ZE145" s="90"/>
      <c r="ZF145" s="90"/>
      <c r="ZG145" s="90"/>
      <c r="ZH145" s="90"/>
      <c r="ZI145" s="90"/>
      <c r="ZJ145" s="90"/>
      <c r="ZK145" s="90"/>
      <c r="ZL145" s="90"/>
      <c r="ZM145" s="90"/>
      <c r="ZN145" s="90"/>
      <c r="ZO145" s="90"/>
      <c r="ZP145" s="90"/>
      <c r="ZQ145" s="90"/>
      <c r="ZR145" s="90"/>
      <c r="ZS145" s="90"/>
      <c r="ZT145" s="90"/>
      <c r="ZU145" s="90"/>
      <c r="ZV145" s="90"/>
      <c r="ZW145" s="90"/>
      <c r="ZX145" s="90"/>
      <c r="ZY145" s="90"/>
      <c r="ZZ145" s="90"/>
      <c r="AAA145" s="90"/>
      <c r="AAB145" s="90"/>
      <c r="AAC145" s="90"/>
      <c r="AAD145" s="90"/>
      <c r="AAE145" s="90"/>
      <c r="AAF145" s="90"/>
      <c r="AAG145" s="90"/>
      <c r="AAH145" s="90"/>
      <c r="AAI145" s="90"/>
      <c r="AAJ145" s="90"/>
      <c r="AAK145" s="90"/>
      <c r="AAL145" s="90"/>
      <c r="AAM145" s="90"/>
      <c r="AAN145" s="90"/>
      <c r="AAO145" s="90"/>
      <c r="AAP145" s="90"/>
      <c r="AAQ145" s="90"/>
      <c r="AAR145" s="90"/>
      <c r="AAS145" s="90"/>
      <c r="AAT145" s="90"/>
      <c r="AAU145" s="90"/>
      <c r="AAV145" s="90"/>
      <c r="AAW145" s="90"/>
      <c r="AAX145" s="90"/>
      <c r="AAY145" s="90"/>
      <c r="AAZ145" s="90"/>
      <c r="ABA145" s="90"/>
      <c r="ABB145" s="90"/>
      <c r="ABC145" s="90"/>
      <c r="ABD145" s="90"/>
      <c r="ABE145" s="90"/>
      <c r="ABF145" s="90"/>
      <c r="ABG145" s="90"/>
      <c r="ABH145" s="90"/>
      <c r="ABI145" s="90"/>
      <c r="ABJ145" s="90"/>
      <c r="ABK145" s="90"/>
      <c r="ABL145" s="90"/>
      <c r="ABM145" s="90"/>
      <c r="ABN145" s="90"/>
      <c r="ABO145" s="90"/>
      <c r="ABP145" s="90"/>
      <c r="ABQ145" s="90"/>
      <c r="ABR145" s="90"/>
      <c r="ABS145" s="90"/>
      <c r="ABT145" s="90"/>
      <c r="ABU145" s="90"/>
      <c r="ABV145" s="90"/>
      <c r="ABW145" s="90"/>
      <c r="ABX145" s="90"/>
      <c r="ABY145" s="90"/>
      <c r="ABZ145" s="90"/>
      <c r="ACA145" s="90"/>
      <c r="ACB145" s="90"/>
      <c r="ACC145" s="90"/>
      <c r="ACD145" s="90"/>
      <c r="ACE145" s="90"/>
      <c r="ACF145" s="90"/>
      <c r="ACG145" s="90"/>
      <c r="ACH145" s="90"/>
      <c r="ACI145" s="90"/>
      <c r="ACJ145" s="90"/>
      <c r="ACK145" s="90"/>
      <c r="ACL145" s="90"/>
      <c r="ACM145" s="90"/>
      <c r="ACN145" s="90"/>
      <c r="ACO145" s="90"/>
      <c r="ACP145" s="90"/>
      <c r="ACQ145" s="90"/>
      <c r="ACR145" s="90"/>
      <c r="ACS145" s="90"/>
      <c r="ACT145" s="90"/>
      <c r="ACU145" s="90"/>
      <c r="ACV145" s="90"/>
      <c r="ACW145" s="90"/>
      <c r="ACX145" s="90"/>
      <c r="ACY145" s="90"/>
      <c r="ACZ145" s="90"/>
      <c r="ADA145" s="90"/>
      <c r="ADB145" s="90"/>
      <c r="ADC145" s="90"/>
      <c r="ADD145" s="90"/>
      <c r="ADE145" s="90"/>
      <c r="ADF145" s="90"/>
      <c r="ADG145" s="90"/>
      <c r="ADH145" s="90"/>
      <c r="ADI145" s="90"/>
      <c r="ADJ145" s="90"/>
      <c r="ADK145" s="90"/>
      <c r="ADL145" s="90"/>
      <c r="ADM145" s="90"/>
      <c r="ADN145" s="90"/>
      <c r="ADO145" s="90"/>
      <c r="ADP145" s="90"/>
      <c r="ADQ145" s="90"/>
      <c r="ADR145" s="90"/>
      <c r="ADS145" s="90"/>
      <c r="ADT145" s="90"/>
      <c r="ADU145" s="90"/>
      <c r="ADV145" s="90"/>
      <c r="ADW145" s="90"/>
      <c r="ADX145" s="90"/>
      <c r="ADY145" s="90"/>
      <c r="ADZ145" s="90"/>
      <c r="AEA145" s="90"/>
      <c r="AEB145" s="90"/>
      <c r="AEC145" s="90"/>
      <c r="AED145" s="90"/>
      <c r="AEE145" s="90"/>
      <c r="AEF145" s="90"/>
      <c r="AEG145" s="90"/>
      <c r="AEH145" s="90"/>
      <c r="AEI145" s="90"/>
      <c r="AEJ145" s="90"/>
      <c r="AEK145" s="90"/>
      <c r="AEL145" s="90"/>
      <c r="AEM145" s="90"/>
      <c r="AEN145" s="90"/>
      <c r="AEO145" s="90"/>
      <c r="AEP145" s="90"/>
      <c r="AEQ145" s="90"/>
      <c r="AER145" s="90"/>
      <c r="AES145" s="90"/>
      <c r="AET145" s="90"/>
      <c r="AEU145" s="90"/>
      <c r="AEV145" s="90"/>
      <c r="AEW145" s="90"/>
      <c r="AEX145" s="90"/>
      <c r="AEY145" s="90"/>
      <c r="AEZ145" s="90"/>
      <c r="AFA145" s="90"/>
      <c r="AFB145" s="90"/>
      <c r="AFC145" s="90"/>
      <c r="AFD145" s="90"/>
      <c r="AFE145" s="90"/>
      <c r="AFF145" s="90"/>
      <c r="AFG145" s="90"/>
      <c r="AFH145" s="90"/>
      <c r="AFI145" s="90"/>
      <c r="AFJ145" s="90"/>
      <c r="AFK145" s="90"/>
      <c r="AFL145" s="90"/>
      <c r="AFM145" s="90"/>
      <c r="AFN145" s="90"/>
      <c r="AFO145" s="90"/>
      <c r="AFP145" s="90"/>
      <c r="AFQ145" s="90"/>
      <c r="AFR145" s="90"/>
      <c r="AFS145" s="90"/>
      <c r="AFT145" s="90"/>
      <c r="AFU145" s="90"/>
      <c r="AFV145" s="90"/>
      <c r="AFW145" s="90"/>
      <c r="AFX145" s="90"/>
      <c r="AFY145" s="90"/>
      <c r="AFZ145" s="90"/>
      <c r="AGA145" s="90"/>
      <c r="AGB145" s="90"/>
      <c r="AGC145" s="90"/>
      <c r="AGD145" s="90"/>
      <c r="AGE145" s="90"/>
      <c r="AGF145" s="90"/>
      <c r="AGG145" s="90"/>
      <c r="AGH145" s="90"/>
      <c r="AGI145" s="90"/>
      <c r="AGJ145" s="90"/>
      <c r="AGK145" s="90"/>
      <c r="AGL145" s="90"/>
      <c r="AGM145" s="90"/>
      <c r="AGN145" s="90"/>
      <c r="AGO145" s="90"/>
      <c r="AGP145" s="90"/>
      <c r="AGQ145" s="90"/>
      <c r="AGR145" s="90"/>
      <c r="AGS145" s="90"/>
      <c r="AGT145" s="90"/>
      <c r="AGU145" s="90"/>
      <c r="AGV145" s="90"/>
      <c r="AGW145" s="90"/>
      <c r="AGX145" s="90"/>
      <c r="AGY145" s="90"/>
      <c r="AGZ145" s="90"/>
      <c r="AHA145" s="90"/>
      <c r="AHB145" s="90"/>
      <c r="AHC145" s="90"/>
      <c r="AHD145" s="90"/>
      <c r="AHE145" s="90"/>
      <c r="AHF145" s="90"/>
      <c r="AHG145" s="90"/>
      <c r="AHH145" s="90"/>
      <c r="AHI145" s="90"/>
      <c r="AHJ145" s="90"/>
      <c r="AHK145" s="90"/>
      <c r="AHL145" s="90"/>
      <c r="AHM145" s="90"/>
      <c r="AHN145" s="90"/>
      <c r="AHO145" s="90"/>
      <c r="AHP145" s="90"/>
      <c r="AHQ145" s="90"/>
      <c r="AHR145" s="90"/>
      <c r="AHS145" s="90"/>
      <c r="AHT145" s="90"/>
      <c r="AHU145" s="90"/>
      <c r="AHV145" s="90"/>
      <c r="AHW145" s="90"/>
      <c r="AHX145" s="90"/>
      <c r="AHY145" s="90"/>
      <c r="AHZ145" s="90"/>
      <c r="AIA145" s="90"/>
      <c r="AIB145" s="90"/>
      <c r="AIC145" s="90"/>
      <c r="AID145" s="90"/>
      <c r="AIE145" s="90"/>
      <c r="AIF145" s="90"/>
      <c r="AIG145" s="90"/>
      <c r="AIH145" s="90"/>
      <c r="AII145" s="90"/>
      <c r="AIJ145" s="90"/>
      <c r="AIK145" s="90"/>
      <c r="AIL145" s="90"/>
      <c r="AIM145" s="90"/>
      <c r="AIN145" s="90"/>
      <c r="AIO145" s="90"/>
      <c r="AIP145" s="90"/>
      <c r="AIQ145" s="90"/>
      <c r="AIR145" s="90"/>
      <c r="AIS145" s="90"/>
      <c r="AIT145" s="90"/>
      <c r="AIU145" s="90"/>
      <c r="AIV145" s="90"/>
      <c r="AIW145" s="90"/>
      <c r="AIX145" s="90"/>
      <c r="AIY145" s="90"/>
      <c r="AIZ145" s="90"/>
      <c r="AJA145" s="90"/>
      <c r="AJB145" s="90"/>
      <c r="AJC145" s="90"/>
      <c r="AJD145" s="90"/>
      <c r="AJE145" s="90"/>
      <c r="AJF145" s="90"/>
      <c r="AJG145" s="90"/>
      <c r="AJH145" s="90"/>
      <c r="AJI145" s="90"/>
      <c r="AJJ145" s="90"/>
      <c r="AJK145" s="90"/>
      <c r="AJL145" s="90"/>
      <c r="AJM145" s="90"/>
      <c r="AJN145" s="90"/>
      <c r="AJO145" s="90"/>
      <c r="AJP145" s="90"/>
      <c r="AJQ145" s="90"/>
      <c r="AJR145" s="90"/>
      <c r="AJS145" s="90"/>
      <c r="AJT145" s="90"/>
      <c r="AJU145" s="90"/>
      <c r="AJV145" s="90"/>
      <c r="AJW145" s="90"/>
      <c r="AJX145" s="90"/>
      <c r="AJY145" s="90"/>
      <c r="AJZ145" s="90"/>
      <c r="AKA145" s="90"/>
      <c r="AKB145" s="90"/>
      <c r="AKC145" s="90"/>
      <c r="AKD145" s="90"/>
      <c r="AKE145" s="90"/>
      <c r="AKF145" s="90"/>
      <c r="AKG145" s="90"/>
      <c r="AKH145" s="90"/>
      <c r="AKI145" s="90"/>
      <c r="AKJ145" s="90"/>
      <c r="AKK145" s="90"/>
      <c r="AKL145" s="90"/>
      <c r="AKM145" s="90"/>
      <c r="AKN145" s="90"/>
      <c r="AKO145" s="90"/>
      <c r="AKP145" s="90"/>
      <c r="AKQ145" s="90"/>
      <c r="AKR145" s="90"/>
      <c r="AKS145" s="90"/>
      <c r="AKT145" s="90"/>
      <c r="AKU145" s="90"/>
      <c r="AKV145" s="90"/>
      <c r="AKW145" s="90"/>
      <c r="AKX145" s="90"/>
      <c r="AKY145" s="90"/>
      <c r="AKZ145" s="90"/>
      <c r="ALA145" s="90"/>
      <c r="ALB145" s="90"/>
      <c r="ALC145" s="90"/>
      <c r="ALD145" s="90"/>
      <c r="ALE145" s="90"/>
      <c r="ALF145" s="90"/>
      <c r="ALG145" s="90"/>
      <c r="ALH145" s="90"/>
      <c r="ALI145" s="90"/>
      <c r="ALJ145" s="90"/>
      <c r="ALK145" s="90"/>
      <c r="ALL145" s="90"/>
      <c r="ALM145" s="90"/>
      <c r="ALN145" s="90"/>
      <c r="ALO145" s="90"/>
      <c r="ALP145" s="90"/>
      <c r="ALQ145" s="90"/>
      <c r="ALR145" s="90"/>
      <c r="ALS145" s="90"/>
      <c r="ALT145" s="90"/>
      <c r="ALU145" s="90"/>
      <c r="ALV145" s="90"/>
      <c r="ALW145" s="90"/>
      <c r="ALX145" s="90"/>
      <c r="ALY145" s="90"/>
      <c r="ALZ145" s="90"/>
      <c r="AMA145" s="90"/>
      <c r="AMB145" s="90"/>
      <c r="AMC145" s="90"/>
    </row>
    <row r="146" spans="1:1017">
      <c r="A146" s="98" t="s">
        <v>48</v>
      </c>
      <c r="B146" s="90" t="str">
        <f t="shared" si="1159"/>
        <v xml:space="preserve">Nila </v>
      </c>
      <c r="I146" s="98">
        <v>7100</v>
      </c>
      <c r="J146" s="98">
        <v>198800</v>
      </c>
      <c r="Q146" s="91">
        <f t="shared" si="1160"/>
        <v>7100</v>
      </c>
      <c r="R146" s="91">
        <f t="shared" si="1161"/>
        <v>198800</v>
      </c>
      <c r="U146" s="98">
        <v>11490</v>
      </c>
      <c r="V146" s="98">
        <v>229800</v>
      </c>
      <c r="Y146" s="98">
        <v>11280</v>
      </c>
      <c r="Z146" s="98">
        <v>225600</v>
      </c>
      <c r="AA146" s="98">
        <v>2755</v>
      </c>
      <c r="AB146" s="98">
        <v>55100</v>
      </c>
      <c r="AC146" s="98">
        <v>1555</v>
      </c>
      <c r="AD146" s="98">
        <v>31100</v>
      </c>
      <c r="AE146" s="98">
        <v>1140</v>
      </c>
      <c r="AF146" s="98">
        <v>22800</v>
      </c>
      <c r="AG146" s="91">
        <f t="shared" si="1162"/>
        <v>28220</v>
      </c>
      <c r="AH146" s="91">
        <f t="shared" si="1163"/>
        <v>564400</v>
      </c>
      <c r="AO146" s="98">
        <v>54300</v>
      </c>
      <c r="AP146" s="98">
        <v>1357500</v>
      </c>
      <c r="AQ146" s="98">
        <v>200</v>
      </c>
      <c r="AR146" s="98">
        <v>4800</v>
      </c>
      <c r="AU146" s="98">
        <v>3050</v>
      </c>
      <c r="AV146" s="98">
        <v>73200</v>
      </c>
      <c r="AW146" s="91">
        <f t="shared" si="1164"/>
        <v>57550</v>
      </c>
      <c r="AX146" s="91">
        <f t="shared" si="1165"/>
        <v>1435500</v>
      </c>
      <c r="BE146" s="98">
        <v>87722</v>
      </c>
      <c r="BF146" s="98">
        <v>2193050</v>
      </c>
      <c r="BG146" s="98">
        <v>6495</v>
      </c>
      <c r="BH146" s="98">
        <v>162375</v>
      </c>
      <c r="BK146" s="98">
        <v>845</v>
      </c>
      <c r="BL146" s="98">
        <v>21125</v>
      </c>
      <c r="BM146" s="91">
        <f t="shared" si="1166"/>
        <v>95062</v>
      </c>
      <c r="BN146" s="91">
        <f t="shared" si="1167"/>
        <v>2376550</v>
      </c>
      <c r="BU146" s="98">
        <v>5300</v>
      </c>
      <c r="BV146" s="98">
        <v>143100</v>
      </c>
      <c r="CC146" s="91">
        <f t="shared" si="1168"/>
        <v>5300</v>
      </c>
      <c r="CD146" s="91">
        <f t="shared" si="1169"/>
        <v>143100</v>
      </c>
      <c r="CG146" s="98">
        <v>6791</v>
      </c>
      <c r="CH146" s="98">
        <v>101859</v>
      </c>
      <c r="CK146" s="98">
        <v>491253</v>
      </c>
      <c r="CL146" s="98">
        <v>7368794</v>
      </c>
      <c r="CS146" s="91">
        <f t="shared" si="1254"/>
        <v>498044</v>
      </c>
      <c r="CT146" s="91">
        <f t="shared" si="1255"/>
        <v>7470653</v>
      </c>
      <c r="DA146" s="98">
        <v>66433</v>
      </c>
      <c r="DB146" s="98">
        <v>1660825</v>
      </c>
      <c r="DC146" s="98">
        <v>1607</v>
      </c>
      <c r="DD146" s="98">
        <v>36158</v>
      </c>
      <c r="DI146" s="91">
        <f t="shared" si="1172"/>
        <v>68040</v>
      </c>
      <c r="DJ146" s="91">
        <f t="shared" si="1173"/>
        <v>1696983</v>
      </c>
      <c r="DQ146" s="98">
        <v>18300</v>
      </c>
      <c r="DR146" s="98">
        <v>366000</v>
      </c>
      <c r="DY146" s="91">
        <f t="shared" si="1174"/>
        <v>18300</v>
      </c>
      <c r="DZ146" s="91">
        <f t="shared" si="1175"/>
        <v>366000</v>
      </c>
      <c r="EG146" s="98">
        <v>173000</v>
      </c>
      <c r="EH146" s="98">
        <v>3633000</v>
      </c>
      <c r="EO146" s="91">
        <f t="shared" si="1176"/>
        <v>173000</v>
      </c>
      <c r="EP146" s="91">
        <f t="shared" si="1177"/>
        <v>3633000</v>
      </c>
      <c r="ES146" s="98">
        <v>32322</v>
      </c>
      <c r="ET146" s="98">
        <v>646440</v>
      </c>
      <c r="EW146" s="98">
        <v>1964046</v>
      </c>
      <c r="EX146" s="98">
        <v>39280920</v>
      </c>
      <c r="EZ146" s="98" t="s">
        <v>384</v>
      </c>
      <c r="FC146" s="98">
        <v>765</v>
      </c>
      <c r="FD146" s="98">
        <v>9945</v>
      </c>
      <c r="FE146" s="91">
        <f t="shared" si="1178"/>
        <v>1997133</v>
      </c>
      <c r="FF146" s="91">
        <f t="shared" si="1179"/>
        <v>39937305</v>
      </c>
      <c r="FM146" s="98">
        <v>61849</v>
      </c>
      <c r="FN146" s="98">
        <v>1546225</v>
      </c>
      <c r="FS146" s="98">
        <v>75012</v>
      </c>
      <c r="FT146" s="98">
        <v>2250360</v>
      </c>
      <c r="FU146" s="91">
        <f t="shared" si="1180"/>
        <v>136861</v>
      </c>
      <c r="FV146" s="91">
        <f t="shared" si="1181"/>
        <v>3796585</v>
      </c>
      <c r="GC146" s="98">
        <v>40500</v>
      </c>
      <c r="GD146" s="98">
        <v>1012500</v>
      </c>
      <c r="GK146" s="91">
        <f t="shared" si="1182"/>
        <v>40500</v>
      </c>
      <c r="GL146" s="91">
        <f t="shared" si="1183"/>
        <v>1012500</v>
      </c>
      <c r="GS146" s="98">
        <v>10300</v>
      </c>
      <c r="GT146" s="98">
        <v>283250</v>
      </c>
      <c r="GY146" s="98">
        <v>100</v>
      </c>
      <c r="GZ146" s="98">
        <v>2750</v>
      </c>
      <c r="HA146" s="91">
        <f t="shared" si="1184"/>
        <v>10400</v>
      </c>
      <c r="HB146" s="91">
        <f t="shared" si="1185"/>
        <v>286000</v>
      </c>
      <c r="HI146" s="98">
        <v>70000</v>
      </c>
      <c r="HJ146" s="98">
        <v>1610000</v>
      </c>
      <c r="HO146" s="98">
        <v>470000</v>
      </c>
      <c r="HP146" s="98">
        <v>10810000</v>
      </c>
      <c r="HQ146" s="91">
        <f t="shared" si="1186"/>
        <v>540000</v>
      </c>
      <c r="HR146" s="91">
        <f t="shared" si="1187"/>
        <v>12420000</v>
      </c>
      <c r="HY146" s="98">
        <v>10700</v>
      </c>
      <c r="HZ146" s="98">
        <v>235400</v>
      </c>
      <c r="IC146" s="98">
        <v>400</v>
      </c>
      <c r="ID146" s="98">
        <v>8000</v>
      </c>
      <c r="IG146" s="91">
        <f t="shared" si="1188"/>
        <v>11100</v>
      </c>
      <c r="IH146" s="91">
        <f t="shared" si="1189"/>
        <v>243400</v>
      </c>
      <c r="IO146" s="98">
        <v>8500</v>
      </c>
      <c r="IP146" s="98">
        <v>238000</v>
      </c>
      <c r="IW146" s="91">
        <f t="shared" si="1190"/>
        <v>8500</v>
      </c>
      <c r="IX146" s="91">
        <f t="shared" si="1191"/>
        <v>238000</v>
      </c>
      <c r="JE146" s="98">
        <v>7100</v>
      </c>
      <c r="JF146" s="98">
        <v>156200</v>
      </c>
      <c r="JK146" s="98">
        <v>3950</v>
      </c>
      <c r="JL146" s="98">
        <v>86900</v>
      </c>
      <c r="JM146" s="91">
        <f t="shared" si="1192"/>
        <v>11050</v>
      </c>
      <c r="JN146" s="91">
        <f t="shared" si="1193"/>
        <v>243100</v>
      </c>
      <c r="JU146" s="98">
        <v>12010</v>
      </c>
      <c r="JV146" s="98">
        <v>420350</v>
      </c>
      <c r="KC146" s="91">
        <f t="shared" si="1194"/>
        <v>12010</v>
      </c>
      <c r="KD146" s="91">
        <f t="shared" si="1195"/>
        <v>420350</v>
      </c>
      <c r="KK146" s="98">
        <v>153</v>
      </c>
      <c r="KL146" s="98">
        <v>3825</v>
      </c>
      <c r="KS146" s="91">
        <f t="shared" si="1196"/>
        <v>153</v>
      </c>
      <c r="KT146" s="91">
        <f t="shared" si="1197"/>
        <v>3825</v>
      </c>
      <c r="KW146" s="98">
        <v>26800.25</v>
      </c>
      <c r="KX146" s="98">
        <v>482404</v>
      </c>
      <c r="LA146" s="98">
        <v>14909.95</v>
      </c>
      <c r="LB146" s="98">
        <v>268379</v>
      </c>
      <c r="LG146" s="98">
        <v>11412.41</v>
      </c>
      <c r="LH146" s="98">
        <v>273897</v>
      </c>
      <c r="LI146" s="91">
        <f t="shared" si="1198"/>
        <v>53122.61</v>
      </c>
      <c r="LJ146" s="91">
        <f t="shared" si="1199"/>
        <v>1024680</v>
      </c>
      <c r="LQ146" s="98">
        <v>4578</v>
      </c>
      <c r="LR146" s="98">
        <v>146496</v>
      </c>
      <c r="LW146" s="98">
        <v>1935</v>
      </c>
      <c r="LX146" s="98">
        <v>65790</v>
      </c>
      <c r="LY146" s="91">
        <f t="shared" si="1200"/>
        <v>6513</v>
      </c>
      <c r="LZ146" s="91">
        <f t="shared" si="1201"/>
        <v>212286</v>
      </c>
      <c r="MC146" s="98">
        <v>1100</v>
      </c>
      <c r="MD146" s="98">
        <v>19800</v>
      </c>
      <c r="MM146" s="98">
        <v>2100</v>
      </c>
      <c r="MN146" s="98">
        <v>37800</v>
      </c>
      <c r="MO146" s="91">
        <f t="shared" si="1202"/>
        <v>3200</v>
      </c>
      <c r="MP146" s="91">
        <f t="shared" si="1203"/>
        <v>57600</v>
      </c>
      <c r="NE146" s="91">
        <f t="shared" si="1204"/>
        <v>0</v>
      </c>
      <c r="NF146" s="91">
        <f t="shared" si="1205"/>
        <v>0</v>
      </c>
      <c r="NI146" s="98">
        <v>1831100</v>
      </c>
      <c r="NJ146" s="98">
        <v>32959800</v>
      </c>
      <c r="NM146" s="98">
        <v>16400</v>
      </c>
      <c r="NN146" s="98">
        <v>295200</v>
      </c>
      <c r="NQ146" s="98">
        <v>2300</v>
      </c>
      <c r="NR146" s="98">
        <v>41400</v>
      </c>
      <c r="NU146" s="91">
        <f t="shared" si="1206"/>
        <v>1849800</v>
      </c>
      <c r="NV146" s="91">
        <f t="shared" si="1207"/>
        <v>33296400</v>
      </c>
      <c r="OC146" s="98">
        <v>20</v>
      </c>
      <c r="OD146" s="98">
        <v>480</v>
      </c>
      <c r="OK146" s="91">
        <f t="shared" si="1208"/>
        <v>20</v>
      </c>
      <c r="OL146" s="91">
        <f t="shared" si="1209"/>
        <v>480</v>
      </c>
      <c r="OO146" s="98">
        <v>3820</v>
      </c>
      <c r="OP146" s="98">
        <v>133700</v>
      </c>
      <c r="PA146" s="91">
        <f t="shared" si="1210"/>
        <v>3820</v>
      </c>
      <c r="PB146" s="91">
        <f t="shared" si="1211"/>
        <v>133700</v>
      </c>
      <c r="PI146" s="98">
        <v>17246</v>
      </c>
      <c r="PJ146" s="98">
        <v>310428</v>
      </c>
      <c r="PQ146" s="91">
        <f t="shared" si="1212"/>
        <v>17246</v>
      </c>
      <c r="PR146" s="91">
        <f t="shared" si="1213"/>
        <v>310428</v>
      </c>
      <c r="PU146" s="98">
        <v>242440</v>
      </c>
      <c r="PV146" s="98">
        <v>4363920</v>
      </c>
      <c r="PY146" s="98">
        <v>127650</v>
      </c>
      <c r="PZ146" s="98">
        <v>2297700</v>
      </c>
      <c r="QA146" s="98">
        <v>339950</v>
      </c>
      <c r="QB146" s="98">
        <v>6119100</v>
      </c>
      <c r="QC146" s="98">
        <v>101760</v>
      </c>
      <c r="QD146" s="98">
        <v>1831680</v>
      </c>
      <c r="QG146" s="91">
        <f t="shared" si="1214"/>
        <v>811800</v>
      </c>
      <c r="QH146" s="91">
        <f t="shared" si="1215"/>
        <v>14612400</v>
      </c>
      <c r="QO146" s="98">
        <v>9000</v>
      </c>
      <c r="QP146" s="98">
        <v>162000</v>
      </c>
      <c r="QW146" s="91">
        <f t="shared" si="1216"/>
        <v>9000</v>
      </c>
      <c r="QX146" s="91">
        <f t="shared" si="1217"/>
        <v>162000</v>
      </c>
      <c r="RE146" s="98">
        <v>2780</v>
      </c>
      <c r="RF146" s="98">
        <f>RE146*27</f>
        <v>75060</v>
      </c>
      <c r="RM146" s="91">
        <f t="shared" si="1218"/>
        <v>2780</v>
      </c>
      <c r="RN146" s="91">
        <f t="shared" si="1219"/>
        <v>75060</v>
      </c>
      <c r="RU146" s="98">
        <v>5400</v>
      </c>
      <c r="RV146" s="98">
        <v>118800</v>
      </c>
      <c r="SC146" s="91">
        <f t="shared" si="1220"/>
        <v>5400</v>
      </c>
      <c r="SD146" s="91">
        <f t="shared" si="1221"/>
        <v>118800</v>
      </c>
      <c r="SS146" s="91">
        <f t="shared" si="1222"/>
        <v>0</v>
      </c>
      <c r="ST146" s="91">
        <f t="shared" si="1223"/>
        <v>0</v>
      </c>
      <c r="TA146" s="98">
        <v>2649.99</v>
      </c>
      <c r="TB146" s="98">
        <v>70224.735000000001</v>
      </c>
      <c r="TI146" s="91">
        <f t="shared" si="1224"/>
        <v>2649.99</v>
      </c>
      <c r="TJ146" s="91">
        <f t="shared" si="1225"/>
        <v>70224.735000000001</v>
      </c>
      <c r="TQ146" s="98">
        <v>1600</v>
      </c>
      <c r="TR146" s="98">
        <v>40000</v>
      </c>
      <c r="TU146" s="98">
        <v>450</v>
      </c>
      <c r="TV146" s="98">
        <v>13500</v>
      </c>
      <c r="TY146" s="91">
        <f t="shared" si="1226"/>
        <v>2050</v>
      </c>
      <c r="TZ146" s="91">
        <f t="shared" si="1227"/>
        <v>53500</v>
      </c>
      <c r="UG146" s="98">
        <v>445</v>
      </c>
      <c r="UH146" s="98">
        <v>10235</v>
      </c>
      <c r="UO146" s="91">
        <f t="shared" si="1228"/>
        <v>445</v>
      </c>
      <c r="UP146" s="91">
        <f t="shared" si="1229"/>
        <v>10235</v>
      </c>
      <c r="VE146" s="91">
        <f t="shared" si="1230"/>
        <v>0</v>
      </c>
      <c r="VF146" s="91">
        <f t="shared" si="1231"/>
        <v>0</v>
      </c>
      <c r="VI146" s="98">
        <v>410</v>
      </c>
      <c r="VJ146" s="98">
        <v>9430</v>
      </c>
      <c r="VM146" s="98">
        <v>682</v>
      </c>
      <c r="VN146" s="98">
        <v>17050</v>
      </c>
      <c r="VU146" s="91">
        <f t="shared" si="1232"/>
        <v>1092</v>
      </c>
      <c r="VV146" s="91">
        <f t="shared" si="1233"/>
        <v>26480</v>
      </c>
      <c r="VY146" s="98">
        <v>83213</v>
      </c>
      <c r="VZ146" s="98">
        <v>2329964</v>
      </c>
      <c r="WC146" s="98">
        <v>82974</v>
      </c>
      <c r="WD146" s="98">
        <v>2323272</v>
      </c>
      <c r="WK146" s="91">
        <f t="shared" si="1234"/>
        <v>166187</v>
      </c>
      <c r="WL146" s="91">
        <f t="shared" si="1235"/>
        <v>4653236</v>
      </c>
      <c r="WM146" s="89"/>
      <c r="WN146" s="87">
        <f t="shared" si="1236"/>
        <v>0</v>
      </c>
      <c r="WO146" s="87">
        <f t="shared" si="1237"/>
        <v>0</v>
      </c>
      <c r="WP146" s="87">
        <f t="shared" si="1238"/>
        <v>2239486.25</v>
      </c>
      <c r="WQ146" s="87">
        <f t="shared" si="1239"/>
        <v>41277117</v>
      </c>
      <c r="WR146" s="87">
        <f t="shared" si="1240"/>
        <v>0</v>
      </c>
      <c r="WS146" s="87">
        <f t="shared" si="1241"/>
        <v>0</v>
      </c>
      <c r="WT146" s="87">
        <f t="shared" si="1242"/>
        <v>3386180.9400000004</v>
      </c>
      <c r="WU146" s="87">
        <f t="shared" si="1243"/>
        <v>68068663.734999999</v>
      </c>
      <c r="WV146" s="87">
        <f t="shared" si="1244"/>
        <v>351007</v>
      </c>
      <c r="WW146" s="87">
        <f t="shared" si="1245"/>
        <v>6377533</v>
      </c>
      <c r="WX146" s="87">
        <f t="shared" si="1246"/>
        <v>106465</v>
      </c>
      <c r="WY146" s="87">
        <f t="shared" si="1247"/>
        <v>1925680</v>
      </c>
      <c r="WZ146" s="87">
        <f t="shared" si="1248"/>
        <v>570309.41</v>
      </c>
      <c r="XA146" s="87">
        <f t="shared" si="1249"/>
        <v>13654567</v>
      </c>
      <c r="XB146" s="92">
        <f t="shared" si="1250"/>
        <v>6653448.6000000006</v>
      </c>
      <c r="XC146" s="92">
        <f t="shared" si="1251"/>
        <v>131303560.735</v>
      </c>
      <c r="XD146" s="89"/>
      <c r="XE146" s="92">
        <f t="shared" ref="XE146:XF146" si="1273">SUM(XB374,XB412,XB450)</f>
        <v>11771236.225109808</v>
      </c>
      <c r="XF146" s="92">
        <f t="shared" si="1273"/>
        <v>238288203.41006801</v>
      </c>
      <c r="XG146" s="89"/>
      <c r="XH146" s="92"/>
      <c r="XI146" s="92"/>
      <c r="XJ146" s="89"/>
      <c r="XK146" s="87"/>
      <c r="XL146" s="87"/>
      <c r="XM146" s="87"/>
      <c r="XN146" s="87"/>
      <c r="XO146" s="87"/>
      <c r="XP146" s="87"/>
      <c r="XQ146" s="87"/>
      <c r="XR146" s="92">
        <f t="shared" ca="1" si="1252"/>
        <v>0</v>
      </c>
      <c r="XS146" s="89"/>
      <c r="XT146" s="87"/>
      <c r="XU146" s="87"/>
      <c r="XV146" s="87"/>
      <c r="XW146" s="87"/>
      <c r="XX146" s="87"/>
      <c r="XY146" s="87"/>
      <c r="XZ146" s="87"/>
      <c r="YA146" s="92">
        <f t="shared" ca="1" si="1253"/>
        <v>0</v>
      </c>
      <c r="YB146" s="90"/>
      <c r="YC146" s="90"/>
      <c r="YD146" s="90"/>
      <c r="YE146" s="90"/>
      <c r="YF146" s="90"/>
      <c r="YG146" s="90"/>
      <c r="YH146" s="90"/>
      <c r="YI146" s="90"/>
      <c r="YJ146" s="90"/>
      <c r="YK146" s="90"/>
      <c r="YL146" s="90"/>
      <c r="YM146" s="90"/>
      <c r="YN146" s="90"/>
      <c r="YO146" s="90"/>
      <c r="YP146" s="90"/>
      <c r="YQ146" s="90"/>
      <c r="YR146" s="90"/>
      <c r="YS146" s="90"/>
      <c r="YT146" s="90"/>
      <c r="YU146" s="90"/>
      <c r="YV146" s="90"/>
      <c r="YW146" s="90"/>
      <c r="YX146" s="90"/>
      <c r="YY146" s="90"/>
      <c r="YZ146" s="90"/>
      <c r="ZA146" s="90"/>
      <c r="ZB146" s="90"/>
      <c r="ZC146" s="90"/>
      <c r="ZD146" s="90"/>
      <c r="ZE146" s="90"/>
      <c r="ZF146" s="90"/>
      <c r="ZG146" s="90"/>
      <c r="ZH146" s="90"/>
      <c r="ZI146" s="90"/>
      <c r="ZJ146" s="90"/>
      <c r="ZK146" s="90"/>
      <c r="ZL146" s="90"/>
      <c r="ZM146" s="90"/>
      <c r="ZN146" s="90"/>
      <c r="ZO146" s="90"/>
      <c r="ZP146" s="90"/>
      <c r="ZQ146" s="90"/>
      <c r="ZR146" s="90"/>
      <c r="ZS146" s="90"/>
      <c r="ZT146" s="90"/>
      <c r="ZU146" s="90"/>
      <c r="ZV146" s="90"/>
      <c r="ZW146" s="90"/>
      <c r="ZX146" s="90"/>
      <c r="ZY146" s="90"/>
      <c r="ZZ146" s="90"/>
      <c r="AAA146" s="90"/>
      <c r="AAB146" s="90"/>
      <c r="AAC146" s="90"/>
      <c r="AAD146" s="90"/>
      <c r="AAE146" s="90"/>
      <c r="AAF146" s="90"/>
      <c r="AAG146" s="90"/>
      <c r="AAH146" s="90"/>
      <c r="AAI146" s="90"/>
      <c r="AAJ146" s="90"/>
      <c r="AAK146" s="90"/>
      <c r="AAL146" s="90"/>
      <c r="AAM146" s="90"/>
      <c r="AAN146" s="90"/>
      <c r="AAO146" s="90"/>
      <c r="AAP146" s="90"/>
      <c r="AAQ146" s="90"/>
      <c r="AAR146" s="90"/>
      <c r="AAS146" s="90"/>
      <c r="AAT146" s="90"/>
      <c r="AAU146" s="90"/>
      <c r="AAV146" s="90"/>
      <c r="AAW146" s="90"/>
      <c r="AAX146" s="90"/>
      <c r="AAY146" s="90"/>
      <c r="AAZ146" s="90"/>
      <c r="ABA146" s="90"/>
      <c r="ABB146" s="90"/>
      <c r="ABC146" s="90"/>
      <c r="ABD146" s="90"/>
      <c r="ABE146" s="90"/>
      <c r="ABF146" s="90"/>
      <c r="ABG146" s="90"/>
      <c r="ABH146" s="90"/>
      <c r="ABI146" s="90"/>
      <c r="ABJ146" s="90"/>
      <c r="ABK146" s="90"/>
      <c r="ABL146" s="90"/>
      <c r="ABM146" s="90"/>
      <c r="ABN146" s="90"/>
      <c r="ABO146" s="90"/>
      <c r="ABP146" s="90"/>
      <c r="ABQ146" s="90"/>
      <c r="ABR146" s="90"/>
      <c r="ABS146" s="90"/>
      <c r="ABT146" s="90"/>
      <c r="ABU146" s="90"/>
      <c r="ABV146" s="90"/>
      <c r="ABW146" s="90"/>
      <c r="ABX146" s="90"/>
      <c r="ABY146" s="90"/>
      <c r="ABZ146" s="90"/>
      <c r="ACA146" s="90"/>
      <c r="ACB146" s="90"/>
      <c r="ACC146" s="90"/>
      <c r="ACD146" s="90"/>
      <c r="ACE146" s="90"/>
      <c r="ACF146" s="90"/>
      <c r="ACG146" s="90"/>
      <c r="ACH146" s="90"/>
      <c r="ACI146" s="90"/>
      <c r="ACJ146" s="90"/>
      <c r="ACK146" s="90"/>
      <c r="ACL146" s="90"/>
      <c r="ACM146" s="90"/>
      <c r="ACN146" s="90"/>
      <c r="ACO146" s="90"/>
      <c r="ACP146" s="90"/>
      <c r="ACQ146" s="90"/>
      <c r="ACR146" s="90"/>
      <c r="ACS146" s="90"/>
      <c r="ACT146" s="90"/>
      <c r="ACU146" s="90"/>
      <c r="ACV146" s="90"/>
      <c r="ACW146" s="90"/>
      <c r="ACX146" s="90"/>
      <c r="ACY146" s="90"/>
      <c r="ACZ146" s="90"/>
      <c r="ADA146" s="90"/>
      <c r="ADB146" s="90"/>
      <c r="ADC146" s="90"/>
      <c r="ADD146" s="90"/>
      <c r="ADE146" s="90"/>
      <c r="ADF146" s="90"/>
      <c r="ADG146" s="90"/>
      <c r="ADH146" s="90"/>
      <c r="ADI146" s="90"/>
      <c r="ADJ146" s="90"/>
      <c r="ADK146" s="90"/>
      <c r="ADL146" s="90"/>
      <c r="ADM146" s="90"/>
      <c r="ADN146" s="90"/>
      <c r="ADO146" s="90"/>
      <c r="ADP146" s="90"/>
      <c r="ADQ146" s="90"/>
      <c r="ADR146" s="90"/>
      <c r="ADS146" s="90"/>
      <c r="ADT146" s="90"/>
      <c r="ADU146" s="90"/>
      <c r="ADV146" s="90"/>
      <c r="ADW146" s="90"/>
      <c r="ADX146" s="90"/>
      <c r="ADY146" s="90"/>
      <c r="ADZ146" s="90"/>
      <c r="AEA146" s="90"/>
      <c r="AEB146" s="90"/>
      <c r="AEC146" s="90"/>
      <c r="AED146" s="90"/>
      <c r="AEE146" s="90"/>
      <c r="AEF146" s="90"/>
      <c r="AEG146" s="90"/>
      <c r="AEH146" s="90"/>
      <c r="AEI146" s="90"/>
      <c r="AEJ146" s="90"/>
      <c r="AEK146" s="90"/>
      <c r="AEL146" s="90"/>
      <c r="AEM146" s="90"/>
      <c r="AEN146" s="90"/>
      <c r="AEO146" s="90"/>
      <c r="AEP146" s="90"/>
      <c r="AEQ146" s="90"/>
      <c r="AER146" s="90"/>
      <c r="AES146" s="90"/>
      <c r="AET146" s="90"/>
      <c r="AEU146" s="90"/>
      <c r="AEV146" s="90"/>
      <c r="AEW146" s="90"/>
      <c r="AEX146" s="90"/>
      <c r="AEY146" s="90"/>
      <c r="AEZ146" s="90"/>
      <c r="AFA146" s="90"/>
      <c r="AFB146" s="90"/>
      <c r="AFC146" s="90"/>
      <c r="AFD146" s="90"/>
      <c r="AFE146" s="90"/>
      <c r="AFF146" s="90"/>
      <c r="AFG146" s="90"/>
      <c r="AFH146" s="90"/>
      <c r="AFI146" s="90"/>
      <c r="AFJ146" s="90"/>
      <c r="AFK146" s="90"/>
      <c r="AFL146" s="90"/>
      <c r="AFM146" s="90"/>
      <c r="AFN146" s="90"/>
      <c r="AFO146" s="90"/>
      <c r="AFP146" s="90"/>
      <c r="AFQ146" s="90"/>
      <c r="AFR146" s="90"/>
      <c r="AFS146" s="90"/>
      <c r="AFT146" s="90"/>
      <c r="AFU146" s="90"/>
      <c r="AFV146" s="90"/>
      <c r="AFW146" s="90"/>
      <c r="AFX146" s="90"/>
      <c r="AFY146" s="90"/>
      <c r="AFZ146" s="90"/>
      <c r="AGA146" s="90"/>
      <c r="AGB146" s="90"/>
      <c r="AGC146" s="90"/>
      <c r="AGD146" s="90"/>
      <c r="AGE146" s="90"/>
      <c r="AGF146" s="90"/>
      <c r="AGG146" s="90"/>
      <c r="AGH146" s="90"/>
      <c r="AGI146" s="90"/>
      <c r="AGJ146" s="90"/>
      <c r="AGK146" s="90"/>
      <c r="AGL146" s="90"/>
      <c r="AGM146" s="90"/>
      <c r="AGN146" s="90"/>
      <c r="AGO146" s="90"/>
      <c r="AGP146" s="90"/>
      <c r="AGQ146" s="90"/>
      <c r="AGR146" s="90"/>
      <c r="AGS146" s="90"/>
      <c r="AGT146" s="90"/>
      <c r="AGU146" s="90"/>
      <c r="AGV146" s="90"/>
      <c r="AGW146" s="90"/>
      <c r="AGX146" s="90"/>
      <c r="AGY146" s="90"/>
      <c r="AGZ146" s="90"/>
      <c r="AHA146" s="90"/>
      <c r="AHB146" s="90"/>
      <c r="AHC146" s="90"/>
      <c r="AHD146" s="90"/>
      <c r="AHE146" s="90"/>
      <c r="AHF146" s="90"/>
      <c r="AHG146" s="90"/>
      <c r="AHH146" s="90"/>
      <c r="AHI146" s="90"/>
      <c r="AHJ146" s="90"/>
      <c r="AHK146" s="90"/>
      <c r="AHL146" s="90"/>
      <c r="AHM146" s="90"/>
      <c r="AHN146" s="90"/>
      <c r="AHO146" s="90"/>
      <c r="AHP146" s="90"/>
      <c r="AHQ146" s="90"/>
      <c r="AHR146" s="90"/>
      <c r="AHS146" s="90"/>
      <c r="AHT146" s="90"/>
      <c r="AHU146" s="90"/>
      <c r="AHV146" s="90"/>
      <c r="AHW146" s="90"/>
      <c r="AHX146" s="90"/>
      <c r="AHY146" s="90"/>
      <c r="AHZ146" s="90"/>
      <c r="AIA146" s="90"/>
      <c r="AIB146" s="90"/>
      <c r="AIC146" s="90"/>
      <c r="AID146" s="90"/>
      <c r="AIE146" s="90"/>
      <c r="AIF146" s="90"/>
      <c r="AIG146" s="90"/>
      <c r="AIH146" s="90"/>
      <c r="AII146" s="90"/>
      <c r="AIJ146" s="90"/>
      <c r="AIK146" s="90"/>
      <c r="AIL146" s="90"/>
      <c r="AIM146" s="90"/>
      <c r="AIN146" s="90"/>
      <c r="AIO146" s="90"/>
      <c r="AIP146" s="90"/>
      <c r="AIQ146" s="90"/>
      <c r="AIR146" s="90"/>
      <c r="AIS146" s="90"/>
      <c r="AIT146" s="90"/>
      <c r="AIU146" s="90"/>
      <c r="AIV146" s="90"/>
      <c r="AIW146" s="90"/>
      <c r="AIX146" s="90"/>
      <c r="AIY146" s="90"/>
      <c r="AIZ146" s="90"/>
      <c r="AJA146" s="90"/>
      <c r="AJB146" s="90"/>
      <c r="AJC146" s="90"/>
      <c r="AJD146" s="90"/>
      <c r="AJE146" s="90"/>
      <c r="AJF146" s="90"/>
      <c r="AJG146" s="90"/>
      <c r="AJH146" s="90"/>
      <c r="AJI146" s="90"/>
      <c r="AJJ146" s="90"/>
      <c r="AJK146" s="90"/>
      <c r="AJL146" s="90"/>
      <c r="AJM146" s="90"/>
      <c r="AJN146" s="90"/>
      <c r="AJO146" s="90"/>
      <c r="AJP146" s="90"/>
      <c r="AJQ146" s="90"/>
      <c r="AJR146" s="90"/>
      <c r="AJS146" s="90"/>
      <c r="AJT146" s="90"/>
      <c r="AJU146" s="90"/>
      <c r="AJV146" s="90"/>
      <c r="AJW146" s="90"/>
      <c r="AJX146" s="90"/>
      <c r="AJY146" s="90"/>
      <c r="AJZ146" s="90"/>
      <c r="AKA146" s="90"/>
      <c r="AKB146" s="90"/>
      <c r="AKC146" s="90"/>
      <c r="AKD146" s="90"/>
      <c r="AKE146" s="90"/>
      <c r="AKF146" s="90"/>
      <c r="AKG146" s="90"/>
      <c r="AKH146" s="90"/>
      <c r="AKI146" s="90"/>
      <c r="AKJ146" s="90"/>
      <c r="AKK146" s="90"/>
      <c r="AKL146" s="90"/>
      <c r="AKM146" s="90"/>
      <c r="AKN146" s="90"/>
      <c r="AKO146" s="90"/>
      <c r="AKP146" s="90"/>
      <c r="AKQ146" s="90"/>
      <c r="AKR146" s="90"/>
      <c r="AKS146" s="90"/>
      <c r="AKT146" s="90"/>
      <c r="AKU146" s="90"/>
      <c r="AKV146" s="90"/>
      <c r="AKW146" s="90"/>
      <c r="AKX146" s="90"/>
      <c r="AKY146" s="90"/>
      <c r="AKZ146" s="90"/>
      <c r="ALA146" s="90"/>
      <c r="ALB146" s="90"/>
      <c r="ALC146" s="90"/>
      <c r="ALD146" s="90"/>
      <c r="ALE146" s="90"/>
      <c r="ALF146" s="90"/>
      <c r="ALG146" s="90"/>
      <c r="ALH146" s="90"/>
      <c r="ALI146" s="90"/>
      <c r="ALJ146" s="90"/>
      <c r="ALK146" s="90"/>
      <c r="ALL146" s="90"/>
      <c r="ALM146" s="90"/>
      <c r="ALN146" s="90"/>
      <c r="ALO146" s="90"/>
      <c r="ALP146" s="90"/>
      <c r="ALQ146" s="90"/>
      <c r="ALR146" s="90"/>
      <c r="ALS146" s="90"/>
      <c r="ALT146" s="90"/>
      <c r="ALU146" s="90"/>
      <c r="ALV146" s="90"/>
      <c r="ALW146" s="90"/>
      <c r="ALX146" s="90"/>
      <c r="ALY146" s="90"/>
      <c r="ALZ146" s="90"/>
      <c r="AMA146" s="90"/>
      <c r="AMB146" s="90"/>
      <c r="AMC146" s="90"/>
    </row>
    <row r="147" spans="1:1017">
      <c r="A147" s="98" t="s">
        <v>48</v>
      </c>
      <c r="B147" s="90" t="str">
        <f t="shared" si="1159"/>
        <v xml:space="preserve">Patin </v>
      </c>
      <c r="Q147" s="91">
        <f t="shared" si="1160"/>
        <v>0</v>
      </c>
      <c r="R147" s="91">
        <f t="shared" si="1161"/>
        <v>0</v>
      </c>
      <c r="Y147" s="98">
        <v>202025</v>
      </c>
      <c r="Z147" s="98">
        <v>4040500</v>
      </c>
      <c r="AG147" s="91">
        <f t="shared" si="1162"/>
        <v>202025</v>
      </c>
      <c r="AH147" s="91">
        <f t="shared" si="1163"/>
        <v>4040500</v>
      </c>
      <c r="AO147" s="98">
        <v>12900</v>
      </c>
      <c r="AP147" s="98">
        <v>206400</v>
      </c>
      <c r="AW147" s="91">
        <f t="shared" si="1164"/>
        <v>12900</v>
      </c>
      <c r="AX147" s="91">
        <f t="shared" si="1165"/>
        <v>206400</v>
      </c>
      <c r="BE147" s="98">
        <v>22420</v>
      </c>
      <c r="BF147" s="98">
        <v>403560</v>
      </c>
      <c r="BK147" s="98">
        <v>882</v>
      </c>
      <c r="BL147" s="98">
        <v>15876</v>
      </c>
      <c r="BM147" s="91">
        <f t="shared" si="1166"/>
        <v>23302</v>
      </c>
      <c r="BN147" s="91">
        <f t="shared" si="1167"/>
        <v>419436</v>
      </c>
      <c r="CC147" s="91">
        <f t="shared" si="1168"/>
        <v>0</v>
      </c>
      <c r="CD147" s="91">
        <f t="shared" si="1169"/>
        <v>0</v>
      </c>
      <c r="CK147" s="98">
        <v>1024</v>
      </c>
      <c r="CL147" s="98">
        <v>20471</v>
      </c>
      <c r="CS147" s="91">
        <f t="shared" si="1254"/>
        <v>1024</v>
      </c>
      <c r="CT147" s="91">
        <f t="shared" si="1255"/>
        <v>20471</v>
      </c>
      <c r="DI147" s="91">
        <f t="shared" si="1172"/>
        <v>0</v>
      </c>
      <c r="DJ147" s="91">
        <f t="shared" si="1173"/>
        <v>0</v>
      </c>
      <c r="DQ147" s="98">
        <v>182700</v>
      </c>
      <c r="DR147" s="98">
        <v>3288600</v>
      </c>
      <c r="DY147" s="91">
        <f t="shared" si="1174"/>
        <v>182700</v>
      </c>
      <c r="DZ147" s="91">
        <f t="shared" si="1175"/>
        <v>3288600</v>
      </c>
      <c r="EG147" s="98">
        <v>164100</v>
      </c>
      <c r="EH147" s="98">
        <v>2461500</v>
      </c>
      <c r="EO147" s="91">
        <f t="shared" si="1176"/>
        <v>164100</v>
      </c>
      <c r="EP147" s="91">
        <f t="shared" si="1177"/>
        <v>2461500</v>
      </c>
      <c r="EW147" s="98">
        <v>599</v>
      </c>
      <c r="EX147" s="98">
        <v>9584</v>
      </c>
      <c r="FE147" s="91">
        <f t="shared" si="1178"/>
        <v>599</v>
      </c>
      <c r="FF147" s="91">
        <f t="shared" si="1179"/>
        <v>9584</v>
      </c>
      <c r="FM147" s="98">
        <v>850</v>
      </c>
      <c r="FN147" s="98">
        <v>21250</v>
      </c>
      <c r="FU147" s="91">
        <f t="shared" si="1180"/>
        <v>850</v>
      </c>
      <c r="FV147" s="91">
        <f t="shared" si="1181"/>
        <v>21250</v>
      </c>
      <c r="GC147" s="98">
        <v>32000</v>
      </c>
      <c r="GD147" s="98">
        <v>608000</v>
      </c>
      <c r="GK147" s="91">
        <f t="shared" si="1182"/>
        <v>32000</v>
      </c>
      <c r="GL147" s="91">
        <f t="shared" si="1183"/>
        <v>608000</v>
      </c>
      <c r="GS147" s="98">
        <v>3100</v>
      </c>
      <c r="GT147" s="98">
        <v>51150</v>
      </c>
      <c r="HA147" s="91">
        <f t="shared" si="1184"/>
        <v>3100</v>
      </c>
      <c r="HB147" s="91">
        <f t="shared" si="1185"/>
        <v>51150</v>
      </c>
      <c r="HQ147" s="91">
        <f t="shared" si="1186"/>
        <v>0</v>
      </c>
      <c r="HR147" s="91">
        <f t="shared" si="1187"/>
        <v>0</v>
      </c>
      <c r="HY147" s="98">
        <v>1850</v>
      </c>
      <c r="HZ147" s="98">
        <v>31450</v>
      </c>
      <c r="IG147" s="91">
        <f t="shared" si="1188"/>
        <v>1850</v>
      </c>
      <c r="IH147" s="91">
        <f t="shared" si="1189"/>
        <v>31450</v>
      </c>
      <c r="IO147" s="98">
        <v>7300</v>
      </c>
      <c r="IP147" s="98">
        <v>120450</v>
      </c>
      <c r="IW147" s="91">
        <f t="shared" si="1190"/>
        <v>7300</v>
      </c>
      <c r="IX147" s="91">
        <f t="shared" si="1191"/>
        <v>120450</v>
      </c>
      <c r="JE147" s="98">
        <v>15240</v>
      </c>
      <c r="JF147" s="98">
        <v>259080</v>
      </c>
      <c r="JK147" s="98">
        <v>5930</v>
      </c>
      <c r="JL147" s="98">
        <v>100810</v>
      </c>
      <c r="JM147" s="91">
        <f t="shared" si="1192"/>
        <v>21170</v>
      </c>
      <c r="JN147" s="91">
        <f t="shared" si="1193"/>
        <v>359890</v>
      </c>
      <c r="KC147" s="91">
        <f t="shared" si="1194"/>
        <v>0</v>
      </c>
      <c r="KD147" s="91">
        <f t="shared" si="1195"/>
        <v>0</v>
      </c>
      <c r="KS147" s="91">
        <f t="shared" si="1196"/>
        <v>0</v>
      </c>
      <c r="KT147" s="91">
        <f t="shared" si="1197"/>
        <v>0</v>
      </c>
      <c r="LI147" s="91">
        <f t="shared" si="1198"/>
        <v>0</v>
      </c>
      <c r="LJ147" s="91">
        <f t="shared" si="1199"/>
        <v>0</v>
      </c>
      <c r="LQ147" s="98">
        <v>1815</v>
      </c>
      <c r="LR147" s="98">
        <v>34485</v>
      </c>
      <c r="LY147" s="91">
        <f t="shared" si="1200"/>
        <v>1815</v>
      </c>
      <c r="LZ147" s="91">
        <f t="shared" si="1201"/>
        <v>34485</v>
      </c>
      <c r="MO147" s="91">
        <f t="shared" si="1202"/>
        <v>0</v>
      </c>
      <c r="MP147" s="91">
        <f t="shared" si="1203"/>
        <v>0</v>
      </c>
      <c r="NE147" s="91">
        <f t="shared" si="1204"/>
        <v>0</v>
      </c>
      <c r="NF147" s="91">
        <f t="shared" si="1205"/>
        <v>0</v>
      </c>
      <c r="NM147" s="98">
        <v>21000</v>
      </c>
      <c r="NN147" s="98">
        <v>378000</v>
      </c>
      <c r="NQ147" s="98">
        <v>18400</v>
      </c>
      <c r="NR147" s="98">
        <v>331200</v>
      </c>
      <c r="NU147" s="91">
        <f t="shared" si="1206"/>
        <v>39400</v>
      </c>
      <c r="NV147" s="91">
        <f t="shared" si="1207"/>
        <v>709200</v>
      </c>
      <c r="OK147" s="91">
        <f t="shared" si="1208"/>
        <v>0</v>
      </c>
      <c r="OL147" s="91">
        <f t="shared" si="1209"/>
        <v>0</v>
      </c>
      <c r="PA147" s="91">
        <f t="shared" si="1210"/>
        <v>0</v>
      </c>
      <c r="PB147" s="91">
        <f t="shared" si="1211"/>
        <v>0</v>
      </c>
      <c r="PI147" s="98">
        <v>41268</v>
      </c>
      <c r="PJ147" s="98">
        <v>598386</v>
      </c>
      <c r="PQ147" s="91">
        <f t="shared" si="1212"/>
        <v>41268</v>
      </c>
      <c r="PR147" s="91">
        <f t="shared" si="1213"/>
        <v>598386</v>
      </c>
      <c r="PY147" s="98">
        <v>101980</v>
      </c>
      <c r="PZ147" s="98">
        <v>1529700</v>
      </c>
      <c r="QC147" s="98">
        <v>83430</v>
      </c>
      <c r="QD147" s="98">
        <v>1251450</v>
      </c>
      <c r="QG147" s="91">
        <f t="shared" si="1214"/>
        <v>185410</v>
      </c>
      <c r="QH147" s="91">
        <f t="shared" si="1215"/>
        <v>2781150</v>
      </c>
      <c r="QO147" s="98">
        <v>1632000</v>
      </c>
      <c r="QP147" s="98">
        <v>25296000</v>
      </c>
      <c r="QW147" s="91">
        <f t="shared" si="1216"/>
        <v>1632000</v>
      </c>
      <c r="QX147" s="91">
        <f t="shared" si="1217"/>
        <v>25296000</v>
      </c>
      <c r="RM147" s="91">
        <f t="shared" si="1218"/>
        <v>0</v>
      </c>
      <c r="RN147" s="91">
        <f t="shared" si="1219"/>
        <v>0</v>
      </c>
      <c r="RU147" s="98">
        <v>1570</v>
      </c>
      <c r="RV147" s="98">
        <v>25120</v>
      </c>
      <c r="SC147" s="91">
        <f t="shared" si="1220"/>
        <v>1570</v>
      </c>
      <c r="SD147" s="91">
        <f t="shared" si="1221"/>
        <v>25120</v>
      </c>
      <c r="SS147" s="91">
        <f t="shared" si="1222"/>
        <v>0</v>
      </c>
      <c r="ST147" s="91">
        <f t="shared" si="1223"/>
        <v>0</v>
      </c>
      <c r="TI147" s="91">
        <f t="shared" si="1224"/>
        <v>0</v>
      </c>
      <c r="TJ147" s="91">
        <f t="shared" si="1225"/>
        <v>0</v>
      </c>
      <c r="TY147" s="91">
        <f t="shared" si="1226"/>
        <v>0</v>
      </c>
      <c r="TZ147" s="91">
        <f t="shared" si="1227"/>
        <v>0</v>
      </c>
      <c r="UG147" s="98">
        <v>200</v>
      </c>
      <c r="UH147" s="98">
        <v>4000</v>
      </c>
      <c r="UO147" s="91">
        <f t="shared" si="1228"/>
        <v>200</v>
      </c>
      <c r="UP147" s="91">
        <f t="shared" si="1229"/>
        <v>4000</v>
      </c>
      <c r="VE147" s="91">
        <f t="shared" si="1230"/>
        <v>0</v>
      </c>
      <c r="VF147" s="91">
        <f t="shared" si="1231"/>
        <v>0</v>
      </c>
      <c r="VU147" s="91">
        <f t="shared" si="1232"/>
        <v>0</v>
      </c>
      <c r="VV147" s="91">
        <f t="shared" si="1233"/>
        <v>0</v>
      </c>
      <c r="WC147" s="98">
        <v>681</v>
      </c>
      <c r="WD147" s="98">
        <v>14982</v>
      </c>
      <c r="WK147" s="91">
        <f t="shared" si="1234"/>
        <v>681</v>
      </c>
      <c r="WL147" s="91">
        <f t="shared" si="1235"/>
        <v>14982</v>
      </c>
      <c r="WM147" s="89"/>
      <c r="WN147" s="87">
        <f t="shared" si="1236"/>
        <v>0</v>
      </c>
      <c r="WO147" s="87">
        <f t="shared" si="1237"/>
        <v>0</v>
      </c>
      <c r="WP147" s="87">
        <f t="shared" si="1238"/>
        <v>0</v>
      </c>
      <c r="WQ147" s="87">
        <f t="shared" si="1239"/>
        <v>0</v>
      </c>
      <c r="WR147" s="87">
        <f t="shared" si="1240"/>
        <v>0</v>
      </c>
      <c r="WS147" s="87">
        <f t="shared" si="1241"/>
        <v>0</v>
      </c>
      <c r="WT147" s="87">
        <f t="shared" si="1242"/>
        <v>2446622</v>
      </c>
      <c r="WU147" s="87">
        <f t="shared" si="1243"/>
        <v>39402668</v>
      </c>
      <c r="WV147" s="87">
        <f t="shared" si="1244"/>
        <v>0</v>
      </c>
      <c r="WW147" s="87">
        <f t="shared" si="1245"/>
        <v>0</v>
      </c>
      <c r="WX147" s="87">
        <f t="shared" si="1246"/>
        <v>101830</v>
      </c>
      <c r="WY147" s="87">
        <f t="shared" si="1247"/>
        <v>1582650</v>
      </c>
      <c r="WZ147" s="87">
        <f t="shared" si="1248"/>
        <v>6812</v>
      </c>
      <c r="XA147" s="87">
        <f t="shared" si="1249"/>
        <v>116686</v>
      </c>
      <c r="XB147" s="92">
        <f t="shared" si="1250"/>
        <v>2555264</v>
      </c>
      <c r="XC147" s="92">
        <f t="shared" si="1251"/>
        <v>41102004</v>
      </c>
      <c r="XD147" s="89"/>
      <c r="XE147" s="92">
        <f t="shared" ref="XE147:XF147" si="1274">SUM(XB375,XB413,XB451)</f>
        <v>7909443.7756836768</v>
      </c>
      <c r="XF147" s="92">
        <f t="shared" si="1274"/>
        <v>175315768.53937483</v>
      </c>
      <c r="XG147" s="89"/>
      <c r="XH147" s="92"/>
      <c r="XI147" s="92"/>
      <c r="XJ147" s="89"/>
      <c r="XK147" s="87"/>
      <c r="XL147" s="87"/>
      <c r="XM147" s="87"/>
      <c r="XN147" s="87"/>
      <c r="XO147" s="87"/>
      <c r="XP147" s="87"/>
      <c r="XQ147" s="87"/>
      <c r="XR147" s="92">
        <f t="shared" ca="1" si="1252"/>
        <v>0</v>
      </c>
      <c r="XS147" s="89"/>
      <c r="XT147" s="87"/>
      <c r="XU147" s="87"/>
      <c r="XV147" s="87"/>
      <c r="XW147" s="87"/>
      <c r="XX147" s="87"/>
      <c r="XY147" s="87"/>
      <c r="XZ147" s="87"/>
      <c r="YA147" s="92">
        <f t="shared" ca="1" si="1253"/>
        <v>0</v>
      </c>
      <c r="YB147" s="90"/>
      <c r="YC147" s="90"/>
      <c r="YD147" s="90"/>
      <c r="YE147" s="90"/>
      <c r="YF147" s="90"/>
      <c r="YG147" s="90"/>
      <c r="YH147" s="90"/>
      <c r="YI147" s="90"/>
      <c r="YJ147" s="90"/>
      <c r="YK147" s="90"/>
      <c r="YL147" s="90"/>
      <c r="YM147" s="90"/>
      <c r="YN147" s="90"/>
      <c r="YO147" s="90"/>
      <c r="YP147" s="90"/>
      <c r="YQ147" s="90"/>
      <c r="YR147" s="90"/>
      <c r="YS147" s="90"/>
      <c r="YT147" s="90"/>
      <c r="YU147" s="90"/>
      <c r="YV147" s="90"/>
      <c r="YW147" s="90"/>
      <c r="YX147" s="90"/>
      <c r="YY147" s="90"/>
      <c r="YZ147" s="90"/>
      <c r="ZA147" s="90"/>
      <c r="ZB147" s="90"/>
      <c r="ZC147" s="90"/>
      <c r="ZD147" s="90"/>
      <c r="ZE147" s="90"/>
      <c r="ZF147" s="90"/>
      <c r="ZG147" s="90"/>
      <c r="ZH147" s="90"/>
      <c r="ZI147" s="90"/>
      <c r="ZJ147" s="90"/>
      <c r="ZK147" s="90"/>
      <c r="ZL147" s="90"/>
      <c r="ZM147" s="90"/>
      <c r="ZN147" s="90"/>
      <c r="ZO147" s="90"/>
      <c r="ZP147" s="90"/>
      <c r="ZQ147" s="90"/>
      <c r="ZR147" s="90"/>
      <c r="ZS147" s="90"/>
      <c r="ZT147" s="90"/>
      <c r="ZU147" s="90"/>
      <c r="ZV147" s="90"/>
      <c r="ZW147" s="90"/>
      <c r="ZX147" s="90"/>
      <c r="ZY147" s="90"/>
      <c r="ZZ147" s="90"/>
      <c r="AAA147" s="90"/>
      <c r="AAB147" s="90"/>
      <c r="AAC147" s="90"/>
      <c r="AAD147" s="90"/>
      <c r="AAE147" s="90"/>
      <c r="AAF147" s="90"/>
      <c r="AAG147" s="90"/>
      <c r="AAH147" s="90"/>
      <c r="AAI147" s="90"/>
      <c r="AAJ147" s="90"/>
      <c r="AAK147" s="90"/>
      <c r="AAL147" s="90"/>
      <c r="AAM147" s="90"/>
      <c r="AAN147" s="90"/>
      <c r="AAO147" s="90"/>
      <c r="AAP147" s="90"/>
      <c r="AAQ147" s="90"/>
      <c r="AAR147" s="90"/>
      <c r="AAS147" s="90"/>
      <c r="AAT147" s="90"/>
      <c r="AAU147" s="90"/>
      <c r="AAV147" s="90"/>
      <c r="AAW147" s="90"/>
      <c r="AAX147" s="90"/>
      <c r="AAY147" s="90"/>
      <c r="AAZ147" s="90"/>
      <c r="ABA147" s="90"/>
      <c r="ABB147" s="90"/>
      <c r="ABC147" s="90"/>
      <c r="ABD147" s="90"/>
      <c r="ABE147" s="90"/>
      <c r="ABF147" s="90"/>
      <c r="ABG147" s="90"/>
      <c r="ABH147" s="90"/>
      <c r="ABI147" s="90"/>
      <c r="ABJ147" s="90"/>
      <c r="ABK147" s="90"/>
      <c r="ABL147" s="90"/>
      <c r="ABM147" s="90"/>
      <c r="ABN147" s="90"/>
      <c r="ABO147" s="90"/>
      <c r="ABP147" s="90"/>
      <c r="ABQ147" s="90"/>
      <c r="ABR147" s="90"/>
      <c r="ABS147" s="90"/>
      <c r="ABT147" s="90"/>
      <c r="ABU147" s="90"/>
      <c r="ABV147" s="90"/>
      <c r="ABW147" s="90"/>
      <c r="ABX147" s="90"/>
      <c r="ABY147" s="90"/>
      <c r="ABZ147" s="90"/>
      <c r="ACA147" s="90"/>
      <c r="ACB147" s="90"/>
      <c r="ACC147" s="90"/>
      <c r="ACD147" s="90"/>
      <c r="ACE147" s="90"/>
      <c r="ACF147" s="90"/>
      <c r="ACG147" s="90"/>
      <c r="ACH147" s="90"/>
      <c r="ACI147" s="90"/>
      <c r="ACJ147" s="90"/>
      <c r="ACK147" s="90"/>
      <c r="ACL147" s="90"/>
      <c r="ACM147" s="90"/>
      <c r="ACN147" s="90"/>
      <c r="ACO147" s="90"/>
      <c r="ACP147" s="90"/>
      <c r="ACQ147" s="90"/>
      <c r="ACR147" s="90"/>
      <c r="ACS147" s="90"/>
      <c r="ACT147" s="90"/>
      <c r="ACU147" s="90"/>
      <c r="ACV147" s="90"/>
      <c r="ACW147" s="90"/>
      <c r="ACX147" s="90"/>
      <c r="ACY147" s="90"/>
      <c r="ACZ147" s="90"/>
      <c r="ADA147" s="90"/>
      <c r="ADB147" s="90"/>
      <c r="ADC147" s="90"/>
      <c r="ADD147" s="90"/>
      <c r="ADE147" s="90"/>
      <c r="ADF147" s="90"/>
      <c r="ADG147" s="90"/>
      <c r="ADH147" s="90"/>
      <c r="ADI147" s="90"/>
      <c r="ADJ147" s="90"/>
      <c r="ADK147" s="90"/>
      <c r="ADL147" s="90"/>
      <c r="ADM147" s="90"/>
      <c r="ADN147" s="90"/>
      <c r="ADO147" s="90"/>
      <c r="ADP147" s="90"/>
      <c r="ADQ147" s="90"/>
      <c r="ADR147" s="90"/>
      <c r="ADS147" s="90"/>
      <c r="ADT147" s="90"/>
      <c r="ADU147" s="90"/>
      <c r="ADV147" s="90"/>
      <c r="ADW147" s="90"/>
      <c r="ADX147" s="90"/>
      <c r="ADY147" s="90"/>
      <c r="ADZ147" s="90"/>
      <c r="AEA147" s="90"/>
      <c r="AEB147" s="90"/>
      <c r="AEC147" s="90"/>
      <c r="AED147" s="90"/>
      <c r="AEE147" s="90"/>
      <c r="AEF147" s="90"/>
      <c r="AEG147" s="90"/>
      <c r="AEH147" s="90"/>
      <c r="AEI147" s="90"/>
      <c r="AEJ147" s="90"/>
      <c r="AEK147" s="90"/>
      <c r="AEL147" s="90"/>
      <c r="AEM147" s="90"/>
      <c r="AEN147" s="90"/>
      <c r="AEO147" s="90"/>
      <c r="AEP147" s="90"/>
      <c r="AEQ147" s="90"/>
      <c r="AER147" s="90"/>
      <c r="AES147" s="90"/>
      <c r="AET147" s="90"/>
      <c r="AEU147" s="90"/>
      <c r="AEV147" s="90"/>
      <c r="AEW147" s="90"/>
      <c r="AEX147" s="90"/>
      <c r="AEY147" s="90"/>
      <c r="AEZ147" s="90"/>
      <c r="AFA147" s="90"/>
      <c r="AFB147" s="90"/>
      <c r="AFC147" s="90"/>
      <c r="AFD147" s="90"/>
      <c r="AFE147" s="90"/>
      <c r="AFF147" s="90"/>
      <c r="AFG147" s="90"/>
      <c r="AFH147" s="90"/>
      <c r="AFI147" s="90"/>
      <c r="AFJ147" s="90"/>
      <c r="AFK147" s="90"/>
      <c r="AFL147" s="90"/>
      <c r="AFM147" s="90"/>
      <c r="AFN147" s="90"/>
      <c r="AFO147" s="90"/>
      <c r="AFP147" s="90"/>
      <c r="AFQ147" s="90"/>
      <c r="AFR147" s="90"/>
      <c r="AFS147" s="90"/>
      <c r="AFT147" s="90"/>
      <c r="AFU147" s="90"/>
      <c r="AFV147" s="90"/>
      <c r="AFW147" s="90"/>
      <c r="AFX147" s="90"/>
      <c r="AFY147" s="90"/>
      <c r="AFZ147" s="90"/>
      <c r="AGA147" s="90"/>
      <c r="AGB147" s="90"/>
      <c r="AGC147" s="90"/>
      <c r="AGD147" s="90"/>
      <c r="AGE147" s="90"/>
      <c r="AGF147" s="90"/>
      <c r="AGG147" s="90"/>
      <c r="AGH147" s="90"/>
      <c r="AGI147" s="90"/>
      <c r="AGJ147" s="90"/>
      <c r="AGK147" s="90"/>
      <c r="AGL147" s="90"/>
      <c r="AGM147" s="90"/>
      <c r="AGN147" s="90"/>
      <c r="AGO147" s="90"/>
      <c r="AGP147" s="90"/>
      <c r="AGQ147" s="90"/>
      <c r="AGR147" s="90"/>
      <c r="AGS147" s="90"/>
      <c r="AGT147" s="90"/>
      <c r="AGU147" s="90"/>
      <c r="AGV147" s="90"/>
      <c r="AGW147" s="90"/>
      <c r="AGX147" s="90"/>
      <c r="AGY147" s="90"/>
      <c r="AGZ147" s="90"/>
      <c r="AHA147" s="90"/>
      <c r="AHB147" s="90"/>
      <c r="AHC147" s="90"/>
      <c r="AHD147" s="90"/>
      <c r="AHE147" s="90"/>
      <c r="AHF147" s="90"/>
      <c r="AHG147" s="90"/>
      <c r="AHH147" s="90"/>
      <c r="AHI147" s="90"/>
      <c r="AHJ147" s="90"/>
      <c r="AHK147" s="90"/>
      <c r="AHL147" s="90"/>
      <c r="AHM147" s="90"/>
      <c r="AHN147" s="90"/>
      <c r="AHO147" s="90"/>
      <c r="AHP147" s="90"/>
      <c r="AHQ147" s="90"/>
      <c r="AHR147" s="90"/>
      <c r="AHS147" s="90"/>
      <c r="AHT147" s="90"/>
      <c r="AHU147" s="90"/>
      <c r="AHV147" s="90"/>
      <c r="AHW147" s="90"/>
      <c r="AHX147" s="90"/>
      <c r="AHY147" s="90"/>
      <c r="AHZ147" s="90"/>
      <c r="AIA147" s="90"/>
      <c r="AIB147" s="90"/>
      <c r="AIC147" s="90"/>
      <c r="AID147" s="90"/>
      <c r="AIE147" s="90"/>
      <c r="AIF147" s="90"/>
      <c r="AIG147" s="90"/>
      <c r="AIH147" s="90"/>
      <c r="AII147" s="90"/>
      <c r="AIJ147" s="90"/>
      <c r="AIK147" s="90"/>
      <c r="AIL147" s="90"/>
      <c r="AIM147" s="90"/>
      <c r="AIN147" s="90"/>
      <c r="AIO147" s="90"/>
      <c r="AIP147" s="90"/>
      <c r="AIQ147" s="90"/>
      <c r="AIR147" s="90"/>
      <c r="AIS147" s="90"/>
      <c r="AIT147" s="90"/>
      <c r="AIU147" s="90"/>
      <c r="AIV147" s="90"/>
      <c r="AIW147" s="90"/>
      <c r="AIX147" s="90"/>
      <c r="AIY147" s="90"/>
      <c r="AIZ147" s="90"/>
      <c r="AJA147" s="90"/>
      <c r="AJB147" s="90"/>
      <c r="AJC147" s="90"/>
      <c r="AJD147" s="90"/>
      <c r="AJE147" s="90"/>
      <c r="AJF147" s="90"/>
      <c r="AJG147" s="90"/>
      <c r="AJH147" s="90"/>
      <c r="AJI147" s="90"/>
      <c r="AJJ147" s="90"/>
      <c r="AJK147" s="90"/>
      <c r="AJL147" s="90"/>
      <c r="AJM147" s="90"/>
      <c r="AJN147" s="90"/>
      <c r="AJO147" s="90"/>
      <c r="AJP147" s="90"/>
      <c r="AJQ147" s="90"/>
      <c r="AJR147" s="90"/>
      <c r="AJS147" s="90"/>
      <c r="AJT147" s="90"/>
      <c r="AJU147" s="90"/>
      <c r="AJV147" s="90"/>
      <c r="AJW147" s="90"/>
      <c r="AJX147" s="90"/>
      <c r="AJY147" s="90"/>
      <c r="AJZ147" s="90"/>
      <c r="AKA147" s="90"/>
      <c r="AKB147" s="90"/>
      <c r="AKC147" s="90"/>
      <c r="AKD147" s="90"/>
      <c r="AKE147" s="90"/>
      <c r="AKF147" s="90"/>
      <c r="AKG147" s="90"/>
      <c r="AKH147" s="90"/>
      <c r="AKI147" s="90"/>
      <c r="AKJ147" s="90"/>
      <c r="AKK147" s="90"/>
      <c r="AKL147" s="90"/>
      <c r="AKM147" s="90"/>
      <c r="AKN147" s="90"/>
      <c r="AKO147" s="90"/>
      <c r="AKP147" s="90"/>
      <c r="AKQ147" s="90"/>
      <c r="AKR147" s="90"/>
      <c r="AKS147" s="90"/>
      <c r="AKT147" s="90"/>
      <c r="AKU147" s="90"/>
      <c r="AKV147" s="90"/>
      <c r="AKW147" s="90"/>
      <c r="AKX147" s="90"/>
      <c r="AKY147" s="90"/>
      <c r="AKZ147" s="90"/>
      <c r="ALA147" s="90"/>
      <c r="ALB147" s="90"/>
      <c r="ALC147" s="90"/>
      <c r="ALD147" s="90"/>
      <c r="ALE147" s="90"/>
      <c r="ALF147" s="90"/>
      <c r="ALG147" s="90"/>
      <c r="ALH147" s="90"/>
      <c r="ALI147" s="90"/>
      <c r="ALJ147" s="90"/>
      <c r="ALK147" s="90"/>
      <c r="ALL147" s="90"/>
      <c r="ALM147" s="90"/>
      <c r="ALN147" s="90"/>
      <c r="ALO147" s="90"/>
      <c r="ALP147" s="90"/>
      <c r="ALQ147" s="90"/>
      <c r="ALR147" s="90"/>
      <c r="ALS147" s="90"/>
      <c r="ALT147" s="90"/>
      <c r="ALU147" s="90"/>
      <c r="ALV147" s="90"/>
      <c r="ALW147" s="90"/>
      <c r="ALX147" s="90"/>
      <c r="ALY147" s="90"/>
      <c r="ALZ147" s="90"/>
      <c r="AMA147" s="90"/>
      <c r="AMB147" s="90"/>
      <c r="AMC147" s="90"/>
    </row>
    <row r="148" spans="1:1017">
      <c r="A148" s="98" t="s">
        <v>48</v>
      </c>
      <c r="B148" s="90" t="str">
        <f t="shared" si="1159"/>
        <v xml:space="preserve">Rajungan </v>
      </c>
      <c r="Q148" s="91">
        <f t="shared" si="1160"/>
        <v>0</v>
      </c>
      <c r="R148" s="91">
        <f t="shared" si="1161"/>
        <v>0</v>
      </c>
      <c r="AG148" s="91">
        <f t="shared" si="1162"/>
        <v>0</v>
      </c>
      <c r="AH148" s="91">
        <f t="shared" si="1163"/>
        <v>0</v>
      </c>
      <c r="AW148" s="91">
        <f t="shared" si="1164"/>
        <v>0</v>
      </c>
      <c r="AX148" s="91">
        <f t="shared" si="1165"/>
        <v>0</v>
      </c>
      <c r="BM148" s="91">
        <f t="shared" si="1166"/>
        <v>0</v>
      </c>
      <c r="BN148" s="91">
        <f t="shared" si="1167"/>
        <v>0</v>
      </c>
      <c r="CC148" s="91">
        <f t="shared" si="1168"/>
        <v>0</v>
      </c>
      <c r="CD148" s="91">
        <f t="shared" si="1169"/>
        <v>0</v>
      </c>
      <c r="CS148" s="91">
        <f t="shared" si="1254"/>
        <v>0</v>
      </c>
      <c r="CT148" s="91">
        <f t="shared" si="1255"/>
        <v>0</v>
      </c>
      <c r="DI148" s="91">
        <f t="shared" si="1172"/>
        <v>0</v>
      </c>
      <c r="DJ148" s="91">
        <f t="shared" si="1173"/>
        <v>0</v>
      </c>
      <c r="DY148" s="91">
        <f t="shared" si="1174"/>
        <v>0</v>
      </c>
      <c r="DZ148" s="91">
        <f t="shared" si="1175"/>
        <v>0</v>
      </c>
      <c r="EO148" s="91">
        <f t="shared" si="1176"/>
        <v>0</v>
      </c>
      <c r="EP148" s="91">
        <f t="shared" si="1177"/>
        <v>0</v>
      </c>
      <c r="FE148" s="91">
        <f t="shared" si="1178"/>
        <v>0</v>
      </c>
      <c r="FF148" s="91">
        <f t="shared" si="1179"/>
        <v>0</v>
      </c>
      <c r="FU148" s="91">
        <f t="shared" si="1180"/>
        <v>0</v>
      </c>
      <c r="FV148" s="91">
        <f t="shared" si="1181"/>
        <v>0</v>
      </c>
      <c r="GK148" s="91">
        <f t="shared" si="1182"/>
        <v>0</v>
      </c>
      <c r="GL148" s="91">
        <f t="shared" si="1183"/>
        <v>0</v>
      </c>
      <c r="HA148" s="91">
        <f t="shared" si="1184"/>
        <v>0</v>
      </c>
      <c r="HB148" s="91">
        <f t="shared" si="1185"/>
        <v>0</v>
      </c>
      <c r="HQ148" s="91">
        <f t="shared" si="1186"/>
        <v>0</v>
      </c>
      <c r="HR148" s="91">
        <f t="shared" si="1187"/>
        <v>0</v>
      </c>
      <c r="IG148" s="91">
        <f t="shared" si="1188"/>
        <v>0</v>
      </c>
      <c r="IH148" s="91">
        <f t="shared" si="1189"/>
        <v>0</v>
      </c>
      <c r="IW148" s="91">
        <f t="shared" si="1190"/>
        <v>0</v>
      </c>
      <c r="IX148" s="91">
        <f t="shared" si="1191"/>
        <v>0</v>
      </c>
      <c r="JM148" s="91">
        <f t="shared" si="1192"/>
        <v>0</v>
      </c>
      <c r="JN148" s="91">
        <f t="shared" si="1193"/>
        <v>0</v>
      </c>
      <c r="KC148" s="91">
        <f t="shared" si="1194"/>
        <v>0</v>
      </c>
      <c r="KD148" s="91">
        <f t="shared" si="1195"/>
        <v>0</v>
      </c>
      <c r="KS148" s="91">
        <f t="shared" si="1196"/>
        <v>0</v>
      </c>
      <c r="KT148" s="91">
        <f t="shared" si="1197"/>
        <v>0</v>
      </c>
      <c r="LI148" s="91">
        <f t="shared" si="1198"/>
        <v>0</v>
      </c>
      <c r="LJ148" s="91">
        <f t="shared" si="1199"/>
        <v>0</v>
      </c>
      <c r="LY148" s="91">
        <f t="shared" si="1200"/>
        <v>0</v>
      </c>
      <c r="LZ148" s="91">
        <f t="shared" si="1201"/>
        <v>0</v>
      </c>
      <c r="MO148" s="91">
        <f t="shared" si="1202"/>
        <v>0</v>
      </c>
      <c r="MP148" s="91">
        <f t="shared" si="1203"/>
        <v>0</v>
      </c>
      <c r="NE148" s="91">
        <f t="shared" si="1204"/>
        <v>0</v>
      </c>
      <c r="NF148" s="91">
        <f t="shared" si="1205"/>
        <v>0</v>
      </c>
      <c r="NU148" s="91">
        <f t="shared" si="1206"/>
        <v>0</v>
      </c>
      <c r="NV148" s="91">
        <f t="shared" si="1207"/>
        <v>0</v>
      </c>
      <c r="OK148" s="91">
        <f t="shared" si="1208"/>
        <v>0</v>
      </c>
      <c r="OL148" s="91">
        <f t="shared" si="1209"/>
        <v>0</v>
      </c>
      <c r="PA148" s="91">
        <f t="shared" si="1210"/>
        <v>0</v>
      </c>
      <c r="PB148" s="91">
        <f t="shared" si="1211"/>
        <v>0</v>
      </c>
      <c r="PQ148" s="91">
        <f t="shared" si="1212"/>
        <v>0</v>
      </c>
      <c r="PR148" s="91">
        <f t="shared" si="1213"/>
        <v>0</v>
      </c>
      <c r="QG148" s="91">
        <f t="shared" si="1214"/>
        <v>0</v>
      </c>
      <c r="QH148" s="91">
        <f t="shared" si="1215"/>
        <v>0</v>
      </c>
      <c r="QW148" s="91">
        <f t="shared" si="1216"/>
        <v>0</v>
      </c>
      <c r="QX148" s="91">
        <f t="shared" si="1217"/>
        <v>0</v>
      </c>
      <c r="RM148" s="91">
        <f t="shared" si="1218"/>
        <v>0</v>
      </c>
      <c r="RN148" s="91">
        <f t="shared" si="1219"/>
        <v>0</v>
      </c>
      <c r="SC148" s="91">
        <f t="shared" si="1220"/>
        <v>0</v>
      </c>
      <c r="SD148" s="91">
        <f t="shared" si="1221"/>
        <v>0</v>
      </c>
      <c r="SS148" s="91">
        <f t="shared" si="1222"/>
        <v>0</v>
      </c>
      <c r="ST148" s="91">
        <f t="shared" si="1223"/>
        <v>0</v>
      </c>
      <c r="TI148" s="91">
        <f t="shared" si="1224"/>
        <v>0</v>
      </c>
      <c r="TJ148" s="91">
        <f t="shared" si="1225"/>
        <v>0</v>
      </c>
      <c r="TY148" s="91">
        <f t="shared" si="1226"/>
        <v>0</v>
      </c>
      <c r="TZ148" s="91">
        <f t="shared" si="1227"/>
        <v>0</v>
      </c>
      <c r="UO148" s="91">
        <f t="shared" si="1228"/>
        <v>0</v>
      </c>
      <c r="UP148" s="91">
        <f t="shared" si="1229"/>
        <v>0</v>
      </c>
      <c r="VE148" s="91">
        <f t="shared" si="1230"/>
        <v>0</v>
      </c>
      <c r="VF148" s="91">
        <f t="shared" si="1231"/>
        <v>0</v>
      </c>
      <c r="VU148" s="91">
        <f t="shared" si="1232"/>
        <v>0</v>
      </c>
      <c r="VV148" s="91">
        <f t="shared" si="1233"/>
        <v>0</v>
      </c>
      <c r="WK148" s="91">
        <f t="shared" si="1234"/>
        <v>0</v>
      </c>
      <c r="WL148" s="91">
        <f t="shared" si="1235"/>
        <v>0</v>
      </c>
      <c r="WM148" s="89"/>
      <c r="WN148" s="87">
        <f t="shared" si="1236"/>
        <v>0</v>
      </c>
      <c r="WO148" s="87">
        <f t="shared" si="1237"/>
        <v>0</v>
      </c>
      <c r="WP148" s="87">
        <f t="shared" si="1238"/>
        <v>0</v>
      </c>
      <c r="WQ148" s="87">
        <f t="shared" si="1239"/>
        <v>0</v>
      </c>
      <c r="WR148" s="87">
        <f t="shared" si="1240"/>
        <v>0</v>
      </c>
      <c r="WS148" s="87">
        <f t="shared" si="1241"/>
        <v>0</v>
      </c>
      <c r="WT148" s="87">
        <f t="shared" si="1242"/>
        <v>0</v>
      </c>
      <c r="WU148" s="87">
        <f t="shared" si="1243"/>
        <v>0</v>
      </c>
      <c r="WV148" s="87">
        <f t="shared" si="1244"/>
        <v>0</v>
      </c>
      <c r="WW148" s="87">
        <f t="shared" si="1245"/>
        <v>0</v>
      </c>
      <c r="WX148" s="87">
        <f t="shared" si="1246"/>
        <v>0</v>
      </c>
      <c r="WY148" s="87">
        <f t="shared" si="1247"/>
        <v>0</v>
      </c>
      <c r="WZ148" s="87">
        <f t="shared" si="1248"/>
        <v>0</v>
      </c>
      <c r="XA148" s="87">
        <f t="shared" si="1249"/>
        <v>0</v>
      </c>
      <c r="XB148" s="92">
        <f t="shared" si="1250"/>
        <v>0</v>
      </c>
      <c r="XC148" s="92">
        <f t="shared" si="1251"/>
        <v>0</v>
      </c>
      <c r="XD148" s="89"/>
      <c r="XE148" s="92">
        <f t="shared" ref="XE148:XF148" si="1275">SUM(XB376,XB414,XB452)</f>
        <v>0</v>
      </c>
      <c r="XF148" s="92">
        <f t="shared" si="1275"/>
        <v>0</v>
      </c>
      <c r="XG148" s="89"/>
      <c r="XH148" s="92"/>
      <c r="XI148" s="92"/>
      <c r="XJ148" s="89"/>
      <c r="XK148" s="87"/>
      <c r="XL148" s="87"/>
      <c r="XM148" s="87"/>
      <c r="XN148" s="87"/>
      <c r="XO148" s="87"/>
      <c r="XP148" s="87"/>
      <c r="XQ148" s="87"/>
      <c r="XR148" s="92">
        <f t="shared" ca="1" si="1252"/>
        <v>0</v>
      </c>
      <c r="XS148" s="89"/>
      <c r="XT148" s="87"/>
      <c r="XU148" s="87"/>
      <c r="XV148" s="87"/>
      <c r="XW148" s="87"/>
      <c r="XX148" s="87"/>
      <c r="XY148" s="87"/>
      <c r="XZ148" s="87"/>
      <c r="YA148" s="92">
        <f t="shared" ca="1" si="1253"/>
        <v>0</v>
      </c>
      <c r="YB148" s="90"/>
      <c r="YC148" s="90"/>
      <c r="YD148" s="90"/>
      <c r="YE148" s="90"/>
      <c r="YF148" s="90"/>
      <c r="YG148" s="90"/>
      <c r="YH148" s="90"/>
      <c r="YI148" s="90"/>
      <c r="YJ148" s="90"/>
      <c r="YK148" s="90"/>
      <c r="YL148" s="90"/>
      <c r="YM148" s="90"/>
      <c r="YN148" s="90"/>
      <c r="YO148" s="90"/>
      <c r="YP148" s="90"/>
      <c r="YQ148" s="90"/>
      <c r="YR148" s="90"/>
      <c r="YS148" s="90"/>
      <c r="YT148" s="90"/>
      <c r="YU148" s="90"/>
      <c r="YV148" s="90"/>
      <c r="YW148" s="90"/>
      <c r="YX148" s="90"/>
      <c r="YY148" s="90"/>
      <c r="YZ148" s="90"/>
      <c r="ZA148" s="90"/>
      <c r="ZB148" s="90"/>
      <c r="ZC148" s="90"/>
      <c r="ZD148" s="90"/>
      <c r="ZE148" s="90"/>
      <c r="ZF148" s="90"/>
      <c r="ZG148" s="90"/>
      <c r="ZH148" s="90"/>
      <c r="ZI148" s="90"/>
      <c r="ZJ148" s="90"/>
      <c r="ZK148" s="90"/>
      <c r="ZL148" s="90"/>
      <c r="ZM148" s="90"/>
      <c r="ZN148" s="90"/>
      <c r="ZO148" s="90"/>
      <c r="ZP148" s="90"/>
      <c r="ZQ148" s="90"/>
      <c r="ZR148" s="90"/>
      <c r="ZS148" s="90"/>
      <c r="ZT148" s="90"/>
      <c r="ZU148" s="90"/>
      <c r="ZV148" s="90"/>
      <c r="ZW148" s="90"/>
      <c r="ZX148" s="90"/>
      <c r="ZY148" s="90"/>
      <c r="ZZ148" s="90"/>
      <c r="AAA148" s="90"/>
      <c r="AAB148" s="90"/>
      <c r="AAC148" s="90"/>
      <c r="AAD148" s="90"/>
      <c r="AAE148" s="90"/>
      <c r="AAF148" s="90"/>
      <c r="AAG148" s="90"/>
      <c r="AAH148" s="90"/>
      <c r="AAI148" s="90"/>
      <c r="AAJ148" s="90"/>
      <c r="AAK148" s="90"/>
      <c r="AAL148" s="90"/>
      <c r="AAM148" s="90"/>
      <c r="AAN148" s="90"/>
      <c r="AAO148" s="90"/>
      <c r="AAP148" s="90"/>
      <c r="AAQ148" s="90"/>
      <c r="AAR148" s="90"/>
      <c r="AAS148" s="90"/>
      <c r="AAT148" s="90"/>
      <c r="AAU148" s="90"/>
      <c r="AAV148" s="90"/>
      <c r="AAW148" s="90"/>
      <c r="AAX148" s="90"/>
      <c r="AAY148" s="90"/>
      <c r="AAZ148" s="90"/>
      <c r="ABA148" s="90"/>
      <c r="ABB148" s="90"/>
      <c r="ABC148" s="90"/>
      <c r="ABD148" s="90"/>
      <c r="ABE148" s="90"/>
      <c r="ABF148" s="90"/>
      <c r="ABG148" s="90"/>
      <c r="ABH148" s="90"/>
      <c r="ABI148" s="90"/>
      <c r="ABJ148" s="90"/>
      <c r="ABK148" s="90"/>
      <c r="ABL148" s="90"/>
      <c r="ABM148" s="90"/>
      <c r="ABN148" s="90"/>
      <c r="ABO148" s="90"/>
      <c r="ABP148" s="90"/>
      <c r="ABQ148" s="90"/>
      <c r="ABR148" s="90"/>
      <c r="ABS148" s="90"/>
      <c r="ABT148" s="90"/>
      <c r="ABU148" s="90"/>
      <c r="ABV148" s="90"/>
      <c r="ABW148" s="90"/>
      <c r="ABX148" s="90"/>
      <c r="ABY148" s="90"/>
      <c r="ABZ148" s="90"/>
      <c r="ACA148" s="90"/>
      <c r="ACB148" s="90"/>
      <c r="ACC148" s="90"/>
      <c r="ACD148" s="90"/>
      <c r="ACE148" s="90"/>
      <c r="ACF148" s="90"/>
      <c r="ACG148" s="90"/>
      <c r="ACH148" s="90"/>
      <c r="ACI148" s="90"/>
      <c r="ACJ148" s="90"/>
      <c r="ACK148" s="90"/>
      <c r="ACL148" s="90"/>
      <c r="ACM148" s="90"/>
      <c r="ACN148" s="90"/>
      <c r="ACO148" s="90"/>
      <c r="ACP148" s="90"/>
      <c r="ACQ148" s="90"/>
      <c r="ACR148" s="90"/>
      <c r="ACS148" s="90"/>
      <c r="ACT148" s="90"/>
      <c r="ACU148" s="90"/>
      <c r="ACV148" s="90"/>
      <c r="ACW148" s="90"/>
      <c r="ACX148" s="90"/>
      <c r="ACY148" s="90"/>
      <c r="ACZ148" s="90"/>
      <c r="ADA148" s="90"/>
      <c r="ADB148" s="90"/>
      <c r="ADC148" s="90"/>
      <c r="ADD148" s="90"/>
      <c r="ADE148" s="90"/>
      <c r="ADF148" s="90"/>
      <c r="ADG148" s="90"/>
      <c r="ADH148" s="90"/>
      <c r="ADI148" s="90"/>
      <c r="ADJ148" s="90"/>
      <c r="ADK148" s="90"/>
      <c r="ADL148" s="90"/>
      <c r="ADM148" s="90"/>
      <c r="ADN148" s="90"/>
      <c r="ADO148" s="90"/>
      <c r="ADP148" s="90"/>
      <c r="ADQ148" s="90"/>
      <c r="ADR148" s="90"/>
      <c r="ADS148" s="90"/>
      <c r="ADT148" s="90"/>
      <c r="ADU148" s="90"/>
      <c r="ADV148" s="90"/>
      <c r="ADW148" s="90"/>
      <c r="ADX148" s="90"/>
      <c r="ADY148" s="90"/>
      <c r="ADZ148" s="90"/>
      <c r="AEA148" s="90"/>
      <c r="AEB148" s="90"/>
      <c r="AEC148" s="90"/>
      <c r="AED148" s="90"/>
      <c r="AEE148" s="90"/>
      <c r="AEF148" s="90"/>
      <c r="AEG148" s="90"/>
      <c r="AEH148" s="90"/>
      <c r="AEI148" s="90"/>
      <c r="AEJ148" s="90"/>
      <c r="AEK148" s="90"/>
      <c r="AEL148" s="90"/>
      <c r="AEM148" s="90"/>
      <c r="AEN148" s="90"/>
      <c r="AEO148" s="90"/>
      <c r="AEP148" s="90"/>
      <c r="AEQ148" s="90"/>
      <c r="AER148" s="90"/>
      <c r="AES148" s="90"/>
      <c r="AET148" s="90"/>
      <c r="AEU148" s="90"/>
      <c r="AEV148" s="90"/>
      <c r="AEW148" s="90"/>
      <c r="AEX148" s="90"/>
      <c r="AEY148" s="90"/>
      <c r="AEZ148" s="90"/>
      <c r="AFA148" s="90"/>
      <c r="AFB148" s="90"/>
      <c r="AFC148" s="90"/>
      <c r="AFD148" s="90"/>
      <c r="AFE148" s="90"/>
      <c r="AFF148" s="90"/>
      <c r="AFG148" s="90"/>
      <c r="AFH148" s="90"/>
      <c r="AFI148" s="90"/>
      <c r="AFJ148" s="90"/>
      <c r="AFK148" s="90"/>
      <c r="AFL148" s="90"/>
      <c r="AFM148" s="90"/>
      <c r="AFN148" s="90"/>
      <c r="AFO148" s="90"/>
      <c r="AFP148" s="90"/>
      <c r="AFQ148" s="90"/>
      <c r="AFR148" s="90"/>
      <c r="AFS148" s="90"/>
      <c r="AFT148" s="90"/>
      <c r="AFU148" s="90"/>
      <c r="AFV148" s="90"/>
      <c r="AFW148" s="90"/>
      <c r="AFX148" s="90"/>
      <c r="AFY148" s="90"/>
      <c r="AFZ148" s="90"/>
      <c r="AGA148" s="90"/>
      <c r="AGB148" s="90"/>
      <c r="AGC148" s="90"/>
      <c r="AGD148" s="90"/>
      <c r="AGE148" s="90"/>
      <c r="AGF148" s="90"/>
      <c r="AGG148" s="90"/>
      <c r="AGH148" s="90"/>
      <c r="AGI148" s="90"/>
      <c r="AGJ148" s="90"/>
      <c r="AGK148" s="90"/>
      <c r="AGL148" s="90"/>
      <c r="AGM148" s="90"/>
      <c r="AGN148" s="90"/>
      <c r="AGO148" s="90"/>
      <c r="AGP148" s="90"/>
      <c r="AGQ148" s="90"/>
      <c r="AGR148" s="90"/>
      <c r="AGS148" s="90"/>
      <c r="AGT148" s="90"/>
      <c r="AGU148" s="90"/>
      <c r="AGV148" s="90"/>
      <c r="AGW148" s="90"/>
      <c r="AGX148" s="90"/>
      <c r="AGY148" s="90"/>
      <c r="AGZ148" s="90"/>
      <c r="AHA148" s="90"/>
      <c r="AHB148" s="90"/>
      <c r="AHC148" s="90"/>
      <c r="AHD148" s="90"/>
      <c r="AHE148" s="90"/>
      <c r="AHF148" s="90"/>
      <c r="AHG148" s="90"/>
      <c r="AHH148" s="90"/>
      <c r="AHI148" s="90"/>
      <c r="AHJ148" s="90"/>
      <c r="AHK148" s="90"/>
      <c r="AHL148" s="90"/>
      <c r="AHM148" s="90"/>
      <c r="AHN148" s="90"/>
      <c r="AHO148" s="90"/>
      <c r="AHP148" s="90"/>
      <c r="AHQ148" s="90"/>
      <c r="AHR148" s="90"/>
      <c r="AHS148" s="90"/>
      <c r="AHT148" s="90"/>
      <c r="AHU148" s="90"/>
      <c r="AHV148" s="90"/>
      <c r="AHW148" s="90"/>
      <c r="AHX148" s="90"/>
      <c r="AHY148" s="90"/>
      <c r="AHZ148" s="90"/>
      <c r="AIA148" s="90"/>
      <c r="AIB148" s="90"/>
      <c r="AIC148" s="90"/>
      <c r="AID148" s="90"/>
      <c r="AIE148" s="90"/>
      <c r="AIF148" s="90"/>
      <c r="AIG148" s="90"/>
      <c r="AIH148" s="90"/>
      <c r="AII148" s="90"/>
      <c r="AIJ148" s="90"/>
      <c r="AIK148" s="90"/>
      <c r="AIL148" s="90"/>
      <c r="AIM148" s="90"/>
      <c r="AIN148" s="90"/>
      <c r="AIO148" s="90"/>
      <c r="AIP148" s="90"/>
      <c r="AIQ148" s="90"/>
      <c r="AIR148" s="90"/>
      <c r="AIS148" s="90"/>
      <c r="AIT148" s="90"/>
      <c r="AIU148" s="90"/>
      <c r="AIV148" s="90"/>
      <c r="AIW148" s="90"/>
      <c r="AIX148" s="90"/>
      <c r="AIY148" s="90"/>
      <c r="AIZ148" s="90"/>
      <c r="AJA148" s="90"/>
      <c r="AJB148" s="90"/>
      <c r="AJC148" s="90"/>
      <c r="AJD148" s="90"/>
      <c r="AJE148" s="90"/>
      <c r="AJF148" s="90"/>
      <c r="AJG148" s="90"/>
      <c r="AJH148" s="90"/>
      <c r="AJI148" s="90"/>
      <c r="AJJ148" s="90"/>
      <c r="AJK148" s="90"/>
      <c r="AJL148" s="90"/>
      <c r="AJM148" s="90"/>
      <c r="AJN148" s="90"/>
      <c r="AJO148" s="90"/>
      <c r="AJP148" s="90"/>
      <c r="AJQ148" s="90"/>
      <c r="AJR148" s="90"/>
      <c r="AJS148" s="90"/>
      <c r="AJT148" s="90"/>
      <c r="AJU148" s="90"/>
      <c r="AJV148" s="90"/>
      <c r="AJW148" s="90"/>
      <c r="AJX148" s="90"/>
      <c r="AJY148" s="90"/>
      <c r="AJZ148" s="90"/>
      <c r="AKA148" s="90"/>
      <c r="AKB148" s="90"/>
      <c r="AKC148" s="90"/>
      <c r="AKD148" s="90"/>
      <c r="AKE148" s="90"/>
      <c r="AKF148" s="90"/>
      <c r="AKG148" s="90"/>
      <c r="AKH148" s="90"/>
      <c r="AKI148" s="90"/>
      <c r="AKJ148" s="90"/>
      <c r="AKK148" s="90"/>
      <c r="AKL148" s="90"/>
      <c r="AKM148" s="90"/>
      <c r="AKN148" s="90"/>
      <c r="AKO148" s="90"/>
      <c r="AKP148" s="90"/>
      <c r="AKQ148" s="90"/>
      <c r="AKR148" s="90"/>
      <c r="AKS148" s="90"/>
      <c r="AKT148" s="90"/>
      <c r="AKU148" s="90"/>
      <c r="AKV148" s="90"/>
      <c r="AKW148" s="90"/>
      <c r="AKX148" s="90"/>
      <c r="AKY148" s="90"/>
      <c r="AKZ148" s="90"/>
      <c r="ALA148" s="90"/>
      <c r="ALB148" s="90"/>
      <c r="ALC148" s="90"/>
      <c r="ALD148" s="90"/>
      <c r="ALE148" s="90"/>
      <c r="ALF148" s="90"/>
      <c r="ALG148" s="90"/>
      <c r="ALH148" s="90"/>
      <c r="ALI148" s="90"/>
      <c r="ALJ148" s="90"/>
      <c r="ALK148" s="90"/>
      <c r="ALL148" s="90"/>
      <c r="ALM148" s="90"/>
      <c r="ALN148" s="90"/>
      <c r="ALO148" s="90"/>
      <c r="ALP148" s="90"/>
      <c r="ALQ148" s="90"/>
      <c r="ALR148" s="90"/>
      <c r="ALS148" s="90"/>
      <c r="ALT148" s="90"/>
      <c r="ALU148" s="90"/>
      <c r="ALV148" s="90"/>
      <c r="ALW148" s="90"/>
      <c r="ALX148" s="90"/>
      <c r="ALY148" s="90"/>
      <c r="ALZ148" s="90"/>
      <c r="AMA148" s="90"/>
      <c r="AMB148" s="90"/>
      <c r="AMC148" s="90"/>
    </row>
    <row r="149" spans="1:1017">
      <c r="A149" s="98" t="s">
        <v>48</v>
      </c>
      <c r="B149" s="90" t="str">
        <f t="shared" si="1159"/>
        <v>Tawes</v>
      </c>
      <c r="Q149" s="91">
        <f t="shared" si="1160"/>
        <v>0</v>
      </c>
      <c r="R149" s="91">
        <f t="shared" si="1161"/>
        <v>0</v>
      </c>
      <c r="Y149" s="98">
        <v>1910</v>
      </c>
      <c r="Z149" s="98">
        <v>32470</v>
      </c>
      <c r="AG149" s="91">
        <f t="shared" si="1162"/>
        <v>1910</v>
      </c>
      <c r="AH149" s="91">
        <f t="shared" si="1163"/>
        <v>32470</v>
      </c>
      <c r="AW149" s="91">
        <f t="shared" si="1164"/>
        <v>0</v>
      </c>
      <c r="AX149" s="91">
        <f t="shared" si="1165"/>
        <v>0</v>
      </c>
      <c r="BE149" s="98">
        <v>1779</v>
      </c>
      <c r="BF149" s="98">
        <v>17790</v>
      </c>
      <c r="BH149" s="98" t="s">
        <v>384</v>
      </c>
      <c r="BK149" s="98">
        <v>945</v>
      </c>
      <c r="BL149" s="98">
        <v>9450</v>
      </c>
      <c r="BM149" s="91">
        <f t="shared" si="1166"/>
        <v>2724</v>
      </c>
      <c r="BN149" s="91">
        <f t="shared" si="1167"/>
        <v>27240</v>
      </c>
      <c r="BU149" s="98">
        <v>114</v>
      </c>
      <c r="BV149" s="98">
        <v>2280</v>
      </c>
      <c r="CC149" s="91">
        <f t="shared" si="1168"/>
        <v>114</v>
      </c>
      <c r="CD149" s="91">
        <f t="shared" si="1169"/>
        <v>2280</v>
      </c>
      <c r="CK149" s="98">
        <v>426205</v>
      </c>
      <c r="CL149" s="98">
        <v>6819276</v>
      </c>
      <c r="CS149" s="91">
        <f t="shared" si="1254"/>
        <v>426205</v>
      </c>
      <c r="CT149" s="91">
        <f t="shared" si="1255"/>
        <v>6819276</v>
      </c>
      <c r="DA149" s="98">
        <v>595</v>
      </c>
      <c r="DB149" s="98">
        <v>10710</v>
      </c>
      <c r="DI149" s="91">
        <f t="shared" si="1172"/>
        <v>595</v>
      </c>
      <c r="DJ149" s="91">
        <f t="shared" si="1173"/>
        <v>10710</v>
      </c>
      <c r="DY149" s="91">
        <f t="shared" si="1174"/>
        <v>0</v>
      </c>
      <c r="DZ149" s="91">
        <f t="shared" si="1175"/>
        <v>0</v>
      </c>
      <c r="EG149" s="98">
        <v>80</v>
      </c>
      <c r="EH149" s="98">
        <v>880</v>
      </c>
      <c r="EO149" s="91">
        <f t="shared" si="1176"/>
        <v>80</v>
      </c>
      <c r="EP149" s="91">
        <f t="shared" si="1177"/>
        <v>880</v>
      </c>
      <c r="EW149" s="98">
        <v>483512</v>
      </c>
      <c r="EX149" s="98">
        <v>6769168</v>
      </c>
      <c r="FE149" s="91">
        <f t="shared" si="1178"/>
        <v>483512</v>
      </c>
      <c r="FF149" s="91">
        <f t="shared" si="1179"/>
        <v>6769168</v>
      </c>
      <c r="FM149" s="98">
        <v>80</v>
      </c>
      <c r="FN149" s="98">
        <v>1440</v>
      </c>
      <c r="FU149" s="91">
        <f t="shared" si="1180"/>
        <v>80</v>
      </c>
      <c r="FV149" s="91">
        <f t="shared" si="1181"/>
        <v>1440</v>
      </c>
      <c r="GC149" s="98">
        <v>300</v>
      </c>
      <c r="GD149" s="98">
        <v>3750</v>
      </c>
      <c r="GK149" s="91">
        <f t="shared" si="1182"/>
        <v>300</v>
      </c>
      <c r="GL149" s="91">
        <f t="shared" si="1183"/>
        <v>3750</v>
      </c>
      <c r="HA149" s="91">
        <f t="shared" si="1184"/>
        <v>0</v>
      </c>
      <c r="HB149" s="91">
        <f t="shared" si="1185"/>
        <v>0</v>
      </c>
      <c r="HQ149" s="91">
        <f t="shared" si="1186"/>
        <v>0</v>
      </c>
      <c r="HR149" s="91">
        <f t="shared" si="1187"/>
        <v>0</v>
      </c>
      <c r="IG149" s="91">
        <f t="shared" si="1188"/>
        <v>0</v>
      </c>
      <c r="IH149" s="91">
        <f t="shared" si="1189"/>
        <v>0</v>
      </c>
      <c r="IW149" s="91">
        <f t="shared" si="1190"/>
        <v>0</v>
      </c>
      <c r="IX149" s="91">
        <f t="shared" si="1191"/>
        <v>0</v>
      </c>
      <c r="JM149" s="91">
        <f t="shared" si="1192"/>
        <v>0</v>
      </c>
      <c r="JN149" s="91">
        <f t="shared" si="1193"/>
        <v>0</v>
      </c>
      <c r="KC149" s="91">
        <f t="shared" si="1194"/>
        <v>0</v>
      </c>
      <c r="KD149" s="91">
        <f t="shared" si="1195"/>
        <v>0</v>
      </c>
      <c r="KS149" s="91">
        <f t="shared" si="1196"/>
        <v>0</v>
      </c>
      <c r="KT149" s="91">
        <f t="shared" si="1197"/>
        <v>0</v>
      </c>
      <c r="LI149" s="91">
        <f t="shared" si="1198"/>
        <v>0</v>
      </c>
      <c r="LJ149" s="91">
        <f t="shared" si="1199"/>
        <v>0</v>
      </c>
      <c r="LY149" s="91">
        <f t="shared" si="1200"/>
        <v>0</v>
      </c>
      <c r="LZ149" s="91">
        <f t="shared" si="1201"/>
        <v>0</v>
      </c>
      <c r="MO149" s="91">
        <f t="shared" si="1202"/>
        <v>0</v>
      </c>
      <c r="MP149" s="91">
        <f t="shared" si="1203"/>
        <v>0</v>
      </c>
      <c r="NE149" s="91">
        <f t="shared" si="1204"/>
        <v>0</v>
      </c>
      <c r="NF149" s="91">
        <f t="shared" si="1205"/>
        <v>0</v>
      </c>
      <c r="NQ149" s="98">
        <v>250</v>
      </c>
      <c r="NR149" s="98">
        <v>4000</v>
      </c>
      <c r="NU149" s="91">
        <f t="shared" si="1206"/>
        <v>250</v>
      </c>
      <c r="NV149" s="91">
        <f t="shared" si="1207"/>
        <v>4000</v>
      </c>
      <c r="OK149" s="91">
        <f t="shared" si="1208"/>
        <v>0</v>
      </c>
      <c r="OL149" s="91">
        <f t="shared" si="1209"/>
        <v>0</v>
      </c>
      <c r="PA149" s="91">
        <f t="shared" si="1210"/>
        <v>0</v>
      </c>
      <c r="PB149" s="91">
        <f t="shared" si="1211"/>
        <v>0</v>
      </c>
      <c r="PQ149" s="91">
        <f t="shared" si="1212"/>
        <v>0</v>
      </c>
      <c r="PR149" s="91">
        <f t="shared" si="1213"/>
        <v>0</v>
      </c>
      <c r="PY149" s="98">
        <v>71020</v>
      </c>
      <c r="PZ149" s="98">
        <v>887750</v>
      </c>
      <c r="QA149" s="98">
        <v>102780</v>
      </c>
      <c r="QB149" s="98">
        <v>1438920</v>
      </c>
      <c r="QG149" s="91">
        <f t="shared" si="1214"/>
        <v>173800</v>
      </c>
      <c r="QH149" s="91">
        <f t="shared" si="1215"/>
        <v>2326670</v>
      </c>
      <c r="QW149" s="91">
        <f t="shared" si="1216"/>
        <v>0</v>
      </c>
      <c r="QX149" s="91">
        <f t="shared" si="1217"/>
        <v>0</v>
      </c>
      <c r="RM149" s="91">
        <f t="shared" si="1218"/>
        <v>0</v>
      </c>
      <c r="RN149" s="91">
        <f t="shared" si="1219"/>
        <v>0</v>
      </c>
      <c r="SC149" s="91">
        <f t="shared" si="1220"/>
        <v>0</v>
      </c>
      <c r="SD149" s="91">
        <f t="shared" si="1221"/>
        <v>0</v>
      </c>
      <c r="SS149" s="91">
        <f t="shared" si="1222"/>
        <v>0</v>
      </c>
      <c r="ST149" s="91">
        <f t="shared" si="1223"/>
        <v>0</v>
      </c>
      <c r="TI149" s="91">
        <f t="shared" si="1224"/>
        <v>0</v>
      </c>
      <c r="TJ149" s="91">
        <f t="shared" si="1225"/>
        <v>0</v>
      </c>
      <c r="TY149" s="91">
        <f t="shared" si="1226"/>
        <v>0</v>
      </c>
      <c r="TZ149" s="91">
        <f t="shared" si="1227"/>
        <v>0</v>
      </c>
      <c r="UO149" s="91">
        <f t="shared" si="1228"/>
        <v>0</v>
      </c>
      <c r="UP149" s="91">
        <f t="shared" si="1229"/>
        <v>0</v>
      </c>
      <c r="VE149" s="91">
        <f t="shared" si="1230"/>
        <v>0</v>
      </c>
      <c r="VF149" s="91">
        <f t="shared" si="1231"/>
        <v>0</v>
      </c>
      <c r="VU149" s="91">
        <f t="shared" si="1232"/>
        <v>0</v>
      </c>
      <c r="VV149" s="91">
        <f t="shared" si="1233"/>
        <v>0</v>
      </c>
      <c r="WK149" s="91">
        <f t="shared" si="1234"/>
        <v>0</v>
      </c>
      <c r="WL149" s="91">
        <f t="shared" si="1235"/>
        <v>0</v>
      </c>
      <c r="WM149" s="89"/>
      <c r="WN149" s="87">
        <f t="shared" si="1236"/>
        <v>0</v>
      </c>
      <c r="WO149" s="87">
        <f t="shared" si="1237"/>
        <v>0</v>
      </c>
      <c r="WP149" s="87">
        <f t="shared" si="1238"/>
        <v>0</v>
      </c>
      <c r="WQ149" s="87">
        <f t="shared" si="1239"/>
        <v>0</v>
      </c>
      <c r="WR149" s="87">
        <f t="shared" si="1240"/>
        <v>0</v>
      </c>
      <c r="WS149" s="87">
        <f t="shared" si="1241"/>
        <v>0</v>
      </c>
      <c r="WT149" s="87">
        <f t="shared" si="1242"/>
        <v>985595</v>
      </c>
      <c r="WU149" s="87">
        <f t="shared" si="1243"/>
        <v>14545514</v>
      </c>
      <c r="WV149" s="87">
        <f t="shared" si="1244"/>
        <v>102780</v>
      </c>
      <c r="WW149" s="87">
        <f t="shared" si="1245"/>
        <v>1438920</v>
      </c>
      <c r="WX149" s="87">
        <f t="shared" si="1246"/>
        <v>250</v>
      </c>
      <c r="WY149" s="87">
        <f t="shared" si="1247"/>
        <v>4000</v>
      </c>
      <c r="WZ149" s="87">
        <f t="shared" si="1248"/>
        <v>945</v>
      </c>
      <c r="XA149" s="87">
        <f t="shared" si="1249"/>
        <v>9450</v>
      </c>
      <c r="XB149" s="92">
        <f t="shared" si="1250"/>
        <v>1089570</v>
      </c>
      <c r="XC149" s="92">
        <f t="shared" si="1251"/>
        <v>15997884</v>
      </c>
      <c r="XD149" s="89"/>
      <c r="XE149" s="92">
        <f t="shared" ref="XE149:XF149" si="1276">SUM(XB377,XB415,XB453)</f>
        <v>1472498.369517477</v>
      </c>
      <c r="XF149" s="92">
        <f t="shared" si="1276"/>
        <v>21164610.728869207</v>
      </c>
      <c r="XG149" s="89"/>
      <c r="XH149" s="92"/>
      <c r="XI149" s="92"/>
      <c r="XJ149" s="89"/>
      <c r="XK149" s="87"/>
      <c r="XL149" s="87"/>
      <c r="XM149" s="87"/>
      <c r="XN149" s="87"/>
      <c r="XO149" s="87"/>
      <c r="XP149" s="87"/>
      <c r="XQ149" s="87"/>
      <c r="XR149" s="92">
        <f t="shared" ca="1" si="1252"/>
        <v>0</v>
      </c>
      <c r="XS149" s="89"/>
      <c r="XT149" s="87"/>
      <c r="XU149" s="87"/>
      <c r="XV149" s="87"/>
      <c r="XW149" s="87"/>
      <c r="XX149" s="87"/>
      <c r="XY149" s="87"/>
      <c r="XZ149" s="87"/>
      <c r="YA149" s="92">
        <f t="shared" ca="1" si="1253"/>
        <v>0</v>
      </c>
      <c r="YB149" s="90"/>
      <c r="YC149" s="90"/>
      <c r="YD149" s="90"/>
      <c r="YE149" s="90"/>
      <c r="YF149" s="90"/>
      <c r="YG149" s="90"/>
      <c r="YH149" s="90"/>
      <c r="YI149" s="90"/>
      <c r="YJ149" s="90"/>
      <c r="YK149" s="90"/>
      <c r="YL149" s="90"/>
      <c r="YM149" s="90"/>
      <c r="YN149" s="90"/>
      <c r="YO149" s="90"/>
      <c r="YP149" s="90"/>
      <c r="YQ149" s="90"/>
      <c r="YR149" s="90"/>
      <c r="YS149" s="90"/>
      <c r="YT149" s="90"/>
      <c r="YU149" s="90"/>
      <c r="YV149" s="90"/>
      <c r="YW149" s="90"/>
      <c r="YX149" s="90"/>
      <c r="YY149" s="90"/>
      <c r="YZ149" s="90"/>
      <c r="ZA149" s="90"/>
      <c r="ZB149" s="90"/>
      <c r="ZC149" s="90"/>
      <c r="ZD149" s="90"/>
      <c r="ZE149" s="90"/>
      <c r="ZF149" s="90"/>
      <c r="ZG149" s="90"/>
      <c r="ZH149" s="90"/>
      <c r="ZI149" s="90"/>
      <c r="ZJ149" s="90"/>
      <c r="ZK149" s="90"/>
      <c r="ZL149" s="90"/>
      <c r="ZM149" s="90"/>
      <c r="ZN149" s="90"/>
      <c r="ZO149" s="90"/>
      <c r="ZP149" s="90"/>
      <c r="ZQ149" s="90"/>
      <c r="ZR149" s="90"/>
      <c r="ZS149" s="90"/>
      <c r="ZT149" s="90"/>
      <c r="ZU149" s="90"/>
      <c r="ZV149" s="90"/>
      <c r="ZW149" s="90"/>
      <c r="ZX149" s="90"/>
      <c r="ZY149" s="90"/>
      <c r="ZZ149" s="90"/>
      <c r="AAA149" s="90"/>
      <c r="AAB149" s="90"/>
      <c r="AAC149" s="90"/>
      <c r="AAD149" s="90"/>
      <c r="AAE149" s="90"/>
      <c r="AAF149" s="90"/>
      <c r="AAG149" s="90"/>
      <c r="AAH149" s="90"/>
      <c r="AAI149" s="90"/>
      <c r="AAJ149" s="90"/>
      <c r="AAK149" s="90"/>
      <c r="AAL149" s="90"/>
      <c r="AAM149" s="90"/>
      <c r="AAN149" s="90"/>
      <c r="AAO149" s="90"/>
      <c r="AAP149" s="90"/>
      <c r="AAQ149" s="90"/>
      <c r="AAR149" s="90"/>
      <c r="AAS149" s="90"/>
      <c r="AAT149" s="90"/>
      <c r="AAU149" s="90"/>
      <c r="AAV149" s="90"/>
      <c r="AAW149" s="90"/>
      <c r="AAX149" s="90"/>
      <c r="AAY149" s="90"/>
      <c r="AAZ149" s="90"/>
      <c r="ABA149" s="90"/>
      <c r="ABB149" s="90"/>
      <c r="ABC149" s="90"/>
      <c r="ABD149" s="90"/>
      <c r="ABE149" s="90"/>
      <c r="ABF149" s="90"/>
      <c r="ABG149" s="90"/>
      <c r="ABH149" s="90"/>
      <c r="ABI149" s="90"/>
      <c r="ABJ149" s="90"/>
      <c r="ABK149" s="90"/>
      <c r="ABL149" s="90"/>
      <c r="ABM149" s="90"/>
      <c r="ABN149" s="90"/>
      <c r="ABO149" s="90"/>
      <c r="ABP149" s="90"/>
      <c r="ABQ149" s="90"/>
      <c r="ABR149" s="90"/>
      <c r="ABS149" s="90"/>
      <c r="ABT149" s="90"/>
      <c r="ABU149" s="90"/>
      <c r="ABV149" s="90"/>
      <c r="ABW149" s="90"/>
      <c r="ABX149" s="90"/>
      <c r="ABY149" s="90"/>
      <c r="ABZ149" s="90"/>
      <c r="ACA149" s="90"/>
      <c r="ACB149" s="90"/>
      <c r="ACC149" s="90"/>
      <c r="ACD149" s="90"/>
      <c r="ACE149" s="90"/>
      <c r="ACF149" s="90"/>
      <c r="ACG149" s="90"/>
      <c r="ACH149" s="90"/>
      <c r="ACI149" s="90"/>
      <c r="ACJ149" s="90"/>
      <c r="ACK149" s="90"/>
      <c r="ACL149" s="90"/>
      <c r="ACM149" s="90"/>
      <c r="ACN149" s="90"/>
      <c r="ACO149" s="90"/>
      <c r="ACP149" s="90"/>
      <c r="ACQ149" s="90"/>
      <c r="ACR149" s="90"/>
      <c r="ACS149" s="90"/>
      <c r="ACT149" s="90"/>
      <c r="ACU149" s="90"/>
      <c r="ACV149" s="90"/>
      <c r="ACW149" s="90"/>
      <c r="ACX149" s="90"/>
      <c r="ACY149" s="90"/>
      <c r="ACZ149" s="90"/>
      <c r="ADA149" s="90"/>
      <c r="ADB149" s="90"/>
      <c r="ADC149" s="90"/>
      <c r="ADD149" s="90"/>
      <c r="ADE149" s="90"/>
      <c r="ADF149" s="90"/>
      <c r="ADG149" s="90"/>
      <c r="ADH149" s="90"/>
      <c r="ADI149" s="90"/>
      <c r="ADJ149" s="90"/>
      <c r="ADK149" s="90"/>
      <c r="ADL149" s="90"/>
      <c r="ADM149" s="90"/>
      <c r="ADN149" s="90"/>
      <c r="ADO149" s="90"/>
      <c r="ADP149" s="90"/>
      <c r="ADQ149" s="90"/>
      <c r="ADR149" s="90"/>
      <c r="ADS149" s="90"/>
      <c r="ADT149" s="90"/>
      <c r="ADU149" s="90"/>
      <c r="ADV149" s="90"/>
      <c r="ADW149" s="90"/>
      <c r="ADX149" s="90"/>
      <c r="ADY149" s="90"/>
      <c r="ADZ149" s="90"/>
      <c r="AEA149" s="90"/>
      <c r="AEB149" s="90"/>
      <c r="AEC149" s="90"/>
      <c r="AED149" s="90"/>
      <c r="AEE149" s="90"/>
      <c r="AEF149" s="90"/>
      <c r="AEG149" s="90"/>
      <c r="AEH149" s="90"/>
      <c r="AEI149" s="90"/>
      <c r="AEJ149" s="90"/>
      <c r="AEK149" s="90"/>
      <c r="AEL149" s="90"/>
      <c r="AEM149" s="90"/>
      <c r="AEN149" s="90"/>
      <c r="AEO149" s="90"/>
      <c r="AEP149" s="90"/>
      <c r="AEQ149" s="90"/>
      <c r="AER149" s="90"/>
      <c r="AES149" s="90"/>
      <c r="AET149" s="90"/>
      <c r="AEU149" s="90"/>
      <c r="AEV149" s="90"/>
      <c r="AEW149" s="90"/>
      <c r="AEX149" s="90"/>
      <c r="AEY149" s="90"/>
      <c r="AEZ149" s="90"/>
      <c r="AFA149" s="90"/>
      <c r="AFB149" s="90"/>
      <c r="AFC149" s="90"/>
      <c r="AFD149" s="90"/>
      <c r="AFE149" s="90"/>
      <c r="AFF149" s="90"/>
      <c r="AFG149" s="90"/>
      <c r="AFH149" s="90"/>
      <c r="AFI149" s="90"/>
      <c r="AFJ149" s="90"/>
      <c r="AFK149" s="90"/>
      <c r="AFL149" s="90"/>
      <c r="AFM149" s="90"/>
      <c r="AFN149" s="90"/>
      <c r="AFO149" s="90"/>
      <c r="AFP149" s="90"/>
      <c r="AFQ149" s="90"/>
      <c r="AFR149" s="90"/>
      <c r="AFS149" s="90"/>
      <c r="AFT149" s="90"/>
      <c r="AFU149" s="90"/>
      <c r="AFV149" s="90"/>
      <c r="AFW149" s="90"/>
      <c r="AFX149" s="90"/>
      <c r="AFY149" s="90"/>
      <c r="AFZ149" s="90"/>
      <c r="AGA149" s="90"/>
      <c r="AGB149" s="90"/>
      <c r="AGC149" s="90"/>
      <c r="AGD149" s="90"/>
      <c r="AGE149" s="90"/>
      <c r="AGF149" s="90"/>
      <c r="AGG149" s="90"/>
      <c r="AGH149" s="90"/>
      <c r="AGI149" s="90"/>
      <c r="AGJ149" s="90"/>
      <c r="AGK149" s="90"/>
      <c r="AGL149" s="90"/>
      <c r="AGM149" s="90"/>
      <c r="AGN149" s="90"/>
      <c r="AGO149" s="90"/>
      <c r="AGP149" s="90"/>
      <c r="AGQ149" s="90"/>
      <c r="AGR149" s="90"/>
      <c r="AGS149" s="90"/>
      <c r="AGT149" s="90"/>
      <c r="AGU149" s="90"/>
      <c r="AGV149" s="90"/>
      <c r="AGW149" s="90"/>
      <c r="AGX149" s="90"/>
      <c r="AGY149" s="90"/>
      <c r="AGZ149" s="90"/>
      <c r="AHA149" s="90"/>
      <c r="AHB149" s="90"/>
      <c r="AHC149" s="90"/>
      <c r="AHD149" s="90"/>
      <c r="AHE149" s="90"/>
      <c r="AHF149" s="90"/>
      <c r="AHG149" s="90"/>
      <c r="AHH149" s="90"/>
      <c r="AHI149" s="90"/>
      <c r="AHJ149" s="90"/>
      <c r="AHK149" s="90"/>
      <c r="AHL149" s="90"/>
      <c r="AHM149" s="90"/>
      <c r="AHN149" s="90"/>
      <c r="AHO149" s="90"/>
      <c r="AHP149" s="90"/>
      <c r="AHQ149" s="90"/>
      <c r="AHR149" s="90"/>
      <c r="AHS149" s="90"/>
      <c r="AHT149" s="90"/>
      <c r="AHU149" s="90"/>
      <c r="AHV149" s="90"/>
      <c r="AHW149" s="90"/>
      <c r="AHX149" s="90"/>
      <c r="AHY149" s="90"/>
      <c r="AHZ149" s="90"/>
      <c r="AIA149" s="90"/>
      <c r="AIB149" s="90"/>
      <c r="AIC149" s="90"/>
      <c r="AID149" s="90"/>
      <c r="AIE149" s="90"/>
      <c r="AIF149" s="90"/>
      <c r="AIG149" s="90"/>
      <c r="AIH149" s="90"/>
      <c r="AII149" s="90"/>
      <c r="AIJ149" s="90"/>
      <c r="AIK149" s="90"/>
      <c r="AIL149" s="90"/>
      <c r="AIM149" s="90"/>
      <c r="AIN149" s="90"/>
      <c r="AIO149" s="90"/>
      <c r="AIP149" s="90"/>
      <c r="AIQ149" s="90"/>
      <c r="AIR149" s="90"/>
      <c r="AIS149" s="90"/>
      <c r="AIT149" s="90"/>
      <c r="AIU149" s="90"/>
      <c r="AIV149" s="90"/>
      <c r="AIW149" s="90"/>
      <c r="AIX149" s="90"/>
      <c r="AIY149" s="90"/>
      <c r="AIZ149" s="90"/>
      <c r="AJA149" s="90"/>
      <c r="AJB149" s="90"/>
      <c r="AJC149" s="90"/>
      <c r="AJD149" s="90"/>
      <c r="AJE149" s="90"/>
      <c r="AJF149" s="90"/>
      <c r="AJG149" s="90"/>
      <c r="AJH149" s="90"/>
      <c r="AJI149" s="90"/>
      <c r="AJJ149" s="90"/>
      <c r="AJK149" s="90"/>
      <c r="AJL149" s="90"/>
      <c r="AJM149" s="90"/>
      <c r="AJN149" s="90"/>
      <c r="AJO149" s="90"/>
      <c r="AJP149" s="90"/>
      <c r="AJQ149" s="90"/>
      <c r="AJR149" s="90"/>
      <c r="AJS149" s="90"/>
      <c r="AJT149" s="90"/>
      <c r="AJU149" s="90"/>
      <c r="AJV149" s="90"/>
      <c r="AJW149" s="90"/>
      <c r="AJX149" s="90"/>
      <c r="AJY149" s="90"/>
      <c r="AJZ149" s="90"/>
      <c r="AKA149" s="90"/>
      <c r="AKB149" s="90"/>
      <c r="AKC149" s="90"/>
      <c r="AKD149" s="90"/>
      <c r="AKE149" s="90"/>
      <c r="AKF149" s="90"/>
      <c r="AKG149" s="90"/>
      <c r="AKH149" s="90"/>
      <c r="AKI149" s="90"/>
      <c r="AKJ149" s="90"/>
      <c r="AKK149" s="90"/>
      <c r="AKL149" s="90"/>
      <c r="AKM149" s="90"/>
      <c r="AKN149" s="90"/>
      <c r="AKO149" s="90"/>
      <c r="AKP149" s="90"/>
      <c r="AKQ149" s="90"/>
      <c r="AKR149" s="90"/>
      <c r="AKS149" s="90"/>
      <c r="AKT149" s="90"/>
      <c r="AKU149" s="90"/>
      <c r="AKV149" s="90"/>
      <c r="AKW149" s="90"/>
      <c r="AKX149" s="90"/>
      <c r="AKY149" s="90"/>
      <c r="AKZ149" s="90"/>
      <c r="ALA149" s="90"/>
      <c r="ALB149" s="90"/>
      <c r="ALC149" s="90"/>
      <c r="ALD149" s="90"/>
      <c r="ALE149" s="90"/>
      <c r="ALF149" s="90"/>
      <c r="ALG149" s="90"/>
      <c r="ALH149" s="90"/>
      <c r="ALI149" s="90"/>
      <c r="ALJ149" s="90"/>
      <c r="ALK149" s="90"/>
      <c r="ALL149" s="90"/>
      <c r="ALM149" s="90"/>
      <c r="ALN149" s="90"/>
      <c r="ALO149" s="90"/>
      <c r="ALP149" s="90"/>
      <c r="ALQ149" s="90"/>
      <c r="ALR149" s="90"/>
      <c r="ALS149" s="90"/>
      <c r="ALT149" s="90"/>
      <c r="ALU149" s="90"/>
      <c r="ALV149" s="90"/>
      <c r="ALW149" s="90"/>
      <c r="ALX149" s="90"/>
      <c r="ALY149" s="90"/>
      <c r="ALZ149" s="90"/>
      <c r="AMA149" s="90"/>
      <c r="AMB149" s="90"/>
      <c r="AMC149" s="90"/>
    </row>
    <row r="150" spans="1:1017">
      <c r="A150" s="98" t="s">
        <v>48</v>
      </c>
      <c r="B150" s="90" t="str">
        <f t="shared" si="1159"/>
        <v>Teri</v>
      </c>
      <c r="Q150" s="91">
        <f t="shared" si="1160"/>
        <v>0</v>
      </c>
      <c r="R150" s="91">
        <f t="shared" si="1161"/>
        <v>0</v>
      </c>
      <c r="AG150" s="91">
        <f t="shared" si="1162"/>
        <v>0</v>
      </c>
      <c r="AH150" s="91">
        <f t="shared" si="1163"/>
        <v>0</v>
      </c>
      <c r="AW150" s="91">
        <f t="shared" si="1164"/>
        <v>0</v>
      </c>
      <c r="AX150" s="91">
        <f t="shared" si="1165"/>
        <v>0</v>
      </c>
      <c r="BM150" s="91">
        <f t="shared" si="1166"/>
        <v>0</v>
      </c>
      <c r="BN150" s="91">
        <f t="shared" si="1167"/>
        <v>0</v>
      </c>
      <c r="CC150" s="91">
        <f t="shared" si="1168"/>
        <v>0</v>
      </c>
      <c r="CD150" s="91">
        <f t="shared" si="1169"/>
        <v>0</v>
      </c>
      <c r="CS150" s="91">
        <f t="shared" si="1254"/>
        <v>0</v>
      </c>
      <c r="CT150" s="91">
        <f t="shared" si="1255"/>
        <v>0</v>
      </c>
      <c r="DI150" s="91">
        <f t="shared" si="1172"/>
        <v>0</v>
      </c>
      <c r="DJ150" s="91">
        <f t="shared" si="1173"/>
        <v>0</v>
      </c>
      <c r="DY150" s="91">
        <f t="shared" si="1174"/>
        <v>0</v>
      </c>
      <c r="DZ150" s="91">
        <f t="shared" si="1175"/>
        <v>0</v>
      </c>
      <c r="EO150" s="91">
        <f t="shared" si="1176"/>
        <v>0</v>
      </c>
      <c r="EP150" s="91">
        <f t="shared" si="1177"/>
        <v>0</v>
      </c>
      <c r="FE150" s="91">
        <f t="shared" si="1178"/>
        <v>0</v>
      </c>
      <c r="FF150" s="91">
        <f t="shared" si="1179"/>
        <v>0</v>
      </c>
      <c r="FU150" s="91">
        <f t="shared" si="1180"/>
        <v>0</v>
      </c>
      <c r="FV150" s="91">
        <f t="shared" si="1181"/>
        <v>0</v>
      </c>
      <c r="GK150" s="91">
        <f t="shared" si="1182"/>
        <v>0</v>
      </c>
      <c r="GL150" s="91">
        <f t="shared" si="1183"/>
        <v>0</v>
      </c>
      <c r="HA150" s="91">
        <f t="shared" si="1184"/>
        <v>0</v>
      </c>
      <c r="HB150" s="91">
        <f t="shared" si="1185"/>
        <v>0</v>
      </c>
      <c r="HQ150" s="91">
        <f t="shared" si="1186"/>
        <v>0</v>
      </c>
      <c r="HR150" s="91">
        <f t="shared" si="1187"/>
        <v>0</v>
      </c>
      <c r="IG150" s="91">
        <f t="shared" si="1188"/>
        <v>0</v>
      </c>
      <c r="IH150" s="91">
        <f t="shared" si="1189"/>
        <v>0</v>
      </c>
      <c r="IW150" s="91">
        <f t="shared" si="1190"/>
        <v>0</v>
      </c>
      <c r="IX150" s="91">
        <f t="shared" si="1191"/>
        <v>0</v>
      </c>
      <c r="JM150" s="91">
        <f t="shared" si="1192"/>
        <v>0</v>
      </c>
      <c r="JN150" s="91">
        <f t="shared" si="1193"/>
        <v>0</v>
      </c>
      <c r="KC150" s="91">
        <f t="shared" si="1194"/>
        <v>0</v>
      </c>
      <c r="KD150" s="91">
        <f t="shared" si="1195"/>
        <v>0</v>
      </c>
      <c r="KS150" s="91">
        <f t="shared" si="1196"/>
        <v>0</v>
      </c>
      <c r="KT150" s="91">
        <f t="shared" si="1197"/>
        <v>0</v>
      </c>
      <c r="LI150" s="91">
        <f t="shared" si="1198"/>
        <v>0</v>
      </c>
      <c r="LJ150" s="91">
        <f t="shared" si="1199"/>
        <v>0</v>
      </c>
      <c r="LY150" s="91">
        <f t="shared" si="1200"/>
        <v>0</v>
      </c>
      <c r="LZ150" s="91">
        <f t="shared" si="1201"/>
        <v>0</v>
      </c>
      <c r="MC150" s="98">
        <v>17000</v>
      </c>
      <c r="MD150" s="98">
        <v>51000</v>
      </c>
      <c r="MO150" s="91">
        <f t="shared" si="1202"/>
        <v>17000</v>
      </c>
      <c r="MP150" s="91">
        <f t="shared" si="1203"/>
        <v>51000</v>
      </c>
      <c r="NE150" s="91">
        <f t="shared" si="1204"/>
        <v>0</v>
      </c>
      <c r="NF150" s="91">
        <f t="shared" si="1205"/>
        <v>0</v>
      </c>
      <c r="NU150" s="91">
        <f t="shared" si="1206"/>
        <v>0</v>
      </c>
      <c r="NV150" s="91">
        <f t="shared" si="1207"/>
        <v>0</v>
      </c>
      <c r="OK150" s="91">
        <f t="shared" si="1208"/>
        <v>0</v>
      </c>
      <c r="OL150" s="91">
        <f t="shared" si="1209"/>
        <v>0</v>
      </c>
      <c r="PA150" s="91">
        <f t="shared" si="1210"/>
        <v>0</v>
      </c>
      <c r="PB150" s="91">
        <f t="shared" si="1211"/>
        <v>0</v>
      </c>
      <c r="PQ150" s="91">
        <f t="shared" si="1212"/>
        <v>0</v>
      </c>
      <c r="PR150" s="91">
        <f t="shared" si="1213"/>
        <v>0</v>
      </c>
      <c r="QG150" s="91">
        <f t="shared" si="1214"/>
        <v>0</v>
      </c>
      <c r="QH150" s="91">
        <f t="shared" si="1215"/>
        <v>0</v>
      </c>
      <c r="QW150" s="91">
        <f t="shared" si="1216"/>
        <v>0</v>
      </c>
      <c r="QX150" s="91">
        <f t="shared" si="1217"/>
        <v>0</v>
      </c>
      <c r="RM150" s="91">
        <f t="shared" si="1218"/>
        <v>0</v>
      </c>
      <c r="RN150" s="91">
        <f t="shared" si="1219"/>
        <v>0</v>
      </c>
      <c r="SC150" s="91">
        <f t="shared" si="1220"/>
        <v>0</v>
      </c>
      <c r="SD150" s="91">
        <f t="shared" si="1221"/>
        <v>0</v>
      </c>
      <c r="SS150" s="91">
        <f t="shared" si="1222"/>
        <v>0</v>
      </c>
      <c r="ST150" s="91">
        <f t="shared" si="1223"/>
        <v>0</v>
      </c>
      <c r="TI150" s="91">
        <f t="shared" si="1224"/>
        <v>0</v>
      </c>
      <c r="TJ150" s="91">
        <f t="shared" si="1225"/>
        <v>0</v>
      </c>
      <c r="TY150" s="91">
        <f t="shared" si="1226"/>
        <v>0</v>
      </c>
      <c r="TZ150" s="91">
        <f t="shared" si="1227"/>
        <v>0</v>
      </c>
      <c r="UO150" s="91">
        <f t="shared" si="1228"/>
        <v>0</v>
      </c>
      <c r="UP150" s="91">
        <f t="shared" si="1229"/>
        <v>0</v>
      </c>
      <c r="VE150" s="91">
        <f t="shared" si="1230"/>
        <v>0</v>
      </c>
      <c r="VF150" s="91">
        <f t="shared" si="1231"/>
        <v>0</v>
      </c>
      <c r="VU150" s="91">
        <f t="shared" si="1232"/>
        <v>0</v>
      </c>
      <c r="VV150" s="91">
        <f t="shared" si="1233"/>
        <v>0</v>
      </c>
      <c r="WK150" s="91">
        <f t="shared" si="1234"/>
        <v>0</v>
      </c>
      <c r="WL150" s="91">
        <f t="shared" si="1235"/>
        <v>0</v>
      </c>
      <c r="WM150" s="89"/>
      <c r="WN150" s="87">
        <f t="shared" si="1236"/>
        <v>0</v>
      </c>
      <c r="WO150" s="87">
        <f t="shared" si="1237"/>
        <v>0</v>
      </c>
      <c r="WP150" s="87">
        <f t="shared" si="1238"/>
        <v>17000</v>
      </c>
      <c r="WQ150" s="87">
        <f t="shared" si="1239"/>
        <v>51000</v>
      </c>
      <c r="WR150" s="87">
        <f t="shared" si="1240"/>
        <v>0</v>
      </c>
      <c r="WS150" s="87">
        <f t="shared" si="1241"/>
        <v>0</v>
      </c>
      <c r="WT150" s="87">
        <f t="shared" si="1242"/>
        <v>0</v>
      </c>
      <c r="WU150" s="87">
        <f t="shared" si="1243"/>
        <v>0</v>
      </c>
      <c r="WV150" s="87">
        <f t="shared" si="1244"/>
        <v>0</v>
      </c>
      <c r="WW150" s="87">
        <f t="shared" si="1245"/>
        <v>0</v>
      </c>
      <c r="WX150" s="87">
        <f t="shared" si="1246"/>
        <v>0</v>
      </c>
      <c r="WY150" s="87">
        <f t="shared" si="1247"/>
        <v>0</v>
      </c>
      <c r="WZ150" s="87">
        <f t="shared" si="1248"/>
        <v>0</v>
      </c>
      <c r="XA150" s="87">
        <f t="shared" si="1249"/>
        <v>0</v>
      </c>
      <c r="XB150" s="92">
        <f t="shared" si="1250"/>
        <v>17000</v>
      </c>
      <c r="XC150" s="92">
        <f t="shared" si="1251"/>
        <v>51000</v>
      </c>
      <c r="XD150" s="89"/>
      <c r="XE150" s="92">
        <f t="shared" ref="XE150:XF150" si="1277">SUM(XB378,XB416,XB454)</f>
        <v>0</v>
      </c>
      <c r="XF150" s="92">
        <f t="shared" si="1277"/>
        <v>0</v>
      </c>
      <c r="XG150" s="89"/>
      <c r="XH150" s="92"/>
      <c r="XI150" s="92"/>
      <c r="XJ150" s="89"/>
      <c r="XK150" s="87"/>
      <c r="XL150" s="87"/>
      <c r="XM150" s="87"/>
      <c r="XN150" s="87"/>
      <c r="XO150" s="87"/>
      <c r="XP150" s="87"/>
      <c r="XQ150" s="87"/>
      <c r="XR150" s="92">
        <f t="shared" ca="1" si="1252"/>
        <v>0</v>
      </c>
      <c r="XS150" s="89"/>
      <c r="XT150" s="87"/>
      <c r="XU150" s="87"/>
      <c r="XV150" s="87"/>
      <c r="XW150" s="87"/>
      <c r="XX150" s="87"/>
      <c r="XY150" s="87"/>
      <c r="XZ150" s="87"/>
      <c r="YA150" s="92">
        <f t="shared" ca="1" si="1253"/>
        <v>0</v>
      </c>
      <c r="YB150" s="90"/>
      <c r="YC150" s="90"/>
      <c r="YD150" s="90"/>
      <c r="YE150" s="90"/>
      <c r="YF150" s="90"/>
      <c r="YG150" s="90"/>
      <c r="YH150" s="90"/>
      <c r="YI150" s="90"/>
      <c r="YJ150" s="90"/>
      <c r="YK150" s="90"/>
      <c r="YL150" s="90"/>
      <c r="YM150" s="90"/>
      <c r="YN150" s="90"/>
      <c r="YO150" s="90"/>
      <c r="YP150" s="90"/>
      <c r="YQ150" s="90"/>
      <c r="YR150" s="90"/>
      <c r="YS150" s="90"/>
      <c r="YT150" s="90"/>
      <c r="YU150" s="90"/>
      <c r="YV150" s="90"/>
      <c r="YW150" s="90"/>
      <c r="YX150" s="90"/>
      <c r="YY150" s="90"/>
      <c r="YZ150" s="90"/>
      <c r="ZA150" s="90"/>
      <c r="ZB150" s="90"/>
      <c r="ZC150" s="90"/>
      <c r="ZD150" s="90"/>
      <c r="ZE150" s="90"/>
      <c r="ZF150" s="90"/>
      <c r="ZG150" s="90"/>
      <c r="ZH150" s="90"/>
      <c r="ZI150" s="90"/>
      <c r="ZJ150" s="90"/>
      <c r="ZK150" s="90"/>
      <c r="ZL150" s="90"/>
      <c r="ZM150" s="90"/>
      <c r="ZN150" s="90"/>
      <c r="ZO150" s="90"/>
      <c r="ZP150" s="90"/>
      <c r="ZQ150" s="90"/>
      <c r="ZR150" s="90"/>
      <c r="ZS150" s="90"/>
      <c r="ZT150" s="90"/>
      <c r="ZU150" s="90"/>
      <c r="ZV150" s="90"/>
      <c r="ZW150" s="90"/>
      <c r="ZX150" s="90"/>
      <c r="ZY150" s="90"/>
      <c r="ZZ150" s="90"/>
      <c r="AAA150" s="90"/>
      <c r="AAB150" s="90"/>
      <c r="AAC150" s="90"/>
      <c r="AAD150" s="90"/>
      <c r="AAE150" s="90"/>
      <c r="AAF150" s="90"/>
      <c r="AAG150" s="90"/>
      <c r="AAH150" s="90"/>
      <c r="AAI150" s="90"/>
      <c r="AAJ150" s="90"/>
      <c r="AAK150" s="90"/>
      <c r="AAL150" s="90"/>
      <c r="AAM150" s="90"/>
      <c r="AAN150" s="90"/>
      <c r="AAO150" s="90"/>
      <c r="AAP150" s="90"/>
      <c r="AAQ150" s="90"/>
      <c r="AAR150" s="90"/>
      <c r="AAS150" s="90"/>
      <c r="AAT150" s="90"/>
      <c r="AAU150" s="90"/>
      <c r="AAV150" s="90"/>
      <c r="AAW150" s="90"/>
      <c r="AAX150" s="90"/>
      <c r="AAY150" s="90"/>
      <c r="AAZ150" s="90"/>
      <c r="ABA150" s="90"/>
      <c r="ABB150" s="90"/>
      <c r="ABC150" s="90"/>
      <c r="ABD150" s="90"/>
      <c r="ABE150" s="90"/>
      <c r="ABF150" s="90"/>
      <c r="ABG150" s="90"/>
      <c r="ABH150" s="90"/>
      <c r="ABI150" s="90"/>
      <c r="ABJ150" s="90"/>
      <c r="ABK150" s="90"/>
      <c r="ABL150" s="90"/>
      <c r="ABM150" s="90"/>
      <c r="ABN150" s="90"/>
      <c r="ABO150" s="90"/>
      <c r="ABP150" s="90"/>
      <c r="ABQ150" s="90"/>
      <c r="ABR150" s="90"/>
      <c r="ABS150" s="90"/>
      <c r="ABT150" s="90"/>
      <c r="ABU150" s="90"/>
      <c r="ABV150" s="90"/>
      <c r="ABW150" s="90"/>
      <c r="ABX150" s="90"/>
      <c r="ABY150" s="90"/>
      <c r="ABZ150" s="90"/>
      <c r="ACA150" s="90"/>
      <c r="ACB150" s="90"/>
      <c r="ACC150" s="90"/>
      <c r="ACD150" s="90"/>
      <c r="ACE150" s="90"/>
      <c r="ACF150" s="90"/>
      <c r="ACG150" s="90"/>
      <c r="ACH150" s="90"/>
      <c r="ACI150" s="90"/>
      <c r="ACJ150" s="90"/>
      <c r="ACK150" s="90"/>
      <c r="ACL150" s="90"/>
      <c r="ACM150" s="90"/>
      <c r="ACN150" s="90"/>
      <c r="ACO150" s="90"/>
      <c r="ACP150" s="90"/>
      <c r="ACQ150" s="90"/>
      <c r="ACR150" s="90"/>
      <c r="ACS150" s="90"/>
      <c r="ACT150" s="90"/>
      <c r="ACU150" s="90"/>
      <c r="ACV150" s="90"/>
      <c r="ACW150" s="90"/>
      <c r="ACX150" s="90"/>
      <c r="ACY150" s="90"/>
      <c r="ACZ150" s="90"/>
      <c r="ADA150" s="90"/>
      <c r="ADB150" s="90"/>
      <c r="ADC150" s="90"/>
      <c r="ADD150" s="90"/>
      <c r="ADE150" s="90"/>
      <c r="ADF150" s="90"/>
      <c r="ADG150" s="90"/>
      <c r="ADH150" s="90"/>
      <c r="ADI150" s="90"/>
      <c r="ADJ150" s="90"/>
      <c r="ADK150" s="90"/>
      <c r="ADL150" s="90"/>
      <c r="ADM150" s="90"/>
      <c r="ADN150" s="90"/>
      <c r="ADO150" s="90"/>
      <c r="ADP150" s="90"/>
      <c r="ADQ150" s="90"/>
      <c r="ADR150" s="90"/>
      <c r="ADS150" s="90"/>
      <c r="ADT150" s="90"/>
      <c r="ADU150" s="90"/>
      <c r="ADV150" s="90"/>
      <c r="ADW150" s="90"/>
      <c r="ADX150" s="90"/>
      <c r="ADY150" s="90"/>
      <c r="ADZ150" s="90"/>
      <c r="AEA150" s="90"/>
      <c r="AEB150" s="90"/>
      <c r="AEC150" s="90"/>
      <c r="AED150" s="90"/>
      <c r="AEE150" s="90"/>
      <c r="AEF150" s="90"/>
      <c r="AEG150" s="90"/>
      <c r="AEH150" s="90"/>
      <c r="AEI150" s="90"/>
      <c r="AEJ150" s="90"/>
      <c r="AEK150" s="90"/>
      <c r="AEL150" s="90"/>
      <c r="AEM150" s="90"/>
      <c r="AEN150" s="90"/>
      <c r="AEO150" s="90"/>
      <c r="AEP150" s="90"/>
      <c r="AEQ150" s="90"/>
      <c r="AER150" s="90"/>
      <c r="AES150" s="90"/>
      <c r="AET150" s="90"/>
      <c r="AEU150" s="90"/>
      <c r="AEV150" s="90"/>
      <c r="AEW150" s="90"/>
      <c r="AEX150" s="90"/>
      <c r="AEY150" s="90"/>
      <c r="AEZ150" s="90"/>
      <c r="AFA150" s="90"/>
      <c r="AFB150" s="90"/>
      <c r="AFC150" s="90"/>
      <c r="AFD150" s="90"/>
      <c r="AFE150" s="90"/>
      <c r="AFF150" s="90"/>
      <c r="AFG150" s="90"/>
      <c r="AFH150" s="90"/>
      <c r="AFI150" s="90"/>
      <c r="AFJ150" s="90"/>
      <c r="AFK150" s="90"/>
      <c r="AFL150" s="90"/>
      <c r="AFM150" s="90"/>
      <c r="AFN150" s="90"/>
      <c r="AFO150" s="90"/>
      <c r="AFP150" s="90"/>
      <c r="AFQ150" s="90"/>
      <c r="AFR150" s="90"/>
      <c r="AFS150" s="90"/>
      <c r="AFT150" s="90"/>
      <c r="AFU150" s="90"/>
      <c r="AFV150" s="90"/>
      <c r="AFW150" s="90"/>
      <c r="AFX150" s="90"/>
      <c r="AFY150" s="90"/>
      <c r="AFZ150" s="90"/>
      <c r="AGA150" s="90"/>
      <c r="AGB150" s="90"/>
      <c r="AGC150" s="90"/>
      <c r="AGD150" s="90"/>
      <c r="AGE150" s="90"/>
      <c r="AGF150" s="90"/>
      <c r="AGG150" s="90"/>
      <c r="AGH150" s="90"/>
      <c r="AGI150" s="90"/>
      <c r="AGJ150" s="90"/>
      <c r="AGK150" s="90"/>
      <c r="AGL150" s="90"/>
      <c r="AGM150" s="90"/>
      <c r="AGN150" s="90"/>
      <c r="AGO150" s="90"/>
      <c r="AGP150" s="90"/>
      <c r="AGQ150" s="90"/>
      <c r="AGR150" s="90"/>
      <c r="AGS150" s="90"/>
      <c r="AGT150" s="90"/>
      <c r="AGU150" s="90"/>
      <c r="AGV150" s="90"/>
      <c r="AGW150" s="90"/>
      <c r="AGX150" s="90"/>
      <c r="AGY150" s="90"/>
      <c r="AGZ150" s="90"/>
      <c r="AHA150" s="90"/>
      <c r="AHB150" s="90"/>
      <c r="AHC150" s="90"/>
      <c r="AHD150" s="90"/>
      <c r="AHE150" s="90"/>
      <c r="AHF150" s="90"/>
      <c r="AHG150" s="90"/>
      <c r="AHH150" s="90"/>
      <c r="AHI150" s="90"/>
      <c r="AHJ150" s="90"/>
      <c r="AHK150" s="90"/>
      <c r="AHL150" s="90"/>
      <c r="AHM150" s="90"/>
      <c r="AHN150" s="90"/>
      <c r="AHO150" s="90"/>
      <c r="AHP150" s="90"/>
      <c r="AHQ150" s="90"/>
      <c r="AHR150" s="90"/>
      <c r="AHS150" s="90"/>
      <c r="AHT150" s="90"/>
      <c r="AHU150" s="90"/>
      <c r="AHV150" s="90"/>
      <c r="AHW150" s="90"/>
      <c r="AHX150" s="90"/>
      <c r="AHY150" s="90"/>
      <c r="AHZ150" s="90"/>
      <c r="AIA150" s="90"/>
      <c r="AIB150" s="90"/>
      <c r="AIC150" s="90"/>
      <c r="AID150" s="90"/>
      <c r="AIE150" s="90"/>
      <c r="AIF150" s="90"/>
      <c r="AIG150" s="90"/>
      <c r="AIH150" s="90"/>
      <c r="AII150" s="90"/>
      <c r="AIJ150" s="90"/>
      <c r="AIK150" s="90"/>
      <c r="AIL150" s="90"/>
      <c r="AIM150" s="90"/>
      <c r="AIN150" s="90"/>
      <c r="AIO150" s="90"/>
      <c r="AIP150" s="90"/>
      <c r="AIQ150" s="90"/>
      <c r="AIR150" s="90"/>
      <c r="AIS150" s="90"/>
      <c r="AIT150" s="90"/>
      <c r="AIU150" s="90"/>
      <c r="AIV150" s="90"/>
      <c r="AIW150" s="90"/>
      <c r="AIX150" s="90"/>
      <c r="AIY150" s="90"/>
      <c r="AIZ150" s="90"/>
      <c r="AJA150" s="90"/>
      <c r="AJB150" s="90"/>
      <c r="AJC150" s="90"/>
      <c r="AJD150" s="90"/>
      <c r="AJE150" s="90"/>
      <c r="AJF150" s="90"/>
      <c r="AJG150" s="90"/>
      <c r="AJH150" s="90"/>
      <c r="AJI150" s="90"/>
      <c r="AJJ150" s="90"/>
      <c r="AJK150" s="90"/>
      <c r="AJL150" s="90"/>
      <c r="AJM150" s="90"/>
      <c r="AJN150" s="90"/>
      <c r="AJO150" s="90"/>
      <c r="AJP150" s="90"/>
      <c r="AJQ150" s="90"/>
      <c r="AJR150" s="90"/>
      <c r="AJS150" s="90"/>
      <c r="AJT150" s="90"/>
      <c r="AJU150" s="90"/>
      <c r="AJV150" s="90"/>
      <c r="AJW150" s="90"/>
      <c r="AJX150" s="90"/>
      <c r="AJY150" s="90"/>
      <c r="AJZ150" s="90"/>
      <c r="AKA150" s="90"/>
      <c r="AKB150" s="90"/>
      <c r="AKC150" s="90"/>
      <c r="AKD150" s="90"/>
      <c r="AKE150" s="90"/>
      <c r="AKF150" s="90"/>
      <c r="AKG150" s="90"/>
      <c r="AKH150" s="90"/>
      <c r="AKI150" s="90"/>
      <c r="AKJ150" s="90"/>
      <c r="AKK150" s="90"/>
      <c r="AKL150" s="90"/>
      <c r="AKM150" s="90"/>
      <c r="AKN150" s="90"/>
      <c r="AKO150" s="90"/>
      <c r="AKP150" s="90"/>
      <c r="AKQ150" s="90"/>
      <c r="AKR150" s="90"/>
      <c r="AKS150" s="90"/>
      <c r="AKT150" s="90"/>
      <c r="AKU150" s="90"/>
      <c r="AKV150" s="90"/>
      <c r="AKW150" s="90"/>
      <c r="AKX150" s="90"/>
      <c r="AKY150" s="90"/>
      <c r="AKZ150" s="90"/>
      <c r="ALA150" s="90"/>
      <c r="ALB150" s="90"/>
      <c r="ALC150" s="90"/>
      <c r="ALD150" s="90"/>
      <c r="ALE150" s="90"/>
      <c r="ALF150" s="90"/>
      <c r="ALG150" s="90"/>
      <c r="ALH150" s="90"/>
      <c r="ALI150" s="90"/>
      <c r="ALJ150" s="90"/>
      <c r="ALK150" s="90"/>
      <c r="ALL150" s="90"/>
      <c r="ALM150" s="90"/>
      <c r="ALN150" s="90"/>
      <c r="ALO150" s="90"/>
      <c r="ALP150" s="90"/>
      <c r="ALQ150" s="90"/>
      <c r="ALR150" s="90"/>
      <c r="ALS150" s="90"/>
      <c r="ALT150" s="90"/>
      <c r="ALU150" s="90"/>
      <c r="ALV150" s="90"/>
      <c r="ALW150" s="90"/>
      <c r="ALX150" s="90"/>
      <c r="ALY150" s="90"/>
      <c r="ALZ150" s="90"/>
      <c r="AMA150" s="90"/>
      <c r="AMB150" s="90"/>
      <c r="AMC150" s="90"/>
    </row>
    <row r="151" spans="1:1017">
      <c r="A151" s="98" t="s">
        <v>48</v>
      </c>
      <c r="B151" s="90" t="str">
        <f t="shared" si="1159"/>
        <v xml:space="preserve">Udang Galah </v>
      </c>
      <c r="Q151" s="91">
        <f t="shared" si="1160"/>
        <v>0</v>
      </c>
      <c r="R151" s="91">
        <f t="shared" si="1161"/>
        <v>0</v>
      </c>
      <c r="AG151" s="91">
        <f t="shared" si="1162"/>
        <v>0</v>
      </c>
      <c r="AH151" s="91">
        <f t="shared" si="1163"/>
        <v>0</v>
      </c>
      <c r="AW151" s="91">
        <f t="shared" si="1164"/>
        <v>0</v>
      </c>
      <c r="AX151" s="91">
        <f t="shared" si="1165"/>
        <v>0</v>
      </c>
      <c r="BM151" s="91">
        <f t="shared" si="1166"/>
        <v>0</v>
      </c>
      <c r="BN151" s="91">
        <f t="shared" si="1167"/>
        <v>0</v>
      </c>
      <c r="CC151" s="91">
        <f t="shared" si="1168"/>
        <v>0</v>
      </c>
      <c r="CD151" s="91">
        <f t="shared" si="1169"/>
        <v>0</v>
      </c>
      <c r="CS151" s="91">
        <f t="shared" si="1254"/>
        <v>0</v>
      </c>
      <c r="CT151" s="91">
        <f t="shared" si="1255"/>
        <v>0</v>
      </c>
      <c r="DI151" s="91">
        <f t="shared" si="1172"/>
        <v>0</v>
      </c>
      <c r="DJ151" s="91">
        <f t="shared" si="1173"/>
        <v>0</v>
      </c>
      <c r="DY151" s="91">
        <f t="shared" si="1174"/>
        <v>0</v>
      </c>
      <c r="DZ151" s="91">
        <f t="shared" si="1175"/>
        <v>0</v>
      </c>
      <c r="EO151" s="91">
        <f t="shared" si="1176"/>
        <v>0</v>
      </c>
      <c r="EP151" s="91">
        <f t="shared" si="1177"/>
        <v>0</v>
      </c>
      <c r="FE151" s="91">
        <f t="shared" si="1178"/>
        <v>0</v>
      </c>
      <c r="FF151" s="91">
        <f t="shared" si="1179"/>
        <v>0</v>
      </c>
      <c r="FU151" s="91">
        <f t="shared" si="1180"/>
        <v>0</v>
      </c>
      <c r="FV151" s="91">
        <f t="shared" si="1181"/>
        <v>0</v>
      </c>
      <c r="GK151" s="91">
        <f t="shared" si="1182"/>
        <v>0</v>
      </c>
      <c r="GL151" s="91">
        <f t="shared" si="1183"/>
        <v>0</v>
      </c>
      <c r="HA151" s="91">
        <f t="shared" si="1184"/>
        <v>0</v>
      </c>
      <c r="HB151" s="91">
        <f t="shared" si="1185"/>
        <v>0</v>
      </c>
      <c r="HQ151" s="91">
        <f t="shared" si="1186"/>
        <v>0</v>
      </c>
      <c r="HR151" s="91">
        <f t="shared" si="1187"/>
        <v>0</v>
      </c>
      <c r="IG151" s="91">
        <f t="shared" si="1188"/>
        <v>0</v>
      </c>
      <c r="IH151" s="91">
        <f t="shared" si="1189"/>
        <v>0</v>
      </c>
      <c r="IW151" s="91">
        <f t="shared" si="1190"/>
        <v>0</v>
      </c>
      <c r="IX151" s="91">
        <f t="shared" si="1191"/>
        <v>0</v>
      </c>
      <c r="JM151" s="91">
        <f t="shared" si="1192"/>
        <v>0</v>
      </c>
      <c r="JN151" s="91">
        <f t="shared" si="1193"/>
        <v>0</v>
      </c>
      <c r="KC151" s="91">
        <f t="shared" si="1194"/>
        <v>0</v>
      </c>
      <c r="KD151" s="91">
        <f t="shared" si="1195"/>
        <v>0</v>
      </c>
      <c r="KS151" s="91">
        <f t="shared" si="1196"/>
        <v>0</v>
      </c>
      <c r="KT151" s="91">
        <f t="shared" si="1197"/>
        <v>0</v>
      </c>
      <c r="LI151" s="91">
        <f t="shared" si="1198"/>
        <v>0</v>
      </c>
      <c r="LJ151" s="91">
        <f t="shared" si="1199"/>
        <v>0</v>
      </c>
      <c r="LY151" s="91">
        <f t="shared" si="1200"/>
        <v>0</v>
      </c>
      <c r="LZ151" s="91">
        <f t="shared" si="1201"/>
        <v>0</v>
      </c>
      <c r="MO151" s="91">
        <f t="shared" si="1202"/>
        <v>0</v>
      </c>
      <c r="MP151" s="91">
        <f t="shared" si="1203"/>
        <v>0</v>
      </c>
      <c r="NE151" s="91">
        <f t="shared" si="1204"/>
        <v>0</v>
      </c>
      <c r="NF151" s="91">
        <f t="shared" si="1205"/>
        <v>0</v>
      </c>
      <c r="NU151" s="91">
        <f t="shared" si="1206"/>
        <v>0</v>
      </c>
      <c r="NV151" s="91">
        <f t="shared" si="1207"/>
        <v>0</v>
      </c>
      <c r="OK151" s="91">
        <f t="shared" si="1208"/>
        <v>0</v>
      </c>
      <c r="OL151" s="91">
        <f t="shared" si="1209"/>
        <v>0</v>
      </c>
      <c r="PA151" s="91">
        <f t="shared" si="1210"/>
        <v>0</v>
      </c>
      <c r="PB151" s="91">
        <f t="shared" si="1211"/>
        <v>0</v>
      </c>
      <c r="PQ151" s="91">
        <f t="shared" si="1212"/>
        <v>0</v>
      </c>
      <c r="PR151" s="91">
        <f t="shared" si="1213"/>
        <v>0</v>
      </c>
      <c r="QG151" s="91">
        <f t="shared" si="1214"/>
        <v>0</v>
      </c>
      <c r="QH151" s="91">
        <f t="shared" si="1215"/>
        <v>0</v>
      </c>
      <c r="QW151" s="91">
        <f t="shared" si="1216"/>
        <v>0</v>
      </c>
      <c r="QX151" s="91">
        <f t="shared" si="1217"/>
        <v>0</v>
      </c>
      <c r="RM151" s="91">
        <f t="shared" si="1218"/>
        <v>0</v>
      </c>
      <c r="RN151" s="91">
        <f t="shared" si="1219"/>
        <v>0</v>
      </c>
      <c r="SC151" s="91">
        <f t="shared" si="1220"/>
        <v>0</v>
      </c>
      <c r="SD151" s="91">
        <f t="shared" si="1221"/>
        <v>0</v>
      </c>
      <c r="SS151" s="91">
        <f t="shared" si="1222"/>
        <v>0</v>
      </c>
      <c r="ST151" s="91">
        <f t="shared" si="1223"/>
        <v>0</v>
      </c>
      <c r="TI151" s="91">
        <f t="shared" si="1224"/>
        <v>0</v>
      </c>
      <c r="TJ151" s="91">
        <f t="shared" si="1225"/>
        <v>0</v>
      </c>
      <c r="TY151" s="91">
        <f t="shared" si="1226"/>
        <v>0</v>
      </c>
      <c r="TZ151" s="91">
        <f t="shared" si="1227"/>
        <v>0</v>
      </c>
      <c r="UO151" s="91">
        <f t="shared" si="1228"/>
        <v>0</v>
      </c>
      <c r="UP151" s="91">
        <f t="shared" si="1229"/>
        <v>0</v>
      </c>
      <c r="VE151" s="91">
        <f t="shared" si="1230"/>
        <v>0</v>
      </c>
      <c r="VF151" s="91">
        <f t="shared" si="1231"/>
        <v>0</v>
      </c>
      <c r="VU151" s="91">
        <f t="shared" si="1232"/>
        <v>0</v>
      </c>
      <c r="VV151" s="91">
        <f t="shared" si="1233"/>
        <v>0</v>
      </c>
      <c r="WK151" s="91">
        <f t="shared" si="1234"/>
        <v>0</v>
      </c>
      <c r="WL151" s="91">
        <f t="shared" si="1235"/>
        <v>0</v>
      </c>
      <c r="WM151" s="89"/>
      <c r="WN151" s="87">
        <f t="shared" si="1236"/>
        <v>0</v>
      </c>
      <c r="WO151" s="87">
        <f t="shared" si="1237"/>
        <v>0</v>
      </c>
      <c r="WP151" s="87">
        <f t="shared" si="1238"/>
        <v>0</v>
      </c>
      <c r="WQ151" s="87">
        <f t="shared" si="1239"/>
        <v>0</v>
      </c>
      <c r="WR151" s="87">
        <f t="shared" si="1240"/>
        <v>0</v>
      </c>
      <c r="WS151" s="87">
        <f t="shared" si="1241"/>
        <v>0</v>
      </c>
      <c r="WT151" s="87">
        <f t="shared" si="1242"/>
        <v>0</v>
      </c>
      <c r="WU151" s="87">
        <f t="shared" si="1243"/>
        <v>0</v>
      </c>
      <c r="WV151" s="87">
        <f t="shared" si="1244"/>
        <v>0</v>
      </c>
      <c r="WW151" s="87">
        <f t="shared" si="1245"/>
        <v>0</v>
      </c>
      <c r="WX151" s="87">
        <f t="shared" si="1246"/>
        <v>0</v>
      </c>
      <c r="WY151" s="87">
        <f t="shared" si="1247"/>
        <v>0</v>
      </c>
      <c r="WZ151" s="87">
        <f t="shared" ref="WZ151:WZ164" si="1278">SUMIF($C$5:$WL$5,$WZ$5,C151:WL151)</f>
        <v>0</v>
      </c>
      <c r="XA151" s="87">
        <f t="shared" ref="XA151:XA164" si="1279">SUMIF($C$5:$WL$5,$XA$5,C151:WL151)</f>
        <v>0</v>
      </c>
      <c r="XB151" s="92">
        <f t="shared" si="1250"/>
        <v>0</v>
      </c>
      <c r="XC151" s="92">
        <f t="shared" si="1251"/>
        <v>0</v>
      </c>
      <c r="XD151" s="89"/>
      <c r="XE151" s="92">
        <f t="shared" ref="XE151:XF151" si="1280">SUM(XB379,XB417,XB455)</f>
        <v>0</v>
      </c>
      <c r="XF151" s="92">
        <f t="shared" si="1280"/>
        <v>0</v>
      </c>
      <c r="XG151" s="89"/>
      <c r="XH151" s="92"/>
      <c r="XI151" s="92"/>
      <c r="XJ151" s="89"/>
      <c r="XK151" s="87"/>
      <c r="XL151" s="87"/>
      <c r="XM151" s="87"/>
      <c r="XN151" s="87"/>
      <c r="XO151" s="87"/>
      <c r="XP151" s="87"/>
      <c r="XQ151" s="87"/>
      <c r="XR151" s="92">
        <f t="shared" ca="1" si="1252"/>
        <v>0</v>
      </c>
      <c r="XS151" s="89"/>
      <c r="XT151" s="87"/>
      <c r="XU151" s="87"/>
      <c r="XV151" s="87"/>
      <c r="XW151" s="87"/>
      <c r="XX151" s="87"/>
      <c r="XY151" s="87"/>
      <c r="XZ151" s="87"/>
      <c r="YA151" s="92">
        <f t="shared" ca="1" si="1253"/>
        <v>0</v>
      </c>
      <c r="YB151" s="90"/>
      <c r="YC151" s="90"/>
      <c r="YD151" s="90"/>
      <c r="YE151" s="90"/>
      <c r="YF151" s="90"/>
      <c r="YG151" s="90"/>
      <c r="YH151" s="90"/>
      <c r="YI151" s="90"/>
      <c r="YJ151" s="90"/>
      <c r="YK151" s="90"/>
      <c r="YL151" s="90"/>
      <c r="YM151" s="90"/>
      <c r="YN151" s="90"/>
      <c r="YO151" s="90"/>
      <c r="YP151" s="90"/>
      <c r="YQ151" s="90"/>
      <c r="YR151" s="90"/>
      <c r="YS151" s="90"/>
      <c r="YT151" s="90"/>
      <c r="YU151" s="90"/>
      <c r="YV151" s="90"/>
      <c r="YW151" s="90"/>
      <c r="YX151" s="90"/>
      <c r="YY151" s="90"/>
      <c r="YZ151" s="90"/>
      <c r="ZA151" s="90"/>
      <c r="ZB151" s="90"/>
      <c r="ZC151" s="90"/>
      <c r="ZD151" s="90"/>
      <c r="ZE151" s="90"/>
      <c r="ZF151" s="90"/>
      <c r="ZG151" s="90"/>
      <c r="ZH151" s="90"/>
      <c r="ZI151" s="90"/>
      <c r="ZJ151" s="90"/>
      <c r="ZK151" s="90"/>
      <c r="ZL151" s="90"/>
      <c r="ZM151" s="90"/>
      <c r="ZN151" s="90"/>
      <c r="ZO151" s="90"/>
      <c r="ZP151" s="90"/>
      <c r="ZQ151" s="90"/>
      <c r="ZR151" s="90"/>
      <c r="ZS151" s="90"/>
      <c r="ZT151" s="90"/>
      <c r="ZU151" s="90"/>
      <c r="ZV151" s="90"/>
      <c r="ZW151" s="90"/>
      <c r="ZX151" s="90"/>
      <c r="ZY151" s="90"/>
      <c r="ZZ151" s="90"/>
      <c r="AAA151" s="90"/>
      <c r="AAB151" s="90"/>
      <c r="AAC151" s="90"/>
      <c r="AAD151" s="90"/>
      <c r="AAE151" s="90"/>
      <c r="AAF151" s="90"/>
      <c r="AAG151" s="90"/>
      <c r="AAH151" s="90"/>
      <c r="AAI151" s="90"/>
      <c r="AAJ151" s="90"/>
      <c r="AAK151" s="90"/>
      <c r="AAL151" s="90"/>
      <c r="AAM151" s="90"/>
      <c r="AAN151" s="90"/>
      <c r="AAO151" s="90"/>
      <c r="AAP151" s="90"/>
      <c r="AAQ151" s="90"/>
      <c r="AAR151" s="90"/>
      <c r="AAS151" s="90"/>
      <c r="AAT151" s="90"/>
      <c r="AAU151" s="90"/>
      <c r="AAV151" s="90"/>
      <c r="AAW151" s="90"/>
      <c r="AAX151" s="90"/>
      <c r="AAY151" s="90"/>
      <c r="AAZ151" s="90"/>
      <c r="ABA151" s="90"/>
      <c r="ABB151" s="90"/>
      <c r="ABC151" s="90"/>
      <c r="ABD151" s="90"/>
      <c r="ABE151" s="90"/>
      <c r="ABF151" s="90"/>
      <c r="ABG151" s="90"/>
      <c r="ABH151" s="90"/>
      <c r="ABI151" s="90"/>
      <c r="ABJ151" s="90"/>
      <c r="ABK151" s="90"/>
      <c r="ABL151" s="90"/>
      <c r="ABM151" s="90"/>
      <c r="ABN151" s="90"/>
      <c r="ABO151" s="90"/>
      <c r="ABP151" s="90"/>
      <c r="ABQ151" s="90"/>
      <c r="ABR151" s="90"/>
      <c r="ABS151" s="90"/>
      <c r="ABT151" s="90"/>
      <c r="ABU151" s="90"/>
      <c r="ABV151" s="90"/>
      <c r="ABW151" s="90"/>
      <c r="ABX151" s="90"/>
      <c r="ABY151" s="90"/>
      <c r="ABZ151" s="90"/>
      <c r="ACA151" s="90"/>
      <c r="ACB151" s="90"/>
      <c r="ACC151" s="90"/>
      <c r="ACD151" s="90"/>
      <c r="ACE151" s="90"/>
      <c r="ACF151" s="90"/>
      <c r="ACG151" s="90"/>
      <c r="ACH151" s="90"/>
      <c r="ACI151" s="90"/>
      <c r="ACJ151" s="90"/>
      <c r="ACK151" s="90"/>
      <c r="ACL151" s="90"/>
      <c r="ACM151" s="90"/>
      <c r="ACN151" s="90"/>
      <c r="ACO151" s="90"/>
      <c r="ACP151" s="90"/>
      <c r="ACQ151" s="90"/>
      <c r="ACR151" s="90"/>
      <c r="ACS151" s="90"/>
      <c r="ACT151" s="90"/>
      <c r="ACU151" s="90"/>
      <c r="ACV151" s="90"/>
      <c r="ACW151" s="90"/>
      <c r="ACX151" s="90"/>
      <c r="ACY151" s="90"/>
      <c r="ACZ151" s="90"/>
      <c r="ADA151" s="90"/>
      <c r="ADB151" s="90"/>
      <c r="ADC151" s="90"/>
      <c r="ADD151" s="90"/>
      <c r="ADE151" s="90"/>
      <c r="ADF151" s="90"/>
      <c r="ADG151" s="90"/>
      <c r="ADH151" s="90"/>
      <c r="ADI151" s="90"/>
      <c r="ADJ151" s="90"/>
      <c r="ADK151" s="90"/>
      <c r="ADL151" s="90"/>
      <c r="ADM151" s="90"/>
      <c r="ADN151" s="90"/>
      <c r="ADO151" s="90"/>
      <c r="ADP151" s="90"/>
      <c r="ADQ151" s="90"/>
      <c r="ADR151" s="90"/>
      <c r="ADS151" s="90"/>
      <c r="ADT151" s="90"/>
      <c r="ADU151" s="90"/>
      <c r="ADV151" s="90"/>
      <c r="ADW151" s="90"/>
      <c r="ADX151" s="90"/>
      <c r="ADY151" s="90"/>
      <c r="ADZ151" s="90"/>
      <c r="AEA151" s="90"/>
      <c r="AEB151" s="90"/>
      <c r="AEC151" s="90"/>
      <c r="AED151" s="90"/>
      <c r="AEE151" s="90"/>
      <c r="AEF151" s="90"/>
      <c r="AEG151" s="90"/>
      <c r="AEH151" s="90"/>
      <c r="AEI151" s="90"/>
      <c r="AEJ151" s="90"/>
      <c r="AEK151" s="90"/>
      <c r="AEL151" s="90"/>
      <c r="AEM151" s="90"/>
      <c r="AEN151" s="90"/>
      <c r="AEO151" s="90"/>
      <c r="AEP151" s="90"/>
      <c r="AEQ151" s="90"/>
      <c r="AER151" s="90"/>
      <c r="AES151" s="90"/>
      <c r="AET151" s="90"/>
      <c r="AEU151" s="90"/>
      <c r="AEV151" s="90"/>
      <c r="AEW151" s="90"/>
      <c r="AEX151" s="90"/>
      <c r="AEY151" s="90"/>
      <c r="AEZ151" s="90"/>
      <c r="AFA151" s="90"/>
      <c r="AFB151" s="90"/>
      <c r="AFC151" s="90"/>
      <c r="AFD151" s="90"/>
      <c r="AFE151" s="90"/>
      <c r="AFF151" s="90"/>
      <c r="AFG151" s="90"/>
      <c r="AFH151" s="90"/>
      <c r="AFI151" s="90"/>
      <c r="AFJ151" s="90"/>
      <c r="AFK151" s="90"/>
      <c r="AFL151" s="90"/>
      <c r="AFM151" s="90"/>
      <c r="AFN151" s="90"/>
      <c r="AFO151" s="90"/>
      <c r="AFP151" s="90"/>
      <c r="AFQ151" s="90"/>
      <c r="AFR151" s="90"/>
      <c r="AFS151" s="90"/>
      <c r="AFT151" s="90"/>
      <c r="AFU151" s="90"/>
      <c r="AFV151" s="90"/>
      <c r="AFW151" s="90"/>
      <c r="AFX151" s="90"/>
      <c r="AFY151" s="90"/>
      <c r="AFZ151" s="90"/>
      <c r="AGA151" s="90"/>
      <c r="AGB151" s="90"/>
      <c r="AGC151" s="90"/>
      <c r="AGD151" s="90"/>
      <c r="AGE151" s="90"/>
      <c r="AGF151" s="90"/>
      <c r="AGG151" s="90"/>
      <c r="AGH151" s="90"/>
      <c r="AGI151" s="90"/>
      <c r="AGJ151" s="90"/>
      <c r="AGK151" s="90"/>
      <c r="AGL151" s="90"/>
      <c r="AGM151" s="90"/>
      <c r="AGN151" s="90"/>
      <c r="AGO151" s="90"/>
      <c r="AGP151" s="90"/>
      <c r="AGQ151" s="90"/>
      <c r="AGR151" s="90"/>
      <c r="AGS151" s="90"/>
      <c r="AGT151" s="90"/>
      <c r="AGU151" s="90"/>
      <c r="AGV151" s="90"/>
      <c r="AGW151" s="90"/>
      <c r="AGX151" s="90"/>
      <c r="AGY151" s="90"/>
      <c r="AGZ151" s="90"/>
      <c r="AHA151" s="90"/>
      <c r="AHB151" s="90"/>
      <c r="AHC151" s="90"/>
      <c r="AHD151" s="90"/>
      <c r="AHE151" s="90"/>
      <c r="AHF151" s="90"/>
      <c r="AHG151" s="90"/>
      <c r="AHH151" s="90"/>
      <c r="AHI151" s="90"/>
      <c r="AHJ151" s="90"/>
      <c r="AHK151" s="90"/>
      <c r="AHL151" s="90"/>
      <c r="AHM151" s="90"/>
      <c r="AHN151" s="90"/>
      <c r="AHO151" s="90"/>
      <c r="AHP151" s="90"/>
      <c r="AHQ151" s="90"/>
      <c r="AHR151" s="90"/>
      <c r="AHS151" s="90"/>
      <c r="AHT151" s="90"/>
      <c r="AHU151" s="90"/>
      <c r="AHV151" s="90"/>
      <c r="AHW151" s="90"/>
      <c r="AHX151" s="90"/>
      <c r="AHY151" s="90"/>
      <c r="AHZ151" s="90"/>
      <c r="AIA151" s="90"/>
      <c r="AIB151" s="90"/>
      <c r="AIC151" s="90"/>
      <c r="AID151" s="90"/>
      <c r="AIE151" s="90"/>
      <c r="AIF151" s="90"/>
      <c r="AIG151" s="90"/>
      <c r="AIH151" s="90"/>
      <c r="AII151" s="90"/>
      <c r="AIJ151" s="90"/>
      <c r="AIK151" s="90"/>
      <c r="AIL151" s="90"/>
      <c r="AIM151" s="90"/>
      <c r="AIN151" s="90"/>
      <c r="AIO151" s="90"/>
      <c r="AIP151" s="90"/>
      <c r="AIQ151" s="90"/>
      <c r="AIR151" s="90"/>
      <c r="AIS151" s="90"/>
      <c r="AIT151" s="90"/>
      <c r="AIU151" s="90"/>
      <c r="AIV151" s="90"/>
      <c r="AIW151" s="90"/>
      <c r="AIX151" s="90"/>
      <c r="AIY151" s="90"/>
      <c r="AIZ151" s="90"/>
      <c r="AJA151" s="90"/>
      <c r="AJB151" s="90"/>
      <c r="AJC151" s="90"/>
      <c r="AJD151" s="90"/>
      <c r="AJE151" s="90"/>
      <c r="AJF151" s="90"/>
      <c r="AJG151" s="90"/>
      <c r="AJH151" s="90"/>
      <c r="AJI151" s="90"/>
      <c r="AJJ151" s="90"/>
      <c r="AJK151" s="90"/>
      <c r="AJL151" s="90"/>
      <c r="AJM151" s="90"/>
      <c r="AJN151" s="90"/>
      <c r="AJO151" s="90"/>
      <c r="AJP151" s="90"/>
      <c r="AJQ151" s="90"/>
      <c r="AJR151" s="90"/>
      <c r="AJS151" s="90"/>
      <c r="AJT151" s="90"/>
      <c r="AJU151" s="90"/>
      <c r="AJV151" s="90"/>
      <c r="AJW151" s="90"/>
      <c r="AJX151" s="90"/>
      <c r="AJY151" s="90"/>
      <c r="AJZ151" s="90"/>
      <c r="AKA151" s="90"/>
      <c r="AKB151" s="90"/>
      <c r="AKC151" s="90"/>
      <c r="AKD151" s="90"/>
      <c r="AKE151" s="90"/>
      <c r="AKF151" s="90"/>
      <c r="AKG151" s="90"/>
      <c r="AKH151" s="90"/>
      <c r="AKI151" s="90"/>
      <c r="AKJ151" s="90"/>
      <c r="AKK151" s="90"/>
      <c r="AKL151" s="90"/>
      <c r="AKM151" s="90"/>
      <c r="AKN151" s="90"/>
      <c r="AKO151" s="90"/>
      <c r="AKP151" s="90"/>
      <c r="AKQ151" s="90"/>
      <c r="AKR151" s="90"/>
      <c r="AKS151" s="90"/>
      <c r="AKT151" s="90"/>
      <c r="AKU151" s="90"/>
      <c r="AKV151" s="90"/>
      <c r="AKW151" s="90"/>
      <c r="AKX151" s="90"/>
      <c r="AKY151" s="90"/>
      <c r="AKZ151" s="90"/>
      <c r="ALA151" s="90"/>
      <c r="ALB151" s="90"/>
      <c r="ALC151" s="90"/>
      <c r="ALD151" s="90"/>
      <c r="ALE151" s="90"/>
      <c r="ALF151" s="90"/>
      <c r="ALG151" s="90"/>
      <c r="ALH151" s="90"/>
      <c r="ALI151" s="90"/>
      <c r="ALJ151" s="90"/>
      <c r="ALK151" s="90"/>
      <c r="ALL151" s="90"/>
      <c r="ALM151" s="90"/>
      <c r="ALN151" s="90"/>
      <c r="ALO151" s="90"/>
      <c r="ALP151" s="90"/>
      <c r="ALQ151" s="90"/>
      <c r="ALR151" s="90"/>
      <c r="ALS151" s="90"/>
      <c r="ALT151" s="90"/>
      <c r="ALU151" s="90"/>
      <c r="ALV151" s="90"/>
      <c r="ALW151" s="90"/>
      <c r="ALX151" s="90"/>
      <c r="ALY151" s="90"/>
      <c r="ALZ151" s="90"/>
      <c r="AMA151" s="90"/>
      <c r="AMB151" s="90"/>
      <c r="AMC151" s="90"/>
    </row>
    <row r="152" spans="1:1017">
      <c r="A152" s="98" t="s">
        <v>48</v>
      </c>
      <c r="B152" s="90" t="str">
        <f t="shared" si="1159"/>
        <v>Udang Putih</v>
      </c>
      <c r="E152" s="98">
        <v>123800</v>
      </c>
      <c r="F152" s="98">
        <v>4952000</v>
      </c>
      <c r="Q152" s="91">
        <f t="shared" si="1160"/>
        <v>123800</v>
      </c>
      <c r="R152" s="91">
        <f t="shared" si="1161"/>
        <v>4952000</v>
      </c>
      <c r="AG152" s="91">
        <f t="shared" si="1162"/>
        <v>0</v>
      </c>
      <c r="AH152" s="91">
        <f t="shared" si="1163"/>
        <v>0</v>
      </c>
      <c r="AW152" s="91">
        <f t="shared" si="1164"/>
        <v>0</v>
      </c>
      <c r="AX152" s="91">
        <f t="shared" si="1165"/>
        <v>0</v>
      </c>
      <c r="BM152" s="91">
        <f t="shared" si="1166"/>
        <v>0</v>
      </c>
      <c r="BN152" s="91">
        <f t="shared" si="1167"/>
        <v>0</v>
      </c>
      <c r="CC152" s="91">
        <f t="shared" si="1168"/>
        <v>0</v>
      </c>
      <c r="CD152" s="91">
        <f t="shared" si="1169"/>
        <v>0</v>
      </c>
      <c r="CS152" s="91">
        <f t="shared" si="1254"/>
        <v>0</v>
      </c>
      <c r="CT152" s="91">
        <f t="shared" si="1255"/>
        <v>0</v>
      </c>
      <c r="DI152" s="91">
        <f t="shared" si="1172"/>
        <v>0</v>
      </c>
      <c r="DJ152" s="91">
        <f t="shared" si="1173"/>
        <v>0</v>
      </c>
      <c r="DY152" s="91">
        <f t="shared" si="1174"/>
        <v>0</v>
      </c>
      <c r="DZ152" s="91">
        <f t="shared" si="1175"/>
        <v>0</v>
      </c>
      <c r="EO152" s="91">
        <f t="shared" si="1176"/>
        <v>0</v>
      </c>
      <c r="EP152" s="91">
        <f t="shared" si="1177"/>
        <v>0</v>
      </c>
      <c r="FE152" s="91">
        <f t="shared" si="1178"/>
        <v>0</v>
      </c>
      <c r="FF152" s="91">
        <f t="shared" si="1179"/>
        <v>0</v>
      </c>
      <c r="FU152" s="91">
        <f t="shared" si="1180"/>
        <v>0</v>
      </c>
      <c r="FV152" s="91">
        <f t="shared" si="1181"/>
        <v>0</v>
      </c>
      <c r="GK152" s="91">
        <f t="shared" si="1182"/>
        <v>0</v>
      </c>
      <c r="GL152" s="91">
        <f t="shared" si="1183"/>
        <v>0</v>
      </c>
      <c r="HA152" s="91">
        <f t="shared" si="1184"/>
        <v>0</v>
      </c>
      <c r="HB152" s="91">
        <f t="shared" si="1185"/>
        <v>0</v>
      </c>
      <c r="HQ152" s="91">
        <f t="shared" si="1186"/>
        <v>0</v>
      </c>
      <c r="HR152" s="91">
        <f t="shared" si="1187"/>
        <v>0</v>
      </c>
      <c r="IG152" s="91">
        <f t="shared" si="1188"/>
        <v>0</v>
      </c>
      <c r="IH152" s="91">
        <f t="shared" si="1189"/>
        <v>0</v>
      </c>
      <c r="IW152" s="91">
        <f t="shared" si="1190"/>
        <v>0</v>
      </c>
      <c r="IX152" s="91">
        <f t="shared" si="1191"/>
        <v>0</v>
      </c>
      <c r="JM152" s="91">
        <f t="shared" si="1192"/>
        <v>0</v>
      </c>
      <c r="JN152" s="91">
        <f t="shared" si="1193"/>
        <v>0</v>
      </c>
      <c r="KC152" s="91">
        <f t="shared" si="1194"/>
        <v>0</v>
      </c>
      <c r="KD152" s="91">
        <f t="shared" si="1195"/>
        <v>0</v>
      </c>
      <c r="KS152" s="91">
        <f t="shared" si="1196"/>
        <v>0</v>
      </c>
      <c r="KT152" s="91">
        <f t="shared" si="1197"/>
        <v>0</v>
      </c>
      <c r="LI152" s="91">
        <f t="shared" si="1198"/>
        <v>0</v>
      </c>
      <c r="LJ152" s="91">
        <f t="shared" si="1199"/>
        <v>0</v>
      </c>
      <c r="LY152" s="91">
        <f t="shared" si="1200"/>
        <v>0</v>
      </c>
      <c r="LZ152" s="91">
        <f t="shared" si="1201"/>
        <v>0</v>
      </c>
      <c r="MC152" s="98">
        <v>16100</v>
      </c>
      <c r="MD152" s="98">
        <v>644000</v>
      </c>
      <c r="MO152" s="91">
        <f t="shared" si="1202"/>
        <v>16100</v>
      </c>
      <c r="MP152" s="91">
        <f t="shared" si="1203"/>
        <v>644000</v>
      </c>
      <c r="NE152" s="91">
        <f t="shared" si="1204"/>
        <v>0</v>
      </c>
      <c r="NF152" s="91">
        <f t="shared" si="1205"/>
        <v>0</v>
      </c>
      <c r="NI152" s="98">
        <v>86700</v>
      </c>
      <c r="NJ152" s="98">
        <v>3901500</v>
      </c>
      <c r="NU152" s="91">
        <f t="shared" si="1206"/>
        <v>86700</v>
      </c>
      <c r="NV152" s="91">
        <f t="shared" si="1207"/>
        <v>3901500</v>
      </c>
      <c r="OK152" s="91">
        <f t="shared" si="1208"/>
        <v>0</v>
      </c>
      <c r="OL152" s="91">
        <f t="shared" si="1209"/>
        <v>0</v>
      </c>
      <c r="PA152" s="91">
        <f t="shared" si="1210"/>
        <v>0</v>
      </c>
      <c r="PB152" s="91">
        <f t="shared" si="1211"/>
        <v>0</v>
      </c>
      <c r="PQ152" s="91">
        <f t="shared" si="1212"/>
        <v>0</v>
      </c>
      <c r="PR152" s="91">
        <f t="shared" si="1213"/>
        <v>0</v>
      </c>
      <c r="QG152" s="91">
        <f t="shared" si="1214"/>
        <v>0</v>
      </c>
      <c r="QH152" s="91">
        <f t="shared" si="1215"/>
        <v>0</v>
      </c>
      <c r="QW152" s="91">
        <f t="shared" si="1216"/>
        <v>0</v>
      </c>
      <c r="QX152" s="91">
        <f t="shared" si="1217"/>
        <v>0</v>
      </c>
      <c r="RM152" s="91">
        <f t="shared" si="1218"/>
        <v>0</v>
      </c>
      <c r="RN152" s="91">
        <f t="shared" si="1219"/>
        <v>0</v>
      </c>
      <c r="SC152" s="91">
        <f t="shared" si="1220"/>
        <v>0</v>
      </c>
      <c r="SD152" s="91">
        <f t="shared" si="1221"/>
        <v>0</v>
      </c>
      <c r="SS152" s="91">
        <f t="shared" si="1222"/>
        <v>0</v>
      </c>
      <c r="ST152" s="91">
        <f t="shared" si="1223"/>
        <v>0</v>
      </c>
      <c r="TI152" s="91">
        <f t="shared" si="1224"/>
        <v>0</v>
      </c>
      <c r="TJ152" s="91">
        <f t="shared" si="1225"/>
        <v>0</v>
      </c>
      <c r="TY152" s="91">
        <f t="shared" si="1226"/>
        <v>0</v>
      </c>
      <c r="TZ152" s="91">
        <f t="shared" si="1227"/>
        <v>0</v>
      </c>
      <c r="UO152" s="91">
        <f t="shared" si="1228"/>
        <v>0</v>
      </c>
      <c r="UP152" s="91">
        <f t="shared" si="1229"/>
        <v>0</v>
      </c>
      <c r="VE152" s="91">
        <f t="shared" si="1230"/>
        <v>0</v>
      </c>
      <c r="VF152" s="91">
        <f t="shared" si="1231"/>
        <v>0</v>
      </c>
      <c r="VI152" s="98">
        <v>405</v>
      </c>
      <c r="VJ152" s="98">
        <v>20250</v>
      </c>
      <c r="VU152" s="91">
        <f t="shared" si="1232"/>
        <v>405</v>
      </c>
      <c r="VV152" s="91">
        <f t="shared" si="1233"/>
        <v>20250</v>
      </c>
      <c r="WK152" s="91">
        <f t="shared" si="1234"/>
        <v>0</v>
      </c>
      <c r="WL152" s="91">
        <f t="shared" si="1235"/>
        <v>0</v>
      </c>
      <c r="WM152" s="89"/>
      <c r="WN152" s="87">
        <f t="shared" si="1236"/>
        <v>0</v>
      </c>
      <c r="WO152" s="87">
        <f t="shared" si="1237"/>
        <v>0</v>
      </c>
      <c r="WP152" s="87">
        <f t="shared" si="1238"/>
        <v>227005</v>
      </c>
      <c r="WQ152" s="87">
        <f t="shared" si="1239"/>
        <v>9517750</v>
      </c>
      <c r="WR152" s="87">
        <f t="shared" si="1240"/>
        <v>0</v>
      </c>
      <c r="WS152" s="87">
        <f t="shared" si="1241"/>
        <v>0</v>
      </c>
      <c r="WT152" s="87">
        <f t="shared" si="1242"/>
        <v>0</v>
      </c>
      <c r="WU152" s="87">
        <f t="shared" si="1243"/>
        <v>0</v>
      </c>
      <c r="WV152" s="87">
        <f t="shared" si="1244"/>
        <v>0</v>
      </c>
      <c r="WW152" s="87">
        <f t="shared" si="1245"/>
        <v>0</v>
      </c>
      <c r="WX152" s="87">
        <f t="shared" si="1246"/>
        <v>0</v>
      </c>
      <c r="WY152" s="87">
        <f t="shared" si="1247"/>
        <v>0</v>
      </c>
      <c r="WZ152" s="87">
        <f t="shared" si="1278"/>
        <v>0</v>
      </c>
      <c r="XA152" s="87">
        <f t="shared" si="1279"/>
        <v>0</v>
      </c>
      <c r="XB152" s="92">
        <f t="shared" si="1250"/>
        <v>227005</v>
      </c>
      <c r="XC152" s="92">
        <f t="shared" si="1251"/>
        <v>9517750</v>
      </c>
      <c r="XD152" s="89"/>
      <c r="XE152" s="92">
        <f t="shared" ref="XE152:XF152" si="1281">SUM(XB380,XB418,XB456)</f>
        <v>917093</v>
      </c>
      <c r="XF152" s="92">
        <f t="shared" si="1281"/>
        <v>37645400</v>
      </c>
      <c r="XG152" s="89"/>
      <c r="XH152" s="92"/>
      <c r="XI152" s="92"/>
      <c r="XJ152" s="89"/>
      <c r="XK152" s="87"/>
      <c r="XL152" s="87"/>
      <c r="XM152" s="87"/>
      <c r="XN152" s="87"/>
      <c r="XO152" s="87"/>
      <c r="XP152" s="87"/>
      <c r="XQ152" s="87"/>
      <c r="XR152" s="92">
        <f t="shared" ca="1" si="1252"/>
        <v>0</v>
      </c>
      <c r="XS152" s="89"/>
      <c r="XT152" s="87"/>
      <c r="XU152" s="87"/>
      <c r="XV152" s="87"/>
      <c r="XW152" s="87"/>
      <c r="XX152" s="87"/>
      <c r="XY152" s="87"/>
      <c r="XZ152" s="87"/>
      <c r="YA152" s="92">
        <f t="shared" ca="1" si="1253"/>
        <v>0</v>
      </c>
      <c r="YB152" s="90"/>
      <c r="YC152" s="90"/>
      <c r="YD152" s="90"/>
      <c r="YE152" s="90"/>
      <c r="YF152" s="90"/>
      <c r="YG152" s="90"/>
      <c r="YH152" s="90"/>
      <c r="YI152" s="90"/>
      <c r="YJ152" s="90"/>
      <c r="YK152" s="90"/>
      <c r="YL152" s="90"/>
      <c r="YM152" s="90"/>
      <c r="YN152" s="90"/>
      <c r="YO152" s="90"/>
      <c r="YP152" s="90"/>
      <c r="YQ152" s="90"/>
      <c r="YR152" s="90"/>
      <c r="YS152" s="90"/>
      <c r="YT152" s="90"/>
      <c r="YU152" s="90"/>
      <c r="YV152" s="90"/>
      <c r="YW152" s="90"/>
      <c r="YX152" s="90"/>
      <c r="YY152" s="90"/>
      <c r="YZ152" s="90"/>
      <c r="ZA152" s="90"/>
      <c r="ZB152" s="90"/>
      <c r="ZC152" s="90"/>
      <c r="ZD152" s="90"/>
      <c r="ZE152" s="90"/>
      <c r="ZF152" s="90"/>
      <c r="ZG152" s="90"/>
      <c r="ZH152" s="90"/>
      <c r="ZI152" s="90"/>
      <c r="ZJ152" s="90"/>
      <c r="ZK152" s="90"/>
      <c r="ZL152" s="90"/>
      <c r="ZM152" s="90"/>
      <c r="ZN152" s="90"/>
      <c r="ZO152" s="90"/>
      <c r="ZP152" s="90"/>
      <c r="ZQ152" s="90"/>
      <c r="ZR152" s="90"/>
      <c r="ZS152" s="90"/>
      <c r="ZT152" s="90"/>
      <c r="ZU152" s="90"/>
      <c r="ZV152" s="90"/>
      <c r="ZW152" s="90"/>
      <c r="ZX152" s="90"/>
      <c r="ZY152" s="90"/>
      <c r="ZZ152" s="90"/>
      <c r="AAA152" s="90"/>
      <c r="AAB152" s="90"/>
      <c r="AAC152" s="90"/>
      <c r="AAD152" s="90"/>
      <c r="AAE152" s="90"/>
      <c r="AAF152" s="90"/>
      <c r="AAG152" s="90"/>
      <c r="AAH152" s="90"/>
      <c r="AAI152" s="90"/>
      <c r="AAJ152" s="90"/>
      <c r="AAK152" s="90"/>
      <c r="AAL152" s="90"/>
      <c r="AAM152" s="90"/>
      <c r="AAN152" s="90"/>
      <c r="AAO152" s="90"/>
      <c r="AAP152" s="90"/>
      <c r="AAQ152" s="90"/>
      <c r="AAR152" s="90"/>
      <c r="AAS152" s="90"/>
      <c r="AAT152" s="90"/>
      <c r="AAU152" s="90"/>
      <c r="AAV152" s="90"/>
      <c r="AAW152" s="90"/>
      <c r="AAX152" s="90"/>
      <c r="AAY152" s="90"/>
      <c r="AAZ152" s="90"/>
      <c r="ABA152" s="90"/>
      <c r="ABB152" s="90"/>
      <c r="ABC152" s="90"/>
      <c r="ABD152" s="90"/>
      <c r="ABE152" s="90"/>
      <c r="ABF152" s="90"/>
      <c r="ABG152" s="90"/>
      <c r="ABH152" s="90"/>
      <c r="ABI152" s="90"/>
      <c r="ABJ152" s="90"/>
      <c r="ABK152" s="90"/>
      <c r="ABL152" s="90"/>
      <c r="ABM152" s="90"/>
      <c r="ABN152" s="90"/>
      <c r="ABO152" s="90"/>
      <c r="ABP152" s="90"/>
      <c r="ABQ152" s="90"/>
      <c r="ABR152" s="90"/>
      <c r="ABS152" s="90"/>
      <c r="ABT152" s="90"/>
      <c r="ABU152" s="90"/>
      <c r="ABV152" s="90"/>
      <c r="ABW152" s="90"/>
      <c r="ABX152" s="90"/>
      <c r="ABY152" s="90"/>
      <c r="ABZ152" s="90"/>
      <c r="ACA152" s="90"/>
      <c r="ACB152" s="90"/>
      <c r="ACC152" s="90"/>
      <c r="ACD152" s="90"/>
      <c r="ACE152" s="90"/>
      <c r="ACF152" s="90"/>
      <c r="ACG152" s="90"/>
      <c r="ACH152" s="90"/>
      <c r="ACI152" s="90"/>
      <c r="ACJ152" s="90"/>
      <c r="ACK152" s="90"/>
      <c r="ACL152" s="90"/>
      <c r="ACM152" s="90"/>
      <c r="ACN152" s="90"/>
      <c r="ACO152" s="90"/>
      <c r="ACP152" s="90"/>
      <c r="ACQ152" s="90"/>
      <c r="ACR152" s="90"/>
      <c r="ACS152" s="90"/>
      <c r="ACT152" s="90"/>
      <c r="ACU152" s="90"/>
      <c r="ACV152" s="90"/>
      <c r="ACW152" s="90"/>
      <c r="ACX152" s="90"/>
      <c r="ACY152" s="90"/>
      <c r="ACZ152" s="90"/>
      <c r="ADA152" s="90"/>
      <c r="ADB152" s="90"/>
      <c r="ADC152" s="90"/>
      <c r="ADD152" s="90"/>
      <c r="ADE152" s="90"/>
      <c r="ADF152" s="90"/>
      <c r="ADG152" s="90"/>
      <c r="ADH152" s="90"/>
      <c r="ADI152" s="90"/>
      <c r="ADJ152" s="90"/>
      <c r="ADK152" s="90"/>
      <c r="ADL152" s="90"/>
      <c r="ADM152" s="90"/>
      <c r="ADN152" s="90"/>
      <c r="ADO152" s="90"/>
      <c r="ADP152" s="90"/>
      <c r="ADQ152" s="90"/>
      <c r="ADR152" s="90"/>
      <c r="ADS152" s="90"/>
      <c r="ADT152" s="90"/>
      <c r="ADU152" s="90"/>
      <c r="ADV152" s="90"/>
      <c r="ADW152" s="90"/>
      <c r="ADX152" s="90"/>
      <c r="ADY152" s="90"/>
      <c r="ADZ152" s="90"/>
      <c r="AEA152" s="90"/>
      <c r="AEB152" s="90"/>
      <c r="AEC152" s="90"/>
      <c r="AED152" s="90"/>
      <c r="AEE152" s="90"/>
      <c r="AEF152" s="90"/>
      <c r="AEG152" s="90"/>
      <c r="AEH152" s="90"/>
      <c r="AEI152" s="90"/>
      <c r="AEJ152" s="90"/>
      <c r="AEK152" s="90"/>
      <c r="AEL152" s="90"/>
      <c r="AEM152" s="90"/>
      <c r="AEN152" s="90"/>
      <c r="AEO152" s="90"/>
      <c r="AEP152" s="90"/>
      <c r="AEQ152" s="90"/>
      <c r="AER152" s="90"/>
      <c r="AES152" s="90"/>
      <c r="AET152" s="90"/>
      <c r="AEU152" s="90"/>
      <c r="AEV152" s="90"/>
      <c r="AEW152" s="90"/>
      <c r="AEX152" s="90"/>
      <c r="AEY152" s="90"/>
      <c r="AEZ152" s="90"/>
      <c r="AFA152" s="90"/>
      <c r="AFB152" s="90"/>
      <c r="AFC152" s="90"/>
      <c r="AFD152" s="90"/>
      <c r="AFE152" s="90"/>
      <c r="AFF152" s="90"/>
      <c r="AFG152" s="90"/>
      <c r="AFH152" s="90"/>
      <c r="AFI152" s="90"/>
      <c r="AFJ152" s="90"/>
      <c r="AFK152" s="90"/>
      <c r="AFL152" s="90"/>
      <c r="AFM152" s="90"/>
      <c r="AFN152" s="90"/>
      <c r="AFO152" s="90"/>
      <c r="AFP152" s="90"/>
      <c r="AFQ152" s="90"/>
      <c r="AFR152" s="90"/>
      <c r="AFS152" s="90"/>
      <c r="AFT152" s="90"/>
      <c r="AFU152" s="90"/>
      <c r="AFV152" s="90"/>
      <c r="AFW152" s="90"/>
      <c r="AFX152" s="90"/>
      <c r="AFY152" s="90"/>
      <c r="AFZ152" s="90"/>
      <c r="AGA152" s="90"/>
      <c r="AGB152" s="90"/>
      <c r="AGC152" s="90"/>
      <c r="AGD152" s="90"/>
      <c r="AGE152" s="90"/>
      <c r="AGF152" s="90"/>
      <c r="AGG152" s="90"/>
      <c r="AGH152" s="90"/>
      <c r="AGI152" s="90"/>
      <c r="AGJ152" s="90"/>
      <c r="AGK152" s="90"/>
      <c r="AGL152" s="90"/>
      <c r="AGM152" s="90"/>
      <c r="AGN152" s="90"/>
      <c r="AGO152" s="90"/>
      <c r="AGP152" s="90"/>
      <c r="AGQ152" s="90"/>
      <c r="AGR152" s="90"/>
      <c r="AGS152" s="90"/>
      <c r="AGT152" s="90"/>
      <c r="AGU152" s="90"/>
      <c r="AGV152" s="90"/>
      <c r="AGW152" s="90"/>
      <c r="AGX152" s="90"/>
      <c r="AGY152" s="90"/>
      <c r="AGZ152" s="90"/>
      <c r="AHA152" s="90"/>
      <c r="AHB152" s="90"/>
      <c r="AHC152" s="90"/>
      <c r="AHD152" s="90"/>
      <c r="AHE152" s="90"/>
      <c r="AHF152" s="90"/>
      <c r="AHG152" s="90"/>
      <c r="AHH152" s="90"/>
      <c r="AHI152" s="90"/>
      <c r="AHJ152" s="90"/>
      <c r="AHK152" s="90"/>
      <c r="AHL152" s="90"/>
      <c r="AHM152" s="90"/>
      <c r="AHN152" s="90"/>
      <c r="AHO152" s="90"/>
      <c r="AHP152" s="90"/>
      <c r="AHQ152" s="90"/>
      <c r="AHR152" s="90"/>
      <c r="AHS152" s="90"/>
      <c r="AHT152" s="90"/>
      <c r="AHU152" s="90"/>
      <c r="AHV152" s="90"/>
      <c r="AHW152" s="90"/>
      <c r="AHX152" s="90"/>
      <c r="AHY152" s="90"/>
      <c r="AHZ152" s="90"/>
      <c r="AIA152" s="90"/>
      <c r="AIB152" s="90"/>
      <c r="AIC152" s="90"/>
      <c r="AID152" s="90"/>
      <c r="AIE152" s="90"/>
      <c r="AIF152" s="90"/>
      <c r="AIG152" s="90"/>
      <c r="AIH152" s="90"/>
      <c r="AII152" s="90"/>
      <c r="AIJ152" s="90"/>
      <c r="AIK152" s="90"/>
      <c r="AIL152" s="90"/>
      <c r="AIM152" s="90"/>
      <c r="AIN152" s="90"/>
      <c r="AIO152" s="90"/>
      <c r="AIP152" s="90"/>
      <c r="AIQ152" s="90"/>
      <c r="AIR152" s="90"/>
      <c r="AIS152" s="90"/>
      <c r="AIT152" s="90"/>
      <c r="AIU152" s="90"/>
      <c r="AIV152" s="90"/>
      <c r="AIW152" s="90"/>
      <c r="AIX152" s="90"/>
      <c r="AIY152" s="90"/>
      <c r="AIZ152" s="90"/>
      <c r="AJA152" s="90"/>
      <c r="AJB152" s="90"/>
      <c r="AJC152" s="90"/>
      <c r="AJD152" s="90"/>
      <c r="AJE152" s="90"/>
      <c r="AJF152" s="90"/>
      <c r="AJG152" s="90"/>
      <c r="AJH152" s="90"/>
      <c r="AJI152" s="90"/>
      <c r="AJJ152" s="90"/>
      <c r="AJK152" s="90"/>
      <c r="AJL152" s="90"/>
      <c r="AJM152" s="90"/>
      <c r="AJN152" s="90"/>
      <c r="AJO152" s="90"/>
      <c r="AJP152" s="90"/>
      <c r="AJQ152" s="90"/>
      <c r="AJR152" s="90"/>
      <c r="AJS152" s="90"/>
      <c r="AJT152" s="90"/>
      <c r="AJU152" s="90"/>
      <c r="AJV152" s="90"/>
      <c r="AJW152" s="90"/>
      <c r="AJX152" s="90"/>
      <c r="AJY152" s="90"/>
      <c r="AJZ152" s="90"/>
      <c r="AKA152" s="90"/>
      <c r="AKB152" s="90"/>
      <c r="AKC152" s="90"/>
      <c r="AKD152" s="90"/>
      <c r="AKE152" s="90"/>
      <c r="AKF152" s="90"/>
      <c r="AKG152" s="90"/>
      <c r="AKH152" s="90"/>
      <c r="AKI152" s="90"/>
      <c r="AKJ152" s="90"/>
      <c r="AKK152" s="90"/>
      <c r="AKL152" s="90"/>
      <c r="AKM152" s="90"/>
      <c r="AKN152" s="90"/>
      <c r="AKO152" s="90"/>
      <c r="AKP152" s="90"/>
      <c r="AKQ152" s="90"/>
      <c r="AKR152" s="90"/>
      <c r="AKS152" s="90"/>
      <c r="AKT152" s="90"/>
      <c r="AKU152" s="90"/>
      <c r="AKV152" s="90"/>
      <c r="AKW152" s="90"/>
      <c r="AKX152" s="90"/>
      <c r="AKY152" s="90"/>
      <c r="AKZ152" s="90"/>
      <c r="ALA152" s="90"/>
      <c r="ALB152" s="90"/>
      <c r="ALC152" s="90"/>
      <c r="ALD152" s="90"/>
      <c r="ALE152" s="90"/>
      <c r="ALF152" s="90"/>
      <c r="ALG152" s="90"/>
      <c r="ALH152" s="90"/>
      <c r="ALI152" s="90"/>
      <c r="ALJ152" s="90"/>
      <c r="ALK152" s="90"/>
      <c r="ALL152" s="90"/>
      <c r="ALM152" s="90"/>
      <c r="ALN152" s="90"/>
      <c r="ALO152" s="90"/>
      <c r="ALP152" s="90"/>
      <c r="ALQ152" s="90"/>
      <c r="ALR152" s="90"/>
      <c r="ALS152" s="90"/>
      <c r="ALT152" s="90"/>
      <c r="ALU152" s="90"/>
      <c r="ALV152" s="90"/>
      <c r="ALW152" s="90"/>
      <c r="ALX152" s="90"/>
      <c r="ALY152" s="90"/>
      <c r="ALZ152" s="90"/>
      <c r="AMA152" s="90"/>
      <c r="AMB152" s="90"/>
      <c r="AMC152" s="90"/>
    </row>
    <row r="153" spans="1:1017">
      <c r="A153" s="98" t="s">
        <v>48</v>
      </c>
      <c r="B153" s="90" t="str">
        <f t="shared" si="1159"/>
        <v xml:space="preserve">Udang Vaname </v>
      </c>
      <c r="E153" s="98">
        <v>2400</v>
      </c>
      <c r="F153" s="98">
        <v>134400</v>
      </c>
      <c r="Q153" s="91">
        <f t="shared" si="1160"/>
        <v>2400</v>
      </c>
      <c r="R153" s="91">
        <f t="shared" si="1161"/>
        <v>134400</v>
      </c>
      <c r="U153" s="98">
        <v>1634025</v>
      </c>
      <c r="V153" s="98">
        <v>84969300</v>
      </c>
      <c r="AG153" s="91">
        <f t="shared" si="1162"/>
        <v>1634025</v>
      </c>
      <c r="AH153" s="91">
        <f t="shared" si="1163"/>
        <v>84969300</v>
      </c>
      <c r="AK153" s="98">
        <v>36200</v>
      </c>
      <c r="AL153" s="98">
        <v>2353000</v>
      </c>
      <c r="AW153" s="91">
        <f t="shared" si="1164"/>
        <v>36200</v>
      </c>
      <c r="AX153" s="91">
        <f t="shared" si="1165"/>
        <v>2353000</v>
      </c>
      <c r="BM153" s="91">
        <f t="shared" si="1166"/>
        <v>0</v>
      </c>
      <c r="BN153" s="91">
        <f t="shared" si="1167"/>
        <v>0</v>
      </c>
      <c r="CC153" s="91">
        <f t="shared" si="1168"/>
        <v>0</v>
      </c>
      <c r="CD153" s="91">
        <f t="shared" si="1169"/>
        <v>0</v>
      </c>
      <c r="CG153" s="98">
        <v>1497628</v>
      </c>
      <c r="CH153" s="98">
        <v>74881395</v>
      </c>
      <c r="CS153" s="91">
        <f t="shared" si="1254"/>
        <v>1497628</v>
      </c>
      <c r="CT153" s="91">
        <f t="shared" si="1255"/>
        <v>74881395</v>
      </c>
      <c r="CW153" s="98">
        <v>278004.00003936299</v>
      </c>
      <c r="CX153" s="98">
        <v>15290220.003</v>
      </c>
      <c r="DI153" s="91">
        <f t="shared" si="1172"/>
        <v>278004.00003936299</v>
      </c>
      <c r="DJ153" s="91">
        <f t="shared" si="1173"/>
        <v>15290220.003</v>
      </c>
      <c r="DY153" s="91">
        <f t="shared" si="1174"/>
        <v>0</v>
      </c>
      <c r="DZ153" s="91">
        <f t="shared" si="1175"/>
        <v>0</v>
      </c>
      <c r="EO153" s="91">
        <f t="shared" si="1176"/>
        <v>0</v>
      </c>
      <c r="EP153" s="91">
        <f t="shared" si="1177"/>
        <v>0</v>
      </c>
      <c r="ES153" s="98">
        <v>260934</v>
      </c>
      <c r="ET153" s="98">
        <v>12524832</v>
      </c>
      <c r="EW153" s="98">
        <v>2373294</v>
      </c>
      <c r="EX153" s="98">
        <v>113918112</v>
      </c>
      <c r="FE153" s="91">
        <f t="shared" si="1178"/>
        <v>2634228</v>
      </c>
      <c r="FF153" s="91">
        <f t="shared" si="1179"/>
        <v>126442944</v>
      </c>
      <c r="FI153" s="98">
        <v>120000</v>
      </c>
      <c r="FJ153" s="98">
        <v>7200000</v>
      </c>
      <c r="FU153" s="91">
        <f t="shared" si="1180"/>
        <v>120000</v>
      </c>
      <c r="FV153" s="91">
        <f t="shared" si="1181"/>
        <v>7200000</v>
      </c>
      <c r="GK153" s="91">
        <f t="shared" si="1182"/>
        <v>0</v>
      </c>
      <c r="GL153" s="91">
        <f t="shared" si="1183"/>
        <v>0</v>
      </c>
      <c r="HA153" s="91">
        <f t="shared" si="1184"/>
        <v>0</v>
      </c>
      <c r="HB153" s="91">
        <f t="shared" si="1185"/>
        <v>0</v>
      </c>
      <c r="HE153" s="98">
        <v>250000</v>
      </c>
      <c r="HF153" s="98">
        <v>13750000</v>
      </c>
      <c r="HQ153" s="91">
        <f t="shared" si="1186"/>
        <v>250000</v>
      </c>
      <c r="HR153" s="91">
        <f t="shared" si="1187"/>
        <v>13750000</v>
      </c>
      <c r="IG153" s="91">
        <f t="shared" si="1188"/>
        <v>0</v>
      </c>
      <c r="IH153" s="91">
        <f t="shared" si="1189"/>
        <v>0</v>
      </c>
      <c r="IW153" s="91">
        <f t="shared" si="1190"/>
        <v>0</v>
      </c>
      <c r="IX153" s="91">
        <f t="shared" si="1191"/>
        <v>0</v>
      </c>
      <c r="JM153" s="91">
        <f t="shared" si="1192"/>
        <v>0</v>
      </c>
      <c r="JN153" s="91">
        <f t="shared" si="1193"/>
        <v>0</v>
      </c>
      <c r="JQ153" s="98">
        <v>130420</v>
      </c>
      <c r="JR153" s="98">
        <v>10433600</v>
      </c>
      <c r="KC153" s="91">
        <f t="shared" si="1194"/>
        <v>130420</v>
      </c>
      <c r="KD153" s="91">
        <f t="shared" si="1195"/>
        <v>10433600</v>
      </c>
      <c r="KG153" s="98">
        <v>15021</v>
      </c>
      <c r="KH153" s="98">
        <v>751050</v>
      </c>
      <c r="KS153" s="91">
        <f t="shared" si="1196"/>
        <v>15021</v>
      </c>
      <c r="KT153" s="91">
        <f t="shared" si="1197"/>
        <v>751050</v>
      </c>
      <c r="KW153" s="98">
        <v>44967.26</v>
      </c>
      <c r="KX153" s="98">
        <v>2473199</v>
      </c>
      <c r="LI153" s="91">
        <f t="shared" si="1198"/>
        <v>44967.26</v>
      </c>
      <c r="LJ153" s="91">
        <f t="shared" si="1199"/>
        <v>2473199</v>
      </c>
      <c r="LY153" s="91">
        <f t="shared" si="1200"/>
        <v>0</v>
      </c>
      <c r="LZ153" s="91">
        <f t="shared" si="1201"/>
        <v>0</v>
      </c>
      <c r="MC153" s="98">
        <v>1445300</v>
      </c>
      <c r="MD153" s="98">
        <v>86718000</v>
      </c>
      <c r="MO153" s="91">
        <f t="shared" si="1202"/>
        <v>1445300</v>
      </c>
      <c r="MP153" s="91">
        <f t="shared" si="1203"/>
        <v>86718000</v>
      </c>
      <c r="MS153" s="98">
        <v>38450</v>
      </c>
      <c r="MT153" s="98">
        <v>2499250</v>
      </c>
      <c r="NE153" s="91">
        <f t="shared" si="1204"/>
        <v>38450</v>
      </c>
      <c r="NF153" s="91">
        <f t="shared" si="1205"/>
        <v>2499250</v>
      </c>
      <c r="NI153" s="98">
        <v>363500</v>
      </c>
      <c r="NJ153" s="98">
        <v>21810000</v>
      </c>
      <c r="NU153" s="91">
        <f t="shared" si="1206"/>
        <v>363500</v>
      </c>
      <c r="NV153" s="91">
        <f t="shared" si="1207"/>
        <v>21810000</v>
      </c>
      <c r="NY153" s="98">
        <v>942709</v>
      </c>
      <c r="NZ153" s="98">
        <v>47135450</v>
      </c>
      <c r="OK153" s="91">
        <f t="shared" si="1208"/>
        <v>942709</v>
      </c>
      <c r="OL153" s="91">
        <f t="shared" si="1209"/>
        <v>47135450</v>
      </c>
      <c r="OO153" s="98">
        <v>484757</v>
      </c>
      <c r="OP153" s="98">
        <v>30539691</v>
      </c>
      <c r="PA153" s="91">
        <f t="shared" si="1210"/>
        <v>484757</v>
      </c>
      <c r="PB153" s="91">
        <f t="shared" si="1211"/>
        <v>30539691</v>
      </c>
      <c r="PE153" s="98">
        <v>28991</v>
      </c>
      <c r="PF153" s="98">
        <v>2174325</v>
      </c>
      <c r="PQ153" s="91">
        <f t="shared" si="1212"/>
        <v>28991</v>
      </c>
      <c r="PR153" s="91">
        <f t="shared" si="1213"/>
        <v>2174325</v>
      </c>
      <c r="PU153" s="98">
        <v>489800</v>
      </c>
      <c r="PV153" s="98">
        <v>29388000</v>
      </c>
      <c r="QA153" s="98">
        <v>494370</v>
      </c>
      <c r="QB153" s="98">
        <v>22246650</v>
      </c>
      <c r="QG153" s="91">
        <f t="shared" si="1214"/>
        <v>984170</v>
      </c>
      <c r="QH153" s="91">
        <f t="shared" si="1215"/>
        <v>51634650</v>
      </c>
      <c r="QW153" s="91">
        <f t="shared" si="1216"/>
        <v>0</v>
      </c>
      <c r="QX153" s="91">
        <f t="shared" si="1217"/>
        <v>0</v>
      </c>
      <c r="RM153" s="91">
        <f t="shared" si="1218"/>
        <v>0</v>
      </c>
      <c r="RN153" s="91">
        <f t="shared" si="1219"/>
        <v>0</v>
      </c>
      <c r="SC153" s="91">
        <f t="shared" si="1220"/>
        <v>0</v>
      </c>
      <c r="SD153" s="91">
        <f t="shared" si="1221"/>
        <v>0</v>
      </c>
      <c r="SS153" s="91">
        <f t="shared" si="1222"/>
        <v>0</v>
      </c>
      <c r="ST153" s="91">
        <f t="shared" si="1223"/>
        <v>0</v>
      </c>
      <c r="TI153" s="91">
        <f t="shared" si="1224"/>
        <v>0</v>
      </c>
      <c r="TJ153" s="91">
        <f t="shared" si="1225"/>
        <v>0</v>
      </c>
      <c r="TY153" s="91">
        <f t="shared" si="1226"/>
        <v>0</v>
      </c>
      <c r="TZ153" s="91">
        <f t="shared" si="1227"/>
        <v>0</v>
      </c>
      <c r="UO153" s="91">
        <f t="shared" si="1228"/>
        <v>0</v>
      </c>
      <c r="UP153" s="91">
        <f t="shared" si="1229"/>
        <v>0</v>
      </c>
      <c r="VE153" s="91">
        <f t="shared" si="1230"/>
        <v>0</v>
      </c>
      <c r="VF153" s="91">
        <f t="shared" si="1231"/>
        <v>0</v>
      </c>
      <c r="VI153" s="98">
        <v>6852</v>
      </c>
      <c r="VJ153" s="98">
        <v>376860</v>
      </c>
      <c r="VU153" s="91">
        <f t="shared" si="1232"/>
        <v>6852</v>
      </c>
      <c r="VV153" s="91">
        <f t="shared" si="1233"/>
        <v>376860</v>
      </c>
      <c r="VY153" s="98">
        <v>91571</v>
      </c>
      <c r="VZ153" s="98">
        <v>4578550</v>
      </c>
      <c r="WK153" s="91">
        <f t="shared" si="1234"/>
        <v>91571</v>
      </c>
      <c r="WL153" s="91">
        <f t="shared" si="1235"/>
        <v>4578550</v>
      </c>
      <c r="WM153" s="89"/>
      <c r="WN153" s="87">
        <f t="shared" si="1236"/>
        <v>0</v>
      </c>
      <c r="WO153" s="87">
        <f t="shared" si="1237"/>
        <v>0</v>
      </c>
      <c r="WP153" s="87">
        <f t="shared" si="1238"/>
        <v>8161529.2600393631</v>
      </c>
      <c r="WQ153" s="87">
        <f t="shared" si="1239"/>
        <v>449981122.00300002</v>
      </c>
      <c r="WR153" s="87">
        <f t="shared" si="1240"/>
        <v>0</v>
      </c>
      <c r="WS153" s="87">
        <f t="shared" si="1241"/>
        <v>0</v>
      </c>
      <c r="WT153" s="87">
        <f t="shared" si="1242"/>
        <v>2373294</v>
      </c>
      <c r="WU153" s="87">
        <f t="shared" si="1243"/>
        <v>113918112</v>
      </c>
      <c r="WV153" s="87">
        <f t="shared" si="1244"/>
        <v>494370</v>
      </c>
      <c r="WW153" s="87">
        <f t="shared" si="1245"/>
        <v>22246650</v>
      </c>
      <c r="WX153" s="87">
        <f t="shared" si="1246"/>
        <v>0</v>
      </c>
      <c r="WY153" s="87">
        <f t="shared" si="1247"/>
        <v>0</v>
      </c>
      <c r="WZ153" s="87">
        <f t="shared" si="1278"/>
        <v>0</v>
      </c>
      <c r="XA153" s="87">
        <f t="shared" si="1279"/>
        <v>0</v>
      </c>
      <c r="XB153" s="92">
        <f t="shared" si="1250"/>
        <v>11029193.260039363</v>
      </c>
      <c r="XC153" s="92">
        <f t="shared" si="1251"/>
        <v>586145884.00300002</v>
      </c>
      <c r="XD153" s="89"/>
      <c r="XE153" s="92">
        <f t="shared" ref="XE153:XF153" si="1282">SUM(XB381,XB419,XB457)</f>
        <v>27228207.83063715</v>
      </c>
      <c r="XF153" s="92">
        <f t="shared" si="1282"/>
        <v>1419995565.0655034</v>
      </c>
      <c r="XG153" s="89"/>
      <c r="XH153" s="92"/>
      <c r="XI153" s="92"/>
      <c r="XJ153" s="89"/>
      <c r="XK153" s="87"/>
      <c r="XL153" s="87"/>
      <c r="XM153" s="87"/>
      <c r="XN153" s="87"/>
      <c r="XO153" s="87"/>
      <c r="XP153" s="87"/>
      <c r="XQ153" s="87"/>
      <c r="XR153" s="92">
        <f t="shared" ca="1" si="1252"/>
        <v>0</v>
      </c>
      <c r="XS153" s="89"/>
      <c r="XT153" s="87"/>
      <c r="XU153" s="87"/>
      <c r="XV153" s="87"/>
      <c r="XW153" s="87"/>
      <c r="XX153" s="87"/>
      <c r="XY153" s="87"/>
      <c r="XZ153" s="87"/>
      <c r="YA153" s="92">
        <f t="shared" ca="1" si="1253"/>
        <v>0</v>
      </c>
      <c r="YB153" s="90"/>
      <c r="YC153" s="90"/>
      <c r="YD153" s="90"/>
      <c r="YE153" s="90"/>
      <c r="YF153" s="90"/>
      <c r="YG153" s="90"/>
      <c r="YH153" s="90"/>
      <c r="YI153" s="90"/>
      <c r="YJ153" s="90"/>
      <c r="YK153" s="90"/>
      <c r="YL153" s="90"/>
      <c r="YM153" s="90"/>
      <c r="YN153" s="90"/>
      <c r="YO153" s="90"/>
      <c r="YP153" s="90"/>
      <c r="YQ153" s="90"/>
      <c r="YR153" s="90"/>
      <c r="YS153" s="90"/>
      <c r="YT153" s="90"/>
      <c r="YU153" s="90"/>
      <c r="YV153" s="90"/>
      <c r="YW153" s="90"/>
      <c r="YX153" s="90"/>
      <c r="YY153" s="90"/>
      <c r="YZ153" s="90"/>
      <c r="ZA153" s="90"/>
      <c r="ZB153" s="90"/>
      <c r="ZC153" s="90"/>
      <c r="ZD153" s="90"/>
      <c r="ZE153" s="90"/>
      <c r="ZF153" s="90"/>
      <c r="ZG153" s="90"/>
      <c r="ZH153" s="90"/>
      <c r="ZI153" s="90"/>
      <c r="ZJ153" s="90"/>
      <c r="ZK153" s="90"/>
      <c r="ZL153" s="90"/>
      <c r="ZM153" s="90"/>
      <c r="ZN153" s="90"/>
      <c r="ZO153" s="90"/>
      <c r="ZP153" s="90"/>
      <c r="ZQ153" s="90"/>
      <c r="ZR153" s="90"/>
      <c r="ZS153" s="90"/>
      <c r="ZT153" s="90"/>
      <c r="ZU153" s="90"/>
      <c r="ZV153" s="90"/>
      <c r="ZW153" s="90"/>
      <c r="ZX153" s="90"/>
      <c r="ZY153" s="90"/>
      <c r="ZZ153" s="90"/>
      <c r="AAA153" s="90"/>
      <c r="AAB153" s="90"/>
      <c r="AAC153" s="90"/>
      <c r="AAD153" s="90"/>
      <c r="AAE153" s="90"/>
      <c r="AAF153" s="90"/>
      <c r="AAG153" s="90"/>
      <c r="AAH153" s="90"/>
      <c r="AAI153" s="90"/>
      <c r="AAJ153" s="90"/>
      <c r="AAK153" s="90"/>
      <c r="AAL153" s="90"/>
      <c r="AAM153" s="90"/>
      <c r="AAN153" s="90"/>
      <c r="AAO153" s="90"/>
      <c r="AAP153" s="90"/>
      <c r="AAQ153" s="90"/>
      <c r="AAR153" s="90"/>
      <c r="AAS153" s="90"/>
      <c r="AAT153" s="90"/>
      <c r="AAU153" s="90"/>
      <c r="AAV153" s="90"/>
      <c r="AAW153" s="90"/>
      <c r="AAX153" s="90"/>
      <c r="AAY153" s="90"/>
      <c r="AAZ153" s="90"/>
      <c r="ABA153" s="90"/>
      <c r="ABB153" s="90"/>
      <c r="ABC153" s="90"/>
      <c r="ABD153" s="90"/>
      <c r="ABE153" s="90"/>
      <c r="ABF153" s="90"/>
      <c r="ABG153" s="90"/>
      <c r="ABH153" s="90"/>
      <c r="ABI153" s="90"/>
      <c r="ABJ153" s="90"/>
      <c r="ABK153" s="90"/>
      <c r="ABL153" s="90"/>
      <c r="ABM153" s="90"/>
      <c r="ABN153" s="90"/>
      <c r="ABO153" s="90"/>
      <c r="ABP153" s="90"/>
      <c r="ABQ153" s="90"/>
      <c r="ABR153" s="90"/>
      <c r="ABS153" s="90"/>
      <c r="ABT153" s="90"/>
      <c r="ABU153" s="90"/>
      <c r="ABV153" s="90"/>
      <c r="ABW153" s="90"/>
      <c r="ABX153" s="90"/>
      <c r="ABY153" s="90"/>
      <c r="ABZ153" s="90"/>
      <c r="ACA153" s="90"/>
      <c r="ACB153" s="90"/>
      <c r="ACC153" s="90"/>
      <c r="ACD153" s="90"/>
      <c r="ACE153" s="90"/>
      <c r="ACF153" s="90"/>
      <c r="ACG153" s="90"/>
      <c r="ACH153" s="90"/>
      <c r="ACI153" s="90"/>
      <c r="ACJ153" s="90"/>
      <c r="ACK153" s="90"/>
      <c r="ACL153" s="90"/>
      <c r="ACM153" s="90"/>
      <c r="ACN153" s="90"/>
      <c r="ACO153" s="90"/>
      <c r="ACP153" s="90"/>
      <c r="ACQ153" s="90"/>
      <c r="ACR153" s="90"/>
      <c r="ACS153" s="90"/>
      <c r="ACT153" s="90"/>
      <c r="ACU153" s="90"/>
      <c r="ACV153" s="90"/>
      <c r="ACW153" s="90"/>
      <c r="ACX153" s="90"/>
      <c r="ACY153" s="90"/>
      <c r="ACZ153" s="90"/>
      <c r="ADA153" s="90"/>
      <c r="ADB153" s="90"/>
      <c r="ADC153" s="90"/>
      <c r="ADD153" s="90"/>
      <c r="ADE153" s="90"/>
      <c r="ADF153" s="90"/>
      <c r="ADG153" s="90"/>
      <c r="ADH153" s="90"/>
      <c r="ADI153" s="90"/>
      <c r="ADJ153" s="90"/>
      <c r="ADK153" s="90"/>
      <c r="ADL153" s="90"/>
      <c r="ADM153" s="90"/>
      <c r="ADN153" s="90"/>
      <c r="ADO153" s="90"/>
      <c r="ADP153" s="90"/>
      <c r="ADQ153" s="90"/>
      <c r="ADR153" s="90"/>
      <c r="ADS153" s="90"/>
      <c r="ADT153" s="90"/>
      <c r="ADU153" s="90"/>
      <c r="ADV153" s="90"/>
      <c r="ADW153" s="90"/>
      <c r="ADX153" s="90"/>
      <c r="ADY153" s="90"/>
      <c r="ADZ153" s="90"/>
      <c r="AEA153" s="90"/>
      <c r="AEB153" s="90"/>
      <c r="AEC153" s="90"/>
      <c r="AED153" s="90"/>
      <c r="AEE153" s="90"/>
      <c r="AEF153" s="90"/>
      <c r="AEG153" s="90"/>
      <c r="AEH153" s="90"/>
      <c r="AEI153" s="90"/>
      <c r="AEJ153" s="90"/>
      <c r="AEK153" s="90"/>
      <c r="AEL153" s="90"/>
      <c r="AEM153" s="90"/>
      <c r="AEN153" s="90"/>
      <c r="AEO153" s="90"/>
      <c r="AEP153" s="90"/>
      <c r="AEQ153" s="90"/>
      <c r="AER153" s="90"/>
      <c r="AES153" s="90"/>
      <c r="AET153" s="90"/>
      <c r="AEU153" s="90"/>
      <c r="AEV153" s="90"/>
      <c r="AEW153" s="90"/>
      <c r="AEX153" s="90"/>
      <c r="AEY153" s="90"/>
      <c r="AEZ153" s="90"/>
      <c r="AFA153" s="90"/>
      <c r="AFB153" s="90"/>
      <c r="AFC153" s="90"/>
      <c r="AFD153" s="90"/>
      <c r="AFE153" s="90"/>
      <c r="AFF153" s="90"/>
      <c r="AFG153" s="90"/>
      <c r="AFH153" s="90"/>
      <c r="AFI153" s="90"/>
      <c r="AFJ153" s="90"/>
      <c r="AFK153" s="90"/>
      <c r="AFL153" s="90"/>
      <c r="AFM153" s="90"/>
      <c r="AFN153" s="90"/>
      <c r="AFO153" s="90"/>
      <c r="AFP153" s="90"/>
      <c r="AFQ153" s="90"/>
      <c r="AFR153" s="90"/>
      <c r="AFS153" s="90"/>
      <c r="AFT153" s="90"/>
      <c r="AFU153" s="90"/>
      <c r="AFV153" s="90"/>
      <c r="AFW153" s="90"/>
      <c r="AFX153" s="90"/>
      <c r="AFY153" s="90"/>
      <c r="AFZ153" s="90"/>
      <c r="AGA153" s="90"/>
      <c r="AGB153" s="90"/>
      <c r="AGC153" s="90"/>
      <c r="AGD153" s="90"/>
      <c r="AGE153" s="90"/>
      <c r="AGF153" s="90"/>
      <c r="AGG153" s="90"/>
      <c r="AGH153" s="90"/>
      <c r="AGI153" s="90"/>
      <c r="AGJ153" s="90"/>
      <c r="AGK153" s="90"/>
      <c r="AGL153" s="90"/>
      <c r="AGM153" s="90"/>
      <c r="AGN153" s="90"/>
      <c r="AGO153" s="90"/>
      <c r="AGP153" s="90"/>
      <c r="AGQ153" s="90"/>
      <c r="AGR153" s="90"/>
      <c r="AGS153" s="90"/>
      <c r="AGT153" s="90"/>
      <c r="AGU153" s="90"/>
      <c r="AGV153" s="90"/>
      <c r="AGW153" s="90"/>
      <c r="AGX153" s="90"/>
      <c r="AGY153" s="90"/>
      <c r="AGZ153" s="90"/>
      <c r="AHA153" s="90"/>
      <c r="AHB153" s="90"/>
      <c r="AHC153" s="90"/>
      <c r="AHD153" s="90"/>
      <c r="AHE153" s="90"/>
      <c r="AHF153" s="90"/>
      <c r="AHG153" s="90"/>
      <c r="AHH153" s="90"/>
      <c r="AHI153" s="90"/>
      <c r="AHJ153" s="90"/>
      <c r="AHK153" s="90"/>
      <c r="AHL153" s="90"/>
      <c r="AHM153" s="90"/>
      <c r="AHN153" s="90"/>
      <c r="AHO153" s="90"/>
      <c r="AHP153" s="90"/>
      <c r="AHQ153" s="90"/>
      <c r="AHR153" s="90"/>
      <c r="AHS153" s="90"/>
      <c r="AHT153" s="90"/>
      <c r="AHU153" s="90"/>
      <c r="AHV153" s="90"/>
      <c r="AHW153" s="90"/>
      <c r="AHX153" s="90"/>
      <c r="AHY153" s="90"/>
      <c r="AHZ153" s="90"/>
      <c r="AIA153" s="90"/>
      <c r="AIB153" s="90"/>
      <c r="AIC153" s="90"/>
      <c r="AID153" s="90"/>
      <c r="AIE153" s="90"/>
      <c r="AIF153" s="90"/>
      <c r="AIG153" s="90"/>
      <c r="AIH153" s="90"/>
      <c r="AII153" s="90"/>
      <c r="AIJ153" s="90"/>
      <c r="AIK153" s="90"/>
      <c r="AIL153" s="90"/>
      <c r="AIM153" s="90"/>
      <c r="AIN153" s="90"/>
      <c r="AIO153" s="90"/>
      <c r="AIP153" s="90"/>
      <c r="AIQ153" s="90"/>
      <c r="AIR153" s="90"/>
      <c r="AIS153" s="90"/>
      <c r="AIT153" s="90"/>
      <c r="AIU153" s="90"/>
      <c r="AIV153" s="90"/>
      <c r="AIW153" s="90"/>
      <c r="AIX153" s="90"/>
      <c r="AIY153" s="90"/>
      <c r="AIZ153" s="90"/>
      <c r="AJA153" s="90"/>
      <c r="AJB153" s="90"/>
      <c r="AJC153" s="90"/>
      <c r="AJD153" s="90"/>
      <c r="AJE153" s="90"/>
      <c r="AJF153" s="90"/>
      <c r="AJG153" s="90"/>
      <c r="AJH153" s="90"/>
      <c r="AJI153" s="90"/>
      <c r="AJJ153" s="90"/>
      <c r="AJK153" s="90"/>
      <c r="AJL153" s="90"/>
      <c r="AJM153" s="90"/>
      <c r="AJN153" s="90"/>
      <c r="AJO153" s="90"/>
      <c r="AJP153" s="90"/>
      <c r="AJQ153" s="90"/>
      <c r="AJR153" s="90"/>
      <c r="AJS153" s="90"/>
      <c r="AJT153" s="90"/>
      <c r="AJU153" s="90"/>
      <c r="AJV153" s="90"/>
      <c r="AJW153" s="90"/>
      <c r="AJX153" s="90"/>
      <c r="AJY153" s="90"/>
      <c r="AJZ153" s="90"/>
      <c r="AKA153" s="90"/>
      <c r="AKB153" s="90"/>
      <c r="AKC153" s="90"/>
      <c r="AKD153" s="90"/>
      <c r="AKE153" s="90"/>
      <c r="AKF153" s="90"/>
      <c r="AKG153" s="90"/>
      <c r="AKH153" s="90"/>
      <c r="AKI153" s="90"/>
      <c r="AKJ153" s="90"/>
      <c r="AKK153" s="90"/>
      <c r="AKL153" s="90"/>
      <c r="AKM153" s="90"/>
      <c r="AKN153" s="90"/>
      <c r="AKO153" s="90"/>
      <c r="AKP153" s="90"/>
      <c r="AKQ153" s="90"/>
      <c r="AKR153" s="90"/>
      <c r="AKS153" s="90"/>
      <c r="AKT153" s="90"/>
      <c r="AKU153" s="90"/>
      <c r="AKV153" s="90"/>
      <c r="AKW153" s="90"/>
      <c r="AKX153" s="90"/>
      <c r="AKY153" s="90"/>
      <c r="AKZ153" s="90"/>
      <c r="ALA153" s="90"/>
      <c r="ALB153" s="90"/>
      <c r="ALC153" s="90"/>
      <c r="ALD153" s="90"/>
      <c r="ALE153" s="90"/>
      <c r="ALF153" s="90"/>
      <c r="ALG153" s="90"/>
      <c r="ALH153" s="90"/>
      <c r="ALI153" s="90"/>
      <c r="ALJ153" s="90"/>
      <c r="ALK153" s="90"/>
      <c r="ALL153" s="90"/>
      <c r="ALM153" s="90"/>
      <c r="ALN153" s="90"/>
      <c r="ALO153" s="90"/>
      <c r="ALP153" s="90"/>
      <c r="ALQ153" s="90"/>
      <c r="ALR153" s="90"/>
      <c r="ALS153" s="90"/>
      <c r="ALT153" s="90"/>
      <c r="ALU153" s="90"/>
      <c r="ALV153" s="90"/>
      <c r="ALW153" s="90"/>
      <c r="ALX153" s="90"/>
      <c r="ALY153" s="90"/>
      <c r="ALZ153" s="90"/>
      <c r="AMA153" s="90"/>
      <c r="AMB153" s="90"/>
      <c r="AMC153" s="90"/>
    </row>
    <row r="154" spans="1:1017">
      <c r="A154" s="98" t="s">
        <v>48</v>
      </c>
      <c r="B154" s="90" t="str">
        <f t="shared" si="1159"/>
        <v xml:space="preserve">Udang Windu </v>
      </c>
      <c r="E154" s="98">
        <v>3750</v>
      </c>
      <c r="F154" s="98">
        <v>487500</v>
      </c>
      <c r="Q154" s="91">
        <f t="shared" si="1160"/>
        <v>3750</v>
      </c>
      <c r="R154" s="91">
        <f t="shared" si="1161"/>
        <v>487500</v>
      </c>
      <c r="AG154" s="91">
        <f t="shared" si="1162"/>
        <v>0</v>
      </c>
      <c r="AH154" s="91">
        <f t="shared" si="1163"/>
        <v>0</v>
      </c>
      <c r="AW154" s="91">
        <f t="shared" si="1164"/>
        <v>0</v>
      </c>
      <c r="AX154" s="91">
        <f t="shared" si="1165"/>
        <v>0</v>
      </c>
      <c r="BM154" s="91">
        <f t="shared" si="1166"/>
        <v>0</v>
      </c>
      <c r="BN154" s="91">
        <f t="shared" si="1167"/>
        <v>0</v>
      </c>
      <c r="CC154" s="91">
        <f t="shared" si="1168"/>
        <v>0</v>
      </c>
      <c r="CD154" s="91">
        <f t="shared" si="1169"/>
        <v>0</v>
      </c>
      <c r="CG154" s="98">
        <v>236204</v>
      </c>
      <c r="CH154" s="98">
        <v>23620396</v>
      </c>
      <c r="CS154" s="91">
        <f t="shared" si="1254"/>
        <v>236204</v>
      </c>
      <c r="CT154" s="91">
        <f t="shared" si="1255"/>
        <v>23620396</v>
      </c>
      <c r="DI154" s="91">
        <f t="shared" si="1172"/>
        <v>0</v>
      </c>
      <c r="DJ154" s="91">
        <f t="shared" si="1173"/>
        <v>0</v>
      </c>
      <c r="DY154" s="91">
        <f t="shared" si="1174"/>
        <v>0</v>
      </c>
      <c r="DZ154" s="91">
        <f t="shared" si="1175"/>
        <v>0</v>
      </c>
      <c r="EO154" s="91">
        <f t="shared" si="1176"/>
        <v>0</v>
      </c>
      <c r="EP154" s="91">
        <f t="shared" si="1177"/>
        <v>0</v>
      </c>
      <c r="FE154" s="91">
        <f t="shared" si="1178"/>
        <v>0</v>
      </c>
      <c r="FF154" s="91">
        <f t="shared" si="1179"/>
        <v>0</v>
      </c>
      <c r="FU154" s="91">
        <f t="shared" si="1180"/>
        <v>0</v>
      </c>
      <c r="FV154" s="91">
        <f t="shared" si="1181"/>
        <v>0</v>
      </c>
      <c r="GK154" s="91">
        <f t="shared" si="1182"/>
        <v>0</v>
      </c>
      <c r="GL154" s="91">
        <f t="shared" si="1183"/>
        <v>0</v>
      </c>
      <c r="HA154" s="91">
        <f t="shared" si="1184"/>
        <v>0</v>
      </c>
      <c r="HB154" s="91">
        <f t="shared" si="1185"/>
        <v>0</v>
      </c>
      <c r="HQ154" s="91">
        <f t="shared" si="1186"/>
        <v>0</v>
      </c>
      <c r="HR154" s="91">
        <f t="shared" si="1187"/>
        <v>0</v>
      </c>
      <c r="IG154" s="91">
        <f t="shared" si="1188"/>
        <v>0</v>
      </c>
      <c r="IH154" s="91">
        <f t="shared" si="1189"/>
        <v>0</v>
      </c>
      <c r="IW154" s="91">
        <f t="shared" si="1190"/>
        <v>0</v>
      </c>
      <c r="IX154" s="91">
        <f t="shared" si="1191"/>
        <v>0</v>
      </c>
      <c r="JM154" s="91">
        <f t="shared" si="1192"/>
        <v>0</v>
      </c>
      <c r="JN154" s="91">
        <f t="shared" si="1193"/>
        <v>0</v>
      </c>
      <c r="KC154" s="91">
        <f t="shared" si="1194"/>
        <v>0</v>
      </c>
      <c r="KD154" s="91">
        <f t="shared" si="1195"/>
        <v>0</v>
      </c>
      <c r="KS154" s="91">
        <f t="shared" si="1196"/>
        <v>0</v>
      </c>
      <c r="KT154" s="91">
        <f t="shared" si="1197"/>
        <v>0</v>
      </c>
      <c r="KW154" s="98">
        <v>3430.43</v>
      </c>
      <c r="KX154" s="98">
        <v>325891</v>
      </c>
      <c r="LI154" s="91">
        <f t="shared" si="1198"/>
        <v>3430.43</v>
      </c>
      <c r="LJ154" s="91">
        <f t="shared" si="1199"/>
        <v>325891</v>
      </c>
      <c r="LY154" s="91">
        <f t="shared" si="1200"/>
        <v>0</v>
      </c>
      <c r="LZ154" s="91">
        <f t="shared" si="1201"/>
        <v>0</v>
      </c>
      <c r="MO154" s="91">
        <f t="shared" si="1202"/>
        <v>0</v>
      </c>
      <c r="MP154" s="91">
        <f t="shared" si="1203"/>
        <v>0</v>
      </c>
      <c r="MS154" s="98">
        <v>1950</v>
      </c>
      <c r="MT154" s="98">
        <v>156000</v>
      </c>
      <c r="NE154" s="91">
        <f t="shared" si="1204"/>
        <v>1950</v>
      </c>
      <c r="NF154" s="91">
        <f t="shared" si="1205"/>
        <v>156000</v>
      </c>
      <c r="NI154" s="98">
        <v>240500</v>
      </c>
      <c r="NJ154" s="98">
        <v>21645000</v>
      </c>
      <c r="NU154" s="91">
        <f t="shared" si="1206"/>
        <v>240500</v>
      </c>
      <c r="NV154" s="91">
        <f t="shared" si="1207"/>
        <v>21645000</v>
      </c>
      <c r="NY154" s="98">
        <v>62</v>
      </c>
      <c r="NZ154" s="98">
        <v>9300</v>
      </c>
      <c r="OK154" s="91">
        <f t="shared" si="1208"/>
        <v>62</v>
      </c>
      <c r="OL154" s="91">
        <f t="shared" si="1209"/>
        <v>9300</v>
      </c>
      <c r="PA154" s="91">
        <f t="shared" si="1210"/>
        <v>0</v>
      </c>
      <c r="PB154" s="91">
        <f t="shared" si="1211"/>
        <v>0</v>
      </c>
      <c r="PQ154" s="91">
        <f t="shared" si="1212"/>
        <v>0</v>
      </c>
      <c r="PR154" s="91">
        <f t="shared" si="1213"/>
        <v>0</v>
      </c>
      <c r="QG154" s="91">
        <f t="shared" si="1214"/>
        <v>0</v>
      </c>
      <c r="QH154" s="91">
        <f t="shared" si="1215"/>
        <v>0</v>
      </c>
      <c r="QW154" s="91">
        <f t="shared" si="1216"/>
        <v>0</v>
      </c>
      <c r="QX154" s="91">
        <f t="shared" si="1217"/>
        <v>0</v>
      </c>
      <c r="RM154" s="91">
        <f t="shared" si="1218"/>
        <v>0</v>
      </c>
      <c r="RN154" s="91">
        <f t="shared" si="1219"/>
        <v>0</v>
      </c>
      <c r="SC154" s="91">
        <f t="shared" si="1220"/>
        <v>0</v>
      </c>
      <c r="SD154" s="91">
        <f t="shared" si="1221"/>
        <v>0</v>
      </c>
      <c r="SS154" s="91">
        <f t="shared" si="1222"/>
        <v>0</v>
      </c>
      <c r="ST154" s="91">
        <f t="shared" si="1223"/>
        <v>0</v>
      </c>
      <c r="TI154" s="91">
        <f t="shared" si="1224"/>
        <v>0</v>
      </c>
      <c r="TJ154" s="91">
        <f t="shared" si="1225"/>
        <v>0</v>
      </c>
      <c r="TY154" s="91">
        <f t="shared" si="1226"/>
        <v>0</v>
      </c>
      <c r="TZ154" s="91">
        <f t="shared" si="1227"/>
        <v>0</v>
      </c>
      <c r="UO154" s="91">
        <f t="shared" si="1228"/>
        <v>0</v>
      </c>
      <c r="UP154" s="91">
        <f t="shared" si="1229"/>
        <v>0</v>
      </c>
      <c r="VE154" s="91">
        <f t="shared" si="1230"/>
        <v>0</v>
      </c>
      <c r="VF154" s="91">
        <f t="shared" si="1231"/>
        <v>0</v>
      </c>
      <c r="VI154" s="98">
        <v>41</v>
      </c>
      <c r="VJ154" s="98">
        <v>2665</v>
      </c>
      <c r="VU154" s="91">
        <f t="shared" si="1232"/>
        <v>41</v>
      </c>
      <c r="VV154" s="91">
        <f t="shared" si="1233"/>
        <v>2665</v>
      </c>
      <c r="VY154" s="98">
        <v>8476</v>
      </c>
      <c r="VZ154" s="98">
        <v>678080</v>
      </c>
      <c r="WK154" s="91">
        <f t="shared" si="1234"/>
        <v>8476</v>
      </c>
      <c r="WL154" s="91">
        <f t="shared" si="1235"/>
        <v>678080</v>
      </c>
      <c r="WM154" s="89"/>
      <c r="WN154" s="87">
        <f t="shared" si="1236"/>
        <v>0</v>
      </c>
      <c r="WO154" s="87">
        <f t="shared" si="1237"/>
        <v>0</v>
      </c>
      <c r="WP154" s="87">
        <f t="shared" si="1238"/>
        <v>494413.43</v>
      </c>
      <c r="WQ154" s="87">
        <f t="shared" si="1239"/>
        <v>46924832</v>
      </c>
      <c r="WR154" s="87">
        <f t="shared" si="1240"/>
        <v>0</v>
      </c>
      <c r="WS154" s="87">
        <f t="shared" si="1241"/>
        <v>0</v>
      </c>
      <c r="WT154" s="87">
        <f t="shared" si="1242"/>
        <v>0</v>
      </c>
      <c r="WU154" s="87">
        <f t="shared" si="1243"/>
        <v>0</v>
      </c>
      <c r="WV154" s="87">
        <f t="shared" si="1244"/>
        <v>0</v>
      </c>
      <c r="WW154" s="87">
        <f t="shared" si="1245"/>
        <v>0</v>
      </c>
      <c r="WX154" s="87">
        <f t="shared" si="1246"/>
        <v>0</v>
      </c>
      <c r="WY154" s="87">
        <f t="shared" si="1247"/>
        <v>0</v>
      </c>
      <c r="WZ154" s="87">
        <f t="shared" si="1278"/>
        <v>0</v>
      </c>
      <c r="XA154" s="87">
        <f t="shared" si="1279"/>
        <v>0</v>
      </c>
      <c r="XB154" s="92">
        <f t="shared" si="1250"/>
        <v>494413.43</v>
      </c>
      <c r="XC154" s="92">
        <f t="shared" si="1251"/>
        <v>46924832</v>
      </c>
      <c r="XD154" s="89"/>
      <c r="XE154" s="92">
        <f t="shared" ref="XE154:XF154" si="1283">SUM(XB382,XB420,XB458)</f>
        <v>1645720.6313881725</v>
      </c>
      <c r="XF154" s="92">
        <f t="shared" si="1283"/>
        <v>143826901.53283775</v>
      </c>
      <c r="XG154" s="89"/>
      <c r="XH154" s="92"/>
      <c r="XI154" s="92"/>
      <c r="XJ154" s="89"/>
      <c r="XK154" s="87"/>
      <c r="XL154" s="87"/>
      <c r="XM154" s="87"/>
      <c r="XN154" s="87"/>
      <c r="XO154" s="87"/>
      <c r="XP154" s="87"/>
      <c r="XQ154" s="87"/>
      <c r="XR154" s="92">
        <f t="shared" ca="1" si="1252"/>
        <v>0</v>
      </c>
      <c r="XS154" s="89"/>
      <c r="XT154" s="87"/>
      <c r="XU154" s="87"/>
      <c r="XV154" s="87"/>
      <c r="XW154" s="87"/>
      <c r="XX154" s="87"/>
      <c r="XY154" s="87"/>
      <c r="XZ154" s="87"/>
      <c r="YA154" s="92">
        <f t="shared" ca="1" si="1253"/>
        <v>0</v>
      </c>
      <c r="YB154" s="90"/>
      <c r="YC154" s="90"/>
      <c r="YD154" s="90"/>
      <c r="YE154" s="90"/>
      <c r="YF154" s="90"/>
      <c r="YG154" s="90"/>
      <c r="YH154" s="90"/>
      <c r="YI154" s="90"/>
      <c r="YJ154" s="90"/>
      <c r="YK154" s="90"/>
      <c r="YL154" s="90"/>
      <c r="YM154" s="90"/>
      <c r="YN154" s="90"/>
      <c r="YO154" s="90"/>
      <c r="YP154" s="90"/>
      <c r="YQ154" s="90"/>
      <c r="YR154" s="90"/>
      <c r="YS154" s="90"/>
      <c r="YT154" s="90"/>
      <c r="YU154" s="90"/>
      <c r="YV154" s="90"/>
      <c r="YW154" s="90"/>
      <c r="YX154" s="90"/>
      <c r="YY154" s="90"/>
      <c r="YZ154" s="90"/>
      <c r="ZA154" s="90"/>
      <c r="ZB154" s="90"/>
      <c r="ZC154" s="90"/>
      <c r="ZD154" s="90"/>
      <c r="ZE154" s="90"/>
      <c r="ZF154" s="90"/>
      <c r="ZG154" s="90"/>
      <c r="ZH154" s="90"/>
      <c r="ZI154" s="90"/>
      <c r="ZJ154" s="90"/>
      <c r="ZK154" s="90"/>
      <c r="ZL154" s="90"/>
      <c r="ZM154" s="90"/>
      <c r="ZN154" s="90"/>
      <c r="ZO154" s="90"/>
      <c r="ZP154" s="90"/>
      <c r="ZQ154" s="90"/>
      <c r="ZR154" s="90"/>
      <c r="ZS154" s="90"/>
      <c r="ZT154" s="90"/>
      <c r="ZU154" s="90"/>
      <c r="ZV154" s="90"/>
      <c r="ZW154" s="90"/>
      <c r="ZX154" s="90"/>
      <c r="ZY154" s="90"/>
      <c r="ZZ154" s="90"/>
      <c r="AAA154" s="90"/>
      <c r="AAB154" s="90"/>
      <c r="AAC154" s="90"/>
      <c r="AAD154" s="90"/>
      <c r="AAE154" s="90"/>
      <c r="AAF154" s="90"/>
      <c r="AAG154" s="90"/>
      <c r="AAH154" s="90"/>
      <c r="AAI154" s="90"/>
      <c r="AAJ154" s="90"/>
      <c r="AAK154" s="90"/>
      <c r="AAL154" s="90"/>
      <c r="AAM154" s="90"/>
      <c r="AAN154" s="90"/>
      <c r="AAO154" s="90"/>
      <c r="AAP154" s="90"/>
      <c r="AAQ154" s="90"/>
      <c r="AAR154" s="90"/>
      <c r="AAS154" s="90"/>
      <c r="AAT154" s="90"/>
      <c r="AAU154" s="90"/>
      <c r="AAV154" s="90"/>
      <c r="AAW154" s="90"/>
      <c r="AAX154" s="90"/>
      <c r="AAY154" s="90"/>
      <c r="AAZ154" s="90"/>
      <c r="ABA154" s="90"/>
      <c r="ABB154" s="90"/>
      <c r="ABC154" s="90"/>
      <c r="ABD154" s="90"/>
      <c r="ABE154" s="90"/>
      <c r="ABF154" s="90"/>
      <c r="ABG154" s="90"/>
      <c r="ABH154" s="90"/>
      <c r="ABI154" s="90"/>
      <c r="ABJ154" s="90"/>
      <c r="ABK154" s="90"/>
      <c r="ABL154" s="90"/>
      <c r="ABM154" s="90"/>
      <c r="ABN154" s="90"/>
      <c r="ABO154" s="90"/>
      <c r="ABP154" s="90"/>
      <c r="ABQ154" s="90"/>
      <c r="ABR154" s="90"/>
      <c r="ABS154" s="90"/>
      <c r="ABT154" s="90"/>
      <c r="ABU154" s="90"/>
      <c r="ABV154" s="90"/>
      <c r="ABW154" s="90"/>
      <c r="ABX154" s="90"/>
      <c r="ABY154" s="90"/>
      <c r="ABZ154" s="90"/>
      <c r="ACA154" s="90"/>
      <c r="ACB154" s="90"/>
      <c r="ACC154" s="90"/>
      <c r="ACD154" s="90"/>
      <c r="ACE154" s="90"/>
      <c r="ACF154" s="90"/>
      <c r="ACG154" s="90"/>
      <c r="ACH154" s="90"/>
      <c r="ACI154" s="90"/>
      <c r="ACJ154" s="90"/>
      <c r="ACK154" s="90"/>
      <c r="ACL154" s="90"/>
      <c r="ACM154" s="90"/>
      <c r="ACN154" s="90"/>
      <c r="ACO154" s="90"/>
      <c r="ACP154" s="90"/>
      <c r="ACQ154" s="90"/>
      <c r="ACR154" s="90"/>
      <c r="ACS154" s="90"/>
      <c r="ACT154" s="90"/>
      <c r="ACU154" s="90"/>
      <c r="ACV154" s="90"/>
      <c r="ACW154" s="90"/>
      <c r="ACX154" s="90"/>
      <c r="ACY154" s="90"/>
      <c r="ACZ154" s="90"/>
      <c r="ADA154" s="90"/>
      <c r="ADB154" s="90"/>
      <c r="ADC154" s="90"/>
      <c r="ADD154" s="90"/>
      <c r="ADE154" s="90"/>
      <c r="ADF154" s="90"/>
      <c r="ADG154" s="90"/>
      <c r="ADH154" s="90"/>
      <c r="ADI154" s="90"/>
      <c r="ADJ154" s="90"/>
      <c r="ADK154" s="90"/>
      <c r="ADL154" s="90"/>
      <c r="ADM154" s="90"/>
      <c r="ADN154" s="90"/>
      <c r="ADO154" s="90"/>
      <c r="ADP154" s="90"/>
      <c r="ADQ154" s="90"/>
      <c r="ADR154" s="90"/>
      <c r="ADS154" s="90"/>
      <c r="ADT154" s="90"/>
      <c r="ADU154" s="90"/>
      <c r="ADV154" s="90"/>
      <c r="ADW154" s="90"/>
      <c r="ADX154" s="90"/>
      <c r="ADY154" s="90"/>
      <c r="ADZ154" s="90"/>
      <c r="AEA154" s="90"/>
      <c r="AEB154" s="90"/>
      <c r="AEC154" s="90"/>
      <c r="AED154" s="90"/>
      <c r="AEE154" s="90"/>
      <c r="AEF154" s="90"/>
      <c r="AEG154" s="90"/>
      <c r="AEH154" s="90"/>
      <c r="AEI154" s="90"/>
      <c r="AEJ154" s="90"/>
      <c r="AEK154" s="90"/>
      <c r="AEL154" s="90"/>
      <c r="AEM154" s="90"/>
      <c r="AEN154" s="90"/>
      <c r="AEO154" s="90"/>
      <c r="AEP154" s="90"/>
      <c r="AEQ154" s="90"/>
      <c r="AER154" s="90"/>
      <c r="AES154" s="90"/>
      <c r="AET154" s="90"/>
      <c r="AEU154" s="90"/>
      <c r="AEV154" s="90"/>
      <c r="AEW154" s="90"/>
      <c r="AEX154" s="90"/>
      <c r="AEY154" s="90"/>
      <c r="AEZ154" s="90"/>
      <c r="AFA154" s="90"/>
      <c r="AFB154" s="90"/>
      <c r="AFC154" s="90"/>
      <c r="AFD154" s="90"/>
      <c r="AFE154" s="90"/>
      <c r="AFF154" s="90"/>
      <c r="AFG154" s="90"/>
      <c r="AFH154" s="90"/>
      <c r="AFI154" s="90"/>
      <c r="AFJ154" s="90"/>
      <c r="AFK154" s="90"/>
      <c r="AFL154" s="90"/>
      <c r="AFM154" s="90"/>
      <c r="AFN154" s="90"/>
      <c r="AFO154" s="90"/>
      <c r="AFP154" s="90"/>
      <c r="AFQ154" s="90"/>
      <c r="AFR154" s="90"/>
      <c r="AFS154" s="90"/>
      <c r="AFT154" s="90"/>
      <c r="AFU154" s="90"/>
      <c r="AFV154" s="90"/>
      <c r="AFW154" s="90"/>
      <c r="AFX154" s="90"/>
      <c r="AFY154" s="90"/>
      <c r="AFZ154" s="90"/>
      <c r="AGA154" s="90"/>
      <c r="AGB154" s="90"/>
      <c r="AGC154" s="90"/>
      <c r="AGD154" s="90"/>
      <c r="AGE154" s="90"/>
      <c r="AGF154" s="90"/>
      <c r="AGG154" s="90"/>
      <c r="AGH154" s="90"/>
      <c r="AGI154" s="90"/>
      <c r="AGJ154" s="90"/>
      <c r="AGK154" s="90"/>
      <c r="AGL154" s="90"/>
      <c r="AGM154" s="90"/>
      <c r="AGN154" s="90"/>
      <c r="AGO154" s="90"/>
      <c r="AGP154" s="90"/>
      <c r="AGQ154" s="90"/>
      <c r="AGR154" s="90"/>
      <c r="AGS154" s="90"/>
      <c r="AGT154" s="90"/>
      <c r="AGU154" s="90"/>
      <c r="AGV154" s="90"/>
      <c r="AGW154" s="90"/>
      <c r="AGX154" s="90"/>
      <c r="AGY154" s="90"/>
      <c r="AGZ154" s="90"/>
      <c r="AHA154" s="90"/>
      <c r="AHB154" s="90"/>
      <c r="AHC154" s="90"/>
      <c r="AHD154" s="90"/>
      <c r="AHE154" s="90"/>
      <c r="AHF154" s="90"/>
      <c r="AHG154" s="90"/>
      <c r="AHH154" s="90"/>
      <c r="AHI154" s="90"/>
      <c r="AHJ154" s="90"/>
      <c r="AHK154" s="90"/>
      <c r="AHL154" s="90"/>
      <c r="AHM154" s="90"/>
      <c r="AHN154" s="90"/>
      <c r="AHO154" s="90"/>
      <c r="AHP154" s="90"/>
      <c r="AHQ154" s="90"/>
      <c r="AHR154" s="90"/>
      <c r="AHS154" s="90"/>
      <c r="AHT154" s="90"/>
      <c r="AHU154" s="90"/>
      <c r="AHV154" s="90"/>
      <c r="AHW154" s="90"/>
      <c r="AHX154" s="90"/>
      <c r="AHY154" s="90"/>
      <c r="AHZ154" s="90"/>
      <c r="AIA154" s="90"/>
      <c r="AIB154" s="90"/>
      <c r="AIC154" s="90"/>
      <c r="AID154" s="90"/>
      <c r="AIE154" s="90"/>
      <c r="AIF154" s="90"/>
      <c r="AIG154" s="90"/>
      <c r="AIH154" s="90"/>
      <c r="AII154" s="90"/>
      <c r="AIJ154" s="90"/>
      <c r="AIK154" s="90"/>
      <c r="AIL154" s="90"/>
      <c r="AIM154" s="90"/>
      <c r="AIN154" s="90"/>
      <c r="AIO154" s="90"/>
      <c r="AIP154" s="90"/>
      <c r="AIQ154" s="90"/>
      <c r="AIR154" s="90"/>
      <c r="AIS154" s="90"/>
      <c r="AIT154" s="90"/>
      <c r="AIU154" s="90"/>
      <c r="AIV154" s="90"/>
      <c r="AIW154" s="90"/>
      <c r="AIX154" s="90"/>
      <c r="AIY154" s="90"/>
      <c r="AIZ154" s="90"/>
      <c r="AJA154" s="90"/>
      <c r="AJB154" s="90"/>
      <c r="AJC154" s="90"/>
      <c r="AJD154" s="90"/>
      <c r="AJE154" s="90"/>
      <c r="AJF154" s="90"/>
      <c r="AJG154" s="90"/>
      <c r="AJH154" s="90"/>
      <c r="AJI154" s="90"/>
      <c r="AJJ154" s="90"/>
      <c r="AJK154" s="90"/>
      <c r="AJL154" s="90"/>
      <c r="AJM154" s="90"/>
      <c r="AJN154" s="90"/>
      <c r="AJO154" s="90"/>
      <c r="AJP154" s="90"/>
      <c r="AJQ154" s="90"/>
      <c r="AJR154" s="90"/>
      <c r="AJS154" s="90"/>
      <c r="AJT154" s="90"/>
      <c r="AJU154" s="90"/>
      <c r="AJV154" s="90"/>
      <c r="AJW154" s="90"/>
      <c r="AJX154" s="90"/>
      <c r="AJY154" s="90"/>
      <c r="AJZ154" s="90"/>
      <c r="AKA154" s="90"/>
      <c r="AKB154" s="90"/>
      <c r="AKC154" s="90"/>
      <c r="AKD154" s="90"/>
      <c r="AKE154" s="90"/>
      <c r="AKF154" s="90"/>
      <c r="AKG154" s="90"/>
      <c r="AKH154" s="90"/>
      <c r="AKI154" s="90"/>
      <c r="AKJ154" s="90"/>
      <c r="AKK154" s="90"/>
      <c r="AKL154" s="90"/>
      <c r="AKM154" s="90"/>
      <c r="AKN154" s="90"/>
      <c r="AKO154" s="90"/>
      <c r="AKP154" s="90"/>
      <c r="AKQ154" s="90"/>
      <c r="AKR154" s="90"/>
      <c r="AKS154" s="90"/>
      <c r="AKT154" s="90"/>
      <c r="AKU154" s="90"/>
      <c r="AKV154" s="90"/>
      <c r="AKW154" s="90"/>
      <c r="AKX154" s="90"/>
      <c r="AKY154" s="90"/>
      <c r="AKZ154" s="90"/>
      <c r="ALA154" s="90"/>
      <c r="ALB154" s="90"/>
      <c r="ALC154" s="90"/>
      <c r="ALD154" s="90"/>
      <c r="ALE154" s="90"/>
      <c r="ALF154" s="90"/>
      <c r="ALG154" s="90"/>
      <c r="ALH154" s="90"/>
      <c r="ALI154" s="90"/>
      <c r="ALJ154" s="90"/>
      <c r="ALK154" s="90"/>
      <c r="ALL154" s="90"/>
      <c r="ALM154" s="90"/>
      <c r="ALN154" s="90"/>
      <c r="ALO154" s="90"/>
      <c r="ALP154" s="90"/>
      <c r="ALQ154" s="90"/>
      <c r="ALR154" s="90"/>
      <c r="ALS154" s="90"/>
      <c r="ALT154" s="90"/>
      <c r="ALU154" s="90"/>
      <c r="ALV154" s="90"/>
      <c r="ALW154" s="90"/>
      <c r="ALX154" s="90"/>
      <c r="ALY154" s="90"/>
      <c r="ALZ154" s="90"/>
      <c r="AMA154" s="90"/>
      <c r="AMB154" s="90"/>
      <c r="AMC154" s="90"/>
    </row>
    <row r="155" spans="1:1017">
      <c r="A155" s="98" t="s">
        <v>48</v>
      </c>
      <c r="B155" s="90" t="str">
        <f t="shared" ref="B155:B164" si="1284">B117</f>
        <v xml:space="preserve">Udang_01 (Udang Api-Api) </v>
      </c>
      <c r="E155" s="98">
        <v>7100</v>
      </c>
      <c r="F155" s="98">
        <v>284000</v>
      </c>
      <c r="Q155" s="91">
        <f t="shared" si="1160"/>
        <v>7100</v>
      </c>
      <c r="R155" s="91">
        <f t="shared" si="1161"/>
        <v>284000</v>
      </c>
      <c r="AG155" s="91">
        <f t="shared" si="1162"/>
        <v>0</v>
      </c>
      <c r="AH155" s="91">
        <f t="shared" si="1163"/>
        <v>0</v>
      </c>
      <c r="AW155" s="91">
        <f t="shared" si="1164"/>
        <v>0</v>
      </c>
      <c r="AX155" s="91">
        <f t="shared" si="1165"/>
        <v>0</v>
      </c>
      <c r="BM155" s="91">
        <f t="shared" si="1166"/>
        <v>0</v>
      </c>
      <c r="BN155" s="91">
        <f t="shared" si="1167"/>
        <v>0</v>
      </c>
      <c r="CC155" s="91">
        <f t="shared" si="1168"/>
        <v>0</v>
      </c>
      <c r="CD155" s="91">
        <f t="shared" si="1169"/>
        <v>0</v>
      </c>
      <c r="CS155" s="91">
        <f t="shared" si="1254"/>
        <v>0</v>
      </c>
      <c r="CT155" s="91">
        <f t="shared" si="1255"/>
        <v>0</v>
      </c>
      <c r="DI155" s="91">
        <f t="shared" si="1172"/>
        <v>0</v>
      </c>
      <c r="DJ155" s="91">
        <f t="shared" si="1173"/>
        <v>0</v>
      </c>
      <c r="DY155" s="91">
        <f t="shared" si="1174"/>
        <v>0</v>
      </c>
      <c r="DZ155" s="91">
        <f t="shared" si="1175"/>
        <v>0</v>
      </c>
      <c r="EO155" s="91">
        <f t="shared" si="1176"/>
        <v>0</v>
      </c>
      <c r="EP155" s="91">
        <f t="shared" si="1177"/>
        <v>0</v>
      </c>
      <c r="FE155" s="91">
        <f t="shared" si="1178"/>
        <v>0</v>
      </c>
      <c r="FF155" s="91">
        <f t="shared" si="1179"/>
        <v>0</v>
      </c>
      <c r="FU155" s="91">
        <f t="shared" si="1180"/>
        <v>0</v>
      </c>
      <c r="FV155" s="91">
        <f t="shared" si="1181"/>
        <v>0</v>
      </c>
      <c r="GK155" s="91">
        <f t="shared" si="1182"/>
        <v>0</v>
      </c>
      <c r="GL155" s="91">
        <f t="shared" si="1183"/>
        <v>0</v>
      </c>
      <c r="HA155" s="91">
        <f t="shared" si="1184"/>
        <v>0</v>
      </c>
      <c r="HB155" s="91">
        <f t="shared" si="1185"/>
        <v>0</v>
      </c>
      <c r="HQ155" s="91">
        <f t="shared" si="1186"/>
        <v>0</v>
      </c>
      <c r="HR155" s="91">
        <f t="shared" si="1187"/>
        <v>0</v>
      </c>
      <c r="IG155" s="91">
        <f t="shared" si="1188"/>
        <v>0</v>
      </c>
      <c r="IH155" s="91">
        <f t="shared" si="1189"/>
        <v>0</v>
      </c>
      <c r="IW155" s="91">
        <f t="shared" si="1190"/>
        <v>0</v>
      </c>
      <c r="IX155" s="91">
        <f t="shared" si="1191"/>
        <v>0</v>
      </c>
      <c r="JM155" s="91">
        <f t="shared" si="1192"/>
        <v>0</v>
      </c>
      <c r="JN155" s="91">
        <f t="shared" si="1193"/>
        <v>0</v>
      </c>
      <c r="KC155" s="91">
        <f t="shared" si="1194"/>
        <v>0</v>
      </c>
      <c r="KD155" s="91">
        <f t="shared" si="1195"/>
        <v>0</v>
      </c>
      <c r="KS155" s="91">
        <f t="shared" si="1196"/>
        <v>0</v>
      </c>
      <c r="KT155" s="91">
        <f t="shared" si="1197"/>
        <v>0</v>
      </c>
      <c r="LI155" s="91">
        <f t="shared" si="1198"/>
        <v>0</v>
      </c>
      <c r="LJ155" s="91">
        <f t="shared" si="1199"/>
        <v>0</v>
      </c>
      <c r="LY155" s="91">
        <f t="shared" si="1200"/>
        <v>0</v>
      </c>
      <c r="LZ155" s="91">
        <f t="shared" si="1201"/>
        <v>0</v>
      </c>
      <c r="MC155" s="98">
        <v>114200</v>
      </c>
      <c r="MD155" s="98">
        <v>4568000</v>
      </c>
      <c r="MO155" s="91">
        <f t="shared" si="1202"/>
        <v>114200</v>
      </c>
      <c r="MP155" s="91">
        <f t="shared" si="1203"/>
        <v>4568000</v>
      </c>
      <c r="NE155" s="91">
        <f t="shared" si="1204"/>
        <v>0</v>
      </c>
      <c r="NF155" s="91">
        <f t="shared" si="1205"/>
        <v>0</v>
      </c>
      <c r="NI155" s="98">
        <v>43400</v>
      </c>
      <c r="NJ155" s="98">
        <v>1953000</v>
      </c>
      <c r="NU155" s="91">
        <f t="shared" si="1206"/>
        <v>43400</v>
      </c>
      <c r="NV155" s="91">
        <f t="shared" si="1207"/>
        <v>1953000</v>
      </c>
      <c r="OK155" s="91">
        <f t="shared" si="1208"/>
        <v>0</v>
      </c>
      <c r="OL155" s="91">
        <f t="shared" si="1209"/>
        <v>0</v>
      </c>
      <c r="PA155" s="91">
        <f t="shared" si="1210"/>
        <v>0</v>
      </c>
      <c r="PB155" s="91">
        <f t="shared" si="1211"/>
        <v>0</v>
      </c>
      <c r="PQ155" s="91">
        <f t="shared" si="1212"/>
        <v>0</v>
      </c>
      <c r="PR155" s="91">
        <f t="shared" si="1213"/>
        <v>0</v>
      </c>
      <c r="QG155" s="91">
        <f t="shared" si="1214"/>
        <v>0</v>
      </c>
      <c r="QH155" s="91">
        <f t="shared" si="1215"/>
        <v>0</v>
      </c>
      <c r="QW155" s="91">
        <f t="shared" si="1216"/>
        <v>0</v>
      </c>
      <c r="QX155" s="91">
        <f t="shared" si="1217"/>
        <v>0</v>
      </c>
      <c r="RM155" s="91">
        <f t="shared" si="1218"/>
        <v>0</v>
      </c>
      <c r="RN155" s="91">
        <f t="shared" si="1219"/>
        <v>0</v>
      </c>
      <c r="SC155" s="91">
        <f t="shared" si="1220"/>
        <v>0</v>
      </c>
      <c r="SD155" s="91">
        <f t="shared" si="1221"/>
        <v>0</v>
      </c>
      <c r="SS155" s="91">
        <f t="shared" si="1222"/>
        <v>0</v>
      </c>
      <c r="ST155" s="91">
        <f t="shared" si="1223"/>
        <v>0</v>
      </c>
      <c r="TI155" s="91">
        <f t="shared" si="1224"/>
        <v>0</v>
      </c>
      <c r="TJ155" s="91">
        <f t="shared" si="1225"/>
        <v>0</v>
      </c>
      <c r="TY155" s="91">
        <f t="shared" si="1226"/>
        <v>0</v>
      </c>
      <c r="TZ155" s="91">
        <f t="shared" si="1227"/>
        <v>0</v>
      </c>
      <c r="UO155" s="91">
        <f t="shared" si="1228"/>
        <v>0</v>
      </c>
      <c r="UP155" s="91">
        <f t="shared" si="1229"/>
        <v>0</v>
      </c>
      <c r="VE155" s="91">
        <f t="shared" si="1230"/>
        <v>0</v>
      </c>
      <c r="VF155" s="91">
        <f t="shared" si="1231"/>
        <v>0</v>
      </c>
      <c r="VU155" s="91">
        <f t="shared" si="1232"/>
        <v>0</v>
      </c>
      <c r="VV155" s="91">
        <f t="shared" si="1233"/>
        <v>0</v>
      </c>
      <c r="WK155" s="91">
        <f t="shared" si="1234"/>
        <v>0</v>
      </c>
      <c r="WL155" s="91">
        <f t="shared" si="1235"/>
        <v>0</v>
      </c>
      <c r="WM155" s="89"/>
      <c r="WN155" s="87">
        <f t="shared" si="1236"/>
        <v>0</v>
      </c>
      <c r="WO155" s="87">
        <f t="shared" si="1237"/>
        <v>0</v>
      </c>
      <c r="WP155" s="87">
        <f t="shared" si="1238"/>
        <v>164700</v>
      </c>
      <c r="WQ155" s="87">
        <f t="shared" si="1239"/>
        <v>6805000</v>
      </c>
      <c r="WR155" s="87">
        <f t="shared" si="1240"/>
        <v>0</v>
      </c>
      <c r="WS155" s="87">
        <f t="shared" si="1241"/>
        <v>0</v>
      </c>
      <c r="WT155" s="87">
        <f t="shared" si="1242"/>
        <v>0</v>
      </c>
      <c r="WU155" s="87">
        <f t="shared" si="1243"/>
        <v>0</v>
      </c>
      <c r="WV155" s="87">
        <f t="shared" si="1244"/>
        <v>0</v>
      </c>
      <c r="WW155" s="87">
        <f t="shared" si="1245"/>
        <v>0</v>
      </c>
      <c r="WX155" s="87">
        <f t="shared" si="1246"/>
        <v>0</v>
      </c>
      <c r="WY155" s="87">
        <f t="shared" si="1247"/>
        <v>0</v>
      </c>
      <c r="WZ155" s="87">
        <f t="shared" si="1278"/>
        <v>0</v>
      </c>
      <c r="XA155" s="87">
        <f t="shared" si="1279"/>
        <v>0</v>
      </c>
      <c r="XB155" s="92">
        <f t="shared" si="1250"/>
        <v>164700</v>
      </c>
      <c r="XC155" s="92">
        <f t="shared" si="1251"/>
        <v>6805000</v>
      </c>
      <c r="XD155" s="89"/>
      <c r="XE155" s="92">
        <f t="shared" ref="XE155:XF155" si="1285">SUM(XB383,XB421,XB459)</f>
        <v>158791</v>
      </c>
      <c r="XF155" s="92">
        <f t="shared" si="1285"/>
        <v>6831645</v>
      </c>
      <c r="XG155" s="89"/>
      <c r="XH155" s="92"/>
      <c r="XI155" s="92"/>
      <c r="XJ155" s="89"/>
      <c r="XK155" s="87"/>
      <c r="XL155" s="87"/>
      <c r="XM155" s="87"/>
      <c r="XN155" s="87"/>
      <c r="XO155" s="87"/>
      <c r="XP155" s="87"/>
      <c r="XQ155" s="87"/>
      <c r="XR155" s="92">
        <f t="shared" ca="1" si="1252"/>
        <v>0</v>
      </c>
      <c r="XS155" s="89"/>
      <c r="XT155" s="87"/>
      <c r="XU155" s="87"/>
      <c r="XV155" s="87"/>
      <c r="XW155" s="87"/>
      <c r="XX155" s="87"/>
      <c r="XY155" s="87"/>
      <c r="XZ155" s="87"/>
      <c r="YA155" s="92">
        <f t="shared" ca="1" si="1253"/>
        <v>0</v>
      </c>
      <c r="YB155" s="90"/>
      <c r="YC155" s="90"/>
      <c r="YD155" s="90"/>
      <c r="YE155" s="90"/>
      <c r="YF155" s="90"/>
      <c r="YG155" s="90"/>
      <c r="YH155" s="90"/>
      <c r="YI155" s="90"/>
      <c r="YJ155" s="90"/>
      <c r="YK155" s="90"/>
      <c r="YL155" s="90"/>
      <c r="YM155" s="90"/>
      <c r="YN155" s="90"/>
      <c r="YO155" s="90"/>
      <c r="YP155" s="90"/>
      <c r="YQ155" s="90"/>
      <c r="YR155" s="90"/>
      <c r="YS155" s="90"/>
      <c r="YT155" s="90"/>
      <c r="YU155" s="90"/>
      <c r="YV155" s="90"/>
      <c r="YW155" s="90"/>
      <c r="YX155" s="90"/>
      <c r="YY155" s="90"/>
      <c r="YZ155" s="90"/>
      <c r="ZA155" s="90"/>
      <c r="ZB155" s="90"/>
      <c r="ZC155" s="90"/>
      <c r="ZD155" s="90"/>
      <c r="ZE155" s="90"/>
      <c r="ZF155" s="90"/>
      <c r="ZG155" s="90"/>
      <c r="ZH155" s="90"/>
      <c r="ZI155" s="90"/>
      <c r="ZJ155" s="90"/>
      <c r="ZK155" s="90"/>
      <c r="ZL155" s="90"/>
      <c r="ZM155" s="90"/>
      <c r="ZN155" s="90"/>
      <c r="ZO155" s="90"/>
      <c r="ZP155" s="90"/>
      <c r="ZQ155" s="90"/>
      <c r="ZR155" s="90"/>
      <c r="ZS155" s="90"/>
      <c r="ZT155" s="90"/>
      <c r="ZU155" s="90"/>
      <c r="ZV155" s="90"/>
      <c r="ZW155" s="90"/>
      <c r="ZX155" s="90"/>
      <c r="ZY155" s="90"/>
      <c r="ZZ155" s="90"/>
      <c r="AAA155" s="90"/>
      <c r="AAB155" s="90"/>
      <c r="AAC155" s="90"/>
      <c r="AAD155" s="90"/>
      <c r="AAE155" s="90"/>
      <c r="AAF155" s="90"/>
      <c r="AAG155" s="90"/>
      <c r="AAH155" s="90"/>
      <c r="AAI155" s="90"/>
      <c r="AAJ155" s="90"/>
      <c r="AAK155" s="90"/>
      <c r="AAL155" s="90"/>
      <c r="AAM155" s="90"/>
      <c r="AAN155" s="90"/>
      <c r="AAO155" s="90"/>
      <c r="AAP155" s="90"/>
      <c r="AAQ155" s="90"/>
      <c r="AAR155" s="90"/>
      <c r="AAS155" s="90"/>
      <c r="AAT155" s="90"/>
      <c r="AAU155" s="90"/>
      <c r="AAV155" s="90"/>
      <c r="AAW155" s="90"/>
      <c r="AAX155" s="90"/>
      <c r="AAY155" s="90"/>
      <c r="AAZ155" s="90"/>
      <c r="ABA155" s="90"/>
      <c r="ABB155" s="90"/>
      <c r="ABC155" s="90"/>
      <c r="ABD155" s="90"/>
      <c r="ABE155" s="90"/>
      <c r="ABF155" s="90"/>
      <c r="ABG155" s="90"/>
      <c r="ABH155" s="90"/>
      <c r="ABI155" s="90"/>
      <c r="ABJ155" s="90"/>
      <c r="ABK155" s="90"/>
      <c r="ABL155" s="90"/>
      <c r="ABM155" s="90"/>
      <c r="ABN155" s="90"/>
      <c r="ABO155" s="90"/>
      <c r="ABP155" s="90"/>
      <c r="ABQ155" s="90"/>
      <c r="ABR155" s="90"/>
      <c r="ABS155" s="90"/>
      <c r="ABT155" s="90"/>
      <c r="ABU155" s="90"/>
      <c r="ABV155" s="90"/>
      <c r="ABW155" s="90"/>
      <c r="ABX155" s="90"/>
      <c r="ABY155" s="90"/>
      <c r="ABZ155" s="90"/>
      <c r="ACA155" s="90"/>
      <c r="ACB155" s="90"/>
      <c r="ACC155" s="90"/>
      <c r="ACD155" s="90"/>
      <c r="ACE155" s="90"/>
      <c r="ACF155" s="90"/>
      <c r="ACG155" s="90"/>
      <c r="ACH155" s="90"/>
      <c r="ACI155" s="90"/>
      <c r="ACJ155" s="90"/>
      <c r="ACK155" s="90"/>
      <c r="ACL155" s="90"/>
      <c r="ACM155" s="90"/>
      <c r="ACN155" s="90"/>
      <c r="ACO155" s="90"/>
      <c r="ACP155" s="90"/>
      <c r="ACQ155" s="90"/>
      <c r="ACR155" s="90"/>
      <c r="ACS155" s="90"/>
      <c r="ACT155" s="90"/>
      <c r="ACU155" s="90"/>
      <c r="ACV155" s="90"/>
      <c r="ACW155" s="90"/>
      <c r="ACX155" s="90"/>
      <c r="ACY155" s="90"/>
      <c r="ACZ155" s="90"/>
      <c r="ADA155" s="90"/>
      <c r="ADB155" s="90"/>
      <c r="ADC155" s="90"/>
      <c r="ADD155" s="90"/>
      <c r="ADE155" s="90"/>
      <c r="ADF155" s="90"/>
      <c r="ADG155" s="90"/>
      <c r="ADH155" s="90"/>
      <c r="ADI155" s="90"/>
      <c r="ADJ155" s="90"/>
      <c r="ADK155" s="90"/>
      <c r="ADL155" s="90"/>
      <c r="ADM155" s="90"/>
      <c r="ADN155" s="90"/>
      <c r="ADO155" s="90"/>
      <c r="ADP155" s="90"/>
      <c r="ADQ155" s="90"/>
      <c r="ADR155" s="90"/>
      <c r="ADS155" s="90"/>
      <c r="ADT155" s="90"/>
      <c r="ADU155" s="90"/>
      <c r="ADV155" s="90"/>
      <c r="ADW155" s="90"/>
      <c r="ADX155" s="90"/>
      <c r="ADY155" s="90"/>
      <c r="ADZ155" s="90"/>
      <c r="AEA155" s="90"/>
      <c r="AEB155" s="90"/>
      <c r="AEC155" s="90"/>
      <c r="AED155" s="90"/>
      <c r="AEE155" s="90"/>
      <c r="AEF155" s="90"/>
      <c r="AEG155" s="90"/>
      <c r="AEH155" s="90"/>
      <c r="AEI155" s="90"/>
      <c r="AEJ155" s="90"/>
      <c r="AEK155" s="90"/>
      <c r="AEL155" s="90"/>
      <c r="AEM155" s="90"/>
      <c r="AEN155" s="90"/>
      <c r="AEO155" s="90"/>
      <c r="AEP155" s="90"/>
      <c r="AEQ155" s="90"/>
      <c r="AER155" s="90"/>
      <c r="AES155" s="90"/>
      <c r="AET155" s="90"/>
      <c r="AEU155" s="90"/>
      <c r="AEV155" s="90"/>
      <c r="AEW155" s="90"/>
      <c r="AEX155" s="90"/>
      <c r="AEY155" s="90"/>
      <c r="AEZ155" s="90"/>
      <c r="AFA155" s="90"/>
      <c r="AFB155" s="90"/>
      <c r="AFC155" s="90"/>
      <c r="AFD155" s="90"/>
      <c r="AFE155" s="90"/>
      <c r="AFF155" s="90"/>
      <c r="AFG155" s="90"/>
      <c r="AFH155" s="90"/>
      <c r="AFI155" s="90"/>
      <c r="AFJ155" s="90"/>
      <c r="AFK155" s="90"/>
      <c r="AFL155" s="90"/>
      <c r="AFM155" s="90"/>
      <c r="AFN155" s="90"/>
      <c r="AFO155" s="90"/>
      <c r="AFP155" s="90"/>
      <c r="AFQ155" s="90"/>
      <c r="AFR155" s="90"/>
      <c r="AFS155" s="90"/>
      <c r="AFT155" s="90"/>
      <c r="AFU155" s="90"/>
      <c r="AFV155" s="90"/>
      <c r="AFW155" s="90"/>
      <c r="AFX155" s="90"/>
      <c r="AFY155" s="90"/>
      <c r="AFZ155" s="90"/>
      <c r="AGA155" s="90"/>
      <c r="AGB155" s="90"/>
      <c r="AGC155" s="90"/>
      <c r="AGD155" s="90"/>
      <c r="AGE155" s="90"/>
      <c r="AGF155" s="90"/>
      <c r="AGG155" s="90"/>
      <c r="AGH155" s="90"/>
      <c r="AGI155" s="90"/>
      <c r="AGJ155" s="90"/>
      <c r="AGK155" s="90"/>
      <c r="AGL155" s="90"/>
      <c r="AGM155" s="90"/>
      <c r="AGN155" s="90"/>
      <c r="AGO155" s="90"/>
      <c r="AGP155" s="90"/>
      <c r="AGQ155" s="90"/>
      <c r="AGR155" s="90"/>
      <c r="AGS155" s="90"/>
      <c r="AGT155" s="90"/>
      <c r="AGU155" s="90"/>
      <c r="AGV155" s="90"/>
      <c r="AGW155" s="90"/>
      <c r="AGX155" s="90"/>
      <c r="AGY155" s="90"/>
      <c r="AGZ155" s="90"/>
      <c r="AHA155" s="90"/>
      <c r="AHB155" s="90"/>
      <c r="AHC155" s="90"/>
      <c r="AHD155" s="90"/>
      <c r="AHE155" s="90"/>
      <c r="AHF155" s="90"/>
      <c r="AHG155" s="90"/>
      <c r="AHH155" s="90"/>
      <c r="AHI155" s="90"/>
      <c r="AHJ155" s="90"/>
      <c r="AHK155" s="90"/>
      <c r="AHL155" s="90"/>
      <c r="AHM155" s="90"/>
      <c r="AHN155" s="90"/>
      <c r="AHO155" s="90"/>
      <c r="AHP155" s="90"/>
      <c r="AHQ155" s="90"/>
      <c r="AHR155" s="90"/>
      <c r="AHS155" s="90"/>
      <c r="AHT155" s="90"/>
      <c r="AHU155" s="90"/>
      <c r="AHV155" s="90"/>
      <c r="AHW155" s="90"/>
      <c r="AHX155" s="90"/>
      <c r="AHY155" s="90"/>
      <c r="AHZ155" s="90"/>
      <c r="AIA155" s="90"/>
      <c r="AIB155" s="90"/>
      <c r="AIC155" s="90"/>
      <c r="AID155" s="90"/>
      <c r="AIE155" s="90"/>
      <c r="AIF155" s="90"/>
      <c r="AIG155" s="90"/>
      <c r="AIH155" s="90"/>
      <c r="AII155" s="90"/>
      <c r="AIJ155" s="90"/>
      <c r="AIK155" s="90"/>
      <c r="AIL155" s="90"/>
      <c r="AIM155" s="90"/>
      <c r="AIN155" s="90"/>
      <c r="AIO155" s="90"/>
      <c r="AIP155" s="90"/>
      <c r="AIQ155" s="90"/>
      <c r="AIR155" s="90"/>
      <c r="AIS155" s="90"/>
      <c r="AIT155" s="90"/>
      <c r="AIU155" s="90"/>
      <c r="AIV155" s="90"/>
      <c r="AIW155" s="90"/>
      <c r="AIX155" s="90"/>
      <c r="AIY155" s="90"/>
      <c r="AIZ155" s="90"/>
      <c r="AJA155" s="90"/>
      <c r="AJB155" s="90"/>
      <c r="AJC155" s="90"/>
      <c r="AJD155" s="90"/>
      <c r="AJE155" s="90"/>
      <c r="AJF155" s="90"/>
      <c r="AJG155" s="90"/>
      <c r="AJH155" s="90"/>
      <c r="AJI155" s="90"/>
      <c r="AJJ155" s="90"/>
      <c r="AJK155" s="90"/>
      <c r="AJL155" s="90"/>
      <c r="AJM155" s="90"/>
      <c r="AJN155" s="90"/>
      <c r="AJO155" s="90"/>
      <c r="AJP155" s="90"/>
      <c r="AJQ155" s="90"/>
      <c r="AJR155" s="90"/>
      <c r="AJS155" s="90"/>
      <c r="AJT155" s="90"/>
      <c r="AJU155" s="90"/>
      <c r="AJV155" s="90"/>
      <c r="AJW155" s="90"/>
      <c r="AJX155" s="90"/>
      <c r="AJY155" s="90"/>
      <c r="AJZ155" s="90"/>
      <c r="AKA155" s="90"/>
      <c r="AKB155" s="90"/>
      <c r="AKC155" s="90"/>
      <c r="AKD155" s="90"/>
      <c r="AKE155" s="90"/>
      <c r="AKF155" s="90"/>
      <c r="AKG155" s="90"/>
      <c r="AKH155" s="90"/>
      <c r="AKI155" s="90"/>
      <c r="AKJ155" s="90"/>
      <c r="AKK155" s="90"/>
      <c r="AKL155" s="90"/>
      <c r="AKM155" s="90"/>
      <c r="AKN155" s="90"/>
      <c r="AKO155" s="90"/>
      <c r="AKP155" s="90"/>
      <c r="AKQ155" s="90"/>
      <c r="AKR155" s="90"/>
      <c r="AKS155" s="90"/>
      <c r="AKT155" s="90"/>
      <c r="AKU155" s="90"/>
      <c r="AKV155" s="90"/>
      <c r="AKW155" s="90"/>
      <c r="AKX155" s="90"/>
      <c r="AKY155" s="90"/>
      <c r="AKZ155" s="90"/>
      <c r="ALA155" s="90"/>
      <c r="ALB155" s="90"/>
      <c r="ALC155" s="90"/>
      <c r="ALD155" s="90"/>
      <c r="ALE155" s="90"/>
      <c r="ALF155" s="90"/>
      <c r="ALG155" s="90"/>
      <c r="ALH155" s="90"/>
      <c r="ALI155" s="90"/>
      <c r="ALJ155" s="90"/>
      <c r="ALK155" s="90"/>
      <c r="ALL155" s="90"/>
      <c r="ALM155" s="90"/>
      <c r="ALN155" s="90"/>
      <c r="ALO155" s="90"/>
      <c r="ALP155" s="90"/>
      <c r="ALQ155" s="90"/>
      <c r="ALR155" s="90"/>
      <c r="ALS155" s="90"/>
      <c r="ALT155" s="90"/>
      <c r="ALU155" s="90"/>
      <c r="ALV155" s="90"/>
      <c r="ALW155" s="90"/>
      <c r="ALX155" s="90"/>
      <c r="ALY155" s="90"/>
      <c r="ALZ155" s="90"/>
      <c r="AMA155" s="90"/>
      <c r="AMB155" s="90"/>
      <c r="AMC155" s="90"/>
    </row>
    <row r="156" spans="1:1017">
      <c r="A156" s="98" t="s">
        <v>48</v>
      </c>
      <c r="B156" s="90" t="str">
        <f t="shared" si="1284"/>
        <v xml:space="preserve">Udang_02 (Udang Rebon) </v>
      </c>
      <c r="Q156" s="91">
        <f t="shared" si="1160"/>
        <v>0</v>
      </c>
      <c r="R156" s="91">
        <f t="shared" si="1161"/>
        <v>0</v>
      </c>
      <c r="AG156" s="91">
        <f t="shared" si="1162"/>
        <v>0</v>
      </c>
      <c r="AH156" s="91">
        <f t="shared" si="1163"/>
        <v>0</v>
      </c>
      <c r="AW156" s="91">
        <f t="shared" si="1164"/>
        <v>0</v>
      </c>
      <c r="AX156" s="91">
        <f t="shared" si="1165"/>
        <v>0</v>
      </c>
      <c r="BM156" s="91">
        <f t="shared" si="1166"/>
        <v>0</v>
      </c>
      <c r="BN156" s="91">
        <f t="shared" si="1167"/>
        <v>0</v>
      </c>
      <c r="CC156" s="91">
        <f t="shared" si="1168"/>
        <v>0</v>
      </c>
      <c r="CD156" s="91">
        <f t="shared" si="1169"/>
        <v>0</v>
      </c>
      <c r="CS156" s="91">
        <f t="shared" si="1254"/>
        <v>0</v>
      </c>
      <c r="CT156" s="91">
        <f t="shared" si="1255"/>
        <v>0</v>
      </c>
      <c r="DI156" s="91">
        <f t="shared" si="1172"/>
        <v>0</v>
      </c>
      <c r="DJ156" s="91">
        <f t="shared" si="1173"/>
        <v>0</v>
      </c>
      <c r="DY156" s="91">
        <f t="shared" si="1174"/>
        <v>0</v>
      </c>
      <c r="DZ156" s="91">
        <f t="shared" si="1175"/>
        <v>0</v>
      </c>
      <c r="EO156" s="91">
        <f t="shared" si="1176"/>
        <v>0</v>
      </c>
      <c r="EP156" s="91">
        <f t="shared" si="1177"/>
        <v>0</v>
      </c>
      <c r="FE156" s="91">
        <f t="shared" si="1178"/>
        <v>0</v>
      </c>
      <c r="FF156" s="91">
        <f t="shared" si="1179"/>
        <v>0</v>
      </c>
      <c r="FU156" s="91">
        <f t="shared" si="1180"/>
        <v>0</v>
      </c>
      <c r="FV156" s="91">
        <f t="shared" si="1181"/>
        <v>0</v>
      </c>
      <c r="GK156" s="91">
        <f t="shared" si="1182"/>
        <v>0</v>
      </c>
      <c r="GL156" s="91">
        <f t="shared" si="1183"/>
        <v>0</v>
      </c>
      <c r="HA156" s="91">
        <f t="shared" si="1184"/>
        <v>0</v>
      </c>
      <c r="HB156" s="91">
        <f t="shared" si="1185"/>
        <v>0</v>
      </c>
      <c r="HQ156" s="91">
        <f t="shared" si="1186"/>
        <v>0</v>
      </c>
      <c r="HR156" s="91">
        <f t="shared" si="1187"/>
        <v>0</v>
      </c>
      <c r="IG156" s="91">
        <f t="shared" si="1188"/>
        <v>0</v>
      </c>
      <c r="IH156" s="91">
        <f t="shared" si="1189"/>
        <v>0</v>
      </c>
      <c r="IW156" s="91">
        <f t="shared" si="1190"/>
        <v>0</v>
      </c>
      <c r="IX156" s="91">
        <f t="shared" si="1191"/>
        <v>0</v>
      </c>
      <c r="JM156" s="91">
        <f t="shared" si="1192"/>
        <v>0</v>
      </c>
      <c r="JN156" s="91">
        <f t="shared" si="1193"/>
        <v>0</v>
      </c>
      <c r="KC156" s="91">
        <f t="shared" si="1194"/>
        <v>0</v>
      </c>
      <c r="KD156" s="91">
        <f t="shared" si="1195"/>
        <v>0</v>
      </c>
      <c r="KS156" s="91">
        <f t="shared" si="1196"/>
        <v>0</v>
      </c>
      <c r="KT156" s="91">
        <f t="shared" si="1197"/>
        <v>0</v>
      </c>
      <c r="LI156" s="91">
        <f t="shared" si="1198"/>
        <v>0</v>
      </c>
      <c r="LJ156" s="91">
        <f t="shared" si="1199"/>
        <v>0</v>
      </c>
      <c r="LY156" s="91">
        <f t="shared" si="1200"/>
        <v>0</v>
      </c>
      <c r="LZ156" s="91">
        <f t="shared" si="1201"/>
        <v>0</v>
      </c>
      <c r="MO156" s="91">
        <f t="shared" si="1202"/>
        <v>0</v>
      </c>
      <c r="MP156" s="91">
        <f t="shared" si="1203"/>
        <v>0</v>
      </c>
      <c r="NE156" s="91">
        <f t="shared" si="1204"/>
        <v>0</v>
      </c>
      <c r="NF156" s="91">
        <f t="shared" si="1205"/>
        <v>0</v>
      </c>
      <c r="NI156" s="98">
        <v>158900</v>
      </c>
      <c r="NJ156" s="98">
        <v>6356000</v>
      </c>
      <c r="NU156" s="91">
        <f t="shared" si="1206"/>
        <v>158900</v>
      </c>
      <c r="NV156" s="91">
        <f t="shared" si="1207"/>
        <v>6356000</v>
      </c>
      <c r="OK156" s="91">
        <f t="shared" si="1208"/>
        <v>0</v>
      </c>
      <c r="OL156" s="91">
        <f t="shared" si="1209"/>
        <v>0</v>
      </c>
      <c r="PA156" s="91">
        <f t="shared" si="1210"/>
        <v>0</v>
      </c>
      <c r="PB156" s="91">
        <f t="shared" si="1211"/>
        <v>0</v>
      </c>
      <c r="PQ156" s="91">
        <f t="shared" si="1212"/>
        <v>0</v>
      </c>
      <c r="PR156" s="91">
        <f t="shared" si="1213"/>
        <v>0</v>
      </c>
      <c r="QG156" s="91">
        <f t="shared" si="1214"/>
        <v>0</v>
      </c>
      <c r="QH156" s="91">
        <f t="shared" si="1215"/>
        <v>0</v>
      </c>
      <c r="QW156" s="91">
        <f t="shared" si="1216"/>
        <v>0</v>
      </c>
      <c r="QX156" s="91">
        <f t="shared" si="1217"/>
        <v>0</v>
      </c>
      <c r="RM156" s="91">
        <f t="shared" si="1218"/>
        <v>0</v>
      </c>
      <c r="RN156" s="91">
        <f t="shared" si="1219"/>
        <v>0</v>
      </c>
      <c r="SC156" s="91">
        <f t="shared" si="1220"/>
        <v>0</v>
      </c>
      <c r="SD156" s="91">
        <f t="shared" si="1221"/>
        <v>0</v>
      </c>
      <c r="SS156" s="91">
        <f t="shared" si="1222"/>
        <v>0</v>
      </c>
      <c r="ST156" s="91">
        <f t="shared" si="1223"/>
        <v>0</v>
      </c>
      <c r="TI156" s="91">
        <f t="shared" si="1224"/>
        <v>0</v>
      </c>
      <c r="TJ156" s="91">
        <f t="shared" si="1225"/>
        <v>0</v>
      </c>
      <c r="TY156" s="91">
        <f t="shared" si="1226"/>
        <v>0</v>
      </c>
      <c r="TZ156" s="91">
        <f t="shared" si="1227"/>
        <v>0</v>
      </c>
      <c r="UO156" s="91">
        <f t="shared" si="1228"/>
        <v>0</v>
      </c>
      <c r="UP156" s="91">
        <f t="shared" si="1229"/>
        <v>0</v>
      </c>
      <c r="VE156" s="91">
        <f t="shared" si="1230"/>
        <v>0</v>
      </c>
      <c r="VF156" s="91">
        <f t="shared" si="1231"/>
        <v>0</v>
      </c>
      <c r="VU156" s="91">
        <f t="shared" si="1232"/>
        <v>0</v>
      </c>
      <c r="VV156" s="91">
        <f t="shared" si="1233"/>
        <v>0</v>
      </c>
      <c r="WK156" s="91">
        <f t="shared" si="1234"/>
        <v>0</v>
      </c>
      <c r="WL156" s="91">
        <f t="shared" si="1235"/>
        <v>0</v>
      </c>
      <c r="WM156" s="89"/>
      <c r="WN156" s="87">
        <f t="shared" ref="WN156:WN164" si="1286">SUMIF($C$5:$WL$5,$WN$5,C156:WL156)</f>
        <v>0</v>
      </c>
      <c r="WO156" s="87">
        <f t="shared" ref="WO156:WO164" si="1287">SUMIF($C$5:$WL$5,$WO$5,C156:WL156)</f>
        <v>0</v>
      </c>
      <c r="WP156" s="87">
        <f t="shared" ref="WP156:WP164" si="1288">SUMIF($C$5:$WL$5,$WP$5,C156:WL156)</f>
        <v>158900</v>
      </c>
      <c r="WQ156" s="87">
        <f t="shared" ref="WQ156:WQ164" si="1289">SUMIF($C$5:$WL$5,$WQ$5,C156:WL156)</f>
        <v>6356000</v>
      </c>
      <c r="WR156" s="87">
        <f t="shared" ref="WR156:WR164" si="1290">SUMIF($C$5:$WL$5,$WR$5,C156:WL156)</f>
        <v>0</v>
      </c>
      <c r="WS156" s="87">
        <f t="shared" ref="WS156:WS164" si="1291">SUMIF($C$5:$WL$5,$WS$5,C156:WL156)</f>
        <v>0</v>
      </c>
      <c r="WT156" s="87">
        <f t="shared" ref="WT156:WT164" si="1292">SUMIF($C$5:$WL$5,$WT$5,C156:WL156)</f>
        <v>0</v>
      </c>
      <c r="WU156" s="87">
        <f t="shared" ref="WU156:WU164" si="1293">SUMIF($C$5:$WL$5,$WU$5,C156:WL156)</f>
        <v>0</v>
      </c>
      <c r="WV156" s="87">
        <f t="shared" ref="WV156:WV164" si="1294">SUMIF($C$5:$WL$5,$WV$5,C156:WL156)</f>
        <v>0</v>
      </c>
      <c r="WW156" s="87">
        <f t="shared" ref="WW156:WW164" si="1295">SUMIF($C$5:$WL$5,$WW$5,C156:WL156)</f>
        <v>0</v>
      </c>
      <c r="WX156" s="87">
        <f t="shared" ref="WX156:WX164" si="1296">SUMIF($C$5:$WL$5,$WX$5,C156:WL156)</f>
        <v>0</v>
      </c>
      <c r="WY156" s="87">
        <f t="shared" ref="WY156:WY164" si="1297">SUMIF($C$5:$WL$5,$WY$5,C156:WL156)</f>
        <v>0</v>
      </c>
      <c r="WZ156" s="87">
        <f t="shared" si="1278"/>
        <v>0</v>
      </c>
      <c r="XA156" s="87">
        <f t="shared" si="1279"/>
        <v>0</v>
      </c>
      <c r="XB156" s="92">
        <f t="shared" ref="XB156:XB164" si="1298">SUMIF($WN$12:$XA$12,$XB$12,WN156:XA156)</f>
        <v>158900</v>
      </c>
      <c r="XC156" s="92">
        <f t="shared" ref="XC156:XC164" si="1299">SUMIF($WN$12:$XA$12,$XC$12,WN156:XA156)</f>
        <v>6356000</v>
      </c>
      <c r="XD156" s="89"/>
      <c r="XE156" s="92">
        <f t="shared" ref="XE156:XF156" si="1300">SUM(XB384,XB422,XB460)</f>
        <v>352201</v>
      </c>
      <c r="XF156" s="92">
        <f t="shared" si="1300"/>
        <v>14088040</v>
      </c>
      <c r="XG156" s="89"/>
      <c r="XH156" s="92"/>
      <c r="XI156" s="92"/>
      <c r="XJ156" s="89"/>
      <c r="XK156" s="87"/>
      <c r="XL156" s="87"/>
      <c r="XM156" s="87"/>
      <c r="XN156" s="87"/>
      <c r="XO156" s="87"/>
      <c r="XP156" s="87"/>
      <c r="XQ156" s="87"/>
      <c r="XR156" s="92">
        <f t="shared" ca="1" si="1252"/>
        <v>0</v>
      </c>
      <c r="XS156" s="89"/>
      <c r="XT156" s="87"/>
      <c r="XU156" s="87"/>
      <c r="XV156" s="87"/>
      <c r="XW156" s="87"/>
      <c r="XX156" s="87"/>
      <c r="XY156" s="87"/>
      <c r="XZ156" s="87"/>
      <c r="YA156" s="92">
        <f t="shared" ca="1" si="1253"/>
        <v>0</v>
      </c>
      <c r="YB156" s="90"/>
      <c r="YC156" s="90"/>
      <c r="YD156" s="90"/>
      <c r="YE156" s="90"/>
      <c r="YF156" s="90"/>
      <c r="YG156" s="90"/>
      <c r="YH156" s="90"/>
      <c r="YI156" s="90"/>
      <c r="YJ156" s="90"/>
      <c r="YK156" s="90"/>
      <c r="YL156" s="90"/>
      <c r="YM156" s="90"/>
      <c r="YN156" s="90"/>
      <c r="YO156" s="90"/>
      <c r="YP156" s="90"/>
      <c r="YQ156" s="90"/>
      <c r="YR156" s="90"/>
      <c r="YS156" s="90"/>
      <c r="YT156" s="90"/>
      <c r="YU156" s="90"/>
      <c r="YV156" s="90"/>
      <c r="YW156" s="90"/>
      <c r="YX156" s="90"/>
      <c r="YY156" s="90"/>
      <c r="YZ156" s="90"/>
      <c r="ZA156" s="90"/>
      <c r="ZB156" s="90"/>
      <c r="ZC156" s="90"/>
      <c r="ZD156" s="90"/>
      <c r="ZE156" s="90"/>
      <c r="ZF156" s="90"/>
      <c r="ZG156" s="90"/>
      <c r="ZH156" s="90"/>
      <c r="ZI156" s="90"/>
      <c r="ZJ156" s="90"/>
      <c r="ZK156" s="90"/>
      <c r="ZL156" s="90"/>
      <c r="ZM156" s="90"/>
      <c r="ZN156" s="90"/>
      <c r="ZO156" s="90"/>
      <c r="ZP156" s="90"/>
      <c r="ZQ156" s="90"/>
      <c r="ZR156" s="90"/>
      <c r="ZS156" s="90"/>
      <c r="ZT156" s="90"/>
      <c r="ZU156" s="90"/>
      <c r="ZV156" s="90"/>
      <c r="ZW156" s="90"/>
      <c r="ZX156" s="90"/>
      <c r="ZY156" s="90"/>
      <c r="ZZ156" s="90"/>
      <c r="AAA156" s="90"/>
      <c r="AAB156" s="90"/>
      <c r="AAC156" s="90"/>
      <c r="AAD156" s="90"/>
      <c r="AAE156" s="90"/>
      <c r="AAF156" s="90"/>
      <c r="AAG156" s="90"/>
      <c r="AAH156" s="90"/>
      <c r="AAI156" s="90"/>
      <c r="AAJ156" s="90"/>
      <c r="AAK156" s="90"/>
      <c r="AAL156" s="90"/>
      <c r="AAM156" s="90"/>
      <c r="AAN156" s="90"/>
      <c r="AAO156" s="90"/>
      <c r="AAP156" s="90"/>
      <c r="AAQ156" s="90"/>
      <c r="AAR156" s="90"/>
      <c r="AAS156" s="90"/>
      <c r="AAT156" s="90"/>
      <c r="AAU156" s="90"/>
      <c r="AAV156" s="90"/>
      <c r="AAW156" s="90"/>
      <c r="AAX156" s="90"/>
      <c r="AAY156" s="90"/>
      <c r="AAZ156" s="90"/>
      <c r="ABA156" s="90"/>
      <c r="ABB156" s="90"/>
      <c r="ABC156" s="90"/>
      <c r="ABD156" s="90"/>
      <c r="ABE156" s="90"/>
      <c r="ABF156" s="90"/>
      <c r="ABG156" s="90"/>
      <c r="ABH156" s="90"/>
      <c r="ABI156" s="90"/>
      <c r="ABJ156" s="90"/>
      <c r="ABK156" s="90"/>
      <c r="ABL156" s="90"/>
      <c r="ABM156" s="90"/>
      <c r="ABN156" s="90"/>
      <c r="ABO156" s="90"/>
      <c r="ABP156" s="90"/>
      <c r="ABQ156" s="90"/>
      <c r="ABR156" s="90"/>
      <c r="ABS156" s="90"/>
      <c r="ABT156" s="90"/>
      <c r="ABU156" s="90"/>
      <c r="ABV156" s="90"/>
      <c r="ABW156" s="90"/>
      <c r="ABX156" s="90"/>
      <c r="ABY156" s="90"/>
      <c r="ABZ156" s="90"/>
      <c r="ACA156" s="90"/>
      <c r="ACB156" s="90"/>
      <c r="ACC156" s="90"/>
      <c r="ACD156" s="90"/>
      <c r="ACE156" s="90"/>
      <c r="ACF156" s="90"/>
      <c r="ACG156" s="90"/>
      <c r="ACH156" s="90"/>
      <c r="ACI156" s="90"/>
      <c r="ACJ156" s="90"/>
      <c r="ACK156" s="90"/>
      <c r="ACL156" s="90"/>
      <c r="ACM156" s="90"/>
      <c r="ACN156" s="90"/>
      <c r="ACO156" s="90"/>
      <c r="ACP156" s="90"/>
      <c r="ACQ156" s="90"/>
      <c r="ACR156" s="90"/>
      <c r="ACS156" s="90"/>
      <c r="ACT156" s="90"/>
      <c r="ACU156" s="90"/>
      <c r="ACV156" s="90"/>
      <c r="ACW156" s="90"/>
      <c r="ACX156" s="90"/>
      <c r="ACY156" s="90"/>
      <c r="ACZ156" s="90"/>
      <c r="ADA156" s="90"/>
      <c r="ADB156" s="90"/>
      <c r="ADC156" s="90"/>
      <c r="ADD156" s="90"/>
      <c r="ADE156" s="90"/>
      <c r="ADF156" s="90"/>
      <c r="ADG156" s="90"/>
      <c r="ADH156" s="90"/>
      <c r="ADI156" s="90"/>
      <c r="ADJ156" s="90"/>
      <c r="ADK156" s="90"/>
      <c r="ADL156" s="90"/>
      <c r="ADM156" s="90"/>
      <c r="ADN156" s="90"/>
      <c r="ADO156" s="90"/>
      <c r="ADP156" s="90"/>
      <c r="ADQ156" s="90"/>
      <c r="ADR156" s="90"/>
      <c r="ADS156" s="90"/>
      <c r="ADT156" s="90"/>
      <c r="ADU156" s="90"/>
      <c r="ADV156" s="90"/>
      <c r="ADW156" s="90"/>
      <c r="ADX156" s="90"/>
      <c r="ADY156" s="90"/>
      <c r="ADZ156" s="90"/>
      <c r="AEA156" s="90"/>
      <c r="AEB156" s="90"/>
      <c r="AEC156" s="90"/>
      <c r="AED156" s="90"/>
      <c r="AEE156" s="90"/>
      <c r="AEF156" s="90"/>
      <c r="AEG156" s="90"/>
      <c r="AEH156" s="90"/>
      <c r="AEI156" s="90"/>
      <c r="AEJ156" s="90"/>
      <c r="AEK156" s="90"/>
      <c r="AEL156" s="90"/>
      <c r="AEM156" s="90"/>
      <c r="AEN156" s="90"/>
      <c r="AEO156" s="90"/>
      <c r="AEP156" s="90"/>
      <c r="AEQ156" s="90"/>
      <c r="AER156" s="90"/>
      <c r="AES156" s="90"/>
      <c r="AET156" s="90"/>
      <c r="AEU156" s="90"/>
      <c r="AEV156" s="90"/>
      <c r="AEW156" s="90"/>
      <c r="AEX156" s="90"/>
      <c r="AEY156" s="90"/>
      <c r="AEZ156" s="90"/>
      <c r="AFA156" s="90"/>
      <c r="AFB156" s="90"/>
      <c r="AFC156" s="90"/>
      <c r="AFD156" s="90"/>
      <c r="AFE156" s="90"/>
      <c r="AFF156" s="90"/>
      <c r="AFG156" s="90"/>
      <c r="AFH156" s="90"/>
      <c r="AFI156" s="90"/>
      <c r="AFJ156" s="90"/>
      <c r="AFK156" s="90"/>
      <c r="AFL156" s="90"/>
      <c r="AFM156" s="90"/>
      <c r="AFN156" s="90"/>
      <c r="AFO156" s="90"/>
      <c r="AFP156" s="90"/>
      <c r="AFQ156" s="90"/>
      <c r="AFR156" s="90"/>
      <c r="AFS156" s="90"/>
      <c r="AFT156" s="90"/>
      <c r="AFU156" s="90"/>
      <c r="AFV156" s="90"/>
      <c r="AFW156" s="90"/>
      <c r="AFX156" s="90"/>
      <c r="AFY156" s="90"/>
      <c r="AFZ156" s="90"/>
      <c r="AGA156" s="90"/>
      <c r="AGB156" s="90"/>
      <c r="AGC156" s="90"/>
      <c r="AGD156" s="90"/>
      <c r="AGE156" s="90"/>
      <c r="AGF156" s="90"/>
      <c r="AGG156" s="90"/>
      <c r="AGH156" s="90"/>
      <c r="AGI156" s="90"/>
      <c r="AGJ156" s="90"/>
      <c r="AGK156" s="90"/>
      <c r="AGL156" s="90"/>
      <c r="AGM156" s="90"/>
      <c r="AGN156" s="90"/>
      <c r="AGO156" s="90"/>
      <c r="AGP156" s="90"/>
      <c r="AGQ156" s="90"/>
      <c r="AGR156" s="90"/>
      <c r="AGS156" s="90"/>
      <c r="AGT156" s="90"/>
      <c r="AGU156" s="90"/>
      <c r="AGV156" s="90"/>
      <c r="AGW156" s="90"/>
      <c r="AGX156" s="90"/>
      <c r="AGY156" s="90"/>
      <c r="AGZ156" s="90"/>
      <c r="AHA156" s="90"/>
      <c r="AHB156" s="90"/>
      <c r="AHC156" s="90"/>
      <c r="AHD156" s="90"/>
      <c r="AHE156" s="90"/>
      <c r="AHF156" s="90"/>
      <c r="AHG156" s="90"/>
      <c r="AHH156" s="90"/>
      <c r="AHI156" s="90"/>
      <c r="AHJ156" s="90"/>
      <c r="AHK156" s="90"/>
      <c r="AHL156" s="90"/>
      <c r="AHM156" s="90"/>
      <c r="AHN156" s="90"/>
      <c r="AHO156" s="90"/>
      <c r="AHP156" s="90"/>
      <c r="AHQ156" s="90"/>
      <c r="AHR156" s="90"/>
      <c r="AHS156" s="90"/>
      <c r="AHT156" s="90"/>
      <c r="AHU156" s="90"/>
      <c r="AHV156" s="90"/>
      <c r="AHW156" s="90"/>
      <c r="AHX156" s="90"/>
      <c r="AHY156" s="90"/>
      <c r="AHZ156" s="90"/>
      <c r="AIA156" s="90"/>
      <c r="AIB156" s="90"/>
      <c r="AIC156" s="90"/>
      <c r="AID156" s="90"/>
      <c r="AIE156" s="90"/>
      <c r="AIF156" s="90"/>
      <c r="AIG156" s="90"/>
      <c r="AIH156" s="90"/>
      <c r="AII156" s="90"/>
      <c r="AIJ156" s="90"/>
      <c r="AIK156" s="90"/>
      <c r="AIL156" s="90"/>
      <c r="AIM156" s="90"/>
      <c r="AIN156" s="90"/>
      <c r="AIO156" s="90"/>
      <c r="AIP156" s="90"/>
      <c r="AIQ156" s="90"/>
      <c r="AIR156" s="90"/>
      <c r="AIS156" s="90"/>
      <c r="AIT156" s="90"/>
      <c r="AIU156" s="90"/>
      <c r="AIV156" s="90"/>
      <c r="AIW156" s="90"/>
      <c r="AIX156" s="90"/>
      <c r="AIY156" s="90"/>
      <c r="AIZ156" s="90"/>
      <c r="AJA156" s="90"/>
      <c r="AJB156" s="90"/>
      <c r="AJC156" s="90"/>
      <c r="AJD156" s="90"/>
      <c r="AJE156" s="90"/>
      <c r="AJF156" s="90"/>
      <c r="AJG156" s="90"/>
      <c r="AJH156" s="90"/>
      <c r="AJI156" s="90"/>
      <c r="AJJ156" s="90"/>
      <c r="AJK156" s="90"/>
      <c r="AJL156" s="90"/>
      <c r="AJM156" s="90"/>
      <c r="AJN156" s="90"/>
      <c r="AJO156" s="90"/>
      <c r="AJP156" s="90"/>
      <c r="AJQ156" s="90"/>
      <c r="AJR156" s="90"/>
      <c r="AJS156" s="90"/>
      <c r="AJT156" s="90"/>
      <c r="AJU156" s="90"/>
      <c r="AJV156" s="90"/>
      <c r="AJW156" s="90"/>
      <c r="AJX156" s="90"/>
      <c r="AJY156" s="90"/>
      <c r="AJZ156" s="90"/>
      <c r="AKA156" s="90"/>
      <c r="AKB156" s="90"/>
      <c r="AKC156" s="90"/>
      <c r="AKD156" s="90"/>
      <c r="AKE156" s="90"/>
      <c r="AKF156" s="90"/>
      <c r="AKG156" s="90"/>
      <c r="AKH156" s="90"/>
      <c r="AKI156" s="90"/>
      <c r="AKJ156" s="90"/>
      <c r="AKK156" s="90"/>
      <c r="AKL156" s="90"/>
      <c r="AKM156" s="90"/>
      <c r="AKN156" s="90"/>
      <c r="AKO156" s="90"/>
      <c r="AKP156" s="90"/>
      <c r="AKQ156" s="90"/>
      <c r="AKR156" s="90"/>
      <c r="AKS156" s="90"/>
      <c r="AKT156" s="90"/>
      <c r="AKU156" s="90"/>
      <c r="AKV156" s="90"/>
      <c r="AKW156" s="90"/>
      <c r="AKX156" s="90"/>
      <c r="AKY156" s="90"/>
      <c r="AKZ156" s="90"/>
      <c r="ALA156" s="90"/>
      <c r="ALB156" s="90"/>
      <c r="ALC156" s="90"/>
      <c r="ALD156" s="90"/>
      <c r="ALE156" s="90"/>
      <c r="ALF156" s="90"/>
      <c r="ALG156" s="90"/>
      <c r="ALH156" s="90"/>
      <c r="ALI156" s="90"/>
      <c r="ALJ156" s="90"/>
      <c r="ALK156" s="90"/>
      <c r="ALL156" s="90"/>
      <c r="ALM156" s="90"/>
      <c r="ALN156" s="90"/>
      <c r="ALO156" s="90"/>
      <c r="ALP156" s="90"/>
      <c r="ALQ156" s="90"/>
      <c r="ALR156" s="90"/>
      <c r="ALS156" s="90"/>
      <c r="ALT156" s="90"/>
      <c r="ALU156" s="90"/>
      <c r="ALV156" s="90"/>
      <c r="ALW156" s="90"/>
      <c r="ALX156" s="90"/>
      <c r="ALY156" s="90"/>
      <c r="ALZ156" s="90"/>
      <c r="AMA156" s="90"/>
      <c r="AMB156" s="90"/>
      <c r="AMC156" s="90"/>
    </row>
    <row r="157" spans="1:1017">
      <c r="A157" s="98" t="s">
        <v>48</v>
      </c>
      <c r="B157" s="90" t="str">
        <f t="shared" si="1284"/>
        <v xml:space="preserve">Belut Sawah </v>
      </c>
      <c r="Q157" s="91">
        <f t="shared" si="1160"/>
        <v>0</v>
      </c>
      <c r="R157" s="91">
        <f t="shared" si="1161"/>
        <v>0</v>
      </c>
      <c r="AG157" s="91">
        <f t="shared" si="1162"/>
        <v>0</v>
      </c>
      <c r="AH157" s="91">
        <f t="shared" si="1163"/>
        <v>0</v>
      </c>
      <c r="AW157" s="91">
        <f t="shared" si="1164"/>
        <v>0</v>
      </c>
      <c r="AX157" s="91">
        <f t="shared" si="1165"/>
        <v>0</v>
      </c>
      <c r="BM157" s="91">
        <f t="shared" si="1166"/>
        <v>0</v>
      </c>
      <c r="BN157" s="91">
        <f t="shared" si="1167"/>
        <v>0</v>
      </c>
      <c r="CC157" s="91">
        <f t="shared" si="1168"/>
        <v>0</v>
      </c>
      <c r="CD157" s="91">
        <f t="shared" si="1169"/>
        <v>0</v>
      </c>
      <c r="CS157" s="91">
        <f t="shared" si="1254"/>
        <v>0</v>
      </c>
      <c r="CT157" s="91">
        <f t="shared" si="1255"/>
        <v>0</v>
      </c>
      <c r="DI157" s="91">
        <f t="shared" si="1172"/>
        <v>0</v>
      </c>
      <c r="DJ157" s="91">
        <f t="shared" si="1173"/>
        <v>0</v>
      </c>
      <c r="DY157" s="91">
        <f t="shared" si="1174"/>
        <v>0</v>
      </c>
      <c r="DZ157" s="91">
        <f t="shared" si="1175"/>
        <v>0</v>
      </c>
      <c r="EO157" s="91">
        <f t="shared" si="1176"/>
        <v>0</v>
      </c>
      <c r="EP157" s="91">
        <f t="shared" si="1177"/>
        <v>0</v>
      </c>
      <c r="FE157" s="91">
        <f t="shared" si="1178"/>
        <v>0</v>
      </c>
      <c r="FF157" s="91">
        <f t="shared" si="1179"/>
        <v>0</v>
      </c>
      <c r="FU157" s="91">
        <f t="shared" si="1180"/>
        <v>0</v>
      </c>
      <c r="FV157" s="91">
        <f t="shared" si="1181"/>
        <v>0</v>
      </c>
      <c r="GK157" s="91">
        <f t="shared" si="1182"/>
        <v>0</v>
      </c>
      <c r="GL157" s="91">
        <f t="shared" si="1183"/>
        <v>0</v>
      </c>
      <c r="HA157" s="91">
        <f t="shared" si="1184"/>
        <v>0</v>
      </c>
      <c r="HB157" s="91">
        <f t="shared" si="1185"/>
        <v>0</v>
      </c>
      <c r="HQ157" s="91">
        <f t="shared" si="1186"/>
        <v>0</v>
      </c>
      <c r="HR157" s="91">
        <f t="shared" si="1187"/>
        <v>0</v>
      </c>
      <c r="IG157" s="91">
        <f t="shared" si="1188"/>
        <v>0</v>
      </c>
      <c r="IH157" s="91">
        <f t="shared" si="1189"/>
        <v>0</v>
      </c>
      <c r="IW157" s="91">
        <f t="shared" si="1190"/>
        <v>0</v>
      </c>
      <c r="IX157" s="91">
        <f t="shared" si="1191"/>
        <v>0</v>
      </c>
      <c r="JM157" s="91">
        <f t="shared" si="1192"/>
        <v>0</v>
      </c>
      <c r="JN157" s="91">
        <f t="shared" si="1193"/>
        <v>0</v>
      </c>
      <c r="KC157" s="91">
        <f t="shared" si="1194"/>
        <v>0</v>
      </c>
      <c r="KD157" s="91">
        <f t="shared" si="1195"/>
        <v>0</v>
      </c>
      <c r="KS157" s="91">
        <f t="shared" si="1196"/>
        <v>0</v>
      </c>
      <c r="KT157" s="91">
        <f t="shared" si="1197"/>
        <v>0</v>
      </c>
      <c r="LI157" s="91">
        <f t="shared" si="1198"/>
        <v>0</v>
      </c>
      <c r="LJ157" s="91">
        <f t="shared" si="1199"/>
        <v>0</v>
      </c>
      <c r="LY157" s="91">
        <f t="shared" si="1200"/>
        <v>0</v>
      </c>
      <c r="LZ157" s="91">
        <f t="shared" si="1201"/>
        <v>0</v>
      </c>
      <c r="MO157" s="91">
        <f t="shared" si="1202"/>
        <v>0</v>
      </c>
      <c r="MP157" s="91">
        <f t="shared" si="1203"/>
        <v>0</v>
      </c>
      <c r="NE157" s="91">
        <f t="shared" si="1204"/>
        <v>0</v>
      </c>
      <c r="NF157" s="91">
        <f t="shared" si="1205"/>
        <v>0</v>
      </c>
      <c r="NU157" s="91">
        <f t="shared" si="1206"/>
        <v>0</v>
      </c>
      <c r="NV157" s="91">
        <f t="shared" si="1207"/>
        <v>0</v>
      </c>
      <c r="OK157" s="91">
        <f t="shared" si="1208"/>
        <v>0</v>
      </c>
      <c r="OL157" s="91">
        <f t="shared" si="1209"/>
        <v>0</v>
      </c>
      <c r="PA157" s="91">
        <f t="shared" si="1210"/>
        <v>0</v>
      </c>
      <c r="PB157" s="91">
        <f t="shared" si="1211"/>
        <v>0</v>
      </c>
      <c r="PQ157" s="91">
        <f t="shared" si="1212"/>
        <v>0</v>
      </c>
      <c r="PR157" s="91">
        <f t="shared" si="1213"/>
        <v>0</v>
      </c>
      <c r="QG157" s="91">
        <f t="shared" si="1214"/>
        <v>0</v>
      </c>
      <c r="QH157" s="91">
        <f t="shared" si="1215"/>
        <v>0</v>
      </c>
      <c r="QW157" s="91">
        <f t="shared" si="1216"/>
        <v>0</v>
      </c>
      <c r="QX157" s="91">
        <f t="shared" si="1217"/>
        <v>0</v>
      </c>
      <c r="RM157" s="91">
        <f t="shared" si="1218"/>
        <v>0</v>
      </c>
      <c r="RN157" s="91">
        <f t="shared" si="1219"/>
        <v>0</v>
      </c>
      <c r="SC157" s="91">
        <f t="shared" si="1220"/>
        <v>0</v>
      </c>
      <c r="SD157" s="91">
        <f t="shared" si="1221"/>
        <v>0</v>
      </c>
      <c r="SS157" s="91">
        <f t="shared" si="1222"/>
        <v>0</v>
      </c>
      <c r="ST157" s="91">
        <f t="shared" si="1223"/>
        <v>0</v>
      </c>
      <c r="TI157" s="91">
        <f t="shared" si="1224"/>
        <v>0</v>
      </c>
      <c r="TJ157" s="91">
        <f t="shared" si="1225"/>
        <v>0</v>
      </c>
      <c r="TY157" s="91">
        <f t="shared" si="1226"/>
        <v>0</v>
      </c>
      <c r="TZ157" s="91">
        <f t="shared" si="1227"/>
        <v>0</v>
      </c>
      <c r="UO157" s="91">
        <f t="shared" si="1228"/>
        <v>0</v>
      </c>
      <c r="UP157" s="91">
        <f t="shared" si="1229"/>
        <v>0</v>
      </c>
      <c r="VE157" s="91">
        <f t="shared" si="1230"/>
        <v>0</v>
      </c>
      <c r="VF157" s="91">
        <f t="shared" si="1231"/>
        <v>0</v>
      </c>
      <c r="VU157" s="91">
        <f t="shared" si="1232"/>
        <v>0</v>
      </c>
      <c r="VV157" s="91">
        <f t="shared" si="1233"/>
        <v>0</v>
      </c>
      <c r="WK157" s="91">
        <f t="shared" si="1234"/>
        <v>0</v>
      </c>
      <c r="WL157" s="91">
        <f t="shared" si="1235"/>
        <v>0</v>
      </c>
      <c r="WM157" s="89"/>
      <c r="WN157" s="87">
        <f t="shared" si="1286"/>
        <v>0</v>
      </c>
      <c r="WO157" s="87">
        <f t="shared" si="1287"/>
        <v>0</v>
      </c>
      <c r="WP157" s="87">
        <f t="shared" si="1288"/>
        <v>0</v>
      </c>
      <c r="WQ157" s="87">
        <f t="shared" si="1289"/>
        <v>0</v>
      </c>
      <c r="WR157" s="87">
        <f t="shared" si="1290"/>
        <v>0</v>
      </c>
      <c r="WS157" s="87">
        <f t="shared" si="1291"/>
        <v>0</v>
      </c>
      <c r="WT157" s="87">
        <f t="shared" si="1292"/>
        <v>0</v>
      </c>
      <c r="WU157" s="87">
        <f t="shared" si="1293"/>
        <v>0</v>
      </c>
      <c r="WV157" s="87">
        <f t="shared" si="1294"/>
        <v>0</v>
      </c>
      <c r="WW157" s="87">
        <f t="shared" si="1295"/>
        <v>0</v>
      </c>
      <c r="WX157" s="87">
        <f t="shared" si="1296"/>
        <v>0</v>
      </c>
      <c r="WY157" s="87">
        <f t="shared" si="1297"/>
        <v>0</v>
      </c>
      <c r="WZ157" s="87">
        <f t="shared" si="1278"/>
        <v>0</v>
      </c>
      <c r="XA157" s="87">
        <f t="shared" si="1279"/>
        <v>0</v>
      </c>
      <c r="XB157" s="92">
        <f t="shared" si="1298"/>
        <v>0</v>
      </c>
      <c r="XC157" s="92">
        <f t="shared" si="1299"/>
        <v>0</v>
      </c>
      <c r="XD157" s="89"/>
      <c r="XE157" s="92">
        <f t="shared" ref="XE157:XF157" si="1301">SUM(XB385,XB423,XB461)</f>
        <v>200</v>
      </c>
      <c r="XF157" s="92">
        <f t="shared" si="1301"/>
        <v>15000</v>
      </c>
      <c r="XG157" s="89"/>
      <c r="XH157" s="92"/>
      <c r="XI157" s="92"/>
      <c r="XJ157" s="89"/>
      <c r="XK157" s="87"/>
      <c r="XL157" s="87"/>
      <c r="XM157" s="87"/>
      <c r="XN157" s="87"/>
      <c r="XO157" s="87"/>
      <c r="XP157" s="87"/>
      <c r="XQ157" s="87"/>
      <c r="XR157" s="92">
        <f t="shared" ca="1" si="1252"/>
        <v>0</v>
      </c>
      <c r="XS157" s="89"/>
      <c r="XT157" s="87"/>
      <c r="XU157" s="87"/>
      <c r="XV157" s="87"/>
      <c r="XW157" s="87"/>
      <c r="XX157" s="87"/>
      <c r="XY157" s="87"/>
      <c r="XZ157" s="87"/>
      <c r="YA157" s="92">
        <f t="shared" ca="1" si="1253"/>
        <v>0</v>
      </c>
      <c r="YB157" s="90"/>
      <c r="YC157" s="90"/>
      <c r="YD157" s="90"/>
      <c r="YE157" s="90"/>
      <c r="YF157" s="90"/>
      <c r="YG157" s="90"/>
      <c r="YH157" s="90"/>
      <c r="YI157" s="90"/>
      <c r="YJ157" s="90"/>
      <c r="YK157" s="90"/>
      <c r="YL157" s="90"/>
      <c r="YM157" s="90"/>
      <c r="YN157" s="90"/>
      <c r="YO157" s="90"/>
      <c r="YP157" s="90"/>
      <c r="YQ157" s="90"/>
      <c r="YR157" s="90"/>
      <c r="YS157" s="90"/>
      <c r="YT157" s="90"/>
      <c r="YU157" s="90"/>
      <c r="YV157" s="90"/>
      <c r="YW157" s="90"/>
      <c r="YX157" s="90"/>
      <c r="YY157" s="90"/>
      <c r="YZ157" s="90"/>
      <c r="ZA157" s="90"/>
      <c r="ZB157" s="90"/>
      <c r="ZC157" s="90"/>
      <c r="ZD157" s="90"/>
      <c r="ZE157" s="90"/>
      <c r="ZF157" s="90"/>
      <c r="ZG157" s="90"/>
      <c r="ZH157" s="90"/>
      <c r="ZI157" s="90"/>
      <c r="ZJ157" s="90"/>
      <c r="ZK157" s="90"/>
      <c r="ZL157" s="90"/>
      <c r="ZM157" s="90"/>
      <c r="ZN157" s="90"/>
      <c r="ZO157" s="90"/>
      <c r="ZP157" s="90"/>
      <c r="ZQ157" s="90"/>
      <c r="ZR157" s="90"/>
      <c r="ZS157" s="90"/>
      <c r="ZT157" s="90"/>
      <c r="ZU157" s="90"/>
      <c r="ZV157" s="90"/>
      <c r="ZW157" s="90"/>
      <c r="ZX157" s="90"/>
      <c r="ZY157" s="90"/>
      <c r="ZZ157" s="90"/>
      <c r="AAA157" s="90"/>
      <c r="AAB157" s="90"/>
      <c r="AAC157" s="90"/>
      <c r="AAD157" s="90"/>
      <c r="AAE157" s="90"/>
      <c r="AAF157" s="90"/>
      <c r="AAG157" s="90"/>
      <c r="AAH157" s="90"/>
      <c r="AAI157" s="90"/>
      <c r="AAJ157" s="90"/>
      <c r="AAK157" s="90"/>
      <c r="AAL157" s="90"/>
      <c r="AAM157" s="90"/>
      <c r="AAN157" s="90"/>
      <c r="AAO157" s="90"/>
      <c r="AAP157" s="90"/>
      <c r="AAQ157" s="90"/>
      <c r="AAR157" s="90"/>
      <c r="AAS157" s="90"/>
      <c r="AAT157" s="90"/>
      <c r="AAU157" s="90"/>
      <c r="AAV157" s="90"/>
      <c r="AAW157" s="90"/>
      <c r="AAX157" s="90"/>
      <c r="AAY157" s="90"/>
      <c r="AAZ157" s="90"/>
      <c r="ABA157" s="90"/>
      <c r="ABB157" s="90"/>
      <c r="ABC157" s="90"/>
      <c r="ABD157" s="90"/>
      <c r="ABE157" s="90"/>
      <c r="ABF157" s="90"/>
      <c r="ABG157" s="90"/>
      <c r="ABH157" s="90"/>
      <c r="ABI157" s="90"/>
      <c r="ABJ157" s="90"/>
      <c r="ABK157" s="90"/>
      <c r="ABL157" s="90"/>
      <c r="ABM157" s="90"/>
      <c r="ABN157" s="90"/>
      <c r="ABO157" s="90"/>
      <c r="ABP157" s="90"/>
      <c r="ABQ157" s="90"/>
      <c r="ABR157" s="90"/>
      <c r="ABS157" s="90"/>
      <c r="ABT157" s="90"/>
      <c r="ABU157" s="90"/>
      <c r="ABV157" s="90"/>
      <c r="ABW157" s="90"/>
      <c r="ABX157" s="90"/>
      <c r="ABY157" s="90"/>
      <c r="ABZ157" s="90"/>
      <c r="ACA157" s="90"/>
      <c r="ACB157" s="90"/>
      <c r="ACC157" s="90"/>
      <c r="ACD157" s="90"/>
      <c r="ACE157" s="90"/>
      <c r="ACF157" s="90"/>
      <c r="ACG157" s="90"/>
      <c r="ACH157" s="90"/>
      <c r="ACI157" s="90"/>
      <c r="ACJ157" s="90"/>
      <c r="ACK157" s="90"/>
      <c r="ACL157" s="90"/>
      <c r="ACM157" s="90"/>
      <c r="ACN157" s="90"/>
      <c r="ACO157" s="90"/>
      <c r="ACP157" s="90"/>
      <c r="ACQ157" s="90"/>
      <c r="ACR157" s="90"/>
      <c r="ACS157" s="90"/>
      <c r="ACT157" s="90"/>
      <c r="ACU157" s="90"/>
      <c r="ACV157" s="90"/>
      <c r="ACW157" s="90"/>
      <c r="ACX157" s="90"/>
      <c r="ACY157" s="90"/>
      <c r="ACZ157" s="90"/>
      <c r="ADA157" s="90"/>
      <c r="ADB157" s="90"/>
      <c r="ADC157" s="90"/>
      <c r="ADD157" s="90"/>
      <c r="ADE157" s="90"/>
      <c r="ADF157" s="90"/>
      <c r="ADG157" s="90"/>
      <c r="ADH157" s="90"/>
      <c r="ADI157" s="90"/>
      <c r="ADJ157" s="90"/>
      <c r="ADK157" s="90"/>
      <c r="ADL157" s="90"/>
      <c r="ADM157" s="90"/>
      <c r="ADN157" s="90"/>
      <c r="ADO157" s="90"/>
      <c r="ADP157" s="90"/>
      <c r="ADQ157" s="90"/>
      <c r="ADR157" s="90"/>
      <c r="ADS157" s="90"/>
      <c r="ADT157" s="90"/>
      <c r="ADU157" s="90"/>
      <c r="ADV157" s="90"/>
      <c r="ADW157" s="90"/>
      <c r="ADX157" s="90"/>
      <c r="ADY157" s="90"/>
      <c r="ADZ157" s="90"/>
      <c r="AEA157" s="90"/>
      <c r="AEB157" s="90"/>
      <c r="AEC157" s="90"/>
      <c r="AED157" s="90"/>
      <c r="AEE157" s="90"/>
      <c r="AEF157" s="90"/>
      <c r="AEG157" s="90"/>
      <c r="AEH157" s="90"/>
      <c r="AEI157" s="90"/>
      <c r="AEJ157" s="90"/>
      <c r="AEK157" s="90"/>
      <c r="AEL157" s="90"/>
      <c r="AEM157" s="90"/>
      <c r="AEN157" s="90"/>
      <c r="AEO157" s="90"/>
      <c r="AEP157" s="90"/>
      <c r="AEQ157" s="90"/>
      <c r="AER157" s="90"/>
      <c r="AES157" s="90"/>
      <c r="AET157" s="90"/>
      <c r="AEU157" s="90"/>
      <c r="AEV157" s="90"/>
      <c r="AEW157" s="90"/>
      <c r="AEX157" s="90"/>
      <c r="AEY157" s="90"/>
      <c r="AEZ157" s="90"/>
      <c r="AFA157" s="90"/>
      <c r="AFB157" s="90"/>
      <c r="AFC157" s="90"/>
      <c r="AFD157" s="90"/>
      <c r="AFE157" s="90"/>
      <c r="AFF157" s="90"/>
      <c r="AFG157" s="90"/>
      <c r="AFH157" s="90"/>
      <c r="AFI157" s="90"/>
      <c r="AFJ157" s="90"/>
      <c r="AFK157" s="90"/>
      <c r="AFL157" s="90"/>
      <c r="AFM157" s="90"/>
      <c r="AFN157" s="90"/>
      <c r="AFO157" s="90"/>
      <c r="AFP157" s="90"/>
      <c r="AFQ157" s="90"/>
      <c r="AFR157" s="90"/>
      <c r="AFS157" s="90"/>
      <c r="AFT157" s="90"/>
      <c r="AFU157" s="90"/>
      <c r="AFV157" s="90"/>
      <c r="AFW157" s="90"/>
      <c r="AFX157" s="90"/>
      <c r="AFY157" s="90"/>
      <c r="AFZ157" s="90"/>
      <c r="AGA157" s="90"/>
      <c r="AGB157" s="90"/>
      <c r="AGC157" s="90"/>
      <c r="AGD157" s="90"/>
      <c r="AGE157" s="90"/>
      <c r="AGF157" s="90"/>
      <c r="AGG157" s="90"/>
      <c r="AGH157" s="90"/>
      <c r="AGI157" s="90"/>
      <c r="AGJ157" s="90"/>
      <c r="AGK157" s="90"/>
      <c r="AGL157" s="90"/>
      <c r="AGM157" s="90"/>
      <c r="AGN157" s="90"/>
      <c r="AGO157" s="90"/>
      <c r="AGP157" s="90"/>
      <c r="AGQ157" s="90"/>
      <c r="AGR157" s="90"/>
      <c r="AGS157" s="90"/>
      <c r="AGT157" s="90"/>
      <c r="AGU157" s="90"/>
      <c r="AGV157" s="90"/>
      <c r="AGW157" s="90"/>
      <c r="AGX157" s="90"/>
      <c r="AGY157" s="90"/>
      <c r="AGZ157" s="90"/>
      <c r="AHA157" s="90"/>
      <c r="AHB157" s="90"/>
      <c r="AHC157" s="90"/>
      <c r="AHD157" s="90"/>
      <c r="AHE157" s="90"/>
      <c r="AHF157" s="90"/>
      <c r="AHG157" s="90"/>
      <c r="AHH157" s="90"/>
      <c r="AHI157" s="90"/>
      <c r="AHJ157" s="90"/>
      <c r="AHK157" s="90"/>
      <c r="AHL157" s="90"/>
      <c r="AHM157" s="90"/>
      <c r="AHN157" s="90"/>
      <c r="AHO157" s="90"/>
      <c r="AHP157" s="90"/>
      <c r="AHQ157" s="90"/>
      <c r="AHR157" s="90"/>
      <c r="AHS157" s="90"/>
      <c r="AHT157" s="90"/>
      <c r="AHU157" s="90"/>
      <c r="AHV157" s="90"/>
      <c r="AHW157" s="90"/>
      <c r="AHX157" s="90"/>
      <c r="AHY157" s="90"/>
      <c r="AHZ157" s="90"/>
      <c r="AIA157" s="90"/>
      <c r="AIB157" s="90"/>
      <c r="AIC157" s="90"/>
      <c r="AID157" s="90"/>
      <c r="AIE157" s="90"/>
      <c r="AIF157" s="90"/>
      <c r="AIG157" s="90"/>
      <c r="AIH157" s="90"/>
      <c r="AII157" s="90"/>
      <c r="AIJ157" s="90"/>
      <c r="AIK157" s="90"/>
      <c r="AIL157" s="90"/>
      <c r="AIM157" s="90"/>
      <c r="AIN157" s="90"/>
      <c r="AIO157" s="90"/>
      <c r="AIP157" s="90"/>
      <c r="AIQ157" s="90"/>
      <c r="AIR157" s="90"/>
      <c r="AIS157" s="90"/>
      <c r="AIT157" s="90"/>
      <c r="AIU157" s="90"/>
      <c r="AIV157" s="90"/>
      <c r="AIW157" s="90"/>
      <c r="AIX157" s="90"/>
      <c r="AIY157" s="90"/>
      <c r="AIZ157" s="90"/>
      <c r="AJA157" s="90"/>
      <c r="AJB157" s="90"/>
      <c r="AJC157" s="90"/>
      <c r="AJD157" s="90"/>
      <c r="AJE157" s="90"/>
      <c r="AJF157" s="90"/>
      <c r="AJG157" s="90"/>
      <c r="AJH157" s="90"/>
      <c r="AJI157" s="90"/>
      <c r="AJJ157" s="90"/>
      <c r="AJK157" s="90"/>
      <c r="AJL157" s="90"/>
      <c r="AJM157" s="90"/>
      <c r="AJN157" s="90"/>
      <c r="AJO157" s="90"/>
      <c r="AJP157" s="90"/>
      <c r="AJQ157" s="90"/>
      <c r="AJR157" s="90"/>
      <c r="AJS157" s="90"/>
      <c r="AJT157" s="90"/>
      <c r="AJU157" s="90"/>
      <c r="AJV157" s="90"/>
      <c r="AJW157" s="90"/>
      <c r="AJX157" s="90"/>
      <c r="AJY157" s="90"/>
      <c r="AJZ157" s="90"/>
      <c r="AKA157" s="90"/>
      <c r="AKB157" s="90"/>
      <c r="AKC157" s="90"/>
      <c r="AKD157" s="90"/>
      <c r="AKE157" s="90"/>
      <c r="AKF157" s="90"/>
      <c r="AKG157" s="90"/>
      <c r="AKH157" s="90"/>
      <c r="AKI157" s="90"/>
      <c r="AKJ157" s="90"/>
      <c r="AKK157" s="90"/>
      <c r="AKL157" s="90"/>
      <c r="AKM157" s="90"/>
      <c r="AKN157" s="90"/>
      <c r="AKO157" s="90"/>
      <c r="AKP157" s="90"/>
      <c r="AKQ157" s="90"/>
      <c r="AKR157" s="90"/>
      <c r="AKS157" s="90"/>
      <c r="AKT157" s="90"/>
      <c r="AKU157" s="90"/>
      <c r="AKV157" s="90"/>
      <c r="AKW157" s="90"/>
      <c r="AKX157" s="90"/>
      <c r="AKY157" s="90"/>
      <c r="AKZ157" s="90"/>
      <c r="ALA157" s="90"/>
      <c r="ALB157" s="90"/>
      <c r="ALC157" s="90"/>
      <c r="ALD157" s="90"/>
      <c r="ALE157" s="90"/>
      <c r="ALF157" s="90"/>
      <c r="ALG157" s="90"/>
      <c r="ALH157" s="90"/>
      <c r="ALI157" s="90"/>
      <c r="ALJ157" s="90"/>
      <c r="ALK157" s="90"/>
      <c r="ALL157" s="90"/>
      <c r="ALM157" s="90"/>
      <c r="ALN157" s="90"/>
      <c r="ALO157" s="90"/>
      <c r="ALP157" s="90"/>
      <c r="ALQ157" s="90"/>
      <c r="ALR157" s="90"/>
      <c r="ALS157" s="90"/>
      <c r="ALT157" s="90"/>
      <c r="ALU157" s="90"/>
      <c r="ALV157" s="90"/>
      <c r="ALW157" s="90"/>
      <c r="ALX157" s="90"/>
      <c r="ALY157" s="90"/>
      <c r="ALZ157" s="90"/>
      <c r="AMA157" s="90"/>
      <c r="AMB157" s="90"/>
      <c r="AMC157" s="90"/>
    </row>
    <row r="158" spans="1:1017">
      <c r="A158" s="98" t="s">
        <v>48</v>
      </c>
      <c r="B158" s="90" t="str">
        <f t="shared" si="1284"/>
        <v xml:space="preserve">Udang_04 (Udang Lainnya) </v>
      </c>
      <c r="Q158" s="91">
        <f t="shared" si="1160"/>
        <v>0</v>
      </c>
      <c r="R158" s="91">
        <f t="shared" si="1161"/>
        <v>0</v>
      </c>
      <c r="AG158" s="91">
        <f t="shared" si="1162"/>
        <v>0</v>
      </c>
      <c r="AH158" s="91">
        <f t="shared" si="1163"/>
        <v>0</v>
      </c>
      <c r="AW158" s="91">
        <f t="shared" si="1164"/>
        <v>0</v>
      </c>
      <c r="AX158" s="91">
        <f t="shared" si="1165"/>
        <v>0</v>
      </c>
      <c r="BM158" s="91">
        <f t="shared" si="1166"/>
        <v>0</v>
      </c>
      <c r="BN158" s="91">
        <f t="shared" si="1167"/>
        <v>0</v>
      </c>
      <c r="CC158" s="91">
        <f t="shared" si="1168"/>
        <v>0</v>
      </c>
      <c r="CD158" s="91">
        <f t="shared" si="1169"/>
        <v>0</v>
      </c>
      <c r="CS158" s="91">
        <f t="shared" si="1254"/>
        <v>0</v>
      </c>
      <c r="CT158" s="91">
        <f t="shared" si="1255"/>
        <v>0</v>
      </c>
      <c r="DI158" s="91">
        <f t="shared" si="1172"/>
        <v>0</v>
      </c>
      <c r="DJ158" s="91">
        <f t="shared" si="1173"/>
        <v>0</v>
      </c>
      <c r="DY158" s="91">
        <f t="shared" si="1174"/>
        <v>0</v>
      </c>
      <c r="DZ158" s="91">
        <f t="shared" si="1175"/>
        <v>0</v>
      </c>
      <c r="EO158" s="91">
        <f t="shared" si="1176"/>
        <v>0</v>
      </c>
      <c r="EP158" s="91">
        <f t="shared" si="1177"/>
        <v>0</v>
      </c>
      <c r="FE158" s="91">
        <f t="shared" si="1178"/>
        <v>0</v>
      </c>
      <c r="FF158" s="91">
        <f t="shared" si="1179"/>
        <v>0</v>
      </c>
      <c r="FU158" s="91">
        <f t="shared" si="1180"/>
        <v>0</v>
      </c>
      <c r="FV158" s="91">
        <f t="shared" si="1181"/>
        <v>0</v>
      </c>
      <c r="GK158" s="91">
        <f t="shared" si="1182"/>
        <v>0</v>
      </c>
      <c r="GL158" s="91">
        <f t="shared" si="1183"/>
        <v>0</v>
      </c>
      <c r="HA158" s="91">
        <f t="shared" si="1184"/>
        <v>0</v>
      </c>
      <c r="HB158" s="91">
        <f t="shared" si="1185"/>
        <v>0</v>
      </c>
      <c r="HQ158" s="91">
        <f t="shared" si="1186"/>
        <v>0</v>
      </c>
      <c r="HR158" s="91">
        <f t="shared" si="1187"/>
        <v>0</v>
      </c>
      <c r="IG158" s="91">
        <f t="shared" si="1188"/>
        <v>0</v>
      </c>
      <c r="IH158" s="91">
        <f t="shared" si="1189"/>
        <v>0</v>
      </c>
      <c r="IW158" s="91">
        <f t="shared" si="1190"/>
        <v>0</v>
      </c>
      <c r="IX158" s="91">
        <f t="shared" si="1191"/>
        <v>0</v>
      </c>
      <c r="JM158" s="91">
        <f t="shared" si="1192"/>
        <v>0</v>
      </c>
      <c r="JN158" s="91">
        <f t="shared" si="1193"/>
        <v>0</v>
      </c>
      <c r="KC158" s="91">
        <f t="shared" si="1194"/>
        <v>0</v>
      </c>
      <c r="KD158" s="91">
        <f t="shared" si="1195"/>
        <v>0</v>
      </c>
      <c r="KS158" s="91">
        <f t="shared" si="1196"/>
        <v>0</v>
      </c>
      <c r="KT158" s="91">
        <f t="shared" si="1197"/>
        <v>0</v>
      </c>
      <c r="LI158" s="91">
        <f t="shared" si="1198"/>
        <v>0</v>
      </c>
      <c r="LJ158" s="91">
        <f t="shared" si="1199"/>
        <v>0</v>
      </c>
      <c r="LY158" s="91">
        <f t="shared" si="1200"/>
        <v>0</v>
      </c>
      <c r="LZ158" s="91">
        <f t="shared" si="1201"/>
        <v>0</v>
      </c>
      <c r="MO158" s="91">
        <f t="shared" si="1202"/>
        <v>0</v>
      </c>
      <c r="MP158" s="91">
        <f t="shared" si="1203"/>
        <v>0</v>
      </c>
      <c r="NE158" s="91">
        <f t="shared" si="1204"/>
        <v>0</v>
      </c>
      <c r="NF158" s="91">
        <f t="shared" si="1205"/>
        <v>0</v>
      </c>
      <c r="NU158" s="91">
        <f t="shared" si="1206"/>
        <v>0</v>
      </c>
      <c r="NV158" s="91">
        <f t="shared" si="1207"/>
        <v>0</v>
      </c>
      <c r="OK158" s="91">
        <f t="shared" si="1208"/>
        <v>0</v>
      </c>
      <c r="OL158" s="91">
        <f t="shared" si="1209"/>
        <v>0</v>
      </c>
      <c r="PA158" s="91">
        <f t="shared" si="1210"/>
        <v>0</v>
      </c>
      <c r="PB158" s="91">
        <f t="shared" si="1211"/>
        <v>0</v>
      </c>
      <c r="PQ158" s="91">
        <f t="shared" si="1212"/>
        <v>0</v>
      </c>
      <c r="PR158" s="91">
        <f t="shared" si="1213"/>
        <v>0</v>
      </c>
      <c r="QG158" s="91">
        <f t="shared" si="1214"/>
        <v>0</v>
      </c>
      <c r="QH158" s="91">
        <f t="shared" si="1215"/>
        <v>0</v>
      </c>
      <c r="QW158" s="91">
        <f t="shared" si="1216"/>
        <v>0</v>
      </c>
      <c r="QX158" s="91">
        <f t="shared" si="1217"/>
        <v>0</v>
      </c>
      <c r="RM158" s="91">
        <f t="shared" si="1218"/>
        <v>0</v>
      </c>
      <c r="RN158" s="91">
        <f t="shared" si="1219"/>
        <v>0</v>
      </c>
      <c r="SC158" s="91">
        <f t="shared" si="1220"/>
        <v>0</v>
      </c>
      <c r="SD158" s="91">
        <f t="shared" si="1221"/>
        <v>0</v>
      </c>
      <c r="SS158" s="91">
        <f t="shared" si="1222"/>
        <v>0</v>
      </c>
      <c r="ST158" s="91">
        <f t="shared" si="1223"/>
        <v>0</v>
      </c>
      <c r="TI158" s="91">
        <f t="shared" si="1224"/>
        <v>0</v>
      </c>
      <c r="TJ158" s="91">
        <f t="shared" si="1225"/>
        <v>0</v>
      </c>
      <c r="TY158" s="91">
        <f t="shared" si="1226"/>
        <v>0</v>
      </c>
      <c r="TZ158" s="91">
        <f t="shared" si="1227"/>
        <v>0</v>
      </c>
      <c r="UO158" s="91">
        <f t="shared" si="1228"/>
        <v>0</v>
      </c>
      <c r="UP158" s="91">
        <f t="shared" si="1229"/>
        <v>0</v>
      </c>
      <c r="VE158" s="91">
        <f t="shared" si="1230"/>
        <v>0</v>
      </c>
      <c r="VF158" s="91">
        <f t="shared" si="1231"/>
        <v>0</v>
      </c>
      <c r="VU158" s="91">
        <f t="shared" si="1232"/>
        <v>0</v>
      </c>
      <c r="VV158" s="91">
        <f t="shared" si="1233"/>
        <v>0</v>
      </c>
      <c r="WK158" s="91">
        <f t="shared" si="1234"/>
        <v>0</v>
      </c>
      <c r="WL158" s="91">
        <f t="shared" si="1235"/>
        <v>0</v>
      </c>
      <c r="WM158" s="89"/>
      <c r="WN158" s="87">
        <f t="shared" si="1286"/>
        <v>0</v>
      </c>
      <c r="WO158" s="87">
        <f t="shared" si="1287"/>
        <v>0</v>
      </c>
      <c r="WP158" s="87">
        <f t="shared" si="1288"/>
        <v>0</v>
      </c>
      <c r="WQ158" s="87">
        <f t="shared" si="1289"/>
        <v>0</v>
      </c>
      <c r="WR158" s="87">
        <f t="shared" si="1290"/>
        <v>0</v>
      </c>
      <c r="WS158" s="87">
        <f t="shared" si="1291"/>
        <v>0</v>
      </c>
      <c r="WT158" s="87">
        <f t="shared" si="1292"/>
        <v>0</v>
      </c>
      <c r="WU158" s="87">
        <f t="shared" si="1293"/>
        <v>0</v>
      </c>
      <c r="WV158" s="87">
        <f t="shared" si="1294"/>
        <v>0</v>
      </c>
      <c r="WW158" s="87">
        <f t="shared" si="1295"/>
        <v>0</v>
      </c>
      <c r="WX158" s="87">
        <f t="shared" si="1296"/>
        <v>0</v>
      </c>
      <c r="WY158" s="87">
        <f t="shared" si="1297"/>
        <v>0</v>
      </c>
      <c r="WZ158" s="87">
        <f t="shared" si="1278"/>
        <v>0</v>
      </c>
      <c r="XA158" s="87">
        <f t="shared" si="1279"/>
        <v>0</v>
      </c>
      <c r="XB158" s="92">
        <f t="shared" si="1298"/>
        <v>0</v>
      </c>
      <c r="XC158" s="92">
        <f t="shared" si="1299"/>
        <v>0</v>
      </c>
      <c r="XD158" s="89"/>
      <c r="XE158" s="92">
        <f t="shared" ref="XE158:XF158" si="1302">SUM(XB386,XB424,XB462)</f>
        <v>0</v>
      </c>
      <c r="XF158" s="92">
        <f t="shared" si="1302"/>
        <v>0</v>
      </c>
      <c r="XG158" s="89"/>
      <c r="XH158" s="92"/>
      <c r="XI158" s="92"/>
      <c r="XJ158" s="89"/>
      <c r="XK158" s="87"/>
      <c r="XL158" s="87"/>
      <c r="XM158" s="87"/>
      <c r="XN158" s="87"/>
      <c r="XO158" s="87"/>
      <c r="XP158" s="87"/>
      <c r="XQ158" s="87"/>
      <c r="XR158" s="92">
        <f t="shared" ca="1" si="1252"/>
        <v>0</v>
      </c>
      <c r="XS158" s="89"/>
      <c r="XT158" s="87"/>
      <c r="XU158" s="87"/>
      <c r="XV158" s="87"/>
      <c r="XW158" s="87"/>
      <c r="XX158" s="87"/>
      <c r="XY158" s="87"/>
      <c r="XZ158" s="87"/>
      <c r="YA158" s="92">
        <f t="shared" ca="1" si="1253"/>
        <v>0</v>
      </c>
      <c r="YB158" s="90"/>
      <c r="YC158" s="90"/>
      <c r="YD158" s="90"/>
      <c r="YE158" s="90"/>
      <c r="YF158" s="90"/>
      <c r="YG158" s="90"/>
      <c r="YH158" s="90"/>
      <c r="YI158" s="90"/>
      <c r="YJ158" s="90"/>
      <c r="YK158" s="90"/>
      <c r="YL158" s="90"/>
      <c r="YM158" s="90"/>
      <c r="YN158" s="90"/>
      <c r="YO158" s="90"/>
      <c r="YP158" s="90"/>
      <c r="YQ158" s="90"/>
      <c r="YR158" s="90"/>
      <c r="YS158" s="90"/>
      <c r="YT158" s="90"/>
      <c r="YU158" s="90"/>
      <c r="YV158" s="90"/>
      <c r="YW158" s="90"/>
      <c r="YX158" s="90"/>
      <c r="YY158" s="90"/>
      <c r="YZ158" s="90"/>
      <c r="ZA158" s="90"/>
      <c r="ZB158" s="90"/>
      <c r="ZC158" s="90"/>
      <c r="ZD158" s="90"/>
      <c r="ZE158" s="90"/>
      <c r="ZF158" s="90"/>
      <c r="ZG158" s="90"/>
      <c r="ZH158" s="90"/>
      <c r="ZI158" s="90"/>
      <c r="ZJ158" s="90"/>
      <c r="ZK158" s="90"/>
      <c r="ZL158" s="90"/>
      <c r="ZM158" s="90"/>
      <c r="ZN158" s="90"/>
      <c r="ZO158" s="90"/>
      <c r="ZP158" s="90"/>
      <c r="ZQ158" s="90"/>
      <c r="ZR158" s="90"/>
      <c r="ZS158" s="90"/>
      <c r="ZT158" s="90"/>
      <c r="ZU158" s="90"/>
      <c r="ZV158" s="90"/>
      <c r="ZW158" s="90"/>
      <c r="ZX158" s="90"/>
      <c r="ZY158" s="90"/>
      <c r="ZZ158" s="90"/>
      <c r="AAA158" s="90"/>
      <c r="AAB158" s="90"/>
      <c r="AAC158" s="90"/>
      <c r="AAD158" s="90"/>
      <c r="AAE158" s="90"/>
      <c r="AAF158" s="90"/>
      <c r="AAG158" s="90"/>
      <c r="AAH158" s="90"/>
      <c r="AAI158" s="90"/>
      <c r="AAJ158" s="90"/>
      <c r="AAK158" s="90"/>
      <c r="AAL158" s="90"/>
      <c r="AAM158" s="90"/>
      <c r="AAN158" s="90"/>
      <c r="AAO158" s="90"/>
      <c r="AAP158" s="90"/>
      <c r="AAQ158" s="90"/>
      <c r="AAR158" s="90"/>
      <c r="AAS158" s="90"/>
      <c r="AAT158" s="90"/>
      <c r="AAU158" s="90"/>
      <c r="AAV158" s="90"/>
      <c r="AAW158" s="90"/>
      <c r="AAX158" s="90"/>
      <c r="AAY158" s="90"/>
      <c r="AAZ158" s="90"/>
      <c r="ABA158" s="90"/>
      <c r="ABB158" s="90"/>
      <c r="ABC158" s="90"/>
      <c r="ABD158" s="90"/>
      <c r="ABE158" s="90"/>
      <c r="ABF158" s="90"/>
      <c r="ABG158" s="90"/>
      <c r="ABH158" s="90"/>
      <c r="ABI158" s="90"/>
      <c r="ABJ158" s="90"/>
      <c r="ABK158" s="90"/>
      <c r="ABL158" s="90"/>
      <c r="ABM158" s="90"/>
      <c r="ABN158" s="90"/>
      <c r="ABO158" s="90"/>
      <c r="ABP158" s="90"/>
      <c r="ABQ158" s="90"/>
      <c r="ABR158" s="90"/>
      <c r="ABS158" s="90"/>
      <c r="ABT158" s="90"/>
      <c r="ABU158" s="90"/>
      <c r="ABV158" s="90"/>
      <c r="ABW158" s="90"/>
      <c r="ABX158" s="90"/>
      <c r="ABY158" s="90"/>
      <c r="ABZ158" s="90"/>
      <c r="ACA158" s="90"/>
      <c r="ACB158" s="90"/>
      <c r="ACC158" s="90"/>
      <c r="ACD158" s="90"/>
      <c r="ACE158" s="90"/>
      <c r="ACF158" s="90"/>
      <c r="ACG158" s="90"/>
      <c r="ACH158" s="90"/>
      <c r="ACI158" s="90"/>
      <c r="ACJ158" s="90"/>
      <c r="ACK158" s="90"/>
      <c r="ACL158" s="90"/>
      <c r="ACM158" s="90"/>
      <c r="ACN158" s="90"/>
      <c r="ACO158" s="90"/>
      <c r="ACP158" s="90"/>
      <c r="ACQ158" s="90"/>
      <c r="ACR158" s="90"/>
      <c r="ACS158" s="90"/>
      <c r="ACT158" s="90"/>
      <c r="ACU158" s="90"/>
      <c r="ACV158" s="90"/>
      <c r="ACW158" s="90"/>
      <c r="ACX158" s="90"/>
      <c r="ACY158" s="90"/>
      <c r="ACZ158" s="90"/>
      <c r="ADA158" s="90"/>
      <c r="ADB158" s="90"/>
      <c r="ADC158" s="90"/>
      <c r="ADD158" s="90"/>
      <c r="ADE158" s="90"/>
      <c r="ADF158" s="90"/>
      <c r="ADG158" s="90"/>
      <c r="ADH158" s="90"/>
      <c r="ADI158" s="90"/>
      <c r="ADJ158" s="90"/>
      <c r="ADK158" s="90"/>
      <c r="ADL158" s="90"/>
      <c r="ADM158" s="90"/>
      <c r="ADN158" s="90"/>
      <c r="ADO158" s="90"/>
      <c r="ADP158" s="90"/>
      <c r="ADQ158" s="90"/>
      <c r="ADR158" s="90"/>
      <c r="ADS158" s="90"/>
      <c r="ADT158" s="90"/>
      <c r="ADU158" s="90"/>
      <c r="ADV158" s="90"/>
      <c r="ADW158" s="90"/>
      <c r="ADX158" s="90"/>
      <c r="ADY158" s="90"/>
      <c r="ADZ158" s="90"/>
      <c r="AEA158" s="90"/>
      <c r="AEB158" s="90"/>
      <c r="AEC158" s="90"/>
      <c r="AED158" s="90"/>
      <c r="AEE158" s="90"/>
      <c r="AEF158" s="90"/>
      <c r="AEG158" s="90"/>
      <c r="AEH158" s="90"/>
      <c r="AEI158" s="90"/>
      <c r="AEJ158" s="90"/>
      <c r="AEK158" s="90"/>
      <c r="AEL158" s="90"/>
      <c r="AEM158" s="90"/>
      <c r="AEN158" s="90"/>
      <c r="AEO158" s="90"/>
      <c r="AEP158" s="90"/>
      <c r="AEQ158" s="90"/>
      <c r="AER158" s="90"/>
      <c r="AES158" s="90"/>
      <c r="AET158" s="90"/>
      <c r="AEU158" s="90"/>
      <c r="AEV158" s="90"/>
      <c r="AEW158" s="90"/>
      <c r="AEX158" s="90"/>
      <c r="AEY158" s="90"/>
      <c r="AEZ158" s="90"/>
      <c r="AFA158" s="90"/>
      <c r="AFB158" s="90"/>
      <c r="AFC158" s="90"/>
      <c r="AFD158" s="90"/>
      <c r="AFE158" s="90"/>
      <c r="AFF158" s="90"/>
      <c r="AFG158" s="90"/>
      <c r="AFH158" s="90"/>
      <c r="AFI158" s="90"/>
      <c r="AFJ158" s="90"/>
      <c r="AFK158" s="90"/>
      <c r="AFL158" s="90"/>
      <c r="AFM158" s="90"/>
      <c r="AFN158" s="90"/>
      <c r="AFO158" s="90"/>
      <c r="AFP158" s="90"/>
      <c r="AFQ158" s="90"/>
      <c r="AFR158" s="90"/>
      <c r="AFS158" s="90"/>
      <c r="AFT158" s="90"/>
      <c r="AFU158" s="90"/>
      <c r="AFV158" s="90"/>
      <c r="AFW158" s="90"/>
      <c r="AFX158" s="90"/>
      <c r="AFY158" s="90"/>
      <c r="AFZ158" s="90"/>
      <c r="AGA158" s="90"/>
      <c r="AGB158" s="90"/>
      <c r="AGC158" s="90"/>
      <c r="AGD158" s="90"/>
      <c r="AGE158" s="90"/>
      <c r="AGF158" s="90"/>
      <c r="AGG158" s="90"/>
      <c r="AGH158" s="90"/>
      <c r="AGI158" s="90"/>
      <c r="AGJ158" s="90"/>
      <c r="AGK158" s="90"/>
      <c r="AGL158" s="90"/>
      <c r="AGM158" s="90"/>
      <c r="AGN158" s="90"/>
      <c r="AGO158" s="90"/>
      <c r="AGP158" s="90"/>
      <c r="AGQ158" s="90"/>
      <c r="AGR158" s="90"/>
      <c r="AGS158" s="90"/>
      <c r="AGT158" s="90"/>
      <c r="AGU158" s="90"/>
      <c r="AGV158" s="90"/>
      <c r="AGW158" s="90"/>
      <c r="AGX158" s="90"/>
      <c r="AGY158" s="90"/>
      <c r="AGZ158" s="90"/>
      <c r="AHA158" s="90"/>
      <c r="AHB158" s="90"/>
      <c r="AHC158" s="90"/>
      <c r="AHD158" s="90"/>
      <c r="AHE158" s="90"/>
      <c r="AHF158" s="90"/>
      <c r="AHG158" s="90"/>
      <c r="AHH158" s="90"/>
      <c r="AHI158" s="90"/>
      <c r="AHJ158" s="90"/>
      <c r="AHK158" s="90"/>
      <c r="AHL158" s="90"/>
      <c r="AHM158" s="90"/>
      <c r="AHN158" s="90"/>
      <c r="AHO158" s="90"/>
      <c r="AHP158" s="90"/>
      <c r="AHQ158" s="90"/>
      <c r="AHR158" s="90"/>
      <c r="AHS158" s="90"/>
      <c r="AHT158" s="90"/>
      <c r="AHU158" s="90"/>
      <c r="AHV158" s="90"/>
      <c r="AHW158" s="90"/>
      <c r="AHX158" s="90"/>
      <c r="AHY158" s="90"/>
      <c r="AHZ158" s="90"/>
      <c r="AIA158" s="90"/>
      <c r="AIB158" s="90"/>
      <c r="AIC158" s="90"/>
      <c r="AID158" s="90"/>
      <c r="AIE158" s="90"/>
      <c r="AIF158" s="90"/>
      <c r="AIG158" s="90"/>
      <c r="AIH158" s="90"/>
      <c r="AII158" s="90"/>
      <c r="AIJ158" s="90"/>
      <c r="AIK158" s="90"/>
      <c r="AIL158" s="90"/>
      <c r="AIM158" s="90"/>
      <c r="AIN158" s="90"/>
      <c r="AIO158" s="90"/>
      <c r="AIP158" s="90"/>
      <c r="AIQ158" s="90"/>
      <c r="AIR158" s="90"/>
      <c r="AIS158" s="90"/>
      <c r="AIT158" s="90"/>
      <c r="AIU158" s="90"/>
      <c r="AIV158" s="90"/>
      <c r="AIW158" s="90"/>
      <c r="AIX158" s="90"/>
      <c r="AIY158" s="90"/>
      <c r="AIZ158" s="90"/>
      <c r="AJA158" s="90"/>
      <c r="AJB158" s="90"/>
      <c r="AJC158" s="90"/>
      <c r="AJD158" s="90"/>
      <c r="AJE158" s="90"/>
      <c r="AJF158" s="90"/>
      <c r="AJG158" s="90"/>
      <c r="AJH158" s="90"/>
      <c r="AJI158" s="90"/>
      <c r="AJJ158" s="90"/>
      <c r="AJK158" s="90"/>
      <c r="AJL158" s="90"/>
      <c r="AJM158" s="90"/>
      <c r="AJN158" s="90"/>
      <c r="AJO158" s="90"/>
      <c r="AJP158" s="90"/>
      <c r="AJQ158" s="90"/>
      <c r="AJR158" s="90"/>
      <c r="AJS158" s="90"/>
      <c r="AJT158" s="90"/>
      <c r="AJU158" s="90"/>
      <c r="AJV158" s="90"/>
      <c r="AJW158" s="90"/>
      <c r="AJX158" s="90"/>
      <c r="AJY158" s="90"/>
      <c r="AJZ158" s="90"/>
      <c r="AKA158" s="90"/>
      <c r="AKB158" s="90"/>
      <c r="AKC158" s="90"/>
      <c r="AKD158" s="90"/>
      <c r="AKE158" s="90"/>
      <c r="AKF158" s="90"/>
      <c r="AKG158" s="90"/>
      <c r="AKH158" s="90"/>
      <c r="AKI158" s="90"/>
      <c r="AKJ158" s="90"/>
      <c r="AKK158" s="90"/>
      <c r="AKL158" s="90"/>
      <c r="AKM158" s="90"/>
      <c r="AKN158" s="90"/>
      <c r="AKO158" s="90"/>
      <c r="AKP158" s="90"/>
      <c r="AKQ158" s="90"/>
      <c r="AKR158" s="90"/>
      <c r="AKS158" s="90"/>
      <c r="AKT158" s="90"/>
      <c r="AKU158" s="90"/>
      <c r="AKV158" s="90"/>
      <c r="AKW158" s="90"/>
      <c r="AKX158" s="90"/>
      <c r="AKY158" s="90"/>
      <c r="AKZ158" s="90"/>
      <c r="ALA158" s="90"/>
      <c r="ALB158" s="90"/>
      <c r="ALC158" s="90"/>
      <c r="ALD158" s="90"/>
      <c r="ALE158" s="90"/>
      <c r="ALF158" s="90"/>
      <c r="ALG158" s="90"/>
      <c r="ALH158" s="90"/>
      <c r="ALI158" s="90"/>
      <c r="ALJ158" s="90"/>
      <c r="ALK158" s="90"/>
      <c r="ALL158" s="90"/>
      <c r="ALM158" s="90"/>
      <c r="ALN158" s="90"/>
      <c r="ALO158" s="90"/>
      <c r="ALP158" s="90"/>
      <c r="ALQ158" s="90"/>
      <c r="ALR158" s="90"/>
      <c r="ALS158" s="90"/>
      <c r="ALT158" s="90"/>
      <c r="ALU158" s="90"/>
      <c r="ALV158" s="90"/>
      <c r="ALW158" s="90"/>
      <c r="ALX158" s="90"/>
      <c r="ALY158" s="90"/>
      <c r="ALZ158" s="90"/>
      <c r="AMA158" s="90"/>
      <c r="AMB158" s="90"/>
      <c r="AMC158" s="90"/>
    </row>
    <row r="159" spans="1:1017">
      <c r="A159" s="98" t="s">
        <v>48</v>
      </c>
      <c r="B159" s="90" t="str">
        <f t="shared" si="1284"/>
        <v xml:space="preserve">Udang_05 (Udang Lainnya) </v>
      </c>
      <c r="Q159" s="91">
        <f t="shared" si="1160"/>
        <v>0</v>
      </c>
      <c r="R159" s="91">
        <f t="shared" si="1161"/>
        <v>0</v>
      </c>
      <c r="AG159" s="91">
        <f t="shared" si="1162"/>
        <v>0</v>
      </c>
      <c r="AH159" s="91">
        <f t="shared" si="1163"/>
        <v>0</v>
      </c>
      <c r="AW159" s="91">
        <f t="shared" si="1164"/>
        <v>0</v>
      </c>
      <c r="AX159" s="91">
        <f t="shared" si="1165"/>
        <v>0</v>
      </c>
      <c r="BM159" s="91">
        <f t="shared" si="1166"/>
        <v>0</v>
      </c>
      <c r="BN159" s="91">
        <f t="shared" si="1167"/>
        <v>0</v>
      </c>
      <c r="CC159" s="91">
        <f t="shared" si="1168"/>
        <v>0</v>
      </c>
      <c r="CD159" s="91">
        <f t="shared" si="1169"/>
        <v>0</v>
      </c>
      <c r="CS159" s="91">
        <f t="shared" si="1254"/>
        <v>0</v>
      </c>
      <c r="CT159" s="91">
        <f t="shared" si="1255"/>
        <v>0</v>
      </c>
      <c r="DI159" s="91">
        <f t="shared" si="1172"/>
        <v>0</v>
      </c>
      <c r="DJ159" s="91">
        <f t="shared" si="1173"/>
        <v>0</v>
      </c>
      <c r="DY159" s="91">
        <f t="shared" si="1174"/>
        <v>0</v>
      </c>
      <c r="DZ159" s="91">
        <f t="shared" si="1175"/>
        <v>0</v>
      </c>
      <c r="EO159" s="91">
        <f t="shared" si="1176"/>
        <v>0</v>
      </c>
      <c r="EP159" s="91">
        <f t="shared" si="1177"/>
        <v>0</v>
      </c>
      <c r="FE159" s="91">
        <f t="shared" si="1178"/>
        <v>0</v>
      </c>
      <c r="FF159" s="91">
        <f t="shared" si="1179"/>
        <v>0</v>
      </c>
      <c r="FU159" s="91">
        <f t="shared" si="1180"/>
        <v>0</v>
      </c>
      <c r="FV159" s="91">
        <f t="shared" si="1181"/>
        <v>0</v>
      </c>
      <c r="GK159" s="91">
        <f t="shared" si="1182"/>
        <v>0</v>
      </c>
      <c r="GL159" s="91">
        <f t="shared" si="1183"/>
        <v>0</v>
      </c>
      <c r="HA159" s="91">
        <f t="shared" si="1184"/>
        <v>0</v>
      </c>
      <c r="HB159" s="91">
        <f t="shared" si="1185"/>
        <v>0</v>
      </c>
      <c r="HQ159" s="91">
        <f t="shared" si="1186"/>
        <v>0</v>
      </c>
      <c r="HR159" s="91">
        <f t="shared" si="1187"/>
        <v>0</v>
      </c>
      <c r="IG159" s="91">
        <f t="shared" si="1188"/>
        <v>0</v>
      </c>
      <c r="IH159" s="91">
        <f t="shared" si="1189"/>
        <v>0</v>
      </c>
      <c r="IW159" s="91">
        <f t="shared" si="1190"/>
        <v>0</v>
      </c>
      <c r="IX159" s="91">
        <f t="shared" si="1191"/>
        <v>0</v>
      </c>
      <c r="JM159" s="91">
        <f t="shared" si="1192"/>
        <v>0</v>
      </c>
      <c r="JN159" s="91">
        <f t="shared" si="1193"/>
        <v>0</v>
      </c>
      <c r="KC159" s="91">
        <f t="shared" si="1194"/>
        <v>0</v>
      </c>
      <c r="KD159" s="91">
        <f t="shared" si="1195"/>
        <v>0</v>
      </c>
      <c r="KS159" s="91">
        <f t="shared" si="1196"/>
        <v>0</v>
      </c>
      <c r="KT159" s="91">
        <f t="shared" si="1197"/>
        <v>0</v>
      </c>
      <c r="LI159" s="91">
        <f t="shared" si="1198"/>
        <v>0</v>
      </c>
      <c r="LJ159" s="91">
        <f t="shared" si="1199"/>
        <v>0</v>
      </c>
      <c r="LY159" s="91">
        <f t="shared" si="1200"/>
        <v>0</v>
      </c>
      <c r="LZ159" s="91">
        <f t="shared" si="1201"/>
        <v>0</v>
      </c>
      <c r="MO159" s="91">
        <f t="shared" si="1202"/>
        <v>0</v>
      </c>
      <c r="MP159" s="91">
        <f t="shared" si="1203"/>
        <v>0</v>
      </c>
      <c r="NE159" s="91">
        <f t="shared" si="1204"/>
        <v>0</v>
      </c>
      <c r="NF159" s="91">
        <f t="shared" si="1205"/>
        <v>0</v>
      </c>
      <c r="NU159" s="91">
        <f t="shared" si="1206"/>
        <v>0</v>
      </c>
      <c r="NV159" s="91">
        <f t="shared" si="1207"/>
        <v>0</v>
      </c>
      <c r="OK159" s="91">
        <f t="shared" si="1208"/>
        <v>0</v>
      </c>
      <c r="OL159" s="91">
        <f t="shared" si="1209"/>
        <v>0</v>
      </c>
      <c r="PA159" s="91">
        <f t="shared" si="1210"/>
        <v>0</v>
      </c>
      <c r="PB159" s="91">
        <f t="shared" si="1211"/>
        <v>0</v>
      </c>
      <c r="PQ159" s="91">
        <f t="shared" si="1212"/>
        <v>0</v>
      </c>
      <c r="PR159" s="91">
        <f t="shared" si="1213"/>
        <v>0</v>
      </c>
      <c r="QG159" s="91">
        <f t="shared" si="1214"/>
        <v>0</v>
      </c>
      <c r="QH159" s="91">
        <f t="shared" si="1215"/>
        <v>0</v>
      </c>
      <c r="QW159" s="91">
        <f t="shared" si="1216"/>
        <v>0</v>
      </c>
      <c r="QX159" s="91">
        <f t="shared" si="1217"/>
        <v>0</v>
      </c>
      <c r="RM159" s="91">
        <f t="shared" si="1218"/>
        <v>0</v>
      </c>
      <c r="RN159" s="91">
        <f t="shared" si="1219"/>
        <v>0</v>
      </c>
      <c r="SC159" s="91">
        <f t="shared" si="1220"/>
        <v>0</v>
      </c>
      <c r="SD159" s="91">
        <f t="shared" si="1221"/>
        <v>0</v>
      </c>
      <c r="SS159" s="91">
        <f t="shared" si="1222"/>
        <v>0</v>
      </c>
      <c r="ST159" s="91">
        <f t="shared" si="1223"/>
        <v>0</v>
      </c>
      <c r="TI159" s="91">
        <f t="shared" si="1224"/>
        <v>0</v>
      </c>
      <c r="TJ159" s="91">
        <f t="shared" si="1225"/>
        <v>0</v>
      </c>
      <c r="TY159" s="91">
        <f t="shared" si="1226"/>
        <v>0</v>
      </c>
      <c r="TZ159" s="91">
        <f t="shared" si="1227"/>
        <v>0</v>
      </c>
      <c r="UO159" s="91">
        <f t="shared" si="1228"/>
        <v>0</v>
      </c>
      <c r="UP159" s="91">
        <f t="shared" si="1229"/>
        <v>0</v>
      </c>
      <c r="VE159" s="91">
        <f t="shared" si="1230"/>
        <v>0</v>
      </c>
      <c r="VF159" s="91">
        <f t="shared" si="1231"/>
        <v>0</v>
      </c>
      <c r="VU159" s="91">
        <f t="shared" si="1232"/>
        <v>0</v>
      </c>
      <c r="VV159" s="91">
        <f t="shared" si="1233"/>
        <v>0</v>
      </c>
      <c r="WK159" s="91">
        <f t="shared" si="1234"/>
        <v>0</v>
      </c>
      <c r="WL159" s="91">
        <f t="shared" si="1235"/>
        <v>0</v>
      </c>
      <c r="WM159" s="89"/>
      <c r="WN159" s="87">
        <f t="shared" si="1286"/>
        <v>0</v>
      </c>
      <c r="WO159" s="87">
        <f t="shared" si="1287"/>
        <v>0</v>
      </c>
      <c r="WP159" s="87">
        <f t="shared" si="1288"/>
        <v>0</v>
      </c>
      <c r="WQ159" s="87">
        <f t="shared" si="1289"/>
        <v>0</v>
      </c>
      <c r="WR159" s="87">
        <f t="shared" si="1290"/>
        <v>0</v>
      </c>
      <c r="WS159" s="87">
        <f t="shared" si="1291"/>
        <v>0</v>
      </c>
      <c r="WT159" s="87">
        <f t="shared" si="1292"/>
        <v>0</v>
      </c>
      <c r="WU159" s="87">
        <f t="shared" si="1293"/>
        <v>0</v>
      </c>
      <c r="WV159" s="87">
        <f t="shared" si="1294"/>
        <v>0</v>
      </c>
      <c r="WW159" s="87">
        <f t="shared" si="1295"/>
        <v>0</v>
      </c>
      <c r="WX159" s="87">
        <f t="shared" si="1296"/>
        <v>0</v>
      </c>
      <c r="WY159" s="87">
        <f t="shared" si="1297"/>
        <v>0</v>
      </c>
      <c r="WZ159" s="87">
        <f t="shared" si="1278"/>
        <v>0</v>
      </c>
      <c r="XA159" s="87">
        <f t="shared" si="1279"/>
        <v>0</v>
      </c>
      <c r="XB159" s="92">
        <f t="shared" si="1298"/>
        <v>0</v>
      </c>
      <c r="XC159" s="92">
        <f t="shared" si="1299"/>
        <v>0</v>
      </c>
      <c r="XD159" s="89"/>
      <c r="XE159" s="92">
        <f t="shared" ref="XE159:XF159" si="1303">SUM(XB387,XB425,XB463)</f>
        <v>0</v>
      </c>
      <c r="XF159" s="92">
        <f t="shared" si="1303"/>
        <v>0</v>
      </c>
      <c r="XG159" s="89"/>
      <c r="XH159" s="92"/>
      <c r="XI159" s="92"/>
      <c r="XJ159" s="89"/>
      <c r="XK159" s="87"/>
      <c r="XL159" s="87"/>
      <c r="XM159" s="87"/>
      <c r="XN159" s="87"/>
      <c r="XO159" s="87"/>
      <c r="XP159" s="87"/>
      <c r="XQ159" s="87"/>
      <c r="XR159" s="92">
        <f t="shared" ca="1" si="1252"/>
        <v>0</v>
      </c>
      <c r="XS159" s="89"/>
      <c r="XT159" s="87"/>
      <c r="XU159" s="87"/>
      <c r="XV159" s="87"/>
      <c r="XW159" s="87"/>
      <c r="XX159" s="87"/>
      <c r="XY159" s="87"/>
      <c r="XZ159" s="87"/>
      <c r="YA159" s="92">
        <f t="shared" ca="1" si="1253"/>
        <v>0</v>
      </c>
      <c r="YB159" s="90"/>
      <c r="YC159" s="90"/>
      <c r="YD159" s="90"/>
      <c r="YE159" s="90"/>
      <c r="YF159" s="90"/>
      <c r="YG159" s="90"/>
      <c r="YH159" s="90"/>
      <c r="YI159" s="90"/>
      <c r="YJ159" s="90"/>
      <c r="YK159" s="90"/>
      <c r="YL159" s="90"/>
      <c r="YM159" s="90"/>
      <c r="YN159" s="90"/>
      <c r="YO159" s="90"/>
      <c r="YP159" s="90"/>
      <c r="YQ159" s="90"/>
      <c r="YR159" s="90"/>
      <c r="YS159" s="90"/>
      <c r="YT159" s="90"/>
      <c r="YU159" s="90"/>
      <c r="YV159" s="90"/>
      <c r="YW159" s="90"/>
      <c r="YX159" s="90"/>
      <c r="YY159" s="90"/>
      <c r="YZ159" s="90"/>
      <c r="ZA159" s="90"/>
      <c r="ZB159" s="90"/>
      <c r="ZC159" s="90"/>
      <c r="ZD159" s="90"/>
      <c r="ZE159" s="90"/>
      <c r="ZF159" s="90"/>
      <c r="ZG159" s="90"/>
      <c r="ZH159" s="90"/>
      <c r="ZI159" s="90"/>
      <c r="ZJ159" s="90"/>
      <c r="ZK159" s="90"/>
      <c r="ZL159" s="90"/>
      <c r="ZM159" s="90"/>
      <c r="ZN159" s="90"/>
      <c r="ZO159" s="90"/>
      <c r="ZP159" s="90"/>
      <c r="ZQ159" s="90"/>
      <c r="ZR159" s="90"/>
      <c r="ZS159" s="90"/>
      <c r="ZT159" s="90"/>
      <c r="ZU159" s="90"/>
      <c r="ZV159" s="90"/>
      <c r="ZW159" s="90"/>
      <c r="ZX159" s="90"/>
      <c r="ZY159" s="90"/>
      <c r="ZZ159" s="90"/>
      <c r="AAA159" s="90"/>
      <c r="AAB159" s="90"/>
      <c r="AAC159" s="90"/>
      <c r="AAD159" s="90"/>
      <c r="AAE159" s="90"/>
      <c r="AAF159" s="90"/>
      <c r="AAG159" s="90"/>
      <c r="AAH159" s="90"/>
      <c r="AAI159" s="90"/>
      <c r="AAJ159" s="90"/>
      <c r="AAK159" s="90"/>
      <c r="AAL159" s="90"/>
      <c r="AAM159" s="90"/>
      <c r="AAN159" s="90"/>
      <c r="AAO159" s="90"/>
      <c r="AAP159" s="90"/>
      <c r="AAQ159" s="90"/>
      <c r="AAR159" s="90"/>
      <c r="AAS159" s="90"/>
      <c r="AAT159" s="90"/>
      <c r="AAU159" s="90"/>
      <c r="AAV159" s="90"/>
      <c r="AAW159" s="90"/>
      <c r="AAX159" s="90"/>
      <c r="AAY159" s="90"/>
      <c r="AAZ159" s="90"/>
      <c r="ABA159" s="90"/>
      <c r="ABB159" s="90"/>
      <c r="ABC159" s="90"/>
      <c r="ABD159" s="90"/>
      <c r="ABE159" s="90"/>
      <c r="ABF159" s="90"/>
      <c r="ABG159" s="90"/>
      <c r="ABH159" s="90"/>
      <c r="ABI159" s="90"/>
      <c r="ABJ159" s="90"/>
      <c r="ABK159" s="90"/>
      <c r="ABL159" s="90"/>
      <c r="ABM159" s="90"/>
      <c r="ABN159" s="90"/>
      <c r="ABO159" s="90"/>
      <c r="ABP159" s="90"/>
      <c r="ABQ159" s="90"/>
      <c r="ABR159" s="90"/>
      <c r="ABS159" s="90"/>
      <c r="ABT159" s="90"/>
      <c r="ABU159" s="90"/>
      <c r="ABV159" s="90"/>
      <c r="ABW159" s="90"/>
      <c r="ABX159" s="90"/>
      <c r="ABY159" s="90"/>
      <c r="ABZ159" s="90"/>
      <c r="ACA159" s="90"/>
      <c r="ACB159" s="90"/>
      <c r="ACC159" s="90"/>
      <c r="ACD159" s="90"/>
      <c r="ACE159" s="90"/>
      <c r="ACF159" s="90"/>
      <c r="ACG159" s="90"/>
      <c r="ACH159" s="90"/>
      <c r="ACI159" s="90"/>
      <c r="ACJ159" s="90"/>
      <c r="ACK159" s="90"/>
      <c r="ACL159" s="90"/>
      <c r="ACM159" s="90"/>
      <c r="ACN159" s="90"/>
      <c r="ACO159" s="90"/>
      <c r="ACP159" s="90"/>
      <c r="ACQ159" s="90"/>
      <c r="ACR159" s="90"/>
      <c r="ACS159" s="90"/>
      <c r="ACT159" s="90"/>
      <c r="ACU159" s="90"/>
      <c r="ACV159" s="90"/>
      <c r="ACW159" s="90"/>
      <c r="ACX159" s="90"/>
      <c r="ACY159" s="90"/>
      <c r="ACZ159" s="90"/>
      <c r="ADA159" s="90"/>
      <c r="ADB159" s="90"/>
      <c r="ADC159" s="90"/>
      <c r="ADD159" s="90"/>
      <c r="ADE159" s="90"/>
      <c r="ADF159" s="90"/>
      <c r="ADG159" s="90"/>
      <c r="ADH159" s="90"/>
      <c r="ADI159" s="90"/>
      <c r="ADJ159" s="90"/>
      <c r="ADK159" s="90"/>
      <c r="ADL159" s="90"/>
      <c r="ADM159" s="90"/>
      <c r="ADN159" s="90"/>
      <c r="ADO159" s="90"/>
      <c r="ADP159" s="90"/>
      <c r="ADQ159" s="90"/>
      <c r="ADR159" s="90"/>
      <c r="ADS159" s="90"/>
      <c r="ADT159" s="90"/>
      <c r="ADU159" s="90"/>
      <c r="ADV159" s="90"/>
      <c r="ADW159" s="90"/>
      <c r="ADX159" s="90"/>
      <c r="ADY159" s="90"/>
      <c r="ADZ159" s="90"/>
      <c r="AEA159" s="90"/>
      <c r="AEB159" s="90"/>
      <c r="AEC159" s="90"/>
      <c r="AED159" s="90"/>
      <c r="AEE159" s="90"/>
      <c r="AEF159" s="90"/>
      <c r="AEG159" s="90"/>
      <c r="AEH159" s="90"/>
      <c r="AEI159" s="90"/>
      <c r="AEJ159" s="90"/>
      <c r="AEK159" s="90"/>
      <c r="AEL159" s="90"/>
      <c r="AEM159" s="90"/>
      <c r="AEN159" s="90"/>
      <c r="AEO159" s="90"/>
      <c r="AEP159" s="90"/>
      <c r="AEQ159" s="90"/>
      <c r="AER159" s="90"/>
      <c r="AES159" s="90"/>
      <c r="AET159" s="90"/>
      <c r="AEU159" s="90"/>
      <c r="AEV159" s="90"/>
      <c r="AEW159" s="90"/>
      <c r="AEX159" s="90"/>
      <c r="AEY159" s="90"/>
      <c r="AEZ159" s="90"/>
      <c r="AFA159" s="90"/>
      <c r="AFB159" s="90"/>
      <c r="AFC159" s="90"/>
      <c r="AFD159" s="90"/>
      <c r="AFE159" s="90"/>
      <c r="AFF159" s="90"/>
      <c r="AFG159" s="90"/>
      <c r="AFH159" s="90"/>
      <c r="AFI159" s="90"/>
      <c r="AFJ159" s="90"/>
      <c r="AFK159" s="90"/>
      <c r="AFL159" s="90"/>
      <c r="AFM159" s="90"/>
      <c r="AFN159" s="90"/>
      <c r="AFO159" s="90"/>
      <c r="AFP159" s="90"/>
      <c r="AFQ159" s="90"/>
      <c r="AFR159" s="90"/>
      <c r="AFS159" s="90"/>
      <c r="AFT159" s="90"/>
      <c r="AFU159" s="90"/>
      <c r="AFV159" s="90"/>
      <c r="AFW159" s="90"/>
      <c r="AFX159" s="90"/>
      <c r="AFY159" s="90"/>
      <c r="AFZ159" s="90"/>
      <c r="AGA159" s="90"/>
      <c r="AGB159" s="90"/>
      <c r="AGC159" s="90"/>
      <c r="AGD159" s="90"/>
      <c r="AGE159" s="90"/>
      <c r="AGF159" s="90"/>
      <c r="AGG159" s="90"/>
      <c r="AGH159" s="90"/>
      <c r="AGI159" s="90"/>
      <c r="AGJ159" s="90"/>
      <c r="AGK159" s="90"/>
      <c r="AGL159" s="90"/>
      <c r="AGM159" s="90"/>
      <c r="AGN159" s="90"/>
      <c r="AGO159" s="90"/>
      <c r="AGP159" s="90"/>
      <c r="AGQ159" s="90"/>
      <c r="AGR159" s="90"/>
      <c r="AGS159" s="90"/>
      <c r="AGT159" s="90"/>
      <c r="AGU159" s="90"/>
      <c r="AGV159" s="90"/>
      <c r="AGW159" s="90"/>
      <c r="AGX159" s="90"/>
      <c r="AGY159" s="90"/>
      <c r="AGZ159" s="90"/>
      <c r="AHA159" s="90"/>
      <c r="AHB159" s="90"/>
      <c r="AHC159" s="90"/>
      <c r="AHD159" s="90"/>
      <c r="AHE159" s="90"/>
      <c r="AHF159" s="90"/>
      <c r="AHG159" s="90"/>
      <c r="AHH159" s="90"/>
      <c r="AHI159" s="90"/>
      <c r="AHJ159" s="90"/>
      <c r="AHK159" s="90"/>
      <c r="AHL159" s="90"/>
      <c r="AHM159" s="90"/>
      <c r="AHN159" s="90"/>
      <c r="AHO159" s="90"/>
      <c r="AHP159" s="90"/>
      <c r="AHQ159" s="90"/>
      <c r="AHR159" s="90"/>
      <c r="AHS159" s="90"/>
      <c r="AHT159" s="90"/>
      <c r="AHU159" s="90"/>
      <c r="AHV159" s="90"/>
      <c r="AHW159" s="90"/>
      <c r="AHX159" s="90"/>
      <c r="AHY159" s="90"/>
      <c r="AHZ159" s="90"/>
      <c r="AIA159" s="90"/>
      <c r="AIB159" s="90"/>
      <c r="AIC159" s="90"/>
      <c r="AID159" s="90"/>
      <c r="AIE159" s="90"/>
      <c r="AIF159" s="90"/>
      <c r="AIG159" s="90"/>
      <c r="AIH159" s="90"/>
      <c r="AII159" s="90"/>
      <c r="AIJ159" s="90"/>
      <c r="AIK159" s="90"/>
      <c r="AIL159" s="90"/>
      <c r="AIM159" s="90"/>
      <c r="AIN159" s="90"/>
      <c r="AIO159" s="90"/>
      <c r="AIP159" s="90"/>
      <c r="AIQ159" s="90"/>
      <c r="AIR159" s="90"/>
      <c r="AIS159" s="90"/>
      <c r="AIT159" s="90"/>
      <c r="AIU159" s="90"/>
      <c r="AIV159" s="90"/>
      <c r="AIW159" s="90"/>
      <c r="AIX159" s="90"/>
      <c r="AIY159" s="90"/>
      <c r="AIZ159" s="90"/>
      <c r="AJA159" s="90"/>
      <c r="AJB159" s="90"/>
      <c r="AJC159" s="90"/>
      <c r="AJD159" s="90"/>
      <c r="AJE159" s="90"/>
      <c r="AJF159" s="90"/>
      <c r="AJG159" s="90"/>
      <c r="AJH159" s="90"/>
      <c r="AJI159" s="90"/>
      <c r="AJJ159" s="90"/>
      <c r="AJK159" s="90"/>
      <c r="AJL159" s="90"/>
      <c r="AJM159" s="90"/>
      <c r="AJN159" s="90"/>
      <c r="AJO159" s="90"/>
      <c r="AJP159" s="90"/>
      <c r="AJQ159" s="90"/>
      <c r="AJR159" s="90"/>
      <c r="AJS159" s="90"/>
      <c r="AJT159" s="90"/>
      <c r="AJU159" s="90"/>
      <c r="AJV159" s="90"/>
      <c r="AJW159" s="90"/>
      <c r="AJX159" s="90"/>
      <c r="AJY159" s="90"/>
      <c r="AJZ159" s="90"/>
      <c r="AKA159" s="90"/>
      <c r="AKB159" s="90"/>
      <c r="AKC159" s="90"/>
      <c r="AKD159" s="90"/>
      <c r="AKE159" s="90"/>
      <c r="AKF159" s="90"/>
      <c r="AKG159" s="90"/>
      <c r="AKH159" s="90"/>
      <c r="AKI159" s="90"/>
      <c r="AKJ159" s="90"/>
      <c r="AKK159" s="90"/>
      <c r="AKL159" s="90"/>
      <c r="AKM159" s="90"/>
      <c r="AKN159" s="90"/>
      <c r="AKO159" s="90"/>
      <c r="AKP159" s="90"/>
      <c r="AKQ159" s="90"/>
      <c r="AKR159" s="90"/>
      <c r="AKS159" s="90"/>
      <c r="AKT159" s="90"/>
      <c r="AKU159" s="90"/>
      <c r="AKV159" s="90"/>
      <c r="AKW159" s="90"/>
      <c r="AKX159" s="90"/>
      <c r="AKY159" s="90"/>
      <c r="AKZ159" s="90"/>
      <c r="ALA159" s="90"/>
      <c r="ALB159" s="90"/>
      <c r="ALC159" s="90"/>
      <c r="ALD159" s="90"/>
      <c r="ALE159" s="90"/>
      <c r="ALF159" s="90"/>
      <c r="ALG159" s="90"/>
      <c r="ALH159" s="90"/>
      <c r="ALI159" s="90"/>
      <c r="ALJ159" s="90"/>
      <c r="ALK159" s="90"/>
      <c r="ALL159" s="90"/>
      <c r="ALM159" s="90"/>
      <c r="ALN159" s="90"/>
      <c r="ALO159" s="90"/>
      <c r="ALP159" s="90"/>
      <c r="ALQ159" s="90"/>
      <c r="ALR159" s="90"/>
      <c r="ALS159" s="90"/>
      <c r="ALT159" s="90"/>
      <c r="ALU159" s="90"/>
      <c r="ALV159" s="90"/>
      <c r="ALW159" s="90"/>
      <c r="ALX159" s="90"/>
      <c r="ALY159" s="90"/>
      <c r="ALZ159" s="90"/>
      <c r="AMA159" s="90"/>
      <c r="AMB159" s="90"/>
      <c r="AMC159" s="90"/>
    </row>
    <row r="160" spans="1:1017">
      <c r="A160" s="98" t="s">
        <v>48</v>
      </c>
      <c r="B160" s="90" t="str">
        <f t="shared" si="1284"/>
        <v>Ikan_01 (Ikan Lainnya)</v>
      </c>
      <c r="Q160" s="91">
        <f t="shared" si="1160"/>
        <v>0</v>
      </c>
      <c r="R160" s="91">
        <f t="shared" si="1161"/>
        <v>0</v>
      </c>
      <c r="AG160" s="91">
        <f t="shared" si="1162"/>
        <v>0</v>
      </c>
      <c r="AH160" s="91">
        <f t="shared" si="1163"/>
        <v>0</v>
      </c>
      <c r="AW160" s="91">
        <f t="shared" si="1164"/>
        <v>0</v>
      </c>
      <c r="AX160" s="91">
        <f t="shared" si="1165"/>
        <v>0</v>
      </c>
      <c r="BM160" s="91">
        <f t="shared" si="1166"/>
        <v>0</v>
      </c>
      <c r="BN160" s="91">
        <f t="shared" si="1167"/>
        <v>0</v>
      </c>
      <c r="CC160" s="91">
        <f t="shared" si="1168"/>
        <v>0</v>
      </c>
      <c r="CD160" s="91">
        <f t="shared" si="1169"/>
        <v>0</v>
      </c>
      <c r="CG160" s="98">
        <v>114506</v>
      </c>
      <c r="CH160" s="98">
        <v>572531</v>
      </c>
      <c r="CK160" s="98">
        <v>183862</v>
      </c>
      <c r="CL160" s="98">
        <v>919308</v>
      </c>
      <c r="CS160" s="91">
        <f t="shared" si="1254"/>
        <v>298368</v>
      </c>
      <c r="CT160" s="91">
        <f t="shared" si="1255"/>
        <v>1491839</v>
      </c>
      <c r="DI160" s="91">
        <f t="shared" si="1172"/>
        <v>0</v>
      </c>
      <c r="DJ160" s="91">
        <f t="shared" si="1173"/>
        <v>0</v>
      </c>
      <c r="DY160" s="91">
        <f t="shared" si="1174"/>
        <v>0</v>
      </c>
      <c r="DZ160" s="91">
        <f t="shared" si="1175"/>
        <v>0</v>
      </c>
      <c r="EO160" s="91">
        <f t="shared" si="1176"/>
        <v>0</v>
      </c>
      <c r="EP160" s="91">
        <f t="shared" si="1177"/>
        <v>0</v>
      </c>
      <c r="FE160" s="91">
        <f t="shared" si="1178"/>
        <v>0</v>
      </c>
      <c r="FF160" s="91">
        <f t="shared" si="1179"/>
        <v>0</v>
      </c>
      <c r="FU160" s="91">
        <f t="shared" si="1180"/>
        <v>0</v>
      </c>
      <c r="FV160" s="91">
        <f t="shared" si="1181"/>
        <v>0</v>
      </c>
      <c r="GK160" s="91">
        <f t="shared" si="1182"/>
        <v>0</v>
      </c>
      <c r="GL160" s="91">
        <f t="shared" si="1183"/>
        <v>0</v>
      </c>
      <c r="HA160" s="91">
        <f t="shared" si="1184"/>
        <v>0</v>
      </c>
      <c r="HB160" s="91">
        <f t="shared" si="1185"/>
        <v>0</v>
      </c>
      <c r="HQ160" s="91">
        <f t="shared" si="1186"/>
        <v>0</v>
      </c>
      <c r="HR160" s="91">
        <f t="shared" si="1187"/>
        <v>0</v>
      </c>
      <c r="IG160" s="91">
        <f t="shared" si="1188"/>
        <v>0</v>
      </c>
      <c r="IH160" s="91">
        <f t="shared" si="1189"/>
        <v>0</v>
      </c>
      <c r="IW160" s="91">
        <f t="shared" si="1190"/>
        <v>0</v>
      </c>
      <c r="IX160" s="91">
        <f t="shared" si="1191"/>
        <v>0</v>
      </c>
      <c r="JM160" s="91">
        <f t="shared" si="1192"/>
        <v>0</v>
      </c>
      <c r="JN160" s="91">
        <f t="shared" si="1193"/>
        <v>0</v>
      </c>
      <c r="KC160" s="91">
        <f t="shared" si="1194"/>
        <v>0</v>
      </c>
      <c r="KD160" s="91">
        <f t="shared" si="1195"/>
        <v>0</v>
      </c>
      <c r="KS160" s="91">
        <f t="shared" si="1196"/>
        <v>0</v>
      </c>
      <c r="KT160" s="91">
        <f t="shared" si="1197"/>
        <v>0</v>
      </c>
      <c r="LI160" s="91">
        <f t="shared" si="1198"/>
        <v>0</v>
      </c>
      <c r="LJ160" s="91">
        <f t="shared" si="1199"/>
        <v>0</v>
      </c>
      <c r="LY160" s="91">
        <f t="shared" si="1200"/>
        <v>0</v>
      </c>
      <c r="LZ160" s="91">
        <f t="shared" si="1201"/>
        <v>0</v>
      </c>
      <c r="MO160" s="91">
        <f t="shared" si="1202"/>
        <v>0</v>
      </c>
      <c r="MP160" s="91">
        <f t="shared" si="1203"/>
        <v>0</v>
      </c>
      <c r="MS160" s="98">
        <v>20</v>
      </c>
      <c r="MT160" s="98">
        <v>600</v>
      </c>
      <c r="NE160" s="91">
        <f t="shared" si="1204"/>
        <v>20</v>
      </c>
      <c r="NF160" s="91">
        <f t="shared" si="1205"/>
        <v>600</v>
      </c>
      <c r="NU160" s="91">
        <f t="shared" si="1206"/>
        <v>0</v>
      </c>
      <c r="NV160" s="91">
        <f t="shared" si="1207"/>
        <v>0</v>
      </c>
      <c r="OK160" s="91">
        <f t="shared" si="1208"/>
        <v>0</v>
      </c>
      <c r="OL160" s="91">
        <f t="shared" si="1209"/>
        <v>0</v>
      </c>
      <c r="PA160" s="91">
        <f t="shared" si="1210"/>
        <v>0</v>
      </c>
      <c r="PB160" s="91">
        <f t="shared" si="1211"/>
        <v>0</v>
      </c>
      <c r="PQ160" s="91">
        <f t="shared" si="1212"/>
        <v>0</v>
      </c>
      <c r="PR160" s="91">
        <f t="shared" si="1213"/>
        <v>0</v>
      </c>
      <c r="QG160" s="91">
        <f t="shared" si="1214"/>
        <v>0</v>
      </c>
      <c r="QH160" s="91">
        <f t="shared" si="1215"/>
        <v>0</v>
      </c>
      <c r="QW160" s="91">
        <f t="shared" si="1216"/>
        <v>0</v>
      </c>
      <c r="QX160" s="91">
        <f t="shared" si="1217"/>
        <v>0</v>
      </c>
      <c r="RM160" s="91">
        <f t="shared" si="1218"/>
        <v>0</v>
      </c>
      <c r="RN160" s="91">
        <f t="shared" si="1219"/>
        <v>0</v>
      </c>
      <c r="SC160" s="91">
        <f t="shared" si="1220"/>
        <v>0</v>
      </c>
      <c r="SD160" s="91">
        <f t="shared" si="1221"/>
        <v>0</v>
      </c>
      <c r="SS160" s="91">
        <f t="shared" si="1222"/>
        <v>0</v>
      </c>
      <c r="ST160" s="91">
        <f t="shared" si="1223"/>
        <v>0</v>
      </c>
      <c r="TI160" s="91">
        <f t="shared" si="1224"/>
        <v>0</v>
      </c>
      <c r="TJ160" s="91">
        <f t="shared" si="1225"/>
        <v>0</v>
      </c>
      <c r="TY160" s="91">
        <f t="shared" si="1226"/>
        <v>0</v>
      </c>
      <c r="TZ160" s="91">
        <f t="shared" si="1227"/>
        <v>0</v>
      </c>
      <c r="UO160" s="91">
        <f t="shared" si="1228"/>
        <v>0</v>
      </c>
      <c r="UP160" s="91">
        <f t="shared" si="1229"/>
        <v>0</v>
      </c>
      <c r="VE160" s="91">
        <f t="shared" si="1230"/>
        <v>0</v>
      </c>
      <c r="VF160" s="91">
        <f t="shared" si="1231"/>
        <v>0</v>
      </c>
      <c r="VU160" s="91">
        <f t="shared" si="1232"/>
        <v>0</v>
      </c>
      <c r="VV160" s="91">
        <f t="shared" si="1233"/>
        <v>0</v>
      </c>
      <c r="WK160" s="91">
        <f t="shared" si="1234"/>
        <v>0</v>
      </c>
      <c r="WL160" s="91">
        <f t="shared" si="1235"/>
        <v>0</v>
      </c>
      <c r="WM160" s="89"/>
      <c r="WN160" s="87">
        <f t="shared" si="1286"/>
        <v>0</v>
      </c>
      <c r="WO160" s="87">
        <f t="shared" si="1287"/>
        <v>0</v>
      </c>
      <c r="WP160" s="87">
        <f t="shared" si="1288"/>
        <v>114526</v>
      </c>
      <c r="WQ160" s="87">
        <f t="shared" si="1289"/>
        <v>573131</v>
      </c>
      <c r="WR160" s="87">
        <f t="shared" si="1290"/>
        <v>0</v>
      </c>
      <c r="WS160" s="87">
        <f t="shared" si="1291"/>
        <v>0</v>
      </c>
      <c r="WT160" s="87">
        <f t="shared" si="1292"/>
        <v>183862</v>
      </c>
      <c r="WU160" s="87">
        <f t="shared" si="1293"/>
        <v>919308</v>
      </c>
      <c r="WV160" s="87">
        <f t="shared" si="1294"/>
        <v>0</v>
      </c>
      <c r="WW160" s="87">
        <f t="shared" si="1295"/>
        <v>0</v>
      </c>
      <c r="WX160" s="87">
        <f t="shared" si="1296"/>
        <v>0</v>
      </c>
      <c r="WY160" s="87">
        <f t="shared" si="1297"/>
        <v>0</v>
      </c>
      <c r="WZ160" s="87">
        <f t="shared" si="1278"/>
        <v>0</v>
      </c>
      <c r="XA160" s="87">
        <f t="shared" si="1279"/>
        <v>0</v>
      </c>
      <c r="XB160" s="92">
        <f t="shared" si="1298"/>
        <v>298388</v>
      </c>
      <c r="XC160" s="92">
        <f t="shared" si="1299"/>
        <v>1492439</v>
      </c>
      <c r="XD160" s="89"/>
      <c r="XE160" s="92">
        <f t="shared" ref="XE160:XF160" si="1304">SUM(XB388,XB426,XB464)</f>
        <v>1130740.0602412934</v>
      </c>
      <c r="XF160" s="92">
        <f t="shared" si="1304"/>
        <v>4668728.0127840284</v>
      </c>
      <c r="XG160" s="89"/>
      <c r="XH160" s="92"/>
      <c r="XI160" s="92"/>
      <c r="XJ160" s="89"/>
      <c r="XK160" s="87"/>
      <c r="XL160" s="87"/>
      <c r="XM160" s="87"/>
      <c r="XN160" s="87"/>
      <c r="XO160" s="87"/>
      <c r="XP160" s="87"/>
      <c r="XQ160" s="87"/>
      <c r="XR160" s="92">
        <f t="shared" ca="1" si="1252"/>
        <v>0</v>
      </c>
      <c r="XS160" s="89"/>
      <c r="XT160" s="87"/>
      <c r="XU160" s="87"/>
      <c r="XV160" s="87"/>
      <c r="XW160" s="87"/>
      <c r="XX160" s="87"/>
      <c r="XY160" s="87"/>
      <c r="XZ160" s="87"/>
      <c r="YA160" s="92">
        <f t="shared" ca="1" si="1253"/>
        <v>0</v>
      </c>
      <c r="YB160" s="90"/>
      <c r="YC160" s="90"/>
      <c r="YD160" s="90"/>
      <c r="YE160" s="90"/>
      <c r="YF160" s="90"/>
      <c r="YG160" s="90"/>
      <c r="YH160" s="90"/>
      <c r="YI160" s="90"/>
      <c r="YJ160" s="90"/>
      <c r="YK160" s="90"/>
      <c r="YL160" s="90"/>
      <c r="YM160" s="90"/>
      <c r="YN160" s="90"/>
      <c r="YO160" s="90"/>
      <c r="YP160" s="90"/>
      <c r="YQ160" s="90"/>
      <c r="YR160" s="90"/>
      <c r="YS160" s="90"/>
      <c r="YT160" s="90"/>
      <c r="YU160" s="90"/>
      <c r="YV160" s="90"/>
      <c r="YW160" s="90"/>
      <c r="YX160" s="90"/>
      <c r="YY160" s="90"/>
      <c r="YZ160" s="90"/>
      <c r="ZA160" s="90"/>
      <c r="ZB160" s="90"/>
      <c r="ZC160" s="90"/>
      <c r="ZD160" s="90"/>
      <c r="ZE160" s="90"/>
      <c r="ZF160" s="90"/>
      <c r="ZG160" s="90"/>
      <c r="ZH160" s="90"/>
      <c r="ZI160" s="90"/>
      <c r="ZJ160" s="90"/>
      <c r="ZK160" s="90"/>
      <c r="ZL160" s="90"/>
      <c r="ZM160" s="90"/>
      <c r="ZN160" s="90"/>
      <c r="ZO160" s="90"/>
      <c r="ZP160" s="90"/>
      <c r="ZQ160" s="90"/>
      <c r="ZR160" s="90"/>
      <c r="ZS160" s="90"/>
      <c r="ZT160" s="90"/>
      <c r="ZU160" s="90"/>
      <c r="ZV160" s="90"/>
      <c r="ZW160" s="90"/>
      <c r="ZX160" s="90"/>
      <c r="ZY160" s="90"/>
      <c r="ZZ160" s="90"/>
      <c r="AAA160" s="90"/>
      <c r="AAB160" s="90"/>
      <c r="AAC160" s="90"/>
      <c r="AAD160" s="90"/>
      <c r="AAE160" s="90"/>
      <c r="AAF160" s="90"/>
      <c r="AAG160" s="90"/>
      <c r="AAH160" s="90"/>
      <c r="AAI160" s="90"/>
      <c r="AAJ160" s="90"/>
      <c r="AAK160" s="90"/>
      <c r="AAL160" s="90"/>
      <c r="AAM160" s="90"/>
      <c r="AAN160" s="90"/>
      <c r="AAO160" s="90"/>
      <c r="AAP160" s="90"/>
      <c r="AAQ160" s="90"/>
      <c r="AAR160" s="90"/>
      <c r="AAS160" s="90"/>
      <c r="AAT160" s="90"/>
      <c r="AAU160" s="90"/>
      <c r="AAV160" s="90"/>
      <c r="AAW160" s="90"/>
      <c r="AAX160" s="90"/>
      <c r="AAY160" s="90"/>
      <c r="AAZ160" s="90"/>
      <c r="ABA160" s="90"/>
      <c r="ABB160" s="90"/>
      <c r="ABC160" s="90"/>
      <c r="ABD160" s="90"/>
      <c r="ABE160" s="90"/>
      <c r="ABF160" s="90"/>
      <c r="ABG160" s="90"/>
      <c r="ABH160" s="90"/>
      <c r="ABI160" s="90"/>
      <c r="ABJ160" s="90"/>
      <c r="ABK160" s="90"/>
      <c r="ABL160" s="90"/>
      <c r="ABM160" s="90"/>
      <c r="ABN160" s="90"/>
      <c r="ABO160" s="90"/>
      <c r="ABP160" s="90"/>
      <c r="ABQ160" s="90"/>
      <c r="ABR160" s="90"/>
      <c r="ABS160" s="90"/>
      <c r="ABT160" s="90"/>
      <c r="ABU160" s="90"/>
      <c r="ABV160" s="90"/>
      <c r="ABW160" s="90"/>
      <c r="ABX160" s="90"/>
      <c r="ABY160" s="90"/>
      <c r="ABZ160" s="90"/>
      <c r="ACA160" s="90"/>
      <c r="ACB160" s="90"/>
      <c r="ACC160" s="90"/>
      <c r="ACD160" s="90"/>
      <c r="ACE160" s="90"/>
      <c r="ACF160" s="90"/>
      <c r="ACG160" s="90"/>
      <c r="ACH160" s="90"/>
      <c r="ACI160" s="90"/>
      <c r="ACJ160" s="90"/>
      <c r="ACK160" s="90"/>
      <c r="ACL160" s="90"/>
      <c r="ACM160" s="90"/>
      <c r="ACN160" s="90"/>
      <c r="ACO160" s="90"/>
      <c r="ACP160" s="90"/>
      <c r="ACQ160" s="90"/>
      <c r="ACR160" s="90"/>
      <c r="ACS160" s="90"/>
      <c r="ACT160" s="90"/>
      <c r="ACU160" s="90"/>
      <c r="ACV160" s="90"/>
      <c r="ACW160" s="90"/>
      <c r="ACX160" s="90"/>
      <c r="ACY160" s="90"/>
      <c r="ACZ160" s="90"/>
      <c r="ADA160" s="90"/>
      <c r="ADB160" s="90"/>
      <c r="ADC160" s="90"/>
      <c r="ADD160" s="90"/>
      <c r="ADE160" s="90"/>
      <c r="ADF160" s="90"/>
      <c r="ADG160" s="90"/>
      <c r="ADH160" s="90"/>
      <c r="ADI160" s="90"/>
      <c r="ADJ160" s="90"/>
      <c r="ADK160" s="90"/>
      <c r="ADL160" s="90"/>
      <c r="ADM160" s="90"/>
      <c r="ADN160" s="90"/>
      <c r="ADO160" s="90"/>
      <c r="ADP160" s="90"/>
      <c r="ADQ160" s="90"/>
      <c r="ADR160" s="90"/>
      <c r="ADS160" s="90"/>
      <c r="ADT160" s="90"/>
      <c r="ADU160" s="90"/>
      <c r="ADV160" s="90"/>
      <c r="ADW160" s="90"/>
      <c r="ADX160" s="90"/>
      <c r="ADY160" s="90"/>
      <c r="ADZ160" s="90"/>
      <c r="AEA160" s="90"/>
      <c r="AEB160" s="90"/>
      <c r="AEC160" s="90"/>
      <c r="AED160" s="90"/>
      <c r="AEE160" s="90"/>
      <c r="AEF160" s="90"/>
      <c r="AEG160" s="90"/>
      <c r="AEH160" s="90"/>
      <c r="AEI160" s="90"/>
      <c r="AEJ160" s="90"/>
      <c r="AEK160" s="90"/>
      <c r="AEL160" s="90"/>
      <c r="AEM160" s="90"/>
      <c r="AEN160" s="90"/>
      <c r="AEO160" s="90"/>
      <c r="AEP160" s="90"/>
      <c r="AEQ160" s="90"/>
      <c r="AER160" s="90"/>
      <c r="AES160" s="90"/>
      <c r="AET160" s="90"/>
      <c r="AEU160" s="90"/>
      <c r="AEV160" s="90"/>
      <c r="AEW160" s="90"/>
      <c r="AEX160" s="90"/>
      <c r="AEY160" s="90"/>
      <c r="AEZ160" s="90"/>
      <c r="AFA160" s="90"/>
      <c r="AFB160" s="90"/>
      <c r="AFC160" s="90"/>
      <c r="AFD160" s="90"/>
      <c r="AFE160" s="90"/>
      <c r="AFF160" s="90"/>
      <c r="AFG160" s="90"/>
      <c r="AFH160" s="90"/>
      <c r="AFI160" s="90"/>
      <c r="AFJ160" s="90"/>
      <c r="AFK160" s="90"/>
      <c r="AFL160" s="90"/>
      <c r="AFM160" s="90"/>
      <c r="AFN160" s="90"/>
      <c r="AFO160" s="90"/>
      <c r="AFP160" s="90"/>
      <c r="AFQ160" s="90"/>
      <c r="AFR160" s="90"/>
      <c r="AFS160" s="90"/>
      <c r="AFT160" s="90"/>
      <c r="AFU160" s="90"/>
      <c r="AFV160" s="90"/>
      <c r="AFW160" s="90"/>
      <c r="AFX160" s="90"/>
      <c r="AFY160" s="90"/>
      <c r="AFZ160" s="90"/>
      <c r="AGA160" s="90"/>
      <c r="AGB160" s="90"/>
      <c r="AGC160" s="90"/>
      <c r="AGD160" s="90"/>
      <c r="AGE160" s="90"/>
      <c r="AGF160" s="90"/>
      <c r="AGG160" s="90"/>
      <c r="AGH160" s="90"/>
      <c r="AGI160" s="90"/>
      <c r="AGJ160" s="90"/>
      <c r="AGK160" s="90"/>
      <c r="AGL160" s="90"/>
      <c r="AGM160" s="90"/>
      <c r="AGN160" s="90"/>
      <c r="AGO160" s="90"/>
      <c r="AGP160" s="90"/>
      <c r="AGQ160" s="90"/>
      <c r="AGR160" s="90"/>
      <c r="AGS160" s="90"/>
      <c r="AGT160" s="90"/>
      <c r="AGU160" s="90"/>
      <c r="AGV160" s="90"/>
      <c r="AGW160" s="90"/>
      <c r="AGX160" s="90"/>
      <c r="AGY160" s="90"/>
      <c r="AGZ160" s="90"/>
      <c r="AHA160" s="90"/>
      <c r="AHB160" s="90"/>
      <c r="AHC160" s="90"/>
      <c r="AHD160" s="90"/>
      <c r="AHE160" s="90"/>
      <c r="AHF160" s="90"/>
      <c r="AHG160" s="90"/>
      <c r="AHH160" s="90"/>
      <c r="AHI160" s="90"/>
      <c r="AHJ160" s="90"/>
      <c r="AHK160" s="90"/>
      <c r="AHL160" s="90"/>
      <c r="AHM160" s="90"/>
      <c r="AHN160" s="90"/>
      <c r="AHO160" s="90"/>
      <c r="AHP160" s="90"/>
      <c r="AHQ160" s="90"/>
      <c r="AHR160" s="90"/>
      <c r="AHS160" s="90"/>
      <c r="AHT160" s="90"/>
      <c r="AHU160" s="90"/>
      <c r="AHV160" s="90"/>
      <c r="AHW160" s="90"/>
      <c r="AHX160" s="90"/>
      <c r="AHY160" s="90"/>
      <c r="AHZ160" s="90"/>
      <c r="AIA160" s="90"/>
      <c r="AIB160" s="90"/>
      <c r="AIC160" s="90"/>
      <c r="AID160" s="90"/>
      <c r="AIE160" s="90"/>
      <c r="AIF160" s="90"/>
      <c r="AIG160" s="90"/>
      <c r="AIH160" s="90"/>
      <c r="AII160" s="90"/>
      <c r="AIJ160" s="90"/>
      <c r="AIK160" s="90"/>
      <c r="AIL160" s="90"/>
      <c r="AIM160" s="90"/>
      <c r="AIN160" s="90"/>
      <c r="AIO160" s="90"/>
      <c r="AIP160" s="90"/>
      <c r="AIQ160" s="90"/>
      <c r="AIR160" s="90"/>
      <c r="AIS160" s="90"/>
      <c r="AIT160" s="90"/>
      <c r="AIU160" s="90"/>
      <c r="AIV160" s="90"/>
      <c r="AIW160" s="90"/>
      <c r="AIX160" s="90"/>
      <c r="AIY160" s="90"/>
      <c r="AIZ160" s="90"/>
      <c r="AJA160" s="90"/>
      <c r="AJB160" s="90"/>
      <c r="AJC160" s="90"/>
      <c r="AJD160" s="90"/>
      <c r="AJE160" s="90"/>
      <c r="AJF160" s="90"/>
      <c r="AJG160" s="90"/>
      <c r="AJH160" s="90"/>
      <c r="AJI160" s="90"/>
      <c r="AJJ160" s="90"/>
      <c r="AJK160" s="90"/>
      <c r="AJL160" s="90"/>
      <c r="AJM160" s="90"/>
      <c r="AJN160" s="90"/>
      <c r="AJO160" s="90"/>
      <c r="AJP160" s="90"/>
      <c r="AJQ160" s="90"/>
      <c r="AJR160" s="90"/>
      <c r="AJS160" s="90"/>
      <c r="AJT160" s="90"/>
      <c r="AJU160" s="90"/>
      <c r="AJV160" s="90"/>
      <c r="AJW160" s="90"/>
      <c r="AJX160" s="90"/>
      <c r="AJY160" s="90"/>
      <c r="AJZ160" s="90"/>
      <c r="AKA160" s="90"/>
      <c r="AKB160" s="90"/>
      <c r="AKC160" s="90"/>
      <c r="AKD160" s="90"/>
      <c r="AKE160" s="90"/>
      <c r="AKF160" s="90"/>
      <c r="AKG160" s="90"/>
      <c r="AKH160" s="90"/>
      <c r="AKI160" s="90"/>
      <c r="AKJ160" s="90"/>
      <c r="AKK160" s="90"/>
      <c r="AKL160" s="90"/>
      <c r="AKM160" s="90"/>
      <c r="AKN160" s="90"/>
      <c r="AKO160" s="90"/>
      <c r="AKP160" s="90"/>
      <c r="AKQ160" s="90"/>
      <c r="AKR160" s="90"/>
      <c r="AKS160" s="90"/>
      <c r="AKT160" s="90"/>
      <c r="AKU160" s="90"/>
      <c r="AKV160" s="90"/>
      <c r="AKW160" s="90"/>
      <c r="AKX160" s="90"/>
      <c r="AKY160" s="90"/>
      <c r="AKZ160" s="90"/>
      <c r="ALA160" s="90"/>
      <c r="ALB160" s="90"/>
      <c r="ALC160" s="90"/>
      <c r="ALD160" s="90"/>
      <c r="ALE160" s="90"/>
      <c r="ALF160" s="90"/>
      <c r="ALG160" s="90"/>
      <c r="ALH160" s="90"/>
      <c r="ALI160" s="90"/>
      <c r="ALJ160" s="90"/>
      <c r="ALK160" s="90"/>
      <c r="ALL160" s="90"/>
      <c r="ALM160" s="90"/>
      <c r="ALN160" s="90"/>
      <c r="ALO160" s="90"/>
      <c r="ALP160" s="90"/>
      <c r="ALQ160" s="90"/>
      <c r="ALR160" s="90"/>
      <c r="ALS160" s="90"/>
      <c r="ALT160" s="90"/>
      <c r="ALU160" s="90"/>
      <c r="ALV160" s="90"/>
      <c r="ALW160" s="90"/>
      <c r="ALX160" s="90"/>
      <c r="ALY160" s="90"/>
      <c r="ALZ160" s="90"/>
      <c r="AMA160" s="90"/>
      <c r="AMB160" s="90"/>
      <c r="AMC160" s="90"/>
    </row>
    <row r="161" spans="1:1017">
      <c r="A161" s="98" t="s">
        <v>48</v>
      </c>
      <c r="B161" s="90" t="str">
        <f t="shared" si="1284"/>
        <v>Ikan_02 (Tiram)</v>
      </c>
      <c r="Q161" s="91">
        <f t="shared" si="1160"/>
        <v>0</v>
      </c>
      <c r="R161" s="91">
        <f t="shared" si="1161"/>
        <v>0</v>
      </c>
      <c r="S161" s="98">
        <v>1170</v>
      </c>
      <c r="T161" s="98">
        <v>11700</v>
      </c>
      <c r="AG161" s="91">
        <f t="shared" si="1162"/>
        <v>1170</v>
      </c>
      <c r="AH161" s="91">
        <f t="shared" si="1163"/>
        <v>11700</v>
      </c>
      <c r="AW161" s="91">
        <f t="shared" si="1164"/>
        <v>0</v>
      </c>
      <c r="AX161" s="91">
        <f t="shared" si="1165"/>
        <v>0</v>
      </c>
      <c r="BM161" s="91">
        <f t="shared" si="1166"/>
        <v>0</v>
      </c>
      <c r="BN161" s="91">
        <f t="shared" si="1167"/>
        <v>0</v>
      </c>
      <c r="CC161" s="91">
        <f t="shared" si="1168"/>
        <v>0</v>
      </c>
      <c r="CD161" s="91">
        <f t="shared" si="1169"/>
        <v>0</v>
      </c>
      <c r="CS161" s="91">
        <f t="shared" si="1254"/>
        <v>0</v>
      </c>
      <c r="CT161" s="91">
        <f t="shared" si="1255"/>
        <v>0</v>
      </c>
      <c r="DI161" s="91">
        <f t="shared" si="1172"/>
        <v>0</v>
      </c>
      <c r="DJ161" s="91">
        <f t="shared" si="1173"/>
        <v>0</v>
      </c>
      <c r="DY161" s="91">
        <f t="shared" si="1174"/>
        <v>0</v>
      </c>
      <c r="DZ161" s="91">
        <f t="shared" si="1175"/>
        <v>0</v>
      </c>
      <c r="EO161" s="91">
        <f t="shared" si="1176"/>
        <v>0</v>
      </c>
      <c r="EP161" s="91">
        <f t="shared" si="1177"/>
        <v>0</v>
      </c>
      <c r="FE161" s="91">
        <f t="shared" si="1178"/>
        <v>0</v>
      </c>
      <c r="FF161" s="91">
        <f t="shared" si="1179"/>
        <v>0</v>
      </c>
      <c r="FU161" s="91">
        <f t="shared" si="1180"/>
        <v>0</v>
      </c>
      <c r="FV161" s="91">
        <f t="shared" si="1181"/>
        <v>0</v>
      </c>
      <c r="GK161" s="91">
        <f t="shared" si="1182"/>
        <v>0</v>
      </c>
      <c r="GL161" s="91">
        <f t="shared" si="1183"/>
        <v>0</v>
      </c>
      <c r="HA161" s="91">
        <f t="shared" si="1184"/>
        <v>0</v>
      </c>
      <c r="HB161" s="91">
        <f t="shared" si="1185"/>
        <v>0</v>
      </c>
      <c r="HQ161" s="91">
        <f t="shared" si="1186"/>
        <v>0</v>
      </c>
      <c r="HR161" s="91">
        <f t="shared" si="1187"/>
        <v>0</v>
      </c>
      <c r="IG161" s="91">
        <f t="shared" si="1188"/>
        <v>0</v>
      </c>
      <c r="IH161" s="91">
        <f t="shared" si="1189"/>
        <v>0</v>
      </c>
      <c r="IW161" s="91">
        <f t="shared" si="1190"/>
        <v>0</v>
      </c>
      <c r="IX161" s="91">
        <f t="shared" si="1191"/>
        <v>0</v>
      </c>
      <c r="JM161" s="91">
        <f t="shared" si="1192"/>
        <v>0</v>
      </c>
      <c r="JN161" s="91">
        <f t="shared" si="1193"/>
        <v>0</v>
      </c>
      <c r="KC161" s="91">
        <f t="shared" si="1194"/>
        <v>0</v>
      </c>
      <c r="KD161" s="91">
        <f t="shared" si="1195"/>
        <v>0</v>
      </c>
      <c r="KS161" s="91">
        <f t="shared" si="1196"/>
        <v>0</v>
      </c>
      <c r="KT161" s="91">
        <f t="shared" si="1197"/>
        <v>0</v>
      </c>
      <c r="LI161" s="91">
        <f t="shared" si="1198"/>
        <v>0</v>
      </c>
      <c r="LJ161" s="91">
        <f t="shared" si="1199"/>
        <v>0</v>
      </c>
      <c r="LY161" s="91">
        <f t="shared" si="1200"/>
        <v>0</v>
      </c>
      <c r="LZ161" s="91">
        <f t="shared" si="1201"/>
        <v>0</v>
      </c>
      <c r="MO161" s="91">
        <f t="shared" si="1202"/>
        <v>0</v>
      </c>
      <c r="MP161" s="91">
        <f t="shared" si="1203"/>
        <v>0</v>
      </c>
      <c r="NE161" s="91">
        <f t="shared" si="1204"/>
        <v>0</v>
      </c>
      <c r="NF161" s="91">
        <f t="shared" si="1205"/>
        <v>0</v>
      </c>
      <c r="NU161" s="91">
        <f t="shared" si="1206"/>
        <v>0</v>
      </c>
      <c r="NV161" s="91">
        <f t="shared" si="1207"/>
        <v>0</v>
      </c>
      <c r="OK161" s="91">
        <f t="shared" si="1208"/>
        <v>0</v>
      </c>
      <c r="OL161" s="91">
        <f t="shared" si="1209"/>
        <v>0</v>
      </c>
      <c r="PA161" s="91">
        <f t="shared" si="1210"/>
        <v>0</v>
      </c>
      <c r="PB161" s="91">
        <f t="shared" si="1211"/>
        <v>0</v>
      </c>
      <c r="PQ161" s="91">
        <f t="shared" si="1212"/>
        <v>0</v>
      </c>
      <c r="PR161" s="91">
        <f t="shared" si="1213"/>
        <v>0</v>
      </c>
      <c r="QG161" s="91">
        <f t="shared" si="1214"/>
        <v>0</v>
      </c>
      <c r="QH161" s="91">
        <f t="shared" si="1215"/>
        <v>0</v>
      </c>
      <c r="QW161" s="91">
        <f t="shared" si="1216"/>
        <v>0</v>
      </c>
      <c r="QX161" s="91">
        <f t="shared" si="1217"/>
        <v>0</v>
      </c>
      <c r="RM161" s="91">
        <f t="shared" si="1218"/>
        <v>0</v>
      </c>
      <c r="RN161" s="91">
        <f t="shared" si="1219"/>
        <v>0</v>
      </c>
      <c r="SC161" s="91">
        <f t="shared" si="1220"/>
        <v>0</v>
      </c>
      <c r="SD161" s="91">
        <f t="shared" si="1221"/>
        <v>0</v>
      </c>
      <c r="SS161" s="91">
        <f t="shared" si="1222"/>
        <v>0</v>
      </c>
      <c r="ST161" s="91">
        <f t="shared" si="1223"/>
        <v>0</v>
      </c>
      <c r="TI161" s="91">
        <f t="shared" si="1224"/>
        <v>0</v>
      </c>
      <c r="TJ161" s="91">
        <f t="shared" si="1225"/>
        <v>0</v>
      </c>
      <c r="TY161" s="91">
        <f t="shared" si="1226"/>
        <v>0</v>
      </c>
      <c r="TZ161" s="91">
        <f t="shared" si="1227"/>
        <v>0</v>
      </c>
      <c r="UO161" s="91">
        <f t="shared" si="1228"/>
        <v>0</v>
      </c>
      <c r="UP161" s="91">
        <f t="shared" si="1229"/>
        <v>0</v>
      </c>
      <c r="VE161" s="91">
        <f t="shared" si="1230"/>
        <v>0</v>
      </c>
      <c r="VF161" s="91">
        <f t="shared" si="1231"/>
        <v>0</v>
      </c>
      <c r="VU161" s="91">
        <f t="shared" si="1232"/>
        <v>0</v>
      </c>
      <c r="VV161" s="91">
        <f t="shared" si="1233"/>
        <v>0</v>
      </c>
      <c r="WK161" s="91">
        <f t="shared" si="1234"/>
        <v>0</v>
      </c>
      <c r="WL161" s="91">
        <f t="shared" si="1235"/>
        <v>0</v>
      </c>
      <c r="WM161" s="89"/>
      <c r="WN161" s="87">
        <f t="shared" si="1286"/>
        <v>1170</v>
      </c>
      <c r="WO161" s="87">
        <f t="shared" si="1287"/>
        <v>11700</v>
      </c>
      <c r="WP161" s="87">
        <f t="shared" si="1288"/>
        <v>0</v>
      </c>
      <c r="WQ161" s="87">
        <f t="shared" si="1289"/>
        <v>0</v>
      </c>
      <c r="WR161" s="87">
        <f t="shared" si="1290"/>
        <v>0</v>
      </c>
      <c r="WS161" s="87">
        <f t="shared" si="1291"/>
        <v>0</v>
      </c>
      <c r="WT161" s="87">
        <f t="shared" si="1292"/>
        <v>0</v>
      </c>
      <c r="WU161" s="87">
        <f t="shared" si="1293"/>
        <v>0</v>
      </c>
      <c r="WV161" s="87">
        <f t="shared" si="1294"/>
        <v>0</v>
      </c>
      <c r="WW161" s="87">
        <f t="shared" si="1295"/>
        <v>0</v>
      </c>
      <c r="WX161" s="87">
        <f t="shared" si="1296"/>
        <v>0</v>
      </c>
      <c r="WY161" s="87">
        <f t="shared" si="1297"/>
        <v>0</v>
      </c>
      <c r="WZ161" s="87">
        <f t="shared" si="1278"/>
        <v>0</v>
      </c>
      <c r="XA161" s="87">
        <f t="shared" si="1279"/>
        <v>0</v>
      </c>
      <c r="XB161" s="92">
        <f t="shared" si="1298"/>
        <v>1170</v>
      </c>
      <c r="XC161" s="92">
        <f t="shared" si="1299"/>
        <v>11700</v>
      </c>
      <c r="XD161" s="89"/>
      <c r="XE161" s="92">
        <f t="shared" ref="XE161:XF161" si="1305">SUM(XB389,XB427,XB465)</f>
        <v>4245</v>
      </c>
      <c r="XF161" s="92">
        <f t="shared" si="1305"/>
        <v>42450</v>
      </c>
      <c r="XG161" s="89"/>
      <c r="XH161" s="92"/>
      <c r="XI161" s="92"/>
      <c r="XJ161" s="89"/>
      <c r="XK161" s="87"/>
      <c r="XL161" s="87"/>
      <c r="XM161" s="87"/>
      <c r="XN161" s="87"/>
      <c r="XO161" s="87"/>
      <c r="XP161" s="87"/>
      <c r="XQ161" s="87"/>
      <c r="XR161" s="92">
        <f t="shared" ca="1" si="1252"/>
        <v>0</v>
      </c>
      <c r="XS161" s="89"/>
      <c r="XT161" s="87"/>
      <c r="XU161" s="87"/>
      <c r="XV161" s="87"/>
      <c r="XW161" s="87"/>
      <c r="XX161" s="87"/>
      <c r="XY161" s="87"/>
      <c r="XZ161" s="87"/>
      <c r="YA161" s="92">
        <f t="shared" ca="1" si="1253"/>
        <v>0</v>
      </c>
      <c r="YB161" s="90"/>
      <c r="YC161" s="90"/>
      <c r="YD161" s="90"/>
      <c r="YE161" s="90"/>
      <c r="YF161" s="90"/>
      <c r="YG161" s="90"/>
      <c r="YH161" s="90"/>
      <c r="YI161" s="90"/>
      <c r="YJ161" s="90"/>
      <c r="YK161" s="90"/>
      <c r="YL161" s="90"/>
      <c r="YM161" s="90"/>
      <c r="YN161" s="90"/>
      <c r="YO161" s="90"/>
      <c r="YP161" s="90"/>
      <c r="YQ161" s="90"/>
      <c r="YR161" s="90"/>
      <c r="YS161" s="90"/>
      <c r="YT161" s="90"/>
      <c r="YU161" s="90"/>
      <c r="YV161" s="90"/>
      <c r="YW161" s="90"/>
      <c r="YX161" s="90"/>
      <c r="YY161" s="90"/>
      <c r="YZ161" s="90"/>
      <c r="ZA161" s="90"/>
      <c r="ZB161" s="90"/>
      <c r="ZC161" s="90"/>
      <c r="ZD161" s="90"/>
      <c r="ZE161" s="90"/>
      <c r="ZF161" s="90"/>
      <c r="ZG161" s="90"/>
      <c r="ZH161" s="90"/>
      <c r="ZI161" s="90"/>
      <c r="ZJ161" s="90"/>
      <c r="ZK161" s="90"/>
      <c r="ZL161" s="90"/>
      <c r="ZM161" s="90"/>
      <c r="ZN161" s="90"/>
      <c r="ZO161" s="90"/>
      <c r="ZP161" s="90"/>
      <c r="ZQ161" s="90"/>
      <c r="ZR161" s="90"/>
      <c r="ZS161" s="90"/>
      <c r="ZT161" s="90"/>
      <c r="ZU161" s="90"/>
      <c r="ZV161" s="90"/>
      <c r="ZW161" s="90"/>
      <c r="ZX161" s="90"/>
      <c r="ZY161" s="90"/>
      <c r="ZZ161" s="90"/>
      <c r="AAA161" s="90"/>
      <c r="AAB161" s="90"/>
      <c r="AAC161" s="90"/>
      <c r="AAD161" s="90"/>
      <c r="AAE161" s="90"/>
      <c r="AAF161" s="90"/>
      <c r="AAG161" s="90"/>
      <c r="AAH161" s="90"/>
      <c r="AAI161" s="90"/>
      <c r="AAJ161" s="90"/>
      <c r="AAK161" s="90"/>
      <c r="AAL161" s="90"/>
      <c r="AAM161" s="90"/>
      <c r="AAN161" s="90"/>
      <c r="AAO161" s="90"/>
      <c r="AAP161" s="90"/>
      <c r="AAQ161" s="90"/>
      <c r="AAR161" s="90"/>
      <c r="AAS161" s="90"/>
      <c r="AAT161" s="90"/>
      <c r="AAU161" s="90"/>
      <c r="AAV161" s="90"/>
      <c r="AAW161" s="90"/>
      <c r="AAX161" s="90"/>
      <c r="AAY161" s="90"/>
      <c r="AAZ161" s="90"/>
      <c r="ABA161" s="90"/>
      <c r="ABB161" s="90"/>
      <c r="ABC161" s="90"/>
      <c r="ABD161" s="90"/>
      <c r="ABE161" s="90"/>
      <c r="ABF161" s="90"/>
      <c r="ABG161" s="90"/>
      <c r="ABH161" s="90"/>
      <c r="ABI161" s="90"/>
      <c r="ABJ161" s="90"/>
      <c r="ABK161" s="90"/>
      <c r="ABL161" s="90"/>
      <c r="ABM161" s="90"/>
      <c r="ABN161" s="90"/>
      <c r="ABO161" s="90"/>
      <c r="ABP161" s="90"/>
      <c r="ABQ161" s="90"/>
      <c r="ABR161" s="90"/>
      <c r="ABS161" s="90"/>
      <c r="ABT161" s="90"/>
      <c r="ABU161" s="90"/>
      <c r="ABV161" s="90"/>
      <c r="ABW161" s="90"/>
      <c r="ABX161" s="90"/>
      <c r="ABY161" s="90"/>
      <c r="ABZ161" s="90"/>
      <c r="ACA161" s="90"/>
      <c r="ACB161" s="90"/>
      <c r="ACC161" s="90"/>
      <c r="ACD161" s="90"/>
      <c r="ACE161" s="90"/>
      <c r="ACF161" s="90"/>
      <c r="ACG161" s="90"/>
      <c r="ACH161" s="90"/>
      <c r="ACI161" s="90"/>
      <c r="ACJ161" s="90"/>
      <c r="ACK161" s="90"/>
      <c r="ACL161" s="90"/>
      <c r="ACM161" s="90"/>
      <c r="ACN161" s="90"/>
      <c r="ACO161" s="90"/>
      <c r="ACP161" s="90"/>
      <c r="ACQ161" s="90"/>
      <c r="ACR161" s="90"/>
      <c r="ACS161" s="90"/>
      <c r="ACT161" s="90"/>
      <c r="ACU161" s="90"/>
      <c r="ACV161" s="90"/>
      <c r="ACW161" s="90"/>
      <c r="ACX161" s="90"/>
      <c r="ACY161" s="90"/>
      <c r="ACZ161" s="90"/>
      <c r="ADA161" s="90"/>
      <c r="ADB161" s="90"/>
      <c r="ADC161" s="90"/>
      <c r="ADD161" s="90"/>
      <c r="ADE161" s="90"/>
      <c r="ADF161" s="90"/>
      <c r="ADG161" s="90"/>
      <c r="ADH161" s="90"/>
      <c r="ADI161" s="90"/>
      <c r="ADJ161" s="90"/>
      <c r="ADK161" s="90"/>
      <c r="ADL161" s="90"/>
      <c r="ADM161" s="90"/>
      <c r="ADN161" s="90"/>
      <c r="ADO161" s="90"/>
      <c r="ADP161" s="90"/>
      <c r="ADQ161" s="90"/>
      <c r="ADR161" s="90"/>
      <c r="ADS161" s="90"/>
      <c r="ADT161" s="90"/>
      <c r="ADU161" s="90"/>
      <c r="ADV161" s="90"/>
      <c r="ADW161" s="90"/>
      <c r="ADX161" s="90"/>
      <c r="ADY161" s="90"/>
      <c r="ADZ161" s="90"/>
      <c r="AEA161" s="90"/>
      <c r="AEB161" s="90"/>
      <c r="AEC161" s="90"/>
      <c r="AED161" s="90"/>
      <c r="AEE161" s="90"/>
      <c r="AEF161" s="90"/>
      <c r="AEG161" s="90"/>
      <c r="AEH161" s="90"/>
      <c r="AEI161" s="90"/>
      <c r="AEJ161" s="90"/>
      <c r="AEK161" s="90"/>
      <c r="AEL161" s="90"/>
      <c r="AEM161" s="90"/>
      <c r="AEN161" s="90"/>
      <c r="AEO161" s="90"/>
      <c r="AEP161" s="90"/>
      <c r="AEQ161" s="90"/>
      <c r="AER161" s="90"/>
      <c r="AES161" s="90"/>
      <c r="AET161" s="90"/>
      <c r="AEU161" s="90"/>
      <c r="AEV161" s="90"/>
      <c r="AEW161" s="90"/>
      <c r="AEX161" s="90"/>
      <c r="AEY161" s="90"/>
      <c r="AEZ161" s="90"/>
      <c r="AFA161" s="90"/>
      <c r="AFB161" s="90"/>
      <c r="AFC161" s="90"/>
      <c r="AFD161" s="90"/>
      <c r="AFE161" s="90"/>
      <c r="AFF161" s="90"/>
      <c r="AFG161" s="90"/>
      <c r="AFH161" s="90"/>
      <c r="AFI161" s="90"/>
      <c r="AFJ161" s="90"/>
      <c r="AFK161" s="90"/>
      <c r="AFL161" s="90"/>
      <c r="AFM161" s="90"/>
      <c r="AFN161" s="90"/>
      <c r="AFO161" s="90"/>
      <c r="AFP161" s="90"/>
      <c r="AFQ161" s="90"/>
      <c r="AFR161" s="90"/>
      <c r="AFS161" s="90"/>
      <c r="AFT161" s="90"/>
      <c r="AFU161" s="90"/>
      <c r="AFV161" s="90"/>
      <c r="AFW161" s="90"/>
      <c r="AFX161" s="90"/>
      <c r="AFY161" s="90"/>
      <c r="AFZ161" s="90"/>
      <c r="AGA161" s="90"/>
      <c r="AGB161" s="90"/>
      <c r="AGC161" s="90"/>
      <c r="AGD161" s="90"/>
      <c r="AGE161" s="90"/>
      <c r="AGF161" s="90"/>
      <c r="AGG161" s="90"/>
      <c r="AGH161" s="90"/>
      <c r="AGI161" s="90"/>
      <c r="AGJ161" s="90"/>
      <c r="AGK161" s="90"/>
      <c r="AGL161" s="90"/>
      <c r="AGM161" s="90"/>
      <c r="AGN161" s="90"/>
      <c r="AGO161" s="90"/>
      <c r="AGP161" s="90"/>
      <c r="AGQ161" s="90"/>
      <c r="AGR161" s="90"/>
      <c r="AGS161" s="90"/>
      <c r="AGT161" s="90"/>
      <c r="AGU161" s="90"/>
      <c r="AGV161" s="90"/>
      <c r="AGW161" s="90"/>
      <c r="AGX161" s="90"/>
      <c r="AGY161" s="90"/>
      <c r="AGZ161" s="90"/>
      <c r="AHA161" s="90"/>
      <c r="AHB161" s="90"/>
      <c r="AHC161" s="90"/>
      <c r="AHD161" s="90"/>
      <c r="AHE161" s="90"/>
      <c r="AHF161" s="90"/>
      <c r="AHG161" s="90"/>
      <c r="AHH161" s="90"/>
      <c r="AHI161" s="90"/>
      <c r="AHJ161" s="90"/>
      <c r="AHK161" s="90"/>
      <c r="AHL161" s="90"/>
      <c r="AHM161" s="90"/>
      <c r="AHN161" s="90"/>
      <c r="AHO161" s="90"/>
      <c r="AHP161" s="90"/>
      <c r="AHQ161" s="90"/>
      <c r="AHR161" s="90"/>
      <c r="AHS161" s="90"/>
      <c r="AHT161" s="90"/>
      <c r="AHU161" s="90"/>
      <c r="AHV161" s="90"/>
      <c r="AHW161" s="90"/>
      <c r="AHX161" s="90"/>
      <c r="AHY161" s="90"/>
      <c r="AHZ161" s="90"/>
      <c r="AIA161" s="90"/>
      <c r="AIB161" s="90"/>
      <c r="AIC161" s="90"/>
      <c r="AID161" s="90"/>
      <c r="AIE161" s="90"/>
      <c r="AIF161" s="90"/>
      <c r="AIG161" s="90"/>
      <c r="AIH161" s="90"/>
      <c r="AII161" s="90"/>
      <c r="AIJ161" s="90"/>
      <c r="AIK161" s="90"/>
      <c r="AIL161" s="90"/>
      <c r="AIM161" s="90"/>
      <c r="AIN161" s="90"/>
      <c r="AIO161" s="90"/>
      <c r="AIP161" s="90"/>
      <c r="AIQ161" s="90"/>
      <c r="AIR161" s="90"/>
      <c r="AIS161" s="90"/>
      <c r="AIT161" s="90"/>
      <c r="AIU161" s="90"/>
      <c r="AIV161" s="90"/>
      <c r="AIW161" s="90"/>
      <c r="AIX161" s="90"/>
      <c r="AIY161" s="90"/>
      <c r="AIZ161" s="90"/>
      <c r="AJA161" s="90"/>
      <c r="AJB161" s="90"/>
      <c r="AJC161" s="90"/>
      <c r="AJD161" s="90"/>
      <c r="AJE161" s="90"/>
      <c r="AJF161" s="90"/>
      <c r="AJG161" s="90"/>
      <c r="AJH161" s="90"/>
      <c r="AJI161" s="90"/>
      <c r="AJJ161" s="90"/>
      <c r="AJK161" s="90"/>
      <c r="AJL161" s="90"/>
      <c r="AJM161" s="90"/>
      <c r="AJN161" s="90"/>
      <c r="AJO161" s="90"/>
      <c r="AJP161" s="90"/>
      <c r="AJQ161" s="90"/>
      <c r="AJR161" s="90"/>
      <c r="AJS161" s="90"/>
      <c r="AJT161" s="90"/>
      <c r="AJU161" s="90"/>
      <c r="AJV161" s="90"/>
      <c r="AJW161" s="90"/>
      <c r="AJX161" s="90"/>
      <c r="AJY161" s="90"/>
      <c r="AJZ161" s="90"/>
      <c r="AKA161" s="90"/>
      <c r="AKB161" s="90"/>
      <c r="AKC161" s="90"/>
      <c r="AKD161" s="90"/>
      <c r="AKE161" s="90"/>
      <c r="AKF161" s="90"/>
      <c r="AKG161" s="90"/>
      <c r="AKH161" s="90"/>
      <c r="AKI161" s="90"/>
      <c r="AKJ161" s="90"/>
      <c r="AKK161" s="90"/>
      <c r="AKL161" s="90"/>
      <c r="AKM161" s="90"/>
      <c r="AKN161" s="90"/>
      <c r="AKO161" s="90"/>
      <c r="AKP161" s="90"/>
      <c r="AKQ161" s="90"/>
      <c r="AKR161" s="90"/>
      <c r="AKS161" s="90"/>
      <c r="AKT161" s="90"/>
      <c r="AKU161" s="90"/>
      <c r="AKV161" s="90"/>
      <c r="AKW161" s="90"/>
      <c r="AKX161" s="90"/>
      <c r="AKY161" s="90"/>
      <c r="AKZ161" s="90"/>
      <c r="ALA161" s="90"/>
      <c r="ALB161" s="90"/>
      <c r="ALC161" s="90"/>
      <c r="ALD161" s="90"/>
      <c r="ALE161" s="90"/>
      <c r="ALF161" s="90"/>
      <c r="ALG161" s="90"/>
      <c r="ALH161" s="90"/>
      <c r="ALI161" s="90"/>
      <c r="ALJ161" s="90"/>
      <c r="ALK161" s="90"/>
      <c r="ALL161" s="90"/>
      <c r="ALM161" s="90"/>
      <c r="ALN161" s="90"/>
      <c r="ALO161" s="90"/>
      <c r="ALP161" s="90"/>
      <c r="ALQ161" s="90"/>
      <c r="ALR161" s="90"/>
      <c r="ALS161" s="90"/>
      <c r="ALT161" s="90"/>
      <c r="ALU161" s="90"/>
      <c r="ALV161" s="90"/>
      <c r="ALW161" s="90"/>
      <c r="ALX161" s="90"/>
      <c r="ALY161" s="90"/>
      <c r="ALZ161" s="90"/>
      <c r="AMA161" s="90"/>
      <c r="AMB161" s="90"/>
      <c r="AMC161" s="90"/>
    </row>
    <row r="162" spans="1:1017">
      <c r="A162" s="98" t="s">
        <v>48</v>
      </c>
      <c r="B162" s="90" t="str">
        <f t="shared" si="1284"/>
        <v>Ikan_03 (Kerang Darah)</v>
      </c>
      <c r="Q162" s="91">
        <f t="shared" si="1160"/>
        <v>0</v>
      </c>
      <c r="R162" s="91">
        <f t="shared" si="1161"/>
        <v>0</v>
      </c>
      <c r="AG162" s="91">
        <f t="shared" si="1162"/>
        <v>0</v>
      </c>
      <c r="AH162" s="91">
        <f t="shared" si="1163"/>
        <v>0</v>
      </c>
      <c r="AW162" s="91">
        <f t="shared" si="1164"/>
        <v>0</v>
      </c>
      <c r="AX162" s="91">
        <f t="shared" si="1165"/>
        <v>0</v>
      </c>
      <c r="BM162" s="91">
        <f t="shared" si="1166"/>
        <v>0</v>
      </c>
      <c r="BN162" s="91">
        <f t="shared" si="1167"/>
        <v>0</v>
      </c>
      <c r="CC162" s="91">
        <f t="shared" si="1168"/>
        <v>0</v>
      </c>
      <c r="CD162" s="91">
        <f t="shared" si="1169"/>
        <v>0</v>
      </c>
      <c r="CS162" s="91">
        <f t="shared" si="1254"/>
        <v>0</v>
      </c>
      <c r="CT162" s="91">
        <f t="shared" si="1255"/>
        <v>0</v>
      </c>
      <c r="DI162" s="91">
        <f t="shared" si="1172"/>
        <v>0</v>
      </c>
      <c r="DJ162" s="91">
        <f t="shared" si="1173"/>
        <v>0</v>
      </c>
      <c r="DY162" s="91">
        <f t="shared" si="1174"/>
        <v>0</v>
      </c>
      <c r="DZ162" s="91">
        <f t="shared" si="1175"/>
        <v>0</v>
      </c>
      <c r="EO162" s="91">
        <f t="shared" si="1176"/>
        <v>0</v>
      </c>
      <c r="EP162" s="91">
        <f t="shared" si="1177"/>
        <v>0</v>
      </c>
      <c r="FE162" s="91">
        <f t="shared" si="1178"/>
        <v>0</v>
      </c>
      <c r="FF162" s="91">
        <f t="shared" si="1179"/>
        <v>0</v>
      </c>
      <c r="FU162" s="91">
        <f t="shared" si="1180"/>
        <v>0</v>
      </c>
      <c r="FV162" s="91">
        <f t="shared" si="1181"/>
        <v>0</v>
      </c>
      <c r="GK162" s="91">
        <f t="shared" si="1182"/>
        <v>0</v>
      </c>
      <c r="GL162" s="91">
        <f t="shared" si="1183"/>
        <v>0</v>
      </c>
      <c r="HA162" s="91">
        <f t="shared" si="1184"/>
        <v>0</v>
      </c>
      <c r="HB162" s="91">
        <f t="shared" si="1185"/>
        <v>0</v>
      </c>
      <c r="HQ162" s="91">
        <f t="shared" si="1186"/>
        <v>0</v>
      </c>
      <c r="HR162" s="91">
        <f t="shared" si="1187"/>
        <v>0</v>
      </c>
      <c r="IG162" s="91">
        <f t="shared" si="1188"/>
        <v>0</v>
      </c>
      <c r="IH162" s="91">
        <f t="shared" si="1189"/>
        <v>0</v>
      </c>
      <c r="IW162" s="91">
        <f t="shared" si="1190"/>
        <v>0</v>
      </c>
      <c r="IX162" s="91">
        <f t="shared" si="1191"/>
        <v>0</v>
      </c>
      <c r="JM162" s="91">
        <f t="shared" si="1192"/>
        <v>0</v>
      </c>
      <c r="JN162" s="91">
        <f t="shared" si="1193"/>
        <v>0</v>
      </c>
      <c r="KC162" s="91">
        <f t="shared" si="1194"/>
        <v>0</v>
      </c>
      <c r="KD162" s="91">
        <f t="shared" si="1195"/>
        <v>0</v>
      </c>
      <c r="KS162" s="91">
        <f t="shared" si="1196"/>
        <v>0</v>
      </c>
      <c r="KT162" s="91">
        <f t="shared" si="1197"/>
        <v>0</v>
      </c>
      <c r="LI162" s="91">
        <f t="shared" si="1198"/>
        <v>0</v>
      </c>
      <c r="LJ162" s="91">
        <f t="shared" si="1199"/>
        <v>0</v>
      </c>
      <c r="LY162" s="91">
        <f t="shared" si="1200"/>
        <v>0</v>
      </c>
      <c r="LZ162" s="91">
        <f t="shared" si="1201"/>
        <v>0</v>
      </c>
      <c r="MO162" s="91">
        <f t="shared" si="1202"/>
        <v>0</v>
      </c>
      <c r="MP162" s="91">
        <f t="shared" si="1203"/>
        <v>0</v>
      </c>
      <c r="NE162" s="91">
        <f t="shared" si="1204"/>
        <v>0</v>
      </c>
      <c r="NF162" s="91">
        <f t="shared" si="1205"/>
        <v>0</v>
      </c>
      <c r="NU162" s="91">
        <f t="shared" si="1206"/>
        <v>0</v>
      </c>
      <c r="NV162" s="91">
        <f t="shared" si="1207"/>
        <v>0</v>
      </c>
      <c r="OK162" s="91">
        <f t="shared" si="1208"/>
        <v>0</v>
      </c>
      <c r="OL162" s="91">
        <f t="shared" si="1209"/>
        <v>0</v>
      </c>
      <c r="PA162" s="91">
        <f t="shared" si="1210"/>
        <v>0</v>
      </c>
      <c r="PB162" s="91">
        <f t="shared" si="1211"/>
        <v>0</v>
      </c>
      <c r="PQ162" s="91">
        <f t="shared" si="1212"/>
        <v>0</v>
      </c>
      <c r="PR162" s="91">
        <f t="shared" si="1213"/>
        <v>0</v>
      </c>
      <c r="QG162" s="91">
        <f t="shared" si="1214"/>
        <v>0</v>
      </c>
      <c r="QH162" s="91">
        <f t="shared" si="1215"/>
        <v>0</v>
      </c>
      <c r="QW162" s="91">
        <f t="shared" si="1216"/>
        <v>0</v>
      </c>
      <c r="QX162" s="91">
        <f t="shared" si="1217"/>
        <v>0</v>
      </c>
      <c r="RM162" s="91">
        <f t="shared" si="1218"/>
        <v>0</v>
      </c>
      <c r="RN162" s="91">
        <f t="shared" si="1219"/>
        <v>0</v>
      </c>
      <c r="SC162" s="91">
        <f t="shared" si="1220"/>
        <v>0</v>
      </c>
      <c r="SD162" s="91">
        <f t="shared" si="1221"/>
        <v>0</v>
      </c>
      <c r="SS162" s="91">
        <f t="shared" si="1222"/>
        <v>0</v>
      </c>
      <c r="ST162" s="91">
        <f t="shared" si="1223"/>
        <v>0</v>
      </c>
      <c r="TI162" s="91">
        <f t="shared" si="1224"/>
        <v>0</v>
      </c>
      <c r="TJ162" s="91">
        <f t="shared" si="1225"/>
        <v>0</v>
      </c>
      <c r="TY162" s="91">
        <f t="shared" si="1226"/>
        <v>0</v>
      </c>
      <c r="TZ162" s="91">
        <f t="shared" si="1227"/>
        <v>0</v>
      </c>
      <c r="UO162" s="91">
        <f t="shared" si="1228"/>
        <v>0</v>
      </c>
      <c r="UP162" s="91">
        <f t="shared" si="1229"/>
        <v>0</v>
      </c>
      <c r="VE162" s="91">
        <f t="shared" si="1230"/>
        <v>0</v>
      </c>
      <c r="VF162" s="91">
        <f t="shared" si="1231"/>
        <v>0</v>
      </c>
      <c r="VU162" s="91">
        <f t="shared" si="1232"/>
        <v>0</v>
      </c>
      <c r="VV162" s="91">
        <f t="shared" si="1233"/>
        <v>0</v>
      </c>
      <c r="WK162" s="91">
        <f t="shared" si="1234"/>
        <v>0</v>
      </c>
      <c r="WL162" s="91">
        <f t="shared" si="1235"/>
        <v>0</v>
      </c>
      <c r="WM162" s="89"/>
      <c r="WN162" s="87">
        <f t="shared" si="1286"/>
        <v>0</v>
      </c>
      <c r="WO162" s="87">
        <f t="shared" si="1287"/>
        <v>0</v>
      </c>
      <c r="WP162" s="87">
        <f t="shared" si="1288"/>
        <v>0</v>
      </c>
      <c r="WQ162" s="87">
        <f t="shared" si="1289"/>
        <v>0</v>
      </c>
      <c r="WR162" s="87">
        <f t="shared" si="1290"/>
        <v>0</v>
      </c>
      <c r="WS162" s="87">
        <f t="shared" si="1291"/>
        <v>0</v>
      </c>
      <c r="WT162" s="87">
        <f t="shared" si="1292"/>
        <v>0</v>
      </c>
      <c r="WU162" s="87">
        <f t="shared" si="1293"/>
        <v>0</v>
      </c>
      <c r="WV162" s="87">
        <f t="shared" si="1294"/>
        <v>0</v>
      </c>
      <c r="WW162" s="87">
        <f t="shared" si="1295"/>
        <v>0</v>
      </c>
      <c r="WX162" s="87">
        <f t="shared" si="1296"/>
        <v>0</v>
      </c>
      <c r="WY162" s="87">
        <f t="shared" si="1297"/>
        <v>0</v>
      </c>
      <c r="WZ162" s="87">
        <f t="shared" si="1278"/>
        <v>0</v>
      </c>
      <c r="XA162" s="87">
        <f t="shared" si="1279"/>
        <v>0</v>
      </c>
      <c r="XB162" s="92">
        <f t="shared" si="1298"/>
        <v>0</v>
      </c>
      <c r="XC162" s="92">
        <f t="shared" si="1299"/>
        <v>0</v>
      </c>
      <c r="XD162" s="89"/>
      <c r="XE162" s="92">
        <f t="shared" ref="XE162:XF162" si="1306">SUM(XB390,XB428,XB466)</f>
        <v>0</v>
      </c>
      <c r="XF162" s="92">
        <f t="shared" si="1306"/>
        <v>0</v>
      </c>
      <c r="XG162" s="89"/>
      <c r="XH162" s="92"/>
      <c r="XI162" s="92"/>
      <c r="XJ162" s="89"/>
      <c r="XK162" s="87"/>
      <c r="XL162" s="87"/>
      <c r="XM162" s="87"/>
      <c r="XN162" s="87"/>
      <c r="XO162" s="87"/>
      <c r="XP162" s="87"/>
      <c r="XQ162" s="87"/>
      <c r="XR162" s="92">
        <f t="shared" ca="1" si="1252"/>
        <v>0</v>
      </c>
      <c r="XS162" s="89"/>
      <c r="XT162" s="87"/>
      <c r="XU162" s="87"/>
      <c r="XV162" s="87"/>
      <c r="XW162" s="87"/>
      <c r="XX162" s="87"/>
      <c r="XY162" s="87"/>
      <c r="XZ162" s="87"/>
      <c r="YA162" s="92">
        <f t="shared" ca="1" si="1253"/>
        <v>0</v>
      </c>
      <c r="YB162" s="90"/>
      <c r="YC162" s="90"/>
      <c r="YD162" s="90"/>
      <c r="YE162" s="90"/>
      <c r="YF162" s="90"/>
      <c r="YG162" s="90"/>
      <c r="YH162" s="90"/>
      <c r="YI162" s="90"/>
      <c r="YJ162" s="90"/>
      <c r="YK162" s="90"/>
      <c r="YL162" s="90"/>
      <c r="YM162" s="90"/>
      <c r="YN162" s="90"/>
      <c r="YO162" s="90"/>
      <c r="YP162" s="90"/>
      <c r="YQ162" s="90"/>
      <c r="YR162" s="90"/>
      <c r="YS162" s="90"/>
      <c r="YT162" s="90"/>
      <c r="YU162" s="90"/>
      <c r="YV162" s="90"/>
      <c r="YW162" s="90"/>
      <c r="YX162" s="90"/>
      <c r="YY162" s="90"/>
      <c r="YZ162" s="90"/>
      <c r="ZA162" s="90"/>
      <c r="ZB162" s="90"/>
      <c r="ZC162" s="90"/>
      <c r="ZD162" s="90"/>
      <c r="ZE162" s="90"/>
      <c r="ZF162" s="90"/>
      <c r="ZG162" s="90"/>
      <c r="ZH162" s="90"/>
      <c r="ZI162" s="90"/>
      <c r="ZJ162" s="90"/>
      <c r="ZK162" s="90"/>
      <c r="ZL162" s="90"/>
      <c r="ZM162" s="90"/>
      <c r="ZN162" s="90"/>
      <c r="ZO162" s="90"/>
      <c r="ZP162" s="90"/>
      <c r="ZQ162" s="90"/>
      <c r="ZR162" s="90"/>
      <c r="ZS162" s="90"/>
      <c r="ZT162" s="90"/>
      <c r="ZU162" s="90"/>
      <c r="ZV162" s="90"/>
      <c r="ZW162" s="90"/>
      <c r="ZX162" s="90"/>
      <c r="ZY162" s="90"/>
      <c r="ZZ162" s="90"/>
      <c r="AAA162" s="90"/>
      <c r="AAB162" s="90"/>
      <c r="AAC162" s="90"/>
      <c r="AAD162" s="90"/>
      <c r="AAE162" s="90"/>
      <c r="AAF162" s="90"/>
      <c r="AAG162" s="90"/>
      <c r="AAH162" s="90"/>
      <c r="AAI162" s="90"/>
      <c r="AAJ162" s="90"/>
      <c r="AAK162" s="90"/>
      <c r="AAL162" s="90"/>
      <c r="AAM162" s="90"/>
      <c r="AAN162" s="90"/>
      <c r="AAO162" s="90"/>
      <c r="AAP162" s="90"/>
      <c r="AAQ162" s="90"/>
      <c r="AAR162" s="90"/>
      <c r="AAS162" s="90"/>
      <c r="AAT162" s="90"/>
      <c r="AAU162" s="90"/>
      <c r="AAV162" s="90"/>
      <c r="AAW162" s="90"/>
      <c r="AAX162" s="90"/>
      <c r="AAY162" s="90"/>
      <c r="AAZ162" s="90"/>
      <c r="ABA162" s="90"/>
      <c r="ABB162" s="90"/>
      <c r="ABC162" s="90"/>
      <c r="ABD162" s="90"/>
      <c r="ABE162" s="90"/>
      <c r="ABF162" s="90"/>
      <c r="ABG162" s="90"/>
      <c r="ABH162" s="90"/>
      <c r="ABI162" s="90"/>
      <c r="ABJ162" s="90"/>
      <c r="ABK162" s="90"/>
      <c r="ABL162" s="90"/>
      <c r="ABM162" s="90"/>
      <c r="ABN162" s="90"/>
      <c r="ABO162" s="90"/>
      <c r="ABP162" s="90"/>
      <c r="ABQ162" s="90"/>
      <c r="ABR162" s="90"/>
      <c r="ABS162" s="90"/>
      <c r="ABT162" s="90"/>
      <c r="ABU162" s="90"/>
      <c r="ABV162" s="90"/>
      <c r="ABW162" s="90"/>
      <c r="ABX162" s="90"/>
      <c r="ABY162" s="90"/>
      <c r="ABZ162" s="90"/>
      <c r="ACA162" s="90"/>
      <c r="ACB162" s="90"/>
      <c r="ACC162" s="90"/>
      <c r="ACD162" s="90"/>
      <c r="ACE162" s="90"/>
      <c r="ACF162" s="90"/>
      <c r="ACG162" s="90"/>
      <c r="ACH162" s="90"/>
      <c r="ACI162" s="90"/>
      <c r="ACJ162" s="90"/>
      <c r="ACK162" s="90"/>
      <c r="ACL162" s="90"/>
      <c r="ACM162" s="90"/>
      <c r="ACN162" s="90"/>
      <c r="ACO162" s="90"/>
      <c r="ACP162" s="90"/>
      <c r="ACQ162" s="90"/>
      <c r="ACR162" s="90"/>
      <c r="ACS162" s="90"/>
      <c r="ACT162" s="90"/>
      <c r="ACU162" s="90"/>
      <c r="ACV162" s="90"/>
      <c r="ACW162" s="90"/>
      <c r="ACX162" s="90"/>
      <c r="ACY162" s="90"/>
      <c r="ACZ162" s="90"/>
      <c r="ADA162" s="90"/>
      <c r="ADB162" s="90"/>
      <c r="ADC162" s="90"/>
      <c r="ADD162" s="90"/>
      <c r="ADE162" s="90"/>
      <c r="ADF162" s="90"/>
      <c r="ADG162" s="90"/>
      <c r="ADH162" s="90"/>
      <c r="ADI162" s="90"/>
      <c r="ADJ162" s="90"/>
      <c r="ADK162" s="90"/>
      <c r="ADL162" s="90"/>
      <c r="ADM162" s="90"/>
      <c r="ADN162" s="90"/>
      <c r="ADO162" s="90"/>
      <c r="ADP162" s="90"/>
      <c r="ADQ162" s="90"/>
      <c r="ADR162" s="90"/>
      <c r="ADS162" s="90"/>
      <c r="ADT162" s="90"/>
      <c r="ADU162" s="90"/>
      <c r="ADV162" s="90"/>
      <c r="ADW162" s="90"/>
      <c r="ADX162" s="90"/>
      <c r="ADY162" s="90"/>
      <c r="ADZ162" s="90"/>
      <c r="AEA162" s="90"/>
      <c r="AEB162" s="90"/>
      <c r="AEC162" s="90"/>
      <c r="AED162" s="90"/>
      <c r="AEE162" s="90"/>
      <c r="AEF162" s="90"/>
      <c r="AEG162" s="90"/>
      <c r="AEH162" s="90"/>
      <c r="AEI162" s="90"/>
      <c r="AEJ162" s="90"/>
      <c r="AEK162" s="90"/>
      <c r="AEL162" s="90"/>
      <c r="AEM162" s="90"/>
      <c r="AEN162" s="90"/>
      <c r="AEO162" s="90"/>
      <c r="AEP162" s="90"/>
      <c r="AEQ162" s="90"/>
      <c r="AER162" s="90"/>
      <c r="AES162" s="90"/>
      <c r="AET162" s="90"/>
      <c r="AEU162" s="90"/>
      <c r="AEV162" s="90"/>
      <c r="AEW162" s="90"/>
      <c r="AEX162" s="90"/>
      <c r="AEY162" s="90"/>
      <c r="AEZ162" s="90"/>
      <c r="AFA162" s="90"/>
      <c r="AFB162" s="90"/>
      <c r="AFC162" s="90"/>
      <c r="AFD162" s="90"/>
      <c r="AFE162" s="90"/>
      <c r="AFF162" s="90"/>
      <c r="AFG162" s="90"/>
      <c r="AFH162" s="90"/>
      <c r="AFI162" s="90"/>
      <c r="AFJ162" s="90"/>
      <c r="AFK162" s="90"/>
      <c r="AFL162" s="90"/>
      <c r="AFM162" s="90"/>
      <c r="AFN162" s="90"/>
      <c r="AFO162" s="90"/>
      <c r="AFP162" s="90"/>
      <c r="AFQ162" s="90"/>
      <c r="AFR162" s="90"/>
      <c r="AFS162" s="90"/>
      <c r="AFT162" s="90"/>
      <c r="AFU162" s="90"/>
      <c r="AFV162" s="90"/>
      <c r="AFW162" s="90"/>
      <c r="AFX162" s="90"/>
      <c r="AFY162" s="90"/>
      <c r="AFZ162" s="90"/>
      <c r="AGA162" s="90"/>
      <c r="AGB162" s="90"/>
      <c r="AGC162" s="90"/>
      <c r="AGD162" s="90"/>
      <c r="AGE162" s="90"/>
      <c r="AGF162" s="90"/>
      <c r="AGG162" s="90"/>
      <c r="AGH162" s="90"/>
      <c r="AGI162" s="90"/>
      <c r="AGJ162" s="90"/>
      <c r="AGK162" s="90"/>
      <c r="AGL162" s="90"/>
      <c r="AGM162" s="90"/>
      <c r="AGN162" s="90"/>
      <c r="AGO162" s="90"/>
      <c r="AGP162" s="90"/>
      <c r="AGQ162" s="90"/>
      <c r="AGR162" s="90"/>
      <c r="AGS162" s="90"/>
      <c r="AGT162" s="90"/>
      <c r="AGU162" s="90"/>
      <c r="AGV162" s="90"/>
      <c r="AGW162" s="90"/>
      <c r="AGX162" s="90"/>
      <c r="AGY162" s="90"/>
      <c r="AGZ162" s="90"/>
      <c r="AHA162" s="90"/>
      <c r="AHB162" s="90"/>
      <c r="AHC162" s="90"/>
      <c r="AHD162" s="90"/>
      <c r="AHE162" s="90"/>
      <c r="AHF162" s="90"/>
      <c r="AHG162" s="90"/>
      <c r="AHH162" s="90"/>
      <c r="AHI162" s="90"/>
      <c r="AHJ162" s="90"/>
      <c r="AHK162" s="90"/>
      <c r="AHL162" s="90"/>
      <c r="AHM162" s="90"/>
      <c r="AHN162" s="90"/>
      <c r="AHO162" s="90"/>
      <c r="AHP162" s="90"/>
      <c r="AHQ162" s="90"/>
      <c r="AHR162" s="90"/>
      <c r="AHS162" s="90"/>
      <c r="AHT162" s="90"/>
      <c r="AHU162" s="90"/>
      <c r="AHV162" s="90"/>
      <c r="AHW162" s="90"/>
      <c r="AHX162" s="90"/>
      <c r="AHY162" s="90"/>
      <c r="AHZ162" s="90"/>
      <c r="AIA162" s="90"/>
      <c r="AIB162" s="90"/>
      <c r="AIC162" s="90"/>
      <c r="AID162" s="90"/>
      <c r="AIE162" s="90"/>
      <c r="AIF162" s="90"/>
      <c r="AIG162" s="90"/>
      <c r="AIH162" s="90"/>
      <c r="AII162" s="90"/>
      <c r="AIJ162" s="90"/>
      <c r="AIK162" s="90"/>
      <c r="AIL162" s="90"/>
      <c r="AIM162" s="90"/>
      <c r="AIN162" s="90"/>
      <c r="AIO162" s="90"/>
      <c r="AIP162" s="90"/>
      <c r="AIQ162" s="90"/>
      <c r="AIR162" s="90"/>
      <c r="AIS162" s="90"/>
      <c r="AIT162" s="90"/>
      <c r="AIU162" s="90"/>
      <c r="AIV162" s="90"/>
      <c r="AIW162" s="90"/>
      <c r="AIX162" s="90"/>
      <c r="AIY162" s="90"/>
      <c r="AIZ162" s="90"/>
      <c r="AJA162" s="90"/>
      <c r="AJB162" s="90"/>
      <c r="AJC162" s="90"/>
      <c r="AJD162" s="90"/>
      <c r="AJE162" s="90"/>
      <c r="AJF162" s="90"/>
      <c r="AJG162" s="90"/>
      <c r="AJH162" s="90"/>
      <c r="AJI162" s="90"/>
      <c r="AJJ162" s="90"/>
      <c r="AJK162" s="90"/>
      <c r="AJL162" s="90"/>
      <c r="AJM162" s="90"/>
      <c r="AJN162" s="90"/>
      <c r="AJO162" s="90"/>
      <c r="AJP162" s="90"/>
      <c r="AJQ162" s="90"/>
      <c r="AJR162" s="90"/>
      <c r="AJS162" s="90"/>
      <c r="AJT162" s="90"/>
      <c r="AJU162" s="90"/>
      <c r="AJV162" s="90"/>
      <c r="AJW162" s="90"/>
      <c r="AJX162" s="90"/>
      <c r="AJY162" s="90"/>
      <c r="AJZ162" s="90"/>
      <c r="AKA162" s="90"/>
      <c r="AKB162" s="90"/>
      <c r="AKC162" s="90"/>
      <c r="AKD162" s="90"/>
      <c r="AKE162" s="90"/>
      <c r="AKF162" s="90"/>
      <c r="AKG162" s="90"/>
      <c r="AKH162" s="90"/>
      <c r="AKI162" s="90"/>
      <c r="AKJ162" s="90"/>
      <c r="AKK162" s="90"/>
      <c r="AKL162" s="90"/>
      <c r="AKM162" s="90"/>
      <c r="AKN162" s="90"/>
      <c r="AKO162" s="90"/>
      <c r="AKP162" s="90"/>
      <c r="AKQ162" s="90"/>
      <c r="AKR162" s="90"/>
      <c r="AKS162" s="90"/>
      <c r="AKT162" s="90"/>
      <c r="AKU162" s="90"/>
      <c r="AKV162" s="90"/>
      <c r="AKW162" s="90"/>
      <c r="AKX162" s="90"/>
      <c r="AKY162" s="90"/>
      <c r="AKZ162" s="90"/>
      <c r="ALA162" s="90"/>
      <c r="ALB162" s="90"/>
      <c r="ALC162" s="90"/>
      <c r="ALD162" s="90"/>
      <c r="ALE162" s="90"/>
      <c r="ALF162" s="90"/>
      <c r="ALG162" s="90"/>
      <c r="ALH162" s="90"/>
      <c r="ALI162" s="90"/>
      <c r="ALJ162" s="90"/>
      <c r="ALK162" s="90"/>
      <c r="ALL162" s="90"/>
      <c r="ALM162" s="90"/>
      <c r="ALN162" s="90"/>
      <c r="ALO162" s="90"/>
      <c r="ALP162" s="90"/>
      <c r="ALQ162" s="90"/>
      <c r="ALR162" s="90"/>
      <c r="ALS162" s="90"/>
      <c r="ALT162" s="90"/>
      <c r="ALU162" s="90"/>
      <c r="ALV162" s="90"/>
      <c r="ALW162" s="90"/>
      <c r="ALX162" s="90"/>
      <c r="ALY162" s="90"/>
      <c r="ALZ162" s="90"/>
      <c r="AMA162" s="90"/>
      <c r="AMB162" s="90"/>
      <c r="AMC162" s="90"/>
    </row>
    <row r="163" spans="1:1017">
      <c r="A163" s="98" t="s">
        <v>48</v>
      </c>
      <c r="B163" s="90" t="str">
        <f t="shared" si="1284"/>
        <v>Ikan_04 (Ikan Keting)</v>
      </c>
      <c r="Q163" s="91">
        <f t="shared" si="1160"/>
        <v>0</v>
      </c>
      <c r="R163" s="91">
        <f t="shared" si="1161"/>
        <v>0</v>
      </c>
      <c r="AG163" s="91">
        <f t="shared" si="1162"/>
        <v>0</v>
      </c>
      <c r="AH163" s="91">
        <f t="shared" si="1163"/>
        <v>0</v>
      </c>
      <c r="AW163" s="91">
        <f t="shared" si="1164"/>
        <v>0</v>
      </c>
      <c r="AX163" s="91">
        <f t="shared" si="1165"/>
        <v>0</v>
      </c>
      <c r="BM163" s="91">
        <f t="shared" si="1166"/>
        <v>0</v>
      </c>
      <c r="BN163" s="91">
        <f t="shared" si="1167"/>
        <v>0</v>
      </c>
      <c r="CC163" s="91">
        <f t="shared" si="1168"/>
        <v>0</v>
      </c>
      <c r="CD163" s="91">
        <f t="shared" si="1169"/>
        <v>0</v>
      </c>
      <c r="CS163" s="91">
        <f t="shared" si="1254"/>
        <v>0</v>
      </c>
      <c r="CT163" s="91">
        <f t="shared" si="1255"/>
        <v>0</v>
      </c>
      <c r="DI163" s="91">
        <f t="shared" si="1172"/>
        <v>0</v>
      </c>
      <c r="DJ163" s="91">
        <f t="shared" si="1173"/>
        <v>0</v>
      </c>
      <c r="DY163" s="91">
        <f t="shared" si="1174"/>
        <v>0</v>
      </c>
      <c r="DZ163" s="91">
        <f t="shared" si="1175"/>
        <v>0</v>
      </c>
      <c r="EO163" s="91">
        <f t="shared" si="1176"/>
        <v>0</v>
      </c>
      <c r="EP163" s="91">
        <f t="shared" si="1177"/>
        <v>0</v>
      </c>
      <c r="FE163" s="91">
        <f t="shared" si="1178"/>
        <v>0</v>
      </c>
      <c r="FF163" s="91">
        <f t="shared" si="1179"/>
        <v>0</v>
      </c>
      <c r="FU163" s="91">
        <f t="shared" si="1180"/>
        <v>0</v>
      </c>
      <c r="FV163" s="91">
        <f t="shared" si="1181"/>
        <v>0</v>
      </c>
      <c r="GK163" s="91">
        <f t="shared" si="1182"/>
        <v>0</v>
      </c>
      <c r="GL163" s="91">
        <f t="shared" si="1183"/>
        <v>0</v>
      </c>
      <c r="HA163" s="91">
        <f t="shared" si="1184"/>
        <v>0</v>
      </c>
      <c r="HB163" s="91">
        <f t="shared" si="1185"/>
        <v>0</v>
      </c>
      <c r="HQ163" s="91">
        <f t="shared" si="1186"/>
        <v>0</v>
      </c>
      <c r="HR163" s="91">
        <f t="shared" si="1187"/>
        <v>0</v>
      </c>
      <c r="IG163" s="91">
        <f t="shared" si="1188"/>
        <v>0</v>
      </c>
      <c r="IH163" s="91">
        <f t="shared" si="1189"/>
        <v>0</v>
      </c>
      <c r="IW163" s="91">
        <f t="shared" si="1190"/>
        <v>0</v>
      </c>
      <c r="IX163" s="91">
        <f t="shared" si="1191"/>
        <v>0</v>
      </c>
      <c r="JM163" s="91">
        <f t="shared" si="1192"/>
        <v>0</v>
      </c>
      <c r="JN163" s="91">
        <f t="shared" si="1193"/>
        <v>0</v>
      </c>
      <c r="KC163" s="91">
        <f t="shared" si="1194"/>
        <v>0</v>
      </c>
      <c r="KD163" s="91">
        <f t="shared" si="1195"/>
        <v>0</v>
      </c>
      <c r="KS163" s="91">
        <f t="shared" si="1196"/>
        <v>0</v>
      </c>
      <c r="KT163" s="91">
        <f t="shared" si="1197"/>
        <v>0</v>
      </c>
      <c r="LI163" s="91">
        <f t="shared" si="1198"/>
        <v>0</v>
      </c>
      <c r="LJ163" s="91">
        <f t="shared" si="1199"/>
        <v>0</v>
      </c>
      <c r="LY163" s="91">
        <f t="shared" si="1200"/>
        <v>0</v>
      </c>
      <c r="LZ163" s="91">
        <f t="shared" si="1201"/>
        <v>0</v>
      </c>
      <c r="MO163" s="91">
        <f t="shared" si="1202"/>
        <v>0</v>
      </c>
      <c r="MP163" s="91">
        <f t="shared" si="1203"/>
        <v>0</v>
      </c>
      <c r="NE163" s="91">
        <f t="shared" si="1204"/>
        <v>0</v>
      </c>
      <c r="NF163" s="91">
        <f t="shared" si="1205"/>
        <v>0</v>
      </c>
      <c r="NI163" s="98">
        <v>108400</v>
      </c>
      <c r="NJ163" s="98">
        <v>1300800</v>
      </c>
      <c r="NU163" s="91">
        <f t="shared" si="1206"/>
        <v>108400</v>
      </c>
      <c r="NV163" s="91">
        <f t="shared" si="1207"/>
        <v>1300800</v>
      </c>
      <c r="OK163" s="91">
        <f t="shared" si="1208"/>
        <v>0</v>
      </c>
      <c r="OL163" s="91">
        <f t="shared" si="1209"/>
        <v>0</v>
      </c>
      <c r="PA163" s="91">
        <f t="shared" si="1210"/>
        <v>0</v>
      </c>
      <c r="PB163" s="91">
        <f t="shared" si="1211"/>
        <v>0</v>
      </c>
      <c r="PQ163" s="91">
        <f t="shared" si="1212"/>
        <v>0</v>
      </c>
      <c r="PR163" s="91">
        <f t="shared" si="1213"/>
        <v>0</v>
      </c>
      <c r="QG163" s="91">
        <f t="shared" si="1214"/>
        <v>0</v>
      </c>
      <c r="QH163" s="91">
        <f t="shared" si="1215"/>
        <v>0</v>
      </c>
      <c r="QW163" s="91">
        <f t="shared" si="1216"/>
        <v>0</v>
      </c>
      <c r="QX163" s="91">
        <f t="shared" si="1217"/>
        <v>0</v>
      </c>
      <c r="RM163" s="91">
        <f t="shared" si="1218"/>
        <v>0</v>
      </c>
      <c r="RN163" s="91">
        <f t="shared" si="1219"/>
        <v>0</v>
      </c>
      <c r="SC163" s="91">
        <f t="shared" si="1220"/>
        <v>0</v>
      </c>
      <c r="SD163" s="91">
        <f t="shared" si="1221"/>
        <v>0</v>
      </c>
      <c r="SS163" s="91">
        <f t="shared" si="1222"/>
        <v>0</v>
      </c>
      <c r="ST163" s="91">
        <f t="shared" si="1223"/>
        <v>0</v>
      </c>
      <c r="TI163" s="91">
        <f t="shared" si="1224"/>
        <v>0</v>
      </c>
      <c r="TJ163" s="91">
        <f t="shared" si="1225"/>
        <v>0</v>
      </c>
      <c r="TY163" s="91">
        <f t="shared" si="1226"/>
        <v>0</v>
      </c>
      <c r="TZ163" s="91">
        <f t="shared" si="1227"/>
        <v>0</v>
      </c>
      <c r="UO163" s="91">
        <f t="shared" si="1228"/>
        <v>0</v>
      </c>
      <c r="UP163" s="91">
        <f t="shared" ref="UP163:UP164" si="1307">SUMIF($C$12:$P$12,$A$1,UB163:UO163)</f>
        <v>0</v>
      </c>
      <c r="VE163" s="91">
        <f t="shared" si="1230"/>
        <v>0</v>
      </c>
      <c r="VF163" s="91">
        <f t="shared" si="1231"/>
        <v>0</v>
      </c>
      <c r="VU163" s="91">
        <f t="shared" si="1232"/>
        <v>0</v>
      </c>
      <c r="VV163" s="91">
        <f t="shared" si="1233"/>
        <v>0</v>
      </c>
      <c r="WK163" s="91">
        <f t="shared" si="1234"/>
        <v>0</v>
      </c>
      <c r="WL163" s="91">
        <f t="shared" si="1235"/>
        <v>0</v>
      </c>
      <c r="WM163" s="89"/>
      <c r="WN163" s="87">
        <f t="shared" si="1286"/>
        <v>0</v>
      </c>
      <c r="WO163" s="87">
        <f t="shared" si="1287"/>
        <v>0</v>
      </c>
      <c r="WP163" s="87">
        <f t="shared" si="1288"/>
        <v>108400</v>
      </c>
      <c r="WQ163" s="87">
        <f t="shared" si="1289"/>
        <v>1300800</v>
      </c>
      <c r="WR163" s="87">
        <f t="shared" si="1290"/>
        <v>0</v>
      </c>
      <c r="WS163" s="87">
        <f t="shared" si="1291"/>
        <v>0</v>
      </c>
      <c r="WT163" s="87">
        <f t="shared" si="1292"/>
        <v>0</v>
      </c>
      <c r="WU163" s="87">
        <f t="shared" si="1293"/>
        <v>0</v>
      </c>
      <c r="WV163" s="87">
        <f t="shared" si="1294"/>
        <v>0</v>
      </c>
      <c r="WW163" s="87">
        <f t="shared" si="1295"/>
        <v>0</v>
      </c>
      <c r="WX163" s="87">
        <f t="shared" si="1296"/>
        <v>0</v>
      </c>
      <c r="WY163" s="87">
        <f t="shared" si="1297"/>
        <v>0</v>
      </c>
      <c r="WZ163" s="87">
        <f t="shared" si="1278"/>
        <v>0</v>
      </c>
      <c r="XA163" s="87">
        <f t="shared" si="1279"/>
        <v>0</v>
      </c>
      <c r="XB163" s="92">
        <f t="shared" si="1298"/>
        <v>108400</v>
      </c>
      <c r="XC163" s="92">
        <f t="shared" si="1299"/>
        <v>1300800</v>
      </c>
      <c r="XD163" s="89"/>
      <c r="XE163" s="92">
        <f t="shared" ref="XE163:XF163" si="1308">SUM(XB391,XB429,XB467)</f>
        <v>246300</v>
      </c>
      <c r="XF163" s="92">
        <f t="shared" si="1308"/>
        <v>2955600</v>
      </c>
      <c r="XG163" s="89"/>
      <c r="XH163" s="92"/>
      <c r="XI163" s="92"/>
      <c r="XJ163" s="89"/>
      <c r="XK163" s="87"/>
      <c r="XL163" s="87"/>
      <c r="XM163" s="87"/>
      <c r="XN163" s="87"/>
      <c r="XO163" s="87"/>
      <c r="XP163" s="87"/>
      <c r="XQ163" s="87"/>
      <c r="XR163" s="92">
        <f t="shared" ca="1" si="1252"/>
        <v>0</v>
      </c>
      <c r="XS163" s="89"/>
      <c r="XT163" s="87"/>
      <c r="XU163" s="87"/>
      <c r="XV163" s="87"/>
      <c r="XW163" s="87"/>
      <c r="XX163" s="87"/>
      <c r="XY163" s="87"/>
      <c r="XZ163" s="87"/>
      <c r="YA163" s="92">
        <f t="shared" ca="1" si="1253"/>
        <v>0</v>
      </c>
      <c r="YB163" s="90"/>
      <c r="YC163" s="90"/>
      <c r="YD163" s="90"/>
      <c r="YE163" s="90"/>
      <c r="YF163" s="90"/>
      <c r="YG163" s="90"/>
      <c r="YH163" s="90"/>
      <c r="YI163" s="90"/>
      <c r="YJ163" s="90"/>
      <c r="YK163" s="90"/>
      <c r="YL163" s="90"/>
      <c r="YM163" s="90"/>
      <c r="YN163" s="90"/>
      <c r="YO163" s="90"/>
      <c r="YP163" s="90"/>
      <c r="YQ163" s="90"/>
      <c r="YR163" s="90"/>
      <c r="YS163" s="90"/>
      <c r="YT163" s="90"/>
      <c r="YU163" s="90"/>
      <c r="YV163" s="90"/>
      <c r="YW163" s="90"/>
      <c r="YX163" s="90"/>
      <c r="YY163" s="90"/>
      <c r="YZ163" s="90"/>
      <c r="ZA163" s="90"/>
      <c r="ZB163" s="90"/>
      <c r="ZC163" s="90"/>
      <c r="ZD163" s="90"/>
      <c r="ZE163" s="90"/>
      <c r="ZF163" s="90"/>
      <c r="ZG163" s="90"/>
      <c r="ZH163" s="90"/>
      <c r="ZI163" s="90"/>
      <c r="ZJ163" s="90"/>
      <c r="ZK163" s="90"/>
      <c r="ZL163" s="90"/>
      <c r="ZM163" s="90"/>
      <c r="ZN163" s="90"/>
      <c r="ZO163" s="90"/>
      <c r="ZP163" s="90"/>
      <c r="ZQ163" s="90"/>
      <c r="ZR163" s="90"/>
      <c r="ZS163" s="90"/>
      <c r="ZT163" s="90"/>
      <c r="ZU163" s="90"/>
      <c r="ZV163" s="90"/>
      <c r="ZW163" s="90"/>
      <c r="ZX163" s="90"/>
      <c r="ZY163" s="90"/>
      <c r="ZZ163" s="90"/>
      <c r="AAA163" s="90"/>
      <c r="AAB163" s="90"/>
      <c r="AAC163" s="90"/>
      <c r="AAD163" s="90"/>
      <c r="AAE163" s="90"/>
      <c r="AAF163" s="90"/>
      <c r="AAG163" s="90"/>
      <c r="AAH163" s="90"/>
      <c r="AAI163" s="90"/>
      <c r="AAJ163" s="90"/>
      <c r="AAK163" s="90"/>
      <c r="AAL163" s="90"/>
      <c r="AAM163" s="90"/>
      <c r="AAN163" s="90"/>
      <c r="AAO163" s="90"/>
      <c r="AAP163" s="90"/>
      <c r="AAQ163" s="90"/>
      <c r="AAR163" s="90"/>
      <c r="AAS163" s="90"/>
      <c r="AAT163" s="90"/>
      <c r="AAU163" s="90"/>
      <c r="AAV163" s="90"/>
      <c r="AAW163" s="90"/>
      <c r="AAX163" s="90"/>
      <c r="AAY163" s="90"/>
      <c r="AAZ163" s="90"/>
      <c r="ABA163" s="90"/>
      <c r="ABB163" s="90"/>
      <c r="ABC163" s="90"/>
      <c r="ABD163" s="90"/>
      <c r="ABE163" s="90"/>
      <c r="ABF163" s="90"/>
      <c r="ABG163" s="90"/>
      <c r="ABH163" s="90"/>
      <c r="ABI163" s="90"/>
      <c r="ABJ163" s="90"/>
      <c r="ABK163" s="90"/>
      <c r="ABL163" s="90"/>
      <c r="ABM163" s="90"/>
      <c r="ABN163" s="90"/>
      <c r="ABO163" s="90"/>
      <c r="ABP163" s="90"/>
      <c r="ABQ163" s="90"/>
      <c r="ABR163" s="90"/>
      <c r="ABS163" s="90"/>
      <c r="ABT163" s="90"/>
      <c r="ABU163" s="90"/>
      <c r="ABV163" s="90"/>
      <c r="ABW163" s="90"/>
      <c r="ABX163" s="90"/>
      <c r="ABY163" s="90"/>
      <c r="ABZ163" s="90"/>
      <c r="ACA163" s="90"/>
      <c r="ACB163" s="90"/>
      <c r="ACC163" s="90"/>
      <c r="ACD163" s="90"/>
      <c r="ACE163" s="90"/>
      <c r="ACF163" s="90"/>
      <c r="ACG163" s="90"/>
      <c r="ACH163" s="90"/>
      <c r="ACI163" s="90"/>
      <c r="ACJ163" s="90"/>
      <c r="ACK163" s="90"/>
      <c r="ACL163" s="90"/>
      <c r="ACM163" s="90"/>
      <c r="ACN163" s="90"/>
      <c r="ACO163" s="90"/>
      <c r="ACP163" s="90"/>
      <c r="ACQ163" s="90"/>
      <c r="ACR163" s="90"/>
      <c r="ACS163" s="90"/>
      <c r="ACT163" s="90"/>
      <c r="ACU163" s="90"/>
      <c r="ACV163" s="90"/>
      <c r="ACW163" s="90"/>
      <c r="ACX163" s="90"/>
      <c r="ACY163" s="90"/>
      <c r="ACZ163" s="90"/>
      <c r="ADA163" s="90"/>
      <c r="ADB163" s="90"/>
      <c r="ADC163" s="90"/>
      <c r="ADD163" s="90"/>
      <c r="ADE163" s="90"/>
      <c r="ADF163" s="90"/>
      <c r="ADG163" s="90"/>
      <c r="ADH163" s="90"/>
      <c r="ADI163" s="90"/>
      <c r="ADJ163" s="90"/>
      <c r="ADK163" s="90"/>
      <c r="ADL163" s="90"/>
      <c r="ADM163" s="90"/>
      <c r="ADN163" s="90"/>
      <c r="ADO163" s="90"/>
      <c r="ADP163" s="90"/>
      <c r="ADQ163" s="90"/>
      <c r="ADR163" s="90"/>
      <c r="ADS163" s="90"/>
      <c r="ADT163" s="90"/>
      <c r="ADU163" s="90"/>
      <c r="ADV163" s="90"/>
      <c r="ADW163" s="90"/>
      <c r="ADX163" s="90"/>
      <c r="ADY163" s="90"/>
      <c r="ADZ163" s="90"/>
      <c r="AEA163" s="90"/>
      <c r="AEB163" s="90"/>
      <c r="AEC163" s="90"/>
      <c r="AED163" s="90"/>
      <c r="AEE163" s="90"/>
      <c r="AEF163" s="90"/>
      <c r="AEG163" s="90"/>
      <c r="AEH163" s="90"/>
      <c r="AEI163" s="90"/>
      <c r="AEJ163" s="90"/>
      <c r="AEK163" s="90"/>
      <c r="AEL163" s="90"/>
      <c r="AEM163" s="90"/>
      <c r="AEN163" s="90"/>
      <c r="AEO163" s="90"/>
      <c r="AEP163" s="90"/>
      <c r="AEQ163" s="90"/>
      <c r="AER163" s="90"/>
      <c r="AES163" s="90"/>
      <c r="AET163" s="90"/>
      <c r="AEU163" s="90"/>
      <c r="AEV163" s="90"/>
      <c r="AEW163" s="90"/>
      <c r="AEX163" s="90"/>
      <c r="AEY163" s="90"/>
      <c r="AEZ163" s="90"/>
      <c r="AFA163" s="90"/>
      <c r="AFB163" s="90"/>
      <c r="AFC163" s="90"/>
      <c r="AFD163" s="90"/>
      <c r="AFE163" s="90"/>
      <c r="AFF163" s="90"/>
      <c r="AFG163" s="90"/>
      <c r="AFH163" s="90"/>
      <c r="AFI163" s="90"/>
      <c r="AFJ163" s="90"/>
      <c r="AFK163" s="90"/>
      <c r="AFL163" s="90"/>
      <c r="AFM163" s="90"/>
      <c r="AFN163" s="90"/>
      <c r="AFO163" s="90"/>
      <c r="AFP163" s="90"/>
      <c r="AFQ163" s="90"/>
      <c r="AFR163" s="90"/>
      <c r="AFS163" s="90"/>
      <c r="AFT163" s="90"/>
      <c r="AFU163" s="90"/>
      <c r="AFV163" s="90"/>
      <c r="AFW163" s="90"/>
      <c r="AFX163" s="90"/>
      <c r="AFY163" s="90"/>
      <c r="AFZ163" s="90"/>
      <c r="AGA163" s="90"/>
      <c r="AGB163" s="90"/>
      <c r="AGC163" s="90"/>
      <c r="AGD163" s="90"/>
      <c r="AGE163" s="90"/>
      <c r="AGF163" s="90"/>
      <c r="AGG163" s="90"/>
      <c r="AGH163" s="90"/>
      <c r="AGI163" s="90"/>
      <c r="AGJ163" s="90"/>
      <c r="AGK163" s="90"/>
      <c r="AGL163" s="90"/>
      <c r="AGM163" s="90"/>
      <c r="AGN163" s="90"/>
      <c r="AGO163" s="90"/>
      <c r="AGP163" s="90"/>
      <c r="AGQ163" s="90"/>
      <c r="AGR163" s="90"/>
      <c r="AGS163" s="90"/>
      <c r="AGT163" s="90"/>
      <c r="AGU163" s="90"/>
      <c r="AGV163" s="90"/>
      <c r="AGW163" s="90"/>
      <c r="AGX163" s="90"/>
      <c r="AGY163" s="90"/>
      <c r="AGZ163" s="90"/>
      <c r="AHA163" s="90"/>
      <c r="AHB163" s="90"/>
      <c r="AHC163" s="90"/>
      <c r="AHD163" s="90"/>
      <c r="AHE163" s="90"/>
      <c r="AHF163" s="90"/>
      <c r="AHG163" s="90"/>
      <c r="AHH163" s="90"/>
      <c r="AHI163" s="90"/>
      <c r="AHJ163" s="90"/>
      <c r="AHK163" s="90"/>
      <c r="AHL163" s="90"/>
      <c r="AHM163" s="90"/>
      <c r="AHN163" s="90"/>
      <c r="AHO163" s="90"/>
      <c r="AHP163" s="90"/>
      <c r="AHQ163" s="90"/>
      <c r="AHR163" s="90"/>
      <c r="AHS163" s="90"/>
      <c r="AHT163" s="90"/>
      <c r="AHU163" s="90"/>
      <c r="AHV163" s="90"/>
      <c r="AHW163" s="90"/>
      <c r="AHX163" s="90"/>
      <c r="AHY163" s="90"/>
      <c r="AHZ163" s="90"/>
      <c r="AIA163" s="90"/>
      <c r="AIB163" s="90"/>
      <c r="AIC163" s="90"/>
      <c r="AID163" s="90"/>
      <c r="AIE163" s="90"/>
      <c r="AIF163" s="90"/>
      <c r="AIG163" s="90"/>
      <c r="AIH163" s="90"/>
      <c r="AII163" s="90"/>
      <c r="AIJ163" s="90"/>
      <c r="AIK163" s="90"/>
      <c r="AIL163" s="90"/>
      <c r="AIM163" s="90"/>
      <c r="AIN163" s="90"/>
      <c r="AIO163" s="90"/>
      <c r="AIP163" s="90"/>
      <c r="AIQ163" s="90"/>
      <c r="AIR163" s="90"/>
      <c r="AIS163" s="90"/>
      <c r="AIT163" s="90"/>
      <c r="AIU163" s="90"/>
      <c r="AIV163" s="90"/>
      <c r="AIW163" s="90"/>
      <c r="AIX163" s="90"/>
      <c r="AIY163" s="90"/>
      <c r="AIZ163" s="90"/>
      <c r="AJA163" s="90"/>
      <c r="AJB163" s="90"/>
      <c r="AJC163" s="90"/>
      <c r="AJD163" s="90"/>
      <c r="AJE163" s="90"/>
      <c r="AJF163" s="90"/>
      <c r="AJG163" s="90"/>
      <c r="AJH163" s="90"/>
      <c r="AJI163" s="90"/>
      <c r="AJJ163" s="90"/>
      <c r="AJK163" s="90"/>
      <c r="AJL163" s="90"/>
      <c r="AJM163" s="90"/>
      <c r="AJN163" s="90"/>
      <c r="AJO163" s="90"/>
      <c r="AJP163" s="90"/>
      <c r="AJQ163" s="90"/>
      <c r="AJR163" s="90"/>
      <c r="AJS163" s="90"/>
      <c r="AJT163" s="90"/>
      <c r="AJU163" s="90"/>
      <c r="AJV163" s="90"/>
      <c r="AJW163" s="90"/>
      <c r="AJX163" s="90"/>
      <c r="AJY163" s="90"/>
      <c r="AJZ163" s="90"/>
      <c r="AKA163" s="90"/>
      <c r="AKB163" s="90"/>
      <c r="AKC163" s="90"/>
      <c r="AKD163" s="90"/>
      <c r="AKE163" s="90"/>
      <c r="AKF163" s="90"/>
      <c r="AKG163" s="90"/>
      <c r="AKH163" s="90"/>
      <c r="AKI163" s="90"/>
      <c r="AKJ163" s="90"/>
      <c r="AKK163" s="90"/>
      <c r="AKL163" s="90"/>
      <c r="AKM163" s="90"/>
      <c r="AKN163" s="90"/>
      <c r="AKO163" s="90"/>
      <c r="AKP163" s="90"/>
      <c r="AKQ163" s="90"/>
      <c r="AKR163" s="90"/>
      <c r="AKS163" s="90"/>
      <c r="AKT163" s="90"/>
      <c r="AKU163" s="90"/>
      <c r="AKV163" s="90"/>
      <c r="AKW163" s="90"/>
      <c r="AKX163" s="90"/>
      <c r="AKY163" s="90"/>
      <c r="AKZ163" s="90"/>
      <c r="ALA163" s="90"/>
      <c r="ALB163" s="90"/>
      <c r="ALC163" s="90"/>
      <c r="ALD163" s="90"/>
      <c r="ALE163" s="90"/>
      <c r="ALF163" s="90"/>
      <c r="ALG163" s="90"/>
      <c r="ALH163" s="90"/>
      <c r="ALI163" s="90"/>
      <c r="ALJ163" s="90"/>
      <c r="ALK163" s="90"/>
      <c r="ALL163" s="90"/>
      <c r="ALM163" s="90"/>
      <c r="ALN163" s="90"/>
      <c r="ALO163" s="90"/>
      <c r="ALP163" s="90"/>
      <c r="ALQ163" s="90"/>
      <c r="ALR163" s="90"/>
      <c r="ALS163" s="90"/>
      <c r="ALT163" s="90"/>
      <c r="ALU163" s="90"/>
      <c r="ALV163" s="90"/>
      <c r="ALW163" s="90"/>
      <c r="ALX163" s="90"/>
      <c r="ALY163" s="90"/>
      <c r="ALZ163" s="90"/>
      <c r="AMA163" s="90"/>
      <c r="AMB163" s="90"/>
      <c r="AMC163" s="90"/>
    </row>
    <row r="164" spans="1:1017">
      <c r="A164" s="98" t="s">
        <v>48</v>
      </c>
      <c r="B164" s="90" t="str">
        <f t="shared" si="1284"/>
        <v>Ikan_05 (Ikan betutu)</v>
      </c>
      <c r="Q164" s="91">
        <f t="shared" si="1160"/>
        <v>0</v>
      </c>
      <c r="R164" s="91">
        <f t="shared" si="1161"/>
        <v>0</v>
      </c>
      <c r="AG164" s="91">
        <f t="shared" si="1162"/>
        <v>0</v>
      </c>
      <c r="AH164" s="91">
        <f t="shared" si="1163"/>
        <v>0</v>
      </c>
      <c r="AW164" s="91">
        <f t="shared" si="1164"/>
        <v>0</v>
      </c>
      <c r="AX164" s="91">
        <f t="shared" si="1165"/>
        <v>0</v>
      </c>
      <c r="BM164" s="91">
        <f t="shared" si="1166"/>
        <v>0</v>
      </c>
      <c r="BN164" s="91">
        <f t="shared" si="1167"/>
        <v>0</v>
      </c>
      <c r="CC164" s="91">
        <f t="shared" si="1168"/>
        <v>0</v>
      </c>
      <c r="CD164" s="91">
        <f t="shared" si="1169"/>
        <v>0</v>
      </c>
      <c r="CS164" s="91">
        <f t="shared" si="1254"/>
        <v>0</v>
      </c>
      <c r="CT164" s="91">
        <f t="shared" si="1255"/>
        <v>0</v>
      </c>
      <c r="DI164" s="91">
        <f t="shared" si="1172"/>
        <v>0</v>
      </c>
      <c r="DJ164" s="91">
        <f t="shared" si="1173"/>
        <v>0</v>
      </c>
      <c r="DY164" s="91">
        <f t="shared" si="1174"/>
        <v>0</v>
      </c>
      <c r="DZ164" s="91">
        <f t="shared" si="1175"/>
        <v>0</v>
      </c>
      <c r="EO164" s="91">
        <f t="shared" si="1176"/>
        <v>0</v>
      </c>
      <c r="EP164" s="91">
        <f t="shared" si="1177"/>
        <v>0</v>
      </c>
      <c r="FE164" s="91">
        <f t="shared" si="1178"/>
        <v>0</v>
      </c>
      <c r="FF164" s="91">
        <f t="shared" si="1179"/>
        <v>0</v>
      </c>
      <c r="FU164" s="91">
        <f t="shared" si="1180"/>
        <v>0</v>
      </c>
      <c r="FV164" s="91">
        <f t="shared" si="1181"/>
        <v>0</v>
      </c>
      <c r="GK164" s="91">
        <f t="shared" si="1182"/>
        <v>0</v>
      </c>
      <c r="GL164" s="91">
        <f t="shared" si="1183"/>
        <v>0</v>
      </c>
      <c r="HA164" s="91">
        <f t="shared" si="1184"/>
        <v>0</v>
      </c>
      <c r="HB164" s="91">
        <f t="shared" si="1185"/>
        <v>0</v>
      </c>
      <c r="HQ164" s="91">
        <f t="shared" si="1186"/>
        <v>0</v>
      </c>
      <c r="HR164" s="91">
        <f t="shared" si="1187"/>
        <v>0</v>
      </c>
      <c r="IG164" s="91">
        <f t="shared" si="1188"/>
        <v>0</v>
      </c>
      <c r="IH164" s="91">
        <f t="shared" si="1189"/>
        <v>0</v>
      </c>
      <c r="IW164" s="91">
        <f t="shared" si="1190"/>
        <v>0</v>
      </c>
      <c r="IX164" s="91">
        <f t="shared" si="1191"/>
        <v>0</v>
      </c>
      <c r="JM164" s="91">
        <f t="shared" si="1192"/>
        <v>0</v>
      </c>
      <c r="JN164" s="91">
        <f t="shared" si="1193"/>
        <v>0</v>
      </c>
      <c r="KC164" s="91">
        <f t="shared" si="1194"/>
        <v>0</v>
      </c>
      <c r="KD164" s="91">
        <f t="shared" si="1195"/>
        <v>0</v>
      </c>
      <c r="KS164" s="91">
        <f t="shared" si="1196"/>
        <v>0</v>
      </c>
      <c r="KT164" s="91">
        <f t="shared" si="1197"/>
        <v>0</v>
      </c>
      <c r="LI164" s="91">
        <f t="shared" si="1198"/>
        <v>0</v>
      </c>
      <c r="LJ164" s="91">
        <f t="shared" si="1199"/>
        <v>0</v>
      </c>
      <c r="LY164" s="91">
        <f t="shared" si="1200"/>
        <v>0</v>
      </c>
      <c r="LZ164" s="91">
        <f t="shared" si="1201"/>
        <v>0</v>
      </c>
      <c r="MO164" s="91">
        <f t="shared" si="1202"/>
        <v>0</v>
      </c>
      <c r="MP164" s="91">
        <f t="shared" si="1203"/>
        <v>0</v>
      </c>
      <c r="NE164" s="91">
        <f t="shared" si="1204"/>
        <v>0</v>
      </c>
      <c r="NF164" s="91">
        <f t="shared" si="1205"/>
        <v>0</v>
      </c>
      <c r="NU164" s="91">
        <f t="shared" si="1206"/>
        <v>0</v>
      </c>
      <c r="NV164" s="91">
        <f t="shared" si="1207"/>
        <v>0</v>
      </c>
      <c r="OK164" s="91">
        <f t="shared" si="1208"/>
        <v>0</v>
      </c>
      <c r="OL164" s="91">
        <f t="shared" si="1209"/>
        <v>0</v>
      </c>
      <c r="PA164" s="91">
        <f t="shared" si="1210"/>
        <v>0</v>
      </c>
      <c r="PB164" s="91">
        <f t="shared" si="1211"/>
        <v>0</v>
      </c>
      <c r="PQ164" s="91">
        <f t="shared" si="1212"/>
        <v>0</v>
      </c>
      <c r="PR164" s="91">
        <f t="shared" si="1213"/>
        <v>0</v>
      </c>
      <c r="QG164" s="91">
        <f t="shared" si="1214"/>
        <v>0</v>
      </c>
      <c r="QH164" s="91">
        <f t="shared" si="1215"/>
        <v>0</v>
      </c>
      <c r="QW164" s="91">
        <f t="shared" si="1216"/>
        <v>0</v>
      </c>
      <c r="QX164" s="91">
        <f t="shared" si="1217"/>
        <v>0</v>
      </c>
      <c r="RM164" s="91">
        <f t="shared" si="1218"/>
        <v>0</v>
      </c>
      <c r="RN164" s="91">
        <f t="shared" si="1219"/>
        <v>0</v>
      </c>
      <c r="SC164" s="91">
        <f t="shared" si="1220"/>
        <v>0</v>
      </c>
      <c r="SD164" s="91">
        <f t="shared" si="1221"/>
        <v>0</v>
      </c>
      <c r="SS164" s="91">
        <f t="shared" si="1222"/>
        <v>0</v>
      </c>
      <c r="ST164" s="91">
        <f t="shared" si="1223"/>
        <v>0</v>
      </c>
      <c r="TI164" s="91">
        <f t="shared" si="1224"/>
        <v>0</v>
      </c>
      <c r="TJ164" s="91">
        <f t="shared" si="1225"/>
        <v>0</v>
      </c>
      <c r="TY164" s="91">
        <f t="shared" si="1226"/>
        <v>0</v>
      </c>
      <c r="TZ164" s="91">
        <f t="shared" si="1227"/>
        <v>0</v>
      </c>
      <c r="UO164" s="91">
        <f t="shared" si="1228"/>
        <v>0</v>
      </c>
      <c r="UP164" s="91">
        <f t="shared" si="1307"/>
        <v>0</v>
      </c>
      <c r="VE164" s="91">
        <f t="shared" si="1230"/>
        <v>0</v>
      </c>
      <c r="VF164" s="91">
        <f t="shared" si="1231"/>
        <v>0</v>
      </c>
      <c r="VU164" s="91">
        <f t="shared" si="1232"/>
        <v>0</v>
      </c>
      <c r="VV164" s="91">
        <f t="shared" si="1233"/>
        <v>0</v>
      </c>
      <c r="WK164" s="91">
        <f t="shared" si="1234"/>
        <v>0</v>
      </c>
      <c r="WL164" s="91">
        <f t="shared" si="1235"/>
        <v>0</v>
      </c>
      <c r="WM164" s="89"/>
      <c r="WN164" s="87">
        <f t="shared" si="1286"/>
        <v>0</v>
      </c>
      <c r="WO164" s="87">
        <f t="shared" si="1287"/>
        <v>0</v>
      </c>
      <c r="WP164" s="87">
        <f t="shared" si="1288"/>
        <v>0</v>
      </c>
      <c r="WQ164" s="87">
        <f t="shared" si="1289"/>
        <v>0</v>
      </c>
      <c r="WR164" s="87">
        <f t="shared" si="1290"/>
        <v>0</v>
      </c>
      <c r="WS164" s="87">
        <f t="shared" si="1291"/>
        <v>0</v>
      </c>
      <c r="WT164" s="87">
        <f t="shared" si="1292"/>
        <v>0</v>
      </c>
      <c r="WU164" s="87">
        <f t="shared" si="1293"/>
        <v>0</v>
      </c>
      <c r="WV164" s="87">
        <f t="shared" si="1294"/>
        <v>0</v>
      </c>
      <c r="WW164" s="87">
        <f t="shared" si="1295"/>
        <v>0</v>
      </c>
      <c r="WX164" s="87">
        <f t="shared" si="1296"/>
        <v>0</v>
      </c>
      <c r="WY164" s="87">
        <f t="shared" si="1297"/>
        <v>0</v>
      </c>
      <c r="WZ164" s="87">
        <f t="shared" si="1278"/>
        <v>0</v>
      </c>
      <c r="XA164" s="87">
        <f t="shared" si="1279"/>
        <v>0</v>
      </c>
      <c r="XB164" s="92">
        <f t="shared" si="1298"/>
        <v>0</v>
      </c>
      <c r="XC164" s="92">
        <f t="shared" si="1299"/>
        <v>0</v>
      </c>
      <c r="XD164" s="89"/>
      <c r="XE164" s="92">
        <f t="shared" ref="XE164:XF164" si="1309">SUM(XB392,XB430,XB468)</f>
        <v>0</v>
      </c>
      <c r="XF164" s="92">
        <f t="shared" si="1309"/>
        <v>0</v>
      </c>
      <c r="XG164" s="89"/>
      <c r="XH164" s="92"/>
      <c r="XI164" s="92"/>
      <c r="XJ164" s="89"/>
      <c r="XK164" s="87"/>
      <c r="XL164" s="87"/>
      <c r="XM164" s="87"/>
      <c r="XN164" s="87"/>
      <c r="XO164" s="87"/>
      <c r="XP164" s="87"/>
      <c r="XQ164" s="87"/>
      <c r="XR164" s="92">
        <f t="shared" ca="1" si="1252"/>
        <v>0</v>
      </c>
      <c r="XS164" s="89"/>
      <c r="XT164" s="87"/>
      <c r="XU164" s="87"/>
      <c r="XV164" s="87"/>
      <c r="XW164" s="87"/>
      <c r="XX164" s="87"/>
      <c r="XY164" s="87"/>
      <c r="XZ164" s="87"/>
      <c r="YA164" s="92">
        <f t="shared" ca="1" si="1253"/>
        <v>0</v>
      </c>
      <c r="YB164" s="90"/>
      <c r="YC164" s="90"/>
      <c r="YD164" s="90"/>
      <c r="YE164" s="90"/>
      <c r="YF164" s="90"/>
      <c r="YG164" s="90"/>
      <c r="YH164" s="90"/>
      <c r="YI164" s="90"/>
      <c r="YJ164" s="90"/>
      <c r="YK164" s="90"/>
      <c r="YL164" s="90"/>
      <c r="YM164" s="90"/>
      <c r="YN164" s="90"/>
      <c r="YO164" s="90"/>
      <c r="YP164" s="90"/>
      <c r="YQ164" s="90"/>
      <c r="YR164" s="90"/>
      <c r="YS164" s="90"/>
      <c r="YT164" s="90"/>
      <c r="YU164" s="90"/>
      <c r="YV164" s="90"/>
      <c r="YW164" s="90"/>
      <c r="YX164" s="90"/>
      <c r="YY164" s="90"/>
      <c r="YZ164" s="90"/>
      <c r="ZA164" s="90"/>
      <c r="ZB164" s="90"/>
      <c r="ZC164" s="90"/>
      <c r="ZD164" s="90"/>
      <c r="ZE164" s="90"/>
      <c r="ZF164" s="90"/>
      <c r="ZG164" s="90"/>
      <c r="ZH164" s="90"/>
      <c r="ZI164" s="90"/>
      <c r="ZJ164" s="90"/>
      <c r="ZK164" s="90"/>
      <c r="ZL164" s="90"/>
      <c r="ZM164" s="90"/>
      <c r="ZN164" s="90"/>
      <c r="ZO164" s="90"/>
      <c r="ZP164" s="90"/>
      <c r="ZQ164" s="90"/>
      <c r="ZR164" s="90"/>
      <c r="ZS164" s="90"/>
      <c r="ZT164" s="90"/>
      <c r="ZU164" s="90"/>
      <c r="ZV164" s="90"/>
      <c r="ZW164" s="90"/>
      <c r="ZX164" s="90"/>
      <c r="ZY164" s="90"/>
      <c r="ZZ164" s="90"/>
      <c r="AAA164" s="90"/>
      <c r="AAB164" s="90"/>
      <c r="AAC164" s="90"/>
      <c r="AAD164" s="90"/>
      <c r="AAE164" s="90"/>
      <c r="AAF164" s="90"/>
      <c r="AAG164" s="90"/>
      <c r="AAH164" s="90"/>
      <c r="AAI164" s="90"/>
      <c r="AAJ164" s="90"/>
      <c r="AAK164" s="90"/>
      <c r="AAL164" s="90"/>
      <c r="AAM164" s="90"/>
      <c r="AAN164" s="90"/>
      <c r="AAO164" s="90"/>
      <c r="AAP164" s="90"/>
      <c r="AAQ164" s="90"/>
      <c r="AAR164" s="90"/>
      <c r="AAS164" s="90"/>
      <c r="AAT164" s="90"/>
      <c r="AAU164" s="90"/>
      <c r="AAV164" s="90"/>
      <c r="AAW164" s="90"/>
      <c r="AAX164" s="90"/>
      <c r="AAY164" s="90"/>
      <c r="AAZ164" s="90"/>
      <c r="ABA164" s="90"/>
      <c r="ABB164" s="90"/>
      <c r="ABC164" s="90"/>
      <c r="ABD164" s="90"/>
      <c r="ABE164" s="90"/>
      <c r="ABF164" s="90"/>
      <c r="ABG164" s="90"/>
      <c r="ABH164" s="90"/>
      <c r="ABI164" s="90"/>
      <c r="ABJ164" s="90"/>
      <c r="ABK164" s="90"/>
      <c r="ABL164" s="90"/>
      <c r="ABM164" s="90"/>
      <c r="ABN164" s="90"/>
      <c r="ABO164" s="90"/>
      <c r="ABP164" s="90"/>
      <c r="ABQ164" s="90"/>
      <c r="ABR164" s="90"/>
      <c r="ABS164" s="90"/>
      <c r="ABT164" s="90"/>
      <c r="ABU164" s="90"/>
      <c r="ABV164" s="90"/>
      <c r="ABW164" s="90"/>
      <c r="ABX164" s="90"/>
      <c r="ABY164" s="90"/>
      <c r="ABZ164" s="90"/>
      <c r="ACA164" s="90"/>
      <c r="ACB164" s="90"/>
      <c r="ACC164" s="90"/>
      <c r="ACD164" s="90"/>
      <c r="ACE164" s="90"/>
      <c r="ACF164" s="90"/>
      <c r="ACG164" s="90"/>
      <c r="ACH164" s="90"/>
      <c r="ACI164" s="90"/>
      <c r="ACJ164" s="90"/>
      <c r="ACK164" s="90"/>
      <c r="ACL164" s="90"/>
      <c r="ACM164" s="90"/>
      <c r="ACN164" s="90"/>
      <c r="ACO164" s="90"/>
      <c r="ACP164" s="90"/>
      <c r="ACQ164" s="90"/>
      <c r="ACR164" s="90"/>
      <c r="ACS164" s="90"/>
      <c r="ACT164" s="90"/>
      <c r="ACU164" s="90"/>
      <c r="ACV164" s="90"/>
      <c r="ACW164" s="90"/>
      <c r="ACX164" s="90"/>
      <c r="ACY164" s="90"/>
      <c r="ACZ164" s="90"/>
      <c r="ADA164" s="90"/>
      <c r="ADB164" s="90"/>
      <c r="ADC164" s="90"/>
      <c r="ADD164" s="90"/>
      <c r="ADE164" s="90"/>
      <c r="ADF164" s="90"/>
      <c r="ADG164" s="90"/>
      <c r="ADH164" s="90"/>
      <c r="ADI164" s="90"/>
      <c r="ADJ164" s="90"/>
      <c r="ADK164" s="90"/>
      <c r="ADL164" s="90"/>
      <c r="ADM164" s="90"/>
      <c r="ADN164" s="90"/>
      <c r="ADO164" s="90"/>
      <c r="ADP164" s="90"/>
      <c r="ADQ164" s="90"/>
      <c r="ADR164" s="90"/>
      <c r="ADS164" s="90"/>
      <c r="ADT164" s="90"/>
      <c r="ADU164" s="90"/>
      <c r="ADV164" s="90"/>
      <c r="ADW164" s="90"/>
      <c r="ADX164" s="90"/>
      <c r="ADY164" s="90"/>
      <c r="ADZ164" s="90"/>
      <c r="AEA164" s="90"/>
      <c r="AEB164" s="90"/>
      <c r="AEC164" s="90"/>
      <c r="AED164" s="90"/>
      <c r="AEE164" s="90"/>
      <c r="AEF164" s="90"/>
      <c r="AEG164" s="90"/>
      <c r="AEH164" s="90"/>
      <c r="AEI164" s="90"/>
      <c r="AEJ164" s="90"/>
      <c r="AEK164" s="90"/>
      <c r="AEL164" s="90"/>
      <c r="AEM164" s="90"/>
      <c r="AEN164" s="90"/>
      <c r="AEO164" s="90"/>
      <c r="AEP164" s="90"/>
      <c r="AEQ164" s="90"/>
      <c r="AER164" s="90"/>
      <c r="AES164" s="90"/>
      <c r="AET164" s="90"/>
      <c r="AEU164" s="90"/>
      <c r="AEV164" s="90"/>
      <c r="AEW164" s="90"/>
      <c r="AEX164" s="90"/>
      <c r="AEY164" s="90"/>
      <c r="AEZ164" s="90"/>
      <c r="AFA164" s="90"/>
      <c r="AFB164" s="90"/>
      <c r="AFC164" s="90"/>
      <c r="AFD164" s="90"/>
      <c r="AFE164" s="90"/>
      <c r="AFF164" s="90"/>
      <c r="AFG164" s="90"/>
      <c r="AFH164" s="90"/>
      <c r="AFI164" s="90"/>
      <c r="AFJ164" s="90"/>
      <c r="AFK164" s="90"/>
      <c r="AFL164" s="90"/>
      <c r="AFM164" s="90"/>
      <c r="AFN164" s="90"/>
      <c r="AFO164" s="90"/>
      <c r="AFP164" s="90"/>
      <c r="AFQ164" s="90"/>
      <c r="AFR164" s="90"/>
      <c r="AFS164" s="90"/>
      <c r="AFT164" s="90"/>
      <c r="AFU164" s="90"/>
      <c r="AFV164" s="90"/>
      <c r="AFW164" s="90"/>
      <c r="AFX164" s="90"/>
      <c r="AFY164" s="90"/>
      <c r="AFZ164" s="90"/>
      <c r="AGA164" s="90"/>
      <c r="AGB164" s="90"/>
      <c r="AGC164" s="90"/>
      <c r="AGD164" s="90"/>
      <c r="AGE164" s="90"/>
      <c r="AGF164" s="90"/>
      <c r="AGG164" s="90"/>
      <c r="AGH164" s="90"/>
      <c r="AGI164" s="90"/>
      <c r="AGJ164" s="90"/>
      <c r="AGK164" s="90"/>
      <c r="AGL164" s="90"/>
      <c r="AGM164" s="90"/>
      <c r="AGN164" s="90"/>
      <c r="AGO164" s="90"/>
      <c r="AGP164" s="90"/>
      <c r="AGQ164" s="90"/>
      <c r="AGR164" s="90"/>
      <c r="AGS164" s="90"/>
      <c r="AGT164" s="90"/>
      <c r="AGU164" s="90"/>
      <c r="AGV164" s="90"/>
      <c r="AGW164" s="90"/>
      <c r="AGX164" s="90"/>
      <c r="AGY164" s="90"/>
      <c r="AGZ164" s="90"/>
      <c r="AHA164" s="90"/>
      <c r="AHB164" s="90"/>
      <c r="AHC164" s="90"/>
      <c r="AHD164" s="90"/>
      <c r="AHE164" s="90"/>
      <c r="AHF164" s="90"/>
      <c r="AHG164" s="90"/>
      <c r="AHH164" s="90"/>
      <c r="AHI164" s="90"/>
      <c r="AHJ164" s="90"/>
      <c r="AHK164" s="90"/>
      <c r="AHL164" s="90"/>
      <c r="AHM164" s="90"/>
      <c r="AHN164" s="90"/>
      <c r="AHO164" s="90"/>
      <c r="AHP164" s="90"/>
      <c r="AHQ164" s="90"/>
      <c r="AHR164" s="90"/>
      <c r="AHS164" s="90"/>
      <c r="AHT164" s="90"/>
      <c r="AHU164" s="90"/>
      <c r="AHV164" s="90"/>
      <c r="AHW164" s="90"/>
      <c r="AHX164" s="90"/>
      <c r="AHY164" s="90"/>
      <c r="AHZ164" s="90"/>
      <c r="AIA164" s="90"/>
      <c r="AIB164" s="90"/>
      <c r="AIC164" s="90"/>
      <c r="AID164" s="90"/>
      <c r="AIE164" s="90"/>
      <c r="AIF164" s="90"/>
      <c r="AIG164" s="90"/>
      <c r="AIH164" s="90"/>
      <c r="AII164" s="90"/>
      <c r="AIJ164" s="90"/>
      <c r="AIK164" s="90"/>
      <c r="AIL164" s="90"/>
      <c r="AIM164" s="90"/>
      <c r="AIN164" s="90"/>
      <c r="AIO164" s="90"/>
      <c r="AIP164" s="90"/>
      <c r="AIQ164" s="90"/>
      <c r="AIR164" s="90"/>
      <c r="AIS164" s="90"/>
      <c r="AIT164" s="90"/>
      <c r="AIU164" s="90"/>
      <c r="AIV164" s="90"/>
      <c r="AIW164" s="90"/>
      <c r="AIX164" s="90"/>
      <c r="AIY164" s="90"/>
      <c r="AIZ164" s="90"/>
      <c r="AJA164" s="90"/>
      <c r="AJB164" s="90"/>
      <c r="AJC164" s="90"/>
      <c r="AJD164" s="90"/>
      <c r="AJE164" s="90"/>
      <c r="AJF164" s="90"/>
      <c r="AJG164" s="90"/>
      <c r="AJH164" s="90"/>
      <c r="AJI164" s="90"/>
      <c r="AJJ164" s="90"/>
      <c r="AJK164" s="90"/>
      <c r="AJL164" s="90"/>
      <c r="AJM164" s="90"/>
      <c r="AJN164" s="90"/>
      <c r="AJO164" s="90"/>
      <c r="AJP164" s="90"/>
      <c r="AJQ164" s="90"/>
      <c r="AJR164" s="90"/>
      <c r="AJS164" s="90"/>
      <c r="AJT164" s="90"/>
      <c r="AJU164" s="90"/>
      <c r="AJV164" s="90"/>
      <c r="AJW164" s="90"/>
      <c r="AJX164" s="90"/>
      <c r="AJY164" s="90"/>
      <c r="AJZ164" s="90"/>
      <c r="AKA164" s="90"/>
      <c r="AKB164" s="90"/>
      <c r="AKC164" s="90"/>
      <c r="AKD164" s="90"/>
      <c r="AKE164" s="90"/>
      <c r="AKF164" s="90"/>
      <c r="AKG164" s="90"/>
      <c r="AKH164" s="90"/>
      <c r="AKI164" s="90"/>
      <c r="AKJ164" s="90"/>
      <c r="AKK164" s="90"/>
      <c r="AKL164" s="90"/>
      <c r="AKM164" s="90"/>
      <c r="AKN164" s="90"/>
      <c r="AKO164" s="90"/>
      <c r="AKP164" s="90"/>
      <c r="AKQ164" s="90"/>
      <c r="AKR164" s="90"/>
      <c r="AKS164" s="90"/>
      <c r="AKT164" s="90"/>
      <c r="AKU164" s="90"/>
      <c r="AKV164" s="90"/>
      <c r="AKW164" s="90"/>
      <c r="AKX164" s="90"/>
      <c r="AKY164" s="90"/>
      <c r="AKZ164" s="90"/>
      <c r="ALA164" s="90"/>
      <c r="ALB164" s="90"/>
      <c r="ALC164" s="90"/>
      <c r="ALD164" s="90"/>
      <c r="ALE164" s="90"/>
      <c r="ALF164" s="90"/>
      <c r="ALG164" s="90"/>
      <c r="ALH164" s="90"/>
      <c r="ALI164" s="90"/>
      <c r="ALJ164" s="90"/>
      <c r="ALK164" s="90"/>
      <c r="ALL164" s="90"/>
      <c r="ALM164" s="90"/>
      <c r="ALN164" s="90"/>
      <c r="ALO164" s="90"/>
      <c r="ALP164" s="90"/>
      <c r="ALQ164" s="90"/>
      <c r="ALR164" s="90"/>
      <c r="ALS164" s="90"/>
      <c r="ALT164" s="90"/>
      <c r="ALU164" s="90"/>
      <c r="ALV164" s="90"/>
      <c r="ALW164" s="90"/>
      <c r="ALX164" s="90"/>
      <c r="ALY164" s="90"/>
      <c r="ALZ164" s="90"/>
      <c r="AMA164" s="90"/>
      <c r="AMB164" s="90"/>
      <c r="AMC164" s="90"/>
    </row>
    <row r="165" spans="1:1017" s="100" customFormat="1">
      <c r="A165" s="100">
        <v>5</v>
      </c>
      <c r="B165" s="100" t="s">
        <v>60</v>
      </c>
      <c r="C165" s="100">
        <f t="shared" ref="C165:R165" si="1310">SUM(C166:C202)</f>
        <v>0</v>
      </c>
      <c r="D165" s="100">
        <f t="shared" si="1310"/>
        <v>0</v>
      </c>
      <c r="E165" s="100">
        <f t="shared" si="1310"/>
        <v>620085</v>
      </c>
      <c r="F165" s="100">
        <f t="shared" si="1310"/>
        <v>20050910</v>
      </c>
      <c r="G165" s="100">
        <f t="shared" si="1310"/>
        <v>0</v>
      </c>
      <c r="H165" s="100">
        <f t="shared" si="1310"/>
        <v>0</v>
      </c>
      <c r="I165" s="100">
        <f t="shared" si="1310"/>
        <v>46500</v>
      </c>
      <c r="J165" s="100">
        <f t="shared" si="1310"/>
        <v>1044500</v>
      </c>
      <c r="K165" s="100">
        <f t="shared" si="1310"/>
        <v>0</v>
      </c>
      <c r="L165" s="100">
        <f t="shared" si="1310"/>
        <v>0</v>
      </c>
      <c r="M165" s="100">
        <f t="shared" si="1310"/>
        <v>200</v>
      </c>
      <c r="N165" s="100">
        <f t="shared" si="1310"/>
        <v>4000</v>
      </c>
      <c r="O165" s="100">
        <f t="shared" si="1310"/>
        <v>0</v>
      </c>
      <c r="P165" s="100">
        <f t="shared" si="1310"/>
        <v>0</v>
      </c>
      <c r="Q165" s="728">
        <f t="shared" si="1310"/>
        <v>666785</v>
      </c>
      <c r="R165" s="728">
        <f t="shared" si="1310"/>
        <v>21099410</v>
      </c>
      <c r="S165" s="100">
        <f t="shared" ref="S165:CD165" si="1311">SUM(S166:S202)</f>
        <v>4630</v>
      </c>
      <c r="T165" s="100">
        <f t="shared" si="1311"/>
        <v>509175</v>
      </c>
      <c r="U165" s="100">
        <f t="shared" si="1311"/>
        <v>1723220</v>
      </c>
      <c r="V165" s="100">
        <f t="shared" si="1311"/>
        <v>89804160</v>
      </c>
      <c r="W165" s="100">
        <f t="shared" si="1311"/>
        <v>0</v>
      </c>
      <c r="X165" s="100">
        <f t="shared" si="1311"/>
        <v>0</v>
      </c>
      <c r="Y165" s="100">
        <f t="shared" si="1311"/>
        <v>804519</v>
      </c>
      <c r="Z165" s="100">
        <f t="shared" si="1311"/>
        <v>16393445</v>
      </c>
      <c r="AA165" s="100">
        <f t="shared" si="1311"/>
        <v>5235</v>
      </c>
      <c r="AB165" s="100">
        <f t="shared" si="1311"/>
        <v>143625</v>
      </c>
      <c r="AC165" s="100">
        <f t="shared" si="1311"/>
        <v>3210</v>
      </c>
      <c r="AD165" s="100">
        <f t="shared" si="1311"/>
        <v>89250</v>
      </c>
      <c r="AE165" s="100">
        <f t="shared" si="1311"/>
        <v>2695</v>
      </c>
      <c r="AF165" s="100">
        <f t="shared" si="1311"/>
        <v>61250</v>
      </c>
      <c r="AG165" s="728">
        <f t="shared" si="1311"/>
        <v>2543509</v>
      </c>
      <c r="AH165" s="728">
        <f t="shared" si="1311"/>
        <v>107000905</v>
      </c>
      <c r="AI165" s="100">
        <f t="shared" si="1311"/>
        <v>0</v>
      </c>
      <c r="AJ165" s="100">
        <f t="shared" si="1311"/>
        <v>0</v>
      </c>
      <c r="AK165" s="100">
        <f t="shared" si="1311"/>
        <v>36700</v>
      </c>
      <c r="AL165" s="100">
        <f t="shared" si="1311"/>
        <v>2385500</v>
      </c>
      <c r="AM165" s="100">
        <f t="shared" si="1311"/>
        <v>0</v>
      </c>
      <c r="AN165" s="100">
        <f t="shared" si="1311"/>
        <v>0</v>
      </c>
      <c r="AO165" s="100">
        <f t="shared" si="1311"/>
        <v>1441800</v>
      </c>
      <c r="AP165" s="100">
        <f t="shared" si="1311"/>
        <v>31538600</v>
      </c>
      <c r="AQ165" s="100">
        <f t="shared" si="1311"/>
        <v>190</v>
      </c>
      <c r="AR165" s="100">
        <f t="shared" si="1311"/>
        <v>4560</v>
      </c>
      <c r="AS165" s="100">
        <f t="shared" si="1311"/>
        <v>0</v>
      </c>
      <c r="AT165" s="100">
        <f t="shared" si="1311"/>
        <v>0</v>
      </c>
      <c r="AU165" s="100">
        <f t="shared" si="1311"/>
        <v>3110</v>
      </c>
      <c r="AV165" s="100">
        <f t="shared" si="1311"/>
        <v>74640</v>
      </c>
      <c r="AW165" s="728">
        <f t="shared" si="1311"/>
        <v>1481800</v>
      </c>
      <c r="AX165" s="728">
        <f t="shared" si="1311"/>
        <v>34003300</v>
      </c>
      <c r="AY165" s="100">
        <f t="shared" si="1311"/>
        <v>0</v>
      </c>
      <c r="AZ165" s="100">
        <f t="shared" si="1311"/>
        <v>0</v>
      </c>
      <c r="BA165" s="100">
        <f t="shared" si="1311"/>
        <v>0</v>
      </c>
      <c r="BB165" s="100">
        <f t="shared" si="1311"/>
        <v>0</v>
      </c>
      <c r="BC165" s="100">
        <f t="shared" si="1311"/>
        <v>0</v>
      </c>
      <c r="BD165" s="100">
        <f t="shared" si="1311"/>
        <v>0</v>
      </c>
      <c r="BE165" s="100">
        <f t="shared" si="1311"/>
        <v>412161</v>
      </c>
      <c r="BF165" s="100">
        <f t="shared" si="1311"/>
        <v>8371618</v>
      </c>
      <c r="BG165" s="100">
        <f t="shared" si="1311"/>
        <v>8573</v>
      </c>
      <c r="BH165" s="100">
        <f t="shared" si="1311"/>
        <v>193109</v>
      </c>
      <c r="BI165" s="100">
        <f t="shared" si="1311"/>
        <v>0</v>
      </c>
      <c r="BJ165" s="100">
        <f t="shared" si="1311"/>
        <v>0</v>
      </c>
      <c r="BK165" s="100">
        <f t="shared" si="1311"/>
        <v>1646</v>
      </c>
      <c r="BL165" s="100">
        <f t="shared" si="1311"/>
        <v>28040</v>
      </c>
      <c r="BM165" s="728">
        <f t="shared" si="1311"/>
        <v>422380</v>
      </c>
      <c r="BN165" s="728">
        <f t="shared" si="1311"/>
        <v>8592767</v>
      </c>
      <c r="BO165" s="100">
        <f t="shared" si="1311"/>
        <v>0</v>
      </c>
      <c r="BP165" s="100">
        <f t="shared" si="1311"/>
        <v>0</v>
      </c>
      <c r="BQ165" s="100">
        <f t="shared" si="1311"/>
        <v>0</v>
      </c>
      <c r="BR165" s="100">
        <f t="shared" si="1311"/>
        <v>0</v>
      </c>
      <c r="BS165" s="100">
        <f t="shared" si="1311"/>
        <v>0</v>
      </c>
      <c r="BT165" s="100">
        <f t="shared" si="1311"/>
        <v>0</v>
      </c>
      <c r="BU165" s="100">
        <f t="shared" si="1311"/>
        <v>66314</v>
      </c>
      <c r="BV165" s="100">
        <f t="shared" si="1311"/>
        <v>1423961</v>
      </c>
      <c r="BW165" s="100">
        <f t="shared" si="1311"/>
        <v>0</v>
      </c>
      <c r="BX165" s="100">
        <f t="shared" si="1311"/>
        <v>0</v>
      </c>
      <c r="BY165" s="100">
        <f t="shared" si="1311"/>
        <v>0</v>
      </c>
      <c r="BZ165" s="100">
        <f t="shared" si="1311"/>
        <v>0</v>
      </c>
      <c r="CA165" s="100">
        <f t="shared" si="1311"/>
        <v>0</v>
      </c>
      <c r="CB165" s="100">
        <f t="shared" si="1311"/>
        <v>0</v>
      </c>
      <c r="CC165" s="728">
        <f t="shared" si="1311"/>
        <v>66314</v>
      </c>
      <c r="CD165" s="728">
        <f t="shared" si="1311"/>
        <v>1423961</v>
      </c>
      <c r="CE165" s="100">
        <f t="shared" ref="CE165:EP165" si="1312">SUM(CE166:CE202)</f>
        <v>532414</v>
      </c>
      <c r="CF165" s="100">
        <f t="shared" si="1312"/>
        <v>2662069</v>
      </c>
      <c r="CG165" s="100">
        <f t="shared" si="1312"/>
        <v>6853241.2400000002</v>
      </c>
      <c r="CH165" s="100">
        <f t="shared" si="1312"/>
        <v>205415892</v>
      </c>
      <c r="CI165" s="100">
        <f t="shared" si="1312"/>
        <v>0</v>
      </c>
      <c r="CJ165" s="100">
        <f t="shared" si="1312"/>
        <v>0</v>
      </c>
      <c r="CK165" s="100">
        <f t="shared" si="1312"/>
        <v>5705445</v>
      </c>
      <c r="CL165" s="100">
        <f t="shared" si="1312"/>
        <v>101585822</v>
      </c>
      <c r="CM165" s="100">
        <f t="shared" si="1312"/>
        <v>0</v>
      </c>
      <c r="CN165" s="100">
        <f t="shared" si="1312"/>
        <v>0</v>
      </c>
      <c r="CO165" s="100">
        <f t="shared" si="1312"/>
        <v>0</v>
      </c>
      <c r="CP165" s="100">
        <f t="shared" si="1312"/>
        <v>0</v>
      </c>
      <c r="CQ165" s="100">
        <f t="shared" si="1312"/>
        <v>0</v>
      </c>
      <c r="CR165" s="100">
        <f t="shared" si="1312"/>
        <v>0</v>
      </c>
      <c r="CS165" s="728">
        <f t="shared" si="1312"/>
        <v>13091100.24</v>
      </c>
      <c r="CT165" s="728">
        <f t="shared" si="1312"/>
        <v>309663783</v>
      </c>
      <c r="CU165" s="100">
        <f t="shared" si="1312"/>
        <v>0</v>
      </c>
      <c r="CV165" s="100">
        <f t="shared" si="1312"/>
        <v>0</v>
      </c>
      <c r="CW165" s="100">
        <f t="shared" si="1312"/>
        <v>326773.99575449998</v>
      </c>
      <c r="CX165" s="100">
        <f t="shared" si="1312"/>
        <v>21083888.987</v>
      </c>
      <c r="CY165" s="100">
        <f t="shared" si="1312"/>
        <v>0</v>
      </c>
      <c r="CZ165" s="100">
        <f t="shared" si="1312"/>
        <v>0</v>
      </c>
      <c r="DA165" s="100">
        <f t="shared" si="1312"/>
        <v>764289.00250980002</v>
      </c>
      <c r="DB165" s="100">
        <f t="shared" si="1312"/>
        <v>16696818.047</v>
      </c>
      <c r="DC165" s="100">
        <f t="shared" si="1312"/>
        <v>2515</v>
      </c>
      <c r="DD165" s="100">
        <f t="shared" si="1312"/>
        <v>56073</v>
      </c>
      <c r="DE165" s="100">
        <f t="shared" si="1312"/>
        <v>0</v>
      </c>
      <c r="DF165" s="100">
        <f t="shared" si="1312"/>
        <v>0</v>
      </c>
      <c r="DG165" s="100">
        <f t="shared" si="1312"/>
        <v>0</v>
      </c>
      <c r="DH165" s="100">
        <f t="shared" si="1312"/>
        <v>0</v>
      </c>
      <c r="DI165" s="728">
        <f t="shared" si="1312"/>
        <v>1093577.9982642999</v>
      </c>
      <c r="DJ165" s="728">
        <f t="shared" si="1312"/>
        <v>37836780.034000002</v>
      </c>
      <c r="DK165" s="100">
        <f t="shared" si="1312"/>
        <v>0</v>
      </c>
      <c r="DL165" s="100">
        <f t="shared" si="1312"/>
        <v>0</v>
      </c>
      <c r="DM165" s="100">
        <f t="shared" si="1312"/>
        <v>0</v>
      </c>
      <c r="DN165" s="100">
        <f t="shared" si="1312"/>
        <v>0</v>
      </c>
      <c r="DO165" s="100">
        <f t="shared" si="1312"/>
        <v>0</v>
      </c>
      <c r="DP165" s="100">
        <f t="shared" si="1312"/>
        <v>0</v>
      </c>
      <c r="DQ165" s="100">
        <f t="shared" si="1312"/>
        <v>1228600</v>
      </c>
      <c r="DR165" s="100">
        <f t="shared" si="1312"/>
        <v>21882900</v>
      </c>
      <c r="DS165" s="100">
        <f t="shared" si="1312"/>
        <v>0</v>
      </c>
      <c r="DT165" s="100">
        <f t="shared" si="1312"/>
        <v>0</v>
      </c>
      <c r="DU165" s="100">
        <f t="shared" si="1312"/>
        <v>0</v>
      </c>
      <c r="DV165" s="100">
        <f t="shared" si="1312"/>
        <v>0</v>
      </c>
      <c r="DW165" s="100">
        <f t="shared" si="1312"/>
        <v>0</v>
      </c>
      <c r="DX165" s="100">
        <f t="shared" si="1312"/>
        <v>0</v>
      </c>
      <c r="DY165" s="728">
        <f t="shared" si="1312"/>
        <v>1228600</v>
      </c>
      <c r="DZ165" s="728">
        <f t="shared" si="1312"/>
        <v>21882900</v>
      </c>
      <c r="EA165" s="100">
        <f t="shared" si="1312"/>
        <v>0</v>
      </c>
      <c r="EB165" s="100">
        <f t="shared" si="1312"/>
        <v>0</v>
      </c>
      <c r="EC165" s="100">
        <f t="shared" si="1312"/>
        <v>0</v>
      </c>
      <c r="ED165" s="100">
        <f t="shared" si="1312"/>
        <v>0</v>
      </c>
      <c r="EE165" s="100">
        <f t="shared" si="1312"/>
        <v>0</v>
      </c>
      <c r="EF165" s="100">
        <f t="shared" si="1312"/>
        <v>0</v>
      </c>
      <c r="EG165" s="100">
        <f t="shared" si="1312"/>
        <v>2363345</v>
      </c>
      <c r="EH165" s="100">
        <f t="shared" si="1312"/>
        <v>44285395</v>
      </c>
      <c r="EI165" s="100">
        <f t="shared" si="1312"/>
        <v>0</v>
      </c>
      <c r="EJ165" s="100">
        <f t="shared" si="1312"/>
        <v>0</v>
      </c>
      <c r="EK165" s="100">
        <f t="shared" si="1312"/>
        <v>0</v>
      </c>
      <c r="EL165" s="100">
        <f t="shared" si="1312"/>
        <v>0</v>
      </c>
      <c r="EM165" s="100">
        <f t="shared" si="1312"/>
        <v>0</v>
      </c>
      <c r="EN165" s="100">
        <f t="shared" si="1312"/>
        <v>0</v>
      </c>
      <c r="EO165" s="728">
        <f t="shared" si="1312"/>
        <v>2363345</v>
      </c>
      <c r="EP165" s="728">
        <f t="shared" si="1312"/>
        <v>44285395</v>
      </c>
      <c r="EQ165" s="100">
        <f t="shared" ref="EQ165:HB165" si="1313">SUM(EQ166:EQ202)</f>
        <v>0</v>
      </c>
      <c r="ER165" s="100">
        <f t="shared" si="1313"/>
        <v>0</v>
      </c>
      <c r="ES165" s="100">
        <f t="shared" si="1313"/>
        <v>543432</v>
      </c>
      <c r="ET165" s="100">
        <f t="shared" si="1313"/>
        <v>34585597</v>
      </c>
      <c r="EU165" s="100">
        <f t="shared" si="1313"/>
        <v>0</v>
      </c>
      <c r="EV165" s="100">
        <f t="shared" si="1313"/>
        <v>0</v>
      </c>
      <c r="EW165" s="100">
        <f t="shared" si="1313"/>
        <v>13117302</v>
      </c>
      <c r="EX165" s="100">
        <f t="shared" si="1313"/>
        <v>324143464</v>
      </c>
      <c r="EY165" s="100">
        <f t="shared" si="1313"/>
        <v>0</v>
      </c>
      <c r="EZ165" s="100">
        <f t="shared" si="1313"/>
        <v>0</v>
      </c>
      <c r="FA165" s="100">
        <f t="shared" si="1313"/>
        <v>14805</v>
      </c>
      <c r="FB165" s="100">
        <f t="shared" si="1313"/>
        <v>251685</v>
      </c>
      <c r="FC165" s="100">
        <f t="shared" si="1313"/>
        <v>875</v>
      </c>
      <c r="FD165" s="100">
        <f t="shared" si="1313"/>
        <v>11375</v>
      </c>
      <c r="FE165" s="728">
        <f t="shared" si="1313"/>
        <v>13676414</v>
      </c>
      <c r="FF165" s="728">
        <f t="shared" si="1313"/>
        <v>358992121</v>
      </c>
      <c r="FG165" s="100">
        <f t="shared" si="1313"/>
        <v>0</v>
      </c>
      <c r="FH165" s="100">
        <f t="shared" si="1313"/>
        <v>0</v>
      </c>
      <c r="FI165" s="100">
        <f t="shared" si="1313"/>
        <v>127000</v>
      </c>
      <c r="FJ165" s="100">
        <f t="shared" si="1313"/>
        <v>7620000</v>
      </c>
      <c r="FK165" s="100">
        <f t="shared" si="1313"/>
        <v>0</v>
      </c>
      <c r="FL165" s="100">
        <f t="shared" si="1313"/>
        <v>0</v>
      </c>
      <c r="FM165" s="100">
        <f t="shared" si="1313"/>
        <v>225600</v>
      </c>
      <c r="FN165" s="100">
        <f t="shared" si="1313"/>
        <v>5663131</v>
      </c>
      <c r="FO165" s="100">
        <f t="shared" si="1313"/>
        <v>0</v>
      </c>
      <c r="FP165" s="100">
        <f t="shared" si="1313"/>
        <v>0</v>
      </c>
      <c r="FQ165" s="100">
        <f t="shared" si="1313"/>
        <v>0</v>
      </c>
      <c r="FR165" s="100">
        <f t="shared" si="1313"/>
        <v>0</v>
      </c>
      <c r="FS165" s="100">
        <f t="shared" si="1313"/>
        <v>70273</v>
      </c>
      <c r="FT165" s="100">
        <f t="shared" si="1313"/>
        <v>2108190</v>
      </c>
      <c r="FU165" s="728">
        <f t="shared" si="1313"/>
        <v>422873</v>
      </c>
      <c r="FV165" s="728">
        <f t="shared" si="1313"/>
        <v>15391321</v>
      </c>
      <c r="FW165" s="100">
        <f t="shared" si="1313"/>
        <v>0</v>
      </c>
      <c r="FX165" s="100">
        <f t="shared" si="1313"/>
        <v>0</v>
      </c>
      <c r="FY165" s="100">
        <f t="shared" si="1313"/>
        <v>0</v>
      </c>
      <c r="FZ165" s="100">
        <f t="shared" si="1313"/>
        <v>0</v>
      </c>
      <c r="GA165" s="100">
        <f t="shared" si="1313"/>
        <v>0</v>
      </c>
      <c r="GB165" s="100">
        <f t="shared" si="1313"/>
        <v>0</v>
      </c>
      <c r="GC165" s="100">
        <f t="shared" si="1313"/>
        <v>314600</v>
      </c>
      <c r="GD165" s="100">
        <f t="shared" si="1313"/>
        <v>6625500</v>
      </c>
      <c r="GE165" s="100">
        <f t="shared" si="1313"/>
        <v>0</v>
      </c>
      <c r="GF165" s="100">
        <f t="shared" si="1313"/>
        <v>0</v>
      </c>
      <c r="GG165" s="100">
        <f t="shared" si="1313"/>
        <v>0</v>
      </c>
      <c r="GH165" s="100">
        <f t="shared" si="1313"/>
        <v>0</v>
      </c>
      <c r="GI165" s="100">
        <f t="shared" si="1313"/>
        <v>0</v>
      </c>
      <c r="GJ165" s="100">
        <f t="shared" si="1313"/>
        <v>0</v>
      </c>
      <c r="GK165" s="728">
        <f t="shared" si="1313"/>
        <v>314600</v>
      </c>
      <c r="GL165" s="728">
        <f t="shared" si="1313"/>
        <v>6625500</v>
      </c>
      <c r="GM165" s="100">
        <f t="shared" si="1313"/>
        <v>0</v>
      </c>
      <c r="GN165" s="100">
        <f t="shared" si="1313"/>
        <v>0</v>
      </c>
      <c r="GO165" s="100">
        <f t="shared" si="1313"/>
        <v>0</v>
      </c>
      <c r="GP165" s="100">
        <f t="shared" si="1313"/>
        <v>0</v>
      </c>
      <c r="GQ165" s="100">
        <f t="shared" si="1313"/>
        <v>0</v>
      </c>
      <c r="GR165" s="100">
        <f t="shared" si="1313"/>
        <v>0</v>
      </c>
      <c r="GS165" s="100">
        <f t="shared" si="1313"/>
        <v>162150</v>
      </c>
      <c r="GT165" s="100">
        <f t="shared" si="1313"/>
        <v>3157050</v>
      </c>
      <c r="GU165" s="100">
        <f t="shared" si="1313"/>
        <v>0</v>
      </c>
      <c r="GV165" s="100">
        <f t="shared" si="1313"/>
        <v>0</v>
      </c>
      <c r="GW165" s="100">
        <f t="shared" si="1313"/>
        <v>0</v>
      </c>
      <c r="GX165" s="100">
        <f t="shared" si="1313"/>
        <v>0</v>
      </c>
      <c r="GY165" s="100">
        <f t="shared" si="1313"/>
        <v>140</v>
      </c>
      <c r="GZ165" s="100">
        <f t="shared" si="1313"/>
        <v>3830</v>
      </c>
      <c r="HA165" s="728">
        <f t="shared" si="1313"/>
        <v>162290</v>
      </c>
      <c r="HB165" s="728">
        <f t="shared" si="1313"/>
        <v>3160880</v>
      </c>
      <c r="HC165" s="100">
        <f t="shared" ref="HC165:JN165" si="1314">SUM(HC166:HC202)</f>
        <v>0</v>
      </c>
      <c r="HD165" s="100">
        <f t="shared" si="1314"/>
        <v>0</v>
      </c>
      <c r="HE165" s="100">
        <f t="shared" si="1314"/>
        <v>75000</v>
      </c>
      <c r="HF165" s="100">
        <f t="shared" si="1314"/>
        <v>4350000</v>
      </c>
      <c r="HG165" s="100">
        <f t="shared" si="1314"/>
        <v>0</v>
      </c>
      <c r="HH165" s="100">
        <f t="shared" si="1314"/>
        <v>0</v>
      </c>
      <c r="HI165" s="100">
        <f t="shared" si="1314"/>
        <v>550000</v>
      </c>
      <c r="HJ165" s="100">
        <f t="shared" si="1314"/>
        <v>10185000</v>
      </c>
      <c r="HK165" s="100">
        <f t="shared" si="1314"/>
        <v>0</v>
      </c>
      <c r="HL165" s="100">
        <f t="shared" si="1314"/>
        <v>0</v>
      </c>
      <c r="HM165" s="100">
        <f t="shared" si="1314"/>
        <v>0</v>
      </c>
      <c r="HN165" s="100">
        <f t="shared" si="1314"/>
        <v>0</v>
      </c>
      <c r="HO165" s="100">
        <f t="shared" si="1314"/>
        <v>380000</v>
      </c>
      <c r="HP165" s="100">
        <f t="shared" si="1314"/>
        <v>8740000</v>
      </c>
      <c r="HQ165" s="728">
        <f t="shared" si="1314"/>
        <v>1005000</v>
      </c>
      <c r="HR165" s="728">
        <f t="shared" si="1314"/>
        <v>23275000</v>
      </c>
      <c r="HS165" s="100">
        <f t="shared" si="1314"/>
        <v>0</v>
      </c>
      <c r="HT165" s="100">
        <f t="shared" si="1314"/>
        <v>0</v>
      </c>
      <c r="HU165" s="100">
        <f t="shared" si="1314"/>
        <v>0</v>
      </c>
      <c r="HV165" s="100">
        <f t="shared" si="1314"/>
        <v>0</v>
      </c>
      <c r="HW165" s="100">
        <f t="shared" si="1314"/>
        <v>0</v>
      </c>
      <c r="HX165" s="100">
        <f t="shared" si="1314"/>
        <v>0</v>
      </c>
      <c r="HY165" s="100">
        <f t="shared" si="1314"/>
        <v>145230</v>
      </c>
      <c r="HZ165" s="100">
        <f t="shared" si="1314"/>
        <v>2704660</v>
      </c>
      <c r="IA165" s="100">
        <f t="shared" si="1314"/>
        <v>0</v>
      </c>
      <c r="IB165" s="100">
        <f t="shared" si="1314"/>
        <v>0</v>
      </c>
      <c r="IC165" s="100">
        <f t="shared" si="1314"/>
        <v>0</v>
      </c>
      <c r="ID165" s="100">
        <f t="shared" si="1314"/>
        <v>0</v>
      </c>
      <c r="IE165" s="100">
        <f t="shared" si="1314"/>
        <v>0</v>
      </c>
      <c r="IF165" s="100">
        <f t="shared" si="1314"/>
        <v>0</v>
      </c>
      <c r="IG165" s="728">
        <f t="shared" si="1314"/>
        <v>145230</v>
      </c>
      <c r="IH165" s="728">
        <f t="shared" si="1314"/>
        <v>2704660</v>
      </c>
      <c r="II165" s="100">
        <f t="shared" si="1314"/>
        <v>0</v>
      </c>
      <c r="IJ165" s="100">
        <f t="shared" si="1314"/>
        <v>0</v>
      </c>
      <c r="IK165" s="100">
        <f t="shared" si="1314"/>
        <v>0</v>
      </c>
      <c r="IL165" s="100">
        <f t="shared" si="1314"/>
        <v>0</v>
      </c>
      <c r="IM165" s="100">
        <f t="shared" si="1314"/>
        <v>0</v>
      </c>
      <c r="IN165" s="100">
        <f t="shared" si="1314"/>
        <v>0</v>
      </c>
      <c r="IO165" s="96">
        <f t="shared" si="1314"/>
        <v>966000</v>
      </c>
      <c r="IP165" s="96">
        <f t="shared" si="1314"/>
        <v>19745375</v>
      </c>
      <c r="IQ165" s="100">
        <f t="shared" si="1314"/>
        <v>0</v>
      </c>
      <c r="IR165" s="100">
        <f t="shared" si="1314"/>
        <v>0</v>
      </c>
      <c r="IS165" s="100">
        <f t="shared" si="1314"/>
        <v>0</v>
      </c>
      <c r="IT165" s="100">
        <f t="shared" si="1314"/>
        <v>0</v>
      </c>
      <c r="IU165" s="100">
        <f t="shared" si="1314"/>
        <v>0</v>
      </c>
      <c r="IV165" s="100">
        <f t="shared" si="1314"/>
        <v>0</v>
      </c>
      <c r="IW165" s="728">
        <f t="shared" si="1314"/>
        <v>966000</v>
      </c>
      <c r="IX165" s="728">
        <f t="shared" si="1314"/>
        <v>19745375</v>
      </c>
      <c r="IY165" s="100">
        <f t="shared" si="1314"/>
        <v>0</v>
      </c>
      <c r="IZ165" s="100">
        <f t="shared" si="1314"/>
        <v>0</v>
      </c>
      <c r="JA165" s="100">
        <f t="shared" si="1314"/>
        <v>0</v>
      </c>
      <c r="JB165" s="100">
        <f t="shared" si="1314"/>
        <v>0</v>
      </c>
      <c r="JC165" s="100">
        <f t="shared" si="1314"/>
        <v>0</v>
      </c>
      <c r="JD165" s="100">
        <f t="shared" si="1314"/>
        <v>0</v>
      </c>
      <c r="JE165" s="100">
        <f t="shared" si="1314"/>
        <v>374905</v>
      </c>
      <c r="JF165" s="100">
        <f t="shared" si="1314"/>
        <v>7113185</v>
      </c>
      <c r="JG165" s="100">
        <f t="shared" si="1314"/>
        <v>0</v>
      </c>
      <c r="JH165" s="100">
        <f t="shared" si="1314"/>
        <v>0</v>
      </c>
      <c r="JI165" s="100">
        <f t="shared" si="1314"/>
        <v>0</v>
      </c>
      <c r="JJ165" s="100">
        <f t="shared" si="1314"/>
        <v>0</v>
      </c>
      <c r="JK165" s="100">
        <f t="shared" si="1314"/>
        <v>9260</v>
      </c>
      <c r="JL165" s="100">
        <f t="shared" si="1314"/>
        <v>177920</v>
      </c>
      <c r="JM165" s="728">
        <f t="shared" si="1314"/>
        <v>384165</v>
      </c>
      <c r="JN165" s="728">
        <f t="shared" si="1314"/>
        <v>7291105</v>
      </c>
      <c r="JO165" s="100">
        <f t="shared" ref="JO165:LZ165" si="1315">SUM(JO166:JO202)</f>
        <v>0</v>
      </c>
      <c r="JP165" s="100">
        <f t="shared" si="1315"/>
        <v>0</v>
      </c>
      <c r="JQ165" s="100">
        <f t="shared" si="1315"/>
        <v>110765</v>
      </c>
      <c r="JR165" s="100">
        <f t="shared" si="1315"/>
        <v>8867200</v>
      </c>
      <c r="JS165" s="100">
        <f t="shared" si="1315"/>
        <v>0</v>
      </c>
      <c r="JT165" s="100">
        <f t="shared" si="1315"/>
        <v>0</v>
      </c>
      <c r="JU165" s="100">
        <f t="shared" si="1315"/>
        <v>74022</v>
      </c>
      <c r="JV165" s="100">
        <f t="shared" si="1315"/>
        <v>1910332</v>
      </c>
      <c r="JW165" s="100">
        <f t="shared" si="1315"/>
        <v>0</v>
      </c>
      <c r="JX165" s="100">
        <f t="shared" si="1315"/>
        <v>0</v>
      </c>
      <c r="JY165" s="100">
        <f t="shared" si="1315"/>
        <v>0</v>
      </c>
      <c r="JZ165" s="100">
        <f t="shared" si="1315"/>
        <v>0</v>
      </c>
      <c r="KA165" s="100">
        <f t="shared" si="1315"/>
        <v>0</v>
      </c>
      <c r="KB165" s="100">
        <f t="shared" si="1315"/>
        <v>0</v>
      </c>
      <c r="KC165" s="728">
        <f t="shared" si="1315"/>
        <v>184787</v>
      </c>
      <c r="KD165" s="728">
        <f t="shared" si="1315"/>
        <v>10777532</v>
      </c>
      <c r="KE165" s="100">
        <f t="shared" si="1315"/>
        <v>0</v>
      </c>
      <c r="KF165" s="100">
        <f t="shared" si="1315"/>
        <v>0</v>
      </c>
      <c r="KG165" s="100">
        <f t="shared" si="1315"/>
        <v>32272</v>
      </c>
      <c r="KH165" s="100">
        <f t="shared" si="1315"/>
        <v>1768535</v>
      </c>
      <c r="KI165" s="100">
        <f t="shared" si="1315"/>
        <v>0</v>
      </c>
      <c r="KJ165" s="100">
        <f t="shared" si="1315"/>
        <v>0</v>
      </c>
      <c r="KK165" s="100">
        <f t="shared" si="1315"/>
        <v>58922</v>
      </c>
      <c r="KL165" s="100">
        <f t="shared" si="1315"/>
        <v>1182970</v>
      </c>
      <c r="KM165" s="100">
        <f t="shared" si="1315"/>
        <v>0</v>
      </c>
      <c r="KN165" s="100">
        <f t="shared" si="1315"/>
        <v>0</v>
      </c>
      <c r="KO165" s="100">
        <f t="shared" si="1315"/>
        <v>0</v>
      </c>
      <c r="KP165" s="100">
        <f t="shared" si="1315"/>
        <v>0</v>
      </c>
      <c r="KQ165" s="100">
        <f t="shared" si="1315"/>
        <v>0</v>
      </c>
      <c r="KR165" s="100">
        <f t="shared" si="1315"/>
        <v>0</v>
      </c>
      <c r="KS165" s="728">
        <f t="shared" si="1315"/>
        <v>91194</v>
      </c>
      <c r="KT165" s="728">
        <f t="shared" si="1315"/>
        <v>2951505</v>
      </c>
      <c r="KU165" s="100">
        <f t="shared" si="1315"/>
        <v>0</v>
      </c>
      <c r="KV165" s="100">
        <f t="shared" si="1315"/>
        <v>0</v>
      </c>
      <c r="KW165" s="100">
        <f t="shared" si="1315"/>
        <v>576565.04</v>
      </c>
      <c r="KX165" s="100">
        <f t="shared" si="1315"/>
        <v>11287417</v>
      </c>
      <c r="KY165" s="100">
        <f t="shared" si="1315"/>
        <v>0</v>
      </c>
      <c r="KZ165" s="100">
        <f t="shared" si="1315"/>
        <v>0</v>
      </c>
      <c r="LA165" s="100">
        <f t="shared" si="1315"/>
        <v>1111596.3000000003</v>
      </c>
      <c r="LB165" s="100">
        <f t="shared" si="1315"/>
        <v>20210757</v>
      </c>
      <c r="LC165" s="100">
        <f t="shared" si="1315"/>
        <v>0</v>
      </c>
      <c r="LD165" s="100">
        <f t="shared" si="1315"/>
        <v>0</v>
      </c>
      <c r="LE165" s="100">
        <f t="shared" si="1315"/>
        <v>0</v>
      </c>
      <c r="LF165" s="100">
        <f t="shared" si="1315"/>
        <v>0</v>
      </c>
      <c r="LG165" s="100">
        <f t="shared" si="1315"/>
        <v>17208.05</v>
      </c>
      <c r="LH165" s="100">
        <f t="shared" si="1315"/>
        <v>390096</v>
      </c>
      <c r="LI165" s="728">
        <f t="shared" si="1315"/>
        <v>1705369.39</v>
      </c>
      <c r="LJ165" s="728">
        <f t="shared" si="1315"/>
        <v>31888270</v>
      </c>
      <c r="LK165" s="100">
        <f t="shared" si="1315"/>
        <v>0</v>
      </c>
      <c r="LL165" s="100">
        <f t="shared" si="1315"/>
        <v>0</v>
      </c>
      <c r="LM165" s="100">
        <f t="shared" si="1315"/>
        <v>0</v>
      </c>
      <c r="LN165" s="100">
        <f t="shared" si="1315"/>
        <v>0</v>
      </c>
      <c r="LO165" s="100">
        <f t="shared" si="1315"/>
        <v>0</v>
      </c>
      <c r="LP165" s="100">
        <f t="shared" si="1315"/>
        <v>0</v>
      </c>
      <c r="LQ165" s="100">
        <f t="shared" si="1315"/>
        <v>187488</v>
      </c>
      <c r="LR165" s="100">
        <f t="shared" si="1315"/>
        <v>3872161</v>
      </c>
      <c r="LS165" s="100">
        <f t="shared" si="1315"/>
        <v>0</v>
      </c>
      <c r="LT165" s="100">
        <f t="shared" si="1315"/>
        <v>0</v>
      </c>
      <c r="LU165" s="100">
        <f t="shared" si="1315"/>
        <v>0</v>
      </c>
      <c r="LV165" s="100">
        <f t="shared" si="1315"/>
        <v>0</v>
      </c>
      <c r="LW165" s="100">
        <f t="shared" si="1315"/>
        <v>2290</v>
      </c>
      <c r="LX165" s="100">
        <f t="shared" si="1315"/>
        <v>73280</v>
      </c>
      <c r="LY165" s="728">
        <f t="shared" si="1315"/>
        <v>189778</v>
      </c>
      <c r="LZ165" s="728">
        <f t="shared" si="1315"/>
        <v>3945441</v>
      </c>
      <c r="MA165" s="100">
        <f t="shared" ref="MA165:OL165" si="1316">SUM(MA166:MA202)</f>
        <v>26500</v>
      </c>
      <c r="MB165" s="100">
        <f t="shared" si="1316"/>
        <v>2252500</v>
      </c>
      <c r="MC165" s="100">
        <f t="shared" si="1316"/>
        <v>522600</v>
      </c>
      <c r="MD165" s="100">
        <f t="shared" si="1316"/>
        <v>30996200</v>
      </c>
      <c r="ME165" s="100">
        <f t="shared" si="1316"/>
        <v>0</v>
      </c>
      <c r="MF165" s="100">
        <f t="shared" si="1316"/>
        <v>0</v>
      </c>
      <c r="MG165" s="100">
        <f t="shared" si="1316"/>
        <v>57040</v>
      </c>
      <c r="MH165" s="100">
        <f t="shared" si="1316"/>
        <v>1055330</v>
      </c>
      <c r="MI165" s="100">
        <f t="shared" si="1316"/>
        <v>0</v>
      </c>
      <c r="MJ165" s="100">
        <f t="shared" si="1316"/>
        <v>0</v>
      </c>
      <c r="MK165" s="100">
        <f t="shared" si="1316"/>
        <v>0</v>
      </c>
      <c r="ML165" s="100">
        <f t="shared" si="1316"/>
        <v>0</v>
      </c>
      <c r="MM165" s="100">
        <f t="shared" si="1316"/>
        <v>1700</v>
      </c>
      <c r="MN165" s="100">
        <f t="shared" si="1316"/>
        <v>30600</v>
      </c>
      <c r="MO165" s="728">
        <f t="shared" si="1316"/>
        <v>607840</v>
      </c>
      <c r="MP165" s="728">
        <f t="shared" si="1316"/>
        <v>34334630</v>
      </c>
      <c r="MQ165" s="100">
        <f t="shared" si="1316"/>
        <v>0</v>
      </c>
      <c r="MR165" s="100">
        <f t="shared" si="1316"/>
        <v>0</v>
      </c>
      <c r="MS165" s="100">
        <f t="shared" si="1316"/>
        <v>113510</v>
      </c>
      <c r="MT165" s="100">
        <f t="shared" si="1316"/>
        <v>5377825</v>
      </c>
      <c r="MU165" s="100">
        <f t="shared" si="1316"/>
        <v>0</v>
      </c>
      <c r="MV165" s="100">
        <f t="shared" si="1316"/>
        <v>0</v>
      </c>
      <c r="MW165" s="100">
        <f t="shared" si="1316"/>
        <v>23481</v>
      </c>
      <c r="MX165" s="100">
        <f t="shared" si="1316"/>
        <v>540063</v>
      </c>
      <c r="MY165" s="100">
        <f t="shared" si="1316"/>
        <v>0</v>
      </c>
      <c r="MZ165" s="100">
        <f t="shared" si="1316"/>
        <v>0</v>
      </c>
      <c r="NA165" s="100">
        <f t="shared" si="1316"/>
        <v>0</v>
      </c>
      <c r="NB165" s="100">
        <f t="shared" si="1316"/>
        <v>0</v>
      </c>
      <c r="NC165" s="100">
        <f t="shared" si="1316"/>
        <v>0</v>
      </c>
      <c r="ND165" s="100">
        <f t="shared" si="1316"/>
        <v>0</v>
      </c>
      <c r="NE165" s="728">
        <f t="shared" si="1316"/>
        <v>136991</v>
      </c>
      <c r="NF165" s="728">
        <f t="shared" si="1316"/>
        <v>5917888</v>
      </c>
      <c r="NG165" s="100">
        <f t="shared" si="1316"/>
        <v>0</v>
      </c>
      <c r="NH165" s="100">
        <f t="shared" si="1316"/>
        <v>0</v>
      </c>
      <c r="NI165" s="100">
        <f t="shared" si="1316"/>
        <v>6942900</v>
      </c>
      <c r="NJ165" s="100">
        <f t="shared" si="1316"/>
        <v>144994320</v>
      </c>
      <c r="NK165" s="100">
        <f t="shared" si="1316"/>
        <v>0</v>
      </c>
      <c r="NL165" s="100">
        <f t="shared" si="1316"/>
        <v>0</v>
      </c>
      <c r="NM165" s="100">
        <f t="shared" si="1316"/>
        <v>2017400</v>
      </c>
      <c r="NN165" s="100">
        <f t="shared" si="1316"/>
        <v>32550600</v>
      </c>
      <c r="NO165" s="100">
        <f t="shared" si="1316"/>
        <v>335200</v>
      </c>
      <c r="NP165" s="100">
        <f t="shared" si="1316"/>
        <v>7150800</v>
      </c>
      <c r="NQ165" s="100">
        <f t="shared" si="1316"/>
        <v>21390</v>
      </c>
      <c r="NR165" s="100">
        <f t="shared" si="1316"/>
        <v>390540</v>
      </c>
      <c r="NS165" s="100">
        <f t="shared" si="1316"/>
        <v>0</v>
      </c>
      <c r="NT165" s="100">
        <f t="shared" si="1316"/>
        <v>0</v>
      </c>
      <c r="NU165" s="728">
        <f t="shared" si="1316"/>
        <v>9316890</v>
      </c>
      <c r="NV165" s="728">
        <f t="shared" si="1316"/>
        <v>185086260</v>
      </c>
      <c r="NW165" s="100">
        <f t="shared" si="1316"/>
        <v>1005</v>
      </c>
      <c r="NX165" s="100">
        <f t="shared" si="1316"/>
        <v>152000</v>
      </c>
      <c r="NY165" s="100">
        <f t="shared" si="1316"/>
        <v>1051729</v>
      </c>
      <c r="NZ165" s="100">
        <f t="shared" si="1316"/>
        <v>52083480</v>
      </c>
      <c r="OA165" s="100">
        <f t="shared" si="1316"/>
        <v>0</v>
      </c>
      <c r="OB165" s="100">
        <f t="shared" si="1316"/>
        <v>0</v>
      </c>
      <c r="OC165" s="100">
        <f t="shared" si="1316"/>
        <v>51904</v>
      </c>
      <c r="OD165" s="100">
        <f t="shared" si="1316"/>
        <v>989401</v>
      </c>
      <c r="OE165" s="100">
        <f t="shared" si="1316"/>
        <v>0</v>
      </c>
      <c r="OF165" s="100">
        <f t="shared" si="1316"/>
        <v>0</v>
      </c>
      <c r="OG165" s="100">
        <f t="shared" si="1316"/>
        <v>0</v>
      </c>
      <c r="OH165" s="100">
        <f t="shared" si="1316"/>
        <v>0</v>
      </c>
      <c r="OI165" s="100">
        <f t="shared" si="1316"/>
        <v>0</v>
      </c>
      <c r="OJ165" s="100">
        <f t="shared" si="1316"/>
        <v>0</v>
      </c>
      <c r="OK165" s="728">
        <f t="shared" si="1316"/>
        <v>1104638</v>
      </c>
      <c r="OL165" s="728">
        <f t="shared" si="1316"/>
        <v>53224881</v>
      </c>
      <c r="OM165" s="100">
        <f t="shared" ref="OM165:QX165" si="1317">SUM(OM166:OM202)</f>
        <v>56514254</v>
      </c>
      <c r="ON165" s="100">
        <f t="shared" si="1317"/>
        <v>286568770</v>
      </c>
      <c r="OO165" s="100">
        <f t="shared" si="1317"/>
        <v>392033</v>
      </c>
      <c r="OP165" s="100">
        <f t="shared" si="1317"/>
        <v>22019650</v>
      </c>
      <c r="OQ165" s="100">
        <f t="shared" si="1317"/>
        <v>0</v>
      </c>
      <c r="OR165" s="100">
        <f t="shared" si="1317"/>
        <v>0</v>
      </c>
      <c r="OS165" s="100">
        <f t="shared" si="1317"/>
        <v>34484</v>
      </c>
      <c r="OT165" s="100">
        <f t="shared" si="1317"/>
        <v>757949</v>
      </c>
      <c r="OU165" s="100">
        <f t="shared" si="1317"/>
        <v>0</v>
      </c>
      <c r="OV165" s="100">
        <f t="shared" si="1317"/>
        <v>0</v>
      </c>
      <c r="OW165" s="100">
        <f t="shared" si="1317"/>
        <v>0</v>
      </c>
      <c r="OX165" s="100">
        <f t="shared" si="1317"/>
        <v>0</v>
      </c>
      <c r="OY165" s="100">
        <f t="shared" si="1317"/>
        <v>0</v>
      </c>
      <c r="OZ165" s="100">
        <f t="shared" si="1317"/>
        <v>0</v>
      </c>
      <c r="PA165" s="728">
        <f t="shared" si="1317"/>
        <v>56940771</v>
      </c>
      <c r="PB165" s="728">
        <f t="shared" si="1317"/>
        <v>309346369</v>
      </c>
      <c r="PC165" s="100">
        <f t="shared" si="1317"/>
        <v>180</v>
      </c>
      <c r="PD165" s="100">
        <f t="shared" si="1317"/>
        <v>11716.5</v>
      </c>
      <c r="PE165" s="100">
        <f t="shared" si="1317"/>
        <v>27960</v>
      </c>
      <c r="PF165" s="100">
        <f t="shared" si="1317"/>
        <v>2096920</v>
      </c>
      <c r="PG165" s="100">
        <f t="shared" si="1317"/>
        <v>0</v>
      </c>
      <c r="PH165" s="100">
        <f t="shared" si="1317"/>
        <v>0</v>
      </c>
      <c r="PI165" s="100">
        <f t="shared" si="1317"/>
        <v>434230</v>
      </c>
      <c r="PJ165" s="100">
        <f t="shared" si="1317"/>
        <v>8036681</v>
      </c>
      <c r="PK165" s="100">
        <f t="shared" si="1317"/>
        <v>0</v>
      </c>
      <c r="PL165" s="100">
        <f t="shared" si="1317"/>
        <v>0</v>
      </c>
      <c r="PM165" s="100">
        <f t="shared" si="1317"/>
        <v>0</v>
      </c>
      <c r="PN165" s="100">
        <f t="shared" si="1317"/>
        <v>0</v>
      </c>
      <c r="PO165" s="100">
        <f t="shared" si="1317"/>
        <v>0</v>
      </c>
      <c r="PP165" s="100">
        <f t="shared" si="1317"/>
        <v>0</v>
      </c>
      <c r="PQ165" s="728">
        <f t="shared" si="1317"/>
        <v>462370</v>
      </c>
      <c r="PR165" s="728">
        <f t="shared" si="1317"/>
        <v>10145317.5</v>
      </c>
      <c r="PS165" s="100">
        <f t="shared" si="1317"/>
        <v>500</v>
      </c>
      <c r="PT165" s="100">
        <f t="shared" si="1317"/>
        <v>55000</v>
      </c>
      <c r="PU165" s="100">
        <f t="shared" si="1317"/>
        <v>1123570</v>
      </c>
      <c r="PV165" s="100">
        <f t="shared" si="1317"/>
        <v>44975160</v>
      </c>
      <c r="PW165" s="100">
        <f t="shared" si="1317"/>
        <v>0</v>
      </c>
      <c r="PX165" s="100">
        <f t="shared" si="1317"/>
        <v>0</v>
      </c>
      <c r="PY165" s="100">
        <f t="shared" si="1317"/>
        <v>1166780</v>
      </c>
      <c r="PZ165" s="100">
        <f t="shared" si="1317"/>
        <v>23679560</v>
      </c>
      <c r="QA165" s="100">
        <f>SUM(QA166:QA202)</f>
        <v>1555710</v>
      </c>
      <c r="QB165" s="100">
        <f>SUM(QB166:QB202)</f>
        <v>39203390</v>
      </c>
      <c r="QC165" s="100">
        <f t="shared" si="1317"/>
        <v>474860</v>
      </c>
      <c r="QD165" s="100">
        <f t="shared" si="1317"/>
        <v>9363490</v>
      </c>
      <c r="QE165" s="100">
        <f t="shared" si="1317"/>
        <v>0</v>
      </c>
      <c r="QF165" s="100">
        <f t="shared" si="1317"/>
        <v>0</v>
      </c>
      <c r="QG165" s="728">
        <f t="shared" si="1317"/>
        <v>4321420</v>
      </c>
      <c r="QH165" s="728">
        <f t="shared" si="1317"/>
        <v>117276600</v>
      </c>
      <c r="QI165" s="100">
        <f t="shared" si="1317"/>
        <v>0</v>
      </c>
      <c r="QJ165" s="100">
        <f t="shared" si="1317"/>
        <v>0</v>
      </c>
      <c r="QK165" s="100">
        <f t="shared" si="1317"/>
        <v>0</v>
      </c>
      <c r="QL165" s="100">
        <f t="shared" si="1317"/>
        <v>0</v>
      </c>
      <c r="QM165" s="100">
        <f t="shared" si="1317"/>
        <v>0</v>
      </c>
      <c r="QN165" s="100">
        <f t="shared" si="1317"/>
        <v>0</v>
      </c>
      <c r="QO165" s="100">
        <f t="shared" si="1317"/>
        <v>4544000</v>
      </c>
      <c r="QP165" s="100">
        <f t="shared" si="1317"/>
        <v>98815000</v>
      </c>
      <c r="QQ165" s="100">
        <f t="shared" si="1317"/>
        <v>0</v>
      </c>
      <c r="QR165" s="100">
        <f t="shared" si="1317"/>
        <v>0</v>
      </c>
      <c r="QS165" s="100">
        <f t="shared" si="1317"/>
        <v>0</v>
      </c>
      <c r="QT165" s="100">
        <f t="shared" si="1317"/>
        <v>0</v>
      </c>
      <c r="QU165" s="100">
        <f t="shared" si="1317"/>
        <v>0</v>
      </c>
      <c r="QV165" s="100">
        <f t="shared" si="1317"/>
        <v>0</v>
      </c>
      <c r="QW165" s="728">
        <f t="shared" si="1317"/>
        <v>4544000</v>
      </c>
      <c r="QX165" s="728">
        <f t="shared" si="1317"/>
        <v>98815000</v>
      </c>
      <c r="QY165" s="100">
        <f t="shared" ref="QY165:TJ165" si="1318">SUM(QY166:QY202)</f>
        <v>0</v>
      </c>
      <c r="QZ165" s="100">
        <f t="shared" si="1318"/>
        <v>0</v>
      </c>
      <c r="RA165" s="100">
        <f t="shared" si="1318"/>
        <v>0</v>
      </c>
      <c r="RB165" s="100">
        <f t="shared" si="1318"/>
        <v>0</v>
      </c>
      <c r="RC165" s="100">
        <f t="shared" si="1318"/>
        <v>0</v>
      </c>
      <c r="RD165" s="100">
        <f t="shared" si="1318"/>
        <v>0</v>
      </c>
      <c r="RE165" s="100">
        <f t="shared" si="1318"/>
        <v>5245</v>
      </c>
      <c r="RF165" s="100">
        <f t="shared" si="1318"/>
        <v>125405</v>
      </c>
      <c r="RG165" s="100">
        <f t="shared" si="1318"/>
        <v>0</v>
      </c>
      <c r="RH165" s="100">
        <f t="shared" si="1318"/>
        <v>0</v>
      </c>
      <c r="RI165" s="100">
        <f t="shared" si="1318"/>
        <v>0</v>
      </c>
      <c r="RJ165" s="100">
        <f t="shared" si="1318"/>
        <v>0</v>
      </c>
      <c r="RK165" s="100">
        <f t="shared" si="1318"/>
        <v>0</v>
      </c>
      <c r="RL165" s="100">
        <f t="shared" si="1318"/>
        <v>0</v>
      </c>
      <c r="RM165" s="728">
        <f t="shared" si="1318"/>
        <v>5245</v>
      </c>
      <c r="RN165" s="728">
        <f t="shared" si="1318"/>
        <v>125405</v>
      </c>
      <c r="RO165" s="100">
        <f t="shared" si="1318"/>
        <v>0</v>
      </c>
      <c r="RP165" s="100">
        <f t="shared" si="1318"/>
        <v>0</v>
      </c>
      <c r="RQ165" s="100">
        <f t="shared" si="1318"/>
        <v>0</v>
      </c>
      <c r="RR165" s="100">
        <f t="shared" si="1318"/>
        <v>0</v>
      </c>
      <c r="RS165" s="100">
        <f t="shared" si="1318"/>
        <v>0</v>
      </c>
      <c r="RT165" s="100">
        <f t="shared" si="1318"/>
        <v>0</v>
      </c>
      <c r="RU165" s="100">
        <f t="shared" si="1318"/>
        <v>21560</v>
      </c>
      <c r="RV165" s="100">
        <f t="shared" si="1318"/>
        <v>444260</v>
      </c>
      <c r="RW165" s="100">
        <f t="shared" si="1318"/>
        <v>0</v>
      </c>
      <c r="RX165" s="100">
        <f t="shared" si="1318"/>
        <v>0</v>
      </c>
      <c r="RY165" s="100">
        <f t="shared" si="1318"/>
        <v>0</v>
      </c>
      <c r="RZ165" s="100">
        <f t="shared" si="1318"/>
        <v>0</v>
      </c>
      <c r="SA165" s="100">
        <f t="shared" si="1318"/>
        <v>0</v>
      </c>
      <c r="SB165" s="100">
        <f t="shared" si="1318"/>
        <v>0</v>
      </c>
      <c r="SC165" s="728">
        <f t="shared" si="1318"/>
        <v>21560</v>
      </c>
      <c r="SD165" s="728">
        <f t="shared" si="1318"/>
        <v>444260</v>
      </c>
      <c r="SE165" s="100">
        <f t="shared" si="1318"/>
        <v>0</v>
      </c>
      <c r="SF165" s="100">
        <f t="shared" si="1318"/>
        <v>0</v>
      </c>
      <c r="SG165" s="100">
        <f t="shared" si="1318"/>
        <v>0</v>
      </c>
      <c r="SH165" s="100">
        <f t="shared" si="1318"/>
        <v>0</v>
      </c>
      <c r="SI165" s="100">
        <f t="shared" si="1318"/>
        <v>0</v>
      </c>
      <c r="SJ165" s="100">
        <f t="shared" si="1318"/>
        <v>0</v>
      </c>
      <c r="SK165" s="100">
        <f t="shared" si="1318"/>
        <v>16000</v>
      </c>
      <c r="SL165" s="100">
        <f t="shared" si="1318"/>
        <v>308000</v>
      </c>
      <c r="SM165" s="100">
        <f t="shared" si="1318"/>
        <v>0</v>
      </c>
      <c r="SN165" s="100">
        <f t="shared" si="1318"/>
        <v>0</v>
      </c>
      <c r="SO165" s="100">
        <f t="shared" si="1318"/>
        <v>0</v>
      </c>
      <c r="SP165" s="100">
        <f t="shared" si="1318"/>
        <v>0</v>
      </c>
      <c r="SQ165" s="100">
        <f t="shared" si="1318"/>
        <v>0</v>
      </c>
      <c r="SR165" s="100">
        <f t="shared" si="1318"/>
        <v>0</v>
      </c>
      <c r="SS165" s="728">
        <f t="shared" si="1318"/>
        <v>16000</v>
      </c>
      <c r="ST165" s="728">
        <f t="shared" si="1318"/>
        <v>308000</v>
      </c>
      <c r="SU165" s="100">
        <f t="shared" si="1318"/>
        <v>0</v>
      </c>
      <c r="SV165" s="100">
        <f t="shared" si="1318"/>
        <v>0</v>
      </c>
      <c r="SW165" s="100">
        <f t="shared" si="1318"/>
        <v>0</v>
      </c>
      <c r="SX165" s="100">
        <f t="shared" si="1318"/>
        <v>0</v>
      </c>
      <c r="SY165" s="100">
        <f t="shared" si="1318"/>
        <v>0</v>
      </c>
      <c r="SZ165" s="100">
        <f t="shared" si="1318"/>
        <v>0</v>
      </c>
      <c r="TA165" s="100">
        <f t="shared" si="1318"/>
        <v>27220</v>
      </c>
      <c r="TB165" s="100">
        <f t="shared" si="1318"/>
        <v>623220</v>
      </c>
      <c r="TC165" s="100">
        <f t="shared" si="1318"/>
        <v>0</v>
      </c>
      <c r="TD165" s="100">
        <f t="shared" si="1318"/>
        <v>0</v>
      </c>
      <c r="TE165" s="100">
        <f t="shared" si="1318"/>
        <v>0</v>
      </c>
      <c r="TF165" s="100">
        <f t="shared" si="1318"/>
        <v>0</v>
      </c>
      <c r="TG165" s="100">
        <f t="shared" si="1318"/>
        <v>0</v>
      </c>
      <c r="TH165" s="100">
        <f t="shared" si="1318"/>
        <v>0</v>
      </c>
      <c r="TI165" s="728">
        <f t="shared" si="1318"/>
        <v>27220</v>
      </c>
      <c r="TJ165" s="728">
        <f t="shared" si="1318"/>
        <v>623220</v>
      </c>
      <c r="TK165" s="100">
        <f t="shared" ref="TK165:VV165" si="1319">SUM(TK166:TK202)</f>
        <v>0</v>
      </c>
      <c r="TL165" s="100">
        <f t="shared" si="1319"/>
        <v>0</v>
      </c>
      <c r="TM165" s="100">
        <f t="shared" si="1319"/>
        <v>0</v>
      </c>
      <c r="TN165" s="100">
        <f t="shared" si="1319"/>
        <v>0</v>
      </c>
      <c r="TO165" s="100">
        <f t="shared" si="1319"/>
        <v>0</v>
      </c>
      <c r="TP165" s="100">
        <f t="shared" si="1319"/>
        <v>0</v>
      </c>
      <c r="TQ165" s="100">
        <f t="shared" si="1319"/>
        <v>11300</v>
      </c>
      <c r="TR165" s="100">
        <f t="shared" si="1319"/>
        <v>233300</v>
      </c>
      <c r="TS165" s="100">
        <f t="shared" si="1319"/>
        <v>0</v>
      </c>
      <c r="TT165" s="100">
        <f t="shared" si="1319"/>
        <v>0</v>
      </c>
      <c r="TU165" s="100">
        <f t="shared" si="1319"/>
        <v>1500</v>
      </c>
      <c r="TV165" s="100">
        <f t="shared" si="1319"/>
        <v>48500</v>
      </c>
      <c r="TW165" s="100">
        <f t="shared" si="1319"/>
        <v>0</v>
      </c>
      <c r="TX165" s="100">
        <f t="shared" si="1319"/>
        <v>0</v>
      </c>
      <c r="TY165" s="728">
        <f t="shared" si="1319"/>
        <v>12800</v>
      </c>
      <c r="TZ165" s="728">
        <f t="shared" si="1319"/>
        <v>281800</v>
      </c>
      <c r="UA165" s="100">
        <f t="shared" si="1319"/>
        <v>0</v>
      </c>
      <c r="UB165" s="100">
        <f t="shared" si="1319"/>
        <v>0</v>
      </c>
      <c r="UC165" s="100">
        <f t="shared" si="1319"/>
        <v>0</v>
      </c>
      <c r="UD165" s="100">
        <f t="shared" si="1319"/>
        <v>0</v>
      </c>
      <c r="UE165" s="100">
        <f t="shared" si="1319"/>
        <v>0</v>
      </c>
      <c r="UF165" s="100">
        <f t="shared" si="1319"/>
        <v>0</v>
      </c>
      <c r="UG165" s="100">
        <f t="shared" si="1319"/>
        <v>18900</v>
      </c>
      <c r="UH165" s="100">
        <f t="shared" si="1319"/>
        <v>345460.00199999998</v>
      </c>
      <c r="UI165" s="100">
        <f t="shared" si="1319"/>
        <v>0</v>
      </c>
      <c r="UJ165" s="100">
        <f t="shared" si="1319"/>
        <v>0</v>
      </c>
      <c r="UK165" s="100">
        <f t="shared" si="1319"/>
        <v>0</v>
      </c>
      <c r="UL165" s="100">
        <f t="shared" si="1319"/>
        <v>0</v>
      </c>
      <c r="UM165" s="100">
        <f t="shared" si="1319"/>
        <v>0</v>
      </c>
      <c r="UN165" s="100">
        <f t="shared" si="1319"/>
        <v>0</v>
      </c>
      <c r="UO165" s="728">
        <f t="shared" si="1319"/>
        <v>18900</v>
      </c>
      <c r="UP165" s="728">
        <f t="shared" si="1319"/>
        <v>345460.00199999998</v>
      </c>
      <c r="UQ165" s="100">
        <f t="shared" si="1319"/>
        <v>0</v>
      </c>
      <c r="UR165" s="100">
        <f t="shared" si="1319"/>
        <v>0</v>
      </c>
      <c r="US165" s="100">
        <f t="shared" si="1319"/>
        <v>217180</v>
      </c>
      <c r="UT165" s="100">
        <f t="shared" si="1319"/>
        <v>1772480</v>
      </c>
      <c r="UU165" s="100">
        <f t="shared" si="1319"/>
        <v>0</v>
      </c>
      <c r="UV165" s="100">
        <f t="shared" si="1319"/>
        <v>0</v>
      </c>
      <c r="UW165" s="100">
        <f t="shared" si="1319"/>
        <v>2109</v>
      </c>
      <c r="UX165" s="100">
        <f t="shared" si="1319"/>
        <v>40071</v>
      </c>
      <c r="UY165" s="100">
        <f t="shared" si="1319"/>
        <v>0</v>
      </c>
      <c r="UZ165" s="100">
        <f t="shared" si="1319"/>
        <v>0</v>
      </c>
      <c r="VA165" s="100">
        <f t="shared" si="1319"/>
        <v>0</v>
      </c>
      <c r="VB165" s="100">
        <f t="shared" si="1319"/>
        <v>0</v>
      </c>
      <c r="VC165" s="100">
        <f t="shared" si="1319"/>
        <v>0</v>
      </c>
      <c r="VD165" s="100">
        <f t="shared" si="1319"/>
        <v>0</v>
      </c>
      <c r="VE165" s="728">
        <f t="shared" si="1319"/>
        <v>219289</v>
      </c>
      <c r="VF165" s="728">
        <f t="shared" si="1319"/>
        <v>1812551</v>
      </c>
      <c r="VG165" s="100">
        <f t="shared" si="1319"/>
        <v>0</v>
      </c>
      <c r="VH165" s="100">
        <f t="shared" si="1319"/>
        <v>0</v>
      </c>
      <c r="VI165" s="100">
        <f t="shared" si="1319"/>
        <v>18126</v>
      </c>
      <c r="VJ165" s="100">
        <f t="shared" si="1319"/>
        <v>833395</v>
      </c>
      <c r="VK165" s="100">
        <f t="shared" si="1319"/>
        <v>0</v>
      </c>
      <c r="VL165" s="100">
        <f t="shared" si="1319"/>
        <v>0</v>
      </c>
      <c r="VM165" s="100">
        <f t="shared" si="1319"/>
        <v>15112</v>
      </c>
      <c r="VN165" s="100">
        <f t="shared" si="1319"/>
        <v>301030</v>
      </c>
      <c r="VO165" s="100">
        <f t="shared" si="1319"/>
        <v>0</v>
      </c>
      <c r="VP165" s="100">
        <f t="shared" si="1319"/>
        <v>0</v>
      </c>
      <c r="VQ165" s="100">
        <f t="shared" si="1319"/>
        <v>0</v>
      </c>
      <c r="VR165" s="100">
        <f t="shared" si="1319"/>
        <v>0</v>
      </c>
      <c r="VS165" s="100">
        <f t="shared" si="1319"/>
        <v>0</v>
      </c>
      <c r="VT165" s="100">
        <f t="shared" si="1319"/>
        <v>0</v>
      </c>
      <c r="VU165" s="728">
        <f t="shared" si="1319"/>
        <v>33238</v>
      </c>
      <c r="VV165" s="728">
        <f t="shared" si="1319"/>
        <v>1134425</v>
      </c>
      <c r="VW165" s="100">
        <f t="shared" ref="VW165:WL165" si="1320">SUM(VW166:VW202)</f>
        <v>0</v>
      </c>
      <c r="VX165" s="100">
        <f t="shared" si="1320"/>
        <v>0</v>
      </c>
      <c r="VY165" s="100">
        <f t="shared" si="1320"/>
        <v>424201</v>
      </c>
      <c r="VZ165" s="100">
        <f t="shared" si="1320"/>
        <v>15624541</v>
      </c>
      <c r="WA165" s="100">
        <f t="shared" si="1320"/>
        <v>0</v>
      </c>
      <c r="WB165" s="100">
        <f t="shared" si="1320"/>
        <v>0</v>
      </c>
      <c r="WC165" s="100">
        <f t="shared" si="1320"/>
        <v>351763</v>
      </c>
      <c r="WD165" s="100">
        <f t="shared" si="1320"/>
        <v>9044230</v>
      </c>
      <c r="WE165" s="100">
        <f t="shared" si="1320"/>
        <v>0</v>
      </c>
      <c r="WF165" s="100">
        <f t="shared" si="1320"/>
        <v>0</v>
      </c>
      <c r="WG165" s="100">
        <f t="shared" si="1320"/>
        <v>0</v>
      </c>
      <c r="WH165" s="100">
        <f t="shared" si="1320"/>
        <v>0</v>
      </c>
      <c r="WI165" s="100">
        <f t="shared" si="1320"/>
        <v>6868</v>
      </c>
      <c r="WJ165" s="100">
        <f t="shared" si="1320"/>
        <v>151096</v>
      </c>
      <c r="WK165" s="728">
        <f t="shared" si="1320"/>
        <v>782832</v>
      </c>
      <c r="WL165" s="728">
        <f t="shared" si="1320"/>
        <v>24819867</v>
      </c>
      <c r="WM165" s="89"/>
      <c r="WN165" s="96">
        <f t="shared" ref="WN165:XC165" si="1321">SUM(WN166:WN202)</f>
        <v>57079483</v>
      </c>
      <c r="WO165" s="96">
        <f t="shared" si="1321"/>
        <v>292211230.5</v>
      </c>
      <c r="WP165" s="96">
        <f t="shared" si="1321"/>
        <v>21858863.2757545</v>
      </c>
      <c r="WQ165" s="96">
        <f t="shared" si="1321"/>
        <v>727993070.98699999</v>
      </c>
      <c r="WR165" s="96">
        <f t="shared" si="1321"/>
        <v>0</v>
      </c>
      <c r="WS165" s="96">
        <f t="shared" si="1321"/>
        <v>0</v>
      </c>
      <c r="WT165" s="96">
        <f t="shared" si="1321"/>
        <v>38919316.3025098</v>
      </c>
      <c r="WU165" s="96">
        <f t="shared" si="1321"/>
        <v>827626204.04900002</v>
      </c>
      <c r="WV165" s="96">
        <f t="shared" si="1321"/>
        <v>1907423</v>
      </c>
      <c r="WW165" s="96">
        <f t="shared" si="1321"/>
        <v>46751557</v>
      </c>
      <c r="WX165" s="96">
        <f t="shared" si="1321"/>
        <v>515965</v>
      </c>
      <c r="WY165" s="96">
        <f t="shared" si="1321"/>
        <v>10147465</v>
      </c>
      <c r="WZ165" s="96">
        <f t="shared" si="1321"/>
        <v>496065.05</v>
      </c>
      <c r="XA165" s="96">
        <f t="shared" si="1321"/>
        <v>11850317</v>
      </c>
      <c r="XB165" s="96">
        <f t="shared" si="1321"/>
        <v>120777115.62826431</v>
      </c>
      <c r="XC165" s="96">
        <f t="shared" si="1321"/>
        <v>1916579844.5359998</v>
      </c>
      <c r="XD165" s="89"/>
      <c r="XE165" s="94"/>
      <c r="XF165" s="94"/>
      <c r="XG165" s="89"/>
      <c r="XH165" s="96"/>
      <c r="XI165" s="96"/>
      <c r="XJ165" s="89"/>
      <c r="XK165" s="96"/>
      <c r="XL165" s="96"/>
      <c r="XM165" s="96"/>
      <c r="XN165" s="96"/>
      <c r="XO165" s="96"/>
      <c r="XP165" s="96"/>
      <c r="XQ165" s="96"/>
      <c r="XR165" s="96">
        <f t="shared" ref="XR165" ca="1" si="1322">SUM(XR166:XR202)</f>
        <v>0</v>
      </c>
      <c r="XS165" s="89"/>
      <c r="XT165" s="96"/>
      <c r="XU165" s="96"/>
      <c r="XV165" s="96"/>
      <c r="XW165" s="96"/>
      <c r="XX165" s="96"/>
      <c r="XY165" s="96"/>
      <c r="XZ165" s="96"/>
      <c r="YA165" s="96">
        <f t="shared" ref="YA165" ca="1" si="1323">SUM(YA166:YA202)</f>
        <v>0</v>
      </c>
    </row>
    <row r="166" spans="1:1017">
      <c r="A166" s="98" t="s">
        <v>49</v>
      </c>
      <c r="B166" s="90" t="str">
        <f t="shared" ref="B166:B192" si="1324">B128</f>
        <v xml:space="preserve">Bandeng </v>
      </c>
      <c r="E166" s="98">
        <v>236400</v>
      </c>
      <c r="F166" s="98">
        <v>6619200</v>
      </c>
      <c r="I166" s="98">
        <v>14400</v>
      </c>
      <c r="J166" s="98">
        <v>360000</v>
      </c>
      <c r="Q166" s="91">
        <f t="shared" ref="Q166:Q202" si="1325">SUMIF($C$12:$P$12,$A$1,C166:P166)</f>
        <v>250800</v>
      </c>
      <c r="R166" s="91">
        <f t="shared" ref="R166:R202" si="1326">SUMIF($C$12:$P$12,$A$3,C166:P166)</f>
        <v>6979200</v>
      </c>
      <c r="U166" s="98">
        <v>2885</v>
      </c>
      <c r="V166" s="98">
        <v>57700</v>
      </c>
      <c r="AG166" s="91">
        <f t="shared" ref="AG166:AG202" si="1327">SUMIF($C$12:$P$12,$A$1,S166:AF166)</f>
        <v>2885</v>
      </c>
      <c r="AH166" s="91">
        <f t="shared" ref="AH166:AH202" si="1328">SUMIF($C$12:$P$12,$A$3,S166:AF166)</f>
        <v>57700</v>
      </c>
      <c r="AW166" s="91">
        <f t="shared" ref="AW166:AW202" si="1329">SUMIF($C$12:$P$12,$A$1,AI166:AV166)</f>
        <v>0</v>
      </c>
      <c r="AX166" s="91">
        <f t="shared" ref="AX166:AX202" si="1330">SUMIF($C$12:$P$12,$A$3,AI166:AV166)</f>
        <v>0</v>
      </c>
      <c r="BG166" s="98">
        <v>2652</v>
      </c>
      <c r="BH166" s="98">
        <v>45084</v>
      </c>
      <c r="BM166" s="91">
        <f t="shared" ref="BM166:BM202" si="1331">SUMIF($C$12:$P$12,$A$1,AY166:BL166)</f>
        <v>2652</v>
      </c>
      <c r="BN166" s="91">
        <f t="shared" ref="BN166:BN202" si="1332">SUMIF($C$12:$P$12,$A$3,AY166:BL166)</f>
        <v>45084</v>
      </c>
      <c r="CC166" s="91">
        <f t="shared" ref="CC166:CC202" si="1333">SUMIF($C$12:$P$12,$A$1,BO166:CB166)</f>
        <v>0</v>
      </c>
      <c r="CD166" s="91">
        <f t="shared" ref="CD166:CD202" si="1334">SUMIF($C$12:$P$12,$A$3,BO166:CB166)</f>
        <v>0</v>
      </c>
      <c r="CG166" s="98">
        <v>4544417</v>
      </c>
      <c r="CH166" s="98">
        <v>104521587</v>
      </c>
      <c r="CK166" s="98">
        <v>3717779</v>
      </c>
      <c r="CL166" s="98">
        <v>81791111</v>
      </c>
      <c r="CS166" s="91">
        <f t="shared" ref="CS166" si="1335">SUMIF($C$12:$P$12,$A$1,CE166:CR166)</f>
        <v>8262196</v>
      </c>
      <c r="CT166" s="91">
        <f t="shared" ref="CT166" si="1336">SUMIF($C$12:$P$12,$A$3,CE166:CR166)</f>
        <v>186312698</v>
      </c>
      <c r="CW166" s="98">
        <v>3476.0164319100004</v>
      </c>
      <c r="CX166" s="98">
        <v>69520.33</v>
      </c>
      <c r="DI166" s="91">
        <f t="shared" ref="DI166:DI202" si="1337">SUMIF($C$12:$P$12,$A$1,CU166:DH166)</f>
        <v>3476.0164319100004</v>
      </c>
      <c r="DJ166" s="91">
        <f t="shared" ref="DJ166:DJ202" si="1338">SUMIF($C$12:$P$12,$A$3,CU166:DH166)</f>
        <v>69520.33</v>
      </c>
      <c r="DY166" s="91">
        <f t="shared" ref="DY166:DY202" si="1339">SUMIF($C$12:$P$12,$A$1,DK166:DX166)</f>
        <v>0</v>
      </c>
      <c r="DZ166" s="91">
        <f t="shared" ref="DZ166:DZ202" si="1340">SUMIF($C$12:$P$12,$A$3,DK166:DX166)</f>
        <v>0</v>
      </c>
      <c r="EO166" s="91">
        <f t="shared" ref="EO166:EO202" si="1341">SUMIF($C$12:$P$12,$A$1,EA166:EN166)</f>
        <v>0</v>
      </c>
      <c r="EP166" s="91">
        <f t="shared" ref="EP166:EP202" si="1342">SUMIF($C$12:$P$12,$A$3,EA166:EN166)</f>
        <v>0</v>
      </c>
      <c r="ES166" s="98">
        <v>58077</v>
      </c>
      <c r="ET166" s="98">
        <v>871155</v>
      </c>
      <c r="EW166" s="98">
        <v>3835502</v>
      </c>
      <c r="EX166" s="98">
        <v>63285783</v>
      </c>
      <c r="FE166" s="91">
        <f t="shared" ref="FE166:FE202" si="1343">SUMIF($C$12:$P$12,$A$1,EQ166:FD166)</f>
        <v>3893579</v>
      </c>
      <c r="FF166" s="91">
        <f t="shared" ref="FF166:FF202" si="1344">SUMIF($C$12:$P$12,$A$3,EQ166:FD166)</f>
        <v>64156938</v>
      </c>
      <c r="FU166" s="91">
        <f t="shared" ref="FU166:FU202" si="1345">SUMIF($C$12:$P$12,$A$1,FG166:FT166)</f>
        <v>0</v>
      </c>
      <c r="FV166" s="91">
        <f t="shared" ref="FV166:FV202" si="1346">SUMIF($C$12:$P$12,$A$3,FG166:FT166)</f>
        <v>0</v>
      </c>
      <c r="GK166" s="91">
        <f t="shared" ref="GK166:GK202" si="1347">SUMIF($C$12:$P$12,$A$1,FW166:GJ166)</f>
        <v>0</v>
      </c>
      <c r="GL166" s="91">
        <f t="shared" ref="GL166:GL202" si="1348">SUMIF($C$12:$P$12,$A$3,FW166:GJ166)</f>
        <v>0</v>
      </c>
      <c r="HA166" s="91">
        <f t="shared" ref="HA166:HA202" si="1349">SUMIF($C$12:$P$12,$A$1,GM166:GZ166)</f>
        <v>0</v>
      </c>
      <c r="HB166" s="91">
        <f t="shared" ref="HB166:HB202" si="1350">SUMIF($C$12:$P$12,$A$3,GM166:GZ166)</f>
        <v>0</v>
      </c>
      <c r="HQ166" s="91">
        <f t="shared" ref="HQ166:HQ202" si="1351">SUMIF($C$12:$P$12,$A$1,HC166:HP166)</f>
        <v>0</v>
      </c>
      <c r="HR166" s="91">
        <f t="shared" ref="HR166:HR202" si="1352">SUMIF($C$12:$P$12,$A$3,HC166:HP166)</f>
        <v>0</v>
      </c>
      <c r="IG166" s="91">
        <f t="shared" ref="IG166:IG202" si="1353">SUMIF($C$12:$P$12,$A$1,HS166:IF166)</f>
        <v>0</v>
      </c>
      <c r="IH166" s="91">
        <f t="shared" ref="IH166:IH202" si="1354">SUMIF($C$12:$P$12,$A$3,HS166:IF166)</f>
        <v>0</v>
      </c>
      <c r="IW166" s="91">
        <f t="shared" ref="IW166:IW202" si="1355">SUMIF($C$12:$P$12,$A$1,II166:IV166)</f>
        <v>0</v>
      </c>
      <c r="IX166" s="91">
        <f t="shared" ref="IX166:IX202" si="1356">SUMIF($C$12:$P$12,$A$3,II166:IV166)</f>
        <v>0</v>
      </c>
      <c r="JM166" s="91">
        <f t="shared" ref="JM166:JM202" si="1357">SUMIF($C$12:$P$12,$A$1,IY166:JL166)</f>
        <v>0</v>
      </c>
      <c r="JN166" s="91">
        <f t="shared" ref="JN166:JN202" si="1358">SUMIF($C$12:$P$12,$A$3,IY166:JL166)</f>
        <v>0</v>
      </c>
      <c r="KC166" s="91">
        <f t="shared" ref="KC166:KC202" si="1359">SUMIF($C$12:$P$12,$A$1,JO166:KB166)</f>
        <v>0</v>
      </c>
      <c r="KD166" s="91">
        <f t="shared" ref="KD166:KD202" si="1360">SUMIF($C$12:$P$12,$A$3,JO166:KB166)</f>
        <v>0</v>
      </c>
      <c r="KG166" s="98">
        <v>257</v>
      </c>
      <c r="KH166" s="98">
        <v>7710</v>
      </c>
      <c r="KS166" s="91">
        <f t="shared" ref="KS166:KS202" si="1361">SUMIF($C$12:$P$12,$A$1,KE166:KR166)</f>
        <v>257</v>
      </c>
      <c r="KT166" s="91">
        <f t="shared" ref="KT166:KT202" si="1362">SUMIF($C$12:$P$12,$A$3,KE166:KR166)</f>
        <v>7710</v>
      </c>
      <c r="KW166" s="98">
        <v>209055.3</v>
      </c>
      <c r="KX166" s="98">
        <v>4181106</v>
      </c>
      <c r="LI166" s="91">
        <f t="shared" ref="LI166:LI202" si="1363">SUMIF($C$12:$P$12,$A$1,KU166:LH166)</f>
        <v>209055.3</v>
      </c>
      <c r="LJ166" s="91">
        <f t="shared" ref="LJ166:LJ202" si="1364">SUMIF($C$12:$P$12,$A$3,KU166:LH166)</f>
        <v>4181106</v>
      </c>
      <c r="LY166" s="91">
        <f t="shared" ref="LY166:LY202" si="1365">SUMIF($C$12:$P$12,$A$1,LK166:LX166)</f>
        <v>0</v>
      </c>
      <c r="LZ166" s="91">
        <f t="shared" ref="LZ166:LZ202" si="1366">SUMIF($C$12:$P$12,$A$3,LK166:LX166)</f>
        <v>0</v>
      </c>
      <c r="MO166" s="91">
        <f t="shared" ref="MO166:MO202" si="1367">SUMIF($C$12:$P$12,$A$1,MA166:MN166)</f>
        <v>0</v>
      </c>
      <c r="MP166" s="91">
        <f t="shared" ref="MP166:MP202" si="1368">SUMIF($C$12:$P$12,$A$3,MA166:MN166)</f>
        <v>0</v>
      </c>
      <c r="MS166" s="98">
        <v>50275</v>
      </c>
      <c r="MT166" s="98">
        <v>1407700</v>
      </c>
      <c r="NE166" s="91">
        <f t="shared" ref="NE166:NE202" si="1369">SUMIF($C$12:$P$12,$A$1,MQ166:ND166)</f>
        <v>50275</v>
      </c>
      <c r="NF166" s="91">
        <f t="shared" ref="NF166:NF202" si="1370">SUMIF($C$12:$P$12,$A$3,MQ166:ND166)</f>
        <v>1407700</v>
      </c>
      <c r="NI166" s="98">
        <v>2106000</v>
      </c>
      <c r="NJ166" s="98">
        <v>46332000</v>
      </c>
      <c r="NU166" s="91">
        <f t="shared" ref="NU166:NU202" si="1371">SUMIF($C$12:$P$12,$A$1,NG166:NT166)</f>
        <v>2106000</v>
      </c>
      <c r="NV166" s="91">
        <f t="shared" ref="NV166:NV202" si="1372">SUMIF($C$12:$P$12,$A$3,NG166:NT166)</f>
        <v>46332000</v>
      </c>
      <c r="NW166" s="98">
        <v>100</v>
      </c>
      <c r="NX166" s="98">
        <v>4500</v>
      </c>
      <c r="NY166" s="98">
        <v>180</v>
      </c>
      <c r="NZ166" s="98">
        <v>3240</v>
      </c>
      <c r="OK166" s="91">
        <f t="shared" ref="OK166:OK202" si="1373">SUMIF($C$12:$P$12,$A$1,NW166:OJ166)</f>
        <v>280</v>
      </c>
      <c r="OL166" s="91">
        <f t="shared" ref="OL166:OL202" si="1374">SUMIF($C$12:$P$12,$A$3,NW166:OJ166)</f>
        <v>7740</v>
      </c>
      <c r="OO166" s="98">
        <v>77533</v>
      </c>
      <c r="OP166" s="98">
        <v>2325990</v>
      </c>
      <c r="PA166" s="91">
        <f t="shared" ref="PA166:PA202" si="1375">SUMIF($C$12:$P$12,$A$1,OM166:OZ166)</f>
        <v>77533</v>
      </c>
      <c r="PB166" s="91">
        <f t="shared" ref="PB166:PB202" si="1376">SUMIF($C$12:$P$12,$A$3,OM166:OZ166)</f>
        <v>2325990</v>
      </c>
      <c r="PQ166" s="91">
        <f t="shared" ref="PQ166:PQ202" si="1377">SUMIF($C$12:$P$12,$A$1,PC166:PP166)</f>
        <v>0</v>
      </c>
      <c r="PR166" s="91">
        <f t="shared" ref="PR166:PR202" si="1378">SUMIF($C$12:$P$12,$A$3,PC166:PP166)</f>
        <v>0</v>
      </c>
      <c r="PU166" s="98">
        <v>361950</v>
      </c>
      <c r="PV166" s="98">
        <v>7239000</v>
      </c>
      <c r="QA166" s="98">
        <v>550250</v>
      </c>
      <c r="QB166" s="98">
        <v>11005000</v>
      </c>
      <c r="QG166" s="91">
        <f t="shared" ref="QG166:QG202" si="1379">SUMIF($C$12:$P$12,$A$1,PS166:QF166)</f>
        <v>912200</v>
      </c>
      <c r="QH166" s="91">
        <f t="shared" ref="QH166:QH202" si="1380">SUMIF($C$12:$P$12,$A$3,PS166:QF166)</f>
        <v>18244000</v>
      </c>
      <c r="QW166" s="91">
        <f t="shared" ref="QW166:QW202" si="1381">SUMIF($C$12:$P$12,$A$1,QI166:QV166)</f>
        <v>0</v>
      </c>
      <c r="QX166" s="91">
        <f t="shared" ref="QX166:QX202" si="1382">SUMIF($C$12:$P$12,$A$3,QI166:QV166)</f>
        <v>0</v>
      </c>
      <c r="RM166" s="91">
        <f t="shared" ref="RM166:RM202" si="1383">SUMIF($C$12:$P$12,$A$1,QY166:RL166)</f>
        <v>0</v>
      </c>
      <c r="RN166" s="91">
        <f t="shared" ref="RN166:RN202" si="1384">SUMIF($C$12:$P$12,$A$3,QY166:RL166)</f>
        <v>0</v>
      </c>
      <c r="SC166" s="91">
        <f t="shared" ref="SC166:SC202" si="1385">SUMIF($C$12:$P$12,$A$1,RO166:SB166)</f>
        <v>0</v>
      </c>
      <c r="SD166" s="91">
        <f t="shared" ref="SD166:SD202" si="1386">SUMIF($C$12:$P$12,$A$3,RO166:SB166)</f>
        <v>0</v>
      </c>
      <c r="SS166" s="91">
        <f t="shared" ref="SS166:SS202" si="1387">SUMIF($C$12:$P$12,$A$1,SE166:SR166)</f>
        <v>0</v>
      </c>
      <c r="ST166" s="91">
        <f t="shared" ref="ST166:ST202" si="1388">SUMIF($C$12:$P$12,$A$3,SE166:SR166)</f>
        <v>0</v>
      </c>
      <c r="TI166" s="91">
        <f t="shared" ref="TI166:TI202" si="1389">SUMIF($C$12:$P$12,$A$1,SU166:TH166)</f>
        <v>0</v>
      </c>
      <c r="TJ166" s="91">
        <f t="shared" ref="TJ166:TJ202" si="1390">SUMIF($C$12:$P$12,$A$3,SU166:TH166)</f>
        <v>0</v>
      </c>
      <c r="TY166" s="91">
        <f t="shared" ref="TY166:TY202" si="1391">SUMIF($C$12:$P$12,$A$1,TK166:TX166)</f>
        <v>0</v>
      </c>
      <c r="TZ166" s="91">
        <f t="shared" ref="TZ166:TZ202" si="1392">SUMIF($C$12:$P$12,$A$3,TK166:TX166)</f>
        <v>0</v>
      </c>
      <c r="UO166" s="91">
        <f t="shared" ref="UO166:UO202" si="1393">SUMIF($C$12:$P$12,$A$1,UA166:UN166)</f>
        <v>0</v>
      </c>
      <c r="UP166" s="91">
        <f t="shared" ref="UP166:UP200" si="1394">SUMIF($C$12:$P$12,$A$3,UA166:UN166)</f>
        <v>0</v>
      </c>
      <c r="US166" s="98">
        <v>105180</v>
      </c>
      <c r="UT166" s="98">
        <v>1682880</v>
      </c>
      <c r="VE166" s="91">
        <f t="shared" ref="VE166:VE202" si="1395">SUMIF($C$12:$P$12,$A$1,UQ166:VD166)</f>
        <v>105180</v>
      </c>
      <c r="VF166" s="91">
        <f t="shared" ref="VF166:VF202" si="1396">SUMIF($C$12:$P$12,$A$3,UQ166:VD166)</f>
        <v>1682880</v>
      </c>
      <c r="VI166" s="98">
        <v>3775</v>
      </c>
      <c r="VJ166" s="98">
        <v>60400</v>
      </c>
      <c r="VU166" s="91">
        <f t="shared" ref="VU166:VU202" si="1397">SUMIF($C$12:$P$12,$A$1,VG166:VT166)</f>
        <v>3775</v>
      </c>
      <c r="VV166" s="91">
        <f t="shared" ref="VV166:VV202" si="1398">SUMIF($C$12:$P$12,$A$3,VG166:VT166)</f>
        <v>60400</v>
      </c>
      <c r="VY166" s="98">
        <v>222369</v>
      </c>
      <c r="VZ166" s="98">
        <v>7338177</v>
      </c>
      <c r="WC166" s="98">
        <v>127066</v>
      </c>
      <c r="WD166" s="98">
        <v>3811980</v>
      </c>
      <c r="WK166" s="91">
        <f t="shared" ref="WK166:WK202" si="1399">SUMIF($C$12:$P$12,$A$1,VW166:WJ166)</f>
        <v>349435</v>
      </c>
      <c r="WL166" s="91">
        <f t="shared" ref="WL166:WL202" si="1400">SUMIF($C$12:$P$12,$A$3,VW166:WJ166)</f>
        <v>11150157</v>
      </c>
      <c r="WM166" s="89"/>
      <c r="WN166" s="87">
        <f t="shared" ref="WN166:WN193" si="1401">SUMIF($C$5:$WL$5,$WN$5,C166:WL166)</f>
        <v>100</v>
      </c>
      <c r="WO166" s="87">
        <f t="shared" ref="WO166:WO193" si="1402">SUMIF($C$5:$WL$5,$WO$5,C166:WL166)</f>
        <v>4500</v>
      </c>
      <c r="WP166" s="87">
        <f t="shared" ref="WP166:WP193" si="1403">SUMIF($C$5:$WL$5,$WP$5,C166:WL166)</f>
        <v>7981829.3164319098</v>
      </c>
      <c r="WQ166" s="87">
        <f t="shared" ref="WQ166:WQ193" si="1404">SUMIF($C$5:$WL$5,$WQ$5,C166:WL166)</f>
        <v>182717365.32999998</v>
      </c>
      <c r="WR166" s="87">
        <f t="shared" ref="WR166:WR193" si="1405">SUMIF($C$5:$WL$5,$WR$5,C166:WL166)</f>
        <v>0</v>
      </c>
      <c r="WS166" s="87">
        <f t="shared" ref="WS166:WS193" si="1406">SUMIF($C$5:$WL$5,$WS$5,C166:WL166)</f>
        <v>0</v>
      </c>
      <c r="WT166" s="87">
        <f t="shared" ref="WT166:WT193" si="1407">SUMIF($C$5:$WL$5,$WT$5,C166:WL166)</f>
        <v>7694747</v>
      </c>
      <c r="WU166" s="87">
        <f t="shared" ref="WU166:WU193" si="1408">SUMIF($C$5:$WL$5,$WU$5,C166:WL166)</f>
        <v>149248874</v>
      </c>
      <c r="WV166" s="87">
        <f t="shared" ref="WV166:WV193" si="1409">SUMIF($C$5:$WL$5,$WV$5,C166:WL166)</f>
        <v>552902</v>
      </c>
      <c r="WW166" s="87">
        <f t="shared" ref="WW166:WW193" si="1410">SUMIF($C$5:$WL$5,$WW$5,C166:WL166)</f>
        <v>11050084</v>
      </c>
      <c r="WX166" s="87">
        <f t="shared" ref="WX166:WX193" si="1411">SUMIF($C$5:$WL$5,$WX$5,C166:WL166)</f>
        <v>0</v>
      </c>
      <c r="WY166" s="87">
        <f t="shared" ref="WY166:WY193" si="1412">SUMIF($C$5:$WL$5,$WY$5,C166:WL166)</f>
        <v>0</v>
      </c>
      <c r="WZ166" s="87">
        <f t="shared" ref="WZ166:WZ188" si="1413">SUMIF($C$5:$WL$5,$WZ$5,C166:WL166)</f>
        <v>0</v>
      </c>
      <c r="XA166" s="87">
        <f t="shared" ref="XA166:XA188" si="1414">SUMIF($C$5:$WL$5,$XA$5,C166:WL166)</f>
        <v>0</v>
      </c>
      <c r="XB166" s="92">
        <f t="shared" ref="XB166:XB188" si="1415">SUMIF($WN$12:$XA$12,$XB$12,WN166:XA166)</f>
        <v>16229578.31643191</v>
      </c>
      <c r="XC166" s="92">
        <f t="shared" ref="XC166:XC188" si="1416">SUMIF($WN$12:$XA$12,$XC$12,WN166:XA166)</f>
        <v>343020823.32999998</v>
      </c>
      <c r="XD166" s="89"/>
      <c r="XE166" s="92"/>
      <c r="XF166" s="92"/>
      <c r="XG166" s="89"/>
      <c r="XH166" s="92"/>
      <c r="XI166" s="92"/>
      <c r="XJ166" s="89"/>
      <c r="XK166" s="87"/>
      <c r="XL166" s="87"/>
      <c r="XM166" s="87"/>
      <c r="XN166" s="87"/>
      <c r="XO166" s="87"/>
      <c r="XP166" s="87"/>
      <c r="XQ166" s="87"/>
      <c r="XR166" s="92">
        <f t="shared" ref="XR166:XR202" ca="1" si="1417">SUMIF($WN$12:$XA$12,$XB$12,XK166:XQ166)</f>
        <v>0</v>
      </c>
      <c r="XS166" s="89"/>
      <c r="XT166" s="87"/>
      <c r="XU166" s="87"/>
      <c r="XV166" s="87"/>
      <c r="XW166" s="87"/>
      <c r="XX166" s="87"/>
      <c r="XY166" s="87"/>
      <c r="XZ166" s="87"/>
      <c r="YA166" s="92">
        <f t="shared" ref="YA166:YA202" ca="1" si="1418">SUMIF($WN$12:$XA$12,$XB$12,XT166:XZ166)</f>
        <v>0</v>
      </c>
      <c r="YB166" s="90"/>
      <c r="YC166" s="90"/>
      <c r="YD166" s="90"/>
      <c r="YE166" s="90"/>
      <c r="YF166" s="90"/>
      <c r="YG166" s="90"/>
      <c r="YH166" s="90"/>
      <c r="YI166" s="90"/>
      <c r="YJ166" s="90"/>
      <c r="YK166" s="90"/>
      <c r="YL166" s="90"/>
      <c r="YM166" s="90"/>
      <c r="YN166" s="90"/>
      <c r="YO166" s="90"/>
      <c r="YP166" s="90"/>
      <c r="YQ166" s="90"/>
      <c r="YR166" s="90"/>
      <c r="YS166" s="90"/>
      <c r="YT166" s="90"/>
      <c r="YU166" s="90"/>
      <c r="YV166" s="90"/>
      <c r="YW166" s="90"/>
      <c r="YX166" s="90"/>
      <c r="YY166" s="90"/>
      <c r="YZ166" s="90"/>
      <c r="ZA166" s="90"/>
      <c r="ZB166" s="90"/>
      <c r="ZC166" s="90"/>
      <c r="ZD166" s="90"/>
      <c r="ZE166" s="90"/>
      <c r="ZF166" s="90"/>
      <c r="ZG166" s="90"/>
      <c r="ZH166" s="90"/>
      <c r="ZI166" s="90"/>
      <c r="ZJ166" s="90"/>
      <c r="ZK166" s="90"/>
      <c r="ZL166" s="90"/>
      <c r="ZM166" s="90"/>
      <c r="ZN166" s="90"/>
      <c r="ZO166" s="90"/>
      <c r="ZP166" s="90"/>
      <c r="ZQ166" s="90"/>
      <c r="ZR166" s="90"/>
      <c r="ZS166" s="90"/>
      <c r="ZT166" s="90"/>
      <c r="ZU166" s="90"/>
      <c r="ZV166" s="90"/>
      <c r="ZW166" s="90"/>
      <c r="ZX166" s="90"/>
      <c r="ZY166" s="90"/>
      <c r="ZZ166" s="90"/>
      <c r="AAA166" s="90"/>
      <c r="AAB166" s="90"/>
      <c r="AAC166" s="90"/>
      <c r="AAD166" s="90"/>
      <c r="AAE166" s="90"/>
      <c r="AAF166" s="90"/>
      <c r="AAG166" s="90"/>
      <c r="AAH166" s="90"/>
      <c r="AAI166" s="90"/>
      <c r="AAJ166" s="90"/>
      <c r="AAK166" s="90"/>
      <c r="AAL166" s="90"/>
      <c r="AAM166" s="90"/>
      <c r="AAN166" s="90"/>
      <c r="AAO166" s="90"/>
      <c r="AAP166" s="90"/>
      <c r="AAQ166" s="90"/>
      <c r="AAR166" s="90"/>
      <c r="AAS166" s="90"/>
      <c r="AAT166" s="90"/>
      <c r="AAU166" s="90"/>
      <c r="AAV166" s="90"/>
      <c r="AAW166" s="90"/>
      <c r="AAX166" s="90"/>
      <c r="AAY166" s="90"/>
      <c r="AAZ166" s="90"/>
      <c r="ABA166" s="90"/>
      <c r="ABB166" s="90"/>
      <c r="ABC166" s="90"/>
      <c r="ABD166" s="90"/>
      <c r="ABE166" s="90"/>
      <c r="ABF166" s="90"/>
      <c r="ABG166" s="90"/>
      <c r="ABH166" s="90"/>
      <c r="ABI166" s="90"/>
      <c r="ABJ166" s="90"/>
      <c r="ABK166" s="90"/>
      <c r="ABL166" s="90"/>
      <c r="ABM166" s="90"/>
      <c r="ABN166" s="90"/>
      <c r="ABO166" s="90"/>
      <c r="ABP166" s="90"/>
      <c r="ABQ166" s="90"/>
      <c r="ABR166" s="90"/>
      <c r="ABS166" s="90"/>
      <c r="ABT166" s="90"/>
      <c r="ABU166" s="90"/>
      <c r="ABV166" s="90"/>
      <c r="ABW166" s="90"/>
      <c r="ABX166" s="90"/>
      <c r="ABY166" s="90"/>
      <c r="ABZ166" s="90"/>
      <c r="ACA166" s="90"/>
      <c r="ACB166" s="90"/>
      <c r="ACC166" s="90"/>
      <c r="ACD166" s="90"/>
      <c r="ACE166" s="90"/>
      <c r="ACF166" s="90"/>
      <c r="ACG166" s="90"/>
      <c r="ACH166" s="90"/>
      <c r="ACI166" s="90"/>
      <c r="ACJ166" s="90"/>
      <c r="ACK166" s="90"/>
      <c r="ACL166" s="90"/>
      <c r="ACM166" s="90"/>
      <c r="ACN166" s="90"/>
      <c r="ACO166" s="90"/>
      <c r="ACP166" s="90"/>
      <c r="ACQ166" s="90"/>
      <c r="ACR166" s="90"/>
      <c r="ACS166" s="90"/>
      <c r="ACT166" s="90"/>
      <c r="ACU166" s="90"/>
      <c r="ACV166" s="90"/>
      <c r="ACW166" s="90"/>
      <c r="ACX166" s="90"/>
      <c r="ACY166" s="90"/>
      <c r="ACZ166" s="90"/>
      <c r="ADA166" s="90"/>
      <c r="ADB166" s="90"/>
      <c r="ADC166" s="90"/>
      <c r="ADD166" s="90"/>
      <c r="ADE166" s="90"/>
      <c r="ADF166" s="90"/>
      <c r="ADG166" s="90"/>
      <c r="ADH166" s="90"/>
      <c r="ADI166" s="90"/>
      <c r="ADJ166" s="90"/>
      <c r="ADK166" s="90"/>
      <c r="ADL166" s="90"/>
      <c r="ADM166" s="90"/>
      <c r="ADN166" s="90"/>
      <c r="ADO166" s="90"/>
      <c r="ADP166" s="90"/>
      <c r="ADQ166" s="90"/>
      <c r="ADR166" s="90"/>
      <c r="ADS166" s="90"/>
      <c r="ADT166" s="90"/>
      <c r="ADU166" s="90"/>
      <c r="ADV166" s="90"/>
      <c r="ADW166" s="90"/>
      <c r="ADX166" s="90"/>
      <c r="ADY166" s="90"/>
      <c r="ADZ166" s="90"/>
      <c r="AEA166" s="90"/>
      <c r="AEB166" s="90"/>
      <c r="AEC166" s="90"/>
      <c r="AED166" s="90"/>
      <c r="AEE166" s="90"/>
      <c r="AEF166" s="90"/>
      <c r="AEG166" s="90"/>
      <c r="AEH166" s="90"/>
      <c r="AEI166" s="90"/>
      <c r="AEJ166" s="90"/>
      <c r="AEK166" s="90"/>
      <c r="AEL166" s="90"/>
      <c r="AEM166" s="90"/>
      <c r="AEN166" s="90"/>
      <c r="AEO166" s="90"/>
      <c r="AEP166" s="90"/>
      <c r="AEQ166" s="90"/>
      <c r="AER166" s="90"/>
      <c r="AES166" s="90"/>
      <c r="AET166" s="90"/>
      <c r="AEU166" s="90"/>
      <c r="AEV166" s="90"/>
      <c r="AEW166" s="90"/>
      <c r="AEX166" s="90"/>
      <c r="AEY166" s="90"/>
      <c r="AEZ166" s="90"/>
      <c r="AFA166" s="90"/>
      <c r="AFB166" s="90"/>
      <c r="AFC166" s="90"/>
      <c r="AFD166" s="90"/>
      <c r="AFE166" s="90"/>
      <c r="AFF166" s="90"/>
      <c r="AFG166" s="90"/>
      <c r="AFH166" s="90"/>
      <c r="AFI166" s="90"/>
      <c r="AFJ166" s="90"/>
      <c r="AFK166" s="90"/>
      <c r="AFL166" s="90"/>
      <c r="AFM166" s="90"/>
      <c r="AFN166" s="90"/>
      <c r="AFO166" s="90"/>
      <c r="AFP166" s="90"/>
      <c r="AFQ166" s="90"/>
      <c r="AFR166" s="90"/>
      <c r="AFS166" s="90"/>
      <c r="AFT166" s="90"/>
      <c r="AFU166" s="90"/>
      <c r="AFV166" s="90"/>
      <c r="AFW166" s="90"/>
      <c r="AFX166" s="90"/>
      <c r="AFY166" s="90"/>
      <c r="AFZ166" s="90"/>
      <c r="AGA166" s="90"/>
      <c r="AGB166" s="90"/>
      <c r="AGC166" s="90"/>
      <c r="AGD166" s="90"/>
      <c r="AGE166" s="90"/>
      <c r="AGF166" s="90"/>
      <c r="AGG166" s="90"/>
      <c r="AGH166" s="90"/>
      <c r="AGI166" s="90"/>
      <c r="AGJ166" s="90"/>
      <c r="AGK166" s="90"/>
      <c r="AGL166" s="90"/>
      <c r="AGM166" s="90"/>
      <c r="AGN166" s="90"/>
      <c r="AGO166" s="90"/>
      <c r="AGP166" s="90"/>
      <c r="AGQ166" s="90"/>
      <c r="AGR166" s="90"/>
      <c r="AGS166" s="90"/>
      <c r="AGT166" s="90"/>
      <c r="AGU166" s="90"/>
      <c r="AGV166" s="90"/>
      <c r="AGW166" s="90"/>
      <c r="AGX166" s="90"/>
      <c r="AGY166" s="90"/>
      <c r="AGZ166" s="90"/>
      <c r="AHA166" s="90"/>
      <c r="AHB166" s="90"/>
      <c r="AHC166" s="90"/>
      <c r="AHD166" s="90"/>
      <c r="AHE166" s="90"/>
      <c r="AHF166" s="90"/>
      <c r="AHG166" s="90"/>
      <c r="AHH166" s="90"/>
      <c r="AHI166" s="90"/>
      <c r="AHJ166" s="90"/>
      <c r="AHK166" s="90"/>
      <c r="AHL166" s="90"/>
      <c r="AHM166" s="90"/>
      <c r="AHN166" s="90"/>
      <c r="AHO166" s="90"/>
      <c r="AHP166" s="90"/>
      <c r="AHQ166" s="90"/>
      <c r="AHR166" s="90"/>
      <c r="AHS166" s="90"/>
      <c r="AHT166" s="90"/>
      <c r="AHU166" s="90"/>
      <c r="AHV166" s="90"/>
      <c r="AHW166" s="90"/>
      <c r="AHX166" s="90"/>
      <c r="AHY166" s="90"/>
      <c r="AHZ166" s="90"/>
      <c r="AIA166" s="90"/>
      <c r="AIB166" s="90"/>
      <c r="AIC166" s="90"/>
      <c r="AID166" s="90"/>
      <c r="AIE166" s="90"/>
      <c r="AIF166" s="90"/>
      <c r="AIG166" s="90"/>
      <c r="AIH166" s="90"/>
      <c r="AII166" s="90"/>
      <c r="AIJ166" s="90"/>
      <c r="AIK166" s="90"/>
      <c r="AIL166" s="90"/>
      <c r="AIM166" s="90"/>
      <c r="AIN166" s="90"/>
      <c r="AIO166" s="90"/>
      <c r="AIP166" s="90"/>
      <c r="AIQ166" s="90"/>
      <c r="AIR166" s="90"/>
      <c r="AIS166" s="90"/>
      <c r="AIT166" s="90"/>
      <c r="AIU166" s="90"/>
      <c r="AIV166" s="90"/>
      <c r="AIW166" s="90"/>
      <c r="AIX166" s="90"/>
      <c r="AIY166" s="90"/>
      <c r="AIZ166" s="90"/>
      <c r="AJA166" s="90"/>
      <c r="AJB166" s="90"/>
      <c r="AJC166" s="90"/>
      <c r="AJD166" s="90"/>
      <c r="AJE166" s="90"/>
      <c r="AJF166" s="90"/>
      <c r="AJG166" s="90"/>
      <c r="AJH166" s="90"/>
      <c r="AJI166" s="90"/>
      <c r="AJJ166" s="90"/>
      <c r="AJK166" s="90"/>
      <c r="AJL166" s="90"/>
      <c r="AJM166" s="90"/>
      <c r="AJN166" s="90"/>
      <c r="AJO166" s="90"/>
      <c r="AJP166" s="90"/>
      <c r="AJQ166" s="90"/>
      <c r="AJR166" s="90"/>
      <c r="AJS166" s="90"/>
      <c r="AJT166" s="90"/>
      <c r="AJU166" s="90"/>
      <c r="AJV166" s="90"/>
      <c r="AJW166" s="90"/>
      <c r="AJX166" s="90"/>
      <c r="AJY166" s="90"/>
      <c r="AJZ166" s="90"/>
      <c r="AKA166" s="90"/>
      <c r="AKB166" s="90"/>
      <c r="AKC166" s="90"/>
      <c r="AKD166" s="90"/>
      <c r="AKE166" s="90"/>
      <c r="AKF166" s="90"/>
      <c r="AKG166" s="90"/>
      <c r="AKH166" s="90"/>
      <c r="AKI166" s="90"/>
      <c r="AKJ166" s="90"/>
      <c r="AKK166" s="90"/>
      <c r="AKL166" s="90"/>
      <c r="AKM166" s="90"/>
      <c r="AKN166" s="90"/>
      <c r="AKO166" s="90"/>
      <c r="AKP166" s="90"/>
      <c r="AKQ166" s="90"/>
      <c r="AKR166" s="90"/>
      <c r="AKS166" s="90"/>
      <c r="AKT166" s="90"/>
      <c r="AKU166" s="90"/>
      <c r="AKV166" s="90"/>
      <c r="AKW166" s="90"/>
      <c r="AKX166" s="90"/>
      <c r="AKY166" s="90"/>
      <c r="AKZ166" s="90"/>
      <c r="ALA166" s="90"/>
      <c r="ALB166" s="90"/>
      <c r="ALC166" s="90"/>
      <c r="ALD166" s="90"/>
      <c r="ALE166" s="90"/>
      <c r="ALF166" s="90"/>
      <c r="ALG166" s="90"/>
      <c r="ALH166" s="90"/>
      <c r="ALI166" s="90"/>
      <c r="ALJ166" s="90"/>
      <c r="ALK166" s="90"/>
      <c r="ALL166" s="90"/>
      <c r="ALM166" s="90"/>
      <c r="ALN166" s="90"/>
      <c r="ALO166" s="90"/>
      <c r="ALP166" s="90"/>
      <c r="ALQ166" s="90"/>
      <c r="ALR166" s="90"/>
      <c r="ALS166" s="90"/>
      <c r="ALT166" s="90"/>
      <c r="ALU166" s="90"/>
      <c r="ALV166" s="90"/>
      <c r="ALW166" s="90"/>
      <c r="ALX166" s="90"/>
      <c r="ALY166" s="90"/>
      <c r="ALZ166" s="90"/>
      <c r="AMA166" s="90"/>
      <c r="AMB166" s="90"/>
      <c r="AMC166" s="90"/>
    </row>
    <row r="167" spans="1:1017">
      <c r="A167" s="98" t="s">
        <v>49</v>
      </c>
      <c r="B167" s="90" t="str">
        <f t="shared" si="1324"/>
        <v xml:space="preserve">Bawal </v>
      </c>
      <c r="Q167" s="91">
        <f t="shared" si="1325"/>
        <v>0</v>
      </c>
      <c r="R167" s="91">
        <f t="shared" si="1326"/>
        <v>0</v>
      </c>
      <c r="Y167" s="98">
        <v>2315</v>
      </c>
      <c r="Z167" s="98">
        <v>46300</v>
      </c>
      <c r="AG167" s="91">
        <f t="shared" si="1327"/>
        <v>2315</v>
      </c>
      <c r="AH167" s="91">
        <f t="shared" si="1328"/>
        <v>46300</v>
      </c>
      <c r="AW167" s="91">
        <f t="shared" si="1329"/>
        <v>0</v>
      </c>
      <c r="AX167" s="91">
        <f t="shared" si="1330"/>
        <v>0</v>
      </c>
      <c r="BM167" s="91">
        <f t="shared" si="1331"/>
        <v>0</v>
      </c>
      <c r="BN167" s="91">
        <f t="shared" si="1332"/>
        <v>0</v>
      </c>
      <c r="CC167" s="91">
        <f t="shared" si="1333"/>
        <v>0</v>
      </c>
      <c r="CD167" s="91">
        <f t="shared" si="1334"/>
        <v>0</v>
      </c>
      <c r="CS167" s="91">
        <f t="shared" ref="CS167:CS202" si="1419">SUMIF($C$12:$P$12,$A$1,CE167:CR167)</f>
        <v>0</v>
      </c>
      <c r="CT167" s="91">
        <f t="shared" ref="CT167:CT202" si="1420">SUMIF($C$12:$P$12,$A$3,CE167:CR167)</f>
        <v>0</v>
      </c>
      <c r="DI167" s="91">
        <f t="shared" si="1337"/>
        <v>0</v>
      </c>
      <c r="DJ167" s="91">
        <f t="shared" si="1338"/>
        <v>0</v>
      </c>
      <c r="DQ167" s="98">
        <v>396700</v>
      </c>
      <c r="DR167" s="98">
        <v>6148850</v>
      </c>
      <c r="DY167" s="91">
        <f t="shared" si="1339"/>
        <v>396700</v>
      </c>
      <c r="DZ167" s="91">
        <f t="shared" si="1340"/>
        <v>6148850</v>
      </c>
      <c r="EG167" s="98">
        <v>86100</v>
      </c>
      <c r="EH167" s="98">
        <v>947100</v>
      </c>
      <c r="EO167" s="91">
        <f t="shared" si="1341"/>
        <v>86100</v>
      </c>
      <c r="EP167" s="91">
        <f t="shared" si="1342"/>
        <v>947100</v>
      </c>
      <c r="FE167" s="91">
        <f t="shared" si="1343"/>
        <v>0</v>
      </c>
      <c r="FF167" s="91">
        <f t="shared" si="1344"/>
        <v>0</v>
      </c>
      <c r="FU167" s="91">
        <f t="shared" si="1345"/>
        <v>0</v>
      </c>
      <c r="FV167" s="91">
        <f t="shared" si="1346"/>
        <v>0</v>
      </c>
      <c r="GK167" s="91">
        <f t="shared" si="1347"/>
        <v>0</v>
      </c>
      <c r="GL167" s="91">
        <f t="shared" si="1348"/>
        <v>0</v>
      </c>
      <c r="HA167" s="91">
        <f t="shared" si="1349"/>
        <v>0</v>
      </c>
      <c r="HB167" s="91">
        <f t="shared" si="1350"/>
        <v>0</v>
      </c>
      <c r="HQ167" s="91">
        <f t="shared" si="1351"/>
        <v>0</v>
      </c>
      <c r="HR167" s="91">
        <f t="shared" si="1352"/>
        <v>0</v>
      </c>
      <c r="IG167" s="91">
        <f t="shared" si="1353"/>
        <v>0</v>
      </c>
      <c r="IH167" s="91">
        <f t="shared" si="1354"/>
        <v>0</v>
      </c>
      <c r="IO167" s="98">
        <v>2250</v>
      </c>
      <c r="IP167" s="98">
        <v>56250</v>
      </c>
      <c r="IW167" s="91">
        <f t="shared" si="1355"/>
        <v>2250</v>
      </c>
      <c r="IX167" s="91">
        <f t="shared" si="1356"/>
        <v>56250</v>
      </c>
      <c r="JM167" s="91">
        <f t="shared" si="1357"/>
        <v>0</v>
      </c>
      <c r="JN167" s="91">
        <f t="shared" si="1358"/>
        <v>0</v>
      </c>
      <c r="KC167" s="91">
        <f t="shared" si="1359"/>
        <v>0</v>
      </c>
      <c r="KD167" s="91">
        <f t="shared" si="1360"/>
        <v>0</v>
      </c>
      <c r="KS167" s="91">
        <f t="shared" si="1361"/>
        <v>0</v>
      </c>
      <c r="KT167" s="91">
        <f t="shared" si="1362"/>
        <v>0</v>
      </c>
      <c r="LI167" s="91">
        <f t="shared" si="1363"/>
        <v>0</v>
      </c>
      <c r="LJ167" s="91">
        <f t="shared" si="1364"/>
        <v>0</v>
      </c>
      <c r="LY167" s="91">
        <f t="shared" si="1365"/>
        <v>0</v>
      </c>
      <c r="LZ167" s="91">
        <f t="shared" si="1366"/>
        <v>0</v>
      </c>
      <c r="MO167" s="91">
        <f t="shared" si="1367"/>
        <v>0</v>
      </c>
      <c r="MP167" s="91">
        <f t="shared" si="1368"/>
        <v>0</v>
      </c>
      <c r="NE167" s="91">
        <f t="shared" si="1369"/>
        <v>0</v>
      </c>
      <c r="NF167" s="91">
        <f t="shared" si="1370"/>
        <v>0</v>
      </c>
      <c r="NQ167" s="98">
        <v>150</v>
      </c>
      <c r="NR167" s="98">
        <v>2700</v>
      </c>
      <c r="NU167" s="91">
        <f t="shared" si="1371"/>
        <v>150</v>
      </c>
      <c r="NV167" s="91">
        <f t="shared" si="1372"/>
        <v>2700</v>
      </c>
      <c r="OK167" s="91">
        <f t="shared" si="1373"/>
        <v>0</v>
      </c>
      <c r="OL167" s="91">
        <f t="shared" si="1374"/>
        <v>0</v>
      </c>
      <c r="PA167" s="91">
        <f t="shared" si="1375"/>
        <v>0</v>
      </c>
      <c r="PB167" s="91">
        <f t="shared" si="1376"/>
        <v>0</v>
      </c>
      <c r="PQ167" s="91">
        <f t="shared" si="1377"/>
        <v>0</v>
      </c>
      <c r="PR167" s="91">
        <f t="shared" si="1378"/>
        <v>0</v>
      </c>
      <c r="QC167" s="98">
        <v>50180</v>
      </c>
      <c r="QD167" s="98">
        <v>1254500</v>
      </c>
      <c r="QG167" s="91">
        <f t="shared" si="1379"/>
        <v>50180</v>
      </c>
      <c r="QH167" s="91">
        <f t="shared" si="1380"/>
        <v>1254500</v>
      </c>
      <c r="QW167" s="91">
        <f t="shared" si="1381"/>
        <v>0</v>
      </c>
      <c r="QX167" s="91">
        <f t="shared" si="1382"/>
        <v>0</v>
      </c>
      <c r="RM167" s="91">
        <f t="shared" si="1383"/>
        <v>0</v>
      </c>
      <c r="RN167" s="91">
        <f t="shared" si="1384"/>
        <v>0</v>
      </c>
      <c r="SC167" s="91">
        <f t="shared" si="1385"/>
        <v>0</v>
      </c>
      <c r="SD167" s="91">
        <f t="shared" si="1386"/>
        <v>0</v>
      </c>
      <c r="SS167" s="91">
        <f t="shared" si="1387"/>
        <v>0</v>
      </c>
      <c r="ST167" s="91">
        <f t="shared" si="1388"/>
        <v>0</v>
      </c>
      <c r="TI167" s="91">
        <f t="shared" si="1389"/>
        <v>0</v>
      </c>
      <c r="TJ167" s="91">
        <f t="shared" si="1390"/>
        <v>0</v>
      </c>
      <c r="TY167" s="91">
        <f t="shared" si="1391"/>
        <v>0</v>
      </c>
      <c r="TZ167" s="91">
        <f t="shared" si="1392"/>
        <v>0</v>
      </c>
      <c r="UO167" s="91">
        <f t="shared" si="1393"/>
        <v>0</v>
      </c>
      <c r="UP167" s="91">
        <f t="shared" si="1394"/>
        <v>0</v>
      </c>
      <c r="VE167" s="91">
        <f t="shared" si="1395"/>
        <v>0</v>
      </c>
      <c r="VF167" s="91">
        <f t="shared" si="1396"/>
        <v>0</v>
      </c>
      <c r="VU167" s="91">
        <f t="shared" si="1397"/>
        <v>0</v>
      </c>
      <c r="VV167" s="91">
        <f t="shared" si="1398"/>
        <v>0</v>
      </c>
      <c r="WK167" s="91">
        <f t="shared" si="1399"/>
        <v>0</v>
      </c>
      <c r="WL167" s="91">
        <f t="shared" si="1400"/>
        <v>0</v>
      </c>
      <c r="WM167" s="89"/>
      <c r="WN167" s="87">
        <f t="shared" si="1401"/>
        <v>0</v>
      </c>
      <c r="WO167" s="87">
        <f t="shared" si="1402"/>
        <v>0</v>
      </c>
      <c r="WP167" s="87">
        <f t="shared" si="1403"/>
        <v>0</v>
      </c>
      <c r="WQ167" s="87">
        <f t="shared" si="1404"/>
        <v>0</v>
      </c>
      <c r="WR167" s="87">
        <f t="shared" si="1405"/>
        <v>0</v>
      </c>
      <c r="WS167" s="87">
        <f t="shared" si="1406"/>
        <v>0</v>
      </c>
      <c r="WT167" s="87">
        <f t="shared" si="1407"/>
        <v>487365</v>
      </c>
      <c r="WU167" s="87">
        <f t="shared" si="1408"/>
        <v>7198500</v>
      </c>
      <c r="WV167" s="87">
        <f t="shared" si="1409"/>
        <v>0</v>
      </c>
      <c r="WW167" s="87">
        <f t="shared" si="1410"/>
        <v>0</v>
      </c>
      <c r="WX167" s="87">
        <f t="shared" si="1411"/>
        <v>50330</v>
      </c>
      <c r="WY167" s="87">
        <f t="shared" si="1412"/>
        <v>1257200</v>
      </c>
      <c r="WZ167" s="87">
        <f t="shared" si="1413"/>
        <v>0</v>
      </c>
      <c r="XA167" s="87">
        <f t="shared" si="1414"/>
        <v>0</v>
      </c>
      <c r="XB167" s="92">
        <f t="shared" si="1415"/>
        <v>537695</v>
      </c>
      <c r="XC167" s="92">
        <f t="shared" si="1416"/>
        <v>8455700</v>
      </c>
      <c r="XD167" s="89"/>
      <c r="XE167" s="92"/>
      <c r="XF167" s="92"/>
      <c r="XG167" s="89"/>
      <c r="XH167" s="92"/>
      <c r="XI167" s="92"/>
      <c r="XJ167" s="89"/>
      <c r="XK167" s="87"/>
      <c r="XL167" s="87"/>
      <c r="XM167" s="87"/>
      <c r="XN167" s="87"/>
      <c r="XO167" s="87"/>
      <c r="XP167" s="87"/>
      <c r="XQ167" s="87"/>
      <c r="XR167" s="92">
        <f t="shared" ca="1" si="1417"/>
        <v>0</v>
      </c>
      <c r="XS167" s="89"/>
      <c r="XT167" s="87"/>
      <c r="XU167" s="87"/>
      <c r="XV167" s="87"/>
      <c r="XW167" s="87"/>
      <c r="XX167" s="87"/>
      <c r="XY167" s="87"/>
      <c r="XZ167" s="87"/>
      <c r="YA167" s="92">
        <f t="shared" ca="1" si="1418"/>
        <v>0</v>
      </c>
      <c r="YB167" s="90"/>
      <c r="YC167" s="90"/>
      <c r="YD167" s="90"/>
      <c r="YE167" s="90"/>
      <c r="YF167" s="90"/>
      <c r="YG167" s="90"/>
      <c r="YH167" s="90"/>
      <c r="YI167" s="90"/>
      <c r="YJ167" s="90"/>
      <c r="YK167" s="90"/>
      <c r="YL167" s="90"/>
      <c r="YM167" s="90"/>
      <c r="YN167" s="90"/>
      <c r="YO167" s="90"/>
      <c r="YP167" s="90"/>
      <c r="YQ167" s="90"/>
      <c r="YR167" s="90"/>
      <c r="YS167" s="90"/>
      <c r="YT167" s="90"/>
      <c r="YU167" s="90"/>
      <c r="YV167" s="90"/>
      <c r="YW167" s="90"/>
      <c r="YX167" s="90"/>
      <c r="YY167" s="90"/>
      <c r="YZ167" s="90"/>
      <c r="ZA167" s="90"/>
      <c r="ZB167" s="90"/>
      <c r="ZC167" s="90"/>
      <c r="ZD167" s="90"/>
      <c r="ZE167" s="90"/>
      <c r="ZF167" s="90"/>
      <c r="ZG167" s="90"/>
      <c r="ZH167" s="90"/>
      <c r="ZI167" s="90"/>
      <c r="ZJ167" s="90"/>
      <c r="ZK167" s="90"/>
      <c r="ZL167" s="90"/>
      <c r="ZM167" s="90"/>
      <c r="ZN167" s="90"/>
      <c r="ZO167" s="90"/>
      <c r="ZP167" s="90"/>
      <c r="ZQ167" s="90"/>
      <c r="ZR167" s="90"/>
      <c r="ZS167" s="90"/>
      <c r="ZT167" s="90"/>
      <c r="ZU167" s="90"/>
      <c r="ZV167" s="90"/>
      <c r="ZW167" s="90"/>
      <c r="ZX167" s="90"/>
      <c r="ZY167" s="90"/>
      <c r="ZZ167" s="90"/>
      <c r="AAA167" s="90"/>
      <c r="AAB167" s="90"/>
      <c r="AAC167" s="90"/>
      <c r="AAD167" s="90"/>
      <c r="AAE167" s="90"/>
      <c r="AAF167" s="90"/>
      <c r="AAG167" s="90"/>
      <c r="AAH167" s="90"/>
      <c r="AAI167" s="90"/>
      <c r="AAJ167" s="90"/>
      <c r="AAK167" s="90"/>
      <c r="AAL167" s="90"/>
      <c r="AAM167" s="90"/>
      <c r="AAN167" s="90"/>
      <c r="AAO167" s="90"/>
      <c r="AAP167" s="90"/>
      <c r="AAQ167" s="90"/>
      <c r="AAR167" s="90"/>
      <c r="AAS167" s="90"/>
      <c r="AAT167" s="90"/>
      <c r="AAU167" s="90"/>
      <c r="AAV167" s="90"/>
      <c r="AAW167" s="90"/>
      <c r="AAX167" s="90"/>
      <c r="AAY167" s="90"/>
      <c r="AAZ167" s="90"/>
      <c r="ABA167" s="90"/>
      <c r="ABB167" s="90"/>
      <c r="ABC167" s="90"/>
      <c r="ABD167" s="90"/>
      <c r="ABE167" s="90"/>
      <c r="ABF167" s="90"/>
      <c r="ABG167" s="90"/>
      <c r="ABH167" s="90"/>
      <c r="ABI167" s="90"/>
      <c r="ABJ167" s="90"/>
      <c r="ABK167" s="90"/>
      <c r="ABL167" s="90"/>
      <c r="ABM167" s="90"/>
      <c r="ABN167" s="90"/>
      <c r="ABO167" s="90"/>
      <c r="ABP167" s="90"/>
      <c r="ABQ167" s="90"/>
      <c r="ABR167" s="90"/>
      <c r="ABS167" s="90"/>
      <c r="ABT167" s="90"/>
      <c r="ABU167" s="90"/>
      <c r="ABV167" s="90"/>
      <c r="ABW167" s="90"/>
      <c r="ABX167" s="90"/>
      <c r="ABY167" s="90"/>
      <c r="ABZ167" s="90"/>
      <c r="ACA167" s="90"/>
      <c r="ACB167" s="90"/>
      <c r="ACC167" s="90"/>
      <c r="ACD167" s="90"/>
      <c r="ACE167" s="90"/>
      <c r="ACF167" s="90"/>
      <c r="ACG167" s="90"/>
      <c r="ACH167" s="90"/>
      <c r="ACI167" s="90"/>
      <c r="ACJ167" s="90"/>
      <c r="ACK167" s="90"/>
      <c r="ACL167" s="90"/>
      <c r="ACM167" s="90"/>
      <c r="ACN167" s="90"/>
      <c r="ACO167" s="90"/>
      <c r="ACP167" s="90"/>
      <c r="ACQ167" s="90"/>
      <c r="ACR167" s="90"/>
      <c r="ACS167" s="90"/>
      <c r="ACT167" s="90"/>
      <c r="ACU167" s="90"/>
      <c r="ACV167" s="90"/>
      <c r="ACW167" s="90"/>
      <c r="ACX167" s="90"/>
      <c r="ACY167" s="90"/>
      <c r="ACZ167" s="90"/>
      <c r="ADA167" s="90"/>
      <c r="ADB167" s="90"/>
      <c r="ADC167" s="90"/>
      <c r="ADD167" s="90"/>
      <c r="ADE167" s="90"/>
      <c r="ADF167" s="90"/>
      <c r="ADG167" s="90"/>
      <c r="ADH167" s="90"/>
      <c r="ADI167" s="90"/>
      <c r="ADJ167" s="90"/>
      <c r="ADK167" s="90"/>
      <c r="ADL167" s="90"/>
      <c r="ADM167" s="90"/>
      <c r="ADN167" s="90"/>
      <c r="ADO167" s="90"/>
      <c r="ADP167" s="90"/>
      <c r="ADQ167" s="90"/>
      <c r="ADR167" s="90"/>
      <c r="ADS167" s="90"/>
      <c r="ADT167" s="90"/>
      <c r="ADU167" s="90"/>
      <c r="ADV167" s="90"/>
      <c r="ADW167" s="90"/>
      <c r="ADX167" s="90"/>
      <c r="ADY167" s="90"/>
      <c r="ADZ167" s="90"/>
      <c r="AEA167" s="90"/>
      <c r="AEB167" s="90"/>
      <c r="AEC167" s="90"/>
      <c r="AED167" s="90"/>
      <c r="AEE167" s="90"/>
      <c r="AEF167" s="90"/>
      <c r="AEG167" s="90"/>
      <c r="AEH167" s="90"/>
      <c r="AEI167" s="90"/>
      <c r="AEJ167" s="90"/>
      <c r="AEK167" s="90"/>
      <c r="AEL167" s="90"/>
      <c r="AEM167" s="90"/>
      <c r="AEN167" s="90"/>
      <c r="AEO167" s="90"/>
      <c r="AEP167" s="90"/>
      <c r="AEQ167" s="90"/>
      <c r="AER167" s="90"/>
      <c r="AES167" s="90"/>
      <c r="AET167" s="90"/>
      <c r="AEU167" s="90"/>
      <c r="AEV167" s="90"/>
      <c r="AEW167" s="90"/>
      <c r="AEX167" s="90"/>
      <c r="AEY167" s="90"/>
      <c r="AEZ167" s="90"/>
      <c r="AFA167" s="90"/>
      <c r="AFB167" s="90"/>
      <c r="AFC167" s="90"/>
      <c r="AFD167" s="90"/>
      <c r="AFE167" s="90"/>
      <c r="AFF167" s="90"/>
      <c r="AFG167" s="90"/>
      <c r="AFH167" s="90"/>
      <c r="AFI167" s="90"/>
      <c r="AFJ167" s="90"/>
      <c r="AFK167" s="90"/>
      <c r="AFL167" s="90"/>
      <c r="AFM167" s="90"/>
      <c r="AFN167" s="90"/>
      <c r="AFO167" s="90"/>
      <c r="AFP167" s="90"/>
      <c r="AFQ167" s="90"/>
      <c r="AFR167" s="90"/>
      <c r="AFS167" s="90"/>
      <c r="AFT167" s="90"/>
      <c r="AFU167" s="90"/>
      <c r="AFV167" s="90"/>
      <c r="AFW167" s="90"/>
      <c r="AFX167" s="90"/>
      <c r="AFY167" s="90"/>
      <c r="AFZ167" s="90"/>
      <c r="AGA167" s="90"/>
      <c r="AGB167" s="90"/>
      <c r="AGC167" s="90"/>
      <c r="AGD167" s="90"/>
      <c r="AGE167" s="90"/>
      <c r="AGF167" s="90"/>
      <c r="AGG167" s="90"/>
      <c r="AGH167" s="90"/>
      <c r="AGI167" s="90"/>
      <c r="AGJ167" s="90"/>
      <c r="AGK167" s="90"/>
      <c r="AGL167" s="90"/>
      <c r="AGM167" s="90"/>
      <c r="AGN167" s="90"/>
      <c r="AGO167" s="90"/>
      <c r="AGP167" s="90"/>
      <c r="AGQ167" s="90"/>
      <c r="AGR167" s="90"/>
      <c r="AGS167" s="90"/>
      <c r="AGT167" s="90"/>
      <c r="AGU167" s="90"/>
      <c r="AGV167" s="90"/>
      <c r="AGW167" s="90"/>
      <c r="AGX167" s="90"/>
      <c r="AGY167" s="90"/>
      <c r="AGZ167" s="90"/>
      <c r="AHA167" s="90"/>
      <c r="AHB167" s="90"/>
      <c r="AHC167" s="90"/>
      <c r="AHD167" s="90"/>
      <c r="AHE167" s="90"/>
      <c r="AHF167" s="90"/>
      <c r="AHG167" s="90"/>
      <c r="AHH167" s="90"/>
      <c r="AHI167" s="90"/>
      <c r="AHJ167" s="90"/>
      <c r="AHK167" s="90"/>
      <c r="AHL167" s="90"/>
      <c r="AHM167" s="90"/>
      <c r="AHN167" s="90"/>
      <c r="AHO167" s="90"/>
      <c r="AHP167" s="90"/>
      <c r="AHQ167" s="90"/>
      <c r="AHR167" s="90"/>
      <c r="AHS167" s="90"/>
      <c r="AHT167" s="90"/>
      <c r="AHU167" s="90"/>
      <c r="AHV167" s="90"/>
      <c r="AHW167" s="90"/>
      <c r="AHX167" s="90"/>
      <c r="AHY167" s="90"/>
      <c r="AHZ167" s="90"/>
      <c r="AIA167" s="90"/>
      <c r="AIB167" s="90"/>
      <c r="AIC167" s="90"/>
      <c r="AID167" s="90"/>
      <c r="AIE167" s="90"/>
      <c r="AIF167" s="90"/>
      <c r="AIG167" s="90"/>
      <c r="AIH167" s="90"/>
      <c r="AII167" s="90"/>
      <c r="AIJ167" s="90"/>
      <c r="AIK167" s="90"/>
      <c r="AIL167" s="90"/>
      <c r="AIM167" s="90"/>
      <c r="AIN167" s="90"/>
      <c r="AIO167" s="90"/>
      <c r="AIP167" s="90"/>
      <c r="AIQ167" s="90"/>
      <c r="AIR167" s="90"/>
      <c r="AIS167" s="90"/>
      <c r="AIT167" s="90"/>
      <c r="AIU167" s="90"/>
      <c r="AIV167" s="90"/>
      <c r="AIW167" s="90"/>
      <c r="AIX167" s="90"/>
      <c r="AIY167" s="90"/>
      <c r="AIZ167" s="90"/>
      <c r="AJA167" s="90"/>
      <c r="AJB167" s="90"/>
      <c r="AJC167" s="90"/>
      <c r="AJD167" s="90"/>
      <c r="AJE167" s="90"/>
      <c r="AJF167" s="90"/>
      <c r="AJG167" s="90"/>
      <c r="AJH167" s="90"/>
      <c r="AJI167" s="90"/>
      <c r="AJJ167" s="90"/>
      <c r="AJK167" s="90"/>
      <c r="AJL167" s="90"/>
      <c r="AJM167" s="90"/>
      <c r="AJN167" s="90"/>
      <c r="AJO167" s="90"/>
      <c r="AJP167" s="90"/>
      <c r="AJQ167" s="90"/>
      <c r="AJR167" s="90"/>
      <c r="AJS167" s="90"/>
      <c r="AJT167" s="90"/>
      <c r="AJU167" s="90"/>
      <c r="AJV167" s="90"/>
      <c r="AJW167" s="90"/>
      <c r="AJX167" s="90"/>
      <c r="AJY167" s="90"/>
      <c r="AJZ167" s="90"/>
      <c r="AKA167" s="90"/>
      <c r="AKB167" s="90"/>
      <c r="AKC167" s="90"/>
      <c r="AKD167" s="90"/>
      <c r="AKE167" s="90"/>
      <c r="AKF167" s="90"/>
      <c r="AKG167" s="90"/>
      <c r="AKH167" s="90"/>
      <c r="AKI167" s="90"/>
      <c r="AKJ167" s="90"/>
      <c r="AKK167" s="90"/>
      <c r="AKL167" s="90"/>
      <c r="AKM167" s="90"/>
      <c r="AKN167" s="90"/>
      <c r="AKO167" s="90"/>
      <c r="AKP167" s="90"/>
      <c r="AKQ167" s="90"/>
      <c r="AKR167" s="90"/>
      <c r="AKS167" s="90"/>
      <c r="AKT167" s="90"/>
      <c r="AKU167" s="90"/>
      <c r="AKV167" s="90"/>
      <c r="AKW167" s="90"/>
      <c r="AKX167" s="90"/>
      <c r="AKY167" s="90"/>
      <c r="AKZ167" s="90"/>
      <c r="ALA167" s="90"/>
      <c r="ALB167" s="90"/>
      <c r="ALC167" s="90"/>
      <c r="ALD167" s="90"/>
      <c r="ALE167" s="90"/>
      <c r="ALF167" s="90"/>
      <c r="ALG167" s="90"/>
      <c r="ALH167" s="90"/>
      <c r="ALI167" s="90"/>
      <c r="ALJ167" s="90"/>
      <c r="ALK167" s="90"/>
      <c r="ALL167" s="90"/>
      <c r="ALM167" s="90"/>
      <c r="ALN167" s="90"/>
      <c r="ALO167" s="90"/>
      <c r="ALP167" s="90"/>
      <c r="ALQ167" s="90"/>
      <c r="ALR167" s="90"/>
      <c r="ALS167" s="90"/>
      <c r="ALT167" s="90"/>
      <c r="ALU167" s="90"/>
      <c r="ALV167" s="90"/>
      <c r="ALW167" s="90"/>
      <c r="ALX167" s="90"/>
      <c r="ALY167" s="90"/>
      <c r="ALZ167" s="90"/>
      <c r="AMA167" s="90"/>
      <c r="AMB167" s="90"/>
      <c r="AMC167" s="90"/>
    </row>
    <row r="168" spans="1:1017">
      <c r="A168" s="98" t="s">
        <v>49</v>
      </c>
      <c r="B168" s="90" t="str">
        <f t="shared" si="1324"/>
        <v xml:space="preserve">Belanak </v>
      </c>
      <c r="E168" s="98">
        <v>67500</v>
      </c>
      <c r="F168" s="98">
        <v>1687500</v>
      </c>
      <c r="Q168" s="91">
        <f t="shared" si="1325"/>
        <v>67500</v>
      </c>
      <c r="R168" s="91">
        <f t="shared" si="1326"/>
        <v>1687500</v>
      </c>
      <c r="AG168" s="91">
        <f t="shared" si="1327"/>
        <v>0</v>
      </c>
      <c r="AH168" s="91">
        <f t="shared" si="1328"/>
        <v>0</v>
      </c>
      <c r="AW168" s="91">
        <f t="shared" si="1329"/>
        <v>0</v>
      </c>
      <c r="AX168" s="91">
        <f t="shared" si="1330"/>
        <v>0</v>
      </c>
      <c r="BM168" s="91">
        <f t="shared" si="1331"/>
        <v>0</v>
      </c>
      <c r="BN168" s="91">
        <f t="shared" si="1332"/>
        <v>0</v>
      </c>
      <c r="CC168" s="91">
        <f t="shared" si="1333"/>
        <v>0</v>
      </c>
      <c r="CD168" s="91">
        <f t="shared" si="1334"/>
        <v>0</v>
      </c>
      <c r="CS168" s="91">
        <f t="shared" si="1419"/>
        <v>0</v>
      </c>
      <c r="CT168" s="91">
        <f t="shared" si="1420"/>
        <v>0</v>
      </c>
      <c r="DI168" s="91">
        <f t="shared" si="1337"/>
        <v>0</v>
      </c>
      <c r="DJ168" s="91">
        <f t="shared" si="1338"/>
        <v>0</v>
      </c>
      <c r="DY168" s="91">
        <f t="shared" si="1339"/>
        <v>0</v>
      </c>
      <c r="DZ168" s="91">
        <f t="shared" si="1340"/>
        <v>0</v>
      </c>
      <c r="EO168" s="91">
        <f t="shared" si="1341"/>
        <v>0</v>
      </c>
      <c r="EP168" s="91">
        <f t="shared" si="1342"/>
        <v>0</v>
      </c>
      <c r="FE168" s="91">
        <f t="shared" si="1343"/>
        <v>0</v>
      </c>
      <c r="FF168" s="91">
        <f t="shared" si="1344"/>
        <v>0</v>
      </c>
      <c r="FU168" s="91">
        <f t="shared" si="1345"/>
        <v>0</v>
      </c>
      <c r="FV168" s="91">
        <f t="shared" si="1346"/>
        <v>0</v>
      </c>
      <c r="GK168" s="91">
        <f t="shared" si="1347"/>
        <v>0</v>
      </c>
      <c r="GL168" s="91">
        <f t="shared" si="1348"/>
        <v>0</v>
      </c>
      <c r="HA168" s="91">
        <f t="shared" si="1349"/>
        <v>0</v>
      </c>
      <c r="HB168" s="91">
        <f t="shared" si="1350"/>
        <v>0</v>
      </c>
      <c r="HQ168" s="91">
        <f t="shared" si="1351"/>
        <v>0</v>
      </c>
      <c r="HR168" s="91">
        <f t="shared" si="1352"/>
        <v>0</v>
      </c>
      <c r="IG168" s="91">
        <f t="shared" si="1353"/>
        <v>0</v>
      </c>
      <c r="IH168" s="91">
        <f t="shared" si="1354"/>
        <v>0</v>
      </c>
      <c r="IW168" s="91">
        <f t="shared" si="1355"/>
        <v>0</v>
      </c>
      <c r="IX168" s="91">
        <f t="shared" si="1356"/>
        <v>0</v>
      </c>
      <c r="JM168" s="91">
        <f t="shared" si="1357"/>
        <v>0</v>
      </c>
      <c r="JN168" s="91">
        <f t="shared" si="1358"/>
        <v>0</v>
      </c>
      <c r="KC168" s="91">
        <f t="shared" si="1359"/>
        <v>0</v>
      </c>
      <c r="KD168" s="91">
        <f t="shared" si="1360"/>
        <v>0</v>
      </c>
      <c r="KS168" s="91">
        <f t="shared" si="1361"/>
        <v>0</v>
      </c>
      <c r="KT168" s="91">
        <f t="shared" si="1362"/>
        <v>0</v>
      </c>
      <c r="LI168" s="91">
        <f t="shared" si="1363"/>
        <v>0</v>
      </c>
      <c r="LJ168" s="91">
        <f t="shared" si="1364"/>
        <v>0</v>
      </c>
      <c r="LY168" s="91">
        <f t="shared" si="1365"/>
        <v>0</v>
      </c>
      <c r="LZ168" s="91">
        <f t="shared" si="1366"/>
        <v>0</v>
      </c>
      <c r="MO168" s="91">
        <f t="shared" si="1367"/>
        <v>0</v>
      </c>
      <c r="MP168" s="91">
        <f t="shared" si="1368"/>
        <v>0</v>
      </c>
      <c r="MS168" s="98">
        <v>550</v>
      </c>
      <c r="MT168" s="98">
        <v>12100</v>
      </c>
      <c r="NE168" s="91">
        <f t="shared" si="1369"/>
        <v>550</v>
      </c>
      <c r="NF168" s="91">
        <f t="shared" si="1370"/>
        <v>12100</v>
      </c>
      <c r="NU168" s="91">
        <f t="shared" si="1371"/>
        <v>0</v>
      </c>
      <c r="NV168" s="91">
        <f t="shared" si="1372"/>
        <v>0</v>
      </c>
      <c r="OK168" s="91">
        <f t="shared" si="1373"/>
        <v>0</v>
      </c>
      <c r="OL168" s="91">
        <f t="shared" si="1374"/>
        <v>0</v>
      </c>
      <c r="PA168" s="91">
        <f t="shared" si="1375"/>
        <v>0</v>
      </c>
      <c r="PB168" s="91">
        <f t="shared" si="1376"/>
        <v>0</v>
      </c>
      <c r="PQ168" s="91">
        <f t="shared" si="1377"/>
        <v>0</v>
      </c>
      <c r="PR168" s="91">
        <f t="shared" si="1378"/>
        <v>0</v>
      </c>
      <c r="QG168" s="91">
        <f t="shared" si="1379"/>
        <v>0</v>
      </c>
      <c r="QH168" s="91">
        <f t="shared" si="1380"/>
        <v>0</v>
      </c>
      <c r="QW168" s="91">
        <f t="shared" si="1381"/>
        <v>0</v>
      </c>
      <c r="QX168" s="91">
        <f t="shared" si="1382"/>
        <v>0</v>
      </c>
      <c r="RM168" s="91">
        <f t="shared" si="1383"/>
        <v>0</v>
      </c>
      <c r="RN168" s="91">
        <f t="shared" si="1384"/>
        <v>0</v>
      </c>
      <c r="SC168" s="91">
        <f t="shared" si="1385"/>
        <v>0</v>
      </c>
      <c r="SD168" s="91">
        <f t="shared" si="1386"/>
        <v>0</v>
      </c>
      <c r="SS168" s="91">
        <f t="shared" si="1387"/>
        <v>0</v>
      </c>
      <c r="ST168" s="91">
        <f t="shared" si="1388"/>
        <v>0</v>
      </c>
      <c r="TI168" s="91">
        <f t="shared" si="1389"/>
        <v>0</v>
      </c>
      <c r="TJ168" s="91">
        <f t="shared" si="1390"/>
        <v>0</v>
      </c>
      <c r="TY168" s="91">
        <f t="shared" si="1391"/>
        <v>0</v>
      </c>
      <c r="TZ168" s="91">
        <f t="shared" si="1392"/>
        <v>0</v>
      </c>
      <c r="UO168" s="91">
        <f t="shared" si="1393"/>
        <v>0</v>
      </c>
      <c r="UP168" s="91">
        <f t="shared" si="1394"/>
        <v>0</v>
      </c>
      <c r="VE168" s="91">
        <f t="shared" si="1395"/>
        <v>0</v>
      </c>
      <c r="VF168" s="91">
        <f t="shared" si="1396"/>
        <v>0</v>
      </c>
      <c r="VU168" s="91">
        <f t="shared" si="1397"/>
        <v>0</v>
      </c>
      <c r="VV168" s="91">
        <f t="shared" si="1398"/>
        <v>0</v>
      </c>
      <c r="WK168" s="91">
        <f t="shared" si="1399"/>
        <v>0</v>
      </c>
      <c r="WL168" s="91">
        <f t="shared" si="1400"/>
        <v>0</v>
      </c>
      <c r="WM168" s="89"/>
      <c r="WN168" s="87">
        <f t="shared" si="1401"/>
        <v>0</v>
      </c>
      <c r="WO168" s="87">
        <f t="shared" si="1402"/>
        <v>0</v>
      </c>
      <c r="WP168" s="87">
        <f t="shared" si="1403"/>
        <v>68050</v>
      </c>
      <c r="WQ168" s="87">
        <f t="shared" si="1404"/>
        <v>1699600</v>
      </c>
      <c r="WR168" s="87">
        <f t="shared" si="1405"/>
        <v>0</v>
      </c>
      <c r="WS168" s="87">
        <f t="shared" si="1406"/>
        <v>0</v>
      </c>
      <c r="WT168" s="87">
        <f t="shared" si="1407"/>
        <v>0</v>
      </c>
      <c r="WU168" s="87">
        <f t="shared" si="1408"/>
        <v>0</v>
      </c>
      <c r="WV168" s="87">
        <f t="shared" si="1409"/>
        <v>0</v>
      </c>
      <c r="WW168" s="87">
        <f t="shared" si="1410"/>
        <v>0</v>
      </c>
      <c r="WX168" s="87">
        <f t="shared" si="1411"/>
        <v>0</v>
      </c>
      <c r="WY168" s="87">
        <f t="shared" si="1412"/>
        <v>0</v>
      </c>
      <c r="WZ168" s="87">
        <f t="shared" si="1413"/>
        <v>0</v>
      </c>
      <c r="XA168" s="87">
        <f t="shared" si="1414"/>
        <v>0</v>
      </c>
      <c r="XB168" s="92">
        <f t="shared" si="1415"/>
        <v>68050</v>
      </c>
      <c r="XC168" s="92">
        <f t="shared" si="1416"/>
        <v>1699600</v>
      </c>
      <c r="XD168" s="89"/>
      <c r="XE168" s="92"/>
      <c r="XF168" s="92"/>
      <c r="XG168" s="89"/>
      <c r="XH168" s="92"/>
      <c r="XI168" s="92"/>
      <c r="XJ168" s="89"/>
      <c r="XK168" s="87"/>
      <c r="XL168" s="87"/>
      <c r="XM168" s="87"/>
      <c r="XN168" s="87"/>
      <c r="XO168" s="87"/>
      <c r="XP168" s="87"/>
      <c r="XQ168" s="87"/>
      <c r="XR168" s="92">
        <f t="shared" ca="1" si="1417"/>
        <v>0</v>
      </c>
      <c r="XS168" s="89"/>
      <c r="XT168" s="87"/>
      <c r="XU168" s="87"/>
      <c r="XV168" s="87"/>
      <c r="XW168" s="87"/>
      <c r="XX168" s="87"/>
      <c r="XY168" s="87"/>
      <c r="XZ168" s="87"/>
      <c r="YA168" s="92">
        <f t="shared" ca="1" si="1418"/>
        <v>0</v>
      </c>
      <c r="YB168" s="90"/>
      <c r="YC168" s="90"/>
      <c r="YD168" s="90"/>
      <c r="YE168" s="90"/>
      <c r="YF168" s="90"/>
      <c r="YG168" s="90"/>
      <c r="YH168" s="90"/>
      <c r="YI168" s="90"/>
      <c r="YJ168" s="90"/>
      <c r="YK168" s="90"/>
      <c r="YL168" s="90"/>
      <c r="YM168" s="90"/>
      <c r="YN168" s="90"/>
      <c r="YO168" s="90"/>
      <c r="YP168" s="90"/>
      <c r="YQ168" s="90"/>
      <c r="YR168" s="90"/>
      <c r="YS168" s="90"/>
      <c r="YT168" s="90"/>
      <c r="YU168" s="90"/>
      <c r="YV168" s="90"/>
      <c r="YW168" s="90"/>
      <c r="YX168" s="90"/>
      <c r="YY168" s="90"/>
      <c r="YZ168" s="90"/>
      <c r="ZA168" s="90"/>
      <c r="ZB168" s="90"/>
      <c r="ZC168" s="90"/>
      <c r="ZD168" s="90"/>
      <c r="ZE168" s="90"/>
      <c r="ZF168" s="90"/>
      <c r="ZG168" s="90"/>
      <c r="ZH168" s="90"/>
      <c r="ZI168" s="90"/>
      <c r="ZJ168" s="90"/>
      <c r="ZK168" s="90"/>
      <c r="ZL168" s="90"/>
      <c r="ZM168" s="90"/>
      <c r="ZN168" s="90"/>
      <c r="ZO168" s="90"/>
      <c r="ZP168" s="90"/>
      <c r="ZQ168" s="90"/>
      <c r="ZR168" s="90"/>
      <c r="ZS168" s="90"/>
      <c r="ZT168" s="90"/>
      <c r="ZU168" s="90"/>
      <c r="ZV168" s="90"/>
      <c r="ZW168" s="90"/>
      <c r="ZX168" s="90"/>
      <c r="ZY168" s="90"/>
      <c r="ZZ168" s="90"/>
      <c r="AAA168" s="90"/>
      <c r="AAB168" s="90"/>
      <c r="AAC168" s="90"/>
      <c r="AAD168" s="90"/>
      <c r="AAE168" s="90"/>
      <c r="AAF168" s="90"/>
      <c r="AAG168" s="90"/>
      <c r="AAH168" s="90"/>
      <c r="AAI168" s="90"/>
      <c r="AAJ168" s="90"/>
      <c r="AAK168" s="90"/>
      <c r="AAL168" s="90"/>
      <c r="AAM168" s="90"/>
      <c r="AAN168" s="90"/>
      <c r="AAO168" s="90"/>
      <c r="AAP168" s="90"/>
      <c r="AAQ168" s="90"/>
      <c r="AAR168" s="90"/>
      <c r="AAS168" s="90"/>
      <c r="AAT168" s="90"/>
      <c r="AAU168" s="90"/>
      <c r="AAV168" s="90"/>
      <c r="AAW168" s="90"/>
      <c r="AAX168" s="90"/>
      <c r="AAY168" s="90"/>
      <c r="AAZ168" s="90"/>
      <c r="ABA168" s="90"/>
      <c r="ABB168" s="90"/>
      <c r="ABC168" s="90"/>
      <c r="ABD168" s="90"/>
      <c r="ABE168" s="90"/>
      <c r="ABF168" s="90"/>
      <c r="ABG168" s="90"/>
      <c r="ABH168" s="90"/>
      <c r="ABI168" s="90"/>
      <c r="ABJ168" s="90"/>
      <c r="ABK168" s="90"/>
      <c r="ABL168" s="90"/>
      <c r="ABM168" s="90"/>
      <c r="ABN168" s="90"/>
      <c r="ABO168" s="90"/>
      <c r="ABP168" s="90"/>
      <c r="ABQ168" s="90"/>
      <c r="ABR168" s="90"/>
      <c r="ABS168" s="90"/>
      <c r="ABT168" s="90"/>
      <c r="ABU168" s="90"/>
      <c r="ABV168" s="90"/>
      <c r="ABW168" s="90"/>
      <c r="ABX168" s="90"/>
      <c r="ABY168" s="90"/>
      <c r="ABZ168" s="90"/>
      <c r="ACA168" s="90"/>
      <c r="ACB168" s="90"/>
      <c r="ACC168" s="90"/>
      <c r="ACD168" s="90"/>
      <c r="ACE168" s="90"/>
      <c r="ACF168" s="90"/>
      <c r="ACG168" s="90"/>
      <c r="ACH168" s="90"/>
      <c r="ACI168" s="90"/>
      <c r="ACJ168" s="90"/>
      <c r="ACK168" s="90"/>
      <c r="ACL168" s="90"/>
      <c r="ACM168" s="90"/>
      <c r="ACN168" s="90"/>
      <c r="ACO168" s="90"/>
      <c r="ACP168" s="90"/>
      <c r="ACQ168" s="90"/>
      <c r="ACR168" s="90"/>
      <c r="ACS168" s="90"/>
      <c r="ACT168" s="90"/>
      <c r="ACU168" s="90"/>
      <c r="ACV168" s="90"/>
      <c r="ACW168" s="90"/>
      <c r="ACX168" s="90"/>
      <c r="ACY168" s="90"/>
      <c r="ACZ168" s="90"/>
      <c r="ADA168" s="90"/>
      <c r="ADB168" s="90"/>
      <c r="ADC168" s="90"/>
      <c r="ADD168" s="90"/>
      <c r="ADE168" s="90"/>
      <c r="ADF168" s="90"/>
      <c r="ADG168" s="90"/>
      <c r="ADH168" s="90"/>
      <c r="ADI168" s="90"/>
      <c r="ADJ168" s="90"/>
      <c r="ADK168" s="90"/>
      <c r="ADL168" s="90"/>
      <c r="ADM168" s="90"/>
      <c r="ADN168" s="90"/>
      <c r="ADO168" s="90"/>
      <c r="ADP168" s="90"/>
      <c r="ADQ168" s="90"/>
      <c r="ADR168" s="90"/>
      <c r="ADS168" s="90"/>
      <c r="ADT168" s="90"/>
      <c r="ADU168" s="90"/>
      <c r="ADV168" s="90"/>
      <c r="ADW168" s="90"/>
      <c r="ADX168" s="90"/>
      <c r="ADY168" s="90"/>
      <c r="ADZ168" s="90"/>
      <c r="AEA168" s="90"/>
      <c r="AEB168" s="90"/>
      <c r="AEC168" s="90"/>
      <c r="AED168" s="90"/>
      <c r="AEE168" s="90"/>
      <c r="AEF168" s="90"/>
      <c r="AEG168" s="90"/>
      <c r="AEH168" s="90"/>
      <c r="AEI168" s="90"/>
      <c r="AEJ168" s="90"/>
      <c r="AEK168" s="90"/>
      <c r="AEL168" s="90"/>
      <c r="AEM168" s="90"/>
      <c r="AEN168" s="90"/>
      <c r="AEO168" s="90"/>
      <c r="AEP168" s="90"/>
      <c r="AEQ168" s="90"/>
      <c r="AER168" s="90"/>
      <c r="AES168" s="90"/>
      <c r="AET168" s="90"/>
      <c r="AEU168" s="90"/>
      <c r="AEV168" s="90"/>
      <c r="AEW168" s="90"/>
      <c r="AEX168" s="90"/>
      <c r="AEY168" s="90"/>
      <c r="AEZ168" s="90"/>
      <c r="AFA168" s="90"/>
      <c r="AFB168" s="90"/>
      <c r="AFC168" s="90"/>
      <c r="AFD168" s="90"/>
      <c r="AFE168" s="90"/>
      <c r="AFF168" s="90"/>
      <c r="AFG168" s="90"/>
      <c r="AFH168" s="90"/>
      <c r="AFI168" s="90"/>
      <c r="AFJ168" s="90"/>
      <c r="AFK168" s="90"/>
      <c r="AFL168" s="90"/>
      <c r="AFM168" s="90"/>
      <c r="AFN168" s="90"/>
      <c r="AFO168" s="90"/>
      <c r="AFP168" s="90"/>
      <c r="AFQ168" s="90"/>
      <c r="AFR168" s="90"/>
      <c r="AFS168" s="90"/>
      <c r="AFT168" s="90"/>
      <c r="AFU168" s="90"/>
      <c r="AFV168" s="90"/>
      <c r="AFW168" s="90"/>
      <c r="AFX168" s="90"/>
      <c r="AFY168" s="90"/>
      <c r="AFZ168" s="90"/>
      <c r="AGA168" s="90"/>
      <c r="AGB168" s="90"/>
      <c r="AGC168" s="90"/>
      <c r="AGD168" s="90"/>
      <c r="AGE168" s="90"/>
      <c r="AGF168" s="90"/>
      <c r="AGG168" s="90"/>
      <c r="AGH168" s="90"/>
      <c r="AGI168" s="90"/>
      <c r="AGJ168" s="90"/>
      <c r="AGK168" s="90"/>
      <c r="AGL168" s="90"/>
      <c r="AGM168" s="90"/>
      <c r="AGN168" s="90"/>
      <c r="AGO168" s="90"/>
      <c r="AGP168" s="90"/>
      <c r="AGQ168" s="90"/>
      <c r="AGR168" s="90"/>
      <c r="AGS168" s="90"/>
      <c r="AGT168" s="90"/>
      <c r="AGU168" s="90"/>
      <c r="AGV168" s="90"/>
      <c r="AGW168" s="90"/>
      <c r="AGX168" s="90"/>
      <c r="AGY168" s="90"/>
      <c r="AGZ168" s="90"/>
      <c r="AHA168" s="90"/>
      <c r="AHB168" s="90"/>
      <c r="AHC168" s="90"/>
      <c r="AHD168" s="90"/>
      <c r="AHE168" s="90"/>
      <c r="AHF168" s="90"/>
      <c r="AHG168" s="90"/>
      <c r="AHH168" s="90"/>
      <c r="AHI168" s="90"/>
      <c r="AHJ168" s="90"/>
      <c r="AHK168" s="90"/>
      <c r="AHL168" s="90"/>
      <c r="AHM168" s="90"/>
      <c r="AHN168" s="90"/>
      <c r="AHO168" s="90"/>
      <c r="AHP168" s="90"/>
      <c r="AHQ168" s="90"/>
      <c r="AHR168" s="90"/>
      <c r="AHS168" s="90"/>
      <c r="AHT168" s="90"/>
      <c r="AHU168" s="90"/>
      <c r="AHV168" s="90"/>
      <c r="AHW168" s="90"/>
      <c r="AHX168" s="90"/>
      <c r="AHY168" s="90"/>
      <c r="AHZ168" s="90"/>
      <c r="AIA168" s="90"/>
      <c r="AIB168" s="90"/>
      <c r="AIC168" s="90"/>
      <c r="AID168" s="90"/>
      <c r="AIE168" s="90"/>
      <c r="AIF168" s="90"/>
      <c r="AIG168" s="90"/>
      <c r="AIH168" s="90"/>
      <c r="AII168" s="90"/>
      <c r="AIJ168" s="90"/>
      <c r="AIK168" s="90"/>
      <c r="AIL168" s="90"/>
      <c r="AIM168" s="90"/>
      <c r="AIN168" s="90"/>
      <c r="AIO168" s="90"/>
      <c r="AIP168" s="90"/>
      <c r="AIQ168" s="90"/>
      <c r="AIR168" s="90"/>
      <c r="AIS168" s="90"/>
      <c r="AIT168" s="90"/>
      <c r="AIU168" s="90"/>
      <c r="AIV168" s="90"/>
      <c r="AIW168" s="90"/>
      <c r="AIX168" s="90"/>
      <c r="AIY168" s="90"/>
      <c r="AIZ168" s="90"/>
      <c r="AJA168" s="90"/>
      <c r="AJB168" s="90"/>
      <c r="AJC168" s="90"/>
      <c r="AJD168" s="90"/>
      <c r="AJE168" s="90"/>
      <c r="AJF168" s="90"/>
      <c r="AJG168" s="90"/>
      <c r="AJH168" s="90"/>
      <c r="AJI168" s="90"/>
      <c r="AJJ168" s="90"/>
      <c r="AJK168" s="90"/>
      <c r="AJL168" s="90"/>
      <c r="AJM168" s="90"/>
      <c r="AJN168" s="90"/>
      <c r="AJO168" s="90"/>
      <c r="AJP168" s="90"/>
      <c r="AJQ168" s="90"/>
      <c r="AJR168" s="90"/>
      <c r="AJS168" s="90"/>
      <c r="AJT168" s="90"/>
      <c r="AJU168" s="90"/>
      <c r="AJV168" s="90"/>
      <c r="AJW168" s="90"/>
      <c r="AJX168" s="90"/>
      <c r="AJY168" s="90"/>
      <c r="AJZ168" s="90"/>
      <c r="AKA168" s="90"/>
      <c r="AKB168" s="90"/>
      <c r="AKC168" s="90"/>
      <c r="AKD168" s="90"/>
      <c r="AKE168" s="90"/>
      <c r="AKF168" s="90"/>
      <c r="AKG168" s="90"/>
      <c r="AKH168" s="90"/>
      <c r="AKI168" s="90"/>
      <c r="AKJ168" s="90"/>
      <c r="AKK168" s="90"/>
      <c r="AKL168" s="90"/>
      <c r="AKM168" s="90"/>
      <c r="AKN168" s="90"/>
      <c r="AKO168" s="90"/>
      <c r="AKP168" s="90"/>
      <c r="AKQ168" s="90"/>
      <c r="AKR168" s="90"/>
      <c r="AKS168" s="90"/>
      <c r="AKT168" s="90"/>
      <c r="AKU168" s="90"/>
      <c r="AKV168" s="90"/>
      <c r="AKW168" s="90"/>
      <c r="AKX168" s="90"/>
      <c r="AKY168" s="90"/>
      <c r="AKZ168" s="90"/>
      <c r="ALA168" s="90"/>
      <c r="ALB168" s="90"/>
      <c r="ALC168" s="90"/>
      <c r="ALD168" s="90"/>
      <c r="ALE168" s="90"/>
      <c r="ALF168" s="90"/>
      <c r="ALG168" s="90"/>
      <c r="ALH168" s="90"/>
      <c r="ALI168" s="90"/>
      <c r="ALJ168" s="90"/>
      <c r="ALK168" s="90"/>
      <c r="ALL168" s="90"/>
      <c r="ALM168" s="90"/>
      <c r="ALN168" s="90"/>
      <c r="ALO168" s="90"/>
      <c r="ALP168" s="90"/>
      <c r="ALQ168" s="90"/>
      <c r="ALR168" s="90"/>
      <c r="ALS168" s="90"/>
      <c r="ALT168" s="90"/>
      <c r="ALU168" s="90"/>
      <c r="ALV168" s="90"/>
      <c r="ALW168" s="90"/>
      <c r="ALX168" s="90"/>
      <c r="ALY168" s="90"/>
      <c r="ALZ168" s="90"/>
      <c r="AMA168" s="90"/>
      <c r="AMB168" s="90"/>
      <c r="AMC168" s="90"/>
    </row>
    <row r="169" spans="1:1017">
      <c r="A169" s="98" t="s">
        <v>49</v>
      </c>
      <c r="B169" s="90" t="str">
        <f t="shared" si="1324"/>
        <v xml:space="preserve">Eucheuma cottonii </v>
      </c>
      <c r="Q169" s="91">
        <f t="shared" si="1325"/>
        <v>0</v>
      </c>
      <c r="R169" s="91">
        <f t="shared" si="1326"/>
        <v>0</v>
      </c>
      <c r="AG169" s="91">
        <f t="shared" si="1327"/>
        <v>0</v>
      </c>
      <c r="AH169" s="91">
        <f t="shared" si="1328"/>
        <v>0</v>
      </c>
      <c r="AW169" s="91">
        <f t="shared" si="1329"/>
        <v>0</v>
      </c>
      <c r="AX169" s="91">
        <f t="shared" si="1330"/>
        <v>0</v>
      </c>
      <c r="BM169" s="91">
        <f t="shared" si="1331"/>
        <v>0</v>
      </c>
      <c r="BN169" s="91">
        <f t="shared" si="1332"/>
        <v>0</v>
      </c>
      <c r="CC169" s="91">
        <f t="shared" si="1333"/>
        <v>0</v>
      </c>
      <c r="CD169" s="91">
        <f t="shared" si="1334"/>
        <v>0</v>
      </c>
      <c r="CS169" s="91">
        <f t="shared" si="1419"/>
        <v>0</v>
      </c>
      <c r="CT169" s="91">
        <f t="shared" si="1420"/>
        <v>0</v>
      </c>
      <c r="DI169" s="91">
        <f t="shared" si="1337"/>
        <v>0</v>
      </c>
      <c r="DJ169" s="91">
        <f t="shared" si="1338"/>
        <v>0</v>
      </c>
      <c r="DY169" s="91">
        <f t="shared" si="1339"/>
        <v>0</v>
      </c>
      <c r="DZ169" s="91">
        <f t="shared" si="1340"/>
        <v>0</v>
      </c>
      <c r="EO169" s="91">
        <f t="shared" si="1341"/>
        <v>0</v>
      </c>
      <c r="EP169" s="91">
        <f t="shared" si="1342"/>
        <v>0</v>
      </c>
      <c r="FE169" s="91">
        <f t="shared" si="1343"/>
        <v>0</v>
      </c>
      <c r="FF169" s="91">
        <f t="shared" si="1344"/>
        <v>0</v>
      </c>
      <c r="FU169" s="91">
        <f t="shared" si="1345"/>
        <v>0</v>
      </c>
      <c r="FV169" s="91">
        <f t="shared" si="1346"/>
        <v>0</v>
      </c>
      <c r="GK169" s="91">
        <f t="shared" si="1347"/>
        <v>0</v>
      </c>
      <c r="GL169" s="91">
        <f t="shared" si="1348"/>
        <v>0</v>
      </c>
      <c r="HA169" s="91">
        <f t="shared" si="1349"/>
        <v>0</v>
      </c>
      <c r="HB169" s="91">
        <f t="shared" si="1350"/>
        <v>0</v>
      </c>
      <c r="HQ169" s="91">
        <f t="shared" si="1351"/>
        <v>0</v>
      </c>
      <c r="HR169" s="91">
        <f t="shared" si="1352"/>
        <v>0</v>
      </c>
      <c r="IG169" s="91">
        <f t="shared" si="1353"/>
        <v>0</v>
      </c>
      <c r="IH169" s="91">
        <f t="shared" si="1354"/>
        <v>0</v>
      </c>
      <c r="IW169" s="91">
        <f t="shared" si="1355"/>
        <v>0</v>
      </c>
      <c r="IX169" s="91">
        <f t="shared" si="1356"/>
        <v>0</v>
      </c>
      <c r="JM169" s="91">
        <f t="shared" si="1357"/>
        <v>0</v>
      </c>
      <c r="JN169" s="91">
        <f t="shared" si="1358"/>
        <v>0</v>
      </c>
      <c r="KC169" s="91">
        <f t="shared" si="1359"/>
        <v>0</v>
      </c>
      <c r="KD169" s="91">
        <f t="shared" si="1360"/>
        <v>0</v>
      </c>
      <c r="KS169" s="91">
        <f t="shared" si="1361"/>
        <v>0</v>
      </c>
      <c r="KT169" s="91">
        <f t="shared" si="1362"/>
        <v>0</v>
      </c>
      <c r="LI169" s="91">
        <f t="shared" si="1363"/>
        <v>0</v>
      </c>
      <c r="LJ169" s="91">
        <f t="shared" si="1364"/>
        <v>0</v>
      </c>
      <c r="LY169" s="91">
        <f t="shared" si="1365"/>
        <v>0</v>
      </c>
      <c r="LZ169" s="91">
        <f t="shared" si="1366"/>
        <v>0</v>
      </c>
      <c r="MO169" s="91">
        <f t="shared" si="1367"/>
        <v>0</v>
      </c>
      <c r="MP169" s="91">
        <f t="shared" si="1368"/>
        <v>0</v>
      </c>
      <c r="NE169" s="91">
        <f t="shared" si="1369"/>
        <v>0</v>
      </c>
      <c r="NF169" s="91">
        <f t="shared" si="1370"/>
        <v>0</v>
      </c>
      <c r="NU169" s="91">
        <f t="shared" si="1371"/>
        <v>0</v>
      </c>
      <c r="NV169" s="91">
        <f t="shared" si="1372"/>
        <v>0</v>
      </c>
      <c r="OK169" s="91">
        <f t="shared" si="1373"/>
        <v>0</v>
      </c>
      <c r="OL169" s="91">
        <f t="shared" si="1374"/>
        <v>0</v>
      </c>
      <c r="OM169" s="98">
        <v>56493754</v>
      </c>
      <c r="ON169" s="98">
        <v>282468770</v>
      </c>
      <c r="PA169" s="91">
        <f t="shared" si="1375"/>
        <v>56493754</v>
      </c>
      <c r="PB169" s="91">
        <f t="shared" si="1376"/>
        <v>282468770</v>
      </c>
      <c r="PQ169" s="91">
        <f t="shared" si="1377"/>
        <v>0</v>
      </c>
      <c r="PR169" s="91">
        <f t="shared" si="1378"/>
        <v>0</v>
      </c>
      <c r="QG169" s="91">
        <f t="shared" si="1379"/>
        <v>0</v>
      </c>
      <c r="QH169" s="91">
        <f t="shared" si="1380"/>
        <v>0</v>
      </c>
      <c r="QW169" s="91">
        <f t="shared" si="1381"/>
        <v>0</v>
      </c>
      <c r="QX169" s="91">
        <f t="shared" si="1382"/>
        <v>0</v>
      </c>
      <c r="RM169" s="91">
        <f t="shared" si="1383"/>
        <v>0</v>
      </c>
      <c r="RN169" s="91">
        <f t="shared" si="1384"/>
        <v>0</v>
      </c>
      <c r="SC169" s="91">
        <f t="shared" si="1385"/>
        <v>0</v>
      </c>
      <c r="SD169" s="91">
        <f t="shared" si="1386"/>
        <v>0</v>
      </c>
      <c r="SS169" s="91">
        <f t="shared" si="1387"/>
        <v>0</v>
      </c>
      <c r="ST169" s="91">
        <f t="shared" si="1388"/>
        <v>0</v>
      </c>
      <c r="TI169" s="91">
        <f t="shared" si="1389"/>
        <v>0</v>
      </c>
      <c r="TJ169" s="91">
        <f t="shared" si="1390"/>
        <v>0</v>
      </c>
      <c r="TY169" s="91">
        <f t="shared" si="1391"/>
        <v>0</v>
      </c>
      <c r="TZ169" s="91">
        <f t="shared" si="1392"/>
        <v>0</v>
      </c>
      <c r="UO169" s="91">
        <f t="shared" si="1393"/>
        <v>0</v>
      </c>
      <c r="UP169" s="91">
        <f t="shared" si="1394"/>
        <v>0</v>
      </c>
      <c r="VE169" s="91">
        <f t="shared" si="1395"/>
        <v>0</v>
      </c>
      <c r="VF169" s="91">
        <f t="shared" si="1396"/>
        <v>0</v>
      </c>
      <c r="VU169" s="91">
        <f t="shared" si="1397"/>
        <v>0</v>
      </c>
      <c r="VV169" s="91">
        <f t="shared" si="1398"/>
        <v>0</v>
      </c>
      <c r="WK169" s="91">
        <f t="shared" si="1399"/>
        <v>0</v>
      </c>
      <c r="WL169" s="91">
        <f t="shared" si="1400"/>
        <v>0</v>
      </c>
      <c r="WM169" s="89"/>
      <c r="WN169" s="87">
        <f t="shared" si="1401"/>
        <v>56493754</v>
      </c>
      <c r="WO169" s="87">
        <f t="shared" si="1402"/>
        <v>282468770</v>
      </c>
      <c r="WP169" s="87">
        <f t="shared" si="1403"/>
        <v>0</v>
      </c>
      <c r="WQ169" s="87">
        <f t="shared" si="1404"/>
        <v>0</v>
      </c>
      <c r="WR169" s="87">
        <f t="shared" si="1405"/>
        <v>0</v>
      </c>
      <c r="WS169" s="87">
        <f t="shared" si="1406"/>
        <v>0</v>
      </c>
      <c r="WT169" s="87">
        <f t="shared" si="1407"/>
        <v>0</v>
      </c>
      <c r="WU169" s="87">
        <f t="shared" si="1408"/>
        <v>0</v>
      </c>
      <c r="WV169" s="87">
        <f t="shared" si="1409"/>
        <v>0</v>
      </c>
      <c r="WW169" s="87">
        <f t="shared" si="1410"/>
        <v>0</v>
      </c>
      <c r="WX169" s="87">
        <f t="shared" si="1411"/>
        <v>0</v>
      </c>
      <c r="WY169" s="87">
        <f t="shared" si="1412"/>
        <v>0</v>
      </c>
      <c r="WZ169" s="87">
        <f t="shared" si="1413"/>
        <v>0</v>
      </c>
      <c r="XA169" s="87">
        <f t="shared" si="1414"/>
        <v>0</v>
      </c>
      <c r="XB169" s="92">
        <f t="shared" si="1415"/>
        <v>56493754</v>
      </c>
      <c r="XC169" s="92">
        <f t="shared" si="1416"/>
        <v>282468770</v>
      </c>
      <c r="XD169" s="89"/>
      <c r="XE169" s="92"/>
      <c r="XF169" s="92"/>
      <c r="XG169" s="89"/>
      <c r="XH169" s="92"/>
      <c r="XI169" s="92"/>
      <c r="XJ169" s="89"/>
      <c r="XK169" s="87"/>
      <c r="XL169" s="87"/>
      <c r="XM169" s="87"/>
      <c r="XN169" s="87"/>
      <c r="XO169" s="87"/>
      <c r="XP169" s="87"/>
      <c r="XQ169" s="87"/>
      <c r="XR169" s="92">
        <f t="shared" ca="1" si="1417"/>
        <v>0</v>
      </c>
      <c r="XS169" s="89"/>
      <c r="XT169" s="87"/>
      <c r="XU169" s="87"/>
      <c r="XV169" s="87"/>
      <c r="XW169" s="87"/>
      <c r="XX169" s="87"/>
      <c r="XY169" s="87"/>
      <c r="XZ169" s="87"/>
      <c r="YA169" s="92">
        <f t="shared" ca="1" si="1418"/>
        <v>0</v>
      </c>
      <c r="YB169" s="90"/>
      <c r="YC169" s="90"/>
      <c r="YD169" s="90"/>
      <c r="YE169" s="90"/>
      <c r="YF169" s="90"/>
      <c r="YG169" s="90"/>
      <c r="YH169" s="90"/>
      <c r="YI169" s="90"/>
      <c r="YJ169" s="90"/>
      <c r="YK169" s="90"/>
      <c r="YL169" s="90"/>
      <c r="YM169" s="90"/>
      <c r="YN169" s="90"/>
      <c r="YO169" s="90"/>
      <c r="YP169" s="90"/>
      <c r="YQ169" s="90"/>
      <c r="YR169" s="90"/>
      <c r="YS169" s="90"/>
      <c r="YT169" s="90"/>
      <c r="YU169" s="90"/>
      <c r="YV169" s="90"/>
      <c r="YW169" s="90"/>
      <c r="YX169" s="90"/>
      <c r="YY169" s="90"/>
      <c r="YZ169" s="90"/>
      <c r="ZA169" s="90"/>
      <c r="ZB169" s="90"/>
      <c r="ZC169" s="90"/>
      <c r="ZD169" s="90"/>
      <c r="ZE169" s="90"/>
      <c r="ZF169" s="90"/>
      <c r="ZG169" s="90"/>
      <c r="ZH169" s="90"/>
      <c r="ZI169" s="90"/>
      <c r="ZJ169" s="90"/>
      <c r="ZK169" s="90"/>
      <c r="ZL169" s="90"/>
      <c r="ZM169" s="90"/>
      <c r="ZN169" s="90"/>
      <c r="ZO169" s="90"/>
      <c r="ZP169" s="90"/>
      <c r="ZQ169" s="90"/>
      <c r="ZR169" s="90"/>
      <c r="ZS169" s="90"/>
      <c r="ZT169" s="90"/>
      <c r="ZU169" s="90"/>
      <c r="ZV169" s="90"/>
      <c r="ZW169" s="90"/>
      <c r="ZX169" s="90"/>
      <c r="ZY169" s="90"/>
      <c r="ZZ169" s="90"/>
      <c r="AAA169" s="90"/>
      <c r="AAB169" s="90"/>
      <c r="AAC169" s="90"/>
      <c r="AAD169" s="90"/>
      <c r="AAE169" s="90"/>
      <c r="AAF169" s="90"/>
      <c r="AAG169" s="90"/>
      <c r="AAH169" s="90"/>
      <c r="AAI169" s="90"/>
      <c r="AAJ169" s="90"/>
      <c r="AAK169" s="90"/>
      <c r="AAL169" s="90"/>
      <c r="AAM169" s="90"/>
      <c r="AAN169" s="90"/>
      <c r="AAO169" s="90"/>
      <c r="AAP169" s="90"/>
      <c r="AAQ169" s="90"/>
      <c r="AAR169" s="90"/>
      <c r="AAS169" s="90"/>
      <c r="AAT169" s="90"/>
      <c r="AAU169" s="90"/>
      <c r="AAV169" s="90"/>
      <c r="AAW169" s="90"/>
      <c r="AAX169" s="90"/>
      <c r="AAY169" s="90"/>
      <c r="AAZ169" s="90"/>
      <c r="ABA169" s="90"/>
      <c r="ABB169" s="90"/>
      <c r="ABC169" s="90"/>
      <c r="ABD169" s="90"/>
      <c r="ABE169" s="90"/>
      <c r="ABF169" s="90"/>
      <c r="ABG169" s="90"/>
      <c r="ABH169" s="90"/>
      <c r="ABI169" s="90"/>
      <c r="ABJ169" s="90"/>
      <c r="ABK169" s="90"/>
      <c r="ABL169" s="90"/>
      <c r="ABM169" s="90"/>
      <c r="ABN169" s="90"/>
      <c r="ABO169" s="90"/>
      <c r="ABP169" s="90"/>
      <c r="ABQ169" s="90"/>
      <c r="ABR169" s="90"/>
      <c r="ABS169" s="90"/>
      <c r="ABT169" s="90"/>
      <c r="ABU169" s="90"/>
      <c r="ABV169" s="90"/>
      <c r="ABW169" s="90"/>
      <c r="ABX169" s="90"/>
      <c r="ABY169" s="90"/>
      <c r="ABZ169" s="90"/>
      <c r="ACA169" s="90"/>
      <c r="ACB169" s="90"/>
      <c r="ACC169" s="90"/>
      <c r="ACD169" s="90"/>
      <c r="ACE169" s="90"/>
      <c r="ACF169" s="90"/>
      <c r="ACG169" s="90"/>
      <c r="ACH169" s="90"/>
      <c r="ACI169" s="90"/>
      <c r="ACJ169" s="90"/>
      <c r="ACK169" s="90"/>
      <c r="ACL169" s="90"/>
      <c r="ACM169" s="90"/>
      <c r="ACN169" s="90"/>
      <c r="ACO169" s="90"/>
      <c r="ACP169" s="90"/>
      <c r="ACQ169" s="90"/>
      <c r="ACR169" s="90"/>
      <c r="ACS169" s="90"/>
      <c r="ACT169" s="90"/>
      <c r="ACU169" s="90"/>
      <c r="ACV169" s="90"/>
      <c r="ACW169" s="90"/>
      <c r="ACX169" s="90"/>
      <c r="ACY169" s="90"/>
      <c r="ACZ169" s="90"/>
      <c r="ADA169" s="90"/>
      <c r="ADB169" s="90"/>
      <c r="ADC169" s="90"/>
      <c r="ADD169" s="90"/>
      <c r="ADE169" s="90"/>
      <c r="ADF169" s="90"/>
      <c r="ADG169" s="90"/>
      <c r="ADH169" s="90"/>
      <c r="ADI169" s="90"/>
      <c r="ADJ169" s="90"/>
      <c r="ADK169" s="90"/>
      <c r="ADL169" s="90"/>
      <c r="ADM169" s="90"/>
      <c r="ADN169" s="90"/>
      <c r="ADO169" s="90"/>
      <c r="ADP169" s="90"/>
      <c r="ADQ169" s="90"/>
      <c r="ADR169" s="90"/>
      <c r="ADS169" s="90"/>
      <c r="ADT169" s="90"/>
      <c r="ADU169" s="90"/>
      <c r="ADV169" s="90"/>
      <c r="ADW169" s="90"/>
      <c r="ADX169" s="90"/>
      <c r="ADY169" s="90"/>
      <c r="ADZ169" s="90"/>
      <c r="AEA169" s="90"/>
      <c r="AEB169" s="90"/>
      <c r="AEC169" s="90"/>
      <c r="AED169" s="90"/>
      <c r="AEE169" s="90"/>
      <c r="AEF169" s="90"/>
      <c r="AEG169" s="90"/>
      <c r="AEH169" s="90"/>
      <c r="AEI169" s="90"/>
      <c r="AEJ169" s="90"/>
      <c r="AEK169" s="90"/>
      <c r="AEL169" s="90"/>
      <c r="AEM169" s="90"/>
      <c r="AEN169" s="90"/>
      <c r="AEO169" s="90"/>
      <c r="AEP169" s="90"/>
      <c r="AEQ169" s="90"/>
      <c r="AER169" s="90"/>
      <c r="AES169" s="90"/>
      <c r="AET169" s="90"/>
      <c r="AEU169" s="90"/>
      <c r="AEV169" s="90"/>
      <c r="AEW169" s="90"/>
      <c r="AEX169" s="90"/>
      <c r="AEY169" s="90"/>
      <c r="AEZ169" s="90"/>
      <c r="AFA169" s="90"/>
      <c r="AFB169" s="90"/>
      <c r="AFC169" s="90"/>
      <c r="AFD169" s="90"/>
      <c r="AFE169" s="90"/>
      <c r="AFF169" s="90"/>
      <c r="AFG169" s="90"/>
      <c r="AFH169" s="90"/>
      <c r="AFI169" s="90"/>
      <c r="AFJ169" s="90"/>
      <c r="AFK169" s="90"/>
      <c r="AFL169" s="90"/>
      <c r="AFM169" s="90"/>
      <c r="AFN169" s="90"/>
      <c r="AFO169" s="90"/>
      <c r="AFP169" s="90"/>
      <c r="AFQ169" s="90"/>
      <c r="AFR169" s="90"/>
      <c r="AFS169" s="90"/>
      <c r="AFT169" s="90"/>
      <c r="AFU169" s="90"/>
      <c r="AFV169" s="90"/>
      <c r="AFW169" s="90"/>
      <c r="AFX169" s="90"/>
      <c r="AFY169" s="90"/>
      <c r="AFZ169" s="90"/>
      <c r="AGA169" s="90"/>
      <c r="AGB169" s="90"/>
      <c r="AGC169" s="90"/>
      <c r="AGD169" s="90"/>
      <c r="AGE169" s="90"/>
      <c r="AGF169" s="90"/>
      <c r="AGG169" s="90"/>
      <c r="AGH169" s="90"/>
      <c r="AGI169" s="90"/>
      <c r="AGJ169" s="90"/>
      <c r="AGK169" s="90"/>
      <c r="AGL169" s="90"/>
      <c r="AGM169" s="90"/>
      <c r="AGN169" s="90"/>
      <c r="AGO169" s="90"/>
      <c r="AGP169" s="90"/>
      <c r="AGQ169" s="90"/>
      <c r="AGR169" s="90"/>
      <c r="AGS169" s="90"/>
      <c r="AGT169" s="90"/>
      <c r="AGU169" s="90"/>
      <c r="AGV169" s="90"/>
      <c r="AGW169" s="90"/>
      <c r="AGX169" s="90"/>
      <c r="AGY169" s="90"/>
      <c r="AGZ169" s="90"/>
      <c r="AHA169" s="90"/>
      <c r="AHB169" s="90"/>
      <c r="AHC169" s="90"/>
      <c r="AHD169" s="90"/>
      <c r="AHE169" s="90"/>
      <c r="AHF169" s="90"/>
      <c r="AHG169" s="90"/>
      <c r="AHH169" s="90"/>
      <c r="AHI169" s="90"/>
      <c r="AHJ169" s="90"/>
      <c r="AHK169" s="90"/>
      <c r="AHL169" s="90"/>
      <c r="AHM169" s="90"/>
      <c r="AHN169" s="90"/>
      <c r="AHO169" s="90"/>
      <c r="AHP169" s="90"/>
      <c r="AHQ169" s="90"/>
      <c r="AHR169" s="90"/>
      <c r="AHS169" s="90"/>
      <c r="AHT169" s="90"/>
      <c r="AHU169" s="90"/>
      <c r="AHV169" s="90"/>
      <c r="AHW169" s="90"/>
      <c r="AHX169" s="90"/>
      <c r="AHY169" s="90"/>
      <c r="AHZ169" s="90"/>
      <c r="AIA169" s="90"/>
      <c r="AIB169" s="90"/>
      <c r="AIC169" s="90"/>
      <c r="AID169" s="90"/>
      <c r="AIE169" s="90"/>
      <c r="AIF169" s="90"/>
      <c r="AIG169" s="90"/>
      <c r="AIH169" s="90"/>
      <c r="AII169" s="90"/>
      <c r="AIJ169" s="90"/>
      <c r="AIK169" s="90"/>
      <c r="AIL169" s="90"/>
      <c r="AIM169" s="90"/>
      <c r="AIN169" s="90"/>
      <c r="AIO169" s="90"/>
      <c r="AIP169" s="90"/>
      <c r="AIQ169" s="90"/>
      <c r="AIR169" s="90"/>
      <c r="AIS169" s="90"/>
      <c r="AIT169" s="90"/>
      <c r="AIU169" s="90"/>
      <c r="AIV169" s="90"/>
      <c r="AIW169" s="90"/>
      <c r="AIX169" s="90"/>
      <c r="AIY169" s="90"/>
      <c r="AIZ169" s="90"/>
      <c r="AJA169" s="90"/>
      <c r="AJB169" s="90"/>
      <c r="AJC169" s="90"/>
      <c r="AJD169" s="90"/>
      <c r="AJE169" s="90"/>
      <c r="AJF169" s="90"/>
      <c r="AJG169" s="90"/>
      <c r="AJH169" s="90"/>
      <c r="AJI169" s="90"/>
      <c r="AJJ169" s="90"/>
      <c r="AJK169" s="90"/>
      <c r="AJL169" s="90"/>
      <c r="AJM169" s="90"/>
      <c r="AJN169" s="90"/>
      <c r="AJO169" s="90"/>
      <c r="AJP169" s="90"/>
      <c r="AJQ169" s="90"/>
      <c r="AJR169" s="90"/>
      <c r="AJS169" s="90"/>
      <c r="AJT169" s="90"/>
      <c r="AJU169" s="90"/>
      <c r="AJV169" s="90"/>
      <c r="AJW169" s="90"/>
      <c r="AJX169" s="90"/>
      <c r="AJY169" s="90"/>
      <c r="AJZ169" s="90"/>
      <c r="AKA169" s="90"/>
      <c r="AKB169" s="90"/>
      <c r="AKC169" s="90"/>
      <c r="AKD169" s="90"/>
      <c r="AKE169" s="90"/>
      <c r="AKF169" s="90"/>
      <c r="AKG169" s="90"/>
      <c r="AKH169" s="90"/>
      <c r="AKI169" s="90"/>
      <c r="AKJ169" s="90"/>
      <c r="AKK169" s="90"/>
      <c r="AKL169" s="90"/>
      <c r="AKM169" s="90"/>
      <c r="AKN169" s="90"/>
      <c r="AKO169" s="90"/>
      <c r="AKP169" s="90"/>
      <c r="AKQ169" s="90"/>
      <c r="AKR169" s="90"/>
      <c r="AKS169" s="90"/>
      <c r="AKT169" s="90"/>
      <c r="AKU169" s="90"/>
      <c r="AKV169" s="90"/>
      <c r="AKW169" s="90"/>
      <c r="AKX169" s="90"/>
      <c r="AKY169" s="90"/>
      <c r="AKZ169" s="90"/>
      <c r="ALA169" s="90"/>
      <c r="ALB169" s="90"/>
      <c r="ALC169" s="90"/>
      <c r="ALD169" s="90"/>
      <c r="ALE169" s="90"/>
      <c r="ALF169" s="90"/>
      <c r="ALG169" s="90"/>
      <c r="ALH169" s="90"/>
      <c r="ALI169" s="90"/>
      <c r="ALJ169" s="90"/>
      <c r="ALK169" s="90"/>
      <c r="ALL169" s="90"/>
      <c r="ALM169" s="90"/>
      <c r="ALN169" s="90"/>
      <c r="ALO169" s="90"/>
      <c r="ALP169" s="90"/>
      <c r="ALQ169" s="90"/>
      <c r="ALR169" s="90"/>
      <c r="ALS169" s="90"/>
      <c r="ALT169" s="90"/>
      <c r="ALU169" s="90"/>
      <c r="ALV169" s="90"/>
      <c r="ALW169" s="90"/>
      <c r="ALX169" s="90"/>
      <c r="ALY169" s="90"/>
      <c r="ALZ169" s="90"/>
      <c r="AMA169" s="90"/>
      <c r="AMB169" s="90"/>
      <c r="AMC169" s="90"/>
    </row>
    <row r="170" spans="1:1017">
      <c r="A170" s="98" t="s">
        <v>49</v>
      </c>
      <c r="B170" s="90" t="str">
        <f t="shared" si="1324"/>
        <v xml:space="preserve">Gabus </v>
      </c>
      <c r="Q170" s="91">
        <f t="shared" si="1325"/>
        <v>0</v>
      </c>
      <c r="R170" s="91">
        <f t="shared" si="1326"/>
        <v>0</v>
      </c>
      <c r="Y170" s="98">
        <v>390</v>
      </c>
      <c r="Z170" s="98">
        <v>15600</v>
      </c>
      <c r="AG170" s="91">
        <f t="shared" si="1327"/>
        <v>390</v>
      </c>
      <c r="AH170" s="91">
        <f t="shared" si="1328"/>
        <v>15600</v>
      </c>
      <c r="AW170" s="91">
        <f t="shared" si="1329"/>
        <v>0</v>
      </c>
      <c r="AX170" s="91">
        <f t="shared" si="1330"/>
        <v>0</v>
      </c>
      <c r="BM170" s="91">
        <f t="shared" si="1331"/>
        <v>0</v>
      </c>
      <c r="BN170" s="91">
        <f t="shared" si="1332"/>
        <v>0</v>
      </c>
      <c r="CC170" s="91">
        <f t="shared" si="1333"/>
        <v>0</v>
      </c>
      <c r="CD170" s="91">
        <f t="shared" si="1334"/>
        <v>0</v>
      </c>
      <c r="CS170" s="91">
        <f t="shared" si="1419"/>
        <v>0</v>
      </c>
      <c r="CT170" s="91">
        <f t="shared" si="1420"/>
        <v>0</v>
      </c>
      <c r="DI170" s="91">
        <f t="shared" si="1337"/>
        <v>0</v>
      </c>
      <c r="DJ170" s="91">
        <f t="shared" si="1338"/>
        <v>0</v>
      </c>
      <c r="DY170" s="91">
        <f t="shared" si="1339"/>
        <v>0</v>
      </c>
      <c r="DZ170" s="91">
        <f t="shared" si="1340"/>
        <v>0</v>
      </c>
      <c r="EO170" s="91">
        <f t="shared" si="1341"/>
        <v>0</v>
      </c>
      <c r="EP170" s="91">
        <f t="shared" si="1342"/>
        <v>0</v>
      </c>
      <c r="EW170" s="98">
        <v>6371</v>
      </c>
      <c r="EX170" s="98">
        <v>286695</v>
      </c>
      <c r="FE170" s="91">
        <f t="shared" si="1343"/>
        <v>6371</v>
      </c>
      <c r="FF170" s="91">
        <f t="shared" si="1344"/>
        <v>286695</v>
      </c>
      <c r="FM170" s="98">
        <v>340</v>
      </c>
      <c r="FN170" s="98">
        <v>15300</v>
      </c>
      <c r="FU170" s="91">
        <f t="shared" si="1345"/>
        <v>340</v>
      </c>
      <c r="FV170" s="91">
        <f t="shared" si="1346"/>
        <v>15300</v>
      </c>
      <c r="GK170" s="91">
        <f t="shared" si="1347"/>
        <v>0</v>
      </c>
      <c r="GL170" s="91">
        <f t="shared" si="1348"/>
        <v>0</v>
      </c>
      <c r="HA170" s="91">
        <f t="shared" si="1349"/>
        <v>0</v>
      </c>
      <c r="HB170" s="91">
        <f t="shared" si="1350"/>
        <v>0</v>
      </c>
      <c r="HQ170" s="91">
        <f t="shared" si="1351"/>
        <v>0</v>
      </c>
      <c r="HR170" s="91">
        <f t="shared" si="1352"/>
        <v>0</v>
      </c>
      <c r="IG170" s="91">
        <f t="shared" si="1353"/>
        <v>0</v>
      </c>
      <c r="IH170" s="91">
        <f t="shared" si="1354"/>
        <v>0</v>
      </c>
      <c r="IW170" s="91">
        <f t="shared" si="1355"/>
        <v>0</v>
      </c>
      <c r="IX170" s="91">
        <f t="shared" si="1356"/>
        <v>0</v>
      </c>
      <c r="JM170" s="91">
        <f t="shared" si="1357"/>
        <v>0</v>
      </c>
      <c r="JN170" s="91">
        <f t="shared" si="1358"/>
        <v>0</v>
      </c>
      <c r="KC170" s="91">
        <f t="shared" si="1359"/>
        <v>0</v>
      </c>
      <c r="KD170" s="91">
        <f t="shared" si="1360"/>
        <v>0</v>
      </c>
      <c r="KS170" s="91">
        <f t="shared" si="1361"/>
        <v>0</v>
      </c>
      <c r="KT170" s="91">
        <f t="shared" si="1362"/>
        <v>0</v>
      </c>
      <c r="LI170" s="91">
        <f t="shared" si="1363"/>
        <v>0</v>
      </c>
      <c r="LJ170" s="91">
        <f t="shared" si="1364"/>
        <v>0</v>
      </c>
      <c r="LQ170" s="98">
        <v>50</v>
      </c>
      <c r="LR170" s="98">
        <v>3000</v>
      </c>
      <c r="LY170" s="91">
        <f t="shared" si="1365"/>
        <v>50</v>
      </c>
      <c r="LZ170" s="91">
        <f t="shared" si="1366"/>
        <v>3000</v>
      </c>
      <c r="MO170" s="91">
        <f t="shared" si="1367"/>
        <v>0</v>
      </c>
      <c r="MP170" s="91">
        <f t="shared" si="1368"/>
        <v>0</v>
      </c>
      <c r="NE170" s="91">
        <f t="shared" si="1369"/>
        <v>0</v>
      </c>
      <c r="NF170" s="91">
        <f t="shared" si="1370"/>
        <v>0</v>
      </c>
      <c r="NU170" s="91">
        <f t="shared" si="1371"/>
        <v>0</v>
      </c>
      <c r="NV170" s="91">
        <f t="shared" si="1372"/>
        <v>0</v>
      </c>
      <c r="OK170" s="91">
        <f t="shared" si="1373"/>
        <v>0</v>
      </c>
      <c r="OL170" s="91">
        <f t="shared" si="1374"/>
        <v>0</v>
      </c>
      <c r="PA170" s="91">
        <f t="shared" si="1375"/>
        <v>0</v>
      </c>
      <c r="PB170" s="91">
        <f t="shared" si="1376"/>
        <v>0</v>
      </c>
      <c r="PI170" s="98">
        <v>1016</v>
      </c>
      <c r="PJ170" s="98">
        <v>30479</v>
      </c>
      <c r="PQ170" s="91">
        <f t="shared" si="1377"/>
        <v>1016</v>
      </c>
      <c r="PR170" s="91">
        <f t="shared" si="1378"/>
        <v>30479</v>
      </c>
      <c r="PY170" s="98">
        <v>37800</v>
      </c>
      <c r="PZ170" s="98">
        <v>1890000</v>
      </c>
      <c r="QG170" s="91">
        <f t="shared" si="1379"/>
        <v>37800</v>
      </c>
      <c r="QH170" s="91">
        <f t="shared" si="1380"/>
        <v>1890000</v>
      </c>
      <c r="QO170" s="98">
        <v>5000</v>
      </c>
      <c r="QP170" s="98">
        <v>175000</v>
      </c>
      <c r="QW170" s="91">
        <f t="shared" si="1381"/>
        <v>5000</v>
      </c>
      <c r="QX170" s="91">
        <f t="shared" si="1382"/>
        <v>175000</v>
      </c>
      <c r="RM170" s="91">
        <f t="shared" si="1383"/>
        <v>0</v>
      </c>
      <c r="RN170" s="91">
        <f t="shared" si="1384"/>
        <v>0</v>
      </c>
      <c r="SC170" s="91">
        <f t="shared" si="1385"/>
        <v>0</v>
      </c>
      <c r="SD170" s="91">
        <f t="shared" si="1386"/>
        <v>0</v>
      </c>
      <c r="SS170" s="91">
        <f t="shared" si="1387"/>
        <v>0</v>
      </c>
      <c r="ST170" s="91">
        <f t="shared" si="1388"/>
        <v>0</v>
      </c>
      <c r="TI170" s="91">
        <f t="shared" si="1389"/>
        <v>0</v>
      </c>
      <c r="TJ170" s="91">
        <f t="shared" si="1390"/>
        <v>0</v>
      </c>
      <c r="TY170" s="91">
        <f t="shared" si="1391"/>
        <v>0</v>
      </c>
      <c r="TZ170" s="91">
        <f t="shared" si="1392"/>
        <v>0</v>
      </c>
      <c r="UO170" s="91">
        <f t="shared" si="1393"/>
        <v>0</v>
      </c>
      <c r="UP170" s="91">
        <f t="shared" si="1394"/>
        <v>0</v>
      </c>
      <c r="VE170" s="91">
        <f t="shared" si="1395"/>
        <v>0</v>
      </c>
      <c r="VF170" s="91">
        <f t="shared" si="1396"/>
        <v>0</v>
      </c>
      <c r="VU170" s="91">
        <f t="shared" si="1397"/>
        <v>0</v>
      </c>
      <c r="VV170" s="91">
        <f t="shared" si="1398"/>
        <v>0</v>
      </c>
      <c r="WK170" s="91">
        <f t="shared" si="1399"/>
        <v>0</v>
      </c>
      <c r="WL170" s="91">
        <f t="shared" si="1400"/>
        <v>0</v>
      </c>
      <c r="WM170" s="89"/>
      <c r="WN170" s="87">
        <f t="shared" si="1401"/>
        <v>0</v>
      </c>
      <c r="WO170" s="87">
        <f t="shared" si="1402"/>
        <v>0</v>
      </c>
      <c r="WP170" s="87">
        <f t="shared" si="1403"/>
        <v>0</v>
      </c>
      <c r="WQ170" s="87">
        <f t="shared" si="1404"/>
        <v>0</v>
      </c>
      <c r="WR170" s="87">
        <f t="shared" si="1405"/>
        <v>0</v>
      </c>
      <c r="WS170" s="87">
        <f t="shared" si="1406"/>
        <v>0</v>
      </c>
      <c r="WT170" s="87">
        <f t="shared" si="1407"/>
        <v>50967</v>
      </c>
      <c r="WU170" s="87">
        <f t="shared" si="1408"/>
        <v>2416074</v>
      </c>
      <c r="WV170" s="87">
        <f t="shared" si="1409"/>
        <v>0</v>
      </c>
      <c r="WW170" s="87">
        <f t="shared" si="1410"/>
        <v>0</v>
      </c>
      <c r="WX170" s="87">
        <f t="shared" si="1411"/>
        <v>0</v>
      </c>
      <c r="WY170" s="87">
        <f t="shared" si="1412"/>
        <v>0</v>
      </c>
      <c r="WZ170" s="87">
        <f t="shared" si="1413"/>
        <v>0</v>
      </c>
      <c r="XA170" s="87">
        <f t="shared" si="1414"/>
        <v>0</v>
      </c>
      <c r="XB170" s="92">
        <f t="shared" si="1415"/>
        <v>50967</v>
      </c>
      <c r="XC170" s="92">
        <f t="shared" si="1416"/>
        <v>2416074</v>
      </c>
      <c r="XD170" s="89"/>
      <c r="XE170" s="92"/>
      <c r="XF170" s="92"/>
      <c r="XG170" s="89"/>
      <c r="XH170" s="92"/>
      <c r="XI170" s="92"/>
      <c r="XJ170" s="89"/>
      <c r="XK170" s="87"/>
      <c r="XL170" s="87"/>
      <c r="XM170" s="87"/>
      <c r="XN170" s="87"/>
      <c r="XO170" s="87"/>
      <c r="XP170" s="87"/>
      <c r="XQ170" s="87"/>
      <c r="XR170" s="92">
        <f t="shared" ca="1" si="1417"/>
        <v>0</v>
      </c>
      <c r="XS170" s="89"/>
      <c r="XT170" s="87"/>
      <c r="XU170" s="87"/>
      <c r="XV170" s="87"/>
      <c r="XW170" s="87"/>
      <c r="XX170" s="87"/>
      <c r="XY170" s="87"/>
      <c r="XZ170" s="87"/>
      <c r="YA170" s="92">
        <f t="shared" ca="1" si="1418"/>
        <v>0</v>
      </c>
      <c r="YB170" s="90"/>
      <c r="YC170" s="90"/>
      <c r="YD170" s="90"/>
      <c r="YE170" s="90"/>
      <c r="YF170" s="90"/>
      <c r="YG170" s="90"/>
      <c r="YH170" s="90"/>
      <c r="YI170" s="90"/>
      <c r="YJ170" s="90"/>
      <c r="YK170" s="90"/>
      <c r="YL170" s="90"/>
      <c r="YM170" s="90"/>
      <c r="YN170" s="90"/>
      <c r="YO170" s="90"/>
      <c r="YP170" s="90"/>
      <c r="YQ170" s="90"/>
      <c r="YR170" s="90"/>
      <c r="YS170" s="90"/>
      <c r="YT170" s="90"/>
      <c r="YU170" s="90"/>
      <c r="YV170" s="90"/>
      <c r="YW170" s="90"/>
      <c r="YX170" s="90"/>
      <c r="YY170" s="90"/>
      <c r="YZ170" s="90"/>
      <c r="ZA170" s="90"/>
      <c r="ZB170" s="90"/>
      <c r="ZC170" s="90"/>
      <c r="ZD170" s="90"/>
      <c r="ZE170" s="90"/>
      <c r="ZF170" s="90"/>
      <c r="ZG170" s="90"/>
      <c r="ZH170" s="90"/>
      <c r="ZI170" s="90"/>
      <c r="ZJ170" s="90"/>
      <c r="ZK170" s="90"/>
      <c r="ZL170" s="90"/>
      <c r="ZM170" s="90"/>
      <c r="ZN170" s="90"/>
      <c r="ZO170" s="90"/>
      <c r="ZP170" s="90"/>
      <c r="ZQ170" s="90"/>
      <c r="ZR170" s="90"/>
      <c r="ZS170" s="90"/>
      <c r="ZT170" s="90"/>
      <c r="ZU170" s="90"/>
      <c r="ZV170" s="90"/>
      <c r="ZW170" s="90"/>
      <c r="ZX170" s="90"/>
      <c r="ZY170" s="90"/>
      <c r="ZZ170" s="90"/>
      <c r="AAA170" s="90"/>
      <c r="AAB170" s="90"/>
      <c r="AAC170" s="90"/>
      <c r="AAD170" s="90"/>
      <c r="AAE170" s="90"/>
      <c r="AAF170" s="90"/>
      <c r="AAG170" s="90"/>
      <c r="AAH170" s="90"/>
      <c r="AAI170" s="90"/>
      <c r="AAJ170" s="90"/>
      <c r="AAK170" s="90"/>
      <c r="AAL170" s="90"/>
      <c r="AAM170" s="90"/>
      <c r="AAN170" s="90"/>
      <c r="AAO170" s="90"/>
      <c r="AAP170" s="90"/>
      <c r="AAQ170" s="90"/>
      <c r="AAR170" s="90"/>
      <c r="AAS170" s="90"/>
      <c r="AAT170" s="90"/>
      <c r="AAU170" s="90"/>
      <c r="AAV170" s="90"/>
      <c r="AAW170" s="90"/>
      <c r="AAX170" s="90"/>
      <c r="AAY170" s="90"/>
      <c r="AAZ170" s="90"/>
      <c r="ABA170" s="90"/>
      <c r="ABB170" s="90"/>
      <c r="ABC170" s="90"/>
      <c r="ABD170" s="90"/>
      <c r="ABE170" s="90"/>
      <c r="ABF170" s="90"/>
      <c r="ABG170" s="90"/>
      <c r="ABH170" s="90"/>
      <c r="ABI170" s="90"/>
      <c r="ABJ170" s="90"/>
      <c r="ABK170" s="90"/>
      <c r="ABL170" s="90"/>
      <c r="ABM170" s="90"/>
      <c r="ABN170" s="90"/>
      <c r="ABO170" s="90"/>
      <c r="ABP170" s="90"/>
      <c r="ABQ170" s="90"/>
      <c r="ABR170" s="90"/>
      <c r="ABS170" s="90"/>
      <c r="ABT170" s="90"/>
      <c r="ABU170" s="90"/>
      <c r="ABV170" s="90"/>
      <c r="ABW170" s="90"/>
      <c r="ABX170" s="90"/>
      <c r="ABY170" s="90"/>
      <c r="ABZ170" s="90"/>
      <c r="ACA170" s="90"/>
      <c r="ACB170" s="90"/>
      <c r="ACC170" s="90"/>
      <c r="ACD170" s="90"/>
      <c r="ACE170" s="90"/>
      <c r="ACF170" s="90"/>
      <c r="ACG170" s="90"/>
      <c r="ACH170" s="90"/>
      <c r="ACI170" s="90"/>
      <c r="ACJ170" s="90"/>
      <c r="ACK170" s="90"/>
      <c r="ACL170" s="90"/>
      <c r="ACM170" s="90"/>
      <c r="ACN170" s="90"/>
      <c r="ACO170" s="90"/>
      <c r="ACP170" s="90"/>
      <c r="ACQ170" s="90"/>
      <c r="ACR170" s="90"/>
      <c r="ACS170" s="90"/>
      <c r="ACT170" s="90"/>
      <c r="ACU170" s="90"/>
      <c r="ACV170" s="90"/>
      <c r="ACW170" s="90"/>
      <c r="ACX170" s="90"/>
      <c r="ACY170" s="90"/>
      <c r="ACZ170" s="90"/>
      <c r="ADA170" s="90"/>
      <c r="ADB170" s="90"/>
      <c r="ADC170" s="90"/>
      <c r="ADD170" s="90"/>
      <c r="ADE170" s="90"/>
      <c r="ADF170" s="90"/>
      <c r="ADG170" s="90"/>
      <c r="ADH170" s="90"/>
      <c r="ADI170" s="90"/>
      <c r="ADJ170" s="90"/>
      <c r="ADK170" s="90"/>
      <c r="ADL170" s="90"/>
      <c r="ADM170" s="90"/>
      <c r="ADN170" s="90"/>
      <c r="ADO170" s="90"/>
      <c r="ADP170" s="90"/>
      <c r="ADQ170" s="90"/>
      <c r="ADR170" s="90"/>
      <c r="ADS170" s="90"/>
      <c r="ADT170" s="90"/>
      <c r="ADU170" s="90"/>
      <c r="ADV170" s="90"/>
      <c r="ADW170" s="90"/>
      <c r="ADX170" s="90"/>
      <c r="ADY170" s="90"/>
      <c r="ADZ170" s="90"/>
      <c r="AEA170" s="90"/>
      <c r="AEB170" s="90"/>
      <c r="AEC170" s="90"/>
      <c r="AED170" s="90"/>
      <c r="AEE170" s="90"/>
      <c r="AEF170" s="90"/>
      <c r="AEG170" s="90"/>
      <c r="AEH170" s="90"/>
      <c r="AEI170" s="90"/>
      <c r="AEJ170" s="90"/>
      <c r="AEK170" s="90"/>
      <c r="AEL170" s="90"/>
      <c r="AEM170" s="90"/>
      <c r="AEN170" s="90"/>
      <c r="AEO170" s="90"/>
      <c r="AEP170" s="90"/>
      <c r="AEQ170" s="90"/>
      <c r="AER170" s="90"/>
      <c r="AES170" s="90"/>
      <c r="AET170" s="90"/>
      <c r="AEU170" s="90"/>
      <c r="AEV170" s="90"/>
      <c r="AEW170" s="90"/>
      <c r="AEX170" s="90"/>
      <c r="AEY170" s="90"/>
      <c r="AEZ170" s="90"/>
      <c r="AFA170" s="90"/>
      <c r="AFB170" s="90"/>
      <c r="AFC170" s="90"/>
      <c r="AFD170" s="90"/>
      <c r="AFE170" s="90"/>
      <c r="AFF170" s="90"/>
      <c r="AFG170" s="90"/>
      <c r="AFH170" s="90"/>
      <c r="AFI170" s="90"/>
      <c r="AFJ170" s="90"/>
      <c r="AFK170" s="90"/>
      <c r="AFL170" s="90"/>
      <c r="AFM170" s="90"/>
      <c r="AFN170" s="90"/>
      <c r="AFO170" s="90"/>
      <c r="AFP170" s="90"/>
      <c r="AFQ170" s="90"/>
      <c r="AFR170" s="90"/>
      <c r="AFS170" s="90"/>
      <c r="AFT170" s="90"/>
      <c r="AFU170" s="90"/>
      <c r="AFV170" s="90"/>
      <c r="AFW170" s="90"/>
      <c r="AFX170" s="90"/>
      <c r="AFY170" s="90"/>
      <c r="AFZ170" s="90"/>
      <c r="AGA170" s="90"/>
      <c r="AGB170" s="90"/>
      <c r="AGC170" s="90"/>
      <c r="AGD170" s="90"/>
      <c r="AGE170" s="90"/>
      <c r="AGF170" s="90"/>
      <c r="AGG170" s="90"/>
      <c r="AGH170" s="90"/>
      <c r="AGI170" s="90"/>
      <c r="AGJ170" s="90"/>
      <c r="AGK170" s="90"/>
      <c r="AGL170" s="90"/>
      <c r="AGM170" s="90"/>
      <c r="AGN170" s="90"/>
      <c r="AGO170" s="90"/>
      <c r="AGP170" s="90"/>
      <c r="AGQ170" s="90"/>
      <c r="AGR170" s="90"/>
      <c r="AGS170" s="90"/>
      <c r="AGT170" s="90"/>
      <c r="AGU170" s="90"/>
      <c r="AGV170" s="90"/>
      <c r="AGW170" s="90"/>
      <c r="AGX170" s="90"/>
      <c r="AGY170" s="90"/>
      <c r="AGZ170" s="90"/>
      <c r="AHA170" s="90"/>
      <c r="AHB170" s="90"/>
      <c r="AHC170" s="90"/>
      <c r="AHD170" s="90"/>
      <c r="AHE170" s="90"/>
      <c r="AHF170" s="90"/>
      <c r="AHG170" s="90"/>
      <c r="AHH170" s="90"/>
      <c r="AHI170" s="90"/>
      <c r="AHJ170" s="90"/>
      <c r="AHK170" s="90"/>
      <c r="AHL170" s="90"/>
      <c r="AHM170" s="90"/>
      <c r="AHN170" s="90"/>
      <c r="AHO170" s="90"/>
      <c r="AHP170" s="90"/>
      <c r="AHQ170" s="90"/>
      <c r="AHR170" s="90"/>
      <c r="AHS170" s="90"/>
      <c r="AHT170" s="90"/>
      <c r="AHU170" s="90"/>
      <c r="AHV170" s="90"/>
      <c r="AHW170" s="90"/>
      <c r="AHX170" s="90"/>
      <c r="AHY170" s="90"/>
      <c r="AHZ170" s="90"/>
      <c r="AIA170" s="90"/>
      <c r="AIB170" s="90"/>
      <c r="AIC170" s="90"/>
      <c r="AID170" s="90"/>
      <c r="AIE170" s="90"/>
      <c r="AIF170" s="90"/>
      <c r="AIG170" s="90"/>
      <c r="AIH170" s="90"/>
      <c r="AII170" s="90"/>
      <c r="AIJ170" s="90"/>
      <c r="AIK170" s="90"/>
      <c r="AIL170" s="90"/>
      <c r="AIM170" s="90"/>
      <c r="AIN170" s="90"/>
      <c r="AIO170" s="90"/>
      <c r="AIP170" s="90"/>
      <c r="AIQ170" s="90"/>
      <c r="AIR170" s="90"/>
      <c r="AIS170" s="90"/>
      <c r="AIT170" s="90"/>
      <c r="AIU170" s="90"/>
      <c r="AIV170" s="90"/>
      <c r="AIW170" s="90"/>
      <c r="AIX170" s="90"/>
      <c r="AIY170" s="90"/>
      <c r="AIZ170" s="90"/>
      <c r="AJA170" s="90"/>
      <c r="AJB170" s="90"/>
      <c r="AJC170" s="90"/>
      <c r="AJD170" s="90"/>
      <c r="AJE170" s="90"/>
      <c r="AJF170" s="90"/>
      <c r="AJG170" s="90"/>
      <c r="AJH170" s="90"/>
      <c r="AJI170" s="90"/>
      <c r="AJJ170" s="90"/>
      <c r="AJK170" s="90"/>
      <c r="AJL170" s="90"/>
      <c r="AJM170" s="90"/>
      <c r="AJN170" s="90"/>
      <c r="AJO170" s="90"/>
      <c r="AJP170" s="90"/>
      <c r="AJQ170" s="90"/>
      <c r="AJR170" s="90"/>
      <c r="AJS170" s="90"/>
      <c r="AJT170" s="90"/>
      <c r="AJU170" s="90"/>
      <c r="AJV170" s="90"/>
      <c r="AJW170" s="90"/>
      <c r="AJX170" s="90"/>
      <c r="AJY170" s="90"/>
      <c r="AJZ170" s="90"/>
      <c r="AKA170" s="90"/>
      <c r="AKB170" s="90"/>
      <c r="AKC170" s="90"/>
      <c r="AKD170" s="90"/>
      <c r="AKE170" s="90"/>
      <c r="AKF170" s="90"/>
      <c r="AKG170" s="90"/>
      <c r="AKH170" s="90"/>
      <c r="AKI170" s="90"/>
      <c r="AKJ170" s="90"/>
      <c r="AKK170" s="90"/>
      <c r="AKL170" s="90"/>
      <c r="AKM170" s="90"/>
      <c r="AKN170" s="90"/>
      <c r="AKO170" s="90"/>
      <c r="AKP170" s="90"/>
      <c r="AKQ170" s="90"/>
      <c r="AKR170" s="90"/>
      <c r="AKS170" s="90"/>
      <c r="AKT170" s="90"/>
      <c r="AKU170" s="90"/>
      <c r="AKV170" s="90"/>
      <c r="AKW170" s="90"/>
      <c r="AKX170" s="90"/>
      <c r="AKY170" s="90"/>
      <c r="AKZ170" s="90"/>
      <c r="ALA170" s="90"/>
      <c r="ALB170" s="90"/>
      <c r="ALC170" s="90"/>
      <c r="ALD170" s="90"/>
      <c r="ALE170" s="90"/>
      <c r="ALF170" s="90"/>
      <c r="ALG170" s="90"/>
      <c r="ALH170" s="90"/>
      <c r="ALI170" s="90"/>
      <c r="ALJ170" s="90"/>
      <c r="ALK170" s="90"/>
      <c r="ALL170" s="90"/>
      <c r="ALM170" s="90"/>
      <c r="ALN170" s="90"/>
      <c r="ALO170" s="90"/>
      <c r="ALP170" s="90"/>
      <c r="ALQ170" s="90"/>
      <c r="ALR170" s="90"/>
      <c r="ALS170" s="90"/>
      <c r="ALT170" s="90"/>
      <c r="ALU170" s="90"/>
      <c r="ALV170" s="90"/>
      <c r="ALW170" s="90"/>
      <c r="ALX170" s="90"/>
      <c r="ALY170" s="90"/>
      <c r="ALZ170" s="90"/>
      <c r="AMA170" s="90"/>
      <c r="AMB170" s="90"/>
      <c r="AMC170" s="90"/>
    </row>
    <row r="171" spans="1:1017">
      <c r="A171" s="98" t="s">
        <v>49</v>
      </c>
      <c r="B171" s="90" t="str">
        <f t="shared" si="1324"/>
        <v xml:space="preserve">Gracilaria verrucosa </v>
      </c>
      <c r="Q171" s="91">
        <f t="shared" si="1325"/>
        <v>0</v>
      </c>
      <c r="R171" s="91">
        <f t="shared" si="1326"/>
        <v>0</v>
      </c>
      <c r="AG171" s="91">
        <f t="shared" si="1327"/>
        <v>0</v>
      </c>
      <c r="AH171" s="91">
        <f t="shared" si="1328"/>
        <v>0</v>
      </c>
      <c r="AW171" s="91">
        <f t="shared" si="1329"/>
        <v>0</v>
      </c>
      <c r="AX171" s="91">
        <f t="shared" si="1330"/>
        <v>0</v>
      </c>
      <c r="BM171" s="91">
        <f t="shared" si="1331"/>
        <v>0</v>
      </c>
      <c r="BN171" s="91">
        <f t="shared" si="1332"/>
        <v>0</v>
      </c>
      <c r="CC171" s="91">
        <f t="shared" si="1333"/>
        <v>0</v>
      </c>
      <c r="CD171" s="91">
        <f t="shared" si="1334"/>
        <v>0</v>
      </c>
      <c r="CG171" s="98">
        <v>238545</v>
      </c>
      <c r="CH171" s="98">
        <v>715636</v>
      </c>
      <c r="CS171" s="91">
        <f t="shared" si="1419"/>
        <v>238545</v>
      </c>
      <c r="CT171" s="91">
        <f t="shared" si="1420"/>
        <v>715636</v>
      </c>
      <c r="DI171" s="91">
        <f t="shared" si="1337"/>
        <v>0</v>
      </c>
      <c r="DJ171" s="91">
        <f t="shared" si="1338"/>
        <v>0</v>
      </c>
      <c r="DY171" s="91">
        <f t="shared" si="1339"/>
        <v>0</v>
      </c>
      <c r="DZ171" s="91">
        <f t="shared" si="1340"/>
        <v>0</v>
      </c>
      <c r="EO171" s="91">
        <f t="shared" si="1341"/>
        <v>0</v>
      </c>
      <c r="EP171" s="91">
        <f t="shared" si="1342"/>
        <v>0</v>
      </c>
      <c r="FE171" s="91">
        <f t="shared" si="1343"/>
        <v>0</v>
      </c>
      <c r="FF171" s="91">
        <f t="shared" si="1344"/>
        <v>0</v>
      </c>
      <c r="FU171" s="91">
        <f t="shared" si="1345"/>
        <v>0</v>
      </c>
      <c r="FV171" s="91">
        <f t="shared" si="1346"/>
        <v>0</v>
      </c>
      <c r="GK171" s="91">
        <f t="shared" si="1347"/>
        <v>0</v>
      </c>
      <c r="GL171" s="91">
        <f t="shared" si="1348"/>
        <v>0</v>
      </c>
      <c r="HA171" s="91">
        <f t="shared" si="1349"/>
        <v>0</v>
      </c>
      <c r="HB171" s="91">
        <f t="shared" si="1350"/>
        <v>0</v>
      </c>
      <c r="HQ171" s="91">
        <f t="shared" si="1351"/>
        <v>0</v>
      </c>
      <c r="HR171" s="91">
        <f t="shared" si="1352"/>
        <v>0</v>
      </c>
      <c r="IG171" s="91">
        <f t="shared" si="1353"/>
        <v>0</v>
      </c>
      <c r="IH171" s="91">
        <f t="shared" si="1354"/>
        <v>0</v>
      </c>
      <c r="IW171" s="91">
        <f t="shared" si="1355"/>
        <v>0</v>
      </c>
      <c r="IX171" s="91">
        <f t="shared" si="1356"/>
        <v>0</v>
      </c>
      <c r="JM171" s="91">
        <f t="shared" si="1357"/>
        <v>0</v>
      </c>
      <c r="JN171" s="91">
        <f t="shared" si="1358"/>
        <v>0</v>
      </c>
      <c r="KC171" s="91">
        <f t="shared" si="1359"/>
        <v>0</v>
      </c>
      <c r="KD171" s="91">
        <f t="shared" si="1360"/>
        <v>0</v>
      </c>
      <c r="KS171" s="91">
        <f t="shared" si="1361"/>
        <v>0</v>
      </c>
      <c r="KT171" s="91">
        <f t="shared" si="1362"/>
        <v>0</v>
      </c>
      <c r="KW171" s="98">
        <v>210071.99</v>
      </c>
      <c r="KX171" s="98">
        <v>315107</v>
      </c>
      <c r="LI171" s="91">
        <f t="shared" si="1363"/>
        <v>210071.99</v>
      </c>
      <c r="LJ171" s="91">
        <f t="shared" si="1364"/>
        <v>315107</v>
      </c>
      <c r="LY171" s="91">
        <f t="shared" si="1365"/>
        <v>0</v>
      </c>
      <c r="LZ171" s="91">
        <f t="shared" si="1366"/>
        <v>0</v>
      </c>
      <c r="MO171" s="91">
        <f t="shared" si="1367"/>
        <v>0</v>
      </c>
      <c r="MP171" s="91">
        <f t="shared" si="1368"/>
        <v>0</v>
      </c>
      <c r="NE171" s="91">
        <f t="shared" si="1369"/>
        <v>0</v>
      </c>
      <c r="NF171" s="91">
        <f t="shared" si="1370"/>
        <v>0</v>
      </c>
      <c r="NI171" s="98">
        <v>1632400</v>
      </c>
      <c r="NJ171" s="98">
        <v>3754520</v>
      </c>
      <c r="NU171" s="91">
        <f t="shared" si="1371"/>
        <v>1632400</v>
      </c>
      <c r="NV171" s="91">
        <f t="shared" si="1372"/>
        <v>3754520</v>
      </c>
      <c r="NY171" s="98">
        <v>10730</v>
      </c>
      <c r="NZ171" s="98">
        <v>32190</v>
      </c>
      <c r="OK171" s="91">
        <f t="shared" si="1373"/>
        <v>10730</v>
      </c>
      <c r="OL171" s="91">
        <f t="shared" si="1374"/>
        <v>32190</v>
      </c>
      <c r="PA171" s="91">
        <f t="shared" si="1375"/>
        <v>0</v>
      </c>
      <c r="PB171" s="91">
        <f t="shared" si="1376"/>
        <v>0</v>
      </c>
      <c r="PQ171" s="91">
        <f t="shared" si="1377"/>
        <v>0</v>
      </c>
      <c r="PR171" s="91">
        <f t="shared" si="1378"/>
        <v>0</v>
      </c>
      <c r="QG171" s="91">
        <f t="shared" si="1379"/>
        <v>0</v>
      </c>
      <c r="QH171" s="91">
        <f t="shared" si="1380"/>
        <v>0</v>
      </c>
      <c r="QW171" s="91">
        <f t="shared" si="1381"/>
        <v>0</v>
      </c>
      <c r="QX171" s="91">
        <f t="shared" si="1382"/>
        <v>0</v>
      </c>
      <c r="RM171" s="91">
        <f t="shared" si="1383"/>
        <v>0</v>
      </c>
      <c r="RN171" s="91">
        <f t="shared" si="1384"/>
        <v>0</v>
      </c>
      <c r="SC171" s="91">
        <f t="shared" si="1385"/>
        <v>0</v>
      </c>
      <c r="SD171" s="91">
        <f t="shared" si="1386"/>
        <v>0</v>
      </c>
      <c r="SS171" s="91">
        <f t="shared" si="1387"/>
        <v>0</v>
      </c>
      <c r="ST171" s="91">
        <f t="shared" si="1388"/>
        <v>0</v>
      </c>
      <c r="TI171" s="91">
        <f t="shared" si="1389"/>
        <v>0</v>
      </c>
      <c r="TJ171" s="91">
        <f t="shared" si="1390"/>
        <v>0</v>
      </c>
      <c r="TY171" s="91">
        <f t="shared" si="1391"/>
        <v>0</v>
      </c>
      <c r="TZ171" s="91">
        <f t="shared" si="1392"/>
        <v>0</v>
      </c>
      <c r="UO171" s="91">
        <f t="shared" si="1393"/>
        <v>0</v>
      </c>
      <c r="UP171" s="91">
        <f t="shared" si="1394"/>
        <v>0</v>
      </c>
      <c r="US171" s="859">
        <v>112000</v>
      </c>
      <c r="UT171" s="859">
        <f>US171*0.8</f>
        <v>89600</v>
      </c>
      <c r="VE171" s="91">
        <f t="shared" si="1395"/>
        <v>112000</v>
      </c>
      <c r="VF171" s="91">
        <f t="shared" si="1396"/>
        <v>89600</v>
      </c>
      <c r="VU171" s="91">
        <f t="shared" si="1397"/>
        <v>0</v>
      </c>
      <c r="VV171" s="91">
        <f t="shared" si="1398"/>
        <v>0</v>
      </c>
      <c r="WK171" s="91">
        <f t="shared" si="1399"/>
        <v>0</v>
      </c>
      <c r="WL171" s="91">
        <f t="shared" si="1400"/>
        <v>0</v>
      </c>
      <c r="WM171" s="89"/>
      <c r="WN171" s="87">
        <f t="shared" si="1401"/>
        <v>0</v>
      </c>
      <c r="WO171" s="87">
        <f t="shared" si="1402"/>
        <v>0</v>
      </c>
      <c r="WP171" s="87">
        <f t="shared" si="1403"/>
        <v>2203746.9900000002</v>
      </c>
      <c r="WQ171" s="87">
        <f t="shared" si="1404"/>
        <v>4907053</v>
      </c>
      <c r="WR171" s="87">
        <f t="shared" si="1405"/>
        <v>0</v>
      </c>
      <c r="WS171" s="87">
        <f t="shared" si="1406"/>
        <v>0</v>
      </c>
      <c r="WT171" s="87">
        <f t="shared" si="1407"/>
        <v>0</v>
      </c>
      <c r="WU171" s="87">
        <f t="shared" si="1408"/>
        <v>0</v>
      </c>
      <c r="WV171" s="87">
        <f t="shared" si="1409"/>
        <v>0</v>
      </c>
      <c r="WW171" s="87">
        <f t="shared" si="1410"/>
        <v>0</v>
      </c>
      <c r="WX171" s="87">
        <f t="shared" si="1411"/>
        <v>0</v>
      </c>
      <c r="WY171" s="87">
        <f t="shared" si="1412"/>
        <v>0</v>
      </c>
      <c r="WZ171" s="87">
        <f t="shared" si="1413"/>
        <v>0</v>
      </c>
      <c r="XA171" s="87">
        <f t="shared" si="1414"/>
        <v>0</v>
      </c>
      <c r="XB171" s="92">
        <f t="shared" si="1415"/>
        <v>2203746.9900000002</v>
      </c>
      <c r="XC171" s="92">
        <f t="shared" si="1416"/>
        <v>4907053</v>
      </c>
      <c r="XD171" s="89"/>
      <c r="XE171" s="92"/>
      <c r="XF171" s="92"/>
      <c r="XG171" s="89"/>
      <c r="XH171" s="92"/>
      <c r="XI171" s="92"/>
      <c r="XJ171" s="89"/>
      <c r="XK171" s="87"/>
      <c r="XL171" s="87"/>
      <c r="XM171" s="87"/>
      <c r="XN171" s="87"/>
      <c r="XO171" s="87"/>
      <c r="XP171" s="87"/>
      <c r="XQ171" s="87"/>
      <c r="XR171" s="92">
        <f t="shared" ca="1" si="1417"/>
        <v>0</v>
      </c>
      <c r="XS171" s="89"/>
      <c r="XT171" s="87"/>
      <c r="XU171" s="87"/>
      <c r="XV171" s="87"/>
      <c r="XW171" s="87"/>
      <c r="XX171" s="87"/>
      <c r="XY171" s="87"/>
      <c r="XZ171" s="87"/>
      <c r="YA171" s="92">
        <f t="shared" ca="1" si="1418"/>
        <v>0</v>
      </c>
      <c r="YB171" s="90"/>
      <c r="YC171" s="90"/>
      <c r="YD171" s="90"/>
      <c r="YE171" s="90"/>
      <c r="YF171" s="90"/>
      <c r="YG171" s="90"/>
      <c r="YH171" s="90"/>
      <c r="YI171" s="90"/>
      <c r="YJ171" s="90"/>
      <c r="YK171" s="90"/>
      <c r="YL171" s="90"/>
      <c r="YM171" s="90"/>
      <c r="YN171" s="90"/>
      <c r="YO171" s="90"/>
      <c r="YP171" s="90"/>
      <c r="YQ171" s="90"/>
      <c r="YR171" s="90"/>
      <c r="YS171" s="90"/>
      <c r="YT171" s="90"/>
      <c r="YU171" s="90"/>
      <c r="YV171" s="90"/>
      <c r="YW171" s="90"/>
      <c r="YX171" s="90"/>
      <c r="YY171" s="90"/>
      <c r="YZ171" s="90"/>
      <c r="ZA171" s="90"/>
      <c r="ZB171" s="90"/>
      <c r="ZC171" s="90"/>
      <c r="ZD171" s="90"/>
      <c r="ZE171" s="90"/>
      <c r="ZF171" s="90"/>
      <c r="ZG171" s="90"/>
      <c r="ZH171" s="90"/>
      <c r="ZI171" s="90"/>
      <c r="ZJ171" s="90"/>
      <c r="ZK171" s="90"/>
      <c r="ZL171" s="90"/>
      <c r="ZM171" s="90"/>
      <c r="ZN171" s="90"/>
      <c r="ZO171" s="90"/>
      <c r="ZP171" s="90"/>
      <c r="ZQ171" s="90"/>
      <c r="ZR171" s="90"/>
      <c r="ZS171" s="90"/>
      <c r="ZT171" s="90"/>
      <c r="ZU171" s="90"/>
      <c r="ZV171" s="90"/>
      <c r="ZW171" s="90"/>
      <c r="ZX171" s="90"/>
      <c r="ZY171" s="90"/>
      <c r="ZZ171" s="90"/>
      <c r="AAA171" s="90"/>
      <c r="AAB171" s="90"/>
      <c r="AAC171" s="90"/>
      <c r="AAD171" s="90"/>
      <c r="AAE171" s="90"/>
      <c r="AAF171" s="90"/>
      <c r="AAG171" s="90"/>
      <c r="AAH171" s="90"/>
      <c r="AAI171" s="90"/>
      <c r="AAJ171" s="90"/>
      <c r="AAK171" s="90"/>
      <c r="AAL171" s="90"/>
      <c r="AAM171" s="90"/>
      <c r="AAN171" s="90"/>
      <c r="AAO171" s="90"/>
      <c r="AAP171" s="90"/>
      <c r="AAQ171" s="90"/>
      <c r="AAR171" s="90"/>
      <c r="AAS171" s="90"/>
      <c r="AAT171" s="90"/>
      <c r="AAU171" s="90"/>
      <c r="AAV171" s="90"/>
      <c r="AAW171" s="90"/>
      <c r="AAX171" s="90"/>
      <c r="AAY171" s="90"/>
      <c r="AAZ171" s="90"/>
      <c r="ABA171" s="90"/>
      <c r="ABB171" s="90"/>
      <c r="ABC171" s="90"/>
      <c r="ABD171" s="90"/>
      <c r="ABE171" s="90"/>
      <c r="ABF171" s="90"/>
      <c r="ABG171" s="90"/>
      <c r="ABH171" s="90"/>
      <c r="ABI171" s="90"/>
      <c r="ABJ171" s="90"/>
      <c r="ABK171" s="90"/>
      <c r="ABL171" s="90"/>
      <c r="ABM171" s="90"/>
      <c r="ABN171" s="90"/>
      <c r="ABO171" s="90"/>
      <c r="ABP171" s="90"/>
      <c r="ABQ171" s="90"/>
      <c r="ABR171" s="90"/>
      <c r="ABS171" s="90"/>
      <c r="ABT171" s="90"/>
      <c r="ABU171" s="90"/>
      <c r="ABV171" s="90"/>
      <c r="ABW171" s="90"/>
      <c r="ABX171" s="90"/>
      <c r="ABY171" s="90"/>
      <c r="ABZ171" s="90"/>
      <c r="ACA171" s="90"/>
      <c r="ACB171" s="90"/>
      <c r="ACC171" s="90"/>
      <c r="ACD171" s="90"/>
      <c r="ACE171" s="90"/>
      <c r="ACF171" s="90"/>
      <c r="ACG171" s="90"/>
      <c r="ACH171" s="90"/>
      <c r="ACI171" s="90"/>
      <c r="ACJ171" s="90"/>
      <c r="ACK171" s="90"/>
      <c r="ACL171" s="90"/>
      <c r="ACM171" s="90"/>
      <c r="ACN171" s="90"/>
      <c r="ACO171" s="90"/>
      <c r="ACP171" s="90"/>
      <c r="ACQ171" s="90"/>
      <c r="ACR171" s="90"/>
      <c r="ACS171" s="90"/>
      <c r="ACT171" s="90"/>
      <c r="ACU171" s="90"/>
      <c r="ACV171" s="90"/>
      <c r="ACW171" s="90"/>
      <c r="ACX171" s="90"/>
      <c r="ACY171" s="90"/>
      <c r="ACZ171" s="90"/>
      <c r="ADA171" s="90"/>
      <c r="ADB171" s="90"/>
      <c r="ADC171" s="90"/>
      <c r="ADD171" s="90"/>
      <c r="ADE171" s="90"/>
      <c r="ADF171" s="90"/>
      <c r="ADG171" s="90"/>
      <c r="ADH171" s="90"/>
      <c r="ADI171" s="90"/>
      <c r="ADJ171" s="90"/>
      <c r="ADK171" s="90"/>
      <c r="ADL171" s="90"/>
      <c r="ADM171" s="90"/>
      <c r="ADN171" s="90"/>
      <c r="ADO171" s="90"/>
      <c r="ADP171" s="90"/>
      <c r="ADQ171" s="90"/>
      <c r="ADR171" s="90"/>
      <c r="ADS171" s="90"/>
      <c r="ADT171" s="90"/>
      <c r="ADU171" s="90"/>
      <c r="ADV171" s="90"/>
      <c r="ADW171" s="90"/>
      <c r="ADX171" s="90"/>
      <c r="ADY171" s="90"/>
      <c r="ADZ171" s="90"/>
      <c r="AEA171" s="90"/>
      <c r="AEB171" s="90"/>
      <c r="AEC171" s="90"/>
      <c r="AED171" s="90"/>
      <c r="AEE171" s="90"/>
      <c r="AEF171" s="90"/>
      <c r="AEG171" s="90"/>
      <c r="AEH171" s="90"/>
      <c r="AEI171" s="90"/>
      <c r="AEJ171" s="90"/>
      <c r="AEK171" s="90"/>
      <c r="AEL171" s="90"/>
      <c r="AEM171" s="90"/>
      <c r="AEN171" s="90"/>
      <c r="AEO171" s="90"/>
      <c r="AEP171" s="90"/>
      <c r="AEQ171" s="90"/>
      <c r="AER171" s="90"/>
      <c r="AES171" s="90"/>
      <c r="AET171" s="90"/>
      <c r="AEU171" s="90"/>
      <c r="AEV171" s="90"/>
      <c r="AEW171" s="90"/>
      <c r="AEX171" s="90"/>
      <c r="AEY171" s="90"/>
      <c r="AEZ171" s="90"/>
      <c r="AFA171" s="90"/>
      <c r="AFB171" s="90"/>
      <c r="AFC171" s="90"/>
      <c r="AFD171" s="90"/>
      <c r="AFE171" s="90"/>
      <c r="AFF171" s="90"/>
      <c r="AFG171" s="90"/>
      <c r="AFH171" s="90"/>
      <c r="AFI171" s="90"/>
      <c r="AFJ171" s="90"/>
      <c r="AFK171" s="90"/>
      <c r="AFL171" s="90"/>
      <c r="AFM171" s="90"/>
      <c r="AFN171" s="90"/>
      <c r="AFO171" s="90"/>
      <c r="AFP171" s="90"/>
      <c r="AFQ171" s="90"/>
      <c r="AFR171" s="90"/>
      <c r="AFS171" s="90"/>
      <c r="AFT171" s="90"/>
      <c r="AFU171" s="90"/>
      <c r="AFV171" s="90"/>
      <c r="AFW171" s="90"/>
      <c r="AFX171" s="90"/>
      <c r="AFY171" s="90"/>
      <c r="AFZ171" s="90"/>
      <c r="AGA171" s="90"/>
      <c r="AGB171" s="90"/>
      <c r="AGC171" s="90"/>
      <c r="AGD171" s="90"/>
      <c r="AGE171" s="90"/>
      <c r="AGF171" s="90"/>
      <c r="AGG171" s="90"/>
      <c r="AGH171" s="90"/>
      <c r="AGI171" s="90"/>
      <c r="AGJ171" s="90"/>
      <c r="AGK171" s="90"/>
      <c r="AGL171" s="90"/>
      <c r="AGM171" s="90"/>
      <c r="AGN171" s="90"/>
      <c r="AGO171" s="90"/>
      <c r="AGP171" s="90"/>
      <c r="AGQ171" s="90"/>
      <c r="AGR171" s="90"/>
      <c r="AGS171" s="90"/>
      <c r="AGT171" s="90"/>
      <c r="AGU171" s="90"/>
      <c r="AGV171" s="90"/>
      <c r="AGW171" s="90"/>
      <c r="AGX171" s="90"/>
      <c r="AGY171" s="90"/>
      <c r="AGZ171" s="90"/>
      <c r="AHA171" s="90"/>
      <c r="AHB171" s="90"/>
      <c r="AHC171" s="90"/>
      <c r="AHD171" s="90"/>
      <c r="AHE171" s="90"/>
      <c r="AHF171" s="90"/>
      <c r="AHG171" s="90"/>
      <c r="AHH171" s="90"/>
      <c r="AHI171" s="90"/>
      <c r="AHJ171" s="90"/>
      <c r="AHK171" s="90"/>
      <c r="AHL171" s="90"/>
      <c r="AHM171" s="90"/>
      <c r="AHN171" s="90"/>
      <c r="AHO171" s="90"/>
      <c r="AHP171" s="90"/>
      <c r="AHQ171" s="90"/>
      <c r="AHR171" s="90"/>
      <c r="AHS171" s="90"/>
      <c r="AHT171" s="90"/>
      <c r="AHU171" s="90"/>
      <c r="AHV171" s="90"/>
      <c r="AHW171" s="90"/>
      <c r="AHX171" s="90"/>
      <c r="AHY171" s="90"/>
      <c r="AHZ171" s="90"/>
      <c r="AIA171" s="90"/>
      <c r="AIB171" s="90"/>
      <c r="AIC171" s="90"/>
      <c r="AID171" s="90"/>
      <c r="AIE171" s="90"/>
      <c r="AIF171" s="90"/>
      <c r="AIG171" s="90"/>
      <c r="AIH171" s="90"/>
      <c r="AII171" s="90"/>
      <c r="AIJ171" s="90"/>
      <c r="AIK171" s="90"/>
      <c r="AIL171" s="90"/>
      <c r="AIM171" s="90"/>
      <c r="AIN171" s="90"/>
      <c r="AIO171" s="90"/>
      <c r="AIP171" s="90"/>
      <c r="AIQ171" s="90"/>
      <c r="AIR171" s="90"/>
      <c r="AIS171" s="90"/>
      <c r="AIT171" s="90"/>
      <c r="AIU171" s="90"/>
      <c r="AIV171" s="90"/>
      <c r="AIW171" s="90"/>
      <c r="AIX171" s="90"/>
      <c r="AIY171" s="90"/>
      <c r="AIZ171" s="90"/>
      <c r="AJA171" s="90"/>
      <c r="AJB171" s="90"/>
      <c r="AJC171" s="90"/>
      <c r="AJD171" s="90"/>
      <c r="AJE171" s="90"/>
      <c r="AJF171" s="90"/>
      <c r="AJG171" s="90"/>
      <c r="AJH171" s="90"/>
      <c r="AJI171" s="90"/>
      <c r="AJJ171" s="90"/>
      <c r="AJK171" s="90"/>
      <c r="AJL171" s="90"/>
      <c r="AJM171" s="90"/>
      <c r="AJN171" s="90"/>
      <c r="AJO171" s="90"/>
      <c r="AJP171" s="90"/>
      <c r="AJQ171" s="90"/>
      <c r="AJR171" s="90"/>
      <c r="AJS171" s="90"/>
      <c r="AJT171" s="90"/>
      <c r="AJU171" s="90"/>
      <c r="AJV171" s="90"/>
      <c r="AJW171" s="90"/>
      <c r="AJX171" s="90"/>
      <c r="AJY171" s="90"/>
      <c r="AJZ171" s="90"/>
      <c r="AKA171" s="90"/>
      <c r="AKB171" s="90"/>
      <c r="AKC171" s="90"/>
      <c r="AKD171" s="90"/>
      <c r="AKE171" s="90"/>
      <c r="AKF171" s="90"/>
      <c r="AKG171" s="90"/>
      <c r="AKH171" s="90"/>
      <c r="AKI171" s="90"/>
      <c r="AKJ171" s="90"/>
      <c r="AKK171" s="90"/>
      <c r="AKL171" s="90"/>
      <c r="AKM171" s="90"/>
      <c r="AKN171" s="90"/>
      <c r="AKO171" s="90"/>
      <c r="AKP171" s="90"/>
      <c r="AKQ171" s="90"/>
      <c r="AKR171" s="90"/>
      <c r="AKS171" s="90"/>
      <c r="AKT171" s="90"/>
      <c r="AKU171" s="90"/>
      <c r="AKV171" s="90"/>
      <c r="AKW171" s="90"/>
      <c r="AKX171" s="90"/>
      <c r="AKY171" s="90"/>
      <c r="AKZ171" s="90"/>
      <c r="ALA171" s="90"/>
      <c r="ALB171" s="90"/>
      <c r="ALC171" s="90"/>
      <c r="ALD171" s="90"/>
      <c r="ALE171" s="90"/>
      <c r="ALF171" s="90"/>
      <c r="ALG171" s="90"/>
      <c r="ALH171" s="90"/>
      <c r="ALI171" s="90"/>
      <c r="ALJ171" s="90"/>
      <c r="ALK171" s="90"/>
      <c r="ALL171" s="90"/>
      <c r="ALM171" s="90"/>
      <c r="ALN171" s="90"/>
      <c r="ALO171" s="90"/>
      <c r="ALP171" s="90"/>
      <c r="ALQ171" s="90"/>
      <c r="ALR171" s="90"/>
      <c r="ALS171" s="90"/>
      <c r="ALT171" s="90"/>
      <c r="ALU171" s="90"/>
      <c r="ALV171" s="90"/>
      <c r="ALW171" s="90"/>
      <c r="ALX171" s="90"/>
      <c r="ALY171" s="90"/>
      <c r="ALZ171" s="90"/>
      <c r="AMA171" s="90"/>
      <c r="AMB171" s="90"/>
      <c r="AMC171" s="90"/>
    </row>
    <row r="172" spans="1:1017">
      <c r="A172" s="98" t="s">
        <v>49</v>
      </c>
      <c r="B172" s="90" t="str">
        <f t="shared" si="1324"/>
        <v xml:space="preserve">Gurame, Gurami </v>
      </c>
      <c r="Q172" s="91">
        <f t="shared" si="1325"/>
        <v>0</v>
      </c>
      <c r="R172" s="91">
        <f t="shared" si="1326"/>
        <v>0</v>
      </c>
      <c r="Y172" s="98">
        <v>13915</v>
      </c>
      <c r="Z172" s="98">
        <v>487025</v>
      </c>
      <c r="AG172" s="91">
        <f t="shared" si="1327"/>
        <v>13915</v>
      </c>
      <c r="AH172" s="91">
        <f t="shared" si="1328"/>
        <v>487025</v>
      </c>
      <c r="AO172" s="98">
        <v>600700</v>
      </c>
      <c r="AP172" s="98">
        <v>16819600</v>
      </c>
      <c r="AW172" s="91">
        <f t="shared" si="1329"/>
        <v>600700</v>
      </c>
      <c r="AX172" s="91">
        <f t="shared" si="1330"/>
        <v>16819600</v>
      </c>
      <c r="BE172" s="98">
        <v>5520</v>
      </c>
      <c r="BF172" s="98">
        <v>165600</v>
      </c>
      <c r="BM172" s="91">
        <f t="shared" si="1331"/>
        <v>5520</v>
      </c>
      <c r="BN172" s="91">
        <f t="shared" si="1332"/>
        <v>165600</v>
      </c>
      <c r="BU172" s="98">
        <v>3198</v>
      </c>
      <c r="BV172" s="98">
        <v>121524</v>
      </c>
      <c r="CC172" s="91">
        <f t="shared" si="1333"/>
        <v>3198</v>
      </c>
      <c r="CD172" s="91">
        <f t="shared" si="1334"/>
        <v>121524</v>
      </c>
      <c r="CK172" s="98">
        <v>235</v>
      </c>
      <c r="CL172" s="98">
        <v>7035</v>
      </c>
      <c r="CS172" s="91">
        <f t="shared" si="1419"/>
        <v>235</v>
      </c>
      <c r="CT172" s="91">
        <f t="shared" si="1420"/>
        <v>7035</v>
      </c>
      <c r="DA172" s="98">
        <v>199180</v>
      </c>
      <c r="DB172" s="98">
        <v>5975400</v>
      </c>
      <c r="DI172" s="91">
        <f t="shared" si="1337"/>
        <v>199180</v>
      </c>
      <c r="DJ172" s="91">
        <f t="shared" si="1338"/>
        <v>5975400</v>
      </c>
      <c r="DQ172" s="98">
        <v>32400</v>
      </c>
      <c r="DR172" s="98">
        <v>972000</v>
      </c>
      <c r="DY172" s="91">
        <f t="shared" si="1339"/>
        <v>32400</v>
      </c>
      <c r="DZ172" s="91">
        <f t="shared" si="1340"/>
        <v>972000</v>
      </c>
      <c r="EG172" s="98">
        <v>245100</v>
      </c>
      <c r="EH172" s="98">
        <v>6862800</v>
      </c>
      <c r="EO172" s="91">
        <f t="shared" si="1341"/>
        <v>245100</v>
      </c>
      <c r="EP172" s="91">
        <f t="shared" si="1342"/>
        <v>6862800</v>
      </c>
      <c r="FE172" s="91">
        <f t="shared" si="1343"/>
        <v>0</v>
      </c>
      <c r="FF172" s="91">
        <f t="shared" si="1344"/>
        <v>0</v>
      </c>
      <c r="FM172" s="98">
        <v>64200</v>
      </c>
      <c r="FN172" s="98">
        <v>2247000</v>
      </c>
      <c r="FU172" s="91">
        <f t="shared" si="1345"/>
        <v>64200</v>
      </c>
      <c r="FV172" s="91">
        <f t="shared" si="1346"/>
        <v>2247000</v>
      </c>
      <c r="GC172" s="98">
        <v>36000</v>
      </c>
      <c r="GD172" s="98">
        <v>1152000</v>
      </c>
      <c r="GK172" s="91">
        <f t="shared" si="1347"/>
        <v>36000</v>
      </c>
      <c r="GL172" s="91">
        <f t="shared" si="1348"/>
        <v>1152000</v>
      </c>
      <c r="GS172" s="98">
        <v>6700</v>
      </c>
      <c r="GT172" s="98">
        <v>184250</v>
      </c>
      <c r="HA172" s="91">
        <f t="shared" si="1349"/>
        <v>6700</v>
      </c>
      <c r="HB172" s="91">
        <f t="shared" si="1350"/>
        <v>184250</v>
      </c>
      <c r="HI172" s="98">
        <v>4000</v>
      </c>
      <c r="HJ172" s="98">
        <v>120000</v>
      </c>
      <c r="HQ172" s="91">
        <f t="shared" si="1351"/>
        <v>4000</v>
      </c>
      <c r="HR172" s="91">
        <f t="shared" si="1352"/>
        <v>120000</v>
      </c>
      <c r="HY172" s="98">
        <v>5780</v>
      </c>
      <c r="HZ172" s="98">
        <v>184960</v>
      </c>
      <c r="IG172" s="91">
        <f t="shared" si="1353"/>
        <v>5780</v>
      </c>
      <c r="IH172" s="91">
        <f t="shared" si="1354"/>
        <v>184960</v>
      </c>
      <c r="IO172" s="98">
        <v>91000</v>
      </c>
      <c r="IP172" s="98">
        <v>3458000</v>
      </c>
      <c r="IW172" s="91">
        <f t="shared" si="1355"/>
        <v>91000</v>
      </c>
      <c r="IX172" s="91">
        <f t="shared" si="1356"/>
        <v>3458000</v>
      </c>
      <c r="JE172" s="98">
        <v>15350</v>
      </c>
      <c r="JF172" s="98">
        <v>460500</v>
      </c>
      <c r="JM172" s="91">
        <f t="shared" si="1357"/>
        <v>15350</v>
      </c>
      <c r="JN172" s="91">
        <f t="shared" si="1358"/>
        <v>460500</v>
      </c>
      <c r="KC172" s="91">
        <f t="shared" si="1359"/>
        <v>0</v>
      </c>
      <c r="KD172" s="91">
        <f t="shared" si="1360"/>
        <v>0</v>
      </c>
      <c r="KK172" s="98">
        <v>121</v>
      </c>
      <c r="KL172" s="98">
        <v>6050</v>
      </c>
      <c r="KS172" s="91">
        <f t="shared" si="1361"/>
        <v>121</v>
      </c>
      <c r="KT172" s="91">
        <f t="shared" si="1362"/>
        <v>6050</v>
      </c>
      <c r="LA172" s="98">
        <v>11883.84</v>
      </c>
      <c r="LB172" s="98">
        <v>415934</v>
      </c>
      <c r="LI172" s="91">
        <f t="shared" si="1363"/>
        <v>11883.84</v>
      </c>
      <c r="LJ172" s="91">
        <f t="shared" si="1364"/>
        <v>415934</v>
      </c>
      <c r="LQ172" s="98">
        <v>28678</v>
      </c>
      <c r="LR172" s="98">
        <v>889018</v>
      </c>
      <c r="LY172" s="91">
        <f t="shared" si="1365"/>
        <v>28678</v>
      </c>
      <c r="LZ172" s="91">
        <f t="shared" si="1366"/>
        <v>889018</v>
      </c>
      <c r="MG172" s="98">
        <f>0.04*1000</f>
        <v>40</v>
      </c>
      <c r="MH172" s="98">
        <v>1080</v>
      </c>
      <c r="MO172" s="91">
        <f t="shared" si="1367"/>
        <v>40</v>
      </c>
      <c r="MP172" s="91">
        <f t="shared" si="1368"/>
        <v>1080</v>
      </c>
      <c r="NE172" s="91">
        <f t="shared" si="1369"/>
        <v>0</v>
      </c>
      <c r="NF172" s="91">
        <f t="shared" si="1370"/>
        <v>0</v>
      </c>
      <c r="NM172" s="98">
        <v>16800</v>
      </c>
      <c r="NN172" s="98">
        <v>470400</v>
      </c>
      <c r="NP172" s="98" t="s">
        <v>384</v>
      </c>
      <c r="NQ172" s="98">
        <v>700</v>
      </c>
      <c r="NR172" s="98">
        <v>19600</v>
      </c>
      <c r="NU172" s="91">
        <f t="shared" si="1371"/>
        <v>17500</v>
      </c>
      <c r="NV172" s="91">
        <f t="shared" si="1372"/>
        <v>490000</v>
      </c>
      <c r="OC172" s="98">
        <v>150</v>
      </c>
      <c r="OD172" s="98">
        <v>6000</v>
      </c>
      <c r="OK172" s="91">
        <f t="shared" si="1373"/>
        <v>150</v>
      </c>
      <c r="OL172" s="91">
        <f t="shared" si="1374"/>
        <v>6000</v>
      </c>
      <c r="OS172" s="98">
        <v>1165</v>
      </c>
      <c r="OT172" s="98">
        <v>58250</v>
      </c>
      <c r="PA172" s="91">
        <f t="shared" si="1375"/>
        <v>1165</v>
      </c>
      <c r="PB172" s="91">
        <f t="shared" si="1376"/>
        <v>58250</v>
      </c>
      <c r="PI172" s="98">
        <v>28240</v>
      </c>
      <c r="PJ172" s="98">
        <v>677735</v>
      </c>
      <c r="PQ172" s="91">
        <f t="shared" si="1377"/>
        <v>28240</v>
      </c>
      <c r="PR172" s="91">
        <f t="shared" si="1378"/>
        <v>677735</v>
      </c>
      <c r="PY172" s="98">
        <v>47280</v>
      </c>
      <c r="PZ172" s="98">
        <v>2364000</v>
      </c>
      <c r="QC172" s="98">
        <v>44570</v>
      </c>
      <c r="QD172" s="98">
        <v>1337100</v>
      </c>
      <c r="QG172" s="91">
        <f t="shared" si="1379"/>
        <v>91850</v>
      </c>
      <c r="QH172" s="91">
        <f t="shared" si="1380"/>
        <v>3701100</v>
      </c>
      <c r="QO172" s="98">
        <v>1920000</v>
      </c>
      <c r="QP172" s="98">
        <v>55680000</v>
      </c>
      <c r="QW172" s="91">
        <f t="shared" si="1381"/>
        <v>1920000</v>
      </c>
      <c r="QX172" s="91">
        <f t="shared" si="1382"/>
        <v>55680000</v>
      </c>
      <c r="RM172" s="91">
        <f t="shared" si="1383"/>
        <v>0</v>
      </c>
      <c r="RN172" s="91">
        <f t="shared" si="1384"/>
        <v>0</v>
      </c>
      <c r="RU172" s="98">
        <v>4700</v>
      </c>
      <c r="RV172" s="98">
        <v>122200</v>
      </c>
      <c r="SC172" s="91">
        <f t="shared" si="1385"/>
        <v>4700</v>
      </c>
      <c r="SD172" s="91">
        <f t="shared" si="1386"/>
        <v>122200</v>
      </c>
      <c r="SS172" s="91">
        <f t="shared" si="1387"/>
        <v>0</v>
      </c>
      <c r="ST172" s="91">
        <f t="shared" si="1388"/>
        <v>0</v>
      </c>
      <c r="TA172" s="98">
        <v>6660</v>
      </c>
      <c r="TB172" s="98">
        <v>219780</v>
      </c>
      <c r="TI172" s="91">
        <f t="shared" si="1389"/>
        <v>6660</v>
      </c>
      <c r="TJ172" s="91">
        <f t="shared" si="1390"/>
        <v>219780</v>
      </c>
      <c r="TY172" s="91">
        <f t="shared" si="1391"/>
        <v>0</v>
      </c>
      <c r="TZ172" s="91">
        <f t="shared" si="1392"/>
        <v>0</v>
      </c>
      <c r="UG172" s="98">
        <v>220</v>
      </c>
      <c r="UH172" s="98">
        <v>6600</v>
      </c>
      <c r="UO172" s="91">
        <f t="shared" si="1393"/>
        <v>220</v>
      </c>
      <c r="UP172" s="91">
        <f t="shared" si="1394"/>
        <v>6600</v>
      </c>
      <c r="VE172" s="91">
        <f t="shared" si="1395"/>
        <v>0</v>
      </c>
      <c r="VF172" s="91">
        <f t="shared" si="1396"/>
        <v>0</v>
      </c>
      <c r="VM172" s="98">
        <v>527</v>
      </c>
      <c r="VN172" s="98">
        <v>19499</v>
      </c>
      <c r="VU172" s="91">
        <f t="shared" si="1397"/>
        <v>527</v>
      </c>
      <c r="VV172" s="91">
        <f t="shared" si="1398"/>
        <v>19499</v>
      </c>
      <c r="WK172" s="91">
        <f t="shared" si="1399"/>
        <v>0</v>
      </c>
      <c r="WL172" s="91">
        <f t="shared" si="1400"/>
        <v>0</v>
      </c>
      <c r="WM172" s="89"/>
      <c r="WN172" s="87">
        <f t="shared" si="1401"/>
        <v>0</v>
      </c>
      <c r="WO172" s="87">
        <f t="shared" si="1402"/>
        <v>0</v>
      </c>
      <c r="WP172" s="87">
        <f t="shared" si="1403"/>
        <v>0</v>
      </c>
      <c r="WQ172" s="87">
        <f t="shared" si="1404"/>
        <v>0</v>
      </c>
      <c r="WR172" s="87">
        <f t="shared" si="1405"/>
        <v>0</v>
      </c>
      <c r="WS172" s="87">
        <f t="shared" si="1406"/>
        <v>0</v>
      </c>
      <c r="WT172" s="87">
        <f t="shared" si="1407"/>
        <v>3389742.84</v>
      </c>
      <c r="WU172" s="87">
        <f t="shared" si="1408"/>
        <v>100154240</v>
      </c>
      <c r="WV172" s="87">
        <f t="shared" si="1409"/>
        <v>0</v>
      </c>
      <c r="WW172" s="87">
        <f t="shared" si="1410"/>
        <v>0</v>
      </c>
      <c r="WX172" s="87">
        <f t="shared" si="1411"/>
        <v>45270</v>
      </c>
      <c r="WY172" s="87">
        <f t="shared" si="1412"/>
        <v>1356700</v>
      </c>
      <c r="WZ172" s="87">
        <f t="shared" si="1413"/>
        <v>0</v>
      </c>
      <c r="XA172" s="87">
        <f t="shared" si="1414"/>
        <v>0</v>
      </c>
      <c r="XB172" s="92">
        <f t="shared" si="1415"/>
        <v>3435012.84</v>
      </c>
      <c r="XC172" s="92">
        <f t="shared" si="1416"/>
        <v>101510940</v>
      </c>
      <c r="XD172" s="89"/>
      <c r="XE172" s="92"/>
      <c r="XF172" s="92"/>
      <c r="XG172" s="89"/>
      <c r="XH172" s="92"/>
      <c r="XI172" s="92"/>
      <c r="XJ172" s="89"/>
      <c r="XK172" s="87"/>
      <c r="XL172" s="87"/>
      <c r="XM172" s="87"/>
      <c r="XN172" s="87"/>
      <c r="XO172" s="87"/>
      <c r="XP172" s="87"/>
      <c r="XQ172" s="87"/>
      <c r="XR172" s="92">
        <f t="shared" ca="1" si="1417"/>
        <v>0</v>
      </c>
      <c r="XS172" s="89"/>
      <c r="XT172" s="87"/>
      <c r="XU172" s="87"/>
      <c r="XV172" s="87"/>
      <c r="XW172" s="87"/>
      <c r="XX172" s="87"/>
      <c r="XY172" s="87"/>
      <c r="XZ172" s="87"/>
      <c r="YA172" s="92">
        <f t="shared" ca="1" si="1418"/>
        <v>0</v>
      </c>
      <c r="YB172" s="90"/>
      <c r="YC172" s="90"/>
      <c r="YD172" s="90"/>
      <c r="YE172" s="90"/>
      <c r="YF172" s="90"/>
      <c r="YG172" s="90"/>
      <c r="YH172" s="90"/>
      <c r="YI172" s="90"/>
      <c r="YJ172" s="90"/>
      <c r="YK172" s="90"/>
      <c r="YL172" s="90"/>
      <c r="YM172" s="90"/>
      <c r="YN172" s="90"/>
      <c r="YO172" s="90"/>
      <c r="YP172" s="90"/>
      <c r="YQ172" s="90"/>
      <c r="YR172" s="90"/>
      <c r="YS172" s="90"/>
      <c r="YT172" s="90"/>
      <c r="YU172" s="90"/>
      <c r="YV172" s="90"/>
      <c r="YW172" s="90"/>
      <c r="YX172" s="90"/>
      <c r="YY172" s="90"/>
      <c r="YZ172" s="90"/>
      <c r="ZA172" s="90"/>
      <c r="ZB172" s="90"/>
      <c r="ZC172" s="90"/>
      <c r="ZD172" s="90"/>
      <c r="ZE172" s="90"/>
      <c r="ZF172" s="90"/>
      <c r="ZG172" s="90"/>
      <c r="ZH172" s="90"/>
      <c r="ZI172" s="90"/>
      <c r="ZJ172" s="90"/>
      <c r="ZK172" s="90"/>
      <c r="ZL172" s="90"/>
      <c r="ZM172" s="90"/>
      <c r="ZN172" s="90"/>
      <c r="ZO172" s="90"/>
      <c r="ZP172" s="90"/>
      <c r="ZQ172" s="90"/>
      <c r="ZR172" s="90"/>
      <c r="ZS172" s="90"/>
      <c r="ZT172" s="90"/>
      <c r="ZU172" s="90"/>
      <c r="ZV172" s="90"/>
      <c r="ZW172" s="90"/>
      <c r="ZX172" s="90"/>
      <c r="ZY172" s="90"/>
      <c r="ZZ172" s="90"/>
      <c r="AAA172" s="90"/>
      <c r="AAB172" s="90"/>
      <c r="AAC172" s="90"/>
      <c r="AAD172" s="90"/>
      <c r="AAE172" s="90"/>
      <c r="AAF172" s="90"/>
      <c r="AAG172" s="90"/>
      <c r="AAH172" s="90"/>
      <c r="AAI172" s="90"/>
      <c r="AAJ172" s="90"/>
      <c r="AAK172" s="90"/>
      <c r="AAL172" s="90"/>
      <c r="AAM172" s="90"/>
      <c r="AAN172" s="90"/>
      <c r="AAO172" s="90"/>
      <c r="AAP172" s="90"/>
      <c r="AAQ172" s="90"/>
      <c r="AAR172" s="90"/>
      <c r="AAS172" s="90"/>
      <c r="AAT172" s="90"/>
      <c r="AAU172" s="90"/>
      <c r="AAV172" s="90"/>
      <c r="AAW172" s="90"/>
      <c r="AAX172" s="90"/>
      <c r="AAY172" s="90"/>
      <c r="AAZ172" s="90"/>
      <c r="ABA172" s="90"/>
      <c r="ABB172" s="90"/>
      <c r="ABC172" s="90"/>
      <c r="ABD172" s="90"/>
      <c r="ABE172" s="90"/>
      <c r="ABF172" s="90"/>
      <c r="ABG172" s="90"/>
      <c r="ABH172" s="90"/>
      <c r="ABI172" s="90"/>
      <c r="ABJ172" s="90"/>
      <c r="ABK172" s="90"/>
      <c r="ABL172" s="90"/>
      <c r="ABM172" s="90"/>
      <c r="ABN172" s="90"/>
      <c r="ABO172" s="90"/>
      <c r="ABP172" s="90"/>
      <c r="ABQ172" s="90"/>
      <c r="ABR172" s="90"/>
      <c r="ABS172" s="90"/>
      <c r="ABT172" s="90"/>
      <c r="ABU172" s="90"/>
      <c r="ABV172" s="90"/>
      <c r="ABW172" s="90"/>
      <c r="ABX172" s="90"/>
      <c r="ABY172" s="90"/>
      <c r="ABZ172" s="90"/>
      <c r="ACA172" s="90"/>
      <c r="ACB172" s="90"/>
      <c r="ACC172" s="90"/>
      <c r="ACD172" s="90"/>
      <c r="ACE172" s="90"/>
      <c r="ACF172" s="90"/>
      <c r="ACG172" s="90"/>
      <c r="ACH172" s="90"/>
      <c r="ACI172" s="90"/>
      <c r="ACJ172" s="90"/>
      <c r="ACK172" s="90"/>
      <c r="ACL172" s="90"/>
      <c r="ACM172" s="90"/>
      <c r="ACN172" s="90"/>
      <c r="ACO172" s="90"/>
      <c r="ACP172" s="90"/>
      <c r="ACQ172" s="90"/>
      <c r="ACR172" s="90"/>
      <c r="ACS172" s="90"/>
      <c r="ACT172" s="90"/>
      <c r="ACU172" s="90"/>
      <c r="ACV172" s="90"/>
      <c r="ACW172" s="90"/>
      <c r="ACX172" s="90"/>
      <c r="ACY172" s="90"/>
      <c r="ACZ172" s="90"/>
      <c r="ADA172" s="90"/>
      <c r="ADB172" s="90"/>
      <c r="ADC172" s="90"/>
      <c r="ADD172" s="90"/>
      <c r="ADE172" s="90"/>
      <c r="ADF172" s="90"/>
      <c r="ADG172" s="90"/>
      <c r="ADH172" s="90"/>
      <c r="ADI172" s="90"/>
      <c r="ADJ172" s="90"/>
      <c r="ADK172" s="90"/>
      <c r="ADL172" s="90"/>
      <c r="ADM172" s="90"/>
      <c r="ADN172" s="90"/>
      <c r="ADO172" s="90"/>
      <c r="ADP172" s="90"/>
      <c r="ADQ172" s="90"/>
      <c r="ADR172" s="90"/>
      <c r="ADS172" s="90"/>
      <c r="ADT172" s="90"/>
      <c r="ADU172" s="90"/>
      <c r="ADV172" s="90"/>
      <c r="ADW172" s="90"/>
      <c r="ADX172" s="90"/>
      <c r="ADY172" s="90"/>
      <c r="ADZ172" s="90"/>
      <c r="AEA172" s="90"/>
      <c r="AEB172" s="90"/>
      <c r="AEC172" s="90"/>
      <c r="AED172" s="90"/>
      <c r="AEE172" s="90"/>
      <c r="AEF172" s="90"/>
      <c r="AEG172" s="90"/>
      <c r="AEH172" s="90"/>
      <c r="AEI172" s="90"/>
      <c r="AEJ172" s="90"/>
      <c r="AEK172" s="90"/>
      <c r="AEL172" s="90"/>
      <c r="AEM172" s="90"/>
      <c r="AEN172" s="90"/>
      <c r="AEO172" s="90"/>
      <c r="AEP172" s="90"/>
      <c r="AEQ172" s="90"/>
      <c r="AER172" s="90"/>
      <c r="AES172" s="90"/>
      <c r="AET172" s="90"/>
      <c r="AEU172" s="90"/>
      <c r="AEV172" s="90"/>
      <c r="AEW172" s="90"/>
      <c r="AEX172" s="90"/>
      <c r="AEY172" s="90"/>
      <c r="AEZ172" s="90"/>
      <c r="AFA172" s="90"/>
      <c r="AFB172" s="90"/>
      <c r="AFC172" s="90"/>
      <c r="AFD172" s="90"/>
      <c r="AFE172" s="90"/>
      <c r="AFF172" s="90"/>
      <c r="AFG172" s="90"/>
      <c r="AFH172" s="90"/>
      <c r="AFI172" s="90"/>
      <c r="AFJ172" s="90"/>
      <c r="AFK172" s="90"/>
      <c r="AFL172" s="90"/>
      <c r="AFM172" s="90"/>
      <c r="AFN172" s="90"/>
      <c r="AFO172" s="90"/>
      <c r="AFP172" s="90"/>
      <c r="AFQ172" s="90"/>
      <c r="AFR172" s="90"/>
      <c r="AFS172" s="90"/>
      <c r="AFT172" s="90"/>
      <c r="AFU172" s="90"/>
      <c r="AFV172" s="90"/>
      <c r="AFW172" s="90"/>
      <c r="AFX172" s="90"/>
      <c r="AFY172" s="90"/>
      <c r="AFZ172" s="90"/>
      <c r="AGA172" s="90"/>
      <c r="AGB172" s="90"/>
      <c r="AGC172" s="90"/>
      <c r="AGD172" s="90"/>
      <c r="AGE172" s="90"/>
      <c r="AGF172" s="90"/>
      <c r="AGG172" s="90"/>
      <c r="AGH172" s="90"/>
      <c r="AGI172" s="90"/>
      <c r="AGJ172" s="90"/>
      <c r="AGK172" s="90"/>
      <c r="AGL172" s="90"/>
      <c r="AGM172" s="90"/>
      <c r="AGN172" s="90"/>
      <c r="AGO172" s="90"/>
      <c r="AGP172" s="90"/>
      <c r="AGQ172" s="90"/>
      <c r="AGR172" s="90"/>
      <c r="AGS172" s="90"/>
      <c r="AGT172" s="90"/>
      <c r="AGU172" s="90"/>
      <c r="AGV172" s="90"/>
      <c r="AGW172" s="90"/>
      <c r="AGX172" s="90"/>
      <c r="AGY172" s="90"/>
      <c r="AGZ172" s="90"/>
      <c r="AHA172" s="90"/>
      <c r="AHB172" s="90"/>
      <c r="AHC172" s="90"/>
      <c r="AHD172" s="90"/>
      <c r="AHE172" s="90"/>
      <c r="AHF172" s="90"/>
      <c r="AHG172" s="90"/>
      <c r="AHH172" s="90"/>
      <c r="AHI172" s="90"/>
      <c r="AHJ172" s="90"/>
      <c r="AHK172" s="90"/>
      <c r="AHL172" s="90"/>
      <c r="AHM172" s="90"/>
      <c r="AHN172" s="90"/>
      <c r="AHO172" s="90"/>
      <c r="AHP172" s="90"/>
      <c r="AHQ172" s="90"/>
      <c r="AHR172" s="90"/>
      <c r="AHS172" s="90"/>
      <c r="AHT172" s="90"/>
      <c r="AHU172" s="90"/>
      <c r="AHV172" s="90"/>
      <c r="AHW172" s="90"/>
      <c r="AHX172" s="90"/>
      <c r="AHY172" s="90"/>
      <c r="AHZ172" s="90"/>
      <c r="AIA172" s="90"/>
      <c r="AIB172" s="90"/>
      <c r="AIC172" s="90"/>
      <c r="AID172" s="90"/>
      <c r="AIE172" s="90"/>
      <c r="AIF172" s="90"/>
      <c r="AIG172" s="90"/>
      <c r="AIH172" s="90"/>
      <c r="AII172" s="90"/>
      <c r="AIJ172" s="90"/>
      <c r="AIK172" s="90"/>
      <c r="AIL172" s="90"/>
      <c r="AIM172" s="90"/>
      <c r="AIN172" s="90"/>
      <c r="AIO172" s="90"/>
      <c r="AIP172" s="90"/>
      <c r="AIQ172" s="90"/>
      <c r="AIR172" s="90"/>
      <c r="AIS172" s="90"/>
      <c r="AIT172" s="90"/>
      <c r="AIU172" s="90"/>
      <c r="AIV172" s="90"/>
      <c r="AIW172" s="90"/>
      <c r="AIX172" s="90"/>
      <c r="AIY172" s="90"/>
      <c r="AIZ172" s="90"/>
      <c r="AJA172" s="90"/>
      <c r="AJB172" s="90"/>
      <c r="AJC172" s="90"/>
      <c r="AJD172" s="90"/>
      <c r="AJE172" s="90"/>
      <c r="AJF172" s="90"/>
      <c r="AJG172" s="90"/>
      <c r="AJH172" s="90"/>
      <c r="AJI172" s="90"/>
      <c r="AJJ172" s="90"/>
      <c r="AJK172" s="90"/>
      <c r="AJL172" s="90"/>
      <c r="AJM172" s="90"/>
      <c r="AJN172" s="90"/>
      <c r="AJO172" s="90"/>
      <c r="AJP172" s="90"/>
      <c r="AJQ172" s="90"/>
      <c r="AJR172" s="90"/>
      <c r="AJS172" s="90"/>
      <c r="AJT172" s="90"/>
      <c r="AJU172" s="90"/>
      <c r="AJV172" s="90"/>
      <c r="AJW172" s="90"/>
      <c r="AJX172" s="90"/>
      <c r="AJY172" s="90"/>
      <c r="AJZ172" s="90"/>
      <c r="AKA172" s="90"/>
      <c r="AKB172" s="90"/>
      <c r="AKC172" s="90"/>
      <c r="AKD172" s="90"/>
      <c r="AKE172" s="90"/>
      <c r="AKF172" s="90"/>
      <c r="AKG172" s="90"/>
      <c r="AKH172" s="90"/>
      <c r="AKI172" s="90"/>
      <c r="AKJ172" s="90"/>
      <c r="AKK172" s="90"/>
      <c r="AKL172" s="90"/>
      <c r="AKM172" s="90"/>
      <c r="AKN172" s="90"/>
      <c r="AKO172" s="90"/>
      <c r="AKP172" s="90"/>
      <c r="AKQ172" s="90"/>
      <c r="AKR172" s="90"/>
      <c r="AKS172" s="90"/>
      <c r="AKT172" s="90"/>
      <c r="AKU172" s="90"/>
      <c r="AKV172" s="90"/>
      <c r="AKW172" s="90"/>
      <c r="AKX172" s="90"/>
      <c r="AKY172" s="90"/>
      <c r="AKZ172" s="90"/>
      <c r="ALA172" s="90"/>
      <c r="ALB172" s="90"/>
      <c r="ALC172" s="90"/>
      <c r="ALD172" s="90"/>
      <c r="ALE172" s="90"/>
      <c r="ALF172" s="90"/>
      <c r="ALG172" s="90"/>
      <c r="ALH172" s="90"/>
      <c r="ALI172" s="90"/>
      <c r="ALJ172" s="90"/>
      <c r="ALK172" s="90"/>
      <c r="ALL172" s="90"/>
      <c r="ALM172" s="90"/>
      <c r="ALN172" s="90"/>
      <c r="ALO172" s="90"/>
      <c r="ALP172" s="90"/>
      <c r="ALQ172" s="90"/>
      <c r="ALR172" s="90"/>
      <c r="ALS172" s="90"/>
      <c r="ALT172" s="90"/>
      <c r="ALU172" s="90"/>
      <c r="ALV172" s="90"/>
      <c r="ALW172" s="90"/>
      <c r="ALX172" s="90"/>
      <c r="ALY172" s="90"/>
      <c r="ALZ172" s="90"/>
      <c r="AMA172" s="90"/>
      <c r="AMB172" s="90"/>
      <c r="AMC172" s="90"/>
    </row>
    <row r="173" spans="1:1017">
      <c r="A173" s="98" t="s">
        <v>49</v>
      </c>
      <c r="B173" s="90" t="str">
        <f t="shared" si="1324"/>
        <v>Kakap Putih</v>
      </c>
      <c r="E173" s="98">
        <v>74300</v>
      </c>
      <c r="F173" s="98">
        <v>4458000</v>
      </c>
      <c r="Q173" s="91">
        <f t="shared" si="1325"/>
        <v>74300</v>
      </c>
      <c r="R173" s="91">
        <f t="shared" si="1326"/>
        <v>4458000</v>
      </c>
      <c r="S173" s="98">
        <v>470</v>
      </c>
      <c r="T173" s="98">
        <v>35250</v>
      </c>
      <c r="U173" s="98">
        <v>28485</v>
      </c>
      <c r="V173" s="98">
        <v>2136375</v>
      </c>
      <c r="AG173" s="91">
        <f t="shared" si="1327"/>
        <v>28955</v>
      </c>
      <c r="AH173" s="91">
        <f t="shared" si="1328"/>
        <v>2171625</v>
      </c>
      <c r="AW173" s="91">
        <f t="shared" si="1329"/>
        <v>0</v>
      </c>
      <c r="AX173" s="91">
        <f t="shared" si="1330"/>
        <v>0</v>
      </c>
      <c r="BM173" s="91">
        <f t="shared" si="1331"/>
        <v>0</v>
      </c>
      <c r="BN173" s="91">
        <f t="shared" si="1332"/>
        <v>0</v>
      </c>
      <c r="CC173" s="91">
        <f t="shared" si="1333"/>
        <v>0</v>
      </c>
      <c r="CD173" s="91">
        <f t="shared" si="1334"/>
        <v>0</v>
      </c>
      <c r="CG173" s="98">
        <v>648.24</v>
      </c>
      <c r="CH173" s="98">
        <v>19447</v>
      </c>
      <c r="CS173" s="91">
        <f t="shared" si="1419"/>
        <v>648.24</v>
      </c>
      <c r="CT173" s="91">
        <f t="shared" si="1420"/>
        <v>19447</v>
      </c>
      <c r="DI173" s="91">
        <f t="shared" si="1337"/>
        <v>0</v>
      </c>
      <c r="DJ173" s="91">
        <f t="shared" si="1338"/>
        <v>0</v>
      </c>
      <c r="DY173" s="91">
        <f t="shared" si="1339"/>
        <v>0</v>
      </c>
      <c r="DZ173" s="91">
        <f t="shared" si="1340"/>
        <v>0</v>
      </c>
      <c r="EO173" s="91">
        <f t="shared" si="1341"/>
        <v>0</v>
      </c>
      <c r="EP173" s="91">
        <f t="shared" si="1342"/>
        <v>0</v>
      </c>
      <c r="FE173" s="91">
        <f t="shared" si="1343"/>
        <v>0</v>
      </c>
      <c r="FF173" s="91">
        <f t="shared" si="1344"/>
        <v>0</v>
      </c>
      <c r="FU173" s="91">
        <f t="shared" si="1345"/>
        <v>0</v>
      </c>
      <c r="FV173" s="91">
        <f t="shared" si="1346"/>
        <v>0</v>
      </c>
      <c r="GK173" s="91">
        <f t="shared" si="1347"/>
        <v>0</v>
      </c>
      <c r="GL173" s="91">
        <f t="shared" si="1348"/>
        <v>0</v>
      </c>
      <c r="HA173" s="91">
        <f t="shared" si="1349"/>
        <v>0</v>
      </c>
      <c r="HB173" s="91">
        <f t="shared" si="1350"/>
        <v>0</v>
      </c>
      <c r="HQ173" s="91">
        <f t="shared" si="1351"/>
        <v>0</v>
      </c>
      <c r="HR173" s="91">
        <f t="shared" si="1352"/>
        <v>0</v>
      </c>
      <c r="IG173" s="91">
        <f t="shared" si="1353"/>
        <v>0</v>
      </c>
      <c r="IH173" s="91">
        <f t="shared" si="1354"/>
        <v>0</v>
      </c>
      <c r="IW173" s="91">
        <f t="shared" si="1355"/>
        <v>0</v>
      </c>
      <c r="IX173" s="91">
        <f t="shared" si="1356"/>
        <v>0</v>
      </c>
      <c r="JM173" s="91">
        <f t="shared" si="1357"/>
        <v>0</v>
      </c>
      <c r="JN173" s="91">
        <f t="shared" si="1358"/>
        <v>0</v>
      </c>
      <c r="KC173" s="91">
        <f t="shared" si="1359"/>
        <v>0</v>
      </c>
      <c r="KD173" s="91">
        <f t="shared" si="1360"/>
        <v>0</v>
      </c>
      <c r="KS173" s="91">
        <f t="shared" si="1361"/>
        <v>0</v>
      </c>
      <c r="KT173" s="91">
        <f t="shared" si="1362"/>
        <v>0</v>
      </c>
      <c r="LI173" s="91">
        <f t="shared" si="1363"/>
        <v>0</v>
      </c>
      <c r="LJ173" s="91">
        <f t="shared" si="1364"/>
        <v>0</v>
      </c>
      <c r="LY173" s="91">
        <f t="shared" si="1365"/>
        <v>0</v>
      </c>
      <c r="LZ173" s="91">
        <f t="shared" si="1366"/>
        <v>0</v>
      </c>
      <c r="MO173" s="91">
        <f t="shared" si="1367"/>
        <v>0</v>
      </c>
      <c r="MP173" s="91">
        <f t="shared" si="1368"/>
        <v>0</v>
      </c>
      <c r="MS173" s="98">
        <v>300</v>
      </c>
      <c r="MT173" s="98">
        <v>9000</v>
      </c>
      <c r="NE173" s="91">
        <f t="shared" si="1369"/>
        <v>300</v>
      </c>
      <c r="NF173" s="91">
        <f t="shared" si="1370"/>
        <v>9000</v>
      </c>
      <c r="NI173" s="98">
        <v>7600</v>
      </c>
      <c r="NJ173" s="98">
        <v>266000</v>
      </c>
      <c r="NU173" s="91">
        <f t="shared" si="1371"/>
        <v>7600</v>
      </c>
      <c r="NV173" s="91">
        <f t="shared" si="1372"/>
        <v>266000</v>
      </c>
      <c r="NW173" s="98">
        <v>275</v>
      </c>
      <c r="NX173" s="98">
        <v>22000</v>
      </c>
      <c r="OK173" s="91">
        <f t="shared" si="1373"/>
        <v>275</v>
      </c>
      <c r="OL173" s="91">
        <f t="shared" si="1374"/>
        <v>22000</v>
      </c>
      <c r="PA173" s="91">
        <f t="shared" si="1375"/>
        <v>0</v>
      </c>
      <c r="PB173" s="91">
        <f t="shared" si="1376"/>
        <v>0</v>
      </c>
      <c r="PQ173" s="91">
        <f t="shared" si="1377"/>
        <v>0</v>
      </c>
      <c r="PR173" s="91">
        <f t="shared" si="1378"/>
        <v>0</v>
      </c>
      <c r="QG173" s="91">
        <f t="shared" si="1379"/>
        <v>0</v>
      </c>
      <c r="QH173" s="91">
        <f t="shared" si="1380"/>
        <v>0</v>
      </c>
      <c r="QW173" s="91">
        <f t="shared" si="1381"/>
        <v>0</v>
      </c>
      <c r="QX173" s="91">
        <f t="shared" si="1382"/>
        <v>0</v>
      </c>
      <c r="RM173" s="91">
        <f t="shared" si="1383"/>
        <v>0</v>
      </c>
      <c r="RN173" s="91">
        <f t="shared" si="1384"/>
        <v>0</v>
      </c>
      <c r="SC173" s="91">
        <f t="shared" si="1385"/>
        <v>0</v>
      </c>
      <c r="SD173" s="91">
        <f t="shared" si="1386"/>
        <v>0</v>
      </c>
      <c r="SS173" s="91">
        <f t="shared" si="1387"/>
        <v>0</v>
      </c>
      <c r="ST173" s="91">
        <f t="shared" si="1388"/>
        <v>0</v>
      </c>
      <c r="TI173" s="91">
        <f t="shared" si="1389"/>
        <v>0</v>
      </c>
      <c r="TJ173" s="91">
        <f t="shared" si="1390"/>
        <v>0</v>
      </c>
      <c r="TY173" s="91">
        <f t="shared" si="1391"/>
        <v>0</v>
      </c>
      <c r="TZ173" s="91">
        <f t="shared" si="1392"/>
        <v>0</v>
      </c>
      <c r="UO173" s="91">
        <f t="shared" si="1393"/>
        <v>0</v>
      </c>
      <c r="UP173" s="91">
        <f t="shared" si="1394"/>
        <v>0</v>
      </c>
      <c r="VE173" s="91">
        <f t="shared" si="1395"/>
        <v>0</v>
      </c>
      <c r="VF173" s="91">
        <f t="shared" si="1396"/>
        <v>0</v>
      </c>
      <c r="VI173" s="98">
        <v>33</v>
      </c>
      <c r="VJ173" s="98">
        <v>1320</v>
      </c>
      <c r="VU173" s="91">
        <f t="shared" si="1397"/>
        <v>33</v>
      </c>
      <c r="VV173" s="91">
        <f t="shared" si="1398"/>
        <v>1320</v>
      </c>
      <c r="WK173" s="91">
        <f t="shared" si="1399"/>
        <v>0</v>
      </c>
      <c r="WL173" s="91">
        <f t="shared" si="1400"/>
        <v>0</v>
      </c>
      <c r="WM173" s="89"/>
      <c r="WN173" s="87">
        <f t="shared" si="1401"/>
        <v>745</v>
      </c>
      <c r="WO173" s="87">
        <f t="shared" si="1402"/>
        <v>57250</v>
      </c>
      <c r="WP173" s="87">
        <f t="shared" si="1403"/>
        <v>111366.24</v>
      </c>
      <c r="WQ173" s="87">
        <f t="shared" si="1404"/>
        <v>6890142</v>
      </c>
      <c r="WR173" s="87">
        <f t="shared" si="1405"/>
        <v>0</v>
      </c>
      <c r="WS173" s="87">
        <f t="shared" si="1406"/>
        <v>0</v>
      </c>
      <c r="WT173" s="87">
        <f t="shared" si="1407"/>
        <v>0</v>
      </c>
      <c r="WU173" s="87">
        <f t="shared" si="1408"/>
        <v>0</v>
      </c>
      <c r="WV173" s="87">
        <f t="shared" si="1409"/>
        <v>0</v>
      </c>
      <c r="WW173" s="87">
        <f t="shared" si="1410"/>
        <v>0</v>
      </c>
      <c r="WX173" s="87">
        <f t="shared" si="1411"/>
        <v>0</v>
      </c>
      <c r="WY173" s="87">
        <f t="shared" si="1412"/>
        <v>0</v>
      </c>
      <c r="WZ173" s="87">
        <f t="shared" si="1413"/>
        <v>0</v>
      </c>
      <c r="XA173" s="87">
        <f t="shared" si="1414"/>
        <v>0</v>
      </c>
      <c r="XB173" s="92">
        <f t="shared" si="1415"/>
        <v>112111.24</v>
      </c>
      <c r="XC173" s="92">
        <f t="shared" si="1416"/>
        <v>6947392</v>
      </c>
      <c r="XD173" s="89"/>
      <c r="XE173" s="92"/>
      <c r="XF173" s="92"/>
      <c r="XG173" s="89"/>
      <c r="XH173" s="92"/>
      <c r="XI173" s="92"/>
      <c r="XJ173" s="89"/>
      <c r="XK173" s="87"/>
      <c r="XL173" s="87"/>
      <c r="XM173" s="87"/>
      <c r="XN173" s="87"/>
      <c r="XO173" s="87"/>
      <c r="XP173" s="87"/>
      <c r="XQ173" s="87"/>
      <c r="XR173" s="92">
        <f t="shared" ca="1" si="1417"/>
        <v>0</v>
      </c>
      <c r="XS173" s="89"/>
      <c r="XT173" s="87"/>
      <c r="XU173" s="87"/>
      <c r="XV173" s="87"/>
      <c r="XW173" s="87"/>
      <c r="XX173" s="87"/>
      <c r="XY173" s="87"/>
      <c r="XZ173" s="87"/>
      <c r="YA173" s="92">
        <f t="shared" ca="1" si="1418"/>
        <v>0</v>
      </c>
      <c r="YB173" s="90"/>
      <c r="YC173" s="90"/>
      <c r="YD173" s="90"/>
      <c r="YE173" s="90"/>
      <c r="YF173" s="90"/>
      <c r="YG173" s="90"/>
      <c r="YH173" s="90"/>
      <c r="YI173" s="90"/>
      <c r="YJ173" s="90"/>
      <c r="YK173" s="90"/>
      <c r="YL173" s="90"/>
      <c r="YM173" s="90"/>
      <c r="YN173" s="90"/>
      <c r="YO173" s="90"/>
      <c r="YP173" s="90"/>
      <c r="YQ173" s="90"/>
      <c r="YR173" s="90"/>
      <c r="YS173" s="90"/>
      <c r="YT173" s="90"/>
      <c r="YU173" s="90"/>
      <c r="YV173" s="90"/>
      <c r="YW173" s="90"/>
      <c r="YX173" s="90"/>
      <c r="YY173" s="90"/>
      <c r="YZ173" s="90"/>
      <c r="ZA173" s="90"/>
      <c r="ZB173" s="90"/>
      <c r="ZC173" s="90"/>
      <c r="ZD173" s="90"/>
      <c r="ZE173" s="90"/>
      <c r="ZF173" s="90"/>
      <c r="ZG173" s="90"/>
      <c r="ZH173" s="90"/>
      <c r="ZI173" s="90"/>
      <c r="ZJ173" s="90"/>
      <c r="ZK173" s="90"/>
      <c r="ZL173" s="90"/>
      <c r="ZM173" s="90"/>
      <c r="ZN173" s="90"/>
      <c r="ZO173" s="90"/>
      <c r="ZP173" s="90"/>
      <c r="ZQ173" s="90"/>
      <c r="ZR173" s="90"/>
      <c r="ZS173" s="90"/>
      <c r="ZT173" s="90"/>
      <c r="ZU173" s="90"/>
      <c r="ZV173" s="90"/>
      <c r="ZW173" s="90"/>
      <c r="ZX173" s="90"/>
      <c r="ZY173" s="90"/>
      <c r="ZZ173" s="90"/>
      <c r="AAA173" s="90"/>
      <c r="AAB173" s="90"/>
      <c r="AAC173" s="90"/>
      <c r="AAD173" s="90"/>
      <c r="AAE173" s="90"/>
      <c r="AAF173" s="90"/>
      <c r="AAG173" s="90"/>
      <c r="AAH173" s="90"/>
      <c r="AAI173" s="90"/>
      <c r="AAJ173" s="90"/>
      <c r="AAK173" s="90"/>
      <c r="AAL173" s="90"/>
      <c r="AAM173" s="90"/>
      <c r="AAN173" s="90"/>
      <c r="AAO173" s="90"/>
      <c r="AAP173" s="90"/>
      <c r="AAQ173" s="90"/>
      <c r="AAR173" s="90"/>
      <c r="AAS173" s="90"/>
      <c r="AAT173" s="90"/>
      <c r="AAU173" s="90"/>
      <c r="AAV173" s="90"/>
      <c r="AAW173" s="90"/>
      <c r="AAX173" s="90"/>
      <c r="AAY173" s="90"/>
      <c r="AAZ173" s="90"/>
      <c r="ABA173" s="90"/>
      <c r="ABB173" s="90"/>
      <c r="ABC173" s="90"/>
      <c r="ABD173" s="90"/>
      <c r="ABE173" s="90"/>
      <c r="ABF173" s="90"/>
      <c r="ABG173" s="90"/>
      <c r="ABH173" s="90"/>
      <c r="ABI173" s="90"/>
      <c r="ABJ173" s="90"/>
      <c r="ABK173" s="90"/>
      <c r="ABL173" s="90"/>
      <c r="ABM173" s="90"/>
      <c r="ABN173" s="90"/>
      <c r="ABO173" s="90"/>
      <c r="ABP173" s="90"/>
      <c r="ABQ173" s="90"/>
      <c r="ABR173" s="90"/>
      <c r="ABS173" s="90"/>
      <c r="ABT173" s="90"/>
      <c r="ABU173" s="90"/>
      <c r="ABV173" s="90"/>
      <c r="ABW173" s="90"/>
      <c r="ABX173" s="90"/>
      <c r="ABY173" s="90"/>
      <c r="ABZ173" s="90"/>
      <c r="ACA173" s="90"/>
      <c r="ACB173" s="90"/>
      <c r="ACC173" s="90"/>
      <c r="ACD173" s="90"/>
      <c r="ACE173" s="90"/>
      <c r="ACF173" s="90"/>
      <c r="ACG173" s="90"/>
      <c r="ACH173" s="90"/>
      <c r="ACI173" s="90"/>
      <c r="ACJ173" s="90"/>
      <c r="ACK173" s="90"/>
      <c r="ACL173" s="90"/>
      <c r="ACM173" s="90"/>
      <c r="ACN173" s="90"/>
      <c r="ACO173" s="90"/>
      <c r="ACP173" s="90"/>
      <c r="ACQ173" s="90"/>
      <c r="ACR173" s="90"/>
      <c r="ACS173" s="90"/>
      <c r="ACT173" s="90"/>
      <c r="ACU173" s="90"/>
      <c r="ACV173" s="90"/>
      <c r="ACW173" s="90"/>
      <c r="ACX173" s="90"/>
      <c r="ACY173" s="90"/>
      <c r="ACZ173" s="90"/>
      <c r="ADA173" s="90"/>
      <c r="ADB173" s="90"/>
      <c r="ADC173" s="90"/>
      <c r="ADD173" s="90"/>
      <c r="ADE173" s="90"/>
      <c r="ADF173" s="90"/>
      <c r="ADG173" s="90"/>
      <c r="ADH173" s="90"/>
      <c r="ADI173" s="90"/>
      <c r="ADJ173" s="90"/>
      <c r="ADK173" s="90"/>
      <c r="ADL173" s="90"/>
      <c r="ADM173" s="90"/>
      <c r="ADN173" s="90"/>
      <c r="ADO173" s="90"/>
      <c r="ADP173" s="90"/>
      <c r="ADQ173" s="90"/>
      <c r="ADR173" s="90"/>
      <c r="ADS173" s="90"/>
      <c r="ADT173" s="90"/>
      <c r="ADU173" s="90"/>
      <c r="ADV173" s="90"/>
      <c r="ADW173" s="90"/>
      <c r="ADX173" s="90"/>
      <c r="ADY173" s="90"/>
      <c r="ADZ173" s="90"/>
      <c r="AEA173" s="90"/>
      <c r="AEB173" s="90"/>
      <c r="AEC173" s="90"/>
      <c r="AED173" s="90"/>
      <c r="AEE173" s="90"/>
      <c r="AEF173" s="90"/>
      <c r="AEG173" s="90"/>
      <c r="AEH173" s="90"/>
      <c r="AEI173" s="90"/>
      <c r="AEJ173" s="90"/>
      <c r="AEK173" s="90"/>
      <c r="AEL173" s="90"/>
      <c r="AEM173" s="90"/>
      <c r="AEN173" s="90"/>
      <c r="AEO173" s="90"/>
      <c r="AEP173" s="90"/>
      <c r="AEQ173" s="90"/>
      <c r="AER173" s="90"/>
      <c r="AES173" s="90"/>
      <c r="AET173" s="90"/>
      <c r="AEU173" s="90"/>
      <c r="AEV173" s="90"/>
      <c r="AEW173" s="90"/>
      <c r="AEX173" s="90"/>
      <c r="AEY173" s="90"/>
      <c r="AEZ173" s="90"/>
      <c r="AFA173" s="90"/>
      <c r="AFB173" s="90"/>
      <c r="AFC173" s="90"/>
      <c r="AFD173" s="90"/>
      <c r="AFE173" s="90"/>
      <c r="AFF173" s="90"/>
      <c r="AFG173" s="90"/>
      <c r="AFH173" s="90"/>
      <c r="AFI173" s="90"/>
      <c r="AFJ173" s="90"/>
      <c r="AFK173" s="90"/>
      <c r="AFL173" s="90"/>
      <c r="AFM173" s="90"/>
      <c r="AFN173" s="90"/>
      <c r="AFO173" s="90"/>
      <c r="AFP173" s="90"/>
      <c r="AFQ173" s="90"/>
      <c r="AFR173" s="90"/>
      <c r="AFS173" s="90"/>
      <c r="AFT173" s="90"/>
      <c r="AFU173" s="90"/>
      <c r="AFV173" s="90"/>
      <c r="AFW173" s="90"/>
      <c r="AFX173" s="90"/>
      <c r="AFY173" s="90"/>
      <c r="AFZ173" s="90"/>
      <c r="AGA173" s="90"/>
      <c r="AGB173" s="90"/>
      <c r="AGC173" s="90"/>
      <c r="AGD173" s="90"/>
      <c r="AGE173" s="90"/>
      <c r="AGF173" s="90"/>
      <c r="AGG173" s="90"/>
      <c r="AGH173" s="90"/>
      <c r="AGI173" s="90"/>
      <c r="AGJ173" s="90"/>
      <c r="AGK173" s="90"/>
      <c r="AGL173" s="90"/>
      <c r="AGM173" s="90"/>
      <c r="AGN173" s="90"/>
      <c r="AGO173" s="90"/>
      <c r="AGP173" s="90"/>
      <c r="AGQ173" s="90"/>
      <c r="AGR173" s="90"/>
      <c r="AGS173" s="90"/>
      <c r="AGT173" s="90"/>
      <c r="AGU173" s="90"/>
      <c r="AGV173" s="90"/>
      <c r="AGW173" s="90"/>
      <c r="AGX173" s="90"/>
      <c r="AGY173" s="90"/>
      <c r="AGZ173" s="90"/>
      <c r="AHA173" s="90"/>
      <c r="AHB173" s="90"/>
      <c r="AHC173" s="90"/>
      <c r="AHD173" s="90"/>
      <c r="AHE173" s="90"/>
      <c r="AHF173" s="90"/>
      <c r="AHG173" s="90"/>
      <c r="AHH173" s="90"/>
      <c r="AHI173" s="90"/>
      <c r="AHJ173" s="90"/>
      <c r="AHK173" s="90"/>
      <c r="AHL173" s="90"/>
      <c r="AHM173" s="90"/>
      <c r="AHN173" s="90"/>
      <c r="AHO173" s="90"/>
      <c r="AHP173" s="90"/>
      <c r="AHQ173" s="90"/>
      <c r="AHR173" s="90"/>
      <c r="AHS173" s="90"/>
      <c r="AHT173" s="90"/>
      <c r="AHU173" s="90"/>
      <c r="AHV173" s="90"/>
      <c r="AHW173" s="90"/>
      <c r="AHX173" s="90"/>
      <c r="AHY173" s="90"/>
      <c r="AHZ173" s="90"/>
      <c r="AIA173" s="90"/>
      <c r="AIB173" s="90"/>
      <c r="AIC173" s="90"/>
      <c r="AID173" s="90"/>
      <c r="AIE173" s="90"/>
      <c r="AIF173" s="90"/>
      <c r="AIG173" s="90"/>
      <c r="AIH173" s="90"/>
      <c r="AII173" s="90"/>
      <c r="AIJ173" s="90"/>
      <c r="AIK173" s="90"/>
      <c r="AIL173" s="90"/>
      <c r="AIM173" s="90"/>
      <c r="AIN173" s="90"/>
      <c r="AIO173" s="90"/>
      <c r="AIP173" s="90"/>
      <c r="AIQ173" s="90"/>
      <c r="AIR173" s="90"/>
      <c r="AIS173" s="90"/>
      <c r="AIT173" s="90"/>
      <c r="AIU173" s="90"/>
      <c r="AIV173" s="90"/>
      <c r="AIW173" s="90"/>
      <c r="AIX173" s="90"/>
      <c r="AIY173" s="90"/>
      <c r="AIZ173" s="90"/>
      <c r="AJA173" s="90"/>
      <c r="AJB173" s="90"/>
      <c r="AJC173" s="90"/>
      <c r="AJD173" s="90"/>
      <c r="AJE173" s="90"/>
      <c r="AJF173" s="90"/>
      <c r="AJG173" s="90"/>
      <c r="AJH173" s="90"/>
      <c r="AJI173" s="90"/>
      <c r="AJJ173" s="90"/>
      <c r="AJK173" s="90"/>
      <c r="AJL173" s="90"/>
      <c r="AJM173" s="90"/>
      <c r="AJN173" s="90"/>
      <c r="AJO173" s="90"/>
      <c r="AJP173" s="90"/>
      <c r="AJQ173" s="90"/>
      <c r="AJR173" s="90"/>
      <c r="AJS173" s="90"/>
      <c r="AJT173" s="90"/>
      <c r="AJU173" s="90"/>
      <c r="AJV173" s="90"/>
      <c r="AJW173" s="90"/>
      <c r="AJX173" s="90"/>
      <c r="AJY173" s="90"/>
      <c r="AJZ173" s="90"/>
      <c r="AKA173" s="90"/>
      <c r="AKB173" s="90"/>
      <c r="AKC173" s="90"/>
      <c r="AKD173" s="90"/>
      <c r="AKE173" s="90"/>
      <c r="AKF173" s="90"/>
      <c r="AKG173" s="90"/>
      <c r="AKH173" s="90"/>
      <c r="AKI173" s="90"/>
      <c r="AKJ173" s="90"/>
      <c r="AKK173" s="90"/>
      <c r="AKL173" s="90"/>
      <c r="AKM173" s="90"/>
      <c r="AKN173" s="90"/>
      <c r="AKO173" s="90"/>
      <c r="AKP173" s="90"/>
      <c r="AKQ173" s="90"/>
      <c r="AKR173" s="90"/>
      <c r="AKS173" s="90"/>
      <c r="AKT173" s="90"/>
      <c r="AKU173" s="90"/>
      <c r="AKV173" s="90"/>
      <c r="AKW173" s="90"/>
      <c r="AKX173" s="90"/>
      <c r="AKY173" s="90"/>
      <c r="AKZ173" s="90"/>
      <c r="ALA173" s="90"/>
      <c r="ALB173" s="90"/>
      <c r="ALC173" s="90"/>
      <c r="ALD173" s="90"/>
      <c r="ALE173" s="90"/>
      <c r="ALF173" s="90"/>
      <c r="ALG173" s="90"/>
      <c r="ALH173" s="90"/>
      <c r="ALI173" s="90"/>
      <c r="ALJ173" s="90"/>
      <c r="ALK173" s="90"/>
      <c r="ALL173" s="90"/>
      <c r="ALM173" s="90"/>
      <c r="ALN173" s="90"/>
      <c r="ALO173" s="90"/>
      <c r="ALP173" s="90"/>
      <c r="ALQ173" s="90"/>
      <c r="ALR173" s="90"/>
      <c r="ALS173" s="90"/>
      <c r="ALT173" s="90"/>
      <c r="ALU173" s="90"/>
      <c r="ALV173" s="90"/>
      <c r="ALW173" s="90"/>
      <c r="ALX173" s="90"/>
      <c r="ALY173" s="90"/>
      <c r="ALZ173" s="90"/>
      <c r="AMA173" s="90"/>
      <c r="AMB173" s="90"/>
      <c r="AMC173" s="90"/>
    </row>
    <row r="174" spans="1:1017">
      <c r="A174" s="98" t="s">
        <v>49</v>
      </c>
      <c r="B174" s="90" t="str">
        <f t="shared" si="1324"/>
        <v>Kepiting  Bakau</v>
      </c>
      <c r="E174" s="98">
        <v>2000</v>
      </c>
      <c r="F174" s="98">
        <v>200000</v>
      </c>
      <c r="Q174" s="91">
        <f t="shared" si="1325"/>
        <v>2000</v>
      </c>
      <c r="R174" s="91">
        <f t="shared" si="1326"/>
        <v>200000</v>
      </c>
      <c r="U174" s="98">
        <v>3940</v>
      </c>
      <c r="V174" s="98">
        <v>236400</v>
      </c>
      <c r="AG174" s="91">
        <f t="shared" si="1327"/>
        <v>3940</v>
      </c>
      <c r="AH174" s="91">
        <f t="shared" si="1328"/>
        <v>236400</v>
      </c>
      <c r="AW174" s="91">
        <f t="shared" si="1329"/>
        <v>0</v>
      </c>
      <c r="AX174" s="91">
        <f t="shared" si="1330"/>
        <v>0</v>
      </c>
      <c r="BM174" s="91">
        <f t="shared" si="1331"/>
        <v>0</v>
      </c>
      <c r="BN174" s="91">
        <f t="shared" si="1332"/>
        <v>0</v>
      </c>
      <c r="CC174" s="91">
        <f t="shared" si="1333"/>
        <v>0</v>
      </c>
      <c r="CD174" s="91">
        <f t="shared" si="1334"/>
        <v>0</v>
      </c>
      <c r="CG174" s="98">
        <v>34507</v>
      </c>
      <c r="CH174" s="98">
        <v>1380296</v>
      </c>
      <c r="CS174" s="91">
        <f t="shared" si="1419"/>
        <v>34507</v>
      </c>
      <c r="CT174" s="91">
        <f t="shared" si="1420"/>
        <v>1380296</v>
      </c>
      <c r="DI174" s="91">
        <f t="shared" si="1337"/>
        <v>0</v>
      </c>
      <c r="DJ174" s="91">
        <f t="shared" si="1338"/>
        <v>0</v>
      </c>
      <c r="DY174" s="91">
        <f t="shared" si="1339"/>
        <v>0</v>
      </c>
      <c r="DZ174" s="91">
        <f t="shared" si="1340"/>
        <v>0</v>
      </c>
      <c r="EO174" s="91">
        <f t="shared" si="1341"/>
        <v>0</v>
      </c>
      <c r="EP174" s="91">
        <f t="shared" si="1342"/>
        <v>0</v>
      </c>
      <c r="FE174" s="91">
        <f t="shared" si="1343"/>
        <v>0</v>
      </c>
      <c r="FF174" s="91">
        <f t="shared" si="1344"/>
        <v>0</v>
      </c>
      <c r="FU174" s="91">
        <f t="shared" si="1345"/>
        <v>0</v>
      </c>
      <c r="FV174" s="91">
        <f t="shared" si="1346"/>
        <v>0</v>
      </c>
      <c r="GK174" s="91">
        <f t="shared" si="1347"/>
        <v>0</v>
      </c>
      <c r="GL174" s="91">
        <f t="shared" si="1348"/>
        <v>0</v>
      </c>
      <c r="HA174" s="91">
        <f t="shared" si="1349"/>
        <v>0</v>
      </c>
      <c r="HB174" s="91">
        <f t="shared" si="1350"/>
        <v>0</v>
      </c>
      <c r="HQ174" s="91">
        <f t="shared" si="1351"/>
        <v>0</v>
      </c>
      <c r="HR174" s="91">
        <f t="shared" si="1352"/>
        <v>0</v>
      </c>
      <c r="IG174" s="91">
        <f t="shared" si="1353"/>
        <v>0</v>
      </c>
      <c r="IH174" s="91">
        <f t="shared" si="1354"/>
        <v>0</v>
      </c>
      <c r="IW174" s="91">
        <f t="shared" si="1355"/>
        <v>0</v>
      </c>
      <c r="IX174" s="91">
        <f t="shared" si="1356"/>
        <v>0</v>
      </c>
      <c r="JM174" s="91">
        <f t="shared" si="1357"/>
        <v>0</v>
      </c>
      <c r="JN174" s="91">
        <f t="shared" si="1358"/>
        <v>0</v>
      </c>
      <c r="JQ174" s="98">
        <v>60</v>
      </c>
      <c r="JR174" s="98">
        <v>10800</v>
      </c>
      <c r="KC174" s="91">
        <f t="shared" si="1359"/>
        <v>60</v>
      </c>
      <c r="KD174" s="91">
        <f t="shared" si="1360"/>
        <v>10800</v>
      </c>
      <c r="KS174" s="91">
        <f t="shared" si="1361"/>
        <v>0</v>
      </c>
      <c r="KT174" s="91">
        <f t="shared" si="1362"/>
        <v>0</v>
      </c>
      <c r="LI174" s="91">
        <f t="shared" si="1363"/>
        <v>0</v>
      </c>
      <c r="LJ174" s="91">
        <f t="shared" si="1364"/>
        <v>0</v>
      </c>
      <c r="LY174" s="91">
        <f t="shared" si="1365"/>
        <v>0</v>
      </c>
      <c r="LZ174" s="91">
        <f t="shared" si="1366"/>
        <v>0</v>
      </c>
      <c r="MC174" s="98">
        <v>3000</v>
      </c>
      <c r="MD174" s="98">
        <v>300000</v>
      </c>
      <c r="MO174" s="91">
        <f t="shared" si="1367"/>
        <v>3000</v>
      </c>
      <c r="MP174" s="91">
        <f t="shared" si="1368"/>
        <v>300000</v>
      </c>
      <c r="NE174" s="91">
        <f t="shared" si="1369"/>
        <v>0</v>
      </c>
      <c r="NF174" s="91">
        <f t="shared" si="1370"/>
        <v>0</v>
      </c>
      <c r="NI174" s="98">
        <v>17500</v>
      </c>
      <c r="NJ174" s="98">
        <v>700000</v>
      </c>
      <c r="NU174" s="91">
        <f t="shared" si="1371"/>
        <v>17500</v>
      </c>
      <c r="NV174" s="91">
        <f t="shared" si="1372"/>
        <v>700000</v>
      </c>
      <c r="OK174" s="91">
        <f t="shared" si="1373"/>
        <v>0</v>
      </c>
      <c r="OL174" s="91">
        <f t="shared" si="1374"/>
        <v>0</v>
      </c>
      <c r="PA174" s="91">
        <f t="shared" si="1375"/>
        <v>0</v>
      </c>
      <c r="PB174" s="91">
        <f t="shared" si="1376"/>
        <v>0</v>
      </c>
      <c r="PQ174" s="91">
        <f t="shared" si="1377"/>
        <v>0</v>
      </c>
      <c r="PR174" s="91">
        <f t="shared" si="1378"/>
        <v>0</v>
      </c>
      <c r="QG174" s="91">
        <f t="shared" si="1379"/>
        <v>0</v>
      </c>
      <c r="QH174" s="91">
        <f t="shared" si="1380"/>
        <v>0</v>
      </c>
      <c r="QW174" s="91">
        <f t="shared" si="1381"/>
        <v>0</v>
      </c>
      <c r="QX174" s="91">
        <f t="shared" si="1382"/>
        <v>0</v>
      </c>
      <c r="RM174" s="91">
        <f t="shared" si="1383"/>
        <v>0</v>
      </c>
      <c r="RN174" s="91">
        <f t="shared" si="1384"/>
        <v>0</v>
      </c>
      <c r="SC174" s="91">
        <f t="shared" si="1385"/>
        <v>0</v>
      </c>
      <c r="SD174" s="91">
        <f t="shared" si="1386"/>
        <v>0</v>
      </c>
      <c r="SS174" s="91">
        <f t="shared" si="1387"/>
        <v>0</v>
      </c>
      <c r="ST174" s="91">
        <f t="shared" si="1388"/>
        <v>0</v>
      </c>
      <c r="TI174" s="91">
        <f t="shared" si="1389"/>
        <v>0</v>
      </c>
      <c r="TJ174" s="91">
        <f t="shared" si="1390"/>
        <v>0</v>
      </c>
      <c r="TY174" s="91">
        <f t="shared" si="1391"/>
        <v>0</v>
      </c>
      <c r="TZ174" s="91">
        <f t="shared" si="1392"/>
        <v>0</v>
      </c>
      <c r="UO174" s="91">
        <f t="shared" si="1393"/>
        <v>0</v>
      </c>
      <c r="UP174" s="91">
        <f t="shared" si="1394"/>
        <v>0</v>
      </c>
      <c r="VE174" s="91">
        <f t="shared" si="1395"/>
        <v>0</v>
      </c>
      <c r="VF174" s="91">
        <f t="shared" si="1396"/>
        <v>0</v>
      </c>
      <c r="VI174" s="98">
        <v>250</v>
      </c>
      <c r="VJ174" s="98">
        <v>15000</v>
      </c>
      <c r="VU174" s="91">
        <f t="shared" si="1397"/>
        <v>250</v>
      </c>
      <c r="VV174" s="91">
        <f t="shared" si="1398"/>
        <v>15000</v>
      </c>
      <c r="WK174" s="91">
        <f t="shared" si="1399"/>
        <v>0</v>
      </c>
      <c r="WL174" s="91">
        <f t="shared" si="1400"/>
        <v>0</v>
      </c>
      <c r="WM174" s="89"/>
      <c r="WN174" s="87">
        <f t="shared" si="1401"/>
        <v>0</v>
      </c>
      <c r="WO174" s="87">
        <f t="shared" si="1402"/>
        <v>0</v>
      </c>
      <c r="WP174" s="87">
        <f t="shared" si="1403"/>
        <v>61257</v>
      </c>
      <c r="WQ174" s="87">
        <f t="shared" si="1404"/>
        <v>2842496</v>
      </c>
      <c r="WR174" s="87">
        <f t="shared" si="1405"/>
        <v>0</v>
      </c>
      <c r="WS174" s="87">
        <f t="shared" si="1406"/>
        <v>0</v>
      </c>
      <c r="WT174" s="87">
        <f t="shared" si="1407"/>
        <v>0</v>
      </c>
      <c r="WU174" s="87">
        <f t="shared" si="1408"/>
        <v>0</v>
      </c>
      <c r="WV174" s="87">
        <f t="shared" si="1409"/>
        <v>0</v>
      </c>
      <c r="WW174" s="87">
        <f t="shared" si="1410"/>
        <v>0</v>
      </c>
      <c r="WX174" s="87">
        <f t="shared" si="1411"/>
        <v>0</v>
      </c>
      <c r="WY174" s="87">
        <f t="shared" si="1412"/>
        <v>0</v>
      </c>
      <c r="WZ174" s="87">
        <f t="shared" si="1413"/>
        <v>0</v>
      </c>
      <c r="XA174" s="87">
        <f t="shared" si="1414"/>
        <v>0</v>
      </c>
      <c r="XB174" s="92">
        <f t="shared" si="1415"/>
        <v>61257</v>
      </c>
      <c r="XC174" s="92">
        <f t="shared" si="1416"/>
        <v>2842496</v>
      </c>
      <c r="XD174" s="89"/>
      <c r="XE174" s="92"/>
      <c r="XF174" s="92"/>
      <c r="XG174" s="89"/>
      <c r="XH174" s="92"/>
      <c r="XI174" s="92"/>
      <c r="XJ174" s="89"/>
      <c r="XK174" s="87"/>
      <c r="XL174" s="87"/>
      <c r="XM174" s="87"/>
      <c r="XN174" s="87"/>
      <c r="XO174" s="87"/>
      <c r="XP174" s="87"/>
      <c r="XQ174" s="87"/>
      <c r="XR174" s="92">
        <f t="shared" ca="1" si="1417"/>
        <v>0</v>
      </c>
      <c r="XS174" s="89"/>
      <c r="XT174" s="87"/>
      <c r="XU174" s="87"/>
      <c r="XV174" s="87"/>
      <c r="XW174" s="87"/>
      <c r="XX174" s="87"/>
      <c r="XY174" s="87"/>
      <c r="XZ174" s="87"/>
      <c r="YA174" s="92">
        <f t="shared" ca="1" si="1418"/>
        <v>0</v>
      </c>
      <c r="YB174" s="90"/>
      <c r="YC174" s="90"/>
      <c r="YD174" s="90"/>
      <c r="YE174" s="90"/>
      <c r="YF174" s="90"/>
      <c r="YG174" s="90"/>
      <c r="YH174" s="90"/>
      <c r="YI174" s="90"/>
      <c r="YJ174" s="90"/>
      <c r="YK174" s="90"/>
      <c r="YL174" s="90"/>
      <c r="YM174" s="90"/>
      <c r="YN174" s="90"/>
      <c r="YO174" s="90"/>
      <c r="YP174" s="90"/>
      <c r="YQ174" s="90"/>
      <c r="YR174" s="90"/>
      <c r="YS174" s="90"/>
      <c r="YT174" s="90"/>
      <c r="YU174" s="90"/>
      <c r="YV174" s="90"/>
      <c r="YW174" s="90"/>
      <c r="YX174" s="90"/>
      <c r="YY174" s="90"/>
      <c r="YZ174" s="90"/>
      <c r="ZA174" s="90"/>
      <c r="ZB174" s="90"/>
      <c r="ZC174" s="90"/>
      <c r="ZD174" s="90"/>
      <c r="ZE174" s="90"/>
      <c r="ZF174" s="90"/>
      <c r="ZG174" s="90"/>
      <c r="ZH174" s="90"/>
      <c r="ZI174" s="90"/>
      <c r="ZJ174" s="90"/>
      <c r="ZK174" s="90"/>
      <c r="ZL174" s="90"/>
      <c r="ZM174" s="90"/>
      <c r="ZN174" s="90"/>
      <c r="ZO174" s="90"/>
      <c r="ZP174" s="90"/>
      <c r="ZQ174" s="90"/>
      <c r="ZR174" s="90"/>
      <c r="ZS174" s="90"/>
      <c r="ZT174" s="90"/>
      <c r="ZU174" s="90"/>
      <c r="ZV174" s="90"/>
      <c r="ZW174" s="90"/>
      <c r="ZX174" s="90"/>
      <c r="ZY174" s="90"/>
      <c r="ZZ174" s="90"/>
      <c r="AAA174" s="90"/>
      <c r="AAB174" s="90"/>
      <c r="AAC174" s="90"/>
      <c r="AAD174" s="90"/>
      <c r="AAE174" s="90"/>
      <c r="AAF174" s="90"/>
      <c r="AAG174" s="90"/>
      <c r="AAH174" s="90"/>
      <c r="AAI174" s="90"/>
      <c r="AAJ174" s="90"/>
      <c r="AAK174" s="90"/>
      <c r="AAL174" s="90"/>
      <c r="AAM174" s="90"/>
      <c r="AAN174" s="90"/>
      <c r="AAO174" s="90"/>
      <c r="AAP174" s="90"/>
      <c r="AAQ174" s="90"/>
      <c r="AAR174" s="90"/>
      <c r="AAS174" s="90"/>
      <c r="AAT174" s="90"/>
      <c r="AAU174" s="90"/>
      <c r="AAV174" s="90"/>
      <c r="AAW174" s="90"/>
      <c r="AAX174" s="90"/>
      <c r="AAY174" s="90"/>
      <c r="AAZ174" s="90"/>
      <c r="ABA174" s="90"/>
      <c r="ABB174" s="90"/>
      <c r="ABC174" s="90"/>
      <c r="ABD174" s="90"/>
      <c r="ABE174" s="90"/>
      <c r="ABF174" s="90"/>
      <c r="ABG174" s="90"/>
      <c r="ABH174" s="90"/>
      <c r="ABI174" s="90"/>
      <c r="ABJ174" s="90"/>
      <c r="ABK174" s="90"/>
      <c r="ABL174" s="90"/>
      <c r="ABM174" s="90"/>
      <c r="ABN174" s="90"/>
      <c r="ABO174" s="90"/>
      <c r="ABP174" s="90"/>
      <c r="ABQ174" s="90"/>
      <c r="ABR174" s="90"/>
      <c r="ABS174" s="90"/>
      <c r="ABT174" s="90"/>
      <c r="ABU174" s="90"/>
      <c r="ABV174" s="90"/>
      <c r="ABW174" s="90"/>
      <c r="ABX174" s="90"/>
      <c r="ABY174" s="90"/>
      <c r="ABZ174" s="90"/>
      <c r="ACA174" s="90"/>
      <c r="ACB174" s="90"/>
      <c r="ACC174" s="90"/>
      <c r="ACD174" s="90"/>
      <c r="ACE174" s="90"/>
      <c r="ACF174" s="90"/>
      <c r="ACG174" s="90"/>
      <c r="ACH174" s="90"/>
      <c r="ACI174" s="90"/>
      <c r="ACJ174" s="90"/>
      <c r="ACK174" s="90"/>
      <c r="ACL174" s="90"/>
      <c r="ACM174" s="90"/>
      <c r="ACN174" s="90"/>
      <c r="ACO174" s="90"/>
      <c r="ACP174" s="90"/>
      <c r="ACQ174" s="90"/>
      <c r="ACR174" s="90"/>
      <c r="ACS174" s="90"/>
      <c r="ACT174" s="90"/>
      <c r="ACU174" s="90"/>
      <c r="ACV174" s="90"/>
      <c r="ACW174" s="90"/>
      <c r="ACX174" s="90"/>
      <c r="ACY174" s="90"/>
      <c r="ACZ174" s="90"/>
      <c r="ADA174" s="90"/>
      <c r="ADB174" s="90"/>
      <c r="ADC174" s="90"/>
      <c r="ADD174" s="90"/>
      <c r="ADE174" s="90"/>
      <c r="ADF174" s="90"/>
      <c r="ADG174" s="90"/>
      <c r="ADH174" s="90"/>
      <c r="ADI174" s="90"/>
      <c r="ADJ174" s="90"/>
      <c r="ADK174" s="90"/>
      <c r="ADL174" s="90"/>
      <c r="ADM174" s="90"/>
      <c r="ADN174" s="90"/>
      <c r="ADO174" s="90"/>
      <c r="ADP174" s="90"/>
      <c r="ADQ174" s="90"/>
      <c r="ADR174" s="90"/>
      <c r="ADS174" s="90"/>
      <c r="ADT174" s="90"/>
      <c r="ADU174" s="90"/>
      <c r="ADV174" s="90"/>
      <c r="ADW174" s="90"/>
      <c r="ADX174" s="90"/>
      <c r="ADY174" s="90"/>
      <c r="ADZ174" s="90"/>
      <c r="AEA174" s="90"/>
      <c r="AEB174" s="90"/>
      <c r="AEC174" s="90"/>
      <c r="AED174" s="90"/>
      <c r="AEE174" s="90"/>
      <c r="AEF174" s="90"/>
      <c r="AEG174" s="90"/>
      <c r="AEH174" s="90"/>
      <c r="AEI174" s="90"/>
      <c r="AEJ174" s="90"/>
      <c r="AEK174" s="90"/>
      <c r="AEL174" s="90"/>
      <c r="AEM174" s="90"/>
      <c r="AEN174" s="90"/>
      <c r="AEO174" s="90"/>
      <c r="AEP174" s="90"/>
      <c r="AEQ174" s="90"/>
      <c r="AER174" s="90"/>
      <c r="AES174" s="90"/>
      <c r="AET174" s="90"/>
      <c r="AEU174" s="90"/>
      <c r="AEV174" s="90"/>
      <c r="AEW174" s="90"/>
      <c r="AEX174" s="90"/>
      <c r="AEY174" s="90"/>
      <c r="AEZ174" s="90"/>
      <c r="AFA174" s="90"/>
      <c r="AFB174" s="90"/>
      <c r="AFC174" s="90"/>
      <c r="AFD174" s="90"/>
      <c r="AFE174" s="90"/>
      <c r="AFF174" s="90"/>
      <c r="AFG174" s="90"/>
      <c r="AFH174" s="90"/>
      <c r="AFI174" s="90"/>
      <c r="AFJ174" s="90"/>
      <c r="AFK174" s="90"/>
      <c r="AFL174" s="90"/>
      <c r="AFM174" s="90"/>
      <c r="AFN174" s="90"/>
      <c r="AFO174" s="90"/>
      <c r="AFP174" s="90"/>
      <c r="AFQ174" s="90"/>
      <c r="AFR174" s="90"/>
      <c r="AFS174" s="90"/>
      <c r="AFT174" s="90"/>
      <c r="AFU174" s="90"/>
      <c r="AFV174" s="90"/>
      <c r="AFW174" s="90"/>
      <c r="AFX174" s="90"/>
      <c r="AFY174" s="90"/>
      <c r="AFZ174" s="90"/>
      <c r="AGA174" s="90"/>
      <c r="AGB174" s="90"/>
      <c r="AGC174" s="90"/>
      <c r="AGD174" s="90"/>
      <c r="AGE174" s="90"/>
      <c r="AGF174" s="90"/>
      <c r="AGG174" s="90"/>
      <c r="AGH174" s="90"/>
      <c r="AGI174" s="90"/>
      <c r="AGJ174" s="90"/>
      <c r="AGK174" s="90"/>
      <c r="AGL174" s="90"/>
      <c r="AGM174" s="90"/>
      <c r="AGN174" s="90"/>
      <c r="AGO174" s="90"/>
      <c r="AGP174" s="90"/>
      <c r="AGQ174" s="90"/>
      <c r="AGR174" s="90"/>
      <c r="AGS174" s="90"/>
      <c r="AGT174" s="90"/>
      <c r="AGU174" s="90"/>
      <c r="AGV174" s="90"/>
      <c r="AGW174" s="90"/>
      <c r="AGX174" s="90"/>
      <c r="AGY174" s="90"/>
      <c r="AGZ174" s="90"/>
      <c r="AHA174" s="90"/>
      <c r="AHB174" s="90"/>
      <c r="AHC174" s="90"/>
      <c r="AHD174" s="90"/>
      <c r="AHE174" s="90"/>
      <c r="AHF174" s="90"/>
      <c r="AHG174" s="90"/>
      <c r="AHH174" s="90"/>
      <c r="AHI174" s="90"/>
      <c r="AHJ174" s="90"/>
      <c r="AHK174" s="90"/>
      <c r="AHL174" s="90"/>
      <c r="AHM174" s="90"/>
      <c r="AHN174" s="90"/>
      <c r="AHO174" s="90"/>
      <c r="AHP174" s="90"/>
      <c r="AHQ174" s="90"/>
      <c r="AHR174" s="90"/>
      <c r="AHS174" s="90"/>
      <c r="AHT174" s="90"/>
      <c r="AHU174" s="90"/>
      <c r="AHV174" s="90"/>
      <c r="AHW174" s="90"/>
      <c r="AHX174" s="90"/>
      <c r="AHY174" s="90"/>
      <c r="AHZ174" s="90"/>
      <c r="AIA174" s="90"/>
      <c r="AIB174" s="90"/>
      <c r="AIC174" s="90"/>
      <c r="AID174" s="90"/>
      <c r="AIE174" s="90"/>
      <c r="AIF174" s="90"/>
      <c r="AIG174" s="90"/>
      <c r="AIH174" s="90"/>
      <c r="AII174" s="90"/>
      <c r="AIJ174" s="90"/>
      <c r="AIK174" s="90"/>
      <c r="AIL174" s="90"/>
      <c r="AIM174" s="90"/>
      <c r="AIN174" s="90"/>
      <c r="AIO174" s="90"/>
      <c r="AIP174" s="90"/>
      <c r="AIQ174" s="90"/>
      <c r="AIR174" s="90"/>
      <c r="AIS174" s="90"/>
      <c r="AIT174" s="90"/>
      <c r="AIU174" s="90"/>
      <c r="AIV174" s="90"/>
      <c r="AIW174" s="90"/>
      <c r="AIX174" s="90"/>
      <c r="AIY174" s="90"/>
      <c r="AIZ174" s="90"/>
      <c r="AJA174" s="90"/>
      <c r="AJB174" s="90"/>
      <c r="AJC174" s="90"/>
      <c r="AJD174" s="90"/>
      <c r="AJE174" s="90"/>
      <c r="AJF174" s="90"/>
      <c r="AJG174" s="90"/>
      <c r="AJH174" s="90"/>
      <c r="AJI174" s="90"/>
      <c r="AJJ174" s="90"/>
      <c r="AJK174" s="90"/>
      <c r="AJL174" s="90"/>
      <c r="AJM174" s="90"/>
      <c r="AJN174" s="90"/>
      <c r="AJO174" s="90"/>
      <c r="AJP174" s="90"/>
      <c r="AJQ174" s="90"/>
      <c r="AJR174" s="90"/>
      <c r="AJS174" s="90"/>
      <c r="AJT174" s="90"/>
      <c r="AJU174" s="90"/>
      <c r="AJV174" s="90"/>
      <c r="AJW174" s="90"/>
      <c r="AJX174" s="90"/>
      <c r="AJY174" s="90"/>
      <c r="AJZ174" s="90"/>
      <c r="AKA174" s="90"/>
      <c r="AKB174" s="90"/>
      <c r="AKC174" s="90"/>
      <c r="AKD174" s="90"/>
      <c r="AKE174" s="90"/>
      <c r="AKF174" s="90"/>
      <c r="AKG174" s="90"/>
      <c r="AKH174" s="90"/>
      <c r="AKI174" s="90"/>
      <c r="AKJ174" s="90"/>
      <c r="AKK174" s="90"/>
      <c r="AKL174" s="90"/>
      <c r="AKM174" s="90"/>
      <c r="AKN174" s="90"/>
      <c r="AKO174" s="90"/>
      <c r="AKP174" s="90"/>
      <c r="AKQ174" s="90"/>
      <c r="AKR174" s="90"/>
      <c r="AKS174" s="90"/>
      <c r="AKT174" s="90"/>
      <c r="AKU174" s="90"/>
      <c r="AKV174" s="90"/>
      <c r="AKW174" s="90"/>
      <c r="AKX174" s="90"/>
      <c r="AKY174" s="90"/>
      <c r="AKZ174" s="90"/>
      <c r="ALA174" s="90"/>
      <c r="ALB174" s="90"/>
      <c r="ALC174" s="90"/>
      <c r="ALD174" s="90"/>
      <c r="ALE174" s="90"/>
      <c r="ALF174" s="90"/>
      <c r="ALG174" s="90"/>
      <c r="ALH174" s="90"/>
      <c r="ALI174" s="90"/>
      <c r="ALJ174" s="90"/>
      <c r="ALK174" s="90"/>
      <c r="ALL174" s="90"/>
      <c r="ALM174" s="90"/>
      <c r="ALN174" s="90"/>
      <c r="ALO174" s="90"/>
      <c r="ALP174" s="90"/>
      <c r="ALQ174" s="90"/>
      <c r="ALR174" s="90"/>
      <c r="ALS174" s="90"/>
      <c r="ALT174" s="90"/>
      <c r="ALU174" s="90"/>
      <c r="ALV174" s="90"/>
      <c r="ALW174" s="90"/>
      <c r="ALX174" s="90"/>
      <c r="ALY174" s="90"/>
      <c r="ALZ174" s="90"/>
      <c r="AMA174" s="90"/>
      <c r="AMB174" s="90"/>
      <c r="AMC174" s="90"/>
    </row>
    <row r="175" spans="1:1017">
      <c r="A175" s="98" t="s">
        <v>49</v>
      </c>
      <c r="B175" s="90" t="str">
        <f t="shared" si="1324"/>
        <v xml:space="preserve">Kerang Hijau </v>
      </c>
      <c r="Q175" s="91">
        <f t="shared" si="1325"/>
        <v>0</v>
      </c>
      <c r="R175" s="91">
        <f t="shared" si="1326"/>
        <v>0</v>
      </c>
      <c r="AG175" s="91">
        <f t="shared" si="1327"/>
        <v>0</v>
      </c>
      <c r="AH175" s="91">
        <f t="shared" si="1328"/>
        <v>0</v>
      </c>
      <c r="AW175" s="91">
        <f t="shared" si="1329"/>
        <v>0</v>
      </c>
      <c r="AX175" s="91">
        <f t="shared" si="1330"/>
        <v>0</v>
      </c>
      <c r="BM175" s="91">
        <f t="shared" si="1331"/>
        <v>0</v>
      </c>
      <c r="BN175" s="91">
        <f t="shared" si="1332"/>
        <v>0</v>
      </c>
      <c r="CC175" s="91">
        <f t="shared" si="1333"/>
        <v>0</v>
      </c>
      <c r="CD175" s="91">
        <f t="shared" si="1334"/>
        <v>0</v>
      </c>
      <c r="CE175" s="98">
        <v>532414</v>
      </c>
      <c r="CF175" s="98">
        <v>2662069</v>
      </c>
      <c r="CS175" s="91">
        <f t="shared" si="1419"/>
        <v>532414</v>
      </c>
      <c r="CT175" s="91">
        <f t="shared" si="1420"/>
        <v>2662069</v>
      </c>
      <c r="DI175" s="91">
        <f t="shared" si="1337"/>
        <v>0</v>
      </c>
      <c r="DJ175" s="91">
        <f t="shared" si="1338"/>
        <v>0</v>
      </c>
      <c r="DY175" s="91">
        <f t="shared" si="1339"/>
        <v>0</v>
      </c>
      <c r="DZ175" s="91">
        <f t="shared" si="1340"/>
        <v>0</v>
      </c>
      <c r="EO175" s="91">
        <f t="shared" si="1341"/>
        <v>0</v>
      </c>
      <c r="EP175" s="91">
        <f t="shared" si="1342"/>
        <v>0</v>
      </c>
      <c r="FE175" s="91">
        <f t="shared" si="1343"/>
        <v>0</v>
      </c>
      <c r="FF175" s="91">
        <f t="shared" si="1344"/>
        <v>0</v>
      </c>
      <c r="FU175" s="91">
        <f t="shared" si="1345"/>
        <v>0</v>
      </c>
      <c r="FV175" s="91">
        <f t="shared" si="1346"/>
        <v>0</v>
      </c>
      <c r="GK175" s="91">
        <f t="shared" si="1347"/>
        <v>0</v>
      </c>
      <c r="GL175" s="91">
        <f t="shared" si="1348"/>
        <v>0</v>
      </c>
      <c r="HA175" s="91">
        <f t="shared" si="1349"/>
        <v>0</v>
      </c>
      <c r="HB175" s="91">
        <f t="shared" si="1350"/>
        <v>0</v>
      </c>
      <c r="HQ175" s="91">
        <f t="shared" si="1351"/>
        <v>0</v>
      </c>
      <c r="HR175" s="91">
        <f t="shared" si="1352"/>
        <v>0</v>
      </c>
      <c r="IG175" s="91">
        <f t="shared" si="1353"/>
        <v>0</v>
      </c>
      <c r="IH175" s="91">
        <f t="shared" si="1354"/>
        <v>0</v>
      </c>
      <c r="IW175" s="91">
        <f t="shared" si="1355"/>
        <v>0</v>
      </c>
      <c r="IX175" s="91">
        <f t="shared" si="1356"/>
        <v>0</v>
      </c>
      <c r="JM175" s="91">
        <f t="shared" si="1357"/>
        <v>0</v>
      </c>
      <c r="JN175" s="91">
        <f t="shared" si="1358"/>
        <v>0</v>
      </c>
      <c r="KC175" s="91">
        <f t="shared" si="1359"/>
        <v>0</v>
      </c>
      <c r="KD175" s="91">
        <f t="shared" si="1360"/>
        <v>0</v>
      </c>
      <c r="KS175" s="91">
        <f t="shared" si="1361"/>
        <v>0</v>
      </c>
      <c r="KT175" s="91">
        <f t="shared" si="1362"/>
        <v>0</v>
      </c>
      <c r="LI175" s="91">
        <f t="shared" si="1363"/>
        <v>0</v>
      </c>
      <c r="LJ175" s="91">
        <f t="shared" si="1364"/>
        <v>0</v>
      </c>
      <c r="LY175" s="91">
        <f t="shared" si="1365"/>
        <v>0</v>
      </c>
      <c r="LZ175" s="91">
        <f t="shared" si="1366"/>
        <v>0</v>
      </c>
      <c r="MO175" s="91">
        <f t="shared" si="1367"/>
        <v>0</v>
      </c>
      <c r="MP175" s="91">
        <f t="shared" si="1368"/>
        <v>0</v>
      </c>
      <c r="NE175" s="91">
        <f t="shared" si="1369"/>
        <v>0</v>
      </c>
      <c r="NF175" s="91">
        <f t="shared" si="1370"/>
        <v>0</v>
      </c>
      <c r="NU175" s="91">
        <f t="shared" si="1371"/>
        <v>0</v>
      </c>
      <c r="NV175" s="91">
        <f t="shared" si="1372"/>
        <v>0</v>
      </c>
      <c r="OK175" s="91">
        <f t="shared" si="1373"/>
        <v>0</v>
      </c>
      <c r="OL175" s="91">
        <f t="shared" si="1374"/>
        <v>0</v>
      </c>
      <c r="PA175" s="91">
        <f t="shared" si="1375"/>
        <v>0</v>
      </c>
      <c r="PB175" s="91">
        <f t="shared" si="1376"/>
        <v>0</v>
      </c>
      <c r="PQ175" s="91">
        <f t="shared" si="1377"/>
        <v>0</v>
      </c>
      <c r="PR175" s="91">
        <f t="shared" si="1378"/>
        <v>0</v>
      </c>
      <c r="QG175" s="91">
        <f t="shared" si="1379"/>
        <v>0</v>
      </c>
      <c r="QH175" s="91">
        <f t="shared" si="1380"/>
        <v>0</v>
      </c>
      <c r="QW175" s="91">
        <f t="shared" si="1381"/>
        <v>0</v>
      </c>
      <c r="QX175" s="91">
        <f t="shared" si="1382"/>
        <v>0</v>
      </c>
      <c r="RM175" s="91">
        <f t="shared" si="1383"/>
        <v>0</v>
      </c>
      <c r="RN175" s="91">
        <f t="shared" si="1384"/>
        <v>0</v>
      </c>
      <c r="SC175" s="91">
        <f t="shared" si="1385"/>
        <v>0</v>
      </c>
      <c r="SD175" s="91">
        <f t="shared" si="1386"/>
        <v>0</v>
      </c>
      <c r="SS175" s="91">
        <f t="shared" si="1387"/>
        <v>0</v>
      </c>
      <c r="ST175" s="91">
        <f t="shared" si="1388"/>
        <v>0</v>
      </c>
      <c r="TI175" s="91">
        <f t="shared" si="1389"/>
        <v>0</v>
      </c>
      <c r="TJ175" s="91">
        <f t="shared" si="1390"/>
        <v>0</v>
      </c>
      <c r="TY175" s="91">
        <f t="shared" si="1391"/>
        <v>0</v>
      </c>
      <c r="TZ175" s="91">
        <f t="shared" si="1392"/>
        <v>0</v>
      </c>
      <c r="UO175" s="91">
        <f t="shared" si="1393"/>
        <v>0</v>
      </c>
      <c r="UP175" s="91">
        <f t="shared" si="1394"/>
        <v>0</v>
      </c>
      <c r="VE175" s="91">
        <f t="shared" si="1395"/>
        <v>0</v>
      </c>
      <c r="VF175" s="91">
        <f t="shared" si="1396"/>
        <v>0</v>
      </c>
      <c r="VU175" s="91">
        <f t="shared" si="1397"/>
        <v>0</v>
      </c>
      <c r="VV175" s="91">
        <f t="shared" si="1398"/>
        <v>0</v>
      </c>
      <c r="WK175" s="91">
        <f t="shared" si="1399"/>
        <v>0</v>
      </c>
      <c r="WL175" s="91">
        <f t="shared" si="1400"/>
        <v>0</v>
      </c>
      <c r="WM175" s="89"/>
      <c r="WN175" s="87">
        <f t="shared" si="1401"/>
        <v>532414</v>
      </c>
      <c r="WO175" s="87">
        <f t="shared" si="1402"/>
        <v>2662069</v>
      </c>
      <c r="WP175" s="87">
        <f t="shared" si="1403"/>
        <v>0</v>
      </c>
      <c r="WQ175" s="87">
        <f t="shared" si="1404"/>
        <v>0</v>
      </c>
      <c r="WR175" s="87">
        <f t="shared" si="1405"/>
        <v>0</v>
      </c>
      <c r="WS175" s="87">
        <f t="shared" si="1406"/>
        <v>0</v>
      </c>
      <c r="WT175" s="87">
        <f t="shared" si="1407"/>
        <v>0</v>
      </c>
      <c r="WU175" s="87">
        <f t="shared" si="1408"/>
        <v>0</v>
      </c>
      <c r="WV175" s="87">
        <f t="shared" si="1409"/>
        <v>0</v>
      </c>
      <c r="WW175" s="87">
        <f t="shared" si="1410"/>
        <v>0</v>
      </c>
      <c r="WX175" s="87">
        <f t="shared" si="1411"/>
        <v>0</v>
      </c>
      <c r="WY175" s="87">
        <f t="shared" si="1412"/>
        <v>0</v>
      </c>
      <c r="WZ175" s="87">
        <f t="shared" si="1413"/>
        <v>0</v>
      </c>
      <c r="XA175" s="87">
        <f t="shared" si="1414"/>
        <v>0</v>
      </c>
      <c r="XB175" s="92">
        <f t="shared" si="1415"/>
        <v>532414</v>
      </c>
      <c r="XC175" s="92">
        <f t="shared" si="1416"/>
        <v>2662069</v>
      </c>
      <c r="XD175" s="89"/>
      <c r="XE175" s="92"/>
      <c r="XF175" s="92"/>
      <c r="XG175" s="89"/>
      <c r="XH175" s="92"/>
      <c r="XI175" s="92"/>
      <c r="XJ175" s="89"/>
      <c r="XK175" s="87"/>
      <c r="XL175" s="87"/>
      <c r="XM175" s="87"/>
      <c r="XN175" s="87"/>
      <c r="XO175" s="87"/>
      <c r="XP175" s="87"/>
      <c r="XQ175" s="87"/>
      <c r="XR175" s="92">
        <f t="shared" ca="1" si="1417"/>
        <v>0</v>
      </c>
      <c r="XS175" s="89"/>
      <c r="XT175" s="87"/>
      <c r="XU175" s="87"/>
      <c r="XV175" s="87"/>
      <c r="XW175" s="87"/>
      <c r="XX175" s="87"/>
      <c r="XY175" s="87"/>
      <c r="XZ175" s="87"/>
      <c r="YA175" s="92">
        <f t="shared" ca="1" si="1418"/>
        <v>0</v>
      </c>
      <c r="YB175" s="90"/>
      <c r="YC175" s="90"/>
      <c r="YD175" s="90"/>
      <c r="YE175" s="90"/>
      <c r="YF175" s="90"/>
      <c r="YG175" s="90"/>
      <c r="YH175" s="90"/>
      <c r="YI175" s="90"/>
      <c r="YJ175" s="90"/>
      <c r="YK175" s="90"/>
      <c r="YL175" s="90"/>
      <c r="YM175" s="90"/>
      <c r="YN175" s="90"/>
      <c r="YO175" s="90"/>
      <c r="YP175" s="90"/>
      <c r="YQ175" s="90"/>
      <c r="YR175" s="90"/>
      <c r="YS175" s="90"/>
      <c r="YT175" s="90"/>
      <c r="YU175" s="90"/>
      <c r="YV175" s="90"/>
      <c r="YW175" s="90"/>
      <c r="YX175" s="90"/>
      <c r="YY175" s="90"/>
      <c r="YZ175" s="90"/>
      <c r="ZA175" s="90"/>
      <c r="ZB175" s="90"/>
      <c r="ZC175" s="90"/>
      <c r="ZD175" s="90"/>
      <c r="ZE175" s="90"/>
      <c r="ZF175" s="90"/>
      <c r="ZG175" s="90"/>
      <c r="ZH175" s="90"/>
      <c r="ZI175" s="90"/>
      <c r="ZJ175" s="90"/>
      <c r="ZK175" s="90"/>
      <c r="ZL175" s="90"/>
      <c r="ZM175" s="90"/>
      <c r="ZN175" s="90"/>
      <c r="ZO175" s="90"/>
      <c r="ZP175" s="90"/>
      <c r="ZQ175" s="90"/>
      <c r="ZR175" s="90"/>
      <c r="ZS175" s="90"/>
      <c r="ZT175" s="90"/>
      <c r="ZU175" s="90"/>
      <c r="ZV175" s="90"/>
      <c r="ZW175" s="90"/>
      <c r="ZX175" s="90"/>
      <c r="ZY175" s="90"/>
      <c r="ZZ175" s="90"/>
      <c r="AAA175" s="90"/>
      <c r="AAB175" s="90"/>
      <c r="AAC175" s="90"/>
      <c r="AAD175" s="90"/>
      <c r="AAE175" s="90"/>
      <c r="AAF175" s="90"/>
      <c r="AAG175" s="90"/>
      <c r="AAH175" s="90"/>
      <c r="AAI175" s="90"/>
      <c r="AAJ175" s="90"/>
      <c r="AAK175" s="90"/>
      <c r="AAL175" s="90"/>
      <c r="AAM175" s="90"/>
      <c r="AAN175" s="90"/>
      <c r="AAO175" s="90"/>
      <c r="AAP175" s="90"/>
      <c r="AAQ175" s="90"/>
      <c r="AAR175" s="90"/>
      <c r="AAS175" s="90"/>
      <c r="AAT175" s="90"/>
      <c r="AAU175" s="90"/>
      <c r="AAV175" s="90"/>
      <c r="AAW175" s="90"/>
      <c r="AAX175" s="90"/>
      <c r="AAY175" s="90"/>
      <c r="AAZ175" s="90"/>
      <c r="ABA175" s="90"/>
      <c r="ABB175" s="90"/>
      <c r="ABC175" s="90"/>
      <c r="ABD175" s="90"/>
      <c r="ABE175" s="90"/>
      <c r="ABF175" s="90"/>
      <c r="ABG175" s="90"/>
      <c r="ABH175" s="90"/>
      <c r="ABI175" s="90"/>
      <c r="ABJ175" s="90"/>
      <c r="ABK175" s="90"/>
      <c r="ABL175" s="90"/>
      <c r="ABM175" s="90"/>
      <c r="ABN175" s="90"/>
      <c r="ABO175" s="90"/>
      <c r="ABP175" s="90"/>
      <c r="ABQ175" s="90"/>
      <c r="ABR175" s="90"/>
      <c r="ABS175" s="90"/>
      <c r="ABT175" s="90"/>
      <c r="ABU175" s="90"/>
      <c r="ABV175" s="90"/>
      <c r="ABW175" s="90"/>
      <c r="ABX175" s="90"/>
      <c r="ABY175" s="90"/>
      <c r="ABZ175" s="90"/>
      <c r="ACA175" s="90"/>
      <c r="ACB175" s="90"/>
      <c r="ACC175" s="90"/>
      <c r="ACD175" s="90"/>
      <c r="ACE175" s="90"/>
      <c r="ACF175" s="90"/>
      <c r="ACG175" s="90"/>
      <c r="ACH175" s="90"/>
      <c r="ACI175" s="90"/>
      <c r="ACJ175" s="90"/>
      <c r="ACK175" s="90"/>
      <c r="ACL175" s="90"/>
      <c r="ACM175" s="90"/>
      <c r="ACN175" s="90"/>
      <c r="ACO175" s="90"/>
      <c r="ACP175" s="90"/>
      <c r="ACQ175" s="90"/>
      <c r="ACR175" s="90"/>
      <c r="ACS175" s="90"/>
      <c r="ACT175" s="90"/>
      <c r="ACU175" s="90"/>
      <c r="ACV175" s="90"/>
      <c r="ACW175" s="90"/>
      <c r="ACX175" s="90"/>
      <c r="ACY175" s="90"/>
      <c r="ACZ175" s="90"/>
      <c r="ADA175" s="90"/>
      <c r="ADB175" s="90"/>
      <c r="ADC175" s="90"/>
      <c r="ADD175" s="90"/>
      <c r="ADE175" s="90"/>
      <c r="ADF175" s="90"/>
      <c r="ADG175" s="90"/>
      <c r="ADH175" s="90"/>
      <c r="ADI175" s="90"/>
      <c r="ADJ175" s="90"/>
      <c r="ADK175" s="90"/>
      <c r="ADL175" s="90"/>
      <c r="ADM175" s="90"/>
      <c r="ADN175" s="90"/>
      <c r="ADO175" s="90"/>
      <c r="ADP175" s="90"/>
      <c r="ADQ175" s="90"/>
      <c r="ADR175" s="90"/>
      <c r="ADS175" s="90"/>
      <c r="ADT175" s="90"/>
      <c r="ADU175" s="90"/>
      <c r="ADV175" s="90"/>
      <c r="ADW175" s="90"/>
      <c r="ADX175" s="90"/>
      <c r="ADY175" s="90"/>
      <c r="ADZ175" s="90"/>
      <c r="AEA175" s="90"/>
      <c r="AEB175" s="90"/>
      <c r="AEC175" s="90"/>
      <c r="AED175" s="90"/>
      <c r="AEE175" s="90"/>
      <c r="AEF175" s="90"/>
      <c r="AEG175" s="90"/>
      <c r="AEH175" s="90"/>
      <c r="AEI175" s="90"/>
      <c r="AEJ175" s="90"/>
      <c r="AEK175" s="90"/>
      <c r="AEL175" s="90"/>
      <c r="AEM175" s="90"/>
      <c r="AEN175" s="90"/>
      <c r="AEO175" s="90"/>
      <c r="AEP175" s="90"/>
      <c r="AEQ175" s="90"/>
      <c r="AER175" s="90"/>
      <c r="AES175" s="90"/>
      <c r="AET175" s="90"/>
      <c r="AEU175" s="90"/>
      <c r="AEV175" s="90"/>
      <c r="AEW175" s="90"/>
      <c r="AEX175" s="90"/>
      <c r="AEY175" s="90"/>
      <c r="AEZ175" s="90"/>
      <c r="AFA175" s="90"/>
      <c r="AFB175" s="90"/>
      <c r="AFC175" s="90"/>
      <c r="AFD175" s="90"/>
      <c r="AFE175" s="90"/>
      <c r="AFF175" s="90"/>
      <c r="AFG175" s="90"/>
      <c r="AFH175" s="90"/>
      <c r="AFI175" s="90"/>
      <c r="AFJ175" s="90"/>
      <c r="AFK175" s="90"/>
      <c r="AFL175" s="90"/>
      <c r="AFM175" s="90"/>
      <c r="AFN175" s="90"/>
      <c r="AFO175" s="90"/>
      <c r="AFP175" s="90"/>
      <c r="AFQ175" s="90"/>
      <c r="AFR175" s="90"/>
      <c r="AFS175" s="90"/>
      <c r="AFT175" s="90"/>
      <c r="AFU175" s="90"/>
      <c r="AFV175" s="90"/>
      <c r="AFW175" s="90"/>
      <c r="AFX175" s="90"/>
      <c r="AFY175" s="90"/>
      <c r="AFZ175" s="90"/>
      <c r="AGA175" s="90"/>
      <c r="AGB175" s="90"/>
      <c r="AGC175" s="90"/>
      <c r="AGD175" s="90"/>
      <c r="AGE175" s="90"/>
      <c r="AGF175" s="90"/>
      <c r="AGG175" s="90"/>
      <c r="AGH175" s="90"/>
      <c r="AGI175" s="90"/>
      <c r="AGJ175" s="90"/>
      <c r="AGK175" s="90"/>
      <c r="AGL175" s="90"/>
      <c r="AGM175" s="90"/>
      <c r="AGN175" s="90"/>
      <c r="AGO175" s="90"/>
      <c r="AGP175" s="90"/>
      <c r="AGQ175" s="90"/>
      <c r="AGR175" s="90"/>
      <c r="AGS175" s="90"/>
      <c r="AGT175" s="90"/>
      <c r="AGU175" s="90"/>
      <c r="AGV175" s="90"/>
      <c r="AGW175" s="90"/>
      <c r="AGX175" s="90"/>
      <c r="AGY175" s="90"/>
      <c r="AGZ175" s="90"/>
      <c r="AHA175" s="90"/>
      <c r="AHB175" s="90"/>
      <c r="AHC175" s="90"/>
      <c r="AHD175" s="90"/>
      <c r="AHE175" s="90"/>
      <c r="AHF175" s="90"/>
      <c r="AHG175" s="90"/>
      <c r="AHH175" s="90"/>
      <c r="AHI175" s="90"/>
      <c r="AHJ175" s="90"/>
      <c r="AHK175" s="90"/>
      <c r="AHL175" s="90"/>
      <c r="AHM175" s="90"/>
      <c r="AHN175" s="90"/>
      <c r="AHO175" s="90"/>
      <c r="AHP175" s="90"/>
      <c r="AHQ175" s="90"/>
      <c r="AHR175" s="90"/>
      <c r="AHS175" s="90"/>
      <c r="AHT175" s="90"/>
      <c r="AHU175" s="90"/>
      <c r="AHV175" s="90"/>
      <c r="AHW175" s="90"/>
      <c r="AHX175" s="90"/>
      <c r="AHY175" s="90"/>
      <c r="AHZ175" s="90"/>
      <c r="AIA175" s="90"/>
      <c r="AIB175" s="90"/>
      <c r="AIC175" s="90"/>
      <c r="AID175" s="90"/>
      <c r="AIE175" s="90"/>
      <c r="AIF175" s="90"/>
      <c r="AIG175" s="90"/>
      <c r="AIH175" s="90"/>
      <c r="AII175" s="90"/>
      <c r="AIJ175" s="90"/>
      <c r="AIK175" s="90"/>
      <c r="AIL175" s="90"/>
      <c r="AIM175" s="90"/>
      <c r="AIN175" s="90"/>
      <c r="AIO175" s="90"/>
      <c r="AIP175" s="90"/>
      <c r="AIQ175" s="90"/>
      <c r="AIR175" s="90"/>
      <c r="AIS175" s="90"/>
      <c r="AIT175" s="90"/>
      <c r="AIU175" s="90"/>
      <c r="AIV175" s="90"/>
      <c r="AIW175" s="90"/>
      <c r="AIX175" s="90"/>
      <c r="AIY175" s="90"/>
      <c r="AIZ175" s="90"/>
      <c r="AJA175" s="90"/>
      <c r="AJB175" s="90"/>
      <c r="AJC175" s="90"/>
      <c r="AJD175" s="90"/>
      <c r="AJE175" s="90"/>
      <c r="AJF175" s="90"/>
      <c r="AJG175" s="90"/>
      <c r="AJH175" s="90"/>
      <c r="AJI175" s="90"/>
      <c r="AJJ175" s="90"/>
      <c r="AJK175" s="90"/>
      <c r="AJL175" s="90"/>
      <c r="AJM175" s="90"/>
      <c r="AJN175" s="90"/>
      <c r="AJO175" s="90"/>
      <c r="AJP175" s="90"/>
      <c r="AJQ175" s="90"/>
      <c r="AJR175" s="90"/>
      <c r="AJS175" s="90"/>
      <c r="AJT175" s="90"/>
      <c r="AJU175" s="90"/>
      <c r="AJV175" s="90"/>
      <c r="AJW175" s="90"/>
      <c r="AJX175" s="90"/>
      <c r="AJY175" s="90"/>
      <c r="AJZ175" s="90"/>
      <c r="AKA175" s="90"/>
      <c r="AKB175" s="90"/>
      <c r="AKC175" s="90"/>
      <c r="AKD175" s="90"/>
      <c r="AKE175" s="90"/>
      <c r="AKF175" s="90"/>
      <c r="AKG175" s="90"/>
      <c r="AKH175" s="90"/>
      <c r="AKI175" s="90"/>
      <c r="AKJ175" s="90"/>
      <c r="AKK175" s="90"/>
      <c r="AKL175" s="90"/>
      <c r="AKM175" s="90"/>
      <c r="AKN175" s="90"/>
      <c r="AKO175" s="90"/>
      <c r="AKP175" s="90"/>
      <c r="AKQ175" s="90"/>
      <c r="AKR175" s="90"/>
      <c r="AKS175" s="90"/>
      <c r="AKT175" s="90"/>
      <c r="AKU175" s="90"/>
      <c r="AKV175" s="90"/>
      <c r="AKW175" s="90"/>
      <c r="AKX175" s="90"/>
      <c r="AKY175" s="90"/>
      <c r="AKZ175" s="90"/>
      <c r="ALA175" s="90"/>
      <c r="ALB175" s="90"/>
      <c r="ALC175" s="90"/>
      <c r="ALD175" s="90"/>
      <c r="ALE175" s="90"/>
      <c r="ALF175" s="90"/>
      <c r="ALG175" s="90"/>
      <c r="ALH175" s="90"/>
      <c r="ALI175" s="90"/>
      <c r="ALJ175" s="90"/>
      <c r="ALK175" s="90"/>
      <c r="ALL175" s="90"/>
      <c r="ALM175" s="90"/>
      <c r="ALN175" s="90"/>
      <c r="ALO175" s="90"/>
      <c r="ALP175" s="90"/>
      <c r="ALQ175" s="90"/>
      <c r="ALR175" s="90"/>
      <c r="ALS175" s="90"/>
      <c r="ALT175" s="90"/>
      <c r="ALU175" s="90"/>
      <c r="ALV175" s="90"/>
      <c r="ALW175" s="90"/>
      <c r="ALX175" s="90"/>
      <c r="ALY175" s="90"/>
      <c r="ALZ175" s="90"/>
      <c r="AMA175" s="90"/>
      <c r="AMB175" s="90"/>
      <c r="AMC175" s="90"/>
    </row>
    <row r="176" spans="1:1017">
      <c r="A176" s="98" t="s">
        <v>49</v>
      </c>
      <c r="B176" s="90" t="str">
        <f t="shared" si="1324"/>
        <v>Kerapu Cantang</v>
      </c>
      <c r="Q176" s="91">
        <f t="shared" si="1325"/>
        <v>0</v>
      </c>
      <c r="R176" s="91">
        <f t="shared" si="1326"/>
        <v>0</v>
      </c>
      <c r="S176" s="98">
        <v>2115</v>
      </c>
      <c r="T176" s="98">
        <v>179775</v>
      </c>
      <c r="U176" s="98">
        <v>4105</v>
      </c>
      <c r="V176" s="98">
        <v>389975</v>
      </c>
      <c r="AG176" s="91">
        <f t="shared" si="1327"/>
        <v>6220</v>
      </c>
      <c r="AH176" s="91">
        <f t="shared" si="1328"/>
        <v>569750</v>
      </c>
      <c r="AW176" s="91">
        <f t="shared" si="1329"/>
        <v>0</v>
      </c>
      <c r="AX176" s="91">
        <f t="shared" si="1330"/>
        <v>0</v>
      </c>
      <c r="BM176" s="91">
        <f t="shared" si="1331"/>
        <v>0</v>
      </c>
      <c r="BN176" s="91">
        <f t="shared" si="1332"/>
        <v>0</v>
      </c>
      <c r="CC176" s="91">
        <f t="shared" si="1333"/>
        <v>0</v>
      </c>
      <c r="CD176" s="91">
        <f t="shared" si="1334"/>
        <v>0</v>
      </c>
      <c r="CG176" s="98">
        <v>10122</v>
      </c>
      <c r="CH176" s="98">
        <v>1214663</v>
      </c>
      <c r="CS176" s="91">
        <f t="shared" si="1419"/>
        <v>10122</v>
      </c>
      <c r="CT176" s="91">
        <f t="shared" si="1420"/>
        <v>1214663</v>
      </c>
      <c r="DI176" s="91">
        <f t="shared" si="1337"/>
        <v>0</v>
      </c>
      <c r="DJ176" s="91">
        <f t="shared" si="1338"/>
        <v>0</v>
      </c>
      <c r="DY176" s="91">
        <f t="shared" si="1339"/>
        <v>0</v>
      </c>
      <c r="DZ176" s="91">
        <f t="shared" si="1340"/>
        <v>0</v>
      </c>
      <c r="EO176" s="91">
        <f t="shared" si="1341"/>
        <v>0</v>
      </c>
      <c r="EP176" s="91">
        <f t="shared" si="1342"/>
        <v>0</v>
      </c>
      <c r="FE176" s="91">
        <f t="shared" si="1343"/>
        <v>0</v>
      </c>
      <c r="FF176" s="91">
        <f t="shared" si="1344"/>
        <v>0</v>
      </c>
      <c r="FU176" s="91">
        <f t="shared" si="1345"/>
        <v>0</v>
      </c>
      <c r="FV176" s="91">
        <f t="shared" si="1346"/>
        <v>0</v>
      </c>
      <c r="GK176" s="91">
        <f t="shared" si="1347"/>
        <v>0</v>
      </c>
      <c r="GL176" s="91">
        <f t="shared" si="1348"/>
        <v>0</v>
      </c>
      <c r="HA176" s="91">
        <f t="shared" si="1349"/>
        <v>0</v>
      </c>
      <c r="HB176" s="91">
        <f t="shared" si="1350"/>
        <v>0</v>
      </c>
      <c r="HQ176" s="91">
        <f t="shared" si="1351"/>
        <v>0</v>
      </c>
      <c r="HR176" s="91">
        <f t="shared" si="1352"/>
        <v>0</v>
      </c>
      <c r="IG176" s="91">
        <f t="shared" si="1353"/>
        <v>0</v>
      </c>
      <c r="IH176" s="91">
        <f t="shared" si="1354"/>
        <v>0</v>
      </c>
      <c r="IW176" s="91">
        <f t="shared" si="1355"/>
        <v>0</v>
      </c>
      <c r="IX176" s="91">
        <f t="shared" si="1356"/>
        <v>0</v>
      </c>
      <c r="JM176" s="91">
        <f t="shared" si="1357"/>
        <v>0</v>
      </c>
      <c r="JN176" s="91">
        <f t="shared" si="1358"/>
        <v>0</v>
      </c>
      <c r="KC176" s="91">
        <f t="shared" si="1359"/>
        <v>0</v>
      </c>
      <c r="KD176" s="91">
        <f t="shared" si="1360"/>
        <v>0</v>
      </c>
      <c r="KS176" s="91">
        <f t="shared" si="1361"/>
        <v>0</v>
      </c>
      <c r="KT176" s="91">
        <f t="shared" si="1362"/>
        <v>0</v>
      </c>
      <c r="LI176" s="91">
        <f t="shared" si="1363"/>
        <v>0</v>
      </c>
      <c r="LJ176" s="91">
        <f t="shared" si="1364"/>
        <v>0</v>
      </c>
      <c r="LY176" s="91">
        <f t="shared" si="1365"/>
        <v>0</v>
      </c>
      <c r="LZ176" s="91">
        <f t="shared" si="1366"/>
        <v>0</v>
      </c>
      <c r="MA176" s="98">
        <v>26500</v>
      </c>
      <c r="MB176" s="98">
        <v>2252500</v>
      </c>
      <c r="MO176" s="91">
        <f t="shared" si="1367"/>
        <v>26500</v>
      </c>
      <c r="MP176" s="91">
        <f t="shared" si="1368"/>
        <v>2252500</v>
      </c>
      <c r="NE176" s="91">
        <f t="shared" si="1369"/>
        <v>0</v>
      </c>
      <c r="NF176" s="91">
        <f t="shared" si="1370"/>
        <v>0</v>
      </c>
      <c r="NU176" s="91">
        <f t="shared" si="1371"/>
        <v>0</v>
      </c>
      <c r="NV176" s="91">
        <f t="shared" si="1372"/>
        <v>0</v>
      </c>
      <c r="NW176" s="98">
        <v>380</v>
      </c>
      <c r="NX176" s="98">
        <v>38000</v>
      </c>
      <c r="OK176" s="91">
        <f t="shared" si="1373"/>
        <v>380</v>
      </c>
      <c r="OL176" s="91">
        <f t="shared" si="1374"/>
        <v>38000</v>
      </c>
      <c r="PA176" s="91">
        <f t="shared" si="1375"/>
        <v>0</v>
      </c>
      <c r="PB176" s="91">
        <f t="shared" si="1376"/>
        <v>0</v>
      </c>
      <c r="PC176" s="98">
        <v>180</v>
      </c>
      <c r="PD176" s="98">
        <v>11716.5</v>
      </c>
      <c r="PQ176" s="91">
        <f t="shared" si="1377"/>
        <v>180</v>
      </c>
      <c r="PR176" s="91">
        <f t="shared" si="1378"/>
        <v>11716.5</v>
      </c>
      <c r="PS176" s="98">
        <v>500</v>
      </c>
      <c r="PT176" s="98">
        <v>55000</v>
      </c>
      <c r="PU176" s="98">
        <v>46650</v>
      </c>
      <c r="PV176" s="98">
        <v>5131500</v>
      </c>
      <c r="QG176" s="91">
        <f t="shared" si="1379"/>
        <v>47150</v>
      </c>
      <c r="QH176" s="91">
        <f t="shared" si="1380"/>
        <v>5186500</v>
      </c>
      <c r="QW176" s="91">
        <f t="shared" si="1381"/>
        <v>0</v>
      </c>
      <c r="QX176" s="91">
        <f t="shared" si="1382"/>
        <v>0</v>
      </c>
      <c r="RM176" s="91">
        <f t="shared" si="1383"/>
        <v>0</v>
      </c>
      <c r="RN176" s="91">
        <f t="shared" si="1384"/>
        <v>0</v>
      </c>
      <c r="SC176" s="91">
        <f t="shared" si="1385"/>
        <v>0</v>
      </c>
      <c r="SD176" s="91">
        <f t="shared" si="1386"/>
        <v>0</v>
      </c>
      <c r="SS176" s="91">
        <f t="shared" si="1387"/>
        <v>0</v>
      </c>
      <c r="ST176" s="91">
        <f t="shared" si="1388"/>
        <v>0</v>
      </c>
      <c r="TI176" s="91">
        <f t="shared" si="1389"/>
        <v>0</v>
      </c>
      <c r="TJ176" s="91">
        <f t="shared" si="1390"/>
        <v>0</v>
      </c>
      <c r="TY176" s="91">
        <f t="shared" si="1391"/>
        <v>0</v>
      </c>
      <c r="TZ176" s="91">
        <f t="shared" si="1392"/>
        <v>0</v>
      </c>
      <c r="UO176" s="91">
        <f t="shared" si="1393"/>
        <v>0</v>
      </c>
      <c r="UP176" s="91">
        <f t="shared" si="1394"/>
        <v>0</v>
      </c>
      <c r="VE176" s="91">
        <f t="shared" si="1395"/>
        <v>0</v>
      </c>
      <c r="VF176" s="91">
        <f t="shared" si="1396"/>
        <v>0</v>
      </c>
      <c r="VU176" s="91">
        <f t="shared" si="1397"/>
        <v>0</v>
      </c>
      <c r="VV176" s="91">
        <f t="shared" si="1398"/>
        <v>0</v>
      </c>
      <c r="WK176" s="91">
        <f t="shared" si="1399"/>
        <v>0</v>
      </c>
      <c r="WL176" s="91">
        <f t="shared" si="1400"/>
        <v>0</v>
      </c>
      <c r="WM176" s="89"/>
      <c r="WN176" s="87">
        <f t="shared" si="1401"/>
        <v>29675</v>
      </c>
      <c r="WO176" s="87">
        <f t="shared" si="1402"/>
        <v>2536991.5</v>
      </c>
      <c r="WP176" s="87">
        <f t="shared" si="1403"/>
        <v>60877</v>
      </c>
      <c r="WQ176" s="87">
        <f t="shared" si="1404"/>
        <v>6736138</v>
      </c>
      <c r="WR176" s="87">
        <f t="shared" si="1405"/>
        <v>0</v>
      </c>
      <c r="WS176" s="87">
        <f t="shared" si="1406"/>
        <v>0</v>
      </c>
      <c r="WT176" s="87">
        <f t="shared" si="1407"/>
        <v>0</v>
      </c>
      <c r="WU176" s="87">
        <f t="shared" si="1408"/>
        <v>0</v>
      </c>
      <c r="WV176" s="87">
        <f t="shared" si="1409"/>
        <v>0</v>
      </c>
      <c r="WW176" s="87">
        <f t="shared" si="1410"/>
        <v>0</v>
      </c>
      <c r="WX176" s="87">
        <f t="shared" si="1411"/>
        <v>0</v>
      </c>
      <c r="WY176" s="87">
        <f t="shared" si="1412"/>
        <v>0</v>
      </c>
      <c r="WZ176" s="87">
        <f t="shared" si="1413"/>
        <v>0</v>
      </c>
      <c r="XA176" s="87">
        <f t="shared" si="1414"/>
        <v>0</v>
      </c>
      <c r="XB176" s="92">
        <f t="shared" si="1415"/>
        <v>90552</v>
      </c>
      <c r="XC176" s="92">
        <f t="shared" si="1416"/>
        <v>9273129.5</v>
      </c>
      <c r="XD176" s="89"/>
      <c r="XE176" s="92"/>
      <c r="XF176" s="92"/>
      <c r="XG176" s="89"/>
      <c r="XH176" s="92"/>
      <c r="XI176" s="92"/>
      <c r="XJ176" s="89"/>
      <c r="XK176" s="87"/>
      <c r="XL176" s="87"/>
      <c r="XM176" s="87"/>
      <c r="XN176" s="87"/>
      <c r="XO176" s="87"/>
      <c r="XP176" s="87"/>
      <c r="XQ176" s="87"/>
      <c r="XR176" s="92">
        <f t="shared" ca="1" si="1417"/>
        <v>0</v>
      </c>
      <c r="XS176" s="89"/>
      <c r="XT176" s="87"/>
      <c r="XU176" s="87"/>
      <c r="XV176" s="87"/>
      <c r="XW176" s="87"/>
      <c r="XX176" s="87"/>
      <c r="XY176" s="87"/>
      <c r="XZ176" s="87"/>
      <c r="YA176" s="92">
        <f t="shared" ca="1" si="1418"/>
        <v>0</v>
      </c>
      <c r="YB176" s="90"/>
      <c r="YC176" s="90"/>
      <c r="YD176" s="90"/>
      <c r="YE176" s="90"/>
      <c r="YF176" s="90"/>
      <c r="YG176" s="90"/>
      <c r="YH176" s="90"/>
      <c r="YI176" s="90"/>
      <c r="YJ176" s="90"/>
      <c r="YK176" s="90"/>
      <c r="YL176" s="90"/>
      <c r="YM176" s="90"/>
      <c r="YN176" s="90"/>
      <c r="YO176" s="90"/>
      <c r="YP176" s="90"/>
      <c r="YQ176" s="90"/>
      <c r="YR176" s="90"/>
      <c r="YS176" s="90"/>
      <c r="YT176" s="90"/>
      <c r="YU176" s="90"/>
      <c r="YV176" s="90"/>
      <c r="YW176" s="90"/>
      <c r="YX176" s="90"/>
      <c r="YY176" s="90"/>
      <c r="YZ176" s="90"/>
      <c r="ZA176" s="90"/>
      <c r="ZB176" s="90"/>
      <c r="ZC176" s="90"/>
      <c r="ZD176" s="90"/>
      <c r="ZE176" s="90"/>
      <c r="ZF176" s="90"/>
      <c r="ZG176" s="90"/>
      <c r="ZH176" s="90"/>
      <c r="ZI176" s="90"/>
      <c r="ZJ176" s="90"/>
      <c r="ZK176" s="90"/>
      <c r="ZL176" s="90"/>
      <c r="ZM176" s="90"/>
      <c r="ZN176" s="90"/>
      <c r="ZO176" s="90"/>
      <c r="ZP176" s="90"/>
      <c r="ZQ176" s="90"/>
      <c r="ZR176" s="90"/>
      <c r="ZS176" s="90"/>
      <c r="ZT176" s="90"/>
      <c r="ZU176" s="90"/>
      <c r="ZV176" s="90"/>
      <c r="ZW176" s="90"/>
      <c r="ZX176" s="90"/>
      <c r="ZY176" s="90"/>
      <c r="ZZ176" s="90"/>
      <c r="AAA176" s="90"/>
      <c r="AAB176" s="90"/>
      <c r="AAC176" s="90"/>
      <c r="AAD176" s="90"/>
      <c r="AAE176" s="90"/>
      <c r="AAF176" s="90"/>
      <c r="AAG176" s="90"/>
      <c r="AAH176" s="90"/>
      <c r="AAI176" s="90"/>
      <c r="AAJ176" s="90"/>
      <c r="AAK176" s="90"/>
      <c r="AAL176" s="90"/>
      <c r="AAM176" s="90"/>
      <c r="AAN176" s="90"/>
      <c r="AAO176" s="90"/>
      <c r="AAP176" s="90"/>
      <c r="AAQ176" s="90"/>
      <c r="AAR176" s="90"/>
      <c r="AAS176" s="90"/>
      <c r="AAT176" s="90"/>
      <c r="AAU176" s="90"/>
      <c r="AAV176" s="90"/>
      <c r="AAW176" s="90"/>
      <c r="AAX176" s="90"/>
      <c r="AAY176" s="90"/>
      <c r="AAZ176" s="90"/>
      <c r="ABA176" s="90"/>
      <c r="ABB176" s="90"/>
      <c r="ABC176" s="90"/>
      <c r="ABD176" s="90"/>
      <c r="ABE176" s="90"/>
      <c r="ABF176" s="90"/>
      <c r="ABG176" s="90"/>
      <c r="ABH176" s="90"/>
      <c r="ABI176" s="90"/>
      <c r="ABJ176" s="90"/>
      <c r="ABK176" s="90"/>
      <c r="ABL176" s="90"/>
      <c r="ABM176" s="90"/>
      <c r="ABN176" s="90"/>
      <c r="ABO176" s="90"/>
      <c r="ABP176" s="90"/>
      <c r="ABQ176" s="90"/>
      <c r="ABR176" s="90"/>
      <c r="ABS176" s="90"/>
      <c r="ABT176" s="90"/>
      <c r="ABU176" s="90"/>
      <c r="ABV176" s="90"/>
      <c r="ABW176" s="90"/>
      <c r="ABX176" s="90"/>
      <c r="ABY176" s="90"/>
      <c r="ABZ176" s="90"/>
      <c r="ACA176" s="90"/>
      <c r="ACB176" s="90"/>
      <c r="ACC176" s="90"/>
      <c r="ACD176" s="90"/>
      <c r="ACE176" s="90"/>
      <c r="ACF176" s="90"/>
      <c r="ACG176" s="90"/>
      <c r="ACH176" s="90"/>
      <c r="ACI176" s="90"/>
      <c r="ACJ176" s="90"/>
      <c r="ACK176" s="90"/>
      <c r="ACL176" s="90"/>
      <c r="ACM176" s="90"/>
      <c r="ACN176" s="90"/>
      <c r="ACO176" s="90"/>
      <c r="ACP176" s="90"/>
      <c r="ACQ176" s="90"/>
      <c r="ACR176" s="90"/>
      <c r="ACS176" s="90"/>
      <c r="ACT176" s="90"/>
      <c r="ACU176" s="90"/>
      <c r="ACV176" s="90"/>
      <c r="ACW176" s="90"/>
      <c r="ACX176" s="90"/>
      <c r="ACY176" s="90"/>
      <c r="ACZ176" s="90"/>
      <c r="ADA176" s="90"/>
      <c r="ADB176" s="90"/>
      <c r="ADC176" s="90"/>
      <c r="ADD176" s="90"/>
      <c r="ADE176" s="90"/>
      <c r="ADF176" s="90"/>
      <c r="ADG176" s="90"/>
      <c r="ADH176" s="90"/>
      <c r="ADI176" s="90"/>
      <c r="ADJ176" s="90"/>
      <c r="ADK176" s="90"/>
      <c r="ADL176" s="90"/>
      <c r="ADM176" s="90"/>
      <c r="ADN176" s="90"/>
      <c r="ADO176" s="90"/>
      <c r="ADP176" s="90"/>
      <c r="ADQ176" s="90"/>
      <c r="ADR176" s="90"/>
      <c r="ADS176" s="90"/>
      <c r="ADT176" s="90"/>
      <c r="ADU176" s="90"/>
      <c r="ADV176" s="90"/>
      <c r="ADW176" s="90"/>
      <c r="ADX176" s="90"/>
      <c r="ADY176" s="90"/>
      <c r="ADZ176" s="90"/>
      <c r="AEA176" s="90"/>
      <c r="AEB176" s="90"/>
      <c r="AEC176" s="90"/>
      <c r="AED176" s="90"/>
      <c r="AEE176" s="90"/>
      <c r="AEF176" s="90"/>
      <c r="AEG176" s="90"/>
      <c r="AEH176" s="90"/>
      <c r="AEI176" s="90"/>
      <c r="AEJ176" s="90"/>
      <c r="AEK176" s="90"/>
      <c r="AEL176" s="90"/>
      <c r="AEM176" s="90"/>
      <c r="AEN176" s="90"/>
      <c r="AEO176" s="90"/>
      <c r="AEP176" s="90"/>
      <c r="AEQ176" s="90"/>
      <c r="AER176" s="90"/>
      <c r="AES176" s="90"/>
      <c r="AET176" s="90"/>
      <c r="AEU176" s="90"/>
      <c r="AEV176" s="90"/>
      <c r="AEW176" s="90"/>
      <c r="AEX176" s="90"/>
      <c r="AEY176" s="90"/>
      <c r="AEZ176" s="90"/>
      <c r="AFA176" s="90"/>
      <c r="AFB176" s="90"/>
      <c r="AFC176" s="90"/>
      <c r="AFD176" s="90"/>
      <c r="AFE176" s="90"/>
      <c r="AFF176" s="90"/>
      <c r="AFG176" s="90"/>
      <c r="AFH176" s="90"/>
      <c r="AFI176" s="90"/>
      <c r="AFJ176" s="90"/>
      <c r="AFK176" s="90"/>
      <c r="AFL176" s="90"/>
      <c r="AFM176" s="90"/>
      <c r="AFN176" s="90"/>
      <c r="AFO176" s="90"/>
      <c r="AFP176" s="90"/>
      <c r="AFQ176" s="90"/>
      <c r="AFR176" s="90"/>
      <c r="AFS176" s="90"/>
      <c r="AFT176" s="90"/>
      <c r="AFU176" s="90"/>
      <c r="AFV176" s="90"/>
      <c r="AFW176" s="90"/>
      <c r="AFX176" s="90"/>
      <c r="AFY176" s="90"/>
      <c r="AFZ176" s="90"/>
      <c r="AGA176" s="90"/>
      <c r="AGB176" s="90"/>
      <c r="AGC176" s="90"/>
      <c r="AGD176" s="90"/>
      <c r="AGE176" s="90"/>
      <c r="AGF176" s="90"/>
      <c r="AGG176" s="90"/>
      <c r="AGH176" s="90"/>
      <c r="AGI176" s="90"/>
      <c r="AGJ176" s="90"/>
      <c r="AGK176" s="90"/>
      <c r="AGL176" s="90"/>
      <c r="AGM176" s="90"/>
      <c r="AGN176" s="90"/>
      <c r="AGO176" s="90"/>
      <c r="AGP176" s="90"/>
      <c r="AGQ176" s="90"/>
      <c r="AGR176" s="90"/>
      <c r="AGS176" s="90"/>
      <c r="AGT176" s="90"/>
      <c r="AGU176" s="90"/>
      <c r="AGV176" s="90"/>
      <c r="AGW176" s="90"/>
      <c r="AGX176" s="90"/>
      <c r="AGY176" s="90"/>
      <c r="AGZ176" s="90"/>
      <c r="AHA176" s="90"/>
      <c r="AHB176" s="90"/>
      <c r="AHC176" s="90"/>
      <c r="AHD176" s="90"/>
      <c r="AHE176" s="90"/>
      <c r="AHF176" s="90"/>
      <c r="AHG176" s="90"/>
      <c r="AHH176" s="90"/>
      <c r="AHI176" s="90"/>
      <c r="AHJ176" s="90"/>
      <c r="AHK176" s="90"/>
      <c r="AHL176" s="90"/>
      <c r="AHM176" s="90"/>
      <c r="AHN176" s="90"/>
      <c r="AHO176" s="90"/>
      <c r="AHP176" s="90"/>
      <c r="AHQ176" s="90"/>
      <c r="AHR176" s="90"/>
      <c r="AHS176" s="90"/>
      <c r="AHT176" s="90"/>
      <c r="AHU176" s="90"/>
      <c r="AHV176" s="90"/>
      <c r="AHW176" s="90"/>
      <c r="AHX176" s="90"/>
      <c r="AHY176" s="90"/>
      <c r="AHZ176" s="90"/>
      <c r="AIA176" s="90"/>
      <c r="AIB176" s="90"/>
      <c r="AIC176" s="90"/>
      <c r="AID176" s="90"/>
      <c r="AIE176" s="90"/>
      <c r="AIF176" s="90"/>
      <c r="AIG176" s="90"/>
      <c r="AIH176" s="90"/>
      <c r="AII176" s="90"/>
      <c r="AIJ176" s="90"/>
      <c r="AIK176" s="90"/>
      <c r="AIL176" s="90"/>
      <c r="AIM176" s="90"/>
      <c r="AIN176" s="90"/>
      <c r="AIO176" s="90"/>
      <c r="AIP176" s="90"/>
      <c r="AIQ176" s="90"/>
      <c r="AIR176" s="90"/>
      <c r="AIS176" s="90"/>
      <c r="AIT176" s="90"/>
      <c r="AIU176" s="90"/>
      <c r="AIV176" s="90"/>
      <c r="AIW176" s="90"/>
      <c r="AIX176" s="90"/>
      <c r="AIY176" s="90"/>
      <c r="AIZ176" s="90"/>
      <c r="AJA176" s="90"/>
      <c r="AJB176" s="90"/>
      <c r="AJC176" s="90"/>
      <c r="AJD176" s="90"/>
      <c r="AJE176" s="90"/>
      <c r="AJF176" s="90"/>
      <c r="AJG176" s="90"/>
      <c r="AJH176" s="90"/>
      <c r="AJI176" s="90"/>
      <c r="AJJ176" s="90"/>
      <c r="AJK176" s="90"/>
      <c r="AJL176" s="90"/>
      <c r="AJM176" s="90"/>
      <c r="AJN176" s="90"/>
      <c r="AJO176" s="90"/>
      <c r="AJP176" s="90"/>
      <c r="AJQ176" s="90"/>
      <c r="AJR176" s="90"/>
      <c r="AJS176" s="90"/>
      <c r="AJT176" s="90"/>
      <c r="AJU176" s="90"/>
      <c r="AJV176" s="90"/>
      <c r="AJW176" s="90"/>
      <c r="AJX176" s="90"/>
      <c r="AJY176" s="90"/>
      <c r="AJZ176" s="90"/>
      <c r="AKA176" s="90"/>
      <c r="AKB176" s="90"/>
      <c r="AKC176" s="90"/>
      <c r="AKD176" s="90"/>
      <c r="AKE176" s="90"/>
      <c r="AKF176" s="90"/>
      <c r="AKG176" s="90"/>
      <c r="AKH176" s="90"/>
      <c r="AKI176" s="90"/>
      <c r="AKJ176" s="90"/>
      <c r="AKK176" s="90"/>
      <c r="AKL176" s="90"/>
      <c r="AKM176" s="90"/>
      <c r="AKN176" s="90"/>
      <c r="AKO176" s="90"/>
      <c r="AKP176" s="90"/>
      <c r="AKQ176" s="90"/>
      <c r="AKR176" s="90"/>
      <c r="AKS176" s="90"/>
      <c r="AKT176" s="90"/>
      <c r="AKU176" s="90"/>
      <c r="AKV176" s="90"/>
      <c r="AKW176" s="90"/>
      <c r="AKX176" s="90"/>
      <c r="AKY176" s="90"/>
      <c r="AKZ176" s="90"/>
      <c r="ALA176" s="90"/>
      <c r="ALB176" s="90"/>
      <c r="ALC176" s="90"/>
      <c r="ALD176" s="90"/>
      <c r="ALE176" s="90"/>
      <c r="ALF176" s="90"/>
      <c r="ALG176" s="90"/>
      <c r="ALH176" s="90"/>
      <c r="ALI176" s="90"/>
      <c r="ALJ176" s="90"/>
      <c r="ALK176" s="90"/>
      <c r="ALL176" s="90"/>
      <c r="ALM176" s="90"/>
      <c r="ALN176" s="90"/>
      <c r="ALO176" s="90"/>
      <c r="ALP176" s="90"/>
      <c r="ALQ176" s="90"/>
      <c r="ALR176" s="90"/>
      <c r="ALS176" s="90"/>
      <c r="ALT176" s="90"/>
      <c r="ALU176" s="90"/>
      <c r="ALV176" s="90"/>
      <c r="ALW176" s="90"/>
      <c r="ALX176" s="90"/>
      <c r="ALY176" s="90"/>
      <c r="ALZ176" s="90"/>
      <c r="AMA176" s="90"/>
      <c r="AMB176" s="90"/>
      <c r="AMC176" s="90"/>
    </row>
    <row r="177" spans="1:1017">
      <c r="A177" s="98" t="s">
        <v>49</v>
      </c>
      <c r="B177" s="90" t="str">
        <f t="shared" si="1324"/>
        <v>Kerapu Macan</v>
      </c>
      <c r="Q177" s="91">
        <f t="shared" si="1325"/>
        <v>0</v>
      </c>
      <c r="R177" s="91">
        <f t="shared" si="1326"/>
        <v>0</v>
      </c>
      <c r="AG177" s="91">
        <f t="shared" si="1327"/>
        <v>0</v>
      </c>
      <c r="AH177" s="91">
        <f t="shared" si="1328"/>
        <v>0</v>
      </c>
      <c r="AW177" s="91">
        <f t="shared" si="1329"/>
        <v>0</v>
      </c>
      <c r="AX177" s="91">
        <f t="shared" si="1330"/>
        <v>0</v>
      </c>
      <c r="BM177" s="91">
        <f t="shared" si="1331"/>
        <v>0</v>
      </c>
      <c r="BN177" s="91">
        <f t="shared" si="1332"/>
        <v>0</v>
      </c>
      <c r="CC177" s="91">
        <f t="shared" si="1333"/>
        <v>0</v>
      </c>
      <c r="CD177" s="91">
        <f t="shared" si="1334"/>
        <v>0</v>
      </c>
      <c r="CS177" s="91">
        <f t="shared" si="1419"/>
        <v>0</v>
      </c>
      <c r="CT177" s="91">
        <f t="shared" si="1420"/>
        <v>0</v>
      </c>
      <c r="DI177" s="91">
        <f t="shared" si="1337"/>
        <v>0</v>
      </c>
      <c r="DJ177" s="91">
        <f t="shared" si="1338"/>
        <v>0</v>
      </c>
      <c r="DY177" s="91">
        <f t="shared" si="1339"/>
        <v>0</v>
      </c>
      <c r="DZ177" s="91">
        <f t="shared" si="1340"/>
        <v>0</v>
      </c>
      <c r="EO177" s="91">
        <f t="shared" si="1341"/>
        <v>0</v>
      </c>
      <c r="EP177" s="91">
        <f t="shared" si="1342"/>
        <v>0</v>
      </c>
      <c r="ES177" s="98">
        <v>199171</v>
      </c>
      <c r="ET177" s="98">
        <v>20912955</v>
      </c>
      <c r="FE177" s="91">
        <f t="shared" si="1343"/>
        <v>199171</v>
      </c>
      <c r="FF177" s="91">
        <f t="shared" si="1344"/>
        <v>20912955</v>
      </c>
      <c r="FU177" s="91">
        <f t="shared" si="1345"/>
        <v>0</v>
      </c>
      <c r="FV177" s="91">
        <f t="shared" si="1346"/>
        <v>0</v>
      </c>
      <c r="GK177" s="91">
        <f t="shared" si="1347"/>
        <v>0</v>
      </c>
      <c r="GL177" s="91">
        <f t="shared" si="1348"/>
        <v>0</v>
      </c>
      <c r="HA177" s="91">
        <f t="shared" si="1349"/>
        <v>0</v>
      </c>
      <c r="HB177" s="91">
        <f t="shared" si="1350"/>
        <v>0</v>
      </c>
      <c r="HQ177" s="91">
        <f t="shared" si="1351"/>
        <v>0</v>
      </c>
      <c r="HR177" s="91">
        <f t="shared" si="1352"/>
        <v>0</v>
      </c>
      <c r="IG177" s="91">
        <f t="shared" si="1353"/>
        <v>0</v>
      </c>
      <c r="IH177" s="91">
        <f t="shared" si="1354"/>
        <v>0</v>
      </c>
      <c r="IW177" s="91">
        <f t="shared" si="1355"/>
        <v>0</v>
      </c>
      <c r="IX177" s="91">
        <f t="shared" si="1356"/>
        <v>0</v>
      </c>
      <c r="JM177" s="91">
        <f t="shared" si="1357"/>
        <v>0</v>
      </c>
      <c r="JN177" s="91">
        <f t="shared" si="1358"/>
        <v>0</v>
      </c>
      <c r="KC177" s="91">
        <f t="shared" si="1359"/>
        <v>0</v>
      </c>
      <c r="KD177" s="91">
        <f t="shared" si="1360"/>
        <v>0</v>
      </c>
      <c r="KS177" s="91">
        <f t="shared" si="1361"/>
        <v>0</v>
      </c>
      <c r="KT177" s="91">
        <f t="shared" si="1362"/>
        <v>0</v>
      </c>
      <c r="LI177" s="91">
        <f t="shared" si="1363"/>
        <v>0</v>
      </c>
      <c r="LJ177" s="91">
        <f t="shared" si="1364"/>
        <v>0</v>
      </c>
      <c r="LY177" s="91">
        <f t="shared" si="1365"/>
        <v>0</v>
      </c>
      <c r="LZ177" s="91">
        <f t="shared" si="1366"/>
        <v>0</v>
      </c>
      <c r="MO177" s="91">
        <f t="shared" si="1367"/>
        <v>0</v>
      </c>
      <c r="MP177" s="91">
        <f t="shared" si="1368"/>
        <v>0</v>
      </c>
      <c r="NE177" s="91">
        <f t="shared" si="1369"/>
        <v>0</v>
      </c>
      <c r="NF177" s="91">
        <f t="shared" si="1370"/>
        <v>0</v>
      </c>
      <c r="NU177" s="91">
        <f t="shared" si="1371"/>
        <v>0</v>
      </c>
      <c r="NV177" s="91">
        <f t="shared" si="1372"/>
        <v>0</v>
      </c>
      <c r="OK177" s="91">
        <f t="shared" si="1373"/>
        <v>0</v>
      </c>
      <c r="OL177" s="91">
        <f t="shared" si="1374"/>
        <v>0</v>
      </c>
      <c r="OM177" s="98">
        <v>20500</v>
      </c>
      <c r="ON177" s="98">
        <v>4100000</v>
      </c>
      <c r="PA177" s="91">
        <f>SUMIF($C$12:$P$12,$A$1,OM177:OZ177)</f>
        <v>20500</v>
      </c>
      <c r="PB177" s="91">
        <f>SUMIF($C$12:$P$12,$A$3,OM177:OZ177)</f>
        <v>4100000</v>
      </c>
      <c r="PQ177" s="91">
        <f t="shared" si="1377"/>
        <v>0</v>
      </c>
      <c r="PR177" s="91">
        <f t="shared" si="1378"/>
        <v>0</v>
      </c>
      <c r="QG177" s="91">
        <f t="shared" si="1379"/>
        <v>0</v>
      </c>
      <c r="QH177" s="91">
        <f t="shared" si="1380"/>
        <v>0</v>
      </c>
      <c r="QW177" s="91">
        <f t="shared" si="1381"/>
        <v>0</v>
      </c>
      <c r="QX177" s="91">
        <f t="shared" si="1382"/>
        <v>0</v>
      </c>
      <c r="RM177" s="91">
        <f t="shared" si="1383"/>
        <v>0</v>
      </c>
      <c r="RN177" s="91">
        <f t="shared" si="1384"/>
        <v>0</v>
      </c>
      <c r="SC177" s="91">
        <f t="shared" si="1385"/>
        <v>0</v>
      </c>
      <c r="SD177" s="91">
        <f t="shared" si="1386"/>
        <v>0</v>
      </c>
      <c r="SS177" s="91">
        <f t="shared" si="1387"/>
        <v>0</v>
      </c>
      <c r="ST177" s="91">
        <f t="shared" si="1388"/>
        <v>0</v>
      </c>
      <c r="TI177" s="91">
        <f t="shared" si="1389"/>
        <v>0</v>
      </c>
      <c r="TJ177" s="91">
        <f t="shared" si="1390"/>
        <v>0</v>
      </c>
      <c r="TY177" s="91">
        <f t="shared" si="1391"/>
        <v>0</v>
      </c>
      <c r="TZ177" s="91">
        <f t="shared" si="1392"/>
        <v>0</v>
      </c>
      <c r="UO177" s="91">
        <f t="shared" si="1393"/>
        <v>0</v>
      </c>
      <c r="UP177" s="91">
        <f t="shared" si="1394"/>
        <v>0</v>
      </c>
      <c r="VE177" s="91">
        <f t="shared" si="1395"/>
        <v>0</v>
      </c>
      <c r="VF177" s="91">
        <f t="shared" si="1396"/>
        <v>0</v>
      </c>
      <c r="VU177" s="91">
        <f t="shared" si="1397"/>
        <v>0</v>
      </c>
      <c r="VV177" s="91">
        <f t="shared" si="1398"/>
        <v>0</v>
      </c>
      <c r="WK177" s="91">
        <f t="shared" si="1399"/>
        <v>0</v>
      </c>
      <c r="WL177" s="91">
        <f t="shared" si="1400"/>
        <v>0</v>
      </c>
      <c r="WM177" s="89"/>
      <c r="WN177" s="87">
        <f t="shared" si="1401"/>
        <v>20500</v>
      </c>
      <c r="WO177" s="87">
        <f t="shared" si="1402"/>
        <v>4100000</v>
      </c>
      <c r="WP177" s="87">
        <f t="shared" si="1403"/>
        <v>199171</v>
      </c>
      <c r="WQ177" s="87">
        <f t="shared" si="1404"/>
        <v>20912955</v>
      </c>
      <c r="WR177" s="87">
        <f t="shared" si="1405"/>
        <v>0</v>
      </c>
      <c r="WS177" s="87">
        <f t="shared" si="1406"/>
        <v>0</v>
      </c>
      <c r="WT177" s="87">
        <f t="shared" si="1407"/>
        <v>0</v>
      </c>
      <c r="WU177" s="87">
        <f t="shared" si="1408"/>
        <v>0</v>
      </c>
      <c r="WV177" s="87">
        <f t="shared" si="1409"/>
        <v>0</v>
      </c>
      <c r="WW177" s="87">
        <f t="shared" si="1410"/>
        <v>0</v>
      </c>
      <c r="WX177" s="87">
        <f t="shared" si="1411"/>
        <v>0</v>
      </c>
      <c r="WY177" s="87">
        <f t="shared" si="1412"/>
        <v>0</v>
      </c>
      <c r="WZ177" s="87">
        <f t="shared" si="1413"/>
        <v>0</v>
      </c>
      <c r="XA177" s="87">
        <f t="shared" si="1414"/>
        <v>0</v>
      </c>
      <c r="XB177" s="92">
        <f t="shared" si="1415"/>
        <v>219671</v>
      </c>
      <c r="XC177" s="92">
        <f t="shared" si="1416"/>
        <v>25012955</v>
      </c>
      <c r="XD177" s="89"/>
      <c r="XE177" s="92"/>
      <c r="XF177" s="92"/>
      <c r="XG177" s="89"/>
      <c r="XH177" s="92"/>
      <c r="XI177" s="92"/>
      <c r="XJ177" s="89"/>
      <c r="XK177" s="87"/>
      <c r="XL177" s="87"/>
      <c r="XM177" s="87"/>
      <c r="XN177" s="87"/>
      <c r="XO177" s="87"/>
      <c r="XP177" s="87"/>
      <c r="XQ177" s="87"/>
      <c r="XR177" s="92">
        <f t="shared" ca="1" si="1417"/>
        <v>0</v>
      </c>
      <c r="XS177" s="89"/>
      <c r="XT177" s="87"/>
      <c r="XU177" s="87"/>
      <c r="XV177" s="87"/>
      <c r="XW177" s="87"/>
      <c r="XX177" s="87"/>
      <c r="XY177" s="87"/>
      <c r="XZ177" s="87"/>
      <c r="YA177" s="92">
        <f t="shared" ca="1" si="1418"/>
        <v>0</v>
      </c>
      <c r="YB177" s="90"/>
      <c r="YC177" s="90"/>
      <c r="YD177" s="90"/>
      <c r="YE177" s="90"/>
      <c r="YF177" s="90"/>
      <c r="YG177" s="90"/>
      <c r="YH177" s="90"/>
      <c r="YI177" s="90"/>
      <c r="YJ177" s="90"/>
      <c r="YK177" s="90"/>
      <c r="YL177" s="90"/>
      <c r="YM177" s="90"/>
      <c r="YN177" s="90"/>
      <c r="YO177" s="90"/>
      <c r="YP177" s="90"/>
      <c r="YQ177" s="90"/>
      <c r="YR177" s="90"/>
      <c r="YS177" s="90"/>
      <c r="YT177" s="90"/>
      <c r="YU177" s="90"/>
      <c r="YV177" s="90"/>
      <c r="YW177" s="90"/>
      <c r="YX177" s="90"/>
      <c r="YY177" s="90"/>
      <c r="YZ177" s="90"/>
      <c r="ZA177" s="90"/>
      <c r="ZB177" s="90"/>
      <c r="ZC177" s="90"/>
      <c r="ZD177" s="90"/>
      <c r="ZE177" s="90"/>
      <c r="ZF177" s="90"/>
      <c r="ZG177" s="90"/>
      <c r="ZH177" s="90"/>
      <c r="ZI177" s="90"/>
      <c r="ZJ177" s="90"/>
      <c r="ZK177" s="90"/>
      <c r="ZL177" s="90"/>
      <c r="ZM177" s="90"/>
      <c r="ZN177" s="90"/>
      <c r="ZO177" s="90"/>
      <c r="ZP177" s="90"/>
      <c r="ZQ177" s="90"/>
      <c r="ZR177" s="90"/>
      <c r="ZS177" s="90"/>
      <c r="ZT177" s="90"/>
      <c r="ZU177" s="90"/>
      <c r="ZV177" s="90"/>
      <c r="ZW177" s="90"/>
      <c r="ZX177" s="90"/>
      <c r="ZY177" s="90"/>
      <c r="ZZ177" s="90"/>
      <c r="AAA177" s="90"/>
      <c r="AAB177" s="90"/>
      <c r="AAC177" s="90"/>
      <c r="AAD177" s="90"/>
      <c r="AAE177" s="90"/>
      <c r="AAF177" s="90"/>
      <c r="AAG177" s="90"/>
      <c r="AAH177" s="90"/>
      <c r="AAI177" s="90"/>
      <c r="AAJ177" s="90"/>
      <c r="AAK177" s="90"/>
      <c r="AAL177" s="90"/>
      <c r="AAM177" s="90"/>
      <c r="AAN177" s="90"/>
      <c r="AAO177" s="90"/>
      <c r="AAP177" s="90"/>
      <c r="AAQ177" s="90"/>
      <c r="AAR177" s="90"/>
      <c r="AAS177" s="90"/>
      <c r="AAT177" s="90"/>
      <c r="AAU177" s="90"/>
      <c r="AAV177" s="90"/>
      <c r="AAW177" s="90"/>
      <c r="AAX177" s="90"/>
      <c r="AAY177" s="90"/>
      <c r="AAZ177" s="90"/>
      <c r="ABA177" s="90"/>
      <c r="ABB177" s="90"/>
      <c r="ABC177" s="90"/>
      <c r="ABD177" s="90"/>
      <c r="ABE177" s="90"/>
      <c r="ABF177" s="90"/>
      <c r="ABG177" s="90"/>
      <c r="ABH177" s="90"/>
      <c r="ABI177" s="90"/>
      <c r="ABJ177" s="90"/>
      <c r="ABK177" s="90"/>
      <c r="ABL177" s="90"/>
      <c r="ABM177" s="90"/>
      <c r="ABN177" s="90"/>
      <c r="ABO177" s="90"/>
      <c r="ABP177" s="90"/>
      <c r="ABQ177" s="90"/>
      <c r="ABR177" s="90"/>
      <c r="ABS177" s="90"/>
      <c r="ABT177" s="90"/>
      <c r="ABU177" s="90"/>
      <c r="ABV177" s="90"/>
      <c r="ABW177" s="90"/>
      <c r="ABX177" s="90"/>
      <c r="ABY177" s="90"/>
      <c r="ABZ177" s="90"/>
      <c r="ACA177" s="90"/>
      <c r="ACB177" s="90"/>
      <c r="ACC177" s="90"/>
      <c r="ACD177" s="90"/>
      <c r="ACE177" s="90"/>
      <c r="ACF177" s="90"/>
      <c r="ACG177" s="90"/>
      <c r="ACH177" s="90"/>
      <c r="ACI177" s="90"/>
      <c r="ACJ177" s="90"/>
      <c r="ACK177" s="90"/>
      <c r="ACL177" s="90"/>
      <c r="ACM177" s="90"/>
      <c r="ACN177" s="90"/>
      <c r="ACO177" s="90"/>
      <c r="ACP177" s="90"/>
      <c r="ACQ177" s="90"/>
      <c r="ACR177" s="90"/>
      <c r="ACS177" s="90"/>
      <c r="ACT177" s="90"/>
      <c r="ACU177" s="90"/>
      <c r="ACV177" s="90"/>
      <c r="ACW177" s="90"/>
      <c r="ACX177" s="90"/>
      <c r="ACY177" s="90"/>
      <c r="ACZ177" s="90"/>
      <c r="ADA177" s="90"/>
      <c r="ADB177" s="90"/>
      <c r="ADC177" s="90"/>
      <c r="ADD177" s="90"/>
      <c r="ADE177" s="90"/>
      <c r="ADF177" s="90"/>
      <c r="ADG177" s="90"/>
      <c r="ADH177" s="90"/>
      <c r="ADI177" s="90"/>
      <c r="ADJ177" s="90"/>
      <c r="ADK177" s="90"/>
      <c r="ADL177" s="90"/>
      <c r="ADM177" s="90"/>
      <c r="ADN177" s="90"/>
      <c r="ADO177" s="90"/>
      <c r="ADP177" s="90"/>
      <c r="ADQ177" s="90"/>
      <c r="ADR177" s="90"/>
      <c r="ADS177" s="90"/>
      <c r="ADT177" s="90"/>
      <c r="ADU177" s="90"/>
      <c r="ADV177" s="90"/>
      <c r="ADW177" s="90"/>
      <c r="ADX177" s="90"/>
      <c r="ADY177" s="90"/>
      <c r="ADZ177" s="90"/>
      <c r="AEA177" s="90"/>
      <c r="AEB177" s="90"/>
      <c r="AEC177" s="90"/>
      <c r="AED177" s="90"/>
      <c r="AEE177" s="90"/>
      <c r="AEF177" s="90"/>
      <c r="AEG177" s="90"/>
      <c r="AEH177" s="90"/>
      <c r="AEI177" s="90"/>
      <c r="AEJ177" s="90"/>
      <c r="AEK177" s="90"/>
      <c r="AEL177" s="90"/>
      <c r="AEM177" s="90"/>
      <c r="AEN177" s="90"/>
      <c r="AEO177" s="90"/>
      <c r="AEP177" s="90"/>
      <c r="AEQ177" s="90"/>
      <c r="AER177" s="90"/>
      <c r="AES177" s="90"/>
      <c r="AET177" s="90"/>
      <c r="AEU177" s="90"/>
      <c r="AEV177" s="90"/>
      <c r="AEW177" s="90"/>
      <c r="AEX177" s="90"/>
      <c r="AEY177" s="90"/>
      <c r="AEZ177" s="90"/>
      <c r="AFA177" s="90"/>
      <c r="AFB177" s="90"/>
      <c r="AFC177" s="90"/>
      <c r="AFD177" s="90"/>
      <c r="AFE177" s="90"/>
      <c r="AFF177" s="90"/>
      <c r="AFG177" s="90"/>
      <c r="AFH177" s="90"/>
      <c r="AFI177" s="90"/>
      <c r="AFJ177" s="90"/>
      <c r="AFK177" s="90"/>
      <c r="AFL177" s="90"/>
      <c r="AFM177" s="90"/>
      <c r="AFN177" s="90"/>
      <c r="AFO177" s="90"/>
      <c r="AFP177" s="90"/>
      <c r="AFQ177" s="90"/>
      <c r="AFR177" s="90"/>
      <c r="AFS177" s="90"/>
      <c r="AFT177" s="90"/>
      <c r="AFU177" s="90"/>
      <c r="AFV177" s="90"/>
      <c r="AFW177" s="90"/>
      <c r="AFX177" s="90"/>
      <c r="AFY177" s="90"/>
      <c r="AFZ177" s="90"/>
      <c r="AGA177" s="90"/>
      <c r="AGB177" s="90"/>
      <c r="AGC177" s="90"/>
      <c r="AGD177" s="90"/>
      <c r="AGE177" s="90"/>
      <c r="AGF177" s="90"/>
      <c r="AGG177" s="90"/>
      <c r="AGH177" s="90"/>
      <c r="AGI177" s="90"/>
      <c r="AGJ177" s="90"/>
      <c r="AGK177" s="90"/>
      <c r="AGL177" s="90"/>
      <c r="AGM177" s="90"/>
      <c r="AGN177" s="90"/>
      <c r="AGO177" s="90"/>
      <c r="AGP177" s="90"/>
      <c r="AGQ177" s="90"/>
      <c r="AGR177" s="90"/>
      <c r="AGS177" s="90"/>
      <c r="AGT177" s="90"/>
      <c r="AGU177" s="90"/>
      <c r="AGV177" s="90"/>
      <c r="AGW177" s="90"/>
      <c r="AGX177" s="90"/>
      <c r="AGY177" s="90"/>
      <c r="AGZ177" s="90"/>
      <c r="AHA177" s="90"/>
      <c r="AHB177" s="90"/>
      <c r="AHC177" s="90"/>
      <c r="AHD177" s="90"/>
      <c r="AHE177" s="90"/>
      <c r="AHF177" s="90"/>
      <c r="AHG177" s="90"/>
      <c r="AHH177" s="90"/>
      <c r="AHI177" s="90"/>
      <c r="AHJ177" s="90"/>
      <c r="AHK177" s="90"/>
      <c r="AHL177" s="90"/>
      <c r="AHM177" s="90"/>
      <c r="AHN177" s="90"/>
      <c r="AHO177" s="90"/>
      <c r="AHP177" s="90"/>
      <c r="AHQ177" s="90"/>
      <c r="AHR177" s="90"/>
      <c r="AHS177" s="90"/>
      <c r="AHT177" s="90"/>
      <c r="AHU177" s="90"/>
      <c r="AHV177" s="90"/>
      <c r="AHW177" s="90"/>
      <c r="AHX177" s="90"/>
      <c r="AHY177" s="90"/>
      <c r="AHZ177" s="90"/>
      <c r="AIA177" s="90"/>
      <c r="AIB177" s="90"/>
      <c r="AIC177" s="90"/>
      <c r="AID177" s="90"/>
      <c r="AIE177" s="90"/>
      <c r="AIF177" s="90"/>
      <c r="AIG177" s="90"/>
      <c r="AIH177" s="90"/>
      <c r="AII177" s="90"/>
      <c r="AIJ177" s="90"/>
      <c r="AIK177" s="90"/>
      <c r="AIL177" s="90"/>
      <c r="AIM177" s="90"/>
      <c r="AIN177" s="90"/>
      <c r="AIO177" s="90"/>
      <c r="AIP177" s="90"/>
      <c r="AIQ177" s="90"/>
      <c r="AIR177" s="90"/>
      <c r="AIS177" s="90"/>
      <c r="AIT177" s="90"/>
      <c r="AIU177" s="90"/>
      <c r="AIV177" s="90"/>
      <c r="AIW177" s="90"/>
      <c r="AIX177" s="90"/>
      <c r="AIY177" s="90"/>
      <c r="AIZ177" s="90"/>
      <c r="AJA177" s="90"/>
      <c r="AJB177" s="90"/>
      <c r="AJC177" s="90"/>
      <c r="AJD177" s="90"/>
      <c r="AJE177" s="90"/>
      <c r="AJF177" s="90"/>
      <c r="AJG177" s="90"/>
      <c r="AJH177" s="90"/>
      <c r="AJI177" s="90"/>
      <c r="AJJ177" s="90"/>
      <c r="AJK177" s="90"/>
      <c r="AJL177" s="90"/>
      <c r="AJM177" s="90"/>
      <c r="AJN177" s="90"/>
      <c r="AJO177" s="90"/>
      <c r="AJP177" s="90"/>
      <c r="AJQ177" s="90"/>
      <c r="AJR177" s="90"/>
      <c r="AJS177" s="90"/>
      <c r="AJT177" s="90"/>
      <c r="AJU177" s="90"/>
      <c r="AJV177" s="90"/>
      <c r="AJW177" s="90"/>
      <c r="AJX177" s="90"/>
      <c r="AJY177" s="90"/>
      <c r="AJZ177" s="90"/>
      <c r="AKA177" s="90"/>
      <c r="AKB177" s="90"/>
      <c r="AKC177" s="90"/>
      <c r="AKD177" s="90"/>
      <c r="AKE177" s="90"/>
      <c r="AKF177" s="90"/>
      <c r="AKG177" s="90"/>
      <c r="AKH177" s="90"/>
      <c r="AKI177" s="90"/>
      <c r="AKJ177" s="90"/>
      <c r="AKK177" s="90"/>
      <c r="AKL177" s="90"/>
      <c r="AKM177" s="90"/>
      <c r="AKN177" s="90"/>
      <c r="AKO177" s="90"/>
      <c r="AKP177" s="90"/>
      <c r="AKQ177" s="90"/>
      <c r="AKR177" s="90"/>
      <c r="AKS177" s="90"/>
      <c r="AKT177" s="90"/>
      <c r="AKU177" s="90"/>
      <c r="AKV177" s="90"/>
      <c r="AKW177" s="90"/>
      <c r="AKX177" s="90"/>
      <c r="AKY177" s="90"/>
      <c r="AKZ177" s="90"/>
      <c r="ALA177" s="90"/>
      <c r="ALB177" s="90"/>
      <c r="ALC177" s="90"/>
      <c r="ALD177" s="90"/>
      <c r="ALE177" s="90"/>
      <c r="ALF177" s="90"/>
      <c r="ALG177" s="90"/>
      <c r="ALH177" s="90"/>
      <c r="ALI177" s="90"/>
      <c r="ALJ177" s="90"/>
      <c r="ALK177" s="90"/>
      <c r="ALL177" s="90"/>
      <c r="ALM177" s="90"/>
      <c r="ALN177" s="90"/>
      <c r="ALO177" s="90"/>
      <c r="ALP177" s="90"/>
      <c r="ALQ177" s="90"/>
      <c r="ALR177" s="90"/>
      <c r="ALS177" s="90"/>
      <c r="ALT177" s="90"/>
      <c r="ALU177" s="90"/>
      <c r="ALV177" s="90"/>
      <c r="ALW177" s="90"/>
      <c r="ALX177" s="90"/>
      <c r="ALY177" s="90"/>
      <c r="ALZ177" s="90"/>
      <c r="AMA177" s="90"/>
      <c r="AMB177" s="90"/>
      <c r="AMC177" s="90"/>
    </row>
    <row r="178" spans="1:1017">
      <c r="A178" s="98" t="s">
        <v>49</v>
      </c>
      <c r="B178" s="90" t="str">
        <f t="shared" si="1324"/>
        <v>Kerong Kerong</v>
      </c>
      <c r="Q178" s="91">
        <f t="shared" si="1325"/>
        <v>0</v>
      </c>
      <c r="R178" s="91">
        <f t="shared" si="1326"/>
        <v>0</v>
      </c>
      <c r="Y178" s="98">
        <v>519905</v>
      </c>
      <c r="Z178" s="98">
        <v>10398100</v>
      </c>
      <c r="AG178" s="91">
        <f t="shared" si="1327"/>
        <v>519905</v>
      </c>
      <c r="AH178" s="91">
        <f t="shared" si="1328"/>
        <v>10398100</v>
      </c>
      <c r="AW178" s="91">
        <f t="shared" si="1329"/>
        <v>0</v>
      </c>
      <c r="AX178" s="91">
        <f t="shared" si="1330"/>
        <v>0</v>
      </c>
      <c r="BM178" s="91">
        <f t="shared" si="1331"/>
        <v>0</v>
      </c>
      <c r="BN178" s="91">
        <f t="shared" si="1332"/>
        <v>0</v>
      </c>
      <c r="CC178" s="91">
        <f t="shared" si="1333"/>
        <v>0</v>
      </c>
      <c r="CD178" s="91">
        <f t="shared" si="1334"/>
        <v>0</v>
      </c>
      <c r="CS178" s="91">
        <f t="shared" si="1419"/>
        <v>0</v>
      </c>
      <c r="CT178" s="91">
        <f t="shared" si="1420"/>
        <v>0</v>
      </c>
      <c r="DI178" s="91">
        <f t="shared" si="1337"/>
        <v>0</v>
      </c>
      <c r="DJ178" s="91">
        <f t="shared" si="1338"/>
        <v>0</v>
      </c>
      <c r="DY178" s="91">
        <f t="shared" si="1339"/>
        <v>0</v>
      </c>
      <c r="DZ178" s="91">
        <f t="shared" si="1340"/>
        <v>0</v>
      </c>
      <c r="EO178" s="91">
        <f t="shared" si="1341"/>
        <v>0</v>
      </c>
      <c r="EP178" s="91">
        <f t="shared" si="1342"/>
        <v>0</v>
      </c>
      <c r="FE178" s="91">
        <f t="shared" si="1343"/>
        <v>0</v>
      </c>
      <c r="FF178" s="91">
        <f t="shared" si="1344"/>
        <v>0</v>
      </c>
      <c r="FU178" s="91">
        <f t="shared" si="1345"/>
        <v>0</v>
      </c>
      <c r="FV178" s="91">
        <f t="shared" si="1346"/>
        <v>0</v>
      </c>
      <c r="GK178" s="91">
        <f t="shared" si="1347"/>
        <v>0</v>
      </c>
      <c r="GL178" s="91">
        <f t="shared" si="1348"/>
        <v>0</v>
      </c>
      <c r="HA178" s="91">
        <f t="shared" si="1349"/>
        <v>0</v>
      </c>
      <c r="HB178" s="91">
        <f t="shared" si="1350"/>
        <v>0</v>
      </c>
      <c r="HQ178" s="91">
        <f t="shared" si="1351"/>
        <v>0</v>
      </c>
      <c r="HR178" s="91">
        <f t="shared" si="1352"/>
        <v>0</v>
      </c>
      <c r="IG178" s="91">
        <f t="shared" si="1353"/>
        <v>0</v>
      </c>
      <c r="IH178" s="91">
        <f t="shared" si="1354"/>
        <v>0</v>
      </c>
      <c r="IW178" s="91">
        <f t="shared" si="1355"/>
        <v>0</v>
      </c>
      <c r="IX178" s="91">
        <f t="shared" si="1356"/>
        <v>0</v>
      </c>
      <c r="JM178" s="91">
        <f t="shared" si="1357"/>
        <v>0</v>
      </c>
      <c r="JN178" s="91">
        <f t="shared" si="1358"/>
        <v>0</v>
      </c>
      <c r="KC178" s="91">
        <f t="shared" si="1359"/>
        <v>0</v>
      </c>
      <c r="KD178" s="91">
        <f t="shared" si="1360"/>
        <v>0</v>
      </c>
      <c r="KS178" s="91">
        <f t="shared" si="1361"/>
        <v>0</v>
      </c>
      <c r="KT178" s="91">
        <f t="shared" si="1362"/>
        <v>0</v>
      </c>
      <c r="LI178" s="91">
        <f t="shared" si="1363"/>
        <v>0</v>
      </c>
      <c r="LJ178" s="91">
        <f t="shared" si="1364"/>
        <v>0</v>
      </c>
      <c r="LY178" s="91">
        <f t="shared" si="1365"/>
        <v>0</v>
      </c>
      <c r="LZ178" s="91">
        <f t="shared" si="1366"/>
        <v>0</v>
      </c>
      <c r="MO178" s="91">
        <f t="shared" si="1367"/>
        <v>0</v>
      </c>
      <c r="MP178" s="91">
        <f t="shared" si="1368"/>
        <v>0</v>
      </c>
      <c r="NE178" s="91">
        <f t="shared" si="1369"/>
        <v>0</v>
      </c>
      <c r="NF178" s="91">
        <f t="shared" si="1370"/>
        <v>0</v>
      </c>
      <c r="NU178" s="91">
        <f t="shared" si="1371"/>
        <v>0</v>
      </c>
      <c r="NV178" s="91">
        <f t="shared" si="1372"/>
        <v>0</v>
      </c>
      <c r="OK178" s="91">
        <f t="shared" si="1373"/>
        <v>0</v>
      </c>
      <c r="OL178" s="91">
        <f t="shared" si="1374"/>
        <v>0</v>
      </c>
      <c r="PA178" s="91">
        <f t="shared" si="1375"/>
        <v>0</v>
      </c>
      <c r="PB178" s="91">
        <f t="shared" si="1376"/>
        <v>0</v>
      </c>
      <c r="PQ178" s="91">
        <f t="shared" si="1377"/>
        <v>0</v>
      </c>
      <c r="PR178" s="91">
        <f t="shared" si="1378"/>
        <v>0</v>
      </c>
      <c r="QG178" s="91">
        <f t="shared" si="1379"/>
        <v>0</v>
      </c>
      <c r="QH178" s="91">
        <f t="shared" si="1380"/>
        <v>0</v>
      </c>
      <c r="QW178" s="91">
        <f t="shared" si="1381"/>
        <v>0</v>
      </c>
      <c r="QX178" s="91">
        <f t="shared" si="1382"/>
        <v>0</v>
      </c>
      <c r="RM178" s="91">
        <f t="shared" si="1383"/>
        <v>0</v>
      </c>
      <c r="RN178" s="91">
        <f t="shared" si="1384"/>
        <v>0</v>
      </c>
      <c r="SC178" s="91">
        <f t="shared" si="1385"/>
        <v>0</v>
      </c>
      <c r="SD178" s="91">
        <f t="shared" si="1386"/>
        <v>0</v>
      </c>
      <c r="SS178" s="91">
        <f t="shared" si="1387"/>
        <v>0</v>
      </c>
      <c r="ST178" s="91">
        <f t="shared" si="1388"/>
        <v>0</v>
      </c>
      <c r="TI178" s="91">
        <f t="shared" si="1389"/>
        <v>0</v>
      </c>
      <c r="TJ178" s="91">
        <f t="shared" si="1390"/>
        <v>0</v>
      </c>
      <c r="TY178" s="91">
        <f t="shared" si="1391"/>
        <v>0</v>
      </c>
      <c r="TZ178" s="91">
        <f t="shared" si="1392"/>
        <v>0</v>
      </c>
      <c r="UO178" s="91">
        <f t="shared" si="1393"/>
        <v>0</v>
      </c>
      <c r="UP178" s="91">
        <f t="shared" si="1394"/>
        <v>0</v>
      </c>
      <c r="VE178" s="91">
        <f t="shared" si="1395"/>
        <v>0</v>
      </c>
      <c r="VF178" s="91">
        <f t="shared" si="1396"/>
        <v>0</v>
      </c>
      <c r="VU178" s="91">
        <f t="shared" si="1397"/>
        <v>0</v>
      </c>
      <c r="VV178" s="91">
        <f t="shared" si="1398"/>
        <v>0</v>
      </c>
      <c r="WK178" s="91">
        <f t="shared" si="1399"/>
        <v>0</v>
      </c>
      <c r="WL178" s="91">
        <f t="shared" si="1400"/>
        <v>0</v>
      </c>
      <c r="WM178" s="89"/>
      <c r="WN178" s="87">
        <f t="shared" si="1401"/>
        <v>0</v>
      </c>
      <c r="WO178" s="87">
        <f t="shared" si="1402"/>
        <v>0</v>
      </c>
      <c r="WP178" s="87">
        <f t="shared" si="1403"/>
        <v>0</v>
      </c>
      <c r="WQ178" s="87">
        <f t="shared" si="1404"/>
        <v>0</v>
      </c>
      <c r="WR178" s="87">
        <f t="shared" si="1405"/>
        <v>0</v>
      </c>
      <c r="WS178" s="87">
        <f t="shared" si="1406"/>
        <v>0</v>
      </c>
      <c r="WT178" s="87">
        <f t="shared" si="1407"/>
        <v>519905</v>
      </c>
      <c r="WU178" s="87">
        <f t="shared" si="1408"/>
        <v>10398100</v>
      </c>
      <c r="WV178" s="87">
        <f t="shared" si="1409"/>
        <v>0</v>
      </c>
      <c r="WW178" s="87">
        <f t="shared" si="1410"/>
        <v>0</v>
      </c>
      <c r="WX178" s="87">
        <f t="shared" si="1411"/>
        <v>0</v>
      </c>
      <c r="WY178" s="87">
        <f t="shared" si="1412"/>
        <v>0</v>
      </c>
      <c r="WZ178" s="87">
        <f t="shared" si="1413"/>
        <v>0</v>
      </c>
      <c r="XA178" s="87">
        <f t="shared" si="1414"/>
        <v>0</v>
      </c>
      <c r="XB178" s="92">
        <f t="shared" si="1415"/>
        <v>519905</v>
      </c>
      <c r="XC178" s="92">
        <f t="shared" si="1416"/>
        <v>10398100</v>
      </c>
      <c r="XD178" s="89"/>
      <c r="XE178" s="92"/>
      <c r="XF178" s="92"/>
      <c r="XG178" s="89"/>
      <c r="XH178" s="92"/>
      <c r="XI178" s="92"/>
      <c r="XJ178" s="89"/>
      <c r="XK178" s="87"/>
      <c r="XL178" s="87"/>
      <c r="XM178" s="87"/>
      <c r="XN178" s="87"/>
      <c r="XO178" s="87"/>
      <c r="XP178" s="87"/>
      <c r="XQ178" s="87"/>
      <c r="XR178" s="92">
        <f t="shared" ca="1" si="1417"/>
        <v>0</v>
      </c>
      <c r="XS178" s="89"/>
      <c r="XT178" s="87"/>
      <c r="XU178" s="87"/>
      <c r="XV178" s="87"/>
      <c r="XW178" s="87"/>
      <c r="XX178" s="87"/>
      <c r="XY178" s="87"/>
      <c r="XZ178" s="87"/>
      <c r="YA178" s="92">
        <f t="shared" ca="1" si="1418"/>
        <v>0</v>
      </c>
      <c r="YB178" s="90"/>
      <c r="YC178" s="90"/>
      <c r="YD178" s="90"/>
      <c r="YE178" s="90"/>
      <c r="YF178" s="90"/>
      <c r="YG178" s="90"/>
      <c r="YH178" s="90"/>
      <c r="YI178" s="90"/>
      <c r="YJ178" s="90"/>
      <c r="YK178" s="90"/>
      <c r="YL178" s="90"/>
      <c r="YM178" s="90"/>
      <c r="YN178" s="90"/>
      <c r="YO178" s="90"/>
      <c r="YP178" s="90"/>
      <c r="YQ178" s="90"/>
      <c r="YR178" s="90"/>
      <c r="YS178" s="90"/>
      <c r="YT178" s="90"/>
      <c r="YU178" s="90"/>
      <c r="YV178" s="90"/>
      <c r="YW178" s="90"/>
      <c r="YX178" s="90"/>
      <c r="YY178" s="90"/>
      <c r="YZ178" s="90"/>
      <c r="ZA178" s="90"/>
      <c r="ZB178" s="90"/>
      <c r="ZC178" s="90"/>
      <c r="ZD178" s="90"/>
      <c r="ZE178" s="90"/>
      <c r="ZF178" s="90"/>
      <c r="ZG178" s="90"/>
      <c r="ZH178" s="90"/>
      <c r="ZI178" s="90"/>
      <c r="ZJ178" s="90"/>
      <c r="ZK178" s="90"/>
      <c r="ZL178" s="90"/>
      <c r="ZM178" s="90"/>
      <c r="ZN178" s="90"/>
      <c r="ZO178" s="90"/>
      <c r="ZP178" s="90"/>
      <c r="ZQ178" s="90"/>
      <c r="ZR178" s="90"/>
      <c r="ZS178" s="90"/>
      <c r="ZT178" s="90"/>
      <c r="ZU178" s="90"/>
      <c r="ZV178" s="90"/>
      <c r="ZW178" s="90"/>
      <c r="ZX178" s="90"/>
      <c r="ZY178" s="90"/>
      <c r="ZZ178" s="90"/>
      <c r="AAA178" s="90"/>
      <c r="AAB178" s="90"/>
      <c r="AAC178" s="90"/>
      <c r="AAD178" s="90"/>
      <c r="AAE178" s="90"/>
      <c r="AAF178" s="90"/>
      <c r="AAG178" s="90"/>
      <c r="AAH178" s="90"/>
      <c r="AAI178" s="90"/>
      <c r="AAJ178" s="90"/>
      <c r="AAK178" s="90"/>
      <c r="AAL178" s="90"/>
      <c r="AAM178" s="90"/>
      <c r="AAN178" s="90"/>
      <c r="AAO178" s="90"/>
      <c r="AAP178" s="90"/>
      <c r="AAQ178" s="90"/>
      <c r="AAR178" s="90"/>
      <c r="AAS178" s="90"/>
      <c r="AAT178" s="90"/>
      <c r="AAU178" s="90"/>
      <c r="AAV178" s="90"/>
      <c r="AAW178" s="90"/>
      <c r="AAX178" s="90"/>
      <c r="AAY178" s="90"/>
      <c r="AAZ178" s="90"/>
      <c r="ABA178" s="90"/>
      <c r="ABB178" s="90"/>
      <c r="ABC178" s="90"/>
      <c r="ABD178" s="90"/>
      <c r="ABE178" s="90"/>
      <c r="ABF178" s="90"/>
      <c r="ABG178" s="90"/>
      <c r="ABH178" s="90"/>
      <c r="ABI178" s="90"/>
      <c r="ABJ178" s="90"/>
      <c r="ABK178" s="90"/>
      <c r="ABL178" s="90"/>
      <c r="ABM178" s="90"/>
      <c r="ABN178" s="90"/>
      <c r="ABO178" s="90"/>
      <c r="ABP178" s="90"/>
      <c r="ABQ178" s="90"/>
      <c r="ABR178" s="90"/>
      <c r="ABS178" s="90"/>
      <c r="ABT178" s="90"/>
      <c r="ABU178" s="90"/>
      <c r="ABV178" s="90"/>
      <c r="ABW178" s="90"/>
      <c r="ABX178" s="90"/>
      <c r="ABY178" s="90"/>
      <c r="ABZ178" s="90"/>
      <c r="ACA178" s="90"/>
      <c r="ACB178" s="90"/>
      <c r="ACC178" s="90"/>
      <c r="ACD178" s="90"/>
      <c r="ACE178" s="90"/>
      <c r="ACF178" s="90"/>
      <c r="ACG178" s="90"/>
      <c r="ACH178" s="90"/>
      <c r="ACI178" s="90"/>
      <c r="ACJ178" s="90"/>
      <c r="ACK178" s="90"/>
      <c r="ACL178" s="90"/>
      <c r="ACM178" s="90"/>
      <c r="ACN178" s="90"/>
      <c r="ACO178" s="90"/>
      <c r="ACP178" s="90"/>
      <c r="ACQ178" s="90"/>
      <c r="ACR178" s="90"/>
      <c r="ACS178" s="90"/>
      <c r="ACT178" s="90"/>
      <c r="ACU178" s="90"/>
      <c r="ACV178" s="90"/>
      <c r="ACW178" s="90"/>
      <c r="ACX178" s="90"/>
      <c r="ACY178" s="90"/>
      <c r="ACZ178" s="90"/>
      <c r="ADA178" s="90"/>
      <c r="ADB178" s="90"/>
      <c r="ADC178" s="90"/>
      <c r="ADD178" s="90"/>
      <c r="ADE178" s="90"/>
      <c r="ADF178" s="90"/>
      <c r="ADG178" s="90"/>
      <c r="ADH178" s="90"/>
      <c r="ADI178" s="90"/>
      <c r="ADJ178" s="90"/>
      <c r="ADK178" s="90"/>
      <c r="ADL178" s="90"/>
      <c r="ADM178" s="90"/>
      <c r="ADN178" s="90"/>
      <c r="ADO178" s="90"/>
      <c r="ADP178" s="90"/>
      <c r="ADQ178" s="90"/>
      <c r="ADR178" s="90"/>
      <c r="ADS178" s="90"/>
      <c r="ADT178" s="90"/>
      <c r="ADU178" s="90"/>
      <c r="ADV178" s="90"/>
      <c r="ADW178" s="90"/>
      <c r="ADX178" s="90"/>
      <c r="ADY178" s="90"/>
      <c r="ADZ178" s="90"/>
      <c r="AEA178" s="90"/>
      <c r="AEB178" s="90"/>
      <c r="AEC178" s="90"/>
      <c r="AED178" s="90"/>
      <c r="AEE178" s="90"/>
      <c r="AEF178" s="90"/>
      <c r="AEG178" s="90"/>
      <c r="AEH178" s="90"/>
      <c r="AEI178" s="90"/>
      <c r="AEJ178" s="90"/>
      <c r="AEK178" s="90"/>
      <c r="AEL178" s="90"/>
      <c r="AEM178" s="90"/>
      <c r="AEN178" s="90"/>
      <c r="AEO178" s="90"/>
      <c r="AEP178" s="90"/>
      <c r="AEQ178" s="90"/>
      <c r="AER178" s="90"/>
      <c r="AES178" s="90"/>
      <c r="AET178" s="90"/>
      <c r="AEU178" s="90"/>
      <c r="AEV178" s="90"/>
      <c r="AEW178" s="90"/>
      <c r="AEX178" s="90"/>
      <c r="AEY178" s="90"/>
      <c r="AEZ178" s="90"/>
      <c r="AFA178" s="90"/>
      <c r="AFB178" s="90"/>
      <c r="AFC178" s="90"/>
      <c r="AFD178" s="90"/>
      <c r="AFE178" s="90"/>
      <c r="AFF178" s="90"/>
      <c r="AFG178" s="90"/>
      <c r="AFH178" s="90"/>
      <c r="AFI178" s="90"/>
      <c r="AFJ178" s="90"/>
      <c r="AFK178" s="90"/>
      <c r="AFL178" s="90"/>
      <c r="AFM178" s="90"/>
      <c r="AFN178" s="90"/>
      <c r="AFO178" s="90"/>
      <c r="AFP178" s="90"/>
      <c r="AFQ178" s="90"/>
      <c r="AFR178" s="90"/>
      <c r="AFS178" s="90"/>
      <c r="AFT178" s="90"/>
      <c r="AFU178" s="90"/>
      <c r="AFV178" s="90"/>
      <c r="AFW178" s="90"/>
      <c r="AFX178" s="90"/>
      <c r="AFY178" s="90"/>
      <c r="AFZ178" s="90"/>
      <c r="AGA178" s="90"/>
      <c r="AGB178" s="90"/>
      <c r="AGC178" s="90"/>
      <c r="AGD178" s="90"/>
      <c r="AGE178" s="90"/>
      <c r="AGF178" s="90"/>
      <c r="AGG178" s="90"/>
      <c r="AGH178" s="90"/>
      <c r="AGI178" s="90"/>
      <c r="AGJ178" s="90"/>
      <c r="AGK178" s="90"/>
      <c r="AGL178" s="90"/>
      <c r="AGM178" s="90"/>
      <c r="AGN178" s="90"/>
      <c r="AGO178" s="90"/>
      <c r="AGP178" s="90"/>
      <c r="AGQ178" s="90"/>
      <c r="AGR178" s="90"/>
      <c r="AGS178" s="90"/>
      <c r="AGT178" s="90"/>
      <c r="AGU178" s="90"/>
      <c r="AGV178" s="90"/>
      <c r="AGW178" s="90"/>
      <c r="AGX178" s="90"/>
      <c r="AGY178" s="90"/>
      <c r="AGZ178" s="90"/>
      <c r="AHA178" s="90"/>
      <c r="AHB178" s="90"/>
      <c r="AHC178" s="90"/>
      <c r="AHD178" s="90"/>
      <c r="AHE178" s="90"/>
      <c r="AHF178" s="90"/>
      <c r="AHG178" s="90"/>
      <c r="AHH178" s="90"/>
      <c r="AHI178" s="90"/>
      <c r="AHJ178" s="90"/>
      <c r="AHK178" s="90"/>
      <c r="AHL178" s="90"/>
      <c r="AHM178" s="90"/>
      <c r="AHN178" s="90"/>
      <c r="AHO178" s="90"/>
      <c r="AHP178" s="90"/>
      <c r="AHQ178" s="90"/>
      <c r="AHR178" s="90"/>
      <c r="AHS178" s="90"/>
      <c r="AHT178" s="90"/>
      <c r="AHU178" s="90"/>
      <c r="AHV178" s="90"/>
      <c r="AHW178" s="90"/>
      <c r="AHX178" s="90"/>
      <c r="AHY178" s="90"/>
      <c r="AHZ178" s="90"/>
      <c r="AIA178" s="90"/>
      <c r="AIB178" s="90"/>
      <c r="AIC178" s="90"/>
      <c r="AID178" s="90"/>
      <c r="AIE178" s="90"/>
      <c r="AIF178" s="90"/>
      <c r="AIG178" s="90"/>
      <c r="AIH178" s="90"/>
      <c r="AII178" s="90"/>
      <c r="AIJ178" s="90"/>
      <c r="AIK178" s="90"/>
      <c r="AIL178" s="90"/>
      <c r="AIM178" s="90"/>
      <c r="AIN178" s="90"/>
      <c r="AIO178" s="90"/>
      <c r="AIP178" s="90"/>
      <c r="AIQ178" s="90"/>
      <c r="AIR178" s="90"/>
      <c r="AIS178" s="90"/>
      <c r="AIT178" s="90"/>
      <c r="AIU178" s="90"/>
      <c r="AIV178" s="90"/>
      <c r="AIW178" s="90"/>
      <c r="AIX178" s="90"/>
      <c r="AIY178" s="90"/>
      <c r="AIZ178" s="90"/>
      <c r="AJA178" s="90"/>
      <c r="AJB178" s="90"/>
      <c r="AJC178" s="90"/>
      <c r="AJD178" s="90"/>
      <c r="AJE178" s="90"/>
      <c r="AJF178" s="90"/>
      <c r="AJG178" s="90"/>
      <c r="AJH178" s="90"/>
      <c r="AJI178" s="90"/>
      <c r="AJJ178" s="90"/>
      <c r="AJK178" s="90"/>
      <c r="AJL178" s="90"/>
      <c r="AJM178" s="90"/>
      <c r="AJN178" s="90"/>
      <c r="AJO178" s="90"/>
      <c r="AJP178" s="90"/>
      <c r="AJQ178" s="90"/>
      <c r="AJR178" s="90"/>
      <c r="AJS178" s="90"/>
      <c r="AJT178" s="90"/>
      <c r="AJU178" s="90"/>
      <c r="AJV178" s="90"/>
      <c r="AJW178" s="90"/>
      <c r="AJX178" s="90"/>
      <c r="AJY178" s="90"/>
      <c r="AJZ178" s="90"/>
      <c r="AKA178" s="90"/>
      <c r="AKB178" s="90"/>
      <c r="AKC178" s="90"/>
      <c r="AKD178" s="90"/>
      <c r="AKE178" s="90"/>
      <c r="AKF178" s="90"/>
      <c r="AKG178" s="90"/>
      <c r="AKH178" s="90"/>
      <c r="AKI178" s="90"/>
      <c r="AKJ178" s="90"/>
      <c r="AKK178" s="90"/>
      <c r="AKL178" s="90"/>
      <c r="AKM178" s="90"/>
      <c r="AKN178" s="90"/>
      <c r="AKO178" s="90"/>
      <c r="AKP178" s="90"/>
      <c r="AKQ178" s="90"/>
      <c r="AKR178" s="90"/>
      <c r="AKS178" s="90"/>
      <c r="AKT178" s="90"/>
      <c r="AKU178" s="90"/>
      <c r="AKV178" s="90"/>
      <c r="AKW178" s="90"/>
      <c r="AKX178" s="90"/>
      <c r="AKY178" s="90"/>
      <c r="AKZ178" s="90"/>
      <c r="ALA178" s="90"/>
      <c r="ALB178" s="90"/>
      <c r="ALC178" s="90"/>
      <c r="ALD178" s="90"/>
      <c r="ALE178" s="90"/>
      <c r="ALF178" s="90"/>
      <c r="ALG178" s="90"/>
      <c r="ALH178" s="90"/>
      <c r="ALI178" s="90"/>
      <c r="ALJ178" s="90"/>
      <c r="ALK178" s="90"/>
      <c r="ALL178" s="90"/>
      <c r="ALM178" s="90"/>
      <c r="ALN178" s="90"/>
      <c r="ALO178" s="90"/>
      <c r="ALP178" s="90"/>
      <c r="ALQ178" s="90"/>
      <c r="ALR178" s="90"/>
      <c r="ALS178" s="90"/>
      <c r="ALT178" s="90"/>
      <c r="ALU178" s="90"/>
      <c r="ALV178" s="90"/>
      <c r="ALW178" s="90"/>
      <c r="ALX178" s="90"/>
      <c r="ALY178" s="90"/>
      <c r="ALZ178" s="90"/>
      <c r="AMA178" s="90"/>
      <c r="AMB178" s="90"/>
      <c r="AMC178" s="90"/>
    </row>
    <row r="179" spans="1:1017">
      <c r="A179" s="98" t="s">
        <v>49</v>
      </c>
      <c r="B179" s="90" t="str">
        <f t="shared" si="1324"/>
        <v xml:space="preserve">Lele </v>
      </c>
      <c r="I179" s="98">
        <v>23700</v>
      </c>
      <c r="J179" s="98">
        <v>474000</v>
      </c>
      <c r="M179" s="98">
        <v>200</v>
      </c>
      <c r="N179" s="98">
        <v>4000</v>
      </c>
      <c r="Q179" s="91">
        <f t="shared" si="1325"/>
        <v>23900</v>
      </c>
      <c r="R179" s="91">
        <f t="shared" si="1326"/>
        <v>478000</v>
      </c>
      <c r="AE179" s="98">
        <v>800</v>
      </c>
      <c r="AF179" s="98">
        <v>16000</v>
      </c>
      <c r="AG179" s="91">
        <f t="shared" si="1327"/>
        <v>800</v>
      </c>
      <c r="AH179" s="91">
        <f t="shared" si="1328"/>
        <v>16000</v>
      </c>
      <c r="AO179" s="98">
        <v>773600</v>
      </c>
      <c r="AP179" s="98">
        <v>13151200</v>
      </c>
      <c r="AW179" s="91">
        <f t="shared" si="1329"/>
        <v>773600</v>
      </c>
      <c r="AX179" s="91">
        <f t="shared" si="1330"/>
        <v>13151200</v>
      </c>
      <c r="BE179" s="98">
        <v>303198</v>
      </c>
      <c r="BF179" s="98">
        <v>5760762</v>
      </c>
      <c r="BM179" s="91">
        <f t="shared" si="1331"/>
        <v>303198</v>
      </c>
      <c r="BN179" s="91">
        <f t="shared" si="1332"/>
        <v>5760762</v>
      </c>
      <c r="BU179" s="98">
        <v>57284</v>
      </c>
      <c r="BV179" s="98">
        <v>1145680</v>
      </c>
      <c r="CC179" s="91">
        <f t="shared" si="1333"/>
        <v>57284</v>
      </c>
      <c r="CD179" s="91">
        <f t="shared" si="1334"/>
        <v>1145680</v>
      </c>
      <c r="CK179" s="98">
        <v>156578</v>
      </c>
      <c r="CL179" s="98">
        <v>2505250</v>
      </c>
      <c r="CS179" s="91">
        <f t="shared" si="1419"/>
        <v>156578</v>
      </c>
      <c r="CT179" s="91">
        <f t="shared" si="1420"/>
        <v>2505250</v>
      </c>
      <c r="DA179" s="98">
        <v>496320.00250979996</v>
      </c>
      <c r="DB179" s="98">
        <v>9181920.0470000003</v>
      </c>
      <c r="DI179" s="91">
        <f t="shared" si="1337"/>
        <v>496320.00250979996</v>
      </c>
      <c r="DJ179" s="91">
        <f t="shared" si="1338"/>
        <v>9181920.0470000003</v>
      </c>
      <c r="DQ179" s="98">
        <v>612500</v>
      </c>
      <c r="DR179" s="98">
        <v>11331250</v>
      </c>
      <c r="DY179" s="91">
        <f t="shared" si="1339"/>
        <v>612500</v>
      </c>
      <c r="DZ179" s="91">
        <f t="shared" si="1340"/>
        <v>11331250</v>
      </c>
      <c r="EG179" s="98">
        <v>1645000</v>
      </c>
      <c r="EH179" s="98">
        <v>29610000</v>
      </c>
      <c r="EO179" s="91">
        <f t="shared" si="1341"/>
        <v>1645000</v>
      </c>
      <c r="EP179" s="91">
        <f t="shared" si="1342"/>
        <v>29610000</v>
      </c>
      <c r="EW179" s="98">
        <v>668425</v>
      </c>
      <c r="EX179" s="98">
        <v>11363225</v>
      </c>
      <c r="EZ179" s="98" t="s">
        <v>384</v>
      </c>
      <c r="FA179" s="98">
        <v>14805</v>
      </c>
      <c r="FB179" s="98">
        <v>251685</v>
      </c>
      <c r="FE179" s="91">
        <f t="shared" si="1343"/>
        <v>683230</v>
      </c>
      <c r="FF179" s="91">
        <f t="shared" si="1344"/>
        <v>11614910</v>
      </c>
      <c r="FM179" s="98">
        <v>96400</v>
      </c>
      <c r="FN179" s="98">
        <v>1783400</v>
      </c>
      <c r="FU179" s="91">
        <f t="shared" si="1345"/>
        <v>96400</v>
      </c>
      <c r="FV179" s="91">
        <f t="shared" si="1346"/>
        <v>1783400</v>
      </c>
      <c r="GC179" s="98">
        <v>207500</v>
      </c>
      <c r="GD179" s="98">
        <v>3838750</v>
      </c>
      <c r="GK179" s="91">
        <f t="shared" si="1347"/>
        <v>207500</v>
      </c>
      <c r="GL179" s="91">
        <f t="shared" si="1348"/>
        <v>3838750</v>
      </c>
      <c r="GS179" s="98">
        <v>141000</v>
      </c>
      <c r="GT179" s="98">
        <v>2608500</v>
      </c>
      <c r="HA179" s="91">
        <f t="shared" si="1349"/>
        <v>141000</v>
      </c>
      <c r="HB179" s="91">
        <f t="shared" si="1350"/>
        <v>2608500</v>
      </c>
      <c r="HI179" s="98">
        <v>500000</v>
      </c>
      <c r="HJ179" s="98">
        <v>9000000</v>
      </c>
      <c r="HQ179" s="91">
        <f t="shared" si="1351"/>
        <v>500000</v>
      </c>
      <c r="HR179" s="91">
        <f t="shared" si="1352"/>
        <v>9000000</v>
      </c>
      <c r="HY179" s="98">
        <v>132400</v>
      </c>
      <c r="HZ179" s="98">
        <v>2383200</v>
      </c>
      <c r="IG179" s="91">
        <f t="shared" si="1353"/>
        <v>132400</v>
      </c>
      <c r="IH179" s="91">
        <f t="shared" si="1354"/>
        <v>2383200</v>
      </c>
      <c r="IO179" s="98">
        <v>856500</v>
      </c>
      <c r="IP179" s="98">
        <v>15845250</v>
      </c>
      <c r="IW179" s="91">
        <f t="shared" si="1355"/>
        <v>856500</v>
      </c>
      <c r="IX179" s="91">
        <f t="shared" si="1356"/>
        <v>15845250</v>
      </c>
      <c r="JE179" s="98">
        <v>337650</v>
      </c>
      <c r="JF179" s="98">
        <v>6246525</v>
      </c>
      <c r="JM179" s="91">
        <f t="shared" si="1357"/>
        <v>337650</v>
      </c>
      <c r="JN179" s="91">
        <f t="shared" si="1358"/>
        <v>6246525</v>
      </c>
      <c r="JU179" s="98">
        <v>61858</v>
      </c>
      <c r="JV179" s="98">
        <v>1484592</v>
      </c>
      <c r="KC179" s="91">
        <f t="shared" si="1359"/>
        <v>61858</v>
      </c>
      <c r="KD179" s="91">
        <f t="shared" si="1360"/>
        <v>1484592</v>
      </c>
      <c r="KK179" s="98">
        <v>58621</v>
      </c>
      <c r="KL179" s="98">
        <v>1172420</v>
      </c>
      <c r="KS179" s="91">
        <f t="shared" si="1361"/>
        <v>58621</v>
      </c>
      <c r="KT179" s="91">
        <f t="shared" si="1362"/>
        <v>1172420</v>
      </c>
      <c r="LA179" s="98">
        <v>1086511.6000000001</v>
      </c>
      <c r="LB179" s="98">
        <v>19557208</v>
      </c>
      <c r="LI179" s="91">
        <f t="shared" si="1363"/>
        <v>1086511.6000000001</v>
      </c>
      <c r="LJ179" s="91">
        <f t="shared" si="1364"/>
        <v>19557208</v>
      </c>
      <c r="LQ179" s="98">
        <v>152568</v>
      </c>
      <c r="LR179" s="98">
        <v>2822508</v>
      </c>
      <c r="LY179" s="91">
        <f t="shared" si="1365"/>
        <v>152568</v>
      </c>
      <c r="LZ179" s="91">
        <f t="shared" si="1366"/>
        <v>2822508</v>
      </c>
      <c r="MG179" s="98">
        <v>56500</v>
      </c>
      <c r="MH179" s="98">
        <v>1045250</v>
      </c>
      <c r="MO179" s="91">
        <f t="shared" si="1367"/>
        <v>56500</v>
      </c>
      <c r="MP179" s="91">
        <f t="shared" si="1368"/>
        <v>1045250</v>
      </c>
      <c r="MW179" s="98">
        <v>23481</v>
      </c>
      <c r="MX179" s="98">
        <v>540063</v>
      </c>
      <c r="NE179" s="91">
        <f t="shared" si="1369"/>
        <v>23481</v>
      </c>
      <c r="NF179" s="91">
        <f t="shared" si="1370"/>
        <v>540063</v>
      </c>
      <c r="NM179" s="98">
        <v>1965300</v>
      </c>
      <c r="NN179" s="98">
        <v>31444800</v>
      </c>
      <c r="NP179" s="98" t="s">
        <v>384</v>
      </c>
      <c r="NQ179" s="98">
        <v>600</v>
      </c>
      <c r="NR179" s="98">
        <v>9600</v>
      </c>
      <c r="NU179" s="91">
        <f t="shared" si="1371"/>
        <v>1965900</v>
      </c>
      <c r="NV179" s="91">
        <f t="shared" si="1372"/>
        <v>31454400</v>
      </c>
      <c r="OC179" s="98">
        <v>51739</v>
      </c>
      <c r="OD179" s="98">
        <v>983041</v>
      </c>
      <c r="OK179" s="91">
        <f t="shared" si="1373"/>
        <v>51739</v>
      </c>
      <c r="OL179" s="91">
        <f t="shared" si="1374"/>
        <v>983041</v>
      </c>
      <c r="OS179" s="98">
        <v>33319</v>
      </c>
      <c r="OT179" s="98">
        <v>699699</v>
      </c>
      <c r="PA179" s="91">
        <f t="shared" si="1375"/>
        <v>33319</v>
      </c>
      <c r="PB179" s="91">
        <f t="shared" si="1376"/>
        <v>699699</v>
      </c>
      <c r="PI179" s="98">
        <v>349921</v>
      </c>
      <c r="PJ179" s="98">
        <v>6473539</v>
      </c>
      <c r="PQ179" s="91">
        <f t="shared" si="1377"/>
        <v>349921</v>
      </c>
      <c r="PR179" s="91">
        <f t="shared" si="1378"/>
        <v>6473539</v>
      </c>
      <c r="PY179" s="98">
        <v>611995</v>
      </c>
      <c r="PZ179" s="98">
        <v>11627905</v>
      </c>
      <c r="QC179" s="98">
        <v>152060</v>
      </c>
      <c r="QD179" s="98">
        <v>2737080</v>
      </c>
      <c r="QG179" s="91">
        <f t="shared" si="1379"/>
        <v>764055</v>
      </c>
      <c r="QH179" s="91">
        <f t="shared" si="1380"/>
        <v>14364985</v>
      </c>
      <c r="QO179" s="98">
        <v>930000</v>
      </c>
      <c r="QP179" s="98">
        <v>16740000</v>
      </c>
      <c r="QW179" s="91">
        <f t="shared" si="1381"/>
        <v>930000</v>
      </c>
      <c r="QX179" s="91">
        <f t="shared" si="1382"/>
        <v>16740000</v>
      </c>
      <c r="RE179" s="98">
        <v>2530</v>
      </c>
      <c r="RF179" s="98">
        <f>RE179*20</f>
        <v>50600</v>
      </c>
      <c r="RM179" s="91">
        <f t="shared" si="1383"/>
        <v>2530</v>
      </c>
      <c r="RN179" s="91">
        <f t="shared" si="1384"/>
        <v>50600</v>
      </c>
      <c r="RU179" s="98">
        <v>9860</v>
      </c>
      <c r="RV179" s="98">
        <v>177480</v>
      </c>
      <c r="SC179" s="91">
        <f t="shared" si="1385"/>
        <v>9860</v>
      </c>
      <c r="SD179" s="91">
        <f t="shared" si="1386"/>
        <v>177480</v>
      </c>
      <c r="SK179" s="98">
        <v>15000</v>
      </c>
      <c r="SL179" s="98">
        <v>285000</v>
      </c>
      <c r="SS179" s="91">
        <f t="shared" si="1387"/>
        <v>15000</v>
      </c>
      <c r="ST179" s="91">
        <f t="shared" si="1388"/>
        <v>285000</v>
      </c>
      <c r="TA179" s="98">
        <v>17675</v>
      </c>
      <c r="TB179" s="98">
        <v>326987.5</v>
      </c>
      <c r="TI179" s="91">
        <f t="shared" si="1389"/>
        <v>17675</v>
      </c>
      <c r="TJ179" s="91">
        <f t="shared" si="1390"/>
        <v>326987.5</v>
      </c>
      <c r="TQ179" s="98">
        <v>8200</v>
      </c>
      <c r="TR179" s="98">
        <v>155800</v>
      </c>
      <c r="TY179" s="91">
        <f t="shared" si="1391"/>
        <v>8200</v>
      </c>
      <c r="TZ179" s="91">
        <f t="shared" si="1392"/>
        <v>155800</v>
      </c>
      <c r="UG179" s="98">
        <v>18015</v>
      </c>
      <c r="UH179" s="98">
        <v>324270</v>
      </c>
      <c r="UO179" s="91">
        <f t="shared" si="1393"/>
        <v>18015</v>
      </c>
      <c r="UP179" s="91">
        <f t="shared" si="1394"/>
        <v>324270</v>
      </c>
      <c r="UW179" s="98">
        <v>2109</v>
      </c>
      <c r="UX179" s="98">
        <v>40071</v>
      </c>
      <c r="VE179" s="91">
        <f t="shared" si="1395"/>
        <v>2109</v>
      </c>
      <c r="VF179" s="91">
        <f t="shared" si="1396"/>
        <v>40071</v>
      </c>
      <c r="VM179" s="98">
        <v>13849</v>
      </c>
      <c r="VN179" s="98">
        <v>263131</v>
      </c>
      <c r="VU179" s="91">
        <f t="shared" si="1397"/>
        <v>13849</v>
      </c>
      <c r="VV179" s="91">
        <f t="shared" si="1398"/>
        <v>263131</v>
      </c>
      <c r="WC179" s="98">
        <v>132121</v>
      </c>
      <c r="WD179" s="98">
        <v>2642420</v>
      </c>
      <c r="WI179" s="98">
        <v>6868</v>
      </c>
      <c r="WJ179" s="98">
        <v>151096</v>
      </c>
      <c r="WK179" s="91">
        <f t="shared" si="1399"/>
        <v>138989</v>
      </c>
      <c r="WL179" s="91">
        <f t="shared" si="1400"/>
        <v>2793516</v>
      </c>
      <c r="WM179" s="89"/>
      <c r="WN179" s="87">
        <f t="shared" si="1401"/>
        <v>0</v>
      </c>
      <c r="WO179" s="87">
        <f t="shared" si="1402"/>
        <v>0</v>
      </c>
      <c r="WP179" s="87">
        <f t="shared" si="1403"/>
        <v>0</v>
      </c>
      <c r="WQ179" s="87">
        <f t="shared" si="1404"/>
        <v>0</v>
      </c>
      <c r="WR179" s="87">
        <f t="shared" si="1405"/>
        <v>0</v>
      </c>
      <c r="WS179" s="87">
        <f t="shared" si="1406"/>
        <v>0</v>
      </c>
      <c r="WT179" s="87">
        <f t="shared" si="1407"/>
        <v>12609227.6025098</v>
      </c>
      <c r="WU179" s="87">
        <f t="shared" si="1408"/>
        <v>225085696.54699999</v>
      </c>
      <c r="WV179" s="87">
        <f t="shared" si="1409"/>
        <v>0</v>
      </c>
      <c r="WW179" s="87">
        <f t="shared" si="1410"/>
        <v>0</v>
      </c>
      <c r="WX179" s="87">
        <f t="shared" si="1411"/>
        <v>167665</v>
      </c>
      <c r="WY179" s="87">
        <f t="shared" si="1412"/>
        <v>3002365</v>
      </c>
      <c r="WZ179" s="87">
        <f t="shared" si="1413"/>
        <v>7668</v>
      </c>
      <c r="XA179" s="87">
        <f t="shared" si="1414"/>
        <v>167096</v>
      </c>
      <c r="XB179" s="92">
        <f t="shared" si="1415"/>
        <v>12784560.6025098</v>
      </c>
      <c r="XC179" s="92">
        <f t="shared" si="1416"/>
        <v>228255157.54699999</v>
      </c>
      <c r="XD179" s="89"/>
      <c r="XE179" s="92"/>
      <c r="XF179" s="92"/>
      <c r="XG179" s="89"/>
      <c r="XH179" s="92"/>
      <c r="XI179" s="92"/>
      <c r="XJ179" s="89"/>
      <c r="XK179" s="87"/>
      <c r="XL179" s="87"/>
      <c r="XM179" s="87"/>
      <c r="XN179" s="87"/>
      <c r="XO179" s="87"/>
      <c r="XP179" s="87"/>
      <c r="XQ179" s="87"/>
      <c r="XR179" s="92">
        <f t="shared" ca="1" si="1417"/>
        <v>0</v>
      </c>
      <c r="XS179" s="89"/>
      <c r="XT179" s="87"/>
      <c r="XU179" s="87"/>
      <c r="XV179" s="87"/>
      <c r="XW179" s="87"/>
      <c r="XX179" s="87"/>
      <c r="XY179" s="87"/>
      <c r="XZ179" s="87"/>
      <c r="YA179" s="92">
        <f t="shared" ca="1" si="1418"/>
        <v>0</v>
      </c>
      <c r="YB179" s="90"/>
      <c r="YC179" s="90"/>
      <c r="YD179" s="90"/>
      <c r="YE179" s="90"/>
      <c r="YF179" s="90"/>
      <c r="YG179" s="90"/>
      <c r="YH179" s="90"/>
      <c r="YI179" s="90"/>
      <c r="YJ179" s="90"/>
      <c r="YK179" s="90"/>
      <c r="YL179" s="90"/>
      <c r="YM179" s="90"/>
      <c r="YN179" s="90"/>
      <c r="YO179" s="90"/>
      <c r="YP179" s="90"/>
      <c r="YQ179" s="90"/>
      <c r="YR179" s="90"/>
      <c r="YS179" s="90"/>
      <c r="YT179" s="90"/>
      <c r="YU179" s="90"/>
      <c r="YV179" s="90"/>
      <c r="YW179" s="90"/>
      <c r="YX179" s="90"/>
      <c r="YY179" s="90"/>
      <c r="YZ179" s="90"/>
      <c r="ZA179" s="90"/>
      <c r="ZB179" s="90"/>
      <c r="ZC179" s="90"/>
      <c r="ZD179" s="90"/>
      <c r="ZE179" s="90"/>
      <c r="ZF179" s="90"/>
      <c r="ZG179" s="90"/>
      <c r="ZH179" s="90"/>
      <c r="ZI179" s="90"/>
      <c r="ZJ179" s="90"/>
      <c r="ZK179" s="90"/>
      <c r="ZL179" s="90"/>
      <c r="ZM179" s="90"/>
      <c r="ZN179" s="90"/>
      <c r="ZO179" s="90"/>
      <c r="ZP179" s="90"/>
      <c r="ZQ179" s="90"/>
      <c r="ZR179" s="90"/>
      <c r="ZS179" s="90"/>
      <c r="ZT179" s="90"/>
      <c r="ZU179" s="90"/>
      <c r="ZV179" s="90"/>
      <c r="ZW179" s="90"/>
      <c r="ZX179" s="90"/>
      <c r="ZY179" s="90"/>
      <c r="ZZ179" s="90"/>
      <c r="AAA179" s="90"/>
      <c r="AAB179" s="90"/>
      <c r="AAC179" s="90"/>
      <c r="AAD179" s="90"/>
      <c r="AAE179" s="90"/>
      <c r="AAF179" s="90"/>
      <c r="AAG179" s="90"/>
      <c r="AAH179" s="90"/>
      <c r="AAI179" s="90"/>
      <c r="AAJ179" s="90"/>
      <c r="AAK179" s="90"/>
      <c r="AAL179" s="90"/>
      <c r="AAM179" s="90"/>
      <c r="AAN179" s="90"/>
      <c r="AAO179" s="90"/>
      <c r="AAP179" s="90"/>
      <c r="AAQ179" s="90"/>
      <c r="AAR179" s="90"/>
      <c r="AAS179" s="90"/>
      <c r="AAT179" s="90"/>
      <c r="AAU179" s="90"/>
      <c r="AAV179" s="90"/>
      <c r="AAW179" s="90"/>
      <c r="AAX179" s="90"/>
      <c r="AAY179" s="90"/>
      <c r="AAZ179" s="90"/>
      <c r="ABA179" s="90"/>
      <c r="ABB179" s="90"/>
      <c r="ABC179" s="90"/>
      <c r="ABD179" s="90"/>
      <c r="ABE179" s="90"/>
      <c r="ABF179" s="90"/>
      <c r="ABG179" s="90"/>
      <c r="ABH179" s="90"/>
      <c r="ABI179" s="90"/>
      <c r="ABJ179" s="90"/>
      <c r="ABK179" s="90"/>
      <c r="ABL179" s="90"/>
      <c r="ABM179" s="90"/>
      <c r="ABN179" s="90"/>
      <c r="ABO179" s="90"/>
      <c r="ABP179" s="90"/>
      <c r="ABQ179" s="90"/>
      <c r="ABR179" s="90"/>
      <c r="ABS179" s="90"/>
      <c r="ABT179" s="90"/>
      <c r="ABU179" s="90"/>
      <c r="ABV179" s="90"/>
      <c r="ABW179" s="90"/>
      <c r="ABX179" s="90"/>
      <c r="ABY179" s="90"/>
      <c r="ABZ179" s="90"/>
      <c r="ACA179" s="90"/>
      <c r="ACB179" s="90"/>
      <c r="ACC179" s="90"/>
      <c r="ACD179" s="90"/>
      <c r="ACE179" s="90"/>
      <c r="ACF179" s="90"/>
      <c r="ACG179" s="90"/>
      <c r="ACH179" s="90"/>
      <c r="ACI179" s="90"/>
      <c r="ACJ179" s="90"/>
      <c r="ACK179" s="90"/>
      <c r="ACL179" s="90"/>
      <c r="ACM179" s="90"/>
      <c r="ACN179" s="90"/>
      <c r="ACO179" s="90"/>
      <c r="ACP179" s="90"/>
      <c r="ACQ179" s="90"/>
      <c r="ACR179" s="90"/>
      <c r="ACS179" s="90"/>
      <c r="ACT179" s="90"/>
      <c r="ACU179" s="90"/>
      <c r="ACV179" s="90"/>
      <c r="ACW179" s="90"/>
      <c r="ACX179" s="90"/>
      <c r="ACY179" s="90"/>
      <c r="ACZ179" s="90"/>
      <c r="ADA179" s="90"/>
      <c r="ADB179" s="90"/>
      <c r="ADC179" s="90"/>
      <c r="ADD179" s="90"/>
      <c r="ADE179" s="90"/>
      <c r="ADF179" s="90"/>
      <c r="ADG179" s="90"/>
      <c r="ADH179" s="90"/>
      <c r="ADI179" s="90"/>
      <c r="ADJ179" s="90"/>
      <c r="ADK179" s="90"/>
      <c r="ADL179" s="90"/>
      <c r="ADM179" s="90"/>
      <c r="ADN179" s="90"/>
      <c r="ADO179" s="90"/>
      <c r="ADP179" s="90"/>
      <c r="ADQ179" s="90"/>
      <c r="ADR179" s="90"/>
      <c r="ADS179" s="90"/>
      <c r="ADT179" s="90"/>
      <c r="ADU179" s="90"/>
      <c r="ADV179" s="90"/>
      <c r="ADW179" s="90"/>
      <c r="ADX179" s="90"/>
      <c r="ADY179" s="90"/>
      <c r="ADZ179" s="90"/>
      <c r="AEA179" s="90"/>
      <c r="AEB179" s="90"/>
      <c r="AEC179" s="90"/>
      <c r="AED179" s="90"/>
      <c r="AEE179" s="90"/>
      <c r="AEF179" s="90"/>
      <c r="AEG179" s="90"/>
      <c r="AEH179" s="90"/>
      <c r="AEI179" s="90"/>
      <c r="AEJ179" s="90"/>
      <c r="AEK179" s="90"/>
      <c r="AEL179" s="90"/>
      <c r="AEM179" s="90"/>
      <c r="AEN179" s="90"/>
      <c r="AEO179" s="90"/>
      <c r="AEP179" s="90"/>
      <c r="AEQ179" s="90"/>
      <c r="AER179" s="90"/>
      <c r="AES179" s="90"/>
      <c r="AET179" s="90"/>
      <c r="AEU179" s="90"/>
      <c r="AEV179" s="90"/>
      <c r="AEW179" s="90"/>
      <c r="AEX179" s="90"/>
      <c r="AEY179" s="90"/>
      <c r="AEZ179" s="90"/>
      <c r="AFA179" s="90"/>
      <c r="AFB179" s="90"/>
      <c r="AFC179" s="90"/>
      <c r="AFD179" s="90"/>
      <c r="AFE179" s="90"/>
      <c r="AFF179" s="90"/>
      <c r="AFG179" s="90"/>
      <c r="AFH179" s="90"/>
      <c r="AFI179" s="90"/>
      <c r="AFJ179" s="90"/>
      <c r="AFK179" s="90"/>
      <c r="AFL179" s="90"/>
      <c r="AFM179" s="90"/>
      <c r="AFN179" s="90"/>
      <c r="AFO179" s="90"/>
      <c r="AFP179" s="90"/>
      <c r="AFQ179" s="90"/>
      <c r="AFR179" s="90"/>
      <c r="AFS179" s="90"/>
      <c r="AFT179" s="90"/>
      <c r="AFU179" s="90"/>
      <c r="AFV179" s="90"/>
      <c r="AFW179" s="90"/>
      <c r="AFX179" s="90"/>
      <c r="AFY179" s="90"/>
      <c r="AFZ179" s="90"/>
      <c r="AGA179" s="90"/>
      <c r="AGB179" s="90"/>
      <c r="AGC179" s="90"/>
      <c r="AGD179" s="90"/>
      <c r="AGE179" s="90"/>
      <c r="AGF179" s="90"/>
      <c r="AGG179" s="90"/>
      <c r="AGH179" s="90"/>
      <c r="AGI179" s="90"/>
      <c r="AGJ179" s="90"/>
      <c r="AGK179" s="90"/>
      <c r="AGL179" s="90"/>
      <c r="AGM179" s="90"/>
      <c r="AGN179" s="90"/>
      <c r="AGO179" s="90"/>
      <c r="AGP179" s="90"/>
      <c r="AGQ179" s="90"/>
      <c r="AGR179" s="90"/>
      <c r="AGS179" s="90"/>
      <c r="AGT179" s="90"/>
      <c r="AGU179" s="90"/>
      <c r="AGV179" s="90"/>
      <c r="AGW179" s="90"/>
      <c r="AGX179" s="90"/>
      <c r="AGY179" s="90"/>
      <c r="AGZ179" s="90"/>
      <c r="AHA179" s="90"/>
      <c r="AHB179" s="90"/>
      <c r="AHC179" s="90"/>
      <c r="AHD179" s="90"/>
      <c r="AHE179" s="90"/>
      <c r="AHF179" s="90"/>
      <c r="AHG179" s="90"/>
      <c r="AHH179" s="90"/>
      <c r="AHI179" s="90"/>
      <c r="AHJ179" s="90"/>
      <c r="AHK179" s="90"/>
      <c r="AHL179" s="90"/>
      <c r="AHM179" s="90"/>
      <c r="AHN179" s="90"/>
      <c r="AHO179" s="90"/>
      <c r="AHP179" s="90"/>
      <c r="AHQ179" s="90"/>
      <c r="AHR179" s="90"/>
      <c r="AHS179" s="90"/>
      <c r="AHT179" s="90"/>
      <c r="AHU179" s="90"/>
      <c r="AHV179" s="90"/>
      <c r="AHW179" s="90"/>
      <c r="AHX179" s="90"/>
      <c r="AHY179" s="90"/>
      <c r="AHZ179" s="90"/>
      <c r="AIA179" s="90"/>
      <c r="AIB179" s="90"/>
      <c r="AIC179" s="90"/>
      <c r="AID179" s="90"/>
      <c r="AIE179" s="90"/>
      <c r="AIF179" s="90"/>
      <c r="AIG179" s="90"/>
      <c r="AIH179" s="90"/>
      <c r="AII179" s="90"/>
      <c r="AIJ179" s="90"/>
      <c r="AIK179" s="90"/>
      <c r="AIL179" s="90"/>
      <c r="AIM179" s="90"/>
      <c r="AIN179" s="90"/>
      <c r="AIO179" s="90"/>
      <c r="AIP179" s="90"/>
      <c r="AIQ179" s="90"/>
      <c r="AIR179" s="90"/>
      <c r="AIS179" s="90"/>
      <c r="AIT179" s="90"/>
      <c r="AIU179" s="90"/>
      <c r="AIV179" s="90"/>
      <c r="AIW179" s="90"/>
      <c r="AIX179" s="90"/>
      <c r="AIY179" s="90"/>
      <c r="AIZ179" s="90"/>
      <c r="AJA179" s="90"/>
      <c r="AJB179" s="90"/>
      <c r="AJC179" s="90"/>
      <c r="AJD179" s="90"/>
      <c r="AJE179" s="90"/>
      <c r="AJF179" s="90"/>
      <c r="AJG179" s="90"/>
      <c r="AJH179" s="90"/>
      <c r="AJI179" s="90"/>
      <c r="AJJ179" s="90"/>
      <c r="AJK179" s="90"/>
      <c r="AJL179" s="90"/>
      <c r="AJM179" s="90"/>
      <c r="AJN179" s="90"/>
      <c r="AJO179" s="90"/>
      <c r="AJP179" s="90"/>
      <c r="AJQ179" s="90"/>
      <c r="AJR179" s="90"/>
      <c r="AJS179" s="90"/>
      <c r="AJT179" s="90"/>
      <c r="AJU179" s="90"/>
      <c r="AJV179" s="90"/>
      <c r="AJW179" s="90"/>
      <c r="AJX179" s="90"/>
      <c r="AJY179" s="90"/>
      <c r="AJZ179" s="90"/>
      <c r="AKA179" s="90"/>
      <c r="AKB179" s="90"/>
      <c r="AKC179" s="90"/>
      <c r="AKD179" s="90"/>
      <c r="AKE179" s="90"/>
      <c r="AKF179" s="90"/>
      <c r="AKG179" s="90"/>
      <c r="AKH179" s="90"/>
      <c r="AKI179" s="90"/>
      <c r="AKJ179" s="90"/>
      <c r="AKK179" s="90"/>
      <c r="AKL179" s="90"/>
      <c r="AKM179" s="90"/>
      <c r="AKN179" s="90"/>
      <c r="AKO179" s="90"/>
      <c r="AKP179" s="90"/>
      <c r="AKQ179" s="90"/>
      <c r="AKR179" s="90"/>
      <c r="AKS179" s="90"/>
      <c r="AKT179" s="90"/>
      <c r="AKU179" s="90"/>
      <c r="AKV179" s="90"/>
      <c r="AKW179" s="90"/>
      <c r="AKX179" s="90"/>
      <c r="AKY179" s="90"/>
      <c r="AKZ179" s="90"/>
      <c r="ALA179" s="90"/>
      <c r="ALB179" s="90"/>
      <c r="ALC179" s="90"/>
      <c r="ALD179" s="90"/>
      <c r="ALE179" s="90"/>
      <c r="ALF179" s="90"/>
      <c r="ALG179" s="90"/>
      <c r="ALH179" s="90"/>
      <c r="ALI179" s="90"/>
      <c r="ALJ179" s="90"/>
      <c r="ALK179" s="90"/>
      <c r="ALL179" s="90"/>
      <c r="ALM179" s="90"/>
      <c r="ALN179" s="90"/>
      <c r="ALO179" s="90"/>
      <c r="ALP179" s="90"/>
      <c r="ALQ179" s="90"/>
      <c r="ALR179" s="90"/>
      <c r="ALS179" s="90"/>
      <c r="ALT179" s="90"/>
      <c r="ALU179" s="90"/>
      <c r="ALV179" s="90"/>
      <c r="ALW179" s="90"/>
      <c r="ALX179" s="90"/>
      <c r="ALY179" s="90"/>
      <c r="ALZ179" s="90"/>
      <c r="AMA179" s="90"/>
      <c r="AMB179" s="90"/>
      <c r="AMC179" s="90"/>
    </row>
    <row r="180" spans="1:1017">
      <c r="A180" s="98" t="s">
        <v>49</v>
      </c>
      <c r="B180" s="90" t="str">
        <f t="shared" si="1324"/>
        <v xml:space="preserve">Lobster Air Laut </v>
      </c>
      <c r="Q180" s="91">
        <f t="shared" si="1325"/>
        <v>0</v>
      </c>
      <c r="R180" s="91">
        <f t="shared" si="1326"/>
        <v>0</v>
      </c>
      <c r="S180" s="98">
        <v>805</v>
      </c>
      <c r="T180" s="98">
        <v>281750</v>
      </c>
      <c r="AG180" s="91">
        <f t="shared" si="1327"/>
        <v>805</v>
      </c>
      <c r="AH180" s="91">
        <f t="shared" si="1328"/>
        <v>281750</v>
      </c>
      <c r="AW180" s="91">
        <f t="shared" si="1329"/>
        <v>0</v>
      </c>
      <c r="AX180" s="91">
        <f t="shared" si="1330"/>
        <v>0</v>
      </c>
      <c r="BM180" s="91">
        <f t="shared" si="1331"/>
        <v>0</v>
      </c>
      <c r="BN180" s="91">
        <f t="shared" si="1332"/>
        <v>0</v>
      </c>
      <c r="CC180" s="91">
        <f t="shared" si="1333"/>
        <v>0</v>
      </c>
      <c r="CD180" s="91">
        <f t="shared" si="1334"/>
        <v>0</v>
      </c>
      <c r="CS180" s="91">
        <f t="shared" si="1419"/>
        <v>0</v>
      </c>
      <c r="CT180" s="91">
        <f t="shared" si="1420"/>
        <v>0</v>
      </c>
      <c r="DI180" s="91">
        <f t="shared" si="1337"/>
        <v>0</v>
      </c>
      <c r="DJ180" s="91">
        <f t="shared" si="1338"/>
        <v>0</v>
      </c>
      <c r="DY180" s="91">
        <f t="shared" si="1339"/>
        <v>0</v>
      </c>
      <c r="DZ180" s="91">
        <f t="shared" si="1340"/>
        <v>0</v>
      </c>
      <c r="EO180" s="91">
        <f t="shared" si="1341"/>
        <v>0</v>
      </c>
      <c r="EP180" s="91">
        <f t="shared" si="1342"/>
        <v>0</v>
      </c>
      <c r="FE180" s="91">
        <f t="shared" si="1343"/>
        <v>0</v>
      </c>
      <c r="FF180" s="91">
        <f t="shared" si="1344"/>
        <v>0</v>
      </c>
      <c r="FU180" s="91">
        <f t="shared" si="1345"/>
        <v>0</v>
      </c>
      <c r="FV180" s="91">
        <f t="shared" si="1346"/>
        <v>0</v>
      </c>
      <c r="GK180" s="91">
        <f t="shared" si="1347"/>
        <v>0</v>
      </c>
      <c r="GL180" s="91">
        <f t="shared" si="1348"/>
        <v>0</v>
      </c>
      <c r="HA180" s="91">
        <f t="shared" si="1349"/>
        <v>0</v>
      </c>
      <c r="HB180" s="91">
        <f t="shared" si="1350"/>
        <v>0</v>
      </c>
      <c r="HQ180" s="91">
        <f t="shared" si="1351"/>
        <v>0</v>
      </c>
      <c r="HR180" s="91">
        <f t="shared" si="1352"/>
        <v>0</v>
      </c>
      <c r="IG180" s="91">
        <f t="shared" si="1353"/>
        <v>0</v>
      </c>
      <c r="IH180" s="91">
        <f t="shared" si="1354"/>
        <v>0</v>
      </c>
      <c r="IW180" s="91">
        <f t="shared" si="1355"/>
        <v>0</v>
      </c>
      <c r="IX180" s="91">
        <f t="shared" si="1356"/>
        <v>0</v>
      </c>
      <c r="JM180" s="91">
        <f t="shared" si="1357"/>
        <v>0</v>
      </c>
      <c r="JN180" s="91">
        <f t="shared" si="1358"/>
        <v>0</v>
      </c>
      <c r="KC180" s="91">
        <f t="shared" si="1359"/>
        <v>0</v>
      </c>
      <c r="KD180" s="91">
        <f t="shared" si="1360"/>
        <v>0</v>
      </c>
      <c r="KS180" s="91">
        <f t="shared" si="1361"/>
        <v>0</v>
      </c>
      <c r="KT180" s="91">
        <f t="shared" si="1362"/>
        <v>0</v>
      </c>
      <c r="LI180" s="91">
        <f t="shared" si="1363"/>
        <v>0</v>
      </c>
      <c r="LJ180" s="91">
        <f t="shared" si="1364"/>
        <v>0</v>
      </c>
      <c r="LY180" s="91">
        <f t="shared" si="1365"/>
        <v>0</v>
      </c>
      <c r="LZ180" s="91">
        <f t="shared" si="1366"/>
        <v>0</v>
      </c>
      <c r="MO180" s="91">
        <f t="shared" si="1367"/>
        <v>0</v>
      </c>
      <c r="MP180" s="91">
        <f t="shared" si="1368"/>
        <v>0</v>
      </c>
      <c r="NE180" s="91">
        <f t="shared" si="1369"/>
        <v>0</v>
      </c>
      <c r="NF180" s="91">
        <f t="shared" si="1370"/>
        <v>0</v>
      </c>
      <c r="NU180" s="91">
        <f t="shared" si="1371"/>
        <v>0</v>
      </c>
      <c r="NV180" s="91">
        <f t="shared" si="1372"/>
        <v>0</v>
      </c>
      <c r="NW180" s="98">
        <v>250</v>
      </c>
      <c r="NX180" s="98">
        <v>87500</v>
      </c>
      <c r="OK180" s="91">
        <f t="shared" si="1373"/>
        <v>250</v>
      </c>
      <c r="OL180" s="91">
        <f t="shared" si="1374"/>
        <v>87500</v>
      </c>
      <c r="PA180" s="91">
        <f t="shared" si="1375"/>
        <v>0</v>
      </c>
      <c r="PB180" s="91">
        <f t="shared" si="1376"/>
        <v>0</v>
      </c>
      <c r="PQ180" s="91">
        <f t="shared" si="1377"/>
        <v>0</v>
      </c>
      <c r="PR180" s="91">
        <f t="shared" si="1378"/>
        <v>0</v>
      </c>
      <c r="QG180" s="91">
        <f t="shared" si="1379"/>
        <v>0</v>
      </c>
      <c r="QH180" s="91">
        <f t="shared" si="1380"/>
        <v>0</v>
      </c>
      <c r="QW180" s="91">
        <f t="shared" si="1381"/>
        <v>0</v>
      </c>
      <c r="QX180" s="91">
        <f t="shared" si="1382"/>
        <v>0</v>
      </c>
      <c r="RM180" s="91">
        <f t="shared" si="1383"/>
        <v>0</v>
      </c>
      <c r="RN180" s="91">
        <f t="shared" si="1384"/>
        <v>0</v>
      </c>
      <c r="SC180" s="91">
        <f t="shared" si="1385"/>
        <v>0</v>
      </c>
      <c r="SD180" s="91">
        <f t="shared" si="1386"/>
        <v>0</v>
      </c>
      <c r="SS180" s="91">
        <f t="shared" si="1387"/>
        <v>0</v>
      </c>
      <c r="ST180" s="91">
        <f t="shared" si="1388"/>
        <v>0</v>
      </c>
      <c r="TI180" s="91">
        <f t="shared" si="1389"/>
        <v>0</v>
      </c>
      <c r="TJ180" s="91">
        <f t="shared" si="1390"/>
        <v>0</v>
      </c>
      <c r="TY180" s="91">
        <f t="shared" si="1391"/>
        <v>0</v>
      </c>
      <c r="TZ180" s="91">
        <f t="shared" si="1392"/>
        <v>0</v>
      </c>
      <c r="UO180" s="91">
        <f t="shared" si="1393"/>
        <v>0</v>
      </c>
      <c r="UP180" s="91">
        <f t="shared" si="1394"/>
        <v>0</v>
      </c>
      <c r="VE180" s="91">
        <f t="shared" si="1395"/>
        <v>0</v>
      </c>
      <c r="VF180" s="91">
        <f t="shared" si="1396"/>
        <v>0</v>
      </c>
      <c r="VU180" s="91">
        <f t="shared" si="1397"/>
        <v>0</v>
      </c>
      <c r="VV180" s="91">
        <f t="shared" si="1398"/>
        <v>0</v>
      </c>
      <c r="WK180" s="91">
        <f t="shared" si="1399"/>
        <v>0</v>
      </c>
      <c r="WL180" s="91">
        <f t="shared" si="1400"/>
        <v>0</v>
      </c>
      <c r="WM180" s="89"/>
      <c r="WN180" s="87">
        <f t="shared" si="1401"/>
        <v>1055</v>
      </c>
      <c r="WO180" s="87">
        <f t="shared" si="1402"/>
        <v>369250</v>
      </c>
      <c r="WP180" s="87">
        <f t="shared" si="1403"/>
        <v>0</v>
      </c>
      <c r="WQ180" s="87">
        <f t="shared" si="1404"/>
        <v>0</v>
      </c>
      <c r="WR180" s="87">
        <f t="shared" si="1405"/>
        <v>0</v>
      </c>
      <c r="WS180" s="87">
        <f t="shared" si="1406"/>
        <v>0</v>
      </c>
      <c r="WT180" s="87">
        <f t="shared" si="1407"/>
        <v>0</v>
      </c>
      <c r="WU180" s="87">
        <f t="shared" si="1408"/>
        <v>0</v>
      </c>
      <c r="WV180" s="87">
        <f t="shared" si="1409"/>
        <v>0</v>
      </c>
      <c r="WW180" s="87">
        <f t="shared" si="1410"/>
        <v>0</v>
      </c>
      <c r="WX180" s="87">
        <f t="shared" si="1411"/>
        <v>0</v>
      </c>
      <c r="WY180" s="87">
        <f t="shared" si="1412"/>
        <v>0</v>
      </c>
      <c r="WZ180" s="87">
        <f t="shared" si="1413"/>
        <v>0</v>
      </c>
      <c r="XA180" s="87">
        <f t="shared" si="1414"/>
        <v>0</v>
      </c>
      <c r="XB180" s="92">
        <f t="shared" si="1415"/>
        <v>1055</v>
      </c>
      <c r="XC180" s="92">
        <f t="shared" si="1416"/>
        <v>369250</v>
      </c>
      <c r="XD180" s="89"/>
      <c r="XE180" s="92"/>
      <c r="XF180" s="92"/>
      <c r="XG180" s="89"/>
      <c r="XH180" s="92"/>
      <c r="XI180" s="92"/>
      <c r="XJ180" s="89"/>
      <c r="XK180" s="87"/>
      <c r="XL180" s="87"/>
      <c r="XM180" s="87"/>
      <c r="XN180" s="87"/>
      <c r="XO180" s="87"/>
      <c r="XP180" s="87"/>
      <c r="XQ180" s="87"/>
      <c r="XR180" s="92">
        <f t="shared" ca="1" si="1417"/>
        <v>0</v>
      </c>
      <c r="XS180" s="89"/>
      <c r="XT180" s="87"/>
      <c r="XU180" s="87"/>
      <c r="XV180" s="87"/>
      <c r="XW180" s="87"/>
      <c r="XX180" s="87"/>
      <c r="XY180" s="87"/>
      <c r="XZ180" s="87"/>
      <c r="YA180" s="92">
        <f t="shared" ca="1" si="1418"/>
        <v>0</v>
      </c>
      <c r="YB180" s="90"/>
      <c r="YC180" s="90"/>
      <c r="YD180" s="90"/>
      <c r="YE180" s="90"/>
      <c r="YF180" s="90"/>
      <c r="YG180" s="90"/>
      <c r="YH180" s="90"/>
      <c r="YI180" s="90"/>
      <c r="YJ180" s="90"/>
      <c r="YK180" s="90"/>
      <c r="YL180" s="90"/>
      <c r="YM180" s="90"/>
      <c r="YN180" s="90"/>
      <c r="YO180" s="90"/>
      <c r="YP180" s="90"/>
      <c r="YQ180" s="90"/>
      <c r="YR180" s="90"/>
      <c r="YS180" s="90"/>
      <c r="YT180" s="90"/>
      <c r="YU180" s="90"/>
      <c r="YV180" s="90"/>
      <c r="YW180" s="90"/>
      <c r="YX180" s="90"/>
      <c r="YY180" s="90"/>
      <c r="YZ180" s="90"/>
      <c r="ZA180" s="90"/>
      <c r="ZB180" s="90"/>
      <c r="ZC180" s="90"/>
      <c r="ZD180" s="90"/>
      <c r="ZE180" s="90"/>
      <c r="ZF180" s="90"/>
      <c r="ZG180" s="90"/>
      <c r="ZH180" s="90"/>
      <c r="ZI180" s="90"/>
      <c r="ZJ180" s="90"/>
      <c r="ZK180" s="90"/>
      <c r="ZL180" s="90"/>
      <c r="ZM180" s="90"/>
      <c r="ZN180" s="90"/>
      <c r="ZO180" s="90"/>
      <c r="ZP180" s="90"/>
      <c r="ZQ180" s="90"/>
      <c r="ZR180" s="90"/>
      <c r="ZS180" s="90"/>
      <c r="ZT180" s="90"/>
      <c r="ZU180" s="90"/>
      <c r="ZV180" s="90"/>
      <c r="ZW180" s="90"/>
      <c r="ZX180" s="90"/>
      <c r="ZY180" s="90"/>
      <c r="ZZ180" s="90"/>
      <c r="AAA180" s="90"/>
      <c r="AAB180" s="90"/>
      <c r="AAC180" s="90"/>
      <c r="AAD180" s="90"/>
      <c r="AAE180" s="90"/>
      <c r="AAF180" s="90"/>
      <c r="AAG180" s="90"/>
      <c r="AAH180" s="90"/>
      <c r="AAI180" s="90"/>
      <c r="AAJ180" s="90"/>
      <c r="AAK180" s="90"/>
      <c r="AAL180" s="90"/>
      <c r="AAM180" s="90"/>
      <c r="AAN180" s="90"/>
      <c r="AAO180" s="90"/>
      <c r="AAP180" s="90"/>
      <c r="AAQ180" s="90"/>
      <c r="AAR180" s="90"/>
      <c r="AAS180" s="90"/>
      <c r="AAT180" s="90"/>
      <c r="AAU180" s="90"/>
      <c r="AAV180" s="90"/>
      <c r="AAW180" s="90"/>
      <c r="AAX180" s="90"/>
      <c r="AAY180" s="90"/>
      <c r="AAZ180" s="90"/>
      <c r="ABA180" s="90"/>
      <c r="ABB180" s="90"/>
      <c r="ABC180" s="90"/>
      <c r="ABD180" s="90"/>
      <c r="ABE180" s="90"/>
      <c r="ABF180" s="90"/>
      <c r="ABG180" s="90"/>
      <c r="ABH180" s="90"/>
      <c r="ABI180" s="90"/>
      <c r="ABJ180" s="90"/>
      <c r="ABK180" s="90"/>
      <c r="ABL180" s="90"/>
      <c r="ABM180" s="90"/>
      <c r="ABN180" s="90"/>
      <c r="ABO180" s="90"/>
      <c r="ABP180" s="90"/>
      <c r="ABQ180" s="90"/>
      <c r="ABR180" s="90"/>
      <c r="ABS180" s="90"/>
      <c r="ABT180" s="90"/>
      <c r="ABU180" s="90"/>
      <c r="ABV180" s="90"/>
      <c r="ABW180" s="90"/>
      <c r="ABX180" s="90"/>
      <c r="ABY180" s="90"/>
      <c r="ABZ180" s="90"/>
      <c r="ACA180" s="90"/>
      <c r="ACB180" s="90"/>
      <c r="ACC180" s="90"/>
      <c r="ACD180" s="90"/>
      <c r="ACE180" s="90"/>
      <c r="ACF180" s="90"/>
      <c r="ACG180" s="90"/>
      <c r="ACH180" s="90"/>
      <c r="ACI180" s="90"/>
      <c r="ACJ180" s="90"/>
      <c r="ACK180" s="90"/>
      <c r="ACL180" s="90"/>
      <c r="ACM180" s="90"/>
      <c r="ACN180" s="90"/>
      <c r="ACO180" s="90"/>
      <c r="ACP180" s="90"/>
      <c r="ACQ180" s="90"/>
      <c r="ACR180" s="90"/>
      <c r="ACS180" s="90"/>
      <c r="ACT180" s="90"/>
      <c r="ACU180" s="90"/>
      <c r="ACV180" s="90"/>
      <c r="ACW180" s="90"/>
      <c r="ACX180" s="90"/>
      <c r="ACY180" s="90"/>
      <c r="ACZ180" s="90"/>
      <c r="ADA180" s="90"/>
      <c r="ADB180" s="90"/>
      <c r="ADC180" s="90"/>
      <c r="ADD180" s="90"/>
      <c r="ADE180" s="90"/>
      <c r="ADF180" s="90"/>
      <c r="ADG180" s="90"/>
      <c r="ADH180" s="90"/>
      <c r="ADI180" s="90"/>
      <c r="ADJ180" s="90"/>
      <c r="ADK180" s="90"/>
      <c r="ADL180" s="90"/>
      <c r="ADM180" s="90"/>
      <c r="ADN180" s="90"/>
      <c r="ADO180" s="90"/>
      <c r="ADP180" s="90"/>
      <c r="ADQ180" s="90"/>
      <c r="ADR180" s="90"/>
      <c r="ADS180" s="90"/>
      <c r="ADT180" s="90"/>
      <c r="ADU180" s="90"/>
      <c r="ADV180" s="90"/>
      <c r="ADW180" s="90"/>
      <c r="ADX180" s="90"/>
      <c r="ADY180" s="90"/>
      <c r="ADZ180" s="90"/>
      <c r="AEA180" s="90"/>
      <c r="AEB180" s="90"/>
      <c r="AEC180" s="90"/>
      <c r="AED180" s="90"/>
      <c r="AEE180" s="90"/>
      <c r="AEF180" s="90"/>
      <c r="AEG180" s="90"/>
      <c r="AEH180" s="90"/>
      <c r="AEI180" s="90"/>
      <c r="AEJ180" s="90"/>
      <c r="AEK180" s="90"/>
      <c r="AEL180" s="90"/>
      <c r="AEM180" s="90"/>
      <c r="AEN180" s="90"/>
      <c r="AEO180" s="90"/>
      <c r="AEP180" s="90"/>
      <c r="AEQ180" s="90"/>
      <c r="AER180" s="90"/>
      <c r="AES180" s="90"/>
      <c r="AET180" s="90"/>
      <c r="AEU180" s="90"/>
      <c r="AEV180" s="90"/>
      <c r="AEW180" s="90"/>
      <c r="AEX180" s="90"/>
      <c r="AEY180" s="90"/>
      <c r="AEZ180" s="90"/>
      <c r="AFA180" s="90"/>
      <c r="AFB180" s="90"/>
      <c r="AFC180" s="90"/>
      <c r="AFD180" s="90"/>
      <c r="AFE180" s="90"/>
      <c r="AFF180" s="90"/>
      <c r="AFG180" s="90"/>
      <c r="AFH180" s="90"/>
      <c r="AFI180" s="90"/>
      <c r="AFJ180" s="90"/>
      <c r="AFK180" s="90"/>
      <c r="AFL180" s="90"/>
      <c r="AFM180" s="90"/>
      <c r="AFN180" s="90"/>
      <c r="AFO180" s="90"/>
      <c r="AFP180" s="90"/>
      <c r="AFQ180" s="90"/>
      <c r="AFR180" s="90"/>
      <c r="AFS180" s="90"/>
      <c r="AFT180" s="90"/>
      <c r="AFU180" s="90"/>
      <c r="AFV180" s="90"/>
      <c r="AFW180" s="90"/>
      <c r="AFX180" s="90"/>
      <c r="AFY180" s="90"/>
      <c r="AFZ180" s="90"/>
      <c r="AGA180" s="90"/>
      <c r="AGB180" s="90"/>
      <c r="AGC180" s="90"/>
      <c r="AGD180" s="90"/>
      <c r="AGE180" s="90"/>
      <c r="AGF180" s="90"/>
      <c r="AGG180" s="90"/>
      <c r="AGH180" s="90"/>
      <c r="AGI180" s="90"/>
      <c r="AGJ180" s="90"/>
      <c r="AGK180" s="90"/>
      <c r="AGL180" s="90"/>
      <c r="AGM180" s="90"/>
      <c r="AGN180" s="90"/>
      <c r="AGO180" s="90"/>
      <c r="AGP180" s="90"/>
      <c r="AGQ180" s="90"/>
      <c r="AGR180" s="90"/>
      <c r="AGS180" s="90"/>
      <c r="AGT180" s="90"/>
      <c r="AGU180" s="90"/>
      <c r="AGV180" s="90"/>
      <c r="AGW180" s="90"/>
      <c r="AGX180" s="90"/>
      <c r="AGY180" s="90"/>
      <c r="AGZ180" s="90"/>
      <c r="AHA180" s="90"/>
      <c r="AHB180" s="90"/>
      <c r="AHC180" s="90"/>
      <c r="AHD180" s="90"/>
      <c r="AHE180" s="90"/>
      <c r="AHF180" s="90"/>
      <c r="AHG180" s="90"/>
      <c r="AHH180" s="90"/>
      <c r="AHI180" s="90"/>
      <c r="AHJ180" s="90"/>
      <c r="AHK180" s="90"/>
      <c r="AHL180" s="90"/>
      <c r="AHM180" s="90"/>
      <c r="AHN180" s="90"/>
      <c r="AHO180" s="90"/>
      <c r="AHP180" s="90"/>
      <c r="AHQ180" s="90"/>
      <c r="AHR180" s="90"/>
      <c r="AHS180" s="90"/>
      <c r="AHT180" s="90"/>
      <c r="AHU180" s="90"/>
      <c r="AHV180" s="90"/>
      <c r="AHW180" s="90"/>
      <c r="AHX180" s="90"/>
      <c r="AHY180" s="90"/>
      <c r="AHZ180" s="90"/>
      <c r="AIA180" s="90"/>
      <c r="AIB180" s="90"/>
      <c r="AIC180" s="90"/>
      <c r="AID180" s="90"/>
      <c r="AIE180" s="90"/>
      <c r="AIF180" s="90"/>
      <c r="AIG180" s="90"/>
      <c r="AIH180" s="90"/>
      <c r="AII180" s="90"/>
      <c r="AIJ180" s="90"/>
      <c r="AIK180" s="90"/>
      <c r="AIL180" s="90"/>
      <c r="AIM180" s="90"/>
      <c r="AIN180" s="90"/>
      <c r="AIO180" s="90"/>
      <c r="AIP180" s="90"/>
      <c r="AIQ180" s="90"/>
      <c r="AIR180" s="90"/>
      <c r="AIS180" s="90"/>
      <c r="AIT180" s="90"/>
      <c r="AIU180" s="90"/>
      <c r="AIV180" s="90"/>
      <c r="AIW180" s="90"/>
      <c r="AIX180" s="90"/>
      <c r="AIY180" s="90"/>
      <c r="AIZ180" s="90"/>
      <c r="AJA180" s="90"/>
      <c r="AJB180" s="90"/>
      <c r="AJC180" s="90"/>
      <c r="AJD180" s="90"/>
      <c r="AJE180" s="90"/>
      <c r="AJF180" s="90"/>
      <c r="AJG180" s="90"/>
      <c r="AJH180" s="90"/>
      <c r="AJI180" s="90"/>
      <c r="AJJ180" s="90"/>
      <c r="AJK180" s="90"/>
      <c r="AJL180" s="90"/>
      <c r="AJM180" s="90"/>
      <c r="AJN180" s="90"/>
      <c r="AJO180" s="90"/>
      <c r="AJP180" s="90"/>
      <c r="AJQ180" s="90"/>
      <c r="AJR180" s="90"/>
      <c r="AJS180" s="90"/>
      <c r="AJT180" s="90"/>
      <c r="AJU180" s="90"/>
      <c r="AJV180" s="90"/>
      <c r="AJW180" s="90"/>
      <c r="AJX180" s="90"/>
      <c r="AJY180" s="90"/>
      <c r="AJZ180" s="90"/>
      <c r="AKA180" s="90"/>
      <c r="AKB180" s="90"/>
      <c r="AKC180" s="90"/>
      <c r="AKD180" s="90"/>
      <c r="AKE180" s="90"/>
      <c r="AKF180" s="90"/>
      <c r="AKG180" s="90"/>
      <c r="AKH180" s="90"/>
      <c r="AKI180" s="90"/>
      <c r="AKJ180" s="90"/>
      <c r="AKK180" s="90"/>
      <c r="AKL180" s="90"/>
      <c r="AKM180" s="90"/>
      <c r="AKN180" s="90"/>
      <c r="AKO180" s="90"/>
      <c r="AKP180" s="90"/>
      <c r="AKQ180" s="90"/>
      <c r="AKR180" s="90"/>
      <c r="AKS180" s="90"/>
      <c r="AKT180" s="90"/>
      <c r="AKU180" s="90"/>
      <c r="AKV180" s="90"/>
      <c r="AKW180" s="90"/>
      <c r="AKX180" s="90"/>
      <c r="AKY180" s="90"/>
      <c r="AKZ180" s="90"/>
      <c r="ALA180" s="90"/>
      <c r="ALB180" s="90"/>
      <c r="ALC180" s="90"/>
      <c r="ALD180" s="90"/>
      <c r="ALE180" s="90"/>
      <c r="ALF180" s="90"/>
      <c r="ALG180" s="90"/>
      <c r="ALH180" s="90"/>
      <c r="ALI180" s="90"/>
      <c r="ALJ180" s="90"/>
      <c r="ALK180" s="90"/>
      <c r="ALL180" s="90"/>
      <c r="ALM180" s="90"/>
      <c r="ALN180" s="90"/>
      <c r="ALO180" s="90"/>
      <c r="ALP180" s="90"/>
      <c r="ALQ180" s="90"/>
      <c r="ALR180" s="90"/>
      <c r="ALS180" s="90"/>
      <c r="ALT180" s="90"/>
      <c r="ALU180" s="90"/>
      <c r="ALV180" s="90"/>
      <c r="ALW180" s="90"/>
      <c r="ALX180" s="90"/>
      <c r="ALY180" s="90"/>
      <c r="ALZ180" s="90"/>
      <c r="AMA180" s="90"/>
      <c r="AMB180" s="90"/>
      <c r="AMC180" s="90"/>
    </row>
    <row r="181" spans="1:1017">
      <c r="A181" s="98" t="s">
        <v>49</v>
      </c>
      <c r="B181" s="90" t="str">
        <f t="shared" si="1324"/>
        <v xml:space="preserve">Lobster Air Tawar, Cherax </v>
      </c>
      <c r="Q181" s="91">
        <f t="shared" si="1325"/>
        <v>0</v>
      </c>
      <c r="R181" s="91">
        <f t="shared" si="1326"/>
        <v>0</v>
      </c>
      <c r="AG181" s="91">
        <f t="shared" si="1327"/>
        <v>0</v>
      </c>
      <c r="AH181" s="91">
        <f t="shared" si="1328"/>
        <v>0</v>
      </c>
      <c r="AW181" s="91">
        <f t="shared" si="1329"/>
        <v>0</v>
      </c>
      <c r="AX181" s="91">
        <f t="shared" si="1330"/>
        <v>0</v>
      </c>
      <c r="BM181" s="91">
        <f t="shared" si="1331"/>
        <v>0</v>
      </c>
      <c r="BN181" s="91">
        <f t="shared" si="1332"/>
        <v>0</v>
      </c>
      <c r="CC181" s="91">
        <f t="shared" si="1333"/>
        <v>0</v>
      </c>
      <c r="CD181" s="91">
        <f t="shared" si="1334"/>
        <v>0</v>
      </c>
      <c r="CS181" s="91">
        <f t="shared" si="1419"/>
        <v>0</v>
      </c>
      <c r="CT181" s="91">
        <f t="shared" si="1420"/>
        <v>0</v>
      </c>
      <c r="DI181" s="91">
        <f t="shared" si="1337"/>
        <v>0</v>
      </c>
      <c r="DJ181" s="91">
        <f t="shared" si="1338"/>
        <v>0</v>
      </c>
      <c r="DY181" s="91">
        <f t="shared" si="1339"/>
        <v>0</v>
      </c>
      <c r="DZ181" s="91">
        <f t="shared" si="1340"/>
        <v>0</v>
      </c>
      <c r="EO181" s="91">
        <f t="shared" si="1341"/>
        <v>0</v>
      </c>
      <c r="EP181" s="91">
        <f t="shared" si="1342"/>
        <v>0</v>
      </c>
      <c r="FE181" s="91">
        <f t="shared" si="1343"/>
        <v>0</v>
      </c>
      <c r="FF181" s="91">
        <f t="shared" si="1344"/>
        <v>0</v>
      </c>
      <c r="FU181" s="91">
        <f t="shared" si="1345"/>
        <v>0</v>
      </c>
      <c r="FV181" s="91">
        <f t="shared" si="1346"/>
        <v>0</v>
      </c>
      <c r="GK181" s="91">
        <f t="shared" si="1347"/>
        <v>0</v>
      </c>
      <c r="GL181" s="91">
        <f t="shared" si="1348"/>
        <v>0</v>
      </c>
      <c r="HA181" s="91">
        <f t="shared" si="1349"/>
        <v>0</v>
      </c>
      <c r="HB181" s="91">
        <f t="shared" si="1350"/>
        <v>0</v>
      </c>
      <c r="HQ181" s="91">
        <f t="shared" si="1351"/>
        <v>0</v>
      </c>
      <c r="HR181" s="91">
        <f t="shared" si="1352"/>
        <v>0</v>
      </c>
      <c r="IG181" s="91">
        <f t="shared" si="1353"/>
        <v>0</v>
      </c>
      <c r="IH181" s="91">
        <f t="shared" si="1354"/>
        <v>0</v>
      </c>
      <c r="IO181" s="98">
        <v>200</v>
      </c>
      <c r="IP181" s="98">
        <v>21000</v>
      </c>
      <c r="IW181" s="91">
        <f t="shared" si="1355"/>
        <v>200</v>
      </c>
      <c r="IX181" s="91">
        <f t="shared" si="1356"/>
        <v>21000</v>
      </c>
      <c r="JM181" s="91">
        <f t="shared" si="1357"/>
        <v>0</v>
      </c>
      <c r="JN181" s="91">
        <f t="shared" si="1358"/>
        <v>0</v>
      </c>
      <c r="KC181" s="91">
        <f t="shared" si="1359"/>
        <v>0</v>
      </c>
      <c r="KD181" s="91">
        <f t="shared" si="1360"/>
        <v>0</v>
      </c>
      <c r="KS181" s="91">
        <f t="shared" si="1361"/>
        <v>0</v>
      </c>
      <c r="KT181" s="91">
        <f t="shared" si="1362"/>
        <v>0</v>
      </c>
      <c r="LI181" s="91">
        <f t="shared" si="1363"/>
        <v>0</v>
      </c>
      <c r="LJ181" s="91">
        <f t="shared" si="1364"/>
        <v>0</v>
      </c>
      <c r="LY181" s="91">
        <f t="shared" si="1365"/>
        <v>0</v>
      </c>
      <c r="LZ181" s="91">
        <f t="shared" si="1366"/>
        <v>0</v>
      </c>
      <c r="MO181" s="91">
        <f t="shared" si="1367"/>
        <v>0</v>
      </c>
      <c r="MP181" s="91">
        <f t="shared" si="1368"/>
        <v>0</v>
      </c>
      <c r="NE181" s="91">
        <f t="shared" si="1369"/>
        <v>0</v>
      </c>
      <c r="NF181" s="91">
        <f t="shared" si="1370"/>
        <v>0</v>
      </c>
      <c r="NU181" s="91">
        <f t="shared" si="1371"/>
        <v>0</v>
      </c>
      <c r="NV181" s="91">
        <f t="shared" si="1372"/>
        <v>0</v>
      </c>
      <c r="OK181" s="91">
        <f t="shared" si="1373"/>
        <v>0</v>
      </c>
      <c r="OL181" s="91">
        <f t="shared" si="1374"/>
        <v>0</v>
      </c>
      <c r="PA181" s="91">
        <f t="shared" si="1375"/>
        <v>0</v>
      </c>
      <c r="PB181" s="91">
        <f t="shared" si="1376"/>
        <v>0</v>
      </c>
      <c r="PQ181" s="91">
        <f t="shared" si="1377"/>
        <v>0</v>
      </c>
      <c r="PR181" s="91">
        <f t="shared" si="1378"/>
        <v>0</v>
      </c>
      <c r="QG181" s="91">
        <f t="shared" si="1379"/>
        <v>0</v>
      </c>
      <c r="QH181" s="91">
        <f t="shared" si="1380"/>
        <v>0</v>
      </c>
      <c r="QW181" s="91">
        <f t="shared" si="1381"/>
        <v>0</v>
      </c>
      <c r="QX181" s="91">
        <f t="shared" si="1382"/>
        <v>0</v>
      </c>
      <c r="RM181" s="91">
        <f t="shared" si="1383"/>
        <v>0</v>
      </c>
      <c r="RN181" s="91">
        <f t="shared" si="1384"/>
        <v>0</v>
      </c>
      <c r="SC181" s="91">
        <f t="shared" si="1385"/>
        <v>0</v>
      </c>
      <c r="SD181" s="91">
        <f t="shared" si="1386"/>
        <v>0</v>
      </c>
      <c r="SS181" s="91">
        <f t="shared" si="1387"/>
        <v>0</v>
      </c>
      <c r="ST181" s="91">
        <f t="shared" si="1388"/>
        <v>0</v>
      </c>
      <c r="TI181" s="91">
        <f t="shared" si="1389"/>
        <v>0</v>
      </c>
      <c r="TJ181" s="91">
        <f t="shared" si="1390"/>
        <v>0</v>
      </c>
      <c r="TY181" s="91">
        <f t="shared" si="1391"/>
        <v>0</v>
      </c>
      <c r="TZ181" s="91">
        <f t="shared" si="1392"/>
        <v>0</v>
      </c>
      <c r="UO181" s="91">
        <f t="shared" si="1393"/>
        <v>0</v>
      </c>
      <c r="UP181" s="91">
        <f t="shared" si="1394"/>
        <v>0</v>
      </c>
      <c r="VE181" s="91">
        <f t="shared" si="1395"/>
        <v>0</v>
      </c>
      <c r="VF181" s="91">
        <f t="shared" si="1396"/>
        <v>0</v>
      </c>
      <c r="VU181" s="91">
        <f t="shared" si="1397"/>
        <v>0</v>
      </c>
      <c r="VV181" s="91">
        <f t="shared" si="1398"/>
        <v>0</v>
      </c>
      <c r="WK181" s="91">
        <f t="shared" si="1399"/>
        <v>0</v>
      </c>
      <c r="WL181" s="91">
        <f t="shared" si="1400"/>
        <v>0</v>
      </c>
      <c r="WM181" s="89"/>
      <c r="WN181" s="87">
        <f t="shared" si="1401"/>
        <v>0</v>
      </c>
      <c r="WO181" s="87">
        <f t="shared" si="1402"/>
        <v>0</v>
      </c>
      <c r="WP181" s="87">
        <f t="shared" si="1403"/>
        <v>0</v>
      </c>
      <c r="WQ181" s="87">
        <f t="shared" si="1404"/>
        <v>0</v>
      </c>
      <c r="WR181" s="87">
        <f t="shared" si="1405"/>
        <v>0</v>
      </c>
      <c r="WS181" s="87">
        <f t="shared" si="1406"/>
        <v>0</v>
      </c>
      <c r="WT181" s="87">
        <f t="shared" si="1407"/>
        <v>200</v>
      </c>
      <c r="WU181" s="87">
        <f t="shared" si="1408"/>
        <v>21000</v>
      </c>
      <c r="WV181" s="87">
        <f t="shared" si="1409"/>
        <v>0</v>
      </c>
      <c r="WW181" s="87">
        <f t="shared" si="1410"/>
        <v>0</v>
      </c>
      <c r="WX181" s="87">
        <f t="shared" si="1411"/>
        <v>0</v>
      </c>
      <c r="WY181" s="87">
        <f t="shared" si="1412"/>
        <v>0</v>
      </c>
      <c r="WZ181" s="87">
        <f t="shared" si="1413"/>
        <v>0</v>
      </c>
      <c r="XA181" s="87">
        <f t="shared" si="1414"/>
        <v>0</v>
      </c>
      <c r="XB181" s="92">
        <f t="shared" si="1415"/>
        <v>200</v>
      </c>
      <c r="XC181" s="92">
        <f t="shared" si="1416"/>
        <v>21000</v>
      </c>
      <c r="XD181" s="89"/>
      <c r="XE181" s="92"/>
      <c r="XF181" s="92"/>
      <c r="XG181" s="89"/>
      <c r="XH181" s="92"/>
      <c r="XI181" s="92"/>
      <c r="XJ181" s="89"/>
      <c r="XK181" s="87"/>
      <c r="XL181" s="87"/>
      <c r="XM181" s="87"/>
      <c r="XN181" s="87"/>
      <c r="XO181" s="87"/>
      <c r="XP181" s="87"/>
      <c r="XQ181" s="87"/>
      <c r="XR181" s="92">
        <f t="shared" ca="1" si="1417"/>
        <v>0</v>
      </c>
      <c r="XS181" s="89"/>
      <c r="XT181" s="87"/>
      <c r="XU181" s="87"/>
      <c r="XV181" s="87"/>
      <c r="XW181" s="87"/>
      <c r="XX181" s="87"/>
      <c r="XY181" s="87"/>
      <c r="XZ181" s="87"/>
      <c r="YA181" s="92">
        <f t="shared" ca="1" si="1418"/>
        <v>0</v>
      </c>
      <c r="YB181" s="90"/>
      <c r="YC181" s="90"/>
      <c r="YD181" s="90"/>
      <c r="YE181" s="90"/>
      <c r="YF181" s="90"/>
      <c r="YG181" s="90"/>
      <c r="YH181" s="90"/>
      <c r="YI181" s="90"/>
      <c r="YJ181" s="90"/>
      <c r="YK181" s="90"/>
      <c r="YL181" s="90"/>
      <c r="YM181" s="90"/>
      <c r="YN181" s="90"/>
      <c r="YO181" s="90"/>
      <c r="YP181" s="90"/>
      <c r="YQ181" s="90"/>
      <c r="YR181" s="90"/>
      <c r="YS181" s="90"/>
      <c r="YT181" s="90"/>
      <c r="YU181" s="90"/>
      <c r="YV181" s="90"/>
      <c r="YW181" s="90"/>
      <c r="YX181" s="90"/>
      <c r="YY181" s="90"/>
      <c r="YZ181" s="90"/>
      <c r="ZA181" s="90"/>
      <c r="ZB181" s="90"/>
      <c r="ZC181" s="90"/>
      <c r="ZD181" s="90"/>
      <c r="ZE181" s="90"/>
      <c r="ZF181" s="90"/>
      <c r="ZG181" s="90"/>
      <c r="ZH181" s="90"/>
      <c r="ZI181" s="90"/>
      <c r="ZJ181" s="90"/>
      <c r="ZK181" s="90"/>
      <c r="ZL181" s="90"/>
      <c r="ZM181" s="90"/>
      <c r="ZN181" s="90"/>
      <c r="ZO181" s="90"/>
      <c r="ZP181" s="90"/>
      <c r="ZQ181" s="90"/>
      <c r="ZR181" s="90"/>
      <c r="ZS181" s="90"/>
      <c r="ZT181" s="90"/>
      <c r="ZU181" s="90"/>
      <c r="ZV181" s="90"/>
      <c r="ZW181" s="90"/>
      <c r="ZX181" s="90"/>
      <c r="ZY181" s="90"/>
      <c r="ZZ181" s="90"/>
      <c r="AAA181" s="90"/>
      <c r="AAB181" s="90"/>
      <c r="AAC181" s="90"/>
      <c r="AAD181" s="90"/>
      <c r="AAE181" s="90"/>
      <c r="AAF181" s="90"/>
      <c r="AAG181" s="90"/>
      <c r="AAH181" s="90"/>
      <c r="AAI181" s="90"/>
      <c r="AAJ181" s="90"/>
      <c r="AAK181" s="90"/>
      <c r="AAL181" s="90"/>
      <c r="AAM181" s="90"/>
      <c r="AAN181" s="90"/>
      <c r="AAO181" s="90"/>
      <c r="AAP181" s="90"/>
      <c r="AAQ181" s="90"/>
      <c r="AAR181" s="90"/>
      <c r="AAS181" s="90"/>
      <c r="AAT181" s="90"/>
      <c r="AAU181" s="90"/>
      <c r="AAV181" s="90"/>
      <c r="AAW181" s="90"/>
      <c r="AAX181" s="90"/>
      <c r="AAY181" s="90"/>
      <c r="AAZ181" s="90"/>
      <c r="ABA181" s="90"/>
      <c r="ABB181" s="90"/>
      <c r="ABC181" s="90"/>
      <c r="ABD181" s="90"/>
      <c r="ABE181" s="90"/>
      <c r="ABF181" s="90"/>
      <c r="ABG181" s="90"/>
      <c r="ABH181" s="90"/>
      <c r="ABI181" s="90"/>
      <c r="ABJ181" s="90"/>
      <c r="ABK181" s="90"/>
      <c r="ABL181" s="90"/>
      <c r="ABM181" s="90"/>
      <c r="ABN181" s="90"/>
      <c r="ABO181" s="90"/>
      <c r="ABP181" s="90"/>
      <c r="ABQ181" s="90"/>
      <c r="ABR181" s="90"/>
      <c r="ABS181" s="90"/>
      <c r="ABT181" s="90"/>
      <c r="ABU181" s="90"/>
      <c r="ABV181" s="90"/>
      <c r="ABW181" s="90"/>
      <c r="ABX181" s="90"/>
      <c r="ABY181" s="90"/>
      <c r="ABZ181" s="90"/>
      <c r="ACA181" s="90"/>
      <c r="ACB181" s="90"/>
      <c r="ACC181" s="90"/>
      <c r="ACD181" s="90"/>
      <c r="ACE181" s="90"/>
      <c r="ACF181" s="90"/>
      <c r="ACG181" s="90"/>
      <c r="ACH181" s="90"/>
      <c r="ACI181" s="90"/>
      <c r="ACJ181" s="90"/>
      <c r="ACK181" s="90"/>
      <c r="ACL181" s="90"/>
      <c r="ACM181" s="90"/>
      <c r="ACN181" s="90"/>
      <c r="ACO181" s="90"/>
      <c r="ACP181" s="90"/>
      <c r="ACQ181" s="90"/>
      <c r="ACR181" s="90"/>
      <c r="ACS181" s="90"/>
      <c r="ACT181" s="90"/>
      <c r="ACU181" s="90"/>
      <c r="ACV181" s="90"/>
      <c r="ACW181" s="90"/>
      <c r="ACX181" s="90"/>
      <c r="ACY181" s="90"/>
      <c r="ACZ181" s="90"/>
      <c r="ADA181" s="90"/>
      <c r="ADB181" s="90"/>
      <c r="ADC181" s="90"/>
      <c r="ADD181" s="90"/>
      <c r="ADE181" s="90"/>
      <c r="ADF181" s="90"/>
      <c r="ADG181" s="90"/>
      <c r="ADH181" s="90"/>
      <c r="ADI181" s="90"/>
      <c r="ADJ181" s="90"/>
      <c r="ADK181" s="90"/>
      <c r="ADL181" s="90"/>
      <c r="ADM181" s="90"/>
      <c r="ADN181" s="90"/>
      <c r="ADO181" s="90"/>
      <c r="ADP181" s="90"/>
      <c r="ADQ181" s="90"/>
      <c r="ADR181" s="90"/>
      <c r="ADS181" s="90"/>
      <c r="ADT181" s="90"/>
      <c r="ADU181" s="90"/>
      <c r="ADV181" s="90"/>
      <c r="ADW181" s="90"/>
      <c r="ADX181" s="90"/>
      <c r="ADY181" s="90"/>
      <c r="ADZ181" s="90"/>
      <c r="AEA181" s="90"/>
      <c r="AEB181" s="90"/>
      <c r="AEC181" s="90"/>
      <c r="AED181" s="90"/>
      <c r="AEE181" s="90"/>
      <c r="AEF181" s="90"/>
      <c r="AEG181" s="90"/>
      <c r="AEH181" s="90"/>
      <c r="AEI181" s="90"/>
      <c r="AEJ181" s="90"/>
      <c r="AEK181" s="90"/>
      <c r="AEL181" s="90"/>
      <c r="AEM181" s="90"/>
      <c r="AEN181" s="90"/>
      <c r="AEO181" s="90"/>
      <c r="AEP181" s="90"/>
      <c r="AEQ181" s="90"/>
      <c r="AER181" s="90"/>
      <c r="AES181" s="90"/>
      <c r="AET181" s="90"/>
      <c r="AEU181" s="90"/>
      <c r="AEV181" s="90"/>
      <c r="AEW181" s="90"/>
      <c r="AEX181" s="90"/>
      <c r="AEY181" s="90"/>
      <c r="AEZ181" s="90"/>
      <c r="AFA181" s="90"/>
      <c r="AFB181" s="90"/>
      <c r="AFC181" s="90"/>
      <c r="AFD181" s="90"/>
      <c r="AFE181" s="90"/>
      <c r="AFF181" s="90"/>
      <c r="AFG181" s="90"/>
      <c r="AFH181" s="90"/>
      <c r="AFI181" s="90"/>
      <c r="AFJ181" s="90"/>
      <c r="AFK181" s="90"/>
      <c r="AFL181" s="90"/>
      <c r="AFM181" s="90"/>
      <c r="AFN181" s="90"/>
      <c r="AFO181" s="90"/>
      <c r="AFP181" s="90"/>
      <c r="AFQ181" s="90"/>
      <c r="AFR181" s="90"/>
      <c r="AFS181" s="90"/>
      <c r="AFT181" s="90"/>
      <c r="AFU181" s="90"/>
      <c r="AFV181" s="90"/>
      <c r="AFW181" s="90"/>
      <c r="AFX181" s="90"/>
      <c r="AFY181" s="90"/>
      <c r="AFZ181" s="90"/>
      <c r="AGA181" s="90"/>
      <c r="AGB181" s="90"/>
      <c r="AGC181" s="90"/>
      <c r="AGD181" s="90"/>
      <c r="AGE181" s="90"/>
      <c r="AGF181" s="90"/>
      <c r="AGG181" s="90"/>
      <c r="AGH181" s="90"/>
      <c r="AGI181" s="90"/>
      <c r="AGJ181" s="90"/>
      <c r="AGK181" s="90"/>
      <c r="AGL181" s="90"/>
      <c r="AGM181" s="90"/>
      <c r="AGN181" s="90"/>
      <c r="AGO181" s="90"/>
      <c r="AGP181" s="90"/>
      <c r="AGQ181" s="90"/>
      <c r="AGR181" s="90"/>
      <c r="AGS181" s="90"/>
      <c r="AGT181" s="90"/>
      <c r="AGU181" s="90"/>
      <c r="AGV181" s="90"/>
      <c r="AGW181" s="90"/>
      <c r="AGX181" s="90"/>
      <c r="AGY181" s="90"/>
      <c r="AGZ181" s="90"/>
      <c r="AHA181" s="90"/>
      <c r="AHB181" s="90"/>
      <c r="AHC181" s="90"/>
      <c r="AHD181" s="90"/>
      <c r="AHE181" s="90"/>
      <c r="AHF181" s="90"/>
      <c r="AHG181" s="90"/>
      <c r="AHH181" s="90"/>
      <c r="AHI181" s="90"/>
      <c r="AHJ181" s="90"/>
      <c r="AHK181" s="90"/>
      <c r="AHL181" s="90"/>
      <c r="AHM181" s="90"/>
      <c r="AHN181" s="90"/>
      <c r="AHO181" s="90"/>
      <c r="AHP181" s="90"/>
      <c r="AHQ181" s="90"/>
      <c r="AHR181" s="90"/>
      <c r="AHS181" s="90"/>
      <c r="AHT181" s="90"/>
      <c r="AHU181" s="90"/>
      <c r="AHV181" s="90"/>
      <c r="AHW181" s="90"/>
      <c r="AHX181" s="90"/>
      <c r="AHY181" s="90"/>
      <c r="AHZ181" s="90"/>
      <c r="AIA181" s="90"/>
      <c r="AIB181" s="90"/>
      <c r="AIC181" s="90"/>
      <c r="AID181" s="90"/>
      <c r="AIE181" s="90"/>
      <c r="AIF181" s="90"/>
      <c r="AIG181" s="90"/>
      <c r="AIH181" s="90"/>
      <c r="AII181" s="90"/>
      <c r="AIJ181" s="90"/>
      <c r="AIK181" s="90"/>
      <c r="AIL181" s="90"/>
      <c r="AIM181" s="90"/>
      <c r="AIN181" s="90"/>
      <c r="AIO181" s="90"/>
      <c r="AIP181" s="90"/>
      <c r="AIQ181" s="90"/>
      <c r="AIR181" s="90"/>
      <c r="AIS181" s="90"/>
      <c r="AIT181" s="90"/>
      <c r="AIU181" s="90"/>
      <c r="AIV181" s="90"/>
      <c r="AIW181" s="90"/>
      <c r="AIX181" s="90"/>
      <c r="AIY181" s="90"/>
      <c r="AIZ181" s="90"/>
      <c r="AJA181" s="90"/>
      <c r="AJB181" s="90"/>
      <c r="AJC181" s="90"/>
      <c r="AJD181" s="90"/>
      <c r="AJE181" s="90"/>
      <c r="AJF181" s="90"/>
      <c r="AJG181" s="90"/>
      <c r="AJH181" s="90"/>
      <c r="AJI181" s="90"/>
      <c r="AJJ181" s="90"/>
      <c r="AJK181" s="90"/>
      <c r="AJL181" s="90"/>
      <c r="AJM181" s="90"/>
      <c r="AJN181" s="90"/>
      <c r="AJO181" s="90"/>
      <c r="AJP181" s="90"/>
      <c r="AJQ181" s="90"/>
      <c r="AJR181" s="90"/>
      <c r="AJS181" s="90"/>
      <c r="AJT181" s="90"/>
      <c r="AJU181" s="90"/>
      <c r="AJV181" s="90"/>
      <c r="AJW181" s="90"/>
      <c r="AJX181" s="90"/>
      <c r="AJY181" s="90"/>
      <c r="AJZ181" s="90"/>
      <c r="AKA181" s="90"/>
      <c r="AKB181" s="90"/>
      <c r="AKC181" s="90"/>
      <c r="AKD181" s="90"/>
      <c r="AKE181" s="90"/>
      <c r="AKF181" s="90"/>
      <c r="AKG181" s="90"/>
      <c r="AKH181" s="90"/>
      <c r="AKI181" s="90"/>
      <c r="AKJ181" s="90"/>
      <c r="AKK181" s="90"/>
      <c r="AKL181" s="90"/>
      <c r="AKM181" s="90"/>
      <c r="AKN181" s="90"/>
      <c r="AKO181" s="90"/>
      <c r="AKP181" s="90"/>
      <c r="AKQ181" s="90"/>
      <c r="AKR181" s="90"/>
      <c r="AKS181" s="90"/>
      <c r="AKT181" s="90"/>
      <c r="AKU181" s="90"/>
      <c r="AKV181" s="90"/>
      <c r="AKW181" s="90"/>
      <c r="AKX181" s="90"/>
      <c r="AKY181" s="90"/>
      <c r="AKZ181" s="90"/>
      <c r="ALA181" s="90"/>
      <c r="ALB181" s="90"/>
      <c r="ALC181" s="90"/>
      <c r="ALD181" s="90"/>
      <c r="ALE181" s="90"/>
      <c r="ALF181" s="90"/>
      <c r="ALG181" s="90"/>
      <c r="ALH181" s="90"/>
      <c r="ALI181" s="90"/>
      <c r="ALJ181" s="90"/>
      <c r="ALK181" s="90"/>
      <c r="ALL181" s="90"/>
      <c r="ALM181" s="90"/>
      <c r="ALN181" s="90"/>
      <c r="ALO181" s="90"/>
      <c r="ALP181" s="90"/>
      <c r="ALQ181" s="90"/>
      <c r="ALR181" s="90"/>
      <c r="ALS181" s="90"/>
      <c r="ALT181" s="90"/>
      <c r="ALU181" s="90"/>
      <c r="ALV181" s="90"/>
      <c r="ALW181" s="90"/>
      <c r="ALX181" s="90"/>
      <c r="ALY181" s="90"/>
      <c r="ALZ181" s="90"/>
      <c r="AMA181" s="90"/>
      <c r="AMB181" s="90"/>
      <c r="AMC181" s="90"/>
    </row>
    <row r="182" spans="1:1017">
      <c r="A182" s="98" t="s">
        <v>49</v>
      </c>
      <c r="B182" s="90" t="str">
        <f t="shared" si="1324"/>
        <v xml:space="preserve">Mas, Ikan Mas, Karper </v>
      </c>
      <c r="Q182" s="91">
        <f t="shared" si="1325"/>
        <v>0</v>
      </c>
      <c r="R182" s="91">
        <f t="shared" si="1326"/>
        <v>0</v>
      </c>
      <c r="Y182" s="98">
        <v>8100</v>
      </c>
      <c r="Z182" s="98">
        <v>283500</v>
      </c>
      <c r="AA182" s="98">
        <v>2595</v>
      </c>
      <c r="AB182" s="98">
        <v>90825</v>
      </c>
      <c r="AC182" s="98">
        <v>1670</v>
      </c>
      <c r="AD182" s="98">
        <v>58450</v>
      </c>
      <c r="AE182" s="98">
        <v>490</v>
      </c>
      <c r="AF182" s="98">
        <v>17150</v>
      </c>
      <c r="AG182" s="91">
        <f t="shared" si="1327"/>
        <v>12855</v>
      </c>
      <c r="AH182" s="91">
        <f t="shared" si="1328"/>
        <v>449925</v>
      </c>
      <c r="AW182" s="91">
        <f t="shared" si="1329"/>
        <v>0</v>
      </c>
      <c r="AX182" s="91">
        <f t="shared" si="1330"/>
        <v>0</v>
      </c>
      <c r="BM182" s="91">
        <f t="shared" si="1331"/>
        <v>0</v>
      </c>
      <c r="BN182" s="91">
        <f t="shared" si="1332"/>
        <v>0</v>
      </c>
      <c r="CC182" s="91">
        <f t="shared" si="1333"/>
        <v>0</v>
      </c>
      <c r="CD182" s="91">
        <f t="shared" si="1334"/>
        <v>0</v>
      </c>
      <c r="CK182" s="98">
        <v>210983</v>
      </c>
      <c r="CL182" s="98">
        <v>2320813</v>
      </c>
      <c r="CS182" s="91">
        <f t="shared" si="1419"/>
        <v>210983</v>
      </c>
      <c r="CT182" s="91">
        <f t="shared" si="1420"/>
        <v>2320813</v>
      </c>
      <c r="DA182" s="98">
        <v>8484</v>
      </c>
      <c r="DB182" s="98">
        <v>186648</v>
      </c>
      <c r="DC182" s="98">
        <v>1030</v>
      </c>
      <c r="DD182" s="98">
        <v>22660</v>
      </c>
      <c r="DI182" s="91">
        <f t="shared" si="1337"/>
        <v>9514</v>
      </c>
      <c r="DJ182" s="91">
        <f t="shared" si="1338"/>
        <v>209308</v>
      </c>
      <c r="DQ182" s="98">
        <v>16300</v>
      </c>
      <c r="DR182" s="98">
        <v>326000</v>
      </c>
      <c r="DY182" s="91">
        <f t="shared" si="1339"/>
        <v>16300</v>
      </c>
      <c r="DZ182" s="91">
        <f t="shared" si="1340"/>
        <v>326000</v>
      </c>
      <c r="EG182" s="98">
        <v>400</v>
      </c>
      <c r="EH182" s="98">
        <v>6000</v>
      </c>
      <c r="EO182" s="91">
        <f t="shared" si="1341"/>
        <v>400</v>
      </c>
      <c r="EP182" s="91">
        <f t="shared" si="1342"/>
        <v>6000</v>
      </c>
      <c r="EW182" s="98">
        <v>531867</v>
      </c>
      <c r="EX182" s="98">
        <v>5318670</v>
      </c>
      <c r="EZ182" s="98" t="s">
        <v>384</v>
      </c>
      <c r="FE182" s="91">
        <f t="shared" si="1343"/>
        <v>531867</v>
      </c>
      <c r="FF182" s="91">
        <f t="shared" si="1344"/>
        <v>5318670</v>
      </c>
      <c r="FM182" s="98">
        <v>294</v>
      </c>
      <c r="FN182" s="98">
        <v>8820</v>
      </c>
      <c r="FU182" s="91">
        <f t="shared" si="1345"/>
        <v>294</v>
      </c>
      <c r="FV182" s="91">
        <f t="shared" si="1346"/>
        <v>8820</v>
      </c>
      <c r="GC182" s="98">
        <v>300</v>
      </c>
      <c r="GD182" s="98">
        <v>7500</v>
      </c>
      <c r="GK182" s="91">
        <f t="shared" si="1347"/>
        <v>300</v>
      </c>
      <c r="GL182" s="91">
        <f t="shared" si="1348"/>
        <v>7500</v>
      </c>
      <c r="GS182" s="98">
        <v>2350</v>
      </c>
      <c r="GT182" s="98">
        <v>63450</v>
      </c>
      <c r="GY182" s="98">
        <v>40</v>
      </c>
      <c r="GZ182" s="98">
        <v>1080</v>
      </c>
      <c r="HA182" s="91">
        <f t="shared" si="1349"/>
        <v>2390</v>
      </c>
      <c r="HB182" s="91">
        <f t="shared" si="1350"/>
        <v>64530</v>
      </c>
      <c r="HI182" s="98">
        <v>1000</v>
      </c>
      <c r="HJ182" s="98">
        <v>30000</v>
      </c>
      <c r="HQ182" s="91">
        <f t="shared" si="1351"/>
        <v>1000</v>
      </c>
      <c r="HR182" s="91">
        <f t="shared" si="1352"/>
        <v>30000</v>
      </c>
      <c r="IG182" s="91">
        <f t="shared" si="1353"/>
        <v>0</v>
      </c>
      <c r="IH182" s="91">
        <f t="shared" si="1354"/>
        <v>0</v>
      </c>
      <c r="IW182" s="91">
        <f t="shared" si="1355"/>
        <v>0</v>
      </c>
      <c r="IX182" s="91">
        <f t="shared" si="1356"/>
        <v>0</v>
      </c>
      <c r="JE182" s="98">
        <v>75</v>
      </c>
      <c r="JF182" s="98">
        <v>1650</v>
      </c>
      <c r="JM182" s="91">
        <f t="shared" si="1357"/>
        <v>75</v>
      </c>
      <c r="JN182" s="91">
        <f t="shared" si="1358"/>
        <v>1650</v>
      </c>
      <c r="KC182" s="91">
        <f t="shared" si="1359"/>
        <v>0</v>
      </c>
      <c r="KD182" s="91">
        <f t="shared" si="1360"/>
        <v>0</v>
      </c>
      <c r="KS182" s="91">
        <f t="shared" si="1361"/>
        <v>0</v>
      </c>
      <c r="KT182" s="91">
        <f t="shared" si="1362"/>
        <v>0</v>
      </c>
      <c r="LI182" s="91">
        <f t="shared" si="1363"/>
        <v>0</v>
      </c>
      <c r="LJ182" s="91">
        <f t="shared" si="1364"/>
        <v>0</v>
      </c>
      <c r="LY182" s="91">
        <f t="shared" si="1365"/>
        <v>0</v>
      </c>
      <c r="LZ182" s="91">
        <f t="shared" si="1366"/>
        <v>0</v>
      </c>
      <c r="MO182" s="91">
        <f t="shared" si="1367"/>
        <v>0</v>
      </c>
      <c r="MP182" s="91">
        <f t="shared" si="1368"/>
        <v>0</v>
      </c>
      <c r="NE182" s="91">
        <f t="shared" si="1369"/>
        <v>0</v>
      </c>
      <c r="NF182" s="91">
        <f t="shared" si="1370"/>
        <v>0</v>
      </c>
      <c r="NU182" s="91">
        <f t="shared" si="1371"/>
        <v>0</v>
      </c>
      <c r="NV182" s="91">
        <f t="shared" si="1372"/>
        <v>0</v>
      </c>
      <c r="OK182" s="91">
        <f t="shared" si="1373"/>
        <v>0</v>
      </c>
      <c r="OL182" s="91">
        <f t="shared" si="1374"/>
        <v>0</v>
      </c>
      <c r="PA182" s="91">
        <f t="shared" si="1375"/>
        <v>0</v>
      </c>
      <c r="PB182" s="91">
        <f t="shared" si="1376"/>
        <v>0</v>
      </c>
      <c r="PQ182" s="91">
        <f t="shared" si="1377"/>
        <v>0</v>
      </c>
      <c r="PR182" s="91">
        <f t="shared" si="1378"/>
        <v>0</v>
      </c>
      <c r="PY182" s="98">
        <v>156640</v>
      </c>
      <c r="PZ182" s="98">
        <v>2819520</v>
      </c>
      <c r="QA182" s="98">
        <v>258040</v>
      </c>
      <c r="QB182" s="98">
        <v>4644720</v>
      </c>
      <c r="QC182" s="98">
        <v>78570</v>
      </c>
      <c r="QD182" s="98">
        <v>1414260</v>
      </c>
      <c r="QG182" s="91">
        <f t="shared" si="1379"/>
        <v>493250</v>
      </c>
      <c r="QH182" s="91">
        <f t="shared" si="1380"/>
        <v>8878500</v>
      </c>
      <c r="QW182" s="91">
        <f t="shared" si="1381"/>
        <v>0</v>
      </c>
      <c r="QX182" s="91">
        <f t="shared" si="1382"/>
        <v>0</v>
      </c>
      <c r="RE182" s="98">
        <v>150</v>
      </c>
      <c r="RF182" s="98">
        <f>RE182*37</f>
        <v>5550</v>
      </c>
      <c r="RM182" s="91">
        <f t="shared" si="1383"/>
        <v>150</v>
      </c>
      <c r="RN182" s="91">
        <f t="shared" si="1384"/>
        <v>5550</v>
      </c>
      <c r="SC182" s="91">
        <f t="shared" si="1385"/>
        <v>0</v>
      </c>
      <c r="SD182" s="91">
        <f t="shared" si="1386"/>
        <v>0</v>
      </c>
      <c r="SS182" s="91">
        <f t="shared" si="1387"/>
        <v>0</v>
      </c>
      <c r="ST182" s="91">
        <f t="shared" si="1388"/>
        <v>0</v>
      </c>
      <c r="TI182" s="91">
        <f t="shared" si="1389"/>
        <v>0</v>
      </c>
      <c r="TJ182" s="91">
        <f t="shared" si="1390"/>
        <v>0</v>
      </c>
      <c r="TU182" s="98">
        <v>700</v>
      </c>
      <c r="TV182" s="98">
        <v>24500</v>
      </c>
      <c r="TY182" s="91">
        <f t="shared" si="1391"/>
        <v>700</v>
      </c>
      <c r="TZ182" s="91">
        <f t="shared" si="1392"/>
        <v>24500</v>
      </c>
      <c r="UO182" s="91">
        <f t="shared" si="1393"/>
        <v>0</v>
      </c>
      <c r="UP182" s="91">
        <f t="shared" si="1394"/>
        <v>0</v>
      </c>
      <c r="VE182" s="91">
        <f t="shared" si="1395"/>
        <v>0</v>
      </c>
      <c r="VF182" s="91">
        <f t="shared" si="1396"/>
        <v>0</v>
      </c>
      <c r="VU182" s="91">
        <f t="shared" si="1397"/>
        <v>0</v>
      </c>
      <c r="VV182" s="91">
        <f t="shared" si="1398"/>
        <v>0</v>
      </c>
      <c r="WK182" s="91">
        <f t="shared" si="1399"/>
        <v>0</v>
      </c>
      <c r="WL182" s="91">
        <f t="shared" si="1400"/>
        <v>0</v>
      </c>
      <c r="WM182" s="89"/>
      <c r="WN182" s="87">
        <f t="shared" si="1401"/>
        <v>0</v>
      </c>
      <c r="WO182" s="87">
        <f t="shared" si="1402"/>
        <v>0</v>
      </c>
      <c r="WP182" s="87">
        <f t="shared" si="1403"/>
        <v>0</v>
      </c>
      <c r="WQ182" s="87">
        <f t="shared" si="1404"/>
        <v>0</v>
      </c>
      <c r="WR182" s="87">
        <f t="shared" si="1405"/>
        <v>0</v>
      </c>
      <c r="WS182" s="87">
        <f t="shared" si="1406"/>
        <v>0</v>
      </c>
      <c r="WT182" s="87">
        <f t="shared" si="1407"/>
        <v>936943</v>
      </c>
      <c r="WU182" s="87">
        <f t="shared" si="1408"/>
        <v>11378121</v>
      </c>
      <c r="WV182" s="87">
        <f t="shared" si="1409"/>
        <v>261665</v>
      </c>
      <c r="WW182" s="87">
        <f t="shared" si="1410"/>
        <v>4758205</v>
      </c>
      <c r="WX182" s="87">
        <f t="shared" si="1411"/>
        <v>80940</v>
      </c>
      <c r="WY182" s="87">
        <f t="shared" si="1412"/>
        <v>1497210</v>
      </c>
      <c r="WZ182" s="87">
        <f t="shared" si="1413"/>
        <v>530</v>
      </c>
      <c r="XA182" s="87">
        <f t="shared" si="1414"/>
        <v>18230</v>
      </c>
      <c r="XB182" s="92">
        <f t="shared" si="1415"/>
        <v>1280078</v>
      </c>
      <c r="XC182" s="92">
        <f t="shared" si="1416"/>
        <v>17651766</v>
      </c>
      <c r="XD182" s="89"/>
      <c r="XE182" s="92"/>
      <c r="XF182" s="92"/>
      <c r="XG182" s="89"/>
      <c r="XH182" s="92"/>
      <c r="XI182" s="92"/>
      <c r="XJ182" s="89"/>
      <c r="XK182" s="87"/>
      <c r="XL182" s="87"/>
      <c r="XM182" s="87"/>
      <c r="XN182" s="87"/>
      <c r="XO182" s="87"/>
      <c r="XP182" s="87"/>
      <c r="XQ182" s="87"/>
      <c r="XR182" s="92">
        <f t="shared" ca="1" si="1417"/>
        <v>0</v>
      </c>
      <c r="XS182" s="89"/>
      <c r="XT182" s="87"/>
      <c r="XU182" s="87"/>
      <c r="XV182" s="87"/>
      <c r="XW182" s="87"/>
      <c r="XX182" s="87"/>
      <c r="XY182" s="87"/>
      <c r="XZ182" s="87"/>
      <c r="YA182" s="92">
        <f t="shared" ca="1" si="1418"/>
        <v>0</v>
      </c>
      <c r="YB182" s="90"/>
      <c r="YC182" s="90"/>
      <c r="YD182" s="90"/>
      <c r="YE182" s="90"/>
      <c r="YF182" s="90"/>
      <c r="YG182" s="90"/>
      <c r="YH182" s="90"/>
      <c r="YI182" s="90"/>
      <c r="YJ182" s="90"/>
      <c r="YK182" s="90"/>
      <c r="YL182" s="90"/>
      <c r="YM182" s="90"/>
      <c r="YN182" s="90"/>
      <c r="YO182" s="90"/>
      <c r="YP182" s="90"/>
      <c r="YQ182" s="90"/>
      <c r="YR182" s="90"/>
      <c r="YS182" s="90"/>
      <c r="YT182" s="90"/>
      <c r="YU182" s="90"/>
      <c r="YV182" s="90"/>
      <c r="YW182" s="90"/>
      <c r="YX182" s="90"/>
      <c r="YY182" s="90"/>
      <c r="YZ182" s="90"/>
      <c r="ZA182" s="90"/>
      <c r="ZB182" s="90"/>
      <c r="ZC182" s="90"/>
      <c r="ZD182" s="90"/>
      <c r="ZE182" s="90"/>
      <c r="ZF182" s="90"/>
      <c r="ZG182" s="90"/>
      <c r="ZH182" s="90"/>
      <c r="ZI182" s="90"/>
      <c r="ZJ182" s="90"/>
      <c r="ZK182" s="90"/>
      <c r="ZL182" s="90"/>
      <c r="ZM182" s="90"/>
      <c r="ZN182" s="90"/>
      <c r="ZO182" s="90"/>
      <c r="ZP182" s="90"/>
      <c r="ZQ182" s="90"/>
      <c r="ZR182" s="90"/>
      <c r="ZS182" s="90"/>
      <c r="ZT182" s="90"/>
      <c r="ZU182" s="90"/>
      <c r="ZV182" s="90"/>
      <c r="ZW182" s="90"/>
      <c r="ZX182" s="90"/>
      <c r="ZY182" s="90"/>
      <c r="ZZ182" s="90"/>
      <c r="AAA182" s="90"/>
      <c r="AAB182" s="90"/>
      <c r="AAC182" s="90"/>
      <c r="AAD182" s="90"/>
      <c r="AAE182" s="90"/>
      <c r="AAF182" s="90"/>
      <c r="AAG182" s="90"/>
      <c r="AAH182" s="90"/>
      <c r="AAI182" s="90"/>
      <c r="AAJ182" s="90"/>
      <c r="AAK182" s="90"/>
      <c r="AAL182" s="90"/>
      <c r="AAM182" s="90"/>
      <c r="AAN182" s="90"/>
      <c r="AAO182" s="90"/>
      <c r="AAP182" s="90"/>
      <c r="AAQ182" s="90"/>
      <c r="AAR182" s="90"/>
      <c r="AAS182" s="90"/>
      <c r="AAT182" s="90"/>
      <c r="AAU182" s="90"/>
      <c r="AAV182" s="90"/>
      <c r="AAW182" s="90"/>
      <c r="AAX182" s="90"/>
      <c r="AAY182" s="90"/>
      <c r="AAZ182" s="90"/>
      <c r="ABA182" s="90"/>
      <c r="ABB182" s="90"/>
      <c r="ABC182" s="90"/>
      <c r="ABD182" s="90"/>
      <c r="ABE182" s="90"/>
      <c r="ABF182" s="90"/>
      <c r="ABG182" s="90"/>
      <c r="ABH182" s="90"/>
      <c r="ABI182" s="90"/>
      <c r="ABJ182" s="90"/>
      <c r="ABK182" s="90"/>
      <c r="ABL182" s="90"/>
      <c r="ABM182" s="90"/>
      <c r="ABN182" s="90"/>
      <c r="ABO182" s="90"/>
      <c r="ABP182" s="90"/>
      <c r="ABQ182" s="90"/>
      <c r="ABR182" s="90"/>
      <c r="ABS182" s="90"/>
      <c r="ABT182" s="90"/>
      <c r="ABU182" s="90"/>
      <c r="ABV182" s="90"/>
      <c r="ABW182" s="90"/>
      <c r="ABX182" s="90"/>
      <c r="ABY182" s="90"/>
      <c r="ABZ182" s="90"/>
      <c r="ACA182" s="90"/>
      <c r="ACB182" s="90"/>
      <c r="ACC182" s="90"/>
      <c r="ACD182" s="90"/>
      <c r="ACE182" s="90"/>
      <c r="ACF182" s="90"/>
      <c r="ACG182" s="90"/>
      <c r="ACH182" s="90"/>
      <c r="ACI182" s="90"/>
      <c r="ACJ182" s="90"/>
      <c r="ACK182" s="90"/>
      <c r="ACL182" s="90"/>
      <c r="ACM182" s="90"/>
      <c r="ACN182" s="90"/>
      <c r="ACO182" s="90"/>
      <c r="ACP182" s="90"/>
      <c r="ACQ182" s="90"/>
      <c r="ACR182" s="90"/>
      <c r="ACS182" s="90"/>
      <c r="ACT182" s="90"/>
      <c r="ACU182" s="90"/>
      <c r="ACV182" s="90"/>
      <c r="ACW182" s="90"/>
      <c r="ACX182" s="90"/>
      <c r="ACY182" s="90"/>
      <c r="ACZ182" s="90"/>
      <c r="ADA182" s="90"/>
      <c r="ADB182" s="90"/>
      <c r="ADC182" s="90"/>
      <c r="ADD182" s="90"/>
      <c r="ADE182" s="90"/>
      <c r="ADF182" s="90"/>
      <c r="ADG182" s="90"/>
      <c r="ADH182" s="90"/>
      <c r="ADI182" s="90"/>
      <c r="ADJ182" s="90"/>
      <c r="ADK182" s="90"/>
      <c r="ADL182" s="90"/>
      <c r="ADM182" s="90"/>
      <c r="ADN182" s="90"/>
      <c r="ADO182" s="90"/>
      <c r="ADP182" s="90"/>
      <c r="ADQ182" s="90"/>
      <c r="ADR182" s="90"/>
      <c r="ADS182" s="90"/>
      <c r="ADT182" s="90"/>
      <c r="ADU182" s="90"/>
      <c r="ADV182" s="90"/>
      <c r="ADW182" s="90"/>
      <c r="ADX182" s="90"/>
      <c r="ADY182" s="90"/>
      <c r="ADZ182" s="90"/>
      <c r="AEA182" s="90"/>
      <c r="AEB182" s="90"/>
      <c r="AEC182" s="90"/>
      <c r="AED182" s="90"/>
      <c r="AEE182" s="90"/>
      <c r="AEF182" s="90"/>
      <c r="AEG182" s="90"/>
      <c r="AEH182" s="90"/>
      <c r="AEI182" s="90"/>
      <c r="AEJ182" s="90"/>
      <c r="AEK182" s="90"/>
      <c r="AEL182" s="90"/>
      <c r="AEM182" s="90"/>
      <c r="AEN182" s="90"/>
      <c r="AEO182" s="90"/>
      <c r="AEP182" s="90"/>
      <c r="AEQ182" s="90"/>
      <c r="AER182" s="90"/>
      <c r="AES182" s="90"/>
      <c r="AET182" s="90"/>
      <c r="AEU182" s="90"/>
      <c r="AEV182" s="90"/>
      <c r="AEW182" s="90"/>
      <c r="AEX182" s="90"/>
      <c r="AEY182" s="90"/>
      <c r="AEZ182" s="90"/>
      <c r="AFA182" s="90"/>
      <c r="AFB182" s="90"/>
      <c r="AFC182" s="90"/>
      <c r="AFD182" s="90"/>
      <c r="AFE182" s="90"/>
      <c r="AFF182" s="90"/>
      <c r="AFG182" s="90"/>
      <c r="AFH182" s="90"/>
      <c r="AFI182" s="90"/>
      <c r="AFJ182" s="90"/>
      <c r="AFK182" s="90"/>
      <c r="AFL182" s="90"/>
      <c r="AFM182" s="90"/>
      <c r="AFN182" s="90"/>
      <c r="AFO182" s="90"/>
      <c r="AFP182" s="90"/>
      <c r="AFQ182" s="90"/>
      <c r="AFR182" s="90"/>
      <c r="AFS182" s="90"/>
      <c r="AFT182" s="90"/>
      <c r="AFU182" s="90"/>
      <c r="AFV182" s="90"/>
      <c r="AFW182" s="90"/>
      <c r="AFX182" s="90"/>
      <c r="AFY182" s="90"/>
      <c r="AFZ182" s="90"/>
      <c r="AGA182" s="90"/>
      <c r="AGB182" s="90"/>
      <c r="AGC182" s="90"/>
      <c r="AGD182" s="90"/>
      <c r="AGE182" s="90"/>
      <c r="AGF182" s="90"/>
      <c r="AGG182" s="90"/>
      <c r="AGH182" s="90"/>
      <c r="AGI182" s="90"/>
      <c r="AGJ182" s="90"/>
      <c r="AGK182" s="90"/>
      <c r="AGL182" s="90"/>
      <c r="AGM182" s="90"/>
      <c r="AGN182" s="90"/>
      <c r="AGO182" s="90"/>
      <c r="AGP182" s="90"/>
      <c r="AGQ182" s="90"/>
      <c r="AGR182" s="90"/>
      <c r="AGS182" s="90"/>
      <c r="AGT182" s="90"/>
      <c r="AGU182" s="90"/>
      <c r="AGV182" s="90"/>
      <c r="AGW182" s="90"/>
      <c r="AGX182" s="90"/>
      <c r="AGY182" s="90"/>
      <c r="AGZ182" s="90"/>
      <c r="AHA182" s="90"/>
      <c r="AHB182" s="90"/>
      <c r="AHC182" s="90"/>
      <c r="AHD182" s="90"/>
      <c r="AHE182" s="90"/>
      <c r="AHF182" s="90"/>
      <c r="AHG182" s="90"/>
      <c r="AHH182" s="90"/>
      <c r="AHI182" s="90"/>
      <c r="AHJ182" s="90"/>
      <c r="AHK182" s="90"/>
      <c r="AHL182" s="90"/>
      <c r="AHM182" s="90"/>
      <c r="AHN182" s="90"/>
      <c r="AHO182" s="90"/>
      <c r="AHP182" s="90"/>
      <c r="AHQ182" s="90"/>
      <c r="AHR182" s="90"/>
      <c r="AHS182" s="90"/>
      <c r="AHT182" s="90"/>
      <c r="AHU182" s="90"/>
      <c r="AHV182" s="90"/>
      <c r="AHW182" s="90"/>
      <c r="AHX182" s="90"/>
      <c r="AHY182" s="90"/>
      <c r="AHZ182" s="90"/>
      <c r="AIA182" s="90"/>
      <c r="AIB182" s="90"/>
      <c r="AIC182" s="90"/>
      <c r="AID182" s="90"/>
      <c r="AIE182" s="90"/>
      <c r="AIF182" s="90"/>
      <c r="AIG182" s="90"/>
      <c r="AIH182" s="90"/>
      <c r="AII182" s="90"/>
      <c r="AIJ182" s="90"/>
      <c r="AIK182" s="90"/>
      <c r="AIL182" s="90"/>
      <c r="AIM182" s="90"/>
      <c r="AIN182" s="90"/>
      <c r="AIO182" s="90"/>
      <c r="AIP182" s="90"/>
      <c r="AIQ182" s="90"/>
      <c r="AIR182" s="90"/>
      <c r="AIS182" s="90"/>
      <c r="AIT182" s="90"/>
      <c r="AIU182" s="90"/>
      <c r="AIV182" s="90"/>
      <c r="AIW182" s="90"/>
      <c r="AIX182" s="90"/>
      <c r="AIY182" s="90"/>
      <c r="AIZ182" s="90"/>
      <c r="AJA182" s="90"/>
      <c r="AJB182" s="90"/>
      <c r="AJC182" s="90"/>
      <c r="AJD182" s="90"/>
      <c r="AJE182" s="90"/>
      <c r="AJF182" s="90"/>
      <c r="AJG182" s="90"/>
      <c r="AJH182" s="90"/>
      <c r="AJI182" s="90"/>
      <c r="AJJ182" s="90"/>
      <c r="AJK182" s="90"/>
      <c r="AJL182" s="90"/>
      <c r="AJM182" s="90"/>
      <c r="AJN182" s="90"/>
      <c r="AJO182" s="90"/>
      <c r="AJP182" s="90"/>
      <c r="AJQ182" s="90"/>
      <c r="AJR182" s="90"/>
      <c r="AJS182" s="90"/>
      <c r="AJT182" s="90"/>
      <c r="AJU182" s="90"/>
      <c r="AJV182" s="90"/>
      <c r="AJW182" s="90"/>
      <c r="AJX182" s="90"/>
      <c r="AJY182" s="90"/>
      <c r="AJZ182" s="90"/>
      <c r="AKA182" s="90"/>
      <c r="AKB182" s="90"/>
      <c r="AKC182" s="90"/>
      <c r="AKD182" s="90"/>
      <c r="AKE182" s="90"/>
      <c r="AKF182" s="90"/>
      <c r="AKG182" s="90"/>
      <c r="AKH182" s="90"/>
      <c r="AKI182" s="90"/>
      <c r="AKJ182" s="90"/>
      <c r="AKK182" s="90"/>
      <c r="AKL182" s="90"/>
      <c r="AKM182" s="90"/>
      <c r="AKN182" s="90"/>
      <c r="AKO182" s="90"/>
      <c r="AKP182" s="90"/>
      <c r="AKQ182" s="90"/>
      <c r="AKR182" s="90"/>
      <c r="AKS182" s="90"/>
      <c r="AKT182" s="90"/>
      <c r="AKU182" s="90"/>
      <c r="AKV182" s="90"/>
      <c r="AKW182" s="90"/>
      <c r="AKX182" s="90"/>
      <c r="AKY182" s="90"/>
      <c r="AKZ182" s="90"/>
      <c r="ALA182" s="90"/>
      <c r="ALB182" s="90"/>
      <c r="ALC182" s="90"/>
      <c r="ALD182" s="90"/>
      <c r="ALE182" s="90"/>
      <c r="ALF182" s="90"/>
      <c r="ALG182" s="90"/>
      <c r="ALH182" s="90"/>
      <c r="ALI182" s="90"/>
      <c r="ALJ182" s="90"/>
      <c r="ALK182" s="90"/>
      <c r="ALL182" s="90"/>
      <c r="ALM182" s="90"/>
      <c r="ALN182" s="90"/>
      <c r="ALO182" s="90"/>
      <c r="ALP182" s="90"/>
      <c r="ALQ182" s="90"/>
      <c r="ALR182" s="90"/>
      <c r="ALS182" s="90"/>
      <c r="ALT182" s="90"/>
      <c r="ALU182" s="90"/>
      <c r="ALV182" s="90"/>
      <c r="ALW182" s="90"/>
      <c r="ALX182" s="90"/>
      <c r="ALY182" s="90"/>
      <c r="ALZ182" s="90"/>
      <c r="AMA182" s="90"/>
      <c r="AMB182" s="90"/>
      <c r="AMC182" s="90"/>
    </row>
    <row r="183" spans="1:1017">
      <c r="A183" s="98" t="s">
        <v>49</v>
      </c>
      <c r="B183" s="90" t="str">
        <f t="shared" si="1324"/>
        <v xml:space="preserve">Mujair </v>
      </c>
      <c r="E183" s="98">
        <v>114800</v>
      </c>
      <c r="F183" s="98">
        <v>1722000</v>
      </c>
      <c r="I183" s="98">
        <v>1900</v>
      </c>
      <c r="J183" s="98">
        <v>28500</v>
      </c>
      <c r="Q183" s="91">
        <f t="shared" si="1325"/>
        <v>116700</v>
      </c>
      <c r="R183" s="91">
        <f t="shared" si="1326"/>
        <v>1750500</v>
      </c>
      <c r="U183" s="98">
        <v>6510</v>
      </c>
      <c r="V183" s="98">
        <v>97650</v>
      </c>
      <c r="Y183" s="98">
        <v>5585</v>
      </c>
      <c r="Z183" s="98">
        <v>83775</v>
      </c>
      <c r="AG183" s="91">
        <f t="shared" si="1327"/>
        <v>12095</v>
      </c>
      <c r="AH183" s="91">
        <f t="shared" si="1328"/>
        <v>181425</v>
      </c>
      <c r="AW183" s="91">
        <f t="shared" si="1329"/>
        <v>0</v>
      </c>
      <c r="AX183" s="91">
        <f t="shared" si="1330"/>
        <v>0</v>
      </c>
      <c r="BM183" s="91">
        <f t="shared" si="1331"/>
        <v>0</v>
      </c>
      <c r="BN183" s="91">
        <f t="shared" si="1332"/>
        <v>0</v>
      </c>
      <c r="BU183" s="98">
        <v>270</v>
      </c>
      <c r="BV183" s="98">
        <v>7290</v>
      </c>
      <c r="CC183" s="91">
        <f t="shared" si="1333"/>
        <v>270</v>
      </c>
      <c r="CD183" s="91">
        <f t="shared" si="1334"/>
        <v>7290</v>
      </c>
      <c r="CG183" s="98">
        <v>218830</v>
      </c>
      <c r="CH183" s="98">
        <v>2188302</v>
      </c>
      <c r="CK183" s="98">
        <v>589582</v>
      </c>
      <c r="CL183" s="98">
        <v>4127077</v>
      </c>
      <c r="CS183" s="91">
        <f t="shared" si="1419"/>
        <v>808412</v>
      </c>
      <c r="CT183" s="91">
        <f t="shared" si="1420"/>
        <v>6315379</v>
      </c>
      <c r="DI183" s="91">
        <f t="shared" si="1337"/>
        <v>0</v>
      </c>
      <c r="DJ183" s="91">
        <f t="shared" si="1338"/>
        <v>0</v>
      </c>
      <c r="DY183" s="91">
        <f t="shared" si="1339"/>
        <v>0</v>
      </c>
      <c r="DZ183" s="91">
        <f t="shared" si="1340"/>
        <v>0</v>
      </c>
      <c r="EO183" s="91">
        <f t="shared" si="1341"/>
        <v>0</v>
      </c>
      <c r="EP183" s="91">
        <f t="shared" si="1342"/>
        <v>0</v>
      </c>
      <c r="ES183" s="98">
        <v>1307</v>
      </c>
      <c r="ET183" s="98">
        <v>6535</v>
      </c>
      <c r="EW183" s="98">
        <v>42157</v>
      </c>
      <c r="EX183" s="98">
        <v>210785</v>
      </c>
      <c r="EZ183" s="98" t="s">
        <v>384</v>
      </c>
      <c r="FE183" s="91">
        <f t="shared" si="1343"/>
        <v>43464</v>
      </c>
      <c r="FF183" s="91">
        <f t="shared" si="1344"/>
        <v>217320</v>
      </c>
      <c r="FU183" s="91">
        <f t="shared" si="1345"/>
        <v>0</v>
      </c>
      <c r="FV183" s="91">
        <f t="shared" si="1346"/>
        <v>0</v>
      </c>
      <c r="GK183" s="91">
        <f t="shared" si="1347"/>
        <v>0</v>
      </c>
      <c r="GL183" s="91">
        <f t="shared" si="1348"/>
        <v>0</v>
      </c>
      <c r="HA183" s="91">
        <f t="shared" si="1349"/>
        <v>0</v>
      </c>
      <c r="HB183" s="91">
        <f t="shared" si="1350"/>
        <v>0</v>
      </c>
      <c r="HQ183" s="91">
        <f t="shared" si="1351"/>
        <v>0</v>
      </c>
      <c r="HR183" s="91">
        <f t="shared" si="1352"/>
        <v>0</v>
      </c>
      <c r="IG183" s="91">
        <f t="shared" si="1353"/>
        <v>0</v>
      </c>
      <c r="IH183" s="91">
        <f t="shared" si="1354"/>
        <v>0</v>
      </c>
      <c r="IW183" s="91">
        <f t="shared" si="1355"/>
        <v>0</v>
      </c>
      <c r="IX183" s="91">
        <f t="shared" si="1356"/>
        <v>0</v>
      </c>
      <c r="JM183" s="91">
        <f t="shared" si="1357"/>
        <v>0</v>
      </c>
      <c r="JN183" s="91">
        <f t="shared" si="1358"/>
        <v>0</v>
      </c>
      <c r="KC183" s="91">
        <f t="shared" si="1359"/>
        <v>0</v>
      </c>
      <c r="KD183" s="91">
        <f t="shared" si="1360"/>
        <v>0</v>
      </c>
      <c r="KS183" s="91">
        <f t="shared" si="1361"/>
        <v>0</v>
      </c>
      <c r="KT183" s="91">
        <f t="shared" si="1362"/>
        <v>0</v>
      </c>
      <c r="LI183" s="91">
        <f t="shared" si="1363"/>
        <v>0</v>
      </c>
      <c r="LJ183" s="91">
        <f t="shared" si="1364"/>
        <v>0</v>
      </c>
      <c r="LY183" s="91">
        <f t="shared" si="1365"/>
        <v>0</v>
      </c>
      <c r="LZ183" s="91">
        <f t="shared" si="1366"/>
        <v>0</v>
      </c>
      <c r="MO183" s="91">
        <f t="shared" si="1367"/>
        <v>0</v>
      </c>
      <c r="MP183" s="91">
        <f t="shared" si="1368"/>
        <v>0</v>
      </c>
      <c r="MS183" s="98">
        <v>2150</v>
      </c>
      <c r="MT183" s="98">
        <v>53750</v>
      </c>
      <c r="NE183" s="91">
        <f t="shared" si="1369"/>
        <v>2150</v>
      </c>
      <c r="NF183" s="91">
        <f t="shared" si="1370"/>
        <v>53750</v>
      </c>
      <c r="NI183" s="98">
        <v>369700</v>
      </c>
      <c r="NJ183" s="98">
        <v>5915200</v>
      </c>
      <c r="NU183" s="91">
        <f t="shared" si="1371"/>
        <v>369700</v>
      </c>
      <c r="NV183" s="91">
        <f t="shared" si="1372"/>
        <v>5915200</v>
      </c>
      <c r="OK183" s="91">
        <f t="shared" si="1373"/>
        <v>0</v>
      </c>
      <c r="OL183" s="91">
        <f t="shared" si="1374"/>
        <v>0</v>
      </c>
      <c r="PA183" s="91">
        <f t="shared" si="1375"/>
        <v>0</v>
      </c>
      <c r="PB183" s="91">
        <f t="shared" si="1376"/>
        <v>0</v>
      </c>
      <c r="PQ183" s="91">
        <f t="shared" si="1377"/>
        <v>0</v>
      </c>
      <c r="PR183" s="91">
        <f t="shared" si="1378"/>
        <v>0</v>
      </c>
      <c r="PU183" s="98">
        <v>49100</v>
      </c>
      <c r="PV183" s="98">
        <v>589200</v>
      </c>
      <c r="QG183" s="91">
        <f t="shared" si="1379"/>
        <v>49100</v>
      </c>
      <c r="QH183" s="91">
        <f t="shared" si="1380"/>
        <v>589200</v>
      </c>
      <c r="QW183" s="91">
        <f t="shared" si="1381"/>
        <v>0</v>
      </c>
      <c r="QX183" s="91">
        <f t="shared" si="1382"/>
        <v>0</v>
      </c>
      <c r="RM183" s="91">
        <f t="shared" si="1383"/>
        <v>0</v>
      </c>
      <c r="RN183" s="91">
        <f t="shared" si="1384"/>
        <v>0</v>
      </c>
      <c r="SC183" s="91">
        <f t="shared" si="1385"/>
        <v>0</v>
      </c>
      <c r="SD183" s="91">
        <f t="shared" si="1386"/>
        <v>0</v>
      </c>
      <c r="SS183" s="91">
        <f t="shared" si="1387"/>
        <v>0</v>
      </c>
      <c r="ST183" s="91">
        <f t="shared" si="1388"/>
        <v>0</v>
      </c>
      <c r="TI183" s="91">
        <f t="shared" si="1389"/>
        <v>0</v>
      </c>
      <c r="TJ183" s="91">
        <f t="shared" si="1390"/>
        <v>0</v>
      </c>
      <c r="TY183" s="91">
        <f t="shared" si="1391"/>
        <v>0</v>
      </c>
      <c r="TZ183" s="91">
        <f t="shared" si="1392"/>
        <v>0</v>
      </c>
      <c r="UO183" s="91">
        <f t="shared" si="1393"/>
        <v>0</v>
      </c>
      <c r="UP183" s="91">
        <f t="shared" si="1394"/>
        <v>0</v>
      </c>
      <c r="VE183" s="91">
        <f t="shared" si="1395"/>
        <v>0</v>
      </c>
      <c r="VF183" s="91">
        <f t="shared" si="1396"/>
        <v>0</v>
      </c>
      <c r="VI183" s="98">
        <v>80</v>
      </c>
      <c r="VJ183" s="98">
        <v>720</v>
      </c>
      <c r="VU183" s="91">
        <f t="shared" si="1397"/>
        <v>80</v>
      </c>
      <c r="VV183" s="91">
        <f t="shared" si="1398"/>
        <v>720</v>
      </c>
      <c r="WK183" s="91">
        <f t="shared" si="1399"/>
        <v>0</v>
      </c>
      <c r="WL183" s="91">
        <f t="shared" si="1400"/>
        <v>0</v>
      </c>
      <c r="WM183" s="89"/>
      <c r="WN183" s="87">
        <f t="shared" si="1401"/>
        <v>0</v>
      </c>
      <c r="WO183" s="87">
        <f t="shared" si="1402"/>
        <v>0</v>
      </c>
      <c r="WP183" s="87">
        <f t="shared" si="1403"/>
        <v>762477</v>
      </c>
      <c r="WQ183" s="87">
        <f t="shared" si="1404"/>
        <v>10573357</v>
      </c>
      <c r="WR183" s="87">
        <f t="shared" si="1405"/>
        <v>0</v>
      </c>
      <c r="WS183" s="87">
        <f t="shared" si="1406"/>
        <v>0</v>
      </c>
      <c r="WT183" s="87">
        <f t="shared" si="1407"/>
        <v>639494</v>
      </c>
      <c r="WU183" s="87">
        <f t="shared" si="1408"/>
        <v>4457427</v>
      </c>
      <c r="WV183" s="87">
        <f t="shared" si="1409"/>
        <v>0</v>
      </c>
      <c r="WW183" s="87">
        <f t="shared" si="1410"/>
        <v>0</v>
      </c>
      <c r="WX183" s="87">
        <f t="shared" si="1411"/>
        <v>0</v>
      </c>
      <c r="WY183" s="87">
        <f t="shared" si="1412"/>
        <v>0</v>
      </c>
      <c r="WZ183" s="87">
        <f t="shared" si="1413"/>
        <v>0</v>
      </c>
      <c r="XA183" s="87">
        <f t="shared" si="1414"/>
        <v>0</v>
      </c>
      <c r="XB183" s="92">
        <f t="shared" si="1415"/>
        <v>1401971</v>
      </c>
      <c r="XC183" s="92">
        <f t="shared" si="1416"/>
        <v>15030784</v>
      </c>
      <c r="XD183" s="89"/>
      <c r="XE183" s="92"/>
      <c r="XF183" s="92"/>
      <c r="XG183" s="89"/>
      <c r="XH183" s="92"/>
      <c r="XI183" s="92"/>
      <c r="XJ183" s="89"/>
      <c r="XK183" s="87"/>
      <c r="XL183" s="87"/>
      <c r="XM183" s="87"/>
      <c r="XN183" s="87"/>
      <c r="XO183" s="87"/>
      <c r="XP183" s="87"/>
      <c r="XQ183" s="87"/>
      <c r="XR183" s="92">
        <f t="shared" ca="1" si="1417"/>
        <v>0</v>
      </c>
      <c r="XS183" s="89"/>
      <c r="XT183" s="87"/>
      <c r="XU183" s="87"/>
      <c r="XV183" s="87"/>
      <c r="XW183" s="87"/>
      <c r="XX183" s="87"/>
      <c r="XY183" s="87"/>
      <c r="XZ183" s="87"/>
      <c r="YA183" s="92">
        <f t="shared" ca="1" si="1418"/>
        <v>0</v>
      </c>
      <c r="YB183" s="90"/>
      <c r="YC183" s="90"/>
      <c r="YD183" s="90"/>
      <c r="YE183" s="90"/>
      <c r="YF183" s="90"/>
      <c r="YG183" s="90"/>
      <c r="YH183" s="90"/>
      <c r="YI183" s="90"/>
      <c r="YJ183" s="90"/>
      <c r="YK183" s="90"/>
      <c r="YL183" s="90"/>
      <c r="YM183" s="90"/>
      <c r="YN183" s="90"/>
      <c r="YO183" s="90"/>
      <c r="YP183" s="90"/>
      <c r="YQ183" s="90"/>
      <c r="YR183" s="90"/>
      <c r="YS183" s="90"/>
      <c r="YT183" s="90"/>
      <c r="YU183" s="90"/>
      <c r="YV183" s="90"/>
      <c r="YW183" s="90"/>
      <c r="YX183" s="90"/>
      <c r="YY183" s="90"/>
      <c r="YZ183" s="90"/>
      <c r="ZA183" s="90"/>
      <c r="ZB183" s="90"/>
      <c r="ZC183" s="90"/>
      <c r="ZD183" s="90"/>
      <c r="ZE183" s="90"/>
      <c r="ZF183" s="90"/>
      <c r="ZG183" s="90"/>
      <c r="ZH183" s="90"/>
      <c r="ZI183" s="90"/>
      <c r="ZJ183" s="90"/>
      <c r="ZK183" s="90"/>
      <c r="ZL183" s="90"/>
      <c r="ZM183" s="90"/>
      <c r="ZN183" s="90"/>
      <c r="ZO183" s="90"/>
      <c r="ZP183" s="90"/>
      <c r="ZQ183" s="90"/>
      <c r="ZR183" s="90"/>
      <c r="ZS183" s="90"/>
      <c r="ZT183" s="90"/>
      <c r="ZU183" s="90"/>
      <c r="ZV183" s="90"/>
      <c r="ZW183" s="90"/>
      <c r="ZX183" s="90"/>
      <c r="ZY183" s="90"/>
      <c r="ZZ183" s="90"/>
      <c r="AAA183" s="90"/>
      <c r="AAB183" s="90"/>
      <c r="AAC183" s="90"/>
      <c r="AAD183" s="90"/>
      <c r="AAE183" s="90"/>
      <c r="AAF183" s="90"/>
      <c r="AAG183" s="90"/>
      <c r="AAH183" s="90"/>
      <c r="AAI183" s="90"/>
      <c r="AAJ183" s="90"/>
      <c r="AAK183" s="90"/>
      <c r="AAL183" s="90"/>
      <c r="AAM183" s="90"/>
      <c r="AAN183" s="90"/>
      <c r="AAO183" s="90"/>
      <c r="AAP183" s="90"/>
      <c r="AAQ183" s="90"/>
      <c r="AAR183" s="90"/>
      <c r="AAS183" s="90"/>
      <c r="AAT183" s="90"/>
      <c r="AAU183" s="90"/>
      <c r="AAV183" s="90"/>
      <c r="AAW183" s="90"/>
      <c r="AAX183" s="90"/>
      <c r="AAY183" s="90"/>
      <c r="AAZ183" s="90"/>
      <c r="ABA183" s="90"/>
      <c r="ABB183" s="90"/>
      <c r="ABC183" s="90"/>
      <c r="ABD183" s="90"/>
      <c r="ABE183" s="90"/>
      <c r="ABF183" s="90"/>
      <c r="ABG183" s="90"/>
      <c r="ABH183" s="90"/>
      <c r="ABI183" s="90"/>
      <c r="ABJ183" s="90"/>
      <c r="ABK183" s="90"/>
      <c r="ABL183" s="90"/>
      <c r="ABM183" s="90"/>
      <c r="ABN183" s="90"/>
      <c r="ABO183" s="90"/>
      <c r="ABP183" s="90"/>
      <c r="ABQ183" s="90"/>
      <c r="ABR183" s="90"/>
      <c r="ABS183" s="90"/>
      <c r="ABT183" s="90"/>
      <c r="ABU183" s="90"/>
      <c r="ABV183" s="90"/>
      <c r="ABW183" s="90"/>
      <c r="ABX183" s="90"/>
      <c r="ABY183" s="90"/>
      <c r="ABZ183" s="90"/>
      <c r="ACA183" s="90"/>
      <c r="ACB183" s="90"/>
      <c r="ACC183" s="90"/>
      <c r="ACD183" s="90"/>
      <c r="ACE183" s="90"/>
      <c r="ACF183" s="90"/>
      <c r="ACG183" s="90"/>
      <c r="ACH183" s="90"/>
      <c r="ACI183" s="90"/>
      <c r="ACJ183" s="90"/>
      <c r="ACK183" s="90"/>
      <c r="ACL183" s="90"/>
      <c r="ACM183" s="90"/>
      <c r="ACN183" s="90"/>
      <c r="ACO183" s="90"/>
      <c r="ACP183" s="90"/>
      <c r="ACQ183" s="90"/>
      <c r="ACR183" s="90"/>
      <c r="ACS183" s="90"/>
      <c r="ACT183" s="90"/>
      <c r="ACU183" s="90"/>
      <c r="ACV183" s="90"/>
      <c r="ACW183" s="90"/>
      <c r="ACX183" s="90"/>
      <c r="ACY183" s="90"/>
      <c r="ACZ183" s="90"/>
      <c r="ADA183" s="90"/>
      <c r="ADB183" s="90"/>
      <c r="ADC183" s="90"/>
      <c r="ADD183" s="90"/>
      <c r="ADE183" s="90"/>
      <c r="ADF183" s="90"/>
      <c r="ADG183" s="90"/>
      <c r="ADH183" s="90"/>
      <c r="ADI183" s="90"/>
      <c r="ADJ183" s="90"/>
      <c r="ADK183" s="90"/>
      <c r="ADL183" s="90"/>
      <c r="ADM183" s="90"/>
      <c r="ADN183" s="90"/>
      <c r="ADO183" s="90"/>
      <c r="ADP183" s="90"/>
      <c r="ADQ183" s="90"/>
      <c r="ADR183" s="90"/>
      <c r="ADS183" s="90"/>
      <c r="ADT183" s="90"/>
      <c r="ADU183" s="90"/>
      <c r="ADV183" s="90"/>
      <c r="ADW183" s="90"/>
      <c r="ADX183" s="90"/>
      <c r="ADY183" s="90"/>
      <c r="ADZ183" s="90"/>
      <c r="AEA183" s="90"/>
      <c r="AEB183" s="90"/>
      <c r="AEC183" s="90"/>
      <c r="AED183" s="90"/>
      <c r="AEE183" s="90"/>
      <c r="AEF183" s="90"/>
      <c r="AEG183" s="90"/>
      <c r="AEH183" s="90"/>
      <c r="AEI183" s="90"/>
      <c r="AEJ183" s="90"/>
      <c r="AEK183" s="90"/>
      <c r="AEL183" s="90"/>
      <c r="AEM183" s="90"/>
      <c r="AEN183" s="90"/>
      <c r="AEO183" s="90"/>
      <c r="AEP183" s="90"/>
      <c r="AEQ183" s="90"/>
      <c r="AER183" s="90"/>
      <c r="AES183" s="90"/>
      <c r="AET183" s="90"/>
      <c r="AEU183" s="90"/>
      <c r="AEV183" s="90"/>
      <c r="AEW183" s="90"/>
      <c r="AEX183" s="90"/>
      <c r="AEY183" s="90"/>
      <c r="AEZ183" s="90"/>
      <c r="AFA183" s="90"/>
      <c r="AFB183" s="90"/>
      <c r="AFC183" s="90"/>
      <c r="AFD183" s="90"/>
      <c r="AFE183" s="90"/>
      <c r="AFF183" s="90"/>
      <c r="AFG183" s="90"/>
      <c r="AFH183" s="90"/>
      <c r="AFI183" s="90"/>
      <c r="AFJ183" s="90"/>
      <c r="AFK183" s="90"/>
      <c r="AFL183" s="90"/>
      <c r="AFM183" s="90"/>
      <c r="AFN183" s="90"/>
      <c r="AFO183" s="90"/>
      <c r="AFP183" s="90"/>
      <c r="AFQ183" s="90"/>
      <c r="AFR183" s="90"/>
      <c r="AFS183" s="90"/>
      <c r="AFT183" s="90"/>
      <c r="AFU183" s="90"/>
      <c r="AFV183" s="90"/>
      <c r="AFW183" s="90"/>
      <c r="AFX183" s="90"/>
      <c r="AFY183" s="90"/>
      <c r="AFZ183" s="90"/>
      <c r="AGA183" s="90"/>
      <c r="AGB183" s="90"/>
      <c r="AGC183" s="90"/>
      <c r="AGD183" s="90"/>
      <c r="AGE183" s="90"/>
      <c r="AGF183" s="90"/>
      <c r="AGG183" s="90"/>
      <c r="AGH183" s="90"/>
      <c r="AGI183" s="90"/>
      <c r="AGJ183" s="90"/>
      <c r="AGK183" s="90"/>
      <c r="AGL183" s="90"/>
      <c r="AGM183" s="90"/>
      <c r="AGN183" s="90"/>
      <c r="AGO183" s="90"/>
      <c r="AGP183" s="90"/>
      <c r="AGQ183" s="90"/>
      <c r="AGR183" s="90"/>
      <c r="AGS183" s="90"/>
      <c r="AGT183" s="90"/>
      <c r="AGU183" s="90"/>
      <c r="AGV183" s="90"/>
      <c r="AGW183" s="90"/>
      <c r="AGX183" s="90"/>
      <c r="AGY183" s="90"/>
      <c r="AGZ183" s="90"/>
      <c r="AHA183" s="90"/>
      <c r="AHB183" s="90"/>
      <c r="AHC183" s="90"/>
      <c r="AHD183" s="90"/>
      <c r="AHE183" s="90"/>
      <c r="AHF183" s="90"/>
      <c r="AHG183" s="90"/>
      <c r="AHH183" s="90"/>
      <c r="AHI183" s="90"/>
      <c r="AHJ183" s="90"/>
      <c r="AHK183" s="90"/>
      <c r="AHL183" s="90"/>
      <c r="AHM183" s="90"/>
      <c r="AHN183" s="90"/>
      <c r="AHO183" s="90"/>
      <c r="AHP183" s="90"/>
      <c r="AHQ183" s="90"/>
      <c r="AHR183" s="90"/>
      <c r="AHS183" s="90"/>
      <c r="AHT183" s="90"/>
      <c r="AHU183" s="90"/>
      <c r="AHV183" s="90"/>
      <c r="AHW183" s="90"/>
      <c r="AHX183" s="90"/>
      <c r="AHY183" s="90"/>
      <c r="AHZ183" s="90"/>
      <c r="AIA183" s="90"/>
      <c r="AIB183" s="90"/>
      <c r="AIC183" s="90"/>
      <c r="AID183" s="90"/>
      <c r="AIE183" s="90"/>
      <c r="AIF183" s="90"/>
      <c r="AIG183" s="90"/>
      <c r="AIH183" s="90"/>
      <c r="AII183" s="90"/>
      <c r="AIJ183" s="90"/>
      <c r="AIK183" s="90"/>
      <c r="AIL183" s="90"/>
      <c r="AIM183" s="90"/>
      <c r="AIN183" s="90"/>
      <c r="AIO183" s="90"/>
      <c r="AIP183" s="90"/>
      <c r="AIQ183" s="90"/>
      <c r="AIR183" s="90"/>
      <c r="AIS183" s="90"/>
      <c r="AIT183" s="90"/>
      <c r="AIU183" s="90"/>
      <c r="AIV183" s="90"/>
      <c r="AIW183" s="90"/>
      <c r="AIX183" s="90"/>
      <c r="AIY183" s="90"/>
      <c r="AIZ183" s="90"/>
      <c r="AJA183" s="90"/>
      <c r="AJB183" s="90"/>
      <c r="AJC183" s="90"/>
      <c r="AJD183" s="90"/>
      <c r="AJE183" s="90"/>
      <c r="AJF183" s="90"/>
      <c r="AJG183" s="90"/>
      <c r="AJH183" s="90"/>
      <c r="AJI183" s="90"/>
      <c r="AJJ183" s="90"/>
      <c r="AJK183" s="90"/>
      <c r="AJL183" s="90"/>
      <c r="AJM183" s="90"/>
      <c r="AJN183" s="90"/>
      <c r="AJO183" s="90"/>
      <c r="AJP183" s="90"/>
      <c r="AJQ183" s="90"/>
      <c r="AJR183" s="90"/>
      <c r="AJS183" s="90"/>
      <c r="AJT183" s="90"/>
      <c r="AJU183" s="90"/>
      <c r="AJV183" s="90"/>
      <c r="AJW183" s="90"/>
      <c r="AJX183" s="90"/>
      <c r="AJY183" s="90"/>
      <c r="AJZ183" s="90"/>
      <c r="AKA183" s="90"/>
      <c r="AKB183" s="90"/>
      <c r="AKC183" s="90"/>
      <c r="AKD183" s="90"/>
      <c r="AKE183" s="90"/>
      <c r="AKF183" s="90"/>
      <c r="AKG183" s="90"/>
      <c r="AKH183" s="90"/>
      <c r="AKI183" s="90"/>
      <c r="AKJ183" s="90"/>
      <c r="AKK183" s="90"/>
      <c r="AKL183" s="90"/>
      <c r="AKM183" s="90"/>
      <c r="AKN183" s="90"/>
      <c r="AKO183" s="90"/>
      <c r="AKP183" s="90"/>
      <c r="AKQ183" s="90"/>
      <c r="AKR183" s="90"/>
      <c r="AKS183" s="90"/>
      <c r="AKT183" s="90"/>
      <c r="AKU183" s="90"/>
      <c r="AKV183" s="90"/>
      <c r="AKW183" s="90"/>
      <c r="AKX183" s="90"/>
      <c r="AKY183" s="90"/>
      <c r="AKZ183" s="90"/>
      <c r="ALA183" s="90"/>
      <c r="ALB183" s="90"/>
      <c r="ALC183" s="90"/>
      <c r="ALD183" s="90"/>
      <c r="ALE183" s="90"/>
      <c r="ALF183" s="90"/>
      <c r="ALG183" s="90"/>
      <c r="ALH183" s="90"/>
      <c r="ALI183" s="90"/>
      <c r="ALJ183" s="90"/>
      <c r="ALK183" s="90"/>
      <c r="ALL183" s="90"/>
      <c r="ALM183" s="90"/>
      <c r="ALN183" s="90"/>
      <c r="ALO183" s="90"/>
      <c r="ALP183" s="90"/>
      <c r="ALQ183" s="90"/>
      <c r="ALR183" s="90"/>
      <c r="ALS183" s="90"/>
      <c r="ALT183" s="90"/>
      <c r="ALU183" s="90"/>
      <c r="ALV183" s="90"/>
      <c r="ALW183" s="90"/>
      <c r="ALX183" s="90"/>
      <c r="ALY183" s="90"/>
      <c r="ALZ183" s="90"/>
      <c r="AMA183" s="90"/>
      <c r="AMB183" s="90"/>
      <c r="AMC183" s="90"/>
    </row>
    <row r="184" spans="1:1017">
      <c r="A184" s="98" t="s">
        <v>49</v>
      </c>
      <c r="B184" s="90" t="str">
        <f t="shared" si="1324"/>
        <v xml:space="preserve">Nila </v>
      </c>
      <c r="I184" s="98">
        <v>6500</v>
      </c>
      <c r="J184" s="98">
        <v>182000</v>
      </c>
      <c r="Q184" s="91">
        <f t="shared" si="1325"/>
        <v>6500</v>
      </c>
      <c r="R184" s="91">
        <f t="shared" si="1326"/>
        <v>182000</v>
      </c>
      <c r="U184" s="98">
        <v>10415</v>
      </c>
      <c r="V184" s="98">
        <v>208300</v>
      </c>
      <c r="Y184" s="98">
        <v>12380</v>
      </c>
      <c r="Z184" s="98">
        <v>247600</v>
      </c>
      <c r="AA184" s="98">
        <v>2640</v>
      </c>
      <c r="AB184" s="98">
        <v>52800</v>
      </c>
      <c r="AC184" s="98">
        <v>1540</v>
      </c>
      <c r="AD184" s="98">
        <v>30800</v>
      </c>
      <c r="AE184" s="98">
        <v>1405</v>
      </c>
      <c r="AF184" s="98">
        <v>28100</v>
      </c>
      <c r="AG184" s="91">
        <f t="shared" si="1327"/>
        <v>28380</v>
      </c>
      <c r="AH184" s="91">
        <f t="shared" si="1328"/>
        <v>567600</v>
      </c>
      <c r="AO184" s="98">
        <v>54200</v>
      </c>
      <c r="AP184" s="98">
        <v>1355000</v>
      </c>
      <c r="AQ184" s="98">
        <v>190</v>
      </c>
      <c r="AR184" s="98">
        <v>4560</v>
      </c>
      <c r="AU184" s="98">
        <v>3110</v>
      </c>
      <c r="AV184" s="98">
        <v>74640</v>
      </c>
      <c r="AW184" s="91">
        <f t="shared" si="1329"/>
        <v>57500</v>
      </c>
      <c r="AX184" s="91">
        <f t="shared" si="1330"/>
        <v>1434200</v>
      </c>
      <c r="BE184" s="98">
        <v>83326</v>
      </c>
      <c r="BF184" s="98">
        <v>2083150</v>
      </c>
      <c r="BG184" s="98">
        <v>5921</v>
      </c>
      <c r="BH184" s="98">
        <v>148025</v>
      </c>
      <c r="BK184" s="98">
        <v>772</v>
      </c>
      <c r="BL184" s="98">
        <v>19300</v>
      </c>
      <c r="BM184" s="91">
        <f t="shared" si="1331"/>
        <v>90019</v>
      </c>
      <c r="BN184" s="91">
        <f t="shared" si="1332"/>
        <v>2250475</v>
      </c>
      <c r="BU184" s="98">
        <v>5461</v>
      </c>
      <c r="BV184" s="98">
        <v>147447</v>
      </c>
      <c r="CC184" s="91">
        <f t="shared" si="1333"/>
        <v>5461</v>
      </c>
      <c r="CD184" s="91">
        <f t="shared" si="1334"/>
        <v>147447</v>
      </c>
      <c r="CG184" s="98">
        <v>30573</v>
      </c>
      <c r="CH184" s="98">
        <v>458599</v>
      </c>
      <c r="CK184" s="98">
        <v>423275</v>
      </c>
      <c r="CL184" s="98">
        <v>5079303</v>
      </c>
      <c r="CS184" s="91">
        <f t="shared" si="1419"/>
        <v>453848</v>
      </c>
      <c r="CT184" s="91">
        <f t="shared" si="1420"/>
        <v>5537902</v>
      </c>
      <c r="DA184" s="98">
        <v>59770</v>
      </c>
      <c r="DB184" s="98">
        <v>1344825</v>
      </c>
      <c r="DC184" s="98">
        <v>1485</v>
      </c>
      <c r="DD184" s="98">
        <v>33413</v>
      </c>
      <c r="DI184" s="91">
        <f t="shared" si="1337"/>
        <v>61255</v>
      </c>
      <c r="DJ184" s="91">
        <f t="shared" si="1338"/>
        <v>1378238</v>
      </c>
      <c r="DQ184" s="98">
        <v>16100</v>
      </c>
      <c r="DR184" s="98">
        <v>322000</v>
      </c>
      <c r="DY184" s="91">
        <f t="shared" si="1339"/>
        <v>16100</v>
      </c>
      <c r="DZ184" s="91">
        <f t="shared" si="1340"/>
        <v>322000</v>
      </c>
      <c r="EG184" s="98">
        <v>176450</v>
      </c>
      <c r="EH184" s="98">
        <v>3705450</v>
      </c>
      <c r="EO184" s="91">
        <f t="shared" si="1341"/>
        <v>176450</v>
      </c>
      <c r="EP184" s="91">
        <f t="shared" si="1342"/>
        <v>3705450</v>
      </c>
      <c r="ES184" s="98">
        <v>31398</v>
      </c>
      <c r="ET184" s="98">
        <v>627960</v>
      </c>
      <c r="EW184" s="98">
        <v>3271420</v>
      </c>
      <c r="EX184" s="98">
        <v>42528460</v>
      </c>
      <c r="EZ184" s="98" t="s">
        <v>384</v>
      </c>
      <c r="FC184" s="98">
        <v>875</v>
      </c>
      <c r="FD184" s="98">
        <v>11375</v>
      </c>
      <c r="FE184" s="91">
        <f t="shared" si="1343"/>
        <v>3303693</v>
      </c>
      <c r="FF184" s="91">
        <f t="shared" si="1344"/>
        <v>43167795</v>
      </c>
      <c r="FM184" s="98">
        <v>63449</v>
      </c>
      <c r="FN184" s="98">
        <v>1586225</v>
      </c>
      <c r="FS184" s="98">
        <v>70273</v>
      </c>
      <c r="FT184" s="98">
        <v>2108190</v>
      </c>
      <c r="FU184" s="91">
        <f t="shared" si="1345"/>
        <v>133722</v>
      </c>
      <c r="FV184" s="91">
        <f t="shared" si="1346"/>
        <v>3694415</v>
      </c>
      <c r="GC184" s="98">
        <v>42500</v>
      </c>
      <c r="GD184" s="98">
        <v>1147500</v>
      </c>
      <c r="GK184" s="91">
        <f t="shared" si="1347"/>
        <v>42500</v>
      </c>
      <c r="GL184" s="91">
        <f t="shared" si="1348"/>
        <v>1147500</v>
      </c>
      <c r="GS184" s="98">
        <v>9200</v>
      </c>
      <c r="GT184" s="98">
        <v>253000</v>
      </c>
      <c r="GY184" s="98">
        <v>100</v>
      </c>
      <c r="GZ184" s="98">
        <v>2750</v>
      </c>
      <c r="HA184" s="91">
        <f t="shared" si="1349"/>
        <v>9300</v>
      </c>
      <c r="HB184" s="91">
        <f t="shared" si="1350"/>
        <v>255750</v>
      </c>
      <c r="HI184" s="98">
        <v>45000</v>
      </c>
      <c r="HJ184" s="98">
        <v>1035000</v>
      </c>
      <c r="HO184" s="98">
        <v>380000</v>
      </c>
      <c r="HP184" s="98">
        <v>8740000</v>
      </c>
      <c r="HQ184" s="91">
        <f t="shared" si="1351"/>
        <v>425000</v>
      </c>
      <c r="HR184" s="91">
        <f t="shared" si="1352"/>
        <v>9775000</v>
      </c>
      <c r="HY184" s="98">
        <v>5550</v>
      </c>
      <c r="HZ184" s="98">
        <v>111000</v>
      </c>
      <c r="IG184" s="91">
        <f t="shared" si="1353"/>
        <v>5550</v>
      </c>
      <c r="IH184" s="91">
        <f t="shared" si="1354"/>
        <v>111000</v>
      </c>
      <c r="IO184" s="98">
        <v>8700</v>
      </c>
      <c r="IP184" s="98">
        <v>243600</v>
      </c>
      <c r="IW184" s="91">
        <f t="shared" si="1355"/>
        <v>8700</v>
      </c>
      <c r="IX184" s="91">
        <f t="shared" si="1356"/>
        <v>243600</v>
      </c>
      <c r="JE184" s="98">
        <v>6680</v>
      </c>
      <c r="JF184" s="98">
        <v>146960</v>
      </c>
      <c r="JK184" s="98">
        <v>4100</v>
      </c>
      <c r="JL184" s="98">
        <v>90200</v>
      </c>
      <c r="JM184" s="91">
        <f t="shared" si="1357"/>
        <v>10780</v>
      </c>
      <c r="JN184" s="91">
        <f t="shared" si="1358"/>
        <v>237160</v>
      </c>
      <c r="JU184" s="98">
        <v>12164</v>
      </c>
      <c r="JV184" s="98">
        <v>425740</v>
      </c>
      <c r="KC184" s="91">
        <f t="shared" si="1359"/>
        <v>12164</v>
      </c>
      <c r="KD184" s="91">
        <f t="shared" si="1360"/>
        <v>425740</v>
      </c>
      <c r="KK184" s="98">
        <v>180</v>
      </c>
      <c r="KL184" s="98">
        <v>4500</v>
      </c>
      <c r="KS184" s="91">
        <f t="shared" si="1361"/>
        <v>180</v>
      </c>
      <c r="KT184" s="91">
        <f t="shared" si="1362"/>
        <v>4500</v>
      </c>
      <c r="KW184" s="98">
        <v>54428.33</v>
      </c>
      <c r="KX184" s="98">
        <v>979710</v>
      </c>
      <c r="LA184" s="98">
        <v>13200.86</v>
      </c>
      <c r="LB184" s="98">
        <v>237615</v>
      </c>
      <c r="LG184" s="98">
        <v>13391.99</v>
      </c>
      <c r="LH184" s="98">
        <v>321407</v>
      </c>
      <c r="LI184" s="91">
        <f t="shared" si="1363"/>
        <v>81021.180000000008</v>
      </c>
      <c r="LJ184" s="91">
        <f t="shared" si="1364"/>
        <v>1538732</v>
      </c>
      <c r="LQ184" s="98">
        <v>4443</v>
      </c>
      <c r="LR184" s="98">
        <v>124404</v>
      </c>
      <c r="LW184" s="98">
        <v>2290</v>
      </c>
      <c r="LX184" s="98">
        <v>73280</v>
      </c>
      <c r="LY184" s="91">
        <f t="shared" si="1365"/>
        <v>6733</v>
      </c>
      <c r="LZ184" s="91">
        <f t="shared" si="1366"/>
        <v>197684</v>
      </c>
      <c r="MC184" s="98">
        <v>1900</v>
      </c>
      <c r="MD184" s="98">
        <v>34200</v>
      </c>
      <c r="MG184" s="98">
        <v>500</v>
      </c>
      <c r="MH184" s="98">
        <v>9000</v>
      </c>
      <c r="MM184" s="98">
        <v>1700</v>
      </c>
      <c r="MN184" s="98">
        <v>30600</v>
      </c>
      <c r="MO184" s="91">
        <f t="shared" si="1367"/>
        <v>4100</v>
      </c>
      <c r="MP184" s="91">
        <f t="shared" si="1368"/>
        <v>73800</v>
      </c>
      <c r="NE184" s="91">
        <f t="shared" si="1369"/>
        <v>0</v>
      </c>
      <c r="NF184" s="91">
        <f t="shared" si="1370"/>
        <v>0</v>
      </c>
      <c r="NI184" s="98">
        <v>1791400</v>
      </c>
      <c r="NJ184" s="98">
        <v>32245200</v>
      </c>
      <c r="NM184" s="98">
        <v>15000</v>
      </c>
      <c r="NN184" s="98">
        <v>270000</v>
      </c>
      <c r="NO184" s="98">
        <v>308600</v>
      </c>
      <c r="NP184" s="98">
        <v>5554800</v>
      </c>
      <c r="NQ184" s="98">
        <v>2000</v>
      </c>
      <c r="NR184" s="98">
        <v>36000</v>
      </c>
      <c r="NU184" s="91">
        <f t="shared" si="1371"/>
        <v>2117000</v>
      </c>
      <c r="NV184" s="91">
        <f t="shared" si="1372"/>
        <v>38106000</v>
      </c>
      <c r="OC184" s="98">
        <v>15</v>
      </c>
      <c r="OD184" s="98">
        <v>360</v>
      </c>
      <c r="OK184" s="91">
        <f t="shared" si="1373"/>
        <v>15</v>
      </c>
      <c r="OL184" s="91">
        <f t="shared" si="1374"/>
        <v>360</v>
      </c>
      <c r="OO184" s="98">
        <v>4280</v>
      </c>
      <c r="OP184" s="98">
        <v>149800</v>
      </c>
      <c r="PA184" s="91">
        <f t="shared" si="1375"/>
        <v>4280</v>
      </c>
      <c r="PB184" s="91">
        <f t="shared" si="1376"/>
        <v>149800</v>
      </c>
      <c r="PI184" s="98">
        <v>16187</v>
      </c>
      <c r="PJ184" s="98">
        <v>291368</v>
      </c>
      <c r="PQ184" s="91">
        <f t="shared" si="1377"/>
        <v>16187</v>
      </c>
      <c r="PR184" s="91">
        <f t="shared" si="1378"/>
        <v>291368</v>
      </c>
      <c r="PU184" s="98">
        <v>188970</v>
      </c>
      <c r="PV184" s="98">
        <v>3401460</v>
      </c>
      <c r="PY184" s="98">
        <v>149895</v>
      </c>
      <c r="PZ184" s="98">
        <v>2698110</v>
      </c>
      <c r="QA184" s="98">
        <v>268060</v>
      </c>
      <c r="QB184" s="98">
        <v>4557020</v>
      </c>
      <c r="QC184" s="98">
        <v>79390</v>
      </c>
      <c r="QD184" s="98">
        <v>1429020</v>
      </c>
      <c r="QG184" s="91">
        <f t="shared" si="1379"/>
        <v>686315</v>
      </c>
      <c r="QH184" s="91">
        <f t="shared" si="1380"/>
        <v>12085610</v>
      </c>
      <c r="QO184" s="98">
        <v>9000</v>
      </c>
      <c r="QP184" s="98">
        <v>180000</v>
      </c>
      <c r="QW184" s="91">
        <f t="shared" si="1381"/>
        <v>9000</v>
      </c>
      <c r="QX184" s="91">
        <f t="shared" si="1382"/>
        <v>180000</v>
      </c>
      <c r="RE184" s="98">
        <v>2565</v>
      </c>
      <c r="RF184" s="98">
        <f>RE184*27</f>
        <v>69255</v>
      </c>
      <c r="RM184" s="91">
        <f t="shared" si="1383"/>
        <v>2565</v>
      </c>
      <c r="RN184" s="91">
        <f t="shared" si="1384"/>
        <v>69255</v>
      </c>
      <c r="RU184" s="98">
        <v>5430</v>
      </c>
      <c r="RV184" s="98">
        <v>119460</v>
      </c>
      <c r="SC184" s="91">
        <f t="shared" si="1385"/>
        <v>5430</v>
      </c>
      <c r="SD184" s="91">
        <f t="shared" si="1386"/>
        <v>119460</v>
      </c>
      <c r="SK184" s="98">
        <v>1000</v>
      </c>
      <c r="SL184" s="98">
        <v>23000</v>
      </c>
      <c r="SS184" s="91">
        <f t="shared" si="1387"/>
        <v>1000</v>
      </c>
      <c r="ST184" s="91">
        <f t="shared" si="1388"/>
        <v>23000</v>
      </c>
      <c r="TA184" s="98">
        <v>2885</v>
      </c>
      <c r="TB184" s="98">
        <v>76452.5</v>
      </c>
      <c r="TI184" s="91">
        <f t="shared" si="1389"/>
        <v>2885</v>
      </c>
      <c r="TJ184" s="91">
        <f t="shared" si="1390"/>
        <v>76452.5</v>
      </c>
      <c r="TQ184" s="98">
        <v>3100</v>
      </c>
      <c r="TR184" s="98">
        <v>77500</v>
      </c>
      <c r="TU184" s="98">
        <v>800</v>
      </c>
      <c r="TV184" s="98">
        <v>24000</v>
      </c>
      <c r="TY184" s="91">
        <f t="shared" si="1391"/>
        <v>3900</v>
      </c>
      <c r="TZ184" s="91">
        <f t="shared" si="1392"/>
        <v>101500</v>
      </c>
      <c r="UG184" s="98">
        <v>430</v>
      </c>
      <c r="UH184" s="98">
        <v>9890.0010000000002</v>
      </c>
      <c r="UO184" s="91">
        <f t="shared" si="1393"/>
        <v>430</v>
      </c>
      <c r="UP184" s="91">
        <f t="shared" si="1394"/>
        <v>9890.0010000000002</v>
      </c>
      <c r="VE184" s="91">
        <f t="shared" si="1395"/>
        <v>0</v>
      </c>
      <c r="VF184" s="91">
        <f t="shared" si="1396"/>
        <v>0</v>
      </c>
      <c r="VI184" s="98">
        <v>400</v>
      </c>
      <c r="VJ184" s="98">
        <v>9200</v>
      </c>
      <c r="VM184" s="98">
        <v>736</v>
      </c>
      <c r="VN184" s="98">
        <v>18400</v>
      </c>
      <c r="VU184" s="91">
        <f t="shared" si="1397"/>
        <v>1136</v>
      </c>
      <c r="VV184" s="91">
        <f t="shared" si="1398"/>
        <v>27600</v>
      </c>
      <c r="VY184" s="98">
        <v>92458</v>
      </c>
      <c r="VZ184" s="98">
        <v>2588824</v>
      </c>
      <c r="WC184" s="98">
        <v>92193</v>
      </c>
      <c r="WD184" s="98">
        <v>2581404</v>
      </c>
      <c r="WK184" s="91">
        <f t="shared" si="1399"/>
        <v>184651</v>
      </c>
      <c r="WL184" s="91">
        <f t="shared" si="1400"/>
        <v>5170228</v>
      </c>
      <c r="WM184" s="89"/>
      <c r="WN184" s="87">
        <f t="shared" si="1401"/>
        <v>0</v>
      </c>
      <c r="WO184" s="87">
        <f t="shared" si="1402"/>
        <v>0</v>
      </c>
      <c r="WP184" s="87">
        <f t="shared" si="1403"/>
        <v>2206222.33</v>
      </c>
      <c r="WQ184" s="87">
        <f t="shared" si="1404"/>
        <v>40703253</v>
      </c>
      <c r="WR184" s="87">
        <f t="shared" si="1405"/>
        <v>0</v>
      </c>
      <c r="WS184" s="87">
        <f t="shared" si="1406"/>
        <v>0</v>
      </c>
      <c r="WT184" s="87">
        <f t="shared" si="1407"/>
        <v>4618884.8600000003</v>
      </c>
      <c r="WU184" s="87">
        <f t="shared" si="1408"/>
        <v>68734978.501000002</v>
      </c>
      <c r="WV184" s="87">
        <f t="shared" si="1409"/>
        <v>586896</v>
      </c>
      <c r="WW184" s="87">
        <f t="shared" si="1410"/>
        <v>10350618</v>
      </c>
      <c r="WX184" s="87">
        <f t="shared" si="1411"/>
        <v>83730</v>
      </c>
      <c r="WY184" s="87">
        <f t="shared" si="1412"/>
        <v>1519820</v>
      </c>
      <c r="WZ184" s="87">
        <f t="shared" si="1413"/>
        <v>478016.99</v>
      </c>
      <c r="XA184" s="87">
        <f t="shared" si="1414"/>
        <v>11499842</v>
      </c>
      <c r="XB184" s="92">
        <f t="shared" si="1415"/>
        <v>7973750.1800000006</v>
      </c>
      <c r="XC184" s="92">
        <f t="shared" si="1416"/>
        <v>132808511.501</v>
      </c>
      <c r="XD184" s="89"/>
      <c r="XE184" s="92"/>
      <c r="XF184" s="92"/>
      <c r="XG184" s="89"/>
      <c r="XH184" s="92"/>
      <c r="XI184" s="92"/>
      <c r="XJ184" s="89"/>
      <c r="XK184" s="87"/>
      <c r="XL184" s="87"/>
      <c r="XM184" s="87"/>
      <c r="XN184" s="87"/>
      <c r="XO184" s="87"/>
      <c r="XP184" s="87"/>
      <c r="XQ184" s="87"/>
      <c r="XR184" s="92">
        <f t="shared" ca="1" si="1417"/>
        <v>0</v>
      </c>
      <c r="XS184" s="89"/>
      <c r="XT184" s="87"/>
      <c r="XU184" s="87"/>
      <c r="XV184" s="87"/>
      <c r="XW184" s="87"/>
      <c r="XX184" s="87"/>
      <c r="XY184" s="87"/>
      <c r="XZ184" s="87"/>
      <c r="YA184" s="92">
        <f t="shared" ca="1" si="1418"/>
        <v>0</v>
      </c>
      <c r="YB184" s="90"/>
      <c r="YC184" s="90"/>
      <c r="YD184" s="90"/>
      <c r="YE184" s="90"/>
      <c r="YF184" s="90"/>
      <c r="YG184" s="90"/>
      <c r="YH184" s="90"/>
      <c r="YI184" s="90"/>
      <c r="YJ184" s="90"/>
      <c r="YK184" s="90"/>
      <c r="YL184" s="90"/>
      <c r="YM184" s="90"/>
      <c r="YN184" s="90"/>
      <c r="YO184" s="90"/>
      <c r="YP184" s="90"/>
      <c r="YQ184" s="90"/>
      <c r="YR184" s="90"/>
      <c r="YS184" s="90"/>
      <c r="YT184" s="90"/>
      <c r="YU184" s="90"/>
      <c r="YV184" s="90"/>
      <c r="YW184" s="90"/>
      <c r="YX184" s="90"/>
      <c r="YY184" s="90"/>
      <c r="YZ184" s="90"/>
      <c r="ZA184" s="90"/>
      <c r="ZB184" s="90"/>
      <c r="ZC184" s="90"/>
      <c r="ZD184" s="90"/>
      <c r="ZE184" s="90"/>
      <c r="ZF184" s="90"/>
      <c r="ZG184" s="90"/>
      <c r="ZH184" s="90"/>
      <c r="ZI184" s="90"/>
      <c r="ZJ184" s="90"/>
      <c r="ZK184" s="90"/>
      <c r="ZL184" s="90"/>
      <c r="ZM184" s="90"/>
      <c r="ZN184" s="90"/>
      <c r="ZO184" s="90"/>
      <c r="ZP184" s="90"/>
      <c r="ZQ184" s="90"/>
      <c r="ZR184" s="90"/>
      <c r="ZS184" s="90"/>
      <c r="ZT184" s="90"/>
      <c r="ZU184" s="90"/>
      <c r="ZV184" s="90"/>
      <c r="ZW184" s="90"/>
      <c r="ZX184" s="90"/>
      <c r="ZY184" s="90"/>
      <c r="ZZ184" s="90"/>
      <c r="AAA184" s="90"/>
      <c r="AAB184" s="90"/>
      <c r="AAC184" s="90"/>
      <c r="AAD184" s="90"/>
      <c r="AAE184" s="90"/>
      <c r="AAF184" s="90"/>
      <c r="AAG184" s="90"/>
      <c r="AAH184" s="90"/>
      <c r="AAI184" s="90"/>
      <c r="AAJ184" s="90"/>
      <c r="AAK184" s="90"/>
      <c r="AAL184" s="90"/>
      <c r="AAM184" s="90"/>
      <c r="AAN184" s="90"/>
      <c r="AAO184" s="90"/>
      <c r="AAP184" s="90"/>
      <c r="AAQ184" s="90"/>
      <c r="AAR184" s="90"/>
      <c r="AAS184" s="90"/>
      <c r="AAT184" s="90"/>
      <c r="AAU184" s="90"/>
      <c r="AAV184" s="90"/>
      <c r="AAW184" s="90"/>
      <c r="AAX184" s="90"/>
      <c r="AAY184" s="90"/>
      <c r="AAZ184" s="90"/>
      <c r="ABA184" s="90"/>
      <c r="ABB184" s="90"/>
      <c r="ABC184" s="90"/>
      <c r="ABD184" s="90"/>
      <c r="ABE184" s="90"/>
      <c r="ABF184" s="90"/>
      <c r="ABG184" s="90"/>
      <c r="ABH184" s="90"/>
      <c r="ABI184" s="90"/>
      <c r="ABJ184" s="90"/>
      <c r="ABK184" s="90"/>
      <c r="ABL184" s="90"/>
      <c r="ABM184" s="90"/>
      <c r="ABN184" s="90"/>
      <c r="ABO184" s="90"/>
      <c r="ABP184" s="90"/>
      <c r="ABQ184" s="90"/>
      <c r="ABR184" s="90"/>
      <c r="ABS184" s="90"/>
      <c r="ABT184" s="90"/>
      <c r="ABU184" s="90"/>
      <c r="ABV184" s="90"/>
      <c r="ABW184" s="90"/>
      <c r="ABX184" s="90"/>
      <c r="ABY184" s="90"/>
      <c r="ABZ184" s="90"/>
      <c r="ACA184" s="90"/>
      <c r="ACB184" s="90"/>
      <c r="ACC184" s="90"/>
      <c r="ACD184" s="90"/>
      <c r="ACE184" s="90"/>
      <c r="ACF184" s="90"/>
      <c r="ACG184" s="90"/>
      <c r="ACH184" s="90"/>
      <c r="ACI184" s="90"/>
      <c r="ACJ184" s="90"/>
      <c r="ACK184" s="90"/>
      <c r="ACL184" s="90"/>
      <c r="ACM184" s="90"/>
      <c r="ACN184" s="90"/>
      <c r="ACO184" s="90"/>
      <c r="ACP184" s="90"/>
      <c r="ACQ184" s="90"/>
      <c r="ACR184" s="90"/>
      <c r="ACS184" s="90"/>
      <c r="ACT184" s="90"/>
      <c r="ACU184" s="90"/>
      <c r="ACV184" s="90"/>
      <c r="ACW184" s="90"/>
      <c r="ACX184" s="90"/>
      <c r="ACY184" s="90"/>
      <c r="ACZ184" s="90"/>
      <c r="ADA184" s="90"/>
      <c r="ADB184" s="90"/>
      <c r="ADC184" s="90"/>
      <c r="ADD184" s="90"/>
      <c r="ADE184" s="90"/>
      <c r="ADF184" s="90"/>
      <c r="ADG184" s="90"/>
      <c r="ADH184" s="90"/>
      <c r="ADI184" s="90"/>
      <c r="ADJ184" s="90"/>
      <c r="ADK184" s="90"/>
      <c r="ADL184" s="90"/>
      <c r="ADM184" s="90"/>
      <c r="ADN184" s="90"/>
      <c r="ADO184" s="90"/>
      <c r="ADP184" s="90"/>
      <c r="ADQ184" s="90"/>
      <c r="ADR184" s="90"/>
      <c r="ADS184" s="90"/>
      <c r="ADT184" s="90"/>
      <c r="ADU184" s="90"/>
      <c r="ADV184" s="90"/>
      <c r="ADW184" s="90"/>
      <c r="ADX184" s="90"/>
      <c r="ADY184" s="90"/>
      <c r="ADZ184" s="90"/>
      <c r="AEA184" s="90"/>
      <c r="AEB184" s="90"/>
      <c r="AEC184" s="90"/>
      <c r="AED184" s="90"/>
      <c r="AEE184" s="90"/>
      <c r="AEF184" s="90"/>
      <c r="AEG184" s="90"/>
      <c r="AEH184" s="90"/>
      <c r="AEI184" s="90"/>
      <c r="AEJ184" s="90"/>
      <c r="AEK184" s="90"/>
      <c r="AEL184" s="90"/>
      <c r="AEM184" s="90"/>
      <c r="AEN184" s="90"/>
      <c r="AEO184" s="90"/>
      <c r="AEP184" s="90"/>
      <c r="AEQ184" s="90"/>
      <c r="AER184" s="90"/>
      <c r="AES184" s="90"/>
      <c r="AET184" s="90"/>
      <c r="AEU184" s="90"/>
      <c r="AEV184" s="90"/>
      <c r="AEW184" s="90"/>
      <c r="AEX184" s="90"/>
      <c r="AEY184" s="90"/>
      <c r="AEZ184" s="90"/>
      <c r="AFA184" s="90"/>
      <c r="AFB184" s="90"/>
      <c r="AFC184" s="90"/>
      <c r="AFD184" s="90"/>
      <c r="AFE184" s="90"/>
      <c r="AFF184" s="90"/>
      <c r="AFG184" s="90"/>
      <c r="AFH184" s="90"/>
      <c r="AFI184" s="90"/>
      <c r="AFJ184" s="90"/>
      <c r="AFK184" s="90"/>
      <c r="AFL184" s="90"/>
      <c r="AFM184" s="90"/>
      <c r="AFN184" s="90"/>
      <c r="AFO184" s="90"/>
      <c r="AFP184" s="90"/>
      <c r="AFQ184" s="90"/>
      <c r="AFR184" s="90"/>
      <c r="AFS184" s="90"/>
      <c r="AFT184" s="90"/>
      <c r="AFU184" s="90"/>
      <c r="AFV184" s="90"/>
      <c r="AFW184" s="90"/>
      <c r="AFX184" s="90"/>
      <c r="AFY184" s="90"/>
      <c r="AFZ184" s="90"/>
      <c r="AGA184" s="90"/>
      <c r="AGB184" s="90"/>
      <c r="AGC184" s="90"/>
      <c r="AGD184" s="90"/>
      <c r="AGE184" s="90"/>
      <c r="AGF184" s="90"/>
      <c r="AGG184" s="90"/>
      <c r="AGH184" s="90"/>
      <c r="AGI184" s="90"/>
      <c r="AGJ184" s="90"/>
      <c r="AGK184" s="90"/>
      <c r="AGL184" s="90"/>
      <c r="AGM184" s="90"/>
      <c r="AGN184" s="90"/>
      <c r="AGO184" s="90"/>
      <c r="AGP184" s="90"/>
      <c r="AGQ184" s="90"/>
      <c r="AGR184" s="90"/>
      <c r="AGS184" s="90"/>
      <c r="AGT184" s="90"/>
      <c r="AGU184" s="90"/>
      <c r="AGV184" s="90"/>
      <c r="AGW184" s="90"/>
      <c r="AGX184" s="90"/>
      <c r="AGY184" s="90"/>
      <c r="AGZ184" s="90"/>
      <c r="AHA184" s="90"/>
      <c r="AHB184" s="90"/>
      <c r="AHC184" s="90"/>
      <c r="AHD184" s="90"/>
      <c r="AHE184" s="90"/>
      <c r="AHF184" s="90"/>
      <c r="AHG184" s="90"/>
      <c r="AHH184" s="90"/>
      <c r="AHI184" s="90"/>
      <c r="AHJ184" s="90"/>
      <c r="AHK184" s="90"/>
      <c r="AHL184" s="90"/>
      <c r="AHM184" s="90"/>
      <c r="AHN184" s="90"/>
      <c r="AHO184" s="90"/>
      <c r="AHP184" s="90"/>
      <c r="AHQ184" s="90"/>
      <c r="AHR184" s="90"/>
      <c r="AHS184" s="90"/>
      <c r="AHT184" s="90"/>
      <c r="AHU184" s="90"/>
      <c r="AHV184" s="90"/>
      <c r="AHW184" s="90"/>
      <c r="AHX184" s="90"/>
      <c r="AHY184" s="90"/>
      <c r="AHZ184" s="90"/>
      <c r="AIA184" s="90"/>
      <c r="AIB184" s="90"/>
      <c r="AIC184" s="90"/>
      <c r="AID184" s="90"/>
      <c r="AIE184" s="90"/>
      <c r="AIF184" s="90"/>
      <c r="AIG184" s="90"/>
      <c r="AIH184" s="90"/>
      <c r="AII184" s="90"/>
      <c r="AIJ184" s="90"/>
      <c r="AIK184" s="90"/>
      <c r="AIL184" s="90"/>
      <c r="AIM184" s="90"/>
      <c r="AIN184" s="90"/>
      <c r="AIO184" s="90"/>
      <c r="AIP184" s="90"/>
      <c r="AIQ184" s="90"/>
      <c r="AIR184" s="90"/>
      <c r="AIS184" s="90"/>
      <c r="AIT184" s="90"/>
      <c r="AIU184" s="90"/>
      <c r="AIV184" s="90"/>
      <c r="AIW184" s="90"/>
      <c r="AIX184" s="90"/>
      <c r="AIY184" s="90"/>
      <c r="AIZ184" s="90"/>
      <c r="AJA184" s="90"/>
      <c r="AJB184" s="90"/>
      <c r="AJC184" s="90"/>
      <c r="AJD184" s="90"/>
      <c r="AJE184" s="90"/>
      <c r="AJF184" s="90"/>
      <c r="AJG184" s="90"/>
      <c r="AJH184" s="90"/>
      <c r="AJI184" s="90"/>
      <c r="AJJ184" s="90"/>
      <c r="AJK184" s="90"/>
      <c r="AJL184" s="90"/>
      <c r="AJM184" s="90"/>
      <c r="AJN184" s="90"/>
      <c r="AJO184" s="90"/>
      <c r="AJP184" s="90"/>
      <c r="AJQ184" s="90"/>
      <c r="AJR184" s="90"/>
      <c r="AJS184" s="90"/>
      <c r="AJT184" s="90"/>
      <c r="AJU184" s="90"/>
      <c r="AJV184" s="90"/>
      <c r="AJW184" s="90"/>
      <c r="AJX184" s="90"/>
      <c r="AJY184" s="90"/>
      <c r="AJZ184" s="90"/>
      <c r="AKA184" s="90"/>
      <c r="AKB184" s="90"/>
      <c r="AKC184" s="90"/>
      <c r="AKD184" s="90"/>
      <c r="AKE184" s="90"/>
      <c r="AKF184" s="90"/>
      <c r="AKG184" s="90"/>
      <c r="AKH184" s="90"/>
      <c r="AKI184" s="90"/>
      <c r="AKJ184" s="90"/>
      <c r="AKK184" s="90"/>
      <c r="AKL184" s="90"/>
      <c r="AKM184" s="90"/>
      <c r="AKN184" s="90"/>
      <c r="AKO184" s="90"/>
      <c r="AKP184" s="90"/>
      <c r="AKQ184" s="90"/>
      <c r="AKR184" s="90"/>
      <c r="AKS184" s="90"/>
      <c r="AKT184" s="90"/>
      <c r="AKU184" s="90"/>
      <c r="AKV184" s="90"/>
      <c r="AKW184" s="90"/>
      <c r="AKX184" s="90"/>
      <c r="AKY184" s="90"/>
      <c r="AKZ184" s="90"/>
      <c r="ALA184" s="90"/>
      <c r="ALB184" s="90"/>
      <c r="ALC184" s="90"/>
      <c r="ALD184" s="90"/>
      <c r="ALE184" s="90"/>
      <c r="ALF184" s="90"/>
      <c r="ALG184" s="90"/>
      <c r="ALH184" s="90"/>
      <c r="ALI184" s="90"/>
      <c r="ALJ184" s="90"/>
      <c r="ALK184" s="90"/>
      <c r="ALL184" s="90"/>
      <c r="ALM184" s="90"/>
      <c r="ALN184" s="90"/>
      <c r="ALO184" s="90"/>
      <c r="ALP184" s="90"/>
      <c r="ALQ184" s="90"/>
      <c r="ALR184" s="90"/>
      <c r="ALS184" s="90"/>
      <c r="ALT184" s="90"/>
      <c r="ALU184" s="90"/>
      <c r="ALV184" s="90"/>
      <c r="ALW184" s="90"/>
      <c r="ALX184" s="90"/>
      <c r="ALY184" s="90"/>
      <c r="ALZ184" s="90"/>
      <c r="AMA184" s="90"/>
      <c r="AMB184" s="90"/>
      <c r="AMC184" s="90"/>
    </row>
    <row r="185" spans="1:1017">
      <c r="A185" s="98" t="s">
        <v>49</v>
      </c>
      <c r="B185" s="90" t="str">
        <f t="shared" si="1324"/>
        <v xml:space="preserve">Patin </v>
      </c>
      <c r="Q185" s="91">
        <f t="shared" si="1325"/>
        <v>0</v>
      </c>
      <c r="R185" s="91">
        <f t="shared" si="1326"/>
        <v>0</v>
      </c>
      <c r="Y185" s="98">
        <v>239584</v>
      </c>
      <c r="Z185" s="98">
        <v>4791680</v>
      </c>
      <c r="AG185" s="91">
        <f t="shared" si="1327"/>
        <v>239584</v>
      </c>
      <c r="AH185" s="91">
        <f t="shared" si="1328"/>
        <v>4791680</v>
      </c>
      <c r="AO185" s="98">
        <v>13300</v>
      </c>
      <c r="AP185" s="98">
        <v>212800</v>
      </c>
      <c r="AW185" s="91">
        <f t="shared" si="1329"/>
        <v>13300</v>
      </c>
      <c r="AX185" s="91">
        <f t="shared" si="1330"/>
        <v>212800</v>
      </c>
      <c r="BE185" s="98">
        <v>20117</v>
      </c>
      <c r="BF185" s="98">
        <v>362106</v>
      </c>
      <c r="BM185" s="91">
        <f t="shared" si="1331"/>
        <v>20117</v>
      </c>
      <c r="BN185" s="91">
        <f t="shared" si="1332"/>
        <v>362106</v>
      </c>
      <c r="CC185" s="91">
        <f t="shared" si="1333"/>
        <v>0</v>
      </c>
      <c r="CD185" s="91">
        <f t="shared" si="1334"/>
        <v>0</v>
      </c>
      <c r="CK185" s="98">
        <v>979</v>
      </c>
      <c r="CL185" s="98">
        <v>19580</v>
      </c>
      <c r="CS185" s="91">
        <f t="shared" si="1419"/>
        <v>979</v>
      </c>
      <c r="CT185" s="91">
        <f t="shared" si="1420"/>
        <v>19580</v>
      </c>
      <c r="DI185" s="91">
        <f t="shared" si="1337"/>
        <v>0</v>
      </c>
      <c r="DJ185" s="91">
        <f t="shared" si="1338"/>
        <v>0</v>
      </c>
      <c r="DQ185" s="98">
        <v>154600</v>
      </c>
      <c r="DR185" s="98">
        <v>2782800</v>
      </c>
      <c r="DY185" s="91">
        <f t="shared" si="1339"/>
        <v>154600</v>
      </c>
      <c r="DZ185" s="91">
        <f t="shared" si="1340"/>
        <v>2782800</v>
      </c>
      <c r="EG185" s="98">
        <v>210200</v>
      </c>
      <c r="EH185" s="98">
        <v>3153000</v>
      </c>
      <c r="EO185" s="91">
        <f t="shared" si="1341"/>
        <v>210200</v>
      </c>
      <c r="EP185" s="91">
        <f t="shared" si="1342"/>
        <v>3153000</v>
      </c>
      <c r="EW185" s="98">
        <v>656</v>
      </c>
      <c r="EX185" s="98">
        <v>10496</v>
      </c>
      <c r="FE185" s="91">
        <f t="shared" si="1343"/>
        <v>656</v>
      </c>
      <c r="FF185" s="91">
        <f t="shared" si="1344"/>
        <v>10496</v>
      </c>
      <c r="FM185" s="98">
        <v>840</v>
      </c>
      <c r="FN185" s="98">
        <v>21000</v>
      </c>
      <c r="FU185" s="91">
        <f t="shared" si="1345"/>
        <v>840</v>
      </c>
      <c r="FV185" s="91">
        <f t="shared" si="1346"/>
        <v>21000</v>
      </c>
      <c r="GC185" s="98">
        <v>28000</v>
      </c>
      <c r="GD185" s="98">
        <v>476000</v>
      </c>
      <c r="GK185" s="91">
        <f t="shared" si="1347"/>
        <v>28000</v>
      </c>
      <c r="GL185" s="91">
        <f t="shared" si="1348"/>
        <v>476000</v>
      </c>
      <c r="GS185" s="98">
        <v>2900</v>
      </c>
      <c r="GT185" s="98">
        <v>47850</v>
      </c>
      <c r="HA185" s="91">
        <f t="shared" si="1349"/>
        <v>2900</v>
      </c>
      <c r="HB185" s="91">
        <f t="shared" si="1350"/>
        <v>47850</v>
      </c>
      <c r="HQ185" s="91">
        <f t="shared" si="1351"/>
        <v>0</v>
      </c>
      <c r="HR185" s="91">
        <f t="shared" si="1352"/>
        <v>0</v>
      </c>
      <c r="HY185" s="98">
        <v>1500</v>
      </c>
      <c r="HZ185" s="98">
        <v>25500</v>
      </c>
      <c r="IG185" s="91">
        <f t="shared" si="1353"/>
        <v>1500</v>
      </c>
      <c r="IH185" s="91">
        <f t="shared" si="1354"/>
        <v>25500</v>
      </c>
      <c r="IO185" s="98">
        <v>7350</v>
      </c>
      <c r="IP185" s="98">
        <v>121275</v>
      </c>
      <c r="IW185" s="91">
        <f t="shared" si="1355"/>
        <v>7350</v>
      </c>
      <c r="IX185" s="91">
        <f t="shared" si="1356"/>
        <v>121275</v>
      </c>
      <c r="JE185" s="98">
        <v>15150</v>
      </c>
      <c r="JF185" s="98">
        <v>257550</v>
      </c>
      <c r="JK185" s="98">
        <v>5160</v>
      </c>
      <c r="JL185" s="98">
        <v>87720</v>
      </c>
      <c r="JM185" s="91">
        <f t="shared" si="1357"/>
        <v>20310</v>
      </c>
      <c r="JN185" s="91">
        <f t="shared" si="1358"/>
        <v>345270</v>
      </c>
      <c r="KC185" s="91">
        <f t="shared" si="1359"/>
        <v>0</v>
      </c>
      <c r="KD185" s="91">
        <f t="shared" si="1360"/>
        <v>0</v>
      </c>
      <c r="KS185" s="91">
        <f t="shared" si="1361"/>
        <v>0</v>
      </c>
      <c r="KT185" s="91">
        <f t="shared" si="1362"/>
        <v>0</v>
      </c>
      <c r="LG185" s="98">
        <v>3816.06</v>
      </c>
      <c r="LH185" s="98">
        <v>68689</v>
      </c>
      <c r="LI185" s="91">
        <f t="shared" si="1363"/>
        <v>3816.06</v>
      </c>
      <c r="LJ185" s="91">
        <f t="shared" si="1364"/>
        <v>68689</v>
      </c>
      <c r="LQ185" s="98">
        <v>1749</v>
      </c>
      <c r="LR185" s="98">
        <v>33231</v>
      </c>
      <c r="LY185" s="91">
        <f t="shared" si="1365"/>
        <v>1749</v>
      </c>
      <c r="LZ185" s="91">
        <f t="shared" si="1366"/>
        <v>33231</v>
      </c>
      <c r="MO185" s="91">
        <f t="shared" si="1367"/>
        <v>0</v>
      </c>
      <c r="MP185" s="91">
        <f t="shared" si="1368"/>
        <v>0</v>
      </c>
      <c r="NE185" s="91">
        <f t="shared" si="1369"/>
        <v>0</v>
      </c>
      <c r="NF185" s="91">
        <f t="shared" si="1370"/>
        <v>0</v>
      </c>
      <c r="NM185" s="98">
        <v>20300</v>
      </c>
      <c r="NN185" s="98">
        <v>365400</v>
      </c>
      <c r="NQ185" s="98">
        <v>17800</v>
      </c>
      <c r="NR185" s="98">
        <v>320400</v>
      </c>
      <c r="NU185" s="91">
        <f t="shared" si="1371"/>
        <v>38100</v>
      </c>
      <c r="NV185" s="91">
        <f t="shared" si="1372"/>
        <v>685800</v>
      </c>
      <c r="OK185" s="91">
        <f t="shared" si="1373"/>
        <v>0</v>
      </c>
      <c r="OL185" s="91">
        <f t="shared" si="1374"/>
        <v>0</v>
      </c>
      <c r="PA185" s="91">
        <f t="shared" si="1375"/>
        <v>0</v>
      </c>
      <c r="PB185" s="91">
        <f t="shared" si="1376"/>
        <v>0</v>
      </c>
      <c r="PI185" s="98">
        <v>38866</v>
      </c>
      <c r="PJ185" s="98">
        <v>563560</v>
      </c>
      <c r="PQ185" s="91">
        <f t="shared" si="1377"/>
        <v>38866</v>
      </c>
      <c r="PR185" s="91">
        <f t="shared" si="1378"/>
        <v>563560</v>
      </c>
      <c r="PY185" s="98">
        <v>96160</v>
      </c>
      <c r="PZ185" s="98">
        <v>1442400</v>
      </c>
      <c r="QC185" s="98">
        <v>70090</v>
      </c>
      <c r="QD185" s="98">
        <v>1191530</v>
      </c>
      <c r="QG185" s="91">
        <f t="shared" si="1379"/>
        <v>166250</v>
      </c>
      <c r="QH185" s="91">
        <f t="shared" si="1380"/>
        <v>2633930</v>
      </c>
      <c r="QO185" s="98">
        <v>1680000</v>
      </c>
      <c r="QP185" s="98">
        <v>26040000</v>
      </c>
      <c r="QW185" s="91">
        <f t="shared" si="1381"/>
        <v>1680000</v>
      </c>
      <c r="QX185" s="91">
        <f t="shared" si="1382"/>
        <v>26040000</v>
      </c>
      <c r="RM185" s="91">
        <f t="shared" si="1383"/>
        <v>0</v>
      </c>
      <c r="RN185" s="91">
        <f t="shared" si="1384"/>
        <v>0</v>
      </c>
      <c r="RU185" s="98">
        <v>1570</v>
      </c>
      <c r="RV185" s="98">
        <v>25120</v>
      </c>
      <c r="SC185" s="91">
        <f t="shared" si="1385"/>
        <v>1570</v>
      </c>
      <c r="SD185" s="91">
        <f t="shared" si="1386"/>
        <v>25120</v>
      </c>
      <c r="SS185" s="91">
        <f t="shared" si="1387"/>
        <v>0</v>
      </c>
      <c r="ST185" s="91">
        <f t="shared" si="1388"/>
        <v>0</v>
      </c>
      <c r="TI185" s="91">
        <f t="shared" si="1389"/>
        <v>0</v>
      </c>
      <c r="TJ185" s="91">
        <f t="shared" si="1390"/>
        <v>0</v>
      </c>
      <c r="TY185" s="91">
        <f t="shared" si="1391"/>
        <v>0</v>
      </c>
      <c r="TZ185" s="91">
        <f t="shared" si="1392"/>
        <v>0</v>
      </c>
      <c r="UG185" s="98">
        <v>235</v>
      </c>
      <c r="UH185" s="98">
        <v>4700.0010000000002</v>
      </c>
      <c r="UO185" s="91">
        <f t="shared" si="1393"/>
        <v>235</v>
      </c>
      <c r="UP185" s="91">
        <f t="shared" si="1394"/>
        <v>4700.0010000000002</v>
      </c>
      <c r="VE185" s="91">
        <f t="shared" si="1395"/>
        <v>0</v>
      </c>
      <c r="VF185" s="91">
        <f t="shared" si="1396"/>
        <v>0</v>
      </c>
      <c r="VU185" s="91">
        <f t="shared" si="1397"/>
        <v>0</v>
      </c>
      <c r="VV185" s="91">
        <f t="shared" si="1398"/>
        <v>0</v>
      </c>
      <c r="WC185" s="98">
        <v>383</v>
      </c>
      <c r="WD185" s="98">
        <v>8426</v>
      </c>
      <c r="WK185" s="91">
        <f t="shared" si="1399"/>
        <v>383</v>
      </c>
      <c r="WL185" s="91">
        <f t="shared" si="1400"/>
        <v>8426</v>
      </c>
      <c r="WM185" s="89"/>
      <c r="WN185" s="87">
        <f t="shared" si="1401"/>
        <v>0</v>
      </c>
      <c r="WO185" s="87">
        <f t="shared" si="1402"/>
        <v>0</v>
      </c>
      <c r="WP185" s="87">
        <f t="shared" si="1403"/>
        <v>0</v>
      </c>
      <c r="WQ185" s="87">
        <f t="shared" si="1404"/>
        <v>0</v>
      </c>
      <c r="WR185" s="87">
        <f t="shared" si="1405"/>
        <v>0</v>
      </c>
      <c r="WS185" s="87">
        <f t="shared" si="1406"/>
        <v>0</v>
      </c>
      <c r="WT185" s="87">
        <f t="shared" si="1407"/>
        <v>2534439</v>
      </c>
      <c r="WU185" s="87">
        <f t="shared" si="1408"/>
        <v>40764474.001000002</v>
      </c>
      <c r="WV185" s="87">
        <f t="shared" si="1409"/>
        <v>0</v>
      </c>
      <c r="WW185" s="87">
        <f t="shared" si="1410"/>
        <v>0</v>
      </c>
      <c r="WX185" s="87">
        <f t="shared" si="1411"/>
        <v>87890</v>
      </c>
      <c r="WY185" s="87">
        <f t="shared" si="1412"/>
        <v>1511930</v>
      </c>
      <c r="WZ185" s="87">
        <f t="shared" si="1413"/>
        <v>8976.06</v>
      </c>
      <c r="XA185" s="87">
        <f t="shared" si="1414"/>
        <v>156409</v>
      </c>
      <c r="XB185" s="92">
        <f t="shared" si="1415"/>
        <v>2631305.06</v>
      </c>
      <c r="XC185" s="92">
        <f t="shared" si="1416"/>
        <v>42432813.001000002</v>
      </c>
      <c r="XD185" s="89"/>
      <c r="XE185" s="92"/>
      <c r="XF185" s="92"/>
      <c r="XG185" s="89"/>
      <c r="XH185" s="92"/>
      <c r="XI185" s="92"/>
      <c r="XJ185" s="89"/>
      <c r="XK185" s="87"/>
      <c r="XL185" s="87"/>
      <c r="XM185" s="87"/>
      <c r="XN185" s="87"/>
      <c r="XO185" s="87"/>
      <c r="XP185" s="87"/>
      <c r="XQ185" s="87"/>
      <c r="XR185" s="92">
        <f t="shared" ca="1" si="1417"/>
        <v>0</v>
      </c>
      <c r="XS185" s="89"/>
      <c r="XT185" s="87"/>
      <c r="XU185" s="87"/>
      <c r="XV185" s="87"/>
      <c r="XW185" s="87"/>
      <c r="XX185" s="87"/>
      <c r="XY185" s="87"/>
      <c r="XZ185" s="87"/>
      <c r="YA185" s="92">
        <f t="shared" ca="1" si="1418"/>
        <v>0</v>
      </c>
      <c r="YB185" s="90"/>
      <c r="YC185" s="90"/>
      <c r="YD185" s="90"/>
      <c r="YE185" s="90"/>
      <c r="YF185" s="90"/>
      <c r="YG185" s="90"/>
      <c r="YH185" s="90"/>
      <c r="YI185" s="90"/>
      <c r="YJ185" s="90"/>
      <c r="YK185" s="90"/>
      <c r="YL185" s="90"/>
      <c r="YM185" s="90"/>
      <c r="YN185" s="90"/>
      <c r="YO185" s="90"/>
      <c r="YP185" s="90"/>
      <c r="YQ185" s="90"/>
      <c r="YR185" s="90"/>
      <c r="YS185" s="90"/>
      <c r="YT185" s="90"/>
      <c r="YU185" s="90"/>
      <c r="YV185" s="90"/>
      <c r="YW185" s="90"/>
      <c r="YX185" s="90"/>
      <c r="YY185" s="90"/>
      <c r="YZ185" s="90"/>
      <c r="ZA185" s="90"/>
      <c r="ZB185" s="90"/>
      <c r="ZC185" s="90"/>
      <c r="ZD185" s="90"/>
      <c r="ZE185" s="90"/>
      <c r="ZF185" s="90"/>
      <c r="ZG185" s="90"/>
      <c r="ZH185" s="90"/>
      <c r="ZI185" s="90"/>
      <c r="ZJ185" s="90"/>
      <c r="ZK185" s="90"/>
      <c r="ZL185" s="90"/>
      <c r="ZM185" s="90"/>
      <c r="ZN185" s="90"/>
      <c r="ZO185" s="90"/>
      <c r="ZP185" s="90"/>
      <c r="ZQ185" s="90"/>
      <c r="ZR185" s="90"/>
      <c r="ZS185" s="90"/>
      <c r="ZT185" s="90"/>
      <c r="ZU185" s="90"/>
      <c r="ZV185" s="90"/>
      <c r="ZW185" s="90"/>
      <c r="ZX185" s="90"/>
      <c r="ZY185" s="90"/>
      <c r="ZZ185" s="90"/>
      <c r="AAA185" s="90"/>
      <c r="AAB185" s="90"/>
      <c r="AAC185" s="90"/>
      <c r="AAD185" s="90"/>
      <c r="AAE185" s="90"/>
      <c r="AAF185" s="90"/>
      <c r="AAG185" s="90"/>
      <c r="AAH185" s="90"/>
      <c r="AAI185" s="90"/>
      <c r="AAJ185" s="90"/>
      <c r="AAK185" s="90"/>
      <c r="AAL185" s="90"/>
      <c r="AAM185" s="90"/>
      <c r="AAN185" s="90"/>
      <c r="AAO185" s="90"/>
      <c r="AAP185" s="90"/>
      <c r="AAQ185" s="90"/>
      <c r="AAR185" s="90"/>
      <c r="AAS185" s="90"/>
      <c r="AAT185" s="90"/>
      <c r="AAU185" s="90"/>
      <c r="AAV185" s="90"/>
      <c r="AAW185" s="90"/>
      <c r="AAX185" s="90"/>
      <c r="AAY185" s="90"/>
      <c r="AAZ185" s="90"/>
      <c r="ABA185" s="90"/>
      <c r="ABB185" s="90"/>
      <c r="ABC185" s="90"/>
      <c r="ABD185" s="90"/>
      <c r="ABE185" s="90"/>
      <c r="ABF185" s="90"/>
      <c r="ABG185" s="90"/>
      <c r="ABH185" s="90"/>
      <c r="ABI185" s="90"/>
      <c r="ABJ185" s="90"/>
      <c r="ABK185" s="90"/>
      <c r="ABL185" s="90"/>
      <c r="ABM185" s="90"/>
      <c r="ABN185" s="90"/>
      <c r="ABO185" s="90"/>
      <c r="ABP185" s="90"/>
      <c r="ABQ185" s="90"/>
      <c r="ABR185" s="90"/>
      <c r="ABS185" s="90"/>
      <c r="ABT185" s="90"/>
      <c r="ABU185" s="90"/>
      <c r="ABV185" s="90"/>
      <c r="ABW185" s="90"/>
      <c r="ABX185" s="90"/>
      <c r="ABY185" s="90"/>
      <c r="ABZ185" s="90"/>
      <c r="ACA185" s="90"/>
      <c r="ACB185" s="90"/>
      <c r="ACC185" s="90"/>
      <c r="ACD185" s="90"/>
      <c r="ACE185" s="90"/>
      <c r="ACF185" s="90"/>
      <c r="ACG185" s="90"/>
      <c r="ACH185" s="90"/>
      <c r="ACI185" s="90"/>
      <c r="ACJ185" s="90"/>
      <c r="ACK185" s="90"/>
      <c r="ACL185" s="90"/>
      <c r="ACM185" s="90"/>
      <c r="ACN185" s="90"/>
      <c r="ACO185" s="90"/>
      <c r="ACP185" s="90"/>
      <c r="ACQ185" s="90"/>
      <c r="ACR185" s="90"/>
      <c r="ACS185" s="90"/>
      <c r="ACT185" s="90"/>
      <c r="ACU185" s="90"/>
      <c r="ACV185" s="90"/>
      <c r="ACW185" s="90"/>
      <c r="ACX185" s="90"/>
      <c r="ACY185" s="90"/>
      <c r="ACZ185" s="90"/>
      <c r="ADA185" s="90"/>
      <c r="ADB185" s="90"/>
      <c r="ADC185" s="90"/>
      <c r="ADD185" s="90"/>
      <c r="ADE185" s="90"/>
      <c r="ADF185" s="90"/>
      <c r="ADG185" s="90"/>
      <c r="ADH185" s="90"/>
      <c r="ADI185" s="90"/>
      <c r="ADJ185" s="90"/>
      <c r="ADK185" s="90"/>
      <c r="ADL185" s="90"/>
      <c r="ADM185" s="90"/>
      <c r="ADN185" s="90"/>
      <c r="ADO185" s="90"/>
      <c r="ADP185" s="90"/>
      <c r="ADQ185" s="90"/>
      <c r="ADR185" s="90"/>
      <c r="ADS185" s="90"/>
      <c r="ADT185" s="90"/>
      <c r="ADU185" s="90"/>
      <c r="ADV185" s="90"/>
      <c r="ADW185" s="90"/>
      <c r="ADX185" s="90"/>
      <c r="ADY185" s="90"/>
      <c r="ADZ185" s="90"/>
      <c r="AEA185" s="90"/>
      <c r="AEB185" s="90"/>
      <c r="AEC185" s="90"/>
      <c r="AED185" s="90"/>
      <c r="AEE185" s="90"/>
      <c r="AEF185" s="90"/>
      <c r="AEG185" s="90"/>
      <c r="AEH185" s="90"/>
      <c r="AEI185" s="90"/>
      <c r="AEJ185" s="90"/>
      <c r="AEK185" s="90"/>
      <c r="AEL185" s="90"/>
      <c r="AEM185" s="90"/>
      <c r="AEN185" s="90"/>
      <c r="AEO185" s="90"/>
      <c r="AEP185" s="90"/>
      <c r="AEQ185" s="90"/>
      <c r="AER185" s="90"/>
      <c r="AES185" s="90"/>
      <c r="AET185" s="90"/>
      <c r="AEU185" s="90"/>
      <c r="AEV185" s="90"/>
      <c r="AEW185" s="90"/>
      <c r="AEX185" s="90"/>
      <c r="AEY185" s="90"/>
      <c r="AEZ185" s="90"/>
      <c r="AFA185" s="90"/>
      <c r="AFB185" s="90"/>
      <c r="AFC185" s="90"/>
      <c r="AFD185" s="90"/>
      <c r="AFE185" s="90"/>
      <c r="AFF185" s="90"/>
      <c r="AFG185" s="90"/>
      <c r="AFH185" s="90"/>
      <c r="AFI185" s="90"/>
      <c r="AFJ185" s="90"/>
      <c r="AFK185" s="90"/>
      <c r="AFL185" s="90"/>
      <c r="AFM185" s="90"/>
      <c r="AFN185" s="90"/>
      <c r="AFO185" s="90"/>
      <c r="AFP185" s="90"/>
      <c r="AFQ185" s="90"/>
      <c r="AFR185" s="90"/>
      <c r="AFS185" s="90"/>
      <c r="AFT185" s="90"/>
      <c r="AFU185" s="90"/>
      <c r="AFV185" s="90"/>
      <c r="AFW185" s="90"/>
      <c r="AFX185" s="90"/>
      <c r="AFY185" s="90"/>
      <c r="AFZ185" s="90"/>
      <c r="AGA185" s="90"/>
      <c r="AGB185" s="90"/>
      <c r="AGC185" s="90"/>
      <c r="AGD185" s="90"/>
      <c r="AGE185" s="90"/>
      <c r="AGF185" s="90"/>
      <c r="AGG185" s="90"/>
      <c r="AGH185" s="90"/>
      <c r="AGI185" s="90"/>
      <c r="AGJ185" s="90"/>
      <c r="AGK185" s="90"/>
      <c r="AGL185" s="90"/>
      <c r="AGM185" s="90"/>
      <c r="AGN185" s="90"/>
      <c r="AGO185" s="90"/>
      <c r="AGP185" s="90"/>
      <c r="AGQ185" s="90"/>
      <c r="AGR185" s="90"/>
      <c r="AGS185" s="90"/>
      <c r="AGT185" s="90"/>
      <c r="AGU185" s="90"/>
      <c r="AGV185" s="90"/>
      <c r="AGW185" s="90"/>
      <c r="AGX185" s="90"/>
      <c r="AGY185" s="90"/>
      <c r="AGZ185" s="90"/>
      <c r="AHA185" s="90"/>
      <c r="AHB185" s="90"/>
      <c r="AHC185" s="90"/>
      <c r="AHD185" s="90"/>
      <c r="AHE185" s="90"/>
      <c r="AHF185" s="90"/>
      <c r="AHG185" s="90"/>
      <c r="AHH185" s="90"/>
      <c r="AHI185" s="90"/>
      <c r="AHJ185" s="90"/>
      <c r="AHK185" s="90"/>
      <c r="AHL185" s="90"/>
      <c r="AHM185" s="90"/>
      <c r="AHN185" s="90"/>
      <c r="AHO185" s="90"/>
      <c r="AHP185" s="90"/>
      <c r="AHQ185" s="90"/>
      <c r="AHR185" s="90"/>
      <c r="AHS185" s="90"/>
      <c r="AHT185" s="90"/>
      <c r="AHU185" s="90"/>
      <c r="AHV185" s="90"/>
      <c r="AHW185" s="90"/>
      <c r="AHX185" s="90"/>
      <c r="AHY185" s="90"/>
      <c r="AHZ185" s="90"/>
      <c r="AIA185" s="90"/>
      <c r="AIB185" s="90"/>
      <c r="AIC185" s="90"/>
      <c r="AID185" s="90"/>
      <c r="AIE185" s="90"/>
      <c r="AIF185" s="90"/>
      <c r="AIG185" s="90"/>
      <c r="AIH185" s="90"/>
      <c r="AII185" s="90"/>
      <c r="AIJ185" s="90"/>
      <c r="AIK185" s="90"/>
      <c r="AIL185" s="90"/>
      <c r="AIM185" s="90"/>
      <c r="AIN185" s="90"/>
      <c r="AIO185" s="90"/>
      <c r="AIP185" s="90"/>
      <c r="AIQ185" s="90"/>
      <c r="AIR185" s="90"/>
      <c r="AIS185" s="90"/>
      <c r="AIT185" s="90"/>
      <c r="AIU185" s="90"/>
      <c r="AIV185" s="90"/>
      <c r="AIW185" s="90"/>
      <c r="AIX185" s="90"/>
      <c r="AIY185" s="90"/>
      <c r="AIZ185" s="90"/>
      <c r="AJA185" s="90"/>
      <c r="AJB185" s="90"/>
      <c r="AJC185" s="90"/>
      <c r="AJD185" s="90"/>
      <c r="AJE185" s="90"/>
      <c r="AJF185" s="90"/>
      <c r="AJG185" s="90"/>
      <c r="AJH185" s="90"/>
      <c r="AJI185" s="90"/>
      <c r="AJJ185" s="90"/>
      <c r="AJK185" s="90"/>
      <c r="AJL185" s="90"/>
      <c r="AJM185" s="90"/>
      <c r="AJN185" s="90"/>
      <c r="AJO185" s="90"/>
      <c r="AJP185" s="90"/>
      <c r="AJQ185" s="90"/>
      <c r="AJR185" s="90"/>
      <c r="AJS185" s="90"/>
      <c r="AJT185" s="90"/>
      <c r="AJU185" s="90"/>
      <c r="AJV185" s="90"/>
      <c r="AJW185" s="90"/>
      <c r="AJX185" s="90"/>
      <c r="AJY185" s="90"/>
      <c r="AJZ185" s="90"/>
      <c r="AKA185" s="90"/>
      <c r="AKB185" s="90"/>
      <c r="AKC185" s="90"/>
      <c r="AKD185" s="90"/>
      <c r="AKE185" s="90"/>
      <c r="AKF185" s="90"/>
      <c r="AKG185" s="90"/>
      <c r="AKH185" s="90"/>
      <c r="AKI185" s="90"/>
      <c r="AKJ185" s="90"/>
      <c r="AKK185" s="90"/>
      <c r="AKL185" s="90"/>
      <c r="AKM185" s="90"/>
      <c r="AKN185" s="90"/>
      <c r="AKO185" s="90"/>
      <c r="AKP185" s="90"/>
      <c r="AKQ185" s="90"/>
      <c r="AKR185" s="90"/>
      <c r="AKS185" s="90"/>
      <c r="AKT185" s="90"/>
      <c r="AKU185" s="90"/>
      <c r="AKV185" s="90"/>
      <c r="AKW185" s="90"/>
      <c r="AKX185" s="90"/>
      <c r="AKY185" s="90"/>
      <c r="AKZ185" s="90"/>
      <c r="ALA185" s="90"/>
      <c r="ALB185" s="90"/>
      <c r="ALC185" s="90"/>
      <c r="ALD185" s="90"/>
      <c r="ALE185" s="90"/>
      <c r="ALF185" s="90"/>
      <c r="ALG185" s="90"/>
      <c r="ALH185" s="90"/>
      <c r="ALI185" s="90"/>
      <c r="ALJ185" s="90"/>
      <c r="ALK185" s="90"/>
      <c r="ALL185" s="90"/>
      <c r="ALM185" s="90"/>
      <c r="ALN185" s="90"/>
      <c r="ALO185" s="90"/>
      <c r="ALP185" s="90"/>
      <c r="ALQ185" s="90"/>
      <c r="ALR185" s="90"/>
      <c r="ALS185" s="90"/>
      <c r="ALT185" s="90"/>
      <c r="ALU185" s="90"/>
      <c r="ALV185" s="90"/>
      <c r="ALW185" s="90"/>
      <c r="ALX185" s="90"/>
      <c r="ALY185" s="90"/>
      <c r="ALZ185" s="90"/>
      <c r="AMA185" s="90"/>
      <c r="AMB185" s="90"/>
      <c r="AMC185" s="90"/>
    </row>
    <row r="186" spans="1:1017">
      <c r="A186" s="98" t="s">
        <v>49</v>
      </c>
      <c r="B186" s="90" t="str">
        <f t="shared" si="1324"/>
        <v xml:space="preserve">Rajungan </v>
      </c>
      <c r="Q186" s="91">
        <f t="shared" si="1325"/>
        <v>0</v>
      </c>
      <c r="R186" s="91">
        <f t="shared" si="1326"/>
        <v>0</v>
      </c>
      <c r="AG186" s="91">
        <f t="shared" si="1327"/>
        <v>0</v>
      </c>
      <c r="AH186" s="91">
        <f t="shared" si="1328"/>
        <v>0</v>
      </c>
      <c r="AW186" s="91">
        <f t="shared" si="1329"/>
        <v>0</v>
      </c>
      <c r="AX186" s="91">
        <f t="shared" si="1330"/>
        <v>0</v>
      </c>
      <c r="BM186" s="91">
        <f t="shared" si="1331"/>
        <v>0</v>
      </c>
      <c r="BN186" s="91">
        <f t="shared" si="1332"/>
        <v>0</v>
      </c>
      <c r="CC186" s="91">
        <f t="shared" si="1333"/>
        <v>0</v>
      </c>
      <c r="CD186" s="91">
        <f t="shared" si="1334"/>
        <v>0</v>
      </c>
      <c r="CS186" s="91">
        <f t="shared" si="1419"/>
        <v>0</v>
      </c>
      <c r="CT186" s="91">
        <f t="shared" si="1420"/>
        <v>0</v>
      </c>
      <c r="DI186" s="91">
        <f t="shared" si="1337"/>
        <v>0</v>
      </c>
      <c r="DJ186" s="91">
        <f t="shared" si="1338"/>
        <v>0</v>
      </c>
      <c r="DY186" s="91">
        <f t="shared" si="1339"/>
        <v>0</v>
      </c>
      <c r="DZ186" s="91">
        <f t="shared" si="1340"/>
        <v>0</v>
      </c>
      <c r="EO186" s="91">
        <f t="shared" si="1341"/>
        <v>0</v>
      </c>
      <c r="EP186" s="91">
        <f t="shared" si="1342"/>
        <v>0</v>
      </c>
      <c r="FE186" s="91">
        <f t="shared" si="1343"/>
        <v>0</v>
      </c>
      <c r="FF186" s="91">
        <f t="shared" si="1344"/>
        <v>0</v>
      </c>
      <c r="FU186" s="91">
        <f t="shared" si="1345"/>
        <v>0</v>
      </c>
      <c r="FV186" s="91">
        <f t="shared" si="1346"/>
        <v>0</v>
      </c>
      <c r="GK186" s="91">
        <f t="shared" si="1347"/>
        <v>0</v>
      </c>
      <c r="GL186" s="91">
        <f t="shared" si="1348"/>
        <v>0</v>
      </c>
      <c r="HA186" s="91">
        <f t="shared" si="1349"/>
        <v>0</v>
      </c>
      <c r="HB186" s="91">
        <f t="shared" si="1350"/>
        <v>0</v>
      </c>
      <c r="HQ186" s="91">
        <f t="shared" si="1351"/>
        <v>0</v>
      </c>
      <c r="HR186" s="91">
        <f t="shared" si="1352"/>
        <v>0</v>
      </c>
      <c r="IG186" s="91">
        <f t="shared" si="1353"/>
        <v>0</v>
      </c>
      <c r="IH186" s="91">
        <f t="shared" si="1354"/>
        <v>0</v>
      </c>
      <c r="IW186" s="91">
        <f t="shared" si="1355"/>
        <v>0</v>
      </c>
      <c r="IX186" s="91">
        <f t="shared" si="1356"/>
        <v>0</v>
      </c>
      <c r="JM186" s="91">
        <f t="shared" si="1357"/>
        <v>0</v>
      </c>
      <c r="JN186" s="91">
        <f t="shared" si="1358"/>
        <v>0</v>
      </c>
      <c r="KC186" s="91">
        <f t="shared" si="1359"/>
        <v>0</v>
      </c>
      <c r="KD186" s="91">
        <f t="shared" si="1360"/>
        <v>0</v>
      </c>
      <c r="KS186" s="91">
        <f t="shared" si="1361"/>
        <v>0</v>
      </c>
      <c r="KT186" s="91">
        <f t="shared" si="1362"/>
        <v>0</v>
      </c>
      <c r="LI186" s="91">
        <f t="shared" si="1363"/>
        <v>0</v>
      </c>
      <c r="LJ186" s="91">
        <f t="shared" si="1364"/>
        <v>0</v>
      </c>
      <c r="LY186" s="91">
        <f t="shared" si="1365"/>
        <v>0</v>
      </c>
      <c r="LZ186" s="91">
        <f t="shared" si="1366"/>
        <v>0</v>
      </c>
      <c r="MO186" s="91">
        <f t="shared" si="1367"/>
        <v>0</v>
      </c>
      <c r="MP186" s="91">
        <f t="shared" si="1368"/>
        <v>0</v>
      </c>
      <c r="NE186" s="91">
        <f t="shared" si="1369"/>
        <v>0</v>
      </c>
      <c r="NF186" s="91">
        <f t="shared" si="1370"/>
        <v>0</v>
      </c>
      <c r="NU186" s="91">
        <f t="shared" si="1371"/>
        <v>0</v>
      </c>
      <c r="NV186" s="91">
        <f t="shared" si="1372"/>
        <v>0</v>
      </c>
      <c r="OK186" s="91">
        <f t="shared" si="1373"/>
        <v>0</v>
      </c>
      <c r="OL186" s="91">
        <f t="shared" si="1374"/>
        <v>0</v>
      </c>
      <c r="PA186" s="91">
        <f t="shared" si="1375"/>
        <v>0</v>
      </c>
      <c r="PB186" s="91">
        <f t="shared" si="1376"/>
        <v>0</v>
      </c>
      <c r="PQ186" s="91">
        <f t="shared" si="1377"/>
        <v>0</v>
      </c>
      <c r="PR186" s="91">
        <f t="shared" si="1378"/>
        <v>0</v>
      </c>
      <c r="QG186" s="91">
        <f t="shared" si="1379"/>
        <v>0</v>
      </c>
      <c r="QH186" s="91">
        <f t="shared" si="1380"/>
        <v>0</v>
      </c>
      <c r="QW186" s="91">
        <f t="shared" si="1381"/>
        <v>0</v>
      </c>
      <c r="QX186" s="91">
        <f t="shared" si="1382"/>
        <v>0</v>
      </c>
      <c r="RM186" s="91">
        <f t="shared" si="1383"/>
        <v>0</v>
      </c>
      <c r="RN186" s="91">
        <f t="shared" si="1384"/>
        <v>0</v>
      </c>
      <c r="SC186" s="91">
        <f t="shared" si="1385"/>
        <v>0</v>
      </c>
      <c r="SD186" s="91">
        <f t="shared" si="1386"/>
        <v>0</v>
      </c>
      <c r="SS186" s="91">
        <f t="shared" si="1387"/>
        <v>0</v>
      </c>
      <c r="ST186" s="91">
        <f t="shared" si="1388"/>
        <v>0</v>
      </c>
      <c r="TI186" s="91">
        <f t="shared" si="1389"/>
        <v>0</v>
      </c>
      <c r="TJ186" s="91">
        <f t="shared" si="1390"/>
        <v>0</v>
      </c>
      <c r="TY186" s="91">
        <f t="shared" si="1391"/>
        <v>0</v>
      </c>
      <c r="TZ186" s="91">
        <f t="shared" si="1392"/>
        <v>0</v>
      </c>
      <c r="UO186" s="91">
        <f t="shared" si="1393"/>
        <v>0</v>
      </c>
      <c r="UP186" s="91">
        <f t="shared" si="1394"/>
        <v>0</v>
      </c>
      <c r="VE186" s="91">
        <f t="shared" si="1395"/>
        <v>0</v>
      </c>
      <c r="VF186" s="91">
        <f t="shared" si="1396"/>
        <v>0</v>
      </c>
      <c r="VU186" s="91">
        <f t="shared" si="1397"/>
        <v>0</v>
      </c>
      <c r="VV186" s="91">
        <f t="shared" si="1398"/>
        <v>0</v>
      </c>
      <c r="WK186" s="91">
        <f t="shared" si="1399"/>
        <v>0</v>
      </c>
      <c r="WL186" s="91">
        <f t="shared" si="1400"/>
        <v>0</v>
      </c>
      <c r="WM186" s="89"/>
      <c r="WN186" s="87">
        <f t="shared" si="1401"/>
        <v>0</v>
      </c>
      <c r="WO186" s="87">
        <f t="shared" si="1402"/>
        <v>0</v>
      </c>
      <c r="WP186" s="87">
        <f t="shared" si="1403"/>
        <v>0</v>
      </c>
      <c r="WQ186" s="87">
        <f t="shared" si="1404"/>
        <v>0</v>
      </c>
      <c r="WR186" s="87">
        <f t="shared" si="1405"/>
        <v>0</v>
      </c>
      <c r="WS186" s="87">
        <f t="shared" si="1406"/>
        <v>0</v>
      </c>
      <c r="WT186" s="87">
        <f t="shared" si="1407"/>
        <v>0</v>
      </c>
      <c r="WU186" s="87">
        <f t="shared" si="1408"/>
        <v>0</v>
      </c>
      <c r="WV186" s="87">
        <f t="shared" si="1409"/>
        <v>0</v>
      </c>
      <c r="WW186" s="87">
        <f t="shared" si="1410"/>
        <v>0</v>
      </c>
      <c r="WX186" s="87">
        <f t="shared" si="1411"/>
        <v>0</v>
      </c>
      <c r="WY186" s="87">
        <f t="shared" si="1412"/>
        <v>0</v>
      </c>
      <c r="WZ186" s="87">
        <f t="shared" si="1413"/>
        <v>0</v>
      </c>
      <c r="XA186" s="87">
        <f t="shared" si="1414"/>
        <v>0</v>
      </c>
      <c r="XB186" s="92">
        <f t="shared" si="1415"/>
        <v>0</v>
      </c>
      <c r="XC186" s="92">
        <f t="shared" si="1416"/>
        <v>0</v>
      </c>
      <c r="XD186" s="89"/>
      <c r="XE186" s="92"/>
      <c r="XF186" s="92"/>
      <c r="XG186" s="89"/>
      <c r="XH186" s="92"/>
      <c r="XI186" s="92"/>
      <c r="XJ186" s="89"/>
      <c r="XK186" s="87"/>
      <c r="XL186" s="87"/>
      <c r="XM186" s="87"/>
      <c r="XN186" s="87"/>
      <c r="XO186" s="87"/>
      <c r="XP186" s="87"/>
      <c r="XQ186" s="87"/>
      <c r="XR186" s="92">
        <f t="shared" ca="1" si="1417"/>
        <v>0</v>
      </c>
      <c r="XS186" s="89"/>
      <c r="XT186" s="87"/>
      <c r="XU186" s="87"/>
      <c r="XV186" s="87"/>
      <c r="XW186" s="87"/>
      <c r="XX186" s="87"/>
      <c r="XY186" s="87"/>
      <c r="XZ186" s="87"/>
      <c r="YA186" s="92">
        <f t="shared" ca="1" si="1418"/>
        <v>0</v>
      </c>
      <c r="YB186" s="90"/>
      <c r="YC186" s="90"/>
      <c r="YD186" s="90"/>
      <c r="YE186" s="90"/>
      <c r="YF186" s="90"/>
      <c r="YG186" s="90"/>
      <c r="YH186" s="90"/>
      <c r="YI186" s="90"/>
      <c r="YJ186" s="90"/>
      <c r="YK186" s="90"/>
      <c r="YL186" s="90"/>
      <c r="YM186" s="90"/>
      <c r="YN186" s="90"/>
      <c r="YO186" s="90"/>
      <c r="YP186" s="90"/>
      <c r="YQ186" s="90"/>
      <c r="YR186" s="90"/>
      <c r="YS186" s="90"/>
      <c r="YT186" s="90"/>
      <c r="YU186" s="90"/>
      <c r="YV186" s="90"/>
      <c r="YW186" s="90"/>
      <c r="YX186" s="90"/>
      <c r="YY186" s="90"/>
      <c r="YZ186" s="90"/>
      <c r="ZA186" s="90"/>
      <c r="ZB186" s="90"/>
      <c r="ZC186" s="90"/>
      <c r="ZD186" s="90"/>
      <c r="ZE186" s="90"/>
      <c r="ZF186" s="90"/>
      <c r="ZG186" s="90"/>
      <c r="ZH186" s="90"/>
      <c r="ZI186" s="90"/>
      <c r="ZJ186" s="90"/>
      <c r="ZK186" s="90"/>
      <c r="ZL186" s="90"/>
      <c r="ZM186" s="90"/>
      <c r="ZN186" s="90"/>
      <c r="ZO186" s="90"/>
      <c r="ZP186" s="90"/>
      <c r="ZQ186" s="90"/>
      <c r="ZR186" s="90"/>
      <c r="ZS186" s="90"/>
      <c r="ZT186" s="90"/>
      <c r="ZU186" s="90"/>
      <c r="ZV186" s="90"/>
      <c r="ZW186" s="90"/>
      <c r="ZX186" s="90"/>
      <c r="ZY186" s="90"/>
      <c r="ZZ186" s="90"/>
      <c r="AAA186" s="90"/>
      <c r="AAB186" s="90"/>
      <c r="AAC186" s="90"/>
      <c r="AAD186" s="90"/>
      <c r="AAE186" s="90"/>
      <c r="AAF186" s="90"/>
      <c r="AAG186" s="90"/>
      <c r="AAH186" s="90"/>
      <c r="AAI186" s="90"/>
      <c r="AAJ186" s="90"/>
      <c r="AAK186" s="90"/>
      <c r="AAL186" s="90"/>
      <c r="AAM186" s="90"/>
      <c r="AAN186" s="90"/>
      <c r="AAO186" s="90"/>
      <c r="AAP186" s="90"/>
      <c r="AAQ186" s="90"/>
      <c r="AAR186" s="90"/>
      <c r="AAS186" s="90"/>
      <c r="AAT186" s="90"/>
      <c r="AAU186" s="90"/>
      <c r="AAV186" s="90"/>
      <c r="AAW186" s="90"/>
      <c r="AAX186" s="90"/>
      <c r="AAY186" s="90"/>
      <c r="AAZ186" s="90"/>
      <c r="ABA186" s="90"/>
      <c r="ABB186" s="90"/>
      <c r="ABC186" s="90"/>
      <c r="ABD186" s="90"/>
      <c r="ABE186" s="90"/>
      <c r="ABF186" s="90"/>
      <c r="ABG186" s="90"/>
      <c r="ABH186" s="90"/>
      <c r="ABI186" s="90"/>
      <c r="ABJ186" s="90"/>
      <c r="ABK186" s="90"/>
      <c r="ABL186" s="90"/>
      <c r="ABM186" s="90"/>
      <c r="ABN186" s="90"/>
      <c r="ABO186" s="90"/>
      <c r="ABP186" s="90"/>
      <c r="ABQ186" s="90"/>
      <c r="ABR186" s="90"/>
      <c r="ABS186" s="90"/>
      <c r="ABT186" s="90"/>
      <c r="ABU186" s="90"/>
      <c r="ABV186" s="90"/>
      <c r="ABW186" s="90"/>
      <c r="ABX186" s="90"/>
      <c r="ABY186" s="90"/>
      <c r="ABZ186" s="90"/>
      <c r="ACA186" s="90"/>
      <c r="ACB186" s="90"/>
      <c r="ACC186" s="90"/>
      <c r="ACD186" s="90"/>
      <c r="ACE186" s="90"/>
      <c r="ACF186" s="90"/>
      <c r="ACG186" s="90"/>
      <c r="ACH186" s="90"/>
      <c r="ACI186" s="90"/>
      <c r="ACJ186" s="90"/>
      <c r="ACK186" s="90"/>
      <c r="ACL186" s="90"/>
      <c r="ACM186" s="90"/>
      <c r="ACN186" s="90"/>
      <c r="ACO186" s="90"/>
      <c r="ACP186" s="90"/>
      <c r="ACQ186" s="90"/>
      <c r="ACR186" s="90"/>
      <c r="ACS186" s="90"/>
      <c r="ACT186" s="90"/>
      <c r="ACU186" s="90"/>
      <c r="ACV186" s="90"/>
      <c r="ACW186" s="90"/>
      <c r="ACX186" s="90"/>
      <c r="ACY186" s="90"/>
      <c r="ACZ186" s="90"/>
      <c r="ADA186" s="90"/>
      <c r="ADB186" s="90"/>
      <c r="ADC186" s="90"/>
      <c r="ADD186" s="90"/>
      <c r="ADE186" s="90"/>
      <c r="ADF186" s="90"/>
      <c r="ADG186" s="90"/>
      <c r="ADH186" s="90"/>
      <c r="ADI186" s="90"/>
      <c r="ADJ186" s="90"/>
      <c r="ADK186" s="90"/>
      <c r="ADL186" s="90"/>
      <c r="ADM186" s="90"/>
      <c r="ADN186" s="90"/>
      <c r="ADO186" s="90"/>
      <c r="ADP186" s="90"/>
      <c r="ADQ186" s="90"/>
      <c r="ADR186" s="90"/>
      <c r="ADS186" s="90"/>
      <c r="ADT186" s="90"/>
      <c r="ADU186" s="90"/>
      <c r="ADV186" s="90"/>
      <c r="ADW186" s="90"/>
      <c r="ADX186" s="90"/>
      <c r="ADY186" s="90"/>
      <c r="ADZ186" s="90"/>
      <c r="AEA186" s="90"/>
      <c r="AEB186" s="90"/>
      <c r="AEC186" s="90"/>
      <c r="AED186" s="90"/>
      <c r="AEE186" s="90"/>
      <c r="AEF186" s="90"/>
      <c r="AEG186" s="90"/>
      <c r="AEH186" s="90"/>
      <c r="AEI186" s="90"/>
      <c r="AEJ186" s="90"/>
      <c r="AEK186" s="90"/>
      <c r="AEL186" s="90"/>
      <c r="AEM186" s="90"/>
      <c r="AEN186" s="90"/>
      <c r="AEO186" s="90"/>
      <c r="AEP186" s="90"/>
      <c r="AEQ186" s="90"/>
      <c r="AER186" s="90"/>
      <c r="AES186" s="90"/>
      <c r="AET186" s="90"/>
      <c r="AEU186" s="90"/>
      <c r="AEV186" s="90"/>
      <c r="AEW186" s="90"/>
      <c r="AEX186" s="90"/>
      <c r="AEY186" s="90"/>
      <c r="AEZ186" s="90"/>
      <c r="AFA186" s="90"/>
      <c r="AFB186" s="90"/>
      <c r="AFC186" s="90"/>
      <c r="AFD186" s="90"/>
      <c r="AFE186" s="90"/>
      <c r="AFF186" s="90"/>
      <c r="AFG186" s="90"/>
      <c r="AFH186" s="90"/>
      <c r="AFI186" s="90"/>
      <c r="AFJ186" s="90"/>
      <c r="AFK186" s="90"/>
      <c r="AFL186" s="90"/>
      <c r="AFM186" s="90"/>
      <c r="AFN186" s="90"/>
      <c r="AFO186" s="90"/>
      <c r="AFP186" s="90"/>
      <c r="AFQ186" s="90"/>
      <c r="AFR186" s="90"/>
      <c r="AFS186" s="90"/>
      <c r="AFT186" s="90"/>
      <c r="AFU186" s="90"/>
      <c r="AFV186" s="90"/>
      <c r="AFW186" s="90"/>
      <c r="AFX186" s="90"/>
      <c r="AFY186" s="90"/>
      <c r="AFZ186" s="90"/>
      <c r="AGA186" s="90"/>
      <c r="AGB186" s="90"/>
      <c r="AGC186" s="90"/>
      <c r="AGD186" s="90"/>
      <c r="AGE186" s="90"/>
      <c r="AGF186" s="90"/>
      <c r="AGG186" s="90"/>
      <c r="AGH186" s="90"/>
      <c r="AGI186" s="90"/>
      <c r="AGJ186" s="90"/>
      <c r="AGK186" s="90"/>
      <c r="AGL186" s="90"/>
      <c r="AGM186" s="90"/>
      <c r="AGN186" s="90"/>
      <c r="AGO186" s="90"/>
      <c r="AGP186" s="90"/>
      <c r="AGQ186" s="90"/>
      <c r="AGR186" s="90"/>
      <c r="AGS186" s="90"/>
      <c r="AGT186" s="90"/>
      <c r="AGU186" s="90"/>
      <c r="AGV186" s="90"/>
      <c r="AGW186" s="90"/>
      <c r="AGX186" s="90"/>
      <c r="AGY186" s="90"/>
      <c r="AGZ186" s="90"/>
      <c r="AHA186" s="90"/>
      <c r="AHB186" s="90"/>
      <c r="AHC186" s="90"/>
      <c r="AHD186" s="90"/>
      <c r="AHE186" s="90"/>
      <c r="AHF186" s="90"/>
      <c r="AHG186" s="90"/>
      <c r="AHH186" s="90"/>
      <c r="AHI186" s="90"/>
      <c r="AHJ186" s="90"/>
      <c r="AHK186" s="90"/>
      <c r="AHL186" s="90"/>
      <c r="AHM186" s="90"/>
      <c r="AHN186" s="90"/>
      <c r="AHO186" s="90"/>
      <c r="AHP186" s="90"/>
      <c r="AHQ186" s="90"/>
      <c r="AHR186" s="90"/>
      <c r="AHS186" s="90"/>
      <c r="AHT186" s="90"/>
      <c r="AHU186" s="90"/>
      <c r="AHV186" s="90"/>
      <c r="AHW186" s="90"/>
      <c r="AHX186" s="90"/>
      <c r="AHY186" s="90"/>
      <c r="AHZ186" s="90"/>
      <c r="AIA186" s="90"/>
      <c r="AIB186" s="90"/>
      <c r="AIC186" s="90"/>
      <c r="AID186" s="90"/>
      <c r="AIE186" s="90"/>
      <c r="AIF186" s="90"/>
      <c r="AIG186" s="90"/>
      <c r="AIH186" s="90"/>
      <c r="AII186" s="90"/>
      <c r="AIJ186" s="90"/>
      <c r="AIK186" s="90"/>
      <c r="AIL186" s="90"/>
      <c r="AIM186" s="90"/>
      <c r="AIN186" s="90"/>
      <c r="AIO186" s="90"/>
      <c r="AIP186" s="90"/>
      <c r="AIQ186" s="90"/>
      <c r="AIR186" s="90"/>
      <c r="AIS186" s="90"/>
      <c r="AIT186" s="90"/>
      <c r="AIU186" s="90"/>
      <c r="AIV186" s="90"/>
      <c r="AIW186" s="90"/>
      <c r="AIX186" s="90"/>
      <c r="AIY186" s="90"/>
      <c r="AIZ186" s="90"/>
      <c r="AJA186" s="90"/>
      <c r="AJB186" s="90"/>
      <c r="AJC186" s="90"/>
      <c r="AJD186" s="90"/>
      <c r="AJE186" s="90"/>
      <c r="AJF186" s="90"/>
      <c r="AJG186" s="90"/>
      <c r="AJH186" s="90"/>
      <c r="AJI186" s="90"/>
      <c r="AJJ186" s="90"/>
      <c r="AJK186" s="90"/>
      <c r="AJL186" s="90"/>
      <c r="AJM186" s="90"/>
      <c r="AJN186" s="90"/>
      <c r="AJO186" s="90"/>
      <c r="AJP186" s="90"/>
      <c r="AJQ186" s="90"/>
      <c r="AJR186" s="90"/>
      <c r="AJS186" s="90"/>
      <c r="AJT186" s="90"/>
      <c r="AJU186" s="90"/>
      <c r="AJV186" s="90"/>
      <c r="AJW186" s="90"/>
      <c r="AJX186" s="90"/>
      <c r="AJY186" s="90"/>
      <c r="AJZ186" s="90"/>
      <c r="AKA186" s="90"/>
      <c r="AKB186" s="90"/>
      <c r="AKC186" s="90"/>
      <c r="AKD186" s="90"/>
      <c r="AKE186" s="90"/>
      <c r="AKF186" s="90"/>
      <c r="AKG186" s="90"/>
      <c r="AKH186" s="90"/>
      <c r="AKI186" s="90"/>
      <c r="AKJ186" s="90"/>
      <c r="AKK186" s="90"/>
      <c r="AKL186" s="90"/>
      <c r="AKM186" s="90"/>
      <c r="AKN186" s="90"/>
      <c r="AKO186" s="90"/>
      <c r="AKP186" s="90"/>
      <c r="AKQ186" s="90"/>
      <c r="AKR186" s="90"/>
      <c r="AKS186" s="90"/>
      <c r="AKT186" s="90"/>
      <c r="AKU186" s="90"/>
      <c r="AKV186" s="90"/>
      <c r="AKW186" s="90"/>
      <c r="AKX186" s="90"/>
      <c r="AKY186" s="90"/>
      <c r="AKZ186" s="90"/>
      <c r="ALA186" s="90"/>
      <c r="ALB186" s="90"/>
      <c r="ALC186" s="90"/>
      <c r="ALD186" s="90"/>
      <c r="ALE186" s="90"/>
      <c r="ALF186" s="90"/>
      <c r="ALG186" s="90"/>
      <c r="ALH186" s="90"/>
      <c r="ALI186" s="90"/>
      <c r="ALJ186" s="90"/>
      <c r="ALK186" s="90"/>
      <c r="ALL186" s="90"/>
      <c r="ALM186" s="90"/>
      <c r="ALN186" s="90"/>
      <c r="ALO186" s="90"/>
      <c r="ALP186" s="90"/>
      <c r="ALQ186" s="90"/>
      <c r="ALR186" s="90"/>
      <c r="ALS186" s="90"/>
      <c r="ALT186" s="90"/>
      <c r="ALU186" s="90"/>
      <c r="ALV186" s="90"/>
      <c r="ALW186" s="90"/>
      <c r="ALX186" s="90"/>
      <c r="ALY186" s="90"/>
      <c r="ALZ186" s="90"/>
      <c r="AMA186" s="90"/>
      <c r="AMB186" s="90"/>
      <c r="AMC186" s="90"/>
    </row>
    <row r="187" spans="1:1017">
      <c r="A187" s="98" t="s">
        <v>49</v>
      </c>
      <c r="B187" s="90" t="str">
        <f t="shared" si="1324"/>
        <v>Tawes</v>
      </c>
      <c r="Q187" s="91">
        <f t="shared" si="1325"/>
        <v>0</v>
      </c>
      <c r="R187" s="91">
        <f t="shared" si="1326"/>
        <v>0</v>
      </c>
      <c r="Y187" s="98">
        <v>2345</v>
      </c>
      <c r="Z187" s="98">
        <v>39865</v>
      </c>
      <c r="AG187" s="91">
        <f t="shared" si="1327"/>
        <v>2345</v>
      </c>
      <c r="AH187" s="91">
        <f t="shared" si="1328"/>
        <v>39865</v>
      </c>
      <c r="AW187" s="91">
        <f t="shared" si="1329"/>
        <v>0</v>
      </c>
      <c r="AX187" s="91">
        <f t="shared" si="1330"/>
        <v>0</v>
      </c>
      <c r="BK187" s="98">
        <v>874</v>
      </c>
      <c r="BL187" s="98">
        <v>8740</v>
      </c>
      <c r="BM187" s="91">
        <f t="shared" si="1331"/>
        <v>874</v>
      </c>
      <c r="BN187" s="91">
        <f t="shared" si="1332"/>
        <v>8740</v>
      </c>
      <c r="BU187" s="98">
        <v>101</v>
      </c>
      <c r="BV187" s="98">
        <v>2020</v>
      </c>
      <c r="CC187" s="91">
        <f t="shared" si="1333"/>
        <v>101</v>
      </c>
      <c r="CD187" s="91">
        <f t="shared" si="1334"/>
        <v>2020</v>
      </c>
      <c r="CK187" s="98">
        <v>386498</v>
      </c>
      <c r="CL187" s="98">
        <v>4637972</v>
      </c>
      <c r="CS187" s="91">
        <f t="shared" si="1419"/>
        <v>386498</v>
      </c>
      <c r="CT187" s="91">
        <f t="shared" si="1420"/>
        <v>4637972</v>
      </c>
      <c r="DA187" s="98">
        <v>535</v>
      </c>
      <c r="DB187" s="98">
        <v>8025</v>
      </c>
      <c r="DI187" s="91">
        <f t="shared" si="1337"/>
        <v>535</v>
      </c>
      <c r="DJ187" s="91">
        <f t="shared" si="1338"/>
        <v>8025</v>
      </c>
      <c r="DY187" s="91">
        <f t="shared" si="1339"/>
        <v>0</v>
      </c>
      <c r="DZ187" s="91">
        <f t="shared" si="1340"/>
        <v>0</v>
      </c>
      <c r="EG187" s="98">
        <v>95</v>
      </c>
      <c r="EH187" s="98">
        <v>1045</v>
      </c>
      <c r="EO187" s="91">
        <f t="shared" si="1341"/>
        <v>95</v>
      </c>
      <c r="EP187" s="91">
        <f t="shared" si="1342"/>
        <v>1045</v>
      </c>
      <c r="EW187" s="98">
        <v>805413</v>
      </c>
      <c r="EX187" s="98">
        <v>11275782</v>
      </c>
      <c r="EZ187" s="98" t="s">
        <v>384</v>
      </c>
      <c r="FE187" s="91">
        <f t="shared" si="1343"/>
        <v>805413</v>
      </c>
      <c r="FF187" s="91">
        <f t="shared" si="1344"/>
        <v>11275782</v>
      </c>
      <c r="FM187" s="98">
        <v>77</v>
      </c>
      <c r="FN187" s="98">
        <v>1386</v>
      </c>
      <c r="FU187" s="91">
        <f t="shared" si="1345"/>
        <v>77</v>
      </c>
      <c r="FV187" s="91">
        <f t="shared" si="1346"/>
        <v>1386</v>
      </c>
      <c r="GC187" s="98">
        <v>300</v>
      </c>
      <c r="GD187" s="98">
        <v>3750</v>
      </c>
      <c r="GK187" s="91">
        <f t="shared" si="1347"/>
        <v>300</v>
      </c>
      <c r="GL187" s="91">
        <f t="shared" si="1348"/>
        <v>3750</v>
      </c>
      <c r="HA187" s="91">
        <f t="shared" si="1349"/>
        <v>0</v>
      </c>
      <c r="HB187" s="91">
        <f t="shared" si="1350"/>
        <v>0</v>
      </c>
      <c r="HQ187" s="91">
        <f t="shared" si="1351"/>
        <v>0</v>
      </c>
      <c r="HR187" s="91">
        <f t="shared" si="1352"/>
        <v>0</v>
      </c>
      <c r="IG187" s="91">
        <f t="shared" si="1353"/>
        <v>0</v>
      </c>
      <c r="IH187" s="91">
        <f t="shared" si="1354"/>
        <v>0</v>
      </c>
      <c r="IW187" s="91">
        <f t="shared" si="1355"/>
        <v>0</v>
      </c>
      <c r="IX187" s="91">
        <f t="shared" si="1356"/>
        <v>0</v>
      </c>
      <c r="JM187" s="91">
        <f t="shared" si="1357"/>
        <v>0</v>
      </c>
      <c r="JN187" s="91">
        <f t="shared" si="1358"/>
        <v>0</v>
      </c>
      <c r="KC187" s="91">
        <f t="shared" si="1359"/>
        <v>0</v>
      </c>
      <c r="KD187" s="91">
        <f t="shared" si="1360"/>
        <v>0</v>
      </c>
      <c r="KS187" s="91">
        <f t="shared" si="1361"/>
        <v>0</v>
      </c>
      <c r="KT187" s="91">
        <f t="shared" si="1362"/>
        <v>0</v>
      </c>
      <c r="LI187" s="91">
        <f t="shared" si="1363"/>
        <v>0</v>
      </c>
      <c r="LJ187" s="91">
        <f t="shared" si="1364"/>
        <v>0</v>
      </c>
      <c r="LY187" s="91">
        <f t="shared" si="1365"/>
        <v>0</v>
      </c>
      <c r="LZ187" s="91">
        <f t="shared" si="1366"/>
        <v>0</v>
      </c>
      <c r="MO187" s="91">
        <f t="shared" si="1367"/>
        <v>0</v>
      </c>
      <c r="MP187" s="91">
        <f t="shared" si="1368"/>
        <v>0</v>
      </c>
      <c r="NE187" s="91">
        <f t="shared" si="1369"/>
        <v>0</v>
      </c>
      <c r="NF187" s="91">
        <f t="shared" si="1370"/>
        <v>0</v>
      </c>
      <c r="NQ187" s="98">
        <v>140</v>
      </c>
      <c r="NR187" s="98">
        <v>2240</v>
      </c>
      <c r="NU187" s="91">
        <f t="shared" si="1371"/>
        <v>140</v>
      </c>
      <c r="NV187" s="91">
        <f t="shared" si="1372"/>
        <v>2240</v>
      </c>
      <c r="OK187" s="91">
        <f t="shared" si="1373"/>
        <v>0</v>
      </c>
      <c r="OL187" s="91">
        <f t="shared" si="1374"/>
        <v>0</v>
      </c>
      <c r="PA187" s="91">
        <f t="shared" si="1375"/>
        <v>0</v>
      </c>
      <c r="PB187" s="91">
        <f t="shared" si="1376"/>
        <v>0</v>
      </c>
      <c r="PQ187" s="91">
        <f t="shared" si="1377"/>
        <v>0</v>
      </c>
      <c r="PR187" s="91">
        <f t="shared" si="1378"/>
        <v>0</v>
      </c>
      <c r="PY187" s="98">
        <v>67010</v>
      </c>
      <c r="PZ187" s="98">
        <v>837625</v>
      </c>
      <c r="QA187" s="98">
        <v>83050</v>
      </c>
      <c r="QB187" s="98">
        <v>1162700</v>
      </c>
      <c r="QG187" s="91">
        <f t="shared" si="1379"/>
        <v>150060</v>
      </c>
      <c r="QH187" s="91">
        <f t="shared" si="1380"/>
        <v>2000325</v>
      </c>
      <c r="QW187" s="91">
        <f t="shared" si="1381"/>
        <v>0</v>
      </c>
      <c r="QX187" s="91">
        <f t="shared" si="1382"/>
        <v>0</v>
      </c>
      <c r="RM187" s="91">
        <f t="shared" si="1383"/>
        <v>0</v>
      </c>
      <c r="RN187" s="91">
        <f t="shared" si="1384"/>
        <v>0</v>
      </c>
      <c r="SC187" s="91">
        <f t="shared" si="1385"/>
        <v>0</v>
      </c>
      <c r="SD187" s="91">
        <f t="shared" si="1386"/>
        <v>0</v>
      </c>
      <c r="SS187" s="91">
        <f t="shared" si="1387"/>
        <v>0</v>
      </c>
      <c r="ST187" s="91">
        <f t="shared" si="1388"/>
        <v>0</v>
      </c>
      <c r="TI187" s="91">
        <f t="shared" si="1389"/>
        <v>0</v>
      </c>
      <c r="TJ187" s="91">
        <f t="shared" si="1390"/>
        <v>0</v>
      </c>
      <c r="TY187" s="91">
        <f t="shared" si="1391"/>
        <v>0</v>
      </c>
      <c r="TZ187" s="91">
        <f t="shared" si="1392"/>
        <v>0</v>
      </c>
      <c r="UO187" s="91">
        <f t="shared" si="1393"/>
        <v>0</v>
      </c>
      <c r="UP187" s="91">
        <f t="shared" si="1394"/>
        <v>0</v>
      </c>
      <c r="VE187" s="91">
        <f t="shared" si="1395"/>
        <v>0</v>
      </c>
      <c r="VF187" s="91">
        <f t="shared" si="1396"/>
        <v>0</v>
      </c>
      <c r="VU187" s="91">
        <f t="shared" si="1397"/>
        <v>0</v>
      </c>
      <c r="VV187" s="91">
        <f t="shared" si="1398"/>
        <v>0</v>
      </c>
      <c r="WK187" s="91">
        <f t="shared" si="1399"/>
        <v>0</v>
      </c>
      <c r="WL187" s="91">
        <f t="shared" si="1400"/>
        <v>0</v>
      </c>
      <c r="WM187" s="89"/>
      <c r="WN187" s="87">
        <f t="shared" si="1401"/>
        <v>0</v>
      </c>
      <c r="WO187" s="87">
        <f t="shared" si="1402"/>
        <v>0</v>
      </c>
      <c r="WP187" s="87">
        <f t="shared" si="1403"/>
        <v>0</v>
      </c>
      <c r="WQ187" s="87">
        <f t="shared" si="1404"/>
        <v>0</v>
      </c>
      <c r="WR187" s="87">
        <f t="shared" si="1405"/>
        <v>0</v>
      </c>
      <c r="WS187" s="87">
        <f t="shared" si="1406"/>
        <v>0</v>
      </c>
      <c r="WT187" s="87">
        <f t="shared" si="1407"/>
        <v>1262374</v>
      </c>
      <c r="WU187" s="87">
        <f t="shared" si="1408"/>
        <v>16807470</v>
      </c>
      <c r="WV187" s="87">
        <f t="shared" si="1409"/>
        <v>83050</v>
      </c>
      <c r="WW187" s="87">
        <f t="shared" si="1410"/>
        <v>1162700</v>
      </c>
      <c r="WX187" s="87">
        <f t="shared" si="1411"/>
        <v>140</v>
      </c>
      <c r="WY187" s="87">
        <f t="shared" si="1412"/>
        <v>2240</v>
      </c>
      <c r="WZ187" s="87">
        <f t="shared" si="1413"/>
        <v>874</v>
      </c>
      <c r="XA187" s="87">
        <f t="shared" si="1414"/>
        <v>8740</v>
      </c>
      <c r="XB187" s="92">
        <f t="shared" si="1415"/>
        <v>1346438</v>
      </c>
      <c r="XC187" s="92">
        <f t="shared" si="1416"/>
        <v>17981150</v>
      </c>
      <c r="XD187" s="89"/>
      <c r="XE187" s="92"/>
      <c r="XF187" s="92"/>
      <c r="XG187" s="89"/>
      <c r="XH187" s="92"/>
      <c r="XI187" s="92"/>
      <c r="XJ187" s="89"/>
      <c r="XK187" s="87"/>
      <c r="XL187" s="87"/>
      <c r="XM187" s="87"/>
      <c r="XN187" s="87"/>
      <c r="XO187" s="87"/>
      <c r="XP187" s="87"/>
      <c r="XQ187" s="87"/>
      <c r="XR187" s="92">
        <f t="shared" ca="1" si="1417"/>
        <v>0</v>
      </c>
      <c r="XS187" s="89"/>
      <c r="XT187" s="87"/>
      <c r="XU187" s="87"/>
      <c r="XV187" s="87"/>
      <c r="XW187" s="87"/>
      <c r="XX187" s="87"/>
      <c r="XY187" s="87"/>
      <c r="XZ187" s="87"/>
      <c r="YA187" s="92">
        <f t="shared" ca="1" si="1418"/>
        <v>0</v>
      </c>
      <c r="YB187" s="90"/>
      <c r="YC187" s="90"/>
      <c r="YD187" s="90"/>
      <c r="YE187" s="90"/>
      <c r="YF187" s="90"/>
      <c r="YG187" s="90"/>
      <c r="YH187" s="90"/>
      <c r="YI187" s="90"/>
      <c r="YJ187" s="90"/>
      <c r="YK187" s="90"/>
      <c r="YL187" s="90"/>
      <c r="YM187" s="90"/>
      <c r="YN187" s="90"/>
      <c r="YO187" s="90"/>
      <c r="YP187" s="90"/>
      <c r="YQ187" s="90"/>
      <c r="YR187" s="90"/>
      <c r="YS187" s="90"/>
      <c r="YT187" s="90"/>
      <c r="YU187" s="90"/>
      <c r="YV187" s="90"/>
      <c r="YW187" s="90"/>
      <c r="YX187" s="90"/>
      <c r="YY187" s="90"/>
      <c r="YZ187" s="90"/>
      <c r="ZA187" s="90"/>
      <c r="ZB187" s="90"/>
      <c r="ZC187" s="90"/>
      <c r="ZD187" s="90"/>
      <c r="ZE187" s="90"/>
      <c r="ZF187" s="90"/>
      <c r="ZG187" s="90"/>
      <c r="ZH187" s="90"/>
      <c r="ZI187" s="90"/>
      <c r="ZJ187" s="90"/>
      <c r="ZK187" s="90"/>
      <c r="ZL187" s="90"/>
      <c r="ZM187" s="90"/>
      <c r="ZN187" s="90"/>
      <c r="ZO187" s="90"/>
      <c r="ZP187" s="90"/>
      <c r="ZQ187" s="90"/>
      <c r="ZR187" s="90"/>
      <c r="ZS187" s="90"/>
      <c r="ZT187" s="90"/>
      <c r="ZU187" s="90"/>
      <c r="ZV187" s="90"/>
      <c r="ZW187" s="90"/>
      <c r="ZX187" s="90"/>
      <c r="ZY187" s="90"/>
      <c r="ZZ187" s="90"/>
      <c r="AAA187" s="90"/>
      <c r="AAB187" s="90"/>
      <c r="AAC187" s="90"/>
      <c r="AAD187" s="90"/>
      <c r="AAE187" s="90"/>
      <c r="AAF187" s="90"/>
      <c r="AAG187" s="90"/>
      <c r="AAH187" s="90"/>
      <c r="AAI187" s="90"/>
      <c r="AAJ187" s="90"/>
      <c r="AAK187" s="90"/>
      <c r="AAL187" s="90"/>
      <c r="AAM187" s="90"/>
      <c r="AAN187" s="90"/>
      <c r="AAO187" s="90"/>
      <c r="AAP187" s="90"/>
      <c r="AAQ187" s="90"/>
      <c r="AAR187" s="90"/>
      <c r="AAS187" s="90"/>
      <c r="AAT187" s="90"/>
      <c r="AAU187" s="90"/>
      <c r="AAV187" s="90"/>
      <c r="AAW187" s="90"/>
      <c r="AAX187" s="90"/>
      <c r="AAY187" s="90"/>
      <c r="AAZ187" s="90"/>
      <c r="ABA187" s="90"/>
      <c r="ABB187" s="90"/>
      <c r="ABC187" s="90"/>
      <c r="ABD187" s="90"/>
      <c r="ABE187" s="90"/>
      <c r="ABF187" s="90"/>
      <c r="ABG187" s="90"/>
      <c r="ABH187" s="90"/>
      <c r="ABI187" s="90"/>
      <c r="ABJ187" s="90"/>
      <c r="ABK187" s="90"/>
      <c r="ABL187" s="90"/>
      <c r="ABM187" s="90"/>
      <c r="ABN187" s="90"/>
      <c r="ABO187" s="90"/>
      <c r="ABP187" s="90"/>
      <c r="ABQ187" s="90"/>
      <c r="ABR187" s="90"/>
      <c r="ABS187" s="90"/>
      <c r="ABT187" s="90"/>
      <c r="ABU187" s="90"/>
      <c r="ABV187" s="90"/>
      <c r="ABW187" s="90"/>
      <c r="ABX187" s="90"/>
      <c r="ABY187" s="90"/>
      <c r="ABZ187" s="90"/>
      <c r="ACA187" s="90"/>
      <c r="ACB187" s="90"/>
      <c r="ACC187" s="90"/>
      <c r="ACD187" s="90"/>
      <c r="ACE187" s="90"/>
      <c r="ACF187" s="90"/>
      <c r="ACG187" s="90"/>
      <c r="ACH187" s="90"/>
      <c r="ACI187" s="90"/>
      <c r="ACJ187" s="90"/>
      <c r="ACK187" s="90"/>
      <c r="ACL187" s="90"/>
      <c r="ACM187" s="90"/>
      <c r="ACN187" s="90"/>
      <c r="ACO187" s="90"/>
      <c r="ACP187" s="90"/>
      <c r="ACQ187" s="90"/>
      <c r="ACR187" s="90"/>
      <c r="ACS187" s="90"/>
      <c r="ACT187" s="90"/>
      <c r="ACU187" s="90"/>
      <c r="ACV187" s="90"/>
      <c r="ACW187" s="90"/>
      <c r="ACX187" s="90"/>
      <c r="ACY187" s="90"/>
      <c r="ACZ187" s="90"/>
      <c r="ADA187" s="90"/>
      <c r="ADB187" s="90"/>
      <c r="ADC187" s="90"/>
      <c r="ADD187" s="90"/>
      <c r="ADE187" s="90"/>
      <c r="ADF187" s="90"/>
      <c r="ADG187" s="90"/>
      <c r="ADH187" s="90"/>
      <c r="ADI187" s="90"/>
      <c r="ADJ187" s="90"/>
      <c r="ADK187" s="90"/>
      <c r="ADL187" s="90"/>
      <c r="ADM187" s="90"/>
      <c r="ADN187" s="90"/>
      <c r="ADO187" s="90"/>
      <c r="ADP187" s="90"/>
      <c r="ADQ187" s="90"/>
      <c r="ADR187" s="90"/>
      <c r="ADS187" s="90"/>
      <c r="ADT187" s="90"/>
      <c r="ADU187" s="90"/>
      <c r="ADV187" s="90"/>
      <c r="ADW187" s="90"/>
      <c r="ADX187" s="90"/>
      <c r="ADY187" s="90"/>
      <c r="ADZ187" s="90"/>
      <c r="AEA187" s="90"/>
      <c r="AEB187" s="90"/>
      <c r="AEC187" s="90"/>
      <c r="AED187" s="90"/>
      <c r="AEE187" s="90"/>
      <c r="AEF187" s="90"/>
      <c r="AEG187" s="90"/>
      <c r="AEH187" s="90"/>
      <c r="AEI187" s="90"/>
      <c r="AEJ187" s="90"/>
      <c r="AEK187" s="90"/>
      <c r="AEL187" s="90"/>
      <c r="AEM187" s="90"/>
      <c r="AEN187" s="90"/>
      <c r="AEO187" s="90"/>
      <c r="AEP187" s="90"/>
      <c r="AEQ187" s="90"/>
      <c r="AER187" s="90"/>
      <c r="AES187" s="90"/>
      <c r="AET187" s="90"/>
      <c r="AEU187" s="90"/>
      <c r="AEV187" s="90"/>
      <c r="AEW187" s="90"/>
      <c r="AEX187" s="90"/>
      <c r="AEY187" s="90"/>
      <c r="AEZ187" s="90"/>
      <c r="AFA187" s="90"/>
      <c r="AFB187" s="90"/>
      <c r="AFC187" s="90"/>
      <c r="AFD187" s="90"/>
      <c r="AFE187" s="90"/>
      <c r="AFF187" s="90"/>
      <c r="AFG187" s="90"/>
      <c r="AFH187" s="90"/>
      <c r="AFI187" s="90"/>
      <c r="AFJ187" s="90"/>
      <c r="AFK187" s="90"/>
      <c r="AFL187" s="90"/>
      <c r="AFM187" s="90"/>
      <c r="AFN187" s="90"/>
      <c r="AFO187" s="90"/>
      <c r="AFP187" s="90"/>
      <c r="AFQ187" s="90"/>
      <c r="AFR187" s="90"/>
      <c r="AFS187" s="90"/>
      <c r="AFT187" s="90"/>
      <c r="AFU187" s="90"/>
      <c r="AFV187" s="90"/>
      <c r="AFW187" s="90"/>
      <c r="AFX187" s="90"/>
      <c r="AFY187" s="90"/>
      <c r="AFZ187" s="90"/>
      <c r="AGA187" s="90"/>
      <c r="AGB187" s="90"/>
      <c r="AGC187" s="90"/>
      <c r="AGD187" s="90"/>
      <c r="AGE187" s="90"/>
      <c r="AGF187" s="90"/>
      <c r="AGG187" s="90"/>
      <c r="AGH187" s="90"/>
      <c r="AGI187" s="90"/>
      <c r="AGJ187" s="90"/>
      <c r="AGK187" s="90"/>
      <c r="AGL187" s="90"/>
      <c r="AGM187" s="90"/>
      <c r="AGN187" s="90"/>
      <c r="AGO187" s="90"/>
      <c r="AGP187" s="90"/>
      <c r="AGQ187" s="90"/>
      <c r="AGR187" s="90"/>
      <c r="AGS187" s="90"/>
      <c r="AGT187" s="90"/>
      <c r="AGU187" s="90"/>
      <c r="AGV187" s="90"/>
      <c r="AGW187" s="90"/>
      <c r="AGX187" s="90"/>
      <c r="AGY187" s="90"/>
      <c r="AGZ187" s="90"/>
      <c r="AHA187" s="90"/>
      <c r="AHB187" s="90"/>
      <c r="AHC187" s="90"/>
      <c r="AHD187" s="90"/>
      <c r="AHE187" s="90"/>
      <c r="AHF187" s="90"/>
      <c r="AHG187" s="90"/>
      <c r="AHH187" s="90"/>
      <c r="AHI187" s="90"/>
      <c r="AHJ187" s="90"/>
      <c r="AHK187" s="90"/>
      <c r="AHL187" s="90"/>
      <c r="AHM187" s="90"/>
      <c r="AHN187" s="90"/>
      <c r="AHO187" s="90"/>
      <c r="AHP187" s="90"/>
      <c r="AHQ187" s="90"/>
      <c r="AHR187" s="90"/>
      <c r="AHS187" s="90"/>
      <c r="AHT187" s="90"/>
      <c r="AHU187" s="90"/>
      <c r="AHV187" s="90"/>
      <c r="AHW187" s="90"/>
      <c r="AHX187" s="90"/>
      <c r="AHY187" s="90"/>
      <c r="AHZ187" s="90"/>
      <c r="AIA187" s="90"/>
      <c r="AIB187" s="90"/>
      <c r="AIC187" s="90"/>
      <c r="AID187" s="90"/>
      <c r="AIE187" s="90"/>
      <c r="AIF187" s="90"/>
      <c r="AIG187" s="90"/>
      <c r="AIH187" s="90"/>
      <c r="AII187" s="90"/>
      <c r="AIJ187" s="90"/>
      <c r="AIK187" s="90"/>
      <c r="AIL187" s="90"/>
      <c r="AIM187" s="90"/>
      <c r="AIN187" s="90"/>
      <c r="AIO187" s="90"/>
      <c r="AIP187" s="90"/>
      <c r="AIQ187" s="90"/>
      <c r="AIR187" s="90"/>
      <c r="AIS187" s="90"/>
      <c r="AIT187" s="90"/>
      <c r="AIU187" s="90"/>
      <c r="AIV187" s="90"/>
      <c r="AIW187" s="90"/>
      <c r="AIX187" s="90"/>
      <c r="AIY187" s="90"/>
      <c r="AIZ187" s="90"/>
      <c r="AJA187" s="90"/>
      <c r="AJB187" s="90"/>
      <c r="AJC187" s="90"/>
      <c r="AJD187" s="90"/>
      <c r="AJE187" s="90"/>
      <c r="AJF187" s="90"/>
      <c r="AJG187" s="90"/>
      <c r="AJH187" s="90"/>
      <c r="AJI187" s="90"/>
      <c r="AJJ187" s="90"/>
      <c r="AJK187" s="90"/>
      <c r="AJL187" s="90"/>
      <c r="AJM187" s="90"/>
      <c r="AJN187" s="90"/>
      <c r="AJO187" s="90"/>
      <c r="AJP187" s="90"/>
      <c r="AJQ187" s="90"/>
      <c r="AJR187" s="90"/>
      <c r="AJS187" s="90"/>
      <c r="AJT187" s="90"/>
      <c r="AJU187" s="90"/>
      <c r="AJV187" s="90"/>
      <c r="AJW187" s="90"/>
      <c r="AJX187" s="90"/>
      <c r="AJY187" s="90"/>
      <c r="AJZ187" s="90"/>
      <c r="AKA187" s="90"/>
      <c r="AKB187" s="90"/>
      <c r="AKC187" s="90"/>
      <c r="AKD187" s="90"/>
      <c r="AKE187" s="90"/>
      <c r="AKF187" s="90"/>
      <c r="AKG187" s="90"/>
      <c r="AKH187" s="90"/>
      <c r="AKI187" s="90"/>
      <c r="AKJ187" s="90"/>
      <c r="AKK187" s="90"/>
      <c r="AKL187" s="90"/>
      <c r="AKM187" s="90"/>
      <c r="AKN187" s="90"/>
      <c r="AKO187" s="90"/>
      <c r="AKP187" s="90"/>
      <c r="AKQ187" s="90"/>
      <c r="AKR187" s="90"/>
      <c r="AKS187" s="90"/>
      <c r="AKT187" s="90"/>
      <c r="AKU187" s="90"/>
      <c r="AKV187" s="90"/>
      <c r="AKW187" s="90"/>
      <c r="AKX187" s="90"/>
      <c r="AKY187" s="90"/>
      <c r="AKZ187" s="90"/>
      <c r="ALA187" s="90"/>
      <c r="ALB187" s="90"/>
      <c r="ALC187" s="90"/>
      <c r="ALD187" s="90"/>
      <c r="ALE187" s="90"/>
      <c r="ALF187" s="90"/>
      <c r="ALG187" s="90"/>
      <c r="ALH187" s="90"/>
      <c r="ALI187" s="90"/>
      <c r="ALJ187" s="90"/>
      <c r="ALK187" s="90"/>
      <c r="ALL187" s="90"/>
      <c r="ALM187" s="90"/>
      <c r="ALN187" s="90"/>
      <c r="ALO187" s="90"/>
      <c r="ALP187" s="90"/>
      <c r="ALQ187" s="90"/>
      <c r="ALR187" s="90"/>
      <c r="ALS187" s="90"/>
      <c r="ALT187" s="90"/>
      <c r="ALU187" s="90"/>
      <c r="ALV187" s="90"/>
      <c r="ALW187" s="90"/>
      <c r="ALX187" s="90"/>
      <c r="ALY187" s="90"/>
      <c r="ALZ187" s="90"/>
      <c r="AMA187" s="90"/>
      <c r="AMB187" s="90"/>
      <c r="AMC187" s="90"/>
    </row>
    <row r="188" spans="1:1017">
      <c r="A188" s="98" t="s">
        <v>49</v>
      </c>
      <c r="B188" s="90" t="str">
        <f t="shared" si="1324"/>
        <v>Teri</v>
      </c>
      <c r="Q188" s="91">
        <f t="shared" si="1325"/>
        <v>0</v>
      </c>
      <c r="R188" s="91">
        <f t="shared" si="1326"/>
        <v>0</v>
      </c>
      <c r="AG188" s="91">
        <f t="shared" si="1327"/>
        <v>0</v>
      </c>
      <c r="AH188" s="91">
        <f t="shared" si="1328"/>
        <v>0</v>
      </c>
      <c r="AW188" s="91">
        <f t="shared" si="1329"/>
        <v>0</v>
      </c>
      <c r="AX188" s="91">
        <f t="shared" si="1330"/>
        <v>0</v>
      </c>
      <c r="BM188" s="91">
        <f t="shared" si="1331"/>
        <v>0</v>
      </c>
      <c r="BN188" s="91">
        <f t="shared" si="1332"/>
        <v>0</v>
      </c>
      <c r="CC188" s="91">
        <f t="shared" si="1333"/>
        <v>0</v>
      </c>
      <c r="CD188" s="91">
        <f t="shared" si="1334"/>
        <v>0</v>
      </c>
      <c r="CS188" s="91">
        <f t="shared" si="1419"/>
        <v>0</v>
      </c>
      <c r="CT188" s="91">
        <f t="shared" si="1420"/>
        <v>0</v>
      </c>
      <c r="DI188" s="91">
        <f t="shared" si="1337"/>
        <v>0</v>
      </c>
      <c r="DJ188" s="91">
        <f t="shared" si="1338"/>
        <v>0</v>
      </c>
      <c r="DY188" s="91">
        <f t="shared" si="1339"/>
        <v>0</v>
      </c>
      <c r="DZ188" s="91">
        <f t="shared" si="1340"/>
        <v>0</v>
      </c>
      <c r="EO188" s="91">
        <f t="shared" si="1341"/>
        <v>0</v>
      </c>
      <c r="EP188" s="91">
        <f t="shared" si="1342"/>
        <v>0</v>
      </c>
      <c r="FE188" s="91">
        <f t="shared" si="1343"/>
        <v>0</v>
      </c>
      <c r="FF188" s="91">
        <f t="shared" si="1344"/>
        <v>0</v>
      </c>
      <c r="FU188" s="91">
        <f t="shared" si="1345"/>
        <v>0</v>
      </c>
      <c r="FV188" s="91">
        <f t="shared" si="1346"/>
        <v>0</v>
      </c>
      <c r="GK188" s="91">
        <f t="shared" si="1347"/>
        <v>0</v>
      </c>
      <c r="GL188" s="91">
        <f t="shared" si="1348"/>
        <v>0</v>
      </c>
      <c r="HA188" s="91">
        <f t="shared" si="1349"/>
        <v>0</v>
      </c>
      <c r="HB188" s="91">
        <f t="shared" si="1350"/>
        <v>0</v>
      </c>
      <c r="HQ188" s="91">
        <f t="shared" si="1351"/>
        <v>0</v>
      </c>
      <c r="HR188" s="91">
        <f t="shared" si="1352"/>
        <v>0</v>
      </c>
      <c r="IG188" s="91">
        <f t="shared" si="1353"/>
        <v>0</v>
      </c>
      <c r="IH188" s="91">
        <f t="shared" si="1354"/>
        <v>0</v>
      </c>
      <c r="IW188" s="91">
        <f t="shared" si="1355"/>
        <v>0</v>
      </c>
      <c r="IX188" s="91">
        <f t="shared" si="1356"/>
        <v>0</v>
      </c>
      <c r="JM188" s="91">
        <f t="shared" si="1357"/>
        <v>0</v>
      </c>
      <c r="JN188" s="91">
        <f t="shared" si="1358"/>
        <v>0</v>
      </c>
      <c r="KC188" s="91">
        <f t="shared" si="1359"/>
        <v>0</v>
      </c>
      <c r="KD188" s="91">
        <f t="shared" si="1360"/>
        <v>0</v>
      </c>
      <c r="KS188" s="91">
        <f t="shared" si="1361"/>
        <v>0</v>
      </c>
      <c r="KT188" s="91">
        <f t="shared" si="1362"/>
        <v>0</v>
      </c>
      <c r="LI188" s="91">
        <f t="shared" si="1363"/>
        <v>0</v>
      </c>
      <c r="LJ188" s="91">
        <f t="shared" si="1364"/>
        <v>0</v>
      </c>
      <c r="LY188" s="91">
        <f t="shared" si="1365"/>
        <v>0</v>
      </c>
      <c r="LZ188" s="91">
        <f t="shared" si="1366"/>
        <v>0</v>
      </c>
      <c r="MO188" s="91">
        <f t="shared" si="1367"/>
        <v>0</v>
      </c>
      <c r="MP188" s="91">
        <f t="shared" si="1368"/>
        <v>0</v>
      </c>
      <c r="NE188" s="91">
        <f t="shared" si="1369"/>
        <v>0</v>
      </c>
      <c r="NF188" s="91">
        <f t="shared" si="1370"/>
        <v>0</v>
      </c>
      <c r="NU188" s="91">
        <f t="shared" si="1371"/>
        <v>0</v>
      </c>
      <c r="NV188" s="91">
        <f t="shared" si="1372"/>
        <v>0</v>
      </c>
      <c r="OK188" s="91">
        <f t="shared" si="1373"/>
        <v>0</v>
      </c>
      <c r="OL188" s="91">
        <f t="shared" si="1374"/>
        <v>0</v>
      </c>
      <c r="PA188" s="91">
        <f t="shared" si="1375"/>
        <v>0</v>
      </c>
      <c r="PB188" s="91">
        <f t="shared" si="1376"/>
        <v>0</v>
      </c>
      <c r="PQ188" s="91">
        <f t="shared" si="1377"/>
        <v>0</v>
      </c>
      <c r="PR188" s="91">
        <f t="shared" si="1378"/>
        <v>0</v>
      </c>
      <c r="QG188" s="91">
        <f t="shared" si="1379"/>
        <v>0</v>
      </c>
      <c r="QH188" s="91">
        <f t="shared" si="1380"/>
        <v>0</v>
      </c>
      <c r="QW188" s="91">
        <f t="shared" si="1381"/>
        <v>0</v>
      </c>
      <c r="QX188" s="91">
        <f t="shared" si="1382"/>
        <v>0</v>
      </c>
      <c r="RM188" s="91">
        <f t="shared" si="1383"/>
        <v>0</v>
      </c>
      <c r="RN188" s="91">
        <f t="shared" si="1384"/>
        <v>0</v>
      </c>
      <c r="SC188" s="91">
        <f t="shared" si="1385"/>
        <v>0</v>
      </c>
      <c r="SD188" s="91">
        <f t="shared" si="1386"/>
        <v>0</v>
      </c>
      <c r="SS188" s="91">
        <f t="shared" si="1387"/>
        <v>0</v>
      </c>
      <c r="ST188" s="91">
        <f t="shared" si="1388"/>
        <v>0</v>
      </c>
      <c r="TI188" s="91">
        <f t="shared" si="1389"/>
        <v>0</v>
      </c>
      <c r="TJ188" s="91">
        <f t="shared" si="1390"/>
        <v>0</v>
      </c>
      <c r="TY188" s="91">
        <f t="shared" si="1391"/>
        <v>0</v>
      </c>
      <c r="TZ188" s="91">
        <f t="shared" si="1392"/>
        <v>0</v>
      </c>
      <c r="UO188" s="91">
        <f t="shared" si="1393"/>
        <v>0</v>
      </c>
      <c r="UP188" s="91">
        <f t="shared" si="1394"/>
        <v>0</v>
      </c>
      <c r="VE188" s="91">
        <f t="shared" si="1395"/>
        <v>0</v>
      </c>
      <c r="VF188" s="91">
        <f t="shared" si="1396"/>
        <v>0</v>
      </c>
      <c r="VU188" s="91">
        <f t="shared" si="1397"/>
        <v>0</v>
      </c>
      <c r="VV188" s="91">
        <f t="shared" si="1398"/>
        <v>0</v>
      </c>
      <c r="WK188" s="91">
        <f t="shared" si="1399"/>
        <v>0</v>
      </c>
      <c r="WL188" s="91">
        <f t="shared" si="1400"/>
        <v>0</v>
      </c>
      <c r="WM188" s="89"/>
      <c r="WN188" s="87">
        <f t="shared" si="1401"/>
        <v>0</v>
      </c>
      <c r="WO188" s="87">
        <f t="shared" si="1402"/>
        <v>0</v>
      </c>
      <c r="WP188" s="87">
        <f t="shared" si="1403"/>
        <v>0</v>
      </c>
      <c r="WQ188" s="87">
        <f t="shared" si="1404"/>
        <v>0</v>
      </c>
      <c r="WR188" s="87">
        <f t="shared" si="1405"/>
        <v>0</v>
      </c>
      <c r="WS188" s="87">
        <f t="shared" si="1406"/>
        <v>0</v>
      </c>
      <c r="WT188" s="87">
        <f t="shared" si="1407"/>
        <v>0</v>
      </c>
      <c r="WU188" s="87">
        <f t="shared" si="1408"/>
        <v>0</v>
      </c>
      <c r="WV188" s="87">
        <f t="shared" si="1409"/>
        <v>0</v>
      </c>
      <c r="WW188" s="87">
        <f t="shared" si="1410"/>
        <v>0</v>
      </c>
      <c r="WX188" s="87">
        <f t="shared" si="1411"/>
        <v>0</v>
      </c>
      <c r="WY188" s="87">
        <f t="shared" si="1412"/>
        <v>0</v>
      </c>
      <c r="WZ188" s="87">
        <f t="shared" si="1413"/>
        <v>0</v>
      </c>
      <c r="XA188" s="87">
        <f t="shared" si="1414"/>
        <v>0</v>
      </c>
      <c r="XB188" s="92">
        <f t="shared" si="1415"/>
        <v>0</v>
      </c>
      <c r="XC188" s="92">
        <f t="shared" si="1416"/>
        <v>0</v>
      </c>
      <c r="XD188" s="89"/>
      <c r="XE188" s="92"/>
      <c r="XF188" s="92"/>
      <c r="XG188" s="89"/>
      <c r="XH188" s="92"/>
      <c r="XI188" s="92"/>
      <c r="XJ188" s="89"/>
      <c r="XK188" s="87"/>
      <c r="XL188" s="87"/>
      <c r="XM188" s="87"/>
      <c r="XN188" s="87"/>
      <c r="XO188" s="87"/>
      <c r="XP188" s="87"/>
      <c r="XQ188" s="87"/>
      <c r="XR188" s="92">
        <f t="shared" ca="1" si="1417"/>
        <v>0</v>
      </c>
      <c r="XS188" s="89"/>
      <c r="XT188" s="87"/>
      <c r="XU188" s="87"/>
      <c r="XV188" s="87"/>
      <c r="XW188" s="87"/>
      <c r="XX188" s="87"/>
      <c r="XY188" s="87"/>
      <c r="XZ188" s="87"/>
      <c r="YA188" s="92">
        <f t="shared" ca="1" si="1418"/>
        <v>0</v>
      </c>
      <c r="YB188" s="90"/>
      <c r="YC188" s="90"/>
      <c r="YD188" s="90"/>
      <c r="YE188" s="90"/>
      <c r="YF188" s="90"/>
      <c r="YG188" s="90"/>
      <c r="YH188" s="90"/>
      <c r="YI188" s="90"/>
      <c r="YJ188" s="90"/>
      <c r="YK188" s="90"/>
      <c r="YL188" s="90"/>
      <c r="YM188" s="90"/>
      <c r="YN188" s="90"/>
      <c r="YO188" s="90"/>
      <c r="YP188" s="90"/>
      <c r="YQ188" s="90"/>
      <c r="YR188" s="90"/>
      <c r="YS188" s="90"/>
      <c r="YT188" s="90"/>
      <c r="YU188" s="90"/>
      <c r="YV188" s="90"/>
      <c r="YW188" s="90"/>
      <c r="YX188" s="90"/>
      <c r="YY188" s="90"/>
      <c r="YZ188" s="90"/>
      <c r="ZA188" s="90"/>
      <c r="ZB188" s="90"/>
      <c r="ZC188" s="90"/>
      <c r="ZD188" s="90"/>
      <c r="ZE188" s="90"/>
      <c r="ZF188" s="90"/>
      <c r="ZG188" s="90"/>
      <c r="ZH188" s="90"/>
      <c r="ZI188" s="90"/>
      <c r="ZJ188" s="90"/>
      <c r="ZK188" s="90"/>
      <c r="ZL188" s="90"/>
      <c r="ZM188" s="90"/>
      <c r="ZN188" s="90"/>
      <c r="ZO188" s="90"/>
      <c r="ZP188" s="90"/>
      <c r="ZQ188" s="90"/>
      <c r="ZR188" s="90"/>
      <c r="ZS188" s="90"/>
      <c r="ZT188" s="90"/>
      <c r="ZU188" s="90"/>
      <c r="ZV188" s="90"/>
      <c r="ZW188" s="90"/>
      <c r="ZX188" s="90"/>
      <c r="ZY188" s="90"/>
      <c r="ZZ188" s="90"/>
      <c r="AAA188" s="90"/>
      <c r="AAB188" s="90"/>
      <c r="AAC188" s="90"/>
      <c r="AAD188" s="90"/>
      <c r="AAE188" s="90"/>
      <c r="AAF188" s="90"/>
      <c r="AAG188" s="90"/>
      <c r="AAH188" s="90"/>
      <c r="AAI188" s="90"/>
      <c r="AAJ188" s="90"/>
      <c r="AAK188" s="90"/>
      <c r="AAL188" s="90"/>
      <c r="AAM188" s="90"/>
      <c r="AAN188" s="90"/>
      <c r="AAO188" s="90"/>
      <c r="AAP188" s="90"/>
      <c r="AAQ188" s="90"/>
      <c r="AAR188" s="90"/>
      <c r="AAS188" s="90"/>
      <c r="AAT188" s="90"/>
      <c r="AAU188" s="90"/>
      <c r="AAV188" s="90"/>
      <c r="AAW188" s="90"/>
      <c r="AAX188" s="90"/>
      <c r="AAY188" s="90"/>
      <c r="AAZ188" s="90"/>
      <c r="ABA188" s="90"/>
      <c r="ABB188" s="90"/>
      <c r="ABC188" s="90"/>
      <c r="ABD188" s="90"/>
      <c r="ABE188" s="90"/>
      <c r="ABF188" s="90"/>
      <c r="ABG188" s="90"/>
      <c r="ABH188" s="90"/>
      <c r="ABI188" s="90"/>
      <c r="ABJ188" s="90"/>
      <c r="ABK188" s="90"/>
      <c r="ABL188" s="90"/>
      <c r="ABM188" s="90"/>
      <c r="ABN188" s="90"/>
      <c r="ABO188" s="90"/>
      <c r="ABP188" s="90"/>
      <c r="ABQ188" s="90"/>
      <c r="ABR188" s="90"/>
      <c r="ABS188" s="90"/>
      <c r="ABT188" s="90"/>
      <c r="ABU188" s="90"/>
      <c r="ABV188" s="90"/>
      <c r="ABW188" s="90"/>
      <c r="ABX188" s="90"/>
      <c r="ABY188" s="90"/>
      <c r="ABZ188" s="90"/>
      <c r="ACA188" s="90"/>
      <c r="ACB188" s="90"/>
      <c r="ACC188" s="90"/>
      <c r="ACD188" s="90"/>
      <c r="ACE188" s="90"/>
      <c r="ACF188" s="90"/>
      <c r="ACG188" s="90"/>
      <c r="ACH188" s="90"/>
      <c r="ACI188" s="90"/>
      <c r="ACJ188" s="90"/>
      <c r="ACK188" s="90"/>
      <c r="ACL188" s="90"/>
      <c r="ACM188" s="90"/>
      <c r="ACN188" s="90"/>
      <c r="ACO188" s="90"/>
      <c r="ACP188" s="90"/>
      <c r="ACQ188" s="90"/>
      <c r="ACR188" s="90"/>
      <c r="ACS188" s="90"/>
      <c r="ACT188" s="90"/>
      <c r="ACU188" s="90"/>
      <c r="ACV188" s="90"/>
      <c r="ACW188" s="90"/>
      <c r="ACX188" s="90"/>
      <c r="ACY188" s="90"/>
      <c r="ACZ188" s="90"/>
      <c r="ADA188" s="90"/>
      <c r="ADB188" s="90"/>
      <c r="ADC188" s="90"/>
      <c r="ADD188" s="90"/>
      <c r="ADE188" s="90"/>
      <c r="ADF188" s="90"/>
      <c r="ADG188" s="90"/>
      <c r="ADH188" s="90"/>
      <c r="ADI188" s="90"/>
      <c r="ADJ188" s="90"/>
      <c r="ADK188" s="90"/>
      <c r="ADL188" s="90"/>
      <c r="ADM188" s="90"/>
      <c r="ADN188" s="90"/>
      <c r="ADO188" s="90"/>
      <c r="ADP188" s="90"/>
      <c r="ADQ188" s="90"/>
      <c r="ADR188" s="90"/>
      <c r="ADS188" s="90"/>
      <c r="ADT188" s="90"/>
      <c r="ADU188" s="90"/>
      <c r="ADV188" s="90"/>
      <c r="ADW188" s="90"/>
      <c r="ADX188" s="90"/>
      <c r="ADY188" s="90"/>
      <c r="ADZ188" s="90"/>
      <c r="AEA188" s="90"/>
      <c r="AEB188" s="90"/>
      <c r="AEC188" s="90"/>
      <c r="AED188" s="90"/>
      <c r="AEE188" s="90"/>
      <c r="AEF188" s="90"/>
      <c r="AEG188" s="90"/>
      <c r="AEH188" s="90"/>
      <c r="AEI188" s="90"/>
      <c r="AEJ188" s="90"/>
      <c r="AEK188" s="90"/>
      <c r="AEL188" s="90"/>
      <c r="AEM188" s="90"/>
      <c r="AEN188" s="90"/>
      <c r="AEO188" s="90"/>
      <c r="AEP188" s="90"/>
      <c r="AEQ188" s="90"/>
      <c r="AER188" s="90"/>
      <c r="AES188" s="90"/>
      <c r="AET188" s="90"/>
      <c r="AEU188" s="90"/>
      <c r="AEV188" s="90"/>
      <c r="AEW188" s="90"/>
      <c r="AEX188" s="90"/>
      <c r="AEY188" s="90"/>
      <c r="AEZ188" s="90"/>
      <c r="AFA188" s="90"/>
      <c r="AFB188" s="90"/>
      <c r="AFC188" s="90"/>
      <c r="AFD188" s="90"/>
      <c r="AFE188" s="90"/>
      <c r="AFF188" s="90"/>
      <c r="AFG188" s="90"/>
      <c r="AFH188" s="90"/>
      <c r="AFI188" s="90"/>
      <c r="AFJ188" s="90"/>
      <c r="AFK188" s="90"/>
      <c r="AFL188" s="90"/>
      <c r="AFM188" s="90"/>
      <c r="AFN188" s="90"/>
      <c r="AFO188" s="90"/>
      <c r="AFP188" s="90"/>
      <c r="AFQ188" s="90"/>
      <c r="AFR188" s="90"/>
      <c r="AFS188" s="90"/>
      <c r="AFT188" s="90"/>
      <c r="AFU188" s="90"/>
      <c r="AFV188" s="90"/>
      <c r="AFW188" s="90"/>
      <c r="AFX188" s="90"/>
      <c r="AFY188" s="90"/>
      <c r="AFZ188" s="90"/>
      <c r="AGA188" s="90"/>
      <c r="AGB188" s="90"/>
      <c r="AGC188" s="90"/>
      <c r="AGD188" s="90"/>
      <c r="AGE188" s="90"/>
      <c r="AGF188" s="90"/>
      <c r="AGG188" s="90"/>
      <c r="AGH188" s="90"/>
      <c r="AGI188" s="90"/>
      <c r="AGJ188" s="90"/>
      <c r="AGK188" s="90"/>
      <c r="AGL188" s="90"/>
      <c r="AGM188" s="90"/>
      <c r="AGN188" s="90"/>
      <c r="AGO188" s="90"/>
      <c r="AGP188" s="90"/>
      <c r="AGQ188" s="90"/>
      <c r="AGR188" s="90"/>
      <c r="AGS188" s="90"/>
      <c r="AGT188" s="90"/>
      <c r="AGU188" s="90"/>
      <c r="AGV188" s="90"/>
      <c r="AGW188" s="90"/>
      <c r="AGX188" s="90"/>
      <c r="AGY188" s="90"/>
      <c r="AGZ188" s="90"/>
      <c r="AHA188" s="90"/>
      <c r="AHB188" s="90"/>
      <c r="AHC188" s="90"/>
      <c r="AHD188" s="90"/>
      <c r="AHE188" s="90"/>
      <c r="AHF188" s="90"/>
      <c r="AHG188" s="90"/>
      <c r="AHH188" s="90"/>
      <c r="AHI188" s="90"/>
      <c r="AHJ188" s="90"/>
      <c r="AHK188" s="90"/>
      <c r="AHL188" s="90"/>
      <c r="AHM188" s="90"/>
      <c r="AHN188" s="90"/>
      <c r="AHO188" s="90"/>
      <c r="AHP188" s="90"/>
      <c r="AHQ188" s="90"/>
      <c r="AHR188" s="90"/>
      <c r="AHS188" s="90"/>
      <c r="AHT188" s="90"/>
      <c r="AHU188" s="90"/>
      <c r="AHV188" s="90"/>
      <c r="AHW188" s="90"/>
      <c r="AHX188" s="90"/>
      <c r="AHY188" s="90"/>
      <c r="AHZ188" s="90"/>
      <c r="AIA188" s="90"/>
      <c r="AIB188" s="90"/>
      <c r="AIC188" s="90"/>
      <c r="AID188" s="90"/>
      <c r="AIE188" s="90"/>
      <c r="AIF188" s="90"/>
      <c r="AIG188" s="90"/>
      <c r="AIH188" s="90"/>
      <c r="AII188" s="90"/>
      <c r="AIJ188" s="90"/>
      <c r="AIK188" s="90"/>
      <c r="AIL188" s="90"/>
      <c r="AIM188" s="90"/>
      <c r="AIN188" s="90"/>
      <c r="AIO188" s="90"/>
      <c r="AIP188" s="90"/>
      <c r="AIQ188" s="90"/>
      <c r="AIR188" s="90"/>
      <c r="AIS188" s="90"/>
      <c r="AIT188" s="90"/>
      <c r="AIU188" s="90"/>
      <c r="AIV188" s="90"/>
      <c r="AIW188" s="90"/>
      <c r="AIX188" s="90"/>
      <c r="AIY188" s="90"/>
      <c r="AIZ188" s="90"/>
      <c r="AJA188" s="90"/>
      <c r="AJB188" s="90"/>
      <c r="AJC188" s="90"/>
      <c r="AJD188" s="90"/>
      <c r="AJE188" s="90"/>
      <c r="AJF188" s="90"/>
      <c r="AJG188" s="90"/>
      <c r="AJH188" s="90"/>
      <c r="AJI188" s="90"/>
      <c r="AJJ188" s="90"/>
      <c r="AJK188" s="90"/>
      <c r="AJL188" s="90"/>
      <c r="AJM188" s="90"/>
      <c r="AJN188" s="90"/>
      <c r="AJO188" s="90"/>
      <c r="AJP188" s="90"/>
      <c r="AJQ188" s="90"/>
      <c r="AJR188" s="90"/>
      <c r="AJS188" s="90"/>
      <c r="AJT188" s="90"/>
      <c r="AJU188" s="90"/>
      <c r="AJV188" s="90"/>
      <c r="AJW188" s="90"/>
      <c r="AJX188" s="90"/>
      <c r="AJY188" s="90"/>
      <c r="AJZ188" s="90"/>
      <c r="AKA188" s="90"/>
      <c r="AKB188" s="90"/>
      <c r="AKC188" s="90"/>
      <c r="AKD188" s="90"/>
      <c r="AKE188" s="90"/>
      <c r="AKF188" s="90"/>
      <c r="AKG188" s="90"/>
      <c r="AKH188" s="90"/>
      <c r="AKI188" s="90"/>
      <c r="AKJ188" s="90"/>
      <c r="AKK188" s="90"/>
      <c r="AKL188" s="90"/>
      <c r="AKM188" s="90"/>
      <c r="AKN188" s="90"/>
      <c r="AKO188" s="90"/>
      <c r="AKP188" s="90"/>
      <c r="AKQ188" s="90"/>
      <c r="AKR188" s="90"/>
      <c r="AKS188" s="90"/>
      <c r="AKT188" s="90"/>
      <c r="AKU188" s="90"/>
      <c r="AKV188" s="90"/>
      <c r="AKW188" s="90"/>
      <c r="AKX188" s="90"/>
      <c r="AKY188" s="90"/>
      <c r="AKZ188" s="90"/>
      <c r="ALA188" s="90"/>
      <c r="ALB188" s="90"/>
      <c r="ALC188" s="90"/>
      <c r="ALD188" s="90"/>
      <c r="ALE188" s="90"/>
      <c r="ALF188" s="90"/>
      <c r="ALG188" s="90"/>
      <c r="ALH188" s="90"/>
      <c r="ALI188" s="90"/>
      <c r="ALJ188" s="90"/>
      <c r="ALK188" s="90"/>
      <c r="ALL188" s="90"/>
      <c r="ALM188" s="90"/>
      <c r="ALN188" s="90"/>
      <c r="ALO188" s="90"/>
      <c r="ALP188" s="90"/>
      <c r="ALQ188" s="90"/>
      <c r="ALR188" s="90"/>
      <c r="ALS188" s="90"/>
      <c r="ALT188" s="90"/>
      <c r="ALU188" s="90"/>
      <c r="ALV188" s="90"/>
      <c r="ALW188" s="90"/>
      <c r="ALX188" s="90"/>
      <c r="ALY188" s="90"/>
      <c r="ALZ188" s="90"/>
      <c r="AMA188" s="90"/>
      <c r="AMB188" s="90"/>
      <c r="AMC188" s="90"/>
    </row>
    <row r="189" spans="1:1017">
      <c r="A189" s="98" t="s">
        <v>49</v>
      </c>
      <c r="B189" s="90" t="str">
        <f t="shared" si="1324"/>
        <v xml:space="preserve">Udang Galah </v>
      </c>
      <c r="Q189" s="91">
        <f t="shared" si="1325"/>
        <v>0</v>
      </c>
      <c r="R189" s="91">
        <f t="shared" si="1326"/>
        <v>0</v>
      </c>
      <c r="AG189" s="91">
        <f t="shared" si="1327"/>
        <v>0</v>
      </c>
      <c r="AH189" s="91">
        <f t="shared" si="1328"/>
        <v>0</v>
      </c>
      <c r="AW189" s="91">
        <f t="shared" si="1329"/>
        <v>0</v>
      </c>
      <c r="AX189" s="91">
        <f t="shared" si="1330"/>
        <v>0</v>
      </c>
      <c r="BM189" s="91">
        <f t="shared" si="1331"/>
        <v>0</v>
      </c>
      <c r="BN189" s="91">
        <f t="shared" si="1332"/>
        <v>0</v>
      </c>
      <c r="CC189" s="91">
        <f t="shared" si="1333"/>
        <v>0</v>
      </c>
      <c r="CD189" s="91">
        <f t="shared" si="1334"/>
        <v>0</v>
      </c>
      <c r="CS189" s="91">
        <f t="shared" si="1419"/>
        <v>0</v>
      </c>
      <c r="CT189" s="91">
        <f t="shared" si="1420"/>
        <v>0</v>
      </c>
      <c r="DI189" s="91">
        <f t="shared" si="1337"/>
        <v>0</v>
      </c>
      <c r="DJ189" s="91">
        <f t="shared" si="1338"/>
        <v>0</v>
      </c>
      <c r="DY189" s="91">
        <f t="shared" si="1339"/>
        <v>0</v>
      </c>
      <c r="DZ189" s="91">
        <f t="shared" si="1340"/>
        <v>0</v>
      </c>
      <c r="EO189" s="91">
        <f t="shared" si="1341"/>
        <v>0</v>
      </c>
      <c r="EP189" s="91">
        <f t="shared" si="1342"/>
        <v>0</v>
      </c>
      <c r="FE189" s="91">
        <f t="shared" si="1343"/>
        <v>0</v>
      </c>
      <c r="FF189" s="91">
        <f t="shared" si="1344"/>
        <v>0</v>
      </c>
      <c r="FU189" s="91">
        <f t="shared" si="1345"/>
        <v>0</v>
      </c>
      <c r="FV189" s="91">
        <f t="shared" si="1346"/>
        <v>0</v>
      </c>
      <c r="GK189" s="91">
        <f t="shared" si="1347"/>
        <v>0</v>
      </c>
      <c r="GL189" s="91">
        <f t="shared" si="1348"/>
        <v>0</v>
      </c>
      <c r="HA189" s="91">
        <f t="shared" si="1349"/>
        <v>0</v>
      </c>
      <c r="HB189" s="91">
        <f t="shared" si="1350"/>
        <v>0</v>
      </c>
      <c r="HQ189" s="91">
        <f t="shared" si="1351"/>
        <v>0</v>
      </c>
      <c r="HR189" s="91">
        <f t="shared" si="1352"/>
        <v>0</v>
      </c>
      <c r="IG189" s="91">
        <f t="shared" si="1353"/>
        <v>0</v>
      </c>
      <c r="IH189" s="91">
        <f t="shared" si="1354"/>
        <v>0</v>
      </c>
      <c r="IW189" s="91">
        <f t="shared" si="1355"/>
        <v>0</v>
      </c>
      <c r="IX189" s="91">
        <f t="shared" si="1356"/>
        <v>0</v>
      </c>
      <c r="JM189" s="91">
        <f t="shared" si="1357"/>
        <v>0</v>
      </c>
      <c r="JN189" s="91">
        <f t="shared" si="1358"/>
        <v>0</v>
      </c>
      <c r="KC189" s="91">
        <f t="shared" si="1359"/>
        <v>0</v>
      </c>
      <c r="KD189" s="91">
        <f t="shared" si="1360"/>
        <v>0</v>
      </c>
      <c r="KS189" s="91">
        <f t="shared" si="1361"/>
        <v>0</v>
      </c>
      <c r="KT189" s="91">
        <f t="shared" si="1362"/>
        <v>0</v>
      </c>
      <c r="LI189" s="91">
        <f t="shared" si="1363"/>
        <v>0</v>
      </c>
      <c r="LJ189" s="91">
        <f t="shared" si="1364"/>
        <v>0</v>
      </c>
      <c r="LY189" s="91">
        <f t="shared" si="1365"/>
        <v>0</v>
      </c>
      <c r="LZ189" s="91">
        <f t="shared" si="1366"/>
        <v>0</v>
      </c>
      <c r="MO189" s="91">
        <f t="shared" si="1367"/>
        <v>0</v>
      </c>
      <c r="MP189" s="91">
        <f t="shared" si="1368"/>
        <v>0</v>
      </c>
      <c r="NE189" s="91">
        <f t="shared" si="1369"/>
        <v>0</v>
      </c>
      <c r="NF189" s="91">
        <f t="shared" si="1370"/>
        <v>0</v>
      </c>
      <c r="NU189" s="91">
        <f t="shared" si="1371"/>
        <v>0</v>
      </c>
      <c r="NV189" s="91">
        <f t="shared" si="1372"/>
        <v>0</v>
      </c>
      <c r="OK189" s="91">
        <f t="shared" si="1373"/>
        <v>0</v>
      </c>
      <c r="OL189" s="91">
        <f t="shared" si="1374"/>
        <v>0</v>
      </c>
      <c r="PA189" s="91">
        <f t="shared" si="1375"/>
        <v>0</v>
      </c>
      <c r="PB189" s="91">
        <f t="shared" si="1376"/>
        <v>0</v>
      </c>
      <c r="PQ189" s="91">
        <f t="shared" si="1377"/>
        <v>0</v>
      </c>
      <c r="PR189" s="91">
        <f t="shared" si="1378"/>
        <v>0</v>
      </c>
      <c r="QG189" s="91">
        <f t="shared" si="1379"/>
        <v>0</v>
      </c>
      <c r="QH189" s="91">
        <f t="shared" si="1380"/>
        <v>0</v>
      </c>
      <c r="QW189" s="91">
        <f t="shared" si="1381"/>
        <v>0</v>
      </c>
      <c r="QX189" s="91">
        <f t="shared" si="1382"/>
        <v>0</v>
      </c>
      <c r="RM189" s="91">
        <f t="shared" si="1383"/>
        <v>0</v>
      </c>
      <c r="RN189" s="91">
        <f t="shared" si="1384"/>
        <v>0</v>
      </c>
      <c r="SC189" s="91">
        <f t="shared" si="1385"/>
        <v>0</v>
      </c>
      <c r="SD189" s="91">
        <f t="shared" si="1386"/>
        <v>0</v>
      </c>
      <c r="SS189" s="91">
        <f t="shared" si="1387"/>
        <v>0</v>
      </c>
      <c r="ST189" s="91">
        <f t="shared" si="1388"/>
        <v>0</v>
      </c>
      <c r="TI189" s="91">
        <f t="shared" si="1389"/>
        <v>0</v>
      </c>
      <c r="TJ189" s="91">
        <f t="shared" si="1390"/>
        <v>0</v>
      </c>
      <c r="TY189" s="91">
        <f t="shared" si="1391"/>
        <v>0</v>
      </c>
      <c r="TZ189" s="91">
        <f t="shared" si="1392"/>
        <v>0</v>
      </c>
      <c r="UO189" s="91">
        <f t="shared" si="1393"/>
        <v>0</v>
      </c>
      <c r="UP189" s="91">
        <f t="shared" si="1394"/>
        <v>0</v>
      </c>
      <c r="VE189" s="91">
        <f t="shared" si="1395"/>
        <v>0</v>
      </c>
      <c r="VF189" s="91">
        <f t="shared" si="1396"/>
        <v>0</v>
      </c>
      <c r="VU189" s="91">
        <f t="shared" si="1397"/>
        <v>0</v>
      </c>
      <c r="VV189" s="91">
        <f t="shared" si="1398"/>
        <v>0</v>
      </c>
      <c r="WK189" s="91">
        <f t="shared" si="1399"/>
        <v>0</v>
      </c>
      <c r="WL189" s="91">
        <f t="shared" si="1400"/>
        <v>0</v>
      </c>
      <c r="WM189" s="89"/>
      <c r="WN189" s="87">
        <f t="shared" si="1401"/>
        <v>0</v>
      </c>
      <c r="WO189" s="87">
        <f t="shared" si="1402"/>
        <v>0</v>
      </c>
      <c r="WP189" s="87">
        <f t="shared" si="1403"/>
        <v>0</v>
      </c>
      <c r="WQ189" s="87">
        <f t="shared" si="1404"/>
        <v>0</v>
      </c>
      <c r="WR189" s="87">
        <f t="shared" si="1405"/>
        <v>0</v>
      </c>
      <c r="WS189" s="87">
        <f t="shared" si="1406"/>
        <v>0</v>
      </c>
      <c r="WT189" s="87">
        <f t="shared" si="1407"/>
        <v>0</v>
      </c>
      <c r="WU189" s="87">
        <f t="shared" si="1408"/>
        <v>0</v>
      </c>
      <c r="WV189" s="87">
        <f t="shared" si="1409"/>
        <v>0</v>
      </c>
      <c r="WW189" s="87">
        <f t="shared" si="1410"/>
        <v>0</v>
      </c>
      <c r="WX189" s="87">
        <f t="shared" si="1411"/>
        <v>0</v>
      </c>
      <c r="WY189" s="87">
        <f t="shared" si="1412"/>
        <v>0</v>
      </c>
      <c r="WZ189" s="87">
        <f t="shared" ref="WZ189:WZ202" si="1421">SUMIF($C$5:$WL$5,$WZ$5,C189:WL189)</f>
        <v>0</v>
      </c>
      <c r="XA189" s="87">
        <f t="shared" ref="XA189:XA202" si="1422">SUMIF($C$5:$WL$5,$XA$5,C189:WL189)</f>
        <v>0</v>
      </c>
      <c r="XB189" s="92">
        <f t="shared" ref="XB189:XB202" si="1423">SUMIF($WN$12:$XA$12,$XB$12,WN189:XA189)</f>
        <v>0</v>
      </c>
      <c r="XC189" s="92">
        <f t="shared" ref="XC189:XC202" si="1424">SUMIF($WN$12:$XA$12,$XC$12,WN189:XA189)</f>
        <v>0</v>
      </c>
      <c r="XD189" s="89"/>
      <c r="XE189" s="92"/>
      <c r="XF189" s="92"/>
      <c r="XG189" s="89"/>
      <c r="XH189" s="92"/>
      <c r="XI189" s="92"/>
      <c r="XJ189" s="89"/>
      <c r="XK189" s="87"/>
      <c r="XL189" s="87"/>
      <c r="XM189" s="87"/>
      <c r="XN189" s="87"/>
      <c r="XO189" s="87"/>
      <c r="XP189" s="87"/>
      <c r="XQ189" s="87"/>
      <c r="XR189" s="92">
        <f t="shared" ca="1" si="1417"/>
        <v>0</v>
      </c>
      <c r="XS189" s="89"/>
      <c r="XT189" s="87"/>
      <c r="XU189" s="87"/>
      <c r="XV189" s="87"/>
      <c r="XW189" s="87"/>
      <c r="XX189" s="87"/>
      <c r="XY189" s="87"/>
      <c r="XZ189" s="87"/>
      <c r="YA189" s="92">
        <f t="shared" ca="1" si="1418"/>
        <v>0</v>
      </c>
      <c r="YB189" s="90"/>
      <c r="YC189" s="90"/>
      <c r="YD189" s="90"/>
      <c r="YE189" s="90"/>
      <c r="YF189" s="90"/>
      <c r="YG189" s="90"/>
      <c r="YH189" s="90"/>
      <c r="YI189" s="90"/>
      <c r="YJ189" s="90"/>
      <c r="YK189" s="90"/>
      <c r="YL189" s="90"/>
      <c r="YM189" s="90"/>
      <c r="YN189" s="90"/>
      <c r="YO189" s="90"/>
      <c r="YP189" s="90"/>
      <c r="YQ189" s="90"/>
      <c r="YR189" s="90"/>
      <c r="YS189" s="90"/>
      <c r="YT189" s="90"/>
      <c r="YU189" s="90"/>
      <c r="YV189" s="90"/>
      <c r="YW189" s="90"/>
      <c r="YX189" s="90"/>
      <c r="YY189" s="90"/>
      <c r="YZ189" s="90"/>
      <c r="ZA189" s="90"/>
      <c r="ZB189" s="90"/>
      <c r="ZC189" s="90"/>
      <c r="ZD189" s="90"/>
      <c r="ZE189" s="90"/>
      <c r="ZF189" s="90"/>
      <c r="ZG189" s="90"/>
      <c r="ZH189" s="90"/>
      <c r="ZI189" s="90"/>
      <c r="ZJ189" s="90"/>
      <c r="ZK189" s="90"/>
      <c r="ZL189" s="90"/>
      <c r="ZM189" s="90"/>
      <c r="ZN189" s="90"/>
      <c r="ZO189" s="90"/>
      <c r="ZP189" s="90"/>
      <c r="ZQ189" s="90"/>
      <c r="ZR189" s="90"/>
      <c r="ZS189" s="90"/>
      <c r="ZT189" s="90"/>
      <c r="ZU189" s="90"/>
      <c r="ZV189" s="90"/>
      <c r="ZW189" s="90"/>
      <c r="ZX189" s="90"/>
      <c r="ZY189" s="90"/>
      <c r="ZZ189" s="90"/>
      <c r="AAA189" s="90"/>
      <c r="AAB189" s="90"/>
      <c r="AAC189" s="90"/>
      <c r="AAD189" s="90"/>
      <c r="AAE189" s="90"/>
      <c r="AAF189" s="90"/>
      <c r="AAG189" s="90"/>
      <c r="AAH189" s="90"/>
      <c r="AAI189" s="90"/>
      <c r="AAJ189" s="90"/>
      <c r="AAK189" s="90"/>
      <c r="AAL189" s="90"/>
      <c r="AAM189" s="90"/>
      <c r="AAN189" s="90"/>
      <c r="AAO189" s="90"/>
      <c r="AAP189" s="90"/>
      <c r="AAQ189" s="90"/>
      <c r="AAR189" s="90"/>
      <c r="AAS189" s="90"/>
      <c r="AAT189" s="90"/>
      <c r="AAU189" s="90"/>
      <c r="AAV189" s="90"/>
      <c r="AAW189" s="90"/>
      <c r="AAX189" s="90"/>
      <c r="AAY189" s="90"/>
      <c r="AAZ189" s="90"/>
      <c r="ABA189" s="90"/>
      <c r="ABB189" s="90"/>
      <c r="ABC189" s="90"/>
      <c r="ABD189" s="90"/>
      <c r="ABE189" s="90"/>
      <c r="ABF189" s="90"/>
      <c r="ABG189" s="90"/>
      <c r="ABH189" s="90"/>
      <c r="ABI189" s="90"/>
      <c r="ABJ189" s="90"/>
      <c r="ABK189" s="90"/>
      <c r="ABL189" s="90"/>
      <c r="ABM189" s="90"/>
      <c r="ABN189" s="90"/>
      <c r="ABO189" s="90"/>
      <c r="ABP189" s="90"/>
      <c r="ABQ189" s="90"/>
      <c r="ABR189" s="90"/>
      <c r="ABS189" s="90"/>
      <c r="ABT189" s="90"/>
      <c r="ABU189" s="90"/>
      <c r="ABV189" s="90"/>
      <c r="ABW189" s="90"/>
      <c r="ABX189" s="90"/>
      <c r="ABY189" s="90"/>
      <c r="ABZ189" s="90"/>
      <c r="ACA189" s="90"/>
      <c r="ACB189" s="90"/>
      <c r="ACC189" s="90"/>
      <c r="ACD189" s="90"/>
      <c r="ACE189" s="90"/>
      <c r="ACF189" s="90"/>
      <c r="ACG189" s="90"/>
      <c r="ACH189" s="90"/>
      <c r="ACI189" s="90"/>
      <c r="ACJ189" s="90"/>
      <c r="ACK189" s="90"/>
      <c r="ACL189" s="90"/>
      <c r="ACM189" s="90"/>
      <c r="ACN189" s="90"/>
      <c r="ACO189" s="90"/>
      <c r="ACP189" s="90"/>
      <c r="ACQ189" s="90"/>
      <c r="ACR189" s="90"/>
      <c r="ACS189" s="90"/>
      <c r="ACT189" s="90"/>
      <c r="ACU189" s="90"/>
      <c r="ACV189" s="90"/>
      <c r="ACW189" s="90"/>
      <c r="ACX189" s="90"/>
      <c r="ACY189" s="90"/>
      <c r="ACZ189" s="90"/>
      <c r="ADA189" s="90"/>
      <c r="ADB189" s="90"/>
      <c r="ADC189" s="90"/>
      <c r="ADD189" s="90"/>
      <c r="ADE189" s="90"/>
      <c r="ADF189" s="90"/>
      <c r="ADG189" s="90"/>
      <c r="ADH189" s="90"/>
      <c r="ADI189" s="90"/>
      <c r="ADJ189" s="90"/>
      <c r="ADK189" s="90"/>
      <c r="ADL189" s="90"/>
      <c r="ADM189" s="90"/>
      <c r="ADN189" s="90"/>
      <c r="ADO189" s="90"/>
      <c r="ADP189" s="90"/>
      <c r="ADQ189" s="90"/>
      <c r="ADR189" s="90"/>
      <c r="ADS189" s="90"/>
      <c r="ADT189" s="90"/>
      <c r="ADU189" s="90"/>
      <c r="ADV189" s="90"/>
      <c r="ADW189" s="90"/>
      <c r="ADX189" s="90"/>
      <c r="ADY189" s="90"/>
      <c r="ADZ189" s="90"/>
      <c r="AEA189" s="90"/>
      <c r="AEB189" s="90"/>
      <c r="AEC189" s="90"/>
      <c r="AED189" s="90"/>
      <c r="AEE189" s="90"/>
      <c r="AEF189" s="90"/>
      <c r="AEG189" s="90"/>
      <c r="AEH189" s="90"/>
      <c r="AEI189" s="90"/>
      <c r="AEJ189" s="90"/>
      <c r="AEK189" s="90"/>
      <c r="AEL189" s="90"/>
      <c r="AEM189" s="90"/>
      <c r="AEN189" s="90"/>
      <c r="AEO189" s="90"/>
      <c r="AEP189" s="90"/>
      <c r="AEQ189" s="90"/>
      <c r="AER189" s="90"/>
      <c r="AES189" s="90"/>
      <c r="AET189" s="90"/>
      <c r="AEU189" s="90"/>
      <c r="AEV189" s="90"/>
      <c r="AEW189" s="90"/>
      <c r="AEX189" s="90"/>
      <c r="AEY189" s="90"/>
      <c r="AEZ189" s="90"/>
      <c r="AFA189" s="90"/>
      <c r="AFB189" s="90"/>
      <c r="AFC189" s="90"/>
      <c r="AFD189" s="90"/>
      <c r="AFE189" s="90"/>
      <c r="AFF189" s="90"/>
      <c r="AFG189" s="90"/>
      <c r="AFH189" s="90"/>
      <c r="AFI189" s="90"/>
      <c r="AFJ189" s="90"/>
      <c r="AFK189" s="90"/>
      <c r="AFL189" s="90"/>
      <c r="AFM189" s="90"/>
      <c r="AFN189" s="90"/>
      <c r="AFO189" s="90"/>
      <c r="AFP189" s="90"/>
      <c r="AFQ189" s="90"/>
      <c r="AFR189" s="90"/>
      <c r="AFS189" s="90"/>
      <c r="AFT189" s="90"/>
      <c r="AFU189" s="90"/>
      <c r="AFV189" s="90"/>
      <c r="AFW189" s="90"/>
      <c r="AFX189" s="90"/>
      <c r="AFY189" s="90"/>
      <c r="AFZ189" s="90"/>
      <c r="AGA189" s="90"/>
      <c r="AGB189" s="90"/>
      <c r="AGC189" s="90"/>
      <c r="AGD189" s="90"/>
      <c r="AGE189" s="90"/>
      <c r="AGF189" s="90"/>
      <c r="AGG189" s="90"/>
      <c r="AGH189" s="90"/>
      <c r="AGI189" s="90"/>
      <c r="AGJ189" s="90"/>
      <c r="AGK189" s="90"/>
      <c r="AGL189" s="90"/>
      <c r="AGM189" s="90"/>
      <c r="AGN189" s="90"/>
      <c r="AGO189" s="90"/>
      <c r="AGP189" s="90"/>
      <c r="AGQ189" s="90"/>
      <c r="AGR189" s="90"/>
      <c r="AGS189" s="90"/>
      <c r="AGT189" s="90"/>
      <c r="AGU189" s="90"/>
      <c r="AGV189" s="90"/>
      <c r="AGW189" s="90"/>
      <c r="AGX189" s="90"/>
      <c r="AGY189" s="90"/>
      <c r="AGZ189" s="90"/>
      <c r="AHA189" s="90"/>
      <c r="AHB189" s="90"/>
      <c r="AHC189" s="90"/>
      <c r="AHD189" s="90"/>
      <c r="AHE189" s="90"/>
      <c r="AHF189" s="90"/>
      <c r="AHG189" s="90"/>
      <c r="AHH189" s="90"/>
      <c r="AHI189" s="90"/>
      <c r="AHJ189" s="90"/>
      <c r="AHK189" s="90"/>
      <c r="AHL189" s="90"/>
      <c r="AHM189" s="90"/>
      <c r="AHN189" s="90"/>
      <c r="AHO189" s="90"/>
      <c r="AHP189" s="90"/>
      <c r="AHQ189" s="90"/>
      <c r="AHR189" s="90"/>
      <c r="AHS189" s="90"/>
      <c r="AHT189" s="90"/>
      <c r="AHU189" s="90"/>
      <c r="AHV189" s="90"/>
      <c r="AHW189" s="90"/>
      <c r="AHX189" s="90"/>
      <c r="AHY189" s="90"/>
      <c r="AHZ189" s="90"/>
      <c r="AIA189" s="90"/>
      <c r="AIB189" s="90"/>
      <c r="AIC189" s="90"/>
      <c r="AID189" s="90"/>
      <c r="AIE189" s="90"/>
      <c r="AIF189" s="90"/>
      <c r="AIG189" s="90"/>
      <c r="AIH189" s="90"/>
      <c r="AII189" s="90"/>
      <c r="AIJ189" s="90"/>
      <c r="AIK189" s="90"/>
      <c r="AIL189" s="90"/>
      <c r="AIM189" s="90"/>
      <c r="AIN189" s="90"/>
      <c r="AIO189" s="90"/>
      <c r="AIP189" s="90"/>
      <c r="AIQ189" s="90"/>
      <c r="AIR189" s="90"/>
      <c r="AIS189" s="90"/>
      <c r="AIT189" s="90"/>
      <c r="AIU189" s="90"/>
      <c r="AIV189" s="90"/>
      <c r="AIW189" s="90"/>
      <c r="AIX189" s="90"/>
      <c r="AIY189" s="90"/>
      <c r="AIZ189" s="90"/>
      <c r="AJA189" s="90"/>
      <c r="AJB189" s="90"/>
      <c r="AJC189" s="90"/>
      <c r="AJD189" s="90"/>
      <c r="AJE189" s="90"/>
      <c r="AJF189" s="90"/>
      <c r="AJG189" s="90"/>
      <c r="AJH189" s="90"/>
      <c r="AJI189" s="90"/>
      <c r="AJJ189" s="90"/>
      <c r="AJK189" s="90"/>
      <c r="AJL189" s="90"/>
      <c r="AJM189" s="90"/>
      <c r="AJN189" s="90"/>
      <c r="AJO189" s="90"/>
      <c r="AJP189" s="90"/>
      <c r="AJQ189" s="90"/>
      <c r="AJR189" s="90"/>
      <c r="AJS189" s="90"/>
      <c r="AJT189" s="90"/>
      <c r="AJU189" s="90"/>
      <c r="AJV189" s="90"/>
      <c r="AJW189" s="90"/>
      <c r="AJX189" s="90"/>
      <c r="AJY189" s="90"/>
      <c r="AJZ189" s="90"/>
      <c r="AKA189" s="90"/>
      <c r="AKB189" s="90"/>
      <c r="AKC189" s="90"/>
      <c r="AKD189" s="90"/>
      <c r="AKE189" s="90"/>
      <c r="AKF189" s="90"/>
      <c r="AKG189" s="90"/>
      <c r="AKH189" s="90"/>
      <c r="AKI189" s="90"/>
      <c r="AKJ189" s="90"/>
      <c r="AKK189" s="90"/>
      <c r="AKL189" s="90"/>
      <c r="AKM189" s="90"/>
      <c r="AKN189" s="90"/>
      <c r="AKO189" s="90"/>
      <c r="AKP189" s="90"/>
      <c r="AKQ189" s="90"/>
      <c r="AKR189" s="90"/>
      <c r="AKS189" s="90"/>
      <c r="AKT189" s="90"/>
      <c r="AKU189" s="90"/>
      <c r="AKV189" s="90"/>
      <c r="AKW189" s="90"/>
      <c r="AKX189" s="90"/>
      <c r="AKY189" s="90"/>
      <c r="AKZ189" s="90"/>
      <c r="ALA189" s="90"/>
      <c r="ALB189" s="90"/>
      <c r="ALC189" s="90"/>
      <c r="ALD189" s="90"/>
      <c r="ALE189" s="90"/>
      <c r="ALF189" s="90"/>
      <c r="ALG189" s="90"/>
      <c r="ALH189" s="90"/>
      <c r="ALI189" s="90"/>
      <c r="ALJ189" s="90"/>
      <c r="ALK189" s="90"/>
      <c r="ALL189" s="90"/>
      <c r="ALM189" s="90"/>
      <c r="ALN189" s="90"/>
      <c r="ALO189" s="90"/>
      <c r="ALP189" s="90"/>
      <c r="ALQ189" s="90"/>
      <c r="ALR189" s="90"/>
      <c r="ALS189" s="90"/>
      <c r="ALT189" s="90"/>
      <c r="ALU189" s="90"/>
      <c r="ALV189" s="90"/>
      <c r="ALW189" s="90"/>
      <c r="ALX189" s="90"/>
      <c r="ALY189" s="90"/>
      <c r="ALZ189" s="90"/>
      <c r="AMA189" s="90"/>
      <c r="AMB189" s="90"/>
      <c r="AMC189" s="90"/>
    </row>
    <row r="190" spans="1:1017" ht="16" thickBot="1">
      <c r="A190" s="98" t="s">
        <v>49</v>
      </c>
      <c r="B190" s="90" t="str">
        <f t="shared" si="1324"/>
        <v>Udang Putih</v>
      </c>
      <c r="E190" s="98">
        <v>111450</v>
      </c>
      <c r="F190" s="98">
        <v>4458000</v>
      </c>
      <c r="Q190" s="91">
        <f t="shared" si="1325"/>
        <v>111450</v>
      </c>
      <c r="R190" s="91">
        <f t="shared" si="1326"/>
        <v>4458000</v>
      </c>
      <c r="AG190" s="91">
        <f t="shared" si="1327"/>
        <v>0</v>
      </c>
      <c r="AH190" s="91">
        <f t="shared" si="1328"/>
        <v>0</v>
      </c>
      <c r="AW190" s="91">
        <f t="shared" si="1329"/>
        <v>0</v>
      </c>
      <c r="AX190" s="91">
        <f t="shared" si="1330"/>
        <v>0</v>
      </c>
      <c r="BM190" s="91">
        <f t="shared" si="1331"/>
        <v>0</v>
      </c>
      <c r="BN190" s="91">
        <f t="shared" si="1332"/>
        <v>0</v>
      </c>
      <c r="CC190" s="91">
        <f t="shared" si="1333"/>
        <v>0</v>
      </c>
      <c r="CD190" s="91">
        <f t="shared" si="1334"/>
        <v>0</v>
      </c>
      <c r="CS190" s="91">
        <f t="shared" si="1419"/>
        <v>0</v>
      </c>
      <c r="CT190" s="91">
        <f t="shared" si="1420"/>
        <v>0</v>
      </c>
      <c r="DI190" s="91">
        <f t="shared" si="1337"/>
        <v>0</v>
      </c>
      <c r="DJ190" s="91">
        <f t="shared" si="1338"/>
        <v>0</v>
      </c>
      <c r="DY190" s="91">
        <f t="shared" si="1339"/>
        <v>0</v>
      </c>
      <c r="DZ190" s="91">
        <f t="shared" si="1340"/>
        <v>0</v>
      </c>
      <c r="EO190" s="91">
        <f t="shared" si="1341"/>
        <v>0</v>
      </c>
      <c r="EP190" s="91">
        <f t="shared" si="1342"/>
        <v>0</v>
      </c>
      <c r="FE190" s="91">
        <f t="shared" si="1343"/>
        <v>0</v>
      </c>
      <c r="FF190" s="91">
        <f t="shared" si="1344"/>
        <v>0</v>
      </c>
      <c r="FU190" s="91">
        <f t="shared" si="1345"/>
        <v>0</v>
      </c>
      <c r="FV190" s="91">
        <f t="shared" si="1346"/>
        <v>0</v>
      </c>
      <c r="GK190" s="91">
        <f t="shared" si="1347"/>
        <v>0</v>
      </c>
      <c r="GL190" s="91">
        <f t="shared" si="1348"/>
        <v>0</v>
      </c>
      <c r="HA190" s="91">
        <f t="shared" si="1349"/>
        <v>0</v>
      </c>
      <c r="HB190" s="91">
        <f t="shared" si="1350"/>
        <v>0</v>
      </c>
      <c r="HQ190" s="91">
        <f t="shared" si="1351"/>
        <v>0</v>
      </c>
      <c r="HR190" s="91">
        <f t="shared" si="1352"/>
        <v>0</v>
      </c>
      <c r="IG190" s="91">
        <f t="shared" si="1353"/>
        <v>0</v>
      </c>
      <c r="IH190" s="91">
        <f t="shared" si="1354"/>
        <v>0</v>
      </c>
      <c r="IW190" s="91">
        <f t="shared" si="1355"/>
        <v>0</v>
      </c>
      <c r="IX190" s="91">
        <f t="shared" si="1356"/>
        <v>0</v>
      </c>
      <c r="JM190" s="91">
        <f t="shared" si="1357"/>
        <v>0</v>
      </c>
      <c r="JN190" s="91">
        <f t="shared" si="1358"/>
        <v>0</v>
      </c>
      <c r="KC190" s="91">
        <f t="shared" si="1359"/>
        <v>0</v>
      </c>
      <c r="KD190" s="91">
        <f t="shared" si="1360"/>
        <v>0</v>
      </c>
      <c r="KS190" s="91">
        <f t="shared" si="1361"/>
        <v>0</v>
      </c>
      <c r="KT190" s="91">
        <f t="shared" si="1362"/>
        <v>0</v>
      </c>
      <c r="LI190" s="91">
        <f t="shared" si="1363"/>
        <v>0</v>
      </c>
      <c r="LJ190" s="91">
        <f t="shared" si="1364"/>
        <v>0</v>
      </c>
      <c r="LY190" s="91">
        <f t="shared" si="1365"/>
        <v>0</v>
      </c>
      <c r="LZ190" s="91">
        <f t="shared" si="1366"/>
        <v>0</v>
      </c>
      <c r="MC190" s="98">
        <v>12000</v>
      </c>
      <c r="MD190" s="98">
        <v>480000</v>
      </c>
      <c r="MO190" s="91">
        <f t="shared" si="1367"/>
        <v>12000</v>
      </c>
      <c r="MP190" s="91">
        <f t="shared" si="1368"/>
        <v>480000</v>
      </c>
      <c r="NE190" s="91">
        <f t="shared" si="1369"/>
        <v>0</v>
      </c>
      <c r="NF190" s="91">
        <f t="shared" si="1370"/>
        <v>0</v>
      </c>
      <c r="NI190" s="98">
        <v>100500</v>
      </c>
      <c r="NJ190" s="98">
        <v>4522500</v>
      </c>
      <c r="NU190" s="91">
        <f t="shared" si="1371"/>
        <v>100500</v>
      </c>
      <c r="NV190" s="91">
        <f t="shared" si="1372"/>
        <v>4522500</v>
      </c>
      <c r="OK190" s="91">
        <f t="shared" si="1373"/>
        <v>0</v>
      </c>
      <c r="OL190" s="91">
        <f t="shared" si="1374"/>
        <v>0</v>
      </c>
      <c r="PA190" s="91">
        <f t="shared" si="1375"/>
        <v>0</v>
      </c>
      <c r="PB190" s="91">
        <f t="shared" si="1376"/>
        <v>0</v>
      </c>
      <c r="PQ190" s="91">
        <f t="shared" si="1377"/>
        <v>0</v>
      </c>
      <c r="PR190" s="91">
        <f t="shared" si="1378"/>
        <v>0</v>
      </c>
      <c r="QG190" s="91">
        <f t="shared" si="1379"/>
        <v>0</v>
      </c>
      <c r="QH190" s="91">
        <f t="shared" si="1380"/>
        <v>0</v>
      </c>
      <c r="QW190" s="91">
        <f t="shared" si="1381"/>
        <v>0</v>
      </c>
      <c r="QX190" s="91">
        <f t="shared" si="1382"/>
        <v>0</v>
      </c>
      <c r="RM190" s="91">
        <f t="shared" si="1383"/>
        <v>0</v>
      </c>
      <c r="RN190" s="91">
        <f t="shared" si="1384"/>
        <v>0</v>
      </c>
      <c r="SC190" s="91">
        <f t="shared" si="1385"/>
        <v>0</v>
      </c>
      <c r="SD190" s="91">
        <f t="shared" si="1386"/>
        <v>0</v>
      </c>
      <c r="SS190" s="91">
        <f t="shared" si="1387"/>
        <v>0</v>
      </c>
      <c r="ST190" s="91">
        <f t="shared" si="1388"/>
        <v>0</v>
      </c>
      <c r="TI190" s="91">
        <f t="shared" si="1389"/>
        <v>0</v>
      </c>
      <c r="TJ190" s="91">
        <f t="shared" si="1390"/>
        <v>0</v>
      </c>
      <c r="TY190" s="91">
        <f t="shared" si="1391"/>
        <v>0</v>
      </c>
      <c r="TZ190" s="91">
        <f t="shared" si="1392"/>
        <v>0</v>
      </c>
      <c r="UO190" s="91">
        <f t="shared" si="1393"/>
        <v>0</v>
      </c>
      <c r="UP190" s="91">
        <f t="shared" si="1394"/>
        <v>0</v>
      </c>
      <c r="VE190" s="91">
        <f t="shared" si="1395"/>
        <v>0</v>
      </c>
      <c r="VF190" s="91">
        <f t="shared" si="1396"/>
        <v>0</v>
      </c>
      <c r="VI190" s="98">
        <v>255</v>
      </c>
      <c r="VJ190" s="98">
        <v>12750</v>
      </c>
      <c r="VU190" s="91">
        <f t="shared" si="1397"/>
        <v>255</v>
      </c>
      <c r="VV190" s="91">
        <f t="shared" si="1398"/>
        <v>12750</v>
      </c>
      <c r="WK190" s="91">
        <f t="shared" si="1399"/>
        <v>0</v>
      </c>
      <c r="WL190" s="91">
        <f t="shared" si="1400"/>
        <v>0</v>
      </c>
      <c r="WM190" s="89"/>
      <c r="WN190" s="87">
        <f t="shared" si="1401"/>
        <v>0</v>
      </c>
      <c r="WO190" s="87">
        <f t="shared" si="1402"/>
        <v>0</v>
      </c>
      <c r="WP190" s="87">
        <f t="shared" si="1403"/>
        <v>224205</v>
      </c>
      <c r="WQ190" s="87">
        <f t="shared" si="1404"/>
        <v>9473250</v>
      </c>
      <c r="WR190" s="87">
        <f t="shared" si="1405"/>
        <v>0</v>
      </c>
      <c r="WS190" s="87">
        <f t="shared" si="1406"/>
        <v>0</v>
      </c>
      <c r="WT190" s="87">
        <f t="shared" si="1407"/>
        <v>0</v>
      </c>
      <c r="WU190" s="87">
        <f t="shared" si="1408"/>
        <v>0</v>
      </c>
      <c r="WV190" s="87">
        <f t="shared" si="1409"/>
        <v>0</v>
      </c>
      <c r="WW190" s="87">
        <f t="shared" si="1410"/>
        <v>0</v>
      </c>
      <c r="WX190" s="87">
        <f t="shared" si="1411"/>
        <v>0</v>
      </c>
      <c r="WY190" s="87">
        <f t="shared" si="1412"/>
        <v>0</v>
      </c>
      <c r="WZ190" s="87">
        <f t="shared" si="1421"/>
        <v>0</v>
      </c>
      <c r="XA190" s="87">
        <f t="shared" si="1422"/>
        <v>0</v>
      </c>
      <c r="XB190" s="92">
        <f t="shared" si="1423"/>
        <v>224205</v>
      </c>
      <c r="XC190" s="92">
        <f t="shared" si="1424"/>
        <v>9473250</v>
      </c>
      <c r="XD190" s="89"/>
      <c r="XE190" s="92"/>
      <c r="XF190" s="92"/>
      <c r="XG190" s="89"/>
      <c r="XH190" s="92"/>
      <c r="XI190" s="92"/>
      <c r="XJ190" s="89"/>
      <c r="XK190" s="87"/>
      <c r="XL190" s="87"/>
      <c r="XM190" s="87"/>
      <c r="XN190" s="87"/>
      <c r="XO190" s="87"/>
      <c r="XP190" s="87"/>
      <c r="XQ190" s="87"/>
      <c r="XR190" s="92">
        <f t="shared" ca="1" si="1417"/>
        <v>0</v>
      </c>
      <c r="XS190" s="89"/>
      <c r="XT190" s="87"/>
      <c r="XU190" s="87"/>
      <c r="XV190" s="87"/>
      <c r="XW190" s="87"/>
      <c r="XX190" s="87"/>
      <c r="XY190" s="87"/>
      <c r="XZ190" s="87"/>
      <c r="YA190" s="92">
        <f t="shared" ca="1" si="1418"/>
        <v>0</v>
      </c>
      <c r="YB190" s="90"/>
      <c r="YC190" s="90"/>
      <c r="YD190" s="90"/>
      <c r="YE190" s="90"/>
      <c r="YF190" s="90"/>
      <c r="YG190" s="90"/>
      <c r="YH190" s="90"/>
      <c r="YI190" s="90"/>
      <c r="YJ190" s="90"/>
      <c r="YK190" s="90"/>
      <c r="YL190" s="90"/>
      <c r="YM190" s="90"/>
      <c r="YN190" s="90"/>
      <c r="YO190" s="90"/>
      <c r="YP190" s="90"/>
      <c r="YQ190" s="90"/>
      <c r="YR190" s="90"/>
      <c r="YS190" s="90"/>
      <c r="YT190" s="90"/>
      <c r="YU190" s="90"/>
      <c r="YV190" s="90"/>
      <c r="YW190" s="90"/>
      <c r="YX190" s="90"/>
      <c r="YY190" s="90"/>
      <c r="YZ190" s="90"/>
      <c r="ZA190" s="90"/>
      <c r="ZB190" s="90"/>
      <c r="ZC190" s="90"/>
      <c r="ZD190" s="90"/>
      <c r="ZE190" s="90"/>
      <c r="ZF190" s="90"/>
      <c r="ZG190" s="90"/>
      <c r="ZH190" s="90"/>
      <c r="ZI190" s="90"/>
      <c r="ZJ190" s="90"/>
      <c r="ZK190" s="90"/>
      <c r="ZL190" s="90"/>
      <c r="ZM190" s="90"/>
      <c r="ZN190" s="90"/>
      <c r="ZO190" s="90"/>
      <c r="ZP190" s="90"/>
      <c r="ZQ190" s="90"/>
      <c r="ZR190" s="90"/>
      <c r="ZS190" s="90"/>
      <c r="ZT190" s="90"/>
      <c r="ZU190" s="90"/>
      <c r="ZV190" s="90"/>
      <c r="ZW190" s="90"/>
      <c r="ZX190" s="90"/>
      <c r="ZY190" s="90"/>
      <c r="ZZ190" s="90"/>
      <c r="AAA190" s="90"/>
      <c r="AAB190" s="90"/>
      <c r="AAC190" s="90"/>
      <c r="AAD190" s="90"/>
      <c r="AAE190" s="90"/>
      <c r="AAF190" s="90"/>
      <c r="AAG190" s="90"/>
      <c r="AAH190" s="90"/>
      <c r="AAI190" s="90"/>
      <c r="AAJ190" s="90"/>
      <c r="AAK190" s="90"/>
      <c r="AAL190" s="90"/>
      <c r="AAM190" s="90"/>
      <c r="AAN190" s="90"/>
      <c r="AAO190" s="90"/>
      <c r="AAP190" s="90"/>
      <c r="AAQ190" s="90"/>
      <c r="AAR190" s="90"/>
      <c r="AAS190" s="90"/>
      <c r="AAT190" s="90"/>
      <c r="AAU190" s="90"/>
      <c r="AAV190" s="90"/>
      <c r="AAW190" s="90"/>
      <c r="AAX190" s="90"/>
      <c r="AAY190" s="90"/>
      <c r="AAZ190" s="90"/>
      <c r="ABA190" s="90"/>
      <c r="ABB190" s="90"/>
      <c r="ABC190" s="90"/>
      <c r="ABD190" s="90"/>
      <c r="ABE190" s="90"/>
      <c r="ABF190" s="90"/>
      <c r="ABG190" s="90"/>
      <c r="ABH190" s="90"/>
      <c r="ABI190" s="90"/>
      <c r="ABJ190" s="90"/>
      <c r="ABK190" s="90"/>
      <c r="ABL190" s="90"/>
      <c r="ABM190" s="90"/>
      <c r="ABN190" s="90"/>
      <c r="ABO190" s="90"/>
      <c r="ABP190" s="90"/>
      <c r="ABQ190" s="90"/>
      <c r="ABR190" s="90"/>
      <c r="ABS190" s="90"/>
      <c r="ABT190" s="90"/>
      <c r="ABU190" s="90"/>
      <c r="ABV190" s="90"/>
      <c r="ABW190" s="90"/>
      <c r="ABX190" s="90"/>
      <c r="ABY190" s="90"/>
      <c r="ABZ190" s="90"/>
      <c r="ACA190" s="90"/>
      <c r="ACB190" s="90"/>
      <c r="ACC190" s="90"/>
      <c r="ACD190" s="90"/>
      <c r="ACE190" s="90"/>
      <c r="ACF190" s="90"/>
      <c r="ACG190" s="90"/>
      <c r="ACH190" s="90"/>
      <c r="ACI190" s="90"/>
      <c r="ACJ190" s="90"/>
      <c r="ACK190" s="90"/>
      <c r="ACL190" s="90"/>
      <c r="ACM190" s="90"/>
      <c r="ACN190" s="90"/>
      <c r="ACO190" s="90"/>
      <c r="ACP190" s="90"/>
      <c r="ACQ190" s="90"/>
      <c r="ACR190" s="90"/>
      <c r="ACS190" s="90"/>
      <c r="ACT190" s="90"/>
      <c r="ACU190" s="90"/>
      <c r="ACV190" s="90"/>
      <c r="ACW190" s="90"/>
      <c r="ACX190" s="90"/>
      <c r="ACY190" s="90"/>
      <c r="ACZ190" s="90"/>
      <c r="ADA190" s="90"/>
      <c r="ADB190" s="90"/>
      <c r="ADC190" s="90"/>
      <c r="ADD190" s="90"/>
      <c r="ADE190" s="90"/>
      <c r="ADF190" s="90"/>
      <c r="ADG190" s="90"/>
      <c r="ADH190" s="90"/>
      <c r="ADI190" s="90"/>
      <c r="ADJ190" s="90"/>
      <c r="ADK190" s="90"/>
      <c r="ADL190" s="90"/>
      <c r="ADM190" s="90"/>
      <c r="ADN190" s="90"/>
      <c r="ADO190" s="90"/>
      <c r="ADP190" s="90"/>
      <c r="ADQ190" s="90"/>
      <c r="ADR190" s="90"/>
      <c r="ADS190" s="90"/>
      <c r="ADT190" s="90"/>
      <c r="ADU190" s="90"/>
      <c r="ADV190" s="90"/>
      <c r="ADW190" s="90"/>
      <c r="ADX190" s="90"/>
      <c r="ADY190" s="90"/>
      <c r="ADZ190" s="90"/>
      <c r="AEA190" s="90"/>
      <c r="AEB190" s="90"/>
      <c r="AEC190" s="90"/>
      <c r="AED190" s="90"/>
      <c r="AEE190" s="90"/>
      <c r="AEF190" s="90"/>
      <c r="AEG190" s="90"/>
      <c r="AEH190" s="90"/>
      <c r="AEI190" s="90"/>
      <c r="AEJ190" s="90"/>
      <c r="AEK190" s="90"/>
      <c r="AEL190" s="90"/>
      <c r="AEM190" s="90"/>
      <c r="AEN190" s="90"/>
      <c r="AEO190" s="90"/>
      <c r="AEP190" s="90"/>
      <c r="AEQ190" s="90"/>
      <c r="AER190" s="90"/>
      <c r="AES190" s="90"/>
      <c r="AET190" s="90"/>
      <c r="AEU190" s="90"/>
      <c r="AEV190" s="90"/>
      <c r="AEW190" s="90"/>
      <c r="AEX190" s="90"/>
      <c r="AEY190" s="90"/>
      <c r="AEZ190" s="90"/>
      <c r="AFA190" s="90"/>
      <c r="AFB190" s="90"/>
      <c r="AFC190" s="90"/>
      <c r="AFD190" s="90"/>
      <c r="AFE190" s="90"/>
      <c r="AFF190" s="90"/>
      <c r="AFG190" s="90"/>
      <c r="AFH190" s="90"/>
      <c r="AFI190" s="90"/>
      <c r="AFJ190" s="90"/>
      <c r="AFK190" s="90"/>
      <c r="AFL190" s="90"/>
      <c r="AFM190" s="90"/>
      <c r="AFN190" s="90"/>
      <c r="AFO190" s="90"/>
      <c r="AFP190" s="90"/>
      <c r="AFQ190" s="90"/>
      <c r="AFR190" s="90"/>
      <c r="AFS190" s="90"/>
      <c r="AFT190" s="90"/>
      <c r="AFU190" s="90"/>
      <c r="AFV190" s="90"/>
      <c r="AFW190" s="90"/>
      <c r="AFX190" s="90"/>
      <c r="AFY190" s="90"/>
      <c r="AFZ190" s="90"/>
      <c r="AGA190" s="90"/>
      <c r="AGB190" s="90"/>
      <c r="AGC190" s="90"/>
      <c r="AGD190" s="90"/>
      <c r="AGE190" s="90"/>
      <c r="AGF190" s="90"/>
      <c r="AGG190" s="90"/>
      <c r="AGH190" s="90"/>
      <c r="AGI190" s="90"/>
      <c r="AGJ190" s="90"/>
      <c r="AGK190" s="90"/>
      <c r="AGL190" s="90"/>
      <c r="AGM190" s="90"/>
      <c r="AGN190" s="90"/>
      <c r="AGO190" s="90"/>
      <c r="AGP190" s="90"/>
      <c r="AGQ190" s="90"/>
      <c r="AGR190" s="90"/>
      <c r="AGS190" s="90"/>
      <c r="AGT190" s="90"/>
      <c r="AGU190" s="90"/>
      <c r="AGV190" s="90"/>
      <c r="AGW190" s="90"/>
      <c r="AGX190" s="90"/>
      <c r="AGY190" s="90"/>
      <c r="AGZ190" s="90"/>
      <c r="AHA190" s="90"/>
      <c r="AHB190" s="90"/>
      <c r="AHC190" s="90"/>
      <c r="AHD190" s="90"/>
      <c r="AHE190" s="90"/>
      <c r="AHF190" s="90"/>
      <c r="AHG190" s="90"/>
      <c r="AHH190" s="90"/>
      <c r="AHI190" s="90"/>
      <c r="AHJ190" s="90"/>
      <c r="AHK190" s="90"/>
      <c r="AHL190" s="90"/>
      <c r="AHM190" s="90"/>
      <c r="AHN190" s="90"/>
      <c r="AHO190" s="90"/>
      <c r="AHP190" s="90"/>
      <c r="AHQ190" s="90"/>
      <c r="AHR190" s="90"/>
      <c r="AHS190" s="90"/>
      <c r="AHT190" s="90"/>
      <c r="AHU190" s="90"/>
      <c r="AHV190" s="90"/>
      <c r="AHW190" s="90"/>
      <c r="AHX190" s="90"/>
      <c r="AHY190" s="90"/>
      <c r="AHZ190" s="90"/>
      <c r="AIA190" s="90"/>
      <c r="AIB190" s="90"/>
      <c r="AIC190" s="90"/>
      <c r="AID190" s="90"/>
      <c r="AIE190" s="90"/>
      <c r="AIF190" s="90"/>
      <c r="AIG190" s="90"/>
      <c r="AIH190" s="90"/>
      <c r="AII190" s="90"/>
      <c r="AIJ190" s="90"/>
      <c r="AIK190" s="90"/>
      <c r="AIL190" s="90"/>
      <c r="AIM190" s="90"/>
      <c r="AIN190" s="90"/>
      <c r="AIO190" s="90"/>
      <c r="AIP190" s="90"/>
      <c r="AIQ190" s="90"/>
      <c r="AIR190" s="90"/>
      <c r="AIS190" s="90"/>
      <c r="AIT190" s="90"/>
      <c r="AIU190" s="90"/>
      <c r="AIV190" s="90"/>
      <c r="AIW190" s="90"/>
      <c r="AIX190" s="90"/>
      <c r="AIY190" s="90"/>
      <c r="AIZ190" s="90"/>
      <c r="AJA190" s="90"/>
      <c r="AJB190" s="90"/>
      <c r="AJC190" s="90"/>
      <c r="AJD190" s="90"/>
      <c r="AJE190" s="90"/>
      <c r="AJF190" s="90"/>
      <c r="AJG190" s="90"/>
      <c r="AJH190" s="90"/>
      <c r="AJI190" s="90"/>
      <c r="AJJ190" s="90"/>
      <c r="AJK190" s="90"/>
      <c r="AJL190" s="90"/>
      <c r="AJM190" s="90"/>
      <c r="AJN190" s="90"/>
      <c r="AJO190" s="90"/>
      <c r="AJP190" s="90"/>
      <c r="AJQ190" s="90"/>
      <c r="AJR190" s="90"/>
      <c r="AJS190" s="90"/>
      <c r="AJT190" s="90"/>
      <c r="AJU190" s="90"/>
      <c r="AJV190" s="90"/>
      <c r="AJW190" s="90"/>
      <c r="AJX190" s="90"/>
      <c r="AJY190" s="90"/>
      <c r="AJZ190" s="90"/>
      <c r="AKA190" s="90"/>
      <c r="AKB190" s="90"/>
      <c r="AKC190" s="90"/>
      <c r="AKD190" s="90"/>
      <c r="AKE190" s="90"/>
      <c r="AKF190" s="90"/>
      <c r="AKG190" s="90"/>
      <c r="AKH190" s="90"/>
      <c r="AKI190" s="90"/>
      <c r="AKJ190" s="90"/>
      <c r="AKK190" s="90"/>
      <c r="AKL190" s="90"/>
      <c r="AKM190" s="90"/>
      <c r="AKN190" s="90"/>
      <c r="AKO190" s="90"/>
      <c r="AKP190" s="90"/>
      <c r="AKQ190" s="90"/>
      <c r="AKR190" s="90"/>
      <c r="AKS190" s="90"/>
      <c r="AKT190" s="90"/>
      <c r="AKU190" s="90"/>
      <c r="AKV190" s="90"/>
      <c r="AKW190" s="90"/>
      <c r="AKX190" s="90"/>
      <c r="AKY190" s="90"/>
      <c r="AKZ190" s="90"/>
      <c r="ALA190" s="90"/>
      <c r="ALB190" s="90"/>
      <c r="ALC190" s="90"/>
      <c r="ALD190" s="90"/>
      <c r="ALE190" s="90"/>
      <c r="ALF190" s="90"/>
      <c r="ALG190" s="90"/>
      <c r="ALH190" s="90"/>
      <c r="ALI190" s="90"/>
      <c r="ALJ190" s="90"/>
      <c r="ALK190" s="90"/>
      <c r="ALL190" s="90"/>
      <c r="ALM190" s="90"/>
      <c r="ALN190" s="90"/>
      <c r="ALO190" s="90"/>
      <c r="ALP190" s="90"/>
      <c r="ALQ190" s="90"/>
      <c r="ALR190" s="90"/>
      <c r="ALS190" s="90"/>
      <c r="ALT190" s="90"/>
      <c r="ALU190" s="90"/>
      <c r="ALV190" s="90"/>
      <c r="ALW190" s="90"/>
      <c r="ALX190" s="90"/>
      <c r="ALY190" s="90"/>
      <c r="ALZ190" s="90"/>
      <c r="AMA190" s="90"/>
      <c r="AMB190" s="90"/>
      <c r="AMC190" s="90"/>
    </row>
    <row r="191" spans="1:1017" ht="16" thickBot="1">
      <c r="A191" s="98" t="s">
        <v>49</v>
      </c>
      <c r="B191" s="90" t="str">
        <f t="shared" si="1324"/>
        <v xml:space="preserve">Udang Vaname </v>
      </c>
      <c r="E191" s="98">
        <v>3835</v>
      </c>
      <c r="F191" s="98">
        <v>208210</v>
      </c>
      <c r="Q191" s="91">
        <f t="shared" si="1325"/>
        <v>3835</v>
      </c>
      <c r="R191" s="91">
        <f t="shared" si="1326"/>
        <v>208210</v>
      </c>
      <c r="U191" s="98">
        <v>1666880</v>
      </c>
      <c r="V191" s="98">
        <v>86677760</v>
      </c>
      <c r="AG191" s="91">
        <f t="shared" si="1327"/>
        <v>1666880</v>
      </c>
      <c r="AH191" s="91">
        <f t="shared" si="1328"/>
        <v>86677760</v>
      </c>
      <c r="AK191" s="98">
        <v>36700</v>
      </c>
      <c r="AL191" s="98">
        <v>2385500</v>
      </c>
      <c r="AW191" s="91">
        <f t="shared" si="1329"/>
        <v>36700</v>
      </c>
      <c r="AX191" s="91">
        <f t="shared" si="1330"/>
        <v>2385500</v>
      </c>
      <c r="BM191" s="91">
        <f t="shared" si="1331"/>
        <v>0</v>
      </c>
      <c r="BN191" s="91">
        <f t="shared" si="1332"/>
        <v>0</v>
      </c>
      <c r="CC191" s="91">
        <f t="shared" si="1333"/>
        <v>0</v>
      </c>
      <c r="CD191" s="91">
        <f t="shared" si="1334"/>
        <v>0</v>
      </c>
      <c r="CG191" s="98">
        <v>1452136</v>
      </c>
      <c r="CH191" s="98">
        <v>72606806</v>
      </c>
      <c r="CS191" s="91">
        <f t="shared" si="1419"/>
        <v>1452136</v>
      </c>
      <c r="CT191" s="91">
        <f t="shared" si="1420"/>
        <v>72606806</v>
      </c>
      <c r="CW191" s="98">
        <v>323297.97932258999</v>
      </c>
      <c r="CX191" s="98">
        <v>21014368.657000002</v>
      </c>
      <c r="DI191" s="91">
        <f t="shared" si="1337"/>
        <v>323297.97932258999</v>
      </c>
      <c r="DJ191" s="91">
        <f t="shared" si="1338"/>
        <v>21014368.657000002</v>
      </c>
      <c r="DY191" s="91">
        <f t="shared" si="1339"/>
        <v>0</v>
      </c>
      <c r="DZ191" s="91">
        <f t="shared" si="1340"/>
        <v>0</v>
      </c>
      <c r="EO191" s="91">
        <f t="shared" si="1341"/>
        <v>0</v>
      </c>
      <c r="EP191" s="91">
        <f t="shared" si="1342"/>
        <v>0</v>
      </c>
      <c r="ES191" s="783">
        <v>253479</v>
      </c>
      <c r="ET191" s="783">
        <v>12166992</v>
      </c>
      <c r="EW191" s="782">
        <v>3955491</v>
      </c>
      <c r="EX191" s="98">
        <v>189863568</v>
      </c>
      <c r="FE191" s="91">
        <f t="shared" si="1343"/>
        <v>4208970</v>
      </c>
      <c r="FF191" s="91">
        <f t="shared" si="1344"/>
        <v>202030560</v>
      </c>
      <c r="FI191" s="98">
        <v>127000</v>
      </c>
      <c r="FJ191" s="98">
        <v>7620000</v>
      </c>
      <c r="FU191" s="91">
        <f t="shared" si="1345"/>
        <v>127000</v>
      </c>
      <c r="FV191" s="91">
        <f t="shared" si="1346"/>
        <v>7620000</v>
      </c>
      <c r="GK191" s="91">
        <f t="shared" si="1347"/>
        <v>0</v>
      </c>
      <c r="GL191" s="91">
        <f t="shared" si="1348"/>
        <v>0</v>
      </c>
      <c r="HA191" s="91">
        <f t="shared" si="1349"/>
        <v>0</v>
      </c>
      <c r="HB191" s="91">
        <f t="shared" si="1350"/>
        <v>0</v>
      </c>
      <c r="HE191" s="98">
        <v>75000</v>
      </c>
      <c r="HF191" s="98">
        <v>4350000</v>
      </c>
      <c r="HQ191" s="91">
        <f t="shared" si="1351"/>
        <v>75000</v>
      </c>
      <c r="HR191" s="91">
        <f t="shared" si="1352"/>
        <v>4350000</v>
      </c>
      <c r="IG191" s="91">
        <f t="shared" si="1353"/>
        <v>0</v>
      </c>
      <c r="IH191" s="91">
        <f t="shared" si="1354"/>
        <v>0</v>
      </c>
      <c r="IW191" s="91">
        <f t="shared" si="1355"/>
        <v>0</v>
      </c>
      <c r="IX191" s="91">
        <f t="shared" si="1356"/>
        <v>0</v>
      </c>
      <c r="JM191" s="91">
        <f t="shared" si="1357"/>
        <v>0</v>
      </c>
      <c r="JN191" s="91">
        <f t="shared" si="1358"/>
        <v>0</v>
      </c>
      <c r="JQ191" s="98">
        <v>110705</v>
      </c>
      <c r="JR191" s="98">
        <v>8856400</v>
      </c>
      <c r="KC191" s="91">
        <f t="shared" si="1359"/>
        <v>110705</v>
      </c>
      <c r="KD191" s="91">
        <f t="shared" si="1360"/>
        <v>8856400</v>
      </c>
      <c r="KG191" s="98">
        <v>32015</v>
      </c>
      <c r="KH191" s="98">
        <v>1760825</v>
      </c>
      <c r="KS191" s="91">
        <f t="shared" si="1361"/>
        <v>32015</v>
      </c>
      <c r="KT191" s="91">
        <f t="shared" si="1362"/>
        <v>1760825</v>
      </c>
      <c r="KW191" s="98">
        <v>99359.99</v>
      </c>
      <c r="KX191" s="98">
        <v>5464799</v>
      </c>
      <c r="LI191" s="91">
        <f t="shared" si="1363"/>
        <v>99359.99</v>
      </c>
      <c r="LJ191" s="91">
        <f t="shared" si="1364"/>
        <v>5464799</v>
      </c>
      <c r="LY191" s="91">
        <f t="shared" si="1365"/>
        <v>0</v>
      </c>
      <c r="LZ191" s="91">
        <f t="shared" si="1366"/>
        <v>0</v>
      </c>
      <c r="MC191" s="98">
        <v>497700</v>
      </c>
      <c r="MD191" s="98">
        <v>29862000</v>
      </c>
      <c r="MO191" s="91">
        <f t="shared" si="1367"/>
        <v>497700</v>
      </c>
      <c r="MP191" s="91">
        <f t="shared" si="1368"/>
        <v>29862000</v>
      </c>
      <c r="MS191" s="98">
        <v>58235</v>
      </c>
      <c r="MT191" s="98">
        <v>3785275</v>
      </c>
      <c r="NE191" s="91">
        <f t="shared" si="1369"/>
        <v>58235</v>
      </c>
      <c r="NF191" s="91">
        <f t="shared" si="1370"/>
        <v>3785275</v>
      </c>
      <c r="NI191" s="98">
        <v>335500</v>
      </c>
      <c r="NJ191" s="98">
        <v>20130000</v>
      </c>
      <c r="NO191" s="98">
        <v>26600</v>
      </c>
      <c r="NP191" s="98">
        <v>1596000</v>
      </c>
      <c r="NU191" s="91">
        <f t="shared" si="1371"/>
        <v>362100</v>
      </c>
      <c r="NV191" s="91">
        <f t="shared" si="1372"/>
        <v>21726000</v>
      </c>
      <c r="NY191" s="98">
        <v>1040748</v>
      </c>
      <c r="NZ191" s="98">
        <v>52037400</v>
      </c>
      <c r="OK191" s="91">
        <f t="shared" si="1373"/>
        <v>1040748</v>
      </c>
      <c r="OL191" s="91">
        <f t="shared" si="1374"/>
        <v>52037400</v>
      </c>
      <c r="OO191" s="98">
        <v>310220</v>
      </c>
      <c r="OP191" s="98">
        <v>19543860</v>
      </c>
      <c r="PA191" s="91">
        <f t="shared" si="1375"/>
        <v>310220</v>
      </c>
      <c r="PB191" s="91">
        <f t="shared" si="1376"/>
        <v>19543860</v>
      </c>
      <c r="PE191" s="98">
        <v>27960</v>
      </c>
      <c r="PF191" s="98">
        <v>2096920</v>
      </c>
      <c r="PQ191" s="91">
        <f t="shared" si="1377"/>
        <v>27960</v>
      </c>
      <c r="PR191" s="91">
        <f t="shared" si="1378"/>
        <v>2096920</v>
      </c>
      <c r="PU191" s="98">
        <v>476900</v>
      </c>
      <c r="PV191" s="98">
        <v>28614000</v>
      </c>
      <c r="QA191" s="98">
        <v>396310</v>
      </c>
      <c r="QB191" s="98">
        <v>17833950</v>
      </c>
      <c r="QG191" s="91">
        <f t="shared" si="1379"/>
        <v>873210</v>
      </c>
      <c r="QH191" s="91">
        <f t="shared" si="1380"/>
        <v>46447950</v>
      </c>
      <c r="QW191" s="91">
        <f t="shared" si="1381"/>
        <v>0</v>
      </c>
      <c r="QX191" s="91">
        <f t="shared" si="1382"/>
        <v>0</v>
      </c>
      <c r="RM191" s="91">
        <f t="shared" si="1383"/>
        <v>0</v>
      </c>
      <c r="RN191" s="91">
        <f t="shared" si="1384"/>
        <v>0</v>
      </c>
      <c r="SC191" s="91">
        <f t="shared" si="1385"/>
        <v>0</v>
      </c>
      <c r="SD191" s="91">
        <f t="shared" si="1386"/>
        <v>0</v>
      </c>
      <c r="SS191" s="91">
        <f t="shared" si="1387"/>
        <v>0</v>
      </c>
      <c r="ST191" s="91">
        <f t="shared" si="1388"/>
        <v>0</v>
      </c>
      <c r="TI191" s="91">
        <f t="shared" si="1389"/>
        <v>0</v>
      </c>
      <c r="TJ191" s="91">
        <f t="shared" si="1390"/>
        <v>0</v>
      </c>
      <c r="TY191" s="91">
        <f t="shared" si="1391"/>
        <v>0</v>
      </c>
      <c r="TZ191" s="91">
        <f t="shared" si="1392"/>
        <v>0</v>
      </c>
      <c r="UO191" s="91">
        <f t="shared" si="1393"/>
        <v>0</v>
      </c>
      <c r="UP191" s="91">
        <f t="shared" si="1394"/>
        <v>0</v>
      </c>
      <c r="VE191" s="91">
        <f t="shared" si="1395"/>
        <v>0</v>
      </c>
      <c r="VF191" s="91">
        <f t="shared" si="1396"/>
        <v>0</v>
      </c>
      <c r="VI191" s="98">
        <v>13264</v>
      </c>
      <c r="VJ191" s="98">
        <v>729520</v>
      </c>
      <c r="VU191" s="91">
        <f t="shared" si="1397"/>
        <v>13264</v>
      </c>
      <c r="VV191" s="91">
        <f t="shared" si="1398"/>
        <v>729520</v>
      </c>
      <c r="VY191" s="98">
        <v>101746</v>
      </c>
      <c r="VZ191" s="98">
        <v>5087300</v>
      </c>
      <c r="WK191" s="91">
        <f t="shared" si="1399"/>
        <v>101746</v>
      </c>
      <c r="WL191" s="91">
        <f t="shared" si="1400"/>
        <v>5087300</v>
      </c>
      <c r="WM191" s="89"/>
      <c r="WN191" s="87">
        <f t="shared" si="1401"/>
        <v>0</v>
      </c>
      <c r="WO191" s="87">
        <f t="shared" si="1402"/>
        <v>0</v>
      </c>
      <c r="WP191" s="87">
        <f t="shared" si="1403"/>
        <v>7042680.9693225902</v>
      </c>
      <c r="WQ191" s="87">
        <f t="shared" si="1404"/>
        <v>384997935.65700001</v>
      </c>
      <c r="WR191" s="87">
        <f t="shared" si="1405"/>
        <v>0</v>
      </c>
      <c r="WS191" s="87">
        <f t="shared" si="1406"/>
        <v>0</v>
      </c>
      <c r="WT191" s="87">
        <f t="shared" si="1407"/>
        <v>3955491</v>
      </c>
      <c r="WU191" s="87">
        <f t="shared" si="1408"/>
        <v>189863568</v>
      </c>
      <c r="WV191" s="87">
        <f t="shared" si="1409"/>
        <v>422910</v>
      </c>
      <c r="WW191" s="87">
        <f t="shared" si="1410"/>
        <v>19429950</v>
      </c>
      <c r="WX191" s="87">
        <f t="shared" si="1411"/>
        <v>0</v>
      </c>
      <c r="WY191" s="87">
        <f t="shared" si="1412"/>
        <v>0</v>
      </c>
      <c r="WZ191" s="87">
        <f t="shared" si="1421"/>
        <v>0</v>
      </c>
      <c r="XA191" s="87">
        <f t="shared" si="1422"/>
        <v>0</v>
      </c>
      <c r="XB191" s="92">
        <f t="shared" si="1423"/>
        <v>11421081.96932259</v>
      </c>
      <c r="XC191" s="92">
        <f t="shared" si="1424"/>
        <v>594291453.65700006</v>
      </c>
      <c r="XD191" s="89"/>
      <c r="XE191" s="92"/>
      <c r="XF191" s="92"/>
      <c r="XG191" s="89"/>
      <c r="XH191" s="92"/>
      <c r="XI191" s="92"/>
      <c r="XJ191" s="89"/>
      <c r="XK191" s="87"/>
      <c r="XL191" s="87"/>
      <c r="XM191" s="87"/>
      <c r="XN191" s="87"/>
      <c r="XO191" s="87"/>
      <c r="XP191" s="87"/>
      <c r="XQ191" s="87"/>
      <c r="XR191" s="92">
        <f t="shared" ca="1" si="1417"/>
        <v>0</v>
      </c>
      <c r="XS191" s="89"/>
      <c r="XT191" s="87"/>
      <c r="XU191" s="87"/>
      <c r="XV191" s="87"/>
      <c r="XW191" s="87"/>
      <c r="XX191" s="87"/>
      <c r="XY191" s="87"/>
      <c r="XZ191" s="87"/>
      <c r="YA191" s="92">
        <f t="shared" ca="1" si="1418"/>
        <v>0</v>
      </c>
      <c r="YB191" s="90"/>
      <c r="YC191" s="90"/>
      <c r="YD191" s="90"/>
      <c r="YE191" s="90"/>
      <c r="YF191" s="90"/>
      <c r="YG191" s="90"/>
      <c r="YH191" s="90"/>
      <c r="YI191" s="90"/>
      <c r="YJ191" s="90"/>
      <c r="YK191" s="90"/>
      <c r="YL191" s="90"/>
      <c r="YM191" s="90"/>
      <c r="YN191" s="90"/>
      <c r="YO191" s="90"/>
      <c r="YP191" s="90"/>
      <c r="YQ191" s="90"/>
      <c r="YR191" s="90"/>
      <c r="YS191" s="90"/>
      <c r="YT191" s="90"/>
      <c r="YU191" s="90"/>
      <c r="YV191" s="90"/>
      <c r="YW191" s="90"/>
      <c r="YX191" s="90"/>
      <c r="YY191" s="90"/>
      <c r="YZ191" s="90"/>
      <c r="ZA191" s="90"/>
      <c r="ZB191" s="90"/>
      <c r="ZC191" s="90"/>
      <c r="ZD191" s="90"/>
      <c r="ZE191" s="90"/>
      <c r="ZF191" s="90"/>
      <c r="ZG191" s="90"/>
      <c r="ZH191" s="90"/>
      <c r="ZI191" s="90"/>
      <c r="ZJ191" s="90"/>
      <c r="ZK191" s="90"/>
      <c r="ZL191" s="90"/>
      <c r="ZM191" s="90"/>
      <c r="ZN191" s="90"/>
      <c r="ZO191" s="90"/>
      <c r="ZP191" s="90"/>
      <c r="ZQ191" s="90"/>
      <c r="ZR191" s="90"/>
      <c r="ZS191" s="90"/>
      <c r="ZT191" s="90"/>
      <c r="ZU191" s="90"/>
      <c r="ZV191" s="90"/>
      <c r="ZW191" s="90"/>
      <c r="ZX191" s="90"/>
      <c r="ZY191" s="90"/>
      <c r="ZZ191" s="90"/>
      <c r="AAA191" s="90"/>
      <c r="AAB191" s="90"/>
      <c r="AAC191" s="90"/>
      <c r="AAD191" s="90"/>
      <c r="AAE191" s="90"/>
      <c r="AAF191" s="90"/>
      <c r="AAG191" s="90"/>
      <c r="AAH191" s="90"/>
      <c r="AAI191" s="90"/>
      <c r="AAJ191" s="90"/>
      <c r="AAK191" s="90"/>
      <c r="AAL191" s="90"/>
      <c r="AAM191" s="90"/>
      <c r="AAN191" s="90"/>
      <c r="AAO191" s="90"/>
      <c r="AAP191" s="90"/>
      <c r="AAQ191" s="90"/>
      <c r="AAR191" s="90"/>
      <c r="AAS191" s="90"/>
      <c r="AAT191" s="90"/>
      <c r="AAU191" s="90"/>
      <c r="AAV191" s="90"/>
      <c r="AAW191" s="90"/>
      <c r="AAX191" s="90"/>
      <c r="AAY191" s="90"/>
      <c r="AAZ191" s="90"/>
      <c r="ABA191" s="90"/>
      <c r="ABB191" s="90"/>
      <c r="ABC191" s="90"/>
      <c r="ABD191" s="90"/>
      <c r="ABE191" s="90"/>
      <c r="ABF191" s="90"/>
      <c r="ABG191" s="90"/>
      <c r="ABH191" s="90"/>
      <c r="ABI191" s="90"/>
      <c r="ABJ191" s="90"/>
      <c r="ABK191" s="90"/>
      <c r="ABL191" s="90"/>
      <c r="ABM191" s="90"/>
      <c r="ABN191" s="90"/>
      <c r="ABO191" s="90"/>
      <c r="ABP191" s="90"/>
      <c r="ABQ191" s="90"/>
      <c r="ABR191" s="90"/>
      <c r="ABS191" s="90"/>
      <c r="ABT191" s="90"/>
      <c r="ABU191" s="90"/>
      <c r="ABV191" s="90"/>
      <c r="ABW191" s="90"/>
      <c r="ABX191" s="90"/>
      <c r="ABY191" s="90"/>
      <c r="ABZ191" s="90"/>
      <c r="ACA191" s="90"/>
      <c r="ACB191" s="90"/>
      <c r="ACC191" s="90"/>
      <c r="ACD191" s="90"/>
      <c r="ACE191" s="90"/>
      <c r="ACF191" s="90"/>
      <c r="ACG191" s="90"/>
      <c r="ACH191" s="90"/>
      <c r="ACI191" s="90"/>
      <c r="ACJ191" s="90"/>
      <c r="ACK191" s="90"/>
      <c r="ACL191" s="90"/>
      <c r="ACM191" s="90"/>
      <c r="ACN191" s="90"/>
      <c r="ACO191" s="90"/>
      <c r="ACP191" s="90"/>
      <c r="ACQ191" s="90"/>
      <c r="ACR191" s="90"/>
      <c r="ACS191" s="90"/>
      <c r="ACT191" s="90"/>
      <c r="ACU191" s="90"/>
      <c r="ACV191" s="90"/>
      <c r="ACW191" s="90"/>
      <c r="ACX191" s="90"/>
      <c r="ACY191" s="90"/>
      <c r="ACZ191" s="90"/>
      <c r="ADA191" s="90"/>
      <c r="ADB191" s="90"/>
      <c r="ADC191" s="90"/>
      <c r="ADD191" s="90"/>
      <c r="ADE191" s="90"/>
      <c r="ADF191" s="90"/>
      <c r="ADG191" s="90"/>
      <c r="ADH191" s="90"/>
      <c r="ADI191" s="90"/>
      <c r="ADJ191" s="90"/>
      <c r="ADK191" s="90"/>
      <c r="ADL191" s="90"/>
      <c r="ADM191" s="90"/>
      <c r="ADN191" s="90"/>
      <c r="ADO191" s="90"/>
      <c r="ADP191" s="90"/>
      <c r="ADQ191" s="90"/>
      <c r="ADR191" s="90"/>
      <c r="ADS191" s="90"/>
      <c r="ADT191" s="90"/>
      <c r="ADU191" s="90"/>
      <c r="ADV191" s="90"/>
      <c r="ADW191" s="90"/>
      <c r="ADX191" s="90"/>
      <c r="ADY191" s="90"/>
      <c r="ADZ191" s="90"/>
      <c r="AEA191" s="90"/>
      <c r="AEB191" s="90"/>
      <c r="AEC191" s="90"/>
      <c r="AED191" s="90"/>
      <c r="AEE191" s="90"/>
      <c r="AEF191" s="90"/>
      <c r="AEG191" s="90"/>
      <c r="AEH191" s="90"/>
      <c r="AEI191" s="90"/>
      <c r="AEJ191" s="90"/>
      <c r="AEK191" s="90"/>
      <c r="AEL191" s="90"/>
      <c r="AEM191" s="90"/>
      <c r="AEN191" s="90"/>
      <c r="AEO191" s="90"/>
      <c r="AEP191" s="90"/>
      <c r="AEQ191" s="90"/>
      <c r="AER191" s="90"/>
      <c r="AES191" s="90"/>
      <c r="AET191" s="90"/>
      <c r="AEU191" s="90"/>
      <c r="AEV191" s="90"/>
      <c r="AEW191" s="90"/>
      <c r="AEX191" s="90"/>
      <c r="AEY191" s="90"/>
      <c r="AEZ191" s="90"/>
      <c r="AFA191" s="90"/>
      <c r="AFB191" s="90"/>
      <c r="AFC191" s="90"/>
      <c r="AFD191" s="90"/>
      <c r="AFE191" s="90"/>
      <c r="AFF191" s="90"/>
      <c r="AFG191" s="90"/>
      <c r="AFH191" s="90"/>
      <c r="AFI191" s="90"/>
      <c r="AFJ191" s="90"/>
      <c r="AFK191" s="90"/>
      <c r="AFL191" s="90"/>
      <c r="AFM191" s="90"/>
      <c r="AFN191" s="90"/>
      <c r="AFO191" s="90"/>
      <c r="AFP191" s="90"/>
      <c r="AFQ191" s="90"/>
      <c r="AFR191" s="90"/>
      <c r="AFS191" s="90"/>
      <c r="AFT191" s="90"/>
      <c r="AFU191" s="90"/>
      <c r="AFV191" s="90"/>
      <c r="AFW191" s="90"/>
      <c r="AFX191" s="90"/>
      <c r="AFY191" s="90"/>
      <c r="AFZ191" s="90"/>
      <c r="AGA191" s="90"/>
      <c r="AGB191" s="90"/>
      <c r="AGC191" s="90"/>
      <c r="AGD191" s="90"/>
      <c r="AGE191" s="90"/>
      <c r="AGF191" s="90"/>
      <c r="AGG191" s="90"/>
      <c r="AGH191" s="90"/>
      <c r="AGI191" s="90"/>
      <c r="AGJ191" s="90"/>
      <c r="AGK191" s="90"/>
      <c r="AGL191" s="90"/>
      <c r="AGM191" s="90"/>
      <c r="AGN191" s="90"/>
      <c r="AGO191" s="90"/>
      <c r="AGP191" s="90"/>
      <c r="AGQ191" s="90"/>
      <c r="AGR191" s="90"/>
      <c r="AGS191" s="90"/>
      <c r="AGT191" s="90"/>
      <c r="AGU191" s="90"/>
      <c r="AGV191" s="90"/>
      <c r="AGW191" s="90"/>
      <c r="AGX191" s="90"/>
      <c r="AGY191" s="90"/>
      <c r="AGZ191" s="90"/>
      <c r="AHA191" s="90"/>
      <c r="AHB191" s="90"/>
      <c r="AHC191" s="90"/>
      <c r="AHD191" s="90"/>
      <c r="AHE191" s="90"/>
      <c r="AHF191" s="90"/>
      <c r="AHG191" s="90"/>
      <c r="AHH191" s="90"/>
      <c r="AHI191" s="90"/>
      <c r="AHJ191" s="90"/>
      <c r="AHK191" s="90"/>
      <c r="AHL191" s="90"/>
      <c r="AHM191" s="90"/>
      <c r="AHN191" s="90"/>
      <c r="AHO191" s="90"/>
      <c r="AHP191" s="90"/>
      <c r="AHQ191" s="90"/>
      <c r="AHR191" s="90"/>
      <c r="AHS191" s="90"/>
      <c r="AHT191" s="90"/>
      <c r="AHU191" s="90"/>
      <c r="AHV191" s="90"/>
      <c r="AHW191" s="90"/>
      <c r="AHX191" s="90"/>
      <c r="AHY191" s="90"/>
      <c r="AHZ191" s="90"/>
      <c r="AIA191" s="90"/>
      <c r="AIB191" s="90"/>
      <c r="AIC191" s="90"/>
      <c r="AID191" s="90"/>
      <c r="AIE191" s="90"/>
      <c r="AIF191" s="90"/>
      <c r="AIG191" s="90"/>
      <c r="AIH191" s="90"/>
      <c r="AII191" s="90"/>
      <c r="AIJ191" s="90"/>
      <c r="AIK191" s="90"/>
      <c r="AIL191" s="90"/>
      <c r="AIM191" s="90"/>
      <c r="AIN191" s="90"/>
      <c r="AIO191" s="90"/>
      <c r="AIP191" s="90"/>
      <c r="AIQ191" s="90"/>
      <c r="AIR191" s="90"/>
      <c r="AIS191" s="90"/>
      <c r="AIT191" s="90"/>
      <c r="AIU191" s="90"/>
      <c r="AIV191" s="90"/>
      <c r="AIW191" s="90"/>
      <c r="AIX191" s="90"/>
      <c r="AIY191" s="90"/>
      <c r="AIZ191" s="90"/>
      <c r="AJA191" s="90"/>
      <c r="AJB191" s="90"/>
      <c r="AJC191" s="90"/>
      <c r="AJD191" s="90"/>
      <c r="AJE191" s="90"/>
      <c r="AJF191" s="90"/>
      <c r="AJG191" s="90"/>
      <c r="AJH191" s="90"/>
      <c r="AJI191" s="90"/>
      <c r="AJJ191" s="90"/>
      <c r="AJK191" s="90"/>
      <c r="AJL191" s="90"/>
      <c r="AJM191" s="90"/>
      <c r="AJN191" s="90"/>
      <c r="AJO191" s="90"/>
      <c r="AJP191" s="90"/>
      <c r="AJQ191" s="90"/>
      <c r="AJR191" s="90"/>
      <c r="AJS191" s="90"/>
      <c r="AJT191" s="90"/>
      <c r="AJU191" s="90"/>
      <c r="AJV191" s="90"/>
      <c r="AJW191" s="90"/>
      <c r="AJX191" s="90"/>
      <c r="AJY191" s="90"/>
      <c r="AJZ191" s="90"/>
      <c r="AKA191" s="90"/>
      <c r="AKB191" s="90"/>
      <c r="AKC191" s="90"/>
      <c r="AKD191" s="90"/>
      <c r="AKE191" s="90"/>
      <c r="AKF191" s="90"/>
      <c r="AKG191" s="90"/>
      <c r="AKH191" s="90"/>
      <c r="AKI191" s="90"/>
      <c r="AKJ191" s="90"/>
      <c r="AKK191" s="90"/>
      <c r="AKL191" s="90"/>
      <c r="AKM191" s="90"/>
      <c r="AKN191" s="90"/>
      <c r="AKO191" s="90"/>
      <c r="AKP191" s="90"/>
      <c r="AKQ191" s="90"/>
      <c r="AKR191" s="90"/>
      <c r="AKS191" s="90"/>
      <c r="AKT191" s="90"/>
      <c r="AKU191" s="90"/>
      <c r="AKV191" s="90"/>
      <c r="AKW191" s="90"/>
      <c r="AKX191" s="90"/>
      <c r="AKY191" s="90"/>
      <c r="AKZ191" s="90"/>
      <c r="ALA191" s="90"/>
      <c r="ALB191" s="90"/>
      <c r="ALC191" s="90"/>
      <c r="ALD191" s="90"/>
      <c r="ALE191" s="90"/>
      <c r="ALF191" s="90"/>
      <c r="ALG191" s="90"/>
      <c r="ALH191" s="90"/>
      <c r="ALI191" s="90"/>
      <c r="ALJ191" s="90"/>
      <c r="ALK191" s="90"/>
      <c r="ALL191" s="90"/>
      <c r="ALM191" s="90"/>
      <c r="ALN191" s="90"/>
      <c r="ALO191" s="90"/>
      <c r="ALP191" s="90"/>
      <c r="ALQ191" s="90"/>
      <c r="ALR191" s="90"/>
      <c r="ALS191" s="90"/>
      <c r="ALT191" s="90"/>
      <c r="ALU191" s="90"/>
      <c r="ALV191" s="90"/>
      <c r="ALW191" s="90"/>
      <c r="ALX191" s="90"/>
      <c r="ALY191" s="90"/>
      <c r="ALZ191" s="90"/>
      <c r="AMA191" s="90"/>
      <c r="AMB191" s="90"/>
      <c r="AMC191" s="90"/>
    </row>
    <row r="192" spans="1:1017">
      <c r="A192" s="98" t="s">
        <v>49</v>
      </c>
      <c r="B192" s="90" t="str">
        <f t="shared" si="1324"/>
        <v xml:space="preserve">Udang Windu </v>
      </c>
      <c r="E192" s="98">
        <v>3400</v>
      </c>
      <c r="F192" s="98">
        <v>442000</v>
      </c>
      <c r="Q192" s="91">
        <f t="shared" si="1325"/>
        <v>3400</v>
      </c>
      <c r="R192" s="91">
        <f t="shared" si="1326"/>
        <v>442000</v>
      </c>
      <c r="AG192" s="91">
        <f t="shared" si="1327"/>
        <v>0</v>
      </c>
      <c r="AH192" s="91">
        <f t="shared" si="1328"/>
        <v>0</v>
      </c>
      <c r="AW192" s="91">
        <f t="shared" si="1329"/>
        <v>0</v>
      </c>
      <c r="AX192" s="91">
        <f t="shared" si="1330"/>
        <v>0</v>
      </c>
      <c r="BM192" s="91">
        <f t="shared" si="1331"/>
        <v>0</v>
      </c>
      <c r="BN192" s="91">
        <f t="shared" si="1332"/>
        <v>0</v>
      </c>
      <c r="CC192" s="91">
        <f t="shared" si="1333"/>
        <v>0</v>
      </c>
      <c r="CD192" s="91">
        <f t="shared" si="1334"/>
        <v>0</v>
      </c>
      <c r="CG192" s="98">
        <v>217824</v>
      </c>
      <c r="CH192" s="98">
        <v>21782363</v>
      </c>
      <c r="CS192" s="91">
        <f t="shared" si="1419"/>
        <v>217824</v>
      </c>
      <c r="CT192" s="91">
        <f t="shared" si="1420"/>
        <v>21782363</v>
      </c>
      <c r="DI192" s="91">
        <f t="shared" si="1337"/>
        <v>0</v>
      </c>
      <c r="DJ192" s="91">
        <f t="shared" si="1338"/>
        <v>0</v>
      </c>
      <c r="DY192" s="91">
        <f t="shared" si="1339"/>
        <v>0</v>
      </c>
      <c r="DZ192" s="91">
        <f t="shared" si="1340"/>
        <v>0</v>
      </c>
      <c r="EO192" s="91">
        <f t="shared" si="1341"/>
        <v>0</v>
      </c>
      <c r="EP192" s="91">
        <f t="shared" si="1342"/>
        <v>0</v>
      </c>
      <c r="FE192" s="91">
        <f t="shared" si="1343"/>
        <v>0</v>
      </c>
      <c r="FF192" s="91">
        <f t="shared" si="1344"/>
        <v>0</v>
      </c>
      <c r="FU192" s="91">
        <f t="shared" si="1345"/>
        <v>0</v>
      </c>
      <c r="FV192" s="91">
        <f t="shared" si="1346"/>
        <v>0</v>
      </c>
      <c r="GK192" s="91">
        <f t="shared" si="1347"/>
        <v>0</v>
      </c>
      <c r="GL192" s="91">
        <f t="shared" si="1348"/>
        <v>0</v>
      </c>
      <c r="HA192" s="91">
        <f t="shared" si="1349"/>
        <v>0</v>
      </c>
      <c r="HB192" s="91">
        <f t="shared" si="1350"/>
        <v>0</v>
      </c>
      <c r="HQ192" s="91">
        <f t="shared" si="1351"/>
        <v>0</v>
      </c>
      <c r="HR192" s="91">
        <f t="shared" si="1352"/>
        <v>0</v>
      </c>
      <c r="IG192" s="91">
        <f t="shared" si="1353"/>
        <v>0</v>
      </c>
      <c r="IH192" s="91">
        <f t="shared" si="1354"/>
        <v>0</v>
      </c>
      <c r="IW192" s="91">
        <f t="shared" si="1355"/>
        <v>0</v>
      </c>
      <c r="IX192" s="91">
        <f t="shared" si="1356"/>
        <v>0</v>
      </c>
      <c r="JM192" s="91">
        <f t="shared" si="1357"/>
        <v>0</v>
      </c>
      <c r="JN192" s="91">
        <f t="shared" si="1358"/>
        <v>0</v>
      </c>
      <c r="KC192" s="91">
        <f t="shared" si="1359"/>
        <v>0</v>
      </c>
      <c r="KD192" s="91">
        <f t="shared" si="1360"/>
        <v>0</v>
      </c>
      <c r="KS192" s="91">
        <f t="shared" si="1361"/>
        <v>0</v>
      </c>
      <c r="KT192" s="91">
        <f t="shared" si="1362"/>
        <v>0</v>
      </c>
      <c r="KW192" s="98">
        <v>3649.43</v>
      </c>
      <c r="KX192" s="98">
        <v>346695</v>
      </c>
      <c r="LI192" s="91">
        <f t="shared" si="1363"/>
        <v>3649.43</v>
      </c>
      <c r="LJ192" s="91">
        <f t="shared" si="1364"/>
        <v>346695</v>
      </c>
      <c r="LY192" s="91">
        <f t="shared" si="1365"/>
        <v>0</v>
      </c>
      <c r="LZ192" s="91">
        <f t="shared" si="1366"/>
        <v>0</v>
      </c>
      <c r="MO192" s="91">
        <f t="shared" si="1367"/>
        <v>0</v>
      </c>
      <c r="MP192" s="91">
        <f t="shared" si="1368"/>
        <v>0</v>
      </c>
      <c r="MS192" s="98">
        <v>1000</v>
      </c>
      <c r="MT192" s="98">
        <v>80000</v>
      </c>
      <c r="NE192" s="91">
        <f t="shared" si="1369"/>
        <v>1000</v>
      </c>
      <c r="NF192" s="91">
        <f t="shared" si="1370"/>
        <v>80000</v>
      </c>
      <c r="NI192" s="98">
        <v>222100</v>
      </c>
      <c r="NJ192" s="98">
        <v>19989000</v>
      </c>
      <c r="NU192" s="91">
        <f t="shared" si="1371"/>
        <v>222100</v>
      </c>
      <c r="NV192" s="91">
        <f t="shared" si="1372"/>
        <v>19989000</v>
      </c>
      <c r="NY192" s="98">
        <v>71</v>
      </c>
      <c r="NZ192" s="98">
        <v>10650</v>
      </c>
      <c r="OK192" s="91">
        <f t="shared" si="1373"/>
        <v>71</v>
      </c>
      <c r="OL192" s="91">
        <f t="shared" si="1374"/>
        <v>10650</v>
      </c>
      <c r="PA192" s="91">
        <f t="shared" si="1375"/>
        <v>0</v>
      </c>
      <c r="PB192" s="91">
        <f t="shared" si="1376"/>
        <v>0</v>
      </c>
      <c r="PQ192" s="91">
        <f t="shared" si="1377"/>
        <v>0</v>
      </c>
      <c r="PR192" s="91">
        <f t="shared" si="1378"/>
        <v>0</v>
      </c>
      <c r="QG192" s="91">
        <f t="shared" si="1379"/>
        <v>0</v>
      </c>
      <c r="QH192" s="91">
        <f t="shared" si="1380"/>
        <v>0</v>
      </c>
      <c r="QW192" s="91">
        <f t="shared" si="1381"/>
        <v>0</v>
      </c>
      <c r="QX192" s="91">
        <f t="shared" si="1382"/>
        <v>0</v>
      </c>
      <c r="RM192" s="91">
        <f t="shared" si="1383"/>
        <v>0</v>
      </c>
      <c r="RN192" s="91">
        <f t="shared" si="1384"/>
        <v>0</v>
      </c>
      <c r="SC192" s="91">
        <f t="shared" si="1385"/>
        <v>0</v>
      </c>
      <c r="SD192" s="91">
        <f t="shared" si="1386"/>
        <v>0</v>
      </c>
      <c r="SS192" s="91">
        <f t="shared" si="1387"/>
        <v>0</v>
      </c>
      <c r="ST192" s="91">
        <f t="shared" si="1388"/>
        <v>0</v>
      </c>
      <c r="TI192" s="91">
        <f t="shared" si="1389"/>
        <v>0</v>
      </c>
      <c r="TJ192" s="91">
        <f t="shared" si="1390"/>
        <v>0</v>
      </c>
      <c r="TY192" s="91">
        <f t="shared" si="1391"/>
        <v>0</v>
      </c>
      <c r="TZ192" s="91">
        <f t="shared" si="1392"/>
        <v>0</v>
      </c>
      <c r="UO192" s="91">
        <f t="shared" si="1393"/>
        <v>0</v>
      </c>
      <c r="UP192" s="91">
        <f t="shared" si="1394"/>
        <v>0</v>
      </c>
      <c r="VE192" s="91">
        <f t="shared" si="1395"/>
        <v>0</v>
      </c>
      <c r="VF192" s="91">
        <f t="shared" si="1396"/>
        <v>0</v>
      </c>
      <c r="VI192" s="98">
        <v>69</v>
      </c>
      <c r="VJ192" s="98">
        <v>4485</v>
      </c>
      <c r="VU192" s="91">
        <f t="shared" si="1397"/>
        <v>69</v>
      </c>
      <c r="VV192" s="91">
        <f t="shared" si="1398"/>
        <v>4485</v>
      </c>
      <c r="VY192" s="98">
        <v>7628</v>
      </c>
      <c r="VZ192" s="98">
        <v>610240</v>
      </c>
      <c r="WK192" s="91">
        <f t="shared" si="1399"/>
        <v>7628</v>
      </c>
      <c r="WL192" s="91">
        <f t="shared" si="1400"/>
        <v>610240</v>
      </c>
      <c r="WM192" s="89"/>
      <c r="WN192" s="87">
        <f t="shared" si="1401"/>
        <v>0</v>
      </c>
      <c r="WO192" s="87">
        <f t="shared" si="1402"/>
        <v>0</v>
      </c>
      <c r="WP192" s="87">
        <f t="shared" si="1403"/>
        <v>455741.43</v>
      </c>
      <c r="WQ192" s="87">
        <f t="shared" si="1404"/>
        <v>43265433</v>
      </c>
      <c r="WR192" s="87">
        <f t="shared" si="1405"/>
        <v>0</v>
      </c>
      <c r="WS192" s="87">
        <f t="shared" si="1406"/>
        <v>0</v>
      </c>
      <c r="WT192" s="87">
        <f t="shared" si="1407"/>
        <v>0</v>
      </c>
      <c r="WU192" s="87">
        <f t="shared" si="1408"/>
        <v>0</v>
      </c>
      <c r="WV192" s="87">
        <f t="shared" si="1409"/>
        <v>0</v>
      </c>
      <c r="WW192" s="87">
        <f t="shared" si="1410"/>
        <v>0</v>
      </c>
      <c r="WX192" s="87">
        <f t="shared" si="1411"/>
        <v>0</v>
      </c>
      <c r="WY192" s="87">
        <f t="shared" si="1412"/>
        <v>0</v>
      </c>
      <c r="WZ192" s="87">
        <f t="shared" si="1421"/>
        <v>0</v>
      </c>
      <c r="XA192" s="87">
        <f t="shared" si="1422"/>
        <v>0</v>
      </c>
      <c r="XB192" s="92">
        <f t="shared" si="1423"/>
        <v>455741.43</v>
      </c>
      <c r="XC192" s="92">
        <f t="shared" si="1424"/>
        <v>43265433</v>
      </c>
      <c r="XD192" s="89"/>
      <c r="XE192" s="92"/>
      <c r="XF192" s="92"/>
      <c r="XG192" s="89"/>
      <c r="XH192" s="92"/>
      <c r="XI192" s="92"/>
      <c r="XJ192" s="89"/>
      <c r="XK192" s="87"/>
      <c r="XL192" s="87"/>
      <c r="XM192" s="87"/>
      <c r="XN192" s="87"/>
      <c r="XO192" s="87"/>
      <c r="XP192" s="87"/>
      <c r="XQ192" s="87"/>
      <c r="XR192" s="92">
        <f t="shared" ca="1" si="1417"/>
        <v>0</v>
      </c>
      <c r="XS192" s="89"/>
      <c r="XT192" s="87"/>
      <c r="XU192" s="87"/>
      <c r="XV192" s="87"/>
      <c r="XW192" s="87"/>
      <c r="XX192" s="87"/>
      <c r="XY192" s="87"/>
      <c r="XZ192" s="87"/>
      <c r="YA192" s="92">
        <f t="shared" ca="1" si="1418"/>
        <v>0</v>
      </c>
      <c r="YB192" s="90"/>
      <c r="YC192" s="90"/>
      <c r="YD192" s="90"/>
      <c r="YE192" s="90"/>
      <c r="YF192" s="90"/>
      <c r="YG192" s="90"/>
      <c r="YH192" s="90"/>
      <c r="YI192" s="90"/>
      <c r="YJ192" s="90"/>
      <c r="YK192" s="90"/>
      <c r="YL192" s="90"/>
      <c r="YM192" s="90"/>
      <c r="YN192" s="90"/>
      <c r="YO192" s="90"/>
      <c r="YP192" s="90"/>
      <c r="YQ192" s="90"/>
      <c r="YR192" s="90"/>
      <c r="YS192" s="90"/>
      <c r="YT192" s="90"/>
      <c r="YU192" s="90"/>
      <c r="YV192" s="90"/>
      <c r="YW192" s="90"/>
      <c r="YX192" s="90"/>
      <c r="YY192" s="90"/>
      <c r="YZ192" s="90"/>
      <c r="ZA192" s="90"/>
      <c r="ZB192" s="90"/>
      <c r="ZC192" s="90"/>
      <c r="ZD192" s="90"/>
      <c r="ZE192" s="90"/>
      <c r="ZF192" s="90"/>
      <c r="ZG192" s="90"/>
      <c r="ZH192" s="90"/>
      <c r="ZI192" s="90"/>
      <c r="ZJ192" s="90"/>
      <c r="ZK192" s="90"/>
      <c r="ZL192" s="90"/>
      <c r="ZM192" s="90"/>
      <c r="ZN192" s="90"/>
      <c r="ZO192" s="90"/>
      <c r="ZP192" s="90"/>
      <c r="ZQ192" s="90"/>
      <c r="ZR192" s="90"/>
      <c r="ZS192" s="90"/>
      <c r="ZT192" s="90"/>
      <c r="ZU192" s="90"/>
      <c r="ZV192" s="90"/>
      <c r="ZW192" s="90"/>
      <c r="ZX192" s="90"/>
      <c r="ZY192" s="90"/>
      <c r="ZZ192" s="90"/>
      <c r="AAA192" s="90"/>
      <c r="AAB192" s="90"/>
      <c r="AAC192" s="90"/>
      <c r="AAD192" s="90"/>
      <c r="AAE192" s="90"/>
      <c r="AAF192" s="90"/>
      <c r="AAG192" s="90"/>
      <c r="AAH192" s="90"/>
      <c r="AAI192" s="90"/>
      <c r="AAJ192" s="90"/>
      <c r="AAK192" s="90"/>
      <c r="AAL192" s="90"/>
      <c r="AAM192" s="90"/>
      <c r="AAN192" s="90"/>
      <c r="AAO192" s="90"/>
      <c r="AAP192" s="90"/>
      <c r="AAQ192" s="90"/>
      <c r="AAR192" s="90"/>
      <c r="AAS192" s="90"/>
      <c r="AAT192" s="90"/>
      <c r="AAU192" s="90"/>
      <c r="AAV192" s="90"/>
      <c r="AAW192" s="90"/>
      <c r="AAX192" s="90"/>
      <c r="AAY192" s="90"/>
      <c r="AAZ192" s="90"/>
      <c r="ABA192" s="90"/>
      <c r="ABB192" s="90"/>
      <c r="ABC192" s="90"/>
      <c r="ABD192" s="90"/>
      <c r="ABE192" s="90"/>
      <c r="ABF192" s="90"/>
      <c r="ABG192" s="90"/>
      <c r="ABH192" s="90"/>
      <c r="ABI192" s="90"/>
      <c r="ABJ192" s="90"/>
      <c r="ABK192" s="90"/>
      <c r="ABL192" s="90"/>
      <c r="ABM192" s="90"/>
      <c r="ABN192" s="90"/>
      <c r="ABO192" s="90"/>
      <c r="ABP192" s="90"/>
      <c r="ABQ192" s="90"/>
      <c r="ABR192" s="90"/>
      <c r="ABS192" s="90"/>
      <c r="ABT192" s="90"/>
      <c r="ABU192" s="90"/>
      <c r="ABV192" s="90"/>
      <c r="ABW192" s="90"/>
      <c r="ABX192" s="90"/>
      <c r="ABY192" s="90"/>
      <c r="ABZ192" s="90"/>
      <c r="ACA192" s="90"/>
      <c r="ACB192" s="90"/>
      <c r="ACC192" s="90"/>
      <c r="ACD192" s="90"/>
      <c r="ACE192" s="90"/>
      <c r="ACF192" s="90"/>
      <c r="ACG192" s="90"/>
      <c r="ACH192" s="90"/>
      <c r="ACI192" s="90"/>
      <c r="ACJ192" s="90"/>
      <c r="ACK192" s="90"/>
      <c r="ACL192" s="90"/>
      <c r="ACM192" s="90"/>
      <c r="ACN192" s="90"/>
      <c r="ACO192" s="90"/>
      <c r="ACP192" s="90"/>
      <c r="ACQ192" s="90"/>
      <c r="ACR192" s="90"/>
      <c r="ACS192" s="90"/>
      <c r="ACT192" s="90"/>
      <c r="ACU192" s="90"/>
      <c r="ACV192" s="90"/>
      <c r="ACW192" s="90"/>
      <c r="ACX192" s="90"/>
      <c r="ACY192" s="90"/>
      <c r="ACZ192" s="90"/>
      <c r="ADA192" s="90"/>
      <c r="ADB192" s="90"/>
      <c r="ADC192" s="90"/>
      <c r="ADD192" s="90"/>
      <c r="ADE192" s="90"/>
      <c r="ADF192" s="90"/>
      <c r="ADG192" s="90"/>
      <c r="ADH192" s="90"/>
      <c r="ADI192" s="90"/>
      <c r="ADJ192" s="90"/>
      <c r="ADK192" s="90"/>
      <c r="ADL192" s="90"/>
      <c r="ADM192" s="90"/>
      <c r="ADN192" s="90"/>
      <c r="ADO192" s="90"/>
      <c r="ADP192" s="90"/>
      <c r="ADQ192" s="90"/>
      <c r="ADR192" s="90"/>
      <c r="ADS192" s="90"/>
      <c r="ADT192" s="90"/>
      <c r="ADU192" s="90"/>
      <c r="ADV192" s="90"/>
      <c r="ADW192" s="90"/>
      <c r="ADX192" s="90"/>
      <c r="ADY192" s="90"/>
      <c r="ADZ192" s="90"/>
      <c r="AEA192" s="90"/>
      <c r="AEB192" s="90"/>
      <c r="AEC192" s="90"/>
      <c r="AED192" s="90"/>
      <c r="AEE192" s="90"/>
      <c r="AEF192" s="90"/>
      <c r="AEG192" s="90"/>
      <c r="AEH192" s="90"/>
      <c r="AEI192" s="90"/>
      <c r="AEJ192" s="90"/>
      <c r="AEK192" s="90"/>
      <c r="AEL192" s="90"/>
      <c r="AEM192" s="90"/>
      <c r="AEN192" s="90"/>
      <c r="AEO192" s="90"/>
      <c r="AEP192" s="90"/>
      <c r="AEQ192" s="90"/>
      <c r="AER192" s="90"/>
      <c r="AES192" s="90"/>
      <c r="AET192" s="90"/>
      <c r="AEU192" s="90"/>
      <c r="AEV192" s="90"/>
      <c r="AEW192" s="90"/>
      <c r="AEX192" s="90"/>
      <c r="AEY192" s="90"/>
      <c r="AEZ192" s="90"/>
      <c r="AFA192" s="90"/>
      <c r="AFB192" s="90"/>
      <c r="AFC192" s="90"/>
      <c r="AFD192" s="90"/>
      <c r="AFE192" s="90"/>
      <c r="AFF192" s="90"/>
      <c r="AFG192" s="90"/>
      <c r="AFH192" s="90"/>
      <c r="AFI192" s="90"/>
      <c r="AFJ192" s="90"/>
      <c r="AFK192" s="90"/>
      <c r="AFL192" s="90"/>
      <c r="AFM192" s="90"/>
      <c r="AFN192" s="90"/>
      <c r="AFO192" s="90"/>
      <c r="AFP192" s="90"/>
      <c r="AFQ192" s="90"/>
      <c r="AFR192" s="90"/>
      <c r="AFS192" s="90"/>
      <c r="AFT192" s="90"/>
      <c r="AFU192" s="90"/>
      <c r="AFV192" s="90"/>
      <c r="AFW192" s="90"/>
      <c r="AFX192" s="90"/>
      <c r="AFY192" s="90"/>
      <c r="AFZ192" s="90"/>
      <c r="AGA192" s="90"/>
      <c r="AGB192" s="90"/>
      <c r="AGC192" s="90"/>
      <c r="AGD192" s="90"/>
      <c r="AGE192" s="90"/>
      <c r="AGF192" s="90"/>
      <c r="AGG192" s="90"/>
      <c r="AGH192" s="90"/>
      <c r="AGI192" s="90"/>
      <c r="AGJ192" s="90"/>
      <c r="AGK192" s="90"/>
      <c r="AGL192" s="90"/>
      <c r="AGM192" s="90"/>
      <c r="AGN192" s="90"/>
      <c r="AGO192" s="90"/>
      <c r="AGP192" s="90"/>
      <c r="AGQ192" s="90"/>
      <c r="AGR192" s="90"/>
      <c r="AGS192" s="90"/>
      <c r="AGT192" s="90"/>
      <c r="AGU192" s="90"/>
      <c r="AGV192" s="90"/>
      <c r="AGW192" s="90"/>
      <c r="AGX192" s="90"/>
      <c r="AGY192" s="90"/>
      <c r="AGZ192" s="90"/>
      <c r="AHA192" s="90"/>
      <c r="AHB192" s="90"/>
      <c r="AHC192" s="90"/>
      <c r="AHD192" s="90"/>
      <c r="AHE192" s="90"/>
      <c r="AHF192" s="90"/>
      <c r="AHG192" s="90"/>
      <c r="AHH192" s="90"/>
      <c r="AHI192" s="90"/>
      <c r="AHJ192" s="90"/>
      <c r="AHK192" s="90"/>
      <c r="AHL192" s="90"/>
      <c r="AHM192" s="90"/>
      <c r="AHN192" s="90"/>
      <c r="AHO192" s="90"/>
      <c r="AHP192" s="90"/>
      <c r="AHQ192" s="90"/>
      <c r="AHR192" s="90"/>
      <c r="AHS192" s="90"/>
      <c r="AHT192" s="90"/>
      <c r="AHU192" s="90"/>
      <c r="AHV192" s="90"/>
      <c r="AHW192" s="90"/>
      <c r="AHX192" s="90"/>
      <c r="AHY192" s="90"/>
      <c r="AHZ192" s="90"/>
      <c r="AIA192" s="90"/>
      <c r="AIB192" s="90"/>
      <c r="AIC192" s="90"/>
      <c r="AID192" s="90"/>
      <c r="AIE192" s="90"/>
      <c r="AIF192" s="90"/>
      <c r="AIG192" s="90"/>
      <c r="AIH192" s="90"/>
      <c r="AII192" s="90"/>
      <c r="AIJ192" s="90"/>
      <c r="AIK192" s="90"/>
      <c r="AIL192" s="90"/>
      <c r="AIM192" s="90"/>
      <c r="AIN192" s="90"/>
      <c r="AIO192" s="90"/>
      <c r="AIP192" s="90"/>
      <c r="AIQ192" s="90"/>
      <c r="AIR192" s="90"/>
      <c r="AIS192" s="90"/>
      <c r="AIT192" s="90"/>
      <c r="AIU192" s="90"/>
      <c r="AIV192" s="90"/>
      <c r="AIW192" s="90"/>
      <c r="AIX192" s="90"/>
      <c r="AIY192" s="90"/>
      <c r="AIZ192" s="90"/>
      <c r="AJA192" s="90"/>
      <c r="AJB192" s="90"/>
      <c r="AJC192" s="90"/>
      <c r="AJD192" s="90"/>
      <c r="AJE192" s="90"/>
      <c r="AJF192" s="90"/>
      <c r="AJG192" s="90"/>
      <c r="AJH192" s="90"/>
      <c r="AJI192" s="90"/>
      <c r="AJJ192" s="90"/>
      <c r="AJK192" s="90"/>
      <c r="AJL192" s="90"/>
      <c r="AJM192" s="90"/>
      <c r="AJN192" s="90"/>
      <c r="AJO192" s="90"/>
      <c r="AJP192" s="90"/>
      <c r="AJQ192" s="90"/>
      <c r="AJR192" s="90"/>
      <c r="AJS192" s="90"/>
      <c r="AJT192" s="90"/>
      <c r="AJU192" s="90"/>
      <c r="AJV192" s="90"/>
      <c r="AJW192" s="90"/>
      <c r="AJX192" s="90"/>
      <c r="AJY192" s="90"/>
      <c r="AJZ192" s="90"/>
      <c r="AKA192" s="90"/>
      <c r="AKB192" s="90"/>
      <c r="AKC192" s="90"/>
      <c r="AKD192" s="90"/>
      <c r="AKE192" s="90"/>
      <c r="AKF192" s="90"/>
      <c r="AKG192" s="90"/>
      <c r="AKH192" s="90"/>
      <c r="AKI192" s="90"/>
      <c r="AKJ192" s="90"/>
      <c r="AKK192" s="90"/>
      <c r="AKL192" s="90"/>
      <c r="AKM192" s="90"/>
      <c r="AKN192" s="90"/>
      <c r="AKO192" s="90"/>
      <c r="AKP192" s="90"/>
      <c r="AKQ192" s="90"/>
      <c r="AKR192" s="90"/>
      <c r="AKS192" s="90"/>
      <c r="AKT192" s="90"/>
      <c r="AKU192" s="90"/>
      <c r="AKV192" s="90"/>
      <c r="AKW192" s="90"/>
      <c r="AKX192" s="90"/>
      <c r="AKY192" s="90"/>
      <c r="AKZ192" s="90"/>
      <c r="ALA192" s="90"/>
      <c r="ALB192" s="90"/>
      <c r="ALC192" s="90"/>
      <c r="ALD192" s="90"/>
      <c r="ALE192" s="90"/>
      <c r="ALF192" s="90"/>
      <c r="ALG192" s="90"/>
      <c r="ALH192" s="90"/>
      <c r="ALI192" s="90"/>
      <c r="ALJ192" s="90"/>
      <c r="ALK192" s="90"/>
      <c r="ALL192" s="90"/>
      <c r="ALM192" s="90"/>
      <c r="ALN192" s="90"/>
      <c r="ALO192" s="90"/>
      <c r="ALP192" s="90"/>
      <c r="ALQ192" s="90"/>
      <c r="ALR192" s="90"/>
      <c r="ALS192" s="90"/>
      <c r="ALT192" s="90"/>
      <c r="ALU192" s="90"/>
      <c r="ALV192" s="90"/>
      <c r="ALW192" s="90"/>
      <c r="ALX192" s="90"/>
      <c r="ALY192" s="90"/>
      <c r="ALZ192" s="90"/>
      <c r="AMA192" s="90"/>
      <c r="AMB192" s="90"/>
      <c r="AMC192" s="90"/>
    </row>
    <row r="193" spans="1:1017">
      <c r="A193" s="98" t="s">
        <v>49</v>
      </c>
      <c r="B193" s="90" t="str">
        <f t="shared" ref="B193:B202" si="1425">B155</f>
        <v xml:space="preserve">Udang_01 (Udang Api-Api) </v>
      </c>
      <c r="E193" s="98">
        <v>6400</v>
      </c>
      <c r="F193" s="98">
        <v>256000</v>
      </c>
      <c r="Q193" s="91">
        <f t="shared" si="1325"/>
        <v>6400</v>
      </c>
      <c r="R193" s="91">
        <f t="shared" si="1326"/>
        <v>256000</v>
      </c>
      <c r="AG193" s="91">
        <f t="shared" si="1327"/>
        <v>0</v>
      </c>
      <c r="AH193" s="91">
        <f t="shared" si="1328"/>
        <v>0</v>
      </c>
      <c r="AW193" s="91">
        <f t="shared" si="1329"/>
        <v>0</v>
      </c>
      <c r="AX193" s="91">
        <f t="shared" si="1330"/>
        <v>0</v>
      </c>
      <c r="BM193" s="91">
        <f t="shared" si="1331"/>
        <v>0</v>
      </c>
      <c r="BN193" s="91">
        <f t="shared" si="1332"/>
        <v>0</v>
      </c>
      <c r="CC193" s="91">
        <f t="shared" si="1333"/>
        <v>0</v>
      </c>
      <c r="CD193" s="91">
        <f t="shared" si="1334"/>
        <v>0</v>
      </c>
      <c r="CS193" s="91">
        <f t="shared" si="1419"/>
        <v>0</v>
      </c>
      <c r="CT193" s="91">
        <f t="shared" si="1420"/>
        <v>0</v>
      </c>
      <c r="DI193" s="91">
        <f t="shared" si="1337"/>
        <v>0</v>
      </c>
      <c r="DJ193" s="91">
        <f t="shared" si="1338"/>
        <v>0</v>
      </c>
      <c r="DY193" s="91">
        <f t="shared" si="1339"/>
        <v>0</v>
      </c>
      <c r="DZ193" s="91">
        <f t="shared" si="1340"/>
        <v>0</v>
      </c>
      <c r="EO193" s="91">
        <f t="shared" si="1341"/>
        <v>0</v>
      </c>
      <c r="EP193" s="91">
        <f t="shared" si="1342"/>
        <v>0</v>
      </c>
      <c r="FE193" s="91">
        <f t="shared" si="1343"/>
        <v>0</v>
      </c>
      <c r="FF193" s="91">
        <f t="shared" si="1344"/>
        <v>0</v>
      </c>
      <c r="FU193" s="91">
        <f t="shared" si="1345"/>
        <v>0</v>
      </c>
      <c r="FV193" s="91">
        <f t="shared" si="1346"/>
        <v>0</v>
      </c>
      <c r="GK193" s="91">
        <f t="shared" si="1347"/>
        <v>0</v>
      </c>
      <c r="GL193" s="91">
        <f t="shared" si="1348"/>
        <v>0</v>
      </c>
      <c r="HA193" s="91">
        <f t="shared" si="1349"/>
        <v>0</v>
      </c>
      <c r="HB193" s="91">
        <f t="shared" si="1350"/>
        <v>0</v>
      </c>
      <c r="HQ193" s="91">
        <f t="shared" si="1351"/>
        <v>0</v>
      </c>
      <c r="HR193" s="91">
        <f t="shared" si="1352"/>
        <v>0</v>
      </c>
      <c r="IG193" s="91">
        <f t="shared" si="1353"/>
        <v>0</v>
      </c>
      <c r="IH193" s="91">
        <f t="shared" si="1354"/>
        <v>0</v>
      </c>
      <c r="IW193" s="91">
        <f t="shared" si="1355"/>
        <v>0</v>
      </c>
      <c r="IX193" s="91">
        <f t="shared" si="1356"/>
        <v>0</v>
      </c>
      <c r="JM193" s="91">
        <f t="shared" si="1357"/>
        <v>0</v>
      </c>
      <c r="JN193" s="91">
        <f t="shared" si="1358"/>
        <v>0</v>
      </c>
      <c r="KC193" s="91">
        <f t="shared" si="1359"/>
        <v>0</v>
      </c>
      <c r="KD193" s="91">
        <f t="shared" si="1360"/>
        <v>0</v>
      </c>
      <c r="KS193" s="91">
        <f t="shared" si="1361"/>
        <v>0</v>
      </c>
      <c r="KT193" s="91">
        <f t="shared" si="1362"/>
        <v>0</v>
      </c>
      <c r="LI193" s="91">
        <f t="shared" si="1363"/>
        <v>0</v>
      </c>
      <c r="LJ193" s="91">
        <f t="shared" si="1364"/>
        <v>0</v>
      </c>
      <c r="LY193" s="91">
        <f t="shared" si="1365"/>
        <v>0</v>
      </c>
      <c r="LZ193" s="91">
        <f t="shared" si="1366"/>
        <v>0</v>
      </c>
      <c r="MC193" s="98">
        <v>8000</v>
      </c>
      <c r="MD193" s="98">
        <v>320000</v>
      </c>
      <c r="MO193" s="91">
        <f t="shared" si="1367"/>
        <v>8000</v>
      </c>
      <c r="MP193" s="91">
        <f t="shared" si="1368"/>
        <v>320000</v>
      </c>
      <c r="NE193" s="91">
        <f t="shared" si="1369"/>
        <v>0</v>
      </c>
      <c r="NF193" s="91">
        <f t="shared" si="1370"/>
        <v>0</v>
      </c>
      <c r="NI193" s="98">
        <v>50300</v>
      </c>
      <c r="NJ193" s="98">
        <v>2263500</v>
      </c>
      <c r="NU193" s="91">
        <f t="shared" si="1371"/>
        <v>50300</v>
      </c>
      <c r="NV193" s="91">
        <f t="shared" si="1372"/>
        <v>2263500</v>
      </c>
      <c r="OK193" s="91">
        <f t="shared" si="1373"/>
        <v>0</v>
      </c>
      <c r="OL193" s="91">
        <f t="shared" si="1374"/>
        <v>0</v>
      </c>
      <c r="PA193" s="91">
        <f t="shared" si="1375"/>
        <v>0</v>
      </c>
      <c r="PB193" s="91">
        <f t="shared" si="1376"/>
        <v>0</v>
      </c>
      <c r="PQ193" s="91">
        <f t="shared" si="1377"/>
        <v>0</v>
      </c>
      <c r="PR193" s="91">
        <f t="shared" si="1378"/>
        <v>0</v>
      </c>
      <c r="QG193" s="91">
        <f t="shared" si="1379"/>
        <v>0</v>
      </c>
      <c r="QH193" s="91">
        <f t="shared" si="1380"/>
        <v>0</v>
      </c>
      <c r="QW193" s="91">
        <f t="shared" si="1381"/>
        <v>0</v>
      </c>
      <c r="QX193" s="91">
        <f t="shared" si="1382"/>
        <v>0</v>
      </c>
      <c r="RM193" s="91">
        <f t="shared" si="1383"/>
        <v>0</v>
      </c>
      <c r="RN193" s="91">
        <f t="shared" si="1384"/>
        <v>0</v>
      </c>
      <c r="SC193" s="91">
        <f t="shared" si="1385"/>
        <v>0</v>
      </c>
      <c r="SD193" s="91">
        <f t="shared" si="1386"/>
        <v>0</v>
      </c>
      <c r="SS193" s="91">
        <f t="shared" si="1387"/>
        <v>0</v>
      </c>
      <c r="ST193" s="91">
        <f t="shared" si="1388"/>
        <v>0</v>
      </c>
      <c r="TI193" s="91">
        <f t="shared" si="1389"/>
        <v>0</v>
      </c>
      <c r="TJ193" s="91">
        <f t="shared" si="1390"/>
        <v>0</v>
      </c>
      <c r="TY193" s="91">
        <f t="shared" si="1391"/>
        <v>0</v>
      </c>
      <c r="TZ193" s="91">
        <f t="shared" si="1392"/>
        <v>0</v>
      </c>
      <c r="UO193" s="91">
        <f t="shared" si="1393"/>
        <v>0</v>
      </c>
      <c r="UP193" s="91">
        <f t="shared" si="1394"/>
        <v>0</v>
      </c>
      <c r="VE193" s="91">
        <f t="shared" si="1395"/>
        <v>0</v>
      </c>
      <c r="VF193" s="91">
        <f t="shared" si="1396"/>
        <v>0</v>
      </c>
      <c r="VU193" s="91">
        <f t="shared" si="1397"/>
        <v>0</v>
      </c>
      <c r="VV193" s="91">
        <f t="shared" si="1398"/>
        <v>0</v>
      </c>
      <c r="WK193" s="91">
        <f t="shared" si="1399"/>
        <v>0</v>
      </c>
      <c r="WL193" s="91">
        <f t="shared" si="1400"/>
        <v>0</v>
      </c>
      <c r="WM193" s="89"/>
      <c r="WN193" s="87">
        <f t="shared" si="1401"/>
        <v>0</v>
      </c>
      <c r="WO193" s="87">
        <f t="shared" si="1402"/>
        <v>0</v>
      </c>
      <c r="WP193" s="87">
        <f t="shared" si="1403"/>
        <v>64700</v>
      </c>
      <c r="WQ193" s="87">
        <f t="shared" si="1404"/>
        <v>2839500</v>
      </c>
      <c r="WR193" s="87">
        <f t="shared" si="1405"/>
        <v>0</v>
      </c>
      <c r="WS193" s="87">
        <f t="shared" si="1406"/>
        <v>0</v>
      </c>
      <c r="WT193" s="87">
        <f t="shared" si="1407"/>
        <v>0</v>
      </c>
      <c r="WU193" s="87">
        <f t="shared" si="1408"/>
        <v>0</v>
      </c>
      <c r="WV193" s="87">
        <f t="shared" si="1409"/>
        <v>0</v>
      </c>
      <c r="WW193" s="87">
        <f t="shared" si="1410"/>
        <v>0</v>
      </c>
      <c r="WX193" s="87">
        <f t="shared" si="1411"/>
        <v>0</v>
      </c>
      <c r="WY193" s="87">
        <f t="shared" si="1412"/>
        <v>0</v>
      </c>
      <c r="WZ193" s="87">
        <f t="shared" si="1421"/>
        <v>0</v>
      </c>
      <c r="XA193" s="87">
        <f t="shared" si="1422"/>
        <v>0</v>
      </c>
      <c r="XB193" s="92">
        <f t="shared" si="1423"/>
        <v>64700</v>
      </c>
      <c r="XC193" s="92">
        <f t="shared" si="1424"/>
        <v>2839500</v>
      </c>
      <c r="XD193" s="89"/>
      <c r="XE193" s="92"/>
      <c r="XF193" s="92"/>
      <c r="XG193" s="89"/>
      <c r="XH193" s="92"/>
      <c r="XI193" s="92"/>
      <c r="XJ193" s="89"/>
      <c r="XK193" s="87"/>
      <c r="XL193" s="87"/>
      <c r="XM193" s="87"/>
      <c r="XN193" s="87"/>
      <c r="XO193" s="87"/>
      <c r="XP193" s="87"/>
      <c r="XQ193" s="87"/>
      <c r="XR193" s="92">
        <f t="shared" ca="1" si="1417"/>
        <v>0</v>
      </c>
      <c r="XS193" s="89"/>
      <c r="XT193" s="87"/>
      <c r="XU193" s="87"/>
      <c r="XV193" s="87"/>
      <c r="XW193" s="87"/>
      <c r="XX193" s="87"/>
      <c r="XY193" s="87"/>
      <c r="XZ193" s="87"/>
      <c r="YA193" s="92">
        <f t="shared" ca="1" si="1418"/>
        <v>0</v>
      </c>
      <c r="YB193" s="90"/>
      <c r="YC193" s="90"/>
      <c r="YD193" s="90"/>
      <c r="YE193" s="90"/>
      <c r="YF193" s="90"/>
      <c r="YG193" s="90"/>
      <c r="YH193" s="90"/>
      <c r="YI193" s="90"/>
      <c r="YJ193" s="90"/>
      <c r="YK193" s="90"/>
      <c r="YL193" s="90"/>
      <c r="YM193" s="90"/>
      <c r="YN193" s="90"/>
      <c r="YO193" s="90"/>
      <c r="YP193" s="90"/>
      <c r="YQ193" s="90"/>
      <c r="YR193" s="90"/>
      <c r="YS193" s="90"/>
      <c r="YT193" s="90"/>
      <c r="YU193" s="90"/>
      <c r="YV193" s="90"/>
      <c r="YW193" s="90"/>
      <c r="YX193" s="90"/>
      <c r="YY193" s="90"/>
      <c r="YZ193" s="90"/>
      <c r="ZA193" s="90"/>
      <c r="ZB193" s="90"/>
      <c r="ZC193" s="90"/>
      <c r="ZD193" s="90"/>
      <c r="ZE193" s="90"/>
      <c r="ZF193" s="90"/>
      <c r="ZG193" s="90"/>
      <c r="ZH193" s="90"/>
      <c r="ZI193" s="90"/>
      <c r="ZJ193" s="90"/>
      <c r="ZK193" s="90"/>
      <c r="ZL193" s="90"/>
      <c r="ZM193" s="90"/>
      <c r="ZN193" s="90"/>
      <c r="ZO193" s="90"/>
      <c r="ZP193" s="90"/>
      <c r="ZQ193" s="90"/>
      <c r="ZR193" s="90"/>
      <c r="ZS193" s="90"/>
      <c r="ZT193" s="90"/>
      <c r="ZU193" s="90"/>
      <c r="ZV193" s="90"/>
      <c r="ZW193" s="90"/>
      <c r="ZX193" s="90"/>
      <c r="ZY193" s="90"/>
      <c r="ZZ193" s="90"/>
      <c r="AAA193" s="90"/>
      <c r="AAB193" s="90"/>
      <c r="AAC193" s="90"/>
      <c r="AAD193" s="90"/>
      <c r="AAE193" s="90"/>
      <c r="AAF193" s="90"/>
      <c r="AAG193" s="90"/>
      <c r="AAH193" s="90"/>
      <c r="AAI193" s="90"/>
      <c r="AAJ193" s="90"/>
      <c r="AAK193" s="90"/>
      <c r="AAL193" s="90"/>
      <c r="AAM193" s="90"/>
      <c r="AAN193" s="90"/>
      <c r="AAO193" s="90"/>
      <c r="AAP193" s="90"/>
      <c r="AAQ193" s="90"/>
      <c r="AAR193" s="90"/>
      <c r="AAS193" s="90"/>
      <c r="AAT193" s="90"/>
      <c r="AAU193" s="90"/>
      <c r="AAV193" s="90"/>
      <c r="AAW193" s="90"/>
      <c r="AAX193" s="90"/>
      <c r="AAY193" s="90"/>
      <c r="AAZ193" s="90"/>
      <c r="ABA193" s="90"/>
      <c r="ABB193" s="90"/>
      <c r="ABC193" s="90"/>
      <c r="ABD193" s="90"/>
      <c r="ABE193" s="90"/>
      <c r="ABF193" s="90"/>
      <c r="ABG193" s="90"/>
      <c r="ABH193" s="90"/>
      <c r="ABI193" s="90"/>
      <c r="ABJ193" s="90"/>
      <c r="ABK193" s="90"/>
      <c r="ABL193" s="90"/>
      <c r="ABM193" s="90"/>
      <c r="ABN193" s="90"/>
      <c r="ABO193" s="90"/>
      <c r="ABP193" s="90"/>
      <c r="ABQ193" s="90"/>
      <c r="ABR193" s="90"/>
      <c r="ABS193" s="90"/>
      <c r="ABT193" s="90"/>
      <c r="ABU193" s="90"/>
      <c r="ABV193" s="90"/>
      <c r="ABW193" s="90"/>
      <c r="ABX193" s="90"/>
      <c r="ABY193" s="90"/>
      <c r="ABZ193" s="90"/>
      <c r="ACA193" s="90"/>
      <c r="ACB193" s="90"/>
      <c r="ACC193" s="90"/>
      <c r="ACD193" s="90"/>
      <c r="ACE193" s="90"/>
      <c r="ACF193" s="90"/>
      <c r="ACG193" s="90"/>
      <c r="ACH193" s="90"/>
      <c r="ACI193" s="90"/>
      <c r="ACJ193" s="90"/>
      <c r="ACK193" s="90"/>
      <c r="ACL193" s="90"/>
      <c r="ACM193" s="90"/>
      <c r="ACN193" s="90"/>
      <c r="ACO193" s="90"/>
      <c r="ACP193" s="90"/>
      <c r="ACQ193" s="90"/>
      <c r="ACR193" s="90"/>
      <c r="ACS193" s="90"/>
      <c r="ACT193" s="90"/>
      <c r="ACU193" s="90"/>
      <c r="ACV193" s="90"/>
      <c r="ACW193" s="90"/>
      <c r="ACX193" s="90"/>
      <c r="ACY193" s="90"/>
      <c r="ACZ193" s="90"/>
      <c r="ADA193" s="90"/>
      <c r="ADB193" s="90"/>
      <c r="ADC193" s="90"/>
      <c r="ADD193" s="90"/>
      <c r="ADE193" s="90"/>
      <c r="ADF193" s="90"/>
      <c r="ADG193" s="90"/>
      <c r="ADH193" s="90"/>
      <c r="ADI193" s="90"/>
      <c r="ADJ193" s="90"/>
      <c r="ADK193" s="90"/>
      <c r="ADL193" s="90"/>
      <c r="ADM193" s="90"/>
      <c r="ADN193" s="90"/>
      <c r="ADO193" s="90"/>
      <c r="ADP193" s="90"/>
      <c r="ADQ193" s="90"/>
      <c r="ADR193" s="90"/>
      <c r="ADS193" s="90"/>
      <c r="ADT193" s="90"/>
      <c r="ADU193" s="90"/>
      <c r="ADV193" s="90"/>
      <c r="ADW193" s="90"/>
      <c r="ADX193" s="90"/>
      <c r="ADY193" s="90"/>
      <c r="ADZ193" s="90"/>
      <c r="AEA193" s="90"/>
      <c r="AEB193" s="90"/>
      <c r="AEC193" s="90"/>
      <c r="AED193" s="90"/>
      <c r="AEE193" s="90"/>
      <c r="AEF193" s="90"/>
      <c r="AEG193" s="90"/>
      <c r="AEH193" s="90"/>
      <c r="AEI193" s="90"/>
      <c r="AEJ193" s="90"/>
      <c r="AEK193" s="90"/>
      <c r="AEL193" s="90"/>
      <c r="AEM193" s="90"/>
      <c r="AEN193" s="90"/>
      <c r="AEO193" s="90"/>
      <c r="AEP193" s="90"/>
      <c r="AEQ193" s="90"/>
      <c r="AER193" s="90"/>
      <c r="AES193" s="90"/>
      <c r="AET193" s="90"/>
      <c r="AEU193" s="90"/>
      <c r="AEV193" s="90"/>
      <c r="AEW193" s="90"/>
      <c r="AEX193" s="90"/>
      <c r="AEY193" s="90"/>
      <c r="AEZ193" s="90"/>
      <c r="AFA193" s="90"/>
      <c r="AFB193" s="90"/>
      <c r="AFC193" s="90"/>
      <c r="AFD193" s="90"/>
      <c r="AFE193" s="90"/>
      <c r="AFF193" s="90"/>
      <c r="AFG193" s="90"/>
      <c r="AFH193" s="90"/>
      <c r="AFI193" s="90"/>
      <c r="AFJ193" s="90"/>
      <c r="AFK193" s="90"/>
      <c r="AFL193" s="90"/>
      <c r="AFM193" s="90"/>
      <c r="AFN193" s="90"/>
      <c r="AFO193" s="90"/>
      <c r="AFP193" s="90"/>
      <c r="AFQ193" s="90"/>
      <c r="AFR193" s="90"/>
      <c r="AFS193" s="90"/>
      <c r="AFT193" s="90"/>
      <c r="AFU193" s="90"/>
      <c r="AFV193" s="90"/>
      <c r="AFW193" s="90"/>
      <c r="AFX193" s="90"/>
      <c r="AFY193" s="90"/>
      <c r="AFZ193" s="90"/>
      <c r="AGA193" s="90"/>
      <c r="AGB193" s="90"/>
      <c r="AGC193" s="90"/>
      <c r="AGD193" s="90"/>
      <c r="AGE193" s="90"/>
      <c r="AGF193" s="90"/>
      <c r="AGG193" s="90"/>
      <c r="AGH193" s="90"/>
      <c r="AGI193" s="90"/>
      <c r="AGJ193" s="90"/>
      <c r="AGK193" s="90"/>
      <c r="AGL193" s="90"/>
      <c r="AGM193" s="90"/>
      <c r="AGN193" s="90"/>
      <c r="AGO193" s="90"/>
      <c r="AGP193" s="90"/>
      <c r="AGQ193" s="90"/>
      <c r="AGR193" s="90"/>
      <c r="AGS193" s="90"/>
      <c r="AGT193" s="90"/>
      <c r="AGU193" s="90"/>
      <c r="AGV193" s="90"/>
      <c r="AGW193" s="90"/>
      <c r="AGX193" s="90"/>
      <c r="AGY193" s="90"/>
      <c r="AGZ193" s="90"/>
      <c r="AHA193" s="90"/>
      <c r="AHB193" s="90"/>
      <c r="AHC193" s="90"/>
      <c r="AHD193" s="90"/>
      <c r="AHE193" s="90"/>
      <c r="AHF193" s="90"/>
      <c r="AHG193" s="90"/>
      <c r="AHH193" s="90"/>
      <c r="AHI193" s="90"/>
      <c r="AHJ193" s="90"/>
      <c r="AHK193" s="90"/>
      <c r="AHL193" s="90"/>
      <c r="AHM193" s="90"/>
      <c r="AHN193" s="90"/>
      <c r="AHO193" s="90"/>
      <c r="AHP193" s="90"/>
      <c r="AHQ193" s="90"/>
      <c r="AHR193" s="90"/>
      <c r="AHS193" s="90"/>
      <c r="AHT193" s="90"/>
      <c r="AHU193" s="90"/>
      <c r="AHV193" s="90"/>
      <c r="AHW193" s="90"/>
      <c r="AHX193" s="90"/>
      <c r="AHY193" s="90"/>
      <c r="AHZ193" s="90"/>
      <c r="AIA193" s="90"/>
      <c r="AIB193" s="90"/>
      <c r="AIC193" s="90"/>
      <c r="AID193" s="90"/>
      <c r="AIE193" s="90"/>
      <c r="AIF193" s="90"/>
      <c r="AIG193" s="90"/>
      <c r="AIH193" s="90"/>
      <c r="AII193" s="90"/>
      <c r="AIJ193" s="90"/>
      <c r="AIK193" s="90"/>
      <c r="AIL193" s="90"/>
      <c r="AIM193" s="90"/>
      <c r="AIN193" s="90"/>
      <c r="AIO193" s="90"/>
      <c r="AIP193" s="90"/>
      <c r="AIQ193" s="90"/>
      <c r="AIR193" s="90"/>
      <c r="AIS193" s="90"/>
      <c r="AIT193" s="90"/>
      <c r="AIU193" s="90"/>
      <c r="AIV193" s="90"/>
      <c r="AIW193" s="90"/>
      <c r="AIX193" s="90"/>
      <c r="AIY193" s="90"/>
      <c r="AIZ193" s="90"/>
      <c r="AJA193" s="90"/>
      <c r="AJB193" s="90"/>
      <c r="AJC193" s="90"/>
      <c r="AJD193" s="90"/>
      <c r="AJE193" s="90"/>
      <c r="AJF193" s="90"/>
      <c r="AJG193" s="90"/>
      <c r="AJH193" s="90"/>
      <c r="AJI193" s="90"/>
      <c r="AJJ193" s="90"/>
      <c r="AJK193" s="90"/>
      <c r="AJL193" s="90"/>
      <c r="AJM193" s="90"/>
      <c r="AJN193" s="90"/>
      <c r="AJO193" s="90"/>
      <c r="AJP193" s="90"/>
      <c r="AJQ193" s="90"/>
      <c r="AJR193" s="90"/>
      <c r="AJS193" s="90"/>
      <c r="AJT193" s="90"/>
      <c r="AJU193" s="90"/>
      <c r="AJV193" s="90"/>
      <c r="AJW193" s="90"/>
      <c r="AJX193" s="90"/>
      <c r="AJY193" s="90"/>
      <c r="AJZ193" s="90"/>
      <c r="AKA193" s="90"/>
      <c r="AKB193" s="90"/>
      <c r="AKC193" s="90"/>
      <c r="AKD193" s="90"/>
      <c r="AKE193" s="90"/>
      <c r="AKF193" s="90"/>
      <c r="AKG193" s="90"/>
      <c r="AKH193" s="90"/>
      <c r="AKI193" s="90"/>
      <c r="AKJ193" s="90"/>
      <c r="AKK193" s="90"/>
      <c r="AKL193" s="90"/>
      <c r="AKM193" s="90"/>
      <c r="AKN193" s="90"/>
      <c r="AKO193" s="90"/>
      <c r="AKP193" s="90"/>
      <c r="AKQ193" s="90"/>
      <c r="AKR193" s="90"/>
      <c r="AKS193" s="90"/>
      <c r="AKT193" s="90"/>
      <c r="AKU193" s="90"/>
      <c r="AKV193" s="90"/>
      <c r="AKW193" s="90"/>
      <c r="AKX193" s="90"/>
      <c r="AKY193" s="90"/>
      <c r="AKZ193" s="90"/>
      <c r="ALA193" s="90"/>
      <c r="ALB193" s="90"/>
      <c r="ALC193" s="90"/>
      <c r="ALD193" s="90"/>
      <c r="ALE193" s="90"/>
      <c r="ALF193" s="90"/>
      <c r="ALG193" s="90"/>
      <c r="ALH193" s="90"/>
      <c r="ALI193" s="90"/>
      <c r="ALJ193" s="90"/>
      <c r="ALK193" s="90"/>
      <c r="ALL193" s="90"/>
      <c r="ALM193" s="90"/>
      <c r="ALN193" s="90"/>
      <c r="ALO193" s="90"/>
      <c r="ALP193" s="90"/>
      <c r="ALQ193" s="90"/>
      <c r="ALR193" s="90"/>
      <c r="ALS193" s="90"/>
      <c r="ALT193" s="90"/>
      <c r="ALU193" s="90"/>
      <c r="ALV193" s="90"/>
      <c r="ALW193" s="90"/>
      <c r="ALX193" s="90"/>
      <c r="ALY193" s="90"/>
      <c r="ALZ193" s="90"/>
      <c r="AMA193" s="90"/>
      <c r="AMB193" s="90"/>
      <c r="AMC193" s="90"/>
    </row>
    <row r="194" spans="1:1017">
      <c r="A194" s="98" t="s">
        <v>49</v>
      </c>
      <c r="B194" s="90" t="str">
        <f t="shared" si="1425"/>
        <v xml:space="preserve">Udang_02 (Udang Rebon) </v>
      </c>
      <c r="Q194" s="91">
        <f t="shared" si="1325"/>
        <v>0</v>
      </c>
      <c r="R194" s="91">
        <f t="shared" si="1326"/>
        <v>0</v>
      </c>
      <c r="AG194" s="91">
        <f t="shared" si="1327"/>
        <v>0</v>
      </c>
      <c r="AH194" s="91">
        <f t="shared" si="1328"/>
        <v>0</v>
      </c>
      <c r="AW194" s="91">
        <f t="shared" si="1329"/>
        <v>0</v>
      </c>
      <c r="AX194" s="91">
        <f t="shared" si="1330"/>
        <v>0</v>
      </c>
      <c r="BM194" s="91">
        <f t="shared" si="1331"/>
        <v>0</v>
      </c>
      <c r="BN194" s="91">
        <f t="shared" si="1332"/>
        <v>0</v>
      </c>
      <c r="CC194" s="91">
        <f t="shared" si="1333"/>
        <v>0</v>
      </c>
      <c r="CD194" s="91">
        <f t="shared" si="1334"/>
        <v>0</v>
      </c>
      <c r="CS194" s="91">
        <f t="shared" si="1419"/>
        <v>0</v>
      </c>
      <c r="CT194" s="91">
        <f t="shared" si="1420"/>
        <v>0</v>
      </c>
      <c r="DI194" s="91">
        <f t="shared" si="1337"/>
        <v>0</v>
      </c>
      <c r="DJ194" s="91">
        <f t="shared" si="1338"/>
        <v>0</v>
      </c>
      <c r="DY194" s="91">
        <f t="shared" si="1339"/>
        <v>0</v>
      </c>
      <c r="DZ194" s="91">
        <f t="shared" si="1340"/>
        <v>0</v>
      </c>
      <c r="EO194" s="91">
        <f t="shared" si="1341"/>
        <v>0</v>
      </c>
      <c r="EP194" s="91">
        <f t="shared" si="1342"/>
        <v>0</v>
      </c>
      <c r="FE194" s="91">
        <f t="shared" si="1343"/>
        <v>0</v>
      </c>
      <c r="FF194" s="91">
        <f t="shared" si="1344"/>
        <v>0</v>
      </c>
      <c r="FU194" s="91">
        <f t="shared" si="1345"/>
        <v>0</v>
      </c>
      <c r="FV194" s="91">
        <f t="shared" si="1346"/>
        <v>0</v>
      </c>
      <c r="GK194" s="91">
        <f t="shared" si="1347"/>
        <v>0</v>
      </c>
      <c r="GL194" s="91">
        <f t="shared" si="1348"/>
        <v>0</v>
      </c>
      <c r="HA194" s="91">
        <f t="shared" si="1349"/>
        <v>0</v>
      </c>
      <c r="HB194" s="91">
        <f t="shared" si="1350"/>
        <v>0</v>
      </c>
      <c r="HQ194" s="91">
        <f t="shared" si="1351"/>
        <v>0</v>
      </c>
      <c r="HR194" s="91">
        <f t="shared" si="1352"/>
        <v>0</v>
      </c>
      <c r="IG194" s="91">
        <f t="shared" si="1353"/>
        <v>0</v>
      </c>
      <c r="IH194" s="91">
        <f t="shared" si="1354"/>
        <v>0</v>
      </c>
      <c r="IW194" s="91">
        <f t="shared" si="1355"/>
        <v>0</v>
      </c>
      <c r="IX194" s="91">
        <f t="shared" si="1356"/>
        <v>0</v>
      </c>
      <c r="JM194" s="91">
        <f t="shared" si="1357"/>
        <v>0</v>
      </c>
      <c r="JN194" s="91">
        <f t="shared" si="1358"/>
        <v>0</v>
      </c>
      <c r="KC194" s="91">
        <f t="shared" si="1359"/>
        <v>0</v>
      </c>
      <c r="KD194" s="91">
        <f t="shared" si="1360"/>
        <v>0</v>
      </c>
      <c r="KS194" s="91">
        <f t="shared" si="1361"/>
        <v>0</v>
      </c>
      <c r="KT194" s="91">
        <f t="shared" si="1362"/>
        <v>0</v>
      </c>
      <c r="LI194" s="91">
        <f t="shared" si="1363"/>
        <v>0</v>
      </c>
      <c r="LJ194" s="91">
        <f t="shared" si="1364"/>
        <v>0</v>
      </c>
      <c r="LY194" s="91">
        <f t="shared" si="1365"/>
        <v>0</v>
      </c>
      <c r="LZ194" s="91">
        <f t="shared" si="1366"/>
        <v>0</v>
      </c>
      <c r="MO194" s="91">
        <f t="shared" si="1367"/>
        <v>0</v>
      </c>
      <c r="MP194" s="91">
        <f t="shared" si="1368"/>
        <v>0</v>
      </c>
      <c r="NE194" s="91">
        <f t="shared" si="1369"/>
        <v>0</v>
      </c>
      <c r="NF194" s="91">
        <f t="shared" si="1370"/>
        <v>0</v>
      </c>
      <c r="NI194" s="98">
        <v>184200</v>
      </c>
      <c r="NJ194" s="98">
        <v>7368000</v>
      </c>
      <c r="NU194" s="91">
        <f t="shared" si="1371"/>
        <v>184200</v>
      </c>
      <c r="NV194" s="91">
        <f t="shared" si="1372"/>
        <v>7368000</v>
      </c>
      <c r="OK194" s="91">
        <f t="shared" si="1373"/>
        <v>0</v>
      </c>
      <c r="OL194" s="91">
        <f t="shared" si="1374"/>
        <v>0</v>
      </c>
      <c r="PA194" s="91">
        <f t="shared" si="1375"/>
        <v>0</v>
      </c>
      <c r="PB194" s="91">
        <f t="shared" si="1376"/>
        <v>0</v>
      </c>
      <c r="PQ194" s="91">
        <f t="shared" si="1377"/>
        <v>0</v>
      </c>
      <c r="PR194" s="91">
        <f t="shared" si="1378"/>
        <v>0</v>
      </c>
      <c r="QG194" s="91">
        <f t="shared" si="1379"/>
        <v>0</v>
      </c>
      <c r="QH194" s="91">
        <f t="shared" si="1380"/>
        <v>0</v>
      </c>
      <c r="QW194" s="91">
        <f t="shared" si="1381"/>
        <v>0</v>
      </c>
      <c r="QX194" s="91">
        <f t="shared" si="1382"/>
        <v>0</v>
      </c>
      <c r="RM194" s="91">
        <f t="shared" si="1383"/>
        <v>0</v>
      </c>
      <c r="RN194" s="91">
        <f t="shared" si="1384"/>
        <v>0</v>
      </c>
      <c r="SC194" s="91">
        <f t="shared" si="1385"/>
        <v>0</v>
      </c>
      <c r="SD194" s="91">
        <f t="shared" si="1386"/>
        <v>0</v>
      </c>
      <c r="SS194" s="91">
        <f t="shared" si="1387"/>
        <v>0</v>
      </c>
      <c r="ST194" s="91">
        <f t="shared" si="1388"/>
        <v>0</v>
      </c>
      <c r="TI194" s="91">
        <f t="shared" si="1389"/>
        <v>0</v>
      </c>
      <c r="TJ194" s="91">
        <f t="shared" si="1390"/>
        <v>0</v>
      </c>
      <c r="TY194" s="91">
        <f t="shared" si="1391"/>
        <v>0</v>
      </c>
      <c r="TZ194" s="91">
        <f t="shared" si="1392"/>
        <v>0</v>
      </c>
      <c r="UO194" s="91">
        <f t="shared" si="1393"/>
        <v>0</v>
      </c>
      <c r="UP194" s="91">
        <f t="shared" si="1394"/>
        <v>0</v>
      </c>
      <c r="VE194" s="91">
        <f t="shared" si="1395"/>
        <v>0</v>
      </c>
      <c r="VF194" s="91">
        <f t="shared" si="1396"/>
        <v>0</v>
      </c>
      <c r="VU194" s="91">
        <f t="shared" si="1397"/>
        <v>0</v>
      </c>
      <c r="VV194" s="91">
        <f t="shared" si="1398"/>
        <v>0</v>
      </c>
      <c r="WK194" s="91">
        <f t="shared" si="1399"/>
        <v>0</v>
      </c>
      <c r="WL194" s="91">
        <f t="shared" si="1400"/>
        <v>0</v>
      </c>
      <c r="WM194" s="89"/>
      <c r="WN194" s="87">
        <f t="shared" ref="WN194:WN202" si="1426">SUMIF($C$5:$WL$5,$WN$5,C194:WL194)</f>
        <v>0</v>
      </c>
      <c r="WO194" s="87">
        <f t="shared" ref="WO194:WO202" si="1427">SUMIF($C$5:$WL$5,$WO$5,C194:WL194)</f>
        <v>0</v>
      </c>
      <c r="WP194" s="87">
        <f t="shared" ref="WP194:WP202" si="1428">SUMIF($C$5:$WL$5,$WP$5,C194:WL194)</f>
        <v>184200</v>
      </c>
      <c r="WQ194" s="87">
        <f t="shared" ref="WQ194:WQ202" si="1429">SUMIF($C$5:$WL$5,$WQ$5,C194:WL194)</f>
        <v>7368000</v>
      </c>
      <c r="WR194" s="87">
        <f t="shared" ref="WR194:WR202" si="1430">SUMIF($C$5:$WL$5,$WR$5,C194:WL194)</f>
        <v>0</v>
      </c>
      <c r="WS194" s="87">
        <f t="shared" ref="WS194:WS202" si="1431">SUMIF($C$5:$WL$5,$WS$5,C194:WL194)</f>
        <v>0</v>
      </c>
      <c r="WT194" s="87">
        <f t="shared" ref="WT194:WT202" si="1432">SUMIF($C$5:$WL$5,$WT$5,C194:WL194)</f>
        <v>0</v>
      </c>
      <c r="WU194" s="87">
        <f t="shared" ref="WU194:WU202" si="1433">SUMIF($C$5:$WL$5,$WU$5,C194:WL194)</f>
        <v>0</v>
      </c>
      <c r="WV194" s="87">
        <f t="shared" ref="WV194:WV202" si="1434">SUMIF($C$5:$WL$5,$WV$5,C194:WL194)</f>
        <v>0</v>
      </c>
      <c r="WW194" s="87">
        <f t="shared" ref="WW194:WW202" si="1435">SUMIF($C$5:$WL$5,$WW$5,C194:WL194)</f>
        <v>0</v>
      </c>
      <c r="WX194" s="87">
        <f t="shared" ref="WX194:WX202" si="1436">SUMIF($C$5:$WL$5,$WX$5,C194:WL194)</f>
        <v>0</v>
      </c>
      <c r="WY194" s="87">
        <f t="shared" ref="WY194:WY202" si="1437">SUMIF($C$5:$WL$5,$WY$5,C194:WL194)</f>
        <v>0</v>
      </c>
      <c r="WZ194" s="87">
        <f t="shared" si="1421"/>
        <v>0</v>
      </c>
      <c r="XA194" s="87">
        <f t="shared" si="1422"/>
        <v>0</v>
      </c>
      <c r="XB194" s="92">
        <f t="shared" si="1423"/>
        <v>184200</v>
      </c>
      <c r="XC194" s="92">
        <f t="shared" si="1424"/>
        <v>7368000</v>
      </c>
      <c r="XD194" s="89"/>
      <c r="XE194" s="92"/>
      <c r="XF194" s="92"/>
      <c r="XG194" s="89"/>
      <c r="XH194" s="92"/>
      <c r="XI194" s="92"/>
      <c r="XJ194" s="89"/>
      <c r="XK194" s="87"/>
      <c r="XL194" s="87"/>
      <c r="XM194" s="87"/>
      <c r="XN194" s="87"/>
      <c r="XO194" s="87"/>
      <c r="XP194" s="87"/>
      <c r="XQ194" s="87"/>
      <c r="XR194" s="92">
        <f t="shared" ca="1" si="1417"/>
        <v>0</v>
      </c>
      <c r="XS194" s="89"/>
      <c r="XT194" s="87"/>
      <c r="XU194" s="87"/>
      <c r="XV194" s="87"/>
      <c r="XW194" s="87"/>
      <c r="XX194" s="87"/>
      <c r="XY194" s="87"/>
      <c r="XZ194" s="87"/>
      <c r="YA194" s="92">
        <f t="shared" ca="1" si="1418"/>
        <v>0</v>
      </c>
      <c r="YB194" s="90"/>
      <c r="YC194" s="90"/>
      <c r="YD194" s="90"/>
      <c r="YE194" s="90"/>
      <c r="YF194" s="90"/>
      <c r="YG194" s="90"/>
      <c r="YH194" s="90"/>
      <c r="YI194" s="90"/>
      <c r="YJ194" s="90"/>
      <c r="YK194" s="90"/>
      <c r="YL194" s="90"/>
      <c r="YM194" s="90"/>
      <c r="YN194" s="90"/>
      <c r="YO194" s="90"/>
      <c r="YP194" s="90"/>
      <c r="YQ194" s="90"/>
      <c r="YR194" s="90"/>
      <c r="YS194" s="90"/>
      <c r="YT194" s="90"/>
      <c r="YU194" s="90"/>
      <c r="YV194" s="90"/>
      <c r="YW194" s="90"/>
      <c r="YX194" s="90"/>
      <c r="YY194" s="90"/>
      <c r="YZ194" s="90"/>
      <c r="ZA194" s="90"/>
      <c r="ZB194" s="90"/>
      <c r="ZC194" s="90"/>
      <c r="ZD194" s="90"/>
      <c r="ZE194" s="90"/>
      <c r="ZF194" s="90"/>
      <c r="ZG194" s="90"/>
      <c r="ZH194" s="90"/>
      <c r="ZI194" s="90"/>
      <c r="ZJ194" s="90"/>
      <c r="ZK194" s="90"/>
      <c r="ZL194" s="90"/>
      <c r="ZM194" s="90"/>
      <c r="ZN194" s="90"/>
      <c r="ZO194" s="90"/>
      <c r="ZP194" s="90"/>
      <c r="ZQ194" s="90"/>
      <c r="ZR194" s="90"/>
      <c r="ZS194" s="90"/>
      <c r="ZT194" s="90"/>
      <c r="ZU194" s="90"/>
      <c r="ZV194" s="90"/>
      <c r="ZW194" s="90"/>
      <c r="ZX194" s="90"/>
      <c r="ZY194" s="90"/>
      <c r="ZZ194" s="90"/>
      <c r="AAA194" s="90"/>
      <c r="AAB194" s="90"/>
      <c r="AAC194" s="90"/>
      <c r="AAD194" s="90"/>
      <c r="AAE194" s="90"/>
      <c r="AAF194" s="90"/>
      <c r="AAG194" s="90"/>
      <c r="AAH194" s="90"/>
      <c r="AAI194" s="90"/>
      <c r="AAJ194" s="90"/>
      <c r="AAK194" s="90"/>
      <c r="AAL194" s="90"/>
      <c r="AAM194" s="90"/>
      <c r="AAN194" s="90"/>
      <c r="AAO194" s="90"/>
      <c r="AAP194" s="90"/>
      <c r="AAQ194" s="90"/>
      <c r="AAR194" s="90"/>
      <c r="AAS194" s="90"/>
      <c r="AAT194" s="90"/>
      <c r="AAU194" s="90"/>
      <c r="AAV194" s="90"/>
      <c r="AAW194" s="90"/>
      <c r="AAX194" s="90"/>
      <c r="AAY194" s="90"/>
      <c r="AAZ194" s="90"/>
      <c r="ABA194" s="90"/>
      <c r="ABB194" s="90"/>
      <c r="ABC194" s="90"/>
      <c r="ABD194" s="90"/>
      <c r="ABE194" s="90"/>
      <c r="ABF194" s="90"/>
      <c r="ABG194" s="90"/>
      <c r="ABH194" s="90"/>
      <c r="ABI194" s="90"/>
      <c r="ABJ194" s="90"/>
      <c r="ABK194" s="90"/>
      <c r="ABL194" s="90"/>
      <c r="ABM194" s="90"/>
      <c r="ABN194" s="90"/>
      <c r="ABO194" s="90"/>
      <c r="ABP194" s="90"/>
      <c r="ABQ194" s="90"/>
      <c r="ABR194" s="90"/>
      <c r="ABS194" s="90"/>
      <c r="ABT194" s="90"/>
      <c r="ABU194" s="90"/>
      <c r="ABV194" s="90"/>
      <c r="ABW194" s="90"/>
      <c r="ABX194" s="90"/>
      <c r="ABY194" s="90"/>
      <c r="ABZ194" s="90"/>
      <c r="ACA194" s="90"/>
      <c r="ACB194" s="90"/>
      <c r="ACC194" s="90"/>
      <c r="ACD194" s="90"/>
      <c r="ACE194" s="90"/>
      <c r="ACF194" s="90"/>
      <c r="ACG194" s="90"/>
      <c r="ACH194" s="90"/>
      <c r="ACI194" s="90"/>
      <c r="ACJ194" s="90"/>
      <c r="ACK194" s="90"/>
      <c r="ACL194" s="90"/>
      <c r="ACM194" s="90"/>
      <c r="ACN194" s="90"/>
      <c r="ACO194" s="90"/>
      <c r="ACP194" s="90"/>
      <c r="ACQ194" s="90"/>
      <c r="ACR194" s="90"/>
      <c r="ACS194" s="90"/>
      <c r="ACT194" s="90"/>
      <c r="ACU194" s="90"/>
      <c r="ACV194" s="90"/>
      <c r="ACW194" s="90"/>
      <c r="ACX194" s="90"/>
      <c r="ACY194" s="90"/>
      <c r="ACZ194" s="90"/>
      <c r="ADA194" s="90"/>
      <c r="ADB194" s="90"/>
      <c r="ADC194" s="90"/>
      <c r="ADD194" s="90"/>
      <c r="ADE194" s="90"/>
      <c r="ADF194" s="90"/>
      <c r="ADG194" s="90"/>
      <c r="ADH194" s="90"/>
      <c r="ADI194" s="90"/>
      <c r="ADJ194" s="90"/>
      <c r="ADK194" s="90"/>
      <c r="ADL194" s="90"/>
      <c r="ADM194" s="90"/>
      <c r="ADN194" s="90"/>
      <c r="ADO194" s="90"/>
      <c r="ADP194" s="90"/>
      <c r="ADQ194" s="90"/>
      <c r="ADR194" s="90"/>
      <c r="ADS194" s="90"/>
      <c r="ADT194" s="90"/>
      <c r="ADU194" s="90"/>
      <c r="ADV194" s="90"/>
      <c r="ADW194" s="90"/>
      <c r="ADX194" s="90"/>
      <c r="ADY194" s="90"/>
      <c r="ADZ194" s="90"/>
      <c r="AEA194" s="90"/>
      <c r="AEB194" s="90"/>
      <c r="AEC194" s="90"/>
      <c r="AED194" s="90"/>
      <c r="AEE194" s="90"/>
      <c r="AEF194" s="90"/>
      <c r="AEG194" s="90"/>
      <c r="AEH194" s="90"/>
      <c r="AEI194" s="90"/>
      <c r="AEJ194" s="90"/>
      <c r="AEK194" s="90"/>
      <c r="AEL194" s="90"/>
      <c r="AEM194" s="90"/>
      <c r="AEN194" s="90"/>
      <c r="AEO194" s="90"/>
      <c r="AEP194" s="90"/>
      <c r="AEQ194" s="90"/>
      <c r="AER194" s="90"/>
      <c r="AES194" s="90"/>
      <c r="AET194" s="90"/>
      <c r="AEU194" s="90"/>
      <c r="AEV194" s="90"/>
      <c r="AEW194" s="90"/>
      <c r="AEX194" s="90"/>
      <c r="AEY194" s="90"/>
      <c r="AEZ194" s="90"/>
      <c r="AFA194" s="90"/>
      <c r="AFB194" s="90"/>
      <c r="AFC194" s="90"/>
      <c r="AFD194" s="90"/>
      <c r="AFE194" s="90"/>
      <c r="AFF194" s="90"/>
      <c r="AFG194" s="90"/>
      <c r="AFH194" s="90"/>
      <c r="AFI194" s="90"/>
      <c r="AFJ194" s="90"/>
      <c r="AFK194" s="90"/>
      <c r="AFL194" s="90"/>
      <c r="AFM194" s="90"/>
      <c r="AFN194" s="90"/>
      <c r="AFO194" s="90"/>
      <c r="AFP194" s="90"/>
      <c r="AFQ194" s="90"/>
      <c r="AFR194" s="90"/>
      <c r="AFS194" s="90"/>
      <c r="AFT194" s="90"/>
      <c r="AFU194" s="90"/>
      <c r="AFV194" s="90"/>
      <c r="AFW194" s="90"/>
      <c r="AFX194" s="90"/>
      <c r="AFY194" s="90"/>
      <c r="AFZ194" s="90"/>
      <c r="AGA194" s="90"/>
      <c r="AGB194" s="90"/>
      <c r="AGC194" s="90"/>
      <c r="AGD194" s="90"/>
      <c r="AGE194" s="90"/>
      <c r="AGF194" s="90"/>
      <c r="AGG194" s="90"/>
      <c r="AGH194" s="90"/>
      <c r="AGI194" s="90"/>
      <c r="AGJ194" s="90"/>
      <c r="AGK194" s="90"/>
      <c r="AGL194" s="90"/>
      <c r="AGM194" s="90"/>
      <c r="AGN194" s="90"/>
      <c r="AGO194" s="90"/>
      <c r="AGP194" s="90"/>
      <c r="AGQ194" s="90"/>
      <c r="AGR194" s="90"/>
      <c r="AGS194" s="90"/>
      <c r="AGT194" s="90"/>
      <c r="AGU194" s="90"/>
      <c r="AGV194" s="90"/>
      <c r="AGW194" s="90"/>
      <c r="AGX194" s="90"/>
      <c r="AGY194" s="90"/>
      <c r="AGZ194" s="90"/>
      <c r="AHA194" s="90"/>
      <c r="AHB194" s="90"/>
      <c r="AHC194" s="90"/>
      <c r="AHD194" s="90"/>
      <c r="AHE194" s="90"/>
      <c r="AHF194" s="90"/>
      <c r="AHG194" s="90"/>
      <c r="AHH194" s="90"/>
      <c r="AHI194" s="90"/>
      <c r="AHJ194" s="90"/>
      <c r="AHK194" s="90"/>
      <c r="AHL194" s="90"/>
      <c r="AHM194" s="90"/>
      <c r="AHN194" s="90"/>
      <c r="AHO194" s="90"/>
      <c r="AHP194" s="90"/>
      <c r="AHQ194" s="90"/>
      <c r="AHR194" s="90"/>
      <c r="AHS194" s="90"/>
      <c r="AHT194" s="90"/>
      <c r="AHU194" s="90"/>
      <c r="AHV194" s="90"/>
      <c r="AHW194" s="90"/>
      <c r="AHX194" s="90"/>
      <c r="AHY194" s="90"/>
      <c r="AHZ194" s="90"/>
      <c r="AIA194" s="90"/>
      <c r="AIB194" s="90"/>
      <c r="AIC194" s="90"/>
      <c r="AID194" s="90"/>
      <c r="AIE194" s="90"/>
      <c r="AIF194" s="90"/>
      <c r="AIG194" s="90"/>
      <c r="AIH194" s="90"/>
      <c r="AII194" s="90"/>
      <c r="AIJ194" s="90"/>
      <c r="AIK194" s="90"/>
      <c r="AIL194" s="90"/>
      <c r="AIM194" s="90"/>
      <c r="AIN194" s="90"/>
      <c r="AIO194" s="90"/>
      <c r="AIP194" s="90"/>
      <c r="AIQ194" s="90"/>
      <c r="AIR194" s="90"/>
      <c r="AIS194" s="90"/>
      <c r="AIT194" s="90"/>
      <c r="AIU194" s="90"/>
      <c r="AIV194" s="90"/>
      <c r="AIW194" s="90"/>
      <c r="AIX194" s="90"/>
      <c r="AIY194" s="90"/>
      <c r="AIZ194" s="90"/>
      <c r="AJA194" s="90"/>
      <c r="AJB194" s="90"/>
      <c r="AJC194" s="90"/>
      <c r="AJD194" s="90"/>
      <c r="AJE194" s="90"/>
      <c r="AJF194" s="90"/>
      <c r="AJG194" s="90"/>
      <c r="AJH194" s="90"/>
      <c r="AJI194" s="90"/>
      <c r="AJJ194" s="90"/>
      <c r="AJK194" s="90"/>
      <c r="AJL194" s="90"/>
      <c r="AJM194" s="90"/>
      <c r="AJN194" s="90"/>
      <c r="AJO194" s="90"/>
      <c r="AJP194" s="90"/>
      <c r="AJQ194" s="90"/>
      <c r="AJR194" s="90"/>
      <c r="AJS194" s="90"/>
      <c r="AJT194" s="90"/>
      <c r="AJU194" s="90"/>
      <c r="AJV194" s="90"/>
      <c r="AJW194" s="90"/>
      <c r="AJX194" s="90"/>
      <c r="AJY194" s="90"/>
      <c r="AJZ194" s="90"/>
      <c r="AKA194" s="90"/>
      <c r="AKB194" s="90"/>
      <c r="AKC194" s="90"/>
      <c r="AKD194" s="90"/>
      <c r="AKE194" s="90"/>
      <c r="AKF194" s="90"/>
      <c r="AKG194" s="90"/>
      <c r="AKH194" s="90"/>
      <c r="AKI194" s="90"/>
      <c r="AKJ194" s="90"/>
      <c r="AKK194" s="90"/>
      <c r="AKL194" s="90"/>
      <c r="AKM194" s="90"/>
      <c r="AKN194" s="90"/>
      <c r="AKO194" s="90"/>
      <c r="AKP194" s="90"/>
      <c r="AKQ194" s="90"/>
      <c r="AKR194" s="90"/>
      <c r="AKS194" s="90"/>
      <c r="AKT194" s="90"/>
      <c r="AKU194" s="90"/>
      <c r="AKV194" s="90"/>
      <c r="AKW194" s="90"/>
      <c r="AKX194" s="90"/>
      <c r="AKY194" s="90"/>
      <c r="AKZ194" s="90"/>
      <c r="ALA194" s="90"/>
      <c r="ALB194" s="90"/>
      <c r="ALC194" s="90"/>
      <c r="ALD194" s="90"/>
      <c r="ALE194" s="90"/>
      <c r="ALF194" s="90"/>
      <c r="ALG194" s="90"/>
      <c r="ALH194" s="90"/>
      <c r="ALI194" s="90"/>
      <c r="ALJ194" s="90"/>
      <c r="ALK194" s="90"/>
      <c r="ALL194" s="90"/>
      <c r="ALM194" s="90"/>
      <c r="ALN194" s="90"/>
      <c r="ALO194" s="90"/>
      <c r="ALP194" s="90"/>
      <c r="ALQ194" s="90"/>
      <c r="ALR194" s="90"/>
      <c r="ALS194" s="90"/>
      <c r="ALT194" s="90"/>
      <c r="ALU194" s="90"/>
      <c r="ALV194" s="90"/>
      <c r="ALW194" s="90"/>
      <c r="ALX194" s="90"/>
      <c r="ALY194" s="90"/>
      <c r="ALZ194" s="90"/>
      <c r="AMA194" s="90"/>
      <c r="AMB194" s="90"/>
      <c r="AMC194" s="90"/>
    </row>
    <row r="195" spans="1:1017">
      <c r="A195" s="98" t="s">
        <v>49</v>
      </c>
      <c r="B195" s="90" t="str">
        <f>B157</f>
        <v xml:space="preserve">Belut Sawah </v>
      </c>
      <c r="Q195" s="91">
        <f t="shared" si="1325"/>
        <v>0</v>
      </c>
      <c r="R195" s="91">
        <f t="shared" si="1326"/>
        <v>0</v>
      </c>
      <c r="AG195" s="91">
        <f t="shared" si="1327"/>
        <v>0</v>
      </c>
      <c r="AH195" s="91">
        <f t="shared" si="1328"/>
        <v>0</v>
      </c>
      <c r="AW195" s="91">
        <f t="shared" si="1329"/>
        <v>0</v>
      </c>
      <c r="AX195" s="91">
        <f t="shared" si="1330"/>
        <v>0</v>
      </c>
      <c r="BM195" s="91">
        <f t="shared" si="1331"/>
        <v>0</v>
      </c>
      <c r="BN195" s="91">
        <f t="shared" si="1332"/>
        <v>0</v>
      </c>
      <c r="CC195" s="91">
        <f t="shared" si="1333"/>
        <v>0</v>
      </c>
      <c r="CD195" s="91">
        <f t="shared" si="1334"/>
        <v>0</v>
      </c>
      <c r="CS195" s="91">
        <f t="shared" si="1419"/>
        <v>0</v>
      </c>
      <c r="CT195" s="91">
        <f t="shared" si="1420"/>
        <v>0</v>
      </c>
      <c r="DI195" s="91">
        <f t="shared" si="1337"/>
        <v>0</v>
      </c>
      <c r="DJ195" s="91">
        <f t="shared" si="1338"/>
        <v>0</v>
      </c>
      <c r="DY195" s="91">
        <f t="shared" si="1339"/>
        <v>0</v>
      </c>
      <c r="DZ195" s="91">
        <f t="shared" si="1340"/>
        <v>0</v>
      </c>
      <c r="EO195" s="91">
        <f t="shared" si="1341"/>
        <v>0</v>
      </c>
      <c r="EP195" s="91">
        <f t="shared" si="1342"/>
        <v>0</v>
      </c>
      <c r="FE195" s="91">
        <f t="shared" si="1343"/>
        <v>0</v>
      </c>
      <c r="FF195" s="91">
        <f t="shared" si="1344"/>
        <v>0</v>
      </c>
      <c r="FU195" s="91">
        <f t="shared" si="1345"/>
        <v>0</v>
      </c>
      <c r="FV195" s="91">
        <f t="shared" si="1346"/>
        <v>0</v>
      </c>
      <c r="GK195" s="91">
        <f t="shared" si="1347"/>
        <v>0</v>
      </c>
      <c r="GL195" s="91">
        <f t="shared" si="1348"/>
        <v>0</v>
      </c>
      <c r="HA195" s="91">
        <f t="shared" si="1349"/>
        <v>0</v>
      </c>
      <c r="HB195" s="91">
        <f t="shared" si="1350"/>
        <v>0</v>
      </c>
      <c r="HQ195" s="91">
        <f t="shared" si="1351"/>
        <v>0</v>
      </c>
      <c r="HR195" s="91">
        <f t="shared" si="1352"/>
        <v>0</v>
      </c>
      <c r="IG195" s="91">
        <f t="shared" si="1353"/>
        <v>0</v>
      </c>
      <c r="IH195" s="91">
        <f t="shared" si="1354"/>
        <v>0</v>
      </c>
      <c r="IW195" s="91">
        <f t="shared" si="1355"/>
        <v>0</v>
      </c>
      <c r="IX195" s="91">
        <f t="shared" si="1356"/>
        <v>0</v>
      </c>
      <c r="JM195" s="91">
        <f t="shared" si="1357"/>
        <v>0</v>
      </c>
      <c r="JN195" s="91">
        <f t="shared" si="1358"/>
        <v>0</v>
      </c>
      <c r="KC195" s="91">
        <f t="shared" si="1359"/>
        <v>0</v>
      </c>
      <c r="KD195" s="91">
        <f t="shared" si="1360"/>
        <v>0</v>
      </c>
      <c r="KS195" s="91">
        <f t="shared" si="1361"/>
        <v>0</v>
      </c>
      <c r="KT195" s="91">
        <f t="shared" si="1362"/>
        <v>0</v>
      </c>
      <c r="LI195" s="91">
        <f t="shared" si="1363"/>
        <v>0</v>
      </c>
      <c r="LJ195" s="91">
        <f t="shared" si="1364"/>
        <v>0</v>
      </c>
      <c r="LY195" s="91">
        <f t="shared" si="1365"/>
        <v>0</v>
      </c>
      <c r="LZ195" s="91">
        <f t="shared" si="1366"/>
        <v>0</v>
      </c>
      <c r="MO195" s="91">
        <f t="shared" si="1367"/>
        <v>0</v>
      </c>
      <c r="MP195" s="91">
        <f t="shared" si="1368"/>
        <v>0</v>
      </c>
      <c r="NE195" s="91">
        <f t="shared" si="1369"/>
        <v>0</v>
      </c>
      <c r="NF195" s="91">
        <f t="shared" si="1370"/>
        <v>0</v>
      </c>
      <c r="NU195" s="91">
        <f t="shared" si="1371"/>
        <v>0</v>
      </c>
      <c r="NV195" s="91">
        <f t="shared" si="1372"/>
        <v>0</v>
      </c>
      <c r="OK195" s="91">
        <f t="shared" si="1373"/>
        <v>0</v>
      </c>
      <c r="OL195" s="91">
        <f t="shared" si="1374"/>
        <v>0</v>
      </c>
      <c r="PA195" s="91">
        <f t="shared" si="1375"/>
        <v>0</v>
      </c>
      <c r="PB195" s="91">
        <f t="shared" si="1376"/>
        <v>0</v>
      </c>
      <c r="PQ195" s="91">
        <f t="shared" si="1377"/>
        <v>0</v>
      </c>
      <c r="PR195" s="91">
        <f t="shared" si="1378"/>
        <v>0</v>
      </c>
      <c r="QG195" s="91">
        <f t="shared" si="1379"/>
        <v>0</v>
      </c>
      <c r="QH195" s="91">
        <f t="shared" si="1380"/>
        <v>0</v>
      </c>
      <c r="QW195" s="91">
        <f t="shared" si="1381"/>
        <v>0</v>
      </c>
      <c r="QX195" s="91">
        <f t="shared" si="1382"/>
        <v>0</v>
      </c>
      <c r="RM195" s="91">
        <f t="shared" si="1383"/>
        <v>0</v>
      </c>
      <c r="RN195" s="91">
        <f t="shared" si="1384"/>
        <v>0</v>
      </c>
      <c r="SC195" s="91">
        <f t="shared" si="1385"/>
        <v>0</v>
      </c>
      <c r="SD195" s="91">
        <f t="shared" si="1386"/>
        <v>0</v>
      </c>
      <c r="SS195" s="91">
        <f t="shared" si="1387"/>
        <v>0</v>
      </c>
      <c r="ST195" s="91">
        <f t="shared" si="1388"/>
        <v>0</v>
      </c>
      <c r="TI195" s="91">
        <f t="shared" si="1389"/>
        <v>0</v>
      </c>
      <c r="TJ195" s="91">
        <f t="shared" si="1390"/>
        <v>0</v>
      </c>
      <c r="TY195" s="91">
        <f t="shared" si="1391"/>
        <v>0</v>
      </c>
      <c r="TZ195" s="91">
        <f t="shared" si="1392"/>
        <v>0</v>
      </c>
      <c r="UO195" s="91">
        <f t="shared" si="1393"/>
        <v>0</v>
      </c>
      <c r="UP195" s="91">
        <f t="shared" si="1394"/>
        <v>0</v>
      </c>
      <c r="VE195" s="91">
        <f t="shared" si="1395"/>
        <v>0</v>
      </c>
      <c r="VF195" s="91">
        <f t="shared" si="1396"/>
        <v>0</v>
      </c>
      <c r="VU195" s="91">
        <f t="shared" si="1397"/>
        <v>0</v>
      </c>
      <c r="VV195" s="91">
        <f t="shared" si="1398"/>
        <v>0</v>
      </c>
      <c r="WK195" s="91">
        <f t="shared" si="1399"/>
        <v>0</v>
      </c>
      <c r="WL195" s="91">
        <f t="shared" si="1400"/>
        <v>0</v>
      </c>
      <c r="WM195" s="89"/>
      <c r="WN195" s="87">
        <f t="shared" si="1426"/>
        <v>0</v>
      </c>
      <c r="WO195" s="87">
        <f t="shared" si="1427"/>
        <v>0</v>
      </c>
      <c r="WP195" s="87">
        <f t="shared" si="1428"/>
        <v>0</v>
      </c>
      <c r="WQ195" s="87">
        <f t="shared" si="1429"/>
        <v>0</v>
      </c>
      <c r="WR195" s="87">
        <f t="shared" si="1430"/>
        <v>0</v>
      </c>
      <c r="WS195" s="87">
        <f t="shared" si="1431"/>
        <v>0</v>
      </c>
      <c r="WT195" s="87">
        <f t="shared" si="1432"/>
        <v>0</v>
      </c>
      <c r="WU195" s="87">
        <f t="shared" si="1433"/>
        <v>0</v>
      </c>
      <c r="WV195" s="87">
        <f t="shared" si="1434"/>
        <v>0</v>
      </c>
      <c r="WW195" s="87">
        <f t="shared" si="1435"/>
        <v>0</v>
      </c>
      <c r="WX195" s="87">
        <f t="shared" si="1436"/>
        <v>0</v>
      </c>
      <c r="WY195" s="87">
        <f t="shared" si="1437"/>
        <v>0</v>
      </c>
      <c r="WZ195" s="87">
        <f t="shared" si="1421"/>
        <v>0</v>
      </c>
      <c r="XA195" s="87">
        <f t="shared" si="1422"/>
        <v>0</v>
      </c>
      <c r="XB195" s="92">
        <f t="shared" si="1423"/>
        <v>0</v>
      </c>
      <c r="XC195" s="92">
        <f t="shared" si="1424"/>
        <v>0</v>
      </c>
      <c r="XD195" s="89"/>
      <c r="XE195" s="92"/>
      <c r="XF195" s="92"/>
      <c r="XG195" s="89"/>
      <c r="XH195" s="92"/>
      <c r="XI195" s="92"/>
      <c r="XJ195" s="89"/>
      <c r="XK195" s="87"/>
      <c r="XL195" s="87"/>
      <c r="XM195" s="87"/>
      <c r="XN195" s="87"/>
      <c r="XO195" s="87"/>
      <c r="XP195" s="87"/>
      <c r="XQ195" s="87"/>
      <c r="XR195" s="92">
        <f t="shared" ca="1" si="1417"/>
        <v>0</v>
      </c>
      <c r="XS195" s="89"/>
      <c r="XT195" s="87"/>
      <c r="XU195" s="87"/>
      <c r="XV195" s="87"/>
      <c r="XW195" s="87"/>
      <c r="XX195" s="87"/>
      <c r="XY195" s="87"/>
      <c r="XZ195" s="87"/>
      <c r="YA195" s="92">
        <f t="shared" ca="1" si="1418"/>
        <v>0</v>
      </c>
      <c r="YB195" s="90"/>
      <c r="YC195" s="90"/>
      <c r="YD195" s="90"/>
      <c r="YE195" s="90"/>
      <c r="YF195" s="90"/>
      <c r="YG195" s="90"/>
      <c r="YH195" s="90"/>
      <c r="YI195" s="90"/>
      <c r="YJ195" s="90"/>
      <c r="YK195" s="90"/>
      <c r="YL195" s="90"/>
      <c r="YM195" s="90"/>
      <c r="YN195" s="90"/>
      <c r="YO195" s="90"/>
      <c r="YP195" s="90"/>
      <c r="YQ195" s="90"/>
      <c r="YR195" s="90"/>
      <c r="YS195" s="90"/>
      <c r="YT195" s="90"/>
      <c r="YU195" s="90"/>
      <c r="YV195" s="90"/>
      <c r="YW195" s="90"/>
      <c r="YX195" s="90"/>
      <c r="YY195" s="90"/>
      <c r="YZ195" s="90"/>
      <c r="ZA195" s="90"/>
      <c r="ZB195" s="90"/>
      <c r="ZC195" s="90"/>
      <c r="ZD195" s="90"/>
      <c r="ZE195" s="90"/>
      <c r="ZF195" s="90"/>
      <c r="ZG195" s="90"/>
      <c r="ZH195" s="90"/>
      <c r="ZI195" s="90"/>
      <c r="ZJ195" s="90"/>
      <c r="ZK195" s="90"/>
      <c r="ZL195" s="90"/>
      <c r="ZM195" s="90"/>
      <c r="ZN195" s="90"/>
      <c r="ZO195" s="90"/>
      <c r="ZP195" s="90"/>
      <c r="ZQ195" s="90"/>
      <c r="ZR195" s="90"/>
      <c r="ZS195" s="90"/>
      <c r="ZT195" s="90"/>
      <c r="ZU195" s="90"/>
      <c r="ZV195" s="90"/>
      <c r="ZW195" s="90"/>
      <c r="ZX195" s="90"/>
      <c r="ZY195" s="90"/>
      <c r="ZZ195" s="90"/>
      <c r="AAA195" s="90"/>
      <c r="AAB195" s="90"/>
      <c r="AAC195" s="90"/>
      <c r="AAD195" s="90"/>
      <c r="AAE195" s="90"/>
      <c r="AAF195" s="90"/>
      <c r="AAG195" s="90"/>
      <c r="AAH195" s="90"/>
      <c r="AAI195" s="90"/>
      <c r="AAJ195" s="90"/>
      <c r="AAK195" s="90"/>
      <c r="AAL195" s="90"/>
      <c r="AAM195" s="90"/>
      <c r="AAN195" s="90"/>
      <c r="AAO195" s="90"/>
      <c r="AAP195" s="90"/>
      <c r="AAQ195" s="90"/>
      <c r="AAR195" s="90"/>
      <c r="AAS195" s="90"/>
      <c r="AAT195" s="90"/>
      <c r="AAU195" s="90"/>
      <c r="AAV195" s="90"/>
      <c r="AAW195" s="90"/>
      <c r="AAX195" s="90"/>
      <c r="AAY195" s="90"/>
      <c r="AAZ195" s="90"/>
      <c r="ABA195" s="90"/>
      <c r="ABB195" s="90"/>
      <c r="ABC195" s="90"/>
      <c r="ABD195" s="90"/>
      <c r="ABE195" s="90"/>
      <c r="ABF195" s="90"/>
      <c r="ABG195" s="90"/>
      <c r="ABH195" s="90"/>
      <c r="ABI195" s="90"/>
      <c r="ABJ195" s="90"/>
      <c r="ABK195" s="90"/>
      <c r="ABL195" s="90"/>
      <c r="ABM195" s="90"/>
      <c r="ABN195" s="90"/>
      <c r="ABO195" s="90"/>
      <c r="ABP195" s="90"/>
      <c r="ABQ195" s="90"/>
      <c r="ABR195" s="90"/>
      <c r="ABS195" s="90"/>
      <c r="ABT195" s="90"/>
      <c r="ABU195" s="90"/>
      <c r="ABV195" s="90"/>
      <c r="ABW195" s="90"/>
      <c r="ABX195" s="90"/>
      <c r="ABY195" s="90"/>
      <c r="ABZ195" s="90"/>
      <c r="ACA195" s="90"/>
      <c r="ACB195" s="90"/>
      <c r="ACC195" s="90"/>
      <c r="ACD195" s="90"/>
      <c r="ACE195" s="90"/>
      <c r="ACF195" s="90"/>
      <c r="ACG195" s="90"/>
      <c r="ACH195" s="90"/>
      <c r="ACI195" s="90"/>
      <c r="ACJ195" s="90"/>
      <c r="ACK195" s="90"/>
      <c r="ACL195" s="90"/>
      <c r="ACM195" s="90"/>
      <c r="ACN195" s="90"/>
      <c r="ACO195" s="90"/>
      <c r="ACP195" s="90"/>
      <c r="ACQ195" s="90"/>
      <c r="ACR195" s="90"/>
      <c r="ACS195" s="90"/>
      <c r="ACT195" s="90"/>
      <c r="ACU195" s="90"/>
      <c r="ACV195" s="90"/>
      <c r="ACW195" s="90"/>
      <c r="ACX195" s="90"/>
      <c r="ACY195" s="90"/>
      <c r="ACZ195" s="90"/>
      <c r="ADA195" s="90"/>
      <c r="ADB195" s="90"/>
      <c r="ADC195" s="90"/>
      <c r="ADD195" s="90"/>
      <c r="ADE195" s="90"/>
      <c r="ADF195" s="90"/>
      <c r="ADG195" s="90"/>
      <c r="ADH195" s="90"/>
      <c r="ADI195" s="90"/>
      <c r="ADJ195" s="90"/>
      <c r="ADK195" s="90"/>
      <c r="ADL195" s="90"/>
      <c r="ADM195" s="90"/>
      <c r="ADN195" s="90"/>
      <c r="ADO195" s="90"/>
      <c r="ADP195" s="90"/>
      <c r="ADQ195" s="90"/>
      <c r="ADR195" s="90"/>
      <c r="ADS195" s="90"/>
      <c r="ADT195" s="90"/>
      <c r="ADU195" s="90"/>
      <c r="ADV195" s="90"/>
      <c r="ADW195" s="90"/>
      <c r="ADX195" s="90"/>
      <c r="ADY195" s="90"/>
      <c r="ADZ195" s="90"/>
      <c r="AEA195" s="90"/>
      <c r="AEB195" s="90"/>
      <c r="AEC195" s="90"/>
      <c r="AED195" s="90"/>
      <c r="AEE195" s="90"/>
      <c r="AEF195" s="90"/>
      <c r="AEG195" s="90"/>
      <c r="AEH195" s="90"/>
      <c r="AEI195" s="90"/>
      <c r="AEJ195" s="90"/>
      <c r="AEK195" s="90"/>
      <c r="AEL195" s="90"/>
      <c r="AEM195" s="90"/>
      <c r="AEN195" s="90"/>
      <c r="AEO195" s="90"/>
      <c r="AEP195" s="90"/>
      <c r="AEQ195" s="90"/>
      <c r="AER195" s="90"/>
      <c r="AES195" s="90"/>
      <c r="AET195" s="90"/>
      <c r="AEU195" s="90"/>
      <c r="AEV195" s="90"/>
      <c r="AEW195" s="90"/>
      <c r="AEX195" s="90"/>
      <c r="AEY195" s="90"/>
      <c r="AEZ195" s="90"/>
      <c r="AFA195" s="90"/>
      <c r="AFB195" s="90"/>
      <c r="AFC195" s="90"/>
      <c r="AFD195" s="90"/>
      <c r="AFE195" s="90"/>
      <c r="AFF195" s="90"/>
      <c r="AFG195" s="90"/>
      <c r="AFH195" s="90"/>
      <c r="AFI195" s="90"/>
      <c r="AFJ195" s="90"/>
      <c r="AFK195" s="90"/>
      <c r="AFL195" s="90"/>
      <c r="AFM195" s="90"/>
      <c r="AFN195" s="90"/>
      <c r="AFO195" s="90"/>
      <c r="AFP195" s="90"/>
      <c r="AFQ195" s="90"/>
      <c r="AFR195" s="90"/>
      <c r="AFS195" s="90"/>
      <c r="AFT195" s="90"/>
      <c r="AFU195" s="90"/>
      <c r="AFV195" s="90"/>
      <c r="AFW195" s="90"/>
      <c r="AFX195" s="90"/>
      <c r="AFY195" s="90"/>
      <c r="AFZ195" s="90"/>
      <c r="AGA195" s="90"/>
      <c r="AGB195" s="90"/>
      <c r="AGC195" s="90"/>
      <c r="AGD195" s="90"/>
      <c r="AGE195" s="90"/>
      <c r="AGF195" s="90"/>
      <c r="AGG195" s="90"/>
      <c r="AGH195" s="90"/>
      <c r="AGI195" s="90"/>
      <c r="AGJ195" s="90"/>
      <c r="AGK195" s="90"/>
      <c r="AGL195" s="90"/>
      <c r="AGM195" s="90"/>
      <c r="AGN195" s="90"/>
      <c r="AGO195" s="90"/>
      <c r="AGP195" s="90"/>
      <c r="AGQ195" s="90"/>
      <c r="AGR195" s="90"/>
      <c r="AGS195" s="90"/>
      <c r="AGT195" s="90"/>
      <c r="AGU195" s="90"/>
      <c r="AGV195" s="90"/>
      <c r="AGW195" s="90"/>
      <c r="AGX195" s="90"/>
      <c r="AGY195" s="90"/>
      <c r="AGZ195" s="90"/>
      <c r="AHA195" s="90"/>
      <c r="AHB195" s="90"/>
      <c r="AHC195" s="90"/>
      <c r="AHD195" s="90"/>
      <c r="AHE195" s="90"/>
      <c r="AHF195" s="90"/>
      <c r="AHG195" s="90"/>
      <c r="AHH195" s="90"/>
      <c r="AHI195" s="90"/>
      <c r="AHJ195" s="90"/>
      <c r="AHK195" s="90"/>
      <c r="AHL195" s="90"/>
      <c r="AHM195" s="90"/>
      <c r="AHN195" s="90"/>
      <c r="AHO195" s="90"/>
      <c r="AHP195" s="90"/>
      <c r="AHQ195" s="90"/>
      <c r="AHR195" s="90"/>
      <c r="AHS195" s="90"/>
      <c r="AHT195" s="90"/>
      <c r="AHU195" s="90"/>
      <c r="AHV195" s="90"/>
      <c r="AHW195" s="90"/>
      <c r="AHX195" s="90"/>
      <c r="AHY195" s="90"/>
      <c r="AHZ195" s="90"/>
      <c r="AIA195" s="90"/>
      <c r="AIB195" s="90"/>
      <c r="AIC195" s="90"/>
      <c r="AID195" s="90"/>
      <c r="AIE195" s="90"/>
      <c r="AIF195" s="90"/>
      <c r="AIG195" s="90"/>
      <c r="AIH195" s="90"/>
      <c r="AII195" s="90"/>
      <c r="AIJ195" s="90"/>
      <c r="AIK195" s="90"/>
      <c r="AIL195" s="90"/>
      <c r="AIM195" s="90"/>
      <c r="AIN195" s="90"/>
      <c r="AIO195" s="90"/>
      <c r="AIP195" s="90"/>
      <c r="AIQ195" s="90"/>
      <c r="AIR195" s="90"/>
      <c r="AIS195" s="90"/>
      <c r="AIT195" s="90"/>
      <c r="AIU195" s="90"/>
      <c r="AIV195" s="90"/>
      <c r="AIW195" s="90"/>
      <c r="AIX195" s="90"/>
      <c r="AIY195" s="90"/>
      <c r="AIZ195" s="90"/>
      <c r="AJA195" s="90"/>
      <c r="AJB195" s="90"/>
      <c r="AJC195" s="90"/>
      <c r="AJD195" s="90"/>
      <c r="AJE195" s="90"/>
      <c r="AJF195" s="90"/>
      <c r="AJG195" s="90"/>
      <c r="AJH195" s="90"/>
      <c r="AJI195" s="90"/>
      <c r="AJJ195" s="90"/>
      <c r="AJK195" s="90"/>
      <c r="AJL195" s="90"/>
      <c r="AJM195" s="90"/>
      <c r="AJN195" s="90"/>
      <c r="AJO195" s="90"/>
      <c r="AJP195" s="90"/>
      <c r="AJQ195" s="90"/>
      <c r="AJR195" s="90"/>
      <c r="AJS195" s="90"/>
      <c r="AJT195" s="90"/>
      <c r="AJU195" s="90"/>
      <c r="AJV195" s="90"/>
      <c r="AJW195" s="90"/>
      <c r="AJX195" s="90"/>
      <c r="AJY195" s="90"/>
      <c r="AJZ195" s="90"/>
      <c r="AKA195" s="90"/>
      <c r="AKB195" s="90"/>
      <c r="AKC195" s="90"/>
      <c r="AKD195" s="90"/>
      <c r="AKE195" s="90"/>
      <c r="AKF195" s="90"/>
      <c r="AKG195" s="90"/>
      <c r="AKH195" s="90"/>
      <c r="AKI195" s="90"/>
      <c r="AKJ195" s="90"/>
      <c r="AKK195" s="90"/>
      <c r="AKL195" s="90"/>
      <c r="AKM195" s="90"/>
      <c r="AKN195" s="90"/>
      <c r="AKO195" s="90"/>
      <c r="AKP195" s="90"/>
      <c r="AKQ195" s="90"/>
      <c r="AKR195" s="90"/>
      <c r="AKS195" s="90"/>
      <c r="AKT195" s="90"/>
      <c r="AKU195" s="90"/>
      <c r="AKV195" s="90"/>
      <c r="AKW195" s="90"/>
      <c r="AKX195" s="90"/>
      <c r="AKY195" s="90"/>
      <c r="AKZ195" s="90"/>
      <c r="ALA195" s="90"/>
      <c r="ALB195" s="90"/>
      <c r="ALC195" s="90"/>
      <c r="ALD195" s="90"/>
      <c r="ALE195" s="90"/>
      <c r="ALF195" s="90"/>
      <c r="ALG195" s="90"/>
      <c r="ALH195" s="90"/>
      <c r="ALI195" s="90"/>
      <c r="ALJ195" s="90"/>
      <c r="ALK195" s="90"/>
      <c r="ALL195" s="90"/>
      <c r="ALM195" s="90"/>
      <c r="ALN195" s="90"/>
      <c r="ALO195" s="90"/>
      <c r="ALP195" s="90"/>
      <c r="ALQ195" s="90"/>
      <c r="ALR195" s="90"/>
      <c r="ALS195" s="90"/>
      <c r="ALT195" s="90"/>
      <c r="ALU195" s="90"/>
      <c r="ALV195" s="90"/>
      <c r="ALW195" s="90"/>
      <c r="ALX195" s="90"/>
      <c r="ALY195" s="90"/>
      <c r="ALZ195" s="90"/>
      <c r="AMA195" s="90"/>
      <c r="AMB195" s="90"/>
      <c r="AMC195" s="90"/>
    </row>
    <row r="196" spans="1:1017">
      <c r="A196" s="98" t="s">
        <v>49</v>
      </c>
      <c r="B196" s="90" t="str">
        <f t="shared" si="1425"/>
        <v xml:space="preserve">Udang_04 (Udang Lainnya) </v>
      </c>
      <c r="Q196" s="91">
        <f t="shared" si="1325"/>
        <v>0</v>
      </c>
      <c r="R196" s="91">
        <f t="shared" si="1326"/>
        <v>0</v>
      </c>
      <c r="AG196" s="91">
        <f t="shared" si="1327"/>
        <v>0</v>
      </c>
      <c r="AH196" s="91">
        <f t="shared" si="1328"/>
        <v>0</v>
      </c>
      <c r="AW196" s="91">
        <f t="shared" si="1329"/>
        <v>0</v>
      </c>
      <c r="AX196" s="91">
        <f t="shared" si="1330"/>
        <v>0</v>
      </c>
      <c r="BM196" s="91">
        <f t="shared" si="1331"/>
        <v>0</v>
      </c>
      <c r="BN196" s="91">
        <f t="shared" si="1332"/>
        <v>0</v>
      </c>
      <c r="CC196" s="91">
        <f t="shared" si="1333"/>
        <v>0</v>
      </c>
      <c r="CD196" s="91">
        <f t="shared" si="1334"/>
        <v>0</v>
      </c>
      <c r="CS196" s="91">
        <f t="shared" si="1419"/>
        <v>0</v>
      </c>
      <c r="CT196" s="91">
        <f t="shared" si="1420"/>
        <v>0</v>
      </c>
      <c r="DI196" s="91">
        <f t="shared" si="1337"/>
        <v>0</v>
      </c>
      <c r="DJ196" s="91">
        <f t="shared" si="1338"/>
        <v>0</v>
      </c>
      <c r="DY196" s="91">
        <f t="shared" si="1339"/>
        <v>0</v>
      </c>
      <c r="DZ196" s="91">
        <f t="shared" si="1340"/>
        <v>0</v>
      </c>
      <c r="EO196" s="91">
        <f t="shared" si="1341"/>
        <v>0</v>
      </c>
      <c r="EP196" s="91">
        <f t="shared" si="1342"/>
        <v>0</v>
      </c>
      <c r="FE196" s="91">
        <f t="shared" si="1343"/>
        <v>0</v>
      </c>
      <c r="FF196" s="91">
        <f t="shared" si="1344"/>
        <v>0</v>
      </c>
      <c r="FU196" s="91">
        <f t="shared" si="1345"/>
        <v>0</v>
      </c>
      <c r="FV196" s="91">
        <f t="shared" si="1346"/>
        <v>0</v>
      </c>
      <c r="GK196" s="91">
        <f t="shared" si="1347"/>
        <v>0</v>
      </c>
      <c r="GL196" s="91">
        <f t="shared" si="1348"/>
        <v>0</v>
      </c>
      <c r="HA196" s="91">
        <f t="shared" si="1349"/>
        <v>0</v>
      </c>
      <c r="HB196" s="91">
        <f t="shared" si="1350"/>
        <v>0</v>
      </c>
      <c r="HQ196" s="91">
        <f t="shared" si="1351"/>
        <v>0</v>
      </c>
      <c r="HR196" s="91">
        <f t="shared" si="1352"/>
        <v>0</v>
      </c>
      <c r="IG196" s="91">
        <f t="shared" si="1353"/>
        <v>0</v>
      </c>
      <c r="IH196" s="91">
        <f t="shared" si="1354"/>
        <v>0</v>
      </c>
      <c r="IW196" s="91">
        <f t="shared" si="1355"/>
        <v>0</v>
      </c>
      <c r="IX196" s="91">
        <f t="shared" si="1356"/>
        <v>0</v>
      </c>
      <c r="JM196" s="91">
        <f t="shared" si="1357"/>
        <v>0</v>
      </c>
      <c r="JN196" s="91">
        <f t="shared" si="1358"/>
        <v>0</v>
      </c>
      <c r="KC196" s="91">
        <f t="shared" si="1359"/>
        <v>0</v>
      </c>
      <c r="KD196" s="91">
        <f t="shared" si="1360"/>
        <v>0</v>
      </c>
      <c r="KS196" s="91">
        <f t="shared" si="1361"/>
        <v>0</v>
      </c>
      <c r="KT196" s="91">
        <f t="shared" si="1362"/>
        <v>0</v>
      </c>
      <c r="LI196" s="91">
        <f t="shared" si="1363"/>
        <v>0</v>
      </c>
      <c r="LJ196" s="91">
        <f t="shared" si="1364"/>
        <v>0</v>
      </c>
      <c r="LY196" s="91">
        <f t="shared" si="1365"/>
        <v>0</v>
      </c>
      <c r="LZ196" s="91">
        <f t="shared" si="1366"/>
        <v>0</v>
      </c>
      <c r="MO196" s="91">
        <f t="shared" si="1367"/>
        <v>0</v>
      </c>
      <c r="MP196" s="91">
        <f t="shared" si="1368"/>
        <v>0</v>
      </c>
      <c r="NE196" s="91">
        <f t="shared" si="1369"/>
        <v>0</v>
      </c>
      <c r="NF196" s="91">
        <f t="shared" si="1370"/>
        <v>0</v>
      </c>
      <c r="NU196" s="91">
        <f t="shared" si="1371"/>
        <v>0</v>
      </c>
      <c r="NV196" s="91">
        <f t="shared" si="1372"/>
        <v>0</v>
      </c>
      <c r="OK196" s="91">
        <f t="shared" si="1373"/>
        <v>0</v>
      </c>
      <c r="OL196" s="91">
        <f t="shared" si="1374"/>
        <v>0</v>
      </c>
      <c r="PA196" s="91">
        <f t="shared" si="1375"/>
        <v>0</v>
      </c>
      <c r="PB196" s="91">
        <f t="shared" si="1376"/>
        <v>0</v>
      </c>
      <c r="PQ196" s="91">
        <f t="shared" si="1377"/>
        <v>0</v>
      </c>
      <c r="PR196" s="91">
        <f t="shared" si="1378"/>
        <v>0</v>
      </c>
      <c r="QG196" s="91">
        <f t="shared" si="1379"/>
        <v>0</v>
      </c>
      <c r="QH196" s="91">
        <f t="shared" si="1380"/>
        <v>0</v>
      </c>
      <c r="QW196" s="91">
        <f t="shared" si="1381"/>
        <v>0</v>
      </c>
      <c r="QX196" s="91">
        <f t="shared" si="1382"/>
        <v>0</v>
      </c>
      <c r="RM196" s="91">
        <f t="shared" si="1383"/>
        <v>0</v>
      </c>
      <c r="RN196" s="91">
        <f t="shared" si="1384"/>
        <v>0</v>
      </c>
      <c r="SC196" s="91">
        <f t="shared" si="1385"/>
        <v>0</v>
      </c>
      <c r="SD196" s="91">
        <f t="shared" si="1386"/>
        <v>0</v>
      </c>
      <c r="SS196" s="91">
        <f t="shared" si="1387"/>
        <v>0</v>
      </c>
      <c r="ST196" s="91">
        <f t="shared" si="1388"/>
        <v>0</v>
      </c>
      <c r="TI196" s="91">
        <f t="shared" si="1389"/>
        <v>0</v>
      </c>
      <c r="TJ196" s="91">
        <f t="shared" si="1390"/>
        <v>0</v>
      </c>
      <c r="TY196" s="91">
        <f t="shared" si="1391"/>
        <v>0</v>
      </c>
      <c r="TZ196" s="91">
        <f t="shared" si="1392"/>
        <v>0</v>
      </c>
      <c r="UO196" s="91">
        <f t="shared" si="1393"/>
        <v>0</v>
      </c>
      <c r="UP196" s="91">
        <f t="shared" si="1394"/>
        <v>0</v>
      </c>
      <c r="VE196" s="91">
        <f t="shared" si="1395"/>
        <v>0</v>
      </c>
      <c r="VF196" s="91">
        <f t="shared" si="1396"/>
        <v>0</v>
      </c>
      <c r="VU196" s="91">
        <f t="shared" si="1397"/>
        <v>0</v>
      </c>
      <c r="VV196" s="91">
        <f t="shared" si="1398"/>
        <v>0</v>
      </c>
      <c r="WK196" s="91">
        <f t="shared" si="1399"/>
        <v>0</v>
      </c>
      <c r="WL196" s="91">
        <f t="shared" si="1400"/>
        <v>0</v>
      </c>
      <c r="WM196" s="89"/>
      <c r="WN196" s="87">
        <f t="shared" si="1426"/>
        <v>0</v>
      </c>
      <c r="WO196" s="87">
        <f t="shared" si="1427"/>
        <v>0</v>
      </c>
      <c r="WP196" s="87">
        <f t="shared" si="1428"/>
        <v>0</v>
      </c>
      <c r="WQ196" s="87">
        <f t="shared" si="1429"/>
        <v>0</v>
      </c>
      <c r="WR196" s="87">
        <f t="shared" si="1430"/>
        <v>0</v>
      </c>
      <c r="WS196" s="87">
        <f t="shared" si="1431"/>
        <v>0</v>
      </c>
      <c r="WT196" s="87">
        <f t="shared" si="1432"/>
        <v>0</v>
      </c>
      <c r="WU196" s="87">
        <f t="shared" si="1433"/>
        <v>0</v>
      </c>
      <c r="WV196" s="87">
        <f t="shared" si="1434"/>
        <v>0</v>
      </c>
      <c r="WW196" s="87">
        <f t="shared" si="1435"/>
        <v>0</v>
      </c>
      <c r="WX196" s="87">
        <f t="shared" si="1436"/>
        <v>0</v>
      </c>
      <c r="WY196" s="87">
        <f t="shared" si="1437"/>
        <v>0</v>
      </c>
      <c r="WZ196" s="87">
        <f t="shared" si="1421"/>
        <v>0</v>
      </c>
      <c r="XA196" s="87">
        <f t="shared" si="1422"/>
        <v>0</v>
      </c>
      <c r="XB196" s="92">
        <f t="shared" si="1423"/>
        <v>0</v>
      </c>
      <c r="XC196" s="92">
        <f t="shared" si="1424"/>
        <v>0</v>
      </c>
      <c r="XD196" s="89"/>
      <c r="XE196" s="92"/>
      <c r="XF196" s="92"/>
      <c r="XG196" s="89"/>
      <c r="XH196" s="92"/>
      <c r="XI196" s="92"/>
      <c r="XJ196" s="89"/>
      <c r="XK196" s="87"/>
      <c r="XL196" s="87"/>
      <c r="XM196" s="87"/>
      <c r="XN196" s="87"/>
      <c r="XO196" s="87"/>
      <c r="XP196" s="87"/>
      <c r="XQ196" s="87"/>
      <c r="XR196" s="92">
        <f t="shared" ca="1" si="1417"/>
        <v>0</v>
      </c>
      <c r="XS196" s="89"/>
      <c r="XT196" s="87"/>
      <c r="XU196" s="87"/>
      <c r="XV196" s="87"/>
      <c r="XW196" s="87"/>
      <c r="XX196" s="87"/>
      <c r="XY196" s="87"/>
      <c r="XZ196" s="87"/>
      <c r="YA196" s="92">
        <f t="shared" ca="1" si="1418"/>
        <v>0</v>
      </c>
      <c r="YB196" s="90"/>
      <c r="YC196" s="90"/>
      <c r="YD196" s="90"/>
      <c r="YE196" s="90"/>
      <c r="YF196" s="90"/>
      <c r="YG196" s="90"/>
      <c r="YH196" s="90"/>
      <c r="YI196" s="90"/>
      <c r="YJ196" s="90"/>
      <c r="YK196" s="90"/>
      <c r="YL196" s="90"/>
      <c r="YM196" s="90"/>
      <c r="YN196" s="90"/>
      <c r="YO196" s="90"/>
      <c r="YP196" s="90"/>
      <c r="YQ196" s="90"/>
      <c r="YR196" s="90"/>
      <c r="YS196" s="90"/>
      <c r="YT196" s="90"/>
      <c r="YU196" s="90"/>
      <c r="YV196" s="90"/>
      <c r="YW196" s="90"/>
      <c r="YX196" s="90"/>
      <c r="YY196" s="90"/>
      <c r="YZ196" s="90"/>
      <c r="ZA196" s="90"/>
      <c r="ZB196" s="90"/>
      <c r="ZC196" s="90"/>
      <c r="ZD196" s="90"/>
      <c r="ZE196" s="90"/>
      <c r="ZF196" s="90"/>
      <c r="ZG196" s="90"/>
      <c r="ZH196" s="90"/>
      <c r="ZI196" s="90"/>
      <c r="ZJ196" s="90"/>
      <c r="ZK196" s="90"/>
      <c r="ZL196" s="90"/>
      <c r="ZM196" s="90"/>
      <c r="ZN196" s="90"/>
      <c r="ZO196" s="90"/>
      <c r="ZP196" s="90"/>
      <c r="ZQ196" s="90"/>
      <c r="ZR196" s="90"/>
      <c r="ZS196" s="90"/>
      <c r="ZT196" s="90"/>
      <c r="ZU196" s="90"/>
      <c r="ZV196" s="90"/>
      <c r="ZW196" s="90"/>
      <c r="ZX196" s="90"/>
      <c r="ZY196" s="90"/>
      <c r="ZZ196" s="90"/>
      <c r="AAA196" s="90"/>
      <c r="AAB196" s="90"/>
      <c r="AAC196" s="90"/>
      <c r="AAD196" s="90"/>
      <c r="AAE196" s="90"/>
      <c r="AAF196" s="90"/>
      <c r="AAG196" s="90"/>
      <c r="AAH196" s="90"/>
      <c r="AAI196" s="90"/>
      <c r="AAJ196" s="90"/>
      <c r="AAK196" s="90"/>
      <c r="AAL196" s="90"/>
      <c r="AAM196" s="90"/>
      <c r="AAN196" s="90"/>
      <c r="AAO196" s="90"/>
      <c r="AAP196" s="90"/>
      <c r="AAQ196" s="90"/>
      <c r="AAR196" s="90"/>
      <c r="AAS196" s="90"/>
      <c r="AAT196" s="90"/>
      <c r="AAU196" s="90"/>
      <c r="AAV196" s="90"/>
      <c r="AAW196" s="90"/>
      <c r="AAX196" s="90"/>
      <c r="AAY196" s="90"/>
      <c r="AAZ196" s="90"/>
      <c r="ABA196" s="90"/>
      <c r="ABB196" s="90"/>
      <c r="ABC196" s="90"/>
      <c r="ABD196" s="90"/>
      <c r="ABE196" s="90"/>
      <c r="ABF196" s="90"/>
      <c r="ABG196" s="90"/>
      <c r="ABH196" s="90"/>
      <c r="ABI196" s="90"/>
      <c r="ABJ196" s="90"/>
      <c r="ABK196" s="90"/>
      <c r="ABL196" s="90"/>
      <c r="ABM196" s="90"/>
      <c r="ABN196" s="90"/>
      <c r="ABO196" s="90"/>
      <c r="ABP196" s="90"/>
      <c r="ABQ196" s="90"/>
      <c r="ABR196" s="90"/>
      <c r="ABS196" s="90"/>
      <c r="ABT196" s="90"/>
      <c r="ABU196" s="90"/>
      <c r="ABV196" s="90"/>
      <c r="ABW196" s="90"/>
      <c r="ABX196" s="90"/>
      <c r="ABY196" s="90"/>
      <c r="ABZ196" s="90"/>
      <c r="ACA196" s="90"/>
      <c r="ACB196" s="90"/>
      <c r="ACC196" s="90"/>
      <c r="ACD196" s="90"/>
      <c r="ACE196" s="90"/>
      <c r="ACF196" s="90"/>
      <c r="ACG196" s="90"/>
      <c r="ACH196" s="90"/>
      <c r="ACI196" s="90"/>
      <c r="ACJ196" s="90"/>
      <c r="ACK196" s="90"/>
      <c r="ACL196" s="90"/>
      <c r="ACM196" s="90"/>
      <c r="ACN196" s="90"/>
      <c r="ACO196" s="90"/>
      <c r="ACP196" s="90"/>
      <c r="ACQ196" s="90"/>
      <c r="ACR196" s="90"/>
      <c r="ACS196" s="90"/>
      <c r="ACT196" s="90"/>
      <c r="ACU196" s="90"/>
      <c r="ACV196" s="90"/>
      <c r="ACW196" s="90"/>
      <c r="ACX196" s="90"/>
      <c r="ACY196" s="90"/>
      <c r="ACZ196" s="90"/>
      <c r="ADA196" s="90"/>
      <c r="ADB196" s="90"/>
      <c r="ADC196" s="90"/>
      <c r="ADD196" s="90"/>
      <c r="ADE196" s="90"/>
      <c r="ADF196" s="90"/>
      <c r="ADG196" s="90"/>
      <c r="ADH196" s="90"/>
      <c r="ADI196" s="90"/>
      <c r="ADJ196" s="90"/>
      <c r="ADK196" s="90"/>
      <c r="ADL196" s="90"/>
      <c r="ADM196" s="90"/>
      <c r="ADN196" s="90"/>
      <c r="ADO196" s="90"/>
      <c r="ADP196" s="90"/>
      <c r="ADQ196" s="90"/>
      <c r="ADR196" s="90"/>
      <c r="ADS196" s="90"/>
      <c r="ADT196" s="90"/>
      <c r="ADU196" s="90"/>
      <c r="ADV196" s="90"/>
      <c r="ADW196" s="90"/>
      <c r="ADX196" s="90"/>
      <c r="ADY196" s="90"/>
      <c r="ADZ196" s="90"/>
      <c r="AEA196" s="90"/>
      <c r="AEB196" s="90"/>
      <c r="AEC196" s="90"/>
      <c r="AED196" s="90"/>
      <c r="AEE196" s="90"/>
      <c r="AEF196" s="90"/>
      <c r="AEG196" s="90"/>
      <c r="AEH196" s="90"/>
      <c r="AEI196" s="90"/>
      <c r="AEJ196" s="90"/>
      <c r="AEK196" s="90"/>
      <c r="AEL196" s="90"/>
      <c r="AEM196" s="90"/>
      <c r="AEN196" s="90"/>
      <c r="AEO196" s="90"/>
      <c r="AEP196" s="90"/>
      <c r="AEQ196" s="90"/>
      <c r="AER196" s="90"/>
      <c r="AES196" s="90"/>
      <c r="AET196" s="90"/>
      <c r="AEU196" s="90"/>
      <c r="AEV196" s="90"/>
      <c r="AEW196" s="90"/>
      <c r="AEX196" s="90"/>
      <c r="AEY196" s="90"/>
      <c r="AEZ196" s="90"/>
      <c r="AFA196" s="90"/>
      <c r="AFB196" s="90"/>
      <c r="AFC196" s="90"/>
      <c r="AFD196" s="90"/>
      <c r="AFE196" s="90"/>
      <c r="AFF196" s="90"/>
      <c r="AFG196" s="90"/>
      <c r="AFH196" s="90"/>
      <c r="AFI196" s="90"/>
      <c r="AFJ196" s="90"/>
      <c r="AFK196" s="90"/>
      <c r="AFL196" s="90"/>
      <c r="AFM196" s="90"/>
      <c r="AFN196" s="90"/>
      <c r="AFO196" s="90"/>
      <c r="AFP196" s="90"/>
      <c r="AFQ196" s="90"/>
      <c r="AFR196" s="90"/>
      <c r="AFS196" s="90"/>
      <c r="AFT196" s="90"/>
      <c r="AFU196" s="90"/>
      <c r="AFV196" s="90"/>
      <c r="AFW196" s="90"/>
      <c r="AFX196" s="90"/>
      <c r="AFY196" s="90"/>
      <c r="AFZ196" s="90"/>
      <c r="AGA196" s="90"/>
      <c r="AGB196" s="90"/>
      <c r="AGC196" s="90"/>
      <c r="AGD196" s="90"/>
      <c r="AGE196" s="90"/>
      <c r="AGF196" s="90"/>
      <c r="AGG196" s="90"/>
      <c r="AGH196" s="90"/>
      <c r="AGI196" s="90"/>
      <c r="AGJ196" s="90"/>
      <c r="AGK196" s="90"/>
      <c r="AGL196" s="90"/>
      <c r="AGM196" s="90"/>
      <c r="AGN196" s="90"/>
      <c r="AGO196" s="90"/>
      <c r="AGP196" s="90"/>
      <c r="AGQ196" s="90"/>
      <c r="AGR196" s="90"/>
      <c r="AGS196" s="90"/>
      <c r="AGT196" s="90"/>
      <c r="AGU196" s="90"/>
      <c r="AGV196" s="90"/>
      <c r="AGW196" s="90"/>
      <c r="AGX196" s="90"/>
      <c r="AGY196" s="90"/>
      <c r="AGZ196" s="90"/>
      <c r="AHA196" s="90"/>
      <c r="AHB196" s="90"/>
      <c r="AHC196" s="90"/>
      <c r="AHD196" s="90"/>
      <c r="AHE196" s="90"/>
      <c r="AHF196" s="90"/>
      <c r="AHG196" s="90"/>
      <c r="AHH196" s="90"/>
      <c r="AHI196" s="90"/>
      <c r="AHJ196" s="90"/>
      <c r="AHK196" s="90"/>
      <c r="AHL196" s="90"/>
      <c r="AHM196" s="90"/>
      <c r="AHN196" s="90"/>
      <c r="AHO196" s="90"/>
      <c r="AHP196" s="90"/>
      <c r="AHQ196" s="90"/>
      <c r="AHR196" s="90"/>
      <c r="AHS196" s="90"/>
      <c r="AHT196" s="90"/>
      <c r="AHU196" s="90"/>
      <c r="AHV196" s="90"/>
      <c r="AHW196" s="90"/>
      <c r="AHX196" s="90"/>
      <c r="AHY196" s="90"/>
      <c r="AHZ196" s="90"/>
      <c r="AIA196" s="90"/>
      <c r="AIB196" s="90"/>
      <c r="AIC196" s="90"/>
      <c r="AID196" s="90"/>
      <c r="AIE196" s="90"/>
      <c r="AIF196" s="90"/>
      <c r="AIG196" s="90"/>
      <c r="AIH196" s="90"/>
      <c r="AII196" s="90"/>
      <c r="AIJ196" s="90"/>
      <c r="AIK196" s="90"/>
      <c r="AIL196" s="90"/>
      <c r="AIM196" s="90"/>
      <c r="AIN196" s="90"/>
      <c r="AIO196" s="90"/>
      <c r="AIP196" s="90"/>
      <c r="AIQ196" s="90"/>
      <c r="AIR196" s="90"/>
      <c r="AIS196" s="90"/>
      <c r="AIT196" s="90"/>
      <c r="AIU196" s="90"/>
      <c r="AIV196" s="90"/>
      <c r="AIW196" s="90"/>
      <c r="AIX196" s="90"/>
      <c r="AIY196" s="90"/>
      <c r="AIZ196" s="90"/>
      <c r="AJA196" s="90"/>
      <c r="AJB196" s="90"/>
      <c r="AJC196" s="90"/>
      <c r="AJD196" s="90"/>
      <c r="AJE196" s="90"/>
      <c r="AJF196" s="90"/>
      <c r="AJG196" s="90"/>
      <c r="AJH196" s="90"/>
      <c r="AJI196" s="90"/>
      <c r="AJJ196" s="90"/>
      <c r="AJK196" s="90"/>
      <c r="AJL196" s="90"/>
      <c r="AJM196" s="90"/>
      <c r="AJN196" s="90"/>
      <c r="AJO196" s="90"/>
      <c r="AJP196" s="90"/>
      <c r="AJQ196" s="90"/>
      <c r="AJR196" s="90"/>
      <c r="AJS196" s="90"/>
      <c r="AJT196" s="90"/>
      <c r="AJU196" s="90"/>
      <c r="AJV196" s="90"/>
      <c r="AJW196" s="90"/>
      <c r="AJX196" s="90"/>
      <c r="AJY196" s="90"/>
      <c r="AJZ196" s="90"/>
      <c r="AKA196" s="90"/>
      <c r="AKB196" s="90"/>
      <c r="AKC196" s="90"/>
      <c r="AKD196" s="90"/>
      <c r="AKE196" s="90"/>
      <c r="AKF196" s="90"/>
      <c r="AKG196" s="90"/>
      <c r="AKH196" s="90"/>
      <c r="AKI196" s="90"/>
      <c r="AKJ196" s="90"/>
      <c r="AKK196" s="90"/>
      <c r="AKL196" s="90"/>
      <c r="AKM196" s="90"/>
      <c r="AKN196" s="90"/>
      <c r="AKO196" s="90"/>
      <c r="AKP196" s="90"/>
      <c r="AKQ196" s="90"/>
      <c r="AKR196" s="90"/>
      <c r="AKS196" s="90"/>
      <c r="AKT196" s="90"/>
      <c r="AKU196" s="90"/>
      <c r="AKV196" s="90"/>
      <c r="AKW196" s="90"/>
      <c r="AKX196" s="90"/>
      <c r="AKY196" s="90"/>
      <c r="AKZ196" s="90"/>
      <c r="ALA196" s="90"/>
      <c r="ALB196" s="90"/>
      <c r="ALC196" s="90"/>
      <c r="ALD196" s="90"/>
      <c r="ALE196" s="90"/>
      <c r="ALF196" s="90"/>
      <c r="ALG196" s="90"/>
      <c r="ALH196" s="90"/>
      <c r="ALI196" s="90"/>
      <c r="ALJ196" s="90"/>
      <c r="ALK196" s="90"/>
      <c r="ALL196" s="90"/>
      <c r="ALM196" s="90"/>
      <c r="ALN196" s="90"/>
      <c r="ALO196" s="90"/>
      <c r="ALP196" s="90"/>
      <c r="ALQ196" s="90"/>
      <c r="ALR196" s="90"/>
      <c r="ALS196" s="90"/>
      <c r="ALT196" s="90"/>
      <c r="ALU196" s="90"/>
      <c r="ALV196" s="90"/>
      <c r="ALW196" s="90"/>
      <c r="ALX196" s="90"/>
      <c r="ALY196" s="90"/>
      <c r="ALZ196" s="90"/>
      <c r="AMA196" s="90"/>
      <c r="AMB196" s="90"/>
      <c r="AMC196" s="90"/>
    </row>
    <row r="197" spans="1:1017">
      <c r="A197" s="98" t="s">
        <v>49</v>
      </c>
      <c r="B197" s="90" t="str">
        <f t="shared" si="1425"/>
        <v xml:space="preserve">Udang_05 (Udang Lainnya) </v>
      </c>
      <c r="Q197" s="91">
        <f t="shared" si="1325"/>
        <v>0</v>
      </c>
      <c r="R197" s="91">
        <f t="shared" si="1326"/>
        <v>0</v>
      </c>
      <c r="AG197" s="91">
        <f t="shared" si="1327"/>
        <v>0</v>
      </c>
      <c r="AH197" s="91">
        <f t="shared" si="1328"/>
        <v>0</v>
      </c>
      <c r="AW197" s="91">
        <f t="shared" si="1329"/>
        <v>0</v>
      </c>
      <c r="AX197" s="91">
        <f t="shared" si="1330"/>
        <v>0</v>
      </c>
      <c r="BM197" s="91">
        <f t="shared" si="1331"/>
        <v>0</v>
      </c>
      <c r="BN197" s="91">
        <f t="shared" si="1332"/>
        <v>0</v>
      </c>
      <c r="CC197" s="91">
        <f t="shared" si="1333"/>
        <v>0</v>
      </c>
      <c r="CD197" s="91">
        <f t="shared" si="1334"/>
        <v>0</v>
      </c>
      <c r="CS197" s="91">
        <f t="shared" si="1419"/>
        <v>0</v>
      </c>
      <c r="CT197" s="91">
        <f t="shared" si="1420"/>
        <v>0</v>
      </c>
      <c r="DI197" s="91">
        <f t="shared" si="1337"/>
        <v>0</v>
      </c>
      <c r="DJ197" s="91">
        <f t="shared" si="1338"/>
        <v>0</v>
      </c>
      <c r="DY197" s="91">
        <f t="shared" si="1339"/>
        <v>0</v>
      </c>
      <c r="DZ197" s="91">
        <f t="shared" si="1340"/>
        <v>0</v>
      </c>
      <c r="EO197" s="91">
        <f t="shared" si="1341"/>
        <v>0</v>
      </c>
      <c r="EP197" s="91">
        <f t="shared" si="1342"/>
        <v>0</v>
      </c>
      <c r="FE197" s="91">
        <f t="shared" si="1343"/>
        <v>0</v>
      </c>
      <c r="FF197" s="91">
        <f t="shared" si="1344"/>
        <v>0</v>
      </c>
      <c r="FU197" s="91">
        <f t="shared" si="1345"/>
        <v>0</v>
      </c>
      <c r="FV197" s="91">
        <f t="shared" si="1346"/>
        <v>0</v>
      </c>
      <c r="GK197" s="91">
        <f t="shared" si="1347"/>
        <v>0</v>
      </c>
      <c r="GL197" s="91">
        <f t="shared" si="1348"/>
        <v>0</v>
      </c>
      <c r="HA197" s="91">
        <f t="shared" si="1349"/>
        <v>0</v>
      </c>
      <c r="HB197" s="91">
        <f t="shared" si="1350"/>
        <v>0</v>
      </c>
      <c r="HQ197" s="91">
        <f t="shared" si="1351"/>
        <v>0</v>
      </c>
      <c r="HR197" s="91">
        <f t="shared" si="1352"/>
        <v>0</v>
      </c>
      <c r="IG197" s="91">
        <f t="shared" si="1353"/>
        <v>0</v>
      </c>
      <c r="IH197" s="91">
        <f t="shared" si="1354"/>
        <v>0</v>
      </c>
      <c r="IW197" s="91">
        <f t="shared" si="1355"/>
        <v>0</v>
      </c>
      <c r="IX197" s="91">
        <f t="shared" si="1356"/>
        <v>0</v>
      </c>
      <c r="JM197" s="91">
        <f t="shared" si="1357"/>
        <v>0</v>
      </c>
      <c r="JN197" s="91">
        <f t="shared" si="1358"/>
        <v>0</v>
      </c>
      <c r="KC197" s="91">
        <f t="shared" si="1359"/>
        <v>0</v>
      </c>
      <c r="KD197" s="91">
        <f t="shared" si="1360"/>
        <v>0</v>
      </c>
      <c r="KS197" s="91">
        <f t="shared" si="1361"/>
        <v>0</v>
      </c>
      <c r="KT197" s="91">
        <f t="shared" si="1362"/>
        <v>0</v>
      </c>
      <c r="LI197" s="91">
        <f t="shared" si="1363"/>
        <v>0</v>
      </c>
      <c r="LJ197" s="91">
        <f t="shared" si="1364"/>
        <v>0</v>
      </c>
      <c r="LY197" s="91">
        <f t="shared" si="1365"/>
        <v>0</v>
      </c>
      <c r="LZ197" s="91">
        <f t="shared" si="1366"/>
        <v>0</v>
      </c>
      <c r="MO197" s="91">
        <f t="shared" si="1367"/>
        <v>0</v>
      </c>
      <c r="MP197" s="91">
        <f t="shared" si="1368"/>
        <v>0</v>
      </c>
      <c r="NE197" s="91">
        <f t="shared" si="1369"/>
        <v>0</v>
      </c>
      <c r="NF197" s="91">
        <f t="shared" si="1370"/>
        <v>0</v>
      </c>
      <c r="NU197" s="91">
        <f t="shared" si="1371"/>
        <v>0</v>
      </c>
      <c r="NV197" s="91">
        <f t="shared" si="1372"/>
        <v>0</v>
      </c>
      <c r="OK197" s="91">
        <f t="shared" si="1373"/>
        <v>0</v>
      </c>
      <c r="OL197" s="91">
        <f t="shared" si="1374"/>
        <v>0</v>
      </c>
      <c r="PA197" s="91">
        <f t="shared" si="1375"/>
        <v>0</v>
      </c>
      <c r="PB197" s="91">
        <f t="shared" si="1376"/>
        <v>0</v>
      </c>
      <c r="PQ197" s="91">
        <f t="shared" si="1377"/>
        <v>0</v>
      </c>
      <c r="PR197" s="91">
        <f t="shared" si="1378"/>
        <v>0</v>
      </c>
      <c r="QG197" s="91">
        <f t="shared" si="1379"/>
        <v>0</v>
      </c>
      <c r="QH197" s="91">
        <f t="shared" si="1380"/>
        <v>0</v>
      </c>
      <c r="QW197" s="91">
        <f t="shared" si="1381"/>
        <v>0</v>
      </c>
      <c r="QX197" s="91">
        <f t="shared" si="1382"/>
        <v>0</v>
      </c>
      <c r="RM197" s="91">
        <f t="shared" si="1383"/>
        <v>0</v>
      </c>
      <c r="RN197" s="91">
        <f t="shared" si="1384"/>
        <v>0</v>
      </c>
      <c r="SC197" s="91">
        <f t="shared" si="1385"/>
        <v>0</v>
      </c>
      <c r="SD197" s="91">
        <f t="shared" si="1386"/>
        <v>0</v>
      </c>
      <c r="SS197" s="91">
        <f t="shared" si="1387"/>
        <v>0</v>
      </c>
      <c r="ST197" s="91">
        <f t="shared" si="1388"/>
        <v>0</v>
      </c>
      <c r="TI197" s="91">
        <f t="shared" si="1389"/>
        <v>0</v>
      </c>
      <c r="TJ197" s="91">
        <f t="shared" si="1390"/>
        <v>0</v>
      </c>
      <c r="TY197" s="91">
        <f t="shared" si="1391"/>
        <v>0</v>
      </c>
      <c r="TZ197" s="91">
        <f t="shared" si="1392"/>
        <v>0</v>
      </c>
      <c r="UO197" s="91">
        <f t="shared" si="1393"/>
        <v>0</v>
      </c>
      <c r="UP197" s="91">
        <f t="shared" si="1394"/>
        <v>0</v>
      </c>
      <c r="VE197" s="91">
        <f t="shared" si="1395"/>
        <v>0</v>
      </c>
      <c r="VF197" s="91">
        <f t="shared" si="1396"/>
        <v>0</v>
      </c>
      <c r="VU197" s="91">
        <f t="shared" si="1397"/>
        <v>0</v>
      </c>
      <c r="VV197" s="91">
        <f t="shared" si="1398"/>
        <v>0</v>
      </c>
      <c r="WK197" s="91">
        <f t="shared" si="1399"/>
        <v>0</v>
      </c>
      <c r="WL197" s="91">
        <f t="shared" si="1400"/>
        <v>0</v>
      </c>
      <c r="WM197" s="89"/>
      <c r="WN197" s="87">
        <f t="shared" si="1426"/>
        <v>0</v>
      </c>
      <c r="WO197" s="87">
        <f t="shared" si="1427"/>
        <v>0</v>
      </c>
      <c r="WP197" s="87">
        <f t="shared" si="1428"/>
        <v>0</v>
      </c>
      <c r="WQ197" s="87">
        <f t="shared" si="1429"/>
        <v>0</v>
      </c>
      <c r="WR197" s="87">
        <f t="shared" si="1430"/>
        <v>0</v>
      </c>
      <c r="WS197" s="87">
        <f t="shared" si="1431"/>
        <v>0</v>
      </c>
      <c r="WT197" s="87">
        <f t="shared" si="1432"/>
        <v>0</v>
      </c>
      <c r="WU197" s="87">
        <f t="shared" si="1433"/>
        <v>0</v>
      </c>
      <c r="WV197" s="87">
        <f t="shared" si="1434"/>
        <v>0</v>
      </c>
      <c r="WW197" s="87">
        <f t="shared" si="1435"/>
        <v>0</v>
      </c>
      <c r="WX197" s="87">
        <f t="shared" si="1436"/>
        <v>0</v>
      </c>
      <c r="WY197" s="87">
        <f t="shared" si="1437"/>
        <v>0</v>
      </c>
      <c r="WZ197" s="87">
        <f t="shared" si="1421"/>
        <v>0</v>
      </c>
      <c r="XA197" s="87">
        <f t="shared" si="1422"/>
        <v>0</v>
      </c>
      <c r="XB197" s="92">
        <f t="shared" si="1423"/>
        <v>0</v>
      </c>
      <c r="XC197" s="92">
        <f t="shared" si="1424"/>
        <v>0</v>
      </c>
      <c r="XD197" s="89"/>
      <c r="XE197" s="92"/>
      <c r="XF197" s="92"/>
      <c r="XG197" s="89"/>
      <c r="XH197" s="92"/>
      <c r="XI197" s="92"/>
      <c r="XJ197" s="89"/>
      <c r="XK197" s="87"/>
      <c r="XL197" s="87"/>
      <c r="XM197" s="87"/>
      <c r="XN197" s="87"/>
      <c r="XO197" s="87"/>
      <c r="XP197" s="87"/>
      <c r="XQ197" s="87"/>
      <c r="XR197" s="92">
        <f t="shared" ca="1" si="1417"/>
        <v>0</v>
      </c>
      <c r="XS197" s="89"/>
      <c r="XT197" s="87"/>
      <c r="XU197" s="87"/>
      <c r="XV197" s="87"/>
      <c r="XW197" s="87"/>
      <c r="XX197" s="87"/>
      <c r="XY197" s="87"/>
      <c r="XZ197" s="87"/>
      <c r="YA197" s="92">
        <f t="shared" ca="1" si="1418"/>
        <v>0</v>
      </c>
      <c r="YB197" s="90"/>
      <c r="YC197" s="90"/>
      <c r="YD197" s="90"/>
      <c r="YE197" s="90"/>
      <c r="YF197" s="90"/>
      <c r="YG197" s="90"/>
      <c r="YH197" s="90"/>
      <c r="YI197" s="90"/>
      <c r="YJ197" s="90"/>
      <c r="YK197" s="90"/>
      <c r="YL197" s="90"/>
      <c r="YM197" s="90"/>
      <c r="YN197" s="90"/>
      <c r="YO197" s="90"/>
      <c r="YP197" s="90"/>
      <c r="YQ197" s="90"/>
      <c r="YR197" s="90"/>
      <c r="YS197" s="90"/>
      <c r="YT197" s="90"/>
      <c r="YU197" s="90"/>
      <c r="YV197" s="90"/>
      <c r="YW197" s="90"/>
      <c r="YX197" s="90"/>
      <c r="YY197" s="90"/>
      <c r="YZ197" s="90"/>
      <c r="ZA197" s="90"/>
      <c r="ZB197" s="90"/>
      <c r="ZC197" s="90"/>
      <c r="ZD197" s="90"/>
      <c r="ZE197" s="90"/>
      <c r="ZF197" s="90"/>
      <c r="ZG197" s="90"/>
      <c r="ZH197" s="90"/>
      <c r="ZI197" s="90"/>
      <c r="ZJ197" s="90"/>
      <c r="ZK197" s="90"/>
      <c r="ZL197" s="90"/>
      <c r="ZM197" s="90"/>
      <c r="ZN197" s="90"/>
      <c r="ZO197" s="90"/>
      <c r="ZP197" s="90"/>
      <c r="ZQ197" s="90"/>
      <c r="ZR197" s="90"/>
      <c r="ZS197" s="90"/>
      <c r="ZT197" s="90"/>
      <c r="ZU197" s="90"/>
      <c r="ZV197" s="90"/>
      <c r="ZW197" s="90"/>
      <c r="ZX197" s="90"/>
      <c r="ZY197" s="90"/>
      <c r="ZZ197" s="90"/>
      <c r="AAA197" s="90"/>
      <c r="AAB197" s="90"/>
      <c r="AAC197" s="90"/>
      <c r="AAD197" s="90"/>
      <c r="AAE197" s="90"/>
      <c r="AAF197" s="90"/>
      <c r="AAG197" s="90"/>
      <c r="AAH197" s="90"/>
      <c r="AAI197" s="90"/>
      <c r="AAJ197" s="90"/>
      <c r="AAK197" s="90"/>
      <c r="AAL197" s="90"/>
      <c r="AAM197" s="90"/>
      <c r="AAN197" s="90"/>
      <c r="AAO197" s="90"/>
      <c r="AAP197" s="90"/>
      <c r="AAQ197" s="90"/>
      <c r="AAR197" s="90"/>
      <c r="AAS197" s="90"/>
      <c r="AAT197" s="90"/>
      <c r="AAU197" s="90"/>
      <c r="AAV197" s="90"/>
      <c r="AAW197" s="90"/>
      <c r="AAX197" s="90"/>
      <c r="AAY197" s="90"/>
      <c r="AAZ197" s="90"/>
      <c r="ABA197" s="90"/>
      <c r="ABB197" s="90"/>
      <c r="ABC197" s="90"/>
      <c r="ABD197" s="90"/>
      <c r="ABE197" s="90"/>
      <c r="ABF197" s="90"/>
      <c r="ABG197" s="90"/>
      <c r="ABH197" s="90"/>
      <c r="ABI197" s="90"/>
      <c r="ABJ197" s="90"/>
      <c r="ABK197" s="90"/>
      <c r="ABL197" s="90"/>
      <c r="ABM197" s="90"/>
      <c r="ABN197" s="90"/>
      <c r="ABO197" s="90"/>
      <c r="ABP197" s="90"/>
      <c r="ABQ197" s="90"/>
      <c r="ABR197" s="90"/>
      <c r="ABS197" s="90"/>
      <c r="ABT197" s="90"/>
      <c r="ABU197" s="90"/>
      <c r="ABV197" s="90"/>
      <c r="ABW197" s="90"/>
      <c r="ABX197" s="90"/>
      <c r="ABY197" s="90"/>
      <c r="ABZ197" s="90"/>
      <c r="ACA197" s="90"/>
      <c r="ACB197" s="90"/>
      <c r="ACC197" s="90"/>
      <c r="ACD197" s="90"/>
      <c r="ACE197" s="90"/>
      <c r="ACF197" s="90"/>
      <c r="ACG197" s="90"/>
      <c r="ACH197" s="90"/>
      <c r="ACI197" s="90"/>
      <c r="ACJ197" s="90"/>
      <c r="ACK197" s="90"/>
      <c r="ACL197" s="90"/>
      <c r="ACM197" s="90"/>
      <c r="ACN197" s="90"/>
      <c r="ACO197" s="90"/>
      <c r="ACP197" s="90"/>
      <c r="ACQ197" s="90"/>
      <c r="ACR197" s="90"/>
      <c r="ACS197" s="90"/>
      <c r="ACT197" s="90"/>
      <c r="ACU197" s="90"/>
      <c r="ACV197" s="90"/>
      <c r="ACW197" s="90"/>
      <c r="ACX197" s="90"/>
      <c r="ACY197" s="90"/>
      <c r="ACZ197" s="90"/>
      <c r="ADA197" s="90"/>
      <c r="ADB197" s="90"/>
      <c r="ADC197" s="90"/>
      <c r="ADD197" s="90"/>
      <c r="ADE197" s="90"/>
      <c r="ADF197" s="90"/>
      <c r="ADG197" s="90"/>
      <c r="ADH197" s="90"/>
      <c r="ADI197" s="90"/>
      <c r="ADJ197" s="90"/>
      <c r="ADK197" s="90"/>
      <c r="ADL197" s="90"/>
      <c r="ADM197" s="90"/>
      <c r="ADN197" s="90"/>
      <c r="ADO197" s="90"/>
      <c r="ADP197" s="90"/>
      <c r="ADQ197" s="90"/>
      <c r="ADR197" s="90"/>
      <c r="ADS197" s="90"/>
      <c r="ADT197" s="90"/>
      <c r="ADU197" s="90"/>
      <c r="ADV197" s="90"/>
      <c r="ADW197" s="90"/>
      <c r="ADX197" s="90"/>
      <c r="ADY197" s="90"/>
      <c r="ADZ197" s="90"/>
      <c r="AEA197" s="90"/>
      <c r="AEB197" s="90"/>
      <c r="AEC197" s="90"/>
      <c r="AED197" s="90"/>
      <c r="AEE197" s="90"/>
      <c r="AEF197" s="90"/>
      <c r="AEG197" s="90"/>
      <c r="AEH197" s="90"/>
      <c r="AEI197" s="90"/>
      <c r="AEJ197" s="90"/>
      <c r="AEK197" s="90"/>
      <c r="AEL197" s="90"/>
      <c r="AEM197" s="90"/>
      <c r="AEN197" s="90"/>
      <c r="AEO197" s="90"/>
      <c r="AEP197" s="90"/>
      <c r="AEQ197" s="90"/>
      <c r="AER197" s="90"/>
      <c r="AES197" s="90"/>
      <c r="AET197" s="90"/>
      <c r="AEU197" s="90"/>
      <c r="AEV197" s="90"/>
      <c r="AEW197" s="90"/>
      <c r="AEX197" s="90"/>
      <c r="AEY197" s="90"/>
      <c r="AEZ197" s="90"/>
      <c r="AFA197" s="90"/>
      <c r="AFB197" s="90"/>
      <c r="AFC197" s="90"/>
      <c r="AFD197" s="90"/>
      <c r="AFE197" s="90"/>
      <c r="AFF197" s="90"/>
      <c r="AFG197" s="90"/>
      <c r="AFH197" s="90"/>
      <c r="AFI197" s="90"/>
      <c r="AFJ197" s="90"/>
      <c r="AFK197" s="90"/>
      <c r="AFL197" s="90"/>
      <c r="AFM197" s="90"/>
      <c r="AFN197" s="90"/>
      <c r="AFO197" s="90"/>
      <c r="AFP197" s="90"/>
      <c r="AFQ197" s="90"/>
      <c r="AFR197" s="90"/>
      <c r="AFS197" s="90"/>
      <c r="AFT197" s="90"/>
      <c r="AFU197" s="90"/>
      <c r="AFV197" s="90"/>
      <c r="AFW197" s="90"/>
      <c r="AFX197" s="90"/>
      <c r="AFY197" s="90"/>
      <c r="AFZ197" s="90"/>
      <c r="AGA197" s="90"/>
      <c r="AGB197" s="90"/>
      <c r="AGC197" s="90"/>
      <c r="AGD197" s="90"/>
      <c r="AGE197" s="90"/>
      <c r="AGF197" s="90"/>
      <c r="AGG197" s="90"/>
      <c r="AGH197" s="90"/>
      <c r="AGI197" s="90"/>
      <c r="AGJ197" s="90"/>
      <c r="AGK197" s="90"/>
      <c r="AGL197" s="90"/>
      <c r="AGM197" s="90"/>
      <c r="AGN197" s="90"/>
      <c r="AGO197" s="90"/>
      <c r="AGP197" s="90"/>
      <c r="AGQ197" s="90"/>
      <c r="AGR197" s="90"/>
      <c r="AGS197" s="90"/>
      <c r="AGT197" s="90"/>
      <c r="AGU197" s="90"/>
      <c r="AGV197" s="90"/>
      <c r="AGW197" s="90"/>
      <c r="AGX197" s="90"/>
      <c r="AGY197" s="90"/>
      <c r="AGZ197" s="90"/>
      <c r="AHA197" s="90"/>
      <c r="AHB197" s="90"/>
      <c r="AHC197" s="90"/>
      <c r="AHD197" s="90"/>
      <c r="AHE197" s="90"/>
      <c r="AHF197" s="90"/>
      <c r="AHG197" s="90"/>
      <c r="AHH197" s="90"/>
      <c r="AHI197" s="90"/>
      <c r="AHJ197" s="90"/>
      <c r="AHK197" s="90"/>
      <c r="AHL197" s="90"/>
      <c r="AHM197" s="90"/>
      <c r="AHN197" s="90"/>
      <c r="AHO197" s="90"/>
      <c r="AHP197" s="90"/>
      <c r="AHQ197" s="90"/>
      <c r="AHR197" s="90"/>
      <c r="AHS197" s="90"/>
      <c r="AHT197" s="90"/>
      <c r="AHU197" s="90"/>
      <c r="AHV197" s="90"/>
      <c r="AHW197" s="90"/>
      <c r="AHX197" s="90"/>
      <c r="AHY197" s="90"/>
      <c r="AHZ197" s="90"/>
      <c r="AIA197" s="90"/>
      <c r="AIB197" s="90"/>
      <c r="AIC197" s="90"/>
      <c r="AID197" s="90"/>
      <c r="AIE197" s="90"/>
      <c r="AIF197" s="90"/>
      <c r="AIG197" s="90"/>
      <c r="AIH197" s="90"/>
      <c r="AII197" s="90"/>
      <c r="AIJ197" s="90"/>
      <c r="AIK197" s="90"/>
      <c r="AIL197" s="90"/>
      <c r="AIM197" s="90"/>
      <c r="AIN197" s="90"/>
      <c r="AIO197" s="90"/>
      <c r="AIP197" s="90"/>
      <c r="AIQ197" s="90"/>
      <c r="AIR197" s="90"/>
      <c r="AIS197" s="90"/>
      <c r="AIT197" s="90"/>
      <c r="AIU197" s="90"/>
      <c r="AIV197" s="90"/>
      <c r="AIW197" s="90"/>
      <c r="AIX197" s="90"/>
      <c r="AIY197" s="90"/>
      <c r="AIZ197" s="90"/>
      <c r="AJA197" s="90"/>
      <c r="AJB197" s="90"/>
      <c r="AJC197" s="90"/>
      <c r="AJD197" s="90"/>
      <c r="AJE197" s="90"/>
      <c r="AJF197" s="90"/>
      <c r="AJG197" s="90"/>
      <c r="AJH197" s="90"/>
      <c r="AJI197" s="90"/>
      <c r="AJJ197" s="90"/>
      <c r="AJK197" s="90"/>
      <c r="AJL197" s="90"/>
      <c r="AJM197" s="90"/>
      <c r="AJN197" s="90"/>
      <c r="AJO197" s="90"/>
      <c r="AJP197" s="90"/>
      <c r="AJQ197" s="90"/>
      <c r="AJR197" s="90"/>
      <c r="AJS197" s="90"/>
      <c r="AJT197" s="90"/>
      <c r="AJU197" s="90"/>
      <c r="AJV197" s="90"/>
      <c r="AJW197" s="90"/>
      <c r="AJX197" s="90"/>
      <c r="AJY197" s="90"/>
      <c r="AJZ197" s="90"/>
      <c r="AKA197" s="90"/>
      <c r="AKB197" s="90"/>
      <c r="AKC197" s="90"/>
      <c r="AKD197" s="90"/>
      <c r="AKE197" s="90"/>
      <c r="AKF197" s="90"/>
      <c r="AKG197" s="90"/>
      <c r="AKH197" s="90"/>
      <c r="AKI197" s="90"/>
      <c r="AKJ197" s="90"/>
      <c r="AKK197" s="90"/>
      <c r="AKL197" s="90"/>
      <c r="AKM197" s="90"/>
      <c r="AKN197" s="90"/>
      <c r="AKO197" s="90"/>
      <c r="AKP197" s="90"/>
      <c r="AKQ197" s="90"/>
      <c r="AKR197" s="90"/>
      <c r="AKS197" s="90"/>
      <c r="AKT197" s="90"/>
      <c r="AKU197" s="90"/>
      <c r="AKV197" s="90"/>
      <c r="AKW197" s="90"/>
      <c r="AKX197" s="90"/>
      <c r="AKY197" s="90"/>
      <c r="AKZ197" s="90"/>
      <c r="ALA197" s="90"/>
      <c r="ALB197" s="90"/>
      <c r="ALC197" s="90"/>
      <c r="ALD197" s="90"/>
      <c r="ALE197" s="90"/>
      <c r="ALF197" s="90"/>
      <c r="ALG197" s="90"/>
      <c r="ALH197" s="90"/>
      <c r="ALI197" s="90"/>
      <c r="ALJ197" s="90"/>
      <c r="ALK197" s="90"/>
      <c r="ALL197" s="90"/>
      <c r="ALM197" s="90"/>
      <c r="ALN197" s="90"/>
      <c r="ALO197" s="90"/>
      <c r="ALP197" s="90"/>
      <c r="ALQ197" s="90"/>
      <c r="ALR197" s="90"/>
      <c r="ALS197" s="90"/>
      <c r="ALT197" s="90"/>
      <c r="ALU197" s="90"/>
      <c r="ALV197" s="90"/>
      <c r="ALW197" s="90"/>
      <c r="ALX197" s="90"/>
      <c r="ALY197" s="90"/>
      <c r="ALZ197" s="90"/>
      <c r="AMA197" s="90"/>
      <c r="AMB197" s="90"/>
      <c r="AMC197" s="90"/>
    </row>
    <row r="198" spans="1:1017">
      <c r="A198" s="98" t="s">
        <v>49</v>
      </c>
      <c r="B198" s="90" t="str">
        <f t="shared" si="1425"/>
        <v>Ikan_01 (Ikan Lainnya)</v>
      </c>
      <c r="Q198" s="91">
        <f t="shared" si="1325"/>
        <v>0</v>
      </c>
      <c r="R198" s="91">
        <f t="shared" si="1326"/>
        <v>0</v>
      </c>
      <c r="AG198" s="91">
        <f t="shared" si="1327"/>
        <v>0</v>
      </c>
      <c r="AH198" s="91">
        <f t="shared" si="1328"/>
        <v>0</v>
      </c>
      <c r="AW198" s="91">
        <f t="shared" si="1329"/>
        <v>0</v>
      </c>
      <c r="AX198" s="91">
        <f t="shared" si="1330"/>
        <v>0</v>
      </c>
      <c r="BM198" s="91">
        <f t="shared" si="1331"/>
        <v>0</v>
      </c>
      <c r="BN198" s="91">
        <f t="shared" si="1332"/>
        <v>0</v>
      </c>
      <c r="CC198" s="91">
        <f t="shared" si="1333"/>
        <v>0</v>
      </c>
      <c r="CD198" s="91">
        <f t="shared" si="1334"/>
        <v>0</v>
      </c>
      <c r="CG198" s="98">
        <v>105639</v>
      </c>
      <c r="CH198" s="98">
        <v>528193</v>
      </c>
      <c r="CK198" s="98">
        <v>219536</v>
      </c>
      <c r="CL198" s="98">
        <v>1097681</v>
      </c>
      <c r="CS198" s="91">
        <f t="shared" si="1419"/>
        <v>325175</v>
      </c>
      <c r="CT198" s="91">
        <f t="shared" si="1420"/>
        <v>1625874</v>
      </c>
      <c r="DI198" s="91">
        <f t="shared" si="1337"/>
        <v>0</v>
      </c>
      <c r="DJ198" s="91">
        <f t="shared" si="1338"/>
        <v>0</v>
      </c>
      <c r="DY198" s="91">
        <f t="shared" si="1339"/>
        <v>0</v>
      </c>
      <c r="DZ198" s="91">
        <f t="shared" si="1340"/>
        <v>0</v>
      </c>
      <c r="EO198" s="91">
        <f t="shared" si="1341"/>
        <v>0</v>
      </c>
      <c r="EP198" s="91">
        <f t="shared" si="1342"/>
        <v>0</v>
      </c>
      <c r="FE198" s="91">
        <f t="shared" si="1343"/>
        <v>0</v>
      </c>
      <c r="FF198" s="91">
        <f t="shared" si="1344"/>
        <v>0</v>
      </c>
      <c r="FU198" s="91">
        <f t="shared" si="1345"/>
        <v>0</v>
      </c>
      <c r="FV198" s="91">
        <f t="shared" si="1346"/>
        <v>0</v>
      </c>
      <c r="GK198" s="91">
        <f t="shared" si="1347"/>
        <v>0</v>
      </c>
      <c r="GL198" s="91">
        <f t="shared" si="1348"/>
        <v>0</v>
      </c>
      <c r="HA198" s="91">
        <f t="shared" si="1349"/>
        <v>0</v>
      </c>
      <c r="HB198" s="91">
        <f t="shared" si="1350"/>
        <v>0</v>
      </c>
      <c r="HQ198" s="91">
        <f t="shared" si="1351"/>
        <v>0</v>
      </c>
      <c r="HR198" s="91">
        <f t="shared" si="1352"/>
        <v>0</v>
      </c>
      <c r="IG198" s="91">
        <f t="shared" si="1353"/>
        <v>0</v>
      </c>
      <c r="IH198" s="91">
        <f t="shared" si="1354"/>
        <v>0</v>
      </c>
      <c r="IW198" s="91">
        <f t="shared" si="1355"/>
        <v>0</v>
      </c>
      <c r="IX198" s="91">
        <f t="shared" si="1356"/>
        <v>0</v>
      </c>
      <c r="JM198" s="91">
        <f t="shared" si="1357"/>
        <v>0</v>
      </c>
      <c r="JN198" s="91">
        <f t="shared" si="1358"/>
        <v>0</v>
      </c>
      <c r="KC198" s="91">
        <f t="shared" si="1359"/>
        <v>0</v>
      </c>
      <c r="KD198" s="91">
        <f t="shared" si="1360"/>
        <v>0</v>
      </c>
      <c r="KS198" s="91">
        <f t="shared" si="1361"/>
        <v>0</v>
      </c>
      <c r="KT198" s="91">
        <f t="shared" si="1362"/>
        <v>0</v>
      </c>
      <c r="LI198" s="91">
        <f t="shared" si="1363"/>
        <v>0</v>
      </c>
      <c r="LJ198" s="91">
        <f t="shared" si="1364"/>
        <v>0</v>
      </c>
      <c r="LY198" s="91">
        <f t="shared" si="1365"/>
        <v>0</v>
      </c>
      <c r="LZ198" s="91">
        <f t="shared" si="1366"/>
        <v>0</v>
      </c>
      <c r="MO198" s="91">
        <f t="shared" si="1367"/>
        <v>0</v>
      </c>
      <c r="MP198" s="91">
        <f t="shared" si="1368"/>
        <v>0</v>
      </c>
      <c r="MS198" s="98">
        <v>1000</v>
      </c>
      <c r="MT198" s="98">
        <v>30000</v>
      </c>
      <c r="NE198" s="91">
        <f t="shared" si="1369"/>
        <v>1000</v>
      </c>
      <c r="NF198" s="91">
        <f t="shared" si="1370"/>
        <v>30000</v>
      </c>
      <c r="NU198" s="91">
        <f t="shared" si="1371"/>
        <v>0</v>
      </c>
      <c r="NV198" s="91">
        <f t="shared" si="1372"/>
        <v>0</v>
      </c>
      <c r="OK198" s="91">
        <f t="shared" si="1373"/>
        <v>0</v>
      </c>
      <c r="OL198" s="91">
        <f t="shared" si="1374"/>
        <v>0</v>
      </c>
      <c r="PA198" s="91">
        <f t="shared" si="1375"/>
        <v>0</v>
      </c>
      <c r="PB198" s="91">
        <f t="shared" si="1376"/>
        <v>0</v>
      </c>
      <c r="PQ198" s="91">
        <f t="shared" si="1377"/>
        <v>0</v>
      </c>
      <c r="PR198" s="91">
        <f t="shared" si="1378"/>
        <v>0</v>
      </c>
      <c r="QG198" s="91">
        <f t="shared" si="1379"/>
        <v>0</v>
      </c>
      <c r="QH198" s="91">
        <f t="shared" si="1380"/>
        <v>0</v>
      </c>
      <c r="QW198" s="91">
        <f t="shared" si="1381"/>
        <v>0</v>
      </c>
      <c r="QX198" s="91">
        <f t="shared" si="1382"/>
        <v>0</v>
      </c>
      <c r="RM198" s="91">
        <f t="shared" si="1383"/>
        <v>0</v>
      </c>
      <c r="RN198" s="91">
        <f t="shared" si="1384"/>
        <v>0</v>
      </c>
      <c r="SC198" s="91">
        <f t="shared" si="1385"/>
        <v>0</v>
      </c>
      <c r="SD198" s="91">
        <f t="shared" si="1386"/>
        <v>0</v>
      </c>
      <c r="SS198" s="91">
        <f t="shared" si="1387"/>
        <v>0</v>
      </c>
      <c r="ST198" s="91">
        <f t="shared" si="1388"/>
        <v>0</v>
      </c>
      <c r="TI198" s="91">
        <f t="shared" si="1389"/>
        <v>0</v>
      </c>
      <c r="TJ198" s="91">
        <f t="shared" si="1390"/>
        <v>0</v>
      </c>
      <c r="TY198" s="91">
        <f t="shared" si="1391"/>
        <v>0</v>
      </c>
      <c r="TZ198" s="91">
        <f t="shared" si="1392"/>
        <v>0</v>
      </c>
      <c r="UO198" s="91">
        <f t="shared" si="1393"/>
        <v>0</v>
      </c>
      <c r="UP198" s="91">
        <f t="shared" si="1394"/>
        <v>0</v>
      </c>
      <c r="VE198" s="91">
        <f t="shared" si="1395"/>
        <v>0</v>
      </c>
      <c r="VF198" s="91">
        <f t="shared" si="1396"/>
        <v>0</v>
      </c>
      <c r="VU198" s="91">
        <f t="shared" si="1397"/>
        <v>0</v>
      </c>
      <c r="VV198" s="91">
        <f t="shared" si="1398"/>
        <v>0</v>
      </c>
      <c r="WK198" s="91">
        <f t="shared" si="1399"/>
        <v>0</v>
      </c>
      <c r="WL198" s="91">
        <f t="shared" si="1400"/>
        <v>0</v>
      </c>
      <c r="WM198" s="89"/>
      <c r="WN198" s="87">
        <f t="shared" si="1426"/>
        <v>0</v>
      </c>
      <c r="WO198" s="87">
        <f t="shared" si="1427"/>
        <v>0</v>
      </c>
      <c r="WP198" s="87">
        <f t="shared" si="1428"/>
        <v>106639</v>
      </c>
      <c r="WQ198" s="87">
        <f t="shared" si="1429"/>
        <v>558193</v>
      </c>
      <c r="WR198" s="87">
        <f t="shared" si="1430"/>
        <v>0</v>
      </c>
      <c r="WS198" s="87">
        <f t="shared" si="1431"/>
        <v>0</v>
      </c>
      <c r="WT198" s="87">
        <f t="shared" si="1432"/>
        <v>219536</v>
      </c>
      <c r="WU198" s="87">
        <f t="shared" si="1433"/>
        <v>1097681</v>
      </c>
      <c r="WV198" s="87">
        <f t="shared" si="1434"/>
        <v>0</v>
      </c>
      <c r="WW198" s="87">
        <f t="shared" si="1435"/>
        <v>0</v>
      </c>
      <c r="WX198" s="87">
        <f t="shared" si="1436"/>
        <v>0</v>
      </c>
      <c r="WY198" s="87">
        <f t="shared" si="1437"/>
        <v>0</v>
      </c>
      <c r="WZ198" s="87">
        <f t="shared" si="1421"/>
        <v>0</v>
      </c>
      <c r="XA198" s="87">
        <f t="shared" si="1422"/>
        <v>0</v>
      </c>
      <c r="XB198" s="92">
        <f t="shared" si="1423"/>
        <v>326175</v>
      </c>
      <c r="XC198" s="92">
        <f t="shared" si="1424"/>
        <v>1655874</v>
      </c>
      <c r="XD198" s="89"/>
      <c r="XE198" s="92"/>
      <c r="XF198" s="92"/>
      <c r="XG198" s="89"/>
      <c r="XH198" s="92"/>
      <c r="XI198" s="92"/>
      <c r="XJ198" s="89"/>
      <c r="XK198" s="87"/>
      <c r="XL198" s="87"/>
      <c r="XM198" s="87"/>
      <c r="XN198" s="87"/>
      <c r="XO198" s="87"/>
      <c r="XP198" s="87"/>
      <c r="XQ198" s="87"/>
      <c r="XR198" s="92">
        <f t="shared" ca="1" si="1417"/>
        <v>0</v>
      </c>
      <c r="XS198" s="89"/>
      <c r="XT198" s="87"/>
      <c r="XU198" s="87"/>
      <c r="XV198" s="87"/>
      <c r="XW198" s="87"/>
      <c r="XX198" s="87"/>
      <c r="XY198" s="87"/>
      <c r="XZ198" s="87"/>
      <c r="YA198" s="92">
        <f t="shared" ca="1" si="1418"/>
        <v>0</v>
      </c>
      <c r="YB198" s="90"/>
      <c r="YC198" s="90"/>
      <c r="YD198" s="90"/>
      <c r="YE198" s="90"/>
      <c r="YF198" s="90"/>
      <c r="YG198" s="90"/>
      <c r="YH198" s="90"/>
      <c r="YI198" s="90"/>
      <c r="YJ198" s="90"/>
      <c r="YK198" s="90"/>
      <c r="YL198" s="90"/>
      <c r="YM198" s="90"/>
      <c r="YN198" s="90"/>
      <c r="YO198" s="90"/>
      <c r="YP198" s="90"/>
      <c r="YQ198" s="90"/>
      <c r="YR198" s="90"/>
      <c r="YS198" s="90"/>
      <c r="YT198" s="90"/>
      <c r="YU198" s="90"/>
      <c r="YV198" s="90"/>
      <c r="YW198" s="90"/>
      <c r="YX198" s="90"/>
      <c r="YY198" s="90"/>
      <c r="YZ198" s="90"/>
      <c r="ZA198" s="90"/>
      <c r="ZB198" s="90"/>
      <c r="ZC198" s="90"/>
      <c r="ZD198" s="90"/>
      <c r="ZE198" s="90"/>
      <c r="ZF198" s="90"/>
      <c r="ZG198" s="90"/>
      <c r="ZH198" s="90"/>
      <c r="ZI198" s="90"/>
      <c r="ZJ198" s="90"/>
      <c r="ZK198" s="90"/>
      <c r="ZL198" s="90"/>
      <c r="ZM198" s="90"/>
      <c r="ZN198" s="90"/>
      <c r="ZO198" s="90"/>
      <c r="ZP198" s="90"/>
      <c r="ZQ198" s="90"/>
      <c r="ZR198" s="90"/>
      <c r="ZS198" s="90"/>
      <c r="ZT198" s="90"/>
      <c r="ZU198" s="90"/>
      <c r="ZV198" s="90"/>
      <c r="ZW198" s="90"/>
      <c r="ZX198" s="90"/>
      <c r="ZY198" s="90"/>
      <c r="ZZ198" s="90"/>
      <c r="AAA198" s="90"/>
      <c r="AAB198" s="90"/>
      <c r="AAC198" s="90"/>
      <c r="AAD198" s="90"/>
      <c r="AAE198" s="90"/>
      <c r="AAF198" s="90"/>
      <c r="AAG198" s="90"/>
      <c r="AAH198" s="90"/>
      <c r="AAI198" s="90"/>
      <c r="AAJ198" s="90"/>
      <c r="AAK198" s="90"/>
      <c r="AAL198" s="90"/>
      <c r="AAM198" s="90"/>
      <c r="AAN198" s="90"/>
      <c r="AAO198" s="90"/>
      <c r="AAP198" s="90"/>
      <c r="AAQ198" s="90"/>
      <c r="AAR198" s="90"/>
      <c r="AAS198" s="90"/>
      <c r="AAT198" s="90"/>
      <c r="AAU198" s="90"/>
      <c r="AAV198" s="90"/>
      <c r="AAW198" s="90"/>
      <c r="AAX198" s="90"/>
      <c r="AAY198" s="90"/>
      <c r="AAZ198" s="90"/>
      <c r="ABA198" s="90"/>
      <c r="ABB198" s="90"/>
      <c r="ABC198" s="90"/>
      <c r="ABD198" s="90"/>
      <c r="ABE198" s="90"/>
      <c r="ABF198" s="90"/>
      <c r="ABG198" s="90"/>
      <c r="ABH198" s="90"/>
      <c r="ABI198" s="90"/>
      <c r="ABJ198" s="90"/>
      <c r="ABK198" s="90"/>
      <c r="ABL198" s="90"/>
      <c r="ABM198" s="90"/>
      <c r="ABN198" s="90"/>
      <c r="ABO198" s="90"/>
      <c r="ABP198" s="90"/>
      <c r="ABQ198" s="90"/>
      <c r="ABR198" s="90"/>
      <c r="ABS198" s="90"/>
      <c r="ABT198" s="90"/>
      <c r="ABU198" s="90"/>
      <c r="ABV198" s="90"/>
      <c r="ABW198" s="90"/>
      <c r="ABX198" s="90"/>
      <c r="ABY198" s="90"/>
      <c r="ABZ198" s="90"/>
      <c r="ACA198" s="90"/>
      <c r="ACB198" s="90"/>
      <c r="ACC198" s="90"/>
      <c r="ACD198" s="90"/>
      <c r="ACE198" s="90"/>
      <c r="ACF198" s="90"/>
      <c r="ACG198" s="90"/>
      <c r="ACH198" s="90"/>
      <c r="ACI198" s="90"/>
      <c r="ACJ198" s="90"/>
      <c r="ACK198" s="90"/>
      <c r="ACL198" s="90"/>
      <c r="ACM198" s="90"/>
      <c r="ACN198" s="90"/>
      <c r="ACO198" s="90"/>
      <c r="ACP198" s="90"/>
      <c r="ACQ198" s="90"/>
      <c r="ACR198" s="90"/>
      <c r="ACS198" s="90"/>
      <c r="ACT198" s="90"/>
      <c r="ACU198" s="90"/>
      <c r="ACV198" s="90"/>
      <c r="ACW198" s="90"/>
      <c r="ACX198" s="90"/>
      <c r="ACY198" s="90"/>
      <c r="ACZ198" s="90"/>
      <c r="ADA198" s="90"/>
      <c r="ADB198" s="90"/>
      <c r="ADC198" s="90"/>
      <c r="ADD198" s="90"/>
      <c r="ADE198" s="90"/>
      <c r="ADF198" s="90"/>
      <c r="ADG198" s="90"/>
      <c r="ADH198" s="90"/>
      <c r="ADI198" s="90"/>
      <c r="ADJ198" s="90"/>
      <c r="ADK198" s="90"/>
      <c r="ADL198" s="90"/>
      <c r="ADM198" s="90"/>
      <c r="ADN198" s="90"/>
      <c r="ADO198" s="90"/>
      <c r="ADP198" s="90"/>
      <c r="ADQ198" s="90"/>
      <c r="ADR198" s="90"/>
      <c r="ADS198" s="90"/>
      <c r="ADT198" s="90"/>
      <c r="ADU198" s="90"/>
      <c r="ADV198" s="90"/>
      <c r="ADW198" s="90"/>
      <c r="ADX198" s="90"/>
      <c r="ADY198" s="90"/>
      <c r="ADZ198" s="90"/>
      <c r="AEA198" s="90"/>
      <c r="AEB198" s="90"/>
      <c r="AEC198" s="90"/>
      <c r="AED198" s="90"/>
      <c r="AEE198" s="90"/>
      <c r="AEF198" s="90"/>
      <c r="AEG198" s="90"/>
      <c r="AEH198" s="90"/>
      <c r="AEI198" s="90"/>
      <c r="AEJ198" s="90"/>
      <c r="AEK198" s="90"/>
      <c r="AEL198" s="90"/>
      <c r="AEM198" s="90"/>
      <c r="AEN198" s="90"/>
      <c r="AEO198" s="90"/>
      <c r="AEP198" s="90"/>
      <c r="AEQ198" s="90"/>
      <c r="AER198" s="90"/>
      <c r="AES198" s="90"/>
      <c r="AET198" s="90"/>
      <c r="AEU198" s="90"/>
      <c r="AEV198" s="90"/>
      <c r="AEW198" s="90"/>
      <c r="AEX198" s="90"/>
      <c r="AEY198" s="90"/>
      <c r="AEZ198" s="90"/>
      <c r="AFA198" s="90"/>
      <c r="AFB198" s="90"/>
      <c r="AFC198" s="90"/>
      <c r="AFD198" s="90"/>
      <c r="AFE198" s="90"/>
      <c r="AFF198" s="90"/>
      <c r="AFG198" s="90"/>
      <c r="AFH198" s="90"/>
      <c r="AFI198" s="90"/>
      <c r="AFJ198" s="90"/>
      <c r="AFK198" s="90"/>
      <c r="AFL198" s="90"/>
      <c r="AFM198" s="90"/>
      <c r="AFN198" s="90"/>
      <c r="AFO198" s="90"/>
      <c r="AFP198" s="90"/>
      <c r="AFQ198" s="90"/>
      <c r="AFR198" s="90"/>
      <c r="AFS198" s="90"/>
      <c r="AFT198" s="90"/>
      <c r="AFU198" s="90"/>
      <c r="AFV198" s="90"/>
      <c r="AFW198" s="90"/>
      <c r="AFX198" s="90"/>
      <c r="AFY198" s="90"/>
      <c r="AFZ198" s="90"/>
      <c r="AGA198" s="90"/>
      <c r="AGB198" s="90"/>
      <c r="AGC198" s="90"/>
      <c r="AGD198" s="90"/>
      <c r="AGE198" s="90"/>
      <c r="AGF198" s="90"/>
      <c r="AGG198" s="90"/>
      <c r="AGH198" s="90"/>
      <c r="AGI198" s="90"/>
      <c r="AGJ198" s="90"/>
      <c r="AGK198" s="90"/>
      <c r="AGL198" s="90"/>
      <c r="AGM198" s="90"/>
      <c r="AGN198" s="90"/>
      <c r="AGO198" s="90"/>
      <c r="AGP198" s="90"/>
      <c r="AGQ198" s="90"/>
      <c r="AGR198" s="90"/>
      <c r="AGS198" s="90"/>
      <c r="AGT198" s="90"/>
      <c r="AGU198" s="90"/>
      <c r="AGV198" s="90"/>
      <c r="AGW198" s="90"/>
      <c r="AGX198" s="90"/>
      <c r="AGY198" s="90"/>
      <c r="AGZ198" s="90"/>
      <c r="AHA198" s="90"/>
      <c r="AHB198" s="90"/>
      <c r="AHC198" s="90"/>
      <c r="AHD198" s="90"/>
      <c r="AHE198" s="90"/>
      <c r="AHF198" s="90"/>
      <c r="AHG198" s="90"/>
      <c r="AHH198" s="90"/>
      <c r="AHI198" s="90"/>
      <c r="AHJ198" s="90"/>
      <c r="AHK198" s="90"/>
      <c r="AHL198" s="90"/>
      <c r="AHM198" s="90"/>
      <c r="AHN198" s="90"/>
      <c r="AHO198" s="90"/>
      <c r="AHP198" s="90"/>
      <c r="AHQ198" s="90"/>
      <c r="AHR198" s="90"/>
      <c r="AHS198" s="90"/>
      <c r="AHT198" s="90"/>
      <c r="AHU198" s="90"/>
      <c r="AHV198" s="90"/>
      <c r="AHW198" s="90"/>
      <c r="AHX198" s="90"/>
      <c r="AHY198" s="90"/>
      <c r="AHZ198" s="90"/>
      <c r="AIA198" s="90"/>
      <c r="AIB198" s="90"/>
      <c r="AIC198" s="90"/>
      <c r="AID198" s="90"/>
      <c r="AIE198" s="90"/>
      <c r="AIF198" s="90"/>
      <c r="AIG198" s="90"/>
      <c r="AIH198" s="90"/>
      <c r="AII198" s="90"/>
      <c r="AIJ198" s="90"/>
      <c r="AIK198" s="90"/>
      <c r="AIL198" s="90"/>
      <c r="AIM198" s="90"/>
      <c r="AIN198" s="90"/>
      <c r="AIO198" s="90"/>
      <c r="AIP198" s="90"/>
      <c r="AIQ198" s="90"/>
      <c r="AIR198" s="90"/>
      <c r="AIS198" s="90"/>
      <c r="AIT198" s="90"/>
      <c r="AIU198" s="90"/>
      <c r="AIV198" s="90"/>
      <c r="AIW198" s="90"/>
      <c r="AIX198" s="90"/>
      <c r="AIY198" s="90"/>
      <c r="AIZ198" s="90"/>
      <c r="AJA198" s="90"/>
      <c r="AJB198" s="90"/>
      <c r="AJC198" s="90"/>
      <c r="AJD198" s="90"/>
      <c r="AJE198" s="90"/>
      <c r="AJF198" s="90"/>
      <c r="AJG198" s="90"/>
      <c r="AJH198" s="90"/>
      <c r="AJI198" s="90"/>
      <c r="AJJ198" s="90"/>
      <c r="AJK198" s="90"/>
      <c r="AJL198" s="90"/>
      <c r="AJM198" s="90"/>
      <c r="AJN198" s="90"/>
      <c r="AJO198" s="90"/>
      <c r="AJP198" s="90"/>
      <c r="AJQ198" s="90"/>
      <c r="AJR198" s="90"/>
      <c r="AJS198" s="90"/>
      <c r="AJT198" s="90"/>
      <c r="AJU198" s="90"/>
      <c r="AJV198" s="90"/>
      <c r="AJW198" s="90"/>
      <c r="AJX198" s="90"/>
      <c r="AJY198" s="90"/>
      <c r="AJZ198" s="90"/>
      <c r="AKA198" s="90"/>
      <c r="AKB198" s="90"/>
      <c r="AKC198" s="90"/>
      <c r="AKD198" s="90"/>
      <c r="AKE198" s="90"/>
      <c r="AKF198" s="90"/>
      <c r="AKG198" s="90"/>
      <c r="AKH198" s="90"/>
      <c r="AKI198" s="90"/>
      <c r="AKJ198" s="90"/>
      <c r="AKK198" s="90"/>
      <c r="AKL198" s="90"/>
      <c r="AKM198" s="90"/>
      <c r="AKN198" s="90"/>
      <c r="AKO198" s="90"/>
      <c r="AKP198" s="90"/>
      <c r="AKQ198" s="90"/>
      <c r="AKR198" s="90"/>
      <c r="AKS198" s="90"/>
      <c r="AKT198" s="90"/>
      <c r="AKU198" s="90"/>
      <c r="AKV198" s="90"/>
      <c r="AKW198" s="90"/>
      <c r="AKX198" s="90"/>
      <c r="AKY198" s="90"/>
      <c r="AKZ198" s="90"/>
      <c r="ALA198" s="90"/>
      <c r="ALB198" s="90"/>
      <c r="ALC198" s="90"/>
      <c r="ALD198" s="90"/>
      <c r="ALE198" s="90"/>
      <c r="ALF198" s="90"/>
      <c r="ALG198" s="90"/>
      <c r="ALH198" s="90"/>
      <c r="ALI198" s="90"/>
      <c r="ALJ198" s="90"/>
      <c r="ALK198" s="90"/>
      <c r="ALL198" s="90"/>
      <c r="ALM198" s="90"/>
      <c r="ALN198" s="90"/>
      <c r="ALO198" s="90"/>
      <c r="ALP198" s="90"/>
      <c r="ALQ198" s="90"/>
      <c r="ALR198" s="90"/>
      <c r="ALS198" s="90"/>
      <c r="ALT198" s="90"/>
      <c r="ALU198" s="90"/>
      <c r="ALV198" s="90"/>
      <c r="ALW198" s="90"/>
      <c r="ALX198" s="90"/>
      <c r="ALY198" s="90"/>
      <c r="ALZ198" s="90"/>
      <c r="AMA198" s="90"/>
      <c r="AMB198" s="90"/>
      <c r="AMC198" s="90"/>
    </row>
    <row r="199" spans="1:1017">
      <c r="A199" s="98" t="s">
        <v>49</v>
      </c>
      <c r="B199" s="90" t="str">
        <f t="shared" si="1425"/>
        <v>Ikan_02 (Tiram)</v>
      </c>
      <c r="Q199" s="91">
        <f t="shared" si="1325"/>
        <v>0</v>
      </c>
      <c r="R199" s="91">
        <f t="shared" si="1326"/>
        <v>0</v>
      </c>
      <c r="S199" s="98">
        <v>1240</v>
      </c>
      <c r="T199" s="98">
        <v>12400</v>
      </c>
      <c r="AG199" s="91">
        <f t="shared" si="1327"/>
        <v>1240</v>
      </c>
      <c r="AH199" s="91">
        <f t="shared" si="1328"/>
        <v>12400</v>
      </c>
      <c r="AW199" s="91">
        <f t="shared" si="1329"/>
        <v>0</v>
      </c>
      <c r="AX199" s="91">
        <f t="shared" si="1330"/>
        <v>0</v>
      </c>
      <c r="BM199" s="91">
        <f t="shared" si="1331"/>
        <v>0</v>
      </c>
      <c r="BN199" s="91">
        <f t="shared" si="1332"/>
        <v>0</v>
      </c>
      <c r="CC199" s="91">
        <f t="shared" si="1333"/>
        <v>0</v>
      </c>
      <c r="CD199" s="91">
        <f t="shared" si="1334"/>
        <v>0</v>
      </c>
      <c r="CS199" s="91">
        <f t="shared" si="1419"/>
        <v>0</v>
      </c>
      <c r="CT199" s="91">
        <f t="shared" si="1420"/>
        <v>0</v>
      </c>
      <c r="DI199" s="91">
        <f t="shared" si="1337"/>
        <v>0</v>
      </c>
      <c r="DJ199" s="91">
        <f t="shared" si="1338"/>
        <v>0</v>
      </c>
      <c r="DY199" s="91">
        <f t="shared" si="1339"/>
        <v>0</v>
      </c>
      <c r="DZ199" s="91">
        <f t="shared" si="1340"/>
        <v>0</v>
      </c>
      <c r="EO199" s="91">
        <f t="shared" si="1341"/>
        <v>0</v>
      </c>
      <c r="EP199" s="91">
        <f t="shared" si="1342"/>
        <v>0</v>
      </c>
      <c r="FE199" s="91">
        <f t="shared" si="1343"/>
        <v>0</v>
      </c>
      <c r="FF199" s="91">
        <f t="shared" si="1344"/>
        <v>0</v>
      </c>
      <c r="FU199" s="91">
        <f t="shared" si="1345"/>
        <v>0</v>
      </c>
      <c r="FV199" s="91">
        <f t="shared" si="1346"/>
        <v>0</v>
      </c>
      <c r="GK199" s="91">
        <f t="shared" si="1347"/>
        <v>0</v>
      </c>
      <c r="GL199" s="91">
        <f t="shared" si="1348"/>
        <v>0</v>
      </c>
      <c r="HA199" s="91">
        <f t="shared" si="1349"/>
        <v>0</v>
      </c>
      <c r="HB199" s="91">
        <f t="shared" si="1350"/>
        <v>0</v>
      </c>
      <c r="HQ199" s="91">
        <f t="shared" si="1351"/>
        <v>0</v>
      </c>
      <c r="HR199" s="91">
        <f t="shared" si="1352"/>
        <v>0</v>
      </c>
      <c r="IG199" s="91">
        <f t="shared" si="1353"/>
        <v>0</v>
      </c>
      <c r="IH199" s="91">
        <f t="shared" si="1354"/>
        <v>0</v>
      </c>
      <c r="IW199" s="91">
        <f t="shared" si="1355"/>
        <v>0</v>
      </c>
      <c r="IX199" s="91">
        <f t="shared" si="1356"/>
        <v>0</v>
      </c>
      <c r="JM199" s="91">
        <f t="shared" si="1357"/>
        <v>0</v>
      </c>
      <c r="JN199" s="91">
        <f t="shared" si="1358"/>
        <v>0</v>
      </c>
      <c r="KC199" s="91">
        <f t="shared" si="1359"/>
        <v>0</v>
      </c>
      <c r="KD199" s="91">
        <f t="shared" si="1360"/>
        <v>0</v>
      </c>
      <c r="KS199" s="91">
        <f t="shared" si="1361"/>
        <v>0</v>
      </c>
      <c r="KT199" s="91">
        <f t="shared" si="1362"/>
        <v>0</v>
      </c>
      <c r="LI199" s="91">
        <f t="shared" si="1363"/>
        <v>0</v>
      </c>
      <c r="LJ199" s="91">
        <f t="shared" si="1364"/>
        <v>0</v>
      </c>
      <c r="LY199" s="91">
        <f t="shared" si="1365"/>
        <v>0</v>
      </c>
      <c r="LZ199" s="91">
        <f t="shared" si="1366"/>
        <v>0</v>
      </c>
      <c r="MO199" s="91">
        <f t="shared" si="1367"/>
        <v>0</v>
      </c>
      <c r="MP199" s="91">
        <f t="shared" si="1368"/>
        <v>0</v>
      </c>
      <c r="NE199" s="91">
        <f t="shared" si="1369"/>
        <v>0</v>
      </c>
      <c r="NF199" s="91">
        <f t="shared" si="1370"/>
        <v>0</v>
      </c>
      <c r="NU199" s="91">
        <f t="shared" si="1371"/>
        <v>0</v>
      </c>
      <c r="NV199" s="91">
        <f t="shared" si="1372"/>
        <v>0</v>
      </c>
      <c r="OK199" s="91">
        <f t="shared" si="1373"/>
        <v>0</v>
      </c>
      <c r="OL199" s="91">
        <f t="shared" si="1374"/>
        <v>0</v>
      </c>
      <c r="PA199" s="91">
        <f t="shared" si="1375"/>
        <v>0</v>
      </c>
      <c r="PB199" s="91">
        <f t="shared" si="1376"/>
        <v>0</v>
      </c>
      <c r="PQ199" s="91">
        <f t="shared" si="1377"/>
        <v>0</v>
      </c>
      <c r="PR199" s="91">
        <f t="shared" si="1378"/>
        <v>0</v>
      </c>
      <c r="QG199" s="91">
        <f t="shared" si="1379"/>
        <v>0</v>
      </c>
      <c r="QH199" s="91">
        <f t="shared" si="1380"/>
        <v>0</v>
      </c>
      <c r="QW199" s="91">
        <f t="shared" si="1381"/>
        <v>0</v>
      </c>
      <c r="QX199" s="91">
        <f t="shared" si="1382"/>
        <v>0</v>
      </c>
      <c r="RM199" s="91">
        <f t="shared" si="1383"/>
        <v>0</v>
      </c>
      <c r="RN199" s="91">
        <f t="shared" si="1384"/>
        <v>0</v>
      </c>
      <c r="SC199" s="91">
        <f t="shared" si="1385"/>
        <v>0</v>
      </c>
      <c r="SD199" s="91">
        <f t="shared" si="1386"/>
        <v>0</v>
      </c>
      <c r="SS199" s="91">
        <f t="shared" si="1387"/>
        <v>0</v>
      </c>
      <c r="ST199" s="91">
        <f t="shared" si="1388"/>
        <v>0</v>
      </c>
      <c r="TI199" s="91">
        <f t="shared" si="1389"/>
        <v>0</v>
      </c>
      <c r="TJ199" s="91">
        <f t="shared" si="1390"/>
        <v>0</v>
      </c>
      <c r="TY199" s="91">
        <f t="shared" si="1391"/>
        <v>0</v>
      </c>
      <c r="TZ199" s="91">
        <f t="shared" si="1392"/>
        <v>0</v>
      </c>
      <c r="UO199" s="91">
        <f t="shared" si="1393"/>
        <v>0</v>
      </c>
      <c r="UP199" s="91">
        <f t="shared" si="1394"/>
        <v>0</v>
      </c>
      <c r="VE199" s="91">
        <f t="shared" si="1395"/>
        <v>0</v>
      </c>
      <c r="VF199" s="91">
        <f t="shared" si="1396"/>
        <v>0</v>
      </c>
      <c r="VU199" s="91">
        <f t="shared" si="1397"/>
        <v>0</v>
      </c>
      <c r="VV199" s="91">
        <f t="shared" si="1398"/>
        <v>0</v>
      </c>
      <c r="WK199" s="91">
        <f t="shared" si="1399"/>
        <v>0</v>
      </c>
      <c r="WL199" s="91">
        <f t="shared" si="1400"/>
        <v>0</v>
      </c>
      <c r="WM199" s="89"/>
      <c r="WN199" s="87">
        <f t="shared" si="1426"/>
        <v>1240</v>
      </c>
      <c r="WO199" s="87">
        <f t="shared" si="1427"/>
        <v>12400</v>
      </c>
      <c r="WP199" s="87">
        <f t="shared" si="1428"/>
        <v>0</v>
      </c>
      <c r="WQ199" s="87">
        <f t="shared" si="1429"/>
        <v>0</v>
      </c>
      <c r="WR199" s="87">
        <f t="shared" si="1430"/>
        <v>0</v>
      </c>
      <c r="WS199" s="87">
        <f t="shared" si="1431"/>
        <v>0</v>
      </c>
      <c r="WT199" s="87">
        <f t="shared" si="1432"/>
        <v>0</v>
      </c>
      <c r="WU199" s="87">
        <f t="shared" si="1433"/>
        <v>0</v>
      </c>
      <c r="WV199" s="87">
        <f t="shared" si="1434"/>
        <v>0</v>
      </c>
      <c r="WW199" s="87">
        <f t="shared" si="1435"/>
        <v>0</v>
      </c>
      <c r="WX199" s="87">
        <f t="shared" si="1436"/>
        <v>0</v>
      </c>
      <c r="WY199" s="87">
        <f t="shared" si="1437"/>
        <v>0</v>
      </c>
      <c r="WZ199" s="87">
        <f t="shared" si="1421"/>
        <v>0</v>
      </c>
      <c r="XA199" s="87">
        <f t="shared" si="1422"/>
        <v>0</v>
      </c>
      <c r="XB199" s="92">
        <f t="shared" si="1423"/>
        <v>1240</v>
      </c>
      <c r="XC199" s="92">
        <f t="shared" si="1424"/>
        <v>12400</v>
      </c>
      <c r="XD199" s="89"/>
      <c r="XE199" s="92"/>
      <c r="XF199" s="92"/>
      <c r="XG199" s="89"/>
      <c r="XH199" s="92"/>
      <c r="XI199" s="92"/>
      <c r="XJ199" s="89"/>
      <c r="XK199" s="87"/>
      <c r="XL199" s="87"/>
      <c r="XM199" s="87"/>
      <c r="XN199" s="87"/>
      <c r="XO199" s="87"/>
      <c r="XP199" s="87"/>
      <c r="XQ199" s="87"/>
      <c r="XR199" s="92">
        <f t="shared" ca="1" si="1417"/>
        <v>0</v>
      </c>
      <c r="XS199" s="89"/>
      <c r="XT199" s="87"/>
      <c r="XU199" s="87"/>
      <c r="XV199" s="87"/>
      <c r="XW199" s="87"/>
      <c r="XX199" s="87"/>
      <c r="XY199" s="87"/>
      <c r="XZ199" s="87"/>
      <c r="YA199" s="92">
        <f t="shared" ca="1" si="1418"/>
        <v>0</v>
      </c>
      <c r="YB199" s="90"/>
      <c r="YC199" s="90"/>
      <c r="YD199" s="90"/>
      <c r="YE199" s="90"/>
      <c r="YF199" s="90"/>
      <c r="YG199" s="90"/>
      <c r="YH199" s="90"/>
      <c r="YI199" s="90"/>
      <c r="YJ199" s="90"/>
      <c r="YK199" s="90"/>
      <c r="YL199" s="90"/>
      <c r="YM199" s="90"/>
      <c r="YN199" s="90"/>
      <c r="YO199" s="90"/>
      <c r="YP199" s="90"/>
      <c r="YQ199" s="90"/>
      <c r="YR199" s="90"/>
      <c r="YS199" s="90"/>
      <c r="YT199" s="90"/>
      <c r="YU199" s="90"/>
      <c r="YV199" s="90"/>
      <c r="YW199" s="90"/>
      <c r="YX199" s="90"/>
      <c r="YY199" s="90"/>
      <c r="YZ199" s="90"/>
      <c r="ZA199" s="90"/>
      <c r="ZB199" s="90"/>
      <c r="ZC199" s="90"/>
      <c r="ZD199" s="90"/>
      <c r="ZE199" s="90"/>
      <c r="ZF199" s="90"/>
      <c r="ZG199" s="90"/>
      <c r="ZH199" s="90"/>
      <c r="ZI199" s="90"/>
      <c r="ZJ199" s="90"/>
      <c r="ZK199" s="90"/>
      <c r="ZL199" s="90"/>
      <c r="ZM199" s="90"/>
      <c r="ZN199" s="90"/>
      <c r="ZO199" s="90"/>
      <c r="ZP199" s="90"/>
      <c r="ZQ199" s="90"/>
      <c r="ZR199" s="90"/>
      <c r="ZS199" s="90"/>
      <c r="ZT199" s="90"/>
      <c r="ZU199" s="90"/>
      <c r="ZV199" s="90"/>
      <c r="ZW199" s="90"/>
      <c r="ZX199" s="90"/>
      <c r="ZY199" s="90"/>
      <c r="ZZ199" s="90"/>
      <c r="AAA199" s="90"/>
      <c r="AAB199" s="90"/>
      <c r="AAC199" s="90"/>
      <c r="AAD199" s="90"/>
      <c r="AAE199" s="90"/>
      <c r="AAF199" s="90"/>
      <c r="AAG199" s="90"/>
      <c r="AAH199" s="90"/>
      <c r="AAI199" s="90"/>
      <c r="AAJ199" s="90"/>
      <c r="AAK199" s="90"/>
      <c r="AAL199" s="90"/>
      <c r="AAM199" s="90"/>
      <c r="AAN199" s="90"/>
      <c r="AAO199" s="90"/>
      <c r="AAP199" s="90"/>
      <c r="AAQ199" s="90"/>
      <c r="AAR199" s="90"/>
      <c r="AAS199" s="90"/>
      <c r="AAT199" s="90"/>
      <c r="AAU199" s="90"/>
      <c r="AAV199" s="90"/>
      <c r="AAW199" s="90"/>
      <c r="AAX199" s="90"/>
      <c r="AAY199" s="90"/>
      <c r="AAZ199" s="90"/>
      <c r="ABA199" s="90"/>
      <c r="ABB199" s="90"/>
      <c r="ABC199" s="90"/>
      <c r="ABD199" s="90"/>
      <c r="ABE199" s="90"/>
      <c r="ABF199" s="90"/>
      <c r="ABG199" s="90"/>
      <c r="ABH199" s="90"/>
      <c r="ABI199" s="90"/>
      <c r="ABJ199" s="90"/>
      <c r="ABK199" s="90"/>
      <c r="ABL199" s="90"/>
      <c r="ABM199" s="90"/>
      <c r="ABN199" s="90"/>
      <c r="ABO199" s="90"/>
      <c r="ABP199" s="90"/>
      <c r="ABQ199" s="90"/>
      <c r="ABR199" s="90"/>
      <c r="ABS199" s="90"/>
      <c r="ABT199" s="90"/>
      <c r="ABU199" s="90"/>
      <c r="ABV199" s="90"/>
      <c r="ABW199" s="90"/>
      <c r="ABX199" s="90"/>
      <c r="ABY199" s="90"/>
      <c r="ABZ199" s="90"/>
      <c r="ACA199" s="90"/>
      <c r="ACB199" s="90"/>
      <c r="ACC199" s="90"/>
      <c r="ACD199" s="90"/>
      <c r="ACE199" s="90"/>
      <c r="ACF199" s="90"/>
      <c r="ACG199" s="90"/>
      <c r="ACH199" s="90"/>
      <c r="ACI199" s="90"/>
      <c r="ACJ199" s="90"/>
      <c r="ACK199" s="90"/>
      <c r="ACL199" s="90"/>
      <c r="ACM199" s="90"/>
      <c r="ACN199" s="90"/>
      <c r="ACO199" s="90"/>
      <c r="ACP199" s="90"/>
      <c r="ACQ199" s="90"/>
      <c r="ACR199" s="90"/>
      <c r="ACS199" s="90"/>
      <c r="ACT199" s="90"/>
      <c r="ACU199" s="90"/>
      <c r="ACV199" s="90"/>
      <c r="ACW199" s="90"/>
      <c r="ACX199" s="90"/>
      <c r="ACY199" s="90"/>
      <c r="ACZ199" s="90"/>
      <c r="ADA199" s="90"/>
      <c r="ADB199" s="90"/>
      <c r="ADC199" s="90"/>
      <c r="ADD199" s="90"/>
      <c r="ADE199" s="90"/>
      <c r="ADF199" s="90"/>
      <c r="ADG199" s="90"/>
      <c r="ADH199" s="90"/>
      <c r="ADI199" s="90"/>
      <c r="ADJ199" s="90"/>
      <c r="ADK199" s="90"/>
      <c r="ADL199" s="90"/>
      <c r="ADM199" s="90"/>
      <c r="ADN199" s="90"/>
      <c r="ADO199" s="90"/>
      <c r="ADP199" s="90"/>
      <c r="ADQ199" s="90"/>
      <c r="ADR199" s="90"/>
      <c r="ADS199" s="90"/>
      <c r="ADT199" s="90"/>
      <c r="ADU199" s="90"/>
      <c r="ADV199" s="90"/>
      <c r="ADW199" s="90"/>
      <c r="ADX199" s="90"/>
      <c r="ADY199" s="90"/>
      <c r="ADZ199" s="90"/>
      <c r="AEA199" s="90"/>
      <c r="AEB199" s="90"/>
      <c r="AEC199" s="90"/>
      <c r="AED199" s="90"/>
      <c r="AEE199" s="90"/>
      <c r="AEF199" s="90"/>
      <c r="AEG199" s="90"/>
      <c r="AEH199" s="90"/>
      <c r="AEI199" s="90"/>
      <c r="AEJ199" s="90"/>
      <c r="AEK199" s="90"/>
      <c r="AEL199" s="90"/>
      <c r="AEM199" s="90"/>
      <c r="AEN199" s="90"/>
      <c r="AEO199" s="90"/>
      <c r="AEP199" s="90"/>
      <c r="AEQ199" s="90"/>
      <c r="AER199" s="90"/>
      <c r="AES199" s="90"/>
      <c r="AET199" s="90"/>
      <c r="AEU199" s="90"/>
      <c r="AEV199" s="90"/>
      <c r="AEW199" s="90"/>
      <c r="AEX199" s="90"/>
      <c r="AEY199" s="90"/>
      <c r="AEZ199" s="90"/>
      <c r="AFA199" s="90"/>
      <c r="AFB199" s="90"/>
      <c r="AFC199" s="90"/>
      <c r="AFD199" s="90"/>
      <c r="AFE199" s="90"/>
      <c r="AFF199" s="90"/>
      <c r="AFG199" s="90"/>
      <c r="AFH199" s="90"/>
      <c r="AFI199" s="90"/>
      <c r="AFJ199" s="90"/>
      <c r="AFK199" s="90"/>
      <c r="AFL199" s="90"/>
      <c r="AFM199" s="90"/>
      <c r="AFN199" s="90"/>
      <c r="AFO199" s="90"/>
      <c r="AFP199" s="90"/>
      <c r="AFQ199" s="90"/>
      <c r="AFR199" s="90"/>
      <c r="AFS199" s="90"/>
      <c r="AFT199" s="90"/>
      <c r="AFU199" s="90"/>
      <c r="AFV199" s="90"/>
      <c r="AFW199" s="90"/>
      <c r="AFX199" s="90"/>
      <c r="AFY199" s="90"/>
      <c r="AFZ199" s="90"/>
      <c r="AGA199" s="90"/>
      <c r="AGB199" s="90"/>
      <c r="AGC199" s="90"/>
      <c r="AGD199" s="90"/>
      <c r="AGE199" s="90"/>
      <c r="AGF199" s="90"/>
      <c r="AGG199" s="90"/>
      <c r="AGH199" s="90"/>
      <c r="AGI199" s="90"/>
      <c r="AGJ199" s="90"/>
      <c r="AGK199" s="90"/>
      <c r="AGL199" s="90"/>
      <c r="AGM199" s="90"/>
      <c r="AGN199" s="90"/>
      <c r="AGO199" s="90"/>
      <c r="AGP199" s="90"/>
      <c r="AGQ199" s="90"/>
      <c r="AGR199" s="90"/>
      <c r="AGS199" s="90"/>
      <c r="AGT199" s="90"/>
      <c r="AGU199" s="90"/>
      <c r="AGV199" s="90"/>
      <c r="AGW199" s="90"/>
      <c r="AGX199" s="90"/>
      <c r="AGY199" s="90"/>
      <c r="AGZ199" s="90"/>
      <c r="AHA199" s="90"/>
      <c r="AHB199" s="90"/>
      <c r="AHC199" s="90"/>
      <c r="AHD199" s="90"/>
      <c r="AHE199" s="90"/>
      <c r="AHF199" s="90"/>
      <c r="AHG199" s="90"/>
      <c r="AHH199" s="90"/>
      <c r="AHI199" s="90"/>
      <c r="AHJ199" s="90"/>
      <c r="AHK199" s="90"/>
      <c r="AHL199" s="90"/>
      <c r="AHM199" s="90"/>
      <c r="AHN199" s="90"/>
      <c r="AHO199" s="90"/>
      <c r="AHP199" s="90"/>
      <c r="AHQ199" s="90"/>
      <c r="AHR199" s="90"/>
      <c r="AHS199" s="90"/>
      <c r="AHT199" s="90"/>
      <c r="AHU199" s="90"/>
      <c r="AHV199" s="90"/>
      <c r="AHW199" s="90"/>
      <c r="AHX199" s="90"/>
      <c r="AHY199" s="90"/>
      <c r="AHZ199" s="90"/>
      <c r="AIA199" s="90"/>
      <c r="AIB199" s="90"/>
      <c r="AIC199" s="90"/>
      <c r="AID199" s="90"/>
      <c r="AIE199" s="90"/>
      <c r="AIF199" s="90"/>
      <c r="AIG199" s="90"/>
      <c r="AIH199" s="90"/>
      <c r="AII199" s="90"/>
      <c r="AIJ199" s="90"/>
      <c r="AIK199" s="90"/>
      <c r="AIL199" s="90"/>
      <c r="AIM199" s="90"/>
      <c r="AIN199" s="90"/>
      <c r="AIO199" s="90"/>
      <c r="AIP199" s="90"/>
      <c r="AIQ199" s="90"/>
      <c r="AIR199" s="90"/>
      <c r="AIS199" s="90"/>
      <c r="AIT199" s="90"/>
      <c r="AIU199" s="90"/>
      <c r="AIV199" s="90"/>
      <c r="AIW199" s="90"/>
      <c r="AIX199" s="90"/>
      <c r="AIY199" s="90"/>
      <c r="AIZ199" s="90"/>
      <c r="AJA199" s="90"/>
      <c r="AJB199" s="90"/>
      <c r="AJC199" s="90"/>
      <c r="AJD199" s="90"/>
      <c r="AJE199" s="90"/>
      <c r="AJF199" s="90"/>
      <c r="AJG199" s="90"/>
      <c r="AJH199" s="90"/>
      <c r="AJI199" s="90"/>
      <c r="AJJ199" s="90"/>
      <c r="AJK199" s="90"/>
      <c r="AJL199" s="90"/>
      <c r="AJM199" s="90"/>
      <c r="AJN199" s="90"/>
      <c r="AJO199" s="90"/>
      <c r="AJP199" s="90"/>
      <c r="AJQ199" s="90"/>
      <c r="AJR199" s="90"/>
      <c r="AJS199" s="90"/>
      <c r="AJT199" s="90"/>
      <c r="AJU199" s="90"/>
      <c r="AJV199" s="90"/>
      <c r="AJW199" s="90"/>
      <c r="AJX199" s="90"/>
      <c r="AJY199" s="90"/>
      <c r="AJZ199" s="90"/>
      <c r="AKA199" s="90"/>
      <c r="AKB199" s="90"/>
      <c r="AKC199" s="90"/>
      <c r="AKD199" s="90"/>
      <c r="AKE199" s="90"/>
      <c r="AKF199" s="90"/>
      <c r="AKG199" s="90"/>
      <c r="AKH199" s="90"/>
      <c r="AKI199" s="90"/>
      <c r="AKJ199" s="90"/>
      <c r="AKK199" s="90"/>
      <c r="AKL199" s="90"/>
      <c r="AKM199" s="90"/>
      <c r="AKN199" s="90"/>
      <c r="AKO199" s="90"/>
      <c r="AKP199" s="90"/>
      <c r="AKQ199" s="90"/>
      <c r="AKR199" s="90"/>
      <c r="AKS199" s="90"/>
      <c r="AKT199" s="90"/>
      <c r="AKU199" s="90"/>
      <c r="AKV199" s="90"/>
      <c r="AKW199" s="90"/>
      <c r="AKX199" s="90"/>
      <c r="AKY199" s="90"/>
      <c r="AKZ199" s="90"/>
      <c r="ALA199" s="90"/>
      <c r="ALB199" s="90"/>
      <c r="ALC199" s="90"/>
      <c r="ALD199" s="90"/>
      <c r="ALE199" s="90"/>
      <c r="ALF199" s="90"/>
      <c r="ALG199" s="90"/>
      <c r="ALH199" s="90"/>
      <c r="ALI199" s="90"/>
      <c r="ALJ199" s="90"/>
      <c r="ALK199" s="90"/>
      <c r="ALL199" s="90"/>
      <c r="ALM199" s="90"/>
      <c r="ALN199" s="90"/>
      <c r="ALO199" s="90"/>
      <c r="ALP199" s="90"/>
      <c r="ALQ199" s="90"/>
      <c r="ALR199" s="90"/>
      <c r="ALS199" s="90"/>
      <c r="ALT199" s="90"/>
      <c r="ALU199" s="90"/>
      <c r="ALV199" s="90"/>
      <c r="ALW199" s="90"/>
      <c r="ALX199" s="90"/>
      <c r="ALY199" s="90"/>
      <c r="ALZ199" s="90"/>
      <c r="AMA199" s="90"/>
      <c r="AMB199" s="90"/>
      <c r="AMC199" s="90"/>
    </row>
    <row r="200" spans="1:1017">
      <c r="A200" s="98" t="s">
        <v>49</v>
      </c>
      <c r="B200" s="90" t="str">
        <f t="shared" si="1425"/>
        <v>Ikan_03 (Kerang Darah)</v>
      </c>
      <c r="Q200" s="91">
        <f t="shared" si="1325"/>
        <v>0</v>
      </c>
      <c r="R200" s="91">
        <f t="shared" si="1326"/>
        <v>0</v>
      </c>
      <c r="AG200" s="91">
        <f t="shared" si="1327"/>
        <v>0</v>
      </c>
      <c r="AH200" s="91">
        <f t="shared" si="1328"/>
        <v>0</v>
      </c>
      <c r="AW200" s="91">
        <f t="shared" si="1329"/>
        <v>0</v>
      </c>
      <c r="AX200" s="91">
        <f t="shared" si="1330"/>
        <v>0</v>
      </c>
      <c r="BM200" s="91">
        <f t="shared" si="1331"/>
        <v>0</v>
      </c>
      <c r="BN200" s="91">
        <f t="shared" si="1332"/>
        <v>0</v>
      </c>
      <c r="CC200" s="91">
        <f t="shared" si="1333"/>
        <v>0</v>
      </c>
      <c r="CD200" s="91">
        <f t="shared" si="1334"/>
        <v>0</v>
      </c>
      <c r="CS200" s="91">
        <f t="shared" si="1419"/>
        <v>0</v>
      </c>
      <c r="CT200" s="91">
        <f t="shared" si="1420"/>
        <v>0</v>
      </c>
      <c r="DI200" s="91">
        <f t="shared" si="1337"/>
        <v>0</v>
      </c>
      <c r="DJ200" s="91">
        <f t="shared" si="1338"/>
        <v>0</v>
      </c>
      <c r="DY200" s="91">
        <f t="shared" si="1339"/>
        <v>0</v>
      </c>
      <c r="DZ200" s="91">
        <f t="shared" si="1340"/>
        <v>0</v>
      </c>
      <c r="EO200" s="91">
        <f t="shared" si="1341"/>
        <v>0</v>
      </c>
      <c r="EP200" s="91">
        <f t="shared" si="1342"/>
        <v>0</v>
      </c>
      <c r="FE200" s="91">
        <f t="shared" si="1343"/>
        <v>0</v>
      </c>
      <c r="FF200" s="91">
        <f t="shared" si="1344"/>
        <v>0</v>
      </c>
      <c r="FU200" s="91">
        <f t="shared" si="1345"/>
        <v>0</v>
      </c>
      <c r="FV200" s="91">
        <f t="shared" si="1346"/>
        <v>0</v>
      </c>
      <c r="GK200" s="91">
        <f t="shared" si="1347"/>
        <v>0</v>
      </c>
      <c r="GL200" s="91">
        <f t="shared" si="1348"/>
        <v>0</v>
      </c>
      <c r="HA200" s="91">
        <f t="shared" si="1349"/>
        <v>0</v>
      </c>
      <c r="HB200" s="91">
        <f t="shared" si="1350"/>
        <v>0</v>
      </c>
      <c r="HQ200" s="91">
        <f t="shared" si="1351"/>
        <v>0</v>
      </c>
      <c r="HR200" s="91">
        <f t="shared" si="1352"/>
        <v>0</v>
      </c>
      <c r="IG200" s="91">
        <f t="shared" si="1353"/>
        <v>0</v>
      </c>
      <c r="IH200" s="91">
        <f t="shared" si="1354"/>
        <v>0</v>
      </c>
      <c r="IW200" s="91">
        <f t="shared" si="1355"/>
        <v>0</v>
      </c>
      <c r="IX200" s="91">
        <f t="shared" si="1356"/>
        <v>0</v>
      </c>
      <c r="JM200" s="91">
        <f t="shared" si="1357"/>
        <v>0</v>
      </c>
      <c r="JN200" s="91">
        <f t="shared" si="1358"/>
        <v>0</v>
      </c>
      <c r="KC200" s="91">
        <f t="shared" si="1359"/>
        <v>0</v>
      </c>
      <c r="KD200" s="91">
        <f t="shared" si="1360"/>
        <v>0</v>
      </c>
      <c r="KS200" s="91">
        <f t="shared" si="1361"/>
        <v>0</v>
      </c>
      <c r="KT200" s="91">
        <f t="shared" si="1362"/>
        <v>0</v>
      </c>
      <c r="LI200" s="91">
        <f t="shared" si="1363"/>
        <v>0</v>
      </c>
      <c r="LJ200" s="91">
        <f t="shared" si="1364"/>
        <v>0</v>
      </c>
      <c r="LY200" s="91">
        <f t="shared" si="1365"/>
        <v>0</v>
      </c>
      <c r="LZ200" s="91">
        <f t="shared" si="1366"/>
        <v>0</v>
      </c>
      <c r="MO200" s="91">
        <f t="shared" si="1367"/>
        <v>0</v>
      </c>
      <c r="MP200" s="91">
        <f t="shared" si="1368"/>
        <v>0</v>
      </c>
      <c r="NE200" s="91">
        <f t="shared" si="1369"/>
        <v>0</v>
      </c>
      <c r="NF200" s="91">
        <f t="shared" si="1370"/>
        <v>0</v>
      </c>
      <c r="NU200" s="91">
        <f t="shared" si="1371"/>
        <v>0</v>
      </c>
      <c r="NV200" s="91">
        <f t="shared" si="1372"/>
        <v>0</v>
      </c>
      <c r="OK200" s="91">
        <f t="shared" si="1373"/>
        <v>0</v>
      </c>
      <c r="OL200" s="91">
        <f t="shared" si="1374"/>
        <v>0</v>
      </c>
      <c r="PA200" s="91">
        <f t="shared" si="1375"/>
        <v>0</v>
      </c>
      <c r="PB200" s="91">
        <f t="shared" si="1376"/>
        <v>0</v>
      </c>
      <c r="PQ200" s="91">
        <f t="shared" si="1377"/>
        <v>0</v>
      </c>
      <c r="PR200" s="91">
        <f t="shared" si="1378"/>
        <v>0</v>
      </c>
      <c r="QG200" s="91">
        <f t="shared" si="1379"/>
        <v>0</v>
      </c>
      <c r="QH200" s="91">
        <f t="shared" si="1380"/>
        <v>0</v>
      </c>
      <c r="QW200" s="91">
        <f t="shared" si="1381"/>
        <v>0</v>
      </c>
      <c r="QX200" s="91">
        <f t="shared" si="1382"/>
        <v>0</v>
      </c>
      <c r="RM200" s="91">
        <f t="shared" si="1383"/>
        <v>0</v>
      </c>
      <c r="RN200" s="91">
        <f t="shared" si="1384"/>
        <v>0</v>
      </c>
      <c r="SC200" s="91">
        <f t="shared" si="1385"/>
        <v>0</v>
      </c>
      <c r="SD200" s="91">
        <f t="shared" si="1386"/>
        <v>0</v>
      </c>
      <c r="SS200" s="91">
        <f t="shared" si="1387"/>
        <v>0</v>
      </c>
      <c r="ST200" s="91">
        <f t="shared" si="1388"/>
        <v>0</v>
      </c>
      <c r="TI200" s="91">
        <f t="shared" si="1389"/>
        <v>0</v>
      </c>
      <c r="TJ200" s="91">
        <f t="shared" si="1390"/>
        <v>0</v>
      </c>
      <c r="TY200" s="91">
        <f t="shared" si="1391"/>
        <v>0</v>
      </c>
      <c r="TZ200" s="91">
        <f t="shared" si="1392"/>
        <v>0</v>
      </c>
      <c r="UO200" s="91">
        <f t="shared" si="1393"/>
        <v>0</v>
      </c>
      <c r="UP200" s="91">
        <f t="shared" si="1394"/>
        <v>0</v>
      </c>
      <c r="VE200" s="91">
        <f t="shared" si="1395"/>
        <v>0</v>
      </c>
      <c r="VF200" s="91">
        <f t="shared" si="1396"/>
        <v>0</v>
      </c>
      <c r="VU200" s="91">
        <f t="shared" si="1397"/>
        <v>0</v>
      </c>
      <c r="VV200" s="91">
        <f t="shared" si="1398"/>
        <v>0</v>
      </c>
      <c r="WK200" s="91">
        <f t="shared" si="1399"/>
        <v>0</v>
      </c>
      <c r="WL200" s="91">
        <f t="shared" si="1400"/>
        <v>0</v>
      </c>
      <c r="WM200" s="89"/>
      <c r="WN200" s="87">
        <f t="shared" si="1426"/>
        <v>0</v>
      </c>
      <c r="WO200" s="87">
        <f t="shared" si="1427"/>
        <v>0</v>
      </c>
      <c r="WP200" s="87">
        <f t="shared" si="1428"/>
        <v>0</v>
      </c>
      <c r="WQ200" s="87">
        <f t="shared" si="1429"/>
        <v>0</v>
      </c>
      <c r="WR200" s="87">
        <f t="shared" si="1430"/>
        <v>0</v>
      </c>
      <c r="WS200" s="87">
        <f t="shared" si="1431"/>
        <v>0</v>
      </c>
      <c r="WT200" s="87">
        <f t="shared" si="1432"/>
        <v>0</v>
      </c>
      <c r="WU200" s="87">
        <f t="shared" si="1433"/>
        <v>0</v>
      </c>
      <c r="WV200" s="87">
        <f t="shared" si="1434"/>
        <v>0</v>
      </c>
      <c r="WW200" s="87">
        <f t="shared" si="1435"/>
        <v>0</v>
      </c>
      <c r="WX200" s="87">
        <f t="shared" si="1436"/>
        <v>0</v>
      </c>
      <c r="WY200" s="87">
        <f t="shared" si="1437"/>
        <v>0</v>
      </c>
      <c r="WZ200" s="87">
        <f t="shared" si="1421"/>
        <v>0</v>
      </c>
      <c r="XA200" s="87">
        <f t="shared" si="1422"/>
        <v>0</v>
      </c>
      <c r="XB200" s="92">
        <f t="shared" si="1423"/>
        <v>0</v>
      </c>
      <c r="XC200" s="92">
        <f t="shared" si="1424"/>
        <v>0</v>
      </c>
      <c r="XD200" s="89"/>
      <c r="XE200" s="92"/>
      <c r="XF200" s="92"/>
      <c r="XG200" s="89"/>
      <c r="XH200" s="92"/>
      <c r="XI200" s="92"/>
      <c r="XJ200" s="89"/>
      <c r="XK200" s="87"/>
      <c r="XL200" s="87"/>
      <c r="XM200" s="87"/>
      <c r="XN200" s="87"/>
      <c r="XO200" s="87"/>
      <c r="XP200" s="87"/>
      <c r="XQ200" s="87"/>
      <c r="XR200" s="92">
        <f t="shared" ca="1" si="1417"/>
        <v>0</v>
      </c>
      <c r="XS200" s="89"/>
      <c r="XT200" s="87"/>
      <c r="XU200" s="87"/>
      <c r="XV200" s="87"/>
      <c r="XW200" s="87"/>
      <c r="XX200" s="87"/>
      <c r="XY200" s="87"/>
      <c r="XZ200" s="87"/>
      <c r="YA200" s="92">
        <f t="shared" ca="1" si="1418"/>
        <v>0</v>
      </c>
      <c r="YB200" s="90"/>
      <c r="YC200" s="90"/>
      <c r="YD200" s="90"/>
      <c r="YE200" s="90"/>
      <c r="YF200" s="90"/>
      <c r="YG200" s="90"/>
      <c r="YH200" s="90"/>
      <c r="YI200" s="90"/>
      <c r="YJ200" s="90"/>
      <c r="YK200" s="90"/>
      <c r="YL200" s="90"/>
      <c r="YM200" s="90"/>
      <c r="YN200" s="90"/>
      <c r="YO200" s="90"/>
      <c r="YP200" s="90"/>
      <c r="YQ200" s="90"/>
      <c r="YR200" s="90"/>
      <c r="YS200" s="90"/>
      <c r="YT200" s="90"/>
      <c r="YU200" s="90"/>
      <c r="YV200" s="90"/>
      <c r="YW200" s="90"/>
      <c r="YX200" s="90"/>
      <c r="YY200" s="90"/>
      <c r="YZ200" s="90"/>
      <c r="ZA200" s="90"/>
      <c r="ZB200" s="90"/>
      <c r="ZC200" s="90"/>
      <c r="ZD200" s="90"/>
      <c r="ZE200" s="90"/>
      <c r="ZF200" s="90"/>
      <c r="ZG200" s="90"/>
      <c r="ZH200" s="90"/>
      <c r="ZI200" s="90"/>
      <c r="ZJ200" s="90"/>
      <c r="ZK200" s="90"/>
      <c r="ZL200" s="90"/>
      <c r="ZM200" s="90"/>
      <c r="ZN200" s="90"/>
      <c r="ZO200" s="90"/>
      <c r="ZP200" s="90"/>
      <c r="ZQ200" s="90"/>
      <c r="ZR200" s="90"/>
      <c r="ZS200" s="90"/>
      <c r="ZT200" s="90"/>
      <c r="ZU200" s="90"/>
      <c r="ZV200" s="90"/>
      <c r="ZW200" s="90"/>
      <c r="ZX200" s="90"/>
      <c r="ZY200" s="90"/>
      <c r="ZZ200" s="90"/>
      <c r="AAA200" s="90"/>
      <c r="AAB200" s="90"/>
      <c r="AAC200" s="90"/>
      <c r="AAD200" s="90"/>
      <c r="AAE200" s="90"/>
      <c r="AAF200" s="90"/>
      <c r="AAG200" s="90"/>
      <c r="AAH200" s="90"/>
      <c r="AAI200" s="90"/>
      <c r="AAJ200" s="90"/>
      <c r="AAK200" s="90"/>
      <c r="AAL200" s="90"/>
      <c r="AAM200" s="90"/>
      <c r="AAN200" s="90"/>
      <c r="AAO200" s="90"/>
      <c r="AAP200" s="90"/>
      <c r="AAQ200" s="90"/>
      <c r="AAR200" s="90"/>
      <c r="AAS200" s="90"/>
      <c r="AAT200" s="90"/>
      <c r="AAU200" s="90"/>
      <c r="AAV200" s="90"/>
      <c r="AAW200" s="90"/>
      <c r="AAX200" s="90"/>
      <c r="AAY200" s="90"/>
      <c r="AAZ200" s="90"/>
      <c r="ABA200" s="90"/>
      <c r="ABB200" s="90"/>
      <c r="ABC200" s="90"/>
      <c r="ABD200" s="90"/>
      <c r="ABE200" s="90"/>
      <c r="ABF200" s="90"/>
      <c r="ABG200" s="90"/>
      <c r="ABH200" s="90"/>
      <c r="ABI200" s="90"/>
      <c r="ABJ200" s="90"/>
      <c r="ABK200" s="90"/>
      <c r="ABL200" s="90"/>
      <c r="ABM200" s="90"/>
      <c r="ABN200" s="90"/>
      <c r="ABO200" s="90"/>
      <c r="ABP200" s="90"/>
      <c r="ABQ200" s="90"/>
      <c r="ABR200" s="90"/>
      <c r="ABS200" s="90"/>
      <c r="ABT200" s="90"/>
      <c r="ABU200" s="90"/>
      <c r="ABV200" s="90"/>
      <c r="ABW200" s="90"/>
      <c r="ABX200" s="90"/>
      <c r="ABY200" s="90"/>
      <c r="ABZ200" s="90"/>
      <c r="ACA200" s="90"/>
      <c r="ACB200" s="90"/>
      <c r="ACC200" s="90"/>
      <c r="ACD200" s="90"/>
      <c r="ACE200" s="90"/>
      <c r="ACF200" s="90"/>
      <c r="ACG200" s="90"/>
      <c r="ACH200" s="90"/>
      <c r="ACI200" s="90"/>
      <c r="ACJ200" s="90"/>
      <c r="ACK200" s="90"/>
      <c r="ACL200" s="90"/>
      <c r="ACM200" s="90"/>
      <c r="ACN200" s="90"/>
      <c r="ACO200" s="90"/>
      <c r="ACP200" s="90"/>
      <c r="ACQ200" s="90"/>
      <c r="ACR200" s="90"/>
      <c r="ACS200" s="90"/>
      <c r="ACT200" s="90"/>
      <c r="ACU200" s="90"/>
      <c r="ACV200" s="90"/>
      <c r="ACW200" s="90"/>
      <c r="ACX200" s="90"/>
      <c r="ACY200" s="90"/>
      <c r="ACZ200" s="90"/>
      <c r="ADA200" s="90"/>
      <c r="ADB200" s="90"/>
      <c r="ADC200" s="90"/>
      <c r="ADD200" s="90"/>
      <c r="ADE200" s="90"/>
      <c r="ADF200" s="90"/>
      <c r="ADG200" s="90"/>
      <c r="ADH200" s="90"/>
      <c r="ADI200" s="90"/>
      <c r="ADJ200" s="90"/>
      <c r="ADK200" s="90"/>
      <c r="ADL200" s="90"/>
      <c r="ADM200" s="90"/>
      <c r="ADN200" s="90"/>
      <c r="ADO200" s="90"/>
      <c r="ADP200" s="90"/>
      <c r="ADQ200" s="90"/>
      <c r="ADR200" s="90"/>
      <c r="ADS200" s="90"/>
      <c r="ADT200" s="90"/>
      <c r="ADU200" s="90"/>
      <c r="ADV200" s="90"/>
      <c r="ADW200" s="90"/>
      <c r="ADX200" s="90"/>
      <c r="ADY200" s="90"/>
      <c r="ADZ200" s="90"/>
      <c r="AEA200" s="90"/>
      <c r="AEB200" s="90"/>
      <c r="AEC200" s="90"/>
      <c r="AED200" s="90"/>
      <c r="AEE200" s="90"/>
      <c r="AEF200" s="90"/>
      <c r="AEG200" s="90"/>
      <c r="AEH200" s="90"/>
      <c r="AEI200" s="90"/>
      <c r="AEJ200" s="90"/>
      <c r="AEK200" s="90"/>
      <c r="AEL200" s="90"/>
      <c r="AEM200" s="90"/>
      <c r="AEN200" s="90"/>
      <c r="AEO200" s="90"/>
      <c r="AEP200" s="90"/>
      <c r="AEQ200" s="90"/>
      <c r="AER200" s="90"/>
      <c r="AES200" s="90"/>
      <c r="AET200" s="90"/>
      <c r="AEU200" s="90"/>
      <c r="AEV200" s="90"/>
      <c r="AEW200" s="90"/>
      <c r="AEX200" s="90"/>
      <c r="AEY200" s="90"/>
      <c r="AEZ200" s="90"/>
      <c r="AFA200" s="90"/>
      <c r="AFB200" s="90"/>
      <c r="AFC200" s="90"/>
      <c r="AFD200" s="90"/>
      <c r="AFE200" s="90"/>
      <c r="AFF200" s="90"/>
      <c r="AFG200" s="90"/>
      <c r="AFH200" s="90"/>
      <c r="AFI200" s="90"/>
      <c r="AFJ200" s="90"/>
      <c r="AFK200" s="90"/>
      <c r="AFL200" s="90"/>
      <c r="AFM200" s="90"/>
      <c r="AFN200" s="90"/>
      <c r="AFO200" s="90"/>
      <c r="AFP200" s="90"/>
      <c r="AFQ200" s="90"/>
      <c r="AFR200" s="90"/>
      <c r="AFS200" s="90"/>
      <c r="AFT200" s="90"/>
      <c r="AFU200" s="90"/>
      <c r="AFV200" s="90"/>
      <c r="AFW200" s="90"/>
      <c r="AFX200" s="90"/>
      <c r="AFY200" s="90"/>
      <c r="AFZ200" s="90"/>
      <c r="AGA200" s="90"/>
      <c r="AGB200" s="90"/>
      <c r="AGC200" s="90"/>
      <c r="AGD200" s="90"/>
      <c r="AGE200" s="90"/>
      <c r="AGF200" s="90"/>
      <c r="AGG200" s="90"/>
      <c r="AGH200" s="90"/>
      <c r="AGI200" s="90"/>
      <c r="AGJ200" s="90"/>
      <c r="AGK200" s="90"/>
      <c r="AGL200" s="90"/>
      <c r="AGM200" s="90"/>
      <c r="AGN200" s="90"/>
      <c r="AGO200" s="90"/>
      <c r="AGP200" s="90"/>
      <c r="AGQ200" s="90"/>
      <c r="AGR200" s="90"/>
      <c r="AGS200" s="90"/>
      <c r="AGT200" s="90"/>
      <c r="AGU200" s="90"/>
      <c r="AGV200" s="90"/>
      <c r="AGW200" s="90"/>
      <c r="AGX200" s="90"/>
      <c r="AGY200" s="90"/>
      <c r="AGZ200" s="90"/>
      <c r="AHA200" s="90"/>
      <c r="AHB200" s="90"/>
      <c r="AHC200" s="90"/>
      <c r="AHD200" s="90"/>
      <c r="AHE200" s="90"/>
      <c r="AHF200" s="90"/>
      <c r="AHG200" s="90"/>
      <c r="AHH200" s="90"/>
      <c r="AHI200" s="90"/>
      <c r="AHJ200" s="90"/>
      <c r="AHK200" s="90"/>
      <c r="AHL200" s="90"/>
      <c r="AHM200" s="90"/>
      <c r="AHN200" s="90"/>
      <c r="AHO200" s="90"/>
      <c r="AHP200" s="90"/>
      <c r="AHQ200" s="90"/>
      <c r="AHR200" s="90"/>
      <c r="AHS200" s="90"/>
      <c r="AHT200" s="90"/>
      <c r="AHU200" s="90"/>
      <c r="AHV200" s="90"/>
      <c r="AHW200" s="90"/>
      <c r="AHX200" s="90"/>
      <c r="AHY200" s="90"/>
      <c r="AHZ200" s="90"/>
      <c r="AIA200" s="90"/>
      <c r="AIB200" s="90"/>
      <c r="AIC200" s="90"/>
      <c r="AID200" s="90"/>
      <c r="AIE200" s="90"/>
      <c r="AIF200" s="90"/>
      <c r="AIG200" s="90"/>
      <c r="AIH200" s="90"/>
      <c r="AII200" s="90"/>
      <c r="AIJ200" s="90"/>
      <c r="AIK200" s="90"/>
      <c r="AIL200" s="90"/>
      <c r="AIM200" s="90"/>
      <c r="AIN200" s="90"/>
      <c r="AIO200" s="90"/>
      <c r="AIP200" s="90"/>
      <c r="AIQ200" s="90"/>
      <c r="AIR200" s="90"/>
      <c r="AIS200" s="90"/>
      <c r="AIT200" s="90"/>
      <c r="AIU200" s="90"/>
      <c r="AIV200" s="90"/>
      <c r="AIW200" s="90"/>
      <c r="AIX200" s="90"/>
      <c r="AIY200" s="90"/>
      <c r="AIZ200" s="90"/>
      <c r="AJA200" s="90"/>
      <c r="AJB200" s="90"/>
      <c r="AJC200" s="90"/>
      <c r="AJD200" s="90"/>
      <c r="AJE200" s="90"/>
      <c r="AJF200" s="90"/>
      <c r="AJG200" s="90"/>
      <c r="AJH200" s="90"/>
      <c r="AJI200" s="90"/>
      <c r="AJJ200" s="90"/>
      <c r="AJK200" s="90"/>
      <c r="AJL200" s="90"/>
      <c r="AJM200" s="90"/>
      <c r="AJN200" s="90"/>
      <c r="AJO200" s="90"/>
      <c r="AJP200" s="90"/>
      <c r="AJQ200" s="90"/>
      <c r="AJR200" s="90"/>
      <c r="AJS200" s="90"/>
      <c r="AJT200" s="90"/>
      <c r="AJU200" s="90"/>
      <c r="AJV200" s="90"/>
      <c r="AJW200" s="90"/>
      <c r="AJX200" s="90"/>
      <c r="AJY200" s="90"/>
      <c r="AJZ200" s="90"/>
      <c r="AKA200" s="90"/>
      <c r="AKB200" s="90"/>
      <c r="AKC200" s="90"/>
      <c r="AKD200" s="90"/>
      <c r="AKE200" s="90"/>
      <c r="AKF200" s="90"/>
      <c r="AKG200" s="90"/>
      <c r="AKH200" s="90"/>
      <c r="AKI200" s="90"/>
      <c r="AKJ200" s="90"/>
      <c r="AKK200" s="90"/>
      <c r="AKL200" s="90"/>
      <c r="AKM200" s="90"/>
      <c r="AKN200" s="90"/>
      <c r="AKO200" s="90"/>
      <c r="AKP200" s="90"/>
      <c r="AKQ200" s="90"/>
      <c r="AKR200" s="90"/>
      <c r="AKS200" s="90"/>
      <c r="AKT200" s="90"/>
      <c r="AKU200" s="90"/>
      <c r="AKV200" s="90"/>
      <c r="AKW200" s="90"/>
      <c r="AKX200" s="90"/>
      <c r="AKY200" s="90"/>
      <c r="AKZ200" s="90"/>
      <c r="ALA200" s="90"/>
      <c r="ALB200" s="90"/>
      <c r="ALC200" s="90"/>
      <c r="ALD200" s="90"/>
      <c r="ALE200" s="90"/>
      <c r="ALF200" s="90"/>
      <c r="ALG200" s="90"/>
      <c r="ALH200" s="90"/>
      <c r="ALI200" s="90"/>
      <c r="ALJ200" s="90"/>
      <c r="ALK200" s="90"/>
      <c r="ALL200" s="90"/>
      <c r="ALM200" s="90"/>
      <c r="ALN200" s="90"/>
      <c r="ALO200" s="90"/>
      <c r="ALP200" s="90"/>
      <c r="ALQ200" s="90"/>
      <c r="ALR200" s="90"/>
      <c r="ALS200" s="90"/>
      <c r="ALT200" s="90"/>
      <c r="ALU200" s="90"/>
      <c r="ALV200" s="90"/>
      <c r="ALW200" s="90"/>
      <c r="ALX200" s="90"/>
      <c r="ALY200" s="90"/>
      <c r="ALZ200" s="90"/>
      <c r="AMA200" s="90"/>
      <c r="AMB200" s="90"/>
      <c r="AMC200" s="90"/>
    </row>
    <row r="201" spans="1:1017">
      <c r="A201" s="98" t="s">
        <v>49</v>
      </c>
      <c r="B201" s="90" t="str">
        <f t="shared" si="1425"/>
        <v>Ikan_04 (Ikan Keting)</v>
      </c>
      <c r="Q201" s="91">
        <f t="shared" si="1325"/>
        <v>0</v>
      </c>
      <c r="R201" s="91">
        <f t="shared" si="1326"/>
        <v>0</v>
      </c>
      <c r="AG201" s="91">
        <f t="shared" si="1327"/>
        <v>0</v>
      </c>
      <c r="AH201" s="91">
        <f t="shared" si="1328"/>
        <v>0</v>
      </c>
      <c r="AW201" s="91">
        <f t="shared" si="1329"/>
        <v>0</v>
      </c>
      <c r="AX201" s="91">
        <f t="shared" si="1330"/>
        <v>0</v>
      </c>
      <c r="BM201" s="91">
        <f t="shared" si="1331"/>
        <v>0</v>
      </c>
      <c r="BN201" s="91">
        <f t="shared" si="1332"/>
        <v>0</v>
      </c>
      <c r="CC201" s="91">
        <f t="shared" si="1333"/>
        <v>0</v>
      </c>
      <c r="CD201" s="91">
        <f t="shared" si="1334"/>
        <v>0</v>
      </c>
      <c r="CS201" s="91">
        <f t="shared" si="1419"/>
        <v>0</v>
      </c>
      <c r="CT201" s="91">
        <f t="shared" si="1420"/>
        <v>0</v>
      </c>
      <c r="DI201" s="91">
        <f t="shared" si="1337"/>
        <v>0</v>
      </c>
      <c r="DJ201" s="91">
        <f t="shared" si="1338"/>
        <v>0</v>
      </c>
      <c r="DY201" s="91">
        <f t="shared" si="1339"/>
        <v>0</v>
      </c>
      <c r="DZ201" s="91">
        <f t="shared" si="1340"/>
        <v>0</v>
      </c>
      <c r="EO201" s="91">
        <f t="shared" si="1341"/>
        <v>0</v>
      </c>
      <c r="EP201" s="91">
        <f t="shared" si="1342"/>
        <v>0</v>
      </c>
      <c r="FE201" s="91">
        <f t="shared" si="1343"/>
        <v>0</v>
      </c>
      <c r="FF201" s="91">
        <f t="shared" si="1344"/>
        <v>0</v>
      </c>
      <c r="FU201" s="91">
        <f t="shared" si="1345"/>
        <v>0</v>
      </c>
      <c r="FV201" s="91">
        <f t="shared" si="1346"/>
        <v>0</v>
      </c>
      <c r="GK201" s="91">
        <f t="shared" si="1347"/>
        <v>0</v>
      </c>
      <c r="GL201" s="91">
        <f t="shared" si="1348"/>
        <v>0</v>
      </c>
      <c r="HA201" s="91">
        <f t="shared" si="1349"/>
        <v>0</v>
      </c>
      <c r="HB201" s="91">
        <f t="shared" si="1350"/>
        <v>0</v>
      </c>
      <c r="HQ201" s="91">
        <f t="shared" si="1351"/>
        <v>0</v>
      </c>
      <c r="HR201" s="91">
        <f t="shared" si="1352"/>
        <v>0</v>
      </c>
      <c r="IG201" s="91">
        <f t="shared" si="1353"/>
        <v>0</v>
      </c>
      <c r="IH201" s="91">
        <f t="shared" si="1354"/>
        <v>0</v>
      </c>
      <c r="IW201" s="91">
        <f t="shared" si="1355"/>
        <v>0</v>
      </c>
      <c r="IX201" s="91">
        <f t="shared" si="1356"/>
        <v>0</v>
      </c>
      <c r="JM201" s="91">
        <f t="shared" si="1357"/>
        <v>0</v>
      </c>
      <c r="JN201" s="91">
        <f t="shared" si="1358"/>
        <v>0</v>
      </c>
      <c r="KC201" s="91">
        <f t="shared" si="1359"/>
        <v>0</v>
      </c>
      <c r="KD201" s="91">
        <f t="shared" si="1360"/>
        <v>0</v>
      </c>
      <c r="KS201" s="91">
        <f t="shared" si="1361"/>
        <v>0</v>
      </c>
      <c r="KT201" s="91">
        <f t="shared" si="1362"/>
        <v>0</v>
      </c>
      <c r="LI201" s="91">
        <f t="shared" si="1363"/>
        <v>0</v>
      </c>
      <c r="LJ201" s="91">
        <f t="shared" si="1364"/>
        <v>0</v>
      </c>
      <c r="LY201" s="91">
        <f t="shared" si="1365"/>
        <v>0</v>
      </c>
      <c r="LZ201" s="91">
        <f t="shared" si="1366"/>
        <v>0</v>
      </c>
      <c r="MO201" s="91">
        <f t="shared" si="1367"/>
        <v>0</v>
      </c>
      <c r="MP201" s="91">
        <f t="shared" si="1368"/>
        <v>0</v>
      </c>
      <c r="NE201" s="91">
        <f t="shared" si="1369"/>
        <v>0</v>
      </c>
      <c r="NF201" s="91">
        <f t="shared" si="1370"/>
        <v>0</v>
      </c>
      <c r="NI201" s="98">
        <v>125700</v>
      </c>
      <c r="NJ201" s="98">
        <v>1508400</v>
      </c>
      <c r="NU201" s="91">
        <f t="shared" si="1371"/>
        <v>125700</v>
      </c>
      <c r="NV201" s="91">
        <f t="shared" si="1372"/>
        <v>1508400</v>
      </c>
      <c r="OK201" s="91">
        <f t="shared" si="1373"/>
        <v>0</v>
      </c>
      <c r="OL201" s="91">
        <f t="shared" si="1374"/>
        <v>0</v>
      </c>
      <c r="PA201" s="91">
        <f t="shared" si="1375"/>
        <v>0</v>
      </c>
      <c r="PB201" s="91">
        <f t="shared" si="1376"/>
        <v>0</v>
      </c>
      <c r="PQ201" s="91">
        <f t="shared" si="1377"/>
        <v>0</v>
      </c>
      <c r="PR201" s="91">
        <f t="shared" si="1378"/>
        <v>0</v>
      </c>
      <c r="QG201" s="91">
        <f t="shared" si="1379"/>
        <v>0</v>
      </c>
      <c r="QH201" s="91">
        <f t="shared" si="1380"/>
        <v>0</v>
      </c>
      <c r="QW201" s="91">
        <f t="shared" si="1381"/>
        <v>0</v>
      </c>
      <c r="QX201" s="91">
        <f t="shared" si="1382"/>
        <v>0</v>
      </c>
      <c r="RM201" s="91">
        <f t="shared" si="1383"/>
        <v>0</v>
      </c>
      <c r="RN201" s="91">
        <f t="shared" si="1384"/>
        <v>0</v>
      </c>
      <c r="SC201" s="91">
        <f t="shared" si="1385"/>
        <v>0</v>
      </c>
      <c r="SD201" s="91">
        <f t="shared" si="1386"/>
        <v>0</v>
      </c>
      <c r="SS201" s="91">
        <f t="shared" si="1387"/>
        <v>0</v>
      </c>
      <c r="ST201" s="91">
        <f t="shared" si="1388"/>
        <v>0</v>
      </c>
      <c r="TI201" s="91">
        <f t="shared" si="1389"/>
        <v>0</v>
      </c>
      <c r="TJ201" s="91">
        <f t="shared" si="1390"/>
        <v>0</v>
      </c>
      <c r="TY201" s="91">
        <f t="shared" si="1391"/>
        <v>0</v>
      </c>
      <c r="TZ201" s="91">
        <f t="shared" si="1392"/>
        <v>0</v>
      </c>
      <c r="UO201" s="91">
        <f t="shared" si="1393"/>
        <v>0</v>
      </c>
      <c r="UP201" s="91">
        <f t="shared" ref="UP201:UP202" si="1438">SUMIF($C$12:$P$12,$A$1,UB201:UO201)</f>
        <v>0</v>
      </c>
      <c r="VE201" s="91">
        <f t="shared" si="1395"/>
        <v>0</v>
      </c>
      <c r="VF201" s="91">
        <f t="shared" si="1396"/>
        <v>0</v>
      </c>
      <c r="VU201" s="91">
        <f t="shared" si="1397"/>
        <v>0</v>
      </c>
      <c r="VV201" s="91">
        <f t="shared" si="1398"/>
        <v>0</v>
      </c>
      <c r="WK201" s="91">
        <f t="shared" si="1399"/>
        <v>0</v>
      </c>
      <c r="WL201" s="91">
        <f t="shared" si="1400"/>
        <v>0</v>
      </c>
      <c r="WM201" s="89"/>
      <c r="WN201" s="87">
        <f t="shared" si="1426"/>
        <v>0</v>
      </c>
      <c r="WO201" s="87">
        <f t="shared" si="1427"/>
        <v>0</v>
      </c>
      <c r="WP201" s="87">
        <f t="shared" si="1428"/>
        <v>125700</v>
      </c>
      <c r="WQ201" s="87">
        <f t="shared" si="1429"/>
        <v>1508400</v>
      </c>
      <c r="WR201" s="87">
        <f t="shared" si="1430"/>
        <v>0</v>
      </c>
      <c r="WS201" s="87">
        <f t="shared" si="1431"/>
        <v>0</v>
      </c>
      <c r="WT201" s="87">
        <f t="shared" si="1432"/>
        <v>0</v>
      </c>
      <c r="WU201" s="87">
        <f t="shared" si="1433"/>
        <v>0</v>
      </c>
      <c r="WV201" s="87">
        <f t="shared" si="1434"/>
        <v>0</v>
      </c>
      <c r="WW201" s="87">
        <f t="shared" si="1435"/>
        <v>0</v>
      </c>
      <c r="WX201" s="87">
        <f t="shared" si="1436"/>
        <v>0</v>
      </c>
      <c r="WY201" s="87">
        <f t="shared" si="1437"/>
        <v>0</v>
      </c>
      <c r="WZ201" s="87">
        <f t="shared" si="1421"/>
        <v>0</v>
      </c>
      <c r="XA201" s="87">
        <f t="shared" si="1422"/>
        <v>0</v>
      </c>
      <c r="XB201" s="92">
        <f t="shared" si="1423"/>
        <v>125700</v>
      </c>
      <c r="XC201" s="92">
        <f t="shared" si="1424"/>
        <v>1508400</v>
      </c>
      <c r="XD201" s="89"/>
      <c r="XE201" s="92"/>
      <c r="XF201" s="92"/>
      <c r="XG201" s="89"/>
      <c r="XH201" s="92"/>
      <c r="XI201" s="92"/>
      <c r="XJ201" s="89"/>
      <c r="XK201" s="87"/>
      <c r="XL201" s="87"/>
      <c r="XM201" s="87"/>
      <c r="XN201" s="87"/>
      <c r="XO201" s="87"/>
      <c r="XP201" s="87"/>
      <c r="XQ201" s="87"/>
      <c r="XR201" s="92">
        <f t="shared" ca="1" si="1417"/>
        <v>0</v>
      </c>
      <c r="XS201" s="89"/>
      <c r="XT201" s="87"/>
      <c r="XU201" s="87"/>
      <c r="XV201" s="87"/>
      <c r="XW201" s="87"/>
      <c r="XX201" s="87"/>
      <c r="XY201" s="87"/>
      <c r="XZ201" s="87"/>
      <c r="YA201" s="92">
        <f t="shared" ca="1" si="1418"/>
        <v>0</v>
      </c>
      <c r="YB201" s="90"/>
      <c r="YC201" s="90"/>
      <c r="YD201" s="90"/>
      <c r="YE201" s="90"/>
      <c r="YF201" s="90"/>
      <c r="YG201" s="90"/>
      <c r="YH201" s="90"/>
      <c r="YI201" s="90"/>
      <c r="YJ201" s="90"/>
      <c r="YK201" s="90"/>
      <c r="YL201" s="90"/>
      <c r="YM201" s="90"/>
      <c r="YN201" s="90"/>
      <c r="YO201" s="90"/>
      <c r="YP201" s="90"/>
      <c r="YQ201" s="90"/>
      <c r="YR201" s="90"/>
      <c r="YS201" s="90"/>
      <c r="YT201" s="90"/>
      <c r="YU201" s="90"/>
      <c r="YV201" s="90"/>
      <c r="YW201" s="90"/>
      <c r="YX201" s="90"/>
      <c r="YY201" s="90"/>
      <c r="YZ201" s="90"/>
      <c r="ZA201" s="90"/>
      <c r="ZB201" s="90"/>
      <c r="ZC201" s="90"/>
      <c r="ZD201" s="90"/>
      <c r="ZE201" s="90"/>
      <c r="ZF201" s="90"/>
      <c r="ZG201" s="90"/>
      <c r="ZH201" s="90"/>
      <c r="ZI201" s="90"/>
      <c r="ZJ201" s="90"/>
      <c r="ZK201" s="90"/>
      <c r="ZL201" s="90"/>
      <c r="ZM201" s="90"/>
      <c r="ZN201" s="90"/>
      <c r="ZO201" s="90"/>
      <c r="ZP201" s="90"/>
      <c r="ZQ201" s="90"/>
      <c r="ZR201" s="90"/>
      <c r="ZS201" s="90"/>
      <c r="ZT201" s="90"/>
      <c r="ZU201" s="90"/>
      <c r="ZV201" s="90"/>
      <c r="ZW201" s="90"/>
      <c r="ZX201" s="90"/>
      <c r="ZY201" s="90"/>
      <c r="ZZ201" s="90"/>
      <c r="AAA201" s="90"/>
      <c r="AAB201" s="90"/>
      <c r="AAC201" s="90"/>
      <c r="AAD201" s="90"/>
      <c r="AAE201" s="90"/>
      <c r="AAF201" s="90"/>
      <c r="AAG201" s="90"/>
      <c r="AAH201" s="90"/>
      <c r="AAI201" s="90"/>
      <c r="AAJ201" s="90"/>
      <c r="AAK201" s="90"/>
      <c r="AAL201" s="90"/>
      <c r="AAM201" s="90"/>
      <c r="AAN201" s="90"/>
      <c r="AAO201" s="90"/>
      <c r="AAP201" s="90"/>
      <c r="AAQ201" s="90"/>
      <c r="AAR201" s="90"/>
      <c r="AAS201" s="90"/>
      <c r="AAT201" s="90"/>
      <c r="AAU201" s="90"/>
      <c r="AAV201" s="90"/>
      <c r="AAW201" s="90"/>
      <c r="AAX201" s="90"/>
      <c r="AAY201" s="90"/>
      <c r="AAZ201" s="90"/>
      <c r="ABA201" s="90"/>
      <c r="ABB201" s="90"/>
      <c r="ABC201" s="90"/>
      <c r="ABD201" s="90"/>
      <c r="ABE201" s="90"/>
      <c r="ABF201" s="90"/>
      <c r="ABG201" s="90"/>
      <c r="ABH201" s="90"/>
      <c r="ABI201" s="90"/>
      <c r="ABJ201" s="90"/>
      <c r="ABK201" s="90"/>
      <c r="ABL201" s="90"/>
      <c r="ABM201" s="90"/>
      <c r="ABN201" s="90"/>
      <c r="ABO201" s="90"/>
      <c r="ABP201" s="90"/>
      <c r="ABQ201" s="90"/>
      <c r="ABR201" s="90"/>
      <c r="ABS201" s="90"/>
      <c r="ABT201" s="90"/>
      <c r="ABU201" s="90"/>
      <c r="ABV201" s="90"/>
      <c r="ABW201" s="90"/>
      <c r="ABX201" s="90"/>
      <c r="ABY201" s="90"/>
      <c r="ABZ201" s="90"/>
      <c r="ACA201" s="90"/>
      <c r="ACB201" s="90"/>
      <c r="ACC201" s="90"/>
      <c r="ACD201" s="90"/>
      <c r="ACE201" s="90"/>
      <c r="ACF201" s="90"/>
      <c r="ACG201" s="90"/>
      <c r="ACH201" s="90"/>
      <c r="ACI201" s="90"/>
      <c r="ACJ201" s="90"/>
      <c r="ACK201" s="90"/>
      <c r="ACL201" s="90"/>
      <c r="ACM201" s="90"/>
      <c r="ACN201" s="90"/>
      <c r="ACO201" s="90"/>
      <c r="ACP201" s="90"/>
      <c r="ACQ201" s="90"/>
      <c r="ACR201" s="90"/>
      <c r="ACS201" s="90"/>
      <c r="ACT201" s="90"/>
      <c r="ACU201" s="90"/>
      <c r="ACV201" s="90"/>
      <c r="ACW201" s="90"/>
      <c r="ACX201" s="90"/>
      <c r="ACY201" s="90"/>
      <c r="ACZ201" s="90"/>
      <c r="ADA201" s="90"/>
      <c r="ADB201" s="90"/>
      <c r="ADC201" s="90"/>
      <c r="ADD201" s="90"/>
      <c r="ADE201" s="90"/>
      <c r="ADF201" s="90"/>
      <c r="ADG201" s="90"/>
      <c r="ADH201" s="90"/>
      <c r="ADI201" s="90"/>
      <c r="ADJ201" s="90"/>
      <c r="ADK201" s="90"/>
      <c r="ADL201" s="90"/>
      <c r="ADM201" s="90"/>
      <c r="ADN201" s="90"/>
      <c r="ADO201" s="90"/>
      <c r="ADP201" s="90"/>
      <c r="ADQ201" s="90"/>
      <c r="ADR201" s="90"/>
      <c r="ADS201" s="90"/>
      <c r="ADT201" s="90"/>
      <c r="ADU201" s="90"/>
      <c r="ADV201" s="90"/>
      <c r="ADW201" s="90"/>
      <c r="ADX201" s="90"/>
      <c r="ADY201" s="90"/>
      <c r="ADZ201" s="90"/>
      <c r="AEA201" s="90"/>
      <c r="AEB201" s="90"/>
      <c r="AEC201" s="90"/>
      <c r="AED201" s="90"/>
      <c r="AEE201" s="90"/>
      <c r="AEF201" s="90"/>
      <c r="AEG201" s="90"/>
      <c r="AEH201" s="90"/>
      <c r="AEI201" s="90"/>
      <c r="AEJ201" s="90"/>
      <c r="AEK201" s="90"/>
      <c r="AEL201" s="90"/>
      <c r="AEM201" s="90"/>
      <c r="AEN201" s="90"/>
      <c r="AEO201" s="90"/>
      <c r="AEP201" s="90"/>
      <c r="AEQ201" s="90"/>
      <c r="AER201" s="90"/>
      <c r="AES201" s="90"/>
      <c r="AET201" s="90"/>
      <c r="AEU201" s="90"/>
      <c r="AEV201" s="90"/>
      <c r="AEW201" s="90"/>
      <c r="AEX201" s="90"/>
      <c r="AEY201" s="90"/>
      <c r="AEZ201" s="90"/>
      <c r="AFA201" s="90"/>
      <c r="AFB201" s="90"/>
      <c r="AFC201" s="90"/>
      <c r="AFD201" s="90"/>
      <c r="AFE201" s="90"/>
      <c r="AFF201" s="90"/>
      <c r="AFG201" s="90"/>
      <c r="AFH201" s="90"/>
      <c r="AFI201" s="90"/>
      <c r="AFJ201" s="90"/>
      <c r="AFK201" s="90"/>
      <c r="AFL201" s="90"/>
      <c r="AFM201" s="90"/>
      <c r="AFN201" s="90"/>
      <c r="AFO201" s="90"/>
      <c r="AFP201" s="90"/>
      <c r="AFQ201" s="90"/>
      <c r="AFR201" s="90"/>
      <c r="AFS201" s="90"/>
      <c r="AFT201" s="90"/>
      <c r="AFU201" s="90"/>
      <c r="AFV201" s="90"/>
      <c r="AFW201" s="90"/>
      <c r="AFX201" s="90"/>
      <c r="AFY201" s="90"/>
      <c r="AFZ201" s="90"/>
      <c r="AGA201" s="90"/>
      <c r="AGB201" s="90"/>
      <c r="AGC201" s="90"/>
      <c r="AGD201" s="90"/>
      <c r="AGE201" s="90"/>
      <c r="AGF201" s="90"/>
      <c r="AGG201" s="90"/>
      <c r="AGH201" s="90"/>
      <c r="AGI201" s="90"/>
      <c r="AGJ201" s="90"/>
      <c r="AGK201" s="90"/>
      <c r="AGL201" s="90"/>
      <c r="AGM201" s="90"/>
      <c r="AGN201" s="90"/>
      <c r="AGO201" s="90"/>
      <c r="AGP201" s="90"/>
      <c r="AGQ201" s="90"/>
      <c r="AGR201" s="90"/>
      <c r="AGS201" s="90"/>
      <c r="AGT201" s="90"/>
      <c r="AGU201" s="90"/>
      <c r="AGV201" s="90"/>
      <c r="AGW201" s="90"/>
      <c r="AGX201" s="90"/>
      <c r="AGY201" s="90"/>
      <c r="AGZ201" s="90"/>
      <c r="AHA201" s="90"/>
      <c r="AHB201" s="90"/>
      <c r="AHC201" s="90"/>
      <c r="AHD201" s="90"/>
      <c r="AHE201" s="90"/>
      <c r="AHF201" s="90"/>
      <c r="AHG201" s="90"/>
      <c r="AHH201" s="90"/>
      <c r="AHI201" s="90"/>
      <c r="AHJ201" s="90"/>
      <c r="AHK201" s="90"/>
      <c r="AHL201" s="90"/>
      <c r="AHM201" s="90"/>
      <c r="AHN201" s="90"/>
      <c r="AHO201" s="90"/>
      <c r="AHP201" s="90"/>
      <c r="AHQ201" s="90"/>
      <c r="AHR201" s="90"/>
      <c r="AHS201" s="90"/>
      <c r="AHT201" s="90"/>
      <c r="AHU201" s="90"/>
      <c r="AHV201" s="90"/>
      <c r="AHW201" s="90"/>
      <c r="AHX201" s="90"/>
      <c r="AHY201" s="90"/>
      <c r="AHZ201" s="90"/>
      <c r="AIA201" s="90"/>
      <c r="AIB201" s="90"/>
      <c r="AIC201" s="90"/>
      <c r="AID201" s="90"/>
      <c r="AIE201" s="90"/>
      <c r="AIF201" s="90"/>
      <c r="AIG201" s="90"/>
      <c r="AIH201" s="90"/>
      <c r="AII201" s="90"/>
      <c r="AIJ201" s="90"/>
      <c r="AIK201" s="90"/>
      <c r="AIL201" s="90"/>
      <c r="AIM201" s="90"/>
      <c r="AIN201" s="90"/>
      <c r="AIO201" s="90"/>
      <c r="AIP201" s="90"/>
      <c r="AIQ201" s="90"/>
      <c r="AIR201" s="90"/>
      <c r="AIS201" s="90"/>
      <c r="AIT201" s="90"/>
      <c r="AIU201" s="90"/>
      <c r="AIV201" s="90"/>
      <c r="AIW201" s="90"/>
      <c r="AIX201" s="90"/>
      <c r="AIY201" s="90"/>
      <c r="AIZ201" s="90"/>
      <c r="AJA201" s="90"/>
      <c r="AJB201" s="90"/>
      <c r="AJC201" s="90"/>
      <c r="AJD201" s="90"/>
      <c r="AJE201" s="90"/>
      <c r="AJF201" s="90"/>
      <c r="AJG201" s="90"/>
      <c r="AJH201" s="90"/>
      <c r="AJI201" s="90"/>
      <c r="AJJ201" s="90"/>
      <c r="AJK201" s="90"/>
      <c r="AJL201" s="90"/>
      <c r="AJM201" s="90"/>
      <c r="AJN201" s="90"/>
      <c r="AJO201" s="90"/>
      <c r="AJP201" s="90"/>
      <c r="AJQ201" s="90"/>
      <c r="AJR201" s="90"/>
      <c r="AJS201" s="90"/>
      <c r="AJT201" s="90"/>
      <c r="AJU201" s="90"/>
      <c r="AJV201" s="90"/>
      <c r="AJW201" s="90"/>
      <c r="AJX201" s="90"/>
      <c r="AJY201" s="90"/>
      <c r="AJZ201" s="90"/>
      <c r="AKA201" s="90"/>
      <c r="AKB201" s="90"/>
      <c r="AKC201" s="90"/>
      <c r="AKD201" s="90"/>
      <c r="AKE201" s="90"/>
      <c r="AKF201" s="90"/>
      <c r="AKG201" s="90"/>
      <c r="AKH201" s="90"/>
      <c r="AKI201" s="90"/>
      <c r="AKJ201" s="90"/>
      <c r="AKK201" s="90"/>
      <c r="AKL201" s="90"/>
      <c r="AKM201" s="90"/>
      <c r="AKN201" s="90"/>
      <c r="AKO201" s="90"/>
      <c r="AKP201" s="90"/>
      <c r="AKQ201" s="90"/>
      <c r="AKR201" s="90"/>
      <c r="AKS201" s="90"/>
      <c r="AKT201" s="90"/>
      <c r="AKU201" s="90"/>
      <c r="AKV201" s="90"/>
      <c r="AKW201" s="90"/>
      <c r="AKX201" s="90"/>
      <c r="AKY201" s="90"/>
      <c r="AKZ201" s="90"/>
      <c r="ALA201" s="90"/>
      <c r="ALB201" s="90"/>
      <c r="ALC201" s="90"/>
      <c r="ALD201" s="90"/>
      <c r="ALE201" s="90"/>
      <c r="ALF201" s="90"/>
      <c r="ALG201" s="90"/>
      <c r="ALH201" s="90"/>
      <c r="ALI201" s="90"/>
      <c r="ALJ201" s="90"/>
      <c r="ALK201" s="90"/>
      <c r="ALL201" s="90"/>
      <c r="ALM201" s="90"/>
      <c r="ALN201" s="90"/>
      <c r="ALO201" s="90"/>
      <c r="ALP201" s="90"/>
      <c r="ALQ201" s="90"/>
      <c r="ALR201" s="90"/>
      <c r="ALS201" s="90"/>
      <c r="ALT201" s="90"/>
      <c r="ALU201" s="90"/>
      <c r="ALV201" s="90"/>
      <c r="ALW201" s="90"/>
      <c r="ALX201" s="90"/>
      <c r="ALY201" s="90"/>
      <c r="ALZ201" s="90"/>
      <c r="AMA201" s="90"/>
      <c r="AMB201" s="90"/>
      <c r="AMC201" s="90"/>
    </row>
    <row r="202" spans="1:1017">
      <c r="A202" s="98" t="s">
        <v>49</v>
      </c>
      <c r="B202" s="90" t="str">
        <f t="shared" si="1425"/>
        <v>Ikan_05 (Ikan betutu)</v>
      </c>
      <c r="Q202" s="91">
        <f t="shared" si="1325"/>
        <v>0</v>
      </c>
      <c r="R202" s="91">
        <f t="shared" si="1326"/>
        <v>0</v>
      </c>
      <c r="AG202" s="91">
        <f t="shared" si="1327"/>
        <v>0</v>
      </c>
      <c r="AH202" s="91">
        <f t="shared" si="1328"/>
        <v>0</v>
      </c>
      <c r="AW202" s="91">
        <f t="shared" si="1329"/>
        <v>0</v>
      </c>
      <c r="AX202" s="91">
        <f t="shared" si="1330"/>
        <v>0</v>
      </c>
      <c r="BM202" s="91">
        <f t="shared" si="1331"/>
        <v>0</v>
      </c>
      <c r="BN202" s="91">
        <f t="shared" si="1332"/>
        <v>0</v>
      </c>
      <c r="CC202" s="91">
        <f t="shared" si="1333"/>
        <v>0</v>
      </c>
      <c r="CD202" s="91">
        <f t="shared" si="1334"/>
        <v>0</v>
      </c>
      <c r="CS202" s="91">
        <f t="shared" si="1419"/>
        <v>0</v>
      </c>
      <c r="CT202" s="91">
        <f t="shared" si="1420"/>
        <v>0</v>
      </c>
      <c r="DI202" s="91">
        <f t="shared" si="1337"/>
        <v>0</v>
      </c>
      <c r="DJ202" s="91">
        <f t="shared" si="1338"/>
        <v>0</v>
      </c>
      <c r="DY202" s="91">
        <f t="shared" si="1339"/>
        <v>0</v>
      </c>
      <c r="DZ202" s="91">
        <f t="shared" si="1340"/>
        <v>0</v>
      </c>
      <c r="EO202" s="91">
        <f t="shared" si="1341"/>
        <v>0</v>
      </c>
      <c r="EP202" s="91">
        <f t="shared" si="1342"/>
        <v>0</v>
      </c>
      <c r="FE202" s="91">
        <f t="shared" si="1343"/>
        <v>0</v>
      </c>
      <c r="FF202" s="91">
        <f t="shared" si="1344"/>
        <v>0</v>
      </c>
      <c r="FU202" s="91">
        <f t="shared" si="1345"/>
        <v>0</v>
      </c>
      <c r="FV202" s="91">
        <f t="shared" si="1346"/>
        <v>0</v>
      </c>
      <c r="GK202" s="91">
        <f t="shared" si="1347"/>
        <v>0</v>
      </c>
      <c r="GL202" s="91">
        <f t="shared" si="1348"/>
        <v>0</v>
      </c>
      <c r="HA202" s="91">
        <f t="shared" si="1349"/>
        <v>0</v>
      </c>
      <c r="HB202" s="91">
        <f t="shared" si="1350"/>
        <v>0</v>
      </c>
      <c r="HQ202" s="91">
        <f t="shared" si="1351"/>
        <v>0</v>
      </c>
      <c r="HR202" s="91">
        <f t="shared" si="1352"/>
        <v>0</v>
      </c>
      <c r="IG202" s="91">
        <f t="shared" si="1353"/>
        <v>0</v>
      </c>
      <c r="IH202" s="91">
        <f t="shared" si="1354"/>
        <v>0</v>
      </c>
      <c r="IW202" s="91">
        <f t="shared" si="1355"/>
        <v>0</v>
      </c>
      <c r="IX202" s="91">
        <f t="shared" si="1356"/>
        <v>0</v>
      </c>
      <c r="JM202" s="91">
        <f t="shared" si="1357"/>
        <v>0</v>
      </c>
      <c r="JN202" s="91">
        <f t="shared" si="1358"/>
        <v>0</v>
      </c>
      <c r="KC202" s="91">
        <f t="shared" si="1359"/>
        <v>0</v>
      </c>
      <c r="KD202" s="91">
        <f t="shared" si="1360"/>
        <v>0</v>
      </c>
      <c r="KS202" s="91">
        <f t="shared" si="1361"/>
        <v>0</v>
      </c>
      <c r="KT202" s="91">
        <f t="shared" si="1362"/>
        <v>0</v>
      </c>
      <c r="LI202" s="91">
        <f t="shared" si="1363"/>
        <v>0</v>
      </c>
      <c r="LJ202" s="91">
        <f t="shared" si="1364"/>
        <v>0</v>
      </c>
      <c r="LY202" s="91">
        <f t="shared" si="1365"/>
        <v>0</v>
      </c>
      <c r="LZ202" s="91">
        <f t="shared" si="1366"/>
        <v>0</v>
      </c>
      <c r="MO202" s="91">
        <f t="shared" si="1367"/>
        <v>0</v>
      </c>
      <c r="MP202" s="91">
        <f t="shared" si="1368"/>
        <v>0</v>
      </c>
      <c r="NE202" s="91">
        <f t="shared" si="1369"/>
        <v>0</v>
      </c>
      <c r="NF202" s="91">
        <f t="shared" si="1370"/>
        <v>0</v>
      </c>
      <c r="NU202" s="91">
        <f t="shared" si="1371"/>
        <v>0</v>
      </c>
      <c r="NV202" s="91">
        <f t="shared" si="1372"/>
        <v>0</v>
      </c>
      <c r="OK202" s="91">
        <f t="shared" si="1373"/>
        <v>0</v>
      </c>
      <c r="OL202" s="91">
        <f t="shared" si="1374"/>
        <v>0</v>
      </c>
      <c r="PA202" s="91">
        <f t="shared" si="1375"/>
        <v>0</v>
      </c>
      <c r="PB202" s="91">
        <f t="shared" si="1376"/>
        <v>0</v>
      </c>
      <c r="PQ202" s="91">
        <f t="shared" si="1377"/>
        <v>0</v>
      </c>
      <c r="PR202" s="91">
        <f t="shared" si="1378"/>
        <v>0</v>
      </c>
      <c r="QG202" s="91">
        <f t="shared" si="1379"/>
        <v>0</v>
      </c>
      <c r="QH202" s="91">
        <f t="shared" si="1380"/>
        <v>0</v>
      </c>
      <c r="QW202" s="91">
        <f t="shared" si="1381"/>
        <v>0</v>
      </c>
      <c r="QX202" s="91">
        <f t="shared" si="1382"/>
        <v>0</v>
      </c>
      <c r="RM202" s="91">
        <f t="shared" si="1383"/>
        <v>0</v>
      </c>
      <c r="RN202" s="91">
        <f t="shared" si="1384"/>
        <v>0</v>
      </c>
      <c r="SC202" s="91">
        <f t="shared" si="1385"/>
        <v>0</v>
      </c>
      <c r="SD202" s="91">
        <f t="shared" si="1386"/>
        <v>0</v>
      </c>
      <c r="SS202" s="91">
        <f t="shared" si="1387"/>
        <v>0</v>
      </c>
      <c r="ST202" s="91">
        <f t="shared" si="1388"/>
        <v>0</v>
      </c>
      <c r="TI202" s="91">
        <f t="shared" si="1389"/>
        <v>0</v>
      </c>
      <c r="TJ202" s="91">
        <f t="shared" si="1390"/>
        <v>0</v>
      </c>
      <c r="TY202" s="91">
        <f t="shared" si="1391"/>
        <v>0</v>
      </c>
      <c r="TZ202" s="91">
        <f t="shared" si="1392"/>
        <v>0</v>
      </c>
      <c r="UO202" s="91">
        <f t="shared" si="1393"/>
        <v>0</v>
      </c>
      <c r="UP202" s="91">
        <f t="shared" si="1438"/>
        <v>0</v>
      </c>
      <c r="VE202" s="91">
        <f t="shared" si="1395"/>
        <v>0</v>
      </c>
      <c r="VF202" s="91">
        <f t="shared" si="1396"/>
        <v>0</v>
      </c>
      <c r="VU202" s="91">
        <f t="shared" si="1397"/>
        <v>0</v>
      </c>
      <c r="VV202" s="91">
        <f t="shared" si="1398"/>
        <v>0</v>
      </c>
      <c r="WK202" s="91">
        <f t="shared" si="1399"/>
        <v>0</v>
      </c>
      <c r="WL202" s="91">
        <f t="shared" si="1400"/>
        <v>0</v>
      </c>
      <c r="WM202" s="89"/>
      <c r="WN202" s="87">
        <f t="shared" si="1426"/>
        <v>0</v>
      </c>
      <c r="WO202" s="87">
        <f t="shared" si="1427"/>
        <v>0</v>
      </c>
      <c r="WP202" s="87">
        <f t="shared" si="1428"/>
        <v>0</v>
      </c>
      <c r="WQ202" s="87">
        <f t="shared" si="1429"/>
        <v>0</v>
      </c>
      <c r="WR202" s="87">
        <f t="shared" si="1430"/>
        <v>0</v>
      </c>
      <c r="WS202" s="87">
        <f t="shared" si="1431"/>
        <v>0</v>
      </c>
      <c r="WT202" s="87">
        <f t="shared" si="1432"/>
        <v>0</v>
      </c>
      <c r="WU202" s="87">
        <f t="shared" si="1433"/>
        <v>0</v>
      </c>
      <c r="WV202" s="87">
        <f t="shared" si="1434"/>
        <v>0</v>
      </c>
      <c r="WW202" s="87">
        <f t="shared" si="1435"/>
        <v>0</v>
      </c>
      <c r="WX202" s="87">
        <f t="shared" si="1436"/>
        <v>0</v>
      </c>
      <c r="WY202" s="87">
        <f t="shared" si="1437"/>
        <v>0</v>
      </c>
      <c r="WZ202" s="87">
        <f t="shared" si="1421"/>
        <v>0</v>
      </c>
      <c r="XA202" s="87">
        <f t="shared" si="1422"/>
        <v>0</v>
      </c>
      <c r="XB202" s="92">
        <f t="shared" si="1423"/>
        <v>0</v>
      </c>
      <c r="XC202" s="92">
        <f t="shared" si="1424"/>
        <v>0</v>
      </c>
      <c r="XD202" s="89"/>
      <c r="XE202" s="92"/>
      <c r="XF202" s="92"/>
      <c r="XG202" s="89"/>
      <c r="XH202" s="92"/>
      <c r="XI202" s="92"/>
      <c r="XJ202" s="89"/>
      <c r="XK202" s="87"/>
      <c r="XL202" s="87"/>
      <c r="XM202" s="87"/>
      <c r="XN202" s="87"/>
      <c r="XO202" s="87"/>
      <c r="XP202" s="87"/>
      <c r="XQ202" s="87"/>
      <c r="XR202" s="92">
        <f t="shared" ca="1" si="1417"/>
        <v>0</v>
      </c>
      <c r="XS202" s="89"/>
      <c r="XT202" s="87"/>
      <c r="XU202" s="87"/>
      <c r="XV202" s="87"/>
      <c r="XW202" s="87"/>
      <c r="XX202" s="87"/>
      <c r="XY202" s="87"/>
      <c r="XZ202" s="87"/>
      <c r="YA202" s="92">
        <f t="shared" ca="1" si="1418"/>
        <v>0</v>
      </c>
      <c r="YB202" s="90"/>
      <c r="YC202" s="90"/>
      <c r="YD202" s="90"/>
      <c r="YE202" s="90"/>
      <c r="YF202" s="90"/>
      <c r="YG202" s="90"/>
      <c r="YH202" s="90"/>
      <c r="YI202" s="90"/>
      <c r="YJ202" s="90"/>
      <c r="YK202" s="90"/>
      <c r="YL202" s="90"/>
      <c r="YM202" s="90"/>
      <c r="YN202" s="90"/>
      <c r="YO202" s="90"/>
      <c r="YP202" s="90"/>
      <c r="YQ202" s="90"/>
      <c r="YR202" s="90"/>
      <c r="YS202" s="90"/>
      <c r="YT202" s="90"/>
      <c r="YU202" s="90"/>
      <c r="YV202" s="90"/>
      <c r="YW202" s="90"/>
      <c r="YX202" s="90"/>
      <c r="YY202" s="90"/>
      <c r="YZ202" s="90"/>
      <c r="ZA202" s="90"/>
      <c r="ZB202" s="90"/>
      <c r="ZC202" s="90"/>
      <c r="ZD202" s="90"/>
      <c r="ZE202" s="90"/>
      <c r="ZF202" s="90"/>
      <c r="ZG202" s="90"/>
      <c r="ZH202" s="90"/>
      <c r="ZI202" s="90"/>
      <c r="ZJ202" s="90"/>
      <c r="ZK202" s="90"/>
      <c r="ZL202" s="90"/>
      <c r="ZM202" s="90"/>
      <c r="ZN202" s="90"/>
      <c r="ZO202" s="90"/>
      <c r="ZP202" s="90"/>
      <c r="ZQ202" s="90"/>
      <c r="ZR202" s="90"/>
      <c r="ZS202" s="90"/>
      <c r="ZT202" s="90"/>
      <c r="ZU202" s="90"/>
      <c r="ZV202" s="90"/>
      <c r="ZW202" s="90"/>
      <c r="ZX202" s="90"/>
      <c r="ZY202" s="90"/>
      <c r="ZZ202" s="90"/>
      <c r="AAA202" s="90"/>
      <c r="AAB202" s="90"/>
      <c r="AAC202" s="90"/>
      <c r="AAD202" s="90"/>
      <c r="AAE202" s="90"/>
      <c r="AAF202" s="90"/>
      <c r="AAG202" s="90"/>
      <c r="AAH202" s="90"/>
      <c r="AAI202" s="90"/>
      <c r="AAJ202" s="90"/>
      <c r="AAK202" s="90"/>
      <c r="AAL202" s="90"/>
      <c r="AAM202" s="90"/>
      <c r="AAN202" s="90"/>
      <c r="AAO202" s="90"/>
      <c r="AAP202" s="90"/>
      <c r="AAQ202" s="90"/>
      <c r="AAR202" s="90"/>
      <c r="AAS202" s="90"/>
      <c r="AAT202" s="90"/>
      <c r="AAU202" s="90"/>
      <c r="AAV202" s="90"/>
      <c r="AAW202" s="90"/>
      <c r="AAX202" s="90"/>
      <c r="AAY202" s="90"/>
      <c r="AAZ202" s="90"/>
      <c r="ABA202" s="90"/>
      <c r="ABB202" s="90"/>
      <c r="ABC202" s="90"/>
      <c r="ABD202" s="90"/>
      <c r="ABE202" s="90"/>
      <c r="ABF202" s="90"/>
      <c r="ABG202" s="90"/>
      <c r="ABH202" s="90"/>
      <c r="ABI202" s="90"/>
      <c r="ABJ202" s="90"/>
      <c r="ABK202" s="90"/>
      <c r="ABL202" s="90"/>
      <c r="ABM202" s="90"/>
      <c r="ABN202" s="90"/>
      <c r="ABO202" s="90"/>
      <c r="ABP202" s="90"/>
      <c r="ABQ202" s="90"/>
      <c r="ABR202" s="90"/>
      <c r="ABS202" s="90"/>
      <c r="ABT202" s="90"/>
      <c r="ABU202" s="90"/>
      <c r="ABV202" s="90"/>
      <c r="ABW202" s="90"/>
      <c r="ABX202" s="90"/>
      <c r="ABY202" s="90"/>
      <c r="ABZ202" s="90"/>
      <c r="ACA202" s="90"/>
      <c r="ACB202" s="90"/>
      <c r="ACC202" s="90"/>
      <c r="ACD202" s="90"/>
      <c r="ACE202" s="90"/>
      <c r="ACF202" s="90"/>
      <c r="ACG202" s="90"/>
      <c r="ACH202" s="90"/>
      <c r="ACI202" s="90"/>
      <c r="ACJ202" s="90"/>
      <c r="ACK202" s="90"/>
      <c r="ACL202" s="90"/>
      <c r="ACM202" s="90"/>
      <c r="ACN202" s="90"/>
      <c r="ACO202" s="90"/>
      <c r="ACP202" s="90"/>
      <c r="ACQ202" s="90"/>
      <c r="ACR202" s="90"/>
      <c r="ACS202" s="90"/>
      <c r="ACT202" s="90"/>
      <c r="ACU202" s="90"/>
      <c r="ACV202" s="90"/>
      <c r="ACW202" s="90"/>
      <c r="ACX202" s="90"/>
      <c r="ACY202" s="90"/>
      <c r="ACZ202" s="90"/>
      <c r="ADA202" s="90"/>
      <c r="ADB202" s="90"/>
      <c r="ADC202" s="90"/>
      <c r="ADD202" s="90"/>
      <c r="ADE202" s="90"/>
      <c r="ADF202" s="90"/>
      <c r="ADG202" s="90"/>
      <c r="ADH202" s="90"/>
      <c r="ADI202" s="90"/>
      <c r="ADJ202" s="90"/>
      <c r="ADK202" s="90"/>
      <c r="ADL202" s="90"/>
      <c r="ADM202" s="90"/>
      <c r="ADN202" s="90"/>
      <c r="ADO202" s="90"/>
      <c r="ADP202" s="90"/>
      <c r="ADQ202" s="90"/>
      <c r="ADR202" s="90"/>
      <c r="ADS202" s="90"/>
      <c r="ADT202" s="90"/>
      <c r="ADU202" s="90"/>
      <c r="ADV202" s="90"/>
      <c r="ADW202" s="90"/>
      <c r="ADX202" s="90"/>
      <c r="ADY202" s="90"/>
      <c r="ADZ202" s="90"/>
      <c r="AEA202" s="90"/>
      <c r="AEB202" s="90"/>
      <c r="AEC202" s="90"/>
      <c r="AED202" s="90"/>
      <c r="AEE202" s="90"/>
      <c r="AEF202" s="90"/>
      <c r="AEG202" s="90"/>
      <c r="AEH202" s="90"/>
      <c r="AEI202" s="90"/>
      <c r="AEJ202" s="90"/>
      <c r="AEK202" s="90"/>
      <c r="AEL202" s="90"/>
      <c r="AEM202" s="90"/>
      <c r="AEN202" s="90"/>
      <c r="AEO202" s="90"/>
      <c r="AEP202" s="90"/>
      <c r="AEQ202" s="90"/>
      <c r="AER202" s="90"/>
      <c r="AES202" s="90"/>
      <c r="AET202" s="90"/>
      <c r="AEU202" s="90"/>
      <c r="AEV202" s="90"/>
      <c r="AEW202" s="90"/>
      <c r="AEX202" s="90"/>
      <c r="AEY202" s="90"/>
      <c r="AEZ202" s="90"/>
      <c r="AFA202" s="90"/>
      <c r="AFB202" s="90"/>
      <c r="AFC202" s="90"/>
      <c r="AFD202" s="90"/>
      <c r="AFE202" s="90"/>
      <c r="AFF202" s="90"/>
      <c r="AFG202" s="90"/>
      <c r="AFH202" s="90"/>
      <c r="AFI202" s="90"/>
      <c r="AFJ202" s="90"/>
      <c r="AFK202" s="90"/>
      <c r="AFL202" s="90"/>
      <c r="AFM202" s="90"/>
      <c r="AFN202" s="90"/>
      <c r="AFO202" s="90"/>
      <c r="AFP202" s="90"/>
      <c r="AFQ202" s="90"/>
      <c r="AFR202" s="90"/>
      <c r="AFS202" s="90"/>
      <c r="AFT202" s="90"/>
      <c r="AFU202" s="90"/>
      <c r="AFV202" s="90"/>
      <c r="AFW202" s="90"/>
      <c r="AFX202" s="90"/>
      <c r="AFY202" s="90"/>
      <c r="AFZ202" s="90"/>
      <c r="AGA202" s="90"/>
      <c r="AGB202" s="90"/>
      <c r="AGC202" s="90"/>
      <c r="AGD202" s="90"/>
      <c r="AGE202" s="90"/>
      <c r="AGF202" s="90"/>
      <c r="AGG202" s="90"/>
      <c r="AGH202" s="90"/>
      <c r="AGI202" s="90"/>
      <c r="AGJ202" s="90"/>
      <c r="AGK202" s="90"/>
      <c r="AGL202" s="90"/>
      <c r="AGM202" s="90"/>
      <c r="AGN202" s="90"/>
      <c r="AGO202" s="90"/>
      <c r="AGP202" s="90"/>
      <c r="AGQ202" s="90"/>
      <c r="AGR202" s="90"/>
      <c r="AGS202" s="90"/>
      <c r="AGT202" s="90"/>
      <c r="AGU202" s="90"/>
      <c r="AGV202" s="90"/>
      <c r="AGW202" s="90"/>
      <c r="AGX202" s="90"/>
      <c r="AGY202" s="90"/>
      <c r="AGZ202" s="90"/>
      <c r="AHA202" s="90"/>
      <c r="AHB202" s="90"/>
      <c r="AHC202" s="90"/>
      <c r="AHD202" s="90"/>
      <c r="AHE202" s="90"/>
      <c r="AHF202" s="90"/>
      <c r="AHG202" s="90"/>
      <c r="AHH202" s="90"/>
      <c r="AHI202" s="90"/>
      <c r="AHJ202" s="90"/>
      <c r="AHK202" s="90"/>
      <c r="AHL202" s="90"/>
      <c r="AHM202" s="90"/>
      <c r="AHN202" s="90"/>
      <c r="AHO202" s="90"/>
      <c r="AHP202" s="90"/>
      <c r="AHQ202" s="90"/>
      <c r="AHR202" s="90"/>
      <c r="AHS202" s="90"/>
      <c r="AHT202" s="90"/>
      <c r="AHU202" s="90"/>
      <c r="AHV202" s="90"/>
      <c r="AHW202" s="90"/>
      <c r="AHX202" s="90"/>
      <c r="AHY202" s="90"/>
      <c r="AHZ202" s="90"/>
      <c r="AIA202" s="90"/>
      <c r="AIB202" s="90"/>
      <c r="AIC202" s="90"/>
      <c r="AID202" s="90"/>
      <c r="AIE202" s="90"/>
      <c r="AIF202" s="90"/>
      <c r="AIG202" s="90"/>
      <c r="AIH202" s="90"/>
      <c r="AII202" s="90"/>
      <c r="AIJ202" s="90"/>
      <c r="AIK202" s="90"/>
      <c r="AIL202" s="90"/>
      <c r="AIM202" s="90"/>
      <c r="AIN202" s="90"/>
      <c r="AIO202" s="90"/>
      <c r="AIP202" s="90"/>
      <c r="AIQ202" s="90"/>
      <c r="AIR202" s="90"/>
      <c r="AIS202" s="90"/>
      <c r="AIT202" s="90"/>
      <c r="AIU202" s="90"/>
      <c r="AIV202" s="90"/>
      <c r="AIW202" s="90"/>
      <c r="AIX202" s="90"/>
      <c r="AIY202" s="90"/>
      <c r="AIZ202" s="90"/>
      <c r="AJA202" s="90"/>
      <c r="AJB202" s="90"/>
      <c r="AJC202" s="90"/>
      <c r="AJD202" s="90"/>
      <c r="AJE202" s="90"/>
      <c r="AJF202" s="90"/>
      <c r="AJG202" s="90"/>
      <c r="AJH202" s="90"/>
      <c r="AJI202" s="90"/>
      <c r="AJJ202" s="90"/>
      <c r="AJK202" s="90"/>
      <c r="AJL202" s="90"/>
      <c r="AJM202" s="90"/>
      <c r="AJN202" s="90"/>
      <c r="AJO202" s="90"/>
      <c r="AJP202" s="90"/>
      <c r="AJQ202" s="90"/>
      <c r="AJR202" s="90"/>
      <c r="AJS202" s="90"/>
      <c r="AJT202" s="90"/>
      <c r="AJU202" s="90"/>
      <c r="AJV202" s="90"/>
      <c r="AJW202" s="90"/>
      <c r="AJX202" s="90"/>
      <c r="AJY202" s="90"/>
      <c r="AJZ202" s="90"/>
      <c r="AKA202" s="90"/>
      <c r="AKB202" s="90"/>
      <c r="AKC202" s="90"/>
      <c r="AKD202" s="90"/>
      <c r="AKE202" s="90"/>
      <c r="AKF202" s="90"/>
      <c r="AKG202" s="90"/>
      <c r="AKH202" s="90"/>
      <c r="AKI202" s="90"/>
      <c r="AKJ202" s="90"/>
      <c r="AKK202" s="90"/>
      <c r="AKL202" s="90"/>
      <c r="AKM202" s="90"/>
      <c r="AKN202" s="90"/>
      <c r="AKO202" s="90"/>
      <c r="AKP202" s="90"/>
      <c r="AKQ202" s="90"/>
      <c r="AKR202" s="90"/>
      <c r="AKS202" s="90"/>
      <c r="AKT202" s="90"/>
      <c r="AKU202" s="90"/>
      <c r="AKV202" s="90"/>
      <c r="AKW202" s="90"/>
      <c r="AKX202" s="90"/>
      <c r="AKY202" s="90"/>
      <c r="AKZ202" s="90"/>
      <c r="ALA202" s="90"/>
      <c r="ALB202" s="90"/>
      <c r="ALC202" s="90"/>
      <c r="ALD202" s="90"/>
      <c r="ALE202" s="90"/>
      <c r="ALF202" s="90"/>
      <c r="ALG202" s="90"/>
      <c r="ALH202" s="90"/>
      <c r="ALI202" s="90"/>
      <c r="ALJ202" s="90"/>
      <c r="ALK202" s="90"/>
      <c r="ALL202" s="90"/>
      <c r="ALM202" s="90"/>
      <c r="ALN202" s="90"/>
      <c r="ALO202" s="90"/>
      <c r="ALP202" s="90"/>
      <c r="ALQ202" s="90"/>
      <c r="ALR202" s="90"/>
      <c r="ALS202" s="90"/>
      <c r="ALT202" s="90"/>
      <c r="ALU202" s="90"/>
      <c r="ALV202" s="90"/>
      <c r="ALW202" s="90"/>
      <c r="ALX202" s="90"/>
      <c r="ALY202" s="90"/>
      <c r="ALZ202" s="90"/>
      <c r="AMA202" s="90"/>
      <c r="AMB202" s="90"/>
      <c r="AMC202" s="90"/>
    </row>
    <row r="203" spans="1:1017" s="100" customFormat="1">
      <c r="A203" s="100">
        <v>6</v>
      </c>
      <c r="B203" s="100" t="s">
        <v>65</v>
      </c>
      <c r="C203" s="100">
        <f t="shared" ref="C203:R203" si="1439">SUM(C204:C240)</f>
        <v>0</v>
      </c>
      <c r="D203" s="100">
        <f t="shared" si="1439"/>
        <v>0</v>
      </c>
      <c r="E203" s="100">
        <f t="shared" si="1439"/>
        <v>590600</v>
      </c>
      <c r="F203" s="100">
        <f t="shared" si="1439"/>
        <v>20069144.509</v>
      </c>
      <c r="G203" s="100">
        <f t="shared" si="1439"/>
        <v>0</v>
      </c>
      <c r="H203" s="100">
        <f t="shared" si="1439"/>
        <v>0</v>
      </c>
      <c r="I203" s="100">
        <f t="shared" si="1439"/>
        <v>42300</v>
      </c>
      <c r="J203" s="100">
        <f t="shared" si="1439"/>
        <v>950200</v>
      </c>
      <c r="K203" s="100">
        <f t="shared" si="1439"/>
        <v>0</v>
      </c>
      <c r="L203" s="100">
        <f t="shared" si="1439"/>
        <v>0</v>
      </c>
      <c r="M203" s="100">
        <f t="shared" si="1439"/>
        <v>100</v>
      </c>
      <c r="N203" s="100">
        <f t="shared" si="1439"/>
        <v>2000</v>
      </c>
      <c r="O203" s="100">
        <f t="shared" si="1439"/>
        <v>0</v>
      </c>
      <c r="P203" s="100">
        <f t="shared" si="1439"/>
        <v>0</v>
      </c>
      <c r="Q203" s="728">
        <f t="shared" si="1439"/>
        <v>633000</v>
      </c>
      <c r="R203" s="728">
        <f t="shared" si="1439"/>
        <v>21021344.509</v>
      </c>
      <c r="S203" s="100">
        <f t="shared" ref="S203:CD203" si="1440">SUM(S204:S240)</f>
        <v>4045</v>
      </c>
      <c r="T203" s="100">
        <f t="shared" si="1440"/>
        <v>483775</v>
      </c>
      <c r="U203" s="100">
        <f t="shared" si="1440"/>
        <v>1736715</v>
      </c>
      <c r="V203" s="100">
        <f t="shared" si="1440"/>
        <v>90640250</v>
      </c>
      <c r="W203" s="100">
        <f t="shared" si="1440"/>
        <v>0</v>
      </c>
      <c r="X203" s="100">
        <f t="shared" si="1440"/>
        <v>0</v>
      </c>
      <c r="Y203" s="100">
        <f t="shared" si="1440"/>
        <v>767550</v>
      </c>
      <c r="Z203" s="100">
        <f t="shared" si="1440"/>
        <v>15678910</v>
      </c>
      <c r="AA203" s="100">
        <f t="shared" si="1440"/>
        <v>5335</v>
      </c>
      <c r="AB203" s="100">
        <f t="shared" si="1440"/>
        <v>145700</v>
      </c>
      <c r="AC203" s="100">
        <f t="shared" si="1440"/>
        <v>3240</v>
      </c>
      <c r="AD203" s="100">
        <f t="shared" si="1440"/>
        <v>89175</v>
      </c>
      <c r="AE203" s="100">
        <f t="shared" si="1440"/>
        <v>2565</v>
      </c>
      <c r="AF203" s="100">
        <f t="shared" si="1440"/>
        <v>60000</v>
      </c>
      <c r="AG203" s="728">
        <f t="shared" si="1440"/>
        <v>2519450</v>
      </c>
      <c r="AH203" s="728">
        <f>SUM(AH204:AH240)</f>
        <v>107097810</v>
      </c>
      <c r="AI203" s="100">
        <f t="shared" si="1440"/>
        <v>0</v>
      </c>
      <c r="AJ203" s="100">
        <f t="shared" si="1440"/>
        <v>0</v>
      </c>
      <c r="AK203" s="100">
        <f t="shared" si="1440"/>
        <v>36100</v>
      </c>
      <c r="AL203" s="100">
        <f t="shared" si="1440"/>
        <v>2346500</v>
      </c>
      <c r="AM203" s="100">
        <f t="shared" si="1440"/>
        <v>0</v>
      </c>
      <c r="AN203" s="100">
        <f t="shared" si="1440"/>
        <v>0</v>
      </c>
      <c r="AO203" s="100">
        <f t="shared" si="1440"/>
        <v>1434700</v>
      </c>
      <c r="AP203" s="100">
        <f t="shared" si="1440"/>
        <v>31984800</v>
      </c>
      <c r="AQ203" s="100">
        <f t="shared" si="1440"/>
        <v>160</v>
      </c>
      <c r="AR203" s="100">
        <f t="shared" si="1440"/>
        <v>3840</v>
      </c>
      <c r="AS203" s="100">
        <f t="shared" si="1440"/>
        <v>0</v>
      </c>
      <c r="AT203" s="100">
        <f t="shared" si="1440"/>
        <v>0</v>
      </c>
      <c r="AU203" s="100">
        <f t="shared" si="1440"/>
        <v>2830</v>
      </c>
      <c r="AV203" s="100">
        <f t="shared" si="1440"/>
        <v>67920</v>
      </c>
      <c r="AW203" s="728">
        <f t="shared" si="1440"/>
        <v>1473790</v>
      </c>
      <c r="AX203" s="728">
        <f t="shared" si="1440"/>
        <v>34403060</v>
      </c>
      <c r="AY203" s="100">
        <f t="shared" si="1440"/>
        <v>0</v>
      </c>
      <c r="AZ203" s="100">
        <f t="shared" si="1440"/>
        <v>0</v>
      </c>
      <c r="BA203" s="100">
        <f t="shared" si="1440"/>
        <v>0</v>
      </c>
      <c r="BB203" s="100">
        <f t="shared" si="1440"/>
        <v>0</v>
      </c>
      <c r="BC203" s="100">
        <f t="shared" si="1440"/>
        <v>0</v>
      </c>
      <c r="BD203" s="100">
        <f t="shared" si="1440"/>
        <v>0</v>
      </c>
      <c r="BE203" s="100">
        <f t="shared" si="1440"/>
        <v>378066</v>
      </c>
      <c r="BF203" s="100">
        <f t="shared" si="1440"/>
        <v>7683089</v>
      </c>
      <c r="BG203" s="100">
        <f t="shared" si="1440"/>
        <v>4470</v>
      </c>
      <c r="BH203" s="100">
        <f t="shared" si="1440"/>
        <v>111750</v>
      </c>
      <c r="BI203" s="100">
        <f t="shared" si="1440"/>
        <v>0</v>
      </c>
      <c r="BJ203" s="100">
        <f t="shared" si="1440"/>
        <v>0</v>
      </c>
      <c r="BK203" s="100">
        <f t="shared" si="1440"/>
        <v>1220</v>
      </c>
      <c r="BL203" s="100">
        <f t="shared" si="1440"/>
        <v>20675</v>
      </c>
      <c r="BM203" s="728">
        <f t="shared" si="1440"/>
        <v>383756</v>
      </c>
      <c r="BN203" s="728">
        <f t="shared" si="1440"/>
        <v>7815514</v>
      </c>
      <c r="BO203" s="100">
        <f t="shared" si="1440"/>
        <v>0</v>
      </c>
      <c r="BP203" s="100">
        <f t="shared" si="1440"/>
        <v>0</v>
      </c>
      <c r="BQ203" s="100">
        <f t="shared" si="1440"/>
        <v>0</v>
      </c>
      <c r="BR203" s="100">
        <f t="shared" si="1440"/>
        <v>0</v>
      </c>
      <c r="BS203" s="100">
        <f t="shared" si="1440"/>
        <v>0</v>
      </c>
      <c r="BT203" s="100">
        <f t="shared" si="1440"/>
        <v>0</v>
      </c>
      <c r="BU203" s="100">
        <f t="shared" si="1440"/>
        <v>70069</v>
      </c>
      <c r="BV203" s="100">
        <f t="shared" si="1440"/>
        <v>1503581</v>
      </c>
      <c r="BW203" s="100">
        <f t="shared" si="1440"/>
        <v>0</v>
      </c>
      <c r="BX203" s="100">
        <f t="shared" si="1440"/>
        <v>0</v>
      </c>
      <c r="BY203" s="100">
        <f t="shared" si="1440"/>
        <v>0</v>
      </c>
      <c r="BZ203" s="100">
        <f t="shared" si="1440"/>
        <v>0</v>
      </c>
      <c r="CA203" s="100">
        <f t="shared" si="1440"/>
        <v>0</v>
      </c>
      <c r="CB203" s="100">
        <f t="shared" si="1440"/>
        <v>0</v>
      </c>
      <c r="CC203" s="728">
        <f t="shared" si="1440"/>
        <v>70069</v>
      </c>
      <c r="CD203" s="728">
        <f t="shared" si="1440"/>
        <v>1503581</v>
      </c>
      <c r="CE203" s="100">
        <f t="shared" ref="CE203:EP203" si="1441">SUM(CE204:CE240)</f>
        <v>643975.69067855983</v>
      </c>
      <c r="CF203" s="100">
        <f t="shared" si="1441"/>
        <v>3219878.453392799</v>
      </c>
      <c r="CG203" s="100">
        <f t="shared" si="1441"/>
        <v>6698547.8671089513</v>
      </c>
      <c r="CH203" s="100">
        <f t="shared" si="1441"/>
        <v>206547405.06608495</v>
      </c>
      <c r="CI203" s="100">
        <f t="shared" si="1441"/>
        <v>0</v>
      </c>
      <c r="CJ203" s="100">
        <f t="shared" si="1441"/>
        <v>0</v>
      </c>
      <c r="CK203" s="100">
        <f t="shared" si="1441"/>
        <v>6795756.5200936198</v>
      </c>
      <c r="CL203" s="100">
        <f t="shared" si="1441"/>
        <v>103798363.29058616</v>
      </c>
      <c r="CM203" s="100">
        <f t="shared" si="1441"/>
        <v>0</v>
      </c>
      <c r="CN203" s="100">
        <f t="shared" si="1441"/>
        <v>0</v>
      </c>
      <c r="CO203" s="100">
        <f t="shared" si="1441"/>
        <v>0</v>
      </c>
      <c r="CP203" s="100">
        <f t="shared" si="1441"/>
        <v>0</v>
      </c>
      <c r="CQ203" s="100">
        <f t="shared" si="1441"/>
        <v>0</v>
      </c>
      <c r="CR203" s="100">
        <f t="shared" si="1441"/>
        <v>0</v>
      </c>
      <c r="CS203" s="728">
        <f t="shared" si="1441"/>
        <v>14138280.077881129</v>
      </c>
      <c r="CT203" s="728">
        <f t="shared" si="1441"/>
        <v>313565646.8100639</v>
      </c>
      <c r="CU203" s="100">
        <f t="shared" si="1441"/>
        <v>0</v>
      </c>
      <c r="CV203" s="100">
        <f t="shared" si="1441"/>
        <v>0</v>
      </c>
      <c r="CW203" s="100">
        <f t="shared" si="1441"/>
        <v>292310.99961556954</v>
      </c>
      <c r="CX203" s="100">
        <f t="shared" si="1441"/>
        <v>18845189.995999999</v>
      </c>
      <c r="CY203" s="100">
        <f t="shared" si="1441"/>
        <v>0</v>
      </c>
      <c r="CZ203" s="100">
        <f t="shared" si="1441"/>
        <v>0</v>
      </c>
      <c r="DA203" s="100">
        <f t="shared" si="1441"/>
        <v>811113</v>
      </c>
      <c r="DB203" s="100">
        <f t="shared" si="1441"/>
        <v>17930556</v>
      </c>
      <c r="DC203" s="100">
        <f t="shared" si="1441"/>
        <v>2120</v>
      </c>
      <c r="DD203" s="100">
        <f t="shared" si="1441"/>
        <v>50450.006000000001</v>
      </c>
      <c r="DE203" s="100">
        <f t="shared" si="1441"/>
        <v>0</v>
      </c>
      <c r="DF203" s="100">
        <f t="shared" si="1441"/>
        <v>0</v>
      </c>
      <c r="DG203" s="100">
        <f t="shared" si="1441"/>
        <v>0</v>
      </c>
      <c r="DH203" s="100">
        <f t="shared" si="1441"/>
        <v>0</v>
      </c>
      <c r="DI203" s="728">
        <f t="shared" si="1441"/>
        <v>1105543.9996155696</v>
      </c>
      <c r="DJ203" s="728">
        <f t="shared" si="1441"/>
        <v>36826196.002000004</v>
      </c>
      <c r="DK203" s="100">
        <f t="shared" si="1441"/>
        <v>0</v>
      </c>
      <c r="DL203" s="100">
        <f t="shared" si="1441"/>
        <v>0</v>
      </c>
      <c r="DM203" s="100">
        <f t="shared" si="1441"/>
        <v>0</v>
      </c>
      <c r="DN203" s="100">
        <f t="shared" si="1441"/>
        <v>0</v>
      </c>
      <c r="DO203" s="100">
        <f t="shared" si="1441"/>
        <v>0</v>
      </c>
      <c r="DP203" s="100">
        <f t="shared" si="1441"/>
        <v>0</v>
      </c>
      <c r="DQ203" s="100">
        <f t="shared" si="1441"/>
        <v>1149500</v>
      </c>
      <c r="DR203" s="100">
        <f t="shared" si="1441"/>
        <v>20470100</v>
      </c>
      <c r="DS203" s="100">
        <f t="shared" si="1441"/>
        <v>0</v>
      </c>
      <c r="DT203" s="100">
        <f t="shared" si="1441"/>
        <v>0</v>
      </c>
      <c r="DU203" s="100">
        <f t="shared" si="1441"/>
        <v>0</v>
      </c>
      <c r="DV203" s="100">
        <f t="shared" si="1441"/>
        <v>0</v>
      </c>
      <c r="DW203" s="100">
        <f t="shared" si="1441"/>
        <v>0</v>
      </c>
      <c r="DX203" s="100">
        <f t="shared" si="1441"/>
        <v>0</v>
      </c>
      <c r="DY203" s="728">
        <f t="shared" si="1441"/>
        <v>1149500</v>
      </c>
      <c r="DZ203" s="728">
        <f t="shared" si="1441"/>
        <v>20470100</v>
      </c>
      <c r="EA203" s="100">
        <f t="shared" si="1441"/>
        <v>0</v>
      </c>
      <c r="EB203" s="100">
        <f t="shared" si="1441"/>
        <v>0</v>
      </c>
      <c r="EC203" s="100">
        <f t="shared" si="1441"/>
        <v>0</v>
      </c>
      <c r="ED203" s="100">
        <f t="shared" si="1441"/>
        <v>0</v>
      </c>
      <c r="EE203" s="100">
        <f t="shared" si="1441"/>
        <v>0</v>
      </c>
      <c r="EF203" s="100">
        <f t="shared" si="1441"/>
        <v>0</v>
      </c>
      <c r="EG203" s="100">
        <f t="shared" si="1441"/>
        <v>2429395</v>
      </c>
      <c r="EH203" s="100">
        <f t="shared" si="1441"/>
        <v>45419385</v>
      </c>
      <c r="EI203" s="100">
        <f t="shared" si="1441"/>
        <v>0</v>
      </c>
      <c r="EJ203" s="100">
        <f t="shared" si="1441"/>
        <v>0</v>
      </c>
      <c r="EK203" s="100">
        <f t="shared" si="1441"/>
        <v>0</v>
      </c>
      <c r="EL203" s="100">
        <f t="shared" si="1441"/>
        <v>0</v>
      </c>
      <c r="EM203" s="100">
        <f t="shared" si="1441"/>
        <v>0</v>
      </c>
      <c r="EN203" s="100">
        <f t="shared" si="1441"/>
        <v>0</v>
      </c>
      <c r="EO203" s="728">
        <f t="shared" si="1441"/>
        <v>2429395</v>
      </c>
      <c r="EP203" s="728">
        <f t="shared" si="1441"/>
        <v>45419385</v>
      </c>
      <c r="EQ203" s="100">
        <f t="shared" ref="EQ203:HB203" si="1442">SUM(EQ204:EQ240)</f>
        <v>0</v>
      </c>
      <c r="ER203" s="100">
        <f t="shared" si="1442"/>
        <v>0</v>
      </c>
      <c r="ES203" s="100">
        <f t="shared" si="1442"/>
        <v>495482</v>
      </c>
      <c r="ET203" s="100">
        <f t="shared" si="1442"/>
        <v>31533909</v>
      </c>
      <c r="EU203" s="100">
        <f t="shared" si="1442"/>
        <v>0</v>
      </c>
      <c r="EV203" s="100">
        <f t="shared" si="1442"/>
        <v>0</v>
      </c>
      <c r="EW203" s="100">
        <f t="shared" si="1442"/>
        <v>5452742</v>
      </c>
      <c r="EX203" s="100">
        <f t="shared" si="1442"/>
        <v>133465749</v>
      </c>
      <c r="EY203" s="100">
        <f t="shared" si="1442"/>
        <v>0</v>
      </c>
      <c r="EZ203" s="100">
        <f t="shared" si="1442"/>
        <v>0</v>
      </c>
      <c r="FA203" s="100">
        <f t="shared" si="1442"/>
        <v>9253</v>
      </c>
      <c r="FB203" s="100">
        <f t="shared" si="1442"/>
        <v>157301</v>
      </c>
      <c r="FC203" s="100">
        <f t="shared" si="1442"/>
        <v>547</v>
      </c>
      <c r="FD203" s="100">
        <f t="shared" si="1442"/>
        <v>7111</v>
      </c>
      <c r="FE203" s="728">
        <f t="shared" si="1442"/>
        <v>5958024</v>
      </c>
      <c r="FF203" s="728">
        <f t="shared" si="1442"/>
        <v>165164070</v>
      </c>
      <c r="FG203" s="100">
        <f t="shared" si="1442"/>
        <v>0</v>
      </c>
      <c r="FH203" s="100">
        <f t="shared" si="1442"/>
        <v>0</v>
      </c>
      <c r="FI203" s="100">
        <f t="shared" si="1442"/>
        <v>123000</v>
      </c>
      <c r="FJ203" s="100">
        <f t="shared" si="1442"/>
        <v>7380000</v>
      </c>
      <c r="FK203" s="100">
        <f t="shared" si="1442"/>
        <v>0</v>
      </c>
      <c r="FL203" s="100">
        <f t="shared" si="1442"/>
        <v>0</v>
      </c>
      <c r="FM203" s="100">
        <f t="shared" si="1442"/>
        <v>223510</v>
      </c>
      <c r="FN203" s="100">
        <f t="shared" si="1442"/>
        <v>5593626</v>
      </c>
      <c r="FO203" s="100">
        <f t="shared" si="1442"/>
        <v>0</v>
      </c>
      <c r="FP203" s="100">
        <f t="shared" si="1442"/>
        <v>0</v>
      </c>
      <c r="FQ203" s="100">
        <f t="shared" si="1442"/>
        <v>0</v>
      </c>
      <c r="FR203" s="100">
        <f t="shared" si="1442"/>
        <v>0</v>
      </c>
      <c r="FS203" s="100">
        <f t="shared" si="1442"/>
        <v>68800</v>
      </c>
      <c r="FT203" s="100">
        <f t="shared" si="1442"/>
        <v>2064000</v>
      </c>
      <c r="FU203" s="728">
        <f t="shared" si="1442"/>
        <v>415310</v>
      </c>
      <c r="FV203" s="728">
        <f t="shared" si="1442"/>
        <v>15037626</v>
      </c>
      <c r="FW203" s="100">
        <f t="shared" si="1442"/>
        <v>0</v>
      </c>
      <c r="FX203" s="100">
        <f t="shared" si="1442"/>
        <v>0</v>
      </c>
      <c r="FY203" s="100">
        <f t="shared" si="1442"/>
        <v>0</v>
      </c>
      <c r="FZ203" s="100">
        <f t="shared" si="1442"/>
        <v>0</v>
      </c>
      <c r="GA203" s="100">
        <f t="shared" si="1442"/>
        <v>0</v>
      </c>
      <c r="GB203" s="100">
        <f t="shared" si="1442"/>
        <v>0</v>
      </c>
      <c r="GC203" s="100">
        <f t="shared" si="1442"/>
        <v>327100</v>
      </c>
      <c r="GD203" s="100">
        <f t="shared" si="1442"/>
        <v>6904375</v>
      </c>
      <c r="GE203" s="100">
        <f t="shared" si="1442"/>
        <v>0</v>
      </c>
      <c r="GF203" s="100">
        <f t="shared" si="1442"/>
        <v>0</v>
      </c>
      <c r="GG203" s="100">
        <f t="shared" si="1442"/>
        <v>0</v>
      </c>
      <c r="GH203" s="100">
        <f t="shared" si="1442"/>
        <v>0</v>
      </c>
      <c r="GI203" s="100">
        <f t="shared" si="1442"/>
        <v>0</v>
      </c>
      <c r="GJ203" s="100">
        <f t="shared" si="1442"/>
        <v>0</v>
      </c>
      <c r="GK203" s="728">
        <f t="shared" si="1442"/>
        <v>327100</v>
      </c>
      <c r="GL203" s="728">
        <f t="shared" si="1442"/>
        <v>6904375</v>
      </c>
      <c r="GM203" s="100">
        <f t="shared" si="1442"/>
        <v>0</v>
      </c>
      <c r="GN203" s="100">
        <f t="shared" si="1442"/>
        <v>0</v>
      </c>
      <c r="GO203" s="100">
        <f t="shared" si="1442"/>
        <v>0</v>
      </c>
      <c r="GP203" s="100">
        <f t="shared" si="1442"/>
        <v>0</v>
      </c>
      <c r="GQ203" s="100">
        <f t="shared" si="1442"/>
        <v>0</v>
      </c>
      <c r="GR203" s="100">
        <f t="shared" si="1442"/>
        <v>0</v>
      </c>
      <c r="GS203" s="100">
        <f t="shared" si="1442"/>
        <v>160600</v>
      </c>
      <c r="GT203" s="100">
        <f t="shared" si="1442"/>
        <v>3133350</v>
      </c>
      <c r="GU203" s="100">
        <f t="shared" si="1442"/>
        <v>0</v>
      </c>
      <c r="GV203" s="100">
        <f t="shared" si="1442"/>
        <v>0</v>
      </c>
      <c r="GW203" s="100">
        <f t="shared" si="1442"/>
        <v>0</v>
      </c>
      <c r="GX203" s="100">
        <f t="shared" si="1442"/>
        <v>0</v>
      </c>
      <c r="GY203" s="100">
        <f t="shared" si="1442"/>
        <v>110</v>
      </c>
      <c r="GZ203" s="100">
        <f t="shared" si="1442"/>
        <v>2920</v>
      </c>
      <c r="HA203" s="728">
        <f t="shared" si="1442"/>
        <v>160710</v>
      </c>
      <c r="HB203" s="728">
        <f t="shared" si="1442"/>
        <v>3136270</v>
      </c>
      <c r="HC203" s="100">
        <f t="shared" ref="HC203:JN203" si="1443">SUM(HC204:HC240)</f>
        <v>0</v>
      </c>
      <c r="HD203" s="100">
        <f t="shared" si="1443"/>
        <v>0</v>
      </c>
      <c r="HE203" s="100">
        <f t="shared" si="1443"/>
        <v>110000</v>
      </c>
      <c r="HF203" s="100">
        <f t="shared" si="1443"/>
        <v>7480000</v>
      </c>
      <c r="HG203" s="100">
        <f t="shared" si="1443"/>
        <v>0</v>
      </c>
      <c r="HH203" s="100">
        <f t="shared" si="1443"/>
        <v>0</v>
      </c>
      <c r="HI203" s="100">
        <f t="shared" si="1443"/>
        <v>607000</v>
      </c>
      <c r="HJ203" s="100">
        <f t="shared" si="1443"/>
        <v>11154000</v>
      </c>
      <c r="HK203" s="100">
        <f t="shared" si="1443"/>
        <v>0</v>
      </c>
      <c r="HL203" s="100">
        <f t="shared" si="1443"/>
        <v>0</v>
      </c>
      <c r="HM203" s="100">
        <f t="shared" si="1443"/>
        <v>0</v>
      </c>
      <c r="HN203" s="100">
        <f t="shared" si="1443"/>
        <v>0</v>
      </c>
      <c r="HO203" s="100">
        <f t="shared" si="1443"/>
        <v>350000</v>
      </c>
      <c r="HP203" s="100">
        <f t="shared" si="1443"/>
        <v>7700000</v>
      </c>
      <c r="HQ203" s="728">
        <f t="shared" si="1443"/>
        <v>1067000</v>
      </c>
      <c r="HR203" s="728">
        <f t="shared" si="1443"/>
        <v>26334000</v>
      </c>
      <c r="HS203" s="100">
        <f t="shared" si="1443"/>
        <v>0</v>
      </c>
      <c r="HT203" s="100">
        <f t="shared" si="1443"/>
        <v>0</v>
      </c>
      <c r="HU203" s="100">
        <f t="shared" si="1443"/>
        <v>0</v>
      </c>
      <c r="HV203" s="100">
        <f t="shared" si="1443"/>
        <v>0</v>
      </c>
      <c r="HW203" s="100">
        <f t="shared" si="1443"/>
        <v>0</v>
      </c>
      <c r="HX203" s="100">
        <f t="shared" si="1443"/>
        <v>0</v>
      </c>
      <c r="HY203" s="100">
        <f t="shared" si="1443"/>
        <v>146480</v>
      </c>
      <c r="HZ203" s="100">
        <f t="shared" si="1443"/>
        <v>2671646</v>
      </c>
      <c r="IA203" s="100">
        <f t="shared" si="1443"/>
        <v>0</v>
      </c>
      <c r="IB203" s="100">
        <f t="shared" si="1443"/>
        <v>0</v>
      </c>
      <c r="IC203" s="100">
        <f t="shared" si="1443"/>
        <v>0</v>
      </c>
      <c r="ID203" s="100">
        <f t="shared" si="1443"/>
        <v>0</v>
      </c>
      <c r="IE203" s="100">
        <f t="shared" si="1443"/>
        <v>1200</v>
      </c>
      <c r="IF203" s="100">
        <f t="shared" si="1443"/>
        <v>24000</v>
      </c>
      <c r="IG203" s="728">
        <f t="shared" si="1443"/>
        <v>147680</v>
      </c>
      <c r="IH203" s="728">
        <f t="shared" si="1443"/>
        <v>2695646</v>
      </c>
      <c r="II203" s="100">
        <f t="shared" si="1443"/>
        <v>0</v>
      </c>
      <c r="IJ203" s="100">
        <f t="shared" si="1443"/>
        <v>0</v>
      </c>
      <c r="IK203" s="100">
        <f t="shared" si="1443"/>
        <v>0</v>
      </c>
      <c r="IL203" s="100">
        <f t="shared" si="1443"/>
        <v>0</v>
      </c>
      <c r="IM203" s="100">
        <f t="shared" si="1443"/>
        <v>0</v>
      </c>
      <c r="IN203" s="100">
        <f t="shared" si="1443"/>
        <v>0</v>
      </c>
      <c r="IO203" s="96">
        <f t="shared" si="1443"/>
        <v>947000</v>
      </c>
      <c r="IP203" s="96">
        <f t="shared" si="1443"/>
        <v>19362300</v>
      </c>
      <c r="IQ203" s="100">
        <f t="shared" si="1443"/>
        <v>0</v>
      </c>
      <c r="IR203" s="100">
        <f t="shared" si="1443"/>
        <v>0</v>
      </c>
      <c r="IS203" s="100">
        <f t="shared" si="1443"/>
        <v>0</v>
      </c>
      <c r="IT203" s="100">
        <f t="shared" si="1443"/>
        <v>0</v>
      </c>
      <c r="IU203" s="100">
        <f t="shared" si="1443"/>
        <v>0</v>
      </c>
      <c r="IV203" s="100">
        <f t="shared" si="1443"/>
        <v>0</v>
      </c>
      <c r="IW203" s="728">
        <f t="shared" si="1443"/>
        <v>947000</v>
      </c>
      <c r="IX203" s="728">
        <f t="shared" si="1443"/>
        <v>19362300</v>
      </c>
      <c r="IY203" s="100">
        <f t="shared" si="1443"/>
        <v>0</v>
      </c>
      <c r="IZ203" s="100">
        <f t="shared" si="1443"/>
        <v>0</v>
      </c>
      <c r="JA203" s="100">
        <f t="shared" si="1443"/>
        <v>0</v>
      </c>
      <c r="JB203" s="100">
        <f t="shared" si="1443"/>
        <v>0</v>
      </c>
      <c r="JC203" s="100">
        <f t="shared" si="1443"/>
        <v>0</v>
      </c>
      <c r="JD203" s="100">
        <f t="shared" si="1443"/>
        <v>0</v>
      </c>
      <c r="JE203" s="100">
        <f t="shared" si="1443"/>
        <v>365830</v>
      </c>
      <c r="JF203" s="100">
        <f t="shared" si="1443"/>
        <v>6950060</v>
      </c>
      <c r="JG203" s="100">
        <f t="shared" si="1443"/>
        <v>0</v>
      </c>
      <c r="JH203" s="100">
        <f t="shared" si="1443"/>
        <v>0</v>
      </c>
      <c r="JI203" s="100">
        <f t="shared" si="1443"/>
        <v>0</v>
      </c>
      <c r="JJ203" s="100">
        <f t="shared" si="1443"/>
        <v>0</v>
      </c>
      <c r="JK203" s="100">
        <f t="shared" si="1443"/>
        <v>9540</v>
      </c>
      <c r="JL203" s="100">
        <f t="shared" si="1443"/>
        <v>179980</v>
      </c>
      <c r="JM203" s="728">
        <f t="shared" si="1443"/>
        <v>375370</v>
      </c>
      <c r="JN203" s="728">
        <f t="shared" si="1443"/>
        <v>7130040</v>
      </c>
      <c r="JO203" s="100">
        <f t="shared" ref="JO203:LZ203" si="1444">SUM(JO204:JO240)</f>
        <v>0</v>
      </c>
      <c r="JP203" s="100">
        <f t="shared" si="1444"/>
        <v>0</v>
      </c>
      <c r="JQ203" s="100">
        <f t="shared" si="1444"/>
        <v>113354</v>
      </c>
      <c r="JR203" s="100">
        <f t="shared" si="1444"/>
        <v>9068320</v>
      </c>
      <c r="JS203" s="100">
        <f t="shared" si="1444"/>
        <v>0</v>
      </c>
      <c r="JT203" s="100">
        <f t="shared" si="1444"/>
        <v>0</v>
      </c>
      <c r="JU203" s="100">
        <f t="shared" si="1444"/>
        <v>80718</v>
      </c>
      <c r="JV203" s="100">
        <f t="shared" si="1444"/>
        <v>2087800</v>
      </c>
      <c r="JW203" s="100">
        <f t="shared" si="1444"/>
        <v>0</v>
      </c>
      <c r="JX203" s="100">
        <f t="shared" si="1444"/>
        <v>0</v>
      </c>
      <c r="JY203" s="100">
        <f t="shared" si="1444"/>
        <v>0</v>
      </c>
      <c r="JZ203" s="100">
        <f t="shared" si="1444"/>
        <v>0</v>
      </c>
      <c r="KA203" s="100">
        <f t="shared" si="1444"/>
        <v>0</v>
      </c>
      <c r="KB203" s="100">
        <f t="shared" si="1444"/>
        <v>0</v>
      </c>
      <c r="KC203" s="728">
        <f t="shared" si="1444"/>
        <v>194072</v>
      </c>
      <c r="KD203" s="728">
        <f t="shared" si="1444"/>
        <v>11156120</v>
      </c>
      <c r="KE203" s="100">
        <f t="shared" si="1444"/>
        <v>0</v>
      </c>
      <c r="KF203" s="100">
        <f t="shared" si="1444"/>
        <v>0</v>
      </c>
      <c r="KG203" s="100">
        <f t="shared" si="1444"/>
        <v>48511</v>
      </c>
      <c r="KH203" s="100">
        <f t="shared" si="1444"/>
        <v>3384330</v>
      </c>
      <c r="KI203" s="100">
        <f t="shared" si="1444"/>
        <v>0</v>
      </c>
      <c r="KJ203" s="100">
        <f t="shared" si="1444"/>
        <v>0</v>
      </c>
      <c r="KK203" s="100">
        <f t="shared" si="1444"/>
        <v>60132</v>
      </c>
      <c r="KL203" s="100">
        <f t="shared" si="1444"/>
        <v>1208140</v>
      </c>
      <c r="KM203" s="100">
        <f t="shared" si="1444"/>
        <v>0</v>
      </c>
      <c r="KN203" s="100">
        <f t="shared" si="1444"/>
        <v>0</v>
      </c>
      <c r="KO203" s="100">
        <f t="shared" si="1444"/>
        <v>0</v>
      </c>
      <c r="KP203" s="100">
        <f t="shared" si="1444"/>
        <v>0</v>
      </c>
      <c r="KQ203" s="100">
        <f t="shared" si="1444"/>
        <v>0</v>
      </c>
      <c r="KR203" s="100">
        <f t="shared" si="1444"/>
        <v>0</v>
      </c>
      <c r="KS203" s="728">
        <f t="shared" si="1444"/>
        <v>108643</v>
      </c>
      <c r="KT203" s="728">
        <f t="shared" si="1444"/>
        <v>4592470</v>
      </c>
      <c r="KU203" s="100">
        <f t="shared" si="1444"/>
        <v>0</v>
      </c>
      <c r="KV203" s="100">
        <f t="shared" si="1444"/>
        <v>0</v>
      </c>
      <c r="KW203" s="100">
        <f t="shared" si="1444"/>
        <v>822902.13000000012</v>
      </c>
      <c r="KX203" s="100">
        <f t="shared" si="1444"/>
        <v>14595018</v>
      </c>
      <c r="KY203" s="100">
        <f t="shared" si="1444"/>
        <v>0</v>
      </c>
      <c r="KZ203" s="100">
        <f t="shared" si="1444"/>
        <v>0</v>
      </c>
      <c r="LA203" s="100">
        <f t="shared" si="1444"/>
        <v>1033144.37</v>
      </c>
      <c r="LB203" s="100">
        <f t="shared" si="1444"/>
        <v>18839805</v>
      </c>
      <c r="LC203" s="100">
        <f t="shared" si="1444"/>
        <v>0</v>
      </c>
      <c r="LD203" s="100">
        <f t="shared" si="1444"/>
        <v>0</v>
      </c>
      <c r="LE203" s="100">
        <f t="shared" si="1444"/>
        <v>0</v>
      </c>
      <c r="LF203" s="100">
        <f t="shared" si="1444"/>
        <v>0</v>
      </c>
      <c r="LG203" s="100">
        <f t="shared" si="1444"/>
        <v>9361.27</v>
      </c>
      <c r="LH203" s="100">
        <f t="shared" si="1444"/>
        <v>224670</v>
      </c>
      <c r="LI203" s="728">
        <f t="shared" si="1444"/>
        <v>1865407.77</v>
      </c>
      <c r="LJ203" s="728">
        <f t="shared" si="1444"/>
        <v>33659493</v>
      </c>
      <c r="LK203" s="100">
        <f t="shared" si="1444"/>
        <v>0</v>
      </c>
      <c r="LL203" s="100">
        <f t="shared" si="1444"/>
        <v>0</v>
      </c>
      <c r="LM203" s="100">
        <f t="shared" si="1444"/>
        <v>0</v>
      </c>
      <c r="LN203" s="100">
        <f t="shared" si="1444"/>
        <v>0</v>
      </c>
      <c r="LO203" s="100">
        <f t="shared" si="1444"/>
        <v>0</v>
      </c>
      <c r="LP203" s="100">
        <f t="shared" si="1444"/>
        <v>0</v>
      </c>
      <c r="LQ203" s="100">
        <f t="shared" si="1444"/>
        <v>178260</v>
      </c>
      <c r="LR203" s="100">
        <f t="shared" si="1444"/>
        <v>3589407</v>
      </c>
      <c r="LS203" s="100">
        <f t="shared" si="1444"/>
        <v>0</v>
      </c>
      <c r="LT203" s="100">
        <f t="shared" si="1444"/>
        <v>0</v>
      </c>
      <c r="LU203" s="100">
        <f t="shared" si="1444"/>
        <v>0</v>
      </c>
      <c r="LV203" s="100">
        <f t="shared" si="1444"/>
        <v>0</v>
      </c>
      <c r="LW203" s="100">
        <f t="shared" si="1444"/>
        <v>2153</v>
      </c>
      <c r="LX203" s="100">
        <f t="shared" si="1444"/>
        <v>68896</v>
      </c>
      <c r="LY203" s="728">
        <f t="shared" si="1444"/>
        <v>180413</v>
      </c>
      <c r="LZ203" s="728">
        <f t="shared" si="1444"/>
        <v>3658303</v>
      </c>
      <c r="MA203" s="100">
        <f t="shared" ref="MA203:OL203" si="1445">SUM(MA204:MA240)</f>
        <v>31100</v>
      </c>
      <c r="MB203" s="100">
        <f t="shared" si="1445"/>
        <v>2643500</v>
      </c>
      <c r="MC203" s="100">
        <f t="shared" si="1445"/>
        <v>1216800</v>
      </c>
      <c r="MD203" s="100">
        <f t="shared" si="1445"/>
        <v>64404100</v>
      </c>
      <c r="ME203" s="100">
        <f t="shared" si="1445"/>
        <v>0</v>
      </c>
      <c r="MF203" s="100">
        <f t="shared" si="1445"/>
        <v>0</v>
      </c>
      <c r="MG203" s="100">
        <f t="shared" si="1445"/>
        <v>91150</v>
      </c>
      <c r="MH203" s="100">
        <f t="shared" si="1445"/>
        <v>1690950</v>
      </c>
      <c r="MI203" s="100">
        <f t="shared" si="1445"/>
        <v>0</v>
      </c>
      <c r="MJ203" s="100">
        <f t="shared" si="1445"/>
        <v>0</v>
      </c>
      <c r="MK203" s="100">
        <f t="shared" si="1445"/>
        <v>0</v>
      </c>
      <c r="ML203" s="100">
        <f t="shared" si="1445"/>
        <v>0</v>
      </c>
      <c r="MM203" s="100">
        <f t="shared" si="1445"/>
        <v>600</v>
      </c>
      <c r="MN203" s="100">
        <f t="shared" si="1445"/>
        <v>10800</v>
      </c>
      <c r="MO203" s="728">
        <f t="shared" si="1445"/>
        <v>1339650</v>
      </c>
      <c r="MP203" s="728">
        <f t="shared" si="1445"/>
        <v>68749350</v>
      </c>
      <c r="MQ203" s="100">
        <f t="shared" si="1445"/>
        <v>0</v>
      </c>
      <c r="MR203" s="100">
        <f t="shared" si="1445"/>
        <v>0</v>
      </c>
      <c r="MS203" s="100">
        <f t="shared" si="1445"/>
        <v>113754</v>
      </c>
      <c r="MT203" s="100">
        <f t="shared" si="1445"/>
        <v>6767775</v>
      </c>
      <c r="MU203" s="100">
        <f t="shared" si="1445"/>
        <v>0</v>
      </c>
      <c r="MV203" s="100">
        <f t="shared" si="1445"/>
        <v>0</v>
      </c>
      <c r="MW203" s="100">
        <f t="shared" si="1445"/>
        <v>14909</v>
      </c>
      <c r="MX203" s="100">
        <f t="shared" si="1445"/>
        <v>343257</v>
      </c>
      <c r="MY203" s="100">
        <f t="shared" si="1445"/>
        <v>0</v>
      </c>
      <c r="MZ203" s="100">
        <f t="shared" si="1445"/>
        <v>0</v>
      </c>
      <c r="NA203" s="100">
        <f t="shared" si="1445"/>
        <v>0</v>
      </c>
      <c r="NB203" s="100">
        <f t="shared" si="1445"/>
        <v>0</v>
      </c>
      <c r="NC203" s="100">
        <f t="shared" si="1445"/>
        <v>0</v>
      </c>
      <c r="ND203" s="100">
        <f t="shared" si="1445"/>
        <v>0</v>
      </c>
      <c r="NE203" s="728">
        <f t="shared" si="1445"/>
        <v>128663</v>
      </c>
      <c r="NF203" s="728">
        <f t="shared" si="1445"/>
        <v>7111032</v>
      </c>
      <c r="NG203" s="100">
        <f t="shared" si="1445"/>
        <v>0</v>
      </c>
      <c r="NH203" s="100">
        <f t="shared" si="1445"/>
        <v>0</v>
      </c>
      <c r="NI203" s="100">
        <f t="shared" si="1445"/>
        <v>6777800</v>
      </c>
      <c r="NJ203" s="100">
        <f t="shared" si="1445"/>
        <v>153266840</v>
      </c>
      <c r="NK203" s="100">
        <f t="shared" si="1445"/>
        <v>0</v>
      </c>
      <c r="NL203" s="100">
        <f t="shared" si="1445"/>
        <v>0</v>
      </c>
      <c r="NM203" s="100">
        <f t="shared" si="1445"/>
        <v>1522100</v>
      </c>
      <c r="NN203" s="100">
        <f t="shared" si="1445"/>
        <v>24549800</v>
      </c>
      <c r="NO203" s="100">
        <f t="shared" si="1445"/>
        <v>0</v>
      </c>
      <c r="NP203" s="100">
        <f t="shared" si="1445"/>
        <v>0</v>
      </c>
      <c r="NQ203" s="100">
        <f t="shared" si="1445"/>
        <v>22862</v>
      </c>
      <c r="NR203" s="100">
        <f t="shared" si="1445"/>
        <v>413456</v>
      </c>
      <c r="NS203" s="100">
        <f t="shared" si="1445"/>
        <v>0</v>
      </c>
      <c r="NT203" s="100">
        <f t="shared" si="1445"/>
        <v>0</v>
      </c>
      <c r="NU203" s="728">
        <f t="shared" si="1445"/>
        <v>8322762</v>
      </c>
      <c r="NV203" s="728">
        <f t="shared" si="1445"/>
        <v>178230096</v>
      </c>
      <c r="NW203" s="100">
        <f t="shared" si="1445"/>
        <v>4965</v>
      </c>
      <c r="NX203" s="100">
        <f t="shared" si="1445"/>
        <v>163000</v>
      </c>
      <c r="NY203" s="100">
        <f t="shared" si="1445"/>
        <v>953702</v>
      </c>
      <c r="NZ203" s="100">
        <f t="shared" si="1445"/>
        <v>47228040</v>
      </c>
      <c r="OA203" s="100">
        <f t="shared" si="1445"/>
        <v>0</v>
      </c>
      <c r="OB203" s="100">
        <f t="shared" si="1445"/>
        <v>0</v>
      </c>
      <c r="OC203" s="100">
        <f t="shared" si="1445"/>
        <v>50728</v>
      </c>
      <c r="OD203" s="100">
        <f t="shared" si="1445"/>
        <v>968032</v>
      </c>
      <c r="OE203" s="100">
        <f t="shared" si="1445"/>
        <v>0</v>
      </c>
      <c r="OF203" s="100">
        <f t="shared" si="1445"/>
        <v>0</v>
      </c>
      <c r="OG203" s="100">
        <f t="shared" si="1445"/>
        <v>0</v>
      </c>
      <c r="OH203" s="100">
        <f t="shared" si="1445"/>
        <v>0</v>
      </c>
      <c r="OI203" s="100">
        <f t="shared" si="1445"/>
        <v>0</v>
      </c>
      <c r="OJ203" s="100">
        <f t="shared" si="1445"/>
        <v>0</v>
      </c>
      <c r="OK203" s="728">
        <f t="shared" si="1445"/>
        <v>1009395</v>
      </c>
      <c r="OL203" s="728">
        <f t="shared" si="1445"/>
        <v>48359072</v>
      </c>
      <c r="OM203" s="100">
        <f t="shared" ref="OM203:QX203" si="1446">SUM(OM204:OM240)</f>
        <v>55872220</v>
      </c>
      <c r="ON203" s="100">
        <f t="shared" si="1446"/>
        <v>143970250</v>
      </c>
      <c r="OO203" s="100">
        <f t="shared" si="1446"/>
        <v>434000</v>
      </c>
      <c r="OP203" s="100">
        <f t="shared" si="1446"/>
        <v>24848330</v>
      </c>
      <c r="OQ203" s="100">
        <f t="shared" si="1446"/>
        <v>0</v>
      </c>
      <c r="OR203" s="100">
        <f t="shared" si="1446"/>
        <v>0</v>
      </c>
      <c r="OS203" s="100">
        <f t="shared" si="1446"/>
        <v>33802</v>
      </c>
      <c r="OT203" s="100">
        <f t="shared" si="1446"/>
        <v>732723</v>
      </c>
      <c r="OU203" s="100">
        <f t="shared" si="1446"/>
        <v>0</v>
      </c>
      <c r="OV203" s="100">
        <f t="shared" si="1446"/>
        <v>0</v>
      </c>
      <c r="OW203" s="100">
        <f t="shared" si="1446"/>
        <v>0</v>
      </c>
      <c r="OX203" s="100">
        <f t="shared" si="1446"/>
        <v>0</v>
      </c>
      <c r="OY203" s="100">
        <f t="shared" si="1446"/>
        <v>0</v>
      </c>
      <c r="OZ203" s="100">
        <f t="shared" si="1446"/>
        <v>0</v>
      </c>
      <c r="PA203" s="728">
        <f t="shared" si="1446"/>
        <v>56340022</v>
      </c>
      <c r="PB203" s="728">
        <f t="shared" si="1446"/>
        <v>169551303</v>
      </c>
      <c r="PC203" s="100">
        <f t="shared" si="1446"/>
        <v>64</v>
      </c>
      <c r="PD203" s="100">
        <f t="shared" si="1446"/>
        <v>3200</v>
      </c>
      <c r="PE203" s="100">
        <f t="shared" si="1446"/>
        <v>19330</v>
      </c>
      <c r="PF203" s="100">
        <f t="shared" si="1446"/>
        <v>1353100</v>
      </c>
      <c r="PG203" s="100">
        <f t="shared" si="1446"/>
        <v>0</v>
      </c>
      <c r="PH203" s="100">
        <f t="shared" si="1446"/>
        <v>0</v>
      </c>
      <c r="PI203" s="100">
        <f t="shared" si="1446"/>
        <v>429214</v>
      </c>
      <c r="PJ203" s="100">
        <f t="shared" si="1446"/>
        <v>7837655</v>
      </c>
      <c r="PK203" s="100">
        <f t="shared" si="1446"/>
        <v>0</v>
      </c>
      <c r="PL203" s="100">
        <f t="shared" si="1446"/>
        <v>0</v>
      </c>
      <c r="PM203" s="100">
        <f t="shared" si="1446"/>
        <v>0</v>
      </c>
      <c r="PN203" s="100">
        <f t="shared" si="1446"/>
        <v>0</v>
      </c>
      <c r="PO203" s="100">
        <f t="shared" si="1446"/>
        <v>0</v>
      </c>
      <c r="PP203" s="100">
        <f t="shared" si="1446"/>
        <v>0</v>
      </c>
      <c r="PQ203" s="728">
        <f t="shared" si="1446"/>
        <v>448608</v>
      </c>
      <c r="PR203" s="728">
        <f t="shared" si="1446"/>
        <v>9193955</v>
      </c>
      <c r="PS203" s="100">
        <f t="shared" si="1446"/>
        <v>0</v>
      </c>
      <c r="PT203" s="100">
        <f t="shared" si="1446"/>
        <v>0</v>
      </c>
      <c r="PU203" s="100">
        <f t="shared" si="1446"/>
        <v>771680</v>
      </c>
      <c r="PV203" s="100">
        <f t="shared" si="1446"/>
        <v>31189880</v>
      </c>
      <c r="PW203" s="100">
        <f t="shared" si="1446"/>
        <v>0</v>
      </c>
      <c r="PX203" s="100">
        <f t="shared" si="1446"/>
        <v>0</v>
      </c>
      <c r="PY203" s="100">
        <f t="shared" si="1446"/>
        <v>833420</v>
      </c>
      <c r="PZ203" s="100">
        <f t="shared" si="1446"/>
        <v>16941020</v>
      </c>
      <c r="QA203" s="100">
        <f>SUM(QA204:QA240)</f>
        <v>1111220</v>
      </c>
      <c r="QB203" s="100">
        <f>SUM(QB204:QB240)</f>
        <v>32136560</v>
      </c>
      <c r="QC203" s="100">
        <f t="shared" si="1446"/>
        <v>370410</v>
      </c>
      <c r="QD203" s="100">
        <f t="shared" si="1446"/>
        <v>6927420</v>
      </c>
      <c r="QE203" s="100">
        <f t="shared" si="1446"/>
        <v>0</v>
      </c>
      <c r="QF203" s="100">
        <f t="shared" si="1446"/>
        <v>0</v>
      </c>
      <c r="QG203" s="728">
        <f t="shared" si="1446"/>
        <v>3086730</v>
      </c>
      <c r="QH203" s="728">
        <f t="shared" si="1446"/>
        <v>87194880</v>
      </c>
      <c r="QI203" s="100">
        <f t="shared" si="1446"/>
        <v>0</v>
      </c>
      <c r="QJ203" s="100">
        <f t="shared" si="1446"/>
        <v>0</v>
      </c>
      <c r="QK203" s="100">
        <f t="shared" si="1446"/>
        <v>175000</v>
      </c>
      <c r="QL203" s="100">
        <f t="shared" si="1446"/>
        <v>10500000</v>
      </c>
      <c r="QM203" s="100">
        <f t="shared" si="1446"/>
        <v>0</v>
      </c>
      <c r="QN203" s="100">
        <f t="shared" si="1446"/>
        <v>0</v>
      </c>
      <c r="QO203" s="100">
        <f t="shared" si="1446"/>
        <v>4664500</v>
      </c>
      <c r="QP203" s="100">
        <f t="shared" si="1446"/>
        <v>101165000</v>
      </c>
      <c r="QQ203" s="100">
        <f t="shared" si="1446"/>
        <v>0</v>
      </c>
      <c r="QR203" s="100">
        <f t="shared" si="1446"/>
        <v>0</v>
      </c>
      <c r="QS203" s="100">
        <f t="shared" si="1446"/>
        <v>0</v>
      </c>
      <c r="QT203" s="100">
        <f t="shared" si="1446"/>
        <v>0</v>
      </c>
      <c r="QU203" s="100">
        <f t="shared" si="1446"/>
        <v>0</v>
      </c>
      <c r="QV203" s="100">
        <f t="shared" si="1446"/>
        <v>0</v>
      </c>
      <c r="QW203" s="728">
        <f t="shared" si="1446"/>
        <v>4839500</v>
      </c>
      <c r="QX203" s="728">
        <f t="shared" si="1446"/>
        <v>111665000</v>
      </c>
      <c r="QY203" s="100">
        <f t="shared" ref="QY203:TJ203" si="1447">SUM(QY204:QY240)</f>
        <v>0</v>
      </c>
      <c r="QZ203" s="100">
        <f t="shared" si="1447"/>
        <v>0</v>
      </c>
      <c r="RA203" s="100">
        <f t="shared" si="1447"/>
        <v>0</v>
      </c>
      <c r="RB203" s="100">
        <f t="shared" si="1447"/>
        <v>0</v>
      </c>
      <c r="RC203" s="100">
        <f t="shared" si="1447"/>
        <v>0</v>
      </c>
      <c r="RD203" s="100">
        <f t="shared" si="1447"/>
        <v>0</v>
      </c>
      <c r="RE203" s="100">
        <f t="shared" si="1447"/>
        <v>4955</v>
      </c>
      <c r="RF203" s="100">
        <f t="shared" si="1447"/>
        <v>118255</v>
      </c>
      <c r="RG203" s="100">
        <f t="shared" si="1447"/>
        <v>0</v>
      </c>
      <c r="RH203" s="100">
        <f t="shared" si="1447"/>
        <v>0</v>
      </c>
      <c r="RI203" s="100">
        <f t="shared" si="1447"/>
        <v>0</v>
      </c>
      <c r="RJ203" s="100">
        <f t="shared" si="1447"/>
        <v>0</v>
      </c>
      <c r="RK203" s="100">
        <f t="shared" si="1447"/>
        <v>0</v>
      </c>
      <c r="RL203" s="100">
        <f t="shared" si="1447"/>
        <v>0</v>
      </c>
      <c r="RM203" s="728">
        <f t="shared" si="1447"/>
        <v>4955</v>
      </c>
      <c r="RN203" s="728">
        <f t="shared" si="1447"/>
        <v>118255</v>
      </c>
      <c r="RO203" s="100">
        <f t="shared" si="1447"/>
        <v>0</v>
      </c>
      <c r="RP203" s="100">
        <f t="shared" si="1447"/>
        <v>0</v>
      </c>
      <c r="RQ203" s="100">
        <f t="shared" si="1447"/>
        <v>0</v>
      </c>
      <c r="RR203" s="100">
        <f t="shared" si="1447"/>
        <v>0</v>
      </c>
      <c r="RS203" s="100">
        <f t="shared" si="1447"/>
        <v>0</v>
      </c>
      <c r="RT203" s="100">
        <f t="shared" si="1447"/>
        <v>0</v>
      </c>
      <c r="RU203" s="100">
        <f t="shared" si="1447"/>
        <v>18570</v>
      </c>
      <c r="RV203" s="100">
        <f t="shared" si="1447"/>
        <v>392970</v>
      </c>
      <c r="RW203" s="100">
        <f t="shared" si="1447"/>
        <v>0</v>
      </c>
      <c r="RX203" s="100">
        <f t="shared" si="1447"/>
        <v>0</v>
      </c>
      <c r="RY203" s="100">
        <f t="shared" si="1447"/>
        <v>0</v>
      </c>
      <c r="RZ203" s="100">
        <f t="shared" si="1447"/>
        <v>0</v>
      </c>
      <c r="SA203" s="100">
        <f t="shared" si="1447"/>
        <v>0</v>
      </c>
      <c r="SB203" s="100">
        <f t="shared" si="1447"/>
        <v>0</v>
      </c>
      <c r="SC203" s="728">
        <f t="shared" si="1447"/>
        <v>18570</v>
      </c>
      <c r="SD203" s="728">
        <f t="shared" si="1447"/>
        <v>392970</v>
      </c>
      <c r="SE203" s="100">
        <f t="shared" si="1447"/>
        <v>0</v>
      </c>
      <c r="SF203" s="100">
        <f t="shared" si="1447"/>
        <v>0</v>
      </c>
      <c r="SG203" s="100">
        <f t="shared" si="1447"/>
        <v>0</v>
      </c>
      <c r="SH203" s="100">
        <f t="shared" si="1447"/>
        <v>0</v>
      </c>
      <c r="SI203" s="100">
        <f t="shared" si="1447"/>
        <v>0</v>
      </c>
      <c r="SJ203" s="100">
        <f t="shared" si="1447"/>
        <v>0</v>
      </c>
      <c r="SK203" s="100">
        <f t="shared" si="1447"/>
        <v>15500</v>
      </c>
      <c r="SL203" s="100">
        <f t="shared" si="1447"/>
        <v>301700</v>
      </c>
      <c r="SM203" s="100">
        <f t="shared" si="1447"/>
        <v>0</v>
      </c>
      <c r="SN203" s="100">
        <f t="shared" si="1447"/>
        <v>0</v>
      </c>
      <c r="SO203" s="100">
        <f t="shared" si="1447"/>
        <v>0</v>
      </c>
      <c r="SP203" s="100">
        <f t="shared" si="1447"/>
        <v>0</v>
      </c>
      <c r="SQ203" s="100">
        <f t="shared" si="1447"/>
        <v>0</v>
      </c>
      <c r="SR203" s="100">
        <f t="shared" si="1447"/>
        <v>0</v>
      </c>
      <c r="SS203" s="728">
        <f t="shared" si="1447"/>
        <v>15500</v>
      </c>
      <c r="ST203" s="728">
        <f t="shared" si="1447"/>
        <v>301700</v>
      </c>
      <c r="SU203" s="100">
        <f t="shared" si="1447"/>
        <v>0</v>
      </c>
      <c r="SV203" s="100">
        <f t="shared" si="1447"/>
        <v>0</v>
      </c>
      <c r="SW203" s="100">
        <f t="shared" si="1447"/>
        <v>0</v>
      </c>
      <c r="SX203" s="100">
        <f t="shared" si="1447"/>
        <v>0</v>
      </c>
      <c r="SY203" s="100">
        <f t="shared" si="1447"/>
        <v>0</v>
      </c>
      <c r="SZ203" s="100">
        <f t="shared" si="1447"/>
        <v>0</v>
      </c>
      <c r="TA203" s="100">
        <f t="shared" si="1447"/>
        <v>25670</v>
      </c>
      <c r="TB203" s="100">
        <f t="shared" si="1447"/>
        <v>585008</v>
      </c>
      <c r="TC203" s="100">
        <f t="shared" si="1447"/>
        <v>0</v>
      </c>
      <c r="TD203" s="100">
        <f t="shared" si="1447"/>
        <v>0</v>
      </c>
      <c r="TE203" s="100">
        <f t="shared" si="1447"/>
        <v>0</v>
      </c>
      <c r="TF203" s="100">
        <f t="shared" si="1447"/>
        <v>0</v>
      </c>
      <c r="TG203" s="100">
        <f t="shared" si="1447"/>
        <v>0</v>
      </c>
      <c r="TH203" s="100">
        <f t="shared" si="1447"/>
        <v>0</v>
      </c>
      <c r="TI203" s="728">
        <f t="shared" si="1447"/>
        <v>25670</v>
      </c>
      <c r="TJ203" s="728">
        <f t="shared" si="1447"/>
        <v>585008</v>
      </c>
      <c r="TK203" s="100">
        <f t="shared" ref="TK203:VV203" si="1448">SUM(TK204:TK240)</f>
        <v>0</v>
      </c>
      <c r="TL203" s="100">
        <f t="shared" si="1448"/>
        <v>0</v>
      </c>
      <c r="TM203" s="100">
        <f t="shared" si="1448"/>
        <v>0</v>
      </c>
      <c r="TN203" s="100">
        <f t="shared" si="1448"/>
        <v>0</v>
      </c>
      <c r="TO203" s="100">
        <f t="shared" si="1448"/>
        <v>0</v>
      </c>
      <c r="TP203" s="100">
        <f t="shared" si="1448"/>
        <v>0</v>
      </c>
      <c r="TQ203" s="100">
        <f t="shared" si="1448"/>
        <v>13300</v>
      </c>
      <c r="TR203" s="100">
        <f t="shared" si="1448"/>
        <v>274900</v>
      </c>
      <c r="TS203" s="100">
        <f t="shared" si="1448"/>
        <v>0</v>
      </c>
      <c r="TT203" s="100">
        <f t="shared" si="1448"/>
        <v>0</v>
      </c>
      <c r="TU203" s="100">
        <f t="shared" si="1448"/>
        <v>1950</v>
      </c>
      <c r="TV203" s="100">
        <f t="shared" si="1448"/>
        <v>63500</v>
      </c>
      <c r="TW203" s="100">
        <f t="shared" si="1448"/>
        <v>0</v>
      </c>
      <c r="TX203" s="100">
        <f t="shared" si="1448"/>
        <v>0</v>
      </c>
      <c r="TY203" s="728">
        <f t="shared" si="1448"/>
        <v>15250</v>
      </c>
      <c r="TZ203" s="728">
        <f t="shared" si="1448"/>
        <v>338400</v>
      </c>
      <c r="UA203" s="100">
        <f t="shared" si="1448"/>
        <v>0</v>
      </c>
      <c r="UB203" s="100">
        <f t="shared" si="1448"/>
        <v>0</v>
      </c>
      <c r="UC203" s="100">
        <f t="shared" si="1448"/>
        <v>0</v>
      </c>
      <c r="UD203" s="100">
        <f t="shared" si="1448"/>
        <v>0</v>
      </c>
      <c r="UE203" s="100">
        <f t="shared" si="1448"/>
        <v>0</v>
      </c>
      <c r="UF203" s="100">
        <f t="shared" si="1448"/>
        <v>0</v>
      </c>
      <c r="UG203" s="100">
        <f t="shared" si="1448"/>
        <v>18780</v>
      </c>
      <c r="UH203" s="100">
        <f t="shared" si="1448"/>
        <v>343652</v>
      </c>
      <c r="UI203" s="100">
        <f t="shared" si="1448"/>
        <v>0</v>
      </c>
      <c r="UJ203" s="100">
        <f t="shared" si="1448"/>
        <v>0</v>
      </c>
      <c r="UK203" s="100">
        <f t="shared" si="1448"/>
        <v>0</v>
      </c>
      <c r="UL203" s="100">
        <f t="shared" si="1448"/>
        <v>0</v>
      </c>
      <c r="UM203" s="100">
        <f t="shared" si="1448"/>
        <v>0</v>
      </c>
      <c r="UN203" s="100">
        <f t="shared" si="1448"/>
        <v>0</v>
      </c>
      <c r="UO203" s="728">
        <f t="shared" si="1448"/>
        <v>18780</v>
      </c>
      <c r="UP203" s="728">
        <f t="shared" si="1448"/>
        <v>343652</v>
      </c>
      <c r="UQ203" s="100">
        <f t="shared" si="1448"/>
        <v>0</v>
      </c>
      <c r="UR203" s="100">
        <f t="shared" si="1448"/>
        <v>0</v>
      </c>
      <c r="US203" s="100">
        <f t="shared" si="1448"/>
        <v>220694</v>
      </c>
      <c r="UT203" s="100">
        <f t="shared" si="1448"/>
        <v>2449984</v>
      </c>
      <c r="UU203" s="100">
        <f t="shared" si="1448"/>
        <v>0</v>
      </c>
      <c r="UV203" s="100">
        <f t="shared" si="1448"/>
        <v>0</v>
      </c>
      <c r="UW203" s="100">
        <f t="shared" si="1448"/>
        <v>1391</v>
      </c>
      <c r="UX203" s="100">
        <f t="shared" si="1448"/>
        <v>26429</v>
      </c>
      <c r="UY203" s="100">
        <f t="shared" si="1448"/>
        <v>0</v>
      </c>
      <c r="UZ203" s="100">
        <f t="shared" si="1448"/>
        <v>0</v>
      </c>
      <c r="VA203" s="100">
        <f t="shared" si="1448"/>
        <v>0</v>
      </c>
      <c r="VB203" s="100">
        <f t="shared" si="1448"/>
        <v>0</v>
      </c>
      <c r="VC203" s="100">
        <f t="shared" si="1448"/>
        <v>0</v>
      </c>
      <c r="VD203" s="100">
        <f t="shared" si="1448"/>
        <v>0</v>
      </c>
      <c r="VE203" s="728">
        <f t="shared" si="1448"/>
        <v>222085</v>
      </c>
      <c r="VF203" s="728">
        <f t="shared" si="1448"/>
        <v>2476413</v>
      </c>
      <c r="VG203" s="100">
        <f t="shared" si="1448"/>
        <v>0</v>
      </c>
      <c r="VH203" s="100">
        <f t="shared" si="1448"/>
        <v>0</v>
      </c>
      <c r="VI203" s="100">
        <f t="shared" si="1448"/>
        <v>8649</v>
      </c>
      <c r="VJ203" s="100">
        <f t="shared" si="1448"/>
        <v>415971</v>
      </c>
      <c r="VK203" s="100">
        <f t="shared" si="1448"/>
        <v>0</v>
      </c>
      <c r="VL203" s="100">
        <f t="shared" si="1448"/>
        <v>0</v>
      </c>
      <c r="VM203" s="100">
        <f t="shared" si="1448"/>
        <v>17138</v>
      </c>
      <c r="VN203" s="100">
        <f t="shared" si="1448"/>
        <v>343346</v>
      </c>
      <c r="VO203" s="100">
        <f t="shared" si="1448"/>
        <v>0</v>
      </c>
      <c r="VP203" s="100">
        <f t="shared" si="1448"/>
        <v>0</v>
      </c>
      <c r="VQ203" s="100">
        <f t="shared" si="1448"/>
        <v>0</v>
      </c>
      <c r="VR203" s="100">
        <f t="shared" si="1448"/>
        <v>0</v>
      </c>
      <c r="VS203" s="100">
        <f t="shared" si="1448"/>
        <v>0</v>
      </c>
      <c r="VT203" s="100">
        <f t="shared" si="1448"/>
        <v>0</v>
      </c>
      <c r="VU203" s="728">
        <f t="shared" si="1448"/>
        <v>25787</v>
      </c>
      <c r="VV203" s="728">
        <f t="shared" si="1448"/>
        <v>759317</v>
      </c>
      <c r="VW203" s="100">
        <f t="shared" ref="VW203:WL203" si="1449">SUM(VW204:VW240)</f>
        <v>0</v>
      </c>
      <c r="VX203" s="100">
        <f t="shared" si="1449"/>
        <v>0</v>
      </c>
      <c r="VY203" s="100">
        <f t="shared" si="1449"/>
        <v>418408</v>
      </c>
      <c r="VZ203" s="100">
        <f t="shared" si="1449"/>
        <v>14224554</v>
      </c>
      <c r="WA203" s="100">
        <f t="shared" si="1449"/>
        <v>0</v>
      </c>
      <c r="WB203" s="100">
        <f t="shared" si="1449"/>
        <v>0</v>
      </c>
      <c r="WC203" s="100">
        <f t="shared" si="1449"/>
        <v>376408</v>
      </c>
      <c r="WD203" s="100">
        <f t="shared" si="1449"/>
        <v>9533302</v>
      </c>
      <c r="WE203" s="100">
        <f t="shared" si="1449"/>
        <v>0</v>
      </c>
      <c r="WF203" s="100">
        <f t="shared" si="1449"/>
        <v>0</v>
      </c>
      <c r="WG203" s="100">
        <f t="shared" si="1449"/>
        <v>0</v>
      </c>
      <c r="WH203" s="100">
        <f t="shared" si="1449"/>
        <v>0</v>
      </c>
      <c r="WI203" s="100">
        <f t="shared" si="1449"/>
        <v>4452</v>
      </c>
      <c r="WJ203" s="100">
        <f t="shared" si="1449"/>
        <v>97944</v>
      </c>
      <c r="WK203" s="728">
        <f t="shared" si="1449"/>
        <v>799268</v>
      </c>
      <c r="WL203" s="728">
        <f t="shared" si="1449"/>
        <v>23855800</v>
      </c>
      <c r="WM203" s="89"/>
      <c r="WN203" s="96">
        <f t="shared" ref="WN203:XC203" si="1450">SUM(WN204:WN240)</f>
        <v>56556369.690678559</v>
      </c>
      <c r="WO203" s="96">
        <f t="shared" si="1450"/>
        <v>150483603.4533928</v>
      </c>
      <c r="WP203" s="96">
        <f t="shared" si="1450"/>
        <v>22177339.996724516</v>
      </c>
      <c r="WQ203" s="96">
        <f t="shared" si="1450"/>
        <v>768538640.57108498</v>
      </c>
      <c r="WR203" s="96">
        <f t="shared" si="1450"/>
        <v>0</v>
      </c>
      <c r="WS203" s="96">
        <f t="shared" si="1450"/>
        <v>0</v>
      </c>
      <c r="WT203" s="96">
        <f t="shared" si="1450"/>
        <v>31592500.890093613</v>
      </c>
      <c r="WU203" s="96">
        <f t="shared" si="1450"/>
        <v>626527241.29058611</v>
      </c>
      <c r="WV203" s="96">
        <f t="shared" si="1450"/>
        <v>1123305</v>
      </c>
      <c r="WW203" s="96">
        <f t="shared" si="1450"/>
        <v>32448300.006000001</v>
      </c>
      <c r="WX203" s="96">
        <f t="shared" si="1450"/>
        <v>407815</v>
      </c>
      <c r="WY203" s="96">
        <f t="shared" si="1450"/>
        <v>7652852</v>
      </c>
      <c r="WZ203" s="96">
        <f t="shared" si="1450"/>
        <v>453378.27</v>
      </c>
      <c r="XA203" s="96">
        <f t="shared" si="1450"/>
        <v>10528916</v>
      </c>
      <c r="XB203" s="96">
        <f t="shared" si="1450"/>
        <v>112310708.84749672</v>
      </c>
      <c r="XC203" s="96">
        <f t="shared" si="1450"/>
        <v>1596179553.3210638</v>
      </c>
      <c r="XD203" s="89"/>
      <c r="XE203" s="94"/>
      <c r="XF203" s="94"/>
      <c r="XG203" s="89"/>
      <c r="XH203" s="96"/>
      <c r="XI203" s="96"/>
      <c r="XJ203" s="89"/>
      <c r="XK203" s="96"/>
      <c r="XL203" s="96"/>
      <c r="XM203" s="96"/>
      <c r="XN203" s="96"/>
      <c r="XO203" s="96"/>
      <c r="XP203" s="96"/>
      <c r="XQ203" s="96"/>
      <c r="XR203" s="96">
        <f t="shared" ref="XR203" ca="1" si="1451">SUM(XR204:XR240)</f>
        <v>0</v>
      </c>
      <c r="XS203" s="89"/>
      <c r="XT203" s="96"/>
      <c r="XU203" s="96"/>
      <c r="XV203" s="96"/>
      <c r="XW203" s="96"/>
      <c r="XX203" s="96"/>
      <c r="XY203" s="96"/>
      <c r="XZ203" s="96"/>
      <c r="YA203" s="96">
        <f t="shared" ref="YA203" ca="1" si="1452">SUM(YA204:YA240)</f>
        <v>0</v>
      </c>
    </row>
    <row r="204" spans="1:1017">
      <c r="A204" s="98" t="s">
        <v>50</v>
      </c>
      <c r="B204" s="90" t="str">
        <f t="shared" ref="B204:B230" si="1453">B166</f>
        <v xml:space="preserve">Bandeng </v>
      </c>
      <c r="E204" s="98">
        <v>223300</v>
      </c>
      <c r="F204" s="98">
        <v>6699000</v>
      </c>
      <c r="I204" s="98">
        <v>13100</v>
      </c>
      <c r="J204" s="98">
        <v>327500</v>
      </c>
      <c r="Q204" s="91">
        <f t="shared" ref="Q204:Q240" si="1454">SUMIF($C$12:$P$12,$A$1,C204:P204)</f>
        <v>236400</v>
      </c>
      <c r="R204" s="91">
        <f t="shared" ref="R204:R240" si="1455">SUMIF($C$12:$P$12,$A$3,C204:P204)</f>
        <v>7026500</v>
      </c>
      <c r="U204" s="98">
        <v>2800</v>
      </c>
      <c r="V204" s="98">
        <v>56000</v>
      </c>
      <c r="AG204" s="91">
        <f t="shared" ref="AG204:AG240" si="1456">SUMIF($C$12:$P$12,$A$1,S204:AF204)</f>
        <v>2800</v>
      </c>
      <c r="AH204" s="91">
        <f t="shared" ref="AH204:AH240" si="1457">SUMIF($C$12:$P$12,$A$3,S204:AF204)</f>
        <v>56000</v>
      </c>
      <c r="AW204" s="91">
        <f t="shared" ref="AW204:AW240" si="1458">SUMIF($C$12:$P$12,$A$1,AI204:AV204)</f>
        <v>0</v>
      </c>
      <c r="AX204" s="91">
        <f t="shared" ref="AX204:AX240" si="1459">SUMIF($C$12:$P$12,$A$3,AI204:AV204)</f>
        <v>0</v>
      </c>
      <c r="BM204" s="91">
        <f t="shared" ref="BM204:BM240" si="1460">SUMIF($C$12:$P$12,$A$1,AY204:BL204)</f>
        <v>0</v>
      </c>
      <c r="BN204" s="91">
        <f t="shared" ref="BN204:BN240" si="1461">SUMIF($C$12:$P$12,$A$3,AY204:BL204)</f>
        <v>0</v>
      </c>
      <c r="CC204" s="91">
        <f t="shared" ref="CC204:CC240" si="1462">SUMIF($C$12:$P$12,$A$1,BO204:CB204)</f>
        <v>0</v>
      </c>
      <c r="CD204" s="91">
        <f t="shared" ref="CD204:CD240" si="1463">SUMIF($C$12:$P$12,$A$3,BO204:CB204)</f>
        <v>0</v>
      </c>
      <c r="CG204" s="98">
        <v>4077387.6931606713</v>
      </c>
      <c r="CH204" s="98">
        <v>89702529.249534771</v>
      </c>
      <c r="CK204" s="98">
        <v>3915504.8854815308</v>
      </c>
      <c r="CL204" s="98">
        <v>70479087.938667551</v>
      </c>
      <c r="CS204" s="91">
        <f t="shared" ref="CS204" si="1464">SUMIF($C$12:$P$12,$A$1,CE204:CR204)</f>
        <v>7992892.5786422025</v>
      </c>
      <c r="CT204" s="91">
        <f t="shared" ref="CT204" si="1465">SUMIF($C$12:$P$12,$A$3,CE204:CR204)</f>
        <v>160181617.18820232</v>
      </c>
      <c r="CW204" s="98">
        <v>3444.99960732408</v>
      </c>
      <c r="CX204" s="98">
        <v>68899.994000000006</v>
      </c>
      <c r="DI204" s="91">
        <f t="shared" ref="DI204:DI240" si="1466">SUMIF($C$12:$P$12,$A$1,CU204:DH204)</f>
        <v>3444.99960732408</v>
      </c>
      <c r="DJ204" s="91">
        <f t="shared" ref="DJ204:DJ240" si="1467">SUMIF($C$12:$P$12,$A$3,CU204:DH204)</f>
        <v>68899.994000000006</v>
      </c>
      <c r="DY204" s="91">
        <f t="shared" ref="DY204:DY240" si="1468">SUMIF($C$12:$P$12,$A$1,DK204:DX204)</f>
        <v>0</v>
      </c>
      <c r="DZ204" s="91">
        <f t="shared" ref="DZ204:DZ240" si="1469">SUMIF($C$12:$P$12,$A$3,DK204:DX204)</f>
        <v>0</v>
      </c>
      <c r="EO204" s="91">
        <f t="shared" ref="EO204:EO240" si="1470">SUMIF($C$12:$P$12,$A$1,EA204:EN204)</f>
        <v>0</v>
      </c>
      <c r="EP204" s="91">
        <f t="shared" ref="EP204:EP240" si="1471">SUMIF($C$12:$P$12,$A$3,EA204:EN204)</f>
        <v>0</v>
      </c>
      <c r="ES204" s="98">
        <v>52952</v>
      </c>
      <c r="ET204" s="98">
        <v>794280</v>
      </c>
      <c r="EW204" s="98">
        <v>1534236</v>
      </c>
      <c r="EX204" s="98">
        <v>25314894</v>
      </c>
      <c r="FE204" s="91">
        <f t="shared" ref="FE204:FE240" si="1472">SUMIF($C$12:$P$12,$A$1,EQ204:FD204)</f>
        <v>1587188</v>
      </c>
      <c r="FF204" s="91">
        <f t="shared" ref="FF204:FF240" si="1473">SUMIF($C$12:$P$12,$A$3,EQ204:FD204)</f>
        <v>26109174</v>
      </c>
      <c r="FU204" s="91">
        <f t="shared" ref="FU204:FU240" si="1474">SUMIF($C$12:$P$12,$A$1,FG204:FT204)</f>
        <v>0</v>
      </c>
      <c r="FV204" s="91">
        <f t="shared" ref="FV204:FV240" si="1475">SUMIF($C$12:$P$12,$A$3,FG204:FT204)</f>
        <v>0</v>
      </c>
      <c r="GK204" s="91">
        <f t="shared" ref="GK204:GK240" si="1476">SUMIF($C$12:$P$12,$A$1,FW204:GJ204)</f>
        <v>0</v>
      </c>
      <c r="GL204" s="91">
        <f t="shared" ref="GL204:GL240" si="1477">SUMIF($C$12:$P$12,$A$3,FW204:GJ204)</f>
        <v>0</v>
      </c>
      <c r="HA204" s="91">
        <f t="shared" ref="HA204:HA240" si="1478">SUMIF($C$12:$P$12,$A$1,GM204:GZ204)</f>
        <v>0</v>
      </c>
      <c r="HB204" s="91">
        <f t="shared" ref="HB204:HB240" si="1479">SUMIF($C$12:$P$12,$A$3,GM204:GZ204)</f>
        <v>0</v>
      </c>
      <c r="HQ204" s="91">
        <f t="shared" ref="HQ204:HQ240" si="1480">SUMIF($C$12:$P$12,$A$1,HC204:HP204)</f>
        <v>0</v>
      </c>
      <c r="HR204" s="91">
        <f t="shared" ref="HR204:HR240" si="1481">SUMIF($C$12:$P$12,$A$3,HC204:HP204)</f>
        <v>0</v>
      </c>
      <c r="IG204" s="91">
        <f t="shared" ref="IG204:IG240" si="1482">SUMIF($C$12:$P$12,$A$1,HS204:IF204)</f>
        <v>0</v>
      </c>
      <c r="IH204" s="91">
        <f t="shared" ref="IH204:IH240" si="1483">SUMIF($C$12:$P$12,$A$3,HS204:IF204)</f>
        <v>0</v>
      </c>
      <c r="IW204" s="91">
        <f t="shared" ref="IW204:IW240" si="1484">SUMIF($C$12:$P$12,$A$1,II204:IV204)</f>
        <v>0</v>
      </c>
      <c r="IX204" s="91">
        <f t="shared" ref="IX204:IX240" si="1485">SUMIF($C$12:$P$12,$A$3,II204:IV204)</f>
        <v>0</v>
      </c>
      <c r="JM204" s="91">
        <f t="shared" ref="JM204:JM240" si="1486">SUMIF($C$12:$P$12,$A$1,IY204:JL204)</f>
        <v>0</v>
      </c>
      <c r="JN204" s="91">
        <f t="shared" ref="JN204:JN240" si="1487">SUMIF($C$12:$P$12,$A$3,IY204:JL204)</f>
        <v>0</v>
      </c>
      <c r="KC204" s="91">
        <f t="shared" ref="KC204:KC240" si="1488">SUMIF($C$12:$P$12,$A$1,JO204:KB204)</f>
        <v>0</v>
      </c>
      <c r="KD204" s="91">
        <f t="shared" ref="KD204:KD240" si="1489">SUMIF($C$12:$P$12,$A$3,JO204:KB204)</f>
        <v>0</v>
      </c>
      <c r="KG204" s="98">
        <v>286</v>
      </c>
      <c r="KH204" s="98">
        <v>8580</v>
      </c>
      <c r="KS204" s="91">
        <f t="shared" ref="KS204:KS240" si="1490">SUMIF($C$12:$P$12,$A$1,KE204:KR204)</f>
        <v>286</v>
      </c>
      <c r="KT204" s="91">
        <f t="shared" ref="KT204:KT240" si="1491">SUMIF($C$12:$P$12,$A$3,KE204:KR204)</f>
        <v>8580</v>
      </c>
      <c r="KW204" s="98">
        <v>654910.94999999995</v>
      </c>
      <c r="KX204" s="98">
        <v>12443308</v>
      </c>
      <c r="LI204" s="91">
        <f t="shared" ref="LI204:LI240" si="1492">SUMIF($C$12:$P$12,$A$1,KU204:LH204)</f>
        <v>654910.94999999995</v>
      </c>
      <c r="LJ204" s="91">
        <f t="shared" ref="LJ204:LJ240" si="1493">SUMIF($C$12:$P$12,$A$3,KU204:LH204)</f>
        <v>12443308</v>
      </c>
      <c r="LY204" s="91">
        <f t="shared" ref="LY204:LY240" si="1494">SUMIF($C$12:$P$12,$A$1,LK204:LX204)</f>
        <v>0</v>
      </c>
      <c r="LZ204" s="91">
        <f t="shared" ref="LZ204:LZ240" si="1495">SUMIF($C$12:$P$12,$A$3,LK204:LX204)</f>
        <v>0</v>
      </c>
      <c r="MC204" s="98">
        <v>145000</v>
      </c>
      <c r="MD204" s="98">
        <v>2175000</v>
      </c>
      <c r="MO204" s="91">
        <f t="shared" ref="MO204:MO240" si="1496">SUMIF($C$12:$P$12,$A$1,MA204:MN204)</f>
        <v>145000</v>
      </c>
      <c r="MP204" s="91">
        <f t="shared" ref="MP204:MP240" si="1497">SUMIF($C$12:$P$12,$A$3,MA204:MN204)</f>
        <v>2175000</v>
      </c>
      <c r="MS204" s="98">
        <v>13700</v>
      </c>
      <c r="MT204" s="98">
        <v>383600</v>
      </c>
      <c r="NE204" s="91">
        <f t="shared" ref="NE204:NE240" si="1498">SUMIF($C$12:$P$12,$A$1,MQ204:ND204)</f>
        <v>13700</v>
      </c>
      <c r="NF204" s="91">
        <f t="shared" ref="NF204:NF240" si="1499">SUMIF($C$12:$P$12,$A$3,MQ204:ND204)</f>
        <v>383600</v>
      </c>
      <c r="NI204" s="98">
        <v>2632600</v>
      </c>
      <c r="NJ204" s="98">
        <v>57917200</v>
      </c>
      <c r="NU204" s="91">
        <f t="shared" ref="NU204:NU240" si="1500">SUMIF($C$12:$P$12,$A$1,NG204:NT204)</f>
        <v>2632600</v>
      </c>
      <c r="NV204" s="91">
        <f t="shared" ref="NV204:NV240" si="1501">SUMIF($C$12:$P$12,$A$3,NG204:NT204)</f>
        <v>57917200</v>
      </c>
      <c r="NW204" s="98">
        <v>150</v>
      </c>
      <c r="NX204" s="98">
        <v>6750</v>
      </c>
      <c r="NY204" s="98">
        <v>150</v>
      </c>
      <c r="NZ204" s="98">
        <v>2700</v>
      </c>
      <c r="OK204" s="91">
        <f t="shared" ref="OK204:OK240" si="1502">SUMIF($C$12:$P$12,$A$1,NW204:OJ204)</f>
        <v>300</v>
      </c>
      <c r="OL204" s="91">
        <f t="shared" ref="OL204:OL240" si="1503">SUMIF($C$12:$P$12,$A$3,NW204:OJ204)</f>
        <v>9450</v>
      </c>
      <c r="OO204" s="98">
        <v>71790</v>
      </c>
      <c r="OP204" s="98">
        <v>2153700</v>
      </c>
      <c r="PA204" s="91">
        <f t="shared" ref="PA204:PA240" si="1504">SUMIF($C$12:$P$12,$A$1,OM204:OZ204)</f>
        <v>71790</v>
      </c>
      <c r="PB204" s="91">
        <f t="shared" ref="PB204:PB240" si="1505">SUMIF($C$12:$P$12,$A$3,OM204:OZ204)</f>
        <v>2153700</v>
      </c>
      <c r="PQ204" s="91">
        <f t="shared" ref="PQ204:PQ240" si="1506">SUMIF($C$12:$P$12,$A$1,PC204:PP204)</f>
        <v>0</v>
      </c>
      <c r="PR204" s="91">
        <f t="shared" ref="PR204:PR240" si="1507">SUMIF($C$12:$P$12,$A$3,PC204:PP204)</f>
        <v>0</v>
      </c>
      <c r="PU204" s="98">
        <v>260560</v>
      </c>
      <c r="PV204" s="98">
        <v>5211200</v>
      </c>
      <c r="QA204" s="98">
        <v>375300</v>
      </c>
      <c r="QB204" s="98">
        <v>7506000</v>
      </c>
      <c r="QG204" s="91">
        <f t="shared" ref="QG204:QG240" si="1508">SUMIF($C$12:$P$12,$A$1,PS204:QF204)</f>
        <v>635860</v>
      </c>
      <c r="QH204" s="91">
        <f t="shared" ref="QH204:QH240" si="1509">SUMIF($C$12:$P$12,$A$3,PS204:QF204)</f>
        <v>12717200</v>
      </c>
      <c r="QW204" s="91">
        <f t="shared" ref="QW204:QW240" si="1510">SUMIF($C$12:$P$12,$A$1,QI204:QV204)</f>
        <v>0</v>
      </c>
      <c r="QX204" s="91">
        <f t="shared" ref="QX204:QX240" si="1511">SUMIF($C$12:$P$12,$A$3,QI204:QV204)</f>
        <v>0</v>
      </c>
      <c r="RM204" s="91">
        <f t="shared" ref="RM204:RM240" si="1512">SUMIF($C$12:$P$12,$A$1,QY204:RL204)</f>
        <v>0</v>
      </c>
      <c r="RN204" s="91">
        <f t="shared" ref="RN204:RN240" si="1513">SUMIF($C$12:$P$12,$A$3,QY204:RL204)</f>
        <v>0</v>
      </c>
      <c r="SC204" s="91">
        <f t="shared" ref="SC204:SC240" si="1514">SUMIF($C$12:$P$12,$A$1,RO204:SB204)</f>
        <v>0</v>
      </c>
      <c r="SD204" s="91">
        <f t="shared" ref="SD204:SD240" si="1515">SUMIF($C$12:$P$12,$A$3,RO204:SB204)</f>
        <v>0</v>
      </c>
      <c r="SS204" s="91">
        <f t="shared" ref="SS204:SS240" si="1516">SUMIF($C$12:$P$12,$A$1,SE204:SR204)</f>
        <v>0</v>
      </c>
      <c r="ST204" s="91">
        <f t="shared" ref="ST204:ST240" si="1517">SUMIF($C$12:$P$12,$A$3,SE204:SR204)</f>
        <v>0</v>
      </c>
      <c r="TI204" s="91">
        <f t="shared" ref="TI204:TI240" si="1518">SUMIF($C$12:$P$12,$A$1,SU204:TH204)</f>
        <v>0</v>
      </c>
      <c r="TJ204" s="91">
        <f t="shared" ref="TJ204:TJ240" si="1519">SUMIF($C$12:$P$12,$A$3,SU204:TH204)</f>
        <v>0</v>
      </c>
      <c r="TY204" s="91">
        <f t="shared" ref="TY204:TY240" si="1520">SUMIF($C$12:$P$12,$A$1,TK204:TX204)</f>
        <v>0</v>
      </c>
      <c r="TZ204" s="91">
        <f t="shared" ref="TZ204:TZ240" si="1521">SUMIF($C$12:$P$12,$A$3,TK204:TX204)</f>
        <v>0</v>
      </c>
      <c r="UO204" s="91">
        <f t="shared" ref="UO204:UO240" si="1522">SUMIF($C$12:$P$12,$A$1,UA204:UN204)</f>
        <v>0</v>
      </c>
      <c r="UP204" s="91">
        <f t="shared" ref="UP204:UP238" si="1523">SUMIF($C$12:$P$12,$A$3,UA204:UN204)</f>
        <v>0</v>
      </c>
      <c r="US204" s="98">
        <v>93844</v>
      </c>
      <c r="UT204" s="98">
        <v>1501504</v>
      </c>
      <c r="VE204" s="91">
        <f t="shared" ref="VE204:VE240" si="1524">SUMIF($C$12:$P$12,$A$1,UQ204:VD204)</f>
        <v>93844</v>
      </c>
      <c r="VF204" s="91">
        <f t="shared" ref="VF204:VF240" si="1525">SUMIF($C$12:$P$12,$A$3,UQ204:VD204)</f>
        <v>1501504</v>
      </c>
      <c r="VI204" s="98">
        <v>1246</v>
      </c>
      <c r="VJ204" s="98">
        <v>19936</v>
      </c>
      <c r="VU204" s="91">
        <f t="shared" ref="VU204:VU240" si="1526">SUMIF($C$12:$P$12,$A$1,VG204:VT204)</f>
        <v>1246</v>
      </c>
      <c r="VV204" s="91">
        <f t="shared" ref="VV204:VV240" si="1527">SUMIF($C$12:$P$12,$A$3,VG204:VT204)</f>
        <v>19936</v>
      </c>
      <c r="VY204" s="98">
        <v>335622</v>
      </c>
      <c r="VZ204" s="98">
        <v>11075526</v>
      </c>
      <c r="WC204" s="98">
        <v>110503</v>
      </c>
      <c r="WD204" s="98">
        <v>3315090</v>
      </c>
      <c r="WK204" s="91">
        <f t="shared" ref="WK204:WK240" si="1528">SUMIF($C$12:$P$12,$A$1,VW204:WJ204)</f>
        <v>446125</v>
      </c>
      <c r="WL204" s="91">
        <f t="shared" ref="WL204:WL240" si="1529">SUMIF($C$12:$P$12,$A$3,VW204:WJ204)</f>
        <v>14390616</v>
      </c>
      <c r="WM204" s="89"/>
      <c r="WN204" s="87">
        <f t="shared" ref="WN204:WN231" si="1530">SUMIF($C$5:$WL$5,$WN$5,C204:WL204)</f>
        <v>150</v>
      </c>
      <c r="WO204" s="87">
        <f t="shared" ref="WO204:WO231" si="1531">SUMIF($C$5:$WL$5,$WO$5,C204:WL204)</f>
        <v>6750</v>
      </c>
      <c r="WP204" s="87">
        <f t="shared" ref="WP204:WP231" si="1532">SUMIF($C$5:$WL$5,$WP$5,C204:WL204)</f>
        <v>8569593.6427679956</v>
      </c>
      <c r="WQ204" s="87">
        <f t="shared" ref="WQ204:WQ231" si="1533">SUMIF($C$5:$WL$5,$WQ$5,C204:WL204)</f>
        <v>190212963.24353477</v>
      </c>
      <c r="WR204" s="87">
        <f t="shared" ref="WR204:WR231" si="1534">SUMIF($C$5:$WL$5,$WR$5,C204:WL204)</f>
        <v>0</v>
      </c>
      <c r="WS204" s="87">
        <f t="shared" ref="WS204:WS231" si="1535">SUMIF($C$5:$WL$5,$WS$5,C204:WL204)</f>
        <v>0</v>
      </c>
      <c r="WT204" s="87">
        <f t="shared" ref="WT204:WT231" si="1536">SUMIF($C$5:$WL$5,$WT$5,C204:WL204)</f>
        <v>5573343.8854815308</v>
      </c>
      <c r="WU204" s="87">
        <f t="shared" ref="WU204:WU231" si="1537">SUMIF($C$5:$WL$5,$WU$5,C204:WL204)</f>
        <v>99436571.938667551</v>
      </c>
      <c r="WV204" s="87">
        <f t="shared" ref="WV204:WV231" si="1538">SUMIF($C$5:$WL$5,$WV$5,C204:WL204)</f>
        <v>375300</v>
      </c>
      <c r="WW204" s="87">
        <f t="shared" ref="WW204:WW231" si="1539">SUMIF($C$5:$WL$5,$WW$5,C204:WL204)</f>
        <v>7506000</v>
      </c>
      <c r="WX204" s="87">
        <f t="shared" ref="WX204:WX231" si="1540">SUMIF($C$5:$WL$5,$WX$5,C204:WL204)</f>
        <v>0</v>
      </c>
      <c r="WY204" s="87">
        <f t="shared" ref="WY204:WY231" si="1541">SUMIF($C$5:$WL$5,$WY$5,C204:WL204)</f>
        <v>0</v>
      </c>
      <c r="WZ204" s="87">
        <f t="shared" ref="WZ204:WZ226" si="1542">SUMIF($C$5:$WL$5,$WZ$5,C204:WL204)</f>
        <v>0</v>
      </c>
      <c r="XA204" s="87">
        <f t="shared" ref="XA204:XA226" si="1543">SUMIF($C$5:$WL$5,$XA$5,C204:WL204)</f>
        <v>0</v>
      </c>
      <c r="XB204" s="92">
        <f t="shared" ref="XB204:XB226" si="1544">SUMIF($WN$12:$XA$12,$XB$12,WN204:XA204)</f>
        <v>14518387.528249526</v>
      </c>
      <c r="XC204" s="92">
        <f t="shared" ref="XC204:XC226" si="1545">SUMIF($WN$12:$XA$12,$XC$12,WN204:XA204)</f>
        <v>297162285.18220234</v>
      </c>
      <c r="XD204" s="89"/>
      <c r="XE204" s="92"/>
      <c r="XF204" s="92"/>
      <c r="XG204" s="89"/>
      <c r="XH204" s="92"/>
      <c r="XI204" s="92"/>
      <c r="XJ204" s="89"/>
      <c r="XK204" s="87"/>
      <c r="XL204" s="87"/>
      <c r="XM204" s="87"/>
      <c r="XN204" s="87"/>
      <c r="XO204" s="87"/>
      <c r="XP204" s="87"/>
      <c r="XQ204" s="87"/>
      <c r="XR204" s="92">
        <f t="shared" ref="XR204:XR240" ca="1" si="1546">SUMIF($WN$12:$XA$12,$XB$12,XK204:XQ204)</f>
        <v>0</v>
      </c>
      <c r="XS204" s="89"/>
      <c r="XT204" s="87"/>
      <c r="XU204" s="87"/>
      <c r="XV204" s="87"/>
      <c r="XW204" s="87"/>
      <c r="XX204" s="87"/>
      <c r="XY204" s="87"/>
      <c r="XZ204" s="87"/>
      <c r="YA204" s="92">
        <f t="shared" ref="YA204:YA240" ca="1" si="1547">SUMIF($WN$12:$XA$12,$XB$12,XT204:XZ204)</f>
        <v>0</v>
      </c>
      <c r="YB204" s="90"/>
      <c r="YC204" s="90"/>
      <c r="YD204" s="90"/>
      <c r="YE204" s="90"/>
      <c r="YF204" s="90"/>
      <c r="YG204" s="90"/>
      <c r="YH204" s="90"/>
      <c r="YI204" s="90"/>
      <c r="YJ204" s="90"/>
      <c r="YK204" s="90"/>
      <c r="YL204" s="90"/>
      <c r="YM204" s="90"/>
      <c r="YN204" s="90"/>
      <c r="YO204" s="90"/>
      <c r="YP204" s="90"/>
      <c r="YQ204" s="90"/>
      <c r="YR204" s="90"/>
      <c r="YS204" s="90"/>
      <c r="YT204" s="90"/>
      <c r="YU204" s="90"/>
      <c r="YV204" s="90"/>
      <c r="YW204" s="90"/>
      <c r="YX204" s="90"/>
      <c r="YY204" s="90"/>
      <c r="YZ204" s="90"/>
      <c r="ZA204" s="90"/>
      <c r="ZB204" s="90"/>
      <c r="ZC204" s="90"/>
      <c r="ZD204" s="90"/>
      <c r="ZE204" s="90"/>
      <c r="ZF204" s="90"/>
      <c r="ZG204" s="90"/>
      <c r="ZH204" s="90"/>
      <c r="ZI204" s="90"/>
      <c r="ZJ204" s="90"/>
      <c r="ZK204" s="90"/>
      <c r="ZL204" s="90"/>
      <c r="ZM204" s="90"/>
      <c r="ZN204" s="90"/>
      <c r="ZO204" s="90"/>
      <c r="ZP204" s="90"/>
      <c r="ZQ204" s="90"/>
      <c r="ZR204" s="90"/>
      <c r="ZS204" s="90"/>
      <c r="ZT204" s="90"/>
      <c r="ZU204" s="90"/>
      <c r="ZV204" s="90"/>
      <c r="ZW204" s="90"/>
      <c r="ZX204" s="90"/>
      <c r="ZY204" s="90"/>
      <c r="ZZ204" s="90"/>
      <c r="AAA204" s="90"/>
      <c r="AAB204" s="90"/>
      <c r="AAC204" s="90"/>
      <c r="AAD204" s="90"/>
      <c r="AAE204" s="90"/>
      <c r="AAF204" s="90"/>
      <c r="AAG204" s="90"/>
      <c r="AAH204" s="90"/>
      <c r="AAI204" s="90"/>
      <c r="AAJ204" s="90"/>
      <c r="AAK204" s="90"/>
      <c r="AAL204" s="90"/>
      <c r="AAM204" s="90"/>
      <c r="AAN204" s="90"/>
      <c r="AAO204" s="90"/>
      <c r="AAP204" s="90"/>
      <c r="AAQ204" s="90"/>
      <c r="AAR204" s="90"/>
      <c r="AAS204" s="90"/>
      <c r="AAT204" s="90"/>
      <c r="AAU204" s="90"/>
      <c r="AAV204" s="90"/>
      <c r="AAW204" s="90"/>
      <c r="AAX204" s="90"/>
      <c r="AAY204" s="90"/>
      <c r="AAZ204" s="90"/>
      <c r="ABA204" s="90"/>
      <c r="ABB204" s="90"/>
      <c r="ABC204" s="90"/>
      <c r="ABD204" s="90"/>
      <c r="ABE204" s="90"/>
      <c r="ABF204" s="90"/>
      <c r="ABG204" s="90"/>
      <c r="ABH204" s="90"/>
      <c r="ABI204" s="90"/>
      <c r="ABJ204" s="90"/>
      <c r="ABK204" s="90"/>
      <c r="ABL204" s="90"/>
      <c r="ABM204" s="90"/>
      <c r="ABN204" s="90"/>
      <c r="ABO204" s="90"/>
      <c r="ABP204" s="90"/>
      <c r="ABQ204" s="90"/>
      <c r="ABR204" s="90"/>
      <c r="ABS204" s="90"/>
      <c r="ABT204" s="90"/>
      <c r="ABU204" s="90"/>
      <c r="ABV204" s="90"/>
      <c r="ABW204" s="90"/>
      <c r="ABX204" s="90"/>
      <c r="ABY204" s="90"/>
      <c r="ABZ204" s="90"/>
      <c r="ACA204" s="90"/>
      <c r="ACB204" s="90"/>
      <c r="ACC204" s="90"/>
      <c r="ACD204" s="90"/>
      <c r="ACE204" s="90"/>
      <c r="ACF204" s="90"/>
      <c r="ACG204" s="90"/>
      <c r="ACH204" s="90"/>
      <c r="ACI204" s="90"/>
      <c r="ACJ204" s="90"/>
      <c r="ACK204" s="90"/>
      <c r="ACL204" s="90"/>
      <c r="ACM204" s="90"/>
      <c r="ACN204" s="90"/>
      <c r="ACO204" s="90"/>
      <c r="ACP204" s="90"/>
      <c r="ACQ204" s="90"/>
      <c r="ACR204" s="90"/>
      <c r="ACS204" s="90"/>
      <c r="ACT204" s="90"/>
      <c r="ACU204" s="90"/>
      <c r="ACV204" s="90"/>
      <c r="ACW204" s="90"/>
      <c r="ACX204" s="90"/>
      <c r="ACY204" s="90"/>
      <c r="ACZ204" s="90"/>
      <c r="ADA204" s="90"/>
      <c r="ADB204" s="90"/>
      <c r="ADC204" s="90"/>
      <c r="ADD204" s="90"/>
      <c r="ADE204" s="90"/>
      <c r="ADF204" s="90"/>
      <c r="ADG204" s="90"/>
      <c r="ADH204" s="90"/>
      <c r="ADI204" s="90"/>
      <c r="ADJ204" s="90"/>
      <c r="ADK204" s="90"/>
      <c r="ADL204" s="90"/>
      <c r="ADM204" s="90"/>
      <c r="ADN204" s="90"/>
      <c r="ADO204" s="90"/>
      <c r="ADP204" s="90"/>
      <c r="ADQ204" s="90"/>
      <c r="ADR204" s="90"/>
      <c r="ADS204" s="90"/>
      <c r="ADT204" s="90"/>
      <c r="ADU204" s="90"/>
      <c r="ADV204" s="90"/>
      <c r="ADW204" s="90"/>
      <c r="ADX204" s="90"/>
      <c r="ADY204" s="90"/>
      <c r="ADZ204" s="90"/>
      <c r="AEA204" s="90"/>
      <c r="AEB204" s="90"/>
      <c r="AEC204" s="90"/>
      <c r="AED204" s="90"/>
      <c r="AEE204" s="90"/>
      <c r="AEF204" s="90"/>
      <c r="AEG204" s="90"/>
      <c r="AEH204" s="90"/>
      <c r="AEI204" s="90"/>
      <c r="AEJ204" s="90"/>
      <c r="AEK204" s="90"/>
      <c r="AEL204" s="90"/>
      <c r="AEM204" s="90"/>
      <c r="AEN204" s="90"/>
      <c r="AEO204" s="90"/>
      <c r="AEP204" s="90"/>
      <c r="AEQ204" s="90"/>
      <c r="AER204" s="90"/>
      <c r="AES204" s="90"/>
      <c r="AET204" s="90"/>
      <c r="AEU204" s="90"/>
      <c r="AEV204" s="90"/>
      <c r="AEW204" s="90"/>
      <c r="AEX204" s="90"/>
      <c r="AEY204" s="90"/>
      <c r="AEZ204" s="90"/>
      <c r="AFA204" s="90"/>
      <c r="AFB204" s="90"/>
      <c r="AFC204" s="90"/>
      <c r="AFD204" s="90"/>
      <c r="AFE204" s="90"/>
      <c r="AFF204" s="90"/>
      <c r="AFG204" s="90"/>
      <c r="AFH204" s="90"/>
      <c r="AFI204" s="90"/>
      <c r="AFJ204" s="90"/>
      <c r="AFK204" s="90"/>
      <c r="AFL204" s="90"/>
      <c r="AFM204" s="90"/>
      <c r="AFN204" s="90"/>
      <c r="AFO204" s="90"/>
      <c r="AFP204" s="90"/>
      <c r="AFQ204" s="90"/>
      <c r="AFR204" s="90"/>
      <c r="AFS204" s="90"/>
      <c r="AFT204" s="90"/>
      <c r="AFU204" s="90"/>
      <c r="AFV204" s="90"/>
      <c r="AFW204" s="90"/>
      <c r="AFX204" s="90"/>
      <c r="AFY204" s="90"/>
      <c r="AFZ204" s="90"/>
      <c r="AGA204" s="90"/>
      <c r="AGB204" s="90"/>
      <c r="AGC204" s="90"/>
      <c r="AGD204" s="90"/>
      <c r="AGE204" s="90"/>
      <c r="AGF204" s="90"/>
      <c r="AGG204" s="90"/>
      <c r="AGH204" s="90"/>
      <c r="AGI204" s="90"/>
      <c r="AGJ204" s="90"/>
      <c r="AGK204" s="90"/>
      <c r="AGL204" s="90"/>
      <c r="AGM204" s="90"/>
      <c r="AGN204" s="90"/>
      <c r="AGO204" s="90"/>
      <c r="AGP204" s="90"/>
      <c r="AGQ204" s="90"/>
      <c r="AGR204" s="90"/>
      <c r="AGS204" s="90"/>
      <c r="AGT204" s="90"/>
      <c r="AGU204" s="90"/>
      <c r="AGV204" s="90"/>
      <c r="AGW204" s="90"/>
      <c r="AGX204" s="90"/>
      <c r="AGY204" s="90"/>
      <c r="AGZ204" s="90"/>
      <c r="AHA204" s="90"/>
      <c r="AHB204" s="90"/>
      <c r="AHC204" s="90"/>
      <c r="AHD204" s="90"/>
      <c r="AHE204" s="90"/>
      <c r="AHF204" s="90"/>
      <c r="AHG204" s="90"/>
      <c r="AHH204" s="90"/>
      <c r="AHI204" s="90"/>
      <c r="AHJ204" s="90"/>
      <c r="AHK204" s="90"/>
      <c r="AHL204" s="90"/>
      <c r="AHM204" s="90"/>
      <c r="AHN204" s="90"/>
      <c r="AHO204" s="90"/>
      <c r="AHP204" s="90"/>
      <c r="AHQ204" s="90"/>
      <c r="AHR204" s="90"/>
      <c r="AHS204" s="90"/>
      <c r="AHT204" s="90"/>
      <c r="AHU204" s="90"/>
      <c r="AHV204" s="90"/>
      <c r="AHW204" s="90"/>
      <c r="AHX204" s="90"/>
      <c r="AHY204" s="90"/>
      <c r="AHZ204" s="90"/>
      <c r="AIA204" s="90"/>
      <c r="AIB204" s="90"/>
      <c r="AIC204" s="90"/>
      <c r="AID204" s="90"/>
      <c r="AIE204" s="90"/>
      <c r="AIF204" s="90"/>
      <c r="AIG204" s="90"/>
      <c r="AIH204" s="90"/>
      <c r="AII204" s="90"/>
      <c r="AIJ204" s="90"/>
      <c r="AIK204" s="90"/>
      <c r="AIL204" s="90"/>
      <c r="AIM204" s="90"/>
      <c r="AIN204" s="90"/>
      <c r="AIO204" s="90"/>
      <c r="AIP204" s="90"/>
      <c r="AIQ204" s="90"/>
      <c r="AIR204" s="90"/>
      <c r="AIS204" s="90"/>
      <c r="AIT204" s="90"/>
      <c r="AIU204" s="90"/>
      <c r="AIV204" s="90"/>
      <c r="AIW204" s="90"/>
      <c r="AIX204" s="90"/>
      <c r="AIY204" s="90"/>
      <c r="AIZ204" s="90"/>
      <c r="AJA204" s="90"/>
      <c r="AJB204" s="90"/>
      <c r="AJC204" s="90"/>
      <c r="AJD204" s="90"/>
      <c r="AJE204" s="90"/>
      <c r="AJF204" s="90"/>
      <c r="AJG204" s="90"/>
      <c r="AJH204" s="90"/>
      <c r="AJI204" s="90"/>
      <c r="AJJ204" s="90"/>
      <c r="AJK204" s="90"/>
      <c r="AJL204" s="90"/>
      <c r="AJM204" s="90"/>
      <c r="AJN204" s="90"/>
      <c r="AJO204" s="90"/>
      <c r="AJP204" s="90"/>
      <c r="AJQ204" s="90"/>
      <c r="AJR204" s="90"/>
      <c r="AJS204" s="90"/>
      <c r="AJT204" s="90"/>
      <c r="AJU204" s="90"/>
      <c r="AJV204" s="90"/>
      <c r="AJW204" s="90"/>
      <c r="AJX204" s="90"/>
      <c r="AJY204" s="90"/>
      <c r="AJZ204" s="90"/>
      <c r="AKA204" s="90"/>
      <c r="AKB204" s="90"/>
      <c r="AKC204" s="90"/>
      <c r="AKD204" s="90"/>
      <c r="AKE204" s="90"/>
      <c r="AKF204" s="90"/>
      <c r="AKG204" s="90"/>
      <c r="AKH204" s="90"/>
      <c r="AKI204" s="90"/>
      <c r="AKJ204" s="90"/>
      <c r="AKK204" s="90"/>
      <c r="AKL204" s="90"/>
      <c r="AKM204" s="90"/>
      <c r="AKN204" s="90"/>
      <c r="AKO204" s="90"/>
      <c r="AKP204" s="90"/>
      <c r="AKQ204" s="90"/>
      <c r="AKR204" s="90"/>
      <c r="AKS204" s="90"/>
      <c r="AKT204" s="90"/>
      <c r="AKU204" s="90"/>
      <c r="AKV204" s="90"/>
      <c r="AKW204" s="90"/>
      <c r="AKX204" s="90"/>
      <c r="AKY204" s="90"/>
      <c r="AKZ204" s="90"/>
      <c r="ALA204" s="90"/>
      <c r="ALB204" s="90"/>
      <c r="ALC204" s="90"/>
      <c r="ALD204" s="90"/>
      <c r="ALE204" s="90"/>
      <c r="ALF204" s="90"/>
      <c r="ALG204" s="90"/>
      <c r="ALH204" s="90"/>
      <c r="ALI204" s="90"/>
      <c r="ALJ204" s="90"/>
      <c r="ALK204" s="90"/>
      <c r="ALL204" s="90"/>
      <c r="ALM204" s="90"/>
      <c r="ALN204" s="90"/>
      <c r="ALO204" s="90"/>
      <c r="ALP204" s="90"/>
      <c r="ALQ204" s="90"/>
      <c r="ALR204" s="90"/>
      <c r="ALS204" s="90"/>
      <c r="ALT204" s="90"/>
      <c r="ALU204" s="90"/>
      <c r="ALV204" s="90"/>
      <c r="ALW204" s="90"/>
      <c r="ALX204" s="90"/>
      <c r="ALY204" s="90"/>
      <c r="ALZ204" s="90"/>
      <c r="AMA204" s="90"/>
      <c r="AMB204" s="90"/>
      <c r="AMC204" s="90"/>
    </row>
    <row r="205" spans="1:1017">
      <c r="A205" s="98" t="s">
        <v>50</v>
      </c>
      <c r="B205" s="90" t="str">
        <f t="shared" si="1453"/>
        <v xml:space="preserve">Bawal </v>
      </c>
      <c r="Q205" s="91">
        <f t="shared" si="1454"/>
        <v>0</v>
      </c>
      <c r="R205" s="91">
        <f t="shared" si="1455"/>
        <v>0</v>
      </c>
      <c r="Y205" s="98">
        <v>1425</v>
      </c>
      <c r="Z205" s="98">
        <v>28500</v>
      </c>
      <c r="AG205" s="91">
        <f t="shared" si="1456"/>
        <v>1425</v>
      </c>
      <c r="AH205" s="91">
        <f t="shared" si="1457"/>
        <v>28500</v>
      </c>
      <c r="AW205" s="91">
        <f t="shared" si="1458"/>
        <v>0</v>
      </c>
      <c r="AX205" s="91">
        <f t="shared" si="1459"/>
        <v>0</v>
      </c>
      <c r="BM205" s="91">
        <f t="shared" si="1460"/>
        <v>0</v>
      </c>
      <c r="BN205" s="91">
        <f t="shared" si="1461"/>
        <v>0</v>
      </c>
      <c r="CC205" s="91">
        <f t="shared" si="1462"/>
        <v>0</v>
      </c>
      <c r="CD205" s="91">
        <f t="shared" si="1463"/>
        <v>0</v>
      </c>
      <c r="CS205" s="91">
        <f t="shared" ref="CS205:CS240" si="1548">SUMIF($C$12:$P$12,$A$1,CE205:CR205)</f>
        <v>0</v>
      </c>
      <c r="CT205" s="91">
        <f t="shared" ref="CT205:CT240" si="1549">SUMIF($C$12:$P$12,$A$3,CE205:CR205)</f>
        <v>0</v>
      </c>
      <c r="DI205" s="91">
        <f t="shared" si="1466"/>
        <v>0</v>
      </c>
      <c r="DJ205" s="91">
        <f t="shared" si="1467"/>
        <v>0</v>
      </c>
      <c r="DQ205" s="98">
        <v>379200</v>
      </c>
      <c r="DR205" s="98">
        <v>5877600</v>
      </c>
      <c r="DY205" s="91">
        <f t="shared" si="1468"/>
        <v>379200</v>
      </c>
      <c r="DZ205" s="91">
        <f t="shared" si="1469"/>
        <v>5877600</v>
      </c>
      <c r="EG205" s="98">
        <v>105200</v>
      </c>
      <c r="EH205" s="98">
        <v>1157200</v>
      </c>
      <c r="EO205" s="91">
        <f t="shared" si="1470"/>
        <v>105200</v>
      </c>
      <c r="EP205" s="91">
        <f t="shared" si="1471"/>
        <v>1157200</v>
      </c>
      <c r="FE205" s="91">
        <f t="shared" si="1472"/>
        <v>0</v>
      </c>
      <c r="FF205" s="91">
        <f t="shared" si="1473"/>
        <v>0</v>
      </c>
      <c r="FU205" s="91">
        <f t="shared" si="1474"/>
        <v>0</v>
      </c>
      <c r="FV205" s="91">
        <f t="shared" si="1475"/>
        <v>0</v>
      </c>
      <c r="GK205" s="91">
        <f t="shared" si="1476"/>
        <v>0</v>
      </c>
      <c r="GL205" s="91">
        <f t="shared" si="1477"/>
        <v>0</v>
      </c>
      <c r="HA205" s="91">
        <f t="shared" si="1478"/>
        <v>0</v>
      </c>
      <c r="HB205" s="91">
        <f t="shared" si="1479"/>
        <v>0</v>
      </c>
      <c r="HQ205" s="91">
        <f t="shared" si="1480"/>
        <v>0</v>
      </c>
      <c r="HR205" s="91">
        <f t="shared" si="1481"/>
        <v>0</v>
      </c>
      <c r="IG205" s="91">
        <f t="shared" si="1482"/>
        <v>0</v>
      </c>
      <c r="IH205" s="91">
        <f t="shared" si="1483"/>
        <v>0</v>
      </c>
      <c r="IO205" s="98">
        <v>2300</v>
      </c>
      <c r="IP205" s="98">
        <v>57500</v>
      </c>
      <c r="IW205" s="91">
        <f t="shared" si="1484"/>
        <v>2300</v>
      </c>
      <c r="IX205" s="91">
        <f t="shared" si="1485"/>
        <v>57500</v>
      </c>
      <c r="JM205" s="91">
        <f t="shared" si="1486"/>
        <v>0</v>
      </c>
      <c r="JN205" s="91">
        <f t="shared" si="1487"/>
        <v>0</v>
      </c>
      <c r="KC205" s="91">
        <f t="shared" si="1488"/>
        <v>0</v>
      </c>
      <c r="KD205" s="91">
        <f t="shared" si="1489"/>
        <v>0</v>
      </c>
      <c r="KS205" s="91">
        <f t="shared" si="1490"/>
        <v>0</v>
      </c>
      <c r="KT205" s="91">
        <f t="shared" si="1491"/>
        <v>0</v>
      </c>
      <c r="LI205" s="91">
        <f t="shared" si="1492"/>
        <v>0</v>
      </c>
      <c r="LJ205" s="91">
        <f t="shared" si="1493"/>
        <v>0</v>
      </c>
      <c r="LY205" s="91">
        <f t="shared" si="1494"/>
        <v>0</v>
      </c>
      <c r="LZ205" s="91">
        <f t="shared" si="1495"/>
        <v>0</v>
      </c>
      <c r="MO205" s="91">
        <f t="shared" si="1496"/>
        <v>0</v>
      </c>
      <c r="MP205" s="91">
        <f t="shared" si="1497"/>
        <v>0</v>
      </c>
      <c r="NE205" s="91">
        <f t="shared" si="1498"/>
        <v>0</v>
      </c>
      <c r="NF205" s="91">
        <f t="shared" si="1499"/>
        <v>0</v>
      </c>
      <c r="NQ205" s="98">
        <v>132</v>
      </c>
      <c r="NR205" s="98">
        <v>2376</v>
      </c>
      <c r="NU205" s="91">
        <f t="shared" si="1500"/>
        <v>132</v>
      </c>
      <c r="NV205" s="91">
        <f t="shared" si="1501"/>
        <v>2376</v>
      </c>
      <c r="OK205" s="91">
        <f t="shared" si="1502"/>
        <v>0</v>
      </c>
      <c r="OL205" s="91">
        <f t="shared" si="1503"/>
        <v>0</v>
      </c>
      <c r="PA205" s="91">
        <f t="shared" si="1504"/>
        <v>0</v>
      </c>
      <c r="PB205" s="91">
        <f t="shared" si="1505"/>
        <v>0</v>
      </c>
      <c r="PQ205" s="91">
        <f t="shared" si="1506"/>
        <v>0</v>
      </c>
      <c r="PR205" s="91">
        <f t="shared" si="1507"/>
        <v>0</v>
      </c>
      <c r="QC205" s="98">
        <v>33550</v>
      </c>
      <c r="QD205" s="98">
        <v>536800</v>
      </c>
      <c r="QG205" s="91">
        <f t="shared" si="1508"/>
        <v>33550</v>
      </c>
      <c r="QH205" s="91">
        <f t="shared" si="1509"/>
        <v>536800</v>
      </c>
      <c r="QW205" s="91">
        <f t="shared" si="1510"/>
        <v>0</v>
      </c>
      <c r="QX205" s="91">
        <f t="shared" si="1511"/>
        <v>0</v>
      </c>
      <c r="RM205" s="91">
        <f t="shared" si="1512"/>
        <v>0</v>
      </c>
      <c r="RN205" s="91">
        <f t="shared" si="1513"/>
        <v>0</v>
      </c>
      <c r="SC205" s="91">
        <f t="shared" si="1514"/>
        <v>0</v>
      </c>
      <c r="SD205" s="91">
        <f t="shared" si="1515"/>
        <v>0</v>
      </c>
      <c r="SS205" s="91">
        <f t="shared" si="1516"/>
        <v>0</v>
      </c>
      <c r="ST205" s="91">
        <f t="shared" si="1517"/>
        <v>0</v>
      </c>
      <c r="TI205" s="91">
        <f t="shared" si="1518"/>
        <v>0</v>
      </c>
      <c r="TJ205" s="91">
        <f t="shared" si="1519"/>
        <v>0</v>
      </c>
      <c r="TY205" s="91">
        <f t="shared" si="1520"/>
        <v>0</v>
      </c>
      <c r="TZ205" s="91">
        <f t="shared" si="1521"/>
        <v>0</v>
      </c>
      <c r="UO205" s="91">
        <f t="shared" si="1522"/>
        <v>0</v>
      </c>
      <c r="UP205" s="91">
        <f t="shared" si="1523"/>
        <v>0</v>
      </c>
      <c r="VE205" s="91">
        <f t="shared" si="1524"/>
        <v>0</v>
      </c>
      <c r="VF205" s="91">
        <f t="shared" si="1525"/>
        <v>0</v>
      </c>
      <c r="VU205" s="91">
        <f t="shared" si="1526"/>
        <v>0</v>
      </c>
      <c r="VV205" s="91">
        <f t="shared" si="1527"/>
        <v>0</v>
      </c>
      <c r="WK205" s="91">
        <f t="shared" si="1528"/>
        <v>0</v>
      </c>
      <c r="WL205" s="91">
        <f t="shared" si="1529"/>
        <v>0</v>
      </c>
      <c r="WM205" s="89"/>
      <c r="WN205" s="87">
        <f t="shared" si="1530"/>
        <v>0</v>
      </c>
      <c r="WO205" s="87">
        <f t="shared" si="1531"/>
        <v>0</v>
      </c>
      <c r="WP205" s="87">
        <f t="shared" si="1532"/>
        <v>0</v>
      </c>
      <c r="WQ205" s="87">
        <f t="shared" si="1533"/>
        <v>0</v>
      </c>
      <c r="WR205" s="87">
        <f t="shared" si="1534"/>
        <v>0</v>
      </c>
      <c r="WS205" s="87">
        <f t="shared" si="1535"/>
        <v>0</v>
      </c>
      <c r="WT205" s="87">
        <f t="shared" si="1536"/>
        <v>488125</v>
      </c>
      <c r="WU205" s="87">
        <f t="shared" si="1537"/>
        <v>7120800</v>
      </c>
      <c r="WV205" s="87">
        <f t="shared" si="1538"/>
        <v>0</v>
      </c>
      <c r="WW205" s="87">
        <f t="shared" si="1539"/>
        <v>0</v>
      </c>
      <c r="WX205" s="87">
        <f t="shared" si="1540"/>
        <v>33682</v>
      </c>
      <c r="WY205" s="87">
        <f t="shared" si="1541"/>
        <v>539176</v>
      </c>
      <c r="WZ205" s="87">
        <f t="shared" si="1542"/>
        <v>0</v>
      </c>
      <c r="XA205" s="87">
        <f t="shared" si="1543"/>
        <v>0</v>
      </c>
      <c r="XB205" s="92">
        <f t="shared" si="1544"/>
        <v>521807</v>
      </c>
      <c r="XC205" s="92">
        <f t="shared" si="1545"/>
        <v>7659976</v>
      </c>
      <c r="XD205" s="89"/>
      <c r="XE205" s="92"/>
      <c r="XF205" s="92"/>
      <c r="XG205" s="89"/>
      <c r="XH205" s="92"/>
      <c r="XI205" s="92"/>
      <c r="XJ205" s="89"/>
      <c r="XK205" s="87"/>
      <c r="XL205" s="87"/>
      <c r="XM205" s="87"/>
      <c r="XN205" s="87"/>
      <c r="XO205" s="87"/>
      <c r="XP205" s="87"/>
      <c r="XQ205" s="87"/>
      <c r="XR205" s="92">
        <f t="shared" ca="1" si="1546"/>
        <v>0</v>
      </c>
      <c r="XS205" s="89"/>
      <c r="XT205" s="87"/>
      <c r="XU205" s="87"/>
      <c r="XV205" s="87"/>
      <c r="XW205" s="87"/>
      <c r="XX205" s="87"/>
      <c r="XY205" s="87"/>
      <c r="XZ205" s="87"/>
      <c r="YA205" s="92">
        <f t="shared" ca="1" si="1547"/>
        <v>0</v>
      </c>
      <c r="YB205" s="90"/>
      <c r="YC205" s="90"/>
      <c r="YD205" s="90"/>
      <c r="YE205" s="90"/>
      <c r="YF205" s="90"/>
      <c r="YG205" s="90"/>
      <c r="YH205" s="90"/>
      <c r="YI205" s="90"/>
      <c r="YJ205" s="90"/>
      <c r="YK205" s="90"/>
      <c r="YL205" s="90"/>
      <c r="YM205" s="90"/>
      <c r="YN205" s="90"/>
      <c r="YO205" s="90"/>
      <c r="YP205" s="90"/>
      <c r="YQ205" s="90"/>
      <c r="YR205" s="90"/>
      <c r="YS205" s="90"/>
      <c r="YT205" s="90"/>
      <c r="YU205" s="90"/>
      <c r="YV205" s="90"/>
      <c r="YW205" s="90"/>
      <c r="YX205" s="90"/>
      <c r="YY205" s="90"/>
      <c r="YZ205" s="90"/>
      <c r="ZA205" s="90"/>
      <c r="ZB205" s="90"/>
      <c r="ZC205" s="90"/>
      <c r="ZD205" s="90"/>
      <c r="ZE205" s="90"/>
      <c r="ZF205" s="90"/>
      <c r="ZG205" s="90"/>
      <c r="ZH205" s="90"/>
      <c r="ZI205" s="90"/>
      <c r="ZJ205" s="90"/>
      <c r="ZK205" s="90"/>
      <c r="ZL205" s="90"/>
      <c r="ZM205" s="90"/>
      <c r="ZN205" s="90"/>
      <c r="ZO205" s="90"/>
      <c r="ZP205" s="90"/>
      <c r="ZQ205" s="90"/>
      <c r="ZR205" s="90"/>
      <c r="ZS205" s="90"/>
      <c r="ZT205" s="90"/>
      <c r="ZU205" s="90"/>
      <c r="ZV205" s="90"/>
      <c r="ZW205" s="90"/>
      <c r="ZX205" s="90"/>
      <c r="ZY205" s="90"/>
      <c r="ZZ205" s="90"/>
      <c r="AAA205" s="90"/>
      <c r="AAB205" s="90"/>
      <c r="AAC205" s="90"/>
      <c r="AAD205" s="90"/>
      <c r="AAE205" s="90"/>
      <c r="AAF205" s="90"/>
      <c r="AAG205" s="90"/>
      <c r="AAH205" s="90"/>
      <c r="AAI205" s="90"/>
      <c r="AAJ205" s="90"/>
      <c r="AAK205" s="90"/>
      <c r="AAL205" s="90"/>
      <c r="AAM205" s="90"/>
      <c r="AAN205" s="90"/>
      <c r="AAO205" s="90"/>
      <c r="AAP205" s="90"/>
      <c r="AAQ205" s="90"/>
      <c r="AAR205" s="90"/>
      <c r="AAS205" s="90"/>
      <c r="AAT205" s="90"/>
      <c r="AAU205" s="90"/>
      <c r="AAV205" s="90"/>
      <c r="AAW205" s="90"/>
      <c r="AAX205" s="90"/>
      <c r="AAY205" s="90"/>
      <c r="AAZ205" s="90"/>
      <c r="ABA205" s="90"/>
      <c r="ABB205" s="90"/>
      <c r="ABC205" s="90"/>
      <c r="ABD205" s="90"/>
      <c r="ABE205" s="90"/>
      <c r="ABF205" s="90"/>
      <c r="ABG205" s="90"/>
      <c r="ABH205" s="90"/>
      <c r="ABI205" s="90"/>
      <c r="ABJ205" s="90"/>
      <c r="ABK205" s="90"/>
      <c r="ABL205" s="90"/>
      <c r="ABM205" s="90"/>
      <c r="ABN205" s="90"/>
      <c r="ABO205" s="90"/>
      <c r="ABP205" s="90"/>
      <c r="ABQ205" s="90"/>
      <c r="ABR205" s="90"/>
      <c r="ABS205" s="90"/>
      <c r="ABT205" s="90"/>
      <c r="ABU205" s="90"/>
      <c r="ABV205" s="90"/>
      <c r="ABW205" s="90"/>
      <c r="ABX205" s="90"/>
      <c r="ABY205" s="90"/>
      <c r="ABZ205" s="90"/>
      <c r="ACA205" s="90"/>
      <c r="ACB205" s="90"/>
      <c r="ACC205" s="90"/>
      <c r="ACD205" s="90"/>
      <c r="ACE205" s="90"/>
      <c r="ACF205" s="90"/>
      <c r="ACG205" s="90"/>
      <c r="ACH205" s="90"/>
      <c r="ACI205" s="90"/>
      <c r="ACJ205" s="90"/>
      <c r="ACK205" s="90"/>
      <c r="ACL205" s="90"/>
      <c r="ACM205" s="90"/>
      <c r="ACN205" s="90"/>
      <c r="ACO205" s="90"/>
      <c r="ACP205" s="90"/>
      <c r="ACQ205" s="90"/>
      <c r="ACR205" s="90"/>
      <c r="ACS205" s="90"/>
      <c r="ACT205" s="90"/>
      <c r="ACU205" s="90"/>
      <c r="ACV205" s="90"/>
      <c r="ACW205" s="90"/>
      <c r="ACX205" s="90"/>
      <c r="ACY205" s="90"/>
      <c r="ACZ205" s="90"/>
      <c r="ADA205" s="90"/>
      <c r="ADB205" s="90"/>
      <c r="ADC205" s="90"/>
      <c r="ADD205" s="90"/>
      <c r="ADE205" s="90"/>
      <c r="ADF205" s="90"/>
      <c r="ADG205" s="90"/>
      <c r="ADH205" s="90"/>
      <c r="ADI205" s="90"/>
      <c r="ADJ205" s="90"/>
      <c r="ADK205" s="90"/>
      <c r="ADL205" s="90"/>
      <c r="ADM205" s="90"/>
      <c r="ADN205" s="90"/>
      <c r="ADO205" s="90"/>
      <c r="ADP205" s="90"/>
      <c r="ADQ205" s="90"/>
      <c r="ADR205" s="90"/>
      <c r="ADS205" s="90"/>
      <c r="ADT205" s="90"/>
      <c r="ADU205" s="90"/>
      <c r="ADV205" s="90"/>
      <c r="ADW205" s="90"/>
      <c r="ADX205" s="90"/>
      <c r="ADY205" s="90"/>
      <c r="ADZ205" s="90"/>
      <c r="AEA205" s="90"/>
      <c r="AEB205" s="90"/>
      <c r="AEC205" s="90"/>
      <c r="AED205" s="90"/>
      <c r="AEE205" s="90"/>
      <c r="AEF205" s="90"/>
      <c r="AEG205" s="90"/>
      <c r="AEH205" s="90"/>
      <c r="AEI205" s="90"/>
      <c r="AEJ205" s="90"/>
      <c r="AEK205" s="90"/>
      <c r="AEL205" s="90"/>
      <c r="AEM205" s="90"/>
      <c r="AEN205" s="90"/>
      <c r="AEO205" s="90"/>
      <c r="AEP205" s="90"/>
      <c r="AEQ205" s="90"/>
      <c r="AER205" s="90"/>
      <c r="AES205" s="90"/>
      <c r="AET205" s="90"/>
      <c r="AEU205" s="90"/>
      <c r="AEV205" s="90"/>
      <c r="AEW205" s="90"/>
      <c r="AEX205" s="90"/>
      <c r="AEY205" s="90"/>
      <c r="AEZ205" s="90"/>
      <c r="AFA205" s="90"/>
      <c r="AFB205" s="90"/>
      <c r="AFC205" s="90"/>
      <c r="AFD205" s="90"/>
      <c r="AFE205" s="90"/>
      <c r="AFF205" s="90"/>
      <c r="AFG205" s="90"/>
      <c r="AFH205" s="90"/>
      <c r="AFI205" s="90"/>
      <c r="AFJ205" s="90"/>
      <c r="AFK205" s="90"/>
      <c r="AFL205" s="90"/>
      <c r="AFM205" s="90"/>
      <c r="AFN205" s="90"/>
      <c r="AFO205" s="90"/>
      <c r="AFP205" s="90"/>
      <c r="AFQ205" s="90"/>
      <c r="AFR205" s="90"/>
      <c r="AFS205" s="90"/>
      <c r="AFT205" s="90"/>
      <c r="AFU205" s="90"/>
      <c r="AFV205" s="90"/>
      <c r="AFW205" s="90"/>
      <c r="AFX205" s="90"/>
      <c r="AFY205" s="90"/>
      <c r="AFZ205" s="90"/>
      <c r="AGA205" s="90"/>
      <c r="AGB205" s="90"/>
      <c r="AGC205" s="90"/>
      <c r="AGD205" s="90"/>
      <c r="AGE205" s="90"/>
      <c r="AGF205" s="90"/>
      <c r="AGG205" s="90"/>
      <c r="AGH205" s="90"/>
      <c r="AGI205" s="90"/>
      <c r="AGJ205" s="90"/>
      <c r="AGK205" s="90"/>
      <c r="AGL205" s="90"/>
      <c r="AGM205" s="90"/>
      <c r="AGN205" s="90"/>
      <c r="AGO205" s="90"/>
      <c r="AGP205" s="90"/>
      <c r="AGQ205" s="90"/>
      <c r="AGR205" s="90"/>
      <c r="AGS205" s="90"/>
      <c r="AGT205" s="90"/>
      <c r="AGU205" s="90"/>
      <c r="AGV205" s="90"/>
      <c r="AGW205" s="90"/>
      <c r="AGX205" s="90"/>
      <c r="AGY205" s="90"/>
      <c r="AGZ205" s="90"/>
      <c r="AHA205" s="90"/>
      <c r="AHB205" s="90"/>
      <c r="AHC205" s="90"/>
      <c r="AHD205" s="90"/>
      <c r="AHE205" s="90"/>
      <c r="AHF205" s="90"/>
      <c r="AHG205" s="90"/>
      <c r="AHH205" s="90"/>
      <c r="AHI205" s="90"/>
      <c r="AHJ205" s="90"/>
      <c r="AHK205" s="90"/>
      <c r="AHL205" s="90"/>
      <c r="AHM205" s="90"/>
      <c r="AHN205" s="90"/>
      <c r="AHO205" s="90"/>
      <c r="AHP205" s="90"/>
      <c r="AHQ205" s="90"/>
      <c r="AHR205" s="90"/>
      <c r="AHS205" s="90"/>
      <c r="AHT205" s="90"/>
      <c r="AHU205" s="90"/>
      <c r="AHV205" s="90"/>
      <c r="AHW205" s="90"/>
      <c r="AHX205" s="90"/>
      <c r="AHY205" s="90"/>
      <c r="AHZ205" s="90"/>
      <c r="AIA205" s="90"/>
      <c r="AIB205" s="90"/>
      <c r="AIC205" s="90"/>
      <c r="AID205" s="90"/>
      <c r="AIE205" s="90"/>
      <c r="AIF205" s="90"/>
      <c r="AIG205" s="90"/>
      <c r="AIH205" s="90"/>
      <c r="AII205" s="90"/>
      <c r="AIJ205" s="90"/>
      <c r="AIK205" s="90"/>
      <c r="AIL205" s="90"/>
      <c r="AIM205" s="90"/>
      <c r="AIN205" s="90"/>
      <c r="AIO205" s="90"/>
      <c r="AIP205" s="90"/>
      <c r="AIQ205" s="90"/>
      <c r="AIR205" s="90"/>
      <c r="AIS205" s="90"/>
      <c r="AIT205" s="90"/>
      <c r="AIU205" s="90"/>
      <c r="AIV205" s="90"/>
      <c r="AIW205" s="90"/>
      <c r="AIX205" s="90"/>
      <c r="AIY205" s="90"/>
      <c r="AIZ205" s="90"/>
      <c r="AJA205" s="90"/>
      <c r="AJB205" s="90"/>
      <c r="AJC205" s="90"/>
      <c r="AJD205" s="90"/>
      <c r="AJE205" s="90"/>
      <c r="AJF205" s="90"/>
      <c r="AJG205" s="90"/>
      <c r="AJH205" s="90"/>
      <c r="AJI205" s="90"/>
      <c r="AJJ205" s="90"/>
      <c r="AJK205" s="90"/>
      <c r="AJL205" s="90"/>
      <c r="AJM205" s="90"/>
      <c r="AJN205" s="90"/>
      <c r="AJO205" s="90"/>
      <c r="AJP205" s="90"/>
      <c r="AJQ205" s="90"/>
      <c r="AJR205" s="90"/>
      <c r="AJS205" s="90"/>
      <c r="AJT205" s="90"/>
      <c r="AJU205" s="90"/>
      <c r="AJV205" s="90"/>
      <c r="AJW205" s="90"/>
      <c r="AJX205" s="90"/>
      <c r="AJY205" s="90"/>
      <c r="AJZ205" s="90"/>
      <c r="AKA205" s="90"/>
      <c r="AKB205" s="90"/>
      <c r="AKC205" s="90"/>
      <c r="AKD205" s="90"/>
      <c r="AKE205" s="90"/>
      <c r="AKF205" s="90"/>
      <c r="AKG205" s="90"/>
      <c r="AKH205" s="90"/>
      <c r="AKI205" s="90"/>
      <c r="AKJ205" s="90"/>
      <c r="AKK205" s="90"/>
      <c r="AKL205" s="90"/>
      <c r="AKM205" s="90"/>
      <c r="AKN205" s="90"/>
      <c r="AKO205" s="90"/>
      <c r="AKP205" s="90"/>
      <c r="AKQ205" s="90"/>
      <c r="AKR205" s="90"/>
      <c r="AKS205" s="90"/>
      <c r="AKT205" s="90"/>
      <c r="AKU205" s="90"/>
      <c r="AKV205" s="90"/>
      <c r="AKW205" s="90"/>
      <c r="AKX205" s="90"/>
      <c r="AKY205" s="90"/>
      <c r="AKZ205" s="90"/>
      <c r="ALA205" s="90"/>
      <c r="ALB205" s="90"/>
      <c r="ALC205" s="90"/>
      <c r="ALD205" s="90"/>
      <c r="ALE205" s="90"/>
      <c r="ALF205" s="90"/>
      <c r="ALG205" s="90"/>
      <c r="ALH205" s="90"/>
      <c r="ALI205" s="90"/>
      <c r="ALJ205" s="90"/>
      <c r="ALK205" s="90"/>
      <c r="ALL205" s="90"/>
      <c r="ALM205" s="90"/>
      <c r="ALN205" s="90"/>
      <c r="ALO205" s="90"/>
      <c r="ALP205" s="90"/>
      <c r="ALQ205" s="90"/>
      <c r="ALR205" s="90"/>
      <c r="ALS205" s="90"/>
      <c r="ALT205" s="90"/>
      <c r="ALU205" s="90"/>
      <c r="ALV205" s="90"/>
      <c r="ALW205" s="90"/>
      <c r="ALX205" s="90"/>
      <c r="ALY205" s="90"/>
      <c r="ALZ205" s="90"/>
      <c r="AMA205" s="90"/>
      <c r="AMB205" s="90"/>
      <c r="AMC205" s="90"/>
    </row>
    <row r="206" spans="1:1017">
      <c r="A206" s="98" t="s">
        <v>50</v>
      </c>
      <c r="B206" s="90" t="str">
        <f t="shared" si="1453"/>
        <v xml:space="preserve">Belanak </v>
      </c>
      <c r="E206" s="98">
        <v>63800</v>
      </c>
      <c r="F206" s="98">
        <v>1914000</v>
      </c>
      <c r="Q206" s="91">
        <f t="shared" si="1454"/>
        <v>63800</v>
      </c>
      <c r="R206" s="91">
        <f t="shared" si="1455"/>
        <v>1914000</v>
      </c>
      <c r="AG206" s="91">
        <f t="shared" si="1456"/>
        <v>0</v>
      </c>
      <c r="AH206" s="91">
        <f t="shared" si="1457"/>
        <v>0</v>
      </c>
      <c r="AW206" s="91">
        <f t="shared" si="1458"/>
        <v>0</v>
      </c>
      <c r="AX206" s="91">
        <f t="shared" si="1459"/>
        <v>0</v>
      </c>
      <c r="BM206" s="91">
        <f t="shared" si="1460"/>
        <v>0</v>
      </c>
      <c r="BN206" s="91">
        <f t="shared" si="1461"/>
        <v>0</v>
      </c>
      <c r="CC206" s="91">
        <f t="shared" si="1462"/>
        <v>0</v>
      </c>
      <c r="CD206" s="91">
        <f t="shared" si="1463"/>
        <v>0</v>
      </c>
      <c r="CS206" s="91">
        <f t="shared" si="1548"/>
        <v>0</v>
      </c>
      <c r="CT206" s="91">
        <f t="shared" si="1549"/>
        <v>0</v>
      </c>
      <c r="DI206" s="91">
        <f t="shared" si="1466"/>
        <v>0</v>
      </c>
      <c r="DJ206" s="91">
        <f t="shared" si="1467"/>
        <v>0</v>
      </c>
      <c r="DY206" s="91">
        <f t="shared" si="1468"/>
        <v>0</v>
      </c>
      <c r="DZ206" s="91">
        <f t="shared" si="1469"/>
        <v>0</v>
      </c>
      <c r="EO206" s="91">
        <f t="shared" si="1470"/>
        <v>0</v>
      </c>
      <c r="EP206" s="91">
        <f t="shared" si="1471"/>
        <v>0</v>
      </c>
      <c r="FE206" s="91">
        <f t="shared" si="1472"/>
        <v>0</v>
      </c>
      <c r="FF206" s="91">
        <f t="shared" si="1473"/>
        <v>0</v>
      </c>
      <c r="FU206" s="91">
        <f t="shared" si="1474"/>
        <v>0</v>
      </c>
      <c r="FV206" s="91">
        <f t="shared" si="1475"/>
        <v>0</v>
      </c>
      <c r="GK206" s="91">
        <f t="shared" si="1476"/>
        <v>0</v>
      </c>
      <c r="GL206" s="91">
        <f t="shared" si="1477"/>
        <v>0</v>
      </c>
      <c r="HA206" s="91">
        <f t="shared" si="1478"/>
        <v>0</v>
      </c>
      <c r="HB206" s="91">
        <f t="shared" si="1479"/>
        <v>0</v>
      </c>
      <c r="HQ206" s="91">
        <f t="shared" si="1480"/>
        <v>0</v>
      </c>
      <c r="HR206" s="91">
        <f t="shared" si="1481"/>
        <v>0</v>
      </c>
      <c r="IG206" s="91">
        <f t="shared" si="1482"/>
        <v>0</v>
      </c>
      <c r="IH206" s="91">
        <f t="shared" si="1483"/>
        <v>0</v>
      </c>
      <c r="IW206" s="91">
        <f t="shared" si="1484"/>
        <v>0</v>
      </c>
      <c r="IX206" s="91">
        <f t="shared" si="1485"/>
        <v>0</v>
      </c>
      <c r="JM206" s="91">
        <f t="shared" si="1486"/>
        <v>0</v>
      </c>
      <c r="JN206" s="91">
        <f t="shared" si="1487"/>
        <v>0</v>
      </c>
      <c r="KC206" s="91">
        <f t="shared" si="1488"/>
        <v>0</v>
      </c>
      <c r="KD206" s="91">
        <f t="shared" si="1489"/>
        <v>0</v>
      </c>
      <c r="KS206" s="91">
        <f t="shared" si="1490"/>
        <v>0</v>
      </c>
      <c r="KT206" s="91">
        <f t="shared" si="1491"/>
        <v>0</v>
      </c>
      <c r="LI206" s="91">
        <f t="shared" si="1492"/>
        <v>0</v>
      </c>
      <c r="LJ206" s="91">
        <f t="shared" si="1493"/>
        <v>0</v>
      </c>
      <c r="LY206" s="91">
        <f t="shared" si="1494"/>
        <v>0</v>
      </c>
      <c r="LZ206" s="91">
        <f t="shared" si="1495"/>
        <v>0</v>
      </c>
      <c r="MC206" s="98">
        <v>12100</v>
      </c>
      <c r="MD206" s="98">
        <v>145200</v>
      </c>
      <c r="MO206" s="91">
        <f t="shared" si="1496"/>
        <v>12100</v>
      </c>
      <c r="MP206" s="91">
        <f t="shared" si="1497"/>
        <v>145200</v>
      </c>
      <c r="MS206" s="98">
        <v>1050</v>
      </c>
      <c r="MT206" s="98">
        <v>23100</v>
      </c>
      <c r="NE206" s="91">
        <f t="shared" si="1498"/>
        <v>1050</v>
      </c>
      <c r="NF206" s="91">
        <f t="shared" si="1499"/>
        <v>23100</v>
      </c>
      <c r="NU206" s="91">
        <f t="shared" si="1500"/>
        <v>0</v>
      </c>
      <c r="NV206" s="91">
        <f t="shared" si="1501"/>
        <v>0</v>
      </c>
      <c r="OK206" s="91">
        <f t="shared" si="1502"/>
        <v>0</v>
      </c>
      <c r="OL206" s="91">
        <f t="shared" si="1503"/>
        <v>0</v>
      </c>
      <c r="PA206" s="91">
        <f t="shared" si="1504"/>
        <v>0</v>
      </c>
      <c r="PB206" s="91">
        <f t="shared" si="1505"/>
        <v>0</v>
      </c>
      <c r="PQ206" s="91">
        <f t="shared" si="1506"/>
        <v>0</v>
      </c>
      <c r="PR206" s="91">
        <f t="shared" si="1507"/>
        <v>0</v>
      </c>
      <c r="QG206" s="91">
        <f t="shared" si="1508"/>
        <v>0</v>
      </c>
      <c r="QH206" s="91">
        <f t="shared" si="1509"/>
        <v>0</v>
      </c>
      <c r="QW206" s="91">
        <f t="shared" si="1510"/>
        <v>0</v>
      </c>
      <c r="QX206" s="91">
        <f t="shared" si="1511"/>
        <v>0</v>
      </c>
      <c r="RM206" s="91">
        <f t="shared" si="1512"/>
        <v>0</v>
      </c>
      <c r="RN206" s="91">
        <f t="shared" si="1513"/>
        <v>0</v>
      </c>
      <c r="SC206" s="91">
        <f t="shared" si="1514"/>
        <v>0</v>
      </c>
      <c r="SD206" s="91">
        <f t="shared" si="1515"/>
        <v>0</v>
      </c>
      <c r="SS206" s="91">
        <f t="shared" si="1516"/>
        <v>0</v>
      </c>
      <c r="ST206" s="91">
        <f t="shared" si="1517"/>
        <v>0</v>
      </c>
      <c r="TI206" s="91">
        <f t="shared" si="1518"/>
        <v>0</v>
      </c>
      <c r="TJ206" s="91">
        <f t="shared" si="1519"/>
        <v>0</v>
      </c>
      <c r="TY206" s="91">
        <f t="shared" si="1520"/>
        <v>0</v>
      </c>
      <c r="TZ206" s="91">
        <f t="shared" si="1521"/>
        <v>0</v>
      </c>
      <c r="UO206" s="91">
        <f t="shared" si="1522"/>
        <v>0</v>
      </c>
      <c r="UP206" s="91">
        <f t="shared" si="1523"/>
        <v>0</v>
      </c>
      <c r="VE206" s="91">
        <f t="shared" si="1524"/>
        <v>0</v>
      </c>
      <c r="VF206" s="91">
        <f t="shared" si="1525"/>
        <v>0</v>
      </c>
      <c r="VU206" s="91">
        <f t="shared" si="1526"/>
        <v>0</v>
      </c>
      <c r="VV206" s="91">
        <f t="shared" si="1527"/>
        <v>0</v>
      </c>
      <c r="WK206" s="91">
        <f t="shared" si="1528"/>
        <v>0</v>
      </c>
      <c r="WL206" s="91">
        <f t="shared" si="1529"/>
        <v>0</v>
      </c>
      <c r="WM206" s="89"/>
      <c r="WN206" s="87">
        <f t="shared" si="1530"/>
        <v>0</v>
      </c>
      <c r="WO206" s="87">
        <f t="shared" si="1531"/>
        <v>0</v>
      </c>
      <c r="WP206" s="87">
        <f t="shared" si="1532"/>
        <v>76950</v>
      </c>
      <c r="WQ206" s="87">
        <f t="shared" si="1533"/>
        <v>2082300</v>
      </c>
      <c r="WR206" s="87">
        <f t="shared" si="1534"/>
        <v>0</v>
      </c>
      <c r="WS206" s="87">
        <f t="shared" si="1535"/>
        <v>0</v>
      </c>
      <c r="WT206" s="87">
        <f t="shared" si="1536"/>
        <v>0</v>
      </c>
      <c r="WU206" s="87">
        <f t="shared" si="1537"/>
        <v>0</v>
      </c>
      <c r="WV206" s="87">
        <f t="shared" si="1538"/>
        <v>0</v>
      </c>
      <c r="WW206" s="87">
        <f t="shared" si="1539"/>
        <v>0</v>
      </c>
      <c r="WX206" s="87">
        <f t="shared" si="1540"/>
        <v>0</v>
      </c>
      <c r="WY206" s="87">
        <f t="shared" si="1541"/>
        <v>0</v>
      </c>
      <c r="WZ206" s="87">
        <f t="shared" si="1542"/>
        <v>0</v>
      </c>
      <c r="XA206" s="87">
        <f t="shared" si="1543"/>
        <v>0</v>
      </c>
      <c r="XB206" s="92">
        <f t="shared" si="1544"/>
        <v>76950</v>
      </c>
      <c r="XC206" s="92">
        <f t="shared" si="1545"/>
        <v>2082300</v>
      </c>
      <c r="XD206" s="89"/>
      <c r="XE206" s="92"/>
      <c r="XF206" s="92"/>
      <c r="XG206" s="89"/>
      <c r="XH206" s="92"/>
      <c r="XI206" s="92"/>
      <c r="XJ206" s="89"/>
      <c r="XK206" s="87"/>
      <c r="XL206" s="87"/>
      <c r="XM206" s="87"/>
      <c r="XN206" s="87"/>
      <c r="XO206" s="87"/>
      <c r="XP206" s="87"/>
      <c r="XQ206" s="87"/>
      <c r="XR206" s="92">
        <f t="shared" ca="1" si="1546"/>
        <v>0</v>
      </c>
      <c r="XS206" s="89"/>
      <c r="XT206" s="87"/>
      <c r="XU206" s="87"/>
      <c r="XV206" s="87"/>
      <c r="XW206" s="87"/>
      <c r="XX206" s="87"/>
      <c r="XY206" s="87"/>
      <c r="XZ206" s="87"/>
      <c r="YA206" s="92">
        <f t="shared" ca="1" si="1547"/>
        <v>0</v>
      </c>
      <c r="YB206" s="90"/>
      <c r="YC206" s="90"/>
      <c r="YD206" s="90"/>
      <c r="YE206" s="90"/>
      <c r="YF206" s="90"/>
      <c r="YG206" s="90"/>
      <c r="YH206" s="90"/>
      <c r="YI206" s="90"/>
      <c r="YJ206" s="90"/>
      <c r="YK206" s="90"/>
      <c r="YL206" s="90"/>
      <c r="YM206" s="90"/>
      <c r="YN206" s="90"/>
      <c r="YO206" s="90"/>
      <c r="YP206" s="90"/>
      <c r="YQ206" s="90"/>
      <c r="YR206" s="90"/>
      <c r="YS206" s="90"/>
      <c r="YT206" s="90"/>
      <c r="YU206" s="90"/>
      <c r="YV206" s="90"/>
      <c r="YW206" s="90"/>
      <c r="YX206" s="90"/>
      <c r="YY206" s="90"/>
      <c r="YZ206" s="90"/>
      <c r="ZA206" s="90"/>
      <c r="ZB206" s="90"/>
      <c r="ZC206" s="90"/>
      <c r="ZD206" s="90"/>
      <c r="ZE206" s="90"/>
      <c r="ZF206" s="90"/>
      <c r="ZG206" s="90"/>
      <c r="ZH206" s="90"/>
      <c r="ZI206" s="90"/>
      <c r="ZJ206" s="90"/>
      <c r="ZK206" s="90"/>
      <c r="ZL206" s="90"/>
      <c r="ZM206" s="90"/>
      <c r="ZN206" s="90"/>
      <c r="ZO206" s="90"/>
      <c r="ZP206" s="90"/>
      <c r="ZQ206" s="90"/>
      <c r="ZR206" s="90"/>
      <c r="ZS206" s="90"/>
      <c r="ZT206" s="90"/>
      <c r="ZU206" s="90"/>
      <c r="ZV206" s="90"/>
      <c r="ZW206" s="90"/>
      <c r="ZX206" s="90"/>
      <c r="ZY206" s="90"/>
      <c r="ZZ206" s="90"/>
      <c r="AAA206" s="90"/>
      <c r="AAB206" s="90"/>
      <c r="AAC206" s="90"/>
      <c r="AAD206" s="90"/>
      <c r="AAE206" s="90"/>
      <c r="AAF206" s="90"/>
      <c r="AAG206" s="90"/>
      <c r="AAH206" s="90"/>
      <c r="AAI206" s="90"/>
      <c r="AAJ206" s="90"/>
      <c r="AAK206" s="90"/>
      <c r="AAL206" s="90"/>
      <c r="AAM206" s="90"/>
      <c r="AAN206" s="90"/>
      <c r="AAO206" s="90"/>
      <c r="AAP206" s="90"/>
      <c r="AAQ206" s="90"/>
      <c r="AAR206" s="90"/>
      <c r="AAS206" s="90"/>
      <c r="AAT206" s="90"/>
      <c r="AAU206" s="90"/>
      <c r="AAV206" s="90"/>
      <c r="AAW206" s="90"/>
      <c r="AAX206" s="90"/>
      <c r="AAY206" s="90"/>
      <c r="AAZ206" s="90"/>
      <c r="ABA206" s="90"/>
      <c r="ABB206" s="90"/>
      <c r="ABC206" s="90"/>
      <c r="ABD206" s="90"/>
      <c r="ABE206" s="90"/>
      <c r="ABF206" s="90"/>
      <c r="ABG206" s="90"/>
      <c r="ABH206" s="90"/>
      <c r="ABI206" s="90"/>
      <c r="ABJ206" s="90"/>
      <c r="ABK206" s="90"/>
      <c r="ABL206" s="90"/>
      <c r="ABM206" s="90"/>
      <c r="ABN206" s="90"/>
      <c r="ABO206" s="90"/>
      <c r="ABP206" s="90"/>
      <c r="ABQ206" s="90"/>
      <c r="ABR206" s="90"/>
      <c r="ABS206" s="90"/>
      <c r="ABT206" s="90"/>
      <c r="ABU206" s="90"/>
      <c r="ABV206" s="90"/>
      <c r="ABW206" s="90"/>
      <c r="ABX206" s="90"/>
      <c r="ABY206" s="90"/>
      <c r="ABZ206" s="90"/>
      <c r="ACA206" s="90"/>
      <c r="ACB206" s="90"/>
      <c r="ACC206" s="90"/>
      <c r="ACD206" s="90"/>
      <c r="ACE206" s="90"/>
      <c r="ACF206" s="90"/>
      <c r="ACG206" s="90"/>
      <c r="ACH206" s="90"/>
      <c r="ACI206" s="90"/>
      <c r="ACJ206" s="90"/>
      <c r="ACK206" s="90"/>
      <c r="ACL206" s="90"/>
      <c r="ACM206" s="90"/>
      <c r="ACN206" s="90"/>
      <c r="ACO206" s="90"/>
      <c r="ACP206" s="90"/>
      <c r="ACQ206" s="90"/>
      <c r="ACR206" s="90"/>
      <c r="ACS206" s="90"/>
      <c r="ACT206" s="90"/>
      <c r="ACU206" s="90"/>
      <c r="ACV206" s="90"/>
      <c r="ACW206" s="90"/>
      <c r="ACX206" s="90"/>
      <c r="ACY206" s="90"/>
      <c r="ACZ206" s="90"/>
      <c r="ADA206" s="90"/>
      <c r="ADB206" s="90"/>
      <c r="ADC206" s="90"/>
      <c r="ADD206" s="90"/>
      <c r="ADE206" s="90"/>
      <c r="ADF206" s="90"/>
      <c r="ADG206" s="90"/>
      <c r="ADH206" s="90"/>
      <c r="ADI206" s="90"/>
      <c r="ADJ206" s="90"/>
      <c r="ADK206" s="90"/>
      <c r="ADL206" s="90"/>
      <c r="ADM206" s="90"/>
      <c r="ADN206" s="90"/>
      <c r="ADO206" s="90"/>
      <c r="ADP206" s="90"/>
      <c r="ADQ206" s="90"/>
      <c r="ADR206" s="90"/>
      <c r="ADS206" s="90"/>
      <c r="ADT206" s="90"/>
      <c r="ADU206" s="90"/>
      <c r="ADV206" s="90"/>
      <c r="ADW206" s="90"/>
      <c r="ADX206" s="90"/>
      <c r="ADY206" s="90"/>
      <c r="ADZ206" s="90"/>
      <c r="AEA206" s="90"/>
      <c r="AEB206" s="90"/>
      <c r="AEC206" s="90"/>
      <c r="AED206" s="90"/>
      <c r="AEE206" s="90"/>
      <c r="AEF206" s="90"/>
      <c r="AEG206" s="90"/>
      <c r="AEH206" s="90"/>
      <c r="AEI206" s="90"/>
      <c r="AEJ206" s="90"/>
      <c r="AEK206" s="90"/>
      <c r="AEL206" s="90"/>
      <c r="AEM206" s="90"/>
      <c r="AEN206" s="90"/>
      <c r="AEO206" s="90"/>
      <c r="AEP206" s="90"/>
      <c r="AEQ206" s="90"/>
      <c r="AER206" s="90"/>
      <c r="AES206" s="90"/>
      <c r="AET206" s="90"/>
      <c r="AEU206" s="90"/>
      <c r="AEV206" s="90"/>
      <c r="AEW206" s="90"/>
      <c r="AEX206" s="90"/>
      <c r="AEY206" s="90"/>
      <c r="AEZ206" s="90"/>
      <c r="AFA206" s="90"/>
      <c r="AFB206" s="90"/>
      <c r="AFC206" s="90"/>
      <c r="AFD206" s="90"/>
      <c r="AFE206" s="90"/>
      <c r="AFF206" s="90"/>
      <c r="AFG206" s="90"/>
      <c r="AFH206" s="90"/>
      <c r="AFI206" s="90"/>
      <c r="AFJ206" s="90"/>
      <c r="AFK206" s="90"/>
      <c r="AFL206" s="90"/>
      <c r="AFM206" s="90"/>
      <c r="AFN206" s="90"/>
      <c r="AFO206" s="90"/>
      <c r="AFP206" s="90"/>
      <c r="AFQ206" s="90"/>
      <c r="AFR206" s="90"/>
      <c r="AFS206" s="90"/>
      <c r="AFT206" s="90"/>
      <c r="AFU206" s="90"/>
      <c r="AFV206" s="90"/>
      <c r="AFW206" s="90"/>
      <c r="AFX206" s="90"/>
      <c r="AFY206" s="90"/>
      <c r="AFZ206" s="90"/>
      <c r="AGA206" s="90"/>
      <c r="AGB206" s="90"/>
      <c r="AGC206" s="90"/>
      <c r="AGD206" s="90"/>
      <c r="AGE206" s="90"/>
      <c r="AGF206" s="90"/>
      <c r="AGG206" s="90"/>
      <c r="AGH206" s="90"/>
      <c r="AGI206" s="90"/>
      <c r="AGJ206" s="90"/>
      <c r="AGK206" s="90"/>
      <c r="AGL206" s="90"/>
      <c r="AGM206" s="90"/>
      <c r="AGN206" s="90"/>
      <c r="AGO206" s="90"/>
      <c r="AGP206" s="90"/>
      <c r="AGQ206" s="90"/>
      <c r="AGR206" s="90"/>
      <c r="AGS206" s="90"/>
      <c r="AGT206" s="90"/>
      <c r="AGU206" s="90"/>
      <c r="AGV206" s="90"/>
      <c r="AGW206" s="90"/>
      <c r="AGX206" s="90"/>
      <c r="AGY206" s="90"/>
      <c r="AGZ206" s="90"/>
      <c r="AHA206" s="90"/>
      <c r="AHB206" s="90"/>
      <c r="AHC206" s="90"/>
      <c r="AHD206" s="90"/>
      <c r="AHE206" s="90"/>
      <c r="AHF206" s="90"/>
      <c r="AHG206" s="90"/>
      <c r="AHH206" s="90"/>
      <c r="AHI206" s="90"/>
      <c r="AHJ206" s="90"/>
      <c r="AHK206" s="90"/>
      <c r="AHL206" s="90"/>
      <c r="AHM206" s="90"/>
      <c r="AHN206" s="90"/>
      <c r="AHO206" s="90"/>
      <c r="AHP206" s="90"/>
      <c r="AHQ206" s="90"/>
      <c r="AHR206" s="90"/>
      <c r="AHS206" s="90"/>
      <c r="AHT206" s="90"/>
      <c r="AHU206" s="90"/>
      <c r="AHV206" s="90"/>
      <c r="AHW206" s="90"/>
      <c r="AHX206" s="90"/>
      <c r="AHY206" s="90"/>
      <c r="AHZ206" s="90"/>
      <c r="AIA206" s="90"/>
      <c r="AIB206" s="90"/>
      <c r="AIC206" s="90"/>
      <c r="AID206" s="90"/>
      <c r="AIE206" s="90"/>
      <c r="AIF206" s="90"/>
      <c r="AIG206" s="90"/>
      <c r="AIH206" s="90"/>
      <c r="AII206" s="90"/>
      <c r="AIJ206" s="90"/>
      <c r="AIK206" s="90"/>
      <c r="AIL206" s="90"/>
      <c r="AIM206" s="90"/>
      <c r="AIN206" s="90"/>
      <c r="AIO206" s="90"/>
      <c r="AIP206" s="90"/>
      <c r="AIQ206" s="90"/>
      <c r="AIR206" s="90"/>
      <c r="AIS206" s="90"/>
      <c r="AIT206" s="90"/>
      <c r="AIU206" s="90"/>
      <c r="AIV206" s="90"/>
      <c r="AIW206" s="90"/>
      <c r="AIX206" s="90"/>
      <c r="AIY206" s="90"/>
      <c r="AIZ206" s="90"/>
      <c r="AJA206" s="90"/>
      <c r="AJB206" s="90"/>
      <c r="AJC206" s="90"/>
      <c r="AJD206" s="90"/>
      <c r="AJE206" s="90"/>
      <c r="AJF206" s="90"/>
      <c r="AJG206" s="90"/>
      <c r="AJH206" s="90"/>
      <c r="AJI206" s="90"/>
      <c r="AJJ206" s="90"/>
      <c r="AJK206" s="90"/>
      <c r="AJL206" s="90"/>
      <c r="AJM206" s="90"/>
      <c r="AJN206" s="90"/>
      <c r="AJO206" s="90"/>
      <c r="AJP206" s="90"/>
      <c r="AJQ206" s="90"/>
      <c r="AJR206" s="90"/>
      <c r="AJS206" s="90"/>
      <c r="AJT206" s="90"/>
      <c r="AJU206" s="90"/>
      <c r="AJV206" s="90"/>
      <c r="AJW206" s="90"/>
      <c r="AJX206" s="90"/>
      <c r="AJY206" s="90"/>
      <c r="AJZ206" s="90"/>
      <c r="AKA206" s="90"/>
      <c r="AKB206" s="90"/>
      <c r="AKC206" s="90"/>
      <c r="AKD206" s="90"/>
      <c r="AKE206" s="90"/>
      <c r="AKF206" s="90"/>
      <c r="AKG206" s="90"/>
      <c r="AKH206" s="90"/>
      <c r="AKI206" s="90"/>
      <c r="AKJ206" s="90"/>
      <c r="AKK206" s="90"/>
      <c r="AKL206" s="90"/>
      <c r="AKM206" s="90"/>
      <c r="AKN206" s="90"/>
      <c r="AKO206" s="90"/>
      <c r="AKP206" s="90"/>
      <c r="AKQ206" s="90"/>
      <c r="AKR206" s="90"/>
      <c r="AKS206" s="90"/>
      <c r="AKT206" s="90"/>
      <c r="AKU206" s="90"/>
      <c r="AKV206" s="90"/>
      <c r="AKW206" s="90"/>
      <c r="AKX206" s="90"/>
      <c r="AKY206" s="90"/>
      <c r="AKZ206" s="90"/>
      <c r="ALA206" s="90"/>
      <c r="ALB206" s="90"/>
      <c r="ALC206" s="90"/>
      <c r="ALD206" s="90"/>
      <c r="ALE206" s="90"/>
      <c r="ALF206" s="90"/>
      <c r="ALG206" s="90"/>
      <c r="ALH206" s="90"/>
      <c r="ALI206" s="90"/>
      <c r="ALJ206" s="90"/>
      <c r="ALK206" s="90"/>
      <c r="ALL206" s="90"/>
      <c r="ALM206" s="90"/>
      <c r="ALN206" s="90"/>
      <c r="ALO206" s="90"/>
      <c r="ALP206" s="90"/>
      <c r="ALQ206" s="90"/>
      <c r="ALR206" s="90"/>
      <c r="ALS206" s="90"/>
      <c r="ALT206" s="90"/>
      <c r="ALU206" s="90"/>
      <c r="ALV206" s="90"/>
      <c r="ALW206" s="90"/>
      <c r="ALX206" s="90"/>
      <c r="ALY206" s="90"/>
      <c r="ALZ206" s="90"/>
      <c r="AMA206" s="90"/>
      <c r="AMB206" s="90"/>
      <c r="AMC206" s="90"/>
    </row>
    <row r="207" spans="1:1017">
      <c r="A207" s="98" t="s">
        <v>50</v>
      </c>
      <c r="B207" s="90" t="str">
        <f t="shared" si="1453"/>
        <v xml:space="preserve">Eucheuma cottonii </v>
      </c>
      <c r="Q207" s="91">
        <f t="shared" si="1454"/>
        <v>0</v>
      </c>
      <c r="R207" s="91">
        <f t="shared" si="1455"/>
        <v>0</v>
      </c>
      <c r="AG207" s="91">
        <f t="shared" si="1456"/>
        <v>0</v>
      </c>
      <c r="AH207" s="91">
        <f t="shared" si="1457"/>
        <v>0</v>
      </c>
      <c r="AW207" s="91">
        <f t="shared" si="1458"/>
        <v>0</v>
      </c>
      <c r="AX207" s="91">
        <f t="shared" si="1459"/>
        <v>0</v>
      </c>
      <c r="BM207" s="91">
        <f t="shared" si="1460"/>
        <v>0</v>
      </c>
      <c r="BN207" s="91">
        <f t="shared" si="1461"/>
        <v>0</v>
      </c>
      <c r="CC207" s="91">
        <f t="shared" si="1462"/>
        <v>0</v>
      </c>
      <c r="CD207" s="91">
        <f t="shared" si="1463"/>
        <v>0</v>
      </c>
      <c r="CS207" s="91">
        <f t="shared" si="1548"/>
        <v>0</v>
      </c>
      <c r="CT207" s="91">
        <f t="shared" si="1549"/>
        <v>0</v>
      </c>
      <c r="DI207" s="91">
        <f t="shared" si="1466"/>
        <v>0</v>
      </c>
      <c r="DJ207" s="91">
        <f t="shared" si="1467"/>
        <v>0</v>
      </c>
      <c r="DY207" s="91">
        <f t="shared" si="1468"/>
        <v>0</v>
      </c>
      <c r="DZ207" s="91">
        <f t="shared" si="1469"/>
        <v>0</v>
      </c>
      <c r="EO207" s="91">
        <f t="shared" si="1470"/>
        <v>0</v>
      </c>
      <c r="EP207" s="91">
        <f t="shared" si="1471"/>
        <v>0</v>
      </c>
      <c r="FE207" s="91">
        <f t="shared" si="1472"/>
        <v>0</v>
      </c>
      <c r="FF207" s="91">
        <f t="shared" si="1473"/>
        <v>0</v>
      </c>
      <c r="FU207" s="91">
        <f t="shared" si="1474"/>
        <v>0</v>
      </c>
      <c r="FV207" s="91">
        <f t="shared" si="1475"/>
        <v>0</v>
      </c>
      <c r="GK207" s="91">
        <f t="shared" si="1476"/>
        <v>0</v>
      </c>
      <c r="GL207" s="91">
        <f t="shared" si="1477"/>
        <v>0</v>
      </c>
      <c r="HA207" s="91">
        <f t="shared" si="1478"/>
        <v>0</v>
      </c>
      <c r="HB207" s="91">
        <f t="shared" si="1479"/>
        <v>0</v>
      </c>
      <c r="HQ207" s="91">
        <f t="shared" si="1480"/>
        <v>0</v>
      </c>
      <c r="HR207" s="91">
        <f t="shared" si="1481"/>
        <v>0</v>
      </c>
      <c r="IG207" s="91">
        <f t="shared" si="1482"/>
        <v>0</v>
      </c>
      <c r="IH207" s="91">
        <f t="shared" si="1483"/>
        <v>0</v>
      </c>
      <c r="IW207" s="91">
        <f t="shared" si="1484"/>
        <v>0</v>
      </c>
      <c r="IX207" s="91">
        <f t="shared" si="1485"/>
        <v>0</v>
      </c>
      <c r="JM207" s="91">
        <f t="shared" si="1486"/>
        <v>0</v>
      </c>
      <c r="JN207" s="91">
        <f t="shared" si="1487"/>
        <v>0</v>
      </c>
      <c r="KC207" s="91">
        <f t="shared" si="1488"/>
        <v>0</v>
      </c>
      <c r="KD207" s="91">
        <f t="shared" si="1489"/>
        <v>0</v>
      </c>
      <c r="KS207" s="91">
        <f t="shared" si="1490"/>
        <v>0</v>
      </c>
      <c r="KT207" s="91">
        <f t="shared" si="1491"/>
        <v>0</v>
      </c>
      <c r="LI207" s="91">
        <f t="shared" si="1492"/>
        <v>0</v>
      </c>
      <c r="LJ207" s="91">
        <f t="shared" si="1493"/>
        <v>0</v>
      </c>
      <c r="LY207" s="91">
        <f t="shared" si="1494"/>
        <v>0</v>
      </c>
      <c r="LZ207" s="91">
        <f t="shared" si="1495"/>
        <v>0</v>
      </c>
      <c r="MO207" s="91">
        <f t="shared" si="1496"/>
        <v>0</v>
      </c>
      <c r="MP207" s="91">
        <f t="shared" si="1497"/>
        <v>0</v>
      </c>
      <c r="NE207" s="91">
        <f t="shared" si="1498"/>
        <v>0</v>
      </c>
      <c r="NF207" s="91">
        <f t="shared" si="1499"/>
        <v>0</v>
      </c>
      <c r="NU207" s="91">
        <f t="shared" si="1500"/>
        <v>0</v>
      </c>
      <c r="NV207" s="91">
        <f t="shared" si="1501"/>
        <v>0</v>
      </c>
      <c r="NW207" s="98">
        <v>3900</v>
      </c>
      <c r="NX207" s="98">
        <v>15600</v>
      </c>
      <c r="OK207" s="91">
        <f t="shared" si="1502"/>
        <v>3900</v>
      </c>
      <c r="OL207" s="91">
        <f t="shared" si="1503"/>
        <v>15600</v>
      </c>
      <c r="OM207" s="98">
        <v>55850500</v>
      </c>
      <c r="ON207" s="98">
        <v>139626250</v>
      </c>
      <c r="PA207" s="91">
        <f t="shared" si="1504"/>
        <v>55850500</v>
      </c>
      <c r="PB207" s="91">
        <f t="shared" si="1505"/>
        <v>139626250</v>
      </c>
      <c r="PQ207" s="91">
        <f t="shared" si="1506"/>
        <v>0</v>
      </c>
      <c r="PR207" s="91">
        <f t="shared" si="1507"/>
        <v>0</v>
      </c>
      <c r="QG207" s="91">
        <f t="shared" si="1508"/>
        <v>0</v>
      </c>
      <c r="QH207" s="91">
        <f t="shared" si="1509"/>
        <v>0</v>
      </c>
      <c r="QW207" s="91">
        <f t="shared" si="1510"/>
        <v>0</v>
      </c>
      <c r="QX207" s="91">
        <f t="shared" si="1511"/>
        <v>0</v>
      </c>
      <c r="RM207" s="91">
        <f t="shared" si="1512"/>
        <v>0</v>
      </c>
      <c r="RN207" s="91">
        <f t="shared" si="1513"/>
        <v>0</v>
      </c>
      <c r="SC207" s="91">
        <f t="shared" si="1514"/>
        <v>0</v>
      </c>
      <c r="SD207" s="91">
        <f t="shared" si="1515"/>
        <v>0</v>
      </c>
      <c r="SS207" s="91">
        <f t="shared" si="1516"/>
        <v>0</v>
      </c>
      <c r="ST207" s="91">
        <f t="shared" si="1517"/>
        <v>0</v>
      </c>
      <c r="TI207" s="91">
        <f t="shared" si="1518"/>
        <v>0</v>
      </c>
      <c r="TJ207" s="91">
        <f t="shared" si="1519"/>
        <v>0</v>
      </c>
      <c r="TY207" s="91">
        <f t="shared" si="1520"/>
        <v>0</v>
      </c>
      <c r="TZ207" s="91">
        <f t="shared" si="1521"/>
        <v>0</v>
      </c>
      <c r="UO207" s="91">
        <f t="shared" si="1522"/>
        <v>0</v>
      </c>
      <c r="UP207" s="91">
        <f t="shared" si="1523"/>
        <v>0</v>
      </c>
      <c r="VE207" s="91">
        <f t="shared" si="1524"/>
        <v>0</v>
      </c>
      <c r="VF207" s="91">
        <f t="shared" si="1525"/>
        <v>0</v>
      </c>
      <c r="VU207" s="91">
        <f t="shared" si="1526"/>
        <v>0</v>
      </c>
      <c r="VV207" s="91">
        <f t="shared" si="1527"/>
        <v>0</v>
      </c>
      <c r="WK207" s="91">
        <f t="shared" si="1528"/>
        <v>0</v>
      </c>
      <c r="WL207" s="91">
        <f t="shared" si="1529"/>
        <v>0</v>
      </c>
      <c r="WM207" s="89"/>
      <c r="WN207" s="87">
        <f t="shared" si="1530"/>
        <v>55854400</v>
      </c>
      <c r="WO207" s="87">
        <f t="shared" si="1531"/>
        <v>139641850</v>
      </c>
      <c r="WP207" s="87">
        <f t="shared" si="1532"/>
        <v>0</v>
      </c>
      <c r="WQ207" s="87">
        <f t="shared" si="1533"/>
        <v>0</v>
      </c>
      <c r="WR207" s="87">
        <f t="shared" si="1534"/>
        <v>0</v>
      </c>
      <c r="WS207" s="87">
        <f t="shared" si="1535"/>
        <v>0</v>
      </c>
      <c r="WT207" s="87">
        <f t="shared" si="1536"/>
        <v>0</v>
      </c>
      <c r="WU207" s="87">
        <f t="shared" si="1537"/>
        <v>0</v>
      </c>
      <c r="WV207" s="87">
        <f t="shared" si="1538"/>
        <v>0</v>
      </c>
      <c r="WW207" s="87">
        <f t="shared" si="1539"/>
        <v>0</v>
      </c>
      <c r="WX207" s="87">
        <f t="shared" si="1540"/>
        <v>0</v>
      </c>
      <c r="WY207" s="87">
        <f t="shared" si="1541"/>
        <v>0</v>
      </c>
      <c r="WZ207" s="87">
        <f t="shared" si="1542"/>
        <v>0</v>
      </c>
      <c r="XA207" s="87">
        <f t="shared" si="1543"/>
        <v>0</v>
      </c>
      <c r="XB207" s="92">
        <f t="shared" si="1544"/>
        <v>55854400</v>
      </c>
      <c r="XC207" s="92">
        <f t="shared" si="1545"/>
        <v>139641850</v>
      </c>
      <c r="XD207" s="89"/>
      <c r="XE207" s="92"/>
      <c r="XF207" s="92"/>
      <c r="XG207" s="89"/>
      <c r="XH207" s="92"/>
      <c r="XI207" s="92"/>
      <c r="XJ207" s="89"/>
      <c r="XK207" s="87"/>
      <c r="XL207" s="87"/>
      <c r="XM207" s="87"/>
      <c r="XN207" s="87"/>
      <c r="XO207" s="87"/>
      <c r="XP207" s="87"/>
      <c r="XQ207" s="87"/>
      <c r="XR207" s="92">
        <f t="shared" ca="1" si="1546"/>
        <v>0</v>
      </c>
      <c r="XS207" s="89"/>
      <c r="XT207" s="87"/>
      <c r="XU207" s="87"/>
      <c r="XV207" s="87"/>
      <c r="XW207" s="87"/>
      <c r="XX207" s="87"/>
      <c r="XY207" s="87"/>
      <c r="XZ207" s="87"/>
      <c r="YA207" s="92">
        <f t="shared" ca="1" si="1547"/>
        <v>0</v>
      </c>
      <c r="YB207" s="90"/>
      <c r="YC207" s="90"/>
      <c r="YD207" s="90"/>
      <c r="YE207" s="90"/>
      <c r="YF207" s="90"/>
      <c r="YG207" s="90"/>
      <c r="YH207" s="90"/>
      <c r="YI207" s="90"/>
      <c r="YJ207" s="90"/>
      <c r="YK207" s="90"/>
      <c r="YL207" s="90"/>
      <c r="YM207" s="90"/>
      <c r="YN207" s="90"/>
      <c r="YO207" s="90"/>
      <c r="YP207" s="90"/>
      <c r="YQ207" s="90"/>
      <c r="YR207" s="90"/>
      <c r="YS207" s="90"/>
      <c r="YT207" s="90"/>
      <c r="YU207" s="90"/>
      <c r="YV207" s="90"/>
      <c r="YW207" s="90"/>
      <c r="YX207" s="90"/>
      <c r="YY207" s="90"/>
      <c r="YZ207" s="90"/>
      <c r="ZA207" s="90"/>
      <c r="ZB207" s="90"/>
      <c r="ZC207" s="90"/>
      <c r="ZD207" s="90"/>
      <c r="ZE207" s="90"/>
      <c r="ZF207" s="90"/>
      <c r="ZG207" s="90"/>
      <c r="ZH207" s="90"/>
      <c r="ZI207" s="90"/>
      <c r="ZJ207" s="90"/>
      <c r="ZK207" s="90"/>
      <c r="ZL207" s="90"/>
      <c r="ZM207" s="90"/>
      <c r="ZN207" s="90"/>
      <c r="ZO207" s="90"/>
      <c r="ZP207" s="90"/>
      <c r="ZQ207" s="90"/>
      <c r="ZR207" s="90"/>
      <c r="ZS207" s="90"/>
      <c r="ZT207" s="90"/>
      <c r="ZU207" s="90"/>
      <c r="ZV207" s="90"/>
      <c r="ZW207" s="90"/>
      <c r="ZX207" s="90"/>
      <c r="ZY207" s="90"/>
      <c r="ZZ207" s="90"/>
      <c r="AAA207" s="90"/>
      <c r="AAB207" s="90"/>
      <c r="AAC207" s="90"/>
      <c r="AAD207" s="90"/>
      <c r="AAE207" s="90"/>
      <c r="AAF207" s="90"/>
      <c r="AAG207" s="90"/>
      <c r="AAH207" s="90"/>
      <c r="AAI207" s="90"/>
      <c r="AAJ207" s="90"/>
      <c r="AAK207" s="90"/>
      <c r="AAL207" s="90"/>
      <c r="AAM207" s="90"/>
      <c r="AAN207" s="90"/>
      <c r="AAO207" s="90"/>
      <c r="AAP207" s="90"/>
      <c r="AAQ207" s="90"/>
      <c r="AAR207" s="90"/>
      <c r="AAS207" s="90"/>
      <c r="AAT207" s="90"/>
      <c r="AAU207" s="90"/>
      <c r="AAV207" s="90"/>
      <c r="AAW207" s="90"/>
      <c r="AAX207" s="90"/>
      <c r="AAY207" s="90"/>
      <c r="AAZ207" s="90"/>
      <c r="ABA207" s="90"/>
      <c r="ABB207" s="90"/>
      <c r="ABC207" s="90"/>
      <c r="ABD207" s="90"/>
      <c r="ABE207" s="90"/>
      <c r="ABF207" s="90"/>
      <c r="ABG207" s="90"/>
      <c r="ABH207" s="90"/>
      <c r="ABI207" s="90"/>
      <c r="ABJ207" s="90"/>
      <c r="ABK207" s="90"/>
      <c r="ABL207" s="90"/>
      <c r="ABM207" s="90"/>
      <c r="ABN207" s="90"/>
      <c r="ABO207" s="90"/>
      <c r="ABP207" s="90"/>
      <c r="ABQ207" s="90"/>
      <c r="ABR207" s="90"/>
      <c r="ABS207" s="90"/>
      <c r="ABT207" s="90"/>
      <c r="ABU207" s="90"/>
      <c r="ABV207" s="90"/>
      <c r="ABW207" s="90"/>
      <c r="ABX207" s="90"/>
      <c r="ABY207" s="90"/>
      <c r="ABZ207" s="90"/>
      <c r="ACA207" s="90"/>
      <c r="ACB207" s="90"/>
      <c r="ACC207" s="90"/>
      <c r="ACD207" s="90"/>
      <c r="ACE207" s="90"/>
      <c r="ACF207" s="90"/>
      <c r="ACG207" s="90"/>
      <c r="ACH207" s="90"/>
      <c r="ACI207" s="90"/>
      <c r="ACJ207" s="90"/>
      <c r="ACK207" s="90"/>
      <c r="ACL207" s="90"/>
      <c r="ACM207" s="90"/>
      <c r="ACN207" s="90"/>
      <c r="ACO207" s="90"/>
      <c r="ACP207" s="90"/>
      <c r="ACQ207" s="90"/>
      <c r="ACR207" s="90"/>
      <c r="ACS207" s="90"/>
      <c r="ACT207" s="90"/>
      <c r="ACU207" s="90"/>
      <c r="ACV207" s="90"/>
      <c r="ACW207" s="90"/>
      <c r="ACX207" s="90"/>
      <c r="ACY207" s="90"/>
      <c r="ACZ207" s="90"/>
      <c r="ADA207" s="90"/>
      <c r="ADB207" s="90"/>
      <c r="ADC207" s="90"/>
      <c r="ADD207" s="90"/>
      <c r="ADE207" s="90"/>
      <c r="ADF207" s="90"/>
      <c r="ADG207" s="90"/>
      <c r="ADH207" s="90"/>
      <c r="ADI207" s="90"/>
      <c r="ADJ207" s="90"/>
      <c r="ADK207" s="90"/>
      <c r="ADL207" s="90"/>
      <c r="ADM207" s="90"/>
      <c r="ADN207" s="90"/>
      <c r="ADO207" s="90"/>
      <c r="ADP207" s="90"/>
      <c r="ADQ207" s="90"/>
      <c r="ADR207" s="90"/>
      <c r="ADS207" s="90"/>
      <c r="ADT207" s="90"/>
      <c r="ADU207" s="90"/>
      <c r="ADV207" s="90"/>
      <c r="ADW207" s="90"/>
      <c r="ADX207" s="90"/>
      <c r="ADY207" s="90"/>
      <c r="ADZ207" s="90"/>
      <c r="AEA207" s="90"/>
      <c r="AEB207" s="90"/>
      <c r="AEC207" s="90"/>
      <c r="AED207" s="90"/>
      <c r="AEE207" s="90"/>
      <c r="AEF207" s="90"/>
      <c r="AEG207" s="90"/>
      <c r="AEH207" s="90"/>
      <c r="AEI207" s="90"/>
      <c r="AEJ207" s="90"/>
      <c r="AEK207" s="90"/>
      <c r="AEL207" s="90"/>
      <c r="AEM207" s="90"/>
      <c r="AEN207" s="90"/>
      <c r="AEO207" s="90"/>
      <c r="AEP207" s="90"/>
      <c r="AEQ207" s="90"/>
      <c r="AER207" s="90"/>
      <c r="AES207" s="90"/>
      <c r="AET207" s="90"/>
      <c r="AEU207" s="90"/>
      <c r="AEV207" s="90"/>
      <c r="AEW207" s="90"/>
      <c r="AEX207" s="90"/>
      <c r="AEY207" s="90"/>
      <c r="AEZ207" s="90"/>
      <c r="AFA207" s="90"/>
      <c r="AFB207" s="90"/>
      <c r="AFC207" s="90"/>
      <c r="AFD207" s="90"/>
      <c r="AFE207" s="90"/>
      <c r="AFF207" s="90"/>
      <c r="AFG207" s="90"/>
      <c r="AFH207" s="90"/>
      <c r="AFI207" s="90"/>
      <c r="AFJ207" s="90"/>
      <c r="AFK207" s="90"/>
      <c r="AFL207" s="90"/>
      <c r="AFM207" s="90"/>
      <c r="AFN207" s="90"/>
      <c r="AFO207" s="90"/>
      <c r="AFP207" s="90"/>
      <c r="AFQ207" s="90"/>
      <c r="AFR207" s="90"/>
      <c r="AFS207" s="90"/>
      <c r="AFT207" s="90"/>
      <c r="AFU207" s="90"/>
      <c r="AFV207" s="90"/>
      <c r="AFW207" s="90"/>
      <c r="AFX207" s="90"/>
      <c r="AFY207" s="90"/>
      <c r="AFZ207" s="90"/>
      <c r="AGA207" s="90"/>
      <c r="AGB207" s="90"/>
      <c r="AGC207" s="90"/>
      <c r="AGD207" s="90"/>
      <c r="AGE207" s="90"/>
      <c r="AGF207" s="90"/>
      <c r="AGG207" s="90"/>
      <c r="AGH207" s="90"/>
      <c r="AGI207" s="90"/>
      <c r="AGJ207" s="90"/>
      <c r="AGK207" s="90"/>
      <c r="AGL207" s="90"/>
      <c r="AGM207" s="90"/>
      <c r="AGN207" s="90"/>
      <c r="AGO207" s="90"/>
      <c r="AGP207" s="90"/>
      <c r="AGQ207" s="90"/>
      <c r="AGR207" s="90"/>
      <c r="AGS207" s="90"/>
      <c r="AGT207" s="90"/>
      <c r="AGU207" s="90"/>
      <c r="AGV207" s="90"/>
      <c r="AGW207" s="90"/>
      <c r="AGX207" s="90"/>
      <c r="AGY207" s="90"/>
      <c r="AGZ207" s="90"/>
      <c r="AHA207" s="90"/>
      <c r="AHB207" s="90"/>
      <c r="AHC207" s="90"/>
      <c r="AHD207" s="90"/>
      <c r="AHE207" s="90"/>
      <c r="AHF207" s="90"/>
      <c r="AHG207" s="90"/>
      <c r="AHH207" s="90"/>
      <c r="AHI207" s="90"/>
      <c r="AHJ207" s="90"/>
      <c r="AHK207" s="90"/>
      <c r="AHL207" s="90"/>
      <c r="AHM207" s="90"/>
      <c r="AHN207" s="90"/>
      <c r="AHO207" s="90"/>
      <c r="AHP207" s="90"/>
      <c r="AHQ207" s="90"/>
      <c r="AHR207" s="90"/>
      <c r="AHS207" s="90"/>
      <c r="AHT207" s="90"/>
      <c r="AHU207" s="90"/>
      <c r="AHV207" s="90"/>
      <c r="AHW207" s="90"/>
      <c r="AHX207" s="90"/>
      <c r="AHY207" s="90"/>
      <c r="AHZ207" s="90"/>
      <c r="AIA207" s="90"/>
      <c r="AIB207" s="90"/>
      <c r="AIC207" s="90"/>
      <c r="AID207" s="90"/>
      <c r="AIE207" s="90"/>
      <c r="AIF207" s="90"/>
      <c r="AIG207" s="90"/>
      <c r="AIH207" s="90"/>
      <c r="AII207" s="90"/>
      <c r="AIJ207" s="90"/>
      <c r="AIK207" s="90"/>
      <c r="AIL207" s="90"/>
      <c r="AIM207" s="90"/>
      <c r="AIN207" s="90"/>
      <c r="AIO207" s="90"/>
      <c r="AIP207" s="90"/>
      <c r="AIQ207" s="90"/>
      <c r="AIR207" s="90"/>
      <c r="AIS207" s="90"/>
      <c r="AIT207" s="90"/>
      <c r="AIU207" s="90"/>
      <c r="AIV207" s="90"/>
      <c r="AIW207" s="90"/>
      <c r="AIX207" s="90"/>
      <c r="AIY207" s="90"/>
      <c r="AIZ207" s="90"/>
      <c r="AJA207" s="90"/>
      <c r="AJB207" s="90"/>
      <c r="AJC207" s="90"/>
      <c r="AJD207" s="90"/>
      <c r="AJE207" s="90"/>
      <c r="AJF207" s="90"/>
      <c r="AJG207" s="90"/>
      <c r="AJH207" s="90"/>
      <c r="AJI207" s="90"/>
      <c r="AJJ207" s="90"/>
      <c r="AJK207" s="90"/>
      <c r="AJL207" s="90"/>
      <c r="AJM207" s="90"/>
      <c r="AJN207" s="90"/>
      <c r="AJO207" s="90"/>
      <c r="AJP207" s="90"/>
      <c r="AJQ207" s="90"/>
      <c r="AJR207" s="90"/>
      <c r="AJS207" s="90"/>
      <c r="AJT207" s="90"/>
      <c r="AJU207" s="90"/>
      <c r="AJV207" s="90"/>
      <c r="AJW207" s="90"/>
      <c r="AJX207" s="90"/>
      <c r="AJY207" s="90"/>
      <c r="AJZ207" s="90"/>
      <c r="AKA207" s="90"/>
      <c r="AKB207" s="90"/>
      <c r="AKC207" s="90"/>
      <c r="AKD207" s="90"/>
      <c r="AKE207" s="90"/>
      <c r="AKF207" s="90"/>
      <c r="AKG207" s="90"/>
      <c r="AKH207" s="90"/>
      <c r="AKI207" s="90"/>
      <c r="AKJ207" s="90"/>
      <c r="AKK207" s="90"/>
      <c r="AKL207" s="90"/>
      <c r="AKM207" s="90"/>
      <c r="AKN207" s="90"/>
      <c r="AKO207" s="90"/>
      <c r="AKP207" s="90"/>
      <c r="AKQ207" s="90"/>
      <c r="AKR207" s="90"/>
      <c r="AKS207" s="90"/>
      <c r="AKT207" s="90"/>
      <c r="AKU207" s="90"/>
      <c r="AKV207" s="90"/>
      <c r="AKW207" s="90"/>
      <c r="AKX207" s="90"/>
      <c r="AKY207" s="90"/>
      <c r="AKZ207" s="90"/>
      <c r="ALA207" s="90"/>
      <c r="ALB207" s="90"/>
      <c r="ALC207" s="90"/>
      <c r="ALD207" s="90"/>
      <c r="ALE207" s="90"/>
      <c r="ALF207" s="90"/>
      <c r="ALG207" s="90"/>
      <c r="ALH207" s="90"/>
      <c r="ALI207" s="90"/>
      <c r="ALJ207" s="90"/>
      <c r="ALK207" s="90"/>
      <c r="ALL207" s="90"/>
      <c r="ALM207" s="90"/>
      <c r="ALN207" s="90"/>
      <c r="ALO207" s="90"/>
      <c r="ALP207" s="90"/>
      <c r="ALQ207" s="90"/>
      <c r="ALR207" s="90"/>
      <c r="ALS207" s="90"/>
      <c r="ALT207" s="90"/>
      <c r="ALU207" s="90"/>
      <c r="ALV207" s="90"/>
      <c r="ALW207" s="90"/>
      <c r="ALX207" s="90"/>
      <c r="ALY207" s="90"/>
      <c r="ALZ207" s="90"/>
      <c r="AMA207" s="90"/>
      <c r="AMB207" s="90"/>
      <c r="AMC207" s="90"/>
    </row>
    <row r="208" spans="1:1017">
      <c r="A208" s="98" t="s">
        <v>50</v>
      </c>
      <c r="B208" s="90" t="str">
        <f t="shared" si="1453"/>
        <v xml:space="preserve">Gabus </v>
      </c>
      <c r="Q208" s="91">
        <f t="shared" si="1454"/>
        <v>0</v>
      </c>
      <c r="R208" s="91">
        <f t="shared" si="1455"/>
        <v>0</v>
      </c>
      <c r="Y208" s="98">
        <v>105</v>
      </c>
      <c r="Z208" s="98">
        <v>4200</v>
      </c>
      <c r="AG208" s="91">
        <f t="shared" si="1456"/>
        <v>105</v>
      </c>
      <c r="AH208" s="91">
        <f t="shared" si="1457"/>
        <v>4200</v>
      </c>
      <c r="AW208" s="91">
        <f t="shared" si="1458"/>
        <v>0</v>
      </c>
      <c r="AX208" s="91">
        <f t="shared" si="1459"/>
        <v>0</v>
      </c>
      <c r="BM208" s="91">
        <f t="shared" si="1460"/>
        <v>0</v>
      </c>
      <c r="BN208" s="91">
        <f t="shared" si="1461"/>
        <v>0</v>
      </c>
      <c r="CC208" s="91">
        <f t="shared" si="1462"/>
        <v>0</v>
      </c>
      <c r="CD208" s="91">
        <f t="shared" si="1463"/>
        <v>0</v>
      </c>
      <c r="CS208" s="91">
        <f t="shared" si="1548"/>
        <v>0</v>
      </c>
      <c r="CT208" s="91">
        <f t="shared" si="1549"/>
        <v>0</v>
      </c>
      <c r="DI208" s="91">
        <f t="shared" si="1466"/>
        <v>0</v>
      </c>
      <c r="DJ208" s="91">
        <f t="shared" si="1467"/>
        <v>0</v>
      </c>
      <c r="DY208" s="91">
        <f t="shared" si="1468"/>
        <v>0</v>
      </c>
      <c r="DZ208" s="91">
        <f t="shared" si="1469"/>
        <v>0</v>
      </c>
      <c r="EO208" s="91">
        <f t="shared" si="1470"/>
        <v>0</v>
      </c>
      <c r="EP208" s="91">
        <f t="shared" si="1471"/>
        <v>0</v>
      </c>
      <c r="EW208" s="98">
        <v>2547</v>
      </c>
      <c r="EX208" s="98">
        <v>114615</v>
      </c>
      <c r="FE208" s="91">
        <f t="shared" si="1472"/>
        <v>2547</v>
      </c>
      <c r="FF208" s="91">
        <f t="shared" si="1473"/>
        <v>114615</v>
      </c>
      <c r="FM208" s="98">
        <v>317</v>
      </c>
      <c r="FN208" s="98">
        <v>12680</v>
      </c>
      <c r="FU208" s="91">
        <f t="shared" si="1474"/>
        <v>317</v>
      </c>
      <c r="FV208" s="91">
        <f t="shared" si="1475"/>
        <v>12680</v>
      </c>
      <c r="GK208" s="91">
        <f t="shared" si="1476"/>
        <v>0</v>
      </c>
      <c r="GL208" s="91">
        <f t="shared" si="1477"/>
        <v>0</v>
      </c>
      <c r="HA208" s="91">
        <f t="shared" si="1478"/>
        <v>0</v>
      </c>
      <c r="HB208" s="91">
        <f t="shared" si="1479"/>
        <v>0</v>
      </c>
      <c r="HQ208" s="91">
        <f t="shared" si="1480"/>
        <v>0</v>
      </c>
      <c r="HR208" s="91">
        <f t="shared" si="1481"/>
        <v>0</v>
      </c>
      <c r="IG208" s="91">
        <f t="shared" si="1482"/>
        <v>0</v>
      </c>
      <c r="IH208" s="91">
        <f t="shared" si="1483"/>
        <v>0</v>
      </c>
      <c r="IW208" s="91">
        <f t="shared" si="1484"/>
        <v>0</v>
      </c>
      <c r="IX208" s="91">
        <f t="shared" si="1485"/>
        <v>0</v>
      </c>
      <c r="JM208" s="91">
        <f t="shared" si="1486"/>
        <v>0</v>
      </c>
      <c r="JN208" s="91">
        <f t="shared" si="1487"/>
        <v>0</v>
      </c>
      <c r="KC208" s="91">
        <f t="shared" si="1488"/>
        <v>0</v>
      </c>
      <c r="KD208" s="91">
        <f t="shared" si="1489"/>
        <v>0</v>
      </c>
      <c r="KS208" s="91">
        <f t="shared" si="1490"/>
        <v>0</v>
      </c>
      <c r="KT208" s="91">
        <f t="shared" si="1491"/>
        <v>0</v>
      </c>
      <c r="LI208" s="91">
        <f t="shared" si="1492"/>
        <v>0</v>
      </c>
      <c r="LJ208" s="91">
        <f t="shared" si="1493"/>
        <v>0</v>
      </c>
      <c r="LQ208" s="98">
        <v>69</v>
      </c>
      <c r="LR208" s="98">
        <v>4140</v>
      </c>
      <c r="LY208" s="91">
        <f t="shared" si="1494"/>
        <v>69</v>
      </c>
      <c r="LZ208" s="91">
        <f t="shared" si="1495"/>
        <v>4140</v>
      </c>
      <c r="MO208" s="91">
        <f t="shared" si="1496"/>
        <v>0</v>
      </c>
      <c r="MP208" s="91">
        <f t="shared" si="1497"/>
        <v>0</v>
      </c>
      <c r="NE208" s="91">
        <f t="shared" si="1498"/>
        <v>0</v>
      </c>
      <c r="NF208" s="91">
        <f t="shared" si="1499"/>
        <v>0</v>
      </c>
      <c r="NU208" s="91">
        <f t="shared" si="1500"/>
        <v>0</v>
      </c>
      <c r="NV208" s="91">
        <f t="shared" si="1501"/>
        <v>0</v>
      </c>
      <c r="OK208" s="91">
        <f t="shared" si="1502"/>
        <v>0</v>
      </c>
      <c r="OL208" s="91">
        <f t="shared" si="1503"/>
        <v>0</v>
      </c>
      <c r="PA208" s="91">
        <f t="shared" si="1504"/>
        <v>0</v>
      </c>
      <c r="PB208" s="91">
        <f t="shared" si="1505"/>
        <v>0</v>
      </c>
      <c r="PI208" s="98">
        <v>618</v>
      </c>
      <c r="PJ208" s="98">
        <v>18540</v>
      </c>
      <c r="PQ208" s="91">
        <f t="shared" si="1506"/>
        <v>618</v>
      </c>
      <c r="PR208" s="91">
        <f t="shared" si="1507"/>
        <v>18540</v>
      </c>
      <c r="PY208" s="98">
        <v>26080</v>
      </c>
      <c r="PZ208" s="98">
        <v>1304000</v>
      </c>
      <c r="QG208" s="91">
        <f t="shared" si="1508"/>
        <v>26080</v>
      </c>
      <c r="QH208" s="91">
        <f t="shared" si="1509"/>
        <v>1304000</v>
      </c>
      <c r="QO208" s="98">
        <v>5000</v>
      </c>
      <c r="QP208" s="98">
        <v>175000</v>
      </c>
      <c r="QW208" s="91">
        <f t="shared" si="1510"/>
        <v>5000</v>
      </c>
      <c r="QX208" s="91">
        <f t="shared" si="1511"/>
        <v>175000</v>
      </c>
      <c r="RM208" s="91">
        <f t="shared" si="1512"/>
        <v>0</v>
      </c>
      <c r="RN208" s="91">
        <f t="shared" si="1513"/>
        <v>0</v>
      </c>
      <c r="SC208" s="91">
        <f t="shared" si="1514"/>
        <v>0</v>
      </c>
      <c r="SD208" s="91">
        <f t="shared" si="1515"/>
        <v>0</v>
      </c>
      <c r="SS208" s="91">
        <f t="shared" si="1516"/>
        <v>0</v>
      </c>
      <c r="ST208" s="91">
        <f t="shared" si="1517"/>
        <v>0</v>
      </c>
      <c r="TI208" s="91">
        <f t="shared" si="1518"/>
        <v>0</v>
      </c>
      <c r="TJ208" s="91">
        <f t="shared" si="1519"/>
        <v>0</v>
      </c>
      <c r="TY208" s="91">
        <f t="shared" si="1520"/>
        <v>0</v>
      </c>
      <c r="TZ208" s="91">
        <f t="shared" si="1521"/>
        <v>0</v>
      </c>
      <c r="UO208" s="91">
        <f t="shared" si="1522"/>
        <v>0</v>
      </c>
      <c r="UP208" s="91">
        <f t="shared" si="1523"/>
        <v>0</v>
      </c>
      <c r="VE208" s="91">
        <f t="shared" si="1524"/>
        <v>0</v>
      </c>
      <c r="VF208" s="91">
        <f t="shared" si="1525"/>
        <v>0</v>
      </c>
      <c r="VU208" s="91">
        <f t="shared" si="1526"/>
        <v>0</v>
      </c>
      <c r="VV208" s="91">
        <f t="shared" si="1527"/>
        <v>0</v>
      </c>
      <c r="WK208" s="91">
        <f t="shared" si="1528"/>
        <v>0</v>
      </c>
      <c r="WL208" s="91">
        <f t="shared" si="1529"/>
        <v>0</v>
      </c>
      <c r="WM208" s="89"/>
      <c r="WN208" s="87">
        <f t="shared" si="1530"/>
        <v>0</v>
      </c>
      <c r="WO208" s="87">
        <f t="shared" si="1531"/>
        <v>0</v>
      </c>
      <c r="WP208" s="87">
        <f t="shared" si="1532"/>
        <v>0</v>
      </c>
      <c r="WQ208" s="87">
        <f t="shared" si="1533"/>
        <v>0</v>
      </c>
      <c r="WR208" s="87">
        <f t="shared" si="1534"/>
        <v>0</v>
      </c>
      <c r="WS208" s="87">
        <f t="shared" si="1535"/>
        <v>0</v>
      </c>
      <c r="WT208" s="87">
        <f t="shared" si="1536"/>
        <v>34736</v>
      </c>
      <c r="WU208" s="87">
        <f t="shared" si="1537"/>
        <v>1633175</v>
      </c>
      <c r="WV208" s="87">
        <f t="shared" si="1538"/>
        <v>0</v>
      </c>
      <c r="WW208" s="87">
        <f t="shared" si="1539"/>
        <v>0</v>
      </c>
      <c r="WX208" s="87">
        <f t="shared" si="1540"/>
        <v>0</v>
      </c>
      <c r="WY208" s="87">
        <f t="shared" si="1541"/>
        <v>0</v>
      </c>
      <c r="WZ208" s="87">
        <f t="shared" si="1542"/>
        <v>0</v>
      </c>
      <c r="XA208" s="87">
        <f t="shared" si="1543"/>
        <v>0</v>
      </c>
      <c r="XB208" s="92">
        <f t="shared" si="1544"/>
        <v>34736</v>
      </c>
      <c r="XC208" s="92">
        <f t="shared" si="1545"/>
        <v>1633175</v>
      </c>
      <c r="XD208" s="89"/>
      <c r="XE208" s="92"/>
      <c r="XF208" s="92"/>
      <c r="XG208" s="89"/>
      <c r="XH208" s="92"/>
      <c r="XI208" s="92"/>
      <c r="XJ208" s="89"/>
      <c r="XK208" s="87"/>
      <c r="XL208" s="87"/>
      <c r="XM208" s="87"/>
      <c r="XN208" s="87"/>
      <c r="XO208" s="87"/>
      <c r="XP208" s="87"/>
      <c r="XQ208" s="87"/>
      <c r="XR208" s="92">
        <f t="shared" ca="1" si="1546"/>
        <v>0</v>
      </c>
      <c r="XS208" s="89"/>
      <c r="XT208" s="87"/>
      <c r="XU208" s="87"/>
      <c r="XV208" s="87"/>
      <c r="XW208" s="87"/>
      <c r="XX208" s="87"/>
      <c r="XY208" s="87"/>
      <c r="XZ208" s="87"/>
      <c r="YA208" s="92">
        <f t="shared" ca="1" si="1547"/>
        <v>0</v>
      </c>
      <c r="YB208" s="90"/>
      <c r="YC208" s="90"/>
      <c r="YD208" s="90"/>
      <c r="YE208" s="90"/>
      <c r="YF208" s="90"/>
      <c r="YG208" s="90"/>
      <c r="YH208" s="90"/>
      <c r="YI208" s="90"/>
      <c r="YJ208" s="90"/>
      <c r="YK208" s="90"/>
      <c r="YL208" s="90"/>
      <c r="YM208" s="90"/>
      <c r="YN208" s="90"/>
      <c r="YO208" s="90"/>
      <c r="YP208" s="90"/>
      <c r="YQ208" s="90"/>
      <c r="YR208" s="90"/>
      <c r="YS208" s="90"/>
      <c r="YT208" s="90"/>
      <c r="YU208" s="90"/>
      <c r="YV208" s="90"/>
      <c r="YW208" s="90"/>
      <c r="YX208" s="90"/>
      <c r="YY208" s="90"/>
      <c r="YZ208" s="90"/>
      <c r="ZA208" s="90"/>
      <c r="ZB208" s="90"/>
      <c r="ZC208" s="90"/>
      <c r="ZD208" s="90"/>
      <c r="ZE208" s="90"/>
      <c r="ZF208" s="90"/>
      <c r="ZG208" s="90"/>
      <c r="ZH208" s="90"/>
      <c r="ZI208" s="90"/>
      <c r="ZJ208" s="90"/>
      <c r="ZK208" s="90"/>
      <c r="ZL208" s="90"/>
      <c r="ZM208" s="90"/>
      <c r="ZN208" s="90"/>
      <c r="ZO208" s="90"/>
      <c r="ZP208" s="90"/>
      <c r="ZQ208" s="90"/>
      <c r="ZR208" s="90"/>
      <c r="ZS208" s="90"/>
      <c r="ZT208" s="90"/>
      <c r="ZU208" s="90"/>
      <c r="ZV208" s="90"/>
      <c r="ZW208" s="90"/>
      <c r="ZX208" s="90"/>
      <c r="ZY208" s="90"/>
      <c r="ZZ208" s="90"/>
      <c r="AAA208" s="90"/>
      <c r="AAB208" s="90"/>
      <c r="AAC208" s="90"/>
      <c r="AAD208" s="90"/>
      <c r="AAE208" s="90"/>
      <c r="AAF208" s="90"/>
      <c r="AAG208" s="90"/>
      <c r="AAH208" s="90"/>
      <c r="AAI208" s="90"/>
      <c r="AAJ208" s="90"/>
      <c r="AAK208" s="90"/>
      <c r="AAL208" s="90"/>
      <c r="AAM208" s="90"/>
      <c r="AAN208" s="90"/>
      <c r="AAO208" s="90"/>
      <c r="AAP208" s="90"/>
      <c r="AAQ208" s="90"/>
      <c r="AAR208" s="90"/>
      <c r="AAS208" s="90"/>
      <c r="AAT208" s="90"/>
      <c r="AAU208" s="90"/>
      <c r="AAV208" s="90"/>
      <c r="AAW208" s="90"/>
      <c r="AAX208" s="90"/>
      <c r="AAY208" s="90"/>
      <c r="AAZ208" s="90"/>
      <c r="ABA208" s="90"/>
      <c r="ABB208" s="90"/>
      <c r="ABC208" s="90"/>
      <c r="ABD208" s="90"/>
      <c r="ABE208" s="90"/>
      <c r="ABF208" s="90"/>
      <c r="ABG208" s="90"/>
      <c r="ABH208" s="90"/>
      <c r="ABI208" s="90"/>
      <c r="ABJ208" s="90"/>
      <c r="ABK208" s="90"/>
      <c r="ABL208" s="90"/>
      <c r="ABM208" s="90"/>
      <c r="ABN208" s="90"/>
      <c r="ABO208" s="90"/>
      <c r="ABP208" s="90"/>
      <c r="ABQ208" s="90"/>
      <c r="ABR208" s="90"/>
      <c r="ABS208" s="90"/>
      <c r="ABT208" s="90"/>
      <c r="ABU208" s="90"/>
      <c r="ABV208" s="90"/>
      <c r="ABW208" s="90"/>
      <c r="ABX208" s="90"/>
      <c r="ABY208" s="90"/>
      <c r="ABZ208" s="90"/>
      <c r="ACA208" s="90"/>
      <c r="ACB208" s="90"/>
      <c r="ACC208" s="90"/>
      <c r="ACD208" s="90"/>
      <c r="ACE208" s="90"/>
      <c r="ACF208" s="90"/>
      <c r="ACG208" s="90"/>
      <c r="ACH208" s="90"/>
      <c r="ACI208" s="90"/>
      <c r="ACJ208" s="90"/>
      <c r="ACK208" s="90"/>
      <c r="ACL208" s="90"/>
      <c r="ACM208" s="90"/>
      <c r="ACN208" s="90"/>
      <c r="ACO208" s="90"/>
      <c r="ACP208" s="90"/>
      <c r="ACQ208" s="90"/>
      <c r="ACR208" s="90"/>
      <c r="ACS208" s="90"/>
      <c r="ACT208" s="90"/>
      <c r="ACU208" s="90"/>
      <c r="ACV208" s="90"/>
      <c r="ACW208" s="90"/>
      <c r="ACX208" s="90"/>
      <c r="ACY208" s="90"/>
      <c r="ACZ208" s="90"/>
      <c r="ADA208" s="90"/>
      <c r="ADB208" s="90"/>
      <c r="ADC208" s="90"/>
      <c r="ADD208" s="90"/>
      <c r="ADE208" s="90"/>
      <c r="ADF208" s="90"/>
      <c r="ADG208" s="90"/>
      <c r="ADH208" s="90"/>
      <c r="ADI208" s="90"/>
      <c r="ADJ208" s="90"/>
      <c r="ADK208" s="90"/>
      <c r="ADL208" s="90"/>
      <c r="ADM208" s="90"/>
      <c r="ADN208" s="90"/>
      <c r="ADO208" s="90"/>
      <c r="ADP208" s="90"/>
      <c r="ADQ208" s="90"/>
      <c r="ADR208" s="90"/>
      <c r="ADS208" s="90"/>
      <c r="ADT208" s="90"/>
      <c r="ADU208" s="90"/>
      <c r="ADV208" s="90"/>
      <c r="ADW208" s="90"/>
      <c r="ADX208" s="90"/>
      <c r="ADY208" s="90"/>
      <c r="ADZ208" s="90"/>
      <c r="AEA208" s="90"/>
      <c r="AEB208" s="90"/>
      <c r="AEC208" s="90"/>
      <c r="AED208" s="90"/>
      <c r="AEE208" s="90"/>
      <c r="AEF208" s="90"/>
      <c r="AEG208" s="90"/>
      <c r="AEH208" s="90"/>
      <c r="AEI208" s="90"/>
      <c r="AEJ208" s="90"/>
      <c r="AEK208" s="90"/>
      <c r="AEL208" s="90"/>
      <c r="AEM208" s="90"/>
      <c r="AEN208" s="90"/>
      <c r="AEO208" s="90"/>
      <c r="AEP208" s="90"/>
      <c r="AEQ208" s="90"/>
      <c r="AER208" s="90"/>
      <c r="AES208" s="90"/>
      <c r="AET208" s="90"/>
      <c r="AEU208" s="90"/>
      <c r="AEV208" s="90"/>
      <c r="AEW208" s="90"/>
      <c r="AEX208" s="90"/>
      <c r="AEY208" s="90"/>
      <c r="AEZ208" s="90"/>
      <c r="AFA208" s="90"/>
      <c r="AFB208" s="90"/>
      <c r="AFC208" s="90"/>
      <c r="AFD208" s="90"/>
      <c r="AFE208" s="90"/>
      <c r="AFF208" s="90"/>
      <c r="AFG208" s="90"/>
      <c r="AFH208" s="90"/>
      <c r="AFI208" s="90"/>
      <c r="AFJ208" s="90"/>
      <c r="AFK208" s="90"/>
      <c r="AFL208" s="90"/>
      <c r="AFM208" s="90"/>
      <c r="AFN208" s="90"/>
      <c r="AFO208" s="90"/>
      <c r="AFP208" s="90"/>
      <c r="AFQ208" s="90"/>
      <c r="AFR208" s="90"/>
      <c r="AFS208" s="90"/>
      <c r="AFT208" s="90"/>
      <c r="AFU208" s="90"/>
      <c r="AFV208" s="90"/>
      <c r="AFW208" s="90"/>
      <c r="AFX208" s="90"/>
      <c r="AFY208" s="90"/>
      <c r="AFZ208" s="90"/>
      <c r="AGA208" s="90"/>
      <c r="AGB208" s="90"/>
      <c r="AGC208" s="90"/>
      <c r="AGD208" s="90"/>
      <c r="AGE208" s="90"/>
      <c r="AGF208" s="90"/>
      <c r="AGG208" s="90"/>
      <c r="AGH208" s="90"/>
      <c r="AGI208" s="90"/>
      <c r="AGJ208" s="90"/>
      <c r="AGK208" s="90"/>
      <c r="AGL208" s="90"/>
      <c r="AGM208" s="90"/>
      <c r="AGN208" s="90"/>
      <c r="AGO208" s="90"/>
      <c r="AGP208" s="90"/>
      <c r="AGQ208" s="90"/>
      <c r="AGR208" s="90"/>
      <c r="AGS208" s="90"/>
      <c r="AGT208" s="90"/>
      <c r="AGU208" s="90"/>
      <c r="AGV208" s="90"/>
      <c r="AGW208" s="90"/>
      <c r="AGX208" s="90"/>
      <c r="AGY208" s="90"/>
      <c r="AGZ208" s="90"/>
      <c r="AHA208" s="90"/>
      <c r="AHB208" s="90"/>
      <c r="AHC208" s="90"/>
      <c r="AHD208" s="90"/>
      <c r="AHE208" s="90"/>
      <c r="AHF208" s="90"/>
      <c r="AHG208" s="90"/>
      <c r="AHH208" s="90"/>
      <c r="AHI208" s="90"/>
      <c r="AHJ208" s="90"/>
      <c r="AHK208" s="90"/>
      <c r="AHL208" s="90"/>
      <c r="AHM208" s="90"/>
      <c r="AHN208" s="90"/>
      <c r="AHO208" s="90"/>
      <c r="AHP208" s="90"/>
      <c r="AHQ208" s="90"/>
      <c r="AHR208" s="90"/>
      <c r="AHS208" s="90"/>
      <c r="AHT208" s="90"/>
      <c r="AHU208" s="90"/>
      <c r="AHV208" s="90"/>
      <c r="AHW208" s="90"/>
      <c r="AHX208" s="90"/>
      <c r="AHY208" s="90"/>
      <c r="AHZ208" s="90"/>
      <c r="AIA208" s="90"/>
      <c r="AIB208" s="90"/>
      <c r="AIC208" s="90"/>
      <c r="AID208" s="90"/>
      <c r="AIE208" s="90"/>
      <c r="AIF208" s="90"/>
      <c r="AIG208" s="90"/>
      <c r="AIH208" s="90"/>
      <c r="AII208" s="90"/>
      <c r="AIJ208" s="90"/>
      <c r="AIK208" s="90"/>
      <c r="AIL208" s="90"/>
      <c r="AIM208" s="90"/>
      <c r="AIN208" s="90"/>
      <c r="AIO208" s="90"/>
      <c r="AIP208" s="90"/>
      <c r="AIQ208" s="90"/>
      <c r="AIR208" s="90"/>
      <c r="AIS208" s="90"/>
      <c r="AIT208" s="90"/>
      <c r="AIU208" s="90"/>
      <c r="AIV208" s="90"/>
      <c r="AIW208" s="90"/>
      <c r="AIX208" s="90"/>
      <c r="AIY208" s="90"/>
      <c r="AIZ208" s="90"/>
      <c r="AJA208" s="90"/>
      <c r="AJB208" s="90"/>
      <c r="AJC208" s="90"/>
      <c r="AJD208" s="90"/>
      <c r="AJE208" s="90"/>
      <c r="AJF208" s="90"/>
      <c r="AJG208" s="90"/>
      <c r="AJH208" s="90"/>
      <c r="AJI208" s="90"/>
      <c r="AJJ208" s="90"/>
      <c r="AJK208" s="90"/>
      <c r="AJL208" s="90"/>
      <c r="AJM208" s="90"/>
      <c r="AJN208" s="90"/>
      <c r="AJO208" s="90"/>
      <c r="AJP208" s="90"/>
      <c r="AJQ208" s="90"/>
      <c r="AJR208" s="90"/>
      <c r="AJS208" s="90"/>
      <c r="AJT208" s="90"/>
      <c r="AJU208" s="90"/>
      <c r="AJV208" s="90"/>
      <c r="AJW208" s="90"/>
      <c r="AJX208" s="90"/>
      <c r="AJY208" s="90"/>
      <c r="AJZ208" s="90"/>
      <c r="AKA208" s="90"/>
      <c r="AKB208" s="90"/>
      <c r="AKC208" s="90"/>
      <c r="AKD208" s="90"/>
      <c r="AKE208" s="90"/>
      <c r="AKF208" s="90"/>
      <c r="AKG208" s="90"/>
      <c r="AKH208" s="90"/>
      <c r="AKI208" s="90"/>
      <c r="AKJ208" s="90"/>
      <c r="AKK208" s="90"/>
      <c r="AKL208" s="90"/>
      <c r="AKM208" s="90"/>
      <c r="AKN208" s="90"/>
      <c r="AKO208" s="90"/>
      <c r="AKP208" s="90"/>
      <c r="AKQ208" s="90"/>
      <c r="AKR208" s="90"/>
      <c r="AKS208" s="90"/>
      <c r="AKT208" s="90"/>
      <c r="AKU208" s="90"/>
      <c r="AKV208" s="90"/>
      <c r="AKW208" s="90"/>
      <c r="AKX208" s="90"/>
      <c r="AKY208" s="90"/>
      <c r="AKZ208" s="90"/>
      <c r="ALA208" s="90"/>
      <c r="ALB208" s="90"/>
      <c r="ALC208" s="90"/>
      <c r="ALD208" s="90"/>
      <c r="ALE208" s="90"/>
      <c r="ALF208" s="90"/>
      <c r="ALG208" s="90"/>
      <c r="ALH208" s="90"/>
      <c r="ALI208" s="90"/>
      <c r="ALJ208" s="90"/>
      <c r="ALK208" s="90"/>
      <c r="ALL208" s="90"/>
      <c r="ALM208" s="90"/>
      <c r="ALN208" s="90"/>
      <c r="ALO208" s="90"/>
      <c r="ALP208" s="90"/>
      <c r="ALQ208" s="90"/>
      <c r="ALR208" s="90"/>
      <c r="ALS208" s="90"/>
      <c r="ALT208" s="90"/>
      <c r="ALU208" s="90"/>
      <c r="ALV208" s="90"/>
      <c r="ALW208" s="90"/>
      <c r="ALX208" s="90"/>
      <c r="ALY208" s="90"/>
      <c r="ALZ208" s="90"/>
      <c r="AMA208" s="90"/>
      <c r="AMB208" s="90"/>
      <c r="AMC208" s="90"/>
    </row>
    <row r="209" spans="1:1017">
      <c r="A209" s="98" t="s">
        <v>50</v>
      </c>
      <c r="B209" s="90" t="str">
        <f t="shared" si="1453"/>
        <v xml:space="preserve">Gracilaria verrucosa </v>
      </c>
      <c r="Q209" s="91">
        <f t="shared" si="1454"/>
        <v>0</v>
      </c>
      <c r="R209" s="91">
        <f t="shared" si="1455"/>
        <v>0</v>
      </c>
      <c r="AG209" s="91">
        <f t="shared" si="1456"/>
        <v>0</v>
      </c>
      <c r="AH209" s="91">
        <f t="shared" si="1457"/>
        <v>0</v>
      </c>
      <c r="AW209" s="91">
        <f t="shared" si="1458"/>
        <v>0</v>
      </c>
      <c r="AX209" s="91">
        <f t="shared" si="1459"/>
        <v>0</v>
      </c>
      <c r="BM209" s="91">
        <f t="shared" si="1460"/>
        <v>0</v>
      </c>
      <c r="BN209" s="91">
        <f t="shared" si="1461"/>
        <v>0</v>
      </c>
      <c r="CC209" s="91">
        <f t="shared" si="1462"/>
        <v>0</v>
      </c>
      <c r="CD209" s="91">
        <f t="shared" si="1463"/>
        <v>0</v>
      </c>
      <c r="CG209" s="98">
        <v>247380.56027113</v>
      </c>
      <c r="CH209" s="98">
        <v>1484283.3616267801</v>
      </c>
      <c r="CS209" s="91">
        <f t="shared" si="1548"/>
        <v>247380.56027113</v>
      </c>
      <c r="CT209" s="91">
        <f t="shared" si="1549"/>
        <v>1484283.3616267801</v>
      </c>
      <c r="DI209" s="91">
        <f t="shared" si="1466"/>
        <v>0</v>
      </c>
      <c r="DJ209" s="91">
        <f t="shared" si="1467"/>
        <v>0</v>
      </c>
      <c r="DY209" s="91">
        <f t="shared" si="1468"/>
        <v>0</v>
      </c>
      <c r="DZ209" s="91">
        <f t="shared" si="1469"/>
        <v>0</v>
      </c>
      <c r="EO209" s="91">
        <f t="shared" si="1470"/>
        <v>0</v>
      </c>
      <c r="EP209" s="91">
        <f t="shared" si="1471"/>
        <v>0</v>
      </c>
      <c r="FE209" s="91">
        <f t="shared" si="1472"/>
        <v>0</v>
      </c>
      <c r="FF209" s="91">
        <f t="shared" si="1473"/>
        <v>0</v>
      </c>
      <c r="FU209" s="91">
        <f t="shared" si="1474"/>
        <v>0</v>
      </c>
      <c r="FV209" s="91">
        <f t="shared" si="1475"/>
        <v>0</v>
      </c>
      <c r="GK209" s="91">
        <f t="shared" si="1476"/>
        <v>0</v>
      </c>
      <c r="GL209" s="91">
        <f t="shared" si="1477"/>
        <v>0</v>
      </c>
      <c r="HA209" s="91">
        <f t="shared" si="1478"/>
        <v>0</v>
      </c>
      <c r="HB209" s="91">
        <f t="shared" si="1479"/>
        <v>0</v>
      </c>
      <c r="HQ209" s="91">
        <f t="shared" si="1480"/>
        <v>0</v>
      </c>
      <c r="HR209" s="91">
        <f t="shared" si="1481"/>
        <v>0</v>
      </c>
      <c r="IG209" s="91">
        <f t="shared" si="1482"/>
        <v>0</v>
      </c>
      <c r="IH209" s="91">
        <f t="shared" si="1483"/>
        <v>0</v>
      </c>
      <c r="IW209" s="91">
        <f t="shared" si="1484"/>
        <v>0</v>
      </c>
      <c r="IX209" s="91">
        <f t="shared" si="1485"/>
        <v>0</v>
      </c>
      <c r="JM209" s="91">
        <f t="shared" si="1486"/>
        <v>0</v>
      </c>
      <c r="JN209" s="91">
        <f t="shared" si="1487"/>
        <v>0</v>
      </c>
      <c r="KC209" s="91">
        <f t="shared" si="1488"/>
        <v>0</v>
      </c>
      <c r="KD209" s="91">
        <f t="shared" si="1489"/>
        <v>0</v>
      </c>
      <c r="KS209" s="91">
        <f t="shared" si="1490"/>
        <v>0</v>
      </c>
      <c r="KT209" s="91">
        <f t="shared" si="1491"/>
        <v>0</v>
      </c>
      <c r="KW209" s="98">
        <v>121354.27</v>
      </c>
      <c r="KX209" s="98">
        <v>182031</v>
      </c>
      <c r="LI209" s="91">
        <f t="shared" si="1492"/>
        <v>121354.27</v>
      </c>
      <c r="LJ209" s="91">
        <f t="shared" si="1493"/>
        <v>182031</v>
      </c>
      <c r="LY209" s="91">
        <f t="shared" si="1494"/>
        <v>0</v>
      </c>
      <c r="LZ209" s="91">
        <f t="shared" si="1495"/>
        <v>0</v>
      </c>
      <c r="MO209" s="91">
        <f t="shared" si="1496"/>
        <v>0</v>
      </c>
      <c r="MP209" s="91">
        <f t="shared" si="1497"/>
        <v>0</v>
      </c>
      <c r="NE209" s="91">
        <f t="shared" si="1498"/>
        <v>0</v>
      </c>
      <c r="NF209" s="91">
        <f t="shared" si="1499"/>
        <v>0</v>
      </c>
      <c r="NI209" s="98">
        <v>1506800</v>
      </c>
      <c r="NJ209" s="98">
        <v>3465640</v>
      </c>
      <c r="NU209" s="91">
        <f t="shared" si="1500"/>
        <v>1506800</v>
      </c>
      <c r="NV209" s="91">
        <f t="shared" si="1501"/>
        <v>3465640</v>
      </c>
      <c r="NY209" s="98">
        <v>9780</v>
      </c>
      <c r="NZ209" s="98">
        <v>29340</v>
      </c>
      <c r="OK209" s="91">
        <f t="shared" si="1502"/>
        <v>9780</v>
      </c>
      <c r="OL209" s="91">
        <f t="shared" si="1503"/>
        <v>29340</v>
      </c>
      <c r="PA209" s="91">
        <f t="shared" si="1504"/>
        <v>0</v>
      </c>
      <c r="PB209" s="91">
        <f t="shared" si="1505"/>
        <v>0</v>
      </c>
      <c r="PQ209" s="91">
        <f t="shared" si="1506"/>
        <v>0</v>
      </c>
      <c r="PR209" s="91">
        <f t="shared" si="1507"/>
        <v>0</v>
      </c>
      <c r="QG209" s="91">
        <f t="shared" si="1508"/>
        <v>0</v>
      </c>
      <c r="QH209" s="91">
        <f t="shared" si="1509"/>
        <v>0</v>
      </c>
      <c r="QW209" s="91">
        <f t="shared" si="1510"/>
        <v>0</v>
      </c>
      <c r="QX209" s="91">
        <f t="shared" si="1511"/>
        <v>0</v>
      </c>
      <c r="RM209" s="91">
        <f t="shared" si="1512"/>
        <v>0</v>
      </c>
      <c r="RN209" s="91">
        <f t="shared" si="1513"/>
        <v>0</v>
      </c>
      <c r="SC209" s="91">
        <f t="shared" si="1514"/>
        <v>0</v>
      </c>
      <c r="SD209" s="91">
        <f t="shared" si="1515"/>
        <v>0</v>
      </c>
      <c r="SS209" s="91">
        <f t="shared" si="1516"/>
        <v>0</v>
      </c>
      <c r="ST209" s="91">
        <f t="shared" si="1517"/>
        <v>0</v>
      </c>
      <c r="TI209" s="91">
        <f t="shared" si="1518"/>
        <v>0</v>
      </c>
      <c r="TJ209" s="91">
        <f t="shared" si="1519"/>
        <v>0</v>
      </c>
      <c r="TY209" s="91">
        <f t="shared" si="1520"/>
        <v>0</v>
      </c>
      <c r="TZ209" s="91">
        <f t="shared" si="1521"/>
        <v>0</v>
      </c>
      <c r="UO209" s="91">
        <f t="shared" si="1522"/>
        <v>0</v>
      </c>
      <c r="UP209" s="91">
        <f t="shared" si="1523"/>
        <v>0</v>
      </c>
      <c r="US209" s="98">
        <v>111600</v>
      </c>
      <c r="UT209" s="98">
        <v>33480</v>
      </c>
      <c r="VE209" s="91">
        <f t="shared" si="1524"/>
        <v>111600</v>
      </c>
      <c r="VF209" s="91">
        <f t="shared" si="1525"/>
        <v>33480</v>
      </c>
      <c r="VU209" s="91">
        <f t="shared" si="1526"/>
        <v>0</v>
      </c>
      <c r="VV209" s="91">
        <f t="shared" si="1527"/>
        <v>0</v>
      </c>
      <c r="WK209" s="91">
        <f t="shared" si="1528"/>
        <v>0</v>
      </c>
      <c r="WL209" s="91">
        <f t="shared" si="1529"/>
        <v>0</v>
      </c>
      <c r="WM209" s="89"/>
      <c r="WN209" s="87">
        <f t="shared" si="1530"/>
        <v>0</v>
      </c>
      <c r="WO209" s="87">
        <f t="shared" si="1531"/>
        <v>0</v>
      </c>
      <c r="WP209" s="87">
        <f t="shared" si="1532"/>
        <v>1996914.83027113</v>
      </c>
      <c r="WQ209" s="87">
        <f t="shared" si="1533"/>
        <v>5194774.3616267797</v>
      </c>
      <c r="WR209" s="87">
        <f t="shared" si="1534"/>
        <v>0</v>
      </c>
      <c r="WS209" s="87">
        <f t="shared" si="1535"/>
        <v>0</v>
      </c>
      <c r="WT209" s="87">
        <f t="shared" si="1536"/>
        <v>0</v>
      </c>
      <c r="WU209" s="87">
        <f t="shared" si="1537"/>
        <v>0</v>
      </c>
      <c r="WV209" s="87">
        <f t="shared" si="1538"/>
        <v>0</v>
      </c>
      <c r="WW209" s="87">
        <f t="shared" si="1539"/>
        <v>0</v>
      </c>
      <c r="WX209" s="87">
        <f t="shared" si="1540"/>
        <v>0</v>
      </c>
      <c r="WY209" s="87">
        <f t="shared" si="1541"/>
        <v>0</v>
      </c>
      <c r="WZ209" s="87">
        <f t="shared" si="1542"/>
        <v>0</v>
      </c>
      <c r="XA209" s="87">
        <f t="shared" si="1543"/>
        <v>0</v>
      </c>
      <c r="XB209" s="92">
        <f t="shared" si="1544"/>
        <v>1996914.83027113</v>
      </c>
      <c r="XC209" s="92">
        <f t="shared" si="1545"/>
        <v>5194774.3616267797</v>
      </c>
      <c r="XD209" s="89"/>
      <c r="XE209" s="92"/>
      <c r="XF209" s="92"/>
      <c r="XG209" s="89"/>
      <c r="XH209" s="92"/>
      <c r="XI209" s="92"/>
      <c r="XJ209" s="89"/>
      <c r="XK209" s="87"/>
      <c r="XL209" s="87"/>
      <c r="XM209" s="87"/>
      <c r="XN209" s="87"/>
      <c r="XO209" s="87"/>
      <c r="XP209" s="87"/>
      <c r="XQ209" s="87"/>
      <c r="XR209" s="92">
        <f t="shared" ca="1" si="1546"/>
        <v>0</v>
      </c>
      <c r="XS209" s="89"/>
      <c r="XT209" s="87"/>
      <c r="XU209" s="87"/>
      <c r="XV209" s="87"/>
      <c r="XW209" s="87"/>
      <c r="XX209" s="87"/>
      <c r="XY209" s="87"/>
      <c r="XZ209" s="87"/>
      <c r="YA209" s="92">
        <f t="shared" ca="1" si="1547"/>
        <v>0</v>
      </c>
      <c r="YB209" s="90"/>
      <c r="YC209" s="90"/>
      <c r="YD209" s="90"/>
      <c r="YE209" s="90"/>
      <c r="YF209" s="90"/>
      <c r="YG209" s="90"/>
      <c r="YH209" s="90"/>
      <c r="YI209" s="90"/>
      <c r="YJ209" s="90"/>
      <c r="YK209" s="90"/>
      <c r="YL209" s="90"/>
      <c r="YM209" s="90"/>
      <c r="YN209" s="90"/>
      <c r="YO209" s="90"/>
      <c r="YP209" s="90"/>
      <c r="YQ209" s="90"/>
      <c r="YR209" s="90"/>
      <c r="YS209" s="90"/>
      <c r="YT209" s="90"/>
      <c r="YU209" s="90"/>
      <c r="YV209" s="90"/>
      <c r="YW209" s="90"/>
      <c r="YX209" s="90"/>
      <c r="YY209" s="90"/>
      <c r="YZ209" s="90"/>
      <c r="ZA209" s="90"/>
      <c r="ZB209" s="90"/>
      <c r="ZC209" s="90"/>
      <c r="ZD209" s="90"/>
      <c r="ZE209" s="90"/>
      <c r="ZF209" s="90"/>
      <c r="ZG209" s="90"/>
      <c r="ZH209" s="90"/>
      <c r="ZI209" s="90"/>
      <c r="ZJ209" s="90"/>
      <c r="ZK209" s="90"/>
      <c r="ZL209" s="90"/>
      <c r="ZM209" s="90"/>
      <c r="ZN209" s="90"/>
      <c r="ZO209" s="90"/>
      <c r="ZP209" s="90"/>
      <c r="ZQ209" s="90"/>
      <c r="ZR209" s="90"/>
      <c r="ZS209" s="90"/>
      <c r="ZT209" s="90"/>
      <c r="ZU209" s="90"/>
      <c r="ZV209" s="90"/>
      <c r="ZW209" s="90"/>
      <c r="ZX209" s="90"/>
      <c r="ZY209" s="90"/>
      <c r="ZZ209" s="90"/>
      <c r="AAA209" s="90"/>
      <c r="AAB209" s="90"/>
      <c r="AAC209" s="90"/>
      <c r="AAD209" s="90"/>
      <c r="AAE209" s="90"/>
      <c r="AAF209" s="90"/>
      <c r="AAG209" s="90"/>
      <c r="AAH209" s="90"/>
      <c r="AAI209" s="90"/>
      <c r="AAJ209" s="90"/>
      <c r="AAK209" s="90"/>
      <c r="AAL209" s="90"/>
      <c r="AAM209" s="90"/>
      <c r="AAN209" s="90"/>
      <c r="AAO209" s="90"/>
      <c r="AAP209" s="90"/>
      <c r="AAQ209" s="90"/>
      <c r="AAR209" s="90"/>
      <c r="AAS209" s="90"/>
      <c r="AAT209" s="90"/>
      <c r="AAU209" s="90"/>
      <c r="AAV209" s="90"/>
      <c r="AAW209" s="90"/>
      <c r="AAX209" s="90"/>
      <c r="AAY209" s="90"/>
      <c r="AAZ209" s="90"/>
      <c r="ABA209" s="90"/>
      <c r="ABB209" s="90"/>
      <c r="ABC209" s="90"/>
      <c r="ABD209" s="90"/>
      <c r="ABE209" s="90"/>
      <c r="ABF209" s="90"/>
      <c r="ABG209" s="90"/>
      <c r="ABH209" s="90"/>
      <c r="ABI209" s="90"/>
      <c r="ABJ209" s="90"/>
      <c r="ABK209" s="90"/>
      <c r="ABL209" s="90"/>
      <c r="ABM209" s="90"/>
      <c r="ABN209" s="90"/>
      <c r="ABO209" s="90"/>
      <c r="ABP209" s="90"/>
      <c r="ABQ209" s="90"/>
      <c r="ABR209" s="90"/>
      <c r="ABS209" s="90"/>
      <c r="ABT209" s="90"/>
      <c r="ABU209" s="90"/>
      <c r="ABV209" s="90"/>
      <c r="ABW209" s="90"/>
      <c r="ABX209" s="90"/>
      <c r="ABY209" s="90"/>
      <c r="ABZ209" s="90"/>
      <c r="ACA209" s="90"/>
      <c r="ACB209" s="90"/>
      <c r="ACC209" s="90"/>
      <c r="ACD209" s="90"/>
      <c r="ACE209" s="90"/>
      <c r="ACF209" s="90"/>
      <c r="ACG209" s="90"/>
      <c r="ACH209" s="90"/>
      <c r="ACI209" s="90"/>
      <c r="ACJ209" s="90"/>
      <c r="ACK209" s="90"/>
      <c r="ACL209" s="90"/>
      <c r="ACM209" s="90"/>
      <c r="ACN209" s="90"/>
      <c r="ACO209" s="90"/>
      <c r="ACP209" s="90"/>
      <c r="ACQ209" s="90"/>
      <c r="ACR209" s="90"/>
      <c r="ACS209" s="90"/>
      <c r="ACT209" s="90"/>
      <c r="ACU209" s="90"/>
      <c r="ACV209" s="90"/>
      <c r="ACW209" s="90"/>
      <c r="ACX209" s="90"/>
      <c r="ACY209" s="90"/>
      <c r="ACZ209" s="90"/>
      <c r="ADA209" s="90"/>
      <c r="ADB209" s="90"/>
      <c r="ADC209" s="90"/>
      <c r="ADD209" s="90"/>
      <c r="ADE209" s="90"/>
      <c r="ADF209" s="90"/>
      <c r="ADG209" s="90"/>
      <c r="ADH209" s="90"/>
      <c r="ADI209" s="90"/>
      <c r="ADJ209" s="90"/>
      <c r="ADK209" s="90"/>
      <c r="ADL209" s="90"/>
      <c r="ADM209" s="90"/>
      <c r="ADN209" s="90"/>
      <c r="ADO209" s="90"/>
      <c r="ADP209" s="90"/>
      <c r="ADQ209" s="90"/>
      <c r="ADR209" s="90"/>
      <c r="ADS209" s="90"/>
      <c r="ADT209" s="90"/>
      <c r="ADU209" s="90"/>
      <c r="ADV209" s="90"/>
      <c r="ADW209" s="90"/>
      <c r="ADX209" s="90"/>
      <c r="ADY209" s="90"/>
      <c r="ADZ209" s="90"/>
      <c r="AEA209" s="90"/>
      <c r="AEB209" s="90"/>
      <c r="AEC209" s="90"/>
      <c r="AED209" s="90"/>
      <c r="AEE209" s="90"/>
      <c r="AEF209" s="90"/>
      <c r="AEG209" s="90"/>
      <c r="AEH209" s="90"/>
      <c r="AEI209" s="90"/>
      <c r="AEJ209" s="90"/>
      <c r="AEK209" s="90"/>
      <c r="AEL209" s="90"/>
      <c r="AEM209" s="90"/>
      <c r="AEN209" s="90"/>
      <c r="AEO209" s="90"/>
      <c r="AEP209" s="90"/>
      <c r="AEQ209" s="90"/>
      <c r="AER209" s="90"/>
      <c r="AES209" s="90"/>
      <c r="AET209" s="90"/>
      <c r="AEU209" s="90"/>
      <c r="AEV209" s="90"/>
      <c r="AEW209" s="90"/>
      <c r="AEX209" s="90"/>
      <c r="AEY209" s="90"/>
      <c r="AEZ209" s="90"/>
      <c r="AFA209" s="90"/>
      <c r="AFB209" s="90"/>
      <c r="AFC209" s="90"/>
      <c r="AFD209" s="90"/>
      <c r="AFE209" s="90"/>
      <c r="AFF209" s="90"/>
      <c r="AFG209" s="90"/>
      <c r="AFH209" s="90"/>
      <c r="AFI209" s="90"/>
      <c r="AFJ209" s="90"/>
      <c r="AFK209" s="90"/>
      <c r="AFL209" s="90"/>
      <c r="AFM209" s="90"/>
      <c r="AFN209" s="90"/>
      <c r="AFO209" s="90"/>
      <c r="AFP209" s="90"/>
      <c r="AFQ209" s="90"/>
      <c r="AFR209" s="90"/>
      <c r="AFS209" s="90"/>
      <c r="AFT209" s="90"/>
      <c r="AFU209" s="90"/>
      <c r="AFV209" s="90"/>
      <c r="AFW209" s="90"/>
      <c r="AFX209" s="90"/>
      <c r="AFY209" s="90"/>
      <c r="AFZ209" s="90"/>
      <c r="AGA209" s="90"/>
      <c r="AGB209" s="90"/>
      <c r="AGC209" s="90"/>
      <c r="AGD209" s="90"/>
      <c r="AGE209" s="90"/>
      <c r="AGF209" s="90"/>
      <c r="AGG209" s="90"/>
      <c r="AGH209" s="90"/>
      <c r="AGI209" s="90"/>
      <c r="AGJ209" s="90"/>
      <c r="AGK209" s="90"/>
      <c r="AGL209" s="90"/>
      <c r="AGM209" s="90"/>
      <c r="AGN209" s="90"/>
      <c r="AGO209" s="90"/>
      <c r="AGP209" s="90"/>
      <c r="AGQ209" s="90"/>
      <c r="AGR209" s="90"/>
      <c r="AGS209" s="90"/>
      <c r="AGT209" s="90"/>
      <c r="AGU209" s="90"/>
      <c r="AGV209" s="90"/>
      <c r="AGW209" s="90"/>
      <c r="AGX209" s="90"/>
      <c r="AGY209" s="90"/>
      <c r="AGZ209" s="90"/>
      <c r="AHA209" s="90"/>
      <c r="AHB209" s="90"/>
      <c r="AHC209" s="90"/>
      <c r="AHD209" s="90"/>
      <c r="AHE209" s="90"/>
      <c r="AHF209" s="90"/>
      <c r="AHG209" s="90"/>
      <c r="AHH209" s="90"/>
      <c r="AHI209" s="90"/>
      <c r="AHJ209" s="90"/>
      <c r="AHK209" s="90"/>
      <c r="AHL209" s="90"/>
      <c r="AHM209" s="90"/>
      <c r="AHN209" s="90"/>
      <c r="AHO209" s="90"/>
      <c r="AHP209" s="90"/>
      <c r="AHQ209" s="90"/>
      <c r="AHR209" s="90"/>
      <c r="AHS209" s="90"/>
      <c r="AHT209" s="90"/>
      <c r="AHU209" s="90"/>
      <c r="AHV209" s="90"/>
      <c r="AHW209" s="90"/>
      <c r="AHX209" s="90"/>
      <c r="AHY209" s="90"/>
      <c r="AHZ209" s="90"/>
      <c r="AIA209" s="90"/>
      <c r="AIB209" s="90"/>
      <c r="AIC209" s="90"/>
      <c r="AID209" s="90"/>
      <c r="AIE209" s="90"/>
      <c r="AIF209" s="90"/>
      <c r="AIG209" s="90"/>
      <c r="AIH209" s="90"/>
      <c r="AII209" s="90"/>
      <c r="AIJ209" s="90"/>
      <c r="AIK209" s="90"/>
      <c r="AIL209" s="90"/>
      <c r="AIM209" s="90"/>
      <c r="AIN209" s="90"/>
      <c r="AIO209" s="90"/>
      <c r="AIP209" s="90"/>
      <c r="AIQ209" s="90"/>
      <c r="AIR209" s="90"/>
      <c r="AIS209" s="90"/>
      <c r="AIT209" s="90"/>
      <c r="AIU209" s="90"/>
      <c r="AIV209" s="90"/>
      <c r="AIW209" s="90"/>
      <c r="AIX209" s="90"/>
      <c r="AIY209" s="90"/>
      <c r="AIZ209" s="90"/>
      <c r="AJA209" s="90"/>
      <c r="AJB209" s="90"/>
      <c r="AJC209" s="90"/>
      <c r="AJD209" s="90"/>
      <c r="AJE209" s="90"/>
      <c r="AJF209" s="90"/>
      <c r="AJG209" s="90"/>
      <c r="AJH209" s="90"/>
      <c r="AJI209" s="90"/>
      <c r="AJJ209" s="90"/>
      <c r="AJK209" s="90"/>
      <c r="AJL209" s="90"/>
      <c r="AJM209" s="90"/>
      <c r="AJN209" s="90"/>
      <c r="AJO209" s="90"/>
      <c r="AJP209" s="90"/>
      <c r="AJQ209" s="90"/>
      <c r="AJR209" s="90"/>
      <c r="AJS209" s="90"/>
      <c r="AJT209" s="90"/>
      <c r="AJU209" s="90"/>
      <c r="AJV209" s="90"/>
      <c r="AJW209" s="90"/>
      <c r="AJX209" s="90"/>
      <c r="AJY209" s="90"/>
      <c r="AJZ209" s="90"/>
      <c r="AKA209" s="90"/>
      <c r="AKB209" s="90"/>
      <c r="AKC209" s="90"/>
      <c r="AKD209" s="90"/>
      <c r="AKE209" s="90"/>
      <c r="AKF209" s="90"/>
      <c r="AKG209" s="90"/>
      <c r="AKH209" s="90"/>
      <c r="AKI209" s="90"/>
      <c r="AKJ209" s="90"/>
      <c r="AKK209" s="90"/>
      <c r="AKL209" s="90"/>
      <c r="AKM209" s="90"/>
      <c r="AKN209" s="90"/>
      <c r="AKO209" s="90"/>
      <c r="AKP209" s="90"/>
      <c r="AKQ209" s="90"/>
      <c r="AKR209" s="90"/>
      <c r="AKS209" s="90"/>
      <c r="AKT209" s="90"/>
      <c r="AKU209" s="90"/>
      <c r="AKV209" s="90"/>
      <c r="AKW209" s="90"/>
      <c r="AKX209" s="90"/>
      <c r="AKY209" s="90"/>
      <c r="AKZ209" s="90"/>
      <c r="ALA209" s="90"/>
      <c r="ALB209" s="90"/>
      <c r="ALC209" s="90"/>
      <c r="ALD209" s="90"/>
      <c r="ALE209" s="90"/>
      <c r="ALF209" s="90"/>
      <c r="ALG209" s="90"/>
      <c r="ALH209" s="90"/>
      <c r="ALI209" s="90"/>
      <c r="ALJ209" s="90"/>
      <c r="ALK209" s="90"/>
      <c r="ALL209" s="90"/>
      <c r="ALM209" s="90"/>
      <c r="ALN209" s="90"/>
      <c r="ALO209" s="90"/>
      <c r="ALP209" s="90"/>
      <c r="ALQ209" s="90"/>
      <c r="ALR209" s="90"/>
      <c r="ALS209" s="90"/>
      <c r="ALT209" s="90"/>
      <c r="ALU209" s="90"/>
      <c r="ALV209" s="90"/>
      <c r="ALW209" s="90"/>
      <c r="ALX209" s="90"/>
      <c r="ALY209" s="90"/>
      <c r="ALZ209" s="90"/>
      <c r="AMA209" s="90"/>
      <c r="AMB209" s="90"/>
      <c r="AMC209" s="90"/>
    </row>
    <row r="210" spans="1:1017">
      <c r="A210" s="98" t="s">
        <v>50</v>
      </c>
      <c r="B210" s="90" t="str">
        <f t="shared" si="1453"/>
        <v xml:space="preserve">Gurame, Gurami </v>
      </c>
      <c r="Q210" s="91">
        <f t="shared" si="1454"/>
        <v>0</v>
      </c>
      <c r="R210" s="91">
        <f t="shared" si="1455"/>
        <v>0</v>
      </c>
      <c r="Y210" s="98">
        <v>15590</v>
      </c>
      <c r="Z210" s="98">
        <v>545650</v>
      </c>
      <c r="AG210" s="91">
        <f t="shared" si="1456"/>
        <v>15590</v>
      </c>
      <c r="AH210" s="91">
        <f t="shared" si="1457"/>
        <v>545650</v>
      </c>
      <c r="AO210" s="98">
        <v>598600</v>
      </c>
      <c r="AP210" s="98">
        <v>17359400</v>
      </c>
      <c r="AW210" s="91">
        <f t="shared" si="1458"/>
        <v>598600</v>
      </c>
      <c r="AX210" s="91">
        <f t="shared" si="1459"/>
        <v>17359400</v>
      </c>
      <c r="BE210" s="98">
        <v>4421</v>
      </c>
      <c r="BF210" s="98">
        <v>132630</v>
      </c>
      <c r="BM210" s="91">
        <f t="shared" si="1460"/>
        <v>4421</v>
      </c>
      <c r="BN210" s="91">
        <f t="shared" si="1461"/>
        <v>132630</v>
      </c>
      <c r="BU210" s="98">
        <v>3222</v>
      </c>
      <c r="BV210" s="98">
        <v>122436</v>
      </c>
      <c r="CC210" s="91">
        <f t="shared" si="1462"/>
        <v>3222</v>
      </c>
      <c r="CD210" s="91">
        <f t="shared" si="1463"/>
        <v>122436</v>
      </c>
      <c r="CK210" s="98">
        <v>296.76500279999999</v>
      </c>
      <c r="CL210" s="98">
        <v>7419.1250699999991</v>
      </c>
      <c r="CS210" s="91">
        <f t="shared" si="1548"/>
        <v>296.76500279999999</v>
      </c>
      <c r="CT210" s="91">
        <f t="shared" si="1549"/>
        <v>7419.1250699999991</v>
      </c>
      <c r="DA210" s="98">
        <v>199180</v>
      </c>
      <c r="DB210" s="98">
        <v>5975400</v>
      </c>
      <c r="DI210" s="91">
        <f t="shared" si="1466"/>
        <v>199180</v>
      </c>
      <c r="DJ210" s="91">
        <f t="shared" si="1467"/>
        <v>5975400</v>
      </c>
      <c r="DQ210" s="98">
        <v>33100</v>
      </c>
      <c r="DR210" s="98">
        <v>993000</v>
      </c>
      <c r="DY210" s="91">
        <f t="shared" si="1468"/>
        <v>33100</v>
      </c>
      <c r="DZ210" s="91">
        <f t="shared" si="1469"/>
        <v>993000</v>
      </c>
      <c r="EG210" s="98">
        <v>253200</v>
      </c>
      <c r="EH210" s="98">
        <v>7089600</v>
      </c>
      <c r="EO210" s="91">
        <f t="shared" si="1470"/>
        <v>253200</v>
      </c>
      <c r="EP210" s="91">
        <f t="shared" si="1471"/>
        <v>7089600</v>
      </c>
      <c r="FE210" s="91">
        <f t="shared" si="1472"/>
        <v>0</v>
      </c>
      <c r="FF210" s="91">
        <f t="shared" si="1473"/>
        <v>0</v>
      </c>
      <c r="FM210" s="98">
        <v>62255</v>
      </c>
      <c r="FN210" s="98">
        <v>2178925</v>
      </c>
      <c r="FU210" s="91">
        <f t="shared" si="1474"/>
        <v>62255</v>
      </c>
      <c r="FV210" s="91">
        <f t="shared" si="1475"/>
        <v>2178925</v>
      </c>
      <c r="GC210" s="98">
        <v>38000</v>
      </c>
      <c r="GD210" s="98">
        <v>1216000</v>
      </c>
      <c r="GK210" s="91">
        <f t="shared" si="1476"/>
        <v>38000</v>
      </c>
      <c r="GL210" s="91">
        <f t="shared" si="1477"/>
        <v>1216000</v>
      </c>
      <c r="GS210" s="98">
        <v>6500</v>
      </c>
      <c r="GT210" s="98">
        <v>182000</v>
      </c>
      <c r="HA210" s="91">
        <f t="shared" si="1478"/>
        <v>6500</v>
      </c>
      <c r="HB210" s="91">
        <f t="shared" si="1479"/>
        <v>182000</v>
      </c>
      <c r="HI210" s="98">
        <v>3500</v>
      </c>
      <c r="HJ210" s="98">
        <v>105000</v>
      </c>
      <c r="HQ210" s="91">
        <f t="shared" si="1480"/>
        <v>3500</v>
      </c>
      <c r="HR210" s="91">
        <f t="shared" si="1481"/>
        <v>105000</v>
      </c>
      <c r="HY210" s="98">
        <v>2000</v>
      </c>
      <c r="HZ210" s="98">
        <v>64000</v>
      </c>
      <c r="IG210" s="91">
        <f t="shared" si="1482"/>
        <v>2000</v>
      </c>
      <c r="IH210" s="91">
        <f t="shared" si="1483"/>
        <v>64000</v>
      </c>
      <c r="IO210" s="98">
        <v>89300</v>
      </c>
      <c r="IP210" s="98">
        <v>3393400</v>
      </c>
      <c r="IW210" s="91">
        <f t="shared" si="1484"/>
        <v>89300</v>
      </c>
      <c r="IX210" s="91">
        <f t="shared" si="1485"/>
        <v>3393400</v>
      </c>
      <c r="JE210" s="98">
        <v>15500</v>
      </c>
      <c r="JF210" s="98">
        <v>465000</v>
      </c>
      <c r="JM210" s="91">
        <f t="shared" si="1486"/>
        <v>15500</v>
      </c>
      <c r="JN210" s="91">
        <f t="shared" si="1487"/>
        <v>465000</v>
      </c>
      <c r="KC210" s="91">
        <f t="shared" si="1488"/>
        <v>0</v>
      </c>
      <c r="KD210" s="91">
        <f t="shared" si="1489"/>
        <v>0</v>
      </c>
      <c r="KK210" s="98">
        <v>150</v>
      </c>
      <c r="KL210" s="98">
        <v>7500</v>
      </c>
      <c r="KS210" s="91">
        <f t="shared" si="1490"/>
        <v>150</v>
      </c>
      <c r="KT210" s="91">
        <f t="shared" si="1491"/>
        <v>7500</v>
      </c>
      <c r="LA210" s="98">
        <v>14306.36</v>
      </c>
      <c r="LB210" s="98">
        <v>500722</v>
      </c>
      <c r="LI210" s="91">
        <f t="shared" si="1492"/>
        <v>14306.36</v>
      </c>
      <c r="LJ210" s="91">
        <f t="shared" si="1493"/>
        <v>500722</v>
      </c>
      <c r="LQ210" s="98">
        <v>25534</v>
      </c>
      <c r="LR210" s="98">
        <v>791554</v>
      </c>
      <c r="LY210" s="91">
        <f t="shared" si="1494"/>
        <v>25534</v>
      </c>
      <c r="LZ210" s="91">
        <f t="shared" si="1495"/>
        <v>791554</v>
      </c>
      <c r="MG210" s="98">
        <v>650</v>
      </c>
      <c r="MH210" s="98">
        <v>17550</v>
      </c>
      <c r="MO210" s="91">
        <f t="shared" si="1496"/>
        <v>650</v>
      </c>
      <c r="MP210" s="91">
        <f t="shared" si="1497"/>
        <v>17550</v>
      </c>
      <c r="NE210" s="91">
        <f t="shared" si="1498"/>
        <v>0</v>
      </c>
      <c r="NF210" s="91">
        <f t="shared" si="1499"/>
        <v>0</v>
      </c>
      <c r="NM210" s="98">
        <v>10000</v>
      </c>
      <c r="NN210" s="98">
        <v>280000</v>
      </c>
      <c r="NQ210" s="98">
        <v>400</v>
      </c>
      <c r="NR210" s="98">
        <v>11200</v>
      </c>
      <c r="NU210" s="91">
        <f t="shared" si="1500"/>
        <v>10400</v>
      </c>
      <c r="NV210" s="91">
        <f t="shared" si="1501"/>
        <v>291200</v>
      </c>
      <c r="OC210" s="98">
        <v>200</v>
      </c>
      <c r="OD210" s="98">
        <v>8000</v>
      </c>
      <c r="OK210" s="91">
        <f t="shared" si="1502"/>
        <v>200</v>
      </c>
      <c r="OL210" s="91">
        <f t="shared" si="1503"/>
        <v>8000</v>
      </c>
      <c r="OS210" s="98">
        <v>789</v>
      </c>
      <c r="OT210" s="98">
        <v>39450</v>
      </c>
      <c r="PA210" s="91">
        <f t="shared" si="1504"/>
        <v>789</v>
      </c>
      <c r="PB210" s="91">
        <f t="shared" si="1505"/>
        <v>39450</v>
      </c>
      <c r="PI210" s="98">
        <v>30935</v>
      </c>
      <c r="PJ210" s="98">
        <v>711505</v>
      </c>
      <c r="PQ210" s="91">
        <f t="shared" si="1506"/>
        <v>30935</v>
      </c>
      <c r="PR210" s="91">
        <f t="shared" si="1507"/>
        <v>711505</v>
      </c>
      <c r="PY210" s="98">
        <v>37250</v>
      </c>
      <c r="PZ210" s="98">
        <v>1862500</v>
      </c>
      <c r="QC210" s="98">
        <v>32270</v>
      </c>
      <c r="QD210" s="98">
        <v>968100</v>
      </c>
      <c r="QG210" s="91">
        <f t="shared" si="1508"/>
        <v>69520</v>
      </c>
      <c r="QH210" s="91">
        <f t="shared" si="1509"/>
        <v>2830600</v>
      </c>
      <c r="QO210" s="98">
        <v>1950000</v>
      </c>
      <c r="QP210" s="98">
        <v>56550000</v>
      </c>
      <c r="QW210" s="91">
        <f t="shared" si="1510"/>
        <v>1950000</v>
      </c>
      <c r="QX210" s="91">
        <f t="shared" si="1511"/>
        <v>56550000</v>
      </c>
      <c r="RM210" s="91">
        <f t="shared" si="1512"/>
        <v>0</v>
      </c>
      <c r="RN210" s="91">
        <f t="shared" si="1513"/>
        <v>0</v>
      </c>
      <c r="RU210" s="98">
        <v>3900</v>
      </c>
      <c r="RV210" s="98">
        <v>109200</v>
      </c>
      <c r="SC210" s="91">
        <f t="shared" si="1514"/>
        <v>3900</v>
      </c>
      <c r="SD210" s="91">
        <f t="shared" si="1515"/>
        <v>109200</v>
      </c>
      <c r="SK210" s="98">
        <v>700</v>
      </c>
      <c r="SL210" s="98">
        <v>17500</v>
      </c>
      <c r="SS210" s="91">
        <f t="shared" si="1516"/>
        <v>700</v>
      </c>
      <c r="ST210" s="91">
        <f t="shared" si="1517"/>
        <v>17500</v>
      </c>
      <c r="TA210" s="98">
        <v>6490</v>
      </c>
      <c r="TB210" s="98">
        <v>214170</v>
      </c>
      <c r="TI210" s="91">
        <f t="shared" si="1518"/>
        <v>6490</v>
      </c>
      <c r="TJ210" s="91">
        <f t="shared" si="1519"/>
        <v>214170</v>
      </c>
      <c r="TY210" s="91">
        <f t="shared" si="1520"/>
        <v>0</v>
      </c>
      <c r="TZ210" s="91">
        <f t="shared" si="1521"/>
        <v>0</v>
      </c>
      <c r="UG210" s="98">
        <v>251</v>
      </c>
      <c r="UH210" s="98">
        <v>7530</v>
      </c>
      <c r="UO210" s="91">
        <f t="shared" si="1522"/>
        <v>251</v>
      </c>
      <c r="UP210" s="91">
        <f t="shared" si="1523"/>
        <v>7530</v>
      </c>
      <c r="VE210" s="91">
        <f t="shared" si="1524"/>
        <v>0</v>
      </c>
      <c r="VF210" s="91">
        <f t="shared" si="1525"/>
        <v>0</v>
      </c>
      <c r="VM210" s="98">
        <v>688</v>
      </c>
      <c r="VN210" s="98">
        <v>25456</v>
      </c>
      <c r="VU210" s="91">
        <f t="shared" si="1526"/>
        <v>688</v>
      </c>
      <c r="VV210" s="91">
        <f t="shared" si="1527"/>
        <v>25456</v>
      </c>
      <c r="WK210" s="91">
        <f t="shared" si="1528"/>
        <v>0</v>
      </c>
      <c r="WL210" s="91">
        <f t="shared" si="1529"/>
        <v>0</v>
      </c>
      <c r="WM210" s="89"/>
      <c r="WN210" s="87">
        <f t="shared" si="1530"/>
        <v>0</v>
      </c>
      <c r="WO210" s="87">
        <f t="shared" si="1531"/>
        <v>0</v>
      </c>
      <c r="WP210" s="87">
        <f t="shared" si="1532"/>
        <v>0</v>
      </c>
      <c r="WQ210" s="87">
        <f t="shared" si="1533"/>
        <v>0</v>
      </c>
      <c r="WR210" s="87">
        <f t="shared" si="1534"/>
        <v>0</v>
      </c>
      <c r="WS210" s="87">
        <f t="shared" si="1535"/>
        <v>0</v>
      </c>
      <c r="WT210" s="87">
        <f t="shared" si="1536"/>
        <v>3406508.1250028005</v>
      </c>
      <c r="WU210" s="87">
        <f t="shared" si="1537"/>
        <v>100972497.12507001</v>
      </c>
      <c r="WV210" s="87">
        <f t="shared" si="1538"/>
        <v>0</v>
      </c>
      <c r="WW210" s="87">
        <f t="shared" si="1539"/>
        <v>0</v>
      </c>
      <c r="WX210" s="87">
        <f t="shared" si="1540"/>
        <v>32670</v>
      </c>
      <c r="WY210" s="87">
        <f t="shared" si="1541"/>
        <v>979300</v>
      </c>
      <c r="WZ210" s="87">
        <f t="shared" si="1542"/>
        <v>0</v>
      </c>
      <c r="XA210" s="87">
        <f t="shared" si="1543"/>
        <v>0</v>
      </c>
      <c r="XB210" s="92">
        <f t="shared" si="1544"/>
        <v>3439178.1250028005</v>
      </c>
      <c r="XC210" s="92">
        <f t="shared" si="1545"/>
        <v>101951797.12507001</v>
      </c>
      <c r="XD210" s="89"/>
      <c r="XE210" s="92"/>
      <c r="XF210" s="92"/>
      <c r="XG210" s="89"/>
      <c r="XH210" s="92"/>
      <c r="XI210" s="92"/>
      <c r="XJ210" s="89"/>
      <c r="XK210" s="87"/>
      <c r="XL210" s="87"/>
      <c r="XM210" s="87"/>
      <c r="XN210" s="87"/>
      <c r="XO210" s="87"/>
      <c r="XP210" s="87"/>
      <c r="XQ210" s="87"/>
      <c r="XR210" s="92">
        <f t="shared" ca="1" si="1546"/>
        <v>0</v>
      </c>
      <c r="XS210" s="89"/>
      <c r="XT210" s="87"/>
      <c r="XU210" s="87"/>
      <c r="XV210" s="87"/>
      <c r="XW210" s="87"/>
      <c r="XX210" s="87"/>
      <c r="XY210" s="87"/>
      <c r="XZ210" s="87"/>
      <c r="YA210" s="92">
        <f t="shared" ca="1" si="1547"/>
        <v>0</v>
      </c>
      <c r="YB210" s="90"/>
      <c r="YC210" s="90"/>
      <c r="YD210" s="90"/>
      <c r="YE210" s="90"/>
      <c r="YF210" s="90"/>
      <c r="YG210" s="90"/>
      <c r="YH210" s="90"/>
      <c r="YI210" s="90"/>
      <c r="YJ210" s="90"/>
      <c r="YK210" s="90"/>
      <c r="YL210" s="90"/>
      <c r="YM210" s="90"/>
      <c r="YN210" s="90"/>
      <c r="YO210" s="90"/>
      <c r="YP210" s="90"/>
      <c r="YQ210" s="90"/>
      <c r="YR210" s="90"/>
      <c r="YS210" s="90"/>
      <c r="YT210" s="90"/>
      <c r="YU210" s="90"/>
      <c r="YV210" s="90"/>
      <c r="YW210" s="90"/>
      <c r="YX210" s="90"/>
      <c r="YY210" s="90"/>
      <c r="YZ210" s="90"/>
      <c r="ZA210" s="90"/>
      <c r="ZB210" s="90"/>
      <c r="ZC210" s="90"/>
      <c r="ZD210" s="90"/>
      <c r="ZE210" s="90"/>
      <c r="ZF210" s="90"/>
      <c r="ZG210" s="90"/>
      <c r="ZH210" s="90"/>
      <c r="ZI210" s="90"/>
      <c r="ZJ210" s="90"/>
      <c r="ZK210" s="90"/>
      <c r="ZL210" s="90"/>
      <c r="ZM210" s="90"/>
      <c r="ZN210" s="90"/>
      <c r="ZO210" s="90"/>
      <c r="ZP210" s="90"/>
      <c r="ZQ210" s="90"/>
      <c r="ZR210" s="90"/>
      <c r="ZS210" s="90"/>
      <c r="ZT210" s="90"/>
      <c r="ZU210" s="90"/>
      <c r="ZV210" s="90"/>
      <c r="ZW210" s="90"/>
      <c r="ZX210" s="90"/>
      <c r="ZY210" s="90"/>
      <c r="ZZ210" s="90"/>
      <c r="AAA210" s="90"/>
      <c r="AAB210" s="90"/>
      <c r="AAC210" s="90"/>
      <c r="AAD210" s="90"/>
      <c r="AAE210" s="90"/>
      <c r="AAF210" s="90"/>
      <c r="AAG210" s="90"/>
      <c r="AAH210" s="90"/>
      <c r="AAI210" s="90"/>
      <c r="AAJ210" s="90"/>
      <c r="AAK210" s="90"/>
      <c r="AAL210" s="90"/>
      <c r="AAM210" s="90"/>
      <c r="AAN210" s="90"/>
      <c r="AAO210" s="90"/>
      <c r="AAP210" s="90"/>
      <c r="AAQ210" s="90"/>
      <c r="AAR210" s="90"/>
      <c r="AAS210" s="90"/>
      <c r="AAT210" s="90"/>
      <c r="AAU210" s="90"/>
      <c r="AAV210" s="90"/>
      <c r="AAW210" s="90"/>
      <c r="AAX210" s="90"/>
      <c r="AAY210" s="90"/>
      <c r="AAZ210" s="90"/>
      <c r="ABA210" s="90"/>
      <c r="ABB210" s="90"/>
      <c r="ABC210" s="90"/>
      <c r="ABD210" s="90"/>
      <c r="ABE210" s="90"/>
      <c r="ABF210" s="90"/>
      <c r="ABG210" s="90"/>
      <c r="ABH210" s="90"/>
      <c r="ABI210" s="90"/>
      <c r="ABJ210" s="90"/>
      <c r="ABK210" s="90"/>
      <c r="ABL210" s="90"/>
      <c r="ABM210" s="90"/>
      <c r="ABN210" s="90"/>
      <c r="ABO210" s="90"/>
      <c r="ABP210" s="90"/>
      <c r="ABQ210" s="90"/>
      <c r="ABR210" s="90"/>
      <c r="ABS210" s="90"/>
      <c r="ABT210" s="90"/>
      <c r="ABU210" s="90"/>
      <c r="ABV210" s="90"/>
      <c r="ABW210" s="90"/>
      <c r="ABX210" s="90"/>
      <c r="ABY210" s="90"/>
      <c r="ABZ210" s="90"/>
      <c r="ACA210" s="90"/>
      <c r="ACB210" s="90"/>
      <c r="ACC210" s="90"/>
      <c r="ACD210" s="90"/>
      <c r="ACE210" s="90"/>
      <c r="ACF210" s="90"/>
      <c r="ACG210" s="90"/>
      <c r="ACH210" s="90"/>
      <c r="ACI210" s="90"/>
      <c r="ACJ210" s="90"/>
      <c r="ACK210" s="90"/>
      <c r="ACL210" s="90"/>
      <c r="ACM210" s="90"/>
      <c r="ACN210" s="90"/>
      <c r="ACO210" s="90"/>
      <c r="ACP210" s="90"/>
      <c r="ACQ210" s="90"/>
      <c r="ACR210" s="90"/>
      <c r="ACS210" s="90"/>
      <c r="ACT210" s="90"/>
      <c r="ACU210" s="90"/>
      <c r="ACV210" s="90"/>
      <c r="ACW210" s="90"/>
      <c r="ACX210" s="90"/>
      <c r="ACY210" s="90"/>
      <c r="ACZ210" s="90"/>
      <c r="ADA210" s="90"/>
      <c r="ADB210" s="90"/>
      <c r="ADC210" s="90"/>
      <c r="ADD210" s="90"/>
      <c r="ADE210" s="90"/>
      <c r="ADF210" s="90"/>
      <c r="ADG210" s="90"/>
      <c r="ADH210" s="90"/>
      <c r="ADI210" s="90"/>
      <c r="ADJ210" s="90"/>
      <c r="ADK210" s="90"/>
      <c r="ADL210" s="90"/>
      <c r="ADM210" s="90"/>
      <c r="ADN210" s="90"/>
      <c r="ADO210" s="90"/>
      <c r="ADP210" s="90"/>
      <c r="ADQ210" s="90"/>
      <c r="ADR210" s="90"/>
      <c r="ADS210" s="90"/>
      <c r="ADT210" s="90"/>
      <c r="ADU210" s="90"/>
      <c r="ADV210" s="90"/>
      <c r="ADW210" s="90"/>
      <c r="ADX210" s="90"/>
      <c r="ADY210" s="90"/>
      <c r="ADZ210" s="90"/>
      <c r="AEA210" s="90"/>
      <c r="AEB210" s="90"/>
      <c r="AEC210" s="90"/>
      <c r="AED210" s="90"/>
      <c r="AEE210" s="90"/>
      <c r="AEF210" s="90"/>
      <c r="AEG210" s="90"/>
      <c r="AEH210" s="90"/>
      <c r="AEI210" s="90"/>
      <c r="AEJ210" s="90"/>
      <c r="AEK210" s="90"/>
      <c r="AEL210" s="90"/>
      <c r="AEM210" s="90"/>
      <c r="AEN210" s="90"/>
      <c r="AEO210" s="90"/>
      <c r="AEP210" s="90"/>
      <c r="AEQ210" s="90"/>
      <c r="AER210" s="90"/>
      <c r="AES210" s="90"/>
      <c r="AET210" s="90"/>
      <c r="AEU210" s="90"/>
      <c r="AEV210" s="90"/>
      <c r="AEW210" s="90"/>
      <c r="AEX210" s="90"/>
      <c r="AEY210" s="90"/>
      <c r="AEZ210" s="90"/>
      <c r="AFA210" s="90"/>
      <c r="AFB210" s="90"/>
      <c r="AFC210" s="90"/>
      <c r="AFD210" s="90"/>
      <c r="AFE210" s="90"/>
      <c r="AFF210" s="90"/>
      <c r="AFG210" s="90"/>
      <c r="AFH210" s="90"/>
      <c r="AFI210" s="90"/>
      <c r="AFJ210" s="90"/>
      <c r="AFK210" s="90"/>
      <c r="AFL210" s="90"/>
      <c r="AFM210" s="90"/>
      <c r="AFN210" s="90"/>
      <c r="AFO210" s="90"/>
      <c r="AFP210" s="90"/>
      <c r="AFQ210" s="90"/>
      <c r="AFR210" s="90"/>
      <c r="AFS210" s="90"/>
      <c r="AFT210" s="90"/>
      <c r="AFU210" s="90"/>
      <c r="AFV210" s="90"/>
      <c r="AFW210" s="90"/>
      <c r="AFX210" s="90"/>
      <c r="AFY210" s="90"/>
      <c r="AFZ210" s="90"/>
      <c r="AGA210" s="90"/>
      <c r="AGB210" s="90"/>
      <c r="AGC210" s="90"/>
      <c r="AGD210" s="90"/>
      <c r="AGE210" s="90"/>
      <c r="AGF210" s="90"/>
      <c r="AGG210" s="90"/>
      <c r="AGH210" s="90"/>
      <c r="AGI210" s="90"/>
      <c r="AGJ210" s="90"/>
      <c r="AGK210" s="90"/>
      <c r="AGL210" s="90"/>
      <c r="AGM210" s="90"/>
      <c r="AGN210" s="90"/>
      <c r="AGO210" s="90"/>
      <c r="AGP210" s="90"/>
      <c r="AGQ210" s="90"/>
      <c r="AGR210" s="90"/>
      <c r="AGS210" s="90"/>
      <c r="AGT210" s="90"/>
      <c r="AGU210" s="90"/>
      <c r="AGV210" s="90"/>
      <c r="AGW210" s="90"/>
      <c r="AGX210" s="90"/>
      <c r="AGY210" s="90"/>
      <c r="AGZ210" s="90"/>
      <c r="AHA210" s="90"/>
      <c r="AHB210" s="90"/>
      <c r="AHC210" s="90"/>
      <c r="AHD210" s="90"/>
      <c r="AHE210" s="90"/>
      <c r="AHF210" s="90"/>
      <c r="AHG210" s="90"/>
      <c r="AHH210" s="90"/>
      <c r="AHI210" s="90"/>
      <c r="AHJ210" s="90"/>
      <c r="AHK210" s="90"/>
      <c r="AHL210" s="90"/>
      <c r="AHM210" s="90"/>
      <c r="AHN210" s="90"/>
      <c r="AHO210" s="90"/>
      <c r="AHP210" s="90"/>
      <c r="AHQ210" s="90"/>
      <c r="AHR210" s="90"/>
      <c r="AHS210" s="90"/>
      <c r="AHT210" s="90"/>
      <c r="AHU210" s="90"/>
      <c r="AHV210" s="90"/>
      <c r="AHW210" s="90"/>
      <c r="AHX210" s="90"/>
      <c r="AHY210" s="90"/>
      <c r="AHZ210" s="90"/>
      <c r="AIA210" s="90"/>
      <c r="AIB210" s="90"/>
      <c r="AIC210" s="90"/>
      <c r="AID210" s="90"/>
      <c r="AIE210" s="90"/>
      <c r="AIF210" s="90"/>
      <c r="AIG210" s="90"/>
      <c r="AIH210" s="90"/>
      <c r="AII210" s="90"/>
      <c r="AIJ210" s="90"/>
      <c r="AIK210" s="90"/>
      <c r="AIL210" s="90"/>
      <c r="AIM210" s="90"/>
      <c r="AIN210" s="90"/>
      <c r="AIO210" s="90"/>
      <c r="AIP210" s="90"/>
      <c r="AIQ210" s="90"/>
      <c r="AIR210" s="90"/>
      <c r="AIS210" s="90"/>
      <c r="AIT210" s="90"/>
      <c r="AIU210" s="90"/>
      <c r="AIV210" s="90"/>
      <c r="AIW210" s="90"/>
      <c r="AIX210" s="90"/>
      <c r="AIY210" s="90"/>
      <c r="AIZ210" s="90"/>
      <c r="AJA210" s="90"/>
      <c r="AJB210" s="90"/>
      <c r="AJC210" s="90"/>
      <c r="AJD210" s="90"/>
      <c r="AJE210" s="90"/>
      <c r="AJF210" s="90"/>
      <c r="AJG210" s="90"/>
      <c r="AJH210" s="90"/>
      <c r="AJI210" s="90"/>
      <c r="AJJ210" s="90"/>
      <c r="AJK210" s="90"/>
      <c r="AJL210" s="90"/>
      <c r="AJM210" s="90"/>
      <c r="AJN210" s="90"/>
      <c r="AJO210" s="90"/>
      <c r="AJP210" s="90"/>
      <c r="AJQ210" s="90"/>
      <c r="AJR210" s="90"/>
      <c r="AJS210" s="90"/>
      <c r="AJT210" s="90"/>
      <c r="AJU210" s="90"/>
      <c r="AJV210" s="90"/>
      <c r="AJW210" s="90"/>
      <c r="AJX210" s="90"/>
      <c r="AJY210" s="90"/>
      <c r="AJZ210" s="90"/>
      <c r="AKA210" s="90"/>
      <c r="AKB210" s="90"/>
      <c r="AKC210" s="90"/>
      <c r="AKD210" s="90"/>
      <c r="AKE210" s="90"/>
      <c r="AKF210" s="90"/>
      <c r="AKG210" s="90"/>
      <c r="AKH210" s="90"/>
      <c r="AKI210" s="90"/>
      <c r="AKJ210" s="90"/>
      <c r="AKK210" s="90"/>
      <c r="AKL210" s="90"/>
      <c r="AKM210" s="90"/>
      <c r="AKN210" s="90"/>
      <c r="AKO210" s="90"/>
      <c r="AKP210" s="90"/>
      <c r="AKQ210" s="90"/>
      <c r="AKR210" s="90"/>
      <c r="AKS210" s="90"/>
      <c r="AKT210" s="90"/>
      <c r="AKU210" s="90"/>
      <c r="AKV210" s="90"/>
      <c r="AKW210" s="90"/>
      <c r="AKX210" s="90"/>
      <c r="AKY210" s="90"/>
      <c r="AKZ210" s="90"/>
      <c r="ALA210" s="90"/>
      <c r="ALB210" s="90"/>
      <c r="ALC210" s="90"/>
      <c r="ALD210" s="90"/>
      <c r="ALE210" s="90"/>
      <c r="ALF210" s="90"/>
      <c r="ALG210" s="90"/>
      <c r="ALH210" s="90"/>
      <c r="ALI210" s="90"/>
      <c r="ALJ210" s="90"/>
      <c r="ALK210" s="90"/>
      <c r="ALL210" s="90"/>
      <c r="ALM210" s="90"/>
      <c r="ALN210" s="90"/>
      <c r="ALO210" s="90"/>
      <c r="ALP210" s="90"/>
      <c r="ALQ210" s="90"/>
      <c r="ALR210" s="90"/>
      <c r="ALS210" s="90"/>
      <c r="ALT210" s="90"/>
      <c r="ALU210" s="90"/>
      <c r="ALV210" s="90"/>
      <c r="ALW210" s="90"/>
      <c r="ALX210" s="90"/>
      <c r="ALY210" s="90"/>
      <c r="ALZ210" s="90"/>
      <c r="AMA210" s="90"/>
      <c r="AMB210" s="90"/>
      <c r="AMC210" s="90"/>
    </row>
    <row r="211" spans="1:1017">
      <c r="A211" s="98" t="s">
        <v>50</v>
      </c>
      <c r="B211" s="90" t="str">
        <f t="shared" si="1453"/>
        <v>Kakap Putih</v>
      </c>
      <c r="E211" s="98">
        <v>70200</v>
      </c>
      <c r="F211" s="98">
        <v>4212000</v>
      </c>
      <c r="Q211" s="91">
        <f t="shared" si="1454"/>
        <v>70200</v>
      </c>
      <c r="R211" s="91">
        <f t="shared" si="1455"/>
        <v>4212000</v>
      </c>
      <c r="S211" s="98">
        <v>445</v>
      </c>
      <c r="T211" s="98">
        <v>33375</v>
      </c>
      <c r="U211" s="98">
        <v>34560</v>
      </c>
      <c r="V211" s="98">
        <v>2592000</v>
      </c>
      <c r="AG211" s="91">
        <f t="shared" si="1456"/>
        <v>35005</v>
      </c>
      <c r="AH211" s="91">
        <f t="shared" si="1457"/>
        <v>2625375</v>
      </c>
      <c r="AW211" s="91">
        <f t="shared" si="1458"/>
        <v>0</v>
      </c>
      <c r="AX211" s="91">
        <f t="shared" si="1459"/>
        <v>0</v>
      </c>
      <c r="BM211" s="91">
        <f t="shared" si="1460"/>
        <v>0</v>
      </c>
      <c r="BN211" s="91">
        <f t="shared" si="1461"/>
        <v>0</v>
      </c>
      <c r="CC211" s="91">
        <f t="shared" si="1462"/>
        <v>0</v>
      </c>
      <c r="CD211" s="91">
        <f t="shared" si="1463"/>
        <v>0</v>
      </c>
      <c r="CG211" s="98">
        <v>9412.1686429252823</v>
      </c>
      <c r="CH211" s="98">
        <v>282365.05928775849</v>
      </c>
      <c r="CS211" s="91">
        <f t="shared" si="1548"/>
        <v>9412.1686429252823</v>
      </c>
      <c r="CT211" s="91">
        <f t="shared" si="1549"/>
        <v>282365.05928775849</v>
      </c>
      <c r="DI211" s="91">
        <f t="shared" si="1466"/>
        <v>0</v>
      </c>
      <c r="DJ211" s="91">
        <f t="shared" si="1467"/>
        <v>0</v>
      </c>
      <c r="DY211" s="91">
        <f t="shared" si="1468"/>
        <v>0</v>
      </c>
      <c r="DZ211" s="91">
        <f t="shared" si="1469"/>
        <v>0</v>
      </c>
      <c r="EO211" s="91">
        <f t="shared" si="1470"/>
        <v>0</v>
      </c>
      <c r="EP211" s="91">
        <f t="shared" si="1471"/>
        <v>0</v>
      </c>
      <c r="FE211" s="91">
        <f t="shared" si="1472"/>
        <v>0</v>
      </c>
      <c r="FF211" s="91">
        <f t="shared" si="1473"/>
        <v>0</v>
      </c>
      <c r="FU211" s="91">
        <f t="shared" si="1474"/>
        <v>0</v>
      </c>
      <c r="FV211" s="91">
        <f t="shared" si="1475"/>
        <v>0</v>
      </c>
      <c r="GK211" s="91">
        <f t="shared" si="1476"/>
        <v>0</v>
      </c>
      <c r="GL211" s="91">
        <f t="shared" si="1477"/>
        <v>0</v>
      </c>
      <c r="HA211" s="91">
        <f t="shared" si="1478"/>
        <v>0</v>
      </c>
      <c r="HB211" s="91">
        <f t="shared" si="1479"/>
        <v>0</v>
      </c>
      <c r="HQ211" s="91">
        <f t="shared" si="1480"/>
        <v>0</v>
      </c>
      <c r="HR211" s="91">
        <f t="shared" si="1481"/>
        <v>0</v>
      </c>
      <c r="IG211" s="91">
        <f t="shared" si="1482"/>
        <v>0</v>
      </c>
      <c r="IH211" s="91">
        <f t="shared" si="1483"/>
        <v>0</v>
      </c>
      <c r="IW211" s="91">
        <f t="shared" si="1484"/>
        <v>0</v>
      </c>
      <c r="IX211" s="91">
        <f t="shared" si="1485"/>
        <v>0</v>
      </c>
      <c r="JM211" s="91">
        <f t="shared" si="1486"/>
        <v>0</v>
      </c>
      <c r="JN211" s="91">
        <f t="shared" si="1487"/>
        <v>0</v>
      </c>
      <c r="KC211" s="91">
        <f t="shared" si="1488"/>
        <v>0</v>
      </c>
      <c r="KD211" s="91">
        <f t="shared" si="1489"/>
        <v>0</v>
      </c>
      <c r="KS211" s="91">
        <f t="shared" si="1490"/>
        <v>0</v>
      </c>
      <c r="KT211" s="91">
        <f t="shared" si="1491"/>
        <v>0</v>
      </c>
      <c r="LI211" s="91">
        <f t="shared" si="1492"/>
        <v>0</v>
      </c>
      <c r="LJ211" s="91">
        <f t="shared" si="1493"/>
        <v>0</v>
      </c>
      <c r="LY211" s="91">
        <f t="shared" si="1494"/>
        <v>0</v>
      </c>
      <c r="LZ211" s="91">
        <f t="shared" si="1495"/>
        <v>0</v>
      </c>
      <c r="MO211" s="91">
        <f t="shared" si="1496"/>
        <v>0</v>
      </c>
      <c r="MP211" s="91">
        <f t="shared" si="1497"/>
        <v>0</v>
      </c>
      <c r="MS211" s="98">
        <v>510</v>
      </c>
      <c r="MT211" s="98">
        <v>15300</v>
      </c>
      <c r="NE211" s="91">
        <f t="shared" si="1498"/>
        <v>510</v>
      </c>
      <c r="NF211" s="91">
        <f t="shared" si="1499"/>
        <v>15300</v>
      </c>
      <c r="NI211" s="98">
        <v>7200</v>
      </c>
      <c r="NJ211" s="98">
        <v>252000</v>
      </c>
      <c r="NU211" s="91">
        <f t="shared" si="1500"/>
        <v>7200</v>
      </c>
      <c r="NV211" s="91">
        <f t="shared" si="1501"/>
        <v>252000</v>
      </c>
      <c r="NW211" s="98">
        <v>230</v>
      </c>
      <c r="NX211" s="98">
        <v>18400</v>
      </c>
      <c r="OK211" s="91">
        <f t="shared" si="1502"/>
        <v>230</v>
      </c>
      <c r="OL211" s="91">
        <f t="shared" si="1503"/>
        <v>18400</v>
      </c>
      <c r="PA211" s="91">
        <f t="shared" si="1504"/>
        <v>0</v>
      </c>
      <c r="PB211" s="91">
        <f t="shared" si="1505"/>
        <v>0</v>
      </c>
      <c r="PQ211" s="91">
        <f t="shared" si="1506"/>
        <v>0</v>
      </c>
      <c r="PR211" s="91">
        <f t="shared" si="1507"/>
        <v>0</v>
      </c>
      <c r="QG211" s="91">
        <f t="shared" si="1508"/>
        <v>0</v>
      </c>
      <c r="QH211" s="91">
        <f t="shared" si="1509"/>
        <v>0</v>
      </c>
      <c r="QW211" s="91">
        <f t="shared" si="1510"/>
        <v>0</v>
      </c>
      <c r="QX211" s="91">
        <f t="shared" si="1511"/>
        <v>0</v>
      </c>
      <c r="RM211" s="91">
        <f t="shared" si="1512"/>
        <v>0</v>
      </c>
      <c r="RN211" s="91">
        <f t="shared" si="1513"/>
        <v>0</v>
      </c>
      <c r="SC211" s="91">
        <f t="shared" si="1514"/>
        <v>0</v>
      </c>
      <c r="SD211" s="91">
        <f t="shared" si="1515"/>
        <v>0</v>
      </c>
      <c r="SS211" s="91">
        <f t="shared" si="1516"/>
        <v>0</v>
      </c>
      <c r="ST211" s="91">
        <f t="shared" si="1517"/>
        <v>0</v>
      </c>
      <c r="TI211" s="91">
        <f t="shared" si="1518"/>
        <v>0</v>
      </c>
      <c r="TJ211" s="91">
        <f t="shared" si="1519"/>
        <v>0</v>
      </c>
      <c r="TY211" s="91">
        <f t="shared" si="1520"/>
        <v>0</v>
      </c>
      <c r="TZ211" s="91">
        <f t="shared" si="1521"/>
        <v>0</v>
      </c>
      <c r="UO211" s="91">
        <f t="shared" si="1522"/>
        <v>0</v>
      </c>
      <c r="UP211" s="91">
        <f t="shared" si="1523"/>
        <v>0</v>
      </c>
      <c r="VE211" s="91">
        <f t="shared" si="1524"/>
        <v>0</v>
      </c>
      <c r="VF211" s="91">
        <f t="shared" si="1525"/>
        <v>0</v>
      </c>
      <c r="VI211" s="98">
        <v>25</v>
      </c>
      <c r="VJ211" s="98">
        <v>1000</v>
      </c>
      <c r="VU211" s="91">
        <f t="shared" si="1526"/>
        <v>25</v>
      </c>
      <c r="VV211" s="91">
        <f t="shared" si="1527"/>
        <v>1000</v>
      </c>
      <c r="WK211" s="91">
        <f t="shared" si="1528"/>
        <v>0</v>
      </c>
      <c r="WL211" s="91">
        <f t="shared" si="1529"/>
        <v>0</v>
      </c>
      <c r="WM211" s="89"/>
      <c r="WN211" s="87">
        <f t="shared" si="1530"/>
        <v>675</v>
      </c>
      <c r="WO211" s="87">
        <f t="shared" si="1531"/>
        <v>51775</v>
      </c>
      <c r="WP211" s="87">
        <f t="shared" si="1532"/>
        <v>121907.16864292529</v>
      </c>
      <c r="WQ211" s="87">
        <f t="shared" si="1533"/>
        <v>7354665.0592877585</v>
      </c>
      <c r="WR211" s="87">
        <f t="shared" si="1534"/>
        <v>0</v>
      </c>
      <c r="WS211" s="87">
        <f t="shared" si="1535"/>
        <v>0</v>
      </c>
      <c r="WT211" s="87">
        <f t="shared" si="1536"/>
        <v>0</v>
      </c>
      <c r="WU211" s="87">
        <f t="shared" si="1537"/>
        <v>0</v>
      </c>
      <c r="WV211" s="87">
        <f t="shared" si="1538"/>
        <v>0</v>
      </c>
      <c r="WW211" s="87">
        <f t="shared" si="1539"/>
        <v>0</v>
      </c>
      <c r="WX211" s="87">
        <f t="shared" si="1540"/>
        <v>0</v>
      </c>
      <c r="WY211" s="87">
        <f t="shared" si="1541"/>
        <v>0</v>
      </c>
      <c r="WZ211" s="87">
        <f t="shared" si="1542"/>
        <v>0</v>
      </c>
      <c r="XA211" s="87">
        <f t="shared" si="1543"/>
        <v>0</v>
      </c>
      <c r="XB211" s="92">
        <f t="shared" si="1544"/>
        <v>122582.16864292529</v>
      </c>
      <c r="XC211" s="92">
        <f t="shared" si="1545"/>
        <v>7406440.0592877585</v>
      </c>
      <c r="XD211" s="89"/>
      <c r="XE211" s="92"/>
      <c r="XF211" s="92"/>
      <c r="XG211" s="89"/>
      <c r="XH211" s="92"/>
      <c r="XI211" s="92"/>
      <c r="XJ211" s="89"/>
      <c r="XK211" s="87"/>
      <c r="XL211" s="87"/>
      <c r="XM211" s="87"/>
      <c r="XN211" s="87"/>
      <c r="XO211" s="87"/>
      <c r="XP211" s="87"/>
      <c r="XQ211" s="87"/>
      <c r="XR211" s="92">
        <f t="shared" ca="1" si="1546"/>
        <v>0</v>
      </c>
      <c r="XS211" s="89"/>
      <c r="XT211" s="87"/>
      <c r="XU211" s="87"/>
      <c r="XV211" s="87"/>
      <c r="XW211" s="87"/>
      <c r="XX211" s="87"/>
      <c r="XY211" s="87"/>
      <c r="XZ211" s="87"/>
      <c r="YA211" s="92">
        <f t="shared" ca="1" si="1547"/>
        <v>0</v>
      </c>
      <c r="YB211" s="90"/>
      <c r="YC211" s="90"/>
      <c r="YD211" s="90"/>
      <c r="YE211" s="90"/>
      <c r="YF211" s="90"/>
      <c r="YG211" s="90"/>
      <c r="YH211" s="90"/>
      <c r="YI211" s="90"/>
      <c r="YJ211" s="90"/>
      <c r="YK211" s="90"/>
      <c r="YL211" s="90"/>
      <c r="YM211" s="90"/>
      <c r="YN211" s="90"/>
      <c r="YO211" s="90"/>
      <c r="YP211" s="90"/>
      <c r="YQ211" s="90"/>
      <c r="YR211" s="90"/>
      <c r="YS211" s="90"/>
      <c r="YT211" s="90"/>
      <c r="YU211" s="90"/>
      <c r="YV211" s="90"/>
      <c r="YW211" s="90"/>
      <c r="YX211" s="90"/>
      <c r="YY211" s="90"/>
      <c r="YZ211" s="90"/>
      <c r="ZA211" s="90"/>
      <c r="ZB211" s="90"/>
      <c r="ZC211" s="90"/>
      <c r="ZD211" s="90"/>
      <c r="ZE211" s="90"/>
      <c r="ZF211" s="90"/>
      <c r="ZG211" s="90"/>
      <c r="ZH211" s="90"/>
      <c r="ZI211" s="90"/>
      <c r="ZJ211" s="90"/>
      <c r="ZK211" s="90"/>
      <c r="ZL211" s="90"/>
      <c r="ZM211" s="90"/>
      <c r="ZN211" s="90"/>
      <c r="ZO211" s="90"/>
      <c r="ZP211" s="90"/>
      <c r="ZQ211" s="90"/>
      <c r="ZR211" s="90"/>
      <c r="ZS211" s="90"/>
      <c r="ZT211" s="90"/>
      <c r="ZU211" s="90"/>
      <c r="ZV211" s="90"/>
      <c r="ZW211" s="90"/>
      <c r="ZX211" s="90"/>
      <c r="ZY211" s="90"/>
      <c r="ZZ211" s="90"/>
      <c r="AAA211" s="90"/>
      <c r="AAB211" s="90"/>
      <c r="AAC211" s="90"/>
      <c r="AAD211" s="90"/>
      <c r="AAE211" s="90"/>
      <c r="AAF211" s="90"/>
      <c r="AAG211" s="90"/>
      <c r="AAH211" s="90"/>
      <c r="AAI211" s="90"/>
      <c r="AAJ211" s="90"/>
      <c r="AAK211" s="90"/>
      <c r="AAL211" s="90"/>
      <c r="AAM211" s="90"/>
      <c r="AAN211" s="90"/>
      <c r="AAO211" s="90"/>
      <c r="AAP211" s="90"/>
      <c r="AAQ211" s="90"/>
      <c r="AAR211" s="90"/>
      <c r="AAS211" s="90"/>
      <c r="AAT211" s="90"/>
      <c r="AAU211" s="90"/>
      <c r="AAV211" s="90"/>
      <c r="AAW211" s="90"/>
      <c r="AAX211" s="90"/>
      <c r="AAY211" s="90"/>
      <c r="AAZ211" s="90"/>
      <c r="ABA211" s="90"/>
      <c r="ABB211" s="90"/>
      <c r="ABC211" s="90"/>
      <c r="ABD211" s="90"/>
      <c r="ABE211" s="90"/>
      <c r="ABF211" s="90"/>
      <c r="ABG211" s="90"/>
      <c r="ABH211" s="90"/>
      <c r="ABI211" s="90"/>
      <c r="ABJ211" s="90"/>
      <c r="ABK211" s="90"/>
      <c r="ABL211" s="90"/>
      <c r="ABM211" s="90"/>
      <c r="ABN211" s="90"/>
      <c r="ABO211" s="90"/>
      <c r="ABP211" s="90"/>
      <c r="ABQ211" s="90"/>
      <c r="ABR211" s="90"/>
      <c r="ABS211" s="90"/>
      <c r="ABT211" s="90"/>
      <c r="ABU211" s="90"/>
      <c r="ABV211" s="90"/>
      <c r="ABW211" s="90"/>
      <c r="ABX211" s="90"/>
      <c r="ABY211" s="90"/>
      <c r="ABZ211" s="90"/>
      <c r="ACA211" s="90"/>
      <c r="ACB211" s="90"/>
      <c r="ACC211" s="90"/>
      <c r="ACD211" s="90"/>
      <c r="ACE211" s="90"/>
      <c r="ACF211" s="90"/>
      <c r="ACG211" s="90"/>
      <c r="ACH211" s="90"/>
      <c r="ACI211" s="90"/>
      <c r="ACJ211" s="90"/>
      <c r="ACK211" s="90"/>
      <c r="ACL211" s="90"/>
      <c r="ACM211" s="90"/>
      <c r="ACN211" s="90"/>
      <c r="ACO211" s="90"/>
      <c r="ACP211" s="90"/>
      <c r="ACQ211" s="90"/>
      <c r="ACR211" s="90"/>
      <c r="ACS211" s="90"/>
      <c r="ACT211" s="90"/>
      <c r="ACU211" s="90"/>
      <c r="ACV211" s="90"/>
      <c r="ACW211" s="90"/>
      <c r="ACX211" s="90"/>
      <c r="ACY211" s="90"/>
      <c r="ACZ211" s="90"/>
      <c r="ADA211" s="90"/>
      <c r="ADB211" s="90"/>
      <c r="ADC211" s="90"/>
      <c r="ADD211" s="90"/>
      <c r="ADE211" s="90"/>
      <c r="ADF211" s="90"/>
      <c r="ADG211" s="90"/>
      <c r="ADH211" s="90"/>
      <c r="ADI211" s="90"/>
      <c r="ADJ211" s="90"/>
      <c r="ADK211" s="90"/>
      <c r="ADL211" s="90"/>
      <c r="ADM211" s="90"/>
      <c r="ADN211" s="90"/>
      <c r="ADO211" s="90"/>
      <c r="ADP211" s="90"/>
      <c r="ADQ211" s="90"/>
      <c r="ADR211" s="90"/>
      <c r="ADS211" s="90"/>
      <c r="ADT211" s="90"/>
      <c r="ADU211" s="90"/>
      <c r="ADV211" s="90"/>
      <c r="ADW211" s="90"/>
      <c r="ADX211" s="90"/>
      <c r="ADY211" s="90"/>
      <c r="ADZ211" s="90"/>
      <c r="AEA211" s="90"/>
      <c r="AEB211" s="90"/>
      <c r="AEC211" s="90"/>
      <c r="AED211" s="90"/>
      <c r="AEE211" s="90"/>
      <c r="AEF211" s="90"/>
      <c r="AEG211" s="90"/>
      <c r="AEH211" s="90"/>
      <c r="AEI211" s="90"/>
      <c r="AEJ211" s="90"/>
      <c r="AEK211" s="90"/>
      <c r="AEL211" s="90"/>
      <c r="AEM211" s="90"/>
      <c r="AEN211" s="90"/>
      <c r="AEO211" s="90"/>
      <c r="AEP211" s="90"/>
      <c r="AEQ211" s="90"/>
      <c r="AER211" s="90"/>
      <c r="AES211" s="90"/>
      <c r="AET211" s="90"/>
      <c r="AEU211" s="90"/>
      <c r="AEV211" s="90"/>
      <c r="AEW211" s="90"/>
      <c r="AEX211" s="90"/>
      <c r="AEY211" s="90"/>
      <c r="AEZ211" s="90"/>
      <c r="AFA211" s="90"/>
      <c r="AFB211" s="90"/>
      <c r="AFC211" s="90"/>
      <c r="AFD211" s="90"/>
      <c r="AFE211" s="90"/>
      <c r="AFF211" s="90"/>
      <c r="AFG211" s="90"/>
      <c r="AFH211" s="90"/>
      <c r="AFI211" s="90"/>
      <c r="AFJ211" s="90"/>
      <c r="AFK211" s="90"/>
      <c r="AFL211" s="90"/>
      <c r="AFM211" s="90"/>
      <c r="AFN211" s="90"/>
      <c r="AFO211" s="90"/>
      <c r="AFP211" s="90"/>
      <c r="AFQ211" s="90"/>
      <c r="AFR211" s="90"/>
      <c r="AFS211" s="90"/>
      <c r="AFT211" s="90"/>
      <c r="AFU211" s="90"/>
      <c r="AFV211" s="90"/>
      <c r="AFW211" s="90"/>
      <c r="AFX211" s="90"/>
      <c r="AFY211" s="90"/>
      <c r="AFZ211" s="90"/>
      <c r="AGA211" s="90"/>
      <c r="AGB211" s="90"/>
      <c r="AGC211" s="90"/>
      <c r="AGD211" s="90"/>
      <c r="AGE211" s="90"/>
      <c r="AGF211" s="90"/>
      <c r="AGG211" s="90"/>
      <c r="AGH211" s="90"/>
      <c r="AGI211" s="90"/>
      <c r="AGJ211" s="90"/>
      <c r="AGK211" s="90"/>
      <c r="AGL211" s="90"/>
      <c r="AGM211" s="90"/>
      <c r="AGN211" s="90"/>
      <c r="AGO211" s="90"/>
      <c r="AGP211" s="90"/>
      <c r="AGQ211" s="90"/>
      <c r="AGR211" s="90"/>
      <c r="AGS211" s="90"/>
      <c r="AGT211" s="90"/>
      <c r="AGU211" s="90"/>
      <c r="AGV211" s="90"/>
      <c r="AGW211" s="90"/>
      <c r="AGX211" s="90"/>
      <c r="AGY211" s="90"/>
      <c r="AGZ211" s="90"/>
      <c r="AHA211" s="90"/>
      <c r="AHB211" s="90"/>
      <c r="AHC211" s="90"/>
      <c r="AHD211" s="90"/>
      <c r="AHE211" s="90"/>
      <c r="AHF211" s="90"/>
      <c r="AHG211" s="90"/>
      <c r="AHH211" s="90"/>
      <c r="AHI211" s="90"/>
      <c r="AHJ211" s="90"/>
      <c r="AHK211" s="90"/>
      <c r="AHL211" s="90"/>
      <c r="AHM211" s="90"/>
      <c r="AHN211" s="90"/>
      <c r="AHO211" s="90"/>
      <c r="AHP211" s="90"/>
      <c r="AHQ211" s="90"/>
      <c r="AHR211" s="90"/>
      <c r="AHS211" s="90"/>
      <c r="AHT211" s="90"/>
      <c r="AHU211" s="90"/>
      <c r="AHV211" s="90"/>
      <c r="AHW211" s="90"/>
      <c r="AHX211" s="90"/>
      <c r="AHY211" s="90"/>
      <c r="AHZ211" s="90"/>
      <c r="AIA211" s="90"/>
      <c r="AIB211" s="90"/>
      <c r="AIC211" s="90"/>
      <c r="AID211" s="90"/>
      <c r="AIE211" s="90"/>
      <c r="AIF211" s="90"/>
      <c r="AIG211" s="90"/>
      <c r="AIH211" s="90"/>
      <c r="AII211" s="90"/>
      <c r="AIJ211" s="90"/>
      <c r="AIK211" s="90"/>
      <c r="AIL211" s="90"/>
      <c r="AIM211" s="90"/>
      <c r="AIN211" s="90"/>
      <c r="AIO211" s="90"/>
      <c r="AIP211" s="90"/>
      <c r="AIQ211" s="90"/>
      <c r="AIR211" s="90"/>
      <c r="AIS211" s="90"/>
      <c r="AIT211" s="90"/>
      <c r="AIU211" s="90"/>
      <c r="AIV211" s="90"/>
      <c r="AIW211" s="90"/>
      <c r="AIX211" s="90"/>
      <c r="AIY211" s="90"/>
      <c r="AIZ211" s="90"/>
      <c r="AJA211" s="90"/>
      <c r="AJB211" s="90"/>
      <c r="AJC211" s="90"/>
      <c r="AJD211" s="90"/>
      <c r="AJE211" s="90"/>
      <c r="AJF211" s="90"/>
      <c r="AJG211" s="90"/>
      <c r="AJH211" s="90"/>
      <c r="AJI211" s="90"/>
      <c r="AJJ211" s="90"/>
      <c r="AJK211" s="90"/>
      <c r="AJL211" s="90"/>
      <c r="AJM211" s="90"/>
      <c r="AJN211" s="90"/>
      <c r="AJO211" s="90"/>
      <c r="AJP211" s="90"/>
      <c r="AJQ211" s="90"/>
      <c r="AJR211" s="90"/>
      <c r="AJS211" s="90"/>
      <c r="AJT211" s="90"/>
      <c r="AJU211" s="90"/>
      <c r="AJV211" s="90"/>
      <c r="AJW211" s="90"/>
      <c r="AJX211" s="90"/>
      <c r="AJY211" s="90"/>
      <c r="AJZ211" s="90"/>
      <c r="AKA211" s="90"/>
      <c r="AKB211" s="90"/>
      <c r="AKC211" s="90"/>
      <c r="AKD211" s="90"/>
      <c r="AKE211" s="90"/>
      <c r="AKF211" s="90"/>
      <c r="AKG211" s="90"/>
      <c r="AKH211" s="90"/>
      <c r="AKI211" s="90"/>
      <c r="AKJ211" s="90"/>
      <c r="AKK211" s="90"/>
      <c r="AKL211" s="90"/>
      <c r="AKM211" s="90"/>
      <c r="AKN211" s="90"/>
      <c r="AKO211" s="90"/>
      <c r="AKP211" s="90"/>
      <c r="AKQ211" s="90"/>
      <c r="AKR211" s="90"/>
      <c r="AKS211" s="90"/>
      <c r="AKT211" s="90"/>
      <c r="AKU211" s="90"/>
      <c r="AKV211" s="90"/>
      <c r="AKW211" s="90"/>
      <c r="AKX211" s="90"/>
      <c r="AKY211" s="90"/>
      <c r="AKZ211" s="90"/>
      <c r="ALA211" s="90"/>
      <c r="ALB211" s="90"/>
      <c r="ALC211" s="90"/>
      <c r="ALD211" s="90"/>
      <c r="ALE211" s="90"/>
      <c r="ALF211" s="90"/>
      <c r="ALG211" s="90"/>
      <c r="ALH211" s="90"/>
      <c r="ALI211" s="90"/>
      <c r="ALJ211" s="90"/>
      <c r="ALK211" s="90"/>
      <c r="ALL211" s="90"/>
      <c r="ALM211" s="90"/>
      <c r="ALN211" s="90"/>
      <c r="ALO211" s="90"/>
      <c r="ALP211" s="90"/>
      <c r="ALQ211" s="90"/>
      <c r="ALR211" s="90"/>
      <c r="ALS211" s="90"/>
      <c r="ALT211" s="90"/>
      <c r="ALU211" s="90"/>
      <c r="ALV211" s="90"/>
      <c r="ALW211" s="90"/>
      <c r="ALX211" s="90"/>
      <c r="ALY211" s="90"/>
      <c r="ALZ211" s="90"/>
      <c r="AMA211" s="90"/>
      <c r="AMB211" s="90"/>
      <c r="AMC211" s="90"/>
    </row>
    <row r="212" spans="1:1017">
      <c r="A212" s="98" t="s">
        <v>50</v>
      </c>
      <c r="B212" s="90" t="str">
        <f t="shared" si="1453"/>
        <v>Kepiting  Bakau</v>
      </c>
      <c r="E212" s="98">
        <v>1500</v>
      </c>
      <c r="F212" s="98">
        <v>150000</v>
      </c>
      <c r="Q212" s="91">
        <f t="shared" si="1454"/>
        <v>1500</v>
      </c>
      <c r="R212" s="91">
        <f t="shared" si="1455"/>
        <v>150000</v>
      </c>
      <c r="U212" s="98">
        <v>4130</v>
      </c>
      <c r="V212" s="98">
        <v>247800</v>
      </c>
      <c r="AG212" s="91">
        <f t="shared" si="1456"/>
        <v>4130</v>
      </c>
      <c r="AH212" s="91">
        <f t="shared" si="1457"/>
        <v>247800</v>
      </c>
      <c r="AW212" s="91">
        <f t="shared" si="1458"/>
        <v>0</v>
      </c>
      <c r="AX212" s="91">
        <f t="shared" si="1459"/>
        <v>0</v>
      </c>
      <c r="BM212" s="91">
        <f t="shared" si="1460"/>
        <v>0</v>
      </c>
      <c r="BN212" s="91">
        <f t="shared" si="1461"/>
        <v>0</v>
      </c>
      <c r="CC212" s="91">
        <f t="shared" si="1462"/>
        <v>0</v>
      </c>
      <c r="CD212" s="91">
        <f t="shared" si="1463"/>
        <v>0</v>
      </c>
      <c r="CG212" s="98">
        <v>15226.185599999999</v>
      </c>
      <c r="CH212" s="98">
        <v>2283927.84</v>
      </c>
      <c r="CS212" s="91">
        <f t="shared" si="1548"/>
        <v>15226.185599999999</v>
      </c>
      <c r="CT212" s="91">
        <f t="shared" si="1549"/>
        <v>2283927.84</v>
      </c>
      <c r="DI212" s="91">
        <f t="shared" si="1466"/>
        <v>0</v>
      </c>
      <c r="DJ212" s="91">
        <f t="shared" si="1467"/>
        <v>0</v>
      </c>
      <c r="DY212" s="91">
        <f t="shared" si="1468"/>
        <v>0</v>
      </c>
      <c r="DZ212" s="91">
        <f t="shared" si="1469"/>
        <v>0</v>
      </c>
      <c r="EO212" s="91">
        <f t="shared" si="1470"/>
        <v>0</v>
      </c>
      <c r="EP212" s="91">
        <f t="shared" si="1471"/>
        <v>0</v>
      </c>
      <c r="FE212" s="91">
        <f t="shared" si="1472"/>
        <v>0</v>
      </c>
      <c r="FF212" s="91">
        <f t="shared" si="1473"/>
        <v>0</v>
      </c>
      <c r="FU212" s="91">
        <f t="shared" si="1474"/>
        <v>0</v>
      </c>
      <c r="FV212" s="91">
        <f t="shared" si="1475"/>
        <v>0</v>
      </c>
      <c r="GK212" s="91">
        <f t="shared" si="1476"/>
        <v>0</v>
      </c>
      <c r="GL212" s="91">
        <f t="shared" si="1477"/>
        <v>0</v>
      </c>
      <c r="HA212" s="91">
        <f t="shared" si="1478"/>
        <v>0</v>
      </c>
      <c r="HB212" s="91">
        <f t="shared" si="1479"/>
        <v>0</v>
      </c>
      <c r="HQ212" s="91">
        <f t="shared" si="1480"/>
        <v>0</v>
      </c>
      <c r="HR212" s="91">
        <f t="shared" si="1481"/>
        <v>0</v>
      </c>
      <c r="IG212" s="91">
        <f t="shared" si="1482"/>
        <v>0</v>
      </c>
      <c r="IH212" s="91">
        <f t="shared" si="1483"/>
        <v>0</v>
      </c>
      <c r="IW212" s="91">
        <f t="shared" si="1484"/>
        <v>0</v>
      </c>
      <c r="IX212" s="91">
        <f t="shared" si="1485"/>
        <v>0</v>
      </c>
      <c r="JM212" s="91">
        <f t="shared" si="1486"/>
        <v>0</v>
      </c>
      <c r="JN212" s="91">
        <f t="shared" si="1487"/>
        <v>0</v>
      </c>
      <c r="KC212" s="91">
        <f t="shared" si="1488"/>
        <v>0</v>
      </c>
      <c r="KD212" s="91">
        <f t="shared" si="1489"/>
        <v>0</v>
      </c>
      <c r="KS212" s="91">
        <f t="shared" si="1490"/>
        <v>0</v>
      </c>
      <c r="KT212" s="91">
        <f t="shared" si="1491"/>
        <v>0</v>
      </c>
      <c r="LI212" s="91">
        <f t="shared" si="1492"/>
        <v>0</v>
      </c>
      <c r="LJ212" s="91">
        <f t="shared" si="1493"/>
        <v>0</v>
      </c>
      <c r="LY212" s="91">
        <f t="shared" si="1494"/>
        <v>0</v>
      </c>
      <c r="LZ212" s="91">
        <f t="shared" si="1495"/>
        <v>0</v>
      </c>
      <c r="MC212" s="98">
        <v>6700</v>
      </c>
      <c r="MD212" s="98">
        <v>670000</v>
      </c>
      <c r="MO212" s="91">
        <f t="shared" si="1496"/>
        <v>6700</v>
      </c>
      <c r="MP212" s="91">
        <f t="shared" si="1497"/>
        <v>670000</v>
      </c>
      <c r="NE212" s="91">
        <f t="shared" si="1498"/>
        <v>0</v>
      </c>
      <c r="NF212" s="91">
        <f t="shared" si="1499"/>
        <v>0</v>
      </c>
      <c r="NI212" s="98">
        <v>17100</v>
      </c>
      <c r="NJ212" s="98">
        <v>684000</v>
      </c>
      <c r="NU212" s="91">
        <f t="shared" si="1500"/>
        <v>17100</v>
      </c>
      <c r="NV212" s="91">
        <f t="shared" si="1501"/>
        <v>684000</v>
      </c>
      <c r="OK212" s="91">
        <f t="shared" si="1502"/>
        <v>0</v>
      </c>
      <c r="OL212" s="91">
        <f t="shared" si="1503"/>
        <v>0</v>
      </c>
      <c r="PA212" s="91">
        <f t="shared" si="1504"/>
        <v>0</v>
      </c>
      <c r="PB212" s="91">
        <f t="shared" si="1505"/>
        <v>0</v>
      </c>
      <c r="PQ212" s="91">
        <f t="shared" si="1506"/>
        <v>0</v>
      </c>
      <c r="PR212" s="91">
        <f t="shared" si="1507"/>
        <v>0</v>
      </c>
      <c r="QG212" s="91">
        <f t="shared" si="1508"/>
        <v>0</v>
      </c>
      <c r="QH212" s="91">
        <f t="shared" si="1509"/>
        <v>0</v>
      </c>
      <c r="QW212" s="91">
        <f t="shared" si="1510"/>
        <v>0</v>
      </c>
      <c r="QX212" s="91">
        <f t="shared" si="1511"/>
        <v>0</v>
      </c>
      <c r="RM212" s="91">
        <f t="shared" si="1512"/>
        <v>0</v>
      </c>
      <c r="RN212" s="91">
        <f t="shared" si="1513"/>
        <v>0</v>
      </c>
      <c r="SC212" s="91">
        <f t="shared" si="1514"/>
        <v>0</v>
      </c>
      <c r="SD212" s="91">
        <f t="shared" si="1515"/>
        <v>0</v>
      </c>
      <c r="SS212" s="91">
        <f t="shared" si="1516"/>
        <v>0</v>
      </c>
      <c r="ST212" s="91">
        <f t="shared" si="1517"/>
        <v>0</v>
      </c>
      <c r="TI212" s="91">
        <f t="shared" si="1518"/>
        <v>0</v>
      </c>
      <c r="TJ212" s="91">
        <f t="shared" si="1519"/>
        <v>0</v>
      </c>
      <c r="TY212" s="91">
        <f t="shared" si="1520"/>
        <v>0</v>
      </c>
      <c r="TZ212" s="91">
        <f t="shared" si="1521"/>
        <v>0</v>
      </c>
      <c r="UO212" s="91">
        <f t="shared" si="1522"/>
        <v>0</v>
      </c>
      <c r="UP212" s="91">
        <f t="shared" si="1523"/>
        <v>0</v>
      </c>
      <c r="VE212" s="91">
        <f t="shared" si="1524"/>
        <v>0</v>
      </c>
      <c r="VF212" s="91">
        <f t="shared" si="1525"/>
        <v>0</v>
      </c>
      <c r="VI212" s="98">
        <v>222</v>
      </c>
      <c r="VJ212" s="98">
        <v>13320</v>
      </c>
      <c r="VU212" s="91">
        <f t="shared" si="1526"/>
        <v>222</v>
      </c>
      <c r="VV212" s="91">
        <f t="shared" si="1527"/>
        <v>13320</v>
      </c>
      <c r="WK212" s="91">
        <f t="shared" si="1528"/>
        <v>0</v>
      </c>
      <c r="WL212" s="91">
        <f t="shared" si="1529"/>
        <v>0</v>
      </c>
      <c r="WM212" s="89"/>
      <c r="WN212" s="87">
        <f t="shared" si="1530"/>
        <v>0</v>
      </c>
      <c r="WO212" s="87">
        <f t="shared" si="1531"/>
        <v>0</v>
      </c>
      <c r="WP212" s="87">
        <f t="shared" si="1532"/>
        <v>44878.185599999997</v>
      </c>
      <c r="WQ212" s="87">
        <f t="shared" si="1533"/>
        <v>4049047.84</v>
      </c>
      <c r="WR212" s="87">
        <f t="shared" si="1534"/>
        <v>0</v>
      </c>
      <c r="WS212" s="87">
        <f t="shared" si="1535"/>
        <v>0</v>
      </c>
      <c r="WT212" s="87">
        <f t="shared" si="1536"/>
        <v>0</v>
      </c>
      <c r="WU212" s="87">
        <f t="shared" si="1537"/>
        <v>0</v>
      </c>
      <c r="WV212" s="87">
        <f t="shared" si="1538"/>
        <v>0</v>
      </c>
      <c r="WW212" s="87">
        <f t="shared" si="1539"/>
        <v>0</v>
      </c>
      <c r="WX212" s="87">
        <f t="shared" si="1540"/>
        <v>0</v>
      </c>
      <c r="WY212" s="87">
        <f t="shared" si="1541"/>
        <v>0</v>
      </c>
      <c r="WZ212" s="87">
        <f t="shared" si="1542"/>
        <v>0</v>
      </c>
      <c r="XA212" s="87">
        <f t="shared" si="1543"/>
        <v>0</v>
      </c>
      <c r="XB212" s="92">
        <f t="shared" si="1544"/>
        <v>44878.185599999997</v>
      </c>
      <c r="XC212" s="92">
        <f t="shared" si="1545"/>
        <v>4049047.84</v>
      </c>
      <c r="XD212" s="89"/>
      <c r="XE212" s="92"/>
      <c r="XF212" s="92"/>
      <c r="XG212" s="89"/>
      <c r="XH212" s="92"/>
      <c r="XI212" s="92"/>
      <c r="XJ212" s="89"/>
      <c r="XK212" s="87"/>
      <c r="XL212" s="87"/>
      <c r="XM212" s="87"/>
      <c r="XN212" s="87"/>
      <c r="XO212" s="87"/>
      <c r="XP212" s="87"/>
      <c r="XQ212" s="87"/>
      <c r="XR212" s="92">
        <f t="shared" ca="1" si="1546"/>
        <v>0</v>
      </c>
      <c r="XS212" s="89"/>
      <c r="XT212" s="87"/>
      <c r="XU212" s="87"/>
      <c r="XV212" s="87"/>
      <c r="XW212" s="87"/>
      <c r="XX212" s="87"/>
      <c r="XY212" s="87"/>
      <c r="XZ212" s="87"/>
      <c r="YA212" s="92">
        <f t="shared" ca="1" si="1547"/>
        <v>0</v>
      </c>
      <c r="YB212" s="90"/>
      <c r="YC212" s="90"/>
      <c r="YD212" s="90"/>
      <c r="YE212" s="90"/>
      <c r="YF212" s="90"/>
      <c r="YG212" s="90"/>
      <c r="YH212" s="90"/>
      <c r="YI212" s="90"/>
      <c r="YJ212" s="90"/>
      <c r="YK212" s="90"/>
      <c r="YL212" s="90"/>
      <c r="YM212" s="90"/>
      <c r="YN212" s="90"/>
      <c r="YO212" s="90"/>
      <c r="YP212" s="90"/>
      <c r="YQ212" s="90"/>
      <c r="YR212" s="90"/>
      <c r="YS212" s="90"/>
      <c r="YT212" s="90"/>
      <c r="YU212" s="90"/>
      <c r="YV212" s="90"/>
      <c r="YW212" s="90"/>
      <c r="YX212" s="90"/>
      <c r="YY212" s="90"/>
      <c r="YZ212" s="90"/>
      <c r="ZA212" s="90"/>
      <c r="ZB212" s="90"/>
      <c r="ZC212" s="90"/>
      <c r="ZD212" s="90"/>
      <c r="ZE212" s="90"/>
      <c r="ZF212" s="90"/>
      <c r="ZG212" s="90"/>
      <c r="ZH212" s="90"/>
      <c r="ZI212" s="90"/>
      <c r="ZJ212" s="90"/>
      <c r="ZK212" s="90"/>
      <c r="ZL212" s="90"/>
      <c r="ZM212" s="90"/>
      <c r="ZN212" s="90"/>
      <c r="ZO212" s="90"/>
      <c r="ZP212" s="90"/>
      <c r="ZQ212" s="90"/>
      <c r="ZR212" s="90"/>
      <c r="ZS212" s="90"/>
      <c r="ZT212" s="90"/>
      <c r="ZU212" s="90"/>
      <c r="ZV212" s="90"/>
      <c r="ZW212" s="90"/>
      <c r="ZX212" s="90"/>
      <c r="ZY212" s="90"/>
      <c r="ZZ212" s="90"/>
      <c r="AAA212" s="90"/>
      <c r="AAB212" s="90"/>
      <c r="AAC212" s="90"/>
      <c r="AAD212" s="90"/>
      <c r="AAE212" s="90"/>
      <c r="AAF212" s="90"/>
      <c r="AAG212" s="90"/>
      <c r="AAH212" s="90"/>
      <c r="AAI212" s="90"/>
      <c r="AAJ212" s="90"/>
      <c r="AAK212" s="90"/>
      <c r="AAL212" s="90"/>
      <c r="AAM212" s="90"/>
      <c r="AAN212" s="90"/>
      <c r="AAO212" s="90"/>
      <c r="AAP212" s="90"/>
      <c r="AAQ212" s="90"/>
      <c r="AAR212" s="90"/>
      <c r="AAS212" s="90"/>
      <c r="AAT212" s="90"/>
      <c r="AAU212" s="90"/>
      <c r="AAV212" s="90"/>
      <c r="AAW212" s="90"/>
      <c r="AAX212" s="90"/>
      <c r="AAY212" s="90"/>
      <c r="AAZ212" s="90"/>
      <c r="ABA212" s="90"/>
      <c r="ABB212" s="90"/>
      <c r="ABC212" s="90"/>
      <c r="ABD212" s="90"/>
      <c r="ABE212" s="90"/>
      <c r="ABF212" s="90"/>
      <c r="ABG212" s="90"/>
      <c r="ABH212" s="90"/>
      <c r="ABI212" s="90"/>
      <c r="ABJ212" s="90"/>
      <c r="ABK212" s="90"/>
      <c r="ABL212" s="90"/>
      <c r="ABM212" s="90"/>
      <c r="ABN212" s="90"/>
      <c r="ABO212" s="90"/>
      <c r="ABP212" s="90"/>
      <c r="ABQ212" s="90"/>
      <c r="ABR212" s="90"/>
      <c r="ABS212" s="90"/>
      <c r="ABT212" s="90"/>
      <c r="ABU212" s="90"/>
      <c r="ABV212" s="90"/>
      <c r="ABW212" s="90"/>
      <c r="ABX212" s="90"/>
      <c r="ABY212" s="90"/>
      <c r="ABZ212" s="90"/>
      <c r="ACA212" s="90"/>
      <c r="ACB212" s="90"/>
      <c r="ACC212" s="90"/>
      <c r="ACD212" s="90"/>
      <c r="ACE212" s="90"/>
      <c r="ACF212" s="90"/>
      <c r="ACG212" s="90"/>
      <c r="ACH212" s="90"/>
      <c r="ACI212" s="90"/>
      <c r="ACJ212" s="90"/>
      <c r="ACK212" s="90"/>
      <c r="ACL212" s="90"/>
      <c r="ACM212" s="90"/>
      <c r="ACN212" s="90"/>
      <c r="ACO212" s="90"/>
      <c r="ACP212" s="90"/>
      <c r="ACQ212" s="90"/>
      <c r="ACR212" s="90"/>
      <c r="ACS212" s="90"/>
      <c r="ACT212" s="90"/>
      <c r="ACU212" s="90"/>
      <c r="ACV212" s="90"/>
      <c r="ACW212" s="90"/>
      <c r="ACX212" s="90"/>
      <c r="ACY212" s="90"/>
      <c r="ACZ212" s="90"/>
      <c r="ADA212" s="90"/>
      <c r="ADB212" s="90"/>
      <c r="ADC212" s="90"/>
      <c r="ADD212" s="90"/>
      <c r="ADE212" s="90"/>
      <c r="ADF212" s="90"/>
      <c r="ADG212" s="90"/>
      <c r="ADH212" s="90"/>
      <c r="ADI212" s="90"/>
      <c r="ADJ212" s="90"/>
      <c r="ADK212" s="90"/>
      <c r="ADL212" s="90"/>
      <c r="ADM212" s="90"/>
      <c r="ADN212" s="90"/>
      <c r="ADO212" s="90"/>
      <c r="ADP212" s="90"/>
      <c r="ADQ212" s="90"/>
      <c r="ADR212" s="90"/>
      <c r="ADS212" s="90"/>
      <c r="ADT212" s="90"/>
      <c r="ADU212" s="90"/>
      <c r="ADV212" s="90"/>
      <c r="ADW212" s="90"/>
      <c r="ADX212" s="90"/>
      <c r="ADY212" s="90"/>
      <c r="ADZ212" s="90"/>
      <c r="AEA212" s="90"/>
      <c r="AEB212" s="90"/>
      <c r="AEC212" s="90"/>
      <c r="AED212" s="90"/>
      <c r="AEE212" s="90"/>
      <c r="AEF212" s="90"/>
      <c r="AEG212" s="90"/>
      <c r="AEH212" s="90"/>
      <c r="AEI212" s="90"/>
      <c r="AEJ212" s="90"/>
      <c r="AEK212" s="90"/>
      <c r="AEL212" s="90"/>
      <c r="AEM212" s="90"/>
      <c r="AEN212" s="90"/>
      <c r="AEO212" s="90"/>
      <c r="AEP212" s="90"/>
      <c r="AEQ212" s="90"/>
      <c r="AER212" s="90"/>
      <c r="AES212" s="90"/>
      <c r="AET212" s="90"/>
      <c r="AEU212" s="90"/>
      <c r="AEV212" s="90"/>
      <c r="AEW212" s="90"/>
      <c r="AEX212" s="90"/>
      <c r="AEY212" s="90"/>
      <c r="AEZ212" s="90"/>
      <c r="AFA212" s="90"/>
      <c r="AFB212" s="90"/>
      <c r="AFC212" s="90"/>
      <c r="AFD212" s="90"/>
      <c r="AFE212" s="90"/>
      <c r="AFF212" s="90"/>
      <c r="AFG212" s="90"/>
      <c r="AFH212" s="90"/>
      <c r="AFI212" s="90"/>
      <c r="AFJ212" s="90"/>
      <c r="AFK212" s="90"/>
      <c r="AFL212" s="90"/>
      <c r="AFM212" s="90"/>
      <c r="AFN212" s="90"/>
      <c r="AFO212" s="90"/>
      <c r="AFP212" s="90"/>
      <c r="AFQ212" s="90"/>
      <c r="AFR212" s="90"/>
      <c r="AFS212" s="90"/>
      <c r="AFT212" s="90"/>
      <c r="AFU212" s="90"/>
      <c r="AFV212" s="90"/>
      <c r="AFW212" s="90"/>
      <c r="AFX212" s="90"/>
      <c r="AFY212" s="90"/>
      <c r="AFZ212" s="90"/>
      <c r="AGA212" s="90"/>
      <c r="AGB212" s="90"/>
      <c r="AGC212" s="90"/>
      <c r="AGD212" s="90"/>
      <c r="AGE212" s="90"/>
      <c r="AGF212" s="90"/>
      <c r="AGG212" s="90"/>
      <c r="AGH212" s="90"/>
      <c r="AGI212" s="90"/>
      <c r="AGJ212" s="90"/>
      <c r="AGK212" s="90"/>
      <c r="AGL212" s="90"/>
      <c r="AGM212" s="90"/>
      <c r="AGN212" s="90"/>
      <c r="AGO212" s="90"/>
      <c r="AGP212" s="90"/>
      <c r="AGQ212" s="90"/>
      <c r="AGR212" s="90"/>
      <c r="AGS212" s="90"/>
      <c r="AGT212" s="90"/>
      <c r="AGU212" s="90"/>
      <c r="AGV212" s="90"/>
      <c r="AGW212" s="90"/>
      <c r="AGX212" s="90"/>
      <c r="AGY212" s="90"/>
      <c r="AGZ212" s="90"/>
      <c r="AHA212" s="90"/>
      <c r="AHB212" s="90"/>
      <c r="AHC212" s="90"/>
      <c r="AHD212" s="90"/>
      <c r="AHE212" s="90"/>
      <c r="AHF212" s="90"/>
      <c r="AHG212" s="90"/>
      <c r="AHH212" s="90"/>
      <c r="AHI212" s="90"/>
      <c r="AHJ212" s="90"/>
      <c r="AHK212" s="90"/>
      <c r="AHL212" s="90"/>
      <c r="AHM212" s="90"/>
      <c r="AHN212" s="90"/>
      <c r="AHO212" s="90"/>
      <c r="AHP212" s="90"/>
      <c r="AHQ212" s="90"/>
      <c r="AHR212" s="90"/>
      <c r="AHS212" s="90"/>
      <c r="AHT212" s="90"/>
      <c r="AHU212" s="90"/>
      <c r="AHV212" s="90"/>
      <c r="AHW212" s="90"/>
      <c r="AHX212" s="90"/>
      <c r="AHY212" s="90"/>
      <c r="AHZ212" s="90"/>
      <c r="AIA212" s="90"/>
      <c r="AIB212" s="90"/>
      <c r="AIC212" s="90"/>
      <c r="AID212" s="90"/>
      <c r="AIE212" s="90"/>
      <c r="AIF212" s="90"/>
      <c r="AIG212" s="90"/>
      <c r="AIH212" s="90"/>
      <c r="AII212" s="90"/>
      <c r="AIJ212" s="90"/>
      <c r="AIK212" s="90"/>
      <c r="AIL212" s="90"/>
      <c r="AIM212" s="90"/>
      <c r="AIN212" s="90"/>
      <c r="AIO212" s="90"/>
      <c r="AIP212" s="90"/>
      <c r="AIQ212" s="90"/>
      <c r="AIR212" s="90"/>
      <c r="AIS212" s="90"/>
      <c r="AIT212" s="90"/>
      <c r="AIU212" s="90"/>
      <c r="AIV212" s="90"/>
      <c r="AIW212" s="90"/>
      <c r="AIX212" s="90"/>
      <c r="AIY212" s="90"/>
      <c r="AIZ212" s="90"/>
      <c r="AJA212" s="90"/>
      <c r="AJB212" s="90"/>
      <c r="AJC212" s="90"/>
      <c r="AJD212" s="90"/>
      <c r="AJE212" s="90"/>
      <c r="AJF212" s="90"/>
      <c r="AJG212" s="90"/>
      <c r="AJH212" s="90"/>
      <c r="AJI212" s="90"/>
      <c r="AJJ212" s="90"/>
      <c r="AJK212" s="90"/>
      <c r="AJL212" s="90"/>
      <c r="AJM212" s="90"/>
      <c r="AJN212" s="90"/>
      <c r="AJO212" s="90"/>
      <c r="AJP212" s="90"/>
      <c r="AJQ212" s="90"/>
      <c r="AJR212" s="90"/>
      <c r="AJS212" s="90"/>
      <c r="AJT212" s="90"/>
      <c r="AJU212" s="90"/>
      <c r="AJV212" s="90"/>
      <c r="AJW212" s="90"/>
      <c r="AJX212" s="90"/>
      <c r="AJY212" s="90"/>
      <c r="AJZ212" s="90"/>
      <c r="AKA212" s="90"/>
      <c r="AKB212" s="90"/>
      <c r="AKC212" s="90"/>
      <c r="AKD212" s="90"/>
      <c r="AKE212" s="90"/>
      <c r="AKF212" s="90"/>
      <c r="AKG212" s="90"/>
      <c r="AKH212" s="90"/>
      <c r="AKI212" s="90"/>
      <c r="AKJ212" s="90"/>
      <c r="AKK212" s="90"/>
      <c r="AKL212" s="90"/>
      <c r="AKM212" s="90"/>
      <c r="AKN212" s="90"/>
      <c r="AKO212" s="90"/>
      <c r="AKP212" s="90"/>
      <c r="AKQ212" s="90"/>
      <c r="AKR212" s="90"/>
      <c r="AKS212" s="90"/>
      <c r="AKT212" s="90"/>
      <c r="AKU212" s="90"/>
      <c r="AKV212" s="90"/>
      <c r="AKW212" s="90"/>
      <c r="AKX212" s="90"/>
      <c r="AKY212" s="90"/>
      <c r="AKZ212" s="90"/>
      <c r="ALA212" s="90"/>
      <c r="ALB212" s="90"/>
      <c r="ALC212" s="90"/>
      <c r="ALD212" s="90"/>
      <c r="ALE212" s="90"/>
      <c r="ALF212" s="90"/>
      <c r="ALG212" s="90"/>
      <c r="ALH212" s="90"/>
      <c r="ALI212" s="90"/>
      <c r="ALJ212" s="90"/>
      <c r="ALK212" s="90"/>
      <c r="ALL212" s="90"/>
      <c r="ALM212" s="90"/>
      <c r="ALN212" s="90"/>
      <c r="ALO212" s="90"/>
      <c r="ALP212" s="90"/>
      <c r="ALQ212" s="90"/>
      <c r="ALR212" s="90"/>
      <c r="ALS212" s="90"/>
      <c r="ALT212" s="90"/>
      <c r="ALU212" s="90"/>
      <c r="ALV212" s="90"/>
      <c r="ALW212" s="90"/>
      <c r="ALX212" s="90"/>
      <c r="ALY212" s="90"/>
      <c r="ALZ212" s="90"/>
      <c r="AMA212" s="90"/>
      <c r="AMB212" s="90"/>
      <c r="AMC212" s="90"/>
    </row>
    <row r="213" spans="1:1017">
      <c r="A213" s="98" t="s">
        <v>50</v>
      </c>
      <c r="B213" s="90" t="str">
        <f t="shared" si="1453"/>
        <v xml:space="preserve">Kerang Hijau </v>
      </c>
      <c r="Q213" s="91">
        <f t="shared" si="1454"/>
        <v>0</v>
      </c>
      <c r="R213" s="91">
        <f t="shared" si="1455"/>
        <v>0</v>
      </c>
      <c r="AG213" s="91">
        <f t="shared" si="1456"/>
        <v>0</v>
      </c>
      <c r="AH213" s="91">
        <f t="shared" si="1457"/>
        <v>0</v>
      </c>
      <c r="AW213" s="91">
        <f t="shared" si="1458"/>
        <v>0</v>
      </c>
      <c r="AX213" s="91">
        <f t="shared" si="1459"/>
        <v>0</v>
      </c>
      <c r="BM213" s="91">
        <f t="shared" si="1460"/>
        <v>0</v>
      </c>
      <c r="BN213" s="91">
        <f t="shared" si="1461"/>
        <v>0</v>
      </c>
      <c r="CC213" s="91">
        <f t="shared" si="1462"/>
        <v>0</v>
      </c>
      <c r="CD213" s="91">
        <f t="shared" si="1463"/>
        <v>0</v>
      </c>
      <c r="CE213" s="98">
        <v>643975.69067855983</v>
      </c>
      <c r="CF213" s="98">
        <v>3219878.453392799</v>
      </c>
      <c r="CS213" s="91">
        <f t="shared" si="1548"/>
        <v>643975.69067855983</v>
      </c>
      <c r="CT213" s="91">
        <f t="shared" si="1549"/>
        <v>3219878.453392799</v>
      </c>
      <c r="DI213" s="91">
        <f t="shared" si="1466"/>
        <v>0</v>
      </c>
      <c r="DJ213" s="91">
        <f t="shared" si="1467"/>
        <v>0</v>
      </c>
      <c r="DY213" s="91">
        <f t="shared" si="1468"/>
        <v>0</v>
      </c>
      <c r="DZ213" s="91">
        <f t="shared" si="1469"/>
        <v>0</v>
      </c>
      <c r="EO213" s="91">
        <f t="shared" si="1470"/>
        <v>0</v>
      </c>
      <c r="EP213" s="91">
        <f t="shared" si="1471"/>
        <v>0</v>
      </c>
      <c r="FE213" s="91">
        <f t="shared" si="1472"/>
        <v>0</v>
      </c>
      <c r="FF213" s="91">
        <f t="shared" si="1473"/>
        <v>0</v>
      </c>
      <c r="FU213" s="91">
        <f t="shared" si="1474"/>
        <v>0</v>
      </c>
      <c r="FV213" s="91">
        <f t="shared" si="1475"/>
        <v>0</v>
      </c>
      <c r="GK213" s="91">
        <f t="shared" si="1476"/>
        <v>0</v>
      </c>
      <c r="GL213" s="91">
        <f t="shared" si="1477"/>
        <v>0</v>
      </c>
      <c r="HA213" s="91">
        <f t="shared" si="1478"/>
        <v>0</v>
      </c>
      <c r="HB213" s="91">
        <f t="shared" si="1479"/>
        <v>0</v>
      </c>
      <c r="HQ213" s="91">
        <f t="shared" si="1480"/>
        <v>0</v>
      </c>
      <c r="HR213" s="91">
        <f t="shared" si="1481"/>
        <v>0</v>
      </c>
      <c r="IG213" s="91">
        <f t="shared" si="1482"/>
        <v>0</v>
      </c>
      <c r="IH213" s="91">
        <f t="shared" si="1483"/>
        <v>0</v>
      </c>
      <c r="IW213" s="91">
        <f t="shared" si="1484"/>
        <v>0</v>
      </c>
      <c r="IX213" s="91">
        <f t="shared" si="1485"/>
        <v>0</v>
      </c>
      <c r="JM213" s="91">
        <f t="shared" si="1486"/>
        <v>0</v>
      </c>
      <c r="JN213" s="91">
        <f t="shared" si="1487"/>
        <v>0</v>
      </c>
      <c r="KC213" s="91">
        <f t="shared" si="1488"/>
        <v>0</v>
      </c>
      <c r="KD213" s="91">
        <f t="shared" si="1489"/>
        <v>0</v>
      </c>
      <c r="KS213" s="91">
        <f t="shared" si="1490"/>
        <v>0</v>
      </c>
      <c r="KT213" s="91">
        <f t="shared" si="1491"/>
        <v>0</v>
      </c>
      <c r="LI213" s="91">
        <f t="shared" si="1492"/>
        <v>0</v>
      </c>
      <c r="LJ213" s="91">
        <f t="shared" si="1493"/>
        <v>0</v>
      </c>
      <c r="LY213" s="91">
        <f t="shared" si="1494"/>
        <v>0</v>
      </c>
      <c r="LZ213" s="91">
        <f t="shared" si="1495"/>
        <v>0</v>
      </c>
      <c r="MO213" s="91">
        <f t="shared" si="1496"/>
        <v>0</v>
      </c>
      <c r="MP213" s="91">
        <f t="shared" si="1497"/>
        <v>0</v>
      </c>
      <c r="NE213" s="91">
        <f t="shared" si="1498"/>
        <v>0</v>
      </c>
      <c r="NF213" s="91">
        <f t="shared" si="1499"/>
        <v>0</v>
      </c>
      <c r="NU213" s="91">
        <f t="shared" si="1500"/>
        <v>0</v>
      </c>
      <c r="NV213" s="91">
        <f t="shared" si="1501"/>
        <v>0</v>
      </c>
      <c r="OK213" s="91">
        <f t="shared" si="1502"/>
        <v>0</v>
      </c>
      <c r="OL213" s="91">
        <f t="shared" si="1503"/>
        <v>0</v>
      </c>
      <c r="PA213" s="91">
        <f t="shared" si="1504"/>
        <v>0</v>
      </c>
      <c r="PB213" s="91">
        <f t="shared" si="1505"/>
        <v>0</v>
      </c>
      <c r="PQ213" s="91">
        <f t="shared" si="1506"/>
        <v>0</v>
      </c>
      <c r="PR213" s="91">
        <f t="shared" si="1507"/>
        <v>0</v>
      </c>
      <c r="QG213" s="91">
        <f t="shared" si="1508"/>
        <v>0</v>
      </c>
      <c r="QH213" s="91">
        <f t="shared" si="1509"/>
        <v>0</v>
      </c>
      <c r="QW213" s="91">
        <f t="shared" si="1510"/>
        <v>0</v>
      </c>
      <c r="QX213" s="91">
        <f t="shared" si="1511"/>
        <v>0</v>
      </c>
      <c r="RM213" s="91">
        <f t="shared" si="1512"/>
        <v>0</v>
      </c>
      <c r="RN213" s="91">
        <f t="shared" si="1513"/>
        <v>0</v>
      </c>
      <c r="SC213" s="91">
        <f t="shared" si="1514"/>
        <v>0</v>
      </c>
      <c r="SD213" s="91">
        <f t="shared" si="1515"/>
        <v>0</v>
      </c>
      <c r="SS213" s="91">
        <f t="shared" si="1516"/>
        <v>0</v>
      </c>
      <c r="ST213" s="91">
        <f t="shared" si="1517"/>
        <v>0</v>
      </c>
      <c r="TI213" s="91">
        <f t="shared" si="1518"/>
        <v>0</v>
      </c>
      <c r="TJ213" s="91">
        <f t="shared" si="1519"/>
        <v>0</v>
      </c>
      <c r="TY213" s="91">
        <f t="shared" si="1520"/>
        <v>0</v>
      </c>
      <c r="TZ213" s="91">
        <f t="shared" si="1521"/>
        <v>0</v>
      </c>
      <c r="UO213" s="91">
        <f t="shared" si="1522"/>
        <v>0</v>
      </c>
      <c r="UP213" s="91">
        <f t="shared" si="1523"/>
        <v>0</v>
      </c>
      <c r="VE213" s="91">
        <f t="shared" si="1524"/>
        <v>0</v>
      </c>
      <c r="VF213" s="91">
        <f t="shared" si="1525"/>
        <v>0</v>
      </c>
      <c r="VU213" s="91">
        <f t="shared" si="1526"/>
        <v>0</v>
      </c>
      <c r="VV213" s="91">
        <f t="shared" si="1527"/>
        <v>0</v>
      </c>
      <c r="WK213" s="91">
        <f t="shared" si="1528"/>
        <v>0</v>
      </c>
      <c r="WL213" s="91">
        <f t="shared" si="1529"/>
        <v>0</v>
      </c>
      <c r="WM213" s="89"/>
      <c r="WN213" s="87">
        <f t="shared" si="1530"/>
        <v>643975.69067855983</v>
      </c>
      <c r="WO213" s="87">
        <f t="shared" si="1531"/>
        <v>3219878.453392799</v>
      </c>
      <c r="WP213" s="87">
        <f t="shared" si="1532"/>
        <v>0</v>
      </c>
      <c r="WQ213" s="87">
        <f t="shared" si="1533"/>
        <v>0</v>
      </c>
      <c r="WR213" s="87">
        <f t="shared" si="1534"/>
        <v>0</v>
      </c>
      <c r="WS213" s="87">
        <f t="shared" si="1535"/>
        <v>0</v>
      </c>
      <c r="WT213" s="87">
        <f t="shared" si="1536"/>
        <v>0</v>
      </c>
      <c r="WU213" s="87">
        <f t="shared" si="1537"/>
        <v>0</v>
      </c>
      <c r="WV213" s="87">
        <f t="shared" si="1538"/>
        <v>0</v>
      </c>
      <c r="WW213" s="87">
        <f t="shared" si="1539"/>
        <v>0</v>
      </c>
      <c r="WX213" s="87">
        <f t="shared" si="1540"/>
        <v>0</v>
      </c>
      <c r="WY213" s="87">
        <f t="shared" si="1541"/>
        <v>0</v>
      </c>
      <c r="WZ213" s="87">
        <f t="shared" si="1542"/>
        <v>0</v>
      </c>
      <c r="XA213" s="87">
        <f t="shared" si="1543"/>
        <v>0</v>
      </c>
      <c r="XB213" s="92">
        <f t="shared" si="1544"/>
        <v>643975.69067855983</v>
      </c>
      <c r="XC213" s="92">
        <f t="shared" si="1545"/>
        <v>3219878.453392799</v>
      </c>
      <c r="XD213" s="89"/>
      <c r="XE213" s="92"/>
      <c r="XF213" s="92"/>
      <c r="XG213" s="89"/>
      <c r="XH213" s="92"/>
      <c r="XI213" s="92"/>
      <c r="XJ213" s="89"/>
      <c r="XK213" s="87"/>
      <c r="XL213" s="87"/>
      <c r="XM213" s="87"/>
      <c r="XN213" s="87"/>
      <c r="XO213" s="87"/>
      <c r="XP213" s="87"/>
      <c r="XQ213" s="87"/>
      <c r="XR213" s="92">
        <f t="shared" ca="1" si="1546"/>
        <v>0</v>
      </c>
      <c r="XS213" s="89"/>
      <c r="XT213" s="87"/>
      <c r="XU213" s="87"/>
      <c r="XV213" s="87"/>
      <c r="XW213" s="87"/>
      <c r="XX213" s="87"/>
      <c r="XY213" s="87"/>
      <c r="XZ213" s="87"/>
      <c r="YA213" s="92">
        <f t="shared" ca="1" si="1547"/>
        <v>0</v>
      </c>
      <c r="YB213" s="90"/>
      <c r="YC213" s="90"/>
      <c r="YD213" s="90"/>
      <c r="YE213" s="90"/>
      <c r="YF213" s="90"/>
      <c r="YG213" s="90"/>
      <c r="YH213" s="90"/>
      <c r="YI213" s="90"/>
      <c r="YJ213" s="90"/>
      <c r="YK213" s="90"/>
      <c r="YL213" s="90"/>
      <c r="YM213" s="90"/>
      <c r="YN213" s="90"/>
      <c r="YO213" s="90"/>
      <c r="YP213" s="90"/>
      <c r="YQ213" s="90"/>
      <c r="YR213" s="90"/>
      <c r="YS213" s="90"/>
      <c r="YT213" s="90"/>
      <c r="YU213" s="90"/>
      <c r="YV213" s="90"/>
      <c r="YW213" s="90"/>
      <c r="YX213" s="90"/>
      <c r="YY213" s="90"/>
      <c r="YZ213" s="90"/>
      <c r="ZA213" s="90"/>
      <c r="ZB213" s="90"/>
      <c r="ZC213" s="90"/>
      <c r="ZD213" s="90"/>
      <c r="ZE213" s="90"/>
      <c r="ZF213" s="90"/>
      <c r="ZG213" s="90"/>
      <c r="ZH213" s="90"/>
      <c r="ZI213" s="90"/>
      <c r="ZJ213" s="90"/>
      <c r="ZK213" s="90"/>
      <c r="ZL213" s="90"/>
      <c r="ZM213" s="90"/>
      <c r="ZN213" s="90"/>
      <c r="ZO213" s="90"/>
      <c r="ZP213" s="90"/>
      <c r="ZQ213" s="90"/>
      <c r="ZR213" s="90"/>
      <c r="ZS213" s="90"/>
      <c r="ZT213" s="90"/>
      <c r="ZU213" s="90"/>
      <c r="ZV213" s="90"/>
      <c r="ZW213" s="90"/>
      <c r="ZX213" s="90"/>
      <c r="ZY213" s="90"/>
      <c r="ZZ213" s="90"/>
      <c r="AAA213" s="90"/>
      <c r="AAB213" s="90"/>
      <c r="AAC213" s="90"/>
      <c r="AAD213" s="90"/>
      <c r="AAE213" s="90"/>
      <c r="AAF213" s="90"/>
      <c r="AAG213" s="90"/>
      <c r="AAH213" s="90"/>
      <c r="AAI213" s="90"/>
      <c r="AAJ213" s="90"/>
      <c r="AAK213" s="90"/>
      <c r="AAL213" s="90"/>
      <c r="AAM213" s="90"/>
      <c r="AAN213" s="90"/>
      <c r="AAO213" s="90"/>
      <c r="AAP213" s="90"/>
      <c r="AAQ213" s="90"/>
      <c r="AAR213" s="90"/>
      <c r="AAS213" s="90"/>
      <c r="AAT213" s="90"/>
      <c r="AAU213" s="90"/>
      <c r="AAV213" s="90"/>
      <c r="AAW213" s="90"/>
      <c r="AAX213" s="90"/>
      <c r="AAY213" s="90"/>
      <c r="AAZ213" s="90"/>
      <c r="ABA213" s="90"/>
      <c r="ABB213" s="90"/>
      <c r="ABC213" s="90"/>
      <c r="ABD213" s="90"/>
      <c r="ABE213" s="90"/>
      <c r="ABF213" s="90"/>
      <c r="ABG213" s="90"/>
      <c r="ABH213" s="90"/>
      <c r="ABI213" s="90"/>
      <c r="ABJ213" s="90"/>
      <c r="ABK213" s="90"/>
      <c r="ABL213" s="90"/>
      <c r="ABM213" s="90"/>
      <c r="ABN213" s="90"/>
      <c r="ABO213" s="90"/>
      <c r="ABP213" s="90"/>
      <c r="ABQ213" s="90"/>
      <c r="ABR213" s="90"/>
      <c r="ABS213" s="90"/>
      <c r="ABT213" s="90"/>
      <c r="ABU213" s="90"/>
      <c r="ABV213" s="90"/>
      <c r="ABW213" s="90"/>
      <c r="ABX213" s="90"/>
      <c r="ABY213" s="90"/>
      <c r="ABZ213" s="90"/>
      <c r="ACA213" s="90"/>
      <c r="ACB213" s="90"/>
      <c r="ACC213" s="90"/>
      <c r="ACD213" s="90"/>
      <c r="ACE213" s="90"/>
      <c r="ACF213" s="90"/>
      <c r="ACG213" s="90"/>
      <c r="ACH213" s="90"/>
      <c r="ACI213" s="90"/>
      <c r="ACJ213" s="90"/>
      <c r="ACK213" s="90"/>
      <c r="ACL213" s="90"/>
      <c r="ACM213" s="90"/>
      <c r="ACN213" s="90"/>
      <c r="ACO213" s="90"/>
      <c r="ACP213" s="90"/>
      <c r="ACQ213" s="90"/>
      <c r="ACR213" s="90"/>
      <c r="ACS213" s="90"/>
      <c r="ACT213" s="90"/>
      <c r="ACU213" s="90"/>
      <c r="ACV213" s="90"/>
      <c r="ACW213" s="90"/>
      <c r="ACX213" s="90"/>
      <c r="ACY213" s="90"/>
      <c r="ACZ213" s="90"/>
      <c r="ADA213" s="90"/>
      <c r="ADB213" s="90"/>
      <c r="ADC213" s="90"/>
      <c r="ADD213" s="90"/>
      <c r="ADE213" s="90"/>
      <c r="ADF213" s="90"/>
      <c r="ADG213" s="90"/>
      <c r="ADH213" s="90"/>
      <c r="ADI213" s="90"/>
      <c r="ADJ213" s="90"/>
      <c r="ADK213" s="90"/>
      <c r="ADL213" s="90"/>
      <c r="ADM213" s="90"/>
      <c r="ADN213" s="90"/>
      <c r="ADO213" s="90"/>
      <c r="ADP213" s="90"/>
      <c r="ADQ213" s="90"/>
      <c r="ADR213" s="90"/>
      <c r="ADS213" s="90"/>
      <c r="ADT213" s="90"/>
      <c r="ADU213" s="90"/>
      <c r="ADV213" s="90"/>
      <c r="ADW213" s="90"/>
      <c r="ADX213" s="90"/>
      <c r="ADY213" s="90"/>
      <c r="ADZ213" s="90"/>
      <c r="AEA213" s="90"/>
      <c r="AEB213" s="90"/>
      <c r="AEC213" s="90"/>
      <c r="AED213" s="90"/>
      <c r="AEE213" s="90"/>
      <c r="AEF213" s="90"/>
      <c r="AEG213" s="90"/>
      <c r="AEH213" s="90"/>
      <c r="AEI213" s="90"/>
      <c r="AEJ213" s="90"/>
      <c r="AEK213" s="90"/>
      <c r="AEL213" s="90"/>
      <c r="AEM213" s="90"/>
      <c r="AEN213" s="90"/>
      <c r="AEO213" s="90"/>
      <c r="AEP213" s="90"/>
      <c r="AEQ213" s="90"/>
      <c r="AER213" s="90"/>
      <c r="AES213" s="90"/>
      <c r="AET213" s="90"/>
      <c r="AEU213" s="90"/>
      <c r="AEV213" s="90"/>
      <c r="AEW213" s="90"/>
      <c r="AEX213" s="90"/>
      <c r="AEY213" s="90"/>
      <c r="AEZ213" s="90"/>
      <c r="AFA213" s="90"/>
      <c r="AFB213" s="90"/>
      <c r="AFC213" s="90"/>
      <c r="AFD213" s="90"/>
      <c r="AFE213" s="90"/>
      <c r="AFF213" s="90"/>
      <c r="AFG213" s="90"/>
      <c r="AFH213" s="90"/>
      <c r="AFI213" s="90"/>
      <c r="AFJ213" s="90"/>
      <c r="AFK213" s="90"/>
      <c r="AFL213" s="90"/>
      <c r="AFM213" s="90"/>
      <c r="AFN213" s="90"/>
      <c r="AFO213" s="90"/>
      <c r="AFP213" s="90"/>
      <c r="AFQ213" s="90"/>
      <c r="AFR213" s="90"/>
      <c r="AFS213" s="90"/>
      <c r="AFT213" s="90"/>
      <c r="AFU213" s="90"/>
      <c r="AFV213" s="90"/>
      <c r="AFW213" s="90"/>
      <c r="AFX213" s="90"/>
      <c r="AFY213" s="90"/>
      <c r="AFZ213" s="90"/>
      <c r="AGA213" s="90"/>
      <c r="AGB213" s="90"/>
      <c r="AGC213" s="90"/>
      <c r="AGD213" s="90"/>
      <c r="AGE213" s="90"/>
      <c r="AGF213" s="90"/>
      <c r="AGG213" s="90"/>
      <c r="AGH213" s="90"/>
      <c r="AGI213" s="90"/>
      <c r="AGJ213" s="90"/>
      <c r="AGK213" s="90"/>
      <c r="AGL213" s="90"/>
      <c r="AGM213" s="90"/>
      <c r="AGN213" s="90"/>
      <c r="AGO213" s="90"/>
      <c r="AGP213" s="90"/>
      <c r="AGQ213" s="90"/>
      <c r="AGR213" s="90"/>
      <c r="AGS213" s="90"/>
      <c r="AGT213" s="90"/>
      <c r="AGU213" s="90"/>
      <c r="AGV213" s="90"/>
      <c r="AGW213" s="90"/>
      <c r="AGX213" s="90"/>
      <c r="AGY213" s="90"/>
      <c r="AGZ213" s="90"/>
      <c r="AHA213" s="90"/>
      <c r="AHB213" s="90"/>
      <c r="AHC213" s="90"/>
      <c r="AHD213" s="90"/>
      <c r="AHE213" s="90"/>
      <c r="AHF213" s="90"/>
      <c r="AHG213" s="90"/>
      <c r="AHH213" s="90"/>
      <c r="AHI213" s="90"/>
      <c r="AHJ213" s="90"/>
      <c r="AHK213" s="90"/>
      <c r="AHL213" s="90"/>
      <c r="AHM213" s="90"/>
      <c r="AHN213" s="90"/>
      <c r="AHO213" s="90"/>
      <c r="AHP213" s="90"/>
      <c r="AHQ213" s="90"/>
      <c r="AHR213" s="90"/>
      <c r="AHS213" s="90"/>
      <c r="AHT213" s="90"/>
      <c r="AHU213" s="90"/>
      <c r="AHV213" s="90"/>
      <c r="AHW213" s="90"/>
      <c r="AHX213" s="90"/>
      <c r="AHY213" s="90"/>
      <c r="AHZ213" s="90"/>
      <c r="AIA213" s="90"/>
      <c r="AIB213" s="90"/>
      <c r="AIC213" s="90"/>
      <c r="AID213" s="90"/>
      <c r="AIE213" s="90"/>
      <c r="AIF213" s="90"/>
      <c r="AIG213" s="90"/>
      <c r="AIH213" s="90"/>
      <c r="AII213" s="90"/>
      <c r="AIJ213" s="90"/>
      <c r="AIK213" s="90"/>
      <c r="AIL213" s="90"/>
      <c r="AIM213" s="90"/>
      <c r="AIN213" s="90"/>
      <c r="AIO213" s="90"/>
      <c r="AIP213" s="90"/>
      <c r="AIQ213" s="90"/>
      <c r="AIR213" s="90"/>
      <c r="AIS213" s="90"/>
      <c r="AIT213" s="90"/>
      <c r="AIU213" s="90"/>
      <c r="AIV213" s="90"/>
      <c r="AIW213" s="90"/>
      <c r="AIX213" s="90"/>
      <c r="AIY213" s="90"/>
      <c r="AIZ213" s="90"/>
      <c r="AJA213" s="90"/>
      <c r="AJB213" s="90"/>
      <c r="AJC213" s="90"/>
      <c r="AJD213" s="90"/>
      <c r="AJE213" s="90"/>
      <c r="AJF213" s="90"/>
      <c r="AJG213" s="90"/>
      <c r="AJH213" s="90"/>
      <c r="AJI213" s="90"/>
      <c r="AJJ213" s="90"/>
      <c r="AJK213" s="90"/>
      <c r="AJL213" s="90"/>
      <c r="AJM213" s="90"/>
      <c r="AJN213" s="90"/>
      <c r="AJO213" s="90"/>
      <c r="AJP213" s="90"/>
      <c r="AJQ213" s="90"/>
      <c r="AJR213" s="90"/>
      <c r="AJS213" s="90"/>
      <c r="AJT213" s="90"/>
      <c r="AJU213" s="90"/>
      <c r="AJV213" s="90"/>
      <c r="AJW213" s="90"/>
      <c r="AJX213" s="90"/>
      <c r="AJY213" s="90"/>
      <c r="AJZ213" s="90"/>
      <c r="AKA213" s="90"/>
      <c r="AKB213" s="90"/>
      <c r="AKC213" s="90"/>
      <c r="AKD213" s="90"/>
      <c r="AKE213" s="90"/>
      <c r="AKF213" s="90"/>
      <c r="AKG213" s="90"/>
      <c r="AKH213" s="90"/>
      <c r="AKI213" s="90"/>
      <c r="AKJ213" s="90"/>
      <c r="AKK213" s="90"/>
      <c r="AKL213" s="90"/>
      <c r="AKM213" s="90"/>
      <c r="AKN213" s="90"/>
      <c r="AKO213" s="90"/>
      <c r="AKP213" s="90"/>
      <c r="AKQ213" s="90"/>
      <c r="AKR213" s="90"/>
      <c r="AKS213" s="90"/>
      <c r="AKT213" s="90"/>
      <c r="AKU213" s="90"/>
      <c r="AKV213" s="90"/>
      <c r="AKW213" s="90"/>
      <c r="AKX213" s="90"/>
      <c r="AKY213" s="90"/>
      <c r="AKZ213" s="90"/>
      <c r="ALA213" s="90"/>
      <c r="ALB213" s="90"/>
      <c r="ALC213" s="90"/>
      <c r="ALD213" s="90"/>
      <c r="ALE213" s="90"/>
      <c r="ALF213" s="90"/>
      <c r="ALG213" s="90"/>
      <c r="ALH213" s="90"/>
      <c r="ALI213" s="90"/>
      <c r="ALJ213" s="90"/>
      <c r="ALK213" s="90"/>
      <c r="ALL213" s="90"/>
      <c r="ALM213" s="90"/>
      <c r="ALN213" s="90"/>
      <c r="ALO213" s="90"/>
      <c r="ALP213" s="90"/>
      <c r="ALQ213" s="90"/>
      <c r="ALR213" s="90"/>
      <c r="ALS213" s="90"/>
      <c r="ALT213" s="90"/>
      <c r="ALU213" s="90"/>
      <c r="ALV213" s="90"/>
      <c r="ALW213" s="90"/>
      <c r="ALX213" s="90"/>
      <c r="ALY213" s="90"/>
      <c r="ALZ213" s="90"/>
      <c r="AMA213" s="90"/>
      <c r="AMB213" s="90"/>
      <c r="AMC213" s="90"/>
    </row>
    <row r="214" spans="1:1017">
      <c r="A214" s="98" t="s">
        <v>50</v>
      </c>
      <c r="B214" s="90" t="str">
        <f t="shared" si="1453"/>
        <v>Kerapu Cantang</v>
      </c>
      <c r="Q214" s="91">
        <f t="shared" si="1454"/>
        <v>0</v>
      </c>
      <c r="R214" s="91">
        <f t="shared" si="1455"/>
        <v>0</v>
      </c>
      <c r="S214" s="98">
        <v>1400</v>
      </c>
      <c r="T214" s="98">
        <v>119000</v>
      </c>
      <c r="U214" s="98">
        <v>4970</v>
      </c>
      <c r="V214" s="98">
        <v>472150</v>
      </c>
      <c r="AG214" s="91">
        <f t="shared" si="1456"/>
        <v>6370</v>
      </c>
      <c r="AH214" s="91">
        <f t="shared" si="1457"/>
        <v>591150</v>
      </c>
      <c r="AW214" s="91">
        <f t="shared" si="1458"/>
        <v>0</v>
      </c>
      <c r="AX214" s="91">
        <f t="shared" si="1459"/>
        <v>0</v>
      </c>
      <c r="BM214" s="91">
        <f t="shared" si="1460"/>
        <v>0</v>
      </c>
      <c r="BN214" s="91">
        <f t="shared" si="1461"/>
        <v>0</v>
      </c>
      <c r="CC214" s="91">
        <f t="shared" si="1462"/>
        <v>0</v>
      </c>
      <c r="CD214" s="91">
        <f t="shared" si="1463"/>
        <v>0</v>
      </c>
      <c r="CG214" s="98">
        <v>11985.335172195</v>
      </c>
      <c r="CH214" s="98">
        <v>1677946.9241073001</v>
      </c>
      <c r="CS214" s="91">
        <f t="shared" si="1548"/>
        <v>11985.335172195</v>
      </c>
      <c r="CT214" s="91">
        <f t="shared" si="1549"/>
        <v>1677946.9241073001</v>
      </c>
      <c r="DI214" s="91">
        <f t="shared" si="1466"/>
        <v>0</v>
      </c>
      <c r="DJ214" s="91">
        <f t="shared" si="1467"/>
        <v>0</v>
      </c>
      <c r="DY214" s="91">
        <f t="shared" si="1468"/>
        <v>0</v>
      </c>
      <c r="DZ214" s="91">
        <f t="shared" si="1469"/>
        <v>0</v>
      </c>
      <c r="EO214" s="91">
        <f t="shared" si="1470"/>
        <v>0</v>
      </c>
      <c r="EP214" s="91">
        <f t="shared" si="1471"/>
        <v>0</v>
      </c>
      <c r="FE214" s="91">
        <f t="shared" si="1472"/>
        <v>0</v>
      </c>
      <c r="FF214" s="91">
        <f t="shared" si="1473"/>
        <v>0</v>
      </c>
      <c r="FU214" s="91">
        <f t="shared" si="1474"/>
        <v>0</v>
      </c>
      <c r="FV214" s="91">
        <f t="shared" si="1475"/>
        <v>0</v>
      </c>
      <c r="GK214" s="91">
        <f t="shared" si="1476"/>
        <v>0</v>
      </c>
      <c r="GL214" s="91">
        <f t="shared" si="1477"/>
        <v>0</v>
      </c>
      <c r="HA214" s="91">
        <f t="shared" si="1478"/>
        <v>0</v>
      </c>
      <c r="HB214" s="91">
        <f t="shared" si="1479"/>
        <v>0</v>
      </c>
      <c r="HQ214" s="91">
        <f t="shared" si="1480"/>
        <v>0</v>
      </c>
      <c r="HR214" s="91">
        <f t="shared" si="1481"/>
        <v>0</v>
      </c>
      <c r="IG214" s="91">
        <f t="shared" si="1482"/>
        <v>0</v>
      </c>
      <c r="IH214" s="91">
        <f t="shared" si="1483"/>
        <v>0</v>
      </c>
      <c r="IW214" s="91">
        <f t="shared" si="1484"/>
        <v>0</v>
      </c>
      <c r="IX214" s="91">
        <f t="shared" si="1485"/>
        <v>0</v>
      </c>
      <c r="JM214" s="91">
        <f t="shared" si="1486"/>
        <v>0</v>
      </c>
      <c r="JN214" s="91">
        <f t="shared" si="1487"/>
        <v>0</v>
      </c>
      <c r="KC214" s="91">
        <f t="shared" si="1488"/>
        <v>0</v>
      </c>
      <c r="KD214" s="91">
        <f t="shared" si="1489"/>
        <v>0</v>
      </c>
      <c r="KS214" s="91">
        <f t="shared" si="1490"/>
        <v>0</v>
      </c>
      <c r="KT214" s="91">
        <f t="shared" si="1491"/>
        <v>0</v>
      </c>
      <c r="LI214" s="91">
        <f t="shared" si="1492"/>
        <v>0</v>
      </c>
      <c r="LJ214" s="91">
        <f t="shared" si="1493"/>
        <v>0</v>
      </c>
      <c r="LY214" s="91">
        <f t="shared" si="1494"/>
        <v>0</v>
      </c>
      <c r="LZ214" s="91">
        <f t="shared" si="1495"/>
        <v>0</v>
      </c>
      <c r="MA214" s="98">
        <v>31100</v>
      </c>
      <c r="MB214" s="98">
        <v>2643500</v>
      </c>
      <c r="MO214" s="91">
        <f t="shared" si="1496"/>
        <v>31100</v>
      </c>
      <c r="MP214" s="91">
        <f t="shared" si="1497"/>
        <v>2643500</v>
      </c>
      <c r="NE214" s="91">
        <f t="shared" si="1498"/>
        <v>0</v>
      </c>
      <c r="NF214" s="91">
        <f t="shared" si="1499"/>
        <v>0</v>
      </c>
      <c r="NU214" s="91">
        <f t="shared" si="1500"/>
        <v>0</v>
      </c>
      <c r="NV214" s="91">
        <f t="shared" si="1501"/>
        <v>0</v>
      </c>
      <c r="NW214" s="98">
        <v>470</v>
      </c>
      <c r="NX214" s="98">
        <v>47000</v>
      </c>
      <c r="OK214" s="91">
        <f t="shared" si="1502"/>
        <v>470</v>
      </c>
      <c r="OL214" s="91">
        <f t="shared" si="1503"/>
        <v>47000</v>
      </c>
      <c r="PA214" s="91">
        <f t="shared" si="1504"/>
        <v>0</v>
      </c>
      <c r="PB214" s="91">
        <f t="shared" si="1505"/>
        <v>0</v>
      </c>
      <c r="PC214" s="98">
        <v>64</v>
      </c>
      <c r="PD214" s="98">
        <v>3200</v>
      </c>
      <c r="PQ214" s="91">
        <f t="shared" si="1506"/>
        <v>64</v>
      </c>
      <c r="PR214" s="91">
        <f t="shared" si="1507"/>
        <v>3200</v>
      </c>
      <c r="PU214" s="98">
        <v>33750</v>
      </c>
      <c r="PV214" s="98">
        <v>3712500</v>
      </c>
      <c r="QG214" s="91">
        <f t="shared" si="1508"/>
        <v>33750</v>
      </c>
      <c r="QH214" s="91">
        <f t="shared" si="1509"/>
        <v>3712500</v>
      </c>
      <c r="QW214" s="91">
        <f t="shared" si="1510"/>
        <v>0</v>
      </c>
      <c r="QX214" s="91">
        <f t="shared" si="1511"/>
        <v>0</v>
      </c>
      <c r="RM214" s="91">
        <f t="shared" si="1512"/>
        <v>0</v>
      </c>
      <c r="RN214" s="91">
        <f t="shared" si="1513"/>
        <v>0</v>
      </c>
      <c r="SC214" s="91">
        <f t="shared" si="1514"/>
        <v>0</v>
      </c>
      <c r="SD214" s="91">
        <f t="shared" si="1515"/>
        <v>0</v>
      </c>
      <c r="SS214" s="91">
        <f t="shared" si="1516"/>
        <v>0</v>
      </c>
      <c r="ST214" s="91">
        <f t="shared" si="1517"/>
        <v>0</v>
      </c>
      <c r="TI214" s="91">
        <f t="shared" si="1518"/>
        <v>0</v>
      </c>
      <c r="TJ214" s="91">
        <f t="shared" si="1519"/>
        <v>0</v>
      </c>
      <c r="TY214" s="91">
        <f t="shared" si="1520"/>
        <v>0</v>
      </c>
      <c r="TZ214" s="91">
        <f t="shared" si="1521"/>
        <v>0</v>
      </c>
      <c r="UO214" s="91">
        <f t="shared" si="1522"/>
        <v>0</v>
      </c>
      <c r="UP214" s="91">
        <f t="shared" si="1523"/>
        <v>0</v>
      </c>
      <c r="VE214" s="91">
        <f t="shared" si="1524"/>
        <v>0</v>
      </c>
      <c r="VF214" s="91">
        <f t="shared" si="1525"/>
        <v>0</v>
      </c>
      <c r="VU214" s="91">
        <f t="shared" si="1526"/>
        <v>0</v>
      </c>
      <c r="VV214" s="91">
        <f t="shared" si="1527"/>
        <v>0</v>
      </c>
      <c r="WK214" s="91">
        <f t="shared" si="1528"/>
        <v>0</v>
      </c>
      <c r="WL214" s="91">
        <f t="shared" si="1529"/>
        <v>0</v>
      </c>
      <c r="WM214" s="89"/>
      <c r="WN214" s="87">
        <f t="shared" si="1530"/>
        <v>33034</v>
      </c>
      <c r="WO214" s="87">
        <f t="shared" si="1531"/>
        <v>2812700</v>
      </c>
      <c r="WP214" s="87">
        <f t="shared" si="1532"/>
        <v>50705.335172195002</v>
      </c>
      <c r="WQ214" s="87">
        <f t="shared" si="1533"/>
        <v>5862596.9241073001</v>
      </c>
      <c r="WR214" s="87">
        <f t="shared" si="1534"/>
        <v>0</v>
      </c>
      <c r="WS214" s="87">
        <f t="shared" si="1535"/>
        <v>0</v>
      </c>
      <c r="WT214" s="87">
        <f t="shared" si="1536"/>
        <v>0</v>
      </c>
      <c r="WU214" s="87">
        <f t="shared" si="1537"/>
        <v>0</v>
      </c>
      <c r="WV214" s="87">
        <f t="shared" si="1538"/>
        <v>0</v>
      </c>
      <c r="WW214" s="87">
        <f t="shared" si="1539"/>
        <v>0</v>
      </c>
      <c r="WX214" s="87">
        <f t="shared" si="1540"/>
        <v>0</v>
      </c>
      <c r="WY214" s="87">
        <f t="shared" si="1541"/>
        <v>0</v>
      </c>
      <c r="WZ214" s="87">
        <f t="shared" si="1542"/>
        <v>0</v>
      </c>
      <c r="XA214" s="87">
        <f t="shared" si="1543"/>
        <v>0</v>
      </c>
      <c r="XB214" s="92">
        <f t="shared" si="1544"/>
        <v>83739.335172195002</v>
      </c>
      <c r="XC214" s="92">
        <f t="shared" si="1545"/>
        <v>8675296.9241073001</v>
      </c>
      <c r="XD214" s="89"/>
      <c r="XE214" s="92"/>
      <c r="XF214" s="92"/>
      <c r="XG214" s="89"/>
      <c r="XH214" s="92"/>
      <c r="XI214" s="92"/>
      <c r="XJ214" s="89"/>
      <c r="XK214" s="87"/>
      <c r="XL214" s="87"/>
      <c r="XM214" s="87"/>
      <c r="XN214" s="87"/>
      <c r="XO214" s="87"/>
      <c r="XP214" s="87"/>
      <c r="XQ214" s="87"/>
      <c r="XR214" s="92">
        <f t="shared" ca="1" si="1546"/>
        <v>0</v>
      </c>
      <c r="XS214" s="89"/>
      <c r="XT214" s="87"/>
      <c r="XU214" s="87"/>
      <c r="XV214" s="87"/>
      <c r="XW214" s="87"/>
      <c r="XX214" s="87"/>
      <c r="XY214" s="87"/>
      <c r="XZ214" s="87"/>
      <c r="YA214" s="92">
        <f t="shared" ca="1" si="1547"/>
        <v>0</v>
      </c>
      <c r="YB214" s="90"/>
      <c r="YC214" s="90"/>
      <c r="YD214" s="90"/>
      <c r="YE214" s="90"/>
      <c r="YF214" s="90"/>
      <c r="YG214" s="90"/>
      <c r="YH214" s="90"/>
      <c r="YI214" s="90"/>
      <c r="YJ214" s="90"/>
      <c r="YK214" s="90"/>
      <c r="YL214" s="90"/>
      <c r="YM214" s="90"/>
      <c r="YN214" s="90"/>
      <c r="YO214" s="90"/>
      <c r="YP214" s="90"/>
      <c r="YQ214" s="90"/>
      <c r="YR214" s="90"/>
      <c r="YS214" s="90"/>
      <c r="YT214" s="90"/>
      <c r="YU214" s="90"/>
      <c r="YV214" s="90"/>
      <c r="YW214" s="90"/>
      <c r="YX214" s="90"/>
      <c r="YY214" s="90"/>
      <c r="YZ214" s="90"/>
      <c r="ZA214" s="90"/>
      <c r="ZB214" s="90"/>
      <c r="ZC214" s="90"/>
      <c r="ZD214" s="90"/>
      <c r="ZE214" s="90"/>
      <c r="ZF214" s="90"/>
      <c r="ZG214" s="90"/>
      <c r="ZH214" s="90"/>
      <c r="ZI214" s="90"/>
      <c r="ZJ214" s="90"/>
      <c r="ZK214" s="90"/>
      <c r="ZL214" s="90"/>
      <c r="ZM214" s="90"/>
      <c r="ZN214" s="90"/>
      <c r="ZO214" s="90"/>
      <c r="ZP214" s="90"/>
      <c r="ZQ214" s="90"/>
      <c r="ZR214" s="90"/>
      <c r="ZS214" s="90"/>
      <c r="ZT214" s="90"/>
      <c r="ZU214" s="90"/>
      <c r="ZV214" s="90"/>
      <c r="ZW214" s="90"/>
      <c r="ZX214" s="90"/>
      <c r="ZY214" s="90"/>
      <c r="ZZ214" s="90"/>
      <c r="AAA214" s="90"/>
      <c r="AAB214" s="90"/>
      <c r="AAC214" s="90"/>
      <c r="AAD214" s="90"/>
      <c r="AAE214" s="90"/>
      <c r="AAF214" s="90"/>
      <c r="AAG214" s="90"/>
      <c r="AAH214" s="90"/>
      <c r="AAI214" s="90"/>
      <c r="AAJ214" s="90"/>
      <c r="AAK214" s="90"/>
      <c r="AAL214" s="90"/>
      <c r="AAM214" s="90"/>
      <c r="AAN214" s="90"/>
      <c r="AAO214" s="90"/>
      <c r="AAP214" s="90"/>
      <c r="AAQ214" s="90"/>
      <c r="AAR214" s="90"/>
      <c r="AAS214" s="90"/>
      <c r="AAT214" s="90"/>
      <c r="AAU214" s="90"/>
      <c r="AAV214" s="90"/>
      <c r="AAW214" s="90"/>
      <c r="AAX214" s="90"/>
      <c r="AAY214" s="90"/>
      <c r="AAZ214" s="90"/>
      <c r="ABA214" s="90"/>
      <c r="ABB214" s="90"/>
      <c r="ABC214" s="90"/>
      <c r="ABD214" s="90"/>
      <c r="ABE214" s="90"/>
      <c r="ABF214" s="90"/>
      <c r="ABG214" s="90"/>
      <c r="ABH214" s="90"/>
      <c r="ABI214" s="90"/>
      <c r="ABJ214" s="90"/>
      <c r="ABK214" s="90"/>
      <c r="ABL214" s="90"/>
      <c r="ABM214" s="90"/>
      <c r="ABN214" s="90"/>
      <c r="ABO214" s="90"/>
      <c r="ABP214" s="90"/>
      <c r="ABQ214" s="90"/>
      <c r="ABR214" s="90"/>
      <c r="ABS214" s="90"/>
      <c r="ABT214" s="90"/>
      <c r="ABU214" s="90"/>
      <c r="ABV214" s="90"/>
      <c r="ABW214" s="90"/>
      <c r="ABX214" s="90"/>
      <c r="ABY214" s="90"/>
      <c r="ABZ214" s="90"/>
      <c r="ACA214" s="90"/>
      <c r="ACB214" s="90"/>
      <c r="ACC214" s="90"/>
      <c r="ACD214" s="90"/>
      <c r="ACE214" s="90"/>
      <c r="ACF214" s="90"/>
      <c r="ACG214" s="90"/>
      <c r="ACH214" s="90"/>
      <c r="ACI214" s="90"/>
      <c r="ACJ214" s="90"/>
      <c r="ACK214" s="90"/>
      <c r="ACL214" s="90"/>
      <c r="ACM214" s="90"/>
      <c r="ACN214" s="90"/>
      <c r="ACO214" s="90"/>
      <c r="ACP214" s="90"/>
      <c r="ACQ214" s="90"/>
      <c r="ACR214" s="90"/>
      <c r="ACS214" s="90"/>
      <c r="ACT214" s="90"/>
      <c r="ACU214" s="90"/>
      <c r="ACV214" s="90"/>
      <c r="ACW214" s="90"/>
      <c r="ACX214" s="90"/>
      <c r="ACY214" s="90"/>
      <c r="ACZ214" s="90"/>
      <c r="ADA214" s="90"/>
      <c r="ADB214" s="90"/>
      <c r="ADC214" s="90"/>
      <c r="ADD214" s="90"/>
      <c r="ADE214" s="90"/>
      <c r="ADF214" s="90"/>
      <c r="ADG214" s="90"/>
      <c r="ADH214" s="90"/>
      <c r="ADI214" s="90"/>
      <c r="ADJ214" s="90"/>
      <c r="ADK214" s="90"/>
      <c r="ADL214" s="90"/>
      <c r="ADM214" s="90"/>
      <c r="ADN214" s="90"/>
      <c r="ADO214" s="90"/>
      <c r="ADP214" s="90"/>
      <c r="ADQ214" s="90"/>
      <c r="ADR214" s="90"/>
      <c r="ADS214" s="90"/>
      <c r="ADT214" s="90"/>
      <c r="ADU214" s="90"/>
      <c r="ADV214" s="90"/>
      <c r="ADW214" s="90"/>
      <c r="ADX214" s="90"/>
      <c r="ADY214" s="90"/>
      <c r="ADZ214" s="90"/>
      <c r="AEA214" s="90"/>
      <c r="AEB214" s="90"/>
      <c r="AEC214" s="90"/>
      <c r="AED214" s="90"/>
      <c r="AEE214" s="90"/>
      <c r="AEF214" s="90"/>
      <c r="AEG214" s="90"/>
      <c r="AEH214" s="90"/>
      <c r="AEI214" s="90"/>
      <c r="AEJ214" s="90"/>
      <c r="AEK214" s="90"/>
      <c r="AEL214" s="90"/>
      <c r="AEM214" s="90"/>
      <c r="AEN214" s="90"/>
      <c r="AEO214" s="90"/>
      <c r="AEP214" s="90"/>
      <c r="AEQ214" s="90"/>
      <c r="AER214" s="90"/>
      <c r="AES214" s="90"/>
      <c r="AET214" s="90"/>
      <c r="AEU214" s="90"/>
      <c r="AEV214" s="90"/>
      <c r="AEW214" s="90"/>
      <c r="AEX214" s="90"/>
      <c r="AEY214" s="90"/>
      <c r="AEZ214" s="90"/>
      <c r="AFA214" s="90"/>
      <c r="AFB214" s="90"/>
      <c r="AFC214" s="90"/>
      <c r="AFD214" s="90"/>
      <c r="AFE214" s="90"/>
      <c r="AFF214" s="90"/>
      <c r="AFG214" s="90"/>
      <c r="AFH214" s="90"/>
      <c r="AFI214" s="90"/>
      <c r="AFJ214" s="90"/>
      <c r="AFK214" s="90"/>
      <c r="AFL214" s="90"/>
      <c r="AFM214" s="90"/>
      <c r="AFN214" s="90"/>
      <c r="AFO214" s="90"/>
      <c r="AFP214" s="90"/>
      <c r="AFQ214" s="90"/>
      <c r="AFR214" s="90"/>
      <c r="AFS214" s="90"/>
      <c r="AFT214" s="90"/>
      <c r="AFU214" s="90"/>
      <c r="AFV214" s="90"/>
      <c r="AFW214" s="90"/>
      <c r="AFX214" s="90"/>
      <c r="AFY214" s="90"/>
      <c r="AFZ214" s="90"/>
      <c r="AGA214" s="90"/>
      <c r="AGB214" s="90"/>
      <c r="AGC214" s="90"/>
      <c r="AGD214" s="90"/>
      <c r="AGE214" s="90"/>
      <c r="AGF214" s="90"/>
      <c r="AGG214" s="90"/>
      <c r="AGH214" s="90"/>
      <c r="AGI214" s="90"/>
      <c r="AGJ214" s="90"/>
      <c r="AGK214" s="90"/>
      <c r="AGL214" s="90"/>
      <c r="AGM214" s="90"/>
      <c r="AGN214" s="90"/>
      <c r="AGO214" s="90"/>
      <c r="AGP214" s="90"/>
      <c r="AGQ214" s="90"/>
      <c r="AGR214" s="90"/>
      <c r="AGS214" s="90"/>
      <c r="AGT214" s="90"/>
      <c r="AGU214" s="90"/>
      <c r="AGV214" s="90"/>
      <c r="AGW214" s="90"/>
      <c r="AGX214" s="90"/>
      <c r="AGY214" s="90"/>
      <c r="AGZ214" s="90"/>
      <c r="AHA214" s="90"/>
      <c r="AHB214" s="90"/>
      <c r="AHC214" s="90"/>
      <c r="AHD214" s="90"/>
      <c r="AHE214" s="90"/>
      <c r="AHF214" s="90"/>
      <c r="AHG214" s="90"/>
      <c r="AHH214" s="90"/>
      <c r="AHI214" s="90"/>
      <c r="AHJ214" s="90"/>
      <c r="AHK214" s="90"/>
      <c r="AHL214" s="90"/>
      <c r="AHM214" s="90"/>
      <c r="AHN214" s="90"/>
      <c r="AHO214" s="90"/>
      <c r="AHP214" s="90"/>
      <c r="AHQ214" s="90"/>
      <c r="AHR214" s="90"/>
      <c r="AHS214" s="90"/>
      <c r="AHT214" s="90"/>
      <c r="AHU214" s="90"/>
      <c r="AHV214" s="90"/>
      <c r="AHW214" s="90"/>
      <c r="AHX214" s="90"/>
      <c r="AHY214" s="90"/>
      <c r="AHZ214" s="90"/>
      <c r="AIA214" s="90"/>
      <c r="AIB214" s="90"/>
      <c r="AIC214" s="90"/>
      <c r="AID214" s="90"/>
      <c r="AIE214" s="90"/>
      <c r="AIF214" s="90"/>
      <c r="AIG214" s="90"/>
      <c r="AIH214" s="90"/>
      <c r="AII214" s="90"/>
      <c r="AIJ214" s="90"/>
      <c r="AIK214" s="90"/>
      <c r="AIL214" s="90"/>
      <c r="AIM214" s="90"/>
      <c r="AIN214" s="90"/>
      <c r="AIO214" s="90"/>
      <c r="AIP214" s="90"/>
      <c r="AIQ214" s="90"/>
      <c r="AIR214" s="90"/>
      <c r="AIS214" s="90"/>
      <c r="AIT214" s="90"/>
      <c r="AIU214" s="90"/>
      <c r="AIV214" s="90"/>
      <c r="AIW214" s="90"/>
      <c r="AIX214" s="90"/>
      <c r="AIY214" s="90"/>
      <c r="AIZ214" s="90"/>
      <c r="AJA214" s="90"/>
      <c r="AJB214" s="90"/>
      <c r="AJC214" s="90"/>
      <c r="AJD214" s="90"/>
      <c r="AJE214" s="90"/>
      <c r="AJF214" s="90"/>
      <c r="AJG214" s="90"/>
      <c r="AJH214" s="90"/>
      <c r="AJI214" s="90"/>
      <c r="AJJ214" s="90"/>
      <c r="AJK214" s="90"/>
      <c r="AJL214" s="90"/>
      <c r="AJM214" s="90"/>
      <c r="AJN214" s="90"/>
      <c r="AJO214" s="90"/>
      <c r="AJP214" s="90"/>
      <c r="AJQ214" s="90"/>
      <c r="AJR214" s="90"/>
      <c r="AJS214" s="90"/>
      <c r="AJT214" s="90"/>
      <c r="AJU214" s="90"/>
      <c r="AJV214" s="90"/>
      <c r="AJW214" s="90"/>
      <c r="AJX214" s="90"/>
      <c r="AJY214" s="90"/>
      <c r="AJZ214" s="90"/>
      <c r="AKA214" s="90"/>
      <c r="AKB214" s="90"/>
      <c r="AKC214" s="90"/>
      <c r="AKD214" s="90"/>
      <c r="AKE214" s="90"/>
      <c r="AKF214" s="90"/>
      <c r="AKG214" s="90"/>
      <c r="AKH214" s="90"/>
      <c r="AKI214" s="90"/>
      <c r="AKJ214" s="90"/>
      <c r="AKK214" s="90"/>
      <c r="AKL214" s="90"/>
      <c r="AKM214" s="90"/>
      <c r="AKN214" s="90"/>
      <c r="AKO214" s="90"/>
      <c r="AKP214" s="90"/>
      <c r="AKQ214" s="90"/>
      <c r="AKR214" s="90"/>
      <c r="AKS214" s="90"/>
      <c r="AKT214" s="90"/>
      <c r="AKU214" s="90"/>
      <c r="AKV214" s="90"/>
      <c r="AKW214" s="90"/>
      <c r="AKX214" s="90"/>
      <c r="AKY214" s="90"/>
      <c r="AKZ214" s="90"/>
      <c r="ALA214" s="90"/>
      <c r="ALB214" s="90"/>
      <c r="ALC214" s="90"/>
      <c r="ALD214" s="90"/>
      <c r="ALE214" s="90"/>
      <c r="ALF214" s="90"/>
      <c r="ALG214" s="90"/>
      <c r="ALH214" s="90"/>
      <c r="ALI214" s="90"/>
      <c r="ALJ214" s="90"/>
      <c r="ALK214" s="90"/>
      <c r="ALL214" s="90"/>
      <c r="ALM214" s="90"/>
      <c r="ALN214" s="90"/>
      <c r="ALO214" s="90"/>
      <c r="ALP214" s="90"/>
      <c r="ALQ214" s="90"/>
      <c r="ALR214" s="90"/>
      <c r="ALS214" s="90"/>
      <c r="ALT214" s="90"/>
      <c r="ALU214" s="90"/>
      <c r="ALV214" s="90"/>
      <c r="ALW214" s="90"/>
      <c r="ALX214" s="90"/>
      <c r="ALY214" s="90"/>
      <c r="ALZ214" s="90"/>
      <c r="AMA214" s="90"/>
      <c r="AMB214" s="90"/>
      <c r="AMC214" s="90"/>
    </row>
    <row r="215" spans="1:1017">
      <c r="A215" s="98" t="s">
        <v>50</v>
      </c>
      <c r="B215" s="90" t="str">
        <f t="shared" si="1453"/>
        <v>Kerapu Macan</v>
      </c>
      <c r="Q215" s="91">
        <f t="shared" si="1454"/>
        <v>0</v>
      </c>
      <c r="R215" s="91">
        <f t="shared" si="1455"/>
        <v>0</v>
      </c>
      <c r="AG215" s="91">
        <f t="shared" si="1456"/>
        <v>0</v>
      </c>
      <c r="AH215" s="91">
        <f t="shared" si="1457"/>
        <v>0</v>
      </c>
      <c r="AW215" s="91">
        <f t="shared" si="1458"/>
        <v>0</v>
      </c>
      <c r="AX215" s="91">
        <f t="shared" si="1459"/>
        <v>0</v>
      </c>
      <c r="BM215" s="91">
        <f t="shared" si="1460"/>
        <v>0</v>
      </c>
      <c r="BN215" s="91">
        <f t="shared" si="1461"/>
        <v>0</v>
      </c>
      <c r="CC215" s="91">
        <f t="shared" si="1462"/>
        <v>0</v>
      </c>
      <c r="CD215" s="91">
        <f t="shared" si="1463"/>
        <v>0</v>
      </c>
      <c r="CS215" s="91">
        <f t="shared" si="1548"/>
        <v>0</v>
      </c>
      <c r="CT215" s="91">
        <f t="shared" si="1549"/>
        <v>0</v>
      </c>
      <c r="DI215" s="91">
        <f t="shared" si="1466"/>
        <v>0</v>
      </c>
      <c r="DJ215" s="91">
        <f t="shared" si="1467"/>
        <v>0</v>
      </c>
      <c r="DY215" s="91">
        <f t="shared" si="1468"/>
        <v>0</v>
      </c>
      <c r="DZ215" s="91">
        <f t="shared" si="1469"/>
        <v>0</v>
      </c>
      <c r="EO215" s="91">
        <f t="shared" si="1470"/>
        <v>0</v>
      </c>
      <c r="EP215" s="91">
        <f t="shared" si="1471"/>
        <v>0</v>
      </c>
      <c r="ES215" s="98">
        <v>181597</v>
      </c>
      <c r="ET215" s="98">
        <v>19067685</v>
      </c>
      <c r="FE215" s="91">
        <f t="shared" si="1472"/>
        <v>181597</v>
      </c>
      <c r="FF215" s="91">
        <f t="shared" si="1473"/>
        <v>19067685</v>
      </c>
      <c r="FU215" s="91">
        <f t="shared" si="1474"/>
        <v>0</v>
      </c>
      <c r="FV215" s="91">
        <f t="shared" si="1475"/>
        <v>0</v>
      </c>
      <c r="GK215" s="91">
        <f t="shared" si="1476"/>
        <v>0</v>
      </c>
      <c r="GL215" s="91">
        <f t="shared" si="1477"/>
        <v>0</v>
      </c>
      <c r="HA215" s="91">
        <f t="shared" si="1478"/>
        <v>0</v>
      </c>
      <c r="HB215" s="91">
        <f t="shared" si="1479"/>
        <v>0</v>
      </c>
      <c r="HQ215" s="91">
        <f t="shared" si="1480"/>
        <v>0</v>
      </c>
      <c r="HR215" s="91">
        <f t="shared" si="1481"/>
        <v>0</v>
      </c>
      <c r="IG215" s="91">
        <f t="shared" si="1482"/>
        <v>0</v>
      </c>
      <c r="IH215" s="91">
        <f t="shared" si="1483"/>
        <v>0</v>
      </c>
      <c r="IW215" s="91">
        <f t="shared" si="1484"/>
        <v>0</v>
      </c>
      <c r="IX215" s="91">
        <f t="shared" si="1485"/>
        <v>0</v>
      </c>
      <c r="JM215" s="91">
        <f t="shared" si="1486"/>
        <v>0</v>
      </c>
      <c r="JN215" s="91">
        <f t="shared" si="1487"/>
        <v>0</v>
      </c>
      <c r="KC215" s="91">
        <f t="shared" si="1488"/>
        <v>0</v>
      </c>
      <c r="KD215" s="91">
        <f t="shared" si="1489"/>
        <v>0</v>
      </c>
      <c r="KS215" s="91">
        <f t="shared" si="1490"/>
        <v>0</v>
      </c>
      <c r="KT215" s="91">
        <f t="shared" si="1491"/>
        <v>0</v>
      </c>
      <c r="LI215" s="91">
        <f t="shared" si="1492"/>
        <v>0</v>
      </c>
      <c r="LJ215" s="91">
        <f t="shared" si="1493"/>
        <v>0</v>
      </c>
      <c r="LY215" s="91">
        <f t="shared" si="1494"/>
        <v>0</v>
      </c>
      <c r="LZ215" s="91">
        <f t="shared" si="1495"/>
        <v>0</v>
      </c>
      <c r="MO215" s="91">
        <f t="shared" si="1496"/>
        <v>0</v>
      </c>
      <c r="MP215" s="91">
        <f t="shared" si="1497"/>
        <v>0</v>
      </c>
      <c r="NE215" s="91">
        <f t="shared" si="1498"/>
        <v>0</v>
      </c>
      <c r="NF215" s="91">
        <f t="shared" si="1499"/>
        <v>0</v>
      </c>
      <c r="NU215" s="91">
        <f t="shared" si="1500"/>
        <v>0</v>
      </c>
      <c r="NV215" s="91">
        <f t="shared" si="1501"/>
        <v>0</v>
      </c>
      <c r="OK215" s="91">
        <f t="shared" si="1502"/>
        <v>0</v>
      </c>
      <c r="OL215" s="91">
        <f t="shared" si="1503"/>
        <v>0</v>
      </c>
      <c r="OM215" s="98">
        <v>21720</v>
      </c>
      <c r="ON215" s="98">
        <v>4344000</v>
      </c>
      <c r="PA215" s="91">
        <f>SUMIF($C$12:$P$12,$A$1,OM215:OZ215)</f>
        <v>21720</v>
      </c>
      <c r="PB215" s="91">
        <f>SUMIF($C$12:$P$12,$A$3,OM215:OZ215)</f>
        <v>4344000</v>
      </c>
      <c r="PQ215" s="91">
        <f t="shared" si="1506"/>
        <v>0</v>
      </c>
      <c r="PR215" s="91">
        <f t="shared" si="1507"/>
        <v>0</v>
      </c>
      <c r="QG215" s="91">
        <f t="shared" si="1508"/>
        <v>0</v>
      </c>
      <c r="QH215" s="91">
        <f t="shared" si="1509"/>
        <v>0</v>
      </c>
      <c r="QW215" s="91">
        <f t="shared" si="1510"/>
        <v>0</v>
      </c>
      <c r="QX215" s="91">
        <f t="shared" si="1511"/>
        <v>0</v>
      </c>
      <c r="RM215" s="91">
        <f t="shared" si="1512"/>
        <v>0</v>
      </c>
      <c r="RN215" s="91">
        <f t="shared" si="1513"/>
        <v>0</v>
      </c>
      <c r="SC215" s="91">
        <f t="shared" si="1514"/>
        <v>0</v>
      </c>
      <c r="SD215" s="91">
        <f t="shared" si="1515"/>
        <v>0</v>
      </c>
      <c r="SS215" s="91">
        <f t="shared" si="1516"/>
        <v>0</v>
      </c>
      <c r="ST215" s="91">
        <f t="shared" si="1517"/>
        <v>0</v>
      </c>
      <c r="TI215" s="91">
        <f t="shared" si="1518"/>
        <v>0</v>
      </c>
      <c r="TJ215" s="91">
        <f t="shared" si="1519"/>
        <v>0</v>
      </c>
      <c r="TY215" s="91">
        <f t="shared" si="1520"/>
        <v>0</v>
      </c>
      <c r="TZ215" s="91">
        <f t="shared" si="1521"/>
        <v>0</v>
      </c>
      <c r="UO215" s="91">
        <f t="shared" si="1522"/>
        <v>0</v>
      </c>
      <c r="UP215" s="91">
        <f t="shared" si="1523"/>
        <v>0</v>
      </c>
      <c r="VE215" s="91">
        <f t="shared" si="1524"/>
        <v>0</v>
      </c>
      <c r="VF215" s="91">
        <f t="shared" si="1525"/>
        <v>0</v>
      </c>
      <c r="VU215" s="91">
        <f t="shared" si="1526"/>
        <v>0</v>
      </c>
      <c r="VV215" s="91">
        <f t="shared" si="1527"/>
        <v>0</v>
      </c>
      <c r="WK215" s="91">
        <f t="shared" si="1528"/>
        <v>0</v>
      </c>
      <c r="WL215" s="91">
        <f t="shared" si="1529"/>
        <v>0</v>
      </c>
      <c r="WM215" s="89"/>
      <c r="WN215" s="87">
        <f t="shared" si="1530"/>
        <v>21720</v>
      </c>
      <c r="WO215" s="87">
        <f t="shared" si="1531"/>
        <v>4344000</v>
      </c>
      <c r="WP215" s="87">
        <f t="shared" si="1532"/>
        <v>181597</v>
      </c>
      <c r="WQ215" s="87">
        <f t="shared" si="1533"/>
        <v>19067685</v>
      </c>
      <c r="WR215" s="87">
        <f t="shared" si="1534"/>
        <v>0</v>
      </c>
      <c r="WS215" s="87">
        <f t="shared" si="1535"/>
        <v>0</v>
      </c>
      <c r="WT215" s="87">
        <f t="shared" si="1536"/>
        <v>0</v>
      </c>
      <c r="WU215" s="87">
        <f t="shared" si="1537"/>
        <v>0</v>
      </c>
      <c r="WV215" s="87">
        <f t="shared" si="1538"/>
        <v>0</v>
      </c>
      <c r="WW215" s="87">
        <f t="shared" si="1539"/>
        <v>0</v>
      </c>
      <c r="WX215" s="87">
        <f t="shared" si="1540"/>
        <v>0</v>
      </c>
      <c r="WY215" s="87">
        <f t="shared" si="1541"/>
        <v>0</v>
      </c>
      <c r="WZ215" s="87">
        <f t="shared" si="1542"/>
        <v>0</v>
      </c>
      <c r="XA215" s="87">
        <f t="shared" si="1543"/>
        <v>0</v>
      </c>
      <c r="XB215" s="92">
        <f t="shared" si="1544"/>
        <v>203317</v>
      </c>
      <c r="XC215" s="92">
        <f t="shared" si="1545"/>
        <v>23411685</v>
      </c>
      <c r="XD215" s="89"/>
      <c r="XE215" s="92"/>
      <c r="XF215" s="92"/>
      <c r="XG215" s="89"/>
      <c r="XH215" s="92"/>
      <c r="XI215" s="92"/>
      <c r="XJ215" s="89"/>
      <c r="XK215" s="87"/>
      <c r="XL215" s="87"/>
      <c r="XM215" s="87"/>
      <c r="XN215" s="87"/>
      <c r="XO215" s="87"/>
      <c r="XP215" s="87"/>
      <c r="XQ215" s="87"/>
      <c r="XR215" s="92">
        <f t="shared" ca="1" si="1546"/>
        <v>0</v>
      </c>
      <c r="XS215" s="89"/>
      <c r="XT215" s="87"/>
      <c r="XU215" s="87"/>
      <c r="XV215" s="87"/>
      <c r="XW215" s="87"/>
      <c r="XX215" s="87"/>
      <c r="XY215" s="87"/>
      <c r="XZ215" s="87"/>
      <c r="YA215" s="92">
        <f t="shared" ca="1" si="1547"/>
        <v>0</v>
      </c>
      <c r="YB215" s="90"/>
      <c r="YC215" s="90"/>
      <c r="YD215" s="90"/>
      <c r="YE215" s="90"/>
      <c r="YF215" s="90"/>
      <c r="YG215" s="90"/>
      <c r="YH215" s="90"/>
      <c r="YI215" s="90"/>
      <c r="YJ215" s="90"/>
      <c r="YK215" s="90"/>
      <c r="YL215" s="90"/>
      <c r="YM215" s="90"/>
      <c r="YN215" s="90"/>
      <c r="YO215" s="90"/>
      <c r="YP215" s="90"/>
      <c r="YQ215" s="90"/>
      <c r="YR215" s="90"/>
      <c r="YS215" s="90"/>
      <c r="YT215" s="90"/>
      <c r="YU215" s="90"/>
      <c r="YV215" s="90"/>
      <c r="YW215" s="90"/>
      <c r="YX215" s="90"/>
      <c r="YY215" s="90"/>
      <c r="YZ215" s="90"/>
      <c r="ZA215" s="90"/>
      <c r="ZB215" s="90"/>
      <c r="ZC215" s="90"/>
      <c r="ZD215" s="90"/>
      <c r="ZE215" s="90"/>
      <c r="ZF215" s="90"/>
      <c r="ZG215" s="90"/>
      <c r="ZH215" s="90"/>
      <c r="ZI215" s="90"/>
      <c r="ZJ215" s="90"/>
      <c r="ZK215" s="90"/>
      <c r="ZL215" s="90"/>
      <c r="ZM215" s="90"/>
      <c r="ZN215" s="90"/>
      <c r="ZO215" s="90"/>
      <c r="ZP215" s="90"/>
      <c r="ZQ215" s="90"/>
      <c r="ZR215" s="90"/>
      <c r="ZS215" s="90"/>
      <c r="ZT215" s="90"/>
      <c r="ZU215" s="90"/>
      <c r="ZV215" s="90"/>
      <c r="ZW215" s="90"/>
      <c r="ZX215" s="90"/>
      <c r="ZY215" s="90"/>
      <c r="ZZ215" s="90"/>
      <c r="AAA215" s="90"/>
      <c r="AAB215" s="90"/>
      <c r="AAC215" s="90"/>
      <c r="AAD215" s="90"/>
      <c r="AAE215" s="90"/>
      <c r="AAF215" s="90"/>
      <c r="AAG215" s="90"/>
      <c r="AAH215" s="90"/>
      <c r="AAI215" s="90"/>
      <c r="AAJ215" s="90"/>
      <c r="AAK215" s="90"/>
      <c r="AAL215" s="90"/>
      <c r="AAM215" s="90"/>
      <c r="AAN215" s="90"/>
      <c r="AAO215" s="90"/>
      <c r="AAP215" s="90"/>
      <c r="AAQ215" s="90"/>
      <c r="AAR215" s="90"/>
      <c r="AAS215" s="90"/>
      <c r="AAT215" s="90"/>
      <c r="AAU215" s="90"/>
      <c r="AAV215" s="90"/>
      <c r="AAW215" s="90"/>
      <c r="AAX215" s="90"/>
      <c r="AAY215" s="90"/>
      <c r="AAZ215" s="90"/>
      <c r="ABA215" s="90"/>
      <c r="ABB215" s="90"/>
      <c r="ABC215" s="90"/>
      <c r="ABD215" s="90"/>
      <c r="ABE215" s="90"/>
      <c r="ABF215" s="90"/>
      <c r="ABG215" s="90"/>
      <c r="ABH215" s="90"/>
      <c r="ABI215" s="90"/>
      <c r="ABJ215" s="90"/>
      <c r="ABK215" s="90"/>
      <c r="ABL215" s="90"/>
      <c r="ABM215" s="90"/>
      <c r="ABN215" s="90"/>
      <c r="ABO215" s="90"/>
      <c r="ABP215" s="90"/>
      <c r="ABQ215" s="90"/>
      <c r="ABR215" s="90"/>
      <c r="ABS215" s="90"/>
      <c r="ABT215" s="90"/>
      <c r="ABU215" s="90"/>
      <c r="ABV215" s="90"/>
      <c r="ABW215" s="90"/>
      <c r="ABX215" s="90"/>
      <c r="ABY215" s="90"/>
      <c r="ABZ215" s="90"/>
      <c r="ACA215" s="90"/>
      <c r="ACB215" s="90"/>
      <c r="ACC215" s="90"/>
      <c r="ACD215" s="90"/>
      <c r="ACE215" s="90"/>
      <c r="ACF215" s="90"/>
      <c r="ACG215" s="90"/>
      <c r="ACH215" s="90"/>
      <c r="ACI215" s="90"/>
      <c r="ACJ215" s="90"/>
      <c r="ACK215" s="90"/>
      <c r="ACL215" s="90"/>
      <c r="ACM215" s="90"/>
      <c r="ACN215" s="90"/>
      <c r="ACO215" s="90"/>
      <c r="ACP215" s="90"/>
      <c r="ACQ215" s="90"/>
      <c r="ACR215" s="90"/>
      <c r="ACS215" s="90"/>
      <c r="ACT215" s="90"/>
      <c r="ACU215" s="90"/>
      <c r="ACV215" s="90"/>
      <c r="ACW215" s="90"/>
      <c r="ACX215" s="90"/>
      <c r="ACY215" s="90"/>
      <c r="ACZ215" s="90"/>
      <c r="ADA215" s="90"/>
      <c r="ADB215" s="90"/>
      <c r="ADC215" s="90"/>
      <c r="ADD215" s="90"/>
      <c r="ADE215" s="90"/>
      <c r="ADF215" s="90"/>
      <c r="ADG215" s="90"/>
      <c r="ADH215" s="90"/>
      <c r="ADI215" s="90"/>
      <c r="ADJ215" s="90"/>
      <c r="ADK215" s="90"/>
      <c r="ADL215" s="90"/>
      <c r="ADM215" s="90"/>
      <c r="ADN215" s="90"/>
      <c r="ADO215" s="90"/>
      <c r="ADP215" s="90"/>
      <c r="ADQ215" s="90"/>
      <c r="ADR215" s="90"/>
      <c r="ADS215" s="90"/>
      <c r="ADT215" s="90"/>
      <c r="ADU215" s="90"/>
      <c r="ADV215" s="90"/>
      <c r="ADW215" s="90"/>
      <c r="ADX215" s="90"/>
      <c r="ADY215" s="90"/>
      <c r="ADZ215" s="90"/>
      <c r="AEA215" s="90"/>
      <c r="AEB215" s="90"/>
      <c r="AEC215" s="90"/>
      <c r="AED215" s="90"/>
      <c r="AEE215" s="90"/>
      <c r="AEF215" s="90"/>
      <c r="AEG215" s="90"/>
      <c r="AEH215" s="90"/>
      <c r="AEI215" s="90"/>
      <c r="AEJ215" s="90"/>
      <c r="AEK215" s="90"/>
      <c r="AEL215" s="90"/>
      <c r="AEM215" s="90"/>
      <c r="AEN215" s="90"/>
      <c r="AEO215" s="90"/>
      <c r="AEP215" s="90"/>
      <c r="AEQ215" s="90"/>
      <c r="AER215" s="90"/>
      <c r="AES215" s="90"/>
      <c r="AET215" s="90"/>
      <c r="AEU215" s="90"/>
      <c r="AEV215" s="90"/>
      <c r="AEW215" s="90"/>
      <c r="AEX215" s="90"/>
      <c r="AEY215" s="90"/>
      <c r="AEZ215" s="90"/>
      <c r="AFA215" s="90"/>
      <c r="AFB215" s="90"/>
      <c r="AFC215" s="90"/>
      <c r="AFD215" s="90"/>
      <c r="AFE215" s="90"/>
      <c r="AFF215" s="90"/>
      <c r="AFG215" s="90"/>
      <c r="AFH215" s="90"/>
      <c r="AFI215" s="90"/>
      <c r="AFJ215" s="90"/>
      <c r="AFK215" s="90"/>
      <c r="AFL215" s="90"/>
      <c r="AFM215" s="90"/>
      <c r="AFN215" s="90"/>
      <c r="AFO215" s="90"/>
      <c r="AFP215" s="90"/>
      <c r="AFQ215" s="90"/>
      <c r="AFR215" s="90"/>
      <c r="AFS215" s="90"/>
      <c r="AFT215" s="90"/>
      <c r="AFU215" s="90"/>
      <c r="AFV215" s="90"/>
      <c r="AFW215" s="90"/>
      <c r="AFX215" s="90"/>
      <c r="AFY215" s="90"/>
      <c r="AFZ215" s="90"/>
      <c r="AGA215" s="90"/>
      <c r="AGB215" s="90"/>
      <c r="AGC215" s="90"/>
      <c r="AGD215" s="90"/>
      <c r="AGE215" s="90"/>
      <c r="AGF215" s="90"/>
      <c r="AGG215" s="90"/>
      <c r="AGH215" s="90"/>
      <c r="AGI215" s="90"/>
      <c r="AGJ215" s="90"/>
      <c r="AGK215" s="90"/>
      <c r="AGL215" s="90"/>
      <c r="AGM215" s="90"/>
      <c r="AGN215" s="90"/>
      <c r="AGO215" s="90"/>
      <c r="AGP215" s="90"/>
      <c r="AGQ215" s="90"/>
      <c r="AGR215" s="90"/>
      <c r="AGS215" s="90"/>
      <c r="AGT215" s="90"/>
      <c r="AGU215" s="90"/>
      <c r="AGV215" s="90"/>
      <c r="AGW215" s="90"/>
      <c r="AGX215" s="90"/>
      <c r="AGY215" s="90"/>
      <c r="AGZ215" s="90"/>
      <c r="AHA215" s="90"/>
      <c r="AHB215" s="90"/>
      <c r="AHC215" s="90"/>
      <c r="AHD215" s="90"/>
      <c r="AHE215" s="90"/>
      <c r="AHF215" s="90"/>
      <c r="AHG215" s="90"/>
      <c r="AHH215" s="90"/>
      <c r="AHI215" s="90"/>
      <c r="AHJ215" s="90"/>
      <c r="AHK215" s="90"/>
      <c r="AHL215" s="90"/>
      <c r="AHM215" s="90"/>
      <c r="AHN215" s="90"/>
      <c r="AHO215" s="90"/>
      <c r="AHP215" s="90"/>
      <c r="AHQ215" s="90"/>
      <c r="AHR215" s="90"/>
      <c r="AHS215" s="90"/>
      <c r="AHT215" s="90"/>
      <c r="AHU215" s="90"/>
      <c r="AHV215" s="90"/>
      <c r="AHW215" s="90"/>
      <c r="AHX215" s="90"/>
      <c r="AHY215" s="90"/>
      <c r="AHZ215" s="90"/>
      <c r="AIA215" s="90"/>
      <c r="AIB215" s="90"/>
      <c r="AIC215" s="90"/>
      <c r="AID215" s="90"/>
      <c r="AIE215" s="90"/>
      <c r="AIF215" s="90"/>
      <c r="AIG215" s="90"/>
      <c r="AIH215" s="90"/>
      <c r="AII215" s="90"/>
      <c r="AIJ215" s="90"/>
      <c r="AIK215" s="90"/>
      <c r="AIL215" s="90"/>
      <c r="AIM215" s="90"/>
      <c r="AIN215" s="90"/>
      <c r="AIO215" s="90"/>
      <c r="AIP215" s="90"/>
      <c r="AIQ215" s="90"/>
      <c r="AIR215" s="90"/>
      <c r="AIS215" s="90"/>
      <c r="AIT215" s="90"/>
      <c r="AIU215" s="90"/>
      <c r="AIV215" s="90"/>
      <c r="AIW215" s="90"/>
      <c r="AIX215" s="90"/>
      <c r="AIY215" s="90"/>
      <c r="AIZ215" s="90"/>
      <c r="AJA215" s="90"/>
      <c r="AJB215" s="90"/>
      <c r="AJC215" s="90"/>
      <c r="AJD215" s="90"/>
      <c r="AJE215" s="90"/>
      <c r="AJF215" s="90"/>
      <c r="AJG215" s="90"/>
      <c r="AJH215" s="90"/>
      <c r="AJI215" s="90"/>
      <c r="AJJ215" s="90"/>
      <c r="AJK215" s="90"/>
      <c r="AJL215" s="90"/>
      <c r="AJM215" s="90"/>
      <c r="AJN215" s="90"/>
      <c r="AJO215" s="90"/>
      <c r="AJP215" s="90"/>
      <c r="AJQ215" s="90"/>
      <c r="AJR215" s="90"/>
      <c r="AJS215" s="90"/>
      <c r="AJT215" s="90"/>
      <c r="AJU215" s="90"/>
      <c r="AJV215" s="90"/>
      <c r="AJW215" s="90"/>
      <c r="AJX215" s="90"/>
      <c r="AJY215" s="90"/>
      <c r="AJZ215" s="90"/>
      <c r="AKA215" s="90"/>
      <c r="AKB215" s="90"/>
      <c r="AKC215" s="90"/>
      <c r="AKD215" s="90"/>
      <c r="AKE215" s="90"/>
      <c r="AKF215" s="90"/>
      <c r="AKG215" s="90"/>
      <c r="AKH215" s="90"/>
      <c r="AKI215" s="90"/>
      <c r="AKJ215" s="90"/>
      <c r="AKK215" s="90"/>
      <c r="AKL215" s="90"/>
      <c r="AKM215" s="90"/>
      <c r="AKN215" s="90"/>
      <c r="AKO215" s="90"/>
      <c r="AKP215" s="90"/>
      <c r="AKQ215" s="90"/>
      <c r="AKR215" s="90"/>
      <c r="AKS215" s="90"/>
      <c r="AKT215" s="90"/>
      <c r="AKU215" s="90"/>
      <c r="AKV215" s="90"/>
      <c r="AKW215" s="90"/>
      <c r="AKX215" s="90"/>
      <c r="AKY215" s="90"/>
      <c r="AKZ215" s="90"/>
      <c r="ALA215" s="90"/>
      <c r="ALB215" s="90"/>
      <c r="ALC215" s="90"/>
      <c r="ALD215" s="90"/>
      <c r="ALE215" s="90"/>
      <c r="ALF215" s="90"/>
      <c r="ALG215" s="90"/>
      <c r="ALH215" s="90"/>
      <c r="ALI215" s="90"/>
      <c r="ALJ215" s="90"/>
      <c r="ALK215" s="90"/>
      <c r="ALL215" s="90"/>
      <c r="ALM215" s="90"/>
      <c r="ALN215" s="90"/>
      <c r="ALO215" s="90"/>
      <c r="ALP215" s="90"/>
      <c r="ALQ215" s="90"/>
      <c r="ALR215" s="90"/>
      <c r="ALS215" s="90"/>
      <c r="ALT215" s="90"/>
      <c r="ALU215" s="90"/>
      <c r="ALV215" s="90"/>
      <c r="ALW215" s="90"/>
      <c r="ALX215" s="90"/>
      <c r="ALY215" s="90"/>
      <c r="ALZ215" s="90"/>
      <c r="AMA215" s="90"/>
      <c r="AMB215" s="90"/>
      <c r="AMC215" s="90"/>
    </row>
    <row r="216" spans="1:1017">
      <c r="A216" s="98" t="s">
        <v>50</v>
      </c>
      <c r="B216" s="90" t="str">
        <f t="shared" si="1453"/>
        <v>Kerong Kerong</v>
      </c>
      <c r="Q216" s="91">
        <f t="shared" si="1454"/>
        <v>0</v>
      </c>
      <c r="R216" s="91">
        <f t="shared" si="1455"/>
        <v>0</v>
      </c>
      <c r="AG216" s="91">
        <f t="shared" si="1456"/>
        <v>0</v>
      </c>
      <c r="AH216" s="91">
        <f t="shared" si="1457"/>
        <v>0</v>
      </c>
      <c r="AW216" s="91">
        <f t="shared" si="1458"/>
        <v>0</v>
      </c>
      <c r="AX216" s="91">
        <f t="shared" si="1459"/>
        <v>0</v>
      </c>
      <c r="BM216" s="91">
        <f t="shared" si="1460"/>
        <v>0</v>
      </c>
      <c r="BN216" s="91">
        <f t="shared" si="1461"/>
        <v>0</v>
      </c>
      <c r="CC216" s="91">
        <f t="shared" si="1462"/>
        <v>0</v>
      </c>
      <c r="CD216" s="91">
        <f t="shared" si="1463"/>
        <v>0</v>
      </c>
      <c r="CS216" s="91">
        <f t="shared" si="1548"/>
        <v>0</v>
      </c>
      <c r="CT216" s="91">
        <f t="shared" si="1549"/>
        <v>0</v>
      </c>
      <c r="DI216" s="91">
        <f t="shared" si="1466"/>
        <v>0</v>
      </c>
      <c r="DJ216" s="91">
        <f t="shared" si="1467"/>
        <v>0</v>
      </c>
      <c r="DY216" s="91">
        <f t="shared" si="1468"/>
        <v>0</v>
      </c>
      <c r="DZ216" s="91">
        <f t="shared" si="1469"/>
        <v>0</v>
      </c>
      <c r="EO216" s="91">
        <f t="shared" si="1470"/>
        <v>0</v>
      </c>
      <c r="EP216" s="91">
        <f t="shared" si="1471"/>
        <v>0</v>
      </c>
      <c r="FE216" s="91">
        <f t="shared" si="1472"/>
        <v>0</v>
      </c>
      <c r="FF216" s="91">
        <f t="shared" si="1473"/>
        <v>0</v>
      </c>
      <c r="FU216" s="91">
        <f t="shared" si="1474"/>
        <v>0</v>
      </c>
      <c r="FV216" s="91">
        <f t="shared" si="1475"/>
        <v>0</v>
      </c>
      <c r="GK216" s="91">
        <f t="shared" si="1476"/>
        <v>0</v>
      </c>
      <c r="GL216" s="91">
        <f t="shared" si="1477"/>
        <v>0</v>
      </c>
      <c r="HA216" s="91">
        <f t="shared" si="1478"/>
        <v>0</v>
      </c>
      <c r="HB216" s="91">
        <f t="shared" si="1479"/>
        <v>0</v>
      </c>
      <c r="HQ216" s="91">
        <f t="shared" si="1480"/>
        <v>0</v>
      </c>
      <c r="HR216" s="91">
        <f t="shared" si="1481"/>
        <v>0</v>
      </c>
      <c r="IG216" s="91">
        <f t="shared" si="1482"/>
        <v>0</v>
      </c>
      <c r="IH216" s="91">
        <f t="shared" si="1483"/>
        <v>0</v>
      </c>
      <c r="IW216" s="91">
        <f t="shared" si="1484"/>
        <v>0</v>
      </c>
      <c r="IX216" s="91">
        <f t="shared" si="1485"/>
        <v>0</v>
      </c>
      <c r="JM216" s="91">
        <f t="shared" si="1486"/>
        <v>0</v>
      </c>
      <c r="JN216" s="91">
        <f t="shared" si="1487"/>
        <v>0</v>
      </c>
      <c r="KC216" s="91">
        <f t="shared" si="1488"/>
        <v>0</v>
      </c>
      <c r="KD216" s="91">
        <f t="shared" si="1489"/>
        <v>0</v>
      </c>
      <c r="KS216" s="91">
        <f t="shared" si="1490"/>
        <v>0</v>
      </c>
      <c r="KT216" s="91">
        <f t="shared" si="1491"/>
        <v>0</v>
      </c>
      <c r="LI216" s="91">
        <f t="shared" si="1492"/>
        <v>0</v>
      </c>
      <c r="LJ216" s="91">
        <f t="shared" si="1493"/>
        <v>0</v>
      </c>
      <c r="LY216" s="91">
        <f t="shared" si="1494"/>
        <v>0</v>
      </c>
      <c r="LZ216" s="91">
        <f t="shared" si="1495"/>
        <v>0</v>
      </c>
      <c r="MO216" s="91">
        <f t="shared" si="1496"/>
        <v>0</v>
      </c>
      <c r="MP216" s="91">
        <f t="shared" si="1497"/>
        <v>0</v>
      </c>
      <c r="NE216" s="91">
        <f t="shared" si="1498"/>
        <v>0</v>
      </c>
      <c r="NF216" s="91">
        <f t="shared" si="1499"/>
        <v>0</v>
      </c>
      <c r="NU216" s="91">
        <f t="shared" si="1500"/>
        <v>0</v>
      </c>
      <c r="NV216" s="91">
        <f t="shared" si="1501"/>
        <v>0</v>
      </c>
      <c r="OK216" s="91">
        <f t="shared" si="1502"/>
        <v>0</v>
      </c>
      <c r="OL216" s="91">
        <f t="shared" si="1503"/>
        <v>0</v>
      </c>
      <c r="PA216" s="91">
        <f t="shared" si="1504"/>
        <v>0</v>
      </c>
      <c r="PB216" s="91">
        <f t="shared" si="1505"/>
        <v>0</v>
      </c>
      <c r="PQ216" s="91">
        <f t="shared" si="1506"/>
        <v>0</v>
      </c>
      <c r="PR216" s="91">
        <f t="shared" si="1507"/>
        <v>0</v>
      </c>
      <c r="QG216" s="91">
        <f t="shared" si="1508"/>
        <v>0</v>
      </c>
      <c r="QH216" s="91">
        <f t="shared" si="1509"/>
        <v>0</v>
      </c>
      <c r="QW216" s="91">
        <f t="shared" si="1510"/>
        <v>0</v>
      </c>
      <c r="QX216" s="91">
        <f t="shared" si="1511"/>
        <v>0</v>
      </c>
      <c r="RM216" s="91">
        <f t="shared" si="1512"/>
        <v>0</v>
      </c>
      <c r="RN216" s="91">
        <f t="shared" si="1513"/>
        <v>0</v>
      </c>
      <c r="SC216" s="91">
        <f t="shared" si="1514"/>
        <v>0</v>
      </c>
      <c r="SD216" s="91">
        <f t="shared" si="1515"/>
        <v>0</v>
      </c>
      <c r="SS216" s="91">
        <f t="shared" si="1516"/>
        <v>0</v>
      </c>
      <c r="ST216" s="91">
        <f t="shared" si="1517"/>
        <v>0</v>
      </c>
      <c r="TI216" s="91">
        <f t="shared" si="1518"/>
        <v>0</v>
      </c>
      <c r="TJ216" s="91">
        <f t="shared" si="1519"/>
        <v>0</v>
      </c>
      <c r="TY216" s="91">
        <f t="shared" si="1520"/>
        <v>0</v>
      </c>
      <c r="TZ216" s="91">
        <f t="shared" si="1521"/>
        <v>0</v>
      </c>
      <c r="UO216" s="91">
        <f t="shared" si="1522"/>
        <v>0</v>
      </c>
      <c r="UP216" s="91">
        <f t="shared" si="1523"/>
        <v>0</v>
      </c>
      <c r="VE216" s="91">
        <f t="shared" si="1524"/>
        <v>0</v>
      </c>
      <c r="VF216" s="91">
        <f t="shared" si="1525"/>
        <v>0</v>
      </c>
      <c r="VM216" s="98">
        <v>15560</v>
      </c>
      <c r="VN216" s="98">
        <v>295640</v>
      </c>
      <c r="VU216" s="91">
        <f t="shared" si="1526"/>
        <v>15560</v>
      </c>
      <c r="VV216" s="91">
        <f t="shared" si="1527"/>
        <v>295640</v>
      </c>
      <c r="WK216" s="91">
        <f t="shared" si="1528"/>
        <v>0</v>
      </c>
      <c r="WL216" s="91">
        <f t="shared" si="1529"/>
        <v>0</v>
      </c>
      <c r="WM216" s="89"/>
      <c r="WN216" s="87">
        <f t="shared" si="1530"/>
        <v>0</v>
      </c>
      <c r="WO216" s="87">
        <f t="shared" si="1531"/>
        <v>0</v>
      </c>
      <c r="WP216" s="87">
        <f t="shared" si="1532"/>
        <v>0</v>
      </c>
      <c r="WQ216" s="87">
        <f t="shared" si="1533"/>
        <v>0</v>
      </c>
      <c r="WR216" s="87">
        <f t="shared" si="1534"/>
        <v>0</v>
      </c>
      <c r="WS216" s="87">
        <f t="shared" si="1535"/>
        <v>0</v>
      </c>
      <c r="WT216" s="87">
        <f t="shared" si="1536"/>
        <v>15560</v>
      </c>
      <c r="WU216" s="87">
        <f t="shared" si="1537"/>
        <v>295640</v>
      </c>
      <c r="WV216" s="87">
        <f t="shared" si="1538"/>
        <v>0</v>
      </c>
      <c r="WW216" s="87">
        <f t="shared" si="1539"/>
        <v>0</v>
      </c>
      <c r="WX216" s="87">
        <f t="shared" si="1540"/>
        <v>0</v>
      </c>
      <c r="WY216" s="87">
        <f t="shared" si="1541"/>
        <v>0</v>
      </c>
      <c r="WZ216" s="87">
        <f t="shared" si="1542"/>
        <v>0</v>
      </c>
      <c r="XA216" s="87">
        <f t="shared" si="1543"/>
        <v>0</v>
      </c>
      <c r="XB216" s="92">
        <f t="shared" si="1544"/>
        <v>15560</v>
      </c>
      <c r="XC216" s="92">
        <f t="shared" si="1545"/>
        <v>295640</v>
      </c>
      <c r="XD216" s="89"/>
      <c r="XE216" s="92"/>
      <c r="XF216" s="92"/>
      <c r="XG216" s="89"/>
      <c r="XH216" s="92"/>
      <c r="XI216" s="92"/>
      <c r="XJ216" s="89"/>
      <c r="XK216" s="87"/>
      <c r="XL216" s="87"/>
      <c r="XM216" s="87"/>
      <c r="XN216" s="87"/>
      <c r="XO216" s="87"/>
      <c r="XP216" s="87"/>
      <c r="XQ216" s="87"/>
      <c r="XR216" s="92">
        <f t="shared" ca="1" si="1546"/>
        <v>0</v>
      </c>
      <c r="XS216" s="89"/>
      <c r="XT216" s="87"/>
      <c r="XU216" s="87"/>
      <c r="XV216" s="87"/>
      <c r="XW216" s="87"/>
      <c r="XX216" s="87"/>
      <c r="XY216" s="87"/>
      <c r="XZ216" s="87"/>
      <c r="YA216" s="92">
        <f t="shared" ca="1" si="1547"/>
        <v>0</v>
      </c>
      <c r="YB216" s="90"/>
      <c r="YC216" s="90"/>
      <c r="YD216" s="90"/>
      <c r="YE216" s="90"/>
      <c r="YF216" s="90"/>
      <c r="YG216" s="90"/>
      <c r="YH216" s="90"/>
      <c r="YI216" s="90"/>
      <c r="YJ216" s="90"/>
      <c r="YK216" s="90"/>
      <c r="YL216" s="90"/>
      <c r="YM216" s="90"/>
      <c r="YN216" s="90"/>
      <c r="YO216" s="90"/>
      <c r="YP216" s="90"/>
      <c r="YQ216" s="90"/>
      <c r="YR216" s="90"/>
      <c r="YS216" s="90"/>
      <c r="YT216" s="90"/>
      <c r="YU216" s="90"/>
      <c r="YV216" s="90"/>
      <c r="YW216" s="90"/>
      <c r="YX216" s="90"/>
      <c r="YY216" s="90"/>
      <c r="YZ216" s="90"/>
      <c r="ZA216" s="90"/>
      <c r="ZB216" s="90"/>
      <c r="ZC216" s="90"/>
      <c r="ZD216" s="90"/>
      <c r="ZE216" s="90"/>
      <c r="ZF216" s="90"/>
      <c r="ZG216" s="90"/>
      <c r="ZH216" s="90"/>
      <c r="ZI216" s="90"/>
      <c r="ZJ216" s="90"/>
      <c r="ZK216" s="90"/>
      <c r="ZL216" s="90"/>
      <c r="ZM216" s="90"/>
      <c r="ZN216" s="90"/>
      <c r="ZO216" s="90"/>
      <c r="ZP216" s="90"/>
      <c r="ZQ216" s="90"/>
      <c r="ZR216" s="90"/>
      <c r="ZS216" s="90"/>
      <c r="ZT216" s="90"/>
      <c r="ZU216" s="90"/>
      <c r="ZV216" s="90"/>
      <c r="ZW216" s="90"/>
      <c r="ZX216" s="90"/>
      <c r="ZY216" s="90"/>
      <c r="ZZ216" s="90"/>
      <c r="AAA216" s="90"/>
      <c r="AAB216" s="90"/>
      <c r="AAC216" s="90"/>
      <c r="AAD216" s="90"/>
      <c r="AAE216" s="90"/>
      <c r="AAF216" s="90"/>
      <c r="AAG216" s="90"/>
      <c r="AAH216" s="90"/>
      <c r="AAI216" s="90"/>
      <c r="AAJ216" s="90"/>
      <c r="AAK216" s="90"/>
      <c r="AAL216" s="90"/>
      <c r="AAM216" s="90"/>
      <c r="AAN216" s="90"/>
      <c r="AAO216" s="90"/>
      <c r="AAP216" s="90"/>
      <c r="AAQ216" s="90"/>
      <c r="AAR216" s="90"/>
      <c r="AAS216" s="90"/>
      <c r="AAT216" s="90"/>
      <c r="AAU216" s="90"/>
      <c r="AAV216" s="90"/>
      <c r="AAW216" s="90"/>
      <c r="AAX216" s="90"/>
      <c r="AAY216" s="90"/>
      <c r="AAZ216" s="90"/>
      <c r="ABA216" s="90"/>
      <c r="ABB216" s="90"/>
      <c r="ABC216" s="90"/>
      <c r="ABD216" s="90"/>
      <c r="ABE216" s="90"/>
      <c r="ABF216" s="90"/>
      <c r="ABG216" s="90"/>
      <c r="ABH216" s="90"/>
      <c r="ABI216" s="90"/>
      <c r="ABJ216" s="90"/>
      <c r="ABK216" s="90"/>
      <c r="ABL216" s="90"/>
      <c r="ABM216" s="90"/>
      <c r="ABN216" s="90"/>
      <c r="ABO216" s="90"/>
      <c r="ABP216" s="90"/>
      <c r="ABQ216" s="90"/>
      <c r="ABR216" s="90"/>
      <c r="ABS216" s="90"/>
      <c r="ABT216" s="90"/>
      <c r="ABU216" s="90"/>
      <c r="ABV216" s="90"/>
      <c r="ABW216" s="90"/>
      <c r="ABX216" s="90"/>
      <c r="ABY216" s="90"/>
      <c r="ABZ216" s="90"/>
      <c r="ACA216" s="90"/>
      <c r="ACB216" s="90"/>
      <c r="ACC216" s="90"/>
      <c r="ACD216" s="90"/>
      <c r="ACE216" s="90"/>
      <c r="ACF216" s="90"/>
      <c r="ACG216" s="90"/>
      <c r="ACH216" s="90"/>
      <c r="ACI216" s="90"/>
      <c r="ACJ216" s="90"/>
      <c r="ACK216" s="90"/>
      <c r="ACL216" s="90"/>
      <c r="ACM216" s="90"/>
      <c r="ACN216" s="90"/>
      <c r="ACO216" s="90"/>
      <c r="ACP216" s="90"/>
      <c r="ACQ216" s="90"/>
      <c r="ACR216" s="90"/>
      <c r="ACS216" s="90"/>
      <c r="ACT216" s="90"/>
      <c r="ACU216" s="90"/>
      <c r="ACV216" s="90"/>
      <c r="ACW216" s="90"/>
      <c r="ACX216" s="90"/>
      <c r="ACY216" s="90"/>
      <c r="ACZ216" s="90"/>
      <c r="ADA216" s="90"/>
      <c r="ADB216" s="90"/>
      <c r="ADC216" s="90"/>
      <c r="ADD216" s="90"/>
      <c r="ADE216" s="90"/>
      <c r="ADF216" s="90"/>
      <c r="ADG216" s="90"/>
      <c r="ADH216" s="90"/>
      <c r="ADI216" s="90"/>
      <c r="ADJ216" s="90"/>
      <c r="ADK216" s="90"/>
      <c r="ADL216" s="90"/>
      <c r="ADM216" s="90"/>
      <c r="ADN216" s="90"/>
      <c r="ADO216" s="90"/>
      <c r="ADP216" s="90"/>
      <c r="ADQ216" s="90"/>
      <c r="ADR216" s="90"/>
      <c r="ADS216" s="90"/>
      <c r="ADT216" s="90"/>
      <c r="ADU216" s="90"/>
      <c r="ADV216" s="90"/>
      <c r="ADW216" s="90"/>
      <c r="ADX216" s="90"/>
      <c r="ADY216" s="90"/>
      <c r="ADZ216" s="90"/>
      <c r="AEA216" s="90"/>
      <c r="AEB216" s="90"/>
      <c r="AEC216" s="90"/>
      <c r="AED216" s="90"/>
      <c r="AEE216" s="90"/>
      <c r="AEF216" s="90"/>
      <c r="AEG216" s="90"/>
      <c r="AEH216" s="90"/>
      <c r="AEI216" s="90"/>
      <c r="AEJ216" s="90"/>
      <c r="AEK216" s="90"/>
      <c r="AEL216" s="90"/>
      <c r="AEM216" s="90"/>
      <c r="AEN216" s="90"/>
      <c r="AEO216" s="90"/>
      <c r="AEP216" s="90"/>
      <c r="AEQ216" s="90"/>
      <c r="AER216" s="90"/>
      <c r="AES216" s="90"/>
      <c r="AET216" s="90"/>
      <c r="AEU216" s="90"/>
      <c r="AEV216" s="90"/>
      <c r="AEW216" s="90"/>
      <c r="AEX216" s="90"/>
      <c r="AEY216" s="90"/>
      <c r="AEZ216" s="90"/>
      <c r="AFA216" s="90"/>
      <c r="AFB216" s="90"/>
      <c r="AFC216" s="90"/>
      <c r="AFD216" s="90"/>
      <c r="AFE216" s="90"/>
      <c r="AFF216" s="90"/>
      <c r="AFG216" s="90"/>
      <c r="AFH216" s="90"/>
      <c r="AFI216" s="90"/>
      <c r="AFJ216" s="90"/>
      <c r="AFK216" s="90"/>
      <c r="AFL216" s="90"/>
      <c r="AFM216" s="90"/>
      <c r="AFN216" s="90"/>
      <c r="AFO216" s="90"/>
      <c r="AFP216" s="90"/>
      <c r="AFQ216" s="90"/>
      <c r="AFR216" s="90"/>
      <c r="AFS216" s="90"/>
      <c r="AFT216" s="90"/>
      <c r="AFU216" s="90"/>
      <c r="AFV216" s="90"/>
      <c r="AFW216" s="90"/>
      <c r="AFX216" s="90"/>
      <c r="AFY216" s="90"/>
      <c r="AFZ216" s="90"/>
      <c r="AGA216" s="90"/>
      <c r="AGB216" s="90"/>
      <c r="AGC216" s="90"/>
      <c r="AGD216" s="90"/>
      <c r="AGE216" s="90"/>
      <c r="AGF216" s="90"/>
      <c r="AGG216" s="90"/>
      <c r="AGH216" s="90"/>
      <c r="AGI216" s="90"/>
      <c r="AGJ216" s="90"/>
      <c r="AGK216" s="90"/>
      <c r="AGL216" s="90"/>
      <c r="AGM216" s="90"/>
      <c r="AGN216" s="90"/>
      <c r="AGO216" s="90"/>
      <c r="AGP216" s="90"/>
      <c r="AGQ216" s="90"/>
      <c r="AGR216" s="90"/>
      <c r="AGS216" s="90"/>
      <c r="AGT216" s="90"/>
      <c r="AGU216" s="90"/>
      <c r="AGV216" s="90"/>
      <c r="AGW216" s="90"/>
      <c r="AGX216" s="90"/>
      <c r="AGY216" s="90"/>
      <c r="AGZ216" s="90"/>
      <c r="AHA216" s="90"/>
      <c r="AHB216" s="90"/>
      <c r="AHC216" s="90"/>
      <c r="AHD216" s="90"/>
      <c r="AHE216" s="90"/>
      <c r="AHF216" s="90"/>
      <c r="AHG216" s="90"/>
      <c r="AHH216" s="90"/>
      <c r="AHI216" s="90"/>
      <c r="AHJ216" s="90"/>
      <c r="AHK216" s="90"/>
      <c r="AHL216" s="90"/>
      <c r="AHM216" s="90"/>
      <c r="AHN216" s="90"/>
      <c r="AHO216" s="90"/>
      <c r="AHP216" s="90"/>
      <c r="AHQ216" s="90"/>
      <c r="AHR216" s="90"/>
      <c r="AHS216" s="90"/>
      <c r="AHT216" s="90"/>
      <c r="AHU216" s="90"/>
      <c r="AHV216" s="90"/>
      <c r="AHW216" s="90"/>
      <c r="AHX216" s="90"/>
      <c r="AHY216" s="90"/>
      <c r="AHZ216" s="90"/>
      <c r="AIA216" s="90"/>
      <c r="AIB216" s="90"/>
      <c r="AIC216" s="90"/>
      <c r="AID216" s="90"/>
      <c r="AIE216" s="90"/>
      <c r="AIF216" s="90"/>
      <c r="AIG216" s="90"/>
      <c r="AIH216" s="90"/>
      <c r="AII216" s="90"/>
      <c r="AIJ216" s="90"/>
      <c r="AIK216" s="90"/>
      <c r="AIL216" s="90"/>
      <c r="AIM216" s="90"/>
      <c r="AIN216" s="90"/>
      <c r="AIO216" s="90"/>
      <c r="AIP216" s="90"/>
      <c r="AIQ216" s="90"/>
      <c r="AIR216" s="90"/>
      <c r="AIS216" s="90"/>
      <c r="AIT216" s="90"/>
      <c r="AIU216" s="90"/>
      <c r="AIV216" s="90"/>
      <c r="AIW216" s="90"/>
      <c r="AIX216" s="90"/>
      <c r="AIY216" s="90"/>
      <c r="AIZ216" s="90"/>
      <c r="AJA216" s="90"/>
      <c r="AJB216" s="90"/>
      <c r="AJC216" s="90"/>
      <c r="AJD216" s="90"/>
      <c r="AJE216" s="90"/>
      <c r="AJF216" s="90"/>
      <c r="AJG216" s="90"/>
      <c r="AJH216" s="90"/>
      <c r="AJI216" s="90"/>
      <c r="AJJ216" s="90"/>
      <c r="AJK216" s="90"/>
      <c r="AJL216" s="90"/>
      <c r="AJM216" s="90"/>
      <c r="AJN216" s="90"/>
      <c r="AJO216" s="90"/>
      <c r="AJP216" s="90"/>
      <c r="AJQ216" s="90"/>
      <c r="AJR216" s="90"/>
      <c r="AJS216" s="90"/>
      <c r="AJT216" s="90"/>
      <c r="AJU216" s="90"/>
      <c r="AJV216" s="90"/>
      <c r="AJW216" s="90"/>
      <c r="AJX216" s="90"/>
      <c r="AJY216" s="90"/>
      <c r="AJZ216" s="90"/>
      <c r="AKA216" s="90"/>
      <c r="AKB216" s="90"/>
      <c r="AKC216" s="90"/>
      <c r="AKD216" s="90"/>
      <c r="AKE216" s="90"/>
      <c r="AKF216" s="90"/>
      <c r="AKG216" s="90"/>
      <c r="AKH216" s="90"/>
      <c r="AKI216" s="90"/>
      <c r="AKJ216" s="90"/>
      <c r="AKK216" s="90"/>
      <c r="AKL216" s="90"/>
      <c r="AKM216" s="90"/>
      <c r="AKN216" s="90"/>
      <c r="AKO216" s="90"/>
      <c r="AKP216" s="90"/>
      <c r="AKQ216" s="90"/>
      <c r="AKR216" s="90"/>
      <c r="AKS216" s="90"/>
      <c r="AKT216" s="90"/>
      <c r="AKU216" s="90"/>
      <c r="AKV216" s="90"/>
      <c r="AKW216" s="90"/>
      <c r="AKX216" s="90"/>
      <c r="AKY216" s="90"/>
      <c r="AKZ216" s="90"/>
      <c r="ALA216" s="90"/>
      <c r="ALB216" s="90"/>
      <c r="ALC216" s="90"/>
      <c r="ALD216" s="90"/>
      <c r="ALE216" s="90"/>
      <c r="ALF216" s="90"/>
      <c r="ALG216" s="90"/>
      <c r="ALH216" s="90"/>
      <c r="ALI216" s="90"/>
      <c r="ALJ216" s="90"/>
      <c r="ALK216" s="90"/>
      <c r="ALL216" s="90"/>
      <c r="ALM216" s="90"/>
      <c r="ALN216" s="90"/>
      <c r="ALO216" s="90"/>
      <c r="ALP216" s="90"/>
      <c r="ALQ216" s="90"/>
      <c r="ALR216" s="90"/>
      <c r="ALS216" s="90"/>
      <c r="ALT216" s="90"/>
      <c r="ALU216" s="90"/>
      <c r="ALV216" s="90"/>
      <c r="ALW216" s="90"/>
      <c r="ALX216" s="90"/>
      <c r="ALY216" s="90"/>
      <c r="ALZ216" s="90"/>
      <c r="AMA216" s="90"/>
      <c r="AMB216" s="90"/>
      <c r="AMC216" s="90"/>
    </row>
    <row r="217" spans="1:1017">
      <c r="A217" s="98" t="s">
        <v>50</v>
      </c>
      <c r="B217" s="90" t="str">
        <f t="shared" si="1453"/>
        <v xml:space="preserve">Lele </v>
      </c>
      <c r="I217" s="98">
        <v>21600</v>
      </c>
      <c r="J217" s="98">
        <v>432000</v>
      </c>
      <c r="M217" s="98">
        <v>100</v>
      </c>
      <c r="N217" s="98">
        <v>2000</v>
      </c>
      <c r="Q217" s="91">
        <f t="shared" si="1454"/>
        <v>21700</v>
      </c>
      <c r="R217" s="91">
        <f t="shared" si="1455"/>
        <v>434000</v>
      </c>
      <c r="Y217" s="98">
        <v>523195</v>
      </c>
      <c r="Z217" s="98">
        <v>10463900</v>
      </c>
      <c r="AE217" s="98">
        <v>880</v>
      </c>
      <c r="AF217" s="98">
        <v>17600</v>
      </c>
      <c r="AG217" s="91">
        <f t="shared" si="1456"/>
        <v>524075</v>
      </c>
      <c r="AH217" s="91">
        <f t="shared" si="1457"/>
        <v>10481500</v>
      </c>
      <c r="AO217" s="98">
        <v>769000</v>
      </c>
      <c r="AP217" s="98">
        <v>13073000</v>
      </c>
      <c r="AW217" s="91">
        <f t="shared" si="1458"/>
        <v>769000</v>
      </c>
      <c r="AX217" s="91">
        <f t="shared" si="1459"/>
        <v>13073000</v>
      </c>
      <c r="BE217" s="98">
        <v>275762</v>
      </c>
      <c r="BF217" s="98">
        <v>5239478</v>
      </c>
      <c r="BM217" s="91">
        <f t="shared" si="1460"/>
        <v>275762</v>
      </c>
      <c r="BN217" s="91">
        <f t="shared" si="1461"/>
        <v>5239478</v>
      </c>
      <c r="BU217" s="98">
        <v>60447</v>
      </c>
      <c r="BV217" s="98">
        <v>1208940</v>
      </c>
      <c r="CC217" s="91">
        <f t="shared" si="1462"/>
        <v>60447</v>
      </c>
      <c r="CD217" s="91">
        <f t="shared" si="1463"/>
        <v>1208940</v>
      </c>
      <c r="CK217" s="98">
        <v>216995.21344031999</v>
      </c>
      <c r="CL217" s="98">
        <v>4122909.0553660798</v>
      </c>
      <c r="CS217" s="91">
        <f t="shared" si="1548"/>
        <v>216995.21344031999</v>
      </c>
      <c r="CT217" s="91">
        <f t="shared" si="1549"/>
        <v>4122909.0553660798</v>
      </c>
      <c r="DA217" s="98">
        <v>510703</v>
      </c>
      <c r="DB217" s="98">
        <v>9448006</v>
      </c>
      <c r="DI217" s="91">
        <f t="shared" si="1466"/>
        <v>510703</v>
      </c>
      <c r="DJ217" s="91">
        <f t="shared" si="1467"/>
        <v>9448006</v>
      </c>
      <c r="DQ217" s="98">
        <v>527800</v>
      </c>
      <c r="DR217" s="98">
        <v>9764300</v>
      </c>
      <c r="DY217" s="91">
        <f t="shared" si="1468"/>
        <v>527800</v>
      </c>
      <c r="DZ217" s="91">
        <f t="shared" si="1469"/>
        <v>9764300</v>
      </c>
      <c r="EG217" s="98">
        <v>1665000</v>
      </c>
      <c r="EH217" s="98">
        <v>29970000</v>
      </c>
      <c r="EO217" s="91">
        <f t="shared" si="1470"/>
        <v>1665000</v>
      </c>
      <c r="EP217" s="91">
        <f t="shared" si="1471"/>
        <v>29970000</v>
      </c>
      <c r="EW217" s="98">
        <v>469609</v>
      </c>
      <c r="EX217" s="98">
        <v>7983353</v>
      </c>
      <c r="EZ217" s="98" t="s">
        <v>384</v>
      </c>
      <c r="FA217" s="98">
        <v>9253</v>
      </c>
      <c r="FB217" s="98">
        <v>157301</v>
      </c>
      <c r="FE217" s="91">
        <f t="shared" si="1472"/>
        <v>478862</v>
      </c>
      <c r="FF217" s="91">
        <f t="shared" si="1473"/>
        <v>8140654</v>
      </c>
      <c r="FM217" s="98">
        <v>95132</v>
      </c>
      <c r="FN217" s="98">
        <v>1759942</v>
      </c>
      <c r="FU217" s="91">
        <f t="shared" si="1474"/>
        <v>95132</v>
      </c>
      <c r="FV217" s="91">
        <f t="shared" si="1475"/>
        <v>1759942</v>
      </c>
      <c r="GC217" s="98">
        <v>218000</v>
      </c>
      <c r="GD217" s="98">
        <v>4033000</v>
      </c>
      <c r="GK217" s="91">
        <f t="shared" si="1476"/>
        <v>218000</v>
      </c>
      <c r="GL217" s="91">
        <f t="shared" si="1477"/>
        <v>4033000</v>
      </c>
      <c r="GS217" s="98">
        <v>139000</v>
      </c>
      <c r="GT217" s="98">
        <v>2571500</v>
      </c>
      <c r="HA217" s="91">
        <f t="shared" si="1478"/>
        <v>139000</v>
      </c>
      <c r="HB217" s="91">
        <f t="shared" si="1479"/>
        <v>2571500</v>
      </c>
      <c r="HI217" s="98">
        <v>560000</v>
      </c>
      <c r="HJ217" s="98">
        <v>10080000</v>
      </c>
      <c r="HQ217" s="91">
        <f t="shared" si="1480"/>
        <v>560000</v>
      </c>
      <c r="HR217" s="91">
        <f t="shared" si="1481"/>
        <v>10080000</v>
      </c>
      <c r="HY217" s="98">
        <v>139327</v>
      </c>
      <c r="HZ217" s="98">
        <v>2507886</v>
      </c>
      <c r="IG217" s="91">
        <f t="shared" si="1482"/>
        <v>139327</v>
      </c>
      <c r="IH217" s="91">
        <f t="shared" si="1483"/>
        <v>2507886</v>
      </c>
      <c r="IO217" s="98">
        <v>839200</v>
      </c>
      <c r="IP217" s="98">
        <v>15525200</v>
      </c>
      <c r="IW217" s="91">
        <f t="shared" si="1484"/>
        <v>839200</v>
      </c>
      <c r="IX217" s="91">
        <f t="shared" si="1485"/>
        <v>15525200</v>
      </c>
      <c r="JE217" s="98">
        <v>328700</v>
      </c>
      <c r="JF217" s="98">
        <v>6080950</v>
      </c>
      <c r="JM217" s="91">
        <f t="shared" si="1486"/>
        <v>328700</v>
      </c>
      <c r="JN217" s="91">
        <f t="shared" si="1487"/>
        <v>6080950</v>
      </c>
      <c r="JU217" s="98">
        <v>67030</v>
      </c>
      <c r="JV217" s="98">
        <v>1608720</v>
      </c>
      <c r="KC217" s="91">
        <f t="shared" si="1488"/>
        <v>67030</v>
      </c>
      <c r="KD217" s="91">
        <f t="shared" si="1489"/>
        <v>1608720</v>
      </c>
      <c r="KK217" s="98">
        <v>59782</v>
      </c>
      <c r="KL217" s="98">
        <v>1195640</v>
      </c>
      <c r="KS217" s="91">
        <f t="shared" si="1490"/>
        <v>59782</v>
      </c>
      <c r="KT217" s="91">
        <f t="shared" si="1491"/>
        <v>1195640</v>
      </c>
      <c r="LA217" s="98">
        <v>1010403.62</v>
      </c>
      <c r="LB217" s="98">
        <v>18187265</v>
      </c>
      <c r="LI217" s="91">
        <f t="shared" si="1492"/>
        <v>1010403.62</v>
      </c>
      <c r="LJ217" s="91">
        <f t="shared" si="1493"/>
        <v>18187265</v>
      </c>
      <c r="LQ217" s="98">
        <v>146694</v>
      </c>
      <c r="LR217" s="98">
        <v>2640492</v>
      </c>
      <c r="LY217" s="91">
        <f t="shared" si="1494"/>
        <v>146694</v>
      </c>
      <c r="LZ217" s="91">
        <f t="shared" si="1495"/>
        <v>2640492</v>
      </c>
      <c r="MG217" s="98">
        <v>88800</v>
      </c>
      <c r="MH217" s="98">
        <v>1642800</v>
      </c>
      <c r="MO217" s="91">
        <f t="shared" si="1496"/>
        <v>88800</v>
      </c>
      <c r="MP217" s="91">
        <f t="shared" si="1497"/>
        <v>1642800</v>
      </c>
      <c r="MW217" s="98">
        <v>14859</v>
      </c>
      <c r="MX217" s="98">
        <v>341757</v>
      </c>
      <c r="NE217" s="91">
        <f t="shared" si="1498"/>
        <v>14859</v>
      </c>
      <c r="NF217" s="91">
        <f t="shared" si="1499"/>
        <v>341757</v>
      </c>
      <c r="NM217" s="98">
        <v>1474000</v>
      </c>
      <c r="NN217" s="98">
        <v>23584000</v>
      </c>
      <c r="NQ217" s="98">
        <v>1000</v>
      </c>
      <c r="NR217" s="98">
        <v>16000</v>
      </c>
      <c r="NU217" s="91">
        <f t="shared" si="1500"/>
        <v>1475000</v>
      </c>
      <c r="NV217" s="91">
        <f t="shared" si="1501"/>
        <v>23600000</v>
      </c>
      <c r="OC217" s="98">
        <v>50528</v>
      </c>
      <c r="OD217" s="98">
        <v>960032</v>
      </c>
      <c r="OK217" s="91">
        <f t="shared" si="1502"/>
        <v>50528</v>
      </c>
      <c r="OL217" s="91">
        <f t="shared" si="1503"/>
        <v>960032</v>
      </c>
      <c r="OS217" s="98">
        <v>33013</v>
      </c>
      <c r="OT217" s="98">
        <v>693273</v>
      </c>
      <c r="PA217" s="91">
        <f t="shared" si="1504"/>
        <v>33013</v>
      </c>
      <c r="PB217" s="91">
        <f t="shared" si="1505"/>
        <v>693273</v>
      </c>
      <c r="PI217" s="98">
        <v>365088</v>
      </c>
      <c r="PJ217" s="98">
        <v>6560550</v>
      </c>
      <c r="PQ217" s="91">
        <f t="shared" si="1506"/>
        <v>365088</v>
      </c>
      <c r="PR217" s="91">
        <f t="shared" si="1507"/>
        <v>6560550</v>
      </c>
      <c r="PY217" s="98">
        <v>417530</v>
      </c>
      <c r="PZ217" s="98">
        <v>7933070</v>
      </c>
      <c r="QC217" s="98">
        <v>109130</v>
      </c>
      <c r="QD217" s="98">
        <v>1964340</v>
      </c>
      <c r="QG217" s="91">
        <f t="shared" si="1508"/>
        <v>526660</v>
      </c>
      <c r="QH217" s="91">
        <f t="shared" si="1509"/>
        <v>9897410</v>
      </c>
      <c r="QO217" s="98">
        <v>960000</v>
      </c>
      <c r="QP217" s="98">
        <v>17280000</v>
      </c>
      <c r="QW217" s="91">
        <f t="shared" si="1510"/>
        <v>960000</v>
      </c>
      <c r="QX217" s="91">
        <f t="shared" si="1511"/>
        <v>17280000</v>
      </c>
      <c r="RE217" s="98">
        <v>2440</v>
      </c>
      <c r="RF217" s="98">
        <f>RE217*20</f>
        <v>48800</v>
      </c>
      <c r="RM217" s="91">
        <f t="shared" si="1512"/>
        <v>2440</v>
      </c>
      <c r="RN217" s="91">
        <f t="shared" si="1513"/>
        <v>48800</v>
      </c>
      <c r="RU217" s="98">
        <v>8760</v>
      </c>
      <c r="RV217" s="98">
        <v>157680</v>
      </c>
      <c r="SC217" s="91">
        <f t="shared" si="1514"/>
        <v>8760</v>
      </c>
      <c r="SD217" s="91">
        <f t="shared" si="1515"/>
        <v>157680</v>
      </c>
      <c r="SK217" s="98">
        <v>14300</v>
      </c>
      <c r="SL217" s="98">
        <v>271700</v>
      </c>
      <c r="SS217" s="91">
        <f t="shared" si="1516"/>
        <v>14300</v>
      </c>
      <c r="ST217" s="91">
        <f t="shared" si="1517"/>
        <v>271700</v>
      </c>
      <c r="TA217" s="98">
        <v>16760</v>
      </c>
      <c r="TB217" s="98">
        <v>306708</v>
      </c>
      <c r="TI217" s="91">
        <f t="shared" si="1518"/>
        <v>16760</v>
      </c>
      <c r="TJ217" s="91">
        <f t="shared" si="1519"/>
        <v>306708</v>
      </c>
      <c r="TQ217" s="98">
        <v>9600</v>
      </c>
      <c r="TR217" s="98">
        <v>182400</v>
      </c>
      <c r="TY217" s="91">
        <f t="shared" si="1520"/>
        <v>9600</v>
      </c>
      <c r="TZ217" s="91">
        <f t="shared" si="1521"/>
        <v>182400</v>
      </c>
      <c r="UG217" s="98">
        <v>17871</v>
      </c>
      <c r="UH217" s="98">
        <v>321678</v>
      </c>
      <c r="UO217" s="91">
        <f t="shared" si="1522"/>
        <v>17871</v>
      </c>
      <c r="UP217" s="91">
        <f t="shared" si="1523"/>
        <v>321678</v>
      </c>
      <c r="UW217" s="98">
        <v>1391</v>
      </c>
      <c r="UX217" s="98">
        <v>26429</v>
      </c>
      <c r="VE217" s="91">
        <f t="shared" si="1524"/>
        <v>1391</v>
      </c>
      <c r="VF217" s="91">
        <f t="shared" si="1525"/>
        <v>26429</v>
      </c>
      <c r="VU217" s="91">
        <f t="shared" si="1526"/>
        <v>0</v>
      </c>
      <c r="VV217" s="91">
        <f t="shared" si="1527"/>
        <v>0</v>
      </c>
      <c r="WC217" s="98">
        <v>153202</v>
      </c>
      <c r="WD217" s="98">
        <v>3064040</v>
      </c>
      <c r="WI217" s="98">
        <v>4452</v>
      </c>
      <c r="WJ217" s="98">
        <v>97944</v>
      </c>
      <c r="WK217" s="91">
        <f t="shared" si="1528"/>
        <v>157654</v>
      </c>
      <c r="WL217" s="91">
        <f t="shared" si="1529"/>
        <v>3161984</v>
      </c>
      <c r="WM217" s="89"/>
      <c r="WN217" s="87">
        <f t="shared" si="1530"/>
        <v>0</v>
      </c>
      <c r="WO217" s="87">
        <f t="shared" si="1531"/>
        <v>0</v>
      </c>
      <c r="WP217" s="87">
        <f t="shared" si="1532"/>
        <v>0</v>
      </c>
      <c r="WQ217" s="87">
        <f t="shared" si="1533"/>
        <v>0</v>
      </c>
      <c r="WR217" s="87">
        <f t="shared" si="1534"/>
        <v>0</v>
      </c>
      <c r="WS217" s="87">
        <f t="shared" si="1535"/>
        <v>0</v>
      </c>
      <c r="WT217" s="87">
        <f t="shared" si="1536"/>
        <v>12271521.833440319</v>
      </c>
      <c r="WU217" s="87">
        <f t="shared" si="1537"/>
        <v>221271398.05536607</v>
      </c>
      <c r="WV217" s="87">
        <f t="shared" si="1538"/>
        <v>0</v>
      </c>
      <c r="WW217" s="87">
        <f t="shared" si="1539"/>
        <v>0</v>
      </c>
      <c r="WX217" s="87">
        <f t="shared" si="1540"/>
        <v>119483</v>
      </c>
      <c r="WY217" s="87">
        <f t="shared" si="1541"/>
        <v>2139641</v>
      </c>
      <c r="WZ217" s="87">
        <f t="shared" si="1542"/>
        <v>5332</v>
      </c>
      <c r="XA217" s="87">
        <f t="shared" si="1543"/>
        <v>115544</v>
      </c>
      <c r="XB217" s="92">
        <f t="shared" si="1544"/>
        <v>12396336.833440319</v>
      </c>
      <c r="XC217" s="92">
        <f t="shared" si="1545"/>
        <v>223526583.05536607</v>
      </c>
      <c r="XD217" s="89"/>
      <c r="XE217" s="92"/>
      <c r="XF217" s="92"/>
      <c r="XG217" s="89"/>
      <c r="XH217" s="92"/>
      <c r="XI217" s="92"/>
      <c r="XJ217" s="89"/>
      <c r="XK217" s="87"/>
      <c r="XL217" s="87"/>
      <c r="XM217" s="87"/>
      <c r="XN217" s="87"/>
      <c r="XO217" s="87"/>
      <c r="XP217" s="87"/>
      <c r="XQ217" s="87"/>
      <c r="XR217" s="92">
        <f t="shared" ca="1" si="1546"/>
        <v>0</v>
      </c>
      <c r="XS217" s="89"/>
      <c r="XT217" s="87"/>
      <c r="XU217" s="87"/>
      <c r="XV217" s="87"/>
      <c r="XW217" s="87"/>
      <c r="XX217" s="87"/>
      <c r="XY217" s="87"/>
      <c r="XZ217" s="87"/>
      <c r="YA217" s="92">
        <f t="shared" ca="1" si="1547"/>
        <v>0</v>
      </c>
      <c r="YB217" s="90"/>
      <c r="YC217" s="90"/>
      <c r="YD217" s="90"/>
      <c r="YE217" s="90"/>
      <c r="YF217" s="90"/>
      <c r="YG217" s="90"/>
      <c r="YH217" s="90"/>
      <c r="YI217" s="90"/>
      <c r="YJ217" s="90"/>
      <c r="YK217" s="90"/>
      <c r="YL217" s="90"/>
      <c r="YM217" s="90"/>
      <c r="YN217" s="90"/>
      <c r="YO217" s="90"/>
      <c r="YP217" s="90"/>
      <c r="YQ217" s="90"/>
      <c r="YR217" s="90"/>
      <c r="YS217" s="90"/>
      <c r="YT217" s="90"/>
      <c r="YU217" s="90"/>
      <c r="YV217" s="90"/>
      <c r="YW217" s="90"/>
      <c r="YX217" s="90"/>
      <c r="YY217" s="90"/>
      <c r="YZ217" s="90"/>
      <c r="ZA217" s="90"/>
      <c r="ZB217" s="90"/>
      <c r="ZC217" s="90"/>
      <c r="ZD217" s="90"/>
      <c r="ZE217" s="90"/>
      <c r="ZF217" s="90"/>
      <c r="ZG217" s="90"/>
      <c r="ZH217" s="90"/>
      <c r="ZI217" s="90"/>
      <c r="ZJ217" s="90"/>
      <c r="ZK217" s="90"/>
      <c r="ZL217" s="90"/>
      <c r="ZM217" s="90"/>
      <c r="ZN217" s="90"/>
      <c r="ZO217" s="90"/>
      <c r="ZP217" s="90"/>
      <c r="ZQ217" s="90"/>
      <c r="ZR217" s="90"/>
      <c r="ZS217" s="90"/>
      <c r="ZT217" s="90"/>
      <c r="ZU217" s="90"/>
      <c r="ZV217" s="90"/>
      <c r="ZW217" s="90"/>
      <c r="ZX217" s="90"/>
      <c r="ZY217" s="90"/>
      <c r="ZZ217" s="90"/>
      <c r="AAA217" s="90"/>
      <c r="AAB217" s="90"/>
      <c r="AAC217" s="90"/>
      <c r="AAD217" s="90"/>
      <c r="AAE217" s="90"/>
      <c r="AAF217" s="90"/>
      <c r="AAG217" s="90"/>
      <c r="AAH217" s="90"/>
      <c r="AAI217" s="90"/>
      <c r="AAJ217" s="90"/>
      <c r="AAK217" s="90"/>
      <c r="AAL217" s="90"/>
      <c r="AAM217" s="90"/>
      <c r="AAN217" s="90"/>
      <c r="AAO217" s="90"/>
      <c r="AAP217" s="90"/>
      <c r="AAQ217" s="90"/>
      <c r="AAR217" s="90"/>
      <c r="AAS217" s="90"/>
      <c r="AAT217" s="90"/>
      <c r="AAU217" s="90"/>
      <c r="AAV217" s="90"/>
      <c r="AAW217" s="90"/>
      <c r="AAX217" s="90"/>
      <c r="AAY217" s="90"/>
      <c r="AAZ217" s="90"/>
      <c r="ABA217" s="90"/>
      <c r="ABB217" s="90"/>
      <c r="ABC217" s="90"/>
      <c r="ABD217" s="90"/>
      <c r="ABE217" s="90"/>
      <c r="ABF217" s="90"/>
      <c r="ABG217" s="90"/>
      <c r="ABH217" s="90"/>
      <c r="ABI217" s="90"/>
      <c r="ABJ217" s="90"/>
      <c r="ABK217" s="90"/>
      <c r="ABL217" s="90"/>
      <c r="ABM217" s="90"/>
      <c r="ABN217" s="90"/>
      <c r="ABO217" s="90"/>
      <c r="ABP217" s="90"/>
      <c r="ABQ217" s="90"/>
      <c r="ABR217" s="90"/>
      <c r="ABS217" s="90"/>
      <c r="ABT217" s="90"/>
      <c r="ABU217" s="90"/>
      <c r="ABV217" s="90"/>
      <c r="ABW217" s="90"/>
      <c r="ABX217" s="90"/>
      <c r="ABY217" s="90"/>
      <c r="ABZ217" s="90"/>
      <c r="ACA217" s="90"/>
      <c r="ACB217" s="90"/>
      <c r="ACC217" s="90"/>
      <c r="ACD217" s="90"/>
      <c r="ACE217" s="90"/>
      <c r="ACF217" s="90"/>
      <c r="ACG217" s="90"/>
      <c r="ACH217" s="90"/>
      <c r="ACI217" s="90"/>
      <c r="ACJ217" s="90"/>
      <c r="ACK217" s="90"/>
      <c r="ACL217" s="90"/>
      <c r="ACM217" s="90"/>
      <c r="ACN217" s="90"/>
      <c r="ACO217" s="90"/>
      <c r="ACP217" s="90"/>
      <c r="ACQ217" s="90"/>
      <c r="ACR217" s="90"/>
      <c r="ACS217" s="90"/>
      <c r="ACT217" s="90"/>
      <c r="ACU217" s="90"/>
      <c r="ACV217" s="90"/>
      <c r="ACW217" s="90"/>
      <c r="ACX217" s="90"/>
      <c r="ACY217" s="90"/>
      <c r="ACZ217" s="90"/>
      <c r="ADA217" s="90"/>
      <c r="ADB217" s="90"/>
      <c r="ADC217" s="90"/>
      <c r="ADD217" s="90"/>
      <c r="ADE217" s="90"/>
      <c r="ADF217" s="90"/>
      <c r="ADG217" s="90"/>
      <c r="ADH217" s="90"/>
      <c r="ADI217" s="90"/>
      <c r="ADJ217" s="90"/>
      <c r="ADK217" s="90"/>
      <c r="ADL217" s="90"/>
      <c r="ADM217" s="90"/>
      <c r="ADN217" s="90"/>
      <c r="ADO217" s="90"/>
      <c r="ADP217" s="90"/>
      <c r="ADQ217" s="90"/>
      <c r="ADR217" s="90"/>
      <c r="ADS217" s="90"/>
      <c r="ADT217" s="90"/>
      <c r="ADU217" s="90"/>
      <c r="ADV217" s="90"/>
      <c r="ADW217" s="90"/>
      <c r="ADX217" s="90"/>
      <c r="ADY217" s="90"/>
      <c r="ADZ217" s="90"/>
      <c r="AEA217" s="90"/>
      <c r="AEB217" s="90"/>
      <c r="AEC217" s="90"/>
      <c r="AED217" s="90"/>
      <c r="AEE217" s="90"/>
      <c r="AEF217" s="90"/>
      <c r="AEG217" s="90"/>
      <c r="AEH217" s="90"/>
      <c r="AEI217" s="90"/>
      <c r="AEJ217" s="90"/>
      <c r="AEK217" s="90"/>
      <c r="AEL217" s="90"/>
      <c r="AEM217" s="90"/>
      <c r="AEN217" s="90"/>
      <c r="AEO217" s="90"/>
      <c r="AEP217" s="90"/>
      <c r="AEQ217" s="90"/>
      <c r="AER217" s="90"/>
      <c r="AES217" s="90"/>
      <c r="AET217" s="90"/>
      <c r="AEU217" s="90"/>
      <c r="AEV217" s="90"/>
      <c r="AEW217" s="90"/>
      <c r="AEX217" s="90"/>
      <c r="AEY217" s="90"/>
      <c r="AEZ217" s="90"/>
      <c r="AFA217" s="90"/>
      <c r="AFB217" s="90"/>
      <c r="AFC217" s="90"/>
      <c r="AFD217" s="90"/>
      <c r="AFE217" s="90"/>
      <c r="AFF217" s="90"/>
      <c r="AFG217" s="90"/>
      <c r="AFH217" s="90"/>
      <c r="AFI217" s="90"/>
      <c r="AFJ217" s="90"/>
      <c r="AFK217" s="90"/>
      <c r="AFL217" s="90"/>
      <c r="AFM217" s="90"/>
      <c r="AFN217" s="90"/>
      <c r="AFO217" s="90"/>
      <c r="AFP217" s="90"/>
      <c r="AFQ217" s="90"/>
      <c r="AFR217" s="90"/>
      <c r="AFS217" s="90"/>
      <c r="AFT217" s="90"/>
      <c r="AFU217" s="90"/>
      <c r="AFV217" s="90"/>
      <c r="AFW217" s="90"/>
      <c r="AFX217" s="90"/>
      <c r="AFY217" s="90"/>
      <c r="AFZ217" s="90"/>
      <c r="AGA217" s="90"/>
      <c r="AGB217" s="90"/>
      <c r="AGC217" s="90"/>
      <c r="AGD217" s="90"/>
      <c r="AGE217" s="90"/>
      <c r="AGF217" s="90"/>
      <c r="AGG217" s="90"/>
      <c r="AGH217" s="90"/>
      <c r="AGI217" s="90"/>
      <c r="AGJ217" s="90"/>
      <c r="AGK217" s="90"/>
      <c r="AGL217" s="90"/>
      <c r="AGM217" s="90"/>
      <c r="AGN217" s="90"/>
      <c r="AGO217" s="90"/>
      <c r="AGP217" s="90"/>
      <c r="AGQ217" s="90"/>
      <c r="AGR217" s="90"/>
      <c r="AGS217" s="90"/>
      <c r="AGT217" s="90"/>
      <c r="AGU217" s="90"/>
      <c r="AGV217" s="90"/>
      <c r="AGW217" s="90"/>
      <c r="AGX217" s="90"/>
      <c r="AGY217" s="90"/>
      <c r="AGZ217" s="90"/>
      <c r="AHA217" s="90"/>
      <c r="AHB217" s="90"/>
      <c r="AHC217" s="90"/>
      <c r="AHD217" s="90"/>
      <c r="AHE217" s="90"/>
      <c r="AHF217" s="90"/>
      <c r="AHG217" s="90"/>
      <c r="AHH217" s="90"/>
      <c r="AHI217" s="90"/>
      <c r="AHJ217" s="90"/>
      <c r="AHK217" s="90"/>
      <c r="AHL217" s="90"/>
      <c r="AHM217" s="90"/>
      <c r="AHN217" s="90"/>
      <c r="AHO217" s="90"/>
      <c r="AHP217" s="90"/>
      <c r="AHQ217" s="90"/>
      <c r="AHR217" s="90"/>
      <c r="AHS217" s="90"/>
      <c r="AHT217" s="90"/>
      <c r="AHU217" s="90"/>
      <c r="AHV217" s="90"/>
      <c r="AHW217" s="90"/>
      <c r="AHX217" s="90"/>
      <c r="AHY217" s="90"/>
      <c r="AHZ217" s="90"/>
      <c r="AIA217" s="90"/>
      <c r="AIB217" s="90"/>
      <c r="AIC217" s="90"/>
      <c r="AID217" s="90"/>
      <c r="AIE217" s="90"/>
      <c r="AIF217" s="90"/>
      <c r="AIG217" s="90"/>
      <c r="AIH217" s="90"/>
      <c r="AII217" s="90"/>
      <c r="AIJ217" s="90"/>
      <c r="AIK217" s="90"/>
      <c r="AIL217" s="90"/>
      <c r="AIM217" s="90"/>
      <c r="AIN217" s="90"/>
      <c r="AIO217" s="90"/>
      <c r="AIP217" s="90"/>
      <c r="AIQ217" s="90"/>
      <c r="AIR217" s="90"/>
      <c r="AIS217" s="90"/>
      <c r="AIT217" s="90"/>
      <c r="AIU217" s="90"/>
      <c r="AIV217" s="90"/>
      <c r="AIW217" s="90"/>
      <c r="AIX217" s="90"/>
      <c r="AIY217" s="90"/>
      <c r="AIZ217" s="90"/>
      <c r="AJA217" s="90"/>
      <c r="AJB217" s="90"/>
      <c r="AJC217" s="90"/>
      <c r="AJD217" s="90"/>
      <c r="AJE217" s="90"/>
      <c r="AJF217" s="90"/>
      <c r="AJG217" s="90"/>
      <c r="AJH217" s="90"/>
      <c r="AJI217" s="90"/>
      <c r="AJJ217" s="90"/>
      <c r="AJK217" s="90"/>
      <c r="AJL217" s="90"/>
      <c r="AJM217" s="90"/>
      <c r="AJN217" s="90"/>
      <c r="AJO217" s="90"/>
      <c r="AJP217" s="90"/>
      <c r="AJQ217" s="90"/>
      <c r="AJR217" s="90"/>
      <c r="AJS217" s="90"/>
      <c r="AJT217" s="90"/>
      <c r="AJU217" s="90"/>
      <c r="AJV217" s="90"/>
      <c r="AJW217" s="90"/>
      <c r="AJX217" s="90"/>
      <c r="AJY217" s="90"/>
      <c r="AJZ217" s="90"/>
      <c r="AKA217" s="90"/>
      <c r="AKB217" s="90"/>
      <c r="AKC217" s="90"/>
      <c r="AKD217" s="90"/>
      <c r="AKE217" s="90"/>
      <c r="AKF217" s="90"/>
      <c r="AKG217" s="90"/>
      <c r="AKH217" s="90"/>
      <c r="AKI217" s="90"/>
      <c r="AKJ217" s="90"/>
      <c r="AKK217" s="90"/>
      <c r="AKL217" s="90"/>
      <c r="AKM217" s="90"/>
      <c r="AKN217" s="90"/>
      <c r="AKO217" s="90"/>
      <c r="AKP217" s="90"/>
      <c r="AKQ217" s="90"/>
      <c r="AKR217" s="90"/>
      <c r="AKS217" s="90"/>
      <c r="AKT217" s="90"/>
      <c r="AKU217" s="90"/>
      <c r="AKV217" s="90"/>
      <c r="AKW217" s="90"/>
      <c r="AKX217" s="90"/>
      <c r="AKY217" s="90"/>
      <c r="AKZ217" s="90"/>
      <c r="ALA217" s="90"/>
      <c r="ALB217" s="90"/>
      <c r="ALC217" s="90"/>
      <c r="ALD217" s="90"/>
      <c r="ALE217" s="90"/>
      <c r="ALF217" s="90"/>
      <c r="ALG217" s="90"/>
      <c r="ALH217" s="90"/>
      <c r="ALI217" s="90"/>
      <c r="ALJ217" s="90"/>
      <c r="ALK217" s="90"/>
      <c r="ALL217" s="90"/>
      <c r="ALM217" s="90"/>
      <c r="ALN217" s="90"/>
      <c r="ALO217" s="90"/>
      <c r="ALP217" s="90"/>
      <c r="ALQ217" s="90"/>
      <c r="ALR217" s="90"/>
      <c r="ALS217" s="90"/>
      <c r="ALT217" s="90"/>
      <c r="ALU217" s="90"/>
      <c r="ALV217" s="90"/>
      <c r="ALW217" s="90"/>
      <c r="ALX217" s="90"/>
      <c r="ALY217" s="90"/>
      <c r="ALZ217" s="90"/>
      <c r="AMA217" s="90"/>
      <c r="AMB217" s="90"/>
      <c r="AMC217" s="90"/>
    </row>
    <row r="218" spans="1:1017">
      <c r="A218" s="98" t="s">
        <v>50</v>
      </c>
      <c r="B218" s="90" t="str">
        <f t="shared" si="1453"/>
        <v xml:space="preserve">Lobster Air Laut </v>
      </c>
      <c r="Q218" s="91">
        <f t="shared" si="1454"/>
        <v>0</v>
      </c>
      <c r="R218" s="91">
        <f t="shared" si="1455"/>
        <v>0</v>
      </c>
      <c r="S218" s="98">
        <v>910</v>
      </c>
      <c r="T218" s="98">
        <v>318500</v>
      </c>
      <c r="AG218" s="91">
        <f t="shared" si="1456"/>
        <v>910</v>
      </c>
      <c r="AH218" s="91">
        <f t="shared" si="1457"/>
        <v>318500</v>
      </c>
      <c r="AW218" s="91">
        <f t="shared" si="1458"/>
        <v>0</v>
      </c>
      <c r="AX218" s="91">
        <f t="shared" si="1459"/>
        <v>0</v>
      </c>
      <c r="BM218" s="91">
        <f t="shared" si="1460"/>
        <v>0</v>
      </c>
      <c r="BN218" s="91">
        <f t="shared" si="1461"/>
        <v>0</v>
      </c>
      <c r="CC218" s="91">
        <f t="shared" si="1462"/>
        <v>0</v>
      </c>
      <c r="CD218" s="91">
        <f t="shared" si="1463"/>
        <v>0</v>
      </c>
      <c r="CS218" s="91">
        <f t="shared" si="1548"/>
        <v>0</v>
      </c>
      <c r="CT218" s="91">
        <f t="shared" si="1549"/>
        <v>0</v>
      </c>
      <c r="DI218" s="91">
        <f t="shared" si="1466"/>
        <v>0</v>
      </c>
      <c r="DJ218" s="91">
        <f t="shared" si="1467"/>
        <v>0</v>
      </c>
      <c r="DY218" s="91">
        <f t="shared" si="1468"/>
        <v>0</v>
      </c>
      <c r="DZ218" s="91">
        <f t="shared" si="1469"/>
        <v>0</v>
      </c>
      <c r="EO218" s="91">
        <f t="shared" si="1470"/>
        <v>0</v>
      </c>
      <c r="EP218" s="91">
        <f t="shared" si="1471"/>
        <v>0</v>
      </c>
      <c r="FE218" s="91">
        <f t="shared" si="1472"/>
        <v>0</v>
      </c>
      <c r="FF218" s="91">
        <f t="shared" si="1473"/>
        <v>0</v>
      </c>
      <c r="FU218" s="91">
        <f t="shared" si="1474"/>
        <v>0</v>
      </c>
      <c r="FV218" s="91">
        <f t="shared" si="1475"/>
        <v>0</v>
      </c>
      <c r="GK218" s="91">
        <f t="shared" si="1476"/>
        <v>0</v>
      </c>
      <c r="GL218" s="91">
        <f t="shared" si="1477"/>
        <v>0</v>
      </c>
      <c r="HA218" s="91">
        <f t="shared" si="1478"/>
        <v>0</v>
      </c>
      <c r="HB218" s="91">
        <f t="shared" si="1479"/>
        <v>0</v>
      </c>
      <c r="HQ218" s="91">
        <f t="shared" si="1480"/>
        <v>0</v>
      </c>
      <c r="HR218" s="91">
        <f t="shared" si="1481"/>
        <v>0</v>
      </c>
      <c r="IG218" s="91">
        <f t="shared" si="1482"/>
        <v>0</v>
      </c>
      <c r="IH218" s="91">
        <f t="shared" si="1483"/>
        <v>0</v>
      </c>
      <c r="IW218" s="91">
        <f t="shared" si="1484"/>
        <v>0</v>
      </c>
      <c r="IX218" s="91">
        <f t="shared" si="1485"/>
        <v>0</v>
      </c>
      <c r="JM218" s="91">
        <f t="shared" si="1486"/>
        <v>0</v>
      </c>
      <c r="JN218" s="91">
        <f t="shared" si="1487"/>
        <v>0</v>
      </c>
      <c r="KC218" s="91">
        <f t="shared" si="1488"/>
        <v>0</v>
      </c>
      <c r="KD218" s="91">
        <f t="shared" si="1489"/>
        <v>0</v>
      </c>
      <c r="KS218" s="91">
        <f t="shared" si="1490"/>
        <v>0</v>
      </c>
      <c r="KT218" s="91">
        <f t="shared" si="1491"/>
        <v>0</v>
      </c>
      <c r="LI218" s="91">
        <f t="shared" si="1492"/>
        <v>0</v>
      </c>
      <c r="LJ218" s="91">
        <f t="shared" si="1493"/>
        <v>0</v>
      </c>
      <c r="LY218" s="91">
        <f t="shared" si="1494"/>
        <v>0</v>
      </c>
      <c r="LZ218" s="91">
        <f t="shared" si="1495"/>
        <v>0</v>
      </c>
      <c r="MO218" s="91">
        <f t="shared" si="1496"/>
        <v>0</v>
      </c>
      <c r="MP218" s="91">
        <f t="shared" si="1497"/>
        <v>0</v>
      </c>
      <c r="NE218" s="91">
        <f t="shared" si="1498"/>
        <v>0</v>
      </c>
      <c r="NF218" s="91">
        <f t="shared" si="1499"/>
        <v>0</v>
      </c>
      <c r="NU218" s="91">
        <f t="shared" si="1500"/>
        <v>0</v>
      </c>
      <c r="NV218" s="91">
        <f t="shared" si="1501"/>
        <v>0</v>
      </c>
      <c r="NW218" s="98">
        <v>215</v>
      </c>
      <c r="NX218" s="98">
        <v>75250</v>
      </c>
      <c r="OK218" s="91">
        <f t="shared" si="1502"/>
        <v>215</v>
      </c>
      <c r="OL218" s="91">
        <f t="shared" si="1503"/>
        <v>75250</v>
      </c>
      <c r="PA218" s="91">
        <f t="shared" si="1504"/>
        <v>0</v>
      </c>
      <c r="PB218" s="91">
        <f t="shared" si="1505"/>
        <v>0</v>
      </c>
      <c r="PQ218" s="91">
        <f t="shared" si="1506"/>
        <v>0</v>
      </c>
      <c r="PR218" s="91">
        <f t="shared" si="1507"/>
        <v>0</v>
      </c>
      <c r="QG218" s="91">
        <f t="shared" si="1508"/>
        <v>0</v>
      </c>
      <c r="QH218" s="91">
        <f t="shared" si="1509"/>
        <v>0</v>
      </c>
      <c r="QW218" s="91">
        <f t="shared" si="1510"/>
        <v>0</v>
      </c>
      <c r="QX218" s="91">
        <f t="shared" si="1511"/>
        <v>0</v>
      </c>
      <c r="RM218" s="91">
        <f t="shared" si="1512"/>
        <v>0</v>
      </c>
      <c r="RN218" s="91">
        <f t="shared" si="1513"/>
        <v>0</v>
      </c>
      <c r="SC218" s="91">
        <f t="shared" si="1514"/>
        <v>0</v>
      </c>
      <c r="SD218" s="91">
        <f t="shared" si="1515"/>
        <v>0</v>
      </c>
      <c r="SS218" s="91">
        <f t="shared" si="1516"/>
        <v>0</v>
      </c>
      <c r="ST218" s="91">
        <f t="shared" si="1517"/>
        <v>0</v>
      </c>
      <c r="TI218" s="91">
        <f t="shared" si="1518"/>
        <v>0</v>
      </c>
      <c r="TJ218" s="91">
        <f t="shared" si="1519"/>
        <v>0</v>
      </c>
      <c r="TY218" s="91">
        <f t="shared" si="1520"/>
        <v>0</v>
      </c>
      <c r="TZ218" s="91">
        <f t="shared" si="1521"/>
        <v>0</v>
      </c>
      <c r="UO218" s="91">
        <f t="shared" si="1522"/>
        <v>0</v>
      </c>
      <c r="UP218" s="91">
        <f t="shared" si="1523"/>
        <v>0</v>
      </c>
      <c r="VE218" s="91">
        <f t="shared" si="1524"/>
        <v>0</v>
      </c>
      <c r="VF218" s="91">
        <f t="shared" si="1525"/>
        <v>0</v>
      </c>
      <c r="VU218" s="91">
        <f t="shared" si="1526"/>
        <v>0</v>
      </c>
      <c r="VV218" s="91">
        <f t="shared" si="1527"/>
        <v>0</v>
      </c>
      <c r="WK218" s="91">
        <f t="shared" si="1528"/>
        <v>0</v>
      </c>
      <c r="WL218" s="91">
        <f t="shared" si="1529"/>
        <v>0</v>
      </c>
      <c r="WM218" s="89"/>
      <c r="WN218" s="87">
        <f t="shared" si="1530"/>
        <v>1125</v>
      </c>
      <c r="WO218" s="87">
        <f t="shared" si="1531"/>
        <v>393750</v>
      </c>
      <c r="WP218" s="87">
        <f t="shared" si="1532"/>
        <v>0</v>
      </c>
      <c r="WQ218" s="87">
        <f t="shared" si="1533"/>
        <v>0</v>
      </c>
      <c r="WR218" s="87">
        <f t="shared" si="1534"/>
        <v>0</v>
      </c>
      <c r="WS218" s="87">
        <f t="shared" si="1535"/>
        <v>0</v>
      </c>
      <c r="WT218" s="87">
        <f t="shared" si="1536"/>
        <v>0</v>
      </c>
      <c r="WU218" s="87">
        <f t="shared" si="1537"/>
        <v>0</v>
      </c>
      <c r="WV218" s="87">
        <f t="shared" si="1538"/>
        <v>0</v>
      </c>
      <c r="WW218" s="87">
        <f t="shared" si="1539"/>
        <v>0</v>
      </c>
      <c r="WX218" s="87">
        <f t="shared" si="1540"/>
        <v>0</v>
      </c>
      <c r="WY218" s="87">
        <f t="shared" si="1541"/>
        <v>0</v>
      </c>
      <c r="WZ218" s="87">
        <f t="shared" si="1542"/>
        <v>0</v>
      </c>
      <c r="XA218" s="87">
        <f t="shared" si="1543"/>
        <v>0</v>
      </c>
      <c r="XB218" s="92">
        <f t="shared" si="1544"/>
        <v>1125</v>
      </c>
      <c r="XC218" s="92">
        <f t="shared" si="1545"/>
        <v>393750</v>
      </c>
      <c r="XD218" s="89"/>
      <c r="XE218" s="92"/>
      <c r="XF218" s="92"/>
      <c r="XG218" s="89"/>
      <c r="XH218" s="92"/>
      <c r="XI218" s="92"/>
      <c r="XJ218" s="89"/>
      <c r="XK218" s="87"/>
      <c r="XL218" s="87"/>
      <c r="XM218" s="87"/>
      <c r="XN218" s="87"/>
      <c r="XO218" s="87"/>
      <c r="XP218" s="87"/>
      <c r="XQ218" s="87"/>
      <c r="XR218" s="92">
        <f t="shared" ca="1" si="1546"/>
        <v>0</v>
      </c>
      <c r="XS218" s="89"/>
      <c r="XT218" s="87"/>
      <c r="XU218" s="87"/>
      <c r="XV218" s="87"/>
      <c r="XW218" s="87"/>
      <c r="XX218" s="87"/>
      <c r="XY218" s="87"/>
      <c r="XZ218" s="87"/>
      <c r="YA218" s="92">
        <f t="shared" ca="1" si="1547"/>
        <v>0</v>
      </c>
      <c r="YB218" s="90"/>
      <c r="YC218" s="90"/>
      <c r="YD218" s="90"/>
      <c r="YE218" s="90"/>
      <c r="YF218" s="90"/>
      <c r="YG218" s="90"/>
      <c r="YH218" s="90"/>
      <c r="YI218" s="90"/>
      <c r="YJ218" s="90"/>
      <c r="YK218" s="90"/>
      <c r="YL218" s="90"/>
      <c r="YM218" s="90"/>
      <c r="YN218" s="90"/>
      <c r="YO218" s="90"/>
      <c r="YP218" s="90"/>
      <c r="YQ218" s="90"/>
      <c r="YR218" s="90"/>
      <c r="YS218" s="90"/>
      <c r="YT218" s="90"/>
      <c r="YU218" s="90"/>
      <c r="YV218" s="90"/>
      <c r="YW218" s="90"/>
      <c r="YX218" s="90"/>
      <c r="YY218" s="90"/>
      <c r="YZ218" s="90"/>
      <c r="ZA218" s="90"/>
      <c r="ZB218" s="90"/>
      <c r="ZC218" s="90"/>
      <c r="ZD218" s="90"/>
      <c r="ZE218" s="90"/>
      <c r="ZF218" s="90"/>
      <c r="ZG218" s="90"/>
      <c r="ZH218" s="90"/>
      <c r="ZI218" s="90"/>
      <c r="ZJ218" s="90"/>
      <c r="ZK218" s="90"/>
      <c r="ZL218" s="90"/>
      <c r="ZM218" s="90"/>
      <c r="ZN218" s="90"/>
      <c r="ZO218" s="90"/>
      <c r="ZP218" s="90"/>
      <c r="ZQ218" s="90"/>
      <c r="ZR218" s="90"/>
      <c r="ZS218" s="90"/>
      <c r="ZT218" s="90"/>
      <c r="ZU218" s="90"/>
      <c r="ZV218" s="90"/>
      <c r="ZW218" s="90"/>
      <c r="ZX218" s="90"/>
      <c r="ZY218" s="90"/>
      <c r="ZZ218" s="90"/>
      <c r="AAA218" s="90"/>
      <c r="AAB218" s="90"/>
      <c r="AAC218" s="90"/>
      <c r="AAD218" s="90"/>
      <c r="AAE218" s="90"/>
      <c r="AAF218" s="90"/>
      <c r="AAG218" s="90"/>
      <c r="AAH218" s="90"/>
      <c r="AAI218" s="90"/>
      <c r="AAJ218" s="90"/>
      <c r="AAK218" s="90"/>
      <c r="AAL218" s="90"/>
      <c r="AAM218" s="90"/>
      <c r="AAN218" s="90"/>
      <c r="AAO218" s="90"/>
      <c r="AAP218" s="90"/>
      <c r="AAQ218" s="90"/>
      <c r="AAR218" s="90"/>
      <c r="AAS218" s="90"/>
      <c r="AAT218" s="90"/>
      <c r="AAU218" s="90"/>
      <c r="AAV218" s="90"/>
      <c r="AAW218" s="90"/>
      <c r="AAX218" s="90"/>
      <c r="AAY218" s="90"/>
      <c r="AAZ218" s="90"/>
      <c r="ABA218" s="90"/>
      <c r="ABB218" s="90"/>
      <c r="ABC218" s="90"/>
      <c r="ABD218" s="90"/>
      <c r="ABE218" s="90"/>
      <c r="ABF218" s="90"/>
      <c r="ABG218" s="90"/>
      <c r="ABH218" s="90"/>
      <c r="ABI218" s="90"/>
      <c r="ABJ218" s="90"/>
      <c r="ABK218" s="90"/>
      <c r="ABL218" s="90"/>
      <c r="ABM218" s="90"/>
      <c r="ABN218" s="90"/>
      <c r="ABO218" s="90"/>
      <c r="ABP218" s="90"/>
      <c r="ABQ218" s="90"/>
      <c r="ABR218" s="90"/>
      <c r="ABS218" s="90"/>
      <c r="ABT218" s="90"/>
      <c r="ABU218" s="90"/>
      <c r="ABV218" s="90"/>
      <c r="ABW218" s="90"/>
      <c r="ABX218" s="90"/>
      <c r="ABY218" s="90"/>
      <c r="ABZ218" s="90"/>
      <c r="ACA218" s="90"/>
      <c r="ACB218" s="90"/>
      <c r="ACC218" s="90"/>
      <c r="ACD218" s="90"/>
      <c r="ACE218" s="90"/>
      <c r="ACF218" s="90"/>
      <c r="ACG218" s="90"/>
      <c r="ACH218" s="90"/>
      <c r="ACI218" s="90"/>
      <c r="ACJ218" s="90"/>
      <c r="ACK218" s="90"/>
      <c r="ACL218" s="90"/>
      <c r="ACM218" s="90"/>
      <c r="ACN218" s="90"/>
      <c r="ACO218" s="90"/>
      <c r="ACP218" s="90"/>
      <c r="ACQ218" s="90"/>
      <c r="ACR218" s="90"/>
      <c r="ACS218" s="90"/>
      <c r="ACT218" s="90"/>
      <c r="ACU218" s="90"/>
      <c r="ACV218" s="90"/>
      <c r="ACW218" s="90"/>
      <c r="ACX218" s="90"/>
      <c r="ACY218" s="90"/>
      <c r="ACZ218" s="90"/>
      <c r="ADA218" s="90"/>
      <c r="ADB218" s="90"/>
      <c r="ADC218" s="90"/>
      <c r="ADD218" s="90"/>
      <c r="ADE218" s="90"/>
      <c r="ADF218" s="90"/>
      <c r="ADG218" s="90"/>
      <c r="ADH218" s="90"/>
      <c r="ADI218" s="90"/>
      <c r="ADJ218" s="90"/>
      <c r="ADK218" s="90"/>
      <c r="ADL218" s="90"/>
      <c r="ADM218" s="90"/>
      <c r="ADN218" s="90"/>
      <c r="ADO218" s="90"/>
      <c r="ADP218" s="90"/>
      <c r="ADQ218" s="90"/>
      <c r="ADR218" s="90"/>
      <c r="ADS218" s="90"/>
      <c r="ADT218" s="90"/>
      <c r="ADU218" s="90"/>
      <c r="ADV218" s="90"/>
      <c r="ADW218" s="90"/>
      <c r="ADX218" s="90"/>
      <c r="ADY218" s="90"/>
      <c r="ADZ218" s="90"/>
      <c r="AEA218" s="90"/>
      <c r="AEB218" s="90"/>
      <c r="AEC218" s="90"/>
      <c r="AED218" s="90"/>
      <c r="AEE218" s="90"/>
      <c r="AEF218" s="90"/>
      <c r="AEG218" s="90"/>
      <c r="AEH218" s="90"/>
      <c r="AEI218" s="90"/>
      <c r="AEJ218" s="90"/>
      <c r="AEK218" s="90"/>
      <c r="AEL218" s="90"/>
      <c r="AEM218" s="90"/>
      <c r="AEN218" s="90"/>
      <c r="AEO218" s="90"/>
      <c r="AEP218" s="90"/>
      <c r="AEQ218" s="90"/>
      <c r="AER218" s="90"/>
      <c r="AES218" s="90"/>
      <c r="AET218" s="90"/>
      <c r="AEU218" s="90"/>
      <c r="AEV218" s="90"/>
      <c r="AEW218" s="90"/>
      <c r="AEX218" s="90"/>
      <c r="AEY218" s="90"/>
      <c r="AEZ218" s="90"/>
      <c r="AFA218" s="90"/>
      <c r="AFB218" s="90"/>
      <c r="AFC218" s="90"/>
      <c r="AFD218" s="90"/>
      <c r="AFE218" s="90"/>
      <c r="AFF218" s="90"/>
      <c r="AFG218" s="90"/>
      <c r="AFH218" s="90"/>
      <c r="AFI218" s="90"/>
      <c r="AFJ218" s="90"/>
      <c r="AFK218" s="90"/>
      <c r="AFL218" s="90"/>
      <c r="AFM218" s="90"/>
      <c r="AFN218" s="90"/>
      <c r="AFO218" s="90"/>
      <c r="AFP218" s="90"/>
      <c r="AFQ218" s="90"/>
      <c r="AFR218" s="90"/>
      <c r="AFS218" s="90"/>
      <c r="AFT218" s="90"/>
      <c r="AFU218" s="90"/>
      <c r="AFV218" s="90"/>
      <c r="AFW218" s="90"/>
      <c r="AFX218" s="90"/>
      <c r="AFY218" s="90"/>
      <c r="AFZ218" s="90"/>
      <c r="AGA218" s="90"/>
      <c r="AGB218" s="90"/>
      <c r="AGC218" s="90"/>
      <c r="AGD218" s="90"/>
      <c r="AGE218" s="90"/>
      <c r="AGF218" s="90"/>
      <c r="AGG218" s="90"/>
      <c r="AGH218" s="90"/>
      <c r="AGI218" s="90"/>
      <c r="AGJ218" s="90"/>
      <c r="AGK218" s="90"/>
      <c r="AGL218" s="90"/>
      <c r="AGM218" s="90"/>
      <c r="AGN218" s="90"/>
      <c r="AGO218" s="90"/>
      <c r="AGP218" s="90"/>
      <c r="AGQ218" s="90"/>
      <c r="AGR218" s="90"/>
      <c r="AGS218" s="90"/>
      <c r="AGT218" s="90"/>
      <c r="AGU218" s="90"/>
      <c r="AGV218" s="90"/>
      <c r="AGW218" s="90"/>
      <c r="AGX218" s="90"/>
      <c r="AGY218" s="90"/>
      <c r="AGZ218" s="90"/>
      <c r="AHA218" s="90"/>
      <c r="AHB218" s="90"/>
      <c r="AHC218" s="90"/>
      <c r="AHD218" s="90"/>
      <c r="AHE218" s="90"/>
      <c r="AHF218" s="90"/>
      <c r="AHG218" s="90"/>
      <c r="AHH218" s="90"/>
      <c r="AHI218" s="90"/>
      <c r="AHJ218" s="90"/>
      <c r="AHK218" s="90"/>
      <c r="AHL218" s="90"/>
      <c r="AHM218" s="90"/>
      <c r="AHN218" s="90"/>
      <c r="AHO218" s="90"/>
      <c r="AHP218" s="90"/>
      <c r="AHQ218" s="90"/>
      <c r="AHR218" s="90"/>
      <c r="AHS218" s="90"/>
      <c r="AHT218" s="90"/>
      <c r="AHU218" s="90"/>
      <c r="AHV218" s="90"/>
      <c r="AHW218" s="90"/>
      <c r="AHX218" s="90"/>
      <c r="AHY218" s="90"/>
      <c r="AHZ218" s="90"/>
      <c r="AIA218" s="90"/>
      <c r="AIB218" s="90"/>
      <c r="AIC218" s="90"/>
      <c r="AID218" s="90"/>
      <c r="AIE218" s="90"/>
      <c r="AIF218" s="90"/>
      <c r="AIG218" s="90"/>
      <c r="AIH218" s="90"/>
      <c r="AII218" s="90"/>
      <c r="AIJ218" s="90"/>
      <c r="AIK218" s="90"/>
      <c r="AIL218" s="90"/>
      <c r="AIM218" s="90"/>
      <c r="AIN218" s="90"/>
      <c r="AIO218" s="90"/>
      <c r="AIP218" s="90"/>
      <c r="AIQ218" s="90"/>
      <c r="AIR218" s="90"/>
      <c r="AIS218" s="90"/>
      <c r="AIT218" s="90"/>
      <c r="AIU218" s="90"/>
      <c r="AIV218" s="90"/>
      <c r="AIW218" s="90"/>
      <c r="AIX218" s="90"/>
      <c r="AIY218" s="90"/>
      <c r="AIZ218" s="90"/>
      <c r="AJA218" s="90"/>
      <c r="AJB218" s="90"/>
      <c r="AJC218" s="90"/>
      <c r="AJD218" s="90"/>
      <c r="AJE218" s="90"/>
      <c r="AJF218" s="90"/>
      <c r="AJG218" s="90"/>
      <c r="AJH218" s="90"/>
      <c r="AJI218" s="90"/>
      <c r="AJJ218" s="90"/>
      <c r="AJK218" s="90"/>
      <c r="AJL218" s="90"/>
      <c r="AJM218" s="90"/>
      <c r="AJN218" s="90"/>
      <c r="AJO218" s="90"/>
      <c r="AJP218" s="90"/>
      <c r="AJQ218" s="90"/>
      <c r="AJR218" s="90"/>
      <c r="AJS218" s="90"/>
      <c r="AJT218" s="90"/>
      <c r="AJU218" s="90"/>
      <c r="AJV218" s="90"/>
      <c r="AJW218" s="90"/>
      <c r="AJX218" s="90"/>
      <c r="AJY218" s="90"/>
      <c r="AJZ218" s="90"/>
      <c r="AKA218" s="90"/>
      <c r="AKB218" s="90"/>
      <c r="AKC218" s="90"/>
      <c r="AKD218" s="90"/>
      <c r="AKE218" s="90"/>
      <c r="AKF218" s="90"/>
      <c r="AKG218" s="90"/>
      <c r="AKH218" s="90"/>
      <c r="AKI218" s="90"/>
      <c r="AKJ218" s="90"/>
      <c r="AKK218" s="90"/>
      <c r="AKL218" s="90"/>
      <c r="AKM218" s="90"/>
      <c r="AKN218" s="90"/>
      <c r="AKO218" s="90"/>
      <c r="AKP218" s="90"/>
      <c r="AKQ218" s="90"/>
      <c r="AKR218" s="90"/>
      <c r="AKS218" s="90"/>
      <c r="AKT218" s="90"/>
      <c r="AKU218" s="90"/>
      <c r="AKV218" s="90"/>
      <c r="AKW218" s="90"/>
      <c r="AKX218" s="90"/>
      <c r="AKY218" s="90"/>
      <c r="AKZ218" s="90"/>
      <c r="ALA218" s="90"/>
      <c r="ALB218" s="90"/>
      <c r="ALC218" s="90"/>
      <c r="ALD218" s="90"/>
      <c r="ALE218" s="90"/>
      <c r="ALF218" s="90"/>
      <c r="ALG218" s="90"/>
      <c r="ALH218" s="90"/>
      <c r="ALI218" s="90"/>
      <c r="ALJ218" s="90"/>
      <c r="ALK218" s="90"/>
      <c r="ALL218" s="90"/>
      <c r="ALM218" s="90"/>
      <c r="ALN218" s="90"/>
      <c r="ALO218" s="90"/>
      <c r="ALP218" s="90"/>
      <c r="ALQ218" s="90"/>
      <c r="ALR218" s="90"/>
      <c r="ALS218" s="90"/>
      <c r="ALT218" s="90"/>
      <c r="ALU218" s="90"/>
      <c r="ALV218" s="90"/>
      <c r="ALW218" s="90"/>
      <c r="ALX218" s="90"/>
      <c r="ALY218" s="90"/>
      <c r="ALZ218" s="90"/>
      <c r="AMA218" s="90"/>
      <c r="AMB218" s="90"/>
      <c r="AMC218" s="90"/>
    </row>
    <row r="219" spans="1:1017">
      <c r="A219" s="98" t="s">
        <v>50</v>
      </c>
      <c r="B219" s="90" t="str">
        <f t="shared" si="1453"/>
        <v xml:space="preserve">Lobster Air Tawar, Cherax </v>
      </c>
      <c r="Q219" s="91">
        <f t="shared" si="1454"/>
        <v>0</v>
      </c>
      <c r="R219" s="91">
        <f t="shared" si="1455"/>
        <v>0</v>
      </c>
      <c r="AG219" s="91">
        <f t="shared" si="1456"/>
        <v>0</v>
      </c>
      <c r="AH219" s="91">
        <f t="shared" si="1457"/>
        <v>0</v>
      </c>
      <c r="AW219" s="91">
        <f t="shared" si="1458"/>
        <v>0</v>
      </c>
      <c r="AX219" s="91">
        <f t="shared" si="1459"/>
        <v>0</v>
      </c>
      <c r="BM219" s="91">
        <f t="shared" si="1460"/>
        <v>0</v>
      </c>
      <c r="BN219" s="91">
        <f t="shared" si="1461"/>
        <v>0</v>
      </c>
      <c r="CC219" s="91">
        <f t="shared" si="1462"/>
        <v>0</v>
      </c>
      <c r="CD219" s="91">
        <f t="shared" si="1463"/>
        <v>0</v>
      </c>
      <c r="CS219" s="91">
        <f t="shared" si="1548"/>
        <v>0</v>
      </c>
      <c r="CT219" s="91">
        <f t="shared" si="1549"/>
        <v>0</v>
      </c>
      <c r="DI219" s="91">
        <f t="shared" si="1466"/>
        <v>0</v>
      </c>
      <c r="DJ219" s="91">
        <f t="shared" si="1467"/>
        <v>0</v>
      </c>
      <c r="DY219" s="91">
        <f t="shared" si="1468"/>
        <v>0</v>
      </c>
      <c r="DZ219" s="91">
        <f t="shared" si="1469"/>
        <v>0</v>
      </c>
      <c r="EO219" s="91">
        <f t="shared" si="1470"/>
        <v>0</v>
      </c>
      <c r="EP219" s="91">
        <f t="shared" si="1471"/>
        <v>0</v>
      </c>
      <c r="FE219" s="91">
        <f t="shared" si="1472"/>
        <v>0</v>
      </c>
      <c r="FF219" s="91">
        <f t="shared" si="1473"/>
        <v>0</v>
      </c>
      <c r="FU219" s="91">
        <f t="shared" si="1474"/>
        <v>0</v>
      </c>
      <c r="FV219" s="91">
        <f t="shared" si="1475"/>
        <v>0</v>
      </c>
      <c r="GK219" s="91">
        <f t="shared" si="1476"/>
        <v>0</v>
      </c>
      <c r="GL219" s="91">
        <f t="shared" si="1477"/>
        <v>0</v>
      </c>
      <c r="HA219" s="91">
        <f t="shared" si="1478"/>
        <v>0</v>
      </c>
      <c r="HB219" s="91">
        <f t="shared" si="1479"/>
        <v>0</v>
      </c>
      <c r="HQ219" s="91">
        <f t="shared" si="1480"/>
        <v>0</v>
      </c>
      <c r="HR219" s="91">
        <f t="shared" si="1481"/>
        <v>0</v>
      </c>
      <c r="IG219" s="91">
        <f t="shared" si="1482"/>
        <v>0</v>
      </c>
      <c r="IH219" s="91">
        <f t="shared" si="1483"/>
        <v>0</v>
      </c>
      <c r="IO219" s="98">
        <v>200</v>
      </c>
      <c r="IP219" s="98">
        <v>21000</v>
      </c>
      <c r="IW219" s="91">
        <f t="shared" si="1484"/>
        <v>200</v>
      </c>
      <c r="IX219" s="91">
        <f t="shared" si="1485"/>
        <v>21000</v>
      </c>
      <c r="JM219" s="91">
        <f t="shared" si="1486"/>
        <v>0</v>
      </c>
      <c r="JN219" s="91">
        <f t="shared" si="1487"/>
        <v>0</v>
      </c>
      <c r="KC219" s="91">
        <f t="shared" si="1488"/>
        <v>0</v>
      </c>
      <c r="KD219" s="91">
        <f t="shared" si="1489"/>
        <v>0</v>
      </c>
      <c r="KS219" s="91">
        <f t="shared" si="1490"/>
        <v>0</v>
      </c>
      <c r="KT219" s="91">
        <f t="shared" si="1491"/>
        <v>0</v>
      </c>
      <c r="LI219" s="91">
        <f t="shared" si="1492"/>
        <v>0</v>
      </c>
      <c r="LJ219" s="91">
        <f t="shared" si="1493"/>
        <v>0</v>
      </c>
      <c r="LY219" s="91">
        <f t="shared" si="1494"/>
        <v>0</v>
      </c>
      <c r="LZ219" s="91">
        <f t="shared" si="1495"/>
        <v>0</v>
      </c>
      <c r="MO219" s="91">
        <f t="shared" si="1496"/>
        <v>0</v>
      </c>
      <c r="MP219" s="91">
        <f t="shared" si="1497"/>
        <v>0</v>
      </c>
      <c r="NE219" s="91">
        <f t="shared" si="1498"/>
        <v>0</v>
      </c>
      <c r="NF219" s="91">
        <f t="shared" si="1499"/>
        <v>0</v>
      </c>
      <c r="NU219" s="91">
        <f t="shared" si="1500"/>
        <v>0</v>
      </c>
      <c r="NV219" s="91">
        <f t="shared" si="1501"/>
        <v>0</v>
      </c>
      <c r="OK219" s="91">
        <f t="shared" si="1502"/>
        <v>0</v>
      </c>
      <c r="OL219" s="91">
        <f t="shared" si="1503"/>
        <v>0</v>
      </c>
      <c r="PA219" s="91">
        <f t="shared" si="1504"/>
        <v>0</v>
      </c>
      <c r="PB219" s="91">
        <f t="shared" si="1505"/>
        <v>0</v>
      </c>
      <c r="PQ219" s="91">
        <f t="shared" si="1506"/>
        <v>0</v>
      </c>
      <c r="PR219" s="91">
        <f t="shared" si="1507"/>
        <v>0</v>
      </c>
      <c r="QG219" s="91">
        <f t="shared" si="1508"/>
        <v>0</v>
      </c>
      <c r="QH219" s="91">
        <f t="shared" si="1509"/>
        <v>0</v>
      </c>
      <c r="QW219" s="91">
        <f t="shared" si="1510"/>
        <v>0</v>
      </c>
      <c r="QX219" s="91">
        <f t="shared" si="1511"/>
        <v>0</v>
      </c>
      <c r="RM219" s="91">
        <f t="shared" si="1512"/>
        <v>0</v>
      </c>
      <c r="RN219" s="91">
        <f t="shared" si="1513"/>
        <v>0</v>
      </c>
      <c r="SC219" s="91">
        <f t="shared" si="1514"/>
        <v>0</v>
      </c>
      <c r="SD219" s="91">
        <f t="shared" si="1515"/>
        <v>0</v>
      </c>
      <c r="SS219" s="91">
        <f t="shared" si="1516"/>
        <v>0</v>
      </c>
      <c r="ST219" s="91">
        <f t="shared" si="1517"/>
        <v>0</v>
      </c>
      <c r="TI219" s="91">
        <f t="shared" si="1518"/>
        <v>0</v>
      </c>
      <c r="TJ219" s="91">
        <f t="shared" si="1519"/>
        <v>0</v>
      </c>
      <c r="TY219" s="91">
        <f t="shared" si="1520"/>
        <v>0</v>
      </c>
      <c r="TZ219" s="91">
        <f t="shared" si="1521"/>
        <v>0</v>
      </c>
      <c r="UO219" s="91">
        <f t="shared" si="1522"/>
        <v>0</v>
      </c>
      <c r="UP219" s="91">
        <f t="shared" si="1523"/>
        <v>0</v>
      </c>
      <c r="VE219" s="91">
        <f t="shared" si="1524"/>
        <v>0</v>
      </c>
      <c r="VF219" s="91">
        <f t="shared" si="1525"/>
        <v>0</v>
      </c>
      <c r="VU219" s="91">
        <f t="shared" si="1526"/>
        <v>0</v>
      </c>
      <c r="VV219" s="91">
        <f t="shared" si="1527"/>
        <v>0</v>
      </c>
      <c r="WK219" s="91">
        <f t="shared" si="1528"/>
        <v>0</v>
      </c>
      <c r="WL219" s="91">
        <f t="shared" si="1529"/>
        <v>0</v>
      </c>
      <c r="WM219" s="89"/>
      <c r="WN219" s="87">
        <f t="shared" si="1530"/>
        <v>0</v>
      </c>
      <c r="WO219" s="87">
        <f t="shared" si="1531"/>
        <v>0</v>
      </c>
      <c r="WP219" s="87">
        <f t="shared" si="1532"/>
        <v>0</v>
      </c>
      <c r="WQ219" s="87">
        <f t="shared" si="1533"/>
        <v>0</v>
      </c>
      <c r="WR219" s="87">
        <f t="shared" si="1534"/>
        <v>0</v>
      </c>
      <c r="WS219" s="87">
        <f t="shared" si="1535"/>
        <v>0</v>
      </c>
      <c r="WT219" s="87">
        <f t="shared" si="1536"/>
        <v>200</v>
      </c>
      <c r="WU219" s="87">
        <f t="shared" si="1537"/>
        <v>21000</v>
      </c>
      <c r="WV219" s="87">
        <f t="shared" si="1538"/>
        <v>0</v>
      </c>
      <c r="WW219" s="87">
        <f t="shared" si="1539"/>
        <v>0</v>
      </c>
      <c r="WX219" s="87">
        <f t="shared" si="1540"/>
        <v>0</v>
      </c>
      <c r="WY219" s="87">
        <f t="shared" si="1541"/>
        <v>0</v>
      </c>
      <c r="WZ219" s="87">
        <f t="shared" si="1542"/>
        <v>0</v>
      </c>
      <c r="XA219" s="87">
        <f t="shared" si="1543"/>
        <v>0</v>
      </c>
      <c r="XB219" s="92">
        <f t="shared" si="1544"/>
        <v>200</v>
      </c>
      <c r="XC219" s="92">
        <f t="shared" si="1545"/>
        <v>21000</v>
      </c>
      <c r="XD219" s="89"/>
      <c r="XE219" s="92"/>
      <c r="XF219" s="92"/>
      <c r="XG219" s="89"/>
      <c r="XH219" s="92"/>
      <c r="XI219" s="92"/>
      <c r="XJ219" s="89"/>
      <c r="XK219" s="87"/>
      <c r="XL219" s="87"/>
      <c r="XM219" s="87"/>
      <c r="XN219" s="87"/>
      <c r="XO219" s="87"/>
      <c r="XP219" s="87"/>
      <c r="XQ219" s="87"/>
      <c r="XR219" s="92">
        <f t="shared" ca="1" si="1546"/>
        <v>0</v>
      </c>
      <c r="XS219" s="89"/>
      <c r="XT219" s="87"/>
      <c r="XU219" s="87"/>
      <c r="XV219" s="87"/>
      <c r="XW219" s="87"/>
      <c r="XX219" s="87"/>
      <c r="XY219" s="87"/>
      <c r="XZ219" s="87"/>
      <c r="YA219" s="92">
        <f t="shared" ca="1" si="1547"/>
        <v>0</v>
      </c>
      <c r="YB219" s="90"/>
      <c r="YC219" s="90"/>
      <c r="YD219" s="90"/>
      <c r="YE219" s="90"/>
      <c r="YF219" s="90"/>
      <c r="YG219" s="90"/>
      <c r="YH219" s="90"/>
      <c r="YI219" s="90"/>
      <c r="YJ219" s="90"/>
      <c r="YK219" s="90"/>
      <c r="YL219" s="90"/>
      <c r="YM219" s="90"/>
      <c r="YN219" s="90"/>
      <c r="YO219" s="90"/>
      <c r="YP219" s="90"/>
      <c r="YQ219" s="90"/>
      <c r="YR219" s="90"/>
      <c r="YS219" s="90"/>
      <c r="YT219" s="90"/>
      <c r="YU219" s="90"/>
      <c r="YV219" s="90"/>
      <c r="YW219" s="90"/>
      <c r="YX219" s="90"/>
      <c r="YY219" s="90"/>
      <c r="YZ219" s="90"/>
      <c r="ZA219" s="90"/>
      <c r="ZB219" s="90"/>
      <c r="ZC219" s="90"/>
      <c r="ZD219" s="90"/>
      <c r="ZE219" s="90"/>
      <c r="ZF219" s="90"/>
      <c r="ZG219" s="90"/>
      <c r="ZH219" s="90"/>
      <c r="ZI219" s="90"/>
      <c r="ZJ219" s="90"/>
      <c r="ZK219" s="90"/>
      <c r="ZL219" s="90"/>
      <c r="ZM219" s="90"/>
      <c r="ZN219" s="90"/>
      <c r="ZO219" s="90"/>
      <c r="ZP219" s="90"/>
      <c r="ZQ219" s="90"/>
      <c r="ZR219" s="90"/>
      <c r="ZS219" s="90"/>
      <c r="ZT219" s="90"/>
      <c r="ZU219" s="90"/>
      <c r="ZV219" s="90"/>
      <c r="ZW219" s="90"/>
      <c r="ZX219" s="90"/>
      <c r="ZY219" s="90"/>
      <c r="ZZ219" s="90"/>
      <c r="AAA219" s="90"/>
      <c r="AAB219" s="90"/>
      <c r="AAC219" s="90"/>
      <c r="AAD219" s="90"/>
      <c r="AAE219" s="90"/>
      <c r="AAF219" s="90"/>
      <c r="AAG219" s="90"/>
      <c r="AAH219" s="90"/>
      <c r="AAI219" s="90"/>
      <c r="AAJ219" s="90"/>
      <c r="AAK219" s="90"/>
      <c r="AAL219" s="90"/>
      <c r="AAM219" s="90"/>
      <c r="AAN219" s="90"/>
      <c r="AAO219" s="90"/>
      <c r="AAP219" s="90"/>
      <c r="AAQ219" s="90"/>
      <c r="AAR219" s="90"/>
      <c r="AAS219" s="90"/>
      <c r="AAT219" s="90"/>
      <c r="AAU219" s="90"/>
      <c r="AAV219" s="90"/>
      <c r="AAW219" s="90"/>
      <c r="AAX219" s="90"/>
      <c r="AAY219" s="90"/>
      <c r="AAZ219" s="90"/>
      <c r="ABA219" s="90"/>
      <c r="ABB219" s="90"/>
      <c r="ABC219" s="90"/>
      <c r="ABD219" s="90"/>
      <c r="ABE219" s="90"/>
      <c r="ABF219" s="90"/>
      <c r="ABG219" s="90"/>
      <c r="ABH219" s="90"/>
      <c r="ABI219" s="90"/>
      <c r="ABJ219" s="90"/>
      <c r="ABK219" s="90"/>
      <c r="ABL219" s="90"/>
      <c r="ABM219" s="90"/>
      <c r="ABN219" s="90"/>
      <c r="ABO219" s="90"/>
      <c r="ABP219" s="90"/>
      <c r="ABQ219" s="90"/>
      <c r="ABR219" s="90"/>
      <c r="ABS219" s="90"/>
      <c r="ABT219" s="90"/>
      <c r="ABU219" s="90"/>
      <c r="ABV219" s="90"/>
      <c r="ABW219" s="90"/>
      <c r="ABX219" s="90"/>
      <c r="ABY219" s="90"/>
      <c r="ABZ219" s="90"/>
      <c r="ACA219" s="90"/>
      <c r="ACB219" s="90"/>
      <c r="ACC219" s="90"/>
      <c r="ACD219" s="90"/>
      <c r="ACE219" s="90"/>
      <c r="ACF219" s="90"/>
      <c r="ACG219" s="90"/>
      <c r="ACH219" s="90"/>
      <c r="ACI219" s="90"/>
      <c r="ACJ219" s="90"/>
      <c r="ACK219" s="90"/>
      <c r="ACL219" s="90"/>
      <c r="ACM219" s="90"/>
      <c r="ACN219" s="90"/>
      <c r="ACO219" s="90"/>
      <c r="ACP219" s="90"/>
      <c r="ACQ219" s="90"/>
      <c r="ACR219" s="90"/>
      <c r="ACS219" s="90"/>
      <c r="ACT219" s="90"/>
      <c r="ACU219" s="90"/>
      <c r="ACV219" s="90"/>
      <c r="ACW219" s="90"/>
      <c r="ACX219" s="90"/>
      <c r="ACY219" s="90"/>
      <c r="ACZ219" s="90"/>
      <c r="ADA219" s="90"/>
      <c r="ADB219" s="90"/>
      <c r="ADC219" s="90"/>
      <c r="ADD219" s="90"/>
      <c r="ADE219" s="90"/>
      <c r="ADF219" s="90"/>
      <c r="ADG219" s="90"/>
      <c r="ADH219" s="90"/>
      <c r="ADI219" s="90"/>
      <c r="ADJ219" s="90"/>
      <c r="ADK219" s="90"/>
      <c r="ADL219" s="90"/>
      <c r="ADM219" s="90"/>
      <c r="ADN219" s="90"/>
      <c r="ADO219" s="90"/>
      <c r="ADP219" s="90"/>
      <c r="ADQ219" s="90"/>
      <c r="ADR219" s="90"/>
      <c r="ADS219" s="90"/>
      <c r="ADT219" s="90"/>
      <c r="ADU219" s="90"/>
      <c r="ADV219" s="90"/>
      <c r="ADW219" s="90"/>
      <c r="ADX219" s="90"/>
      <c r="ADY219" s="90"/>
      <c r="ADZ219" s="90"/>
      <c r="AEA219" s="90"/>
      <c r="AEB219" s="90"/>
      <c r="AEC219" s="90"/>
      <c r="AED219" s="90"/>
      <c r="AEE219" s="90"/>
      <c r="AEF219" s="90"/>
      <c r="AEG219" s="90"/>
      <c r="AEH219" s="90"/>
      <c r="AEI219" s="90"/>
      <c r="AEJ219" s="90"/>
      <c r="AEK219" s="90"/>
      <c r="AEL219" s="90"/>
      <c r="AEM219" s="90"/>
      <c r="AEN219" s="90"/>
      <c r="AEO219" s="90"/>
      <c r="AEP219" s="90"/>
      <c r="AEQ219" s="90"/>
      <c r="AER219" s="90"/>
      <c r="AES219" s="90"/>
      <c r="AET219" s="90"/>
      <c r="AEU219" s="90"/>
      <c r="AEV219" s="90"/>
      <c r="AEW219" s="90"/>
      <c r="AEX219" s="90"/>
      <c r="AEY219" s="90"/>
      <c r="AEZ219" s="90"/>
      <c r="AFA219" s="90"/>
      <c r="AFB219" s="90"/>
      <c r="AFC219" s="90"/>
      <c r="AFD219" s="90"/>
      <c r="AFE219" s="90"/>
      <c r="AFF219" s="90"/>
      <c r="AFG219" s="90"/>
      <c r="AFH219" s="90"/>
      <c r="AFI219" s="90"/>
      <c r="AFJ219" s="90"/>
      <c r="AFK219" s="90"/>
      <c r="AFL219" s="90"/>
      <c r="AFM219" s="90"/>
      <c r="AFN219" s="90"/>
      <c r="AFO219" s="90"/>
      <c r="AFP219" s="90"/>
      <c r="AFQ219" s="90"/>
      <c r="AFR219" s="90"/>
      <c r="AFS219" s="90"/>
      <c r="AFT219" s="90"/>
      <c r="AFU219" s="90"/>
      <c r="AFV219" s="90"/>
      <c r="AFW219" s="90"/>
      <c r="AFX219" s="90"/>
      <c r="AFY219" s="90"/>
      <c r="AFZ219" s="90"/>
      <c r="AGA219" s="90"/>
      <c r="AGB219" s="90"/>
      <c r="AGC219" s="90"/>
      <c r="AGD219" s="90"/>
      <c r="AGE219" s="90"/>
      <c r="AGF219" s="90"/>
      <c r="AGG219" s="90"/>
      <c r="AGH219" s="90"/>
      <c r="AGI219" s="90"/>
      <c r="AGJ219" s="90"/>
      <c r="AGK219" s="90"/>
      <c r="AGL219" s="90"/>
      <c r="AGM219" s="90"/>
      <c r="AGN219" s="90"/>
      <c r="AGO219" s="90"/>
      <c r="AGP219" s="90"/>
      <c r="AGQ219" s="90"/>
      <c r="AGR219" s="90"/>
      <c r="AGS219" s="90"/>
      <c r="AGT219" s="90"/>
      <c r="AGU219" s="90"/>
      <c r="AGV219" s="90"/>
      <c r="AGW219" s="90"/>
      <c r="AGX219" s="90"/>
      <c r="AGY219" s="90"/>
      <c r="AGZ219" s="90"/>
      <c r="AHA219" s="90"/>
      <c r="AHB219" s="90"/>
      <c r="AHC219" s="90"/>
      <c r="AHD219" s="90"/>
      <c r="AHE219" s="90"/>
      <c r="AHF219" s="90"/>
      <c r="AHG219" s="90"/>
      <c r="AHH219" s="90"/>
      <c r="AHI219" s="90"/>
      <c r="AHJ219" s="90"/>
      <c r="AHK219" s="90"/>
      <c r="AHL219" s="90"/>
      <c r="AHM219" s="90"/>
      <c r="AHN219" s="90"/>
      <c r="AHO219" s="90"/>
      <c r="AHP219" s="90"/>
      <c r="AHQ219" s="90"/>
      <c r="AHR219" s="90"/>
      <c r="AHS219" s="90"/>
      <c r="AHT219" s="90"/>
      <c r="AHU219" s="90"/>
      <c r="AHV219" s="90"/>
      <c r="AHW219" s="90"/>
      <c r="AHX219" s="90"/>
      <c r="AHY219" s="90"/>
      <c r="AHZ219" s="90"/>
      <c r="AIA219" s="90"/>
      <c r="AIB219" s="90"/>
      <c r="AIC219" s="90"/>
      <c r="AID219" s="90"/>
      <c r="AIE219" s="90"/>
      <c r="AIF219" s="90"/>
      <c r="AIG219" s="90"/>
      <c r="AIH219" s="90"/>
      <c r="AII219" s="90"/>
      <c r="AIJ219" s="90"/>
      <c r="AIK219" s="90"/>
      <c r="AIL219" s="90"/>
      <c r="AIM219" s="90"/>
      <c r="AIN219" s="90"/>
      <c r="AIO219" s="90"/>
      <c r="AIP219" s="90"/>
      <c r="AIQ219" s="90"/>
      <c r="AIR219" s="90"/>
      <c r="AIS219" s="90"/>
      <c r="AIT219" s="90"/>
      <c r="AIU219" s="90"/>
      <c r="AIV219" s="90"/>
      <c r="AIW219" s="90"/>
      <c r="AIX219" s="90"/>
      <c r="AIY219" s="90"/>
      <c r="AIZ219" s="90"/>
      <c r="AJA219" s="90"/>
      <c r="AJB219" s="90"/>
      <c r="AJC219" s="90"/>
      <c r="AJD219" s="90"/>
      <c r="AJE219" s="90"/>
      <c r="AJF219" s="90"/>
      <c r="AJG219" s="90"/>
      <c r="AJH219" s="90"/>
      <c r="AJI219" s="90"/>
      <c r="AJJ219" s="90"/>
      <c r="AJK219" s="90"/>
      <c r="AJL219" s="90"/>
      <c r="AJM219" s="90"/>
      <c r="AJN219" s="90"/>
      <c r="AJO219" s="90"/>
      <c r="AJP219" s="90"/>
      <c r="AJQ219" s="90"/>
      <c r="AJR219" s="90"/>
      <c r="AJS219" s="90"/>
      <c r="AJT219" s="90"/>
      <c r="AJU219" s="90"/>
      <c r="AJV219" s="90"/>
      <c r="AJW219" s="90"/>
      <c r="AJX219" s="90"/>
      <c r="AJY219" s="90"/>
      <c r="AJZ219" s="90"/>
      <c r="AKA219" s="90"/>
      <c r="AKB219" s="90"/>
      <c r="AKC219" s="90"/>
      <c r="AKD219" s="90"/>
      <c r="AKE219" s="90"/>
      <c r="AKF219" s="90"/>
      <c r="AKG219" s="90"/>
      <c r="AKH219" s="90"/>
      <c r="AKI219" s="90"/>
      <c r="AKJ219" s="90"/>
      <c r="AKK219" s="90"/>
      <c r="AKL219" s="90"/>
      <c r="AKM219" s="90"/>
      <c r="AKN219" s="90"/>
      <c r="AKO219" s="90"/>
      <c r="AKP219" s="90"/>
      <c r="AKQ219" s="90"/>
      <c r="AKR219" s="90"/>
      <c r="AKS219" s="90"/>
      <c r="AKT219" s="90"/>
      <c r="AKU219" s="90"/>
      <c r="AKV219" s="90"/>
      <c r="AKW219" s="90"/>
      <c r="AKX219" s="90"/>
      <c r="AKY219" s="90"/>
      <c r="AKZ219" s="90"/>
      <c r="ALA219" s="90"/>
      <c r="ALB219" s="90"/>
      <c r="ALC219" s="90"/>
      <c r="ALD219" s="90"/>
      <c r="ALE219" s="90"/>
      <c r="ALF219" s="90"/>
      <c r="ALG219" s="90"/>
      <c r="ALH219" s="90"/>
      <c r="ALI219" s="90"/>
      <c r="ALJ219" s="90"/>
      <c r="ALK219" s="90"/>
      <c r="ALL219" s="90"/>
      <c r="ALM219" s="90"/>
      <c r="ALN219" s="90"/>
      <c r="ALO219" s="90"/>
      <c r="ALP219" s="90"/>
      <c r="ALQ219" s="90"/>
      <c r="ALR219" s="90"/>
      <c r="ALS219" s="90"/>
      <c r="ALT219" s="90"/>
      <c r="ALU219" s="90"/>
      <c r="ALV219" s="90"/>
      <c r="ALW219" s="90"/>
      <c r="ALX219" s="90"/>
      <c r="ALY219" s="90"/>
      <c r="ALZ219" s="90"/>
      <c r="AMA219" s="90"/>
      <c r="AMB219" s="90"/>
      <c r="AMC219" s="90"/>
    </row>
    <row r="220" spans="1:1017">
      <c r="A220" s="98" t="s">
        <v>50</v>
      </c>
      <c r="B220" s="90" t="str">
        <f t="shared" si="1453"/>
        <v xml:space="preserve">Mas, Ikan Mas, Karper </v>
      </c>
      <c r="Q220" s="91">
        <f t="shared" si="1454"/>
        <v>0</v>
      </c>
      <c r="R220" s="91">
        <f t="shared" si="1455"/>
        <v>0</v>
      </c>
      <c r="Y220" s="98">
        <v>8205</v>
      </c>
      <c r="Z220" s="98">
        <v>287175</v>
      </c>
      <c r="AA220" s="98">
        <v>2600</v>
      </c>
      <c r="AB220" s="98">
        <v>91000</v>
      </c>
      <c r="AC220" s="98">
        <v>1625</v>
      </c>
      <c r="AD220" s="98">
        <v>56875</v>
      </c>
      <c r="AE220" s="98">
        <v>580</v>
      </c>
      <c r="AF220" s="98">
        <v>20300</v>
      </c>
      <c r="AG220" s="91">
        <f t="shared" si="1456"/>
        <v>13010</v>
      </c>
      <c r="AH220" s="91">
        <f t="shared" si="1457"/>
        <v>455350</v>
      </c>
      <c r="AW220" s="91">
        <f t="shared" si="1458"/>
        <v>0</v>
      </c>
      <c r="AX220" s="91">
        <f t="shared" si="1459"/>
        <v>0</v>
      </c>
      <c r="BM220" s="91">
        <f t="shared" si="1460"/>
        <v>0</v>
      </c>
      <c r="BN220" s="91">
        <f t="shared" si="1461"/>
        <v>0</v>
      </c>
      <c r="CC220" s="91">
        <f t="shared" si="1462"/>
        <v>0</v>
      </c>
      <c r="CD220" s="91">
        <f t="shared" si="1463"/>
        <v>0</v>
      </c>
      <c r="CK220" s="98">
        <v>228351.58056122999</v>
      </c>
      <c r="CL220" s="98">
        <v>3196922.1278572199</v>
      </c>
      <c r="CS220" s="91">
        <f t="shared" si="1548"/>
        <v>228351.58056122999</v>
      </c>
      <c r="CT220" s="91">
        <f t="shared" si="1549"/>
        <v>3196922.1278572199</v>
      </c>
      <c r="DA220" s="98">
        <v>6200</v>
      </c>
      <c r="DB220" s="98">
        <v>136400</v>
      </c>
      <c r="DC220" s="98">
        <v>850</v>
      </c>
      <c r="DD220" s="98">
        <v>18700</v>
      </c>
      <c r="DI220" s="91">
        <f t="shared" si="1466"/>
        <v>7050</v>
      </c>
      <c r="DJ220" s="91">
        <f t="shared" si="1467"/>
        <v>155100</v>
      </c>
      <c r="DQ220" s="98">
        <v>17600</v>
      </c>
      <c r="DR220" s="98">
        <v>352000</v>
      </c>
      <c r="DY220" s="91">
        <f t="shared" si="1468"/>
        <v>17600</v>
      </c>
      <c r="DZ220" s="91">
        <f t="shared" si="1469"/>
        <v>352000</v>
      </c>
      <c r="EG220" s="98">
        <v>310</v>
      </c>
      <c r="EH220" s="98">
        <v>4650</v>
      </c>
      <c r="EO220" s="91">
        <f t="shared" si="1470"/>
        <v>310</v>
      </c>
      <c r="EP220" s="91">
        <f t="shared" si="1471"/>
        <v>4650</v>
      </c>
      <c r="EW220" s="98">
        <v>212889</v>
      </c>
      <c r="EX220" s="98">
        <v>2128890</v>
      </c>
      <c r="EZ220" s="98" t="s">
        <v>384</v>
      </c>
      <c r="FE220" s="91">
        <f t="shared" si="1472"/>
        <v>212889</v>
      </c>
      <c r="FF220" s="91">
        <f t="shared" si="1473"/>
        <v>2128890</v>
      </c>
      <c r="FM220" s="98">
        <v>288</v>
      </c>
      <c r="FN220" s="98">
        <v>8640</v>
      </c>
      <c r="FU220" s="91">
        <f t="shared" si="1474"/>
        <v>288</v>
      </c>
      <c r="FV220" s="91">
        <f t="shared" si="1475"/>
        <v>8640</v>
      </c>
      <c r="GC220" s="98">
        <v>350</v>
      </c>
      <c r="GD220" s="98">
        <v>8750</v>
      </c>
      <c r="GK220" s="91">
        <f t="shared" si="1476"/>
        <v>350</v>
      </c>
      <c r="GL220" s="91">
        <f t="shared" si="1477"/>
        <v>8750</v>
      </c>
      <c r="GS220" s="98">
        <v>2600</v>
      </c>
      <c r="GT220" s="98">
        <v>70200</v>
      </c>
      <c r="GY220" s="98">
        <v>30</v>
      </c>
      <c r="GZ220" s="98">
        <v>840</v>
      </c>
      <c r="HA220" s="91">
        <f t="shared" si="1478"/>
        <v>2630</v>
      </c>
      <c r="HB220" s="91">
        <f t="shared" si="1479"/>
        <v>71040</v>
      </c>
      <c r="HI220" s="98">
        <v>1500</v>
      </c>
      <c r="HJ220" s="98">
        <v>45000</v>
      </c>
      <c r="HQ220" s="91">
        <f t="shared" si="1480"/>
        <v>1500</v>
      </c>
      <c r="HR220" s="91">
        <f t="shared" si="1481"/>
        <v>45000</v>
      </c>
      <c r="IG220" s="91">
        <f t="shared" si="1482"/>
        <v>0</v>
      </c>
      <c r="IH220" s="91">
        <f t="shared" si="1483"/>
        <v>0</v>
      </c>
      <c r="IW220" s="91">
        <f t="shared" si="1484"/>
        <v>0</v>
      </c>
      <c r="IX220" s="91">
        <f t="shared" si="1485"/>
        <v>0</v>
      </c>
      <c r="JE220" s="98">
        <v>80</v>
      </c>
      <c r="JF220" s="98">
        <v>1760</v>
      </c>
      <c r="JM220" s="91">
        <f t="shared" si="1486"/>
        <v>80</v>
      </c>
      <c r="JN220" s="91">
        <f t="shared" si="1487"/>
        <v>1760</v>
      </c>
      <c r="KC220" s="91">
        <f t="shared" si="1488"/>
        <v>0</v>
      </c>
      <c r="KD220" s="91">
        <f t="shared" si="1489"/>
        <v>0</v>
      </c>
      <c r="KS220" s="91">
        <f t="shared" si="1490"/>
        <v>0</v>
      </c>
      <c r="KT220" s="91">
        <f t="shared" si="1491"/>
        <v>0</v>
      </c>
      <c r="LI220" s="91">
        <f t="shared" si="1492"/>
        <v>0</v>
      </c>
      <c r="LJ220" s="91">
        <f t="shared" si="1493"/>
        <v>0</v>
      </c>
      <c r="LY220" s="91">
        <f t="shared" si="1494"/>
        <v>0</v>
      </c>
      <c r="LZ220" s="91">
        <f t="shared" si="1495"/>
        <v>0</v>
      </c>
      <c r="MO220" s="91">
        <f t="shared" si="1496"/>
        <v>0</v>
      </c>
      <c r="MP220" s="91">
        <f t="shared" si="1497"/>
        <v>0</v>
      </c>
      <c r="NE220" s="91">
        <f t="shared" si="1498"/>
        <v>0</v>
      </c>
      <c r="NF220" s="91">
        <f t="shared" si="1499"/>
        <v>0</v>
      </c>
      <c r="NU220" s="91">
        <f t="shared" si="1500"/>
        <v>0</v>
      </c>
      <c r="NV220" s="91">
        <f t="shared" si="1501"/>
        <v>0</v>
      </c>
      <c r="OK220" s="91">
        <f t="shared" si="1502"/>
        <v>0</v>
      </c>
      <c r="OL220" s="91">
        <f t="shared" si="1503"/>
        <v>0</v>
      </c>
      <c r="PA220" s="91">
        <f t="shared" si="1504"/>
        <v>0</v>
      </c>
      <c r="PB220" s="91">
        <f t="shared" si="1505"/>
        <v>0</v>
      </c>
      <c r="PQ220" s="91">
        <f t="shared" si="1506"/>
        <v>0</v>
      </c>
      <c r="PR220" s="91">
        <f t="shared" si="1507"/>
        <v>0</v>
      </c>
      <c r="PY220" s="98">
        <v>114900</v>
      </c>
      <c r="PZ220" s="98">
        <v>2068200</v>
      </c>
      <c r="QA220" s="98">
        <v>161010</v>
      </c>
      <c r="QB220" s="98">
        <v>2898180</v>
      </c>
      <c r="QC220" s="98">
        <v>60770</v>
      </c>
      <c r="QD220" s="98">
        <v>1093860</v>
      </c>
      <c r="QG220" s="91">
        <f t="shared" si="1508"/>
        <v>336680</v>
      </c>
      <c r="QH220" s="91">
        <f t="shared" si="1509"/>
        <v>6060240</v>
      </c>
      <c r="QW220" s="91">
        <f t="shared" si="1510"/>
        <v>0</v>
      </c>
      <c r="QX220" s="91">
        <f t="shared" si="1511"/>
        <v>0</v>
      </c>
      <c r="RE220" s="98">
        <v>155</v>
      </c>
      <c r="RF220" s="98">
        <v>5735</v>
      </c>
      <c r="RM220" s="91">
        <f t="shared" si="1512"/>
        <v>155</v>
      </c>
      <c r="RN220" s="91">
        <f t="shared" si="1513"/>
        <v>5735</v>
      </c>
      <c r="SC220" s="91">
        <f t="shared" si="1514"/>
        <v>0</v>
      </c>
      <c r="SD220" s="91">
        <f t="shared" si="1515"/>
        <v>0</v>
      </c>
      <c r="SS220" s="91">
        <f t="shared" si="1516"/>
        <v>0</v>
      </c>
      <c r="ST220" s="91">
        <f t="shared" si="1517"/>
        <v>0</v>
      </c>
      <c r="TI220" s="91">
        <f t="shared" si="1518"/>
        <v>0</v>
      </c>
      <c r="TJ220" s="91">
        <f t="shared" si="1519"/>
        <v>0</v>
      </c>
      <c r="TU220" s="98">
        <v>1000</v>
      </c>
      <c r="TV220" s="98">
        <v>35000</v>
      </c>
      <c r="TY220" s="91">
        <f t="shared" si="1520"/>
        <v>1000</v>
      </c>
      <c r="TZ220" s="91">
        <f t="shared" si="1521"/>
        <v>35000</v>
      </c>
      <c r="UO220" s="91">
        <f t="shared" si="1522"/>
        <v>0</v>
      </c>
      <c r="UP220" s="91">
        <f t="shared" si="1523"/>
        <v>0</v>
      </c>
      <c r="VE220" s="91">
        <f t="shared" si="1524"/>
        <v>0</v>
      </c>
      <c r="VF220" s="91">
        <f t="shared" si="1525"/>
        <v>0</v>
      </c>
      <c r="VU220" s="91">
        <f t="shared" si="1526"/>
        <v>0</v>
      </c>
      <c r="VV220" s="91">
        <f t="shared" si="1527"/>
        <v>0</v>
      </c>
      <c r="WK220" s="91">
        <f t="shared" si="1528"/>
        <v>0</v>
      </c>
      <c r="WL220" s="91">
        <f t="shared" si="1529"/>
        <v>0</v>
      </c>
      <c r="WM220" s="89"/>
      <c r="WN220" s="87">
        <f t="shared" si="1530"/>
        <v>0</v>
      </c>
      <c r="WO220" s="87">
        <f t="shared" si="1531"/>
        <v>0</v>
      </c>
      <c r="WP220" s="87">
        <f t="shared" si="1532"/>
        <v>0</v>
      </c>
      <c r="WQ220" s="87">
        <f t="shared" si="1533"/>
        <v>0</v>
      </c>
      <c r="WR220" s="87">
        <f t="shared" si="1534"/>
        <v>0</v>
      </c>
      <c r="WS220" s="87">
        <f t="shared" si="1535"/>
        <v>0</v>
      </c>
      <c r="WT220" s="87">
        <f t="shared" si="1536"/>
        <v>593428.58056122996</v>
      </c>
      <c r="WU220" s="87">
        <f t="shared" si="1537"/>
        <v>8314322.1278572194</v>
      </c>
      <c r="WV220" s="87">
        <f t="shared" si="1538"/>
        <v>164460</v>
      </c>
      <c r="WW220" s="87">
        <f t="shared" si="1539"/>
        <v>3007880</v>
      </c>
      <c r="WX220" s="87">
        <f t="shared" si="1540"/>
        <v>63395</v>
      </c>
      <c r="WY220" s="87">
        <f t="shared" si="1541"/>
        <v>1185735</v>
      </c>
      <c r="WZ220" s="87">
        <f t="shared" si="1542"/>
        <v>610</v>
      </c>
      <c r="XA220" s="87">
        <f t="shared" si="1543"/>
        <v>21140</v>
      </c>
      <c r="XB220" s="92">
        <f t="shared" si="1544"/>
        <v>821893.58056122996</v>
      </c>
      <c r="XC220" s="92">
        <f t="shared" si="1545"/>
        <v>12529077.127857219</v>
      </c>
      <c r="XD220" s="89"/>
      <c r="XE220" s="92"/>
      <c r="XF220" s="92"/>
      <c r="XG220" s="89"/>
      <c r="XH220" s="92"/>
      <c r="XI220" s="92"/>
      <c r="XJ220" s="89"/>
      <c r="XK220" s="87"/>
      <c r="XL220" s="87"/>
      <c r="XM220" s="87"/>
      <c r="XN220" s="87"/>
      <c r="XO220" s="87"/>
      <c r="XP220" s="87"/>
      <c r="XQ220" s="87"/>
      <c r="XR220" s="92">
        <f t="shared" ca="1" si="1546"/>
        <v>0</v>
      </c>
      <c r="XS220" s="89"/>
      <c r="XT220" s="87"/>
      <c r="XU220" s="87"/>
      <c r="XV220" s="87"/>
      <c r="XW220" s="87"/>
      <c r="XX220" s="87"/>
      <c r="XY220" s="87"/>
      <c r="XZ220" s="87"/>
      <c r="YA220" s="92">
        <f t="shared" ca="1" si="1547"/>
        <v>0</v>
      </c>
      <c r="YB220" s="90"/>
      <c r="YC220" s="90"/>
      <c r="YD220" s="90"/>
      <c r="YE220" s="90"/>
      <c r="YF220" s="90"/>
      <c r="YG220" s="90"/>
      <c r="YH220" s="90"/>
      <c r="YI220" s="90"/>
      <c r="YJ220" s="90"/>
      <c r="YK220" s="90"/>
      <c r="YL220" s="90"/>
      <c r="YM220" s="90"/>
      <c r="YN220" s="90"/>
      <c r="YO220" s="90"/>
      <c r="YP220" s="90"/>
      <c r="YQ220" s="90"/>
      <c r="YR220" s="90"/>
      <c r="YS220" s="90"/>
      <c r="YT220" s="90"/>
      <c r="YU220" s="90"/>
      <c r="YV220" s="90"/>
      <c r="YW220" s="90"/>
      <c r="YX220" s="90"/>
      <c r="YY220" s="90"/>
      <c r="YZ220" s="90"/>
      <c r="ZA220" s="90"/>
      <c r="ZB220" s="90"/>
      <c r="ZC220" s="90"/>
      <c r="ZD220" s="90"/>
      <c r="ZE220" s="90"/>
      <c r="ZF220" s="90"/>
      <c r="ZG220" s="90"/>
      <c r="ZH220" s="90"/>
      <c r="ZI220" s="90"/>
      <c r="ZJ220" s="90"/>
      <c r="ZK220" s="90"/>
      <c r="ZL220" s="90"/>
      <c r="ZM220" s="90"/>
      <c r="ZN220" s="90"/>
      <c r="ZO220" s="90"/>
      <c r="ZP220" s="90"/>
      <c r="ZQ220" s="90"/>
      <c r="ZR220" s="90"/>
      <c r="ZS220" s="90"/>
      <c r="ZT220" s="90"/>
      <c r="ZU220" s="90"/>
      <c r="ZV220" s="90"/>
      <c r="ZW220" s="90"/>
      <c r="ZX220" s="90"/>
      <c r="ZY220" s="90"/>
      <c r="ZZ220" s="90"/>
      <c r="AAA220" s="90"/>
      <c r="AAB220" s="90"/>
      <c r="AAC220" s="90"/>
      <c r="AAD220" s="90"/>
      <c r="AAE220" s="90"/>
      <c r="AAF220" s="90"/>
      <c r="AAG220" s="90"/>
      <c r="AAH220" s="90"/>
      <c r="AAI220" s="90"/>
      <c r="AAJ220" s="90"/>
      <c r="AAK220" s="90"/>
      <c r="AAL220" s="90"/>
      <c r="AAM220" s="90"/>
      <c r="AAN220" s="90"/>
      <c r="AAO220" s="90"/>
      <c r="AAP220" s="90"/>
      <c r="AAQ220" s="90"/>
      <c r="AAR220" s="90"/>
      <c r="AAS220" s="90"/>
      <c r="AAT220" s="90"/>
      <c r="AAU220" s="90"/>
      <c r="AAV220" s="90"/>
      <c r="AAW220" s="90"/>
      <c r="AAX220" s="90"/>
      <c r="AAY220" s="90"/>
      <c r="AAZ220" s="90"/>
      <c r="ABA220" s="90"/>
      <c r="ABB220" s="90"/>
      <c r="ABC220" s="90"/>
      <c r="ABD220" s="90"/>
      <c r="ABE220" s="90"/>
      <c r="ABF220" s="90"/>
      <c r="ABG220" s="90"/>
      <c r="ABH220" s="90"/>
      <c r="ABI220" s="90"/>
      <c r="ABJ220" s="90"/>
      <c r="ABK220" s="90"/>
      <c r="ABL220" s="90"/>
      <c r="ABM220" s="90"/>
      <c r="ABN220" s="90"/>
      <c r="ABO220" s="90"/>
      <c r="ABP220" s="90"/>
      <c r="ABQ220" s="90"/>
      <c r="ABR220" s="90"/>
      <c r="ABS220" s="90"/>
      <c r="ABT220" s="90"/>
      <c r="ABU220" s="90"/>
      <c r="ABV220" s="90"/>
      <c r="ABW220" s="90"/>
      <c r="ABX220" s="90"/>
      <c r="ABY220" s="90"/>
      <c r="ABZ220" s="90"/>
      <c r="ACA220" s="90"/>
      <c r="ACB220" s="90"/>
      <c r="ACC220" s="90"/>
      <c r="ACD220" s="90"/>
      <c r="ACE220" s="90"/>
      <c r="ACF220" s="90"/>
      <c r="ACG220" s="90"/>
      <c r="ACH220" s="90"/>
      <c r="ACI220" s="90"/>
      <c r="ACJ220" s="90"/>
      <c r="ACK220" s="90"/>
      <c r="ACL220" s="90"/>
      <c r="ACM220" s="90"/>
      <c r="ACN220" s="90"/>
      <c r="ACO220" s="90"/>
      <c r="ACP220" s="90"/>
      <c r="ACQ220" s="90"/>
      <c r="ACR220" s="90"/>
      <c r="ACS220" s="90"/>
      <c r="ACT220" s="90"/>
      <c r="ACU220" s="90"/>
      <c r="ACV220" s="90"/>
      <c r="ACW220" s="90"/>
      <c r="ACX220" s="90"/>
      <c r="ACY220" s="90"/>
      <c r="ACZ220" s="90"/>
      <c r="ADA220" s="90"/>
      <c r="ADB220" s="90"/>
      <c r="ADC220" s="90"/>
      <c r="ADD220" s="90"/>
      <c r="ADE220" s="90"/>
      <c r="ADF220" s="90"/>
      <c r="ADG220" s="90"/>
      <c r="ADH220" s="90"/>
      <c r="ADI220" s="90"/>
      <c r="ADJ220" s="90"/>
      <c r="ADK220" s="90"/>
      <c r="ADL220" s="90"/>
      <c r="ADM220" s="90"/>
      <c r="ADN220" s="90"/>
      <c r="ADO220" s="90"/>
      <c r="ADP220" s="90"/>
      <c r="ADQ220" s="90"/>
      <c r="ADR220" s="90"/>
      <c r="ADS220" s="90"/>
      <c r="ADT220" s="90"/>
      <c r="ADU220" s="90"/>
      <c r="ADV220" s="90"/>
      <c r="ADW220" s="90"/>
      <c r="ADX220" s="90"/>
      <c r="ADY220" s="90"/>
      <c r="ADZ220" s="90"/>
      <c r="AEA220" s="90"/>
      <c r="AEB220" s="90"/>
      <c r="AEC220" s="90"/>
      <c r="AED220" s="90"/>
      <c r="AEE220" s="90"/>
      <c r="AEF220" s="90"/>
      <c r="AEG220" s="90"/>
      <c r="AEH220" s="90"/>
      <c r="AEI220" s="90"/>
      <c r="AEJ220" s="90"/>
      <c r="AEK220" s="90"/>
      <c r="AEL220" s="90"/>
      <c r="AEM220" s="90"/>
      <c r="AEN220" s="90"/>
      <c r="AEO220" s="90"/>
      <c r="AEP220" s="90"/>
      <c r="AEQ220" s="90"/>
      <c r="AER220" s="90"/>
      <c r="AES220" s="90"/>
      <c r="AET220" s="90"/>
      <c r="AEU220" s="90"/>
      <c r="AEV220" s="90"/>
      <c r="AEW220" s="90"/>
      <c r="AEX220" s="90"/>
      <c r="AEY220" s="90"/>
      <c r="AEZ220" s="90"/>
      <c r="AFA220" s="90"/>
      <c r="AFB220" s="90"/>
      <c r="AFC220" s="90"/>
      <c r="AFD220" s="90"/>
      <c r="AFE220" s="90"/>
      <c r="AFF220" s="90"/>
      <c r="AFG220" s="90"/>
      <c r="AFH220" s="90"/>
      <c r="AFI220" s="90"/>
      <c r="AFJ220" s="90"/>
      <c r="AFK220" s="90"/>
      <c r="AFL220" s="90"/>
      <c r="AFM220" s="90"/>
      <c r="AFN220" s="90"/>
      <c r="AFO220" s="90"/>
      <c r="AFP220" s="90"/>
      <c r="AFQ220" s="90"/>
      <c r="AFR220" s="90"/>
      <c r="AFS220" s="90"/>
      <c r="AFT220" s="90"/>
      <c r="AFU220" s="90"/>
      <c r="AFV220" s="90"/>
      <c r="AFW220" s="90"/>
      <c r="AFX220" s="90"/>
      <c r="AFY220" s="90"/>
      <c r="AFZ220" s="90"/>
      <c r="AGA220" s="90"/>
      <c r="AGB220" s="90"/>
      <c r="AGC220" s="90"/>
      <c r="AGD220" s="90"/>
      <c r="AGE220" s="90"/>
      <c r="AGF220" s="90"/>
      <c r="AGG220" s="90"/>
      <c r="AGH220" s="90"/>
      <c r="AGI220" s="90"/>
      <c r="AGJ220" s="90"/>
      <c r="AGK220" s="90"/>
      <c r="AGL220" s="90"/>
      <c r="AGM220" s="90"/>
      <c r="AGN220" s="90"/>
      <c r="AGO220" s="90"/>
      <c r="AGP220" s="90"/>
      <c r="AGQ220" s="90"/>
      <c r="AGR220" s="90"/>
      <c r="AGS220" s="90"/>
      <c r="AGT220" s="90"/>
      <c r="AGU220" s="90"/>
      <c r="AGV220" s="90"/>
      <c r="AGW220" s="90"/>
      <c r="AGX220" s="90"/>
      <c r="AGY220" s="90"/>
      <c r="AGZ220" s="90"/>
      <c r="AHA220" s="90"/>
      <c r="AHB220" s="90"/>
      <c r="AHC220" s="90"/>
      <c r="AHD220" s="90"/>
      <c r="AHE220" s="90"/>
      <c r="AHF220" s="90"/>
      <c r="AHG220" s="90"/>
      <c r="AHH220" s="90"/>
      <c r="AHI220" s="90"/>
      <c r="AHJ220" s="90"/>
      <c r="AHK220" s="90"/>
      <c r="AHL220" s="90"/>
      <c r="AHM220" s="90"/>
      <c r="AHN220" s="90"/>
      <c r="AHO220" s="90"/>
      <c r="AHP220" s="90"/>
      <c r="AHQ220" s="90"/>
      <c r="AHR220" s="90"/>
      <c r="AHS220" s="90"/>
      <c r="AHT220" s="90"/>
      <c r="AHU220" s="90"/>
      <c r="AHV220" s="90"/>
      <c r="AHW220" s="90"/>
      <c r="AHX220" s="90"/>
      <c r="AHY220" s="90"/>
      <c r="AHZ220" s="90"/>
      <c r="AIA220" s="90"/>
      <c r="AIB220" s="90"/>
      <c r="AIC220" s="90"/>
      <c r="AID220" s="90"/>
      <c r="AIE220" s="90"/>
      <c r="AIF220" s="90"/>
      <c r="AIG220" s="90"/>
      <c r="AIH220" s="90"/>
      <c r="AII220" s="90"/>
      <c r="AIJ220" s="90"/>
      <c r="AIK220" s="90"/>
      <c r="AIL220" s="90"/>
      <c r="AIM220" s="90"/>
      <c r="AIN220" s="90"/>
      <c r="AIO220" s="90"/>
      <c r="AIP220" s="90"/>
      <c r="AIQ220" s="90"/>
      <c r="AIR220" s="90"/>
      <c r="AIS220" s="90"/>
      <c r="AIT220" s="90"/>
      <c r="AIU220" s="90"/>
      <c r="AIV220" s="90"/>
      <c r="AIW220" s="90"/>
      <c r="AIX220" s="90"/>
      <c r="AIY220" s="90"/>
      <c r="AIZ220" s="90"/>
      <c r="AJA220" s="90"/>
      <c r="AJB220" s="90"/>
      <c r="AJC220" s="90"/>
      <c r="AJD220" s="90"/>
      <c r="AJE220" s="90"/>
      <c r="AJF220" s="90"/>
      <c r="AJG220" s="90"/>
      <c r="AJH220" s="90"/>
      <c r="AJI220" s="90"/>
      <c r="AJJ220" s="90"/>
      <c r="AJK220" s="90"/>
      <c r="AJL220" s="90"/>
      <c r="AJM220" s="90"/>
      <c r="AJN220" s="90"/>
      <c r="AJO220" s="90"/>
      <c r="AJP220" s="90"/>
      <c r="AJQ220" s="90"/>
      <c r="AJR220" s="90"/>
      <c r="AJS220" s="90"/>
      <c r="AJT220" s="90"/>
      <c r="AJU220" s="90"/>
      <c r="AJV220" s="90"/>
      <c r="AJW220" s="90"/>
      <c r="AJX220" s="90"/>
      <c r="AJY220" s="90"/>
      <c r="AJZ220" s="90"/>
      <c r="AKA220" s="90"/>
      <c r="AKB220" s="90"/>
      <c r="AKC220" s="90"/>
      <c r="AKD220" s="90"/>
      <c r="AKE220" s="90"/>
      <c r="AKF220" s="90"/>
      <c r="AKG220" s="90"/>
      <c r="AKH220" s="90"/>
      <c r="AKI220" s="90"/>
      <c r="AKJ220" s="90"/>
      <c r="AKK220" s="90"/>
      <c r="AKL220" s="90"/>
      <c r="AKM220" s="90"/>
      <c r="AKN220" s="90"/>
      <c r="AKO220" s="90"/>
      <c r="AKP220" s="90"/>
      <c r="AKQ220" s="90"/>
      <c r="AKR220" s="90"/>
      <c r="AKS220" s="90"/>
      <c r="AKT220" s="90"/>
      <c r="AKU220" s="90"/>
      <c r="AKV220" s="90"/>
      <c r="AKW220" s="90"/>
      <c r="AKX220" s="90"/>
      <c r="AKY220" s="90"/>
      <c r="AKZ220" s="90"/>
      <c r="ALA220" s="90"/>
      <c r="ALB220" s="90"/>
      <c r="ALC220" s="90"/>
      <c r="ALD220" s="90"/>
      <c r="ALE220" s="90"/>
      <c r="ALF220" s="90"/>
      <c r="ALG220" s="90"/>
      <c r="ALH220" s="90"/>
      <c r="ALI220" s="90"/>
      <c r="ALJ220" s="90"/>
      <c r="ALK220" s="90"/>
      <c r="ALL220" s="90"/>
      <c r="ALM220" s="90"/>
      <c r="ALN220" s="90"/>
      <c r="ALO220" s="90"/>
      <c r="ALP220" s="90"/>
      <c r="ALQ220" s="90"/>
      <c r="ALR220" s="90"/>
      <c r="ALS220" s="90"/>
      <c r="ALT220" s="90"/>
      <c r="ALU220" s="90"/>
      <c r="ALV220" s="90"/>
      <c r="ALW220" s="90"/>
      <c r="ALX220" s="90"/>
      <c r="ALY220" s="90"/>
      <c r="ALZ220" s="90"/>
      <c r="AMA220" s="90"/>
      <c r="AMB220" s="90"/>
      <c r="AMC220" s="90"/>
    </row>
    <row r="221" spans="1:1017">
      <c r="A221" s="98" t="s">
        <v>50</v>
      </c>
      <c r="B221" s="90" t="str">
        <f t="shared" si="1453"/>
        <v xml:space="preserve">Mujair </v>
      </c>
      <c r="E221" s="98">
        <v>108400</v>
      </c>
      <c r="F221" s="98">
        <v>1626000</v>
      </c>
      <c r="I221" s="98">
        <v>1700</v>
      </c>
      <c r="J221" s="98">
        <v>25500</v>
      </c>
      <c r="Q221" s="91">
        <f t="shared" si="1454"/>
        <v>110100</v>
      </c>
      <c r="R221" s="91">
        <f t="shared" si="1455"/>
        <v>1651500</v>
      </c>
      <c r="U221" s="98">
        <v>7680</v>
      </c>
      <c r="V221" s="98">
        <v>115200</v>
      </c>
      <c r="Y221" s="98">
        <v>5185</v>
      </c>
      <c r="Z221" s="98">
        <v>77775</v>
      </c>
      <c r="AG221" s="91">
        <f t="shared" si="1456"/>
        <v>12865</v>
      </c>
      <c r="AH221" s="91">
        <f t="shared" si="1457"/>
        <v>192975</v>
      </c>
      <c r="AW221" s="91">
        <f t="shared" si="1458"/>
        <v>0</v>
      </c>
      <c r="AX221" s="91">
        <f t="shared" si="1459"/>
        <v>0</v>
      </c>
      <c r="BM221" s="91">
        <f t="shared" si="1460"/>
        <v>0</v>
      </c>
      <c r="BN221" s="91">
        <f t="shared" si="1461"/>
        <v>0</v>
      </c>
      <c r="BU221" s="98">
        <v>300</v>
      </c>
      <c r="BV221" s="98">
        <v>8100</v>
      </c>
      <c r="CC221" s="91">
        <f t="shared" si="1462"/>
        <v>300</v>
      </c>
      <c r="CD221" s="91">
        <f t="shared" si="1463"/>
        <v>8100</v>
      </c>
      <c r="CG221" s="98">
        <v>241506.05931608996</v>
      </c>
      <c r="CH221" s="98">
        <v>1932048.4745287197</v>
      </c>
      <c r="CK221" s="98">
        <v>889158.02205439436</v>
      </c>
      <c r="CL221" s="98">
        <v>8002422.1984895496</v>
      </c>
      <c r="CS221" s="91">
        <f t="shared" si="1548"/>
        <v>1130664.0813704843</v>
      </c>
      <c r="CT221" s="91">
        <f t="shared" si="1549"/>
        <v>9934470.6730182692</v>
      </c>
      <c r="DI221" s="91">
        <f t="shared" si="1466"/>
        <v>0</v>
      </c>
      <c r="DJ221" s="91">
        <f t="shared" si="1467"/>
        <v>0</v>
      </c>
      <c r="DY221" s="91">
        <f t="shared" si="1468"/>
        <v>0</v>
      </c>
      <c r="DZ221" s="91">
        <f t="shared" si="1469"/>
        <v>0</v>
      </c>
      <c r="EO221" s="91">
        <f t="shared" si="1470"/>
        <v>0</v>
      </c>
      <c r="EP221" s="91">
        <f t="shared" si="1471"/>
        <v>0</v>
      </c>
      <c r="ES221" s="98">
        <v>1192</v>
      </c>
      <c r="ET221" s="98">
        <v>5960</v>
      </c>
      <c r="EW221" s="98">
        <v>16910</v>
      </c>
      <c r="EX221" s="98">
        <v>84550</v>
      </c>
      <c r="EZ221" s="98" t="s">
        <v>384</v>
      </c>
      <c r="FE221" s="91">
        <f t="shared" si="1472"/>
        <v>18102</v>
      </c>
      <c r="FF221" s="91">
        <f t="shared" si="1473"/>
        <v>90510</v>
      </c>
      <c r="FU221" s="91">
        <f t="shared" si="1474"/>
        <v>0</v>
      </c>
      <c r="FV221" s="91">
        <f t="shared" si="1475"/>
        <v>0</v>
      </c>
      <c r="GK221" s="91">
        <f t="shared" si="1476"/>
        <v>0</v>
      </c>
      <c r="GL221" s="91">
        <f t="shared" si="1477"/>
        <v>0</v>
      </c>
      <c r="HA221" s="91">
        <f t="shared" si="1478"/>
        <v>0</v>
      </c>
      <c r="HB221" s="91">
        <f t="shared" si="1479"/>
        <v>0</v>
      </c>
      <c r="HQ221" s="91">
        <f t="shared" si="1480"/>
        <v>0</v>
      </c>
      <c r="HR221" s="91">
        <f t="shared" si="1481"/>
        <v>0</v>
      </c>
      <c r="IG221" s="91">
        <f t="shared" si="1482"/>
        <v>0</v>
      </c>
      <c r="IH221" s="91">
        <f t="shared" si="1483"/>
        <v>0</v>
      </c>
      <c r="IW221" s="91">
        <f t="shared" si="1484"/>
        <v>0</v>
      </c>
      <c r="IX221" s="91">
        <f t="shared" si="1485"/>
        <v>0</v>
      </c>
      <c r="JM221" s="91">
        <f t="shared" si="1486"/>
        <v>0</v>
      </c>
      <c r="JN221" s="91">
        <f t="shared" si="1487"/>
        <v>0</v>
      </c>
      <c r="KC221" s="91">
        <f t="shared" si="1488"/>
        <v>0</v>
      </c>
      <c r="KD221" s="91">
        <f t="shared" si="1489"/>
        <v>0</v>
      </c>
      <c r="KS221" s="91">
        <f t="shared" si="1490"/>
        <v>0</v>
      </c>
      <c r="KT221" s="91">
        <f t="shared" si="1491"/>
        <v>0</v>
      </c>
      <c r="LI221" s="91">
        <f t="shared" si="1492"/>
        <v>0</v>
      </c>
      <c r="LJ221" s="91">
        <f t="shared" si="1493"/>
        <v>0</v>
      </c>
      <c r="LY221" s="91">
        <f t="shared" si="1494"/>
        <v>0</v>
      </c>
      <c r="LZ221" s="91">
        <f t="shared" si="1495"/>
        <v>0</v>
      </c>
      <c r="MC221" s="98">
        <v>13600</v>
      </c>
      <c r="MD221" s="98">
        <v>136000</v>
      </c>
      <c r="MO221" s="91">
        <f t="shared" si="1496"/>
        <v>13600</v>
      </c>
      <c r="MP221" s="91">
        <f t="shared" si="1497"/>
        <v>136000</v>
      </c>
      <c r="MS221" s="98">
        <v>1609</v>
      </c>
      <c r="MT221" s="98">
        <v>40225</v>
      </c>
      <c r="NE221" s="91">
        <f t="shared" si="1498"/>
        <v>1609</v>
      </c>
      <c r="NF221" s="91">
        <f t="shared" si="1499"/>
        <v>40225</v>
      </c>
      <c r="NI221" s="98">
        <v>351000</v>
      </c>
      <c r="NJ221" s="98">
        <v>5616000</v>
      </c>
      <c r="NU221" s="91">
        <f t="shared" si="1500"/>
        <v>351000</v>
      </c>
      <c r="NV221" s="91">
        <f t="shared" si="1501"/>
        <v>5616000</v>
      </c>
      <c r="OK221" s="91">
        <f t="shared" si="1502"/>
        <v>0</v>
      </c>
      <c r="OL221" s="91">
        <f t="shared" si="1503"/>
        <v>0</v>
      </c>
      <c r="PA221" s="91">
        <f t="shared" si="1504"/>
        <v>0</v>
      </c>
      <c r="PB221" s="91">
        <f t="shared" si="1505"/>
        <v>0</v>
      </c>
      <c r="PQ221" s="91">
        <f t="shared" si="1506"/>
        <v>0</v>
      </c>
      <c r="PR221" s="91">
        <f t="shared" si="1507"/>
        <v>0</v>
      </c>
      <c r="PU221" s="98">
        <v>35920</v>
      </c>
      <c r="PV221" s="98">
        <v>646560</v>
      </c>
      <c r="QG221" s="91">
        <f t="shared" si="1508"/>
        <v>35920</v>
      </c>
      <c r="QH221" s="91">
        <f t="shared" si="1509"/>
        <v>646560</v>
      </c>
      <c r="QW221" s="91">
        <f t="shared" si="1510"/>
        <v>0</v>
      </c>
      <c r="QX221" s="91">
        <f t="shared" si="1511"/>
        <v>0</v>
      </c>
      <c r="RM221" s="91">
        <f t="shared" si="1512"/>
        <v>0</v>
      </c>
      <c r="RN221" s="91">
        <f t="shared" si="1513"/>
        <v>0</v>
      </c>
      <c r="SC221" s="91">
        <f t="shared" si="1514"/>
        <v>0</v>
      </c>
      <c r="SD221" s="91">
        <f t="shared" si="1515"/>
        <v>0</v>
      </c>
      <c r="SS221" s="91">
        <f t="shared" si="1516"/>
        <v>0</v>
      </c>
      <c r="ST221" s="91">
        <f t="shared" si="1517"/>
        <v>0</v>
      </c>
      <c r="TI221" s="91">
        <f t="shared" si="1518"/>
        <v>0</v>
      </c>
      <c r="TJ221" s="91">
        <f t="shared" si="1519"/>
        <v>0</v>
      </c>
      <c r="TY221" s="91">
        <f t="shared" si="1520"/>
        <v>0</v>
      </c>
      <c r="TZ221" s="91">
        <f t="shared" si="1521"/>
        <v>0</v>
      </c>
      <c r="UO221" s="91">
        <f t="shared" si="1522"/>
        <v>0</v>
      </c>
      <c r="UP221" s="91">
        <f t="shared" si="1523"/>
        <v>0</v>
      </c>
      <c r="VE221" s="91">
        <f t="shared" si="1524"/>
        <v>0</v>
      </c>
      <c r="VF221" s="91">
        <f t="shared" si="1525"/>
        <v>0</v>
      </c>
      <c r="VI221" s="98">
        <v>50</v>
      </c>
      <c r="VJ221" s="98">
        <v>450</v>
      </c>
      <c r="VU221" s="91">
        <f t="shared" si="1526"/>
        <v>50</v>
      </c>
      <c r="VV221" s="91">
        <f t="shared" si="1527"/>
        <v>450</v>
      </c>
      <c r="WK221" s="91">
        <f t="shared" si="1528"/>
        <v>0</v>
      </c>
      <c r="WL221" s="91">
        <f t="shared" si="1529"/>
        <v>0</v>
      </c>
      <c r="WM221" s="89"/>
      <c r="WN221" s="87">
        <f t="shared" si="1530"/>
        <v>0</v>
      </c>
      <c r="WO221" s="87">
        <f t="shared" si="1531"/>
        <v>0</v>
      </c>
      <c r="WP221" s="87">
        <f t="shared" si="1532"/>
        <v>760957.05931608996</v>
      </c>
      <c r="WQ221" s="87">
        <f t="shared" si="1533"/>
        <v>10118443.474528719</v>
      </c>
      <c r="WR221" s="87">
        <f t="shared" si="1534"/>
        <v>0</v>
      </c>
      <c r="WS221" s="87">
        <f t="shared" si="1535"/>
        <v>0</v>
      </c>
      <c r="WT221" s="87">
        <f t="shared" si="1536"/>
        <v>913253.02205439436</v>
      </c>
      <c r="WU221" s="87">
        <f t="shared" si="1537"/>
        <v>8198347.1984895496</v>
      </c>
      <c r="WV221" s="87">
        <f t="shared" si="1538"/>
        <v>0</v>
      </c>
      <c r="WW221" s="87">
        <f t="shared" si="1539"/>
        <v>0</v>
      </c>
      <c r="WX221" s="87">
        <f t="shared" si="1540"/>
        <v>0</v>
      </c>
      <c r="WY221" s="87">
        <f t="shared" si="1541"/>
        <v>0</v>
      </c>
      <c r="WZ221" s="87">
        <f t="shared" si="1542"/>
        <v>0</v>
      </c>
      <c r="XA221" s="87">
        <f t="shared" si="1543"/>
        <v>0</v>
      </c>
      <c r="XB221" s="92">
        <f t="shared" si="1544"/>
        <v>1674210.0813704843</v>
      </c>
      <c r="XC221" s="92">
        <f t="shared" si="1545"/>
        <v>18316790.673018269</v>
      </c>
      <c r="XD221" s="89"/>
      <c r="XE221" s="92"/>
      <c r="XF221" s="92"/>
      <c r="XG221" s="89"/>
      <c r="XH221" s="92"/>
      <c r="XI221" s="92"/>
      <c r="XJ221" s="89"/>
      <c r="XK221" s="87"/>
      <c r="XL221" s="87"/>
      <c r="XM221" s="87"/>
      <c r="XN221" s="87"/>
      <c r="XO221" s="87"/>
      <c r="XP221" s="87"/>
      <c r="XQ221" s="87"/>
      <c r="XR221" s="92">
        <f t="shared" ca="1" si="1546"/>
        <v>0</v>
      </c>
      <c r="XS221" s="89"/>
      <c r="XT221" s="87"/>
      <c r="XU221" s="87"/>
      <c r="XV221" s="87"/>
      <c r="XW221" s="87"/>
      <c r="XX221" s="87"/>
      <c r="XY221" s="87"/>
      <c r="XZ221" s="87"/>
      <c r="YA221" s="92">
        <f t="shared" ca="1" si="1547"/>
        <v>0</v>
      </c>
      <c r="YB221" s="90"/>
      <c r="YC221" s="90"/>
      <c r="YD221" s="90"/>
      <c r="YE221" s="90"/>
      <c r="YF221" s="90"/>
      <c r="YG221" s="90"/>
      <c r="YH221" s="90"/>
      <c r="YI221" s="90"/>
      <c r="YJ221" s="90"/>
      <c r="YK221" s="90"/>
      <c r="YL221" s="90"/>
      <c r="YM221" s="90"/>
      <c r="YN221" s="90"/>
      <c r="YO221" s="90"/>
      <c r="YP221" s="90"/>
      <c r="YQ221" s="90"/>
      <c r="YR221" s="90"/>
      <c r="YS221" s="90"/>
      <c r="YT221" s="90"/>
      <c r="YU221" s="90"/>
      <c r="YV221" s="90"/>
      <c r="YW221" s="90"/>
      <c r="YX221" s="90"/>
      <c r="YY221" s="90"/>
      <c r="YZ221" s="90"/>
      <c r="ZA221" s="90"/>
      <c r="ZB221" s="90"/>
      <c r="ZC221" s="90"/>
      <c r="ZD221" s="90"/>
      <c r="ZE221" s="90"/>
      <c r="ZF221" s="90"/>
      <c r="ZG221" s="90"/>
      <c r="ZH221" s="90"/>
      <c r="ZI221" s="90"/>
      <c r="ZJ221" s="90"/>
      <c r="ZK221" s="90"/>
      <c r="ZL221" s="90"/>
      <c r="ZM221" s="90"/>
      <c r="ZN221" s="90"/>
      <c r="ZO221" s="90"/>
      <c r="ZP221" s="90"/>
      <c r="ZQ221" s="90"/>
      <c r="ZR221" s="90"/>
      <c r="ZS221" s="90"/>
      <c r="ZT221" s="90"/>
      <c r="ZU221" s="90"/>
      <c r="ZV221" s="90"/>
      <c r="ZW221" s="90"/>
      <c r="ZX221" s="90"/>
      <c r="ZY221" s="90"/>
      <c r="ZZ221" s="90"/>
      <c r="AAA221" s="90"/>
      <c r="AAB221" s="90"/>
      <c r="AAC221" s="90"/>
      <c r="AAD221" s="90"/>
      <c r="AAE221" s="90"/>
      <c r="AAF221" s="90"/>
      <c r="AAG221" s="90"/>
      <c r="AAH221" s="90"/>
      <c r="AAI221" s="90"/>
      <c r="AAJ221" s="90"/>
      <c r="AAK221" s="90"/>
      <c r="AAL221" s="90"/>
      <c r="AAM221" s="90"/>
      <c r="AAN221" s="90"/>
      <c r="AAO221" s="90"/>
      <c r="AAP221" s="90"/>
      <c r="AAQ221" s="90"/>
      <c r="AAR221" s="90"/>
      <c r="AAS221" s="90"/>
      <c r="AAT221" s="90"/>
      <c r="AAU221" s="90"/>
      <c r="AAV221" s="90"/>
      <c r="AAW221" s="90"/>
      <c r="AAX221" s="90"/>
      <c r="AAY221" s="90"/>
      <c r="AAZ221" s="90"/>
      <c r="ABA221" s="90"/>
      <c r="ABB221" s="90"/>
      <c r="ABC221" s="90"/>
      <c r="ABD221" s="90"/>
      <c r="ABE221" s="90"/>
      <c r="ABF221" s="90"/>
      <c r="ABG221" s="90"/>
      <c r="ABH221" s="90"/>
      <c r="ABI221" s="90"/>
      <c r="ABJ221" s="90"/>
      <c r="ABK221" s="90"/>
      <c r="ABL221" s="90"/>
      <c r="ABM221" s="90"/>
      <c r="ABN221" s="90"/>
      <c r="ABO221" s="90"/>
      <c r="ABP221" s="90"/>
      <c r="ABQ221" s="90"/>
      <c r="ABR221" s="90"/>
      <c r="ABS221" s="90"/>
      <c r="ABT221" s="90"/>
      <c r="ABU221" s="90"/>
      <c r="ABV221" s="90"/>
      <c r="ABW221" s="90"/>
      <c r="ABX221" s="90"/>
      <c r="ABY221" s="90"/>
      <c r="ABZ221" s="90"/>
      <c r="ACA221" s="90"/>
      <c r="ACB221" s="90"/>
      <c r="ACC221" s="90"/>
      <c r="ACD221" s="90"/>
      <c r="ACE221" s="90"/>
      <c r="ACF221" s="90"/>
      <c r="ACG221" s="90"/>
      <c r="ACH221" s="90"/>
      <c r="ACI221" s="90"/>
      <c r="ACJ221" s="90"/>
      <c r="ACK221" s="90"/>
      <c r="ACL221" s="90"/>
      <c r="ACM221" s="90"/>
      <c r="ACN221" s="90"/>
      <c r="ACO221" s="90"/>
      <c r="ACP221" s="90"/>
      <c r="ACQ221" s="90"/>
      <c r="ACR221" s="90"/>
      <c r="ACS221" s="90"/>
      <c r="ACT221" s="90"/>
      <c r="ACU221" s="90"/>
      <c r="ACV221" s="90"/>
      <c r="ACW221" s="90"/>
      <c r="ACX221" s="90"/>
      <c r="ACY221" s="90"/>
      <c r="ACZ221" s="90"/>
      <c r="ADA221" s="90"/>
      <c r="ADB221" s="90"/>
      <c r="ADC221" s="90"/>
      <c r="ADD221" s="90"/>
      <c r="ADE221" s="90"/>
      <c r="ADF221" s="90"/>
      <c r="ADG221" s="90"/>
      <c r="ADH221" s="90"/>
      <c r="ADI221" s="90"/>
      <c r="ADJ221" s="90"/>
      <c r="ADK221" s="90"/>
      <c r="ADL221" s="90"/>
      <c r="ADM221" s="90"/>
      <c r="ADN221" s="90"/>
      <c r="ADO221" s="90"/>
      <c r="ADP221" s="90"/>
      <c r="ADQ221" s="90"/>
      <c r="ADR221" s="90"/>
      <c r="ADS221" s="90"/>
      <c r="ADT221" s="90"/>
      <c r="ADU221" s="90"/>
      <c r="ADV221" s="90"/>
      <c r="ADW221" s="90"/>
      <c r="ADX221" s="90"/>
      <c r="ADY221" s="90"/>
      <c r="ADZ221" s="90"/>
      <c r="AEA221" s="90"/>
      <c r="AEB221" s="90"/>
      <c r="AEC221" s="90"/>
      <c r="AED221" s="90"/>
      <c r="AEE221" s="90"/>
      <c r="AEF221" s="90"/>
      <c r="AEG221" s="90"/>
      <c r="AEH221" s="90"/>
      <c r="AEI221" s="90"/>
      <c r="AEJ221" s="90"/>
      <c r="AEK221" s="90"/>
      <c r="AEL221" s="90"/>
      <c r="AEM221" s="90"/>
      <c r="AEN221" s="90"/>
      <c r="AEO221" s="90"/>
      <c r="AEP221" s="90"/>
      <c r="AEQ221" s="90"/>
      <c r="AER221" s="90"/>
      <c r="AES221" s="90"/>
      <c r="AET221" s="90"/>
      <c r="AEU221" s="90"/>
      <c r="AEV221" s="90"/>
      <c r="AEW221" s="90"/>
      <c r="AEX221" s="90"/>
      <c r="AEY221" s="90"/>
      <c r="AEZ221" s="90"/>
      <c r="AFA221" s="90"/>
      <c r="AFB221" s="90"/>
      <c r="AFC221" s="90"/>
      <c r="AFD221" s="90"/>
      <c r="AFE221" s="90"/>
      <c r="AFF221" s="90"/>
      <c r="AFG221" s="90"/>
      <c r="AFH221" s="90"/>
      <c r="AFI221" s="90"/>
      <c r="AFJ221" s="90"/>
      <c r="AFK221" s="90"/>
      <c r="AFL221" s="90"/>
      <c r="AFM221" s="90"/>
      <c r="AFN221" s="90"/>
      <c r="AFO221" s="90"/>
      <c r="AFP221" s="90"/>
      <c r="AFQ221" s="90"/>
      <c r="AFR221" s="90"/>
      <c r="AFS221" s="90"/>
      <c r="AFT221" s="90"/>
      <c r="AFU221" s="90"/>
      <c r="AFV221" s="90"/>
      <c r="AFW221" s="90"/>
      <c r="AFX221" s="90"/>
      <c r="AFY221" s="90"/>
      <c r="AFZ221" s="90"/>
      <c r="AGA221" s="90"/>
      <c r="AGB221" s="90"/>
      <c r="AGC221" s="90"/>
      <c r="AGD221" s="90"/>
      <c r="AGE221" s="90"/>
      <c r="AGF221" s="90"/>
      <c r="AGG221" s="90"/>
      <c r="AGH221" s="90"/>
      <c r="AGI221" s="90"/>
      <c r="AGJ221" s="90"/>
      <c r="AGK221" s="90"/>
      <c r="AGL221" s="90"/>
      <c r="AGM221" s="90"/>
      <c r="AGN221" s="90"/>
      <c r="AGO221" s="90"/>
      <c r="AGP221" s="90"/>
      <c r="AGQ221" s="90"/>
      <c r="AGR221" s="90"/>
      <c r="AGS221" s="90"/>
      <c r="AGT221" s="90"/>
      <c r="AGU221" s="90"/>
      <c r="AGV221" s="90"/>
      <c r="AGW221" s="90"/>
      <c r="AGX221" s="90"/>
      <c r="AGY221" s="90"/>
      <c r="AGZ221" s="90"/>
      <c r="AHA221" s="90"/>
      <c r="AHB221" s="90"/>
      <c r="AHC221" s="90"/>
      <c r="AHD221" s="90"/>
      <c r="AHE221" s="90"/>
      <c r="AHF221" s="90"/>
      <c r="AHG221" s="90"/>
      <c r="AHH221" s="90"/>
      <c r="AHI221" s="90"/>
      <c r="AHJ221" s="90"/>
      <c r="AHK221" s="90"/>
      <c r="AHL221" s="90"/>
      <c r="AHM221" s="90"/>
      <c r="AHN221" s="90"/>
      <c r="AHO221" s="90"/>
      <c r="AHP221" s="90"/>
      <c r="AHQ221" s="90"/>
      <c r="AHR221" s="90"/>
      <c r="AHS221" s="90"/>
      <c r="AHT221" s="90"/>
      <c r="AHU221" s="90"/>
      <c r="AHV221" s="90"/>
      <c r="AHW221" s="90"/>
      <c r="AHX221" s="90"/>
      <c r="AHY221" s="90"/>
      <c r="AHZ221" s="90"/>
      <c r="AIA221" s="90"/>
      <c r="AIB221" s="90"/>
      <c r="AIC221" s="90"/>
      <c r="AID221" s="90"/>
      <c r="AIE221" s="90"/>
      <c r="AIF221" s="90"/>
      <c r="AIG221" s="90"/>
      <c r="AIH221" s="90"/>
      <c r="AII221" s="90"/>
      <c r="AIJ221" s="90"/>
      <c r="AIK221" s="90"/>
      <c r="AIL221" s="90"/>
      <c r="AIM221" s="90"/>
      <c r="AIN221" s="90"/>
      <c r="AIO221" s="90"/>
      <c r="AIP221" s="90"/>
      <c r="AIQ221" s="90"/>
      <c r="AIR221" s="90"/>
      <c r="AIS221" s="90"/>
      <c r="AIT221" s="90"/>
      <c r="AIU221" s="90"/>
      <c r="AIV221" s="90"/>
      <c r="AIW221" s="90"/>
      <c r="AIX221" s="90"/>
      <c r="AIY221" s="90"/>
      <c r="AIZ221" s="90"/>
      <c r="AJA221" s="90"/>
      <c r="AJB221" s="90"/>
      <c r="AJC221" s="90"/>
      <c r="AJD221" s="90"/>
      <c r="AJE221" s="90"/>
      <c r="AJF221" s="90"/>
      <c r="AJG221" s="90"/>
      <c r="AJH221" s="90"/>
      <c r="AJI221" s="90"/>
      <c r="AJJ221" s="90"/>
      <c r="AJK221" s="90"/>
      <c r="AJL221" s="90"/>
      <c r="AJM221" s="90"/>
      <c r="AJN221" s="90"/>
      <c r="AJO221" s="90"/>
      <c r="AJP221" s="90"/>
      <c r="AJQ221" s="90"/>
      <c r="AJR221" s="90"/>
      <c r="AJS221" s="90"/>
      <c r="AJT221" s="90"/>
      <c r="AJU221" s="90"/>
      <c r="AJV221" s="90"/>
      <c r="AJW221" s="90"/>
      <c r="AJX221" s="90"/>
      <c r="AJY221" s="90"/>
      <c r="AJZ221" s="90"/>
      <c r="AKA221" s="90"/>
      <c r="AKB221" s="90"/>
      <c r="AKC221" s="90"/>
      <c r="AKD221" s="90"/>
      <c r="AKE221" s="90"/>
      <c r="AKF221" s="90"/>
      <c r="AKG221" s="90"/>
      <c r="AKH221" s="90"/>
      <c r="AKI221" s="90"/>
      <c r="AKJ221" s="90"/>
      <c r="AKK221" s="90"/>
      <c r="AKL221" s="90"/>
      <c r="AKM221" s="90"/>
      <c r="AKN221" s="90"/>
      <c r="AKO221" s="90"/>
      <c r="AKP221" s="90"/>
      <c r="AKQ221" s="90"/>
      <c r="AKR221" s="90"/>
      <c r="AKS221" s="90"/>
      <c r="AKT221" s="90"/>
      <c r="AKU221" s="90"/>
      <c r="AKV221" s="90"/>
      <c r="AKW221" s="90"/>
      <c r="AKX221" s="90"/>
      <c r="AKY221" s="90"/>
      <c r="AKZ221" s="90"/>
      <c r="ALA221" s="90"/>
      <c r="ALB221" s="90"/>
      <c r="ALC221" s="90"/>
      <c r="ALD221" s="90"/>
      <c r="ALE221" s="90"/>
      <c r="ALF221" s="90"/>
      <c r="ALG221" s="90"/>
      <c r="ALH221" s="90"/>
      <c r="ALI221" s="90"/>
      <c r="ALJ221" s="90"/>
      <c r="ALK221" s="90"/>
      <c r="ALL221" s="90"/>
      <c r="ALM221" s="90"/>
      <c r="ALN221" s="90"/>
      <c r="ALO221" s="90"/>
      <c r="ALP221" s="90"/>
      <c r="ALQ221" s="90"/>
      <c r="ALR221" s="90"/>
      <c r="ALS221" s="90"/>
      <c r="ALT221" s="90"/>
      <c r="ALU221" s="90"/>
      <c r="ALV221" s="90"/>
      <c r="ALW221" s="90"/>
      <c r="ALX221" s="90"/>
      <c r="ALY221" s="90"/>
      <c r="ALZ221" s="90"/>
      <c r="AMA221" s="90"/>
      <c r="AMB221" s="90"/>
      <c r="AMC221" s="90"/>
    </row>
    <row r="222" spans="1:1017">
      <c r="A222" s="98" t="s">
        <v>50</v>
      </c>
      <c r="B222" s="90" t="str">
        <f t="shared" si="1453"/>
        <v xml:space="preserve">Nila </v>
      </c>
      <c r="I222" s="98">
        <v>5900</v>
      </c>
      <c r="J222" s="98">
        <v>165200</v>
      </c>
      <c r="Q222" s="91">
        <f t="shared" si="1454"/>
        <v>5900</v>
      </c>
      <c r="R222" s="91">
        <f t="shared" si="1455"/>
        <v>165200</v>
      </c>
      <c r="U222" s="98">
        <v>10525</v>
      </c>
      <c r="V222" s="98">
        <v>210500</v>
      </c>
      <c r="Y222" s="98">
        <v>12835</v>
      </c>
      <c r="Z222" s="98">
        <v>256700</v>
      </c>
      <c r="AA222" s="98">
        <v>2735</v>
      </c>
      <c r="AB222" s="98">
        <v>54700</v>
      </c>
      <c r="AC222" s="98">
        <v>1615</v>
      </c>
      <c r="AD222" s="98">
        <v>32300</v>
      </c>
      <c r="AE222" s="98">
        <v>1105</v>
      </c>
      <c r="AF222" s="98">
        <v>22100</v>
      </c>
      <c r="AG222" s="91">
        <f t="shared" si="1456"/>
        <v>28815</v>
      </c>
      <c r="AH222" s="91">
        <f t="shared" si="1457"/>
        <v>576300</v>
      </c>
      <c r="AO222" s="98">
        <v>53200</v>
      </c>
      <c r="AP222" s="98">
        <v>1330000</v>
      </c>
      <c r="AQ222" s="98">
        <v>160</v>
      </c>
      <c r="AR222" s="98">
        <v>3840</v>
      </c>
      <c r="AU222" s="98">
        <v>2830</v>
      </c>
      <c r="AV222" s="98">
        <v>67920</v>
      </c>
      <c r="AW222" s="91">
        <f t="shared" si="1458"/>
        <v>56190</v>
      </c>
      <c r="AX222" s="91">
        <f t="shared" si="1459"/>
        <v>1401760</v>
      </c>
      <c r="BE222" s="98">
        <v>78441</v>
      </c>
      <c r="BF222" s="98">
        <v>1961025</v>
      </c>
      <c r="BG222" s="98">
        <v>4470</v>
      </c>
      <c r="BH222" s="98">
        <v>111750</v>
      </c>
      <c r="BK222" s="98">
        <v>565</v>
      </c>
      <c r="BL222" s="98">
        <v>14125</v>
      </c>
      <c r="BM222" s="91">
        <f t="shared" si="1460"/>
        <v>83476</v>
      </c>
      <c r="BN222" s="91">
        <f t="shared" si="1461"/>
        <v>2086900</v>
      </c>
      <c r="BU222" s="98">
        <v>6015</v>
      </c>
      <c r="BV222" s="98">
        <v>162405</v>
      </c>
      <c r="CC222" s="91">
        <f t="shared" si="1462"/>
        <v>6015</v>
      </c>
      <c r="CD222" s="91">
        <f t="shared" si="1463"/>
        <v>162405</v>
      </c>
      <c r="CG222" s="98">
        <v>49279.257853386916</v>
      </c>
      <c r="CH222" s="98">
        <v>689909.60994741681</v>
      </c>
      <c r="CK222" s="98">
        <v>653825.94800371374</v>
      </c>
      <c r="CL222" s="98">
        <v>9807389.2200557068</v>
      </c>
      <c r="CS222" s="91">
        <f t="shared" si="1548"/>
        <v>703105.20585710066</v>
      </c>
      <c r="CT222" s="91">
        <f t="shared" si="1549"/>
        <v>10497298.830003124</v>
      </c>
      <c r="DA222" s="98">
        <v>94530</v>
      </c>
      <c r="DB222" s="98">
        <v>2363250</v>
      </c>
      <c r="DC222" s="98">
        <v>1270</v>
      </c>
      <c r="DD222" s="98">
        <v>31750.006000000001</v>
      </c>
      <c r="DI222" s="91">
        <f t="shared" si="1466"/>
        <v>95800</v>
      </c>
      <c r="DJ222" s="91">
        <f t="shared" si="1467"/>
        <v>2395000.0060000001</v>
      </c>
      <c r="DQ222" s="98">
        <v>15400</v>
      </c>
      <c r="DR222" s="98">
        <v>308000</v>
      </c>
      <c r="DY222" s="91">
        <f t="shared" si="1468"/>
        <v>15400</v>
      </c>
      <c r="DZ222" s="91">
        <f t="shared" si="1469"/>
        <v>308000</v>
      </c>
      <c r="EG222" s="98">
        <v>185500</v>
      </c>
      <c r="EH222" s="98">
        <v>3895500</v>
      </c>
      <c r="EO222" s="91">
        <f t="shared" si="1470"/>
        <v>185500</v>
      </c>
      <c r="EP222" s="91">
        <f t="shared" si="1471"/>
        <v>3895500</v>
      </c>
      <c r="ES222" s="98">
        <v>28628</v>
      </c>
      <c r="ET222" s="98">
        <v>572560</v>
      </c>
      <c r="EW222" s="98">
        <v>1310981</v>
      </c>
      <c r="EX222" s="98">
        <v>17042753</v>
      </c>
      <c r="EZ222" s="98" t="s">
        <v>384</v>
      </c>
      <c r="FC222" s="98">
        <v>547</v>
      </c>
      <c r="FD222" s="98">
        <v>7111</v>
      </c>
      <c r="FE222" s="91">
        <f t="shared" si="1472"/>
        <v>1340156</v>
      </c>
      <c r="FF222" s="91">
        <f t="shared" si="1473"/>
        <v>17622424</v>
      </c>
      <c r="FM222" s="98">
        <v>64645</v>
      </c>
      <c r="FN222" s="98">
        <v>1616125</v>
      </c>
      <c r="FS222" s="98">
        <v>68800</v>
      </c>
      <c r="FT222" s="98">
        <v>2064000</v>
      </c>
      <c r="FU222" s="91">
        <f t="shared" si="1474"/>
        <v>133445</v>
      </c>
      <c r="FV222" s="91">
        <f t="shared" si="1475"/>
        <v>3680125</v>
      </c>
      <c r="GC222" s="98">
        <v>44500</v>
      </c>
      <c r="GD222" s="98">
        <v>1201500</v>
      </c>
      <c r="GK222" s="91">
        <f t="shared" si="1476"/>
        <v>44500</v>
      </c>
      <c r="GL222" s="91">
        <f t="shared" si="1477"/>
        <v>1201500</v>
      </c>
      <c r="GS222" s="98">
        <v>9400</v>
      </c>
      <c r="GT222" s="98">
        <v>258500</v>
      </c>
      <c r="GY222" s="98">
        <v>80</v>
      </c>
      <c r="GZ222" s="98">
        <v>2080</v>
      </c>
      <c r="HA222" s="91">
        <f t="shared" si="1478"/>
        <v>9480</v>
      </c>
      <c r="HB222" s="91">
        <f t="shared" si="1479"/>
        <v>260580</v>
      </c>
      <c r="HI222" s="98">
        <v>42000</v>
      </c>
      <c r="HJ222" s="98">
        <v>924000</v>
      </c>
      <c r="HO222" s="98">
        <v>350000</v>
      </c>
      <c r="HP222" s="98">
        <v>7700000</v>
      </c>
      <c r="HQ222" s="91">
        <f t="shared" si="1480"/>
        <v>392000</v>
      </c>
      <c r="HR222" s="91">
        <f t="shared" si="1481"/>
        <v>8624000</v>
      </c>
      <c r="HY222" s="98">
        <v>4053</v>
      </c>
      <c r="HZ222" s="98">
        <v>81060</v>
      </c>
      <c r="IE222" s="98">
        <v>1200</v>
      </c>
      <c r="IF222" s="98">
        <v>24000</v>
      </c>
      <c r="IG222" s="91">
        <f t="shared" si="1482"/>
        <v>5253</v>
      </c>
      <c r="IH222" s="91">
        <f t="shared" si="1483"/>
        <v>105060</v>
      </c>
      <c r="IO222" s="98">
        <v>8800</v>
      </c>
      <c r="IP222" s="98">
        <v>246400</v>
      </c>
      <c r="IW222" s="91">
        <f t="shared" si="1484"/>
        <v>8800</v>
      </c>
      <c r="IX222" s="91">
        <f t="shared" si="1485"/>
        <v>246400</v>
      </c>
      <c r="JE222" s="98">
        <v>7200</v>
      </c>
      <c r="JF222" s="98">
        <v>158400</v>
      </c>
      <c r="JK222" s="98">
        <v>3560</v>
      </c>
      <c r="JL222" s="98">
        <v>78320</v>
      </c>
      <c r="JM222" s="91">
        <f t="shared" si="1486"/>
        <v>10760</v>
      </c>
      <c r="JN222" s="91">
        <f t="shared" si="1487"/>
        <v>236720</v>
      </c>
      <c r="JU222" s="98">
        <v>13688</v>
      </c>
      <c r="JV222" s="98">
        <v>479080</v>
      </c>
      <c r="KC222" s="91">
        <f t="shared" si="1488"/>
        <v>13688</v>
      </c>
      <c r="KD222" s="91">
        <f t="shared" si="1489"/>
        <v>479080</v>
      </c>
      <c r="KK222" s="98">
        <v>200</v>
      </c>
      <c r="KL222" s="98">
        <v>5000</v>
      </c>
      <c r="KS222" s="91">
        <f t="shared" si="1490"/>
        <v>200</v>
      </c>
      <c r="KT222" s="91">
        <f t="shared" si="1491"/>
        <v>5000</v>
      </c>
      <c r="KW222" s="98">
        <v>18350.43</v>
      </c>
      <c r="KX222" s="98">
        <v>330307</v>
      </c>
      <c r="LA222" s="98">
        <v>8434.39</v>
      </c>
      <c r="LB222" s="98">
        <v>151818</v>
      </c>
      <c r="LG222" s="98">
        <v>9361.27</v>
      </c>
      <c r="LH222" s="98">
        <v>224670</v>
      </c>
      <c r="LI222" s="91">
        <f t="shared" si="1492"/>
        <v>36146.089999999997</v>
      </c>
      <c r="LJ222" s="91">
        <f t="shared" si="1493"/>
        <v>706795</v>
      </c>
      <c r="LQ222" s="98">
        <v>4436</v>
      </c>
      <c r="LR222" s="98">
        <v>124208</v>
      </c>
      <c r="LW222" s="98">
        <v>2153</v>
      </c>
      <c r="LX222" s="98">
        <v>68896</v>
      </c>
      <c r="LY222" s="91">
        <f t="shared" si="1494"/>
        <v>6589</v>
      </c>
      <c r="LZ222" s="91">
        <f t="shared" si="1495"/>
        <v>193104</v>
      </c>
      <c r="MC222" s="98">
        <v>3600</v>
      </c>
      <c r="MD222" s="98">
        <v>64800</v>
      </c>
      <c r="MG222" s="98">
        <v>1700</v>
      </c>
      <c r="MH222" s="98">
        <v>30600</v>
      </c>
      <c r="MM222" s="795">
        <v>600</v>
      </c>
      <c r="MN222" s="777">
        <v>10800</v>
      </c>
      <c r="MO222" s="91">
        <f t="shared" si="1496"/>
        <v>5900</v>
      </c>
      <c r="MP222" s="91">
        <f t="shared" si="1497"/>
        <v>106200</v>
      </c>
      <c r="MW222" s="98">
        <v>50</v>
      </c>
      <c r="MX222" s="98">
        <v>1500</v>
      </c>
      <c r="NE222" s="91">
        <f t="shared" si="1498"/>
        <v>50</v>
      </c>
      <c r="NF222" s="91">
        <f t="shared" si="1499"/>
        <v>1500</v>
      </c>
      <c r="NI222" s="98">
        <v>1128800</v>
      </c>
      <c r="NJ222" s="98">
        <v>20318400</v>
      </c>
      <c r="NM222" s="98">
        <v>16400</v>
      </c>
      <c r="NN222" s="98">
        <v>295200</v>
      </c>
      <c r="NQ222" s="98">
        <v>2300</v>
      </c>
      <c r="NR222" s="98">
        <v>41400</v>
      </c>
      <c r="NU222" s="91">
        <f t="shared" si="1500"/>
        <v>1147500</v>
      </c>
      <c r="NV222" s="91">
        <f t="shared" si="1501"/>
        <v>20655000</v>
      </c>
      <c r="OK222" s="91">
        <f t="shared" si="1502"/>
        <v>0</v>
      </c>
      <c r="OL222" s="91">
        <f t="shared" si="1503"/>
        <v>0</v>
      </c>
      <c r="OO222" s="98">
        <v>4450</v>
      </c>
      <c r="OP222" s="98">
        <v>155750</v>
      </c>
      <c r="PA222" s="91">
        <f t="shared" si="1504"/>
        <v>4450</v>
      </c>
      <c r="PB222" s="91">
        <f t="shared" si="1505"/>
        <v>155750</v>
      </c>
      <c r="PI222" s="98">
        <v>14573</v>
      </c>
      <c r="PJ222" s="98">
        <v>291460</v>
      </c>
      <c r="PQ222" s="91">
        <f t="shared" si="1506"/>
        <v>14573</v>
      </c>
      <c r="PR222" s="91">
        <f t="shared" si="1507"/>
        <v>291460</v>
      </c>
      <c r="PU222" s="98">
        <v>115890</v>
      </c>
      <c r="PV222" s="98">
        <v>2086020</v>
      </c>
      <c r="PY222" s="98">
        <v>112950</v>
      </c>
      <c r="PZ222" s="98">
        <v>2033100</v>
      </c>
      <c r="QA222" s="98">
        <v>162010</v>
      </c>
      <c r="QB222" s="98">
        <v>2916180</v>
      </c>
      <c r="QC222" s="98">
        <v>74590</v>
      </c>
      <c r="QD222" s="98">
        <v>1342620</v>
      </c>
      <c r="QG222" s="91">
        <f t="shared" si="1508"/>
        <v>465440</v>
      </c>
      <c r="QH222" s="91">
        <f t="shared" si="1509"/>
        <v>8377920</v>
      </c>
      <c r="QO222" s="98">
        <v>9500</v>
      </c>
      <c r="QP222" s="98">
        <v>190000</v>
      </c>
      <c r="QW222" s="91">
        <f t="shared" si="1510"/>
        <v>9500</v>
      </c>
      <c r="QX222" s="91">
        <f t="shared" si="1511"/>
        <v>190000</v>
      </c>
      <c r="RE222" s="98">
        <v>2360</v>
      </c>
      <c r="RF222" s="98">
        <f>RE222*27</f>
        <v>63720</v>
      </c>
      <c r="RM222" s="91">
        <f t="shared" si="1512"/>
        <v>2360</v>
      </c>
      <c r="RN222" s="91">
        <f t="shared" si="1513"/>
        <v>63720</v>
      </c>
      <c r="RU222" s="98">
        <v>4270</v>
      </c>
      <c r="RV222" s="98">
        <v>98210</v>
      </c>
      <c r="SC222" s="91">
        <f t="shared" si="1514"/>
        <v>4270</v>
      </c>
      <c r="SD222" s="91">
        <f t="shared" si="1515"/>
        <v>98210</v>
      </c>
      <c r="SK222" s="98">
        <v>500</v>
      </c>
      <c r="SL222" s="98">
        <v>12500</v>
      </c>
      <c r="SS222" s="91">
        <f t="shared" si="1516"/>
        <v>500</v>
      </c>
      <c r="ST222" s="91">
        <f t="shared" si="1517"/>
        <v>12500</v>
      </c>
      <c r="TA222" s="98">
        <v>2420</v>
      </c>
      <c r="TB222" s="98">
        <v>64130</v>
      </c>
      <c r="TI222" s="91">
        <f t="shared" si="1518"/>
        <v>2420</v>
      </c>
      <c r="TJ222" s="91">
        <f t="shared" si="1519"/>
        <v>64130</v>
      </c>
      <c r="TQ222" s="98">
        <v>3700</v>
      </c>
      <c r="TR222" s="98">
        <v>92500</v>
      </c>
      <c r="TU222" s="98">
        <v>950</v>
      </c>
      <c r="TV222" s="98">
        <v>28500</v>
      </c>
      <c r="TY222" s="91">
        <f t="shared" si="1520"/>
        <v>4650</v>
      </c>
      <c r="TZ222" s="91">
        <f t="shared" si="1521"/>
        <v>121000</v>
      </c>
      <c r="UG222" s="98">
        <v>428</v>
      </c>
      <c r="UH222" s="98">
        <v>9844</v>
      </c>
      <c r="UO222" s="91">
        <f t="shared" si="1522"/>
        <v>428</v>
      </c>
      <c r="UP222" s="91">
        <f t="shared" si="1523"/>
        <v>9844</v>
      </c>
      <c r="VE222" s="91">
        <f t="shared" si="1524"/>
        <v>0</v>
      </c>
      <c r="VF222" s="91">
        <f t="shared" si="1525"/>
        <v>0</v>
      </c>
      <c r="VI222" s="98">
        <v>270</v>
      </c>
      <c r="VJ222" s="98">
        <v>6210</v>
      </c>
      <c r="VM222" s="98">
        <v>890</v>
      </c>
      <c r="VN222" s="98">
        <v>22250</v>
      </c>
      <c r="VU222" s="91">
        <f t="shared" si="1526"/>
        <v>1160</v>
      </c>
      <c r="VV222" s="91">
        <f t="shared" si="1527"/>
        <v>28460</v>
      </c>
      <c r="VY222" s="98">
        <v>49541</v>
      </c>
      <c r="VZ222" s="98">
        <v>1387148</v>
      </c>
      <c r="WC222" s="98">
        <v>112451</v>
      </c>
      <c r="WD222" s="98">
        <v>3148628</v>
      </c>
      <c r="WK222" s="91">
        <f t="shared" si="1528"/>
        <v>161992</v>
      </c>
      <c r="WL222" s="91">
        <f t="shared" si="1529"/>
        <v>4535776</v>
      </c>
      <c r="WM222" s="89"/>
      <c r="WN222" s="87">
        <f t="shared" si="1530"/>
        <v>0</v>
      </c>
      <c r="WO222" s="87">
        <f t="shared" si="1531"/>
        <v>0</v>
      </c>
      <c r="WP222" s="87">
        <f t="shared" si="1532"/>
        <v>1409333.6878533869</v>
      </c>
      <c r="WQ222" s="87">
        <f t="shared" si="1533"/>
        <v>25821604.609947417</v>
      </c>
      <c r="WR222" s="87">
        <f t="shared" si="1534"/>
        <v>0</v>
      </c>
      <c r="WS222" s="87">
        <f t="shared" si="1535"/>
        <v>0</v>
      </c>
      <c r="WT222" s="87">
        <f t="shared" si="1536"/>
        <v>2906176.3380037141</v>
      </c>
      <c r="WU222" s="87">
        <f t="shared" si="1537"/>
        <v>48891955.220055707</v>
      </c>
      <c r="WV222" s="87">
        <f t="shared" si="1538"/>
        <v>170645</v>
      </c>
      <c r="WW222" s="87">
        <f t="shared" si="1539"/>
        <v>3118220.0060000001</v>
      </c>
      <c r="WX222" s="87">
        <f t="shared" si="1540"/>
        <v>79455</v>
      </c>
      <c r="WY222" s="87">
        <f t="shared" si="1541"/>
        <v>1444820</v>
      </c>
      <c r="WZ222" s="87">
        <f t="shared" si="1542"/>
        <v>440801.27</v>
      </c>
      <c r="XA222" s="87">
        <f t="shared" si="1543"/>
        <v>10284022</v>
      </c>
      <c r="XB222" s="92">
        <f t="shared" si="1544"/>
        <v>5006411.2958571017</v>
      </c>
      <c r="XC222" s="92">
        <f t="shared" si="1545"/>
        <v>89560621.836003125</v>
      </c>
      <c r="XD222" s="89"/>
      <c r="XE222" s="92"/>
      <c r="XF222" s="92"/>
      <c r="XG222" s="89"/>
      <c r="XH222" s="92"/>
      <c r="XI222" s="92"/>
      <c r="XJ222" s="89"/>
      <c r="XK222" s="87"/>
      <c r="XL222" s="87"/>
      <c r="XM222" s="87"/>
      <c r="XN222" s="87"/>
      <c r="XO222" s="87"/>
      <c r="XP222" s="87"/>
      <c r="XQ222" s="87"/>
      <c r="XR222" s="92">
        <f t="shared" ca="1" si="1546"/>
        <v>0</v>
      </c>
      <c r="XS222" s="89"/>
      <c r="XT222" s="87"/>
      <c r="XU222" s="87"/>
      <c r="XV222" s="87"/>
      <c r="XW222" s="87"/>
      <c r="XX222" s="87"/>
      <c r="XY222" s="87"/>
      <c r="XZ222" s="87"/>
      <c r="YA222" s="92">
        <f t="shared" ca="1" si="1547"/>
        <v>0</v>
      </c>
      <c r="YB222" s="90"/>
      <c r="YC222" s="90"/>
      <c r="YD222" s="90"/>
      <c r="YE222" s="90"/>
      <c r="YF222" s="90"/>
      <c r="YG222" s="90"/>
      <c r="YH222" s="90"/>
      <c r="YI222" s="90"/>
      <c r="YJ222" s="90"/>
      <c r="YK222" s="90"/>
      <c r="YL222" s="90"/>
      <c r="YM222" s="90"/>
      <c r="YN222" s="90"/>
      <c r="YO222" s="90"/>
      <c r="YP222" s="90"/>
      <c r="YQ222" s="90"/>
      <c r="YR222" s="90"/>
      <c r="YS222" s="90"/>
      <c r="YT222" s="90"/>
      <c r="YU222" s="90"/>
      <c r="YV222" s="90"/>
      <c r="YW222" s="90"/>
      <c r="YX222" s="90"/>
      <c r="YY222" s="90"/>
      <c r="YZ222" s="90"/>
      <c r="ZA222" s="90"/>
      <c r="ZB222" s="90"/>
      <c r="ZC222" s="90"/>
      <c r="ZD222" s="90"/>
      <c r="ZE222" s="90"/>
      <c r="ZF222" s="90"/>
      <c r="ZG222" s="90"/>
      <c r="ZH222" s="90"/>
      <c r="ZI222" s="90"/>
      <c r="ZJ222" s="90"/>
      <c r="ZK222" s="90"/>
      <c r="ZL222" s="90"/>
      <c r="ZM222" s="90"/>
      <c r="ZN222" s="90"/>
      <c r="ZO222" s="90"/>
      <c r="ZP222" s="90"/>
      <c r="ZQ222" s="90"/>
      <c r="ZR222" s="90"/>
      <c r="ZS222" s="90"/>
      <c r="ZT222" s="90"/>
      <c r="ZU222" s="90"/>
      <c r="ZV222" s="90"/>
      <c r="ZW222" s="90"/>
      <c r="ZX222" s="90"/>
      <c r="ZY222" s="90"/>
      <c r="ZZ222" s="90"/>
      <c r="AAA222" s="90"/>
      <c r="AAB222" s="90"/>
      <c r="AAC222" s="90"/>
      <c r="AAD222" s="90"/>
      <c r="AAE222" s="90"/>
      <c r="AAF222" s="90"/>
      <c r="AAG222" s="90"/>
      <c r="AAH222" s="90"/>
      <c r="AAI222" s="90"/>
      <c r="AAJ222" s="90"/>
      <c r="AAK222" s="90"/>
      <c r="AAL222" s="90"/>
      <c r="AAM222" s="90"/>
      <c r="AAN222" s="90"/>
      <c r="AAO222" s="90"/>
      <c r="AAP222" s="90"/>
      <c r="AAQ222" s="90"/>
      <c r="AAR222" s="90"/>
      <c r="AAS222" s="90"/>
      <c r="AAT222" s="90"/>
      <c r="AAU222" s="90"/>
      <c r="AAV222" s="90"/>
      <c r="AAW222" s="90"/>
      <c r="AAX222" s="90"/>
      <c r="AAY222" s="90"/>
      <c r="AAZ222" s="90"/>
      <c r="ABA222" s="90"/>
      <c r="ABB222" s="90"/>
      <c r="ABC222" s="90"/>
      <c r="ABD222" s="90"/>
      <c r="ABE222" s="90"/>
      <c r="ABF222" s="90"/>
      <c r="ABG222" s="90"/>
      <c r="ABH222" s="90"/>
      <c r="ABI222" s="90"/>
      <c r="ABJ222" s="90"/>
      <c r="ABK222" s="90"/>
      <c r="ABL222" s="90"/>
      <c r="ABM222" s="90"/>
      <c r="ABN222" s="90"/>
      <c r="ABO222" s="90"/>
      <c r="ABP222" s="90"/>
      <c r="ABQ222" s="90"/>
      <c r="ABR222" s="90"/>
      <c r="ABS222" s="90"/>
      <c r="ABT222" s="90"/>
      <c r="ABU222" s="90"/>
      <c r="ABV222" s="90"/>
      <c r="ABW222" s="90"/>
      <c r="ABX222" s="90"/>
      <c r="ABY222" s="90"/>
      <c r="ABZ222" s="90"/>
      <c r="ACA222" s="90"/>
      <c r="ACB222" s="90"/>
      <c r="ACC222" s="90"/>
      <c r="ACD222" s="90"/>
      <c r="ACE222" s="90"/>
      <c r="ACF222" s="90"/>
      <c r="ACG222" s="90"/>
      <c r="ACH222" s="90"/>
      <c r="ACI222" s="90"/>
      <c r="ACJ222" s="90"/>
      <c r="ACK222" s="90"/>
      <c r="ACL222" s="90"/>
      <c r="ACM222" s="90"/>
      <c r="ACN222" s="90"/>
      <c r="ACO222" s="90"/>
      <c r="ACP222" s="90"/>
      <c r="ACQ222" s="90"/>
      <c r="ACR222" s="90"/>
      <c r="ACS222" s="90"/>
      <c r="ACT222" s="90"/>
      <c r="ACU222" s="90"/>
      <c r="ACV222" s="90"/>
      <c r="ACW222" s="90"/>
      <c r="ACX222" s="90"/>
      <c r="ACY222" s="90"/>
      <c r="ACZ222" s="90"/>
      <c r="ADA222" s="90"/>
      <c r="ADB222" s="90"/>
      <c r="ADC222" s="90"/>
      <c r="ADD222" s="90"/>
      <c r="ADE222" s="90"/>
      <c r="ADF222" s="90"/>
      <c r="ADG222" s="90"/>
      <c r="ADH222" s="90"/>
      <c r="ADI222" s="90"/>
      <c r="ADJ222" s="90"/>
      <c r="ADK222" s="90"/>
      <c r="ADL222" s="90"/>
      <c r="ADM222" s="90"/>
      <c r="ADN222" s="90"/>
      <c r="ADO222" s="90"/>
      <c r="ADP222" s="90"/>
      <c r="ADQ222" s="90"/>
      <c r="ADR222" s="90"/>
      <c r="ADS222" s="90"/>
      <c r="ADT222" s="90"/>
      <c r="ADU222" s="90"/>
      <c r="ADV222" s="90"/>
      <c r="ADW222" s="90"/>
      <c r="ADX222" s="90"/>
      <c r="ADY222" s="90"/>
      <c r="ADZ222" s="90"/>
      <c r="AEA222" s="90"/>
      <c r="AEB222" s="90"/>
      <c r="AEC222" s="90"/>
      <c r="AED222" s="90"/>
      <c r="AEE222" s="90"/>
      <c r="AEF222" s="90"/>
      <c r="AEG222" s="90"/>
      <c r="AEH222" s="90"/>
      <c r="AEI222" s="90"/>
      <c r="AEJ222" s="90"/>
      <c r="AEK222" s="90"/>
      <c r="AEL222" s="90"/>
      <c r="AEM222" s="90"/>
      <c r="AEN222" s="90"/>
      <c r="AEO222" s="90"/>
      <c r="AEP222" s="90"/>
      <c r="AEQ222" s="90"/>
      <c r="AER222" s="90"/>
      <c r="AES222" s="90"/>
      <c r="AET222" s="90"/>
      <c r="AEU222" s="90"/>
      <c r="AEV222" s="90"/>
      <c r="AEW222" s="90"/>
      <c r="AEX222" s="90"/>
      <c r="AEY222" s="90"/>
      <c r="AEZ222" s="90"/>
      <c r="AFA222" s="90"/>
      <c r="AFB222" s="90"/>
      <c r="AFC222" s="90"/>
      <c r="AFD222" s="90"/>
      <c r="AFE222" s="90"/>
      <c r="AFF222" s="90"/>
      <c r="AFG222" s="90"/>
      <c r="AFH222" s="90"/>
      <c r="AFI222" s="90"/>
      <c r="AFJ222" s="90"/>
      <c r="AFK222" s="90"/>
      <c r="AFL222" s="90"/>
      <c r="AFM222" s="90"/>
      <c r="AFN222" s="90"/>
      <c r="AFO222" s="90"/>
      <c r="AFP222" s="90"/>
      <c r="AFQ222" s="90"/>
      <c r="AFR222" s="90"/>
      <c r="AFS222" s="90"/>
      <c r="AFT222" s="90"/>
      <c r="AFU222" s="90"/>
      <c r="AFV222" s="90"/>
      <c r="AFW222" s="90"/>
      <c r="AFX222" s="90"/>
      <c r="AFY222" s="90"/>
      <c r="AFZ222" s="90"/>
      <c r="AGA222" s="90"/>
      <c r="AGB222" s="90"/>
      <c r="AGC222" s="90"/>
      <c r="AGD222" s="90"/>
      <c r="AGE222" s="90"/>
      <c r="AGF222" s="90"/>
      <c r="AGG222" s="90"/>
      <c r="AGH222" s="90"/>
      <c r="AGI222" s="90"/>
      <c r="AGJ222" s="90"/>
      <c r="AGK222" s="90"/>
      <c r="AGL222" s="90"/>
      <c r="AGM222" s="90"/>
      <c r="AGN222" s="90"/>
      <c r="AGO222" s="90"/>
      <c r="AGP222" s="90"/>
      <c r="AGQ222" s="90"/>
      <c r="AGR222" s="90"/>
      <c r="AGS222" s="90"/>
      <c r="AGT222" s="90"/>
      <c r="AGU222" s="90"/>
      <c r="AGV222" s="90"/>
      <c r="AGW222" s="90"/>
      <c r="AGX222" s="90"/>
      <c r="AGY222" s="90"/>
      <c r="AGZ222" s="90"/>
      <c r="AHA222" s="90"/>
      <c r="AHB222" s="90"/>
      <c r="AHC222" s="90"/>
      <c r="AHD222" s="90"/>
      <c r="AHE222" s="90"/>
      <c r="AHF222" s="90"/>
      <c r="AHG222" s="90"/>
      <c r="AHH222" s="90"/>
      <c r="AHI222" s="90"/>
      <c r="AHJ222" s="90"/>
      <c r="AHK222" s="90"/>
      <c r="AHL222" s="90"/>
      <c r="AHM222" s="90"/>
      <c r="AHN222" s="90"/>
      <c r="AHO222" s="90"/>
      <c r="AHP222" s="90"/>
      <c r="AHQ222" s="90"/>
      <c r="AHR222" s="90"/>
      <c r="AHS222" s="90"/>
      <c r="AHT222" s="90"/>
      <c r="AHU222" s="90"/>
      <c r="AHV222" s="90"/>
      <c r="AHW222" s="90"/>
      <c r="AHX222" s="90"/>
      <c r="AHY222" s="90"/>
      <c r="AHZ222" s="90"/>
      <c r="AIA222" s="90"/>
      <c r="AIB222" s="90"/>
      <c r="AIC222" s="90"/>
      <c r="AID222" s="90"/>
      <c r="AIE222" s="90"/>
      <c r="AIF222" s="90"/>
      <c r="AIG222" s="90"/>
      <c r="AIH222" s="90"/>
      <c r="AII222" s="90"/>
      <c r="AIJ222" s="90"/>
      <c r="AIK222" s="90"/>
      <c r="AIL222" s="90"/>
      <c r="AIM222" s="90"/>
      <c r="AIN222" s="90"/>
      <c r="AIO222" s="90"/>
      <c r="AIP222" s="90"/>
      <c r="AIQ222" s="90"/>
      <c r="AIR222" s="90"/>
      <c r="AIS222" s="90"/>
      <c r="AIT222" s="90"/>
      <c r="AIU222" s="90"/>
      <c r="AIV222" s="90"/>
      <c r="AIW222" s="90"/>
      <c r="AIX222" s="90"/>
      <c r="AIY222" s="90"/>
      <c r="AIZ222" s="90"/>
      <c r="AJA222" s="90"/>
      <c r="AJB222" s="90"/>
      <c r="AJC222" s="90"/>
      <c r="AJD222" s="90"/>
      <c r="AJE222" s="90"/>
      <c r="AJF222" s="90"/>
      <c r="AJG222" s="90"/>
      <c r="AJH222" s="90"/>
      <c r="AJI222" s="90"/>
      <c r="AJJ222" s="90"/>
      <c r="AJK222" s="90"/>
      <c r="AJL222" s="90"/>
      <c r="AJM222" s="90"/>
      <c r="AJN222" s="90"/>
      <c r="AJO222" s="90"/>
      <c r="AJP222" s="90"/>
      <c r="AJQ222" s="90"/>
      <c r="AJR222" s="90"/>
      <c r="AJS222" s="90"/>
      <c r="AJT222" s="90"/>
      <c r="AJU222" s="90"/>
      <c r="AJV222" s="90"/>
      <c r="AJW222" s="90"/>
      <c r="AJX222" s="90"/>
      <c r="AJY222" s="90"/>
      <c r="AJZ222" s="90"/>
      <c r="AKA222" s="90"/>
      <c r="AKB222" s="90"/>
      <c r="AKC222" s="90"/>
      <c r="AKD222" s="90"/>
      <c r="AKE222" s="90"/>
      <c r="AKF222" s="90"/>
      <c r="AKG222" s="90"/>
      <c r="AKH222" s="90"/>
      <c r="AKI222" s="90"/>
      <c r="AKJ222" s="90"/>
      <c r="AKK222" s="90"/>
      <c r="AKL222" s="90"/>
      <c r="AKM222" s="90"/>
      <c r="AKN222" s="90"/>
      <c r="AKO222" s="90"/>
      <c r="AKP222" s="90"/>
      <c r="AKQ222" s="90"/>
      <c r="AKR222" s="90"/>
      <c r="AKS222" s="90"/>
      <c r="AKT222" s="90"/>
      <c r="AKU222" s="90"/>
      <c r="AKV222" s="90"/>
      <c r="AKW222" s="90"/>
      <c r="AKX222" s="90"/>
      <c r="AKY222" s="90"/>
      <c r="AKZ222" s="90"/>
      <c r="ALA222" s="90"/>
      <c r="ALB222" s="90"/>
      <c r="ALC222" s="90"/>
      <c r="ALD222" s="90"/>
      <c r="ALE222" s="90"/>
      <c r="ALF222" s="90"/>
      <c r="ALG222" s="90"/>
      <c r="ALH222" s="90"/>
      <c r="ALI222" s="90"/>
      <c r="ALJ222" s="90"/>
      <c r="ALK222" s="90"/>
      <c r="ALL222" s="90"/>
      <c r="ALM222" s="90"/>
      <c r="ALN222" s="90"/>
      <c r="ALO222" s="90"/>
      <c r="ALP222" s="90"/>
      <c r="ALQ222" s="90"/>
      <c r="ALR222" s="90"/>
      <c r="ALS222" s="90"/>
      <c r="ALT222" s="90"/>
      <c r="ALU222" s="90"/>
      <c r="ALV222" s="90"/>
      <c r="ALW222" s="90"/>
      <c r="ALX222" s="90"/>
      <c r="ALY222" s="90"/>
      <c r="ALZ222" s="90"/>
      <c r="AMA222" s="90"/>
      <c r="AMB222" s="90"/>
      <c r="AMC222" s="90"/>
    </row>
    <row r="223" spans="1:1017">
      <c r="A223" s="98" t="s">
        <v>50</v>
      </c>
      <c r="B223" s="90" t="str">
        <f t="shared" si="1453"/>
        <v xml:space="preserve">Patin </v>
      </c>
      <c r="Q223" s="91">
        <f t="shared" si="1454"/>
        <v>0</v>
      </c>
      <c r="R223" s="91">
        <f t="shared" si="1455"/>
        <v>0</v>
      </c>
      <c r="Y223" s="98">
        <v>199280</v>
      </c>
      <c r="Z223" s="98">
        <v>3985600</v>
      </c>
      <c r="AG223" s="91">
        <f t="shared" si="1456"/>
        <v>199280</v>
      </c>
      <c r="AH223" s="91">
        <f t="shared" si="1457"/>
        <v>3985600</v>
      </c>
      <c r="AO223" s="98">
        <v>13900</v>
      </c>
      <c r="AP223" s="98">
        <v>222400</v>
      </c>
      <c r="AW223" s="91">
        <f t="shared" si="1458"/>
        <v>13900</v>
      </c>
      <c r="AX223" s="91">
        <f t="shared" si="1459"/>
        <v>222400</v>
      </c>
      <c r="BE223" s="98">
        <v>19442</v>
      </c>
      <c r="BF223" s="98">
        <v>349956</v>
      </c>
      <c r="BM223" s="91">
        <f t="shared" si="1460"/>
        <v>19442</v>
      </c>
      <c r="BN223" s="91">
        <f t="shared" si="1461"/>
        <v>349956</v>
      </c>
      <c r="CC223" s="91">
        <f t="shared" si="1462"/>
        <v>0</v>
      </c>
      <c r="CD223" s="91">
        <f t="shared" si="1463"/>
        <v>0</v>
      </c>
      <c r="CK223" s="98">
        <v>1754.502442875</v>
      </c>
      <c r="CL223" s="98">
        <v>35090.048857500005</v>
      </c>
      <c r="CS223" s="91">
        <f t="shared" si="1548"/>
        <v>1754.502442875</v>
      </c>
      <c r="CT223" s="91">
        <f t="shared" si="1549"/>
        <v>35090.048857500005</v>
      </c>
      <c r="DI223" s="91">
        <f t="shared" si="1466"/>
        <v>0</v>
      </c>
      <c r="DJ223" s="91">
        <f t="shared" si="1467"/>
        <v>0</v>
      </c>
      <c r="DQ223" s="98">
        <v>176400</v>
      </c>
      <c r="DR223" s="98">
        <v>3175200</v>
      </c>
      <c r="DY223" s="91">
        <f t="shared" si="1468"/>
        <v>176400</v>
      </c>
      <c r="DZ223" s="91">
        <f t="shared" si="1469"/>
        <v>3175200</v>
      </c>
      <c r="EG223" s="98">
        <v>220100</v>
      </c>
      <c r="EH223" s="98">
        <v>3301500</v>
      </c>
      <c r="EO223" s="91">
        <f t="shared" si="1470"/>
        <v>220100</v>
      </c>
      <c r="EP223" s="91">
        <f t="shared" si="1471"/>
        <v>3301500</v>
      </c>
      <c r="EW223" s="98">
        <v>676</v>
      </c>
      <c r="EX223" s="98">
        <v>10816</v>
      </c>
      <c r="FE223" s="91">
        <f t="shared" si="1472"/>
        <v>676</v>
      </c>
      <c r="FF223" s="91">
        <f t="shared" si="1473"/>
        <v>10816</v>
      </c>
      <c r="FM223" s="98">
        <v>800</v>
      </c>
      <c r="FN223" s="98">
        <v>16000</v>
      </c>
      <c r="FU223" s="91">
        <f t="shared" si="1474"/>
        <v>800</v>
      </c>
      <c r="FV223" s="91">
        <f t="shared" si="1475"/>
        <v>16000</v>
      </c>
      <c r="GC223" s="98">
        <v>26000</v>
      </c>
      <c r="GD223" s="98">
        <v>442000</v>
      </c>
      <c r="GK223" s="91">
        <f t="shared" si="1476"/>
        <v>26000</v>
      </c>
      <c r="GL223" s="91">
        <f t="shared" si="1477"/>
        <v>442000</v>
      </c>
      <c r="GS223" s="98">
        <v>3100</v>
      </c>
      <c r="GT223" s="98">
        <v>51150</v>
      </c>
      <c r="HA223" s="91">
        <f t="shared" si="1478"/>
        <v>3100</v>
      </c>
      <c r="HB223" s="91">
        <f t="shared" si="1479"/>
        <v>51150</v>
      </c>
      <c r="HQ223" s="91">
        <f t="shared" si="1480"/>
        <v>0</v>
      </c>
      <c r="HR223" s="91">
        <f t="shared" si="1481"/>
        <v>0</v>
      </c>
      <c r="HY223" s="98">
        <v>1100</v>
      </c>
      <c r="HZ223" s="98">
        <v>18700</v>
      </c>
      <c r="IG223" s="91">
        <f t="shared" si="1482"/>
        <v>1100</v>
      </c>
      <c r="IH223" s="91">
        <f t="shared" si="1483"/>
        <v>18700</v>
      </c>
      <c r="IO223" s="98">
        <v>7200</v>
      </c>
      <c r="IP223" s="98">
        <v>118800</v>
      </c>
      <c r="IW223" s="91">
        <f t="shared" si="1484"/>
        <v>7200</v>
      </c>
      <c r="IX223" s="91">
        <f t="shared" si="1485"/>
        <v>118800</v>
      </c>
      <c r="JE223" s="98">
        <v>14350</v>
      </c>
      <c r="JF223" s="98">
        <v>243950</v>
      </c>
      <c r="JK223" s="98">
        <v>5980</v>
      </c>
      <c r="JL223" s="98">
        <v>101660</v>
      </c>
      <c r="JM223" s="91">
        <f t="shared" si="1486"/>
        <v>20330</v>
      </c>
      <c r="JN223" s="91">
        <f t="shared" si="1487"/>
        <v>345610</v>
      </c>
      <c r="KC223" s="91">
        <f t="shared" si="1488"/>
        <v>0</v>
      </c>
      <c r="KD223" s="91">
        <f t="shared" si="1489"/>
        <v>0</v>
      </c>
      <c r="KS223" s="91">
        <f t="shared" si="1490"/>
        <v>0</v>
      </c>
      <c r="KT223" s="91">
        <f t="shared" si="1491"/>
        <v>0</v>
      </c>
      <c r="LI223" s="91">
        <f t="shared" si="1492"/>
        <v>0</v>
      </c>
      <c r="LJ223" s="91">
        <f t="shared" si="1493"/>
        <v>0</v>
      </c>
      <c r="LQ223" s="98">
        <v>1527</v>
      </c>
      <c r="LR223" s="98">
        <v>29013</v>
      </c>
      <c r="LY223" s="91">
        <f t="shared" si="1494"/>
        <v>1527</v>
      </c>
      <c r="LZ223" s="91">
        <f t="shared" si="1495"/>
        <v>29013</v>
      </c>
      <c r="MO223" s="91">
        <f t="shared" si="1496"/>
        <v>0</v>
      </c>
      <c r="MP223" s="91">
        <f t="shared" si="1497"/>
        <v>0</v>
      </c>
      <c r="NE223" s="91">
        <f t="shared" si="1498"/>
        <v>0</v>
      </c>
      <c r="NF223" s="91">
        <f t="shared" si="1499"/>
        <v>0</v>
      </c>
      <c r="NM223" s="98">
        <v>21700</v>
      </c>
      <c r="NN223" s="98">
        <v>390600</v>
      </c>
      <c r="NQ223" s="98">
        <v>19000</v>
      </c>
      <c r="NR223" s="98">
        <v>342000</v>
      </c>
      <c r="NU223" s="91">
        <f t="shared" si="1500"/>
        <v>40700</v>
      </c>
      <c r="NV223" s="91">
        <f t="shared" si="1501"/>
        <v>732600</v>
      </c>
      <c r="OK223" s="91">
        <f t="shared" si="1502"/>
        <v>0</v>
      </c>
      <c r="OL223" s="91">
        <f t="shared" si="1503"/>
        <v>0</v>
      </c>
      <c r="PA223" s="91">
        <f t="shared" si="1504"/>
        <v>0</v>
      </c>
      <c r="PB223" s="91">
        <f t="shared" si="1505"/>
        <v>0</v>
      </c>
      <c r="PI223" s="98">
        <v>18000</v>
      </c>
      <c r="PJ223" s="98">
        <v>255600</v>
      </c>
      <c r="PQ223" s="91">
        <f t="shared" si="1506"/>
        <v>18000</v>
      </c>
      <c r="PR223" s="91">
        <f t="shared" si="1507"/>
        <v>255600</v>
      </c>
      <c r="PY223" s="98">
        <v>72510</v>
      </c>
      <c r="PZ223" s="98">
        <v>1087650</v>
      </c>
      <c r="QC223" s="98">
        <v>60100</v>
      </c>
      <c r="QD223" s="98">
        <v>1021700</v>
      </c>
      <c r="QG223" s="91">
        <f t="shared" si="1508"/>
        <v>132610</v>
      </c>
      <c r="QH223" s="91">
        <f t="shared" si="1509"/>
        <v>2109350</v>
      </c>
      <c r="QO223" s="98">
        <v>1740000</v>
      </c>
      <c r="QP223" s="98">
        <v>26970000</v>
      </c>
      <c r="QW223" s="91">
        <f t="shared" si="1510"/>
        <v>1740000</v>
      </c>
      <c r="QX223" s="91">
        <f t="shared" si="1511"/>
        <v>26970000</v>
      </c>
      <c r="RM223" s="91">
        <f t="shared" si="1512"/>
        <v>0</v>
      </c>
      <c r="RN223" s="91">
        <f t="shared" si="1513"/>
        <v>0</v>
      </c>
      <c r="RU223" s="98">
        <v>1640</v>
      </c>
      <c r="RV223" s="98">
        <v>27880</v>
      </c>
      <c r="SC223" s="91">
        <f t="shared" si="1514"/>
        <v>1640</v>
      </c>
      <c r="SD223" s="91">
        <f t="shared" si="1515"/>
        <v>27880</v>
      </c>
      <c r="SS223" s="91">
        <f t="shared" si="1516"/>
        <v>0</v>
      </c>
      <c r="ST223" s="91">
        <f t="shared" si="1517"/>
        <v>0</v>
      </c>
      <c r="TI223" s="91">
        <f t="shared" si="1518"/>
        <v>0</v>
      </c>
      <c r="TJ223" s="91">
        <f t="shared" si="1519"/>
        <v>0</v>
      </c>
      <c r="TY223" s="91">
        <f t="shared" si="1520"/>
        <v>0</v>
      </c>
      <c r="TZ223" s="91">
        <f t="shared" si="1521"/>
        <v>0</v>
      </c>
      <c r="UG223" s="98">
        <v>230</v>
      </c>
      <c r="UH223" s="98">
        <v>4600</v>
      </c>
      <c r="UO223" s="91">
        <f t="shared" si="1522"/>
        <v>230</v>
      </c>
      <c r="UP223" s="91">
        <f t="shared" si="1523"/>
        <v>4600</v>
      </c>
      <c r="VE223" s="91">
        <f t="shared" si="1524"/>
        <v>0</v>
      </c>
      <c r="VF223" s="91">
        <f t="shared" si="1525"/>
        <v>0</v>
      </c>
      <c r="VU223" s="91">
        <f t="shared" si="1526"/>
        <v>0</v>
      </c>
      <c r="VV223" s="91">
        <f t="shared" si="1527"/>
        <v>0</v>
      </c>
      <c r="WC223" s="98">
        <v>252</v>
      </c>
      <c r="WD223" s="98">
        <v>5544</v>
      </c>
      <c r="WK223" s="91">
        <f t="shared" si="1528"/>
        <v>252</v>
      </c>
      <c r="WL223" s="91">
        <f t="shared" si="1529"/>
        <v>5544</v>
      </c>
      <c r="WM223" s="89"/>
      <c r="WN223" s="87">
        <f t="shared" si="1530"/>
        <v>0</v>
      </c>
      <c r="WO223" s="87">
        <f t="shared" si="1531"/>
        <v>0</v>
      </c>
      <c r="WP223" s="87">
        <f t="shared" si="1532"/>
        <v>0</v>
      </c>
      <c r="WQ223" s="87">
        <f t="shared" si="1533"/>
        <v>0</v>
      </c>
      <c r="WR223" s="87">
        <f t="shared" si="1534"/>
        <v>0</v>
      </c>
      <c r="WS223" s="87">
        <f t="shared" si="1535"/>
        <v>0</v>
      </c>
      <c r="WT223" s="87">
        <f t="shared" si="1536"/>
        <v>2539961.5024428749</v>
      </c>
      <c r="WU223" s="87">
        <f t="shared" si="1537"/>
        <v>40742049.048857495</v>
      </c>
      <c r="WV223" s="87">
        <f t="shared" si="1538"/>
        <v>0</v>
      </c>
      <c r="WW223" s="87">
        <f t="shared" si="1539"/>
        <v>0</v>
      </c>
      <c r="WX223" s="87">
        <f t="shared" si="1540"/>
        <v>79100</v>
      </c>
      <c r="WY223" s="87">
        <f t="shared" si="1541"/>
        <v>1363700</v>
      </c>
      <c r="WZ223" s="87">
        <f t="shared" si="1542"/>
        <v>5980</v>
      </c>
      <c r="XA223" s="87">
        <f t="shared" si="1543"/>
        <v>101660</v>
      </c>
      <c r="XB223" s="92">
        <f t="shared" si="1544"/>
        <v>2625041.5024428749</v>
      </c>
      <c r="XC223" s="92">
        <f t="shared" si="1545"/>
        <v>42207409.048857495</v>
      </c>
      <c r="XD223" s="89"/>
      <c r="XE223" s="92"/>
      <c r="XF223" s="92"/>
      <c r="XG223" s="89"/>
      <c r="XH223" s="92"/>
      <c r="XI223" s="92"/>
      <c r="XJ223" s="89"/>
      <c r="XK223" s="87"/>
      <c r="XL223" s="87"/>
      <c r="XM223" s="87"/>
      <c r="XN223" s="87"/>
      <c r="XO223" s="87"/>
      <c r="XP223" s="87"/>
      <c r="XQ223" s="87"/>
      <c r="XR223" s="92">
        <f t="shared" ca="1" si="1546"/>
        <v>0</v>
      </c>
      <c r="XS223" s="89"/>
      <c r="XT223" s="87"/>
      <c r="XU223" s="87"/>
      <c r="XV223" s="87"/>
      <c r="XW223" s="87"/>
      <c r="XX223" s="87"/>
      <c r="XY223" s="87"/>
      <c r="XZ223" s="87"/>
      <c r="YA223" s="92">
        <f t="shared" ca="1" si="1547"/>
        <v>0</v>
      </c>
      <c r="YB223" s="90"/>
      <c r="YC223" s="90"/>
      <c r="YD223" s="90"/>
      <c r="YE223" s="90"/>
      <c r="YF223" s="90"/>
      <c r="YG223" s="90"/>
      <c r="YH223" s="90"/>
      <c r="YI223" s="90"/>
      <c r="YJ223" s="90"/>
      <c r="YK223" s="90"/>
      <c r="YL223" s="90"/>
      <c r="YM223" s="90"/>
      <c r="YN223" s="90"/>
      <c r="YO223" s="90"/>
      <c r="YP223" s="90"/>
      <c r="YQ223" s="90"/>
      <c r="YR223" s="90"/>
      <c r="YS223" s="90"/>
      <c r="YT223" s="90"/>
      <c r="YU223" s="90"/>
      <c r="YV223" s="90"/>
      <c r="YW223" s="90"/>
      <c r="YX223" s="90"/>
      <c r="YY223" s="90"/>
      <c r="YZ223" s="90"/>
      <c r="ZA223" s="90"/>
      <c r="ZB223" s="90"/>
      <c r="ZC223" s="90"/>
      <c r="ZD223" s="90"/>
      <c r="ZE223" s="90"/>
      <c r="ZF223" s="90"/>
      <c r="ZG223" s="90"/>
      <c r="ZH223" s="90"/>
      <c r="ZI223" s="90"/>
      <c r="ZJ223" s="90"/>
      <c r="ZK223" s="90"/>
      <c r="ZL223" s="90"/>
      <c r="ZM223" s="90"/>
      <c r="ZN223" s="90"/>
      <c r="ZO223" s="90"/>
      <c r="ZP223" s="90"/>
      <c r="ZQ223" s="90"/>
      <c r="ZR223" s="90"/>
      <c r="ZS223" s="90"/>
      <c r="ZT223" s="90"/>
      <c r="ZU223" s="90"/>
      <c r="ZV223" s="90"/>
      <c r="ZW223" s="90"/>
      <c r="ZX223" s="90"/>
      <c r="ZY223" s="90"/>
      <c r="ZZ223" s="90"/>
      <c r="AAA223" s="90"/>
      <c r="AAB223" s="90"/>
      <c r="AAC223" s="90"/>
      <c r="AAD223" s="90"/>
      <c r="AAE223" s="90"/>
      <c r="AAF223" s="90"/>
      <c r="AAG223" s="90"/>
      <c r="AAH223" s="90"/>
      <c r="AAI223" s="90"/>
      <c r="AAJ223" s="90"/>
      <c r="AAK223" s="90"/>
      <c r="AAL223" s="90"/>
      <c r="AAM223" s="90"/>
      <c r="AAN223" s="90"/>
      <c r="AAO223" s="90"/>
      <c r="AAP223" s="90"/>
      <c r="AAQ223" s="90"/>
      <c r="AAR223" s="90"/>
      <c r="AAS223" s="90"/>
      <c r="AAT223" s="90"/>
      <c r="AAU223" s="90"/>
      <c r="AAV223" s="90"/>
      <c r="AAW223" s="90"/>
      <c r="AAX223" s="90"/>
      <c r="AAY223" s="90"/>
      <c r="AAZ223" s="90"/>
      <c r="ABA223" s="90"/>
      <c r="ABB223" s="90"/>
      <c r="ABC223" s="90"/>
      <c r="ABD223" s="90"/>
      <c r="ABE223" s="90"/>
      <c r="ABF223" s="90"/>
      <c r="ABG223" s="90"/>
      <c r="ABH223" s="90"/>
      <c r="ABI223" s="90"/>
      <c r="ABJ223" s="90"/>
      <c r="ABK223" s="90"/>
      <c r="ABL223" s="90"/>
      <c r="ABM223" s="90"/>
      <c r="ABN223" s="90"/>
      <c r="ABO223" s="90"/>
      <c r="ABP223" s="90"/>
      <c r="ABQ223" s="90"/>
      <c r="ABR223" s="90"/>
      <c r="ABS223" s="90"/>
      <c r="ABT223" s="90"/>
      <c r="ABU223" s="90"/>
      <c r="ABV223" s="90"/>
      <c r="ABW223" s="90"/>
      <c r="ABX223" s="90"/>
      <c r="ABY223" s="90"/>
      <c r="ABZ223" s="90"/>
      <c r="ACA223" s="90"/>
      <c r="ACB223" s="90"/>
      <c r="ACC223" s="90"/>
      <c r="ACD223" s="90"/>
      <c r="ACE223" s="90"/>
      <c r="ACF223" s="90"/>
      <c r="ACG223" s="90"/>
      <c r="ACH223" s="90"/>
      <c r="ACI223" s="90"/>
      <c r="ACJ223" s="90"/>
      <c r="ACK223" s="90"/>
      <c r="ACL223" s="90"/>
      <c r="ACM223" s="90"/>
      <c r="ACN223" s="90"/>
      <c r="ACO223" s="90"/>
      <c r="ACP223" s="90"/>
      <c r="ACQ223" s="90"/>
      <c r="ACR223" s="90"/>
      <c r="ACS223" s="90"/>
      <c r="ACT223" s="90"/>
      <c r="ACU223" s="90"/>
      <c r="ACV223" s="90"/>
      <c r="ACW223" s="90"/>
      <c r="ACX223" s="90"/>
      <c r="ACY223" s="90"/>
      <c r="ACZ223" s="90"/>
      <c r="ADA223" s="90"/>
      <c r="ADB223" s="90"/>
      <c r="ADC223" s="90"/>
      <c r="ADD223" s="90"/>
      <c r="ADE223" s="90"/>
      <c r="ADF223" s="90"/>
      <c r="ADG223" s="90"/>
      <c r="ADH223" s="90"/>
      <c r="ADI223" s="90"/>
      <c r="ADJ223" s="90"/>
      <c r="ADK223" s="90"/>
      <c r="ADL223" s="90"/>
      <c r="ADM223" s="90"/>
      <c r="ADN223" s="90"/>
      <c r="ADO223" s="90"/>
      <c r="ADP223" s="90"/>
      <c r="ADQ223" s="90"/>
      <c r="ADR223" s="90"/>
      <c r="ADS223" s="90"/>
      <c r="ADT223" s="90"/>
      <c r="ADU223" s="90"/>
      <c r="ADV223" s="90"/>
      <c r="ADW223" s="90"/>
      <c r="ADX223" s="90"/>
      <c r="ADY223" s="90"/>
      <c r="ADZ223" s="90"/>
      <c r="AEA223" s="90"/>
      <c r="AEB223" s="90"/>
      <c r="AEC223" s="90"/>
      <c r="AED223" s="90"/>
      <c r="AEE223" s="90"/>
      <c r="AEF223" s="90"/>
      <c r="AEG223" s="90"/>
      <c r="AEH223" s="90"/>
      <c r="AEI223" s="90"/>
      <c r="AEJ223" s="90"/>
      <c r="AEK223" s="90"/>
      <c r="AEL223" s="90"/>
      <c r="AEM223" s="90"/>
      <c r="AEN223" s="90"/>
      <c r="AEO223" s="90"/>
      <c r="AEP223" s="90"/>
      <c r="AEQ223" s="90"/>
      <c r="AER223" s="90"/>
      <c r="AES223" s="90"/>
      <c r="AET223" s="90"/>
      <c r="AEU223" s="90"/>
      <c r="AEV223" s="90"/>
      <c r="AEW223" s="90"/>
      <c r="AEX223" s="90"/>
      <c r="AEY223" s="90"/>
      <c r="AEZ223" s="90"/>
      <c r="AFA223" s="90"/>
      <c r="AFB223" s="90"/>
      <c r="AFC223" s="90"/>
      <c r="AFD223" s="90"/>
      <c r="AFE223" s="90"/>
      <c r="AFF223" s="90"/>
      <c r="AFG223" s="90"/>
      <c r="AFH223" s="90"/>
      <c r="AFI223" s="90"/>
      <c r="AFJ223" s="90"/>
      <c r="AFK223" s="90"/>
      <c r="AFL223" s="90"/>
      <c r="AFM223" s="90"/>
      <c r="AFN223" s="90"/>
      <c r="AFO223" s="90"/>
      <c r="AFP223" s="90"/>
      <c r="AFQ223" s="90"/>
      <c r="AFR223" s="90"/>
      <c r="AFS223" s="90"/>
      <c r="AFT223" s="90"/>
      <c r="AFU223" s="90"/>
      <c r="AFV223" s="90"/>
      <c r="AFW223" s="90"/>
      <c r="AFX223" s="90"/>
      <c r="AFY223" s="90"/>
      <c r="AFZ223" s="90"/>
      <c r="AGA223" s="90"/>
      <c r="AGB223" s="90"/>
      <c r="AGC223" s="90"/>
      <c r="AGD223" s="90"/>
      <c r="AGE223" s="90"/>
      <c r="AGF223" s="90"/>
      <c r="AGG223" s="90"/>
      <c r="AGH223" s="90"/>
      <c r="AGI223" s="90"/>
      <c r="AGJ223" s="90"/>
      <c r="AGK223" s="90"/>
      <c r="AGL223" s="90"/>
      <c r="AGM223" s="90"/>
      <c r="AGN223" s="90"/>
      <c r="AGO223" s="90"/>
      <c r="AGP223" s="90"/>
      <c r="AGQ223" s="90"/>
      <c r="AGR223" s="90"/>
      <c r="AGS223" s="90"/>
      <c r="AGT223" s="90"/>
      <c r="AGU223" s="90"/>
      <c r="AGV223" s="90"/>
      <c r="AGW223" s="90"/>
      <c r="AGX223" s="90"/>
      <c r="AGY223" s="90"/>
      <c r="AGZ223" s="90"/>
      <c r="AHA223" s="90"/>
      <c r="AHB223" s="90"/>
      <c r="AHC223" s="90"/>
      <c r="AHD223" s="90"/>
      <c r="AHE223" s="90"/>
      <c r="AHF223" s="90"/>
      <c r="AHG223" s="90"/>
      <c r="AHH223" s="90"/>
      <c r="AHI223" s="90"/>
      <c r="AHJ223" s="90"/>
      <c r="AHK223" s="90"/>
      <c r="AHL223" s="90"/>
      <c r="AHM223" s="90"/>
      <c r="AHN223" s="90"/>
      <c r="AHO223" s="90"/>
      <c r="AHP223" s="90"/>
      <c r="AHQ223" s="90"/>
      <c r="AHR223" s="90"/>
      <c r="AHS223" s="90"/>
      <c r="AHT223" s="90"/>
      <c r="AHU223" s="90"/>
      <c r="AHV223" s="90"/>
      <c r="AHW223" s="90"/>
      <c r="AHX223" s="90"/>
      <c r="AHY223" s="90"/>
      <c r="AHZ223" s="90"/>
      <c r="AIA223" s="90"/>
      <c r="AIB223" s="90"/>
      <c r="AIC223" s="90"/>
      <c r="AID223" s="90"/>
      <c r="AIE223" s="90"/>
      <c r="AIF223" s="90"/>
      <c r="AIG223" s="90"/>
      <c r="AIH223" s="90"/>
      <c r="AII223" s="90"/>
      <c r="AIJ223" s="90"/>
      <c r="AIK223" s="90"/>
      <c r="AIL223" s="90"/>
      <c r="AIM223" s="90"/>
      <c r="AIN223" s="90"/>
      <c r="AIO223" s="90"/>
      <c r="AIP223" s="90"/>
      <c r="AIQ223" s="90"/>
      <c r="AIR223" s="90"/>
      <c r="AIS223" s="90"/>
      <c r="AIT223" s="90"/>
      <c r="AIU223" s="90"/>
      <c r="AIV223" s="90"/>
      <c r="AIW223" s="90"/>
      <c r="AIX223" s="90"/>
      <c r="AIY223" s="90"/>
      <c r="AIZ223" s="90"/>
      <c r="AJA223" s="90"/>
      <c r="AJB223" s="90"/>
      <c r="AJC223" s="90"/>
      <c r="AJD223" s="90"/>
      <c r="AJE223" s="90"/>
      <c r="AJF223" s="90"/>
      <c r="AJG223" s="90"/>
      <c r="AJH223" s="90"/>
      <c r="AJI223" s="90"/>
      <c r="AJJ223" s="90"/>
      <c r="AJK223" s="90"/>
      <c r="AJL223" s="90"/>
      <c r="AJM223" s="90"/>
      <c r="AJN223" s="90"/>
      <c r="AJO223" s="90"/>
      <c r="AJP223" s="90"/>
      <c r="AJQ223" s="90"/>
      <c r="AJR223" s="90"/>
      <c r="AJS223" s="90"/>
      <c r="AJT223" s="90"/>
      <c r="AJU223" s="90"/>
      <c r="AJV223" s="90"/>
      <c r="AJW223" s="90"/>
      <c r="AJX223" s="90"/>
      <c r="AJY223" s="90"/>
      <c r="AJZ223" s="90"/>
      <c r="AKA223" s="90"/>
      <c r="AKB223" s="90"/>
      <c r="AKC223" s="90"/>
      <c r="AKD223" s="90"/>
      <c r="AKE223" s="90"/>
      <c r="AKF223" s="90"/>
      <c r="AKG223" s="90"/>
      <c r="AKH223" s="90"/>
      <c r="AKI223" s="90"/>
      <c r="AKJ223" s="90"/>
      <c r="AKK223" s="90"/>
      <c r="AKL223" s="90"/>
      <c r="AKM223" s="90"/>
      <c r="AKN223" s="90"/>
      <c r="AKO223" s="90"/>
      <c r="AKP223" s="90"/>
      <c r="AKQ223" s="90"/>
      <c r="AKR223" s="90"/>
      <c r="AKS223" s="90"/>
      <c r="AKT223" s="90"/>
      <c r="AKU223" s="90"/>
      <c r="AKV223" s="90"/>
      <c r="AKW223" s="90"/>
      <c r="AKX223" s="90"/>
      <c r="AKY223" s="90"/>
      <c r="AKZ223" s="90"/>
      <c r="ALA223" s="90"/>
      <c r="ALB223" s="90"/>
      <c r="ALC223" s="90"/>
      <c r="ALD223" s="90"/>
      <c r="ALE223" s="90"/>
      <c r="ALF223" s="90"/>
      <c r="ALG223" s="90"/>
      <c r="ALH223" s="90"/>
      <c r="ALI223" s="90"/>
      <c r="ALJ223" s="90"/>
      <c r="ALK223" s="90"/>
      <c r="ALL223" s="90"/>
      <c r="ALM223" s="90"/>
      <c r="ALN223" s="90"/>
      <c r="ALO223" s="90"/>
      <c r="ALP223" s="90"/>
      <c r="ALQ223" s="90"/>
      <c r="ALR223" s="90"/>
      <c r="ALS223" s="90"/>
      <c r="ALT223" s="90"/>
      <c r="ALU223" s="90"/>
      <c r="ALV223" s="90"/>
      <c r="ALW223" s="90"/>
      <c r="ALX223" s="90"/>
      <c r="ALY223" s="90"/>
      <c r="ALZ223" s="90"/>
      <c r="AMA223" s="90"/>
      <c r="AMB223" s="90"/>
      <c r="AMC223" s="90"/>
    </row>
    <row r="224" spans="1:1017">
      <c r="A224" s="98" t="s">
        <v>50</v>
      </c>
      <c r="B224" s="90" t="str">
        <f t="shared" si="1453"/>
        <v xml:space="preserve">Rajungan </v>
      </c>
      <c r="Q224" s="91">
        <f t="shared" si="1454"/>
        <v>0</v>
      </c>
      <c r="R224" s="91">
        <f t="shared" si="1455"/>
        <v>0</v>
      </c>
      <c r="AG224" s="91">
        <f t="shared" si="1456"/>
        <v>0</v>
      </c>
      <c r="AH224" s="91">
        <f t="shared" si="1457"/>
        <v>0</v>
      </c>
      <c r="AW224" s="91">
        <f t="shared" si="1458"/>
        <v>0</v>
      </c>
      <c r="AX224" s="91">
        <f t="shared" si="1459"/>
        <v>0</v>
      </c>
      <c r="BM224" s="91">
        <f t="shared" si="1460"/>
        <v>0</v>
      </c>
      <c r="BN224" s="91">
        <f t="shared" si="1461"/>
        <v>0</v>
      </c>
      <c r="CC224" s="91">
        <f t="shared" si="1462"/>
        <v>0</v>
      </c>
      <c r="CD224" s="91">
        <f t="shared" si="1463"/>
        <v>0</v>
      </c>
      <c r="CS224" s="91">
        <f t="shared" si="1548"/>
        <v>0</v>
      </c>
      <c r="CT224" s="91">
        <f t="shared" si="1549"/>
        <v>0</v>
      </c>
      <c r="DI224" s="91">
        <f t="shared" si="1466"/>
        <v>0</v>
      </c>
      <c r="DJ224" s="91">
        <f t="shared" si="1467"/>
        <v>0</v>
      </c>
      <c r="DY224" s="91">
        <f t="shared" si="1468"/>
        <v>0</v>
      </c>
      <c r="DZ224" s="91">
        <f t="shared" si="1469"/>
        <v>0</v>
      </c>
      <c r="EO224" s="91">
        <f t="shared" si="1470"/>
        <v>0</v>
      </c>
      <c r="EP224" s="91">
        <f t="shared" si="1471"/>
        <v>0</v>
      </c>
      <c r="FE224" s="91">
        <f t="shared" si="1472"/>
        <v>0</v>
      </c>
      <c r="FF224" s="91">
        <f t="shared" si="1473"/>
        <v>0</v>
      </c>
      <c r="FU224" s="91">
        <f t="shared" si="1474"/>
        <v>0</v>
      </c>
      <c r="FV224" s="91">
        <f t="shared" si="1475"/>
        <v>0</v>
      </c>
      <c r="GK224" s="91">
        <f t="shared" si="1476"/>
        <v>0</v>
      </c>
      <c r="GL224" s="91">
        <f t="shared" si="1477"/>
        <v>0</v>
      </c>
      <c r="HA224" s="91">
        <f t="shared" si="1478"/>
        <v>0</v>
      </c>
      <c r="HB224" s="91">
        <f t="shared" si="1479"/>
        <v>0</v>
      </c>
      <c r="HQ224" s="91">
        <f t="shared" si="1480"/>
        <v>0</v>
      </c>
      <c r="HR224" s="91">
        <f t="shared" si="1481"/>
        <v>0</v>
      </c>
      <c r="IG224" s="91">
        <f t="shared" si="1482"/>
        <v>0</v>
      </c>
      <c r="IH224" s="91">
        <f t="shared" si="1483"/>
        <v>0</v>
      </c>
      <c r="IW224" s="91">
        <f t="shared" si="1484"/>
        <v>0</v>
      </c>
      <c r="IX224" s="91">
        <f t="shared" si="1485"/>
        <v>0</v>
      </c>
      <c r="JM224" s="91">
        <f t="shared" si="1486"/>
        <v>0</v>
      </c>
      <c r="JN224" s="91">
        <f t="shared" si="1487"/>
        <v>0</v>
      </c>
      <c r="KC224" s="91">
        <f t="shared" si="1488"/>
        <v>0</v>
      </c>
      <c r="KD224" s="91">
        <f t="shared" si="1489"/>
        <v>0</v>
      </c>
      <c r="KS224" s="91">
        <f t="shared" si="1490"/>
        <v>0</v>
      </c>
      <c r="KT224" s="91">
        <f t="shared" si="1491"/>
        <v>0</v>
      </c>
      <c r="LI224" s="91">
        <f t="shared" si="1492"/>
        <v>0</v>
      </c>
      <c r="LJ224" s="91">
        <f t="shared" si="1493"/>
        <v>0</v>
      </c>
      <c r="LY224" s="91">
        <f t="shared" si="1494"/>
        <v>0</v>
      </c>
      <c r="LZ224" s="91">
        <f t="shared" si="1495"/>
        <v>0</v>
      </c>
      <c r="MO224" s="91">
        <f t="shared" si="1496"/>
        <v>0</v>
      </c>
      <c r="MP224" s="91">
        <f t="shared" si="1497"/>
        <v>0</v>
      </c>
      <c r="NE224" s="91">
        <f t="shared" si="1498"/>
        <v>0</v>
      </c>
      <c r="NF224" s="91">
        <f t="shared" si="1499"/>
        <v>0</v>
      </c>
      <c r="NU224" s="91">
        <f t="shared" si="1500"/>
        <v>0</v>
      </c>
      <c r="NV224" s="91">
        <f t="shared" si="1501"/>
        <v>0</v>
      </c>
      <c r="OK224" s="91">
        <f t="shared" si="1502"/>
        <v>0</v>
      </c>
      <c r="OL224" s="91">
        <f t="shared" si="1503"/>
        <v>0</v>
      </c>
      <c r="PA224" s="91">
        <f t="shared" si="1504"/>
        <v>0</v>
      </c>
      <c r="PB224" s="91">
        <f t="shared" si="1505"/>
        <v>0</v>
      </c>
      <c r="PQ224" s="91">
        <f t="shared" si="1506"/>
        <v>0</v>
      </c>
      <c r="PR224" s="91">
        <f t="shared" si="1507"/>
        <v>0</v>
      </c>
      <c r="QG224" s="91">
        <f t="shared" si="1508"/>
        <v>0</v>
      </c>
      <c r="QH224" s="91">
        <f t="shared" si="1509"/>
        <v>0</v>
      </c>
      <c r="QW224" s="91">
        <f t="shared" si="1510"/>
        <v>0</v>
      </c>
      <c r="QX224" s="91">
        <f t="shared" si="1511"/>
        <v>0</v>
      </c>
      <c r="RM224" s="91">
        <f t="shared" si="1512"/>
        <v>0</v>
      </c>
      <c r="RN224" s="91">
        <f t="shared" si="1513"/>
        <v>0</v>
      </c>
      <c r="SC224" s="91">
        <f t="shared" si="1514"/>
        <v>0</v>
      </c>
      <c r="SD224" s="91">
        <f t="shared" si="1515"/>
        <v>0</v>
      </c>
      <c r="SS224" s="91">
        <f t="shared" si="1516"/>
        <v>0</v>
      </c>
      <c r="ST224" s="91">
        <f t="shared" si="1517"/>
        <v>0</v>
      </c>
      <c r="TI224" s="91">
        <f t="shared" si="1518"/>
        <v>0</v>
      </c>
      <c r="TJ224" s="91">
        <f t="shared" si="1519"/>
        <v>0</v>
      </c>
      <c r="TY224" s="91">
        <f t="shared" si="1520"/>
        <v>0</v>
      </c>
      <c r="TZ224" s="91">
        <f t="shared" si="1521"/>
        <v>0</v>
      </c>
      <c r="UO224" s="91">
        <f t="shared" si="1522"/>
        <v>0</v>
      </c>
      <c r="UP224" s="91">
        <f t="shared" si="1523"/>
        <v>0</v>
      </c>
      <c r="VE224" s="91">
        <f t="shared" si="1524"/>
        <v>0</v>
      </c>
      <c r="VF224" s="91">
        <f t="shared" si="1525"/>
        <v>0</v>
      </c>
      <c r="VU224" s="91">
        <f t="shared" si="1526"/>
        <v>0</v>
      </c>
      <c r="VV224" s="91">
        <f t="shared" si="1527"/>
        <v>0</v>
      </c>
      <c r="WK224" s="91">
        <f t="shared" si="1528"/>
        <v>0</v>
      </c>
      <c r="WL224" s="91">
        <f t="shared" si="1529"/>
        <v>0</v>
      </c>
      <c r="WM224" s="89"/>
      <c r="WN224" s="87">
        <f t="shared" si="1530"/>
        <v>0</v>
      </c>
      <c r="WO224" s="87">
        <f t="shared" si="1531"/>
        <v>0</v>
      </c>
      <c r="WP224" s="87">
        <f t="shared" si="1532"/>
        <v>0</v>
      </c>
      <c r="WQ224" s="87">
        <f t="shared" si="1533"/>
        <v>0</v>
      </c>
      <c r="WR224" s="87">
        <f t="shared" si="1534"/>
        <v>0</v>
      </c>
      <c r="WS224" s="87">
        <f t="shared" si="1535"/>
        <v>0</v>
      </c>
      <c r="WT224" s="87">
        <f t="shared" si="1536"/>
        <v>0</v>
      </c>
      <c r="WU224" s="87">
        <f t="shared" si="1537"/>
        <v>0</v>
      </c>
      <c r="WV224" s="87">
        <f t="shared" si="1538"/>
        <v>0</v>
      </c>
      <c r="WW224" s="87">
        <f t="shared" si="1539"/>
        <v>0</v>
      </c>
      <c r="WX224" s="87">
        <f t="shared" si="1540"/>
        <v>0</v>
      </c>
      <c r="WY224" s="87">
        <f t="shared" si="1541"/>
        <v>0</v>
      </c>
      <c r="WZ224" s="87">
        <f t="shared" si="1542"/>
        <v>0</v>
      </c>
      <c r="XA224" s="87">
        <f t="shared" si="1543"/>
        <v>0</v>
      </c>
      <c r="XB224" s="92">
        <f t="shared" si="1544"/>
        <v>0</v>
      </c>
      <c r="XC224" s="92">
        <f t="shared" si="1545"/>
        <v>0</v>
      </c>
      <c r="XD224" s="89"/>
      <c r="XE224" s="92"/>
      <c r="XF224" s="92"/>
      <c r="XG224" s="89"/>
      <c r="XH224" s="92"/>
      <c r="XI224" s="92"/>
      <c r="XJ224" s="89"/>
      <c r="XK224" s="87"/>
      <c r="XL224" s="87"/>
      <c r="XM224" s="87"/>
      <c r="XN224" s="87"/>
      <c r="XO224" s="87"/>
      <c r="XP224" s="87"/>
      <c r="XQ224" s="87"/>
      <c r="XR224" s="92">
        <f t="shared" ca="1" si="1546"/>
        <v>0</v>
      </c>
      <c r="XS224" s="89"/>
      <c r="XT224" s="87"/>
      <c r="XU224" s="87"/>
      <c r="XV224" s="87"/>
      <c r="XW224" s="87"/>
      <c r="XX224" s="87"/>
      <c r="XY224" s="87"/>
      <c r="XZ224" s="87"/>
      <c r="YA224" s="92">
        <f t="shared" ca="1" si="1547"/>
        <v>0</v>
      </c>
      <c r="YB224" s="90"/>
      <c r="YC224" s="90"/>
      <c r="YD224" s="90"/>
      <c r="YE224" s="90"/>
      <c r="YF224" s="90"/>
      <c r="YG224" s="90"/>
      <c r="YH224" s="90"/>
      <c r="YI224" s="90"/>
      <c r="YJ224" s="90"/>
      <c r="YK224" s="90"/>
      <c r="YL224" s="90"/>
      <c r="YM224" s="90"/>
      <c r="YN224" s="90"/>
      <c r="YO224" s="90"/>
      <c r="YP224" s="90"/>
      <c r="YQ224" s="90"/>
      <c r="YR224" s="90"/>
      <c r="YS224" s="90"/>
      <c r="YT224" s="90"/>
      <c r="YU224" s="90"/>
      <c r="YV224" s="90"/>
      <c r="YW224" s="90"/>
      <c r="YX224" s="90"/>
      <c r="YY224" s="90"/>
      <c r="YZ224" s="90"/>
      <c r="ZA224" s="90"/>
      <c r="ZB224" s="90"/>
      <c r="ZC224" s="90"/>
      <c r="ZD224" s="90"/>
      <c r="ZE224" s="90"/>
      <c r="ZF224" s="90"/>
      <c r="ZG224" s="90"/>
      <c r="ZH224" s="90"/>
      <c r="ZI224" s="90"/>
      <c r="ZJ224" s="90"/>
      <c r="ZK224" s="90"/>
      <c r="ZL224" s="90"/>
      <c r="ZM224" s="90"/>
      <c r="ZN224" s="90"/>
      <c r="ZO224" s="90"/>
      <c r="ZP224" s="90"/>
      <c r="ZQ224" s="90"/>
      <c r="ZR224" s="90"/>
      <c r="ZS224" s="90"/>
      <c r="ZT224" s="90"/>
      <c r="ZU224" s="90"/>
      <c r="ZV224" s="90"/>
      <c r="ZW224" s="90"/>
      <c r="ZX224" s="90"/>
      <c r="ZY224" s="90"/>
      <c r="ZZ224" s="90"/>
      <c r="AAA224" s="90"/>
      <c r="AAB224" s="90"/>
      <c r="AAC224" s="90"/>
      <c r="AAD224" s="90"/>
      <c r="AAE224" s="90"/>
      <c r="AAF224" s="90"/>
      <c r="AAG224" s="90"/>
      <c r="AAH224" s="90"/>
      <c r="AAI224" s="90"/>
      <c r="AAJ224" s="90"/>
      <c r="AAK224" s="90"/>
      <c r="AAL224" s="90"/>
      <c r="AAM224" s="90"/>
      <c r="AAN224" s="90"/>
      <c r="AAO224" s="90"/>
      <c r="AAP224" s="90"/>
      <c r="AAQ224" s="90"/>
      <c r="AAR224" s="90"/>
      <c r="AAS224" s="90"/>
      <c r="AAT224" s="90"/>
      <c r="AAU224" s="90"/>
      <c r="AAV224" s="90"/>
      <c r="AAW224" s="90"/>
      <c r="AAX224" s="90"/>
      <c r="AAY224" s="90"/>
      <c r="AAZ224" s="90"/>
      <c r="ABA224" s="90"/>
      <c r="ABB224" s="90"/>
      <c r="ABC224" s="90"/>
      <c r="ABD224" s="90"/>
      <c r="ABE224" s="90"/>
      <c r="ABF224" s="90"/>
      <c r="ABG224" s="90"/>
      <c r="ABH224" s="90"/>
      <c r="ABI224" s="90"/>
      <c r="ABJ224" s="90"/>
      <c r="ABK224" s="90"/>
      <c r="ABL224" s="90"/>
      <c r="ABM224" s="90"/>
      <c r="ABN224" s="90"/>
      <c r="ABO224" s="90"/>
      <c r="ABP224" s="90"/>
      <c r="ABQ224" s="90"/>
      <c r="ABR224" s="90"/>
      <c r="ABS224" s="90"/>
      <c r="ABT224" s="90"/>
      <c r="ABU224" s="90"/>
      <c r="ABV224" s="90"/>
      <c r="ABW224" s="90"/>
      <c r="ABX224" s="90"/>
      <c r="ABY224" s="90"/>
      <c r="ABZ224" s="90"/>
      <c r="ACA224" s="90"/>
      <c r="ACB224" s="90"/>
      <c r="ACC224" s="90"/>
      <c r="ACD224" s="90"/>
      <c r="ACE224" s="90"/>
      <c r="ACF224" s="90"/>
      <c r="ACG224" s="90"/>
      <c r="ACH224" s="90"/>
      <c r="ACI224" s="90"/>
      <c r="ACJ224" s="90"/>
      <c r="ACK224" s="90"/>
      <c r="ACL224" s="90"/>
      <c r="ACM224" s="90"/>
      <c r="ACN224" s="90"/>
      <c r="ACO224" s="90"/>
      <c r="ACP224" s="90"/>
      <c r="ACQ224" s="90"/>
      <c r="ACR224" s="90"/>
      <c r="ACS224" s="90"/>
      <c r="ACT224" s="90"/>
      <c r="ACU224" s="90"/>
      <c r="ACV224" s="90"/>
      <c r="ACW224" s="90"/>
      <c r="ACX224" s="90"/>
      <c r="ACY224" s="90"/>
      <c r="ACZ224" s="90"/>
      <c r="ADA224" s="90"/>
      <c r="ADB224" s="90"/>
      <c r="ADC224" s="90"/>
      <c r="ADD224" s="90"/>
      <c r="ADE224" s="90"/>
      <c r="ADF224" s="90"/>
      <c r="ADG224" s="90"/>
      <c r="ADH224" s="90"/>
      <c r="ADI224" s="90"/>
      <c r="ADJ224" s="90"/>
      <c r="ADK224" s="90"/>
      <c r="ADL224" s="90"/>
      <c r="ADM224" s="90"/>
      <c r="ADN224" s="90"/>
      <c r="ADO224" s="90"/>
      <c r="ADP224" s="90"/>
      <c r="ADQ224" s="90"/>
      <c r="ADR224" s="90"/>
      <c r="ADS224" s="90"/>
      <c r="ADT224" s="90"/>
      <c r="ADU224" s="90"/>
      <c r="ADV224" s="90"/>
      <c r="ADW224" s="90"/>
      <c r="ADX224" s="90"/>
      <c r="ADY224" s="90"/>
      <c r="ADZ224" s="90"/>
      <c r="AEA224" s="90"/>
      <c r="AEB224" s="90"/>
      <c r="AEC224" s="90"/>
      <c r="AED224" s="90"/>
      <c r="AEE224" s="90"/>
      <c r="AEF224" s="90"/>
      <c r="AEG224" s="90"/>
      <c r="AEH224" s="90"/>
      <c r="AEI224" s="90"/>
      <c r="AEJ224" s="90"/>
      <c r="AEK224" s="90"/>
      <c r="AEL224" s="90"/>
      <c r="AEM224" s="90"/>
      <c r="AEN224" s="90"/>
      <c r="AEO224" s="90"/>
      <c r="AEP224" s="90"/>
      <c r="AEQ224" s="90"/>
      <c r="AER224" s="90"/>
      <c r="AES224" s="90"/>
      <c r="AET224" s="90"/>
      <c r="AEU224" s="90"/>
      <c r="AEV224" s="90"/>
      <c r="AEW224" s="90"/>
      <c r="AEX224" s="90"/>
      <c r="AEY224" s="90"/>
      <c r="AEZ224" s="90"/>
      <c r="AFA224" s="90"/>
      <c r="AFB224" s="90"/>
      <c r="AFC224" s="90"/>
      <c r="AFD224" s="90"/>
      <c r="AFE224" s="90"/>
      <c r="AFF224" s="90"/>
      <c r="AFG224" s="90"/>
      <c r="AFH224" s="90"/>
      <c r="AFI224" s="90"/>
      <c r="AFJ224" s="90"/>
      <c r="AFK224" s="90"/>
      <c r="AFL224" s="90"/>
      <c r="AFM224" s="90"/>
      <c r="AFN224" s="90"/>
      <c r="AFO224" s="90"/>
      <c r="AFP224" s="90"/>
      <c r="AFQ224" s="90"/>
      <c r="AFR224" s="90"/>
      <c r="AFS224" s="90"/>
      <c r="AFT224" s="90"/>
      <c r="AFU224" s="90"/>
      <c r="AFV224" s="90"/>
      <c r="AFW224" s="90"/>
      <c r="AFX224" s="90"/>
      <c r="AFY224" s="90"/>
      <c r="AFZ224" s="90"/>
      <c r="AGA224" s="90"/>
      <c r="AGB224" s="90"/>
      <c r="AGC224" s="90"/>
      <c r="AGD224" s="90"/>
      <c r="AGE224" s="90"/>
      <c r="AGF224" s="90"/>
      <c r="AGG224" s="90"/>
      <c r="AGH224" s="90"/>
      <c r="AGI224" s="90"/>
      <c r="AGJ224" s="90"/>
      <c r="AGK224" s="90"/>
      <c r="AGL224" s="90"/>
      <c r="AGM224" s="90"/>
      <c r="AGN224" s="90"/>
      <c r="AGO224" s="90"/>
      <c r="AGP224" s="90"/>
      <c r="AGQ224" s="90"/>
      <c r="AGR224" s="90"/>
      <c r="AGS224" s="90"/>
      <c r="AGT224" s="90"/>
      <c r="AGU224" s="90"/>
      <c r="AGV224" s="90"/>
      <c r="AGW224" s="90"/>
      <c r="AGX224" s="90"/>
      <c r="AGY224" s="90"/>
      <c r="AGZ224" s="90"/>
      <c r="AHA224" s="90"/>
      <c r="AHB224" s="90"/>
      <c r="AHC224" s="90"/>
      <c r="AHD224" s="90"/>
      <c r="AHE224" s="90"/>
      <c r="AHF224" s="90"/>
      <c r="AHG224" s="90"/>
      <c r="AHH224" s="90"/>
      <c r="AHI224" s="90"/>
      <c r="AHJ224" s="90"/>
      <c r="AHK224" s="90"/>
      <c r="AHL224" s="90"/>
      <c r="AHM224" s="90"/>
      <c r="AHN224" s="90"/>
      <c r="AHO224" s="90"/>
      <c r="AHP224" s="90"/>
      <c r="AHQ224" s="90"/>
      <c r="AHR224" s="90"/>
      <c r="AHS224" s="90"/>
      <c r="AHT224" s="90"/>
      <c r="AHU224" s="90"/>
      <c r="AHV224" s="90"/>
      <c r="AHW224" s="90"/>
      <c r="AHX224" s="90"/>
      <c r="AHY224" s="90"/>
      <c r="AHZ224" s="90"/>
      <c r="AIA224" s="90"/>
      <c r="AIB224" s="90"/>
      <c r="AIC224" s="90"/>
      <c r="AID224" s="90"/>
      <c r="AIE224" s="90"/>
      <c r="AIF224" s="90"/>
      <c r="AIG224" s="90"/>
      <c r="AIH224" s="90"/>
      <c r="AII224" s="90"/>
      <c r="AIJ224" s="90"/>
      <c r="AIK224" s="90"/>
      <c r="AIL224" s="90"/>
      <c r="AIM224" s="90"/>
      <c r="AIN224" s="90"/>
      <c r="AIO224" s="90"/>
      <c r="AIP224" s="90"/>
      <c r="AIQ224" s="90"/>
      <c r="AIR224" s="90"/>
      <c r="AIS224" s="90"/>
      <c r="AIT224" s="90"/>
      <c r="AIU224" s="90"/>
      <c r="AIV224" s="90"/>
      <c r="AIW224" s="90"/>
      <c r="AIX224" s="90"/>
      <c r="AIY224" s="90"/>
      <c r="AIZ224" s="90"/>
      <c r="AJA224" s="90"/>
      <c r="AJB224" s="90"/>
      <c r="AJC224" s="90"/>
      <c r="AJD224" s="90"/>
      <c r="AJE224" s="90"/>
      <c r="AJF224" s="90"/>
      <c r="AJG224" s="90"/>
      <c r="AJH224" s="90"/>
      <c r="AJI224" s="90"/>
      <c r="AJJ224" s="90"/>
      <c r="AJK224" s="90"/>
      <c r="AJL224" s="90"/>
      <c r="AJM224" s="90"/>
      <c r="AJN224" s="90"/>
      <c r="AJO224" s="90"/>
      <c r="AJP224" s="90"/>
      <c r="AJQ224" s="90"/>
      <c r="AJR224" s="90"/>
      <c r="AJS224" s="90"/>
      <c r="AJT224" s="90"/>
      <c r="AJU224" s="90"/>
      <c r="AJV224" s="90"/>
      <c r="AJW224" s="90"/>
      <c r="AJX224" s="90"/>
      <c r="AJY224" s="90"/>
      <c r="AJZ224" s="90"/>
      <c r="AKA224" s="90"/>
      <c r="AKB224" s="90"/>
      <c r="AKC224" s="90"/>
      <c r="AKD224" s="90"/>
      <c r="AKE224" s="90"/>
      <c r="AKF224" s="90"/>
      <c r="AKG224" s="90"/>
      <c r="AKH224" s="90"/>
      <c r="AKI224" s="90"/>
      <c r="AKJ224" s="90"/>
      <c r="AKK224" s="90"/>
      <c r="AKL224" s="90"/>
      <c r="AKM224" s="90"/>
      <c r="AKN224" s="90"/>
      <c r="AKO224" s="90"/>
      <c r="AKP224" s="90"/>
      <c r="AKQ224" s="90"/>
      <c r="AKR224" s="90"/>
      <c r="AKS224" s="90"/>
      <c r="AKT224" s="90"/>
      <c r="AKU224" s="90"/>
      <c r="AKV224" s="90"/>
      <c r="AKW224" s="90"/>
      <c r="AKX224" s="90"/>
      <c r="AKY224" s="90"/>
      <c r="AKZ224" s="90"/>
      <c r="ALA224" s="90"/>
      <c r="ALB224" s="90"/>
      <c r="ALC224" s="90"/>
      <c r="ALD224" s="90"/>
      <c r="ALE224" s="90"/>
      <c r="ALF224" s="90"/>
      <c r="ALG224" s="90"/>
      <c r="ALH224" s="90"/>
      <c r="ALI224" s="90"/>
      <c r="ALJ224" s="90"/>
      <c r="ALK224" s="90"/>
      <c r="ALL224" s="90"/>
      <c r="ALM224" s="90"/>
      <c r="ALN224" s="90"/>
      <c r="ALO224" s="90"/>
      <c r="ALP224" s="90"/>
      <c r="ALQ224" s="90"/>
      <c r="ALR224" s="90"/>
      <c r="ALS224" s="90"/>
      <c r="ALT224" s="90"/>
      <c r="ALU224" s="90"/>
      <c r="ALV224" s="90"/>
      <c r="ALW224" s="90"/>
      <c r="ALX224" s="90"/>
      <c r="ALY224" s="90"/>
      <c r="ALZ224" s="90"/>
      <c r="AMA224" s="90"/>
      <c r="AMB224" s="90"/>
      <c r="AMC224" s="90"/>
    </row>
    <row r="225" spans="1:1017">
      <c r="A225" s="98" t="s">
        <v>50</v>
      </c>
      <c r="B225" s="90" t="str">
        <f t="shared" si="1453"/>
        <v>Tawes</v>
      </c>
      <c r="Q225" s="91">
        <f t="shared" si="1454"/>
        <v>0</v>
      </c>
      <c r="R225" s="91">
        <f t="shared" si="1455"/>
        <v>0</v>
      </c>
      <c r="Y225" s="98">
        <v>1730</v>
      </c>
      <c r="Z225" s="98">
        <v>29410</v>
      </c>
      <c r="AG225" s="91">
        <f t="shared" si="1456"/>
        <v>1730</v>
      </c>
      <c r="AH225" s="91">
        <f t="shared" si="1457"/>
        <v>29410</v>
      </c>
      <c r="AW225" s="91">
        <f t="shared" si="1458"/>
        <v>0</v>
      </c>
      <c r="AX225" s="91">
        <f t="shared" si="1459"/>
        <v>0</v>
      </c>
      <c r="BK225" s="98">
        <v>655</v>
      </c>
      <c r="BL225" s="98">
        <v>6550</v>
      </c>
      <c r="BM225" s="91">
        <f t="shared" si="1460"/>
        <v>655</v>
      </c>
      <c r="BN225" s="91">
        <f t="shared" si="1461"/>
        <v>6550</v>
      </c>
      <c r="BU225" s="98">
        <v>85</v>
      </c>
      <c r="BV225" s="98">
        <v>1700</v>
      </c>
      <c r="CC225" s="91">
        <f t="shared" si="1462"/>
        <v>85</v>
      </c>
      <c r="CD225" s="91">
        <f t="shared" si="1463"/>
        <v>1700</v>
      </c>
      <c r="CK225" s="98">
        <v>462221.94508609496</v>
      </c>
      <c r="CL225" s="98">
        <v>6008885.2861192338</v>
      </c>
      <c r="CS225" s="91">
        <f t="shared" si="1548"/>
        <v>462221.94508609496</v>
      </c>
      <c r="CT225" s="91">
        <f t="shared" si="1549"/>
        <v>6008885.2861192338</v>
      </c>
      <c r="DA225" s="98">
        <v>500</v>
      </c>
      <c r="DB225" s="98">
        <v>7500</v>
      </c>
      <c r="DI225" s="91">
        <f t="shared" si="1466"/>
        <v>500</v>
      </c>
      <c r="DJ225" s="91">
        <f t="shared" si="1467"/>
        <v>7500</v>
      </c>
      <c r="DY225" s="91">
        <f t="shared" si="1468"/>
        <v>0</v>
      </c>
      <c r="DZ225" s="91">
        <f t="shared" si="1469"/>
        <v>0</v>
      </c>
      <c r="EG225" s="98">
        <v>85</v>
      </c>
      <c r="EH225" s="98">
        <v>935</v>
      </c>
      <c r="EO225" s="91">
        <f t="shared" si="1470"/>
        <v>85</v>
      </c>
      <c r="EP225" s="91">
        <f t="shared" si="1471"/>
        <v>935</v>
      </c>
      <c r="EW225" s="98">
        <v>322698</v>
      </c>
      <c r="EX225" s="98">
        <v>4840470</v>
      </c>
      <c r="EZ225" s="98" t="s">
        <v>384</v>
      </c>
      <c r="FE225" s="91">
        <f t="shared" si="1472"/>
        <v>322698</v>
      </c>
      <c r="FF225" s="91">
        <f t="shared" si="1473"/>
        <v>4840470</v>
      </c>
      <c r="FM225" s="98">
        <v>73</v>
      </c>
      <c r="FN225" s="98">
        <v>1314</v>
      </c>
      <c r="FU225" s="91">
        <f t="shared" si="1474"/>
        <v>73</v>
      </c>
      <c r="FV225" s="91">
        <f t="shared" si="1475"/>
        <v>1314</v>
      </c>
      <c r="GC225" s="98">
        <v>250</v>
      </c>
      <c r="GD225" s="98">
        <v>3125</v>
      </c>
      <c r="GK225" s="91">
        <f t="shared" si="1476"/>
        <v>250</v>
      </c>
      <c r="GL225" s="91">
        <f t="shared" si="1477"/>
        <v>3125</v>
      </c>
      <c r="HA225" s="91">
        <f t="shared" si="1478"/>
        <v>0</v>
      </c>
      <c r="HB225" s="91">
        <f t="shared" si="1479"/>
        <v>0</v>
      </c>
      <c r="HQ225" s="91">
        <f t="shared" si="1480"/>
        <v>0</v>
      </c>
      <c r="HR225" s="91">
        <f t="shared" si="1481"/>
        <v>0</v>
      </c>
      <c r="IG225" s="91">
        <f t="shared" si="1482"/>
        <v>0</v>
      </c>
      <c r="IH225" s="91">
        <f t="shared" si="1483"/>
        <v>0</v>
      </c>
      <c r="IW225" s="91">
        <f t="shared" si="1484"/>
        <v>0</v>
      </c>
      <c r="IX225" s="91">
        <f t="shared" si="1485"/>
        <v>0</v>
      </c>
      <c r="JM225" s="91">
        <f t="shared" si="1486"/>
        <v>0</v>
      </c>
      <c r="JN225" s="91">
        <f t="shared" si="1487"/>
        <v>0</v>
      </c>
      <c r="KC225" s="91">
        <f t="shared" si="1488"/>
        <v>0</v>
      </c>
      <c r="KD225" s="91">
        <f t="shared" si="1489"/>
        <v>0</v>
      </c>
      <c r="KS225" s="91">
        <f t="shared" si="1490"/>
        <v>0</v>
      </c>
      <c r="KT225" s="91">
        <f t="shared" si="1491"/>
        <v>0</v>
      </c>
      <c r="LI225" s="91">
        <f t="shared" si="1492"/>
        <v>0</v>
      </c>
      <c r="LJ225" s="91">
        <f t="shared" si="1493"/>
        <v>0</v>
      </c>
      <c r="LY225" s="91">
        <f t="shared" si="1494"/>
        <v>0</v>
      </c>
      <c r="LZ225" s="91">
        <f t="shared" si="1495"/>
        <v>0</v>
      </c>
      <c r="MO225" s="91">
        <f t="shared" si="1496"/>
        <v>0</v>
      </c>
      <c r="MP225" s="91">
        <f t="shared" si="1497"/>
        <v>0</v>
      </c>
      <c r="NE225" s="91">
        <f t="shared" si="1498"/>
        <v>0</v>
      </c>
      <c r="NF225" s="91">
        <f t="shared" si="1499"/>
        <v>0</v>
      </c>
      <c r="NQ225" s="98">
        <v>30</v>
      </c>
      <c r="NR225" s="98">
        <v>480</v>
      </c>
      <c r="NU225" s="91">
        <f t="shared" si="1500"/>
        <v>30</v>
      </c>
      <c r="NV225" s="91">
        <f t="shared" si="1501"/>
        <v>480</v>
      </c>
      <c r="OK225" s="91">
        <f t="shared" si="1502"/>
        <v>0</v>
      </c>
      <c r="OL225" s="91">
        <f t="shared" si="1503"/>
        <v>0</v>
      </c>
      <c r="PA225" s="91">
        <f t="shared" si="1504"/>
        <v>0</v>
      </c>
      <c r="PB225" s="91">
        <f t="shared" si="1505"/>
        <v>0</v>
      </c>
      <c r="PQ225" s="91">
        <f t="shared" si="1506"/>
        <v>0</v>
      </c>
      <c r="PR225" s="91">
        <f t="shared" si="1507"/>
        <v>0</v>
      </c>
      <c r="PY225" s="98">
        <v>52200</v>
      </c>
      <c r="PZ225" s="98">
        <v>652500</v>
      </c>
      <c r="QA225" s="98">
        <v>50800</v>
      </c>
      <c r="QB225" s="98">
        <v>711200</v>
      </c>
      <c r="QG225" s="91">
        <f t="shared" si="1508"/>
        <v>103000</v>
      </c>
      <c r="QH225" s="91">
        <f t="shared" si="1509"/>
        <v>1363700</v>
      </c>
      <c r="QW225" s="91">
        <f t="shared" si="1510"/>
        <v>0</v>
      </c>
      <c r="QX225" s="91">
        <f t="shared" si="1511"/>
        <v>0</v>
      </c>
      <c r="RM225" s="91">
        <f t="shared" si="1512"/>
        <v>0</v>
      </c>
      <c r="RN225" s="91">
        <f t="shared" si="1513"/>
        <v>0</v>
      </c>
      <c r="SC225" s="91">
        <f t="shared" si="1514"/>
        <v>0</v>
      </c>
      <c r="SD225" s="91">
        <f t="shared" si="1515"/>
        <v>0</v>
      </c>
      <c r="SS225" s="91">
        <f t="shared" si="1516"/>
        <v>0</v>
      </c>
      <c r="ST225" s="91">
        <f t="shared" si="1517"/>
        <v>0</v>
      </c>
      <c r="TI225" s="91">
        <f t="shared" si="1518"/>
        <v>0</v>
      </c>
      <c r="TJ225" s="91">
        <f t="shared" si="1519"/>
        <v>0</v>
      </c>
      <c r="TY225" s="91">
        <f t="shared" si="1520"/>
        <v>0</v>
      </c>
      <c r="TZ225" s="91">
        <f t="shared" si="1521"/>
        <v>0</v>
      </c>
      <c r="UO225" s="91">
        <f t="shared" si="1522"/>
        <v>0</v>
      </c>
      <c r="UP225" s="91">
        <f t="shared" si="1523"/>
        <v>0</v>
      </c>
      <c r="VE225" s="91">
        <f t="shared" si="1524"/>
        <v>0</v>
      </c>
      <c r="VF225" s="91">
        <f t="shared" si="1525"/>
        <v>0</v>
      </c>
      <c r="VU225" s="91">
        <f t="shared" si="1526"/>
        <v>0</v>
      </c>
      <c r="VV225" s="91">
        <f t="shared" si="1527"/>
        <v>0</v>
      </c>
      <c r="WK225" s="91">
        <f t="shared" si="1528"/>
        <v>0</v>
      </c>
      <c r="WL225" s="91">
        <f t="shared" si="1529"/>
        <v>0</v>
      </c>
      <c r="WM225" s="89"/>
      <c r="WN225" s="87">
        <f t="shared" si="1530"/>
        <v>0</v>
      </c>
      <c r="WO225" s="87">
        <f t="shared" si="1531"/>
        <v>0</v>
      </c>
      <c r="WP225" s="87">
        <f t="shared" si="1532"/>
        <v>0</v>
      </c>
      <c r="WQ225" s="87">
        <f t="shared" si="1533"/>
        <v>0</v>
      </c>
      <c r="WR225" s="87">
        <f t="shared" si="1534"/>
        <v>0</v>
      </c>
      <c r="WS225" s="87">
        <f t="shared" si="1535"/>
        <v>0</v>
      </c>
      <c r="WT225" s="87">
        <f t="shared" si="1536"/>
        <v>839842.94508609502</v>
      </c>
      <c r="WU225" s="87">
        <f t="shared" si="1537"/>
        <v>11545839.286119234</v>
      </c>
      <c r="WV225" s="87">
        <f t="shared" si="1538"/>
        <v>50800</v>
      </c>
      <c r="WW225" s="87">
        <f t="shared" si="1539"/>
        <v>711200</v>
      </c>
      <c r="WX225" s="87">
        <f t="shared" si="1540"/>
        <v>30</v>
      </c>
      <c r="WY225" s="87">
        <f t="shared" si="1541"/>
        <v>480</v>
      </c>
      <c r="WZ225" s="87">
        <f t="shared" si="1542"/>
        <v>655</v>
      </c>
      <c r="XA225" s="87">
        <f t="shared" si="1543"/>
        <v>6550</v>
      </c>
      <c r="XB225" s="92">
        <f t="shared" si="1544"/>
        <v>891327.94508609502</v>
      </c>
      <c r="XC225" s="92">
        <f t="shared" si="1545"/>
        <v>12264069.286119234</v>
      </c>
      <c r="XD225" s="89"/>
      <c r="XE225" s="92"/>
      <c r="XF225" s="92"/>
      <c r="XG225" s="89"/>
      <c r="XH225" s="92"/>
      <c r="XI225" s="92"/>
      <c r="XJ225" s="89"/>
      <c r="XK225" s="87"/>
      <c r="XL225" s="87"/>
      <c r="XM225" s="87"/>
      <c r="XN225" s="87"/>
      <c r="XO225" s="87"/>
      <c r="XP225" s="87"/>
      <c r="XQ225" s="87"/>
      <c r="XR225" s="92">
        <f t="shared" ca="1" si="1546"/>
        <v>0</v>
      </c>
      <c r="XS225" s="89"/>
      <c r="XT225" s="87"/>
      <c r="XU225" s="87"/>
      <c r="XV225" s="87"/>
      <c r="XW225" s="87"/>
      <c r="XX225" s="87"/>
      <c r="XY225" s="87"/>
      <c r="XZ225" s="87"/>
      <c r="YA225" s="92">
        <f t="shared" ca="1" si="1547"/>
        <v>0</v>
      </c>
      <c r="YB225" s="90"/>
      <c r="YC225" s="90"/>
      <c r="YD225" s="90"/>
      <c r="YE225" s="90"/>
      <c r="YF225" s="90"/>
      <c r="YG225" s="90"/>
      <c r="YH225" s="90"/>
      <c r="YI225" s="90"/>
      <c r="YJ225" s="90"/>
      <c r="YK225" s="90"/>
      <c r="YL225" s="90"/>
      <c r="YM225" s="90"/>
      <c r="YN225" s="90"/>
      <c r="YO225" s="90"/>
      <c r="YP225" s="90"/>
      <c r="YQ225" s="90"/>
      <c r="YR225" s="90"/>
      <c r="YS225" s="90"/>
      <c r="YT225" s="90"/>
      <c r="YU225" s="90"/>
      <c r="YV225" s="90"/>
      <c r="YW225" s="90"/>
      <c r="YX225" s="90"/>
      <c r="YY225" s="90"/>
      <c r="YZ225" s="90"/>
      <c r="ZA225" s="90"/>
      <c r="ZB225" s="90"/>
      <c r="ZC225" s="90"/>
      <c r="ZD225" s="90"/>
      <c r="ZE225" s="90"/>
      <c r="ZF225" s="90"/>
      <c r="ZG225" s="90"/>
      <c r="ZH225" s="90"/>
      <c r="ZI225" s="90"/>
      <c r="ZJ225" s="90"/>
      <c r="ZK225" s="90"/>
      <c r="ZL225" s="90"/>
      <c r="ZM225" s="90"/>
      <c r="ZN225" s="90"/>
      <c r="ZO225" s="90"/>
      <c r="ZP225" s="90"/>
      <c r="ZQ225" s="90"/>
      <c r="ZR225" s="90"/>
      <c r="ZS225" s="90"/>
      <c r="ZT225" s="90"/>
      <c r="ZU225" s="90"/>
      <c r="ZV225" s="90"/>
      <c r="ZW225" s="90"/>
      <c r="ZX225" s="90"/>
      <c r="ZY225" s="90"/>
      <c r="ZZ225" s="90"/>
      <c r="AAA225" s="90"/>
      <c r="AAB225" s="90"/>
      <c r="AAC225" s="90"/>
      <c r="AAD225" s="90"/>
      <c r="AAE225" s="90"/>
      <c r="AAF225" s="90"/>
      <c r="AAG225" s="90"/>
      <c r="AAH225" s="90"/>
      <c r="AAI225" s="90"/>
      <c r="AAJ225" s="90"/>
      <c r="AAK225" s="90"/>
      <c r="AAL225" s="90"/>
      <c r="AAM225" s="90"/>
      <c r="AAN225" s="90"/>
      <c r="AAO225" s="90"/>
      <c r="AAP225" s="90"/>
      <c r="AAQ225" s="90"/>
      <c r="AAR225" s="90"/>
      <c r="AAS225" s="90"/>
      <c r="AAT225" s="90"/>
      <c r="AAU225" s="90"/>
      <c r="AAV225" s="90"/>
      <c r="AAW225" s="90"/>
      <c r="AAX225" s="90"/>
      <c r="AAY225" s="90"/>
      <c r="AAZ225" s="90"/>
      <c r="ABA225" s="90"/>
      <c r="ABB225" s="90"/>
      <c r="ABC225" s="90"/>
      <c r="ABD225" s="90"/>
      <c r="ABE225" s="90"/>
      <c r="ABF225" s="90"/>
      <c r="ABG225" s="90"/>
      <c r="ABH225" s="90"/>
      <c r="ABI225" s="90"/>
      <c r="ABJ225" s="90"/>
      <c r="ABK225" s="90"/>
      <c r="ABL225" s="90"/>
      <c r="ABM225" s="90"/>
      <c r="ABN225" s="90"/>
      <c r="ABO225" s="90"/>
      <c r="ABP225" s="90"/>
      <c r="ABQ225" s="90"/>
      <c r="ABR225" s="90"/>
      <c r="ABS225" s="90"/>
      <c r="ABT225" s="90"/>
      <c r="ABU225" s="90"/>
      <c r="ABV225" s="90"/>
      <c r="ABW225" s="90"/>
      <c r="ABX225" s="90"/>
      <c r="ABY225" s="90"/>
      <c r="ABZ225" s="90"/>
      <c r="ACA225" s="90"/>
      <c r="ACB225" s="90"/>
      <c r="ACC225" s="90"/>
      <c r="ACD225" s="90"/>
      <c r="ACE225" s="90"/>
      <c r="ACF225" s="90"/>
      <c r="ACG225" s="90"/>
      <c r="ACH225" s="90"/>
      <c r="ACI225" s="90"/>
      <c r="ACJ225" s="90"/>
      <c r="ACK225" s="90"/>
      <c r="ACL225" s="90"/>
      <c r="ACM225" s="90"/>
      <c r="ACN225" s="90"/>
      <c r="ACO225" s="90"/>
      <c r="ACP225" s="90"/>
      <c r="ACQ225" s="90"/>
      <c r="ACR225" s="90"/>
      <c r="ACS225" s="90"/>
      <c r="ACT225" s="90"/>
      <c r="ACU225" s="90"/>
      <c r="ACV225" s="90"/>
      <c r="ACW225" s="90"/>
      <c r="ACX225" s="90"/>
      <c r="ACY225" s="90"/>
      <c r="ACZ225" s="90"/>
      <c r="ADA225" s="90"/>
      <c r="ADB225" s="90"/>
      <c r="ADC225" s="90"/>
      <c r="ADD225" s="90"/>
      <c r="ADE225" s="90"/>
      <c r="ADF225" s="90"/>
      <c r="ADG225" s="90"/>
      <c r="ADH225" s="90"/>
      <c r="ADI225" s="90"/>
      <c r="ADJ225" s="90"/>
      <c r="ADK225" s="90"/>
      <c r="ADL225" s="90"/>
      <c r="ADM225" s="90"/>
      <c r="ADN225" s="90"/>
      <c r="ADO225" s="90"/>
      <c r="ADP225" s="90"/>
      <c r="ADQ225" s="90"/>
      <c r="ADR225" s="90"/>
      <c r="ADS225" s="90"/>
      <c r="ADT225" s="90"/>
      <c r="ADU225" s="90"/>
      <c r="ADV225" s="90"/>
      <c r="ADW225" s="90"/>
      <c r="ADX225" s="90"/>
      <c r="ADY225" s="90"/>
      <c r="ADZ225" s="90"/>
      <c r="AEA225" s="90"/>
      <c r="AEB225" s="90"/>
      <c r="AEC225" s="90"/>
      <c r="AED225" s="90"/>
      <c r="AEE225" s="90"/>
      <c r="AEF225" s="90"/>
      <c r="AEG225" s="90"/>
      <c r="AEH225" s="90"/>
      <c r="AEI225" s="90"/>
      <c r="AEJ225" s="90"/>
      <c r="AEK225" s="90"/>
      <c r="AEL225" s="90"/>
      <c r="AEM225" s="90"/>
      <c r="AEN225" s="90"/>
      <c r="AEO225" s="90"/>
      <c r="AEP225" s="90"/>
      <c r="AEQ225" s="90"/>
      <c r="AER225" s="90"/>
      <c r="AES225" s="90"/>
      <c r="AET225" s="90"/>
      <c r="AEU225" s="90"/>
      <c r="AEV225" s="90"/>
      <c r="AEW225" s="90"/>
      <c r="AEX225" s="90"/>
      <c r="AEY225" s="90"/>
      <c r="AEZ225" s="90"/>
      <c r="AFA225" s="90"/>
      <c r="AFB225" s="90"/>
      <c r="AFC225" s="90"/>
      <c r="AFD225" s="90"/>
      <c r="AFE225" s="90"/>
      <c r="AFF225" s="90"/>
      <c r="AFG225" s="90"/>
      <c r="AFH225" s="90"/>
      <c r="AFI225" s="90"/>
      <c r="AFJ225" s="90"/>
      <c r="AFK225" s="90"/>
      <c r="AFL225" s="90"/>
      <c r="AFM225" s="90"/>
      <c r="AFN225" s="90"/>
      <c r="AFO225" s="90"/>
      <c r="AFP225" s="90"/>
      <c r="AFQ225" s="90"/>
      <c r="AFR225" s="90"/>
      <c r="AFS225" s="90"/>
      <c r="AFT225" s="90"/>
      <c r="AFU225" s="90"/>
      <c r="AFV225" s="90"/>
      <c r="AFW225" s="90"/>
      <c r="AFX225" s="90"/>
      <c r="AFY225" s="90"/>
      <c r="AFZ225" s="90"/>
      <c r="AGA225" s="90"/>
      <c r="AGB225" s="90"/>
      <c r="AGC225" s="90"/>
      <c r="AGD225" s="90"/>
      <c r="AGE225" s="90"/>
      <c r="AGF225" s="90"/>
      <c r="AGG225" s="90"/>
      <c r="AGH225" s="90"/>
      <c r="AGI225" s="90"/>
      <c r="AGJ225" s="90"/>
      <c r="AGK225" s="90"/>
      <c r="AGL225" s="90"/>
      <c r="AGM225" s="90"/>
      <c r="AGN225" s="90"/>
      <c r="AGO225" s="90"/>
      <c r="AGP225" s="90"/>
      <c r="AGQ225" s="90"/>
      <c r="AGR225" s="90"/>
      <c r="AGS225" s="90"/>
      <c r="AGT225" s="90"/>
      <c r="AGU225" s="90"/>
      <c r="AGV225" s="90"/>
      <c r="AGW225" s="90"/>
      <c r="AGX225" s="90"/>
      <c r="AGY225" s="90"/>
      <c r="AGZ225" s="90"/>
      <c r="AHA225" s="90"/>
      <c r="AHB225" s="90"/>
      <c r="AHC225" s="90"/>
      <c r="AHD225" s="90"/>
      <c r="AHE225" s="90"/>
      <c r="AHF225" s="90"/>
      <c r="AHG225" s="90"/>
      <c r="AHH225" s="90"/>
      <c r="AHI225" s="90"/>
      <c r="AHJ225" s="90"/>
      <c r="AHK225" s="90"/>
      <c r="AHL225" s="90"/>
      <c r="AHM225" s="90"/>
      <c r="AHN225" s="90"/>
      <c r="AHO225" s="90"/>
      <c r="AHP225" s="90"/>
      <c r="AHQ225" s="90"/>
      <c r="AHR225" s="90"/>
      <c r="AHS225" s="90"/>
      <c r="AHT225" s="90"/>
      <c r="AHU225" s="90"/>
      <c r="AHV225" s="90"/>
      <c r="AHW225" s="90"/>
      <c r="AHX225" s="90"/>
      <c r="AHY225" s="90"/>
      <c r="AHZ225" s="90"/>
      <c r="AIA225" s="90"/>
      <c r="AIB225" s="90"/>
      <c r="AIC225" s="90"/>
      <c r="AID225" s="90"/>
      <c r="AIE225" s="90"/>
      <c r="AIF225" s="90"/>
      <c r="AIG225" s="90"/>
      <c r="AIH225" s="90"/>
      <c r="AII225" s="90"/>
      <c r="AIJ225" s="90"/>
      <c r="AIK225" s="90"/>
      <c r="AIL225" s="90"/>
      <c r="AIM225" s="90"/>
      <c r="AIN225" s="90"/>
      <c r="AIO225" s="90"/>
      <c r="AIP225" s="90"/>
      <c r="AIQ225" s="90"/>
      <c r="AIR225" s="90"/>
      <c r="AIS225" s="90"/>
      <c r="AIT225" s="90"/>
      <c r="AIU225" s="90"/>
      <c r="AIV225" s="90"/>
      <c r="AIW225" s="90"/>
      <c r="AIX225" s="90"/>
      <c r="AIY225" s="90"/>
      <c r="AIZ225" s="90"/>
      <c r="AJA225" s="90"/>
      <c r="AJB225" s="90"/>
      <c r="AJC225" s="90"/>
      <c r="AJD225" s="90"/>
      <c r="AJE225" s="90"/>
      <c r="AJF225" s="90"/>
      <c r="AJG225" s="90"/>
      <c r="AJH225" s="90"/>
      <c r="AJI225" s="90"/>
      <c r="AJJ225" s="90"/>
      <c r="AJK225" s="90"/>
      <c r="AJL225" s="90"/>
      <c r="AJM225" s="90"/>
      <c r="AJN225" s="90"/>
      <c r="AJO225" s="90"/>
      <c r="AJP225" s="90"/>
      <c r="AJQ225" s="90"/>
      <c r="AJR225" s="90"/>
      <c r="AJS225" s="90"/>
      <c r="AJT225" s="90"/>
      <c r="AJU225" s="90"/>
      <c r="AJV225" s="90"/>
      <c r="AJW225" s="90"/>
      <c r="AJX225" s="90"/>
      <c r="AJY225" s="90"/>
      <c r="AJZ225" s="90"/>
      <c r="AKA225" s="90"/>
      <c r="AKB225" s="90"/>
      <c r="AKC225" s="90"/>
      <c r="AKD225" s="90"/>
      <c r="AKE225" s="90"/>
      <c r="AKF225" s="90"/>
      <c r="AKG225" s="90"/>
      <c r="AKH225" s="90"/>
      <c r="AKI225" s="90"/>
      <c r="AKJ225" s="90"/>
      <c r="AKK225" s="90"/>
      <c r="AKL225" s="90"/>
      <c r="AKM225" s="90"/>
      <c r="AKN225" s="90"/>
      <c r="AKO225" s="90"/>
      <c r="AKP225" s="90"/>
      <c r="AKQ225" s="90"/>
      <c r="AKR225" s="90"/>
      <c r="AKS225" s="90"/>
      <c r="AKT225" s="90"/>
      <c r="AKU225" s="90"/>
      <c r="AKV225" s="90"/>
      <c r="AKW225" s="90"/>
      <c r="AKX225" s="90"/>
      <c r="AKY225" s="90"/>
      <c r="AKZ225" s="90"/>
      <c r="ALA225" s="90"/>
      <c r="ALB225" s="90"/>
      <c r="ALC225" s="90"/>
      <c r="ALD225" s="90"/>
      <c r="ALE225" s="90"/>
      <c r="ALF225" s="90"/>
      <c r="ALG225" s="90"/>
      <c r="ALH225" s="90"/>
      <c r="ALI225" s="90"/>
      <c r="ALJ225" s="90"/>
      <c r="ALK225" s="90"/>
      <c r="ALL225" s="90"/>
      <c r="ALM225" s="90"/>
      <c r="ALN225" s="90"/>
      <c r="ALO225" s="90"/>
      <c r="ALP225" s="90"/>
      <c r="ALQ225" s="90"/>
      <c r="ALR225" s="90"/>
      <c r="ALS225" s="90"/>
      <c r="ALT225" s="90"/>
      <c r="ALU225" s="90"/>
      <c r="ALV225" s="90"/>
      <c r="ALW225" s="90"/>
      <c r="ALX225" s="90"/>
      <c r="ALY225" s="90"/>
      <c r="ALZ225" s="90"/>
      <c r="AMA225" s="90"/>
      <c r="AMB225" s="90"/>
      <c r="AMC225" s="90"/>
    </row>
    <row r="226" spans="1:1017">
      <c r="A226" s="98" t="s">
        <v>50</v>
      </c>
      <c r="B226" s="90" t="str">
        <f t="shared" si="1453"/>
        <v>Teri</v>
      </c>
      <c r="Q226" s="91">
        <f t="shared" si="1454"/>
        <v>0</v>
      </c>
      <c r="R226" s="91">
        <f t="shared" si="1455"/>
        <v>0</v>
      </c>
      <c r="AG226" s="91">
        <f t="shared" si="1456"/>
        <v>0</v>
      </c>
      <c r="AH226" s="91">
        <f t="shared" si="1457"/>
        <v>0</v>
      </c>
      <c r="AW226" s="91">
        <f t="shared" si="1458"/>
        <v>0</v>
      </c>
      <c r="AX226" s="91">
        <f t="shared" si="1459"/>
        <v>0</v>
      </c>
      <c r="BM226" s="91">
        <f t="shared" si="1460"/>
        <v>0</v>
      </c>
      <c r="BN226" s="91">
        <f t="shared" si="1461"/>
        <v>0</v>
      </c>
      <c r="CC226" s="91">
        <f t="shared" si="1462"/>
        <v>0</v>
      </c>
      <c r="CD226" s="91">
        <f t="shared" si="1463"/>
        <v>0</v>
      </c>
      <c r="CS226" s="91">
        <f t="shared" si="1548"/>
        <v>0</v>
      </c>
      <c r="CT226" s="91">
        <f t="shared" si="1549"/>
        <v>0</v>
      </c>
      <c r="DI226" s="91">
        <f t="shared" si="1466"/>
        <v>0</v>
      </c>
      <c r="DJ226" s="91">
        <f t="shared" si="1467"/>
        <v>0</v>
      </c>
      <c r="DY226" s="91">
        <f t="shared" si="1468"/>
        <v>0</v>
      </c>
      <c r="DZ226" s="91">
        <f t="shared" si="1469"/>
        <v>0</v>
      </c>
      <c r="EO226" s="91">
        <f t="shared" si="1470"/>
        <v>0</v>
      </c>
      <c r="EP226" s="91">
        <f t="shared" si="1471"/>
        <v>0</v>
      </c>
      <c r="FE226" s="91">
        <f t="shared" si="1472"/>
        <v>0</v>
      </c>
      <c r="FF226" s="91">
        <f t="shared" si="1473"/>
        <v>0</v>
      </c>
      <c r="FU226" s="91">
        <f t="shared" si="1474"/>
        <v>0</v>
      </c>
      <c r="FV226" s="91">
        <f t="shared" si="1475"/>
        <v>0</v>
      </c>
      <c r="GK226" s="91">
        <f t="shared" si="1476"/>
        <v>0</v>
      </c>
      <c r="GL226" s="91">
        <f t="shared" si="1477"/>
        <v>0</v>
      </c>
      <c r="HA226" s="91">
        <f t="shared" si="1478"/>
        <v>0</v>
      </c>
      <c r="HB226" s="91">
        <f t="shared" si="1479"/>
        <v>0</v>
      </c>
      <c r="HQ226" s="91">
        <f t="shared" si="1480"/>
        <v>0</v>
      </c>
      <c r="HR226" s="91">
        <f t="shared" si="1481"/>
        <v>0</v>
      </c>
      <c r="IG226" s="91">
        <f t="shared" si="1482"/>
        <v>0</v>
      </c>
      <c r="IH226" s="91">
        <f t="shared" si="1483"/>
        <v>0</v>
      </c>
      <c r="IW226" s="91">
        <f t="shared" si="1484"/>
        <v>0</v>
      </c>
      <c r="IX226" s="91">
        <f t="shared" si="1485"/>
        <v>0</v>
      </c>
      <c r="JM226" s="91">
        <f t="shared" si="1486"/>
        <v>0</v>
      </c>
      <c r="JN226" s="91">
        <f t="shared" si="1487"/>
        <v>0</v>
      </c>
      <c r="KC226" s="91">
        <f t="shared" si="1488"/>
        <v>0</v>
      </c>
      <c r="KD226" s="91">
        <f t="shared" si="1489"/>
        <v>0</v>
      </c>
      <c r="KS226" s="91">
        <f t="shared" si="1490"/>
        <v>0</v>
      </c>
      <c r="KT226" s="91">
        <f t="shared" si="1491"/>
        <v>0</v>
      </c>
      <c r="LI226" s="91">
        <f t="shared" si="1492"/>
        <v>0</v>
      </c>
      <c r="LJ226" s="91">
        <f t="shared" si="1493"/>
        <v>0</v>
      </c>
      <c r="LY226" s="91">
        <f t="shared" si="1494"/>
        <v>0</v>
      </c>
      <c r="LZ226" s="91">
        <f t="shared" si="1495"/>
        <v>0</v>
      </c>
      <c r="MC226" s="98">
        <v>9700</v>
      </c>
      <c r="MD226" s="98">
        <v>29100</v>
      </c>
      <c r="MO226" s="91">
        <f t="shared" si="1496"/>
        <v>9700</v>
      </c>
      <c r="MP226" s="91">
        <f t="shared" si="1497"/>
        <v>29100</v>
      </c>
      <c r="NE226" s="91">
        <f t="shared" si="1498"/>
        <v>0</v>
      </c>
      <c r="NF226" s="91">
        <f t="shared" si="1499"/>
        <v>0</v>
      </c>
      <c r="NU226" s="91">
        <f t="shared" si="1500"/>
        <v>0</v>
      </c>
      <c r="NV226" s="91">
        <f t="shared" si="1501"/>
        <v>0</v>
      </c>
      <c r="OK226" s="91">
        <f t="shared" si="1502"/>
        <v>0</v>
      </c>
      <c r="OL226" s="91">
        <f t="shared" si="1503"/>
        <v>0</v>
      </c>
      <c r="PA226" s="91">
        <f t="shared" si="1504"/>
        <v>0</v>
      </c>
      <c r="PB226" s="91">
        <f t="shared" si="1505"/>
        <v>0</v>
      </c>
      <c r="PQ226" s="91">
        <f t="shared" si="1506"/>
        <v>0</v>
      </c>
      <c r="PR226" s="91">
        <f t="shared" si="1507"/>
        <v>0</v>
      </c>
      <c r="QG226" s="91">
        <f t="shared" si="1508"/>
        <v>0</v>
      </c>
      <c r="QH226" s="91">
        <f t="shared" si="1509"/>
        <v>0</v>
      </c>
      <c r="QW226" s="91">
        <f t="shared" si="1510"/>
        <v>0</v>
      </c>
      <c r="QX226" s="91">
        <f t="shared" si="1511"/>
        <v>0</v>
      </c>
      <c r="RM226" s="91">
        <f t="shared" si="1512"/>
        <v>0</v>
      </c>
      <c r="RN226" s="91">
        <f t="shared" si="1513"/>
        <v>0</v>
      </c>
      <c r="SC226" s="91">
        <f t="shared" si="1514"/>
        <v>0</v>
      </c>
      <c r="SD226" s="91">
        <f t="shared" si="1515"/>
        <v>0</v>
      </c>
      <c r="SS226" s="91">
        <f t="shared" si="1516"/>
        <v>0</v>
      </c>
      <c r="ST226" s="91">
        <f t="shared" si="1517"/>
        <v>0</v>
      </c>
      <c r="TI226" s="91">
        <f t="shared" si="1518"/>
        <v>0</v>
      </c>
      <c r="TJ226" s="91">
        <f t="shared" si="1519"/>
        <v>0</v>
      </c>
      <c r="TY226" s="91">
        <f t="shared" si="1520"/>
        <v>0</v>
      </c>
      <c r="TZ226" s="91">
        <f t="shared" si="1521"/>
        <v>0</v>
      </c>
      <c r="UO226" s="91">
        <f t="shared" si="1522"/>
        <v>0</v>
      </c>
      <c r="UP226" s="91">
        <f t="shared" si="1523"/>
        <v>0</v>
      </c>
      <c r="VE226" s="91">
        <f t="shared" si="1524"/>
        <v>0</v>
      </c>
      <c r="VF226" s="91">
        <f t="shared" si="1525"/>
        <v>0</v>
      </c>
      <c r="VU226" s="91">
        <f t="shared" si="1526"/>
        <v>0</v>
      </c>
      <c r="VV226" s="91">
        <f t="shared" si="1527"/>
        <v>0</v>
      </c>
      <c r="WK226" s="91">
        <f t="shared" si="1528"/>
        <v>0</v>
      </c>
      <c r="WL226" s="91">
        <f t="shared" si="1529"/>
        <v>0</v>
      </c>
      <c r="WM226" s="89"/>
      <c r="WN226" s="87">
        <f t="shared" si="1530"/>
        <v>0</v>
      </c>
      <c r="WO226" s="87">
        <f t="shared" si="1531"/>
        <v>0</v>
      </c>
      <c r="WP226" s="87">
        <f t="shared" si="1532"/>
        <v>9700</v>
      </c>
      <c r="WQ226" s="87">
        <f t="shared" si="1533"/>
        <v>29100</v>
      </c>
      <c r="WR226" s="87">
        <f t="shared" si="1534"/>
        <v>0</v>
      </c>
      <c r="WS226" s="87">
        <f t="shared" si="1535"/>
        <v>0</v>
      </c>
      <c r="WT226" s="87">
        <f t="shared" si="1536"/>
        <v>0</v>
      </c>
      <c r="WU226" s="87">
        <f t="shared" si="1537"/>
        <v>0</v>
      </c>
      <c r="WV226" s="87">
        <f t="shared" si="1538"/>
        <v>0</v>
      </c>
      <c r="WW226" s="87">
        <f t="shared" si="1539"/>
        <v>0</v>
      </c>
      <c r="WX226" s="87">
        <f t="shared" si="1540"/>
        <v>0</v>
      </c>
      <c r="WY226" s="87">
        <f t="shared" si="1541"/>
        <v>0</v>
      </c>
      <c r="WZ226" s="87">
        <f t="shared" si="1542"/>
        <v>0</v>
      </c>
      <c r="XA226" s="87">
        <f t="shared" si="1543"/>
        <v>0</v>
      </c>
      <c r="XB226" s="92">
        <f t="shared" si="1544"/>
        <v>9700</v>
      </c>
      <c r="XC226" s="92">
        <f t="shared" si="1545"/>
        <v>29100</v>
      </c>
      <c r="XD226" s="89"/>
      <c r="XE226" s="92"/>
      <c r="XF226" s="92"/>
      <c r="XG226" s="89"/>
      <c r="XH226" s="92"/>
      <c r="XI226" s="92"/>
      <c r="XJ226" s="89"/>
      <c r="XK226" s="87"/>
      <c r="XL226" s="87"/>
      <c r="XM226" s="87"/>
      <c r="XN226" s="87"/>
      <c r="XO226" s="87"/>
      <c r="XP226" s="87"/>
      <c r="XQ226" s="87"/>
      <c r="XR226" s="92">
        <f t="shared" ca="1" si="1546"/>
        <v>0</v>
      </c>
      <c r="XS226" s="89"/>
      <c r="XT226" s="87"/>
      <c r="XU226" s="87"/>
      <c r="XV226" s="87"/>
      <c r="XW226" s="87"/>
      <c r="XX226" s="87"/>
      <c r="XY226" s="87"/>
      <c r="XZ226" s="87"/>
      <c r="YA226" s="92">
        <f t="shared" ca="1" si="1547"/>
        <v>0</v>
      </c>
      <c r="YB226" s="90"/>
      <c r="YC226" s="90"/>
      <c r="YD226" s="90"/>
      <c r="YE226" s="90"/>
      <c r="YF226" s="90"/>
      <c r="YG226" s="90"/>
      <c r="YH226" s="90"/>
      <c r="YI226" s="90"/>
      <c r="YJ226" s="90"/>
      <c r="YK226" s="90"/>
      <c r="YL226" s="90"/>
      <c r="YM226" s="90"/>
      <c r="YN226" s="90"/>
      <c r="YO226" s="90"/>
      <c r="YP226" s="90"/>
      <c r="YQ226" s="90"/>
      <c r="YR226" s="90"/>
      <c r="YS226" s="90"/>
      <c r="YT226" s="90"/>
      <c r="YU226" s="90"/>
      <c r="YV226" s="90"/>
      <c r="YW226" s="90"/>
      <c r="YX226" s="90"/>
      <c r="YY226" s="90"/>
      <c r="YZ226" s="90"/>
      <c r="ZA226" s="90"/>
      <c r="ZB226" s="90"/>
      <c r="ZC226" s="90"/>
      <c r="ZD226" s="90"/>
      <c r="ZE226" s="90"/>
      <c r="ZF226" s="90"/>
      <c r="ZG226" s="90"/>
      <c r="ZH226" s="90"/>
      <c r="ZI226" s="90"/>
      <c r="ZJ226" s="90"/>
      <c r="ZK226" s="90"/>
      <c r="ZL226" s="90"/>
      <c r="ZM226" s="90"/>
      <c r="ZN226" s="90"/>
      <c r="ZO226" s="90"/>
      <c r="ZP226" s="90"/>
      <c r="ZQ226" s="90"/>
      <c r="ZR226" s="90"/>
      <c r="ZS226" s="90"/>
      <c r="ZT226" s="90"/>
      <c r="ZU226" s="90"/>
      <c r="ZV226" s="90"/>
      <c r="ZW226" s="90"/>
      <c r="ZX226" s="90"/>
      <c r="ZY226" s="90"/>
      <c r="ZZ226" s="90"/>
      <c r="AAA226" s="90"/>
      <c r="AAB226" s="90"/>
      <c r="AAC226" s="90"/>
      <c r="AAD226" s="90"/>
      <c r="AAE226" s="90"/>
      <c r="AAF226" s="90"/>
      <c r="AAG226" s="90"/>
      <c r="AAH226" s="90"/>
      <c r="AAI226" s="90"/>
      <c r="AAJ226" s="90"/>
      <c r="AAK226" s="90"/>
      <c r="AAL226" s="90"/>
      <c r="AAM226" s="90"/>
      <c r="AAN226" s="90"/>
      <c r="AAO226" s="90"/>
      <c r="AAP226" s="90"/>
      <c r="AAQ226" s="90"/>
      <c r="AAR226" s="90"/>
      <c r="AAS226" s="90"/>
      <c r="AAT226" s="90"/>
      <c r="AAU226" s="90"/>
      <c r="AAV226" s="90"/>
      <c r="AAW226" s="90"/>
      <c r="AAX226" s="90"/>
      <c r="AAY226" s="90"/>
      <c r="AAZ226" s="90"/>
      <c r="ABA226" s="90"/>
      <c r="ABB226" s="90"/>
      <c r="ABC226" s="90"/>
      <c r="ABD226" s="90"/>
      <c r="ABE226" s="90"/>
      <c r="ABF226" s="90"/>
      <c r="ABG226" s="90"/>
      <c r="ABH226" s="90"/>
      <c r="ABI226" s="90"/>
      <c r="ABJ226" s="90"/>
      <c r="ABK226" s="90"/>
      <c r="ABL226" s="90"/>
      <c r="ABM226" s="90"/>
      <c r="ABN226" s="90"/>
      <c r="ABO226" s="90"/>
      <c r="ABP226" s="90"/>
      <c r="ABQ226" s="90"/>
      <c r="ABR226" s="90"/>
      <c r="ABS226" s="90"/>
      <c r="ABT226" s="90"/>
      <c r="ABU226" s="90"/>
      <c r="ABV226" s="90"/>
      <c r="ABW226" s="90"/>
      <c r="ABX226" s="90"/>
      <c r="ABY226" s="90"/>
      <c r="ABZ226" s="90"/>
      <c r="ACA226" s="90"/>
      <c r="ACB226" s="90"/>
      <c r="ACC226" s="90"/>
      <c r="ACD226" s="90"/>
      <c r="ACE226" s="90"/>
      <c r="ACF226" s="90"/>
      <c r="ACG226" s="90"/>
      <c r="ACH226" s="90"/>
      <c r="ACI226" s="90"/>
      <c r="ACJ226" s="90"/>
      <c r="ACK226" s="90"/>
      <c r="ACL226" s="90"/>
      <c r="ACM226" s="90"/>
      <c r="ACN226" s="90"/>
      <c r="ACO226" s="90"/>
      <c r="ACP226" s="90"/>
      <c r="ACQ226" s="90"/>
      <c r="ACR226" s="90"/>
      <c r="ACS226" s="90"/>
      <c r="ACT226" s="90"/>
      <c r="ACU226" s="90"/>
      <c r="ACV226" s="90"/>
      <c r="ACW226" s="90"/>
      <c r="ACX226" s="90"/>
      <c r="ACY226" s="90"/>
      <c r="ACZ226" s="90"/>
      <c r="ADA226" s="90"/>
      <c r="ADB226" s="90"/>
      <c r="ADC226" s="90"/>
      <c r="ADD226" s="90"/>
      <c r="ADE226" s="90"/>
      <c r="ADF226" s="90"/>
      <c r="ADG226" s="90"/>
      <c r="ADH226" s="90"/>
      <c r="ADI226" s="90"/>
      <c r="ADJ226" s="90"/>
      <c r="ADK226" s="90"/>
      <c r="ADL226" s="90"/>
      <c r="ADM226" s="90"/>
      <c r="ADN226" s="90"/>
      <c r="ADO226" s="90"/>
      <c r="ADP226" s="90"/>
      <c r="ADQ226" s="90"/>
      <c r="ADR226" s="90"/>
      <c r="ADS226" s="90"/>
      <c r="ADT226" s="90"/>
      <c r="ADU226" s="90"/>
      <c r="ADV226" s="90"/>
      <c r="ADW226" s="90"/>
      <c r="ADX226" s="90"/>
      <c r="ADY226" s="90"/>
      <c r="ADZ226" s="90"/>
      <c r="AEA226" s="90"/>
      <c r="AEB226" s="90"/>
      <c r="AEC226" s="90"/>
      <c r="AED226" s="90"/>
      <c r="AEE226" s="90"/>
      <c r="AEF226" s="90"/>
      <c r="AEG226" s="90"/>
      <c r="AEH226" s="90"/>
      <c r="AEI226" s="90"/>
      <c r="AEJ226" s="90"/>
      <c r="AEK226" s="90"/>
      <c r="AEL226" s="90"/>
      <c r="AEM226" s="90"/>
      <c r="AEN226" s="90"/>
      <c r="AEO226" s="90"/>
      <c r="AEP226" s="90"/>
      <c r="AEQ226" s="90"/>
      <c r="AER226" s="90"/>
      <c r="AES226" s="90"/>
      <c r="AET226" s="90"/>
      <c r="AEU226" s="90"/>
      <c r="AEV226" s="90"/>
      <c r="AEW226" s="90"/>
      <c r="AEX226" s="90"/>
      <c r="AEY226" s="90"/>
      <c r="AEZ226" s="90"/>
      <c r="AFA226" s="90"/>
      <c r="AFB226" s="90"/>
      <c r="AFC226" s="90"/>
      <c r="AFD226" s="90"/>
      <c r="AFE226" s="90"/>
      <c r="AFF226" s="90"/>
      <c r="AFG226" s="90"/>
      <c r="AFH226" s="90"/>
      <c r="AFI226" s="90"/>
      <c r="AFJ226" s="90"/>
      <c r="AFK226" s="90"/>
      <c r="AFL226" s="90"/>
      <c r="AFM226" s="90"/>
      <c r="AFN226" s="90"/>
      <c r="AFO226" s="90"/>
      <c r="AFP226" s="90"/>
      <c r="AFQ226" s="90"/>
      <c r="AFR226" s="90"/>
      <c r="AFS226" s="90"/>
      <c r="AFT226" s="90"/>
      <c r="AFU226" s="90"/>
      <c r="AFV226" s="90"/>
      <c r="AFW226" s="90"/>
      <c r="AFX226" s="90"/>
      <c r="AFY226" s="90"/>
      <c r="AFZ226" s="90"/>
      <c r="AGA226" s="90"/>
      <c r="AGB226" s="90"/>
      <c r="AGC226" s="90"/>
      <c r="AGD226" s="90"/>
      <c r="AGE226" s="90"/>
      <c r="AGF226" s="90"/>
      <c r="AGG226" s="90"/>
      <c r="AGH226" s="90"/>
      <c r="AGI226" s="90"/>
      <c r="AGJ226" s="90"/>
      <c r="AGK226" s="90"/>
      <c r="AGL226" s="90"/>
      <c r="AGM226" s="90"/>
      <c r="AGN226" s="90"/>
      <c r="AGO226" s="90"/>
      <c r="AGP226" s="90"/>
      <c r="AGQ226" s="90"/>
      <c r="AGR226" s="90"/>
      <c r="AGS226" s="90"/>
      <c r="AGT226" s="90"/>
      <c r="AGU226" s="90"/>
      <c r="AGV226" s="90"/>
      <c r="AGW226" s="90"/>
      <c r="AGX226" s="90"/>
      <c r="AGY226" s="90"/>
      <c r="AGZ226" s="90"/>
      <c r="AHA226" s="90"/>
      <c r="AHB226" s="90"/>
      <c r="AHC226" s="90"/>
      <c r="AHD226" s="90"/>
      <c r="AHE226" s="90"/>
      <c r="AHF226" s="90"/>
      <c r="AHG226" s="90"/>
      <c r="AHH226" s="90"/>
      <c r="AHI226" s="90"/>
      <c r="AHJ226" s="90"/>
      <c r="AHK226" s="90"/>
      <c r="AHL226" s="90"/>
      <c r="AHM226" s="90"/>
      <c r="AHN226" s="90"/>
      <c r="AHO226" s="90"/>
      <c r="AHP226" s="90"/>
      <c r="AHQ226" s="90"/>
      <c r="AHR226" s="90"/>
      <c r="AHS226" s="90"/>
      <c r="AHT226" s="90"/>
      <c r="AHU226" s="90"/>
      <c r="AHV226" s="90"/>
      <c r="AHW226" s="90"/>
      <c r="AHX226" s="90"/>
      <c r="AHY226" s="90"/>
      <c r="AHZ226" s="90"/>
      <c r="AIA226" s="90"/>
      <c r="AIB226" s="90"/>
      <c r="AIC226" s="90"/>
      <c r="AID226" s="90"/>
      <c r="AIE226" s="90"/>
      <c r="AIF226" s="90"/>
      <c r="AIG226" s="90"/>
      <c r="AIH226" s="90"/>
      <c r="AII226" s="90"/>
      <c r="AIJ226" s="90"/>
      <c r="AIK226" s="90"/>
      <c r="AIL226" s="90"/>
      <c r="AIM226" s="90"/>
      <c r="AIN226" s="90"/>
      <c r="AIO226" s="90"/>
      <c r="AIP226" s="90"/>
      <c r="AIQ226" s="90"/>
      <c r="AIR226" s="90"/>
      <c r="AIS226" s="90"/>
      <c r="AIT226" s="90"/>
      <c r="AIU226" s="90"/>
      <c r="AIV226" s="90"/>
      <c r="AIW226" s="90"/>
      <c r="AIX226" s="90"/>
      <c r="AIY226" s="90"/>
      <c r="AIZ226" s="90"/>
      <c r="AJA226" s="90"/>
      <c r="AJB226" s="90"/>
      <c r="AJC226" s="90"/>
      <c r="AJD226" s="90"/>
      <c r="AJE226" s="90"/>
      <c r="AJF226" s="90"/>
      <c r="AJG226" s="90"/>
      <c r="AJH226" s="90"/>
      <c r="AJI226" s="90"/>
      <c r="AJJ226" s="90"/>
      <c r="AJK226" s="90"/>
      <c r="AJL226" s="90"/>
      <c r="AJM226" s="90"/>
      <c r="AJN226" s="90"/>
      <c r="AJO226" s="90"/>
      <c r="AJP226" s="90"/>
      <c r="AJQ226" s="90"/>
      <c r="AJR226" s="90"/>
      <c r="AJS226" s="90"/>
      <c r="AJT226" s="90"/>
      <c r="AJU226" s="90"/>
      <c r="AJV226" s="90"/>
      <c r="AJW226" s="90"/>
      <c r="AJX226" s="90"/>
      <c r="AJY226" s="90"/>
      <c r="AJZ226" s="90"/>
      <c r="AKA226" s="90"/>
      <c r="AKB226" s="90"/>
      <c r="AKC226" s="90"/>
      <c r="AKD226" s="90"/>
      <c r="AKE226" s="90"/>
      <c r="AKF226" s="90"/>
      <c r="AKG226" s="90"/>
      <c r="AKH226" s="90"/>
      <c r="AKI226" s="90"/>
      <c r="AKJ226" s="90"/>
      <c r="AKK226" s="90"/>
      <c r="AKL226" s="90"/>
      <c r="AKM226" s="90"/>
      <c r="AKN226" s="90"/>
      <c r="AKO226" s="90"/>
      <c r="AKP226" s="90"/>
      <c r="AKQ226" s="90"/>
      <c r="AKR226" s="90"/>
      <c r="AKS226" s="90"/>
      <c r="AKT226" s="90"/>
      <c r="AKU226" s="90"/>
      <c r="AKV226" s="90"/>
      <c r="AKW226" s="90"/>
      <c r="AKX226" s="90"/>
      <c r="AKY226" s="90"/>
      <c r="AKZ226" s="90"/>
      <c r="ALA226" s="90"/>
      <c r="ALB226" s="90"/>
      <c r="ALC226" s="90"/>
      <c r="ALD226" s="90"/>
      <c r="ALE226" s="90"/>
      <c r="ALF226" s="90"/>
      <c r="ALG226" s="90"/>
      <c r="ALH226" s="90"/>
      <c r="ALI226" s="90"/>
      <c r="ALJ226" s="90"/>
      <c r="ALK226" s="90"/>
      <c r="ALL226" s="90"/>
      <c r="ALM226" s="90"/>
      <c r="ALN226" s="90"/>
      <c r="ALO226" s="90"/>
      <c r="ALP226" s="90"/>
      <c r="ALQ226" s="90"/>
      <c r="ALR226" s="90"/>
      <c r="ALS226" s="90"/>
      <c r="ALT226" s="90"/>
      <c r="ALU226" s="90"/>
      <c r="ALV226" s="90"/>
      <c r="ALW226" s="90"/>
      <c r="ALX226" s="90"/>
      <c r="ALY226" s="90"/>
      <c r="ALZ226" s="90"/>
      <c r="AMA226" s="90"/>
      <c r="AMB226" s="90"/>
      <c r="AMC226" s="90"/>
    </row>
    <row r="227" spans="1:1017">
      <c r="A227" s="98" t="s">
        <v>50</v>
      </c>
      <c r="B227" s="90" t="str">
        <f t="shared" si="1453"/>
        <v xml:space="preserve">Udang Galah </v>
      </c>
      <c r="Q227" s="91">
        <f t="shared" si="1454"/>
        <v>0</v>
      </c>
      <c r="R227" s="91">
        <f t="shared" si="1455"/>
        <v>0</v>
      </c>
      <c r="AG227" s="91">
        <f t="shared" si="1456"/>
        <v>0</v>
      </c>
      <c r="AH227" s="91">
        <f t="shared" si="1457"/>
        <v>0</v>
      </c>
      <c r="AW227" s="91">
        <f t="shared" si="1458"/>
        <v>0</v>
      </c>
      <c r="AX227" s="91">
        <f t="shared" si="1459"/>
        <v>0</v>
      </c>
      <c r="BM227" s="91">
        <f t="shared" si="1460"/>
        <v>0</v>
      </c>
      <c r="BN227" s="91">
        <f t="shared" si="1461"/>
        <v>0</v>
      </c>
      <c r="CC227" s="91">
        <f t="shared" si="1462"/>
        <v>0</v>
      </c>
      <c r="CD227" s="91">
        <f t="shared" si="1463"/>
        <v>0</v>
      </c>
      <c r="CS227" s="91">
        <f t="shared" si="1548"/>
        <v>0</v>
      </c>
      <c r="CT227" s="91">
        <f t="shared" si="1549"/>
        <v>0</v>
      </c>
      <c r="DI227" s="91">
        <f t="shared" si="1466"/>
        <v>0</v>
      </c>
      <c r="DJ227" s="91">
        <f t="shared" si="1467"/>
        <v>0</v>
      </c>
      <c r="DY227" s="91">
        <f t="shared" si="1468"/>
        <v>0</v>
      </c>
      <c r="DZ227" s="91">
        <f t="shared" si="1469"/>
        <v>0</v>
      </c>
      <c r="EO227" s="91">
        <f t="shared" si="1470"/>
        <v>0</v>
      </c>
      <c r="EP227" s="91">
        <f t="shared" si="1471"/>
        <v>0</v>
      </c>
      <c r="FE227" s="91">
        <f t="shared" si="1472"/>
        <v>0</v>
      </c>
      <c r="FF227" s="91">
        <f t="shared" si="1473"/>
        <v>0</v>
      </c>
      <c r="FU227" s="91">
        <f t="shared" si="1474"/>
        <v>0</v>
      </c>
      <c r="FV227" s="91">
        <f t="shared" si="1475"/>
        <v>0</v>
      </c>
      <c r="GK227" s="91">
        <f t="shared" si="1476"/>
        <v>0</v>
      </c>
      <c r="GL227" s="91">
        <f t="shared" si="1477"/>
        <v>0</v>
      </c>
      <c r="HA227" s="91">
        <f t="shared" si="1478"/>
        <v>0</v>
      </c>
      <c r="HB227" s="91">
        <f t="shared" si="1479"/>
        <v>0</v>
      </c>
      <c r="HQ227" s="91">
        <f t="shared" si="1480"/>
        <v>0</v>
      </c>
      <c r="HR227" s="91">
        <f t="shared" si="1481"/>
        <v>0</v>
      </c>
      <c r="IG227" s="91">
        <f t="shared" si="1482"/>
        <v>0</v>
      </c>
      <c r="IH227" s="91">
        <f t="shared" si="1483"/>
        <v>0</v>
      </c>
      <c r="IW227" s="91">
        <f t="shared" si="1484"/>
        <v>0</v>
      </c>
      <c r="IX227" s="91">
        <f t="shared" si="1485"/>
        <v>0</v>
      </c>
      <c r="JM227" s="91">
        <f t="shared" si="1486"/>
        <v>0</v>
      </c>
      <c r="JN227" s="91">
        <f t="shared" si="1487"/>
        <v>0</v>
      </c>
      <c r="KC227" s="91">
        <f t="shared" si="1488"/>
        <v>0</v>
      </c>
      <c r="KD227" s="91">
        <f t="shared" si="1489"/>
        <v>0</v>
      </c>
      <c r="KS227" s="91">
        <f t="shared" si="1490"/>
        <v>0</v>
      </c>
      <c r="KT227" s="91">
        <f t="shared" si="1491"/>
        <v>0</v>
      </c>
      <c r="LI227" s="91">
        <f t="shared" si="1492"/>
        <v>0</v>
      </c>
      <c r="LJ227" s="91">
        <f t="shared" si="1493"/>
        <v>0</v>
      </c>
      <c r="LY227" s="91">
        <f t="shared" si="1494"/>
        <v>0</v>
      </c>
      <c r="LZ227" s="91">
        <f t="shared" si="1495"/>
        <v>0</v>
      </c>
      <c r="MO227" s="91">
        <f t="shared" si="1496"/>
        <v>0</v>
      </c>
      <c r="MP227" s="91">
        <f t="shared" si="1497"/>
        <v>0</v>
      </c>
      <c r="NE227" s="91">
        <f t="shared" si="1498"/>
        <v>0</v>
      </c>
      <c r="NF227" s="91">
        <f t="shared" si="1499"/>
        <v>0</v>
      </c>
      <c r="NU227" s="91">
        <f t="shared" si="1500"/>
        <v>0</v>
      </c>
      <c r="NV227" s="91">
        <f t="shared" si="1501"/>
        <v>0</v>
      </c>
      <c r="OK227" s="91">
        <f t="shared" si="1502"/>
        <v>0</v>
      </c>
      <c r="OL227" s="91">
        <f t="shared" si="1503"/>
        <v>0</v>
      </c>
      <c r="PA227" s="91">
        <f t="shared" si="1504"/>
        <v>0</v>
      </c>
      <c r="PB227" s="91">
        <f t="shared" si="1505"/>
        <v>0</v>
      </c>
      <c r="PQ227" s="91">
        <f t="shared" si="1506"/>
        <v>0</v>
      </c>
      <c r="PR227" s="91">
        <f t="shared" si="1507"/>
        <v>0</v>
      </c>
      <c r="QG227" s="91">
        <f t="shared" si="1508"/>
        <v>0</v>
      </c>
      <c r="QH227" s="91">
        <f t="shared" si="1509"/>
        <v>0</v>
      </c>
      <c r="QW227" s="91">
        <f t="shared" si="1510"/>
        <v>0</v>
      </c>
      <c r="QX227" s="91">
        <f t="shared" si="1511"/>
        <v>0</v>
      </c>
      <c r="RM227" s="91">
        <f t="shared" si="1512"/>
        <v>0</v>
      </c>
      <c r="RN227" s="91">
        <f t="shared" si="1513"/>
        <v>0</v>
      </c>
      <c r="SC227" s="91">
        <f t="shared" si="1514"/>
        <v>0</v>
      </c>
      <c r="SD227" s="91">
        <f t="shared" si="1515"/>
        <v>0</v>
      </c>
      <c r="SS227" s="91">
        <f t="shared" si="1516"/>
        <v>0</v>
      </c>
      <c r="ST227" s="91">
        <f t="shared" si="1517"/>
        <v>0</v>
      </c>
      <c r="TI227" s="91">
        <f t="shared" si="1518"/>
        <v>0</v>
      </c>
      <c r="TJ227" s="91">
        <f t="shared" si="1519"/>
        <v>0</v>
      </c>
      <c r="TY227" s="91">
        <f t="shared" si="1520"/>
        <v>0</v>
      </c>
      <c r="TZ227" s="91">
        <f t="shared" si="1521"/>
        <v>0</v>
      </c>
      <c r="UO227" s="91">
        <f t="shared" si="1522"/>
        <v>0</v>
      </c>
      <c r="UP227" s="91">
        <f t="shared" si="1523"/>
        <v>0</v>
      </c>
      <c r="VE227" s="91">
        <f t="shared" si="1524"/>
        <v>0</v>
      </c>
      <c r="VF227" s="91">
        <f t="shared" si="1525"/>
        <v>0</v>
      </c>
      <c r="VU227" s="91">
        <f t="shared" si="1526"/>
        <v>0</v>
      </c>
      <c r="VV227" s="91">
        <f t="shared" si="1527"/>
        <v>0</v>
      </c>
      <c r="WK227" s="91">
        <f t="shared" si="1528"/>
        <v>0</v>
      </c>
      <c r="WL227" s="91">
        <f t="shared" si="1529"/>
        <v>0</v>
      </c>
      <c r="WM227" s="89"/>
      <c r="WN227" s="87">
        <f t="shared" si="1530"/>
        <v>0</v>
      </c>
      <c r="WO227" s="87">
        <f t="shared" si="1531"/>
        <v>0</v>
      </c>
      <c r="WP227" s="87">
        <f t="shared" si="1532"/>
        <v>0</v>
      </c>
      <c r="WQ227" s="87">
        <f t="shared" si="1533"/>
        <v>0</v>
      </c>
      <c r="WR227" s="87">
        <f t="shared" si="1534"/>
        <v>0</v>
      </c>
      <c r="WS227" s="87">
        <f t="shared" si="1535"/>
        <v>0</v>
      </c>
      <c r="WT227" s="87">
        <f t="shared" si="1536"/>
        <v>0</v>
      </c>
      <c r="WU227" s="87">
        <f t="shared" si="1537"/>
        <v>0</v>
      </c>
      <c r="WV227" s="87">
        <f t="shared" si="1538"/>
        <v>0</v>
      </c>
      <c r="WW227" s="87">
        <f t="shared" si="1539"/>
        <v>0</v>
      </c>
      <c r="WX227" s="87">
        <f t="shared" si="1540"/>
        <v>0</v>
      </c>
      <c r="WY227" s="87">
        <f t="shared" si="1541"/>
        <v>0</v>
      </c>
      <c r="WZ227" s="87">
        <f t="shared" ref="WZ227:WZ240" si="1550">SUMIF($C$5:$WL$5,$WZ$5,C227:WL227)</f>
        <v>0</v>
      </c>
      <c r="XA227" s="87">
        <f t="shared" ref="XA227:XA240" si="1551">SUMIF($C$5:$WL$5,$XA$5,C227:WL227)</f>
        <v>0</v>
      </c>
      <c r="XB227" s="92">
        <f t="shared" ref="XB227:XB240" si="1552">SUMIF($WN$12:$XA$12,$XB$12,WN227:XA227)</f>
        <v>0</v>
      </c>
      <c r="XC227" s="92">
        <f t="shared" ref="XC227:XC240" si="1553">SUMIF($WN$12:$XA$12,$XC$12,WN227:XA227)</f>
        <v>0</v>
      </c>
      <c r="XD227" s="89"/>
      <c r="XE227" s="92"/>
      <c r="XF227" s="92"/>
      <c r="XG227" s="89"/>
      <c r="XH227" s="92"/>
      <c r="XI227" s="92"/>
      <c r="XJ227" s="89"/>
      <c r="XK227" s="87"/>
      <c r="XL227" s="87"/>
      <c r="XM227" s="87"/>
      <c r="XN227" s="87"/>
      <c r="XO227" s="87"/>
      <c r="XP227" s="87"/>
      <c r="XQ227" s="87"/>
      <c r="XR227" s="92">
        <f t="shared" ca="1" si="1546"/>
        <v>0</v>
      </c>
      <c r="XS227" s="89"/>
      <c r="XT227" s="87"/>
      <c r="XU227" s="87"/>
      <c r="XV227" s="87"/>
      <c r="XW227" s="87"/>
      <c r="XX227" s="87"/>
      <c r="XY227" s="87"/>
      <c r="XZ227" s="87"/>
      <c r="YA227" s="92">
        <f t="shared" ca="1" si="1547"/>
        <v>0</v>
      </c>
      <c r="YB227" s="90"/>
      <c r="YC227" s="90"/>
      <c r="YD227" s="90"/>
      <c r="YE227" s="90"/>
      <c r="YF227" s="90"/>
      <c r="YG227" s="90"/>
      <c r="YH227" s="90"/>
      <c r="YI227" s="90"/>
      <c r="YJ227" s="90"/>
      <c r="YK227" s="90"/>
      <c r="YL227" s="90"/>
      <c r="YM227" s="90"/>
      <c r="YN227" s="90"/>
      <c r="YO227" s="90"/>
      <c r="YP227" s="90"/>
      <c r="YQ227" s="90"/>
      <c r="YR227" s="90"/>
      <c r="YS227" s="90"/>
      <c r="YT227" s="90"/>
      <c r="YU227" s="90"/>
      <c r="YV227" s="90"/>
      <c r="YW227" s="90"/>
      <c r="YX227" s="90"/>
      <c r="YY227" s="90"/>
      <c r="YZ227" s="90"/>
      <c r="ZA227" s="90"/>
      <c r="ZB227" s="90"/>
      <c r="ZC227" s="90"/>
      <c r="ZD227" s="90"/>
      <c r="ZE227" s="90"/>
      <c r="ZF227" s="90"/>
      <c r="ZG227" s="90"/>
      <c r="ZH227" s="90"/>
      <c r="ZI227" s="90"/>
      <c r="ZJ227" s="90"/>
      <c r="ZK227" s="90"/>
      <c r="ZL227" s="90"/>
      <c r="ZM227" s="90"/>
      <c r="ZN227" s="90"/>
      <c r="ZO227" s="90"/>
      <c r="ZP227" s="90"/>
      <c r="ZQ227" s="90"/>
      <c r="ZR227" s="90"/>
      <c r="ZS227" s="90"/>
      <c r="ZT227" s="90"/>
      <c r="ZU227" s="90"/>
      <c r="ZV227" s="90"/>
      <c r="ZW227" s="90"/>
      <c r="ZX227" s="90"/>
      <c r="ZY227" s="90"/>
      <c r="ZZ227" s="90"/>
      <c r="AAA227" s="90"/>
      <c r="AAB227" s="90"/>
      <c r="AAC227" s="90"/>
      <c r="AAD227" s="90"/>
      <c r="AAE227" s="90"/>
      <c r="AAF227" s="90"/>
      <c r="AAG227" s="90"/>
      <c r="AAH227" s="90"/>
      <c r="AAI227" s="90"/>
      <c r="AAJ227" s="90"/>
      <c r="AAK227" s="90"/>
      <c r="AAL227" s="90"/>
      <c r="AAM227" s="90"/>
      <c r="AAN227" s="90"/>
      <c r="AAO227" s="90"/>
      <c r="AAP227" s="90"/>
      <c r="AAQ227" s="90"/>
      <c r="AAR227" s="90"/>
      <c r="AAS227" s="90"/>
      <c r="AAT227" s="90"/>
      <c r="AAU227" s="90"/>
      <c r="AAV227" s="90"/>
      <c r="AAW227" s="90"/>
      <c r="AAX227" s="90"/>
      <c r="AAY227" s="90"/>
      <c r="AAZ227" s="90"/>
      <c r="ABA227" s="90"/>
      <c r="ABB227" s="90"/>
      <c r="ABC227" s="90"/>
      <c r="ABD227" s="90"/>
      <c r="ABE227" s="90"/>
      <c r="ABF227" s="90"/>
      <c r="ABG227" s="90"/>
      <c r="ABH227" s="90"/>
      <c r="ABI227" s="90"/>
      <c r="ABJ227" s="90"/>
      <c r="ABK227" s="90"/>
      <c r="ABL227" s="90"/>
      <c r="ABM227" s="90"/>
      <c r="ABN227" s="90"/>
      <c r="ABO227" s="90"/>
      <c r="ABP227" s="90"/>
      <c r="ABQ227" s="90"/>
      <c r="ABR227" s="90"/>
      <c r="ABS227" s="90"/>
      <c r="ABT227" s="90"/>
      <c r="ABU227" s="90"/>
      <c r="ABV227" s="90"/>
      <c r="ABW227" s="90"/>
      <c r="ABX227" s="90"/>
      <c r="ABY227" s="90"/>
      <c r="ABZ227" s="90"/>
      <c r="ACA227" s="90"/>
      <c r="ACB227" s="90"/>
      <c r="ACC227" s="90"/>
      <c r="ACD227" s="90"/>
      <c r="ACE227" s="90"/>
      <c r="ACF227" s="90"/>
      <c r="ACG227" s="90"/>
      <c r="ACH227" s="90"/>
      <c r="ACI227" s="90"/>
      <c r="ACJ227" s="90"/>
      <c r="ACK227" s="90"/>
      <c r="ACL227" s="90"/>
      <c r="ACM227" s="90"/>
      <c r="ACN227" s="90"/>
      <c r="ACO227" s="90"/>
      <c r="ACP227" s="90"/>
      <c r="ACQ227" s="90"/>
      <c r="ACR227" s="90"/>
      <c r="ACS227" s="90"/>
      <c r="ACT227" s="90"/>
      <c r="ACU227" s="90"/>
      <c r="ACV227" s="90"/>
      <c r="ACW227" s="90"/>
      <c r="ACX227" s="90"/>
      <c r="ACY227" s="90"/>
      <c r="ACZ227" s="90"/>
      <c r="ADA227" s="90"/>
      <c r="ADB227" s="90"/>
      <c r="ADC227" s="90"/>
      <c r="ADD227" s="90"/>
      <c r="ADE227" s="90"/>
      <c r="ADF227" s="90"/>
      <c r="ADG227" s="90"/>
      <c r="ADH227" s="90"/>
      <c r="ADI227" s="90"/>
      <c r="ADJ227" s="90"/>
      <c r="ADK227" s="90"/>
      <c r="ADL227" s="90"/>
      <c r="ADM227" s="90"/>
      <c r="ADN227" s="90"/>
      <c r="ADO227" s="90"/>
      <c r="ADP227" s="90"/>
      <c r="ADQ227" s="90"/>
      <c r="ADR227" s="90"/>
      <c r="ADS227" s="90"/>
      <c r="ADT227" s="90"/>
      <c r="ADU227" s="90"/>
      <c r="ADV227" s="90"/>
      <c r="ADW227" s="90"/>
      <c r="ADX227" s="90"/>
      <c r="ADY227" s="90"/>
      <c r="ADZ227" s="90"/>
      <c r="AEA227" s="90"/>
      <c r="AEB227" s="90"/>
      <c r="AEC227" s="90"/>
      <c r="AED227" s="90"/>
      <c r="AEE227" s="90"/>
      <c r="AEF227" s="90"/>
      <c r="AEG227" s="90"/>
      <c r="AEH227" s="90"/>
      <c r="AEI227" s="90"/>
      <c r="AEJ227" s="90"/>
      <c r="AEK227" s="90"/>
      <c r="AEL227" s="90"/>
      <c r="AEM227" s="90"/>
      <c r="AEN227" s="90"/>
      <c r="AEO227" s="90"/>
      <c r="AEP227" s="90"/>
      <c r="AEQ227" s="90"/>
      <c r="AER227" s="90"/>
      <c r="AES227" s="90"/>
      <c r="AET227" s="90"/>
      <c r="AEU227" s="90"/>
      <c r="AEV227" s="90"/>
      <c r="AEW227" s="90"/>
      <c r="AEX227" s="90"/>
      <c r="AEY227" s="90"/>
      <c r="AEZ227" s="90"/>
      <c r="AFA227" s="90"/>
      <c r="AFB227" s="90"/>
      <c r="AFC227" s="90"/>
      <c r="AFD227" s="90"/>
      <c r="AFE227" s="90"/>
      <c r="AFF227" s="90"/>
      <c r="AFG227" s="90"/>
      <c r="AFH227" s="90"/>
      <c r="AFI227" s="90"/>
      <c r="AFJ227" s="90"/>
      <c r="AFK227" s="90"/>
      <c r="AFL227" s="90"/>
      <c r="AFM227" s="90"/>
      <c r="AFN227" s="90"/>
      <c r="AFO227" s="90"/>
      <c r="AFP227" s="90"/>
      <c r="AFQ227" s="90"/>
      <c r="AFR227" s="90"/>
      <c r="AFS227" s="90"/>
      <c r="AFT227" s="90"/>
      <c r="AFU227" s="90"/>
      <c r="AFV227" s="90"/>
      <c r="AFW227" s="90"/>
      <c r="AFX227" s="90"/>
      <c r="AFY227" s="90"/>
      <c r="AFZ227" s="90"/>
      <c r="AGA227" s="90"/>
      <c r="AGB227" s="90"/>
      <c r="AGC227" s="90"/>
      <c r="AGD227" s="90"/>
      <c r="AGE227" s="90"/>
      <c r="AGF227" s="90"/>
      <c r="AGG227" s="90"/>
      <c r="AGH227" s="90"/>
      <c r="AGI227" s="90"/>
      <c r="AGJ227" s="90"/>
      <c r="AGK227" s="90"/>
      <c r="AGL227" s="90"/>
      <c r="AGM227" s="90"/>
      <c r="AGN227" s="90"/>
      <c r="AGO227" s="90"/>
      <c r="AGP227" s="90"/>
      <c r="AGQ227" s="90"/>
      <c r="AGR227" s="90"/>
      <c r="AGS227" s="90"/>
      <c r="AGT227" s="90"/>
      <c r="AGU227" s="90"/>
      <c r="AGV227" s="90"/>
      <c r="AGW227" s="90"/>
      <c r="AGX227" s="90"/>
      <c r="AGY227" s="90"/>
      <c r="AGZ227" s="90"/>
      <c r="AHA227" s="90"/>
      <c r="AHB227" s="90"/>
      <c r="AHC227" s="90"/>
      <c r="AHD227" s="90"/>
      <c r="AHE227" s="90"/>
      <c r="AHF227" s="90"/>
      <c r="AHG227" s="90"/>
      <c r="AHH227" s="90"/>
      <c r="AHI227" s="90"/>
      <c r="AHJ227" s="90"/>
      <c r="AHK227" s="90"/>
      <c r="AHL227" s="90"/>
      <c r="AHM227" s="90"/>
      <c r="AHN227" s="90"/>
      <c r="AHO227" s="90"/>
      <c r="AHP227" s="90"/>
      <c r="AHQ227" s="90"/>
      <c r="AHR227" s="90"/>
      <c r="AHS227" s="90"/>
      <c r="AHT227" s="90"/>
      <c r="AHU227" s="90"/>
      <c r="AHV227" s="90"/>
      <c r="AHW227" s="90"/>
      <c r="AHX227" s="90"/>
      <c r="AHY227" s="90"/>
      <c r="AHZ227" s="90"/>
      <c r="AIA227" s="90"/>
      <c r="AIB227" s="90"/>
      <c r="AIC227" s="90"/>
      <c r="AID227" s="90"/>
      <c r="AIE227" s="90"/>
      <c r="AIF227" s="90"/>
      <c r="AIG227" s="90"/>
      <c r="AIH227" s="90"/>
      <c r="AII227" s="90"/>
      <c r="AIJ227" s="90"/>
      <c r="AIK227" s="90"/>
      <c r="AIL227" s="90"/>
      <c r="AIM227" s="90"/>
      <c r="AIN227" s="90"/>
      <c r="AIO227" s="90"/>
      <c r="AIP227" s="90"/>
      <c r="AIQ227" s="90"/>
      <c r="AIR227" s="90"/>
      <c r="AIS227" s="90"/>
      <c r="AIT227" s="90"/>
      <c r="AIU227" s="90"/>
      <c r="AIV227" s="90"/>
      <c r="AIW227" s="90"/>
      <c r="AIX227" s="90"/>
      <c r="AIY227" s="90"/>
      <c r="AIZ227" s="90"/>
      <c r="AJA227" s="90"/>
      <c r="AJB227" s="90"/>
      <c r="AJC227" s="90"/>
      <c r="AJD227" s="90"/>
      <c r="AJE227" s="90"/>
      <c r="AJF227" s="90"/>
      <c r="AJG227" s="90"/>
      <c r="AJH227" s="90"/>
      <c r="AJI227" s="90"/>
      <c r="AJJ227" s="90"/>
      <c r="AJK227" s="90"/>
      <c r="AJL227" s="90"/>
      <c r="AJM227" s="90"/>
      <c r="AJN227" s="90"/>
      <c r="AJO227" s="90"/>
      <c r="AJP227" s="90"/>
      <c r="AJQ227" s="90"/>
      <c r="AJR227" s="90"/>
      <c r="AJS227" s="90"/>
      <c r="AJT227" s="90"/>
      <c r="AJU227" s="90"/>
      <c r="AJV227" s="90"/>
      <c r="AJW227" s="90"/>
      <c r="AJX227" s="90"/>
      <c r="AJY227" s="90"/>
      <c r="AJZ227" s="90"/>
      <c r="AKA227" s="90"/>
      <c r="AKB227" s="90"/>
      <c r="AKC227" s="90"/>
      <c r="AKD227" s="90"/>
      <c r="AKE227" s="90"/>
      <c r="AKF227" s="90"/>
      <c r="AKG227" s="90"/>
      <c r="AKH227" s="90"/>
      <c r="AKI227" s="90"/>
      <c r="AKJ227" s="90"/>
      <c r="AKK227" s="90"/>
      <c r="AKL227" s="90"/>
      <c r="AKM227" s="90"/>
      <c r="AKN227" s="90"/>
      <c r="AKO227" s="90"/>
      <c r="AKP227" s="90"/>
      <c r="AKQ227" s="90"/>
      <c r="AKR227" s="90"/>
      <c r="AKS227" s="90"/>
      <c r="AKT227" s="90"/>
      <c r="AKU227" s="90"/>
      <c r="AKV227" s="90"/>
      <c r="AKW227" s="90"/>
      <c r="AKX227" s="90"/>
      <c r="AKY227" s="90"/>
      <c r="AKZ227" s="90"/>
      <c r="ALA227" s="90"/>
      <c r="ALB227" s="90"/>
      <c r="ALC227" s="90"/>
      <c r="ALD227" s="90"/>
      <c r="ALE227" s="90"/>
      <c r="ALF227" s="90"/>
      <c r="ALG227" s="90"/>
      <c r="ALH227" s="90"/>
      <c r="ALI227" s="90"/>
      <c r="ALJ227" s="90"/>
      <c r="ALK227" s="90"/>
      <c r="ALL227" s="90"/>
      <c r="ALM227" s="90"/>
      <c r="ALN227" s="90"/>
      <c r="ALO227" s="90"/>
      <c r="ALP227" s="90"/>
      <c r="ALQ227" s="90"/>
      <c r="ALR227" s="90"/>
      <c r="ALS227" s="90"/>
      <c r="ALT227" s="90"/>
      <c r="ALU227" s="90"/>
      <c r="ALV227" s="90"/>
      <c r="ALW227" s="90"/>
      <c r="ALX227" s="90"/>
      <c r="ALY227" s="90"/>
      <c r="ALZ227" s="90"/>
      <c r="AMA227" s="90"/>
      <c r="AMB227" s="90"/>
      <c r="AMC227" s="90"/>
    </row>
    <row r="228" spans="1:1017">
      <c r="A228" s="98" t="s">
        <v>50</v>
      </c>
      <c r="B228" s="90" t="str">
        <f t="shared" si="1453"/>
        <v>Udang Putih</v>
      </c>
      <c r="E228" s="98">
        <v>105300</v>
      </c>
      <c r="F228" s="98">
        <v>4212000</v>
      </c>
      <c r="Q228" s="91">
        <f t="shared" si="1454"/>
        <v>105300</v>
      </c>
      <c r="R228" s="91">
        <f t="shared" si="1455"/>
        <v>4212000</v>
      </c>
      <c r="AG228" s="91">
        <f t="shared" si="1456"/>
        <v>0</v>
      </c>
      <c r="AH228" s="91">
        <f t="shared" si="1457"/>
        <v>0</v>
      </c>
      <c r="AW228" s="91">
        <f t="shared" si="1458"/>
        <v>0</v>
      </c>
      <c r="AX228" s="91">
        <f t="shared" si="1459"/>
        <v>0</v>
      </c>
      <c r="BM228" s="91">
        <f t="shared" si="1460"/>
        <v>0</v>
      </c>
      <c r="BN228" s="91">
        <f t="shared" si="1461"/>
        <v>0</v>
      </c>
      <c r="CC228" s="91">
        <f t="shared" si="1462"/>
        <v>0</v>
      </c>
      <c r="CD228" s="91">
        <f t="shared" si="1463"/>
        <v>0</v>
      </c>
      <c r="CS228" s="91">
        <f t="shared" si="1548"/>
        <v>0</v>
      </c>
      <c r="CT228" s="91">
        <f t="shared" si="1549"/>
        <v>0</v>
      </c>
      <c r="DI228" s="91">
        <f t="shared" si="1466"/>
        <v>0</v>
      </c>
      <c r="DJ228" s="91">
        <f t="shared" si="1467"/>
        <v>0</v>
      </c>
      <c r="DY228" s="91">
        <f t="shared" si="1468"/>
        <v>0</v>
      </c>
      <c r="DZ228" s="91">
        <f t="shared" si="1469"/>
        <v>0</v>
      </c>
      <c r="EO228" s="91">
        <f t="shared" si="1470"/>
        <v>0</v>
      </c>
      <c r="EP228" s="91">
        <f t="shared" si="1471"/>
        <v>0</v>
      </c>
      <c r="FE228" s="91">
        <f t="shared" si="1472"/>
        <v>0</v>
      </c>
      <c r="FF228" s="91">
        <f t="shared" si="1473"/>
        <v>0</v>
      </c>
      <c r="FU228" s="91">
        <f t="shared" si="1474"/>
        <v>0</v>
      </c>
      <c r="FV228" s="91">
        <f t="shared" si="1475"/>
        <v>0</v>
      </c>
      <c r="GK228" s="91">
        <f t="shared" si="1476"/>
        <v>0</v>
      </c>
      <c r="GL228" s="91">
        <f t="shared" si="1477"/>
        <v>0</v>
      </c>
      <c r="HA228" s="91">
        <f t="shared" si="1478"/>
        <v>0</v>
      </c>
      <c r="HB228" s="91">
        <f t="shared" si="1479"/>
        <v>0</v>
      </c>
      <c r="HQ228" s="91">
        <f t="shared" si="1480"/>
        <v>0</v>
      </c>
      <c r="HR228" s="91">
        <f t="shared" si="1481"/>
        <v>0</v>
      </c>
      <c r="IG228" s="91">
        <f t="shared" si="1482"/>
        <v>0</v>
      </c>
      <c r="IH228" s="91">
        <f t="shared" si="1483"/>
        <v>0</v>
      </c>
      <c r="IW228" s="91">
        <f t="shared" si="1484"/>
        <v>0</v>
      </c>
      <c r="IX228" s="91">
        <f t="shared" si="1485"/>
        <v>0</v>
      </c>
      <c r="JM228" s="91">
        <f t="shared" si="1486"/>
        <v>0</v>
      </c>
      <c r="JN228" s="91">
        <f t="shared" si="1487"/>
        <v>0</v>
      </c>
      <c r="KC228" s="91">
        <f t="shared" si="1488"/>
        <v>0</v>
      </c>
      <c r="KD228" s="91">
        <f t="shared" si="1489"/>
        <v>0</v>
      </c>
      <c r="KS228" s="91">
        <f t="shared" si="1490"/>
        <v>0</v>
      </c>
      <c r="KT228" s="91">
        <f t="shared" si="1491"/>
        <v>0</v>
      </c>
      <c r="LI228" s="91">
        <f t="shared" si="1492"/>
        <v>0</v>
      </c>
      <c r="LJ228" s="91">
        <f t="shared" si="1493"/>
        <v>0</v>
      </c>
      <c r="LY228" s="91">
        <f t="shared" si="1494"/>
        <v>0</v>
      </c>
      <c r="LZ228" s="91">
        <f t="shared" si="1495"/>
        <v>0</v>
      </c>
      <c r="MC228" s="98">
        <v>7600</v>
      </c>
      <c r="MD228" s="98">
        <v>304000</v>
      </c>
      <c r="MO228" s="91">
        <f t="shared" si="1496"/>
        <v>7600</v>
      </c>
      <c r="MP228" s="91">
        <f t="shared" si="1497"/>
        <v>304000</v>
      </c>
      <c r="NE228" s="91">
        <f t="shared" si="1498"/>
        <v>0</v>
      </c>
      <c r="NF228" s="91">
        <f t="shared" si="1499"/>
        <v>0</v>
      </c>
      <c r="NI228" s="98">
        <v>95400</v>
      </c>
      <c r="NJ228" s="98">
        <v>4293000</v>
      </c>
      <c r="NU228" s="91">
        <f t="shared" si="1500"/>
        <v>95400</v>
      </c>
      <c r="NV228" s="91">
        <f t="shared" si="1501"/>
        <v>4293000</v>
      </c>
      <c r="OK228" s="91">
        <f t="shared" si="1502"/>
        <v>0</v>
      </c>
      <c r="OL228" s="91">
        <f t="shared" si="1503"/>
        <v>0</v>
      </c>
      <c r="PA228" s="91">
        <f t="shared" si="1504"/>
        <v>0</v>
      </c>
      <c r="PB228" s="91">
        <f t="shared" si="1505"/>
        <v>0</v>
      </c>
      <c r="PQ228" s="91">
        <f t="shared" si="1506"/>
        <v>0</v>
      </c>
      <c r="PR228" s="91">
        <f t="shared" si="1507"/>
        <v>0</v>
      </c>
      <c r="QG228" s="91">
        <f t="shared" si="1508"/>
        <v>0</v>
      </c>
      <c r="QH228" s="91">
        <f t="shared" si="1509"/>
        <v>0</v>
      </c>
      <c r="QW228" s="91">
        <f t="shared" si="1510"/>
        <v>0</v>
      </c>
      <c r="QX228" s="91">
        <f t="shared" si="1511"/>
        <v>0</v>
      </c>
      <c r="RM228" s="91">
        <f t="shared" si="1512"/>
        <v>0</v>
      </c>
      <c r="RN228" s="91">
        <f t="shared" si="1513"/>
        <v>0</v>
      </c>
      <c r="SC228" s="91">
        <f t="shared" si="1514"/>
        <v>0</v>
      </c>
      <c r="SD228" s="91">
        <f t="shared" si="1515"/>
        <v>0</v>
      </c>
      <c r="SS228" s="91">
        <f t="shared" si="1516"/>
        <v>0</v>
      </c>
      <c r="ST228" s="91">
        <f t="shared" si="1517"/>
        <v>0</v>
      </c>
      <c r="TI228" s="91">
        <f t="shared" si="1518"/>
        <v>0</v>
      </c>
      <c r="TJ228" s="91">
        <f t="shared" si="1519"/>
        <v>0</v>
      </c>
      <c r="TY228" s="91">
        <f t="shared" si="1520"/>
        <v>0</v>
      </c>
      <c r="TZ228" s="91">
        <f t="shared" si="1521"/>
        <v>0</v>
      </c>
      <c r="UO228" s="91">
        <f t="shared" si="1522"/>
        <v>0</v>
      </c>
      <c r="UP228" s="91">
        <f t="shared" si="1523"/>
        <v>0</v>
      </c>
      <c r="VE228" s="91">
        <f t="shared" si="1524"/>
        <v>0</v>
      </c>
      <c r="VF228" s="91">
        <f t="shared" si="1525"/>
        <v>0</v>
      </c>
      <c r="VI228" s="98">
        <v>263</v>
      </c>
      <c r="VJ228" s="98">
        <v>13150</v>
      </c>
      <c r="VU228" s="91">
        <f t="shared" si="1526"/>
        <v>263</v>
      </c>
      <c r="VV228" s="91">
        <f t="shared" si="1527"/>
        <v>13150</v>
      </c>
      <c r="WK228" s="91">
        <f t="shared" si="1528"/>
        <v>0</v>
      </c>
      <c r="WL228" s="91">
        <f t="shared" si="1529"/>
        <v>0</v>
      </c>
      <c r="WM228" s="89"/>
      <c r="WN228" s="87">
        <f t="shared" si="1530"/>
        <v>0</v>
      </c>
      <c r="WO228" s="87">
        <f t="shared" si="1531"/>
        <v>0</v>
      </c>
      <c r="WP228" s="87">
        <f t="shared" si="1532"/>
        <v>208563</v>
      </c>
      <c r="WQ228" s="87">
        <f t="shared" si="1533"/>
        <v>8822150</v>
      </c>
      <c r="WR228" s="87">
        <f t="shared" si="1534"/>
        <v>0</v>
      </c>
      <c r="WS228" s="87">
        <f t="shared" si="1535"/>
        <v>0</v>
      </c>
      <c r="WT228" s="87">
        <f t="shared" si="1536"/>
        <v>0</v>
      </c>
      <c r="WU228" s="87">
        <f t="shared" si="1537"/>
        <v>0</v>
      </c>
      <c r="WV228" s="87">
        <f t="shared" si="1538"/>
        <v>0</v>
      </c>
      <c r="WW228" s="87">
        <f t="shared" si="1539"/>
        <v>0</v>
      </c>
      <c r="WX228" s="87">
        <f t="shared" si="1540"/>
        <v>0</v>
      </c>
      <c r="WY228" s="87">
        <f t="shared" si="1541"/>
        <v>0</v>
      </c>
      <c r="WZ228" s="87">
        <f t="shared" si="1550"/>
        <v>0</v>
      </c>
      <c r="XA228" s="87">
        <f t="shared" si="1551"/>
        <v>0</v>
      </c>
      <c r="XB228" s="92">
        <f t="shared" si="1552"/>
        <v>208563</v>
      </c>
      <c r="XC228" s="92">
        <f t="shared" si="1553"/>
        <v>8822150</v>
      </c>
      <c r="XD228" s="89"/>
      <c r="XE228" s="92"/>
      <c r="XF228" s="92"/>
      <c r="XG228" s="89"/>
      <c r="XH228" s="92"/>
      <c r="XI228" s="92"/>
      <c r="XJ228" s="89"/>
      <c r="XK228" s="87"/>
      <c r="XL228" s="87"/>
      <c r="XM228" s="87"/>
      <c r="XN228" s="87"/>
      <c r="XO228" s="87"/>
      <c r="XP228" s="87"/>
      <c r="XQ228" s="87"/>
      <c r="XR228" s="92">
        <f t="shared" ca="1" si="1546"/>
        <v>0</v>
      </c>
      <c r="XS228" s="89"/>
      <c r="XT228" s="87"/>
      <c r="XU228" s="87"/>
      <c r="XV228" s="87"/>
      <c r="XW228" s="87"/>
      <c r="XX228" s="87"/>
      <c r="XY228" s="87"/>
      <c r="XZ228" s="87"/>
      <c r="YA228" s="92">
        <f t="shared" ca="1" si="1547"/>
        <v>0</v>
      </c>
      <c r="YB228" s="90"/>
      <c r="YC228" s="90"/>
      <c r="YD228" s="90"/>
      <c r="YE228" s="90"/>
      <c r="YF228" s="90"/>
      <c r="YG228" s="90"/>
      <c r="YH228" s="90"/>
      <c r="YI228" s="90"/>
      <c r="YJ228" s="90"/>
      <c r="YK228" s="90"/>
      <c r="YL228" s="90"/>
      <c r="YM228" s="90"/>
      <c r="YN228" s="90"/>
      <c r="YO228" s="90"/>
      <c r="YP228" s="90"/>
      <c r="YQ228" s="90"/>
      <c r="YR228" s="90"/>
      <c r="YS228" s="90"/>
      <c r="YT228" s="90"/>
      <c r="YU228" s="90"/>
      <c r="YV228" s="90"/>
      <c r="YW228" s="90"/>
      <c r="YX228" s="90"/>
      <c r="YY228" s="90"/>
      <c r="YZ228" s="90"/>
      <c r="ZA228" s="90"/>
      <c r="ZB228" s="90"/>
      <c r="ZC228" s="90"/>
      <c r="ZD228" s="90"/>
      <c r="ZE228" s="90"/>
      <c r="ZF228" s="90"/>
      <c r="ZG228" s="90"/>
      <c r="ZH228" s="90"/>
      <c r="ZI228" s="90"/>
      <c r="ZJ228" s="90"/>
      <c r="ZK228" s="90"/>
      <c r="ZL228" s="90"/>
      <c r="ZM228" s="90"/>
      <c r="ZN228" s="90"/>
      <c r="ZO228" s="90"/>
      <c r="ZP228" s="90"/>
      <c r="ZQ228" s="90"/>
      <c r="ZR228" s="90"/>
      <c r="ZS228" s="90"/>
      <c r="ZT228" s="90"/>
      <c r="ZU228" s="90"/>
      <c r="ZV228" s="90"/>
      <c r="ZW228" s="90"/>
      <c r="ZX228" s="90"/>
      <c r="ZY228" s="90"/>
      <c r="ZZ228" s="90"/>
      <c r="AAA228" s="90"/>
      <c r="AAB228" s="90"/>
      <c r="AAC228" s="90"/>
      <c r="AAD228" s="90"/>
      <c r="AAE228" s="90"/>
      <c r="AAF228" s="90"/>
      <c r="AAG228" s="90"/>
      <c r="AAH228" s="90"/>
      <c r="AAI228" s="90"/>
      <c r="AAJ228" s="90"/>
      <c r="AAK228" s="90"/>
      <c r="AAL228" s="90"/>
      <c r="AAM228" s="90"/>
      <c r="AAN228" s="90"/>
      <c r="AAO228" s="90"/>
      <c r="AAP228" s="90"/>
      <c r="AAQ228" s="90"/>
      <c r="AAR228" s="90"/>
      <c r="AAS228" s="90"/>
      <c r="AAT228" s="90"/>
      <c r="AAU228" s="90"/>
      <c r="AAV228" s="90"/>
      <c r="AAW228" s="90"/>
      <c r="AAX228" s="90"/>
      <c r="AAY228" s="90"/>
      <c r="AAZ228" s="90"/>
      <c r="ABA228" s="90"/>
      <c r="ABB228" s="90"/>
      <c r="ABC228" s="90"/>
      <c r="ABD228" s="90"/>
      <c r="ABE228" s="90"/>
      <c r="ABF228" s="90"/>
      <c r="ABG228" s="90"/>
      <c r="ABH228" s="90"/>
      <c r="ABI228" s="90"/>
      <c r="ABJ228" s="90"/>
      <c r="ABK228" s="90"/>
      <c r="ABL228" s="90"/>
      <c r="ABM228" s="90"/>
      <c r="ABN228" s="90"/>
      <c r="ABO228" s="90"/>
      <c r="ABP228" s="90"/>
      <c r="ABQ228" s="90"/>
      <c r="ABR228" s="90"/>
      <c r="ABS228" s="90"/>
      <c r="ABT228" s="90"/>
      <c r="ABU228" s="90"/>
      <c r="ABV228" s="90"/>
      <c r="ABW228" s="90"/>
      <c r="ABX228" s="90"/>
      <c r="ABY228" s="90"/>
      <c r="ABZ228" s="90"/>
      <c r="ACA228" s="90"/>
      <c r="ACB228" s="90"/>
      <c r="ACC228" s="90"/>
      <c r="ACD228" s="90"/>
      <c r="ACE228" s="90"/>
      <c r="ACF228" s="90"/>
      <c r="ACG228" s="90"/>
      <c r="ACH228" s="90"/>
      <c r="ACI228" s="90"/>
      <c r="ACJ228" s="90"/>
      <c r="ACK228" s="90"/>
      <c r="ACL228" s="90"/>
      <c r="ACM228" s="90"/>
      <c r="ACN228" s="90"/>
      <c r="ACO228" s="90"/>
      <c r="ACP228" s="90"/>
      <c r="ACQ228" s="90"/>
      <c r="ACR228" s="90"/>
      <c r="ACS228" s="90"/>
      <c r="ACT228" s="90"/>
      <c r="ACU228" s="90"/>
      <c r="ACV228" s="90"/>
      <c r="ACW228" s="90"/>
      <c r="ACX228" s="90"/>
      <c r="ACY228" s="90"/>
      <c r="ACZ228" s="90"/>
      <c r="ADA228" s="90"/>
      <c r="ADB228" s="90"/>
      <c r="ADC228" s="90"/>
      <c r="ADD228" s="90"/>
      <c r="ADE228" s="90"/>
      <c r="ADF228" s="90"/>
      <c r="ADG228" s="90"/>
      <c r="ADH228" s="90"/>
      <c r="ADI228" s="90"/>
      <c r="ADJ228" s="90"/>
      <c r="ADK228" s="90"/>
      <c r="ADL228" s="90"/>
      <c r="ADM228" s="90"/>
      <c r="ADN228" s="90"/>
      <c r="ADO228" s="90"/>
      <c r="ADP228" s="90"/>
      <c r="ADQ228" s="90"/>
      <c r="ADR228" s="90"/>
      <c r="ADS228" s="90"/>
      <c r="ADT228" s="90"/>
      <c r="ADU228" s="90"/>
      <c r="ADV228" s="90"/>
      <c r="ADW228" s="90"/>
      <c r="ADX228" s="90"/>
      <c r="ADY228" s="90"/>
      <c r="ADZ228" s="90"/>
      <c r="AEA228" s="90"/>
      <c r="AEB228" s="90"/>
      <c r="AEC228" s="90"/>
      <c r="AED228" s="90"/>
      <c r="AEE228" s="90"/>
      <c r="AEF228" s="90"/>
      <c r="AEG228" s="90"/>
      <c r="AEH228" s="90"/>
      <c r="AEI228" s="90"/>
      <c r="AEJ228" s="90"/>
      <c r="AEK228" s="90"/>
      <c r="AEL228" s="90"/>
      <c r="AEM228" s="90"/>
      <c r="AEN228" s="90"/>
      <c r="AEO228" s="90"/>
      <c r="AEP228" s="90"/>
      <c r="AEQ228" s="90"/>
      <c r="AER228" s="90"/>
      <c r="AES228" s="90"/>
      <c r="AET228" s="90"/>
      <c r="AEU228" s="90"/>
      <c r="AEV228" s="90"/>
      <c r="AEW228" s="90"/>
      <c r="AEX228" s="90"/>
      <c r="AEY228" s="90"/>
      <c r="AEZ228" s="90"/>
      <c r="AFA228" s="90"/>
      <c r="AFB228" s="90"/>
      <c r="AFC228" s="90"/>
      <c r="AFD228" s="90"/>
      <c r="AFE228" s="90"/>
      <c r="AFF228" s="90"/>
      <c r="AFG228" s="90"/>
      <c r="AFH228" s="90"/>
      <c r="AFI228" s="90"/>
      <c r="AFJ228" s="90"/>
      <c r="AFK228" s="90"/>
      <c r="AFL228" s="90"/>
      <c r="AFM228" s="90"/>
      <c r="AFN228" s="90"/>
      <c r="AFO228" s="90"/>
      <c r="AFP228" s="90"/>
      <c r="AFQ228" s="90"/>
      <c r="AFR228" s="90"/>
      <c r="AFS228" s="90"/>
      <c r="AFT228" s="90"/>
      <c r="AFU228" s="90"/>
      <c r="AFV228" s="90"/>
      <c r="AFW228" s="90"/>
      <c r="AFX228" s="90"/>
      <c r="AFY228" s="90"/>
      <c r="AFZ228" s="90"/>
      <c r="AGA228" s="90"/>
      <c r="AGB228" s="90"/>
      <c r="AGC228" s="90"/>
      <c r="AGD228" s="90"/>
      <c r="AGE228" s="90"/>
      <c r="AGF228" s="90"/>
      <c r="AGG228" s="90"/>
      <c r="AGH228" s="90"/>
      <c r="AGI228" s="90"/>
      <c r="AGJ228" s="90"/>
      <c r="AGK228" s="90"/>
      <c r="AGL228" s="90"/>
      <c r="AGM228" s="90"/>
      <c r="AGN228" s="90"/>
      <c r="AGO228" s="90"/>
      <c r="AGP228" s="90"/>
      <c r="AGQ228" s="90"/>
      <c r="AGR228" s="90"/>
      <c r="AGS228" s="90"/>
      <c r="AGT228" s="90"/>
      <c r="AGU228" s="90"/>
      <c r="AGV228" s="90"/>
      <c r="AGW228" s="90"/>
      <c r="AGX228" s="90"/>
      <c r="AGY228" s="90"/>
      <c r="AGZ228" s="90"/>
      <c r="AHA228" s="90"/>
      <c r="AHB228" s="90"/>
      <c r="AHC228" s="90"/>
      <c r="AHD228" s="90"/>
      <c r="AHE228" s="90"/>
      <c r="AHF228" s="90"/>
      <c r="AHG228" s="90"/>
      <c r="AHH228" s="90"/>
      <c r="AHI228" s="90"/>
      <c r="AHJ228" s="90"/>
      <c r="AHK228" s="90"/>
      <c r="AHL228" s="90"/>
      <c r="AHM228" s="90"/>
      <c r="AHN228" s="90"/>
      <c r="AHO228" s="90"/>
      <c r="AHP228" s="90"/>
      <c r="AHQ228" s="90"/>
      <c r="AHR228" s="90"/>
      <c r="AHS228" s="90"/>
      <c r="AHT228" s="90"/>
      <c r="AHU228" s="90"/>
      <c r="AHV228" s="90"/>
      <c r="AHW228" s="90"/>
      <c r="AHX228" s="90"/>
      <c r="AHY228" s="90"/>
      <c r="AHZ228" s="90"/>
      <c r="AIA228" s="90"/>
      <c r="AIB228" s="90"/>
      <c r="AIC228" s="90"/>
      <c r="AID228" s="90"/>
      <c r="AIE228" s="90"/>
      <c r="AIF228" s="90"/>
      <c r="AIG228" s="90"/>
      <c r="AIH228" s="90"/>
      <c r="AII228" s="90"/>
      <c r="AIJ228" s="90"/>
      <c r="AIK228" s="90"/>
      <c r="AIL228" s="90"/>
      <c r="AIM228" s="90"/>
      <c r="AIN228" s="90"/>
      <c r="AIO228" s="90"/>
      <c r="AIP228" s="90"/>
      <c r="AIQ228" s="90"/>
      <c r="AIR228" s="90"/>
      <c r="AIS228" s="90"/>
      <c r="AIT228" s="90"/>
      <c r="AIU228" s="90"/>
      <c r="AIV228" s="90"/>
      <c r="AIW228" s="90"/>
      <c r="AIX228" s="90"/>
      <c r="AIY228" s="90"/>
      <c r="AIZ228" s="90"/>
      <c r="AJA228" s="90"/>
      <c r="AJB228" s="90"/>
      <c r="AJC228" s="90"/>
      <c r="AJD228" s="90"/>
      <c r="AJE228" s="90"/>
      <c r="AJF228" s="90"/>
      <c r="AJG228" s="90"/>
      <c r="AJH228" s="90"/>
      <c r="AJI228" s="90"/>
      <c r="AJJ228" s="90"/>
      <c r="AJK228" s="90"/>
      <c r="AJL228" s="90"/>
      <c r="AJM228" s="90"/>
      <c r="AJN228" s="90"/>
      <c r="AJO228" s="90"/>
      <c r="AJP228" s="90"/>
      <c r="AJQ228" s="90"/>
      <c r="AJR228" s="90"/>
      <c r="AJS228" s="90"/>
      <c r="AJT228" s="90"/>
      <c r="AJU228" s="90"/>
      <c r="AJV228" s="90"/>
      <c r="AJW228" s="90"/>
      <c r="AJX228" s="90"/>
      <c r="AJY228" s="90"/>
      <c r="AJZ228" s="90"/>
      <c r="AKA228" s="90"/>
      <c r="AKB228" s="90"/>
      <c r="AKC228" s="90"/>
      <c r="AKD228" s="90"/>
      <c r="AKE228" s="90"/>
      <c r="AKF228" s="90"/>
      <c r="AKG228" s="90"/>
      <c r="AKH228" s="90"/>
      <c r="AKI228" s="90"/>
      <c r="AKJ228" s="90"/>
      <c r="AKK228" s="90"/>
      <c r="AKL228" s="90"/>
      <c r="AKM228" s="90"/>
      <c r="AKN228" s="90"/>
      <c r="AKO228" s="90"/>
      <c r="AKP228" s="90"/>
      <c r="AKQ228" s="90"/>
      <c r="AKR228" s="90"/>
      <c r="AKS228" s="90"/>
      <c r="AKT228" s="90"/>
      <c r="AKU228" s="90"/>
      <c r="AKV228" s="90"/>
      <c r="AKW228" s="90"/>
      <c r="AKX228" s="90"/>
      <c r="AKY228" s="90"/>
      <c r="AKZ228" s="90"/>
      <c r="ALA228" s="90"/>
      <c r="ALB228" s="90"/>
      <c r="ALC228" s="90"/>
      <c r="ALD228" s="90"/>
      <c r="ALE228" s="90"/>
      <c r="ALF228" s="90"/>
      <c r="ALG228" s="90"/>
      <c r="ALH228" s="90"/>
      <c r="ALI228" s="90"/>
      <c r="ALJ228" s="90"/>
      <c r="ALK228" s="90"/>
      <c r="ALL228" s="90"/>
      <c r="ALM228" s="90"/>
      <c r="ALN228" s="90"/>
      <c r="ALO228" s="90"/>
      <c r="ALP228" s="90"/>
      <c r="ALQ228" s="90"/>
      <c r="ALR228" s="90"/>
      <c r="ALS228" s="90"/>
      <c r="ALT228" s="90"/>
      <c r="ALU228" s="90"/>
      <c r="ALV228" s="90"/>
      <c r="ALW228" s="90"/>
      <c r="ALX228" s="90"/>
      <c r="ALY228" s="90"/>
      <c r="ALZ228" s="90"/>
      <c r="AMA228" s="90"/>
      <c r="AMB228" s="90"/>
      <c r="AMC228" s="90"/>
    </row>
    <row r="229" spans="1:1017">
      <c r="A229" s="98" t="s">
        <v>50</v>
      </c>
      <c r="B229" s="90" t="str">
        <f t="shared" si="1453"/>
        <v xml:space="preserve">Udang Vaname </v>
      </c>
      <c r="E229" s="98">
        <v>8900</v>
      </c>
      <c r="F229" s="98">
        <v>600144.50899999996</v>
      </c>
      <c r="Q229" s="91">
        <f t="shared" si="1454"/>
        <v>8900</v>
      </c>
      <c r="R229" s="91">
        <f t="shared" si="1455"/>
        <v>600144.50899999996</v>
      </c>
      <c r="U229" s="98">
        <v>1672050</v>
      </c>
      <c r="V229" s="98">
        <v>86946600</v>
      </c>
      <c r="AG229" s="91">
        <f t="shared" si="1456"/>
        <v>1672050</v>
      </c>
      <c r="AH229" s="91">
        <f t="shared" si="1457"/>
        <v>86946600</v>
      </c>
      <c r="AK229" s="98">
        <v>36100</v>
      </c>
      <c r="AL229" s="98">
        <v>2346500</v>
      </c>
      <c r="AW229" s="91">
        <f t="shared" si="1458"/>
        <v>36100</v>
      </c>
      <c r="AX229" s="91">
        <f t="shared" si="1459"/>
        <v>2346500</v>
      </c>
      <c r="BM229" s="91">
        <f t="shared" si="1460"/>
        <v>0</v>
      </c>
      <c r="BN229" s="91">
        <f t="shared" si="1461"/>
        <v>0</v>
      </c>
      <c r="CC229" s="91">
        <f t="shared" si="1462"/>
        <v>0</v>
      </c>
      <c r="CD229" s="91">
        <f t="shared" si="1463"/>
        <v>0</v>
      </c>
      <c r="CG229" s="98">
        <v>1830376.8416460599</v>
      </c>
      <c r="CH229" s="98">
        <v>91518842.082302988</v>
      </c>
      <c r="CS229" s="91">
        <f t="shared" si="1548"/>
        <v>1830376.8416460599</v>
      </c>
      <c r="CT229" s="91">
        <f t="shared" si="1549"/>
        <v>91518842.082302988</v>
      </c>
      <c r="CW229" s="98">
        <v>288866.00000824546</v>
      </c>
      <c r="CX229" s="98">
        <v>18776290.002</v>
      </c>
      <c r="DI229" s="91">
        <f t="shared" si="1466"/>
        <v>288866.00000824546</v>
      </c>
      <c r="DJ229" s="91">
        <f t="shared" si="1467"/>
        <v>18776290.002</v>
      </c>
      <c r="DY229" s="91">
        <f t="shared" si="1468"/>
        <v>0</v>
      </c>
      <c r="DZ229" s="91">
        <f t="shared" si="1469"/>
        <v>0</v>
      </c>
      <c r="EO229" s="91">
        <f t="shared" si="1470"/>
        <v>0</v>
      </c>
      <c r="EP229" s="91">
        <f t="shared" si="1471"/>
        <v>0</v>
      </c>
      <c r="ES229" s="98">
        <v>231113</v>
      </c>
      <c r="ET229" s="98">
        <v>11093424</v>
      </c>
      <c r="EW229" s="98">
        <v>1582196</v>
      </c>
      <c r="EX229" s="98">
        <v>75945408</v>
      </c>
      <c r="FE229" s="91">
        <f t="shared" si="1472"/>
        <v>1813309</v>
      </c>
      <c r="FF229" s="91">
        <f t="shared" si="1473"/>
        <v>87038832</v>
      </c>
      <c r="FI229" s="98">
        <v>123000</v>
      </c>
      <c r="FJ229" s="98">
        <v>7380000</v>
      </c>
      <c r="FU229" s="91">
        <f t="shared" si="1474"/>
        <v>123000</v>
      </c>
      <c r="FV229" s="91">
        <f t="shared" si="1475"/>
        <v>7380000</v>
      </c>
      <c r="GK229" s="91">
        <f t="shared" si="1476"/>
        <v>0</v>
      </c>
      <c r="GL229" s="91">
        <f t="shared" si="1477"/>
        <v>0</v>
      </c>
      <c r="HA229" s="91">
        <f t="shared" si="1478"/>
        <v>0</v>
      </c>
      <c r="HB229" s="91">
        <f t="shared" si="1479"/>
        <v>0</v>
      </c>
      <c r="HE229" s="98">
        <v>110000</v>
      </c>
      <c r="HF229" s="98">
        <v>7480000</v>
      </c>
      <c r="HQ229" s="91">
        <f t="shared" si="1480"/>
        <v>110000</v>
      </c>
      <c r="HR229" s="91">
        <f t="shared" si="1481"/>
        <v>7480000</v>
      </c>
      <c r="IG229" s="91">
        <f t="shared" si="1482"/>
        <v>0</v>
      </c>
      <c r="IH229" s="91">
        <f t="shared" si="1483"/>
        <v>0</v>
      </c>
      <c r="IW229" s="91">
        <f t="shared" si="1484"/>
        <v>0</v>
      </c>
      <c r="IX229" s="91">
        <f t="shared" si="1485"/>
        <v>0</v>
      </c>
      <c r="JM229" s="91">
        <f t="shared" si="1486"/>
        <v>0</v>
      </c>
      <c r="JN229" s="91">
        <f t="shared" si="1487"/>
        <v>0</v>
      </c>
      <c r="JQ229" s="98">
        <v>113354</v>
      </c>
      <c r="JR229" s="98">
        <v>9068320</v>
      </c>
      <c r="KC229" s="91">
        <f t="shared" si="1488"/>
        <v>113354</v>
      </c>
      <c r="KD229" s="91">
        <f t="shared" si="1489"/>
        <v>9068320</v>
      </c>
      <c r="KG229" s="98">
        <v>48225</v>
      </c>
      <c r="KH229" s="98">
        <v>3375750</v>
      </c>
      <c r="KS229" s="91">
        <f t="shared" si="1490"/>
        <v>48225</v>
      </c>
      <c r="KT229" s="91">
        <f t="shared" si="1491"/>
        <v>3375750</v>
      </c>
      <c r="KW229" s="98">
        <v>26196.06</v>
      </c>
      <c r="KX229" s="98">
        <v>1440783</v>
      </c>
      <c r="LI229" s="91">
        <f t="shared" si="1492"/>
        <v>26196.06</v>
      </c>
      <c r="LJ229" s="91">
        <f t="shared" si="1493"/>
        <v>1440783</v>
      </c>
      <c r="LY229" s="91">
        <f t="shared" si="1494"/>
        <v>0</v>
      </c>
      <c r="LZ229" s="91">
        <f t="shared" si="1495"/>
        <v>0</v>
      </c>
      <c r="MC229" s="98">
        <v>1007000</v>
      </c>
      <c r="MD229" s="98">
        <v>60420000</v>
      </c>
      <c r="MO229" s="91">
        <f t="shared" si="1496"/>
        <v>1007000</v>
      </c>
      <c r="MP229" s="91">
        <f t="shared" si="1497"/>
        <v>60420000</v>
      </c>
      <c r="MS229" s="98">
        <v>95900</v>
      </c>
      <c r="MT229" s="98">
        <v>6233500</v>
      </c>
      <c r="NE229" s="91">
        <f t="shared" si="1498"/>
        <v>95900</v>
      </c>
      <c r="NF229" s="91">
        <f t="shared" si="1499"/>
        <v>6233500</v>
      </c>
      <c r="NI229" s="98">
        <v>419300</v>
      </c>
      <c r="NJ229" s="98">
        <v>25158000</v>
      </c>
      <c r="NU229" s="91">
        <f t="shared" si="1500"/>
        <v>419300</v>
      </c>
      <c r="NV229" s="91">
        <f t="shared" si="1501"/>
        <v>25158000</v>
      </c>
      <c r="NY229" s="98">
        <v>943698</v>
      </c>
      <c r="NZ229" s="98">
        <v>47184900</v>
      </c>
      <c r="OK229" s="91">
        <f t="shared" si="1502"/>
        <v>943698</v>
      </c>
      <c r="OL229" s="91">
        <f t="shared" si="1503"/>
        <v>47184900</v>
      </c>
      <c r="OO229" s="98">
        <v>357760</v>
      </c>
      <c r="OP229" s="98">
        <v>22538880</v>
      </c>
      <c r="PA229" s="91">
        <f t="shared" si="1504"/>
        <v>357760</v>
      </c>
      <c r="PB229" s="91">
        <f t="shared" si="1505"/>
        <v>22538880</v>
      </c>
      <c r="PE229" s="98">
        <v>19330</v>
      </c>
      <c r="PF229" s="98">
        <v>1353100</v>
      </c>
      <c r="PQ229" s="91">
        <f t="shared" si="1506"/>
        <v>19330</v>
      </c>
      <c r="PR229" s="91">
        <f t="shared" si="1507"/>
        <v>1353100</v>
      </c>
      <c r="PU229" s="98">
        <v>325560</v>
      </c>
      <c r="PV229" s="98">
        <v>19533600</v>
      </c>
      <c r="QA229" s="98">
        <v>362100</v>
      </c>
      <c r="QB229" s="98">
        <v>18105000</v>
      </c>
      <c r="QG229" s="91">
        <f t="shared" si="1508"/>
        <v>687660</v>
      </c>
      <c r="QH229" s="91">
        <f t="shared" si="1509"/>
        <v>37638600</v>
      </c>
      <c r="QK229" s="98">
        <v>175000</v>
      </c>
      <c r="QL229" s="98">
        <v>10500000</v>
      </c>
      <c r="QW229" s="91">
        <f t="shared" si="1510"/>
        <v>175000</v>
      </c>
      <c r="QX229" s="91">
        <f t="shared" si="1511"/>
        <v>10500000</v>
      </c>
      <c r="RM229" s="91">
        <f t="shared" si="1512"/>
        <v>0</v>
      </c>
      <c r="RN229" s="91">
        <f t="shared" si="1513"/>
        <v>0</v>
      </c>
      <c r="SC229" s="91">
        <f t="shared" si="1514"/>
        <v>0</v>
      </c>
      <c r="SD229" s="91">
        <f t="shared" si="1515"/>
        <v>0</v>
      </c>
      <c r="SS229" s="91">
        <f t="shared" si="1516"/>
        <v>0</v>
      </c>
      <c r="ST229" s="91">
        <f t="shared" si="1517"/>
        <v>0</v>
      </c>
      <c r="TI229" s="91">
        <f t="shared" si="1518"/>
        <v>0</v>
      </c>
      <c r="TJ229" s="91">
        <f t="shared" si="1519"/>
        <v>0</v>
      </c>
      <c r="TY229" s="91">
        <f t="shared" si="1520"/>
        <v>0</v>
      </c>
      <c r="TZ229" s="91">
        <f t="shared" si="1521"/>
        <v>0</v>
      </c>
      <c r="UO229" s="91">
        <f t="shared" si="1522"/>
        <v>0</v>
      </c>
      <c r="UP229" s="91">
        <f t="shared" si="1523"/>
        <v>0</v>
      </c>
      <c r="US229" s="98">
        <v>15250</v>
      </c>
      <c r="UT229" s="98">
        <v>915000</v>
      </c>
      <c r="VE229" s="91">
        <f t="shared" si="1524"/>
        <v>15250</v>
      </c>
      <c r="VF229" s="91">
        <f t="shared" si="1525"/>
        <v>915000</v>
      </c>
      <c r="VI229" s="98">
        <v>6534</v>
      </c>
      <c r="VJ229" s="98">
        <v>359370</v>
      </c>
      <c r="VU229" s="91">
        <f t="shared" si="1526"/>
        <v>6534</v>
      </c>
      <c r="VV229" s="91">
        <f t="shared" si="1527"/>
        <v>359370</v>
      </c>
      <c r="VY229" s="98">
        <v>29924</v>
      </c>
      <c r="VZ229" s="98">
        <v>1496200</v>
      </c>
      <c r="WK229" s="91">
        <f t="shared" si="1528"/>
        <v>29924</v>
      </c>
      <c r="WL229" s="91">
        <f t="shared" si="1529"/>
        <v>1496200</v>
      </c>
      <c r="WM229" s="89"/>
      <c r="WN229" s="87">
        <f t="shared" si="1530"/>
        <v>0</v>
      </c>
      <c r="WO229" s="87">
        <f t="shared" si="1531"/>
        <v>0</v>
      </c>
      <c r="WP229" s="87">
        <f t="shared" si="1532"/>
        <v>7883436.9016543049</v>
      </c>
      <c r="WQ229" s="87">
        <f t="shared" si="1533"/>
        <v>435719203.59330297</v>
      </c>
      <c r="WR229" s="87">
        <f t="shared" si="1534"/>
        <v>0</v>
      </c>
      <c r="WS229" s="87">
        <f t="shared" si="1535"/>
        <v>0</v>
      </c>
      <c r="WT229" s="87">
        <f t="shared" si="1536"/>
        <v>1582196</v>
      </c>
      <c r="WU229" s="87">
        <f t="shared" si="1537"/>
        <v>75945408</v>
      </c>
      <c r="WV229" s="87">
        <f t="shared" si="1538"/>
        <v>362100</v>
      </c>
      <c r="WW229" s="87">
        <f t="shared" si="1539"/>
        <v>18105000</v>
      </c>
      <c r="WX229" s="87">
        <f t="shared" si="1540"/>
        <v>0</v>
      </c>
      <c r="WY229" s="87">
        <f t="shared" si="1541"/>
        <v>0</v>
      </c>
      <c r="WZ229" s="87">
        <f t="shared" si="1550"/>
        <v>0</v>
      </c>
      <c r="XA229" s="87">
        <f t="shared" si="1551"/>
        <v>0</v>
      </c>
      <c r="XB229" s="92">
        <f t="shared" si="1552"/>
        <v>9827732.9016543049</v>
      </c>
      <c r="XC229" s="92">
        <f t="shared" si="1553"/>
        <v>529769611.59330297</v>
      </c>
      <c r="XD229" s="89"/>
      <c r="XE229" s="92"/>
      <c r="XF229" s="92"/>
      <c r="XG229" s="89"/>
      <c r="XH229" s="92"/>
      <c r="XI229" s="92"/>
      <c r="XJ229" s="89"/>
      <c r="XK229" s="87"/>
      <c r="XL229" s="87"/>
      <c r="XM229" s="87"/>
      <c r="XN229" s="87"/>
      <c r="XO229" s="87"/>
      <c r="XP229" s="87"/>
      <c r="XQ229" s="87"/>
      <c r="XR229" s="92">
        <f t="shared" ca="1" si="1546"/>
        <v>0</v>
      </c>
      <c r="XS229" s="89"/>
      <c r="XT229" s="87"/>
      <c r="XU229" s="87"/>
      <c r="XV229" s="87"/>
      <c r="XW229" s="87"/>
      <c r="XX229" s="87"/>
      <c r="XY229" s="87"/>
      <c r="XZ229" s="87"/>
      <c r="YA229" s="92">
        <f t="shared" ca="1" si="1547"/>
        <v>0</v>
      </c>
      <c r="YB229" s="90"/>
      <c r="YC229" s="90"/>
      <c r="YD229" s="90"/>
      <c r="YE229" s="90"/>
      <c r="YF229" s="90"/>
      <c r="YG229" s="90"/>
      <c r="YH229" s="90"/>
      <c r="YI229" s="90"/>
      <c r="YJ229" s="90"/>
      <c r="YK229" s="90"/>
      <c r="YL229" s="90"/>
      <c r="YM229" s="90"/>
      <c r="YN229" s="90"/>
      <c r="YO229" s="90"/>
      <c r="YP229" s="90"/>
      <c r="YQ229" s="90"/>
      <c r="YR229" s="90"/>
      <c r="YS229" s="90"/>
      <c r="YT229" s="90"/>
      <c r="YU229" s="90"/>
      <c r="YV229" s="90"/>
      <c r="YW229" s="90"/>
      <c r="YX229" s="90"/>
      <c r="YY229" s="90"/>
      <c r="YZ229" s="90"/>
      <c r="ZA229" s="90"/>
      <c r="ZB229" s="90"/>
      <c r="ZC229" s="90"/>
      <c r="ZD229" s="90"/>
      <c r="ZE229" s="90"/>
      <c r="ZF229" s="90"/>
      <c r="ZG229" s="90"/>
      <c r="ZH229" s="90"/>
      <c r="ZI229" s="90"/>
      <c r="ZJ229" s="90"/>
      <c r="ZK229" s="90"/>
      <c r="ZL229" s="90"/>
      <c r="ZM229" s="90"/>
      <c r="ZN229" s="90"/>
      <c r="ZO229" s="90"/>
      <c r="ZP229" s="90"/>
      <c r="ZQ229" s="90"/>
      <c r="ZR229" s="90"/>
      <c r="ZS229" s="90"/>
      <c r="ZT229" s="90"/>
      <c r="ZU229" s="90"/>
      <c r="ZV229" s="90"/>
      <c r="ZW229" s="90"/>
      <c r="ZX229" s="90"/>
      <c r="ZY229" s="90"/>
      <c r="ZZ229" s="90"/>
      <c r="AAA229" s="90"/>
      <c r="AAB229" s="90"/>
      <c r="AAC229" s="90"/>
      <c r="AAD229" s="90"/>
      <c r="AAE229" s="90"/>
      <c r="AAF229" s="90"/>
      <c r="AAG229" s="90"/>
      <c r="AAH229" s="90"/>
      <c r="AAI229" s="90"/>
      <c r="AAJ229" s="90"/>
      <c r="AAK229" s="90"/>
      <c r="AAL229" s="90"/>
      <c r="AAM229" s="90"/>
      <c r="AAN229" s="90"/>
      <c r="AAO229" s="90"/>
      <c r="AAP229" s="90"/>
      <c r="AAQ229" s="90"/>
      <c r="AAR229" s="90"/>
      <c r="AAS229" s="90"/>
      <c r="AAT229" s="90"/>
      <c r="AAU229" s="90"/>
      <c r="AAV229" s="90"/>
      <c r="AAW229" s="90"/>
      <c r="AAX229" s="90"/>
      <c r="AAY229" s="90"/>
      <c r="AAZ229" s="90"/>
      <c r="ABA229" s="90"/>
      <c r="ABB229" s="90"/>
      <c r="ABC229" s="90"/>
      <c r="ABD229" s="90"/>
      <c r="ABE229" s="90"/>
      <c r="ABF229" s="90"/>
      <c r="ABG229" s="90"/>
      <c r="ABH229" s="90"/>
      <c r="ABI229" s="90"/>
      <c r="ABJ229" s="90"/>
      <c r="ABK229" s="90"/>
      <c r="ABL229" s="90"/>
      <c r="ABM229" s="90"/>
      <c r="ABN229" s="90"/>
      <c r="ABO229" s="90"/>
      <c r="ABP229" s="90"/>
      <c r="ABQ229" s="90"/>
      <c r="ABR229" s="90"/>
      <c r="ABS229" s="90"/>
      <c r="ABT229" s="90"/>
      <c r="ABU229" s="90"/>
      <c r="ABV229" s="90"/>
      <c r="ABW229" s="90"/>
      <c r="ABX229" s="90"/>
      <c r="ABY229" s="90"/>
      <c r="ABZ229" s="90"/>
      <c r="ACA229" s="90"/>
      <c r="ACB229" s="90"/>
      <c r="ACC229" s="90"/>
      <c r="ACD229" s="90"/>
      <c r="ACE229" s="90"/>
      <c r="ACF229" s="90"/>
      <c r="ACG229" s="90"/>
      <c r="ACH229" s="90"/>
      <c r="ACI229" s="90"/>
      <c r="ACJ229" s="90"/>
      <c r="ACK229" s="90"/>
      <c r="ACL229" s="90"/>
      <c r="ACM229" s="90"/>
      <c r="ACN229" s="90"/>
      <c r="ACO229" s="90"/>
      <c r="ACP229" s="90"/>
      <c r="ACQ229" s="90"/>
      <c r="ACR229" s="90"/>
      <c r="ACS229" s="90"/>
      <c r="ACT229" s="90"/>
      <c r="ACU229" s="90"/>
      <c r="ACV229" s="90"/>
      <c r="ACW229" s="90"/>
      <c r="ACX229" s="90"/>
      <c r="ACY229" s="90"/>
      <c r="ACZ229" s="90"/>
      <c r="ADA229" s="90"/>
      <c r="ADB229" s="90"/>
      <c r="ADC229" s="90"/>
      <c r="ADD229" s="90"/>
      <c r="ADE229" s="90"/>
      <c r="ADF229" s="90"/>
      <c r="ADG229" s="90"/>
      <c r="ADH229" s="90"/>
      <c r="ADI229" s="90"/>
      <c r="ADJ229" s="90"/>
      <c r="ADK229" s="90"/>
      <c r="ADL229" s="90"/>
      <c r="ADM229" s="90"/>
      <c r="ADN229" s="90"/>
      <c r="ADO229" s="90"/>
      <c r="ADP229" s="90"/>
      <c r="ADQ229" s="90"/>
      <c r="ADR229" s="90"/>
      <c r="ADS229" s="90"/>
      <c r="ADT229" s="90"/>
      <c r="ADU229" s="90"/>
      <c r="ADV229" s="90"/>
      <c r="ADW229" s="90"/>
      <c r="ADX229" s="90"/>
      <c r="ADY229" s="90"/>
      <c r="ADZ229" s="90"/>
      <c r="AEA229" s="90"/>
      <c r="AEB229" s="90"/>
      <c r="AEC229" s="90"/>
      <c r="AED229" s="90"/>
      <c r="AEE229" s="90"/>
      <c r="AEF229" s="90"/>
      <c r="AEG229" s="90"/>
      <c r="AEH229" s="90"/>
      <c r="AEI229" s="90"/>
      <c r="AEJ229" s="90"/>
      <c r="AEK229" s="90"/>
      <c r="AEL229" s="90"/>
      <c r="AEM229" s="90"/>
      <c r="AEN229" s="90"/>
      <c r="AEO229" s="90"/>
      <c r="AEP229" s="90"/>
      <c r="AEQ229" s="90"/>
      <c r="AER229" s="90"/>
      <c r="AES229" s="90"/>
      <c r="AET229" s="90"/>
      <c r="AEU229" s="90"/>
      <c r="AEV229" s="90"/>
      <c r="AEW229" s="90"/>
      <c r="AEX229" s="90"/>
      <c r="AEY229" s="90"/>
      <c r="AEZ229" s="90"/>
      <c r="AFA229" s="90"/>
      <c r="AFB229" s="90"/>
      <c r="AFC229" s="90"/>
      <c r="AFD229" s="90"/>
      <c r="AFE229" s="90"/>
      <c r="AFF229" s="90"/>
      <c r="AFG229" s="90"/>
      <c r="AFH229" s="90"/>
      <c r="AFI229" s="90"/>
      <c r="AFJ229" s="90"/>
      <c r="AFK229" s="90"/>
      <c r="AFL229" s="90"/>
      <c r="AFM229" s="90"/>
      <c r="AFN229" s="90"/>
      <c r="AFO229" s="90"/>
      <c r="AFP229" s="90"/>
      <c r="AFQ229" s="90"/>
      <c r="AFR229" s="90"/>
      <c r="AFS229" s="90"/>
      <c r="AFT229" s="90"/>
      <c r="AFU229" s="90"/>
      <c r="AFV229" s="90"/>
      <c r="AFW229" s="90"/>
      <c r="AFX229" s="90"/>
      <c r="AFY229" s="90"/>
      <c r="AFZ229" s="90"/>
      <c r="AGA229" s="90"/>
      <c r="AGB229" s="90"/>
      <c r="AGC229" s="90"/>
      <c r="AGD229" s="90"/>
      <c r="AGE229" s="90"/>
      <c r="AGF229" s="90"/>
      <c r="AGG229" s="90"/>
      <c r="AGH229" s="90"/>
      <c r="AGI229" s="90"/>
      <c r="AGJ229" s="90"/>
      <c r="AGK229" s="90"/>
      <c r="AGL229" s="90"/>
      <c r="AGM229" s="90"/>
      <c r="AGN229" s="90"/>
      <c r="AGO229" s="90"/>
      <c r="AGP229" s="90"/>
      <c r="AGQ229" s="90"/>
      <c r="AGR229" s="90"/>
      <c r="AGS229" s="90"/>
      <c r="AGT229" s="90"/>
      <c r="AGU229" s="90"/>
      <c r="AGV229" s="90"/>
      <c r="AGW229" s="90"/>
      <c r="AGX229" s="90"/>
      <c r="AGY229" s="90"/>
      <c r="AGZ229" s="90"/>
      <c r="AHA229" s="90"/>
      <c r="AHB229" s="90"/>
      <c r="AHC229" s="90"/>
      <c r="AHD229" s="90"/>
      <c r="AHE229" s="90"/>
      <c r="AHF229" s="90"/>
      <c r="AHG229" s="90"/>
      <c r="AHH229" s="90"/>
      <c r="AHI229" s="90"/>
      <c r="AHJ229" s="90"/>
      <c r="AHK229" s="90"/>
      <c r="AHL229" s="90"/>
      <c r="AHM229" s="90"/>
      <c r="AHN229" s="90"/>
      <c r="AHO229" s="90"/>
      <c r="AHP229" s="90"/>
      <c r="AHQ229" s="90"/>
      <c r="AHR229" s="90"/>
      <c r="AHS229" s="90"/>
      <c r="AHT229" s="90"/>
      <c r="AHU229" s="90"/>
      <c r="AHV229" s="90"/>
      <c r="AHW229" s="90"/>
      <c r="AHX229" s="90"/>
      <c r="AHY229" s="90"/>
      <c r="AHZ229" s="90"/>
      <c r="AIA229" s="90"/>
      <c r="AIB229" s="90"/>
      <c r="AIC229" s="90"/>
      <c r="AID229" s="90"/>
      <c r="AIE229" s="90"/>
      <c r="AIF229" s="90"/>
      <c r="AIG229" s="90"/>
      <c r="AIH229" s="90"/>
      <c r="AII229" s="90"/>
      <c r="AIJ229" s="90"/>
      <c r="AIK229" s="90"/>
      <c r="AIL229" s="90"/>
      <c r="AIM229" s="90"/>
      <c r="AIN229" s="90"/>
      <c r="AIO229" s="90"/>
      <c r="AIP229" s="90"/>
      <c r="AIQ229" s="90"/>
      <c r="AIR229" s="90"/>
      <c r="AIS229" s="90"/>
      <c r="AIT229" s="90"/>
      <c r="AIU229" s="90"/>
      <c r="AIV229" s="90"/>
      <c r="AIW229" s="90"/>
      <c r="AIX229" s="90"/>
      <c r="AIY229" s="90"/>
      <c r="AIZ229" s="90"/>
      <c r="AJA229" s="90"/>
      <c r="AJB229" s="90"/>
      <c r="AJC229" s="90"/>
      <c r="AJD229" s="90"/>
      <c r="AJE229" s="90"/>
      <c r="AJF229" s="90"/>
      <c r="AJG229" s="90"/>
      <c r="AJH229" s="90"/>
      <c r="AJI229" s="90"/>
      <c r="AJJ229" s="90"/>
      <c r="AJK229" s="90"/>
      <c r="AJL229" s="90"/>
      <c r="AJM229" s="90"/>
      <c r="AJN229" s="90"/>
      <c r="AJO229" s="90"/>
      <c r="AJP229" s="90"/>
      <c r="AJQ229" s="90"/>
      <c r="AJR229" s="90"/>
      <c r="AJS229" s="90"/>
      <c r="AJT229" s="90"/>
      <c r="AJU229" s="90"/>
      <c r="AJV229" s="90"/>
      <c r="AJW229" s="90"/>
      <c r="AJX229" s="90"/>
      <c r="AJY229" s="90"/>
      <c r="AJZ229" s="90"/>
      <c r="AKA229" s="90"/>
      <c r="AKB229" s="90"/>
      <c r="AKC229" s="90"/>
      <c r="AKD229" s="90"/>
      <c r="AKE229" s="90"/>
      <c r="AKF229" s="90"/>
      <c r="AKG229" s="90"/>
      <c r="AKH229" s="90"/>
      <c r="AKI229" s="90"/>
      <c r="AKJ229" s="90"/>
      <c r="AKK229" s="90"/>
      <c r="AKL229" s="90"/>
      <c r="AKM229" s="90"/>
      <c r="AKN229" s="90"/>
      <c r="AKO229" s="90"/>
      <c r="AKP229" s="90"/>
      <c r="AKQ229" s="90"/>
      <c r="AKR229" s="90"/>
      <c r="AKS229" s="90"/>
      <c r="AKT229" s="90"/>
      <c r="AKU229" s="90"/>
      <c r="AKV229" s="90"/>
      <c r="AKW229" s="90"/>
      <c r="AKX229" s="90"/>
      <c r="AKY229" s="90"/>
      <c r="AKZ229" s="90"/>
      <c r="ALA229" s="90"/>
      <c r="ALB229" s="90"/>
      <c r="ALC229" s="90"/>
      <c r="ALD229" s="90"/>
      <c r="ALE229" s="90"/>
      <c r="ALF229" s="90"/>
      <c r="ALG229" s="90"/>
      <c r="ALH229" s="90"/>
      <c r="ALI229" s="90"/>
      <c r="ALJ229" s="90"/>
      <c r="ALK229" s="90"/>
      <c r="ALL229" s="90"/>
      <c r="ALM229" s="90"/>
      <c r="ALN229" s="90"/>
      <c r="ALO229" s="90"/>
      <c r="ALP229" s="90"/>
      <c r="ALQ229" s="90"/>
      <c r="ALR229" s="90"/>
      <c r="ALS229" s="90"/>
      <c r="ALT229" s="90"/>
      <c r="ALU229" s="90"/>
      <c r="ALV229" s="90"/>
      <c r="ALW229" s="90"/>
      <c r="ALX229" s="90"/>
      <c r="ALY229" s="90"/>
      <c r="ALZ229" s="90"/>
      <c r="AMA229" s="90"/>
      <c r="AMB229" s="90"/>
      <c r="AMC229" s="90"/>
    </row>
    <row r="230" spans="1:1017">
      <c r="A230" s="98" t="s">
        <v>50</v>
      </c>
      <c r="B230" s="90" t="str">
        <f t="shared" si="1453"/>
        <v xml:space="preserve">Udang Windu </v>
      </c>
      <c r="E230" s="98">
        <v>3200</v>
      </c>
      <c r="F230" s="98">
        <v>416000</v>
      </c>
      <c r="Q230" s="91">
        <f t="shared" si="1454"/>
        <v>3200</v>
      </c>
      <c r="R230" s="91">
        <f t="shared" si="1455"/>
        <v>416000</v>
      </c>
      <c r="AG230" s="91">
        <f t="shared" si="1456"/>
        <v>0</v>
      </c>
      <c r="AH230" s="91">
        <f t="shared" si="1457"/>
        <v>0</v>
      </c>
      <c r="AW230" s="91">
        <f t="shared" si="1458"/>
        <v>0</v>
      </c>
      <c r="AX230" s="91">
        <f t="shared" si="1459"/>
        <v>0</v>
      </c>
      <c r="BM230" s="91">
        <f t="shared" si="1460"/>
        <v>0</v>
      </c>
      <c r="BN230" s="91">
        <f t="shared" si="1461"/>
        <v>0</v>
      </c>
      <c r="CC230" s="91">
        <f t="shared" si="1462"/>
        <v>0</v>
      </c>
      <c r="CD230" s="91">
        <f t="shared" si="1463"/>
        <v>0</v>
      </c>
      <c r="CG230" s="98">
        <v>167321.93302649248</v>
      </c>
      <c r="CH230" s="98">
        <v>16732193.302649248</v>
      </c>
      <c r="CS230" s="91">
        <f t="shared" si="1548"/>
        <v>167321.93302649248</v>
      </c>
      <c r="CT230" s="91">
        <f t="shared" si="1549"/>
        <v>16732193.302649248</v>
      </c>
      <c r="DI230" s="91">
        <f t="shared" si="1466"/>
        <v>0</v>
      </c>
      <c r="DJ230" s="91">
        <f t="shared" si="1467"/>
        <v>0</v>
      </c>
      <c r="DY230" s="91">
        <f t="shared" si="1468"/>
        <v>0</v>
      </c>
      <c r="DZ230" s="91">
        <f t="shared" si="1469"/>
        <v>0</v>
      </c>
      <c r="EO230" s="91">
        <f t="shared" si="1470"/>
        <v>0</v>
      </c>
      <c r="EP230" s="91">
        <f t="shared" si="1471"/>
        <v>0</v>
      </c>
      <c r="FE230" s="91">
        <f t="shared" si="1472"/>
        <v>0</v>
      </c>
      <c r="FF230" s="91">
        <f t="shared" si="1473"/>
        <v>0</v>
      </c>
      <c r="FU230" s="91">
        <f t="shared" si="1474"/>
        <v>0</v>
      </c>
      <c r="FV230" s="91">
        <f t="shared" si="1475"/>
        <v>0</v>
      </c>
      <c r="GK230" s="91">
        <f t="shared" si="1476"/>
        <v>0</v>
      </c>
      <c r="GL230" s="91">
        <f t="shared" si="1477"/>
        <v>0</v>
      </c>
      <c r="HA230" s="91">
        <f t="shared" si="1478"/>
        <v>0</v>
      </c>
      <c r="HB230" s="91">
        <f t="shared" si="1479"/>
        <v>0</v>
      </c>
      <c r="HQ230" s="91">
        <f t="shared" si="1480"/>
        <v>0</v>
      </c>
      <c r="HR230" s="91">
        <f t="shared" si="1481"/>
        <v>0</v>
      </c>
      <c r="IG230" s="91">
        <f t="shared" si="1482"/>
        <v>0</v>
      </c>
      <c r="IH230" s="91">
        <f t="shared" si="1483"/>
        <v>0</v>
      </c>
      <c r="IW230" s="91">
        <f t="shared" si="1484"/>
        <v>0</v>
      </c>
      <c r="IX230" s="91">
        <f t="shared" si="1485"/>
        <v>0</v>
      </c>
      <c r="JM230" s="91">
        <f t="shared" si="1486"/>
        <v>0</v>
      </c>
      <c r="JN230" s="91">
        <f t="shared" si="1487"/>
        <v>0</v>
      </c>
      <c r="KC230" s="91">
        <f t="shared" si="1488"/>
        <v>0</v>
      </c>
      <c r="KD230" s="91">
        <f t="shared" si="1489"/>
        <v>0</v>
      </c>
      <c r="KS230" s="91">
        <f t="shared" si="1490"/>
        <v>0</v>
      </c>
      <c r="KT230" s="91">
        <f t="shared" si="1491"/>
        <v>0</v>
      </c>
      <c r="KW230" s="98">
        <v>2090.42</v>
      </c>
      <c r="KX230" s="98">
        <v>198589</v>
      </c>
      <c r="LI230" s="91">
        <f t="shared" si="1492"/>
        <v>2090.42</v>
      </c>
      <c r="LJ230" s="91">
        <f t="shared" si="1493"/>
        <v>198589</v>
      </c>
      <c r="LY230" s="91">
        <f t="shared" si="1494"/>
        <v>0</v>
      </c>
      <c r="LZ230" s="91">
        <f t="shared" si="1495"/>
        <v>0</v>
      </c>
      <c r="MO230" s="91">
        <f t="shared" si="1496"/>
        <v>0</v>
      </c>
      <c r="MP230" s="91">
        <f t="shared" si="1497"/>
        <v>0</v>
      </c>
      <c r="MS230" s="98">
        <v>850</v>
      </c>
      <c r="MT230" s="98">
        <v>68000</v>
      </c>
      <c r="NE230" s="91">
        <f t="shared" si="1498"/>
        <v>850</v>
      </c>
      <c r="NF230" s="91">
        <f t="shared" si="1499"/>
        <v>68000</v>
      </c>
      <c r="NI230" s="98">
        <v>277600</v>
      </c>
      <c r="NJ230" s="98">
        <v>24984000</v>
      </c>
      <c r="NU230" s="91">
        <f t="shared" si="1500"/>
        <v>277600</v>
      </c>
      <c r="NV230" s="91">
        <f t="shared" si="1501"/>
        <v>24984000</v>
      </c>
      <c r="NY230" s="98">
        <v>74</v>
      </c>
      <c r="NZ230" s="98">
        <v>11100</v>
      </c>
      <c r="OK230" s="91">
        <f t="shared" si="1502"/>
        <v>74</v>
      </c>
      <c r="OL230" s="91">
        <f t="shared" si="1503"/>
        <v>11100</v>
      </c>
      <c r="PA230" s="91">
        <f t="shared" si="1504"/>
        <v>0</v>
      </c>
      <c r="PB230" s="91">
        <f t="shared" si="1505"/>
        <v>0</v>
      </c>
      <c r="PQ230" s="91">
        <f t="shared" si="1506"/>
        <v>0</v>
      </c>
      <c r="PR230" s="91">
        <f t="shared" si="1507"/>
        <v>0</v>
      </c>
      <c r="QG230" s="91">
        <f t="shared" si="1508"/>
        <v>0</v>
      </c>
      <c r="QH230" s="91">
        <f t="shared" si="1509"/>
        <v>0</v>
      </c>
      <c r="QW230" s="91">
        <f t="shared" si="1510"/>
        <v>0</v>
      </c>
      <c r="QX230" s="91">
        <f t="shared" si="1511"/>
        <v>0</v>
      </c>
      <c r="RM230" s="91">
        <f t="shared" si="1512"/>
        <v>0</v>
      </c>
      <c r="RN230" s="91">
        <f t="shared" si="1513"/>
        <v>0</v>
      </c>
      <c r="SC230" s="91">
        <f t="shared" si="1514"/>
        <v>0</v>
      </c>
      <c r="SD230" s="91">
        <f t="shared" si="1515"/>
        <v>0</v>
      </c>
      <c r="SS230" s="91">
        <f t="shared" si="1516"/>
        <v>0</v>
      </c>
      <c r="ST230" s="91">
        <f t="shared" si="1517"/>
        <v>0</v>
      </c>
      <c r="TI230" s="91">
        <f t="shared" si="1518"/>
        <v>0</v>
      </c>
      <c r="TJ230" s="91">
        <f t="shared" si="1519"/>
        <v>0</v>
      </c>
      <c r="TY230" s="91">
        <f t="shared" si="1520"/>
        <v>0</v>
      </c>
      <c r="TZ230" s="91">
        <f t="shared" si="1521"/>
        <v>0</v>
      </c>
      <c r="UO230" s="91">
        <f t="shared" si="1522"/>
        <v>0</v>
      </c>
      <c r="UP230" s="91">
        <f t="shared" si="1523"/>
        <v>0</v>
      </c>
      <c r="VE230" s="91">
        <f t="shared" si="1524"/>
        <v>0</v>
      </c>
      <c r="VF230" s="91">
        <f t="shared" si="1525"/>
        <v>0</v>
      </c>
      <c r="VI230" s="98">
        <v>39</v>
      </c>
      <c r="VJ230" s="98">
        <v>2535</v>
      </c>
      <c r="VU230" s="91">
        <f t="shared" si="1526"/>
        <v>39</v>
      </c>
      <c r="VV230" s="91">
        <f t="shared" si="1527"/>
        <v>2535</v>
      </c>
      <c r="VY230" s="98">
        <v>3321</v>
      </c>
      <c r="VZ230" s="98">
        <v>265680</v>
      </c>
      <c r="WK230" s="91">
        <f t="shared" si="1528"/>
        <v>3321</v>
      </c>
      <c r="WL230" s="91">
        <f t="shared" si="1529"/>
        <v>265680</v>
      </c>
      <c r="WM230" s="89"/>
      <c r="WN230" s="87">
        <f t="shared" si="1530"/>
        <v>0</v>
      </c>
      <c r="WO230" s="87">
        <f t="shared" si="1531"/>
        <v>0</v>
      </c>
      <c r="WP230" s="87">
        <f t="shared" si="1532"/>
        <v>454496.35302649252</v>
      </c>
      <c r="WQ230" s="87">
        <f t="shared" si="1533"/>
        <v>42678097.302649245</v>
      </c>
      <c r="WR230" s="87">
        <f t="shared" si="1534"/>
        <v>0</v>
      </c>
      <c r="WS230" s="87">
        <f t="shared" si="1535"/>
        <v>0</v>
      </c>
      <c r="WT230" s="87">
        <f t="shared" si="1536"/>
        <v>0</v>
      </c>
      <c r="WU230" s="87">
        <f t="shared" si="1537"/>
        <v>0</v>
      </c>
      <c r="WV230" s="87">
        <f t="shared" si="1538"/>
        <v>0</v>
      </c>
      <c r="WW230" s="87">
        <f t="shared" si="1539"/>
        <v>0</v>
      </c>
      <c r="WX230" s="87">
        <f t="shared" si="1540"/>
        <v>0</v>
      </c>
      <c r="WY230" s="87">
        <f t="shared" si="1541"/>
        <v>0</v>
      </c>
      <c r="WZ230" s="87">
        <f t="shared" si="1550"/>
        <v>0</v>
      </c>
      <c r="XA230" s="87">
        <f t="shared" si="1551"/>
        <v>0</v>
      </c>
      <c r="XB230" s="92">
        <f t="shared" si="1552"/>
        <v>454496.35302649252</v>
      </c>
      <c r="XC230" s="92">
        <f t="shared" si="1553"/>
        <v>42678097.302649245</v>
      </c>
      <c r="XD230" s="89"/>
      <c r="XE230" s="92"/>
      <c r="XF230" s="92"/>
      <c r="XG230" s="89"/>
      <c r="XH230" s="92"/>
      <c r="XI230" s="92"/>
      <c r="XJ230" s="89"/>
      <c r="XK230" s="87"/>
      <c r="XL230" s="87"/>
      <c r="XM230" s="87"/>
      <c r="XN230" s="87"/>
      <c r="XO230" s="87"/>
      <c r="XP230" s="87"/>
      <c r="XQ230" s="87"/>
      <c r="XR230" s="92">
        <f t="shared" ca="1" si="1546"/>
        <v>0</v>
      </c>
      <c r="XS230" s="89"/>
      <c r="XT230" s="87"/>
      <c r="XU230" s="87"/>
      <c r="XV230" s="87"/>
      <c r="XW230" s="87"/>
      <c r="XX230" s="87"/>
      <c r="XY230" s="87"/>
      <c r="XZ230" s="87"/>
      <c r="YA230" s="92">
        <f t="shared" ca="1" si="1547"/>
        <v>0</v>
      </c>
      <c r="YB230" s="90"/>
      <c r="YC230" s="90"/>
      <c r="YD230" s="90"/>
      <c r="YE230" s="90"/>
      <c r="YF230" s="90"/>
      <c r="YG230" s="90"/>
      <c r="YH230" s="90"/>
      <c r="YI230" s="90"/>
      <c r="YJ230" s="90"/>
      <c r="YK230" s="90"/>
      <c r="YL230" s="90"/>
      <c r="YM230" s="90"/>
      <c r="YN230" s="90"/>
      <c r="YO230" s="90"/>
      <c r="YP230" s="90"/>
      <c r="YQ230" s="90"/>
      <c r="YR230" s="90"/>
      <c r="YS230" s="90"/>
      <c r="YT230" s="90"/>
      <c r="YU230" s="90"/>
      <c r="YV230" s="90"/>
      <c r="YW230" s="90"/>
      <c r="YX230" s="90"/>
      <c r="YY230" s="90"/>
      <c r="YZ230" s="90"/>
      <c r="ZA230" s="90"/>
      <c r="ZB230" s="90"/>
      <c r="ZC230" s="90"/>
      <c r="ZD230" s="90"/>
      <c r="ZE230" s="90"/>
      <c r="ZF230" s="90"/>
      <c r="ZG230" s="90"/>
      <c r="ZH230" s="90"/>
      <c r="ZI230" s="90"/>
      <c r="ZJ230" s="90"/>
      <c r="ZK230" s="90"/>
      <c r="ZL230" s="90"/>
      <c r="ZM230" s="90"/>
      <c r="ZN230" s="90"/>
      <c r="ZO230" s="90"/>
      <c r="ZP230" s="90"/>
      <c r="ZQ230" s="90"/>
      <c r="ZR230" s="90"/>
      <c r="ZS230" s="90"/>
      <c r="ZT230" s="90"/>
      <c r="ZU230" s="90"/>
      <c r="ZV230" s="90"/>
      <c r="ZW230" s="90"/>
      <c r="ZX230" s="90"/>
      <c r="ZY230" s="90"/>
      <c r="ZZ230" s="90"/>
      <c r="AAA230" s="90"/>
      <c r="AAB230" s="90"/>
      <c r="AAC230" s="90"/>
      <c r="AAD230" s="90"/>
      <c r="AAE230" s="90"/>
      <c r="AAF230" s="90"/>
      <c r="AAG230" s="90"/>
      <c r="AAH230" s="90"/>
      <c r="AAI230" s="90"/>
      <c r="AAJ230" s="90"/>
      <c r="AAK230" s="90"/>
      <c r="AAL230" s="90"/>
      <c r="AAM230" s="90"/>
      <c r="AAN230" s="90"/>
      <c r="AAO230" s="90"/>
      <c r="AAP230" s="90"/>
      <c r="AAQ230" s="90"/>
      <c r="AAR230" s="90"/>
      <c r="AAS230" s="90"/>
      <c r="AAT230" s="90"/>
      <c r="AAU230" s="90"/>
      <c r="AAV230" s="90"/>
      <c r="AAW230" s="90"/>
      <c r="AAX230" s="90"/>
      <c r="AAY230" s="90"/>
      <c r="AAZ230" s="90"/>
      <c r="ABA230" s="90"/>
      <c r="ABB230" s="90"/>
      <c r="ABC230" s="90"/>
      <c r="ABD230" s="90"/>
      <c r="ABE230" s="90"/>
      <c r="ABF230" s="90"/>
      <c r="ABG230" s="90"/>
      <c r="ABH230" s="90"/>
      <c r="ABI230" s="90"/>
      <c r="ABJ230" s="90"/>
      <c r="ABK230" s="90"/>
      <c r="ABL230" s="90"/>
      <c r="ABM230" s="90"/>
      <c r="ABN230" s="90"/>
      <c r="ABO230" s="90"/>
      <c r="ABP230" s="90"/>
      <c r="ABQ230" s="90"/>
      <c r="ABR230" s="90"/>
      <c r="ABS230" s="90"/>
      <c r="ABT230" s="90"/>
      <c r="ABU230" s="90"/>
      <c r="ABV230" s="90"/>
      <c r="ABW230" s="90"/>
      <c r="ABX230" s="90"/>
      <c r="ABY230" s="90"/>
      <c r="ABZ230" s="90"/>
      <c r="ACA230" s="90"/>
      <c r="ACB230" s="90"/>
      <c r="ACC230" s="90"/>
      <c r="ACD230" s="90"/>
      <c r="ACE230" s="90"/>
      <c r="ACF230" s="90"/>
      <c r="ACG230" s="90"/>
      <c r="ACH230" s="90"/>
      <c r="ACI230" s="90"/>
      <c r="ACJ230" s="90"/>
      <c r="ACK230" s="90"/>
      <c r="ACL230" s="90"/>
      <c r="ACM230" s="90"/>
      <c r="ACN230" s="90"/>
      <c r="ACO230" s="90"/>
      <c r="ACP230" s="90"/>
      <c r="ACQ230" s="90"/>
      <c r="ACR230" s="90"/>
      <c r="ACS230" s="90"/>
      <c r="ACT230" s="90"/>
      <c r="ACU230" s="90"/>
      <c r="ACV230" s="90"/>
      <c r="ACW230" s="90"/>
      <c r="ACX230" s="90"/>
      <c r="ACY230" s="90"/>
      <c r="ACZ230" s="90"/>
      <c r="ADA230" s="90"/>
      <c r="ADB230" s="90"/>
      <c r="ADC230" s="90"/>
      <c r="ADD230" s="90"/>
      <c r="ADE230" s="90"/>
      <c r="ADF230" s="90"/>
      <c r="ADG230" s="90"/>
      <c r="ADH230" s="90"/>
      <c r="ADI230" s="90"/>
      <c r="ADJ230" s="90"/>
      <c r="ADK230" s="90"/>
      <c r="ADL230" s="90"/>
      <c r="ADM230" s="90"/>
      <c r="ADN230" s="90"/>
      <c r="ADO230" s="90"/>
      <c r="ADP230" s="90"/>
      <c r="ADQ230" s="90"/>
      <c r="ADR230" s="90"/>
      <c r="ADS230" s="90"/>
      <c r="ADT230" s="90"/>
      <c r="ADU230" s="90"/>
      <c r="ADV230" s="90"/>
      <c r="ADW230" s="90"/>
      <c r="ADX230" s="90"/>
      <c r="ADY230" s="90"/>
      <c r="ADZ230" s="90"/>
      <c r="AEA230" s="90"/>
      <c r="AEB230" s="90"/>
      <c r="AEC230" s="90"/>
      <c r="AED230" s="90"/>
      <c r="AEE230" s="90"/>
      <c r="AEF230" s="90"/>
      <c r="AEG230" s="90"/>
      <c r="AEH230" s="90"/>
      <c r="AEI230" s="90"/>
      <c r="AEJ230" s="90"/>
      <c r="AEK230" s="90"/>
      <c r="AEL230" s="90"/>
      <c r="AEM230" s="90"/>
      <c r="AEN230" s="90"/>
      <c r="AEO230" s="90"/>
      <c r="AEP230" s="90"/>
      <c r="AEQ230" s="90"/>
      <c r="AER230" s="90"/>
      <c r="AES230" s="90"/>
      <c r="AET230" s="90"/>
      <c r="AEU230" s="90"/>
      <c r="AEV230" s="90"/>
      <c r="AEW230" s="90"/>
      <c r="AEX230" s="90"/>
      <c r="AEY230" s="90"/>
      <c r="AEZ230" s="90"/>
      <c r="AFA230" s="90"/>
      <c r="AFB230" s="90"/>
      <c r="AFC230" s="90"/>
      <c r="AFD230" s="90"/>
      <c r="AFE230" s="90"/>
      <c r="AFF230" s="90"/>
      <c r="AFG230" s="90"/>
      <c r="AFH230" s="90"/>
      <c r="AFI230" s="90"/>
      <c r="AFJ230" s="90"/>
      <c r="AFK230" s="90"/>
      <c r="AFL230" s="90"/>
      <c r="AFM230" s="90"/>
      <c r="AFN230" s="90"/>
      <c r="AFO230" s="90"/>
      <c r="AFP230" s="90"/>
      <c r="AFQ230" s="90"/>
      <c r="AFR230" s="90"/>
      <c r="AFS230" s="90"/>
      <c r="AFT230" s="90"/>
      <c r="AFU230" s="90"/>
      <c r="AFV230" s="90"/>
      <c r="AFW230" s="90"/>
      <c r="AFX230" s="90"/>
      <c r="AFY230" s="90"/>
      <c r="AFZ230" s="90"/>
      <c r="AGA230" s="90"/>
      <c r="AGB230" s="90"/>
      <c r="AGC230" s="90"/>
      <c r="AGD230" s="90"/>
      <c r="AGE230" s="90"/>
      <c r="AGF230" s="90"/>
      <c r="AGG230" s="90"/>
      <c r="AGH230" s="90"/>
      <c r="AGI230" s="90"/>
      <c r="AGJ230" s="90"/>
      <c r="AGK230" s="90"/>
      <c r="AGL230" s="90"/>
      <c r="AGM230" s="90"/>
      <c r="AGN230" s="90"/>
      <c r="AGO230" s="90"/>
      <c r="AGP230" s="90"/>
      <c r="AGQ230" s="90"/>
      <c r="AGR230" s="90"/>
      <c r="AGS230" s="90"/>
      <c r="AGT230" s="90"/>
      <c r="AGU230" s="90"/>
      <c r="AGV230" s="90"/>
      <c r="AGW230" s="90"/>
      <c r="AGX230" s="90"/>
      <c r="AGY230" s="90"/>
      <c r="AGZ230" s="90"/>
      <c r="AHA230" s="90"/>
      <c r="AHB230" s="90"/>
      <c r="AHC230" s="90"/>
      <c r="AHD230" s="90"/>
      <c r="AHE230" s="90"/>
      <c r="AHF230" s="90"/>
      <c r="AHG230" s="90"/>
      <c r="AHH230" s="90"/>
      <c r="AHI230" s="90"/>
      <c r="AHJ230" s="90"/>
      <c r="AHK230" s="90"/>
      <c r="AHL230" s="90"/>
      <c r="AHM230" s="90"/>
      <c r="AHN230" s="90"/>
      <c r="AHO230" s="90"/>
      <c r="AHP230" s="90"/>
      <c r="AHQ230" s="90"/>
      <c r="AHR230" s="90"/>
      <c r="AHS230" s="90"/>
      <c r="AHT230" s="90"/>
      <c r="AHU230" s="90"/>
      <c r="AHV230" s="90"/>
      <c r="AHW230" s="90"/>
      <c r="AHX230" s="90"/>
      <c r="AHY230" s="90"/>
      <c r="AHZ230" s="90"/>
      <c r="AIA230" s="90"/>
      <c r="AIB230" s="90"/>
      <c r="AIC230" s="90"/>
      <c r="AID230" s="90"/>
      <c r="AIE230" s="90"/>
      <c r="AIF230" s="90"/>
      <c r="AIG230" s="90"/>
      <c r="AIH230" s="90"/>
      <c r="AII230" s="90"/>
      <c r="AIJ230" s="90"/>
      <c r="AIK230" s="90"/>
      <c r="AIL230" s="90"/>
      <c r="AIM230" s="90"/>
      <c r="AIN230" s="90"/>
      <c r="AIO230" s="90"/>
      <c r="AIP230" s="90"/>
      <c r="AIQ230" s="90"/>
      <c r="AIR230" s="90"/>
      <c r="AIS230" s="90"/>
      <c r="AIT230" s="90"/>
      <c r="AIU230" s="90"/>
      <c r="AIV230" s="90"/>
      <c r="AIW230" s="90"/>
      <c r="AIX230" s="90"/>
      <c r="AIY230" s="90"/>
      <c r="AIZ230" s="90"/>
      <c r="AJA230" s="90"/>
      <c r="AJB230" s="90"/>
      <c r="AJC230" s="90"/>
      <c r="AJD230" s="90"/>
      <c r="AJE230" s="90"/>
      <c r="AJF230" s="90"/>
      <c r="AJG230" s="90"/>
      <c r="AJH230" s="90"/>
      <c r="AJI230" s="90"/>
      <c r="AJJ230" s="90"/>
      <c r="AJK230" s="90"/>
      <c r="AJL230" s="90"/>
      <c r="AJM230" s="90"/>
      <c r="AJN230" s="90"/>
      <c r="AJO230" s="90"/>
      <c r="AJP230" s="90"/>
      <c r="AJQ230" s="90"/>
      <c r="AJR230" s="90"/>
      <c r="AJS230" s="90"/>
      <c r="AJT230" s="90"/>
      <c r="AJU230" s="90"/>
      <c r="AJV230" s="90"/>
      <c r="AJW230" s="90"/>
      <c r="AJX230" s="90"/>
      <c r="AJY230" s="90"/>
      <c r="AJZ230" s="90"/>
      <c r="AKA230" s="90"/>
      <c r="AKB230" s="90"/>
      <c r="AKC230" s="90"/>
      <c r="AKD230" s="90"/>
      <c r="AKE230" s="90"/>
      <c r="AKF230" s="90"/>
      <c r="AKG230" s="90"/>
      <c r="AKH230" s="90"/>
      <c r="AKI230" s="90"/>
      <c r="AKJ230" s="90"/>
      <c r="AKK230" s="90"/>
      <c r="AKL230" s="90"/>
      <c r="AKM230" s="90"/>
      <c r="AKN230" s="90"/>
      <c r="AKO230" s="90"/>
      <c r="AKP230" s="90"/>
      <c r="AKQ230" s="90"/>
      <c r="AKR230" s="90"/>
      <c r="AKS230" s="90"/>
      <c r="AKT230" s="90"/>
      <c r="AKU230" s="90"/>
      <c r="AKV230" s="90"/>
      <c r="AKW230" s="90"/>
      <c r="AKX230" s="90"/>
      <c r="AKY230" s="90"/>
      <c r="AKZ230" s="90"/>
      <c r="ALA230" s="90"/>
      <c r="ALB230" s="90"/>
      <c r="ALC230" s="90"/>
      <c r="ALD230" s="90"/>
      <c r="ALE230" s="90"/>
      <c r="ALF230" s="90"/>
      <c r="ALG230" s="90"/>
      <c r="ALH230" s="90"/>
      <c r="ALI230" s="90"/>
      <c r="ALJ230" s="90"/>
      <c r="ALK230" s="90"/>
      <c r="ALL230" s="90"/>
      <c r="ALM230" s="90"/>
      <c r="ALN230" s="90"/>
      <c r="ALO230" s="90"/>
      <c r="ALP230" s="90"/>
      <c r="ALQ230" s="90"/>
      <c r="ALR230" s="90"/>
      <c r="ALS230" s="90"/>
      <c r="ALT230" s="90"/>
      <c r="ALU230" s="90"/>
      <c r="ALV230" s="90"/>
      <c r="ALW230" s="90"/>
      <c r="ALX230" s="90"/>
      <c r="ALY230" s="90"/>
      <c r="ALZ230" s="90"/>
      <c r="AMA230" s="90"/>
      <c r="AMB230" s="90"/>
      <c r="AMC230" s="90"/>
    </row>
    <row r="231" spans="1:1017">
      <c r="A231" s="98" t="s">
        <v>50</v>
      </c>
      <c r="B231" s="90" t="str">
        <f t="shared" ref="B231:B240" si="1554">B193</f>
        <v xml:space="preserve">Udang_01 (Udang Api-Api) </v>
      </c>
      <c r="E231" s="98">
        <v>6000</v>
      </c>
      <c r="F231" s="98">
        <v>240000</v>
      </c>
      <c r="Q231" s="91">
        <f t="shared" si="1454"/>
        <v>6000</v>
      </c>
      <c r="R231" s="91">
        <f t="shared" si="1455"/>
        <v>240000</v>
      </c>
      <c r="AG231" s="91">
        <f t="shared" si="1456"/>
        <v>0</v>
      </c>
      <c r="AH231" s="91">
        <f t="shared" si="1457"/>
        <v>0</v>
      </c>
      <c r="AW231" s="91">
        <f t="shared" si="1458"/>
        <v>0</v>
      </c>
      <c r="AX231" s="91">
        <f t="shared" si="1459"/>
        <v>0</v>
      </c>
      <c r="BM231" s="91">
        <f t="shared" si="1460"/>
        <v>0</v>
      </c>
      <c r="BN231" s="91">
        <f t="shared" si="1461"/>
        <v>0</v>
      </c>
      <c r="CC231" s="91">
        <f t="shared" si="1462"/>
        <v>0</v>
      </c>
      <c r="CD231" s="91">
        <f t="shared" si="1463"/>
        <v>0</v>
      </c>
      <c r="CS231" s="91">
        <f t="shared" si="1548"/>
        <v>0</v>
      </c>
      <c r="CT231" s="91">
        <f t="shared" si="1549"/>
        <v>0</v>
      </c>
      <c r="DI231" s="91">
        <f t="shared" si="1466"/>
        <v>0</v>
      </c>
      <c r="DJ231" s="91">
        <f t="shared" si="1467"/>
        <v>0</v>
      </c>
      <c r="DY231" s="91">
        <f t="shared" si="1468"/>
        <v>0</v>
      </c>
      <c r="DZ231" s="91">
        <f t="shared" si="1469"/>
        <v>0</v>
      </c>
      <c r="EO231" s="91">
        <f t="shared" si="1470"/>
        <v>0</v>
      </c>
      <c r="EP231" s="91">
        <f t="shared" si="1471"/>
        <v>0</v>
      </c>
      <c r="FE231" s="91">
        <f t="shared" si="1472"/>
        <v>0</v>
      </c>
      <c r="FF231" s="91">
        <f t="shared" si="1473"/>
        <v>0</v>
      </c>
      <c r="FU231" s="91">
        <f t="shared" si="1474"/>
        <v>0</v>
      </c>
      <c r="FV231" s="91">
        <f t="shared" si="1475"/>
        <v>0</v>
      </c>
      <c r="GK231" s="91">
        <f t="shared" si="1476"/>
        <v>0</v>
      </c>
      <c r="GL231" s="91">
        <f t="shared" si="1477"/>
        <v>0</v>
      </c>
      <c r="HA231" s="91">
        <f t="shared" si="1478"/>
        <v>0</v>
      </c>
      <c r="HB231" s="91">
        <f t="shared" si="1479"/>
        <v>0</v>
      </c>
      <c r="HQ231" s="91">
        <f t="shared" si="1480"/>
        <v>0</v>
      </c>
      <c r="HR231" s="91">
        <f t="shared" si="1481"/>
        <v>0</v>
      </c>
      <c r="IG231" s="91">
        <f t="shared" si="1482"/>
        <v>0</v>
      </c>
      <c r="IH231" s="91">
        <f t="shared" si="1483"/>
        <v>0</v>
      </c>
      <c r="IW231" s="91">
        <f t="shared" si="1484"/>
        <v>0</v>
      </c>
      <c r="IX231" s="91">
        <f t="shared" si="1485"/>
        <v>0</v>
      </c>
      <c r="JM231" s="91">
        <f t="shared" si="1486"/>
        <v>0</v>
      </c>
      <c r="JN231" s="91">
        <f t="shared" si="1487"/>
        <v>0</v>
      </c>
      <c r="KC231" s="91">
        <f t="shared" si="1488"/>
        <v>0</v>
      </c>
      <c r="KD231" s="91">
        <f t="shared" si="1489"/>
        <v>0</v>
      </c>
      <c r="KS231" s="91">
        <f t="shared" si="1490"/>
        <v>0</v>
      </c>
      <c r="KT231" s="91">
        <f t="shared" si="1491"/>
        <v>0</v>
      </c>
      <c r="LI231" s="91">
        <f t="shared" si="1492"/>
        <v>0</v>
      </c>
      <c r="LJ231" s="91">
        <f t="shared" si="1493"/>
        <v>0</v>
      </c>
      <c r="LY231" s="91">
        <f t="shared" si="1494"/>
        <v>0</v>
      </c>
      <c r="LZ231" s="91">
        <f t="shared" si="1495"/>
        <v>0</v>
      </c>
      <c r="MC231" s="98">
        <v>11500</v>
      </c>
      <c r="MD231" s="98">
        <v>460000</v>
      </c>
      <c r="MO231" s="91">
        <f t="shared" si="1496"/>
        <v>11500</v>
      </c>
      <c r="MP231" s="91">
        <f t="shared" si="1497"/>
        <v>460000</v>
      </c>
      <c r="NE231" s="91">
        <f t="shared" si="1498"/>
        <v>0</v>
      </c>
      <c r="NF231" s="91">
        <f t="shared" si="1499"/>
        <v>0</v>
      </c>
      <c r="NI231" s="98">
        <v>47800</v>
      </c>
      <c r="NJ231" s="98">
        <v>2151000</v>
      </c>
      <c r="NU231" s="91">
        <f t="shared" si="1500"/>
        <v>47800</v>
      </c>
      <c r="NV231" s="91">
        <f t="shared" si="1501"/>
        <v>2151000</v>
      </c>
      <c r="OK231" s="91">
        <f t="shared" si="1502"/>
        <v>0</v>
      </c>
      <c r="OL231" s="91">
        <f t="shared" si="1503"/>
        <v>0</v>
      </c>
      <c r="PA231" s="91">
        <f t="shared" si="1504"/>
        <v>0</v>
      </c>
      <c r="PB231" s="91">
        <f t="shared" si="1505"/>
        <v>0</v>
      </c>
      <c r="PQ231" s="91">
        <f t="shared" si="1506"/>
        <v>0</v>
      </c>
      <c r="PR231" s="91">
        <f t="shared" si="1507"/>
        <v>0</v>
      </c>
      <c r="QG231" s="91">
        <f t="shared" si="1508"/>
        <v>0</v>
      </c>
      <c r="QH231" s="91">
        <f t="shared" si="1509"/>
        <v>0</v>
      </c>
      <c r="QW231" s="91">
        <f t="shared" si="1510"/>
        <v>0</v>
      </c>
      <c r="QX231" s="91">
        <f t="shared" si="1511"/>
        <v>0</v>
      </c>
      <c r="RM231" s="91">
        <f t="shared" si="1512"/>
        <v>0</v>
      </c>
      <c r="RN231" s="91">
        <f t="shared" si="1513"/>
        <v>0</v>
      </c>
      <c r="SC231" s="91">
        <f t="shared" si="1514"/>
        <v>0</v>
      </c>
      <c r="SD231" s="91">
        <f t="shared" si="1515"/>
        <v>0</v>
      </c>
      <c r="SS231" s="91">
        <f t="shared" si="1516"/>
        <v>0</v>
      </c>
      <c r="ST231" s="91">
        <f t="shared" si="1517"/>
        <v>0</v>
      </c>
      <c r="TI231" s="91">
        <f t="shared" si="1518"/>
        <v>0</v>
      </c>
      <c r="TJ231" s="91">
        <f t="shared" si="1519"/>
        <v>0</v>
      </c>
      <c r="TY231" s="91">
        <f t="shared" si="1520"/>
        <v>0</v>
      </c>
      <c r="TZ231" s="91">
        <f t="shared" si="1521"/>
        <v>0</v>
      </c>
      <c r="UO231" s="91">
        <f t="shared" si="1522"/>
        <v>0</v>
      </c>
      <c r="UP231" s="91">
        <f t="shared" si="1523"/>
        <v>0</v>
      </c>
      <c r="VE231" s="91">
        <f t="shared" si="1524"/>
        <v>0</v>
      </c>
      <c r="VF231" s="91">
        <f t="shared" si="1525"/>
        <v>0</v>
      </c>
      <c r="VU231" s="91">
        <f t="shared" si="1526"/>
        <v>0</v>
      </c>
      <c r="VV231" s="91">
        <f t="shared" si="1527"/>
        <v>0</v>
      </c>
      <c r="WK231" s="91">
        <f t="shared" si="1528"/>
        <v>0</v>
      </c>
      <c r="WL231" s="91">
        <f t="shared" si="1529"/>
        <v>0</v>
      </c>
      <c r="WM231" s="89"/>
      <c r="WN231" s="87">
        <f t="shared" si="1530"/>
        <v>0</v>
      </c>
      <c r="WO231" s="87">
        <f t="shared" si="1531"/>
        <v>0</v>
      </c>
      <c r="WP231" s="87">
        <f t="shared" si="1532"/>
        <v>65300</v>
      </c>
      <c r="WQ231" s="87">
        <f t="shared" si="1533"/>
        <v>2851000</v>
      </c>
      <c r="WR231" s="87">
        <f t="shared" si="1534"/>
        <v>0</v>
      </c>
      <c r="WS231" s="87">
        <f t="shared" si="1535"/>
        <v>0</v>
      </c>
      <c r="WT231" s="87">
        <f t="shared" si="1536"/>
        <v>0</v>
      </c>
      <c r="WU231" s="87">
        <f t="shared" si="1537"/>
        <v>0</v>
      </c>
      <c r="WV231" s="87">
        <f t="shared" si="1538"/>
        <v>0</v>
      </c>
      <c r="WW231" s="87">
        <f t="shared" si="1539"/>
        <v>0</v>
      </c>
      <c r="WX231" s="87">
        <f t="shared" si="1540"/>
        <v>0</v>
      </c>
      <c r="WY231" s="87">
        <f t="shared" si="1541"/>
        <v>0</v>
      </c>
      <c r="WZ231" s="87">
        <f t="shared" si="1550"/>
        <v>0</v>
      </c>
      <c r="XA231" s="87">
        <f t="shared" si="1551"/>
        <v>0</v>
      </c>
      <c r="XB231" s="92">
        <f t="shared" si="1552"/>
        <v>65300</v>
      </c>
      <c r="XC231" s="92">
        <f t="shared" si="1553"/>
        <v>2851000</v>
      </c>
      <c r="XD231" s="89"/>
      <c r="XE231" s="92"/>
      <c r="XF231" s="92"/>
      <c r="XG231" s="89"/>
      <c r="XH231" s="92"/>
      <c r="XI231" s="92"/>
      <c r="XJ231" s="89"/>
      <c r="XK231" s="87"/>
      <c r="XL231" s="87"/>
      <c r="XM231" s="87"/>
      <c r="XN231" s="87"/>
      <c r="XO231" s="87"/>
      <c r="XP231" s="87"/>
      <c r="XQ231" s="87"/>
      <c r="XR231" s="92">
        <f t="shared" ca="1" si="1546"/>
        <v>0</v>
      </c>
      <c r="XS231" s="89"/>
      <c r="XT231" s="87"/>
      <c r="XU231" s="87"/>
      <c r="XV231" s="87"/>
      <c r="XW231" s="87"/>
      <c r="XX231" s="87"/>
      <c r="XY231" s="87"/>
      <c r="XZ231" s="87"/>
      <c r="YA231" s="92">
        <f t="shared" ca="1" si="1547"/>
        <v>0</v>
      </c>
      <c r="YB231" s="90"/>
      <c r="YC231" s="90"/>
      <c r="YD231" s="90"/>
      <c r="YE231" s="90"/>
      <c r="YF231" s="90"/>
      <c r="YG231" s="90"/>
      <c r="YH231" s="90"/>
      <c r="YI231" s="90"/>
      <c r="YJ231" s="90"/>
      <c r="YK231" s="90"/>
      <c r="YL231" s="90"/>
      <c r="YM231" s="90"/>
      <c r="YN231" s="90"/>
      <c r="YO231" s="90"/>
      <c r="YP231" s="90"/>
      <c r="YQ231" s="90"/>
      <c r="YR231" s="90"/>
      <c r="YS231" s="90"/>
      <c r="YT231" s="90"/>
      <c r="YU231" s="90"/>
      <c r="YV231" s="90"/>
      <c r="YW231" s="90"/>
      <c r="YX231" s="90"/>
      <c r="YY231" s="90"/>
      <c r="YZ231" s="90"/>
      <c r="ZA231" s="90"/>
      <c r="ZB231" s="90"/>
      <c r="ZC231" s="90"/>
      <c r="ZD231" s="90"/>
      <c r="ZE231" s="90"/>
      <c r="ZF231" s="90"/>
      <c r="ZG231" s="90"/>
      <c r="ZH231" s="90"/>
      <c r="ZI231" s="90"/>
      <c r="ZJ231" s="90"/>
      <c r="ZK231" s="90"/>
      <c r="ZL231" s="90"/>
      <c r="ZM231" s="90"/>
      <c r="ZN231" s="90"/>
      <c r="ZO231" s="90"/>
      <c r="ZP231" s="90"/>
      <c r="ZQ231" s="90"/>
      <c r="ZR231" s="90"/>
      <c r="ZS231" s="90"/>
      <c r="ZT231" s="90"/>
      <c r="ZU231" s="90"/>
      <c r="ZV231" s="90"/>
      <c r="ZW231" s="90"/>
      <c r="ZX231" s="90"/>
      <c r="ZY231" s="90"/>
      <c r="ZZ231" s="90"/>
      <c r="AAA231" s="90"/>
      <c r="AAB231" s="90"/>
      <c r="AAC231" s="90"/>
      <c r="AAD231" s="90"/>
      <c r="AAE231" s="90"/>
      <c r="AAF231" s="90"/>
      <c r="AAG231" s="90"/>
      <c r="AAH231" s="90"/>
      <c r="AAI231" s="90"/>
      <c r="AAJ231" s="90"/>
      <c r="AAK231" s="90"/>
      <c r="AAL231" s="90"/>
      <c r="AAM231" s="90"/>
      <c r="AAN231" s="90"/>
      <c r="AAO231" s="90"/>
      <c r="AAP231" s="90"/>
      <c r="AAQ231" s="90"/>
      <c r="AAR231" s="90"/>
      <c r="AAS231" s="90"/>
      <c r="AAT231" s="90"/>
      <c r="AAU231" s="90"/>
      <c r="AAV231" s="90"/>
      <c r="AAW231" s="90"/>
      <c r="AAX231" s="90"/>
      <c r="AAY231" s="90"/>
      <c r="AAZ231" s="90"/>
      <c r="ABA231" s="90"/>
      <c r="ABB231" s="90"/>
      <c r="ABC231" s="90"/>
      <c r="ABD231" s="90"/>
      <c r="ABE231" s="90"/>
      <c r="ABF231" s="90"/>
      <c r="ABG231" s="90"/>
      <c r="ABH231" s="90"/>
      <c r="ABI231" s="90"/>
      <c r="ABJ231" s="90"/>
      <c r="ABK231" s="90"/>
      <c r="ABL231" s="90"/>
      <c r="ABM231" s="90"/>
      <c r="ABN231" s="90"/>
      <c r="ABO231" s="90"/>
      <c r="ABP231" s="90"/>
      <c r="ABQ231" s="90"/>
      <c r="ABR231" s="90"/>
      <c r="ABS231" s="90"/>
      <c r="ABT231" s="90"/>
      <c r="ABU231" s="90"/>
      <c r="ABV231" s="90"/>
      <c r="ABW231" s="90"/>
      <c r="ABX231" s="90"/>
      <c r="ABY231" s="90"/>
      <c r="ABZ231" s="90"/>
      <c r="ACA231" s="90"/>
      <c r="ACB231" s="90"/>
      <c r="ACC231" s="90"/>
      <c r="ACD231" s="90"/>
      <c r="ACE231" s="90"/>
      <c r="ACF231" s="90"/>
      <c r="ACG231" s="90"/>
      <c r="ACH231" s="90"/>
      <c r="ACI231" s="90"/>
      <c r="ACJ231" s="90"/>
      <c r="ACK231" s="90"/>
      <c r="ACL231" s="90"/>
      <c r="ACM231" s="90"/>
      <c r="ACN231" s="90"/>
      <c r="ACO231" s="90"/>
      <c r="ACP231" s="90"/>
      <c r="ACQ231" s="90"/>
      <c r="ACR231" s="90"/>
      <c r="ACS231" s="90"/>
      <c r="ACT231" s="90"/>
      <c r="ACU231" s="90"/>
      <c r="ACV231" s="90"/>
      <c r="ACW231" s="90"/>
      <c r="ACX231" s="90"/>
      <c r="ACY231" s="90"/>
      <c r="ACZ231" s="90"/>
      <c r="ADA231" s="90"/>
      <c r="ADB231" s="90"/>
      <c r="ADC231" s="90"/>
      <c r="ADD231" s="90"/>
      <c r="ADE231" s="90"/>
      <c r="ADF231" s="90"/>
      <c r="ADG231" s="90"/>
      <c r="ADH231" s="90"/>
      <c r="ADI231" s="90"/>
      <c r="ADJ231" s="90"/>
      <c r="ADK231" s="90"/>
      <c r="ADL231" s="90"/>
      <c r="ADM231" s="90"/>
      <c r="ADN231" s="90"/>
      <c r="ADO231" s="90"/>
      <c r="ADP231" s="90"/>
      <c r="ADQ231" s="90"/>
      <c r="ADR231" s="90"/>
      <c r="ADS231" s="90"/>
      <c r="ADT231" s="90"/>
      <c r="ADU231" s="90"/>
      <c r="ADV231" s="90"/>
      <c r="ADW231" s="90"/>
      <c r="ADX231" s="90"/>
      <c r="ADY231" s="90"/>
      <c r="ADZ231" s="90"/>
      <c r="AEA231" s="90"/>
      <c r="AEB231" s="90"/>
      <c r="AEC231" s="90"/>
      <c r="AED231" s="90"/>
      <c r="AEE231" s="90"/>
      <c r="AEF231" s="90"/>
      <c r="AEG231" s="90"/>
      <c r="AEH231" s="90"/>
      <c r="AEI231" s="90"/>
      <c r="AEJ231" s="90"/>
      <c r="AEK231" s="90"/>
      <c r="AEL231" s="90"/>
      <c r="AEM231" s="90"/>
      <c r="AEN231" s="90"/>
      <c r="AEO231" s="90"/>
      <c r="AEP231" s="90"/>
      <c r="AEQ231" s="90"/>
      <c r="AER231" s="90"/>
      <c r="AES231" s="90"/>
      <c r="AET231" s="90"/>
      <c r="AEU231" s="90"/>
      <c r="AEV231" s="90"/>
      <c r="AEW231" s="90"/>
      <c r="AEX231" s="90"/>
      <c r="AEY231" s="90"/>
      <c r="AEZ231" s="90"/>
      <c r="AFA231" s="90"/>
      <c r="AFB231" s="90"/>
      <c r="AFC231" s="90"/>
      <c r="AFD231" s="90"/>
      <c r="AFE231" s="90"/>
      <c r="AFF231" s="90"/>
      <c r="AFG231" s="90"/>
      <c r="AFH231" s="90"/>
      <c r="AFI231" s="90"/>
      <c r="AFJ231" s="90"/>
      <c r="AFK231" s="90"/>
      <c r="AFL231" s="90"/>
      <c r="AFM231" s="90"/>
      <c r="AFN231" s="90"/>
      <c r="AFO231" s="90"/>
      <c r="AFP231" s="90"/>
      <c r="AFQ231" s="90"/>
      <c r="AFR231" s="90"/>
      <c r="AFS231" s="90"/>
      <c r="AFT231" s="90"/>
      <c r="AFU231" s="90"/>
      <c r="AFV231" s="90"/>
      <c r="AFW231" s="90"/>
      <c r="AFX231" s="90"/>
      <c r="AFY231" s="90"/>
      <c r="AFZ231" s="90"/>
      <c r="AGA231" s="90"/>
      <c r="AGB231" s="90"/>
      <c r="AGC231" s="90"/>
      <c r="AGD231" s="90"/>
      <c r="AGE231" s="90"/>
      <c r="AGF231" s="90"/>
      <c r="AGG231" s="90"/>
      <c r="AGH231" s="90"/>
      <c r="AGI231" s="90"/>
      <c r="AGJ231" s="90"/>
      <c r="AGK231" s="90"/>
      <c r="AGL231" s="90"/>
      <c r="AGM231" s="90"/>
      <c r="AGN231" s="90"/>
      <c r="AGO231" s="90"/>
      <c r="AGP231" s="90"/>
      <c r="AGQ231" s="90"/>
      <c r="AGR231" s="90"/>
      <c r="AGS231" s="90"/>
      <c r="AGT231" s="90"/>
      <c r="AGU231" s="90"/>
      <c r="AGV231" s="90"/>
      <c r="AGW231" s="90"/>
      <c r="AGX231" s="90"/>
      <c r="AGY231" s="90"/>
      <c r="AGZ231" s="90"/>
      <c r="AHA231" s="90"/>
      <c r="AHB231" s="90"/>
      <c r="AHC231" s="90"/>
      <c r="AHD231" s="90"/>
      <c r="AHE231" s="90"/>
      <c r="AHF231" s="90"/>
      <c r="AHG231" s="90"/>
      <c r="AHH231" s="90"/>
      <c r="AHI231" s="90"/>
      <c r="AHJ231" s="90"/>
      <c r="AHK231" s="90"/>
      <c r="AHL231" s="90"/>
      <c r="AHM231" s="90"/>
      <c r="AHN231" s="90"/>
      <c r="AHO231" s="90"/>
      <c r="AHP231" s="90"/>
      <c r="AHQ231" s="90"/>
      <c r="AHR231" s="90"/>
      <c r="AHS231" s="90"/>
      <c r="AHT231" s="90"/>
      <c r="AHU231" s="90"/>
      <c r="AHV231" s="90"/>
      <c r="AHW231" s="90"/>
      <c r="AHX231" s="90"/>
      <c r="AHY231" s="90"/>
      <c r="AHZ231" s="90"/>
      <c r="AIA231" s="90"/>
      <c r="AIB231" s="90"/>
      <c r="AIC231" s="90"/>
      <c r="AID231" s="90"/>
      <c r="AIE231" s="90"/>
      <c r="AIF231" s="90"/>
      <c r="AIG231" s="90"/>
      <c r="AIH231" s="90"/>
      <c r="AII231" s="90"/>
      <c r="AIJ231" s="90"/>
      <c r="AIK231" s="90"/>
      <c r="AIL231" s="90"/>
      <c r="AIM231" s="90"/>
      <c r="AIN231" s="90"/>
      <c r="AIO231" s="90"/>
      <c r="AIP231" s="90"/>
      <c r="AIQ231" s="90"/>
      <c r="AIR231" s="90"/>
      <c r="AIS231" s="90"/>
      <c r="AIT231" s="90"/>
      <c r="AIU231" s="90"/>
      <c r="AIV231" s="90"/>
      <c r="AIW231" s="90"/>
      <c r="AIX231" s="90"/>
      <c r="AIY231" s="90"/>
      <c r="AIZ231" s="90"/>
      <c r="AJA231" s="90"/>
      <c r="AJB231" s="90"/>
      <c r="AJC231" s="90"/>
      <c r="AJD231" s="90"/>
      <c r="AJE231" s="90"/>
      <c r="AJF231" s="90"/>
      <c r="AJG231" s="90"/>
      <c r="AJH231" s="90"/>
      <c r="AJI231" s="90"/>
      <c r="AJJ231" s="90"/>
      <c r="AJK231" s="90"/>
      <c r="AJL231" s="90"/>
      <c r="AJM231" s="90"/>
      <c r="AJN231" s="90"/>
      <c r="AJO231" s="90"/>
      <c r="AJP231" s="90"/>
      <c r="AJQ231" s="90"/>
      <c r="AJR231" s="90"/>
      <c r="AJS231" s="90"/>
      <c r="AJT231" s="90"/>
      <c r="AJU231" s="90"/>
      <c r="AJV231" s="90"/>
      <c r="AJW231" s="90"/>
      <c r="AJX231" s="90"/>
      <c r="AJY231" s="90"/>
      <c r="AJZ231" s="90"/>
      <c r="AKA231" s="90"/>
      <c r="AKB231" s="90"/>
      <c r="AKC231" s="90"/>
      <c r="AKD231" s="90"/>
      <c r="AKE231" s="90"/>
      <c r="AKF231" s="90"/>
      <c r="AKG231" s="90"/>
      <c r="AKH231" s="90"/>
      <c r="AKI231" s="90"/>
      <c r="AKJ231" s="90"/>
      <c r="AKK231" s="90"/>
      <c r="AKL231" s="90"/>
      <c r="AKM231" s="90"/>
      <c r="AKN231" s="90"/>
      <c r="AKO231" s="90"/>
      <c r="AKP231" s="90"/>
      <c r="AKQ231" s="90"/>
      <c r="AKR231" s="90"/>
      <c r="AKS231" s="90"/>
      <c r="AKT231" s="90"/>
      <c r="AKU231" s="90"/>
      <c r="AKV231" s="90"/>
      <c r="AKW231" s="90"/>
      <c r="AKX231" s="90"/>
      <c r="AKY231" s="90"/>
      <c r="AKZ231" s="90"/>
      <c r="ALA231" s="90"/>
      <c r="ALB231" s="90"/>
      <c r="ALC231" s="90"/>
      <c r="ALD231" s="90"/>
      <c r="ALE231" s="90"/>
      <c r="ALF231" s="90"/>
      <c r="ALG231" s="90"/>
      <c r="ALH231" s="90"/>
      <c r="ALI231" s="90"/>
      <c r="ALJ231" s="90"/>
      <c r="ALK231" s="90"/>
      <c r="ALL231" s="90"/>
      <c r="ALM231" s="90"/>
      <c r="ALN231" s="90"/>
      <c r="ALO231" s="90"/>
      <c r="ALP231" s="90"/>
      <c r="ALQ231" s="90"/>
      <c r="ALR231" s="90"/>
      <c r="ALS231" s="90"/>
      <c r="ALT231" s="90"/>
      <c r="ALU231" s="90"/>
      <c r="ALV231" s="90"/>
      <c r="ALW231" s="90"/>
      <c r="ALX231" s="90"/>
      <c r="ALY231" s="90"/>
      <c r="ALZ231" s="90"/>
      <c r="AMA231" s="90"/>
      <c r="AMB231" s="90"/>
      <c r="AMC231" s="90"/>
    </row>
    <row r="232" spans="1:1017">
      <c r="A232" s="98" t="s">
        <v>50</v>
      </c>
      <c r="B232" s="90" t="str">
        <f>B194</f>
        <v xml:space="preserve">Udang_02 (Udang Rebon) </v>
      </c>
      <c r="Q232" s="91">
        <f t="shared" si="1454"/>
        <v>0</v>
      </c>
      <c r="R232" s="91">
        <f t="shared" si="1455"/>
        <v>0</v>
      </c>
      <c r="AG232" s="91">
        <f t="shared" si="1456"/>
        <v>0</v>
      </c>
      <c r="AH232" s="91">
        <f t="shared" si="1457"/>
        <v>0</v>
      </c>
      <c r="AW232" s="91">
        <f t="shared" si="1458"/>
        <v>0</v>
      </c>
      <c r="AX232" s="91">
        <f t="shared" si="1459"/>
        <v>0</v>
      </c>
      <c r="BM232" s="91">
        <f t="shared" si="1460"/>
        <v>0</v>
      </c>
      <c r="BN232" s="91">
        <f t="shared" si="1461"/>
        <v>0</v>
      </c>
      <c r="CC232" s="91">
        <f t="shared" si="1462"/>
        <v>0</v>
      </c>
      <c r="CD232" s="91">
        <f t="shared" si="1463"/>
        <v>0</v>
      </c>
      <c r="CS232" s="91">
        <f t="shared" si="1548"/>
        <v>0</v>
      </c>
      <c r="CT232" s="91">
        <f t="shared" si="1549"/>
        <v>0</v>
      </c>
      <c r="DI232" s="91">
        <f t="shared" si="1466"/>
        <v>0</v>
      </c>
      <c r="DJ232" s="91">
        <f t="shared" si="1467"/>
        <v>0</v>
      </c>
      <c r="DY232" s="91">
        <f t="shared" si="1468"/>
        <v>0</v>
      </c>
      <c r="DZ232" s="91">
        <f t="shared" si="1469"/>
        <v>0</v>
      </c>
      <c r="EO232" s="91">
        <f t="shared" si="1470"/>
        <v>0</v>
      </c>
      <c r="EP232" s="91">
        <f t="shared" si="1471"/>
        <v>0</v>
      </c>
      <c r="FE232" s="91">
        <f t="shared" si="1472"/>
        <v>0</v>
      </c>
      <c r="FF232" s="91">
        <f t="shared" si="1473"/>
        <v>0</v>
      </c>
      <c r="FU232" s="91">
        <f t="shared" si="1474"/>
        <v>0</v>
      </c>
      <c r="FV232" s="91">
        <f t="shared" si="1475"/>
        <v>0</v>
      </c>
      <c r="GK232" s="91">
        <f t="shared" si="1476"/>
        <v>0</v>
      </c>
      <c r="GL232" s="91">
        <f t="shared" si="1477"/>
        <v>0</v>
      </c>
      <c r="HA232" s="91">
        <f t="shared" si="1478"/>
        <v>0</v>
      </c>
      <c r="HB232" s="91">
        <f t="shared" si="1479"/>
        <v>0</v>
      </c>
      <c r="HQ232" s="91">
        <f t="shared" si="1480"/>
        <v>0</v>
      </c>
      <c r="HR232" s="91">
        <f t="shared" si="1481"/>
        <v>0</v>
      </c>
      <c r="IG232" s="91">
        <f t="shared" si="1482"/>
        <v>0</v>
      </c>
      <c r="IH232" s="91">
        <f t="shared" si="1483"/>
        <v>0</v>
      </c>
      <c r="IW232" s="91">
        <f t="shared" si="1484"/>
        <v>0</v>
      </c>
      <c r="IX232" s="91">
        <f t="shared" si="1485"/>
        <v>0</v>
      </c>
      <c r="JM232" s="91">
        <f t="shared" si="1486"/>
        <v>0</v>
      </c>
      <c r="JN232" s="91">
        <f t="shared" si="1487"/>
        <v>0</v>
      </c>
      <c r="KC232" s="91">
        <f t="shared" si="1488"/>
        <v>0</v>
      </c>
      <c r="KD232" s="91">
        <f t="shared" si="1489"/>
        <v>0</v>
      </c>
      <c r="KS232" s="91">
        <f t="shared" si="1490"/>
        <v>0</v>
      </c>
      <c r="KT232" s="91">
        <f t="shared" si="1491"/>
        <v>0</v>
      </c>
      <c r="LI232" s="91">
        <f t="shared" si="1492"/>
        <v>0</v>
      </c>
      <c r="LJ232" s="91">
        <f t="shared" si="1493"/>
        <v>0</v>
      </c>
      <c r="LY232" s="91">
        <f t="shared" si="1494"/>
        <v>0</v>
      </c>
      <c r="LZ232" s="91">
        <f t="shared" si="1495"/>
        <v>0</v>
      </c>
      <c r="MO232" s="91">
        <f t="shared" si="1496"/>
        <v>0</v>
      </c>
      <c r="MP232" s="91">
        <f t="shared" si="1497"/>
        <v>0</v>
      </c>
      <c r="NE232" s="91">
        <f t="shared" si="1498"/>
        <v>0</v>
      </c>
      <c r="NF232" s="91">
        <f t="shared" si="1499"/>
        <v>0</v>
      </c>
      <c r="NI232" s="98">
        <v>174900</v>
      </c>
      <c r="NJ232" s="98">
        <v>6996000</v>
      </c>
      <c r="NU232" s="91">
        <f t="shared" si="1500"/>
        <v>174900</v>
      </c>
      <c r="NV232" s="91">
        <f t="shared" si="1501"/>
        <v>6996000</v>
      </c>
      <c r="OK232" s="91">
        <f t="shared" si="1502"/>
        <v>0</v>
      </c>
      <c r="OL232" s="91">
        <f t="shared" si="1503"/>
        <v>0</v>
      </c>
      <c r="PA232" s="91">
        <f t="shared" si="1504"/>
        <v>0</v>
      </c>
      <c r="PB232" s="91">
        <f t="shared" si="1505"/>
        <v>0</v>
      </c>
      <c r="PQ232" s="91">
        <f t="shared" si="1506"/>
        <v>0</v>
      </c>
      <c r="PR232" s="91">
        <f t="shared" si="1507"/>
        <v>0</v>
      </c>
      <c r="QG232" s="91">
        <f t="shared" si="1508"/>
        <v>0</v>
      </c>
      <c r="QH232" s="91">
        <f t="shared" si="1509"/>
        <v>0</v>
      </c>
      <c r="QW232" s="91">
        <f t="shared" si="1510"/>
        <v>0</v>
      </c>
      <c r="QX232" s="91">
        <f t="shared" si="1511"/>
        <v>0</v>
      </c>
      <c r="RM232" s="91">
        <f t="shared" si="1512"/>
        <v>0</v>
      </c>
      <c r="RN232" s="91">
        <f t="shared" si="1513"/>
        <v>0</v>
      </c>
      <c r="SC232" s="91">
        <f t="shared" si="1514"/>
        <v>0</v>
      </c>
      <c r="SD232" s="91">
        <f t="shared" si="1515"/>
        <v>0</v>
      </c>
      <c r="SS232" s="91">
        <f t="shared" si="1516"/>
        <v>0</v>
      </c>
      <c r="ST232" s="91">
        <f t="shared" si="1517"/>
        <v>0</v>
      </c>
      <c r="TI232" s="91">
        <f t="shared" si="1518"/>
        <v>0</v>
      </c>
      <c r="TJ232" s="91">
        <f t="shared" si="1519"/>
        <v>0</v>
      </c>
      <c r="TY232" s="91">
        <f t="shared" si="1520"/>
        <v>0</v>
      </c>
      <c r="TZ232" s="91">
        <f t="shared" si="1521"/>
        <v>0</v>
      </c>
      <c r="UO232" s="91">
        <f t="shared" si="1522"/>
        <v>0</v>
      </c>
      <c r="UP232" s="91">
        <f t="shared" si="1523"/>
        <v>0</v>
      </c>
      <c r="VE232" s="91">
        <f t="shared" si="1524"/>
        <v>0</v>
      </c>
      <c r="VF232" s="91">
        <f t="shared" si="1525"/>
        <v>0</v>
      </c>
      <c r="VU232" s="91">
        <f t="shared" si="1526"/>
        <v>0</v>
      </c>
      <c r="VV232" s="91">
        <f t="shared" si="1527"/>
        <v>0</v>
      </c>
      <c r="WK232" s="91">
        <f t="shared" si="1528"/>
        <v>0</v>
      </c>
      <c r="WL232" s="91">
        <f t="shared" si="1529"/>
        <v>0</v>
      </c>
      <c r="WM232" s="89"/>
      <c r="WN232" s="87">
        <f t="shared" ref="WN232:WN240" si="1555">SUMIF($C$5:$WL$5,$WN$5,C232:WL232)</f>
        <v>0</v>
      </c>
      <c r="WO232" s="87">
        <f t="shared" ref="WO232:WO240" si="1556">SUMIF($C$5:$WL$5,$WO$5,C232:WL232)</f>
        <v>0</v>
      </c>
      <c r="WP232" s="87">
        <f t="shared" ref="WP232:WP240" si="1557">SUMIF($C$5:$WL$5,$WP$5,C232:WL232)</f>
        <v>174900</v>
      </c>
      <c r="WQ232" s="87">
        <f t="shared" ref="WQ232:WQ240" si="1558">SUMIF($C$5:$WL$5,$WQ$5,C232:WL232)</f>
        <v>6996000</v>
      </c>
      <c r="WR232" s="87">
        <f t="shared" ref="WR232:WR240" si="1559">SUMIF($C$5:$WL$5,$WR$5,C232:WL232)</f>
        <v>0</v>
      </c>
      <c r="WS232" s="87">
        <f t="shared" ref="WS232:WS240" si="1560">SUMIF($C$5:$WL$5,$WS$5,C232:WL232)</f>
        <v>0</v>
      </c>
      <c r="WT232" s="87">
        <f t="shared" ref="WT232:WT240" si="1561">SUMIF($C$5:$WL$5,$WT$5,C232:WL232)</f>
        <v>0</v>
      </c>
      <c r="WU232" s="87">
        <f t="shared" ref="WU232:WU240" si="1562">SUMIF($C$5:$WL$5,$WU$5,C232:WL232)</f>
        <v>0</v>
      </c>
      <c r="WV232" s="87">
        <f t="shared" ref="WV232:WV240" si="1563">SUMIF($C$5:$WL$5,$WV$5,C232:WL232)</f>
        <v>0</v>
      </c>
      <c r="WW232" s="87">
        <f t="shared" ref="WW232:WW240" si="1564">SUMIF($C$5:$WL$5,$WW$5,C232:WL232)</f>
        <v>0</v>
      </c>
      <c r="WX232" s="87">
        <f t="shared" ref="WX232:WX240" si="1565">SUMIF($C$5:$WL$5,$WX$5,C232:WL232)</f>
        <v>0</v>
      </c>
      <c r="WY232" s="87">
        <f t="shared" ref="WY232:WY240" si="1566">SUMIF($C$5:$WL$5,$WY$5,C232:WL232)</f>
        <v>0</v>
      </c>
      <c r="WZ232" s="87">
        <f t="shared" si="1550"/>
        <v>0</v>
      </c>
      <c r="XA232" s="87">
        <f t="shared" si="1551"/>
        <v>0</v>
      </c>
      <c r="XB232" s="92">
        <f t="shared" si="1552"/>
        <v>174900</v>
      </c>
      <c r="XC232" s="92">
        <f t="shared" si="1553"/>
        <v>6996000</v>
      </c>
      <c r="XD232" s="89"/>
      <c r="XE232" s="92"/>
      <c r="XF232" s="92"/>
      <c r="XG232" s="89"/>
      <c r="XH232" s="92"/>
      <c r="XI232" s="92"/>
      <c r="XJ232" s="89"/>
      <c r="XK232" s="87"/>
      <c r="XL232" s="87"/>
      <c r="XM232" s="87"/>
      <c r="XN232" s="87"/>
      <c r="XO232" s="87"/>
      <c r="XP232" s="87"/>
      <c r="XQ232" s="87"/>
      <c r="XR232" s="92">
        <f t="shared" ca="1" si="1546"/>
        <v>0</v>
      </c>
      <c r="XS232" s="89"/>
      <c r="XT232" s="87"/>
      <c r="XU232" s="87"/>
      <c r="XV232" s="87"/>
      <c r="XW232" s="87"/>
      <c r="XX232" s="87"/>
      <c r="XY232" s="87"/>
      <c r="XZ232" s="87"/>
      <c r="YA232" s="92">
        <f t="shared" ca="1" si="1547"/>
        <v>0</v>
      </c>
      <c r="YB232" s="90"/>
      <c r="YC232" s="90"/>
      <c r="YD232" s="90"/>
      <c r="YE232" s="90"/>
      <c r="YF232" s="90"/>
      <c r="YG232" s="90"/>
      <c r="YH232" s="90"/>
      <c r="YI232" s="90"/>
      <c r="YJ232" s="90"/>
      <c r="YK232" s="90"/>
      <c r="YL232" s="90"/>
      <c r="YM232" s="90"/>
      <c r="YN232" s="90"/>
      <c r="YO232" s="90"/>
      <c r="YP232" s="90"/>
      <c r="YQ232" s="90"/>
      <c r="YR232" s="90"/>
      <c r="YS232" s="90"/>
      <c r="YT232" s="90"/>
      <c r="YU232" s="90"/>
      <c r="YV232" s="90"/>
      <c r="YW232" s="90"/>
      <c r="YX232" s="90"/>
      <c r="YY232" s="90"/>
      <c r="YZ232" s="90"/>
      <c r="ZA232" s="90"/>
      <c r="ZB232" s="90"/>
      <c r="ZC232" s="90"/>
      <c r="ZD232" s="90"/>
      <c r="ZE232" s="90"/>
      <c r="ZF232" s="90"/>
      <c r="ZG232" s="90"/>
      <c r="ZH232" s="90"/>
      <c r="ZI232" s="90"/>
      <c r="ZJ232" s="90"/>
      <c r="ZK232" s="90"/>
      <c r="ZL232" s="90"/>
      <c r="ZM232" s="90"/>
      <c r="ZN232" s="90"/>
      <c r="ZO232" s="90"/>
      <c r="ZP232" s="90"/>
      <c r="ZQ232" s="90"/>
      <c r="ZR232" s="90"/>
      <c r="ZS232" s="90"/>
      <c r="ZT232" s="90"/>
      <c r="ZU232" s="90"/>
      <c r="ZV232" s="90"/>
      <c r="ZW232" s="90"/>
      <c r="ZX232" s="90"/>
      <c r="ZY232" s="90"/>
      <c r="ZZ232" s="90"/>
      <c r="AAA232" s="90"/>
      <c r="AAB232" s="90"/>
      <c r="AAC232" s="90"/>
      <c r="AAD232" s="90"/>
      <c r="AAE232" s="90"/>
      <c r="AAF232" s="90"/>
      <c r="AAG232" s="90"/>
      <c r="AAH232" s="90"/>
      <c r="AAI232" s="90"/>
      <c r="AAJ232" s="90"/>
      <c r="AAK232" s="90"/>
      <c r="AAL232" s="90"/>
      <c r="AAM232" s="90"/>
      <c r="AAN232" s="90"/>
      <c r="AAO232" s="90"/>
      <c r="AAP232" s="90"/>
      <c r="AAQ232" s="90"/>
      <c r="AAR232" s="90"/>
      <c r="AAS232" s="90"/>
      <c r="AAT232" s="90"/>
      <c r="AAU232" s="90"/>
      <c r="AAV232" s="90"/>
      <c r="AAW232" s="90"/>
      <c r="AAX232" s="90"/>
      <c r="AAY232" s="90"/>
      <c r="AAZ232" s="90"/>
      <c r="ABA232" s="90"/>
      <c r="ABB232" s="90"/>
      <c r="ABC232" s="90"/>
      <c r="ABD232" s="90"/>
      <c r="ABE232" s="90"/>
      <c r="ABF232" s="90"/>
      <c r="ABG232" s="90"/>
      <c r="ABH232" s="90"/>
      <c r="ABI232" s="90"/>
      <c r="ABJ232" s="90"/>
      <c r="ABK232" s="90"/>
      <c r="ABL232" s="90"/>
      <c r="ABM232" s="90"/>
      <c r="ABN232" s="90"/>
      <c r="ABO232" s="90"/>
      <c r="ABP232" s="90"/>
      <c r="ABQ232" s="90"/>
      <c r="ABR232" s="90"/>
      <c r="ABS232" s="90"/>
      <c r="ABT232" s="90"/>
      <c r="ABU232" s="90"/>
      <c r="ABV232" s="90"/>
      <c r="ABW232" s="90"/>
      <c r="ABX232" s="90"/>
      <c r="ABY232" s="90"/>
      <c r="ABZ232" s="90"/>
      <c r="ACA232" s="90"/>
      <c r="ACB232" s="90"/>
      <c r="ACC232" s="90"/>
      <c r="ACD232" s="90"/>
      <c r="ACE232" s="90"/>
      <c r="ACF232" s="90"/>
      <c r="ACG232" s="90"/>
      <c r="ACH232" s="90"/>
      <c r="ACI232" s="90"/>
      <c r="ACJ232" s="90"/>
      <c r="ACK232" s="90"/>
      <c r="ACL232" s="90"/>
      <c r="ACM232" s="90"/>
      <c r="ACN232" s="90"/>
      <c r="ACO232" s="90"/>
      <c r="ACP232" s="90"/>
      <c r="ACQ232" s="90"/>
      <c r="ACR232" s="90"/>
      <c r="ACS232" s="90"/>
      <c r="ACT232" s="90"/>
      <c r="ACU232" s="90"/>
      <c r="ACV232" s="90"/>
      <c r="ACW232" s="90"/>
      <c r="ACX232" s="90"/>
      <c r="ACY232" s="90"/>
      <c r="ACZ232" s="90"/>
      <c r="ADA232" s="90"/>
      <c r="ADB232" s="90"/>
      <c r="ADC232" s="90"/>
      <c r="ADD232" s="90"/>
      <c r="ADE232" s="90"/>
      <c r="ADF232" s="90"/>
      <c r="ADG232" s="90"/>
      <c r="ADH232" s="90"/>
      <c r="ADI232" s="90"/>
      <c r="ADJ232" s="90"/>
      <c r="ADK232" s="90"/>
      <c r="ADL232" s="90"/>
      <c r="ADM232" s="90"/>
      <c r="ADN232" s="90"/>
      <c r="ADO232" s="90"/>
      <c r="ADP232" s="90"/>
      <c r="ADQ232" s="90"/>
      <c r="ADR232" s="90"/>
      <c r="ADS232" s="90"/>
      <c r="ADT232" s="90"/>
      <c r="ADU232" s="90"/>
      <c r="ADV232" s="90"/>
      <c r="ADW232" s="90"/>
      <c r="ADX232" s="90"/>
      <c r="ADY232" s="90"/>
      <c r="ADZ232" s="90"/>
      <c r="AEA232" s="90"/>
      <c r="AEB232" s="90"/>
      <c r="AEC232" s="90"/>
      <c r="AED232" s="90"/>
      <c r="AEE232" s="90"/>
      <c r="AEF232" s="90"/>
      <c r="AEG232" s="90"/>
      <c r="AEH232" s="90"/>
      <c r="AEI232" s="90"/>
      <c r="AEJ232" s="90"/>
      <c r="AEK232" s="90"/>
      <c r="AEL232" s="90"/>
      <c r="AEM232" s="90"/>
      <c r="AEN232" s="90"/>
      <c r="AEO232" s="90"/>
      <c r="AEP232" s="90"/>
      <c r="AEQ232" s="90"/>
      <c r="AER232" s="90"/>
      <c r="AES232" s="90"/>
      <c r="AET232" s="90"/>
      <c r="AEU232" s="90"/>
      <c r="AEV232" s="90"/>
      <c r="AEW232" s="90"/>
      <c r="AEX232" s="90"/>
      <c r="AEY232" s="90"/>
      <c r="AEZ232" s="90"/>
      <c r="AFA232" s="90"/>
      <c r="AFB232" s="90"/>
      <c r="AFC232" s="90"/>
      <c r="AFD232" s="90"/>
      <c r="AFE232" s="90"/>
      <c r="AFF232" s="90"/>
      <c r="AFG232" s="90"/>
      <c r="AFH232" s="90"/>
      <c r="AFI232" s="90"/>
      <c r="AFJ232" s="90"/>
      <c r="AFK232" s="90"/>
      <c r="AFL232" s="90"/>
      <c r="AFM232" s="90"/>
      <c r="AFN232" s="90"/>
      <c r="AFO232" s="90"/>
      <c r="AFP232" s="90"/>
      <c r="AFQ232" s="90"/>
      <c r="AFR232" s="90"/>
      <c r="AFS232" s="90"/>
      <c r="AFT232" s="90"/>
      <c r="AFU232" s="90"/>
      <c r="AFV232" s="90"/>
      <c r="AFW232" s="90"/>
      <c r="AFX232" s="90"/>
      <c r="AFY232" s="90"/>
      <c r="AFZ232" s="90"/>
      <c r="AGA232" s="90"/>
      <c r="AGB232" s="90"/>
      <c r="AGC232" s="90"/>
      <c r="AGD232" s="90"/>
      <c r="AGE232" s="90"/>
      <c r="AGF232" s="90"/>
      <c r="AGG232" s="90"/>
      <c r="AGH232" s="90"/>
      <c r="AGI232" s="90"/>
      <c r="AGJ232" s="90"/>
      <c r="AGK232" s="90"/>
      <c r="AGL232" s="90"/>
      <c r="AGM232" s="90"/>
      <c r="AGN232" s="90"/>
      <c r="AGO232" s="90"/>
      <c r="AGP232" s="90"/>
      <c r="AGQ232" s="90"/>
      <c r="AGR232" s="90"/>
      <c r="AGS232" s="90"/>
      <c r="AGT232" s="90"/>
      <c r="AGU232" s="90"/>
      <c r="AGV232" s="90"/>
      <c r="AGW232" s="90"/>
      <c r="AGX232" s="90"/>
      <c r="AGY232" s="90"/>
      <c r="AGZ232" s="90"/>
      <c r="AHA232" s="90"/>
      <c r="AHB232" s="90"/>
      <c r="AHC232" s="90"/>
      <c r="AHD232" s="90"/>
      <c r="AHE232" s="90"/>
      <c r="AHF232" s="90"/>
      <c r="AHG232" s="90"/>
      <c r="AHH232" s="90"/>
      <c r="AHI232" s="90"/>
      <c r="AHJ232" s="90"/>
      <c r="AHK232" s="90"/>
      <c r="AHL232" s="90"/>
      <c r="AHM232" s="90"/>
      <c r="AHN232" s="90"/>
      <c r="AHO232" s="90"/>
      <c r="AHP232" s="90"/>
      <c r="AHQ232" s="90"/>
      <c r="AHR232" s="90"/>
      <c r="AHS232" s="90"/>
      <c r="AHT232" s="90"/>
      <c r="AHU232" s="90"/>
      <c r="AHV232" s="90"/>
      <c r="AHW232" s="90"/>
      <c r="AHX232" s="90"/>
      <c r="AHY232" s="90"/>
      <c r="AHZ232" s="90"/>
      <c r="AIA232" s="90"/>
      <c r="AIB232" s="90"/>
      <c r="AIC232" s="90"/>
      <c r="AID232" s="90"/>
      <c r="AIE232" s="90"/>
      <c r="AIF232" s="90"/>
      <c r="AIG232" s="90"/>
      <c r="AIH232" s="90"/>
      <c r="AII232" s="90"/>
      <c r="AIJ232" s="90"/>
      <c r="AIK232" s="90"/>
      <c r="AIL232" s="90"/>
      <c r="AIM232" s="90"/>
      <c r="AIN232" s="90"/>
      <c r="AIO232" s="90"/>
      <c r="AIP232" s="90"/>
      <c r="AIQ232" s="90"/>
      <c r="AIR232" s="90"/>
      <c r="AIS232" s="90"/>
      <c r="AIT232" s="90"/>
      <c r="AIU232" s="90"/>
      <c r="AIV232" s="90"/>
      <c r="AIW232" s="90"/>
      <c r="AIX232" s="90"/>
      <c r="AIY232" s="90"/>
      <c r="AIZ232" s="90"/>
      <c r="AJA232" s="90"/>
      <c r="AJB232" s="90"/>
      <c r="AJC232" s="90"/>
      <c r="AJD232" s="90"/>
      <c r="AJE232" s="90"/>
      <c r="AJF232" s="90"/>
      <c r="AJG232" s="90"/>
      <c r="AJH232" s="90"/>
      <c r="AJI232" s="90"/>
      <c r="AJJ232" s="90"/>
      <c r="AJK232" s="90"/>
      <c r="AJL232" s="90"/>
      <c r="AJM232" s="90"/>
      <c r="AJN232" s="90"/>
      <c r="AJO232" s="90"/>
      <c r="AJP232" s="90"/>
      <c r="AJQ232" s="90"/>
      <c r="AJR232" s="90"/>
      <c r="AJS232" s="90"/>
      <c r="AJT232" s="90"/>
      <c r="AJU232" s="90"/>
      <c r="AJV232" s="90"/>
      <c r="AJW232" s="90"/>
      <c r="AJX232" s="90"/>
      <c r="AJY232" s="90"/>
      <c r="AJZ232" s="90"/>
      <c r="AKA232" s="90"/>
      <c r="AKB232" s="90"/>
      <c r="AKC232" s="90"/>
      <c r="AKD232" s="90"/>
      <c r="AKE232" s="90"/>
      <c r="AKF232" s="90"/>
      <c r="AKG232" s="90"/>
      <c r="AKH232" s="90"/>
      <c r="AKI232" s="90"/>
      <c r="AKJ232" s="90"/>
      <c r="AKK232" s="90"/>
      <c r="AKL232" s="90"/>
      <c r="AKM232" s="90"/>
      <c r="AKN232" s="90"/>
      <c r="AKO232" s="90"/>
      <c r="AKP232" s="90"/>
      <c r="AKQ232" s="90"/>
      <c r="AKR232" s="90"/>
      <c r="AKS232" s="90"/>
      <c r="AKT232" s="90"/>
      <c r="AKU232" s="90"/>
      <c r="AKV232" s="90"/>
      <c r="AKW232" s="90"/>
      <c r="AKX232" s="90"/>
      <c r="AKY232" s="90"/>
      <c r="AKZ232" s="90"/>
      <c r="ALA232" s="90"/>
      <c r="ALB232" s="90"/>
      <c r="ALC232" s="90"/>
      <c r="ALD232" s="90"/>
      <c r="ALE232" s="90"/>
      <c r="ALF232" s="90"/>
      <c r="ALG232" s="90"/>
      <c r="ALH232" s="90"/>
      <c r="ALI232" s="90"/>
      <c r="ALJ232" s="90"/>
      <c r="ALK232" s="90"/>
      <c r="ALL232" s="90"/>
      <c r="ALM232" s="90"/>
      <c r="ALN232" s="90"/>
      <c r="ALO232" s="90"/>
      <c r="ALP232" s="90"/>
      <c r="ALQ232" s="90"/>
      <c r="ALR232" s="90"/>
      <c r="ALS232" s="90"/>
      <c r="ALT232" s="90"/>
      <c r="ALU232" s="90"/>
      <c r="ALV232" s="90"/>
      <c r="ALW232" s="90"/>
      <c r="ALX232" s="90"/>
      <c r="ALY232" s="90"/>
      <c r="ALZ232" s="90"/>
      <c r="AMA232" s="90"/>
      <c r="AMB232" s="90"/>
      <c r="AMC232" s="90"/>
    </row>
    <row r="233" spans="1:1017">
      <c r="A233" s="98" t="s">
        <v>50</v>
      </c>
      <c r="B233" s="90" t="str">
        <f t="shared" si="1554"/>
        <v xml:space="preserve">Belut Sawah </v>
      </c>
      <c r="Q233" s="91">
        <f t="shared" si="1454"/>
        <v>0</v>
      </c>
      <c r="R233" s="91">
        <f t="shared" si="1455"/>
        <v>0</v>
      </c>
      <c r="AG233" s="91">
        <f t="shared" si="1456"/>
        <v>0</v>
      </c>
      <c r="AH233" s="91">
        <f t="shared" si="1457"/>
        <v>0</v>
      </c>
      <c r="AW233" s="91">
        <f t="shared" si="1458"/>
        <v>0</v>
      </c>
      <c r="AX233" s="91">
        <f t="shared" si="1459"/>
        <v>0</v>
      </c>
      <c r="BM233" s="91">
        <f t="shared" si="1460"/>
        <v>0</v>
      </c>
      <c r="BN233" s="91">
        <f t="shared" si="1461"/>
        <v>0</v>
      </c>
      <c r="CC233" s="91">
        <f t="shared" si="1462"/>
        <v>0</v>
      </c>
      <c r="CD233" s="91">
        <f t="shared" si="1463"/>
        <v>0</v>
      </c>
      <c r="CS233" s="91">
        <f t="shared" si="1548"/>
        <v>0</v>
      </c>
      <c r="CT233" s="91">
        <f t="shared" si="1549"/>
        <v>0</v>
      </c>
      <c r="DI233" s="91">
        <f t="shared" si="1466"/>
        <v>0</v>
      </c>
      <c r="DJ233" s="91">
        <f t="shared" si="1467"/>
        <v>0</v>
      </c>
      <c r="DY233" s="91">
        <f t="shared" si="1468"/>
        <v>0</v>
      </c>
      <c r="DZ233" s="91">
        <f t="shared" si="1469"/>
        <v>0</v>
      </c>
      <c r="EO233" s="91">
        <f t="shared" si="1470"/>
        <v>0</v>
      </c>
      <c r="EP233" s="91">
        <f t="shared" si="1471"/>
        <v>0</v>
      </c>
      <c r="FE233" s="91">
        <f t="shared" si="1472"/>
        <v>0</v>
      </c>
      <c r="FF233" s="91">
        <f t="shared" si="1473"/>
        <v>0</v>
      </c>
      <c r="FU233" s="91">
        <f t="shared" si="1474"/>
        <v>0</v>
      </c>
      <c r="FV233" s="91">
        <f t="shared" si="1475"/>
        <v>0</v>
      </c>
      <c r="GK233" s="91">
        <f t="shared" si="1476"/>
        <v>0</v>
      </c>
      <c r="GL233" s="91">
        <f t="shared" si="1477"/>
        <v>0</v>
      </c>
      <c r="HA233" s="91">
        <f t="shared" si="1478"/>
        <v>0</v>
      </c>
      <c r="HB233" s="91">
        <f t="shared" si="1479"/>
        <v>0</v>
      </c>
      <c r="HQ233" s="91">
        <f t="shared" si="1480"/>
        <v>0</v>
      </c>
      <c r="HR233" s="91">
        <f t="shared" si="1481"/>
        <v>0</v>
      </c>
      <c r="IG233" s="91">
        <f t="shared" si="1482"/>
        <v>0</v>
      </c>
      <c r="IH233" s="91">
        <f t="shared" si="1483"/>
        <v>0</v>
      </c>
      <c r="IW233" s="91">
        <f t="shared" si="1484"/>
        <v>0</v>
      </c>
      <c r="IX233" s="91">
        <f t="shared" si="1485"/>
        <v>0</v>
      </c>
      <c r="JM233" s="91">
        <f t="shared" si="1486"/>
        <v>0</v>
      </c>
      <c r="JN233" s="91">
        <f t="shared" si="1487"/>
        <v>0</v>
      </c>
      <c r="KC233" s="91">
        <f t="shared" si="1488"/>
        <v>0</v>
      </c>
      <c r="KD233" s="91">
        <f t="shared" si="1489"/>
        <v>0</v>
      </c>
      <c r="KS233" s="91">
        <f t="shared" si="1490"/>
        <v>0</v>
      </c>
      <c r="KT233" s="91">
        <f t="shared" si="1491"/>
        <v>0</v>
      </c>
      <c r="LI233" s="91">
        <f t="shared" si="1492"/>
        <v>0</v>
      </c>
      <c r="LJ233" s="91">
        <f t="shared" si="1493"/>
        <v>0</v>
      </c>
      <c r="LY233" s="91">
        <f t="shared" si="1494"/>
        <v>0</v>
      </c>
      <c r="LZ233" s="91">
        <f t="shared" si="1495"/>
        <v>0</v>
      </c>
      <c r="MO233" s="91">
        <f t="shared" si="1496"/>
        <v>0</v>
      </c>
      <c r="MP233" s="91">
        <f t="shared" si="1497"/>
        <v>0</v>
      </c>
      <c r="NE233" s="91">
        <f t="shared" si="1498"/>
        <v>0</v>
      </c>
      <c r="NF233" s="91">
        <f t="shared" si="1499"/>
        <v>0</v>
      </c>
      <c r="NU233" s="91">
        <f t="shared" si="1500"/>
        <v>0</v>
      </c>
      <c r="NV233" s="91">
        <f t="shared" si="1501"/>
        <v>0</v>
      </c>
      <c r="OK233" s="91">
        <f t="shared" si="1502"/>
        <v>0</v>
      </c>
      <c r="OL233" s="91">
        <f t="shared" si="1503"/>
        <v>0</v>
      </c>
      <c r="PA233" s="91">
        <f t="shared" si="1504"/>
        <v>0</v>
      </c>
      <c r="PB233" s="91">
        <f t="shared" si="1505"/>
        <v>0</v>
      </c>
      <c r="PQ233" s="91">
        <f t="shared" si="1506"/>
        <v>0</v>
      </c>
      <c r="PR233" s="91">
        <f t="shared" si="1507"/>
        <v>0</v>
      </c>
      <c r="QG233" s="91">
        <f t="shared" si="1508"/>
        <v>0</v>
      </c>
      <c r="QH233" s="91">
        <f t="shared" si="1509"/>
        <v>0</v>
      </c>
      <c r="QW233" s="91">
        <f t="shared" si="1510"/>
        <v>0</v>
      </c>
      <c r="QX233" s="91">
        <f t="shared" si="1511"/>
        <v>0</v>
      </c>
      <c r="RM233" s="91">
        <f t="shared" si="1512"/>
        <v>0</v>
      </c>
      <c r="RN233" s="91">
        <f t="shared" si="1513"/>
        <v>0</v>
      </c>
      <c r="SC233" s="91">
        <f t="shared" si="1514"/>
        <v>0</v>
      </c>
      <c r="SD233" s="91">
        <f t="shared" si="1515"/>
        <v>0</v>
      </c>
      <c r="SS233" s="91">
        <f t="shared" si="1516"/>
        <v>0</v>
      </c>
      <c r="ST233" s="91">
        <f t="shared" si="1517"/>
        <v>0</v>
      </c>
      <c r="TI233" s="91">
        <f t="shared" si="1518"/>
        <v>0</v>
      </c>
      <c r="TJ233" s="91">
        <f t="shared" si="1519"/>
        <v>0</v>
      </c>
      <c r="TY233" s="91">
        <f t="shared" si="1520"/>
        <v>0</v>
      </c>
      <c r="TZ233" s="91">
        <f t="shared" si="1521"/>
        <v>0</v>
      </c>
      <c r="UO233" s="91">
        <f t="shared" si="1522"/>
        <v>0</v>
      </c>
      <c r="UP233" s="91">
        <f t="shared" si="1523"/>
        <v>0</v>
      </c>
      <c r="VE233" s="91">
        <f t="shared" si="1524"/>
        <v>0</v>
      </c>
      <c r="VF233" s="91">
        <f t="shared" si="1525"/>
        <v>0</v>
      </c>
      <c r="VU233" s="91">
        <f t="shared" si="1526"/>
        <v>0</v>
      </c>
      <c r="VV233" s="91">
        <f t="shared" si="1527"/>
        <v>0</v>
      </c>
      <c r="WK233" s="91">
        <f t="shared" si="1528"/>
        <v>0</v>
      </c>
      <c r="WL233" s="91">
        <f t="shared" si="1529"/>
        <v>0</v>
      </c>
      <c r="WM233" s="89"/>
      <c r="WN233" s="87">
        <f t="shared" si="1555"/>
        <v>0</v>
      </c>
      <c r="WO233" s="87">
        <f t="shared" si="1556"/>
        <v>0</v>
      </c>
      <c r="WP233" s="87">
        <f t="shared" si="1557"/>
        <v>0</v>
      </c>
      <c r="WQ233" s="87">
        <f t="shared" si="1558"/>
        <v>0</v>
      </c>
      <c r="WR233" s="87">
        <f t="shared" si="1559"/>
        <v>0</v>
      </c>
      <c r="WS233" s="87">
        <f t="shared" si="1560"/>
        <v>0</v>
      </c>
      <c r="WT233" s="87">
        <f t="shared" si="1561"/>
        <v>0</v>
      </c>
      <c r="WU233" s="87">
        <f t="shared" si="1562"/>
        <v>0</v>
      </c>
      <c r="WV233" s="87">
        <f t="shared" si="1563"/>
        <v>0</v>
      </c>
      <c r="WW233" s="87">
        <f t="shared" si="1564"/>
        <v>0</v>
      </c>
      <c r="WX233" s="87">
        <f t="shared" si="1565"/>
        <v>0</v>
      </c>
      <c r="WY233" s="87">
        <f t="shared" si="1566"/>
        <v>0</v>
      </c>
      <c r="WZ233" s="87">
        <f t="shared" si="1550"/>
        <v>0</v>
      </c>
      <c r="XA233" s="87">
        <f t="shared" si="1551"/>
        <v>0</v>
      </c>
      <c r="XB233" s="92">
        <f t="shared" si="1552"/>
        <v>0</v>
      </c>
      <c r="XC233" s="92">
        <f t="shared" si="1553"/>
        <v>0</v>
      </c>
      <c r="XD233" s="89"/>
      <c r="XE233" s="92"/>
      <c r="XF233" s="92"/>
      <c r="XG233" s="89"/>
      <c r="XH233" s="92"/>
      <c r="XI233" s="92"/>
      <c r="XJ233" s="89"/>
      <c r="XK233" s="87"/>
      <c r="XL233" s="87"/>
      <c r="XM233" s="87"/>
      <c r="XN233" s="87"/>
      <c r="XO233" s="87"/>
      <c r="XP233" s="87"/>
      <c r="XQ233" s="87"/>
      <c r="XR233" s="92">
        <f t="shared" ca="1" si="1546"/>
        <v>0</v>
      </c>
      <c r="XS233" s="89"/>
      <c r="XT233" s="87"/>
      <c r="XU233" s="87"/>
      <c r="XV233" s="87"/>
      <c r="XW233" s="87"/>
      <c r="XX233" s="87"/>
      <c r="XY233" s="87"/>
      <c r="XZ233" s="87"/>
      <c r="YA233" s="92">
        <f t="shared" ca="1" si="1547"/>
        <v>0</v>
      </c>
      <c r="YB233" s="90"/>
      <c r="YC233" s="90"/>
      <c r="YD233" s="90"/>
      <c r="YE233" s="90"/>
      <c r="YF233" s="90"/>
      <c r="YG233" s="90"/>
      <c r="YH233" s="90"/>
      <c r="YI233" s="90"/>
      <c r="YJ233" s="90"/>
      <c r="YK233" s="90"/>
      <c r="YL233" s="90"/>
      <c r="YM233" s="90"/>
      <c r="YN233" s="90"/>
      <c r="YO233" s="90"/>
      <c r="YP233" s="90"/>
      <c r="YQ233" s="90"/>
      <c r="YR233" s="90"/>
      <c r="YS233" s="90"/>
      <c r="YT233" s="90"/>
      <c r="YU233" s="90"/>
      <c r="YV233" s="90"/>
      <c r="YW233" s="90"/>
      <c r="YX233" s="90"/>
      <c r="YY233" s="90"/>
      <c r="YZ233" s="90"/>
      <c r="ZA233" s="90"/>
      <c r="ZB233" s="90"/>
      <c r="ZC233" s="90"/>
      <c r="ZD233" s="90"/>
      <c r="ZE233" s="90"/>
      <c r="ZF233" s="90"/>
      <c r="ZG233" s="90"/>
      <c r="ZH233" s="90"/>
      <c r="ZI233" s="90"/>
      <c r="ZJ233" s="90"/>
      <c r="ZK233" s="90"/>
      <c r="ZL233" s="90"/>
      <c r="ZM233" s="90"/>
      <c r="ZN233" s="90"/>
      <c r="ZO233" s="90"/>
      <c r="ZP233" s="90"/>
      <c r="ZQ233" s="90"/>
      <c r="ZR233" s="90"/>
      <c r="ZS233" s="90"/>
      <c r="ZT233" s="90"/>
      <c r="ZU233" s="90"/>
      <c r="ZV233" s="90"/>
      <c r="ZW233" s="90"/>
      <c r="ZX233" s="90"/>
      <c r="ZY233" s="90"/>
      <c r="ZZ233" s="90"/>
      <c r="AAA233" s="90"/>
      <c r="AAB233" s="90"/>
      <c r="AAC233" s="90"/>
      <c r="AAD233" s="90"/>
      <c r="AAE233" s="90"/>
      <c r="AAF233" s="90"/>
      <c r="AAG233" s="90"/>
      <c r="AAH233" s="90"/>
      <c r="AAI233" s="90"/>
      <c r="AAJ233" s="90"/>
      <c r="AAK233" s="90"/>
      <c r="AAL233" s="90"/>
      <c r="AAM233" s="90"/>
      <c r="AAN233" s="90"/>
      <c r="AAO233" s="90"/>
      <c r="AAP233" s="90"/>
      <c r="AAQ233" s="90"/>
      <c r="AAR233" s="90"/>
      <c r="AAS233" s="90"/>
      <c r="AAT233" s="90"/>
      <c r="AAU233" s="90"/>
      <c r="AAV233" s="90"/>
      <c r="AAW233" s="90"/>
      <c r="AAX233" s="90"/>
      <c r="AAY233" s="90"/>
      <c r="AAZ233" s="90"/>
      <c r="ABA233" s="90"/>
      <c r="ABB233" s="90"/>
      <c r="ABC233" s="90"/>
      <c r="ABD233" s="90"/>
      <c r="ABE233" s="90"/>
      <c r="ABF233" s="90"/>
      <c r="ABG233" s="90"/>
      <c r="ABH233" s="90"/>
      <c r="ABI233" s="90"/>
      <c r="ABJ233" s="90"/>
      <c r="ABK233" s="90"/>
      <c r="ABL233" s="90"/>
      <c r="ABM233" s="90"/>
      <c r="ABN233" s="90"/>
      <c r="ABO233" s="90"/>
      <c r="ABP233" s="90"/>
      <c r="ABQ233" s="90"/>
      <c r="ABR233" s="90"/>
      <c r="ABS233" s="90"/>
      <c r="ABT233" s="90"/>
      <c r="ABU233" s="90"/>
      <c r="ABV233" s="90"/>
      <c r="ABW233" s="90"/>
      <c r="ABX233" s="90"/>
      <c r="ABY233" s="90"/>
      <c r="ABZ233" s="90"/>
      <c r="ACA233" s="90"/>
      <c r="ACB233" s="90"/>
      <c r="ACC233" s="90"/>
      <c r="ACD233" s="90"/>
      <c r="ACE233" s="90"/>
      <c r="ACF233" s="90"/>
      <c r="ACG233" s="90"/>
      <c r="ACH233" s="90"/>
      <c r="ACI233" s="90"/>
      <c r="ACJ233" s="90"/>
      <c r="ACK233" s="90"/>
      <c r="ACL233" s="90"/>
      <c r="ACM233" s="90"/>
      <c r="ACN233" s="90"/>
      <c r="ACO233" s="90"/>
      <c r="ACP233" s="90"/>
      <c r="ACQ233" s="90"/>
      <c r="ACR233" s="90"/>
      <c r="ACS233" s="90"/>
      <c r="ACT233" s="90"/>
      <c r="ACU233" s="90"/>
      <c r="ACV233" s="90"/>
      <c r="ACW233" s="90"/>
      <c r="ACX233" s="90"/>
      <c r="ACY233" s="90"/>
      <c r="ACZ233" s="90"/>
      <c r="ADA233" s="90"/>
      <c r="ADB233" s="90"/>
      <c r="ADC233" s="90"/>
      <c r="ADD233" s="90"/>
      <c r="ADE233" s="90"/>
      <c r="ADF233" s="90"/>
      <c r="ADG233" s="90"/>
      <c r="ADH233" s="90"/>
      <c r="ADI233" s="90"/>
      <c r="ADJ233" s="90"/>
      <c r="ADK233" s="90"/>
      <c r="ADL233" s="90"/>
      <c r="ADM233" s="90"/>
      <c r="ADN233" s="90"/>
      <c r="ADO233" s="90"/>
      <c r="ADP233" s="90"/>
      <c r="ADQ233" s="90"/>
      <c r="ADR233" s="90"/>
      <c r="ADS233" s="90"/>
      <c r="ADT233" s="90"/>
      <c r="ADU233" s="90"/>
      <c r="ADV233" s="90"/>
      <c r="ADW233" s="90"/>
      <c r="ADX233" s="90"/>
      <c r="ADY233" s="90"/>
      <c r="ADZ233" s="90"/>
      <c r="AEA233" s="90"/>
      <c r="AEB233" s="90"/>
      <c r="AEC233" s="90"/>
      <c r="AED233" s="90"/>
      <c r="AEE233" s="90"/>
      <c r="AEF233" s="90"/>
      <c r="AEG233" s="90"/>
      <c r="AEH233" s="90"/>
      <c r="AEI233" s="90"/>
      <c r="AEJ233" s="90"/>
      <c r="AEK233" s="90"/>
      <c r="AEL233" s="90"/>
      <c r="AEM233" s="90"/>
      <c r="AEN233" s="90"/>
      <c r="AEO233" s="90"/>
      <c r="AEP233" s="90"/>
      <c r="AEQ233" s="90"/>
      <c r="AER233" s="90"/>
      <c r="AES233" s="90"/>
      <c r="AET233" s="90"/>
      <c r="AEU233" s="90"/>
      <c r="AEV233" s="90"/>
      <c r="AEW233" s="90"/>
      <c r="AEX233" s="90"/>
      <c r="AEY233" s="90"/>
      <c r="AEZ233" s="90"/>
      <c r="AFA233" s="90"/>
      <c r="AFB233" s="90"/>
      <c r="AFC233" s="90"/>
      <c r="AFD233" s="90"/>
      <c r="AFE233" s="90"/>
      <c r="AFF233" s="90"/>
      <c r="AFG233" s="90"/>
      <c r="AFH233" s="90"/>
      <c r="AFI233" s="90"/>
      <c r="AFJ233" s="90"/>
      <c r="AFK233" s="90"/>
      <c r="AFL233" s="90"/>
      <c r="AFM233" s="90"/>
      <c r="AFN233" s="90"/>
      <c r="AFO233" s="90"/>
      <c r="AFP233" s="90"/>
      <c r="AFQ233" s="90"/>
      <c r="AFR233" s="90"/>
      <c r="AFS233" s="90"/>
      <c r="AFT233" s="90"/>
      <c r="AFU233" s="90"/>
      <c r="AFV233" s="90"/>
      <c r="AFW233" s="90"/>
      <c r="AFX233" s="90"/>
      <c r="AFY233" s="90"/>
      <c r="AFZ233" s="90"/>
      <c r="AGA233" s="90"/>
      <c r="AGB233" s="90"/>
      <c r="AGC233" s="90"/>
      <c r="AGD233" s="90"/>
      <c r="AGE233" s="90"/>
      <c r="AGF233" s="90"/>
      <c r="AGG233" s="90"/>
      <c r="AGH233" s="90"/>
      <c r="AGI233" s="90"/>
      <c r="AGJ233" s="90"/>
      <c r="AGK233" s="90"/>
      <c r="AGL233" s="90"/>
      <c r="AGM233" s="90"/>
      <c r="AGN233" s="90"/>
      <c r="AGO233" s="90"/>
      <c r="AGP233" s="90"/>
      <c r="AGQ233" s="90"/>
      <c r="AGR233" s="90"/>
      <c r="AGS233" s="90"/>
      <c r="AGT233" s="90"/>
      <c r="AGU233" s="90"/>
      <c r="AGV233" s="90"/>
      <c r="AGW233" s="90"/>
      <c r="AGX233" s="90"/>
      <c r="AGY233" s="90"/>
      <c r="AGZ233" s="90"/>
      <c r="AHA233" s="90"/>
      <c r="AHB233" s="90"/>
      <c r="AHC233" s="90"/>
      <c r="AHD233" s="90"/>
      <c r="AHE233" s="90"/>
      <c r="AHF233" s="90"/>
      <c r="AHG233" s="90"/>
      <c r="AHH233" s="90"/>
      <c r="AHI233" s="90"/>
      <c r="AHJ233" s="90"/>
      <c r="AHK233" s="90"/>
      <c r="AHL233" s="90"/>
      <c r="AHM233" s="90"/>
      <c r="AHN233" s="90"/>
      <c r="AHO233" s="90"/>
      <c r="AHP233" s="90"/>
      <c r="AHQ233" s="90"/>
      <c r="AHR233" s="90"/>
      <c r="AHS233" s="90"/>
      <c r="AHT233" s="90"/>
      <c r="AHU233" s="90"/>
      <c r="AHV233" s="90"/>
      <c r="AHW233" s="90"/>
      <c r="AHX233" s="90"/>
      <c r="AHY233" s="90"/>
      <c r="AHZ233" s="90"/>
      <c r="AIA233" s="90"/>
      <c r="AIB233" s="90"/>
      <c r="AIC233" s="90"/>
      <c r="AID233" s="90"/>
      <c r="AIE233" s="90"/>
      <c r="AIF233" s="90"/>
      <c r="AIG233" s="90"/>
      <c r="AIH233" s="90"/>
      <c r="AII233" s="90"/>
      <c r="AIJ233" s="90"/>
      <c r="AIK233" s="90"/>
      <c r="AIL233" s="90"/>
      <c r="AIM233" s="90"/>
      <c r="AIN233" s="90"/>
      <c r="AIO233" s="90"/>
      <c r="AIP233" s="90"/>
      <c r="AIQ233" s="90"/>
      <c r="AIR233" s="90"/>
      <c r="AIS233" s="90"/>
      <c r="AIT233" s="90"/>
      <c r="AIU233" s="90"/>
      <c r="AIV233" s="90"/>
      <c r="AIW233" s="90"/>
      <c r="AIX233" s="90"/>
      <c r="AIY233" s="90"/>
      <c r="AIZ233" s="90"/>
      <c r="AJA233" s="90"/>
      <c r="AJB233" s="90"/>
      <c r="AJC233" s="90"/>
      <c r="AJD233" s="90"/>
      <c r="AJE233" s="90"/>
      <c r="AJF233" s="90"/>
      <c r="AJG233" s="90"/>
      <c r="AJH233" s="90"/>
      <c r="AJI233" s="90"/>
      <c r="AJJ233" s="90"/>
      <c r="AJK233" s="90"/>
      <c r="AJL233" s="90"/>
      <c r="AJM233" s="90"/>
      <c r="AJN233" s="90"/>
      <c r="AJO233" s="90"/>
      <c r="AJP233" s="90"/>
      <c r="AJQ233" s="90"/>
      <c r="AJR233" s="90"/>
      <c r="AJS233" s="90"/>
      <c r="AJT233" s="90"/>
      <c r="AJU233" s="90"/>
      <c r="AJV233" s="90"/>
      <c r="AJW233" s="90"/>
      <c r="AJX233" s="90"/>
      <c r="AJY233" s="90"/>
      <c r="AJZ233" s="90"/>
      <c r="AKA233" s="90"/>
      <c r="AKB233" s="90"/>
      <c r="AKC233" s="90"/>
      <c r="AKD233" s="90"/>
      <c r="AKE233" s="90"/>
      <c r="AKF233" s="90"/>
      <c r="AKG233" s="90"/>
      <c r="AKH233" s="90"/>
      <c r="AKI233" s="90"/>
      <c r="AKJ233" s="90"/>
      <c r="AKK233" s="90"/>
      <c r="AKL233" s="90"/>
      <c r="AKM233" s="90"/>
      <c r="AKN233" s="90"/>
      <c r="AKO233" s="90"/>
      <c r="AKP233" s="90"/>
      <c r="AKQ233" s="90"/>
      <c r="AKR233" s="90"/>
      <c r="AKS233" s="90"/>
      <c r="AKT233" s="90"/>
      <c r="AKU233" s="90"/>
      <c r="AKV233" s="90"/>
      <c r="AKW233" s="90"/>
      <c r="AKX233" s="90"/>
      <c r="AKY233" s="90"/>
      <c r="AKZ233" s="90"/>
      <c r="ALA233" s="90"/>
      <c r="ALB233" s="90"/>
      <c r="ALC233" s="90"/>
      <c r="ALD233" s="90"/>
      <c r="ALE233" s="90"/>
      <c r="ALF233" s="90"/>
      <c r="ALG233" s="90"/>
      <c r="ALH233" s="90"/>
      <c r="ALI233" s="90"/>
      <c r="ALJ233" s="90"/>
      <c r="ALK233" s="90"/>
      <c r="ALL233" s="90"/>
      <c r="ALM233" s="90"/>
      <c r="ALN233" s="90"/>
      <c r="ALO233" s="90"/>
      <c r="ALP233" s="90"/>
      <c r="ALQ233" s="90"/>
      <c r="ALR233" s="90"/>
      <c r="ALS233" s="90"/>
      <c r="ALT233" s="90"/>
      <c r="ALU233" s="90"/>
      <c r="ALV233" s="90"/>
      <c r="ALW233" s="90"/>
      <c r="ALX233" s="90"/>
      <c r="ALY233" s="90"/>
      <c r="ALZ233" s="90"/>
      <c r="AMA233" s="90"/>
      <c r="AMB233" s="90"/>
      <c r="AMC233" s="90"/>
    </row>
    <row r="234" spans="1:1017">
      <c r="A234" s="98" t="s">
        <v>50</v>
      </c>
      <c r="B234" s="90" t="str">
        <f t="shared" si="1554"/>
        <v xml:space="preserve">Udang_04 (Udang Lainnya) </v>
      </c>
      <c r="Q234" s="91">
        <f t="shared" si="1454"/>
        <v>0</v>
      </c>
      <c r="R234" s="91">
        <f t="shared" si="1455"/>
        <v>0</v>
      </c>
      <c r="AG234" s="91">
        <f t="shared" si="1456"/>
        <v>0</v>
      </c>
      <c r="AH234" s="91">
        <f t="shared" si="1457"/>
        <v>0</v>
      </c>
      <c r="AW234" s="91">
        <f t="shared" si="1458"/>
        <v>0</v>
      </c>
      <c r="AX234" s="91">
        <f t="shared" si="1459"/>
        <v>0</v>
      </c>
      <c r="BM234" s="91">
        <f t="shared" si="1460"/>
        <v>0</v>
      </c>
      <c r="BN234" s="91">
        <f t="shared" si="1461"/>
        <v>0</v>
      </c>
      <c r="CC234" s="91">
        <f t="shared" si="1462"/>
        <v>0</v>
      </c>
      <c r="CD234" s="91">
        <f t="shared" si="1463"/>
        <v>0</v>
      </c>
      <c r="CS234" s="91">
        <f t="shared" si="1548"/>
        <v>0</v>
      </c>
      <c r="CT234" s="91">
        <f t="shared" si="1549"/>
        <v>0</v>
      </c>
      <c r="DI234" s="91">
        <f t="shared" si="1466"/>
        <v>0</v>
      </c>
      <c r="DJ234" s="91">
        <f t="shared" si="1467"/>
        <v>0</v>
      </c>
      <c r="DY234" s="91">
        <f t="shared" si="1468"/>
        <v>0</v>
      </c>
      <c r="DZ234" s="91">
        <f t="shared" si="1469"/>
        <v>0</v>
      </c>
      <c r="EO234" s="91">
        <f t="shared" si="1470"/>
        <v>0</v>
      </c>
      <c r="EP234" s="91">
        <f t="shared" si="1471"/>
        <v>0</v>
      </c>
      <c r="FE234" s="91">
        <f t="shared" si="1472"/>
        <v>0</v>
      </c>
      <c r="FF234" s="91">
        <f t="shared" si="1473"/>
        <v>0</v>
      </c>
      <c r="FU234" s="91">
        <f t="shared" si="1474"/>
        <v>0</v>
      </c>
      <c r="FV234" s="91">
        <f t="shared" si="1475"/>
        <v>0</v>
      </c>
      <c r="GK234" s="91">
        <f t="shared" si="1476"/>
        <v>0</v>
      </c>
      <c r="GL234" s="91">
        <f t="shared" si="1477"/>
        <v>0</v>
      </c>
      <c r="HA234" s="91">
        <f t="shared" si="1478"/>
        <v>0</v>
      </c>
      <c r="HB234" s="91">
        <f t="shared" si="1479"/>
        <v>0</v>
      </c>
      <c r="HQ234" s="91">
        <f t="shared" si="1480"/>
        <v>0</v>
      </c>
      <c r="HR234" s="91">
        <f t="shared" si="1481"/>
        <v>0</v>
      </c>
      <c r="IG234" s="91">
        <f t="shared" si="1482"/>
        <v>0</v>
      </c>
      <c r="IH234" s="91">
        <f t="shared" si="1483"/>
        <v>0</v>
      </c>
      <c r="IW234" s="91">
        <f t="shared" si="1484"/>
        <v>0</v>
      </c>
      <c r="IX234" s="91">
        <f t="shared" si="1485"/>
        <v>0</v>
      </c>
      <c r="JM234" s="91">
        <f t="shared" si="1486"/>
        <v>0</v>
      </c>
      <c r="JN234" s="91">
        <f t="shared" si="1487"/>
        <v>0</v>
      </c>
      <c r="KC234" s="91">
        <f t="shared" si="1488"/>
        <v>0</v>
      </c>
      <c r="KD234" s="91">
        <f t="shared" si="1489"/>
        <v>0</v>
      </c>
      <c r="KS234" s="91">
        <f t="shared" si="1490"/>
        <v>0</v>
      </c>
      <c r="KT234" s="91">
        <f t="shared" si="1491"/>
        <v>0</v>
      </c>
      <c r="LI234" s="91">
        <f t="shared" si="1492"/>
        <v>0</v>
      </c>
      <c r="LJ234" s="91">
        <f t="shared" si="1493"/>
        <v>0</v>
      </c>
      <c r="LY234" s="91">
        <f t="shared" si="1494"/>
        <v>0</v>
      </c>
      <c r="LZ234" s="91">
        <f t="shared" si="1495"/>
        <v>0</v>
      </c>
      <c r="MO234" s="91">
        <f t="shared" si="1496"/>
        <v>0</v>
      </c>
      <c r="MP234" s="91">
        <f t="shared" si="1497"/>
        <v>0</v>
      </c>
      <c r="NE234" s="91">
        <f t="shared" si="1498"/>
        <v>0</v>
      </c>
      <c r="NF234" s="91">
        <f t="shared" si="1499"/>
        <v>0</v>
      </c>
      <c r="NU234" s="91">
        <f t="shared" si="1500"/>
        <v>0</v>
      </c>
      <c r="NV234" s="91">
        <f t="shared" si="1501"/>
        <v>0</v>
      </c>
      <c r="OK234" s="91">
        <f t="shared" si="1502"/>
        <v>0</v>
      </c>
      <c r="OL234" s="91">
        <f t="shared" si="1503"/>
        <v>0</v>
      </c>
      <c r="PA234" s="91">
        <f t="shared" si="1504"/>
        <v>0</v>
      </c>
      <c r="PB234" s="91">
        <f t="shared" si="1505"/>
        <v>0</v>
      </c>
      <c r="PQ234" s="91">
        <f t="shared" si="1506"/>
        <v>0</v>
      </c>
      <c r="PR234" s="91">
        <f t="shared" si="1507"/>
        <v>0</v>
      </c>
      <c r="QG234" s="91">
        <f t="shared" si="1508"/>
        <v>0</v>
      </c>
      <c r="QH234" s="91">
        <f t="shared" si="1509"/>
        <v>0</v>
      </c>
      <c r="QW234" s="91">
        <f t="shared" si="1510"/>
        <v>0</v>
      </c>
      <c r="QX234" s="91">
        <f t="shared" si="1511"/>
        <v>0</v>
      </c>
      <c r="RM234" s="91">
        <f t="shared" si="1512"/>
        <v>0</v>
      </c>
      <c r="RN234" s="91">
        <f t="shared" si="1513"/>
        <v>0</v>
      </c>
      <c r="SC234" s="91">
        <f t="shared" si="1514"/>
        <v>0</v>
      </c>
      <c r="SD234" s="91">
        <f t="shared" si="1515"/>
        <v>0</v>
      </c>
      <c r="SS234" s="91">
        <f t="shared" si="1516"/>
        <v>0</v>
      </c>
      <c r="ST234" s="91">
        <f t="shared" si="1517"/>
        <v>0</v>
      </c>
      <c r="TI234" s="91">
        <f t="shared" si="1518"/>
        <v>0</v>
      </c>
      <c r="TJ234" s="91">
        <f t="shared" si="1519"/>
        <v>0</v>
      </c>
      <c r="TY234" s="91">
        <f t="shared" si="1520"/>
        <v>0</v>
      </c>
      <c r="TZ234" s="91">
        <f t="shared" si="1521"/>
        <v>0</v>
      </c>
      <c r="UO234" s="91">
        <f t="shared" si="1522"/>
        <v>0</v>
      </c>
      <c r="UP234" s="91">
        <f t="shared" si="1523"/>
        <v>0</v>
      </c>
      <c r="VE234" s="91">
        <f t="shared" si="1524"/>
        <v>0</v>
      </c>
      <c r="VF234" s="91">
        <f t="shared" si="1525"/>
        <v>0</v>
      </c>
      <c r="VU234" s="91">
        <f t="shared" si="1526"/>
        <v>0</v>
      </c>
      <c r="VV234" s="91">
        <f t="shared" si="1527"/>
        <v>0</v>
      </c>
      <c r="WK234" s="91">
        <f t="shared" si="1528"/>
        <v>0</v>
      </c>
      <c r="WL234" s="91">
        <f t="shared" si="1529"/>
        <v>0</v>
      </c>
      <c r="WM234" s="89"/>
      <c r="WN234" s="87">
        <f t="shared" si="1555"/>
        <v>0</v>
      </c>
      <c r="WO234" s="87">
        <f t="shared" si="1556"/>
        <v>0</v>
      </c>
      <c r="WP234" s="87">
        <f t="shared" si="1557"/>
        <v>0</v>
      </c>
      <c r="WQ234" s="87">
        <f t="shared" si="1558"/>
        <v>0</v>
      </c>
      <c r="WR234" s="87">
        <f t="shared" si="1559"/>
        <v>0</v>
      </c>
      <c r="WS234" s="87">
        <f t="shared" si="1560"/>
        <v>0</v>
      </c>
      <c r="WT234" s="87">
        <f t="shared" si="1561"/>
        <v>0</v>
      </c>
      <c r="WU234" s="87">
        <f t="shared" si="1562"/>
        <v>0</v>
      </c>
      <c r="WV234" s="87">
        <f t="shared" si="1563"/>
        <v>0</v>
      </c>
      <c r="WW234" s="87">
        <f t="shared" si="1564"/>
        <v>0</v>
      </c>
      <c r="WX234" s="87">
        <f t="shared" si="1565"/>
        <v>0</v>
      </c>
      <c r="WY234" s="87">
        <f t="shared" si="1566"/>
        <v>0</v>
      </c>
      <c r="WZ234" s="87">
        <f t="shared" si="1550"/>
        <v>0</v>
      </c>
      <c r="XA234" s="87">
        <f t="shared" si="1551"/>
        <v>0</v>
      </c>
      <c r="XB234" s="92">
        <f t="shared" si="1552"/>
        <v>0</v>
      </c>
      <c r="XC234" s="92">
        <f t="shared" si="1553"/>
        <v>0</v>
      </c>
      <c r="XD234" s="89"/>
      <c r="XE234" s="92"/>
      <c r="XF234" s="92"/>
      <c r="XG234" s="89"/>
      <c r="XH234" s="92"/>
      <c r="XI234" s="92"/>
      <c r="XJ234" s="89"/>
      <c r="XK234" s="87"/>
      <c r="XL234" s="87"/>
      <c r="XM234" s="87"/>
      <c r="XN234" s="87"/>
      <c r="XO234" s="87"/>
      <c r="XP234" s="87"/>
      <c r="XQ234" s="87"/>
      <c r="XR234" s="92">
        <f t="shared" ca="1" si="1546"/>
        <v>0</v>
      </c>
      <c r="XS234" s="89"/>
      <c r="XT234" s="87"/>
      <c r="XU234" s="87"/>
      <c r="XV234" s="87"/>
      <c r="XW234" s="87"/>
      <c r="XX234" s="87"/>
      <c r="XY234" s="87"/>
      <c r="XZ234" s="87"/>
      <c r="YA234" s="92">
        <f t="shared" ca="1" si="1547"/>
        <v>0</v>
      </c>
      <c r="YB234" s="90"/>
      <c r="YC234" s="90"/>
      <c r="YD234" s="90"/>
      <c r="YE234" s="90"/>
      <c r="YF234" s="90"/>
      <c r="YG234" s="90"/>
      <c r="YH234" s="90"/>
      <c r="YI234" s="90"/>
      <c r="YJ234" s="90"/>
      <c r="YK234" s="90"/>
      <c r="YL234" s="90"/>
      <c r="YM234" s="90"/>
      <c r="YN234" s="90"/>
      <c r="YO234" s="90"/>
      <c r="YP234" s="90"/>
      <c r="YQ234" s="90"/>
      <c r="YR234" s="90"/>
      <c r="YS234" s="90"/>
      <c r="YT234" s="90"/>
      <c r="YU234" s="90"/>
      <c r="YV234" s="90"/>
      <c r="YW234" s="90"/>
      <c r="YX234" s="90"/>
      <c r="YY234" s="90"/>
      <c r="YZ234" s="90"/>
      <c r="ZA234" s="90"/>
      <c r="ZB234" s="90"/>
      <c r="ZC234" s="90"/>
      <c r="ZD234" s="90"/>
      <c r="ZE234" s="90"/>
      <c r="ZF234" s="90"/>
      <c r="ZG234" s="90"/>
      <c r="ZH234" s="90"/>
      <c r="ZI234" s="90"/>
      <c r="ZJ234" s="90"/>
      <c r="ZK234" s="90"/>
      <c r="ZL234" s="90"/>
      <c r="ZM234" s="90"/>
      <c r="ZN234" s="90"/>
      <c r="ZO234" s="90"/>
      <c r="ZP234" s="90"/>
      <c r="ZQ234" s="90"/>
      <c r="ZR234" s="90"/>
      <c r="ZS234" s="90"/>
      <c r="ZT234" s="90"/>
      <c r="ZU234" s="90"/>
      <c r="ZV234" s="90"/>
      <c r="ZW234" s="90"/>
      <c r="ZX234" s="90"/>
      <c r="ZY234" s="90"/>
      <c r="ZZ234" s="90"/>
      <c r="AAA234" s="90"/>
      <c r="AAB234" s="90"/>
      <c r="AAC234" s="90"/>
      <c r="AAD234" s="90"/>
      <c r="AAE234" s="90"/>
      <c r="AAF234" s="90"/>
      <c r="AAG234" s="90"/>
      <c r="AAH234" s="90"/>
      <c r="AAI234" s="90"/>
      <c r="AAJ234" s="90"/>
      <c r="AAK234" s="90"/>
      <c r="AAL234" s="90"/>
      <c r="AAM234" s="90"/>
      <c r="AAN234" s="90"/>
      <c r="AAO234" s="90"/>
      <c r="AAP234" s="90"/>
      <c r="AAQ234" s="90"/>
      <c r="AAR234" s="90"/>
      <c r="AAS234" s="90"/>
      <c r="AAT234" s="90"/>
      <c r="AAU234" s="90"/>
      <c r="AAV234" s="90"/>
      <c r="AAW234" s="90"/>
      <c r="AAX234" s="90"/>
      <c r="AAY234" s="90"/>
      <c r="AAZ234" s="90"/>
      <c r="ABA234" s="90"/>
      <c r="ABB234" s="90"/>
      <c r="ABC234" s="90"/>
      <c r="ABD234" s="90"/>
      <c r="ABE234" s="90"/>
      <c r="ABF234" s="90"/>
      <c r="ABG234" s="90"/>
      <c r="ABH234" s="90"/>
      <c r="ABI234" s="90"/>
      <c r="ABJ234" s="90"/>
      <c r="ABK234" s="90"/>
      <c r="ABL234" s="90"/>
      <c r="ABM234" s="90"/>
      <c r="ABN234" s="90"/>
      <c r="ABO234" s="90"/>
      <c r="ABP234" s="90"/>
      <c r="ABQ234" s="90"/>
      <c r="ABR234" s="90"/>
      <c r="ABS234" s="90"/>
      <c r="ABT234" s="90"/>
      <c r="ABU234" s="90"/>
      <c r="ABV234" s="90"/>
      <c r="ABW234" s="90"/>
      <c r="ABX234" s="90"/>
      <c r="ABY234" s="90"/>
      <c r="ABZ234" s="90"/>
      <c r="ACA234" s="90"/>
      <c r="ACB234" s="90"/>
      <c r="ACC234" s="90"/>
      <c r="ACD234" s="90"/>
      <c r="ACE234" s="90"/>
      <c r="ACF234" s="90"/>
      <c r="ACG234" s="90"/>
      <c r="ACH234" s="90"/>
      <c r="ACI234" s="90"/>
      <c r="ACJ234" s="90"/>
      <c r="ACK234" s="90"/>
      <c r="ACL234" s="90"/>
      <c r="ACM234" s="90"/>
      <c r="ACN234" s="90"/>
      <c r="ACO234" s="90"/>
      <c r="ACP234" s="90"/>
      <c r="ACQ234" s="90"/>
      <c r="ACR234" s="90"/>
      <c r="ACS234" s="90"/>
      <c r="ACT234" s="90"/>
      <c r="ACU234" s="90"/>
      <c r="ACV234" s="90"/>
      <c r="ACW234" s="90"/>
      <c r="ACX234" s="90"/>
      <c r="ACY234" s="90"/>
      <c r="ACZ234" s="90"/>
      <c r="ADA234" s="90"/>
      <c r="ADB234" s="90"/>
      <c r="ADC234" s="90"/>
      <c r="ADD234" s="90"/>
      <c r="ADE234" s="90"/>
      <c r="ADF234" s="90"/>
      <c r="ADG234" s="90"/>
      <c r="ADH234" s="90"/>
      <c r="ADI234" s="90"/>
      <c r="ADJ234" s="90"/>
      <c r="ADK234" s="90"/>
      <c r="ADL234" s="90"/>
      <c r="ADM234" s="90"/>
      <c r="ADN234" s="90"/>
      <c r="ADO234" s="90"/>
      <c r="ADP234" s="90"/>
      <c r="ADQ234" s="90"/>
      <c r="ADR234" s="90"/>
      <c r="ADS234" s="90"/>
      <c r="ADT234" s="90"/>
      <c r="ADU234" s="90"/>
      <c r="ADV234" s="90"/>
      <c r="ADW234" s="90"/>
      <c r="ADX234" s="90"/>
      <c r="ADY234" s="90"/>
      <c r="ADZ234" s="90"/>
      <c r="AEA234" s="90"/>
      <c r="AEB234" s="90"/>
      <c r="AEC234" s="90"/>
      <c r="AED234" s="90"/>
      <c r="AEE234" s="90"/>
      <c r="AEF234" s="90"/>
      <c r="AEG234" s="90"/>
      <c r="AEH234" s="90"/>
      <c r="AEI234" s="90"/>
      <c r="AEJ234" s="90"/>
      <c r="AEK234" s="90"/>
      <c r="AEL234" s="90"/>
      <c r="AEM234" s="90"/>
      <c r="AEN234" s="90"/>
      <c r="AEO234" s="90"/>
      <c r="AEP234" s="90"/>
      <c r="AEQ234" s="90"/>
      <c r="AER234" s="90"/>
      <c r="AES234" s="90"/>
      <c r="AET234" s="90"/>
      <c r="AEU234" s="90"/>
      <c r="AEV234" s="90"/>
      <c r="AEW234" s="90"/>
      <c r="AEX234" s="90"/>
      <c r="AEY234" s="90"/>
      <c r="AEZ234" s="90"/>
      <c r="AFA234" s="90"/>
      <c r="AFB234" s="90"/>
      <c r="AFC234" s="90"/>
      <c r="AFD234" s="90"/>
      <c r="AFE234" s="90"/>
      <c r="AFF234" s="90"/>
      <c r="AFG234" s="90"/>
      <c r="AFH234" s="90"/>
      <c r="AFI234" s="90"/>
      <c r="AFJ234" s="90"/>
      <c r="AFK234" s="90"/>
      <c r="AFL234" s="90"/>
      <c r="AFM234" s="90"/>
      <c r="AFN234" s="90"/>
      <c r="AFO234" s="90"/>
      <c r="AFP234" s="90"/>
      <c r="AFQ234" s="90"/>
      <c r="AFR234" s="90"/>
      <c r="AFS234" s="90"/>
      <c r="AFT234" s="90"/>
      <c r="AFU234" s="90"/>
      <c r="AFV234" s="90"/>
      <c r="AFW234" s="90"/>
      <c r="AFX234" s="90"/>
      <c r="AFY234" s="90"/>
      <c r="AFZ234" s="90"/>
      <c r="AGA234" s="90"/>
      <c r="AGB234" s="90"/>
      <c r="AGC234" s="90"/>
      <c r="AGD234" s="90"/>
      <c r="AGE234" s="90"/>
      <c r="AGF234" s="90"/>
      <c r="AGG234" s="90"/>
      <c r="AGH234" s="90"/>
      <c r="AGI234" s="90"/>
      <c r="AGJ234" s="90"/>
      <c r="AGK234" s="90"/>
      <c r="AGL234" s="90"/>
      <c r="AGM234" s="90"/>
      <c r="AGN234" s="90"/>
      <c r="AGO234" s="90"/>
      <c r="AGP234" s="90"/>
      <c r="AGQ234" s="90"/>
      <c r="AGR234" s="90"/>
      <c r="AGS234" s="90"/>
      <c r="AGT234" s="90"/>
      <c r="AGU234" s="90"/>
      <c r="AGV234" s="90"/>
      <c r="AGW234" s="90"/>
      <c r="AGX234" s="90"/>
      <c r="AGY234" s="90"/>
      <c r="AGZ234" s="90"/>
      <c r="AHA234" s="90"/>
      <c r="AHB234" s="90"/>
      <c r="AHC234" s="90"/>
      <c r="AHD234" s="90"/>
      <c r="AHE234" s="90"/>
      <c r="AHF234" s="90"/>
      <c r="AHG234" s="90"/>
      <c r="AHH234" s="90"/>
      <c r="AHI234" s="90"/>
      <c r="AHJ234" s="90"/>
      <c r="AHK234" s="90"/>
      <c r="AHL234" s="90"/>
      <c r="AHM234" s="90"/>
      <c r="AHN234" s="90"/>
      <c r="AHO234" s="90"/>
      <c r="AHP234" s="90"/>
      <c r="AHQ234" s="90"/>
      <c r="AHR234" s="90"/>
      <c r="AHS234" s="90"/>
      <c r="AHT234" s="90"/>
      <c r="AHU234" s="90"/>
      <c r="AHV234" s="90"/>
      <c r="AHW234" s="90"/>
      <c r="AHX234" s="90"/>
      <c r="AHY234" s="90"/>
      <c r="AHZ234" s="90"/>
      <c r="AIA234" s="90"/>
      <c r="AIB234" s="90"/>
      <c r="AIC234" s="90"/>
      <c r="AID234" s="90"/>
      <c r="AIE234" s="90"/>
      <c r="AIF234" s="90"/>
      <c r="AIG234" s="90"/>
      <c r="AIH234" s="90"/>
      <c r="AII234" s="90"/>
      <c r="AIJ234" s="90"/>
      <c r="AIK234" s="90"/>
      <c r="AIL234" s="90"/>
      <c r="AIM234" s="90"/>
      <c r="AIN234" s="90"/>
      <c r="AIO234" s="90"/>
      <c r="AIP234" s="90"/>
      <c r="AIQ234" s="90"/>
      <c r="AIR234" s="90"/>
      <c r="AIS234" s="90"/>
      <c r="AIT234" s="90"/>
      <c r="AIU234" s="90"/>
      <c r="AIV234" s="90"/>
      <c r="AIW234" s="90"/>
      <c r="AIX234" s="90"/>
      <c r="AIY234" s="90"/>
      <c r="AIZ234" s="90"/>
      <c r="AJA234" s="90"/>
      <c r="AJB234" s="90"/>
      <c r="AJC234" s="90"/>
      <c r="AJD234" s="90"/>
      <c r="AJE234" s="90"/>
      <c r="AJF234" s="90"/>
      <c r="AJG234" s="90"/>
      <c r="AJH234" s="90"/>
      <c r="AJI234" s="90"/>
      <c r="AJJ234" s="90"/>
      <c r="AJK234" s="90"/>
      <c r="AJL234" s="90"/>
      <c r="AJM234" s="90"/>
      <c r="AJN234" s="90"/>
      <c r="AJO234" s="90"/>
      <c r="AJP234" s="90"/>
      <c r="AJQ234" s="90"/>
      <c r="AJR234" s="90"/>
      <c r="AJS234" s="90"/>
      <c r="AJT234" s="90"/>
      <c r="AJU234" s="90"/>
      <c r="AJV234" s="90"/>
      <c r="AJW234" s="90"/>
      <c r="AJX234" s="90"/>
      <c r="AJY234" s="90"/>
      <c r="AJZ234" s="90"/>
      <c r="AKA234" s="90"/>
      <c r="AKB234" s="90"/>
      <c r="AKC234" s="90"/>
      <c r="AKD234" s="90"/>
      <c r="AKE234" s="90"/>
      <c r="AKF234" s="90"/>
      <c r="AKG234" s="90"/>
      <c r="AKH234" s="90"/>
      <c r="AKI234" s="90"/>
      <c r="AKJ234" s="90"/>
      <c r="AKK234" s="90"/>
      <c r="AKL234" s="90"/>
      <c r="AKM234" s="90"/>
      <c r="AKN234" s="90"/>
      <c r="AKO234" s="90"/>
      <c r="AKP234" s="90"/>
      <c r="AKQ234" s="90"/>
      <c r="AKR234" s="90"/>
      <c r="AKS234" s="90"/>
      <c r="AKT234" s="90"/>
      <c r="AKU234" s="90"/>
      <c r="AKV234" s="90"/>
      <c r="AKW234" s="90"/>
      <c r="AKX234" s="90"/>
      <c r="AKY234" s="90"/>
      <c r="AKZ234" s="90"/>
      <c r="ALA234" s="90"/>
      <c r="ALB234" s="90"/>
      <c r="ALC234" s="90"/>
      <c r="ALD234" s="90"/>
      <c r="ALE234" s="90"/>
      <c r="ALF234" s="90"/>
      <c r="ALG234" s="90"/>
      <c r="ALH234" s="90"/>
      <c r="ALI234" s="90"/>
      <c r="ALJ234" s="90"/>
      <c r="ALK234" s="90"/>
      <c r="ALL234" s="90"/>
      <c r="ALM234" s="90"/>
      <c r="ALN234" s="90"/>
      <c r="ALO234" s="90"/>
      <c r="ALP234" s="90"/>
      <c r="ALQ234" s="90"/>
      <c r="ALR234" s="90"/>
      <c r="ALS234" s="90"/>
      <c r="ALT234" s="90"/>
      <c r="ALU234" s="90"/>
      <c r="ALV234" s="90"/>
      <c r="ALW234" s="90"/>
      <c r="ALX234" s="90"/>
      <c r="ALY234" s="90"/>
      <c r="ALZ234" s="90"/>
      <c r="AMA234" s="90"/>
      <c r="AMB234" s="90"/>
      <c r="AMC234" s="90"/>
    </row>
    <row r="235" spans="1:1017">
      <c r="A235" s="98" t="s">
        <v>50</v>
      </c>
      <c r="B235" s="90" t="str">
        <f t="shared" si="1554"/>
        <v xml:space="preserve">Udang_05 (Udang Lainnya) </v>
      </c>
      <c r="Q235" s="91">
        <f t="shared" si="1454"/>
        <v>0</v>
      </c>
      <c r="R235" s="91">
        <f t="shared" si="1455"/>
        <v>0</v>
      </c>
      <c r="AG235" s="91">
        <f t="shared" si="1456"/>
        <v>0</v>
      </c>
      <c r="AH235" s="91">
        <f t="shared" si="1457"/>
        <v>0</v>
      </c>
      <c r="AW235" s="91">
        <f t="shared" si="1458"/>
        <v>0</v>
      </c>
      <c r="AX235" s="91">
        <f t="shared" si="1459"/>
        <v>0</v>
      </c>
      <c r="BM235" s="91">
        <f t="shared" si="1460"/>
        <v>0</v>
      </c>
      <c r="BN235" s="91">
        <f t="shared" si="1461"/>
        <v>0</v>
      </c>
      <c r="CC235" s="91">
        <f t="shared" si="1462"/>
        <v>0</v>
      </c>
      <c r="CD235" s="91">
        <f t="shared" si="1463"/>
        <v>0</v>
      </c>
      <c r="CS235" s="91">
        <f t="shared" si="1548"/>
        <v>0</v>
      </c>
      <c r="CT235" s="91">
        <f t="shared" si="1549"/>
        <v>0</v>
      </c>
      <c r="DI235" s="91">
        <f t="shared" si="1466"/>
        <v>0</v>
      </c>
      <c r="DJ235" s="91">
        <f t="shared" si="1467"/>
        <v>0</v>
      </c>
      <c r="DY235" s="91">
        <f t="shared" si="1468"/>
        <v>0</v>
      </c>
      <c r="DZ235" s="91">
        <f t="shared" si="1469"/>
        <v>0</v>
      </c>
      <c r="EO235" s="91">
        <f t="shared" si="1470"/>
        <v>0</v>
      </c>
      <c r="EP235" s="91">
        <f t="shared" si="1471"/>
        <v>0</v>
      </c>
      <c r="FE235" s="91">
        <f t="shared" si="1472"/>
        <v>0</v>
      </c>
      <c r="FF235" s="91">
        <f t="shared" si="1473"/>
        <v>0</v>
      </c>
      <c r="FU235" s="91">
        <f t="shared" si="1474"/>
        <v>0</v>
      </c>
      <c r="FV235" s="91">
        <f t="shared" si="1475"/>
        <v>0</v>
      </c>
      <c r="GK235" s="91">
        <f t="shared" si="1476"/>
        <v>0</v>
      </c>
      <c r="GL235" s="91">
        <f t="shared" si="1477"/>
        <v>0</v>
      </c>
      <c r="HA235" s="91">
        <f t="shared" si="1478"/>
        <v>0</v>
      </c>
      <c r="HB235" s="91">
        <f t="shared" si="1479"/>
        <v>0</v>
      </c>
      <c r="HQ235" s="91">
        <f t="shared" si="1480"/>
        <v>0</v>
      </c>
      <c r="HR235" s="91">
        <f t="shared" si="1481"/>
        <v>0</v>
      </c>
      <c r="IG235" s="91">
        <f t="shared" si="1482"/>
        <v>0</v>
      </c>
      <c r="IH235" s="91">
        <f t="shared" si="1483"/>
        <v>0</v>
      </c>
      <c r="IW235" s="91">
        <f t="shared" si="1484"/>
        <v>0</v>
      </c>
      <c r="IX235" s="91">
        <f t="shared" si="1485"/>
        <v>0</v>
      </c>
      <c r="JM235" s="91">
        <f t="shared" si="1486"/>
        <v>0</v>
      </c>
      <c r="JN235" s="91">
        <f t="shared" si="1487"/>
        <v>0</v>
      </c>
      <c r="KC235" s="91">
        <f t="shared" si="1488"/>
        <v>0</v>
      </c>
      <c r="KD235" s="91">
        <f t="shared" si="1489"/>
        <v>0</v>
      </c>
      <c r="KS235" s="91">
        <f t="shared" si="1490"/>
        <v>0</v>
      </c>
      <c r="KT235" s="91">
        <f t="shared" si="1491"/>
        <v>0</v>
      </c>
      <c r="LI235" s="91">
        <f t="shared" si="1492"/>
        <v>0</v>
      </c>
      <c r="LJ235" s="91">
        <f t="shared" si="1493"/>
        <v>0</v>
      </c>
      <c r="LY235" s="91">
        <f t="shared" si="1494"/>
        <v>0</v>
      </c>
      <c r="LZ235" s="91">
        <f t="shared" si="1495"/>
        <v>0</v>
      </c>
      <c r="MO235" s="91">
        <f t="shared" si="1496"/>
        <v>0</v>
      </c>
      <c r="MP235" s="91">
        <f t="shared" si="1497"/>
        <v>0</v>
      </c>
      <c r="NE235" s="91">
        <f t="shared" si="1498"/>
        <v>0</v>
      </c>
      <c r="NF235" s="91">
        <f t="shared" si="1499"/>
        <v>0</v>
      </c>
      <c r="NU235" s="91">
        <f t="shared" si="1500"/>
        <v>0</v>
      </c>
      <c r="NV235" s="91">
        <f t="shared" si="1501"/>
        <v>0</v>
      </c>
      <c r="OK235" s="91">
        <f t="shared" si="1502"/>
        <v>0</v>
      </c>
      <c r="OL235" s="91">
        <f t="shared" si="1503"/>
        <v>0</v>
      </c>
      <c r="PA235" s="91">
        <f t="shared" si="1504"/>
        <v>0</v>
      </c>
      <c r="PB235" s="91">
        <f t="shared" si="1505"/>
        <v>0</v>
      </c>
      <c r="PQ235" s="91">
        <f t="shared" si="1506"/>
        <v>0</v>
      </c>
      <c r="PR235" s="91">
        <f t="shared" si="1507"/>
        <v>0</v>
      </c>
      <c r="QG235" s="91">
        <f t="shared" si="1508"/>
        <v>0</v>
      </c>
      <c r="QH235" s="91">
        <f t="shared" si="1509"/>
        <v>0</v>
      </c>
      <c r="QW235" s="91">
        <f t="shared" si="1510"/>
        <v>0</v>
      </c>
      <c r="QX235" s="91">
        <f t="shared" si="1511"/>
        <v>0</v>
      </c>
      <c r="RM235" s="91">
        <f t="shared" si="1512"/>
        <v>0</v>
      </c>
      <c r="RN235" s="91">
        <f t="shared" si="1513"/>
        <v>0</v>
      </c>
      <c r="SC235" s="91">
        <f t="shared" si="1514"/>
        <v>0</v>
      </c>
      <c r="SD235" s="91">
        <f t="shared" si="1515"/>
        <v>0</v>
      </c>
      <c r="SS235" s="91">
        <f t="shared" si="1516"/>
        <v>0</v>
      </c>
      <c r="ST235" s="91">
        <f t="shared" si="1517"/>
        <v>0</v>
      </c>
      <c r="TI235" s="91">
        <f t="shared" si="1518"/>
        <v>0</v>
      </c>
      <c r="TJ235" s="91">
        <f t="shared" si="1519"/>
        <v>0</v>
      </c>
      <c r="TY235" s="91">
        <f t="shared" si="1520"/>
        <v>0</v>
      </c>
      <c r="TZ235" s="91">
        <f t="shared" si="1521"/>
        <v>0</v>
      </c>
      <c r="UO235" s="91">
        <f t="shared" si="1522"/>
        <v>0</v>
      </c>
      <c r="UP235" s="91">
        <f t="shared" si="1523"/>
        <v>0</v>
      </c>
      <c r="VE235" s="91">
        <f t="shared" si="1524"/>
        <v>0</v>
      </c>
      <c r="VF235" s="91">
        <f t="shared" si="1525"/>
        <v>0</v>
      </c>
      <c r="VU235" s="91">
        <f t="shared" si="1526"/>
        <v>0</v>
      </c>
      <c r="VV235" s="91">
        <f t="shared" si="1527"/>
        <v>0</v>
      </c>
      <c r="WK235" s="91">
        <f t="shared" si="1528"/>
        <v>0</v>
      </c>
      <c r="WL235" s="91">
        <f t="shared" si="1529"/>
        <v>0</v>
      </c>
      <c r="WM235" s="89"/>
      <c r="WN235" s="87">
        <f t="shared" si="1555"/>
        <v>0</v>
      </c>
      <c r="WO235" s="87">
        <f t="shared" si="1556"/>
        <v>0</v>
      </c>
      <c r="WP235" s="87">
        <f t="shared" si="1557"/>
        <v>0</v>
      </c>
      <c r="WQ235" s="87">
        <f t="shared" si="1558"/>
        <v>0</v>
      </c>
      <c r="WR235" s="87">
        <f t="shared" si="1559"/>
        <v>0</v>
      </c>
      <c r="WS235" s="87">
        <f t="shared" si="1560"/>
        <v>0</v>
      </c>
      <c r="WT235" s="87">
        <f t="shared" si="1561"/>
        <v>0</v>
      </c>
      <c r="WU235" s="87">
        <f t="shared" si="1562"/>
        <v>0</v>
      </c>
      <c r="WV235" s="87">
        <f t="shared" si="1563"/>
        <v>0</v>
      </c>
      <c r="WW235" s="87">
        <f t="shared" si="1564"/>
        <v>0</v>
      </c>
      <c r="WX235" s="87">
        <f t="shared" si="1565"/>
        <v>0</v>
      </c>
      <c r="WY235" s="87">
        <f t="shared" si="1566"/>
        <v>0</v>
      </c>
      <c r="WZ235" s="87">
        <f t="shared" si="1550"/>
        <v>0</v>
      </c>
      <c r="XA235" s="87">
        <f t="shared" si="1551"/>
        <v>0</v>
      </c>
      <c r="XB235" s="92">
        <f t="shared" si="1552"/>
        <v>0</v>
      </c>
      <c r="XC235" s="92">
        <f t="shared" si="1553"/>
        <v>0</v>
      </c>
      <c r="XD235" s="89"/>
      <c r="XE235" s="92"/>
      <c r="XF235" s="92"/>
      <c r="XG235" s="89"/>
      <c r="XH235" s="92"/>
      <c r="XI235" s="92"/>
      <c r="XJ235" s="89"/>
      <c r="XK235" s="87"/>
      <c r="XL235" s="87"/>
      <c r="XM235" s="87"/>
      <c r="XN235" s="87"/>
      <c r="XO235" s="87"/>
      <c r="XP235" s="87"/>
      <c r="XQ235" s="87"/>
      <c r="XR235" s="92">
        <f t="shared" ca="1" si="1546"/>
        <v>0</v>
      </c>
      <c r="XS235" s="89"/>
      <c r="XT235" s="87"/>
      <c r="XU235" s="87"/>
      <c r="XV235" s="87"/>
      <c r="XW235" s="87"/>
      <c r="XX235" s="87"/>
      <c r="XY235" s="87"/>
      <c r="XZ235" s="87"/>
      <c r="YA235" s="92">
        <f t="shared" ca="1" si="1547"/>
        <v>0</v>
      </c>
      <c r="YB235" s="90"/>
      <c r="YC235" s="90"/>
      <c r="YD235" s="90"/>
      <c r="YE235" s="90"/>
      <c r="YF235" s="90"/>
      <c r="YG235" s="90"/>
      <c r="YH235" s="90"/>
      <c r="YI235" s="90"/>
      <c r="YJ235" s="90"/>
      <c r="YK235" s="90"/>
      <c r="YL235" s="90"/>
      <c r="YM235" s="90"/>
      <c r="YN235" s="90"/>
      <c r="YO235" s="90"/>
      <c r="YP235" s="90"/>
      <c r="YQ235" s="90"/>
      <c r="YR235" s="90"/>
      <c r="YS235" s="90"/>
      <c r="YT235" s="90"/>
      <c r="YU235" s="90"/>
      <c r="YV235" s="90"/>
      <c r="YW235" s="90"/>
      <c r="YX235" s="90"/>
      <c r="YY235" s="90"/>
      <c r="YZ235" s="90"/>
      <c r="ZA235" s="90"/>
      <c r="ZB235" s="90"/>
      <c r="ZC235" s="90"/>
      <c r="ZD235" s="90"/>
      <c r="ZE235" s="90"/>
      <c r="ZF235" s="90"/>
      <c r="ZG235" s="90"/>
      <c r="ZH235" s="90"/>
      <c r="ZI235" s="90"/>
      <c r="ZJ235" s="90"/>
      <c r="ZK235" s="90"/>
      <c r="ZL235" s="90"/>
      <c r="ZM235" s="90"/>
      <c r="ZN235" s="90"/>
      <c r="ZO235" s="90"/>
      <c r="ZP235" s="90"/>
      <c r="ZQ235" s="90"/>
      <c r="ZR235" s="90"/>
      <c r="ZS235" s="90"/>
      <c r="ZT235" s="90"/>
      <c r="ZU235" s="90"/>
      <c r="ZV235" s="90"/>
      <c r="ZW235" s="90"/>
      <c r="ZX235" s="90"/>
      <c r="ZY235" s="90"/>
      <c r="ZZ235" s="90"/>
      <c r="AAA235" s="90"/>
      <c r="AAB235" s="90"/>
      <c r="AAC235" s="90"/>
      <c r="AAD235" s="90"/>
      <c r="AAE235" s="90"/>
      <c r="AAF235" s="90"/>
      <c r="AAG235" s="90"/>
      <c r="AAH235" s="90"/>
      <c r="AAI235" s="90"/>
      <c r="AAJ235" s="90"/>
      <c r="AAK235" s="90"/>
      <c r="AAL235" s="90"/>
      <c r="AAM235" s="90"/>
      <c r="AAN235" s="90"/>
      <c r="AAO235" s="90"/>
      <c r="AAP235" s="90"/>
      <c r="AAQ235" s="90"/>
      <c r="AAR235" s="90"/>
      <c r="AAS235" s="90"/>
      <c r="AAT235" s="90"/>
      <c r="AAU235" s="90"/>
      <c r="AAV235" s="90"/>
      <c r="AAW235" s="90"/>
      <c r="AAX235" s="90"/>
      <c r="AAY235" s="90"/>
      <c r="AAZ235" s="90"/>
      <c r="ABA235" s="90"/>
      <c r="ABB235" s="90"/>
      <c r="ABC235" s="90"/>
      <c r="ABD235" s="90"/>
      <c r="ABE235" s="90"/>
      <c r="ABF235" s="90"/>
      <c r="ABG235" s="90"/>
      <c r="ABH235" s="90"/>
      <c r="ABI235" s="90"/>
      <c r="ABJ235" s="90"/>
      <c r="ABK235" s="90"/>
      <c r="ABL235" s="90"/>
      <c r="ABM235" s="90"/>
      <c r="ABN235" s="90"/>
      <c r="ABO235" s="90"/>
      <c r="ABP235" s="90"/>
      <c r="ABQ235" s="90"/>
      <c r="ABR235" s="90"/>
      <c r="ABS235" s="90"/>
      <c r="ABT235" s="90"/>
      <c r="ABU235" s="90"/>
      <c r="ABV235" s="90"/>
      <c r="ABW235" s="90"/>
      <c r="ABX235" s="90"/>
      <c r="ABY235" s="90"/>
      <c r="ABZ235" s="90"/>
      <c r="ACA235" s="90"/>
      <c r="ACB235" s="90"/>
      <c r="ACC235" s="90"/>
      <c r="ACD235" s="90"/>
      <c r="ACE235" s="90"/>
      <c r="ACF235" s="90"/>
      <c r="ACG235" s="90"/>
      <c r="ACH235" s="90"/>
      <c r="ACI235" s="90"/>
      <c r="ACJ235" s="90"/>
      <c r="ACK235" s="90"/>
      <c r="ACL235" s="90"/>
      <c r="ACM235" s="90"/>
      <c r="ACN235" s="90"/>
      <c r="ACO235" s="90"/>
      <c r="ACP235" s="90"/>
      <c r="ACQ235" s="90"/>
      <c r="ACR235" s="90"/>
      <c r="ACS235" s="90"/>
      <c r="ACT235" s="90"/>
      <c r="ACU235" s="90"/>
      <c r="ACV235" s="90"/>
      <c r="ACW235" s="90"/>
      <c r="ACX235" s="90"/>
      <c r="ACY235" s="90"/>
      <c r="ACZ235" s="90"/>
      <c r="ADA235" s="90"/>
      <c r="ADB235" s="90"/>
      <c r="ADC235" s="90"/>
      <c r="ADD235" s="90"/>
      <c r="ADE235" s="90"/>
      <c r="ADF235" s="90"/>
      <c r="ADG235" s="90"/>
      <c r="ADH235" s="90"/>
      <c r="ADI235" s="90"/>
      <c r="ADJ235" s="90"/>
      <c r="ADK235" s="90"/>
      <c r="ADL235" s="90"/>
      <c r="ADM235" s="90"/>
      <c r="ADN235" s="90"/>
      <c r="ADO235" s="90"/>
      <c r="ADP235" s="90"/>
      <c r="ADQ235" s="90"/>
      <c r="ADR235" s="90"/>
      <c r="ADS235" s="90"/>
      <c r="ADT235" s="90"/>
      <c r="ADU235" s="90"/>
      <c r="ADV235" s="90"/>
      <c r="ADW235" s="90"/>
      <c r="ADX235" s="90"/>
      <c r="ADY235" s="90"/>
      <c r="ADZ235" s="90"/>
      <c r="AEA235" s="90"/>
      <c r="AEB235" s="90"/>
      <c r="AEC235" s="90"/>
      <c r="AED235" s="90"/>
      <c r="AEE235" s="90"/>
      <c r="AEF235" s="90"/>
      <c r="AEG235" s="90"/>
      <c r="AEH235" s="90"/>
      <c r="AEI235" s="90"/>
      <c r="AEJ235" s="90"/>
      <c r="AEK235" s="90"/>
      <c r="AEL235" s="90"/>
      <c r="AEM235" s="90"/>
      <c r="AEN235" s="90"/>
      <c r="AEO235" s="90"/>
      <c r="AEP235" s="90"/>
      <c r="AEQ235" s="90"/>
      <c r="AER235" s="90"/>
      <c r="AES235" s="90"/>
      <c r="AET235" s="90"/>
      <c r="AEU235" s="90"/>
      <c r="AEV235" s="90"/>
      <c r="AEW235" s="90"/>
      <c r="AEX235" s="90"/>
      <c r="AEY235" s="90"/>
      <c r="AEZ235" s="90"/>
      <c r="AFA235" s="90"/>
      <c r="AFB235" s="90"/>
      <c r="AFC235" s="90"/>
      <c r="AFD235" s="90"/>
      <c r="AFE235" s="90"/>
      <c r="AFF235" s="90"/>
      <c r="AFG235" s="90"/>
      <c r="AFH235" s="90"/>
      <c r="AFI235" s="90"/>
      <c r="AFJ235" s="90"/>
      <c r="AFK235" s="90"/>
      <c r="AFL235" s="90"/>
      <c r="AFM235" s="90"/>
      <c r="AFN235" s="90"/>
      <c r="AFO235" s="90"/>
      <c r="AFP235" s="90"/>
      <c r="AFQ235" s="90"/>
      <c r="AFR235" s="90"/>
      <c r="AFS235" s="90"/>
      <c r="AFT235" s="90"/>
      <c r="AFU235" s="90"/>
      <c r="AFV235" s="90"/>
      <c r="AFW235" s="90"/>
      <c r="AFX235" s="90"/>
      <c r="AFY235" s="90"/>
      <c r="AFZ235" s="90"/>
      <c r="AGA235" s="90"/>
      <c r="AGB235" s="90"/>
      <c r="AGC235" s="90"/>
      <c r="AGD235" s="90"/>
      <c r="AGE235" s="90"/>
      <c r="AGF235" s="90"/>
      <c r="AGG235" s="90"/>
      <c r="AGH235" s="90"/>
      <c r="AGI235" s="90"/>
      <c r="AGJ235" s="90"/>
      <c r="AGK235" s="90"/>
      <c r="AGL235" s="90"/>
      <c r="AGM235" s="90"/>
      <c r="AGN235" s="90"/>
      <c r="AGO235" s="90"/>
      <c r="AGP235" s="90"/>
      <c r="AGQ235" s="90"/>
      <c r="AGR235" s="90"/>
      <c r="AGS235" s="90"/>
      <c r="AGT235" s="90"/>
      <c r="AGU235" s="90"/>
      <c r="AGV235" s="90"/>
      <c r="AGW235" s="90"/>
      <c r="AGX235" s="90"/>
      <c r="AGY235" s="90"/>
      <c r="AGZ235" s="90"/>
      <c r="AHA235" s="90"/>
      <c r="AHB235" s="90"/>
      <c r="AHC235" s="90"/>
      <c r="AHD235" s="90"/>
      <c r="AHE235" s="90"/>
      <c r="AHF235" s="90"/>
      <c r="AHG235" s="90"/>
      <c r="AHH235" s="90"/>
      <c r="AHI235" s="90"/>
      <c r="AHJ235" s="90"/>
      <c r="AHK235" s="90"/>
      <c r="AHL235" s="90"/>
      <c r="AHM235" s="90"/>
      <c r="AHN235" s="90"/>
      <c r="AHO235" s="90"/>
      <c r="AHP235" s="90"/>
      <c r="AHQ235" s="90"/>
      <c r="AHR235" s="90"/>
      <c r="AHS235" s="90"/>
      <c r="AHT235" s="90"/>
      <c r="AHU235" s="90"/>
      <c r="AHV235" s="90"/>
      <c r="AHW235" s="90"/>
      <c r="AHX235" s="90"/>
      <c r="AHY235" s="90"/>
      <c r="AHZ235" s="90"/>
      <c r="AIA235" s="90"/>
      <c r="AIB235" s="90"/>
      <c r="AIC235" s="90"/>
      <c r="AID235" s="90"/>
      <c r="AIE235" s="90"/>
      <c r="AIF235" s="90"/>
      <c r="AIG235" s="90"/>
      <c r="AIH235" s="90"/>
      <c r="AII235" s="90"/>
      <c r="AIJ235" s="90"/>
      <c r="AIK235" s="90"/>
      <c r="AIL235" s="90"/>
      <c r="AIM235" s="90"/>
      <c r="AIN235" s="90"/>
      <c r="AIO235" s="90"/>
      <c r="AIP235" s="90"/>
      <c r="AIQ235" s="90"/>
      <c r="AIR235" s="90"/>
      <c r="AIS235" s="90"/>
      <c r="AIT235" s="90"/>
      <c r="AIU235" s="90"/>
      <c r="AIV235" s="90"/>
      <c r="AIW235" s="90"/>
      <c r="AIX235" s="90"/>
      <c r="AIY235" s="90"/>
      <c r="AIZ235" s="90"/>
      <c r="AJA235" s="90"/>
      <c r="AJB235" s="90"/>
      <c r="AJC235" s="90"/>
      <c r="AJD235" s="90"/>
      <c r="AJE235" s="90"/>
      <c r="AJF235" s="90"/>
      <c r="AJG235" s="90"/>
      <c r="AJH235" s="90"/>
      <c r="AJI235" s="90"/>
      <c r="AJJ235" s="90"/>
      <c r="AJK235" s="90"/>
      <c r="AJL235" s="90"/>
      <c r="AJM235" s="90"/>
      <c r="AJN235" s="90"/>
      <c r="AJO235" s="90"/>
      <c r="AJP235" s="90"/>
      <c r="AJQ235" s="90"/>
      <c r="AJR235" s="90"/>
      <c r="AJS235" s="90"/>
      <c r="AJT235" s="90"/>
      <c r="AJU235" s="90"/>
      <c r="AJV235" s="90"/>
      <c r="AJW235" s="90"/>
      <c r="AJX235" s="90"/>
      <c r="AJY235" s="90"/>
      <c r="AJZ235" s="90"/>
      <c r="AKA235" s="90"/>
      <c r="AKB235" s="90"/>
      <c r="AKC235" s="90"/>
      <c r="AKD235" s="90"/>
      <c r="AKE235" s="90"/>
      <c r="AKF235" s="90"/>
      <c r="AKG235" s="90"/>
      <c r="AKH235" s="90"/>
      <c r="AKI235" s="90"/>
      <c r="AKJ235" s="90"/>
      <c r="AKK235" s="90"/>
      <c r="AKL235" s="90"/>
      <c r="AKM235" s="90"/>
      <c r="AKN235" s="90"/>
      <c r="AKO235" s="90"/>
      <c r="AKP235" s="90"/>
      <c r="AKQ235" s="90"/>
      <c r="AKR235" s="90"/>
      <c r="AKS235" s="90"/>
      <c r="AKT235" s="90"/>
      <c r="AKU235" s="90"/>
      <c r="AKV235" s="90"/>
      <c r="AKW235" s="90"/>
      <c r="AKX235" s="90"/>
      <c r="AKY235" s="90"/>
      <c r="AKZ235" s="90"/>
      <c r="ALA235" s="90"/>
      <c r="ALB235" s="90"/>
      <c r="ALC235" s="90"/>
      <c r="ALD235" s="90"/>
      <c r="ALE235" s="90"/>
      <c r="ALF235" s="90"/>
      <c r="ALG235" s="90"/>
      <c r="ALH235" s="90"/>
      <c r="ALI235" s="90"/>
      <c r="ALJ235" s="90"/>
      <c r="ALK235" s="90"/>
      <c r="ALL235" s="90"/>
      <c r="ALM235" s="90"/>
      <c r="ALN235" s="90"/>
      <c r="ALO235" s="90"/>
      <c r="ALP235" s="90"/>
      <c r="ALQ235" s="90"/>
      <c r="ALR235" s="90"/>
      <c r="ALS235" s="90"/>
      <c r="ALT235" s="90"/>
      <c r="ALU235" s="90"/>
      <c r="ALV235" s="90"/>
      <c r="ALW235" s="90"/>
      <c r="ALX235" s="90"/>
      <c r="ALY235" s="90"/>
      <c r="ALZ235" s="90"/>
      <c r="AMA235" s="90"/>
      <c r="AMB235" s="90"/>
      <c r="AMC235" s="90"/>
    </row>
    <row r="236" spans="1:1017">
      <c r="A236" s="98" t="s">
        <v>50</v>
      </c>
      <c r="B236" s="90" t="str">
        <f t="shared" si="1554"/>
        <v>Ikan_01 (Ikan Lainnya)</v>
      </c>
      <c r="Q236" s="91">
        <f t="shared" si="1454"/>
        <v>0</v>
      </c>
      <c r="R236" s="91">
        <f t="shared" si="1455"/>
        <v>0</v>
      </c>
      <c r="AG236" s="91">
        <f t="shared" si="1456"/>
        <v>0</v>
      </c>
      <c r="AH236" s="91">
        <f t="shared" si="1457"/>
        <v>0</v>
      </c>
      <c r="AW236" s="91">
        <f t="shared" si="1458"/>
        <v>0</v>
      </c>
      <c r="AX236" s="91">
        <f t="shared" si="1459"/>
        <v>0</v>
      </c>
      <c r="BM236" s="91">
        <f t="shared" si="1460"/>
        <v>0</v>
      </c>
      <c r="BN236" s="91">
        <f t="shared" si="1461"/>
        <v>0</v>
      </c>
      <c r="CC236" s="91">
        <f t="shared" si="1462"/>
        <v>0</v>
      </c>
      <c r="CD236" s="91">
        <f t="shared" si="1463"/>
        <v>0</v>
      </c>
      <c r="CG236" s="98">
        <v>48671.832419999992</v>
      </c>
      <c r="CH236" s="98">
        <v>243359.16209999996</v>
      </c>
      <c r="CK236" s="98">
        <v>427647.65802065999</v>
      </c>
      <c r="CL236" s="98">
        <v>2138238.2901033</v>
      </c>
      <c r="CS236" s="91">
        <f t="shared" si="1548"/>
        <v>476319.49044065998</v>
      </c>
      <c r="CT236" s="91">
        <f t="shared" si="1549"/>
        <v>2381597.4522032999</v>
      </c>
      <c r="DI236" s="91">
        <f t="shared" si="1466"/>
        <v>0</v>
      </c>
      <c r="DJ236" s="91">
        <f t="shared" si="1467"/>
        <v>0</v>
      </c>
      <c r="DY236" s="91">
        <f t="shared" si="1468"/>
        <v>0</v>
      </c>
      <c r="DZ236" s="91">
        <f t="shared" si="1469"/>
        <v>0</v>
      </c>
      <c r="EO236" s="91">
        <f t="shared" si="1470"/>
        <v>0</v>
      </c>
      <c r="EP236" s="91">
        <f t="shared" si="1471"/>
        <v>0</v>
      </c>
      <c r="FE236" s="91">
        <f t="shared" si="1472"/>
        <v>0</v>
      </c>
      <c r="FF236" s="91">
        <f t="shared" si="1473"/>
        <v>0</v>
      </c>
      <c r="FU236" s="91">
        <f t="shared" si="1474"/>
        <v>0</v>
      </c>
      <c r="FV236" s="91">
        <f t="shared" si="1475"/>
        <v>0</v>
      </c>
      <c r="GK236" s="91">
        <f t="shared" si="1476"/>
        <v>0</v>
      </c>
      <c r="GL236" s="91">
        <f t="shared" si="1477"/>
        <v>0</v>
      </c>
      <c r="HA236" s="91">
        <f t="shared" si="1478"/>
        <v>0</v>
      </c>
      <c r="HB236" s="91">
        <f t="shared" si="1479"/>
        <v>0</v>
      </c>
      <c r="HQ236" s="91">
        <f t="shared" si="1480"/>
        <v>0</v>
      </c>
      <c r="HR236" s="91">
        <f t="shared" si="1481"/>
        <v>0</v>
      </c>
      <c r="IG236" s="91">
        <f t="shared" si="1482"/>
        <v>0</v>
      </c>
      <c r="IH236" s="91">
        <f t="shared" si="1483"/>
        <v>0</v>
      </c>
      <c r="IW236" s="91">
        <f t="shared" si="1484"/>
        <v>0</v>
      </c>
      <c r="IX236" s="91">
        <f t="shared" si="1485"/>
        <v>0</v>
      </c>
      <c r="JM236" s="91">
        <f t="shared" si="1486"/>
        <v>0</v>
      </c>
      <c r="JN236" s="91">
        <f t="shared" si="1487"/>
        <v>0</v>
      </c>
      <c r="KC236" s="91">
        <f t="shared" si="1488"/>
        <v>0</v>
      </c>
      <c r="KD236" s="91">
        <f t="shared" si="1489"/>
        <v>0</v>
      </c>
      <c r="KS236" s="91">
        <f t="shared" si="1490"/>
        <v>0</v>
      </c>
      <c r="KT236" s="91">
        <f t="shared" si="1491"/>
        <v>0</v>
      </c>
      <c r="LI236" s="91">
        <f t="shared" si="1492"/>
        <v>0</v>
      </c>
      <c r="LJ236" s="91">
        <f t="shared" si="1493"/>
        <v>0</v>
      </c>
      <c r="LY236" s="91">
        <f t="shared" si="1494"/>
        <v>0</v>
      </c>
      <c r="LZ236" s="91">
        <f t="shared" si="1495"/>
        <v>0</v>
      </c>
      <c r="MO236" s="91">
        <f t="shared" si="1496"/>
        <v>0</v>
      </c>
      <c r="MP236" s="91">
        <f t="shared" si="1497"/>
        <v>0</v>
      </c>
      <c r="MS236" s="98">
        <v>135</v>
      </c>
      <c r="MT236" s="98">
        <v>4050</v>
      </c>
      <c r="NE236" s="91">
        <f t="shared" si="1498"/>
        <v>135</v>
      </c>
      <c r="NF236" s="91">
        <f t="shared" si="1499"/>
        <v>4050</v>
      </c>
      <c r="NU236" s="91">
        <f t="shared" si="1500"/>
        <v>0</v>
      </c>
      <c r="NV236" s="91">
        <f t="shared" si="1501"/>
        <v>0</v>
      </c>
      <c r="OK236" s="91">
        <f t="shared" si="1502"/>
        <v>0</v>
      </c>
      <c r="OL236" s="91">
        <f t="shared" si="1503"/>
        <v>0</v>
      </c>
      <c r="PA236" s="91">
        <f t="shared" si="1504"/>
        <v>0</v>
      </c>
      <c r="PB236" s="91">
        <f t="shared" si="1505"/>
        <v>0</v>
      </c>
      <c r="PQ236" s="91">
        <f t="shared" si="1506"/>
        <v>0</v>
      </c>
      <c r="PR236" s="91">
        <f t="shared" si="1507"/>
        <v>0</v>
      </c>
      <c r="QG236" s="91">
        <f t="shared" si="1508"/>
        <v>0</v>
      </c>
      <c r="QH236" s="91">
        <f t="shared" si="1509"/>
        <v>0</v>
      </c>
      <c r="QW236" s="91">
        <f t="shared" si="1510"/>
        <v>0</v>
      </c>
      <c r="QX236" s="91">
        <f t="shared" si="1511"/>
        <v>0</v>
      </c>
      <c r="RM236" s="91">
        <f t="shared" si="1512"/>
        <v>0</v>
      </c>
      <c r="RN236" s="91">
        <f t="shared" si="1513"/>
        <v>0</v>
      </c>
      <c r="SC236" s="91">
        <f t="shared" si="1514"/>
        <v>0</v>
      </c>
      <c r="SD236" s="91">
        <f t="shared" si="1515"/>
        <v>0</v>
      </c>
      <c r="SS236" s="91">
        <f t="shared" si="1516"/>
        <v>0</v>
      </c>
      <c r="ST236" s="91">
        <f t="shared" si="1517"/>
        <v>0</v>
      </c>
      <c r="TI236" s="91">
        <f t="shared" si="1518"/>
        <v>0</v>
      </c>
      <c r="TJ236" s="91">
        <f t="shared" si="1519"/>
        <v>0</v>
      </c>
      <c r="TY236" s="91">
        <f t="shared" si="1520"/>
        <v>0</v>
      </c>
      <c r="TZ236" s="91">
        <f t="shared" si="1521"/>
        <v>0</v>
      </c>
      <c r="UO236" s="91">
        <f t="shared" si="1522"/>
        <v>0</v>
      </c>
      <c r="UP236" s="91">
        <f t="shared" si="1523"/>
        <v>0</v>
      </c>
      <c r="VE236" s="91">
        <f t="shared" si="1524"/>
        <v>0</v>
      </c>
      <c r="VF236" s="91">
        <f t="shared" si="1525"/>
        <v>0</v>
      </c>
      <c r="VU236" s="91">
        <f t="shared" si="1526"/>
        <v>0</v>
      </c>
      <c r="VV236" s="91">
        <f t="shared" si="1527"/>
        <v>0</v>
      </c>
      <c r="WK236" s="91">
        <f t="shared" si="1528"/>
        <v>0</v>
      </c>
      <c r="WL236" s="91">
        <f t="shared" si="1529"/>
        <v>0</v>
      </c>
      <c r="WM236" s="89"/>
      <c r="WN236" s="87">
        <f t="shared" si="1555"/>
        <v>0</v>
      </c>
      <c r="WO236" s="87">
        <f t="shared" si="1556"/>
        <v>0</v>
      </c>
      <c r="WP236" s="87">
        <f t="shared" si="1557"/>
        <v>48806.832419999992</v>
      </c>
      <c r="WQ236" s="87">
        <f t="shared" si="1558"/>
        <v>247409.16209999996</v>
      </c>
      <c r="WR236" s="87">
        <f t="shared" si="1559"/>
        <v>0</v>
      </c>
      <c r="WS236" s="87">
        <f t="shared" si="1560"/>
        <v>0</v>
      </c>
      <c r="WT236" s="87">
        <f t="shared" si="1561"/>
        <v>427647.65802065999</v>
      </c>
      <c r="WU236" s="87">
        <f t="shared" si="1562"/>
        <v>2138238.2901033</v>
      </c>
      <c r="WV236" s="87">
        <f t="shared" si="1563"/>
        <v>0</v>
      </c>
      <c r="WW236" s="87">
        <f t="shared" si="1564"/>
        <v>0</v>
      </c>
      <c r="WX236" s="87">
        <f t="shared" si="1565"/>
        <v>0</v>
      </c>
      <c r="WY236" s="87">
        <f t="shared" si="1566"/>
        <v>0</v>
      </c>
      <c r="WZ236" s="87">
        <f t="shared" si="1550"/>
        <v>0</v>
      </c>
      <c r="XA236" s="87">
        <f t="shared" si="1551"/>
        <v>0</v>
      </c>
      <c r="XB236" s="92">
        <f t="shared" si="1552"/>
        <v>476454.49044065998</v>
      </c>
      <c r="XC236" s="92">
        <f t="shared" si="1553"/>
        <v>2385647.4522032999</v>
      </c>
      <c r="XD236" s="89"/>
      <c r="XE236" s="92"/>
      <c r="XF236" s="92"/>
      <c r="XG236" s="89"/>
      <c r="XH236" s="92"/>
      <c r="XI236" s="92"/>
      <c r="XJ236" s="89"/>
      <c r="XK236" s="87"/>
      <c r="XL236" s="87"/>
      <c r="XM236" s="87"/>
      <c r="XN236" s="87"/>
      <c r="XO236" s="87"/>
      <c r="XP236" s="87"/>
      <c r="XQ236" s="87"/>
      <c r="XR236" s="92">
        <f t="shared" ca="1" si="1546"/>
        <v>0</v>
      </c>
      <c r="XS236" s="89"/>
      <c r="XT236" s="87"/>
      <c r="XU236" s="87"/>
      <c r="XV236" s="87"/>
      <c r="XW236" s="87"/>
      <c r="XX236" s="87"/>
      <c r="XY236" s="87"/>
      <c r="XZ236" s="87"/>
      <c r="YA236" s="92">
        <f t="shared" ca="1" si="1547"/>
        <v>0</v>
      </c>
      <c r="YB236" s="90"/>
      <c r="YC236" s="90"/>
      <c r="YD236" s="90"/>
      <c r="YE236" s="90"/>
      <c r="YF236" s="90"/>
      <c r="YG236" s="90"/>
      <c r="YH236" s="90"/>
      <c r="YI236" s="90"/>
      <c r="YJ236" s="90"/>
      <c r="YK236" s="90"/>
      <c r="YL236" s="90"/>
      <c r="YM236" s="90"/>
      <c r="YN236" s="90"/>
      <c r="YO236" s="90"/>
      <c r="YP236" s="90"/>
      <c r="YQ236" s="90"/>
      <c r="YR236" s="90"/>
      <c r="YS236" s="90"/>
      <c r="YT236" s="90"/>
      <c r="YU236" s="90"/>
      <c r="YV236" s="90"/>
      <c r="YW236" s="90"/>
      <c r="YX236" s="90"/>
      <c r="YY236" s="90"/>
      <c r="YZ236" s="90"/>
      <c r="ZA236" s="90"/>
      <c r="ZB236" s="90"/>
      <c r="ZC236" s="90"/>
      <c r="ZD236" s="90"/>
      <c r="ZE236" s="90"/>
      <c r="ZF236" s="90"/>
      <c r="ZG236" s="90"/>
      <c r="ZH236" s="90"/>
      <c r="ZI236" s="90"/>
      <c r="ZJ236" s="90"/>
      <c r="ZK236" s="90"/>
      <c r="ZL236" s="90"/>
      <c r="ZM236" s="90"/>
      <c r="ZN236" s="90"/>
      <c r="ZO236" s="90"/>
      <c r="ZP236" s="90"/>
      <c r="ZQ236" s="90"/>
      <c r="ZR236" s="90"/>
      <c r="ZS236" s="90"/>
      <c r="ZT236" s="90"/>
      <c r="ZU236" s="90"/>
      <c r="ZV236" s="90"/>
      <c r="ZW236" s="90"/>
      <c r="ZX236" s="90"/>
      <c r="ZY236" s="90"/>
      <c r="ZZ236" s="90"/>
      <c r="AAA236" s="90"/>
      <c r="AAB236" s="90"/>
      <c r="AAC236" s="90"/>
      <c r="AAD236" s="90"/>
      <c r="AAE236" s="90"/>
      <c r="AAF236" s="90"/>
      <c r="AAG236" s="90"/>
      <c r="AAH236" s="90"/>
      <c r="AAI236" s="90"/>
      <c r="AAJ236" s="90"/>
      <c r="AAK236" s="90"/>
      <c r="AAL236" s="90"/>
      <c r="AAM236" s="90"/>
      <c r="AAN236" s="90"/>
      <c r="AAO236" s="90"/>
      <c r="AAP236" s="90"/>
      <c r="AAQ236" s="90"/>
      <c r="AAR236" s="90"/>
      <c r="AAS236" s="90"/>
      <c r="AAT236" s="90"/>
      <c r="AAU236" s="90"/>
      <c r="AAV236" s="90"/>
      <c r="AAW236" s="90"/>
      <c r="AAX236" s="90"/>
      <c r="AAY236" s="90"/>
      <c r="AAZ236" s="90"/>
      <c r="ABA236" s="90"/>
      <c r="ABB236" s="90"/>
      <c r="ABC236" s="90"/>
      <c r="ABD236" s="90"/>
      <c r="ABE236" s="90"/>
      <c r="ABF236" s="90"/>
      <c r="ABG236" s="90"/>
      <c r="ABH236" s="90"/>
      <c r="ABI236" s="90"/>
      <c r="ABJ236" s="90"/>
      <c r="ABK236" s="90"/>
      <c r="ABL236" s="90"/>
      <c r="ABM236" s="90"/>
      <c r="ABN236" s="90"/>
      <c r="ABO236" s="90"/>
      <c r="ABP236" s="90"/>
      <c r="ABQ236" s="90"/>
      <c r="ABR236" s="90"/>
      <c r="ABS236" s="90"/>
      <c r="ABT236" s="90"/>
      <c r="ABU236" s="90"/>
      <c r="ABV236" s="90"/>
      <c r="ABW236" s="90"/>
      <c r="ABX236" s="90"/>
      <c r="ABY236" s="90"/>
      <c r="ABZ236" s="90"/>
      <c r="ACA236" s="90"/>
      <c r="ACB236" s="90"/>
      <c r="ACC236" s="90"/>
      <c r="ACD236" s="90"/>
      <c r="ACE236" s="90"/>
      <c r="ACF236" s="90"/>
      <c r="ACG236" s="90"/>
      <c r="ACH236" s="90"/>
      <c r="ACI236" s="90"/>
      <c r="ACJ236" s="90"/>
      <c r="ACK236" s="90"/>
      <c r="ACL236" s="90"/>
      <c r="ACM236" s="90"/>
      <c r="ACN236" s="90"/>
      <c r="ACO236" s="90"/>
      <c r="ACP236" s="90"/>
      <c r="ACQ236" s="90"/>
      <c r="ACR236" s="90"/>
      <c r="ACS236" s="90"/>
      <c r="ACT236" s="90"/>
      <c r="ACU236" s="90"/>
      <c r="ACV236" s="90"/>
      <c r="ACW236" s="90"/>
      <c r="ACX236" s="90"/>
      <c r="ACY236" s="90"/>
      <c r="ACZ236" s="90"/>
      <c r="ADA236" s="90"/>
      <c r="ADB236" s="90"/>
      <c r="ADC236" s="90"/>
      <c r="ADD236" s="90"/>
      <c r="ADE236" s="90"/>
      <c r="ADF236" s="90"/>
      <c r="ADG236" s="90"/>
      <c r="ADH236" s="90"/>
      <c r="ADI236" s="90"/>
      <c r="ADJ236" s="90"/>
      <c r="ADK236" s="90"/>
      <c r="ADL236" s="90"/>
      <c r="ADM236" s="90"/>
      <c r="ADN236" s="90"/>
      <c r="ADO236" s="90"/>
      <c r="ADP236" s="90"/>
      <c r="ADQ236" s="90"/>
      <c r="ADR236" s="90"/>
      <c r="ADS236" s="90"/>
      <c r="ADT236" s="90"/>
      <c r="ADU236" s="90"/>
      <c r="ADV236" s="90"/>
      <c r="ADW236" s="90"/>
      <c r="ADX236" s="90"/>
      <c r="ADY236" s="90"/>
      <c r="ADZ236" s="90"/>
      <c r="AEA236" s="90"/>
      <c r="AEB236" s="90"/>
      <c r="AEC236" s="90"/>
      <c r="AED236" s="90"/>
      <c r="AEE236" s="90"/>
      <c r="AEF236" s="90"/>
      <c r="AEG236" s="90"/>
      <c r="AEH236" s="90"/>
      <c r="AEI236" s="90"/>
      <c r="AEJ236" s="90"/>
      <c r="AEK236" s="90"/>
      <c r="AEL236" s="90"/>
      <c r="AEM236" s="90"/>
      <c r="AEN236" s="90"/>
      <c r="AEO236" s="90"/>
      <c r="AEP236" s="90"/>
      <c r="AEQ236" s="90"/>
      <c r="AER236" s="90"/>
      <c r="AES236" s="90"/>
      <c r="AET236" s="90"/>
      <c r="AEU236" s="90"/>
      <c r="AEV236" s="90"/>
      <c r="AEW236" s="90"/>
      <c r="AEX236" s="90"/>
      <c r="AEY236" s="90"/>
      <c r="AEZ236" s="90"/>
      <c r="AFA236" s="90"/>
      <c r="AFB236" s="90"/>
      <c r="AFC236" s="90"/>
      <c r="AFD236" s="90"/>
      <c r="AFE236" s="90"/>
      <c r="AFF236" s="90"/>
      <c r="AFG236" s="90"/>
      <c r="AFH236" s="90"/>
      <c r="AFI236" s="90"/>
      <c r="AFJ236" s="90"/>
      <c r="AFK236" s="90"/>
      <c r="AFL236" s="90"/>
      <c r="AFM236" s="90"/>
      <c r="AFN236" s="90"/>
      <c r="AFO236" s="90"/>
      <c r="AFP236" s="90"/>
      <c r="AFQ236" s="90"/>
      <c r="AFR236" s="90"/>
      <c r="AFS236" s="90"/>
      <c r="AFT236" s="90"/>
      <c r="AFU236" s="90"/>
      <c r="AFV236" s="90"/>
      <c r="AFW236" s="90"/>
      <c r="AFX236" s="90"/>
      <c r="AFY236" s="90"/>
      <c r="AFZ236" s="90"/>
      <c r="AGA236" s="90"/>
      <c r="AGB236" s="90"/>
      <c r="AGC236" s="90"/>
      <c r="AGD236" s="90"/>
      <c r="AGE236" s="90"/>
      <c r="AGF236" s="90"/>
      <c r="AGG236" s="90"/>
      <c r="AGH236" s="90"/>
      <c r="AGI236" s="90"/>
      <c r="AGJ236" s="90"/>
      <c r="AGK236" s="90"/>
      <c r="AGL236" s="90"/>
      <c r="AGM236" s="90"/>
      <c r="AGN236" s="90"/>
      <c r="AGO236" s="90"/>
      <c r="AGP236" s="90"/>
      <c r="AGQ236" s="90"/>
      <c r="AGR236" s="90"/>
      <c r="AGS236" s="90"/>
      <c r="AGT236" s="90"/>
      <c r="AGU236" s="90"/>
      <c r="AGV236" s="90"/>
      <c r="AGW236" s="90"/>
      <c r="AGX236" s="90"/>
      <c r="AGY236" s="90"/>
      <c r="AGZ236" s="90"/>
      <c r="AHA236" s="90"/>
      <c r="AHB236" s="90"/>
      <c r="AHC236" s="90"/>
      <c r="AHD236" s="90"/>
      <c r="AHE236" s="90"/>
      <c r="AHF236" s="90"/>
      <c r="AHG236" s="90"/>
      <c r="AHH236" s="90"/>
      <c r="AHI236" s="90"/>
      <c r="AHJ236" s="90"/>
      <c r="AHK236" s="90"/>
      <c r="AHL236" s="90"/>
      <c r="AHM236" s="90"/>
      <c r="AHN236" s="90"/>
      <c r="AHO236" s="90"/>
      <c r="AHP236" s="90"/>
      <c r="AHQ236" s="90"/>
      <c r="AHR236" s="90"/>
      <c r="AHS236" s="90"/>
      <c r="AHT236" s="90"/>
      <c r="AHU236" s="90"/>
      <c r="AHV236" s="90"/>
      <c r="AHW236" s="90"/>
      <c r="AHX236" s="90"/>
      <c r="AHY236" s="90"/>
      <c r="AHZ236" s="90"/>
      <c r="AIA236" s="90"/>
      <c r="AIB236" s="90"/>
      <c r="AIC236" s="90"/>
      <c r="AID236" s="90"/>
      <c r="AIE236" s="90"/>
      <c r="AIF236" s="90"/>
      <c r="AIG236" s="90"/>
      <c r="AIH236" s="90"/>
      <c r="AII236" s="90"/>
      <c r="AIJ236" s="90"/>
      <c r="AIK236" s="90"/>
      <c r="AIL236" s="90"/>
      <c r="AIM236" s="90"/>
      <c r="AIN236" s="90"/>
      <c r="AIO236" s="90"/>
      <c r="AIP236" s="90"/>
      <c r="AIQ236" s="90"/>
      <c r="AIR236" s="90"/>
      <c r="AIS236" s="90"/>
      <c r="AIT236" s="90"/>
      <c r="AIU236" s="90"/>
      <c r="AIV236" s="90"/>
      <c r="AIW236" s="90"/>
      <c r="AIX236" s="90"/>
      <c r="AIY236" s="90"/>
      <c r="AIZ236" s="90"/>
      <c r="AJA236" s="90"/>
      <c r="AJB236" s="90"/>
      <c r="AJC236" s="90"/>
      <c r="AJD236" s="90"/>
      <c r="AJE236" s="90"/>
      <c r="AJF236" s="90"/>
      <c r="AJG236" s="90"/>
      <c r="AJH236" s="90"/>
      <c r="AJI236" s="90"/>
      <c r="AJJ236" s="90"/>
      <c r="AJK236" s="90"/>
      <c r="AJL236" s="90"/>
      <c r="AJM236" s="90"/>
      <c r="AJN236" s="90"/>
      <c r="AJO236" s="90"/>
      <c r="AJP236" s="90"/>
      <c r="AJQ236" s="90"/>
      <c r="AJR236" s="90"/>
      <c r="AJS236" s="90"/>
      <c r="AJT236" s="90"/>
      <c r="AJU236" s="90"/>
      <c r="AJV236" s="90"/>
      <c r="AJW236" s="90"/>
      <c r="AJX236" s="90"/>
      <c r="AJY236" s="90"/>
      <c r="AJZ236" s="90"/>
      <c r="AKA236" s="90"/>
      <c r="AKB236" s="90"/>
      <c r="AKC236" s="90"/>
      <c r="AKD236" s="90"/>
      <c r="AKE236" s="90"/>
      <c r="AKF236" s="90"/>
      <c r="AKG236" s="90"/>
      <c r="AKH236" s="90"/>
      <c r="AKI236" s="90"/>
      <c r="AKJ236" s="90"/>
      <c r="AKK236" s="90"/>
      <c r="AKL236" s="90"/>
      <c r="AKM236" s="90"/>
      <c r="AKN236" s="90"/>
      <c r="AKO236" s="90"/>
      <c r="AKP236" s="90"/>
      <c r="AKQ236" s="90"/>
      <c r="AKR236" s="90"/>
      <c r="AKS236" s="90"/>
      <c r="AKT236" s="90"/>
      <c r="AKU236" s="90"/>
      <c r="AKV236" s="90"/>
      <c r="AKW236" s="90"/>
      <c r="AKX236" s="90"/>
      <c r="AKY236" s="90"/>
      <c r="AKZ236" s="90"/>
      <c r="ALA236" s="90"/>
      <c r="ALB236" s="90"/>
      <c r="ALC236" s="90"/>
      <c r="ALD236" s="90"/>
      <c r="ALE236" s="90"/>
      <c r="ALF236" s="90"/>
      <c r="ALG236" s="90"/>
      <c r="ALH236" s="90"/>
      <c r="ALI236" s="90"/>
      <c r="ALJ236" s="90"/>
      <c r="ALK236" s="90"/>
      <c r="ALL236" s="90"/>
      <c r="ALM236" s="90"/>
      <c r="ALN236" s="90"/>
      <c r="ALO236" s="90"/>
      <c r="ALP236" s="90"/>
      <c r="ALQ236" s="90"/>
      <c r="ALR236" s="90"/>
      <c r="ALS236" s="90"/>
      <c r="ALT236" s="90"/>
      <c r="ALU236" s="90"/>
      <c r="ALV236" s="90"/>
      <c r="ALW236" s="90"/>
      <c r="ALX236" s="90"/>
      <c r="ALY236" s="90"/>
      <c r="ALZ236" s="90"/>
      <c r="AMA236" s="90"/>
      <c r="AMB236" s="90"/>
      <c r="AMC236" s="90"/>
    </row>
    <row r="237" spans="1:1017">
      <c r="A237" s="98" t="s">
        <v>50</v>
      </c>
      <c r="B237" s="90" t="str">
        <f t="shared" si="1554"/>
        <v>Ikan_02 (Tiram)</v>
      </c>
      <c r="Q237" s="91">
        <f t="shared" si="1454"/>
        <v>0</v>
      </c>
      <c r="R237" s="91">
        <f t="shared" si="1455"/>
        <v>0</v>
      </c>
      <c r="S237" s="98">
        <v>1290</v>
      </c>
      <c r="T237" s="98">
        <v>12900</v>
      </c>
      <c r="AG237" s="91">
        <f t="shared" si="1456"/>
        <v>1290</v>
      </c>
      <c r="AH237" s="91">
        <f t="shared" si="1457"/>
        <v>12900</v>
      </c>
      <c r="AW237" s="91">
        <f t="shared" si="1458"/>
        <v>0</v>
      </c>
      <c r="AX237" s="91">
        <f t="shared" si="1459"/>
        <v>0</v>
      </c>
      <c r="BM237" s="91">
        <f t="shared" si="1460"/>
        <v>0</v>
      </c>
      <c r="BN237" s="91">
        <f t="shared" si="1461"/>
        <v>0</v>
      </c>
      <c r="CC237" s="91">
        <f t="shared" si="1462"/>
        <v>0</v>
      </c>
      <c r="CD237" s="91">
        <f t="shared" si="1463"/>
        <v>0</v>
      </c>
      <c r="CS237" s="91">
        <f t="shared" si="1548"/>
        <v>0</v>
      </c>
      <c r="CT237" s="91">
        <f t="shared" si="1549"/>
        <v>0</v>
      </c>
      <c r="DI237" s="91">
        <f t="shared" si="1466"/>
        <v>0</v>
      </c>
      <c r="DJ237" s="91">
        <f t="shared" si="1467"/>
        <v>0</v>
      </c>
      <c r="DY237" s="91">
        <f t="shared" si="1468"/>
        <v>0</v>
      </c>
      <c r="DZ237" s="91">
        <f t="shared" si="1469"/>
        <v>0</v>
      </c>
      <c r="EO237" s="91">
        <f t="shared" si="1470"/>
        <v>0</v>
      </c>
      <c r="EP237" s="91">
        <f t="shared" si="1471"/>
        <v>0</v>
      </c>
      <c r="FE237" s="91">
        <f t="shared" si="1472"/>
        <v>0</v>
      </c>
      <c r="FF237" s="91">
        <f t="shared" si="1473"/>
        <v>0</v>
      </c>
      <c r="FU237" s="91">
        <f t="shared" si="1474"/>
        <v>0</v>
      </c>
      <c r="FV237" s="91">
        <f t="shared" si="1475"/>
        <v>0</v>
      </c>
      <c r="GK237" s="91">
        <f t="shared" si="1476"/>
        <v>0</v>
      </c>
      <c r="GL237" s="91">
        <f t="shared" si="1477"/>
        <v>0</v>
      </c>
      <c r="HA237" s="91">
        <f t="shared" si="1478"/>
        <v>0</v>
      </c>
      <c r="HB237" s="91">
        <f t="shared" si="1479"/>
        <v>0</v>
      </c>
      <c r="HQ237" s="91">
        <f t="shared" si="1480"/>
        <v>0</v>
      </c>
      <c r="HR237" s="91">
        <f t="shared" si="1481"/>
        <v>0</v>
      </c>
      <c r="IG237" s="91">
        <f t="shared" si="1482"/>
        <v>0</v>
      </c>
      <c r="IH237" s="91">
        <f t="shared" si="1483"/>
        <v>0</v>
      </c>
      <c r="IW237" s="91">
        <f t="shared" si="1484"/>
        <v>0</v>
      </c>
      <c r="IX237" s="91">
        <f t="shared" si="1485"/>
        <v>0</v>
      </c>
      <c r="JM237" s="91">
        <f t="shared" si="1486"/>
        <v>0</v>
      </c>
      <c r="JN237" s="91">
        <f t="shared" si="1487"/>
        <v>0</v>
      </c>
      <c r="KC237" s="91">
        <f t="shared" si="1488"/>
        <v>0</v>
      </c>
      <c r="KD237" s="91">
        <f t="shared" si="1489"/>
        <v>0</v>
      </c>
      <c r="KS237" s="91">
        <f t="shared" si="1490"/>
        <v>0</v>
      </c>
      <c r="KT237" s="91">
        <f t="shared" si="1491"/>
        <v>0</v>
      </c>
      <c r="LI237" s="91">
        <f t="shared" si="1492"/>
        <v>0</v>
      </c>
      <c r="LJ237" s="91">
        <f t="shared" si="1493"/>
        <v>0</v>
      </c>
      <c r="LY237" s="91">
        <f t="shared" si="1494"/>
        <v>0</v>
      </c>
      <c r="LZ237" s="91">
        <f t="shared" si="1495"/>
        <v>0</v>
      </c>
      <c r="MO237" s="91">
        <f t="shared" si="1496"/>
        <v>0</v>
      </c>
      <c r="MP237" s="91">
        <f t="shared" si="1497"/>
        <v>0</v>
      </c>
      <c r="NE237" s="91">
        <f t="shared" si="1498"/>
        <v>0</v>
      </c>
      <c r="NF237" s="91">
        <f t="shared" si="1499"/>
        <v>0</v>
      </c>
      <c r="NU237" s="91">
        <f t="shared" si="1500"/>
        <v>0</v>
      </c>
      <c r="NV237" s="91">
        <f t="shared" si="1501"/>
        <v>0</v>
      </c>
      <c r="OK237" s="91">
        <f t="shared" si="1502"/>
        <v>0</v>
      </c>
      <c r="OL237" s="91">
        <f t="shared" si="1503"/>
        <v>0</v>
      </c>
      <c r="PA237" s="91">
        <f t="shared" si="1504"/>
        <v>0</v>
      </c>
      <c r="PB237" s="91">
        <f t="shared" si="1505"/>
        <v>0</v>
      </c>
      <c r="PQ237" s="91">
        <f t="shared" si="1506"/>
        <v>0</v>
      </c>
      <c r="PR237" s="91">
        <f t="shared" si="1507"/>
        <v>0</v>
      </c>
      <c r="QG237" s="91">
        <f t="shared" si="1508"/>
        <v>0</v>
      </c>
      <c r="QH237" s="91">
        <f t="shared" si="1509"/>
        <v>0</v>
      </c>
      <c r="QW237" s="91">
        <f t="shared" si="1510"/>
        <v>0</v>
      </c>
      <c r="QX237" s="91">
        <f t="shared" si="1511"/>
        <v>0</v>
      </c>
      <c r="RM237" s="91">
        <f t="shared" si="1512"/>
        <v>0</v>
      </c>
      <c r="RN237" s="91">
        <f t="shared" si="1513"/>
        <v>0</v>
      </c>
      <c r="SC237" s="91">
        <f t="shared" si="1514"/>
        <v>0</v>
      </c>
      <c r="SD237" s="91">
        <f t="shared" si="1515"/>
        <v>0</v>
      </c>
      <c r="SS237" s="91">
        <f t="shared" si="1516"/>
        <v>0</v>
      </c>
      <c r="ST237" s="91">
        <f t="shared" si="1517"/>
        <v>0</v>
      </c>
      <c r="TI237" s="91">
        <f t="shared" si="1518"/>
        <v>0</v>
      </c>
      <c r="TJ237" s="91">
        <f t="shared" si="1519"/>
        <v>0</v>
      </c>
      <c r="TY237" s="91">
        <f t="shared" si="1520"/>
        <v>0</v>
      </c>
      <c r="TZ237" s="91">
        <f t="shared" si="1521"/>
        <v>0</v>
      </c>
      <c r="UO237" s="91">
        <f t="shared" si="1522"/>
        <v>0</v>
      </c>
      <c r="UP237" s="91">
        <f t="shared" si="1523"/>
        <v>0</v>
      </c>
      <c r="VE237" s="91">
        <f t="shared" si="1524"/>
        <v>0</v>
      </c>
      <c r="VF237" s="91">
        <f t="shared" si="1525"/>
        <v>0</v>
      </c>
      <c r="VU237" s="91">
        <f t="shared" si="1526"/>
        <v>0</v>
      </c>
      <c r="VV237" s="91">
        <f t="shared" si="1527"/>
        <v>0</v>
      </c>
      <c r="WK237" s="91">
        <f t="shared" si="1528"/>
        <v>0</v>
      </c>
      <c r="WL237" s="91">
        <f t="shared" si="1529"/>
        <v>0</v>
      </c>
      <c r="WM237" s="89"/>
      <c r="WN237" s="87">
        <f t="shared" si="1555"/>
        <v>1290</v>
      </c>
      <c r="WO237" s="87">
        <f t="shared" si="1556"/>
        <v>12900</v>
      </c>
      <c r="WP237" s="87">
        <f t="shared" si="1557"/>
        <v>0</v>
      </c>
      <c r="WQ237" s="87">
        <f t="shared" si="1558"/>
        <v>0</v>
      </c>
      <c r="WR237" s="87">
        <f t="shared" si="1559"/>
        <v>0</v>
      </c>
      <c r="WS237" s="87">
        <f t="shared" si="1560"/>
        <v>0</v>
      </c>
      <c r="WT237" s="87">
        <f t="shared" si="1561"/>
        <v>0</v>
      </c>
      <c r="WU237" s="87">
        <f t="shared" si="1562"/>
        <v>0</v>
      </c>
      <c r="WV237" s="87">
        <f t="shared" si="1563"/>
        <v>0</v>
      </c>
      <c r="WW237" s="87">
        <f t="shared" si="1564"/>
        <v>0</v>
      </c>
      <c r="WX237" s="87">
        <f t="shared" si="1565"/>
        <v>0</v>
      </c>
      <c r="WY237" s="87">
        <f t="shared" si="1566"/>
        <v>0</v>
      </c>
      <c r="WZ237" s="87">
        <f t="shared" si="1550"/>
        <v>0</v>
      </c>
      <c r="XA237" s="87">
        <f t="shared" si="1551"/>
        <v>0</v>
      </c>
      <c r="XB237" s="92">
        <f t="shared" si="1552"/>
        <v>1290</v>
      </c>
      <c r="XC237" s="92">
        <f t="shared" si="1553"/>
        <v>12900</v>
      </c>
      <c r="XD237" s="89"/>
      <c r="XE237" s="92"/>
      <c r="XF237" s="92"/>
      <c r="XG237" s="89"/>
      <c r="XH237" s="92"/>
      <c r="XI237" s="92"/>
      <c r="XJ237" s="89"/>
      <c r="XK237" s="87"/>
      <c r="XL237" s="87"/>
      <c r="XM237" s="87"/>
      <c r="XN237" s="87"/>
      <c r="XO237" s="87"/>
      <c r="XP237" s="87"/>
      <c r="XQ237" s="87"/>
      <c r="XR237" s="92">
        <f t="shared" ca="1" si="1546"/>
        <v>0</v>
      </c>
      <c r="XS237" s="89"/>
      <c r="XT237" s="87"/>
      <c r="XU237" s="87"/>
      <c r="XV237" s="87"/>
      <c r="XW237" s="87"/>
      <c r="XX237" s="87"/>
      <c r="XY237" s="87"/>
      <c r="XZ237" s="87"/>
      <c r="YA237" s="92">
        <f t="shared" ca="1" si="1547"/>
        <v>0</v>
      </c>
      <c r="YB237" s="90"/>
      <c r="YC237" s="90"/>
      <c r="YD237" s="90"/>
      <c r="YE237" s="90"/>
      <c r="YF237" s="90"/>
      <c r="YG237" s="90"/>
      <c r="YH237" s="90"/>
      <c r="YI237" s="90"/>
      <c r="YJ237" s="90"/>
      <c r="YK237" s="90"/>
      <c r="YL237" s="90"/>
      <c r="YM237" s="90"/>
      <c r="YN237" s="90"/>
      <c r="YO237" s="90"/>
      <c r="YP237" s="90"/>
      <c r="YQ237" s="90"/>
      <c r="YR237" s="90"/>
      <c r="YS237" s="90"/>
      <c r="YT237" s="90"/>
      <c r="YU237" s="90"/>
      <c r="YV237" s="90"/>
      <c r="YW237" s="90"/>
      <c r="YX237" s="90"/>
      <c r="YY237" s="90"/>
      <c r="YZ237" s="90"/>
      <c r="ZA237" s="90"/>
      <c r="ZB237" s="90"/>
      <c r="ZC237" s="90"/>
      <c r="ZD237" s="90"/>
      <c r="ZE237" s="90"/>
      <c r="ZF237" s="90"/>
      <c r="ZG237" s="90"/>
      <c r="ZH237" s="90"/>
      <c r="ZI237" s="90"/>
      <c r="ZJ237" s="90"/>
      <c r="ZK237" s="90"/>
      <c r="ZL237" s="90"/>
      <c r="ZM237" s="90"/>
      <c r="ZN237" s="90"/>
      <c r="ZO237" s="90"/>
      <c r="ZP237" s="90"/>
      <c r="ZQ237" s="90"/>
      <c r="ZR237" s="90"/>
      <c r="ZS237" s="90"/>
      <c r="ZT237" s="90"/>
      <c r="ZU237" s="90"/>
      <c r="ZV237" s="90"/>
      <c r="ZW237" s="90"/>
      <c r="ZX237" s="90"/>
      <c r="ZY237" s="90"/>
      <c r="ZZ237" s="90"/>
      <c r="AAA237" s="90"/>
      <c r="AAB237" s="90"/>
      <c r="AAC237" s="90"/>
      <c r="AAD237" s="90"/>
      <c r="AAE237" s="90"/>
      <c r="AAF237" s="90"/>
      <c r="AAG237" s="90"/>
      <c r="AAH237" s="90"/>
      <c r="AAI237" s="90"/>
      <c r="AAJ237" s="90"/>
      <c r="AAK237" s="90"/>
      <c r="AAL237" s="90"/>
      <c r="AAM237" s="90"/>
      <c r="AAN237" s="90"/>
      <c r="AAO237" s="90"/>
      <c r="AAP237" s="90"/>
      <c r="AAQ237" s="90"/>
      <c r="AAR237" s="90"/>
      <c r="AAS237" s="90"/>
      <c r="AAT237" s="90"/>
      <c r="AAU237" s="90"/>
      <c r="AAV237" s="90"/>
      <c r="AAW237" s="90"/>
      <c r="AAX237" s="90"/>
      <c r="AAY237" s="90"/>
      <c r="AAZ237" s="90"/>
      <c r="ABA237" s="90"/>
      <c r="ABB237" s="90"/>
      <c r="ABC237" s="90"/>
      <c r="ABD237" s="90"/>
      <c r="ABE237" s="90"/>
      <c r="ABF237" s="90"/>
      <c r="ABG237" s="90"/>
      <c r="ABH237" s="90"/>
      <c r="ABI237" s="90"/>
      <c r="ABJ237" s="90"/>
      <c r="ABK237" s="90"/>
      <c r="ABL237" s="90"/>
      <c r="ABM237" s="90"/>
      <c r="ABN237" s="90"/>
      <c r="ABO237" s="90"/>
      <c r="ABP237" s="90"/>
      <c r="ABQ237" s="90"/>
      <c r="ABR237" s="90"/>
      <c r="ABS237" s="90"/>
      <c r="ABT237" s="90"/>
      <c r="ABU237" s="90"/>
      <c r="ABV237" s="90"/>
      <c r="ABW237" s="90"/>
      <c r="ABX237" s="90"/>
      <c r="ABY237" s="90"/>
      <c r="ABZ237" s="90"/>
      <c r="ACA237" s="90"/>
      <c r="ACB237" s="90"/>
      <c r="ACC237" s="90"/>
      <c r="ACD237" s="90"/>
      <c r="ACE237" s="90"/>
      <c r="ACF237" s="90"/>
      <c r="ACG237" s="90"/>
      <c r="ACH237" s="90"/>
      <c r="ACI237" s="90"/>
      <c r="ACJ237" s="90"/>
      <c r="ACK237" s="90"/>
      <c r="ACL237" s="90"/>
      <c r="ACM237" s="90"/>
      <c r="ACN237" s="90"/>
      <c r="ACO237" s="90"/>
      <c r="ACP237" s="90"/>
      <c r="ACQ237" s="90"/>
      <c r="ACR237" s="90"/>
      <c r="ACS237" s="90"/>
      <c r="ACT237" s="90"/>
      <c r="ACU237" s="90"/>
      <c r="ACV237" s="90"/>
      <c r="ACW237" s="90"/>
      <c r="ACX237" s="90"/>
      <c r="ACY237" s="90"/>
      <c r="ACZ237" s="90"/>
      <c r="ADA237" s="90"/>
      <c r="ADB237" s="90"/>
      <c r="ADC237" s="90"/>
      <c r="ADD237" s="90"/>
      <c r="ADE237" s="90"/>
      <c r="ADF237" s="90"/>
      <c r="ADG237" s="90"/>
      <c r="ADH237" s="90"/>
      <c r="ADI237" s="90"/>
      <c r="ADJ237" s="90"/>
      <c r="ADK237" s="90"/>
      <c r="ADL237" s="90"/>
      <c r="ADM237" s="90"/>
      <c r="ADN237" s="90"/>
      <c r="ADO237" s="90"/>
      <c r="ADP237" s="90"/>
      <c r="ADQ237" s="90"/>
      <c r="ADR237" s="90"/>
      <c r="ADS237" s="90"/>
      <c r="ADT237" s="90"/>
      <c r="ADU237" s="90"/>
      <c r="ADV237" s="90"/>
      <c r="ADW237" s="90"/>
      <c r="ADX237" s="90"/>
      <c r="ADY237" s="90"/>
      <c r="ADZ237" s="90"/>
      <c r="AEA237" s="90"/>
      <c r="AEB237" s="90"/>
      <c r="AEC237" s="90"/>
      <c r="AED237" s="90"/>
      <c r="AEE237" s="90"/>
      <c r="AEF237" s="90"/>
      <c r="AEG237" s="90"/>
      <c r="AEH237" s="90"/>
      <c r="AEI237" s="90"/>
      <c r="AEJ237" s="90"/>
      <c r="AEK237" s="90"/>
      <c r="AEL237" s="90"/>
      <c r="AEM237" s="90"/>
      <c r="AEN237" s="90"/>
      <c r="AEO237" s="90"/>
      <c r="AEP237" s="90"/>
      <c r="AEQ237" s="90"/>
      <c r="AER237" s="90"/>
      <c r="AES237" s="90"/>
      <c r="AET237" s="90"/>
      <c r="AEU237" s="90"/>
      <c r="AEV237" s="90"/>
      <c r="AEW237" s="90"/>
      <c r="AEX237" s="90"/>
      <c r="AEY237" s="90"/>
      <c r="AEZ237" s="90"/>
      <c r="AFA237" s="90"/>
      <c r="AFB237" s="90"/>
      <c r="AFC237" s="90"/>
      <c r="AFD237" s="90"/>
      <c r="AFE237" s="90"/>
      <c r="AFF237" s="90"/>
      <c r="AFG237" s="90"/>
      <c r="AFH237" s="90"/>
      <c r="AFI237" s="90"/>
      <c r="AFJ237" s="90"/>
      <c r="AFK237" s="90"/>
      <c r="AFL237" s="90"/>
      <c r="AFM237" s="90"/>
      <c r="AFN237" s="90"/>
      <c r="AFO237" s="90"/>
      <c r="AFP237" s="90"/>
      <c r="AFQ237" s="90"/>
      <c r="AFR237" s="90"/>
      <c r="AFS237" s="90"/>
      <c r="AFT237" s="90"/>
      <c r="AFU237" s="90"/>
      <c r="AFV237" s="90"/>
      <c r="AFW237" s="90"/>
      <c r="AFX237" s="90"/>
      <c r="AFY237" s="90"/>
      <c r="AFZ237" s="90"/>
      <c r="AGA237" s="90"/>
      <c r="AGB237" s="90"/>
      <c r="AGC237" s="90"/>
      <c r="AGD237" s="90"/>
      <c r="AGE237" s="90"/>
      <c r="AGF237" s="90"/>
      <c r="AGG237" s="90"/>
      <c r="AGH237" s="90"/>
      <c r="AGI237" s="90"/>
      <c r="AGJ237" s="90"/>
      <c r="AGK237" s="90"/>
      <c r="AGL237" s="90"/>
      <c r="AGM237" s="90"/>
      <c r="AGN237" s="90"/>
      <c r="AGO237" s="90"/>
      <c r="AGP237" s="90"/>
      <c r="AGQ237" s="90"/>
      <c r="AGR237" s="90"/>
      <c r="AGS237" s="90"/>
      <c r="AGT237" s="90"/>
      <c r="AGU237" s="90"/>
      <c r="AGV237" s="90"/>
      <c r="AGW237" s="90"/>
      <c r="AGX237" s="90"/>
      <c r="AGY237" s="90"/>
      <c r="AGZ237" s="90"/>
      <c r="AHA237" s="90"/>
      <c r="AHB237" s="90"/>
      <c r="AHC237" s="90"/>
      <c r="AHD237" s="90"/>
      <c r="AHE237" s="90"/>
      <c r="AHF237" s="90"/>
      <c r="AHG237" s="90"/>
      <c r="AHH237" s="90"/>
      <c r="AHI237" s="90"/>
      <c r="AHJ237" s="90"/>
      <c r="AHK237" s="90"/>
      <c r="AHL237" s="90"/>
      <c r="AHM237" s="90"/>
      <c r="AHN237" s="90"/>
      <c r="AHO237" s="90"/>
      <c r="AHP237" s="90"/>
      <c r="AHQ237" s="90"/>
      <c r="AHR237" s="90"/>
      <c r="AHS237" s="90"/>
      <c r="AHT237" s="90"/>
      <c r="AHU237" s="90"/>
      <c r="AHV237" s="90"/>
      <c r="AHW237" s="90"/>
      <c r="AHX237" s="90"/>
      <c r="AHY237" s="90"/>
      <c r="AHZ237" s="90"/>
      <c r="AIA237" s="90"/>
      <c r="AIB237" s="90"/>
      <c r="AIC237" s="90"/>
      <c r="AID237" s="90"/>
      <c r="AIE237" s="90"/>
      <c r="AIF237" s="90"/>
      <c r="AIG237" s="90"/>
      <c r="AIH237" s="90"/>
      <c r="AII237" s="90"/>
      <c r="AIJ237" s="90"/>
      <c r="AIK237" s="90"/>
      <c r="AIL237" s="90"/>
      <c r="AIM237" s="90"/>
      <c r="AIN237" s="90"/>
      <c r="AIO237" s="90"/>
      <c r="AIP237" s="90"/>
      <c r="AIQ237" s="90"/>
      <c r="AIR237" s="90"/>
      <c r="AIS237" s="90"/>
      <c r="AIT237" s="90"/>
      <c r="AIU237" s="90"/>
      <c r="AIV237" s="90"/>
      <c r="AIW237" s="90"/>
      <c r="AIX237" s="90"/>
      <c r="AIY237" s="90"/>
      <c r="AIZ237" s="90"/>
      <c r="AJA237" s="90"/>
      <c r="AJB237" s="90"/>
      <c r="AJC237" s="90"/>
      <c r="AJD237" s="90"/>
      <c r="AJE237" s="90"/>
      <c r="AJF237" s="90"/>
      <c r="AJG237" s="90"/>
      <c r="AJH237" s="90"/>
      <c r="AJI237" s="90"/>
      <c r="AJJ237" s="90"/>
      <c r="AJK237" s="90"/>
      <c r="AJL237" s="90"/>
      <c r="AJM237" s="90"/>
      <c r="AJN237" s="90"/>
      <c r="AJO237" s="90"/>
      <c r="AJP237" s="90"/>
      <c r="AJQ237" s="90"/>
      <c r="AJR237" s="90"/>
      <c r="AJS237" s="90"/>
      <c r="AJT237" s="90"/>
      <c r="AJU237" s="90"/>
      <c r="AJV237" s="90"/>
      <c r="AJW237" s="90"/>
      <c r="AJX237" s="90"/>
      <c r="AJY237" s="90"/>
      <c r="AJZ237" s="90"/>
      <c r="AKA237" s="90"/>
      <c r="AKB237" s="90"/>
      <c r="AKC237" s="90"/>
      <c r="AKD237" s="90"/>
      <c r="AKE237" s="90"/>
      <c r="AKF237" s="90"/>
      <c r="AKG237" s="90"/>
      <c r="AKH237" s="90"/>
      <c r="AKI237" s="90"/>
      <c r="AKJ237" s="90"/>
      <c r="AKK237" s="90"/>
      <c r="AKL237" s="90"/>
      <c r="AKM237" s="90"/>
      <c r="AKN237" s="90"/>
      <c r="AKO237" s="90"/>
      <c r="AKP237" s="90"/>
      <c r="AKQ237" s="90"/>
      <c r="AKR237" s="90"/>
      <c r="AKS237" s="90"/>
      <c r="AKT237" s="90"/>
      <c r="AKU237" s="90"/>
      <c r="AKV237" s="90"/>
      <c r="AKW237" s="90"/>
      <c r="AKX237" s="90"/>
      <c r="AKY237" s="90"/>
      <c r="AKZ237" s="90"/>
      <c r="ALA237" s="90"/>
      <c r="ALB237" s="90"/>
      <c r="ALC237" s="90"/>
      <c r="ALD237" s="90"/>
      <c r="ALE237" s="90"/>
      <c r="ALF237" s="90"/>
      <c r="ALG237" s="90"/>
      <c r="ALH237" s="90"/>
      <c r="ALI237" s="90"/>
      <c r="ALJ237" s="90"/>
      <c r="ALK237" s="90"/>
      <c r="ALL237" s="90"/>
      <c r="ALM237" s="90"/>
      <c r="ALN237" s="90"/>
      <c r="ALO237" s="90"/>
      <c r="ALP237" s="90"/>
      <c r="ALQ237" s="90"/>
      <c r="ALR237" s="90"/>
      <c r="ALS237" s="90"/>
      <c r="ALT237" s="90"/>
      <c r="ALU237" s="90"/>
      <c r="ALV237" s="90"/>
      <c r="ALW237" s="90"/>
      <c r="ALX237" s="90"/>
      <c r="ALY237" s="90"/>
      <c r="ALZ237" s="90"/>
      <c r="AMA237" s="90"/>
      <c r="AMB237" s="90"/>
      <c r="AMC237" s="90"/>
    </row>
    <row r="238" spans="1:1017">
      <c r="A238" s="98" t="s">
        <v>50</v>
      </c>
      <c r="B238" s="90" t="str">
        <f t="shared" si="1554"/>
        <v>Ikan_03 (Kerang Darah)</v>
      </c>
      <c r="Q238" s="91">
        <f t="shared" si="1454"/>
        <v>0</v>
      </c>
      <c r="R238" s="91">
        <f t="shared" si="1455"/>
        <v>0</v>
      </c>
      <c r="AG238" s="91">
        <f t="shared" si="1456"/>
        <v>0</v>
      </c>
      <c r="AH238" s="91">
        <f t="shared" si="1457"/>
        <v>0</v>
      </c>
      <c r="AW238" s="91">
        <f t="shared" si="1458"/>
        <v>0</v>
      </c>
      <c r="AX238" s="91">
        <f t="shared" si="1459"/>
        <v>0</v>
      </c>
      <c r="BM238" s="91">
        <f t="shared" si="1460"/>
        <v>0</v>
      </c>
      <c r="BN238" s="91">
        <f t="shared" si="1461"/>
        <v>0</v>
      </c>
      <c r="CC238" s="91">
        <f t="shared" si="1462"/>
        <v>0</v>
      </c>
      <c r="CD238" s="91">
        <f t="shared" si="1463"/>
        <v>0</v>
      </c>
      <c r="CS238" s="91">
        <f t="shared" si="1548"/>
        <v>0</v>
      </c>
      <c r="CT238" s="91">
        <f t="shared" si="1549"/>
        <v>0</v>
      </c>
      <c r="DI238" s="91">
        <f t="shared" si="1466"/>
        <v>0</v>
      </c>
      <c r="DJ238" s="91">
        <f t="shared" si="1467"/>
        <v>0</v>
      </c>
      <c r="DY238" s="91">
        <f t="shared" si="1468"/>
        <v>0</v>
      </c>
      <c r="DZ238" s="91">
        <f t="shared" si="1469"/>
        <v>0</v>
      </c>
      <c r="EO238" s="91">
        <f t="shared" si="1470"/>
        <v>0</v>
      </c>
      <c r="EP238" s="91">
        <f t="shared" si="1471"/>
        <v>0</v>
      </c>
      <c r="FE238" s="91">
        <f t="shared" si="1472"/>
        <v>0</v>
      </c>
      <c r="FF238" s="91">
        <f t="shared" si="1473"/>
        <v>0</v>
      </c>
      <c r="FU238" s="91">
        <f t="shared" si="1474"/>
        <v>0</v>
      </c>
      <c r="FV238" s="91">
        <f t="shared" si="1475"/>
        <v>0</v>
      </c>
      <c r="GK238" s="91">
        <f t="shared" si="1476"/>
        <v>0</v>
      </c>
      <c r="GL238" s="91">
        <f t="shared" si="1477"/>
        <v>0</v>
      </c>
      <c r="HA238" s="91">
        <f t="shared" si="1478"/>
        <v>0</v>
      </c>
      <c r="HB238" s="91">
        <f t="shared" si="1479"/>
        <v>0</v>
      </c>
      <c r="HQ238" s="91">
        <f t="shared" si="1480"/>
        <v>0</v>
      </c>
      <c r="HR238" s="91">
        <f t="shared" si="1481"/>
        <v>0</v>
      </c>
      <c r="IG238" s="91">
        <f t="shared" si="1482"/>
        <v>0</v>
      </c>
      <c r="IH238" s="91">
        <f t="shared" si="1483"/>
        <v>0</v>
      </c>
      <c r="IW238" s="91">
        <f t="shared" si="1484"/>
        <v>0</v>
      </c>
      <c r="IX238" s="91">
        <f t="shared" si="1485"/>
        <v>0</v>
      </c>
      <c r="JM238" s="91">
        <f t="shared" si="1486"/>
        <v>0</v>
      </c>
      <c r="JN238" s="91">
        <f t="shared" si="1487"/>
        <v>0</v>
      </c>
      <c r="KC238" s="91">
        <f t="shared" si="1488"/>
        <v>0</v>
      </c>
      <c r="KD238" s="91">
        <f t="shared" si="1489"/>
        <v>0</v>
      </c>
      <c r="KS238" s="91">
        <f t="shared" si="1490"/>
        <v>0</v>
      </c>
      <c r="KT238" s="91">
        <f t="shared" si="1491"/>
        <v>0</v>
      </c>
      <c r="LI238" s="91">
        <f t="shared" si="1492"/>
        <v>0</v>
      </c>
      <c r="LJ238" s="91">
        <f t="shared" si="1493"/>
        <v>0</v>
      </c>
      <c r="LY238" s="91">
        <f t="shared" si="1494"/>
        <v>0</v>
      </c>
      <c r="LZ238" s="91">
        <f t="shared" si="1495"/>
        <v>0</v>
      </c>
      <c r="MO238" s="91">
        <f t="shared" si="1496"/>
        <v>0</v>
      </c>
      <c r="MP238" s="91">
        <f t="shared" si="1497"/>
        <v>0</v>
      </c>
      <c r="NE238" s="91">
        <f t="shared" si="1498"/>
        <v>0</v>
      </c>
      <c r="NF238" s="91">
        <f t="shared" si="1499"/>
        <v>0</v>
      </c>
      <c r="NU238" s="91">
        <f t="shared" si="1500"/>
        <v>0</v>
      </c>
      <c r="NV238" s="91">
        <f t="shared" si="1501"/>
        <v>0</v>
      </c>
      <c r="OK238" s="91">
        <f t="shared" si="1502"/>
        <v>0</v>
      </c>
      <c r="OL238" s="91">
        <f t="shared" si="1503"/>
        <v>0</v>
      </c>
      <c r="PA238" s="91">
        <f t="shared" si="1504"/>
        <v>0</v>
      </c>
      <c r="PB238" s="91">
        <f t="shared" si="1505"/>
        <v>0</v>
      </c>
      <c r="PQ238" s="91">
        <f t="shared" si="1506"/>
        <v>0</v>
      </c>
      <c r="PR238" s="91">
        <f t="shared" si="1507"/>
        <v>0</v>
      </c>
      <c r="QG238" s="91">
        <f t="shared" si="1508"/>
        <v>0</v>
      </c>
      <c r="QH238" s="91">
        <f t="shared" si="1509"/>
        <v>0</v>
      </c>
      <c r="QW238" s="91">
        <f t="shared" si="1510"/>
        <v>0</v>
      </c>
      <c r="QX238" s="91">
        <f t="shared" si="1511"/>
        <v>0</v>
      </c>
      <c r="RM238" s="91">
        <f t="shared" si="1512"/>
        <v>0</v>
      </c>
      <c r="RN238" s="91">
        <f t="shared" si="1513"/>
        <v>0</v>
      </c>
      <c r="SC238" s="91">
        <f t="shared" si="1514"/>
        <v>0</v>
      </c>
      <c r="SD238" s="91">
        <f t="shared" si="1515"/>
        <v>0</v>
      </c>
      <c r="SS238" s="91">
        <f t="shared" si="1516"/>
        <v>0</v>
      </c>
      <c r="ST238" s="91">
        <f t="shared" si="1517"/>
        <v>0</v>
      </c>
      <c r="TI238" s="91">
        <f t="shared" si="1518"/>
        <v>0</v>
      </c>
      <c r="TJ238" s="91">
        <f t="shared" si="1519"/>
        <v>0</v>
      </c>
      <c r="TY238" s="91">
        <f t="shared" si="1520"/>
        <v>0</v>
      </c>
      <c r="TZ238" s="91">
        <f t="shared" si="1521"/>
        <v>0</v>
      </c>
      <c r="UO238" s="91">
        <f t="shared" si="1522"/>
        <v>0</v>
      </c>
      <c r="UP238" s="91">
        <f t="shared" si="1523"/>
        <v>0</v>
      </c>
      <c r="VE238" s="91">
        <f t="shared" si="1524"/>
        <v>0</v>
      </c>
      <c r="VF238" s="91">
        <f t="shared" si="1525"/>
        <v>0</v>
      </c>
      <c r="VU238" s="91">
        <f t="shared" si="1526"/>
        <v>0</v>
      </c>
      <c r="VV238" s="91">
        <f t="shared" si="1527"/>
        <v>0</v>
      </c>
      <c r="WK238" s="91">
        <f t="shared" si="1528"/>
        <v>0</v>
      </c>
      <c r="WL238" s="91">
        <f t="shared" si="1529"/>
        <v>0</v>
      </c>
      <c r="WM238" s="89"/>
      <c r="WN238" s="87">
        <f t="shared" si="1555"/>
        <v>0</v>
      </c>
      <c r="WO238" s="87">
        <f t="shared" si="1556"/>
        <v>0</v>
      </c>
      <c r="WP238" s="87">
        <f t="shared" si="1557"/>
        <v>0</v>
      </c>
      <c r="WQ238" s="87">
        <f t="shared" si="1558"/>
        <v>0</v>
      </c>
      <c r="WR238" s="87">
        <f t="shared" si="1559"/>
        <v>0</v>
      </c>
      <c r="WS238" s="87">
        <f t="shared" si="1560"/>
        <v>0</v>
      </c>
      <c r="WT238" s="87">
        <f t="shared" si="1561"/>
        <v>0</v>
      </c>
      <c r="WU238" s="87">
        <f t="shared" si="1562"/>
        <v>0</v>
      </c>
      <c r="WV238" s="87">
        <f t="shared" si="1563"/>
        <v>0</v>
      </c>
      <c r="WW238" s="87">
        <f t="shared" si="1564"/>
        <v>0</v>
      </c>
      <c r="WX238" s="87">
        <f t="shared" si="1565"/>
        <v>0</v>
      </c>
      <c r="WY238" s="87">
        <f t="shared" si="1566"/>
        <v>0</v>
      </c>
      <c r="WZ238" s="87">
        <f t="shared" si="1550"/>
        <v>0</v>
      </c>
      <c r="XA238" s="87">
        <f t="shared" si="1551"/>
        <v>0</v>
      </c>
      <c r="XB238" s="92">
        <f t="shared" si="1552"/>
        <v>0</v>
      </c>
      <c r="XC238" s="92">
        <f t="shared" si="1553"/>
        <v>0</v>
      </c>
      <c r="XD238" s="89"/>
      <c r="XE238" s="92"/>
      <c r="XF238" s="92"/>
      <c r="XG238" s="89"/>
      <c r="XH238" s="92"/>
      <c r="XI238" s="92"/>
      <c r="XJ238" s="89"/>
      <c r="XK238" s="87"/>
      <c r="XL238" s="87"/>
      <c r="XM238" s="87"/>
      <c r="XN238" s="87"/>
      <c r="XO238" s="87"/>
      <c r="XP238" s="87"/>
      <c r="XQ238" s="87"/>
      <c r="XR238" s="92">
        <f t="shared" ca="1" si="1546"/>
        <v>0</v>
      </c>
      <c r="XS238" s="89"/>
      <c r="XT238" s="87"/>
      <c r="XU238" s="87"/>
      <c r="XV238" s="87"/>
      <c r="XW238" s="87"/>
      <c r="XX238" s="87"/>
      <c r="XY238" s="87"/>
      <c r="XZ238" s="87"/>
      <c r="YA238" s="92">
        <f t="shared" ca="1" si="1547"/>
        <v>0</v>
      </c>
      <c r="YB238" s="90"/>
      <c r="YC238" s="90"/>
      <c r="YD238" s="90"/>
      <c r="YE238" s="90"/>
      <c r="YF238" s="90"/>
      <c r="YG238" s="90"/>
      <c r="YH238" s="90"/>
      <c r="YI238" s="90"/>
      <c r="YJ238" s="90"/>
      <c r="YK238" s="90"/>
      <c r="YL238" s="90"/>
      <c r="YM238" s="90"/>
      <c r="YN238" s="90"/>
      <c r="YO238" s="90"/>
      <c r="YP238" s="90"/>
      <c r="YQ238" s="90"/>
      <c r="YR238" s="90"/>
      <c r="YS238" s="90"/>
      <c r="YT238" s="90"/>
      <c r="YU238" s="90"/>
      <c r="YV238" s="90"/>
      <c r="YW238" s="90"/>
      <c r="YX238" s="90"/>
      <c r="YY238" s="90"/>
      <c r="YZ238" s="90"/>
      <c r="ZA238" s="90"/>
      <c r="ZB238" s="90"/>
      <c r="ZC238" s="90"/>
      <c r="ZD238" s="90"/>
      <c r="ZE238" s="90"/>
      <c r="ZF238" s="90"/>
      <c r="ZG238" s="90"/>
      <c r="ZH238" s="90"/>
      <c r="ZI238" s="90"/>
      <c r="ZJ238" s="90"/>
      <c r="ZK238" s="90"/>
      <c r="ZL238" s="90"/>
      <c r="ZM238" s="90"/>
      <c r="ZN238" s="90"/>
      <c r="ZO238" s="90"/>
      <c r="ZP238" s="90"/>
      <c r="ZQ238" s="90"/>
      <c r="ZR238" s="90"/>
      <c r="ZS238" s="90"/>
      <c r="ZT238" s="90"/>
      <c r="ZU238" s="90"/>
      <c r="ZV238" s="90"/>
      <c r="ZW238" s="90"/>
      <c r="ZX238" s="90"/>
      <c r="ZY238" s="90"/>
      <c r="ZZ238" s="90"/>
      <c r="AAA238" s="90"/>
      <c r="AAB238" s="90"/>
      <c r="AAC238" s="90"/>
      <c r="AAD238" s="90"/>
      <c r="AAE238" s="90"/>
      <c r="AAF238" s="90"/>
      <c r="AAG238" s="90"/>
      <c r="AAH238" s="90"/>
      <c r="AAI238" s="90"/>
      <c r="AAJ238" s="90"/>
      <c r="AAK238" s="90"/>
      <c r="AAL238" s="90"/>
      <c r="AAM238" s="90"/>
      <c r="AAN238" s="90"/>
      <c r="AAO238" s="90"/>
      <c r="AAP238" s="90"/>
      <c r="AAQ238" s="90"/>
      <c r="AAR238" s="90"/>
      <c r="AAS238" s="90"/>
      <c r="AAT238" s="90"/>
      <c r="AAU238" s="90"/>
      <c r="AAV238" s="90"/>
      <c r="AAW238" s="90"/>
      <c r="AAX238" s="90"/>
      <c r="AAY238" s="90"/>
      <c r="AAZ238" s="90"/>
      <c r="ABA238" s="90"/>
      <c r="ABB238" s="90"/>
      <c r="ABC238" s="90"/>
      <c r="ABD238" s="90"/>
      <c r="ABE238" s="90"/>
      <c r="ABF238" s="90"/>
      <c r="ABG238" s="90"/>
      <c r="ABH238" s="90"/>
      <c r="ABI238" s="90"/>
      <c r="ABJ238" s="90"/>
      <c r="ABK238" s="90"/>
      <c r="ABL238" s="90"/>
      <c r="ABM238" s="90"/>
      <c r="ABN238" s="90"/>
      <c r="ABO238" s="90"/>
      <c r="ABP238" s="90"/>
      <c r="ABQ238" s="90"/>
      <c r="ABR238" s="90"/>
      <c r="ABS238" s="90"/>
      <c r="ABT238" s="90"/>
      <c r="ABU238" s="90"/>
      <c r="ABV238" s="90"/>
      <c r="ABW238" s="90"/>
      <c r="ABX238" s="90"/>
      <c r="ABY238" s="90"/>
      <c r="ABZ238" s="90"/>
      <c r="ACA238" s="90"/>
      <c r="ACB238" s="90"/>
      <c r="ACC238" s="90"/>
      <c r="ACD238" s="90"/>
      <c r="ACE238" s="90"/>
      <c r="ACF238" s="90"/>
      <c r="ACG238" s="90"/>
      <c r="ACH238" s="90"/>
      <c r="ACI238" s="90"/>
      <c r="ACJ238" s="90"/>
      <c r="ACK238" s="90"/>
      <c r="ACL238" s="90"/>
      <c r="ACM238" s="90"/>
      <c r="ACN238" s="90"/>
      <c r="ACO238" s="90"/>
      <c r="ACP238" s="90"/>
      <c r="ACQ238" s="90"/>
      <c r="ACR238" s="90"/>
      <c r="ACS238" s="90"/>
      <c r="ACT238" s="90"/>
      <c r="ACU238" s="90"/>
      <c r="ACV238" s="90"/>
      <c r="ACW238" s="90"/>
      <c r="ACX238" s="90"/>
      <c r="ACY238" s="90"/>
      <c r="ACZ238" s="90"/>
      <c r="ADA238" s="90"/>
      <c r="ADB238" s="90"/>
      <c r="ADC238" s="90"/>
      <c r="ADD238" s="90"/>
      <c r="ADE238" s="90"/>
      <c r="ADF238" s="90"/>
      <c r="ADG238" s="90"/>
      <c r="ADH238" s="90"/>
      <c r="ADI238" s="90"/>
      <c r="ADJ238" s="90"/>
      <c r="ADK238" s="90"/>
      <c r="ADL238" s="90"/>
      <c r="ADM238" s="90"/>
      <c r="ADN238" s="90"/>
      <c r="ADO238" s="90"/>
      <c r="ADP238" s="90"/>
      <c r="ADQ238" s="90"/>
      <c r="ADR238" s="90"/>
      <c r="ADS238" s="90"/>
      <c r="ADT238" s="90"/>
      <c r="ADU238" s="90"/>
      <c r="ADV238" s="90"/>
      <c r="ADW238" s="90"/>
      <c r="ADX238" s="90"/>
      <c r="ADY238" s="90"/>
      <c r="ADZ238" s="90"/>
      <c r="AEA238" s="90"/>
      <c r="AEB238" s="90"/>
      <c r="AEC238" s="90"/>
      <c r="AED238" s="90"/>
      <c r="AEE238" s="90"/>
      <c r="AEF238" s="90"/>
      <c r="AEG238" s="90"/>
      <c r="AEH238" s="90"/>
      <c r="AEI238" s="90"/>
      <c r="AEJ238" s="90"/>
      <c r="AEK238" s="90"/>
      <c r="AEL238" s="90"/>
      <c r="AEM238" s="90"/>
      <c r="AEN238" s="90"/>
      <c r="AEO238" s="90"/>
      <c r="AEP238" s="90"/>
      <c r="AEQ238" s="90"/>
      <c r="AER238" s="90"/>
      <c r="AES238" s="90"/>
      <c r="AET238" s="90"/>
      <c r="AEU238" s="90"/>
      <c r="AEV238" s="90"/>
      <c r="AEW238" s="90"/>
      <c r="AEX238" s="90"/>
      <c r="AEY238" s="90"/>
      <c r="AEZ238" s="90"/>
      <c r="AFA238" s="90"/>
      <c r="AFB238" s="90"/>
      <c r="AFC238" s="90"/>
      <c r="AFD238" s="90"/>
      <c r="AFE238" s="90"/>
      <c r="AFF238" s="90"/>
      <c r="AFG238" s="90"/>
      <c r="AFH238" s="90"/>
      <c r="AFI238" s="90"/>
      <c r="AFJ238" s="90"/>
      <c r="AFK238" s="90"/>
      <c r="AFL238" s="90"/>
      <c r="AFM238" s="90"/>
      <c r="AFN238" s="90"/>
      <c r="AFO238" s="90"/>
      <c r="AFP238" s="90"/>
      <c r="AFQ238" s="90"/>
      <c r="AFR238" s="90"/>
      <c r="AFS238" s="90"/>
      <c r="AFT238" s="90"/>
      <c r="AFU238" s="90"/>
      <c r="AFV238" s="90"/>
      <c r="AFW238" s="90"/>
      <c r="AFX238" s="90"/>
      <c r="AFY238" s="90"/>
      <c r="AFZ238" s="90"/>
      <c r="AGA238" s="90"/>
      <c r="AGB238" s="90"/>
      <c r="AGC238" s="90"/>
      <c r="AGD238" s="90"/>
      <c r="AGE238" s="90"/>
      <c r="AGF238" s="90"/>
      <c r="AGG238" s="90"/>
      <c r="AGH238" s="90"/>
      <c r="AGI238" s="90"/>
      <c r="AGJ238" s="90"/>
      <c r="AGK238" s="90"/>
      <c r="AGL238" s="90"/>
      <c r="AGM238" s="90"/>
      <c r="AGN238" s="90"/>
      <c r="AGO238" s="90"/>
      <c r="AGP238" s="90"/>
      <c r="AGQ238" s="90"/>
      <c r="AGR238" s="90"/>
      <c r="AGS238" s="90"/>
      <c r="AGT238" s="90"/>
      <c r="AGU238" s="90"/>
      <c r="AGV238" s="90"/>
      <c r="AGW238" s="90"/>
      <c r="AGX238" s="90"/>
      <c r="AGY238" s="90"/>
      <c r="AGZ238" s="90"/>
      <c r="AHA238" s="90"/>
      <c r="AHB238" s="90"/>
      <c r="AHC238" s="90"/>
      <c r="AHD238" s="90"/>
      <c r="AHE238" s="90"/>
      <c r="AHF238" s="90"/>
      <c r="AHG238" s="90"/>
      <c r="AHH238" s="90"/>
      <c r="AHI238" s="90"/>
      <c r="AHJ238" s="90"/>
      <c r="AHK238" s="90"/>
      <c r="AHL238" s="90"/>
      <c r="AHM238" s="90"/>
      <c r="AHN238" s="90"/>
      <c r="AHO238" s="90"/>
      <c r="AHP238" s="90"/>
      <c r="AHQ238" s="90"/>
      <c r="AHR238" s="90"/>
      <c r="AHS238" s="90"/>
      <c r="AHT238" s="90"/>
      <c r="AHU238" s="90"/>
      <c r="AHV238" s="90"/>
      <c r="AHW238" s="90"/>
      <c r="AHX238" s="90"/>
      <c r="AHY238" s="90"/>
      <c r="AHZ238" s="90"/>
      <c r="AIA238" s="90"/>
      <c r="AIB238" s="90"/>
      <c r="AIC238" s="90"/>
      <c r="AID238" s="90"/>
      <c r="AIE238" s="90"/>
      <c r="AIF238" s="90"/>
      <c r="AIG238" s="90"/>
      <c r="AIH238" s="90"/>
      <c r="AII238" s="90"/>
      <c r="AIJ238" s="90"/>
      <c r="AIK238" s="90"/>
      <c r="AIL238" s="90"/>
      <c r="AIM238" s="90"/>
      <c r="AIN238" s="90"/>
      <c r="AIO238" s="90"/>
      <c r="AIP238" s="90"/>
      <c r="AIQ238" s="90"/>
      <c r="AIR238" s="90"/>
      <c r="AIS238" s="90"/>
      <c r="AIT238" s="90"/>
      <c r="AIU238" s="90"/>
      <c r="AIV238" s="90"/>
      <c r="AIW238" s="90"/>
      <c r="AIX238" s="90"/>
      <c r="AIY238" s="90"/>
      <c r="AIZ238" s="90"/>
      <c r="AJA238" s="90"/>
      <c r="AJB238" s="90"/>
      <c r="AJC238" s="90"/>
      <c r="AJD238" s="90"/>
      <c r="AJE238" s="90"/>
      <c r="AJF238" s="90"/>
      <c r="AJG238" s="90"/>
      <c r="AJH238" s="90"/>
      <c r="AJI238" s="90"/>
      <c r="AJJ238" s="90"/>
      <c r="AJK238" s="90"/>
      <c r="AJL238" s="90"/>
      <c r="AJM238" s="90"/>
      <c r="AJN238" s="90"/>
      <c r="AJO238" s="90"/>
      <c r="AJP238" s="90"/>
      <c r="AJQ238" s="90"/>
      <c r="AJR238" s="90"/>
      <c r="AJS238" s="90"/>
      <c r="AJT238" s="90"/>
      <c r="AJU238" s="90"/>
      <c r="AJV238" s="90"/>
      <c r="AJW238" s="90"/>
      <c r="AJX238" s="90"/>
      <c r="AJY238" s="90"/>
      <c r="AJZ238" s="90"/>
      <c r="AKA238" s="90"/>
      <c r="AKB238" s="90"/>
      <c r="AKC238" s="90"/>
      <c r="AKD238" s="90"/>
      <c r="AKE238" s="90"/>
      <c r="AKF238" s="90"/>
      <c r="AKG238" s="90"/>
      <c r="AKH238" s="90"/>
      <c r="AKI238" s="90"/>
      <c r="AKJ238" s="90"/>
      <c r="AKK238" s="90"/>
      <c r="AKL238" s="90"/>
      <c r="AKM238" s="90"/>
      <c r="AKN238" s="90"/>
      <c r="AKO238" s="90"/>
      <c r="AKP238" s="90"/>
      <c r="AKQ238" s="90"/>
      <c r="AKR238" s="90"/>
      <c r="AKS238" s="90"/>
      <c r="AKT238" s="90"/>
      <c r="AKU238" s="90"/>
      <c r="AKV238" s="90"/>
      <c r="AKW238" s="90"/>
      <c r="AKX238" s="90"/>
      <c r="AKY238" s="90"/>
      <c r="AKZ238" s="90"/>
      <c r="ALA238" s="90"/>
      <c r="ALB238" s="90"/>
      <c r="ALC238" s="90"/>
      <c r="ALD238" s="90"/>
      <c r="ALE238" s="90"/>
      <c r="ALF238" s="90"/>
      <c r="ALG238" s="90"/>
      <c r="ALH238" s="90"/>
      <c r="ALI238" s="90"/>
      <c r="ALJ238" s="90"/>
      <c r="ALK238" s="90"/>
      <c r="ALL238" s="90"/>
      <c r="ALM238" s="90"/>
      <c r="ALN238" s="90"/>
      <c r="ALO238" s="90"/>
      <c r="ALP238" s="90"/>
      <c r="ALQ238" s="90"/>
      <c r="ALR238" s="90"/>
      <c r="ALS238" s="90"/>
      <c r="ALT238" s="90"/>
      <c r="ALU238" s="90"/>
      <c r="ALV238" s="90"/>
      <c r="ALW238" s="90"/>
      <c r="ALX238" s="90"/>
      <c r="ALY238" s="90"/>
      <c r="ALZ238" s="90"/>
      <c r="AMA238" s="90"/>
      <c r="AMB238" s="90"/>
      <c r="AMC238" s="90"/>
    </row>
    <row r="239" spans="1:1017">
      <c r="A239" s="98" t="s">
        <v>50</v>
      </c>
      <c r="B239" s="90" t="str">
        <f t="shared" si="1554"/>
        <v>Ikan_04 (Ikan Keting)</v>
      </c>
      <c r="Q239" s="91">
        <f t="shared" si="1454"/>
        <v>0</v>
      </c>
      <c r="R239" s="91">
        <f t="shared" si="1455"/>
        <v>0</v>
      </c>
      <c r="AG239" s="91">
        <f t="shared" si="1456"/>
        <v>0</v>
      </c>
      <c r="AH239" s="91">
        <f t="shared" si="1457"/>
        <v>0</v>
      </c>
      <c r="AW239" s="91">
        <f t="shared" si="1458"/>
        <v>0</v>
      </c>
      <c r="AX239" s="91">
        <f t="shared" si="1459"/>
        <v>0</v>
      </c>
      <c r="BM239" s="91">
        <f t="shared" si="1460"/>
        <v>0</v>
      </c>
      <c r="BN239" s="91">
        <f t="shared" si="1461"/>
        <v>0</v>
      </c>
      <c r="CC239" s="91">
        <f t="shared" si="1462"/>
        <v>0</v>
      </c>
      <c r="CD239" s="91">
        <f t="shared" si="1463"/>
        <v>0</v>
      </c>
      <c r="CS239" s="91">
        <f t="shared" si="1548"/>
        <v>0</v>
      </c>
      <c r="CT239" s="91">
        <f t="shared" si="1549"/>
        <v>0</v>
      </c>
      <c r="DI239" s="91">
        <f t="shared" si="1466"/>
        <v>0</v>
      </c>
      <c r="DJ239" s="91">
        <f t="shared" si="1467"/>
        <v>0</v>
      </c>
      <c r="DY239" s="91">
        <f t="shared" si="1468"/>
        <v>0</v>
      </c>
      <c r="DZ239" s="91">
        <f t="shared" si="1469"/>
        <v>0</v>
      </c>
      <c r="EO239" s="91">
        <f t="shared" si="1470"/>
        <v>0</v>
      </c>
      <c r="EP239" s="91">
        <f t="shared" si="1471"/>
        <v>0</v>
      </c>
      <c r="FE239" s="91">
        <f t="shared" si="1472"/>
        <v>0</v>
      </c>
      <c r="FF239" s="91">
        <f t="shared" si="1473"/>
        <v>0</v>
      </c>
      <c r="FU239" s="91">
        <f t="shared" si="1474"/>
        <v>0</v>
      </c>
      <c r="FV239" s="91">
        <f t="shared" si="1475"/>
        <v>0</v>
      </c>
      <c r="GK239" s="91">
        <f t="shared" si="1476"/>
        <v>0</v>
      </c>
      <c r="GL239" s="91">
        <f t="shared" si="1477"/>
        <v>0</v>
      </c>
      <c r="HA239" s="91">
        <f t="shared" si="1478"/>
        <v>0</v>
      </c>
      <c r="HB239" s="91">
        <f t="shared" si="1479"/>
        <v>0</v>
      </c>
      <c r="HQ239" s="91">
        <f t="shared" si="1480"/>
        <v>0</v>
      </c>
      <c r="HR239" s="91">
        <f t="shared" si="1481"/>
        <v>0</v>
      </c>
      <c r="IG239" s="91">
        <f t="shared" si="1482"/>
        <v>0</v>
      </c>
      <c r="IH239" s="91">
        <f t="shared" si="1483"/>
        <v>0</v>
      </c>
      <c r="IW239" s="91">
        <f t="shared" si="1484"/>
        <v>0</v>
      </c>
      <c r="IX239" s="91">
        <f t="shared" si="1485"/>
        <v>0</v>
      </c>
      <c r="JM239" s="91">
        <f t="shared" si="1486"/>
        <v>0</v>
      </c>
      <c r="JN239" s="91">
        <f t="shared" si="1487"/>
        <v>0</v>
      </c>
      <c r="KC239" s="91">
        <f t="shared" si="1488"/>
        <v>0</v>
      </c>
      <c r="KD239" s="91">
        <f t="shared" si="1489"/>
        <v>0</v>
      </c>
      <c r="KS239" s="91">
        <f t="shared" si="1490"/>
        <v>0</v>
      </c>
      <c r="KT239" s="91">
        <f t="shared" si="1491"/>
        <v>0</v>
      </c>
      <c r="LI239" s="91">
        <f t="shared" si="1492"/>
        <v>0</v>
      </c>
      <c r="LJ239" s="91">
        <f t="shared" si="1493"/>
        <v>0</v>
      </c>
      <c r="LY239" s="91">
        <f t="shared" si="1494"/>
        <v>0</v>
      </c>
      <c r="LZ239" s="91">
        <f t="shared" si="1495"/>
        <v>0</v>
      </c>
      <c r="MO239" s="91">
        <f t="shared" si="1496"/>
        <v>0</v>
      </c>
      <c r="MP239" s="91">
        <f t="shared" si="1497"/>
        <v>0</v>
      </c>
      <c r="NE239" s="91">
        <f t="shared" si="1498"/>
        <v>0</v>
      </c>
      <c r="NF239" s="91">
        <f t="shared" si="1499"/>
        <v>0</v>
      </c>
      <c r="NI239" s="98">
        <v>119300</v>
      </c>
      <c r="NJ239" s="98">
        <v>1431600</v>
      </c>
      <c r="NU239" s="91">
        <f t="shared" si="1500"/>
        <v>119300</v>
      </c>
      <c r="NV239" s="91">
        <f t="shared" si="1501"/>
        <v>1431600</v>
      </c>
      <c r="OK239" s="91">
        <f t="shared" si="1502"/>
        <v>0</v>
      </c>
      <c r="OL239" s="91">
        <f t="shared" si="1503"/>
        <v>0</v>
      </c>
      <c r="PA239" s="91">
        <f t="shared" si="1504"/>
        <v>0</v>
      </c>
      <c r="PB239" s="91">
        <f t="shared" si="1505"/>
        <v>0</v>
      </c>
      <c r="PQ239" s="91">
        <f t="shared" si="1506"/>
        <v>0</v>
      </c>
      <c r="PR239" s="91">
        <f t="shared" si="1507"/>
        <v>0</v>
      </c>
      <c r="QG239" s="91">
        <f t="shared" si="1508"/>
        <v>0</v>
      </c>
      <c r="QH239" s="91">
        <f t="shared" si="1509"/>
        <v>0</v>
      </c>
      <c r="QW239" s="91">
        <f t="shared" si="1510"/>
        <v>0</v>
      </c>
      <c r="QX239" s="91">
        <f t="shared" si="1511"/>
        <v>0</v>
      </c>
      <c r="RM239" s="91">
        <f t="shared" si="1512"/>
        <v>0</v>
      </c>
      <c r="RN239" s="91">
        <f t="shared" si="1513"/>
        <v>0</v>
      </c>
      <c r="SC239" s="91">
        <f t="shared" si="1514"/>
        <v>0</v>
      </c>
      <c r="SD239" s="91">
        <f t="shared" si="1515"/>
        <v>0</v>
      </c>
      <c r="SS239" s="91">
        <f t="shared" si="1516"/>
        <v>0</v>
      </c>
      <c r="ST239" s="91">
        <f t="shared" si="1517"/>
        <v>0</v>
      </c>
      <c r="TI239" s="91">
        <f t="shared" si="1518"/>
        <v>0</v>
      </c>
      <c r="TJ239" s="91">
        <f t="shared" si="1519"/>
        <v>0</v>
      </c>
      <c r="TY239" s="91">
        <f t="shared" si="1520"/>
        <v>0</v>
      </c>
      <c r="TZ239" s="91">
        <f t="shared" si="1521"/>
        <v>0</v>
      </c>
      <c r="UO239" s="91">
        <f t="shared" si="1522"/>
        <v>0</v>
      </c>
      <c r="UP239" s="91">
        <f t="shared" ref="UP239:UP240" si="1567">SUMIF($C$12:$P$12,$A$1,UB239:UO239)</f>
        <v>0</v>
      </c>
      <c r="VE239" s="91">
        <f t="shared" si="1524"/>
        <v>0</v>
      </c>
      <c r="VF239" s="91">
        <f t="shared" si="1525"/>
        <v>0</v>
      </c>
      <c r="VU239" s="91">
        <f t="shared" si="1526"/>
        <v>0</v>
      </c>
      <c r="VV239" s="91">
        <f t="shared" si="1527"/>
        <v>0</v>
      </c>
      <c r="WK239" s="91">
        <f t="shared" si="1528"/>
        <v>0</v>
      </c>
      <c r="WL239" s="91">
        <f t="shared" si="1529"/>
        <v>0</v>
      </c>
      <c r="WM239" s="89"/>
      <c r="WN239" s="87">
        <f t="shared" si="1555"/>
        <v>0</v>
      </c>
      <c r="WO239" s="87">
        <f t="shared" si="1556"/>
        <v>0</v>
      </c>
      <c r="WP239" s="87">
        <f t="shared" si="1557"/>
        <v>119300</v>
      </c>
      <c r="WQ239" s="87">
        <f t="shared" si="1558"/>
        <v>1431600</v>
      </c>
      <c r="WR239" s="87">
        <f t="shared" si="1559"/>
        <v>0</v>
      </c>
      <c r="WS239" s="87">
        <f t="shared" si="1560"/>
        <v>0</v>
      </c>
      <c r="WT239" s="87">
        <f t="shared" si="1561"/>
        <v>0</v>
      </c>
      <c r="WU239" s="87">
        <f t="shared" si="1562"/>
        <v>0</v>
      </c>
      <c r="WV239" s="87">
        <f t="shared" si="1563"/>
        <v>0</v>
      </c>
      <c r="WW239" s="87">
        <f t="shared" si="1564"/>
        <v>0</v>
      </c>
      <c r="WX239" s="87">
        <f t="shared" si="1565"/>
        <v>0</v>
      </c>
      <c r="WY239" s="87">
        <f t="shared" si="1566"/>
        <v>0</v>
      </c>
      <c r="WZ239" s="87">
        <f t="shared" si="1550"/>
        <v>0</v>
      </c>
      <c r="XA239" s="87">
        <f t="shared" si="1551"/>
        <v>0</v>
      </c>
      <c r="XB239" s="92">
        <f t="shared" si="1552"/>
        <v>119300</v>
      </c>
      <c r="XC239" s="92">
        <f t="shared" si="1553"/>
        <v>1431600</v>
      </c>
      <c r="XD239" s="89"/>
      <c r="XE239" s="92"/>
      <c r="XF239" s="92"/>
      <c r="XG239" s="89"/>
      <c r="XH239" s="92"/>
      <c r="XI239" s="92"/>
      <c r="XJ239" s="89"/>
      <c r="XK239" s="87"/>
      <c r="XL239" s="87"/>
      <c r="XM239" s="87"/>
      <c r="XN239" s="87"/>
      <c r="XO239" s="87"/>
      <c r="XP239" s="87"/>
      <c r="XQ239" s="87"/>
      <c r="XR239" s="92">
        <f t="shared" ca="1" si="1546"/>
        <v>0</v>
      </c>
      <c r="XS239" s="89"/>
      <c r="XT239" s="87"/>
      <c r="XU239" s="87"/>
      <c r="XV239" s="87"/>
      <c r="XW239" s="87"/>
      <c r="XX239" s="87"/>
      <c r="XY239" s="87"/>
      <c r="XZ239" s="87"/>
      <c r="YA239" s="92">
        <f t="shared" ca="1" si="1547"/>
        <v>0</v>
      </c>
      <c r="YB239" s="90"/>
      <c r="YC239" s="90"/>
      <c r="YD239" s="90"/>
      <c r="YE239" s="90"/>
      <c r="YF239" s="90"/>
      <c r="YG239" s="90"/>
      <c r="YH239" s="90"/>
      <c r="YI239" s="90"/>
      <c r="YJ239" s="90"/>
      <c r="YK239" s="90"/>
      <c r="YL239" s="90"/>
      <c r="YM239" s="90"/>
      <c r="YN239" s="90"/>
      <c r="YO239" s="90"/>
      <c r="YP239" s="90"/>
      <c r="YQ239" s="90"/>
      <c r="YR239" s="90"/>
      <c r="YS239" s="90"/>
      <c r="YT239" s="90"/>
      <c r="YU239" s="90"/>
      <c r="YV239" s="90"/>
      <c r="YW239" s="90"/>
      <c r="YX239" s="90"/>
      <c r="YY239" s="90"/>
      <c r="YZ239" s="90"/>
      <c r="ZA239" s="90"/>
      <c r="ZB239" s="90"/>
      <c r="ZC239" s="90"/>
      <c r="ZD239" s="90"/>
      <c r="ZE239" s="90"/>
      <c r="ZF239" s="90"/>
      <c r="ZG239" s="90"/>
      <c r="ZH239" s="90"/>
      <c r="ZI239" s="90"/>
      <c r="ZJ239" s="90"/>
      <c r="ZK239" s="90"/>
      <c r="ZL239" s="90"/>
      <c r="ZM239" s="90"/>
      <c r="ZN239" s="90"/>
      <c r="ZO239" s="90"/>
      <c r="ZP239" s="90"/>
      <c r="ZQ239" s="90"/>
      <c r="ZR239" s="90"/>
      <c r="ZS239" s="90"/>
      <c r="ZT239" s="90"/>
      <c r="ZU239" s="90"/>
      <c r="ZV239" s="90"/>
      <c r="ZW239" s="90"/>
      <c r="ZX239" s="90"/>
      <c r="ZY239" s="90"/>
      <c r="ZZ239" s="90"/>
      <c r="AAA239" s="90"/>
      <c r="AAB239" s="90"/>
      <c r="AAC239" s="90"/>
      <c r="AAD239" s="90"/>
      <c r="AAE239" s="90"/>
      <c r="AAF239" s="90"/>
      <c r="AAG239" s="90"/>
      <c r="AAH239" s="90"/>
      <c r="AAI239" s="90"/>
      <c r="AAJ239" s="90"/>
      <c r="AAK239" s="90"/>
      <c r="AAL239" s="90"/>
      <c r="AAM239" s="90"/>
      <c r="AAN239" s="90"/>
      <c r="AAO239" s="90"/>
      <c r="AAP239" s="90"/>
      <c r="AAQ239" s="90"/>
      <c r="AAR239" s="90"/>
      <c r="AAS239" s="90"/>
      <c r="AAT239" s="90"/>
      <c r="AAU239" s="90"/>
      <c r="AAV239" s="90"/>
      <c r="AAW239" s="90"/>
      <c r="AAX239" s="90"/>
      <c r="AAY239" s="90"/>
      <c r="AAZ239" s="90"/>
      <c r="ABA239" s="90"/>
      <c r="ABB239" s="90"/>
      <c r="ABC239" s="90"/>
      <c r="ABD239" s="90"/>
      <c r="ABE239" s="90"/>
      <c r="ABF239" s="90"/>
      <c r="ABG239" s="90"/>
      <c r="ABH239" s="90"/>
      <c r="ABI239" s="90"/>
      <c r="ABJ239" s="90"/>
      <c r="ABK239" s="90"/>
      <c r="ABL239" s="90"/>
      <c r="ABM239" s="90"/>
      <c r="ABN239" s="90"/>
      <c r="ABO239" s="90"/>
      <c r="ABP239" s="90"/>
      <c r="ABQ239" s="90"/>
      <c r="ABR239" s="90"/>
      <c r="ABS239" s="90"/>
      <c r="ABT239" s="90"/>
      <c r="ABU239" s="90"/>
      <c r="ABV239" s="90"/>
      <c r="ABW239" s="90"/>
      <c r="ABX239" s="90"/>
      <c r="ABY239" s="90"/>
      <c r="ABZ239" s="90"/>
      <c r="ACA239" s="90"/>
      <c r="ACB239" s="90"/>
      <c r="ACC239" s="90"/>
      <c r="ACD239" s="90"/>
      <c r="ACE239" s="90"/>
      <c r="ACF239" s="90"/>
      <c r="ACG239" s="90"/>
      <c r="ACH239" s="90"/>
      <c r="ACI239" s="90"/>
      <c r="ACJ239" s="90"/>
      <c r="ACK239" s="90"/>
      <c r="ACL239" s="90"/>
      <c r="ACM239" s="90"/>
      <c r="ACN239" s="90"/>
      <c r="ACO239" s="90"/>
      <c r="ACP239" s="90"/>
      <c r="ACQ239" s="90"/>
      <c r="ACR239" s="90"/>
      <c r="ACS239" s="90"/>
      <c r="ACT239" s="90"/>
      <c r="ACU239" s="90"/>
      <c r="ACV239" s="90"/>
      <c r="ACW239" s="90"/>
      <c r="ACX239" s="90"/>
      <c r="ACY239" s="90"/>
      <c r="ACZ239" s="90"/>
      <c r="ADA239" s="90"/>
      <c r="ADB239" s="90"/>
      <c r="ADC239" s="90"/>
      <c r="ADD239" s="90"/>
      <c r="ADE239" s="90"/>
      <c r="ADF239" s="90"/>
      <c r="ADG239" s="90"/>
      <c r="ADH239" s="90"/>
      <c r="ADI239" s="90"/>
      <c r="ADJ239" s="90"/>
      <c r="ADK239" s="90"/>
      <c r="ADL239" s="90"/>
      <c r="ADM239" s="90"/>
      <c r="ADN239" s="90"/>
      <c r="ADO239" s="90"/>
      <c r="ADP239" s="90"/>
      <c r="ADQ239" s="90"/>
      <c r="ADR239" s="90"/>
      <c r="ADS239" s="90"/>
      <c r="ADT239" s="90"/>
      <c r="ADU239" s="90"/>
      <c r="ADV239" s="90"/>
      <c r="ADW239" s="90"/>
      <c r="ADX239" s="90"/>
      <c r="ADY239" s="90"/>
      <c r="ADZ239" s="90"/>
      <c r="AEA239" s="90"/>
      <c r="AEB239" s="90"/>
      <c r="AEC239" s="90"/>
      <c r="AED239" s="90"/>
      <c r="AEE239" s="90"/>
      <c r="AEF239" s="90"/>
      <c r="AEG239" s="90"/>
      <c r="AEH239" s="90"/>
      <c r="AEI239" s="90"/>
      <c r="AEJ239" s="90"/>
      <c r="AEK239" s="90"/>
      <c r="AEL239" s="90"/>
      <c r="AEM239" s="90"/>
      <c r="AEN239" s="90"/>
      <c r="AEO239" s="90"/>
      <c r="AEP239" s="90"/>
      <c r="AEQ239" s="90"/>
      <c r="AER239" s="90"/>
      <c r="AES239" s="90"/>
      <c r="AET239" s="90"/>
      <c r="AEU239" s="90"/>
      <c r="AEV239" s="90"/>
      <c r="AEW239" s="90"/>
      <c r="AEX239" s="90"/>
      <c r="AEY239" s="90"/>
      <c r="AEZ239" s="90"/>
      <c r="AFA239" s="90"/>
      <c r="AFB239" s="90"/>
      <c r="AFC239" s="90"/>
      <c r="AFD239" s="90"/>
      <c r="AFE239" s="90"/>
      <c r="AFF239" s="90"/>
      <c r="AFG239" s="90"/>
      <c r="AFH239" s="90"/>
      <c r="AFI239" s="90"/>
      <c r="AFJ239" s="90"/>
      <c r="AFK239" s="90"/>
      <c r="AFL239" s="90"/>
      <c r="AFM239" s="90"/>
      <c r="AFN239" s="90"/>
      <c r="AFO239" s="90"/>
      <c r="AFP239" s="90"/>
      <c r="AFQ239" s="90"/>
      <c r="AFR239" s="90"/>
      <c r="AFS239" s="90"/>
      <c r="AFT239" s="90"/>
      <c r="AFU239" s="90"/>
      <c r="AFV239" s="90"/>
      <c r="AFW239" s="90"/>
      <c r="AFX239" s="90"/>
      <c r="AFY239" s="90"/>
      <c r="AFZ239" s="90"/>
      <c r="AGA239" s="90"/>
      <c r="AGB239" s="90"/>
      <c r="AGC239" s="90"/>
      <c r="AGD239" s="90"/>
      <c r="AGE239" s="90"/>
      <c r="AGF239" s="90"/>
      <c r="AGG239" s="90"/>
      <c r="AGH239" s="90"/>
      <c r="AGI239" s="90"/>
      <c r="AGJ239" s="90"/>
      <c r="AGK239" s="90"/>
      <c r="AGL239" s="90"/>
      <c r="AGM239" s="90"/>
      <c r="AGN239" s="90"/>
      <c r="AGO239" s="90"/>
      <c r="AGP239" s="90"/>
      <c r="AGQ239" s="90"/>
      <c r="AGR239" s="90"/>
      <c r="AGS239" s="90"/>
      <c r="AGT239" s="90"/>
      <c r="AGU239" s="90"/>
      <c r="AGV239" s="90"/>
      <c r="AGW239" s="90"/>
      <c r="AGX239" s="90"/>
      <c r="AGY239" s="90"/>
      <c r="AGZ239" s="90"/>
      <c r="AHA239" s="90"/>
      <c r="AHB239" s="90"/>
      <c r="AHC239" s="90"/>
      <c r="AHD239" s="90"/>
      <c r="AHE239" s="90"/>
      <c r="AHF239" s="90"/>
      <c r="AHG239" s="90"/>
      <c r="AHH239" s="90"/>
      <c r="AHI239" s="90"/>
      <c r="AHJ239" s="90"/>
      <c r="AHK239" s="90"/>
      <c r="AHL239" s="90"/>
      <c r="AHM239" s="90"/>
      <c r="AHN239" s="90"/>
      <c r="AHO239" s="90"/>
      <c r="AHP239" s="90"/>
      <c r="AHQ239" s="90"/>
      <c r="AHR239" s="90"/>
      <c r="AHS239" s="90"/>
      <c r="AHT239" s="90"/>
      <c r="AHU239" s="90"/>
      <c r="AHV239" s="90"/>
      <c r="AHW239" s="90"/>
      <c r="AHX239" s="90"/>
      <c r="AHY239" s="90"/>
      <c r="AHZ239" s="90"/>
      <c r="AIA239" s="90"/>
      <c r="AIB239" s="90"/>
      <c r="AIC239" s="90"/>
      <c r="AID239" s="90"/>
      <c r="AIE239" s="90"/>
      <c r="AIF239" s="90"/>
      <c r="AIG239" s="90"/>
      <c r="AIH239" s="90"/>
      <c r="AII239" s="90"/>
      <c r="AIJ239" s="90"/>
      <c r="AIK239" s="90"/>
      <c r="AIL239" s="90"/>
      <c r="AIM239" s="90"/>
      <c r="AIN239" s="90"/>
      <c r="AIO239" s="90"/>
      <c r="AIP239" s="90"/>
      <c r="AIQ239" s="90"/>
      <c r="AIR239" s="90"/>
      <c r="AIS239" s="90"/>
      <c r="AIT239" s="90"/>
      <c r="AIU239" s="90"/>
      <c r="AIV239" s="90"/>
      <c r="AIW239" s="90"/>
      <c r="AIX239" s="90"/>
      <c r="AIY239" s="90"/>
      <c r="AIZ239" s="90"/>
      <c r="AJA239" s="90"/>
      <c r="AJB239" s="90"/>
      <c r="AJC239" s="90"/>
      <c r="AJD239" s="90"/>
      <c r="AJE239" s="90"/>
      <c r="AJF239" s="90"/>
      <c r="AJG239" s="90"/>
      <c r="AJH239" s="90"/>
      <c r="AJI239" s="90"/>
      <c r="AJJ239" s="90"/>
      <c r="AJK239" s="90"/>
      <c r="AJL239" s="90"/>
      <c r="AJM239" s="90"/>
      <c r="AJN239" s="90"/>
      <c r="AJO239" s="90"/>
      <c r="AJP239" s="90"/>
      <c r="AJQ239" s="90"/>
      <c r="AJR239" s="90"/>
      <c r="AJS239" s="90"/>
      <c r="AJT239" s="90"/>
      <c r="AJU239" s="90"/>
      <c r="AJV239" s="90"/>
      <c r="AJW239" s="90"/>
      <c r="AJX239" s="90"/>
      <c r="AJY239" s="90"/>
      <c r="AJZ239" s="90"/>
      <c r="AKA239" s="90"/>
      <c r="AKB239" s="90"/>
      <c r="AKC239" s="90"/>
      <c r="AKD239" s="90"/>
      <c r="AKE239" s="90"/>
      <c r="AKF239" s="90"/>
      <c r="AKG239" s="90"/>
      <c r="AKH239" s="90"/>
      <c r="AKI239" s="90"/>
      <c r="AKJ239" s="90"/>
      <c r="AKK239" s="90"/>
      <c r="AKL239" s="90"/>
      <c r="AKM239" s="90"/>
      <c r="AKN239" s="90"/>
      <c r="AKO239" s="90"/>
      <c r="AKP239" s="90"/>
      <c r="AKQ239" s="90"/>
      <c r="AKR239" s="90"/>
      <c r="AKS239" s="90"/>
      <c r="AKT239" s="90"/>
      <c r="AKU239" s="90"/>
      <c r="AKV239" s="90"/>
      <c r="AKW239" s="90"/>
      <c r="AKX239" s="90"/>
      <c r="AKY239" s="90"/>
      <c r="AKZ239" s="90"/>
      <c r="ALA239" s="90"/>
      <c r="ALB239" s="90"/>
      <c r="ALC239" s="90"/>
      <c r="ALD239" s="90"/>
      <c r="ALE239" s="90"/>
      <c r="ALF239" s="90"/>
      <c r="ALG239" s="90"/>
      <c r="ALH239" s="90"/>
      <c r="ALI239" s="90"/>
      <c r="ALJ239" s="90"/>
      <c r="ALK239" s="90"/>
      <c r="ALL239" s="90"/>
      <c r="ALM239" s="90"/>
      <c r="ALN239" s="90"/>
      <c r="ALO239" s="90"/>
      <c r="ALP239" s="90"/>
      <c r="ALQ239" s="90"/>
      <c r="ALR239" s="90"/>
      <c r="ALS239" s="90"/>
      <c r="ALT239" s="90"/>
      <c r="ALU239" s="90"/>
      <c r="ALV239" s="90"/>
      <c r="ALW239" s="90"/>
      <c r="ALX239" s="90"/>
      <c r="ALY239" s="90"/>
      <c r="ALZ239" s="90"/>
      <c r="AMA239" s="90"/>
      <c r="AMB239" s="90"/>
      <c r="AMC239" s="90"/>
    </row>
    <row r="240" spans="1:1017">
      <c r="A240" s="98" t="s">
        <v>50</v>
      </c>
      <c r="B240" s="90" t="str">
        <f t="shared" si="1554"/>
        <v>Ikan_05 (Ikan betutu)</v>
      </c>
      <c r="Q240" s="91">
        <f t="shared" si="1454"/>
        <v>0</v>
      </c>
      <c r="R240" s="91">
        <f t="shared" si="1455"/>
        <v>0</v>
      </c>
      <c r="AG240" s="91">
        <f t="shared" si="1456"/>
        <v>0</v>
      </c>
      <c r="AH240" s="91">
        <f t="shared" si="1457"/>
        <v>0</v>
      </c>
      <c r="AW240" s="91">
        <f t="shared" si="1458"/>
        <v>0</v>
      </c>
      <c r="AX240" s="91">
        <f t="shared" si="1459"/>
        <v>0</v>
      </c>
      <c r="BM240" s="91">
        <f t="shared" si="1460"/>
        <v>0</v>
      </c>
      <c r="BN240" s="91">
        <f t="shared" si="1461"/>
        <v>0</v>
      </c>
      <c r="CC240" s="91">
        <f t="shared" si="1462"/>
        <v>0</v>
      </c>
      <c r="CD240" s="91">
        <f t="shared" si="1463"/>
        <v>0</v>
      </c>
      <c r="CS240" s="91">
        <f t="shared" si="1548"/>
        <v>0</v>
      </c>
      <c r="CT240" s="91">
        <f t="shared" si="1549"/>
        <v>0</v>
      </c>
      <c r="DI240" s="91">
        <f t="shared" si="1466"/>
        <v>0</v>
      </c>
      <c r="DJ240" s="91">
        <f t="shared" si="1467"/>
        <v>0</v>
      </c>
      <c r="DY240" s="91">
        <f t="shared" si="1468"/>
        <v>0</v>
      </c>
      <c r="DZ240" s="91">
        <f t="shared" si="1469"/>
        <v>0</v>
      </c>
      <c r="EO240" s="91">
        <f t="shared" si="1470"/>
        <v>0</v>
      </c>
      <c r="EP240" s="91">
        <f t="shared" si="1471"/>
        <v>0</v>
      </c>
      <c r="FE240" s="91">
        <f t="shared" si="1472"/>
        <v>0</v>
      </c>
      <c r="FF240" s="91">
        <f t="shared" si="1473"/>
        <v>0</v>
      </c>
      <c r="FU240" s="91">
        <f t="shared" si="1474"/>
        <v>0</v>
      </c>
      <c r="FV240" s="91">
        <f t="shared" si="1475"/>
        <v>0</v>
      </c>
      <c r="GK240" s="91">
        <f t="shared" si="1476"/>
        <v>0</v>
      </c>
      <c r="GL240" s="91">
        <f t="shared" si="1477"/>
        <v>0</v>
      </c>
      <c r="HA240" s="91">
        <f t="shared" si="1478"/>
        <v>0</v>
      </c>
      <c r="HB240" s="91">
        <f t="shared" si="1479"/>
        <v>0</v>
      </c>
      <c r="HQ240" s="91">
        <f t="shared" si="1480"/>
        <v>0</v>
      </c>
      <c r="HR240" s="91">
        <f t="shared" si="1481"/>
        <v>0</v>
      </c>
      <c r="IG240" s="91">
        <f t="shared" si="1482"/>
        <v>0</v>
      </c>
      <c r="IH240" s="91">
        <f t="shared" si="1483"/>
        <v>0</v>
      </c>
      <c r="IW240" s="91">
        <f t="shared" si="1484"/>
        <v>0</v>
      </c>
      <c r="IX240" s="91">
        <f t="shared" si="1485"/>
        <v>0</v>
      </c>
      <c r="JM240" s="91">
        <f t="shared" si="1486"/>
        <v>0</v>
      </c>
      <c r="JN240" s="91">
        <f t="shared" si="1487"/>
        <v>0</v>
      </c>
      <c r="KC240" s="91">
        <f t="shared" si="1488"/>
        <v>0</v>
      </c>
      <c r="KD240" s="91">
        <f t="shared" si="1489"/>
        <v>0</v>
      </c>
      <c r="KS240" s="91">
        <f t="shared" si="1490"/>
        <v>0</v>
      </c>
      <c r="KT240" s="91">
        <f t="shared" si="1491"/>
        <v>0</v>
      </c>
      <c r="LI240" s="91">
        <f t="shared" si="1492"/>
        <v>0</v>
      </c>
      <c r="LJ240" s="91">
        <f t="shared" si="1493"/>
        <v>0</v>
      </c>
      <c r="LY240" s="91">
        <f t="shared" si="1494"/>
        <v>0</v>
      </c>
      <c r="LZ240" s="91">
        <f t="shared" si="1495"/>
        <v>0</v>
      </c>
      <c r="MO240" s="91">
        <f t="shared" si="1496"/>
        <v>0</v>
      </c>
      <c r="MP240" s="91">
        <f t="shared" si="1497"/>
        <v>0</v>
      </c>
      <c r="NE240" s="91">
        <f t="shared" si="1498"/>
        <v>0</v>
      </c>
      <c r="NF240" s="91">
        <f t="shared" si="1499"/>
        <v>0</v>
      </c>
      <c r="NU240" s="91">
        <f t="shared" si="1500"/>
        <v>0</v>
      </c>
      <c r="NV240" s="91">
        <f t="shared" si="1501"/>
        <v>0</v>
      </c>
      <c r="OK240" s="91">
        <f t="shared" si="1502"/>
        <v>0</v>
      </c>
      <c r="OL240" s="91">
        <f t="shared" si="1503"/>
        <v>0</v>
      </c>
      <c r="PA240" s="91">
        <f t="shared" si="1504"/>
        <v>0</v>
      </c>
      <c r="PB240" s="91">
        <f t="shared" si="1505"/>
        <v>0</v>
      </c>
      <c r="PQ240" s="91">
        <f t="shared" si="1506"/>
        <v>0</v>
      </c>
      <c r="PR240" s="91">
        <f t="shared" si="1507"/>
        <v>0</v>
      </c>
      <c r="QG240" s="91">
        <f t="shared" si="1508"/>
        <v>0</v>
      </c>
      <c r="QH240" s="91">
        <f t="shared" si="1509"/>
        <v>0</v>
      </c>
      <c r="QW240" s="91">
        <f t="shared" si="1510"/>
        <v>0</v>
      </c>
      <c r="QX240" s="91">
        <f t="shared" si="1511"/>
        <v>0</v>
      </c>
      <c r="RM240" s="91">
        <f t="shared" si="1512"/>
        <v>0</v>
      </c>
      <c r="RN240" s="91">
        <f t="shared" si="1513"/>
        <v>0</v>
      </c>
      <c r="SC240" s="91">
        <f t="shared" si="1514"/>
        <v>0</v>
      </c>
      <c r="SD240" s="91">
        <f t="shared" si="1515"/>
        <v>0</v>
      </c>
      <c r="SS240" s="91">
        <f t="shared" si="1516"/>
        <v>0</v>
      </c>
      <c r="ST240" s="91">
        <f t="shared" si="1517"/>
        <v>0</v>
      </c>
      <c r="TI240" s="91">
        <f t="shared" si="1518"/>
        <v>0</v>
      </c>
      <c r="TJ240" s="91">
        <f t="shared" si="1519"/>
        <v>0</v>
      </c>
      <c r="TY240" s="91">
        <f t="shared" si="1520"/>
        <v>0</v>
      </c>
      <c r="TZ240" s="91">
        <f t="shared" si="1521"/>
        <v>0</v>
      </c>
      <c r="UO240" s="91">
        <f t="shared" si="1522"/>
        <v>0</v>
      </c>
      <c r="UP240" s="91">
        <f t="shared" si="1567"/>
        <v>0</v>
      </c>
      <c r="VE240" s="91">
        <f t="shared" si="1524"/>
        <v>0</v>
      </c>
      <c r="VF240" s="91">
        <f t="shared" si="1525"/>
        <v>0</v>
      </c>
      <c r="VU240" s="91">
        <f t="shared" si="1526"/>
        <v>0</v>
      </c>
      <c r="VV240" s="91">
        <f t="shared" si="1527"/>
        <v>0</v>
      </c>
      <c r="WK240" s="91">
        <f t="shared" si="1528"/>
        <v>0</v>
      </c>
      <c r="WL240" s="91">
        <f t="shared" si="1529"/>
        <v>0</v>
      </c>
      <c r="WM240" s="89"/>
      <c r="WN240" s="87">
        <f t="shared" si="1555"/>
        <v>0</v>
      </c>
      <c r="WO240" s="87">
        <f t="shared" si="1556"/>
        <v>0</v>
      </c>
      <c r="WP240" s="87">
        <f t="shared" si="1557"/>
        <v>0</v>
      </c>
      <c r="WQ240" s="87">
        <f t="shared" si="1558"/>
        <v>0</v>
      </c>
      <c r="WR240" s="87">
        <f t="shared" si="1559"/>
        <v>0</v>
      </c>
      <c r="WS240" s="87">
        <f t="shared" si="1560"/>
        <v>0</v>
      </c>
      <c r="WT240" s="87">
        <f t="shared" si="1561"/>
        <v>0</v>
      </c>
      <c r="WU240" s="87">
        <f t="shared" si="1562"/>
        <v>0</v>
      </c>
      <c r="WV240" s="87">
        <f t="shared" si="1563"/>
        <v>0</v>
      </c>
      <c r="WW240" s="87">
        <f t="shared" si="1564"/>
        <v>0</v>
      </c>
      <c r="WX240" s="87">
        <f t="shared" si="1565"/>
        <v>0</v>
      </c>
      <c r="WY240" s="87">
        <f t="shared" si="1566"/>
        <v>0</v>
      </c>
      <c r="WZ240" s="87">
        <f t="shared" si="1550"/>
        <v>0</v>
      </c>
      <c r="XA240" s="87">
        <f t="shared" si="1551"/>
        <v>0</v>
      </c>
      <c r="XB240" s="92">
        <f t="shared" si="1552"/>
        <v>0</v>
      </c>
      <c r="XC240" s="92">
        <f t="shared" si="1553"/>
        <v>0</v>
      </c>
      <c r="XD240" s="89"/>
      <c r="XE240" s="92"/>
      <c r="XF240" s="92"/>
      <c r="XG240" s="89"/>
      <c r="XH240" s="92"/>
      <c r="XI240" s="92"/>
      <c r="XJ240" s="89"/>
      <c r="XK240" s="87"/>
      <c r="XL240" s="87"/>
      <c r="XM240" s="87"/>
      <c r="XN240" s="87"/>
      <c r="XO240" s="87"/>
      <c r="XP240" s="87"/>
      <c r="XQ240" s="87"/>
      <c r="XR240" s="92">
        <f t="shared" ca="1" si="1546"/>
        <v>0</v>
      </c>
      <c r="XS240" s="89"/>
      <c r="XT240" s="87"/>
      <c r="XU240" s="87"/>
      <c r="XV240" s="87"/>
      <c r="XW240" s="87"/>
      <c r="XX240" s="87"/>
      <c r="XY240" s="87"/>
      <c r="XZ240" s="87"/>
      <c r="YA240" s="92">
        <f t="shared" ca="1" si="1547"/>
        <v>0</v>
      </c>
      <c r="YB240" s="90"/>
      <c r="YC240" s="90"/>
      <c r="YD240" s="90"/>
      <c r="YE240" s="90"/>
      <c r="YF240" s="90"/>
      <c r="YG240" s="90"/>
      <c r="YH240" s="90"/>
      <c r="YI240" s="90"/>
      <c r="YJ240" s="90"/>
      <c r="YK240" s="90"/>
      <c r="YL240" s="90"/>
      <c r="YM240" s="90"/>
      <c r="YN240" s="90"/>
      <c r="YO240" s="90"/>
      <c r="YP240" s="90"/>
      <c r="YQ240" s="90"/>
      <c r="YR240" s="90"/>
      <c r="YS240" s="90"/>
      <c r="YT240" s="90"/>
      <c r="YU240" s="90"/>
      <c r="YV240" s="90"/>
      <c r="YW240" s="90"/>
      <c r="YX240" s="90"/>
      <c r="YY240" s="90"/>
      <c r="YZ240" s="90"/>
      <c r="ZA240" s="90"/>
      <c r="ZB240" s="90"/>
      <c r="ZC240" s="90"/>
      <c r="ZD240" s="90"/>
      <c r="ZE240" s="90"/>
      <c r="ZF240" s="90"/>
      <c r="ZG240" s="90"/>
      <c r="ZH240" s="90"/>
      <c r="ZI240" s="90"/>
      <c r="ZJ240" s="90"/>
      <c r="ZK240" s="90"/>
      <c r="ZL240" s="90"/>
      <c r="ZM240" s="90"/>
      <c r="ZN240" s="90"/>
      <c r="ZO240" s="90"/>
      <c r="ZP240" s="90"/>
      <c r="ZQ240" s="90"/>
      <c r="ZR240" s="90"/>
      <c r="ZS240" s="90"/>
      <c r="ZT240" s="90"/>
      <c r="ZU240" s="90"/>
      <c r="ZV240" s="90"/>
      <c r="ZW240" s="90"/>
      <c r="ZX240" s="90"/>
      <c r="ZY240" s="90"/>
      <c r="ZZ240" s="90"/>
      <c r="AAA240" s="90"/>
      <c r="AAB240" s="90"/>
      <c r="AAC240" s="90"/>
      <c r="AAD240" s="90"/>
      <c r="AAE240" s="90"/>
      <c r="AAF240" s="90"/>
      <c r="AAG240" s="90"/>
      <c r="AAH240" s="90"/>
      <c r="AAI240" s="90"/>
      <c r="AAJ240" s="90"/>
      <c r="AAK240" s="90"/>
      <c r="AAL240" s="90"/>
      <c r="AAM240" s="90"/>
      <c r="AAN240" s="90"/>
      <c r="AAO240" s="90"/>
      <c r="AAP240" s="90"/>
      <c r="AAQ240" s="90"/>
      <c r="AAR240" s="90"/>
      <c r="AAS240" s="90"/>
      <c r="AAT240" s="90"/>
      <c r="AAU240" s="90"/>
      <c r="AAV240" s="90"/>
      <c r="AAW240" s="90"/>
      <c r="AAX240" s="90"/>
      <c r="AAY240" s="90"/>
      <c r="AAZ240" s="90"/>
      <c r="ABA240" s="90"/>
      <c r="ABB240" s="90"/>
      <c r="ABC240" s="90"/>
      <c r="ABD240" s="90"/>
      <c r="ABE240" s="90"/>
      <c r="ABF240" s="90"/>
      <c r="ABG240" s="90"/>
      <c r="ABH240" s="90"/>
      <c r="ABI240" s="90"/>
      <c r="ABJ240" s="90"/>
      <c r="ABK240" s="90"/>
      <c r="ABL240" s="90"/>
      <c r="ABM240" s="90"/>
      <c r="ABN240" s="90"/>
      <c r="ABO240" s="90"/>
      <c r="ABP240" s="90"/>
      <c r="ABQ240" s="90"/>
      <c r="ABR240" s="90"/>
      <c r="ABS240" s="90"/>
      <c r="ABT240" s="90"/>
      <c r="ABU240" s="90"/>
      <c r="ABV240" s="90"/>
      <c r="ABW240" s="90"/>
      <c r="ABX240" s="90"/>
      <c r="ABY240" s="90"/>
      <c r="ABZ240" s="90"/>
      <c r="ACA240" s="90"/>
      <c r="ACB240" s="90"/>
      <c r="ACC240" s="90"/>
      <c r="ACD240" s="90"/>
      <c r="ACE240" s="90"/>
      <c r="ACF240" s="90"/>
      <c r="ACG240" s="90"/>
      <c r="ACH240" s="90"/>
      <c r="ACI240" s="90"/>
      <c r="ACJ240" s="90"/>
      <c r="ACK240" s="90"/>
      <c r="ACL240" s="90"/>
      <c r="ACM240" s="90"/>
      <c r="ACN240" s="90"/>
      <c r="ACO240" s="90"/>
      <c r="ACP240" s="90"/>
      <c r="ACQ240" s="90"/>
      <c r="ACR240" s="90"/>
      <c r="ACS240" s="90"/>
      <c r="ACT240" s="90"/>
      <c r="ACU240" s="90"/>
      <c r="ACV240" s="90"/>
      <c r="ACW240" s="90"/>
      <c r="ACX240" s="90"/>
      <c r="ACY240" s="90"/>
      <c r="ACZ240" s="90"/>
      <c r="ADA240" s="90"/>
      <c r="ADB240" s="90"/>
      <c r="ADC240" s="90"/>
      <c r="ADD240" s="90"/>
      <c r="ADE240" s="90"/>
      <c r="ADF240" s="90"/>
      <c r="ADG240" s="90"/>
      <c r="ADH240" s="90"/>
      <c r="ADI240" s="90"/>
      <c r="ADJ240" s="90"/>
      <c r="ADK240" s="90"/>
      <c r="ADL240" s="90"/>
      <c r="ADM240" s="90"/>
      <c r="ADN240" s="90"/>
      <c r="ADO240" s="90"/>
      <c r="ADP240" s="90"/>
      <c r="ADQ240" s="90"/>
      <c r="ADR240" s="90"/>
      <c r="ADS240" s="90"/>
      <c r="ADT240" s="90"/>
      <c r="ADU240" s="90"/>
      <c r="ADV240" s="90"/>
      <c r="ADW240" s="90"/>
      <c r="ADX240" s="90"/>
      <c r="ADY240" s="90"/>
      <c r="ADZ240" s="90"/>
      <c r="AEA240" s="90"/>
      <c r="AEB240" s="90"/>
      <c r="AEC240" s="90"/>
      <c r="AED240" s="90"/>
      <c r="AEE240" s="90"/>
      <c r="AEF240" s="90"/>
      <c r="AEG240" s="90"/>
      <c r="AEH240" s="90"/>
      <c r="AEI240" s="90"/>
      <c r="AEJ240" s="90"/>
      <c r="AEK240" s="90"/>
      <c r="AEL240" s="90"/>
      <c r="AEM240" s="90"/>
      <c r="AEN240" s="90"/>
      <c r="AEO240" s="90"/>
      <c r="AEP240" s="90"/>
      <c r="AEQ240" s="90"/>
      <c r="AER240" s="90"/>
      <c r="AES240" s="90"/>
      <c r="AET240" s="90"/>
      <c r="AEU240" s="90"/>
      <c r="AEV240" s="90"/>
      <c r="AEW240" s="90"/>
      <c r="AEX240" s="90"/>
      <c r="AEY240" s="90"/>
      <c r="AEZ240" s="90"/>
      <c r="AFA240" s="90"/>
      <c r="AFB240" s="90"/>
      <c r="AFC240" s="90"/>
      <c r="AFD240" s="90"/>
      <c r="AFE240" s="90"/>
      <c r="AFF240" s="90"/>
      <c r="AFG240" s="90"/>
      <c r="AFH240" s="90"/>
      <c r="AFI240" s="90"/>
      <c r="AFJ240" s="90"/>
      <c r="AFK240" s="90"/>
      <c r="AFL240" s="90"/>
      <c r="AFM240" s="90"/>
      <c r="AFN240" s="90"/>
      <c r="AFO240" s="90"/>
      <c r="AFP240" s="90"/>
      <c r="AFQ240" s="90"/>
      <c r="AFR240" s="90"/>
      <c r="AFS240" s="90"/>
      <c r="AFT240" s="90"/>
      <c r="AFU240" s="90"/>
      <c r="AFV240" s="90"/>
      <c r="AFW240" s="90"/>
      <c r="AFX240" s="90"/>
      <c r="AFY240" s="90"/>
      <c r="AFZ240" s="90"/>
      <c r="AGA240" s="90"/>
      <c r="AGB240" s="90"/>
      <c r="AGC240" s="90"/>
      <c r="AGD240" s="90"/>
      <c r="AGE240" s="90"/>
      <c r="AGF240" s="90"/>
      <c r="AGG240" s="90"/>
      <c r="AGH240" s="90"/>
      <c r="AGI240" s="90"/>
      <c r="AGJ240" s="90"/>
      <c r="AGK240" s="90"/>
      <c r="AGL240" s="90"/>
      <c r="AGM240" s="90"/>
      <c r="AGN240" s="90"/>
      <c r="AGO240" s="90"/>
      <c r="AGP240" s="90"/>
      <c r="AGQ240" s="90"/>
      <c r="AGR240" s="90"/>
      <c r="AGS240" s="90"/>
      <c r="AGT240" s="90"/>
      <c r="AGU240" s="90"/>
      <c r="AGV240" s="90"/>
      <c r="AGW240" s="90"/>
      <c r="AGX240" s="90"/>
      <c r="AGY240" s="90"/>
      <c r="AGZ240" s="90"/>
      <c r="AHA240" s="90"/>
      <c r="AHB240" s="90"/>
      <c r="AHC240" s="90"/>
      <c r="AHD240" s="90"/>
      <c r="AHE240" s="90"/>
      <c r="AHF240" s="90"/>
      <c r="AHG240" s="90"/>
      <c r="AHH240" s="90"/>
      <c r="AHI240" s="90"/>
      <c r="AHJ240" s="90"/>
      <c r="AHK240" s="90"/>
      <c r="AHL240" s="90"/>
      <c r="AHM240" s="90"/>
      <c r="AHN240" s="90"/>
      <c r="AHO240" s="90"/>
      <c r="AHP240" s="90"/>
      <c r="AHQ240" s="90"/>
      <c r="AHR240" s="90"/>
      <c r="AHS240" s="90"/>
      <c r="AHT240" s="90"/>
      <c r="AHU240" s="90"/>
      <c r="AHV240" s="90"/>
      <c r="AHW240" s="90"/>
      <c r="AHX240" s="90"/>
      <c r="AHY240" s="90"/>
      <c r="AHZ240" s="90"/>
      <c r="AIA240" s="90"/>
      <c r="AIB240" s="90"/>
      <c r="AIC240" s="90"/>
      <c r="AID240" s="90"/>
      <c r="AIE240" s="90"/>
      <c r="AIF240" s="90"/>
      <c r="AIG240" s="90"/>
      <c r="AIH240" s="90"/>
      <c r="AII240" s="90"/>
      <c r="AIJ240" s="90"/>
      <c r="AIK240" s="90"/>
      <c r="AIL240" s="90"/>
      <c r="AIM240" s="90"/>
      <c r="AIN240" s="90"/>
      <c r="AIO240" s="90"/>
      <c r="AIP240" s="90"/>
      <c r="AIQ240" s="90"/>
      <c r="AIR240" s="90"/>
      <c r="AIS240" s="90"/>
      <c r="AIT240" s="90"/>
      <c r="AIU240" s="90"/>
      <c r="AIV240" s="90"/>
      <c r="AIW240" s="90"/>
      <c r="AIX240" s="90"/>
      <c r="AIY240" s="90"/>
      <c r="AIZ240" s="90"/>
      <c r="AJA240" s="90"/>
      <c r="AJB240" s="90"/>
      <c r="AJC240" s="90"/>
      <c r="AJD240" s="90"/>
      <c r="AJE240" s="90"/>
      <c r="AJF240" s="90"/>
      <c r="AJG240" s="90"/>
      <c r="AJH240" s="90"/>
      <c r="AJI240" s="90"/>
      <c r="AJJ240" s="90"/>
      <c r="AJK240" s="90"/>
      <c r="AJL240" s="90"/>
      <c r="AJM240" s="90"/>
      <c r="AJN240" s="90"/>
      <c r="AJO240" s="90"/>
      <c r="AJP240" s="90"/>
      <c r="AJQ240" s="90"/>
      <c r="AJR240" s="90"/>
      <c r="AJS240" s="90"/>
      <c r="AJT240" s="90"/>
      <c r="AJU240" s="90"/>
      <c r="AJV240" s="90"/>
      <c r="AJW240" s="90"/>
      <c r="AJX240" s="90"/>
      <c r="AJY240" s="90"/>
      <c r="AJZ240" s="90"/>
      <c r="AKA240" s="90"/>
      <c r="AKB240" s="90"/>
      <c r="AKC240" s="90"/>
      <c r="AKD240" s="90"/>
      <c r="AKE240" s="90"/>
      <c r="AKF240" s="90"/>
      <c r="AKG240" s="90"/>
      <c r="AKH240" s="90"/>
      <c r="AKI240" s="90"/>
      <c r="AKJ240" s="90"/>
      <c r="AKK240" s="90"/>
      <c r="AKL240" s="90"/>
      <c r="AKM240" s="90"/>
      <c r="AKN240" s="90"/>
      <c r="AKO240" s="90"/>
      <c r="AKP240" s="90"/>
      <c r="AKQ240" s="90"/>
      <c r="AKR240" s="90"/>
      <c r="AKS240" s="90"/>
      <c r="AKT240" s="90"/>
      <c r="AKU240" s="90"/>
      <c r="AKV240" s="90"/>
      <c r="AKW240" s="90"/>
      <c r="AKX240" s="90"/>
      <c r="AKY240" s="90"/>
      <c r="AKZ240" s="90"/>
      <c r="ALA240" s="90"/>
      <c r="ALB240" s="90"/>
      <c r="ALC240" s="90"/>
      <c r="ALD240" s="90"/>
      <c r="ALE240" s="90"/>
      <c r="ALF240" s="90"/>
      <c r="ALG240" s="90"/>
      <c r="ALH240" s="90"/>
      <c r="ALI240" s="90"/>
      <c r="ALJ240" s="90"/>
      <c r="ALK240" s="90"/>
      <c r="ALL240" s="90"/>
      <c r="ALM240" s="90"/>
      <c r="ALN240" s="90"/>
      <c r="ALO240" s="90"/>
      <c r="ALP240" s="90"/>
      <c r="ALQ240" s="90"/>
      <c r="ALR240" s="90"/>
      <c r="ALS240" s="90"/>
      <c r="ALT240" s="90"/>
      <c r="ALU240" s="90"/>
      <c r="ALV240" s="90"/>
      <c r="ALW240" s="90"/>
      <c r="ALX240" s="90"/>
      <c r="ALY240" s="90"/>
      <c r="ALZ240" s="90"/>
      <c r="AMA240" s="90"/>
      <c r="AMB240" s="90"/>
      <c r="AMC240" s="90"/>
    </row>
    <row r="241" spans="1:1017" s="100" customFormat="1">
      <c r="A241" s="100">
        <v>7</v>
      </c>
      <c r="B241" s="100" t="s">
        <v>66</v>
      </c>
      <c r="C241" s="100">
        <f t="shared" ref="C241:R241" si="1568">SUM(C242:C278)</f>
        <v>0</v>
      </c>
      <c r="D241" s="100">
        <f t="shared" si="1568"/>
        <v>0</v>
      </c>
      <c r="E241" s="100">
        <f t="shared" si="1568"/>
        <v>553320</v>
      </c>
      <c r="F241" s="100">
        <f t="shared" si="1568"/>
        <v>18713745.511999998</v>
      </c>
      <c r="G241" s="100">
        <f t="shared" si="1568"/>
        <v>0</v>
      </c>
      <c r="H241" s="100">
        <f t="shared" si="1568"/>
        <v>0</v>
      </c>
      <c r="I241" s="100">
        <f t="shared" si="1568"/>
        <v>59300</v>
      </c>
      <c r="J241" s="100">
        <f t="shared" si="1568"/>
        <v>1332400</v>
      </c>
      <c r="K241" s="100">
        <f t="shared" si="1568"/>
        <v>0</v>
      </c>
      <c r="L241" s="100">
        <f t="shared" si="1568"/>
        <v>0</v>
      </c>
      <c r="M241" s="100">
        <f t="shared" si="1568"/>
        <v>200</v>
      </c>
      <c r="N241" s="100">
        <f t="shared" si="1568"/>
        <v>4000</v>
      </c>
      <c r="O241" s="100">
        <f t="shared" si="1568"/>
        <v>0</v>
      </c>
      <c r="P241" s="100">
        <f t="shared" si="1568"/>
        <v>0</v>
      </c>
      <c r="Q241" s="728">
        <f t="shared" si="1568"/>
        <v>612820</v>
      </c>
      <c r="R241" s="728">
        <f t="shared" si="1568"/>
        <v>20050145.511999998</v>
      </c>
      <c r="S241" s="100">
        <f t="shared" ref="S241:CD241" si="1569">SUM(S242:S278)</f>
        <v>2615</v>
      </c>
      <c r="T241" s="100">
        <f t="shared" si="1569"/>
        <v>353825</v>
      </c>
      <c r="U241" s="100">
        <f t="shared" si="1569"/>
        <v>1671820</v>
      </c>
      <c r="V241" s="100">
        <f t="shared" si="1569"/>
        <v>91277925</v>
      </c>
      <c r="W241" s="100">
        <f t="shared" si="1569"/>
        <v>0</v>
      </c>
      <c r="X241" s="100">
        <f t="shared" si="1569"/>
        <v>0</v>
      </c>
      <c r="Y241" s="100">
        <f t="shared" si="1569"/>
        <v>895441</v>
      </c>
      <c r="Z241" s="100">
        <f t="shared" si="1569"/>
        <v>18230110</v>
      </c>
      <c r="AA241" s="100">
        <f t="shared" si="1569"/>
        <v>5670</v>
      </c>
      <c r="AB241" s="100">
        <f t="shared" si="1569"/>
        <v>155550</v>
      </c>
      <c r="AC241" s="100">
        <f t="shared" si="1569"/>
        <v>4985</v>
      </c>
      <c r="AD241" s="100">
        <f t="shared" si="1569"/>
        <v>136600</v>
      </c>
      <c r="AE241" s="100">
        <f t="shared" si="1569"/>
        <v>1615</v>
      </c>
      <c r="AF241" s="100">
        <f t="shared" si="1569"/>
        <v>37250</v>
      </c>
      <c r="AG241" s="728">
        <f t="shared" si="1569"/>
        <v>2582146</v>
      </c>
      <c r="AH241" s="728">
        <f t="shared" si="1569"/>
        <v>110191260</v>
      </c>
      <c r="AI241" s="100">
        <f t="shared" si="1569"/>
        <v>0</v>
      </c>
      <c r="AJ241" s="100">
        <f t="shared" si="1569"/>
        <v>0</v>
      </c>
      <c r="AK241" s="100">
        <f t="shared" si="1569"/>
        <v>37900</v>
      </c>
      <c r="AL241" s="100">
        <f t="shared" si="1569"/>
        <v>2463500</v>
      </c>
      <c r="AM241" s="100">
        <f t="shared" si="1569"/>
        <v>0</v>
      </c>
      <c r="AN241" s="100">
        <f t="shared" si="1569"/>
        <v>0</v>
      </c>
      <c r="AO241" s="100">
        <f t="shared" si="1569"/>
        <v>1448200</v>
      </c>
      <c r="AP241" s="100">
        <f t="shared" si="1569"/>
        <v>32260500</v>
      </c>
      <c r="AQ241" s="100">
        <f t="shared" si="1569"/>
        <v>170</v>
      </c>
      <c r="AR241" s="100">
        <f t="shared" si="1569"/>
        <v>4080</v>
      </c>
      <c r="AS241" s="100">
        <f t="shared" si="1569"/>
        <v>0</v>
      </c>
      <c r="AT241" s="100">
        <f t="shared" si="1569"/>
        <v>0</v>
      </c>
      <c r="AU241" s="100">
        <f t="shared" si="1569"/>
        <v>2190</v>
      </c>
      <c r="AV241" s="100">
        <f t="shared" si="1569"/>
        <v>52560</v>
      </c>
      <c r="AW241" s="728">
        <f t="shared" si="1569"/>
        <v>1488460</v>
      </c>
      <c r="AX241" s="728">
        <f t="shared" si="1569"/>
        <v>34780640</v>
      </c>
      <c r="AY241" s="100">
        <f t="shared" si="1569"/>
        <v>0</v>
      </c>
      <c r="AZ241" s="100">
        <f t="shared" si="1569"/>
        <v>0</v>
      </c>
      <c r="BA241" s="100">
        <f t="shared" si="1569"/>
        <v>0</v>
      </c>
      <c r="BB241" s="100">
        <f t="shared" si="1569"/>
        <v>0</v>
      </c>
      <c r="BC241" s="100">
        <f t="shared" si="1569"/>
        <v>0</v>
      </c>
      <c r="BD241" s="100">
        <f t="shared" si="1569"/>
        <v>0</v>
      </c>
      <c r="BE241" s="100">
        <f t="shared" si="1569"/>
        <v>330496</v>
      </c>
      <c r="BF241" s="100">
        <f t="shared" si="1569"/>
        <v>6763176</v>
      </c>
      <c r="BG241" s="100">
        <f t="shared" si="1569"/>
        <v>323</v>
      </c>
      <c r="BH241" s="100">
        <f t="shared" si="1569"/>
        <v>8075</v>
      </c>
      <c r="BI241" s="100">
        <f t="shared" si="1569"/>
        <v>0</v>
      </c>
      <c r="BJ241" s="100">
        <f t="shared" si="1569"/>
        <v>0</v>
      </c>
      <c r="BK241" s="100">
        <f t="shared" si="1569"/>
        <v>765</v>
      </c>
      <c r="BL241" s="100">
        <f t="shared" si="1569"/>
        <v>12645</v>
      </c>
      <c r="BM241" s="728">
        <f t="shared" si="1569"/>
        <v>331584</v>
      </c>
      <c r="BN241" s="728">
        <f t="shared" si="1569"/>
        <v>6783896</v>
      </c>
      <c r="BO241" s="100">
        <f t="shared" si="1569"/>
        <v>0</v>
      </c>
      <c r="BP241" s="100">
        <f t="shared" si="1569"/>
        <v>0</v>
      </c>
      <c r="BQ241" s="100">
        <f t="shared" si="1569"/>
        <v>0</v>
      </c>
      <c r="BR241" s="100">
        <f t="shared" si="1569"/>
        <v>0</v>
      </c>
      <c r="BS241" s="100">
        <f t="shared" si="1569"/>
        <v>0</v>
      </c>
      <c r="BT241" s="100">
        <f t="shared" si="1569"/>
        <v>0</v>
      </c>
      <c r="BU241" s="100">
        <f t="shared" si="1569"/>
        <v>67283</v>
      </c>
      <c r="BV241" s="100">
        <f t="shared" si="1569"/>
        <v>1442655</v>
      </c>
      <c r="BW241" s="100">
        <f t="shared" si="1569"/>
        <v>0</v>
      </c>
      <c r="BX241" s="100">
        <f t="shared" si="1569"/>
        <v>0</v>
      </c>
      <c r="BY241" s="100">
        <f t="shared" si="1569"/>
        <v>0</v>
      </c>
      <c r="BZ241" s="100">
        <f t="shared" si="1569"/>
        <v>0</v>
      </c>
      <c r="CA241" s="100">
        <f t="shared" si="1569"/>
        <v>0</v>
      </c>
      <c r="CB241" s="100">
        <f t="shared" si="1569"/>
        <v>0</v>
      </c>
      <c r="CC241" s="728">
        <f t="shared" si="1569"/>
        <v>67283</v>
      </c>
      <c r="CD241" s="728">
        <f t="shared" si="1569"/>
        <v>1442655</v>
      </c>
      <c r="CE241" s="100">
        <f t="shared" ref="CE241:EP241" si="1570">SUM(CE242:CE278)</f>
        <v>904887</v>
      </c>
      <c r="CF241" s="100">
        <f t="shared" si="1570"/>
        <v>3619548.0610000002</v>
      </c>
      <c r="CG241" s="100">
        <f t="shared" si="1570"/>
        <v>6480550.3427981902</v>
      </c>
      <c r="CH241" s="100">
        <f t="shared" si="1570"/>
        <v>188541655.63413945</v>
      </c>
      <c r="CI241" s="100">
        <f t="shared" si="1570"/>
        <v>0</v>
      </c>
      <c r="CJ241" s="100">
        <f t="shared" si="1570"/>
        <v>0</v>
      </c>
      <c r="CK241" s="100">
        <f t="shared" si="1570"/>
        <v>5181923</v>
      </c>
      <c r="CL241" s="100">
        <f t="shared" si="1570"/>
        <v>82867186.276409745</v>
      </c>
      <c r="CM241" s="100">
        <f t="shared" si="1570"/>
        <v>0</v>
      </c>
      <c r="CN241" s="100">
        <f t="shared" si="1570"/>
        <v>0</v>
      </c>
      <c r="CO241" s="100">
        <f t="shared" si="1570"/>
        <v>0</v>
      </c>
      <c r="CP241" s="100">
        <f t="shared" si="1570"/>
        <v>0</v>
      </c>
      <c r="CQ241" s="100">
        <f t="shared" si="1570"/>
        <v>0</v>
      </c>
      <c r="CR241" s="100">
        <f t="shared" si="1570"/>
        <v>0</v>
      </c>
      <c r="CS241" s="728">
        <f t="shared" si="1570"/>
        <v>12567360.34279819</v>
      </c>
      <c r="CT241" s="728">
        <f t="shared" si="1570"/>
        <v>275028389.97154921</v>
      </c>
      <c r="CU241" s="100">
        <f t="shared" si="1570"/>
        <v>0</v>
      </c>
      <c r="CV241" s="100">
        <f t="shared" si="1570"/>
        <v>0</v>
      </c>
      <c r="CW241" s="100">
        <f t="shared" si="1570"/>
        <v>450459.99965370266</v>
      </c>
      <c r="CX241" s="100">
        <f t="shared" si="1570"/>
        <v>29046450.995000001</v>
      </c>
      <c r="CY241" s="100">
        <f t="shared" si="1570"/>
        <v>0</v>
      </c>
      <c r="CZ241" s="100">
        <f t="shared" si="1570"/>
        <v>0</v>
      </c>
      <c r="DA241" s="100">
        <f t="shared" si="1570"/>
        <v>955080</v>
      </c>
      <c r="DB241" s="100">
        <f t="shared" si="1570"/>
        <v>21097020.001000002</v>
      </c>
      <c r="DC241" s="100">
        <f t="shared" si="1570"/>
        <v>1930.000366</v>
      </c>
      <c r="DD241" s="100">
        <f t="shared" si="1570"/>
        <v>44390.008999999998</v>
      </c>
      <c r="DE241" s="100">
        <f t="shared" si="1570"/>
        <v>0</v>
      </c>
      <c r="DF241" s="100">
        <f t="shared" si="1570"/>
        <v>0</v>
      </c>
      <c r="DG241" s="100">
        <f t="shared" si="1570"/>
        <v>0</v>
      </c>
      <c r="DH241" s="100">
        <f t="shared" si="1570"/>
        <v>0</v>
      </c>
      <c r="DI241" s="728">
        <f t="shared" si="1570"/>
        <v>1407470.0000197026</v>
      </c>
      <c r="DJ241" s="728">
        <f>SUM(DJ242:DJ278)</f>
        <v>50187861.004999995</v>
      </c>
      <c r="DK241" s="100">
        <f t="shared" si="1570"/>
        <v>0</v>
      </c>
      <c r="DL241" s="100">
        <f t="shared" si="1570"/>
        <v>0</v>
      </c>
      <c r="DM241" s="100">
        <f t="shared" si="1570"/>
        <v>0</v>
      </c>
      <c r="DN241" s="100">
        <f t="shared" si="1570"/>
        <v>0</v>
      </c>
      <c r="DO241" s="100">
        <f t="shared" si="1570"/>
        <v>0</v>
      </c>
      <c r="DP241" s="100">
        <f t="shared" si="1570"/>
        <v>0</v>
      </c>
      <c r="DQ241" s="100">
        <f t="shared" si="1570"/>
        <v>1242300</v>
      </c>
      <c r="DR241" s="100">
        <f t="shared" si="1570"/>
        <v>22275000</v>
      </c>
      <c r="DS241" s="100">
        <f t="shared" si="1570"/>
        <v>0</v>
      </c>
      <c r="DT241" s="100">
        <f t="shared" si="1570"/>
        <v>0</v>
      </c>
      <c r="DU241" s="100">
        <f t="shared" si="1570"/>
        <v>0</v>
      </c>
      <c r="DV241" s="100">
        <f t="shared" si="1570"/>
        <v>0</v>
      </c>
      <c r="DW241" s="100">
        <f t="shared" si="1570"/>
        <v>0</v>
      </c>
      <c r="DX241" s="100">
        <f t="shared" si="1570"/>
        <v>0</v>
      </c>
      <c r="DY241" s="728">
        <f t="shared" si="1570"/>
        <v>1242300</v>
      </c>
      <c r="DZ241" s="728">
        <f t="shared" si="1570"/>
        <v>22275000</v>
      </c>
      <c r="EA241" s="100">
        <f t="shared" si="1570"/>
        <v>0</v>
      </c>
      <c r="EB241" s="100">
        <f t="shared" si="1570"/>
        <v>0</v>
      </c>
      <c r="EC241" s="100">
        <f t="shared" si="1570"/>
        <v>0</v>
      </c>
      <c r="ED241" s="100">
        <f t="shared" si="1570"/>
        <v>0</v>
      </c>
      <c r="EE241" s="100">
        <f t="shared" si="1570"/>
        <v>0</v>
      </c>
      <c r="EF241" s="100">
        <f t="shared" si="1570"/>
        <v>0</v>
      </c>
      <c r="EG241" s="100">
        <f t="shared" si="1570"/>
        <v>2040430</v>
      </c>
      <c r="EH241" s="100">
        <f t="shared" si="1570"/>
        <v>38336050</v>
      </c>
      <c r="EI241" s="100">
        <f t="shared" si="1570"/>
        <v>0</v>
      </c>
      <c r="EJ241" s="100">
        <f t="shared" si="1570"/>
        <v>0</v>
      </c>
      <c r="EK241" s="100">
        <f t="shared" si="1570"/>
        <v>0</v>
      </c>
      <c r="EL241" s="100">
        <f t="shared" si="1570"/>
        <v>0</v>
      </c>
      <c r="EM241" s="100">
        <f t="shared" si="1570"/>
        <v>0</v>
      </c>
      <c r="EN241" s="100">
        <f t="shared" si="1570"/>
        <v>0</v>
      </c>
      <c r="EO241" s="728">
        <f t="shared" si="1570"/>
        <v>2040430</v>
      </c>
      <c r="EP241" s="728">
        <f t="shared" si="1570"/>
        <v>38336050</v>
      </c>
      <c r="EQ241" s="100">
        <f t="shared" ref="EQ241:HB241" si="1571">SUM(EQ242:EQ278)</f>
        <v>0</v>
      </c>
      <c r="ER241" s="100">
        <f t="shared" si="1571"/>
        <v>0</v>
      </c>
      <c r="ES241" s="100">
        <f t="shared" si="1571"/>
        <v>331642</v>
      </c>
      <c r="ET241" s="100">
        <f t="shared" si="1571"/>
        <v>18832540</v>
      </c>
      <c r="EU241" s="100">
        <f t="shared" si="1571"/>
        <v>0</v>
      </c>
      <c r="EV241" s="100">
        <f t="shared" si="1571"/>
        <v>0</v>
      </c>
      <c r="EW241" s="100">
        <f t="shared" si="1571"/>
        <v>1294108</v>
      </c>
      <c r="EX241" s="100">
        <f t="shared" si="1571"/>
        <v>34248085</v>
      </c>
      <c r="EY241" s="100">
        <f t="shared" si="1571"/>
        <v>0</v>
      </c>
      <c r="EZ241" s="100">
        <f t="shared" si="1571"/>
        <v>0</v>
      </c>
      <c r="FA241" s="100">
        <f t="shared" si="1571"/>
        <v>5552</v>
      </c>
      <c r="FB241" s="100">
        <f t="shared" si="1571"/>
        <v>94384</v>
      </c>
      <c r="FC241" s="100">
        <f t="shared" si="1571"/>
        <v>599</v>
      </c>
      <c r="FD241" s="100">
        <f t="shared" si="1571"/>
        <v>11980</v>
      </c>
      <c r="FE241" s="728">
        <f t="shared" si="1571"/>
        <v>1631901</v>
      </c>
      <c r="FF241" s="728">
        <f t="shared" si="1571"/>
        <v>53186989</v>
      </c>
      <c r="FG241" s="100">
        <f t="shared" si="1571"/>
        <v>0</v>
      </c>
      <c r="FH241" s="100">
        <f t="shared" si="1571"/>
        <v>0</v>
      </c>
      <c r="FI241" s="100">
        <f t="shared" si="1571"/>
        <v>117000</v>
      </c>
      <c r="FJ241" s="100">
        <f t="shared" si="1571"/>
        <v>7020000</v>
      </c>
      <c r="FK241" s="100">
        <f t="shared" si="1571"/>
        <v>0</v>
      </c>
      <c r="FL241" s="100">
        <f t="shared" si="1571"/>
        <v>0</v>
      </c>
      <c r="FM241" s="100">
        <f t="shared" si="1571"/>
        <v>225071</v>
      </c>
      <c r="FN241" s="100">
        <f t="shared" si="1571"/>
        <v>5612381</v>
      </c>
      <c r="FO241" s="100">
        <f t="shared" si="1571"/>
        <v>0</v>
      </c>
      <c r="FP241" s="100">
        <f t="shared" si="1571"/>
        <v>0</v>
      </c>
      <c r="FQ241" s="100">
        <f t="shared" si="1571"/>
        <v>0</v>
      </c>
      <c r="FR241" s="100">
        <f t="shared" si="1571"/>
        <v>0</v>
      </c>
      <c r="FS241" s="100">
        <f t="shared" si="1571"/>
        <v>63360</v>
      </c>
      <c r="FT241" s="100">
        <f t="shared" si="1571"/>
        <v>1774080</v>
      </c>
      <c r="FU241" s="728">
        <f t="shared" si="1571"/>
        <v>405431</v>
      </c>
      <c r="FV241" s="728">
        <f>SUM(FV242:FV278)</f>
        <v>14406461</v>
      </c>
      <c r="FW241" s="100">
        <f t="shared" si="1571"/>
        <v>0</v>
      </c>
      <c r="FX241" s="100">
        <f t="shared" si="1571"/>
        <v>0</v>
      </c>
      <c r="FY241" s="100">
        <f t="shared" si="1571"/>
        <v>0</v>
      </c>
      <c r="FZ241" s="100">
        <f t="shared" si="1571"/>
        <v>0</v>
      </c>
      <c r="GA241" s="100">
        <f t="shared" si="1571"/>
        <v>0</v>
      </c>
      <c r="GB241" s="100">
        <f t="shared" si="1571"/>
        <v>0</v>
      </c>
      <c r="GC241" s="100">
        <f t="shared" si="1571"/>
        <v>287550</v>
      </c>
      <c r="GD241" s="100">
        <f t="shared" si="1571"/>
        <v>5767625</v>
      </c>
      <c r="GE241" s="100">
        <f t="shared" si="1571"/>
        <v>0</v>
      </c>
      <c r="GF241" s="100">
        <f t="shared" si="1571"/>
        <v>0</v>
      </c>
      <c r="GG241" s="100">
        <f t="shared" si="1571"/>
        <v>0</v>
      </c>
      <c r="GH241" s="100">
        <f t="shared" si="1571"/>
        <v>0</v>
      </c>
      <c r="GI241" s="100">
        <f t="shared" si="1571"/>
        <v>0</v>
      </c>
      <c r="GJ241" s="100">
        <f t="shared" si="1571"/>
        <v>0</v>
      </c>
      <c r="GK241" s="728">
        <f t="shared" si="1571"/>
        <v>287550</v>
      </c>
      <c r="GL241" s="728">
        <f t="shared" si="1571"/>
        <v>5767625</v>
      </c>
      <c r="GM241" s="100">
        <f t="shared" si="1571"/>
        <v>0</v>
      </c>
      <c r="GN241" s="100">
        <f t="shared" si="1571"/>
        <v>0</v>
      </c>
      <c r="GO241" s="100">
        <f t="shared" si="1571"/>
        <v>0</v>
      </c>
      <c r="GP241" s="100">
        <f t="shared" si="1571"/>
        <v>0</v>
      </c>
      <c r="GQ241" s="100">
        <f t="shared" si="1571"/>
        <v>0</v>
      </c>
      <c r="GR241" s="100">
        <f t="shared" si="1571"/>
        <v>0</v>
      </c>
      <c r="GS241" s="100">
        <f t="shared" si="1571"/>
        <v>148100</v>
      </c>
      <c r="GT241" s="100">
        <f t="shared" si="1571"/>
        <v>2873900</v>
      </c>
      <c r="GU241" s="100">
        <f t="shared" si="1571"/>
        <v>0</v>
      </c>
      <c r="GV241" s="100">
        <f t="shared" si="1571"/>
        <v>0</v>
      </c>
      <c r="GW241" s="100">
        <f t="shared" si="1571"/>
        <v>0</v>
      </c>
      <c r="GX241" s="100">
        <f t="shared" si="1571"/>
        <v>0</v>
      </c>
      <c r="GY241" s="100">
        <f t="shared" si="1571"/>
        <v>110</v>
      </c>
      <c r="GZ241" s="100">
        <f t="shared" si="1571"/>
        <v>3150</v>
      </c>
      <c r="HA241" s="728">
        <f t="shared" si="1571"/>
        <v>148210</v>
      </c>
      <c r="HB241" s="728">
        <f t="shared" si="1571"/>
        <v>2877050</v>
      </c>
      <c r="HC241" s="100">
        <f t="shared" ref="HC241:JN241" si="1572">SUM(HC242:HC278)</f>
        <v>0</v>
      </c>
      <c r="HD241" s="100">
        <f t="shared" si="1572"/>
        <v>0</v>
      </c>
      <c r="HE241" s="100">
        <f t="shared" si="1572"/>
        <v>85000</v>
      </c>
      <c r="HF241" s="100">
        <f t="shared" si="1572"/>
        <v>5950000</v>
      </c>
      <c r="HG241" s="100">
        <f t="shared" si="1572"/>
        <v>0</v>
      </c>
      <c r="HH241" s="100">
        <f t="shared" si="1572"/>
        <v>0</v>
      </c>
      <c r="HI241" s="100">
        <f t="shared" si="1572"/>
        <v>509500</v>
      </c>
      <c r="HJ241" s="100">
        <f t="shared" si="1572"/>
        <v>9310000</v>
      </c>
      <c r="HK241" s="100">
        <f t="shared" si="1572"/>
        <v>0</v>
      </c>
      <c r="HL241" s="100">
        <f t="shared" si="1572"/>
        <v>0</v>
      </c>
      <c r="HM241" s="100">
        <f t="shared" si="1572"/>
        <v>0</v>
      </c>
      <c r="HN241" s="100">
        <f t="shared" si="1572"/>
        <v>0</v>
      </c>
      <c r="HO241" s="100">
        <f t="shared" si="1572"/>
        <v>100000</v>
      </c>
      <c r="HP241" s="100">
        <f t="shared" si="1572"/>
        <v>2000000</v>
      </c>
      <c r="HQ241" s="728">
        <f t="shared" si="1572"/>
        <v>694500</v>
      </c>
      <c r="HR241" s="728">
        <f t="shared" si="1572"/>
        <v>17260000</v>
      </c>
      <c r="HS241" s="100">
        <f t="shared" si="1572"/>
        <v>0</v>
      </c>
      <c r="HT241" s="100">
        <f t="shared" si="1572"/>
        <v>0</v>
      </c>
      <c r="HU241" s="100">
        <f t="shared" si="1572"/>
        <v>0</v>
      </c>
      <c r="HV241" s="100">
        <f t="shared" si="1572"/>
        <v>0</v>
      </c>
      <c r="HW241" s="100">
        <f t="shared" si="1572"/>
        <v>0</v>
      </c>
      <c r="HX241" s="100">
        <f t="shared" si="1572"/>
        <v>0</v>
      </c>
      <c r="HY241" s="100">
        <f t="shared" si="1572"/>
        <v>149073</v>
      </c>
      <c r="HZ241" s="100">
        <f t="shared" si="1572"/>
        <v>2833614</v>
      </c>
      <c r="IA241" s="100">
        <f t="shared" si="1572"/>
        <v>0</v>
      </c>
      <c r="IB241" s="100">
        <f t="shared" si="1572"/>
        <v>0</v>
      </c>
      <c r="IC241" s="100">
        <f t="shared" si="1572"/>
        <v>0</v>
      </c>
      <c r="ID241" s="100">
        <f t="shared" si="1572"/>
        <v>0</v>
      </c>
      <c r="IE241" s="100">
        <f t="shared" si="1572"/>
        <v>0</v>
      </c>
      <c r="IF241" s="100">
        <f t="shared" si="1572"/>
        <v>0</v>
      </c>
      <c r="IG241" s="728">
        <f t="shared" si="1572"/>
        <v>149073</v>
      </c>
      <c r="IH241" s="728">
        <f t="shared" si="1572"/>
        <v>2833614</v>
      </c>
      <c r="II241" s="100">
        <f t="shared" si="1572"/>
        <v>0</v>
      </c>
      <c r="IJ241" s="100">
        <f t="shared" si="1572"/>
        <v>0</v>
      </c>
      <c r="IK241" s="100">
        <f t="shared" si="1572"/>
        <v>0</v>
      </c>
      <c r="IL241" s="100">
        <f t="shared" si="1572"/>
        <v>0</v>
      </c>
      <c r="IM241" s="100">
        <f t="shared" si="1572"/>
        <v>0</v>
      </c>
      <c r="IN241" s="100">
        <f t="shared" si="1572"/>
        <v>0</v>
      </c>
      <c r="IO241" s="96">
        <f t="shared" si="1572"/>
        <v>876000</v>
      </c>
      <c r="IP241" s="96">
        <f t="shared" si="1572"/>
        <v>17018225</v>
      </c>
      <c r="IQ241" s="100">
        <f t="shared" si="1572"/>
        <v>0</v>
      </c>
      <c r="IR241" s="100">
        <f t="shared" si="1572"/>
        <v>0</v>
      </c>
      <c r="IS241" s="100">
        <f t="shared" si="1572"/>
        <v>0</v>
      </c>
      <c r="IT241" s="100">
        <f t="shared" si="1572"/>
        <v>0</v>
      </c>
      <c r="IU241" s="100">
        <f t="shared" si="1572"/>
        <v>0</v>
      </c>
      <c r="IV241" s="100">
        <f t="shared" si="1572"/>
        <v>0</v>
      </c>
      <c r="IW241" s="728">
        <f t="shared" si="1572"/>
        <v>876000</v>
      </c>
      <c r="IX241" s="728">
        <f t="shared" si="1572"/>
        <v>17018225</v>
      </c>
      <c r="IY241" s="100">
        <f t="shared" si="1572"/>
        <v>0</v>
      </c>
      <c r="IZ241" s="100">
        <f t="shared" si="1572"/>
        <v>0</v>
      </c>
      <c r="JA241" s="100">
        <f t="shared" si="1572"/>
        <v>0</v>
      </c>
      <c r="JB241" s="100">
        <f t="shared" si="1572"/>
        <v>0</v>
      </c>
      <c r="JC241" s="100">
        <f t="shared" si="1572"/>
        <v>0</v>
      </c>
      <c r="JD241" s="100">
        <f t="shared" si="1572"/>
        <v>0</v>
      </c>
      <c r="JE241" s="100">
        <f t="shared" si="1572"/>
        <v>372655</v>
      </c>
      <c r="JF241" s="100">
        <f t="shared" si="1572"/>
        <v>7079940</v>
      </c>
      <c r="JG241" s="100">
        <f t="shared" si="1572"/>
        <v>0</v>
      </c>
      <c r="JH241" s="100">
        <f t="shared" si="1572"/>
        <v>0</v>
      </c>
      <c r="JI241" s="100">
        <f t="shared" si="1572"/>
        <v>0</v>
      </c>
      <c r="JJ241" s="100">
        <f t="shared" si="1572"/>
        <v>0</v>
      </c>
      <c r="JK241" s="100">
        <f t="shared" si="1572"/>
        <v>9500</v>
      </c>
      <c r="JL241" s="100">
        <f t="shared" si="1572"/>
        <v>180200</v>
      </c>
      <c r="JM241" s="728">
        <f t="shared" si="1572"/>
        <v>382155</v>
      </c>
      <c r="JN241" s="728">
        <f t="shared" si="1572"/>
        <v>7260140</v>
      </c>
      <c r="JO241" s="100">
        <f t="shared" ref="JO241:LZ241" si="1573">SUM(JO242:JO278)</f>
        <v>0</v>
      </c>
      <c r="JP241" s="100">
        <f t="shared" si="1573"/>
        <v>0</v>
      </c>
      <c r="JQ241" s="100">
        <f t="shared" si="1573"/>
        <v>141041</v>
      </c>
      <c r="JR241" s="100">
        <f t="shared" si="1573"/>
        <v>11283280</v>
      </c>
      <c r="JS241" s="100">
        <f t="shared" si="1573"/>
        <v>0</v>
      </c>
      <c r="JT241" s="100">
        <f t="shared" si="1573"/>
        <v>0</v>
      </c>
      <c r="JU241" s="100">
        <f t="shared" si="1573"/>
        <v>76840</v>
      </c>
      <c r="JV241" s="100">
        <f t="shared" si="1573"/>
        <v>1981652</v>
      </c>
      <c r="JW241" s="100">
        <f t="shared" si="1573"/>
        <v>0</v>
      </c>
      <c r="JX241" s="100">
        <f t="shared" si="1573"/>
        <v>0</v>
      </c>
      <c r="JY241" s="100">
        <f t="shared" si="1573"/>
        <v>0</v>
      </c>
      <c r="JZ241" s="100">
        <f t="shared" si="1573"/>
        <v>0</v>
      </c>
      <c r="KA241" s="100">
        <f t="shared" si="1573"/>
        <v>0</v>
      </c>
      <c r="KB241" s="100">
        <f t="shared" si="1573"/>
        <v>0</v>
      </c>
      <c r="KC241" s="728">
        <f t="shared" si="1573"/>
        <v>217881</v>
      </c>
      <c r="KD241" s="728">
        <f t="shared" si="1573"/>
        <v>13264932</v>
      </c>
      <c r="KE241" s="100">
        <f t="shared" si="1573"/>
        <v>0</v>
      </c>
      <c r="KF241" s="100">
        <f t="shared" si="1573"/>
        <v>0</v>
      </c>
      <c r="KG241" s="100">
        <f t="shared" si="1573"/>
        <v>57753</v>
      </c>
      <c r="KH241" s="100">
        <f t="shared" si="1573"/>
        <v>4326750</v>
      </c>
      <c r="KI241" s="100">
        <f t="shared" si="1573"/>
        <v>0</v>
      </c>
      <c r="KJ241" s="100">
        <f t="shared" si="1573"/>
        <v>0</v>
      </c>
      <c r="KK241" s="100">
        <f t="shared" si="1573"/>
        <v>58954</v>
      </c>
      <c r="KL241" s="100">
        <f t="shared" si="1573"/>
        <v>1183860</v>
      </c>
      <c r="KM241" s="100">
        <f t="shared" si="1573"/>
        <v>0</v>
      </c>
      <c r="KN241" s="100">
        <f t="shared" si="1573"/>
        <v>0</v>
      </c>
      <c r="KO241" s="100">
        <f t="shared" si="1573"/>
        <v>0</v>
      </c>
      <c r="KP241" s="100">
        <f t="shared" si="1573"/>
        <v>0</v>
      </c>
      <c r="KQ241" s="100">
        <f t="shared" si="1573"/>
        <v>0</v>
      </c>
      <c r="KR241" s="100">
        <f t="shared" si="1573"/>
        <v>0</v>
      </c>
      <c r="KS241" s="728">
        <f t="shared" si="1573"/>
        <v>116707</v>
      </c>
      <c r="KT241" s="728">
        <f t="shared" si="1573"/>
        <v>5510610</v>
      </c>
      <c r="KU241" s="100">
        <f t="shared" si="1573"/>
        <v>0</v>
      </c>
      <c r="KV241" s="100">
        <f t="shared" si="1573"/>
        <v>0</v>
      </c>
      <c r="KW241" s="100">
        <f t="shared" si="1573"/>
        <v>783184.93</v>
      </c>
      <c r="KX241" s="100">
        <f t="shared" si="1573"/>
        <v>7933695</v>
      </c>
      <c r="KY241" s="100">
        <f t="shared" si="1573"/>
        <v>0</v>
      </c>
      <c r="KZ241" s="100">
        <f t="shared" si="1573"/>
        <v>0</v>
      </c>
      <c r="LA241" s="100">
        <f t="shared" si="1573"/>
        <v>1344432.4700000002</v>
      </c>
      <c r="LB241" s="100">
        <f t="shared" si="1573"/>
        <v>24381022</v>
      </c>
      <c r="LC241" s="100">
        <f t="shared" si="1573"/>
        <v>0</v>
      </c>
      <c r="LD241" s="100">
        <f t="shared" si="1573"/>
        <v>0</v>
      </c>
      <c r="LE241" s="100">
        <f t="shared" si="1573"/>
        <v>0</v>
      </c>
      <c r="LF241" s="100">
        <f t="shared" si="1573"/>
        <v>0</v>
      </c>
      <c r="LG241" s="100">
        <f t="shared" si="1573"/>
        <v>11317.01</v>
      </c>
      <c r="LH241" s="100">
        <f t="shared" si="1573"/>
        <v>264452</v>
      </c>
      <c r="LI241" s="728">
        <f t="shared" si="1573"/>
        <v>2138934.4099999997</v>
      </c>
      <c r="LJ241" s="728">
        <f t="shared" si="1573"/>
        <v>32579169</v>
      </c>
      <c r="LK241" s="100">
        <f t="shared" si="1573"/>
        <v>0</v>
      </c>
      <c r="LL241" s="100">
        <f t="shared" si="1573"/>
        <v>0</v>
      </c>
      <c r="LM241" s="100">
        <f t="shared" si="1573"/>
        <v>0</v>
      </c>
      <c r="LN241" s="100">
        <f t="shared" si="1573"/>
        <v>0</v>
      </c>
      <c r="LO241" s="100">
        <f t="shared" si="1573"/>
        <v>0</v>
      </c>
      <c r="LP241" s="100">
        <f t="shared" si="1573"/>
        <v>0</v>
      </c>
      <c r="LQ241" s="100">
        <f t="shared" si="1573"/>
        <v>177222</v>
      </c>
      <c r="LR241" s="100">
        <f t="shared" si="1573"/>
        <v>3680806</v>
      </c>
      <c r="LS241" s="100">
        <f t="shared" si="1573"/>
        <v>0</v>
      </c>
      <c r="LT241" s="100">
        <f t="shared" si="1573"/>
        <v>0</v>
      </c>
      <c r="LU241" s="100">
        <f t="shared" si="1573"/>
        <v>0</v>
      </c>
      <c r="LV241" s="100">
        <f t="shared" si="1573"/>
        <v>0</v>
      </c>
      <c r="LW241" s="100">
        <f t="shared" si="1573"/>
        <v>905</v>
      </c>
      <c r="LX241" s="100">
        <f t="shared" si="1573"/>
        <v>28960</v>
      </c>
      <c r="LY241" s="728">
        <f t="shared" si="1573"/>
        <v>178127</v>
      </c>
      <c r="LZ241" s="728">
        <f t="shared" si="1573"/>
        <v>3709766</v>
      </c>
      <c r="MA241" s="100">
        <f t="shared" ref="MA241:OL241" si="1574">SUM(MA242:MA278)</f>
        <v>31800</v>
      </c>
      <c r="MB241" s="100">
        <f t="shared" si="1574"/>
        <v>2703000</v>
      </c>
      <c r="MC241" s="100">
        <f t="shared" si="1574"/>
        <v>1447338</v>
      </c>
      <c r="MD241" s="100">
        <f t="shared" si="1574"/>
        <v>71196100</v>
      </c>
      <c r="ME241" s="100">
        <f t="shared" si="1574"/>
        <v>0</v>
      </c>
      <c r="MF241" s="100">
        <f t="shared" si="1574"/>
        <v>0</v>
      </c>
      <c r="MG241" s="100">
        <f t="shared" si="1574"/>
        <v>44990</v>
      </c>
      <c r="MH241" s="100">
        <f t="shared" si="1574"/>
        <v>832175</v>
      </c>
      <c r="MI241" s="100">
        <f t="shared" si="1574"/>
        <v>0</v>
      </c>
      <c r="MJ241" s="100">
        <f t="shared" si="1574"/>
        <v>0</v>
      </c>
      <c r="MK241" s="100">
        <f t="shared" si="1574"/>
        <v>0</v>
      </c>
      <c r="ML241" s="100">
        <f t="shared" si="1574"/>
        <v>0</v>
      </c>
      <c r="MM241" s="100">
        <f t="shared" si="1574"/>
        <v>810</v>
      </c>
      <c r="MN241" s="100">
        <f t="shared" si="1574"/>
        <v>14580.000000000002</v>
      </c>
      <c r="MO241" s="728">
        <f t="shared" si="1574"/>
        <v>1524938</v>
      </c>
      <c r="MP241" s="728">
        <f t="shared" si="1574"/>
        <v>74745855</v>
      </c>
      <c r="MQ241" s="100">
        <f t="shared" si="1574"/>
        <v>0</v>
      </c>
      <c r="MR241" s="100">
        <f t="shared" si="1574"/>
        <v>0</v>
      </c>
      <c r="MS241" s="100">
        <f t="shared" si="1574"/>
        <v>36600</v>
      </c>
      <c r="MT241" s="100">
        <f t="shared" si="1574"/>
        <v>1432800</v>
      </c>
      <c r="MU241" s="100">
        <f t="shared" si="1574"/>
        <v>0</v>
      </c>
      <c r="MV241" s="100">
        <f t="shared" si="1574"/>
        <v>0</v>
      </c>
      <c r="MW241" s="100">
        <f t="shared" si="1574"/>
        <v>17500</v>
      </c>
      <c r="MX241" s="100">
        <f t="shared" si="1574"/>
        <v>402500</v>
      </c>
      <c r="MY241" s="100">
        <f t="shared" si="1574"/>
        <v>0</v>
      </c>
      <c r="MZ241" s="100">
        <f t="shared" si="1574"/>
        <v>0</v>
      </c>
      <c r="NA241" s="100">
        <f t="shared" si="1574"/>
        <v>0</v>
      </c>
      <c r="NB241" s="100">
        <f t="shared" si="1574"/>
        <v>0</v>
      </c>
      <c r="NC241" s="100">
        <f t="shared" si="1574"/>
        <v>0</v>
      </c>
      <c r="ND241" s="100">
        <f t="shared" si="1574"/>
        <v>0</v>
      </c>
      <c r="NE241" s="728">
        <f t="shared" si="1574"/>
        <v>54100</v>
      </c>
      <c r="NF241" s="728">
        <f t="shared" si="1574"/>
        <v>1835300</v>
      </c>
      <c r="NG241" s="100">
        <f t="shared" si="1574"/>
        <v>0</v>
      </c>
      <c r="NH241" s="100">
        <f t="shared" si="1574"/>
        <v>0</v>
      </c>
      <c r="NI241" s="100">
        <f t="shared" si="1574"/>
        <v>6811700</v>
      </c>
      <c r="NJ241" s="100">
        <f t="shared" si="1574"/>
        <v>151307110</v>
      </c>
      <c r="NK241" s="100">
        <f t="shared" si="1574"/>
        <v>0</v>
      </c>
      <c r="NL241" s="100">
        <f t="shared" si="1574"/>
        <v>0</v>
      </c>
      <c r="NM241" s="100">
        <f t="shared" si="1574"/>
        <v>1765200</v>
      </c>
      <c r="NN241" s="100">
        <f t="shared" si="1574"/>
        <v>28463200</v>
      </c>
      <c r="NO241" s="100">
        <f t="shared" si="1574"/>
        <v>0</v>
      </c>
      <c r="NP241" s="100">
        <f t="shared" si="1574"/>
        <v>0</v>
      </c>
      <c r="NQ241" s="100">
        <f t="shared" si="1574"/>
        <v>20600</v>
      </c>
      <c r="NR241" s="100">
        <f t="shared" si="1574"/>
        <v>373000</v>
      </c>
      <c r="NS241" s="100">
        <f t="shared" si="1574"/>
        <v>0</v>
      </c>
      <c r="NT241" s="100">
        <f t="shared" si="1574"/>
        <v>0</v>
      </c>
      <c r="NU241" s="728">
        <f t="shared" si="1574"/>
        <v>8597500</v>
      </c>
      <c r="NV241" s="728">
        <f t="shared" si="1574"/>
        <v>180143310</v>
      </c>
      <c r="NW241" s="100">
        <f t="shared" si="1574"/>
        <v>4290</v>
      </c>
      <c r="NX241" s="100">
        <f t="shared" si="1574"/>
        <v>190000</v>
      </c>
      <c r="NY241" s="100">
        <f t="shared" si="1574"/>
        <v>923918</v>
      </c>
      <c r="NZ241" s="100">
        <f t="shared" si="1574"/>
        <v>46086955</v>
      </c>
      <c r="OA241" s="100">
        <f t="shared" si="1574"/>
        <v>0</v>
      </c>
      <c r="OB241" s="100">
        <f t="shared" si="1574"/>
        <v>0</v>
      </c>
      <c r="OC241" s="100">
        <f t="shared" si="1574"/>
        <v>44353</v>
      </c>
      <c r="OD241" s="100">
        <f t="shared" si="1574"/>
        <v>846907</v>
      </c>
      <c r="OE241" s="100">
        <f t="shared" si="1574"/>
        <v>0</v>
      </c>
      <c r="OF241" s="100">
        <f t="shared" si="1574"/>
        <v>0</v>
      </c>
      <c r="OG241" s="100">
        <f t="shared" si="1574"/>
        <v>0</v>
      </c>
      <c r="OH241" s="100">
        <f t="shared" si="1574"/>
        <v>0</v>
      </c>
      <c r="OI241" s="100">
        <f t="shared" si="1574"/>
        <v>0</v>
      </c>
      <c r="OJ241" s="100">
        <f t="shared" si="1574"/>
        <v>0</v>
      </c>
      <c r="OK241" s="728">
        <f t="shared" si="1574"/>
        <v>972561</v>
      </c>
      <c r="OL241" s="728">
        <f t="shared" si="1574"/>
        <v>47123862</v>
      </c>
      <c r="OM241" s="100">
        <f t="shared" ref="OM241:QX241" si="1575">SUM(OM242:OM278)</f>
        <v>73975764</v>
      </c>
      <c r="ON241" s="100">
        <f t="shared" si="1575"/>
        <v>386154450</v>
      </c>
      <c r="OO241" s="100">
        <f>SUM(OO242:OO278)</f>
        <v>900953</v>
      </c>
      <c r="OP241" s="100">
        <f>SUM(OP242:OP278)</f>
        <v>55108573</v>
      </c>
      <c r="OQ241" s="100">
        <f t="shared" si="1575"/>
        <v>0</v>
      </c>
      <c r="OR241" s="100">
        <f t="shared" si="1575"/>
        <v>0</v>
      </c>
      <c r="OS241" s="100">
        <f t="shared" si="1575"/>
        <v>700186.7</v>
      </c>
      <c r="OT241" s="100">
        <f t="shared" si="1575"/>
        <v>5211269.7</v>
      </c>
      <c r="OU241" s="100">
        <f t="shared" si="1575"/>
        <v>0</v>
      </c>
      <c r="OV241" s="100">
        <f t="shared" si="1575"/>
        <v>0</v>
      </c>
      <c r="OW241" s="100">
        <f t="shared" si="1575"/>
        <v>0</v>
      </c>
      <c r="OX241" s="100">
        <f t="shared" si="1575"/>
        <v>0</v>
      </c>
      <c r="OY241" s="100">
        <f t="shared" si="1575"/>
        <v>0</v>
      </c>
      <c r="OZ241" s="100">
        <f t="shared" si="1575"/>
        <v>0</v>
      </c>
      <c r="PA241" s="728">
        <f t="shared" si="1575"/>
        <v>75576903.700000003</v>
      </c>
      <c r="PB241" s="728">
        <f t="shared" si="1575"/>
        <v>446474292.69999999</v>
      </c>
      <c r="PC241" s="100">
        <f t="shared" si="1575"/>
        <v>72</v>
      </c>
      <c r="PD241" s="100">
        <f t="shared" si="1575"/>
        <v>3240</v>
      </c>
      <c r="PE241" s="100">
        <f t="shared" si="1575"/>
        <v>17626</v>
      </c>
      <c r="PF241" s="100">
        <f t="shared" si="1575"/>
        <v>1145690</v>
      </c>
      <c r="PG241" s="100">
        <f t="shared" si="1575"/>
        <v>0</v>
      </c>
      <c r="PH241" s="100">
        <f t="shared" si="1575"/>
        <v>0</v>
      </c>
      <c r="PI241" s="100">
        <f t="shared" si="1575"/>
        <v>413077</v>
      </c>
      <c r="PJ241" s="100">
        <f t="shared" si="1575"/>
        <v>7386212</v>
      </c>
      <c r="PK241" s="100">
        <f t="shared" si="1575"/>
        <v>0</v>
      </c>
      <c r="PL241" s="100">
        <f t="shared" si="1575"/>
        <v>0</v>
      </c>
      <c r="PM241" s="100">
        <f t="shared" si="1575"/>
        <v>0</v>
      </c>
      <c r="PN241" s="100">
        <f t="shared" si="1575"/>
        <v>0</v>
      </c>
      <c r="PO241" s="100">
        <f t="shared" si="1575"/>
        <v>0</v>
      </c>
      <c r="PP241" s="100">
        <f t="shared" si="1575"/>
        <v>0</v>
      </c>
      <c r="PQ241" s="728">
        <f t="shared" si="1575"/>
        <v>430775</v>
      </c>
      <c r="PR241" s="728">
        <f t="shared" si="1575"/>
        <v>8535142</v>
      </c>
      <c r="PS241" s="100">
        <f t="shared" si="1575"/>
        <v>0</v>
      </c>
      <c r="PT241" s="100">
        <f t="shared" si="1575"/>
        <v>0</v>
      </c>
      <c r="PU241" s="100">
        <f t="shared" si="1575"/>
        <v>1055660</v>
      </c>
      <c r="PV241" s="100">
        <f t="shared" si="1575"/>
        <v>44351110</v>
      </c>
      <c r="PW241" s="100">
        <f t="shared" si="1575"/>
        <v>0</v>
      </c>
      <c r="PX241" s="100">
        <f t="shared" si="1575"/>
        <v>0</v>
      </c>
      <c r="PY241" s="100">
        <f t="shared" si="1575"/>
        <v>791750</v>
      </c>
      <c r="PZ241" s="100">
        <f t="shared" si="1575"/>
        <v>14325365</v>
      </c>
      <c r="QA241" s="100">
        <f t="shared" si="1575"/>
        <v>527830</v>
      </c>
      <c r="QB241" s="100">
        <f t="shared" si="1575"/>
        <v>13305600</v>
      </c>
      <c r="QC241" s="100">
        <f t="shared" si="1575"/>
        <v>263930</v>
      </c>
      <c r="QD241" s="100">
        <f t="shared" si="1575"/>
        <v>4752665</v>
      </c>
      <c r="QE241" s="100">
        <f t="shared" si="1575"/>
        <v>0</v>
      </c>
      <c r="QF241" s="100">
        <f t="shared" si="1575"/>
        <v>0</v>
      </c>
      <c r="QG241" s="728">
        <f t="shared" si="1575"/>
        <v>2639170</v>
      </c>
      <c r="QH241" s="728">
        <f t="shared" si="1575"/>
        <v>76734740</v>
      </c>
      <c r="QI241" s="100">
        <f t="shared" si="1575"/>
        <v>0</v>
      </c>
      <c r="QJ241" s="100">
        <f t="shared" si="1575"/>
        <v>0</v>
      </c>
      <c r="QK241" s="100">
        <f t="shared" si="1575"/>
        <v>0</v>
      </c>
      <c r="QL241" s="100">
        <f t="shared" si="1575"/>
        <v>0</v>
      </c>
      <c r="QM241" s="100">
        <f t="shared" si="1575"/>
        <v>0</v>
      </c>
      <c r="QN241" s="100">
        <f t="shared" si="1575"/>
        <v>0</v>
      </c>
      <c r="QO241" s="100">
        <f t="shared" si="1575"/>
        <v>4569500</v>
      </c>
      <c r="QP241" s="100">
        <f t="shared" si="1575"/>
        <v>96257500</v>
      </c>
      <c r="QQ241" s="100">
        <f t="shared" si="1575"/>
        <v>0</v>
      </c>
      <c r="QR241" s="100">
        <f t="shared" si="1575"/>
        <v>0</v>
      </c>
      <c r="QS241" s="100">
        <f t="shared" si="1575"/>
        <v>0</v>
      </c>
      <c r="QT241" s="100">
        <f t="shared" si="1575"/>
        <v>0</v>
      </c>
      <c r="QU241" s="100">
        <f t="shared" si="1575"/>
        <v>0</v>
      </c>
      <c r="QV241" s="100">
        <f t="shared" si="1575"/>
        <v>0</v>
      </c>
      <c r="QW241" s="728">
        <f t="shared" si="1575"/>
        <v>4569500</v>
      </c>
      <c r="QX241" s="728">
        <f t="shared" si="1575"/>
        <v>96257500</v>
      </c>
      <c r="QY241" s="100">
        <f t="shared" ref="QY241:TJ241" si="1576">SUM(QY242:QY278)</f>
        <v>0</v>
      </c>
      <c r="QZ241" s="100">
        <f t="shared" si="1576"/>
        <v>0</v>
      </c>
      <c r="RA241" s="100">
        <f t="shared" si="1576"/>
        <v>0</v>
      </c>
      <c r="RB241" s="100">
        <f t="shared" si="1576"/>
        <v>0</v>
      </c>
      <c r="RC241" s="100">
        <f t="shared" si="1576"/>
        <v>0</v>
      </c>
      <c r="RD241" s="100">
        <f t="shared" si="1576"/>
        <v>0</v>
      </c>
      <c r="RE241" s="100">
        <f t="shared" si="1576"/>
        <v>5240</v>
      </c>
      <c r="RF241" s="100">
        <f t="shared" si="1576"/>
        <v>125180</v>
      </c>
      <c r="RG241" s="100">
        <f t="shared" si="1576"/>
        <v>0</v>
      </c>
      <c r="RH241" s="100">
        <f t="shared" si="1576"/>
        <v>0</v>
      </c>
      <c r="RI241" s="100">
        <f t="shared" si="1576"/>
        <v>0</v>
      </c>
      <c r="RJ241" s="100">
        <f t="shared" si="1576"/>
        <v>0</v>
      </c>
      <c r="RK241" s="100">
        <f t="shared" si="1576"/>
        <v>0</v>
      </c>
      <c r="RL241" s="100">
        <f t="shared" si="1576"/>
        <v>0</v>
      </c>
      <c r="RM241" s="728">
        <f t="shared" si="1576"/>
        <v>5240</v>
      </c>
      <c r="RN241" s="728">
        <f t="shared" si="1576"/>
        <v>125180</v>
      </c>
      <c r="RO241" s="100">
        <f t="shared" si="1576"/>
        <v>0</v>
      </c>
      <c r="RP241" s="100">
        <f t="shared" si="1576"/>
        <v>0</v>
      </c>
      <c r="RQ241" s="100">
        <f t="shared" si="1576"/>
        <v>0</v>
      </c>
      <c r="RR241" s="100">
        <f t="shared" si="1576"/>
        <v>0</v>
      </c>
      <c r="RS241" s="100">
        <f t="shared" si="1576"/>
        <v>0</v>
      </c>
      <c r="RT241" s="100">
        <f t="shared" si="1576"/>
        <v>0</v>
      </c>
      <c r="RU241" s="100">
        <f t="shared" si="1576"/>
        <v>20300</v>
      </c>
      <c r="RV241" s="100">
        <f t="shared" si="1576"/>
        <v>441160</v>
      </c>
      <c r="RW241" s="100">
        <f t="shared" si="1576"/>
        <v>0</v>
      </c>
      <c r="RX241" s="100">
        <f t="shared" si="1576"/>
        <v>0</v>
      </c>
      <c r="RY241" s="100">
        <f t="shared" si="1576"/>
        <v>0</v>
      </c>
      <c r="RZ241" s="100">
        <f t="shared" si="1576"/>
        <v>0</v>
      </c>
      <c r="SA241" s="100">
        <f t="shared" si="1576"/>
        <v>0</v>
      </c>
      <c r="SB241" s="100">
        <f t="shared" si="1576"/>
        <v>0</v>
      </c>
      <c r="SC241" s="728">
        <f t="shared" si="1576"/>
        <v>20300</v>
      </c>
      <c r="SD241" s="728">
        <f t="shared" si="1576"/>
        <v>441160</v>
      </c>
      <c r="SE241" s="100">
        <f t="shared" si="1576"/>
        <v>0</v>
      </c>
      <c r="SF241" s="100">
        <f t="shared" si="1576"/>
        <v>0</v>
      </c>
      <c r="SG241" s="100">
        <f t="shared" si="1576"/>
        <v>0</v>
      </c>
      <c r="SH241" s="100">
        <f t="shared" si="1576"/>
        <v>0</v>
      </c>
      <c r="SI241" s="100">
        <f t="shared" si="1576"/>
        <v>0</v>
      </c>
      <c r="SJ241" s="100">
        <f t="shared" si="1576"/>
        <v>0</v>
      </c>
      <c r="SK241" s="100">
        <f t="shared" si="1576"/>
        <v>16000</v>
      </c>
      <c r="SL241" s="100">
        <f t="shared" si="1576"/>
        <v>309000</v>
      </c>
      <c r="SM241" s="100">
        <f t="shared" si="1576"/>
        <v>0</v>
      </c>
      <c r="SN241" s="100">
        <f t="shared" si="1576"/>
        <v>0</v>
      </c>
      <c r="SO241" s="100">
        <f t="shared" si="1576"/>
        <v>0</v>
      </c>
      <c r="SP241" s="100">
        <f t="shared" si="1576"/>
        <v>0</v>
      </c>
      <c r="SQ241" s="100">
        <f t="shared" si="1576"/>
        <v>0</v>
      </c>
      <c r="SR241" s="100">
        <f t="shared" si="1576"/>
        <v>0</v>
      </c>
      <c r="SS241" s="728">
        <f t="shared" si="1576"/>
        <v>16000</v>
      </c>
      <c r="ST241" s="728">
        <f t="shared" si="1576"/>
        <v>309000</v>
      </c>
      <c r="SU241" s="100">
        <f t="shared" si="1576"/>
        <v>0</v>
      </c>
      <c r="SV241" s="100">
        <f t="shared" si="1576"/>
        <v>0</v>
      </c>
      <c r="SW241" s="100">
        <f t="shared" si="1576"/>
        <v>0</v>
      </c>
      <c r="SX241" s="100">
        <f t="shared" si="1576"/>
        <v>0</v>
      </c>
      <c r="SY241" s="100">
        <f t="shared" si="1576"/>
        <v>0</v>
      </c>
      <c r="SZ241" s="100">
        <f t="shared" si="1576"/>
        <v>0</v>
      </c>
      <c r="TA241" s="100">
        <f t="shared" si="1576"/>
        <v>18875</v>
      </c>
      <c r="TB241" s="100">
        <f t="shared" si="1576"/>
        <v>412163</v>
      </c>
      <c r="TC241" s="100">
        <f t="shared" si="1576"/>
        <v>0</v>
      </c>
      <c r="TD241" s="100">
        <f t="shared" si="1576"/>
        <v>0</v>
      </c>
      <c r="TE241" s="100">
        <f t="shared" si="1576"/>
        <v>0</v>
      </c>
      <c r="TF241" s="100">
        <f t="shared" si="1576"/>
        <v>0</v>
      </c>
      <c r="TG241" s="100">
        <f t="shared" si="1576"/>
        <v>0</v>
      </c>
      <c r="TH241" s="100">
        <f t="shared" si="1576"/>
        <v>0</v>
      </c>
      <c r="TI241" s="728">
        <f t="shared" si="1576"/>
        <v>18875</v>
      </c>
      <c r="TJ241" s="728">
        <f t="shared" si="1576"/>
        <v>412163</v>
      </c>
      <c r="TK241" s="100">
        <f t="shared" ref="TK241:VV241" si="1577">SUM(TK242:TK278)</f>
        <v>0</v>
      </c>
      <c r="TL241" s="100">
        <f t="shared" si="1577"/>
        <v>0</v>
      </c>
      <c r="TM241" s="100">
        <f t="shared" si="1577"/>
        <v>0</v>
      </c>
      <c r="TN241" s="100">
        <f t="shared" si="1577"/>
        <v>0</v>
      </c>
      <c r="TO241" s="100">
        <f t="shared" si="1577"/>
        <v>0</v>
      </c>
      <c r="TP241" s="100">
        <f t="shared" si="1577"/>
        <v>0</v>
      </c>
      <c r="TQ241" s="100">
        <f t="shared" si="1577"/>
        <v>9100</v>
      </c>
      <c r="TR241" s="100">
        <f t="shared" si="1577"/>
        <v>184300</v>
      </c>
      <c r="TS241" s="100">
        <f t="shared" si="1577"/>
        <v>0</v>
      </c>
      <c r="TT241" s="100">
        <f t="shared" si="1577"/>
        <v>0</v>
      </c>
      <c r="TU241" s="100">
        <f t="shared" si="1577"/>
        <v>1000</v>
      </c>
      <c r="TV241" s="100">
        <f t="shared" si="1577"/>
        <v>33000</v>
      </c>
      <c r="TW241" s="100">
        <f t="shared" si="1577"/>
        <v>0</v>
      </c>
      <c r="TX241" s="100">
        <f t="shared" si="1577"/>
        <v>0</v>
      </c>
      <c r="TY241" s="728">
        <f t="shared" si="1577"/>
        <v>10100</v>
      </c>
      <c r="TZ241" s="728">
        <f t="shared" si="1577"/>
        <v>217300</v>
      </c>
      <c r="UA241" s="100">
        <f t="shared" si="1577"/>
        <v>0</v>
      </c>
      <c r="UB241" s="100">
        <f t="shared" si="1577"/>
        <v>0</v>
      </c>
      <c r="UC241" s="100">
        <f t="shared" si="1577"/>
        <v>0</v>
      </c>
      <c r="UD241" s="100">
        <f t="shared" si="1577"/>
        <v>0</v>
      </c>
      <c r="UE241" s="100">
        <f t="shared" si="1577"/>
        <v>0</v>
      </c>
      <c r="UF241" s="100">
        <f t="shared" si="1577"/>
        <v>0</v>
      </c>
      <c r="UG241" s="100">
        <f t="shared" si="1577"/>
        <v>18850</v>
      </c>
      <c r="UH241" s="100">
        <f t="shared" si="1577"/>
        <v>344584</v>
      </c>
      <c r="UI241" s="100">
        <f t="shared" si="1577"/>
        <v>0</v>
      </c>
      <c r="UJ241" s="100">
        <f t="shared" si="1577"/>
        <v>0</v>
      </c>
      <c r="UK241" s="100">
        <f t="shared" si="1577"/>
        <v>0</v>
      </c>
      <c r="UL241" s="100">
        <f t="shared" si="1577"/>
        <v>0</v>
      </c>
      <c r="UM241" s="100">
        <f t="shared" si="1577"/>
        <v>0</v>
      </c>
      <c r="UN241" s="100">
        <f t="shared" si="1577"/>
        <v>0</v>
      </c>
      <c r="UO241" s="728">
        <f t="shared" si="1577"/>
        <v>18850</v>
      </c>
      <c r="UP241" s="728">
        <f t="shared" si="1577"/>
        <v>344584</v>
      </c>
      <c r="UQ241" s="100">
        <f t="shared" si="1577"/>
        <v>0</v>
      </c>
      <c r="UR241" s="100">
        <f t="shared" si="1577"/>
        <v>0</v>
      </c>
      <c r="US241" s="100">
        <f t="shared" si="1577"/>
        <v>257528</v>
      </c>
      <c r="UT241" s="100">
        <f t="shared" si="1577"/>
        <v>1463697</v>
      </c>
      <c r="UU241" s="100">
        <f t="shared" si="1577"/>
        <v>0</v>
      </c>
      <c r="UV241" s="100">
        <f t="shared" si="1577"/>
        <v>0</v>
      </c>
      <c r="UW241" s="100">
        <f t="shared" si="1577"/>
        <v>2257</v>
      </c>
      <c r="UX241" s="100">
        <f t="shared" si="1577"/>
        <v>42883</v>
      </c>
      <c r="UY241" s="100">
        <f t="shared" si="1577"/>
        <v>0</v>
      </c>
      <c r="UZ241" s="100">
        <f t="shared" si="1577"/>
        <v>0</v>
      </c>
      <c r="VA241" s="100">
        <f t="shared" si="1577"/>
        <v>0</v>
      </c>
      <c r="VB241" s="100">
        <f t="shared" si="1577"/>
        <v>0</v>
      </c>
      <c r="VC241" s="100">
        <f t="shared" si="1577"/>
        <v>0</v>
      </c>
      <c r="VD241" s="100">
        <f t="shared" si="1577"/>
        <v>0</v>
      </c>
      <c r="VE241" s="728">
        <f t="shared" si="1577"/>
        <v>259785</v>
      </c>
      <c r="VF241" s="728">
        <f t="shared" si="1577"/>
        <v>1506580</v>
      </c>
      <c r="VG241" s="100">
        <f t="shared" si="1577"/>
        <v>0</v>
      </c>
      <c r="VH241" s="100">
        <f t="shared" si="1577"/>
        <v>0</v>
      </c>
      <c r="VI241" s="100">
        <f t="shared" si="1577"/>
        <v>5504</v>
      </c>
      <c r="VJ241" s="100">
        <f t="shared" si="1577"/>
        <v>243753</v>
      </c>
      <c r="VK241" s="100">
        <f t="shared" si="1577"/>
        <v>0</v>
      </c>
      <c r="VL241" s="100">
        <f t="shared" si="1577"/>
        <v>0</v>
      </c>
      <c r="VM241" s="100">
        <f t="shared" si="1577"/>
        <v>15323</v>
      </c>
      <c r="VN241" s="100">
        <f t="shared" si="1577"/>
        <v>308627</v>
      </c>
      <c r="VO241" s="100">
        <f t="shared" si="1577"/>
        <v>0</v>
      </c>
      <c r="VP241" s="100">
        <f t="shared" si="1577"/>
        <v>0</v>
      </c>
      <c r="VQ241" s="100">
        <f t="shared" si="1577"/>
        <v>0</v>
      </c>
      <c r="VR241" s="100">
        <f t="shared" si="1577"/>
        <v>0</v>
      </c>
      <c r="VS241" s="100">
        <f t="shared" si="1577"/>
        <v>0</v>
      </c>
      <c r="VT241" s="100">
        <f t="shared" si="1577"/>
        <v>0</v>
      </c>
      <c r="VU241" s="728">
        <f t="shared" si="1577"/>
        <v>20827</v>
      </c>
      <c r="VV241" s="728">
        <f t="shared" si="1577"/>
        <v>552380</v>
      </c>
      <c r="VW241" s="100">
        <f t="shared" ref="VW241:WL241" si="1578">SUM(VW242:VW278)</f>
        <v>0</v>
      </c>
      <c r="VX241" s="100">
        <f t="shared" si="1578"/>
        <v>0</v>
      </c>
      <c r="VY241" s="100">
        <f t="shared" si="1578"/>
        <v>408500</v>
      </c>
      <c r="VZ241" s="100">
        <f t="shared" si="1578"/>
        <v>13855790</v>
      </c>
      <c r="WA241" s="100">
        <f t="shared" si="1578"/>
        <v>0</v>
      </c>
      <c r="WB241" s="100">
        <f t="shared" si="1578"/>
        <v>0</v>
      </c>
      <c r="WC241" s="100">
        <f t="shared" si="1578"/>
        <v>389600</v>
      </c>
      <c r="WD241" s="100">
        <f t="shared" si="1578"/>
        <v>9646140</v>
      </c>
      <c r="WE241" s="100">
        <f t="shared" si="1578"/>
        <v>0</v>
      </c>
      <c r="WF241" s="100">
        <f t="shared" si="1578"/>
        <v>0</v>
      </c>
      <c r="WG241" s="100">
        <f t="shared" si="1578"/>
        <v>0</v>
      </c>
      <c r="WH241" s="100">
        <f t="shared" si="1578"/>
        <v>0</v>
      </c>
      <c r="WI241" s="100">
        <f t="shared" si="1578"/>
        <v>6530</v>
      </c>
      <c r="WJ241" s="100">
        <f t="shared" si="1578"/>
        <v>130600</v>
      </c>
      <c r="WK241" s="728">
        <f t="shared" si="1578"/>
        <v>804630</v>
      </c>
      <c r="WL241" s="785">
        <f t="shared" si="1578"/>
        <v>23632530</v>
      </c>
      <c r="WM241" s="89"/>
      <c r="WN241" s="96">
        <f t="shared" ref="WN241:XC241" si="1579">SUM(WN242:WN278)</f>
        <v>74919428</v>
      </c>
      <c r="WO241" s="96">
        <f t="shared" si="1579"/>
        <v>393024063.06099999</v>
      </c>
      <c r="WP241" s="96">
        <f t="shared" si="1579"/>
        <v>22574998.272451892</v>
      </c>
      <c r="WQ241" s="96">
        <f t="shared" si="1579"/>
        <v>771581120.14113951</v>
      </c>
      <c r="WR241" s="96">
        <f t="shared" si="1579"/>
        <v>0</v>
      </c>
      <c r="WS241" s="96">
        <f t="shared" si="1579"/>
        <v>0</v>
      </c>
      <c r="WT241" s="96">
        <f t="shared" si="1579"/>
        <v>26582060.169999998</v>
      </c>
      <c r="WU241" s="96">
        <f t="shared" si="1579"/>
        <v>506114372.97740972</v>
      </c>
      <c r="WV241" s="96">
        <f t="shared" si="1579"/>
        <v>535923.00036599999</v>
      </c>
      <c r="WW241" s="96">
        <f t="shared" si="1579"/>
        <v>13517695.009</v>
      </c>
      <c r="WX241" s="96">
        <f t="shared" si="1579"/>
        <v>296267</v>
      </c>
      <c r="WY241" s="96">
        <f t="shared" si="1579"/>
        <v>5393649</v>
      </c>
      <c r="WZ241" s="96">
        <f t="shared" si="1579"/>
        <v>197701.01</v>
      </c>
      <c r="XA241" s="96">
        <f t="shared" si="1579"/>
        <v>4510457</v>
      </c>
      <c r="XB241" s="96">
        <f t="shared" si="1579"/>
        <v>125106377.45281789</v>
      </c>
      <c r="XC241" s="96">
        <f t="shared" si="1579"/>
        <v>1694141357.188549</v>
      </c>
      <c r="XD241" s="89"/>
      <c r="XE241" s="94"/>
      <c r="XF241" s="94"/>
      <c r="XG241" s="89"/>
      <c r="XH241" s="96"/>
      <c r="XI241" s="96"/>
      <c r="XJ241" s="89"/>
      <c r="XK241" s="96"/>
      <c r="XL241" s="96"/>
      <c r="XM241" s="96"/>
      <c r="XN241" s="96"/>
      <c r="XO241" s="96"/>
      <c r="XP241" s="96"/>
      <c r="XQ241" s="96"/>
      <c r="XR241" s="96">
        <f t="shared" ref="XR241" ca="1" si="1580">SUM(XR242:XR278)</f>
        <v>0</v>
      </c>
      <c r="XS241" s="89"/>
      <c r="XT241" s="96"/>
      <c r="XU241" s="96"/>
      <c r="XV241" s="96"/>
      <c r="XW241" s="96"/>
      <c r="XX241" s="96"/>
      <c r="XY241" s="96"/>
      <c r="XZ241" s="96"/>
      <c r="YA241" s="96">
        <f t="shared" ref="YA241" ca="1" si="1581">SUM(YA242:YA278)</f>
        <v>0</v>
      </c>
    </row>
    <row r="242" spans="1:1017">
      <c r="A242" s="98" t="s">
        <v>51</v>
      </c>
      <c r="B242" s="90" t="str">
        <f t="shared" ref="B242:B268" si="1582">B204</f>
        <v xml:space="preserve">Bandeng </v>
      </c>
      <c r="E242" s="98">
        <v>210100</v>
      </c>
      <c r="F242" s="98">
        <v>6303000</v>
      </c>
      <c r="I242" s="98">
        <v>18400</v>
      </c>
      <c r="J242" s="98">
        <v>460000</v>
      </c>
      <c r="Q242" s="91">
        <f t="shared" ref="Q242:Q278" si="1583">SUMIF($C$12:$P$12,$A$1,C242:P242)</f>
        <v>228500</v>
      </c>
      <c r="R242" s="91">
        <f t="shared" ref="R242:R278" si="1584">SUMIF($C$12:$P$12,$A$3,C242:P242)</f>
        <v>6763000</v>
      </c>
      <c r="U242" s="98">
        <v>3160</v>
      </c>
      <c r="V242" s="98">
        <v>63200</v>
      </c>
      <c r="AG242" s="91">
        <f t="shared" ref="AG242:AG278" si="1585">SUMIF($C$12:$P$12,$A$1,S242:AF242)</f>
        <v>3160</v>
      </c>
      <c r="AH242" s="91">
        <f t="shared" ref="AH242:AH278" si="1586">SUMIF($C$12:$P$12,$A$3,S242:AF242)</f>
        <v>63200</v>
      </c>
      <c r="AW242" s="91">
        <f t="shared" ref="AW242:AW278" si="1587">SUMIF($C$12:$P$12,$A$1,AI242:AV242)</f>
        <v>0</v>
      </c>
      <c r="AX242" s="91">
        <f t="shared" ref="AX242:AX278" si="1588">SUMIF($C$12:$P$12,$A$3,AI242:AV242)</f>
        <v>0</v>
      </c>
      <c r="BM242" s="91">
        <f t="shared" ref="BM242:BM278" si="1589">SUMIF($C$12:$P$12,$A$1,AY242:BL242)</f>
        <v>0</v>
      </c>
      <c r="BN242" s="91">
        <f t="shared" ref="BN242:BN278" si="1590">SUMIF($C$12:$P$12,$A$3,AY242:BL242)</f>
        <v>0</v>
      </c>
      <c r="CC242" s="91">
        <f t="shared" ref="CC242:CC278" si="1591">SUMIF($C$12:$P$12,$A$1,BO242:CB242)</f>
        <v>0</v>
      </c>
      <c r="CD242" s="91">
        <f t="shared" ref="CD242:CD278" si="1592">SUMIF($C$12:$P$12,$A$3,BO242:CB242)</f>
        <v>0</v>
      </c>
      <c r="CG242" s="98">
        <v>3649963.1201742883</v>
      </c>
      <c r="CH242" s="98">
        <v>80299188.643834338</v>
      </c>
      <c r="CK242" s="98">
        <v>3327619</v>
      </c>
      <c r="CL242" s="98">
        <v>63224765</v>
      </c>
      <c r="CS242" s="91">
        <f t="shared" ref="CS242:CS278" si="1593">SUMIF($C$12:$P$12,$A$1,CE242:CR242)</f>
        <v>6977582.1201742887</v>
      </c>
      <c r="CT242" s="91">
        <f t="shared" ref="CT242:CT278" si="1594">SUMIF($C$12:$P$12,$A$3,CE242:CR242)</f>
        <v>143523953.64383435</v>
      </c>
      <c r="CW242" s="98">
        <v>4966.9996563702007</v>
      </c>
      <c r="CX242" s="98">
        <v>89405.994999999995</v>
      </c>
      <c r="DI242" s="91">
        <f t="shared" ref="DI242:DI278" si="1595">SUMIF($C$12:$P$12,$A$1,CU242:DH242)</f>
        <v>4966.9996563702007</v>
      </c>
      <c r="DJ242" s="91">
        <f t="shared" ref="DJ242:DJ278" si="1596">SUMIF($C$12:$P$12,$A$3,CU242:DH242)</f>
        <v>89405.994999999995</v>
      </c>
      <c r="DY242" s="91">
        <f t="shared" ref="DY242:DY278" si="1597">SUMIF($C$12:$P$12,$A$1,DK242:DX242)</f>
        <v>0</v>
      </c>
      <c r="DZ242" s="91">
        <f t="shared" ref="DZ242:DZ278" si="1598">SUMIF($C$12:$P$12,$A$3,DK242:DX242)</f>
        <v>0</v>
      </c>
      <c r="EO242" s="91">
        <f t="shared" ref="EO242:EO278" si="1599">SUMIF($C$12:$P$12,$A$1,EA242:EN242)</f>
        <v>0</v>
      </c>
      <c r="EP242" s="91">
        <f t="shared" ref="EP242:EP278" si="1600">SUMIF($C$12:$P$12,$A$3,EA242:EN242)</f>
        <v>0</v>
      </c>
      <c r="ES242" s="98">
        <v>38739</v>
      </c>
      <c r="ET242" s="98">
        <v>736041</v>
      </c>
      <c r="EW242" s="98">
        <v>330475</v>
      </c>
      <c r="EX242" s="98">
        <v>6279025</v>
      </c>
      <c r="FE242" s="91">
        <f t="shared" ref="FE242:FE278" si="1601">SUMIF($C$12:$P$12,$A$1,EQ242:FD242)</f>
        <v>369214</v>
      </c>
      <c r="FF242" s="91">
        <f t="shared" ref="FF242:FF278" si="1602">SUMIF($C$12:$P$12,$A$3,EQ242:FD242)</f>
        <v>7015066</v>
      </c>
      <c r="FU242" s="91">
        <f t="shared" ref="FU242:FU278" si="1603">SUMIF($C$12:$P$12,$A$1,FG242:FT242)</f>
        <v>0</v>
      </c>
      <c r="FV242" s="91">
        <f t="shared" ref="FV242:FV278" si="1604">SUMIF($C$12:$P$12,$A$3,FG242:FT242)</f>
        <v>0</v>
      </c>
      <c r="GK242" s="91">
        <f t="shared" ref="GK242:GK278" si="1605">SUMIF($C$12:$P$12,$A$1,FW242:GJ242)</f>
        <v>0</v>
      </c>
      <c r="GL242" s="91">
        <f t="shared" ref="GL242:GL278" si="1606">SUMIF($C$12:$P$12,$A$3,FW242:GJ242)</f>
        <v>0</v>
      </c>
      <c r="HA242" s="91">
        <f t="shared" ref="HA242:HA278" si="1607">SUMIF($C$12:$P$12,$A$1,GM242:GZ242)</f>
        <v>0</v>
      </c>
      <c r="HB242" s="91">
        <f t="shared" ref="HB242:HB278" si="1608">SUMIF($C$12:$P$12,$A$3,GM242:GZ242)</f>
        <v>0</v>
      </c>
      <c r="HQ242" s="91">
        <f t="shared" ref="HQ242:HQ278" si="1609">SUMIF($C$12:$P$12,$A$1,HC242:HP242)</f>
        <v>0</v>
      </c>
      <c r="HR242" s="91">
        <f t="shared" ref="HR242:HR278" si="1610">SUMIF($C$12:$P$12,$A$3,HC242:HP242)</f>
        <v>0</v>
      </c>
      <c r="IG242" s="91">
        <f t="shared" ref="IG242:IG278" si="1611">SUMIF($C$12:$P$12,$A$1,HS242:IF242)</f>
        <v>0</v>
      </c>
      <c r="IH242" s="91">
        <f t="shared" ref="IH242:IH278" si="1612">SUMIF($C$12:$P$12,$A$3,HS242:IF242)</f>
        <v>0</v>
      </c>
      <c r="IW242" s="91">
        <f t="shared" ref="IW242:IW278" si="1613">SUMIF($C$12:$P$12,$A$1,II242:IV242)</f>
        <v>0</v>
      </c>
      <c r="IX242" s="91">
        <f t="shared" ref="IX242:IX278" si="1614">SUMIF($C$12:$P$12,$A$3,II242:IV242)</f>
        <v>0</v>
      </c>
      <c r="JM242" s="91">
        <f t="shared" ref="JM242:JM278" si="1615">SUMIF($C$12:$P$12,$A$1,IY242:JL242)</f>
        <v>0</v>
      </c>
      <c r="JN242" s="91">
        <f t="shared" ref="JN242:JN278" si="1616">SUMIF($C$12:$P$12,$A$3,IY242:JL242)</f>
        <v>0</v>
      </c>
      <c r="KC242" s="91">
        <f t="shared" ref="KC242:KC278" si="1617">SUMIF($C$12:$P$12,$A$1,JO242:KB242)</f>
        <v>0</v>
      </c>
      <c r="KD242" s="91">
        <f t="shared" ref="KD242:KD278" si="1618">SUMIF($C$12:$P$12,$A$3,JO242:KB242)</f>
        <v>0</v>
      </c>
      <c r="KG242" s="98">
        <v>105</v>
      </c>
      <c r="KH242" s="98">
        <v>3150</v>
      </c>
      <c r="KS242" s="91">
        <f t="shared" ref="KS242:KS278" si="1619">SUMIF($C$12:$P$12,$A$1,KE242:KR242)</f>
        <v>105</v>
      </c>
      <c r="KT242" s="91">
        <f t="shared" ref="KT242:KT278" si="1620">SUMIF($C$12:$P$12,$A$3,KE242:KR242)</f>
        <v>3150</v>
      </c>
      <c r="KW242" s="98">
        <v>335695.54</v>
      </c>
      <c r="KX242" s="98">
        <v>5706824</v>
      </c>
      <c r="LI242" s="91">
        <f t="shared" ref="LI242:LI278" si="1621">SUMIF($C$12:$P$12,$A$1,KU242:LH242)</f>
        <v>335695.54</v>
      </c>
      <c r="LJ242" s="91">
        <f t="shared" ref="LJ242:LJ278" si="1622">SUMIF($C$12:$P$12,$A$3,KU242:LH242)</f>
        <v>5706824</v>
      </c>
      <c r="LY242" s="91">
        <f t="shared" ref="LY242:LY278" si="1623">SUMIF($C$12:$P$12,$A$1,LK242:LX242)</f>
        <v>0</v>
      </c>
      <c r="LZ242" s="91">
        <f t="shared" ref="LZ242:LZ278" si="1624">SUMIF($C$12:$P$12,$A$3,LK242:LX242)</f>
        <v>0</v>
      </c>
      <c r="MC242" s="98">
        <v>25680</v>
      </c>
      <c r="MD242" s="98">
        <v>385200</v>
      </c>
      <c r="MO242" s="91">
        <f t="shared" ref="MO242:MO278" si="1625">SUMIF($C$12:$P$12,$A$1,MA242:MN242)</f>
        <v>25680</v>
      </c>
      <c r="MP242" s="91">
        <f t="shared" ref="MP242:MP278" si="1626">SUMIF($C$12:$P$12,$A$3,MA242:MN242)</f>
        <v>385200</v>
      </c>
      <c r="MS242" s="98">
        <v>23500</v>
      </c>
      <c r="MT242" s="98">
        <v>658000</v>
      </c>
      <c r="NE242" s="91">
        <f t="shared" ref="NE242:NE278" si="1627">SUMIF($C$12:$P$12,$A$1,MQ242:ND242)</f>
        <v>23500</v>
      </c>
      <c r="NF242" s="91">
        <f t="shared" ref="NF242:NF278" si="1628">SUMIF($C$12:$P$12,$A$3,MQ242:ND242)</f>
        <v>658000</v>
      </c>
      <c r="NI242" s="98">
        <v>2808100</v>
      </c>
      <c r="NJ242" s="98">
        <v>61778200</v>
      </c>
      <c r="NU242" s="91">
        <f t="shared" ref="NU242:NU278" si="1629">SUMIF($C$12:$P$12,$A$1,NG242:NT242)</f>
        <v>2808100</v>
      </c>
      <c r="NV242" s="91">
        <f t="shared" ref="NV242:NV278" si="1630">SUMIF($C$12:$P$12,$A$3,NG242:NT242)</f>
        <v>61778200</v>
      </c>
      <c r="NW242" s="98">
        <v>150</v>
      </c>
      <c r="NX242" s="98">
        <v>10500</v>
      </c>
      <c r="NY242" s="98">
        <v>170</v>
      </c>
      <c r="NZ242" s="98">
        <v>3060</v>
      </c>
      <c r="OK242" s="91">
        <f t="shared" ref="OK242:OK278" si="1631">SUMIF($C$12:$P$12,$A$1,NW242:OJ242)</f>
        <v>320</v>
      </c>
      <c r="OL242" s="91">
        <f t="shared" ref="OL242:OL278" si="1632">SUMIF($C$12:$P$12,$A$3,NW242:OJ242)</f>
        <v>13560</v>
      </c>
      <c r="OO242" s="98">
        <v>9150</v>
      </c>
      <c r="OP242" s="98">
        <v>274500</v>
      </c>
      <c r="PA242" s="91">
        <f t="shared" ref="PA242:PA278" si="1633">SUMIF($C$12:$P$12,$A$1,OM242:OZ242)</f>
        <v>9150</v>
      </c>
      <c r="PB242" s="91">
        <f t="shared" ref="PB242:PB278" si="1634">SUMIF($C$12:$P$12,$A$3,OM242:OZ242)</f>
        <v>274500</v>
      </c>
      <c r="PQ242" s="91">
        <f t="shared" ref="PQ242:PQ278" si="1635">SUMIF($C$12:$P$12,$A$1,PC242:PP242)</f>
        <v>0</v>
      </c>
      <c r="PR242" s="91">
        <f t="shared" ref="PR242:PR278" si="1636">SUMIF($C$12:$P$12,$A$3,PC242:PP242)</f>
        <v>0</v>
      </c>
      <c r="PU242" s="98">
        <v>427050</v>
      </c>
      <c r="PV242" s="98">
        <v>8541000</v>
      </c>
      <c r="QA242" s="98">
        <v>360330</v>
      </c>
      <c r="QB242" s="98">
        <v>7206600</v>
      </c>
      <c r="QG242" s="91">
        <f t="shared" ref="QG242:QG278" si="1637">SUMIF($C$12:$P$12,$A$1,PS242:QF242)</f>
        <v>787380</v>
      </c>
      <c r="QH242" s="91">
        <f t="shared" ref="QH242:QH278" si="1638">SUMIF($C$12:$P$12,$A$3,PS242:QF242)</f>
        <v>15747600</v>
      </c>
      <c r="QW242" s="91">
        <f t="shared" ref="QW242:QW278" si="1639">SUMIF($C$12:$P$12,$A$1,QI242:QV242)</f>
        <v>0</v>
      </c>
      <c r="QX242" s="91">
        <f t="shared" ref="QX242:QX278" si="1640">SUMIF($C$12:$P$12,$A$3,QI242:QV242)</f>
        <v>0</v>
      </c>
      <c r="RM242" s="91">
        <f t="shared" ref="RM242:RM278" si="1641">SUMIF($C$12:$P$12,$A$1,QY242:RL242)</f>
        <v>0</v>
      </c>
      <c r="RN242" s="91">
        <f t="shared" ref="RN242:RN278" si="1642">SUMIF($C$12:$P$12,$A$3,QY242:RL242)</f>
        <v>0</v>
      </c>
      <c r="SC242" s="91">
        <f t="shared" ref="SC242:SC278" si="1643">SUMIF($C$12:$P$12,$A$1,RO242:SB242)</f>
        <v>0</v>
      </c>
      <c r="SD242" s="91">
        <f t="shared" ref="SD242:SD278" si="1644">SUMIF($C$12:$P$12,$A$3,RO242:SB242)</f>
        <v>0</v>
      </c>
      <c r="SS242" s="91">
        <f t="shared" ref="SS242:SS278" si="1645">SUMIF($C$12:$P$12,$A$1,SE242:SR242)</f>
        <v>0</v>
      </c>
      <c r="ST242" s="91">
        <f t="shared" ref="ST242:ST278" si="1646">SUMIF($C$12:$P$12,$A$3,SE242:SR242)</f>
        <v>0</v>
      </c>
      <c r="TI242" s="91">
        <f t="shared" ref="TI242:TI278" si="1647">SUMIF($C$12:$P$12,$A$1,SU242:TH242)</f>
        <v>0</v>
      </c>
      <c r="TJ242" s="91">
        <f t="shared" ref="TJ242:TJ278" si="1648">SUMIF($C$12:$P$12,$A$3,SU242:TH242)</f>
        <v>0</v>
      </c>
      <c r="TY242" s="91">
        <f t="shared" ref="TY242:TY278" si="1649">SUMIF($C$12:$P$12,$A$1,TK242:TX242)</f>
        <v>0</v>
      </c>
      <c r="TZ242" s="91">
        <f t="shared" ref="TZ242:TZ278" si="1650">SUMIF($C$12:$P$12,$A$3,TK242:TX242)</f>
        <v>0</v>
      </c>
      <c r="UO242" s="91">
        <f t="shared" ref="UO242:UO278" si="1651">SUMIF($C$12:$P$12,$A$1,UA242:UN242)</f>
        <v>0</v>
      </c>
      <c r="UP242" s="91">
        <f t="shared" ref="UP242:UP276" si="1652">SUMIF($C$12:$P$12,$A$3,UA242:UN242)</f>
        <v>0</v>
      </c>
      <c r="US242" s="98">
        <v>99848</v>
      </c>
      <c r="UT242" s="98">
        <v>1397872</v>
      </c>
      <c r="VE242" s="91">
        <f t="shared" ref="VE242:VE278" si="1653">SUMIF($C$12:$P$12,$A$1,UQ242:VD242)</f>
        <v>99848</v>
      </c>
      <c r="VF242" s="91">
        <f t="shared" ref="VF242:VF278" si="1654">SUMIF($C$12:$P$12,$A$3,UQ242:VD242)</f>
        <v>1397872</v>
      </c>
      <c r="VI242" s="98">
        <v>1125</v>
      </c>
      <c r="VJ242" s="98">
        <v>18000</v>
      </c>
      <c r="VU242" s="91">
        <f t="shared" ref="VU242:VU278" si="1655">SUMIF($C$12:$P$12,$A$1,VG242:VT242)</f>
        <v>1125</v>
      </c>
      <c r="VV242" s="91">
        <f t="shared" ref="VV242:VV278" si="1656">SUMIF($C$12:$P$12,$A$3,VG242:VT242)</f>
        <v>18000</v>
      </c>
      <c r="VY242" s="98">
        <v>342150</v>
      </c>
      <c r="VZ242" s="98">
        <v>11290950</v>
      </c>
      <c r="WC242" s="98">
        <v>82560</v>
      </c>
      <c r="WD242" s="98">
        <v>2476800</v>
      </c>
      <c r="WK242" s="91">
        <f t="shared" ref="WK242:WK278" si="1657">SUMIF($C$12:$P$12,$A$1,VW242:WJ242)</f>
        <v>424710</v>
      </c>
      <c r="WL242" s="91">
        <f t="shared" ref="WL242:WL278" si="1658">SUMIF($C$12:$P$12,$A$3,VW242:WJ242)</f>
        <v>13767750</v>
      </c>
      <c r="WM242" s="89"/>
      <c r="WN242" s="87">
        <f t="shared" ref="WN242:WN269" si="1659">SUMIF($C$5:$WL$5,$WN$5,C242:WL242)</f>
        <v>150</v>
      </c>
      <c r="WO242" s="87">
        <f t="shared" ref="WO242:WO269" si="1660">SUMIF($C$5:$WL$5,$WO$5,C242:WL242)</f>
        <v>10500</v>
      </c>
      <c r="WP242" s="87">
        <f t="shared" ref="WP242:WP269" si="1661">SUMIF($C$5:$WL$5,$WP$5,C242:WL242)</f>
        <v>7979502.6598306587</v>
      </c>
      <c r="WQ242" s="87">
        <f t="shared" ref="WQ242:WQ269" si="1662">SUMIF($C$5:$WL$5,$WQ$5,C242:WL242)</f>
        <v>177547591.63883436</v>
      </c>
      <c r="WR242" s="87">
        <f t="shared" ref="WR242:WR269" si="1663">SUMIF($C$5:$WL$5,$WR$5,C242:WL242)</f>
        <v>0</v>
      </c>
      <c r="WS242" s="87">
        <f t="shared" ref="WS242:WS269" si="1664">SUMIF($C$5:$WL$5,$WS$5,C242:WL242)</f>
        <v>0</v>
      </c>
      <c r="WT242" s="87">
        <f t="shared" ref="WT242:WT269" si="1665">SUMIF($C$5:$WL$5,$WT$5,C242:WL242)</f>
        <v>3759054</v>
      </c>
      <c r="WU242" s="87">
        <f t="shared" ref="WU242:WU269" si="1666">SUMIF($C$5:$WL$5,$WU$5,C242:WL242)</f>
        <v>72440590</v>
      </c>
      <c r="WV242" s="87">
        <f t="shared" ref="WV242:WV269" si="1667">SUMIF($C$5:$WL$5,$WV$5,C242:WL242)</f>
        <v>360330</v>
      </c>
      <c r="WW242" s="87">
        <f t="shared" ref="WW242:WW269" si="1668">SUMIF($C$5:$WL$5,$WW$5,C242:WL242)</f>
        <v>7206600</v>
      </c>
      <c r="WX242" s="87">
        <f t="shared" ref="WX242:WX269" si="1669">SUMIF($C$5:$WL$5,$WX$5,C242:WL242)</f>
        <v>0</v>
      </c>
      <c r="WY242" s="87">
        <f t="shared" ref="WY242:WY269" si="1670">SUMIF($C$5:$WL$5,$WY$5,C242:WL242)</f>
        <v>0</v>
      </c>
      <c r="WZ242" s="87">
        <f t="shared" ref="WZ242:WZ264" si="1671">SUMIF($C$5:$WL$5,$WZ$5,C242:WL242)</f>
        <v>0</v>
      </c>
      <c r="XA242" s="87">
        <f t="shared" ref="XA242:XA264" si="1672">SUMIF($C$5:$WL$5,$XA$5,C242:WL242)</f>
        <v>0</v>
      </c>
      <c r="XB242" s="92">
        <f t="shared" ref="XB242:XB264" si="1673">SUMIF($WN$12:$XA$12,$XB$12,WN242:XA242)</f>
        <v>12099036.65983066</v>
      </c>
      <c r="XC242" s="92">
        <f t="shared" ref="XC242:XC264" si="1674">SUMIF($WN$12:$XA$12,$XC$12,WN242:XA242)</f>
        <v>257205281.63883436</v>
      </c>
      <c r="XD242" s="89"/>
      <c r="XE242" s="92"/>
      <c r="XF242" s="92"/>
      <c r="XG242" s="89"/>
      <c r="XH242" s="92"/>
      <c r="XI242" s="92"/>
      <c r="XJ242" s="89"/>
      <c r="XK242" s="87"/>
      <c r="XL242" s="87"/>
      <c r="XM242" s="87"/>
      <c r="XN242" s="87"/>
      <c r="XO242" s="87"/>
      <c r="XP242" s="87"/>
      <c r="XQ242" s="87"/>
      <c r="XR242" s="92">
        <f t="shared" ref="XR242:XR278" ca="1" si="1675">SUMIF($WN$12:$XA$12,$XB$12,XK242:XQ242)</f>
        <v>0</v>
      </c>
      <c r="XS242" s="89"/>
      <c r="XT242" s="87"/>
      <c r="XU242" s="87"/>
      <c r="XV242" s="87"/>
      <c r="XW242" s="87"/>
      <c r="XX242" s="87"/>
      <c r="XY242" s="87"/>
      <c r="XZ242" s="87"/>
      <c r="YA242" s="92">
        <f t="shared" ref="YA242:YA278" ca="1" si="1676">SUMIF($WN$12:$XA$12,$XB$12,XT242:XZ242)</f>
        <v>0</v>
      </c>
      <c r="YB242" s="90"/>
      <c r="YC242" s="90"/>
      <c r="YD242" s="90"/>
      <c r="YE242" s="90"/>
      <c r="YF242" s="90"/>
      <c r="YG242" s="90"/>
      <c r="YH242" s="90"/>
      <c r="YI242" s="90"/>
      <c r="YJ242" s="90"/>
      <c r="YK242" s="90"/>
      <c r="YL242" s="90"/>
      <c r="YM242" s="90"/>
      <c r="YN242" s="90"/>
      <c r="YO242" s="90"/>
      <c r="YP242" s="90"/>
      <c r="YQ242" s="90"/>
      <c r="YR242" s="90"/>
      <c r="YS242" s="90"/>
      <c r="YT242" s="90"/>
      <c r="YU242" s="90"/>
      <c r="YV242" s="90"/>
      <c r="YW242" s="90"/>
      <c r="YX242" s="90"/>
      <c r="YY242" s="90"/>
      <c r="YZ242" s="90"/>
      <c r="ZA242" s="90"/>
      <c r="ZB242" s="90"/>
      <c r="ZC242" s="90"/>
      <c r="ZD242" s="90"/>
      <c r="ZE242" s="90"/>
      <c r="ZF242" s="90"/>
      <c r="ZG242" s="90"/>
      <c r="ZH242" s="90"/>
      <c r="ZI242" s="90"/>
      <c r="ZJ242" s="90"/>
      <c r="ZK242" s="90"/>
      <c r="ZL242" s="90"/>
      <c r="ZM242" s="90"/>
      <c r="ZN242" s="90"/>
      <c r="ZO242" s="90"/>
      <c r="ZP242" s="90"/>
      <c r="ZQ242" s="90"/>
      <c r="ZR242" s="90"/>
      <c r="ZS242" s="90"/>
      <c r="ZT242" s="90"/>
      <c r="ZU242" s="90"/>
      <c r="ZV242" s="90"/>
      <c r="ZW242" s="90"/>
      <c r="ZX242" s="90"/>
      <c r="ZY242" s="90"/>
      <c r="ZZ242" s="90"/>
      <c r="AAA242" s="90"/>
      <c r="AAB242" s="90"/>
      <c r="AAC242" s="90"/>
      <c r="AAD242" s="90"/>
      <c r="AAE242" s="90"/>
      <c r="AAF242" s="90"/>
      <c r="AAG242" s="90"/>
      <c r="AAH242" s="90"/>
      <c r="AAI242" s="90"/>
      <c r="AAJ242" s="90"/>
      <c r="AAK242" s="90"/>
      <c r="AAL242" s="90"/>
      <c r="AAM242" s="90"/>
      <c r="AAN242" s="90"/>
      <c r="AAO242" s="90"/>
      <c r="AAP242" s="90"/>
      <c r="AAQ242" s="90"/>
      <c r="AAR242" s="90"/>
      <c r="AAS242" s="90"/>
      <c r="AAT242" s="90"/>
      <c r="AAU242" s="90"/>
      <c r="AAV242" s="90"/>
      <c r="AAW242" s="90"/>
      <c r="AAX242" s="90"/>
      <c r="AAY242" s="90"/>
      <c r="AAZ242" s="90"/>
      <c r="ABA242" s="90"/>
      <c r="ABB242" s="90"/>
      <c r="ABC242" s="90"/>
      <c r="ABD242" s="90"/>
      <c r="ABE242" s="90"/>
      <c r="ABF242" s="90"/>
      <c r="ABG242" s="90"/>
      <c r="ABH242" s="90"/>
      <c r="ABI242" s="90"/>
      <c r="ABJ242" s="90"/>
      <c r="ABK242" s="90"/>
      <c r="ABL242" s="90"/>
      <c r="ABM242" s="90"/>
      <c r="ABN242" s="90"/>
      <c r="ABO242" s="90"/>
      <c r="ABP242" s="90"/>
      <c r="ABQ242" s="90"/>
      <c r="ABR242" s="90"/>
      <c r="ABS242" s="90"/>
      <c r="ABT242" s="90"/>
      <c r="ABU242" s="90"/>
      <c r="ABV242" s="90"/>
      <c r="ABW242" s="90"/>
      <c r="ABX242" s="90"/>
      <c r="ABY242" s="90"/>
      <c r="ABZ242" s="90"/>
      <c r="ACA242" s="90"/>
      <c r="ACB242" s="90"/>
      <c r="ACC242" s="90"/>
      <c r="ACD242" s="90"/>
      <c r="ACE242" s="90"/>
      <c r="ACF242" s="90"/>
      <c r="ACG242" s="90"/>
      <c r="ACH242" s="90"/>
      <c r="ACI242" s="90"/>
      <c r="ACJ242" s="90"/>
      <c r="ACK242" s="90"/>
      <c r="ACL242" s="90"/>
      <c r="ACM242" s="90"/>
      <c r="ACN242" s="90"/>
      <c r="ACO242" s="90"/>
      <c r="ACP242" s="90"/>
      <c r="ACQ242" s="90"/>
      <c r="ACR242" s="90"/>
      <c r="ACS242" s="90"/>
      <c r="ACT242" s="90"/>
      <c r="ACU242" s="90"/>
      <c r="ACV242" s="90"/>
      <c r="ACW242" s="90"/>
      <c r="ACX242" s="90"/>
      <c r="ACY242" s="90"/>
      <c r="ACZ242" s="90"/>
      <c r="ADA242" s="90"/>
      <c r="ADB242" s="90"/>
      <c r="ADC242" s="90"/>
      <c r="ADD242" s="90"/>
      <c r="ADE242" s="90"/>
      <c r="ADF242" s="90"/>
      <c r="ADG242" s="90"/>
      <c r="ADH242" s="90"/>
      <c r="ADI242" s="90"/>
      <c r="ADJ242" s="90"/>
      <c r="ADK242" s="90"/>
      <c r="ADL242" s="90"/>
      <c r="ADM242" s="90"/>
      <c r="ADN242" s="90"/>
      <c r="ADO242" s="90"/>
      <c r="ADP242" s="90"/>
      <c r="ADQ242" s="90"/>
      <c r="ADR242" s="90"/>
      <c r="ADS242" s="90"/>
      <c r="ADT242" s="90"/>
      <c r="ADU242" s="90"/>
      <c r="ADV242" s="90"/>
      <c r="ADW242" s="90"/>
      <c r="ADX242" s="90"/>
      <c r="ADY242" s="90"/>
      <c r="ADZ242" s="90"/>
      <c r="AEA242" s="90"/>
      <c r="AEB242" s="90"/>
      <c r="AEC242" s="90"/>
      <c r="AED242" s="90"/>
      <c r="AEE242" s="90"/>
      <c r="AEF242" s="90"/>
      <c r="AEG242" s="90"/>
      <c r="AEH242" s="90"/>
      <c r="AEI242" s="90"/>
      <c r="AEJ242" s="90"/>
      <c r="AEK242" s="90"/>
      <c r="AEL242" s="90"/>
      <c r="AEM242" s="90"/>
      <c r="AEN242" s="90"/>
      <c r="AEO242" s="90"/>
      <c r="AEP242" s="90"/>
      <c r="AEQ242" s="90"/>
      <c r="AER242" s="90"/>
      <c r="AES242" s="90"/>
      <c r="AET242" s="90"/>
      <c r="AEU242" s="90"/>
      <c r="AEV242" s="90"/>
      <c r="AEW242" s="90"/>
      <c r="AEX242" s="90"/>
      <c r="AEY242" s="90"/>
      <c r="AEZ242" s="90"/>
      <c r="AFA242" s="90"/>
      <c r="AFB242" s="90"/>
      <c r="AFC242" s="90"/>
      <c r="AFD242" s="90"/>
      <c r="AFE242" s="90"/>
      <c r="AFF242" s="90"/>
      <c r="AFG242" s="90"/>
      <c r="AFH242" s="90"/>
      <c r="AFI242" s="90"/>
      <c r="AFJ242" s="90"/>
      <c r="AFK242" s="90"/>
      <c r="AFL242" s="90"/>
      <c r="AFM242" s="90"/>
      <c r="AFN242" s="90"/>
      <c r="AFO242" s="90"/>
      <c r="AFP242" s="90"/>
      <c r="AFQ242" s="90"/>
      <c r="AFR242" s="90"/>
      <c r="AFS242" s="90"/>
      <c r="AFT242" s="90"/>
      <c r="AFU242" s="90"/>
      <c r="AFV242" s="90"/>
      <c r="AFW242" s="90"/>
      <c r="AFX242" s="90"/>
      <c r="AFY242" s="90"/>
      <c r="AFZ242" s="90"/>
      <c r="AGA242" s="90"/>
      <c r="AGB242" s="90"/>
      <c r="AGC242" s="90"/>
      <c r="AGD242" s="90"/>
      <c r="AGE242" s="90"/>
      <c r="AGF242" s="90"/>
      <c r="AGG242" s="90"/>
      <c r="AGH242" s="90"/>
      <c r="AGI242" s="90"/>
      <c r="AGJ242" s="90"/>
      <c r="AGK242" s="90"/>
      <c r="AGL242" s="90"/>
      <c r="AGM242" s="90"/>
      <c r="AGN242" s="90"/>
      <c r="AGO242" s="90"/>
      <c r="AGP242" s="90"/>
      <c r="AGQ242" s="90"/>
      <c r="AGR242" s="90"/>
      <c r="AGS242" s="90"/>
      <c r="AGT242" s="90"/>
      <c r="AGU242" s="90"/>
      <c r="AGV242" s="90"/>
      <c r="AGW242" s="90"/>
      <c r="AGX242" s="90"/>
      <c r="AGY242" s="90"/>
      <c r="AGZ242" s="90"/>
      <c r="AHA242" s="90"/>
      <c r="AHB242" s="90"/>
      <c r="AHC242" s="90"/>
      <c r="AHD242" s="90"/>
      <c r="AHE242" s="90"/>
      <c r="AHF242" s="90"/>
      <c r="AHG242" s="90"/>
      <c r="AHH242" s="90"/>
      <c r="AHI242" s="90"/>
      <c r="AHJ242" s="90"/>
      <c r="AHK242" s="90"/>
      <c r="AHL242" s="90"/>
      <c r="AHM242" s="90"/>
      <c r="AHN242" s="90"/>
      <c r="AHO242" s="90"/>
      <c r="AHP242" s="90"/>
      <c r="AHQ242" s="90"/>
      <c r="AHR242" s="90"/>
      <c r="AHS242" s="90"/>
      <c r="AHT242" s="90"/>
      <c r="AHU242" s="90"/>
      <c r="AHV242" s="90"/>
      <c r="AHW242" s="90"/>
      <c r="AHX242" s="90"/>
      <c r="AHY242" s="90"/>
      <c r="AHZ242" s="90"/>
      <c r="AIA242" s="90"/>
      <c r="AIB242" s="90"/>
      <c r="AIC242" s="90"/>
      <c r="AID242" s="90"/>
      <c r="AIE242" s="90"/>
      <c r="AIF242" s="90"/>
      <c r="AIG242" s="90"/>
      <c r="AIH242" s="90"/>
      <c r="AII242" s="90"/>
      <c r="AIJ242" s="90"/>
      <c r="AIK242" s="90"/>
      <c r="AIL242" s="90"/>
      <c r="AIM242" s="90"/>
      <c r="AIN242" s="90"/>
      <c r="AIO242" s="90"/>
      <c r="AIP242" s="90"/>
      <c r="AIQ242" s="90"/>
      <c r="AIR242" s="90"/>
      <c r="AIS242" s="90"/>
      <c r="AIT242" s="90"/>
      <c r="AIU242" s="90"/>
      <c r="AIV242" s="90"/>
      <c r="AIW242" s="90"/>
      <c r="AIX242" s="90"/>
      <c r="AIY242" s="90"/>
      <c r="AIZ242" s="90"/>
      <c r="AJA242" s="90"/>
      <c r="AJB242" s="90"/>
      <c r="AJC242" s="90"/>
      <c r="AJD242" s="90"/>
      <c r="AJE242" s="90"/>
      <c r="AJF242" s="90"/>
      <c r="AJG242" s="90"/>
      <c r="AJH242" s="90"/>
      <c r="AJI242" s="90"/>
      <c r="AJJ242" s="90"/>
      <c r="AJK242" s="90"/>
      <c r="AJL242" s="90"/>
      <c r="AJM242" s="90"/>
      <c r="AJN242" s="90"/>
      <c r="AJO242" s="90"/>
      <c r="AJP242" s="90"/>
      <c r="AJQ242" s="90"/>
      <c r="AJR242" s="90"/>
      <c r="AJS242" s="90"/>
      <c r="AJT242" s="90"/>
      <c r="AJU242" s="90"/>
      <c r="AJV242" s="90"/>
      <c r="AJW242" s="90"/>
      <c r="AJX242" s="90"/>
      <c r="AJY242" s="90"/>
      <c r="AJZ242" s="90"/>
      <c r="AKA242" s="90"/>
      <c r="AKB242" s="90"/>
      <c r="AKC242" s="90"/>
      <c r="AKD242" s="90"/>
      <c r="AKE242" s="90"/>
      <c r="AKF242" s="90"/>
      <c r="AKG242" s="90"/>
      <c r="AKH242" s="90"/>
      <c r="AKI242" s="90"/>
      <c r="AKJ242" s="90"/>
      <c r="AKK242" s="90"/>
      <c r="AKL242" s="90"/>
      <c r="AKM242" s="90"/>
      <c r="AKN242" s="90"/>
      <c r="AKO242" s="90"/>
      <c r="AKP242" s="90"/>
      <c r="AKQ242" s="90"/>
      <c r="AKR242" s="90"/>
      <c r="AKS242" s="90"/>
      <c r="AKT242" s="90"/>
      <c r="AKU242" s="90"/>
      <c r="AKV242" s="90"/>
      <c r="AKW242" s="90"/>
      <c r="AKX242" s="90"/>
      <c r="AKY242" s="90"/>
      <c r="AKZ242" s="90"/>
      <c r="ALA242" s="90"/>
      <c r="ALB242" s="90"/>
      <c r="ALC242" s="90"/>
      <c r="ALD242" s="90"/>
      <c r="ALE242" s="90"/>
      <c r="ALF242" s="90"/>
      <c r="ALG242" s="90"/>
      <c r="ALH242" s="90"/>
      <c r="ALI242" s="90"/>
      <c r="ALJ242" s="90"/>
      <c r="ALK242" s="90"/>
      <c r="ALL242" s="90"/>
      <c r="ALM242" s="90"/>
      <c r="ALN242" s="90"/>
      <c r="ALO242" s="90"/>
      <c r="ALP242" s="90"/>
      <c r="ALQ242" s="90"/>
      <c r="ALR242" s="90"/>
      <c r="ALS242" s="90"/>
      <c r="ALT242" s="90"/>
      <c r="ALU242" s="90"/>
      <c r="ALV242" s="90"/>
      <c r="ALW242" s="90"/>
      <c r="ALX242" s="90"/>
      <c r="ALY242" s="90"/>
      <c r="ALZ242" s="90"/>
      <c r="AMA242" s="90"/>
      <c r="AMB242" s="90"/>
      <c r="AMC242" s="90"/>
    </row>
    <row r="243" spans="1:1017">
      <c r="A243" s="98" t="s">
        <v>51</v>
      </c>
      <c r="B243" s="90" t="str">
        <f t="shared" si="1582"/>
        <v xml:space="preserve">Bawal </v>
      </c>
      <c r="Q243" s="91">
        <f t="shared" si="1583"/>
        <v>0</v>
      </c>
      <c r="R243" s="91">
        <f t="shared" si="1584"/>
        <v>0</v>
      </c>
      <c r="Y243" s="98">
        <v>1980</v>
      </c>
      <c r="Z243" s="98">
        <v>39600</v>
      </c>
      <c r="AG243" s="91">
        <f t="shared" si="1585"/>
        <v>1980</v>
      </c>
      <c r="AH243" s="91">
        <f t="shared" si="1586"/>
        <v>39600</v>
      </c>
      <c r="AW243" s="91">
        <f t="shared" si="1587"/>
        <v>0</v>
      </c>
      <c r="AX243" s="91">
        <f t="shared" si="1588"/>
        <v>0</v>
      </c>
      <c r="BM243" s="91">
        <f t="shared" si="1589"/>
        <v>0</v>
      </c>
      <c r="BN243" s="91">
        <f t="shared" si="1590"/>
        <v>0</v>
      </c>
      <c r="CC243" s="91">
        <f t="shared" si="1591"/>
        <v>0</v>
      </c>
      <c r="CD243" s="91">
        <f t="shared" si="1592"/>
        <v>0</v>
      </c>
      <c r="CS243" s="91">
        <f t="shared" si="1593"/>
        <v>0</v>
      </c>
      <c r="CT243" s="91">
        <f t="shared" si="1594"/>
        <v>0</v>
      </c>
      <c r="DI243" s="91">
        <f t="shared" si="1595"/>
        <v>0</v>
      </c>
      <c r="DJ243" s="91">
        <f t="shared" si="1596"/>
        <v>0</v>
      </c>
      <c r="DQ243" s="98">
        <v>412500</v>
      </c>
      <c r="DR243" s="98">
        <v>7012500</v>
      </c>
      <c r="DY243" s="91">
        <f t="shared" si="1597"/>
        <v>412500</v>
      </c>
      <c r="DZ243" s="91">
        <f t="shared" si="1598"/>
        <v>7012500</v>
      </c>
      <c r="EG243" s="98">
        <v>85000</v>
      </c>
      <c r="EH243" s="98">
        <v>935000</v>
      </c>
      <c r="EO243" s="91">
        <f t="shared" si="1599"/>
        <v>85000</v>
      </c>
      <c r="EP243" s="91">
        <f t="shared" si="1600"/>
        <v>935000</v>
      </c>
      <c r="FE243" s="91">
        <f t="shared" si="1601"/>
        <v>0</v>
      </c>
      <c r="FF243" s="91">
        <f t="shared" si="1602"/>
        <v>0</v>
      </c>
      <c r="FU243" s="91">
        <f t="shared" si="1603"/>
        <v>0</v>
      </c>
      <c r="FV243" s="91">
        <f t="shared" si="1604"/>
        <v>0</v>
      </c>
      <c r="GK243" s="91">
        <f t="shared" si="1605"/>
        <v>0</v>
      </c>
      <c r="GL243" s="91">
        <f t="shared" si="1606"/>
        <v>0</v>
      </c>
      <c r="HA243" s="91">
        <f t="shared" si="1607"/>
        <v>0</v>
      </c>
      <c r="HB243" s="91">
        <f t="shared" si="1608"/>
        <v>0</v>
      </c>
      <c r="HQ243" s="91">
        <f t="shared" si="1609"/>
        <v>0</v>
      </c>
      <c r="HR243" s="91">
        <f t="shared" si="1610"/>
        <v>0</v>
      </c>
      <c r="IG243" s="91">
        <f t="shared" si="1611"/>
        <v>0</v>
      </c>
      <c r="IH243" s="91">
        <f t="shared" si="1612"/>
        <v>0</v>
      </c>
      <c r="IO243" s="98">
        <v>1500</v>
      </c>
      <c r="IP243" s="98">
        <v>37500</v>
      </c>
      <c r="IW243" s="91">
        <f t="shared" si="1613"/>
        <v>1500</v>
      </c>
      <c r="IX243" s="91">
        <f t="shared" si="1614"/>
        <v>37500</v>
      </c>
      <c r="JM243" s="91">
        <f t="shared" si="1615"/>
        <v>0</v>
      </c>
      <c r="JN243" s="91">
        <f t="shared" si="1616"/>
        <v>0</v>
      </c>
      <c r="KC243" s="91">
        <f t="shared" si="1617"/>
        <v>0</v>
      </c>
      <c r="KD243" s="91">
        <f t="shared" si="1618"/>
        <v>0</v>
      </c>
      <c r="KS243" s="91">
        <f t="shared" si="1619"/>
        <v>0</v>
      </c>
      <c r="KT243" s="91">
        <f t="shared" si="1620"/>
        <v>0</v>
      </c>
      <c r="LI243" s="91">
        <f t="shared" si="1621"/>
        <v>0</v>
      </c>
      <c r="LJ243" s="91">
        <f t="shared" si="1622"/>
        <v>0</v>
      </c>
      <c r="LY243" s="91">
        <f t="shared" si="1623"/>
        <v>0</v>
      </c>
      <c r="LZ243" s="91">
        <f t="shared" si="1624"/>
        <v>0</v>
      </c>
      <c r="MO243" s="91">
        <f t="shared" si="1625"/>
        <v>0</v>
      </c>
      <c r="MP243" s="91">
        <f t="shared" si="1626"/>
        <v>0</v>
      </c>
      <c r="NE243" s="91">
        <f t="shared" si="1627"/>
        <v>0</v>
      </c>
      <c r="NF243" s="91">
        <f t="shared" si="1628"/>
        <v>0</v>
      </c>
      <c r="NQ243" s="98">
        <v>100</v>
      </c>
      <c r="NR243" s="98">
        <v>1800</v>
      </c>
      <c r="NU243" s="91">
        <f t="shared" si="1629"/>
        <v>100</v>
      </c>
      <c r="NV243" s="91">
        <f t="shared" si="1630"/>
        <v>1800</v>
      </c>
      <c r="OK243" s="91">
        <f t="shared" si="1631"/>
        <v>0</v>
      </c>
      <c r="OL243" s="91">
        <f t="shared" si="1632"/>
        <v>0</v>
      </c>
      <c r="PA243" s="91">
        <f t="shared" si="1633"/>
        <v>0</v>
      </c>
      <c r="PB243" s="91">
        <f t="shared" si="1634"/>
        <v>0</v>
      </c>
      <c r="PQ243" s="91">
        <f t="shared" si="1635"/>
        <v>0</v>
      </c>
      <c r="PR243" s="91">
        <f t="shared" si="1636"/>
        <v>0</v>
      </c>
      <c r="PY243" s="98">
        <v>22280</v>
      </c>
      <c r="PZ243" s="98">
        <v>378760</v>
      </c>
      <c r="QC243" s="98">
        <v>5730</v>
      </c>
      <c r="QD243" s="98">
        <v>85950</v>
      </c>
      <c r="QG243" s="91">
        <f t="shared" si="1637"/>
        <v>28010</v>
      </c>
      <c r="QH243" s="91">
        <f t="shared" si="1638"/>
        <v>464710</v>
      </c>
      <c r="QW243" s="91">
        <f t="shared" si="1639"/>
        <v>0</v>
      </c>
      <c r="QX243" s="91">
        <f t="shared" si="1640"/>
        <v>0</v>
      </c>
      <c r="RM243" s="91">
        <f t="shared" si="1641"/>
        <v>0</v>
      </c>
      <c r="RN243" s="91">
        <f t="shared" si="1642"/>
        <v>0</v>
      </c>
      <c r="SC243" s="91">
        <f t="shared" si="1643"/>
        <v>0</v>
      </c>
      <c r="SD243" s="91">
        <f t="shared" si="1644"/>
        <v>0</v>
      </c>
      <c r="SS243" s="91">
        <f t="shared" si="1645"/>
        <v>0</v>
      </c>
      <c r="ST243" s="91">
        <f t="shared" si="1646"/>
        <v>0</v>
      </c>
      <c r="TI243" s="91">
        <f t="shared" si="1647"/>
        <v>0</v>
      </c>
      <c r="TJ243" s="91">
        <f t="shared" si="1648"/>
        <v>0</v>
      </c>
      <c r="TY243" s="91">
        <f t="shared" si="1649"/>
        <v>0</v>
      </c>
      <c r="TZ243" s="91">
        <f t="shared" si="1650"/>
        <v>0</v>
      </c>
      <c r="UO243" s="91">
        <f t="shared" si="1651"/>
        <v>0</v>
      </c>
      <c r="UP243" s="91">
        <f t="shared" si="1652"/>
        <v>0</v>
      </c>
      <c r="VE243" s="91">
        <f t="shared" si="1653"/>
        <v>0</v>
      </c>
      <c r="VF243" s="91">
        <f t="shared" si="1654"/>
        <v>0</v>
      </c>
      <c r="VU243" s="91">
        <f t="shared" si="1655"/>
        <v>0</v>
      </c>
      <c r="VV243" s="91">
        <f t="shared" si="1656"/>
        <v>0</v>
      </c>
      <c r="WK243" s="91">
        <f t="shared" si="1657"/>
        <v>0</v>
      </c>
      <c r="WL243" s="91">
        <f t="shared" si="1658"/>
        <v>0</v>
      </c>
      <c r="WM243" s="89"/>
      <c r="WN243" s="87">
        <f t="shared" si="1659"/>
        <v>0</v>
      </c>
      <c r="WO243" s="87">
        <f t="shared" si="1660"/>
        <v>0</v>
      </c>
      <c r="WP243" s="87">
        <f t="shared" si="1661"/>
        <v>0</v>
      </c>
      <c r="WQ243" s="87">
        <f t="shared" si="1662"/>
        <v>0</v>
      </c>
      <c r="WR243" s="87">
        <f t="shared" si="1663"/>
        <v>0</v>
      </c>
      <c r="WS243" s="87">
        <f t="shared" si="1664"/>
        <v>0</v>
      </c>
      <c r="WT243" s="87">
        <f t="shared" si="1665"/>
        <v>523260</v>
      </c>
      <c r="WU243" s="87">
        <f t="shared" si="1666"/>
        <v>8403360</v>
      </c>
      <c r="WV243" s="87">
        <f t="shared" si="1667"/>
        <v>0</v>
      </c>
      <c r="WW243" s="87">
        <f t="shared" si="1668"/>
        <v>0</v>
      </c>
      <c r="WX243" s="87">
        <f t="shared" si="1669"/>
        <v>5830</v>
      </c>
      <c r="WY243" s="87">
        <f t="shared" si="1670"/>
        <v>87750</v>
      </c>
      <c r="WZ243" s="87">
        <f t="shared" si="1671"/>
        <v>0</v>
      </c>
      <c r="XA243" s="87">
        <f t="shared" si="1672"/>
        <v>0</v>
      </c>
      <c r="XB243" s="92">
        <f t="shared" si="1673"/>
        <v>529090</v>
      </c>
      <c r="XC243" s="92">
        <f t="shared" si="1674"/>
        <v>8491110</v>
      </c>
      <c r="XD243" s="89"/>
      <c r="XE243" s="92"/>
      <c r="XF243" s="92"/>
      <c r="XG243" s="89"/>
      <c r="XH243" s="92"/>
      <c r="XI243" s="92"/>
      <c r="XJ243" s="89"/>
      <c r="XK243" s="87"/>
      <c r="XL243" s="87"/>
      <c r="XM243" s="87"/>
      <c r="XN243" s="87"/>
      <c r="XO243" s="87"/>
      <c r="XP243" s="87"/>
      <c r="XQ243" s="87"/>
      <c r="XR243" s="92">
        <f t="shared" ca="1" si="1675"/>
        <v>0</v>
      </c>
      <c r="XS243" s="89"/>
      <c r="XT243" s="87"/>
      <c r="XU243" s="87"/>
      <c r="XV243" s="87"/>
      <c r="XW243" s="87"/>
      <c r="XX243" s="87"/>
      <c r="XY243" s="87"/>
      <c r="XZ243" s="87"/>
      <c r="YA243" s="92">
        <f t="shared" ca="1" si="1676"/>
        <v>0</v>
      </c>
      <c r="YB243" s="90"/>
      <c r="YC243" s="90"/>
      <c r="YD243" s="90"/>
      <c r="YE243" s="90"/>
      <c r="YF243" s="90"/>
      <c r="YG243" s="90"/>
      <c r="YH243" s="90"/>
      <c r="YI243" s="90"/>
      <c r="YJ243" s="90"/>
      <c r="YK243" s="90"/>
      <c r="YL243" s="90"/>
      <c r="YM243" s="90"/>
      <c r="YN243" s="90"/>
      <c r="YO243" s="90"/>
      <c r="YP243" s="90"/>
      <c r="YQ243" s="90"/>
      <c r="YR243" s="90"/>
      <c r="YS243" s="90"/>
      <c r="YT243" s="90"/>
      <c r="YU243" s="90"/>
      <c r="YV243" s="90"/>
      <c r="YW243" s="90"/>
      <c r="YX243" s="90"/>
      <c r="YY243" s="90"/>
      <c r="YZ243" s="90"/>
      <c r="ZA243" s="90"/>
      <c r="ZB243" s="90"/>
      <c r="ZC243" s="90"/>
      <c r="ZD243" s="90"/>
      <c r="ZE243" s="90"/>
      <c r="ZF243" s="90"/>
      <c r="ZG243" s="90"/>
      <c r="ZH243" s="90"/>
      <c r="ZI243" s="90"/>
      <c r="ZJ243" s="90"/>
      <c r="ZK243" s="90"/>
      <c r="ZL243" s="90"/>
      <c r="ZM243" s="90"/>
      <c r="ZN243" s="90"/>
      <c r="ZO243" s="90"/>
      <c r="ZP243" s="90"/>
      <c r="ZQ243" s="90"/>
      <c r="ZR243" s="90"/>
      <c r="ZS243" s="90"/>
      <c r="ZT243" s="90"/>
      <c r="ZU243" s="90"/>
      <c r="ZV243" s="90"/>
      <c r="ZW243" s="90"/>
      <c r="ZX243" s="90"/>
      <c r="ZY243" s="90"/>
      <c r="ZZ243" s="90"/>
      <c r="AAA243" s="90"/>
      <c r="AAB243" s="90"/>
      <c r="AAC243" s="90"/>
      <c r="AAD243" s="90"/>
      <c r="AAE243" s="90"/>
      <c r="AAF243" s="90"/>
      <c r="AAG243" s="90"/>
      <c r="AAH243" s="90"/>
      <c r="AAI243" s="90"/>
      <c r="AAJ243" s="90"/>
      <c r="AAK243" s="90"/>
      <c r="AAL243" s="90"/>
      <c r="AAM243" s="90"/>
      <c r="AAN243" s="90"/>
      <c r="AAO243" s="90"/>
      <c r="AAP243" s="90"/>
      <c r="AAQ243" s="90"/>
      <c r="AAR243" s="90"/>
      <c r="AAS243" s="90"/>
      <c r="AAT243" s="90"/>
      <c r="AAU243" s="90"/>
      <c r="AAV243" s="90"/>
      <c r="AAW243" s="90"/>
      <c r="AAX243" s="90"/>
      <c r="AAY243" s="90"/>
      <c r="AAZ243" s="90"/>
      <c r="ABA243" s="90"/>
      <c r="ABB243" s="90"/>
      <c r="ABC243" s="90"/>
      <c r="ABD243" s="90"/>
      <c r="ABE243" s="90"/>
      <c r="ABF243" s="90"/>
      <c r="ABG243" s="90"/>
      <c r="ABH243" s="90"/>
      <c r="ABI243" s="90"/>
      <c r="ABJ243" s="90"/>
      <c r="ABK243" s="90"/>
      <c r="ABL243" s="90"/>
      <c r="ABM243" s="90"/>
      <c r="ABN243" s="90"/>
      <c r="ABO243" s="90"/>
      <c r="ABP243" s="90"/>
      <c r="ABQ243" s="90"/>
      <c r="ABR243" s="90"/>
      <c r="ABS243" s="90"/>
      <c r="ABT243" s="90"/>
      <c r="ABU243" s="90"/>
      <c r="ABV243" s="90"/>
      <c r="ABW243" s="90"/>
      <c r="ABX243" s="90"/>
      <c r="ABY243" s="90"/>
      <c r="ABZ243" s="90"/>
      <c r="ACA243" s="90"/>
      <c r="ACB243" s="90"/>
      <c r="ACC243" s="90"/>
      <c r="ACD243" s="90"/>
      <c r="ACE243" s="90"/>
      <c r="ACF243" s="90"/>
      <c r="ACG243" s="90"/>
      <c r="ACH243" s="90"/>
      <c r="ACI243" s="90"/>
      <c r="ACJ243" s="90"/>
      <c r="ACK243" s="90"/>
      <c r="ACL243" s="90"/>
      <c r="ACM243" s="90"/>
      <c r="ACN243" s="90"/>
      <c r="ACO243" s="90"/>
      <c r="ACP243" s="90"/>
      <c r="ACQ243" s="90"/>
      <c r="ACR243" s="90"/>
      <c r="ACS243" s="90"/>
      <c r="ACT243" s="90"/>
      <c r="ACU243" s="90"/>
      <c r="ACV243" s="90"/>
      <c r="ACW243" s="90"/>
      <c r="ACX243" s="90"/>
      <c r="ACY243" s="90"/>
      <c r="ACZ243" s="90"/>
      <c r="ADA243" s="90"/>
      <c r="ADB243" s="90"/>
      <c r="ADC243" s="90"/>
      <c r="ADD243" s="90"/>
      <c r="ADE243" s="90"/>
      <c r="ADF243" s="90"/>
      <c r="ADG243" s="90"/>
      <c r="ADH243" s="90"/>
      <c r="ADI243" s="90"/>
      <c r="ADJ243" s="90"/>
      <c r="ADK243" s="90"/>
      <c r="ADL243" s="90"/>
      <c r="ADM243" s="90"/>
      <c r="ADN243" s="90"/>
      <c r="ADO243" s="90"/>
      <c r="ADP243" s="90"/>
      <c r="ADQ243" s="90"/>
      <c r="ADR243" s="90"/>
      <c r="ADS243" s="90"/>
      <c r="ADT243" s="90"/>
      <c r="ADU243" s="90"/>
      <c r="ADV243" s="90"/>
      <c r="ADW243" s="90"/>
      <c r="ADX243" s="90"/>
      <c r="ADY243" s="90"/>
      <c r="ADZ243" s="90"/>
      <c r="AEA243" s="90"/>
      <c r="AEB243" s="90"/>
      <c r="AEC243" s="90"/>
      <c r="AED243" s="90"/>
      <c r="AEE243" s="90"/>
      <c r="AEF243" s="90"/>
      <c r="AEG243" s="90"/>
      <c r="AEH243" s="90"/>
      <c r="AEI243" s="90"/>
      <c r="AEJ243" s="90"/>
      <c r="AEK243" s="90"/>
      <c r="AEL243" s="90"/>
      <c r="AEM243" s="90"/>
      <c r="AEN243" s="90"/>
      <c r="AEO243" s="90"/>
      <c r="AEP243" s="90"/>
      <c r="AEQ243" s="90"/>
      <c r="AER243" s="90"/>
      <c r="AES243" s="90"/>
      <c r="AET243" s="90"/>
      <c r="AEU243" s="90"/>
      <c r="AEV243" s="90"/>
      <c r="AEW243" s="90"/>
      <c r="AEX243" s="90"/>
      <c r="AEY243" s="90"/>
      <c r="AEZ243" s="90"/>
      <c r="AFA243" s="90"/>
      <c r="AFB243" s="90"/>
      <c r="AFC243" s="90"/>
      <c r="AFD243" s="90"/>
      <c r="AFE243" s="90"/>
      <c r="AFF243" s="90"/>
      <c r="AFG243" s="90"/>
      <c r="AFH243" s="90"/>
      <c r="AFI243" s="90"/>
      <c r="AFJ243" s="90"/>
      <c r="AFK243" s="90"/>
      <c r="AFL243" s="90"/>
      <c r="AFM243" s="90"/>
      <c r="AFN243" s="90"/>
      <c r="AFO243" s="90"/>
      <c r="AFP243" s="90"/>
      <c r="AFQ243" s="90"/>
      <c r="AFR243" s="90"/>
      <c r="AFS243" s="90"/>
      <c r="AFT243" s="90"/>
      <c r="AFU243" s="90"/>
      <c r="AFV243" s="90"/>
      <c r="AFW243" s="90"/>
      <c r="AFX243" s="90"/>
      <c r="AFY243" s="90"/>
      <c r="AFZ243" s="90"/>
      <c r="AGA243" s="90"/>
      <c r="AGB243" s="90"/>
      <c r="AGC243" s="90"/>
      <c r="AGD243" s="90"/>
      <c r="AGE243" s="90"/>
      <c r="AGF243" s="90"/>
      <c r="AGG243" s="90"/>
      <c r="AGH243" s="90"/>
      <c r="AGI243" s="90"/>
      <c r="AGJ243" s="90"/>
      <c r="AGK243" s="90"/>
      <c r="AGL243" s="90"/>
      <c r="AGM243" s="90"/>
      <c r="AGN243" s="90"/>
      <c r="AGO243" s="90"/>
      <c r="AGP243" s="90"/>
      <c r="AGQ243" s="90"/>
      <c r="AGR243" s="90"/>
      <c r="AGS243" s="90"/>
      <c r="AGT243" s="90"/>
      <c r="AGU243" s="90"/>
      <c r="AGV243" s="90"/>
      <c r="AGW243" s="90"/>
      <c r="AGX243" s="90"/>
      <c r="AGY243" s="90"/>
      <c r="AGZ243" s="90"/>
      <c r="AHA243" s="90"/>
      <c r="AHB243" s="90"/>
      <c r="AHC243" s="90"/>
      <c r="AHD243" s="90"/>
      <c r="AHE243" s="90"/>
      <c r="AHF243" s="90"/>
      <c r="AHG243" s="90"/>
      <c r="AHH243" s="90"/>
      <c r="AHI243" s="90"/>
      <c r="AHJ243" s="90"/>
      <c r="AHK243" s="90"/>
      <c r="AHL243" s="90"/>
      <c r="AHM243" s="90"/>
      <c r="AHN243" s="90"/>
      <c r="AHO243" s="90"/>
      <c r="AHP243" s="90"/>
      <c r="AHQ243" s="90"/>
      <c r="AHR243" s="90"/>
      <c r="AHS243" s="90"/>
      <c r="AHT243" s="90"/>
      <c r="AHU243" s="90"/>
      <c r="AHV243" s="90"/>
      <c r="AHW243" s="90"/>
      <c r="AHX243" s="90"/>
      <c r="AHY243" s="90"/>
      <c r="AHZ243" s="90"/>
      <c r="AIA243" s="90"/>
      <c r="AIB243" s="90"/>
      <c r="AIC243" s="90"/>
      <c r="AID243" s="90"/>
      <c r="AIE243" s="90"/>
      <c r="AIF243" s="90"/>
      <c r="AIG243" s="90"/>
      <c r="AIH243" s="90"/>
      <c r="AII243" s="90"/>
      <c r="AIJ243" s="90"/>
      <c r="AIK243" s="90"/>
      <c r="AIL243" s="90"/>
      <c r="AIM243" s="90"/>
      <c r="AIN243" s="90"/>
      <c r="AIO243" s="90"/>
      <c r="AIP243" s="90"/>
      <c r="AIQ243" s="90"/>
      <c r="AIR243" s="90"/>
      <c r="AIS243" s="90"/>
      <c r="AIT243" s="90"/>
      <c r="AIU243" s="90"/>
      <c r="AIV243" s="90"/>
      <c r="AIW243" s="90"/>
      <c r="AIX243" s="90"/>
      <c r="AIY243" s="90"/>
      <c r="AIZ243" s="90"/>
      <c r="AJA243" s="90"/>
      <c r="AJB243" s="90"/>
      <c r="AJC243" s="90"/>
      <c r="AJD243" s="90"/>
      <c r="AJE243" s="90"/>
      <c r="AJF243" s="90"/>
      <c r="AJG243" s="90"/>
      <c r="AJH243" s="90"/>
      <c r="AJI243" s="90"/>
      <c r="AJJ243" s="90"/>
      <c r="AJK243" s="90"/>
      <c r="AJL243" s="90"/>
      <c r="AJM243" s="90"/>
      <c r="AJN243" s="90"/>
      <c r="AJO243" s="90"/>
      <c r="AJP243" s="90"/>
      <c r="AJQ243" s="90"/>
      <c r="AJR243" s="90"/>
      <c r="AJS243" s="90"/>
      <c r="AJT243" s="90"/>
      <c r="AJU243" s="90"/>
      <c r="AJV243" s="90"/>
      <c r="AJW243" s="90"/>
      <c r="AJX243" s="90"/>
      <c r="AJY243" s="90"/>
      <c r="AJZ243" s="90"/>
      <c r="AKA243" s="90"/>
      <c r="AKB243" s="90"/>
      <c r="AKC243" s="90"/>
      <c r="AKD243" s="90"/>
      <c r="AKE243" s="90"/>
      <c r="AKF243" s="90"/>
      <c r="AKG243" s="90"/>
      <c r="AKH243" s="90"/>
      <c r="AKI243" s="90"/>
      <c r="AKJ243" s="90"/>
      <c r="AKK243" s="90"/>
      <c r="AKL243" s="90"/>
      <c r="AKM243" s="90"/>
      <c r="AKN243" s="90"/>
      <c r="AKO243" s="90"/>
      <c r="AKP243" s="90"/>
      <c r="AKQ243" s="90"/>
      <c r="AKR243" s="90"/>
      <c r="AKS243" s="90"/>
      <c r="AKT243" s="90"/>
      <c r="AKU243" s="90"/>
      <c r="AKV243" s="90"/>
      <c r="AKW243" s="90"/>
      <c r="AKX243" s="90"/>
      <c r="AKY243" s="90"/>
      <c r="AKZ243" s="90"/>
      <c r="ALA243" s="90"/>
      <c r="ALB243" s="90"/>
      <c r="ALC243" s="90"/>
      <c r="ALD243" s="90"/>
      <c r="ALE243" s="90"/>
      <c r="ALF243" s="90"/>
      <c r="ALG243" s="90"/>
      <c r="ALH243" s="90"/>
      <c r="ALI243" s="90"/>
      <c r="ALJ243" s="90"/>
      <c r="ALK243" s="90"/>
      <c r="ALL243" s="90"/>
      <c r="ALM243" s="90"/>
      <c r="ALN243" s="90"/>
      <c r="ALO243" s="90"/>
      <c r="ALP243" s="90"/>
      <c r="ALQ243" s="90"/>
      <c r="ALR243" s="90"/>
      <c r="ALS243" s="90"/>
      <c r="ALT243" s="90"/>
      <c r="ALU243" s="90"/>
      <c r="ALV243" s="90"/>
      <c r="ALW243" s="90"/>
      <c r="ALX243" s="90"/>
      <c r="ALY243" s="90"/>
      <c r="ALZ243" s="90"/>
      <c r="AMA243" s="90"/>
      <c r="AMB243" s="90"/>
      <c r="AMC243" s="90"/>
    </row>
    <row r="244" spans="1:1017">
      <c r="A244" s="98" t="s">
        <v>51</v>
      </c>
      <c r="B244" s="90" t="str">
        <f t="shared" si="1582"/>
        <v xml:space="preserve">Belanak </v>
      </c>
      <c r="E244" s="98">
        <v>60000</v>
      </c>
      <c r="F244" s="98">
        <v>1800000</v>
      </c>
      <c r="Q244" s="91">
        <f t="shared" si="1583"/>
        <v>60000</v>
      </c>
      <c r="R244" s="91">
        <f t="shared" si="1584"/>
        <v>1800000</v>
      </c>
      <c r="AG244" s="91">
        <f t="shared" si="1585"/>
        <v>0</v>
      </c>
      <c r="AH244" s="91">
        <f t="shared" si="1586"/>
        <v>0</v>
      </c>
      <c r="AW244" s="91">
        <f t="shared" si="1587"/>
        <v>0</v>
      </c>
      <c r="AX244" s="91">
        <f t="shared" si="1588"/>
        <v>0</v>
      </c>
      <c r="BM244" s="91">
        <f t="shared" si="1589"/>
        <v>0</v>
      </c>
      <c r="BN244" s="91">
        <f t="shared" si="1590"/>
        <v>0</v>
      </c>
      <c r="CC244" s="91">
        <f t="shared" si="1591"/>
        <v>0</v>
      </c>
      <c r="CD244" s="91">
        <f t="shared" si="1592"/>
        <v>0</v>
      </c>
      <c r="CS244" s="91">
        <f t="shared" si="1593"/>
        <v>0</v>
      </c>
      <c r="CT244" s="91">
        <f t="shared" si="1594"/>
        <v>0</v>
      </c>
      <c r="DI244" s="91">
        <f t="shared" si="1595"/>
        <v>0</v>
      </c>
      <c r="DJ244" s="91">
        <f t="shared" si="1596"/>
        <v>0</v>
      </c>
      <c r="DY244" s="91">
        <f t="shared" si="1597"/>
        <v>0</v>
      </c>
      <c r="DZ244" s="91">
        <f t="shared" si="1598"/>
        <v>0</v>
      </c>
      <c r="EO244" s="91">
        <f t="shared" si="1599"/>
        <v>0</v>
      </c>
      <c r="EP244" s="91">
        <f t="shared" si="1600"/>
        <v>0</v>
      </c>
      <c r="FE244" s="91">
        <f t="shared" si="1601"/>
        <v>0</v>
      </c>
      <c r="FF244" s="91">
        <f t="shared" si="1602"/>
        <v>0</v>
      </c>
      <c r="FU244" s="91">
        <f t="shared" si="1603"/>
        <v>0</v>
      </c>
      <c r="FV244" s="91">
        <f t="shared" si="1604"/>
        <v>0</v>
      </c>
      <c r="GK244" s="91">
        <f t="shared" si="1605"/>
        <v>0</v>
      </c>
      <c r="GL244" s="91">
        <f t="shared" si="1606"/>
        <v>0</v>
      </c>
      <c r="HA244" s="91">
        <f t="shared" si="1607"/>
        <v>0</v>
      </c>
      <c r="HB244" s="91">
        <f t="shared" si="1608"/>
        <v>0</v>
      </c>
      <c r="HQ244" s="91">
        <f t="shared" si="1609"/>
        <v>0</v>
      </c>
      <c r="HR244" s="91">
        <f t="shared" si="1610"/>
        <v>0</v>
      </c>
      <c r="IG244" s="91">
        <f t="shared" si="1611"/>
        <v>0</v>
      </c>
      <c r="IH244" s="91">
        <f t="shared" si="1612"/>
        <v>0</v>
      </c>
      <c r="IW244" s="91">
        <f t="shared" si="1613"/>
        <v>0</v>
      </c>
      <c r="IX244" s="91">
        <f t="shared" si="1614"/>
        <v>0</v>
      </c>
      <c r="JM244" s="91">
        <f t="shared" si="1615"/>
        <v>0</v>
      </c>
      <c r="JN244" s="91">
        <f t="shared" si="1616"/>
        <v>0</v>
      </c>
      <c r="KC244" s="91">
        <f t="shared" si="1617"/>
        <v>0</v>
      </c>
      <c r="KD244" s="91">
        <f t="shared" si="1618"/>
        <v>0</v>
      </c>
      <c r="KS244" s="91">
        <f t="shared" si="1619"/>
        <v>0</v>
      </c>
      <c r="KT244" s="91">
        <f t="shared" si="1620"/>
        <v>0</v>
      </c>
      <c r="LI244" s="91">
        <f t="shared" si="1621"/>
        <v>0</v>
      </c>
      <c r="LJ244" s="91">
        <f t="shared" si="1622"/>
        <v>0</v>
      </c>
      <c r="LY244" s="91">
        <f t="shared" si="1623"/>
        <v>0</v>
      </c>
      <c r="LZ244" s="91">
        <f t="shared" si="1624"/>
        <v>0</v>
      </c>
      <c r="MO244" s="91">
        <f t="shared" si="1625"/>
        <v>0</v>
      </c>
      <c r="MP244" s="91">
        <f t="shared" si="1626"/>
        <v>0</v>
      </c>
      <c r="MS244" s="98">
        <v>150</v>
      </c>
      <c r="MT244" s="98">
        <v>3300</v>
      </c>
      <c r="NE244" s="91">
        <f t="shared" si="1627"/>
        <v>150</v>
      </c>
      <c r="NF244" s="91">
        <f t="shared" si="1628"/>
        <v>3300</v>
      </c>
      <c r="NU244" s="91">
        <f t="shared" si="1629"/>
        <v>0</v>
      </c>
      <c r="NV244" s="91">
        <f t="shared" si="1630"/>
        <v>0</v>
      </c>
      <c r="OK244" s="91">
        <f t="shared" si="1631"/>
        <v>0</v>
      </c>
      <c r="OL244" s="91">
        <f t="shared" si="1632"/>
        <v>0</v>
      </c>
      <c r="PA244" s="91">
        <f t="shared" si="1633"/>
        <v>0</v>
      </c>
      <c r="PB244" s="91">
        <f t="shared" si="1634"/>
        <v>0</v>
      </c>
      <c r="PQ244" s="91">
        <f t="shared" si="1635"/>
        <v>0</v>
      </c>
      <c r="PR244" s="91">
        <f t="shared" si="1636"/>
        <v>0</v>
      </c>
      <c r="QG244" s="91">
        <f t="shared" si="1637"/>
        <v>0</v>
      </c>
      <c r="QH244" s="91">
        <f t="shared" si="1638"/>
        <v>0</v>
      </c>
      <c r="QW244" s="91">
        <f t="shared" si="1639"/>
        <v>0</v>
      </c>
      <c r="QX244" s="91">
        <f t="shared" si="1640"/>
        <v>0</v>
      </c>
      <c r="RM244" s="91">
        <f t="shared" si="1641"/>
        <v>0</v>
      </c>
      <c r="RN244" s="91">
        <f t="shared" si="1642"/>
        <v>0</v>
      </c>
      <c r="SC244" s="91">
        <f t="shared" si="1643"/>
        <v>0</v>
      </c>
      <c r="SD244" s="91">
        <f t="shared" si="1644"/>
        <v>0</v>
      </c>
      <c r="SS244" s="91">
        <f t="shared" si="1645"/>
        <v>0</v>
      </c>
      <c r="ST244" s="91">
        <f t="shared" si="1646"/>
        <v>0</v>
      </c>
      <c r="TI244" s="91">
        <f t="shared" si="1647"/>
        <v>0</v>
      </c>
      <c r="TJ244" s="91">
        <f t="shared" si="1648"/>
        <v>0</v>
      </c>
      <c r="TY244" s="91">
        <f t="shared" si="1649"/>
        <v>0</v>
      </c>
      <c r="TZ244" s="91">
        <f t="shared" si="1650"/>
        <v>0</v>
      </c>
      <c r="UO244" s="91">
        <f t="shared" si="1651"/>
        <v>0</v>
      </c>
      <c r="UP244" s="91">
        <f t="shared" si="1652"/>
        <v>0</v>
      </c>
      <c r="VE244" s="91">
        <f t="shared" si="1653"/>
        <v>0</v>
      </c>
      <c r="VF244" s="91">
        <f t="shared" si="1654"/>
        <v>0</v>
      </c>
      <c r="VU244" s="91">
        <f t="shared" si="1655"/>
        <v>0</v>
      </c>
      <c r="VV244" s="91">
        <f t="shared" si="1656"/>
        <v>0</v>
      </c>
      <c r="WK244" s="91">
        <f t="shared" si="1657"/>
        <v>0</v>
      </c>
      <c r="WL244" s="91">
        <f t="shared" si="1658"/>
        <v>0</v>
      </c>
      <c r="WM244" s="89"/>
      <c r="WN244" s="87">
        <f t="shared" si="1659"/>
        <v>0</v>
      </c>
      <c r="WO244" s="87">
        <f t="shared" si="1660"/>
        <v>0</v>
      </c>
      <c r="WP244" s="87">
        <f t="shared" si="1661"/>
        <v>60150</v>
      </c>
      <c r="WQ244" s="87">
        <f t="shared" si="1662"/>
        <v>1803300</v>
      </c>
      <c r="WR244" s="87">
        <f t="shared" si="1663"/>
        <v>0</v>
      </c>
      <c r="WS244" s="87">
        <f t="shared" si="1664"/>
        <v>0</v>
      </c>
      <c r="WT244" s="87">
        <f t="shared" si="1665"/>
        <v>0</v>
      </c>
      <c r="WU244" s="87">
        <f t="shared" si="1666"/>
        <v>0</v>
      </c>
      <c r="WV244" s="87">
        <f t="shared" si="1667"/>
        <v>0</v>
      </c>
      <c r="WW244" s="87">
        <f t="shared" si="1668"/>
        <v>0</v>
      </c>
      <c r="WX244" s="87">
        <f t="shared" si="1669"/>
        <v>0</v>
      </c>
      <c r="WY244" s="87">
        <f t="shared" si="1670"/>
        <v>0</v>
      </c>
      <c r="WZ244" s="87">
        <f t="shared" si="1671"/>
        <v>0</v>
      </c>
      <c r="XA244" s="87">
        <f t="shared" si="1672"/>
        <v>0</v>
      </c>
      <c r="XB244" s="92">
        <f t="shared" si="1673"/>
        <v>60150</v>
      </c>
      <c r="XC244" s="92">
        <f t="shared" si="1674"/>
        <v>1803300</v>
      </c>
      <c r="XD244" s="89"/>
      <c r="XE244" s="92"/>
      <c r="XF244" s="92"/>
      <c r="XG244" s="89"/>
      <c r="XH244" s="92"/>
      <c r="XI244" s="92"/>
      <c r="XJ244" s="89"/>
      <c r="XK244" s="87"/>
      <c r="XL244" s="87"/>
      <c r="XM244" s="87"/>
      <c r="XN244" s="87"/>
      <c r="XO244" s="87"/>
      <c r="XP244" s="87"/>
      <c r="XQ244" s="87"/>
      <c r="XR244" s="92">
        <f t="shared" ca="1" si="1675"/>
        <v>0</v>
      </c>
      <c r="XS244" s="89"/>
      <c r="XT244" s="87"/>
      <c r="XU244" s="87"/>
      <c r="XV244" s="87"/>
      <c r="XW244" s="87"/>
      <c r="XX244" s="87"/>
      <c r="XY244" s="87"/>
      <c r="XZ244" s="87"/>
      <c r="YA244" s="92">
        <f t="shared" ca="1" si="1676"/>
        <v>0</v>
      </c>
      <c r="YB244" s="90"/>
      <c r="YC244" s="90"/>
      <c r="YD244" s="90"/>
      <c r="YE244" s="90"/>
      <c r="YF244" s="90"/>
      <c r="YG244" s="90"/>
      <c r="YH244" s="90"/>
      <c r="YI244" s="90"/>
      <c r="YJ244" s="90"/>
      <c r="YK244" s="90"/>
      <c r="YL244" s="90"/>
      <c r="YM244" s="90"/>
      <c r="YN244" s="90"/>
      <c r="YO244" s="90"/>
      <c r="YP244" s="90"/>
      <c r="YQ244" s="90"/>
      <c r="YR244" s="90"/>
      <c r="YS244" s="90"/>
      <c r="YT244" s="90"/>
      <c r="YU244" s="90"/>
      <c r="YV244" s="90"/>
      <c r="YW244" s="90"/>
      <c r="YX244" s="90"/>
      <c r="YY244" s="90"/>
      <c r="YZ244" s="90"/>
      <c r="ZA244" s="90"/>
      <c r="ZB244" s="90"/>
      <c r="ZC244" s="90"/>
      <c r="ZD244" s="90"/>
      <c r="ZE244" s="90"/>
      <c r="ZF244" s="90"/>
      <c r="ZG244" s="90"/>
      <c r="ZH244" s="90"/>
      <c r="ZI244" s="90"/>
      <c r="ZJ244" s="90"/>
      <c r="ZK244" s="90"/>
      <c r="ZL244" s="90"/>
      <c r="ZM244" s="90"/>
      <c r="ZN244" s="90"/>
      <c r="ZO244" s="90"/>
      <c r="ZP244" s="90"/>
      <c r="ZQ244" s="90"/>
      <c r="ZR244" s="90"/>
      <c r="ZS244" s="90"/>
      <c r="ZT244" s="90"/>
      <c r="ZU244" s="90"/>
      <c r="ZV244" s="90"/>
      <c r="ZW244" s="90"/>
      <c r="ZX244" s="90"/>
      <c r="ZY244" s="90"/>
      <c r="ZZ244" s="90"/>
      <c r="AAA244" s="90"/>
      <c r="AAB244" s="90"/>
      <c r="AAC244" s="90"/>
      <c r="AAD244" s="90"/>
      <c r="AAE244" s="90"/>
      <c r="AAF244" s="90"/>
      <c r="AAG244" s="90"/>
      <c r="AAH244" s="90"/>
      <c r="AAI244" s="90"/>
      <c r="AAJ244" s="90"/>
      <c r="AAK244" s="90"/>
      <c r="AAL244" s="90"/>
      <c r="AAM244" s="90"/>
      <c r="AAN244" s="90"/>
      <c r="AAO244" s="90"/>
      <c r="AAP244" s="90"/>
      <c r="AAQ244" s="90"/>
      <c r="AAR244" s="90"/>
      <c r="AAS244" s="90"/>
      <c r="AAT244" s="90"/>
      <c r="AAU244" s="90"/>
      <c r="AAV244" s="90"/>
      <c r="AAW244" s="90"/>
      <c r="AAX244" s="90"/>
      <c r="AAY244" s="90"/>
      <c r="AAZ244" s="90"/>
      <c r="ABA244" s="90"/>
      <c r="ABB244" s="90"/>
      <c r="ABC244" s="90"/>
      <c r="ABD244" s="90"/>
      <c r="ABE244" s="90"/>
      <c r="ABF244" s="90"/>
      <c r="ABG244" s="90"/>
      <c r="ABH244" s="90"/>
      <c r="ABI244" s="90"/>
      <c r="ABJ244" s="90"/>
      <c r="ABK244" s="90"/>
      <c r="ABL244" s="90"/>
      <c r="ABM244" s="90"/>
      <c r="ABN244" s="90"/>
      <c r="ABO244" s="90"/>
      <c r="ABP244" s="90"/>
      <c r="ABQ244" s="90"/>
      <c r="ABR244" s="90"/>
      <c r="ABS244" s="90"/>
      <c r="ABT244" s="90"/>
      <c r="ABU244" s="90"/>
      <c r="ABV244" s="90"/>
      <c r="ABW244" s="90"/>
      <c r="ABX244" s="90"/>
      <c r="ABY244" s="90"/>
      <c r="ABZ244" s="90"/>
      <c r="ACA244" s="90"/>
      <c r="ACB244" s="90"/>
      <c r="ACC244" s="90"/>
      <c r="ACD244" s="90"/>
      <c r="ACE244" s="90"/>
      <c r="ACF244" s="90"/>
      <c r="ACG244" s="90"/>
      <c r="ACH244" s="90"/>
      <c r="ACI244" s="90"/>
      <c r="ACJ244" s="90"/>
      <c r="ACK244" s="90"/>
      <c r="ACL244" s="90"/>
      <c r="ACM244" s="90"/>
      <c r="ACN244" s="90"/>
      <c r="ACO244" s="90"/>
      <c r="ACP244" s="90"/>
      <c r="ACQ244" s="90"/>
      <c r="ACR244" s="90"/>
      <c r="ACS244" s="90"/>
      <c r="ACT244" s="90"/>
      <c r="ACU244" s="90"/>
      <c r="ACV244" s="90"/>
      <c r="ACW244" s="90"/>
      <c r="ACX244" s="90"/>
      <c r="ACY244" s="90"/>
      <c r="ACZ244" s="90"/>
      <c r="ADA244" s="90"/>
      <c r="ADB244" s="90"/>
      <c r="ADC244" s="90"/>
      <c r="ADD244" s="90"/>
      <c r="ADE244" s="90"/>
      <c r="ADF244" s="90"/>
      <c r="ADG244" s="90"/>
      <c r="ADH244" s="90"/>
      <c r="ADI244" s="90"/>
      <c r="ADJ244" s="90"/>
      <c r="ADK244" s="90"/>
      <c r="ADL244" s="90"/>
      <c r="ADM244" s="90"/>
      <c r="ADN244" s="90"/>
      <c r="ADO244" s="90"/>
      <c r="ADP244" s="90"/>
      <c r="ADQ244" s="90"/>
      <c r="ADR244" s="90"/>
      <c r="ADS244" s="90"/>
      <c r="ADT244" s="90"/>
      <c r="ADU244" s="90"/>
      <c r="ADV244" s="90"/>
      <c r="ADW244" s="90"/>
      <c r="ADX244" s="90"/>
      <c r="ADY244" s="90"/>
      <c r="ADZ244" s="90"/>
      <c r="AEA244" s="90"/>
      <c r="AEB244" s="90"/>
      <c r="AEC244" s="90"/>
      <c r="AED244" s="90"/>
      <c r="AEE244" s="90"/>
      <c r="AEF244" s="90"/>
      <c r="AEG244" s="90"/>
      <c r="AEH244" s="90"/>
      <c r="AEI244" s="90"/>
      <c r="AEJ244" s="90"/>
      <c r="AEK244" s="90"/>
      <c r="AEL244" s="90"/>
      <c r="AEM244" s="90"/>
      <c r="AEN244" s="90"/>
      <c r="AEO244" s="90"/>
      <c r="AEP244" s="90"/>
      <c r="AEQ244" s="90"/>
      <c r="AER244" s="90"/>
      <c r="AES244" s="90"/>
      <c r="AET244" s="90"/>
      <c r="AEU244" s="90"/>
      <c r="AEV244" s="90"/>
      <c r="AEW244" s="90"/>
      <c r="AEX244" s="90"/>
      <c r="AEY244" s="90"/>
      <c r="AEZ244" s="90"/>
      <c r="AFA244" s="90"/>
      <c r="AFB244" s="90"/>
      <c r="AFC244" s="90"/>
      <c r="AFD244" s="90"/>
      <c r="AFE244" s="90"/>
      <c r="AFF244" s="90"/>
      <c r="AFG244" s="90"/>
      <c r="AFH244" s="90"/>
      <c r="AFI244" s="90"/>
      <c r="AFJ244" s="90"/>
      <c r="AFK244" s="90"/>
      <c r="AFL244" s="90"/>
      <c r="AFM244" s="90"/>
      <c r="AFN244" s="90"/>
      <c r="AFO244" s="90"/>
      <c r="AFP244" s="90"/>
      <c r="AFQ244" s="90"/>
      <c r="AFR244" s="90"/>
      <c r="AFS244" s="90"/>
      <c r="AFT244" s="90"/>
      <c r="AFU244" s="90"/>
      <c r="AFV244" s="90"/>
      <c r="AFW244" s="90"/>
      <c r="AFX244" s="90"/>
      <c r="AFY244" s="90"/>
      <c r="AFZ244" s="90"/>
      <c r="AGA244" s="90"/>
      <c r="AGB244" s="90"/>
      <c r="AGC244" s="90"/>
      <c r="AGD244" s="90"/>
      <c r="AGE244" s="90"/>
      <c r="AGF244" s="90"/>
      <c r="AGG244" s="90"/>
      <c r="AGH244" s="90"/>
      <c r="AGI244" s="90"/>
      <c r="AGJ244" s="90"/>
      <c r="AGK244" s="90"/>
      <c r="AGL244" s="90"/>
      <c r="AGM244" s="90"/>
      <c r="AGN244" s="90"/>
      <c r="AGO244" s="90"/>
      <c r="AGP244" s="90"/>
      <c r="AGQ244" s="90"/>
      <c r="AGR244" s="90"/>
      <c r="AGS244" s="90"/>
      <c r="AGT244" s="90"/>
      <c r="AGU244" s="90"/>
      <c r="AGV244" s="90"/>
      <c r="AGW244" s="90"/>
      <c r="AGX244" s="90"/>
      <c r="AGY244" s="90"/>
      <c r="AGZ244" s="90"/>
      <c r="AHA244" s="90"/>
      <c r="AHB244" s="90"/>
      <c r="AHC244" s="90"/>
      <c r="AHD244" s="90"/>
      <c r="AHE244" s="90"/>
      <c r="AHF244" s="90"/>
      <c r="AHG244" s="90"/>
      <c r="AHH244" s="90"/>
      <c r="AHI244" s="90"/>
      <c r="AHJ244" s="90"/>
      <c r="AHK244" s="90"/>
      <c r="AHL244" s="90"/>
      <c r="AHM244" s="90"/>
      <c r="AHN244" s="90"/>
      <c r="AHO244" s="90"/>
      <c r="AHP244" s="90"/>
      <c r="AHQ244" s="90"/>
      <c r="AHR244" s="90"/>
      <c r="AHS244" s="90"/>
      <c r="AHT244" s="90"/>
      <c r="AHU244" s="90"/>
      <c r="AHV244" s="90"/>
      <c r="AHW244" s="90"/>
      <c r="AHX244" s="90"/>
      <c r="AHY244" s="90"/>
      <c r="AHZ244" s="90"/>
      <c r="AIA244" s="90"/>
      <c r="AIB244" s="90"/>
      <c r="AIC244" s="90"/>
      <c r="AID244" s="90"/>
      <c r="AIE244" s="90"/>
      <c r="AIF244" s="90"/>
      <c r="AIG244" s="90"/>
      <c r="AIH244" s="90"/>
      <c r="AII244" s="90"/>
      <c r="AIJ244" s="90"/>
      <c r="AIK244" s="90"/>
      <c r="AIL244" s="90"/>
      <c r="AIM244" s="90"/>
      <c r="AIN244" s="90"/>
      <c r="AIO244" s="90"/>
      <c r="AIP244" s="90"/>
      <c r="AIQ244" s="90"/>
      <c r="AIR244" s="90"/>
      <c r="AIS244" s="90"/>
      <c r="AIT244" s="90"/>
      <c r="AIU244" s="90"/>
      <c r="AIV244" s="90"/>
      <c r="AIW244" s="90"/>
      <c r="AIX244" s="90"/>
      <c r="AIY244" s="90"/>
      <c r="AIZ244" s="90"/>
      <c r="AJA244" s="90"/>
      <c r="AJB244" s="90"/>
      <c r="AJC244" s="90"/>
      <c r="AJD244" s="90"/>
      <c r="AJE244" s="90"/>
      <c r="AJF244" s="90"/>
      <c r="AJG244" s="90"/>
      <c r="AJH244" s="90"/>
      <c r="AJI244" s="90"/>
      <c r="AJJ244" s="90"/>
      <c r="AJK244" s="90"/>
      <c r="AJL244" s="90"/>
      <c r="AJM244" s="90"/>
      <c r="AJN244" s="90"/>
      <c r="AJO244" s="90"/>
      <c r="AJP244" s="90"/>
      <c r="AJQ244" s="90"/>
      <c r="AJR244" s="90"/>
      <c r="AJS244" s="90"/>
      <c r="AJT244" s="90"/>
      <c r="AJU244" s="90"/>
      <c r="AJV244" s="90"/>
      <c r="AJW244" s="90"/>
      <c r="AJX244" s="90"/>
      <c r="AJY244" s="90"/>
      <c r="AJZ244" s="90"/>
      <c r="AKA244" s="90"/>
      <c r="AKB244" s="90"/>
      <c r="AKC244" s="90"/>
      <c r="AKD244" s="90"/>
      <c r="AKE244" s="90"/>
      <c r="AKF244" s="90"/>
      <c r="AKG244" s="90"/>
      <c r="AKH244" s="90"/>
      <c r="AKI244" s="90"/>
      <c r="AKJ244" s="90"/>
      <c r="AKK244" s="90"/>
      <c r="AKL244" s="90"/>
      <c r="AKM244" s="90"/>
      <c r="AKN244" s="90"/>
      <c r="AKO244" s="90"/>
      <c r="AKP244" s="90"/>
      <c r="AKQ244" s="90"/>
      <c r="AKR244" s="90"/>
      <c r="AKS244" s="90"/>
      <c r="AKT244" s="90"/>
      <c r="AKU244" s="90"/>
      <c r="AKV244" s="90"/>
      <c r="AKW244" s="90"/>
      <c r="AKX244" s="90"/>
      <c r="AKY244" s="90"/>
      <c r="AKZ244" s="90"/>
      <c r="ALA244" s="90"/>
      <c r="ALB244" s="90"/>
      <c r="ALC244" s="90"/>
      <c r="ALD244" s="90"/>
      <c r="ALE244" s="90"/>
      <c r="ALF244" s="90"/>
      <c r="ALG244" s="90"/>
      <c r="ALH244" s="90"/>
      <c r="ALI244" s="90"/>
      <c r="ALJ244" s="90"/>
      <c r="ALK244" s="90"/>
      <c r="ALL244" s="90"/>
      <c r="ALM244" s="90"/>
      <c r="ALN244" s="90"/>
      <c r="ALO244" s="90"/>
      <c r="ALP244" s="90"/>
      <c r="ALQ244" s="90"/>
      <c r="ALR244" s="90"/>
      <c r="ALS244" s="90"/>
      <c r="ALT244" s="90"/>
      <c r="ALU244" s="90"/>
      <c r="ALV244" s="90"/>
      <c r="ALW244" s="90"/>
      <c r="ALX244" s="90"/>
      <c r="ALY244" s="90"/>
      <c r="ALZ244" s="90"/>
      <c r="AMA244" s="90"/>
      <c r="AMB244" s="90"/>
      <c r="AMC244" s="90"/>
    </row>
    <row r="245" spans="1:1017">
      <c r="A245" s="98" t="s">
        <v>51</v>
      </c>
      <c r="B245" s="90" t="str">
        <f t="shared" si="1582"/>
        <v xml:space="preserve">Eucheuma cottonii </v>
      </c>
      <c r="Q245" s="91">
        <f t="shared" si="1583"/>
        <v>0</v>
      </c>
      <c r="R245" s="91">
        <f t="shared" si="1584"/>
        <v>0</v>
      </c>
      <c r="AG245" s="91">
        <f t="shared" si="1585"/>
        <v>0</v>
      </c>
      <c r="AH245" s="91">
        <f t="shared" si="1586"/>
        <v>0</v>
      </c>
      <c r="AW245" s="91">
        <f t="shared" si="1587"/>
        <v>0</v>
      </c>
      <c r="AX245" s="91">
        <f t="shared" si="1588"/>
        <v>0</v>
      </c>
      <c r="BM245" s="91">
        <f t="shared" si="1589"/>
        <v>0</v>
      </c>
      <c r="BN245" s="91">
        <f t="shared" si="1590"/>
        <v>0</v>
      </c>
      <c r="CC245" s="91">
        <f t="shared" si="1591"/>
        <v>0</v>
      </c>
      <c r="CD245" s="91">
        <f t="shared" si="1592"/>
        <v>0</v>
      </c>
      <c r="CS245" s="91">
        <f t="shared" si="1593"/>
        <v>0</v>
      </c>
      <c r="CT245" s="91">
        <f t="shared" si="1594"/>
        <v>0</v>
      </c>
      <c r="DI245" s="91">
        <f t="shared" si="1595"/>
        <v>0</v>
      </c>
      <c r="DJ245" s="91">
        <f t="shared" si="1596"/>
        <v>0</v>
      </c>
      <c r="DY245" s="91">
        <f t="shared" si="1597"/>
        <v>0</v>
      </c>
      <c r="DZ245" s="91">
        <f t="shared" si="1598"/>
        <v>0</v>
      </c>
      <c r="EO245" s="91">
        <f t="shared" si="1599"/>
        <v>0</v>
      </c>
      <c r="EP245" s="91">
        <f t="shared" si="1600"/>
        <v>0</v>
      </c>
      <c r="FE245" s="91">
        <f t="shared" si="1601"/>
        <v>0</v>
      </c>
      <c r="FF245" s="91">
        <f t="shared" si="1602"/>
        <v>0</v>
      </c>
      <c r="FU245" s="91">
        <f t="shared" si="1603"/>
        <v>0</v>
      </c>
      <c r="FV245" s="91">
        <f t="shared" si="1604"/>
        <v>0</v>
      </c>
      <c r="GK245" s="91">
        <f t="shared" si="1605"/>
        <v>0</v>
      </c>
      <c r="GL245" s="91">
        <f t="shared" si="1606"/>
        <v>0</v>
      </c>
      <c r="HA245" s="91">
        <f t="shared" si="1607"/>
        <v>0</v>
      </c>
      <c r="HB245" s="91">
        <f t="shared" si="1608"/>
        <v>0</v>
      </c>
      <c r="HQ245" s="91">
        <f t="shared" si="1609"/>
        <v>0</v>
      </c>
      <c r="HR245" s="91">
        <f t="shared" si="1610"/>
        <v>0</v>
      </c>
      <c r="IG245" s="91">
        <f t="shared" si="1611"/>
        <v>0</v>
      </c>
      <c r="IH245" s="91">
        <f t="shared" si="1612"/>
        <v>0</v>
      </c>
      <c r="IW245" s="91">
        <f t="shared" si="1613"/>
        <v>0</v>
      </c>
      <c r="IX245" s="91">
        <f t="shared" si="1614"/>
        <v>0</v>
      </c>
      <c r="JM245" s="91">
        <f t="shared" si="1615"/>
        <v>0</v>
      </c>
      <c r="JN245" s="91">
        <f t="shared" si="1616"/>
        <v>0</v>
      </c>
      <c r="KC245" s="91">
        <f t="shared" si="1617"/>
        <v>0</v>
      </c>
      <c r="KD245" s="91">
        <f t="shared" si="1618"/>
        <v>0</v>
      </c>
      <c r="KS245" s="91">
        <f t="shared" si="1619"/>
        <v>0</v>
      </c>
      <c r="KT245" s="91">
        <f t="shared" si="1620"/>
        <v>0</v>
      </c>
      <c r="LI245" s="91">
        <f t="shared" si="1621"/>
        <v>0</v>
      </c>
      <c r="LJ245" s="91">
        <f t="shared" si="1622"/>
        <v>0</v>
      </c>
      <c r="LY245" s="91">
        <f t="shared" si="1623"/>
        <v>0</v>
      </c>
      <c r="LZ245" s="91">
        <f t="shared" si="1624"/>
        <v>0</v>
      </c>
      <c r="MO245" s="91">
        <f t="shared" si="1625"/>
        <v>0</v>
      </c>
      <c r="MP245" s="91">
        <f t="shared" si="1626"/>
        <v>0</v>
      </c>
      <c r="NE245" s="91">
        <f t="shared" si="1627"/>
        <v>0</v>
      </c>
      <c r="NF245" s="91">
        <f t="shared" si="1628"/>
        <v>0</v>
      </c>
      <c r="NU245" s="91">
        <f t="shared" si="1629"/>
        <v>0</v>
      </c>
      <c r="NV245" s="91">
        <f t="shared" si="1630"/>
        <v>0</v>
      </c>
      <c r="NW245" s="98">
        <v>3000</v>
      </c>
      <c r="NX245" s="98">
        <v>15000</v>
      </c>
      <c r="OK245" s="91">
        <f t="shared" si="1631"/>
        <v>3000</v>
      </c>
      <c r="OL245" s="91">
        <f t="shared" si="1632"/>
        <v>15000</v>
      </c>
      <c r="OM245" s="98">
        <v>73948410</v>
      </c>
      <c r="ON245" s="98">
        <v>369742050</v>
      </c>
      <c r="PA245" s="91">
        <f t="shared" si="1633"/>
        <v>73948410</v>
      </c>
      <c r="PB245" s="91">
        <f t="shared" si="1634"/>
        <v>369742050</v>
      </c>
      <c r="PQ245" s="91">
        <f t="shared" si="1635"/>
        <v>0</v>
      </c>
      <c r="PR245" s="91">
        <f t="shared" si="1636"/>
        <v>0</v>
      </c>
      <c r="QG245" s="91">
        <f t="shared" si="1637"/>
        <v>0</v>
      </c>
      <c r="QH245" s="91">
        <f t="shared" si="1638"/>
        <v>0</v>
      </c>
      <c r="QW245" s="91">
        <f t="shared" si="1639"/>
        <v>0</v>
      </c>
      <c r="QX245" s="91">
        <f t="shared" si="1640"/>
        <v>0</v>
      </c>
      <c r="RM245" s="91">
        <f t="shared" si="1641"/>
        <v>0</v>
      </c>
      <c r="RN245" s="91">
        <f t="shared" si="1642"/>
        <v>0</v>
      </c>
      <c r="SC245" s="91">
        <f t="shared" si="1643"/>
        <v>0</v>
      </c>
      <c r="SD245" s="91">
        <f t="shared" si="1644"/>
        <v>0</v>
      </c>
      <c r="SS245" s="91">
        <f t="shared" si="1645"/>
        <v>0</v>
      </c>
      <c r="ST245" s="91">
        <f t="shared" si="1646"/>
        <v>0</v>
      </c>
      <c r="TI245" s="91">
        <f t="shared" si="1647"/>
        <v>0</v>
      </c>
      <c r="TJ245" s="91">
        <f t="shared" si="1648"/>
        <v>0</v>
      </c>
      <c r="TY245" s="91">
        <f t="shared" si="1649"/>
        <v>0</v>
      </c>
      <c r="TZ245" s="91">
        <f t="shared" si="1650"/>
        <v>0</v>
      </c>
      <c r="UO245" s="91">
        <f t="shared" si="1651"/>
        <v>0</v>
      </c>
      <c r="UP245" s="91">
        <f t="shared" si="1652"/>
        <v>0</v>
      </c>
      <c r="VE245" s="91">
        <f t="shared" si="1653"/>
        <v>0</v>
      </c>
      <c r="VF245" s="91">
        <f t="shared" si="1654"/>
        <v>0</v>
      </c>
      <c r="VU245" s="91">
        <f t="shared" si="1655"/>
        <v>0</v>
      </c>
      <c r="VV245" s="91">
        <f t="shared" si="1656"/>
        <v>0</v>
      </c>
      <c r="WK245" s="91">
        <f t="shared" si="1657"/>
        <v>0</v>
      </c>
      <c r="WL245" s="91">
        <f t="shared" si="1658"/>
        <v>0</v>
      </c>
      <c r="WM245" s="89"/>
      <c r="WN245" s="87">
        <f t="shared" si="1659"/>
        <v>73951410</v>
      </c>
      <c r="WO245" s="87">
        <f t="shared" si="1660"/>
        <v>369757050</v>
      </c>
      <c r="WP245" s="87">
        <f t="shared" si="1661"/>
        <v>0</v>
      </c>
      <c r="WQ245" s="87">
        <f t="shared" si="1662"/>
        <v>0</v>
      </c>
      <c r="WR245" s="87">
        <f t="shared" si="1663"/>
        <v>0</v>
      </c>
      <c r="WS245" s="87">
        <f t="shared" si="1664"/>
        <v>0</v>
      </c>
      <c r="WT245" s="87">
        <f t="shared" si="1665"/>
        <v>0</v>
      </c>
      <c r="WU245" s="87">
        <f t="shared" si="1666"/>
        <v>0</v>
      </c>
      <c r="WV245" s="87">
        <f t="shared" si="1667"/>
        <v>0</v>
      </c>
      <c r="WW245" s="87">
        <f t="shared" si="1668"/>
        <v>0</v>
      </c>
      <c r="WX245" s="87">
        <f t="shared" si="1669"/>
        <v>0</v>
      </c>
      <c r="WY245" s="87">
        <f t="shared" si="1670"/>
        <v>0</v>
      </c>
      <c r="WZ245" s="87">
        <f t="shared" si="1671"/>
        <v>0</v>
      </c>
      <c r="XA245" s="87">
        <f t="shared" si="1672"/>
        <v>0</v>
      </c>
      <c r="XB245" s="92">
        <f t="shared" si="1673"/>
        <v>73951410</v>
      </c>
      <c r="XC245" s="92">
        <f t="shared" si="1674"/>
        <v>369757050</v>
      </c>
      <c r="XD245" s="89"/>
      <c r="XE245" s="92"/>
      <c r="XF245" s="92"/>
      <c r="XG245" s="89"/>
      <c r="XH245" s="92"/>
      <c r="XI245" s="92"/>
      <c r="XJ245" s="89"/>
      <c r="XK245" s="87"/>
      <c r="XL245" s="87"/>
      <c r="XM245" s="87"/>
      <c r="XN245" s="87"/>
      <c r="XO245" s="87"/>
      <c r="XP245" s="87"/>
      <c r="XQ245" s="87"/>
      <c r="XR245" s="92">
        <f t="shared" ca="1" si="1675"/>
        <v>0</v>
      </c>
      <c r="XS245" s="89"/>
      <c r="XT245" s="87"/>
      <c r="XU245" s="87"/>
      <c r="XV245" s="87"/>
      <c r="XW245" s="87"/>
      <c r="XX245" s="87"/>
      <c r="XY245" s="87"/>
      <c r="XZ245" s="87"/>
      <c r="YA245" s="92">
        <f t="shared" ca="1" si="1676"/>
        <v>0</v>
      </c>
      <c r="YB245" s="90"/>
      <c r="YC245" s="90"/>
      <c r="YD245" s="90"/>
      <c r="YE245" s="90"/>
      <c r="YF245" s="90"/>
      <c r="YG245" s="90"/>
      <c r="YH245" s="90"/>
      <c r="YI245" s="90"/>
      <c r="YJ245" s="90"/>
      <c r="YK245" s="90"/>
      <c r="YL245" s="90"/>
      <c r="YM245" s="90"/>
      <c r="YN245" s="90"/>
      <c r="YO245" s="90"/>
      <c r="YP245" s="90"/>
      <c r="YQ245" s="90"/>
      <c r="YR245" s="90"/>
      <c r="YS245" s="90"/>
      <c r="YT245" s="90"/>
      <c r="YU245" s="90"/>
      <c r="YV245" s="90"/>
      <c r="YW245" s="90"/>
      <c r="YX245" s="90"/>
      <c r="YY245" s="90"/>
      <c r="YZ245" s="90"/>
      <c r="ZA245" s="90"/>
      <c r="ZB245" s="90"/>
      <c r="ZC245" s="90"/>
      <c r="ZD245" s="90"/>
      <c r="ZE245" s="90"/>
      <c r="ZF245" s="90"/>
      <c r="ZG245" s="90"/>
      <c r="ZH245" s="90"/>
      <c r="ZI245" s="90"/>
      <c r="ZJ245" s="90"/>
      <c r="ZK245" s="90"/>
      <c r="ZL245" s="90"/>
      <c r="ZM245" s="90"/>
      <c r="ZN245" s="90"/>
      <c r="ZO245" s="90"/>
      <c r="ZP245" s="90"/>
      <c r="ZQ245" s="90"/>
      <c r="ZR245" s="90"/>
      <c r="ZS245" s="90"/>
      <c r="ZT245" s="90"/>
      <c r="ZU245" s="90"/>
      <c r="ZV245" s="90"/>
      <c r="ZW245" s="90"/>
      <c r="ZX245" s="90"/>
      <c r="ZY245" s="90"/>
      <c r="ZZ245" s="90"/>
      <c r="AAA245" s="90"/>
      <c r="AAB245" s="90"/>
      <c r="AAC245" s="90"/>
      <c r="AAD245" s="90"/>
      <c r="AAE245" s="90"/>
      <c r="AAF245" s="90"/>
      <c r="AAG245" s="90"/>
      <c r="AAH245" s="90"/>
      <c r="AAI245" s="90"/>
      <c r="AAJ245" s="90"/>
      <c r="AAK245" s="90"/>
      <c r="AAL245" s="90"/>
      <c r="AAM245" s="90"/>
      <c r="AAN245" s="90"/>
      <c r="AAO245" s="90"/>
      <c r="AAP245" s="90"/>
      <c r="AAQ245" s="90"/>
      <c r="AAR245" s="90"/>
      <c r="AAS245" s="90"/>
      <c r="AAT245" s="90"/>
      <c r="AAU245" s="90"/>
      <c r="AAV245" s="90"/>
      <c r="AAW245" s="90"/>
      <c r="AAX245" s="90"/>
      <c r="AAY245" s="90"/>
      <c r="AAZ245" s="90"/>
      <c r="ABA245" s="90"/>
      <c r="ABB245" s="90"/>
      <c r="ABC245" s="90"/>
      <c r="ABD245" s="90"/>
      <c r="ABE245" s="90"/>
      <c r="ABF245" s="90"/>
      <c r="ABG245" s="90"/>
      <c r="ABH245" s="90"/>
      <c r="ABI245" s="90"/>
      <c r="ABJ245" s="90"/>
      <c r="ABK245" s="90"/>
      <c r="ABL245" s="90"/>
      <c r="ABM245" s="90"/>
      <c r="ABN245" s="90"/>
      <c r="ABO245" s="90"/>
      <c r="ABP245" s="90"/>
      <c r="ABQ245" s="90"/>
      <c r="ABR245" s="90"/>
      <c r="ABS245" s="90"/>
      <c r="ABT245" s="90"/>
      <c r="ABU245" s="90"/>
      <c r="ABV245" s="90"/>
      <c r="ABW245" s="90"/>
      <c r="ABX245" s="90"/>
      <c r="ABY245" s="90"/>
      <c r="ABZ245" s="90"/>
      <c r="ACA245" s="90"/>
      <c r="ACB245" s="90"/>
      <c r="ACC245" s="90"/>
      <c r="ACD245" s="90"/>
      <c r="ACE245" s="90"/>
      <c r="ACF245" s="90"/>
      <c r="ACG245" s="90"/>
      <c r="ACH245" s="90"/>
      <c r="ACI245" s="90"/>
      <c r="ACJ245" s="90"/>
      <c r="ACK245" s="90"/>
      <c r="ACL245" s="90"/>
      <c r="ACM245" s="90"/>
      <c r="ACN245" s="90"/>
      <c r="ACO245" s="90"/>
      <c r="ACP245" s="90"/>
      <c r="ACQ245" s="90"/>
      <c r="ACR245" s="90"/>
      <c r="ACS245" s="90"/>
      <c r="ACT245" s="90"/>
      <c r="ACU245" s="90"/>
      <c r="ACV245" s="90"/>
      <c r="ACW245" s="90"/>
      <c r="ACX245" s="90"/>
      <c r="ACY245" s="90"/>
      <c r="ACZ245" s="90"/>
      <c r="ADA245" s="90"/>
      <c r="ADB245" s="90"/>
      <c r="ADC245" s="90"/>
      <c r="ADD245" s="90"/>
      <c r="ADE245" s="90"/>
      <c r="ADF245" s="90"/>
      <c r="ADG245" s="90"/>
      <c r="ADH245" s="90"/>
      <c r="ADI245" s="90"/>
      <c r="ADJ245" s="90"/>
      <c r="ADK245" s="90"/>
      <c r="ADL245" s="90"/>
      <c r="ADM245" s="90"/>
      <c r="ADN245" s="90"/>
      <c r="ADO245" s="90"/>
      <c r="ADP245" s="90"/>
      <c r="ADQ245" s="90"/>
      <c r="ADR245" s="90"/>
      <c r="ADS245" s="90"/>
      <c r="ADT245" s="90"/>
      <c r="ADU245" s="90"/>
      <c r="ADV245" s="90"/>
      <c r="ADW245" s="90"/>
      <c r="ADX245" s="90"/>
      <c r="ADY245" s="90"/>
      <c r="ADZ245" s="90"/>
      <c r="AEA245" s="90"/>
      <c r="AEB245" s="90"/>
      <c r="AEC245" s="90"/>
      <c r="AED245" s="90"/>
      <c r="AEE245" s="90"/>
      <c r="AEF245" s="90"/>
      <c r="AEG245" s="90"/>
      <c r="AEH245" s="90"/>
      <c r="AEI245" s="90"/>
      <c r="AEJ245" s="90"/>
      <c r="AEK245" s="90"/>
      <c r="AEL245" s="90"/>
      <c r="AEM245" s="90"/>
      <c r="AEN245" s="90"/>
      <c r="AEO245" s="90"/>
      <c r="AEP245" s="90"/>
      <c r="AEQ245" s="90"/>
      <c r="AER245" s="90"/>
      <c r="AES245" s="90"/>
      <c r="AET245" s="90"/>
      <c r="AEU245" s="90"/>
      <c r="AEV245" s="90"/>
      <c r="AEW245" s="90"/>
      <c r="AEX245" s="90"/>
      <c r="AEY245" s="90"/>
      <c r="AEZ245" s="90"/>
      <c r="AFA245" s="90"/>
      <c r="AFB245" s="90"/>
      <c r="AFC245" s="90"/>
      <c r="AFD245" s="90"/>
      <c r="AFE245" s="90"/>
      <c r="AFF245" s="90"/>
      <c r="AFG245" s="90"/>
      <c r="AFH245" s="90"/>
      <c r="AFI245" s="90"/>
      <c r="AFJ245" s="90"/>
      <c r="AFK245" s="90"/>
      <c r="AFL245" s="90"/>
      <c r="AFM245" s="90"/>
      <c r="AFN245" s="90"/>
      <c r="AFO245" s="90"/>
      <c r="AFP245" s="90"/>
      <c r="AFQ245" s="90"/>
      <c r="AFR245" s="90"/>
      <c r="AFS245" s="90"/>
      <c r="AFT245" s="90"/>
      <c r="AFU245" s="90"/>
      <c r="AFV245" s="90"/>
      <c r="AFW245" s="90"/>
      <c r="AFX245" s="90"/>
      <c r="AFY245" s="90"/>
      <c r="AFZ245" s="90"/>
      <c r="AGA245" s="90"/>
      <c r="AGB245" s="90"/>
      <c r="AGC245" s="90"/>
      <c r="AGD245" s="90"/>
      <c r="AGE245" s="90"/>
      <c r="AGF245" s="90"/>
      <c r="AGG245" s="90"/>
      <c r="AGH245" s="90"/>
      <c r="AGI245" s="90"/>
      <c r="AGJ245" s="90"/>
      <c r="AGK245" s="90"/>
      <c r="AGL245" s="90"/>
      <c r="AGM245" s="90"/>
      <c r="AGN245" s="90"/>
      <c r="AGO245" s="90"/>
      <c r="AGP245" s="90"/>
      <c r="AGQ245" s="90"/>
      <c r="AGR245" s="90"/>
      <c r="AGS245" s="90"/>
      <c r="AGT245" s="90"/>
      <c r="AGU245" s="90"/>
      <c r="AGV245" s="90"/>
      <c r="AGW245" s="90"/>
      <c r="AGX245" s="90"/>
      <c r="AGY245" s="90"/>
      <c r="AGZ245" s="90"/>
      <c r="AHA245" s="90"/>
      <c r="AHB245" s="90"/>
      <c r="AHC245" s="90"/>
      <c r="AHD245" s="90"/>
      <c r="AHE245" s="90"/>
      <c r="AHF245" s="90"/>
      <c r="AHG245" s="90"/>
      <c r="AHH245" s="90"/>
      <c r="AHI245" s="90"/>
      <c r="AHJ245" s="90"/>
      <c r="AHK245" s="90"/>
      <c r="AHL245" s="90"/>
      <c r="AHM245" s="90"/>
      <c r="AHN245" s="90"/>
      <c r="AHO245" s="90"/>
      <c r="AHP245" s="90"/>
      <c r="AHQ245" s="90"/>
      <c r="AHR245" s="90"/>
      <c r="AHS245" s="90"/>
      <c r="AHT245" s="90"/>
      <c r="AHU245" s="90"/>
      <c r="AHV245" s="90"/>
      <c r="AHW245" s="90"/>
      <c r="AHX245" s="90"/>
      <c r="AHY245" s="90"/>
      <c r="AHZ245" s="90"/>
      <c r="AIA245" s="90"/>
      <c r="AIB245" s="90"/>
      <c r="AIC245" s="90"/>
      <c r="AID245" s="90"/>
      <c r="AIE245" s="90"/>
      <c r="AIF245" s="90"/>
      <c r="AIG245" s="90"/>
      <c r="AIH245" s="90"/>
      <c r="AII245" s="90"/>
      <c r="AIJ245" s="90"/>
      <c r="AIK245" s="90"/>
      <c r="AIL245" s="90"/>
      <c r="AIM245" s="90"/>
      <c r="AIN245" s="90"/>
      <c r="AIO245" s="90"/>
      <c r="AIP245" s="90"/>
      <c r="AIQ245" s="90"/>
      <c r="AIR245" s="90"/>
      <c r="AIS245" s="90"/>
      <c r="AIT245" s="90"/>
      <c r="AIU245" s="90"/>
      <c r="AIV245" s="90"/>
      <c r="AIW245" s="90"/>
      <c r="AIX245" s="90"/>
      <c r="AIY245" s="90"/>
      <c r="AIZ245" s="90"/>
      <c r="AJA245" s="90"/>
      <c r="AJB245" s="90"/>
      <c r="AJC245" s="90"/>
      <c r="AJD245" s="90"/>
      <c r="AJE245" s="90"/>
      <c r="AJF245" s="90"/>
      <c r="AJG245" s="90"/>
      <c r="AJH245" s="90"/>
      <c r="AJI245" s="90"/>
      <c r="AJJ245" s="90"/>
      <c r="AJK245" s="90"/>
      <c r="AJL245" s="90"/>
      <c r="AJM245" s="90"/>
      <c r="AJN245" s="90"/>
      <c r="AJO245" s="90"/>
      <c r="AJP245" s="90"/>
      <c r="AJQ245" s="90"/>
      <c r="AJR245" s="90"/>
      <c r="AJS245" s="90"/>
      <c r="AJT245" s="90"/>
      <c r="AJU245" s="90"/>
      <c r="AJV245" s="90"/>
      <c r="AJW245" s="90"/>
      <c r="AJX245" s="90"/>
      <c r="AJY245" s="90"/>
      <c r="AJZ245" s="90"/>
      <c r="AKA245" s="90"/>
      <c r="AKB245" s="90"/>
      <c r="AKC245" s="90"/>
      <c r="AKD245" s="90"/>
      <c r="AKE245" s="90"/>
      <c r="AKF245" s="90"/>
      <c r="AKG245" s="90"/>
      <c r="AKH245" s="90"/>
      <c r="AKI245" s="90"/>
      <c r="AKJ245" s="90"/>
      <c r="AKK245" s="90"/>
      <c r="AKL245" s="90"/>
      <c r="AKM245" s="90"/>
      <c r="AKN245" s="90"/>
      <c r="AKO245" s="90"/>
      <c r="AKP245" s="90"/>
      <c r="AKQ245" s="90"/>
      <c r="AKR245" s="90"/>
      <c r="AKS245" s="90"/>
      <c r="AKT245" s="90"/>
      <c r="AKU245" s="90"/>
      <c r="AKV245" s="90"/>
      <c r="AKW245" s="90"/>
      <c r="AKX245" s="90"/>
      <c r="AKY245" s="90"/>
      <c r="AKZ245" s="90"/>
      <c r="ALA245" s="90"/>
      <c r="ALB245" s="90"/>
      <c r="ALC245" s="90"/>
      <c r="ALD245" s="90"/>
      <c r="ALE245" s="90"/>
      <c r="ALF245" s="90"/>
      <c r="ALG245" s="90"/>
      <c r="ALH245" s="90"/>
      <c r="ALI245" s="90"/>
      <c r="ALJ245" s="90"/>
      <c r="ALK245" s="90"/>
      <c r="ALL245" s="90"/>
      <c r="ALM245" s="90"/>
      <c r="ALN245" s="90"/>
      <c r="ALO245" s="90"/>
      <c r="ALP245" s="90"/>
      <c r="ALQ245" s="90"/>
      <c r="ALR245" s="90"/>
      <c r="ALS245" s="90"/>
      <c r="ALT245" s="90"/>
      <c r="ALU245" s="90"/>
      <c r="ALV245" s="90"/>
      <c r="ALW245" s="90"/>
      <c r="ALX245" s="90"/>
      <c r="ALY245" s="90"/>
      <c r="ALZ245" s="90"/>
      <c r="AMA245" s="90"/>
      <c r="AMB245" s="90"/>
      <c r="AMC245" s="90"/>
    </row>
    <row r="246" spans="1:1017">
      <c r="A246" s="98" t="s">
        <v>51</v>
      </c>
      <c r="B246" s="90" t="str">
        <f t="shared" si="1582"/>
        <v xml:space="preserve">Gabus </v>
      </c>
      <c r="Q246" s="91">
        <f t="shared" si="1583"/>
        <v>0</v>
      </c>
      <c r="R246" s="91">
        <f t="shared" si="1584"/>
        <v>0</v>
      </c>
      <c r="Y246" s="98">
        <v>365</v>
      </c>
      <c r="Z246" s="98">
        <v>14600</v>
      </c>
      <c r="AG246" s="91">
        <f t="shared" si="1585"/>
        <v>365</v>
      </c>
      <c r="AH246" s="91">
        <f t="shared" si="1586"/>
        <v>14600</v>
      </c>
      <c r="AW246" s="91">
        <f t="shared" si="1587"/>
        <v>0</v>
      </c>
      <c r="AX246" s="91">
        <f t="shared" si="1588"/>
        <v>0</v>
      </c>
      <c r="BM246" s="91">
        <f t="shared" si="1589"/>
        <v>0</v>
      </c>
      <c r="BN246" s="91">
        <f t="shared" si="1590"/>
        <v>0</v>
      </c>
      <c r="CC246" s="91">
        <f t="shared" si="1591"/>
        <v>0</v>
      </c>
      <c r="CD246" s="91">
        <f t="shared" si="1592"/>
        <v>0</v>
      </c>
      <c r="CS246" s="91">
        <f t="shared" si="1593"/>
        <v>0</v>
      </c>
      <c r="CT246" s="91">
        <f t="shared" si="1594"/>
        <v>0</v>
      </c>
      <c r="DI246" s="91">
        <f t="shared" si="1595"/>
        <v>0</v>
      </c>
      <c r="DJ246" s="91">
        <f t="shared" si="1596"/>
        <v>0</v>
      </c>
      <c r="DY246" s="91">
        <f t="shared" si="1597"/>
        <v>0</v>
      </c>
      <c r="DZ246" s="91">
        <f t="shared" si="1598"/>
        <v>0</v>
      </c>
      <c r="EO246" s="91">
        <f t="shared" si="1599"/>
        <v>0</v>
      </c>
      <c r="EP246" s="91">
        <f t="shared" si="1600"/>
        <v>0</v>
      </c>
      <c r="EW246" s="98">
        <v>549</v>
      </c>
      <c r="EX246" s="98">
        <v>16470</v>
      </c>
      <c r="FE246" s="91">
        <f t="shared" si="1601"/>
        <v>549</v>
      </c>
      <c r="FF246" s="91">
        <f t="shared" si="1602"/>
        <v>16470</v>
      </c>
      <c r="FM246" s="98">
        <v>275</v>
      </c>
      <c r="FN246" s="98">
        <v>11000</v>
      </c>
      <c r="FU246" s="91">
        <f t="shared" si="1603"/>
        <v>275</v>
      </c>
      <c r="FV246" s="91">
        <f t="shared" si="1604"/>
        <v>11000</v>
      </c>
      <c r="GK246" s="91">
        <f t="shared" si="1605"/>
        <v>0</v>
      </c>
      <c r="GL246" s="91">
        <f t="shared" si="1606"/>
        <v>0</v>
      </c>
      <c r="HA246" s="91">
        <f t="shared" si="1607"/>
        <v>0</v>
      </c>
      <c r="HB246" s="91">
        <f t="shared" si="1608"/>
        <v>0</v>
      </c>
      <c r="HQ246" s="91">
        <f t="shared" si="1609"/>
        <v>0</v>
      </c>
      <c r="HR246" s="91">
        <f t="shared" si="1610"/>
        <v>0</v>
      </c>
      <c r="IG246" s="91">
        <f t="shared" si="1611"/>
        <v>0</v>
      </c>
      <c r="IH246" s="91">
        <f t="shared" si="1612"/>
        <v>0</v>
      </c>
      <c r="IW246" s="91">
        <f t="shared" si="1613"/>
        <v>0</v>
      </c>
      <c r="IX246" s="91">
        <f t="shared" si="1614"/>
        <v>0</v>
      </c>
      <c r="JM246" s="91">
        <f t="shared" si="1615"/>
        <v>0</v>
      </c>
      <c r="JN246" s="91">
        <f t="shared" si="1616"/>
        <v>0</v>
      </c>
      <c r="KC246" s="91">
        <f t="shared" si="1617"/>
        <v>0</v>
      </c>
      <c r="KD246" s="91">
        <f t="shared" si="1618"/>
        <v>0</v>
      </c>
      <c r="KS246" s="91">
        <f t="shared" si="1619"/>
        <v>0</v>
      </c>
      <c r="KT246" s="91">
        <f t="shared" si="1620"/>
        <v>0</v>
      </c>
      <c r="LI246" s="91">
        <f t="shared" si="1621"/>
        <v>0</v>
      </c>
      <c r="LJ246" s="91">
        <f t="shared" si="1622"/>
        <v>0</v>
      </c>
      <c r="LQ246" s="98">
        <v>87</v>
      </c>
      <c r="LR246" s="98">
        <v>5220</v>
      </c>
      <c r="LY246" s="91">
        <f t="shared" si="1623"/>
        <v>87</v>
      </c>
      <c r="LZ246" s="91">
        <f t="shared" si="1624"/>
        <v>5220</v>
      </c>
      <c r="MO246" s="91">
        <f t="shared" si="1625"/>
        <v>0</v>
      </c>
      <c r="MP246" s="91">
        <f t="shared" si="1626"/>
        <v>0</v>
      </c>
      <c r="NE246" s="91">
        <f t="shared" si="1627"/>
        <v>0</v>
      </c>
      <c r="NF246" s="91">
        <f t="shared" si="1628"/>
        <v>0</v>
      </c>
      <c r="NU246" s="91">
        <f t="shared" si="1629"/>
        <v>0</v>
      </c>
      <c r="NV246" s="91">
        <f t="shared" si="1630"/>
        <v>0</v>
      </c>
      <c r="OK246" s="91">
        <f t="shared" si="1631"/>
        <v>0</v>
      </c>
      <c r="OL246" s="91">
        <f t="shared" si="1632"/>
        <v>0</v>
      </c>
      <c r="PA246" s="91">
        <f t="shared" si="1633"/>
        <v>0</v>
      </c>
      <c r="PB246" s="91">
        <f t="shared" si="1634"/>
        <v>0</v>
      </c>
      <c r="PI246" s="98">
        <v>627</v>
      </c>
      <c r="PJ246" s="98">
        <v>15675</v>
      </c>
      <c r="PQ246" s="91">
        <f t="shared" si="1635"/>
        <v>627</v>
      </c>
      <c r="PR246" s="91">
        <f t="shared" si="1636"/>
        <v>15675</v>
      </c>
      <c r="QG246" s="91">
        <f t="shared" si="1637"/>
        <v>0</v>
      </c>
      <c r="QH246" s="91">
        <f t="shared" si="1638"/>
        <v>0</v>
      </c>
      <c r="QO246" s="98">
        <v>5000</v>
      </c>
      <c r="QP246" s="98">
        <v>175000</v>
      </c>
      <c r="QW246" s="91">
        <f t="shared" si="1639"/>
        <v>5000</v>
      </c>
      <c r="QX246" s="91">
        <f t="shared" si="1640"/>
        <v>175000</v>
      </c>
      <c r="RM246" s="91">
        <f t="shared" si="1641"/>
        <v>0</v>
      </c>
      <c r="RN246" s="91">
        <f t="shared" si="1642"/>
        <v>0</v>
      </c>
      <c r="SC246" s="91">
        <f t="shared" si="1643"/>
        <v>0</v>
      </c>
      <c r="SD246" s="91">
        <f t="shared" si="1644"/>
        <v>0</v>
      </c>
      <c r="SS246" s="91">
        <f t="shared" si="1645"/>
        <v>0</v>
      </c>
      <c r="ST246" s="91">
        <f t="shared" si="1646"/>
        <v>0</v>
      </c>
      <c r="TI246" s="91">
        <f t="shared" si="1647"/>
        <v>0</v>
      </c>
      <c r="TJ246" s="91">
        <f t="shared" si="1648"/>
        <v>0</v>
      </c>
      <c r="TY246" s="91">
        <f t="shared" si="1649"/>
        <v>0</v>
      </c>
      <c r="TZ246" s="91">
        <f t="shared" si="1650"/>
        <v>0</v>
      </c>
      <c r="UO246" s="91">
        <f t="shared" si="1651"/>
        <v>0</v>
      </c>
      <c r="UP246" s="91">
        <f t="shared" si="1652"/>
        <v>0</v>
      </c>
      <c r="VE246" s="91">
        <f t="shared" si="1653"/>
        <v>0</v>
      </c>
      <c r="VF246" s="91">
        <f t="shared" si="1654"/>
        <v>0</v>
      </c>
      <c r="VU246" s="91">
        <f t="shared" si="1655"/>
        <v>0</v>
      </c>
      <c r="VV246" s="91">
        <f t="shared" si="1656"/>
        <v>0</v>
      </c>
      <c r="WK246" s="91">
        <f t="shared" si="1657"/>
        <v>0</v>
      </c>
      <c r="WL246" s="91">
        <f t="shared" si="1658"/>
        <v>0</v>
      </c>
      <c r="WM246" s="89"/>
      <c r="WN246" s="87">
        <f t="shared" si="1659"/>
        <v>0</v>
      </c>
      <c r="WO246" s="87">
        <f t="shared" si="1660"/>
        <v>0</v>
      </c>
      <c r="WP246" s="87">
        <f t="shared" si="1661"/>
        <v>0</v>
      </c>
      <c r="WQ246" s="87">
        <f t="shared" si="1662"/>
        <v>0</v>
      </c>
      <c r="WR246" s="87">
        <f t="shared" si="1663"/>
        <v>0</v>
      </c>
      <c r="WS246" s="87">
        <f t="shared" si="1664"/>
        <v>0</v>
      </c>
      <c r="WT246" s="87">
        <f t="shared" si="1665"/>
        <v>6903</v>
      </c>
      <c r="WU246" s="87">
        <f t="shared" si="1666"/>
        <v>237965</v>
      </c>
      <c r="WV246" s="87">
        <f t="shared" si="1667"/>
        <v>0</v>
      </c>
      <c r="WW246" s="87">
        <f t="shared" si="1668"/>
        <v>0</v>
      </c>
      <c r="WX246" s="87">
        <f t="shared" si="1669"/>
        <v>0</v>
      </c>
      <c r="WY246" s="87">
        <f t="shared" si="1670"/>
        <v>0</v>
      </c>
      <c r="WZ246" s="87">
        <f t="shared" si="1671"/>
        <v>0</v>
      </c>
      <c r="XA246" s="87">
        <f t="shared" si="1672"/>
        <v>0</v>
      </c>
      <c r="XB246" s="92">
        <f t="shared" si="1673"/>
        <v>6903</v>
      </c>
      <c r="XC246" s="92">
        <f t="shared" si="1674"/>
        <v>237965</v>
      </c>
      <c r="XD246" s="89"/>
      <c r="XE246" s="92"/>
      <c r="XF246" s="92"/>
      <c r="XG246" s="89"/>
      <c r="XH246" s="92"/>
      <c r="XI246" s="92"/>
      <c r="XJ246" s="89"/>
      <c r="XK246" s="87"/>
      <c r="XL246" s="87"/>
      <c r="XM246" s="87"/>
      <c r="XN246" s="87"/>
      <c r="XO246" s="87"/>
      <c r="XP246" s="87"/>
      <c r="XQ246" s="87"/>
      <c r="XR246" s="92">
        <f t="shared" ca="1" si="1675"/>
        <v>0</v>
      </c>
      <c r="XS246" s="89"/>
      <c r="XT246" s="87"/>
      <c r="XU246" s="87"/>
      <c r="XV246" s="87"/>
      <c r="XW246" s="87"/>
      <c r="XX246" s="87"/>
      <c r="XY246" s="87"/>
      <c r="XZ246" s="87"/>
      <c r="YA246" s="92">
        <f t="shared" ca="1" si="1676"/>
        <v>0</v>
      </c>
      <c r="YB246" s="90"/>
      <c r="YC246" s="90"/>
      <c r="YD246" s="90"/>
      <c r="YE246" s="90"/>
      <c r="YF246" s="90"/>
      <c r="YG246" s="90"/>
      <c r="YH246" s="90"/>
      <c r="YI246" s="90"/>
      <c r="YJ246" s="90"/>
      <c r="YK246" s="90"/>
      <c r="YL246" s="90"/>
      <c r="YM246" s="90"/>
      <c r="YN246" s="90"/>
      <c r="YO246" s="90"/>
      <c r="YP246" s="90"/>
      <c r="YQ246" s="90"/>
      <c r="YR246" s="90"/>
      <c r="YS246" s="90"/>
      <c r="YT246" s="90"/>
      <c r="YU246" s="90"/>
      <c r="YV246" s="90"/>
      <c r="YW246" s="90"/>
      <c r="YX246" s="90"/>
      <c r="YY246" s="90"/>
      <c r="YZ246" s="90"/>
      <c r="ZA246" s="90"/>
      <c r="ZB246" s="90"/>
      <c r="ZC246" s="90"/>
      <c r="ZD246" s="90"/>
      <c r="ZE246" s="90"/>
      <c r="ZF246" s="90"/>
      <c r="ZG246" s="90"/>
      <c r="ZH246" s="90"/>
      <c r="ZI246" s="90"/>
      <c r="ZJ246" s="90"/>
      <c r="ZK246" s="90"/>
      <c r="ZL246" s="90"/>
      <c r="ZM246" s="90"/>
      <c r="ZN246" s="90"/>
      <c r="ZO246" s="90"/>
      <c r="ZP246" s="90"/>
      <c r="ZQ246" s="90"/>
      <c r="ZR246" s="90"/>
      <c r="ZS246" s="90"/>
      <c r="ZT246" s="90"/>
      <c r="ZU246" s="90"/>
      <c r="ZV246" s="90"/>
      <c r="ZW246" s="90"/>
      <c r="ZX246" s="90"/>
      <c r="ZY246" s="90"/>
      <c r="ZZ246" s="90"/>
      <c r="AAA246" s="90"/>
      <c r="AAB246" s="90"/>
      <c r="AAC246" s="90"/>
      <c r="AAD246" s="90"/>
      <c r="AAE246" s="90"/>
      <c r="AAF246" s="90"/>
      <c r="AAG246" s="90"/>
      <c r="AAH246" s="90"/>
      <c r="AAI246" s="90"/>
      <c r="AAJ246" s="90"/>
      <c r="AAK246" s="90"/>
      <c r="AAL246" s="90"/>
      <c r="AAM246" s="90"/>
      <c r="AAN246" s="90"/>
      <c r="AAO246" s="90"/>
      <c r="AAP246" s="90"/>
      <c r="AAQ246" s="90"/>
      <c r="AAR246" s="90"/>
      <c r="AAS246" s="90"/>
      <c r="AAT246" s="90"/>
      <c r="AAU246" s="90"/>
      <c r="AAV246" s="90"/>
      <c r="AAW246" s="90"/>
      <c r="AAX246" s="90"/>
      <c r="AAY246" s="90"/>
      <c r="AAZ246" s="90"/>
      <c r="ABA246" s="90"/>
      <c r="ABB246" s="90"/>
      <c r="ABC246" s="90"/>
      <c r="ABD246" s="90"/>
      <c r="ABE246" s="90"/>
      <c r="ABF246" s="90"/>
      <c r="ABG246" s="90"/>
      <c r="ABH246" s="90"/>
      <c r="ABI246" s="90"/>
      <c r="ABJ246" s="90"/>
      <c r="ABK246" s="90"/>
      <c r="ABL246" s="90"/>
      <c r="ABM246" s="90"/>
      <c r="ABN246" s="90"/>
      <c r="ABO246" s="90"/>
      <c r="ABP246" s="90"/>
      <c r="ABQ246" s="90"/>
      <c r="ABR246" s="90"/>
      <c r="ABS246" s="90"/>
      <c r="ABT246" s="90"/>
      <c r="ABU246" s="90"/>
      <c r="ABV246" s="90"/>
      <c r="ABW246" s="90"/>
      <c r="ABX246" s="90"/>
      <c r="ABY246" s="90"/>
      <c r="ABZ246" s="90"/>
      <c r="ACA246" s="90"/>
      <c r="ACB246" s="90"/>
      <c r="ACC246" s="90"/>
      <c r="ACD246" s="90"/>
      <c r="ACE246" s="90"/>
      <c r="ACF246" s="90"/>
      <c r="ACG246" s="90"/>
      <c r="ACH246" s="90"/>
      <c r="ACI246" s="90"/>
      <c r="ACJ246" s="90"/>
      <c r="ACK246" s="90"/>
      <c r="ACL246" s="90"/>
      <c r="ACM246" s="90"/>
      <c r="ACN246" s="90"/>
      <c r="ACO246" s="90"/>
      <c r="ACP246" s="90"/>
      <c r="ACQ246" s="90"/>
      <c r="ACR246" s="90"/>
      <c r="ACS246" s="90"/>
      <c r="ACT246" s="90"/>
      <c r="ACU246" s="90"/>
      <c r="ACV246" s="90"/>
      <c r="ACW246" s="90"/>
      <c r="ACX246" s="90"/>
      <c r="ACY246" s="90"/>
      <c r="ACZ246" s="90"/>
      <c r="ADA246" s="90"/>
      <c r="ADB246" s="90"/>
      <c r="ADC246" s="90"/>
      <c r="ADD246" s="90"/>
      <c r="ADE246" s="90"/>
      <c r="ADF246" s="90"/>
      <c r="ADG246" s="90"/>
      <c r="ADH246" s="90"/>
      <c r="ADI246" s="90"/>
      <c r="ADJ246" s="90"/>
      <c r="ADK246" s="90"/>
      <c r="ADL246" s="90"/>
      <c r="ADM246" s="90"/>
      <c r="ADN246" s="90"/>
      <c r="ADO246" s="90"/>
      <c r="ADP246" s="90"/>
      <c r="ADQ246" s="90"/>
      <c r="ADR246" s="90"/>
      <c r="ADS246" s="90"/>
      <c r="ADT246" s="90"/>
      <c r="ADU246" s="90"/>
      <c r="ADV246" s="90"/>
      <c r="ADW246" s="90"/>
      <c r="ADX246" s="90"/>
      <c r="ADY246" s="90"/>
      <c r="ADZ246" s="90"/>
      <c r="AEA246" s="90"/>
      <c r="AEB246" s="90"/>
      <c r="AEC246" s="90"/>
      <c r="AED246" s="90"/>
      <c r="AEE246" s="90"/>
      <c r="AEF246" s="90"/>
      <c r="AEG246" s="90"/>
      <c r="AEH246" s="90"/>
      <c r="AEI246" s="90"/>
      <c r="AEJ246" s="90"/>
      <c r="AEK246" s="90"/>
      <c r="AEL246" s="90"/>
      <c r="AEM246" s="90"/>
      <c r="AEN246" s="90"/>
      <c r="AEO246" s="90"/>
      <c r="AEP246" s="90"/>
      <c r="AEQ246" s="90"/>
      <c r="AER246" s="90"/>
      <c r="AES246" s="90"/>
      <c r="AET246" s="90"/>
      <c r="AEU246" s="90"/>
      <c r="AEV246" s="90"/>
      <c r="AEW246" s="90"/>
      <c r="AEX246" s="90"/>
      <c r="AEY246" s="90"/>
      <c r="AEZ246" s="90"/>
      <c r="AFA246" s="90"/>
      <c r="AFB246" s="90"/>
      <c r="AFC246" s="90"/>
      <c r="AFD246" s="90"/>
      <c r="AFE246" s="90"/>
      <c r="AFF246" s="90"/>
      <c r="AFG246" s="90"/>
      <c r="AFH246" s="90"/>
      <c r="AFI246" s="90"/>
      <c r="AFJ246" s="90"/>
      <c r="AFK246" s="90"/>
      <c r="AFL246" s="90"/>
      <c r="AFM246" s="90"/>
      <c r="AFN246" s="90"/>
      <c r="AFO246" s="90"/>
      <c r="AFP246" s="90"/>
      <c r="AFQ246" s="90"/>
      <c r="AFR246" s="90"/>
      <c r="AFS246" s="90"/>
      <c r="AFT246" s="90"/>
      <c r="AFU246" s="90"/>
      <c r="AFV246" s="90"/>
      <c r="AFW246" s="90"/>
      <c r="AFX246" s="90"/>
      <c r="AFY246" s="90"/>
      <c r="AFZ246" s="90"/>
      <c r="AGA246" s="90"/>
      <c r="AGB246" s="90"/>
      <c r="AGC246" s="90"/>
      <c r="AGD246" s="90"/>
      <c r="AGE246" s="90"/>
      <c r="AGF246" s="90"/>
      <c r="AGG246" s="90"/>
      <c r="AGH246" s="90"/>
      <c r="AGI246" s="90"/>
      <c r="AGJ246" s="90"/>
      <c r="AGK246" s="90"/>
      <c r="AGL246" s="90"/>
      <c r="AGM246" s="90"/>
      <c r="AGN246" s="90"/>
      <c r="AGO246" s="90"/>
      <c r="AGP246" s="90"/>
      <c r="AGQ246" s="90"/>
      <c r="AGR246" s="90"/>
      <c r="AGS246" s="90"/>
      <c r="AGT246" s="90"/>
      <c r="AGU246" s="90"/>
      <c r="AGV246" s="90"/>
      <c r="AGW246" s="90"/>
      <c r="AGX246" s="90"/>
      <c r="AGY246" s="90"/>
      <c r="AGZ246" s="90"/>
      <c r="AHA246" s="90"/>
      <c r="AHB246" s="90"/>
      <c r="AHC246" s="90"/>
      <c r="AHD246" s="90"/>
      <c r="AHE246" s="90"/>
      <c r="AHF246" s="90"/>
      <c r="AHG246" s="90"/>
      <c r="AHH246" s="90"/>
      <c r="AHI246" s="90"/>
      <c r="AHJ246" s="90"/>
      <c r="AHK246" s="90"/>
      <c r="AHL246" s="90"/>
      <c r="AHM246" s="90"/>
      <c r="AHN246" s="90"/>
      <c r="AHO246" s="90"/>
      <c r="AHP246" s="90"/>
      <c r="AHQ246" s="90"/>
      <c r="AHR246" s="90"/>
      <c r="AHS246" s="90"/>
      <c r="AHT246" s="90"/>
      <c r="AHU246" s="90"/>
      <c r="AHV246" s="90"/>
      <c r="AHW246" s="90"/>
      <c r="AHX246" s="90"/>
      <c r="AHY246" s="90"/>
      <c r="AHZ246" s="90"/>
      <c r="AIA246" s="90"/>
      <c r="AIB246" s="90"/>
      <c r="AIC246" s="90"/>
      <c r="AID246" s="90"/>
      <c r="AIE246" s="90"/>
      <c r="AIF246" s="90"/>
      <c r="AIG246" s="90"/>
      <c r="AIH246" s="90"/>
      <c r="AII246" s="90"/>
      <c r="AIJ246" s="90"/>
      <c r="AIK246" s="90"/>
      <c r="AIL246" s="90"/>
      <c r="AIM246" s="90"/>
      <c r="AIN246" s="90"/>
      <c r="AIO246" s="90"/>
      <c r="AIP246" s="90"/>
      <c r="AIQ246" s="90"/>
      <c r="AIR246" s="90"/>
      <c r="AIS246" s="90"/>
      <c r="AIT246" s="90"/>
      <c r="AIU246" s="90"/>
      <c r="AIV246" s="90"/>
      <c r="AIW246" s="90"/>
      <c r="AIX246" s="90"/>
      <c r="AIY246" s="90"/>
      <c r="AIZ246" s="90"/>
      <c r="AJA246" s="90"/>
      <c r="AJB246" s="90"/>
      <c r="AJC246" s="90"/>
      <c r="AJD246" s="90"/>
      <c r="AJE246" s="90"/>
      <c r="AJF246" s="90"/>
      <c r="AJG246" s="90"/>
      <c r="AJH246" s="90"/>
      <c r="AJI246" s="90"/>
      <c r="AJJ246" s="90"/>
      <c r="AJK246" s="90"/>
      <c r="AJL246" s="90"/>
      <c r="AJM246" s="90"/>
      <c r="AJN246" s="90"/>
      <c r="AJO246" s="90"/>
      <c r="AJP246" s="90"/>
      <c r="AJQ246" s="90"/>
      <c r="AJR246" s="90"/>
      <c r="AJS246" s="90"/>
      <c r="AJT246" s="90"/>
      <c r="AJU246" s="90"/>
      <c r="AJV246" s="90"/>
      <c r="AJW246" s="90"/>
      <c r="AJX246" s="90"/>
      <c r="AJY246" s="90"/>
      <c r="AJZ246" s="90"/>
      <c r="AKA246" s="90"/>
      <c r="AKB246" s="90"/>
      <c r="AKC246" s="90"/>
      <c r="AKD246" s="90"/>
      <c r="AKE246" s="90"/>
      <c r="AKF246" s="90"/>
      <c r="AKG246" s="90"/>
      <c r="AKH246" s="90"/>
      <c r="AKI246" s="90"/>
      <c r="AKJ246" s="90"/>
      <c r="AKK246" s="90"/>
      <c r="AKL246" s="90"/>
      <c r="AKM246" s="90"/>
      <c r="AKN246" s="90"/>
      <c r="AKO246" s="90"/>
      <c r="AKP246" s="90"/>
      <c r="AKQ246" s="90"/>
      <c r="AKR246" s="90"/>
      <c r="AKS246" s="90"/>
      <c r="AKT246" s="90"/>
      <c r="AKU246" s="90"/>
      <c r="AKV246" s="90"/>
      <c r="AKW246" s="90"/>
      <c r="AKX246" s="90"/>
      <c r="AKY246" s="90"/>
      <c r="AKZ246" s="90"/>
      <c r="ALA246" s="90"/>
      <c r="ALB246" s="90"/>
      <c r="ALC246" s="90"/>
      <c r="ALD246" s="90"/>
      <c r="ALE246" s="90"/>
      <c r="ALF246" s="90"/>
      <c r="ALG246" s="90"/>
      <c r="ALH246" s="90"/>
      <c r="ALI246" s="90"/>
      <c r="ALJ246" s="90"/>
      <c r="ALK246" s="90"/>
      <c r="ALL246" s="90"/>
      <c r="ALM246" s="90"/>
      <c r="ALN246" s="90"/>
      <c r="ALO246" s="90"/>
      <c r="ALP246" s="90"/>
      <c r="ALQ246" s="90"/>
      <c r="ALR246" s="90"/>
      <c r="ALS246" s="90"/>
      <c r="ALT246" s="90"/>
      <c r="ALU246" s="90"/>
      <c r="ALV246" s="90"/>
      <c r="ALW246" s="90"/>
      <c r="ALX246" s="90"/>
      <c r="ALY246" s="90"/>
      <c r="ALZ246" s="90"/>
      <c r="AMA246" s="90"/>
      <c r="AMB246" s="90"/>
      <c r="AMC246" s="90"/>
    </row>
    <row r="247" spans="1:1017">
      <c r="A247" s="98" t="s">
        <v>51</v>
      </c>
      <c r="B247" s="90" t="str">
        <f t="shared" si="1582"/>
        <v xml:space="preserve">Gracilaria verrucosa </v>
      </c>
      <c r="Q247" s="91">
        <f t="shared" si="1583"/>
        <v>0</v>
      </c>
      <c r="R247" s="91">
        <f t="shared" si="1584"/>
        <v>0</v>
      </c>
      <c r="AG247" s="91">
        <f t="shared" si="1585"/>
        <v>0</v>
      </c>
      <c r="AH247" s="91">
        <f t="shared" si="1586"/>
        <v>0</v>
      </c>
      <c r="AW247" s="91">
        <f t="shared" si="1587"/>
        <v>0</v>
      </c>
      <c r="AX247" s="91">
        <f t="shared" si="1588"/>
        <v>0</v>
      </c>
      <c r="BM247" s="91">
        <f t="shared" si="1589"/>
        <v>0</v>
      </c>
      <c r="BN247" s="91">
        <f t="shared" si="1590"/>
        <v>0</v>
      </c>
      <c r="CC247" s="91">
        <f t="shared" si="1591"/>
        <v>0</v>
      </c>
      <c r="CD247" s="91">
        <f t="shared" si="1592"/>
        <v>0</v>
      </c>
      <c r="CG247" s="98">
        <v>365815.23125235003</v>
      </c>
      <c r="CH247" s="98">
        <v>914538.07813087513</v>
      </c>
      <c r="CS247" s="91">
        <f t="shared" si="1593"/>
        <v>365815.23125235003</v>
      </c>
      <c r="CT247" s="91">
        <f t="shared" si="1594"/>
        <v>914538.07813087513</v>
      </c>
      <c r="DI247" s="91">
        <f t="shared" si="1595"/>
        <v>0</v>
      </c>
      <c r="DJ247" s="91">
        <f t="shared" si="1596"/>
        <v>0</v>
      </c>
      <c r="DY247" s="91">
        <f t="shared" si="1597"/>
        <v>0</v>
      </c>
      <c r="DZ247" s="91">
        <f t="shared" si="1598"/>
        <v>0</v>
      </c>
      <c r="EO247" s="91">
        <f t="shared" si="1599"/>
        <v>0</v>
      </c>
      <c r="EP247" s="91">
        <f t="shared" si="1600"/>
        <v>0</v>
      </c>
      <c r="FE247" s="91">
        <f t="shared" si="1601"/>
        <v>0</v>
      </c>
      <c r="FF247" s="91">
        <f t="shared" si="1602"/>
        <v>0</v>
      </c>
      <c r="FU247" s="91">
        <f t="shared" si="1603"/>
        <v>0</v>
      </c>
      <c r="FV247" s="91">
        <f t="shared" si="1604"/>
        <v>0</v>
      </c>
      <c r="GK247" s="91">
        <f t="shared" si="1605"/>
        <v>0</v>
      </c>
      <c r="GL247" s="91">
        <f t="shared" si="1606"/>
        <v>0</v>
      </c>
      <c r="HA247" s="91">
        <f t="shared" si="1607"/>
        <v>0</v>
      </c>
      <c r="HB247" s="91">
        <f t="shared" si="1608"/>
        <v>0</v>
      </c>
      <c r="HQ247" s="91">
        <f t="shared" si="1609"/>
        <v>0</v>
      </c>
      <c r="HR247" s="91">
        <f t="shared" si="1610"/>
        <v>0</v>
      </c>
      <c r="IG247" s="91">
        <f t="shared" si="1611"/>
        <v>0</v>
      </c>
      <c r="IH247" s="91">
        <f t="shared" si="1612"/>
        <v>0</v>
      </c>
      <c r="IW247" s="91">
        <f t="shared" si="1613"/>
        <v>0</v>
      </c>
      <c r="IX247" s="91">
        <f t="shared" si="1614"/>
        <v>0</v>
      </c>
      <c r="JM247" s="91">
        <f t="shared" si="1615"/>
        <v>0</v>
      </c>
      <c r="JN247" s="91">
        <f t="shared" si="1616"/>
        <v>0</v>
      </c>
      <c r="KC247" s="91">
        <f t="shared" si="1617"/>
        <v>0</v>
      </c>
      <c r="KD247" s="91">
        <f t="shared" si="1618"/>
        <v>0</v>
      </c>
      <c r="KS247" s="91">
        <f t="shared" si="1619"/>
        <v>0</v>
      </c>
      <c r="KT247" s="91">
        <f t="shared" si="1620"/>
        <v>0</v>
      </c>
      <c r="KW247" s="98">
        <v>405839.66</v>
      </c>
      <c r="KX247" s="98">
        <v>608759</v>
      </c>
      <c r="LI247" s="91">
        <f t="shared" si="1621"/>
        <v>405839.66</v>
      </c>
      <c r="LJ247" s="91">
        <f t="shared" si="1622"/>
        <v>608759</v>
      </c>
      <c r="LY247" s="91">
        <f t="shared" si="1623"/>
        <v>0</v>
      </c>
      <c r="LZ247" s="91">
        <f t="shared" si="1624"/>
        <v>0</v>
      </c>
      <c r="MO247" s="91">
        <f t="shared" si="1625"/>
        <v>0</v>
      </c>
      <c r="MP247" s="91">
        <f t="shared" si="1626"/>
        <v>0</v>
      </c>
      <c r="NE247" s="91">
        <f t="shared" si="1627"/>
        <v>0</v>
      </c>
      <c r="NF247" s="91">
        <f t="shared" si="1628"/>
        <v>0</v>
      </c>
      <c r="NI247" s="98">
        <v>1717700</v>
      </c>
      <c r="NJ247" s="98">
        <v>3950710</v>
      </c>
      <c r="NU247" s="91">
        <f t="shared" si="1629"/>
        <v>1717700</v>
      </c>
      <c r="NV247" s="91">
        <f t="shared" si="1630"/>
        <v>3950710</v>
      </c>
      <c r="NY247" s="98">
        <v>7515</v>
      </c>
      <c r="NZ247" s="98">
        <v>22545</v>
      </c>
      <c r="OK247" s="91">
        <f t="shared" si="1631"/>
        <v>7515</v>
      </c>
      <c r="OL247" s="91">
        <f t="shared" si="1632"/>
        <v>22545</v>
      </c>
      <c r="PA247" s="91">
        <f t="shared" si="1633"/>
        <v>0</v>
      </c>
      <c r="PB247" s="91">
        <f t="shared" si="1634"/>
        <v>0</v>
      </c>
      <c r="PQ247" s="91">
        <f t="shared" si="1635"/>
        <v>0</v>
      </c>
      <c r="PR247" s="91">
        <f t="shared" si="1636"/>
        <v>0</v>
      </c>
      <c r="QG247" s="91">
        <f t="shared" si="1637"/>
        <v>0</v>
      </c>
      <c r="QH247" s="91">
        <f t="shared" si="1638"/>
        <v>0</v>
      </c>
      <c r="QW247" s="91">
        <f t="shared" si="1639"/>
        <v>0</v>
      </c>
      <c r="QX247" s="91">
        <f t="shared" si="1640"/>
        <v>0</v>
      </c>
      <c r="RM247" s="91">
        <f t="shared" si="1641"/>
        <v>0</v>
      </c>
      <c r="RN247" s="91">
        <f t="shared" si="1642"/>
        <v>0</v>
      </c>
      <c r="SC247" s="91">
        <f t="shared" si="1643"/>
        <v>0</v>
      </c>
      <c r="SD247" s="91">
        <f t="shared" si="1644"/>
        <v>0</v>
      </c>
      <c r="SS247" s="91">
        <f t="shared" si="1645"/>
        <v>0</v>
      </c>
      <c r="ST247" s="91">
        <f t="shared" si="1646"/>
        <v>0</v>
      </c>
      <c r="TI247" s="91">
        <f t="shared" si="1647"/>
        <v>0</v>
      </c>
      <c r="TJ247" s="91">
        <f t="shared" si="1648"/>
        <v>0</v>
      </c>
      <c r="TY247" s="91">
        <f t="shared" si="1649"/>
        <v>0</v>
      </c>
      <c r="TZ247" s="91">
        <f t="shared" si="1650"/>
        <v>0</v>
      </c>
      <c r="UO247" s="91">
        <f t="shared" si="1651"/>
        <v>0</v>
      </c>
      <c r="UP247" s="91">
        <f t="shared" si="1652"/>
        <v>0</v>
      </c>
      <c r="US247" s="98">
        <v>157000</v>
      </c>
      <c r="UT247" s="98">
        <v>47100</v>
      </c>
      <c r="VE247" s="91">
        <f t="shared" si="1653"/>
        <v>157000</v>
      </c>
      <c r="VF247" s="91">
        <f t="shared" si="1654"/>
        <v>47100</v>
      </c>
      <c r="VU247" s="91">
        <f t="shared" si="1655"/>
        <v>0</v>
      </c>
      <c r="VV247" s="91">
        <f t="shared" si="1656"/>
        <v>0</v>
      </c>
      <c r="WK247" s="91">
        <f t="shared" si="1657"/>
        <v>0</v>
      </c>
      <c r="WL247" s="91">
        <f t="shared" si="1658"/>
        <v>0</v>
      </c>
      <c r="WM247" s="89"/>
      <c r="WN247" s="87">
        <f t="shared" si="1659"/>
        <v>0</v>
      </c>
      <c r="WO247" s="87">
        <f t="shared" si="1660"/>
        <v>0</v>
      </c>
      <c r="WP247" s="87">
        <f t="shared" si="1661"/>
        <v>2653869.8912523501</v>
      </c>
      <c r="WQ247" s="87">
        <f t="shared" si="1662"/>
        <v>5543652.0781308748</v>
      </c>
      <c r="WR247" s="87">
        <f t="shared" si="1663"/>
        <v>0</v>
      </c>
      <c r="WS247" s="87">
        <f t="shared" si="1664"/>
        <v>0</v>
      </c>
      <c r="WT247" s="87">
        <f t="shared" si="1665"/>
        <v>0</v>
      </c>
      <c r="WU247" s="87">
        <f t="shared" si="1666"/>
        <v>0</v>
      </c>
      <c r="WV247" s="87">
        <f t="shared" si="1667"/>
        <v>0</v>
      </c>
      <c r="WW247" s="87">
        <f t="shared" si="1668"/>
        <v>0</v>
      </c>
      <c r="WX247" s="87">
        <f t="shared" si="1669"/>
        <v>0</v>
      </c>
      <c r="WY247" s="87">
        <f t="shared" si="1670"/>
        <v>0</v>
      </c>
      <c r="WZ247" s="87">
        <f t="shared" si="1671"/>
        <v>0</v>
      </c>
      <c r="XA247" s="87">
        <f t="shared" si="1672"/>
        <v>0</v>
      </c>
      <c r="XB247" s="92">
        <f t="shared" si="1673"/>
        <v>2653869.8912523501</v>
      </c>
      <c r="XC247" s="92">
        <f t="shared" si="1674"/>
        <v>5543652.0781308748</v>
      </c>
      <c r="XD247" s="89"/>
      <c r="XE247" s="92"/>
      <c r="XF247" s="92"/>
      <c r="XG247" s="89"/>
      <c r="XH247" s="92"/>
      <c r="XI247" s="92"/>
      <c r="XJ247" s="89"/>
      <c r="XK247" s="87"/>
      <c r="XL247" s="87"/>
      <c r="XM247" s="87"/>
      <c r="XN247" s="87"/>
      <c r="XO247" s="87"/>
      <c r="XP247" s="87"/>
      <c r="XQ247" s="87"/>
      <c r="XR247" s="92">
        <f t="shared" ca="1" si="1675"/>
        <v>0</v>
      </c>
      <c r="XS247" s="89"/>
      <c r="XT247" s="87"/>
      <c r="XU247" s="87"/>
      <c r="XV247" s="87"/>
      <c r="XW247" s="87"/>
      <c r="XX247" s="87"/>
      <c r="XY247" s="87"/>
      <c r="XZ247" s="87"/>
      <c r="YA247" s="92">
        <f t="shared" ca="1" si="1676"/>
        <v>0</v>
      </c>
      <c r="YB247" s="90"/>
      <c r="YC247" s="90"/>
      <c r="YD247" s="90"/>
      <c r="YE247" s="90"/>
      <c r="YF247" s="90"/>
      <c r="YG247" s="90"/>
      <c r="YH247" s="90"/>
      <c r="YI247" s="90"/>
      <c r="YJ247" s="90"/>
      <c r="YK247" s="90"/>
      <c r="YL247" s="90"/>
      <c r="YM247" s="90"/>
      <c r="YN247" s="90"/>
      <c r="YO247" s="90"/>
      <c r="YP247" s="90"/>
      <c r="YQ247" s="90"/>
      <c r="YR247" s="90"/>
      <c r="YS247" s="90"/>
      <c r="YT247" s="90"/>
      <c r="YU247" s="90"/>
      <c r="YV247" s="90"/>
      <c r="YW247" s="90"/>
      <c r="YX247" s="90"/>
      <c r="YY247" s="90"/>
      <c r="YZ247" s="90"/>
      <c r="ZA247" s="90"/>
      <c r="ZB247" s="90"/>
      <c r="ZC247" s="90"/>
      <c r="ZD247" s="90"/>
      <c r="ZE247" s="90"/>
      <c r="ZF247" s="90"/>
      <c r="ZG247" s="90"/>
      <c r="ZH247" s="90"/>
      <c r="ZI247" s="90"/>
      <c r="ZJ247" s="90"/>
      <c r="ZK247" s="90"/>
      <c r="ZL247" s="90"/>
      <c r="ZM247" s="90"/>
      <c r="ZN247" s="90"/>
      <c r="ZO247" s="90"/>
      <c r="ZP247" s="90"/>
      <c r="ZQ247" s="90"/>
      <c r="ZR247" s="90"/>
      <c r="ZS247" s="90"/>
      <c r="ZT247" s="90"/>
      <c r="ZU247" s="90"/>
      <c r="ZV247" s="90"/>
      <c r="ZW247" s="90"/>
      <c r="ZX247" s="90"/>
      <c r="ZY247" s="90"/>
      <c r="ZZ247" s="90"/>
      <c r="AAA247" s="90"/>
      <c r="AAB247" s="90"/>
      <c r="AAC247" s="90"/>
      <c r="AAD247" s="90"/>
      <c r="AAE247" s="90"/>
      <c r="AAF247" s="90"/>
      <c r="AAG247" s="90"/>
      <c r="AAH247" s="90"/>
      <c r="AAI247" s="90"/>
      <c r="AAJ247" s="90"/>
      <c r="AAK247" s="90"/>
      <c r="AAL247" s="90"/>
      <c r="AAM247" s="90"/>
      <c r="AAN247" s="90"/>
      <c r="AAO247" s="90"/>
      <c r="AAP247" s="90"/>
      <c r="AAQ247" s="90"/>
      <c r="AAR247" s="90"/>
      <c r="AAS247" s="90"/>
      <c r="AAT247" s="90"/>
      <c r="AAU247" s="90"/>
      <c r="AAV247" s="90"/>
      <c r="AAW247" s="90"/>
      <c r="AAX247" s="90"/>
      <c r="AAY247" s="90"/>
      <c r="AAZ247" s="90"/>
      <c r="ABA247" s="90"/>
      <c r="ABB247" s="90"/>
      <c r="ABC247" s="90"/>
      <c r="ABD247" s="90"/>
      <c r="ABE247" s="90"/>
      <c r="ABF247" s="90"/>
      <c r="ABG247" s="90"/>
      <c r="ABH247" s="90"/>
      <c r="ABI247" s="90"/>
      <c r="ABJ247" s="90"/>
      <c r="ABK247" s="90"/>
      <c r="ABL247" s="90"/>
      <c r="ABM247" s="90"/>
      <c r="ABN247" s="90"/>
      <c r="ABO247" s="90"/>
      <c r="ABP247" s="90"/>
      <c r="ABQ247" s="90"/>
      <c r="ABR247" s="90"/>
      <c r="ABS247" s="90"/>
      <c r="ABT247" s="90"/>
      <c r="ABU247" s="90"/>
      <c r="ABV247" s="90"/>
      <c r="ABW247" s="90"/>
      <c r="ABX247" s="90"/>
      <c r="ABY247" s="90"/>
      <c r="ABZ247" s="90"/>
      <c r="ACA247" s="90"/>
      <c r="ACB247" s="90"/>
      <c r="ACC247" s="90"/>
      <c r="ACD247" s="90"/>
      <c r="ACE247" s="90"/>
      <c r="ACF247" s="90"/>
      <c r="ACG247" s="90"/>
      <c r="ACH247" s="90"/>
      <c r="ACI247" s="90"/>
      <c r="ACJ247" s="90"/>
      <c r="ACK247" s="90"/>
      <c r="ACL247" s="90"/>
      <c r="ACM247" s="90"/>
      <c r="ACN247" s="90"/>
      <c r="ACO247" s="90"/>
      <c r="ACP247" s="90"/>
      <c r="ACQ247" s="90"/>
      <c r="ACR247" s="90"/>
      <c r="ACS247" s="90"/>
      <c r="ACT247" s="90"/>
      <c r="ACU247" s="90"/>
      <c r="ACV247" s="90"/>
      <c r="ACW247" s="90"/>
      <c r="ACX247" s="90"/>
      <c r="ACY247" s="90"/>
      <c r="ACZ247" s="90"/>
      <c r="ADA247" s="90"/>
      <c r="ADB247" s="90"/>
      <c r="ADC247" s="90"/>
      <c r="ADD247" s="90"/>
      <c r="ADE247" s="90"/>
      <c r="ADF247" s="90"/>
      <c r="ADG247" s="90"/>
      <c r="ADH247" s="90"/>
      <c r="ADI247" s="90"/>
      <c r="ADJ247" s="90"/>
      <c r="ADK247" s="90"/>
      <c r="ADL247" s="90"/>
      <c r="ADM247" s="90"/>
      <c r="ADN247" s="90"/>
      <c r="ADO247" s="90"/>
      <c r="ADP247" s="90"/>
      <c r="ADQ247" s="90"/>
      <c r="ADR247" s="90"/>
      <c r="ADS247" s="90"/>
      <c r="ADT247" s="90"/>
      <c r="ADU247" s="90"/>
      <c r="ADV247" s="90"/>
      <c r="ADW247" s="90"/>
      <c r="ADX247" s="90"/>
      <c r="ADY247" s="90"/>
      <c r="ADZ247" s="90"/>
      <c r="AEA247" s="90"/>
      <c r="AEB247" s="90"/>
      <c r="AEC247" s="90"/>
      <c r="AED247" s="90"/>
      <c r="AEE247" s="90"/>
      <c r="AEF247" s="90"/>
      <c r="AEG247" s="90"/>
      <c r="AEH247" s="90"/>
      <c r="AEI247" s="90"/>
      <c r="AEJ247" s="90"/>
      <c r="AEK247" s="90"/>
      <c r="AEL247" s="90"/>
      <c r="AEM247" s="90"/>
      <c r="AEN247" s="90"/>
      <c r="AEO247" s="90"/>
      <c r="AEP247" s="90"/>
      <c r="AEQ247" s="90"/>
      <c r="AER247" s="90"/>
      <c r="AES247" s="90"/>
      <c r="AET247" s="90"/>
      <c r="AEU247" s="90"/>
      <c r="AEV247" s="90"/>
      <c r="AEW247" s="90"/>
      <c r="AEX247" s="90"/>
      <c r="AEY247" s="90"/>
      <c r="AEZ247" s="90"/>
      <c r="AFA247" s="90"/>
      <c r="AFB247" s="90"/>
      <c r="AFC247" s="90"/>
      <c r="AFD247" s="90"/>
      <c r="AFE247" s="90"/>
      <c r="AFF247" s="90"/>
      <c r="AFG247" s="90"/>
      <c r="AFH247" s="90"/>
      <c r="AFI247" s="90"/>
      <c r="AFJ247" s="90"/>
      <c r="AFK247" s="90"/>
      <c r="AFL247" s="90"/>
      <c r="AFM247" s="90"/>
      <c r="AFN247" s="90"/>
      <c r="AFO247" s="90"/>
      <c r="AFP247" s="90"/>
      <c r="AFQ247" s="90"/>
      <c r="AFR247" s="90"/>
      <c r="AFS247" s="90"/>
      <c r="AFT247" s="90"/>
      <c r="AFU247" s="90"/>
      <c r="AFV247" s="90"/>
      <c r="AFW247" s="90"/>
      <c r="AFX247" s="90"/>
      <c r="AFY247" s="90"/>
      <c r="AFZ247" s="90"/>
      <c r="AGA247" s="90"/>
      <c r="AGB247" s="90"/>
      <c r="AGC247" s="90"/>
      <c r="AGD247" s="90"/>
      <c r="AGE247" s="90"/>
      <c r="AGF247" s="90"/>
      <c r="AGG247" s="90"/>
      <c r="AGH247" s="90"/>
      <c r="AGI247" s="90"/>
      <c r="AGJ247" s="90"/>
      <c r="AGK247" s="90"/>
      <c r="AGL247" s="90"/>
      <c r="AGM247" s="90"/>
      <c r="AGN247" s="90"/>
      <c r="AGO247" s="90"/>
      <c r="AGP247" s="90"/>
      <c r="AGQ247" s="90"/>
      <c r="AGR247" s="90"/>
      <c r="AGS247" s="90"/>
      <c r="AGT247" s="90"/>
      <c r="AGU247" s="90"/>
      <c r="AGV247" s="90"/>
      <c r="AGW247" s="90"/>
      <c r="AGX247" s="90"/>
      <c r="AGY247" s="90"/>
      <c r="AGZ247" s="90"/>
      <c r="AHA247" s="90"/>
      <c r="AHB247" s="90"/>
      <c r="AHC247" s="90"/>
      <c r="AHD247" s="90"/>
      <c r="AHE247" s="90"/>
      <c r="AHF247" s="90"/>
      <c r="AHG247" s="90"/>
      <c r="AHH247" s="90"/>
      <c r="AHI247" s="90"/>
      <c r="AHJ247" s="90"/>
      <c r="AHK247" s="90"/>
      <c r="AHL247" s="90"/>
      <c r="AHM247" s="90"/>
      <c r="AHN247" s="90"/>
      <c r="AHO247" s="90"/>
      <c r="AHP247" s="90"/>
      <c r="AHQ247" s="90"/>
      <c r="AHR247" s="90"/>
      <c r="AHS247" s="90"/>
      <c r="AHT247" s="90"/>
      <c r="AHU247" s="90"/>
      <c r="AHV247" s="90"/>
      <c r="AHW247" s="90"/>
      <c r="AHX247" s="90"/>
      <c r="AHY247" s="90"/>
      <c r="AHZ247" s="90"/>
      <c r="AIA247" s="90"/>
      <c r="AIB247" s="90"/>
      <c r="AIC247" s="90"/>
      <c r="AID247" s="90"/>
      <c r="AIE247" s="90"/>
      <c r="AIF247" s="90"/>
      <c r="AIG247" s="90"/>
      <c r="AIH247" s="90"/>
      <c r="AII247" s="90"/>
      <c r="AIJ247" s="90"/>
      <c r="AIK247" s="90"/>
      <c r="AIL247" s="90"/>
      <c r="AIM247" s="90"/>
      <c r="AIN247" s="90"/>
      <c r="AIO247" s="90"/>
      <c r="AIP247" s="90"/>
      <c r="AIQ247" s="90"/>
      <c r="AIR247" s="90"/>
      <c r="AIS247" s="90"/>
      <c r="AIT247" s="90"/>
      <c r="AIU247" s="90"/>
      <c r="AIV247" s="90"/>
      <c r="AIW247" s="90"/>
      <c r="AIX247" s="90"/>
      <c r="AIY247" s="90"/>
      <c r="AIZ247" s="90"/>
      <c r="AJA247" s="90"/>
      <c r="AJB247" s="90"/>
      <c r="AJC247" s="90"/>
      <c r="AJD247" s="90"/>
      <c r="AJE247" s="90"/>
      <c r="AJF247" s="90"/>
      <c r="AJG247" s="90"/>
      <c r="AJH247" s="90"/>
      <c r="AJI247" s="90"/>
      <c r="AJJ247" s="90"/>
      <c r="AJK247" s="90"/>
      <c r="AJL247" s="90"/>
      <c r="AJM247" s="90"/>
      <c r="AJN247" s="90"/>
      <c r="AJO247" s="90"/>
      <c r="AJP247" s="90"/>
      <c r="AJQ247" s="90"/>
      <c r="AJR247" s="90"/>
      <c r="AJS247" s="90"/>
      <c r="AJT247" s="90"/>
      <c r="AJU247" s="90"/>
      <c r="AJV247" s="90"/>
      <c r="AJW247" s="90"/>
      <c r="AJX247" s="90"/>
      <c r="AJY247" s="90"/>
      <c r="AJZ247" s="90"/>
      <c r="AKA247" s="90"/>
      <c r="AKB247" s="90"/>
      <c r="AKC247" s="90"/>
      <c r="AKD247" s="90"/>
      <c r="AKE247" s="90"/>
      <c r="AKF247" s="90"/>
      <c r="AKG247" s="90"/>
      <c r="AKH247" s="90"/>
      <c r="AKI247" s="90"/>
      <c r="AKJ247" s="90"/>
      <c r="AKK247" s="90"/>
      <c r="AKL247" s="90"/>
      <c r="AKM247" s="90"/>
      <c r="AKN247" s="90"/>
      <c r="AKO247" s="90"/>
      <c r="AKP247" s="90"/>
      <c r="AKQ247" s="90"/>
      <c r="AKR247" s="90"/>
      <c r="AKS247" s="90"/>
      <c r="AKT247" s="90"/>
      <c r="AKU247" s="90"/>
      <c r="AKV247" s="90"/>
      <c r="AKW247" s="90"/>
      <c r="AKX247" s="90"/>
      <c r="AKY247" s="90"/>
      <c r="AKZ247" s="90"/>
      <c r="ALA247" s="90"/>
      <c r="ALB247" s="90"/>
      <c r="ALC247" s="90"/>
      <c r="ALD247" s="90"/>
      <c r="ALE247" s="90"/>
      <c r="ALF247" s="90"/>
      <c r="ALG247" s="90"/>
      <c r="ALH247" s="90"/>
      <c r="ALI247" s="90"/>
      <c r="ALJ247" s="90"/>
      <c r="ALK247" s="90"/>
      <c r="ALL247" s="90"/>
      <c r="ALM247" s="90"/>
      <c r="ALN247" s="90"/>
      <c r="ALO247" s="90"/>
      <c r="ALP247" s="90"/>
      <c r="ALQ247" s="90"/>
      <c r="ALR247" s="90"/>
      <c r="ALS247" s="90"/>
      <c r="ALT247" s="90"/>
      <c r="ALU247" s="90"/>
      <c r="ALV247" s="90"/>
      <c r="ALW247" s="90"/>
      <c r="ALX247" s="90"/>
      <c r="ALY247" s="90"/>
      <c r="ALZ247" s="90"/>
      <c r="AMA247" s="90"/>
      <c r="AMB247" s="90"/>
      <c r="AMC247" s="90"/>
    </row>
    <row r="248" spans="1:1017">
      <c r="A248" s="98" t="s">
        <v>51</v>
      </c>
      <c r="B248" s="90" t="str">
        <f t="shared" si="1582"/>
        <v xml:space="preserve">Gurame, Gurami </v>
      </c>
      <c r="Q248" s="91">
        <f t="shared" si="1583"/>
        <v>0</v>
      </c>
      <c r="R248" s="91">
        <f t="shared" si="1584"/>
        <v>0</v>
      </c>
      <c r="Y248" s="98">
        <v>14700</v>
      </c>
      <c r="Z248" s="98">
        <v>514500</v>
      </c>
      <c r="AG248" s="91">
        <f t="shared" si="1585"/>
        <v>14700</v>
      </c>
      <c r="AH248" s="91">
        <f t="shared" si="1586"/>
        <v>514500</v>
      </c>
      <c r="AO248" s="98">
        <v>606500</v>
      </c>
      <c r="AP248" s="98">
        <v>17588500</v>
      </c>
      <c r="AW248" s="91">
        <f t="shared" si="1587"/>
        <v>606500</v>
      </c>
      <c r="AX248" s="91">
        <f t="shared" si="1588"/>
        <v>17588500</v>
      </c>
      <c r="BE248" s="98">
        <v>3752</v>
      </c>
      <c r="BF248" s="98">
        <v>112560</v>
      </c>
      <c r="BM248" s="91">
        <f t="shared" si="1589"/>
        <v>3752</v>
      </c>
      <c r="BN248" s="91">
        <f t="shared" si="1590"/>
        <v>112560</v>
      </c>
      <c r="BU248" s="98">
        <v>3101</v>
      </c>
      <c r="BV248" s="98">
        <v>117838</v>
      </c>
      <c r="CC248" s="91">
        <f t="shared" si="1591"/>
        <v>3101</v>
      </c>
      <c r="CD248" s="91">
        <f t="shared" si="1592"/>
        <v>117838</v>
      </c>
      <c r="CK248" s="98">
        <v>512</v>
      </c>
      <c r="CL248" s="98">
        <v>12795</v>
      </c>
      <c r="CS248" s="91">
        <f t="shared" si="1593"/>
        <v>512</v>
      </c>
      <c r="CT248" s="91">
        <f t="shared" si="1594"/>
        <v>12795</v>
      </c>
      <c r="DA248" s="98">
        <v>237715</v>
      </c>
      <c r="DB248" s="98">
        <v>7369165</v>
      </c>
      <c r="DI248" s="91">
        <f t="shared" si="1595"/>
        <v>237715</v>
      </c>
      <c r="DJ248" s="91">
        <f t="shared" si="1596"/>
        <v>7369165</v>
      </c>
      <c r="DQ248" s="98">
        <v>36100</v>
      </c>
      <c r="DR248" s="98">
        <v>1083000</v>
      </c>
      <c r="DY248" s="91">
        <f t="shared" si="1597"/>
        <v>36100</v>
      </c>
      <c r="DZ248" s="91">
        <f t="shared" si="1598"/>
        <v>1083000</v>
      </c>
      <c r="EG248" s="98">
        <v>215100</v>
      </c>
      <c r="EH248" s="98">
        <v>6022800</v>
      </c>
      <c r="EO248" s="91">
        <f t="shared" si="1599"/>
        <v>215100</v>
      </c>
      <c r="EP248" s="91">
        <f t="shared" si="1600"/>
        <v>6022800</v>
      </c>
      <c r="FE248" s="91">
        <f t="shared" si="1601"/>
        <v>0</v>
      </c>
      <c r="FF248" s="91">
        <f t="shared" si="1602"/>
        <v>0</v>
      </c>
      <c r="FM248" s="98">
        <v>60475</v>
      </c>
      <c r="FN248" s="98">
        <v>2116625</v>
      </c>
      <c r="FU248" s="91">
        <f t="shared" si="1603"/>
        <v>60475</v>
      </c>
      <c r="FV248" s="91">
        <f t="shared" si="1604"/>
        <v>2116625</v>
      </c>
      <c r="GC248" s="98">
        <v>27500</v>
      </c>
      <c r="GD248" s="98">
        <v>825000</v>
      </c>
      <c r="GK248" s="91">
        <f t="shared" si="1605"/>
        <v>27500</v>
      </c>
      <c r="GL248" s="91">
        <f t="shared" si="1606"/>
        <v>825000</v>
      </c>
      <c r="GS248" s="98">
        <v>7000</v>
      </c>
      <c r="GT248" s="98">
        <v>203000</v>
      </c>
      <c r="HA248" s="91">
        <f t="shared" si="1607"/>
        <v>7000</v>
      </c>
      <c r="HB248" s="91">
        <f t="shared" si="1608"/>
        <v>203000</v>
      </c>
      <c r="HI248" s="98">
        <v>3500</v>
      </c>
      <c r="HJ248" s="98">
        <v>105000</v>
      </c>
      <c r="HQ248" s="91">
        <f t="shared" si="1609"/>
        <v>3500</v>
      </c>
      <c r="HR248" s="91">
        <f t="shared" si="1610"/>
        <v>105000</v>
      </c>
      <c r="HY248" s="98">
        <v>3200</v>
      </c>
      <c r="HZ248" s="98">
        <v>102400</v>
      </c>
      <c r="IG248" s="91">
        <f t="shared" si="1611"/>
        <v>3200</v>
      </c>
      <c r="IH248" s="91">
        <f t="shared" si="1612"/>
        <v>102400</v>
      </c>
      <c r="IO248" s="98">
        <v>87000</v>
      </c>
      <c r="IP248" s="98">
        <v>2349000</v>
      </c>
      <c r="IW248" s="91">
        <f t="shared" si="1613"/>
        <v>87000</v>
      </c>
      <c r="IX248" s="91">
        <f t="shared" si="1614"/>
        <v>2349000</v>
      </c>
      <c r="JE248" s="98">
        <v>15300</v>
      </c>
      <c r="JF248" s="98">
        <v>459000</v>
      </c>
      <c r="JM248" s="91">
        <f t="shared" si="1615"/>
        <v>15300</v>
      </c>
      <c r="JN248" s="91">
        <f t="shared" si="1616"/>
        <v>459000</v>
      </c>
      <c r="JU248" s="98">
        <v>20</v>
      </c>
      <c r="JV248" s="98">
        <v>700</v>
      </c>
      <c r="KC248" s="91">
        <f t="shared" si="1617"/>
        <v>20</v>
      </c>
      <c r="KD248" s="91">
        <f t="shared" si="1618"/>
        <v>700</v>
      </c>
      <c r="KK248" s="98">
        <v>130</v>
      </c>
      <c r="KL248" s="98">
        <v>6500</v>
      </c>
      <c r="KS248" s="91">
        <f t="shared" si="1619"/>
        <v>130</v>
      </c>
      <c r="KT248" s="91">
        <f t="shared" si="1620"/>
        <v>6500</v>
      </c>
      <c r="LA248" s="98">
        <v>11416.55</v>
      </c>
      <c r="LB248" s="98">
        <v>399579</v>
      </c>
      <c r="LI248" s="91">
        <f t="shared" si="1621"/>
        <v>11416.55</v>
      </c>
      <c r="LJ248" s="91">
        <f t="shared" si="1622"/>
        <v>399579</v>
      </c>
      <c r="LQ248" s="98">
        <v>25119</v>
      </c>
      <c r="LR248" s="98">
        <v>753570</v>
      </c>
      <c r="LY248" s="91">
        <f t="shared" si="1623"/>
        <v>25119</v>
      </c>
      <c r="LZ248" s="91">
        <f t="shared" si="1624"/>
        <v>753570</v>
      </c>
      <c r="MO248" s="91">
        <f t="shared" si="1625"/>
        <v>0</v>
      </c>
      <c r="MP248" s="91">
        <f t="shared" si="1626"/>
        <v>0</v>
      </c>
      <c r="NE248" s="91">
        <f t="shared" si="1627"/>
        <v>0</v>
      </c>
      <c r="NF248" s="91">
        <f t="shared" si="1628"/>
        <v>0</v>
      </c>
      <c r="NM248" s="98">
        <v>12900</v>
      </c>
      <c r="NN248" s="98">
        <v>361200</v>
      </c>
      <c r="NQ248" s="98">
        <v>350</v>
      </c>
      <c r="NR248" s="98">
        <v>9800</v>
      </c>
      <c r="NU248" s="91">
        <f t="shared" si="1629"/>
        <v>13250</v>
      </c>
      <c r="NV248" s="91">
        <f t="shared" si="1630"/>
        <v>371000</v>
      </c>
      <c r="OC248" s="98">
        <v>200</v>
      </c>
      <c r="OD248" s="98">
        <v>8000</v>
      </c>
      <c r="OK248" s="91">
        <f t="shared" si="1631"/>
        <v>200</v>
      </c>
      <c r="OL248" s="91">
        <f t="shared" si="1632"/>
        <v>8000</v>
      </c>
      <c r="OS248" s="98">
        <v>840</v>
      </c>
      <c r="OT248" s="98">
        <v>42000</v>
      </c>
      <c r="PA248" s="91">
        <f t="shared" si="1633"/>
        <v>840</v>
      </c>
      <c r="PB248" s="91">
        <f t="shared" si="1634"/>
        <v>42000</v>
      </c>
      <c r="PI248" s="98">
        <v>25431</v>
      </c>
      <c r="PJ248" s="98">
        <v>559482</v>
      </c>
      <c r="PQ248" s="91">
        <f t="shared" si="1635"/>
        <v>25431</v>
      </c>
      <c r="PR248" s="91">
        <f t="shared" si="1636"/>
        <v>559482</v>
      </c>
      <c r="PY248" s="98">
        <v>2690</v>
      </c>
      <c r="PZ248" s="98">
        <v>80700</v>
      </c>
      <c r="QG248" s="91">
        <f t="shared" si="1637"/>
        <v>2690</v>
      </c>
      <c r="QH248" s="91">
        <f t="shared" si="1638"/>
        <v>80700</v>
      </c>
      <c r="QO248" s="98">
        <v>1800000</v>
      </c>
      <c r="QP248" s="98">
        <v>43200000</v>
      </c>
      <c r="QW248" s="91">
        <f t="shared" si="1639"/>
        <v>1800000</v>
      </c>
      <c r="QX248" s="91">
        <f t="shared" si="1640"/>
        <v>43200000</v>
      </c>
      <c r="RM248" s="91">
        <f t="shared" si="1641"/>
        <v>0</v>
      </c>
      <c r="RN248" s="91">
        <f t="shared" si="1642"/>
        <v>0</v>
      </c>
      <c r="RU248" s="98">
        <v>3560</v>
      </c>
      <c r="RV248" s="98">
        <v>99680</v>
      </c>
      <c r="SC248" s="91">
        <f t="shared" si="1643"/>
        <v>3560</v>
      </c>
      <c r="SD248" s="91">
        <f t="shared" si="1644"/>
        <v>99680</v>
      </c>
      <c r="SS248" s="91">
        <f t="shared" si="1645"/>
        <v>0</v>
      </c>
      <c r="ST248" s="91">
        <f t="shared" si="1646"/>
        <v>0</v>
      </c>
      <c r="TA248" s="98">
        <v>4100</v>
      </c>
      <c r="TB248" s="98">
        <v>135300</v>
      </c>
      <c r="TI248" s="91">
        <f t="shared" si="1647"/>
        <v>4100</v>
      </c>
      <c r="TJ248" s="91">
        <f t="shared" si="1648"/>
        <v>135300</v>
      </c>
      <c r="TY248" s="91">
        <f t="shared" si="1649"/>
        <v>0</v>
      </c>
      <c r="TZ248" s="91">
        <f t="shared" si="1650"/>
        <v>0</v>
      </c>
      <c r="UG248" s="98">
        <v>222</v>
      </c>
      <c r="UH248" s="98">
        <v>6660</v>
      </c>
      <c r="UO248" s="91">
        <f t="shared" si="1651"/>
        <v>222</v>
      </c>
      <c r="UP248" s="91">
        <f t="shared" si="1652"/>
        <v>6660</v>
      </c>
      <c r="VE248" s="91">
        <f t="shared" si="1653"/>
        <v>0</v>
      </c>
      <c r="VF248" s="91">
        <f t="shared" si="1654"/>
        <v>0</v>
      </c>
      <c r="VM248" s="98">
        <v>725</v>
      </c>
      <c r="VN248" s="98">
        <v>26825</v>
      </c>
      <c r="VU248" s="91">
        <f t="shared" si="1655"/>
        <v>725</v>
      </c>
      <c r="VV248" s="91">
        <f t="shared" si="1656"/>
        <v>26825</v>
      </c>
      <c r="WK248" s="91">
        <f t="shared" si="1657"/>
        <v>0</v>
      </c>
      <c r="WL248" s="91">
        <f t="shared" si="1658"/>
        <v>0</v>
      </c>
      <c r="WM248" s="89"/>
      <c r="WN248" s="87">
        <f t="shared" si="1659"/>
        <v>0</v>
      </c>
      <c r="WO248" s="87">
        <f t="shared" si="1660"/>
        <v>0</v>
      </c>
      <c r="WP248" s="87">
        <f t="shared" si="1661"/>
        <v>0</v>
      </c>
      <c r="WQ248" s="87">
        <f t="shared" si="1662"/>
        <v>0</v>
      </c>
      <c r="WR248" s="87">
        <f t="shared" si="1663"/>
        <v>0</v>
      </c>
      <c r="WS248" s="87">
        <f t="shared" si="1664"/>
        <v>0</v>
      </c>
      <c r="WT248" s="87">
        <f t="shared" si="1665"/>
        <v>3208808.55</v>
      </c>
      <c r="WU248" s="87">
        <f t="shared" si="1666"/>
        <v>84661379</v>
      </c>
      <c r="WV248" s="87">
        <f t="shared" si="1667"/>
        <v>0</v>
      </c>
      <c r="WW248" s="87">
        <f t="shared" si="1668"/>
        <v>0</v>
      </c>
      <c r="WX248" s="87">
        <f t="shared" si="1669"/>
        <v>350</v>
      </c>
      <c r="WY248" s="87">
        <f t="shared" si="1670"/>
        <v>9800</v>
      </c>
      <c r="WZ248" s="87">
        <f t="shared" si="1671"/>
        <v>0</v>
      </c>
      <c r="XA248" s="87">
        <f t="shared" si="1672"/>
        <v>0</v>
      </c>
      <c r="XB248" s="92">
        <f t="shared" si="1673"/>
        <v>3209158.55</v>
      </c>
      <c r="XC248" s="92">
        <f t="shared" si="1674"/>
        <v>84671179</v>
      </c>
      <c r="XD248" s="89"/>
      <c r="XE248" s="92"/>
      <c r="XF248" s="92"/>
      <c r="XG248" s="89"/>
      <c r="XH248" s="92"/>
      <c r="XI248" s="92"/>
      <c r="XJ248" s="89"/>
      <c r="XK248" s="87"/>
      <c r="XL248" s="87"/>
      <c r="XM248" s="87"/>
      <c r="XN248" s="87"/>
      <c r="XO248" s="87"/>
      <c r="XP248" s="87"/>
      <c r="XQ248" s="87"/>
      <c r="XR248" s="92">
        <f t="shared" ca="1" si="1675"/>
        <v>0</v>
      </c>
      <c r="XS248" s="89"/>
      <c r="XT248" s="87"/>
      <c r="XU248" s="87"/>
      <c r="XV248" s="87"/>
      <c r="XW248" s="87"/>
      <c r="XX248" s="87"/>
      <c r="XY248" s="87"/>
      <c r="XZ248" s="87"/>
      <c r="YA248" s="92">
        <f t="shared" ca="1" si="1676"/>
        <v>0</v>
      </c>
      <c r="YB248" s="90"/>
      <c r="YC248" s="90"/>
      <c r="YD248" s="90"/>
      <c r="YE248" s="90"/>
      <c r="YF248" s="90"/>
      <c r="YG248" s="90"/>
      <c r="YH248" s="90"/>
      <c r="YI248" s="90"/>
      <c r="YJ248" s="90"/>
      <c r="YK248" s="90"/>
      <c r="YL248" s="90"/>
      <c r="YM248" s="90"/>
      <c r="YN248" s="90"/>
      <c r="YO248" s="90"/>
      <c r="YP248" s="90"/>
      <c r="YQ248" s="90"/>
      <c r="YR248" s="90"/>
      <c r="YS248" s="90"/>
      <c r="YT248" s="90"/>
      <c r="YU248" s="90"/>
      <c r="YV248" s="90"/>
      <c r="YW248" s="90"/>
      <c r="YX248" s="90"/>
      <c r="YY248" s="90"/>
      <c r="YZ248" s="90"/>
      <c r="ZA248" s="90"/>
      <c r="ZB248" s="90"/>
      <c r="ZC248" s="90"/>
      <c r="ZD248" s="90"/>
      <c r="ZE248" s="90"/>
      <c r="ZF248" s="90"/>
      <c r="ZG248" s="90"/>
      <c r="ZH248" s="90"/>
      <c r="ZI248" s="90"/>
      <c r="ZJ248" s="90"/>
      <c r="ZK248" s="90"/>
      <c r="ZL248" s="90"/>
      <c r="ZM248" s="90"/>
      <c r="ZN248" s="90"/>
      <c r="ZO248" s="90"/>
      <c r="ZP248" s="90"/>
      <c r="ZQ248" s="90"/>
      <c r="ZR248" s="90"/>
      <c r="ZS248" s="90"/>
      <c r="ZT248" s="90"/>
      <c r="ZU248" s="90"/>
      <c r="ZV248" s="90"/>
      <c r="ZW248" s="90"/>
      <c r="ZX248" s="90"/>
      <c r="ZY248" s="90"/>
      <c r="ZZ248" s="90"/>
      <c r="AAA248" s="90"/>
      <c r="AAB248" s="90"/>
      <c r="AAC248" s="90"/>
      <c r="AAD248" s="90"/>
      <c r="AAE248" s="90"/>
      <c r="AAF248" s="90"/>
      <c r="AAG248" s="90"/>
      <c r="AAH248" s="90"/>
      <c r="AAI248" s="90"/>
      <c r="AAJ248" s="90"/>
      <c r="AAK248" s="90"/>
      <c r="AAL248" s="90"/>
      <c r="AAM248" s="90"/>
      <c r="AAN248" s="90"/>
      <c r="AAO248" s="90"/>
      <c r="AAP248" s="90"/>
      <c r="AAQ248" s="90"/>
      <c r="AAR248" s="90"/>
      <c r="AAS248" s="90"/>
      <c r="AAT248" s="90"/>
      <c r="AAU248" s="90"/>
      <c r="AAV248" s="90"/>
      <c r="AAW248" s="90"/>
      <c r="AAX248" s="90"/>
      <c r="AAY248" s="90"/>
      <c r="AAZ248" s="90"/>
      <c r="ABA248" s="90"/>
      <c r="ABB248" s="90"/>
      <c r="ABC248" s="90"/>
      <c r="ABD248" s="90"/>
      <c r="ABE248" s="90"/>
      <c r="ABF248" s="90"/>
      <c r="ABG248" s="90"/>
      <c r="ABH248" s="90"/>
      <c r="ABI248" s="90"/>
      <c r="ABJ248" s="90"/>
      <c r="ABK248" s="90"/>
      <c r="ABL248" s="90"/>
      <c r="ABM248" s="90"/>
      <c r="ABN248" s="90"/>
      <c r="ABO248" s="90"/>
      <c r="ABP248" s="90"/>
      <c r="ABQ248" s="90"/>
      <c r="ABR248" s="90"/>
      <c r="ABS248" s="90"/>
      <c r="ABT248" s="90"/>
      <c r="ABU248" s="90"/>
      <c r="ABV248" s="90"/>
      <c r="ABW248" s="90"/>
      <c r="ABX248" s="90"/>
      <c r="ABY248" s="90"/>
      <c r="ABZ248" s="90"/>
      <c r="ACA248" s="90"/>
      <c r="ACB248" s="90"/>
      <c r="ACC248" s="90"/>
      <c r="ACD248" s="90"/>
      <c r="ACE248" s="90"/>
      <c r="ACF248" s="90"/>
      <c r="ACG248" s="90"/>
      <c r="ACH248" s="90"/>
      <c r="ACI248" s="90"/>
      <c r="ACJ248" s="90"/>
      <c r="ACK248" s="90"/>
      <c r="ACL248" s="90"/>
      <c r="ACM248" s="90"/>
      <c r="ACN248" s="90"/>
      <c r="ACO248" s="90"/>
      <c r="ACP248" s="90"/>
      <c r="ACQ248" s="90"/>
      <c r="ACR248" s="90"/>
      <c r="ACS248" s="90"/>
      <c r="ACT248" s="90"/>
      <c r="ACU248" s="90"/>
      <c r="ACV248" s="90"/>
      <c r="ACW248" s="90"/>
      <c r="ACX248" s="90"/>
      <c r="ACY248" s="90"/>
      <c r="ACZ248" s="90"/>
      <c r="ADA248" s="90"/>
      <c r="ADB248" s="90"/>
      <c r="ADC248" s="90"/>
      <c r="ADD248" s="90"/>
      <c r="ADE248" s="90"/>
      <c r="ADF248" s="90"/>
      <c r="ADG248" s="90"/>
      <c r="ADH248" s="90"/>
      <c r="ADI248" s="90"/>
      <c r="ADJ248" s="90"/>
      <c r="ADK248" s="90"/>
      <c r="ADL248" s="90"/>
      <c r="ADM248" s="90"/>
      <c r="ADN248" s="90"/>
      <c r="ADO248" s="90"/>
      <c r="ADP248" s="90"/>
      <c r="ADQ248" s="90"/>
      <c r="ADR248" s="90"/>
      <c r="ADS248" s="90"/>
      <c r="ADT248" s="90"/>
      <c r="ADU248" s="90"/>
      <c r="ADV248" s="90"/>
      <c r="ADW248" s="90"/>
      <c r="ADX248" s="90"/>
      <c r="ADY248" s="90"/>
      <c r="ADZ248" s="90"/>
      <c r="AEA248" s="90"/>
      <c r="AEB248" s="90"/>
      <c r="AEC248" s="90"/>
      <c r="AED248" s="90"/>
      <c r="AEE248" s="90"/>
      <c r="AEF248" s="90"/>
      <c r="AEG248" s="90"/>
      <c r="AEH248" s="90"/>
      <c r="AEI248" s="90"/>
      <c r="AEJ248" s="90"/>
      <c r="AEK248" s="90"/>
      <c r="AEL248" s="90"/>
      <c r="AEM248" s="90"/>
      <c r="AEN248" s="90"/>
      <c r="AEO248" s="90"/>
      <c r="AEP248" s="90"/>
      <c r="AEQ248" s="90"/>
      <c r="AER248" s="90"/>
      <c r="AES248" s="90"/>
      <c r="AET248" s="90"/>
      <c r="AEU248" s="90"/>
      <c r="AEV248" s="90"/>
      <c r="AEW248" s="90"/>
      <c r="AEX248" s="90"/>
      <c r="AEY248" s="90"/>
      <c r="AEZ248" s="90"/>
      <c r="AFA248" s="90"/>
      <c r="AFB248" s="90"/>
      <c r="AFC248" s="90"/>
      <c r="AFD248" s="90"/>
      <c r="AFE248" s="90"/>
      <c r="AFF248" s="90"/>
      <c r="AFG248" s="90"/>
      <c r="AFH248" s="90"/>
      <c r="AFI248" s="90"/>
      <c r="AFJ248" s="90"/>
      <c r="AFK248" s="90"/>
      <c r="AFL248" s="90"/>
      <c r="AFM248" s="90"/>
      <c r="AFN248" s="90"/>
      <c r="AFO248" s="90"/>
      <c r="AFP248" s="90"/>
      <c r="AFQ248" s="90"/>
      <c r="AFR248" s="90"/>
      <c r="AFS248" s="90"/>
      <c r="AFT248" s="90"/>
      <c r="AFU248" s="90"/>
      <c r="AFV248" s="90"/>
      <c r="AFW248" s="90"/>
      <c r="AFX248" s="90"/>
      <c r="AFY248" s="90"/>
      <c r="AFZ248" s="90"/>
      <c r="AGA248" s="90"/>
      <c r="AGB248" s="90"/>
      <c r="AGC248" s="90"/>
      <c r="AGD248" s="90"/>
      <c r="AGE248" s="90"/>
      <c r="AGF248" s="90"/>
      <c r="AGG248" s="90"/>
      <c r="AGH248" s="90"/>
      <c r="AGI248" s="90"/>
      <c r="AGJ248" s="90"/>
      <c r="AGK248" s="90"/>
      <c r="AGL248" s="90"/>
      <c r="AGM248" s="90"/>
      <c r="AGN248" s="90"/>
      <c r="AGO248" s="90"/>
      <c r="AGP248" s="90"/>
      <c r="AGQ248" s="90"/>
      <c r="AGR248" s="90"/>
      <c r="AGS248" s="90"/>
      <c r="AGT248" s="90"/>
      <c r="AGU248" s="90"/>
      <c r="AGV248" s="90"/>
      <c r="AGW248" s="90"/>
      <c r="AGX248" s="90"/>
      <c r="AGY248" s="90"/>
      <c r="AGZ248" s="90"/>
      <c r="AHA248" s="90"/>
      <c r="AHB248" s="90"/>
      <c r="AHC248" s="90"/>
      <c r="AHD248" s="90"/>
      <c r="AHE248" s="90"/>
      <c r="AHF248" s="90"/>
      <c r="AHG248" s="90"/>
      <c r="AHH248" s="90"/>
      <c r="AHI248" s="90"/>
      <c r="AHJ248" s="90"/>
      <c r="AHK248" s="90"/>
      <c r="AHL248" s="90"/>
      <c r="AHM248" s="90"/>
      <c r="AHN248" s="90"/>
      <c r="AHO248" s="90"/>
      <c r="AHP248" s="90"/>
      <c r="AHQ248" s="90"/>
      <c r="AHR248" s="90"/>
      <c r="AHS248" s="90"/>
      <c r="AHT248" s="90"/>
      <c r="AHU248" s="90"/>
      <c r="AHV248" s="90"/>
      <c r="AHW248" s="90"/>
      <c r="AHX248" s="90"/>
      <c r="AHY248" s="90"/>
      <c r="AHZ248" s="90"/>
      <c r="AIA248" s="90"/>
      <c r="AIB248" s="90"/>
      <c r="AIC248" s="90"/>
      <c r="AID248" s="90"/>
      <c r="AIE248" s="90"/>
      <c r="AIF248" s="90"/>
      <c r="AIG248" s="90"/>
      <c r="AIH248" s="90"/>
      <c r="AII248" s="90"/>
      <c r="AIJ248" s="90"/>
      <c r="AIK248" s="90"/>
      <c r="AIL248" s="90"/>
      <c r="AIM248" s="90"/>
      <c r="AIN248" s="90"/>
      <c r="AIO248" s="90"/>
      <c r="AIP248" s="90"/>
      <c r="AIQ248" s="90"/>
      <c r="AIR248" s="90"/>
      <c r="AIS248" s="90"/>
      <c r="AIT248" s="90"/>
      <c r="AIU248" s="90"/>
      <c r="AIV248" s="90"/>
      <c r="AIW248" s="90"/>
      <c r="AIX248" s="90"/>
      <c r="AIY248" s="90"/>
      <c r="AIZ248" s="90"/>
      <c r="AJA248" s="90"/>
      <c r="AJB248" s="90"/>
      <c r="AJC248" s="90"/>
      <c r="AJD248" s="90"/>
      <c r="AJE248" s="90"/>
      <c r="AJF248" s="90"/>
      <c r="AJG248" s="90"/>
      <c r="AJH248" s="90"/>
      <c r="AJI248" s="90"/>
      <c r="AJJ248" s="90"/>
      <c r="AJK248" s="90"/>
      <c r="AJL248" s="90"/>
      <c r="AJM248" s="90"/>
      <c r="AJN248" s="90"/>
      <c r="AJO248" s="90"/>
      <c r="AJP248" s="90"/>
      <c r="AJQ248" s="90"/>
      <c r="AJR248" s="90"/>
      <c r="AJS248" s="90"/>
      <c r="AJT248" s="90"/>
      <c r="AJU248" s="90"/>
      <c r="AJV248" s="90"/>
      <c r="AJW248" s="90"/>
      <c r="AJX248" s="90"/>
      <c r="AJY248" s="90"/>
      <c r="AJZ248" s="90"/>
      <c r="AKA248" s="90"/>
      <c r="AKB248" s="90"/>
      <c r="AKC248" s="90"/>
      <c r="AKD248" s="90"/>
      <c r="AKE248" s="90"/>
      <c r="AKF248" s="90"/>
      <c r="AKG248" s="90"/>
      <c r="AKH248" s="90"/>
      <c r="AKI248" s="90"/>
      <c r="AKJ248" s="90"/>
      <c r="AKK248" s="90"/>
      <c r="AKL248" s="90"/>
      <c r="AKM248" s="90"/>
      <c r="AKN248" s="90"/>
      <c r="AKO248" s="90"/>
      <c r="AKP248" s="90"/>
      <c r="AKQ248" s="90"/>
      <c r="AKR248" s="90"/>
      <c r="AKS248" s="90"/>
      <c r="AKT248" s="90"/>
      <c r="AKU248" s="90"/>
      <c r="AKV248" s="90"/>
      <c r="AKW248" s="90"/>
      <c r="AKX248" s="90"/>
      <c r="AKY248" s="90"/>
      <c r="AKZ248" s="90"/>
      <c r="ALA248" s="90"/>
      <c r="ALB248" s="90"/>
      <c r="ALC248" s="90"/>
      <c r="ALD248" s="90"/>
      <c r="ALE248" s="90"/>
      <c r="ALF248" s="90"/>
      <c r="ALG248" s="90"/>
      <c r="ALH248" s="90"/>
      <c r="ALI248" s="90"/>
      <c r="ALJ248" s="90"/>
      <c r="ALK248" s="90"/>
      <c r="ALL248" s="90"/>
      <c r="ALM248" s="90"/>
      <c r="ALN248" s="90"/>
      <c r="ALO248" s="90"/>
      <c r="ALP248" s="90"/>
      <c r="ALQ248" s="90"/>
      <c r="ALR248" s="90"/>
      <c r="ALS248" s="90"/>
      <c r="ALT248" s="90"/>
      <c r="ALU248" s="90"/>
      <c r="ALV248" s="90"/>
      <c r="ALW248" s="90"/>
      <c r="ALX248" s="90"/>
      <c r="ALY248" s="90"/>
      <c r="ALZ248" s="90"/>
      <c r="AMA248" s="90"/>
      <c r="AMB248" s="90"/>
      <c r="AMC248" s="90"/>
    </row>
    <row r="249" spans="1:1017">
      <c r="A249" s="98" t="s">
        <v>51</v>
      </c>
      <c r="B249" s="90" t="str">
        <f t="shared" si="1582"/>
        <v>Kakap Putih</v>
      </c>
      <c r="E249" s="98">
        <v>66000</v>
      </c>
      <c r="F249" s="98">
        <v>3960000</v>
      </c>
      <c r="Q249" s="91">
        <f t="shared" si="1583"/>
        <v>66000</v>
      </c>
      <c r="R249" s="91">
        <f t="shared" si="1584"/>
        <v>3960000</v>
      </c>
      <c r="S249" s="98">
        <v>45</v>
      </c>
      <c r="T249" s="98">
        <v>2925</v>
      </c>
      <c r="U249" s="98">
        <v>1810</v>
      </c>
      <c r="V249" s="98">
        <v>117650</v>
      </c>
      <c r="AG249" s="91">
        <f t="shared" si="1585"/>
        <v>1855</v>
      </c>
      <c r="AH249" s="91">
        <f t="shared" si="1586"/>
        <v>120575</v>
      </c>
      <c r="AW249" s="91">
        <f t="shared" si="1587"/>
        <v>0</v>
      </c>
      <c r="AX249" s="91">
        <f t="shared" si="1588"/>
        <v>0</v>
      </c>
      <c r="BM249" s="91">
        <f t="shared" si="1589"/>
        <v>0</v>
      </c>
      <c r="BN249" s="91">
        <f t="shared" si="1590"/>
        <v>0</v>
      </c>
      <c r="CC249" s="91">
        <f t="shared" si="1591"/>
        <v>0</v>
      </c>
      <c r="CD249" s="91">
        <f t="shared" si="1592"/>
        <v>0</v>
      </c>
      <c r="CG249" s="98">
        <v>954.00220593149993</v>
      </c>
      <c r="CH249" s="98">
        <v>33390.077207602495</v>
      </c>
      <c r="CS249" s="91">
        <f t="shared" si="1593"/>
        <v>954.00220593149993</v>
      </c>
      <c r="CT249" s="91">
        <f t="shared" si="1594"/>
        <v>33390.077207602495</v>
      </c>
      <c r="DI249" s="91">
        <f t="shared" si="1595"/>
        <v>0</v>
      </c>
      <c r="DJ249" s="91">
        <f t="shared" si="1596"/>
        <v>0</v>
      </c>
      <c r="DY249" s="91">
        <f t="shared" si="1597"/>
        <v>0</v>
      </c>
      <c r="DZ249" s="91">
        <f t="shared" si="1598"/>
        <v>0</v>
      </c>
      <c r="EO249" s="91">
        <f t="shared" si="1599"/>
        <v>0</v>
      </c>
      <c r="EP249" s="91">
        <f t="shared" si="1600"/>
        <v>0</v>
      </c>
      <c r="FE249" s="91">
        <f t="shared" si="1601"/>
        <v>0</v>
      </c>
      <c r="FF249" s="91">
        <f t="shared" si="1602"/>
        <v>0</v>
      </c>
      <c r="FU249" s="91">
        <f t="shared" si="1603"/>
        <v>0</v>
      </c>
      <c r="FV249" s="91">
        <f t="shared" si="1604"/>
        <v>0</v>
      </c>
      <c r="GK249" s="91">
        <f t="shared" si="1605"/>
        <v>0</v>
      </c>
      <c r="GL249" s="91">
        <f t="shared" si="1606"/>
        <v>0</v>
      </c>
      <c r="HA249" s="91">
        <f t="shared" si="1607"/>
        <v>0</v>
      </c>
      <c r="HB249" s="91">
        <f t="shared" si="1608"/>
        <v>0</v>
      </c>
      <c r="HQ249" s="91">
        <f t="shared" si="1609"/>
        <v>0</v>
      </c>
      <c r="HR249" s="91">
        <f t="shared" si="1610"/>
        <v>0</v>
      </c>
      <c r="IG249" s="91">
        <f t="shared" si="1611"/>
        <v>0</v>
      </c>
      <c r="IH249" s="91">
        <f t="shared" si="1612"/>
        <v>0</v>
      </c>
      <c r="IW249" s="91">
        <f t="shared" si="1613"/>
        <v>0</v>
      </c>
      <c r="IX249" s="91">
        <f t="shared" si="1614"/>
        <v>0</v>
      </c>
      <c r="JM249" s="91">
        <f t="shared" si="1615"/>
        <v>0</v>
      </c>
      <c r="JN249" s="91">
        <f t="shared" si="1616"/>
        <v>0</v>
      </c>
      <c r="KC249" s="91">
        <f t="shared" si="1617"/>
        <v>0</v>
      </c>
      <c r="KD249" s="91">
        <f t="shared" si="1618"/>
        <v>0</v>
      </c>
      <c r="KS249" s="91">
        <f t="shared" si="1619"/>
        <v>0</v>
      </c>
      <c r="KT249" s="91">
        <f t="shared" si="1620"/>
        <v>0</v>
      </c>
      <c r="LI249" s="91">
        <f t="shared" si="1621"/>
        <v>0</v>
      </c>
      <c r="LJ249" s="91">
        <f t="shared" si="1622"/>
        <v>0</v>
      </c>
      <c r="LY249" s="91">
        <f t="shared" si="1623"/>
        <v>0</v>
      </c>
      <c r="LZ249" s="91">
        <f t="shared" si="1624"/>
        <v>0</v>
      </c>
      <c r="MO249" s="91">
        <f t="shared" si="1625"/>
        <v>0</v>
      </c>
      <c r="MP249" s="91">
        <f t="shared" si="1626"/>
        <v>0</v>
      </c>
      <c r="MS249" s="98">
        <v>350</v>
      </c>
      <c r="MT249" s="98">
        <v>10500</v>
      </c>
      <c r="NE249" s="91">
        <f t="shared" si="1627"/>
        <v>350</v>
      </c>
      <c r="NF249" s="91">
        <f t="shared" si="1628"/>
        <v>10500</v>
      </c>
      <c r="NI249" s="98">
        <v>4400</v>
      </c>
      <c r="NJ249" s="98">
        <v>154000</v>
      </c>
      <c r="NU249" s="91">
        <f t="shared" si="1629"/>
        <v>4400</v>
      </c>
      <c r="NV249" s="91">
        <f t="shared" si="1630"/>
        <v>154000</v>
      </c>
      <c r="NW249" s="98">
        <v>350</v>
      </c>
      <c r="NX249" s="98">
        <v>28000</v>
      </c>
      <c r="NY249" s="98">
        <v>8150</v>
      </c>
      <c r="NZ249" s="98">
        <v>652000</v>
      </c>
      <c r="OK249" s="91">
        <f t="shared" si="1631"/>
        <v>8500</v>
      </c>
      <c r="OL249" s="91">
        <f t="shared" si="1632"/>
        <v>680000</v>
      </c>
      <c r="PA249" s="91">
        <f t="shared" si="1633"/>
        <v>0</v>
      </c>
      <c r="PB249" s="91">
        <f t="shared" si="1634"/>
        <v>0</v>
      </c>
      <c r="PQ249" s="91">
        <f t="shared" si="1635"/>
        <v>0</v>
      </c>
      <c r="PR249" s="91">
        <f t="shared" si="1636"/>
        <v>0</v>
      </c>
      <c r="QG249" s="91">
        <f t="shared" si="1637"/>
        <v>0</v>
      </c>
      <c r="QH249" s="91">
        <f t="shared" si="1638"/>
        <v>0</v>
      </c>
      <c r="QW249" s="91">
        <f t="shared" si="1639"/>
        <v>0</v>
      </c>
      <c r="QX249" s="91">
        <f t="shared" si="1640"/>
        <v>0</v>
      </c>
      <c r="RM249" s="91">
        <f t="shared" si="1641"/>
        <v>0</v>
      </c>
      <c r="RN249" s="91">
        <f t="shared" si="1642"/>
        <v>0</v>
      </c>
      <c r="SC249" s="91">
        <f t="shared" si="1643"/>
        <v>0</v>
      </c>
      <c r="SD249" s="91">
        <f t="shared" si="1644"/>
        <v>0</v>
      </c>
      <c r="SS249" s="91">
        <f t="shared" si="1645"/>
        <v>0</v>
      </c>
      <c r="ST249" s="91">
        <f t="shared" si="1646"/>
        <v>0</v>
      </c>
      <c r="TI249" s="91">
        <f t="shared" si="1647"/>
        <v>0</v>
      </c>
      <c r="TJ249" s="91">
        <f t="shared" si="1648"/>
        <v>0</v>
      </c>
      <c r="TY249" s="91">
        <f t="shared" si="1649"/>
        <v>0</v>
      </c>
      <c r="TZ249" s="91">
        <f t="shared" si="1650"/>
        <v>0</v>
      </c>
      <c r="UO249" s="91">
        <f t="shared" si="1651"/>
        <v>0</v>
      </c>
      <c r="UP249" s="91">
        <f t="shared" si="1652"/>
        <v>0</v>
      </c>
      <c r="VE249" s="91">
        <f t="shared" si="1653"/>
        <v>0</v>
      </c>
      <c r="VF249" s="91">
        <f t="shared" si="1654"/>
        <v>0</v>
      </c>
      <c r="VI249" s="98">
        <v>24</v>
      </c>
      <c r="VJ249" s="98">
        <v>960</v>
      </c>
      <c r="VU249" s="91">
        <f t="shared" si="1655"/>
        <v>24</v>
      </c>
      <c r="VV249" s="91">
        <f t="shared" si="1656"/>
        <v>960</v>
      </c>
      <c r="WK249" s="91">
        <f t="shared" si="1657"/>
        <v>0</v>
      </c>
      <c r="WL249" s="91">
        <f t="shared" si="1658"/>
        <v>0</v>
      </c>
      <c r="WM249" s="89"/>
      <c r="WN249" s="87">
        <f t="shared" si="1659"/>
        <v>395</v>
      </c>
      <c r="WO249" s="87">
        <f t="shared" si="1660"/>
        <v>30925</v>
      </c>
      <c r="WP249" s="87">
        <f t="shared" si="1661"/>
        <v>81688.002205931494</v>
      </c>
      <c r="WQ249" s="87">
        <f t="shared" si="1662"/>
        <v>4928500.0772076026</v>
      </c>
      <c r="WR249" s="87">
        <f t="shared" si="1663"/>
        <v>0</v>
      </c>
      <c r="WS249" s="87">
        <f t="shared" si="1664"/>
        <v>0</v>
      </c>
      <c r="WT249" s="87">
        <f t="shared" si="1665"/>
        <v>0</v>
      </c>
      <c r="WU249" s="87">
        <f t="shared" si="1666"/>
        <v>0</v>
      </c>
      <c r="WV249" s="87">
        <f t="shared" si="1667"/>
        <v>0</v>
      </c>
      <c r="WW249" s="87">
        <f t="shared" si="1668"/>
        <v>0</v>
      </c>
      <c r="WX249" s="87">
        <f t="shared" si="1669"/>
        <v>0</v>
      </c>
      <c r="WY249" s="87">
        <f t="shared" si="1670"/>
        <v>0</v>
      </c>
      <c r="WZ249" s="87">
        <f t="shared" si="1671"/>
        <v>0</v>
      </c>
      <c r="XA249" s="87">
        <f t="shared" si="1672"/>
        <v>0</v>
      </c>
      <c r="XB249" s="92">
        <f t="shared" si="1673"/>
        <v>82083.002205931494</v>
      </c>
      <c r="XC249" s="92">
        <f t="shared" si="1674"/>
        <v>4959425.0772076026</v>
      </c>
      <c r="XD249" s="89"/>
      <c r="XE249" s="92"/>
      <c r="XF249" s="92"/>
      <c r="XG249" s="89"/>
      <c r="XH249" s="92"/>
      <c r="XI249" s="92"/>
      <c r="XJ249" s="89"/>
      <c r="XK249" s="87"/>
      <c r="XL249" s="87"/>
      <c r="XM249" s="87"/>
      <c r="XN249" s="87"/>
      <c r="XO249" s="87"/>
      <c r="XP249" s="87"/>
      <c r="XQ249" s="87"/>
      <c r="XR249" s="92">
        <f t="shared" ca="1" si="1675"/>
        <v>0</v>
      </c>
      <c r="XS249" s="89"/>
      <c r="XT249" s="87"/>
      <c r="XU249" s="87"/>
      <c r="XV249" s="87"/>
      <c r="XW249" s="87"/>
      <c r="XX249" s="87"/>
      <c r="XY249" s="87"/>
      <c r="XZ249" s="87"/>
      <c r="YA249" s="92">
        <f t="shared" ca="1" si="1676"/>
        <v>0</v>
      </c>
      <c r="YB249" s="90"/>
      <c r="YC249" s="90"/>
      <c r="YD249" s="90"/>
      <c r="YE249" s="90"/>
      <c r="YF249" s="90"/>
      <c r="YG249" s="90"/>
      <c r="YH249" s="90"/>
      <c r="YI249" s="90"/>
      <c r="YJ249" s="90"/>
      <c r="YK249" s="90"/>
      <c r="YL249" s="90"/>
      <c r="YM249" s="90"/>
      <c r="YN249" s="90"/>
      <c r="YO249" s="90"/>
      <c r="YP249" s="90"/>
      <c r="YQ249" s="90"/>
      <c r="YR249" s="90"/>
      <c r="YS249" s="90"/>
      <c r="YT249" s="90"/>
      <c r="YU249" s="90"/>
      <c r="YV249" s="90"/>
      <c r="YW249" s="90"/>
      <c r="YX249" s="90"/>
      <c r="YY249" s="90"/>
      <c r="YZ249" s="90"/>
      <c r="ZA249" s="90"/>
      <c r="ZB249" s="90"/>
      <c r="ZC249" s="90"/>
      <c r="ZD249" s="90"/>
      <c r="ZE249" s="90"/>
      <c r="ZF249" s="90"/>
      <c r="ZG249" s="90"/>
      <c r="ZH249" s="90"/>
      <c r="ZI249" s="90"/>
      <c r="ZJ249" s="90"/>
      <c r="ZK249" s="90"/>
      <c r="ZL249" s="90"/>
      <c r="ZM249" s="90"/>
      <c r="ZN249" s="90"/>
      <c r="ZO249" s="90"/>
      <c r="ZP249" s="90"/>
      <c r="ZQ249" s="90"/>
      <c r="ZR249" s="90"/>
      <c r="ZS249" s="90"/>
      <c r="ZT249" s="90"/>
      <c r="ZU249" s="90"/>
      <c r="ZV249" s="90"/>
      <c r="ZW249" s="90"/>
      <c r="ZX249" s="90"/>
      <c r="ZY249" s="90"/>
      <c r="ZZ249" s="90"/>
      <c r="AAA249" s="90"/>
      <c r="AAB249" s="90"/>
      <c r="AAC249" s="90"/>
      <c r="AAD249" s="90"/>
      <c r="AAE249" s="90"/>
      <c r="AAF249" s="90"/>
      <c r="AAG249" s="90"/>
      <c r="AAH249" s="90"/>
      <c r="AAI249" s="90"/>
      <c r="AAJ249" s="90"/>
      <c r="AAK249" s="90"/>
      <c r="AAL249" s="90"/>
      <c r="AAM249" s="90"/>
      <c r="AAN249" s="90"/>
      <c r="AAO249" s="90"/>
      <c r="AAP249" s="90"/>
      <c r="AAQ249" s="90"/>
      <c r="AAR249" s="90"/>
      <c r="AAS249" s="90"/>
      <c r="AAT249" s="90"/>
      <c r="AAU249" s="90"/>
      <c r="AAV249" s="90"/>
      <c r="AAW249" s="90"/>
      <c r="AAX249" s="90"/>
      <c r="AAY249" s="90"/>
      <c r="AAZ249" s="90"/>
      <c r="ABA249" s="90"/>
      <c r="ABB249" s="90"/>
      <c r="ABC249" s="90"/>
      <c r="ABD249" s="90"/>
      <c r="ABE249" s="90"/>
      <c r="ABF249" s="90"/>
      <c r="ABG249" s="90"/>
      <c r="ABH249" s="90"/>
      <c r="ABI249" s="90"/>
      <c r="ABJ249" s="90"/>
      <c r="ABK249" s="90"/>
      <c r="ABL249" s="90"/>
      <c r="ABM249" s="90"/>
      <c r="ABN249" s="90"/>
      <c r="ABO249" s="90"/>
      <c r="ABP249" s="90"/>
      <c r="ABQ249" s="90"/>
      <c r="ABR249" s="90"/>
      <c r="ABS249" s="90"/>
      <c r="ABT249" s="90"/>
      <c r="ABU249" s="90"/>
      <c r="ABV249" s="90"/>
      <c r="ABW249" s="90"/>
      <c r="ABX249" s="90"/>
      <c r="ABY249" s="90"/>
      <c r="ABZ249" s="90"/>
      <c r="ACA249" s="90"/>
      <c r="ACB249" s="90"/>
      <c r="ACC249" s="90"/>
      <c r="ACD249" s="90"/>
      <c r="ACE249" s="90"/>
      <c r="ACF249" s="90"/>
      <c r="ACG249" s="90"/>
      <c r="ACH249" s="90"/>
      <c r="ACI249" s="90"/>
      <c r="ACJ249" s="90"/>
      <c r="ACK249" s="90"/>
      <c r="ACL249" s="90"/>
      <c r="ACM249" s="90"/>
      <c r="ACN249" s="90"/>
      <c r="ACO249" s="90"/>
      <c r="ACP249" s="90"/>
      <c r="ACQ249" s="90"/>
      <c r="ACR249" s="90"/>
      <c r="ACS249" s="90"/>
      <c r="ACT249" s="90"/>
      <c r="ACU249" s="90"/>
      <c r="ACV249" s="90"/>
      <c r="ACW249" s="90"/>
      <c r="ACX249" s="90"/>
      <c r="ACY249" s="90"/>
      <c r="ACZ249" s="90"/>
      <c r="ADA249" s="90"/>
      <c r="ADB249" s="90"/>
      <c r="ADC249" s="90"/>
      <c r="ADD249" s="90"/>
      <c r="ADE249" s="90"/>
      <c r="ADF249" s="90"/>
      <c r="ADG249" s="90"/>
      <c r="ADH249" s="90"/>
      <c r="ADI249" s="90"/>
      <c r="ADJ249" s="90"/>
      <c r="ADK249" s="90"/>
      <c r="ADL249" s="90"/>
      <c r="ADM249" s="90"/>
      <c r="ADN249" s="90"/>
      <c r="ADO249" s="90"/>
      <c r="ADP249" s="90"/>
      <c r="ADQ249" s="90"/>
      <c r="ADR249" s="90"/>
      <c r="ADS249" s="90"/>
      <c r="ADT249" s="90"/>
      <c r="ADU249" s="90"/>
      <c r="ADV249" s="90"/>
      <c r="ADW249" s="90"/>
      <c r="ADX249" s="90"/>
      <c r="ADY249" s="90"/>
      <c r="ADZ249" s="90"/>
      <c r="AEA249" s="90"/>
      <c r="AEB249" s="90"/>
      <c r="AEC249" s="90"/>
      <c r="AED249" s="90"/>
      <c r="AEE249" s="90"/>
      <c r="AEF249" s="90"/>
      <c r="AEG249" s="90"/>
      <c r="AEH249" s="90"/>
      <c r="AEI249" s="90"/>
      <c r="AEJ249" s="90"/>
      <c r="AEK249" s="90"/>
      <c r="AEL249" s="90"/>
      <c r="AEM249" s="90"/>
      <c r="AEN249" s="90"/>
      <c r="AEO249" s="90"/>
      <c r="AEP249" s="90"/>
      <c r="AEQ249" s="90"/>
      <c r="AER249" s="90"/>
      <c r="AES249" s="90"/>
      <c r="AET249" s="90"/>
      <c r="AEU249" s="90"/>
      <c r="AEV249" s="90"/>
      <c r="AEW249" s="90"/>
      <c r="AEX249" s="90"/>
      <c r="AEY249" s="90"/>
      <c r="AEZ249" s="90"/>
      <c r="AFA249" s="90"/>
      <c r="AFB249" s="90"/>
      <c r="AFC249" s="90"/>
      <c r="AFD249" s="90"/>
      <c r="AFE249" s="90"/>
      <c r="AFF249" s="90"/>
      <c r="AFG249" s="90"/>
      <c r="AFH249" s="90"/>
      <c r="AFI249" s="90"/>
      <c r="AFJ249" s="90"/>
      <c r="AFK249" s="90"/>
      <c r="AFL249" s="90"/>
      <c r="AFM249" s="90"/>
      <c r="AFN249" s="90"/>
      <c r="AFO249" s="90"/>
      <c r="AFP249" s="90"/>
      <c r="AFQ249" s="90"/>
      <c r="AFR249" s="90"/>
      <c r="AFS249" s="90"/>
      <c r="AFT249" s="90"/>
      <c r="AFU249" s="90"/>
      <c r="AFV249" s="90"/>
      <c r="AFW249" s="90"/>
      <c r="AFX249" s="90"/>
      <c r="AFY249" s="90"/>
      <c r="AFZ249" s="90"/>
      <c r="AGA249" s="90"/>
      <c r="AGB249" s="90"/>
      <c r="AGC249" s="90"/>
      <c r="AGD249" s="90"/>
      <c r="AGE249" s="90"/>
      <c r="AGF249" s="90"/>
      <c r="AGG249" s="90"/>
      <c r="AGH249" s="90"/>
      <c r="AGI249" s="90"/>
      <c r="AGJ249" s="90"/>
      <c r="AGK249" s="90"/>
      <c r="AGL249" s="90"/>
      <c r="AGM249" s="90"/>
      <c r="AGN249" s="90"/>
      <c r="AGO249" s="90"/>
      <c r="AGP249" s="90"/>
      <c r="AGQ249" s="90"/>
      <c r="AGR249" s="90"/>
      <c r="AGS249" s="90"/>
      <c r="AGT249" s="90"/>
      <c r="AGU249" s="90"/>
      <c r="AGV249" s="90"/>
      <c r="AGW249" s="90"/>
      <c r="AGX249" s="90"/>
      <c r="AGY249" s="90"/>
      <c r="AGZ249" s="90"/>
      <c r="AHA249" s="90"/>
      <c r="AHB249" s="90"/>
      <c r="AHC249" s="90"/>
      <c r="AHD249" s="90"/>
      <c r="AHE249" s="90"/>
      <c r="AHF249" s="90"/>
      <c r="AHG249" s="90"/>
      <c r="AHH249" s="90"/>
      <c r="AHI249" s="90"/>
      <c r="AHJ249" s="90"/>
      <c r="AHK249" s="90"/>
      <c r="AHL249" s="90"/>
      <c r="AHM249" s="90"/>
      <c r="AHN249" s="90"/>
      <c r="AHO249" s="90"/>
      <c r="AHP249" s="90"/>
      <c r="AHQ249" s="90"/>
      <c r="AHR249" s="90"/>
      <c r="AHS249" s="90"/>
      <c r="AHT249" s="90"/>
      <c r="AHU249" s="90"/>
      <c r="AHV249" s="90"/>
      <c r="AHW249" s="90"/>
      <c r="AHX249" s="90"/>
      <c r="AHY249" s="90"/>
      <c r="AHZ249" s="90"/>
      <c r="AIA249" s="90"/>
      <c r="AIB249" s="90"/>
      <c r="AIC249" s="90"/>
      <c r="AID249" s="90"/>
      <c r="AIE249" s="90"/>
      <c r="AIF249" s="90"/>
      <c r="AIG249" s="90"/>
      <c r="AIH249" s="90"/>
      <c r="AII249" s="90"/>
      <c r="AIJ249" s="90"/>
      <c r="AIK249" s="90"/>
      <c r="AIL249" s="90"/>
      <c r="AIM249" s="90"/>
      <c r="AIN249" s="90"/>
      <c r="AIO249" s="90"/>
      <c r="AIP249" s="90"/>
      <c r="AIQ249" s="90"/>
      <c r="AIR249" s="90"/>
      <c r="AIS249" s="90"/>
      <c r="AIT249" s="90"/>
      <c r="AIU249" s="90"/>
      <c r="AIV249" s="90"/>
      <c r="AIW249" s="90"/>
      <c r="AIX249" s="90"/>
      <c r="AIY249" s="90"/>
      <c r="AIZ249" s="90"/>
      <c r="AJA249" s="90"/>
      <c r="AJB249" s="90"/>
      <c r="AJC249" s="90"/>
      <c r="AJD249" s="90"/>
      <c r="AJE249" s="90"/>
      <c r="AJF249" s="90"/>
      <c r="AJG249" s="90"/>
      <c r="AJH249" s="90"/>
      <c r="AJI249" s="90"/>
      <c r="AJJ249" s="90"/>
      <c r="AJK249" s="90"/>
      <c r="AJL249" s="90"/>
      <c r="AJM249" s="90"/>
      <c r="AJN249" s="90"/>
      <c r="AJO249" s="90"/>
      <c r="AJP249" s="90"/>
      <c r="AJQ249" s="90"/>
      <c r="AJR249" s="90"/>
      <c r="AJS249" s="90"/>
      <c r="AJT249" s="90"/>
      <c r="AJU249" s="90"/>
      <c r="AJV249" s="90"/>
      <c r="AJW249" s="90"/>
      <c r="AJX249" s="90"/>
      <c r="AJY249" s="90"/>
      <c r="AJZ249" s="90"/>
      <c r="AKA249" s="90"/>
      <c r="AKB249" s="90"/>
      <c r="AKC249" s="90"/>
      <c r="AKD249" s="90"/>
      <c r="AKE249" s="90"/>
      <c r="AKF249" s="90"/>
      <c r="AKG249" s="90"/>
      <c r="AKH249" s="90"/>
      <c r="AKI249" s="90"/>
      <c r="AKJ249" s="90"/>
      <c r="AKK249" s="90"/>
      <c r="AKL249" s="90"/>
      <c r="AKM249" s="90"/>
      <c r="AKN249" s="90"/>
      <c r="AKO249" s="90"/>
      <c r="AKP249" s="90"/>
      <c r="AKQ249" s="90"/>
      <c r="AKR249" s="90"/>
      <c r="AKS249" s="90"/>
      <c r="AKT249" s="90"/>
      <c r="AKU249" s="90"/>
      <c r="AKV249" s="90"/>
      <c r="AKW249" s="90"/>
      <c r="AKX249" s="90"/>
      <c r="AKY249" s="90"/>
      <c r="AKZ249" s="90"/>
      <c r="ALA249" s="90"/>
      <c r="ALB249" s="90"/>
      <c r="ALC249" s="90"/>
      <c r="ALD249" s="90"/>
      <c r="ALE249" s="90"/>
      <c r="ALF249" s="90"/>
      <c r="ALG249" s="90"/>
      <c r="ALH249" s="90"/>
      <c r="ALI249" s="90"/>
      <c r="ALJ249" s="90"/>
      <c r="ALK249" s="90"/>
      <c r="ALL249" s="90"/>
      <c r="ALM249" s="90"/>
      <c r="ALN249" s="90"/>
      <c r="ALO249" s="90"/>
      <c r="ALP249" s="90"/>
      <c r="ALQ249" s="90"/>
      <c r="ALR249" s="90"/>
      <c r="ALS249" s="90"/>
      <c r="ALT249" s="90"/>
      <c r="ALU249" s="90"/>
      <c r="ALV249" s="90"/>
      <c r="ALW249" s="90"/>
      <c r="ALX249" s="90"/>
      <c r="ALY249" s="90"/>
      <c r="ALZ249" s="90"/>
      <c r="AMA249" s="90"/>
      <c r="AMB249" s="90"/>
      <c r="AMC249" s="90"/>
    </row>
    <row r="250" spans="1:1017">
      <c r="A250" s="98" t="s">
        <v>51</v>
      </c>
      <c r="B250" s="90" t="str">
        <f t="shared" si="1582"/>
        <v>Kepiting  Bakau</v>
      </c>
      <c r="E250" s="98">
        <v>500</v>
      </c>
      <c r="F250" s="98">
        <v>50000</v>
      </c>
      <c r="Q250" s="91">
        <f t="shared" si="1583"/>
        <v>500</v>
      </c>
      <c r="R250" s="91">
        <f t="shared" si="1584"/>
        <v>50000</v>
      </c>
      <c r="U250" s="98">
        <v>2995</v>
      </c>
      <c r="V250" s="98">
        <v>194675</v>
      </c>
      <c r="AG250" s="91">
        <f t="shared" si="1585"/>
        <v>2995</v>
      </c>
      <c r="AH250" s="91">
        <f t="shared" si="1586"/>
        <v>194675</v>
      </c>
      <c r="AW250" s="91">
        <f t="shared" si="1587"/>
        <v>0</v>
      </c>
      <c r="AX250" s="91">
        <f t="shared" si="1588"/>
        <v>0</v>
      </c>
      <c r="BM250" s="91">
        <f t="shared" si="1589"/>
        <v>0</v>
      </c>
      <c r="BN250" s="91">
        <f t="shared" si="1590"/>
        <v>0</v>
      </c>
      <c r="CC250" s="91">
        <f t="shared" si="1591"/>
        <v>0</v>
      </c>
      <c r="CD250" s="91">
        <f t="shared" si="1592"/>
        <v>0</v>
      </c>
      <c r="CG250" s="98">
        <v>35885.247586301375</v>
      </c>
      <c r="CH250" s="98">
        <v>1255983.6655205481</v>
      </c>
      <c r="CS250" s="91">
        <f t="shared" si="1593"/>
        <v>35885.247586301375</v>
      </c>
      <c r="CT250" s="91">
        <f t="shared" si="1594"/>
        <v>1255983.6655205481</v>
      </c>
      <c r="DI250" s="91">
        <f t="shared" si="1595"/>
        <v>0</v>
      </c>
      <c r="DJ250" s="91">
        <f t="shared" si="1596"/>
        <v>0</v>
      </c>
      <c r="DY250" s="91">
        <f t="shared" si="1597"/>
        <v>0</v>
      </c>
      <c r="DZ250" s="91">
        <f t="shared" si="1598"/>
        <v>0</v>
      </c>
      <c r="EO250" s="91">
        <f t="shared" si="1599"/>
        <v>0</v>
      </c>
      <c r="EP250" s="91">
        <f t="shared" si="1600"/>
        <v>0</v>
      </c>
      <c r="FE250" s="91">
        <f t="shared" si="1601"/>
        <v>0</v>
      </c>
      <c r="FF250" s="91">
        <f t="shared" si="1602"/>
        <v>0</v>
      </c>
      <c r="FU250" s="91">
        <f t="shared" si="1603"/>
        <v>0</v>
      </c>
      <c r="FV250" s="91">
        <f t="shared" si="1604"/>
        <v>0</v>
      </c>
      <c r="GK250" s="91">
        <f t="shared" si="1605"/>
        <v>0</v>
      </c>
      <c r="GL250" s="91">
        <f t="shared" si="1606"/>
        <v>0</v>
      </c>
      <c r="HA250" s="91">
        <f t="shared" si="1607"/>
        <v>0</v>
      </c>
      <c r="HB250" s="91">
        <f t="shared" si="1608"/>
        <v>0</v>
      </c>
      <c r="HQ250" s="91">
        <f t="shared" si="1609"/>
        <v>0</v>
      </c>
      <c r="HR250" s="91">
        <f t="shared" si="1610"/>
        <v>0</v>
      </c>
      <c r="IG250" s="91">
        <f t="shared" si="1611"/>
        <v>0</v>
      </c>
      <c r="IH250" s="91">
        <f t="shared" si="1612"/>
        <v>0</v>
      </c>
      <c r="IW250" s="91">
        <f t="shared" si="1613"/>
        <v>0</v>
      </c>
      <c r="IX250" s="91">
        <f t="shared" si="1614"/>
        <v>0</v>
      </c>
      <c r="JM250" s="91">
        <f t="shared" si="1615"/>
        <v>0</v>
      </c>
      <c r="JN250" s="91">
        <f t="shared" si="1616"/>
        <v>0</v>
      </c>
      <c r="KC250" s="91">
        <f t="shared" si="1617"/>
        <v>0</v>
      </c>
      <c r="KD250" s="91">
        <f t="shared" si="1618"/>
        <v>0</v>
      </c>
      <c r="KS250" s="91">
        <f t="shared" si="1619"/>
        <v>0</v>
      </c>
      <c r="KT250" s="91">
        <f t="shared" si="1620"/>
        <v>0</v>
      </c>
      <c r="LI250" s="91">
        <f t="shared" si="1621"/>
        <v>0</v>
      </c>
      <c r="LJ250" s="91">
        <f t="shared" si="1622"/>
        <v>0</v>
      </c>
      <c r="LY250" s="91">
        <f t="shared" si="1623"/>
        <v>0</v>
      </c>
      <c r="LZ250" s="91">
        <f t="shared" si="1624"/>
        <v>0</v>
      </c>
      <c r="MC250" s="98">
        <v>3590</v>
      </c>
      <c r="MD250" s="98">
        <v>359000</v>
      </c>
      <c r="MO250" s="91">
        <f t="shared" si="1625"/>
        <v>3590</v>
      </c>
      <c r="MP250" s="91">
        <f t="shared" si="1626"/>
        <v>359000</v>
      </c>
      <c r="MS250" s="98">
        <v>100</v>
      </c>
      <c r="MT250" s="98">
        <v>10000</v>
      </c>
      <c r="NE250" s="91">
        <f t="shared" si="1627"/>
        <v>100</v>
      </c>
      <c r="NF250" s="91">
        <f t="shared" si="1628"/>
        <v>10000</v>
      </c>
      <c r="NI250" s="98">
        <v>18200</v>
      </c>
      <c r="NJ250" s="98">
        <v>728000</v>
      </c>
      <c r="NU250" s="91">
        <f t="shared" si="1629"/>
        <v>18200</v>
      </c>
      <c r="NV250" s="91">
        <f t="shared" si="1630"/>
        <v>728000</v>
      </c>
      <c r="OK250" s="91">
        <f t="shared" si="1631"/>
        <v>0</v>
      </c>
      <c r="OL250" s="91">
        <f t="shared" si="1632"/>
        <v>0</v>
      </c>
      <c r="PA250" s="91">
        <f t="shared" si="1633"/>
        <v>0</v>
      </c>
      <c r="PB250" s="91">
        <f t="shared" si="1634"/>
        <v>0</v>
      </c>
      <c r="PQ250" s="91">
        <f t="shared" si="1635"/>
        <v>0</v>
      </c>
      <c r="PR250" s="91">
        <f t="shared" si="1636"/>
        <v>0</v>
      </c>
      <c r="QG250" s="91">
        <f t="shared" si="1637"/>
        <v>0</v>
      </c>
      <c r="QH250" s="91">
        <f t="shared" si="1638"/>
        <v>0</v>
      </c>
      <c r="QW250" s="91">
        <f t="shared" si="1639"/>
        <v>0</v>
      </c>
      <c r="QX250" s="91">
        <f t="shared" si="1640"/>
        <v>0</v>
      </c>
      <c r="RM250" s="91">
        <f t="shared" si="1641"/>
        <v>0</v>
      </c>
      <c r="RN250" s="91">
        <f t="shared" si="1642"/>
        <v>0</v>
      </c>
      <c r="SC250" s="91">
        <f t="shared" si="1643"/>
        <v>0</v>
      </c>
      <c r="SD250" s="91">
        <f t="shared" si="1644"/>
        <v>0</v>
      </c>
      <c r="SS250" s="91">
        <f t="shared" si="1645"/>
        <v>0</v>
      </c>
      <c r="ST250" s="91">
        <f t="shared" si="1646"/>
        <v>0</v>
      </c>
      <c r="TI250" s="91">
        <f t="shared" si="1647"/>
        <v>0</v>
      </c>
      <c r="TJ250" s="91">
        <f t="shared" si="1648"/>
        <v>0</v>
      </c>
      <c r="TY250" s="91">
        <f t="shared" si="1649"/>
        <v>0</v>
      </c>
      <c r="TZ250" s="91">
        <f t="shared" si="1650"/>
        <v>0</v>
      </c>
      <c r="UO250" s="91">
        <f t="shared" si="1651"/>
        <v>0</v>
      </c>
      <c r="UP250" s="91">
        <f t="shared" si="1652"/>
        <v>0</v>
      </c>
      <c r="VE250" s="91">
        <f t="shared" si="1653"/>
        <v>0</v>
      </c>
      <c r="VF250" s="91">
        <f t="shared" si="1654"/>
        <v>0</v>
      </c>
      <c r="VI250" s="98">
        <v>203</v>
      </c>
      <c r="VJ250" s="98">
        <v>12180</v>
      </c>
      <c r="VU250" s="91">
        <f t="shared" si="1655"/>
        <v>203</v>
      </c>
      <c r="VV250" s="91">
        <f t="shared" si="1656"/>
        <v>12180</v>
      </c>
      <c r="WK250" s="91">
        <f t="shared" si="1657"/>
        <v>0</v>
      </c>
      <c r="WL250" s="91">
        <f t="shared" si="1658"/>
        <v>0</v>
      </c>
      <c r="WM250" s="89"/>
      <c r="WN250" s="87">
        <f t="shared" si="1659"/>
        <v>0</v>
      </c>
      <c r="WO250" s="87">
        <f t="shared" si="1660"/>
        <v>0</v>
      </c>
      <c r="WP250" s="87">
        <f t="shared" si="1661"/>
        <v>61473.247586301375</v>
      </c>
      <c r="WQ250" s="87">
        <f t="shared" si="1662"/>
        <v>2609838.6655205479</v>
      </c>
      <c r="WR250" s="87">
        <f t="shared" si="1663"/>
        <v>0</v>
      </c>
      <c r="WS250" s="87">
        <f t="shared" si="1664"/>
        <v>0</v>
      </c>
      <c r="WT250" s="87">
        <f t="shared" si="1665"/>
        <v>0</v>
      </c>
      <c r="WU250" s="87">
        <f t="shared" si="1666"/>
        <v>0</v>
      </c>
      <c r="WV250" s="87">
        <f t="shared" si="1667"/>
        <v>0</v>
      </c>
      <c r="WW250" s="87">
        <f t="shared" si="1668"/>
        <v>0</v>
      </c>
      <c r="WX250" s="87">
        <f t="shared" si="1669"/>
        <v>0</v>
      </c>
      <c r="WY250" s="87">
        <f t="shared" si="1670"/>
        <v>0</v>
      </c>
      <c r="WZ250" s="87">
        <f t="shared" si="1671"/>
        <v>0</v>
      </c>
      <c r="XA250" s="87">
        <f t="shared" si="1672"/>
        <v>0</v>
      </c>
      <c r="XB250" s="92">
        <f t="shared" si="1673"/>
        <v>61473.247586301375</v>
      </c>
      <c r="XC250" s="92">
        <f t="shared" si="1674"/>
        <v>2609838.6655205479</v>
      </c>
      <c r="XD250" s="89"/>
      <c r="XE250" s="92"/>
      <c r="XF250" s="92"/>
      <c r="XG250" s="89"/>
      <c r="XH250" s="92"/>
      <c r="XI250" s="92"/>
      <c r="XJ250" s="89"/>
      <c r="XK250" s="87"/>
      <c r="XL250" s="87"/>
      <c r="XM250" s="87"/>
      <c r="XN250" s="87"/>
      <c r="XO250" s="87"/>
      <c r="XP250" s="87"/>
      <c r="XQ250" s="87"/>
      <c r="XR250" s="92">
        <f t="shared" ca="1" si="1675"/>
        <v>0</v>
      </c>
      <c r="XS250" s="89"/>
      <c r="XT250" s="87"/>
      <c r="XU250" s="87"/>
      <c r="XV250" s="87"/>
      <c r="XW250" s="87"/>
      <c r="XX250" s="87"/>
      <c r="XY250" s="87"/>
      <c r="XZ250" s="87"/>
      <c r="YA250" s="92">
        <f t="shared" ca="1" si="1676"/>
        <v>0</v>
      </c>
      <c r="YB250" s="90"/>
      <c r="YC250" s="90"/>
      <c r="YD250" s="90"/>
      <c r="YE250" s="90"/>
      <c r="YF250" s="90"/>
      <c r="YG250" s="90"/>
      <c r="YH250" s="90"/>
      <c r="YI250" s="90"/>
      <c r="YJ250" s="90"/>
      <c r="YK250" s="90"/>
      <c r="YL250" s="90"/>
      <c r="YM250" s="90"/>
      <c r="YN250" s="90"/>
      <c r="YO250" s="90"/>
      <c r="YP250" s="90"/>
      <c r="YQ250" s="90"/>
      <c r="YR250" s="90"/>
      <c r="YS250" s="90"/>
      <c r="YT250" s="90"/>
      <c r="YU250" s="90"/>
      <c r="YV250" s="90"/>
      <c r="YW250" s="90"/>
      <c r="YX250" s="90"/>
      <c r="YY250" s="90"/>
      <c r="YZ250" s="90"/>
      <c r="ZA250" s="90"/>
      <c r="ZB250" s="90"/>
      <c r="ZC250" s="90"/>
      <c r="ZD250" s="90"/>
      <c r="ZE250" s="90"/>
      <c r="ZF250" s="90"/>
      <c r="ZG250" s="90"/>
      <c r="ZH250" s="90"/>
      <c r="ZI250" s="90"/>
      <c r="ZJ250" s="90"/>
      <c r="ZK250" s="90"/>
      <c r="ZL250" s="90"/>
      <c r="ZM250" s="90"/>
      <c r="ZN250" s="90"/>
      <c r="ZO250" s="90"/>
      <c r="ZP250" s="90"/>
      <c r="ZQ250" s="90"/>
      <c r="ZR250" s="90"/>
      <c r="ZS250" s="90"/>
      <c r="ZT250" s="90"/>
      <c r="ZU250" s="90"/>
      <c r="ZV250" s="90"/>
      <c r="ZW250" s="90"/>
      <c r="ZX250" s="90"/>
      <c r="ZY250" s="90"/>
      <c r="ZZ250" s="90"/>
      <c r="AAA250" s="90"/>
      <c r="AAB250" s="90"/>
      <c r="AAC250" s="90"/>
      <c r="AAD250" s="90"/>
      <c r="AAE250" s="90"/>
      <c r="AAF250" s="90"/>
      <c r="AAG250" s="90"/>
      <c r="AAH250" s="90"/>
      <c r="AAI250" s="90"/>
      <c r="AAJ250" s="90"/>
      <c r="AAK250" s="90"/>
      <c r="AAL250" s="90"/>
      <c r="AAM250" s="90"/>
      <c r="AAN250" s="90"/>
      <c r="AAO250" s="90"/>
      <c r="AAP250" s="90"/>
      <c r="AAQ250" s="90"/>
      <c r="AAR250" s="90"/>
      <c r="AAS250" s="90"/>
      <c r="AAT250" s="90"/>
      <c r="AAU250" s="90"/>
      <c r="AAV250" s="90"/>
      <c r="AAW250" s="90"/>
      <c r="AAX250" s="90"/>
      <c r="AAY250" s="90"/>
      <c r="AAZ250" s="90"/>
      <c r="ABA250" s="90"/>
      <c r="ABB250" s="90"/>
      <c r="ABC250" s="90"/>
      <c r="ABD250" s="90"/>
      <c r="ABE250" s="90"/>
      <c r="ABF250" s="90"/>
      <c r="ABG250" s="90"/>
      <c r="ABH250" s="90"/>
      <c r="ABI250" s="90"/>
      <c r="ABJ250" s="90"/>
      <c r="ABK250" s="90"/>
      <c r="ABL250" s="90"/>
      <c r="ABM250" s="90"/>
      <c r="ABN250" s="90"/>
      <c r="ABO250" s="90"/>
      <c r="ABP250" s="90"/>
      <c r="ABQ250" s="90"/>
      <c r="ABR250" s="90"/>
      <c r="ABS250" s="90"/>
      <c r="ABT250" s="90"/>
      <c r="ABU250" s="90"/>
      <c r="ABV250" s="90"/>
      <c r="ABW250" s="90"/>
      <c r="ABX250" s="90"/>
      <c r="ABY250" s="90"/>
      <c r="ABZ250" s="90"/>
      <c r="ACA250" s="90"/>
      <c r="ACB250" s="90"/>
      <c r="ACC250" s="90"/>
      <c r="ACD250" s="90"/>
      <c r="ACE250" s="90"/>
      <c r="ACF250" s="90"/>
      <c r="ACG250" s="90"/>
      <c r="ACH250" s="90"/>
      <c r="ACI250" s="90"/>
      <c r="ACJ250" s="90"/>
      <c r="ACK250" s="90"/>
      <c r="ACL250" s="90"/>
      <c r="ACM250" s="90"/>
      <c r="ACN250" s="90"/>
      <c r="ACO250" s="90"/>
      <c r="ACP250" s="90"/>
      <c r="ACQ250" s="90"/>
      <c r="ACR250" s="90"/>
      <c r="ACS250" s="90"/>
      <c r="ACT250" s="90"/>
      <c r="ACU250" s="90"/>
      <c r="ACV250" s="90"/>
      <c r="ACW250" s="90"/>
      <c r="ACX250" s="90"/>
      <c r="ACY250" s="90"/>
      <c r="ACZ250" s="90"/>
      <c r="ADA250" s="90"/>
      <c r="ADB250" s="90"/>
      <c r="ADC250" s="90"/>
      <c r="ADD250" s="90"/>
      <c r="ADE250" s="90"/>
      <c r="ADF250" s="90"/>
      <c r="ADG250" s="90"/>
      <c r="ADH250" s="90"/>
      <c r="ADI250" s="90"/>
      <c r="ADJ250" s="90"/>
      <c r="ADK250" s="90"/>
      <c r="ADL250" s="90"/>
      <c r="ADM250" s="90"/>
      <c r="ADN250" s="90"/>
      <c r="ADO250" s="90"/>
      <c r="ADP250" s="90"/>
      <c r="ADQ250" s="90"/>
      <c r="ADR250" s="90"/>
      <c r="ADS250" s="90"/>
      <c r="ADT250" s="90"/>
      <c r="ADU250" s="90"/>
      <c r="ADV250" s="90"/>
      <c r="ADW250" s="90"/>
      <c r="ADX250" s="90"/>
      <c r="ADY250" s="90"/>
      <c r="ADZ250" s="90"/>
      <c r="AEA250" s="90"/>
      <c r="AEB250" s="90"/>
      <c r="AEC250" s="90"/>
      <c r="AED250" s="90"/>
      <c r="AEE250" s="90"/>
      <c r="AEF250" s="90"/>
      <c r="AEG250" s="90"/>
      <c r="AEH250" s="90"/>
      <c r="AEI250" s="90"/>
      <c r="AEJ250" s="90"/>
      <c r="AEK250" s="90"/>
      <c r="AEL250" s="90"/>
      <c r="AEM250" s="90"/>
      <c r="AEN250" s="90"/>
      <c r="AEO250" s="90"/>
      <c r="AEP250" s="90"/>
      <c r="AEQ250" s="90"/>
      <c r="AER250" s="90"/>
      <c r="AES250" s="90"/>
      <c r="AET250" s="90"/>
      <c r="AEU250" s="90"/>
      <c r="AEV250" s="90"/>
      <c r="AEW250" s="90"/>
      <c r="AEX250" s="90"/>
      <c r="AEY250" s="90"/>
      <c r="AEZ250" s="90"/>
      <c r="AFA250" s="90"/>
      <c r="AFB250" s="90"/>
      <c r="AFC250" s="90"/>
      <c r="AFD250" s="90"/>
      <c r="AFE250" s="90"/>
      <c r="AFF250" s="90"/>
      <c r="AFG250" s="90"/>
      <c r="AFH250" s="90"/>
      <c r="AFI250" s="90"/>
      <c r="AFJ250" s="90"/>
      <c r="AFK250" s="90"/>
      <c r="AFL250" s="90"/>
      <c r="AFM250" s="90"/>
      <c r="AFN250" s="90"/>
      <c r="AFO250" s="90"/>
      <c r="AFP250" s="90"/>
      <c r="AFQ250" s="90"/>
      <c r="AFR250" s="90"/>
      <c r="AFS250" s="90"/>
      <c r="AFT250" s="90"/>
      <c r="AFU250" s="90"/>
      <c r="AFV250" s="90"/>
      <c r="AFW250" s="90"/>
      <c r="AFX250" s="90"/>
      <c r="AFY250" s="90"/>
      <c r="AFZ250" s="90"/>
      <c r="AGA250" s="90"/>
      <c r="AGB250" s="90"/>
      <c r="AGC250" s="90"/>
      <c r="AGD250" s="90"/>
      <c r="AGE250" s="90"/>
      <c r="AGF250" s="90"/>
      <c r="AGG250" s="90"/>
      <c r="AGH250" s="90"/>
      <c r="AGI250" s="90"/>
      <c r="AGJ250" s="90"/>
      <c r="AGK250" s="90"/>
      <c r="AGL250" s="90"/>
      <c r="AGM250" s="90"/>
      <c r="AGN250" s="90"/>
      <c r="AGO250" s="90"/>
      <c r="AGP250" s="90"/>
      <c r="AGQ250" s="90"/>
      <c r="AGR250" s="90"/>
      <c r="AGS250" s="90"/>
      <c r="AGT250" s="90"/>
      <c r="AGU250" s="90"/>
      <c r="AGV250" s="90"/>
      <c r="AGW250" s="90"/>
      <c r="AGX250" s="90"/>
      <c r="AGY250" s="90"/>
      <c r="AGZ250" s="90"/>
      <c r="AHA250" s="90"/>
      <c r="AHB250" s="90"/>
      <c r="AHC250" s="90"/>
      <c r="AHD250" s="90"/>
      <c r="AHE250" s="90"/>
      <c r="AHF250" s="90"/>
      <c r="AHG250" s="90"/>
      <c r="AHH250" s="90"/>
      <c r="AHI250" s="90"/>
      <c r="AHJ250" s="90"/>
      <c r="AHK250" s="90"/>
      <c r="AHL250" s="90"/>
      <c r="AHM250" s="90"/>
      <c r="AHN250" s="90"/>
      <c r="AHO250" s="90"/>
      <c r="AHP250" s="90"/>
      <c r="AHQ250" s="90"/>
      <c r="AHR250" s="90"/>
      <c r="AHS250" s="90"/>
      <c r="AHT250" s="90"/>
      <c r="AHU250" s="90"/>
      <c r="AHV250" s="90"/>
      <c r="AHW250" s="90"/>
      <c r="AHX250" s="90"/>
      <c r="AHY250" s="90"/>
      <c r="AHZ250" s="90"/>
      <c r="AIA250" s="90"/>
      <c r="AIB250" s="90"/>
      <c r="AIC250" s="90"/>
      <c r="AID250" s="90"/>
      <c r="AIE250" s="90"/>
      <c r="AIF250" s="90"/>
      <c r="AIG250" s="90"/>
      <c r="AIH250" s="90"/>
      <c r="AII250" s="90"/>
      <c r="AIJ250" s="90"/>
      <c r="AIK250" s="90"/>
      <c r="AIL250" s="90"/>
      <c r="AIM250" s="90"/>
      <c r="AIN250" s="90"/>
      <c r="AIO250" s="90"/>
      <c r="AIP250" s="90"/>
      <c r="AIQ250" s="90"/>
      <c r="AIR250" s="90"/>
      <c r="AIS250" s="90"/>
      <c r="AIT250" s="90"/>
      <c r="AIU250" s="90"/>
      <c r="AIV250" s="90"/>
      <c r="AIW250" s="90"/>
      <c r="AIX250" s="90"/>
      <c r="AIY250" s="90"/>
      <c r="AIZ250" s="90"/>
      <c r="AJA250" s="90"/>
      <c r="AJB250" s="90"/>
      <c r="AJC250" s="90"/>
      <c r="AJD250" s="90"/>
      <c r="AJE250" s="90"/>
      <c r="AJF250" s="90"/>
      <c r="AJG250" s="90"/>
      <c r="AJH250" s="90"/>
      <c r="AJI250" s="90"/>
      <c r="AJJ250" s="90"/>
      <c r="AJK250" s="90"/>
      <c r="AJL250" s="90"/>
      <c r="AJM250" s="90"/>
      <c r="AJN250" s="90"/>
      <c r="AJO250" s="90"/>
      <c r="AJP250" s="90"/>
      <c r="AJQ250" s="90"/>
      <c r="AJR250" s="90"/>
      <c r="AJS250" s="90"/>
      <c r="AJT250" s="90"/>
      <c r="AJU250" s="90"/>
      <c r="AJV250" s="90"/>
      <c r="AJW250" s="90"/>
      <c r="AJX250" s="90"/>
      <c r="AJY250" s="90"/>
      <c r="AJZ250" s="90"/>
      <c r="AKA250" s="90"/>
      <c r="AKB250" s="90"/>
      <c r="AKC250" s="90"/>
      <c r="AKD250" s="90"/>
      <c r="AKE250" s="90"/>
      <c r="AKF250" s="90"/>
      <c r="AKG250" s="90"/>
      <c r="AKH250" s="90"/>
      <c r="AKI250" s="90"/>
      <c r="AKJ250" s="90"/>
      <c r="AKK250" s="90"/>
      <c r="AKL250" s="90"/>
      <c r="AKM250" s="90"/>
      <c r="AKN250" s="90"/>
      <c r="AKO250" s="90"/>
      <c r="AKP250" s="90"/>
      <c r="AKQ250" s="90"/>
      <c r="AKR250" s="90"/>
      <c r="AKS250" s="90"/>
      <c r="AKT250" s="90"/>
      <c r="AKU250" s="90"/>
      <c r="AKV250" s="90"/>
      <c r="AKW250" s="90"/>
      <c r="AKX250" s="90"/>
      <c r="AKY250" s="90"/>
      <c r="AKZ250" s="90"/>
      <c r="ALA250" s="90"/>
      <c r="ALB250" s="90"/>
      <c r="ALC250" s="90"/>
      <c r="ALD250" s="90"/>
      <c r="ALE250" s="90"/>
      <c r="ALF250" s="90"/>
      <c r="ALG250" s="90"/>
      <c r="ALH250" s="90"/>
      <c r="ALI250" s="90"/>
      <c r="ALJ250" s="90"/>
      <c r="ALK250" s="90"/>
      <c r="ALL250" s="90"/>
      <c r="ALM250" s="90"/>
      <c r="ALN250" s="90"/>
      <c r="ALO250" s="90"/>
      <c r="ALP250" s="90"/>
      <c r="ALQ250" s="90"/>
      <c r="ALR250" s="90"/>
      <c r="ALS250" s="90"/>
      <c r="ALT250" s="90"/>
      <c r="ALU250" s="90"/>
      <c r="ALV250" s="90"/>
      <c r="ALW250" s="90"/>
      <c r="ALX250" s="90"/>
      <c r="ALY250" s="90"/>
      <c r="ALZ250" s="90"/>
      <c r="AMA250" s="90"/>
      <c r="AMB250" s="90"/>
      <c r="AMC250" s="90"/>
    </row>
    <row r="251" spans="1:1017">
      <c r="A251" s="98" t="s">
        <v>51</v>
      </c>
      <c r="B251" s="90" t="str">
        <f t="shared" si="1582"/>
        <v xml:space="preserve">Kerang Hijau </v>
      </c>
      <c r="Q251" s="91">
        <f t="shared" si="1583"/>
        <v>0</v>
      </c>
      <c r="R251" s="91">
        <f t="shared" si="1584"/>
        <v>0</v>
      </c>
      <c r="AG251" s="91">
        <f t="shared" si="1585"/>
        <v>0</v>
      </c>
      <c r="AH251" s="91">
        <f t="shared" si="1586"/>
        <v>0</v>
      </c>
      <c r="AW251" s="91">
        <f t="shared" si="1587"/>
        <v>0</v>
      </c>
      <c r="AX251" s="91">
        <f t="shared" si="1588"/>
        <v>0</v>
      </c>
      <c r="BM251" s="91">
        <f t="shared" si="1589"/>
        <v>0</v>
      </c>
      <c r="BN251" s="91">
        <f t="shared" si="1590"/>
        <v>0</v>
      </c>
      <c r="CC251" s="91">
        <f t="shared" si="1591"/>
        <v>0</v>
      </c>
      <c r="CD251" s="91">
        <f t="shared" si="1592"/>
        <v>0</v>
      </c>
      <c r="CE251" s="98">
        <v>904887</v>
      </c>
      <c r="CF251" s="98">
        <v>3619548.0610000002</v>
      </c>
      <c r="CS251" s="91">
        <f t="shared" si="1593"/>
        <v>904887</v>
      </c>
      <c r="CT251" s="91">
        <f t="shared" si="1594"/>
        <v>3619548.0610000002</v>
      </c>
      <c r="DI251" s="91">
        <f t="shared" si="1595"/>
        <v>0</v>
      </c>
      <c r="DJ251" s="91">
        <f t="shared" si="1596"/>
        <v>0</v>
      </c>
      <c r="DY251" s="91">
        <f t="shared" si="1597"/>
        <v>0</v>
      </c>
      <c r="DZ251" s="91">
        <f t="shared" si="1598"/>
        <v>0</v>
      </c>
      <c r="EO251" s="91">
        <f t="shared" si="1599"/>
        <v>0</v>
      </c>
      <c r="EP251" s="91">
        <f t="shared" si="1600"/>
        <v>0</v>
      </c>
      <c r="FE251" s="91">
        <f t="shared" si="1601"/>
        <v>0</v>
      </c>
      <c r="FF251" s="91">
        <f t="shared" si="1602"/>
        <v>0</v>
      </c>
      <c r="FU251" s="91">
        <f t="shared" si="1603"/>
        <v>0</v>
      </c>
      <c r="FV251" s="91">
        <f t="shared" si="1604"/>
        <v>0</v>
      </c>
      <c r="GK251" s="91">
        <f t="shared" si="1605"/>
        <v>0</v>
      </c>
      <c r="GL251" s="91">
        <f t="shared" si="1606"/>
        <v>0</v>
      </c>
      <c r="HA251" s="91">
        <f t="shared" si="1607"/>
        <v>0</v>
      </c>
      <c r="HB251" s="91">
        <f t="shared" si="1608"/>
        <v>0</v>
      </c>
      <c r="HQ251" s="91">
        <f t="shared" si="1609"/>
        <v>0</v>
      </c>
      <c r="HR251" s="91">
        <f t="shared" si="1610"/>
        <v>0</v>
      </c>
      <c r="IG251" s="91">
        <f t="shared" si="1611"/>
        <v>0</v>
      </c>
      <c r="IH251" s="91">
        <f t="shared" si="1612"/>
        <v>0</v>
      </c>
      <c r="IW251" s="91">
        <f t="shared" si="1613"/>
        <v>0</v>
      </c>
      <c r="IX251" s="91">
        <f t="shared" si="1614"/>
        <v>0</v>
      </c>
      <c r="JM251" s="91">
        <f t="shared" si="1615"/>
        <v>0</v>
      </c>
      <c r="JN251" s="91">
        <f t="shared" si="1616"/>
        <v>0</v>
      </c>
      <c r="KC251" s="91">
        <f t="shared" si="1617"/>
        <v>0</v>
      </c>
      <c r="KD251" s="91">
        <f t="shared" si="1618"/>
        <v>0</v>
      </c>
      <c r="KS251" s="91">
        <f t="shared" si="1619"/>
        <v>0</v>
      </c>
      <c r="KT251" s="91">
        <f t="shared" si="1620"/>
        <v>0</v>
      </c>
      <c r="LI251" s="91">
        <f t="shared" si="1621"/>
        <v>0</v>
      </c>
      <c r="LJ251" s="91">
        <f t="shared" si="1622"/>
        <v>0</v>
      </c>
      <c r="LY251" s="91">
        <f t="shared" si="1623"/>
        <v>0</v>
      </c>
      <c r="LZ251" s="91">
        <f t="shared" si="1624"/>
        <v>0</v>
      </c>
      <c r="MO251" s="91">
        <f t="shared" si="1625"/>
        <v>0</v>
      </c>
      <c r="MP251" s="91">
        <f t="shared" si="1626"/>
        <v>0</v>
      </c>
      <c r="NE251" s="91">
        <f t="shared" si="1627"/>
        <v>0</v>
      </c>
      <c r="NF251" s="91">
        <f t="shared" si="1628"/>
        <v>0</v>
      </c>
      <c r="NU251" s="91">
        <f t="shared" si="1629"/>
        <v>0</v>
      </c>
      <c r="NV251" s="91">
        <f t="shared" si="1630"/>
        <v>0</v>
      </c>
      <c r="OK251" s="91">
        <f t="shared" si="1631"/>
        <v>0</v>
      </c>
      <c r="OL251" s="91">
        <f t="shared" si="1632"/>
        <v>0</v>
      </c>
      <c r="PA251" s="91">
        <f t="shared" si="1633"/>
        <v>0</v>
      </c>
      <c r="PB251" s="91">
        <f t="shared" si="1634"/>
        <v>0</v>
      </c>
      <c r="PQ251" s="91">
        <f t="shared" si="1635"/>
        <v>0</v>
      </c>
      <c r="PR251" s="91">
        <f t="shared" si="1636"/>
        <v>0</v>
      </c>
      <c r="QG251" s="91">
        <f t="shared" si="1637"/>
        <v>0</v>
      </c>
      <c r="QH251" s="91">
        <f t="shared" si="1638"/>
        <v>0</v>
      </c>
      <c r="QW251" s="91">
        <f t="shared" si="1639"/>
        <v>0</v>
      </c>
      <c r="QX251" s="91">
        <f t="shared" si="1640"/>
        <v>0</v>
      </c>
      <c r="RM251" s="91">
        <f t="shared" si="1641"/>
        <v>0</v>
      </c>
      <c r="RN251" s="91">
        <f t="shared" si="1642"/>
        <v>0</v>
      </c>
      <c r="SC251" s="91">
        <f t="shared" si="1643"/>
        <v>0</v>
      </c>
      <c r="SD251" s="91">
        <f t="shared" si="1644"/>
        <v>0</v>
      </c>
      <c r="SS251" s="91">
        <f t="shared" si="1645"/>
        <v>0</v>
      </c>
      <c r="ST251" s="91">
        <f t="shared" si="1646"/>
        <v>0</v>
      </c>
      <c r="TI251" s="91">
        <f t="shared" si="1647"/>
        <v>0</v>
      </c>
      <c r="TJ251" s="91">
        <f t="shared" si="1648"/>
        <v>0</v>
      </c>
      <c r="TY251" s="91">
        <f t="shared" si="1649"/>
        <v>0</v>
      </c>
      <c r="TZ251" s="91">
        <f t="shared" si="1650"/>
        <v>0</v>
      </c>
      <c r="UO251" s="91">
        <f t="shared" si="1651"/>
        <v>0</v>
      </c>
      <c r="UP251" s="91">
        <f t="shared" si="1652"/>
        <v>0</v>
      </c>
      <c r="VE251" s="91">
        <f t="shared" si="1653"/>
        <v>0</v>
      </c>
      <c r="VF251" s="91">
        <f t="shared" si="1654"/>
        <v>0</v>
      </c>
      <c r="VU251" s="91">
        <f t="shared" si="1655"/>
        <v>0</v>
      </c>
      <c r="VV251" s="91">
        <f t="shared" si="1656"/>
        <v>0</v>
      </c>
      <c r="WK251" s="91">
        <f t="shared" si="1657"/>
        <v>0</v>
      </c>
      <c r="WL251" s="91">
        <f t="shared" si="1658"/>
        <v>0</v>
      </c>
      <c r="WM251" s="89"/>
      <c r="WN251" s="87">
        <f t="shared" si="1659"/>
        <v>904887</v>
      </c>
      <c r="WO251" s="87">
        <f t="shared" si="1660"/>
        <v>3619548.0610000002</v>
      </c>
      <c r="WP251" s="87">
        <f t="shared" si="1661"/>
        <v>0</v>
      </c>
      <c r="WQ251" s="87">
        <f t="shared" si="1662"/>
        <v>0</v>
      </c>
      <c r="WR251" s="87">
        <f t="shared" si="1663"/>
        <v>0</v>
      </c>
      <c r="WS251" s="87">
        <f t="shared" si="1664"/>
        <v>0</v>
      </c>
      <c r="WT251" s="87">
        <f t="shared" si="1665"/>
        <v>0</v>
      </c>
      <c r="WU251" s="87">
        <f t="shared" si="1666"/>
        <v>0</v>
      </c>
      <c r="WV251" s="87">
        <f t="shared" si="1667"/>
        <v>0</v>
      </c>
      <c r="WW251" s="87">
        <f t="shared" si="1668"/>
        <v>0</v>
      </c>
      <c r="WX251" s="87">
        <f t="shared" si="1669"/>
        <v>0</v>
      </c>
      <c r="WY251" s="87">
        <f t="shared" si="1670"/>
        <v>0</v>
      </c>
      <c r="WZ251" s="87">
        <f t="shared" si="1671"/>
        <v>0</v>
      </c>
      <c r="XA251" s="87">
        <f t="shared" si="1672"/>
        <v>0</v>
      </c>
      <c r="XB251" s="92">
        <f t="shared" si="1673"/>
        <v>904887</v>
      </c>
      <c r="XC251" s="92">
        <f t="shared" si="1674"/>
        <v>3619548.0610000002</v>
      </c>
      <c r="XD251" s="89"/>
      <c r="XE251" s="92"/>
      <c r="XF251" s="92"/>
      <c r="XG251" s="89"/>
      <c r="XH251" s="92"/>
      <c r="XI251" s="92"/>
      <c r="XJ251" s="89"/>
      <c r="XK251" s="87"/>
      <c r="XL251" s="87"/>
      <c r="XM251" s="87"/>
      <c r="XN251" s="87"/>
      <c r="XO251" s="87"/>
      <c r="XP251" s="87"/>
      <c r="XQ251" s="87"/>
      <c r="XR251" s="92">
        <f t="shared" ca="1" si="1675"/>
        <v>0</v>
      </c>
      <c r="XS251" s="89"/>
      <c r="XT251" s="87"/>
      <c r="XU251" s="87"/>
      <c r="XV251" s="87"/>
      <c r="XW251" s="87"/>
      <c r="XX251" s="87"/>
      <c r="XY251" s="87"/>
      <c r="XZ251" s="87"/>
      <c r="YA251" s="92">
        <f t="shared" ca="1" si="1676"/>
        <v>0</v>
      </c>
      <c r="YB251" s="90"/>
      <c r="YC251" s="90"/>
      <c r="YD251" s="90"/>
      <c r="YE251" s="90"/>
      <c r="YF251" s="90"/>
      <c r="YG251" s="90"/>
      <c r="YH251" s="90"/>
      <c r="YI251" s="90"/>
      <c r="YJ251" s="90"/>
      <c r="YK251" s="90"/>
      <c r="YL251" s="90"/>
      <c r="YM251" s="90"/>
      <c r="YN251" s="90"/>
      <c r="YO251" s="90"/>
      <c r="YP251" s="90"/>
      <c r="YQ251" s="90"/>
      <c r="YR251" s="90"/>
      <c r="YS251" s="90"/>
      <c r="YT251" s="90"/>
      <c r="YU251" s="90"/>
      <c r="YV251" s="90"/>
      <c r="YW251" s="90"/>
      <c r="YX251" s="90"/>
      <c r="YY251" s="90"/>
      <c r="YZ251" s="90"/>
      <c r="ZA251" s="90"/>
      <c r="ZB251" s="90"/>
      <c r="ZC251" s="90"/>
      <c r="ZD251" s="90"/>
      <c r="ZE251" s="90"/>
      <c r="ZF251" s="90"/>
      <c r="ZG251" s="90"/>
      <c r="ZH251" s="90"/>
      <c r="ZI251" s="90"/>
      <c r="ZJ251" s="90"/>
      <c r="ZK251" s="90"/>
      <c r="ZL251" s="90"/>
      <c r="ZM251" s="90"/>
      <c r="ZN251" s="90"/>
      <c r="ZO251" s="90"/>
      <c r="ZP251" s="90"/>
      <c r="ZQ251" s="90"/>
      <c r="ZR251" s="90"/>
      <c r="ZS251" s="90"/>
      <c r="ZT251" s="90"/>
      <c r="ZU251" s="90"/>
      <c r="ZV251" s="90"/>
      <c r="ZW251" s="90"/>
      <c r="ZX251" s="90"/>
      <c r="ZY251" s="90"/>
      <c r="ZZ251" s="90"/>
      <c r="AAA251" s="90"/>
      <c r="AAB251" s="90"/>
      <c r="AAC251" s="90"/>
      <c r="AAD251" s="90"/>
      <c r="AAE251" s="90"/>
      <c r="AAF251" s="90"/>
      <c r="AAG251" s="90"/>
      <c r="AAH251" s="90"/>
      <c r="AAI251" s="90"/>
      <c r="AAJ251" s="90"/>
      <c r="AAK251" s="90"/>
      <c r="AAL251" s="90"/>
      <c r="AAM251" s="90"/>
      <c r="AAN251" s="90"/>
      <c r="AAO251" s="90"/>
      <c r="AAP251" s="90"/>
      <c r="AAQ251" s="90"/>
      <c r="AAR251" s="90"/>
      <c r="AAS251" s="90"/>
      <c r="AAT251" s="90"/>
      <c r="AAU251" s="90"/>
      <c r="AAV251" s="90"/>
      <c r="AAW251" s="90"/>
      <c r="AAX251" s="90"/>
      <c r="AAY251" s="90"/>
      <c r="AAZ251" s="90"/>
      <c r="ABA251" s="90"/>
      <c r="ABB251" s="90"/>
      <c r="ABC251" s="90"/>
      <c r="ABD251" s="90"/>
      <c r="ABE251" s="90"/>
      <c r="ABF251" s="90"/>
      <c r="ABG251" s="90"/>
      <c r="ABH251" s="90"/>
      <c r="ABI251" s="90"/>
      <c r="ABJ251" s="90"/>
      <c r="ABK251" s="90"/>
      <c r="ABL251" s="90"/>
      <c r="ABM251" s="90"/>
      <c r="ABN251" s="90"/>
      <c r="ABO251" s="90"/>
      <c r="ABP251" s="90"/>
      <c r="ABQ251" s="90"/>
      <c r="ABR251" s="90"/>
      <c r="ABS251" s="90"/>
      <c r="ABT251" s="90"/>
      <c r="ABU251" s="90"/>
      <c r="ABV251" s="90"/>
      <c r="ABW251" s="90"/>
      <c r="ABX251" s="90"/>
      <c r="ABY251" s="90"/>
      <c r="ABZ251" s="90"/>
      <c r="ACA251" s="90"/>
      <c r="ACB251" s="90"/>
      <c r="ACC251" s="90"/>
      <c r="ACD251" s="90"/>
      <c r="ACE251" s="90"/>
      <c r="ACF251" s="90"/>
      <c r="ACG251" s="90"/>
      <c r="ACH251" s="90"/>
      <c r="ACI251" s="90"/>
      <c r="ACJ251" s="90"/>
      <c r="ACK251" s="90"/>
      <c r="ACL251" s="90"/>
      <c r="ACM251" s="90"/>
      <c r="ACN251" s="90"/>
      <c r="ACO251" s="90"/>
      <c r="ACP251" s="90"/>
      <c r="ACQ251" s="90"/>
      <c r="ACR251" s="90"/>
      <c r="ACS251" s="90"/>
      <c r="ACT251" s="90"/>
      <c r="ACU251" s="90"/>
      <c r="ACV251" s="90"/>
      <c r="ACW251" s="90"/>
      <c r="ACX251" s="90"/>
      <c r="ACY251" s="90"/>
      <c r="ACZ251" s="90"/>
      <c r="ADA251" s="90"/>
      <c r="ADB251" s="90"/>
      <c r="ADC251" s="90"/>
      <c r="ADD251" s="90"/>
      <c r="ADE251" s="90"/>
      <c r="ADF251" s="90"/>
      <c r="ADG251" s="90"/>
      <c r="ADH251" s="90"/>
      <c r="ADI251" s="90"/>
      <c r="ADJ251" s="90"/>
      <c r="ADK251" s="90"/>
      <c r="ADL251" s="90"/>
      <c r="ADM251" s="90"/>
      <c r="ADN251" s="90"/>
      <c r="ADO251" s="90"/>
      <c r="ADP251" s="90"/>
      <c r="ADQ251" s="90"/>
      <c r="ADR251" s="90"/>
      <c r="ADS251" s="90"/>
      <c r="ADT251" s="90"/>
      <c r="ADU251" s="90"/>
      <c r="ADV251" s="90"/>
      <c r="ADW251" s="90"/>
      <c r="ADX251" s="90"/>
      <c r="ADY251" s="90"/>
      <c r="ADZ251" s="90"/>
      <c r="AEA251" s="90"/>
      <c r="AEB251" s="90"/>
      <c r="AEC251" s="90"/>
      <c r="AED251" s="90"/>
      <c r="AEE251" s="90"/>
      <c r="AEF251" s="90"/>
      <c r="AEG251" s="90"/>
      <c r="AEH251" s="90"/>
      <c r="AEI251" s="90"/>
      <c r="AEJ251" s="90"/>
      <c r="AEK251" s="90"/>
      <c r="AEL251" s="90"/>
      <c r="AEM251" s="90"/>
      <c r="AEN251" s="90"/>
      <c r="AEO251" s="90"/>
      <c r="AEP251" s="90"/>
      <c r="AEQ251" s="90"/>
      <c r="AER251" s="90"/>
      <c r="AES251" s="90"/>
      <c r="AET251" s="90"/>
      <c r="AEU251" s="90"/>
      <c r="AEV251" s="90"/>
      <c r="AEW251" s="90"/>
      <c r="AEX251" s="90"/>
      <c r="AEY251" s="90"/>
      <c r="AEZ251" s="90"/>
      <c r="AFA251" s="90"/>
      <c r="AFB251" s="90"/>
      <c r="AFC251" s="90"/>
      <c r="AFD251" s="90"/>
      <c r="AFE251" s="90"/>
      <c r="AFF251" s="90"/>
      <c r="AFG251" s="90"/>
      <c r="AFH251" s="90"/>
      <c r="AFI251" s="90"/>
      <c r="AFJ251" s="90"/>
      <c r="AFK251" s="90"/>
      <c r="AFL251" s="90"/>
      <c r="AFM251" s="90"/>
      <c r="AFN251" s="90"/>
      <c r="AFO251" s="90"/>
      <c r="AFP251" s="90"/>
      <c r="AFQ251" s="90"/>
      <c r="AFR251" s="90"/>
      <c r="AFS251" s="90"/>
      <c r="AFT251" s="90"/>
      <c r="AFU251" s="90"/>
      <c r="AFV251" s="90"/>
      <c r="AFW251" s="90"/>
      <c r="AFX251" s="90"/>
      <c r="AFY251" s="90"/>
      <c r="AFZ251" s="90"/>
      <c r="AGA251" s="90"/>
      <c r="AGB251" s="90"/>
      <c r="AGC251" s="90"/>
      <c r="AGD251" s="90"/>
      <c r="AGE251" s="90"/>
      <c r="AGF251" s="90"/>
      <c r="AGG251" s="90"/>
      <c r="AGH251" s="90"/>
      <c r="AGI251" s="90"/>
      <c r="AGJ251" s="90"/>
      <c r="AGK251" s="90"/>
      <c r="AGL251" s="90"/>
      <c r="AGM251" s="90"/>
      <c r="AGN251" s="90"/>
      <c r="AGO251" s="90"/>
      <c r="AGP251" s="90"/>
      <c r="AGQ251" s="90"/>
      <c r="AGR251" s="90"/>
      <c r="AGS251" s="90"/>
      <c r="AGT251" s="90"/>
      <c r="AGU251" s="90"/>
      <c r="AGV251" s="90"/>
      <c r="AGW251" s="90"/>
      <c r="AGX251" s="90"/>
      <c r="AGY251" s="90"/>
      <c r="AGZ251" s="90"/>
      <c r="AHA251" s="90"/>
      <c r="AHB251" s="90"/>
      <c r="AHC251" s="90"/>
      <c r="AHD251" s="90"/>
      <c r="AHE251" s="90"/>
      <c r="AHF251" s="90"/>
      <c r="AHG251" s="90"/>
      <c r="AHH251" s="90"/>
      <c r="AHI251" s="90"/>
      <c r="AHJ251" s="90"/>
      <c r="AHK251" s="90"/>
      <c r="AHL251" s="90"/>
      <c r="AHM251" s="90"/>
      <c r="AHN251" s="90"/>
      <c r="AHO251" s="90"/>
      <c r="AHP251" s="90"/>
      <c r="AHQ251" s="90"/>
      <c r="AHR251" s="90"/>
      <c r="AHS251" s="90"/>
      <c r="AHT251" s="90"/>
      <c r="AHU251" s="90"/>
      <c r="AHV251" s="90"/>
      <c r="AHW251" s="90"/>
      <c r="AHX251" s="90"/>
      <c r="AHY251" s="90"/>
      <c r="AHZ251" s="90"/>
      <c r="AIA251" s="90"/>
      <c r="AIB251" s="90"/>
      <c r="AIC251" s="90"/>
      <c r="AID251" s="90"/>
      <c r="AIE251" s="90"/>
      <c r="AIF251" s="90"/>
      <c r="AIG251" s="90"/>
      <c r="AIH251" s="90"/>
      <c r="AII251" s="90"/>
      <c r="AIJ251" s="90"/>
      <c r="AIK251" s="90"/>
      <c r="AIL251" s="90"/>
      <c r="AIM251" s="90"/>
      <c r="AIN251" s="90"/>
      <c r="AIO251" s="90"/>
      <c r="AIP251" s="90"/>
      <c r="AIQ251" s="90"/>
      <c r="AIR251" s="90"/>
      <c r="AIS251" s="90"/>
      <c r="AIT251" s="90"/>
      <c r="AIU251" s="90"/>
      <c r="AIV251" s="90"/>
      <c r="AIW251" s="90"/>
      <c r="AIX251" s="90"/>
      <c r="AIY251" s="90"/>
      <c r="AIZ251" s="90"/>
      <c r="AJA251" s="90"/>
      <c r="AJB251" s="90"/>
      <c r="AJC251" s="90"/>
      <c r="AJD251" s="90"/>
      <c r="AJE251" s="90"/>
      <c r="AJF251" s="90"/>
      <c r="AJG251" s="90"/>
      <c r="AJH251" s="90"/>
      <c r="AJI251" s="90"/>
      <c r="AJJ251" s="90"/>
      <c r="AJK251" s="90"/>
      <c r="AJL251" s="90"/>
      <c r="AJM251" s="90"/>
      <c r="AJN251" s="90"/>
      <c r="AJO251" s="90"/>
      <c r="AJP251" s="90"/>
      <c r="AJQ251" s="90"/>
      <c r="AJR251" s="90"/>
      <c r="AJS251" s="90"/>
      <c r="AJT251" s="90"/>
      <c r="AJU251" s="90"/>
      <c r="AJV251" s="90"/>
      <c r="AJW251" s="90"/>
      <c r="AJX251" s="90"/>
      <c r="AJY251" s="90"/>
      <c r="AJZ251" s="90"/>
      <c r="AKA251" s="90"/>
      <c r="AKB251" s="90"/>
      <c r="AKC251" s="90"/>
      <c r="AKD251" s="90"/>
      <c r="AKE251" s="90"/>
      <c r="AKF251" s="90"/>
      <c r="AKG251" s="90"/>
      <c r="AKH251" s="90"/>
      <c r="AKI251" s="90"/>
      <c r="AKJ251" s="90"/>
      <c r="AKK251" s="90"/>
      <c r="AKL251" s="90"/>
      <c r="AKM251" s="90"/>
      <c r="AKN251" s="90"/>
      <c r="AKO251" s="90"/>
      <c r="AKP251" s="90"/>
      <c r="AKQ251" s="90"/>
      <c r="AKR251" s="90"/>
      <c r="AKS251" s="90"/>
      <c r="AKT251" s="90"/>
      <c r="AKU251" s="90"/>
      <c r="AKV251" s="90"/>
      <c r="AKW251" s="90"/>
      <c r="AKX251" s="90"/>
      <c r="AKY251" s="90"/>
      <c r="AKZ251" s="90"/>
      <c r="ALA251" s="90"/>
      <c r="ALB251" s="90"/>
      <c r="ALC251" s="90"/>
      <c r="ALD251" s="90"/>
      <c r="ALE251" s="90"/>
      <c r="ALF251" s="90"/>
      <c r="ALG251" s="90"/>
      <c r="ALH251" s="90"/>
      <c r="ALI251" s="90"/>
      <c r="ALJ251" s="90"/>
      <c r="ALK251" s="90"/>
      <c r="ALL251" s="90"/>
      <c r="ALM251" s="90"/>
      <c r="ALN251" s="90"/>
      <c r="ALO251" s="90"/>
      <c r="ALP251" s="90"/>
      <c r="ALQ251" s="90"/>
      <c r="ALR251" s="90"/>
      <c r="ALS251" s="90"/>
      <c r="ALT251" s="90"/>
      <c r="ALU251" s="90"/>
      <c r="ALV251" s="90"/>
      <c r="ALW251" s="90"/>
      <c r="ALX251" s="90"/>
      <c r="ALY251" s="90"/>
      <c r="ALZ251" s="90"/>
      <c r="AMA251" s="90"/>
      <c r="AMB251" s="90"/>
      <c r="AMC251" s="90"/>
    </row>
    <row r="252" spans="1:1017">
      <c r="A252" s="98" t="s">
        <v>51</v>
      </c>
      <c r="B252" s="90" t="str">
        <f t="shared" si="1582"/>
        <v>Kerapu Cantang</v>
      </c>
      <c r="C252" s="610"/>
      <c r="D252" s="610"/>
      <c r="Q252" s="91">
        <f t="shared" si="1583"/>
        <v>0</v>
      </c>
      <c r="R252" s="91">
        <f t="shared" si="1584"/>
        <v>0</v>
      </c>
      <c r="S252" s="610">
        <v>460</v>
      </c>
      <c r="T252" s="610">
        <v>39100</v>
      </c>
      <c r="U252" s="98">
        <v>3055</v>
      </c>
      <c r="V252" s="98">
        <v>259675</v>
      </c>
      <c r="AG252" s="91">
        <f t="shared" si="1585"/>
        <v>3515</v>
      </c>
      <c r="AH252" s="91">
        <f t="shared" si="1586"/>
        <v>298775</v>
      </c>
      <c r="AI252" s="610"/>
      <c r="AJ252" s="610"/>
      <c r="AW252" s="91">
        <f t="shared" si="1587"/>
        <v>0</v>
      </c>
      <c r="AX252" s="91">
        <f t="shared" si="1588"/>
        <v>0</v>
      </c>
      <c r="AY252" s="610"/>
      <c r="AZ252" s="610"/>
      <c r="BM252" s="91">
        <f t="shared" si="1589"/>
        <v>0</v>
      </c>
      <c r="BN252" s="91">
        <f t="shared" si="1590"/>
        <v>0</v>
      </c>
      <c r="BO252" s="610"/>
      <c r="BP252" s="610"/>
      <c r="CC252" s="91">
        <f t="shared" si="1591"/>
        <v>0</v>
      </c>
      <c r="CD252" s="91">
        <f t="shared" si="1592"/>
        <v>0</v>
      </c>
      <c r="CE252" s="610"/>
      <c r="CF252" s="797"/>
      <c r="CG252" s="98">
        <v>9188.2106895454253</v>
      </c>
      <c r="CH252" s="98">
        <v>1102585.282745451</v>
      </c>
      <c r="CS252" s="91">
        <f t="shared" si="1593"/>
        <v>9188.2106895454253</v>
      </c>
      <c r="CT252" s="91">
        <f t="shared" si="1594"/>
        <v>1102585.282745451</v>
      </c>
      <c r="CU252" s="610"/>
      <c r="CV252" s="610"/>
      <c r="DI252" s="91">
        <f t="shared" si="1595"/>
        <v>0</v>
      </c>
      <c r="DJ252" s="91">
        <f t="shared" si="1596"/>
        <v>0</v>
      </c>
      <c r="DK252" s="610"/>
      <c r="DL252" s="610"/>
      <c r="DY252" s="91">
        <f t="shared" si="1597"/>
        <v>0</v>
      </c>
      <c r="DZ252" s="91">
        <f t="shared" si="1598"/>
        <v>0</v>
      </c>
      <c r="EA252" s="610"/>
      <c r="EB252" s="610"/>
      <c r="EO252" s="91">
        <f t="shared" si="1599"/>
        <v>0</v>
      </c>
      <c r="EP252" s="91">
        <f t="shared" si="1600"/>
        <v>0</v>
      </c>
      <c r="EQ252" s="610"/>
      <c r="ER252" s="610"/>
      <c r="ES252" s="98">
        <v>147365</v>
      </c>
      <c r="ET252" s="98">
        <v>11789200</v>
      </c>
      <c r="FE252" s="91">
        <f t="shared" si="1601"/>
        <v>147365</v>
      </c>
      <c r="FF252" s="91">
        <f t="shared" si="1602"/>
        <v>11789200</v>
      </c>
      <c r="FG252" s="610"/>
      <c r="FH252" s="610"/>
      <c r="FU252" s="91">
        <f t="shared" si="1603"/>
        <v>0</v>
      </c>
      <c r="FV252" s="91">
        <f t="shared" si="1604"/>
        <v>0</v>
      </c>
      <c r="FW252" s="610"/>
      <c r="FX252" s="610"/>
      <c r="GK252" s="91">
        <f t="shared" si="1605"/>
        <v>0</v>
      </c>
      <c r="GL252" s="91">
        <f t="shared" si="1606"/>
        <v>0</v>
      </c>
      <c r="GM252" s="610"/>
      <c r="GN252" s="610"/>
      <c r="HA252" s="91">
        <f t="shared" si="1607"/>
        <v>0</v>
      </c>
      <c r="HB252" s="91">
        <f t="shared" si="1608"/>
        <v>0</v>
      </c>
      <c r="HC252" s="610"/>
      <c r="HD252" s="610"/>
      <c r="HQ252" s="91">
        <f t="shared" si="1609"/>
        <v>0</v>
      </c>
      <c r="HR252" s="91">
        <f t="shared" si="1610"/>
        <v>0</v>
      </c>
      <c r="HS252" s="610"/>
      <c r="HT252" s="610"/>
      <c r="IG252" s="91">
        <f t="shared" si="1611"/>
        <v>0</v>
      </c>
      <c r="IH252" s="91">
        <f t="shared" si="1612"/>
        <v>0</v>
      </c>
      <c r="II252" s="610"/>
      <c r="IJ252" s="610"/>
      <c r="IW252" s="91">
        <f t="shared" si="1613"/>
        <v>0</v>
      </c>
      <c r="IX252" s="91">
        <f t="shared" si="1614"/>
        <v>0</v>
      </c>
      <c r="IY252" s="610"/>
      <c r="IZ252" s="610"/>
      <c r="JM252" s="91">
        <f t="shared" si="1615"/>
        <v>0</v>
      </c>
      <c r="JN252" s="91">
        <f t="shared" si="1616"/>
        <v>0</v>
      </c>
      <c r="JO252" s="610"/>
      <c r="JP252" s="610"/>
      <c r="KC252" s="91">
        <f t="shared" si="1617"/>
        <v>0</v>
      </c>
      <c r="KD252" s="91">
        <f t="shared" si="1618"/>
        <v>0</v>
      </c>
      <c r="KE252" s="610"/>
      <c r="KF252" s="610"/>
      <c r="KS252" s="91">
        <f t="shared" si="1619"/>
        <v>0</v>
      </c>
      <c r="KT252" s="91">
        <f t="shared" si="1620"/>
        <v>0</v>
      </c>
      <c r="KU252" s="610"/>
      <c r="KV252" s="610"/>
      <c r="LI252" s="91">
        <f t="shared" si="1621"/>
        <v>0</v>
      </c>
      <c r="LJ252" s="91">
        <f t="shared" si="1622"/>
        <v>0</v>
      </c>
      <c r="LK252" s="610"/>
      <c r="LL252" s="610"/>
      <c r="LY252" s="91">
        <f t="shared" si="1623"/>
        <v>0</v>
      </c>
      <c r="LZ252" s="91">
        <f t="shared" si="1624"/>
        <v>0</v>
      </c>
      <c r="MA252" s="98">
        <v>31800</v>
      </c>
      <c r="MB252" s="98">
        <v>2703000</v>
      </c>
      <c r="MO252" s="91">
        <f>SUMIF($C$12:$P$12,$A$1,MA252:MN252)</f>
        <v>31800</v>
      </c>
      <c r="MP252" s="91">
        <f>SUMIF($C$12:$P$12,$A$3,MA252:MN252)</f>
        <v>2703000</v>
      </c>
      <c r="MQ252" s="610"/>
      <c r="MR252" s="610"/>
      <c r="NE252" s="91">
        <f t="shared" si="1627"/>
        <v>0</v>
      </c>
      <c r="NF252" s="91">
        <f t="shared" si="1628"/>
        <v>0</v>
      </c>
      <c r="NG252" s="610"/>
      <c r="NH252" s="610"/>
      <c r="NU252" s="91">
        <f t="shared" si="1629"/>
        <v>0</v>
      </c>
      <c r="NV252" s="91">
        <f t="shared" si="1630"/>
        <v>0</v>
      </c>
      <c r="NW252" s="610">
        <v>560</v>
      </c>
      <c r="NX252" s="610">
        <v>56000</v>
      </c>
      <c r="OK252" s="91">
        <f t="shared" si="1631"/>
        <v>560</v>
      </c>
      <c r="OL252" s="91">
        <f t="shared" si="1632"/>
        <v>56000</v>
      </c>
      <c r="PA252" s="91">
        <f t="shared" si="1633"/>
        <v>0</v>
      </c>
      <c r="PB252" s="91">
        <f t="shared" si="1634"/>
        <v>0</v>
      </c>
      <c r="PC252" s="610">
        <v>72</v>
      </c>
      <c r="PD252" s="610">
        <v>3240</v>
      </c>
      <c r="PQ252" s="91">
        <f t="shared" si="1635"/>
        <v>72</v>
      </c>
      <c r="PR252" s="91">
        <f t="shared" si="1636"/>
        <v>3240</v>
      </c>
      <c r="PS252" s="610"/>
      <c r="PT252" s="610"/>
      <c r="PU252" s="98">
        <v>2270</v>
      </c>
      <c r="PV252" s="98">
        <v>283750</v>
      </c>
      <c r="QG252" s="91">
        <f t="shared" si="1637"/>
        <v>2270</v>
      </c>
      <c r="QH252" s="91">
        <f t="shared" si="1638"/>
        <v>283750</v>
      </c>
      <c r="QI252" s="610"/>
      <c r="QJ252" s="610"/>
      <c r="QW252" s="91">
        <f t="shared" si="1639"/>
        <v>0</v>
      </c>
      <c r="QX252" s="91">
        <f t="shared" si="1640"/>
        <v>0</v>
      </c>
      <c r="QY252" s="610"/>
      <c r="QZ252" s="610"/>
      <c r="RM252" s="91">
        <f t="shared" si="1641"/>
        <v>0</v>
      </c>
      <c r="RN252" s="91">
        <f t="shared" si="1642"/>
        <v>0</v>
      </c>
      <c r="RO252" s="610"/>
      <c r="RP252" s="610"/>
      <c r="SC252" s="91">
        <f t="shared" si="1643"/>
        <v>0</v>
      </c>
      <c r="SD252" s="91">
        <f t="shared" si="1644"/>
        <v>0</v>
      </c>
      <c r="SE252" s="610"/>
      <c r="SF252" s="610"/>
      <c r="SS252" s="91">
        <f t="shared" si="1645"/>
        <v>0</v>
      </c>
      <c r="ST252" s="91">
        <f t="shared" si="1646"/>
        <v>0</v>
      </c>
      <c r="SU252" s="610"/>
      <c r="SV252" s="610"/>
      <c r="TI252" s="91">
        <f t="shared" si="1647"/>
        <v>0</v>
      </c>
      <c r="TJ252" s="91">
        <f t="shared" si="1648"/>
        <v>0</v>
      </c>
      <c r="TK252" s="610"/>
      <c r="TL252" s="610"/>
      <c r="TY252" s="91">
        <f t="shared" si="1649"/>
        <v>0</v>
      </c>
      <c r="TZ252" s="91">
        <f t="shared" si="1650"/>
        <v>0</v>
      </c>
      <c r="UA252" s="610"/>
      <c r="UB252" s="610"/>
      <c r="UO252" s="91">
        <f t="shared" si="1651"/>
        <v>0</v>
      </c>
      <c r="UP252" s="91">
        <f t="shared" si="1652"/>
        <v>0</v>
      </c>
      <c r="UQ252" s="610"/>
      <c r="UR252" s="610"/>
      <c r="VE252" s="91">
        <f t="shared" si="1653"/>
        <v>0</v>
      </c>
      <c r="VF252" s="91">
        <f t="shared" si="1654"/>
        <v>0</v>
      </c>
      <c r="VG252" s="610"/>
      <c r="VH252" s="610"/>
      <c r="VU252" s="91">
        <f t="shared" si="1655"/>
        <v>0</v>
      </c>
      <c r="VV252" s="91">
        <f t="shared" si="1656"/>
        <v>0</v>
      </c>
      <c r="VW252" s="610"/>
      <c r="VX252" s="610"/>
      <c r="WK252" s="91">
        <f t="shared" si="1657"/>
        <v>0</v>
      </c>
      <c r="WL252" s="91">
        <f t="shared" si="1658"/>
        <v>0</v>
      </c>
      <c r="WM252" s="89"/>
      <c r="WN252" s="87">
        <f t="shared" si="1659"/>
        <v>32892</v>
      </c>
      <c r="WO252" s="87">
        <f t="shared" si="1660"/>
        <v>2801340</v>
      </c>
      <c r="WP252" s="87">
        <f t="shared" si="1661"/>
        <v>161878.21068954543</v>
      </c>
      <c r="WQ252" s="87">
        <f t="shared" si="1662"/>
        <v>13435210.282745451</v>
      </c>
      <c r="WR252" s="87">
        <f t="shared" si="1663"/>
        <v>0</v>
      </c>
      <c r="WS252" s="87">
        <f t="shared" si="1664"/>
        <v>0</v>
      </c>
      <c r="WT252" s="87">
        <f t="shared" si="1665"/>
        <v>0</v>
      </c>
      <c r="WU252" s="87">
        <f t="shared" si="1666"/>
        <v>0</v>
      </c>
      <c r="WV252" s="87">
        <f t="shared" si="1667"/>
        <v>0</v>
      </c>
      <c r="WW252" s="87">
        <f t="shared" si="1668"/>
        <v>0</v>
      </c>
      <c r="WX252" s="87">
        <f t="shared" si="1669"/>
        <v>0</v>
      </c>
      <c r="WY252" s="87">
        <f t="shared" si="1670"/>
        <v>0</v>
      </c>
      <c r="WZ252" s="87">
        <f t="shared" si="1671"/>
        <v>0</v>
      </c>
      <c r="XA252" s="87">
        <f t="shared" si="1672"/>
        <v>0</v>
      </c>
      <c r="XB252" s="92">
        <f t="shared" si="1673"/>
        <v>194770.21068954543</v>
      </c>
      <c r="XC252" s="92">
        <f t="shared" si="1674"/>
        <v>16236550.282745451</v>
      </c>
      <c r="XD252" s="89"/>
      <c r="XE252" s="92"/>
      <c r="XF252" s="92"/>
      <c r="XG252" s="89"/>
      <c r="XH252" s="92"/>
      <c r="XI252" s="92"/>
      <c r="XJ252" s="89"/>
      <c r="XK252" s="87"/>
      <c r="XL252" s="87"/>
      <c r="XM252" s="87"/>
      <c r="XN252" s="87"/>
      <c r="XO252" s="87"/>
      <c r="XP252" s="87"/>
      <c r="XQ252" s="87"/>
      <c r="XR252" s="92">
        <f t="shared" ca="1" si="1675"/>
        <v>0</v>
      </c>
      <c r="XS252" s="89"/>
      <c r="XT252" s="87"/>
      <c r="XU252" s="87"/>
      <c r="XV252" s="87"/>
      <c r="XW252" s="87"/>
      <c r="XX252" s="87"/>
      <c r="XY252" s="87"/>
      <c r="XZ252" s="87"/>
      <c r="YA252" s="92">
        <f t="shared" ca="1" si="1676"/>
        <v>0</v>
      </c>
      <c r="YB252" s="90"/>
      <c r="YC252" s="90"/>
      <c r="YD252" s="90"/>
      <c r="YE252" s="90"/>
      <c r="YF252" s="90"/>
      <c r="YG252" s="90"/>
      <c r="YH252" s="90"/>
      <c r="YI252" s="90"/>
      <c r="YJ252" s="90"/>
      <c r="YK252" s="90"/>
      <c r="YL252" s="90"/>
      <c r="YM252" s="90"/>
      <c r="YN252" s="90"/>
      <c r="YO252" s="90"/>
      <c r="YP252" s="90"/>
      <c r="YQ252" s="90"/>
      <c r="YR252" s="90"/>
      <c r="YS252" s="90"/>
      <c r="YT252" s="90"/>
      <c r="YU252" s="90"/>
      <c r="YV252" s="90"/>
      <c r="YW252" s="90"/>
      <c r="YX252" s="90"/>
      <c r="YY252" s="90"/>
      <c r="YZ252" s="90"/>
      <c r="ZA252" s="90"/>
      <c r="ZB252" s="90"/>
      <c r="ZC252" s="90"/>
      <c r="ZD252" s="90"/>
      <c r="ZE252" s="90"/>
      <c r="ZF252" s="90"/>
      <c r="ZG252" s="90"/>
      <c r="ZH252" s="90"/>
      <c r="ZI252" s="90"/>
      <c r="ZJ252" s="90"/>
      <c r="ZK252" s="90"/>
      <c r="ZL252" s="90"/>
      <c r="ZM252" s="90"/>
      <c r="ZN252" s="90"/>
      <c r="ZO252" s="90"/>
      <c r="ZP252" s="90"/>
      <c r="ZQ252" s="90"/>
      <c r="ZR252" s="90"/>
      <c r="ZS252" s="90"/>
      <c r="ZT252" s="90"/>
      <c r="ZU252" s="90"/>
      <c r="ZV252" s="90"/>
      <c r="ZW252" s="90"/>
      <c r="ZX252" s="90"/>
      <c r="ZY252" s="90"/>
      <c r="ZZ252" s="90"/>
      <c r="AAA252" s="90"/>
      <c r="AAB252" s="90"/>
      <c r="AAC252" s="90"/>
      <c r="AAD252" s="90"/>
      <c r="AAE252" s="90"/>
      <c r="AAF252" s="90"/>
      <c r="AAG252" s="90"/>
      <c r="AAH252" s="90"/>
      <c r="AAI252" s="90"/>
      <c r="AAJ252" s="90"/>
      <c r="AAK252" s="90"/>
      <c r="AAL252" s="90"/>
      <c r="AAM252" s="90"/>
      <c r="AAN252" s="90"/>
      <c r="AAO252" s="90"/>
      <c r="AAP252" s="90"/>
      <c r="AAQ252" s="90"/>
      <c r="AAR252" s="90"/>
      <c r="AAS252" s="90"/>
      <c r="AAT252" s="90"/>
      <c r="AAU252" s="90"/>
      <c r="AAV252" s="90"/>
      <c r="AAW252" s="90"/>
      <c r="AAX252" s="90"/>
      <c r="AAY252" s="90"/>
      <c r="AAZ252" s="90"/>
      <c r="ABA252" s="90"/>
      <c r="ABB252" s="90"/>
      <c r="ABC252" s="90"/>
      <c r="ABD252" s="90"/>
      <c r="ABE252" s="90"/>
      <c r="ABF252" s="90"/>
      <c r="ABG252" s="90"/>
      <c r="ABH252" s="90"/>
      <c r="ABI252" s="90"/>
      <c r="ABJ252" s="90"/>
      <c r="ABK252" s="90"/>
      <c r="ABL252" s="90"/>
      <c r="ABM252" s="90"/>
      <c r="ABN252" s="90"/>
      <c r="ABO252" s="90"/>
      <c r="ABP252" s="90"/>
      <c r="ABQ252" s="90"/>
      <c r="ABR252" s="90"/>
      <c r="ABS252" s="90"/>
      <c r="ABT252" s="90"/>
      <c r="ABU252" s="90"/>
      <c r="ABV252" s="90"/>
      <c r="ABW252" s="90"/>
      <c r="ABX252" s="90"/>
      <c r="ABY252" s="90"/>
      <c r="ABZ252" s="90"/>
      <c r="ACA252" s="90"/>
      <c r="ACB252" s="90"/>
      <c r="ACC252" s="90"/>
      <c r="ACD252" s="90"/>
      <c r="ACE252" s="90"/>
      <c r="ACF252" s="90"/>
      <c r="ACG252" s="90"/>
      <c r="ACH252" s="90"/>
      <c r="ACI252" s="90"/>
      <c r="ACJ252" s="90"/>
      <c r="ACK252" s="90"/>
      <c r="ACL252" s="90"/>
      <c r="ACM252" s="90"/>
      <c r="ACN252" s="90"/>
      <c r="ACO252" s="90"/>
      <c r="ACP252" s="90"/>
      <c r="ACQ252" s="90"/>
      <c r="ACR252" s="90"/>
      <c r="ACS252" s="90"/>
      <c r="ACT252" s="90"/>
      <c r="ACU252" s="90"/>
      <c r="ACV252" s="90"/>
      <c r="ACW252" s="90"/>
      <c r="ACX252" s="90"/>
      <c r="ACY252" s="90"/>
      <c r="ACZ252" s="90"/>
      <c r="ADA252" s="90"/>
      <c r="ADB252" s="90"/>
      <c r="ADC252" s="90"/>
      <c r="ADD252" s="90"/>
      <c r="ADE252" s="90"/>
      <c r="ADF252" s="90"/>
      <c r="ADG252" s="90"/>
      <c r="ADH252" s="90"/>
      <c r="ADI252" s="90"/>
      <c r="ADJ252" s="90"/>
      <c r="ADK252" s="90"/>
      <c r="ADL252" s="90"/>
      <c r="ADM252" s="90"/>
      <c r="ADN252" s="90"/>
      <c r="ADO252" s="90"/>
      <c r="ADP252" s="90"/>
      <c r="ADQ252" s="90"/>
      <c r="ADR252" s="90"/>
      <c r="ADS252" s="90"/>
      <c r="ADT252" s="90"/>
      <c r="ADU252" s="90"/>
      <c r="ADV252" s="90"/>
      <c r="ADW252" s="90"/>
      <c r="ADX252" s="90"/>
      <c r="ADY252" s="90"/>
      <c r="ADZ252" s="90"/>
      <c r="AEA252" s="90"/>
      <c r="AEB252" s="90"/>
      <c r="AEC252" s="90"/>
      <c r="AED252" s="90"/>
      <c r="AEE252" s="90"/>
      <c r="AEF252" s="90"/>
      <c r="AEG252" s="90"/>
      <c r="AEH252" s="90"/>
      <c r="AEI252" s="90"/>
      <c r="AEJ252" s="90"/>
      <c r="AEK252" s="90"/>
      <c r="AEL252" s="90"/>
      <c r="AEM252" s="90"/>
      <c r="AEN252" s="90"/>
      <c r="AEO252" s="90"/>
      <c r="AEP252" s="90"/>
      <c r="AEQ252" s="90"/>
      <c r="AER252" s="90"/>
      <c r="AES252" s="90"/>
      <c r="AET252" s="90"/>
      <c r="AEU252" s="90"/>
      <c r="AEV252" s="90"/>
      <c r="AEW252" s="90"/>
      <c r="AEX252" s="90"/>
      <c r="AEY252" s="90"/>
      <c r="AEZ252" s="90"/>
      <c r="AFA252" s="90"/>
      <c r="AFB252" s="90"/>
      <c r="AFC252" s="90"/>
      <c r="AFD252" s="90"/>
      <c r="AFE252" s="90"/>
      <c r="AFF252" s="90"/>
      <c r="AFG252" s="90"/>
      <c r="AFH252" s="90"/>
      <c r="AFI252" s="90"/>
      <c r="AFJ252" s="90"/>
      <c r="AFK252" s="90"/>
      <c r="AFL252" s="90"/>
      <c r="AFM252" s="90"/>
      <c r="AFN252" s="90"/>
      <c r="AFO252" s="90"/>
      <c r="AFP252" s="90"/>
      <c r="AFQ252" s="90"/>
      <c r="AFR252" s="90"/>
      <c r="AFS252" s="90"/>
      <c r="AFT252" s="90"/>
      <c r="AFU252" s="90"/>
      <c r="AFV252" s="90"/>
      <c r="AFW252" s="90"/>
      <c r="AFX252" s="90"/>
      <c r="AFY252" s="90"/>
      <c r="AFZ252" s="90"/>
      <c r="AGA252" s="90"/>
      <c r="AGB252" s="90"/>
      <c r="AGC252" s="90"/>
      <c r="AGD252" s="90"/>
      <c r="AGE252" s="90"/>
      <c r="AGF252" s="90"/>
      <c r="AGG252" s="90"/>
      <c r="AGH252" s="90"/>
      <c r="AGI252" s="90"/>
      <c r="AGJ252" s="90"/>
      <c r="AGK252" s="90"/>
      <c r="AGL252" s="90"/>
      <c r="AGM252" s="90"/>
      <c r="AGN252" s="90"/>
      <c r="AGO252" s="90"/>
      <c r="AGP252" s="90"/>
      <c r="AGQ252" s="90"/>
      <c r="AGR252" s="90"/>
      <c r="AGS252" s="90"/>
      <c r="AGT252" s="90"/>
      <c r="AGU252" s="90"/>
      <c r="AGV252" s="90"/>
      <c r="AGW252" s="90"/>
      <c r="AGX252" s="90"/>
      <c r="AGY252" s="90"/>
      <c r="AGZ252" s="90"/>
      <c r="AHA252" s="90"/>
      <c r="AHB252" s="90"/>
      <c r="AHC252" s="90"/>
      <c r="AHD252" s="90"/>
      <c r="AHE252" s="90"/>
      <c r="AHF252" s="90"/>
      <c r="AHG252" s="90"/>
      <c r="AHH252" s="90"/>
      <c r="AHI252" s="90"/>
      <c r="AHJ252" s="90"/>
      <c r="AHK252" s="90"/>
      <c r="AHL252" s="90"/>
      <c r="AHM252" s="90"/>
      <c r="AHN252" s="90"/>
      <c r="AHO252" s="90"/>
      <c r="AHP252" s="90"/>
      <c r="AHQ252" s="90"/>
      <c r="AHR252" s="90"/>
      <c r="AHS252" s="90"/>
      <c r="AHT252" s="90"/>
      <c r="AHU252" s="90"/>
      <c r="AHV252" s="90"/>
      <c r="AHW252" s="90"/>
      <c r="AHX252" s="90"/>
      <c r="AHY252" s="90"/>
      <c r="AHZ252" s="90"/>
      <c r="AIA252" s="90"/>
      <c r="AIB252" s="90"/>
      <c r="AIC252" s="90"/>
      <c r="AID252" s="90"/>
      <c r="AIE252" s="90"/>
      <c r="AIF252" s="90"/>
      <c r="AIG252" s="90"/>
      <c r="AIH252" s="90"/>
      <c r="AII252" s="90"/>
      <c r="AIJ252" s="90"/>
      <c r="AIK252" s="90"/>
      <c r="AIL252" s="90"/>
      <c r="AIM252" s="90"/>
      <c r="AIN252" s="90"/>
      <c r="AIO252" s="90"/>
      <c r="AIP252" s="90"/>
      <c r="AIQ252" s="90"/>
      <c r="AIR252" s="90"/>
      <c r="AIS252" s="90"/>
      <c r="AIT252" s="90"/>
      <c r="AIU252" s="90"/>
      <c r="AIV252" s="90"/>
      <c r="AIW252" s="90"/>
      <c r="AIX252" s="90"/>
      <c r="AIY252" s="90"/>
      <c r="AIZ252" s="90"/>
      <c r="AJA252" s="90"/>
      <c r="AJB252" s="90"/>
      <c r="AJC252" s="90"/>
      <c r="AJD252" s="90"/>
      <c r="AJE252" s="90"/>
      <c r="AJF252" s="90"/>
      <c r="AJG252" s="90"/>
      <c r="AJH252" s="90"/>
      <c r="AJI252" s="90"/>
      <c r="AJJ252" s="90"/>
      <c r="AJK252" s="90"/>
      <c r="AJL252" s="90"/>
      <c r="AJM252" s="90"/>
      <c r="AJN252" s="90"/>
      <c r="AJO252" s="90"/>
      <c r="AJP252" s="90"/>
      <c r="AJQ252" s="90"/>
      <c r="AJR252" s="90"/>
      <c r="AJS252" s="90"/>
      <c r="AJT252" s="90"/>
      <c r="AJU252" s="90"/>
      <c r="AJV252" s="90"/>
      <c r="AJW252" s="90"/>
      <c r="AJX252" s="90"/>
      <c r="AJY252" s="90"/>
      <c r="AJZ252" s="90"/>
      <c r="AKA252" s="90"/>
      <c r="AKB252" s="90"/>
      <c r="AKC252" s="90"/>
      <c r="AKD252" s="90"/>
      <c r="AKE252" s="90"/>
      <c r="AKF252" s="90"/>
      <c r="AKG252" s="90"/>
      <c r="AKH252" s="90"/>
      <c r="AKI252" s="90"/>
      <c r="AKJ252" s="90"/>
      <c r="AKK252" s="90"/>
      <c r="AKL252" s="90"/>
      <c r="AKM252" s="90"/>
      <c r="AKN252" s="90"/>
      <c r="AKO252" s="90"/>
      <c r="AKP252" s="90"/>
      <c r="AKQ252" s="90"/>
      <c r="AKR252" s="90"/>
      <c r="AKS252" s="90"/>
      <c r="AKT252" s="90"/>
      <c r="AKU252" s="90"/>
      <c r="AKV252" s="90"/>
      <c r="AKW252" s="90"/>
      <c r="AKX252" s="90"/>
      <c r="AKY252" s="90"/>
      <c r="AKZ252" s="90"/>
      <c r="ALA252" s="90"/>
      <c r="ALB252" s="90"/>
      <c r="ALC252" s="90"/>
      <c r="ALD252" s="90"/>
      <c r="ALE252" s="90"/>
      <c r="ALF252" s="90"/>
      <c r="ALG252" s="90"/>
      <c r="ALH252" s="90"/>
      <c r="ALI252" s="90"/>
      <c r="ALJ252" s="90"/>
      <c r="ALK252" s="90"/>
      <c r="ALL252" s="90"/>
      <c r="ALM252" s="90"/>
      <c r="ALN252" s="90"/>
      <c r="ALO252" s="90"/>
      <c r="ALP252" s="90"/>
      <c r="ALQ252" s="90"/>
      <c r="ALR252" s="90"/>
      <c r="ALS252" s="90"/>
      <c r="ALT252" s="90"/>
      <c r="ALU252" s="90"/>
      <c r="ALV252" s="90"/>
      <c r="ALW252" s="90"/>
      <c r="ALX252" s="90"/>
      <c r="ALY252" s="90"/>
      <c r="ALZ252" s="90"/>
      <c r="AMA252" s="90"/>
      <c r="AMB252" s="90"/>
      <c r="AMC252" s="90"/>
    </row>
    <row r="253" spans="1:1017">
      <c r="A253" s="98" t="s">
        <v>51</v>
      </c>
      <c r="B253" s="90" t="str">
        <f t="shared" si="1582"/>
        <v>Kerapu Macan</v>
      </c>
      <c r="C253" s="610"/>
      <c r="D253" s="610"/>
      <c r="Q253" s="91">
        <f t="shared" si="1583"/>
        <v>0</v>
      </c>
      <c r="R253" s="91">
        <f t="shared" si="1584"/>
        <v>0</v>
      </c>
      <c r="S253" s="610"/>
      <c r="T253" s="610"/>
      <c r="AG253" s="91">
        <f t="shared" si="1585"/>
        <v>0</v>
      </c>
      <c r="AH253" s="91">
        <f t="shared" si="1586"/>
        <v>0</v>
      </c>
      <c r="AI253" s="610"/>
      <c r="AJ253" s="610"/>
      <c r="AW253" s="91">
        <f t="shared" si="1587"/>
        <v>0</v>
      </c>
      <c r="AX253" s="91">
        <f t="shared" si="1588"/>
        <v>0</v>
      </c>
      <c r="AY253" s="610"/>
      <c r="AZ253" s="610"/>
      <c r="BM253" s="91">
        <f t="shared" si="1589"/>
        <v>0</v>
      </c>
      <c r="BN253" s="91">
        <f t="shared" si="1590"/>
        <v>0</v>
      </c>
      <c r="BO253" s="610"/>
      <c r="BP253" s="610"/>
      <c r="CC253" s="91">
        <f t="shared" si="1591"/>
        <v>0</v>
      </c>
      <c r="CD253" s="91">
        <f t="shared" si="1592"/>
        <v>0</v>
      </c>
      <c r="CE253" s="610"/>
      <c r="CF253" s="797"/>
      <c r="CS253" s="91">
        <f t="shared" si="1593"/>
        <v>0</v>
      </c>
      <c r="CT253" s="91">
        <f t="shared" si="1594"/>
        <v>0</v>
      </c>
      <c r="CU253" s="610"/>
      <c r="CV253" s="610"/>
      <c r="DI253" s="91">
        <f t="shared" si="1595"/>
        <v>0</v>
      </c>
      <c r="DJ253" s="91">
        <f t="shared" si="1596"/>
        <v>0</v>
      </c>
      <c r="DK253" s="610"/>
      <c r="DL253" s="610"/>
      <c r="DY253" s="91">
        <f t="shared" si="1597"/>
        <v>0</v>
      </c>
      <c r="DZ253" s="91">
        <f t="shared" si="1598"/>
        <v>0</v>
      </c>
      <c r="EA253" s="610"/>
      <c r="EB253" s="610"/>
      <c r="EO253" s="91">
        <f t="shared" si="1599"/>
        <v>0</v>
      </c>
      <c r="EP253" s="91">
        <f t="shared" si="1600"/>
        <v>0</v>
      </c>
      <c r="EQ253" s="610"/>
      <c r="ER253" s="610"/>
      <c r="FE253" s="91">
        <f t="shared" si="1601"/>
        <v>0</v>
      </c>
      <c r="FF253" s="91">
        <f t="shared" si="1602"/>
        <v>0</v>
      </c>
      <c r="FG253" s="610"/>
      <c r="FH253" s="610"/>
      <c r="FU253" s="91">
        <f t="shared" si="1603"/>
        <v>0</v>
      </c>
      <c r="FV253" s="91">
        <f t="shared" si="1604"/>
        <v>0</v>
      </c>
      <c r="FW253" s="610"/>
      <c r="FX253" s="610"/>
      <c r="GK253" s="91">
        <f t="shared" si="1605"/>
        <v>0</v>
      </c>
      <c r="GL253" s="91">
        <f t="shared" si="1606"/>
        <v>0</v>
      </c>
      <c r="GM253" s="610"/>
      <c r="GN253" s="610"/>
      <c r="HA253" s="91">
        <f t="shared" si="1607"/>
        <v>0</v>
      </c>
      <c r="HB253" s="91">
        <f t="shared" si="1608"/>
        <v>0</v>
      </c>
      <c r="HC253" s="610"/>
      <c r="HD253" s="610"/>
      <c r="HQ253" s="91">
        <f t="shared" si="1609"/>
        <v>0</v>
      </c>
      <c r="HR253" s="91">
        <f t="shared" si="1610"/>
        <v>0</v>
      </c>
      <c r="HS253" s="610"/>
      <c r="HT253" s="610"/>
      <c r="IG253" s="91">
        <f t="shared" si="1611"/>
        <v>0</v>
      </c>
      <c r="IH253" s="91">
        <f t="shared" si="1612"/>
        <v>0</v>
      </c>
      <c r="II253" s="610"/>
      <c r="IJ253" s="610"/>
      <c r="IW253" s="91">
        <f t="shared" si="1613"/>
        <v>0</v>
      </c>
      <c r="IX253" s="91">
        <f t="shared" si="1614"/>
        <v>0</v>
      </c>
      <c r="IY253" s="610"/>
      <c r="IZ253" s="610"/>
      <c r="JM253" s="91">
        <f t="shared" si="1615"/>
        <v>0</v>
      </c>
      <c r="JN253" s="91">
        <f t="shared" si="1616"/>
        <v>0</v>
      </c>
      <c r="JO253" s="610"/>
      <c r="JP253" s="610"/>
      <c r="KC253" s="91">
        <f t="shared" si="1617"/>
        <v>0</v>
      </c>
      <c r="KD253" s="91">
        <f t="shared" si="1618"/>
        <v>0</v>
      </c>
      <c r="KE253" s="610"/>
      <c r="KF253" s="610"/>
      <c r="KS253" s="91">
        <f t="shared" si="1619"/>
        <v>0</v>
      </c>
      <c r="KT253" s="91">
        <f t="shared" si="1620"/>
        <v>0</v>
      </c>
      <c r="KU253" s="610"/>
      <c r="KV253" s="610"/>
      <c r="LI253" s="91">
        <f t="shared" si="1621"/>
        <v>0</v>
      </c>
      <c r="LJ253" s="91">
        <f t="shared" si="1622"/>
        <v>0</v>
      </c>
      <c r="LK253" s="610"/>
      <c r="LL253" s="610"/>
      <c r="LY253" s="91">
        <f t="shared" si="1623"/>
        <v>0</v>
      </c>
      <c r="LZ253" s="91">
        <f t="shared" si="1624"/>
        <v>0</v>
      </c>
      <c r="MO253" s="91">
        <f>SUMIF($C$12:$P$12,$A$1,MA253:MN253)</f>
        <v>0</v>
      </c>
      <c r="MP253" s="91">
        <f>SUMIF($C$12:$P$12,$A$3,MA253:MN253)</f>
        <v>0</v>
      </c>
      <c r="MQ253" s="610"/>
      <c r="MR253" s="610"/>
      <c r="NE253" s="91">
        <f t="shared" si="1627"/>
        <v>0</v>
      </c>
      <c r="NF253" s="91">
        <f t="shared" si="1628"/>
        <v>0</v>
      </c>
      <c r="NG253" s="610"/>
      <c r="NH253" s="610"/>
      <c r="NU253" s="91">
        <f t="shared" si="1629"/>
        <v>0</v>
      </c>
      <c r="NV253" s="91">
        <f t="shared" si="1630"/>
        <v>0</v>
      </c>
      <c r="NW253" s="610"/>
      <c r="NX253" s="610"/>
      <c r="OK253" s="91">
        <f t="shared" si="1631"/>
        <v>0</v>
      </c>
      <c r="OL253" s="91">
        <f t="shared" si="1632"/>
        <v>0</v>
      </c>
      <c r="OM253" s="610">
        <v>27354</v>
      </c>
      <c r="ON253" s="610">
        <v>16412400</v>
      </c>
      <c r="PA253" s="91">
        <f>SUMIF($C$12:$P$12,$A$1,OM253:OZ253)</f>
        <v>27354</v>
      </c>
      <c r="PB253" s="91">
        <f>SUMIF($C$12:$P$12,$A$3,OM253:OZ253)</f>
        <v>16412400</v>
      </c>
      <c r="PC253" s="610"/>
      <c r="PD253" s="610"/>
      <c r="PQ253" s="91">
        <f t="shared" si="1635"/>
        <v>0</v>
      </c>
      <c r="PR253" s="91">
        <f t="shared" si="1636"/>
        <v>0</v>
      </c>
      <c r="PS253" s="610"/>
      <c r="PT253" s="610"/>
      <c r="QG253" s="91">
        <f t="shared" si="1637"/>
        <v>0</v>
      </c>
      <c r="QH253" s="91">
        <f t="shared" si="1638"/>
        <v>0</v>
      </c>
      <c r="QI253" s="610"/>
      <c r="QJ253" s="610"/>
      <c r="QW253" s="91">
        <f t="shared" si="1639"/>
        <v>0</v>
      </c>
      <c r="QX253" s="91">
        <f t="shared" si="1640"/>
        <v>0</v>
      </c>
      <c r="QY253" s="610"/>
      <c r="QZ253" s="610"/>
      <c r="RM253" s="91">
        <f t="shared" si="1641"/>
        <v>0</v>
      </c>
      <c r="RN253" s="91">
        <f t="shared" si="1642"/>
        <v>0</v>
      </c>
      <c r="RO253" s="610"/>
      <c r="RP253" s="610"/>
      <c r="SC253" s="91">
        <f t="shared" si="1643"/>
        <v>0</v>
      </c>
      <c r="SD253" s="91">
        <f t="shared" si="1644"/>
        <v>0</v>
      </c>
      <c r="SE253" s="610"/>
      <c r="SF253" s="610"/>
      <c r="SS253" s="91">
        <f t="shared" si="1645"/>
        <v>0</v>
      </c>
      <c r="ST253" s="91">
        <f t="shared" si="1646"/>
        <v>0</v>
      </c>
      <c r="SU253" s="610"/>
      <c r="SV253" s="610"/>
      <c r="TI253" s="91">
        <f t="shared" si="1647"/>
        <v>0</v>
      </c>
      <c r="TJ253" s="91">
        <f t="shared" si="1648"/>
        <v>0</v>
      </c>
      <c r="TK253" s="610"/>
      <c r="TL253" s="610"/>
      <c r="TY253" s="91">
        <f t="shared" si="1649"/>
        <v>0</v>
      </c>
      <c r="TZ253" s="91">
        <f t="shared" si="1650"/>
        <v>0</v>
      </c>
      <c r="UA253" s="610"/>
      <c r="UB253" s="610"/>
      <c r="UO253" s="91">
        <f t="shared" si="1651"/>
        <v>0</v>
      </c>
      <c r="UP253" s="91">
        <f t="shared" si="1652"/>
        <v>0</v>
      </c>
      <c r="UQ253" s="610"/>
      <c r="UR253" s="610"/>
      <c r="VE253" s="91">
        <f t="shared" si="1653"/>
        <v>0</v>
      </c>
      <c r="VF253" s="91">
        <f t="shared" si="1654"/>
        <v>0</v>
      </c>
      <c r="VG253" s="610"/>
      <c r="VH253" s="610"/>
      <c r="VU253" s="91">
        <f t="shared" si="1655"/>
        <v>0</v>
      </c>
      <c r="VV253" s="91">
        <f t="shared" si="1656"/>
        <v>0</v>
      </c>
      <c r="VW253" s="610"/>
      <c r="VX253" s="610"/>
      <c r="WK253" s="91">
        <f t="shared" si="1657"/>
        <v>0</v>
      </c>
      <c r="WL253" s="91">
        <f t="shared" si="1658"/>
        <v>0</v>
      </c>
      <c r="WM253" s="89"/>
      <c r="WN253" s="87">
        <f t="shared" si="1659"/>
        <v>27354</v>
      </c>
      <c r="WO253" s="87">
        <f t="shared" si="1660"/>
        <v>16412400</v>
      </c>
      <c r="WP253" s="87">
        <f t="shared" si="1661"/>
        <v>0</v>
      </c>
      <c r="WQ253" s="87">
        <f t="shared" si="1662"/>
        <v>0</v>
      </c>
      <c r="WR253" s="87">
        <f t="shared" si="1663"/>
        <v>0</v>
      </c>
      <c r="WS253" s="87">
        <f t="shared" si="1664"/>
        <v>0</v>
      </c>
      <c r="WT253" s="87">
        <f t="shared" si="1665"/>
        <v>0</v>
      </c>
      <c r="WU253" s="87">
        <f t="shared" si="1666"/>
        <v>0</v>
      </c>
      <c r="WV253" s="87">
        <f t="shared" si="1667"/>
        <v>0</v>
      </c>
      <c r="WW253" s="87">
        <f t="shared" si="1668"/>
        <v>0</v>
      </c>
      <c r="WX253" s="87">
        <f t="shared" si="1669"/>
        <v>0</v>
      </c>
      <c r="WY253" s="87">
        <f t="shared" si="1670"/>
        <v>0</v>
      </c>
      <c r="WZ253" s="87">
        <f t="shared" si="1671"/>
        <v>0</v>
      </c>
      <c r="XA253" s="87">
        <f t="shared" si="1672"/>
        <v>0</v>
      </c>
      <c r="XB253" s="92">
        <f t="shared" si="1673"/>
        <v>27354</v>
      </c>
      <c r="XC253" s="92">
        <f t="shared" si="1674"/>
        <v>16412400</v>
      </c>
      <c r="XD253" s="89"/>
      <c r="XE253" s="92"/>
      <c r="XF253" s="92"/>
      <c r="XG253" s="89"/>
      <c r="XH253" s="92"/>
      <c r="XI253" s="92"/>
      <c r="XJ253" s="89"/>
      <c r="XK253" s="87"/>
      <c r="XL253" s="87"/>
      <c r="XM253" s="87"/>
      <c r="XN253" s="87"/>
      <c r="XO253" s="87"/>
      <c r="XP253" s="87"/>
      <c r="XQ253" s="87"/>
      <c r="XR253" s="92">
        <f t="shared" ca="1" si="1675"/>
        <v>0</v>
      </c>
      <c r="XS253" s="89"/>
      <c r="XT253" s="87"/>
      <c r="XU253" s="87"/>
      <c r="XV253" s="87"/>
      <c r="XW253" s="87"/>
      <c r="XX253" s="87"/>
      <c r="XY253" s="87"/>
      <c r="XZ253" s="87"/>
      <c r="YA253" s="92">
        <f t="shared" ca="1" si="1676"/>
        <v>0</v>
      </c>
      <c r="YB253" s="90"/>
      <c r="YC253" s="90"/>
      <c r="YD253" s="90"/>
      <c r="YE253" s="90"/>
      <c r="YF253" s="90"/>
      <c r="YG253" s="90"/>
      <c r="YH253" s="90"/>
      <c r="YI253" s="90"/>
      <c r="YJ253" s="90"/>
      <c r="YK253" s="90"/>
      <c r="YL253" s="90"/>
      <c r="YM253" s="90"/>
      <c r="YN253" s="90"/>
      <c r="YO253" s="90"/>
      <c r="YP253" s="90"/>
      <c r="YQ253" s="90"/>
      <c r="YR253" s="90"/>
      <c r="YS253" s="90"/>
      <c r="YT253" s="90"/>
      <c r="YU253" s="90"/>
      <c r="YV253" s="90"/>
      <c r="YW253" s="90"/>
      <c r="YX253" s="90"/>
      <c r="YY253" s="90"/>
      <c r="YZ253" s="90"/>
      <c r="ZA253" s="90"/>
      <c r="ZB253" s="90"/>
      <c r="ZC253" s="90"/>
      <c r="ZD253" s="90"/>
      <c r="ZE253" s="90"/>
      <c r="ZF253" s="90"/>
      <c r="ZG253" s="90"/>
      <c r="ZH253" s="90"/>
      <c r="ZI253" s="90"/>
      <c r="ZJ253" s="90"/>
      <c r="ZK253" s="90"/>
      <c r="ZL253" s="90"/>
      <c r="ZM253" s="90"/>
      <c r="ZN253" s="90"/>
      <c r="ZO253" s="90"/>
      <c r="ZP253" s="90"/>
      <c r="ZQ253" s="90"/>
      <c r="ZR253" s="90"/>
      <c r="ZS253" s="90"/>
      <c r="ZT253" s="90"/>
      <c r="ZU253" s="90"/>
      <c r="ZV253" s="90"/>
      <c r="ZW253" s="90"/>
      <c r="ZX253" s="90"/>
      <c r="ZY253" s="90"/>
      <c r="ZZ253" s="90"/>
      <c r="AAA253" s="90"/>
      <c r="AAB253" s="90"/>
      <c r="AAC253" s="90"/>
      <c r="AAD253" s="90"/>
      <c r="AAE253" s="90"/>
      <c r="AAF253" s="90"/>
      <c r="AAG253" s="90"/>
      <c r="AAH253" s="90"/>
      <c r="AAI253" s="90"/>
      <c r="AAJ253" s="90"/>
      <c r="AAK253" s="90"/>
      <c r="AAL253" s="90"/>
      <c r="AAM253" s="90"/>
      <c r="AAN253" s="90"/>
      <c r="AAO253" s="90"/>
      <c r="AAP253" s="90"/>
      <c r="AAQ253" s="90"/>
      <c r="AAR253" s="90"/>
      <c r="AAS253" s="90"/>
      <c r="AAT253" s="90"/>
      <c r="AAU253" s="90"/>
      <c r="AAV253" s="90"/>
      <c r="AAW253" s="90"/>
      <c r="AAX253" s="90"/>
      <c r="AAY253" s="90"/>
      <c r="AAZ253" s="90"/>
      <c r="ABA253" s="90"/>
      <c r="ABB253" s="90"/>
      <c r="ABC253" s="90"/>
      <c r="ABD253" s="90"/>
      <c r="ABE253" s="90"/>
      <c r="ABF253" s="90"/>
      <c r="ABG253" s="90"/>
      <c r="ABH253" s="90"/>
      <c r="ABI253" s="90"/>
      <c r="ABJ253" s="90"/>
      <c r="ABK253" s="90"/>
      <c r="ABL253" s="90"/>
      <c r="ABM253" s="90"/>
      <c r="ABN253" s="90"/>
      <c r="ABO253" s="90"/>
      <c r="ABP253" s="90"/>
      <c r="ABQ253" s="90"/>
      <c r="ABR253" s="90"/>
      <c r="ABS253" s="90"/>
      <c r="ABT253" s="90"/>
      <c r="ABU253" s="90"/>
      <c r="ABV253" s="90"/>
      <c r="ABW253" s="90"/>
      <c r="ABX253" s="90"/>
      <c r="ABY253" s="90"/>
      <c r="ABZ253" s="90"/>
      <c r="ACA253" s="90"/>
      <c r="ACB253" s="90"/>
      <c r="ACC253" s="90"/>
      <c r="ACD253" s="90"/>
      <c r="ACE253" s="90"/>
      <c r="ACF253" s="90"/>
      <c r="ACG253" s="90"/>
      <c r="ACH253" s="90"/>
      <c r="ACI253" s="90"/>
      <c r="ACJ253" s="90"/>
      <c r="ACK253" s="90"/>
      <c r="ACL253" s="90"/>
      <c r="ACM253" s="90"/>
      <c r="ACN253" s="90"/>
      <c r="ACO253" s="90"/>
      <c r="ACP253" s="90"/>
      <c r="ACQ253" s="90"/>
      <c r="ACR253" s="90"/>
      <c r="ACS253" s="90"/>
      <c r="ACT253" s="90"/>
      <c r="ACU253" s="90"/>
      <c r="ACV253" s="90"/>
      <c r="ACW253" s="90"/>
      <c r="ACX253" s="90"/>
      <c r="ACY253" s="90"/>
      <c r="ACZ253" s="90"/>
      <c r="ADA253" s="90"/>
      <c r="ADB253" s="90"/>
      <c r="ADC253" s="90"/>
      <c r="ADD253" s="90"/>
      <c r="ADE253" s="90"/>
      <c r="ADF253" s="90"/>
      <c r="ADG253" s="90"/>
      <c r="ADH253" s="90"/>
      <c r="ADI253" s="90"/>
      <c r="ADJ253" s="90"/>
      <c r="ADK253" s="90"/>
      <c r="ADL253" s="90"/>
      <c r="ADM253" s="90"/>
      <c r="ADN253" s="90"/>
      <c r="ADO253" s="90"/>
      <c r="ADP253" s="90"/>
      <c r="ADQ253" s="90"/>
      <c r="ADR253" s="90"/>
      <c r="ADS253" s="90"/>
      <c r="ADT253" s="90"/>
      <c r="ADU253" s="90"/>
      <c r="ADV253" s="90"/>
      <c r="ADW253" s="90"/>
      <c r="ADX253" s="90"/>
      <c r="ADY253" s="90"/>
      <c r="ADZ253" s="90"/>
      <c r="AEA253" s="90"/>
      <c r="AEB253" s="90"/>
      <c r="AEC253" s="90"/>
      <c r="AED253" s="90"/>
      <c r="AEE253" s="90"/>
      <c r="AEF253" s="90"/>
      <c r="AEG253" s="90"/>
      <c r="AEH253" s="90"/>
      <c r="AEI253" s="90"/>
      <c r="AEJ253" s="90"/>
      <c r="AEK253" s="90"/>
      <c r="AEL253" s="90"/>
      <c r="AEM253" s="90"/>
      <c r="AEN253" s="90"/>
      <c r="AEO253" s="90"/>
      <c r="AEP253" s="90"/>
      <c r="AEQ253" s="90"/>
      <c r="AER253" s="90"/>
      <c r="AES253" s="90"/>
      <c r="AET253" s="90"/>
      <c r="AEU253" s="90"/>
      <c r="AEV253" s="90"/>
      <c r="AEW253" s="90"/>
      <c r="AEX253" s="90"/>
      <c r="AEY253" s="90"/>
      <c r="AEZ253" s="90"/>
      <c r="AFA253" s="90"/>
      <c r="AFB253" s="90"/>
      <c r="AFC253" s="90"/>
      <c r="AFD253" s="90"/>
      <c r="AFE253" s="90"/>
      <c r="AFF253" s="90"/>
      <c r="AFG253" s="90"/>
      <c r="AFH253" s="90"/>
      <c r="AFI253" s="90"/>
      <c r="AFJ253" s="90"/>
      <c r="AFK253" s="90"/>
      <c r="AFL253" s="90"/>
      <c r="AFM253" s="90"/>
      <c r="AFN253" s="90"/>
      <c r="AFO253" s="90"/>
      <c r="AFP253" s="90"/>
      <c r="AFQ253" s="90"/>
      <c r="AFR253" s="90"/>
      <c r="AFS253" s="90"/>
      <c r="AFT253" s="90"/>
      <c r="AFU253" s="90"/>
      <c r="AFV253" s="90"/>
      <c r="AFW253" s="90"/>
      <c r="AFX253" s="90"/>
      <c r="AFY253" s="90"/>
      <c r="AFZ253" s="90"/>
      <c r="AGA253" s="90"/>
      <c r="AGB253" s="90"/>
      <c r="AGC253" s="90"/>
      <c r="AGD253" s="90"/>
      <c r="AGE253" s="90"/>
      <c r="AGF253" s="90"/>
      <c r="AGG253" s="90"/>
      <c r="AGH253" s="90"/>
      <c r="AGI253" s="90"/>
      <c r="AGJ253" s="90"/>
      <c r="AGK253" s="90"/>
      <c r="AGL253" s="90"/>
      <c r="AGM253" s="90"/>
      <c r="AGN253" s="90"/>
      <c r="AGO253" s="90"/>
      <c r="AGP253" s="90"/>
      <c r="AGQ253" s="90"/>
      <c r="AGR253" s="90"/>
      <c r="AGS253" s="90"/>
      <c r="AGT253" s="90"/>
      <c r="AGU253" s="90"/>
      <c r="AGV253" s="90"/>
      <c r="AGW253" s="90"/>
      <c r="AGX253" s="90"/>
      <c r="AGY253" s="90"/>
      <c r="AGZ253" s="90"/>
      <c r="AHA253" s="90"/>
      <c r="AHB253" s="90"/>
      <c r="AHC253" s="90"/>
      <c r="AHD253" s="90"/>
      <c r="AHE253" s="90"/>
      <c r="AHF253" s="90"/>
      <c r="AHG253" s="90"/>
      <c r="AHH253" s="90"/>
      <c r="AHI253" s="90"/>
      <c r="AHJ253" s="90"/>
      <c r="AHK253" s="90"/>
      <c r="AHL253" s="90"/>
      <c r="AHM253" s="90"/>
      <c r="AHN253" s="90"/>
      <c r="AHO253" s="90"/>
      <c r="AHP253" s="90"/>
      <c r="AHQ253" s="90"/>
      <c r="AHR253" s="90"/>
      <c r="AHS253" s="90"/>
      <c r="AHT253" s="90"/>
      <c r="AHU253" s="90"/>
      <c r="AHV253" s="90"/>
      <c r="AHW253" s="90"/>
      <c r="AHX253" s="90"/>
      <c r="AHY253" s="90"/>
      <c r="AHZ253" s="90"/>
      <c r="AIA253" s="90"/>
      <c r="AIB253" s="90"/>
      <c r="AIC253" s="90"/>
      <c r="AID253" s="90"/>
      <c r="AIE253" s="90"/>
      <c r="AIF253" s="90"/>
      <c r="AIG253" s="90"/>
      <c r="AIH253" s="90"/>
      <c r="AII253" s="90"/>
      <c r="AIJ253" s="90"/>
      <c r="AIK253" s="90"/>
      <c r="AIL253" s="90"/>
      <c r="AIM253" s="90"/>
      <c r="AIN253" s="90"/>
      <c r="AIO253" s="90"/>
      <c r="AIP253" s="90"/>
      <c r="AIQ253" s="90"/>
      <c r="AIR253" s="90"/>
      <c r="AIS253" s="90"/>
      <c r="AIT253" s="90"/>
      <c r="AIU253" s="90"/>
      <c r="AIV253" s="90"/>
      <c r="AIW253" s="90"/>
      <c r="AIX253" s="90"/>
      <c r="AIY253" s="90"/>
      <c r="AIZ253" s="90"/>
      <c r="AJA253" s="90"/>
      <c r="AJB253" s="90"/>
      <c r="AJC253" s="90"/>
      <c r="AJD253" s="90"/>
      <c r="AJE253" s="90"/>
      <c r="AJF253" s="90"/>
      <c r="AJG253" s="90"/>
      <c r="AJH253" s="90"/>
      <c r="AJI253" s="90"/>
      <c r="AJJ253" s="90"/>
      <c r="AJK253" s="90"/>
      <c r="AJL253" s="90"/>
      <c r="AJM253" s="90"/>
      <c r="AJN253" s="90"/>
      <c r="AJO253" s="90"/>
      <c r="AJP253" s="90"/>
      <c r="AJQ253" s="90"/>
      <c r="AJR253" s="90"/>
      <c r="AJS253" s="90"/>
      <c r="AJT253" s="90"/>
      <c r="AJU253" s="90"/>
      <c r="AJV253" s="90"/>
      <c r="AJW253" s="90"/>
      <c r="AJX253" s="90"/>
      <c r="AJY253" s="90"/>
      <c r="AJZ253" s="90"/>
      <c r="AKA253" s="90"/>
      <c r="AKB253" s="90"/>
      <c r="AKC253" s="90"/>
      <c r="AKD253" s="90"/>
      <c r="AKE253" s="90"/>
      <c r="AKF253" s="90"/>
      <c r="AKG253" s="90"/>
      <c r="AKH253" s="90"/>
      <c r="AKI253" s="90"/>
      <c r="AKJ253" s="90"/>
      <c r="AKK253" s="90"/>
      <c r="AKL253" s="90"/>
      <c r="AKM253" s="90"/>
      <c r="AKN253" s="90"/>
      <c r="AKO253" s="90"/>
      <c r="AKP253" s="90"/>
      <c r="AKQ253" s="90"/>
      <c r="AKR253" s="90"/>
      <c r="AKS253" s="90"/>
      <c r="AKT253" s="90"/>
      <c r="AKU253" s="90"/>
      <c r="AKV253" s="90"/>
      <c r="AKW253" s="90"/>
      <c r="AKX253" s="90"/>
      <c r="AKY253" s="90"/>
      <c r="AKZ253" s="90"/>
      <c r="ALA253" s="90"/>
      <c r="ALB253" s="90"/>
      <c r="ALC253" s="90"/>
      <c r="ALD253" s="90"/>
      <c r="ALE253" s="90"/>
      <c r="ALF253" s="90"/>
      <c r="ALG253" s="90"/>
      <c r="ALH253" s="90"/>
      <c r="ALI253" s="90"/>
      <c r="ALJ253" s="90"/>
      <c r="ALK253" s="90"/>
      <c r="ALL253" s="90"/>
      <c r="ALM253" s="90"/>
      <c r="ALN253" s="90"/>
      <c r="ALO253" s="90"/>
      <c r="ALP253" s="90"/>
      <c r="ALQ253" s="90"/>
      <c r="ALR253" s="90"/>
      <c r="ALS253" s="90"/>
      <c r="ALT253" s="90"/>
      <c r="ALU253" s="90"/>
      <c r="ALV253" s="90"/>
      <c r="ALW253" s="90"/>
      <c r="ALX253" s="90"/>
      <c r="ALY253" s="90"/>
      <c r="ALZ253" s="90"/>
      <c r="AMA253" s="90"/>
      <c r="AMB253" s="90"/>
      <c r="AMC253" s="90"/>
    </row>
    <row r="254" spans="1:1017">
      <c r="A254" s="98" t="s">
        <v>51</v>
      </c>
      <c r="B254" s="90" t="str">
        <f t="shared" si="1582"/>
        <v>Kerong Kerong</v>
      </c>
      <c r="J254" s="611"/>
      <c r="Q254" s="91">
        <f t="shared" si="1583"/>
        <v>0</v>
      </c>
      <c r="R254" s="91">
        <f t="shared" si="1584"/>
        <v>0</v>
      </c>
      <c r="Z254" s="611"/>
      <c r="AG254" s="91">
        <f t="shared" si="1585"/>
        <v>0</v>
      </c>
      <c r="AH254" s="91">
        <f t="shared" si="1586"/>
        <v>0</v>
      </c>
      <c r="AP254" s="611"/>
      <c r="AW254" s="91">
        <f t="shared" si="1587"/>
        <v>0</v>
      </c>
      <c r="AX254" s="91">
        <f t="shared" si="1588"/>
        <v>0</v>
      </c>
      <c r="BF254" s="611"/>
      <c r="BM254" s="91">
        <f t="shared" si="1589"/>
        <v>0</v>
      </c>
      <c r="BN254" s="91">
        <f t="shared" si="1590"/>
        <v>0</v>
      </c>
      <c r="BV254" s="611"/>
      <c r="CC254" s="91">
        <f t="shared" si="1591"/>
        <v>0</v>
      </c>
      <c r="CD254" s="91">
        <f t="shared" si="1592"/>
        <v>0</v>
      </c>
      <c r="CL254" s="611"/>
      <c r="CS254" s="91">
        <f t="shared" si="1593"/>
        <v>0</v>
      </c>
      <c r="CT254" s="91">
        <f t="shared" si="1594"/>
        <v>0</v>
      </c>
      <c r="DB254" s="611"/>
      <c r="DI254" s="91">
        <f t="shared" si="1595"/>
        <v>0</v>
      </c>
      <c r="DJ254" s="91">
        <f t="shared" si="1596"/>
        <v>0</v>
      </c>
      <c r="DR254" s="611"/>
      <c r="DY254" s="91">
        <f t="shared" si="1597"/>
        <v>0</v>
      </c>
      <c r="DZ254" s="91">
        <f t="shared" si="1598"/>
        <v>0</v>
      </c>
      <c r="EH254" s="611"/>
      <c r="EO254" s="91">
        <f t="shared" si="1599"/>
        <v>0</v>
      </c>
      <c r="EP254" s="91">
        <f t="shared" si="1600"/>
        <v>0</v>
      </c>
      <c r="EX254" s="611"/>
      <c r="FE254" s="91">
        <f t="shared" si="1601"/>
        <v>0</v>
      </c>
      <c r="FF254" s="91">
        <f t="shared" si="1602"/>
        <v>0</v>
      </c>
      <c r="FN254" s="611"/>
      <c r="FU254" s="91">
        <f t="shared" si="1603"/>
        <v>0</v>
      </c>
      <c r="FV254" s="91">
        <f t="shared" si="1604"/>
        <v>0</v>
      </c>
      <c r="GD254" s="611"/>
      <c r="GK254" s="91">
        <f t="shared" si="1605"/>
        <v>0</v>
      </c>
      <c r="GL254" s="91">
        <f t="shared" si="1606"/>
        <v>0</v>
      </c>
      <c r="GT254" s="611"/>
      <c r="HA254" s="91">
        <f t="shared" si="1607"/>
        <v>0</v>
      </c>
      <c r="HB254" s="91">
        <f t="shared" si="1608"/>
        <v>0</v>
      </c>
      <c r="HJ254" s="611"/>
      <c r="HQ254" s="91">
        <f t="shared" si="1609"/>
        <v>0</v>
      </c>
      <c r="HR254" s="91">
        <f t="shared" si="1610"/>
        <v>0</v>
      </c>
      <c r="HZ254" s="611"/>
      <c r="IG254" s="91">
        <f t="shared" si="1611"/>
        <v>0</v>
      </c>
      <c r="IH254" s="91">
        <f t="shared" si="1612"/>
        <v>0</v>
      </c>
      <c r="IP254" s="611"/>
      <c r="IW254" s="91">
        <f t="shared" si="1613"/>
        <v>0</v>
      </c>
      <c r="IX254" s="91">
        <f t="shared" si="1614"/>
        <v>0</v>
      </c>
      <c r="JF254" s="611"/>
      <c r="JM254" s="91">
        <f t="shared" si="1615"/>
        <v>0</v>
      </c>
      <c r="JN254" s="91">
        <f t="shared" si="1616"/>
        <v>0</v>
      </c>
      <c r="JV254" s="611"/>
      <c r="KC254" s="91">
        <f t="shared" si="1617"/>
        <v>0</v>
      </c>
      <c r="KD254" s="91">
        <f t="shared" si="1618"/>
        <v>0</v>
      </c>
      <c r="KL254" s="611"/>
      <c r="KS254" s="91">
        <f t="shared" si="1619"/>
        <v>0</v>
      </c>
      <c r="KT254" s="91">
        <f t="shared" si="1620"/>
        <v>0</v>
      </c>
      <c r="LB254" s="611"/>
      <c r="LI254" s="91">
        <f t="shared" si="1621"/>
        <v>0</v>
      </c>
      <c r="LJ254" s="91">
        <f t="shared" si="1622"/>
        <v>0</v>
      </c>
      <c r="LR254" s="611"/>
      <c r="LY254" s="91">
        <f t="shared" si="1623"/>
        <v>0</v>
      </c>
      <c r="LZ254" s="91">
        <f t="shared" si="1624"/>
        <v>0</v>
      </c>
      <c r="MH254" s="611"/>
      <c r="MO254" s="91">
        <f t="shared" si="1625"/>
        <v>0</v>
      </c>
      <c r="MP254" s="91">
        <f t="shared" si="1626"/>
        <v>0</v>
      </c>
      <c r="MX254" s="611"/>
      <c r="NE254" s="91">
        <f t="shared" si="1627"/>
        <v>0</v>
      </c>
      <c r="NF254" s="91">
        <f t="shared" si="1628"/>
        <v>0</v>
      </c>
      <c r="NN254" s="611"/>
      <c r="NU254" s="91">
        <f t="shared" si="1629"/>
        <v>0</v>
      </c>
      <c r="NV254" s="91">
        <f t="shared" si="1630"/>
        <v>0</v>
      </c>
      <c r="OD254" s="611"/>
      <c r="OK254" s="91">
        <f t="shared" si="1631"/>
        <v>0</v>
      </c>
      <c r="OL254" s="91">
        <f t="shared" si="1632"/>
        <v>0</v>
      </c>
      <c r="OT254" s="611"/>
      <c r="PA254" s="91">
        <f t="shared" si="1633"/>
        <v>0</v>
      </c>
      <c r="PB254" s="91">
        <f t="shared" si="1634"/>
        <v>0</v>
      </c>
      <c r="PJ254" s="611"/>
      <c r="PQ254" s="91">
        <f t="shared" si="1635"/>
        <v>0</v>
      </c>
      <c r="PR254" s="91">
        <f t="shared" si="1636"/>
        <v>0</v>
      </c>
      <c r="PZ254" s="611"/>
      <c r="QG254" s="91">
        <f t="shared" si="1637"/>
        <v>0</v>
      </c>
      <c r="QH254" s="91">
        <f t="shared" si="1638"/>
        <v>0</v>
      </c>
      <c r="QP254" s="611"/>
      <c r="QW254" s="91">
        <f t="shared" si="1639"/>
        <v>0</v>
      </c>
      <c r="QX254" s="91">
        <f t="shared" si="1640"/>
        <v>0</v>
      </c>
      <c r="RF254" s="611"/>
      <c r="RM254" s="91">
        <f t="shared" si="1641"/>
        <v>0</v>
      </c>
      <c r="RN254" s="91">
        <f t="shared" si="1642"/>
        <v>0</v>
      </c>
      <c r="RV254" s="611"/>
      <c r="SC254" s="91">
        <f t="shared" si="1643"/>
        <v>0</v>
      </c>
      <c r="SD254" s="91">
        <f t="shared" si="1644"/>
        <v>0</v>
      </c>
      <c r="SL254" s="611"/>
      <c r="SS254" s="91">
        <f t="shared" si="1645"/>
        <v>0</v>
      </c>
      <c r="ST254" s="91">
        <f t="shared" si="1646"/>
        <v>0</v>
      </c>
      <c r="TB254" s="611"/>
      <c r="TI254" s="91">
        <f t="shared" si="1647"/>
        <v>0</v>
      </c>
      <c r="TJ254" s="91">
        <f t="shared" si="1648"/>
        <v>0</v>
      </c>
      <c r="TR254" s="611"/>
      <c r="TY254" s="91">
        <f t="shared" si="1649"/>
        <v>0</v>
      </c>
      <c r="TZ254" s="91">
        <f t="shared" si="1650"/>
        <v>0</v>
      </c>
      <c r="UH254" s="611"/>
      <c r="UO254" s="91">
        <f t="shared" si="1651"/>
        <v>0</v>
      </c>
      <c r="UP254" s="91">
        <f t="shared" si="1652"/>
        <v>0</v>
      </c>
      <c r="UX254" s="611"/>
      <c r="VE254" s="91">
        <f t="shared" si="1653"/>
        <v>0</v>
      </c>
      <c r="VF254" s="91">
        <f t="shared" si="1654"/>
        <v>0</v>
      </c>
      <c r="VN254" s="611"/>
      <c r="VU254" s="91">
        <f t="shared" si="1655"/>
        <v>0</v>
      </c>
      <c r="VV254" s="91">
        <f t="shared" si="1656"/>
        <v>0</v>
      </c>
      <c r="WD254" s="611"/>
      <c r="WK254" s="91">
        <f t="shared" si="1657"/>
        <v>0</v>
      </c>
      <c r="WL254" s="91">
        <f t="shared" si="1658"/>
        <v>0</v>
      </c>
      <c r="WM254" s="89"/>
      <c r="WN254" s="87">
        <f t="shared" si="1659"/>
        <v>0</v>
      </c>
      <c r="WO254" s="87">
        <f t="shared" si="1660"/>
        <v>0</v>
      </c>
      <c r="WP254" s="87">
        <f t="shared" si="1661"/>
        <v>0</v>
      </c>
      <c r="WQ254" s="87">
        <f t="shared" si="1662"/>
        <v>0</v>
      </c>
      <c r="WR254" s="87">
        <f t="shared" si="1663"/>
        <v>0</v>
      </c>
      <c r="WS254" s="87">
        <f t="shared" si="1664"/>
        <v>0</v>
      </c>
      <c r="WT254" s="87">
        <f t="shared" si="1665"/>
        <v>0</v>
      </c>
      <c r="WU254" s="87">
        <f t="shared" si="1666"/>
        <v>0</v>
      </c>
      <c r="WV254" s="87">
        <f t="shared" si="1667"/>
        <v>0</v>
      </c>
      <c r="WW254" s="87">
        <f t="shared" si="1668"/>
        <v>0</v>
      </c>
      <c r="WX254" s="87">
        <f t="shared" si="1669"/>
        <v>0</v>
      </c>
      <c r="WY254" s="87">
        <f t="shared" si="1670"/>
        <v>0</v>
      </c>
      <c r="WZ254" s="87">
        <f t="shared" si="1671"/>
        <v>0</v>
      </c>
      <c r="XA254" s="87">
        <f t="shared" si="1672"/>
        <v>0</v>
      </c>
      <c r="XB254" s="92">
        <f t="shared" si="1673"/>
        <v>0</v>
      </c>
      <c r="XC254" s="92">
        <f t="shared" si="1674"/>
        <v>0</v>
      </c>
      <c r="XD254" s="89"/>
      <c r="XE254" s="92"/>
      <c r="XF254" s="92"/>
      <c r="XG254" s="89"/>
      <c r="XH254" s="92"/>
      <c r="XI254" s="92"/>
      <c r="XJ254" s="89"/>
      <c r="XK254" s="87"/>
      <c r="XL254" s="87"/>
      <c r="XM254" s="87"/>
      <c r="XN254" s="87"/>
      <c r="XO254" s="87"/>
      <c r="XP254" s="87"/>
      <c r="XQ254" s="87"/>
      <c r="XR254" s="92">
        <f t="shared" ca="1" si="1675"/>
        <v>0</v>
      </c>
      <c r="XS254" s="89"/>
      <c r="XT254" s="87"/>
      <c r="XU254" s="87"/>
      <c r="XV254" s="87"/>
      <c r="XW254" s="87"/>
      <c r="XX254" s="87"/>
      <c r="XY254" s="87"/>
      <c r="XZ254" s="87"/>
      <c r="YA254" s="92">
        <f t="shared" ca="1" si="1676"/>
        <v>0</v>
      </c>
      <c r="YB254" s="90"/>
      <c r="YC254" s="90"/>
      <c r="YD254" s="90"/>
      <c r="YE254" s="90"/>
      <c r="YF254" s="90"/>
      <c r="YG254" s="90"/>
      <c r="YH254" s="90"/>
      <c r="YI254" s="90"/>
      <c r="YJ254" s="90"/>
      <c r="YK254" s="90"/>
      <c r="YL254" s="90"/>
      <c r="YM254" s="90"/>
      <c r="YN254" s="90"/>
      <c r="YO254" s="90"/>
      <c r="YP254" s="90"/>
      <c r="YQ254" s="90"/>
      <c r="YR254" s="90"/>
      <c r="YS254" s="90"/>
      <c r="YT254" s="90"/>
      <c r="YU254" s="90"/>
      <c r="YV254" s="90"/>
      <c r="YW254" s="90"/>
      <c r="YX254" s="90"/>
      <c r="YY254" s="90"/>
      <c r="YZ254" s="90"/>
      <c r="ZA254" s="90"/>
      <c r="ZB254" s="90"/>
      <c r="ZC254" s="90"/>
      <c r="ZD254" s="90"/>
      <c r="ZE254" s="90"/>
      <c r="ZF254" s="90"/>
      <c r="ZG254" s="90"/>
      <c r="ZH254" s="90"/>
      <c r="ZI254" s="90"/>
      <c r="ZJ254" s="90"/>
      <c r="ZK254" s="90"/>
      <c r="ZL254" s="90"/>
      <c r="ZM254" s="90"/>
      <c r="ZN254" s="90"/>
      <c r="ZO254" s="90"/>
      <c r="ZP254" s="90"/>
      <c r="ZQ254" s="90"/>
      <c r="ZR254" s="90"/>
      <c r="ZS254" s="90"/>
      <c r="ZT254" s="90"/>
      <c r="ZU254" s="90"/>
      <c r="ZV254" s="90"/>
      <c r="ZW254" s="90"/>
      <c r="ZX254" s="90"/>
      <c r="ZY254" s="90"/>
      <c r="ZZ254" s="90"/>
      <c r="AAA254" s="90"/>
      <c r="AAB254" s="90"/>
      <c r="AAC254" s="90"/>
      <c r="AAD254" s="90"/>
      <c r="AAE254" s="90"/>
      <c r="AAF254" s="90"/>
      <c r="AAG254" s="90"/>
      <c r="AAH254" s="90"/>
      <c r="AAI254" s="90"/>
      <c r="AAJ254" s="90"/>
      <c r="AAK254" s="90"/>
      <c r="AAL254" s="90"/>
      <c r="AAM254" s="90"/>
      <c r="AAN254" s="90"/>
      <c r="AAO254" s="90"/>
      <c r="AAP254" s="90"/>
      <c r="AAQ254" s="90"/>
      <c r="AAR254" s="90"/>
      <c r="AAS254" s="90"/>
      <c r="AAT254" s="90"/>
      <c r="AAU254" s="90"/>
      <c r="AAV254" s="90"/>
      <c r="AAW254" s="90"/>
      <c r="AAX254" s="90"/>
      <c r="AAY254" s="90"/>
      <c r="AAZ254" s="90"/>
      <c r="ABA254" s="90"/>
      <c r="ABB254" s="90"/>
      <c r="ABC254" s="90"/>
      <c r="ABD254" s="90"/>
      <c r="ABE254" s="90"/>
      <c r="ABF254" s="90"/>
      <c r="ABG254" s="90"/>
      <c r="ABH254" s="90"/>
      <c r="ABI254" s="90"/>
      <c r="ABJ254" s="90"/>
      <c r="ABK254" s="90"/>
      <c r="ABL254" s="90"/>
      <c r="ABM254" s="90"/>
      <c r="ABN254" s="90"/>
      <c r="ABO254" s="90"/>
      <c r="ABP254" s="90"/>
      <c r="ABQ254" s="90"/>
      <c r="ABR254" s="90"/>
      <c r="ABS254" s="90"/>
      <c r="ABT254" s="90"/>
      <c r="ABU254" s="90"/>
      <c r="ABV254" s="90"/>
      <c r="ABW254" s="90"/>
      <c r="ABX254" s="90"/>
      <c r="ABY254" s="90"/>
      <c r="ABZ254" s="90"/>
      <c r="ACA254" s="90"/>
      <c r="ACB254" s="90"/>
      <c r="ACC254" s="90"/>
      <c r="ACD254" s="90"/>
      <c r="ACE254" s="90"/>
      <c r="ACF254" s="90"/>
      <c r="ACG254" s="90"/>
      <c r="ACH254" s="90"/>
      <c r="ACI254" s="90"/>
      <c r="ACJ254" s="90"/>
      <c r="ACK254" s="90"/>
      <c r="ACL254" s="90"/>
      <c r="ACM254" s="90"/>
      <c r="ACN254" s="90"/>
      <c r="ACO254" s="90"/>
      <c r="ACP254" s="90"/>
      <c r="ACQ254" s="90"/>
      <c r="ACR254" s="90"/>
      <c r="ACS254" s="90"/>
      <c r="ACT254" s="90"/>
      <c r="ACU254" s="90"/>
      <c r="ACV254" s="90"/>
      <c r="ACW254" s="90"/>
      <c r="ACX254" s="90"/>
      <c r="ACY254" s="90"/>
      <c r="ACZ254" s="90"/>
      <c r="ADA254" s="90"/>
      <c r="ADB254" s="90"/>
      <c r="ADC254" s="90"/>
      <c r="ADD254" s="90"/>
      <c r="ADE254" s="90"/>
      <c r="ADF254" s="90"/>
      <c r="ADG254" s="90"/>
      <c r="ADH254" s="90"/>
      <c r="ADI254" s="90"/>
      <c r="ADJ254" s="90"/>
      <c r="ADK254" s="90"/>
      <c r="ADL254" s="90"/>
      <c r="ADM254" s="90"/>
      <c r="ADN254" s="90"/>
      <c r="ADO254" s="90"/>
      <c r="ADP254" s="90"/>
      <c r="ADQ254" s="90"/>
      <c r="ADR254" s="90"/>
      <c r="ADS254" s="90"/>
      <c r="ADT254" s="90"/>
      <c r="ADU254" s="90"/>
      <c r="ADV254" s="90"/>
      <c r="ADW254" s="90"/>
      <c r="ADX254" s="90"/>
      <c r="ADY254" s="90"/>
      <c r="ADZ254" s="90"/>
      <c r="AEA254" s="90"/>
      <c r="AEB254" s="90"/>
      <c r="AEC254" s="90"/>
      <c r="AED254" s="90"/>
      <c r="AEE254" s="90"/>
      <c r="AEF254" s="90"/>
      <c r="AEG254" s="90"/>
      <c r="AEH254" s="90"/>
      <c r="AEI254" s="90"/>
      <c r="AEJ254" s="90"/>
      <c r="AEK254" s="90"/>
      <c r="AEL254" s="90"/>
      <c r="AEM254" s="90"/>
      <c r="AEN254" s="90"/>
      <c r="AEO254" s="90"/>
      <c r="AEP254" s="90"/>
      <c r="AEQ254" s="90"/>
      <c r="AER254" s="90"/>
      <c r="AES254" s="90"/>
      <c r="AET254" s="90"/>
      <c r="AEU254" s="90"/>
      <c r="AEV254" s="90"/>
      <c r="AEW254" s="90"/>
      <c r="AEX254" s="90"/>
      <c r="AEY254" s="90"/>
      <c r="AEZ254" s="90"/>
      <c r="AFA254" s="90"/>
      <c r="AFB254" s="90"/>
      <c r="AFC254" s="90"/>
      <c r="AFD254" s="90"/>
      <c r="AFE254" s="90"/>
      <c r="AFF254" s="90"/>
      <c r="AFG254" s="90"/>
      <c r="AFH254" s="90"/>
      <c r="AFI254" s="90"/>
      <c r="AFJ254" s="90"/>
      <c r="AFK254" s="90"/>
      <c r="AFL254" s="90"/>
      <c r="AFM254" s="90"/>
      <c r="AFN254" s="90"/>
      <c r="AFO254" s="90"/>
      <c r="AFP254" s="90"/>
      <c r="AFQ254" s="90"/>
      <c r="AFR254" s="90"/>
      <c r="AFS254" s="90"/>
      <c r="AFT254" s="90"/>
      <c r="AFU254" s="90"/>
      <c r="AFV254" s="90"/>
      <c r="AFW254" s="90"/>
      <c r="AFX254" s="90"/>
      <c r="AFY254" s="90"/>
      <c r="AFZ254" s="90"/>
      <c r="AGA254" s="90"/>
      <c r="AGB254" s="90"/>
      <c r="AGC254" s="90"/>
      <c r="AGD254" s="90"/>
      <c r="AGE254" s="90"/>
      <c r="AGF254" s="90"/>
      <c r="AGG254" s="90"/>
      <c r="AGH254" s="90"/>
      <c r="AGI254" s="90"/>
      <c r="AGJ254" s="90"/>
      <c r="AGK254" s="90"/>
      <c r="AGL254" s="90"/>
      <c r="AGM254" s="90"/>
      <c r="AGN254" s="90"/>
      <c r="AGO254" s="90"/>
      <c r="AGP254" s="90"/>
      <c r="AGQ254" s="90"/>
      <c r="AGR254" s="90"/>
      <c r="AGS254" s="90"/>
      <c r="AGT254" s="90"/>
      <c r="AGU254" s="90"/>
      <c r="AGV254" s="90"/>
      <c r="AGW254" s="90"/>
      <c r="AGX254" s="90"/>
      <c r="AGY254" s="90"/>
      <c r="AGZ254" s="90"/>
      <c r="AHA254" s="90"/>
      <c r="AHB254" s="90"/>
      <c r="AHC254" s="90"/>
      <c r="AHD254" s="90"/>
      <c r="AHE254" s="90"/>
      <c r="AHF254" s="90"/>
      <c r="AHG254" s="90"/>
      <c r="AHH254" s="90"/>
      <c r="AHI254" s="90"/>
      <c r="AHJ254" s="90"/>
      <c r="AHK254" s="90"/>
      <c r="AHL254" s="90"/>
      <c r="AHM254" s="90"/>
      <c r="AHN254" s="90"/>
      <c r="AHO254" s="90"/>
      <c r="AHP254" s="90"/>
      <c r="AHQ254" s="90"/>
      <c r="AHR254" s="90"/>
      <c r="AHS254" s="90"/>
      <c r="AHT254" s="90"/>
      <c r="AHU254" s="90"/>
      <c r="AHV254" s="90"/>
      <c r="AHW254" s="90"/>
      <c r="AHX254" s="90"/>
      <c r="AHY254" s="90"/>
      <c r="AHZ254" s="90"/>
      <c r="AIA254" s="90"/>
      <c r="AIB254" s="90"/>
      <c r="AIC254" s="90"/>
      <c r="AID254" s="90"/>
      <c r="AIE254" s="90"/>
      <c r="AIF254" s="90"/>
      <c r="AIG254" s="90"/>
      <c r="AIH254" s="90"/>
      <c r="AII254" s="90"/>
      <c r="AIJ254" s="90"/>
      <c r="AIK254" s="90"/>
      <c r="AIL254" s="90"/>
      <c r="AIM254" s="90"/>
      <c r="AIN254" s="90"/>
      <c r="AIO254" s="90"/>
      <c r="AIP254" s="90"/>
      <c r="AIQ254" s="90"/>
      <c r="AIR254" s="90"/>
      <c r="AIS254" s="90"/>
      <c r="AIT254" s="90"/>
      <c r="AIU254" s="90"/>
      <c r="AIV254" s="90"/>
      <c r="AIW254" s="90"/>
      <c r="AIX254" s="90"/>
      <c r="AIY254" s="90"/>
      <c r="AIZ254" s="90"/>
      <c r="AJA254" s="90"/>
      <c r="AJB254" s="90"/>
      <c r="AJC254" s="90"/>
      <c r="AJD254" s="90"/>
      <c r="AJE254" s="90"/>
      <c r="AJF254" s="90"/>
      <c r="AJG254" s="90"/>
      <c r="AJH254" s="90"/>
      <c r="AJI254" s="90"/>
      <c r="AJJ254" s="90"/>
      <c r="AJK254" s="90"/>
      <c r="AJL254" s="90"/>
      <c r="AJM254" s="90"/>
      <c r="AJN254" s="90"/>
      <c r="AJO254" s="90"/>
      <c r="AJP254" s="90"/>
      <c r="AJQ254" s="90"/>
      <c r="AJR254" s="90"/>
      <c r="AJS254" s="90"/>
      <c r="AJT254" s="90"/>
      <c r="AJU254" s="90"/>
      <c r="AJV254" s="90"/>
      <c r="AJW254" s="90"/>
      <c r="AJX254" s="90"/>
      <c r="AJY254" s="90"/>
      <c r="AJZ254" s="90"/>
      <c r="AKA254" s="90"/>
      <c r="AKB254" s="90"/>
      <c r="AKC254" s="90"/>
      <c r="AKD254" s="90"/>
      <c r="AKE254" s="90"/>
      <c r="AKF254" s="90"/>
      <c r="AKG254" s="90"/>
      <c r="AKH254" s="90"/>
      <c r="AKI254" s="90"/>
      <c r="AKJ254" s="90"/>
      <c r="AKK254" s="90"/>
      <c r="AKL254" s="90"/>
      <c r="AKM254" s="90"/>
      <c r="AKN254" s="90"/>
      <c r="AKO254" s="90"/>
      <c r="AKP254" s="90"/>
      <c r="AKQ254" s="90"/>
      <c r="AKR254" s="90"/>
      <c r="AKS254" s="90"/>
      <c r="AKT254" s="90"/>
      <c r="AKU254" s="90"/>
      <c r="AKV254" s="90"/>
      <c r="AKW254" s="90"/>
      <c r="AKX254" s="90"/>
      <c r="AKY254" s="90"/>
      <c r="AKZ254" s="90"/>
      <c r="ALA254" s="90"/>
      <c r="ALB254" s="90"/>
      <c r="ALC254" s="90"/>
      <c r="ALD254" s="90"/>
      <c r="ALE254" s="90"/>
      <c r="ALF254" s="90"/>
      <c r="ALG254" s="90"/>
      <c r="ALH254" s="90"/>
      <c r="ALI254" s="90"/>
      <c r="ALJ254" s="90"/>
      <c r="ALK254" s="90"/>
      <c r="ALL254" s="90"/>
      <c r="ALM254" s="90"/>
      <c r="ALN254" s="90"/>
      <c r="ALO254" s="90"/>
      <c r="ALP254" s="90"/>
      <c r="ALQ254" s="90"/>
      <c r="ALR254" s="90"/>
      <c r="ALS254" s="90"/>
      <c r="ALT254" s="90"/>
      <c r="ALU254" s="90"/>
      <c r="ALV254" s="90"/>
      <c r="ALW254" s="90"/>
      <c r="ALX254" s="90"/>
      <c r="ALY254" s="90"/>
      <c r="ALZ254" s="90"/>
      <c r="AMA254" s="90"/>
      <c r="AMB254" s="90"/>
      <c r="AMC254" s="90"/>
    </row>
    <row r="255" spans="1:1017">
      <c r="A255" s="98" t="s">
        <v>51</v>
      </c>
      <c r="B255" s="90" t="str">
        <f t="shared" si="1582"/>
        <v xml:space="preserve">Lele </v>
      </c>
      <c r="I255" s="98">
        <v>30200</v>
      </c>
      <c r="J255" s="98">
        <v>604000</v>
      </c>
      <c r="M255" s="98">
        <v>200</v>
      </c>
      <c r="N255" s="98">
        <v>4000</v>
      </c>
      <c r="Q255" s="91">
        <f t="shared" si="1583"/>
        <v>30400</v>
      </c>
      <c r="R255" s="91">
        <f t="shared" si="1584"/>
        <v>608000</v>
      </c>
      <c r="Y255" s="98">
        <v>620945</v>
      </c>
      <c r="Z255" s="98">
        <v>12418900</v>
      </c>
      <c r="AE255" s="98">
        <v>420</v>
      </c>
      <c r="AF255" s="98">
        <v>8400</v>
      </c>
      <c r="AG255" s="91">
        <f t="shared" si="1585"/>
        <v>621365</v>
      </c>
      <c r="AH255" s="91">
        <f t="shared" si="1586"/>
        <v>12427300</v>
      </c>
      <c r="AO255" s="98">
        <v>775200</v>
      </c>
      <c r="AP255" s="98">
        <v>13178400</v>
      </c>
      <c r="AW255" s="91">
        <f t="shared" si="1587"/>
        <v>775200</v>
      </c>
      <c r="AX255" s="91">
        <f t="shared" si="1588"/>
        <v>13178400</v>
      </c>
      <c r="BE255" s="98">
        <v>235110</v>
      </c>
      <c r="BF255" s="98">
        <v>4467090</v>
      </c>
      <c r="BM255" s="91">
        <f t="shared" si="1589"/>
        <v>235110</v>
      </c>
      <c r="BN255" s="91">
        <f t="shared" si="1590"/>
        <v>4467090</v>
      </c>
      <c r="BU255" s="98">
        <v>58216</v>
      </c>
      <c r="BV255" s="98">
        <v>1164320</v>
      </c>
      <c r="CC255" s="91">
        <f t="shared" si="1591"/>
        <v>58216</v>
      </c>
      <c r="CD255" s="91">
        <f t="shared" si="1592"/>
        <v>1164320</v>
      </c>
      <c r="CK255" s="98">
        <v>116943</v>
      </c>
      <c r="CL255" s="98">
        <v>1754140</v>
      </c>
      <c r="CS255" s="91">
        <f t="shared" si="1593"/>
        <v>116943</v>
      </c>
      <c r="CT255" s="91">
        <f t="shared" si="1594"/>
        <v>1754140</v>
      </c>
      <c r="DA255" s="98">
        <v>644170</v>
      </c>
      <c r="DB255" s="98">
        <v>11917145.001</v>
      </c>
      <c r="DI255" s="91">
        <f t="shared" si="1595"/>
        <v>644170</v>
      </c>
      <c r="DJ255" s="91">
        <f t="shared" si="1596"/>
        <v>11917145.001</v>
      </c>
      <c r="DQ255" s="98">
        <v>583700</v>
      </c>
      <c r="DR255" s="98">
        <v>10506600</v>
      </c>
      <c r="DY255" s="91">
        <f t="shared" si="1597"/>
        <v>583700</v>
      </c>
      <c r="DZ255" s="91">
        <f t="shared" si="1598"/>
        <v>10506600</v>
      </c>
      <c r="EG255" s="98">
        <v>1361300</v>
      </c>
      <c r="EH255" s="98">
        <v>24503400</v>
      </c>
      <c r="EO255" s="91">
        <f t="shared" si="1599"/>
        <v>1361300</v>
      </c>
      <c r="EP255" s="91">
        <f t="shared" si="1600"/>
        <v>24503400</v>
      </c>
      <c r="EW255" s="98">
        <v>220126</v>
      </c>
      <c r="EX255" s="98">
        <v>3742142</v>
      </c>
      <c r="FA255" s="98">
        <v>5552</v>
      </c>
      <c r="FB255" s="98">
        <v>94384</v>
      </c>
      <c r="FE255" s="91">
        <f t="shared" si="1601"/>
        <v>225678</v>
      </c>
      <c r="FF255" s="91">
        <f t="shared" si="1602"/>
        <v>3836526</v>
      </c>
      <c r="FM255" s="98">
        <v>95466</v>
      </c>
      <c r="FN255" s="98">
        <v>1766121</v>
      </c>
      <c r="FU255" s="91">
        <f t="shared" si="1603"/>
        <v>95466</v>
      </c>
      <c r="FV255" s="91">
        <f t="shared" si="1604"/>
        <v>1766121</v>
      </c>
      <c r="GC255" s="98">
        <v>192000</v>
      </c>
      <c r="GD255" s="98">
        <v>3456000</v>
      </c>
      <c r="GK255" s="91">
        <f t="shared" si="1605"/>
        <v>192000</v>
      </c>
      <c r="GL255" s="91">
        <f t="shared" si="1606"/>
        <v>3456000</v>
      </c>
      <c r="GS255" s="98">
        <v>130000</v>
      </c>
      <c r="GT255" s="98">
        <v>2366000</v>
      </c>
      <c r="HA255" s="91">
        <f t="shared" si="1607"/>
        <v>130000</v>
      </c>
      <c r="HB255" s="91">
        <f t="shared" si="1608"/>
        <v>2366000</v>
      </c>
      <c r="HI255" s="98">
        <v>460000</v>
      </c>
      <c r="HJ255" s="98">
        <v>8280000</v>
      </c>
      <c r="HQ255" s="91">
        <f t="shared" si="1609"/>
        <v>460000</v>
      </c>
      <c r="HR255" s="91">
        <f t="shared" si="1610"/>
        <v>8280000</v>
      </c>
      <c r="HY255" s="98">
        <v>134273</v>
      </c>
      <c r="HZ255" s="98">
        <v>2416914</v>
      </c>
      <c r="IG255" s="91">
        <f t="shared" si="1611"/>
        <v>134273</v>
      </c>
      <c r="IH255" s="91">
        <f t="shared" si="1612"/>
        <v>2416914</v>
      </c>
      <c r="IO255" s="98">
        <v>771750</v>
      </c>
      <c r="IP255" s="98">
        <v>14277375</v>
      </c>
      <c r="IW255" s="91">
        <f t="shared" si="1613"/>
        <v>771750</v>
      </c>
      <c r="IX255" s="91">
        <f t="shared" si="1614"/>
        <v>14277375</v>
      </c>
      <c r="JE255" s="98">
        <v>335120</v>
      </c>
      <c r="JF255" s="98">
        <v>6199720</v>
      </c>
      <c r="JM255" s="91">
        <f t="shared" si="1615"/>
        <v>335120</v>
      </c>
      <c r="JN255" s="91">
        <f t="shared" si="1616"/>
        <v>6199720</v>
      </c>
      <c r="JU255" s="98">
        <v>64468</v>
      </c>
      <c r="JV255" s="98">
        <v>1547232</v>
      </c>
      <c r="KC255" s="91">
        <f t="shared" si="1617"/>
        <v>64468</v>
      </c>
      <c r="KD255" s="91">
        <f t="shared" si="1618"/>
        <v>1547232</v>
      </c>
      <c r="KK255" s="98">
        <v>58648</v>
      </c>
      <c r="KL255" s="98">
        <v>1172960</v>
      </c>
      <c r="KS255" s="91">
        <f t="shared" si="1619"/>
        <v>58648</v>
      </c>
      <c r="KT255" s="91">
        <f t="shared" si="1620"/>
        <v>1172960</v>
      </c>
      <c r="LA255" s="98">
        <v>1319173.33</v>
      </c>
      <c r="LB255" s="98">
        <v>23745119</v>
      </c>
      <c r="LI255" s="91">
        <f t="shared" si="1621"/>
        <v>1319173.33</v>
      </c>
      <c r="LJ255" s="91">
        <f t="shared" si="1622"/>
        <v>23745119</v>
      </c>
      <c r="LQ255" s="98">
        <v>146215</v>
      </c>
      <c r="LR255" s="98">
        <v>2778085</v>
      </c>
      <c r="LY255" s="91">
        <f t="shared" si="1623"/>
        <v>146215</v>
      </c>
      <c r="LZ255" s="91">
        <f t="shared" si="1624"/>
        <v>2778085</v>
      </c>
      <c r="MG255" s="98">
        <v>44710</v>
      </c>
      <c r="MH255" s="98">
        <v>827135</v>
      </c>
      <c r="MO255" s="91">
        <f t="shared" si="1625"/>
        <v>44710</v>
      </c>
      <c r="MP255" s="91">
        <f t="shared" si="1626"/>
        <v>827135</v>
      </c>
      <c r="MW255" s="98">
        <v>17500</v>
      </c>
      <c r="MX255" s="98">
        <v>402500</v>
      </c>
      <c r="NE255" s="91">
        <f t="shared" si="1627"/>
        <v>17500</v>
      </c>
      <c r="NF255" s="91">
        <f t="shared" si="1628"/>
        <v>402500</v>
      </c>
      <c r="NM255" s="98">
        <v>1719700</v>
      </c>
      <c r="NN255" s="98">
        <v>27515200</v>
      </c>
      <c r="NQ255" s="98">
        <v>530</v>
      </c>
      <c r="NR255" s="98">
        <v>8480</v>
      </c>
      <c r="NU255" s="91">
        <f t="shared" si="1629"/>
        <v>1720230</v>
      </c>
      <c r="NV255" s="91">
        <f t="shared" si="1630"/>
        <v>27523680</v>
      </c>
      <c r="OC255" s="98">
        <v>44153</v>
      </c>
      <c r="OD255" s="98">
        <v>838907</v>
      </c>
      <c r="OK255" s="91">
        <f t="shared" si="1631"/>
        <v>44153</v>
      </c>
      <c r="OL255" s="91">
        <f t="shared" si="1632"/>
        <v>838907</v>
      </c>
      <c r="OS255" s="98">
        <v>699346.7</v>
      </c>
      <c r="OT255" s="786">
        <v>5169269.7</v>
      </c>
      <c r="PA255" s="91">
        <f t="shared" si="1633"/>
        <v>699346.7</v>
      </c>
      <c r="PB255" s="91">
        <f t="shared" si="1634"/>
        <v>5169269.7</v>
      </c>
      <c r="PI255" s="98">
        <v>334493</v>
      </c>
      <c r="PJ255" s="98">
        <v>5953975</v>
      </c>
      <c r="PQ255" s="91">
        <f t="shared" si="1635"/>
        <v>334493</v>
      </c>
      <c r="PR255" s="91">
        <f t="shared" si="1636"/>
        <v>5953975</v>
      </c>
      <c r="PY255" s="98">
        <v>530990</v>
      </c>
      <c r="PZ255" s="98">
        <v>9823315</v>
      </c>
      <c r="QC255" s="98">
        <v>110770</v>
      </c>
      <c r="QD255" s="98">
        <v>2049245</v>
      </c>
      <c r="QG255" s="91">
        <f t="shared" si="1637"/>
        <v>641760</v>
      </c>
      <c r="QH255" s="91">
        <f t="shared" si="1638"/>
        <v>11872560</v>
      </c>
      <c r="QO255" s="98">
        <v>900000</v>
      </c>
      <c r="QP255" s="98">
        <v>16200000</v>
      </c>
      <c r="QW255" s="91">
        <f t="shared" si="1639"/>
        <v>900000</v>
      </c>
      <c r="QX255" s="91">
        <f t="shared" si="1640"/>
        <v>16200000</v>
      </c>
      <c r="RE255" s="98">
        <v>2600</v>
      </c>
      <c r="RF255" s="98">
        <f>RE255*20</f>
        <v>52000</v>
      </c>
      <c r="RM255" s="91">
        <f t="shared" si="1641"/>
        <v>2600</v>
      </c>
      <c r="RN255" s="91">
        <f t="shared" si="1642"/>
        <v>52000</v>
      </c>
      <c r="RU255" s="98">
        <v>9640</v>
      </c>
      <c r="RV255" s="98">
        <v>178340</v>
      </c>
      <c r="SC255" s="91">
        <f t="shared" si="1643"/>
        <v>9640</v>
      </c>
      <c r="SD255" s="91">
        <f t="shared" si="1644"/>
        <v>178340</v>
      </c>
      <c r="SK255" s="98">
        <v>14000</v>
      </c>
      <c r="SL255" s="98">
        <v>259000</v>
      </c>
      <c r="SS255" s="91">
        <f t="shared" si="1645"/>
        <v>14000</v>
      </c>
      <c r="ST255" s="91">
        <f t="shared" si="1646"/>
        <v>259000</v>
      </c>
      <c r="TA255" s="98">
        <v>12335</v>
      </c>
      <c r="TB255" s="98">
        <v>215863</v>
      </c>
      <c r="TI255" s="91">
        <f t="shared" si="1647"/>
        <v>12335</v>
      </c>
      <c r="TJ255" s="91">
        <f t="shared" si="1648"/>
        <v>215863</v>
      </c>
      <c r="TQ255" s="98">
        <v>7200</v>
      </c>
      <c r="TR255" s="98">
        <v>136800</v>
      </c>
      <c r="TY255" s="91">
        <f t="shared" si="1649"/>
        <v>7200</v>
      </c>
      <c r="TZ255" s="91">
        <f t="shared" si="1650"/>
        <v>136800</v>
      </c>
      <c r="UG255" s="98">
        <v>17969</v>
      </c>
      <c r="UH255" s="98">
        <v>323442</v>
      </c>
      <c r="UO255" s="91">
        <f t="shared" si="1651"/>
        <v>17969</v>
      </c>
      <c r="UP255" s="91">
        <f t="shared" si="1652"/>
        <v>323442</v>
      </c>
      <c r="UW255" s="98">
        <v>2257</v>
      </c>
      <c r="UX255" s="98">
        <v>42883</v>
      </c>
      <c r="VE255" s="91">
        <f t="shared" si="1653"/>
        <v>2257</v>
      </c>
      <c r="VF255" s="91">
        <f t="shared" si="1654"/>
        <v>42883</v>
      </c>
      <c r="VM255" s="98">
        <v>13858</v>
      </c>
      <c r="VN255" s="98">
        <v>263302</v>
      </c>
      <c r="VU255" s="91">
        <f t="shared" si="1655"/>
        <v>13858</v>
      </c>
      <c r="VV255" s="91">
        <f t="shared" si="1656"/>
        <v>263302</v>
      </c>
      <c r="WC255" s="98">
        <v>178300</v>
      </c>
      <c r="WD255" s="98">
        <v>3566000</v>
      </c>
      <c r="WI255" s="98">
        <v>6530</v>
      </c>
      <c r="WJ255" s="98">
        <v>130600</v>
      </c>
      <c r="WK255" s="91">
        <f t="shared" si="1657"/>
        <v>184830</v>
      </c>
      <c r="WL255" s="91">
        <f t="shared" si="1658"/>
        <v>3696600</v>
      </c>
      <c r="WM255" s="89"/>
      <c r="WN255" s="87">
        <f t="shared" si="1659"/>
        <v>0</v>
      </c>
      <c r="WO255" s="87">
        <f t="shared" si="1660"/>
        <v>0</v>
      </c>
      <c r="WP255" s="87">
        <f t="shared" si="1661"/>
        <v>0</v>
      </c>
      <c r="WQ255" s="87">
        <f t="shared" si="1662"/>
        <v>0</v>
      </c>
      <c r="WR255" s="87">
        <f t="shared" si="1663"/>
        <v>0</v>
      </c>
      <c r="WS255" s="87">
        <f t="shared" si="1664"/>
        <v>0</v>
      </c>
      <c r="WT255" s="87">
        <f t="shared" si="1665"/>
        <v>12902075.029999999</v>
      </c>
      <c r="WU255" s="87">
        <f t="shared" si="1666"/>
        <v>224029594.70099998</v>
      </c>
      <c r="WV255" s="87">
        <f t="shared" si="1667"/>
        <v>0</v>
      </c>
      <c r="WW255" s="87">
        <f t="shared" si="1668"/>
        <v>0</v>
      </c>
      <c r="WX255" s="87">
        <f t="shared" si="1669"/>
        <v>117052</v>
      </c>
      <c r="WY255" s="87">
        <f t="shared" si="1670"/>
        <v>2156109</v>
      </c>
      <c r="WZ255" s="87">
        <f t="shared" si="1671"/>
        <v>6950</v>
      </c>
      <c r="XA255" s="87">
        <f t="shared" si="1672"/>
        <v>139000</v>
      </c>
      <c r="XB255" s="92">
        <f t="shared" si="1673"/>
        <v>13026077.029999999</v>
      </c>
      <c r="XC255" s="92">
        <f t="shared" si="1674"/>
        <v>226324703.70099998</v>
      </c>
      <c r="XD255" s="89"/>
      <c r="XE255" s="92"/>
      <c r="XF255" s="92"/>
      <c r="XG255" s="89"/>
      <c r="XH255" s="92"/>
      <c r="XI255" s="92"/>
      <c r="XJ255" s="89"/>
      <c r="XK255" s="87"/>
      <c r="XL255" s="87"/>
      <c r="XM255" s="87"/>
      <c r="XN255" s="87"/>
      <c r="XO255" s="87"/>
      <c r="XP255" s="87"/>
      <c r="XQ255" s="87"/>
      <c r="XR255" s="92">
        <f t="shared" ca="1" si="1675"/>
        <v>0</v>
      </c>
      <c r="XS255" s="89"/>
      <c r="XT255" s="87"/>
      <c r="XU255" s="87"/>
      <c r="XV255" s="87"/>
      <c r="XW255" s="87"/>
      <c r="XX255" s="87"/>
      <c r="XY255" s="87"/>
      <c r="XZ255" s="87"/>
      <c r="YA255" s="92">
        <f t="shared" ca="1" si="1676"/>
        <v>0</v>
      </c>
      <c r="YB255" s="90"/>
      <c r="YC255" s="90"/>
      <c r="YD255" s="90"/>
      <c r="YE255" s="90"/>
      <c r="YF255" s="90"/>
      <c r="YG255" s="90"/>
      <c r="YH255" s="90"/>
      <c r="YI255" s="90"/>
      <c r="YJ255" s="90"/>
      <c r="YK255" s="90"/>
      <c r="YL255" s="90"/>
      <c r="YM255" s="90"/>
      <c r="YN255" s="90"/>
      <c r="YO255" s="90"/>
      <c r="YP255" s="90"/>
      <c r="YQ255" s="90"/>
      <c r="YR255" s="90"/>
      <c r="YS255" s="90"/>
      <c r="YT255" s="90"/>
      <c r="YU255" s="90"/>
      <c r="YV255" s="90"/>
      <c r="YW255" s="90"/>
      <c r="YX255" s="90"/>
      <c r="YY255" s="90"/>
      <c r="YZ255" s="90"/>
      <c r="ZA255" s="90"/>
      <c r="ZB255" s="90"/>
      <c r="ZC255" s="90"/>
      <c r="ZD255" s="90"/>
      <c r="ZE255" s="90"/>
      <c r="ZF255" s="90"/>
      <c r="ZG255" s="90"/>
      <c r="ZH255" s="90"/>
      <c r="ZI255" s="90"/>
      <c r="ZJ255" s="90"/>
      <c r="ZK255" s="90"/>
      <c r="ZL255" s="90"/>
      <c r="ZM255" s="90"/>
      <c r="ZN255" s="90"/>
      <c r="ZO255" s="90"/>
      <c r="ZP255" s="90"/>
      <c r="ZQ255" s="90"/>
      <c r="ZR255" s="90"/>
      <c r="ZS255" s="90"/>
      <c r="ZT255" s="90"/>
      <c r="ZU255" s="90"/>
      <c r="ZV255" s="90"/>
      <c r="ZW255" s="90"/>
      <c r="ZX255" s="90"/>
      <c r="ZY255" s="90"/>
      <c r="ZZ255" s="90"/>
      <c r="AAA255" s="90"/>
      <c r="AAB255" s="90"/>
      <c r="AAC255" s="90"/>
      <c r="AAD255" s="90"/>
      <c r="AAE255" s="90"/>
      <c r="AAF255" s="90"/>
      <c r="AAG255" s="90"/>
      <c r="AAH255" s="90"/>
      <c r="AAI255" s="90"/>
      <c r="AAJ255" s="90"/>
      <c r="AAK255" s="90"/>
      <c r="AAL255" s="90"/>
      <c r="AAM255" s="90"/>
      <c r="AAN255" s="90"/>
      <c r="AAO255" s="90"/>
      <c r="AAP255" s="90"/>
      <c r="AAQ255" s="90"/>
      <c r="AAR255" s="90"/>
      <c r="AAS255" s="90"/>
      <c r="AAT255" s="90"/>
      <c r="AAU255" s="90"/>
      <c r="AAV255" s="90"/>
      <c r="AAW255" s="90"/>
      <c r="AAX255" s="90"/>
      <c r="AAY255" s="90"/>
      <c r="AAZ255" s="90"/>
      <c r="ABA255" s="90"/>
      <c r="ABB255" s="90"/>
      <c r="ABC255" s="90"/>
      <c r="ABD255" s="90"/>
      <c r="ABE255" s="90"/>
      <c r="ABF255" s="90"/>
      <c r="ABG255" s="90"/>
      <c r="ABH255" s="90"/>
      <c r="ABI255" s="90"/>
      <c r="ABJ255" s="90"/>
      <c r="ABK255" s="90"/>
      <c r="ABL255" s="90"/>
      <c r="ABM255" s="90"/>
      <c r="ABN255" s="90"/>
      <c r="ABO255" s="90"/>
      <c r="ABP255" s="90"/>
      <c r="ABQ255" s="90"/>
      <c r="ABR255" s="90"/>
      <c r="ABS255" s="90"/>
      <c r="ABT255" s="90"/>
      <c r="ABU255" s="90"/>
      <c r="ABV255" s="90"/>
      <c r="ABW255" s="90"/>
      <c r="ABX255" s="90"/>
      <c r="ABY255" s="90"/>
      <c r="ABZ255" s="90"/>
      <c r="ACA255" s="90"/>
      <c r="ACB255" s="90"/>
      <c r="ACC255" s="90"/>
      <c r="ACD255" s="90"/>
      <c r="ACE255" s="90"/>
      <c r="ACF255" s="90"/>
      <c r="ACG255" s="90"/>
      <c r="ACH255" s="90"/>
      <c r="ACI255" s="90"/>
      <c r="ACJ255" s="90"/>
      <c r="ACK255" s="90"/>
      <c r="ACL255" s="90"/>
      <c r="ACM255" s="90"/>
      <c r="ACN255" s="90"/>
      <c r="ACO255" s="90"/>
      <c r="ACP255" s="90"/>
      <c r="ACQ255" s="90"/>
      <c r="ACR255" s="90"/>
      <c r="ACS255" s="90"/>
      <c r="ACT255" s="90"/>
      <c r="ACU255" s="90"/>
      <c r="ACV255" s="90"/>
      <c r="ACW255" s="90"/>
      <c r="ACX255" s="90"/>
      <c r="ACY255" s="90"/>
      <c r="ACZ255" s="90"/>
      <c r="ADA255" s="90"/>
      <c r="ADB255" s="90"/>
      <c r="ADC255" s="90"/>
      <c r="ADD255" s="90"/>
      <c r="ADE255" s="90"/>
      <c r="ADF255" s="90"/>
      <c r="ADG255" s="90"/>
      <c r="ADH255" s="90"/>
      <c r="ADI255" s="90"/>
      <c r="ADJ255" s="90"/>
      <c r="ADK255" s="90"/>
      <c r="ADL255" s="90"/>
      <c r="ADM255" s="90"/>
      <c r="ADN255" s="90"/>
      <c r="ADO255" s="90"/>
      <c r="ADP255" s="90"/>
      <c r="ADQ255" s="90"/>
      <c r="ADR255" s="90"/>
      <c r="ADS255" s="90"/>
      <c r="ADT255" s="90"/>
      <c r="ADU255" s="90"/>
      <c r="ADV255" s="90"/>
      <c r="ADW255" s="90"/>
      <c r="ADX255" s="90"/>
      <c r="ADY255" s="90"/>
      <c r="ADZ255" s="90"/>
      <c r="AEA255" s="90"/>
      <c r="AEB255" s="90"/>
      <c r="AEC255" s="90"/>
      <c r="AED255" s="90"/>
      <c r="AEE255" s="90"/>
      <c r="AEF255" s="90"/>
      <c r="AEG255" s="90"/>
      <c r="AEH255" s="90"/>
      <c r="AEI255" s="90"/>
      <c r="AEJ255" s="90"/>
      <c r="AEK255" s="90"/>
      <c r="AEL255" s="90"/>
      <c r="AEM255" s="90"/>
      <c r="AEN255" s="90"/>
      <c r="AEO255" s="90"/>
      <c r="AEP255" s="90"/>
      <c r="AEQ255" s="90"/>
      <c r="AER255" s="90"/>
      <c r="AES255" s="90"/>
      <c r="AET255" s="90"/>
      <c r="AEU255" s="90"/>
      <c r="AEV255" s="90"/>
      <c r="AEW255" s="90"/>
      <c r="AEX255" s="90"/>
      <c r="AEY255" s="90"/>
      <c r="AEZ255" s="90"/>
      <c r="AFA255" s="90"/>
      <c r="AFB255" s="90"/>
      <c r="AFC255" s="90"/>
      <c r="AFD255" s="90"/>
      <c r="AFE255" s="90"/>
      <c r="AFF255" s="90"/>
      <c r="AFG255" s="90"/>
      <c r="AFH255" s="90"/>
      <c r="AFI255" s="90"/>
      <c r="AFJ255" s="90"/>
      <c r="AFK255" s="90"/>
      <c r="AFL255" s="90"/>
      <c r="AFM255" s="90"/>
      <c r="AFN255" s="90"/>
      <c r="AFO255" s="90"/>
      <c r="AFP255" s="90"/>
      <c r="AFQ255" s="90"/>
      <c r="AFR255" s="90"/>
      <c r="AFS255" s="90"/>
      <c r="AFT255" s="90"/>
      <c r="AFU255" s="90"/>
      <c r="AFV255" s="90"/>
      <c r="AFW255" s="90"/>
      <c r="AFX255" s="90"/>
      <c r="AFY255" s="90"/>
      <c r="AFZ255" s="90"/>
      <c r="AGA255" s="90"/>
      <c r="AGB255" s="90"/>
      <c r="AGC255" s="90"/>
      <c r="AGD255" s="90"/>
      <c r="AGE255" s="90"/>
      <c r="AGF255" s="90"/>
      <c r="AGG255" s="90"/>
      <c r="AGH255" s="90"/>
      <c r="AGI255" s="90"/>
      <c r="AGJ255" s="90"/>
      <c r="AGK255" s="90"/>
      <c r="AGL255" s="90"/>
      <c r="AGM255" s="90"/>
      <c r="AGN255" s="90"/>
      <c r="AGO255" s="90"/>
      <c r="AGP255" s="90"/>
      <c r="AGQ255" s="90"/>
      <c r="AGR255" s="90"/>
      <c r="AGS255" s="90"/>
      <c r="AGT255" s="90"/>
      <c r="AGU255" s="90"/>
      <c r="AGV255" s="90"/>
      <c r="AGW255" s="90"/>
      <c r="AGX255" s="90"/>
      <c r="AGY255" s="90"/>
      <c r="AGZ255" s="90"/>
      <c r="AHA255" s="90"/>
      <c r="AHB255" s="90"/>
      <c r="AHC255" s="90"/>
      <c r="AHD255" s="90"/>
      <c r="AHE255" s="90"/>
      <c r="AHF255" s="90"/>
      <c r="AHG255" s="90"/>
      <c r="AHH255" s="90"/>
      <c r="AHI255" s="90"/>
      <c r="AHJ255" s="90"/>
      <c r="AHK255" s="90"/>
      <c r="AHL255" s="90"/>
      <c r="AHM255" s="90"/>
      <c r="AHN255" s="90"/>
      <c r="AHO255" s="90"/>
      <c r="AHP255" s="90"/>
      <c r="AHQ255" s="90"/>
      <c r="AHR255" s="90"/>
      <c r="AHS255" s="90"/>
      <c r="AHT255" s="90"/>
      <c r="AHU255" s="90"/>
      <c r="AHV255" s="90"/>
      <c r="AHW255" s="90"/>
      <c r="AHX255" s="90"/>
      <c r="AHY255" s="90"/>
      <c r="AHZ255" s="90"/>
      <c r="AIA255" s="90"/>
      <c r="AIB255" s="90"/>
      <c r="AIC255" s="90"/>
      <c r="AID255" s="90"/>
      <c r="AIE255" s="90"/>
      <c r="AIF255" s="90"/>
      <c r="AIG255" s="90"/>
      <c r="AIH255" s="90"/>
      <c r="AII255" s="90"/>
      <c r="AIJ255" s="90"/>
      <c r="AIK255" s="90"/>
      <c r="AIL255" s="90"/>
      <c r="AIM255" s="90"/>
      <c r="AIN255" s="90"/>
      <c r="AIO255" s="90"/>
      <c r="AIP255" s="90"/>
      <c r="AIQ255" s="90"/>
      <c r="AIR255" s="90"/>
      <c r="AIS255" s="90"/>
      <c r="AIT255" s="90"/>
      <c r="AIU255" s="90"/>
      <c r="AIV255" s="90"/>
      <c r="AIW255" s="90"/>
      <c r="AIX255" s="90"/>
      <c r="AIY255" s="90"/>
      <c r="AIZ255" s="90"/>
      <c r="AJA255" s="90"/>
      <c r="AJB255" s="90"/>
      <c r="AJC255" s="90"/>
      <c r="AJD255" s="90"/>
      <c r="AJE255" s="90"/>
      <c r="AJF255" s="90"/>
      <c r="AJG255" s="90"/>
      <c r="AJH255" s="90"/>
      <c r="AJI255" s="90"/>
      <c r="AJJ255" s="90"/>
      <c r="AJK255" s="90"/>
      <c r="AJL255" s="90"/>
      <c r="AJM255" s="90"/>
      <c r="AJN255" s="90"/>
      <c r="AJO255" s="90"/>
      <c r="AJP255" s="90"/>
      <c r="AJQ255" s="90"/>
      <c r="AJR255" s="90"/>
      <c r="AJS255" s="90"/>
      <c r="AJT255" s="90"/>
      <c r="AJU255" s="90"/>
      <c r="AJV255" s="90"/>
      <c r="AJW255" s="90"/>
      <c r="AJX255" s="90"/>
      <c r="AJY255" s="90"/>
      <c r="AJZ255" s="90"/>
      <c r="AKA255" s="90"/>
      <c r="AKB255" s="90"/>
      <c r="AKC255" s="90"/>
      <c r="AKD255" s="90"/>
      <c r="AKE255" s="90"/>
      <c r="AKF255" s="90"/>
      <c r="AKG255" s="90"/>
      <c r="AKH255" s="90"/>
      <c r="AKI255" s="90"/>
      <c r="AKJ255" s="90"/>
      <c r="AKK255" s="90"/>
      <c r="AKL255" s="90"/>
      <c r="AKM255" s="90"/>
      <c r="AKN255" s="90"/>
      <c r="AKO255" s="90"/>
      <c r="AKP255" s="90"/>
      <c r="AKQ255" s="90"/>
      <c r="AKR255" s="90"/>
      <c r="AKS255" s="90"/>
      <c r="AKT255" s="90"/>
      <c r="AKU255" s="90"/>
      <c r="AKV255" s="90"/>
      <c r="AKW255" s="90"/>
      <c r="AKX255" s="90"/>
      <c r="AKY255" s="90"/>
      <c r="AKZ255" s="90"/>
      <c r="ALA255" s="90"/>
      <c r="ALB255" s="90"/>
      <c r="ALC255" s="90"/>
      <c r="ALD255" s="90"/>
      <c r="ALE255" s="90"/>
      <c r="ALF255" s="90"/>
      <c r="ALG255" s="90"/>
      <c r="ALH255" s="90"/>
      <c r="ALI255" s="90"/>
      <c r="ALJ255" s="90"/>
      <c r="ALK255" s="90"/>
      <c r="ALL255" s="90"/>
      <c r="ALM255" s="90"/>
      <c r="ALN255" s="90"/>
      <c r="ALO255" s="90"/>
      <c r="ALP255" s="90"/>
      <c r="ALQ255" s="90"/>
      <c r="ALR255" s="90"/>
      <c r="ALS255" s="90"/>
      <c r="ALT255" s="90"/>
      <c r="ALU255" s="90"/>
      <c r="ALV255" s="90"/>
      <c r="ALW255" s="90"/>
      <c r="ALX255" s="90"/>
      <c r="ALY255" s="90"/>
      <c r="ALZ255" s="90"/>
      <c r="AMA255" s="90"/>
      <c r="AMB255" s="90"/>
      <c r="AMC255" s="90"/>
    </row>
    <row r="256" spans="1:1017">
      <c r="A256" s="98" t="s">
        <v>51</v>
      </c>
      <c r="B256" s="90" t="str">
        <f t="shared" si="1582"/>
        <v xml:space="preserve">Lobster Air Laut </v>
      </c>
      <c r="J256" s="611"/>
      <c r="Q256" s="91">
        <f t="shared" si="1583"/>
        <v>0</v>
      </c>
      <c r="R256" s="91">
        <f t="shared" si="1584"/>
        <v>0</v>
      </c>
      <c r="S256" s="98">
        <v>855</v>
      </c>
      <c r="T256" s="98">
        <v>299250</v>
      </c>
      <c r="Z256" s="611"/>
      <c r="AG256" s="91">
        <f t="shared" si="1585"/>
        <v>855</v>
      </c>
      <c r="AH256" s="91">
        <f t="shared" si="1586"/>
        <v>299250</v>
      </c>
      <c r="AP256" s="611"/>
      <c r="AW256" s="91">
        <f t="shared" si="1587"/>
        <v>0</v>
      </c>
      <c r="AX256" s="91">
        <f t="shared" si="1588"/>
        <v>0</v>
      </c>
      <c r="BF256" s="611"/>
      <c r="BM256" s="91">
        <f t="shared" si="1589"/>
        <v>0</v>
      </c>
      <c r="BN256" s="91">
        <f t="shared" si="1590"/>
        <v>0</v>
      </c>
      <c r="BV256" s="611"/>
      <c r="CC256" s="91">
        <f t="shared" si="1591"/>
        <v>0</v>
      </c>
      <c r="CD256" s="91">
        <f t="shared" si="1592"/>
        <v>0</v>
      </c>
      <c r="CL256" s="611"/>
      <c r="CS256" s="91">
        <f t="shared" si="1593"/>
        <v>0</v>
      </c>
      <c r="CT256" s="91">
        <f t="shared" si="1594"/>
        <v>0</v>
      </c>
      <c r="DB256" s="611"/>
      <c r="DI256" s="91">
        <f t="shared" si="1595"/>
        <v>0</v>
      </c>
      <c r="DJ256" s="91">
        <f t="shared" si="1596"/>
        <v>0</v>
      </c>
      <c r="DR256" s="611"/>
      <c r="DY256" s="91">
        <f t="shared" si="1597"/>
        <v>0</v>
      </c>
      <c r="DZ256" s="91">
        <f t="shared" si="1598"/>
        <v>0</v>
      </c>
      <c r="EH256" s="611"/>
      <c r="EO256" s="91">
        <f t="shared" si="1599"/>
        <v>0</v>
      </c>
      <c r="EP256" s="91">
        <f t="shared" si="1600"/>
        <v>0</v>
      </c>
      <c r="EX256" s="611"/>
      <c r="FE256" s="91">
        <f t="shared" si="1601"/>
        <v>0</v>
      </c>
      <c r="FF256" s="91">
        <f t="shared" si="1602"/>
        <v>0</v>
      </c>
      <c r="FN256" s="611"/>
      <c r="FU256" s="91">
        <f t="shared" si="1603"/>
        <v>0</v>
      </c>
      <c r="FV256" s="91">
        <f t="shared" si="1604"/>
        <v>0</v>
      </c>
      <c r="GD256" s="611"/>
      <c r="GK256" s="91">
        <f t="shared" si="1605"/>
        <v>0</v>
      </c>
      <c r="GL256" s="91">
        <f t="shared" si="1606"/>
        <v>0</v>
      </c>
      <c r="GT256" s="611"/>
      <c r="HA256" s="91">
        <f t="shared" si="1607"/>
        <v>0</v>
      </c>
      <c r="HB256" s="91">
        <f t="shared" si="1608"/>
        <v>0</v>
      </c>
      <c r="HJ256" s="611"/>
      <c r="HQ256" s="91">
        <f t="shared" si="1609"/>
        <v>0</v>
      </c>
      <c r="HR256" s="91">
        <f t="shared" si="1610"/>
        <v>0</v>
      </c>
      <c r="HZ256" s="611"/>
      <c r="IG256" s="91">
        <f t="shared" si="1611"/>
        <v>0</v>
      </c>
      <c r="IH256" s="91">
        <f t="shared" si="1612"/>
        <v>0</v>
      </c>
      <c r="IP256" s="611"/>
      <c r="IW256" s="91">
        <f t="shared" si="1613"/>
        <v>0</v>
      </c>
      <c r="IX256" s="91">
        <f t="shared" si="1614"/>
        <v>0</v>
      </c>
      <c r="JF256" s="611"/>
      <c r="JM256" s="91">
        <f t="shared" si="1615"/>
        <v>0</v>
      </c>
      <c r="JN256" s="91">
        <f t="shared" si="1616"/>
        <v>0</v>
      </c>
      <c r="JV256" s="611"/>
      <c r="KC256" s="91">
        <f t="shared" si="1617"/>
        <v>0</v>
      </c>
      <c r="KD256" s="91">
        <f t="shared" si="1618"/>
        <v>0</v>
      </c>
      <c r="KL256" s="611"/>
      <c r="KS256" s="91">
        <f t="shared" si="1619"/>
        <v>0</v>
      </c>
      <c r="KT256" s="91">
        <f t="shared" si="1620"/>
        <v>0</v>
      </c>
      <c r="LB256" s="611"/>
      <c r="LI256" s="91">
        <f t="shared" si="1621"/>
        <v>0</v>
      </c>
      <c r="LJ256" s="91">
        <f t="shared" si="1622"/>
        <v>0</v>
      </c>
      <c r="LR256" s="611"/>
      <c r="LY256" s="91">
        <f t="shared" si="1623"/>
        <v>0</v>
      </c>
      <c r="LZ256" s="91">
        <f t="shared" si="1624"/>
        <v>0</v>
      </c>
      <c r="MH256" s="611"/>
      <c r="MO256" s="91">
        <f t="shared" si="1625"/>
        <v>0</v>
      </c>
      <c r="MP256" s="91">
        <f t="shared" si="1626"/>
        <v>0</v>
      </c>
      <c r="MX256" s="611"/>
      <c r="NE256" s="91">
        <f t="shared" si="1627"/>
        <v>0</v>
      </c>
      <c r="NF256" s="91">
        <f t="shared" si="1628"/>
        <v>0</v>
      </c>
      <c r="NN256" s="611"/>
      <c r="NU256" s="91">
        <f t="shared" si="1629"/>
        <v>0</v>
      </c>
      <c r="NV256" s="91">
        <f t="shared" si="1630"/>
        <v>0</v>
      </c>
      <c r="NW256" s="98">
        <v>230</v>
      </c>
      <c r="NX256" s="98">
        <v>80500</v>
      </c>
      <c r="OD256" s="611"/>
      <c r="OK256" s="91">
        <f t="shared" si="1631"/>
        <v>230</v>
      </c>
      <c r="OL256" s="91">
        <f t="shared" si="1632"/>
        <v>80500</v>
      </c>
      <c r="OT256" s="611"/>
      <c r="PA256" s="91">
        <f t="shared" si="1633"/>
        <v>0</v>
      </c>
      <c r="PB256" s="91">
        <f t="shared" si="1634"/>
        <v>0</v>
      </c>
      <c r="PI256" s="611"/>
      <c r="PQ256" s="91">
        <f t="shared" si="1635"/>
        <v>0</v>
      </c>
      <c r="PR256" s="91">
        <f t="shared" si="1636"/>
        <v>0</v>
      </c>
      <c r="PZ256" s="611"/>
      <c r="QG256" s="91">
        <f t="shared" si="1637"/>
        <v>0</v>
      </c>
      <c r="QH256" s="91">
        <f t="shared" si="1638"/>
        <v>0</v>
      </c>
      <c r="QP256" s="611"/>
      <c r="QW256" s="91">
        <f t="shared" si="1639"/>
        <v>0</v>
      </c>
      <c r="QX256" s="91">
        <f t="shared" si="1640"/>
        <v>0</v>
      </c>
      <c r="RF256" s="611"/>
      <c r="RM256" s="91">
        <f t="shared" si="1641"/>
        <v>0</v>
      </c>
      <c r="RN256" s="91">
        <f t="shared" si="1642"/>
        <v>0</v>
      </c>
      <c r="RV256" s="611"/>
      <c r="SC256" s="91">
        <f t="shared" si="1643"/>
        <v>0</v>
      </c>
      <c r="SD256" s="91">
        <f t="shared" si="1644"/>
        <v>0</v>
      </c>
      <c r="SL256" s="611"/>
      <c r="SS256" s="91">
        <f t="shared" si="1645"/>
        <v>0</v>
      </c>
      <c r="ST256" s="91">
        <f t="shared" si="1646"/>
        <v>0</v>
      </c>
      <c r="TB256" s="611"/>
      <c r="TI256" s="91">
        <f t="shared" si="1647"/>
        <v>0</v>
      </c>
      <c r="TJ256" s="91">
        <f t="shared" si="1648"/>
        <v>0</v>
      </c>
      <c r="TR256" s="611"/>
      <c r="TY256" s="91">
        <f t="shared" si="1649"/>
        <v>0</v>
      </c>
      <c r="TZ256" s="91">
        <f t="shared" si="1650"/>
        <v>0</v>
      </c>
      <c r="UH256" s="611"/>
      <c r="UO256" s="91">
        <f t="shared" si="1651"/>
        <v>0</v>
      </c>
      <c r="UP256" s="91">
        <f t="shared" si="1652"/>
        <v>0</v>
      </c>
      <c r="UX256" s="611"/>
      <c r="VE256" s="91">
        <f t="shared" si="1653"/>
        <v>0</v>
      </c>
      <c r="VF256" s="91">
        <f t="shared" si="1654"/>
        <v>0</v>
      </c>
      <c r="VN256" s="611"/>
      <c r="VU256" s="91">
        <f t="shared" si="1655"/>
        <v>0</v>
      </c>
      <c r="VV256" s="91">
        <f t="shared" si="1656"/>
        <v>0</v>
      </c>
      <c r="WD256" s="611"/>
      <c r="WK256" s="91">
        <f t="shared" si="1657"/>
        <v>0</v>
      </c>
      <c r="WL256" s="91">
        <f t="shared" si="1658"/>
        <v>0</v>
      </c>
      <c r="WM256" s="89"/>
      <c r="WN256" s="87">
        <f t="shared" si="1659"/>
        <v>1085</v>
      </c>
      <c r="WO256" s="87">
        <f t="shared" si="1660"/>
        <v>379750</v>
      </c>
      <c r="WP256" s="87">
        <f t="shared" si="1661"/>
        <v>0</v>
      </c>
      <c r="WQ256" s="87">
        <f t="shared" si="1662"/>
        <v>0</v>
      </c>
      <c r="WR256" s="87">
        <f t="shared" si="1663"/>
        <v>0</v>
      </c>
      <c r="WS256" s="87">
        <f t="shared" si="1664"/>
        <v>0</v>
      </c>
      <c r="WT256" s="87">
        <f t="shared" si="1665"/>
        <v>0</v>
      </c>
      <c r="WU256" s="87">
        <f t="shared" si="1666"/>
        <v>0</v>
      </c>
      <c r="WV256" s="87">
        <f t="shared" si="1667"/>
        <v>0</v>
      </c>
      <c r="WW256" s="87">
        <f t="shared" si="1668"/>
        <v>0</v>
      </c>
      <c r="WX256" s="87">
        <f t="shared" si="1669"/>
        <v>0</v>
      </c>
      <c r="WY256" s="87">
        <f t="shared" si="1670"/>
        <v>0</v>
      </c>
      <c r="WZ256" s="87">
        <f t="shared" si="1671"/>
        <v>0</v>
      </c>
      <c r="XA256" s="87">
        <f t="shared" si="1672"/>
        <v>0</v>
      </c>
      <c r="XB256" s="92">
        <f t="shared" si="1673"/>
        <v>1085</v>
      </c>
      <c r="XC256" s="92">
        <f t="shared" si="1674"/>
        <v>379750</v>
      </c>
      <c r="XD256" s="89"/>
      <c r="XE256" s="92"/>
      <c r="XF256" s="92"/>
      <c r="XG256" s="89"/>
      <c r="XH256" s="92"/>
      <c r="XI256" s="92"/>
      <c r="XJ256" s="89"/>
      <c r="XK256" s="87"/>
      <c r="XL256" s="87"/>
      <c r="XM256" s="87"/>
      <c r="XN256" s="87"/>
      <c r="XO256" s="87"/>
      <c r="XP256" s="87"/>
      <c r="XQ256" s="87"/>
      <c r="XR256" s="92">
        <f t="shared" ca="1" si="1675"/>
        <v>0</v>
      </c>
      <c r="XS256" s="89"/>
      <c r="XT256" s="87"/>
      <c r="XU256" s="87"/>
      <c r="XV256" s="87"/>
      <c r="XW256" s="87"/>
      <c r="XX256" s="87"/>
      <c r="XY256" s="87"/>
      <c r="XZ256" s="87"/>
      <c r="YA256" s="92">
        <f t="shared" ca="1" si="1676"/>
        <v>0</v>
      </c>
      <c r="YB256" s="90"/>
      <c r="YC256" s="90"/>
      <c r="YD256" s="90"/>
      <c r="YE256" s="90"/>
      <c r="YF256" s="90"/>
      <c r="YG256" s="90"/>
      <c r="YH256" s="90"/>
      <c r="YI256" s="90"/>
      <c r="YJ256" s="90"/>
      <c r="YK256" s="90"/>
      <c r="YL256" s="90"/>
      <c r="YM256" s="90"/>
      <c r="YN256" s="90"/>
      <c r="YO256" s="90"/>
      <c r="YP256" s="90"/>
      <c r="YQ256" s="90"/>
      <c r="YR256" s="90"/>
      <c r="YS256" s="90"/>
      <c r="YT256" s="90"/>
      <c r="YU256" s="90"/>
      <c r="YV256" s="90"/>
      <c r="YW256" s="90"/>
      <c r="YX256" s="90"/>
      <c r="YY256" s="90"/>
      <c r="YZ256" s="90"/>
      <c r="ZA256" s="90"/>
      <c r="ZB256" s="90"/>
      <c r="ZC256" s="90"/>
      <c r="ZD256" s="90"/>
      <c r="ZE256" s="90"/>
      <c r="ZF256" s="90"/>
      <c r="ZG256" s="90"/>
      <c r="ZH256" s="90"/>
      <c r="ZI256" s="90"/>
      <c r="ZJ256" s="90"/>
      <c r="ZK256" s="90"/>
      <c r="ZL256" s="90"/>
      <c r="ZM256" s="90"/>
      <c r="ZN256" s="90"/>
      <c r="ZO256" s="90"/>
      <c r="ZP256" s="90"/>
      <c r="ZQ256" s="90"/>
      <c r="ZR256" s="90"/>
      <c r="ZS256" s="90"/>
      <c r="ZT256" s="90"/>
      <c r="ZU256" s="90"/>
      <c r="ZV256" s="90"/>
      <c r="ZW256" s="90"/>
      <c r="ZX256" s="90"/>
      <c r="ZY256" s="90"/>
      <c r="ZZ256" s="90"/>
      <c r="AAA256" s="90"/>
      <c r="AAB256" s="90"/>
      <c r="AAC256" s="90"/>
      <c r="AAD256" s="90"/>
      <c r="AAE256" s="90"/>
      <c r="AAF256" s="90"/>
      <c r="AAG256" s="90"/>
      <c r="AAH256" s="90"/>
      <c r="AAI256" s="90"/>
      <c r="AAJ256" s="90"/>
      <c r="AAK256" s="90"/>
      <c r="AAL256" s="90"/>
      <c r="AAM256" s="90"/>
      <c r="AAN256" s="90"/>
      <c r="AAO256" s="90"/>
      <c r="AAP256" s="90"/>
      <c r="AAQ256" s="90"/>
      <c r="AAR256" s="90"/>
      <c r="AAS256" s="90"/>
      <c r="AAT256" s="90"/>
      <c r="AAU256" s="90"/>
      <c r="AAV256" s="90"/>
      <c r="AAW256" s="90"/>
      <c r="AAX256" s="90"/>
      <c r="AAY256" s="90"/>
      <c r="AAZ256" s="90"/>
      <c r="ABA256" s="90"/>
      <c r="ABB256" s="90"/>
      <c r="ABC256" s="90"/>
      <c r="ABD256" s="90"/>
      <c r="ABE256" s="90"/>
      <c r="ABF256" s="90"/>
      <c r="ABG256" s="90"/>
      <c r="ABH256" s="90"/>
      <c r="ABI256" s="90"/>
      <c r="ABJ256" s="90"/>
      <c r="ABK256" s="90"/>
      <c r="ABL256" s="90"/>
      <c r="ABM256" s="90"/>
      <c r="ABN256" s="90"/>
      <c r="ABO256" s="90"/>
      <c r="ABP256" s="90"/>
      <c r="ABQ256" s="90"/>
      <c r="ABR256" s="90"/>
      <c r="ABS256" s="90"/>
      <c r="ABT256" s="90"/>
      <c r="ABU256" s="90"/>
      <c r="ABV256" s="90"/>
      <c r="ABW256" s="90"/>
      <c r="ABX256" s="90"/>
      <c r="ABY256" s="90"/>
      <c r="ABZ256" s="90"/>
      <c r="ACA256" s="90"/>
      <c r="ACB256" s="90"/>
      <c r="ACC256" s="90"/>
      <c r="ACD256" s="90"/>
      <c r="ACE256" s="90"/>
      <c r="ACF256" s="90"/>
      <c r="ACG256" s="90"/>
      <c r="ACH256" s="90"/>
      <c r="ACI256" s="90"/>
      <c r="ACJ256" s="90"/>
      <c r="ACK256" s="90"/>
      <c r="ACL256" s="90"/>
      <c r="ACM256" s="90"/>
      <c r="ACN256" s="90"/>
      <c r="ACO256" s="90"/>
      <c r="ACP256" s="90"/>
      <c r="ACQ256" s="90"/>
      <c r="ACR256" s="90"/>
      <c r="ACS256" s="90"/>
      <c r="ACT256" s="90"/>
      <c r="ACU256" s="90"/>
      <c r="ACV256" s="90"/>
      <c r="ACW256" s="90"/>
      <c r="ACX256" s="90"/>
      <c r="ACY256" s="90"/>
      <c r="ACZ256" s="90"/>
      <c r="ADA256" s="90"/>
      <c r="ADB256" s="90"/>
      <c r="ADC256" s="90"/>
      <c r="ADD256" s="90"/>
      <c r="ADE256" s="90"/>
      <c r="ADF256" s="90"/>
      <c r="ADG256" s="90"/>
      <c r="ADH256" s="90"/>
      <c r="ADI256" s="90"/>
      <c r="ADJ256" s="90"/>
      <c r="ADK256" s="90"/>
      <c r="ADL256" s="90"/>
      <c r="ADM256" s="90"/>
      <c r="ADN256" s="90"/>
      <c r="ADO256" s="90"/>
      <c r="ADP256" s="90"/>
      <c r="ADQ256" s="90"/>
      <c r="ADR256" s="90"/>
      <c r="ADS256" s="90"/>
      <c r="ADT256" s="90"/>
      <c r="ADU256" s="90"/>
      <c r="ADV256" s="90"/>
      <c r="ADW256" s="90"/>
      <c r="ADX256" s="90"/>
      <c r="ADY256" s="90"/>
      <c r="ADZ256" s="90"/>
      <c r="AEA256" s="90"/>
      <c r="AEB256" s="90"/>
      <c r="AEC256" s="90"/>
      <c r="AED256" s="90"/>
      <c r="AEE256" s="90"/>
      <c r="AEF256" s="90"/>
      <c r="AEG256" s="90"/>
      <c r="AEH256" s="90"/>
      <c r="AEI256" s="90"/>
      <c r="AEJ256" s="90"/>
      <c r="AEK256" s="90"/>
      <c r="AEL256" s="90"/>
      <c r="AEM256" s="90"/>
      <c r="AEN256" s="90"/>
      <c r="AEO256" s="90"/>
      <c r="AEP256" s="90"/>
      <c r="AEQ256" s="90"/>
      <c r="AER256" s="90"/>
      <c r="AES256" s="90"/>
      <c r="AET256" s="90"/>
      <c r="AEU256" s="90"/>
      <c r="AEV256" s="90"/>
      <c r="AEW256" s="90"/>
      <c r="AEX256" s="90"/>
      <c r="AEY256" s="90"/>
      <c r="AEZ256" s="90"/>
      <c r="AFA256" s="90"/>
      <c r="AFB256" s="90"/>
      <c r="AFC256" s="90"/>
      <c r="AFD256" s="90"/>
      <c r="AFE256" s="90"/>
      <c r="AFF256" s="90"/>
      <c r="AFG256" s="90"/>
      <c r="AFH256" s="90"/>
      <c r="AFI256" s="90"/>
      <c r="AFJ256" s="90"/>
      <c r="AFK256" s="90"/>
      <c r="AFL256" s="90"/>
      <c r="AFM256" s="90"/>
      <c r="AFN256" s="90"/>
      <c r="AFO256" s="90"/>
      <c r="AFP256" s="90"/>
      <c r="AFQ256" s="90"/>
      <c r="AFR256" s="90"/>
      <c r="AFS256" s="90"/>
      <c r="AFT256" s="90"/>
      <c r="AFU256" s="90"/>
      <c r="AFV256" s="90"/>
      <c r="AFW256" s="90"/>
      <c r="AFX256" s="90"/>
      <c r="AFY256" s="90"/>
      <c r="AFZ256" s="90"/>
      <c r="AGA256" s="90"/>
      <c r="AGB256" s="90"/>
      <c r="AGC256" s="90"/>
      <c r="AGD256" s="90"/>
      <c r="AGE256" s="90"/>
      <c r="AGF256" s="90"/>
      <c r="AGG256" s="90"/>
      <c r="AGH256" s="90"/>
      <c r="AGI256" s="90"/>
      <c r="AGJ256" s="90"/>
      <c r="AGK256" s="90"/>
      <c r="AGL256" s="90"/>
      <c r="AGM256" s="90"/>
      <c r="AGN256" s="90"/>
      <c r="AGO256" s="90"/>
      <c r="AGP256" s="90"/>
      <c r="AGQ256" s="90"/>
      <c r="AGR256" s="90"/>
      <c r="AGS256" s="90"/>
      <c r="AGT256" s="90"/>
      <c r="AGU256" s="90"/>
      <c r="AGV256" s="90"/>
      <c r="AGW256" s="90"/>
      <c r="AGX256" s="90"/>
      <c r="AGY256" s="90"/>
      <c r="AGZ256" s="90"/>
      <c r="AHA256" s="90"/>
      <c r="AHB256" s="90"/>
      <c r="AHC256" s="90"/>
      <c r="AHD256" s="90"/>
      <c r="AHE256" s="90"/>
      <c r="AHF256" s="90"/>
      <c r="AHG256" s="90"/>
      <c r="AHH256" s="90"/>
      <c r="AHI256" s="90"/>
      <c r="AHJ256" s="90"/>
      <c r="AHK256" s="90"/>
      <c r="AHL256" s="90"/>
      <c r="AHM256" s="90"/>
      <c r="AHN256" s="90"/>
      <c r="AHO256" s="90"/>
      <c r="AHP256" s="90"/>
      <c r="AHQ256" s="90"/>
      <c r="AHR256" s="90"/>
      <c r="AHS256" s="90"/>
      <c r="AHT256" s="90"/>
      <c r="AHU256" s="90"/>
      <c r="AHV256" s="90"/>
      <c r="AHW256" s="90"/>
      <c r="AHX256" s="90"/>
      <c r="AHY256" s="90"/>
      <c r="AHZ256" s="90"/>
      <c r="AIA256" s="90"/>
      <c r="AIB256" s="90"/>
      <c r="AIC256" s="90"/>
      <c r="AID256" s="90"/>
      <c r="AIE256" s="90"/>
      <c r="AIF256" s="90"/>
      <c r="AIG256" s="90"/>
      <c r="AIH256" s="90"/>
      <c r="AII256" s="90"/>
      <c r="AIJ256" s="90"/>
      <c r="AIK256" s="90"/>
      <c r="AIL256" s="90"/>
      <c r="AIM256" s="90"/>
      <c r="AIN256" s="90"/>
      <c r="AIO256" s="90"/>
      <c r="AIP256" s="90"/>
      <c r="AIQ256" s="90"/>
      <c r="AIR256" s="90"/>
      <c r="AIS256" s="90"/>
      <c r="AIT256" s="90"/>
      <c r="AIU256" s="90"/>
      <c r="AIV256" s="90"/>
      <c r="AIW256" s="90"/>
      <c r="AIX256" s="90"/>
      <c r="AIY256" s="90"/>
      <c r="AIZ256" s="90"/>
      <c r="AJA256" s="90"/>
      <c r="AJB256" s="90"/>
      <c r="AJC256" s="90"/>
      <c r="AJD256" s="90"/>
      <c r="AJE256" s="90"/>
      <c r="AJF256" s="90"/>
      <c r="AJG256" s="90"/>
      <c r="AJH256" s="90"/>
      <c r="AJI256" s="90"/>
      <c r="AJJ256" s="90"/>
      <c r="AJK256" s="90"/>
      <c r="AJL256" s="90"/>
      <c r="AJM256" s="90"/>
      <c r="AJN256" s="90"/>
      <c r="AJO256" s="90"/>
      <c r="AJP256" s="90"/>
      <c r="AJQ256" s="90"/>
      <c r="AJR256" s="90"/>
      <c r="AJS256" s="90"/>
      <c r="AJT256" s="90"/>
      <c r="AJU256" s="90"/>
      <c r="AJV256" s="90"/>
      <c r="AJW256" s="90"/>
      <c r="AJX256" s="90"/>
      <c r="AJY256" s="90"/>
      <c r="AJZ256" s="90"/>
      <c r="AKA256" s="90"/>
      <c r="AKB256" s="90"/>
      <c r="AKC256" s="90"/>
      <c r="AKD256" s="90"/>
      <c r="AKE256" s="90"/>
      <c r="AKF256" s="90"/>
      <c r="AKG256" s="90"/>
      <c r="AKH256" s="90"/>
      <c r="AKI256" s="90"/>
      <c r="AKJ256" s="90"/>
      <c r="AKK256" s="90"/>
      <c r="AKL256" s="90"/>
      <c r="AKM256" s="90"/>
      <c r="AKN256" s="90"/>
      <c r="AKO256" s="90"/>
      <c r="AKP256" s="90"/>
      <c r="AKQ256" s="90"/>
      <c r="AKR256" s="90"/>
      <c r="AKS256" s="90"/>
      <c r="AKT256" s="90"/>
      <c r="AKU256" s="90"/>
      <c r="AKV256" s="90"/>
      <c r="AKW256" s="90"/>
      <c r="AKX256" s="90"/>
      <c r="AKY256" s="90"/>
      <c r="AKZ256" s="90"/>
      <c r="ALA256" s="90"/>
      <c r="ALB256" s="90"/>
      <c r="ALC256" s="90"/>
      <c r="ALD256" s="90"/>
      <c r="ALE256" s="90"/>
      <c r="ALF256" s="90"/>
      <c r="ALG256" s="90"/>
      <c r="ALH256" s="90"/>
      <c r="ALI256" s="90"/>
      <c r="ALJ256" s="90"/>
      <c r="ALK256" s="90"/>
      <c r="ALL256" s="90"/>
      <c r="ALM256" s="90"/>
      <c r="ALN256" s="90"/>
      <c r="ALO256" s="90"/>
      <c r="ALP256" s="90"/>
      <c r="ALQ256" s="90"/>
      <c r="ALR256" s="90"/>
      <c r="ALS256" s="90"/>
      <c r="ALT256" s="90"/>
      <c r="ALU256" s="90"/>
      <c r="ALV256" s="90"/>
      <c r="ALW256" s="90"/>
      <c r="ALX256" s="90"/>
      <c r="ALY256" s="90"/>
      <c r="ALZ256" s="90"/>
      <c r="AMA256" s="90"/>
      <c r="AMB256" s="90"/>
      <c r="AMC256" s="90"/>
    </row>
    <row r="257" spans="1:1017">
      <c r="A257" s="98" t="s">
        <v>51</v>
      </c>
      <c r="B257" s="90" t="str">
        <f t="shared" si="1582"/>
        <v xml:space="preserve">Lobster Air Tawar, Cherax </v>
      </c>
      <c r="Q257" s="91">
        <f t="shared" si="1583"/>
        <v>0</v>
      </c>
      <c r="R257" s="91">
        <f t="shared" si="1584"/>
        <v>0</v>
      </c>
      <c r="AG257" s="91">
        <f t="shared" si="1585"/>
        <v>0</v>
      </c>
      <c r="AH257" s="91">
        <f t="shared" si="1586"/>
        <v>0</v>
      </c>
      <c r="AW257" s="91">
        <f t="shared" si="1587"/>
        <v>0</v>
      </c>
      <c r="AX257" s="91">
        <f t="shared" si="1588"/>
        <v>0</v>
      </c>
      <c r="BM257" s="91">
        <f t="shared" si="1589"/>
        <v>0</v>
      </c>
      <c r="BN257" s="91">
        <f t="shared" si="1590"/>
        <v>0</v>
      </c>
      <c r="CC257" s="91">
        <f t="shared" si="1591"/>
        <v>0</v>
      </c>
      <c r="CD257" s="91">
        <f t="shared" si="1592"/>
        <v>0</v>
      </c>
      <c r="CL257" s="611"/>
      <c r="CS257" s="91">
        <f t="shared" si="1593"/>
        <v>0</v>
      </c>
      <c r="CT257" s="91">
        <f t="shared" si="1594"/>
        <v>0</v>
      </c>
      <c r="DI257" s="91">
        <f t="shared" si="1595"/>
        <v>0</v>
      </c>
      <c r="DJ257" s="91">
        <f t="shared" si="1596"/>
        <v>0</v>
      </c>
      <c r="DY257" s="91">
        <f t="shared" si="1597"/>
        <v>0</v>
      </c>
      <c r="DZ257" s="91">
        <f t="shared" si="1598"/>
        <v>0</v>
      </c>
      <c r="EO257" s="91">
        <f t="shared" si="1599"/>
        <v>0</v>
      </c>
      <c r="EP257" s="91">
        <f t="shared" si="1600"/>
        <v>0</v>
      </c>
      <c r="FE257" s="91">
        <f t="shared" si="1601"/>
        <v>0</v>
      </c>
      <c r="FF257" s="91">
        <f t="shared" si="1602"/>
        <v>0</v>
      </c>
      <c r="FU257" s="91">
        <f t="shared" si="1603"/>
        <v>0</v>
      </c>
      <c r="FV257" s="91">
        <f t="shared" si="1604"/>
        <v>0</v>
      </c>
      <c r="GK257" s="91">
        <f t="shared" si="1605"/>
        <v>0</v>
      </c>
      <c r="GL257" s="91">
        <f t="shared" si="1606"/>
        <v>0</v>
      </c>
      <c r="HA257" s="91">
        <f t="shared" si="1607"/>
        <v>0</v>
      </c>
      <c r="HB257" s="91">
        <f t="shared" si="1608"/>
        <v>0</v>
      </c>
      <c r="HQ257" s="91">
        <f t="shared" si="1609"/>
        <v>0</v>
      </c>
      <c r="HR257" s="91">
        <f t="shared" si="1610"/>
        <v>0</v>
      </c>
      <c r="IG257" s="91">
        <f t="shared" si="1611"/>
        <v>0</v>
      </c>
      <c r="IH257" s="91">
        <f t="shared" si="1612"/>
        <v>0</v>
      </c>
      <c r="IW257" s="91">
        <f t="shared" si="1613"/>
        <v>0</v>
      </c>
      <c r="IX257" s="91">
        <f t="shared" si="1614"/>
        <v>0</v>
      </c>
      <c r="JM257" s="91">
        <f t="shared" si="1615"/>
        <v>0</v>
      </c>
      <c r="JN257" s="91">
        <f t="shared" si="1616"/>
        <v>0</v>
      </c>
      <c r="KC257" s="91">
        <f t="shared" si="1617"/>
        <v>0</v>
      </c>
      <c r="KD257" s="91">
        <f t="shared" si="1618"/>
        <v>0</v>
      </c>
      <c r="KS257" s="91">
        <f t="shared" si="1619"/>
        <v>0</v>
      </c>
      <c r="KT257" s="91">
        <f t="shared" si="1620"/>
        <v>0</v>
      </c>
      <c r="LI257" s="91">
        <f t="shared" si="1621"/>
        <v>0</v>
      </c>
      <c r="LJ257" s="91">
        <f t="shared" si="1622"/>
        <v>0</v>
      </c>
      <c r="LY257" s="91">
        <f t="shared" si="1623"/>
        <v>0</v>
      </c>
      <c r="LZ257" s="91">
        <f t="shared" si="1624"/>
        <v>0</v>
      </c>
      <c r="MO257" s="91">
        <f t="shared" si="1625"/>
        <v>0</v>
      </c>
      <c r="MP257" s="91">
        <f t="shared" si="1626"/>
        <v>0</v>
      </c>
      <c r="NE257" s="91">
        <f t="shared" si="1627"/>
        <v>0</v>
      </c>
      <c r="NF257" s="91">
        <f t="shared" si="1628"/>
        <v>0</v>
      </c>
      <c r="NU257" s="91">
        <f t="shared" si="1629"/>
        <v>0</v>
      </c>
      <c r="NV257" s="91">
        <f t="shared" si="1630"/>
        <v>0</v>
      </c>
      <c r="OK257" s="91">
        <f t="shared" si="1631"/>
        <v>0</v>
      </c>
      <c r="OL257" s="91">
        <f t="shared" si="1632"/>
        <v>0</v>
      </c>
      <c r="PA257" s="91">
        <f t="shared" si="1633"/>
        <v>0</v>
      </c>
      <c r="PB257" s="91">
        <f t="shared" si="1634"/>
        <v>0</v>
      </c>
      <c r="PQ257" s="91">
        <f t="shared" si="1635"/>
        <v>0</v>
      </c>
      <c r="PR257" s="91">
        <f t="shared" si="1636"/>
        <v>0</v>
      </c>
      <c r="QG257" s="91">
        <f t="shared" si="1637"/>
        <v>0</v>
      </c>
      <c r="QH257" s="91">
        <f t="shared" si="1638"/>
        <v>0</v>
      </c>
      <c r="QW257" s="91">
        <f t="shared" si="1639"/>
        <v>0</v>
      </c>
      <c r="QX257" s="91">
        <f t="shared" si="1640"/>
        <v>0</v>
      </c>
      <c r="RM257" s="91">
        <f t="shared" si="1641"/>
        <v>0</v>
      </c>
      <c r="RN257" s="91">
        <f t="shared" si="1642"/>
        <v>0</v>
      </c>
      <c r="SC257" s="91">
        <f t="shared" si="1643"/>
        <v>0</v>
      </c>
      <c r="SD257" s="91">
        <f t="shared" si="1644"/>
        <v>0</v>
      </c>
      <c r="SS257" s="91">
        <f t="shared" si="1645"/>
        <v>0</v>
      </c>
      <c r="ST257" s="91">
        <f t="shared" si="1646"/>
        <v>0</v>
      </c>
      <c r="TI257" s="91">
        <f t="shared" si="1647"/>
        <v>0</v>
      </c>
      <c r="TJ257" s="91">
        <f t="shared" si="1648"/>
        <v>0</v>
      </c>
      <c r="TY257" s="91">
        <f t="shared" si="1649"/>
        <v>0</v>
      </c>
      <c r="TZ257" s="91">
        <f t="shared" si="1650"/>
        <v>0</v>
      </c>
      <c r="UO257" s="91">
        <f t="shared" si="1651"/>
        <v>0</v>
      </c>
      <c r="UP257" s="91">
        <f t="shared" si="1652"/>
        <v>0</v>
      </c>
      <c r="VE257" s="91">
        <f t="shared" si="1653"/>
        <v>0</v>
      </c>
      <c r="VF257" s="91">
        <f t="shared" si="1654"/>
        <v>0</v>
      </c>
      <c r="VU257" s="91">
        <f t="shared" si="1655"/>
        <v>0</v>
      </c>
      <c r="VV257" s="91">
        <f t="shared" si="1656"/>
        <v>0</v>
      </c>
      <c r="WK257" s="91">
        <f t="shared" si="1657"/>
        <v>0</v>
      </c>
      <c r="WL257" s="91">
        <f t="shared" si="1658"/>
        <v>0</v>
      </c>
      <c r="WM257" s="89"/>
      <c r="WN257" s="87">
        <f t="shared" si="1659"/>
        <v>0</v>
      </c>
      <c r="WO257" s="87">
        <f t="shared" si="1660"/>
        <v>0</v>
      </c>
      <c r="WP257" s="87">
        <f t="shared" si="1661"/>
        <v>0</v>
      </c>
      <c r="WQ257" s="87">
        <f t="shared" si="1662"/>
        <v>0</v>
      </c>
      <c r="WR257" s="87">
        <f t="shared" si="1663"/>
        <v>0</v>
      </c>
      <c r="WS257" s="87">
        <f t="shared" si="1664"/>
        <v>0</v>
      </c>
      <c r="WT257" s="87">
        <f t="shared" si="1665"/>
        <v>0</v>
      </c>
      <c r="WU257" s="87">
        <f t="shared" si="1666"/>
        <v>0</v>
      </c>
      <c r="WV257" s="87">
        <f t="shared" si="1667"/>
        <v>0</v>
      </c>
      <c r="WW257" s="87">
        <f t="shared" si="1668"/>
        <v>0</v>
      </c>
      <c r="WX257" s="87">
        <f t="shared" si="1669"/>
        <v>0</v>
      </c>
      <c r="WY257" s="87">
        <f t="shared" si="1670"/>
        <v>0</v>
      </c>
      <c r="WZ257" s="87">
        <f t="shared" si="1671"/>
        <v>0</v>
      </c>
      <c r="XA257" s="87">
        <f t="shared" si="1672"/>
        <v>0</v>
      </c>
      <c r="XB257" s="92">
        <f t="shared" si="1673"/>
        <v>0</v>
      </c>
      <c r="XC257" s="92">
        <f t="shared" si="1674"/>
        <v>0</v>
      </c>
      <c r="XD257" s="89"/>
      <c r="XE257" s="92"/>
      <c r="XF257" s="92"/>
      <c r="XG257" s="89"/>
      <c r="XH257" s="92"/>
      <c r="XI257" s="92"/>
      <c r="XJ257" s="89"/>
      <c r="XK257" s="87"/>
      <c r="XL257" s="87"/>
      <c r="XM257" s="87"/>
      <c r="XN257" s="87"/>
      <c r="XO257" s="87"/>
      <c r="XP257" s="87"/>
      <c r="XQ257" s="87"/>
      <c r="XR257" s="92">
        <f t="shared" ca="1" si="1675"/>
        <v>0</v>
      </c>
      <c r="XS257" s="89"/>
      <c r="XT257" s="87"/>
      <c r="XU257" s="87"/>
      <c r="XV257" s="87"/>
      <c r="XW257" s="87"/>
      <c r="XX257" s="87"/>
      <c r="XY257" s="87"/>
      <c r="XZ257" s="87"/>
      <c r="YA257" s="92">
        <f t="shared" ca="1" si="1676"/>
        <v>0</v>
      </c>
      <c r="YB257" s="90"/>
      <c r="YC257" s="90"/>
      <c r="YD257" s="90"/>
      <c r="YE257" s="90"/>
      <c r="YF257" s="90"/>
      <c r="YG257" s="90"/>
      <c r="YH257" s="90"/>
      <c r="YI257" s="90"/>
      <c r="YJ257" s="90"/>
      <c r="YK257" s="90"/>
      <c r="YL257" s="90"/>
      <c r="YM257" s="90"/>
      <c r="YN257" s="90"/>
      <c r="YO257" s="90"/>
      <c r="YP257" s="90"/>
      <c r="YQ257" s="90"/>
      <c r="YR257" s="90"/>
      <c r="YS257" s="90"/>
      <c r="YT257" s="90"/>
      <c r="YU257" s="90"/>
      <c r="YV257" s="90"/>
      <c r="YW257" s="90"/>
      <c r="YX257" s="90"/>
      <c r="YY257" s="90"/>
      <c r="YZ257" s="90"/>
      <c r="ZA257" s="90"/>
      <c r="ZB257" s="90"/>
      <c r="ZC257" s="90"/>
      <c r="ZD257" s="90"/>
      <c r="ZE257" s="90"/>
      <c r="ZF257" s="90"/>
      <c r="ZG257" s="90"/>
      <c r="ZH257" s="90"/>
      <c r="ZI257" s="90"/>
      <c r="ZJ257" s="90"/>
      <c r="ZK257" s="90"/>
      <c r="ZL257" s="90"/>
      <c r="ZM257" s="90"/>
      <c r="ZN257" s="90"/>
      <c r="ZO257" s="90"/>
      <c r="ZP257" s="90"/>
      <c r="ZQ257" s="90"/>
      <c r="ZR257" s="90"/>
      <c r="ZS257" s="90"/>
      <c r="ZT257" s="90"/>
      <c r="ZU257" s="90"/>
      <c r="ZV257" s="90"/>
      <c r="ZW257" s="90"/>
      <c r="ZX257" s="90"/>
      <c r="ZY257" s="90"/>
      <c r="ZZ257" s="90"/>
      <c r="AAA257" s="90"/>
      <c r="AAB257" s="90"/>
      <c r="AAC257" s="90"/>
      <c r="AAD257" s="90"/>
      <c r="AAE257" s="90"/>
      <c r="AAF257" s="90"/>
      <c r="AAG257" s="90"/>
      <c r="AAH257" s="90"/>
      <c r="AAI257" s="90"/>
      <c r="AAJ257" s="90"/>
      <c r="AAK257" s="90"/>
      <c r="AAL257" s="90"/>
      <c r="AAM257" s="90"/>
      <c r="AAN257" s="90"/>
      <c r="AAO257" s="90"/>
      <c r="AAP257" s="90"/>
      <c r="AAQ257" s="90"/>
      <c r="AAR257" s="90"/>
      <c r="AAS257" s="90"/>
      <c r="AAT257" s="90"/>
      <c r="AAU257" s="90"/>
      <c r="AAV257" s="90"/>
      <c r="AAW257" s="90"/>
      <c r="AAX257" s="90"/>
      <c r="AAY257" s="90"/>
      <c r="AAZ257" s="90"/>
      <c r="ABA257" s="90"/>
      <c r="ABB257" s="90"/>
      <c r="ABC257" s="90"/>
      <c r="ABD257" s="90"/>
      <c r="ABE257" s="90"/>
      <c r="ABF257" s="90"/>
      <c r="ABG257" s="90"/>
      <c r="ABH257" s="90"/>
      <c r="ABI257" s="90"/>
      <c r="ABJ257" s="90"/>
      <c r="ABK257" s="90"/>
      <c r="ABL257" s="90"/>
      <c r="ABM257" s="90"/>
      <c r="ABN257" s="90"/>
      <c r="ABO257" s="90"/>
      <c r="ABP257" s="90"/>
      <c r="ABQ257" s="90"/>
      <c r="ABR257" s="90"/>
      <c r="ABS257" s="90"/>
      <c r="ABT257" s="90"/>
      <c r="ABU257" s="90"/>
      <c r="ABV257" s="90"/>
      <c r="ABW257" s="90"/>
      <c r="ABX257" s="90"/>
      <c r="ABY257" s="90"/>
      <c r="ABZ257" s="90"/>
      <c r="ACA257" s="90"/>
      <c r="ACB257" s="90"/>
      <c r="ACC257" s="90"/>
      <c r="ACD257" s="90"/>
      <c r="ACE257" s="90"/>
      <c r="ACF257" s="90"/>
      <c r="ACG257" s="90"/>
      <c r="ACH257" s="90"/>
      <c r="ACI257" s="90"/>
      <c r="ACJ257" s="90"/>
      <c r="ACK257" s="90"/>
      <c r="ACL257" s="90"/>
      <c r="ACM257" s="90"/>
      <c r="ACN257" s="90"/>
      <c r="ACO257" s="90"/>
      <c r="ACP257" s="90"/>
      <c r="ACQ257" s="90"/>
      <c r="ACR257" s="90"/>
      <c r="ACS257" s="90"/>
      <c r="ACT257" s="90"/>
      <c r="ACU257" s="90"/>
      <c r="ACV257" s="90"/>
      <c r="ACW257" s="90"/>
      <c r="ACX257" s="90"/>
      <c r="ACY257" s="90"/>
      <c r="ACZ257" s="90"/>
      <c r="ADA257" s="90"/>
      <c r="ADB257" s="90"/>
      <c r="ADC257" s="90"/>
      <c r="ADD257" s="90"/>
      <c r="ADE257" s="90"/>
      <c r="ADF257" s="90"/>
      <c r="ADG257" s="90"/>
      <c r="ADH257" s="90"/>
      <c r="ADI257" s="90"/>
      <c r="ADJ257" s="90"/>
      <c r="ADK257" s="90"/>
      <c r="ADL257" s="90"/>
      <c r="ADM257" s="90"/>
      <c r="ADN257" s="90"/>
      <c r="ADO257" s="90"/>
      <c r="ADP257" s="90"/>
      <c r="ADQ257" s="90"/>
      <c r="ADR257" s="90"/>
      <c r="ADS257" s="90"/>
      <c r="ADT257" s="90"/>
      <c r="ADU257" s="90"/>
      <c r="ADV257" s="90"/>
      <c r="ADW257" s="90"/>
      <c r="ADX257" s="90"/>
      <c r="ADY257" s="90"/>
      <c r="ADZ257" s="90"/>
      <c r="AEA257" s="90"/>
      <c r="AEB257" s="90"/>
      <c r="AEC257" s="90"/>
      <c r="AED257" s="90"/>
      <c r="AEE257" s="90"/>
      <c r="AEF257" s="90"/>
      <c r="AEG257" s="90"/>
      <c r="AEH257" s="90"/>
      <c r="AEI257" s="90"/>
      <c r="AEJ257" s="90"/>
      <c r="AEK257" s="90"/>
      <c r="AEL257" s="90"/>
      <c r="AEM257" s="90"/>
      <c r="AEN257" s="90"/>
      <c r="AEO257" s="90"/>
      <c r="AEP257" s="90"/>
      <c r="AEQ257" s="90"/>
      <c r="AER257" s="90"/>
      <c r="AES257" s="90"/>
      <c r="AET257" s="90"/>
      <c r="AEU257" s="90"/>
      <c r="AEV257" s="90"/>
      <c r="AEW257" s="90"/>
      <c r="AEX257" s="90"/>
      <c r="AEY257" s="90"/>
      <c r="AEZ257" s="90"/>
      <c r="AFA257" s="90"/>
      <c r="AFB257" s="90"/>
      <c r="AFC257" s="90"/>
      <c r="AFD257" s="90"/>
      <c r="AFE257" s="90"/>
      <c r="AFF257" s="90"/>
      <c r="AFG257" s="90"/>
      <c r="AFH257" s="90"/>
      <c r="AFI257" s="90"/>
      <c r="AFJ257" s="90"/>
      <c r="AFK257" s="90"/>
      <c r="AFL257" s="90"/>
      <c r="AFM257" s="90"/>
      <c r="AFN257" s="90"/>
      <c r="AFO257" s="90"/>
      <c r="AFP257" s="90"/>
      <c r="AFQ257" s="90"/>
      <c r="AFR257" s="90"/>
      <c r="AFS257" s="90"/>
      <c r="AFT257" s="90"/>
      <c r="AFU257" s="90"/>
      <c r="AFV257" s="90"/>
      <c r="AFW257" s="90"/>
      <c r="AFX257" s="90"/>
      <c r="AFY257" s="90"/>
      <c r="AFZ257" s="90"/>
      <c r="AGA257" s="90"/>
      <c r="AGB257" s="90"/>
      <c r="AGC257" s="90"/>
      <c r="AGD257" s="90"/>
      <c r="AGE257" s="90"/>
      <c r="AGF257" s="90"/>
      <c r="AGG257" s="90"/>
      <c r="AGH257" s="90"/>
      <c r="AGI257" s="90"/>
      <c r="AGJ257" s="90"/>
      <c r="AGK257" s="90"/>
      <c r="AGL257" s="90"/>
      <c r="AGM257" s="90"/>
      <c r="AGN257" s="90"/>
      <c r="AGO257" s="90"/>
      <c r="AGP257" s="90"/>
      <c r="AGQ257" s="90"/>
      <c r="AGR257" s="90"/>
      <c r="AGS257" s="90"/>
      <c r="AGT257" s="90"/>
      <c r="AGU257" s="90"/>
      <c r="AGV257" s="90"/>
      <c r="AGW257" s="90"/>
      <c r="AGX257" s="90"/>
      <c r="AGY257" s="90"/>
      <c r="AGZ257" s="90"/>
      <c r="AHA257" s="90"/>
      <c r="AHB257" s="90"/>
      <c r="AHC257" s="90"/>
      <c r="AHD257" s="90"/>
      <c r="AHE257" s="90"/>
      <c r="AHF257" s="90"/>
      <c r="AHG257" s="90"/>
      <c r="AHH257" s="90"/>
      <c r="AHI257" s="90"/>
      <c r="AHJ257" s="90"/>
      <c r="AHK257" s="90"/>
      <c r="AHL257" s="90"/>
      <c r="AHM257" s="90"/>
      <c r="AHN257" s="90"/>
      <c r="AHO257" s="90"/>
      <c r="AHP257" s="90"/>
      <c r="AHQ257" s="90"/>
      <c r="AHR257" s="90"/>
      <c r="AHS257" s="90"/>
      <c r="AHT257" s="90"/>
      <c r="AHU257" s="90"/>
      <c r="AHV257" s="90"/>
      <c r="AHW257" s="90"/>
      <c r="AHX257" s="90"/>
      <c r="AHY257" s="90"/>
      <c r="AHZ257" s="90"/>
      <c r="AIA257" s="90"/>
      <c r="AIB257" s="90"/>
      <c r="AIC257" s="90"/>
      <c r="AID257" s="90"/>
      <c r="AIE257" s="90"/>
      <c r="AIF257" s="90"/>
      <c r="AIG257" s="90"/>
      <c r="AIH257" s="90"/>
      <c r="AII257" s="90"/>
      <c r="AIJ257" s="90"/>
      <c r="AIK257" s="90"/>
      <c r="AIL257" s="90"/>
      <c r="AIM257" s="90"/>
      <c r="AIN257" s="90"/>
      <c r="AIO257" s="90"/>
      <c r="AIP257" s="90"/>
      <c r="AIQ257" s="90"/>
      <c r="AIR257" s="90"/>
      <c r="AIS257" s="90"/>
      <c r="AIT257" s="90"/>
      <c r="AIU257" s="90"/>
      <c r="AIV257" s="90"/>
      <c r="AIW257" s="90"/>
      <c r="AIX257" s="90"/>
      <c r="AIY257" s="90"/>
      <c r="AIZ257" s="90"/>
      <c r="AJA257" s="90"/>
      <c r="AJB257" s="90"/>
      <c r="AJC257" s="90"/>
      <c r="AJD257" s="90"/>
      <c r="AJE257" s="90"/>
      <c r="AJF257" s="90"/>
      <c r="AJG257" s="90"/>
      <c r="AJH257" s="90"/>
      <c r="AJI257" s="90"/>
      <c r="AJJ257" s="90"/>
      <c r="AJK257" s="90"/>
      <c r="AJL257" s="90"/>
      <c r="AJM257" s="90"/>
      <c r="AJN257" s="90"/>
      <c r="AJO257" s="90"/>
      <c r="AJP257" s="90"/>
      <c r="AJQ257" s="90"/>
      <c r="AJR257" s="90"/>
      <c r="AJS257" s="90"/>
      <c r="AJT257" s="90"/>
      <c r="AJU257" s="90"/>
      <c r="AJV257" s="90"/>
      <c r="AJW257" s="90"/>
      <c r="AJX257" s="90"/>
      <c r="AJY257" s="90"/>
      <c r="AJZ257" s="90"/>
      <c r="AKA257" s="90"/>
      <c r="AKB257" s="90"/>
      <c r="AKC257" s="90"/>
      <c r="AKD257" s="90"/>
      <c r="AKE257" s="90"/>
      <c r="AKF257" s="90"/>
      <c r="AKG257" s="90"/>
      <c r="AKH257" s="90"/>
      <c r="AKI257" s="90"/>
      <c r="AKJ257" s="90"/>
      <c r="AKK257" s="90"/>
      <c r="AKL257" s="90"/>
      <c r="AKM257" s="90"/>
      <c r="AKN257" s="90"/>
      <c r="AKO257" s="90"/>
      <c r="AKP257" s="90"/>
      <c r="AKQ257" s="90"/>
      <c r="AKR257" s="90"/>
      <c r="AKS257" s="90"/>
      <c r="AKT257" s="90"/>
      <c r="AKU257" s="90"/>
      <c r="AKV257" s="90"/>
      <c r="AKW257" s="90"/>
      <c r="AKX257" s="90"/>
      <c r="AKY257" s="90"/>
      <c r="AKZ257" s="90"/>
      <c r="ALA257" s="90"/>
      <c r="ALB257" s="90"/>
      <c r="ALC257" s="90"/>
      <c r="ALD257" s="90"/>
      <c r="ALE257" s="90"/>
      <c r="ALF257" s="90"/>
      <c r="ALG257" s="90"/>
      <c r="ALH257" s="90"/>
      <c r="ALI257" s="90"/>
      <c r="ALJ257" s="90"/>
      <c r="ALK257" s="90"/>
      <c r="ALL257" s="90"/>
      <c r="ALM257" s="90"/>
      <c r="ALN257" s="90"/>
      <c r="ALO257" s="90"/>
      <c r="ALP257" s="90"/>
      <c r="ALQ257" s="90"/>
      <c r="ALR257" s="90"/>
      <c r="ALS257" s="90"/>
      <c r="ALT257" s="90"/>
      <c r="ALU257" s="90"/>
      <c r="ALV257" s="90"/>
      <c r="ALW257" s="90"/>
      <c r="ALX257" s="90"/>
      <c r="ALY257" s="90"/>
      <c r="ALZ257" s="90"/>
      <c r="AMA257" s="90"/>
      <c r="AMB257" s="90"/>
      <c r="AMC257" s="90"/>
    </row>
    <row r="258" spans="1:1017">
      <c r="A258" s="98" t="s">
        <v>51</v>
      </c>
      <c r="B258" s="90" t="str">
        <f t="shared" si="1582"/>
        <v xml:space="preserve">Mas, Ikan Mas, Karper </v>
      </c>
      <c r="Q258" s="91">
        <f t="shared" si="1583"/>
        <v>0</v>
      </c>
      <c r="R258" s="91">
        <f t="shared" si="1584"/>
        <v>0</v>
      </c>
      <c r="Y258" s="98">
        <v>8945</v>
      </c>
      <c r="Z258" s="98">
        <v>313075</v>
      </c>
      <c r="AA258" s="98">
        <v>2810</v>
      </c>
      <c r="AB258" s="98">
        <v>98350</v>
      </c>
      <c r="AC258" s="98">
        <v>2460</v>
      </c>
      <c r="AD258" s="98">
        <v>86100</v>
      </c>
      <c r="AE258" s="98">
        <v>330</v>
      </c>
      <c r="AF258" s="98">
        <v>11550</v>
      </c>
      <c r="AG258" s="91">
        <f t="shared" si="1585"/>
        <v>14545</v>
      </c>
      <c r="AH258" s="91">
        <f t="shared" si="1586"/>
        <v>509075</v>
      </c>
      <c r="AW258" s="91">
        <f t="shared" si="1587"/>
        <v>0</v>
      </c>
      <c r="AX258" s="91">
        <f t="shared" si="1588"/>
        <v>0</v>
      </c>
      <c r="BM258" s="91">
        <f t="shared" si="1589"/>
        <v>0</v>
      </c>
      <c r="BN258" s="91">
        <f t="shared" si="1590"/>
        <v>0</v>
      </c>
      <c r="BU258" s="98">
        <v>200</v>
      </c>
      <c r="BV258" s="98">
        <v>5400</v>
      </c>
      <c r="CC258" s="91">
        <f t="shared" si="1591"/>
        <v>200</v>
      </c>
      <c r="CD258" s="91">
        <f t="shared" si="1592"/>
        <v>5400</v>
      </c>
      <c r="CK258" s="98">
        <v>227264</v>
      </c>
      <c r="CL258" s="611">
        <v>3181697.9161593444</v>
      </c>
      <c r="CS258" s="91">
        <f t="shared" si="1593"/>
        <v>227264</v>
      </c>
      <c r="CT258" s="91">
        <f t="shared" si="1594"/>
        <v>3181697.9161593444</v>
      </c>
      <c r="DA258" s="98">
        <v>2700</v>
      </c>
      <c r="DB258" s="98">
        <v>49950</v>
      </c>
      <c r="DC258" s="98">
        <v>810</v>
      </c>
      <c r="DD258" s="98">
        <v>18630</v>
      </c>
      <c r="DI258" s="91">
        <f t="shared" si="1595"/>
        <v>3510</v>
      </c>
      <c r="DJ258" s="91">
        <f t="shared" si="1596"/>
        <v>68580</v>
      </c>
      <c r="DQ258" s="98">
        <v>17500</v>
      </c>
      <c r="DR258" s="98">
        <v>350000</v>
      </c>
      <c r="DY258" s="91">
        <f t="shared" si="1597"/>
        <v>17500</v>
      </c>
      <c r="DZ258" s="91">
        <f t="shared" si="1598"/>
        <v>350000</v>
      </c>
      <c r="EG258" s="98">
        <v>430</v>
      </c>
      <c r="EH258" s="98">
        <v>6450</v>
      </c>
      <c r="EO258" s="91">
        <f t="shared" si="1599"/>
        <v>430</v>
      </c>
      <c r="EP258" s="91">
        <f t="shared" si="1600"/>
        <v>6450</v>
      </c>
      <c r="EW258" s="98">
        <v>44489</v>
      </c>
      <c r="EX258" s="98">
        <v>756313</v>
      </c>
      <c r="FE258" s="91">
        <f t="shared" si="1601"/>
        <v>44489</v>
      </c>
      <c r="FF258" s="91">
        <f t="shared" si="1602"/>
        <v>756313</v>
      </c>
      <c r="FM258" s="98">
        <v>300</v>
      </c>
      <c r="FN258" s="98">
        <v>9000</v>
      </c>
      <c r="FU258" s="91">
        <f t="shared" si="1603"/>
        <v>300</v>
      </c>
      <c r="FV258" s="91">
        <f t="shared" si="1604"/>
        <v>9000</v>
      </c>
      <c r="GC258" s="98">
        <v>300</v>
      </c>
      <c r="GD258" s="98">
        <v>7500</v>
      </c>
      <c r="GK258" s="91">
        <f t="shared" si="1605"/>
        <v>300</v>
      </c>
      <c r="GL258" s="91">
        <f t="shared" si="1606"/>
        <v>7500</v>
      </c>
      <c r="GS258" s="98">
        <v>1300</v>
      </c>
      <c r="GT258" s="98">
        <v>37700</v>
      </c>
      <c r="GY258" s="98">
        <v>30</v>
      </c>
      <c r="GZ258" s="98">
        <v>870</v>
      </c>
      <c r="HA258" s="91">
        <f t="shared" si="1607"/>
        <v>1330</v>
      </c>
      <c r="HB258" s="91">
        <f t="shared" si="1608"/>
        <v>38570</v>
      </c>
      <c r="HI258" s="98">
        <v>1000</v>
      </c>
      <c r="HJ258" s="98">
        <v>25000</v>
      </c>
      <c r="HQ258" s="91">
        <f t="shared" si="1609"/>
        <v>1000</v>
      </c>
      <c r="HR258" s="91">
        <f t="shared" si="1610"/>
        <v>25000</v>
      </c>
      <c r="IG258" s="91">
        <f t="shared" si="1611"/>
        <v>0</v>
      </c>
      <c r="IH258" s="91">
        <f t="shared" si="1612"/>
        <v>0</v>
      </c>
      <c r="IO258" s="98">
        <v>250</v>
      </c>
      <c r="IP258" s="98">
        <v>26250</v>
      </c>
      <c r="IW258" s="91">
        <f t="shared" si="1613"/>
        <v>250</v>
      </c>
      <c r="IX258" s="91">
        <f t="shared" si="1614"/>
        <v>26250</v>
      </c>
      <c r="JE258" s="98">
        <v>85</v>
      </c>
      <c r="JF258" s="98">
        <v>1870</v>
      </c>
      <c r="JM258" s="91">
        <f t="shared" si="1615"/>
        <v>85</v>
      </c>
      <c r="JN258" s="91">
        <f t="shared" si="1616"/>
        <v>1870</v>
      </c>
      <c r="KC258" s="91">
        <f t="shared" si="1617"/>
        <v>0</v>
      </c>
      <c r="KD258" s="91">
        <f t="shared" si="1618"/>
        <v>0</v>
      </c>
      <c r="KS258" s="91">
        <f t="shared" si="1619"/>
        <v>0</v>
      </c>
      <c r="KT258" s="91">
        <f t="shared" si="1620"/>
        <v>0</v>
      </c>
      <c r="LI258" s="91">
        <f t="shared" si="1621"/>
        <v>0</v>
      </c>
      <c r="LJ258" s="91">
        <f t="shared" si="1622"/>
        <v>0</v>
      </c>
      <c r="LY258" s="91">
        <f t="shared" si="1623"/>
        <v>0</v>
      </c>
      <c r="LZ258" s="91">
        <f t="shared" si="1624"/>
        <v>0</v>
      </c>
      <c r="MO258" s="91">
        <f t="shared" si="1625"/>
        <v>0</v>
      </c>
      <c r="MP258" s="91">
        <f t="shared" si="1626"/>
        <v>0</v>
      </c>
      <c r="NE258" s="91">
        <f t="shared" si="1627"/>
        <v>0</v>
      </c>
      <c r="NF258" s="91">
        <f t="shared" si="1628"/>
        <v>0</v>
      </c>
      <c r="NU258" s="91">
        <f t="shared" si="1629"/>
        <v>0</v>
      </c>
      <c r="NV258" s="91">
        <f t="shared" si="1630"/>
        <v>0</v>
      </c>
      <c r="OK258" s="91">
        <f t="shared" si="1631"/>
        <v>0</v>
      </c>
      <c r="OL258" s="91">
        <f t="shared" si="1632"/>
        <v>0</v>
      </c>
      <c r="PA258" s="91">
        <f t="shared" si="1633"/>
        <v>0</v>
      </c>
      <c r="PB258" s="91">
        <f t="shared" si="1634"/>
        <v>0</v>
      </c>
      <c r="PQ258" s="91">
        <f t="shared" si="1635"/>
        <v>0</v>
      </c>
      <c r="PR258" s="91">
        <f t="shared" si="1636"/>
        <v>0</v>
      </c>
      <c r="PY258" s="98">
        <v>77640</v>
      </c>
      <c r="PZ258" s="98">
        <v>1397520</v>
      </c>
      <c r="QA258" s="98">
        <v>25000</v>
      </c>
      <c r="QB258" s="98">
        <v>450000</v>
      </c>
      <c r="QC258" s="98">
        <v>63210</v>
      </c>
      <c r="QD258" s="98">
        <v>1137780</v>
      </c>
      <c r="QG258" s="91">
        <f t="shared" si="1637"/>
        <v>165850</v>
      </c>
      <c r="QH258" s="91">
        <f t="shared" si="1638"/>
        <v>2985300</v>
      </c>
      <c r="QW258" s="91">
        <f t="shared" si="1639"/>
        <v>0</v>
      </c>
      <c r="QX258" s="91">
        <f t="shared" si="1640"/>
        <v>0</v>
      </c>
      <c r="RE258" s="98">
        <v>190</v>
      </c>
      <c r="RF258" s="98">
        <f>RE258*37</f>
        <v>7030</v>
      </c>
      <c r="RM258" s="91">
        <f t="shared" si="1641"/>
        <v>190</v>
      </c>
      <c r="RN258" s="91">
        <f t="shared" si="1642"/>
        <v>7030</v>
      </c>
      <c r="SC258" s="91">
        <f t="shared" si="1643"/>
        <v>0</v>
      </c>
      <c r="SD258" s="91">
        <f t="shared" si="1644"/>
        <v>0</v>
      </c>
      <c r="SS258" s="91">
        <f t="shared" si="1645"/>
        <v>0</v>
      </c>
      <c r="ST258" s="91">
        <f t="shared" si="1646"/>
        <v>0</v>
      </c>
      <c r="TI258" s="91">
        <f t="shared" si="1647"/>
        <v>0</v>
      </c>
      <c r="TJ258" s="91">
        <f t="shared" si="1648"/>
        <v>0</v>
      </c>
      <c r="TU258" s="98">
        <v>600</v>
      </c>
      <c r="TV258" s="98">
        <v>21000</v>
      </c>
      <c r="TY258" s="91">
        <f t="shared" si="1649"/>
        <v>600</v>
      </c>
      <c r="TZ258" s="91">
        <f t="shared" si="1650"/>
        <v>21000</v>
      </c>
      <c r="UO258" s="91">
        <f t="shared" si="1651"/>
        <v>0</v>
      </c>
      <c r="UP258" s="91">
        <f t="shared" si="1652"/>
        <v>0</v>
      </c>
      <c r="VE258" s="91">
        <f t="shared" si="1653"/>
        <v>0</v>
      </c>
      <c r="VF258" s="91">
        <f t="shared" si="1654"/>
        <v>0</v>
      </c>
      <c r="VI258" s="98">
        <v>37</v>
      </c>
      <c r="VJ258" s="98">
        <v>333</v>
      </c>
      <c r="VU258" s="91">
        <f t="shared" si="1655"/>
        <v>37</v>
      </c>
      <c r="VV258" s="91">
        <f t="shared" si="1656"/>
        <v>333</v>
      </c>
      <c r="WK258" s="91">
        <f t="shared" si="1657"/>
        <v>0</v>
      </c>
      <c r="WL258" s="91">
        <f t="shared" si="1658"/>
        <v>0</v>
      </c>
      <c r="WM258" s="89"/>
      <c r="WN258" s="87">
        <f t="shared" si="1659"/>
        <v>0</v>
      </c>
      <c r="WO258" s="87">
        <f t="shared" si="1660"/>
        <v>0</v>
      </c>
      <c r="WP258" s="87">
        <f t="shared" si="1661"/>
        <v>37</v>
      </c>
      <c r="WQ258" s="87">
        <f t="shared" si="1662"/>
        <v>333</v>
      </c>
      <c r="WR258" s="87">
        <f t="shared" si="1663"/>
        <v>0</v>
      </c>
      <c r="WS258" s="87">
        <f t="shared" si="1664"/>
        <v>0</v>
      </c>
      <c r="WT258" s="87">
        <f t="shared" si="1665"/>
        <v>382593</v>
      </c>
      <c r="WU258" s="87">
        <f t="shared" si="1666"/>
        <v>6174755.9161593448</v>
      </c>
      <c r="WV258" s="87">
        <f t="shared" si="1667"/>
        <v>28620</v>
      </c>
      <c r="WW258" s="87">
        <f t="shared" si="1668"/>
        <v>566980</v>
      </c>
      <c r="WX258" s="87">
        <f t="shared" si="1669"/>
        <v>66270</v>
      </c>
      <c r="WY258" s="87">
        <f t="shared" si="1670"/>
        <v>1244880</v>
      </c>
      <c r="WZ258" s="87">
        <f t="shared" si="1671"/>
        <v>360</v>
      </c>
      <c r="XA258" s="87">
        <f t="shared" si="1672"/>
        <v>12420</v>
      </c>
      <c r="XB258" s="92">
        <f t="shared" si="1673"/>
        <v>477880</v>
      </c>
      <c r="XC258" s="92">
        <f t="shared" si="1674"/>
        <v>7999368.9161593448</v>
      </c>
      <c r="XD258" s="89"/>
      <c r="XE258" s="92"/>
      <c r="XF258" s="92"/>
      <c r="XG258" s="89"/>
      <c r="XH258" s="92"/>
      <c r="XI258" s="92"/>
      <c r="XJ258" s="89"/>
      <c r="XK258" s="87"/>
      <c r="XL258" s="87"/>
      <c r="XM258" s="87"/>
      <c r="XN258" s="87"/>
      <c r="XO258" s="87"/>
      <c r="XP258" s="87"/>
      <c r="XQ258" s="87"/>
      <c r="XR258" s="92">
        <f t="shared" ca="1" si="1675"/>
        <v>0</v>
      </c>
      <c r="XS258" s="89"/>
      <c r="XT258" s="87"/>
      <c r="XU258" s="87"/>
      <c r="XV258" s="87"/>
      <c r="XW258" s="87"/>
      <c r="XX258" s="87"/>
      <c r="XY258" s="87"/>
      <c r="XZ258" s="87"/>
      <c r="YA258" s="92">
        <f t="shared" ca="1" si="1676"/>
        <v>0</v>
      </c>
      <c r="YB258" s="90"/>
      <c r="YC258" s="90"/>
      <c r="YD258" s="90"/>
      <c r="YE258" s="90"/>
      <c r="YF258" s="90"/>
      <c r="YG258" s="90"/>
      <c r="YH258" s="90"/>
      <c r="YI258" s="90"/>
      <c r="YJ258" s="90"/>
      <c r="YK258" s="90"/>
      <c r="YL258" s="90"/>
      <c r="YM258" s="90"/>
      <c r="YN258" s="90"/>
      <c r="YO258" s="90"/>
      <c r="YP258" s="90"/>
      <c r="YQ258" s="90"/>
      <c r="YR258" s="90"/>
      <c r="YS258" s="90"/>
      <c r="YT258" s="90"/>
      <c r="YU258" s="90"/>
      <c r="YV258" s="90"/>
      <c r="YW258" s="90"/>
      <c r="YX258" s="90"/>
      <c r="YY258" s="90"/>
      <c r="YZ258" s="90"/>
      <c r="ZA258" s="90"/>
      <c r="ZB258" s="90"/>
      <c r="ZC258" s="90"/>
      <c r="ZD258" s="90"/>
      <c r="ZE258" s="90"/>
      <c r="ZF258" s="90"/>
      <c r="ZG258" s="90"/>
      <c r="ZH258" s="90"/>
      <c r="ZI258" s="90"/>
      <c r="ZJ258" s="90"/>
      <c r="ZK258" s="90"/>
      <c r="ZL258" s="90"/>
      <c r="ZM258" s="90"/>
      <c r="ZN258" s="90"/>
      <c r="ZO258" s="90"/>
      <c r="ZP258" s="90"/>
      <c r="ZQ258" s="90"/>
      <c r="ZR258" s="90"/>
      <c r="ZS258" s="90"/>
      <c r="ZT258" s="90"/>
      <c r="ZU258" s="90"/>
      <c r="ZV258" s="90"/>
      <c r="ZW258" s="90"/>
      <c r="ZX258" s="90"/>
      <c r="ZY258" s="90"/>
      <c r="ZZ258" s="90"/>
      <c r="AAA258" s="90"/>
      <c r="AAB258" s="90"/>
      <c r="AAC258" s="90"/>
      <c r="AAD258" s="90"/>
      <c r="AAE258" s="90"/>
      <c r="AAF258" s="90"/>
      <c r="AAG258" s="90"/>
      <c r="AAH258" s="90"/>
      <c r="AAI258" s="90"/>
      <c r="AAJ258" s="90"/>
      <c r="AAK258" s="90"/>
      <c r="AAL258" s="90"/>
      <c r="AAM258" s="90"/>
      <c r="AAN258" s="90"/>
      <c r="AAO258" s="90"/>
      <c r="AAP258" s="90"/>
      <c r="AAQ258" s="90"/>
      <c r="AAR258" s="90"/>
      <c r="AAS258" s="90"/>
      <c r="AAT258" s="90"/>
      <c r="AAU258" s="90"/>
      <c r="AAV258" s="90"/>
      <c r="AAW258" s="90"/>
      <c r="AAX258" s="90"/>
      <c r="AAY258" s="90"/>
      <c r="AAZ258" s="90"/>
      <c r="ABA258" s="90"/>
      <c r="ABB258" s="90"/>
      <c r="ABC258" s="90"/>
      <c r="ABD258" s="90"/>
      <c r="ABE258" s="90"/>
      <c r="ABF258" s="90"/>
      <c r="ABG258" s="90"/>
      <c r="ABH258" s="90"/>
      <c r="ABI258" s="90"/>
      <c r="ABJ258" s="90"/>
      <c r="ABK258" s="90"/>
      <c r="ABL258" s="90"/>
      <c r="ABM258" s="90"/>
      <c r="ABN258" s="90"/>
      <c r="ABO258" s="90"/>
      <c r="ABP258" s="90"/>
      <c r="ABQ258" s="90"/>
      <c r="ABR258" s="90"/>
      <c r="ABS258" s="90"/>
      <c r="ABT258" s="90"/>
      <c r="ABU258" s="90"/>
      <c r="ABV258" s="90"/>
      <c r="ABW258" s="90"/>
      <c r="ABX258" s="90"/>
      <c r="ABY258" s="90"/>
      <c r="ABZ258" s="90"/>
      <c r="ACA258" s="90"/>
      <c r="ACB258" s="90"/>
      <c r="ACC258" s="90"/>
      <c r="ACD258" s="90"/>
      <c r="ACE258" s="90"/>
      <c r="ACF258" s="90"/>
      <c r="ACG258" s="90"/>
      <c r="ACH258" s="90"/>
      <c r="ACI258" s="90"/>
      <c r="ACJ258" s="90"/>
      <c r="ACK258" s="90"/>
      <c r="ACL258" s="90"/>
      <c r="ACM258" s="90"/>
      <c r="ACN258" s="90"/>
      <c r="ACO258" s="90"/>
      <c r="ACP258" s="90"/>
      <c r="ACQ258" s="90"/>
      <c r="ACR258" s="90"/>
      <c r="ACS258" s="90"/>
      <c r="ACT258" s="90"/>
      <c r="ACU258" s="90"/>
      <c r="ACV258" s="90"/>
      <c r="ACW258" s="90"/>
      <c r="ACX258" s="90"/>
      <c r="ACY258" s="90"/>
      <c r="ACZ258" s="90"/>
      <c r="ADA258" s="90"/>
      <c r="ADB258" s="90"/>
      <c r="ADC258" s="90"/>
      <c r="ADD258" s="90"/>
      <c r="ADE258" s="90"/>
      <c r="ADF258" s="90"/>
      <c r="ADG258" s="90"/>
      <c r="ADH258" s="90"/>
      <c r="ADI258" s="90"/>
      <c r="ADJ258" s="90"/>
      <c r="ADK258" s="90"/>
      <c r="ADL258" s="90"/>
      <c r="ADM258" s="90"/>
      <c r="ADN258" s="90"/>
      <c r="ADO258" s="90"/>
      <c r="ADP258" s="90"/>
      <c r="ADQ258" s="90"/>
      <c r="ADR258" s="90"/>
      <c r="ADS258" s="90"/>
      <c r="ADT258" s="90"/>
      <c r="ADU258" s="90"/>
      <c r="ADV258" s="90"/>
      <c r="ADW258" s="90"/>
      <c r="ADX258" s="90"/>
      <c r="ADY258" s="90"/>
      <c r="ADZ258" s="90"/>
      <c r="AEA258" s="90"/>
      <c r="AEB258" s="90"/>
      <c r="AEC258" s="90"/>
      <c r="AED258" s="90"/>
      <c r="AEE258" s="90"/>
      <c r="AEF258" s="90"/>
      <c r="AEG258" s="90"/>
      <c r="AEH258" s="90"/>
      <c r="AEI258" s="90"/>
      <c r="AEJ258" s="90"/>
      <c r="AEK258" s="90"/>
      <c r="AEL258" s="90"/>
      <c r="AEM258" s="90"/>
      <c r="AEN258" s="90"/>
      <c r="AEO258" s="90"/>
      <c r="AEP258" s="90"/>
      <c r="AEQ258" s="90"/>
      <c r="AER258" s="90"/>
      <c r="AES258" s="90"/>
      <c r="AET258" s="90"/>
      <c r="AEU258" s="90"/>
      <c r="AEV258" s="90"/>
      <c r="AEW258" s="90"/>
      <c r="AEX258" s="90"/>
      <c r="AEY258" s="90"/>
      <c r="AEZ258" s="90"/>
      <c r="AFA258" s="90"/>
      <c r="AFB258" s="90"/>
      <c r="AFC258" s="90"/>
      <c r="AFD258" s="90"/>
      <c r="AFE258" s="90"/>
      <c r="AFF258" s="90"/>
      <c r="AFG258" s="90"/>
      <c r="AFH258" s="90"/>
      <c r="AFI258" s="90"/>
      <c r="AFJ258" s="90"/>
      <c r="AFK258" s="90"/>
      <c r="AFL258" s="90"/>
      <c r="AFM258" s="90"/>
      <c r="AFN258" s="90"/>
      <c r="AFO258" s="90"/>
      <c r="AFP258" s="90"/>
      <c r="AFQ258" s="90"/>
      <c r="AFR258" s="90"/>
      <c r="AFS258" s="90"/>
      <c r="AFT258" s="90"/>
      <c r="AFU258" s="90"/>
      <c r="AFV258" s="90"/>
      <c r="AFW258" s="90"/>
      <c r="AFX258" s="90"/>
      <c r="AFY258" s="90"/>
      <c r="AFZ258" s="90"/>
      <c r="AGA258" s="90"/>
      <c r="AGB258" s="90"/>
      <c r="AGC258" s="90"/>
      <c r="AGD258" s="90"/>
      <c r="AGE258" s="90"/>
      <c r="AGF258" s="90"/>
      <c r="AGG258" s="90"/>
      <c r="AGH258" s="90"/>
      <c r="AGI258" s="90"/>
      <c r="AGJ258" s="90"/>
      <c r="AGK258" s="90"/>
      <c r="AGL258" s="90"/>
      <c r="AGM258" s="90"/>
      <c r="AGN258" s="90"/>
      <c r="AGO258" s="90"/>
      <c r="AGP258" s="90"/>
      <c r="AGQ258" s="90"/>
      <c r="AGR258" s="90"/>
      <c r="AGS258" s="90"/>
      <c r="AGT258" s="90"/>
      <c r="AGU258" s="90"/>
      <c r="AGV258" s="90"/>
      <c r="AGW258" s="90"/>
      <c r="AGX258" s="90"/>
      <c r="AGY258" s="90"/>
      <c r="AGZ258" s="90"/>
      <c r="AHA258" s="90"/>
      <c r="AHB258" s="90"/>
      <c r="AHC258" s="90"/>
      <c r="AHD258" s="90"/>
      <c r="AHE258" s="90"/>
      <c r="AHF258" s="90"/>
      <c r="AHG258" s="90"/>
      <c r="AHH258" s="90"/>
      <c r="AHI258" s="90"/>
      <c r="AHJ258" s="90"/>
      <c r="AHK258" s="90"/>
      <c r="AHL258" s="90"/>
      <c r="AHM258" s="90"/>
      <c r="AHN258" s="90"/>
      <c r="AHO258" s="90"/>
      <c r="AHP258" s="90"/>
      <c r="AHQ258" s="90"/>
      <c r="AHR258" s="90"/>
      <c r="AHS258" s="90"/>
      <c r="AHT258" s="90"/>
      <c r="AHU258" s="90"/>
      <c r="AHV258" s="90"/>
      <c r="AHW258" s="90"/>
      <c r="AHX258" s="90"/>
      <c r="AHY258" s="90"/>
      <c r="AHZ258" s="90"/>
      <c r="AIA258" s="90"/>
      <c r="AIB258" s="90"/>
      <c r="AIC258" s="90"/>
      <c r="AID258" s="90"/>
      <c r="AIE258" s="90"/>
      <c r="AIF258" s="90"/>
      <c r="AIG258" s="90"/>
      <c r="AIH258" s="90"/>
      <c r="AII258" s="90"/>
      <c r="AIJ258" s="90"/>
      <c r="AIK258" s="90"/>
      <c r="AIL258" s="90"/>
      <c r="AIM258" s="90"/>
      <c r="AIN258" s="90"/>
      <c r="AIO258" s="90"/>
      <c r="AIP258" s="90"/>
      <c r="AIQ258" s="90"/>
      <c r="AIR258" s="90"/>
      <c r="AIS258" s="90"/>
      <c r="AIT258" s="90"/>
      <c r="AIU258" s="90"/>
      <c r="AIV258" s="90"/>
      <c r="AIW258" s="90"/>
      <c r="AIX258" s="90"/>
      <c r="AIY258" s="90"/>
      <c r="AIZ258" s="90"/>
      <c r="AJA258" s="90"/>
      <c r="AJB258" s="90"/>
      <c r="AJC258" s="90"/>
      <c r="AJD258" s="90"/>
      <c r="AJE258" s="90"/>
      <c r="AJF258" s="90"/>
      <c r="AJG258" s="90"/>
      <c r="AJH258" s="90"/>
      <c r="AJI258" s="90"/>
      <c r="AJJ258" s="90"/>
      <c r="AJK258" s="90"/>
      <c r="AJL258" s="90"/>
      <c r="AJM258" s="90"/>
      <c r="AJN258" s="90"/>
      <c r="AJO258" s="90"/>
      <c r="AJP258" s="90"/>
      <c r="AJQ258" s="90"/>
      <c r="AJR258" s="90"/>
      <c r="AJS258" s="90"/>
      <c r="AJT258" s="90"/>
      <c r="AJU258" s="90"/>
      <c r="AJV258" s="90"/>
      <c r="AJW258" s="90"/>
      <c r="AJX258" s="90"/>
      <c r="AJY258" s="90"/>
      <c r="AJZ258" s="90"/>
      <c r="AKA258" s="90"/>
      <c r="AKB258" s="90"/>
      <c r="AKC258" s="90"/>
      <c r="AKD258" s="90"/>
      <c r="AKE258" s="90"/>
      <c r="AKF258" s="90"/>
      <c r="AKG258" s="90"/>
      <c r="AKH258" s="90"/>
      <c r="AKI258" s="90"/>
      <c r="AKJ258" s="90"/>
      <c r="AKK258" s="90"/>
      <c r="AKL258" s="90"/>
      <c r="AKM258" s="90"/>
      <c r="AKN258" s="90"/>
      <c r="AKO258" s="90"/>
      <c r="AKP258" s="90"/>
      <c r="AKQ258" s="90"/>
      <c r="AKR258" s="90"/>
      <c r="AKS258" s="90"/>
      <c r="AKT258" s="90"/>
      <c r="AKU258" s="90"/>
      <c r="AKV258" s="90"/>
      <c r="AKW258" s="90"/>
      <c r="AKX258" s="90"/>
      <c r="AKY258" s="90"/>
      <c r="AKZ258" s="90"/>
      <c r="ALA258" s="90"/>
      <c r="ALB258" s="90"/>
      <c r="ALC258" s="90"/>
      <c r="ALD258" s="90"/>
      <c r="ALE258" s="90"/>
      <c r="ALF258" s="90"/>
      <c r="ALG258" s="90"/>
      <c r="ALH258" s="90"/>
      <c r="ALI258" s="90"/>
      <c r="ALJ258" s="90"/>
      <c r="ALK258" s="90"/>
      <c r="ALL258" s="90"/>
      <c r="ALM258" s="90"/>
      <c r="ALN258" s="90"/>
      <c r="ALO258" s="90"/>
      <c r="ALP258" s="90"/>
      <c r="ALQ258" s="90"/>
      <c r="ALR258" s="90"/>
      <c r="ALS258" s="90"/>
      <c r="ALT258" s="90"/>
      <c r="ALU258" s="90"/>
      <c r="ALV258" s="90"/>
      <c r="ALW258" s="90"/>
      <c r="ALX258" s="90"/>
      <c r="ALY258" s="90"/>
      <c r="ALZ258" s="90"/>
      <c r="AMA258" s="90"/>
      <c r="AMB258" s="90"/>
      <c r="AMC258" s="90"/>
    </row>
    <row r="259" spans="1:1017">
      <c r="A259" s="98" t="s">
        <v>51</v>
      </c>
      <c r="B259" s="90" t="str">
        <f t="shared" si="1582"/>
        <v xml:space="preserve">Mujair </v>
      </c>
      <c r="E259" s="98">
        <v>102000</v>
      </c>
      <c r="F259" s="98">
        <v>1530000</v>
      </c>
      <c r="I259" s="98">
        <v>2400</v>
      </c>
      <c r="J259" s="98">
        <v>36000</v>
      </c>
      <c r="Q259" s="91">
        <f t="shared" si="1583"/>
        <v>104400</v>
      </c>
      <c r="R259" s="91">
        <f t="shared" si="1584"/>
        <v>1566000</v>
      </c>
      <c r="U259" s="98">
        <v>6625</v>
      </c>
      <c r="V259" s="98">
        <v>99375</v>
      </c>
      <c r="Y259" s="98">
        <v>7030</v>
      </c>
      <c r="Z259" s="98">
        <v>105450</v>
      </c>
      <c r="AG259" s="91">
        <f t="shared" si="1585"/>
        <v>13655</v>
      </c>
      <c r="AH259" s="91">
        <f t="shared" si="1586"/>
        <v>204825</v>
      </c>
      <c r="AW259" s="91">
        <f t="shared" si="1587"/>
        <v>0</v>
      </c>
      <c r="AX259" s="91">
        <f t="shared" si="1588"/>
        <v>0</v>
      </c>
      <c r="BM259" s="91">
        <f t="shared" si="1589"/>
        <v>0</v>
      </c>
      <c r="BN259" s="91">
        <f t="shared" si="1590"/>
        <v>0</v>
      </c>
      <c r="BU259" s="98">
        <v>30</v>
      </c>
      <c r="BV259" s="98">
        <v>750</v>
      </c>
      <c r="CC259" s="91">
        <f t="shared" si="1591"/>
        <v>30</v>
      </c>
      <c r="CD259" s="91">
        <f t="shared" si="1592"/>
        <v>750</v>
      </c>
      <c r="CG259" s="98">
        <v>276119.12543654745</v>
      </c>
      <c r="CH259" s="98">
        <v>2485072.1289289268</v>
      </c>
      <c r="CK259" s="98">
        <v>397746</v>
      </c>
      <c r="CL259" s="611">
        <v>3579711</v>
      </c>
      <c r="CS259" s="91">
        <f t="shared" si="1593"/>
        <v>673865.12543654745</v>
      </c>
      <c r="CT259" s="91">
        <f t="shared" si="1594"/>
        <v>6064783.1289289268</v>
      </c>
      <c r="DI259" s="91">
        <f t="shared" si="1595"/>
        <v>0</v>
      </c>
      <c r="DJ259" s="91">
        <f t="shared" si="1596"/>
        <v>0</v>
      </c>
      <c r="DY259" s="91">
        <f t="shared" si="1597"/>
        <v>0</v>
      </c>
      <c r="DZ259" s="91">
        <f t="shared" si="1598"/>
        <v>0</v>
      </c>
      <c r="EO259" s="91">
        <f t="shared" si="1599"/>
        <v>0</v>
      </c>
      <c r="EP259" s="91">
        <f t="shared" si="1600"/>
        <v>0</v>
      </c>
      <c r="ES259" s="98">
        <v>939</v>
      </c>
      <c r="ET259" s="98">
        <v>4695</v>
      </c>
      <c r="EW259" s="98">
        <v>3674</v>
      </c>
      <c r="EX259" s="98">
        <v>18370</v>
      </c>
      <c r="FE259" s="91">
        <f t="shared" si="1601"/>
        <v>4613</v>
      </c>
      <c r="FF259" s="91">
        <f t="shared" si="1602"/>
        <v>23065</v>
      </c>
      <c r="FU259" s="91">
        <f t="shared" si="1603"/>
        <v>0</v>
      </c>
      <c r="FV259" s="91">
        <f t="shared" si="1604"/>
        <v>0</v>
      </c>
      <c r="GK259" s="91">
        <f t="shared" si="1605"/>
        <v>0</v>
      </c>
      <c r="GL259" s="91">
        <f t="shared" si="1606"/>
        <v>0</v>
      </c>
      <c r="HA259" s="91">
        <f t="shared" si="1607"/>
        <v>0</v>
      </c>
      <c r="HB259" s="91">
        <f t="shared" si="1608"/>
        <v>0</v>
      </c>
      <c r="HQ259" s="91">
        <f t="shared" si="1609"/>
        <v>0</v>
      </c>
      <c r="HR259" s="91">
        <f t="shared" si="1610"/>
        <v>0</v>
      </c>
      <c r="IG259" s="91">
        <f t="shared" si="1611"/>
        <v>0</v>
      </c>
      <c r="IH259" s="91">
        <f t="shared" si="1612"/>
        <v>0</v>
      </c>
      <c r="IW259" s="91">
        <f t="shared" si="1613"/>
        <v>0</v>
      </c>
      <c r="IX259" s="91">
        <f t="shared" si="1614"/>
        <v>0</v>
      </c>
      <c r="JM259" s="91">
        <f t="shared" si="1615"/>
        <v>0</v>
      </c>
      <c r="JN259" s="91">
        <f t="shared" si="1616"/>
        <v>0</v>
      </c>
      <c r="KC259" s="91">
        <f t="shared" si="1617"/>
        <v>0</v>
      </c>
      <c r="KD259" s="91">
        <f t="shared" si="1618"/>
        <v>0</v>
      </c>
      <c r="KS259" s="91">
        <f t="shared" si="1619"/>
        <v>0</v>
      </c>
      <c r="KT259" s="91">
        <f t="shared" si="1620"/>
        <v>0</v>
      </c>
      <c r="LI259" s="91">
        <f t="shared" si="1621"/>
        <v>0</v>
      </c>
      <c r="LJ259" s="91">
        <f t="shared" si="1622"/>
        <v>0</v>
      </c>
      <c r="LY259" s="91">
        <f t="shared" si="1623"/>
        <v>0</v>
      </c>
      <c r="LZ259" s="91">
        <f t="shared" si="1624"/>
        <v>0</v>
      </c>
      <c r="MC259" s="98">
        <v>5420</v>
      </c>
      <c r="MD259" s="98">
        <v>54200</v>
      </c>
      <c r="MO259" s="91">
        <f t="shared" si="1625"/>
        <v>5420</v>
      </c>
      <c r="MP259" s="91">
        <f t="shared" si="1626"/>
        <v>54200</v>
      </c>
      <c r="MS259" s="98">
        <v>1800</v>
      </c>
      <c r="MT259" s="98">
        <v>45000</v>
      </c>
      <c r="NE259" s="91">
        <f t="shared" si="1627"/>
        <v>1800</v>
      </c>
      <c r="NF259" s="91">
        <f t="shared" si="1628"/>
        <v>45000</v>
      </c>
      <c r="NI259" s="98">
        <v>215000</v>
      </c>
      <c r="NJ259" s="98">
        <v>3440000</v>
      </c>
      <c r="NU259" s="91">
        <f t="shared" si="1629"/>
        <v>215000</v>
      </c>
      <c r="NV259" s="91">
        <f t="shared" si="1630"/>
        <v>3440000</v>
      </c>
      <c r="OK259" s="91">
        <f t="shared" si="1631"/>
        <v>0</v>
      </c>
      <c r="OL259" s="91">
        <f t="shared" si="1632"/>
        <v>0</v>
      </c>
      <c r="PA259" s="91">
        <f t="shared" si="1633"/>
        <v>0</v>
      </c>
      <c r="PB259" s="91">
        <f t="shared" si="1634"/>
        <v>0</v>
      </c>
      <c r="PQ259" s="91">
        <f t="shared" si="1635"/>
        <v>0</v>
      </c>
      <c r="PR259" s="91">
        <f t="shared" si="1636"/>
        <v>0</v>
      </c>
      <c r="PU259" s="98">
        <v>2980</v>
      </c>
      <c r="PV259" s="98">
        <v>35760</v>
      </c>
      <c r="QG259" s="91">
        <f t="shared" si="1637"/>
        <v>2980</v>
      </c>
      <c r="QH259" s="91">
        <f t="shared" si="1638"/>
        <v>35760</v>
      </c>
      <c r="QW259" s="91">
        <f t="shared" si="1639"/>
        <v>0</v>
      </c>
      <c r="QX259" s="91">
        <f t="shared" si="1640"/>
        <v>0</v>
      </c>
      <c r="RM259" s="91">
        <f t="shared" si="1641"/>
        <v>0</v>
      </c>
      <c r="RN259" s="91">
        <f t="shared" si="1642"/>
        <v>0</v>
      </c>
      <c r="SC259" s="91">
        <f t="shared" si="1643"/>
        <v>0</v>
      </c>
      <c r="SD259" s="91">
        <f t="shared" si="1644"/>
        <v>0</v>
      </c>
      <c r="SS259" s="91">
        <f t="shared" si="1645"/>
        <v>0</v>
      </c>
      <c r="ST259" s="91">
        <f t="shared" si="1646"/>
        <v>0</v>
      </c>
      <c r="TI259" s="91">
        <f t="shared" si="1647"/>
        <v>0</v>
      </c>
      <c r="TJ259" s="91">
        <f t="shared" si="1648"/>
        <v>0</v>
      </c>
      <c r="TY259" s="91">
        <f t="shared" si="1649"/>
        <v>0</v>
      </c>
      <c r="TZ259" s="91">
        <f t="shared" si="1650"/>
        <v>0</v>
      </c>
      <c r="UO259" s="91">
        <f t="shared" si="1651"/>
        <v>0</v>
      </c>
      <c r="UP259" s="91">
        <f t="shared" si="1652"/>
        <v>0</v>
      </c>
      <c r="VE259" s="91">
        <f t="shared" si="1653"/>
        <v>0</v>
      </c>
      <c r="VF259" s="91">
        <f t="shared" si="1654"/>
        <v>0</v>
      </c>
      <c r="VU259" s="91">
        <f t="shared" si="1655"/>
        <v>0</v>
      </c>
      <c r="VV259" s="91">
        <f t="shared" si="1656"/>
        <v>0</v>
      </c>
      <c r="WK259" s="91">
        <f t="shared" si="1657"/>
        <v>0</v>
      </c>
      <c r="WL259" s="91">
        <f t="shared" si="1658"/>
        <v>0</v>
      </c>
      <c r="WM259" s="89"/>
      <c r="WN259" s="87">
        <f t="shared" si="1659"/>
        <v>0</v>
      </c>
      <c r="WO259" s="87">
        <f t="shared" si="1660"/>
        <v>0</v>
      </c>
      <c r="WP259" s="87">
        <f t="shared" si="1661"/>
        <v>610883.12543654745</v>
      </c>
      <c r="WQ259" s="87">
        <f t="shared" si="1662"/>
        <v>7694102.1289289268</v>
      </c>
      <c r="WR259" s="87">
        <f t="shared" si="1663"/>
        <v>0</v>
      </c>
      <c r="WS259" s="87">
        <f t="shared" si="1664"/>
        <v>0</v>
      </c>
      <c r="WT259" s="87">
        <f t="shared" si="1665"/>
        <v>410880</v>
      </c>
      <c r="WU259" s="87">
        <f t="shared" si="1666"/>
        <v>3740281</v>
      </c>
      <c r="WV259" s="87">
        <f t="shared" si="1667"/>
        <v>0</v>
      </c>
      <c r="WW259" s="87">
        <f t="shared" si="1668"/>
        <v>0</v>
      </c>
      <c r="WX259" s="87">
        <f t="shared" si="1669"/>
        <v>0</v>
      </c>
      <c r="WY259" s="87">
        <f t="shared" si="1670"/>
        <v>0</v>
      </c>
      <c r="WZ259" s="87">
        <f t="shared" si="1671"/>
        <v>0</v>
      </c>
      <c r="XA259" s="87">
        <f t="shared" si="1672"/>
        <v>0</v>
      </c>
      <c r="XB259" s="92">
        <f t="shared" si="1673"/>
        <v>1021763.1254365474</v>
      </c>
      <c r="XC259" s="92">
        <f t="shared" si="1674"/>
        <v>11434383.128928926</v>
      </c>
      <c r="XD259" s="89"/>
      <c r="XE259" s="92"/>
      <c r="XF259" s="92"/>
      <c r="XG259" s="89"/>
      <c r="XH259" s="92"/>
      <c r="XI259" s="92"/>
      <c r="XJ259" s="89"/>
      <c r="XK259" s="87"/>
      <c r="XL259" s="87"/>
      <c r="XM259" s="87"/>
      <c r="XN259" s="87"/>
      <c r="XO259" s="87"/>
      <c r="XP259" s="87"/>
      <c r="XQ259" s="87"/>
      <c r="XR259" s="92">
        <f t="shared" ca="1" si="1675"/>
        <v>0</v>
      </c>
      <c r="XS259" s="89"/>
      <c r="XT259" s="87"/>
      <c r="XU259" s="87"/>
      <c r="XV259" s="87"/>
      <c r="XW259" s="87"/>
      <c r="XX259" s="87"/>
      <c r="XY259" s="87"/>
      <c r="XZ259" s="87"/>
      <c r="YA259" s="92">
        <f t="shared" ca="1" si="1676"/>
        <v>0</v>
      </c>
      <c r="YB259" s="90"/>
      <c r="YC259" s="90"/>
      <c r="YD259" s="90"/>
      <c r="YE259" s="90"/>
      <c r="YF259" s="90"/>
      <c r="YG259" s="90"/>
      <c r="YH259" s="90"/>
      <c r="YI259" s="90"/>
      <c r="YJ259" s="90"/>
      <c r="YK259" s="90"/>
      <c r="YL259" s="90"/>
      <c r="YM259" s="90"/>
      <c r="YN259" s="90"/>
      <c r="YO259" s="90"/>
      <c r="YP259" s="90"/>
      <c r="YQ259" s="90"/>
      <c r="YR259" s="90"/>
      <c r="YS259" s="90"/>
      <c r="YT259" s="90"/>
      <c r="YU259" s="90"/>
      <c r="YV259" s="90"/>
      <c r="YW259" s="90"/>
      <c r="YX259" s="90"/>
      <c r="YY259" s="90"/>
      <c r="YZ259" s="90"/>
      <c r="ZA259" s="90"/>
      <c r="ZB259" s="90"/>
      <c r="ZC259" s="90"/>
      <c r="ZD259" s="90"/>
      <c r="ZE259" s="90"/>
      <c r="ZF259" s="90"/>
      <c r="ZG259" s="90"/>
      <c r="ZH259" s="90"/>
      <c r="ZI259" s="90"/>
      <c r="ZJ259" s="90"/>
      <c r="ZK259" s="90"/>
      <c r="ZL259" s="90"/>
      <c r="ZM259" s="90"/>
      <c r="ZN259" s="90"/>
      <c r="ZO259" s="90"/>
      <c r="ZP259" s="90"/>
      <c r="ZQ259" s="90"/>
      <c r="ZR259" s="90"/>
      <c r="ZS259" s="90"/>
      <c r="ZT259" s="90"/>
      <c r="ZU259" s="90"/>
      <c r="ZV259" s="90"/>
      <c r="ZW259" s="90"/>
      <c r="ZX259" s="90"/>
      <c r="ZY259" s="90"/>
      <c r="ZZ259" s="90"/>
      <c r="AAA259" s="90"/>
      <c r="AAB259" s="90"/>
      <c r="AAC259" s="90"/>
      <c r="AAD259" s="90"/>
      <c r="AAE259" s="90"/>
      <c r="AAF259" s="90"/>
      <c r="AAG259" s="90"/>
      <c r="AAH259" s="90"/>
      <c r="AAI259" s="90"/>
      <c r="AAJ259" s="90"/>
      <c r="AAK259" s="90"/>
      <c r="AAL259" s="90"/>
      <c r="AAM259" s="90"/>
      <c r="AAN259" s="90"/>
      <c r="AAO259" s="90"/>
      <c r="AAP259" s="90"/>
      <c r="AAQ259" s="90"/>
      <c r="AAR259" s="90"/>
      <c r="AAS259" s="90"/>
      <c r="AAT259" s="90"/>
      <c r="AAU259" s="90"/>
      <c r="AAV259" s="90"/>
      <c r="AAW259" s="90"/>
      <c r="AAX259" s="90"/>
      <c r="AAY259" s="90"/>
      <c r="AAZ259" s="90"/>
      <c r="ABA259" s="90"/>
      <c r="ABB259" s="90"/>
      <c r="ABC259" s="90"/>
      <c r="ABD259" s="90"/>
      <c r="ABE259" s="90"/>
      <c r="ABF259" s="90"/>
      <c r="ABG259" s="90"/>
      <c r="ABH259" s="90"/>
      <c r="ABI259" s="90"/>
      <c r="ABJ259" s="90"/>
      <c r="ABK259" s="90"/>
      <c r="ABL259" s="90"/>
      <c r="ABM259" s="90"/>
      <c r="ABN259" s="90"/>
      <c r="ABO259" s="90"/>
      <c r="ABP259" s="90"/>
      <c r="ABQ259" s="90"/>
      <c r="ABR259" s="90"/>
      <c r="ABS259" s="90"/>
      <c r="ABT259" s="90"/>
      <c r="ABU259" s="90"/>
      <c r="ABV259" s="90"/>
      <c r="ABW259" s="90"/>
      <c r="ABX259" s="90"/>
      <c r="ABY259" s="90"/>
      <c r="ABZ259" s="90"/>
      <c r="ACA259" s="90"/>
      <c r="ACB259" s="90"/>
      <c r="ACC259" s="90"/>
      <c r="ACD259" s="90"/>
      <c r="ACE259" s="90"/>
      <c r="ACF259" s="90"/>
      <c r="ACG259" s="90"/>
      <c r="ACH259" s="90"/>
      <c r="ACI259" s="90"/>
      <c r="ACJ259" s="90"/>
      <c r="ACK259" s="90"/>
      <c r="ACL259" s="90"/>
      <c r="ACM259" s="90"/>
      <c r="ACN259" s="90"/>
      <c r="ACO259" s="90"/>
      <c r="ACP259" s="90"/>
      <c r="ACQ259" s="90"/>
      <c r="ACR259" s="90"/>
      <c r="ACS259" s="90"/>
      <c r="ACT259" s="90"/>
      <c r="ACU259" s="90"/>
      <c r="ACV259" s="90"/>
      <c r="ACW259" s="90"/>
      <c r="ACX259" s="90"/>
      <c r="ACY259" s="90"/>
      <c r="ACZ259" s="90"/>
      <c r="ADA259" s="90"/>
      <c r="ADB259" s="90"/>
      <c r="ADC259" s="90"/>
      <c r="ADD259" s="90"/>
      <c r="ADE259" s="90"/>
      <c r="ADF259" s="90"/>
      <c r="ADG259" s="90"/>
      <c r="ADH259" s="90"/>
      <c r="ADI259" s="90"/>
      <c r="ADJ259" s="90"/>
      <c r="ADK259" s="90"/>
      <c r="ADL259" s="90"/>
      <c r="ADM259" s="90"/>
      <c r="ADN259" s="90"/>
      <c r="ADO259" s="90"/>
      <c r="ADP259" s="90"/>
      <c r="ADQ259" s="90"/>
      <c r="ADR259" s="90"/>
      <c r="ADS259" s="90"/>
      <c r="ADT259" s="90"/>
      <c r="ADU259" s="90"/>
      <c r="ADV259" s="90"/>
      <c r="ADW259" s="90"/>
      <c r="ADX259" s="90"/>
      <c r="ADY259" s="90"/>
      <c r="ADZ259" s="90"/>
      <c r="AEA259" s="90"/>
      <c r="AEB259" s="90"/>
      <c r="AEC259" s="90"/>
      <c r="AED259" s="90"/>
      <c r="AEE259" s="90"/>
      <c r="AEF259" s="90"/>
      <c r="AEG259" s="90"/>
      <c r="AEH259" s="90"/>
      <c r="AEI259" s="90"/>
      <c r="AEJ259" s="90"/>
      <c r="AEK259" s="90"/>
      <c r="AEL259" s="90"/>
      <c r="AEM259" s="90"/>
      <c r="AEN259" s="90"/>
      <c r="AEO259" s="90"/>
      <c r="AEP259" s="90"/>
      <c r="AEQ259" s="90"/>
      <c r="AER259" s="90"/>
      <c r="AES259" s="90"/>
      <c r="AET259" s="90"/>
      <c r="AEU259" s="90"/>
      <c r="AEV259" s="90"/>
      <c r="AEW259" s="90"/>
      <c r="AEX259" s="90"/>
      <c r="AEY259" s="90"/>
      <c r="AEZ259" s="90"/>
      <c r="AFA259" s="90"/>
      <c r="AFB259" s="90"/>
      <c r="AFC259" s="90"/>
      <c r="AFD259" s="90"/>
      <c r="AFE259" s="90"/>
      <c r="AFF259" s="90"/>
      <c r="AFG259" s="90"/>
      <c r="AFH259" s="90"/>
      <c r="AFI259" s="90"/>
      <c r="AFJ259" s="90"/>
      <c r="AFK259" s="90"/>
      <c r="AFL259" s="90"/>
      <c r="AFM259" s="90"/>
      <c r="AFN259" s="90"/>
      <c r="AFO259" s="90"/>
      <c r="AFP259" s="90"/>
      <c r="AFQ259" s="90"/>
      <c r="AFR259" s="90"/>
      <c r="AFS259" s="90"/>
      <c r="AFT259" s="90"/>
      <c r="AFU259" s="90"/>
      <c r="AFV259" s="90"/>
      <c r="AFW259" s="90"/>
      <c r="AFX259" s="90"/>
      <c r="AFY259" s="90"/>
      <c r="AFZ259" s="90"/>
      <c r="AGA259" s="90"/>
      <c r="AGB259" s="90"/>
      <c r="AGC259" s="90"/>
      <c r="AGD259" s="90"/>
      <c r="AGE259" s="90"/>
      <c r="AGF259" s="90"/>
      <c r="AGG259" s="90"/>
      <c r="AGH259" s="90"/>
      <c r="AGI259" s="90"/>
      <c r="AGJ259" s="90"/>
      <c r="AGK259" s="90"/>
      <c r="AGL259" s="90"/>
      <c r="AGM259" s="90"/>
      <c r="AGN259" s="90"/>
      <c r="AGO259" s="90"/>
      <c r="AGP259" s="90"/>
      <c r="AGQ259" s="90"/>
      <c r="AGR259" s="90"/>
      <c r="AGS259" s="90"/>
      <c r="AGT259" s="90"/>
      <c r="AGU259" s="90"/>
      <c r="AGV259" s="90"/>
      <c r="AGW259" s="90"/>
      <c r="AGX259" s="90"/>
      <c r="AGY259" s="90"/>
      <c r="AGZ259" s="90"/>
      <c r="AHA259" s="90"/>
      <c r="AHB259" s="90"/>
      <c r="AHC259" s="90"/>
      <c r="AHD259" s="90"/>
      <c r="AHE259" s="90"/>
      <c r="AHF259" s="90"/>
      <c r="AHG259" s="90"/>
      <c r="AHH259" s="90"/>
      <c r="AHI259" s="90"/>
      <c r="AHJ259" s="90"/>
      <c r="AHK259" s="90"/>
      <c r="AHL259" s="90"/>
      <c r="AHM259" s="90"/>
      <c r="AHN259" s="90"/>
      <c r="AHO259" s="90"/>
      <c r="AHP259" s="90"/>
      <c r="AHQ259" s="90"/>
      <c r="AHR259" s="90"/>
      <c r="AHS259" s="90"/>
      <c r="AHT259" s="90"/>
      <c r="AHU259" s="90"/>
      <c r="AHV259" s="90"/>
      <c r="AHW259" s="90"/>
      <c r="AHX259" s="90"/>
      <c r="AHY259" s="90"/>
      <c r="AHZ259" s="90"/>
      <c r="AIA259" s="90"/>
      <c r="AIB259" s="90"/>
      <c r="AIC259" s="90"/>
      <c r="AID259" s="90"/>
      <c r="AIE259" s="90"/>
      <c r="AIF259" s="90"/>
      <c r="AIG259" s="90"/>
      <c r="AIH259" s="90"/>
      <c r="AII259" s="90"/>
      <c r="AIJ259" s="90"/>
      <c r="AIK259" s="90"/>
      <c r="AIL259" s="90"/>
      <c r="AIM259" s="90"/>
      <c r="AIN259" s="90"/>
      <c r="AIO259" s="90"/>
      <c r="AIP259" s="90"/>
      <c r="AIQ259" s="90"/>
      <c r="AIR259" s="90"/>
      <c r="AIS259" s="90"/>
      <c r="AIT259" s="90"/>
      <c r="AIU259" s="90"/>
      <c r="AIV259" s="90"/>
      <c r="AIW259" s="90"/>
      <c r="AIX259" s="90"/>
      <c r="AIY259" s="90"/>
      <c r="AIZ259" s="90"/>
      <c r="AJA259" s="90"/>
      <c r="AJB259" s="90"/>
      <c r="AJC259" s="90"/>
      <c r="AJD259" s="90"/>
      <c r="AJE259" s="90"/>
      <c r="AJF259" s="90"/>
      <c r="AJG259" s="90"/>
      <c r="AJH259" s="90"/>
      <c r="AJI259" s="90"/>
      <c r="AJJ259" s="90"/>
      <c r="AJK259" s="90"/>
      <c r="AJL259" s="90"/>
      <c r="AJM259" s="90"/>
      <c r="AJN259" s="90"/>
      <c r="AJO259" s="90"/>
      <c r="AJP259" s="90"/>
      <c r="AJQ259" s="90"/>
      <c r="AJR259" s="90"/>
      <c r="AJS259" s="90"/>
      <c r="AJT259" s="90"/>
      <c r="AJU259" s="90"/>
      <c r="AJV259" s="90"/>
      <c r="AJW259" s="90"/>
      <c r="AJX259" s="90"/>
      <c r="AJY259" s="90"/>
      <c r="AJZ259" s="90"/>
      <c r="AKA259" s="90"/>
      <c r="AKB259" s="90"/>
      <c r="AKC259" s="90"/>
      <c r="AKD259" s="90"/>
      <c r="AKE259" s="90"/>
      <c r="AKF259" s="90"/>
      <c r="AKG259" s="90"/>
      <c r="AKH259" s="90"/>
      <c r="AKI259" s="90"/>
      <c r="AKJ259" s="90"/>
      <c r="AKK259" s="90"/>
      <c r="AKL259" s="90"/>
      <c r="AKM259" s="90"/>
      <c r="AKN259" s="90"/>
      <c r="AKO259" s="90"/>
      <c r="AKP259" s="90"/>
      <c r="AKQ259" s="90"/>
      <c r="AKR259" s="90"/>
      <c r="AKS259" s="90"/>
      <c r="AKT259" s="90"/>
      <c r="AKU259" s="90"/>
      <c r="AKV259" s="90"/>
      <c r="AKW259" s="90"/>
      <c r="AKX259" s="90"/>
      <c r="AKY259" s="90"/>
      <c r="AKZ259" s="90"/>
      <c r="ALA259" s="90"/>
      <c r="ALB259" s="90"/>
      <c r="ALC259" s="90"/>
      <c r="ALD259" s="90"/>
      <c r="ALE259" s="90"/>
      <c r="ALF259" s="90"/>
      <c r="ALG259" s="90"/>
      <c r="ALH259" s="90"/>
      <c r="ALI259" s="90"/>
      <c r="ALJ259" s="90"/>
      <c r="ALK259" s="90"/>
      <c r="ALL259" s="90"/>
      <c r="ALM259" s="90"/>
      <c r="ALN259" s="90"/>
      <c r="ALO259" s="90"/>
      <c r="ALP259" s="90"/>
      <c r="ALQ259" s="90"/>
      <c r="ALR259" s="90"/>
      <c r="ALS259" s="90"/>
      <c r="ALT259" s="90"/>
      <c r="ALU259" s="90"/>
      <c r="ALV259" s="90"/>
      <c r="ALW259" s="90"/>
      <c r="ALX259" s="90"/>
      <c r="ALY259" s="90"/>
      <c r="ALZ259" s="90"/>
      <c r="AMA259" s="90"/>
      <c r="AMB259" s="90"/>
      <c r="AMC259" s="90"/>
    </row>
    <row r="260" spans="1:1017">
      <c r="A260" s="98" t="s">
        <v>51</v>
      </c>
      <c r="B260" s="90" t="str">
        <f t="shared" si="1582"/>
        <v xml:space="preserve">Nila </v>
      </c>
      <c r="I260" s="98">
        <v>8300</v>
      </c>
      <c r="J260" s="98">
        <v>232400</v>
      </c>
      <c r="Q260" s="91">
        <f t="shared" si="1583"/>
        <v>8300</v>
      </c>
      <c r="R260" s="91">
        <f t="shared" si="1584"/>
        <v>232400</v>
      </c>
      <c r="U260" s="98">
        <v>12465</v>
      </c>
      <c r="V260" s="98">
        <v>249300</v>
      </c>
      <c r="Y260" s="98">
        <v>14025</v>
      </c>
      <c r="Z260" s="98">
        <v>280500</v>
      </c>
      <c r="AA260" s="98">
        <v>2860</v>
      </c>
      <c r="AB260" s="98">
        <v>57200</v>
      </c>
      <c r="AC260" s="98">
        <v>2525</v>
      </c>
      <c r="AD260" s="98">
        <v>50500</v>
      </c>
      <c r="AE260" s="98">
        <v>865</v>
      </c>
      <c r="AF260" s="98">
        <v>17300</v>
      </c>
      <c r="AG260" s="91">
        <f t="shared" si="1585"/>
        <v>32740</v>
      </c>
      <c r="AH260" s="91">
        <f t="shared" si="1586"/>
        <v>654800</v>
      </c>
      <c r="AO260" s="98">
        <v>53700</v>
      </c>
      <c r="AP260" s="98">
        <v>1288800</v>
      </c>
      <c r="AQ260" s="98">
        <v>170</v>
      </c>
      <c r="AR260" s="98">
        <v>4080</v>
      </c>
      <c r="AU260" s="98">
        <v>2190</v>
      </c>
      <c r="AV260" s="98">
        <v>52560</v>
      </c>
      <c r="AW260" s="91">
        <f t="shared" si="1587"/>
        <v>56060</v>
      </c>
      <c r="AX260" s="91">
        <f t="shared" si="1588"/>
        <v>1345440</v>
      </c>
      <c r="BE260" s="98">
        <v>76302</v>
      </c>
      <c r="BF260" s="98">
        <v>1907550</v>
      </c>
      <c r="BG260" s="98">
        <v>323</v>
      </c>
      <c r="BH260" s="98">
        <v>8075</v>
      </c>
      <c r="BK260" s="98">
        <v>333</v>
      </c>
      <c r="BL260" s="98">
        <v>8325</v>
      </c>
      <c r="BM260" s="91">
        <f t="shared" si="1589"/>
        <v>76958</v>
      </c>
      <c r="BN260" s="91">
        <f t="shared" si="1590"/>
        <v>1923950</v>
      </c>
      <c r="BU260" s="98">
        <v>5661</v>
      </c>
      <c r="BV260" s="98">
        <v>152847</v>
      </c>
      <c r="CC260" s="91">
        <f t="shared" si="1591"/>
        <v>5661</v>
      </c>
      <c r="CD260" s="91">
        <f t="shared" si="1592"/>
        <v>152847</v>
      </c>
      <c r="CG260" s="98">
        <v>64340.329231198491</v>
      </c>
      <c r="CH260" s="98">
        <v>965104.93846797745</v>
      </c>
      <c r="CK260" s="98">
        <v>421965</v>
      </c>
      <c r="CL260" s="98">
        <v>6329476</v>
      </c>
      <c r="CS260" s="91">
        <f t="shared" si="1593"/>
        <v>486305.32923119847</v>
      </c>
      <c r="CT260" s="91">
        <f t="shared" si="1594"/>
        <v>7294580.9384679776</v>
      </c>
      <c r="DA260" s="98">
        <v>70305</v>
      </c>
      <c r="DB260" s="98">
        <v>1757625</v>
      </c>
      <c r="DC260" s="98">
        <v>1120.000366</v>
      </c>
      <c r="DD260" s="98">
        <v>25760.008999999998</v>
      </c>
      <c r="DI260" s="91">
        <f t="shared" si="1595"/>
        <v>71425.000365999993</v>
      </c>
      <c r="DJ260" s="91">
        <f t="shared" si="1596"/>
        <v>1783385.0090000001</v>
      </c>
      <c r="DQ260" s="98">
        <v>16800</v>
      </c>
      <c r="DR260" s="98">
        <v>336000</v>
      </c>
      <c r="DY260" s="91">
        <f t="shared" si="1597"/>
        <v>16800</v>
      </c>
      <c r="DZ260" s="91">
        <f t="shared" si="1598"/>
        <v>336000</v>
      </c>
      <c r="EG260" s="98">
        <v>198300</v>
      </c>
      <c r="EH260" s="98">
        <v>4164300</v>
      </c>
      <c r="EO260" s="91">
        <f t="shared" si="1599"/>
        <v>198300</v>
      </c>
      <c r="EP260" s="91">
        <f t="shared" si="1600"/>
        <v>4164300</v>
      </c>
      <c r="ES260" s="98">
        <v>22791</v>
      </c>
      <c r="ET260" s="98">
        <v>455820</v>
      </c>
      <c r="EW260" s="98">
        <v>283801</v>
      </c>
      <c r="EX260" s="98">
        <v>5676020</v>
      </c>
      <c r="FC260" s="98">
        <v>599</v>
      </c>
      <c r="FD260" s="98">
        <v>11980</v>
      </c>
      <c r="FE260" s="91">
        <f t="shared" si="1601"/>
        <v>307191</v>
      </c>
      <c r="FF260" s="91">
        <f t="shared" si="1602"/>
        <v>6143820</v>
      </c>
      <c r="FM260" s="98">
        <v>67707</v>
      </c>
      <c r="FN260" s="98">
        <v>1692675</v>
      </c>
      <c r="FS260" s="98">
        <v>63360</v>
      </c>
      <c r="FT260" s="98">
        <v>1774080</v>
      </c>
      <c r="FU260" s="91">
        <f t="shared" si="1603"/>
        <v>131067</v>
      </c>
      <c r="FV260" s="91">
        <f t="shared" si="1604"/>
        <v>3466755</v>
      </c>
      <c r="GC260" s="98">
        <v>36500</v>
      </c>
      <c r="GD260" s="98">
        <v>949000</v>
      </c>
      <c r="GK260" s="91">
        <f t="shared" si="1605"/>
        <v>36500</v>
      </c>
      <c r="GL260" s="91">
        <f t="shared" si="1606"/>
        <v>949000</v>
      </c>
      <c r="GS260" s="98">
        <v>8700</v>
      </c>
      <c r="GT260" s="98">
        <v>247950</v>
      </c>
      <c r="GY260" s="98">
        <v>80</v>
      </c>
      <c r="GZ260" s="98">
        <v>2280</v>
      </c>
      <c r="HA260" s="91">
        <f t="shared" si="1607"/>
        <v>8780</v>
      </c>
      <c r="HB260" s="91">
        <f t="shared" si="1608"/>
        <v>250230</v>
      </c>
      <c r="HI260" s="98">
        <v>45000</v>
      </c>
      <c r="HJ260" s="98">
        <v>900000</v>
      </c>
      <c r="HO260" s="98">
        <v>100000</v>
      </c>
      <c r="HP260" s="98">
        <v>2000000</v>
      </c>
      <c r="HQ260" s="91">
        <f t="shared" si="1609"/>
        <v>145000</v>
      </c>
      <c r="HR260" s="91">
        <f t="shared" si="1610"/>
        <v>2900000</v>
      </c>
      <c r="HY260" s="98">
        <v>10600</v>
      </c>
      <c r="HZ260" s="98">
        <v>296800</v>
      </c>
      <c r="IG260" s="91">
        <f t="shared" si="1611"/>
        <v>10600</v>
      </c>
      <c r="IH260" s="91">
        <f t="shared" si="1612"/>
        <v>296800</v>
      </c>
      <c r="IO260" s="98">
        <v>8900</v>
      </c>
      <c r="IP260" s="98">
        <v>222500</v>
      </c>
      <c r="IW260" s="91">
        <f t="shared" si="1613"/>
        <v>8900</v>
      </c>
      <c r="IX260" s="91">
        <f t="shared" si="1614"/>
        <v>222500</v>
      </c>
      <c r="JE260" s="98">
        <v>7050</v>
      </c>
      <c r="JF260" s="98">
        <v>155100</v>
      </c>
      <c r="JK260" s="98">
        <v>3740</v>
      </c>
      <c r="JL260" s="98">
        <v>82280</v>
      </c>
      <c r="JM260" s="91">
        <f t="shared" si="1615"/>
        <v>10790</v>
      </c>
      <c r="JN260" s="91">
        <f t="shared" si="1616"/>
        <v>237380</v>
      </c>
      <c r="JU260" s="98">
        <v>12317</v>
      </c>
      <c r="JV260" s="98">
        <v>431095</v>
      </c>
      <c r="KC260" s="91">
        <f t="shared" si="1617"/>
        <v>12317</v>
      </c>
      <c r="KD260" s="91">
        <f t="shared" si="1618"/>
        <v>431095</v>
      </c>
      <c r="KK260" s="98">
        <v>176</v>
      </c>
      <c r="KL260" s="98">
        <v>4400</v>
      </c>
      <c r="KS260" s="91">
        <f t="shared" si="1619"/>
        <v>176</v>
      </c>
      <c r="KT260" s="91">
        <f t="shared" si="1620"/>
        <v>4400</v>
      </c>
      <c r="KW260" s="98">
        <v>19714.560000000001</v>
      </c>
      <c r="KX260" s="98">
        <v>354862</v>
      </c>
      <c r="LA260" s="98">
        <v>13842.59</v>
      </c>
      <c r="LB260" s="98">
        <v>236324</v>
      </c>
      <c r="LG260" s="98">
        <v>9528.23</v>
      </c>
      <c r="LH260" s="98">
        <v>228677</v>
      </c>
      <c r="LI260" s="91">
        <f t="shared" si="1621"/>
        <v>43085.380000000005</v>
      </c>
      <c r="LJ260" s="91">
        <f t="shared" si="1622"/>
        <v>819863</v>
      </c>
      <c r="LQ260" s="98">
        <v>4214</v>
      </c>
      <c r="LR260" s="98">
        <v>113778</v>
      </c>
      <c r="LW260" s="98">
        <v>905</v>
      </c>
      <c r="LX260" s="98">
        <v>28960</v>
      </c>
      <c r="LY260" s="91">
        <f t="shared" si="1623"/>
        <v>5119</v>
      </c>
      <c r="LZ260" s="91">
        <f t="shared" si="1624"/>
        <v>142738</v>
      </c>
      <c r="MC260" s="98">
        <v>1210</v>
      </c>
      <c r="MD260" s="98">
        <v>21780</v>
      </c>
      <c r="MG260" s="98">
        <v>280</v>
      </c>
      <c r="MH260" s="98">
        <v>5040.0000000000009</v>
      </c>
      <c r="MM260" s="98">
        <v>810</v>
      </c>
      <c r="MN260" s="98">
        <v>14580.000000000002</v>
      </c>
      <c r="MO260" s="91">
        <f t="shared" si="1625"/>
        <v>2300</v>
      </c>
      <c r="MP260" s="91">
        <f t="shared" si="1626"/>
        <v>41400</v>
      </c>
      <c r="NE260" s="91">
        <f t="shared" si="1627"/>
        <v>0</v>
      </c>
      <c r="NF260" s="91">
        <f t="shared" si="1628"/>
        <v>0</v>
      </c>
      <c r="NI260" s="98">
        <v>1037000</v>
      </c>
      <c r="NJ260" s="98">
        <v>18666000</v>
      </c>
      <c r="NM260" s="98">
        <v>12300</v>
      </c>
      <c r="NN260" s="98">
        <v>221400</v>
      </c>
      <c r="NQ260" s="98">
        <v>1700</v>
      </c>
      <c r="NR260" s="98">
        <v>30600</v>
      </c>
      <c r="NU260" s="91">
        <f t="shared" si="1629"/>
        <v>1051000</v>
      </c>
      <c r="NV260" s="91">
        <f t="shared" si="1630"/>
        <v>18918000</v>
      </c>
      <c r="OK260" s="91">
        <f t="shared" si="1631"/>
        <v>0</v>
      </c>
      <c r="OL260" s="91">
        <f t="shared" si="1632"/>
        <v>0</v>
      </c>
      <c r="OO260" s="98">
        <v>6122</v>
      </c>
      <c r="OP260" s="98">
        <v>214270</v>
      </c>
      <c r="PA260" s="91">
        <f t="shared" si="1633"/>
        <v>6122</v>
      </c>
      <c r="PB260" s="91">
        <f t="shared" si="1634"/>
        <v>214270</v>
      </c>
      <c r="PI260" s="98">
        <v>13838</v>
      </c>
      <c r="PJ260" s="98">
        <v>276760</v>
      </c>
      <c r="PQ260" s="91">
        <f t="shared" si="1635"/>
        <v>13838</v>
      </c>
      <c r="PR260" s="91">
        <f t="shared" si="1636"/>
        <v>276760</v>
      </c>
      <c r="PU260" s="98">
        <v>45500</v>
      </c>
      <c r="PV260" s="98">
        <v>819000</v>
      </c>
      <c r="PY260" s="98">
        <v>90940</v>
      </c>
      <c r="PZ260" s="98">
        <v>1636920</v>
      </c>
      <c r="QA260" s="98">
        <v>38000</v>
      </c>
      <c r="QB260" s="98">
        <v>684000</v>
      </c>
      <c r="QC260" s="98">
        <v>72130</v>
      </c>
      <c r="QD260" s="98">
        <v>1298340</v>
      </c>
      <c r="QG260" s="91">
        <f t="shared" si="1637"/>
        <v>246570</v>
      </c>
      <c r="QH260" s="91">
        <f t="shared" si="1638"/>
        <v>4438260</v>
      </c>
      <c r="QO260" s="98">
        <v>9500</v>
      </c>
      <c r="QP260" s="98">
        <v>142500</v>
      </c>
      <c r="QW260" s="91">
        <f t="shared" si="1639"/>
        <v>9500</v>
      </c>
      <c r="QX260" s="91">
        <f t="shared" si="1640"/>
        <v>142500</v>
      </c>
      <c r="RE260" s="98">
        <v>2450</v>
      </c>
      <c r="RF260" s="98">
        <f>RE260*27</f>
        <v>66150</v>
      </c>
      <c r="RM260" s="91">
        <f t="shared" si="1641"/>
        <v>2450</v>
      </c>
      <c r="RN260" s="91">
        <f t="shared" si="1642"/>
        <v>66150</v>
      </c>
      <c r="RU260" s="98">
        <v>5890</v>
      </c>
      <c r="RV260" s="98">
        <v>141360</v>
      </c>
      <c r="SC260" s="91">
        <f t="shared" si="1643"/>
        <v>5890</v>
      </c>
      <c r="SD260" s="91">
        <f t="shared" si="1644"/>
        <v>141360</v>
      </c>
      <c r="SK260" s="98">
        <v>2000</v>
      </c>
      <c r="SL260" s="98">
        <v>50000</v>
      </c>
      <c r="SS260" s="91">
        <f t="shared" si="1645"/>
        <v>2000</v>
      </c>
      <c r="ST260" s="91">
        <f t="shared" si="1646"/>
        <v>50000</v>
      </c>
      <c r="TA260" s="98">
        <v>2440</v>
      </c>
      <c r="TB260" s="98">
        <v>61000</v>
      </c>
      <c r="TI260" s="91">
        <f t="shared" si="1647"/>
        <v>2440</v>
      </c>
      <c r="TJ260" s="91">
        <f t="shared" si="1648"/>
        <v>61000</v>
      </c>
      <c r="TQ260" s="98">
        <v>1900</v>
      </c>
      <c r="TR260" s="98">
        <v>47500</v>
      </c>
      <c r="TU260" s="98">
        <v>400</v>
      </c>
      <c r="TV260" s="98">
        <v>12000</v>
      </c>
      <c r="TY260" s="91">
        <f t="shared" si="1649"/>
        <v>2300</v>
      </c>
      <c r="TZ260" s="91">
        <f t="shared" si="1650"/>
        <v>59500</v>
      </c>
      <c r="UG260" s="98">
        <v>434</v>
      </c>
      <c r="UH260" s="98">
        <v>9982</v>
      </c>
      <c r="UO260" s="91">
        <f t="shared" si="1651"/>
        <v>434</v>
      </c>
      <c r="UP260" s="91">
        <f t="shared" si="1652"/>
        <v>9982</v>
      </c>
      <c r="US260" s="98">
        <v>650</v>
      </c>
      <c r="UT260" s="98">
        <v>15275</v>
      </c>
      <c r="VE260" s="91">
        <f t="shared" si="1653"/>
        <v>650</v>
      </c>
      <c r="VF260" s="91">
        <f t="shared" si="1654"/>
        <v>15275</v>
      </c>
      <c r="VI260" s="98">
        <v>410</v>
      </c>
      <c r="VJ260" s="98">
        <v>9430</v>
      </c>
      <c r="VM260" s="98">
        <v>740</v>
      </c>
      <c r="VN260" s="98">
        <v>18500</v>
      </c>
      <c r="VU260" s="91">
        <f t="shared" si="1655"/>
        <v>1150</v>
      </c>
      <c r="VV260" s="91">
        <f t="shared" si="1656"/>
        <v>27930</v>
      </c>
      <c r="VY260" s="98">
        <v>38230</v>
      </c>
      <c r="VZ260" s="98">
        <v>1070440</v>
      </c>
      <c r="WC260" s="98">
        <v>128510</v>
      </c>
      <c r="WD260" s="98">
        <v>3598280</v>
      </c>
      <c r="WK260" s="91">
        <f t="shared" si="1657"/>
        <v>166740</v>
      </c>
      <c r="WL260" s="91">
        <f t="shared" si="1658"/>
        <v>4668720</v>
      </c>
      <c r="WM260" s="89"/>
      <c r="WN260" s="87">
        <f t="shared" si="1659"/>
        <v>0</v>
      </c>
      <c r="WO260" s="87">
        <f t="shared" si="1660"/>
        <v>0</v>
      </c>
      <c r="WP260" s="87">
        <f t="shared" si="1661"/>
        <v>1248432.8892311985</v>
      </c>
      <c r="WQ260" s="87">
        <f t="shared" si="1662"/>
        <v>22841281.938467979</v>
      </c>
      <c r="WR260" s="87">
        <f t="shared" si="1663"/>
        <v>0</v>
      </c>
      <c r="WS260" s="87">
        <f t="shared" si="1664"/>
        <v>0</v>
      </c>
      <c r="WT260" s="87">
        <f t="shared" si="1665"/>
        <v>1635387.59</v>
      </c>
      <c r="WU260" s="87">
        <f t="shared" si="1666"/>
        <v>33650532</v>
      </c>
      <c r="WV260" s="87">
        <f t="shared" si="1667"/>
        <v>42473.000366</v>
      </c>
      <c r="WW260" s="87">
        <f t="shared" si="1668"/>
        <v>779115.00899999996</v>
      </c>
      <c r="WX260" s="87">
        <f t="shared" si="1669"/>
        <v>76755</v>
      </c>
      <c r="WY260" s="87">
        <f t="shared" si="1670"/>
        <v>1391440</v>
      </c>
      <c r="WZ260" s="87">
        <f t="shared" si="1671"/>
        <v>182410.23</v>
      </c>
      <c r="XA260" s="87">
        <f t="shared" si="1672"/>
        <v>4221022</v>
      </c>
      <c r="XB260" s="92">
        <f t="shared" si="1673"/>
        <v>3185458.7095971983</v>
      </c>
      <c r="XC260" s="92">
        <f t="shared" si="1674"/>
        <v>62883390.947467983</v>
      </c>
      <c r="XD260" s="89"/>
      <c r="XE260" s="92"/>
      <c r="XF260" s="92"/>
      <c r="XG260" s="89"/>
      <c r="XH260" s="92"/>
      <c r="XI260" s="92"/>
      <c r="XJ260" s="89"/>
      <c r="XK260" s="87"/>
      <c r="XL260" s="87"/>
      <c r="XM260" s="87"/>
      <c r="XN260" s="87"/>
      <c r="XO260" s="87"/>
      <c r="XP260" s="87"/>
      <c r="XQ260" s="87"/>
      <c r="XR260" s="92">
        <f t="shared" ca="1" si="1675"/>
        <v>0</v>
      </c>
      <c r="XS260" s="89"/>
      <c r="XT260" s="87"/>
      <c r="XU260" s="87"/>
      <c r="XV260" s="87"/>
      <c r="XW260" s="87"/>
      <c r="XX260" s="87"/>
      <c r="XY260" s="87"/>
      <c r="XZ260" s="87"/>
      <c r="YA260" s="92">
        <f t="shared" ca="1" si="1676"/>
        <v>0</v>
      </c>
      <c r="YB260" s="90"/>
      <c r="YC260" s="90"/>
      <c r="YD260" s="90"/>
      <c r="YE260" s="90"/>
      <c r="YF260" s="90"/>
      <c r="YG260" s="90"/>
      <c r="YH260" s="90"/>
      <c r="YI260" s="90"/>
      <c r="YJ260" s="90"/>
      <c r="YK260" s="90"/>
      <c r="YL260" s="90"/>
      <c r="YM260" s="90"/>
      <c r="YN260" s="90"/>
      <c r="YO260" s="90"/>
      <c r="YP260" s="90"/>
      <c r="YQ260" s="90"/>
      <c r="YR260" s="90"/>
      <c r="YS260" s="90"/>
      <c r="YT260" s="90"/>
      <c r="YU260" s="90"/>
      <c r="YV260" s="90"/>
      <c r="YW260" s="90"/>
      <c r="YX260" s="90"/>
      <c r="YY260" s="90"/>
      <c r="YZ260" s="90"/>
      <c r="ZA260" s="90"/>
      <c r="ZB260" s="90"/>
      <c r="ZC260" s="90"/>
      <c r="ZD260" s="90"/>
      <c r="ZE260" s="90"/>
      <c r="ZF260" s="90"/>
      <c r="ZG260" s="90"/>
      <c r="ZH260" s="90"/>
      <c r="ZI260" s="90"/>
      <c r="ZJ260" s="90"/>
      <c r="ZK260" s="90"/>
      <c r="ZL260" s="90"/>
      <c r="ZM260" s="90"/>
      <c r="ZN260" s="90"/>
      <c r="ZO260" s="90"/>
      <c r="ZP260" s="90"/>
      <c r="ZQ260" s="90"/>
      <c r="ZR260" s="90"/>
      <c r="ZS260" s="90"/>
      <c r="ZT260" s="90"/>
      <c r="ZU260" s="90"/>
      <c r="ZV260" s="90"/>
      <c r="ZW260" s="90"/>
      <c r="ZX260" s="90"/>
      <c r="ZY260" s="90"/>
      <c r="ZZ260" s="90"/>
      <c r="AAA260" s="90"/>
      <c r="AAB260" s="90"/>
      <c r="AAC260" s="90"/>
      <c r="AAD260" s="90"/>
      <c r="AAE260" s="90"/>
      <c r="AAF260" s="90"/>
      <c r="AAG260" s="90"/>
      <c r="AAH260" s="90"/>
      <c r="AAI260" s="90"/>
      <c r="AAJ260" s="90"/>
      <c r="AAK260" s="90"/>
      <c r="AAL260" s="90"/>
      <c r="AAM260" s="90"/>
      <c r="AAN260" s="90"/>
      <c r="AAO260" s="90"/>
      <c r="AAP260" s="90"/>
      <c r="AAQ260" s="90"/>
      <c r="AAR260" s="90"/>
      <c r="AAS260" s="90"/>
      <c r="AAT260" s="90"/>
      <c r="AAU260" s="90"/>
      <c r="AAV260" s="90"/>
      <c r="AAW260" s="90"/>
      <c r="AAX260" s="90"/>
      <c r="AAY260" s="90"/>
      <c r="AAZ260" s="90"/>
      <c r="ABA260" s="90"/>
      <c r="ABB260" s="90"/>
      <c r="ABC260" s="90"/>
      <c r="ABD260" s="90"/>
      <c r="ABE260" s="90"/>
      <c r="ABF260" s="90"/>
      <c r="ABG260" s="90"/>
      <c r="ABH260" s="90"/>
      <c r="ABI260" s="90"/>
      <c r="ABJ260" s="90"/>
      <c r="ABK260" s="90"/>
      <c r="ABL260" s="90"/>
      <c r="ABM260" s="90"/>
      <c r="ABN260" s="90"/>
      <c r="ABO260" s="90"/>
      <c r="ABP260" s="90"/>
      <c r="ABQ260" s="90"/>
      <c r="ABR260" s="90"/>
      <c r="ABS260" s="90"/>
      <c r="ABT260" s="90"/>
      <c r="ABU260" s="90"/>
      <c r="ABV260" s="90"/>
      <c r="ABW260" s="90"/>
      <c r="ABX260" s="90"/>
      <c r="ABY260" s="90"/>
      <c r="ABZ260" s="90"/>
      <c r="ACA260" s="90"/>
      <c r="ACB260" s="90"/>
      <c r="ACC260" s="90"/>
      <c r="ACD260" s="90"/>
      <c r="ACE260" s="90"/>
      <c r="ACF260" s="90"/>
      <c r="ACG260" s="90"/>
      <c r="ACH260" s="90"/>
      <c r="ACI260" s="90"/>
      <c r="ACJ260" s="90"/>
      <c r="ACK260" s="90"/>
      <c r="ACL260" s="90"/>
      <c r="ACM260" s="90"/>
      <c r="ACN260" s="90"/>
      <c r="ACO260" s="90"/>
      <c r="ACP260" s="90"/>
      <c r="ACQ260" s="90"/>
      <c r="ACR260" s="90"/>
      <c r="ACS260" s="90"/>
      <c r="ACT260" s="90"/>
      <c r="ACU260" s="90"/>
      <c r="ACV260" s="90"/>
      <c r="ACW260" s="90"/>
      <c r="ACX260" s="90"/>
      <c r="ACY260" s="90"/>
      <c r="ACZ260" s="90"/>
      <c r="ADA260" s="90"/>
      <c r="ADB260" s="90"/>
      <c r="ADC260" s="90"/>
      <c r="ADD260" s="90"/>
      <c r="ADE260" s="90"/>
      <c r="ADF260" s="90"/>
      <c r="ADG260" s="90"/>
      <c r="ADH260" s="90"/>
      <c r="ADI260" s="90"/>
      <c r="ADJ260" s="90"/>
      <c r="ADK260" s="90"/>
      <c r="ADL260" s="90"/>
      <c r="ADM260" s="90"/>
      <c r="ADN260" s="90"/>
      <c r="ADO260" s="90"/>
      <c r="ADP260" s="90"/>
      <c r="ADQ260" s="90"/>
      <c r="ADR260" s="90"/>
      <c r="ADS260" s="90"/>
      <c r="ADT260" s="90"/>
      <c r="ADU260" s="90"/>
      <c r="ADV260" s="90"/>
      <c r="ADW260" s="90"/>
      <c r="ADX260" s="90"/>
      <c r="ADY260" s="90"/>
      <c r="ADZ260" s="90"/>
      <c r="AEA260" s="90"/>
      <c r="AEB260" s="90"/>
      <c r="AEC260" s="90"/>
      <c r="AED260" s="90"/>
      <c r="AEE260" s="90"/>
      <c r="AEF260" s="90"/>
      <c r="AEG260" s="90"/>
      <c r="AEH260" s="90"/>
      <c r="AEI260" s="90"/>
      <c r="AEJ260" s="90"/>
      <c r="AEK260" s="90"/>
      <c r="AEL260" s="90"/>
      <c r="AEM260" s="90"/>
      <c r="AEN260" s="90"/>
      <c r="AEO260" s="90"/>
      <c r="AEP260" s="90"/>
      <c r="AEQ260" s="90"/>
      <c r="AER260" s="90"/>
      <c r="AES260" s="90"/>
      <c r="AET260" s="90"/>
      <c r="AEU260" s="90"/>
      <c r="AEV260" s="90"/>
      <c r="AEW260" s="90"/>
      <c r="AEX260" s="90"/>
      <c r="AEY260" s="90"/>
      <c r="AEZ260" s="90"/>
      <c r="AFA260" s="90"/>
      <c r="AFB260" s="90"/>
      <c r="AFC260" s="90"/>
      <c r="AFD260" s="90"/>
      <c r="AFE260" s="90"/>
      <c r="AFF260" s="90"/>
      <c r="AFG260" s="90"/>
      <c r="AFH260" s="90"/>
      <c r="AFI260" s="90"/>
      <c r="AFJ260" s="90"/>
      <c r="AFK260" s="90"/>
      <c r="AFL260" s="90"/>
      <c r="AFM260" s="90"/>
      <c r="AFN260" s="90"/>
      <c r="AFO260" s="90"/>
      <c r="AFP260" s="90"/>
      <c r="AFQ260" s="90"/>
      <c r="AFR260" s="90"/>
      <c r="AFS260" s="90"/>
      <c r="AFT260" s="90"/>
      <c r="AFU260" s="90"/>
      <c r="AFV260" s="90"/>
      <c r="AFW260" s="90"/>
      <c r="AFX260" s="90"/>
      <c r="AFY260" s="90"/>
      <c r="AFZ260" s="90"/>
      <c r="AGA260" s="90"/>
      <c r="AGB260" s="90"/>
      <c r="AGC260" s="90"/>
      <c r="AGD260" s="90"/>
      <c r="AGE260" s="90"/>
      <c r="AGF260" s="90"/>
      <c r="AGG260" s="90"/>
      <c r="AGH260" s="90"/>
      <c r="AGI260" s="90"/>
      <c r="AGJ260" s="90"/>
      <c r="AGK260" s="90"/>
      <c r="AGL260" s="90"/>
      <c r="AGM260" s="90"/>
      <c r="AGN260" s="90"/>
      <c r="AGO260" s="90"/>
      <c r="AGP260" s="90"/>
      <c r="AGQ260" s="90"/>
      <c r="AGR260" s="90"/>
      <c r="AGS260" s="90"/>
      <c r="AGT260" s="90"/>
      <c r="AGU260" s="90"/>
      <c r="AGV260" s="90"/>
      <c r="AGW260" s="90"/>
      <c r="AGX260" s="90"/>
      <c r="AGY260" s="90"/>
      <c r="AGZ260" s="90"/>
      <c r="AHA260" s="90"/>
      <c r="AHB260" s="90"/>
      <c r="AHC260" s="90"/>
      <c r="AHD260" s="90"/>
      <c r="AHE260" s="90"/>
      <c r="AHF260" s="90"/>
      <c r="AHG260" s="90"/>
      <c r="AHH260" s="90"/>
      <c r="AHI260" s="90"/>
      <c r="AHJ260" s="90"/>
      <c r="AHK260" s="90"/>
      <c r="AHL260" s="90"/>
      <c r="AHM260" s="90"/>
      <c r="AHN260" s="90"/>
      <c r="AHO260" s="90"/>
      <c r="AHP260" s="90"/>
      <c r="AHQ260" s="90"/>
      <c r="AHR260" s="90"/>
      <c r="AHS260" s="90"/>
      <c r="AHT260" s="90"/>
      <c r="AHU260" s="90"/>
      <c r="AHV260" s="90"/>
      <c r="AHW260" s="90"/>
      <c r="AHX260" s="90"/>
      <c r="AHY260" s="90"/>
      <c r="AHZ260" s="90"/>
      <c r="AIA260" s="90"/>
      <c r="AIB260" s="90"/>
      <c r="AIC260" s="90"/>
      <c r="AID260" s="90"/>
      <c r="AIE260" s="90"/>
      <c r="AIF260" s="90"/>
      <c r="AIG260" s="90"/>
      <c r="AIH260" s="90"/>
      <c r="AII260" s="90"/>
      <c r="AIJ260" s="90"/>
      <c r="AIK260" s="90"/>
      <c r="AIL260" s="90"/>
      <c r="AIM260" s="90"/>
      <c r="AIN260" s="90"/>
      <c r="AIO260" s="90"/>
      <c r="AIP260" s="90"/>
      <c r="AIQ260" s="90"/>
      <c r="AIR260" s="90"/>
      <c r="AIS260" s="90"/>
      <c r="AIT260" s="90"/>
      <c r="AIU260" s="90"/>
      <c r="AIV260" s="90"/>
      <c r="AIW260" s="90"/>
      <c r="AIX260" s="90"/>
      <c r="AIY260" s="90"/>
      <c r="AIZ260" s="90"/>
      <c r="AJA260" s="90"/>
      <c r="AJB260" s="90"/>
      <c r="AJC260" s="90"/>
      <c r="AJD260" s="90"/>
      <c r="AJE260" s="90"/>
      <c r="AJF260" s="90"/>
      <c r="AJG260" s="90"/>
      <c r="AJH260" s="90"/>
      <c r="AJI260" s="90"/>
      <c r="AJJ260" s="90"/>
      <c r="AJK260" s="90"/>
      <c r="AJL260" s="90"/>
      <c r="AJM260" s="90"/>
      <c r="AJN260" s="90"/>
      <c r="AJO260" s="90"/>
      <c r="AJP260" s="90"/>
      <c r="AJQ260" s="90"/>
      <c r="AJR260" s="90"/>
      <c r="AJS260" s="90"/>
      <c r="AJT260" s="90"/>
      <c r="AJU260" s="90"/>
      <c r="AJV260" s="90"/>
      <c r="AJW260" s="90"/>
      <c r="AJX260" s="90"/>
      <c r="AJY260" s="90"/>
      <c r="AJZ260" s="90"/>
      <c r="AKA260" s="90"/>
      <c r="AKB260" s="90"/>
      <c r="AKC260" s="90"/>
      <c r="AKD260" s="90"/>
      <c r="AKE260" s="90"/>
      <c r="AKF260" s="90"/>
      <c r="AKG260" s="90"/>
      <c r="AKH260" s="90"/>
      <c r="AKI260" s="90"/>
      <c r="AKJ260" s="90"/>
      <c r="AKK260" s="90"/>
      <c r="AKL260" s="90"/>
      <c r="AKM260" s="90"/>
      <c r="AKN260" s="90"/>
      <c r="AKO260" s="90"/>
      <c r="AKP260" s="90"/>
      <c r="AKQ260" s="90"/>
      <c r="AKR260" s="90"/>
      <c r="AKS260" s="90"/>
      <c r="AKT260" s="90"/>
      <c r="AKU260" s="90"/>
      <c r="AKV260" s="90"/>
      <c r="AKW260" s="90"/>
      <c r="AKX260" s="90"/>
      <c r="AKY260" s="90"/>
      <c r="AKZ260" s="90"/>
      <c r="ALA260" s="90"/>
      <c r="ALB260" s="90"/>
      <c r="ALC260" s="90"/>
      <c r="ALD260" s="90"/>
      <c r="ALE260" s="90"/>
      <c r="ALF260" s="90"/>
      <c r="ALG260" s="90"/>
      <c r="ALH260" s="90"/>
      <c r="ALI260" s="90"/>
      <c r="ALJ260" s="90"/>
      <c r="ALK260" s="90"/>
      <c r="ALL260" s="90"/>
      <c r="ALM260" s="90"/>
      <c r="ALN260" s="90"/>
      <c r="ALO260" s="90"/>
      <c r="ALP260" s="90"/>
      <c r="ALQ260" s="90"/>
      <c r="ALR260" s="90"/>
      <c r="ALS260" s="90"/>
      <c r="ALT260" s="90"/>
      <c r="ALU260" s="90"/>
      <c r="ALV260" s="90"/>
      <c r="ALW260" s="90"/>
      <c r="ALX260" s="90"/>
      <c r="ALY260" s="90"/>
      <c r="ALZ260" s="90"/>
      <c r="AMA260" s="90"/>
      <c r="AMB260" s="90"/>
      <c r="AMC260" s="90"/>
    </row>
    <row r="261" spans="1:1017">
      <c r="A261" s="98" t="s">
        <v>51</v>
      </c>
      <c r="B261" s="90" t="str">
        <f t="shared" si="1582"/>
        <v xml:space="preserve">Patin </v>
      </c>
      <c r="Q261" s="91">
        <f t="shared" si="1583"/>
        <v>0</v>
      </c>
      <c r="R261" s="91">
        <f t="shared" si="1584"/>
        <v>0</v>
      </c>
      <c r="Y261" s="98">
        <v>225606</v>
      </c>
      <c r="Z261" s="98">
        <v>4512120</v>
      </c>
      <c r="AG261" s="91">
        <f t="shared" si="1585"/>
        <v>225606</v>
      </c>
      <c r="AH261" s="91">
        <f t="shared" si="1586"/>
        <v>4512120</v>
      </c>
      <c r="AO261" s="98">
        <v>12800</v>
      </c>
      <c r="AP261" s="98">
        <v>204800</v>
      </c>
      <c r="AW261" s="91">
        <f t="shared" si="1587"/>
        <v>12800</v>
      </c>
      <c r="AX261" s="91">
        <f t="shared" si="1588"/>
        <v>204800</v>
      </c>
      <c r="BE261" s="98">
        <v>15332</v>
      </c>
      <c r="BF261" s="98">
        <v>275976</v>
      </c>
      <c r="BM261" s="91">
        <f t="shared" si="1589"/>
        <v>15332</v>
      </c>
      <c r="BN261" s="91">
        <f t="shared" si="1590"/>
        <v>275976</v>
      </c>
      <c r="CC261" s="91">
        <f t="shared" si="1591"/>
        <v>0</v>
      </c>
      <c r="CD261" s="91">
        <f t="shared" si="1592"/>
        <v>0</v>
      </c>
      <c r="CK261" s="98">
        <v>5063</v>
      </c>
      <c r="CL261" s="98">
        <v>101260</v>
      </c>
      <c r="CS261" s="91">
        <f t="shared" si="1593"/>
        <v>5063</v>
      </c>
      <c r="CT261" s="91">
        <f t="shared" si="1594"/>
        <v>101260</v>
      </c>
      <c r="DI261" s="91">
        <f t="shared" si="1595"/>
        <v>0</v>
      </c>
      <c r="DJ261" s="91">
        <f t="shared" si="1596"/>
        <v>0</v>
      </c>
      <c r="DQ261" s="98">
        <v>175700</v>
      </c>
      <c r="DR261" s="98">
        <v>2986900</v>
      </c>
      <c r="DY261" s="91">
        <f t="shared" si="1597"/>
        <v>175700</v>
      </c>
      <c r="DZ261" s="91">
        <f t="shared" si="1598"/>
        <v>2986900</v>
      </c>
      <c r="EG261" s="98">
        <v>180200</v>
      </c>
      <c r="EH261" s="98">
        <v>2703000</v>
      </c>
      <c r="EO261" s="91">
        <f t="shared" si="1599"/>
        <v>180200</v>
      </c>
      <c r="EP261" s="91">
        <f t="shared" si="1600"/>
        <v>2703000</v>
      </c>
      <c r="EW261" s="98">
        <v>395</v>
      </c>
      <c r="EX261" s="98">
        <v>5925</v>
      </c>
      <c r="FE261" s="91">
        <f t="shared" si="1601"/>
        <v>395</v>
      </c>
      <c r="FF261" s="91">
        <f t="shared" si="1602"/>
        <v>5925</v>
      </c>
      <c r="FM261" s="98">
        <v>778</v>
      </c>
      <c r="FN261" s="98">
        <v>15560</v>
      </c>
      <c r="FU261" s="91">
        <f t="shared" si="1603"/>
        <v>778</v>
      </c>
      <c r="FV261" s="91">
        <f t="shared" si="1604"/>
        <v>15560</v>
      </c>
      <c r="GC261" s="98">
        <v>31000</v>
      </c>
      <c r="GD261" s="98">
        <v>527000</v>
      </c>
      <c r="GK261" s="91">
        <f t="shared" si="1605"/>
        <v>31000</v>
      </c>
      <c r="GL261" s="91">
        <f t="shared" si="1606"/>
        <v>527000</v>
      </c>
      <c r="GS261" s="98">
        <v>1100</v>
      </c>
      <c r="GT261" s="98">
        <v>19250</v>
      </c>
      <c r="HA261" s="91">
        <f t="shared" si="1607"/>
        <v>1100</v>
      </c>
      <c r="HB261" s="91">
        <f t="shared" si="1608"/>
        <v>19250</v>
      </c>
      <c r="HQ261" s="91">
        <f t="shared" si="1609"/>
        <v>0</v>
      </c>
      <c r="HR261" s="91">
        <f t="shared" si="1610"/>
        <v>0</v>
      </c>
      <c r="HY261" s="98">
        <v>1000</v>
      </c>
      <c r="HZ261" s="98">
        <v>17500</v>
      </c>
      <c r="IG261" s="91">
        <f t="shared" si="1611"/>
        <v>1000</v>
      </c>
      <c r="IH261" s="91">
        <f t="shared" si="1612"/>
        <v>17500</v>
      </c>
      <c r="IO261" s="98">
        <v>6600</v>
      </c>
      <c r="IP261" s="98">
        <v>105600</v>
      </c>
      <c r="IW261" s="91">
        <f t="shared" si="1613"/>
        <v>6600</v>
      </c>
      <c r="IX261" s="91">
        <f t="shared" si="1614"/>
        <v>105600</v>
      </c>
      <c r="JE261" s="98">
        <v>15100</v>
      </c>
      <c r="JF261" s="98">
        <v>264250</v>
      </c>
      <c r="JK261" s="98">
        <v>5760</v>
      </c>
      <c r="JL261" s="98">
        <v>97920</v>
      </c>
      <c r="JM261" s="91">
        <f t="shared" si="1615"/>
        <v>20860</v>
      </c>
      <c r="JN261" s="91">
        <f t="shared" si="1616"/>
        <v>362170</v>
      </c>
      <c r="KC261" s="91">
        <f t="shared" si="1617"/>
        <v>0</v>
      </c>
      <c r="KD261" s="91">
        <f t="shared" si="1618"/>
        <v>0</v>
      </c>
      <c r="KS261" s="91">
        <f t="shared" si="1619"/>
        <v>0</v>
      </c>
      <c r="KT261" s="91">
        <f t="shared" si="1620"/>
        <v>0</v>
      </c>
      <c r="LG261" s="98">
        <v>1788.78</v>
      </c>
      <c r="LH261" s="98">
        <v>35775</v>
      </c>
      <c r="LI261" s="91">
        <f t="shared" si="1621"/>
        <v>1788.78</v>
      </c>
      <c r="LJ261" s="91">
        <f t="shared" si="1622"/>
        <v>35775</v>
      </c>
      <c r="LQ261" s="98">
        <v>1587</v>
      </c>
      <c r="LR261" s="98">
        <v>30153</v>
      </c>
      <c r="LY261" s="91">
        <f t="shared" si="1623"/>
        <v>1587</v>
      </c>
      <c r="LZ261" s="91">
        <f t="shared" si="1624"/>
        <v>30153</v>
      </c>
      <c r="MO261" s="91">
        <f t="shared" si="1625"/>
        <v>0</v>
      </c>
      <c r="MP261" s="91">
        <f t="shared" si="1626"/>
        <v>0</v>
      </c>
      <c r="NE261" s="91">
        <f t="shared" si="1627"/>
        <v>0</v>
      </c>
      <c r="NF261" s="91">
        <f t="shared" si="1628"/>
        <v>0</v>
      </c>
      <c r="NM261" s="98">
        <v>20300</v>
      </c>
      <c r="NN261" s="98">
        <v>365400</v>
      </c>
      <c r="NQ261" s="98">
        <v>17800</v>
      </c>
      <c r="NR261" s="98">
        <v>320400</v>
      </c>
      <c r="NU261" s="91">
        <f t="shared" si="1629"/>
        <v>38100</v>
      </c>
      <c r="NV261" s="91">
        <f t="shared" si="1630"/>
        <v>685800</v>
      </c>
      <c r="OK261" s="91">
        <f t="shared" si="1631"/>
        <v>0</v>
      </c>
      <c r="OL261" s="91">
        <f t="shared" si="1632"/>
        <v>0</v>
      </c>
      <c r="PA261" s="91">
        <f t="shared" si="1633"/>
        <v>0</v>
      </c>
      <c r="PB261" s="91">
        <f t="shared" si="1634"/>
        <v>0</v>
      </c>
      <c r="PI261" s="98">
        <v>38688</v>
      </c>
      <c r="PJ261" s="98">
        <v>580320</v>
      </c>
      <c r="PQ261" s="91">
        <f t="shared" si="1635"/>
        <v>38688</v>
      </c>
      <c r="PR261" s="91">
        <f t="shared" si="1636"/>
        <v>580320</v>
      </c>
      <c r="PY261" s="98">
        <v>37910</v>
      </c>
      <c r="PZ261" s="98">
        <v>568650</v>
      </c>
      <c r="QC261" s="98">
        <v>12090</v>
      </c>
      <c r="QD261" s="98">
        <v>181350</v>
      </c>
      <c r="QG261" s="91">
        <f t="shared" si="1637"/>
        <v>50000</v>
      </c>
      <c r="QH261" s="91">
        <f t="shared" si="1638"/>
        <v>750000</v>
      </c>
      <c r="QO261" s="98">
        <v>1680000</v>
      </c>
      <c r="QP261" s="98">
        <v>26040000</v>
      </c>
      <c r="QW261" s="91">
        <f t="shared" si="1639"/>
        <v>1680000</v>
      </c>
      <c r="QX261" s="91">
        <f t="shared" si="1640"/>
        <v>26040000</v>
      </c>
      <c r="RM261" s="91">
        <f t="shared" si="1641"/>
        <v>0</v>
      </c>
      <c r="RN261" s="91">
        <f t="shared" si="1642"/>
        <v>0</v>
      </c>
      <c r="RU261" s="98">
        <v>1210</v>
      </c>
      <c r="RV261" s="98">
        <v>21780</v>
      </c>
      <c r="SC261" s="91">
        <f t="shared" si="1643"/>
        <v>1210</v>
      </c>
      <c r="SD261" s="91">
        <f t="shared" si="1644"/>
        <v>21780</v>
      </c>
      <c r="SS261" s="91">
        <f t="shared" si="1645"/>
        <v>0</v>
      </c>
      <c r="ST261" s="91">
        <f t="shared" si="1646"/>
        <v>0</v>
      </c>
      <c r="TI261" s="91">
        <f t="shared" si="1647"/>
        <v>0</v>
      </c>
      <c r="TJ261" s="91">
        <f t="shared" si="1648"/>
        <v>0</v>
      </c>
      <c r="TY261" s="91">
        <f t="shared" si="1649"/>
        <v>0</v>
      </c>
      <c r="TZ261" s="91">
        <f t="shared" si="1650"/>
        <v>0</v>
      </c>
      <c r="UG261" s="98">
        <v>225</v>
      </c>
      <c r="UH261" s="98">
        <v>4500</v>
      </c>
      <c r="UO261" s="91">
        <f t="shared" si="1651"/>
        <v>225</v>
      </c>
      <c r="UP261" s="91">
        <f t="shared" si="1652"/>
        <v>4500</v>
      </c>
      <c r="VE261" s="91">
        <f t="shared" si="1653"/>
        <v>0</v>
      </c>
      <c r="VF261" s="91">
        <f t="shared" si="1654"/>
        <v>0</v>
      </c>
      <c r="VU261" s="91">
        <f t="shared" si="1655"/>
        <v>0</v>
      </c>
      <c r="VV261" s="91">
        <f t="shared" si="1656"/>
        <v>0</v>
      </c>
      <c r="WC261" s="98">
        <v>230</v>
      </c>
      <c r="WD261" s="98">
        <v>5060</v>
      </c>
      <c r="WK261" s="91">
        <f t="shared" si="1657"/>
        <v>230</v>
      </c>
      <c r="WL261" s="91">
        <f t="shared" si="1658"/>
        <v>5060</v>
      </c>
      <c r="WM261" s="89"/>
      <c r="WN261" s="87">
        <f t="shared" si="1659"/>
        <v>0</v>
      </c>
      <c r="WO261" s="87">
        <f t="shared" si="1660"/>
        <v>0</v>
      </c>
      <c r="WP261" s="87">
        <f t="shared" si="1661"/>
        <v>0</v>
      </c>
      <c r="WQ261" s="87">
        <f t="shared" si="1662"/>
        <v>0</v>
      </c>
      <c r="WR261" s="87">
        <f t="shared" si="1663"/>
        <v>0</v>
      </c>
      <c r="WS261" s="87">
        <f t="shared" si="1664"/>
        <v>0</v>
      </c>
      <c r="WT261" s="87">
        <f t="shared" si="1665"/>
        <v>2450824</v>
      </c>
      <c r="WU261" s="87">
        <f t="shared" si="1666"/>
        <v>39355004</v>
      </c>
      <c r="WV261" s="87">
        <f t="shared" si="1667"/>
        <v>0</v>
      </c>
      <c r="WW261" s="87">
        <f t="shared" si="1668"/>
        <v>0</v>
      </c>
      <c r="WX261" s="87">
        <f t="shared" si="1669"/>
        <v>29890</v>
      </c>
      <c r="WY261" s="87">
        <f t="shared" si="1670"/>
        <v>501750</v>
      </c>
      <c r="WZ261" s="87">
        <f t="shared" si="1671"/>
        <v>7548.78</v>
      </c>
      <c r="XA261" s="87">
        <f t="shared" si="1672"/>
        <v>133695</v>
      </c>
      <c r="XB261" s="92">
        <f t="shared" si="1673"/>
        <v>2488262.7799999998</v>
      </c>
      <c r="XC261" s="92">
        <f t="shared" si="1674"/>
        <v>39990449</v>
      </c>
      <c r="XD261" s="89"/>
      <c r="XE261" s="92"/>
      <c r="XF261" s="92"/>
      <c r="XG261" s="89"/>
      <c r="XH261" s="92"/>
      <c r="XI261" s="92"/>
      <c r="XJ261" s="89"/>
      <c r="XK261" s="87"/>
      <c r="XL261" s="87"/>
      <c r="XM261" s="87"/>
      <c r="XN261" s="87"/>
      <c r="XO261" s="87"/>
      <c r="XP261" s="87"/>
      <c r="XQ261" s="87"/>
      <c r="XR261" s="92">
        <f t="shared" ca="1" si="1675"/>
        <v>0</v>
      </c>
      <c r="XS261" s="89"/>
      <c r="XT261" s="87"/>
      <c r="XU261" s="87"/>
      <c r="XV261" s="87"/>
      <c r="XW261" s="87"/>
      <c r="XX261" s="87"/>
      <c r="XY261" s="87"/>
      <c r="XZ261" s="87"/>
      <c r="YA261" s="92">
        <f t="shared" ca="1" si="1676"/>
        <v>0</v>
      </c>
      <c r="YB261" s="90"/>
      <c r="YC261" s="90"/>
      <c r="YD261" s="90"/>
      <c r="YE261" s="90"/>
      <c r="YF261" s="90"/>
      <c r="YG261" s="90"/>
      <c r="YH261" s="90"/>
      <c r="YI261" s="90"/>
      <c r="YJ261" s="90"/>
      <c r="YK261" s="90"/>
      <c r="YL261" s="90"/>
      <c r="YM261" s="90"/>
      <c r="YN261" s="90"/>
      <c r="YO261" s="90"/>
      <c r="YP261" s="90"/>
      <c r="YQ261" s="90"/>
      <c r="YR261" s="90"/>
      <c r="YS261" s="90"/>
      <c r="YT261" s="90"/>
      <c r="YU261" s="90"/>
      <c r="YV261" s="90"/>
      <c r="YW261" s="90"/>
      <c r="YX261" s="90"/>
      <c r="YY261" s="90"/>
      <c r="YZ261" s="90"/>
      <c r="ZA261" s="90"/>
      <c r="ZB261" s="90"/>
      <c r="ZC261" s="90"/>
      <c r="ZD261" s="90"/>
      <c r="ZE261" s="90"/>
      <c r="ZF261" s="90"/>
      <c r="ZG261" s="90"/>
      <c r="ZH261" s="90"/>
      <c r="ZI261" s="90"/>
      <c r="ZJ261" s="90"/>
      <c r="ZK261" s="90"/>
      <c r="ZL261" s="90"/>
      <c r="ZM261" s="90"/>
      <c r="ZN261" s="90"/>
      <c r="ZO261" s="90"/>
      <c r="ZP261" s="90"/>
      <c r="ZQ261" s="90"/>
      <c r="ZR261" s="90"/>
      <c r="ZS261" s="90"/>
      <c r="ZT261" s="90"/>
      <c r="ZU261" s="90"/>
      <c r="ZV261" s="90"/>
      <c r="ZW261" s="90"/>
      <c r="ZX261" s="90"/>
      <c r="ZY261" s="90"/>
      <c r="ZZ261" s="90"/>
      <c r="AAA261" s="90"/>
      <c r="AAB261" s="90"/>
      <c r="AAC261" s="90"/>
      <c r="AAD261" s="90"/>
      <c r="AAE261" s="90"/>
      <c r="AAF261" s="90"/>
      <c r="AAG261" s="90"/>
      <c r="AAH261" s="90"/>
      <c r="AAI261" s="90"/>
      <c r="AAJ261" s="90"/>
      <c r="AAK261" s="90"/>
      <c r="AAL261" s="90"/>
      <c r="AAM261" s="90"/>
      <c r="AAN261" s="90"/>
      <c r="AAO261" s="90"/>
      <c r="AAP261" s="90"/>
      <c r="AAQ261" s="90"/>
      <c r="AAR261" s="90"/>
      <c r="AAS261" s="90"/>
      <c r="AAT261" s="90"/>
      <c r="AAU261" s="90"/>
      <c r="AAV261" s="90"/>
      <c r="AAW261" s="90"/>
      <c r="AAX261" s="90"/>
      <c r="AAY261" s="90"/>
      <c r="AAZ261" s="90"/>
      <c r="ABA261" s="90"/>
      <c r="ABB261" s="90"/>
      <c r="ABC261" s="90"/>
      <c r="ABD261" s="90"/>
      <c r="ABE261" s="90"/>
      <c r="ABF261" s="90"/>
      <c r="ABG261" s="90"/>
      <c r="ABH261" s="90"/>
      <c r="ABI261" s="90"/>
      <c r="ABJ261" s="90"/>
      <c r="ABK261" s="90"/>
      <c r="ABL261" s="90"/>
      <c r="ABM261" s="90"/>
      <c r="ABN261" s="90"/>
      <c r="ABO261" s="90"/>
      <c r="ABP261" s="90"/>
      <c r="ABQ261" s="90"/>
      <c r="ABR261" s="90"/>
      <c r="ABS261" s="90"/>
      <c r="ABT261" s="90"/>
      <c r="ABU261" s="90"/>
      <c r="ABV261" s="90"/>
      <c r="ABW261" s="90"/>
      <c r="ABX261" s="90"/>
      <c r="ABY261" s="90"/>
      <c r="ABZ261" s="90"/>
      <c r="ACA261" s="90"/>
      <c r="ACB261" s="90"/>
      <c r="ACC261" s="90"/>
      <c r="ACD261" s="90"/>
      <c r="ACE261" s="90"/>
      <c r="ACF261" s="90"/>
      <c r="ACG261" s="90"/>
      <c r="ACH261" s="90"/>
      <c r="ACI261" s="90"/>
      <c r="ACJ261" s="90"/>
      <c r="ACK261" s="90"/>
      <c r="ACL261" s="90"/>
      <c r="ACM261" s="90"/>
      <c r="ACN261" s="90"/>
      <c r="ACO261" s="90"/>
      <c r="ACP261" s="90"/>
      <c r="ACQ261" s="90"/>
      <c r="ACR261" s="90"/>
      <c r="ACS261" s="90"/>
      <c r="ACT261" s="90"/>
      <c r="ACU261" s="90"/>
      <c r="ACV261" s="90"/>
      <c r="ACW261" s="90"/>
      <c r="ACX261" s="90"/>
      <c r="ACY261" s="90"/>
      <c r="ACZ261" s="90"/>
      <c r="ADA261" s="90"/>
      <c r="ADB261" s="90"/>
      <c r="ADC261" s="90"/>
      <c r="ADD261" s="90"/>
      <c r="ADE261" s="90"/>
      <c r="ADF261" s="90"/>
      <c r="ADG261" s="90"/>
      <c r="ADH261" s="90"/>
      <c r="ADI261" s="90"/>
      <c r="ADJ261" s="90"/>
      <c r="ADK261" s="90"/>
      <c r="ADL261" s="90"/>
      <c r="ADM261" s="90"/>
      <c r="ADN261" s="90"/>
      <c r="ADO261" s="90"/>
      <c r="ADP261" s="90"/>
      <c r="ADQ261" s="90"/>
      <c r="ADR261" s="90"/>
      <c r="ADS261" s="90"/>
      <c r="ADT261" s="90"/>
      <c r="ADU261" s="90"/>
      <c r="ADV261" s="90"/>
      <c r="ADW261" s="90"/>
      <c r="ADX261" s="90"/>
      <c r="ADY261" s="90"/>
      <c r="ADZ261" s="90"/>
      <c r="AEA261" s="90"/>
      <c r="AEB261" s="90"/>
      <c r="AEC261" s="90"/>
      <c r="AED261" s="90"/>
      <c r="AEE261" s="90"/>
      <c r="AEF261" s="90"/>
      <c r="AEG261" s="90"/>
      <c r="AEH261" s="90"/>
      <c r="AEI261" s="90"/>
      <c r="AEJ261" s="90"/>
      <c r="AEK261" s="90"/>
      <c r="AEL261" s="90"/>
      <c r="AEM261" s="90"/>
      <c r="AEN261" s="90"/>
      <c r="AEO261" s="90"/>
      <c r="AEP261" s="90"/>
      <c r="AEQ261" s="90"/>
      <c r="AER261" s="90"/>
      <c r="AES261" s="90"/>
      <c r="AET261" s="90"/>
      <c r="AEU261" s="90"/>
      <c r="AEV261" s="90"/>
      <c r="AEW261" s="90"/>
      <c r="AEX261" s="90"/>
      <c r="AEY261" s="90"/>
      <c r="AEZ261" s="90"/>
      <c r="AFA261" s="90"/>
      <c r="AFB261" s="90"/>
      <c r="AFC261" s="90"/>
      <c r="AFD261" s="90"/>
      <c r="AFE261" s="90"/>
      <c r="AFF261" s="90"/>
      <c r="AFG261" s="90"/>
      <c r="AFH261" s="90"/>
      <c r="AFI261" s="90"/>
      <c r="AFJ261" s="90"/>
      <c r="AFK261" s="90"/>
      <c r="AFL261" s="90"/>
      <c r="AFM261" s="90"/>
      <c r="AFN261" s="90"/>
      <c r="AFO261" s="90"/>
      <c r="AFP261" s="90"/>
      <c r="AFQ261" s="90"/>
      <c r="AFR261" s="90"/>
      <c r="AFS261" s="90"/>
      <c r="AFT261" s="90"/>
      <c r="AFU261" s="90"/>
      <c r="AFV261" s="90"/>
      <c r="AFW261" s="90"/>
      <c r="AFX261" s="90"/>
      <c r="AFY261" s="90"/>
      <c r="AFZ261" s="90"/>
      <c r="AGA261" s="90"/>
      <c r="AGB261" s="90"/>
      <c r="AGC261" s="90"/>
      <c r="AGD261" s="90"/>
      <c r="AGE261" s="90"/>
      <c r="AGF261" s="90"/>
      <c r="AGG261" s="90"/>
      <c r="AGH261" s="90"/>
      <c r="AGI261" s="90"/>
      <c r="AGJ261" s="90"/>
      <c r="AGK261" s="90"/>
      <c r="AGL261" s="90"/>
      <c r="AGM261" s="90"/>
      <c r="AGN261" s="90"/>
      <c r="AGO261" s="90"/>
      <c r="AGP261" s="90"/>
      <c r="AGQ261" s="90"/>
      <c r="AGR261" s="90"/>
      <c r="AGS261" s="90"/>
      <c r="AGT261" s="90"/>
      <c r="AGU261" s="90"/>
      <c r="AGV261" s="90"/>
      <c r="AGW261" s="90"/>
      <c r="AGX261" s="90"/>
      <c r="AGY261" s="90"/>
      <c r="AGZ261" s="90"/>
      <c r="AHA261" s="90"/>
      <c r="AHB261" s="90"/>
      <c r="AHC261" s="90"/>
      <c r="AHD261" s="90"/>
      <c r="AHE261" s="90"/>
      <c r="AHF261" s="90"/>
      <c r="AHG261" s="90"/>
      <c r="AHH261" s="90"/>
      <c r="AHI261" s="90"/>
      <c r="AHJ261" s="90"/>
      <c r="AHK261" s="90"/>
      <c r="AHL261" s="90"/>
      <c r="AHM261" s="90"/>
      <c r="AHN261" s="90"/>
      <c r="AHO261" s="90"/>
      <c r="AHP261" s="90"/>
      <c r="AHQ261" s="90"/>
      <c r="AHR261" s="90"/>
      <c r="AHS261" s="90"/>
      <c r="AHT261" s="90"/>
      <c r="AHU261" s="90"/>
      <c r="AHV261" s="90"/>
      <c r="AHW261" s="90"/>
      <c r="AHX261" s="90"/>
      <c r="AHY261" s="90"/>
      <c r="AHZ261" s="90"/>
      <c r="AIA261" s="90"/>
      <c r="AIB261" s="90"/>
      <c r="AIC261" s="90"/>
      <c r="AID261" s="90"/>
      <c r="AIE261" s="90"/>
      <c r="AIF261" s="90"/>
      <c r="AIG261" s="90"/>
      <c r="AIH261" s="90"/>
      <c r="AII261" s="90"/>
      <c r="AIJ261" s="90"/>
      <c r="AIK261" s="90"/>
      <c r="AIL261" s="90"/>
      <c r="AIM261" s="90"/>
      <c r="AIN261" s="90"/>
      <c r="AIO261" s="90"/>
      <c r="AIP261" s="90"/>
      <c r="AIQ261" s="90"/>
      <c r="AIR261" s="90"/>
      <c r="AIS261" s="90"/>
      <c r="AIT261" s="90"/>
      <c r="AIU261" s="90"/>
      <c r="AIV261" s="90"/>
      <c r="AIW261" s="90"/>
      <c r="AIX261" s="90"/>
      <c r="AIY261" s="90"/>
      <c r="AIZ261" s="90"/>
      <c r="AJA261" s="90"/>
      <c r="AJB261" s="90"/>
      <c r="AJC261" s="90"/>
      <c r="AJD261" s="90"/>
      <c r="AJE261" s="90"/>
      <c r="AJF261" s="90"/>
      <c r="AJG261" s="90"/>
      <c r="AJH261" s="90"/>
      <c r="AJI261" s="90"/>
      <c r="AJJ261" s="90"/>
      <c r="AJK261" s="90"/>
      <c r="AJL261" s="90"/>
      <c r="AJM261" s="90"/>
      <c r="AJN261" s="90"/>
      <c r="AJO261" s="90"/>
      <c r="AJP261" s="90"/>
      <c r="AJQ261" s="90"/>
      <c r="AJR261" s="90"/>
      <c r="AJS261" s="90"/>
      <c r="AJT261" s="90"/>
      <c r="AJU261" s="90"/>
      <c r="AJV261" s="90"/>
      <c r="AJW261" s="90"/>
      <c r="AJX261" s="90"/>
      <c r="AJY261" s="90"/>
      <c r="AJZ261" s="90"/>
      <c r="AKA261" s="90"/>
      <c r="AKB261" s="90"/>
      <c r="AKC261" s="90"/>
      <c r="AKD261" s="90"/>
      <c r="AKE261" s="90"/>
      <c r="AKF261" s="90"/>
      <c r="AKG261" s="90"/>
      <c r="AKH261" s="90"/>
      <c r="AKI261" s="90"/>
      <c r="AKJ261" s="90"/>
      <c r="AKK261" s="90"/>
      <c r="AKL261" s="90"/>
      <c r="AKM261" s="90"/>
      <c r="AKN261" s="90"/>
      <c r="AKO261" s="90"/>
      <c r="AKP261" s="90"/>
      <c r="AKQ261" s="90"/>
      <c r="AKR261" s="90"/>
      <c r="AKS261" s="90"/>
      <c r="AKT261" s="90"/>
      <c r="AKU261" s="90"/>
      <c r="AKV261" s="90"/>
      <c r="AKW261" s="90"/>
      <c r="AKX261" s="90"/>
      <c r="AKY261" s="90"/>
      <c r="AKZ261" s="90"/>
      <c r="ALA261" s="90"/>
      <c r="ALB261" s="90"/>
      <c r="ALC261" s="90"/>
      <c r="ALD261" s="90"/>
      <c r="ALE261" s="90"/>
      <c r="ALF261" s="90"/>
      <c r="ALG261" s="90"/>
      <c r="ALH261" s="90"/>
      <c r="ALI261" s="90"/>
      <c r="ALJ261" s="90"/>
      <c r="ALK261" s="90"/>
      <c r="ALL261" s="90"/>
      <c r="ALM261" s="90"/>
      <c r="ALN261" s="90"/>
      <c r="ALO261" s="90"/>
      <c r="ALP261" s="90"/>
      <c r="ALQ261" s="90"/>
      <c r="ALR261" s="90"/>
      <c r="ALS261" s="90"/>
      <c r="ALT261" s="90"/>
      <c r="ALU261" s="90"/>
      <c r="ALV261" s="90"/>
      <c r="ALW261" s="90"/>
      <c r="ALX261" s="90"/>
      <c r="ALY261" s="90"/>
      <c r="ALZ261" s="90"/>
      <c r="AMA261" s="90"/>
      <c r="AMB261" s="90"/>
      <c r="AMC261" s="90"/>
    </row>
    <row r="262" spans="1:1017">
      <c r="A262" s="98" t="s">
        <v>51</v>
      </c>
      <c r="B262" s="90" t="str">
        <f t="shared" si="1582"/>
        <v xml:space="preserve">Rajungan </v>
      </c>
      <c r="Q262" s="91">
        <f t="shared" si="1583"/>
        <v>0</v>
      </c>
      <c r="R262" s="91">
        <f t="shared" si="1584"/>
        <v>0</v>
      </c>
      <c r="AG262" s="91">
        <f t="shared" si="1585"/>
        <v>0</v>
      </c>
      <c r="AH262" s="91">
        <f t="shared" si="1586"/>
        <v>0</v>
      </c>
      <c r="AW262" s="91">
        <f t="shared" si="1587"/>
        <v>0</v>
      </c>
      <c r="AX262" s="91">
        <f t="shared" si="1588"/>
        <v>0</v>
      </c>
      <c r="BM262" s="91">
        <f t="shared" si="1589"/>
        <v>0</v>
      </c>
      <c r="BN262" s="91">
        <f t="shared" si="1590"/>
        <v>0</v>
      </c>
      <c r="CC262" s="91">
        <f t="shared" si="1591"/>
        <v>0</v>
      </c>
      <c r="CD262" s="91">
        <f t="shared" si="1592"/>
        <v>0</v>
      </c>
      <c r="CS262" s="91">
        <f t="shared" si="1593"/>
        <v>0</v>
      </c>
      <c r="CT262" s="91">
        <f t="shared" si="1594"/>
        <v>0</v>
      </c>
      <c r="DI262" s="91">
        <f t="shared" si="1595"/>
        <v>0</v>
      </c>
      <c r="DJ262" s="91">
        <f t="shared" si="1596"/>
        <v>0</v>
      </c>
      <c r="DY262" s="91">
        <f t="shared" si="1597"/>
        <v>0</v>
      </c>
      <c r="DZ262" s="91">
        <f t="shared" si="1598"/>
        <v>0</v>
      </c>
      <c r="EO262" s="91">
        <f t="shared" si="1599"/>
        <v>0</v>
      </c>
      <c r="EP262" s="91">
        <f t="shared" si="1600"/>
        <v>0</v>
      </c>
      <c r="FE262" s="91">
        <f t="shared" si="1601"/>
        <v>0</v>
      </c>
      <c r="FF262" s="91">
        <f t="shared" si="1602"/>
        <v>0</v>
      </c>
      <c r="FU262" s="91">
        <f t="shared" si="1603"/>
        <v>0</v>
      </c>
      <c r="FV262" s="91">
        <f t="shared" si="1604"/>
        <v>0</v>
      </c>
      <c r="GK262" s="91">
        <f t="shared" si="1605"/>
        <v>0</v>
      </c>
      <c r="GL262" s="91">
        <f t="shared" si="1606"/>
        <v>0</v>
      </c>
      <c r="HA262" s="91">
        <f t="shared" si="1607"/>
        <v>0</v>
      </c>
      <c r="HB262" s="91">
        <f t="shared" si="1608"/>
        <v>0</v>
      </c>
      <c r="HQ262" s="91">
        <f t="shared" si="1609"/>
        <v>0</v>
      </c>
      <c r="HR262" s="91">
        <f t="shared" si="1610"/>
        <v>0</v>
      </c>
      <c r="IG262" s="91">
        <f t="shared" si="1611"/>
        <v>0</v>
      </c>
      <c r="IH262" s="91">
        <f t="shared" si="1612"/>
        <v>0</v>
      </c>
      <c r="IW262" s="91">
        <f t="shared" si="1613"/>
        <v>0</v>
      </c>
      <c r="IX262" s="91">
        <f t="shared" si="1614"/>
        <v>0</v>
      </c>
      <c r="JM262" s="91">
        <f t="shared" si="1615"/>
        <v>0</v>
      </c>
      <c r="JN262" s="91">
        <f t="shared" si="1616"/>
        <v>0</v>
      </c>
      <c r="KC262" s="91">
        <f t="shared" si="1617"/>
        <v>0</v>
      </c>
      <c r="KD262" s="91">
        <f t="shared" si="1618"/>
        <v>0</v>
      </c>
      <c r="KS262" s="91">
        <f t="shared" si="1619"/>
        <v>0</v>
      </c>
      <c r="KT262" s="91">
        <f t="shared" si="1620"/>
        <v>0</v>
      </c>
      <c r="LI262" s="91">
        <f t="shared" si="1621"/>
        <v>0</v>
      </c>
      <c r="LJ262" s="91">
        <f t="shared" si="1622"/>
        <v>0</v>
      </c>
      <c r="LY262" s="91">
        <f t="shared" si="1623"/>
        <v>0</v>
      </c>
      <c r="LZ262" s="91">
        <f t="shared" si="1624"/>
        <v>0</v>
      </c>
      <c r="MO262" s="91">
        <f t="shared" si="1625"/>
        <v>0</v>
      </c>
      <c r="MP262" s="91">
        <f t="shared" si="1626"/>
        <v>0</v>
      </c>
      <c r="NE262" s="91">
        <f t="shared" si="1627"/>
        <v>0</v>
      </c>
      <c r="NF262" s="91">
        <f t="shared" si="1628"/>
        <v>0</v>
      </c>
      <c r="NU262" s="91">
        <f t="shared" si="1629"/>
        <v>0</v>
      </c>
      <c r="NV262" s="91">
        <f t="shared" si="1630"/>
        <v>0</v>
      </c>
      <c r="OK262" s="91">
        <f t="shared" si="1631"/>
        <v>0</v>
      </c>
      <c r="OL262" s="91">
        <f t="shared" si="1632"/>
        <v>0</v>
      </c>
      <c r="PA262" s="91">
        <f t="shared" si="1633"/>
        <v>0</v>
      </c>
      <c r="PB262" s="91">
        <f t="shared" si="1634"/>
        <v>0</v>
      </c>
      <c r="PQ262" s="91">
        <f t="shared" si="1635"/>
        <v>0</v>
      </c>
      <c r="PR262" s="91">
        <f t="shared" si="1636"/>
        <v>0</v>
      </c>
      <c r="QG262" s="91">
        <f t="shared" si="1637"/>
        <v>0</v>
      </c>
      <c r="QH262" s="91">
        <f t="shared" si="1638"/>
        <v>0</v>
      </c>
      <c r="QW262" s="91">
        <f t="shared" si="1639"/>
        <v>0</v>
      </c>
      <c r="QX262" s="91">
        <f t="shared" si="1640"/>
        <v>0</v>
      </c>
      <c r="RM262" s="91">
        <f t="shared" si="1641"/>
        <v>0</v>
      </c>
      <c r="RN262" s="91">
        <f t="shared" si="1642"/>
        <v>0</v>
      </c>
      <c r="SC262" s="91">
        <f t="shared" si="1643"/>
        <v>0</v>
      </c>
      <c r="SD262" s="91">
        <f t="shared" si="1644"/>
        <v>0</v>
      </c>
      <c r="SS262" s="91">
        <f t="shared" si="1645"/>
        <v>0</v>
      </c>
      <c r="ST262" s="91">
        <f t="shared" si="1646"/>
        <v>0</v>
      </c>
      <c r="TI262" s="91">
        <f t="shared" si="1647"/>
        <v>0</v>
      </c>
      <c r="TJ262" s="91">
        <f t="shared" si="1648"/>
        <v>0</v>
      </c>
      <c r="TY262" s="91">
        <f t="shared" si="1649"/>
        <v>0</v>
      </c>
      <c r="TZ262" s="91">
        <f t="shared" si="1650"/>
        <v>0</v>
      </c>
      <c r="UO262" s="91">
        <f t="shared" si="1651"/>
        <v>0</v>
      </c>
      <c r="UP262" s="91">
        <f t="shared" si="1652"/>
        <v>0</v>
      </c>
      <c r="VE262" s="91">
        <f t="shared" si="1653"/>
        <v>0</v>
      </c>
      <c r="VF262" s="91">
        <f t="shared" si="1654"/>
        <v>0</v>
      </c>
      <c r="VU262" s="91">
        <f t="shared" si="1655"/>
        <v>0</v>
      </c>
      <c r="VV262" s="91">
        <f t="shared" si="1656"/>
        <v>0</v>
      </c>
      <c r="WK262" s="91">
        <f t="shared" si="1657"/>
        <v>0</v>
      </c>
      <c r="WL262" s="91">
        <f t="shared" si="1658"/>
        <v>0</v>
      </c>
      <c r="WM262" s="89"/>
      <c r="WN262" s="87">
        <f t="shared" si="1659"/>
        <v>0</v>
      </c>
      <c r="WO262" s="87">
        <f t="shared" si="1660"/>
        <v>0</v>
      </c>
      <c r="WP262" s="87">
        <f t="shared" si="1661"/>
        <v>0</v>
      </c>
      <c r="WQ262" s="87">
        <f t="shared" si="1662"/>
        <v>0</v>
      </c>
      <c r="WR262" s="87">
        <f t="shared" si="1663"/>
        <v>0</v>
      </c>
      <c r="WS262" s="87">
        <f t="shared" si="1664"/>
        <v>0</v>
      </c>
      <c r="WT262" s="87">
        <f t="shared" si="1665"/>
        <v>0</v>
      </c>
      <c r="WU262" s="87">
        <f t="shared" si="1666"/>
        <v>0</v>
      </c>
      <c r="WV262" s="87">
        <f t="shared" si="1667"/>
        <v>0</v>
      </c>
      <c r="WW262" s="87">
        <f t="shared" si="1668"/>
        <v>0</v>
      </c>
      <c r="WX262" s="87">
        <f t="shared" si="1669"/>
        <v>0</v>
      </c>
      <c r="WY262" s="87">
        <f t="shared" si="1670"/>
        <v>0</v>
      </c>
      <c r="WZ262" s="87">
        <f t="shared" si="1671"/>
        <v>0</v>
      </c>
      <c r="XA262" s="87">
        <f t="shared" si="1672"/>
        <v>0</v>
      </c>
      <c r="XB262" s="92">
        <f t="shared" si="1673"/>
        <v>0</v>
      </c>
      <c r="XC262" s="92">
        <f t="shared" si="1674"/>
        <v>0</v>
      </c>
      <c r="XD262" s="89"/>
      <c r="XE262" s="92"/>
      <c r="XF262" s="92"/>
      <c r="XG262" s="89"/>
      <c r="XH262" s="92"/>
      <c r="XI262" s="92"/>
      <c r="XJ262" s="89"/>
      <c r="XK262" s="87"/>
      <c r="XL262" s="87"/>
      <c r="XM262" s="87"/>
      <c r="XN262" s="87"/>
      <c r="XO262" s="87"/>
      <c r="XP262" s="87"/>
      <c r="XQ262" s="87"/>
      <c r="XR262" s="92">
        <f t="shared" ca="1" si="1675"/>
        <v>0</v>
      </c>
      <c r="XS262" s="89"/>
      <c r="XT262" s="87"/>
      <c r="XU262" s="87"/>
      <c r="XV262" s="87"/>
      <c r="XW262" s="87"/>
      <c r="XX262" s="87"/>
      <c r="XY262" s="87"/>
      <c r="XZ262" s="87"/>
      <c r="YA262" s="92">
        <f t="shared" ca="1" si="1676"/>
        <v>0</v>
      </c>
      <c r="YB262" s="90"/>
      <c r="YC262" s="90"/>
      <c r="YD262" s="90"/>
      <c r="YE262" s="90"/>
      <c r="YF262" s="90"/>
      <c r="YG262" s="90"/>
      <c r="YH262" s="90"/>
      <c r="YI262" s="90"/>
      <c r="YJ262" s="90"/>
      <c r="YK262" s="90"/>
      <c r="YL262" s="90"/>
      <c r="YM262" s="90"/>
      <c r="YN262" s="90"/>
      <c r="YO262" s="90"/>
      <c r="YP262" s="90"/>
      <c r="YQ262" s="90"/>
      <c r="YR262" s="90"/>
      <c r="YS262" s="90"/>
      <c r="YT262" s="90"/>
      <c r="YU262" s="90"/>
      <c r="YV262" s="90"/>
      <c r="YW262" s="90"/>
      <c r="YX262" s="90"/>
      <c r="YY262" s="90"/>
      <c r="YZ262" s="90"/>
      <c r="ZA262" s="90"/>
      <c r="ZB262" s="90"/>
      <c r="ZC262" s="90"/>
      <c r="ZD262" s="90"/>
      <c r="ZE262" s="90"/>
      <c r="ZF262" s="90"/>
      <c r="ZG262" s="90"/>
      <c r="ZH262" s="90"/>
      <c r="ZI262" s="90"/>
      <c r="ZJ262" s="90"/>
      <c r="ZK262" s="90"/>
      <c r="ZL262" s="90"/>
      <c r="ZM262" s="90"/>
      <c r="ZN262" s="90"/>
      <c r="ZO262" s="90"/>
      <c r="ZP262" s="90"/>
      <c r="ZQ262" s="90"/>
      <c r="ZR262" s="90"/>
      <c r="ZS262" s="90"/>
      <c r="ZT262" s="90"/>
      <c r="ZU262" s="90"/>
      <c r="ZV262" s="90"/>
      <c r="ZW262" s="90"/>
      <c r="ZX262" s="90"/>
      <c r="ZY262" s="90"/>
      <c r="ZZ262" s="90"/>
      <c r="AAA262" s="90"/>
      <c r="AAB262" s="90"/>
      <c r="AAC262" s="90"/>
      <c r="AAD262" s="90"/>
      <c r="AAE262" s="90"/>
      <c r="AAF262" s="90"/>
      <c r="AAG262" s="90"/>
      <c r="AAH262" s="90"/>
      <c r="AAI262" s="90"/>
      <c r="AAJ262" s="90"/>
      <c r="AAK262" s="90"/>
      <c r="AAL262" s="90"/>
      <c r="AAM262" s="90"/>
      <c r="AAN262" s="90"/>
      <c r="AAO262" s="90"/>
      <c r="AAP262" s="90"/>
      <c r="AAQ262" s="90"/>
      <c r="AAR262" s="90"/>
      <c r="AAS262" s="90"/>
      <c r="AAT262" s="90"/>
      <c r="AAU262" s="90"/>
      <c r="AAV262" s="90"/>
      <c r="AAW262" s="90"/>
      <c r="AAX262" s="90"/>
      <c r="AAY262" s="90"/>
      <c r="AAZ262" s="90"/>
      <c r="ABA262" s="90"/>
      <c r="ABB262" s="90"/>
      <c r="ABC262" s="90"/>
      <c r="ABD262" s="90"/>
      <c r="ABE262" s="90"/>
      <c r="ABF262" s="90"/>
      <c r="ABG262" s="90"/>
      <c r="ABH262" s="90"/>
      <c r="ABI262" s="90"/>
      <c r="ABJ262" s="90"/>
      <c r="ABK262" s="90"/>
      <c r="ABL262" s="90"/>
      <c r="ABM262" s="90"/>
      <c r="ABN262" s="90"/>
      <c r="ABO262" s="90"/>
      <c r="ABP262" s="90"/>
      <c r="ABQ262" s="90"/>
      <c r="ABR262" s="90"/>
      <c r="ABS262" s="90"/>
      <c r="ABT262" s="90"/>
      <c r="ABU262" s="90"/>
      <c r="ABV262" s="90"/>
      <c r="ABW262" s="90"/>
      <c r="ABX262" s="90"/>
      <c r="ABY262" s="90"/>
      <c r="ABZ262" s="90"/>
      <c r="ACA262" s="90"/>
      <c r="ACB262" s="90"/>
      <c r="ACC262" s="90"/>
      <c r="ACD262" s="90"/>
      <c r="ACE262" s="90"/>
      <c r="ACF262" s="90"/>
      <c r="ACG262" s="90"/>
      <c r="ACH262" s="90"/>
      <c r="ACI262" s="90"/>
      <c r="ACJ262" s="90"/>
      <c r="ACK262" s="90"/>
      <c r="ACL262" s="90"/>
      <c r="ACM262" s="90"/>
      <c r="ACN262" s="90"/>
      <c r="ACO262" s="90"/>
      <c r="ACP262" s="90"/>
      <c r="ACQ262" s="90"/>
      <c r="ACR262" s="90"/>
      <c r="ACS262" s="90"/>
      <c r="ACT262" s="90"/>
      <c r="ACU262" s="90"/>
      <c r="ACV262" s="90"/>
      <c r="ACW262" s="90"/>
      <c r="ACX262" s="90"/>
      <c r="ACY262" s="90"/>
      <c r="ACZ262" s="90"/>
      <c r="ADA262" s="90"/>
      <c r="ADB262" s="90"/>
      <c r="ADC262" s="90"/>
      <c r="ADD262" s="90"/>
      <c r="ADE262" s="90"/>
      <c r="ADF262" s="90"/>
      <c r="ADG262" s="90"/>
      <c r="ADH262" s="90"/>
      <c r="ADI262" s="90"/>
      <c r="ADJ262" s="90"/>
      <c r="ADK262" s="90"/>
      <c r="ADL262" s="90"/>
      <c r="ADM262" s="90"/>
      <c r="ADN262" s="90"/>
      <c r="ADO262" s="90"/>
      <c r="ADP262" s="90"/>
      <c r="ADQ262" s="90"/>
      <c r="ADR262" s="90"/>
      <c r="ADS262" s="90"/>
      <c r="ADT262" s="90"/>
      <c r="ADU262" s="90"/>
      <c r="ADV262" s="90"/>
      <c r="ADW262" s="90"/>
      <c r="ADX262" s="90"/>
      <c r="ADY262" s="90"/>
      <c r="ADZ262" s="90"/>
      <c r="AEA262" s="90"/>
      <c r="AEB262" s="90"/>
      <c r="AEC262" s="90"/>
      <c r="AED262" s="90"/>
      <c r="AEE262" s="90"/>
      <c r="AEF262" s="90"/>
      <c r="AEG262" s="90"/>
      <c r="AEH262" s="90"/>
      <c r="AEI262" s="90"/>
      <c r="AEJ262" s="90"/>
      <c r="AEK262" s="90"/>
      <c r="AEL262" s="90"/>
      <c r="AEM262" s="90"/>
      <c r="AEN262" s="90"/>
      <c r="AEO262" s="90"/>
      <c r="AEP262" s="90"/>
      <c r="AEQ262" s="90"/>
      <c r="AER262" s="90"/>
      <c r="AES262" s="90"/>
      <c r="AET262" s="90"/>
      <c r="AEU262" s="90"/>
      <c r="AEV262" s="90"/>
      <c r="AEW262" s="90"/>
      <c r="AEX262" s="90"/>
      <c r="AEY262" s="90"/>
      <c r="AEZ262" s="90"/>
      <c r="AFA262" s="90"/>
      <c r="AFB262" s="90"/>
      <c r="AFC262" s="90"/>
      <c r="AFD262" s="90"/>
      <c r="AFE262" s="90"/>
      <c r="AFF262" s="90"/>
      <c r="AFG262" s="90"/>
      <c r="AFH262" s="90"/>
      <c r="AFI262" s="90"/>
      <c r="AFJ262" s="90"/>
      <c r="AFK262" s="90"/>
      <c r="AFL262" s="90"/>
      <c r="AFM262" s="90"/>
      <c r="AFN262" s="90"/>
      <c r="AFO262" s="90"/>
      <c r="AFP262" s="90"/>
      <c r="AFQ262" s="90"/>
      <c r="AFR262" s="90"/>
      <c r="AFS262" s="90"/>
      <c r="AFT262" s="90"/>
      <c r="AFU262" s="90"/>
      <c r="AFV262" s="90"/>
      <c r="AFW262" s="90"/>
      <c r="AFX262" s="90"/>
      <c r="AFY262" s="90"/>
      <c r="AFZ262" s="90"/>
      <c r="AGA262" s="90"/>
      <c r="AGB262" s="90"/>
      <c r="AGC262" s="90"/>
      <c r="AGD262" s="90"/>
      <c r="AGE262" s="90"/>
      <c r="AGF262" s="90"/>
      <c r="AGG262" s="90"/>
      <c r="AGH262" s="90"/>
      <c r="AGI262" s="90"/>
      <c r="AGJ262" s="90"/>
      <c r="AGK262" s="90"/>
      <c r="AGL262" s="90"/>
      <c r="AGM262" s="90"/>
      <c r="AGN262" s="90"/>
      <c r="AGO262" s="90"/>
      <c r="AGP262" s="90"/>
      <c r="AGQ262" s="90"/>
      <c r="AGR262" s="90"/>
      <c r="AGS262" s="90"/>
      <c r="AGT262" s="90"/>
      <c r="AGU262" s="90"/>
      <c r="AGV262" s="90"/>
      <c r="AGW262" s="90"/>
      <c r="AGX262" s="90"/>
      <c r="AGY262" s="90"/>
      <c r="AGZ262" s="90"/>
      <c r="AHA262" s="90"/>
      <c r="AHB262" s="90"/>
      <c r="AHC262" s="90"/>
      <c r="AHD262" s="90"/>
      <c r="AHE262" s="90"/>
      <c r="AHF262" s="90"/>
      <c r="AHG262" s="90"/>
      <c r="AHH262" s="90"/>
      <c r="AHI262" s="90"/>
      <c r="AHJ262" s="90"/>
      <c r="AHK262" s="90"/>
      <c r="AHL262" s="90"/>
      <c r="AHM262" s="90"/>
      <c r="AHN262" s="90"/>
      <c r="AHO262" s="90"/>
      <c r="AHP262" s="90"/>
      <c r="AHQ262" s="90"/>
      <c r="AHR262" s="90"/>
      <c r="AHS262" s="90"/>
      <c r="AHT262" s="90"/>
      <c r="AHU262" s="90"/>
      <c r="AHV262" s="90"/>
      <c r="AHW262" s="90"/>
      <c r="AHX262" s="90"/>
      <c r="AHY262" s="90"/>
      <c r="AHZ262" s="90"/>
      <c r="AIA262" s="90"/>
      <c r="AIB262" s="90"/>
      <c r="AIC262" s="90"/>
      <c r="AID262" s="90"/>
      <c r="AIE262" s="90"/>
      <c r="AIF262" s="90"/>
      <c r="AIG262" s="90"/>
      <c r="AIH262" s="90"/>
      <c r="AII262" s="90"/>
      <c r="AIJ262" s="90"/>
      <c r="AIK262" s="90"/>
      <c r="AIL262" s="90"/>
      <c r="AIM262" s="90"/>
      <c r="AIN262" s="90"/>
      <c r="AIO262" s="90"/>
      <c r="AIP262" s="90"/>
      <c r="AIQ262" s="90"/>
      <c r="AIR262" s="90"/>
      <c r="AIS262" s="90"/>
      <c r="AIT262" s="90"/>
      <c r="AIU262" s="90"/>
      <c r="AIV262" s="90"/>
      <c r="AIW262" s="90"/>
      <c r="AIX262" s="90"/>
      <c r="AIY262" s="90"/>
      <c r="AIZ262" s="90"/>
      <c r="AJA262" s="90"/>
      <c r="AJB262" s="90"/>
      <c r="AJC262" s="90"/>
      <c r="AJD262" s="90"/>
      <c r="AJE262" s="90"/>
      <c r="AJF262" s="90"/>
      <c r="AJG262" s="90"/>
      <c r="AJH262" s="90"/>
      <c r="AJI262" s="90"/>
      <c r="AJJ262" s="90"/>
      <c r="AJK262" s="90"/>
      <c r="AJL262" s="90"/>
      <c r="AJM262" s="90"/>
      <c r="AJN262" s="90"/>
      <c r="AJO262" s="90"/>
      <c r="AJP262" s="90"/>
      <c r="AJQ262" s="90"/>
      <c r="AJR262" s="90"/>
      <c r="AJS262" s="90"/>
      <c r="AJT262" s="90"/>
      <c r="AJU262" s="90"/>
      <c r="AJV262" s="90"/>
      <c r="AJW262" s="90"/>
      <c r="AJX262" s="90"/>
      <c r="AJY262" s="90"/>
      <c r="AJZ262" s="90"/>
      <c r="AKA262" s="90"/>
      <c r="AKB262" s="90"/>
      <c r="AKC262" s="90"/>
      <c r="AKD262" s="90"/>
      <c r="AKE262" s="90"/>
      <c r="AKF262" s="90"/>
      <c r="AKG262" s="90"/>
      <c r="AKH262" s="90"/>
      <c r="AKI262" s="90"/>
      <c r="AKJ262" s="90"/>
      <c r="AKK262" s="90"/>
      <c r="AKL262" s="90"/>
      <c r="AKM262" s="90"/>
      <c r="AKN262" s="90"/>
      <c r="AKO262" s="90"/>
      <c r="AKP262" s="90"/>
      <c r="AKQ262" s="90"/>
      <c r="AKR262" s="90"/>
      <c r="AKS262" s="90"/>
      <c r="AKT262" s="90"/>
      <c r="AKU262" s="90"/>
      <c r="AKV262" s="90"/>
      <c r="AKW262" s="90"/>
      <c r="AKX262" s="90"/>
      <c r="AKY262" s="90"/>
      <c r="AKZ262" s="90"/>
      <c r="ALA262" s="90"/>
      <c r="ALB262" s="90"/>
      <c r="ALC262" s="90"/>
      <c r="ALD262" s="90"/>
      <c r="ALE262" s="90"/>
      <c r="ALF262" s="90"/>
      <c r="ALG262" s="90"/>
      <c r="ALH262" s="90"/>
      <c r="ALI262" s="90"/>
      <c r="ALJ262" s="90"/>
      <c r="ALK262" s="90"/>
      <c r="ALL262" s="90"/>
      <c r="ALM262" s="90"/>
      <c r="ALN262" s="90"/>
      <c r="ALO262" s="90"/>
      <c r="ALP262" s="90"/>
      <c r="ALQ262" s="90"/>
      <c r="ALR262" s="90"/>
      <c r="ALS262" s="90"/>
      <c r="ALT262" s="90"/>
      <c r="ALU262" s="90"/>
      <c r="ALV262" s="90"/>
      <c r="ALW262" s="90"/>
      <c r="ALX262" s="90"/>
      <c r="ALY262" s="90"/>
      <c r="ALZ262" s="90"/>
      <c r="AMA262" s="90"/>
      <c r="AMB262" s="90"/>
      <c r="AMC262" s="90"/>
    </row>
    <row r="263" spans="1:1017">
      <c r="A263" s="98" t="s">
        <v>51</v>
      </c>
      <c r="B263" s="90" t="str">
        <f t="shared" si="1582"/>
        <v>Tawes</v>
      </c>
      <c r="Q263" s="91">
        <f t="shared" si="1583"/>
        <v>0</v>
      </c>
      <c r="R263" s="91">
        <f t="shared" si="1584"/>
        <v>0</v>
      </c>
      <c r="Y263" s="98">
        <v>1845</v>
      </c>
      <c r="Z263" s="98">
        <v>31365</v>
      </c>
      <c r="AG263" s="91">
        <f t="shared" si="1585"/>
        <v>1845</v>
      </c>
      <c r="AH263" s="91">
        <f t="shared" si="1586"/>
        <v>31365</v>
      </c>
      <c r="AW263" s="91">
        <f t="shared" si="1587"/>
        <v>0</v>
      </c>
      <c r="AX263" s="91">
        <f t="shared" si="1588"/>
        <v>0</v>
      </c>
      <c r="BK263" s="98">
        <v>432</v>
      </c>
      <c r="BL263" s="98">
        <v>4320</v>
      </c>
      <c r="BM263" s="91">
        <f t="shared" si="1589"/>
        <v>432</v>
      </c>
      <c r="BN263" s="91">
        <f t="shared" si="1590"/>
        <v>4320</v>
      </c>
      <c r="BU263" s="98">
        <v>75</v>
      </c>
      <c r="BV263" s="98">
        <v>1500</v>
      </c>
      <c r="CC263" s="91">
        <f t="shared" si="1591"/>
        <v>75</v>
      </c>
      <c r="CD263" s="91">
        <f t="shared" si="1592"/>
        <v>1500</v>
      </c>
      <c r="CK263" s="98">
        <v>375558</v>
      </c>
      <c r="CL263" s="98">
        <v>3755582</v>
      </c>
      <c r="CS263" s="91">
        <f t="shared" si="1593"/>
        <v>375558</v>
      </c>
      <c r="CT263" s="91">
        <f t="shared" si="1594"/>
        <v>3755582</v>
      </c>
      <c r="DA263" s="98">
        <v>190</v>
      </c>
      <c r="DB263" s="98">
        <v>3135</v>
      </c>
      <c r="DI263" s="91">
        <f t="shared" si="1595"/>
        <v>190</v>
      </c>
      <c r="DJ263" s="91">
        <f t="shared" si="1596"/>
        <v>3135</v>
      </c>
      <c r="DY263" s="91">
        <f t="shared" si="1597"/>
        <v>0</v>
      </c>
      <c r="DZ263" s="91">
        <f t="shared" si="1598"/>
        <v>0</v>
      </c>
      <c r="EG263" s="98">
        <v>100</v>
      </c>
      <c r="EH263" s="98">
        <v>1100</v>
      </c>
      <c r="EO263" s="91">
        <f t="shared" si="1599"/>
        <v>100</v>
      </c>
      <c r="EP263" s="91">
        <f t="shared" si="1600"/>
        <v>1100</v>
      </c>
      <c r="EW263" s="98">
        <v>69819</v>
      </c>
      <c r="EX263" s="98">
        <v>1396380</v>
      </c>
      <c r="FE263" s="91">
        <f t="shared" si="1601"/>
        <v>69819</v>
      </c>
      <c r="FF263" s="91">
        <f t="shared" si="1602"/>
        <v>1396380</v>
      </c>
      <c r="FM263" s="98">
        <v>70</v>
      </c>
      <c r="FN263" s="98">
        <v>1400</v>
      </c>
      <c r="FU263" s="91">
        <f t="shared" si="1603"/>
        <v>70</v>
      </c>
      <c r="FV263" s="91">
        <f t="shared" si="1604"/>
        <v>1400</v>
      </c>
      <c r="GC263" s="98">
        <v>250</v>
      </c>
      <c r="GD263" s="98">
        <v>3125</v>
      </c>
      <c r="GK263" s="91">
        <f t="shared" si="1605"/>
        <v>250</v>
      </c>
      <c r="GL263" s="91">
        <f t="shared" si="1606"/>
        <v>3125</v>
      </c>
      <c r="HA263" s="91">
        <f t="shared" si="1607"/>
        <v>0</v>
      </c>
      <c r="HB263" s="91">
        <f t="shared" si="1608"/>
        <v>0</v>
      </c>
      <c r="HQ263" s="91">
        <f t="shared" si="1609"/>
        <v>0</v>
      </c>
      <c r="HR263" s="91">
        <f t="shared" si="1610"/>
        <v>0</v>
      </c>
      <c r="IG263" s="91">
        <f t="shared" si="1611"/>
        <v>0</v>
      </c>
      <c r="IH263" s="91">
        <f t="shared" si="1612"/>
        <v>0</v>
      </c>
      <c r="IW263" s="91">
        <f t="shared" si="1613"/>
        <v>0</v>
      </c>
      <c r="IX263" s="91">
        <f t="shared" si="1614"/>
        <v>0</v>
      </c>
      <c r="JM263" s="91">
        <f t="shared" si="1615"/>
        <v>0</v>
      </c>
      <c r="JN263" s="91">
        <f t="shared" si="1616"/>
        <v>0</v>
      </c>
      <c r="KC263" s="91">
        <f t="shared" si="1617"/>
        <v>0</v>
      </c>
      <c r="KD263" s="91">
        <f t="shared" si="1618"/>
        <v>0</v>
      </c>
      <c r="KS263" s="91">
        <f t="shared" si="1619"/>
        <v>0</v>
      </c>
      <c r="KT263" s="91">
        <f t="shared" si="1620"/>
        <v>0</v>
      </c>
      <c r="LI263" s="91">
        <f t="shared" si="1621"/>
        <v>0</v>
      </c>
      <c r="LJ263" s="91">
        <f t="shared" si="1622"/>
        <v>0</v>
      </c>
      <c r="LY263" s="91">
        <f t="shared" si="1623"/>
        <v>0</v>
      </c>
      <c r="LZ263" s="91">
        <f t="shared" si="1624"/>
        <v>0</v>
      </c>
      <c r="MO263" s="91">
        <f t="shared" si="1625"/>
        <v>0</v>
      </c>
      <c r="MP263" s="91">
        <f t="shared" si="1626"/>
        <v>0</v>
      </c>
      <c r="NE263" s="91">
        <f t="shared" si="1627"/>
        <v>0</v>
      </c>
      <c r="NF263" s="91">
        <f t="shared" si="1628"/>
        <v>0</v>
      </c>
      <c r="NQ263" s="98">
        <v>120</v>
      </c>
      <c r="NR263" s="98">
        <v>1920</v>
      </c>
      <c r="NU263" s="91">
        <f t="shared" si="1629"/>
        <v>120</v>
      </c>
      <c r="NV263" s="91">
        <f t="shared" si="1630"/>
        <v>1920</v>
      </c>
      <c r="OK263" s="91">
        <f t="shared" si="1631"/>
        <v>0</v>
      </c>
      <c r="OL263" s="91">
        <f t="shared" si="1632"/>
        <v>0</v>
      </c>
      <c r="PA263" s="91">
        <f t="shared" si="1633"/>
        <v>0</v>
      </c>
      <c r="PB263" s="91">
        <f t="shared" si="1634"/>
        <v>0</v>
      </c>
      <c r="PQ263" s="91">
        <f t="shared" si="1635"/>
        <v>0</v>
      </c>
      <c r="PR263" s="91">
        <f t="shared" si="1636"/>
        <v>0</v>
      </c>
      <c r="PY263" s="98">
        <v>29300</v>
      </c>
      <c r="PZ263" s="98">
        <v>439500</v>
      </c>
      <c r="QA263" s="98">
        <v>29000</v>
      </c>
      <c r="QB263" s="98">
        <v>435000</v>
      </c>
      <c r="QG263" s="91">
        <f t="shared" si="1637"/>
        <v>58300</v>
      </c>
      <c r="QH263" s="91">
        <f t="shared" si="1638"/>
        <v>874500</v>
      </c>
      <c r="QW263" s="91">
        <f t="shared" si="1639"/>
        <v>0</v>
      </c>
      <c r="QX263" s="91">
        <f t="shared" si="1640"/>
        <v>0</v>
      </c>
      <c r="RM263" s="91">
        <f t="shared" si="1641"/>
        <v>0</v>
      </c>
      <c r="RN263" s="91">
        <f t="shared" si="1642"/>
        <v>0</v>
      </c>
      <c r="SC263" s="91">
        <f t="shared" si="1643"/>
        <v>0</v>
      </c>
      <c r="SD263" s="91">
        <f t="shared" si="1644"/>
        <v>0</v>
      </c>
      <c r="SS263" s="91">
        <f t="shared" si="1645"/>
        <v>0</v>
      </c>
      <c r="ST263" s="91">
        <f t="shared" si="1646"/>
        <v>0</v>
      </c>
      <c r="TI263" s="91">
        <f t="shared" si="1647"/>
        <v>0</v>
      </c>
      <c r="TJ263" s="91">
        <f t="shared" si="1648"/>
        <v>0</v>
      </c>
      <c r="TY263" s="91">
        <f t="shared" si="1649"/>
        <v>0</v>
      </c>
      <c r="TZ263" s="91">
        <f t="shared" si="1650"/>
        <v>0</v>
      </c>
      <c r="UO263" s="91">
        <f t="shared" si="1651"/>
        <v>0</v>
      </c>
      <c r="UP263" s="91">
        <f t="shared" si="1652"/>
        <v>0</v>
      </c>
      <c r="VE263" s="91">
        <f t="shared" si="1653"/>
        <v>0</v>
      </c>
      <c r="VF263" s="91">
        <f t="shared" si="1654"/>
        <v>0</v>
      </c>
      <c r="VU263" s="91">
        <f t="shared" si="1655"/>
        <v>0</v>
      </c>
      <c r="VV263" s="91">
        <f t="shared" si="1656"/>
        <v>0</v>
      </c>
      <c r="WK263" s="91">
        <f t="shared" si="1657"/>
        <v>0</v>
      </c>
      <c r="WL263" s="91">
        <f t="shared" si="1658"/>
        <v>0</v>
      </c>
      <c r="WM263" s="89"/>
      <c r="WN263" s="87">
        <f t="shared" si="1659"/>
        <v>0</v>
      </c>
      <c r="WO263" s="87">
        <f t="shared" si="1660"/>
        <v>0</v>
      </c>
      <c r="WP263" s="87">
        <f t="shared" si="1661"/>
        <v>0</v>
      </c>
      <c r="WQ263" s="87">
        <f t="shared" si="1662"/>
        <v>0</v>
      </c>
      <c r="WR263" s="87">
        <f t="shared" si="1663"/>
        <v>0</v>
      </c>
      <c r="WS263" s="87">
        <f t="shared" si="1664"/>
        <v>0</v>
      </c>
      <c r="WT263" s="87">
        <f t="shared" si="1665"/>
        <v>477207</v>
      </c>
      <c r="WU263" s="87">
        <f t="shared" si="1666"/>
        <v>5633087</v>
      </c>
      <c r="WV263" s="87">
        <f t="shared" si="1667"/>
        <v>29000</v>
      </c>
      <c r="WW263" s="87">
        <f t="shared" si="1668"/>
        <v>435000</v>
      </c>
      <c r="WX263" s="87">
        <f t="shared" si="1669"/>
        <v>120</v>
      </c>
      <c r="WY263" s="87">
        <f t="shared" si="1670"/>
        <v>1920</v>
      </c>
      <c r="WZ263" s="87">
        <f t="shared" si="1671"/>
        <v>432</v>
      </c>
      <c r="XA263" s="87">
        <f t="shared" si="1672"/>
        <v>4320</v>
      </c>
      <c r="XB263" s="92">
        <f t="shared" si="1673"/>
        <v>506759</v>
      </c>
      <c r="XC263" s="92">
        <f t="shared" si="1674"/>
        <v>6074327</v>
      </c>
      <c r="XD263" s="89"/>
      <c r="XE263" s="92"/>
      <c r="XF263" s="92"/>
      <c r="XG263" s="89"/>
      <c r="XH263" s="92"/>
      <c r="XI263" s="92"/>
      <c r="XJ263" s="89"/>
      <c r="XK263" s="87"/>
      <c r="XL263" s="87"/>
      <c r="XM263" s="87"/>
      <c r="XN263" s="87"/>
      <c r="XO263" s="87"/>
      <c r="XP263" s="87"/>
      <c r="XQ263" s="87"/>
      <c r="XR263" s="92">
        <f t="shared" ca="1" si="1675"/>
        <v>0</v>
      </c>
      <c r="XS263" s="89"/>
      <c r="XT263" s="87"/>
      <c r="XU263" s="87"/>
      <c r="XV263" s="87"/>
      <c r="XW263" s="87"/>
      <c r="XX263" s="87"/>
      <c r="XY263" s="87"/>
      <c r="XZ263" s="87"/>
      <c r="YA263" s="92">
        <f t="shared" ca="1" si="1676"/>
        <v>0</v>
      </c>
      <c r="YB263" s="90"/>
      <c r="YC263" s="90"/>
      <c r="YD263" s="90"/>
      <c r="YE263" s="90"/>
      <c r="YF263" s="90"/>
      <c r="YG263" s="90"/>
      <c r="YH263" s="90"/>
      <c r="YI263" s="90"/>
      <c r="YJ263" s="90"/>
      <c r="YK263" s="90"/>
      <c r="YL263" s="90"/>
      <c r="YM263" s="90"/>
      <c r="YN263" s="90"/>
      <c r="YO263" s="90"/>
      <c r="YP263" s="90"/>
      <c r="YQ263" s="90"/>
      <c r="YR263" s="90"/>
      <c r="YS263" s="90"/>
      <c r="YT263" s="90"/>
      <c r="YU263" s="90"/>
      <c r="YV263" s="90"/>
      <c r="YW263" s="90"/>
      <c r="YX263" s="90"/>
      <c r="YY263" s="90"/>
      <c r="YZ263" s="90"/>
      <c r="ZA263" s="90"/>
      <c r="ZB263" s="90"/>
      <c r="ZC263" s="90"/>
      <c r="ZD263" s="90"/>
      <c r="ZE263" s="90"/>
      <c r="ZF263" s="90"/>
      <c r="ZG263" s="90"/>
      <c r="ZH263" s="90"/>
      <c r="ZI263" s="90"/>
      <c r="ZJ263" s="90"/>
      <c r="ZK263" s="90"/>
      <c r="ZL263" s="90"/>
      <c r="ZM263" s="90"/>
      <c r="ZN263" s="90"/>
      <c r="ZO263" s="90"/>
      <c r="ZP263" s="90"/>
      <c r="ZQ263" s="90"/>
      <c r="ZR263" s="90"/>
      <c r="ZS263" s="90"/>
      <c r="ZT263" s="90"/>
      <c r="ZU263" s="90"/>
      <c r="ZV263" s="90"/>
      <c r="ZW263" s="90"/>
      <c r="ZX263" s="90"/>
      <c r="ZY263" s="90"/>
      <c r="ZZ263" s="90"/>
      <c r="AAA263" s="90"/>
      <c r="AAB263" s="90"/>
      <c r="AAC263" s="90"/>
      <c r="AAD263" s="90"/>
      <c r="AAE263" s="90"/>
      <c r="AAF263" s="90"/>
      <c r="AAG263" s="90"/>
      <c r="AAH263" s="90"/>
      <c r="AAI263" s="90"/>
      <c r="AAJ263" s="90"/>
      <c r="AAK263" s="90"/>
      <c r="AAL263" s="90"/>
      <c r="AAM263" s="90"/>
      <c r="AAN263" s="90"/>
      <c r="AAO263" s="90"/>
      <c r="AAP263" s="90"/>
      <c r="AAQ263" s="90"/>
      <c r="AAR263" s="90"/>
      <c r="AAS263" s="90"/>
      <c r="AAT263" s="90"/>
      <c r="AAU263" s="90"/>
      <c r="AAV263" s="90"/>
      <c r="AAW263" s="90"/>
      <c r="AAX263" s="90"/>
      <c r="AAY263" s="90"/>
      <c r="AAZ263" s="90"/>
      <c r="ABA263" s="90"/>
      <c r="ABB263" s="90"/>
      <c r="ABC263" s="90"/>
      <c r="ABD263" s="90"/>
      <c r="ABE263" s="90"/>
      <c r="ABF263" s="90"/>
      <c r="ABG263" s="90"/>
      <c r="ABH263" s="90"/>
      <c r="ABI263" s="90"/>
      <c r="ABJ263" s="90"/>
      <c r="ABK263" s="90"/>
      <c r="ABL263" s="90"/>
      <c r="ABM263" s="90"/>
      <c r="ABN263" s="90"/>
      <c r="ABO263" s="90"/>
      <c r="ABP263" s="90"/>
      <c r="ABQ263" s="90"/>
      <c r="ABR263" s="90"/>
      <c r="ABS263" s="90"/>
      <c r="ABT263" s="90"/>
      <c r="ABU263" s="90"/>
      <c r="ABV263" s="90"/>
      <c r="ABW263" s="90"/>
      <c r="ABX263" s="90"/>
      <c r="ABY263" s="90"/>
      <c r="ABZ263" s="90"/>
      <c r="ACA263" s="90"/>
      <c r="ACB263" s="90"/>
      <c r="ACC263" s="90"/>
      <c r="ACD263" s="90"/>
      <c r="ACE263" s="90"/>
      <c r="ACF263" s="90"/>
      <c r="ACG263" s="90"/>
      <c r="ACH263" s="90"/>
      <c r="ACI263" s="90"/>
      <c r="ACJ263" s="90"/>
      <c r="ACK263" s="90"/>
      <c r="ACL263" s="90"/>
      <c r="ACM263" s="90"/>
      <c r="ACN263" s="90"/>
      <c r="ACO263" s="90"/>
      <c r="ACP263" s="90"/>
      <c r="ACQ263" s="90"/>
      <c r="ACR263" s="90"/>
      <c r="ACS263" s="90"/>
      <c r="ACT263" s="90"/>
      <c r="ACU263" s="90"/>
      <c r="ACV263" s="90"/>
      <c r="ACW263" s="90"/>
      <c r="ACX263" s="90"/>
      <c r="ACY263" s="90"/>
      <c r="ACZ263" s="90"/>
      <c r="ADA263" s="90"/>
      <c r="ADB263" s="90"/>
      <c r="ADC263" s="90"/>
      <c r="ADD263" s="90"/>
      <c r="ADE263" s="90"/>
      <c r="ADF263" s="90"/>
      <c r="ADG263" s="90"/>
      <c r="ADH263" s="90"/>
      <c r="ADI263" s="90"/>
      <c r="ADJ263" s="90"/>
      <c r="ADK263" s="90"/>
      <c r="ADL263" s="90"/>
      <c r="ADM263" s="90"/>
      <c r="ADN263" s="90"/>
      <c r="ADO263" s="90"/>
      <c r="ADP263" s="90"/>
      <c r="ADQ263" s="90"/>
      <c r="ADR263" s="90"/>
      <c r="ADS263" s="90"/>
      <c r="ADT263" s="90"/>
      <c r="ADU263" s="90"/>
      <c r="ADV263" s="90"/>
      <c r="ADW263" s="90"/>
      <c r="ADX263" s="90"/>
      <c r="ADY263" s="90"/>
      <c r="ADZ263" s="90"/>
      <c r="AEA263" s="90"/>
      <c r="AEB263" s="90"/>
      <c r="AEC263" s="90"/>
      <c r="AED263" s="90"/>
      <c r="AEE263" s="90"/>
      <c r="AEF263" s="90"/>
      <c r="AEG263" s="90"/>
      <c r="AEH263" s="90"/>
      <c r="AEI263" s="90"/>
      <c r="AEJ263" s="90"/>
      <c r="AEK263" s="90"/>
      <c r="AEL263" s="90"/>
      <c r="AEM263" s="90"/>
      <c r="AEN263" s="90"/>
      <c r="AEO263" s="90"/>
      <c r="AEP263" s="90"/>
      <c r="AEQ263" s="90"/>
      <c r="AER263" s="90"/>
      <c r="AES263" s="90"/>
      <c r="AET263" s="90"/>
      <c r="AEU263" s="90"/>
      <c r="AEV263" s="90"/>
      <c r="AEW263" s="90"/>
      <c r="AEX263" s="90"/>
      <c r="AEY263" s="90"/>
      <c r="AEZ263" s="90"/>
      <c r="AFA263" s="90"/>
      <c r="AFB263" s="90"/>
      <c r="AFC263" s="90"/>
      <c r="AFD263" s="90"/>
      <c r="AFE263" s="90"/>
      <c r="AFF263" s="90"/>
      <c r="AFG263" s="90"/>
      <c r="AFH263" s="90"/>
      <c r="AFI263" s="90"/>
      <c r="AFJ263" s="90"/>
      <c r="AFK263" s="90"/>
      <c r="AFL263" s="90"/>
      <c r="AFM263" s="90"/>
      <c r="AFN263" s="90"/>
      <c r="AFO263" s="90"/>
      <c r="AFP263" s="90"/>
      <c r="AFQ263" s="90"/>
      <c r="AFR263" s="90"/>
      <c r="AFS263" s="90"/>
      <c r="AFT263" s="90"/>
      <c r="AFU263" s="90"/>
      <c r="AFV263" s="90"/>
      <c r="AFW263" s="90"/>
      <c r="AFX263" s="90"/>
      <c r="AFY263" s="90"/>
      <c r="AFZ263" s="90"/>
      <c r="AGA263" s="90"/>
      <c r="AGB263" s="90"/>
      <c r="AGC263" s="90"/>
      <c r="AGD263" s="90"/>
      <c r="AGE263" s="90"/>
      <c r="AGF263" s="90"/>
      <c r="AGG263" s="90"/>
      <c r="AGH263" s="90"/>
      <c r="AGI263" s="90"/>
      <c r="AGJ263" s="90"/>
      <c r="AGK263" s="90"/>
      <c r="AGL263" s="90"/>
      <c r="AGM263" s="90"/>
      <c r="AGN263" s="90"/>
      <c r="AGO263" s="90"/>
      <c r="AGP263" s="90"/>
      <c r="AGQ263" s="90"/>
      <c r="AGR263" s="90"/>
      <c r="AGS263" s="90"/>
      <c r="AGT263" s="90"/>
      <c r="AGU263" s="90"/>
      <c r="AGV263" s="90"/>
      <c r="AGW263" s="90"/>
      <c r="AGX263" s="90"/>
      <c r="AGY263" s="90"/>
      <c r="AGZ263" s="90"/>
      <c r="AHA263" s="90"/>
      <c r="AHB263" s="90"/>
      <c r="AHC263" s="90"/>
      <c r="AHD263" s="90"/>
      <c r="AHE263" s="90"/>
      <c r="AHF263" s="90"/>
      <c r="AHG263" s="90"/>
      <c r="AHH263" s="90"/>
      <c r="AHI263" s="90"/>
      <c r="AHJ263" s="90"/>
      <c r="AHK263" s="90"/>
      <c r="AHL263" s="90"/>
      <c r="AHM263" s="90"/>
      <c r="AHN263" s="90"/>
      <c r="AHO263" s="90"/>
      <c r="AHP263" s="90"/>
      <c r="AHQ263" s="90"/>
      <c r="AHR263" s="90"/>
      <c r="AHS263" s="90"/>
      <c r="AHT263" s="90"/>
      <c r="AHU263" s="90"/>
      <c r="AHV263" s="90"/>
      <c r="AHW263" s="90"/>
      <c r="AHX263" s="90"/>
      <c r="AHY263" s="90"/>
      <c r="AHZ263" s="90"/>
      <c r="AIA263" s="90"/>
      <c r="AIB263" s="90"/>
      <c r="AIC263" s="90"/>
      <c r="AID263" s="90"/>
      <c r="AIE263" s="90"/>
      <c r="AIF263" s="90"/>
      <c r="AIG263" s="90"/>
      <c r="AIH263" s="90"/>
      <c r="AII263" s="90"/>
      <c r="AIJ263" s="90"/>
      <c r="AIK263" s="90"/>
      <c r="AIL263" s="90"/>
      <c r="AIM263" s="90"/>
      <c r="AIN263" s="90"/>
      <c r="AIO263" s="90"/>
      <c r="AIP263" s="90"/>
      <c r="AIQ263" s="90"/>
      <c r="AIR263" s="90"/>
      <c r="AIS263" s="90"/>
      <c r="AIT263" s="90"/>
      <c r="AIU263" s="90"/>
      <c r="AIV263" s="90"/>
      <c r="AIW263" s="90"/>
      <c r="AIX263" s="90"/>
      <c r="AIY263" s="90"/>
      <c r="AIZ263" s="90"/>
      <c r="AJA263" s="90"/>
      <c r="AJB263" s="90"/>
      <c r="AJC263" s="90"/>
      <c r="AJD263" s="90"/>
      <c r="AJE263" s="90"/>
      <c r="AJF263" s="90"/>
      <c r="AJG263" s="90"/>
      <c r="AJH263" s="90"/>
      <c r="AJI263" s="90"/>
      <c r="AJJ263" s="90"/>
      <c r="AJK263" s="90"/>
      <c r="AJL263" s="90"/>
      <c r="AJM263" s="90"/>
      <c r="AJN263" s="90"/>
      <c r="AJO263" s="90"/>
      <c r="AJP263" s="90"/>
      <c r="AJQ263" s="90"/>
      <c r="AJR263" s="90"/>
      <c r="AJS263" s="90"/>
      <c r="AJT263" s="90"/>
      <c r="AJU263" s="90"/>
      <c r="AJV263" s="90"/>
      <c r="AJW263" s="90"/>
      <c r="AJX263" s="90"/>
      <c r="AJY263" s="90"/>
      <c r="AJZ263" s="90"/>
      <c r="AKA263" s="90"/>
      <c r="AKB263" s="90"/>
      <c r="AKC263" s="90"/>
      <c r="AKD263" s="90"/>
      <c r="AKE263" s="90"/>
      <c r="AKF263" s="90"/>
      <c r="AKG263" s="90"/>
      <c r="AKH263" s="90"/>
      <c r="AKI263" s="90"/>
      <c r="AKJ263" s="90"/>
      <c r="AKK263" s="90"/>
      <c r="AKL263" s="90"/>
      <c r="AKM263" s="90"/>
      <c r="AKN263" s="90"/>
      <c r="AKO263" s="90"/>
      <c r="AKP263" s="90"/>
      <c r="AKQ263" s="90"/>
      <c r="AKR263" s="90"/>
      <c r="AKS263" s="90"/>
      <c r="AKT263" s="90"/>
      <c r="AKU263" s="90"/>
      <c r="AKV263" s="90"/>
      <c r="AKW263" s="90"/>
      <c r="AKX263" s="90"/>
      <c r="AKY263" s="90"/>
      <c r="AKZ263" s="90"/>
      <c r="ALA263" s="90"/>
      <c r="ALB263" s="90"/>
      <c r="ALC263" s="90"/>
      <c r="ALD263" s="90"/>
      <c r="ALE263" s="90"/>
      <c r="ALF263" s="90"/>
      <c r="ALG263" s="90"/>
      <c r="ALH263" s="90"/>
      <c r="ALI263" s="90"/>
      <c r="ALJ263" s="90"/>
      <c r="ALK263" s="90"/>
      <c r="ALL263" s="90"/>
      <c r="ALM263" s="90"/>
      <c r="ALN263" s="90"/>
      <c r="ALO263" s="90"/>
      <c r="ALP263" s="90"/>
      <c r="ALQ263" s="90"/>
      <c r="ALR263" s="90"/>
      <c r="ALS263" s="90"/>
      <c r="ALT263" s="90"/>
      <c r="ALU263" s="90"/>
      <c r="ALV263" s="90"/>
      <c r="ALW263" s="90"/>
      <c r="ALX263" s="90"/>
      <c r="ALY263" s="90"/>
      <c r="ALZ263" s="90"/>
      <c r="AMA263" s="90"/>
      <c r="AMB263" s="90"/>
      <c r="AMC263" s="90"/>
    </row>
    <row r="264" spans="1:1017">
      <c r="A264" s="98" t="s">
        <v>51</v>
      </c>
      <c r="B264" s="90" t="str">
        <f t="shared" si="1582"/>
        <v>Teri</v>
      </c>
      <c r="Q264" s="91">
        <f t="shared" si="1583"/>
        <v>0</v>
      </c>
      <c r="R264" s="91">
        <f t="shared" si="1584"/>
        <v>0</v>
      </c>
      <c r="AG264" s="91">
        <f t="shared" si="1585"/>
        <v>0</v>
      </c>
      <c r="AH264" s="91">
        <f t="shared" si="1586"/>
        <v>0</v>
      </c>
      <c r="AW264" s="91">
        <f t="shared" si="1587"/>
        <v>0</v>
      </c>
      <c r="AX264" s="91">
        <f t="shared" si="1588"/>
        <v>0</v>
      </c>
      <c r="BM264" s="91">
        <f t="shared" si="1589"/>
        <v>0</v>
      </c>
      <c r="BN264" s="91">
        <f t="shared" si="1590"/>
        <v>0</v>
      </c>
      <c r="CC264" s="91">
        <f t="shared" si="1591"/>
        <v>0</v>
      </c>
      <c r="CD264" s="91">
        <f t="shared" si="1592"/>
        <v>0</v>
      </c>
      <c r="CS264" s="91">
        <f t="shared" si="1593"/>
        <v>0</v>
      </c>
      <c r="CT264" s="91">
        <f t="shared" si="1594"/>
        <v>0</v>
      </c>
      <c r="DI264" s="91">
        <f t="shared" si="1595"/>
        <v>0</v>
      </c>
      <c r="DJ264" s="91">
        <f t="shared" si="1596"/>
        <v>0</v>
      </c>
      <c r="DY264" s="91">
        <f t="shared" si="1597"/>
        <v>0</v>
      </c>
      <c r="DZ264" s="91">
        <f t="shared" si="1598"/>
        <v>0</v>
      </c>
      <c r="EO264" s="91">
        <f t="shared" si="1599"/>
        <v>0</v>
      </c>
      <c r="EP264" s="91">
        <f t="shared" si="1600"/>
        <v>0</v>
      </c>
      <c r="FE264" s="91">
        <f t="shared" si="1601"/>
        <v>0</v>
      </c>
      <c r="FF264" s="91">
        <f t="shared" si="1602"/>
        <v>0</v>
      </c>
      <c r="FU264" s="91">
        <f t="shared" si="1603"/>
        <v>0</v>
      </c>
      <c r="FV264" s="91">
        <f t="shared" si="1604"/>
        <v>0</v>
      </c>
      <c r="GK264" s="91">
        <f t="shared" si="1605"/>
        <v>0</v>
      </c>
      <c r="GL264" s="91">
        <f t="shared" si="1606"/>
        <v>0</v>
      </c>
      <c r="HA264" s="91">
        <f t="shared" si="1607"/>
        <v>0</v>
      </c>
      <c r="HB264" s="91">
        <f t="shared" si="1608"/>
        <v>0</v>
      </c>
      <c r="HQ264" s="91">
        <f t="shared" si="1609"/>
        <v>0</v>
      </c>
      <c r="HR264" s="91">
        <f t="shared" si="1610"/>
        <v>0</v>
      </c>
      <c r="IG264" s="91">
        <f t="shared" si="1611"/>
        <v>0</v>
      </c>
      <c r="IH264" s="91">
        <f t="shared" si="1612"/>
        <v>0</v>
      </c>
      <c r="IW264" s="91">
        <f t="shared" si="1613"/>
        <v>0</v>
      </c>
      <c r="IX264" s="91">
        <f t="shared" si="1614"/>
        <v>0</v>
      </c>
      <c r="JM264" s="91">
        <f t="shared" si="1615"/>
        <v>0</v>
      </c>
      <c r="JN264" s="91">
        <f t="shared" si="1616"/>
        <v>0</v>
      </c>
      <c r="KC264" s="91">
        <f t="shared" si="1617"/>
        <v>0</v>
      </c>
      <c r="KD264" s="91">
        <f t="shared" si="1618"/>
        <v>0</v>
      </c>
      <c r="KS264" s="91">
        <f t="shared" si="1619"/>
        <v>0</v>
      </c>
      <c r="KT264" s="91">
        <f t="shared" si="1620"/>
        <v>0</v>
      </c>
      <c r="LI264" s="91">
        <f t="shared" si="1621"/>
        <v>0</v>
      </c>
      <c r="LJ264" s="91">
        <f t="shared" si="1622"/>
        <v>0</v>
      </c>
      <c r="LY264" s="91">
        <f t="shared" si="1623"/>
        <v>0</v>
      </c>
      <c r="LZ264" s="91">
        <f t="shared" si="1624"/>
        <v>0</v>
      </c>
      <c r="MO264" s="91">
        <f t="shared" si="1625"/>
        <v>0</v>
      </c>
      <c r="MP264" s="91">
        <f t="shared" si="1626"/>
        <v>0</v>
      </c>
      <c r="NE264" s="91">
        <f t="shared" si="1627"/>
        <v>0</v>
      </c>
      <c r="NF264" s="91">
        <f t="shared" si="1628"/>
        <v>0</v>
      </c>
      <c r="NU264" s="91">
        <f t="shared" si="1629"/>
        <v>0</v>
      </c>
      <c r="NV264" s="91">
        <f t="shared" si="1630"/>
        <v>0</v>
      </c>
      <c r="OK264" s="91">
        <f t="shared" si="1631"/>
        <v>0</v>
      </c>
      <c r="OL264" s="91">
        <f t="shared" si="1632"/>
        <v>0</v>
      </c>
      <c r="PA264" s="91">
        <f t="shared" si="1633"/>
        <v>0</v>
      </c>
      <c r="PB264" s="91">
        <f t="shared" si="1634"/>
        <v>0</v>
      </c>
      <c r="PQ264" s="91">
        <f t="shared" si="1635"/>
        <v>0</v>
      </c>
      <c r="PR264" s="91">
        <f t="shared" si="1636"/>
        <v>0</v>
      </c>
      <c r="QG264" s="91">
        <f t="shared" si="1637"/>
        <v>0</v>
      </c>
      <c r="QH264" s="91">
        <f t="shared" si="1638"/>
        <v>0</v>
      </c>
      <c r="QW264" s="91">
        <f t="shared" si="1639"/>
        <v>0</v>
      </c>
      <c r="QX264" s="91">
        <f t="shared" si="1640"/>
        <v>0</v>
      </c>
      <c r="RM264" s="91">
        <f t="shared" si="1641"/>
        <v>0</v>
      </c>
      <c r="RN264" s="91">
        <f t="shared" si="1642"/>
        <v>0</v>
      </c>
      <c r="SC264" s="91">
        <f t="shared" si="1643"/>
        <v>0</v>
      </c>
      <c r="SD264" s="91">
        <f t="shared" si="1644"/>
        <v>0</v>
      </c>
      <c r="SS264" s="91">
        <f t="shared" si="1645"/>
        <v>0</v>
      </c>
      <c r="ST264" s="91">
        <f t="shared" si="1646"/>
        <v>0</v>
      </c>
      <c r="TI264" s="91">
        <f t="shared" si="1647"/>
        <v>0</v>
      </c>
      <c r="TJ264" s="91">
        <f t="shared" si="1648"/>
        <v>0</v>
      </c>
      <c r="TY264" s="91">
        <f t="shared" si="1649"/>
        <v>0</v>
      </c>
      <c r="TZ264" s="91">
        <f t="shared" si="1650"/>
        <v>0</v>
      </c>
      <c r="UO264" s="91">
        <f t="shared" si="1651"/>
        <v>0</v>
      </c>
      <c r="UP264" s="91">
        <f t="shared" si="1652"/>
        <v>0</v>
      </c>
      <c r="VE264" s="91">
        <f t="shared" si="1653"/>
        <v>0</v>
      </c>
      <c r="VF264" s="91">
        <f t="shared" si="1654"/>
        <v>0</v>
      </c>
      <c r="VU264" s="91">
        <f t="shared" si="1655"/>
        <v>0</v>
      </c>
      <c r="VV264" s="91">
        <f t="shared" si="1656"/>
        <v>0</v>
      </c>
      <c r="WK264" s="91">
        <f t="shared" si="1657"/>
        <v>0</v>
      </c>
      <c r="WL264" s="91">
        <f t="shared" si="1658"/>
        <v>0</v>
      </c>
      <c r="WM264" s="89"/>
      <c r="WN264" s="87">
        <f t="shared" si="1659"/>
        <v>0</v>
      </c>
      <c r="WO264" s="87">
        <f t="shared" si="1660"/>
        <v>0</v>
      </c>
      <c r="WP264" s="87">
        <f t="shared" si="1661"/>
        <v>0</v>
      </c>
      <c r="WQ264" s="87">
        <f t="shared" si="1662"/>
        <v>0</v>
      </c>
      <c r="WR264" s="87">
        <f t="shared" si="1663"/>
        <v>0</v>
      </c>
      <c r="WS264" s="87">
        <f t="shared" si="1664"/>
        <v>0</v>
      </c>
      <c r="WT264" s="87">
        <f t="shared" si="1665"/>
        <v>0</v>
      </c>
      <c r="WU264" s="87">
        <f t="shared" si="1666"/>
        <v>0</v>
      </c>
      <c r="WV264" s="87">
        <f t="shared" si="1667"/>
        <v>0</v>
      </c>
      <c r="WW264" s="87">
        <f t="shared" si="1668"/>
        <v>0</v>
      </c>
      <c r="WX264" s="87">
        <f t="shared" si="1669"/>
        <v>0</v>
      </c>
      <c r="WY264" s="87">
        <f t="shared" si="1670"/>
        <v>0</v>
      </c>
      <c r="WZ264" s="87">
        <f t="shared" si="1671"/>
        <v>0</v>
      </c>
      <c r="XA264" s="87">
        <f t="shared" si="1672"/>
        <v>0</v>
      </c>
      <c r="XB264" s="92">
        <f t="shared" si="1673"/>
        <v>0</v>
      </c>
      <c r="XC264" s="92">
        <f t="shared" si="1674"/>
        <v>0</v>
      </c>
      <c r="XD264" s="89"/>
      <c r="XE264" s="92"/>
      <c r="XF264" s="92"/>
      <c r="XG264" s="89"/>
      <c r="XH264" s="92"/>
      <c r="XI264" s="92"/>
      <c r="XJ264" s="89"/>
      <c r="XK264" s="87"/>
      <c r="XL264" s="87"/>
      <c r="XM264" s="87"/>
      <c r="XN264" s="87"/>
      <c r="XO264" s="87"/>
      <c r="XP264" s="87"/>
      <c r="XQ264" s="87"/>
      <c r="XR264" s="92">
        <f t="shared" ca="1" si="1675"/>
        <v>0</v>
      </c>
      <c r="XS264" s="89"/>
      <c r="XT264" s="87"/>
      <c r="XU264" s="87"/>
      <c r="XV264" s="87"/>
      <c r="XW264" s="87"/>
      <c r="XX264" s="87"/>
      <c r="XY264" s="87"/>
      <c r="XZ264" s="87"/>
      <c r="YA264" s="92">
        <f t="shared" ca="1" si="1676"/>
        <v>0</v>
      </c>
      <c r="YB264" s="90"/>
      <c r="YC264" s="90"/>
      <c r="YD264" s="90"/>
      <c r="YE264" s="90"/>
      <c r="YF264" s="90"/>
      <c r="YG264" s="90"/>
      <c r="YH264" s="90"/>
      <c r="YI264" s="90"/>
      <c r="YJ264" s="90"/>
      <c r="YK264" s="90"/>
      <c r="YL264" s="90"/>
      <c r="YM264" s="90"/>
      <c r="YN264" s="90"/>
      <c r="YO264" s="90"/>
      <c r="YP264" s="90"/>
      <c r="YQ264" s="90"/>
      <c r="YR264" s="90"/>
      <c r="YS264" s="90"/>
      <c r="YT264" s="90"/>
      <c r="YU264" s="90"/>
      <c r="YV264" s="90"/>
      <c r="YW264" s="90"/>
      <c r="YX264" s="90"/>
      <c r="YY264" s="90"/>
      <c r="YZ264" s="90"/>
      <c r="ZA264" s="90"/>
      <c r="ZB264" s="90"/>
      <c r="ZC264" s="90"/>
      <c r="ZD264" s="90"/>
      <c r="ZE264" s="90"/>
      <c r="ZF264" s="90"/>
      <c r="ZG264" s="90"/>
      <c r="ZH264" s="90"/>
      <c r="ZI264" s="90"/>
      <c r="ZJ264" s="90"/>
      <c r="ZK264" s="90"/>
      <c r="ZL264" s="90"/>
      <c r="ZM264" s="90"/>
      <c r="ZN264" s="90"/>
      <c r="ZO264" s="90"/>
      <c r="ZP264" s="90"/>
      <c r="ZQ264" s="90"/>
      <c r="ZR264" s="90"/>
      <c r="ZS264" s="90"/>
      <c r="ZT264" s="90"/>
      <c r="ZU264" s="90"/>
      <c r="ZV264" s="90"/>
      <c r="ZW264" s="90"/>
      <c r="ZX264" s="90"/>
      <c r="ZY264" s="90"/>
      <c r="ZZ264" s="90"/>
      <c r="AAA264" s="90"/>
      <c r="AAB264" s="90"/>
      <c r="AAC264" s="90"/>
      <c r="AAD264" s="90"/>
      <c r="AAE264" s="90"/>
      <c r="AAF264" s="90"/>
      <c r="AAG264" s="90"/>
      <c r="AAH264" s="90"/>
      <c r="AAI264" s="90"/>
      <c r="AAJ264" s="90"/>
      <c r="AAK264" s="90"/>
      <c r="AAL264" s="90"/>
      <c r="AAM264" s="90"/>
      <c r="AAN264" s="90"/>
      <c r="AAO264" s="90"/>
      <c r="AAP264" s="90"/>
      <c r="AAQ264" s="90"/>
      <c r="AAR264" s="90"/>
      <c r="AAS264" s="90"/>
      <c r="AAT264" s="90"/>
      <c r="AAU264" s="90"/>
      <c r="AAV264" s="90"/>
      <c r="AAW264" s="90"/>
      <c r="AAX264" s="90"/>
      <c r="AAY264" s="90"/>
      <c r="AAZ264" s="90"/>
      <c r="ABA264" s="90"/>
      <c r="ABB264" s="90"/>
      <c r="ABC264" s="90"/>
      <c r="ABD264" s="90"/>
      <c r="ABE264" s="90"/>
      <c r="ABF264" s="90"/>
      <c r="ABG264" s="90"/>
      <c r="ABH264" s="90"/>
      <c r="ABI264" s="90"/>
      <c r="ABJ264" s="90"/>
      <c r="ABK264" s="90"/>
      <c r="ABL264" s="90"/>
      <c r="ABM264" s="90"/>
      <c r="ABN264" s="90"/>
      <c r="ABO264" s="90"/>
      <c r="ABP264" s="90"/>
      <c r="ABQ264" s="90"/>
      <c r="ABR264" s="90"/>
      <c r="ABS264" s="90"/>
      <c r="ABT264" s="90"/>
      <c r="ABU264" s="90"/>
      <c r="ABV264" s="90"/>
      <c r="ABW264" s="90"/>
      <c r="ABX264" s="90"/>
      <c r="ABY264" s="90"/>
      <c r="ABZ264" s="90"/>
      <c r="ACA264" s="90"/>
      <c r="ACB264" s="90"/>
      <c r="ACC264" s="90"/>
      <c r="ACD264" s="90"/>
      <c r="ACE264" s="90"/>
      <c r="ACF264" s="90"/>
      <c r="ACG264" s="90"/>
      <c r="ACH264" s="90"/>
      <c r="ACI264" s="90"/>
      <c r="ACJ264" s="90"/>
      <c r="ACK264" s="90"/>
      <c r="ACL264" s="90"/>
      <c r="ACM264" s="90"/>
      <c r="ACN264" s="90"/>
      <c r="ACO264" s="90"/>
      <c r="ACP264" s="90"/>
      <c r="ACQ264" s="90"/>
      <c r="ACR264" s="90"/>
      <c r="ACS264" s="90"/>
      <c r="ACT264" s="90"/>
      <c r="ACU264" s="90"/>
      <c r="ACV264" s="90"/>
      <c r="ACW264" s="90"/>
      <c r="ACX264" s="90"/>
      <c r="ACY264" s="90"/>
      <c r="ACZ264" s="90"/>
      <c r="ADA264" s="90"/>
      <c r="ADB264" s="90"/>
      <c r="ADC264" s="90"/>
      <c r="ADD264" s="90"/>
      <c r="ADE264" s="90"/>
      <c r="ADF264" s="90"/>
      <c r="ADG264" s="90"/>
      <c r="ADH264" s="90"/>
      <c r="ADI264" s="90"/>
      <c r="ADJ264" s="90"/>
      <c r="ADK264" s="90"/>
      <c r="ADL264" s="90"/>
      <c r="ADM264" s="90"/>
      <c r="ADN264" s="90"/>
      <c r="ADO264" s="90"/>
      <c r="ADP264" s="90"/>
      <c r="ADQ264" s="90"/>
      <c r="ADR264" s="90"/>
      <c r="ADS264" s="90"/>
      <c r="ADT264" s="90"/>
      <c r="ADU264" s="90"/>
      <c r="ADV264" s="90"/>
      <c r="ADW264" s="90"/>
      <c r="ADX264" s="90"/>
      <c r="ADY264" s="90"/>
      <c r="ADZ264" s="90"/>
      <c r="AEA264" s="90"/>
      <c r="AEB264" s="90"/>
      <c r="AEC264" s="90"/>
      <c r="AED264" s="90"/>
      <c r="AEE264" s="90"/>
      <c r="AEF264" s="90"/>
      <c r="AEG264" s="90"/>
      <c r="AEH264" s="90"/>
      <c r="AEI264" s="90"/>
      <c r="AEJ264" s="90"/>
      <c r="AEK264" s="90"/>
      <c r="AEL264" s="90"/>
      <c r="AEM264" s="90"/>
      <c r="AEN264" s="90"/>
      <c r="AEO264" s="90"/>
      <c r="AEP264" s="90"/>
      <c r="AEQ264" s="90"/>
      <c r="AER264" s="90"/>
      <c r="AES264" s="90"/>
      <c r="AET264" s="90"/>
      <c r="AEU264" s="90"/>
      <c r="AEV264" s="90"/>
      <c r="AEW264" s="90"/>
      <c r="AEX264" s="90"/>
      <c r="AEY264" s="90"/>
      <c r="AEZ264" s="90"/>
      <c r="AFA264" s="90"/>
      <c r="AFB264" s="90"/>
      <c r="AFC264" s="90"/>
      <c r="AFD264" s="90"/>
      <c r="AFE264" s="90"/>
      <c r="AFF264" s="90"/>
      <c r="AFG264" s="90"/>
      <c r="AFH264" s="90"/>
      <c r="AFI264" s="90"/>
      <c r="AFJ264" s="90"/>
      <c r="AFK264" s="90"/>
      <c r="AFL264" s="90"/>
      <c r="AFM264" s="90"/>
      <c r="AFN264" s="90"/>
      <c r="AFO264" s="90"/>
      <c r="AFP264" s="90"/>
      <c r="AFQ264" s="90"/>
      <c r="AFR264" s="90"/>
      <c r="AFS264" s="90"/>
      <c r="AFT264" s="90"/>
      <c r="AFU264" s="90"/>
      <c r="AFV264" s="90"/>
      <c r="AFW264" s="90"/>
      <c r="AFX264" s="90"/>
      <c r="AFY264" s="90"/>
      <c r="AFZ264" s="90"/>
      <c r="AGA264" s="90"/>
      <c r="AGB264" s="90"/>
      <c r="AGC264" s="90"/>
      <c r="AGD264" s="90"/>
      <c r="AGE264" s="90"/>
      <c r="AGF264" s="90"/>
      <c r="AGG264" s="90"/>
      <c r="AGH264" s="90"/>
      <c r="AGI264" s="90"/>
      <c r="AGJ264" s="90"/>
      <c r="AGK264" s="90"/>
      <c r="AGL264" s="90"/>
      <c r="AGM264" s="90"/>
      <c r="AGN264" s="90"/>
      <c r="AGO264" s="90"/>
      <c r="AGP264" s="90"/>
      <c r="AGQ264" s="90"/>
      <c r="AGR264" s="90"/>
      <c r="AGS264" s="90"/>
      <c r="AGT264" s="90"/>
      <c r="AGU264" s="90"/>
      <c r="AGV264" s="90"/>
      <c r="AGW264" s="90"/>
      <c r="AGX264" s="90"/>
      <c r="AGY264" s="90"/>
      <c r="AGZ264" s="90"/>
      <c r="AHA264" s="90"/>
      <c r="AHB264" s="90"/>
      <c r="AHC264" s="90"/>
      <c r="AHD264" s="90"/>
      <c r="AHE264" s="90"/>
      <c r="AHF264" s="90"/>
      <c r="AHG264" s="90"/>
      <c r="AHH264" s="90"/>
      <c r="AHI264" s="90"/>
      <c r="AHJ264" s="90"/>
      <c r="AHK264" s="90"/>
      <c r="AHL264" s="90"/>
      <c r="AHM264" s="90"/>
      <c r="AHN264" s="90"/>
      <c r="AHO264" s="90"/>
      <c r="AHP264" s="90"/>
      <c r="AHQ264" s="90"/>
      <c r="AHR264" s="90"/>
      <c r="AHS264" s="90"/>
      <c r="AHT264" s="90"/>
      <c r="AHU264" s="90"/>
      <c r="AHV264" s="90"/>
      <c r="AHW264" s="90"/>
      <c r="AHX264" s="90"/>
      <c r="AHY264" s="90"/>
      <c r="AHZ264" s="90"/>
      <c r="AIA264" s="90"/>
      <c r="AIB264" s="90"/>
      <c r="AIC264" s="90"/>
      <c r="AID264" s="90"/>
      <c r="AIE264" s="90"/>
      <c r="AIF264" s="90"/>
      <c r="AIG264" s="90"/>
      <c r="AIH264" s="90"/>
      <c r="AII264" s="90"/>
      <c r="AIJ264" s="90"/>
      <c r="AIK264" s="90"/>
      <c r="AIL264" s="90"/>
      <c r="AIM264" s="90"/>
      <c r="AIN264" s="90"/>
      <c r="AIO264" s="90"/>
      <c r="AIP264" s="90"/>
      <c r="AIQ264" s="90"/>
      <c r="AIR264" s="90"/>
      <c r="AIS264" s="90"/>
      <c r="AIT264" s="90"/>
      <c r="AIU264" s="90"/>
      <c r="AIV264" s="90"/>
      <c r="AIW264" s="90"/>
      <c r="AIX264" s="90"/>
      <c r="AIY264" s="90"/>
      <c r="AIZ264" s="90"/>
      <c r="AJA264" s="90"/>
      <c r="AJB264" s="90"/>
      <c r="AJC264" s="90"/>
      <c r="AJD264" s="90"/>
      <c r="AJE264" s="90"/>
      <c r="AJF264" s="90"/>
      <c r="AJG264" s="90"/>
      <c r="AJH264" s="90"/>
      <c r="AJI264" s="90"/>
      <c r="AJJ264" s="90"/>
      <c r="AJK264" s="90"/>
      <c r="AJL264" s="90"/>
      <c r="AJM264" s="90"/>
      <c r="AJN264" s="90"/>
      <c r="AJO264" s="90"/>
      <c r="AJP264" s="90"/>
      <c r="AJQ264" s="90"/>
      <c r="AJR264" s="90"/>
      <c r="AJS264" s="90"/>
      <c r="AJT264" s="90"/>
      <c r="AJU264" s="90"/>
      <c r="AJV264" s="90"/>
      <c r="AJW264" s="90"/>
      <c r="AJX264" s="90"/>
      <c r="AJY264" s="90"/>
      <c r="AJZ264" s="90"/>
      <c r="AKA264" s="90"/>
      <c r="AKB264" s="90"/>
      <c r="AKC264" s="90"/>
      <c r="AKD264" s="90"/>
      <c r="AKE264" s="90"/>
      <c r="AKF264" s="90"/>
      <c r="AKG264" s="90"/>
      <c r="AKH264" s="90"/>
      <c r="AKI264" s="90"/>
      <c r="AKJ264" s="90"/>
      <c r="AKK264" s="90"/>
      <c r="AKL264" s="90"/>
      <c r="AKM264" s="90"/>
      <c r="AKN264" s="90"/>
      <c r="AKO264" s="90"/>
      <c r="AKP264" s="90"/>
      <c r="AKQ264" s="90"/>
      <c r="AKR264" s="90"/>
      <c r="AKS264" s="90"/>
      <c r="AKT264" s="90"/>
      <c r="AKU264" s="90"/>
      <c r="AKV264" s="90"/>
      <c r="AKW264" s="90"/>
      <c r="AKX264" s="90"/>
      <c r="AKY264" s="90"/>
      <c r="AKZ264" s="90"/>
      <c r="ALA264" s="90"/>
      <c r="ALB264" s="90"/>
      <c r="ALC264" s="90"/>
      <c r="ALD264" s="90"/>
      <c r="ALE264" s="90"/>
      <c r="ALF264" s="90"/>
      <c r="ALG264" s="90"/>
      <c r="ALH264" s="90"/>
      <c r="ALI264" s="90"/>
      <c r="ALJ264" s="90"/>
      <c r="ALK264" s="90"/>
      <c r="ALL264" s="90"/>
      <c r="ALM264" s="90"/>
      <c r="ALN264" s="90"/>
      <c r="ALO264" s="90"/>
      <c r="ALP264" s="90"/>
      <c r="ALQ264" s="90"/>
      <c r="ALR264" s="90"/>
      <c r="ALS264" s="90"/>
      <c r="ALT264" s="90"/>
      <c r="ALU264" s="90"/>
      <c r="ALV264" s="90"/>
      <c r="ALW264" s="90"/>
      <c r="ALX264" s="90"/>
      <c r="ALY264" s="90"/>
      <c r="ALZ264" s="90"/>
      <c r="AMA264" s="90"/>
      <c r="AMB264" s="90"/>
      <c r="AMC264" s="90"/>
    </row>
    <row r="265" spans="1:1017">
      <c r="A265" s="98" t="s">
        <v>51</v>
      </c>
      <c r="B265" s="90" t="str">
        <f t="shared" si="1582"/>
        <v xml:space="preserve">Udang Galah </v>
      </c>
      <c r="Q265" s="91">
        <f t="shared" si="1583"/>
        <v>0</v>
      </c>
      <c r="R265" s="91">
        <f t="shared" si="1584"/>
        <v>0</v>
      </c>
      <c r="AG265" s="91">
        <f t="shared" si="1585"/>
        <v>0</v>
      </c>
      <c r="AH265" s="91">
        <f t="shared" si="1586"/>
        <v>0</v>
      </c>
      <c r="AW265" s="91">
        <f t="shared" si="1587"/>
        <v>0</v>
      </c>
      <c r="AX265" s="91">
        <f t="shared" si="1588"/>
        <v>0</v>
      </c>
      <c r="BM265" s="91">
        <f t="shared" si="1589"/>
        <v>0</v>
      </c>
      <c r="BN265" s="91">
        <f t="shared" si="1590"/>
        <v>0</v>
      </c>
      <c r="CC265" s="91">
        <f t="shared" si="1591"/>
        <v>0</v>
      </c>
      <c r="CD265" s="91">
        <f t="shared" si="1592"/>
        <v>0</v>
      </c>
      <c r="CS265" s="91">
        <f t="shared" si="1593"/>
        <v>0</v>
      </c>
      <c r="CT265" s="91">
        <f t="shared" si="1594"/>
        <v>0</v>
      </c>
      <c r="DI265" s="91">
        <f t="shared" si="1595"/>
        <v>0</v>
      </c>
      <c r="DJ265" s="91">
        <f t="shared" si="1596"/>
        <v>0</v>
      </c>
      <c r="DY265" s="91">
        <f t="shared" si="1597"/>
        <v>0</v>
      </c>
      <c r="DZ265" s="91">
        <f t="shared" si="1598"/>
        <v>0</v>
      </c>
      <c r="EO265" s="91">
        <f t="shared" si="1599"/>
        <v>0</v>
      </c>
      <c r="EP265" s="91">
        <f t="shared" si="1600"/>
        <v>0</v>
      </c>
      <c r="FE265" s="91">
        <f t="shared" si="1601"/>
        <v>0</v>
      </c>
      <c r="FF265" s="91">
        <f t="shared" si="1602"/>
        <v>0</v>
      </c>
      <c r="FU265" s="91">
        <f t="shared" si="1603"/>
        <v>0</v>
      </c>
      <c r="FV265" s="91">
        <f t="shared" si="1604"/>
        <v>0</v>
      </c>
      <c r="GK265" s="91">
        <f t="shared" si="1605"/>
        <v>0</v>
      </c>
      <c r="GL265" s="91">
        <f t="shared" si="1606"/>
        <v>0</v>
      </c>
      <c r="HA265" s="91">
        <f t="shared" si="1607"/>
        <v>0</v>
      </c>
      <c r="HB265" s="91">
        <f t="shared" si="1608"/>
        <v>0</v>
      </c>
      <c r="HQ265" s="91">
        <f t="shared" si="1609"/>
        <v>0</v>
      </c>
      <c r="HR265" s="91">
        <f t="shared" si="1610"/>
        <v>0</v>
      </c>
      <c r="IG265" s="91">
        <f t="shared" si="1611"/>
        <v>0</v>
      </c>
      <c r="IH265" s="91">
        <f t="shared" si="1612"/>
        <v>0</v>
      </c>
      <c r="IW265" s="91">
        <f t="shared" si="1613"/>
        <v>0</v>
      </c>
      <c r="IX265" s="91">
        <f t="shared" si="1614"/>
        <v>0</v>
      </c>
      <c r="JM265" s="91">
        <f t="shared" si="1615"/>
        <v>0</v>
      </c>
      <c r="JN265" s="91">
        <f t="shared" si="1616"/>
        <v>0</v>
      </c>
      <c r="KC265" s="91">
        <f t="shared" si="1617"/>
        <v>0</v>
      </c>
      <c r="KD265" s="91">
        <f t="shared" si="1618"/>
        <v>0</v>
      </c>
      <c r="KS265" s="91">
        <f t="shared" si="1619"/>
        <v>0</v>
      </c>
      <c r="KT265" s="91">
        <f t="shared" si="1620"/>
        <v>0</v>
      </c>
      <c r="LI265" s="91">
        <f t="shared" si="1621"/>
        <v>0</v>
      </c>
      <c r="LJ265" s="91">
        <f t="shared" si="1622"/>
        <v>0</v>
      </c>
      <c r="LY265" s="91">
        <f t="shared" si="1623"/>
        <v>0</v>
      </c>
      <c r="LZ265" s="91">
        <f t="shared" si="1624"/>
        <v>0</v>
      </c>
      <c r="MO265" s="91">
        <f t="shared" si="1625"/>
        <v>0</v>
      </c>
      <c r="MP265" s="91">
        <f t="shared" si="1626"/>
        <v>0</v>
      </c>
      <c r="NE265" s="91">
        <f t="shared" si="1627"/>
        <v>0</v>
      </c>
      <c r="NF265" s="91">
        <f t="shared" si="1628"/>
        <v>0</v>
      </c>
      <c r="NU265" s="91">
        <f t="shared" si="1629"/>
        <v>0</v>
      </c>
      <c r="NV265" s="91">
        <f t="shared" si="1630"/>
        <v>0</v>
      </c>
      <c r="OK265" s="91">
        <f t="shared" si="1631"/>
        <v>0</v>
      </c>
      <c r="OL265" s="91">
        <f t="shared" si="1632"/>
        <v>0</v>
      </c>
      <c r="PA265" s="91">
        <f t="shared" si="1633"/>
        <v>0</v>
      </c>
      <c r="PB265" s="91">
        <f t="shared" si="1634"/>
        <v>0</v>
      </c>
      <c r="PQ265" s="91">
        <f t="shared" si="1635"/>
        <v>0</v>
      </c>
      <c r="PR265" s="91">
        <f t="shared" si="1636"/>
        <v>0</v>
      </c>
      <c r="QG265" s="91">
        <f t="shared" si="1637"/>
        <v>0</v>
      </c>
      <c r="QH265" s="91">
        <f t="shared" si="1638"/>
        <v>0</v>
      </c>
      <c r="QW265" s="91">
        <f t="shared" si="1639"/>
        <v>0</v>
      </c>
      <c r="QX265" s="91">
        <f t="shared" si="1640"/>
        <v>0</v>
      </c>
      <c r="RM265" s="91">
        <f t="shared" si="1641"/>
        <v>0</v>
      </c>
      <c r="RN265" s="91">
        <f t="shared" si="1642"/>
        <v>0</v>
      </c>
      <c r="SC265" s="91">
        <f t="shared" si="1643"/>
        <v>0</v>
      </c>
      <c r="SD265" s="91">
        <f t="shared" si="1644"/>
        <v>0</v>
      </c>
      <c r="SS265" s="91">
        <f t="shared" si="1645"/>
        <v>0</v>
      </c>
      <c r="ST265" s="91">
        <f t="shared" si="1646"/>
        <v>0</v>
      </c>
      <c r="TI265" s="91">
        <f t="shared" si="1647"/>
        <v>0</v>
      </c>
      <c r="TJ265" s="91">
        <f t="shared" si="1648"/>
        <v>0</v>
      </c>
      <c r="TY265" s="91">
        <f t="shared" si="1649"/>
        <v>0</v>
      </c>
      <c r="TZ265" s="91">
        <f t="shared" si="1650"/>
        <v>0</v>
      </c>
      <c r="UO265" s="91">
        <f t="shared" si="1651"/>
        <v>0</v>
      </c>
      <c r="UP265" s="91">
        <f t="shared" si="1652"/>
        <v>0</v>
      </c>
      <c r="VE265" s="91">
        <f t="shared" si="1653"/>
        <v>0</v>
      </c>
      <c r="VF265" s="91">
        <f t="shared" si="1654"/>
        <v>0</v>
      </c>
      <c r="VU265" s="91">
        <f t="shared" si="1655"/>
        <v>0</v>
      </c>
      <c r="VV265" s="91">
        <f t="shared" si="1656"/>
        <v>0</v>
      </c>
      <c r="WK265" s="91">
        <f t="shared" si="1657"/>
        <v>0</v>
      </c>
      <c r="WL265" s="91">
        <f t="shared" si="1658"/>
        <v>0</v>
      </c>
      <c r="WM265" s="89"/>
      <c r="WN265" s="87">
        <f t="shared" si="1659"/>
        <v>0</v>
      </c>
      <c r="WO265" s="87">
        <f t="shared" si="1660"/>
        <v>0</v>
      </c>
      <c r="WP265" s="87">
        <f t="shared" si="1661"/>
        <v>0</v>
      </c>
      <c r="WQ265" s="87">
        <f t="shared" si="1662"/>
        <v>0</v>
      </c>
      <c r="WR265" s="87">
        <f t="shared" si="1663"/>
        <v>0</v>
      </c>
      <c r="WS265" s="87">
        <f t="shared" si="1664"/>
        <v>0</v>
      </c>
      <c r="WT265" s="87">
        <f t="shared" si="1665"/>
        <v>0</v>
      </c>
      <c r="WU265" s="87">
        <f t="shared" si="1666"/>
        <v>0</v>
      </c>
      <c r="WV265" s="87">
        <f t="shared" si="1667"/>
        <v>0</v>
      </c>
      <c r="WW265" s="87">
        <f t="shared" si="1668"/>
        <v>0</v>
      </c>
      <c r="WX265" s="87">
        <f t="shared" si="1669"/>
        <v>0</v>
      </c>
      <c r="WY265" s="87">
        <f t="shared" si="1670"/>
        <v>0</v>
      </c>
      <c r="WZ265" s="87">
        <f t="shared" ref="WZ265:WZ278" si="1677">SUMIF($C$5:$WL$5,$WZ$5,C265:WL265)</f>
        <v>0</v>
      </c>
      <c r="XA265" s="87">
        <f t="shared" ref="XA265:XA278" si="1678">SUMIF($C$5:$WL$5,$XA$5,C265:WL265)</f>
        <v>0</v>
      </c>
      <c r="XB265" s="92">
        <f t="shared" ref="XB265:XB278" si="1679">SUMIF($WN$12:$XA$12,$XB$12,WN265:XA265)</f>
        <v>0</v>
      </c>
      <c r="XC265" s="92">
        <f t="shared" ref="XC265:XC278" si="1680">SUMIF($WN$12:$XA$12,$XC$12,WN265:XA265)</f>
        <v>0</v>
      </c>
      <c r="XD265" s="89"/>
      <c r="XE265" s="92"/>
      <c r="XF265" s="92"/>
      <c r="XG265" s="89"/>
      <c r="XH265" s="92"/>
      <c r="XI265" s="92"/>
      <c r="XJ265" s="89"/>
      <c r="XK265" s="87"/>
      <c r="XL265" s="87"/>
      <c r="XM265" s="87"/>
      <c r="XN265" s="87"/>
      <c r="XO265" s="87"/>
      <c r="XP265" s="87"/>
      <c r="XQ265" s="87"/>
      <c r="XR265" s="92">
        <f t="shared" ca="1" si="1675"/>
        <v>0</v>
      </c>
      <c r="XS265" s="89"/>
      <c r="XT265" s="87"/>
      <c r="XU265" s="87"/>
      <c r="XV265" s="87"/>
      <c r="XW265" s="87"/>
      <c r="XX265" s="87"/>
      <c r="XY265" s="87"/>
      <c r="XZ265" s="87"/>
      <c r="YA265" s="92">
        <f t="shared" ca="1" si="1676"/>
        <v>0</v>
      </c>
      <c r="YB265" s="90"/>
      <c r="YC265" s="90"/>
      <c r="YD265" s="90"/>
      <c r="YE265" s="90"/>
      <c r="YF265" s="90"/>
      <c r="YG265" s="90"/>
      <c r="YH265" s="90"/>
      <c r="YI265" s="90"/>
      <c r="YJ265" s="90"/>
      <c r="YK265" s="90"/>
      <c r="YL265" s="90"/>
      <c r="YM265" s="90"/>
      <c r="YN265" s="90"/>
      <c r="YO265" s="90"/>
      <c r="YP265" s="90"/>
      <c r="YQ265" s="90"/>
      <c r="YR265" s="90"/>
      <c r="YS265" s="90"/>
      <c r="YT265" s="90"/>
      <c r="YU265" s="90"/>
      <c r="YV265" s="90"/>
      <c r="YW265" s="90"/>
      <c r="YX265" s="90"/>
      <c r="YY265" s="90"/>
      <c r="YZ265" s="90"/>
      <c r="ZA265" s="90"/>
      <c r="ZB265" s="90"/>
      <c r="ZC265" s="90"/>
      <c r="ZD265" s="90"/>
      <c r="ZE265" s="90"/>
      <c r="ZF265" s="90"/>
      <c r="ZG265" s="90"/>
      <c r="ZH265" s="90"/>
      <c r="ZI265" s="90"/>
      <c r="ZJ265" s="90"/>
      <c r="ZK265" s="90"/>
      <c r="ZL265" s="90"/>
      <c r="ZM265" s="90"/>
      <c r="ZN265" s="90"/>
      <c r="ZO265" s="90"/>
      <c r="ZP265" s="90"/>
      <c r="ZQ265" s="90"/>
      <c r="ZR265" s="90"/>
      <c r="ZS265" s="90"/>
      <c r="ZT265" s="90"/>
      <c r="ZU265" s="90"/>
      <c r="ZV265" s="90"/>
      <c r="ZW265" s="90"/>
      <c r="ZX265" s="90"/>
      <c r="ZY265" s="90"/>
      <c r="ZZ265" s="90"/>
      <c r="AAA265" s="90"/>
      <c r="AAB265" s="90"/>
      <c r="AAC265" s="90"/>
      <c r="AAD265" s="90"/>
      <c r="AAE265" s="90"/>
      <c r="AAF265" s="90"/>
      <c r="AAG265" s="90"/>
      <c r="AAH265" s="90"/>
      <c r="AAI265" s="90"/>
      <c r="AAJ265" s="90"/>
      <c r="AAK265" s="90"/>
      <c r="AAL265" s="90"/>
      <c r="AAM265" s="90"/>
      <c r="AAN265" s="90"/>
      <c r="AAO265" s="90"/>
      <c r="AAP265" s="90"/>
      <c r="AAQ265" s="90"/>
      <c r="AAR265" s="90"/>
      <c r="AAS265" s="90"/>
      <c r="AAT265" s="90"/>
      <c r="AAU265" s="90"/>
      <c r="AAV265" s="90"/>
      <c r="AAW265" s="90"/>
      <c r="AAX265" s="90"/>
      <c r="AAY265" s="90"/>
      <c r="AAZ265" s="90"/>
      <c r="ABA265" s="90"/>
      <c r="ABB265" s="90"/>
      <c r="ABC265" s="90"/>
      <c r="ABD265" s="90"/>
      <c r="ABE265" s="90"/>
      <c r="ABF265" s="90"/>
      <c r="ABG265" s="90"/>
      <c r="ABH265" s="90"/>
      <c r="ABI265" s="90"/>
      <c r="ABJ265" s="90"/>
      <c r="ABK265" s="90"/>
      <c r="ABL265" s="90"/>
      <c r="ABM265" s="90"/>
      <c r="ABN265" s="90"/>
      <c r="ABO265" s="90"/>
      <c r="ABP265" s="90"/>
      <c r="ABQ265" s="90"/>
      <c r="ABR265" s="90"/>
      <c r="ABS265" s="90"/>
      <c r="ABT265" s="90"/>
      <c r="ABU265" s="90"/>
      <c r="ABV265" s="90"/>
      <c r="ABW265" s="90"/>
      <c r="ABX265" s="90"/>
      <c r="ABY265" s="90"/>
      <c r="ABZ265" s="90"/>
      <c r="ACA265" s="90"/>
      <c r="ACB265" s="90"/>
      <c r="ACC265" s="90"/>
      <c r="ACD265" s="90"/>
      <c r="ACE265" s="90"/>
      <c r="ACF265" s="90"/>
      <c r="ACG265" s="90"/>
      <c r="ACH265" s="90"/>
      <c r="ACI265" s="90"/>
      <c r="ACJ265" s="90"/>
      <c r="ACK265" s="90"/>
      <c r="ACL265" s="90"/>
      <c r="ACM265" s="90"/>
      <c r="ACN265" s="90"/>
      <c r="ACO265" s="90"/>
      <c r="ACP265" s="90"/>
      <c r="ACQ265" s="90"/>
      <c r="ACR265" s="90"/>
      <c r="ACS265" s="90"/>
      <c r="ACT265" s="90"/>
      <c r="ACU265" s="90"/>
      <c r="ACV265" s="90"/>
      <c r="ACW265" s="90"/>
      <c r="ACX265" s="90"/>
      <c r="ACY265" s="90"/>
      <c r="ACZ265" s="90"/>
      <c r="ADA265" s="90"/>
      <c r="ADB265" s="90"/>
      <c r="ADC265" s="90"/>
      <c r="ADD265" s="90"/>
      <c r="ADE265" s="90"/>
      <c r="ADF265" s="90"/>
      <c r="ADG265" s="90"/>
      <c r="ADH265" s="90"/>
      <c r="ADI265" s="90"/>
      <c r="ADJ265" s="90"/>
      <c r="ADK265" s="90"/>
      <c r="ADL265" s="90"/>
      <c r="ADM265" s="90"/>
      <c r="ADN265" s="90"/>
      <c r="ADO265" s="90"/>
      <c r="ADP265" s="90"/>
      <c r="ADQ265" s="90"/>
      <c r="ADR265" s="90"/>
      <c r="ADS265" s="90"/>
      <c r="ADT265" s="90"/>
      <c r="ADU265" s="90"/>
      <c r="ADV265" s="90"/>
      <c r="ADW265" s="90"/>
      <c r="ADX265" s="90"/>
      <c r="ADY265" s="90"/>
      <c r="ADZ265" s="90"/>
      <c r="AEA265" s="90"/>
      <c r="AEB265" s="90"/>
      <c r="AEC265" s="90"/>
      <c r="AED265" s="90"/>
      <c r="AEE265" s="90"/>
      <c r="AEF265" s="90"/>
      <c r="AEG265" s="90"/>
      <c r="AEH265" s="90"/>
      <c r="AEI265" s="90"/>
      <c r="AEJ265" s="90"/>
      <c r="AEK265" s="90"/>
      <c r="AEL265" s="90"/>
      <c r="AEM265" s="90"/>
      <c r="AEN265" s="90"/>
      <c r="AEO265" s="90"/>
      <c r="AEP265" s="90"/>
      <c r="AEQ265" s="90"/>
      <c r="AER265" s="90"/>
      <c r="AES265" s="90"/>
      <c r="AET265" s="90"/>
      <c r="AEU265" s="90"/>
      <c r="AEV265" s="90"/>
      <c r="AEW265" s="90"/>
      <c r="AEX265" s="90"/>
      <c r="AEY265" s="90"/>
      <c r="AEZ265" s="90"/>
      <c r="AFA265" s="90"/>
      <c r="AFB265" s="90"/>
      <c r="AFC265" s="90"/>
      <c r="AFD265" s="90"/>
      <c r="AFE265" s="90"/>
      <c r="AFF265" s="90"/>
      <c r="AFG265" s="90"/>
      <c r="AFH265" s="90"/>
      <c r="AFI265" s="90"/>
      <c r="AFJ265" s="90"/>
      <c r="AFK265" s="90"/>
      <c r="AFL265" s="90"/>
      <c r="AFM265" s="90"/>
      <c r="AFN265" s="90"/>
      <c r="AFO265" s="90"/>
      <c r="AFP265" s="90"/>
      <c r="AFQ265" s="90"/>
      <c r="AFR265" s="90"/>
      <c r="AFS265" s="90"/>
      <c r="AFT265" s="90"/>
      <c r="AFU265" s="90"/>
      <c r="AFV265" s="90"/>
      <c r="AFW265" s="90"/>
      <c r="AFX265" s="90"/>
      <c r="AFY265" s="90"/>
      <c r="AFZ265" s="90"/>
      <c r="AGA265" s="90"/>
      <c r="AGB265" s="90"/>
      <c r="AGC265" s="90"/>
      <c r="AGD265" s="90"/>
      <c r="AGE265" s="90"/>
      <c r="AGF265" s="90"/>
      <c r="AGG265" s="90"/>
      <c r="AGH265" s="90"/>
      <c r="AGI265" s="90"/>
      <c r="AGJ265" s="90"/>
      <c r="AGK265" s="90"/>
      <c r="AGL265" s="90"/>
      <c r="AGM265" s="90"/>
      <c r="AGN265" s="90"/>
      <c r="AGO265" s="90"/>
      <c r="AGP265" s="90"/>
      <c r="AGQ265" s="90"/>
      <c r="AGR265" s="90"/>
      <c r="AGS265" s="90"/>
      <c r="AGT265" s="90"/>
      <c r="AGU265" s="90"/>
      <c r="AGV265" s="90"/>
      <c r="AGW265" s="90"/>
      <c r="AGX265" s="90"/>
      <c r="AGY265" s="90"/>
      <c r="AGZ265" s="90"/>
      <c r="AHA265" s="90"/>
      <c r="AHB265" s="90"/>
      <c r="AHC265" s="90"/>
      <c r="AHD265" s="90"/>
      <c r="AHE265" s="90"/>
      <c r="AHF265" s="90"/>
      <c r="AHG265" s="90"/>
      <c r="AHH265" s="90"/>
      <c r="AHI265" s="90"/>
      <c r="AHJ265" s="90"/>
      <c r="AHK265" s="90"/>
      <c r="AHL265" s="90"/>
      <c r="AHM265" s="90"/>
      <c r="AHN265" s="90"/>
      <c r="AHO265" s="90"/>
      <c r="AHP265" s="90"/>
      <c r="AHQ265" s="90"/>
      <c r="AHR265" s="90"/>
      <c r="AHS265" s="90"/>
      <c r="AHT265" s="90"/>
      <c r="AHU265" s="90"/>
      <c r="AHV265" s="90"/>
      <c r="AHW265" s="90"/>
      <c r="AHX265" s="90"/>
      <c r="AHY265" s="90"/>
      <c r="AHZ265" s="90"/>
      <c r="AIA265" s="90"/>
      <c r="AIB265" s="90"/>
      <c r="AIC265" s="90"/>
      <c r="AID265" s="90"/>
      <c r="AIE265" s="90"/>
      <c r="AIF265" s="90"/>
      <c r="AIG265" s="90"/>
      <c r="AIH265" s="90"/>
      <c r="AII265" s="90"/>
      <c r="AIJ265" s="90"/>
      <c r="AIK265" s="90"/>
      <c r="AIL265" s="90"/>
      <c r="AIM265" s="90"/>
      <c r="AIN265" s="90"/>
      <c r="AIO265" s="90"/>
      <c r="AIP265" s="90"/>
      <c r="AIQ265" s="90"/>
      <c r="AIR265" s="90"/>
      <c r="AIS265" s="90"/>
      <c r="AIT265" s="90"/>
      <c r="AIU265" s="90"/>
      <c r="AIV265" s="90"/>
      <c r="AIW265" s="90"/>
      <c r="AIX265" s="90"/>
      <c r="AIY265" s="90"/>
      <c r="AIZ265" s="90"/>
      <c r="AJA265" s="90"/>
      <c r="AJB265" s="90"/>
      <c r="AJC265" s="90"/>
      <c r="AJD265" s="90"/>
      <c r="AJE265" s="90"/>
      <c r="AJF265" s="90"/>
      <c r="AJG265" s="90"/>
      <c r="AJH265" s="90"/>
      <c r="AJI265" s="90"/>
      <c r="AJJ265" s="90"/>
      <c r="AJK265" s="90"/>
      <c r="AJL265" s="90"/>
      <c r="AJM265" s="90"/>
      <c r="AJN265" s="90"/>
      <c r="AJO265" s="90"/>
      <c r="AJP265" s="90"/>
      <c r="AJQ265" s="90"/>
      <c r="AJR265" s="90"/>
      <c r="AJS265" s="90"/>
      <c r="AJT265" s="90"/>
      <c r="AJU265" s="90"/>
      <c r="AJV265" s="90"/>
      <c r="AJW265" s="90"/>
      <c r="AJX265" s="90"/>
      <c r="AJY265" s="90"/>
      <c r="AJZ265" s="90"/>
      <c r="AKA265" s="90"/>
      <c r="AKB265" s="90"/>
      <c r="AKC265" s="90"/>
      <c r="AKD265" s="90"/>
      <c r="AKE265" s="90"/>
      <c r="AKF265" s="90"/>
      <c r="AKG265" s="90"/>
      <c r="AKH265" s="90"/>
      <c r="AKI265" s="90"/>
      <c r="AKJ265" s="90"/>
      <c r="AKK265" s="90"/>
      <c r="AKL265" s="90"/>
      <c r="AKM265" s="90"/>
      <c r="AKN265" s="90"/>
      <c r="AKO265" s="90"/>
      <c r="AKP265" s="90"/>
      <c r="AKQ265" s="90"/>
      <c r="AKR265" s="90"/>
      <c r="AKS265" s="90"/>
      <c r="AKT265" s="90"/>
      <c r="AKU265" s="90"/>
      <c r="AKV265" s="90"/>
      <c r="AKW265" s="90"/>
      <c r="AKX265" s="90"/>
      <c r="AKY265" s="90"/>
      <c r="AKZ265" s="90"/>
      <c r="ALA265" s="90"/>
      <c r="ALB265" s="90"/>
      <c r="ALC265" s="90"/>
      <c r="ALD265" s="90"/>
      <c r="ALE265" s="90"/>
      <c r="ALF265" s="90"/>
      <c r="ALG265" s="90"/>
      <c r="ALH265" s="90"/>
      <c r="ALI265" s="90"/>
      <c r="ALJ265" s="90"/>
      <c r="ALK265" s="90"/>
      <c r="ALL265" s="90"/>
      <c r="ALM265" s="90"/>
      <c r="ALN265" s="90"/>
      <c r="ALO265" s="90"/>
      <c r="ALP265" s="90"/>
      <c r="ALQ265" s="90"/>
      <c r="ALR265" s="90"/>
      <c r="ALS265" s="90"/>
      <c r="ALT265" s="90"/>
      <c r="ALU265" s="90"/>
      <c r="ALV265" s="90"/>
      <c r="ALW265" s="90"/>
      <c r="ALX265" s="90"/>
      <c r="ALY265" s="90"/>
      <c r="ALZ265" s="90"/>
      <c r="AMA265" s="90"/>
      <c r="AMB265" s="90"/>
      <c r="AMC265" s="90"/>
    </row>
    <row r="266" spans="1:1017">
      <c r="A266" s="98" t="s">
        <v>51</v>
      </c>
      <c r="B266" s="90" t="str">
        <f t="shared" si="1582"/>
        <v>Udang Putih</v>
      </c>
      <c r="E266" s="98">
        <v>99100</v>
      </c>
      <c r="F266" s="98">
        <v>3964000</v>
      </c>
      <c r="Q266" s="91">
        <f t="shared" si="1583"/>
        <v>99100</v>
      </c>
      <c r="R266" s="91">
        <f t="shared" si="1584"/>
        <v>3964000</v>
      </c>
      <c r="AG266" s="91">
        <f t="shared" si="1585"/>
        <v>0</v>
      </c>
      <c r="AH266" s="91">
        <f t="shared" si="1586"/>
        <v>0</v>
      </c>
      <c r="AW266" s="91">
        <f t="shared" si="1587"/>
        <v>0</v>
      </c>
      <c r="AX266" s="91">
        <f t="shared" si="1588"/>
        <v>0</v>
      </c>
      <c r="BM266" s="91">
        <f t="shared" si="1589"/>
        <v>0</v>
      </c>
      <c r="BN266" s="91">
        <f t="shared" si="1590"/>
        <v>0</v>
      </c>
      <c r="CC266" s="91">
        <f t="shared" si="1591"/>
        <v>0</v>
      </c>
      <c r="CD266" s="91">
        <f t="shared" si="1592"/>
        <v>0</v>
      </c>
      <c r="CS266" s="91">
        <f t="shared" si="1593"/>
        <v>0</v>
      </c>
      <c r="CT266" s="91">
        <f t="shared" si="1594"/>
        <v>0</v>
      </c>
      <c r="DI266" s="91">
        <f t="shared" si="1595"/>
        <v>0</v>
      </c>
      <c r="DJ266" s="91">
        <f t="shared" si="1596"/>
        <v>0</v>
      </c>
      <c r="DY266" s="91">
        <f t="shared" si="1597"/>
        <v>0</v>
      </c>
      <c r="DZ266" s="91">
        <f t="shared" si="1598"/>
        <v>0</v>
      </c>
      <c r="EO266" s="91">
        <f t="shared" si="1599"/>
        <v>0</v>
      </c>
      <c r="EP266" s="91">
        <f t="shared" si="1600"/>
        <v>0</v>
      </c>
      <c r="FE266" s="91">
        <f t="shared" si="1601"/>
        <v>0</v>
      </c>
      <c r="FF266" s="91">
        <f t="shared" si="1602"/>
        <v>0</v>
      </c>
      <c r="FU266" s="91">
        <f t="shared" si="1603"/>
        <v>0</v>
      </c>
      <c r="FV266" s="91">
        <f t="shared" si="1604"/>
        <v>0</v>
      </c>
      <c r="GK266" s="91">
        <f t="shared" si="1605"/>
        <v>0</v>
      </c>
      <c r="GL266" s="91">
        <f t="shared" si="1606"/>
        <v>0</v>
      </c>
      <c r="HA266" s="91">
        <f t="shared" si="1607"/>
        <v>0</v>
      </c>
      <c r="HB266" s="91">
        <f t="shared" si="1608"/>
        <v>0</v>
      </c>
      <c r="HQ266" s="91">
        <f t="shared" si="1609"/>
        <v>0</v>
      </c>
      <c r="HR266" s="91">
        <f t="shared" si="1610"/>
        <v>0</v>
      </c>
      <c r="IG266" s="91">
        <f t="shared" si="1611"/>
        <v>0</v>
      </c>
      <c r="IH266" s="91">
        <f t="shared" si="1612"/>
        <v>0</v>
      </c>
      <c r="IW266" s="91">
        <f t="shared" si="1613"/>
        <v>0</v>
      </c>
      <c r="IX266" s="91">
        <f t="shared" si="1614"/>
        <v>0</v>
      </c>
      <c r="JM266" s="91">
        <f t="shared" si="1615"/>
        <v>0</v>
      </c>
      <c r="JN266" s="91">
        <f t="shared" si="1616"/>
        <v>0</v>
      </c>
      <c r="KC266" s="91">
        <f t="shared" si="1617"/>
        <v>0</v>
      </c>
      <c r="KD266" s="91">
        <f t="shared" si="1618"/>
        <v>0</v>
      </c>
      <c r="KS266" s="91">
        <f t="shared" si="1619"/>
        <v>0</v>
      </c>
      <c r="KT266" s="91">
        <f t="shared" si="1620"/>
        <v>0</v>
      </c>
      <c r="LI266" s="91">
        <f t="shared" si="1621"/>
        <v>0</v>
      </c>
      <c r="LJ266" s="91">
        <f t="shared" si="1622"/>
        <v>0</v>
      </c>
      <c r="LY266" s="91">
        <f t="shared" si="1623"/>
        <v>0</v>
      </c>
      <c r="LZ266" s="91">
        <f t="shared" si="1624"/>
        <v>0</v>
      </c>
      <c r="MC266" s="98">
        <v>15238</v>
      </c>
      <c r="MD266" s="98">
        <v>609520</v>
      </c>
      <c r="MO266" s="91">
        <f t="shared" si="1625"/>
        <v>15238</v>
      </c>
      <c r="MP266" s="91">
        <f t="shared" si="1626"/>
        <v>609520</v>
      </c>
      <c r="NE266" s="91">
        <f t="shared" si="1627"/>
        <v>0</v>
      </c>
      <c r="NF266" s="91">
        <f t="shared" si="1628"/>
        <v>0</v>
      </c>
      <c r="NI266" s="98">
        <v>58500</v>
      </c>
      <c r="NJ266" s="98">
        <v>2632500</v>
      </c>
      <c r="NU266" s="91">
        <f t="shared" si="1629"/>
        <v>58500</v>
      </c>
      <c r="NV266" s="91">
        <f t="shared" si="1630"/>
        <v>2632500</v>
      </c>
      <c r="OK266" s="91">
        <f t="shared" si="1631"/>
        <v>0</v>
      </c>
      <c r="OL266" s="91">
        <f t="shared" si="1632"/>
        <v>0</v>
      </c>
      <c r="PA266" s="91">
        <f t="shared" si="1633"/>
        <v>0</v>
      </c>
      <c r="PB266" s="91">
        <f t="shared" si="1634"/>
        <v>0</v>
      </c>
      <c r="PQ266" s="91">
        <f t="shared" si="1635"/>
        <v>0</v>
      </c>
      <c r="PR266" s="91">
        <f t="shared" si="1636"/>
        <v>0</v>
      </c>
      <c r="QG266" s="91">
        <f t="shared" si="1637"/>
        <v>0</v>
      </c>
      <c r="QH266" s="91">
        <f t="shared" si="1638"/>
        <v>0</v>
      </c>
      <c r="QW266" s="91">
        <f t="shared" si="1639"/>
        <v>0</v>
      </c>
      <c r="QX266" s="91">
        <f t="shared" si="1640"/>
        <v>0</v>
      </c>
      <c r="RM266" s="91">
        <f t="shared" si="1641"/>
        <v>0</v>
      </c>
      <c r="RN266" s="91">
        <f t="shared" si="1642"/>
        <v>0</v>
      </c>
      <c r="SC266" s="91">
        <f t="shared" si="1643"/>
        <v>0</v>
      </c>
      <c r="SD266" s="91">
        <f t="shared" si="1644"/>
        <v>0</v>
      </c>
      <c r="SS266" s="91">
        <f t="shared" si="1645"/>
        <v>0</v>
      </c>
      <c r="ST266" s="91">
        <f t="shared" si="1646"/>
        <v>0</v>
      </c>
      <c r="TI266" s="91">
        <f t="shared" si="1647"/>
        <v>0</v>
      </c>
      <c r="TJ266" s="91">
        <f t="shared" si="1648"/>
        <v>0</v>
      </c>
      <c r="TY266" s="91">
        <f t="shared" si="1649"/>
        <v>0</v>
      </c>
      <c r="TZ266" s="91">
        <f t="shared" si="1650"/>
        <v>0</v>
      </c>
      <c r="UO266" s="91">
        <f t="shared" si="1651"/>
        <v>0</v>
      </c>
      <c r="UP266" s="91">
        <f t="shared" si="1652"/>
        <v>0</v>
      </c>
      <c r="VE266" s="91">
        <f t="shared" si="1653"/>
        <v>0</v>
      </c>
      <c r="VF266" s="91">
        <f t="shared" si="1654"/>
        <v>0</v>
      </c>
      <c r="VI266" s="98">
        <v>255</v>
      </c>
      <c r="VJ266" s="98">
        <v>12750</v>
      </c>
      <c r="VU266" s="91">
        <f t="shared" si="1655"/>
        <v>255</v>
      </c>
      <c r="VV266" s="91">
        <f t="shared" si="1656"/>
        <v>12750</v>
      </c>
      <c r="WK266" s="91">
        <f t="shared" si="1657"/>
        <v>0</v>
      </c>
      <c r="WL266" s="91">
        <f t="shared" si="1658"/>
        <v>0</v>
      </c>
      <c r="WM266" s="89"/>
      <c r="WN266" s="87">
        <f t="shared" si="1659"/>
        <v>0</v>
      </c>
      <c r="WO266" s="87">
        <f t="shared" si="1660"/>
        <v>0</v>
      </c>
      <c r="WP266" s="87">
        <f t="shared" si="1661"/>
        <v>173093</v>
      </c>
      <c r="WQ266" s="87">
        <f t="shared" si="1662"/>
        <v>7218770</v>
      </c>
      <c r="WR266" s="87">
        <f t="shared" si="1663"/>
        <v>0</v>
      </c>
      <c r="WS266" s="87">
        <f t="shared" si="1664"/>
        <v>0</v>
      </c>
      <c r="WT266" s="87">
        <f t="shared" si="1665"/>
        <v>0</v>
      </c>
      <c r="WU266" s="87">
        <f t="shared" si="1666"/>
        <v>0</v>
      </c>
      <c r="WV266" s="87">
        <f t="shared" si="1667"/>
        <v>0</v>
      </c>
      <c r="WW266" s="87">
        <f t="shared" si="1668"/>
        <v>0</v>
      </c>
      <c r="WX266" s="87">
        <f t="shared" si="1669"/>
        <v>0</v>
      </c>
      <c r="WY266" s="87">
        <f t="shared" si="1670"/>
        <v>0</v>
      </c>
      <c r="WZ266" s="87">
        <f t="shared" si="1677"/>
        <v>0</v>
      </c>
      <c r="XA266" s="87">
        <f t="shared" si="1678"/>
        <v>0</v>
      </c>
      <c r="XB266" s="92">
        <f t="shared" si="1679"/>
        <v>173093</v>
      </c>
      <c r="XC266" s="92">
        <f t="shared" si="1680"/>
        <v>7218770</v>
      </c>
      <c r="XD266" s="89"/>
      <c r="XE266" s="92"/>
      <c r="XF266" s="92"/>
      <c r="XG266" s="89"/>
      <c r="XH266" s="92"/>
      <c r="XI266" s="92"/>
      <c r="XJ266" s="89"/>
      <c r="XK266" s="87"/>
      <c r="XL266" s="87"/>
      <c r="XM266" s="87"/>
      <c r="XN266" s="87"/>
      <c r="XO266" s="87"/>
      <c r="XP266" s="87"/>
      <c r="XQ266" s="87"/>
      <c r="XR266" s="92">
        <f t="shared" ca="1" si="1675"/>
        <v>0</v>
      </c>
      <c r="XS266" s="89"/>
      <c r="XT266" s="87"/>
      <c r="XU266" s="87"/>
      <c r="XV266" s="87"/>
      <c r="XW266" s="87"/>
      <c r="XX266" s="87"/>
      <c r="XY266" s="87"/>
      <c r="XZ266" s="87"/>
      <c r="YA266" s="92">
        <f t="shared" ca="1" si="1676"/>
        <v>0</v>
      </c>
      <c r="YB266" s="90"/>
      <c r="YC266" s="90"/>
      <c r="YD266" s="90"/>
      <c r="YE266" s="90"/>
      <c r="YF266" s="90"/>
      <c r="YG266" s="90"/>
      <c r="YH266" s="90"/>
      <c r="YI266" s="90"/>
      <c r="YJ266" s="90"/>
      <c r="YK266" s="90"/>
      <c r="YL266" s="90"/>
      <c r="YM266" s="90"/>
      <c r="YN266" s="90"/>
      <c r="YO266" s="90"/>
      <c r="YP266" s="90"/>
      <c r="YQ266" s="90"/>
      <c r="YR266" s="90"/>
      <c r="YS266" s="90"/>
      <c r="YT266" s="90"/>
      <c r="YU266" s="90"/>
      <c r="YV266" s="90"/>
      <c r="YW266" s="90"/>
      <c r="YX266" s="90"/>
      <c r="YY266" s="90"/>
      <c r="YZ266" s="90"/>
      <c r="ZA266" s="90"/>
      <c r="ZB266" s="90"/>
      <c r="ZC266" s="90"/>
      <c r="ZD266" s="90"/>
      <c r="ZE266" s="90"/>
      <c r="ZF266" s="90"/>
      <c r="ZG266" s="90"/>
      <c r="ZH266" s="90"/>
      <c r="ZI266" s="90"/>
      <c r="ZJ266" s="90"/>
      <c r="ZK266" s="90"/>
      <c r="ZL266" s="90"/>
      <c r="ZM266" s="90"/>
      <c r="ZN266" s="90"/>
      <c r="ZO266" s="90"/>
      <c r="ZP266" s="90"/>
      <c r="ZQ266" s="90"/>
      <c r="ZR266" s="90"/>
      <c r="ZS266" s="90"/>
      <c r="ZT266" s="90"/>
      <c r="ZU266" s="90"/>
      <c r="ZV266" s="90"/>
      <c r="ZW266" s="90"/>
      <c r="ZX266" s="90"/>
      <c r="ZY266" s="90"/>
      <c r="ZZ266" s="90"/>
      <c r="AAA266" s="90"/>
      <c r="AAB266" s="90"/>
      <c r="AAC266" s="90"/>
      <c r="AAD266" s="90"/>
      <c r="AAE266" s="90"/>
      <c r="AAF266" s="90"/>
      <c r="AAG266" s="90"/>
      <c r="AAH266" s="90"/>
      <c r="AAI266" s="90"/>
      <c r="AAJ266" s="90"/>
      <c r="AAK266" s="90"/>
      <c r="AAL266" s="90"/>
      <c r="AAM266" s="90"/>
      <c r="AAN266" s="90"/>
      <c r="AAO266" s="90"/>
      <c r="AAP266" s="90"/>
      <c r="AAQ266" s="90"/>
      <c r="AAR266" s="90"/>
      <c r="AAS266" s="90"/>
      <c r="AAT266" s="90"/>
      <c r="AAU266" s="90"/>
      <c r="AAV266" s="90"/>
      <c r="AAW266" s="90"/>
      <c r="AAX266" s="90"/>
      <c r="AAY266" s="90"/>
      <c r="AAZ266" s="90"/>
      <c r="ABA266" s="90"/>
      <c r="ABB266" s="90"/>
      <c r="ABC266" s="90"/>
      <c r="ABD266" s="90"/>
      <c r="ABE266" s="90"/>
      <c r="ABF266" s="90"/>
      <c r="ABG266" s="90"/>
      <c r="ABH266" s="90"/>
      <c r="ABI266" s="90"/>
      <c r="ABJ266" s="90"/>
      <c r="ABK266" s="90"/>
      <c r="ABL266" s="90"/>
      <c r="ABM266" s="90"/>
      <c r="ABN266" s="90"/>
      <c r="ABO266" s="90"/>
      <c r="ABP266" s="90"/>
      <c r="ABQ266" s="90"/>
      <c r="ABR266" s="90"/>
      <c r="ABS266" s="90"/>
      <c r="ABT266" s="90"/>
      <c r="ABU266" s="90"/>
      <c r="ABV266" s="90"/>
      <c r="ABW266" s="90"/>
      <c r="ABX266" s="90"/>
      <c r="ABY266" s="90"/>
      <c r="ABZ266" s="90"/>
      <c r="ACA266" s="90"/>
      <c r="ACB266" s="90"/>
      <c r="ACC266" s="90"/>
      <c r="ACD266" s="90"/>
      <c r="ACE266" s="90"/>
      <c r="ACF266" s="90"/>
      <c r="ACG266" s="90"/>
      <c r="ACH266" s="90"/>
      <c r="ACI266" s="90"/>
      <c r="ACJ266" s="90"/>
      <c r="ACK266" s="90"/>
      <c r="ACL266" s="90"/>
      <c r="ACM266" s="90"/>
      <c r="ACN266" s="90"/>
      <c r="ACO266" s="90"/>
      <c r="ACP266" s="90"/>
      <c r="ACQ266" s="90"/>
      <c r="ACR266" s="90"/>
      <c r="ACS266" s="90"/>
      <c r="ACT266" s="90"/>
      <c r="ACU266" s="90"/>
      <c r="ACV266" s="90"/>
      <c r="ACW266" s="90"/>
      <c r="ACX266" s="90"/>
      <c r="ACY266" s="90"/>
      <c r="ACZ266" s="90"/>
      <c r="ADA266" s="90"/>
      <c r="ADB266" s="90"/>
      <c r="ADC266" s="90"/>
      <c r="ADD266" s="90"/>
      <c r="ADE266" s="90"/>
      <c r="ADF266" s="90"/>
      <c r="ADG266" s="90"/>
      <c r="ADH266" s="90"/>
      <c r="ADI266" s="90"/>
      <c r="ADJ266" s="90"/>
      <c r="ADK266" s="90"/>
      <c r="ADL266" s="90"/>
      <c r="ADM266" s="90"/>
      <c r="ADN266" s="90"/>
      <c r="ADO266" s="90"/>
      <c r="ADP266" s="90"/>
      <c r="ADQ266" s="90"/>
      <c r="ADR266" s="90"/>
      <c r="ADS266" s="90"/>
      <c r="ADT266" s="90"/>
      <c r="ADU266" s="90"/>
      <c r="ADV266" s="90"/>
      <c r="ADW266" s="90"/>
      <c r="ADX266" s="90"/>
      <c r="ADY266" s="90"/>
      <c r="ADZ266" s="90"/>
      <c r="AEA266" s="90"/>
      <c r="AEB266" s="90"/>
      <c r="AEC266" s="90"/>
      <c r="AED266" s="90"/>
      <c r="AEE266" s="90"/>
      <c r="AEF266" s="90"/>
      <c r="AEG266" s="90"/>
      <c r="AEH266" s="90"/>
      <c r="AEI266" s="90"/>
      <c r="AEJ266" s="90"/>
      <c r="AEK266" s="90"/>
      <c r="AEL266" s="90"/>
      <c r="AEM266" s="90"/>
      <c r="AEN266" s="90"/>
      <c r="AEO266" s="90"/>
      <c r="AEP266" s="90"/>
      <c r="AEQ266" s="90"/>
      <c r="AER266" s="90"/>
      <c r="AES266" s="90"/>
      <c r="AET266" s="90"/>
      <c r="AEU266" s="90"/>
      <c r="AEV266" s="90"/>
      <c r="AEW266" s="90"/>
      <c r="AEX266" s="90"/>
      <c r="AEY266" s="90"/>
      <c r="AEZ266" s="90"/>
      <c r="AFA266" s="90"/>
      <c r="AFB266" s="90"/>
      <c r="AFC266" s="90"/>
      <c r="AFD266" s="90"/>
      <c r="AFE266" s="90"/>
      <c r="AFF266" s="90"/>
      <c r="AFG266" s="90"/>
      <c r="AFH266" s="90"/>
      <c r="AFI266" s="90"/>
      <c r="AFJ266" s="90"/>
      <c r="AFK266" s="90"/>
      <c r="AFL266" s="90"/>
      <c r="AFM266" s="90"/>
      <c r="AFN266" s="90"/>
      <c r="AFO266" s="90"/>
      <c r="AFP266" s="90"/>
      <c r="AFQ266" s="90"/>
      <c r="AFR266" s="90"/>
      <c r="AFS266" s="90"/>
      <c r="AFT266" s="90"/>
      <c r="AFU266" s="90"/>
      <c r="AFV266" s="90"/>
      <c r="AFW266" s="90"/>
      <c r="AFX266" s="90"/>
      <c r="AFY266" s="90"/>
      <c r="AFZ266" s="90"/>
      <c r="AGA266" s="90"/>
      <c r="AGB266" s="90"/>
      <c r="AGC266" s="90"/>
      <c r="AGD266" s="90"/>
      <c r="AGE266" s="90"/>
      <c r="AGF266" s="90"/>
      <c r="AGG266" s="90"/>
      <c r="AGH266" s="90"/>
      <c r="AGI266" s="90"/>
      <c r="AGJ266" s="90"/>
      <c r="AGK266" s="90"/>
      <c r="AGL266" s="90"/>
      <c r="AGM266" s="90"/>
      <c r="AGN266" s="90"/>
      <c r="AGO266" s="90"/>
      <c r="AGP266" s="90"/>
      <c r="AGQ266" s="90"/>
      <c r="AGR266" s="90"/>
      <c r="AGS266" s="90"/>
      <c r="AGT266" s="90"/>
      <c r="AGU266" s="90"/>
      <c r="AGV266" s="90"/>
      <c r="AGW266" s="90"/>
      <c r="AGX266" s="90"/>
      <c r="AGY266" s="90"/>
      <c r="AGZ266" s="90"/>
      <c r="AHA266" s="90"/>
      <c r="AHB266" s="90"/>
      <c r="AHC266" s="90"/>
      <c r="AHD266" s="90"/>
      <c r="AHE266" s="90"/>
      <c r="AHF266" s="90"/>
      <c r="AHG266" s="90"/>
      <c r="AHH266" s="90"/>
      <c r="AHI266" s="90"/>
      <c r="AHJ266" s="90"/>
      <c r="AHK266" s="90"/>
      <c r="AHL266" s="90"/>
      <c r="AHM266" s="90"/>
      <c r="AHN266" s="90"/>
      <c r="AHO266" s="90"/>
      <c r="AHP266" s="90"/>
      <c r="AHQ266" s="90"/>
      <c r="AHR266" s="90"/>
      <c r="AHS266" s="90"/>
      <c r="AHT266" s="90"/>
      <c r="AHU266" s="90"/>
      <c r="AHV266" s="90"/>
      <c r="AHW266" s="90"/>
      <c r="AHX266" s="90"/>
      <c r="AHY266" s="90"/>
      <c r="AHZ266" s="90"/>
      <c r="AIA266" s="90"/>
      <c r="AIB266" s="90"/>
      <c r="AIC266" s="90"/>
      <c r="AID266" s="90"/>
      <c r="AIE266" s="90"/>
      <c r="AIF266" s="90"/>
      <c r="AIG266" s="90"/>
      <c r="AIH266" s="90"/>
      <c r="AII266" s="90"/>
      <c r="AIJ266" s="90"/>
      <c r="AIK266" s="90"/>
      <c r="AIL266" s="90"/>
      <c r="AIM266" s="90"/>
      <c r="AIN266" s="90"/>
      <c r="AIO266" s="90"/>
      <c r="AIP266" s="90"/>
      <c r="AIQ266" s="90"/>
      <c r="AIR266" s="90"/>
      <c r="AIS266" s="90"/>
      <c r="AIT266" s="90"/>
      <c r="AIU266" s="90"/>
      <c r="AIV266" s="90"/>
      <c r="AIW266" s="90"/>
      <c r="AIX266" s="90"/>
      <c r="AIY266" s="90"/>
      <c r="AIZ266" s="90"/>
      <c r="AJA266" s="90"/>
      <c r="AJB266" s="90"/>
      <c r="AJC266" s="90"/>
      <c r="AJD266" s="90"/>
      <c r="AJE266" s="90"/>
      <c r="AJF266" s="90"/>
      <c r="AJG266" s="90"/>
      <c r="AJH266" s="90"/>
      <c r="AJI266" s="90"/>
      <c r="AJJ266" s="90"/>
      <c r="AJK266" s="90"/>
      <c r="AJL266" s="90"/>
      <c r="AJM266" s="90"/>
      <c r="AJN266" s="90"/>
      <c r="AJO266" s="90"/>
      <c r="AJP266" s="90"/>
      <c r="AJQ266" s="90"/>
      <c r="AJR266" s="90"/>
      <c r="AJS266" s="90"/>
      <c r="AJT266" s="90"/>
      <c r="AJU266" s="90"/>
      <c r="AJV266" s="90"/>
      <c r="AJW266" s="90"/>
      <c r="AJX266" s="90"/>
      <c r="AJY266" s="90"/>
      <c r="AJZ266" s="90"/>
      <c r="AKA266" s="90"/>
      <c r="AKB266" s="90"/>
      <c r="AKC266" s="90"/>
      <c r="AKD266" s="90"/>
      <c r="AKE266" s="90"/>
      <c r="AKF266" s="90"/>
      <c r="AKG266" s="90"/>
      <c r="AKH266" s="90"/>
      <c r="AKI266" s="90"/>
      <c r="AKJ266" s="90"/>
      <c r="AKK266" s="90"/>
      <c r="AKL266" s="90"/>
      <c r="AKM266" s="90"/>
      <c r="AKN266" s="90"/>
      <c r="AKO266" s="90"/>
      <c r="AKP266" s="90"/>
      <c r="AKQ266" s="90"/>
      <c r="AKR266" s="90"/>
      <c r="AKS266" s="90"/>
      <c r="AKT266" s="90"/>
      <c r="AKU266" s="90"/>
      <c r="AKV266" s="90"/>
      <c r="AKW266" s="90"/>
      <c r="AKX266" s="90"/>
      <c r="AKY266" s="90"/>
      <c r="AKZ266" s="90"/>
      <c r="ALA266" s="90"/>
      <c r="ALB266" s="90"/>
      <c r="ALC266" s="90"/>
      <c r="ALD266" s="90"/>
      <c r="ALE266" s="90"/>
      <c r="ALF266" s="90"/>
      <c r="ALG266" s="90"/>
      <c r="ALH266" s="90"/>
      <c r="ALI266" s="90"/>
      <c r="ALJ266" s="90"/>
      <c r="ALK266" s="90"/>
      <c r="ALL266" s="90"/>
      <c r="ALM266" s="90"/>
      <c r="ALN266" s="90"/>
      <c r="ALO266" s="90"/>
      <c r="ALP266" s="90"/>
      <c r="ALQ266" s="90"/>
      <c r="ALR266" s="90"/>
      <c r="ALS266" s="90"/>
      <c r="ALT266" s="90"/>
      <c r="ALU266" s="90"/>
      <c r="ALV266" s="90"/>
      <c r="ALW266" s="90"/>
      <c r="ALX266" s="90"/>
      <c r="ALY266" s="90"/>
      <c r="ALZ266" s="90"/>
      <c r="AMA266" s="90"/>
      <c r="AMB266" s="90"/>
      <c r="AMC266" s="90"/>
    </row>
    <row r="267" spans="1:1017">
      <c r="A267" s="98" t="s">
        <v>51</v>
      </c>
      <c r="B267" s="90" t="str">
        <f t="shared" si="1582"/>
        <v xml:space="preserve">Udang Vaname </v>
      </c>
      <c r="E267" s="98">
        <v>6920</v>
      </c>
      <c r="F267" s="98">
        <v>488745.51199999999</v>
      </c>
      <c r="G267" s="860"/>
      <c r="Q267" s="91">
        <f t="shared" si="1583"/>
        <v>6920</v>
      </c>
      <c r="R267" s="91">
        <f t="shared" si="1584"/>
        <v>488745.51199999999</v>
      </c>
      <c r="U267" s="98">
        <v>1641710</v>
      </c>
      <c r="V267" s="98">
        <v>90294050</v>
      </c>
      <c r="AG267" s="91">
        <f t="shared" si="1585"/>
        <v>1641710</v>
      </c>
      <c r="AH267" s="91">
        <f t="shared" si="1586"/>
        <v>90294050</v>
      </c>
      <c r="AK267" s="98">
        <v>37900</v>
      </c>
      <c r="AL267" s="98">
        <v>2463500</v>
      </c>
      <c r="AW267" s="91">
        <f t="shared" si="1587"/>
        <v>37900</v>
      </c>
      <c r="AX267" s="91">
        <f t="shared" si="1588"/>
        <v>2463500</v>
      </c>
      <c r="BM267" s="91">
        <f t="shared" si="1589"/>
        <v>0</v>
      </c>
      <c r="BN267" s="91">
        <f t="shared" si="1590"/>
        <v>0</v>
      </c>
      <c r="CC267" s="91">
        <f t="shared" si="1591"/>
        <v>0</v>
      </c>
      <c r="CD267" s="91">
        <f t="shared" si="1592"/>
        <v>0</v>
      </c>
      <c r="CG267" s="98">
        <v>1640414.6552054563</v>
      </c>
      <c r="CH267" s="98">
        <v>82020732.760272816</v>
      </c>
      <c r="CS267" s="91">
        <f t="shared" si="1593"/>
        <v>1640414.6552054563</v>
      </c>
      <c r="CT267" s="91">
        <f t="shared" si="1594"/>
        <v>82020732.760272816</v>
      </c>
      <c r="CW267" s="98">
        <v>445492.99999733246</v>
      </c>
      <c r="CX267" s="98">
        <v>28957045</v>
      </c>
      <c r="DI267" s="91">
        <f t="shared" si="1595"/>
        <v>445492.99999733246</v>
      </c>
      <c r="DJ267" s="91">
        <f t="shared" si="1596"/>
        <v>28957045</v>
      </c>
      <c r="DY267" s="91">
        <f t="shared" si="1597"/>
        <v>0</v>
      </c>
      <c r="DZ267" s="91">
        <f t="shared" si="1598"/>
        <v>0</v>
      </c>
      <c r="EO267" s="91">
        <f t="shared" si="1599"/>
        <v>0</v>
      </c>
      <c r="EP267" s="91">
        <f t="shared" si="1600"/>
        <v>0</v>
      </c>
      <c r="ES267" s="98">
        <v>121808</v>
      </c>
      <c r="ET267" s="98">
        <v>5846784</v>
      </c>
      <c r="EW267" s="98">
        <v>340780</v>
      </c>
      <c r="EX267" s="98">
        <v>16357440</v>
      </c>
      <c r="FE267" s="91">
        <f t="shared" si="1601"/>
        <v>462588</v>
      </c>
      <c r="FF267" s="91">
        <f t="shared" si="1602"/>
        <v>22204224</v>
      </c>
      <c r="FI267" s="98">
        <v>117000</v>
      </c>
      <c r="FJ267" s="98">
        <v>7020000</v>
      </c>
      <c r="FU267" s="91">
        <f t="shared" si="1603"/>
        <v>117000</v>
      </c>
      <c r="FV267" s="91">
        <f t="shared" si="1604"/>
        <v>7020000</v>
      </c>
      <c r="GK267" s="91">
        <f t="shared" si="1605"/>
        <v>0</v>
      </c>
      <c r="GL267" s="91">
        <f t="shared" si="1606"/>
        <v>0</v>
      </c>
      <c r="HA267" s="91">
        <f t="shared" si="1607"/>
        <v>0</v>
      </c>
      <c r="HB267" s="91">
        <f t="shared" si="1608"/>
        <v>0</v>
      </c>
      <c r="HE267" s="98">
        <v>85000</v>
      </c>
      <c r="HF267" s="98">
        <v>5950000</v>
      </c>
      <c r="HQ267" s="91">
        <f t="shared" si="1609"/>
        <v>85000</v>
      </c>
      <c r="HR267" s="91">
        <f t="shared" si="1610"/>
        <v>5950000</v>
      </c>
      <c r="IG267" s="91">
        <f t="shared" si="1611"/>
        <v>0</v>
      </c>
      <c r="IH267" s="91">
        <f t="shared" si="1612"/>
        <v>0</v>
      </c>
      <c r="IW267" s="91">
        <f t="shared" si="1613"/>
        <v>0</v>
      </c>
      <c r="IX267" s="91">
        <f t="shared" si="1614"/>
        <v>0</v>
      </c>
      <c r="JM267" s="91">
        <f t="shared" si="1615"/>
        <v>0</v>
      </c>
      <c r="JN267" s="91">
        <f t="shared" si="1616"/>
        <v>0</v>
      </c>
      <c r="JQ267" s="98">
        <v>141041</v>
      </c>
      <c r="JR267" s="98">
        <v>11283280</v>
      </c>
      <c r="KC267" s="91">
        <f t="shared" si="1617"/>
        <v>141041</v>
      </c>
      <c r="KD267" s="91">
        <f t="shared" si="1618"/>
        <v>11283280</v>
      </c>
      <c r="KG267" s="98">
        <v>57648</v>
      </c>
      <c r="KH267" s="98">
        <v>4323600</v>
      </c>
      <c r="KS267" s="91">
        <f t="shared" si="1619"/>
        <v>57648</v>
      </c>
      <c r="KT267" s="91">
        <f t="shared" si="1620"/>
        <v>4323600</v>
      </c>
      <c r="KW267" s="98">
        <v>20514.759999999998</v>
      </c>
      <c r="KX267" s="98">
        <v>1128311</v>
      </c>
      <c r="LI267" s="91">
        <f t="shared" si="1621"/>
        <v>20514.759999999998</v>
      </c>
      <c r="LJ267" s="91">
        <f t="shared" si="1622"/>
        <v>1128311</v>
      </c>
      <c r="LY267" s="91">
        <f t="shared" si="1623"/>
        <v>0</v>
      </c>
      <c r="LZ267" s="91">
        <f t="shared" si="1624"/>
        <v>0</v>
      </c>
      <c r="MC267" s="98">
        <v>1391840</v>
      </c>
      <c r="MD267" s="98">
        <v>69592000</v>
      </c>
      <c r="MO267" s="91">
        <f t="shared" si="1625"/>
        <v>1391840</v>
      </c>
      <c r="MP267" s="91">
        <f t="shared" si="1626"/>
        <v>69592000</v>
      </c>
      <c r="MS267" s="98">
        <v>10000</v>
      </c>
      <c r="MT267" s="98">
        <v>650000</v>
      </c>
      <c r="NE267" s="91">
        <f t="shared" si="1627"/>
        <v>10000</v>
      </c>
      <c r="NF267" s="91">
        <f t="shared" si="1628"/>
        <v>650000</v>
      </c>
      <c r="NI267" s="98">
        <v>447300</v>
      </c>
      <c r="NJ267" s="98">
        <v>26838000</v>
      </c>
      <c r="NU267" s="91">
        <f t="shared" si="1629"/>
        <v>447300</v>
      </c>
      <c r="NV267" s="91">
        <f t="shared" si="1630"/>
        <v>26838000</v>
      </c>
      <c r="NY267" s="98">
        <v>908031</v>
      </c>
      <c r="NZ267" s="98">
        <v>45401550</v>
      </c>
      <c r="OK267" s="91">
        <f t="shared" si="1631"/>
        <v>908031</v>
      </c>
      <c r="OL267" s="91">
        <f t="shared" si="1632"/>
        <v>45401550</v>
      </c>
      <c r="OO267" s="98">
        <v>885681</v>
      </c>
      <c r="OP267" s="98">
        <v>54619803</v>
      </c>
      <c r="PA267" s="91">
        <f t="shared" si="1633"/>
        <v>885681</v>
      </c>
      <c r="PB267" s="91">
        <f t="shared" si="1634"/>
        <v>54619803</v>
      </c>
      <c r="PE267" s="98">
        <v>17626</v>
      </c>
      <c r="PF267" s="98">
        <v>1145690</v>
      </c>
      <c r="PQ267" s="91">
        <f t="shared" si="1635"/>
        <v>17626</v>
      </c>
      <c r="PR267" s="91">
        <f t="shared" si="1636"/>
        <v>1145690</v>
      </c>
      <c r="PU267" s="98">
        <v>577860</v>
      </c>
      <c r="PV267" s="98">
        <v>34671600</v>
      </c>
      <c r="QA267" s="98">
        <v>75500</v>
      </c>
      <c r="QB267" s="98">
        <v>4530000</v>
      </c>
      <c r="QG267" s="91">
        <f t="shared" si="1637"/>
        <v>653360</v>
      </c>
      <c r="QH267" s="91">
        <f t="shared" si="1638"/>
        <v>39201600</v>
      </c>
      <c r="QO267" s="98">
        <v>175000</v>
      </c>
      <c r="QP267" s="98">
        <v>10500000</v>
      </c>
      <c r="QW267" s="91">
        <f t="shared" si="1639"/>
        <v>175000</v>
      </c>
      <c r="QX267" s="91">
        <f t="shared" si="1640"/>
        <v>10500000</v>
      </c>
      <c r="RM267" s="91">
        <f t="shared" si="1641"/>
        <v>0</v>
      </c>
      <c r="RN267" s="91">
        <f t="shared" si="1642"/>
        <v>0</v>
      </c>
      <c r="SC267" s="91">
        <f t="shared" si="1643"/>
        <v>0</v>
      </c>
      <c r="SD267" s="91">
        <f t="shared" si="1644"/>
        <v>0</v>
      </c>
      <c r="SS267" s="91">
        <f t="shared" si="1645"/>
        <v>0</v>
      </c>
      <c r="ST267" s="91">
        <f t="shared" si="1646"/>
        <v>0</v>
      </c>
      <c r="TI267" s="91">
        <f t="shared" si="1647"/>
        <v>0</v>
      </c>
      <c r="TJ267" s="91">
        <f t="shared" si="1648"/>
        <v>0</v>
      </c>
      <c r="TY267" s="91">
        <f t="shared" si="1649"/>
        <v>0</v>
      </c>
      <c r="TZ267" s="91">
        <f t="shared" si="1650"/>
        <v>0</v>
      </c>
      <c r="UO267" s="91">
        <f t="shared" si="1651"/>
        <v>0</v>
      </c>
      <c r="UP267" s="91">
        <f t="shared" si="1652"/>
        <v>0</v>
      </c>
      <c r="US267" s="98">
        <v>30</v>
      </c>
      <c r="UT267" s="98">
        <v>3450</v>
      </c>
      <c r="VE267" s="91">
        <f t="shared" si="1653"/>
        <v>30</v>
      </c>
      <c r="VF267" s="91">
        <f t="shared" si="1654"/>
        <v>3450</v>
      </c>
      <c r="VI267" s="98">
        <v>3415</v>
      </c>
      <c r="VJ267" s="98">
        <v>187825</v>
      </c>
      <c r="VU267" s="91">
        <f t="shared" si="1655"/>
        <v>3415</v>
      </c>
      <c r="VV267" s="91">
        <f t="shared" si="1656"/>
        <v>187825</v>
      </c>
      <c r="VY267" s="98">
        <v>25910</v>
      </c>
      <c r="VZ267" s="98">
        <v>1295500</v>
      </c>
      <c r="WK267" s="91">
        <f t="shared" si="1657"/>
        <v>25910</v>
      </c>
      <c r="WL267" s="91">
        <f t="shared" si="1658"/>
        <v>1295500</v>
      </c>
      <c r="WM267" s="89"/>
      <c r="WN267" s="87">
        <f t="shared" si="1659"/>
        <v>0</v>
      </c>
      <c r="WO267" s="87">
        <f t="shared" si="1660"/>
        <v>0</v>
      </c>
      <c r="WP267" s="87">
        <f t="shared" si="1661"/>
        <v>8583142.415202789</v>
      </c>
      <c r="WQ267" s="87">
        <f t="shared" si="1662"/>
        <v>474181466.27227283</v>
      </c>
      <c r="WR267" s="87">
        <f t="shared" si="1663"/>
        <v>0</v>
      </c>
      <c r="WS267" s="87">
        <f t="shared" si="1664"/>
        <v>0</v>
      </c>
      <c r="WT267" s="87">
        <f t="shared" si="1665"/>
        <v>515780</v>
      </c>
      <c r="WU267" s="87">
        <f t="shared" si="1666"/>
        <v>26857440</v>
      </c>
      <c r="WV267" s="87">
        <f t="shared" si="1667"/>
        <v>75500</v>
      </c>
      <c r="WW267" s="87">
        <f t="shared" si="1668"/>
        <v>4530000</v>
      </c>
      <c r="WX267" s="87">
        <f t="shared" si="1669"/>
        <v>0</v>
      </c>
      <c r="WY267" s="87">
        <f t="shared" si="1670"/>
        <v>0</v>
      </c>
      <c r="WZ267" s="87">
        <f t="shared" si="1677"/>
        <v>0</v>
      </c>
      <c r="XA267" s="87">
        <f t="shared" si="1678"/>
        <v>0</v>
      </c>
      <c r="XB267" s="92">
        <f t="shared" si="1679"/>
        <v>9174422.415202789</v>
      </c>
      <c r="XC267" s="92">
        <f t="shared" si="1680"/>
        <v>505568906.27227283</v>
      </c>
      <c r="XD267" s="89"/>
      <c r="XE267" s="92"/>
      <c r="XF267" s="92"/>
      <c r="XG267" s="89"/>
      <c r="XH267" s="92"/>
      <c r="XI267" s="92"/>
      <c r="XJ267" s="89"/>
      <c r="XK267" s="87"/>
      <c r="XL267" s="87"/>
      <c r="XM267" s="87"/>
      <c r="XN267" s="87"/>
      <c r="XO267" s="87"/>
      <c r="XP267" s="87"/>
      <c r="XQ267" s="87"/>
      <c r="XR267" s="92">
        <f t="shared" ca="1" si="1675"/>
        <v>0</v>
      </c>
      <c r="XS267" s="89"/>
      <c r="XT267" s="87"/>
      <c r="XU267" s="87"/>
      <c r="XV267" s="87"/>
      <c r="XW267" s="87"/>
      <c r="XX267" s="87"/>
      <c r="XY267" s="87"/>
      <c r="XZ267" s="87"/>
      <c r="YA267" s="92">
        <f t="shared" ca="1" si="1676"/>
        <v>0</v>
      </c>
      <c r="YB267" s="90"/>
      <c r="YC267" s="90"/>
      <c r="YD267" s="90"/>
      <c r="YE267" s="90"/>
      <c r="YF267" s="90"/>
      <c r="YG267" s="90"/>
      <c r="YH267" s="90"/>
      <c r="YI267" s="90"/>
      <c r="YJ267" s="90"/>
      <c r="YK267" s="90"/>
      <c r="YL267" s="90"/>
      <c r="YM267" s="90"/>
      <c r="YN267" s="90"/>
      <c r="YO267" s="90"/>
      <c r="YP267" s="90"/>
      <c r="YQ267" s="90"/>
      <c r="YR267" s="90"/>
      <c r="YS267" s="90"/>
      <c r="YT267" s="90"/>
      <c r="YU267" s="90"/>
      <c r="YV267" s="90"/>
      <c r="YW267" s="90"/>
      <c r="YX267" s="90"/>
      <c r="YY267" s="90"/>
      <c r="YZ267" s="90"/>
      <c r="ZA267" s="90"/>
      <c r="ZB267" s="90"/>
      <c r="ZC267" s="90"/>
      <c r="ZD267" s="90"/>
      <c r="ZE267" s="90"/>
      <c r="ZF267" s="90"/>
      <c r="ZG267" s="90"/>
      <c r="ZH267" s="90"/>
      <c r="ZI267" s="90"/>
      <c r="ZJ267" s="90"/>
      <c r="ZK267" s="90"/>
      <c r="ZL267" s="90"/>
      <c r="ZM267" s="90"/>
      <c r="ZN267" s="90"/>
      <c r="ZO267" s="90"/>
      <c r="ZP267" s="90"/>
      <c r="ZQ267" s="90"/>
      <c r="ZR267" s="90"/>
      <c r="ZS267" s="90"/>
      <c r="ZT267" s="90"/>
      <c r="ZU267" s="90"/>
      <c r="ZV267" s="90"/>
      <c r="ZW267" s="90"/>
      <c r="ZX267" s="90"/>
      <c r="ZY267" s="90"/>
      <c r="ZZ267" s="90"/>
      <c r="AAA267" s="90"/>
      <c r="AAB267" s="90"/>
      <c r="AAC267" s="90"/>
      <c r="AAD267" s="90"/>
      <c r="AAE267" s="90"/>
      <c r="AAF267" s="90"/>
      <c r="AAG267" s="90"/>
      <c r="AAH267" s="90"/>
      <c r="AAI267" s="90"/>
      <c r="AAJ267" s="90"/>
      <c r="AAK267" s="90"/>
      <c r="AAL267" s="90"/>
      <c r="AAM267" s="90"/>
      <c r="AAN267" s="90"/>
      <c r="AAO267" s="90"/>
      <c r="AAP267" s="90"/>
      <c r="AAQ267" s="90"/>
      <c r="AAR267" s="90"/>
      <c r="AAS267" s="90"/>
      <c r="AAT267" s="90"/>
      <c r="AAU267" s="90"/>
      <c r="AAV267" s="90"/>
      <c r="AAW267" s="90"/>
      <c r="AAX267" s="90"/>
      <c r="AAY267" s="90"/>
      <c r="AAZ267" s="90"/>
      <c r="ABA267" s="90"/>
      <c r="ABB267" s="90"/>
      <c r="ABC267" s="90"/>
      <c r="ABD267" s="90"/>
      <c r="ABE267" s="90"/>
      <c r="ABF267" s="90"/>
      <c r="ABG267" s="90"/>
      <c r="ABH267" s="90"/>
      <c r="ABI267" s="90"/>
      <c r="ABJ267" s="90"/>
      <c r="ABK267" s="90"/>
      <c r="ABL267" s="90"/>
      <c r="ABM267" s="90"/>
      <c r="ABN267" s="90"/>
      <c r="ABO267" s="90"/>
      <c r="ABP267" s="90"/>
      <c r="ABQ267" s="90"/>
      <c r="ABR267" s="90"/>
      <c r="ABS267" s="90"/>
      <c r="ABT267" s="90"/>
      <c r="ABU267" s="90"/>
      <c r="ABV267" s="90"/>
      <c r="ABW267" s="90"/>
      <c r="ABX267" s="90"/>
      <c r="ABY267" s="90"/>
      <c r="ABZ267" s="90"/>
      <c r="ACA267" s="90"/>
      <c r="ACB267" s="90"/>
      <c r="ACC267" s="90"/>
      <c r="ACD267" s="90"/>
      <c r="ACE267" s="90"/>
      <c r="ACF267" s="90"/>
      <c r="ACG267" s="90"/>
      <c r="ACH267" s="90"/>
      <c r="ACI267" s="90"/>
      <c r="ACJ267" s="90"/>
      <c r="ACK267" s="90"/>
      <c r="ACL267" s="90"/>
      <c r="ACM267" s="90"/>
      <c r="ACN267" s="90"/>
      <c r="ACO267" s="90"/>
      <c r="ACP267" s="90"/>
      <c r="ACQ267" s="90"/>
      <c r="ACR267" s="90"/>
      <c r="ACS267" s="90"/>
      <c r="ACT267" s="90"/>
      <c r="ACU267" s="90"/>
      <c r="ACV267" s="90"/>
      <c r="ACW267" s="90"/>
      <c r="ACX267" s="90"/>
      <c r="ACY267" s="90"/>
      <c r="ACZ267" s="90"/>
      <c r="ADA267" s="90"/>
      <c r="ADB267" s="90"/>
      <c r="ADC267" s="90"/>
      <c r="ADD267" s="90"/>
      <c r="ADE267" s="90"/>
      <c r="ADF267" s="90"/>
      <c r="ADG267" s="90"/>
      <c r="ADH267" s="90"/>
      <c r="ADI267" s="90"/>
      <c r="ADJ267" s="90"/>
      <c r="ADK267" s="90"/>
      <c r="ADL267" s="90"/>
      <c r="ADM267" s="90"/>
      <c r="ADN267" s="90"/>
      <c r="ADO267" s="90"/>
      <c r="ADP267" s="90"/>
      <c r="ADQ267" s="90"/>
      <c r="ADR267" s="90"/>
      <c r="ADS267" s="90"/>
      <c r="ADT267" s="90"/>
      <c r="ADU267" s="90"/>
      <c r="ADV267" s="90"/>
      <c r="ADW267" s="90"/>
      <c r="ADX267" s="90"/>
      <c r="ADY267" s="90"/>
      <c r="ADZ267" s="90"/>
      <c r="AEA267" s="90"/>
      <c r="AEB267" s="90"/>
      <c r="AEC267" s="90"/>
      <c r="AED267" s="90"/>
      <c r="AEE267" s="90"/>
      <c r="AEF267" s="90"/>
      <c r="AEG267" s="90"/>
      <c r="AEH267" s="90"/>
      <c r="AEI267" s="90"/>
      <c r="AEJ267" s="90"/>
      <c r="AEK267" s="90"/>
      <c r="AEL267" s="90"/>
      <c r="AEM267" s="90"/>
      <c r="AEN267" s="90"/>
      <c r="AEO267" s="90"/>
      <c r="AEP267" s="90"/>
      <c r="AEQ267" s="90"/>
      <c r="AER267" s="90"/>
      <c r="AES267" s="90"/>
      <c r="AET267" s="90"/>
      <c r="AEU267" s="90"/>
      <c r="AEV267" s="90"/>
      <c r="AEW267" s="90"/>
      <c r="AEX267" s="90"/>
      <c r="AEY267" s="90"/>
      <c r="AEZ267" s="90"/>
      <c r="AFA267" s="90"/>
      <c r="AFB267" s="90"/>
      <c r="AFC267" s="90"/>
      <c r="AFD267" s="90"/>
      <c r="AFE267" s="90"/>
      <c r="AFF267" s="90"/>
      <c r="AFG267" s="90"/>
      <c r="AFH267" s="90"/>
      <c r="AFI267" s="90"/>
      <c r="AFJ267" s="90"/>
      <c r="AFK267" s="90"/>
      <c r="AFL267" s="90"/>
      <c r="AFM267" s="90"/>
      <c r="AFN267" s="90"/>
      <c r="AFO267" s="90"/>
      <c r="AFP267" s="90"/>
      <c r="AFQ267" s="90"/>
      <c r="AFR267" s="90"/>
      <c r="AFS267" s="90"/>
      <c r="AFT267" s="90"/>
      <c r="AFU267" s="90"/>
      <c r="AFV267" s="90"/>
      <c r="AFW267" s="90"/>
      <c r="AFX267" s="90"/>
      <c r="AFY267" s="90"/>
      <c r="AFZ267" s="90"/>
      <c r="AGA267" s="90"/>
      <c r="AGB267" s="90"/>
      <c r="AGC267" s="90"/>
      <c r="AGD267" s="90"/>
      <c r="AGE267" s="90"/>
      <c r="AGF267" s="90"/>
      <c r="AGG267" s="90"/>
      <c r="AGH267" s="90"/>
      <c r="AGI267" s="90"/>
      <c r="AGJ267" s="90"/>
      <c r="AGK267" s="90"/>
      <c r="AGL267" s="90"/>
      <c r="AGM267" s="90"/>
      <c r="AGN267" s="90"/>
      <c r="AGO267" s="90"/>
      <c r="AGP267" s="90"/>
      <c r="AGQ267" s="90"/>
      <c r="AGR267" s="90"/>
      <c r="AGS267" s="90"/>
      <c r="AGT267" s="90"/>
      <c r="AGU267" s="90"/>
      <c r="AGV267" s="90"/>
      <c r="AGW267" s="90"/>
      <c r="AGX267" s="90"/>
      <c r="AGY267" s="90"/>
      <c r="AGZ267" s="90"/>
      <c r="AHA267" s="90"/>
      <c r="AHB267" s="90"/>
      <c r="AHC267" s="90"/>
      <c r="AHD267" s="90"/>
      <c r="AHE267" s="90"/>
      <c r="AHF267" s="90"/>
      <c r="AHG267" s="90"/>
      <c r="AHH267" s="90"/>
      <c r="AHI267" s="90"/>
      <c r="AHJ267" s="90"/>
      <c r="AHK267" s="90"/>
      <c r="AHL267" s="90"/>
      <c r="AHM267" s="90"/>
      <c r="AHN267" s="90"/>
      <c r="AHO267" s="90"/>
      <c r="AHP267" s="90"/>
      <c r="AHQ267" s="90"/>
      <c r="AHR267" s="90"/>
      <c r="AHS267" s="90"/>
      <c r="AHT267" s="90"/>
      <c r="AHU267" s="90"/>
      <c r="AHV267" s="90"/>
      <c r="AHW267" s="90"/>
      <c r="AHX267" s="90"/>
      <c r="AHY267" s="90"/>
      <c r="AHZ267" s="90"/>
      <c r="AIA267" s="90"/>
      <c r="AIB267" s="90"/>
      <c r="AIC267" s="90"/>
      <c r="AID267" s="90"/>
      <c r="AIE267" s="90"/>
      <c r="AIF267" s="90"/>
      <c r="AIG267" s="90"/>
      <c r="AIH267" s="90"/>
      <c r="AII267" s="90"/>
      <c r="AIJ267" s="90"/>
      <c r="AIK267" s="90"/>
      <c r="AIL267" s="90"/>
      <c r="AIM267" s="90"/>
      <c r="AIN267" s="90"/>
      <c r="AIO267" s="90"/>
      <c r="AIP267" s="90"/>
      <c r="AIQ267" s="90"/>
      <c r="AIR267" s="90"/>
      <c r="AIS267" s="90"/>
      <c r="AIT267" s="90"/>
      <c r="AIU267" s="90"/>
      <c r="AIV267" s="90"/>
      <c r="AIW267" s="90"/>
      <c r="AIX267" s="90"/>
      <c r="AIY267" s="90"/>
      <c r="AIZ267" s="90"/>
      <c r="AJA267" s="90"/>
      <c r="AJB267" s="90"/>
      <c r="AJC267" s="90"/>
      <c r="AJD267" s="90"/>
      <c r="AJE267" s="90"/>
      <c r="AJF267" s="90"/>
      <c r="AJG267" s="90"/>
      <c r="AJH267" s="90"/>
      <c r="AJI267" s="90"/>
      <c r="AJJ267" s="90"/>
      <c r="AJK267" s="90"/>
      <c r="AJL267" s="90"/>
      <c r="AJM267" s="90"/>
      <c r="AJN267" s="90"/>
      <c r="AJO267" s="90"/>
      <c r="AJP267" s="90"/>
      <c r="AJQ267" s="90"/>
      <c r="AJR267" s="90"/>
      <c r="AJS267" s="90"/>
      <c r="AJT267" s="90"/>
      <c r="AJU267" s="90"/>
      <c r="AJV267" s="90"/>
      <c r="AJW267" s="90"/>
      <c r="AJX267" s="90"/>
      <c r="AJY267" s="90"/>
      <c r="AJZ267" s="90"/>
      <c r="AKA267" s="90"/>
      <c r="AKB267" s="90"/>
      <c r="AKC267" s="90"/>
      <c r="AKD267" s="90"/>
      <c r="AKE267" s="90"/>
      <c r="AKF267" s="90"/>
      <c r="AKG267" s="90"/>
      <c r="AKH267" s="90"/>
      <c r="AKI267" s="90"/>
      <c r="AKJ267" s="90"/>
      <c r="AKK267" s="90"/>
      <c r="AKL267" s="90"/>
      <c r="AKM267" s="90"/>
      <c r="AKN267" s="90"/>
      <c r="AKO267" s="90"/>
      <c r="AKP267" s="90"/>
      <c r="AKQ267" s="90"/>
      <c r="AKR267" s="90"/>
      <c r="AKS267" s="90"/>
      <c r="AKT267" s="90"/>
      <c r="AKU267" s="90"/>
      <c r="AKV267" s="90"/>
      <c r="AKW267" s="90"/>
      <c r="AKX267" s="90"/>
      <c r="AKY267" s="90"/>
      <c r="AKZ267" s="90"/>
      <c r="ALA267" s="90"/>
      <c r="ALB267" s="90"/>
      <c r="ALC267" s="90"/>
      <c r="ALD267" s="90"/>
      <c r="ALE267" s="90"/>
      <c r="ALF267" s="90"/>
      <c r="ALG267" s="90"/>
      <c r="ALH267" s="90"/>
      <c r="ALI267" s="90"/>
      <c r="ALJ267" s="90"/>
      <c r="ALK267" s="90"/>
      <c r="ALL267" s="90"/>
      <c r="ALM267" s="90"/>
      <c r="ALN267" s="90"/>
      <c r="ALO267" s="90"/>
      <c r="ALP267" s="90"/>
      <c r="ALQ267" s="90"/>
      <c r="ALR267" s="90"/>
      <c r="ALS267" s="90"/>
      <c r="ALT267" s="90"/>
      <c r="ALU267" s="90"/>
      <c r="ALV267" s="90"/>
      <c r="ALW267" s="90"/>
      <c r="ALX267" s="90"/>
      <c r="ALY267" s="90"/>
      <c r="ALZ267" s="90"/>
      <c r="AMA267" s="90"/>
      <c r="AMB267" s="90"/>
      <c r="AMC267" s="90"/>
    </row>
    <row r="268" spans="1:1017">
      <c r="A268" s="98" t="s">
        <v>51</v>
      </c>
      <c r="B268" s="90" t="str">
        <f t="shared" si="1582"/>
        <v xml:space="preserve">Udang Windu </v>
      </c>
      <c r="E268" s="98">
        <v>3000</v>
      </c>
      <c r="F268" s="98">
        <v>390000</v>
      </c>
      <c r="G268" s="860"/>
      <c r="Q268" s="91">
        <f t="shared" si="1583"/>
        <v>3000</v>
      </c>
      <c r="R268" s="91">
        <f t="shared" si="1584"/>
        <v>390000</v>
      </c>
      <c r="AG268" s="91">
        <f t="shared" si="1585"/>
        <v>0</v>
      </c>
      <c r="AH268" s="91">
        <f t="shared" si="1586"/>
        <v>0</v>
      </c>
      <c r="AW268" s="91">
        <f t="shared" si="1587"/>
        <v>0</v>
      </c>
      <c r="AX268" s="91">
        <f t="shared" si="1588"/>
        <v>0</v>
      </c>
      <c r="BM268" s="91">
        <f t="shared" si="1589"/>
        <v>0</v>
      </c>
      <c r="BN268" s="91">
        <f t="shared" si="1590"/>
        <v>0</v>
      </c>
      <c r="CC268" s="91">
        <f t="shared" si="1591"/>
        <v>0</v>
      </c>
      <c r="CD268" s="91">
        <f t="shared" si="1592"/>
        <v>0</v>
      </c>
      <c r="CG268" s="98">
        <v>187128.33810289932</v>
      </c>
      <c r="CH268" s="98">
        <v>18712833.810289931</v>
      </c>
      <c r="CS268" s="91">
        <f t="shared" si="1593"/>
        <v>187128.33810289932</v>
      </c>
      <c r="CT268" s="91">
        <f t="shared" si="1594"/>
        <v>18712833.810289931</v>
      </c>
      <c r="DI268" s="91">
        <f t="shared" si="1595"/>
        <v>0</v>
      </c>
      <c r="DJ268" s="91">
        <f t="shared" si="1596"/>
        <v>0</v>
      </c>
      <c r="DY268" s="91">
        <f t="shared" si="1597"/>
        <v>0</v>
      </c>
      <c r="DZ268" s="91">
        <f t="shared" si="1598"/>
        <v>0</v>
      </c>
      <c r="EO268" s="91">
        <f t="shared" si="1599"/>
        <v>0</v>
      </c>
      <c r="EP268" s="91">
        <f t="shared" si="1600"/>
        <v>0</v>
      </c>
      <c r="FE268" s="91">
        <f t="shared" si="1601"/>
        <v>0</v>
      </c>
      <c r="FF268" s="91">
        <f t="shared" si="1602"/>
        <v>0</v>
      </c>
      <c r="FU268" s="91">
        <f t="shared" si="1603"/>
        <v>0</v>
      </c>
      <c r="FV268" s="91">
        <f t="shared" si="1604"/>
        <v>0</v>
      </c>
      <c r="GK268" s="91">
        <f t="shared" si="1605"/>
        <v>0</v>
      </c>
      <c r="GL268" s="91">
        <f t="shared" si="1606"/>
        <v>0</v>
      </c>
      <c r="HA268" s="91">
        <f t="shared" si="1607"/>
        <v>0</v>
      </c>
      <c r="HB268" s="91">
        <f t="shared" si="1608"/>
        <v>0</v>
      </c>
      <c r="HQ268" s="91">
        <f t="shared" si="1609"/>
        <v>0</v>
      </c>
      <c r="HR268" s="91">
        <f t="shared" si="1610"/>
        <v>0</v>
      </c>
      <c r="IG268" s="91">
        <f t="shared" si="1611"/>
        <v>0</v>
      </c>
      <c r="IH268" s="91">
        <f t="shared" si="1612"/>
        <v>0</v>
      </c>
      <c r="IW268" s="91">
        <f t="shared" si="1613"/>
        <v>0</v>
      </c>
      <c r="IX268" s="91">
        <f t="shared" si="1614"/>
        <v>0</v>
      </c>
      <c r="JM268" s="91">
        <f t="shared" si="1615"/>
        <v>0</v>
      </c>
      <c r="JN268" s="91">
        <f t="shared" si="1616"/>
        <v>0</v>
      </c>
      <c r="KC268" s="91">
        <f t="shared" si="1617"/>
        <v>0</v>
      </c>
      <c r="KD268" s="91">
        <f t="shared" si="1618"/>
        <v>0</v>
      </c>
      <c r="KS268" s="91">
        <f t="shared" si="1619"/>
        <v>0</v>
      </c>
      <c r="KT268" s="91">
        <f t="shared" si="1620"/>
        <v>0</v>
      </c>
      <c r="KW268" s="98">
        <v>1420.41</v>
      </c>
      <c r="KX268" s="98">
        <v>134939</v>
      </c>
      <c r="LI268" s="91">
        <f t="shared" si="1621"/>
        <v>1420.41</v>
      </c>
      <c r="LJ268" s="91">
        <f t="shared" si="1622"/>
        <v>134939</v>
      </c>
      <c r="LY268" s="91">
        <f t="shared" si="1623"/>
        <v>0</v>
      </c>
      <c r="LZ268" s="91">
        <f t="shared" si="1624"/>
        <v>0</v>
      </c>
      <c r="MO268" s="91">
        <f t="shared" si="1625"/>
        <v>0</v>
      </c>
      <c r="MP268" s="91">
        <f t="shared" si="1626"/>
        <v>0</v>
      </c>
      <c r="MS268" s="98">
        <v>700</v>
      </c>
      <c r="MT268" s="98">
        <v>56000</v>
      </c>
      <c r="NE268" s="91">
        <f t="shared" si="1627"/>
        <v>700</v>
      </c>
      <c r="NF268" s="91">
        <f t="shared" si="1628"/>
        <v>56000</v>
      </c>
      <c r="NI268" s="98">
        <v>296000</v>
      </c>
      <c r="NJ268" s="98">
        <v>26640000</v>
      </c>
      <c r="NU268" s="91">
        <f t="shared" si="1629"/>
        <v>296000</v>
      </c>
      <c r="NV268" s="91">
        <f t="shared" si="1630"/>
        <v>26640000</v>
      </c>
      <c r="NY268" s="98">
        <v>52</v>
      </c>
      <c r="NZ268" s="98">
        <v>7800</v>
      </c>
      <c r="OK268" s="91">
        <f t="shared" si="1631"/>
        <v>52</v>
      </c>
      <c r="OL268" s="91">
        <f t="shared" si="1632"/>
        <v>7800</v>
      </c>
      <c r="PA268" s="91">
        <f t="shared" si="1633"/>
        <v>0</v>
      </c>
      <c r="PB268" s="91">
        <f t="shared" si="1634"/>
        <v>0</v>
      </c>
      <c r="PQ268" s="91">
        <f t="shared" si="1635"/>
        <v>0</v>
      </c>
      <c r="PR268" s="91">
        <f t="shared" si="1636"/>
        <v>0</v>
      </c>
      <c r="QG268" s="91">
        <f t="shared" si="1637"/>
        <v>0</v>
      </c>
      <c r="QH268" s="91">
        <f t="shared" si="1638"/>
        <v>0</v>
      </c>
      <c r="QW268" s="91">
        <f t="shared" si="1639"/>
        <v>0</v>
      </c>
      <c r="QX268" s="91">
        <f t="shared" si="1640"/>
        <v>0</v>
      </c>
      <c r="RM268" s="91">
        <f t="shared" si="1641"/>
        <v>0</v>
      </c>
      <c r="RN268" s="91">
        <f t="shared" si="1642"/>
        <v>0</v>
      </c>
      <c r="SC268" s="91">
        <f t="shared" si="1643"/>
        <v>0</v>
      </c>
      <c r="SD268" s="91">
        <f t="shared" si="1644"/>
        <v>0</v>
      </c>
      <c r="SS268" s="91">
        <f t="shared" si="1645"/>
        <v>0</v>
      </c>
      <c r="ST268" s="91">
        <f t="shared" si="1646"/>
        <v>0</v>
      </c>
      <c r="TI268" s="91">
        <f t="shared" si="1647"/>
        <v>0</v>
      </c>
      <c r="TJ268" s="91">
        <f t="shared" si="1648"/>
        <v>0</v>
      </c>
      <c r="TY268" s="91">
        <f t="shared" si="1649"/>
        <v>0</v>
      </c>
      <c r="TZ268" s="91">
        <f t="shared" si="1650"/>
        <v>0</v>
      </c>
      <c r="UO268" s="91">
        <f t="shared" si="1651"/>
        <v>0</v>
      </c>
      <c r="UP268" s="91">
        <f t="shared" si="1652"/>
        <v>0</v>
      </c>
      <c r="VE268" s="91">
        <f t="shared" si="1653"/>
        <v>0</v>
      </c>
      <c r="VF268" s="91">
        <f t="shared" si="1654"/>
        <v>0</v>
      </c>
      <c r="VI268" s="98">
        <v>35</v>
      </c>
      <c r="VJ268" s="98">
        <v>2275</v>
      </c>
      <c r="VU268" s="91">
        <f t="shared" si="1655"/>
        <v>35</v>
      </c>
      <c r="VV268" s="91">
        <f t="shared" si="1656"/>
        <v>2275</v>
      </c>
      <c r="VY268" s="98">
        <v>2210</v>
      </c>
      <c r="VZ268" s="98">
        <v>198900</v>
      </c>
      <c r="WK268" s="91">
        <f t="shared" si="1657"/>
        <v>2210</v>
      </c>
      <c r="WL268" s="91">
        <f t="shared" si="1658"/>
        <v>198900</v>
      </c>
      <c r="WM268" s="89"/>
      <c r="WN268" s="87">
        <f t="shared" si="1659"/>
        <v>0</v>
      </c>
      <c r="WO268" s="87">
        <f t="shared" si="1660"/>
        <v>0</v>
      </c>
      <c r="WP268" s="87">
        <f t="shared" si="1661"/>
        <v>490545.74810289929</v>
      </c>
      <c r="WQ268" s="87">
        <f t="shared" si="1662"/>
        <v>46142747.810289934</v>
      </c>
      <c r="WR268" s="87">
        <f t="shared" si="1663"/>
        <v>0</v>
      </c>
      <c r="WS268" s="87">
        <f t="shared" si="1664"/>
        <v>0</v>
      </c>
      <c r="WT268" s="87">
        <f t="shared" si="1665"/>
        <v>0</v>
      </c>
      <c r="WU268" s="87">
        <f t="shared" si="1666"/>
        <v>0</v>
      </c>
      <c r="WV268" s="87">
        <f t="shared" si="1667"/>
        <v>0</v>
      </c>
      <c r="WW268" s="87">
        <f t="shared" si="1668"/>
        <v>0</v>
      </c>
      <c r="WX268" s="87">
        <f t="shared" si="1669"/>
        <v>0</v>
      </c>
      <c r="WY268" s="87">
        <f t="shared" si="1670"/>
        <v>0</v>
      </c>
      <c r="WZ268" s="87">
        <f t="shared" si="1677"/>
        <v>0</v>
      </c>
      <c r="XA268" s="87">
        <f t="shared" si="1678"/>
        <v>0</v>
      </c>
      <c r="XB268" s="92">
        <f t="shared" si="1679"/>
        <v>490545.74810289929</v>
      </c>
      <c r="XC268" s="92">
        <f t="shared" si="1680"/>
        <v>46142747.810289934</v>
      </c>
      <c r="XD268" s="89"/>
      <c r="XE268" s="92"/>
      <c r="XF268" s="92"/>
      <c r="XG268" s="89"/>
      <c r="XH268" s="92"/>
      <c r="XI268" s="92"/>
      <c r="XJ268" s="89"/>
      <c r="XK268" s="87"/>
      <c r="XL268" s="87"/>
      <c r="XM268" s="87"/>
      <c r="XN268" s="87"/>
      <c r="XO268" s="87"/>
      <c r="XP268" s="87"/>
      <c r="XQ268" s="87"/>
      <c r="XR268" s="92">
        <f t="shared" ca="1" si="1675"/>
        <v>0</v>
      </c>
      <c r="XS268" s="89"/>
      <c r="XT268" s="87"/>
      <c r="XU268" s="87"/>
      <c r="XV268" s="87"/>
      <c r="XW268" s="87"/>
      <c r="XX268" s="87"/>
      <c r="XY268" s="87"/>
      <c r="XZ268" s="87"/>
      <c r="YA268" s="92">
        <f t="shared" ca="1" si="1676"/>
        <v>0</v>
      </c>
      <c r="YB268" s="90"/>
      <c r="YC268" s="90"/>
      <c r="YD268" s="90"/>
      <c r="YE268" s="90"/>
      <c r="YF268" s="90"/>
      <c r="YG268" s="90"/>
      <c r="YH268" s="90"/>
      <c r="YI268" s="90"/>
      <c r="YJ268" s="90"/>
      <c r="YK268" s="90"/>
      <c r="YL268" s="90"/>
      <c r="YM268" s="90"/>
      <c r="YN268" s="90"/>
      <c r="YO268" s="90"/>
      <c r="YP268" s="90"/>
      <c r="YQ268" s="90"/>
      <c r="YR268" s="90"/>
      <c r="YS268" s="90"/>
      <c r="YT268" s="90"/>
      <c r="YU268" s="90"/>
      <c r="YV268" s="90"/>
      <c r="YW268" s="90"/>
      <c r="YX268" s="90"/>
      <c r="YY268" s="90"/>
      <c r="YZ268" s="90"/>
      <c r="ZA268" s="90"/>
      <c r="ZB268" s="90"/>
      <c r="ZC268" s="90"/>
      <c r="ZD268" s="90"/>
      <c r="ZE268" s="90"/>
      <c r="ZF268" s="90"/>
      <c r="ZG268" s="90"/>
      <c r="ZH268" s="90"/>
      <c r="ZI268" s="90"/>
      <c r="ZJ268" s="90"/>
      <c r="ZK268" s="90"/>
      <c r="ZL268" s="90"/>
      <c r="ZM268" s="90"/>
      <c r="ZN268" s="90"/>
      <c r="ZO268" s="90"/>
      <c r="ZP268" s="90"/>
      <c r="ZQ268" s="90"/>
      <c r="ZR268" s="90"/>
      <c r="ZS268" s="90"/>
      <c r="ZT268" s="90"/>
      <c r="ZU268" s="90"/>
      <c r="ZV268" s="90"/>
      <c r="ZW268" s="90"/>
      <c r="ZX268" s="90"/>
      <c r="ZY268" s="90"/>
      <c r="ZZ268" s="90"/>
      <c r="AAA268" s="90"/>
      <c r="AAB268" s="90"/>
      <c r="AAC268" s="90"/>
      <c r="AAD268" s="90"/>
      <c r="AAE268" s="90"/>
      <c r="AAF268" s="90"/>
      <c r="AAG268" s="90"/>
      <c r="AAH268" s="90"/>
      <c r="AAI268" s="90"/>
      <c r="AAJ268" s="90"/>
      <c r="AAK268" s="90"/>
      <c r="AAL268" s="90"/>
      <c r="AAM268" s="90"/>
      <c r="AAN268" s="90"/>
      <c r="AAO268" s="90"/>
      <c r="AAP268" s="90"/>
      <c r="AAQ268" s="90"/>
      <c r="AAR268" s="90"/>
      <c r="AAS268" s="90"/>
      <c r="AAT268" s="90"/>
      <c r="AAU268" s="90"/>
      <c r="AAV268" s="90"/>
      <c r="AAW268" s="90"/>
      <c r="AAX268" s="90"/>
      <c r="AAY268" s="90"/>
      <c r="AAZ268" s="90"/>
      <c r="ABA268" s="90"/>
      <c r="ABB268" s="90"/>
      <c r="ABC268" s="90"/>
      <c r="ABD268" s="90"/>
      <c r="ABE268" s="90"/>
      <c r="ABF268" s="90"/>
      <c r="ABG268" s="90"/>
      <c r="ABH268" s="90"/>
      <c r="ABI268" s="90"/>
      <c r="ABJ268" s="90"/>
      <c r="ABK268" s="90"/>
      <c r="ABL268" s="90"/>
      <c r="ABM268" s="90"/>
      <c r="ABN268" s="90"/>
      <c r="ABO268" s="90"/>
      <c r="ABP268" s="90"/>
      <c r="ABQ268" s="90"/>
      <c r="ABR268" s="90"/>
      <c r="ABS268" s="90"/>
      <c r="ABT268" s="90"/>
      <c r="ABU268" s="90"/>
      <c r="ABV268" s="90"/>
      <c r="ABW268" s="90"/>
      <c r="ABX268" s="90"/>
      <c r="ABY268" s="90"/>
      <c r="ABZ268" s="90"/>
      <c r="ACA268" s="90"/>
      <c r="ACB268" s="90"/>
      <c r="ACC268" s="90"/>
      <c r="ACD268" s="90"/>
      <c r="ACE268" s="90"/>
      <c r="ACF268" s="90"/>
      <c r="ACG268" s="90"/>
      <c r="ACH268" s="90"/>
      <c r="ACI268" s="90"/>
      <c r="ACJ268" s="90"/>
      <c r="ACK268" s="90"/>
      <c r="ACL268" s="90"/>
      <c r="ACM268" s="90"/>
      <c r="ACN268" s="90"/>
      <c r="ACO268" s="90"/>
      <c r="ACP268" s="90"/>
      <c r="ACQ268" s="90"/>
      <c r="ACR268" s="90"/>
      <c r="ACS268" s="90"/>
      <c r="ACT268" s="90"/>
      <c r="ACU268" s="90"/>
      <c r="ACV268" s="90"/>
      <c r="ACW268" s="90"/>
      <c r="ACX268" s="90"/>
      <c r="ACY268" s="90"/>
      <c r="ACZ268" s="90"/>
      <c r="ADA268" s="90"/>
      <c r="ADB268" s="90"/>
      <c r="ADC268" s="90"/>
      <c r="ADD268" s="90"/>
      <c r="ADE268" s="90"/>
      <c r="ADF268" s="90"/>
      <c r="ADG268" s="90"/>
      <c r="ADH268" s="90"/>
      <c r="ADI268" s="90"/>
      <c r="ADJ268" s="90"/>
      <c r="ADK268" s="90"/>
      <c r="ADL268" s="90"/>
      <c r="ADM268" s="90"/>
      <c r="ADN268" s="90"/>
      <c r="ADO268" s="90"/>
      <c r="ADP268" s="90"/>
      <c r="ADQ268" s="90"/>
      <c r="ADR268" s="90"/>
      <c r="ADS268" s="90"/>
      <c r="ADT268" s="90"/>
      <c r="ADU268" s="90"/>
      <c r="ADV268" s="90"/>
      <c r="ADW268" s="90"/>
      <c r="ADX268" s="90"/>
      <c r="ADY268" s="90"/>
      <c r="ADZ268" s="90"/>
      <c r="AEA268" s="90"/>
      <c r="AEB268" s="90"/>
      <c r="AEC268" s="90"/>
      <c r="AED268" s="90"/>
      <c r="AEE268" s="90"/>
      <c r="AEF268" s="90"/>
      <c r="AEG268" s="90"/>
      <c r="AEH268" s="90"/>
      <c r="AEI268" s="90"/>
      <c r="AEJ268" s="90"/>
      <c r="AEK268" s="90"/>
      <c r="AEL268" s="90"/>
      <c r="AEM268" s="90"/>
      <c r="AEN268" s="90"/>
      <c r="AEO268" s="90"/>
      <c r="AEP268" s="90"/>
      <c r="AEQ268" s="90"/>
      <c r="AER268" s="90"/>
      <c r="AES268" s="90"/>
      <c r="AET268" s="90"/>
      <c r="AEU268" s="90"/>
      <c r="AEV268" s="90"/>
      <c r="AEW268" s="90"/>
      <c r="AEX268" s="90"/>
      <c r="AEY268" s="90"/>
      <c r="AEZ268" s="90"/>
      <c r="AFA268" s="90"/>
      <c r="AFB268" s="90"/>
      <c r="AFC268" s="90"/>
      <c r="AFD268" s="90"/>
      <c r="AFE268" s="90"/>
      <c r="AFF268" s="90"/>
      <c r="AFG268" s="90"/>
      <c r="AFH268" s="90"/>
      <c r="AFI268" s="90"/>
      <c r="AFJ268" s="90"/>
      <c r="AFK268" s="90"/>
      <c r="AFL268" s="90"/>
      <c r="AFM268" s="90"/>
      <c r="AFN268" s="90"/>
      <c r="AFO268" s="90"/>
      <c r="AFP268" s="90"/>
      <c r="AFQ268" s="90"/>
      <c r="AFR268" s="90"/>
      <c r="AFS268" s="90"/>
      <c r="AFT268" s="90"/>
      <c r="AFU268" s="90"/>
      <c r="AFV268" s="90"/>
      <c r="AFW268" s="90"/>
      <c r="AFX268" s="90"/>
      <c r="AFY268" s="90"/>
      <c r="AFZ268" s="90"/>
      <c r="AGA268" s="90"/>
      <c r="AGB268" s="90"/>
      <c r="AGC268" s="90"/>
      <c r="AGD268" s="90"/>
      <c r="AGE268" s="90"/>
      <c r="AGF268" s="90"/>
      <c r="AGG268" s="90"/>
      <c r="AGH268" s="90"/>
      <c r="AGI268" s="90"/>
      <c r="AGJ268" s="90"/>
      <c r="AGK268" s="90"/>
      <c r="AGL268" s="90"/>
      <c r="AGM268" s="90"/>
      <c r="AGN268" s="90"/>
      <c r="AGO268" s="90"/>
      <c r="AGP268" s="90"/>
      <c r="AGQ268" s="90"/>
      <c r="AGR268" s="90"/>
      <c r="AGS268" s="90"/>
      <c r="AGT268" s="90"/>
      <c r="AGU268" s="90"/>
      <c r="AGV268" s="90"/>
      <c r="AGW268" s="90"/>
      <c r="AGX268" s="90"/>
      <c r="AGY268" s="90"/>
      <c r="AGZ268" s="90"/>
      <c r="AHA268" s="90"/>
      <c r="AHB268" s="90"/>
      <c r="AHC268" s="90"/>
      <c r="AHD268" s="90"/>
      <c r="AHE268" s="90"/>
      <c r="AHF268" s="90"/>
      <c r="AHG268" s="90"/>
      <c r="AHH268" s="90"/>
      <c r="AHI268" s="90"/>
      <c r="AHJ268" s="90"/>
      <c r="AHK268" s="90"/>
      <c r="AHL268" s="90"/>
      <c r="AHM268" s="90"/>
      <c r="AHN268" s="90"/>
      <c r="AHO268" s="90"/>
      <c r="AHP268" s="90"/>
      <c r="AHQ268" s="90"/>
      <c r="AHR268" s="90"/>
      <c r="AHS268" s="90"/>
      <c r="AHT268" s="90"/>
      <c r="AHU268" s="90"/>
      <c r="AHV268" s="90"/>
      <c r="AHW268" s="90"/>
      <c r="AHX268" s="90"/>
      <c r="AHY268" s="90"/>
      <c r="AHZ268" s="90"/>
      <c r="AIA268" s="90"/>
      <c r="AIB268" s="90"/>
      <c r="AIC268" s="90"/>
      <c r="AID268" s="90"/>
      <c r="AIE268" s="90"/>
      <c r="AIF268" s="90"/>
      <c r="AIG268" s="90"/>
      <c r="AIH268" s="90"/>
      <c r="AII268" s="90"/>
      <c r="AIJ268" s="90"/>
      <c r="AIK268" s="90"/>
      <c r="AIL268" s="90"/>
      <c r="AIM268" s="90"/>
      <c r="AIN268" s="90"/>
      <c r="AIO268" s="90"/>
      <c r="AIP268" s="90"/>
      <c r="AIQ268" s="90"/>
      <c r="AIR268" s="90"/>
      <c r="AIS268" s="90"/>
      <c r="AIT268" s="90"/>
      <c r="AIU268" s="90"/>
      <c r="AIV268" s="90"/>
      <c r="AIW268" s="90"/>
      <c r="AIX268" s="90"/>
      <c r="AIY268" s="90"/>
      <c r="AIZ268" s="90"/>
      <c r="AJA268" s="90"/>
      <c r="AJB268" s="90"/>
      <c r="AJC268" s="90"/>
      <c r="AJD268" s="90"/>
      <c r="AJE268" s="90"/>
      <c r="AJF268" s="90"/>
      <c r="AJG268" s="90"/>
      <c r="AJH268" s="90"/>
      <c r="AJI268" s="90"/>
      <c r="AJJ268" s="90"/>
      <c r="AJK268" s="90"/>
      <c r="AJL268" s="90"/>
      <c r="AJM268" s="90"/>
      <c r="AJN268" s="90"/>
      <c r="AJO268" s="90"/>
      <c r="AJP268" s="90"/>
      <c r="AJQ268" s="90"/>
      <c r="AJR268" s="90"/>
      <c r="AJS268" s="90"/>
      <c r="AJT268" s="90"/>
      <c r="AJU268" s="90"/>
      <c r="AJV268" s="90"/>
      <c r="AJW268" s="90"/>
      <c r="AJX268" s="90"/>
      <c r="AJY268" s="90"/>
      <c r="AJZ268" s="90"/>
      <c r="AKA268" s="90"/>
      <c r="AKB268" s="90"/>
      <c r="AKC268" s="90"/>
      <c r="AKD268" s="90"/>
      <c r="AKE268" s="90"/>
      <c r="AKF268" s="90"/>
      <c r="AKG268" s="90"/>
      <c r="AKH268" s="90"/>
      <c r="AKI268" s="90"/>
      <c r="AKJ268" s="90"/>
      <c r="AKK268" s="90"/>
      <c r="AKL268" s="90"/>
      <c r="AKM268" s="90"/>
      <c r="AKN268" s="90"/>
      <c r="AKO268" s="90"/>
      <c r="AKP268" s="90"/>
      <c r="AKQ268" s="90"/>
      <c r="AKR268" s="90"/>
      <c r="AKS268" s="90"/>
      <c r="AKT268" s="90"/>
      <c r="AKU268" s="90"/>
      <c r="AKV268" s="90"/>
      <c r="AKW268" s="90"/>
      <c r="AKX268" s="90"/>
      <c r="AKY268" s="90"/>
      <c r="AKZ268" s="90"/>
      <c r="ALA268" s="90"/>
      <c r="ALB268" s="90"/>
      <c r="ALC268" s="90"/>
      <c r="ALD268" s="90"/>
      <c r="ALE268" s="90"/>
      <c r="ALF268" s="90"/>
      <c r="ALG268" s="90"/>
      <c r="ALH268" s="90"/>
      <c r="ALI268" s="90"/>
      <c r="ALJ268" s="90"/>
      <c r="ALK268" s="90"/>
      <c r="ALL268" s="90"/>
      <c r="ALM268" s="90"/>
      <c r="ALN268" s="90"/>
      <c r="ALO268" s="90"/>
      <c r="ALP268" s="90"/>
      <c r="ALQ268" s="90"/>
      <c r="ALR268" s="90"/>
      <c r="ALS268" s="90"/>
      <c r="ALT268" s="90"/>
      <c r="ALU268" s="90"/>
      <c r="ALV268" s="90"/>
      <c r="ALW268" s="90"/>
      <c r="ALX268" s="90"/>
      <c r="ALY268" s="90"/>
      <c r="ALZ268" s="90"/>
      <c r="AMA268" s="90"/>
      <c r="AMB268" s="90"/>
      <c r="AMC268" s="90"/>
    </row>
    <row r="269" spans="1:1017">
      <c r="A269" s="98" t="s">
        <v>51</v>
      </c>
      <c r="B269" s="90" t="str">
        <f t="shared" ref="B269:B278" si="1681">B231</f>
        <v xml:space="preserve">Udang_01 (Udang Api-Api) </v>
      </c>
      <c r="E269" s="98">
        <v>5700</v>
      </c>
      <c r="F269" s="98">
        <v>228000</v>
      </c>
      <c r="Q269" s="91">
        <f t="shared" si="1583"/>
        <v>5700</v>
      </c>
      <c r="R269" s="91">
        <f t="shared" si="1584"/>
        <v>228000</v>
      </c>
      <c r="AG269" s="91">
        <f t="shared" si="1585"/>
        <v>0</v>
      </c>
      <c r="AH269" s="91">
        <f t="shared" si="1586"/>
        <v>0</v>
      </c>
      <c r="AW269" s="91">
        <f t="shared" si="1587"/>
        <v>0</v>
      </c>
      <c r="AX269" s="91">
        <f t="shared" si="1588"/>
        <v>0</v>
      </c>
      <c r="BM269" s="91">
        <f t="shared" si="1589"/>
        <v>0</v>
      </c>
      <c r="BN269" s="91">
        <f t="shared" si="1590"/>
        <v>0</v>
      </c>
      <c r="CC269" s="91">
        <f t="shared" si="1591"/>
        <v>0</v>
      </c>
      <c r="CD269" s="91">
        <f t="shared" si="1592"/>
        <v>0</v>
      </c>
      <c r="CS269" s="91">
        <f t="shared" si="1593"/>
        <v>0</v>
      </c>
      <c r="CT269" s="91">
        <f t="shared" si="1594"/>
        <v>0</v>
      </c>
      <c r="DI269" s="91">
        <f t="shared" si="1595"/>
        <v>0</v>
      </c>
      <c r="DJ269" s="91">
        <f t="shared" si="1596"/>
        <v>0</v>
      </c>
      <c r="DY269" s="91">
        <f t="shared" si="1597"/>
        <v>0</v>
      </c>
      <c r="DZ269" s="91">
        <f t="shared" si="1598"/>
        <v>0</v>
      </c>
      <c r="EO269" s="91">
        <f t="shared" si="1599"/>
        <v>0</v>
      </c>
      <c r="EP269" s="91">
        <f t="shared" si="1600"/>
        <v>0</v>
      </c>
      <c r="FE269" s="91">
        <f t="shared" si="1601"/>
        <v>0</v>
      </c>
      <c r="FF269" s="91">
        <f t="shared" si="1602"/>
        <v>0</v>
      </c>
      <c r="FU269" s="91">
        <f t="shared" si="1603"/>
        <v>0</v>
      </c>
      <c r="FV269" s="91">
        <f t="shared" si="1604"/>
        <v>0</v>
      </c>
      <c r="GK269" s="91">
        <f t="shared" si="1605"/>
        <v>0</v>
      </c>
      <c r="GL269" s="91">
        <f t="shared" si="1606"/>
        <v>0</v>
      </c>
      <c r="HA269" s="91">
        <f t="shared" si="1607"/>
        <v>0</v>
      </c>
      <c r="HB269" s="91">
        <f t="shared" si="1608"/>
        <v>0</v>
      </c>
      <c r="HQ269" s="91">
        <f t="shared" si="1609"/>
        <v>0</v>
      </c>
      <c r="HR269" s="91">
        <f t="shared" si="1610"/>
        <v>0</v>
      </c>
      <c r="IG269" s="91">
        <f t="shared" si="1611"/>
        <v>0</v>
      </c>
      <c r="IH269" s="91">
        <f t="shared" si="1612"/>
        <v>0</v>
      </c>
      <c r="IW269" s="91">
        <f t="shared" si="1613"/>
        <v>0</v>
      </c>
      <c r="IX269" s="91">
        <f t="shared" si="1614"/>
        <v>0</v>
      </c>
      <c r="JM269" s="91">
        <f t="shared" si="1615"/>
        <v>0</v>
      </c>
      <c r="JN269" s="91">
        <f t="shared" si="1616"/>
        <v>0</v>
      </c>
      <c r="KC269" s="91">
        <f t="shared" si="1617"/>
        <v>0</v>
      </c>
      <c r="KD269" s="91">
        <f t="shared" si="1618"/>
        <v>0</v>
      </c>
      <c r="KS269" s="91">
        <f t="shared" si="1619"/>
        <v>0</v>
      </c>
      <c r="KT269" s="91">
        <f t="shared" si="1620"/>
        <v>0</v>
      </c>
      <c r="LI269" s="91">
        <f t="shared" si="1621"/>
        <v>0</v>
      </c>
      <c r="LJ269" s="91">
        <f t="shared" si="1622"/>
        <v>0</v>
      </c>
      <c r="LY269" s="91">
        <f t="shared" si="1623"/>
        <v>0</v>
      </c>
      <c r="LZ269" s="91">
        <f t="shared" si="1624"/>
        <v>0</v>
      </c>
      <c r="MC269" s="98">
        <v>4360</v>
      </c>
      <c r="MD269" s="98">
        <v>174400</v>
      </c>
      <c r="MO269" s="91">
        <f t="shared" si="1625"/>
        <v>4360</v>
      </c>
      <c r="MP269" s="91">
        <f t="shared" si="1626"/>
        <v>174400</v>
      </c>
      <c r="NE269" s="91">
        <f t="shared" si="1627"/>
        <v>0</v>
      </c>
      <c r="NF269" s="91">
        <f t="shared" si="1628"/>
        <v>0</v>
      </c>
      <c r="NI269" s="98">
        <v>29300</v>
      </c>
      <c r="NJ269" s="98">
        <v>1318500</v>
      </c>
      <c r="NU269" s="91">
        <f t="shared" si="1629"/>
        <v>29300</v>
      </c>
      <c r="NV269" s="91">
        <f t="shared" si="1630"/>
        <v>1318500</v>
      </c>
      <c r="OK269" s="91">
        <f t="shared" si="1631"/>
        <v>0</v>
      </c>
      <c r="OL269" s="91">
        <f t="shared" si="1632"/>
        <v>0</v>
      </c>
      <c r="PA269" s="91">
        <f t="shared" si="1633"/>
        <v>0</v>
      </c>
      <c r="PB269" s="91">
        <f t="shared" si="1634"/>
        <v>0</v>
      </c>
      <c r="PQ269" s="91">
        <f t="shared" si="1635"/>
        <v>0</v>
      </c>
      <c r="PR269" s="91">
        <f t="shared" si="1636"/>
        <v>0</v>
      </c>
      <c r="QG269" s="91">
        <f t="shared" si="1637"/>
        <v>0</v>
      </c>
      <c r="QH269" s="91">
        <f t="shared" si="1638"/>
        <v>0</v>
      </c>
      <c r="QW269" s="91">
        <f t="shared" si="1639"/>
        <v>0</v>
      </c>
      <c r="QX269" s="91">
        <f t="shared" si="1640"/>
        <v>0</v>
      </c>
      <c r="RM269" s="91">
        <f t="shared" si="1641"/>
        <v>0</v>
      </c>
      <c r="RN269" s="91">
        <f t="shared" si="1642"/>
        <v>0</v>
      </c>
      <c r="SC269" s="91">
        <f t="shared" si="1643"/>
        <v>0</v>
      </c>
      <c r="SD269" s="91">
        <f t="shared" si="1644"/>
        <v>0</v>
      </c>
      <c r="SS269" s="91">
        <f t="shared" si="1645"/>
        <v>0</v>
      </c>
      <c r="ST269" s="91">
        <f t="shared" si="1646"/>
        <v>0</v>
      </c>
      <c r="TI269" s="91">
        <f t="shared" si="1647"/>
        <v>0</v>
      </c>
      <c r="TJ269" s="91">
        <f t="shared" si="1648"/>
        <v>0</v>
      </c>
      <c r="TY269" s="91">
        <f t="shared" si="1649"/>
        <v>0</v>
      </c>
      <c r="TZ269" s="91">
        <f t="shared" si="1650"/>
        <v>0</v>
      </c>
      <c r="UO269" s="91">
        <f t="shared" si="1651"/>
        <v>0</v>
      </c>
      <c r="UP269" s="91">
        <f t="shared" si="1652"/>
        <v>0</v>
      </c>
      <c r="VE269" s="91">
        <f t="shared" si="1653"/>
        <v>0</v>
      </c>
      <c r="VF269" s="91">
        <f t="shared" si="1654"/>
        <v>0</v>
      </c>
      <c r="VU269" s="91">
        <f t="shared" si="1655"/>
        <v>0</v>
      </c>
      <c r="VV269" s="91">
        <f t="shared" si="1656"/>
        <v>0</v>
      </c>
      <c r="WK269" s="91">
        <f t="shared" si="1657"/>
        <v>0</v>
      </c>
      <c r="WL269" s="91">
        <f t="shared" si="1658"/>
        <v>0</v>
      </c>
      <c r="WM269" s="89"/>
      <c r="WN269" s="87">
        <f t="shared" si="1659"/>
        <v>0</v>
      </c>
      <c r="WO269" s="87">
        <f t="shared" si="1660"/>
        <v>0</v>
      </c>
      <c r="WP269" s="87">
        <f t="shared" si="1661"/>
        <v>39360</v>
      </c>
      <c r="WQ269" s="87">
        <f t="shared" si="1662"/>
        <v>1720900</v>
      </c>
      <c r="WR269" s="87">
        <f t="shared" si="1663"/>
        <v>0</v>
      </c>
      <c r="WS269" s="87">
        <f t="shared" si="1664"/>
        <v>0</v>
      </c>
      <c r="WT269" s="87">
        <f t="shared" si="1665"/>
        <v>0</v>
      </c>
      <c r="WU269" s="87">
        <f t="shared" si="1666"/>
        <v>0</v>
      </c>
      <c r="WV269" s="87">
        <f t="shared" si="1667"/>
        <v>0</v>
      </c>
      <c r="WW269" s="87">
        <f t="shared" si="1668"/>
        <v>0</v>
      </c>
      <c r="WX269" s="87">
        <f t="shared" si="1669"/>
        <v>0</v>
      </c>
      <c r="WY269" s="87">
        <f t="shared" si="1670"/>
        <v>0</v>
      </c>
      <c r="WZ269" s="87">
        <f t="shared" si="1677"/>
        <v>0</v>
      </c>
      <c r="XA269" s="87">
        <f t="shared" si="1678"/>
        <v>0</v>
      </c>
      <c r="XB269" s="92">
        <f t="shared" si="1679"/>
        <v>39360</v>
      </c>
      <c r="XC269" s="92">
        <f t="shared" si="1680"/>
        <v>1720900</v>
      </c>
      <c r="XD269" s="89"/>
      <c r="XE269" s="92"/>
      <c r="XF269" s="92"/>
      <c r="XG269" s="89"/>
      <c r="XH269" s="92"/>
      <c r="XI269" s="92"/>
      <c r="XJ269" s="89"/>
      <c r="XK269" s="87"/>
      <c r="XL269" s="87"/>
      <c r="XM269" s="87"/>
      <c r="XN269" s="87"/>
      <c r="XO269" s="87"/>
      <c r="XP269" s="87"/>
      <c r="XQ269" s="87"/>
      <c r="XR269" s="92">
        <f t="shared" ca="1" si="1675"/>
        <v>0</v>
      </c>
      <c r="XS269" s="89"/>
      <c r="XT269" s="87"/>
      <c r="XU269" s="87"/>
      <c r="XV269" s="87"/>
      <c r="XW269" s="87"/>
      <c r="XX269" s="87"/>
      <c r="XY269" s="87"/>
      <c r="XZ269" s="87"/>
      <c r="YA269" s="92">
        <f t="shared" ca="1" si="1676"/>
        <v>0</v>
      </c>
      <c r="YB269" s="90"/>
      <c r="YC269" s="90"/>
      <c r="YD269" s="90"/>
      <c r="YE269" s="90"/>
      <c r="YF269" s="90"/>
      <c r="YG269" s="90"/>
      <c r="YH269" s="90"/>
      <c r="YI269" s="90"/>
      <c r="YJ269" s="90"/>
      <c r="YK269" s="90"/>
      <c r="YL269" s="90"/>
      <c r="YM269" s="90"/>
      <c r="YN269" s="90"/>
      <c r="YO269" s="90"/>
      <c r="YP269" s="90"/>
      <c r="YQ269" s="90"/>
      <c r="YR269" s="90"/>
      <c r="YS269" s="90"/>
      <c r="YT269" s="90"/>
      <c r="YU269" s="90"/>
      <c r="YV269" s="90"/>
      <c r="YW269" s="90"/>
      <c r="YX269" s="90"/>
      <c r="YY269" s="90"/>
      <c r="YZ269" s="90"/>
      <c r="ZA269" s="90"/>
      <c r="ZB269" s="90"/>
      <c r="ZC269" s="90"/>
      <c r="ZD269" s="90"/>
      <c r="ZE269" s="90"/>
      <c r="ZF269" s="90"/>
      <c r="ZG269" s="90"/>
      <c r="ZH269" s="90"/>
      <c r="ZI269" s="90"/>
      <c r="ZJ269" s="90"/>
      <c r="ZK269" s="90"/>
      <c r="ZL269" s="90"/>
      <c r="ZM269" s="90"/>
      <c r="ZN269" s="90"/>
      <c r="ZO269" s="90"/>
      <c r="ZP269" s="90"/>
      <c r="ZQ269" s="90"/>
      <c r="ZR269" s="90"/>
      <c r="ZS269" s="90"/>
      <c r="ZT269" s="90"/>
      <c r="ZU269" s="90"/>
      <c r="ZV269" s="90"/>
      <c r="ZW269" s="90"/>
      <c r="ZX269" s="90"/>
      <c r="ZY269" s="90"/>
      <c r="ZZ269" s="90"/>
      <c r="AAA269" s="90"/>
      <c r="AAB269" s="90"/>
      <c r="AAC269" s="90"/>
      <c r="AAD269" s="90"/>
      <c r="AAE269" s="90"/>
      <c r="AAF269" s="90"/>
      <c r="AAG269" s="90"/>
      <c r="AAH269" s="90"/>
      <c r="AAI269" s="90"/>
      <c r="AAJ269" s="90"/>
      <c r="AAK269" s="90"/>
      <c r="AAL269" s="90"/>
      <c r="AAM269" s="90"/>
      <c r="AAN269" s="90"/>
      <c r="AAO269" s="90"/>
      <c r="AAP269" s="90"/>
      <c r="AAQ269" s="90"/>
      <c r="AAR269" s="90"/>
      <c r="AAS269" s="90"/>
      <c r="AAT269" s="90"/>
      <c r="AAU269" s="90"/>
      <c r="AAV269" s="90"/>
      <c r="AAW269" s="90"/>
      <c r="AAX269" s="90"/>
      <c r="AAY269" s="90"/>
      <c r="AAZ269" s="90"/>
      <c r="ABA269" s="90"/>
      <c r="ABB269" s="90"/>
      <c r="ABC269" s="90"/>
      <c r="ABD269" s="90"/>
      <c r="ABE269" s="90"/>
      <c r="ABF269" s="90"/>
      <c r="ABG269" s="90"/>
      <c r="ABH269" s="90"/>
      <c r="ABI269" s="90"/>
      <c r="ABJ269" s="90"/>
      <c r="ABK269" s="90"/>
      <c r="ABL269" s="90"/>
      <c r="ABM269" s="90"/>
      <c r="ABN269" s="90"/>
      <c r="ABO269" s="90"/>
      <c r="ABP269" s="90"/>
      <c r="ABQ269" s="90"/>
      <c r="ABR269" s="90"/>
      <c r="ABS269" s="90"/>
      <c r="ABT269" s="90"/>
      <c r="ABU269" s="90"/>
      <c r="ABV269" s="90"/>
      <c r="ABW269" s="90"/>
      <c r="ABX269" s="90"/>
      <c r="ABY269" s="90"/>
      <c r="ABZ269" s="90"/>
      <c r="ACA269" s="90"/>
      <c r="ACB269" s="90"/>
      <c r="ACC269" s="90"/>
      <c r="ACD269" s="90"/>
      <c r="ACE269" s="90"/>
      <c r="ACF269" s="90"/>
      <c r="ACG269" s="90"/>
      <c r="ACH269" s="90"/>
      <c r="ACI269" s="90"/>
      <c r="ACJ269" s="90"/>
      <c r="ACK269" s="90"/>
      <c r="ACL269" s="90"/>
      <c r="ACM269" s="90"/>
      <c r="ACN269" s="90"/>
      <c r="ACO269" s="90"/>
      <c r="ACP269" s="90"/>
      <c r="ACQ269" s="90"/>
      <c r="ACR269" s="90"/>
      <c r="ACS269" s="90"/>
      <c r="ACT269" s="90"/>
      <c r="ACU269" s="90"/>
      <c r="ACV269" s="90"/>
      <c r="ACW269" s="90"/>
      <c r="ACX269" s="90"/>
      <c r="ACY269" s="90"/>
      <c r="ACZ269" s="90"/>
      <c r="ADA269" s="90"/>
      <c r="ADB269" s="90"/>
      <c r="ADC269" s="90"/>
      <c r="ADD269" s="90"/>
      <c r="ADE269" s="90"/>
      <c r="ADF269" s="90"/>
      <c r="ADG269" s="90"/>
      <c r="ADH269" s="90"/>
      <c r="ADI269" s="90"/>
      <c r="ADJ269" s="90"/>
      <c r="ADK269" s="90"/>
      <c r="ADL269" s="90"/>
      <c r="ADM269" s="90"/>
      <c r="ADN269" s="90"/>
      <c r="ADO269" s="90"/>
      <c r="ADP269" s="90"/>
      <c r="ADQ269" s="90"/>
      <c r="ADR269" s="90"/>
      <c r="ADS269" s="90"/>
      <c r="ADT269" s="90"/>
      <c r="ADU269" s="90"/>
      <c r="ADV269" s="90"/>
      <c r="ADW269" s="90"/>
      <c r="ADX269" s="90"/>
      <c r="ADY269" s="90"/>
      <c r="ADZ269" s="90"/>
      <c r="AEA269" s="90"/>
      <c r="AEB269" s="90"/>
      <c r="AEC269" s="90"/>
      <c r="AED269" s="90"/>
      <c r="AEE269" s="90"/>
      <c r="AEF269" s="90"/>
      <c r="AEG269" s="90"/>
      <c r="AEH269" s="90"/>
      <c r="AEI269" s="90"/>
      <c r="AEJ269" s="90"/>
      <c r="AEK269" s="90"/>
      <c r="AEL269" s="90"/>
      <c r="AEM269" s="90"/>
      <c r="AEN269" s="90"/>
      <c r="AEO269" s="90"/>
      <c r="AEP269" s="90"/>
      <c r="AEQ269" s="90"/>
      <c r="AER269" s="90"/>
      <c r="AES269" s="90"/>
      <c r="AET269" s="90"/>
      <c r="AEU269" s="90"/>
      <c r="AEV269" s="90"/>
      <c r="AEW269" s="90"/>
      <c r="AEX269" s="90"/>
      <c r="AEY269" s="90"/>
      <c r="AEZ269" s="90"/>
      <c r="AFA269" s="90"/>
      <c r="AFB269" s="90"/>
      <c r="AFC269" s="90"/>
      <c r="AFD269" s="90"/>
      <c r="AFE269" s="90"/>
      <c r="AFF269" s="90"/>
      <c r="AFG269" s="90"/>
      <c r="AFH269" s="90"/>
      <c r="AFI269" s="90"/>
      <c r="AFJ269" s="90"/>
      <c r="AFK269" s="90"/>
      <c r="AFL269" s="90"/>
      <c r="AFM269" s="90"/>
      <c r="AFN269" s="90"/>
      <c r="AFO269" s="90"/>
      <c r="AFP269" s="90"/>
      <c r="AFQ269" s="90"/>
      <c r="AFR269" s="90"/>
      <c r="AFS269" s="90"/>
      <c r="AFT269" s="90"/>
      <c r="AFU269" s="90"/>
      <c r="AFV269" s="90"/>
      <c r="AFW269" s="90"/>
      <c r="AFX269" s="90"/>
      <c r="AFY269" s="90"/>
      <c r="AFZ269" s="90"/>
      <c r="AGA269" s="90"/>
      <c r="AGB269" s="90"/>
      <c r="AGC269" s="90"/>
      <c r="AGD269" s="90"/>
      <c r="AGE269" s="90"/>
      <c r="AGF269" s="90"/>
      <c r="AGG269" s="90"/>
      <c r="AGH269" s="90"/>
      <c r="AGI269" s="90"/>
      <c r="AGJ269" s="90"/>
      <c r="AGK269" s="90"/>
      <c r="AGL269" s="90"/>
      <c r="AGM269" s="90"/>
      <c r="AGN269" s="90"/>
      <c r="AGO269" s="90"/>
      <c r="AGP269" s="90"/>
      <c r="AGQ269" s="90"/>
      <c r="AGR269" s="90"/>
      <c r="AGS269" s="90"/>
      <c r="AGT269" s="90"/>
      <c r="AGU269" s="90"/>
      <c r="AGV269" s="90"/>
      <c r="AGW269" s="90"/>
      <c r="AGX269" s="90"/>
      <c r="AGY269" s="90"/>
      <c r="AGZ269" s="90"/>
      <c r="AHA269" s="90"/>
      <c r="AHB269" s="90"/>
      <c r="AHC269" s="90"/>
      <c r="AHD269" s="90"/>
      <c r="AHE269" s="90"/>
      <c r="AHF269" s="90"/>
      <c r="AHG269" s="90"/>
      <c r="AHH269" s="90"/>
      <c r="AHI269" s="90"/>
      <c r="AHJ269" s="90"/>
      <c r="AHK269" s="90"/>
      <c r="AHL269" s="90"/>
      <c r="AHM269" s="90"/>
      <c r="AHN269" s="90"/>
      <c r="AHO269" s="90"/>
      <c r="AHP269" s="90"/>
      <c r="AHQ269" s="90"/>
      <c r="AHR269" s="90"/>
      <c r="AHS269" s="90"/>
      <c r="AHT269" s="90"/>
      <c r="AHU269" s="90"/>
      <c r="AHV269" s="90"/>
      <c r="AHW269" s="90"/>
      <c r="AHX269" s="90"/>
      <c r="AHY269" s="90"/>
      <c r="AHZ269" s="90"/>
      <c r="AIA269" s="90"/>
      <c r="AIB269" s="90"/>
      <c r="AIC269" s="90"/>
      <c r="AID269" s="90"/>
      <c r="AIE269" s="90"/>
      <c r="AIF269" s="90"/>
      <c r="AIG269" s="90"/>
      <c r="AIH269" s="90"/>
      <c r="AII269" s="90"/>
      <c r="AIJ269" s="90"/>
      <c r="AIK269" s="90"/>
      <c r="AIL269" s="90"/>
      <c r="AIM269" s="90"/>
      <c r="AIN269" s="90"/>
      <c r="AIO269" s="90"/>
      <c r="AIP269" s="90"/>
      <c r="AIQ269" s="90"/>
      <c r="AIR269" s="90"/>
      <c r="AIS269" s="90"/>
      <c r="AIT269" s="90"/>
      <c r="AIU269" s="90"/>
      <c r="AIV269" s="90"/>
      <c r="AIW269" s="90"/>
      <c r="AIX269" s="90"/>
      <c r="AIY269" s="90"/>
      <c r="AIZ269" s="90"/>
      <c r="AJA269" s="90"/>
      <c r="AJB269" s="90"/>
      <c r="AJC269" s="90"/>
      <c r="AJD269" s="90"/>
      <c r="AJE269" s="90"/>
      <c r="AJF269" s="90"/>
      <c r="AJG269" s="90"/>
      <c r="AJH269" s="90"/>
      <c r="AJI269" s="90"/>
      <c r="AJJ269" s="90"/>
      <c r="AJK269" s="90"/>
      <c r="AJL269" s="90"/>
      <c r="AJM269" s="90"/>
      <c r="AJN269" s="90"/>
      <c r="AJO269" s="90"/>
      <c r="AJP269" s="90"/>
      <c r="AJQ269" s="90"/>
      <c r="AJR269" s="90"/>
      <c r="AJS269" s="90"/>
      <c r="AJT269" s="90"/>
      <c r="AJU269" s="90"/>
      <c r="AJV269" s="90"/>
      <c r="AJW269" s="90"/>
      <c r="AJX269" s="90"/>
      <c r="AJY269" s="90"/>
      <c r="AJZ269" s="90"/>
      <c r="AKA269" s="90"/>
      <c r="AKB269" s="90"/>
      <c r="AKC269" s="90"/>
      <c r="AKD269" s="90"/>
      <c r="AKE269" s="90"/>
      <c r="AKF269" s="90"/>
      <c r="AKG269" s="90"/>
      <c r="AKH269" s="90"/>
      <c r="AKI269" s="90"/>
      <c r="AKJ269" s="90"/>
      <c r="AKK269" s="90"/>
      <c r="AKL269" s="90"/>
      <c r="AKM269" s="90"/>
      <c r="AKN269" s="90"/>
      <c r="AKO269" s="90"/>
      <c r="AKP269" s="90"/>
      <c r="AKQ269" s="90"/>
      <c r="AKR269" s="90"/>
      <c r="AKS269" s="90"/>
      <c r="AKT269" s="90"/>
      <c r="AKU269" s="90"/>
      <c r="AKV269" s="90"/>
      <c r="AKW269" s="90"/>
      <c r="AKX269" s="90"/>
      <c r="AKY269" s="90"/>
      <c r="AKZ269" s="90"/>
      <c r="ALA269" s="90"/>
      <c r="ALB269" s="90"/>
      <c r="ALC269" s="90"/>
      <c r="ALD269" s="90"/>
      <c r="ALE269" s="90"/>
      <c r="ALF269" s="90"/>
      <c r="ALG269" s="90"/>
      <c r="ALH269" s="90"/>
      <c r="ALI269" s="90"/>
      <c r="ALJ269" s="90"/>
      <c r="ALK269" s="90"/>
      <c r="ALL269" s="90"/>
      <c r="ALM269" s="90"/>
      <c r="ALN269" s="90"/>
      <c r="ALO269" s="90"/>
      <c r="ALP269" s="90"/>
      <c r="ALQ269" s="90"/>
      <c r="ALR269" s="90"/>
      <c r="ALS269" s="90"/>
      <c r="ALT269" s="90"/>
      <c r="ALU269" s="90"/>
      <c r="ALV269" s="90"/>
      <c r="ALW269" s="90"/>
      <c r="ALX269" s="90"/>
      <c r="ALY269" s="90"/>
      <c r="ALZ269" s="90"/>
      <c r="AMA269" s="90"/>
      <c r="AMB269" s="90"/>
      <c r="AMC269" s="90"/>
    </row>
    <row r="270" spans="1:1017">
      <c r="A270" s="98" t="s">
        <v>51</v>
      </c>
      <c r="B270" s="90" t="str">
        <f t="shared" si="1681"/>
        <v xml:space="preserve">Udang_02 (Udang Rebon) </v>
      </c>
      <c r="Q270" s="91">
        <f t="shared" si="1583"/>
        <v>0</v>
      </c>
      <c r="R270" s="91">
        <f t="shared" si="1584"/>
        <v>0</v>
      </c>
      <c r="AG270" s="91">
        <f t="shared" si="1585"/>
        <v>0</v>
      </c>
      <c r="AH270" s="91">
        <f t="shared" si="1586"/>
        <v>0</v>
      </c>
      <c r="AW270" s="91">
        <f t="shared" si="1587"/>
        <v>0</v>
      </c>
      <c r="AX270" s="91">
        <f t="shared" si="1588"/>
        <v>0</v>
      </c>
      <c r="BM270" s="91">
        <f t="shared" si="1589"/>
        <v>0</v>
      </c>
      <c r="BN270" s="91">
        <f t="shared" si="1590"/>
        <v>0</v>
      </c>
      <c r="CC270" s="91">
        <f t="shared" si="1591"/>
        <v>0</v>
      </c>
      <c r="CD270" s="91">
        <f t="shared" si="1592"/>
        <v>0</v>
      </c>
      <c r="CS270" s="91">
        <f t="shared" si="1593"/>
        <v>0</v>
      </c>
      <c r="CT270" s="91">
        <f t="shared" si="1594"/>
        <v>0</v>
      </c>
      <c r="DI270" s="91">
        <f t="shared" si="1595"/>
        <v>0</v>
      </c>
      <c r="DJ270" s="91">
        <f t="shared" si="1596"/>
        <v>0</v>
      </c>
      <c r="DY270" s="91">
        <f t="shared" si="1597"/>
        <v>0</v>
      </c>
      <c r="DZ270" s="91">
        <f t="shared" si="1598"/>
        <v>0</v>
      </c>
      <c r="EO270" s="91">
        <f t="shared" si="1599"/>
        <v>0</v>
      </c>
      <c r="EP270" s="91">
        <f t="shared" si="1600"/>
        <v>0</v>
      </c>
      <c r="FE270" s="91">
        <f t="shared" si="1601"/>
        <v>0</v>
      </c>
      <c r="FF270" s="91">
        <f t="shared" si="1602"/>
        <v>0</v>
      </c>
      <c r="FU270" s="91">
        <f t="shared" si="1603"/>
        <v>0</v>
      </c>
      <c r="FV270" s="91">
        <f t="shared" si="1604"/>
        <v>0</v>
      </c>
      <c r="GK270" s="91">
        <f t="shared" si="1605"/>
        <v>0</v>
      </c>
      <c r="GL270" s="91">
        <f t="shared" si="1606"/>
        <v>0</v>
      </c>
      <c r="HA270" s="91">
        <f t="shared" si="1607"/>
        <v>0</v>
      </c>
      <c r="HB270" s="91">
        <f t="shared" si="1608"/>
        <v>0</v>
      </c>
      <c r="HQ270" s="91">
        <f t="shared" si="1609"/>
        <v>0</v>
      </c>
      <c r="HR270" s="91">
        <f t="shared" si="1610"/>
        <v>0</v>
      </c>
      <c r="IG270" s="91">
        <f t="shared" si="1611"/>
        <v>0</v>
      </c>
      <c r="IH270" s="91">
        <f t="shared" si="1612"/>
        <v>0</v>
      </c>
      <c r="IW270" s="91">
        <f t="shared" si="1613"/>
        <v>0</v>
      </c>
      <c r="IX270" s="91">
        <f t="shared" si="1614"/>
        <v>0</v>
      </c>
      <c r="JM270" s="91">
        <f t="shared" si="1615"/>
        <v>0</v>
      </c>
      <c r="JN270" s="91">
        <f t="shared" si="1616"/>
        <v>0</v>
      </c>
      <c r="KC270" s="91">
        <f t="shared" si="1617"/>
        <v>0</v>
      </c>
      <c r="KD270" s="91">
        <f t="shared" si="1618"/>
        <v>0</v>
      </c>
      <c r="KS270" s="91">
        <f t="shared" si="1619"/>
        <v>0</v>
      </c>
      <c r="KT270" s="91">
        <f t="shared" si="1620"/>
        <v>0</v>
      </c>
      <c r="LI270" s="91">
        <f t="shared" si="1621"/>
        <v>0</v>
      </c>
      <c r="LJ270" s="91">
        <f t="shared" si="1622"/>
        <v>0</v>
      </c>
      <c r="LY270" s="91">
        <f t="shared" si="1623"/>
        <v>0</v>
      </c>
      <c r="LZ270" s="91">
        <f t="shared" si="1624"/>
        <v>0</v>
      </c>
      <c r="MO270" s="91">
        <f t="shared" si="1625"/>
        <v>0</v>
      </c>
      <c r="MP270" s="91">
        <f t="shared" si="1626"/>
        <v>0</v>
      </c>
      <c r="NE270" s="91">
        <f t="shared" si="1627"/>
        <v>0</v>
      </c>
      <c r="NF270" s="91">
        <f t="shared" si="1628"/>
        <v>0</v>
      </c>
      <c r="NI270" s="98">
        <v>107100</v>
      </c>
      <c r="NJ270" s="98">
        <v>4284000</v>
      </c>
      <c r="NU270" s="91">
        <f t="shared" si="1629"/>
        <v>107100</v>
      </c>
      <c r="NV270" s="91">
        <f t="shared" si="1630"/>
        <v>4284000</v>
      </c>
      <c r="OK270" s="91">
        <f t="shared" si="1631"/>
        <v>0</v>
      </c>
      <c r="OL270" s="91">
        <f t="shared" si="1632"/>
        <v>0</v>
      </c>
      <c r="PA270" s="91">
        <f t="shared" si="1633"/>
        <v>0</v>
      </c>
      <c r="PB270" s="91">
        <f t="shared" si="1634"/>
        <v>0</v>
      </c>
      <c r="PQ270" s="91">
        <f t="shared" si="1635"/>
        <v>0</v>
      </c>
      <c r="PR270" s="91">
        <f t="shared" si="1636"/>
        <v>0</v>
      </c>
      <c r="QG270" s="91">
        <f t="shared" si="1637"/>
        <v>0</v>
      </c>
      <c r="QH270" s="91">
        <f t="shared" si="1638"/>
        <v>0</v>
      </c>
      <c r="QW270" s="91">
        <f t="shared" si="1639"/>
        <v>0</v>
      </c>
      <c r="QX270" s="91">
        <f t="shared" si="1640"/>
        <v>0</v>
      </c>
      <c r="RM270" s="91">
        <f t="shared" si="1641"/>
        <v>0</v>
      </c>
      <c r="RN270" s="91">
        <f t="shared" si="1642"/>
        <v>0</v>
      </c>
      <c r="SC270" s="91">
        <f t="shared" si="1643"/>
        <v>0</v>
      </c>
      <c r="SD270" s="91">
        <f t="shared" si="1644"/>
        <v>0</v>
      </c>
      <c r="SS270" s="91">
        <f t="shared" si="1645"/>
        <v>0</v>
      </c>
      <c r="ST270" s="91">
        <f t="shared" si="1646"/>
        <v>0</v>
      </c>
      <c r="TI270" s="91">
        <f t="shared" si="1647"/>
        <v>0</v>
      </c>
      <c r="TJ270" s="91">
        <f t="shared" si="1648"/>
        <v>0</v>
      </c>
      <c r="TY270" s="91">
        <f t="shared" si="1649"/>
        <v>0</v>
      </c>
      <c r="TZ270" s="91">
        <f t="shared" si="1650"/>
        <v>0</v>
      </c>
      <c r="UO270" s="91">
        <f t="shared" si="1651"/>
        <v>0</v>
      </c>
      <c r="UP270" s="91">
        <f t="shared" si="1652"/>
        <v>0</v>
      </c>
      <c r="VE270" s="91">
        <f t="shared" si="1653"/>
        <v>0</v>
      </c>
      <c r="VF270" s="91">
        <f t="shared" si="1654"/>
        <v>0</v>
      </c>
      <c r="VU270" s="91">
        <f t="shared" si="1655"/>
        <v>0</v>
      </c>
      <c r="VV270" s="91">
        <f t="shared" si="1656"/>
        <v>0</v>
      </c>
      <c r="WK270" s="91">
        <f t="shared" si="1657"/>
        <v>0</v>
      </c>
      <c r="WL270" s="91">
        <f t="shared" si="1658"/>
        <v>0</v>
      </c>
      <c r="WM270" s="89"/>
      <c r="WN270" s="87">
        <f t="shared" ref="WN270:WN278" si="1682">SUMIF($C$5:$WL$5,$WN$5,C270:WL270)</f>
        <v>0</v>
      </c>
      <c r="WO270" s="87">
        <f t="shared" ref="WO270:WO278" si="1683">SUMIF($C$5:$WL$5,$WO$5,C270:WL270)</f>
        <v>0</v>
      </c>
      <c r="WP270" s="87">
        <f t="shared" ref="WP270:WP278" si="1684">SUMIF($C$5:$WL$5,$WP$5,C270:WL270)</f>
        <v>107100</v>
      </c>
      <c r="WQ270" s="87">
        <f t="shared" ref="WQ270:WQ278" si="1685">SUMIF($C$5:$WL$5,$WQ$5,C270:WL270)</f>
        <v>4284000</v>
      </c>
      <c r="WR270" s="87">
        <f t="shared" ref="WR270:WR278" si="1686">SUMIF($C$5:$WL$5,$WR$5,C270:WL270)</f>
        <v>0</v>
      </c>
      <c r="WS270" s="87">
        <f t="shared" ref="WS270:WS278" si="1687">SUMIF($C$5:$WL$5,$WS$5,C270:WL270)</f>
        <v>0</v>
      </c>
      <c r="WT270" s="87">
        <f t="shared" ref="WT270:WT278" si="1688">SUMIF($C$5:$WL$5,$WT$5,C270:WL270)</f>
        <v>0</v>
      </c>
      <c r="WU270" s="87">
        <f t="shared" ref="WU270:WU278" si="1689">SUMIF($C$5:$WL$5,$WU$5,C270:WL270)</f>
        <v>0</v>
      </c>
      <c r="WV270" s="87">
        <f t="shared" ref="WV270:WV278" si="1690">SUMIF($C$5:$WL$5,$WV$5,C270:WL270)</f>
        <v>0</v>
      </c>
      <c r="WW270" s="87">
        <f t="shared" ref="WW270:WW278" si="1691">SUMIF($C$5:$WL$5,$WW$5,C270:WL270)</f>
        <v>0</v>
      </c>
      <c r="WX270" s="87">
        <f t="shared" ref="WX270:WX278" si="1692">SUMIF($C$5:$WL$5,$WX$5,C270:WL270)</f>
        <v>0</v>
      </c>
      <c r="WY270" s="87">
        <f t="shared" ref="WY270:WY278" si="1693">SUMIF($C$5:$WL$5,$WY$5,C270:WL270)</f>
        <v>0</v>
      </c>
      <c r="WZ270" s="87">
        <f t="shared" si="1677"/>
        <v>0</v>
      </c>
      <c r="XA270" s="87">
        <f t="shared" si="1678"/>
        <v>0</v>
      </c>
      <c r="XB270" s="92">
        <f t="shared" si="1679"/>
        <v>107100</v>
      </c>
      <c r="XC270" s="92">
        <f t="shared" si="1680"/>
        <v>4284000</v>
      </c>
      <c r="XD270" s="89"/>
      <c r="XE270" s="92"/>
      <c r="XF270" s="92"/>
      <c r="XG270" s="89"/>
      <c r="XH270" s="92"/>
      <c r="XI270" s="92"/>
      <c r="XJ270" s="89"/>
      <c r="XK270" s="87"/>
      <c r="XL270" s="87"/>
      <c r="XM270" s="87"/>
      <c r="XN270" s="87"/>
      <c r="XO270" s="87"/>
      <c r="XP270" s="87"/>
      <c r="XQ270" s="87"/>
      <c r="XR270" s="92">
        <f t="shared" ca="1" si="1675"/>
        <v>0</v>
      </c>
      <c r="XS270" s="89"/>
      <c r="XT270" s="87"/>
      <c r="XU270" s="87"/>
      <c r="XV270" s="87"/>
      <c r="XW270" s="87"/>
      <c r="XX270" s="87"/>
      <c r="XY270" s="87"/>
      <c r="XZ270" s="87"/>
      <c r="YA270" s="92">
        <f t="shared" ca="1" si="1676"/>
        <v>0</v>
      </c>
      <c r="YB270" s="90"/>
      <c r="YC270" s="90"/>
      <c r="YD270" s="90"/>
      <c r="YE270" s="90"/>
      <c r="YF270" s="90"/>
      <c r="YG270" s="90"/>
      <c r="YH270" s="90"/>
      <c r="YI270" s="90"/>
      <c r="YJ270" s="90"/>
      <c r="YK270" s="90"/>
      <c r="YL270" s="90"/>
      <c r="YM270" s="90"/>
      <c r="YN270" s="90"/>
      <c r="YO270" s="90"/>
      <c r="YP270" s="90"/>
      <c r="YQ270" s="90"/>
      <c r="YR270" s="90"/>
      <c r="YS270" s="90"/>
      <c r="YT270" s="90"/>
      <c r="YU270" s="90"/>
      <c r="YV270" s="90"/>
      <c r="YW270" s="90"/>
      <c r="YX270" s="90"/>
      <c r="YY270" s="90"/>
      <c r="YZ270" s="90"/>
      <c r="ZA270" s="90"/>
      <c r="ZB270" s="90"/>
      <c r="ZC270" s="90"/>
      <c r="ZD270" s="90"/>
      <c r="ZE270" s="90"/>
      <c r="ZF270" s="90"/>
      <c r="ZG270" s="90"/>
      <c r="ZH270" s="90"/>
      <c r="ZI270" s="90"/>
      <c r="ZJ270" s="90"/>
      <c r="ZK270" s="90"/>
      <c r="ZL270" s="90"/>
      <c r="ZM270" s="90"/>
      <c r="ZN270" s="90"/>
      <c r="ZO270" s="90"/>
      <c r="ZP270" s="90"/>
      <c r="ZQ270" s="90"/>
      <c r="ZR270" s="90"/>
      <c r="ZS270" s="90"/>
      <c r="ZT270" s="90"/>
      <c r="ZU270" s="90"/>
      <c r="ZV270" s="90"/>
      <c r="ZW270" s="90"/>
      <c r="ZX270" s="90"/>
      <c r="ZY270" s="90"/>
      <c r="ZZ270" s="90"/>
      <c r="AAA270" s="90"/>
      <c r="AAB270" s="90"/>
      <c r="AAC270" s="90"/>
      <c r="AAD270" s="90"/>
      <c r="AAE270" s="90"/>
      <c r="AAF270" s="90"/>
      <c r="AAG270" s="90"/>
      <c r="AAH270" s="90"/>
      <c r="AAI270" s="90"/>
      <c r="AAJ270" s="90"/>
      <c r="AAK270" s="90"/>
      <c r="AAL270" s="90"/>
      <c r="AAM270" s="90"/>
      <c r="AAN270" s="90"/>
      <c r="AAO270" s="90"/>
      <c r="AAP270" s="90"/>
      <c r="AAQ270" s="90"/>
      <c r="AAR270" s="90"/>
      <c r="AAS270" s="90"/>
      <c r="AAT270" s="90"/>
      <c r="AAU270" s="90"/>
      <c r="AAV270" s="90"/>
      <c r="AAW270" s="90"/>
      <c r="AAX270" s="90"/>
      <c r="AAY270" s="90"/>
      <c r="AAZ270" s="90"/>
      <c r="ABA270" s="90"/>
      <c r="ABB270" s="90"/>
      <c r="ABC270" s="90"/>
      <c r="ABD270" s="90"/>
      <c r="ABE270" s="90"/>
      <c r="ABF270" s="90"/>
      <c r="ABG270" s="90"/>
      <c r="ABH270" s="90"/>
      <c r="ABI270" s="90"/>
      <c r="ABJ270" s="90"/>
      <c r="ABK270" s="90"/>
      <c r="ABL270" s="90"/>
      <c r="ABM270" s="90"/>
      <c r="ABN270" s="90"/>
      <c r="ABO270" s="90"/>
      <c r="ABP270" s="90"/>
      <c r="ABQ270" s="90"/>
      <c r="ABR270" s="90"/>
      <c r="ABS270" s="90"/>
      <c r="ABT270" s="90"/>
      <c r="ABU270" s="90"/>
      <c r="ABV270" s="90"/>
      <c r="ABW270" s="90"/>
      <c r="ABX270" s="90"/>
      <c r="ABY270" s="90"/>
      <c r="ABZ270" s="90"/>
      <c r="ACA270" s="90"/>
      <c r="ACB270" s="90"/>
      <c r="ACC270" s="90"/>
      <c r="ACD270" s="90"/>
      <c r="ACE270" s="90"/>
      <c r="ACF270" s="90"/>
      <c r="ACG270" s="90"/>
      <c r="ACH270" s="90"/>
      <c r="ACI270" s="90"/>
      <c r="ACJ270" s="90"/>
      <c r="ACK270" s="90"/>
      <c r="ACL270" s="90"/>
      <c r="ACM270" s="90"/>
      <c r="ACN270" s="90"/>
      <c r="ACO270" s="90"/>
      <c r="ACP270" s="90"/>
      <c r="ACQ270" s="90"/>
      <c r="ACR270" s="90"/>
      <c r="ACS270" s="90"/>
      <c r="ACT270" s="90"/>
      <c r="ACU270" s="90"/>
      <c r="ACV270" s="90"/>
      <c r="ACW270" s="90"/>
      <c r="ACX270" s="90"/>
      <c r="ACY270" s="90"/>
      <c r="ACZ270" s="90"/>
      <c r="ADA270" s="90"/>
      <c r="ADB270" s="90"/>
      <c r="ADC270" s="90"/>
      <c r="ADD270" s="90"/>
      <c r="ADE270" s="90"/>
      <c r="ADF270" s="90"/>
      <c r="ADG270" s="90"/>
      <c r="ADH270" s="90"/>
      <c r="ADI270" s="90"/>
      <c r="ADJ270" s="90"/>
      <c r="ADK270" s="90"/>
      <c r="ADL270" s="90"/>
      <c r="ADM270" s="90"/>
      <c r="ADN270" s="90"/>
      <c r="ADO270" s="90"/>
      <c r="ADP270" s="90"/>
      <c r="ADQ270" s="90"/>
      <c r="ADR270" s="90"/>
      <c r="ADS270" s="90"/>
      <c r="ADT270" s="90"/>
      <c r="ADU270" s="90"/>
      <c r="ADV270" s="90"/>
      <c r="ADW270" s="90"/>
      <c r="ADX270" s="90"/>
      <c r="ADY270" s="90"/>
      <c r="ADZ270" s="90"/>
      <c r="AEA270" s="90"/>
      <c r="AEB270" s="90"/>
      <c r="AEC270" s="90"/>
      <c r="AED270" s="90"/>
      <c r="AEE270" s="90"/>
      <c r="AEF270" s="90"/>
      <c r="AEG270" s="90"/>
      <c r="AEH270" s="90"/>
      <c r="AEI270" s="90"/>
      <c r="AEJ270" s="90"/>
      <c r="AEK270" s="90"/>
      <c r="AEL270" s="90"/>
      <c r="AEM270" s="90"/>
      <c r="AEN270" s="90"/>
      <c r="AEO270" s="90"/>
      <c r="AEP270" s="90"/>
      <c r="AEQ270" s="90"/>
      <c r="AER270" s="90"/>
      <c r="AES270" s="90"/>
      <c r="AET270" s="90"/>
      <c r="AEU270" s="90"/>
      <c r="AEV270" s="90"/>
      <c r="AEW270" s="90"/>
      <c r="AEX270" s="90"/>
      <c r="AEY270" s="90"/>
      <c r="AEZ270" s="90"/>
      <c r="AFA270" s="90"/>
      <c r="AFB270" s="90"/>
      <c r="AFC270" s="90"/>
      <c r="AFD270" s="90"/>
      <c r="AFE270" s="90"/>
      <c r="AFF270" s="90"/>
      <c r="AFG270" s="90"/>
      <c r="AFH270" s="90"/>
      <c r="AFI270" s="90"/>
      <c r="AFJ270" s="90"/>
      <c r="AFK270" s="90"/>
      <c r="AFL270" s="90"/>
      <c r="AFM270" s="90"/>
      <c r="AFN270" s="90"/>
      <c r="AFO270" s="90"/>
      <c r="AFP270" s="90"/>
      <c r="AFQ270" s="90"/>
      <c r="AFR270" s="90"/>
      <c r="AFS270" s="90"/>
      <c r="AFT270" s="90"/>
      <c r="AFU270" s="90"/>
      <c r="AFV270" s="90"/>
      <c r="AFW270" s="90"/>
      <c r="AFX270" s="90"/>
      <c r="AFY270" s="90"/>
      <c r="AFZ270" s="90"/>
      <c r="AGA270" s="90"/>
      <c r="AGB270" s="90"/>
      <c r="AGC270" s="90"/>
      <c r="AGD270" s="90"/>
      <c r="AGE270" s="90"/>
      <c r="AGF270" s="90"/>
      <c r="AGG270" s="90"/>
      <c r="AGH270" s="90"/>
      <c r="AGI270" s="90"/>
      <c r="AGJ270" s="90"/>
      <c r="AGK270" s="90"/>
      <c r="AGL270" s="90"/>
      <c r="AGM270" s="90"/>
      <c r="AGN270" s="90"/>
      <c r="AGO270" s="90"/>
      <c r="AGP270" s="90"/>
      <c r="AGQ270" s="90"/>
      <c r="AGR270" s="90"/>
      <c r="AGS270" s="90"/>
      <c r="AGT270" s="90"/>
      <c r="AGU270" s="90"/>
      <c r="AGV270" s="90"/>
      <c r="AGW270" s="90"/>
      <c r="AGX270" s="90"/>
      <c r="AGY270" s="90"/>
      <c r="AGZ270" s="90"/>
      <c r="AHA270" s="90"/>
      <c r="AHB270" s="90"/>
      <c r="AHC270" s="90"/>
      <c r="AHD270" s="90"/>
      <c r="AHE270" s="90"/>
      <c r="AHF270" s="90"/>
      <c r="AHG270" s="90"/>
      <c r="AHH270" s="90"/>
      <c r="AHI270" s="90"/>
      <c r="AHJ270" s="90"/>
      <c r="AHK270" s="90"/>
      <c r="AHL270" s="90"/>
      <c r="AHM270" s="90"/>
      <c r="AHN270" s="90"/>
      <c r="AHO270" s="90"/>
      <c r="AHP270" s="90"/>
      <c r="AHQ270" s="90"/>
      <c r="AHR270" s="90"/>
      <c r="AHS270" s="90"/>
      <c r="AHT270" s="90"/>
      <c r="AHU270" s="90"/>
      <c r="AHV270" s="90"/>
      <c r="AHW270" s="90"/>
      <c r="AHX270" s="90"/>
      <c r="AHY270" s="90"/>
      <c r="AHZ270" s="90"/>
      <c r="AIA270" s="90"/>
      <c r="AIB270" s="90"/>
      <c r="AIC270" s="90"/>
      <c r="AID270" s="90"/>
      <c r="AIE270" s="90"/>
      <c r="AIF270" s="90"/>
      <c r="AIG270" s="90"/>
      <c r="AIH270" s="90"/>
      <c r="AII270" s="90"/>
      <c r="AIJ270" s="90"/>
      <c r="AIK270" s="90"/>
      <c r="AIL270" s="90"/>
      <c r="AIM270" s="90"/>
      <c r="AIN270" s="90"/>
      <c r="AIO270" s="90"/>
      <c r="AIP270" s="90"/>
      <c r="AIQ270" s="90"/>
      <c r="AIR270" s="90"/>
      <c r="AIS270" s="90"/>
      <c r="AIT270" s="90"/>
      <c r="AIU270" s="90"/>
      <c r="AIV270" s="90"/>
      <c r="AIW270" s="90"/>
      <c r="AIX270" s="90"/>
      <c r="AIY270" s="90"/>
      <c r="AIZ270" s="90"/>
      <c r="AJA270" s="90"/>
      <c r="AJB270" s="90"/>
      <c r="AJC270" s="90"/>
      <c r="AJD270" s="90"/>
      <c r="AJE270" s="90"/>
      <c r="AJF270" s="90"/>
      <c r="AJG270" s="90"/>
      <c r="AJH270" s="90"/>
      <c r="AJI270" s="90"/>
      <c r="AJJ270" s="90"/>
      <c r="AJK270" s="90"/>
      <c r="AJL270" s="90"/>
      <c r="AJM270" s="90"/>
      <c r="AJN270" s="90"/>
      <c r="AJO270" s="90"/>
      <c r="AJP270" s="90"/>
      <c r="AJQ270" s="90"/>
      <c r="AJR270" s="90"/>
      <c r="AJS270" s="90"/>
      <c r="AJT270" s="90"/>
      <c r="AJU270" s="90"/>
      <c r="AJV270" s="90"/>
      <c r="AJW270" s="90"/>
      <c r="AJX270" s="90"/>
      <c r="AJY270" s="90"/>
      <c r="AJZ270" s="90"/>
      <c r="AKA270" s="90"/>
      <c r="AKB270" s="90"/>
      <c r="AKC270" s="90"/>
      <c r="AKD270" s="90"/>
      <c r="AKE270" s="90"/>
      <c r="AKF270" s="90"/>
      <c r="AKG270" s="90"/>
      <c r="AKH270" s="90"/>
      <c r="AKI270" s="90"/>
      <c r="AKJ270" s="90"/>
      <c r="AKK270" s="90"/>
      <c r="AKL270" s="90"/>
      <c r="AKM270" s="90"/>
      <c r="AKN270" s="90"/>
      <c r="AKO270" s="90"/>
      <c r="AKP270" s="90"/>
      <c r="AKQ270" s="90"/>
      <c r="AKR270" s="90"/>
      <c r="AKS270" s="90"/>
      <c r="AKT270" s="90"/>
      <c r="AKU270" s="90"/>
      <c r="AKV270" s="90"/>
      <c r="AKW270" s="90"/>
      <c r="AKX270" s="90"/>
      <c r="AKY270" s="90"/>
      <c r="AKZ270" s="90"/>
      <c r="ALA270" s="90"/>
      <c r="ALB270" s="90"/>
      <c r="ALC270" s="90"/>
      <c r="ALD270" s="90"/>
      <c r="ALE270" s="90"/>
      <c r="ALF270" s="90"/>
      <c r="ALG270" s="90"/>
      <c r="ALH270" s="90"/>
      <c r="ALI270" s="90"/>
      <c r="ALJ270" s="90"/>
      <c r="ALK270" s="90"/>
      <c r="ALL270" s="90"/>
      <c r="ALM270" s="90"/>
      <c r="ALN270" s="90"/>
      <c r="ALO270" s="90"/>
      <c r="ALP270" s="90"/>
      <c r="ALQ270" s="90"/>
      <c r="ALR270" s="90"/>
      <c r="ALS270" s="90"/>
      <c r="ALT270" s="90"/>
      <c r="ALU270" s="90"/>
      <c r="ALV270" s="90"/>
      <c r="ALW270" s="90"/>
      <c r="ALX270" s="90"/>
      <c r="ALY270" s="90"/>
      <c r="ALZ270" s="90"/>
      <c r="AMA270" s="90"/>
      <c r="AMB270" s="90"/>
      <c r="AMC270" s="90"/>
    </row>
    <row r="271" spans="1:1017">
      <c r="A271" s="98" t="s">
        <v>51</v>
      </c>
      <c r="B271" s="90" t="str">
        <f t="shared" si="1681"/>
        <v xml:space="preserve">Belut Sawah </v>
      </c>
      <c r="Q271" s="91">
        <f t="shared" si="1583"/>
        <v>0</v>
      </c>
      <c r="R271" s="91">
        <f t="shared" si="1584"/>
        <v>0</v>
      </c>
      <c r="AG271" s="91">
        <f t="shared" si="1585"/>
        <v>0</v>
      </c>
      <c r="AH271" s="91">
        <f t="shared" si="1586"/>
        <v>0</v>
      </c>
      <c r="AW271" s="91">
        <f t="shared" si="1587"/>
        <v>0</v>
      </c>
      <c r="AX271" s="91">
        <f t="shared" si="1588"/>
        <v>0</v>
      </c>
      <c r="BM271" s="91">
        <f t="shared" si="1589"/>
        <v>0</v>
      </c>
      <c r="BN271" s="91">
        <f t="shared" si="1590"/>
        <v>0</v>
      </c>
      <c r="CC271" s="91">
        <f t="shared" si="1591"/>
        <v>0</v>
      </c>
      <c r="CD271" s="91">
        <f t="shared" si="1592"/>
        <v>0</v>
      </c>
      <c r="CS271" s="91">
        <f t="shared" si="1593"/>
        <v>0</v>
      </c>
      <c r="CT271" s="91">
        <f t="shared" si="1594"/>
        <v>0</v>
      </c>
      <c r="DI271" s="91">
        <f t="shared" si="1595"/>
        <v>0</v>
      </c>
      <c r="DJ271" s="91">
        <f t="shared" si="1596"/>
        <v>0</v>
      </c>
      <c r="DY271" s="91">
        <f t="shared" si="1597"/>
        <v>0</v>
      </c>
      <c r="DZ271" s="91">
        <f t="shared" si="1598"/>
        <v>0</v>
      </c>
      <c r="EO271" s="91">
        <f t="shared" si="1599"/>
        <v>0</v>
      </c>
      <c r="EP271" s="91">
        <f t="shared" si="1600"/>
        <v>0</v>
      </c>
      <c r="FE271" s="91">
        <f t="shared" si="1601"/>
        <v>0</v>
      </c>
      <c r="FF271" s="91">
        <f t="shared" si="1602"/>
        <v>0</v>
      </c>
      <c r="FU271" s="91">
        <f t="shared" si="1603"/>
        <v>0</v>
      </c>
      <c r="FV271" s="91">
        <f t="shared" si="1604"/>
        <v>0</v>
      </c>
      <c r="GK271" s="91">
        <f t="shared" si="1605"/>
        <v>0</v>
      </c>
      <c r="GL271" s="91">
        <f t="shared" si="1606"/>
        <v>0</v>
      </c>
      <c r="HA271" s="91">
        <f t="shared" si="1607"/>
        <v>0</v>
      </c>
      <c r="HB271" s="91">
        <f t="shared" si="1608"/>
        <v>0</v>
      </c>
      <c r="HQ271" s="91">
        <f t="shared" si="1609"/>
        <v>0</v>
      </c>
      <c r="HR271" s="91">
        <f t="shared" si="1610"/>
        <v>0</v>
      </c>
      <c r="IG271" s="91">
        <f t="shared" si="1611"/>
        <v>0</v>
      </c>
      <c r="IH271" s="91">
        <f t="shared" si="1612"/>
        <v>0</v>
      </c>
      <c r="IW271" s="91">
        <f t="shared" si="1613"/>
        <v>0</v>
      </c>
      <c r="IX271" s="91">
        <f t="shared" si="1614"/>
        <v>0</v>
      </c>
      <c r="JM271" s="91">
        <f t="shared" si="1615"/>
        <v>0</v>
      </c>
      <c r="JN271" s="91">
        <f t="shared" si="1616"/>
        <v>0</v>
      </c>
      <c r="JU271" s="98">
        <v>35</v>
      </c>
      <c r="JV271" s="98">
        <v>2625</v>
      </c>
      <c r="KC271" s="91">
        <f t="shared" si="1617"/>
        <v>35</v>
      </c>
      <c r="KD271" s="91">
        <f t="shared" si="1618"/>
        <v>2625</v>
      </c>
      <c r="KS271" s="91">
        <f t="shared" si="1619"/>
        <v>0</v>
      </c>
      <c r="KT271" s="91">
        <f t="shared" si="1620"/>
        <v>0</v>
      </c>
      <c r="LI271" s="91">
        <f t="shared" si="1621"/>
        <v>0</v>
      </c>
      <c r="LJ271" s="91">
        <f t="shared" si="1622"/>
        <v>0</v>
      </c>
      <c r="LY271" s="91">
        <f t="shared" si="1623"/>
        <v>0</v>
      </c>
      <c r="LZ271" s="91">
        <f t="shared" si="1624"/>
        <v>0</v>
      </c>
      <c r="MO271" s="91">
        <f t="shared" si="1625"/>
        <v>0</v>
      </c>
      <c r="MP271" s="91">
        <f t="shared" si="1626"/>
        <v>0</v>
      </c>
      <c r="NE271" s="91">
        <f t="shared" si="1627"/>
        <v>0</v>
      </c>
      <c r="NF271" s="91">
        <f t="shared" si="1628"/>
        <v>0</v>
      </c>
      <c r="NU271" s="91">
        <f t="shared" si="1629"/>
        <v>0</v>
      </c>
      <c r="NV271" s="91">
        <f t="shared" si="1630"/>
        <v>0</v>
      </c>
      <c r="OK271" s="91">
        <f t="shared" si="1631"/>
        <v>0</v>
      </c>
      <c r="OL271" s="91">
        <f t="shared" si="1632"/>
        <v>0</v>
      </c>
      <c r="PA271" s="91">
        <f t="shared" si="1633"/>
        <v>0</v>
      </c>
      <c r="PB271" s="91">
        <f t="shared" si="1634"/>
        <v>0</v>
      </c>
      <c r="PQ271" s="91">
        <f t="shared" si="1635"/>
        <v>0</v>
      </c>
      <c r="PR271" s="91">
        <f t="shared" si="1636"/>
        <v>0</v>
      </c>
      <c r="QG271" s="91">
        <f t="shared" si="1637"/>
        <v>0</v>
      </c>
      <c r="QH271" s="91">
        <f t="shared" si="1638"/>
        <v>0</v>
      </c>
      <c r="QW271" s="91">
        <f t="shared" si="1639"/>
        <v>0</v>
      </c>
      <c r="QX271" s="91">
        <f t="shared" si="1640"/>
        <v>0</v>
      </c>
      <c r="RM271" s="91">
        <f t="shared" si="1641"/>
        <v>0</v>
      </c>
      <c r="RN271" s="91">
        <f t="shared" si="1642"/>
        <v>0</v>
      </c>
      <c r="SC271" s="91">
        <f t="shared" si="1643"/>
        <v>0</v>
      </c>
      <c r="SD271" s="91">
        <f t="shared" si="1644"/>
        <v>0</v>
      </c>
      <c r="SS271" s="91">
        <f t="shared" si="1645"/>
        <v>0</v>
      </c>
      <c r="ST271" s="91">
        <f t="shared" si="1646"/>
        <v>0</v>
      </c>
      <c r="TI271" s="91">
        <f t="shared" si="1647"/>
        <v>0</v>
      </c>
      <c r="TJ271" s="91">
        <f t="shared" si="1648"/>
        <v>0</v>
      </c>
      <c r="TY271" s="91">
        <f t="shared" si="1649"/>
        <v>0</v>
      </c>
      <c r="TZ271" s="91">
        <f t="shared" si="1650"/>
        <v>0</v>
      </c>
      <c r="UO271" s="91">
        <f t="shared" si="1651"/>
        <v>0</v>
      </c>
      <c r="UP271" s="91">
        <f t="shared" si="1652"/>
        <v>0</v>
      </c>
      <c r="VE271" s="91">
        <f t="shared" si="1653"/>
        <v>0</v>
      </c>
      <c r="VF271" s="91">
        <f t="shared" si="1654"/>
        <v>0</v>
      </c>
      <c r="VU271" s="91">
        <f t="shared" si="1655"/>
        <v>0</v>
      </c>
      <c r="VV271" s="91">
        <f t="shared" si="1656"/>
        <v>0</v>
      </c>
      <c r="WK271" s="91">
        <f t="shared" si="1657"/>
        <v>0</v>
      </c>
      <c r="WL271" s="91">
        <f t="shared" si="1658"/>
        <v>0</v>
      </c>
      <c r="WM271" s="89"/>
      <c r="WN271" s="87">
        <f t="shared" si="1682"/>
        <v>0</v>
      </c>
      <c r="WO271" s="87">
        <f t="shared" si="1683"/>
        <v>0</v>
      </c>
      <c r="WP271" s="87">
        <f t="shared" si="1684"/>
        <v>0</v>
      </c>
      <c r="WQ271" s="87">
        <f t="shared" si="1685"/>
        <v>0</v>
      </c>
      <c r="WR271" s="87">
        <f t="shared" si="1686"/>
        <v>0</v>
      </c>
      <c r="WS271" s="87">
        <f t="shared" si="1687"/>
        <v>0</v>
      </c>
      <c r="WT271" s="87">
        <f t="shared" si="1688"/>
        <v>35</v>
      </c>
      <c r="WU271" s="87">
        <f t="shared" si="1689"/>
        <v>2625</v>
      </c>
      <c r="WV271" s="87">
        <f t="shared" si="1690"/>
        <v>0</v>
      </c>
      <c r="WW271" s="87">
        <f t="shared" si="1691"/>
        <v>0</v>
      </c>
      <c r="WX271" s="87">
        <f t="shared" si="1692"/>
        <v>0</v>
      </c>
      <c r="WY271" s="87">
        <f t="shared" si="1693"/>
        <v>0</v>
      </c>
      <c r="WZ271" s="87">
        <f t="shared" si="1677"/>
        <v>0</v>
      </c>
      <c r="XA271" s="87">
        <f t="shared" si="1678"/>
        <v>0</v>
      </c>
      <c r="XB271" s="92">
        <f t="shared" si="1679"/>
        <v>35</v>
      </c>
      <c r="XC271" s="92">
        <f t="shared" si="1680"/>
        <v>2625</v>
      </c>
      <c r="XD271" s="89"/>
      <c r="XE271" s="92"/>
      <c r="XF271" s="92"/>
      <c r="XG271" s="89"/>
      <c r="XH271" s="92"/>
      <c r="XI271" s="92"/>
      <c r="XJ271" s="89"/>
      <c r="XK271" s="87"/>
      <c r="XL271" s="87"/>
      <c r="XM271" s="87"/>
      <c r="XN271" s="87"/>
      <c r="XO271" s="87"/>
      <c r="XP271" s="87"/>
      <c r="XQ271" s="87"/>
      <c r="XR271" s="92">
        <f t="shared" ca="1" si="1675"/>
        <v>0</v>
      </c>
      <c r="XS271" s="89"/>
      <c r="XT271" s="87"/>
      <c r="XU271" s="87"/>
      <c r="XV271" s="87"/>
      <c r="XW271" s="87"/>
      <c r="XX271" s="87"/>
      <c r="XY271" s="87"/>
      <c r="XZ271" s="87"/>
      <c r="YA271" s="92">
        <f t="shared" ca="1" si="1676"/>
        <v>0</v>
      </c>
      <c r="YB271" s="90"/>
      <c r="YC271" s="90"/>
      <c r="YD271" s="90"/>
      <c r="YE271" s="90"/>
      <c r="YF271" s="90"/>
      <c r="YG271" s="90"/>
      <c r="YH271" s="90"/>
      <c r="YI271" s="90"/>
      <c r="YJ271" s="90"/>
      <c r="YK271" s="90"/>
      <c r="YL271" s="90"/>
      <c r="YM271" s="90"/>
      <c r="YN271" s="90"/>
      <c r="YO271" s="90"/>
      <c r="YP271" s="90"/>
      <c r="YQ271" s="90"/>
      <c r="YR271" s="90"/>
      <c r="YS271" s="90"/>
      <c r="YT271" s="90"/>
      <c r="YU271" s="90"/>
      <c r="YV271" s="90"/>
      <c r="YW271" s="90"/>
      <c r="YX271" s="90"/>
      <c r="YY271" s="90"/>
      <c r="YZ271" s="90"/>
      <c r="ZA271" s="90"/>
      <c r="ZB271" s="90"/>
      <c r="ZC271" s="90"/>
      <c r="ZD271" s="90"/>
      <c r="ZE271" s="90"/>
      <c r="ZF271" s="90"/>
      <c r="ZG271" s="90"/>
      <c r="ZH271" s="90"/>
      <c r="ZI271" s="90"/>
      <c r="ZJ271" s="90"/>
      <c r="ZK271" s="90"/>
      <c r="ZL271" s="90"/>
      <c r="ZM271" s="90"/>
      <c r="ZN271" s="90"/>
      <c r="ZO271" s="90"/>
      <c r="ZP271" s="90"/>
      <c r="ZQ271" s="90"/>
      <c r="ZR271" s="90"/>
      <c r="ZS271" s="90"/>
      <c r="ZT271" s="90"/>
      <c r="ZU271" s="90"/>
      <c r="ZV271" s="90"/>
      <c r="ZW271" s="90"/>
      <c r="ZX271" s="90"/>
      <c r="ZY271" s="90"/>
      <c r="ZZ271" s="90"/>
      <c r="AAA271" s="90"/>
      <c r="AAB271" s="90"/>
      <c r="AAC271" s="90"/>
      <c r="AAD271" s="90"/>
      <c r="AAE271" s="90"/>
      <c r="AAF271" s="90"/>
      <c r="AAG271" s="90"/>
      <c r="AAH271" s="90"/>
      <c r="AAI271" s="90"/>
      <c r="AAJ271" s="90"/>
      <c r="AAK271" s="90"/>
      <c r="AAL271" s="90"/>
      <c r="AAM271" s="90"/>
      <c r="AAN271" s="90"/>
      <c r="AAO271" s="90"/>
      <c r="AAP271" s="90"/>
      <c r="AAQ271" s="90"/>
      <c r="AAR271" s="90"/>
      <c r="AAS271" s="90"/>
      <c r="AAT271" s="90"/>
      <c r="AAU271" s="90"/>
      <c r="AAV271" s="90"/>
      <c r="AAW271" s="90"/>
      <c r="AAX271" s="90"/>
      <c r="AAY271" s="90"/>
      <c r="AAZ271" s="90"/>
      <c r="ABA271" s="90"/>
      <c r="ABB271" s="90"/>
      <c r="ABC271" s="90"/>
      <c r="ABD271" s="90"/>
      <c r="ABE271" s="90"/>
      <c r="ABF271" s="90"/>
      <c r="ABG271" s="90"/>
      <c r="ABH271" s="90"/>
      <c r="ABI271" s="90"/>
      <c r="ABJ271" s="90"/>
      <c r="ABK271" s="90"/>
      <c r="ABL271" s="90"/>
      <c r="ABM271" s="90"/>
      <c r="ABN271" s="90"/>
      <c r="ABO271" s="90"/>
      <c r="ABP271" s="90"/>
      <c r="ABQ271" s="90"/>
      <c r="ABR271" s="90"/>
      <c r="ABS271" s="90"/>
      <c r="ABT271" s="90"/>
      <c r="ABU271" s="90"/>
      <c r="ABV271" s="90"/>
      <c r="ABW271" s="90"/>
      <c r="ABX271" s="90"/>
      <c r="ABY271" s="90"/>
      <c r="ABZ271" s="90"/>
      <c r="ACA271" s="90"/>
      <c r="ACB271" s="90"/>
      <c r="ACC271" s="90"/>
      <c r="ACD271" s="90"/>
      <c r="ACE271" s="90"/>
      <c r="ACF271" s="90"/>
      <c r="ACG271" s="90"/>
      <c r="ACH271" s="90"/>
      <c r="ACI271" s="90"/>
      <c r="ACJ271" s="90"/>
      <c r="ACK271" s="90"/>
      <c r="ACL271" s="90"/>
      <c r="ACM271" s="90"/>
      <c r="ACN271" s="90"/>
      <c r="ACO271" s="90"/>
      <c r="ACP271" s="90"/>
      <c r="ACQ271" s="90"/>
      <c r="ACR271" s="90"/>
      <c r="ACS271" s="90"/>
      <c r="ACT271" s="90"/>
      <c r="ACU271" s="90"/>
      <c r="ACV271" s="90"/>
      <c r="ACW271" s="90"/>
      <c r="ACX271" s="90"/>
      <c r="ACY271" s="90"/>
      <c r="ACZ271" s="90"/>
      <c r="ADA271" s="90"/>
      <c r="ADB271" s="90"/>
      <c r="ADC271" s="90"/>
      <c r="ADD271" s="90"/>
      <c r="ADE271" s="90"/>
      <c r="ADF271" s="90"/>
      <c r="ADG271" s="90"/>
      <c r="ADH271" s="90"/>
      <c r="ADI271" s="90"/>
      <c r="ADJ271" s="90"/>
      <c r="ADK271" s="90"/>
      <c r="ADL271" s="90"/>
      <c r="ADM271" s="90"/>
      <c r="ADN271" s="90"/>
      <c r="ADO271" s="90"/>
      <c r="ADP271" s="90"/>
      <c r="ADQ271" s="90"/>
      <c r="ADR271" s="90"/>
      <c r="ADS271" s="90"/>
      <c r="ADT271" s="90"/>
      <c r="ADU271" s="90"/>
      <c r="ADV271" s="90"/>
      <c r="ADW271" s="90"/>
      <c r="ADX271" s="90"/>
      <c r="ADY271" s="90"/>
      <c r="ADZ271" s="90"/>
      <c r="AEA271" s="90"/>
      <c r="AEB271" s="90"/>
      <c r="AEC271" s="90"/>
      <c r="AED271" s="90"/>
      <c r="AEE271" s="90"/>
      <c r="AEF271" s="90"/>
      <c r="AEG271" s="90"/>
      <c r="AEH271" s="90"/>
      <c r="AEI271" s="90"/>
      <c r="AEJ271" s="90"/>
      <c r="AEK271" s="90"/>
      <c r="AEL271" s="90"/>
      <c r="AEM271" s="90"/>
      <c r="AEN271" s="90"/>
      <c r="AEO271" s="90"/>
      <c r="AEP271" s="90"/>
      <c r="AEQ271" s="90"/>
      <c r="AER271" s="90"/>
      <c r="AES271" s="90"/>
      <c r="AET271" s="90"/>
      <c r="AEU271" s="90"/>
      <c r="AEV271" s="90"/>
      <c r="AEW271" s="90"/>
      <c r="AEX271" s="90"/>
      <c r="AEY271" s="90"/>
      <c r="AEZ271" s="90"/>
      <c r="AFA271" s="90"/>
      <c r="AFB271" s="90"/>
      <c r="AFC271" s="90"/>
      <c r="AFD271" s="90"/>
      <c r="AFE271" s="90"/>
      <c r="AFF271" s="90"/>
      <c r="AFG271" s="90"/>
      <c r="AFH271" s="90"/>
      <c r="AFI271" s="90"/>
      <c r="AFJ271" s="90"/>
      <c r="AFK271" s="90"/>
      <c r="AFL271" s="90"/>
      <c r="AFM271" s="90"/>
      <c r="AFN271" s="90"/>
      <c r="AFO271" s="90"/>
      <c r="AFP271" s="90"/>
      <c r="AFQ271" s="90"/>
      <c r="AFR271" s="90"/>
      <c r="AFS271" s="90"/>
      <c r="AFT271" s="90"/>
      <c r="AFU271" s="90"/>
      <c r="AFV271" s="90"/>
      <c r="AFW271" s="90"/>
      <c r="AFX271" s="90"/>
      <c r="AFY271" s="90"/>
      <c r="AFZ271" s="90"/>
      <c r="AGA271" s="90"/>
      <c r="AGB271" s="90"/>
      <c r="AGC271" s="90"/>
      <c r="AGD271" s="90"/>
      <c r="AGE271" s="90"/>
      <c r="AGF271" s="90"/>
      <c r="AGG271" s="90"/>
      <c r="AGH271" s="90"/>
      <c r="AGI271" s="90"/>
      <c r="AGJ271" s="90"/>
      <c r="AGK271" s="90"/>
      <c r="AGL271" s="90"/>
      <c r="AGM271" s="90"/>
      <c r="AGN271" s="90"/>
      <c r="AGO271" s="90"/>
      <c r="AGP271" s="90"/>
      <c r="AGQ271" s="90"/>
      <c r="AGR271" s="90"/>
      <c r="AGS271" s="90"/>
      <c r="AGT271" s="90"/>
      <c r="AGU271" s="90"/>
      <c r="AGV271" s="90"/>
      <c r="AGW271" s="90"/>
      <c r="AGX271" s="90"/>
      <c r="AGY271" s="90"/>
      <c r="AGZ271" s="90"/>
      <c r="AHA271" s="90"/>
      <c r="AHB271" s="90"/>
      <c r="AHC271" s="90"/>
      <c r="AHD271" s="90"/>
      <c r="AHE271" s="90"/>
      <c r="AHF271" s="90"/>
      <c r="AHG271" s="90"/>
      <c r="AHH271" s="90"/>
      <c r="AHI271" s="90"/>
      <c r="AHJ271" s="90"/>
      <c r="AHK271" s="90"/>
      <c r="AHL271" s="90"/>
      <c r="AHM271" s="90"/>
      <c r="AHN271" s="90"/>
      <c r="AHO271" s="90"/>
      <c r="AHP271" s="90"/>
      <c r="AHQ271" s="90"/>
      <c r="AHR271" s="90"/>
      <c r="AHS271" s="90"/>
      <c r="AHT271" s="90"/>
      <c r="AHU271" s="90"/>
      <c r="AHV271" s="90"/>
      <c r="AHW271" s="90"/>
      <c r="AHX271" s="90"/>
      <c r="AHY271" s="90"/>
      <c r="AHZ271" s="90"/>
      <c r="AIA271" s="90"/>
      <c r="AIB271" s="90"/>
      <c r="AIC271" s="90"/>
      <c r="AID271" s="90"/>
      <c r="AIE271" s="90"/>
      <c r="AIF271" s="90"/>
      <c r="AIG271" s="90"/>
      <c r="AIH271" s="90"/>
      <c r="AII271" s="90"/>
      <c r="AIJ271" s="90"/>
      <c r="AIK271" s="90"/>
      <c r="AIL271" s="90"/>
      <c r="AIM271" s="90"/>
      <c r="AIN271" s="90"/>
      <c r="AIO271" s="90"/>
      <c r="AIP271" s="90"/>
      <c r="AIQ271" s="90"/>
      <c r="AIR271" s="90"/>
      <c r="AIS271" s="90"/>
      <c r="AIT271" s="90"/>
      <c r="AIU271" s="90"/>
      <c r="AIV271" s="90"/>
      <c r="AIW271" s="90"/>
      <c r="AIX271" s="90"/>
      <c r="AIY271" s="90"/>
      <c r="AIZ271" s="90"/>
      <c r="AJA271" s="90"/>
      <c r="AJB271" s="90"/>
      <c r="AJC271" s="90"/>
      <c r="AJD271" s="90"/>
      <c r="AJE271" s="90"/>
      <c r="AJF271" s="90"/>
      <c r="AJG271" s="90"/>
      <c r="AJH271" s="90"/>
      <c r="AJI271" s="90"/>
      <c r="AJJ271" s="90"/>
      <c r="AJK271" s="90"/>
      <c r="AJL271" s="90"/>
      <c r="AJM271" s="90"/>
      <c r="AJN271" s="90"/>
      <c r="AJO271" s="90"/>
      <c r="AJP271" s="90"/>
      <c r="AJQ271" s="90"/>
      <c r="AJR271" s="90"/>
      <c r="AJS271" s="90"/>
      <c r="AJT271" s="90"/>
      <c r="AJU271" s="90"/>
      <c r="AJV271" s="90"/>
      <c r="AJW271" s="90"/>
      <c r="AJX271" s="90"/>
      <c r="AJY271" s="90"/>
      <c r="AJZ271" s="90"/>
      <c r="AKA271" s="90"/>
      <c r="AKB271" s="90"/>
      <c r="AKC271" s="90"/>
      <c r="AKD271" s="90"/>
      <c r="AKE271" s="90"/>
      <c r="AKF271" s="90"/>
      <c r="AKG271" s="90"/>
      <c r="AKH271" s="90"/>
      <c r="AKI271" s="90"/>
      <c r="AKJ271" s="90"/>
      <c r="AKK271" s="90"/>
      <c r="AKL271" s="90"/>
      <c r="AKM271" s="90"/>
      <c r="AKN271" s="90"/>
      <c r="AKO271" s="90"/>
      <c r="AKP271" s="90"/>
      <c r="AKQ271" s="90"/>
      <c r="AKR271" s="90"/>
      <c r="AKS271" s="90"/>
      <c r="AKT271" s="90"/>
      <c r="AKU271" s="90"/>
      <c r="AKV271" s="90"/>
      <c r="AKW271" s="90"/>
      <c r="AKX271" s="90"/>
      <c r="AKY271" s="90"/>
      <c r="AKZ271" s="90"/>
      <c r="ALA271" s="90"/>
      <c r="ALB271" s="90"/>
      <c r="ALC271" s="90"/>
      <c r="ALD271" s="90"/>
      <c r="ALE271" s="90"/>
      <c r="ALF271" s="90"/>
      <c r="ALG271" s="90"/>
      <c r="ALH271" s="90"/>
      <c r="ALI271" s="90"/>
      <c r="ALJ271" s="90"/>
      <c r="ALK271" s="90"/>
      <c r="ALL271" s="90"/>
      <c r="ALM271" s="90"/>
      <c r="ALN271" s="90"/>
      <c r="ALO271" s="90"/>
      <c r="ALP271" s="90"/>
      <c r="ALQ271" s="90"/>
      <c r="ALR271" s="90"/>
      <c r="ALS271" s="90"/>
      <c r="ALT271" s="90"/>
      <c r="ALU271" s="90"/>
      <c r="ALV271" s="90"/>
      <c r="ALW271" s="90"/>
      <c r="ALX271" s="90"/>
      <c r="ALY271" s="90"/>
      <c r="ALZ271" s="90"/>
      <c r="AMA271" s="90"/>
      <c r="AMB271" s="90"/>
      <c r="AMC271" s="90"/>
    </row>
    <row r="272" spans="1:1017">
      <c r="A272" s="98" t="s">
        <v>51</v>
      </c>
      <c r="B272" s="90" t="str">
        <f t="shared" si="1681"/>
        <v xml:space="preserve">Udang_04 (Udang Lainnya) </v>
      </c>
      <c r="Q272" s="91">
        <f t="shared" si="1583"/>
        <v>0</v>
      </c>
      <c r="R272" s="91">
        <f t="shared" si="1584"/>
        <v>0</v>
      </c>
      <c r="AG272" s="91">
        <f t="shared" si="1585"/>
        <v>0</v>
      </c>
      <c r="AH272" s="91">
        <f t="shared" si="1586"/>
        <v>0</v>
      </c>
      <c r="AW272" s="91">
        <f t="shared" si="1587"/>
        <v>0</v>
      </c>
      <c r="AX272" s="91">
        <f t="shared" si="1588"/>
        <v>0</v>
      </c>
      <c r="BM272" s="91">
        <f t="shared" si="1589"/>
        <v>0</v>
      </c>
      <c r="BN272" s="91">
        <f t="shared" si="1590"/>
        <v>0</v>
      </c>
      <c r="CC272" s="91">
        <f t="shared" si="1591"/>
        <v>0</v>
      </c>
      <c r="CD272" s="91">
        <f t="shared" si="1592"/>
        <v>0</v>
      </c>
      <c r="CS272" s="91">
        <f t="shared" si="1593"/>
        <v>0</v>
      </c>
      <c r="CT272" s="91">
        <f t="shared" si="1594"/>
        <v>0</v>
      </c>
      <c r="DI272" s="91">
        <f t="shared" si="1595"/>
        <v>0</v>
      </c>
      <c r="DJ272" s="91">
        <f t="shared" si="1596"/>
        <v>0</v>
      </c>
      <c r="DY272" s="91">
        <f t="shared" si="1597"/>
        <v>0</v>
      </c>
      <c r="DZ272" s="91">
        <f t="shared" si="1598"/>
        <v>0</v>
      </c>
      <c r="EO272" s="91">
        <f t="shared" si="1599"/>
        <v>0</v>
      </c>
      <c r="EP272" s="91">
        <f t="shared" si="1600"/>
        <v>0</v>
      </c>
      <c r="FE272" s="91">
        <f t="shared" si="1601"/>
        <v>0</v>
      </c>
      <c r="FF272" s="91">
        <f t="shared" si="1602"/>
        <v>0</v>
      </c>
      <c r="FU272" s="91">
        <f t="shared" si="1603"/>
        <v>0</v>
      </c>
      <c r="FV272" s="91">
        <f t="shared" si="1604"/>
        <v>0</v>
      </c>
      <c r="GK272" s="91">
        <f t="shared" si="1605"/>
        <v>0</v>
      </c>
      <c r="GL272" s="91">
        <f t="shared" si="1606"/>
        <v>0</v>
      </c>
      <c r="HA272" s="91">
        <f t="shared" si="1607"/>
        <v>0</v>
      </c>
      <c r="HB272" s="91">
        <f t="shared" si="1608"/>
        <v>0</v>
      </c>
      <c r="HQ272" s="91">
        <f t="shared" si="1609"/>
        <v>0</v>
      </c>
      <c r="HR272" s="91">
        <f t="shared" si="1610"/>
        <v>0</v>
      </c>
      <c r="IG272" s="91">
        <f t="shared" si="1611"/>
        <v>0</v>
      </c>
      <c r="IH272" s="91">
        <f t="shared" si="1612"/>
        <v>0</v>
      </c>
      <c r="IW272" s="91">
        <f t="shared" si="1613"/>
        <v>0</v>
      </c>
      <c r="IX272" s="91">
        <f t="shared" si="1614"/>
        <v>0</v>
      </c>
      <c r="JM272" s="91">
        <f t="shared" si="1615"/>
        <v>0</v>
      </c>
      <c r="JN272" s="91">
        <f t="shared" si="1616"/>
        <v>0</v>
      </c>
      <c r="KC272" s="91">
        <f t="shared" si="1617"/>
        <v>0</v>
      </c>
      <c r="KD272" s="91">
        <f t="shared" si="1618"/>
        <v>0</v>
      </c>
      <c r="KS272" s="91">
        <f t="shared" si="1619"/>
        <v>0</v>
      </c>
      <c r="KT272" s="91">
        <f t="shared" si="1620"/>
        <v>0</v>
      </c>
      <c r="LI272" s="91">
        <f t="shared" si="1621"/>
        <v>0</v>
      </c>
      <c r="LJ272" s="91">
        <f t="shared" si="1622"/>
        <v>0</v>
      </c>
      <c r="LY272" s="91">
        <f t="shared" si="1623"/>
        <v>0</v>
      </c>
      <c r="LZ272" s="91">
        <f t="shared" si="1624"/>
        <v>0</v>
      </c>
      <c r="MO272" s="91">
        <f t="shared" si="1625"/>
        <v>0</v>
      </c>
      <c r="MP272" s="91">
        <f t="shared" si="1626"/>
        <v>0</v>
      </c>
      <c r="NE272" s="91">
        <f t="shared" si="1627"/>
        <v>0</v>
      </c>
      <c r="NF272" s="91">
        <f t="shared" si="1628"/>
        <v>0</v>
      </c>
      <c r="NU272" s="91">
        <f t="shared" si="1629"/>
        <v>0</v>
      </c>
      <c r="NV272" s="91">
        <f t="shared" si="1630"/>
        <v>0</v>
      </c>
      <c r="OK272" s="91">
        <f t="shared" si="1631"/>
        <v>0</v>
      </c>
      <c r="OL272" s="91">
        <f t="shared" si="1632"/>
        <v>0</v>
      </c>
      <c r="PA272" s="91">
        <f t="shared" si="1633"/>
        <v>0</v>
      </c>
      <c r="PB272" s="91">
        <f t="shared" si="1634"/>
        <v>0</v>
      </c>
      <c r="PQ272" s="91">
        <f t="shared" si="1635"/>
        <v>0</v>
      </c>
      <c r="PR272" s="91">
        <f t="shared" si="1636"/>
        <v>0</v>
      </c>
      <c r="QG272" s="91">
        <f t="shared" si="1637"/>
        <v>0</v>
      </c>
      <c r="QH272" s="91">
        <f t="shared" si="1638"/>
        <v>0</v>
      </c>
      <c r="QW272" s="91">
        <f t="shared" si="1639"/>
        <v>0</v>
      </c>
      <c r="QX272" s="91">
        <f t="shared" si="1640"/>
        <v>0</v>
      </c>
      <c r="RM272" s="91">
        <f t="shared" si="1641"/>
        <v>0</v>
      </c>
      <c r="RN272" s="91">
        <f t="shared" si="1642"/>
        <v>0</v>
      </c>
      <c r="SC272" s="91">
        <f t="shared" si="1643"/>
        <v>0</v>
      </c>
      <c r="SD272" s="91">
        <f t="shared" si="1644"/>
        <v>0</v>
      </c>
      <c r="SS272" s="91">
        <f t="shared" si="1645"/>
        <v>0</v>
      </c>
      <c r="ST272" s="91">
        <f t="shared" si="1646"/>
        <v>0</v>
      </c>
      <c r="TI272" s="91">
        <f t="shared" si="1647"/>
        <v>0</v>
      </c>
      <c r="TJ272" s="91">
        <f t="shared" si="1648"/>
        <v>0</v>
      </c>
      <c r="TY272" s="91">
        <f t="shared" si="1649"/>
        <v>0</v>
      </c>
      <c r="TZ272" s="91">
        <f t="shared" si="1650"/>
        <v>0</v>
      </c>
      <c r="UO272" s="91">
        <f t="shared" si="1651"/>
        <v>0</v>
      </c>
      <c r="UP272" s="91">
        <f t="shared" si="1652"/>
        <v>0</v>
      </c>
      <c r="VE272" s="91">
        <f t="shared" si="1653"/>
        <v>0</v>
      </c>
      <c r="VF272" s="91">
        <f t="shared" si="1654"/>
        <v>0</v>
      </c>
      <c r="VU272" s="91">
        <f t="shared" si="1655"/>
        <v>0</v>
      </c>
      <c r="VV272" s="91">
        <f t="shared" si="1656"/>
        <v>0</v>
      </c>
      <c r="WK272" s="91">
        <f t="shared" si="1657"/>
        <v>0</v>
      </c>
      <c r="WL272" s="91">
        <f t="shared" si="1658"/>
        <v>0</v>
      </c>
      <c r="WM272" s="89"/>
      <c r="WN272" s="87">
        <f t="shared" si="1682"/>
        <v>0</v>
      </c>
      <c r="WO272" s="87">
        <f t="shared" si="1683"/>
        <v>0</v>
      </c>
      <c r="WP272" s="87">
        <f t="shared" si="1684"/>
        <v>0</v>
      </c>
      <c r="WQ272" s="87">
        <f t="shared" si="1685"/>
        <v>0</v>
      </c>
      <c r="WR272" s="87">
        <f t="shared" si="1686"/>
        <v>0</v>
      </c>
      <c r="WS272" s="87">
        <f t="shared" si="1687"/>
        <v>0</v>
      </c>
      <c r="WT272" s="87">
        <f t="shared" si="1688"/>
        <v>0</v>
      </c>
      <c r="WU272" s="87">
        <f t="shared" si="1689"/>
        <v>0</v>
      </c>
      <c r="WV272" s="87">
        <f t="shared" si="1690"/>
        <v>0</v>
      </c>
      <c r="WW272" s="87">
        <f t="shared" si="1691"/>
        <v>0</v>
      </c>
      <c r="WX272" s="87">
        <f t="shared" si="1692"/>
        <v>0</v>
      </c>
      <c r="WY272" s="87">
        <f t="shared" si="1693"/>
        <v>0</v>
      </c>
      <c r="WZ272" s="87">
        <f t="shared" si="1677"/>
        <v>0</v>
      </c>
      <c r="XA272" s="87">
        <f t="shared" si="1678"/>
        <v>0</v>
      </c>
      <c r="XB272" s="92">
        <f t="shared" si="1679"/>
        <v>0</v>
      </c>
      <c r="XC272" s="92">
        <f t="shared" si="1680"/>
        <v>0</v>
      </c>
      <c r="XD272" s="89"/>
      <c r="XE272" s="92"/>
      <c r="XF272" s="92"/>
      <c r="XG272" s="89"/>
      <c r="XH272" s="92"/>
      <c r="XI272" s="92"/>
      <c r="XJ272" s="89"/>
      <c r="XK272" s="87"/>
      <c r="XL272" s="87"/>
      <c r="XM272" s="87"/>
      <c r="XN272" s="87"/>
      <c r="XO272" s="87"/>
      <c r="XP272" s="87"/>
      <c r="XQ272" s="87"/>
      <c r="XR272" s="92">
        <f t="shared" ca="1" si="1675"/>
        <v>0</v>
      </c>
      <c r="XS272" s="89"/>
      <c r="XT272" s="87"/>
      <c r="XU272" s="87"/>
      <c r="XV272" s="87"/>
      <c r="XW272" s="87"/>
      <c r="XX272" s="87"/>
      <c r="XY272" s="87"/>
      <c r="XZ272" s="87"/>
      <c r="YA272" s="92">
        <f t="shared" ca="1" si="1676"/>
        <v>0</v>
      </c>
      <c r="YB272" s="90"/>
      <c r="YC272" s="90"/>
      <c r="YD272" s="90"/>
      <c r="YE272" s="90"/>
      <c r="YF272" s="90"/>
      <c r="YG272" s="90"/>
      <c r="YH272" s="90"/>
      <c r="YI272" s="90"/>
      <c r="YJ272" s="90"/>
      <c r="YK272" s="90"/>
      <c r="YL272" s="90"/>
      <c r="YM272" s="90"/>
      <c r="YN272" s="90"/>
      <c r="YO272" s="90"/>
      <c r="YP272" s="90"/>
      <c r="YQ272" s="90"/>
      <c r="YR272" s="90"/>
      <c r="YS272" s="90"/>
      <c r="YT272" s="90"/>
      <c r="YU272" s="90"/>
      <c r="YV272" s="90"/>
      <c r="YW272" s="90"/>
      <c r="YX272" s="90"/>
      <c r="YY272" s="90"/>
      <c r="YZ272" s="90"/>
      <c r="ZA272" s="90"/>
      <c r="ZB272" s="90"/>
      <c r="ZC272" s="90"/>
      <c r="ZD272" s="90"/>
      <c r="ZE272" s="90"/>
      <c r="ZF272" s="90"/>
      <c r="ZG272" s="90"/>
      <c r="ZH272" s="90"/>
      <c r="ZI272" s="90"/>
      <c r="ZJ272" s="90"/>
      <c r="ZK272" s="90"/>
      <c r="ZL272" s="90"/>
      <c r="ZM272" s="90"/>
      <c r="ZN272" s="90"/>
      <c r="ZO272" s="90"/>
      <c r="ZP272" s="90"/>
      <c r="ZQ272" s="90"/>
      <c r="ZR272" s="90"/>
      <c r="ZS272" s="90"/>
      <c r="ZT272" s="90"/>
      <c r="ZU272" s="90"/>
      <c r="ZV272" s="90"/>
      <c r="ZW272" s="90"/>
      <c r="ZX272" s="90"/>
      <c r="ZY272" s="90"/>
      <c r="ZZ272" s="90"/>
      <c r="AAA272" s="90"/>
      <c r="AAB272" s="90"/>
      <c r="AAC272" s="90"/>
      <c r="AAD272" s="90"/>
      <c r="AAE272" s="90"/>
      <c r="AAF272" s="90"/>
      <c r="AAG272" s="90"/>
      <c r="AAH272" s="90"/>
      <c r="AAI272" s="90"/>
      <c r="AAJ272" s="90"/>
      <c r="AAK272" s="90"/>
      <c r="AAL272" s="90"/>
      <c r="AAM272" s="90"/>
      <c r="AAN272" s="90"/>
      <c r="AAO272" s="90"/>
      <c r="AAP272" s="90"/>
      <c r="AAQ272" s="90"/>
      <c r="AAR272" s="90"/>
      <c r="AAS272" s="90"/>
      <c r="AAT272" s="90"/>
      <c r="AAU272" s="90"/>
      <c r="AAV272" s="90"/>
      <c r="AAW272" s="90"/>
      <c r="AAX272" s="90"/>
      <c r="AAY272" s="90"/>
      <c r="AAZ272" s="90"/>
      <c r="ABA272" s="90"/>
      <c r="ABB272" s="90"/>
      <c r="ABC272" s="90"/>
      <c r="ABD272" s="90"/>
      <c r="ABE272" s="90"/>
      <c r="ABF272" s="90"/>
      <c r="ABG272" s="90"/>
      <c r="ABH272" s="90"/>
      <c r="ABI272" s="90"/>
      <c r="ABJ272" s="90"/>
      <c r="ABK272" s="90"/>
      <c r="ABL272" s="90"/>
      <c r="ABM272" s="90"/>
      <c r="ABN272" s="90"/>
      <c r="ABO272" s="90"/>
      <c r="ABP272" s="90"/>
      <c r="ABQ272" s="90"/>
      <c r="ABR272" s="90"/>
      <c r="ABS272" s="90"/>
      <c r="ABT272" s="90"/>
      <c r="ABU272" s="90"/>
      <c r="ABV272" s="90"/>
      <c r="ABW272" s="90"/>
      <c r="ABX272" s="90"/>
      <c r="ABY272" s="90"/>
      <c r="ABZ272" s="90"/>
      <c r="ACA272" s="90"/>
      <c r="ACB272" s="90"/>
      <c r="ACC272" s="90"/>
      <c r="ACD272" s="90"/>
      <c r="ACE272" s="90"/>
      <c r="ACF272" s="90"/>
      <c r="ACG272" s="90"/>
      <c r="ACH272" s="90"/>
      <c r="ACI272" s="90"/>
      <c r="ACJ272" s="90"/>
      <c r="ACK272" s="90"/>
      <c r="ACL272" s="90"/>
      <c r="ACM272" s="90"/>
      <c r="ACN272" s="90"/>
      <c r="ACO272" s="90"/>
      <c r="ACP272" s="90"/>
      <c r="ACQ272" s="90"/>
      <c r="ACR272" s="90"/>
      <c r="ACS272" s="90"/>
      <c r="ACT272" s="90"/>
      <c r="ACU272" s="90"/>
      <c r="ACV272" s="90"/>
      <c r="ACW272" s="90"/>
      <c r="ACX272" s="90"/>
      <c r="ACY272" s="90"/>
      <c r="ACZ272" s="90"/>
      <c r="ADA272" s="90"/>
      <c r="ADB272" s="90"/>
      <c r="ADC272" s="90"/>
      <c r="ADD272" s="90"/>
      <c r="ADE272" s="90"/>
      <c r="ADF272" s="90"/>
      <c r="ADG272" s="90"/>
      <c r="ADH272" s="90"/>
      <c r="ADI272" s="90"/>
      <c r="ADJ272" s="90"/>
      <c r="ADK272" s="90"/>
      <c r="ADL272" s="90"/>
      <c r="ADM272" s="90"/>
      <c r="ADN272" s="90"/>
      <c r="ADO272" s="90"/>
      <c r="ADP272" s="90"/>
      <c r="ADQ272" s="90"/>
      <c r="ADR272" s="90"/>
      <c r="ADS272" s="90"/>
      <c r="ADT272" s="90"/>
      <c r="ADU272" s="90"/>
      <c r="ADV272" s="90"/>
      <c r="ADW272" s="90"/>
      <c r="ADX272" s="90"/>
      <c r="ADY272" s="90"/>
      <c r="ADZ272" s="90"/>
      <c r="AEA272" s="90"/>
      <c r="AEB272" s="90"/>
      <c r="AEC272" s="90"/>
      <c r="AED272" s="90"/>
      <c r="AEE272" s="90"/>
      <c r="AEF272" s="90"/>
      <c r="AEG272" s="90"/>
      <c r="AEH272" s="90"/>
      <c r="AEI272" s="90"/>
      <c r="AEJ272" s="90"/>
      <c r="AEK272" s="90"/>
      <c r="AEL272" s="90"/>
      <c r="AEM272" s="90"/>
      <c r="AEN272" s="90"/>
      <c r="AEO272" s="90"/>
      <c r="AEP272" s="90"/>
      <c r="AEQ272" s="90"/>
      <c r="AER272" s="90"/>
      <c r="AES272" s="90"/>
      <c r="AET272" s="90"/>
      <c r="AEU272" s="90"/>
      <c r="AEV272" s="90"/>
      <c r="AEW272" s="90"/>
      <c r="AEX272" s="90"/>
      <c r="AEY272" s="90"/>
      <c r="AEZ272" s="90"/>
      <c r="AFA272" s="90"/>
      <c r="AFB272" s="90"/>
      <c r="AFC272" s="90"/>
      <c r="AFD272" s="90"/>
      <c r="AFE272" s="90"/>
      <c r="AFF272" s="90"/>
      <c r="AFG272" s="90"/>
      <c r="AFH272" s="90"/>
      <c r="AFI272" s="90"/>
      <c r="AFJ272" s="90"/>
      <c r="AFK272" s="90"/>
      <c r="AFL272" s="90"/>
      <c r="AFM272" s="90"/>
      <c r="AFN272" s="90"/>
      <c r="AFO272" s="90"/>
      <c r="AFP272" s="90"/>
      <c r="AFQ272" s="90"/>
      <c r="AFR272" s="90"/>
      <c r="AFS272" s="90"/>
      <c r="AFT272" s="90"/>
      <c r="AFU272" s="90"/>
      <c r="AFV272" s="90"/>
      <c r="AFW272" s="90"/>
      <c r="AFX272" s="90"/>
      <c r="AFY272" s="90"/>
      <c r="AFZ272" s="90"/>
      <c r="AGA272" s="90"/>
      <c r="AGB272" s="90"/>
      <c r="AGC272" s="90"/>
      <c r="AGD272" s="90"/>
      <c r="AGE272" s="90"/>
      <c r="AGF272" s="90"/>
      <c r="AGG272" s="90"/>
      <c r="AGH272" s="90"/>
      <c r="AGI272" s="90"/>
      <c r="AGJ272" s="90"/>
      <c r="AGK272" s="90"/>
      <c r="AGL272" s="90"/>
      <c r="AGM272" s="90"/>
      <c r="AGN272" s="90"/>
      <c r="AGO272" s="90"/>
      <c r="AGP272" s="90"/>
      <c r="AGQ272" s="90"/>
      <c r="AGR272" s="90"/>
      <c r="AGS272" s="90"/>
      <c r="AGT272" s="90"/>
      <c r="AGU272" s="90"/>
      <c r="AGV272" s="90"/>
      <c r="AGW272" s="90"/>
      <c r="AGX272" s="90"/>
      <c r="AGY272" s="90"/>
      <c r="AGZ272" s="90"/>
      <c r="AHA272" s="90"/>
      <c r="AHB272" s="90"/>
      <c r="AHC272" s="90"/>
      <c r="AHD272" s="90"/>
      <c r="AHE272" s="90"/>
      <c r="AHF272" s="90"/>
      <c r="AHG272" s="90"/>
      <c r="AHH272" s="90"/>
      <c r="AHI272" s="90"/>
      <c r="AHJ272" s="90"/>
      <c r="AHK272" s="90"/>
      <c r="AHL272" s="90"/>
      <c r="AHM272" s="90"/>
      <c r="AHN272" s="90"/>
      <c r="AHO272" s="90"/>
      <c r="AHP272" s="90"/>
      <c r="AHQ272" s="90"/>
      <c r="AHR272" s="90"/>
      <c r="AHS272" s="90"/>
      <c r="AHT272" s="90"/>
      <c r="AHU272" s="90"/>
      <c r="AHV272" s="90"/>
      <c r="AHW272" s="90"/>
      <c r="AHX272" s="90"/>
      <c r="AHY272" s="90"/>
      <c r="AHZ272" s="90"/>
      <c r="AIA272" s="90"/>
      <c r="AIB272" s="90"/>
      <c r="AIC272" s="90"/>
      <c r="AID272" s="90"/>
      <c r="AIE272" s="90"/>
      <c r="AIF272" s="90"/>
      <c r="AIG272" s="90"/>
      <c r="AIH272" s="90"/>
      <c r="AII272" s="90"/>
      <c r="AIJ272" s="90"/>
      <c r="AIK272" s="90"/>
      <c r="AIL272" s="90"/>
      <c r="AIM272" s="90"/>
      <c r="AIN272" s="90"/>
      <c r="AIO272" s="90"/>
      <c r="AIP272" s="90"/>
      <c r="AIQ272" s="90"/>
      <c r="AIR272" s="90"/>
      <c r="AIS272" s="90"/>
      <c r="AIT272" s="90"/>
      <c r="AIU272" s="90"/>
      <c r="AIV272" s="90"/>
      <c r="AIW272" s="90"/>
      <c r="AIX272" s="90"/>
      <c r="AIY272" s="90"/>
      <c r="AIZ272" s="90"/>
      <c r="AJA272" s="90"/>
      <c r="AJB272" s="90"/>
      <c r="AJC272" s="90"/>
      <c r="AJD272" s="90"/>
      <c r="AJE272" s="90"/>
      <c r="AJF272" s="90"/>
      <c r="AJG272" s="90"/>
      <c r="AJH272" s="90"/>
      <c r="AJI272" s="90"/>
      <c r="AJJ272" s="90"/>
      <c r="AJK272" s="90"/>
      <c r="AJL272" s="90"/>
      <c r="AJM272" s="90"/>
      <c r="AJN272" s="90"/>
      <c r="AJO272" s="90"/>
      <c r="AJP272" s="90"/>
      <c r="AJQ272" s="90"/>
      <c r="AJR272" s="90"/>
      <c r="AJS272" s="90"/>
      <c r="AJT272" s="90"/>
      <c r="AJU272" s="90"/>
      <c r="AJV272" s="90"/>
      <c r="AJW272" s="90"/>
      <c r="AJX272" s="90"/>
      <c r="AJY272" s="90"/>
      <c r="AJZ272" s="90"/>
      <c r="AKA272" s="90"/>
      <c r="AKB272" s="90"/>
      <c r="AKC272" s="90"/>
      <c r="AKD272" s="90"/>
      <c r="AKE272" s="90"/>
      <c r="AKF272" s="90"/>
      <c r="AKG272" s="90"/>
      <c r="AKH272" s="90"/>
      <c r="AKI272" s="90"/>
      <c r="AKJ272" s="90"/>
      <c r="AKK272" s="90"/>
      <c r="AKL272" s="90"/>
      <c r="AKM272" s="90"/>
      <c r="AKN272" s="90"/>
      <c r="AKO272" s="90"/>
      <c r="AKP272" s="90"/>
      <c r="AKQ272" s="90"/>
      <c r="AKR272" s="90"/>
      <c r="AKS272" s="90"/>
      <c r="AKT272" s="90"/>
      <c r="AKU272" s="90"/>
      <c r="AKV272" s="90"/>
      <c r="AKW272" s="90"/>
      <c r="AKX272" s="90"/>
      <c r="AKY272" s="90"/>
      <c r="AKZ272" s="90"/>
      <c r="ALA272" s="90"/>
      <c r="ALB272" s="90"/>
      <c r="ALC272" s="90"/>
      <c r="ALD272" s="90"/>
      <c r="ALE272" s="90"/>
      <c r="ALF272" s="90"/>
      <c r="ALG272" s="90"/>
      <c r="ALH272" s="90"/>
      <c r="ALI272" s="90"/>
      <c r="ALJ272" s="90"/>
      <c r="ALK272" s="90"/>
      <c r="ALL272" s="90"/>
      <c r="ALM272" s="90"/>
      <c r="ALN272" s="90"/>
      <c r="ALO272" s="90"/>
      <c r="ALP272" s="90"/>
      <c r="ALQ272" s="90"/>
      <c r="ALR272" s="90"/>
      <c r="ALS272" s="90"/>
      <c r="ALT272" s="90"/>
      <c r="ALU272" s="90"/>
      <c r="ALV272" s="90"/>
      <c r="ALW272" s="90"/>
      <c r="ALX272" s="90"/>
      <c r="ALY272" s="90"/>
      <c r="ALZ272" s="90"/>
      <c r="AMA272" s="90"/>
      <c r="AMB272" s="90"/>
      <c r="AMC272" s="90"/>
    </row>
    <row r="273" spans="1:1017">
      <c r="A273" s="98" t="s">
        <v>51</v>
      </c>
      <c r="B273" s="90" t="str">
        <f t="shared" si="1681"/>
        <v xml:space="preserve">Udang_05 (Udang Lainnya) </v>
      </c>
      <c r="Q273" s="91">
        <f t="shared" si="1583"/>
        <v>0</v>
      </c>
      <c r="R273" s="91">
        <f t="shared" si="1584"/>
        <v>0</v>
      </c>
      <c r="AG273" s="91">
        <f t="shared" si="1585"/>
        <v>0</v>
      </c>
      <c r="AH273" s="91">
        <f t="shared" si="1586"/>
        <v>0</v>
      </c>
      <c r="AW273" s="91">
        <f t="shared" si="1587"/>
        <v>0</v>
      </c>
      <c r="AX273" s="91">
        <f t="shared" si="1588"/>
        <v>0</v>
      </c>
      <c r="BM273" s="91">
        <f t="shared" si="1589"/>
        <v>0</v>
      </c>
      <c r="BN273" s="91">
        <f t="shared" si="1590"/>
        <v>0</v>
      </c>
      <c r="CC273" s="91">
        <f t="shared" si="1591"/>
        <v>0</v>
      </c>
      <c r="CD273" s="91">
        <f t="shared" si="1592"/>
        <v>0</v>
      </c>
      <c r="CS273" s="91">
        <f t="shared" si="1593"/>
        <v>0</v>
      </c>
      <c r="CT273" s="91">
        <f t="shared" si="1594"/>
        <v>0</v>
      </c>
      <c r="DI273" s="91">
        <f t="shared" si="1595"/>
        <v>0</v>
      </c>
      <c r="DJ273" s="91">
        <f t="shared" si="1596"/>
        <v>0</v>
      </c>
      <c r="DY273" s="91">
        <f t="shared" si="1597"/>
        <v>0</v>
      </c>
      <c r="DZ273" s="91">
        <f t="shared" si="1598"/>
        <v>0</v>
      </c>
      <c r="EO273" s="91">
        <f t="shared" si="1599"/>
        <v>0</v>
      </c>
      <c r="EP273" s="91">
        <f t="shared" si="1600"/>
        <v>0</v>
      </c>
      <c r="FE273" s="91">
        <f t="shared" si="1601"/>
        <v>0</v>
      </c>
      <c r="FF273" s="91">
        <f t="shared" si="1602"/>
        <v>0</v>
      </c>
      <c r="FU273" s="91">
        <f t="shared" si="1603"/>
        <v>0</v>
      </c>
      <c r="FV273" s="91">
        <f t="shared" si="1604"/>
        <v>0</v>
      </c>
      <c r="GK273" s="91">
        <f t="shared" si="1605"/>
        <v>0</v>
      </c>
      <c r="GL273" s="91">
        <f t="shared" si="1606"/>
        <v>0</v>
      </c>
      <c r="HA273" s="91">
        <f t="shared" si="1607"/>
        <v>0</v>
      </c>
      <c r="HB273" s="91">
        <f t="shared" si="1608"/>
        <v>0</v>
      </c>
      <c r="HQ273" s="91">
        <f t="shared" si="1609"/>
        <v>0</v>
      </c>
      <c r="HR273" s="91">
        <f t="shared" si="1610"/>
        <v>0</v>
      </c>
      <c r="IG273" s="91">
        <f t="shared" si="1611"/>
        <v>0</v>
      </c>
      <c r="IH273" s="91">
        <f t="shared" si="1612"/>
        <v>0</v>
      </c>
      <c r="IW273" s="91">
        <f t="shared" si="1613"/>
        <v>0</v>
      </c>
      <c r="IX273" s="91">
        <f t="shared" si="1614"/>
        <v>0</v>
      </c>
      <c r="JM273" s="91">
        <f t="shared" si="1615"/>
        <v>0</v>
      </c>
      <c r="JN273" s="91">
        <f t="shared" si="1616"/>
        <v>0</v>
      </c>
      <c r="KC273" s="91">
        <f t="shared" si="1617"/>
        <v>0</v>
      </c>
      <c r="KD273" s="91">
        <f t="shared" si="1618"/>
        <v>0</v>
      </c>
      <c r="KS273" s="91">
        <f t="shared" si="1619"/>
        <v>0</v>
      </c>
      <c r="KT273" s="91">
        <f t="shared" si="1620"/>
        <v>0</v>
      </c>
      <c r="LI273" s="91">
        <f t="shared" si="1621"/>
        <v>0</v>
      </c>
      <c r="LJ273" s="91">
        <f t="shared" si="1622"/>
        <v>0</v>
      </c>
      <c r="LY273" s="91">
        <f t="shared" si="1623"/>
        <v>0</v>
      </c>
      <c r="LZ273" s="91">
        <f t="shared" si="1624"/>
        <v>0</v>
      </c>
      <c r="MO273" s="91">
        <f t="shared" si="1625"/>
        <v>0</v>
      </c>
      <c r="MP273" s="91">
        <f t="shared" si="1626"/>
        <v>0</v>
      </c>
      <c r="NE273" s="91">
        <f t="shared" si="1627"/>
        <v>0</v>
      </c>
      <c r="NF273" s="91">
        <f t="shared" si="1628"/>
        <v>0</v>
      </c>
      <c r="NU273" s="91">
        <f t="shared" si="1629"/>
        <v>0</v>
      </c>
      <c r="NV273" s="91">
        <f t="shared" si="1630"/>
        <v>0</v>
      </c>
      <c r="OK273" s="91">
        <f t="shared" si="1631"/>
        <v>0</v>
      </c>
      <c r="OL273" s="91">
        <f t="shared" si="1632"/>
        <v>0</v>
      </c>
      <c r="PA273" s="91">
        <f t="shared" si="1633"/>
        <v>0</v>
      </c>
      <c r="PB273" s="91">
        <f t="shared" si="1634"/>
        <v>0</v>
      </c>
      <c r="PQ273" s="91">
        <f t="shared" si="1635"/>
        <v>0</v>
      </c>
      <c r="PR273" s="91">
        <f t="shared" si="1636"/>
        <v>0</v>
      </c>
      <c r="QG273" s="91">
        <f t="shared" si="1637"/>
        <v>0</v>
      </c>
      <c r="QH273" s="91">
        <f t="shared" si="1638"/>
        <v>0</v>
      </c>
      <c r="QW273" s="91">
        <f t="shared" si="1639"/>
        <v>0</v>
      </c>
      <c r="QX273" s="91">
        <f t="shared" si="1640"/>
        <v>0</v>
      </c>
      <c r="RM273" s="91">
        <f t="shared" si="1641"/>
        <v>0</v>
      </c>
      <c r="RN273" s="91">
        <f t="shared" si="1642"/>
        <v>0</v>
      </c>
      <c r="SC273" s="91">
        <f t="shared" si="1643"/>
        <v>0</v>
      </c>
      <c r="SD273" s="91">
        <f t="shared" si="1644"/>
        <v>0</v>
      </c>
      <c r="SS273" s="91">
        <f t="shared" si="1645"/>
        <v>0</v>
      </c>
      <c r="ST273" s="91">
        <f t="shared" si="1646"/>
        <v>0</v>
      </c>
      <c r="TI273" s="91">
        <f t="shared" si="1647"/>
        <v>0</v>
      </c>
      <c r="TJ273" s="91">
        <f t="shared" si="1648"/>
        <v>0</v>
      </c>
      <c r="TY273" s="91">
        <f t="shared" si="1649"/>
        <v>0</v>
      </c>
      <c r="TZ273" s="91">
        <f t="shared" si="1650"/>
        <v>0</v>
      </c>
      <c r="UO273" s="91">
        <f t="shared" si="1651"/>
        <v>0</v>
      </c>
      <c r="UP273" s="91">
        <f t="shared" si="1652"/>
        <v>0</v>
      </c>
      <c r="VE273" s="91">
        <f t="shared" si="1653"/>
        <v>0</v>
      </c>
      <c r="VF273" s="91">
        <f t="shared" si="1654"/>
        <v>0</v>
      </c>
      <c r="VU273" s="91">
        <f t="shared" si="1655"/>
        <v>0</v>
      </c>
      <c r="VV273" s="91">
        <f t="shared" si="1656"/>
        <v>0</v>
      </c>
      <c r="WK273" s="91">
        <f t="shared" si="1657"/>
        <v>0</v>
      </c>
      <c r="WL273" s="91">
        <f t="shared" si="1658"/>
        <v>0</v>
      </c>
      <c r="WM273" s="89"/>
      <c r="WN273" s="87">
        <f t="shared" si="1682"/>
        <v>0</v>
      </c>
      <c r="WO273" s="87">
        <f t="shared" si="1683"/>
        <v>0</v>
      </c>
      <c r="WP273" s="87">
        <f t="shared" si="1684"/>
        <v>0</v>
      </c>
      <c r="WQ273" s="87">
        <f t="shared" si="1685"/>
        <v>0</v>
      </c>
      <c r="WR273" s="87">
        <f t="shared" si="1686"/>
        <v>0</v>
      </c>
      <c r="WS273" s="87">
        <f t="shared" si="1687"/>
        <v>0</v>
      </c>
      <c r="WT273" s="87">
        <f t="shared" si="1688"/>
        <v>0</v>
      </c>
      <c r="WU273" s="87">
        <f t="shared" si="1689"/>
        <v>0</v>
      </c>
      <c r="WV273" s="87">
        <f t="shared" si="1690"/>
        <v>0</v>
      </c>
      <c r="WW273" s="87">
        <f t="shared" si="1691"/>
        <v>0</v>
      </c>
      <c r="WX273" s="87">
        <f t="shared" si="1692"/>
        <v>0</v>
      </c>
      <c r="WY273" s="87">
        <f t="shared" si="1693"/>
        <v>0</v>
      </c>
      <c r="WZ273" s="87">
        <f t="shared" si="1677"/>
        <v>0</v>
      </c>
      <c r="XA273" s="87">
        <f t="shared" si="1678"/>
        <v>0</v>
      </c>
      <c r="XB273" s="92">
        <f t="shared" si="1679"/>
        <v>0</v>
      </c>
      <c r="XC273" s="92">
        <f t="shared" si="1680"/>
        <v>0</v>
      </c>
      <c r="XD273" s="89"/>
      <c r="XE273" s="92"/>
      <c r="XF273" s="92"/>
      <c r="XG273" s="89"/>
      <c r="XH273" s="92"/>
      <c r="XI273" s="92"/>
      <c r="XJ273" s="89"/>
      <c r="XK273" s="87"/>
      <c r="XL273" s="87"/>
      <c r="XM273" s="87"/>
      <c r="XN273" s="87"/>
      <c r="XO273" s="87"/>
      <c r="XP273" s="87"/>
      <c r="XQ273" s="87"/>
      <c r="XR273" s="92">
        <f t="shared" ca="1" si="1675"/>
        <v>0</v>
      </c>
      <c r="XS273" s="89"/>
      <c r="XT273" s="87"/>
      <c r="XU273" s="87"/>
      <c r="XV273" s="87"/>
      <c r="XW273" s="87"/>
      <c r="XX273" s="87"/>
      <c r="XY273" s="87"/>
      <c r="XZ273" s="87"/>
      <c r="YA273" s="92">
        <f t="shared" ca="1" si="1676"/>
        <v>0</v>
      </c>
      <c r="YB273" s="90"/>
      <c r="YC273" s="90"/>
      <c r="YD273" s="90"/>
      <c r="YE273" s="90"/>
      <c r="YF273" s="90"/>
      <c r="YG273" s="90"/>
      <c r="YH273" s="90"/>
      <c r="YI273" s="90"/>
      <c r="YJ273" s="90"/>
      <c r="YK273" s="90"/>
      <c r="YL273" s="90"/>
      <c r="YM273" s="90"/>
      <c r="YN273" s="90"/>
      <c r="YO273" s="90"/>
      <c r="YP273" s="90"/>
      <c r="YQ273" s="90"/>
      <c r="YR273" s="90"/>
      <c r="YS273" s="90"/>
      <c r="YT273" s="90"/>
      <c r="YU273" s="90"/>
      <c r="YV273" s="90"/>
      <c r="YW273" s="90"/>
      <c r="YX273" s="90"/>
      <c r="YY273" s="90"/>
      <c r="YZ273" s="90"/>
      <c r="ZA273" s="90"/>
      <c r="ZB273" s="90"/>
      <c r="ZC273" s="90"/>
      <c r="ZD273" s="90"/>
      <c r="ZE273" s="90"/>
      <c r="ZF273" s="90"/>
      <c r="ZG273" s="90"/>
      <c r="ZH273" s="90"/>
      <c r="ZI273" s="90"/>
      <c r="ZJ273" s="90"/>
      <c r="ZK273" s="90"/>
      <c r="ZL273" s="90"/>
      <c r="ZM273" s="90"/>
      <c r="ZN273" s="90"/>
      <c r="ZO273" s="90"/>
      <c r="ZP273" s="90"/>
      <c r="ZQ273" s="90"/>
      <c r="ZR273" s="90"/>
      <c r="ZS273" s="90"/>
      <c r="ZT273" s="90"/>
      <c r="ZU273" s="90"/>
      <c r="ZV273" s="90"/>
      <c r="ZW273" s="90"/>
      <c r="ZX273" s="90"/>
      <c r="ZY273" s="90"/>
      <c r="ZZ273" s="90"/>
      <c r="AAA273" s="90"/>
      <c r="AAB273" s="90"/>
      <c r="AAC273" s="90"/>
      <c r="AAD273" s="90"/>
      <c r="AAE273" s="90"/>
      <c r="AAF273" s="90"/>
      <c r="AAG273" s="90"/>
      <c r="AAH273" s="90"/>
      <c r="AAI273" s="90"/>
      <c r="AAJ273" s="90"/>
      <c r="AAK273" s="90"/>
      <c r="AAL273" s="90"/>
      <c r="AAM273" s="90"/>
      <c r="AAN273" s="90"/>
      <c r="AAO273" s="90"/>
      <c r="AAP273" s="90"/>
      <c r="AAQ273" s="90"/>
      <c r="AAR273" s="90"/>
      <c r="AAS273" s="90"/>
      <c r="AAT273" s="90"/>
      <c r="AAU273" s="90"/>
      <c r="AAV273" s="90"/>
      <c r="AAW273" s="90"/>
      <c r="AAX273" s="90"/>
      <c r="AAY273" s="90"/>
      <c r="AAZ273" s="90"/>
      <c r="ABA273" s="90"/>
      <c r="ABB273" s="90"/>
      <c r="ABC273" s="90"/>
      <c r="ABD273" s="90"/>
      <c r="ABE273" s="90"/>
      <c r="ABF273" s="90"/>
      <c r="ABG273" s="90"/>
      <c r="ABH273" s="90"/>
      <c r="ABI273" s="90"/>
      <c r="ABJ273" s="90"/>
      <c r="ABK273" s="90"/>
      <c r="ABL273" s="90"/>
      <c r="ABM273" s="90"/>
      <c r="ABN273" s="90"/>
      <c r="ABO273" s="90"/>
      <c r="ABP273" s="90"/>
      <c r="ABQ273" s="90"/>
      <c r="ABR273" s="90"/>
      <c r="ABS273" s="90"/>
      <c r="ABT273" s="90"/>
      <c r="ABU273" s="90"/>
      <c r="ABV273" s="90"/>
      <c r="ABW273" s="90"/>
      <c r="ABX273" s="90"/>
      <c r="ABY273" s="90"/>
      <c r="ABZ273" s="90"/>
      <c r="ACA273" s="90"/>
      <c r="ACB273" s="90"/>
      <c r="ACC273" s="90"/>
      <c r="ACD273" s="90"/>
      <c r="ACE273" s="90"/>
      <c r="ACF273" s="90"/>
      <c r="ACG273" s="90"/>
      <c r="ACH273" s="90"/>
      <c r="ACI273" s="90"/>
      <c r="ACJ273" s="90"/>
      <c r="ACK273" s="90"/>
      <c r="ACL273" s="90"/>
      <c r="ACM273" s="90"/>
      <c r="ACN273" s="90"/>
      <c r="ACO273" s="90"/>
      <c r="ACP273" s="90"/>
      <c r="ACQ273" s="90"/>
      <c r="ACR273" s="90"/>
      <c r="ACS273" s="90"/>
      <c r="ACT273" s="90"/>
      <c r="ACU273" s="90"/>
      <c r="ACV273" s="90"/>
      <c r="ACW273" s="90"/>
      <c r="ACX273" s="90"/>
      <c r="ACY273" s="90"/>
      <c r="ACZ273" s="90"/>
      <c r="ADA273" s="90"/>
      <c r="ADB273" s="90"/>
      <c r="ADC273" s="90"/>
      <c r="ADD273" s="90"/>
      <c r="ADE273" s="90"/>
      <c r="ADF273" s="90"/>
      <c r="ADG273" s="90"/>
      <c r="ADH273" s="90"/>
      <c r="ADI273" s="90"/>
      <c r="ADJ273" s="90"/>
      <c r="ADK273" s="90"/>
      <c r="ADL273" s="90"/>
      <c r="ADM273" s="90"/>
      <c r="ADN273" s="90"/>
      <c r="ADO273" s="90"/>
      <c r="ADP273" s="90"/>
      <c r="ADQ273" s="90"/>
      <c r="ADR273" s="90"/>
      <c r="ADS273" s="90"/>
      <c r="ADT273" s="90"/>
      <c r="ADU273" s="90"/>
      <c r="ADV273" s="90"/>
      <c r="ADW273" s="90"/>
      <c r="ADX273" s="90"/>
      <c r="ADY273" s="90"/>
      <c r="ADZ273" s="90"/>
      <c r="AEA273" s="90"/>
      <c r="AEB273" s="90"/>
      <c r="AEC273" s="90"/>
      <c r="AED273" s="90"/>
      <c r="AEE273" s="90"/>
      <c r="AEF273" s="90"/>
      <c r="AEG273" s="90"/>
      <c r="AEH273" s="90"/>
      <c r="AEI273" s="90"/>
      <c r="AEJ273" s="90"/>
      <c r="AEK273" s="90"/>
      <c r="AEL273" s="90"/>
      <c r="AEM273" s="90"/>
      <c r="AEN273" s="90"/>
      <c r="AEO273" s="90"/>
      <c r="AEP273" s="90"/>
      <c r="AEQ273" s="90"/>
      <c r="AER273" s="90"/>
      <c r="AES273" s="90"/>
      <c r="AET273" s="90"/>
      <c r="AEU273" s="90"/>
      <c r="AEV273" s="90"/>
      <c r="AEW273" s="90"/>
      <c r="AEX273" s="90"/>
      <c r="AEY273" s="90"/>
      <c r="AEZ273" s="90"/>
      <c r="AFA273" s="90"/>
      <c r="AFB273" s="90"/>
      <c r="AFC273" s="90"/>
      <c r="AFD273" s="90"/>
      <c r="AFE273" s="90"/>
      <c r="AFF273" s="90"/>
      <c r="AFG273" s="90"/>
      <c r="AFH273" s="90"/>
      <c r="AFI273" s="90"/>
      <c r="AFJ273" s="90"/>
      <c r="AFK273" s="90"/>
      <c r="AFL273" s="90"/>
      <c r="AFM273" s="90"/>
      <c r="AFN273" s="90"/>
      <c r="AFO273" s="90"/>
      <c r="AFP273" s="90"/>
      <c r="AFQ273" s="90"/>
      <c r="AFR273" s="90"/>
      <c r="AFS273" s="90"/>
      <c r="AFT273" s="90"/>
      <c r="AFU273" s="90"/>
      <c r="AFV273" s="90"/>
      <c r="AFW273" s="90"/>
      <c r="AFX273" s="90"/>
      <c r="AFY273" s="90"/>
      <c r="AFZ273" s="90"/>
      <c r="AGA273" s="90"/>
      <c r="AGB273" s="90"/>
      <c r="AGC273" s="90"/>
      <c r="AGD273" s="90"/>
      <c r="AGE273" s="90"/>
      <c r="AGF273" s="90"/>
      <c r="AGG273" s="90"/>
      <c r="AGH273" s="90"/>
      <c r="AGI273" s="90"/>
      <c r="AGJ273" s="90"/>
      <c r="AGK273" s="90"/>
      <c r="AGL273" s="90"/>
      <c r="AGM273" s="90"/>
      <c r="AGN273" s="90"/>
      <c r="AGO273" s="90"/>
      <c r="AGP273" s="90"/>
      <c r="AGQ273" s="90"/>
      <c r="AGR273" s="90"/>
      <c r="AGS273" s="90"/>
      <c r="AGT273" s="90"/>
      <c r="AGU273" s="90"/>
      <c r="AGV273" s="90"/>
      <c r="AGW273" s="90"/>
      <c r="AGX273" s="90"/>
      <c r="AGY273" s="90"/>
      <c r="AGZ273" s="90"/>
      <c r="AHA273" s="90"/>
      <c r="AHB273" s="90"/>
      <c r="AHC273" s="90"/>
      <c r="AHD273" s="90"/>
      <c r="AHE273" s="90"/>
      <c r="AHF273" s="90"/>
      <c r="AHG273" s="90"/>
      <c r="AHH273" s="90"/>
      <c r="AHI273" s="90"/>
      <c r="AHJ273" s="90"/>
      <c r="AHK273" s="90"/>
      <c r="AHL273" s="90"/>
      <c r="AHM273" s="90"/>
      <c r="AHN273" s="90"/>
      <c r="AHO273" s="90"/>
      <c r="AHP273" s="90"/>
      <c r="AHQ273" s="90"/>
      <c r="AHR273" s="90"/>
      <c r="AHS273" s="90"/>
      <c r="AHT273" s="90"/>
      <c r="AHU273" s="90"/>
      <c r="AHV273" s="90"/>
      <c r="AHW273" s="90"/>
      <c r="AHX273" s="90"/>
      <c r="AHY273" s="90"/>
      <c r="AHZ273" s="90"/>
      <c r="AIA273" s="90"/>
      <c r="AIB273" s="90"/>
      <c r="AIC273" s="90"/>
      <c r="AID273" s="90"/>
      <c r="AIE273" s="90"/>
      <c r="AIF273" s="90"/>
      <c r="AIG273" s="90"/>
      <c r="AIH273" s="90"/>
      <c r="AII273" s="90"/>
      <c r="AIJ273" s="90"/>
      <c r="AIK273" s="90"/>
      <c r="AIL273" s="90"/>
      <c r="AIM273" s="90"/>
      <c r="AIN273" s="90"/>
      <c r="AIO273" s="90"/>
      <c r="AIP273" s="90"/>
      <c r="AIQ273" s="90"/>
      <c r="AIR273" s="90"/>
      <c r="AIS273" s="90"/>
      <c r="AIT273" s="90"/>
      <c r="AIU273" s="90"/>
      <c r="AIV273" s="90"/>
      <c r="AIW273" s="90"/>
      <c r="AIX273" s="90"/>
      <c r="AIY273" s="90"/>
      <c r="AIZ273" s="90"/>
      <c r="AJA273" s="90"/>
      <c r="AJB273" s="90"/>
      <c r="AJC273" s="90"/>
      <c r="AJD273" s="90"/>
      <c r="AJE273" s="90"/>
      <c r="AJF273" s="90"/>
      <c r="AJG273" s="90"/>
      <c r="AJH273" s="90"/>
      <c r="AJI273" s="90"/>
      <c r="AJJ273" s="90"/>
      <c r="AJK273" s="90"/>
      <c r="AJL273" s="90"/>
      <c r="AJM273" s="90"/>
      <c r="AJN273" s="90"/>
      <c r="AJO273" s="90"/>
      <c r="AJP273" s="90"/>
      <c r="AJQ273" s="90"/>
      <c r="AJR273" s="90"/>
      <c r="AJS273" s="90"/>
      <c r="AJT273" s="90"/>
      <c r="AJU273" s="90"/>
      <c r="AJV273" s="90"/>
      <c r="AJW273" s="90"/>
      <c r="AJX273" s="90"/>
      <c r="AJY273" s="90"/>
      <c r="AJZ273" s="90"/>
      <c r="AKA273" s="90"/>
      <c r="AKB273" s="90"/>
      <c r="AKC273" s="90"/>
      <c r="AKD273" s="90"/>
      <c r="AKE273" s="90"/>
      <c r="AKF273" s="90"/>
      <c r="AKG273" s="90"/>
      <c r="AKH273" s="90"/>
      <c r="AKI273" s="90"/>
      <c r="AKJ273" s="90"/>
      <c r="AKK273" s="90"/>
      <c r="AKL273" s="90"/>
      <c r="AKM273" s="90"/>
      <c r="AKN273" s="90"/>
      <c r="AKO273" s="90"/>
      <c r="AKP273" s="90"/>
      <c r="AKQ273" s="90"/>
      <c r="AKR273" s="90"/>
      <c r="AKS273" s="90"/>
      <c r="AKT273" s="90"/>
      <c r="AKU273" s="90"/>
      <c r="AKV273" s="90"/>
      <c r="AKW273" s="90"/>
      <c r="AKX273" s="90"/>
      <c r="AKY273" s="90"/>
      <c r="AKZ273" s="90"/>
      <c r="ALA273" s="90"/>
      <c r="ALB273" s="90"/>
      <c r="ALC273" s="90"/>
      <c r="ALD273" s="90"/>
      <c r="ALE273" s="90"/>
      <c r="ALF273" s="90"/>
      <c r="ALG273" s="90"/>
      <c r="ALH273" s="90"/>
      <c r="ALI273" s="90"/>
      <c r="ALJ273" s="90"/>
      <c r="ALK273" s="90"/>
      <c r="ALL273" s="90"/>
      <c r="ALM273" s="90"/>
      <c r="ALN273" s="90"/>
      <c r="ALO273" s="90"/>
      <c r="ALP273" s="90"/>
      <c r="ALQ273" s="90"/>
      <c r="ALR273" s="90"/>
      <c r="ALS273" s="90"/>
      <c r="ALT273" s="90"/>
      <c r="ALU273" s="90"/>
      <c r="ALV273" s="90"/>
      <c r="ALW273" s="90"/>
      <c r="ALX273" s="90"/>
      <c r="ALY273" s="90"/>
      <c r="ALZ273" s="90"/>
      <c r="AMA273" s="90"/>
      <c r="AMB273" s="90"/>
      <c r="AMC273" s="90"/>
    </row>
    <row r="274" spans="1:1017">
      <c r="A274" s="98" t="s">
        <v>51</v>
      </c>
      <c r="B274" s="90" t="str">
        <f t="shared" si="1681"/>
        <v>Ikan_01 (Ikan Lainnya)</v>
      </c>
      <c r="Q274" s="91">
        <f t="shared" si="1583"/>
        <v>0</v>
      </c>
      <c r="R274" s="91">
        <f t="shared" si="1584"/>
        <v>0</v>
      </c>
      <c r="AG274" s="91">
        <f t="shared" si="1585"/>
        <v>0</v>
      </c>
      <c r="AH274" s="91">
        <f t="shared" si="1586"/>
        <v>0</v>
      </c>
      <c r="AW274" s="91">
        <f t="shared" si="1587"/>
        <v>0</v>
      </c>
      <c r="AX274" s="91">
        <f t="shared" si="1588"/>
        <v>0</v>
      </c>
      <c r="BM274" s="91">
        <f t="shared" si="1589"/>
        <v>0</v>
      </c>
      <c r="BN274" s="91">
        <f t="shared" si="1590"/>
        <v>0</v>
      </c>
      <c r="CC274" s="91">
        <f t="shared" si="1591"/>
        <v>0</v>
      </c>
      <c r="CD274" s="91">
        <f t="shared" si="1592"/>
        <v>0</v>
      </c>
      <c r="CG274" s="98">
        <v>250742.08291367115</v>
      </c>
      <c r="CH274" s="98">
        <v>752226.24874101346</v>
      </c>
      <c r="CK274" s="98">
        <v>309253</v>
      </c>
      <c r="CL274" s="98">
        <v>927759.36025040236</v>
      </c>
      <c r="CS274" s="91">
        <f t="shared" si="1593"/>
        <v>559995.08291367115</v>
      </c>
      <c r="CT274" s="91">
        <f t="shared" si="1594"/>
        <v>1679985.6089914157</v>
      </c>
      <c r="DI274" s="91">
        <f t="shared" si="1595"/>
        <v>0</v>
      </c>
      <c r="DJ274" s="91">
        <f t="shared" si="1596"/>
        <v>0</v>
      </c>
      <c r="DY274" s="91">
        <f t="shared" si="1597"/>
        <v>0</v>
      </c>
      <c r="DZ274" s="91">
        <f t="shared" si="1598"/>
        <v>0</v>
      </c>
      <c r="EO274" s="91">
        <f t="shared" si="1599"/>
        <v>0</v>
      </c>
      <c r="EP274" s="91">
        <f t="shared" si="1600"/>
        <v>0</v>
      </c>
      <c r="FE274" s="91">
        <f t="shared" si="1601"/>
        <v>0</v>
      </c>
      <c r="FF274" s="91">
        <f t="shared" si="1602"/>
        <v>0</v>
      </c>
      <c r="FU274" s="91">
        <f t="shared" si="1603"/>
        <v>0</v>
      </c>
      <c r="FV274" s="91">
        <f t="shared" si="1604"/>
        <v>0</v>
      </c>
      <c r="GK274" s="91">
        <f t="shared" si="1605"/>
        <v>0</v>
      </c>
      <c r="GL274" s="91">
        <f t="shared" si="1606"/>
        <v>0</v>
      </c>
      <c r="HA274" s="91">
        <f t="shared" si="1607"/>
        <v>0</v>
      </c>
      <c r="HB274" s="91">
        <f t="shared" si="1608"/>
        <v>0</v>
      </c>
      <c r="HQ274" s="91">
        <f t="shared" si="1609"/>
        <v>0</v>
      </c>
      <c r="HR274" s="91">
        <f t="shared" si="1610"/>
        <v>0</v>
      </c>
      <c r="IG274" s="91">
        <f t="shared" si="1611"/>
        <v>0</v>
      </c>
      <c r="IH274" s="91">
        <f t="shared" si="1612"/>
        <v>0</v>
      </c>
      <c r="IW274" s="91">
        <f t="shared" si="1613"/>
        <v>0</v>
      </c>
      <c r="IX274" s="91">
        <f t="shared" si="1614"/>
        <v>0</v>
      </c>
      <c r="JM274" s="91">
        <f t="shared" si="1615"/>
        <v>0</v>
      </c>
      <c r="JN274" s="91">
        <f t="shared" si="1616"/>
        <v>0</v>
      </c>
      <c r="KC274" s="91">
        <f t="shared" si="1617"/>
        <v>0</v>
      </c>
      <c r="KD274" s="91">
        <f t="shared" si="1618"/>
        <v>0</v>
      </c>
      <c r="KS274" s="91">
        <f t="shared" si="1619"/>
        <v>0</v>
      </c>
      <c r="KT274" s="91">
        <f t="shared" si="1620"/>
        <v>0</v>
      </c>
      <c r="LI274" s="91">
        <f t="shared" si="1621"/>
        <v>0</v>
      </c>
      <c r="LJ274" s="91">
        <f t="shared" si="1622"/>
        <v>0</v>
      </c>
      <c r="LY274" s="91">
        <f t="shared" si="1623"/>
        <v>0</v>
      </c>
      <c r="LZ274" s="91">
        <f t="shared" si="1624"/>
        <v>0</v>
      </c>
      <c r="MO274" s="91">
        <f t="shared" si="1625"/>
        <v>0</v>
      </c>
      <c r="MP274" s="91">
        <f t="shared" si="1626"/>
        <v>0</v>
      </c>
      <c r="NE274" s="91">
        <f t="shared" si="1627"/>
        <v>0</v>
      </c>
      <c r="NF274" s="91">
        <f t="shared" si="1628"/>
        <v>0</v>
      </c>
      <c r="NU274" s="91">
        <f t="shared" si="1629"/>
        <v>0</v>
      </c>
      <c r="NV274" s="91">
        <f t="shared" si="1630"/>
        <v>0</v>
      </c>
      <c r="OK274" s="91">
        <f t="shared" si="1631"/>
        <v>0</v>
      </c>
      <c r="OL274" s="91">
        <f t="shared" si="1632"/>
        <v>0</v>
      </c>
      <c r="PA274" s="91">
        <f t="shared" si="1633"/>
        <v>0</v>
      </c>
      <c r="PB274" s="91">
        <f t="shared" si="1634"/>
        <v>0</v>
      </c>
      <c r="PQ274" s="91">
        <f t="shared" si="1635"/>
        <v>0</v>
      </c>
      <c r="PR274" s="91">
        <f t="shared" si="1636"/>
        <v>0</v>
      </c>
      <c r="QG274" s="91">
        <f t="shared" si="1637"/>
        <v>0</v>
      </c>
      <c r="QH274" s="91">
        <f t="shared" si="1638"/>
        <v>0</v>
      </c>
      <c r="QW274" s="91">
        <f t="shared" si="1639"/>
        <v>0</v>
      </c>
      <c r="QX274" s="91">
        <f t="shared" si="1640"/>
        <v>0</v>
      </c>
      <c r="RM274" s="91">
        <f t="shared" si="1641"/>
        <v>0</v>
      </c>
      <c r="RN274" s="91">
        <f t="shared" si="1642"/>
        <v>0</v>
      </c>
      <c r="SC274" s="91">
        <f t="shared" si="1643"/>
        <v>0</v>
      </c>
      <c r="SD274" s="91">
        <f t="shared" si="1644"/>
        <v>0</v>
      </c>
      <c r="SS274" s="91">
        <f t="shared" si="1645"/>
        <v>0</v>
      </c>
      <c r="ST274" s="91">
        <f t="shared" si="1646"/>
        <v>0</v>
      </c>
      <c r="TI274" s="91">
        <f t="shared" si="1647"/>
        <v>0</v>
      </c>
      <c r="TJ274" s="91">
        <f t="shared" si="1648"/>
        <v>0</v>
      </c>
      <c r="TY274" s="91">
        <f t="shared" si="1649"/>
        <v>0</v>
      </c>
      <c r="TZ274" s="91">
        <f t="shared" si="1650"/>
        <v>0</v>
      </c>
      <c r="UO274" s="91">
        <f t="shared" si="1651"/>
        <v>0</v>
      </c>
      <c r="UP274" s="91">
        <f t="shared" si="1652"/>
        <v>0</v>
      </c>
      <c r="VE274" s="91">
        <f t="shared" si="1653"/>
        <v>0</v>
      </c>
      <c r="VF274" s="91">
        <f t="shared" si="1654"/>
        <v>0</v>
      </c>
      <c r="VU274" s="91">
        <f t="shared" si="1655"/>
        <v>0</v>
      </c>
      <c r="VV274" s="91">
        <f t="shared" si="1656"/>
        <v>0</v>
      </c>
      <c r="WK274" s="91">
        <f t="shared" si="1657"/>
        <v>0</v>
      </c>
      <c r="WL274" s="91">
        <f t="shared" si="1658"/>
        <v>0</v>
      </c>
      <c r="WM274" s="89"/>
      <c r="WN274" s="87">
        <f t="shared" si="1682"/>
        <v>0</v>
      </c>
      <c r="WO274" s="87">
        <f t="shared" si="1683"/>
        <v>0</v>
      </c>
      <c r="WP274" s="87">
        <f t="shared" si="1684"/>
        <v>250742.08291367115</v>
      </c>
      <c r="WQ274" s="87">
        <f t="shared" si="1685"/>
        <v>752226.24874101346</v>
      </c>
      <c r="WR274" s="87">
        <f t="shared" si="1686"/>
        <v>0</v>
      </c>
      <c r="WS274" s="87">
        <f t="shared" si="1687"/>
        <v>0</v>
      </c>
      <c r="WT274" s="87">
        <f t="shared" si="1688"/>
        <v>309253</v>
      </c>
      <c r="WU274" s="87">
        <f t="shared" si="1689"/>
        <v>927759.36025040236</v>
      </c>
      <c r="WV274" s="87">
        <f t="shared" si="1690"/>
        <v>0</v>
      </c>
      <c r="WW274" s="87">
        <f t="shared" si="1691"/>
        <v>0</v>
      </c>
      <c r="WX274" s="87">
        <f t="shared" si="1692"/>
        <v>0</v>
      </c>
      <c r="WY274" s="87">
        <f t="shared" si="1693"/>
        <v>0</v>
      </c>
      <c r="WZ274" s="87">
        <f t="shared" si="1677"/>
        <v>0</v>
      </c>
      <c r="XA274" s="87">
        <f t="shared" si="1678"/>
        <v>0</v>
      </c>
      <c r="XB274" s="92">
        <f t="shared" si="1679"/>
        <v>559995.08291367115</v>
      </c>
      <c r="XC274" s="92">
        <f t="shared" si="1680"/>
        <v>1679985.6089914157</v>
      </c>
      <c r="XD274" s="89"/>
      <c r="XE274" s="92"/>
      <c r="XF274" s="92"/>
      <c r="XG274" s="89"/>
      <c r="XH274" s="92"/>
      <c r="XI274" s="92"/>
      <c r="XJ274" s="89"/>
      <c r="XK274" s="87"/>
      <c r="XL274" s="87"/>
      <c r="XM274" s="87"/>
      <c r="XN274" s="87"/>
      <c r="XO274" s="87"/>
      <c r="XP274" s="87"/>
      <c r="XQ274" s="87"/>
      <c r="XR274" s="92">
        <f t="shared" ca="1" si="1675"/>
        <v>0</v>
      </c>
      <c r="XS274" s="89"/>
      <c r="XT274" s="87"/>
      <c r="XU274" s="87"/>
      <c r="XV274" s="87"/>
      <c r="XW274" s="87"/>
      <c r="XX274" s="87"/>
      <c r="XY274" s="87"/>
      <c r="XZ274" s="87"/>
      <c r="YA274" s="92">
        <f t="shared" ca="1" si="1676"/>
        <v>0</v>
      </c>
      <c r="YB274" s="90"/>
      <c r="YC274" s="90"/>
      <c r="YD274" s="90"/>
      <c r="YE274" s="90"/>
      <c r="YF274" s="90"/>
      <c r="YG274" s="90"/>
      <c r="YH274" s="90"/>
      <c r="YI274" s="90"/>
      <c r="YJ274" s="90"/>
      <c r="YK274" s="90"/>
      <c r="YL274" s="90"/>
      <c r="YM274" s="90"/>
      <c r="YN274" s="90"/>
      <c r="YO274" s="90"/>
      <c r="YP274" s="90"/>
      <c r="YQ274" s="90"/>
      <c r="YR274" s="90"/>
      <c r="YS274" s="90"/>
      <c r="YT274" s="90"/>
      <c r="YU274" s="90"/>
      <c r="YV274" s="90"/>
      <c r="YW274" s="90"/>
      <c r="YX274" s="90"/>
      <c r="YY274" s="90"/>
      <c r="YZ274" s="90"/>
      <c r="ZA274" s="90"/>
      <c r="ZB274" s="90"/>
      <c r="ZC274" s="90"/>
      <c r="ZD274" s="90"/>
      <c r="ZE274" s="90"/>
      <c r="ZF274" s="90"/>
      <c r="ZG274" s="90"/>
      <c r="ZH274" s="90"/>
      <c r="ZI274" s="90"/>
      <c r="ZJ274" s="90"/>
      <c r="ZK274" s="90"/>
      <c r="ZL274" s="90"/>
      <c r="ZM274" s="90"/>
      <c r="ZN274" s="90"/>
      <c r="ZO274" s="90"/>
      <c r="ZP274" s="90"/>
      <c r="ZQ274" s="90"/>
      <c r="ZR274" s="90"/>
      <c r="ZS274" s="90"/>
      <c r="ZT274" s="90"/>
      <c r="ZU274" s="90"/>
      <c r="ZV274" s="90"/>
      <c r="ZW274" s="90"/>
      <c r="ZX274" s="90"/>
      <c r="ZY274" s="90"/>
      <c r="ZZ274" s="90"/>
      <c r="AAA274" s="90"/>
      <c r="AAB274" s="90"/>
      <c r="AAC274" s="90"/>
      <c r="AAD274" s="90"/>
      <c r="AAE274" s="90"/>
      <c r="AAF274" s="90"/>
      <c r="AAG274" s="90"/>
      <c r="AAH274" s="90"/>
      <c r="AAI274" s="90"/>
      <c r="AAJ274" s="90"/>
      <c r="AAK274" s="90"/>
      <c r="AAL274" s="90"/>
      <c r="AAM274" s="90"/>
      <c r="AAN274" s="90"/>
      <c r="AAO274" s="90"/>
      <c r="AAP274" s="90"/>
      <c r="AAQ274" s="90"/>
      <c r="AAR274" s="90"/>
      <c r="AAS274" s="90"/>
      <c r="AAT274" s="90"/>
      <c r="AAU274" s="90"/>
      <c r="AAV274" s="90"/>
      <c r="AAW274" s="90"/>
      <c r="AAX274" s="90"/>
      <c r="AAY274" s="90"/>
      <c r="AAZ274" s="90"/>
      <c r="ABA274" s="90"/>
      <c r="ABB274" s="90"/>
      <c r="ABC274" s="90"/>
      <c r="ABD274" s="90"/>
      <c r="ABE274" s="90"/>
      <c r="ABF274" s="90"/>
      <c r="ABG274" s="90"/>
      <c r="ABH274" s="90"/>
      <c r="ABI274" s="90"/>
      <c r="ABJ274" s="90"/>
      <c r="ABK274" s="90"/>
      <c r="ABL274" s="90"/>
      <c r="ABM274" s="90"/>
      <c r="ABN274" s="90"/>
      <c r="ABO274" s="90"/>
      <c r="ABP274" s="90"/>
      <c r="ABQ274" s="90"/>
      <c r="ABR274" s="90"/>
      <c r="ABS274" s="90"/>
      <c r="ABT274" s="90"/>
      <c r="ABU274" s="90"/>
      <c r="ABV274" s="90"/>
      <c r="ABW274" s="90"/>
      <c r="ABX274" s="90"/>
      <c r="ABY274" s="90"/>
      <c r="ABZ274" s="90"/>
      <c r="ACA274" s="90"/>
      <c r="ACB274" s="90"/>
      <c r="ACC274" s="90"/>
      <c r="ACD274" s="90"/>
      <c r="ACE274" s="90"/>
      <c r="ACF274" s="90"/>
      <c r="ACG274" s="90"/>
      <c r="ACH274" s="90"/>
      <c r="ACI274" s="90"/>
      <c r="ACJ274" s="90"/>
      <c r="ACK274" s="90"/>
      <c r="ACL274" s="90"/>
      <c r="ACM274" s="90"/>
      <c r="ACN274" s="90"/>
      <c r="ACO274" s="90"/>
      <c r="ACP274" s="90"/>
      <c r="ACQ274" s="90"/>
      <c r="ACR274" s="90"/>
      <c r="ACS274" s="90"/>
      <c r="ACT274" s="90"/>
      <c r="ACU274" s="90"/>
      <c r="ACV274" s="90"/>
      <c r="ACW274" s="90"/>
      <c r="ACX274" s="90"/>
      <c r="ACY274" s="90"/>
      <c r="ACZ274" s="90"/>
      <c r="ADA274" s="90"/>
      <c r="ADB274" s="90"/>
      <c r="ADC274" s="90"/>
      <c r="ADD274" s="90"/>
      <c r="ADE274" s="90"/>
      <c r="ADF274" s="90"/>
      <c r="ADG274" s="90"/>
      <c r="ADH274" s="90"/>
      <c r="ADI274" s="90"/>
      <c r="ADJ274" s="90"/>
      <c r="ADK274" s="90"/>
      <c r="ADL274" s="90"/>
      <c r="ADM274" s="90"/>
      <c r="ADN274" s="90"/>
      <c r="ADO274" s="90"/>
      <c r="ADP274" s="90"/>
      <c r="ADQ274" s="90"/>
      <c r="ADR274" s="90"/>
      <c r="ADS274" s="90"/>
      <c r="ADT274" s="90"/>
      <c r="ADU274" s="90"/>
      <c r="ADV274" s="90"/>
      <c r="ADW274" s="90"/>
      <c r="ADX274" s="90"/>
      <c r="ADY274" s="90"/>
      <c r="ADZ274" s="90"/>
      <c r="AEA274" s="90"/>
      <c r="AEB274" s="90"/>
      <c r="AEC274" s="90"/>
      <c r="AED274" s="90"/>
      <c r="AEE274" s="90"/>
      <c r="AEF274" s="90"/>
      <c r="AEG274" s="90"/>
      <c r="AEH274" s="90"/>
      <c r="AEI274" s="90"/>
      <c r="AEJ274" s="90"/>
      <c r="AEK274" s="90"/>
      <c r="AEL274" s="90"/>
      <c r="AEM274" s="90"/>
      <c r="AEN274" s="90"/>
      <c r="AEO274" s="90"/>
      <c r="AEP274" s="90"/>
      <c r="AEQ274" s="90"/>
      <c r="AER274" s="90"/>
      <c r="AES274" s="90"/>
      <c r="AET274" s="90"/>
      <c r="AEU274" s="90"/>
      <c r="AEV274" s="90"/>
      <c r="AEW274" s="90"/>
      <c r="AEX274" s="90"/>
      <c r="AEY274" s="90"/>
      <c r="AEZ274" s="90"/>
      <c r="AFA274" s="90"/>
      <c r="AFB274" s="90"/>
      <c r="AFC274" s="90"/>
      <c r="AFD274" s="90"/>
      <c r="AFE274" s="90"/>
      <c r="AFF274" s="90"/>
      <c r="AFG274" s="90"/>
      <c r="AFH274" s="90"/>
      <c r="AFI274" s="90"/>
      <c r="AFJ274" s="90"/>
      <c r="AFK274" s="90"/>
      <c r="AFL274" s="90"/>
      <c r="AFM274" s="90"/>
      <c r="AFN274" s="90"/>
      <c r="AFO274" s="90"/>
      <c r="AFP274" s="90"/>
      <c r="AFQ274" s="90"/>
      <c r="AFR274" s="90"/>
      <c r="AFS274" s="90"/>
      <c r="AFT274" s="90"/>
      <c r="AFU274" s="90"/>
      <c r="AFV274" s="90"/>
      <c r="AFW274" s="90"/>
      <c r="AFX274" s="90"/>
      <c r="AFY274" s="90"/>
      <c r="AFZ274" s="90"/>
      <c r="AGA274" s="90"/>
      <c r="AGB274" s="90"/>
      <c r="AGC274" s="90"/>
      <c r="AGD274" s="90"/>
      <c r="AGE274" s="90"/>
      <c r="AGF274" s="90"/>
      <c r="AGG274" s="90"/>
      <c r="AGH274" s="90"/>
      <c r="AGI274" s="90"/>
      <c r="AGJ274" s="90"/>
      <c r="AGK274" s="90"/>
      <c r="AGL274" s="90"/>
      <c r="AGM274" s="90"/>
      <c r="AGN274" s="90"/>
      <c r="AGO274" s="90"/>
      <c r="AGP274" s="90"/>
      <c r="AGQ274" s="90"/>
      <c r="AGR274" s="90"/>
      <c r="AGS274" s="90"/>
      <c r="AGT274" s="90"/>
      <c r="AGU274" s="90"/>
      <c r="AGV274" s="90"/>
      <c r="AGW274" s="90"/>
      <c r="AGX274" s="90"/>
      <c r="AGY274" s="90"/>
      <c r="AGZ274" s="90"/>
      <c r="AHA274" s="90"/>
      <c r="AHB274" s="90"/>
      <c r="AHC274" s="90"/>
      <c r="AHD274" s="90"/>
      <c r="AHE274" s="90"/>
      <c r="AHF274" s="90"/>
      <c r="AHG274" s="90"/>
      <c r="AHH274" s="90"/>
      <c r="AHI274" s="90"/>
      <c r="AHJ274" s="90"/>
      <c r="AHK274" s="90"/>
      <c r="AHL274" s="90"/>
      <c r="AHM274" s="90"/>
      <c r="AHN274" s="90"/>
      <c r="AHO274" s="90"/>
      <c r="AHP274" s="90"/>
      <c r="AHQ274" s="90"/>
      <c r="AHR274" s="90"/>
      <c r="AHS274" s="90"/>
      <c r="AHT274" s="90"/>
      <c r="AHU274" s="90"/>
      <c r="AHV274" s="90"/>
      <c r="AHW274" s="90"/>
      <c r="AHX274" s="90"/>
      <c r="AHY274" s="90"/>
      <c r="AHZ274" s="90"/>
      <c r="AIA274" s="90"/>
      <c r="AIB274" s="90"/>
      <c r="AIC274" s="90"/>
      <c r="AID274" s="90"/>
      <c r="AIE274" s="90"/>
      <c r="AIF274" s="90"/>
      <c r="AIG274" s="90"/>
      <c r="AIH274" s="90"/>
      <c r="AII274" s="90"/>
      <c r="AIJ274" s="90"/>
      <c r="AIK274" s="90"/>
      <c r="AIL274" s="90"/>
      <c r="AIM274" s="90"/>
      <c r="AIN274" s="90"/>
      <c r="AIO274" s="90"/>
      <c r="AIP274" s="90"/>
      <c r="AIQ274" s="90"/>
      <c r="AIR274" s="90"/>
      <c r="AIS274" s="90"/>
      <c r="AIT274" s="90"/>
      <c r="AIU274" s="90"/>
      <c r="AIV274" s="90"/>
      <c r="AIW274" s="90"/>
      <c r="AIX274" s="90"/>
      <c r="AIY274" s="90"/>
      <c r="AIZ274" s="90"/>
      <c r="AJA274" s="90"/>
      <c r="AJB274" s="90"/>
      <c r="AJC274" s="90"/>
      <c r="AJD274" s="90"/>
      <c r="AJE274" s="90"/>
      <c r="AJF274" s="90"/>
      <c r="AJG274" s="90"/>
      <c r="AJH274" s="90"/>
      <c r="AJI274" s="90"/>
      <c r="AJJ274" s="90"/>
      <c r="AJK274" s="90"/>
      <c r="AJL274" s="90"/>
      <c r="AJM274" s="90"/>
      <c r="AJN274" s="90"/>
      <c r="AJO274" s="90"/>
      <c r="AJP274" s="90"/>
      <c r="AJQ274" s="90"/>
      <c r="AJR274" s="90"/>
      <c r="AJS274" s="90"/>
      <c r="AJT274" s="90"/>
      <c r="AJU274" s="90"/>
      <c r="AJV274" s="90"/>
      <c r="AJW274" s="90"/>
      <c r="AJX274" s="90"/>
      <c r="AJY274" s="90"/>
      <c r="AJZ274" s="90"/>
      <c r="AKA274" s="90"/>
      <c r="AKB274" s="90"/>
      <c r="AKC274" s="90"/>
      <c r="AKD274" s="90"/>
      <c r="AKE274" s="90"/>
      <c r="AKF274" s="90"/>
      <c r="AKG274" s="90"/>
      <c r="AKH274" s="90"/>
      <c r="AKI274" s="90"/>
      <c r="AKJ274" s="90"/>
      <c r="AKK274" s="90"/>
      <c r="AKL274" s="90"/>
      <c r="AKM274" s="90"/>
      <c r="AKN274" s="90"/>
      <c r="AKO274" s="90"/>
      <c r="AKP274" s="90"/>
      <c r="AKQ274" s="90"/>
      <c r="AKR274" s="90"/>
      <c r="AKS274" s="90"/>
      <c r="AKT274" s="90"/>
      <c r="AKU274" s="90"/>
      <c r="AKV274" s="90"/>
      <c r="AKW274" s="90"/>
      <c r="AKX274" s="90"/>
      <c r="AKY274" s="90"/>
      <c r="AKZ274" s="90"/>
      <c r="ALA274" s="90"/>
      <c r="ALB274" s="90"/>
      <c r="ALC274" s="90"/>
      <c r="ALD274" s="90"/>
      <c r="ALE274" s="90"/>
      <c r="ALF274" s="90"/>
      <c r="ALG274" s="90"/>
      <c r="ALH274" s="90"/>
      <c r="ALI274" s="90"/>
      <c r="ALJ274" s="90"/>
      <c r="ALK274" s="90"/>
      <c r="ALL274" s="90"/>
      <c r="ALM274" s="90"/>
      <c r="ALN274" s="90"/>
      <c r="ALO274" s="90"/>
      <c r="ALP274" s="90"/>
      <c r="ALQ274" s="90"/>
      <c r="ALR274" s="90"/>
      <c r="ALS274" s="90"/>
      <c r="ALT274" s="90"/>
      <c r="ALU274" s="90"/>
      <c r="ALV274" s="90"/>
      <c r="ALW274" s="90"/>
      <c r="ALX274" s="90"/>
      <c r="ALY274" s="90"/>
      <c r="ALZ274" s="90"/>
      <c r="AMA274" s="90"/>
      <c r="AMB274" s="90"/>
      <c r="AMC274" s="90"/>
    </row>
    <row r="275" spans="1:1017">
      <c r="A275" s="98" t="s">
        <v>51</v>
      </c>
      <c r="B275" s="90" t="str">
        <f t="shared" si="1681"/>
        <v>Ikan_02 (Tiram)</v>
      </c>
      <c r="Q275" s="91">
        <f t="shared" si="1583"/>
        <v>0</v>
      </c>
      <c r="R275" s="91">
        <f t="shared" si="1584"/>
        <v>0</v>
      </c>
      <c r="S275" s="98">
        <v>1255</v>
      </c>
      <c r="T275" s="98">
        <v>12550</v>
      </c>
      <c r="AG275" s="91">
        <f t="shared" si="1585"/>
        <v>1255</v>
      </c>
      <c r="AH275" s="91">
        <f t="shared" si="1586"/>
        <v>12550</v>
      </c>
      <c r="AW275" s="91">
        <f t="shared" si="1587"/>
        <v>0</v>
      </c>
      <c r="AX275" s="91">
        <f t="shared" si="1588"/>
        <v>0</v>
      </c>
      <c r="BM275" s="91">
        <f t="shared" si="1589"/>
        <v>0</v>
      </c>
      <c r="BN275" s="91">
        <f t="shared" si="1590"/>
        <v>0</v>
      </c>
      <c r="CC275" s="91">
        <f t="shared" si="1591"/>
        <v>0</v>
      </c>
      <c r="CD275" s="91">
        <f t="shared" si="1592"/>
        <v>0</v>
      </c>
      <c r="CS275" s="91">
        <f t="shared" si="1593"/>
        <v>0</v>
      </c>
      <c r="CT275" s="91">
        <f t="shared" si="1594"/>
        <v>0</v>
      </c>
      <c r="DI275" s="91">
        <f t="shared" si="1595"/>
        <v>0</v>
      </c>
      <c r="DJ275" s="91">
        <f t="shared" si="1596"/>
        <v>0</v>
      </c>
      <c r="DY275" s="91">
        <f t="shared" si="1597"/>
        <v>0</v>
      </c>
      <c r="DZ275" s="91">
        <f t="shared" si="1598"/>
        <v>0</v>
      </c>
      <c r="EO275" s="91">
        <f t="shared" si="1599"/>
        <v>0</v>
      </c>
      <c r="EP275" s="91">
        <f t="shared" si="1600"/>
        <v>0</v>
      </c>
      <c r="FE275" s="91">
        <f t="shared" si="1601"/>
        <v>0</v>
      </c>
      <c r="FF275" s="91">
        <f t="shared" si="1602"/>
        <v>0</v>
      </c>
      <c r="FU275" s="91">
        <f t="shared" si="1603"/>
        <v>0</v>
      </c>
      <c r="FV275" s="91">
        <f t="shared" si="1604"/>
        <v>0</v>
      </c>
      <c r="GK275" s="91">
        <f t="shared" si="1605"/>
        <v>0</v>
      </c>
      <c r="GL275" s="91">
        <f t="shared" si="1606"/>
        <v>0</v>
      </c>
      <c r="HA275" s="91">
        <f t="shared" si="1607"/>
        <v>0</v>
      </c>
      <c r="HB275" s="91">
        <f t="shared" si="1608"/>
        <v>0</v>
      </c>
      <c r="HQ275" s="91">
        <f t="shared" si="1609"/>
        <v>0</v>
      </c>
      <c r="HR275" s="91">
        <f t="shared" si="1610"/>
        <v>0</v>
      </c>
      <c r="IG275" s="91">
        <f t="shared" si="1611"/>
        <v>0</v>
      </c>
      <c r="IH275" s="91">
        <f t="shared" si="1612"/>
        <v>0</v>
      </c>
      <c r="IW275" s="91">
        <f t="shared" si="1613"/>
        <v>0</v>
      </c>
      <c r="IX275" s="91">
        <f t="shared" si="1614"/>
        <v>0</v>
      </c>
      <c r="JM275" s="91">
        <f t="shared" si="1615"/>
        <v>0</v>
      </c>
      <c r="JN275" s="91">
        <f t="shared" si="1616"/>
        <v>0</v>
      </c>
      <c r="KC275" s="91">
        <f t="shared" si="1617"/>
        <v>0</v>
      </c>
      <c r="KD275" s="91">
        <f t="shared" si="1618"/>
        <v>0</v>
      </c>
      <c r="KS275" s="91">
        <f t="shared" si="1619"/>
        <v>0</v>
      </c>
      <c r="KT275" s="91">
        <f t="shared" si="1620"/>
        <v>0</v>
      </c>
      <c r="LI275" s="91">
        <f t="shared" si="1621"/>
        <v>0</v>
      </c>
      <c r="LJ275" s="91">
        <f t="shared" si="1622"/>
        <v>0</v>
      </c>
      <c r="LY275" s="91">
        <f t="shared" si="1623"/>
        <v>0</v>
      </c>
      <c r="LZ275" s="91">
        <f t="shared" si="1624"/>
        <v>0</v>
      </c>
      <c r="MO275" s="91">
        <f t="shared" si="1625"/>
        <v>0</v>
      </c>
      <c r="MP275" s="91">
        <f t="shared" si="1626"/>
        <v>0</v>
      </c>
      <c r="NE275" s="91">
        <f t="shared" si="1627"/>
        <v>0</v>
      </c>
      <c r="NF275" s="91">
        <f t="shared" si="1628"/>
        <v>0</v>
      </c>
      <c r="NU275" s="91">
        <f t="shared" si="1629"/>
        <v>0</v>
      </c>
      <c r="NV275" s="91">
        <f t="shared" si="1630"/>
        <v>0</v>
      </c>
      <c r="OK275" s="91">
        <f t="shared" si="1631"/>
        <v>0</v>
      </c>
      <c r="OL275" s="91">
        <f t="shared" si="1632"/>
        <v>0</v>
      </c>
      <c r="PA275" s="91">
        <f t="shared" si="1633"/>
        <v>0</v>
      </c>
      <c r="PB275" s="91">
        <f t="shared" si="1634"/>
        <v>0</v>
      </c>
      <c r="PQ275" s="91">
        <f t="shared" si="1635"/>
        <v>0</v>
      </c>
      <c r="PR275" s="91">
        <f t="shared" si="1636"/>
        <v>0</v>
      </c>
      <c r="QG275" s="91">
        <f t="shared" si="1637"/>
        <v>0</v>
      </c>
      <c r="QH275" s="91">
        <f t="shared" si="1638"/>
        <v>0</v>
      </c>
      <c r="QW275" s="91">
        <f t="shared" si="1639"/>
        <v>0</v>
      </c>
      <c r="QX275" s="91">
        <f t="shared" si="1640"/>
        <v>0</v>
      </c>
      <c r="RM275" s="91">
        <f t="shared" si="1641"/>
        <v>0</v>
      </c>
      <c r="RN275" s="91">
        <f t="shared" si="1642"/>
        <v>0</v>
      </c>
      <c r="SC275" s="91">
        <f t="shared" si="1643"/>
        <v>0</v>
      </c>
      <c r="SD275" s="91">
        <f t="shared" si="1644"/>
        <v>0</v>
      </c>
      <c r="SS275" s="91">
        <f t="shared" si="1645"/>
        <v>0</v>
      </c>
      <c r="ST275" s="91">
        <f t="shared" si="1646"/>
        <v>0</v>
      </c>
      <c r="TI275" s="91">
        <f t="shared" si="1647"/>
        <v>0</v>
      </c>
      <c r="TJ275" s="91">
        <f t="shared" si="1648"/>
        <v>0</v>
      </c>
      <c r="TY275" s="91">
        <f t="shared" si="1649"/>
        <v>0</v>
      </c>
      <c r="TZ275" s="91">
        <f t="shared" si="1650"/>
        <v>0</v>
      </c>
      <c r="UO275" s="91">
        <f t="shared" si="1651"/>
        <v>0</v>
      </c>
      <c r="UP275" s="91">
        <f t="shared" si="1652"/>
        <v>0</v>
      </c>
      <c r="VE275" s="91">
        <f t="shared" si="1653"/>
        <v>0</v>
      </c>
      <c r="VF275" s="91">
        <f t="shared" si="1654"/>
        <v>0</v>
      </c>
      <c r="VU275" s="91">
        <f t="shared" si="1655"/>
        <v>0</v>
      </c>
      <c r="VV275" s="91">
        <f t="shared" si="1656"/>
        <v>0</v>
      </c>
      <c r="WK275" s="91">
        <f t="shared" si="1657"/>
        <v>0</v>
      </c>
      <c r="WL275" s="91">
        <f t="shared" si="1658"/>
        <v>0</v>
      </c>
      <c r="WM275" s="89"/>
      <c r="WN275" s="87">
        <f t="shared" si="1682"/>
        <v>1255</v>
      </c>
      <c r="WO275" s="87">
        <f t="shared" si="1683"/>
        <v>12550</v>
      </c>
      <c r="WP275" s="87">
        <f t="shared" si="1684"/>
        <v>0</v>
      </c>
      <c r="WQ275" s="87">
        <f t="shared" si="1685"/>
        <v>0</v>
      </c>
      <c r="WR275" s="87">
        <f t="shared" si="1686"/>
        <v>0</v>
      </c>
      <c r="WS275" s="87">
        <f t="shared" si="1687"/>
        <v>0</v>
      </c>
      <c r="WT275" s="87">
        <f t="shared" si="1688"/>
        <v>0</v>
      </c>
      <c r="WU275" s="87">
        <f t="shared" si="1689"/>
        <v>0</v>
      </c>
      <c r="WV275" s="87">
        <f t="shared" si="1690"/>
        <v>0</v>
      </c>
      <c r="WW275" s="87">
        <f t="shared" si="1691"/>
        <v>0</v>
      </c>
      <c r="WX275" s="87">
        <f t="shared" si="1692"/>
        <v>0</v>
      </c>
      <c r="WY275" s="87">
        <f t="shared" si="1693"/>
        <v>0</v>
      </c>
      <c r="WZ275" s="87">
        <f t="shared" si="1677"/>
        <v>0</v>
      </c>
      <c r="XA275" s="87">
        <f t="shared" si="1678"/>
        <v>0</v>
      </c>
      <c r="XB275" s="92">
        <f t="shared" si="1679"/>
        <v>1255</v>
      </c>
      <c r="XC275" s="92">
        <f t="shared" si="1680"/>
        <v>12550</v>
      </c>
      <c r="XD275" s="89"/>
      <c r="XE275" s="92"/>
      <c r="XF275" s="92"/>
      <c r="XG275" s="89"/>
      <c r="XH275" s="92"/>
      <c r="XI275" s="92"/>
      <c r="XJ275" s="89"/>
      <c r="XK275" s="87"/>
      <c r="XL275" s="87"/>
      <c r="XM275" s="87"/>
      <c r="XN275" s="87"/>
      <c r="XO275" s="87"/>
      <c r="XP275" s="87"/>
      <c r="XQ275" s="87"/>
      <c r="XR275" s="92">
        <f t="shared" ca="1" si="1675"/>
        <v>0</v>
      </c>
      <c r="XS275" s="89"/>
      <c r="XT275" s="87"/>
      <c r="XU275" s="87"/>
      <c r="XV275" s="87"/>
      <c r="XW275" s="87"/>
      <c r="XX275" s="87"/>
      <c r="XY275" s="87"/>
      <c r="XZ275" s="87"/>
      <c r="YA275" s="92">
        <f t="shared" ca="1" si="1676"/>
        <v>0</v>
      </c>
      <c r="YB275" s="90"/>
      <c r="YC275" s="90"/>
      <c r="YD275" s="90"/>
      <c r="YE275" s="90"/>
      <c r="YF275" s="90"/>
      <c r="YG275" s="90"/>
      <c r="YH275" s="90"/>
      <c r="YI275" s="90"/>
      <c r="YJ275" s="90"/>
      <c r="YK275" s="90"/>
      <c r="YL275" s="90"/>
      <c r="YM275" s="90"/>
      <c r="YN275" s="90"/>
      <c r="YO275" s="90"/>
      <c r="YP275" s="90"/>
      <c r="YQ275" s="90"/>
      <c r="YR275" s="90"/>
      <c r="YS275" s="90"/>
      <c r="YT275" s="90"/>
      <c r="YU275" s="90"/>
      <c r="YV275" s="90"/>
      <c r="YW275" s="90"/>
      <c r="YX275" s="90"/>
      <c r="YY275" s="90"/>
      <c r="YZ275" s="90"/>
      <c r="ZA275" s="90"/>
      <c r="ZB275" s="90"/>
      <c r="ZC275" s="90"/>
      <c r="ZD275" s="90"/>
      <c r="ZE275" s="90"/>
      <c r="ZF275" s="90"/>
      <c r="ZG275" s="90"/>
      <c r="ZH275" s="90"/>
      <c r="ZI275" s="90"/>
      <c r="ZJ275" s="90"/>
      <c r="ZK275" s="90"/>
      <c r="ZL275" s="90"/>
      <c r="ZM275" s="90"/>
      <c r="ZN275" s="90"/>
      <c r="ZO275" s="90"/>
      <c r="ZP275" s="90"/>
      <c r="ZQ275" s="90"/>
      <c r="ZR275" s="90"/>
      <c r="ZS275" s="90"/>
      <c r="ZT275" s="90"/>
      <c r="ZU275" s="90"/>
      <c r="ZV275" s="90"/>
      <c r="ZW275" s="90"/>
      <c r="ZX275" s="90"/>
      <c r="ZY275" s="90"/>
      <c r="ZZ275" s="90"/>
      <c r="AAA275" s="90"/>
      <c r="AAB275" s="90"/>
      <c r="AAC275" s="90"/>
      <c r="AAD275" s="90"/>
      <c r="AAE275" s="90"/>
      <c r="AAF275" s="90"/>
      <c r="AAG275" s="90"/>
      <c r="AAH275" s="90"/>
      <c r="AAI275" s="90"/>
      <c r="AAJ275" s="90"/>
      <c r="AAK275" s="90"/>
      <c r="AAL275" s="90"/>
      <c r="AAM275" s="90"/>
      <c r="AAN275" s="90"/>
      <c r="AAO275" s="90"/>
      <c r="AAP275" s="90"/>
      <c r="AAQ275" s="90"/>
      <c r="AAR275" s="90"/>
      <c r="AAS275" s="90"/>
      <c r="AAT275" s="90"/>
      <c r="AAU275" s="90"/>
      <c r="AAV275" s="90"/>
      <c r="AAW275" s="90"/>
      <c r="AAX275" s="90"/>
      <c r="AAY275" s="90"/>
      <c r="AAZ275" s="90"/>
      <c r="ABA275" s="90"/>
      <c r="ABB275" s="90"/>
      <c r="ABC275" s="90"/>
      <c r="ABD275" s="90"/>
      <c r="ABE275" s="90"/>
      <c r="ABF275" s="90"/>
      <c r="ABG275" s="90"/>
      <c r="ABH275" s="90"/>
      <c r="ABI275" s="90"/>
      <c r="ABJ275" s="90"/>
      <c r="ABK275" s="90"/>
      <c r="ABL275" s="90"/>
      <c r="ABM275" s="90"/>
      <c r="ABN275" s="90"/>
      <c r="ABO275" s="90"/>
      <c r="ABP275" s="90"/>
      <c r="ABQ275" s="90"/>
      <c r="ABR275" s="90"/>
      <c r="ABS275" s="90"/>
      <c r="ABT275" s="90"/>
      <c r="ABU275" s="90"/>
      <c r="ABV275" s="90"/>
      <c r="ABW275" s="90"/>
      <c r="ABX275" s="90"/>
      <c r="ABY275" s="90"/>
      <c r="ABZ275" s="90"/>
      <c r="ACA275" s="90"/>
      <c r="ACB275" s="90"/>
      <c r="ACC275" s="90"/>
      <c r="ACD275" s="90"/>
      <c r="ACE275" s="90"/>
      <c r="ACF275" s="90"/>
      <c r="ACG275" s="90"/>
      <c r="ACH275" s="90"/>
      <c r="ACI275" s="90"/>
      <c r="ACJ275" s="90"/>
      <c r="ACK275" s="90"/>
      <c r="ACL275" s="90"/>
      <c r="ACM275" s="90"/>
      <c r="ACN275" s="90"/>
      <c r="ACO275" s="90"/>
      <c r="ACP275" s="90"/>
      <c r="ACQ275" s="90"/>
      <c r="ACR275" s="90"/>
      <c r="ACS275" s="90"/>
      <c r="ACT275" s="90"/>
      <c r="ACU275" s="90"/>
      <c r="ACV275" s="90"/>
      <c r="ACW275" s="90"/>
      <c r="ACX275" s="90"/>
      <c r="ACY275" s="90"/>
      <c r="ACZ275" s="90"/>
      <c r="ADA275" s="90"/>
      <c r="ADB275" s="90"/>
      <c r="ADC275" s="90"/>
      <c r="ADD275" s="90"/>
      <c r="ADE275" s="90"/>
      <c r="ADF275" s="90"/>
      <c r="ADG275" s="90"/>
      <c r="ADH275" s="90"/>
      <c r="ADI275" s="90"/>
      <c r="ADJ275" s="90"/>
      <c r="ADK275" s="90"/>
      <c r="ADL275" s="90"/>
      <c r="ADM275" s="90"/>
      <c r="ADN275" s="90"/>
      <c r="ADO275" s="90"/>
      <c r="ADP275" s="90"/>
      <c r="ADQ275" s="90"/>
      <c r="ADR275" s="90"/>
      <c r="ADS275" s="90"/>
      <c r="ADT275" s="90"/>
      <c r="ADU275" s="90"/>
      <c r="ADV275" s="90"/>
      <c r="ADW275" s="90"/>
      <c r="ADX275" s="90"/>
      <c r="ADY275" s="90"/>
      <c r="ADZ275" s="90"/>
      <c r="AEA275" s="90"/>
      <c r="AEB275" s="90"/>
      <c r="AEC275" s="90"/>
      <c r="AED275" s="90"/>
      <c r="AEE275" s="90"/>
      <c r="AEF275" s="90"/>
      <c r="AEG275" s="90"/>
      <c r="AEH275" s="90"/>
      <c r="AEI275" s="90"/>
      <c r="AEJ275" s="90"/>
      <c r="AEK275" s="90"/>
      <c r="AEL275" s="90"/>
      <c r="AEM275" s="90"/>
      <c r="AEN275" s="90"/>
      <c r="AEO275" s="90"/>
      <c r="AEP275" s="90"/>
      <c r="AEQ275" s="90"/>
      <c r="AER275" s="90"/>
      <c r="AES275" s="90"/>
      <c r="AET275" s="90"/>
      <c r="AEU275" s="90"/>
      <c r="AEV275" s="90"/>
      <c r="AEW275" s="90"/>
      <c r="AEX275" s="90"/>
      <c r="AEY275" s="90"/>
      <c r="AEZ275" s="90"/>
      <c r="AFA275" s="90"/>
      <c r="AFB275" s="90"/>
      <c r="AFC275" s="90"/>
      <c r="AFD275" s="90"/>
      <c r="AFE275" s="90"/>
      <c r="AFF275" s="90"/>
      <c r="AFG275" s="90"/>
      <c r="AFH275" s="90"/>
      <c r="AFI275" s="90"/>
      <c r="AFJ275" s="90"/>
      <c r="AFK275" s="90"/>
      <c r="AFL275" s="90"/>
      <c r="AFM275" s="90"/>
      <c r="AFN275" s="90"/>
      <c r="AFO275" s="90"/>
      <c r="AFP275" s="90"/>
      <c r="AFQ275" s="90"/>
      <c r="AFR275" s="90"/>
      <c r="AFS275" s="90"/>
      <c r="AFT275" s="90"/>
      <c r="AFU275" s="90"/>
      <c r="AFV275" s="90"/>
      <c r="AFW275" s="90"/>
      <c r="AFX275" s="90"/>
      <c r="AFY275" s="90"/>
      <c r="AFZ275" s="90"/>
      <c r="AGA275" s="90"/>
      <c r="AGB275" s="90"/>
      <c r="AGC275" s="90"/>
      <c r="AGD275" s="90"/>
      <c r="AGE275" s="90"/>
      <c r="AGF275" s="90"/>
      <c r="AGG275" s="90"/>
      <c r="AGH275" s="90"/>
      <c r="AGI275" s="90"/>
      <c r="AGJ275" s="90"/>
      <c r="AGK275" s="90"/>
      <c r="AGL275" s="90"/>
      <c r="AGM275" s="90"/>
      <c r="AGN275" s="90"/>
      <c r="AGO275" s="90"/>
      <c r="AGP275" s="90"/>
      <c r="AGQ275" s="90"/>
      <c r="AGR275" s="90"/>
      <c r="AGS275" s="90"/>
      <c r="AGT275" s="90"/>
      <c r="AGU275" s="90"/>
      <c r="AGV275" s="90"/>
      <c r="AGW275" s="90"/>
      <c r="AGX275" s="90"/>
      <c r="AGY275" s="90"/>
      <c r="AGZ275" s="90"/>
      <c r="AHA275" s="90"/>
      <c r="AHB275" s="90"/>
      <c r="AHC275" s="90"/>
      <c r="AHD275" s="90"/>
      <c r="AHE275" s="90"/>
      <c r="AHF275" s="90"/>
      <c r="AHG275" s="90"/>
      <c r="AHH275" s="90"/>
      <c r="AHI275" s="90"/>
      <c r="AHJ275" s="90"/>
      <c r="AHK275" s="90"/>
      <c r="AHL275" s="90"/>
      <c r="AHM275" s="90"/>
      <c r="AHN275" s="90"/>
      <c r="AHO275" s="90"/>
      <c r="AHP275" s="90"/>
      <c r="AHQ275" s="90"/>
      <c r="AHR275" s="90"/>
      <c r="AHS275" s="90"/>
      <c r="AHT275" s="90"/>
      <c r="AHU275" s="90"/>
      <c r="AHV275" s="90"/>
      <c r="AHW275" s="90"/>
      <c r="AHX275" s="90"/>
      <c r="AHY275" s="90"/>
      <c r="AHZ275" s="90"/>
      <c r="AIA275" s="90"/>
      <c r="AIB275" s="90"/>
      <c r="AIC275" s="90"/>
      <c r="AID275" s="90"/>
      <c r="AIE275" s="90"/>
      <c r="AIF275" s="90"/>
      <c r="AIG275" s="90"/>
      <c r="AIH275" s="90"/>
      <c r="AII275" s="90"/>
      <c r="AIJ275" s="90"/>
      <c r="AIK275" s="90"/>
      <c r="AIL275" s="90"/>
      <c r="AIM275" s="90"/>
      <c r="AIN275" s="90"/>
      <c r="AIO275" s="90"/>
      <c r="AIP275" s="90"/>
      <c r="AIQ275" s="90"/>
      <c r="AIR275" s="90"/>
      <c r="AIS275" s="90"/>
      <c r="AIT275" s="90"/>
      <c r="AIU275" s="90"/>
      <c r="AIV275" s="90"/>
      <c r="AIW275" s="90"/>
      <c r="AIX275" s="90"/>
      <c r="AIY275" s="90"/>
      <c r="AIZ275" s="90"/>
      <c r="AJA275" s="90"/>
      <c r="AJB275" s="90"/>
      <c r="AJC275" s="90"/>
      <c r="AJD275" s="90"/>
      <c r="AJE275" s="90"/>
      <c r="AJF275" s="90"/>
      <c r="AJG275" s="90"/>
      <c r="AJH275" s="90"/>
      <c r="AJI275" s="90"/>
      <c r="AJJ275" s="90"/>
      <c r="AJK275" s="90"/>
      <c r="AJL275" s="90"/>
      <c r="AJM275" s="90"/>
      <c r="AJN275" s="90"/>
      <c r="AJO275" s="90"/>
      <c r="AJP275" s="90"/>
      <c r="AJQ275" s="90"/>
      <c r="AJR275" s="90"/>
      <c r="AJS275" s="90"/>
      <c r="AJT275" s="90"/>
      <c r="AJU275" s="90"/>
      <c r="AJV275" s="90"/>
      <c r="AJW275" s="90"/>
      <c r="AJX275" s="90"/>
      <c r="AJY275" s="90"/>
      <c r="AJZ275" s="90"/>
      <c r="AKA275" s="90"/>
      <c r="AKB275" s="90"/>
      <c r="AKC275" s="90"/>
      <c r="AKD275" s="90"/>
      <c r="AKE275" s="90"/>
      <c r="AKF275" s="90"/>
      <c r="AKG275" s="90"/>
      <c r="AKH275" s="90"/>
      <c r="AKI275" s="90"/>
      <c r="AKJ275" s="90"/>
      <c r="AKK275" s="90"/>
      <c r="AKL275" s="90"/>
      <c r="AKM275" s="90"/>
      <c r="AKN275" s="90"/>
      <c r="AKO275" s="90"/>
      <c r="AKP275" s="90"/>
      <c r="AKQ275" s="90"/>
      <c r="AKR275" s="90"/>
      <c r="AKS275" s="90"/>
      <c r="AKT275" s="90"/>
      <c r="AKU275" s="90"/>
      <c r="AKV275" s="90"/>
      <c r="AKW275" s="90"/>
      <c r="AKX275" s="90"/>
      <c r="AKY275" s="90"/>
      <c r="AKZ275" s="90"/>
      <c r="ALA275" s="90"/>
      <c r="ALB275" s="90"/>
      <c r="ALC275" s="90"/>
      <c r="ALD275" s="90"/>
      <c r="ALE275" s="90"/>
      <c r="ALF275" s="90"/>
      <c r="ALG275" s="90"/>
      <c r="ALH275" s="90"/>
      <c r="ALI275" s="90"/>
      <c r="ALJ275" s="90"/>
      <c r="ALK275" s="90"/>
      <c r="ALL275" s="90"/>
      <c r="ALM275" s="90"/>
      <c r="ALN275" s="90"/>
      <c r="ALO275" s="90"/>
      <c r="ALP275" s="90"/>
      <c r="ALQ275" s="90"/>
      <c r="ALR275" s="90"/>
      <c r="ALS275" s="90"/>
      <c r="ALT275" s="90"/>
      <c r="ALU275" s="90"/>
      <c r="ALV275" s="90"/>
      <c r="ALW275" s="90"/>
      <c r="ALX275" s="90"/>
      <c r="ALY275" s="90"/>
      <c r="ALZ275" s="90"/>
      <c r="AMA275" s="90"/>
      <c r="AMB275" s="90"/>
      <c r="AMC275" s="90"/>
    </row>
    <row r="276" spans="1:1017">
      <c r="A276" s="98" t="s">
        <v>51</v>
      </c>
      <c r="B276" s="90" t="str">
        <f t="shared" si="1681"/>
        <v>Ikan_03 (Kerang Darah)</v>
      </c>
      <c r="Q276" s="91">
        <f t="shared" si="1583"/>
        <v>0</v>
      </c>
      <c r="R276" s="91">
        <f t="shared" si="1584"/>
        <v>0</v>
      </c>
      <c r="AG276" s="91">
        <f t="shared" si="1585"/>
        <v>0</v>
      </c>
      <c r="AH276" s="91">
        <f t="shared" si="1586"/>
        <v>0</v>
      </c>
      <c r="AW276" s="91">
        <f t="shared" si="1587"/>
        <v>0</v>
      </c>
      <c r="AX276" s="91">
        <f t="shared" si="1588"/>
        <v>0</v>
      </c>
      <c r="BM276" s="91">
        <f t="shared" si="1589"/>
        <v>0</v>
      </c>
      <c r="BN276" s="91">
        <f t="shared" si="1590"/>
        <v>0</v>
      </c>
      <c r="CC276" s="91">
        <f t="shared" si="1591"/>
        <v>0</v>
      </c>
      <c r="CD276" s="91">
        <f t="shared" si="1592"/>
        <v>0</v>
      </c>
      <c r="CS276" s="91">
        <f t="shared" si="1593"/>
        <v>0</v>
      </c>
      <c r="CT276" s="91">
        <f t="shared" si="1594"/>
        <v>0</v>
      </c>
      <c r="DI276" s="91">
        <f t="shared" si="1595"/>
        <v>0</v>
      </c>
      <c r="DJ276" s="91">
        <f t="shared" si="1596"/>
        <v>0</v>
      </c>
      <c r="DY276" s="91">
        <f t="shared" si="1597"/>
        <v>0</v>
      </c>
      <c r="DZ276" s="91">
        <f t="shared" si="1598"/>
        <v>0</v>
      </c>
      <c r="EO276" s="91">
        <f t="shared" si="1599"/>
        <v>0</v>
      </c>
      <c r="EP276" s="91">
        <f t="shared" si="1600"/>
        <v>0</v>
      </c>
      <c r="FE276" s="91">
        <f t="shared" si="1601"/>
        <v>0</v>
      </c>
      <c r="FF276" s="91">
        <f t="shared" si="1602"/>
        <v>0</v>
      </c>
      <c r="FU276" s="91">
        <f t="shared" si="1603"/>
        <v>0</v>
      </c>
      <c r="FV276" s="91">
        <f t="shared" si="1604"/>
        <v>0</v>
      </c>
      <c r="GK276" s="91">
        <f t="shared" si="1605"/>
        <v>0</v>
      </c>
      <c r="GL276" s="91">
        <f t="shared" si="1606"/>
        <v>0</v>
      </c>
      <c r="HA276" s="91">
        <f t="shared" si="1607"/>
        <v>0</v>
      </c>
      <c r="HB276" s="91">
        <f t="shared" si="1608"/>
        <v>0</v>
      </c>
      <c r="HQ276" s="91">
        <f t="shared" si="1609"/>
        <v>0</v>
      </c>
      <c r="HR276" s="91">
        <f t="shared" si="1610"/>
        <v>0</v>
      </c>
      <c r="IG276" s="91">
        <f t="shared" si="1611"/>
        <v>0</v>
      </c>
      <c r="IH276" s="91">
        <f t="shared" si="1612"/>
        <v>0</v>
      </c>
      <c r="IW276" s="91">
        <f t="shared" si="1613"/>
        <v>0</v>
      </c>
      <c r="IX276" s="91">
        <f t="shared" si="1614"/>
        <v>0</v>
      </c>
      <c r="JM276" s="91">
        <f t="shared" si="1615"/>
        <v>0</v>
      </c>
      <c r="JN276" s="91">
        <f t="shared" si="1616"/>
        <v>0</v>
      </c>
      <c r="KC276" s="91">
        <f t="shared" si="1617"/>
        <v>0</v>
      </c>
      <c r="KD276" s="91">
        <f t="shared" si="1618"/>
        <v>0</v>
      </c>
      <c r="KS276" s="91">
        <f t="shared" si="1619"/>
        <v>0</v>
      </c>
      <c r="KT276" s="91">
        <f t="shared" si="1620"/>
        <v>0</v>
      </c>
      <c r="LI276" s="91">
        <f t="shared" si="1621"/>
        <v>0</v>
      </c>
      <c r="LJ276" s="91">
        <f t="shared" si="1622"/>
        <v>0</v>
      </c>
      <c r="LY276" s="91">
        <f t="shared" si="1623"/>
        <v>0</v>
      </c>
      <c r="LZ276" s="91">
        <f t="shared" si="1624"/>
        <v>0</v>
      </c>
      <c r="MO276" s="91">
        <f t="shared" si="1625"/>
        <v>0</v>
      </c>
      <c r="MP276" s="91">
        <f t="shared" si="1626"/>
        <v>0</v>
      </c>
      <c r="NE276" s="91">
        <f t="shared" si="1627"/>
        <v>0</v>
      </c>
      <c r="NF276" s="91">
        <f t="shared" si="1628"/>
        <v>0</v>
      </c>
      <c r="NU276" s="91">
        <f t="shared" si="1629"/>
        <v>0</v>
      </c>
      <c r="NV276" s="91">
        <f t="shared" si="1630"/>
        <v>0</v>
      </c>
      <c r="OK276" s="91">
        <f t="shared" si="1631"/>
        <v>0</v>
      </c>
      <c r="OL276" s="91">
        <f t="shared" si="1632"/>
        <v>0</v>
      </c>
      <c r="PA276" s="91">
        <f t="shared" si="1633"/>
        <v>0</v>
      </c>
      <c r="PB276" s="91">
        <f t="shared" si="1634"/>
        <v>0</v>
      </c>
      <c r="PQ276" s="91">
        <f t="shared" si="1635"/>
        <v>0</v>
      </c>
      <c r="PR276" s="91">
        <f t="shared" si="1636"/>
        <v>0</v>
      </c>
      <c r="QG276" s="91">
        <f t="shared" si="1637"/>
        <v>0</v>
      </c>
      <c r="QH276" s="91">
        <f t="shared" si="1638"/>
        <v>0</v>
      </c>
      <c r="QW276" s="91">
        <f t="shared" si="1639"/>
        <v>0</v>
      </c>
      <c r="QX276" s="91">
        <f t="shared" si="1640"/>
        <v>0</v>
      </c>
      <c r="RM276" s="91">
        <f t="shared" si="1641"/>
        <v>0</v>
      </c>
      <c r="RN276" s="91">
        <f t="shared" si="1642"/>
        <v>0</v>
      </c>
      <c r="SC276" s="91">
        <f t="shared" si="1643"/>
        <v>0</v>
      </c>
      <c r="SD276" s="91">
        <f t="shared" si="1644"/>
        <v>0</v>
      </c>
      <c r="SS276" s="91">
        <f t="shared" si="1645"/>
        <v>0</v>
      </c>
      <c r="ST276" s="91">
        <f t="shared" si="1646"/>
        <v>0</v>
      </c>
      <c r="TI276" s="91">
        <f t="shared" si="1647"/>
        <v>0</v>
      </c>
      <c r="TJ276" s="91">
        <f t="shared" si="1648"/>
        <v>0</v>
      </c>
      <c r="TY276" s="91">
        <f t="shared" si="1649"/>
        <v>0</v>
      </c>
      <c r="TZ276" s="91">
        <f t="shared" si="1650"/>
        <v>0</v>
      </c>
      <c r="UO276" s="91">
        <f t="shared" si="1651"/>
        <v>0</v>
      </c>
      <c r="UP276" s="91">
        <f t="shared" si="1652"/>
        <v>0</v>
      </c>
      <c r="VE276" s="91">
        <f t="shared" si="1653"/>
        <v>0</v>
      </c>
      <c r="VF276" s="91">
        <f t="shared" si="1654"/>
        <v>0</v>
      </c>
      <c r="VU276" s="91">
        <f t="shared" si="1655"/>
        <v>0</v>
      </c>
      <c r="VV276" s="91">
        <f t="shared" si="1656"/>
        <v>0</v>
      </c>
      <c r="WK276" s="91">
        <f t="shared" si="1657"/>
        <v>0</v>
      </c>
      <c r="WL276" s="91">
        <f t="shared" si="1658"/>
        <v>0</v>
      </c>
      <c r="WM276" s="89"/>
      <c r="WN276" s="87">
        <f t="shared" si="1682"/>
        <v>0</v>
      </c>
      <c r="WO276" s="87">
        <f t="shared" si="1683"/>
        <v>0</v>
      </c>
      <c r="WP276" s="87">
        <f t="shared" si="1684"/>
        <v>0</v>
      </c>
      <c r="WQ276" s="87">
        <f t="shared" si="1685"/>
        <v>0</v>
      </c>
      <c r="WR276" s="87">
        <f t="shared" si="1686"/>
        <v>0</v>
      </c>
      <c r="WS276" s="87">
        <f t="shared" si="1687"/>
        <v>0</v>
      </c>
      <c r="WT276" s="87">
        <f t="shared" si="1688"/>
        <v>0</v>
      </c>
      <c r="WU276" s="87">
        <f t="shared" si="1689"/>
        <v>0</v>
      </c>
      <c r="WV276" s="87">
        <f t="shared" si="1690"/>
        <v>0</v>
      </c>
      <c r="WW276" s="87">
        <f t="shared" si="1691"/>
        <v>0</v>
      </c>
      <c r="WX276" s="87">
        <f t="shared" si="1692"/>
        <v>0</v>
      </c>
      <c r="WY276" s="87">
        <f t="shared" si="1693"/>
        <v>0</v>
      </c>
      <c r="WZ276" s="87">
        <f t="shared" si="1677"/>
        <v>0</v>
      </c>
      <c r="XA276" s="87">
        <f t="shared" si="1678"/>
        <v>0</v>
      </c>
      <c r="XB276" s="92">
        <f t="shared" si="1679"/>
        <v>0</v>
      </c>
      <c r="XC276" s="92">
        <f t="shared" si="1680"/>
        <v>0</v>
      </c>
      <c r="XD276" s="89"/>
      <c r="XE276" s="92"/>
      <c r="XF276" s="92"/>
      <c r="XG276" s="89"/>
      <c r="XH276" s="92"/>
      <c r="XI276" s="92"/>
      <c r="XJ276" s="89"/>
      <c r="XK276" s="87"/>
      <c r="XL276" s="87"/>
      <c r="XM276" s="87"/>
      <c r="XN276" s="87"/>
      <c r="XO276" s="87"/>
      <c r="XP276" s="87"/>
      <c r="XQ276" s="87"/>
      <c r="XR276" s="92">
        <f t="shared" ca="1" si="1675"/>
        <v>0</v>
      </c>
      <c r="XS276" s="89"/>
      <c r="XT276" s="87"/>
      <c r="XU276" s="87"/>
      <c r="XV276" s="87"/>
      <c r="XW276" s="87"/>
      <c r="XX276" s="87"/>
      <c r="XY276" s="87"/>
      <c r="XZ276" s="87"/>
      <c r="YA276" s="92">
        <f t="shared" ca="1" si="1676"/>
        <v>0</v>
      </c>
      <c r="YB276" s="90"/>
      <c r="YC276" s="90"/>
      <c r="YD276" s="90"/>
      <c r="YE276" s="90"/>
      <c r="YF276" s="90"/>
      <c r="YG276" s="90"/>
      <c r="YH276" s="90"/>
      <c r="YI276" s="90"/>
      <c r="YJ276" s="90"/>
      <c r="YK276" s="90"/>
      <c r="YL276" s="90"/>
      <c r="YM276" s="90"/>
      <c r="YN276" s="90"/>
      <c r="YO276" s="90"/>
      <c r="YP276" s="90"/>
      <c r="YQ276" s="90"/>
      <c r="YR276" s="90"/>
      <c r="YS276" s="90"/>
      <c r="YT276" s="90"/>
      <c r="YU276" s="90"/>
      <c r="YV276" s="90"/>
      <c r="YW276" s="90"/>
      <c r="YX276" s="90"/>
      <c r="YY276" s="90"/>
      <c r="YZ276" s="90"/>
      <c r="ZA276" s="90"/>
      <c r="ZB276" s="90"/>
      <c r="ZC276" s="90"/>
      <c r="ZD276" s="90"/>
      <c r="ZE276" s="90"/>
      <c r="ZF276" s="90"/>
      <c r="ZG276" s="90"/>
      <c r="ZH276" s="90"/>
      <c r="ZI276" s="90"/>
      <c r="ZJ276" s="90"/>
      <c r="ZK276" s="90"/>
      <c r="ZL276" s="90"/>
      <c r="ZM276" s="90"/>
      <c r="ZN276" s="90"/>
      <c r="ZO276" s="90"/>
      <c r="ZP276" s="90"/>
      <c r="ZQ276" s="90"/>
      <c r="ZR276" s="90"/>
      <c r="ZS276" s="90"/>
      <c r="ZT276" s="90"/>
      <c r="ZU276" s="90"/>
      <c r="ZV276" s="90"/>
      <c r="ZW276" s="90"/>
      <c r="ZX276" s="90"/>
      <c r="ZY276" s="90"/>
      <c r="ZZ276" s="90"/>
      <c r="AAA276" s="90"/>
      <c r="AAB276" s="90"/>
      <c r="AAC276" s="90"/>
      <c r="AAD276" s="90"/>
      <c r="AAE276" s="90"/>
      <c r="AAF276" s="90"/>
      <c r="AAG276" s="90"/>
      <c r="AAH276" s="90"/>
      <c r="AAI276" s="90"/>
      <c r="AAJ276" s="90"/>
      <c r="AAK276" s="90"/>
      <c r="AAL276" s="90"/>
      <c r="AAM276" s="90"/>
      <c r="AAN276" s="90"/>
      <c r="AAO276" s="90"/>
      <c r="AAP276" s="90"/>
      <c r="AAQ276" s="90"/>
      <c r="AAR276" s="90"/>
      <c r="AAS276" s="90"/>
      <c r="AAT276" s="90"/>
      <c r="AAU276" s="90"/>
      <c r="AAV276" s="90"/>
      <c r="AAW276" s="90"/>
      <c r="AAX276" s="90"/>
      <c r="AAY276" s="90"/>
      <c r="AAZ276" s="90"/>
      <c r="ABA276" s="90"/>
      <c r="ABB276" s="90"/>
      <c r="ABC276" s="90"/>
      <c r="ABD276" s="90"/>
      <c r="ABE276" s="90"/>
      <c r="ABF276" s="90"/>
      <c r="ABG276" s="90"/>
      <c r="ABH276" s="90"/>
      <c r="ABI276" s="90"/>
      <c r="ABJ276" s="90"/>
      <c r="ABK276" s="90"/>
      <c r="ABL276" s="90"/>
      <c r="ABM276" s="90"/>
      <c r="ABN276" s="90"/>
      <c r="ABO276" s="90"/>
      <c r="ABP276" s="90"/>
      <c r="ABQ276" s="90"/>
      <c r="ABR276" s="90"/>
      <c r="ABS276" s="90"/>
      <c r="ABT276" s="90"/>
      <c r="ABU276" s="90"/>
      <c r="ABV276" s="90"/>
      <c r="ABW276" s="90"/>
      <c r="ABX276" s="90"/>
      <c r="ABY276" s="90"/>
      <c r="ABZ276" s="90"/>
      <c r="ACA276" s="90"/>
      <c r="ACB276" s="90"/>
      <c r="ACC276" s="90"/>
      <c r="ACD276" s="90"/>
      <c r="ACE276" s="90"/>
      <c r="ACF276" s="90"/>
      <c r="ACG276" s="90"/>
      <c r="ACH276" s="90"/>
      <c r="ACI276" s="90"/>
      <c r="ACJ276" s="90"/>
      <c r="ACK276" s="90"/>
      <c r="ACL276" s="90"/>
      <c r="ACM276" s="90"/>
      <c r="ACN276" s="90"/>
      <c r="ACO276" s="90"/>
      <c r="ACP276" s="90"/>
      <c r="ACQ276" s="90"/>
      <c r="ACR276" s="90"/>
      <c r="ACS276" s="90"/>
      <c r="ACT276" s="90"/>
      <c r="ACU276" s="90"/>
      <c r="ACV276" s="90"/>
      <c r="ACW276" s="90"/>
      <c r="ACX276" s="90"/>
      <c r="ACY276" s="90"/>
      <c r="ACZ276" s="90"/>
      <c r="ADA276" s="90"/>
      <c r="ADB276" s="90"/>
      <c r="ADC276" s="90"/>
      <c r="ADD276" s="90"/>
      <c r="ADE276" s="90"/>
      <c r="ADF276" s="90"/>
      <c r="ADG276" s="90"/>
      <c r="ADH276" s="90"/>
      <c r="ADI276" s="90"/>
      <c r="ADJ276" s="90"/>
      <c r="ADK276" s="90"/>
      <c r="ADL276" s="90"/>
      <c r="ADM276" s="90"/>
      <c r="ADN276" s="90"/>
      <c r="ADO276" s="90"/>
      <c r="ADP276" s="90"/>
      <c r="ADQ276" s="90"/>
      <c r="ADR276" s="90"/>
      <c r="ADS276" s="90"/>
      <c r="ADT276" s="90"/>
      <c r="ADU276" s="90"/>
      <c r="ADV276" s="90"/>
      <c r="ADW276" s="90"/>
      <c r="ADX276" s="90"/>
      <c r="ADY276" s="90"/>
      <c r="ADZ276" s="90"/>
      <c r="AEA276" s="90"/>
      <c r="AEB276" s="90"/>
      <c r="AEC276" s="90"/>
      <c r="AED276" s="90"/>
      <c r="AEE276" s="90"/>
      <c r="AEF276" s="90"/>
      <c r="AEG276" s="90"/>
      <c r="AEH276" s="90"/>
      <c r="AEI276" s="90"/>
      <c r="AEJ276" s="90"/>
      <c r="AEK276" s="90"/>
      <c r="AEL276" s="90"/>
      <c r="AEM276" s="90"/>
      <c r="AEN276" s="90"/>
      <c r="AEO276" s="90"/>
      <c r="AEP276" s="90"/>
      <c r="AEQ276" s="90"/>
      <c r="AER276" s="90"/>
      <c r="AES276" s="90"/>
      <c r="AET276" s="90"/>
      <c r="AEU276" s="90"/>
      <c r="AEV276" s="90"/>
      <c r="AEW276" s="90"/>
      <c r="AEX276" s="90"/>
      <c r="AEY276" s="90"/>
      <c r="AEZ276" s="90"/>
      <c r="AFA276" s="90"/>
      <c r="AFB276" s="90"/>
      <c r="AFC276" s="90"/>
      <c r="AFD276" s="90"/>
      <c r="AFE276" s="90"/>
      <c r="AFF276" s="90"/>
      <c r="AFG276" s="90"/>
      <c r="AFH276" s="90"/>
      <c r="AFI276" s="90"/>
      <c r="AFJ276" s="90"/>
      <c r="AFK276" s="90"/>
      <c r="AFL276" s="90"/>
      <c r="AFM276" s="90"/>
      <c r="AFN276" s="90"/>
      <c r="AFO276" s="90"/>
      <c r="AFP276" s="90"/>
      <c r="AFQ276" s="90"/>
      <c r="AFR276" s="90"/>
      <c r="AFS276" s="90"/>
      <c r="AFT276" s="90"/>
      <c r="AFU276" s="90"/>
      <c r="AFV276" s="90"/>
      <c r="AFW276" s="90"/>
      <c r="AFX276" s="90"/>
      <c r="AFY276" s="90"/>
      <c r="AFZ276" s="90"/>
      <c r="AGA276" s="90"/>
      <c r="AGB276" s="90"/>
      <c r="AGC276" s="90"/>
      <c r="AGD276" s="90"/>
      <c r="AGE276" s="90"/>
      <c r="AGF276" s="90"/>
      <c r="AGG276" s="90"/>
      <c r="AGH276" s="90"/>
      <c r="AGI276" s="90"/>
      <c r="AGJ276" s="90"/>
      <c r="AGK276" s="90"/>
      <c r="AGL276" s="90"/>
      <c r="AGM276" s="90"/>
      <c r="AGN276" s="90"/>
      <c r="AGO276" s="90"/>
      <c r="AGP276" s="90"/>
      <c r="AGQ276" s="90"/>
      <c r="AGR276" s="90"/>
      <c r="AGS276" s="90"/>
      <c r="AGT276" s="90"/>
      <c r="AGU276" s="90"/>
      <c r="AGV276" s="90"/>
      <c r="AGW276" s="90"/>
      <c r="AGX276" s="90"/>
      <c r="AGY276" s="90"/>
      <c r="AGZ276" s="90"/>
      <c r="AHA276" s="90"/>
      <c r="AHB276" s="90"/>
      <c r="AHC276" s="90"/>
      <c r="AHD276" s="90"/>
      <c r="AHE276" s="90"/>
      <c r="AHF276" s="90"/>
      <c r="AHG276" s="90"/>
      <c r="AHH276" s="90"/>
      <c r="AHI276" s="90"/>
      <c r="AHJ276" s="90"/>
      <c r="AHK276" s="90"/>
      <c r="AHL276" s="90"/>
      <c r="AHM276" s="90"/>
      <c r="AHN276" s="90"/>
      <c r="AHO276" s="90"/>
      <c r="AHP276" s="90"/>
      <c r="AHQ276" s="90"/>
      <c r="AHR276" s="90"/>
      <c r="AHS276" s="90"/>
      <c r="AHT276" s="90"/>
      <c r="AHU276" s="90"/>
      <c r="AHV276" s="90"/>
      <c r="AHW276" s="90"/>
      <c r="AHX276" s="90"/>
      <c r="AHY276" s="90"/>
      <c r="AHZ276" s="90"/>
      <c r="AIA276" s="90"/>
      <c r="AIB276" s="90"/>
      <c r="AIC276" s="90"/>
      <c r="AID276" s="90"/>
      <c r="AIE276" s="90"/>
      <c r="AIF276" s="90"/>
      <c r="AIG276" s="90"/>
      <c r="AIH276" s="90"/>
      <c r="AII276" s="90"/>
      <c r="AIJ276" s="90"/>
      <c r="AIK276" s="90"/>
      <c r="AIL276" s="90"/>
      <c r="AIM276" s="90"/>
      <c r="AIN276" s="90"/>
      <c r="AIO276" s="90"/>
      <c r="AIP276" s="90"/>
      <c r="AIQ276" s="90"/>
      <c r="AIR276" s="90"/>
      <c r="AIS276" s="90"/>
      <c r="AIT276" s="90"/>
      <c r="AIU276" s="90"/>
      <c r="AIV276" s="90"/>
      <c r="AIW276" s="90"/>
      <c r="AIX276" s="90"/>
      <c r="AIY276" s="90"/>
      <c r="AIZ276" s="90"/>
      <c r="AJA276" s="90"/>
      <c r="AJB276" s="90"/>
      <c r="AJC276" s="90"/>
      <c r="AJD276" s="90"/>
      <c r="AJE276" s="90"/>
      <c r="AJF276" s="90"/>
      <c r="AJG276" s="90"/>
      <c r="AJH276" s="90"/>
      <c r="AJI276" s="90"/>
      <c r="AJJ276" s="90"/>
      <c r="AJK276" s="90"/>
      <c r="AJL276" s="90"/>
      <c r="AJM276" s="90"/>
      <c r="AJN276" s="90"/>
      <c r="AJO276" s="90"/>
      <c r="AJP276" s="90"/>
      <c r="AJQ276" s="90"/>
      <c r="AJR276" s="90"/>
      <c r="AJS276" s="90"/>
      <c r="AJT276" s="90"/>
      <c r="AJU276" s="90"/>
      <c r="AJV276" s="90"/>
      <c r="AJW276" s="90"/>
      <c r="AJX276" s="90"/>
      <c r="AJY276" s="90"/>
      <c r="AJZ276" s="90"/>
      <c r="AKA276" s="90"/>
      <c r="AKB276" s="90"/>
      <c r="AKC276" s="90"/>
      <c r="AKD276" s="90"/>
      <c r="AKE276" s="90"/>
      <c r="AKF276" s="90"/>
      <c r="AKG276" s="90"/>
      <c r="AKH276" s="90"/>
      <c r="AKI276" s="90"/>
      <c r="AKJ276" s="90"/>
      <c r="AKK276" s="90"/>
      <c r="AKL276" s="90"/>
      <c r="AKM276" s="90"/>
      <c r="AKN276" s="90"/>
      <c r="AKO276" s="90"/>
      <c r="AKP276" s="90"/>
      <c r="AKQ276" s="90"/>
      <c r="AKR276" s="90"/>
      <c r="AKS276" s="90"/>
      <c r="AKT276" s="90"/>
      <c r="AKU276" s="90"/>
      <c r="AKV276" s="90"/>
      <c r="AKW276" s="90"/>
      <c r="AKX276" s="90"/>
      <c r="AKY276" s="90"/>
      <c r="AKZ276" s="90"/>
      <c r="ALA276" s="90"/>
      <c r="ALB276" s="90"/>
      <c r="ALC276" s="90"/>
      <c r="ALD276" s="90"/>
      <c r="ALE276" s="90"/>
      <c r="ALF276" s="90"/>
      <c r="ALG276" s="90"/>
      <c r="ALH276" s="90"/>
      <c r="ALI276" s="90"/>
      <c r="ALJ276" s="90"/>
      <c r="ALK276" s="90"/>
      <c r="ALL276" s="90"/>
      <c r="ALM276" s="90"/>
      <c r="ALN276" s="90"/>
      <c r="ALO276" s="90"/>
      <c r="ALP276" s="90"/>
      <c r="ALQ276" s="90"/>
      <c r="ALR276" s="90"/>
      <c r="ALS276" s="90"/>
      <c r="ALT276" s="90"/>
      <c r="ALU276" s="90"/>
      <c r="ALV276" s="90"/>
      <c r="ALW276" s="90"/>
      <c r="ALX276" s="90"/>
      <c r="ALY276" s="90"/>
      <c r="ALZ276" s="90"/>
      <c r="AMA276" s="90"/>
      <c r="AMB276" s="90"/>
      <c r="AMC276" s="90"/>
    </row>
    <row r="277" spans="1:1017">
      <c r="A277" s="98" t="s">
        <v>51</v>
      </c>
      <c r="B277" s="90" t="str">
        <f t="shared" si="1681"/>
        <v>Ikan_04 (Ikan Keting)</v>
      </c>
      <c r="Q277" s="91">
        <f t="shared" si="1583"/>
        <v>0</v>
      </c>
      <c r="R277" s="91">
        <f t="shared" si="1584"/>
        <v>0</v>
      </c>
      <c r="AG277" s="91">
        <f t="shared" si="1585"/>
        <v>0</v>
      </c>
      <c r="AH277" s="91">
        <f t="shared" si="1586"/>
        <v>0</v>
      </c>
      <c r="AW277" s="91">
        <f t="shared" si="1587"/>
        <v>0</v>
      </c>
      <c r="AX277" s="91">
        <f t="shared" si="1588"/>
        <v>0</v>
      </c>
      <c r="BM277" s="91">
        <f t="shared" si="1589"/>
        <v>0</v>
      </c>
      <c r="BN277" s="91">
        <f t="shared" si="1590"/>
        <v>0</v>
      </c>
      <c r="CC277" s="91">
        <f t="shared" si="1591"/>
        <v>0</v>
      </c>
      <c r="CD277" s="91">
        <f t="shared" si="1592"/>
        <v>0</v>
      </c>
      <c r="CS277" s="91">
        <f t="shared" si="1593"/>
        <v>0</v>
      </c>
      <c r="CT277" s="91">
        <f t="shared" si="1594"/>
        <v>0</v>
      </c>
      <c r="DI277" s="91">
        <f t="shared" si="1595"/>
        <v>0</v>
      </c>
      <c r="DJ277" s="91">
        <f t="shared" si="1596"/>
        <v>0</v>
      </c>
      <c r="DY277" s="91">
        <f t="shared" si="1597"/>
        <v>0</v>
      </c>
      <c r="DZ277" s="91">
        <f t="shared" si="1598"/>
        <v>0</v>
      </c>
      <c r="EO277" s="91">
        <f t="shared" si="1599"/>
        <v>0</v>
      </c>
      <c r="EP277" s="91">
        <f t="shared" si="1600"/>
        <v>0</v>
      </c>
      <c r="FE277" s="91">
        <f t="shared" si="1601"/>
        <v>0</v>
      </c>
      <c r="FF277" s="91">
        <f t="shared" si="1602"/>
        <v>0</v>
      </c>
      <c r="FU277" s="91">
        <f t="shared" si="1603"/>
        <v>0</v>
      </c>
      <c r="FV277" s="91">
        <f t="shared" si="1604"/>
        <v>0</v>
      </c>
      <c r="GK277" s="91">
        <f t="shared" si="1605"/>
        <v>0</v>
      </c>
      <c r="GL277" s="91">
        <f t="shared" si="1606"/>
        <v>0</v>
      </c>
      <c r="HA277" s="91">
        <f t="shared" si="1607"/>
        <v>0</v>
      </c>
      <c r="HB277" s="91">
        <f t="shared" si="1608"/>
        <v>0</v>
      </c>
      <c r="HQ277" s="91">
        <f t="shared" si="1609"/>
        <v>0</v>
      </c>
      <c r="HR277" s="91">
        <f t="shared" si="1610"/>
        <v>0</v>
      </c>
      <c r="IG277" s="91">
        <f t="shared" si="1611"/>
        <v>0</v>
      </c>
      <c r="IH277" s="91">
        <f t="shared" si="1612"/>
        <v>0</v>
      </c>
      <c r="IW277" s="91">
        <f t="shared" si="1613"/>
        <v>0</v>
      </c>
      <c r="IX277" s="91">
        <f t="shared" si="1614"/>
        <v>0</v>
      </c>
      <c r="JM277" s="91">
        <f t="shared" si="1615"/>
        <v>0</v>
      </c>
      <c r="JN277" s="91">
        <f t="shared" si="1616"/>
        <v>0</v>
      </c>
      <c r="KC277" s="91">
        <f t="shared" si="1617"/>
        <v>0</v>
      </c>
      <c r="KD277" s="91">
        <f t="shared" si="1618"/>
        <v>0</v>
      </c>
      <c r="KS277" s="91">
        <f t="shared" si="1619"/>
        <v>0</v>
      </c>
      <c r="KT277" s="91">
        <f t="shared" si="1620"/>
        <v>0</v>
      </c>
      <c r="LI277" s="91">
        <f t="shared" si="1621"/>
        <v>0</v>
      </c>
      <c r="LJ277" s="91">
        <f t="shared" si="1622"/>
        <v>0</v>
      </c>
      <c r="LY277" s="91">
        <f t="shared" si="1623"/>
        <v>0</v>
      </c>
      <c r="LZ277" s="91">
        <f t="shared" si="1624"/>
        <v>0</v>
      </c>
      <c r="MO277" s="91">
        <f t="shared" si="1625"/>
        <v>0</v>
      </c>
      <c r="MP277" s="91">
        <f t="shared" si="1626"/>
        <v>0</v>
      </c>
      <c r="NE277" s="91">
        <f t="shared" si="1627"/>
        <v>0</v>
      </c>
      <c r="NF277" s="91">
        <f t="shared" si="1628"/>
        <v>0</v>
      </c>
      <c r="NI277" s="98">
        <v>73100</v>
      </c>
      <c r="NJ277" s="98">
        <v>877200</v>
      </c>
      <c r="NU277" s="91">
        <f t="shared" si="1629"/>
        <v>73100</v>
      </c>
      <c r="NV277" s="91">
        <f t="shared" si="1630"/>
        <v>877200</v>
      </c>
      <c r="OK277" s="91">
        <f t="shared" si="1631"/>
        <v>0</v>
      </c>
      <c r="OL277" s="91">
        <f t="shared" si="1632"/>
        <v>0</v>
      </c>
      <c r="PA277" s="91">
        <f t="shared" si="1633"/>
        <v>0</v>
      </c>
      <c r="PB277" s="91">
        <f t="shared" si="1634"/>
        <v>0</v>
      </c>
      <c r="PQ277" s="91">
        <f t="shared" si="1635"/>
        <v>0</v>
      </c>
      <c r="PR277" s="91">
        <f t="shared" si="1636"/>
        <v>0</v>
      </c>
      <c r="QG277" s="91">
        <f t="shared" si="1637"/>
        <v>0</v>
      </c>
      <c r="QH277" s="91">
        <f t="shared" si="1638"/>
        <v>0</v>
      </c>
      <c r="QW277" s="91">
        <f t="shared" si="1639"/>
        <v>0</v>
      </c>
      <c r="QX277" s="91">
        <f t="shared" si="1640"/>
        <v>0</v>
      </c>
      <c r="RM277" s="91">
        <f t="shared" si="1641"/>
        <v>0</v>
      </c>
      <c r="RN277" s="91">
        <f t="shared" si="1642"/>
        <v>0</v>
      </c>
      <c r="SC277" s="91">
        <f t="shared" si="1643"/>
        <v>0</v>
      </c>
      <c r="SD277" s="91">
        <f t="shared" si="1644"/>
        <v>0</v>
      </c>
      <c r="SS277" s="91">
        <f t="shared" si="1645"/>
        <v>0</v>
      </c>
      <c r="ST277" s="91">
        <f t="shared" si="1646"/>
        <v>0</v>
      </c>
      <c r="TI277" s="91">
        <f t="shared" si="1647"/>
        <v>0</v>
      </c>
      <c r="TJ277" s="91">
        <f t="shared" si="1648"/>
        <v>0</v>
      </c>
      <c r="TY277" s="91">
        <f t="shared" si="1649"/>
        <v>0</v>
      </c>
      <c r="TZ277" s="91">
        <f t="shared" si="1650"/>
        <v>0</v>
      </c>
      <c r="UO277" s="91">
        <f t="shared" si="1651"/>
        <v>0</v>
      </c>
      <c r="UP277" s="91">
        <f t="shared" ref="UP277:UP278" si="1694">SUMIF($C$12:$P$12,$A$1,UB277:UO277)</f>
        <v>0</v>
      </c>
      <c r="VE277" s="91">
        <f t="shared" si="1653"/>
        <v>0</v>
      </c>
      <c r="VF277" s="91">
        <f t="shared" si="1654"/>
        <v>0</v>
      </c>
      <c r="VU277" s="91">
        <f t="shared" si="1655"/>
        <v>0</v>
      </c>
      <c r="VV277" s="91">
        <f t="shared" si="1656"/>
        <v>0</v>
      </c>
      <c r="WK277" s="91">
        <f t="shared" si="1657"/>
        <v>0</v>
      </c>
      <c r="WL277" s="91">
        <f t="shared" si="1658"/>
        <v>0</v>
      </c>
      <c r="WM277" s="89"/>
      <c r="WN277" s="87">
        <f t="shared" si="1682"/>
        <v>0</v>
      </c>
      <c r="WO277" s="87">
        <f t="shared" si="1683"/>
        <v>0</v>
      </c>
      <c r="WP277" s="87">
        <f t="shared" si="1684"/>
        <v>73100</v>
      </c>
      <c r="WQ277" s="87">
        <f t="shared" si="1685"/>
        <v>877200</v>
      </c>
      <c r="WR277" s="87">
        <f t="shared" si="1686"/>
        <v>0</v>
      </c>
      <c r="WS277" s="87">
        <f t="shared" si="1687"/>
        <v>0</v>
      </c>
      <c r="WT277" s="87">
        <f t="shared" si="1688"/>
        <v>0</v>
      </c>
      <c r="WU277" s="87">
        <f t="shared" si="1689"/>
        <v>0</v>
      </c>
      <c r="WV277" s="87">
        <f t="shared" si="1690"/>
        <v>0</v>
      </c>
      <c r="WW277" s="87">
        <f t="shared" si="1691"/>
        <v>0</v>
      </c>
      <c r="WX277" s="87">
        <f t="shared" si="1692"/>
        <v>0</v>
      </c>
      <c r="WY277" s="87">
        <f t="shared" si="1693"/>
        <v>0</v>
      </c>
      <c r="WZ277" s="87">
        <f t="shared" si="1677"/>
        <v>0</v>
      </c>
      <c r="XA277" s="87">
        <f t="shared" si="1678"/>
        <v>0</v>
      </c>
      <c r="XB277" s="92">
        <f t="shared" si="1679"/>
        <v>73100</v>
      </c>
      <c r="XC277" s="92">
        <f t="shared" si="1680"/>
        <v>877200</v>
      </c>
      <c r="XD277" s="89"/>
      <c r="XE277" s="92"/>
      <c r="XF277" s="92"/>
      <c r="XG277" s="89"/>
      <c r="XH277" s="92"/>
      <c r="XI277" s="92"/>
      <c r="XJ277" s="89"/>
      <c r="XK277" s="87"/>
      <c r="XL277" s="87"/>
      <c r="XM277" s="87"/>
      <c r="XN277" s="87"/>
      <c r="XO277" s="87"/>
      <c r="XP277" s="87"/>
      <c r="XQ277" s="87"/>
      <c r="XR277" s="92">
        <f t="shared" ca="1" si="1675"/>
        <v>0</v>
      </c>
      <c r="XS277" s="89"/>
      <c r="XT277" s="87"/>
      <c r="XU277" s="87"/>
      <c r="XV277" s="87"/>
      <c r="XW277" s="87"/>
      <c r="XX277" s="87"/>
      <c r="XY277" s="87"/>
      <c r="XZ277" s="87"/>
      <c r="YA277" s="92">
        <f t="shared" ca="1" si="1676"/>
        <v>0</v>
      </c>
      <c r="YB277" s="90"/>
      <c r="YC277" s="90"/>
      <c r="YD277" s="90"/>
      <c r="YE277" s="90"/>
      <c r="YF277" s="90"/>
      <c r="YG277" s="90"/>
      <c r="YH277" s="90"/>
      <c r="YI277" s="90"/>
      <c r="YJ277" s="90"/>
      <c r="YK277" s="90"/>
      <c r="YL277" s="90"/>
      <c r="YM277" s="90"/>
      <c r="YN277" s="90"/>
      <c r="YO277" s="90"/>
      <c r="YP277" s="90"/>
      <c r="YQ277" s="90"/>
      <c r="YR277" s="90"/>
      <c r="YS277" s="90"/>
      <c r="YT277" s="90"/>
      <c r="YU277" s="90"/>
      <c r="YV277" s="90"/>
      <c r="YW277" s="90"/>
      <c r="YX277" s="90"/>
      <c r="YY277" s="90"/>
      <c r="YZ277" s="90"/>
      <c r="ZA277" s="90"/>
      <c r="ZB277" s="90"/>
      <c r="ZC277" s="90"/>
      <c r="ZD277" s="90"/>
      <c r="ZE277" s="90"/>
      <c r="ZF277" s="90"/>
      <c r="ZG277" s="90"/>
      <c r="ZH277" s="90"/>
      <c r="ZI277" s="90"/>
      <c r="ZJ277" s="90"/>
      <c r="ZK277" s="90"/>
      <c r="ZL277" s="90"/>
      <c r="ZM277" s="90"/>
      <c r="ZN277" s="90"/>
      <c r="ZO277" s="90"/>
      <c r="ZP277" s="90"/>
      <c r="ZQ277" s="90"/>
      <c r="ZR277" s="90"/>
      <c r="ZS277" s="90"/>
      <c r="ZT277" s="90"/>
      <c r="ZU277" s="90"/>
      <c r="ZV277" s="90"/>
      <c r="ZW277" s="90"/>
      <c r="ZX277" s="90"/>
      <c r="ZY277" s="90"/>
      <c r="ZZ277" s="90"/>
      <c r="AAA277" s="90"/>
      <c r="AAB277" s="90"/>
      <c r="AAC277" s="90"/>
      <c r="AAD277" s="90"/>
      <c r="AAE277" s="90"/>
      <c r="AAF277" s="90"/>
      <c r="AAG277" s="90"/>
      <c r="AAH277" s="90"/>
      <c r="AAI277" s="90"/>
      <c r="AAJ277" s="90"/>
      <c r="AAK277" s="90"/>
      <c r="AAL277" s="90"/>
      <c r="AAM277" s="90"/>
      <c r="AAN277" s="90"/>
      <c r="AAO277" s="90"/>
      <c r="AAP277" s="90"/>
      <c r="AAQ277" s="90"/>
      <c r="AAR277" s="90"/>
      <c r="AAS277" s="90"/>
      <c r="AAT277" s="90"/>
      <c r="AAU277" s="90"/>
      <c r="AAV277" s="90"/>
      <c r="AAW277" s="90"/>
      <c r="AAX277" s="90"/>
      <c r="AAY277" s="90"/>
      <c r="AAZ277" s="90"/>
      <c r="ABA277" s="90"/>
      <c r="ABB277" s="90"/>
      <c r="ABC277" s="90"/>
      <c r="ABD277" s="90"/>
      <c r="ABE277" s="90"/>
      <c r="ABF277" s="90"/>
      <c r="ABG277" s="90"/>
      <c r="ABH277" s="90"/>
      <c r="ABI277" s="90"/>
      <c r="ABJ277" s="90"/>
      <c r="ABK277" s="90"/>
      <c r="ABL277" s="90"/>
      <c r="ABM277" s="90"/>
      <c r="ABN277" s="90"/>
      <c r="ABO277" s="90"/>
      <c r="ABP277" s="90"/>
      <c r="ABQ277" s="90"/>
      <c r="ABR277" s="90"/>
      <c r="ABS277" s="90"/>
      <c r="ABT277" s="90"/>
      <c r="ABU277" s="90"/>
      <c r="ABV277" s="90"/>
      <c r="ABW277" s="90"/>
      <c r="ABX277" s="90"/>
      <c r="ABY277" s="90"/>
      <c r="ABZ277" s="90"/>
      <c r="ACA277" s="90"/>
      <c r="ACB277" s="90"/>
      <c r="ACC277" s="90"/>
      <c r="ACD277" s="90"/>
      <c r="ACE277" s="90"/>
      <c r="ACF277" s="90"/>
      <c r="ACG277" s="90"/>
      <c r="ACH277" s="90"/>
      <c r="ACI277" s="90"/>
      <c r="ACJ277" s="90"/>
      <c r="ACK277" s="90"/>
      <c r="ACL277" s="90"/>
      <c r="ACM277" s="90"/>
      <c r="ACN277" s="90"/>
      <c r="ACO277" s="90"/>
      <c r="ACP277" s="90"/>
      <c r="ACQ277" s="90"/>
      <c r="ACR277" s="90"/>
      <c r="ACS277" s="90"/>
      <c r="ACT277" s="90"/>
      <c r="ACU277" s="90"/>
      <c r="ACV277" s="90"/>
      <c r="ACW277" s="90"/>
      <c r="ACX277" s="90"/>
      <c r="ACY277" s="90"/>
      <c r="ACZ277" s="90"/>
      <c r="ADA277" s="90"/>
      <c r="ADB277" s="90"/>
      <c r="ADC277" s="90"/>
      <c r="ADD277" s="90"/>
      <c r="ADE277" s="90"/>
      <c r="ADF277" s="90"/>
      <c r="ADG277" s="90"/>
      <c r="ADH277" s="90"/>
      <c r="ADI277" s="90"/>
      <c r="ADJ277" s="90"/>
      <c r="ADK277" s="90"/>
      <c r="ADL277" s="90"/>
      <c r="ADM277" s="90"/>
      <c r="ADN277" s="90"/>
      <c r="ADO277" s="90"/>
      <c r="ADP277" s="90"/>
      <c r="ADQ277" s="90"/>
      <c r="ADR277" s="90"/>
      <c r="ADS277" s="90"/>
      <c r="ADT277" s="90"/>
      <c r="ADU277" s="90"/>
      <c r="ADV277" s="90"/>
      <c r="ADW277" s="90"/>
      <c r="ADX277" s="90"/>
      <c r="ADY277" s="90"/>
      <c r="ADZ277" s="90"/>
      <c r="AEA277" s="90"/>
      <c r="AEB277" s="90"/>
      <c r="AEC277" s="90"/>
      <c r="AED277" s="90"/>
      <c r="AEE277" s="90"/>
      <c r="AEF277" s="90"/>
      <c r="AEG277" s="90"/>
      <c r="AEH277" s="90"/>
      <c r="AEI277" s="90"/>
      <c r="AEJ277" s="90"/>
      <c r="AEK277" s="90"/>
      <c r="AEL277" s="90"/>
      <c r="AEM277" s="90"/>
      <c r="AEN277" s="90"/>
      <c r="AEO277" s="90"/>
      <c r="AEP277" s="90"/>
      <c r="AEQ277" s="90"/>
      <c r="AER277" s="90"/>
      <c r="AES277" s="90"/>
      <c r="AET277" s="90"/>
      <c r="AEU277" s="90"/>
      <c r="AEV277" s="90"/>
      <c r="AEW277" s="90"/>
      <c r="AEX277" s="90"/>
      <c r="AEY277" s="90"/>
      <c r="AEZ277" s="90"/>
      <c r="AFA277" s="90"/>
      <c r="AFB277" s="90"/>
      <c r="AFC277" s="90"/>
      <c r="AFD277" s="90"/>
      <c r="AFE277" s="90"/>
      <c r="AFF277" s="90"/>
      <c r="AFG277" s="90"/>
      <c r="AFH277" s="90"/>
      <c r="AFI277" s="90"/>
      <c r="AFJ277" s="90"/>
      <c r="AFK277" s="90"/>
      <c r="AFL277" s="90"/>
      <c r="AFM277" s="90"/>
      <c r="AFN277" s="90"/>
      <c r="AFO277" s="90"/>
      <c r="AFP277" s="90"/>
      <c r="AFQ277" s="90"/>
      <c r="AFR277" s="90"/>
      <c r="AFS277" s="90"/>
      <c r="AFT277" s="90"/>
      <c r="AFU277" s="90"/>
      <c r="AFV277" s="90"/>
      <c r="AFW277" s="90"/>
      <c r="AFX277" s="90"/>
      <c r="AFY277" s="90"/>
      <c r="AFZ277" s="90"/>
      <c r="AGA277" s="90"/>
      <c r="AGB277" s="90"/>
      <c r="AGC277" s="90"/>
      <c r="AGD277" s="90"/>
      <c r="AGE277" s="90"/>
      <c r="AGF277" s="90"/>
      <c r="AGG277" s="90"/>
      <c r="AGH277" s="90"/>
      <c r="AGI277" s="90"/>
      <c r="AGJ277" s="90"/>
      <c r="AGK277" s="90"/>
      <c r="AGL277" s="90"/>
      <c r="AGM277" s="90"/>
      <c r="AGN277" s="90"/>
      <c r="AGO277" s="90"/>
      <c r="AGP277" s="90"/>
      <c r="AGQ277" s="90"/>
      <c r="AGR277" s="90"/>
      <c r="AGS277" s="90"/>
      <c r="AGT277" s="90"/>
      <c r="AGU277" s="90"/>
      <c r="AGV277" s="90"/>
      <c r="AGW277" s="90"/>
      <c r="AGX277" s="90"/>
      <c r="AGY277" s="90"/>
      <c r="AGZ277" s="90"/>
      <c r="AHA277" s="90"/>
      <c r="AHB277" s="90"/>
      <c r="AHC277" s="90"/>
      <c r="AHD277" s="90"/>
      <c r="AHE277" s="90"/>
      <c r="AHF277" s="90"/>
      <c r="AHG277" s="90"/>
      <c r="AHH277" s="90"/>
      <c r="AHI277" s="90"/>
      <c r="AHJ277" s="90"/>
      <c r="AHK277" s="90"/>
      <c r="AHL277" s="90"/>
      <c r="AHM277" s="90"/>
      <c r="AHN277" s="90"/>
      <c r="AHO277" s="90"/>
      <c r="AHP277" s="90"/>
      <c r="AHQ277" s="90"/>
      <c r="AHR277" s="90"/>
      <c r="AHS277" s="90"/>
      <c r="AHT277" s="90"/>
      <c r="AHU277" s="90"/>
      <c r="AHV277" s="90"/>
      <c r="AHW277" s="90"/>
      <c r="AHX277" s="90"/>
      <c r="AHY277" s="90"/>
      <c r="AHZ277" s="90"/>
      <c r="AIA277" s="90"/>
      <c r="AIB277" s="90"/>
      <c r="AIC277" s="90"/>
      <c r="AID277" s="90"/>
      <c r="AIE277" s="90"/>
      <c r="AIF277" s="90"/>
      <c r="AIG277" s="90"/>
      <c r="AIH277" s="90"/>
      <c r="AII277" s="90"/>
      <c r="AIJ277" s="90"/>
      <c r="AIK277" s="90"/>
      <c r="AIL277" s="90"/>
      <c r="AIM277" s="90"/>
      <c r="AIN277" s="90"/>
      <c r="AIO277" s="90"/>
      <c r="AIP277" s="90"/>
      <c r="AIQ277" s="90"/>
      <c r="AIR277" s="90"/>
      <c r="AIS277" s="90"/>
      <c r="AIT277" s="90"/>
      <c r="AIU277" s="90"/>
      <c r="AIV277" s="90"/>
      <c r="AIW277" s="90"/>
      <c r="AIX277" s="90"/>
      <c r="AIY277" s="90"/>
      <c r="AIZ277" s="90"/>
      <c r="AJA277" s="90"/>
      <c r="AJB277" s="90"/>
      <c r="AJC277" s="90"/>
      <c r="AJD277" s="90"/>
      <c r="AJE277" s="90"/>
      <c r="AJF277" s="90"/>
      <c r="AJG277" s="90"/>
      <c r="AJH277" s="90"/>
      <c r="AJI277" s="90"/>
      <c r="AJJ277" s="90"/>
      <c r="AJK277" s="90"/>
      <c r="AJL277" s="90"/>
      <c r="AJM277" s="90"/>
      <c r="AJN277" s="90"/>
      <c r="AJO277" s="90"/>
      <c r="AJP277" s="90"/>
      <c r="AJQ277" s="90"/>
      <c r="AJR277" s="90"/>
      <c r="AJS277" s="90"/>
      <c r="AJT277" s="90"/>
      <c r="AJU277" s="90"/>
      <c r="AJV277" s="90"/>
      <c r="AJW277" s="90"/>
      <c r="AJX277" s="90"/>
      <c r="AJY277" s="90"/>
      <c r="AJZ277" s="90"/>
      <c r="AKA277" s="90"/>
      <c r="AKB277" s="90"/>
      <c r="AKC277" s="90"/>
      <c r="AKD277" s="90"/>
      <c r="AKE277" s="90"/>
      <c r="AKF277" s="90"/>
      <c r="AKG277" s="90"/>
      <c r="AKH277" s="90"/>
      <c r="AKI277" s="90"/>
      <c r="AKJ277" s="90"/>
      <c r="AKK277" s="90"/>
      <c r="AKL277" s="90"/>
      <c r="AKM277" s="90"/>
      <c r="AKN277" s="90"/>
      <c r="AKO277" s="90"/>
      <c r="AKP277" s="90"/>
      <c r="AKQ277" s="90"/>
      <c r="AKR277" s="90"/>
      <c r="AKS277" s="90"/>
      <c r="AKT277" s="90"/>
      <c r="AKU277" s="90"/>
      <c r="AKV277" s="90"/>
      <c r="AKW277" s="90"/>
      <c r="AKX277" s="90"/>
      <c r="AKY277" s="90"/>
      <c r="AKZ277" s="90"/>
      <c r="ALA277" s="90"/>
      <c r="ALB277" s="90"/>
      <c r="ALC277" s="90"/>
      <c r="ALD277" s="90"/>
      <c r="ALE277" s="90"/>
      <c r="ALF277" s="90"/>
      <c r="ALG277" s="90"/>
      <c r="ALH277" s="90"/>
      <c r="ALI277" s="90"/>
      <c r="ALJ277" s="90"/>
      <c r="ALK277" s="90"/>
      <c r="ALL277" s="90"/>
      <c r="ALM277" s="90"/>
      <c r="ALN277" s="90"/>
      <c r="ALO277" s="90"/>
      <c r="ALP277" s="90"/>
      <c r="ALQ277" s="90"/>
      <c r="ALR277" s="90"/>
      <c r="ALS277" s="90"/>
      <c r="ALT277" s="90"/>
      <c r="ALU277" s="90"/>
      <c r="ALV277" s="90"/>
      <c r="ALW277" s="90"/>
      <c r="ALX277" s="90"/>
      <c r="ALY277" s="90"/>
      <c r="ALZ277" s="90"/>
      <c r="AMA277" s="90"/>
      <c r="AMB277" s="90"/>
      <c r="AMC277" s="90"/>
    </row>
    <row r="278" spans="1:1017">
      <c r="A278" s="98" t="s">
        <v>51</v>
      </c>
      <c r="B278" s="90" t="str">
        <f t="shared" si="1681"/>
        <v>Ikan_05 (Ikan betutu)</v>
      </c>
      <c r="Q278" s="91">
        <f t="shared" si="1583"/>
        <v>0</v>
      </c>
      <c r="R278" s="91">
        <f t="shared" si="1584"/>
        <v>0</v>
      </c>
      <c r="AG278" s="91">
        <f t="shared" si="1585"/>
        <v>0</v>
      </c>
      <c r="AH278" s="91">
        <f t="shared" si="1586"/>
        <v>0</v>
      </c>
      <c r="AW278" s="91">
        <f t="shared" si="1587"/>
        <v>0</v>
      </c>
      <c r="AX278" s="91">
        <f t="shared" si="1588"/>
        <v>0</v>
      </c>
      <c r="BM278" s="91">
        <f t="shared" si="1589"/>
        <v>0</v>
      </c>
      <c r="BN278" s="91">
        <f t="shared" si="1590"/>
        <v>0</v>
      </c>
      <c r="CC278" s="91">
        <f t="shared" si="1591"/>
        <v>0</v>
      </c>
      <c r="CD278" s="91">
        <f t="shared" si="1592"/>
        <v>0</v>
      </c>
      <c r="CS278" s="91">
        <f t="shared" si="1593"/>
        <v>0</v>
      </c>
      <c r="CT278" s="91">
        <f t="shared" si="1594"/>
        <v>0</v>
      </c>
      <c r="DI278" s="91">
        <f t="shared" si="1595"/>
        <v>0</v>
      </c>
      <c r="DJ278" s="91">
        <f t="shared" si="1596"/>
        <v>0</v>
      </c>
      <c r="DY278" s="91">
        <f t="shared" si="1597"/>
        <v>0</v>
      </c>
      <c r="DZ278" s="91">
        <f t="shared" si="1598"/>
        <v>0</v>
      </c>
      <c r="EO278" s="91">
        <f t="shared" si="1599"/>
        <v>0</v>
      </c>
      <c r="EP278" s="91">
        <f t="shared" si="1600"/>
        <v>0</v>
      </c>
      <c r="FE278" s="91">
        <f t="shared" si="1601"/>
        <v>0</v>
      </c>
      <c r="FF278" s="91">
        <f t="shared" si="1602"/>
        <v>0</v>
      </c>
      <c r="FU278" s="91">
        <f t="shared" si="1603"/>
        <v>0</v>
      </c>
      <c r="FV278" s="91">
        <f t="shared" si="1604"/>
        <v>0</v>
      </c>
      <c r="GK278" s="91">
        <f t="shared" si="1605"/>
        <v>0</v>
      </c>
      <c r="GL278" s="91">
        <f t="shared" si="1606"/>
        <v>0</v>
      </c>
      <c r="HA278" s="91">
        <f t="shared" si="1607"/>
        <v>0</v>
      </c>
      <c r="HB278" s="91">
        <f t="shared" si="1608"/>
        <v>0</v>
      </c>
      <c r="HQ278" s="91">
        <f t="shared" si="1609"/>
        <v>0</v>
      </c>
      <c r="HR278" s="91">
        <f t="shared" si="1610"/>
        <v>0</v>
      </c>
      <c r="IG278" s="91">
        <f t="shared" si="1611"/>
        <v>0</v>
      </c>
      <c r="IH278" s="91">
        <f t="shared" si="1612"/>
        <v>0</v>
      </c>
      <c r="IW278" s="91">
        <f t="shared" si="1613"/>
        <v>0</v>
      </c>
      <c r="IX278" s="91">
        <f t="shared" si="1614"/>
        <v>0</v>
      </c>
      <c r="JM278" s="91">
        <f t="shared" si="1615"/>
        <v>0</v>
      </c>
      <c r="JN278" s="91">
        <f t="shared" si="1616"/>
        <v>0</v>
      </c>
      <c r="KC278" s="91">
        <f t="shared" si="1617"/>
        <v>0</v>
      </c>
      <c r="KD278" s="91">
        <f t="shared" si="1618"/>
        <v>0</v>
      </c>
      <c r="KS278" s="91">
        <f t="shared" si="1619"/>
        <v>0</v>
      </c>
      <c r="KT278" s="91">
        <f t="shared" si="1620"/>
        <v>0</v>
      </c>
      <c r="LI278" s="91">
        <f t="shared" si="1621"/>
        <v>0</v>
      </c>
      <c r="LJ278" s="91">
        <f t="shared" si="1622"/>
        <v>0</v>
      </c>
      <c r="LY278" s="91">
        <f t="shared" si="1623"/>
        <v>0</v>
      </c>
      <c r="LZ278" s="91">
        <f t="shared" si="1624"/>
        <v>0</v>
      </c>
      <c r="MO278" s="91">
        <f t="shared" si="1625"/>
        <v>0</v>
      </c>
      <c r="MP278" s="91">
        <f t="shared" si="1626"/>
        <v>0</v>
      </c>
      <c r="NE278" s="91">
        <f t="shared" si="1627"/>
        <v>0</v>
      </c>
      <c r="NF278" s="91">
        <f t="shared" si="1628"/>
        <v>0</v>
      </c>
      <c r="NU278" s="91">
        <f t="shared" si="1629"/>
        <v>0</v>
      </c>
      <c r="NV278" s="91">
        <f t="shared" si="1630"/>
        <v>0</v>
      </c>
      <c r="OK278" s="91">
        <f t="shared" si="1631"/>
        <v>0</v>
      </c>
      <c r="OL278" s="91">
        <f t="shared" si="1632"/>
        <v>0</v>
      </c>
      <c r="PA278" s="91">
        <f t="shared" si="1633"/>
        <v>0</v>
      </c>
      <c r="PB278" s="91">
        <f t="shared" si="1634"/>
        <v>0</v>
      </c>
      <c r="PQ278" s="91">
        <f t="shared" si="1635"/>
        <v>0</v>
      </c>
      <c r="PR278" s="91">
        <f t="shared" si="1636"/>
        <v>0</v>
      </c>
      <c r="QG278" s="91">
        <f t="shared" si="1637"/>
        <v>0</v>
      </c>
      <c r="QH278" s="91">
        <f t="shared" si="1638"/>
        <v>0</v>
      </c>
      <c r="QW278" s="91">
        <f t="shared" si="1639"/>
        <v>0</v>
      </c>
      <c r="QX278" s="91">
        <f t="shared" si="1640"/>
        <v>0</v>
      </c>
      <c r="RM278" s="91">
        <f t="shared" si="1641"/>
        <v>0</v>
      </c>
      <c r="RN278" s="91">
        <f t="shared" si="1642"/>
        <v>0</v>
      </c>
      <c r="SC278" s="91">
        <f t="shared" si="1643"/>
        <v>0</v>
      </c>
      <c r="SD278" s="91">
        <f t="shared" si="1644"/>
        <v>0</v>
      </c>
      <c r="SS278" s="91">
        <f t="shared" si="1645"/>
        <v>0</v>
      </c>
      <c r="ST278" s="91">
        <f t="shared" si="1646"/>
        <v>0</v>
      </c>
      <c r="TI278" s="91">
        <f t="shared" si="1647"/>
        <v>0</v>
      </c>
      <c r="TJ278" s="91">
        <f t="shared" si="1648"/>
        <v>0</v>
      </c>
      <c r="TY278" s="91">
        <f t="shared" si="1649"/>
        <v>0</v>
      </c>
      <c r="TZ278" s="91">
        <f t="shared" si="1650"/>
        <v>0</v>
      </c>
      <c r="UO278" s="91">
        <f t="shared" si="1651"/>
        <v>0</v>
      </c>
      <c r="UP278" s="91">
        <f t="shared" si="1694"/>
        <v>0</v>
      </c>
      <c r="VE278" s="91">
        <f t="shared" si="1653"/>
        <v>0</v>
      </c>
      <c r="VF278" s="91">
        <f t="shared" si="1654"/>
        <v>0</v>
      </c>
      <c r="VU278" s="91">
        <f t="shared" si="1655"/>
        <v>0</v>
      </c>
      <c r="VV278" s="91">
        <f t="shared" si="1656"/>
        <v>0</v>
      </c>
      <c r="WK278" s="91">
        <f t="shared" si="1657"/>
        <v>0</v>
      </c>
      <c r="WL278" s="91">
        <f t="shared" si="1658"/>
        <v>0</v>
      </c>
      <c r="WM278" s="89"/>
      <c r="WN278" s="87">
        <f t="shared" si="1682"/>
        <v>0</v>
      </c>
      <c r="WO278" s="87">
        <f t="shared" si="1683"/>
        <v>0</v>
      </c>
      <c r="WP278" s="87">
        <f t="shared" si="1684"/>
        <v>0</v>
      </c>
      <c r="WQ278" s="87">
        <f t="shared" si="1685"/>
        <v>0</v>
      </c>
      <c r="WR278" s="87">
        <f t="shared" si="1686"/>
        <v>0</v>
      </c>
      <c r="WS278" s="87">
        <f t="shared" si="1687"/>
        <v>0</v>
      </c>
      <c r="WT278" s="87">
        <f t="shared" si="1688"/>
        <v>0</v>
      </c>
      <c r="WU278" s="87">
        <f t="shared" si="1689"/>
        <v>0</v>
      </c>
      <c r="WV278" s="87">
        <f t="shared" si="1690"/>
        <v>0</v>
      </c>
      <c r="WW278" s="87">
        <f t="shared" si="1691"/>
        <v>0</v>
      </c>
      <c r="WX278" s="87">
        <f t="shared" si="1692"/>
        <v>0</v>
      </c>
      <c r="WY278" s="87">
        <f t="shared" si="1693"/>
        <v>0</v>
      </c>
      <c r="WZ278" s="87">
        <f t="shared" si="1677"/>
        <v>0</v>
      </c>
      <c r="XA278" s="87">
        <f t="shared" si="1678"/>
        <v>0</v>
      </c>
      <c r="XB278" s="92">
        <f t="shared" si="1679"/>
        <v>0</v>
      </c>
      <c r="XC278" s="92">
        <f t="shared" si="1680"/>
        <v>0</v>
      </c>
      <c r="XD278" s="89"/>
      <c r="XE278" s="92"/>
      <c r="XF278" s="92"/>
      <c r="XG278" s="89"/>
      <c r="XH278" s="92"/>
      <c r="XI278" s="92"/>
      <c r="XJ278" s="89"/>
      <c r="XK278" s="87"/>
      <c r="XL278" s="87"/>
      <c r="XM278" s="87"/>
      <c r="XN278" s="87"/>
      <c r="XO278" s="87"/>
      <c r="XP278" s="87"/>
      <c r="XQ278" s="87"/>
      <c r="XR278" s="92">
        <f t="shared" ca="1" si="1675"/>
        <v>0</v>
      </c>
      <c r="XS278" s="89"/>
      <c r="XT278" s="87"/>
      <c r="XU278" s="87"/>
      <c r="XV278" s="87"/>
      <c r="XW278" s="87"/>
      <c r="XX278" s="87"/>
      <c r="XY278" s="87"/>
      <c r="XZ278" s="87"/>
      <c r="YA278" s="92">
        <f t="shared" ca="1" si="1676"/>
        <v>0</v>
      </c>
      <c r="YB278" s="90"/>
      <c r="YC278" s="90"/>
      <c r="YD278" s="90"/>
      <c r="YE278" s="90"/>
      <c r="YF278" s="90"/>
      <c r="YG278" s="90"/>
      <c r="YH278" s="90"/>
      <c r="YI278" s="90"/>
      <c r="YJ278" s="90"/>
      <c r="YK278" s="90"/>
      <c r="YL278" s="90"/>
      <c r="YM278" s="90"/>
      <c r="YN278" s="90"/>
      <c r="YO278" s="90"/>
      <c r="YP278" s="90"/>
      <c r="YQ278" s="90"/>
      <c r="YR278" s="90"/>
      <c r="YS278" s="90"/>
      <c r="YT278" s="90"/>
      <c r="YU278" s="90"/>
      <c r="YV278" s="90"/>
      <c r="YW278" s="90"/>
      <c r="YX278" s="90"/>
      <c r="YY278" s="90"/>
      <c r="YZ278" s="90"/>
      <c r="ZA278" s="90"/>
      <c r="ZB278" s="90"/>
      <c r="ZC278" s="90"/>
      <c r="ZD278" s="90"/>
      <c r="ZE278" s="90"/>
      <c r="ZF278" s="90"/>
      <c r="ZG278" s="90"/>
      <c r="ZH278" s="90"/>
      <c r="ZI278" s="90"/>
      <c r="ZJ278" s="90"/>
      <c r="ZK278" s="90"/>
      <c r="ZL278" s="90"/>
      <c r="ZM278" s="90"/>
      <c r="ZN278" s="90"/>
      <c r="ZO278" s="90"/>
      <c r="ZP278" s="90"/>
      <c r="ZQ278" s="90"/>
      <c r="ZR278" s="90"/>
      <c r="ZS278" s="90"/>
      <c r="ZT278" s="90"/>
      <c r="ZU278" s="90"/>
      <c r="ZV278" s="90"/>
      <c r="ZW278" s="90"/>
      <c r="ZX278" s="90"/>
      <c r="ZY278" s="90"/>
      <c r="ZZ278" s="90"/>
      <c r="AAA278" s="90"/>
      <c r="AAB278" s="90"/>
      <c r="AAC278" s="90"/>
      <c r="AAD278" s="90"/>
      <c r="AAE278" s="90"/>
      <c r="AAF278" s="90"/>
      <c r="AAG278" s="90"/>
      <c r="AAH278" s="90"/>
      <c r="AAI278" s="90"/>
      <c r="AAJ278" s="90"/>
      <c r="AAK278" s="90"/>
      <c r="AAL278" s="90"/>
      <c r="AAM278" s="90"/>
      <c r="AAN278" s="90"/>
      <c r="AAO278" s="90"/>
      <c r="AAP278" s="90"/>
      <c r="AAQ278" s="90"/>
      <c r="AAR278" s="90"/>
      <c r="AAS278" s="90"/>
      <c r="AAT278" s="90"/>
      <c r="AAU278" s="90"/>
      <c r="AAV278" s="90"/>
      <c r="AAW278" s="90"/>
      <c r="AAX278" s="90"/>
      <c r="AAY278" s="90"/>
      <c r="AAZ278" s="90"/>
      <c r="ABA278" s="90"/>
      <c r="ABB278" s="90"/>
      <c r="ABC278" s="90"/>
      <c r="ABD278" s="90"/>
      <c r="ABE278" s="90"/>
      <c r="ABF278" s="90"/>
      <c r="ABG278" s="90"/>
      <c r="ABH278" s="90"/>
      <c r="ABI278" s="90"/>
      <c r="ABJ278" s="90"/>
      <c r="ABK278" s="90"/>
      <c r="ABL278" s="90"/>
      <c r="ABM278" s="90"/>
      <c r="ABN278" s="90"/>
      <c r="ABO278" s="90"/>
      <c r="ABP278" s="90"/>
      <c r="ABQ278" s="90"/>
      <c r="ABR278" s="90"/>
      <c r="ABS278" s="90"/>
      <c r="ABT278" s="90"/>
      <c r="ABU278" s="90"/>
      <c r="ABV278" s="90"/>
      <c r="ABW278" s="90"/>
      <c r="ABX278" s="90"/>
      <c r="ABY278" s="90"/>
      <c r="ABZ278" s="90"/>
      <c r="ACA278" s="90"/>
      <c r="ACB278" s="90"/>
      <c r="ACC278" s="90"/>
      <c r="ACD278" s="90"/>
      <c r="ACE278" s="90"/>
      <c r="ACF278" s="90"/>
      <c r="ACG278" s="90"/>
      <c r="ACH278" s="90"/>
      <c r="ACI278" s="90"/>
      <c r="ACJ278" s="90"/>
      <c r="ACK278" s="90"/>
      <c r="ACL278" s="90"/>
      <c r="ACM278" s="90"/>
      <c r="ACN278" s="90"/>
      <c r="ACO278" s="90"/>
      <c r="ACP278" s="90"/>
      <c r="ACQ278" s="90"/>
      <c r="ACR278" s="90"/>
      <c r="ACS278" s="90"/>
      <c r="ACT278" s="90"/>
      <c r="ACU278" s="90"/>
      <c r="ACV278" s="90"/>
      <c r="ACW278" s="90"/>
      <c r="ACX278" s="90"/>
      <c r="ACY278" s="90"/>
      <c r="ACZ278" s="90"/>
      <c r="ADA278" s="90"/>
      <c r="ADB278" s="90"/>
      <c r="ADC278" s="90"/>
      <c r="ADD278" s="90"/>
      <c r="ADE278" s="90"/>
      <c r="ADF278" s="90"/>
      <c r="ADG278" s="90"/>
      <c r="ADH278" s="90"/>
      <c r="ADI278" s="90"/>
      <c r="ADJ278" s="90"/>
      <c r="ADK278" s="90"/>
      <c r="ADL278" s="90"/>
      <c r="ADM278" s="90"/>
      <c r="ADN278" s="90"/>
      <c r="ADO278" s="90"/>
      <c r="ADP278" s="90"/>
      <c r="ADQ278" s="90"/>
      <c r="ADR278" s="90"/>
      <c r="ADS278" s="90"/>
      <c r="ADT278" s="90"/>
      <c r="ADU278" s="90"/>
      <c r="ADV278" s="90"/>
      <c r="ADW278" s="90"/>
      <c r="ADX278" s="90"/>
      <c r="ADY278" s="90"/>
      <c r="ADZ278" s="90"/>
      <c r="AEA278" s="90"/>
      <c r="AEB278" s="90"/>
      <c r="AEC278" s="90"/>
      <c r="AED278" s="90"/>
      <c r="AEE278" s="90"/>
      <c r="AEF278" s="90"/>
      <c r="AEG278" s="90"/>
      <c r="AEH278" s="90"/>
      <c r="AEI278" s="90"/>
      <c r="AEJ278" s="90"/>
      <c r="AEK278" s="90"/>
      <c r="AEL278" s="90"/>
      <c r="AEM278" s="90"/>
      <c r="AEN278" s="90"/>
      <c r="AEO278" s="90"/>
      <c r="AEP278" s="90"/>
      <c r="AEQ278" s="90"/>
      <c r="AER278" s="90"/>
      <c r="AES278" s="90"/>
      <c r="AET278" s="90"/>
      <c r="AEU278" s="90"/>
      <c r="AEV278" s="90"/>
      <c r="AEW278" s="90"/>
      <c r="AEX278" s="90"/>
      <c r="AEY278" s="90"/>
      <c r="AEZ278" s="90"/>
      <c r="AFA278" s="90"/>
      <c r="AFB278" s="90"/>
      <c r="AFC278" s="90"/>
      <c r="AFD278" s="90"/>
      <c r="AFE278" s="90"/>
      <c r="AFF278" s="90"/>
      <c r="AFG278" s="90"/>
      <c r="AFH278" s="90"/>
      <c r="AFI278" s="90"/>
      <c r="AFJ278" s="90"/>
      <c r="AFK278" s="90"/>
      <c r="AFL278" s="90"/>
      <c r="AFM278" s="90"/>
      <c r="AFN278" s="90"/>
      <c r="AFO278" s="90"/>
      <c r="AFP278" s="90"/>
      <c r="AFQ278" s="90"/>
      <c r="AFR278" s="90"/>
      <c r="AFS278" s="90"/>
      <c r="AFT278" s="90"/>
      <c r="AFU278" s="90"/>
      <c r="AFV278" s="90"/>
      <c r="AFW278" s="90"/>
      <c r="AFX278" s="90"/>
      <c r="AFY278" s="90"/>
      <c r="AFZ278" s="90"/>
      <c r="AGA278" s="90"/>
      <c r="AGB278" s="90"/>
      <c r="AGC278" s="90"/>
      <c r="AGD278" s="90"/>
      <c r="AGE278" s="90"/>
      <c r="AGF278" s="90"/>
      <c r="AGG278" s="90"/>
      <c r="AGH278" s="90"/>
      <c r="AGI278" s="90"/>
      <c r="AGJ278" s="90"/>
      <c r="AGK278" s="90"/>
      <c r="AGL278" s="90"/>
      <c r="AGM278" s="90"/>
      <c r="AGN278" s="90"/>
      <c r="AGO278" s="90"/>
      <c r="AGP278" s="90"/>
      <c r="AGQ278" s="90"/>
      <c r="AGR278" s="90"/>
      <c r="AGS278" s="90"/>
      <c r="AGT278" s="90"/>
      <c r="AGU278" s="90"/>
      <c r="AGV278" s="90"/>
      <c r="AGW278" s="90"/>
      <c r="AGX278" s="90"/>
      <c r="AGY278" s="90"/>
      <c r="AGZ278" s="90"/>
      <c r="AHA278" s="90"/>
      <c r="AHB278" s="90"/>
      <c r="AHC278" s="90"/>
      <c r="AHD278" s="90"/>
      <c r="AHE278" s="90"/>
      <c r="AHF278" s="90"/>
      <c r="AHG278" s="90"/>
      <c r="AHH278" s="90"/>
      <c r="AHI278" s="90"/>
      <c r="AHJ278" s="90"/>
      <c r="AHK278" s="90"/>
      <c r="AHL278" s="90"/>
      <c r="AHM278" s="90"/>
      <c r="AHN278" s="90"/>
      <c r="AHO278" s="90"/>
      <c r="AHP278" s="90"/>
      <c r="AHQ278" s="90"/>
      <c r="AHR278" s="90"/>
      <c r="AHS278" s="90"/>
      <c r="AHT278" s="90"/>
      <c r="AHU278" s="90"/>
      <c r="AHV278" s="90"/>
      <c r="AHW278" s="90"/>
      <c r="AHX278" s="90"/>
      <c r="AHY278" s="90"/>
      <c r="AHZ278" s="90"/>
      <c r="AIA278" s="90"/>
      <c r="AIB278" s="90"/>
      <c r="AIC278" s="90"/>
      <c r="AID278" s="90"/>
      <c r="AIE278" s="90"/>
      <c r="AIF278" s="90"/>
      <c r="AIG278" s="90"/>
      <c r="AIH278" s="90"/>
      <c r="AII278" s="90"/>
      <c r="AIJ278" s="90"/>
      <c r="AIK278" s="90"/>
      <c r="AIL278" s="90"/>
      <c r="AIM278" s="90"/>
      <c r="AIN278" s="90"/>
      <c r="AIO278" s="90"/>
      <c r="AIP278" s="90"/>
      <c r="AIQ278" s="90"/>
      <c r="AIR278" s="90"/>
      <c r="AIS278" s="90"/>
      <c r="AIT278" s="90"/>
      <c r="AIU278" s="90"/>
      <c r="AIV278" s="90"/>
      <c r="AIW278" s="90"/>
      <c r="AIX278" s="90"/>
      <c r="AIY278" s="90"/>
      <c r="AIZ278" s="90"/>
      <c r="AJA278" s="90"/>
      <c r="AJB278" s="90"/>
      <c r="AJC278" s="90"/>
      <c r="AJD278" s="90"/>
      <c r="AJE278" s="90"/>
      <c r="AJF278" s="90"/>
      <c r="AJG278" s="90"/>
      <c r="AJH278" s="90"/>
      <c r="AJI278" s="90"/>
      <c r="AJJ278" s="90"/>
      <c r="AJK278" s="90"/>
      <c r="AJL278" s="90"/>
      <c r="AJM278" s="90"/>
      <c r="AJN278" s="90"/>
      <c r="AJO278" s="90"/>
      <c r="AJP278" s="90"/>
      <c r="AJQ278" s="90"/>
      <c r="AJR278" s="90"/>
      <c r="AJS278" s="90"/>
      <c r="AJT278" s="90"/>
      <c r="AJU278" s="90"/>
      <c r="AJV278" s="90"/>
      <c r="AJW278" s="90"/>
      <c r="AJX278" s="90"/>
      <c r="AJY278" s="90"/>
      <c r="AJZ278" s="90"/>
      <c r="AKA278" s="90"/>
      <c r="AKB278" s="90"/>
      <c r="AKC278" s="90"/>
      <c r="AKD278" s="90"/>
      <c r="AKE278" s="90"/>
      <c r="AKF278" s="90"/>
      <c r="AKG278" s="90"/>
      <c r="AKH278" s="90"/>
      <c r="AKI278" s="90"/>
      <c r="AKJ278" s="90"/>
      <c r="AKK278" s="90"/>
      <c r="AKL278" s="90"/>
      <c r="AKM278" s="90"/>
      <c r="AKN278" s="90"/>
      <c r="AKO278" s="90"/>
      <c r="AKP278" s="90"/>
      <c r="AKQ278" s="90"/>
      <c r="AKR278" s="90"/>
      <c r="AKS278" s="90"/>
      <c r="AKT278" s="90"/>
      <c r="AKU278" s="90"/>
      <c r="AKV278" s="90"/>
      <c r="AKW278" s="90"/>
      <c r="AKX278" s="90"/>
      <c r="AKY278" s="90"/>
      <c r="AKZ278" s="90"/>
      <c r="ALA278" s="90"/>
      <c r="ALB278" s="90"/>
      <c r="ALC278" s="90"/>
      <c r="ALD278" s="90"/>
      <c r="ALE278" s="90"/>
      <c r="ALF278" s="90"/>
      <c r="ALG278" s="90"/>
      <c r="ALH278" s="90"/>
      <c r="ALI278" s="90"/>
      <c r="ALJ278" s="90"/>
      <c r="ALK278" s="90"/>
      <c r="ALL278" s="90"/>
      <c r="ALM278" s="90"/>
      <c r="ALN278" s="90"/>
      <c r="ALO278" s="90"/>
      <c r="ALP278" s="90"/>
      <c r="ALQ278" s="90"/>
      <c r="ALR278" s="90"/>
      <c r="ALS278" s="90"/>
      <c r="ALT278" s="90"/>
      <c r="ALU278" s="90"/>
      <c r="ALV278" s="90"/>
      <c r="ALW278" s="90"/>
      <c r="ALX278" s="90"/>
      <c r="ALY278" s="90"/>
      <c r="ALZ278" s="90"/>
      <c r="AMA278" s="90"/>
      <c r="AMB278" s="90"/>
      <c r="AMC278" s="90"/>
    </row>
    <row r="279" spans="1:1017" s="100" customFormat="1">
      <c r="A279" s="100">
        <v>8</v>
      </c>
      <c r="B279" s="100" t="s">
        <v>61</v>
      </c>
      <c r="C279" s="100">
        <f t="shared" ref="C279:R279" si="1695">SUM(C280:C316)</f>
        <v>0</v>
      </c>
      <c r="D279" s="100">
        <f t="shared" si="1695"/>
        <v>0</v>
      </c>
      <c r="E279" s="100">
        <f t="shared" si="1695"/>
        <v>548500</v>
      </c>
      <c r="F279" s="100">
        <f t="shared" si="1695"/>
        <v>19466200</v>
      </c>
      <c r="G279" s="100">
        <f t="shared" si="1695"/>
        <v>0</v>
      </c>
      <c r="H279" s="100">
        <f t="shared" si="1695"/>
        <v>0</v>
      </c>
      <c r="I279" s="100">
        <f t="shared" si="1695"/>
        <v>45200</v>
      </c>
      <c r="J279" s="100">
        <f t="shared" si="1695"/>
        <v>1035900</v>
      </c>
      <c r="K279" s="100">
        <f t="shared" si="1695"/>
        <v>0</v>
      </c>
      <c r="L279" s="100">
        <f t="shared" si="1695"/>
        <v>0</v>
      </c>
      <c r="M279" s="100">
        <f t="shared" si="1695"/>
        <v>300</v>
      </c>
      <c r="N279" s="100">
        <f t="shared" si="1695"/>
        <v>6000</v>
      </c>
      <c r="O279" s="100">
        <f t="shared" si="1695"/>
        <v>0</v>
      </c>
      <c r="P279" s="100">
        <f t="shared" si="1695"/>
        <v>0</v>
      </c>
      <c r="Q279" s="728">
        <f t="shared" si="1695"/>
        <v>594000</v>
      </c>
      <c r="R279" s="728">
        <f t="shared" si="1695"/>
        <v>20508100</v>
      </c>
      <c r="S279" s="100">
        <f t="shared" ref="S279:CD279" si="1696">SUM(S280:S316)</f>
        <v>2260</v>
      </c>
      <c r="T279" s="100">
        <f t="shared" si="1696"/>
        <v>276950</v>
      </c>
      <c r="U279" s="100">
        <f t="shared" si="1696"/>
        <v>1677680</v>
      </c>
      <c r="V279" s="100">
        <f t="shared" si="1696"/>
        <v>91757575</v>
      </c>
      <c r="W279" s="100">
        <f t="shared" si="1696"/>
        <v>0</v>
      </c>
      <c r="X279" s="100">
        <f t="shared" si="1696"/>
        <v>0</v>
      </c>
      <c r="Y279" s="100">
        <f t="shared" si="1696"/>
        <v>850960</v>
      </c>
      <c r="Z279" s="100">
        <f t="shared" si="1696"/>
        <v>17334370</v>
      </c>
      <c r="AA279" s="100">
        <f t="shared" si="1696"/>
        <v>5830</v>
      </c>
      <c r="AB279" s="100">
        <f t="shared" si="1696"/>
        <v>159275</v>
      </c>
      <c r="AC279" s="100">
        <f t="shared" si="1696"/>
        <v>4295</v>
      </c>
      <c r="AD279" s="100">
        <f t="shared" si="1696"/>
        <v>117250</v>
      </c>
      <c r="AE279" s="100">
        <f t="shared" si="1696"/>
        <v>1530</v>
      </c>
      <c r="AF279" s="100">
        <f t="shared" si="1696"/>
        <v>33900</v>
      </c>
      <c r="AG279" s="728">
        <f t="shared" si="1696"/>
        <v>2542555</v>
      </c>
      <c r="AH279" s="728">
        <f t="shared" si="1696"/>
        <v>109679320</v>
      </c>
      <c r="AI279" s="100">
        <f t="shared" si="1696"/>
        <v>0</v>
      </c>
      <c r="AJ279" s="100">
        <f t="shared" si="1696"/>
        <v>0</v>
      </c>
      <c r="AK279" s="100">
        <f t="shared" si="1696"/>
        <v>37200</v>
      </c>
      <c r="AL279" s="100">
        <f t="shared" si="1696"/>
        <v>2418000</v>
      </c>
      <c r="AM279" s="100">
        <f t="shared" si="1696"/>
        <v>0</v>
      </c>
      <c r="AN279" s="100">
        <f t="shared" si="1696"/>
        <v>0</v>
      </c>
      <c r="AO279" s="100">
        <f t="shared" si="1696"/>
        <v>1441500</v>
      </c>
      <c r="AP279" s="100">
        <f t="shared" si="1696"/>
        <v>32091200</v>
      </c>
      <c r="AQ279" s="100">
        <f t="shared" si="1696"/>
        <v>150</v>
      </c>
      <c r="AR279" s="100">
        <f t="shared" si="1696"/>
        <v>3600</v>
      </c>
      <c r="AS279" s="100">
        <f t="shared" si="1696"/>
        <v>0</v>
      </c>
      <c r="AT279" s="100">
        <f t="shared" si="1696"/>
        <v>0</v>
      </c>
      <c r="AU279" s="100">
        <f t="shared" si="1696"/>
        <v>2050</v>
      </c>
      <c r="AV279" s="100">
        <f t="shared" si="1696"/>
        <v>49200</v>
      </c>
      <c r="AW279" s="728">
        <f t="shared" si="1696"/>
        <v>1480900</v>
      </c>
      <c r="AX279" s="728">
        <f t="shared" si="1696"/>
        <v>34562000</v>
      </c>
      <c r="AY279" s="100">
        <f t="shared" si="1696"/>
        <v>0</v>
      </c>
      <c r="AZ279" s="100">
        <f t="shared" si="1696"/>
        <v>0</v>
      </c>
      <c r="BA279" s="100">
        <f t="shared" si="1696"/>
        <v>0</v>
      </c>
      <c r="BB279" s="100">
        <f t="shared" si="1696"/>
        <v>0</v>
      </c>
      <c r="BC279" s="100">
        <f t="shared" si="1696"/>
        <v>0</v>
      </c>
      <c r="BD279" s="100">
        <f t="shared" si="1696"/>
        <v>0</v>
      </c>
      <c r="BE279" s="100">
        <f t="shared" si="1696"/>
        <v>344298</v>
      </c>
      <c r="BF279" s="100">
        <f t="shared" si="1696"/>
        <v>6999497</v>
      </c>
      <c r="BG279" s="100">
        <f t="shared" si="1696"/>
        <v>412</v>
      </c>
      <c r="BH279" s="100">
        <f t="shared" si="1696"/>
        <v>10300</v>
      </c>
      <c r="BI279" s="100">
        <f t="shared" si="1696"/>
        <v>0</v>
      </c>
      <c r="BJ279" s="100">
        <f t="shared" si="1696"/>
        <v>0</v>
      </c>
      <c r="BK279" s="100">
        <f t="shared" si="1696"/>
        <v>943</v>
      </c>
      <c r="BL279" s="100">
        <f t="shared" si="1696"/>
        <v>16900</v>
      </c>
      <c r="BM279" s="728">
        <f t="shared" si="1696"/>
        <v>345653</v>
      </c>
      <c r="BN279" s="728">
        <f t="shared" si="1696"/>
        <v>7026697</v>
      </c>
      <c r="BO279" s="100">
        <f t="shared" si="1696"/>
        <v>0</v>
      </c>
      <c r="BP279" s="100">
        <f t="shared" si="1696"/>
        <v>0</v>
      </c>
      <c r="BQ279" s="100">
        <f t="shared" si="1696"/>
        <v>0</v>
      </c>
      <c r="BR279" s="100">
        <f t="shared" si="1696"/>
        <v>0</v>
      </c>
      <c r="BS279" s="100">
        <f t="shared" si="1696"/>
        <v>0</v>
      </c>
      <c r="BT279" s="100">
        <f t="shared" si="1696"/>
        <v>0</v>
      </c>
      <c r="BU279" s="100">
        <f t="shared" si="1696"/>
        <v>69232</v>
      </c>
      <c r="BV279" s="100">
        <f t="shared" si="1696"/>
        <v>1488475</v>
      </c>
      <c r="BW279" s="100">
        <f t="shared" si="1696"/>
        <v>0</v>
      </c>
      <c r="BX279" s="100">
        <f t="shared" si="1696"/>
        <v>0</v>
      </c>
      <c r="BY279" s="100">
        <f t="shared" si="1696"/>
        <v>0</v>
      </c>
      <c r="BZ279" s="100">
        <f t="shared" si="1696"/>
        <v>0</v>
      </c>
      <c r="CA279" s="100">
        <f t="shared" si="1696"/>
        <v>0</v>
      </c>
      <c r="CB279" s="100">
        <f t="shared" si="1696"/>
        <v>0</v>
      </c>
      <c r="CC279" s="728">
        <f t="shared" si="1696"/>
        <v>69232</v>
      </c>
      <c r="CD279" s="728">
        <f t="shared" si="1696"/>
        <v>1488475</v>
      </c>
      <c r="CE279" s="100">
        <f t="shared" ref="CE279:EP279" si="1697">SUM(CE280:CE316)</f>
        <v>1868475</v>
      </c>
      <c r="CF279" s="100">
        <f t="shared" si="1697"/>
        <v>7473898</v>
      </c>
      <c r="CG279" s="100">
        <f t="shared" si="1697"/>
        <v>6410932</v>
      </c>
      <c r="CH279" s="100">
        <f t="shared" si="1697"/>
        <v>193685689</v>
      </c>
      <c r="CI279" s="100">
        <f t="shared" si="1697"/>
        <v>0</v>
      </c>
      <c r="CJ279" s="100">
        <f t="shared" si="1697"/>
        <v>0</v>
      </c>
      <c r="CK279" s="100">
        <f t="shared" si="1697"/>
        <v>4811596</v>
      </c>
      <c r="CL279" s="100">
        <f t="shared" si="1697"/>
        <v>82547961</v>
      </c>
      <c r="CM279" s="100">
        <f t="shared" si="1697"/>
        <v>0</v>
      </c>
      <c r="CN279" s="100">
        <f t="shared" si="1697"/>
        <v>0</v>
      </c>
      <c r="CO279" s="100">
        <f t="shared" si="1697"/>
        <v>0</v>
      </c>
      <c r="CP279" s="100">
        <f t="shared" si="1697"/>
        <v>0</v>
      </c>
      <c r="CQ279" s="100">
        <f t="shared" si="1697"/>
        <v>0</v>
      </c>
      <c r="CR279" s="100">
        <f t="shared" si="1697"/>
        <v>0</v>
      </c>
      <c r="CS279" s="728">
        <f t="shared" si="1697"/>
        <v>13091003</v>
      </c>
      <c r="CT279" s="728">
        <f t="shared" si="1697"/>
        <v>283707548</v>
      </c>
      <c r="CU279" s="100">
        <f t="shared" si="1697"/>
        <v>0</v>
      </c>
      <c r="CV279" s="100">
        <f t="shared" si="1697"/>
        <v>0</v>
      </c>
      <c r="CW279" s="100">
        <f t="shared" si="1697"/>
        <v>455424.96561126568</v>
      </c>
      <c r="CX279" s="100">
        <f t="shared" si="1697"/>
        <v>24866593.384</v>
      </c>
      <c r="CY279" s="100">
        <f t="shared" si="1697"/>
        <v>0</v>
      </c>
      <c r="CZ279" s="100">
        <f t="shared" si="1697"/>
        <v>0</v>
      </c>
      <c r="DA279" s="100">
        <f t="shared" si="1697"/>
        <v>1054810</v>
      </c>
      <c r="DB279" s="100">
        <f t="shared" si="1697"/>
        <v>23299660</v>
      </c>
      <c r="DC279" s="100">
        <f t="shared" si="1697"/>
        <v>1815</v>
      </c>
      <c r="DD279" s="100">
        <f t="shared" si="1697"/>
        <v>38120</v>
      </c>
      <c r="DE279" s="100">
        <f t="shared" si="1697"/>
        <v>0</v>
      </c>
      <c r="DF279" s="100">
        <f t="shared" si="1697"/>
        <v>0</v>
      </c>
      <c r="DG279" s="100">
        <f t="shared" si="1697"/>
        <v>0</v>
      </c>
      <c r="DH279" s="100">
        <f t="shared" si="1697"/>
        <v>0</v>
      </c>
      <c r="DI279" s="728">
        <f t="shared" si="1697"/>
        <v>1512049.9656112655</v>
      </c>
      <c r="DJ279" s="728">
        <f t="shared" si="1697"/>
        <v>48204373.384000003</v>
      </c>
      <c r="DK279" s="100">
        <f t="shared" si="1697"/>
        <v>0</v>
      </c>
      <c r="DL279" s="100">
        <f t="shared" si="1697"/>
        <v>0</v>
      </c>
      <c r="DM279" s="100">
        <f t="shared" si="1697"/>
        <v>0</v>
      </c>
      <c r="DN279" s="100">
        <f t="shared" si="1697"/>
        <v>0</v>
      </c>
      <c r="DO279" s="100">
        <f t="shared" si="1697"/>
        <v>0</v>
      </c>
      <c r="DP279" s="100">
        <f t="shared" si="1697"/>
        <v>0</v>
      </c>
      <c r="DQ279" s="100">
        <f t="shared" si="1697"/>
        <v>1101200</v>
      </c>
      <c r="DR279" s="100">
        <f t="shared" si="1697"/>
        <v>19798100</v>
      </c>
      <c r="DS279" s="100">
        <f t="shared" si="1697"/>
        <v>0</v>
      </c>
      <c r="DT279" s="100">
        <f t="shared" si="1697"/>
        <v>0</v>
      </c>
      <c r="DU279" s="100">
        <f t="shared" si="1697"/>
        <v>0</v>
      </c>
      <c r="DV279" s="100">
        <f t="shared" si="1697"/>
        <v>0</v>
      </c>
      <c r="DW279" s="100">
        <f t="shared" si="1697"/>
        <v>0</v>
      </c>
      <c r="DX279" s="100">
        <f t="shared" si="1697"/>
        <v>0</v>
      </c>
      <c r="DY279" s="728">
        <f t="shared" si="1697"/>
        <v>1101200</v>
      </c>
      <c r="DZ279" s="728">
        <f t="shared" si="1697"/>
        <v>19798100</v>
      </c>
      <c r="EA279" s="100">
        <f t="shared" si="1697"/>
        <v>0</v>
      </c>
      <c r="EB279" s="100">
        <f t="shared" si="1697"/>
        <v>0</v>
      </c>
      <c r="EC279" s="100">
        <f t="shared" si="1697"/>
        <v>0</v>
      </c>
      <c r="ED279" s="100">
        <f t="shared" si="1697"/>
        <v>0</v>
      </c>
      <c r="EE279" s="100">
        <f t="shared" si="1697"/>
        <v>0</v>
      </c>
      <c r="EF279" s="100">
        <f t="shared" si="1697"/>
        <v>0</v>
      </c>
      <c r="EG279" s="100">
        <f t="shared" si="1697"/>
        <v>2054940</v>
      </c>
      <c r="EH279" s="100">
        <f t="shared" si="1697"/>
        <v>38622540</v>
      </c>
      <c r="EI279" s="100">
        <f t="shared" si="1697"/>
        <v>0</v>
      </c>
      <c r="EJ279" s="100">
        <f t="shared" si="1697"/>
        <v>0</v>
      </c>
      <c r="EK279" s="100">
        <f t="shared" si="1697"/>
        <v>0</v>
      </c>
      <c r="EL279" s="100">
        <f t="shared" si="1697"/>
        <v>0</v>
      </c>
      <c r="EM279" s="100">
        <f t="shared" si="1697"/>
        <v>0</v>
      </c>
      <c r="EN279" s="100">
        <f t="shared" si="1697"/>
        <v>0</v>
      </c>
      <c r="EO279" s="728">
        <f t="shared" si="1697"/>
        <v>2054940</v>
      </c>
      <c r="EP279" s="728">
        <f t="shared" si="1697"/>
        <v>38622540</v>
      </c>
      <c r="EQ279" s="100">
        <f t="shared" ref="EQ279:HB279" si="1698">SUM(EQ280:EQ316)</f>
        <v>0</v>
      </c>
      <c r="ER279" s="100">
        <f t="shared" si="1698"/>
        <v>0</v>
      </c>
      <c r="ES279" s="100">
        <f t="shared" si="1698"/>
        <v>316965</v>
      </c>
      <c r="ET279" s="100">
        <f t="shared" si="1698"/>
        <v>17213027</v>
      </c>
      <c r="EU279" s="100">
        <f t="shared" si="1698"/>
        <v>0</v>
      </c>
      <c r="EV279" s="100">
        <f t="shared" si="1698"/>
        <v>0</v>
      </c>
      <c r="EW279" s="100">
        <f t="shared" si="1698"/>
        <v>488781</v>
      </c>
      <c r="EX279" s="100">
        <f t="shared" si="1698"/>
        <v>12224969</v>
      </c>
      <c r="EY279" s="100">
        <f t="shared" si="1698"/>
        <v>0</v>
      </c>
      <c r="EZ279" s="100">
        <f t="shared" si="1698"/>
        <v>0</v>
      </c>
      <c r="FA279" s="100">
        <f t="shared" si="1698"/>
        <v>3331</v>
      </c>
      <c r="FB279" s="100">
        <f t="shared" si="1698"/>
        <v>66620</v>
      </c>
      <c r="FC279" s="100">
        <f t="shared" si="1698"/>
        <v>360</v>
      </c>
      <c r="FD279" s="100">
        <f t="shared" si="1698"/>
        <v>7920</v>
      </c>
      <c r="FE279" s="728">
        <f t="shared" si="1698"/>
        <v>809437</v>
      </c>
      <c r="FF279" s="728">
        <f t="shared" si="1698"/>
        <v>29512536</v>
      </c>
      <c r="FG279" s="100">
        <f t="shared" si="1698"/>
        <v>0</v>
      </c>
      <c r="FH279" s="100">
        <f t="shared" si="1698"/>
        <v>0</v>
      </c>
      <c r="FI279" s="100">
        <f t="shared" si="1698"/>
        <v>125000</v>
      </c>
      <c r="FJ279" s="100">
        <f t="shared" si="1698"/>
        <v>7500000</v>
      </c>
      <c r="FK279" s="100">
        <f t="shared" si="1698"/>
        <v>0</v>
      </c>
      <c r="FL279" s="100">
        <f t="shared" si="1698"/>
        <v>0</v>
      </c>
      <c r="FM279" s="100">
        <f>SUM(FM281:FM316)</f>
        <v>232389</v>
      </c>
      <c r="FN279" s="100">
        <f>SUM(FN281:FN316)</f>
        <v>5839823</v>
      </c>
      <c r="FO279" s="100">
        <f t="shared" si="1698"/>
        <v>0</v>
      </c>
      <c r="FP279" s="100">
        <f t="shared" si="1698"/>
        <v>0</v>
      </c>
      <c r="FQ279" s="100">
        <f t="shared" si="1698"/>
        <v>0</v>
      </c>
      <c r="FR279" s="100">
        <f t="shared" si="1698"/>
        <v>0</v>
      </c>
      <c r="FS279" s="100">
        <f t="shared" si="1698"/>
        <v>77465</v>
      </c>
      <c r="FT279" s="100">
        <f t="shared" si="1698"/>
        <v>2169020</v>
      </c>
      <c r="FU279" s="728">
        <f t="shared" si="1698"/>
        <v>434854</v>
      </c>
      <c r="FV279" s="728">
        <f t="shared" si="1698"/>
        <v>15508843</v>
      </c>
      <c r="FW279" s="100">
        <f t="shared" si="1698"/>
        <v>0</v>
      </c>
      <c r="FX279" s="100">
        <f t="shared" si="1698"/>
        <v>0</v>
      </c>
      <c r="FY279" s="100">
        <f t="shared" si="1698"/>
        <v>0</v>
      </c>
      <c r="FZ279" s="100">
        <f t="shared" si="1698"/>
        <v>0</v>
      </c>
      <c r="GA279" s="100">
        <f t="shared" si="1698"/>
        <v>0</v>
      </c>
      <c r="GB279" s="100">
        <f t="shared" si="1698"/>
        <v>0</v>
      </c>
      <c r="GC279" s="100">
        <f t="shared" si="1698"/>
        <v>296450</v>
      </c>
      <c r="GD279" s="100">
        <f t="shared" si="1698"/>
        <v>5942125</v>
      </c>
      <c r="GE279" s="100">
        <f t="shared" si="1698"/>
        <v>0</v>
      </c>
      <c r="GF279" s="100">
        <f t="shared" si="1698"/>
        <v>0</v>
      </c>
      <c r="GG279" s="100">
        <f t="shared" si="1698"/>
        <v>0</v>
      </c>
      <c r="GH279" s="100">
        <f t="shared" si="1698"/>
        <v>0</v>
      </c>
      <c r="GI279" s="100">
        <f t="shared" si="1698"/>
        <v>0</v>
      </c>
      <c r="GJ279" s="100">
        <f t="shared" si="1698"/>
        <v>0</v>
      </c>
      <c r="GK279" s="728">
        <f t="shared" si="1698"/>
        <v>296450</v>
      </c>
      <c r="GL279" s="728">
        <f t="shared" si="1698"/>
        <v>5942125</v>
      </c>
      <c r="GM279" s="100">
        <f t="shared" si="1698"/>
        <v>0</v>
      </c>
      <c r="GN279" s="100">
        <f t="shared" si="1698"/>
        <v>0</v>
      </c>
      <c r="GO279" s="100">
        <f t="shared" si="1698"/>
        <v>0</v>
      </c>
      <c r="GP279" s="100">
        <f t="shared" si="1698"/>
        <v>0</v>
      </c>
      <c r="GQ279" s="100">
        <f t="shared" si="1698"/>
        <v>0</v>
      </c>
      <c r="GR279" s="100">
        <f t="shared" si="1698"/>
        <v>0</v>
      </c>
      <c r="GS279" s="100">
        <f t="shared" si="1698"/>
        <v>143500</v>
      </c>
      <c r="GT279" s="100">
        <f t="shared" si="1698"/>
        <v>2798000</v>
      </c>
      <c r="GU279" s="100">
        <f t="shared" si="1698"/>
        <v>0</v>
      </c>
      <c r="GV279" s="100">
        <f t="shared" si="1698"/>
        <v>0</v>
      </c>
      <c r="GW279" s="100">
        <f t="shared" si="1698"/>
        <v>0</v>
      </c>
      <c r="GX279" s="100">
        <f t="shared" si="1698"/>
        <v>0</v>
      </c>
      <c r="GY279" s="100">
        <f t="shared" si="1698"/>
        <v>150</v>
      </c>
      <c r="GZ279" s="100">
        <f t="shared" si="1698"/>
        <v>4325</v>
      </c>
      <c r="HA279" s="728">
        <f t="shared" si="1698"/>
        <v>143650</v>
      </c>
      <c r="HB279" s="728">
        <f t="shared" si="1698"/>
        <v>2802325</v>
      </c>
      <c r="HC279" s="100">
        <f t="shared" ref="HC279:JN279" si="1699">SUM(HC280:HC316)</f>
        <v>0</v>
      </c>
      <c r="HD279" s="100">
        <f t="shared" si="1699"/>
        <v>0</v>
      </c>
      <c r="HE279" s="100">
        <f t="shared" si="1699"/>
        <v>235000</v>
      </c>
      <c r="HF279" s="100">
        <f t="shared" si="1699"/>
        <v>16450000</v>
      </c>
      <c r="HG279" s="100">
        <f t="shared" si="1699"/>
        <v>0</v>
      </c>
      <c r="HH279" s="100">
        <f t="shared" si="1699"/>
        <v>0</v>
      </c>
      <c r="HI279" s="100">
        <f t="shared" si="1699"/>
        <v>556000</v>
      </c>
      <c r="HJ279" s="100">
        <f t="shared" si="1699"/>
        <v>10172500</v>
      </c>
      <c r="HK279" s="100">
        <f t="shared" si="1699"/>
        <v>0</v>
      </c>
      <c r="HL279" s="100">
        <f t="shared" si="1699"/>
        <v>0</v>
      </c>
      <c r="HM279" s="100">
        <f t="shared" si="1699"/>
        <v>0</v>
      </c>
      <c r="HN279" s="100">
        <f t="shared" si="1699"/>
        <v>0</v>
      </c>
      <c r="HO279" s="100">
        <f t="shared" si="1699"/>
        <v>90000</v>
      </c>
      <c r="HP279" s="100">
        <f t="shared" si="1699"/>
        <v>1800000</v>
      </c>
      <c r="HQ279" s="728">
        <f t="shared" si="1699"/>
        <v>881000</v>
      </c>
      <c r="HR279" s="728">
        <f t="shared" si="1699"/>
        <v>28422500</v>
      </c>
      <c r="HS279" s="100">
        <f t="shared" si="1699"/>
        <v>0</v>
      </c>
      <c r="HT279" s="100">
        <f t="shared" si="1699"/>
        <v>0</v>
      </c>
      <c r="HU279" s="100">
        <f t="shared" si="1699"/>
        <v>0</v>
      </c>
      <c r="HV279" s="100">
        <f t="shared" si="1699"/>
        <v>0</v>
      </c>
      <c r="HW279" s="100">
        <f t="shared" si="1699"/>
        <v>0</v>
      </c>
      <c r="HX279" s="100">
        <f t="shared" si="1699"/>
        <v>0</v>
      </c>
      <c r="HY279" s="100">
        <f t="shared" si="1699"/>
        <v>148075</v>
      </c>
      <c r="HZ279" s="100">
        <f t="shared" si="1699"/>
        <v>2797100</v>
      </c>
      <c r="IA279" s="100">
        <f t="shared" si="1699"/>
        <v>0</v>
      </c>
      <c r="IB279" s="100">
        <f t="shared" si="1699"/>
        <v>0</v>
      </c>
      <c r="IC279" s="100">
        <f t="shared" si="1699"/>
        <v>800</v>
      </c>
      <c r="ID279" s="100">
        <f t="shared" si="1699"/>
        <v>22400</v>
      </c>
      <c r="IE279" s="100">
        <f t="shared" si="1699"/>
        <v>0</v>
      </c>
      <c r="IF279" s="100">
        <f t="shared" si="1699"/>
        <v>0</v>
      </c>
      <c r="IG279" s="728">
        <f t="shared" si="1699"/>
        <v>148875</v>
      </c>
      <c r="IH279" s="728">
        <f t="shared" si="1699"/>
        <v>2819500</v>
      </c>
      <c r="II279" s="100">
        <f t="shared" si="1699"/>
        <v>0</v>
      </c>
      <c r="IJ279" s="100">
        <f t="shared" si="1699"/>
        <v>0</v>
      </c>
      <c r="IK279" s="100">
        <f t="shared" si="1699"/>
        <v>0</v>
      </c>
      <c r="IL279" s="100">
        <f t="shared" si="1699"/>
        <v>0</v>
      </c>
      <c r="IM279" s="100">
        <f t="shared" si="1699"/>
        <v>0</v>
      </c>
      <c r="IN279" s="100">
        <f t="shared" si="1699"/>
        <v>0</v>
      </c>
      <c r="IO279" s="96">
        <f t="shared" si="1699"/>
        <v>834000</v>
      </c>
      <c r="IP279" s="96">
        <f t="shared" si="1699"/>
        <v>15646920</v>
      </c>
      <c r="IQ279" s="100">
        <f t="shared" si="1699"/>
        <v>0</v>
      </c>
      <c r="IR279" s="100">
        <f t="shared" si="1699"/>
        <v>0</v>
      </c>
      <c r="IS279" s="100">
        <f t="shared" si="1699"/>
        <v>0</v>
      </c>
      <c r="IT279" s="100">
        <f t="shared" si="1699"/>
        <v>0</v>
      </c>
      <c r="IU279" s="100">
        <f t="shared" si="1699"/>
        <v>0</v>
      </c>
      <c r="IV279" s="100">
        <f t="shared" si="1699"/>
        <v>0</v>
      </c>
      <c r="IW279" s="728">
        <f t="shared" si="1699"/>
        <v>834000</v>
      </c>
      <c r="IX279" s="728">
        <f t="shared" si="1699"/>
        <v>15646920</v>
      </c>
      <c r="IY279" s="100">
        <f t="shared" si="1699"/>
        <v>0</v>
      </c>
      <c r="IZ279" s="100">
        <f t="shared" si="1699"/>
        <v>0</v>
      </c>
      <c r="JA279" s="100">
        <f t="shared" si="1699"/>
        <v>0</v>
      </c>
      <c r="JB279" s="100">
        <f t="shared" si="1699"/>
        <v>0</v>
      </c>
      <c r="JC279" s="100">
        <f t="shared" si="1699"/>
        <v>0</v>
      </c>
      <c r="JD279" s="100">
        <f t="shared" si="1699"/>
        <v>0</v>
      </c>
      <c r="JE279" s="100">
        <f t="shared" si="1699"/>
        <v>372167</v>
      </c>
      <c r="JF279" s="100">
        <f t="shared" si="1699"/>
        <v>7077519</v>
      </c>
      <c r="JG279" s="100">
        <f t="shared" si="1699"/>
        <v>0</v>
      </c>
      <c r="JH279" s="100">
        <f t="shared" si="1699"/>
        <v>0</v>
      </c>
      <c r="JI279" s="100">
        <f t="shared" si="1699"/>
        <v>0</v>
      </c>
      <c r="JJ279" s="100">
        <f t="shared" si="1699"/>
        <v>0</v>
      </c>
      <c r="JK279" s="100">
        <f t="shared" si="1699"/>
        <v>9270</v>
      </c>
      <c r="JL279" s="100">
        <f t="shared" si="1699"/>
        <v>175290</v>
      </c>
      <c r="JM279" s="728">
        <f t="shared" si="1699"/>
        <v>381437</v>
      </c>
      <c r="JN279" s="728">
        <f t="shared" si="1699"/>
        <v>7252809</v>
      </c>
      <c r="JO279" s="100">
        <f t="shared" ref="JO279:MA279" si="1700">SUM(JO280:JO316)</f>
        <v>0</v>
      </c>
      <c r="JP279" s="100">
        <f t="shared" si="1700"/>
        <v>0</v>
      </c>
      <c r="JQ279" s="100">
        <f t="shared" si="1700"/>
        <v>120830</v>
      </c>
      <c r="JR279" s="100">
        <f t="shared" si="1700"/>
        <v>9666400</v>
      </c>
      <c r="JS279" s="100">
        <f t="shared" si="1700"/>
        <v>0</v>
      </c>
      <c r="JT279" s="100">
        <f t="shared" si="1700"/>
        <v>0</v>
      </c>
      <c r="JU279" s="100">
        <f t="shared" si="1700"/>
        <v>85115</v>
      </c>
      <c r="JV279" s="100">
        <f t="shared" si="1700"/>
        <v>2228241</v>
      </c>
      <c r="JW279" s="100">
        <f t="shared" si="1700"/>
        <v>0</v>
      </c>
      <c r="JX279" s="100">
        <f t="shared" si="1700"/>
        <v>0</v>
      </c>
      <c r="JY279" s="100">
        <f t="shared" si="1700"/>
        <v>0</v>
      </c>
      <c r="JZ279" s="100">
        <f t="shared" si="1700"/>
        <v>0</v>
      </c>
      <c r="KA279" s="100">
        <f t="shared" si="1700"/>
        <v>0</v>
      </c>
      <c r="KB279" s="100">
        <f t="shared" si="1700"/>
        <v>0</v>
      </c>
      <c r="KC279" s="728">
        <f t="shared" si="1700"/>
        <v>205945</v>
      </c>
      <c r="KD279" s="728">
        <f t="shared" si="1700"/>
        <v>11894641</v>
      </c>
      <c r="KE279" s="100">
        <f t="shared" si="1700"/>
        <v>0</v>
      </c>
      <c r="KF279" s="100">
        <f t="shared" si="1700"/>
        <v>0</v>
      </c>
      <c r="KG279" s="100">
        <f t="shared" si="1700"/>
        <v>18563</v>
      </c>
      <c r="KH279" s="100">
        <f t="shared" si="1700"/>
        <v>889584</v>
      </c>
      <c r="KI279" s="100">
        <f t="shared" si="1700"/>
        <v>0</v>
      </c>
      <c r="KJ279" s="100">
        <f t="shared" si="1700"/>
        <v>0</v>
      </c>
      <c r="KK279" s="100">
        <f t="shared" si="1700"/>
        <v>58301</v>
      </c>
      <c r="KL279" s="100">
        <f t="shared" si="1700"/>
        <v>1171420</v>
      </c>
      <c r="KM279" s="100">
        <f t="shared" si="1700"/>
        <v>0</v>
      </c>
      <c r="KN279" s="100">
        <f t="shared" si="1700"/>
        <v>0</v>
      </c>
      <c r="KO279" s="100">
        <f t="shared" si="1700"/>
        <v>0</v>
      </c>
      <c r="KP279" s="100">
        <f t="shared" si="1700"/>
        <v>0</v>
      </c>
      <c r="KQ279" s="100">
        <f t="shared" si="1700"/>
        <v>0</v>
      </c>
      <c r="KR279" s="100">
        <f t="shared" si="1700"/>
        <v>0</v>
      </c>
      <c r="KS279" s="728">
        <f t="shared" si="1700"/>
        <v>76864</v>
      </c>
      <c r="KT279" s="728">
        <f t="shared" si="1700"/>
        <v>2061004</v>
      </c>
      <c r="KU279" s="100">
        <f t="shared" si="1700"/>
        <v>0</v>
      </c>
      <c r="KV279" s="100">
        <f t="shared" si="1700"/>
        <v>0</v>
      </c>
      <c r="KW279" s="100">
        <f t="shared" si="1700"/>
        <v>1263003.47</v>
      </c>
      <c r="KX279" s="100">
        <f t="shared" si="1700"/>
        <v>20842741</v>
      </c>
      <c r="KY279" s="100">
        <f t="shared" si="1700"/>
        <v>0</v>
      </c>
      <c r="KZ279" s="100">
        <f t="shared" si="1700"/>
        <v>0</v>
      </c>
      <c r="LA279" s="100">
        <f t="shared" si="1700"/>
        <v>1300062.33</v>
      </c>
      <c r="LB279" s="100">
        <f t="shared" si="1700"/>
        <v>23538403</v>
      </c>
      <c r="LC279" s="100">
        <f t="shared" si="1700"/>
        <v>0</v>
      </c>
      <c r="LD279" s="100">
        <f t="shared" si="1700"/>
        <v>0</v>
      </c>
      <c r="LE279" s="100">
        <f t="shared" si="1700"/>
        <v>0</v>
      </c>
      <c r="LF279" s="100">
        <f t="shared" si="1700"/>
        <v>0</v>
      </c>
      <c r="LG279" s="100">
        <f t="shared" si="1700"/>
        <v>9289.7199999999993</v>
      </c>
      <c r="LH279" s="100">
        <f t="shared" si="1700"/>
        <v>222953</v>
      </c>
      <c r="LI279" s="728">
        <f t="shared" si="1700"/>
        <v>2572355.52</v>
      </c>
      <c r="LJ279" s="728">
        <f t="shared" si="1700"/>
        <v>44604097</v>
      </c>
      <c r="LK279" s="100">
        <f t="shared" si="1700"/>
        <v>0</v>
      </c>
      <c r="LL279" s="100">
        <f t="shared" si="1700"/>
        <v>0</v>
      </c>
      <c r="LM279" s="100">
        <f t="shared" si="1700"/>
        <v>0</v>
      </c>
      <c r="LN279" s="100">
        <f t="shared" si="1700"/>
        <v>0</v>
      </c>
      <c r="LO279" s="100">
        <f t="shared" si="1700"/>
        <v>0</v>
      </c>
      <c r="LP279" s="100">
        <f t="shared" si="1700"/>
        <v>0</v>
      </c>
      <c r="LQ279" s="100">
        <f t="shared" si="1700"/>
        <v>173410</v>
      </c>
      <c r="LR279" s="100">
        <f t="shared" si="1700"/>
        <v>3456227</v>
      </c>
      <c r="LS279" s="100">
        <f t="shared" si="1700"/>
        <v>0</v>
      </c>
      <c r="LT279" s="100">
        <f t="shared" si="1700"/>
        <v>0</v>
      </c>
      <c r="LU279" s="100">
        <f t="shared" si="1700"/>
        <v>0</v>
      </c>
      <c r="LV279" s="100">
        <f t="shared" si="1700"/>
        <v>0</v>
      </c>
      <c r="LW279" s="100">
        <f t="shared" si="1700"/>
        <v>978</v>
      </c>
      <c r="LX279" s="100">
        <f t="shared" si="1700"/>
        <v>31296</v>
      </c>
      <c r="LY279" s="728">
        <f t="shared" si="1700"/>
        <v>174388</v>
      </c>
      <c r="LZ279" s="728">
        <f t="shared" si="1700"/>
        <v>3487523</v>
      </c>
      <c r="MA279" s="100">
        <f t="shared" si="1700"/>
        <v>29600</v>
      </c>
      <c r="MB279" s="100">
        <f t="shared" ref="MB279:MN279" si="1701">SUM(MB280:MB316)</f>
        <v>2516000</v>
      </c>
      <c r="MC279" s="100">
        <f t="shared" si="1701"/>
        <v>1231060</v>
      </c>
      <c r="MD279" s="100">
        <f t="shared" si="1701"/>
        <v>59744890</v>
      </c>
      <c r="ME279" s="100">
        <f t="shared" si="1701"/>
        <v>0</v>
      </c>
      <c r="MF279" s="100">
        <f t="shared" si="1701"/>
        <v>0</v>
      </c>
      <c r="MG279" s="100">
        <f t="shared" si="1701"/>
        <v>73200</v>
      </c>
      <c r="MH279" s="100">
        <f t="shared" si="1701"/>
        <v>1354355.0000000002</v>
      </c>
      <c r="MI279" s="100">
        <f t="shared" si="1701"/>
        <v>0</v>
      </c>
      <c r="MJ279" s="100">
        <f t="shared" si="1701"/>
        <v>0</v>
      </c>
      <c r="MK279" s="100">
        <f t="shared" si="1701"/>
        <v>0</v>
      </c>
      <c r="ML279" s="100">
        <f t="shared" si="1701"/>
        <v>0</v>
      </c>
      <c r="MM279" s="100">
        <f t="shared" si="1701"/>
        <v>890</v>
      </c>
      <c r="MN279" s="100">
        <f t="shared" si="1701"/>
        <v>16020</v>
      </c>
      <c r="MO279" s="728">
        <f t="shared" ref="MO279:OL279" si="1702">SUM(MO280:MO316)</f>
        <v>1334750</v>
      </c>
      <c r="MP279" s="728">
        <f t="shared" si="1702"/>
        <v>63631265</v>
      </c>
      <c r="MQ279" s="100">
        <f t="shared" si="1702"/>
        <v>0</v>
      </c>
      <c r="MR279" s="100">
        <f t="shared" si="1702"/>
        <v>0</v>
      </c>
      <c r="MS279" s="100">
        <f t="shared" si="1702"/>
        <v>39420</v>
      </c>
      <c r="MT279" s="100">
        <f t="shared" si="1702"/>
        <v>1845200</v>
      </c>
      <c r="MU279" s="100">
        <f t="shared" si="1702"/>
        <v>0</v>
      </c>
      <c r="MV279" s="100">
        <f t="shared" si="1702"/>
        <v>0</v>
      </c>
      <c r="MW279" s="100">
        <f t="shared" si="1702"/>
        <v>13000</v>
      </c>
      <c r="MX279" s="100">
        <f t="shared" si="1702"/>
        <v>299000</v>
      </c>
      <c r="MY279" s="100">
        <f t="shared" si="1702"/>
        <v>0</v>
      </c>
      <c r="MZ279" s="100">
        <f t="shared" si="1702"/>
        <v>0</v>
      </c>
      <c r="NA279" s="100">
        <f t="shared" si="1702"/>
        <v>0</v>
      </c>
      <c r="NB279" s="100">
        <f t="shared" si="1702"/>
        <v>0</v>
      </c>
      <c r="NC279" s="100">
        <f t="shared" si="1702"/>
        <v>0</v>
      </c>
      <c r="ND279" s="100">
        <f t="shared" si="1702"/>
        <v>0</v>
      </c>
      <c r="NE279" s="728">
        <f t="shared" si="1702"/>
        <v>52420</v>
      </c>
      <c r="NF279" s="728">
        <f t="shared" si="1702"/>
        <v>2144200</v>
      </c>
      <c r="NG279" s="100">
        <f t="shared" si="1702"/>
        <v>0</v>
      </c>
      <c r="NH279" s="100">
        <f t="shared" si="1702"/>
        <v>0</v>
      </c>
      <c r="NI279" s="100">
        <f t="shared" si="1702"/>
        <v>9333700</v>
      </c>
      <c r="NJ279" s="100">
        <f t="shared" si="1702"/>
        <v>200633260</v>
      </c>
      <c r="NK279" s="100">
        <f t="shared" si="1702"/>
        <v>0</v>
      </c>
      <c r="NL279" s="100">
        <f t="shared" si="1702"/>
        <v>0</v>
      </c>
      <c r="NM279" s="100">
        <f t="shared" si="1702"/>
        <v>2268000</v>
      </c>
      <c r="NN279" s="100">
        <f t="shared" si="1702"/>
        <v>36552200</v>
      </c>
      <c r="NO279" s="100">
        <f t="shared" si="1702"/>
        <v>0</v>
      </c>
      <c r="NP279" s="100">
        <f t="shared" si="1702"/>
        <v>0</v>
      </c>
      <c r="NQ279" s="100">
        <f t="shared" si="1702"/>
        <v>26227</v>
      </c>
      <c r="NR279" s="100">
        <f t="shared" si="1702"/>
        <v>476476</v>
      </c>
      <c r="NS279" s="100">
        <f t="shared" si="1702"/>
        <v>0</v>
      </c>
      <c r="NT279" s="100">
        <f t="shared" si="1702"/>
        <v>0</v>
      </c>
      <c r="NU279" s="728">
        <f t="shared" si="1702"/>
        <v>11627927</v>
      </c>
      <c r="NV279" s="728">
        <f t="shared" si="1702"/>
        <v>237661936</v>
      </c>
      <c r="NW279" s="100">
        <f t="shared" si="1702"/>
        <v>4350</v>
      </c>
      <c r="NX279" s="100">
        <f t="shared" si="1702"/>
        <v>183500</v>
      </c>
      <c r="NY279" s="100">
        <f t="shared" si="1702"/>
        <v>1007388</v>
      </c>
      <c r="NZ279" s="100">
        <f t="shared" si="1702"/>
        <v>50355734</v>
      </c>
      <c r="OA279" s="100">
        <f t="shared" si="1702"/>
        <v>0</v>
      </c>
      <c r="OB279" s="100">
        <f t="shared" si="1702"/>
        <v>0</v>
      </c>
      <c r="OC279" s="100">
        <f t="shared" si="1702"/>
        <v>43264</v>
      </c>
      <c r="OD279" s="100">
        <f t="shared" si="1702"/>
        <v>827266</v>
      </c>
      <c r="OE279" s="100">
        <f t="shared" si="1702"/>
        <v>0</v>
      </c>
      <c r="OF279" s="100">
        <f t="shared" si="1702"/>
        <v>0</v>
      </c>
      <c r="OG279" s="100">
        <f t="shared" si="1702"/>
        <v>0</v>
      </c>
      <c r="OH279" s="100">
        <f t="shared" si="1702"/>
        <v>0</v>
      </c>
      <c r="OI279" s="100">
        <f t="shared" si="1702"/>
        <v>0</v>
      </c>
      <c r="OJ279" s="100">
        <f t="shared" si="1702"/>
        <v>0</v>
      </c>
      <c r="OK279" s="728">
        <f t="shared" si="1702"/>
        <v>1055002</v>
      </c>
      <c r="OL279" s="728">
        <f t="shared" si="1702"/>
        <v>51366500</v>
      </c>
      <c r="OM279" s="100">
        <f t="shared" ref="OM279:QX279" si="1703">SUM(OM280:OM316)</f>
        <v>70455687</v>
      </c>
      <c r="ON279" s="100">
        <f t="shared" si="1703"/>
        <v>369626850</v>
      </c>
      <c r="OO279" s="100">
        <f>SUM(OO280:OO316)</f>
        <v>904853</v>
      </c>
      <c r="OP279" s="100">
        <f>SUM(OP280:OP316)</f>
        <v>54674060.000000007</v>
      </c>
      <c r="OQ279" s="100">
        <f t="shared" si="1703"/>
        <v>0</v>
      </c>
      <c r="OR279" s="100">
        <f t="shared" si="1703"/>
        <v>0</v>
      </c>
      <c r="OS279" s="100">
        <f t="shared" si="1703"/>
        <v>750913</v>
      </c>
      <c r="OT279" s="100">
        <f t="shared" si="1703"/>
        <v>5841221.9000000004</v>
      </c>
      <c r="OU279" s="100">
        <f t="shared" si="1703"/>
        <v>0</v>
      </c>
      <c r="OV279" s="100">
        <f t="shared" si="1703"/>
        <v>0</v>
      </c>
      <c r="OW279" s="100">
        <f t="shared" si="1703"/>
        <v>0</v>
      </c>
      <c r="OX279" s="100">
        <f t="shared" si="1703"/>
        <v>0</v>
      </c>
      <c r="OY279" s="100">
        <f t="shared" si="1703"/>
        <v>0</v>
      </c>
      <c r="OZ279" s="100">
        <f t="shared" si="1703"/>
        <v>0</v>
      </c>
      <c r="PA279" s="728">
        <f t="shared" si="1703"/>
        <v>72111453</v>
      </c>
      <c r="PB279" s="728">
        <f t="shared" si="1703"/>
        <v>430142131.89999998</v>
      </c>
      <c r="PC279" s="100">
        <f t="shared" si="1703"/>
        <v>325</v>
      </c>
      <c r="PD279" s="100">
        <f t="shared" si="1703"/>
        <v>35290</v>
      </c>
      <c r="PE279" s="100">
        <f t="shared" si="1703"/>
        <v>15546</v>
      </c>
      <c r="PF279" s="100">
        <f t="shared" si="1703"/>
        <v>1010490</v>
      </c>
      <c r="PG279" s="100">
        <f t="shared" si="1703"/>
        <v>0</v>
      </c>
      <c r="PH279" s="100">
        <f t="shared" si="1703"/>
        <v>0</v>
      </c>
      <c r="PI279" s="100">
        <f t="shared" si="1703"/>
        <v>392004</v>
      </c>
      <c r="PJ279" s="100">
        <f t="shared" si="1703"/>
        <v>7052816</v>
      </c>
      <c r="PK279" s="100">
        <f t="shared" si="1703"/>
        <v>0</v>
      </c>
      <c r="PL279" s="100">
        <f t="shared" si="1703"/>
        <v>0</v>
      </c>
      <c r="PM279" s="100">
        <f t="shared" si="1703"/>
        <v>0</v>
      </c>
      <c r="PN279" s="100">
        <f t="shared" si="1703"/>
        <v>0</v>
      </c>
      <c r="PO279" s="100">
        <f t="shared" si="1703"/>
        <v>0</v>
      </c>
      <c r="PP279" s="100">
        <f t="shared" si="1703"/>
        <v>0</v>
      </c>
      <c r="PQ279" s="728">
        <f t="shared" si="1703"/>
        <v>407875</v>
      </c>
      <c r="PR279" s="728">
        <f t="shared" si="1703"/>
        <v>8098596</v>
      </c>
      <c r="PS279" s="100">
        <f t="shared" si="1703"/>
        <v>0</v>
      </c>
      <c r="PT279" s="100">
        <f t="shared" si="1703"/>
        <v>0</v>
      </c>
      <c r="PU279" s="100">
        <f t="shared" si="1703"/>
        <v>1196420</v>
      </c>
      <c r="PV279" s="100">
        <f t="shared" si="1703"/>
        <v>50942850</v>
      </c>
      <c r="PW279" s="100">
        <f t="shared" si="1703"/>
        <v>0</v>
      </c>
      <c r="PX279" s="100">
        <f t="shared" si="1703"/>
        <v>0</v>
      </c>
      <c r="PY279" s="100">
        <f t="shared" si="1703"/>
        <v>1231610</v>
      </c>
      <c r="PZ279" s="100">
        <f t="shared" si="1703"/>
        <v>21840510</v>
      </c>
      <c r="QA279" s="100">
        <f t="shared" si="1703"/>
        <v>703770</v>
      </c>
      <c r="QB279" s="100">
        <f t="shared" si="1703"/>
        <v>22483650</v>
      </c>
      <c r="QC279" s="100">
        <f t="shared" si="1703"/>
        <v>387080</v>
      </c>
      <c r="QD279" s="100">
        <f t="shared" si="1703"/>
        <v>6956275</v>
      </c>
      <c r="QE279" s="100">
        <f t="shared" si="1703"/>
        <v>0</v>
      </c>
      <c r="QF279" s="100">
        <f t="shared" si="1703"/>
        <v>0</v>
      </c>
      <c r="QG279" s="728">
        <f t="shared" si="1703"/>
        <v>3518880</v>
      </c>
      <c r="QH279" s="728">
        <f t="shared" si="1703"/>
        <v>102223285</v>
      </c>
      <c r="QI279" s="100">
        <f t="shared" si="1703"/>
        <v>0</v>
      </c>
      <c r="QJ279" s="100">
        <f t="shared" si="1703"/>
        <v>0</v>
      </c>
      <c r="QK279" s="100">
        <f t="shared" si="1703"/>
        <v>0</v>
      </c>
      <c r="QL279" s="100">
        <f t="shared" si="1703"/>
        <v>0</v>
      </c>
      <c r="QM279" s="100">
        <f t="shared" si="1703"/>
        <v>0</v>
      </c>
      <c r="QN279" s="100">
        <f t="shared" si="1703"/>
        <v>0</v>
      </c>
      <c r="QO279" s="100">
        <f t="shared" si="1703"/>
        <v>4334500</v>
      </c>
      <c r="QP279" s="100">
        <f t="shared" si="1703"/>
        <v>83417500</v>
      </c>
      <c r="QQ279" s="100">
        <f t="shared" si="1703"/>
        <v>0</v>
      </c>
      <c r="QR279" s="100">
        <f t="shared" si="1703"/>
        <v>0</v>
      </c>
      <c r="QS279" s="100">
        <f t="shared" si="1703"/>
        <v>0</v>
      </c>
      <c r="QT279" s="100">
        <f t="shared" si="1703"/>
        <v>0</v>
      </c>
      <c r="QU279" s="100">
        <f t="shared" si="1703"/>
        <v>0</v>
      </c>
      <c r="QV279" s="100">
        <f t="shared" si="1703"/>
        <v>0</v>
      </c>
      <c r="QW279" s="728">
        <f t="shared" si="1703"/>
        <v>4334500</v>
      </c>
      <c r="QX279" s="728">
        <f t="shared" si="1703"/>
        <v>83417500</v>
      </c>
      <c r="QY279" s="100">
        <f t="shared" ref="QY279:TJ279" si="1704">SUM(QY280:QY316)</f>
        <v>0</v>
      </c>
      <c r="QZ279" s="100">
        <f t="shared" si="1704"/>
        <v>0</v>
      </c>
      <c r="RA279" s="100">
        <f t="shared" si="1704"/>
        <v>0</v>
      </c>
      <c r="RB279" s="100">
        <f t="shared" si="1704"/>
        <v>0</v>
      </c>
      <c r="RC279" s="100">
        <f t="shared" si="1704"/>
        <v>0</v>
      </c>
      <c r="RD279" s="100">
        <f t="shared" si="1704"/>
        <v>0</v>
      </c>
      <c r="RE279" s="100">
        <f t="shared" si="1704"/>
        <v>5739</v>
      </c>
      <c r="RF279" s="100">
        <f t="shared" si="1704"/>
        <v>138373</v>
      </c>
      <c r="RG279" s="100">
        <f t="shared" si="1704"/>
        <v>0</v>
      </c>
      <c r="RH279" s="100">
        <f t="shared" si="1704"/>
        <v>0</v>
      </c>
      <c r="RI279" s="100">
        <f t="shared" si="1704"/>
        <v>0</v>
      </c>
      <c r="RJ279" s="100">
        <f t="shared" si="1704"/>
        <v>0</v>
      </c>
      <c r="RK279" s="100">
        <f t="shared" si="1704"/>
        <v>0</v>
      </c>
      <c r="RL279" s="100">
        <f t="shared" si="1704"/>
        <v>0</v>
      </c>
      <c r="RM279" s="728">
        <f t="shared" si="1704"/>
        <v>5739</v>
      </c>
      <c r="RN279" s="728">
        <f t="shared" si="1704"/>
        <v>138373</v>
      </c>
      <c r="RO279" s="100">
        <f t="shared" si="1704"/>
        <v>0</v>
      </c>
      <c r="RP279" s="100">
        <f t="shared" si="1704"/>
        <v>0</v>
      </c>
      <c r="RQ279" s="100">
        <f t="shared" si="1704"/>
        <v>0</v>
      </c>
      <c r="RR279" s="100">
        <f t="shared" si="1704"/>
        <v>0</v>
      </c>
      <c r="RS279" s="100">
        <f t="shared" si="1704"/>
        <v>0</v>
      </c>
      <c r="RT279" s="100">
        <f t="shared" si="1704"/>
        <v>0</v>
      </c>
      <c r="RU279" s="100">
        <f t="shared" si="1704"/>
        <v>20410</v>
      </c>
      <c r="RV279" s="100">
        <f t="shared" si="1704"/>
        <v>430920</v>
      </c>
      <c r="RW279" s="100">
        <f t="shared" si="1704"/>
        <v>0</v>
      </c>
      <c r="RX279" s="100">
        <f t="shared" si="1704"/>
        <v>0</v>
      </c>
      <c r="RY279" s="100">
        <f t="shared" si="1704"/>
        <v>0</v>
      </c>
      <c r="RZ279" s="100">
        <f t="shared" si="1704"/>
        <v>0</v>
      </c>
      <c r="SA279" s="100">
        <f t="shared" si="1704"/>
        <v>0</v>
      </c>
      <c r="SB279" s="100">
        <f t="shared" si="1704"/>
        <v>0</v>
      </c>
      <c r="SC279" s="728">
        <f t="shared" si="1704"/>
        <v>20410</v>
      </c>
      <c r="SD279" s="728">
        <f t="shared" si="1704"/>
        <v>430920</v>
      </c>
      <c r="SE279" s="100">
        <f t="shared" si="1704"/>
        <v>0</v>
      </c>
      <c r="SF279" s="100">
        <f t="shared" si="1704"/>
        <v>0</v>
      </c>
      <c r="SG279" s="100">
        <f t="shared" si="1704"/>
        <v>0</v>
      </c>
      <c r="SH279" s="100">
        <f t="shared" si="1704"/>
        <v>0</v>
      </c>
      <c r="SI279" s="100">
        <f t="shared" si="1704"/>
        <v>0</v>
      </c>
      <c r="SJ279" s="100">
        <f t="shared" si="1704"/>
        <v>0</v>
      </c>
      <c r="SK279" s="100">
        <f t="shared" si="1704"/>
        <v>11700</v>
      </c>
      <c r="SL279" s="100">
        <f t="shared" si="1704"/>
        <v>221000</v>
      </c>
      <c r="SM279" s="100">
        <f t="shared" si="1704"/>
        <v>0</v>
      </c>
      <c r="SN279" s="100">
        <f t="shared" si="1704"/>
        <v>0</v>
      </c>
      <c r="SO279" s="100">
        <f t="shared" si="1704"/>
        <v>0</v>
      </c>
      <c r="SP279" s="100">
        <f t="shared" si="1704"/>
        <v>0</v>
      </c>
      <c r="SQ279" s="100">
        <f t="shared" si="1704"/>
        <v>0</v>
      </c>
      <c r="SR279" s="100">
        <f t="shared" si="1704"/>
        <v>0</v>
      </c>
      <c r="SS279" s="728">
        <f t="shared" si="1704"/>
        <v>11700</v>
      </c>
      <c r="ST279" s="728">
        <f t="shared" si="1704"/>
        <v>221000</v>
      </c>
      <c r="SU279" s="100">
        <f t="shared" si="1704"/>
        <v>0</v>
      </c>
      <c r="SV279" s="100">
        <f t="shared" si="1704"/>
        <v>0</v>
      </c>
      <c r="SW279" s="100">
        <f t="shared" si="1704"/>
        <v>0</v>
      </c>
      <c r="SX279" s="100">
        <f t="shared" si="1704"/>
        <v>0</v>
      </c>
      <c r="SY279" s="100">
        <f t="shared" si="1704"/>
        <v>0</v>
      </c>
      <c r="SZ279" s="100">
        <f t="shared" si="1704"/>
        <v>0</v>
      </c>
      <c r="TA279" s="100">
        <f t="shared" si="1704"/>
        <v>18565</v>
      </c>
      <c r="TB279" s="100">
        <f t="shared" si="1704"/>
        <v>407488</v>
      </c>
      <c r="TC279" s="100">
        <f t="shared" si="1704"/>
        <v>0</v>
      </c>
      <c r="TD279" s="100">
        <f t="shared" si="1704"/>
        <v>0</v>
      </c>
      <c r="TE279" s="100">
        <f t="shared" si="1704"/>
        <v>0</v>
      </c>
      <c r="TF279" s="100">
        <f t="shared" si="1704"/>
        <v>0</v>
      </c>
      <c r="TG279" s="100">
        <f t="shared" si="1704"/>
        <v>0</v>
      </c>
      <c r="TH279" s="100">
        <f t="shared" si="1704"/>
        <v>0</v>
      </c>
      <c r="TI279" s="728">
        <f t="shared" si="1704"/>
        <v>18565</v>
      </c>
      <c r="TJ279" s="728">
        <f t="shared" si="1704"/>
        <v>407488</v>
      </c>
      <c r="TK279" s="100">
        <f t="shared" ref="TK279:VV279" si="1705">SUM(TK280:TK316)</f>
        <v>0</v>
      </c>
      <c r="TL279" s="100">
        <f t="shared" si="1705"/>
        <v>0</v>
      </c>
      <c r="TM279" s="100">
        <f t="shared" si="1705"/>
        <v>0</v>
      </c>
      <c r="TN279" s="100">
        <f t="shared" si="1705"/>
        <v>0</v>
      </c>
      <c r="TO279" s="100">
        <f t="shared" si="1705"/>
        <v>0</v>
      </c>
      <c r="TP279" s="100">
        <f t="shared" si="1705"/>
        <v>0</v>
      </c>
      <c r="TQ279" s="100">
        <f t="shared" si="1705"/>
        <v>8000</v>
      </c>
      <c r="TR279" s="100">
        <f t="shared" si="1705"/>
        <v>162200</v>
      </c>
      <c r="TS279" s="100">
        <f t="shared" si="1705"/>
        <v>0</v>
      </c>
      <c r="TT279" s="100">
        <f t="shared" si="1705"/>
        <v>0</v>
      </c>
      <c r="TU279" s="100">
        <f t="shared" si="1705"/>
        <v>700</v>
      </c>
      <c r="TV279" s="100">
        <f t="shared" si="1705"/>
        <v>23000</v>
      </c>
      <c r="TW279" s="100">
        <f t="shared" si="1705"/>
        <v>0</v>
      </c>
      <c r="TX279" s="100">
        <f t="shared" si="1705"/>
        <v>0</v>
      </c>
      <c r="TY279" s="728">
        <f t="shared" si="1705"/>
        <v>8700</v>
      </c>
      <c r="TZ279" s="728">
        <f t="shared" si="1705"/>
        <v>185200</v>
      </c>
      <c r="UA279" s="100">
        <f t="shared" si="1705"/>
        <v>0</v>
      </c>
      <c r="UB279" s="100">
        <f t="shared" si="1705"/>
        <v>0</v>
      </c>
      <c r="UC279" s="100">
        <f t="shared" si="1705"/>
        <v>0</v>
      </c>
      <c r="UD279" s="100">
        <f t="shared" si="1705"/>
        <v>0</v>
      </c>
      <c r="UE279" s="100">
        <f t="shared" si="1705"/>
        <v>0</v>
      </c>
      <c r="UF279" s="100">
        <f t="shared" si="1705"/>
        <v>0</v>
      </c>
      <c r="UG279" s="100">
        <f t="shared" si="1705"/>
        <v>18900</v>
      </c>
      <c r="UH279" s="100">
        <f t="shared" si="1705"/>
        <v>345815</v>
      </c>
      <c r="UI279" s="100">
        <f t="shared" si="1705"/>
        <v>0</v>
      </c>
      <c r="UJ279" s="100">
        <f t="shared" si="1705"/>
        <v>0</v>
      </c>
      <c r="UK279" s="100">
        <f t="shared" si="1705"/>
        <v>0</v>
      </c>
      <c r="UL279" s="100">
        <f t="shared" si="1705"/>
        <v>0</v>
      </c>
      <c r="UM279" s="100">
        <f t="shared" si="1705"/>
        <v>0</v>
      </c>
      <c r="UN279" s="100">
        <f t="shared" si="1705"/>
        <v>0</v>
      </c>
      <c r="UO279" s="728">
        <f t="shared" si="1705"/>
        <v>18900</v>
      </c>
      <c r="UP279" s="728">
        <f t="shared" si="1705"/>
        <v>345815</v>
      </c>
      <c r="UQ279" s="100">
        <f t="shared" si="1705"/>
        <v>0</v>
      </c>
      <c r="UR279" s="100">
        <f t="shared" si="1705"/>
        <v>0</v>
      </c>
      <c r="US279" s="100">
        <f t="shared" si="1705"/>
        <v>254272</v>
      </c>
      <c r="UT279" s="100">
        <f t="shared" si="1705"/>
        <v>1951080</v>
      </c>
      <c r="UU279" s="100">
        <f t="shared" si="1705"/>
        <v>0</v>
      </c>
      <c r="UV279" s="100">
        <f t="shared" si="1705"/>
        <v>0</v>
      </c>
      <c r="UW279" s="100">
        <f t="shared" si="1705"/>
        <v>1417</v>
      </c>
      <c r="UX279" s="100">
        <f t="shared" si="1705"/>
        <v>28340</v>
      </c>
      <c r="UY279" s="100">
        <f t="shared" si="1705"/>
        <v>0</v>
      </c>
      <c r="UZ279" s="100">
        <f t="shared" si="1705"/>
        <v>0</v>
      </c>
      <c r="VA279" s="100">
        <f t="shared" si="1705"/>
        <v>0</v>
      </c>
      <c r="VB279" s="100">
        <f t="shared" si="1705"/>
        <v>0</v>
      </c>
      <c r="VC279" s="100">
        <f t="shared" si="1705"/>
        <v>0</v>
      </c>
      <c r="VD279" s="100">
        <f t="shared" si="1705"/>
        <v>0</v>
      </c>
      <c r="VE279" s="728">
        <f t="shared" si="1705"/>
        <v>255689</v>
      </c>
      <c r="VF279" s="728">
        <f t="shared" si="1705"/>
        <v>1979420</v>
      </c>
      <c r="VG279" s="100">
        <f t="shared" si="1705"/>
        <v>0</v>
      </c>
      <c r="VH279" s="100">
        <f t="shared" si="1705"/>
        <v>0</v>
      </c>
      <c r="VI279" s="100">
        <f t="shared" si="1705"/>
        <v>11061</v>
      </c>
      <c r="VJ279" s="100">
        <f t="shared" si="1705"/>
        <v>546071</v>
      </c>
      <c r="VK279" s="100">
        <f t="shared" si="1705"/>
        <v>0</v>
      </c>
      <c r="VL279" s="100">
        <f t="shared" si="1705"/>
        <v>0</v>
      </c>
      <c r="VM279" s="100">
        <f t="shared" si="1705"/>
        <v>13337</v>
      </c>
      <c r="VN279" s="100">
        <f t="shared" si="1705"/>
        <v>270977</v>
      </c>
      <c r="VO279" s="100">
        <f t="shared" si="1705"/>
        <v>0</v>
      </c>
      <c r="VP279" s="100">
        <f t="shared" si="1705"/>
        <v>0</v>
      </c>
      <c r="VQ279" s="100">
        <f t="shared" si="1705"/>
        <v>0</v>
      </c>
      <c r="VR279" s="100">
        <f t="shared" si="1705"/>
        <v>0</v>
      </c>
      <c r="VS279" s="100">
        <f t="shared" si="1705"/>
        <v>0</v>
      </c>
      <c r="VT279" s="100">
        <f t="shared" si="1705"/>
        <v>0</v>
      </c>
      <c r="VU279" s="728">
        <f t="shared" si="1705"/>
        <v>24398</v>
      </c>
      <c r="VV279" s="728">
        <f t="shared" si="1705"/>
        <v>817048</v>
      </c>
      <c r="VW279" s="100">
        <f t="shared" ref="VW279:WL279" si="1706">SUM(VW280:VW316)</f>
        <v>0</v>
      </c>
      <c r="VX279" s="100">
        <f t="shared" si="1706"/>
        <v>0</v>
      </c>
      <c r="VY279" s="100">
        <f t="shared" si="1706"/>
        <v>350110</v>
      </c>
      <c r="VZ279" s="100">
        <f t="shared" si="1706"/>
        <v>11844090</v>
      </c>
      <c r="WA279" s="100">
        <f t="shared" si="1706"/>
        <v>0</v>
      </c>
      <c r="WB279" s="100">
        <f t="shared" si="1706"/>
        <v>0</v>
      </c>
      <c r="WC279" s="100">
        <f t="shared" si="1706"/>
        <v>425780</v>
      </c>
      <c r="WD279" s="100">
        <f t="shared" si="1706"/>
        <v>10110290</v>
      </c>
      <c r="WE279" s="100">
        <f t="shared" si="1706"/>
        <v>0</v>
      </c>
      <c r="WF279" s="100">
        <f t="shared" si="1706"/>
        <v>0</v>
      </c>
      <c r="WG279" s="100">
        <f t="shared" si="1706"/>
        <v>0</v>
      </c>
      <c r="WH279" s="100">
        <f t="shared" si="1706"/>
        <v>0</v>
      </c>
      <c r="WI279" s="100">
        <f t="shared" si="1706"/>
        <v>6540</v>
      </c>
      <c r="WJ279" s="100">
        <f t="shared" si="1706"/>
        <v>143880</v>
      </c>
      <c r="WK279" s="728">
        <f t="shared" si="1706"/>
        <v>782430</v>
      </c>
      <c r="WL279" s="728">
        <f t="shared" si="1706"/>
        <v>22098260</v>
      </c>
      <c r="WM279" s="89"/>
      <c r="WN279" s="96">
        <f t="shared" ref="WN279:XC279" si="1707">SUM(WN280:WN316)</f>
        <v>72360697</v>
      </c>
      <c r="WO279" s="96">
        <f t="shared" si="1707"/>
        <v>380112488</v>
      </c>
      <c r="WP279" s="96">
        <f t="shared" si="1707"/>
        <v>25552928.435611267</v>
      </c>
      <c r="WQ279" s="96">
        <f t="shared" si="1707"/>
        <v>838303534.38399994</v>
      </c>
      <c r="WR279" s="96">
        <f t="shared" si="1707"/>
        <v>0</v>
      </c>
      <c r="WS279" s="96">
        <f t="shared" si="1707"/>
        <v>0</v>
      </c>
      <c r="WT279" s="96">
        <f t="shared" si="1707"/>
        <v>26092325.329999998</v>
      </c>
      <c r="WU279" s="96">
        <f t="shared" si="1707"/>
        <v>485411221.89999998</v>
      </c>
      <c r="WV279" s="96">
        <f t="shared" si="1707"/>
        <v>711977</v>
      </c>
      <c r="WW279" s="96">
        <f t="shared" si="1707"/>
        <v>22694945</v>
      </c>
      <c r="WX279" s="96">
        <f t="shared" si="1707"/>
        <v>422733</v>
      </c>
      <c r="WY279" s="96">
        <f t="shared" si="1707"/>
        <v>7668021</v>
      </c>
      <c r="WZ279" s="96">
        <f t="shared" si="1707"/>
        <v>199465.72</v>
      </c>
      <c r="XA279" s="96">
        <f t="shared" si="1707"/>
        <v>4670704</v>
      </c>
      <c r="XB279" s="96">
        <f t="shared" si="1707"/>
        <v>125340126.48561127</v>
      </c>
      <c r="XC279" s="96">
        <f t="shared" si="1707"/>
        <v>1738860914.2839999</v>
      </c>
      <c r="XD279" s="89"/>
      <c r="XE279" s="94"/>
      <c r="XF279" s="94"/>
      <c r="XG279" s="89"/>
      <c r="XH279" s="96"/>
      <c r="XI279" s="96"/>
      <c r="XJ279" s="89"/>
      <c r="XK279" s="96"/>
      <c r="XL279" s="96"/>
      <c r="XM279" s="96"/>
      <c r="XN279" s="96"/>
      <c r="XO279" s="96"/>
      <c r="XP279" s="96"/>
      <c r="XQ279" s="96"/>
      <c r="XR279" s="96">
        <f t="shared" ref="XR279" ca="1" si="1708">SUM(XR280:XR316)</f>
        <v>0</v>
      </c>
      <c r="XS279" s="89"/>
      <c r="XT279" s="96"/>
      <c r="XU279" s="96"/>
      <c r="XV279" s="96"/>
      <c r="XW279" s="96"/>
      <c r="XX279" s="96"/>
      <c r="XY279" s="96"/>
      <c r="XZ279" s="96"/>
      <c r="YA279" s="96">
        <f t="shared" ref="YA279" ca="1" si="1709">SUM(YA280:YA316)</f>
        <v>0</v>
      </c>
    </row>
    <row r="280" spans="1:1017">
      <c r="A280" s="98" t="s">
        <v>52</v>
      </c>
      <c r="B280" s="90" t="str">
        <f t="shared" ref="B280:B306" si="1710">B242</f>
        <v xml:space="preserve">Bandeng </v>
      </c>
      <c r="E280" s="98">
        <v>197000</v>
      </c>
      <c r="F280" s="98">
        <v>5910000</v>
      </c>
      <c r="I280" s="98">
        <v>19400</v>
      </c>
      <c r="J280" s="98">
        <v>485000</v>
      </c>
      <c r="Q280" s="91">
        <f t="shared" ref="Q280:Q316" si="1711">SUMIF($C$12:$P$12,$A$1,C280:P280)</f>
        <v>216400</v>
      </c>
      <c r="R280" s="91">
        <f t="shared" ref="R280:R316" si="1712">SUMIF($C$12:$P$12,$A$3,C280:P280)</f>
        <v>6395000</v>
      </c>
      <c r="U280" s="98">
        <v>3645</v>
      </c>
      <c r="V280" s="98">
        <v>72900</v>
      </c>
      <c r="AG280" s="91">
        <f t="shared" ref="AG280:AG316" si="1713">SUMIF($C$12:$P$12,$A$1,S280:AF280)</f>
        <v>3645</v>
      </c>
      <c r="AH280" s="91">
        <f t="shared" ref="AH280:AH316" si="1714">SUMIF($C$12:$P$12,$A$3,S280:AF280)</f>
        <v>72900</v>
      </c>
      <c r="AW280" s="91">
        <f t="shared" ref="AW280:AW316" si="1715">SUMIF($C$12:$P$12,$A$1,AI280:AV280)</f>
        <v>0</v>
      </c>
      <c r="AX280" s="91">
        <f t="shared" ref="AX280:AX316" si="1716">SUMIF($C$12:$P$12,$A$3,AI280:AV280)</f>
        <v>0</v>
      </c>
      <c r="BM280" s="91">
        <f t="shared" ref="BM280:BM316" si="1717">SUMIF($C$12:$P$12,$A$1,AY280:BL280)</f>
        <v>0</v>
      </c>
      <c r="BN280" s="91">
        <f t="shared" ref="BN280:BN316" si="1718">SUMIF($C$12:$P$12,$A$3,AY280:BL280)</f>
        <v>0</v>
      </c>
      <c r="CC280" s="91">
        <f t="shared" ref="CC280:CC316" si="1719">SUMIF($C$12:$P$12,$A$1,BO280:CB280)</f>
        <v>0</v>
      </c>
      <c r="CD280" s="91">
        <f t="shared" ref="CD280:CD316" si="1720">SUMIF($C$12:$P$12,$A$3,BO280:CB280)</f>
        <v>0</v>
      </c>
      <c r="CG280" s="98">
        <v>3561665</v>
      </c>
      <c r="CH280" s="98">
        <v>81918304</v>
      </c>
      <c r="CK280" s="98">
        <v>3264334</v>
      </c>
      <c r="CL280" s="98">
        <v>65286677</v>
      </c>
      <c r="CS280" s="91">
        <f t="shared" ref="CS280:CS316" si="1721">SUMIF($C$12:$P$12,$A$1,CE280:CR280)</f>
        <v>6825999</v>
      </c>
      <c r="CT280" s="91">
        <f t="shared" ref="CT280:CT316" si="1722">SUMIF($C$12:$P$12,$A$3,CE280:CR280)</f>
        <v>147204981</v>
      </c>
      <c r="CW280" s="98">
        <v>4912.9656066972002</v>
      </c>
      <c r="CX280" s="98">
        <v>88433.381999999998</v>
      </c>
      <c r="DI280" s="91">
        <f t="shared" ref="DI280:DI316" si="1723">SUMIF($C$12:$P$12,$A$1,CU280:DH280)</f>
        <v>4912.9656066972002</v>
      </c>
      <c r="DJ280" s="91">
        <f t="shared" ref="DJ280:DJ316" si="1724">SUMIF($C$12:$P$12,$A$3,CU280:DH280)</f>
        <v>88433.381999999998</v>
      </c>
      <c r="DY280" s="91">
        <f t="shared" ref="DY280:DY316" si="1725">SUMIF($C$12:$P$12,$A$1,DK280:DX280)</f>
        <v>0</v>
      </c>
      <c r="DZ280" s="91">
        <f t="shared" ref="DZ280:DZ316" si="1726">SUMIF($C$12:$P$12,$A$3,DK280:DX280)</f>
        <v>0</v>
      </c>
      <c r="EO280" s="91">
        <f t="shared" ref="EO280:EO316" si="1727">SUMIF($C$12:$P$12,$A$1,EA280:EN280)</f>
        <v>0</v>
      </c>
      <c r="EP280" s="91">
        <f t="shared" ref="EP280:EP316" si="1728">SUMIF($C$12:$P$12,$A$3,EA280:EN280)</f>
        <v>0</v>
      </c>
      <c r="ES280" s="98">
        <v>36354</v>
      </c>
      <c r="ET280" s="98">
        <v>836142</v>
      </c>
      <c r="EW280" s="98">
        <v>94439</v>
      </c>
      <c r="EX280" s="98">
        <v>2172097</v>
      </c>
      <c r="FE280" s="91">
        <f t="shared" ref="FE280:FE316" si="1729">SUMIF($C$12:$P$12,$A$1,EQ280:FD280)</f>
        <v>130793</v>
      </c>
      <c r="FF280" s="91">
        <f t="shared" ref="FF280:FF316" si="1730">SUMIF($C$12:$P$12,$A$3,EQ280:FD280)</f>
        <v>3008239</v>
      </c>
      <c r="FU280" s="91">
        <f t="shared" ref="FU280:FU316" si="1731">SUMIF($C$12:$P$12,$A$1,FG280:FT280)</f>
        <v>0</v>
      </c>
      <c r="FV280" s="91">
        <f t="shared" ref="FV280:FV316" si="1732">SUMIF($C$12:$P$12,$A$3,FG280:FT280)</f>
        <v>0</v>
      </c>
      <c r="GK280" s="91">
        <f t="shared" ref="GK280:GK316" si="1733">SUMIF($C$12:$P$12,$A$1,FW280:GJ280)</f>
        <v>0</v>
      </c>
      <c r="GL280" s="91">
        <f t="shared" ref="GL280:GL316" si="1734">SUMIF($C$12:$P$12,$A$3,FW280:GJ280)</f>
        <v>0</v>
      </c>
      <c r="HA280" s="91">
        <f t="shared" ref="HA280:HA316" si="1735">SUMIF($C$12:$P$12,$A$1,GM280:GZ280)</f>
        <v>0</v>
      </c>
      <c r="HB280" s="91">
        <f t="shared" ref="HB280:HB316" si="1736">SUMIF($C$12:$P$12,$A$3,GM280:GZ280)</f>
        <v>0</v>
      </c>
      <c r="HQ280" s="91">
        <f t="shared" ref="HQ280:HQ316" si="1737">SUMIF($C$12:$P$12,$A$1,HC280:HP280)</f>
        <v>0</v>
      </c>
      <c r="HR280" s="91">
        <f t="shared" ref="HR280:HR316" si="1738">SUMIF($C$12:$P$12,$A$3,HC280:HP280)</f>
        <v>0</v>
      </c>
      <c r="IG280" s="91">
        <f t="shared" ref="IG280:IG316" si="1739">SUMIF($C$12:$P$12,$A$1,HS280:IF280)</f>
        <v>0</v>
      </c>
      <c r="IH280" s="91">
        <f t="shared" ref="IH280:IH316" si="1740">SUMIF($C$12:$P$12,$A$3,HS280:IF280)</f>
        <v>0</v>
      </c>
      <c r="IW280" s="91">
        <f t="shared" ref="IW280:IW316" si="1741">SUMIF($C$12:$P$12,$A$1,II280:IV280)</f>
        <v>0</v>
      </c>
      <c r="IX280" s="91">
        <f t="shared" ref="IX280:IX316" si="1742">SUMIF($C$12:$P$12,$A$3,II280:IV280)</f>
        <v>0</v>
      </c>
      <c r="JM280" s="91">
        <f t="shared" ref="JM280:JM316" si="1743">SUMIF($C$12:$P$12,$A$1,IY280:JL280)</f>
        <v>0</v>
      </c>
      <c r="JN280" s="91">
        <f t="shared" ref="JN280:JN316" si="1744">SUMIF($C$12:$P$12,$A$3,IY280:JL280)</f>
        <v>0</v>
      </c>
      <c r="KC280" s="91">
        <f t="shared" ref="KC280:KC316" si="1745">SUMIF($C$12:$P$12,$A$1,JO280:KB280)</f>
        <v>0</v>
      </c>
      <c r="KD280" s="91">
        <f t="shared" ref="KD280:KD316" si="1746">SUMIF($C$12:$P$12,$A$3,JO280:KB280)</f>
        <v>0</v>
      </c>
      <c r="KG280" s="98">
        <v>80</v>
      </c>
      <c r="KH280" s="98">
        <v>2400</v>
      </c>
      <c r="KS280" s="91">
        <f t="shared" ref="KS280:KS316" si="1747">SUMIF($C$12:$P$12,$A$1,KE280:KR280)</f>
        <v>80</v>
      </c>
      <c r="KT280" s="91">
        <f t="shared" ref="KT280:KT316" si="1748">SUMIF($C$12:$P$12,$A$3,KE280:KR280)</f>
        <v>2400</v>
      </c>
      <c r="KW280" s="98">
        <v>484958.64</v>
      </c>
      <c r="KX280" s="98">
        <v>8244296</v>
      </c>
      <c r="LI280" s="91">
        <f t="shared" ref="LI280:LI316" si="1749">SUMIF($C$12:$P$12,$A$1,KU280:LH280)</f>
        <v>484958.64</v>
      </c>
      <c r="LJ280" s="91">
        <f t="shared" ref="LJ280:LJ316" si="1750">SUMIF($C$12:$P$12,$A$3,KU280:LH280)</f>
        <v>8244296</v>
      </c>
      <c r="LY280" s="91">
        <f t="shared" ref="LY280:LY316" si="1751">SUMIF($C$12:$P$12,$A$1,LK280:LX280)</f>
        <v>0</v>
      </c>
      <c r="LZ280" s="91">
        <f t="shared" ref="LZ280:LZ316" si="1752">SUMIF($C$12:$P$12,$A$3,LK280:LX280)</f>
        <v>0</v>
      </c>
      <c r="MC280" s="98">
        <v>40310</v>
      </c>
      <c r="MD280" s="98">
        <v>604650</v>
      </c>
      <c r="MO280" s="91">
        <f t="shared" ref="MO280:MO316" si="1753">SUMIF($C$12:$P$12,$A$1,MA280:MN280)</f>
        <v>40310</v>
      </c>
      <c r="MP280" s="91">
        <f t="shared" ref="MP280:MP316" si="1754">SUMIF($C$12:$P$12,$A$3,MA280:MN280)</f>
        <v>604650</v>
      </c>
      <c r="MS280" s="98">
        <v>18500</v>
      </c>
      <c r="MT280" s="98">
        <v>518000</v>
      </c>
      <c r="NE280" s="91">
        <f t="shared" ref="NE280:NE316" si="1755">SUMIF($C$12:$P$12,$A$1,MQ280:ND280)</f>
        <v>18500</v>
      </c>
      <c r="NF280" s="91">
        <f t="shared" ref="NF280:NF316" si="1756">SUMIF($C$12:$P$12,$A$3,MQ280:ND280)</f>
        <v>518000</v>
      </c>
      <c r="NI280" s="98">
        <v>3510100</v>
      </c>
      <c r="NJ280" s="98">
        <v>77222200</v>
      </c>
      <c r="NU280" s="91">
        <f t="shared" ref="NU280:NU316" si="1757">SUMIF($C$12:$P$12,$A$1,NG280:NT280)</f>
        <v>3510100</v>
      </c>
      <c r="NV280" s="91">
        <f t="shared" ref="NV280:NV316" si="1758">SUMIF($C$12:$P$12,$A$3,NG280:NT280)</f>
        <v>77222200</v>
      </c>
      <c r="NW280" s="98">
        <v>200</v>
      </c>
      <c r="NX280" s="98">
        <v>14000</v>
      </c>
      <c r="NY280" s="98">
        <v>170</v>
      </c>
      <c r="NZ280" s="98">
        <v>3060</v>
      </c>
      <c r="OK280" s="91">
        <f t="shared" ref="OK280:OK316" si="1759">SUMIF($C$12:$P$12,$A$1,NW280:OJ280)</f>
        <v>370</v>
      </c>
      <c r="OL280" s="91">
        <f t="shared" ref="OL280:OL316" si="1760">SUMIF($C$12:$P$12,$A$3,NW280:OJ280)</f>
        <v>17060</v>
      </c>
      <c r="OO280" s="98">
        <v>9870</v>
      </c>
      <c r="OP280" s="98">
        <v>296100</v>
      </c>
      <c r="PA280" s="91">
        <f t="shared" ref="PA280:PA316" si="1761">SUMIF($C$12:$P$12,$A$1,OM280:OZ280)</f>
        <v>9870</v>
      </c>
      <c r="PB280" s="91">
        <f t="shared" ref="PB280:PB316" si="1762">SUMIF($C$12:$P$12,$A$3,OM280:OZ280)</f>
        <v>296100</v>
      </c>
      <c r="PQ280" s="91">
        <f t="shared" ref="PQ280:PQ316" si="1763">SUMIF($C$12:$P$12,$A$1,PC280:PP280)</f>
        <v>0</v>
      </c>
      <c r="PR280" s="91">
        <f t="shared" ref="PR280:PR316" si="1764">SUMIF($C$12:$P$12,$A$3,PC280:PP280)</f>
        <v>0</v>
      </c>
      <c r="PU280" s="98">
        <v>479410</v>
      </c>
      <c r="PV280" s="98">
        <v>9588200</v>
      </c>
      <c r="QA280" s="98">
        <v>433420</v>
      </c>
      <c r="QB280" s="98">
        <v>8668400</v>
      </c>
      <c r="QG280" s="91">
        <f t="shared" ref="QG280:QG316" si="1765">SUMIF($C$12:$P$12,$A$1,PS280:QF280)</f>
        <v>912830</v>
      </c>
      <c r="QH280" s="91">
        <f t="shared" ref="QH280:QH316" si="1766">SUMIF($C$12:$P$12,$A$3,PS280:QF280)</f>
        <v>18256600</v>
      </c>
      <c r="QW280" s="91">
        <f t="shared" ref="QW280:QW316" si="1767">SUMIF($C$12:$P$12,$A$1,QI280:QV280)</f>
        <v>0</v>
      </c>
      <c r="QX280" s="91">
        <f t="shared" ref="QX280:QX316" si="1768">SUMIF($C$12:$P$12,$A$3,QI280:QV280)</f>
        <v>0</v>
      </c>
      <c r="RM280" s="91">
        <f t="shared" ref="RM280:RM316" si="1769">SUMIF($C$12:$P$12,$A$1,QY280:RL280)</f>
        <v>0</v>
      </c>
      <c r="RN280" s="91">
        <f t="shared" ref="RN280:RN316" si="1770">SUMIF($C$12:$P$12,$A$3,QY280:RL280)</f>
        <v>0</v>
      </c>
      <c r="SC280" s="91">
        <f t="shared" ref="SC280:SC316" si="1771">SUMIF($C$12:$P$12,$A$1,RO280:SB280)</f>
        <v>0</v>
      </c>
      <c r="SD280" s="91">
        <f t="shared" ref="SD280:SD316" si="1772">SUMIF($C$12:$P$12,$A$3,RO280:SB280)</f>
        <v>0</v>
      </c>
      <c r="SS280" s="91">
        <f t="shared" ref="SS280:SS316" si="1773">SUMIF($C$12:$P$12,$A$1,SE280:SR280)</f>
        <v>0</v>
      </c>
      <c r="ST280" s="91">
        <f t="shared" ref="ST280:ST316" si="1774">SUMIF($C$12:$P$12,$A$3,SE280:SR280)</f>
        <v>0</v>
      </c>
      <c r="TI280" s="91">
        <f t="shared" ref="TI280:TI316" si="1775">SUMIF($C$12:$P$12,$A$1,SU280:TH280)</f>
        <v>0</v>
      </c>
      <c r="TJ280" s="91">
        <f t="shared" ref="TJ280:TJ316" si="1776">SUMIF($C$12:$P$12,$A$3,SU280:TH280)</f>
        <v>0</v>
      </c>
      <c r="TY280" s="91">
        <f t="shared" ref="TY280:TY316" si="1777">SUMIF($C$12:$P$12,$A$1,TK280:TX280)</f>
        <v>0</v>
      </c>
      <c r="TZ280" s="91">
        <f t="shared" ref="TZ280:TZ316" si="1778">SUMIF($C$12:$P$12,$A$3,TK280:TX280)</f>
        <v>0</v>
      </c>
      <c r="UO280" s="91">
        <f t="shared" ref="UO280:UO316" si="1779">SUMIF($C$12:$P$12,$A$1,UA280:UN280)</f>
        <v>0</v>
      </c>
      <c r="UP280" s="91">
        <f t="shared" ref="UP280:UP314" si="1780">SUMIF($C$12:$P$12,$A$3,UA280:UN280)</f>
        <v>0</v>
      </c>
      <c r="US280" s="98">
        <v>94000</v>
      </c>
      <c r="UT280" s="98">
        <v>1692000</v>
      </c>
      <c r="VE280" s="91">
        <f t="shared" ref="VE280:VE316" si="1781">SUMIF($C$12:$P$12,$A$1,UQ280:VD280)</f>
        <v>94000</v>
      </c>
      <c r="VF280" s="91">
        <f t="shared" ref="VF280:VF316" si="1782">SUMIF($C$12:$P$12,$A$3,UQ280:VD280)</f>
        <v>1692000</v>
      </c>
      <c r="VI280" s="98">
        <v>1090</v>
      </c>
      <c r="VJ280" s="98">
        <v>17440</v>
      </c>
      <c r="VU280" s="91">
        <f t="shared" ref="VU280:VU316" si="1783">SUMIF($C$12:$P$12,$A$1,VG280:VT280)</f>
        <v>1090</v>
      </c>
      <c r="VV280" s="91">
        <f t="shared" ref="VV280:VV316" si="1784">SUMIF($C$12:$P$12,$A$3,VG280:VT280)</f>
        <v>17440</v>
      </c>
      <c r="VY280" s="98">
        <v>300650</v>
      </c>
      <c r="VZ280" s="98">
        <v>9921450</v>
      </c>
      <c r="WC280" s="98">
        <v>71550</v>
      </c>
      <c r="WD280" s="98">
        <v>2074950</v>
      </c>
      <c r="WK280" s="91">
        <f t="shared" ref="WK280:WK316" si="1785">SUMIF($C$12:$P$12,$A$1,VW280:WJ280)</f>
        <v>372200</v>
      </c>
      <c r="WL280" s="91">
        <f t="shared" ref="WL280:WL316" si="1786">SUMIF($C$12:$P$12,$A$3,VW280:WJ280)</f>
        <v>11996400</v>
      </c>
      <c r="WM280" s="89"/>
      <c r="WN280" s="87">
        <f t="shared" ref="WN280:WN307" si="1787">SUMIF($C$5:$WL$5,$WN$5,C280:WL280)</f>
        <v>200</v>
      </c>
      <c r="WO280" s="87">
        <f t="shared" ref="WO280:WO307" si="1788">SUMIF($C$5:$WL$5,$WO$5,C280:WL280)</f>
        <v>14000</v>
      </c>
      <c r="WP280" s="87">
        <f t="shared" ref="WP280:WP307" si="1789">SUMIF($C$5:$WL$5,$WP$5,C280:WL280)</f>
        <v>8742715.6056066975</v>
      </c>
      <c r="WQ280" s="87">
        <f t="shared" ref="WQ280:WQ307" si="1790">SUMIF($C$5:$WL$5,$WQ$5,C280:WL280)</f>
        <v>196935575.382</v>
      </c>
      <c r="WR280" s="87">
        <f t="shared" ref="WR280:WR307" si="1791">SUMIF($C$5:$WL$5,$WR$5,C280:WL280)</f>
        <v>0</v>
      </c>
      <c r="WS280" s="87">
        <f t="shared" ref="WS280:WS307" si="1792">SUMIF($C$5:$WL$5,$WS$5,C280:WL280)</f>
        <v>0</v>
      </c>
      <c r="WT280" s="87">
        <f t="shared" ref="WT280:WT307" si="1793">SUMIF($C$5:$WL$5,$WT$5,C280:WL280)</f>
        <v>3449723</v>
      </c>
      <c r="WU280" s="87">
        <f t="shared" ref="WU280:WU307" si="1794">SUMIF($C$5:$WL$5,$WU$5,C280:WL280)</f>
        <v>70018724</v>
      </c>
      <c r="WV280" s="87">
        <f t="shared" ref="WV280:WV307" si="1795">SUMIF($C$5:$WL$5,$WV$5,C280:WL280)</f>
        <v>433420</v>
      </c>
      <c r="WW280" s="87">
        <f t="shared" ref="WW280:WW307" si="1796">SUMIF($C$5:$WL$5,$WW$5,C280:WL280)</f>
        <v>8668400</v>
      </c>
      <c r="WX280" s="87">
        <f t="shared" ref="WX280:WX307" si="1797">SUMIF($C$5:$WL$5,$WX$5,C280:WL280)</f>
        <v>0</v>
      </c>
      <c r="WY280" s="87">
        <f t="shared" ref="WY280:WY307" si="1798">SUMIF($C$5:$WL$5,$WY$5,C280:WL280)</f>
        <v>0</v>
      </c>
      <c r="WZ280" s="87">
        <f t="shared" ref="WZ280:WZ302" si="1799">SUMIF($C$5:$WL$5,$WZ$5,C280:WL280)</f>
        <v>0</v>
      </c>
      <c r="XA280" s="87">
        <f t="shared" ref="XA280:XA302" si="1800">SUMIF($C$5:$WL$5,$XA$5,C280:WL280)</f>
        <v>0</v>
      </c>
      <c r="XB280" s="92">
        <f t="shared" ref="XB280:XB302" si="1801">SUMIF($WN$12:$XA$12,$XB$12,WN280:XA280)</f>
        <v>12626058.605606697</v>
      </c>
      <c r="XC280" s="92">
        <f t="shared" ref="XC280:XC302" si="1802">SUMIF($WN$12:$XA$12,$XC$12,WN280:XA280)</f>
        <v>275636699.38199997</v>
      </c>
      <c r="XD280" s="89"/>
      <c r="XE280" s="92"/>
      <c r="XF280" s="92"/>
      <c r="XG280" s="89"/>
      <c r="XH280" s="92"/>
      <c r="XI280" s="92"/>
      <c r="XJ280" s="89"/>
      <c r="XK280" s="87"/>
      <c r="XL280" s="87"/>
      <c r="XM280" s="87"/>
      <c r="XN280" s="87"/>
      <c r="XO280" s="87"/>
      <c r="XP280" s="87"/>
      <c r="XQ280" s="87"/>
      <c r="XR280" s="92">
        <f t="shared" ref="XR280:XR316" ca="1" si="1803">SUMIF($WN$12:$XA$12,$XB$12,XK280:XQ280)</f>
        <v>0</v>
      </c>
      <c r="XS280" s="89"/>
      <c r="XT280" s="87"/>
      <c r="XU280" s="87"/>
      <c r="XV280" s="87"/>
      <c r="XW280" s="87"/>
      <c r="XX280" s="87"/>
      <c r="XY280" s="87"/>
      <c r="XZ280" s="87"/>
      <c r="YA280" s="92">
        <f t="shared" ref="YA280:YA316" ca="1" si="1804">SUMIF($WN$12:$XA$12,$XB$12,XT280:XZ280)</f>
        <v>0</v>
      </c>
      <c r="YB280" s="90"/>
      <c r="YC280" s="90"/>
      <c r="YD280" s="90"/>
      <c r="YE280" s="90"/>
      <c r="YF280" s="90"/>
      <c r="YG280" s="90"/>
      <c r="YH280" s="90"/>
      <c r="YI280" s="90"/>
      <c r="YJ280" s="90"/>
      <c r="YK280" s="90"/>
      <c r="YL280" s="90"/>
      <c r="YM280" s="90"/>
      <c r="YN280" s="90"/>
      <c r="YO280" s="90"/>
      <c r="YP280" s="90"/>
      <c r="YQ280" s="90"/>
      <c r="YR280" s="90"/>
      <c r="YS280" s="90"/>
      <c r="YT280" s="90"/>
      <c r="YU280" s="90"/>
      <c r="YV280" s="90"/>
      <c r="YW280" s="90"/>
      <c r="YX280" s="90"/>
      <c r="YY280" s="90"/>
      <c r="YZ280" s="90"/>
      <c r="ZA280" s="90"/>
      <c r="ZB280" s="90"/>
      <c r="ZC280" s="90"/>
      <c r="ZD280" s="90"/>
      <c r="ZE280" s="90"/>
      <c r="ZF280" s="90"/>
      <c r="ZG280" s="90"/>
      <c r="ZH280" s="90"/>
      <c r="ZI280" s="90"/>
      <c r="ZJ280" s="90"/>
      <c r="ZK280" s="90"/>
      <c r="ZL280" s="90"/>
      <c r="ZM280" s="90"/>
      <c r="ZN280" s="90"/>
      <c r="ZO280" s="90"/>
      <c r="ZP280" s="90"/>
      <c r="ZQ280" s="90"/>
      <c r="ZR280" s="90"/>
      <c r="ZS280" s="90"/>
      <c r="ZT280" s="90"/>
      <c r="ZU280" s="90"/>
      <c r="ZV280" s="90"/>
      <c r="ZW280" s="90"/>
      <c r="ZX280" s="90"/>
      <c r="ZY280" s="90"/>
      <c r="ZZ280" s="90"/>
      <c r="AAA280" s="90"/>
      <c r="AAB280" s="90"/>
      <c r="AAC280" s="90"/>
      <c r="AAD280" s="90"/>
      <c r="AAE280" s="90"/>
      <c r="AAF280" s="90"/>
      <c r="AAG280" s="90"/>
      <c r="AAH280" s="90"/>
      <c r="AAI280" s="90"/>
      <c r="AAJ280" s="90"/>
      <c r="AAK280" s="90"/>
      <c r="AAL280" s="90"/>
      <c r="AAM280" s="90"/>
      <c r="AAN280" s="90"/>
      <c r="AAO280" s="90"/>
      <c r="AAP280" s="90"/>
      <c r="AAQ280" s="90"/>
      <c r="AAR280" s="90"/>
      <c r="AAS280" s="90"/>
      <c r="AAT280" s="90"/>
      <c r="AAU280" s="90"/>
      <c r="AAV280" s="90"/>
      <c r="AAW280" s="90"/>
      <c r="AAX280" s="90"/>
      <c r="AAY280" s="90"/>
      <c r="AAZ280" s="90"/>
      <c r="ABA280" s="90"/>
      <c r="ABB280" s="90"/>
      <c r="ABC280" s="90"/>
      <c r="ABD280" s="90"/>
      <c r="ABE280" s="90"/>
      <c r="ABF280" s="90"/>
      <c r="ABG280" s="90"/>
      <c r="ABH280" s="90"/>
      <c r="ABI280" s="90"/>
      <c r="ABJ280" s="90"/>
      <c r="ABK280" s="90"/>
      <c r="ABL280" s="90"/>
      <c r="ABM280" s="90"/>
      <c r="ABN280" s="90"/>
      <c r="ABO280" s="90"/>
      <c r="ABP280" s="90"/>
      <c r="ABQ280" s="90"/>
      <c r="ABR280" s="90"/>
      <c r="ABS280" s="90"/>
      <c r="ABT280" s="90"/>
      <c r="ABU280" s="90"/>
      <c r="ABV280" s="90"/>
      <c r="ABW280" s="90"/>
      <c r="ABX280" s="90"/>
      <c r="ABY280" s="90"/>
      <c r="ABZ280" s="90"/>
      <c r="ACA280" s="90"/>
      <c r="ACB280" s="90"/>
      <c r="ACC280" s="90"/>
      <c r="ACD280" s="90"/>
      <c r="ACE280" s="90"/>
      <c r="ACF280" s="90"/>
      <c r="ACG280" s="90"/>
      <c r="ACH280" s="90"/>
      <c r="ACI280" s="90"/>
      <c r="ACJ280" s="90"/>
      <c r="ACK280" s="90"/>
      <c r="ACL280" s="90"/>
      <c r="ACM280" s="90"/>
      <c r="ACN280" s="90"/>
      <c r="ACO280" s="90"/>
      <c r="ACP280" s="90"/>
      <c r="ACQ280" s="90"/>
      <c r="ACR280" s="90"/>
      <c r="ACS280" s="90"/>
      <c r="ACT280" s="90"/>
      <c r="ACU280" s="90"/>
      <c r="ACV280" s="90"/>
      <c r="ACW280" s="90"/>
      <c r="ACX280" s="90"/>
      <c r="ACY280" s="90"/>
      <c r="ACZ280" s="90"/>
      <c r="ADA280" s="90"/>
      <c r="ADB280" s="90"/>
      <c r="ADC280" s="90"/>
      <c r="ADD280" s="90"/>
      <c r="ADE280" s="90"/>
      <c r="ADF280" s="90"/>
      <c r="ADG280" s="90"/>
      <c r="ADH280" s="90"/>
      <c r="ADI280" s="90"/>
      <c r="ADJ280" s="90"/>
      <c r="ADK280" s="90"/>
      <c r="ADL280" s="90"/>
      <c r="ADM280" s="90"/>
      <c r="ADN280" s="90"/>
      <c r="ADO280" s="90"/>
      <c r="ADP280" s="90"/>
      <c r="ADQ280" s="90"/>
      <c r="ADR280" s="90"/>
      <c r="ADS280" s="90"/>
      <c r="ADT280" s="90"/>
      <c r="ADU280" s="90"/>
      <c r="ADV280" s="90"/>
      <c r="ADW280" s="90"/>
      <c r="ADX280" s="90"/>
      <c r="ADY280" s="90"/>
      <c r="ADZ280" s="90"/>
      <c r="AEA280" s="90"/>
      <c r="AEB280" s="90"/>
      <c r="AEC280" s="90"/>
      <c r="AED280" s="90"/>
      <c r="AEE280" s="90"/>
      <c r="AEF280" s="90"/>
      <c r="AEG280" s="90"/>
      <c r="AEH280" s="90"/>
      <c r="AEI280" s="90"/>
      <c r="AEJ280" s="90"/>
      <c r="AEK280" s="90"/>
      <c r="AEL280" s="90"/>
      <c r="AEM280" s="90"/>
      <c r="AEN280" s="90"/>
      <c r="AEO280" s="90"/>
      <c r="AEP280" s="90"/>
      <c r="AEQ280" s="90"/>
      <c r="AER280" s="90"/>
      <c r="AES280" s="90"/>
      <c r="AET280" s="90"/>
      <c r="AEU280" s="90"/>
      <c r="AEV280" s="90"/>
      <c r="AEW280" s="90"/>
      <c r="AEX280" s="90"/>
      <c r="AEY280" s="90"/>
      <c r="AEZ280" s="90"/>
      <c r="AFA280" s="90"/>
      <c r="AFB280" s="90"/>
      <c r="AFC280" s="90"/>
      <c r="AFD280" s="90"/>
      <c r="AFE280" s="90"/>
      <c r="AFF280" s="90"/>
      <c r="AFG280" s="90"/>
      <c r="AFH280" s="90"/>
      <c r="AFI280" s="90"/>
      <c r="AFJ280" s="90"/>
      <c r="AFK280" s="90"/>
      <c r="AFL280" s="90"/>
      <c r="AFM280" s="90"/>
      <c r="AFN280" s="90"/>
      <c r="AFO280" s="90"/>
      <c r="AFP280" s="90"/>
      <c r="AFQ280" s="90"/>
      <c r="AFR280" s="90"/>
      <c r="AFS280" s="90"/>
      <c r="AFT280" s="90"/>
      <c r="AFU280" s="90"/>
      <c r="AFV280" s="90"/>
      <c r="AFW280" s="90"/>
      <c r="AFX280" s="90"/>
      <c r="AFY280" s="90"/>
      <c r="AFZ280" s="90"/>
      <c r="AGA280" s="90"/>
      <c r="AGB280" s="90"/>
      <c r="AGC280" s="90"/>
      <c r="AGD280" s="90"/>
      <c r="AGE280" s="90"/>
      <c r="AGF280" s="90"/>
      <c r="AGG280" s="90"/>
      <c r="AGH280" s="90"/>
      <c r="AGI280" s="90"/>
      <c r="AGJ280" s="90"/>
      <c r="AGK280" s="90"/>
      <c r="AGL280" s="90"/>
      <c r="AGM280" s="90"/>
      <c r="AGN280" s="90"/>
      <c r="AGO280" s="90"/>
      <c r="AGP280" s="90"/>
      <c r="AGQ280" s="90"/>
      <c r="AGR280" s="90"/>
      <c r="AGS280" s="90"/>
      <c r="AGT280" s="90"/>
      <c r="AGU280" s="90"/>
      <c r="AGV280" s="90"/>
      <c r="AGW280" s="90"/>
      <c r="AGX280" s="90"/>
      <c r="AGY280" s="90"/>
      <c r="AGZ280" s="90"/>
      <c r="AHA280" s="90"/>
      <c r="AHB280" s="90"/>
      <c r="AHC280" s="90"/>
      <c r="AHD280" s="90"/>
      <c r="AHE280" s="90"/>
      <c r="AHF280" s="90"/>
      <c r="AHG280" s="90"/>
      <c r="AHH280" s="90"/>
      <c r="AHI280" s="90"/>
      <c r="AHJ280" s="90"/>
      <c r="AHK280" s="90"/>
      <c r="AHL280" s="90"/>
      <c r="AHM280" s="90"/>
      <c r="AHN280" s="90"/>
      <c r="AHO280" s="90"/>
      <c r="AHP280" s="90"/>
      <c r="AHQ280" s="90"/>
      <c r="AHR280" s="90"/>
      <c r="AHS280" s="90"/>
      <c r="AHT280" s="90"/>
      <c r="AHU280" s="90"/>
      <c r="AHV280" s="90"/>
      <c r="AHW280" s="90"/>
      <c r="AHX280" s="90"/>
      <c r="AHY280" s="90"/>
      <c r="AHZ280" s="90"/>
      <c r="AIA280" s="90"/>
      <c r="AIB280" s="90"/>
      <c r="AIC280" s="90"/>
      <c r="AID280" s="90"/>
      <c r="AIE280" s="90"/>
      <c r="AIF280" s="90"/>
      <c r="AIG280" s="90"/>
      <c r="AIH280" s="90"/>
      <c r="AII280" s="90"/>
      <c r="AIJ280" s="90"/>
      <c r="AIK280" s="90"/>
      <c r="AIL280" s="90"/>
      <c r="AIM280" s="90"/>
      <c r="AIN280" s="90"/>
      <c r="AIO280" s="90"/>
      <c r="AIP280" s="90"/>
      <c r="AIQ280" s="90"/>
      <c r="AIR280" s="90"/>
      <c r="AIS280" s="90"/>
      <c r="AIT280" s="90"/>
      <c r="AIU280" s="90"/>
      <c r="AIV280" s="90"/>
      <c r="AIW280" s="90"/>
      <c r="AIX280" s="90"/>
      <c r="AIY280" s="90"/>
      <c r="AIZ280" s="90"/>
      <c r="AJA280" s="90"/>
      <c r="AJB280" s="90"/>
      <c r="AJC280" s="90"/>
      <c r="AJD280" s="90"/>
      <c r="AJE280" s="90"/>
      <c r="AJF280" s="90"/>
      <c r="AJG280" s="90"/>
      <c r="AJH280" s="90"/>
      <c r="AJI280" s="90"/>
      <c r="AJJ280" s="90"/>
      <c r="AJK280" s="90"/>
      <c r="AJL280" s="90"/>
      <c r="AJM280" s="90"/>
      <c r="AJN280" s="90"/>
      <c r="AJO280" s="90"/>
      <c r="AJP280" s="90"/>
      <c r="AJQ280" s="90"/>
      <c r="AJR280" s="90"/>
      <c r="AJS280" s="90"/>
      <c r="AJT280" s="90"/>
      <c r="AJU280" s="90"/>
      <c r="AJV280" s="90"/>
      <c r="AJW280" s="90"/>
      <c r="AJX280" s="90"/>
      <c r="AJY280" s="90"/>
      <c r="AJZ280" s="90"/>
      <c r="AKA280" s="90"/>
      <c r="AKB280" s="90"/>
      <c r="AKC280" s="90"/>
      <c r="AKD280" s="90"/>
      <c r="AKE280" s="90"/>
      <c r="AKF280" s="90"/>
      <c r="AKG280" s="90"/>
      <c r="AKH280" s="90"/>
      <c r="AKI280" s="90"/>
      <c r="AKJ280" s="90"/>
      <c r="AKK280" s="90"/>
      <c r="AKL280" s="90"/>
      <c r="AKM280" s="90"/>
      <c r="AKN280" s="90"/>
      <c r="AKO280" s="90"/>
      <c r="AKP280" s="90"/>
      <c r="AKQ280" s="90"/>
      <c r="AKR280" s="90"/>
      <c r="AKS280" s="90"/>
      <c r="AKT280" s="90"/>
      <c r="AKU280" s="90"/>
      <c r="AKV280" s="90"/>
      <c r="AKW280" s="90"/>
      <c r="AKX280" s="90"/>
      <c r="AKY280" s="90"/>
      <c r="AKZ280" s="90"/>
      <c r="ALA280" s="90"/>
      <c r="ALB280" s="90"/>
      <c r="ALC280" s="90"/>
      <c r="ALD280" s="90"/>
      <c r="ALE280" s="90"/>
      <c r="ALF280" s="90"/>
      <c r="ALG280" s="90"/>
      <c r="ALH280" s="90"/>
      <c r="ALI280" s="90"/>
      <c r="ALJ280" s="90"/>
      <c r="ALK280" s="90"/>
      <c r="ALL280" s="90"/>
      <c r="ALM280" s="90"/>
      <c r="ALN280" s="90"/>
      <c r="ALO280" s="90"/>
      <c r="ALP280" s="90"/>
      <c r="ALQ280" s="90"/>
      <c r="ALR280" s="90"/>
      <c r="ALS280" s="90"/>
      <c r="ALT280" s="90"/>
      <c r="ALU280" s="90"/>
      <c r="ALV280" s="90"/>
      <c r="ALW280" s="90"/>
      <c r="ALX280" s="90"/>
      <c r="ALY280" s="90"/>
      <c r="ALZ280" s="90"/>
      <c r="AMA280" s="90"/>
      <c r="AMB280" s="90"/>
      <c r="AMC280" s="90"/>
    </row>
    <row r="281" spans="1:1017">
      <c r="A281" s="98" t="s">
        <v>52</v>
      </c>
      <c r="B281" s="90" t="str">
        <f t="shared" si="1710"/>
        <v xml:space="preserve">Bawal </v>
      </c>
      <c r="Q281" s="91">
        <f t="shared" si="1711"/>
        <v>0</v>
      </c>
      <c r="R281" s="91">
        <f t="shared" si="1712"/>
        <v>0</v>
      </c>
      <c r="Y281" s="98">
        <v>1970</v>
      </c>
      <c r="Z281" s="98">
        <v>39400</v>
      </c>
      <c r="AG281" s="91">
        <f t="shared" si="1713"/>
        <v>1970</v>
      </c>
      <c r="AH281" s="91">
        <f t="shared" si="1714"/>
        <v>39400</v>
      </c>
      <c r="AW281" s="91">
        <f t="shared" si="1715"/>
        <v>0</v>
      </c>
      <c r="AX281" s="91">
        <f t="shared" si="1716"/>
        <v>0</v>
      </c>
      <c r="BM281" s="91">
        <f t="shared" si="1717"/>
        <v>0</v>
      </c>
      <c r="BN281" s="91">
        <f t="shared" si="1718"/>
        <v>0</v>
      </c>
      <c r="CC281" s="91">
        <f t="shared" si="1719"/>
        <v>0</v>
      </c>
      <c r="CD281" s="91">
        <f t="shared" si="1720"/>
        <v>0</v>
      </c>
      <c r="CS281" s="91">
        <f t="shared" si="1721"/>
        <v>0</v>
      </c>
      <c r="CT281" s="91">
        <f t="shared" si="1722"/>
        <v>0</v>
      </c>
      <c r="DI281" s="91">
        <f t="shared" si="1723"/>
        <v>0</v>
      </c>
      <c r="DJ281" s="91">
        <f t="shared" si="1724"/>
        <v>0</v>
      </c>
      <c r="DQ281" s="98">
        <v>313700</v>
      </c>
      <c r="DR281" s="98">
        <v>5322900</v>
      </c>
      <c r="DY281" s="91">
        <f t="shared" si="1725"/>
        <v>313700</v>
      </c>
      <c r="DZ281" s="91">
        <f t="shared" si="1726"/>
        <v>5322900</v>
      </c>
      <c r="EG281" s="98">
        <v>76200</v>
      </c>
      <c r="EH281" s="98">
        <v>838200</v>
      </c>
      <c r="EO281" s="91">
        <f t="shared" si="1727"/>
        <v>76200</v>
      </c>
      <c r="EP281" s="91">
        <f t="shared" si="1728"/>
        <v>838200</v>
      </c>
      <c r="FE281" s="91">
        <f t="shared" si="1729"/>
        <v>0</v>
      </c>
      <c r="FF281" s="91">
        <f t="shared" si="1730"/>
        <v>0</v>
      </c>
      <c r="FU281" s="91">
        <f t="shared" si="1731"/>
        <v>0</v>
      </c>
      <c r="FV281" s="91">
        <f t="shared" si="1732"/>
        <v>0</v>
      </c>
      <c r="GK281" s="91">
        <f t="shared" si="1733"/>
        <v>0</v>
      </c>
      <c r="GL281" s="91">
        <f t="shared" si="1734"/>
        <v>0</v>
      </c>
      <c r="HA281" s="91">
        <f t="shared" si="1735"/>
        <v>0</v>
      </c>
      <c r="HB281" s="91">
        <f t="shared" si="1736"/>
        <v>0</v>
      </c>
      <c r="HQ281" s="91">
        <f t="shared" si="1737"/>
        <v>0</v>
      </c>
      <c r="HR281" s="91">
        <f t="shared" si="1738"/>
        <v>0</v>
      </c>
      <c r="IG281" s="91">
        <f t="shared" si="1739"/>
        <v>0</v>
      </c>
      <c r="IH281" s="91">
        <f t="shared" si="1740"/>
        <v>0</v>
      </c>
      <c r="IO281" s="98">
        <v>1300</v>
      </c>
      <c r="IP281" s="98">
        <v>32500</v>
      </c>
      <c r="IW281" s="91">
        <f t="shared" si="1741"/>
        <v>1300</v>
      </c>
      <c r="IX281" s="91">
        <f t="shared" si="1742"/>
        <v>32500</v>
      </c>
      <c r="JM281" s="91">
        <f t="shared" si="1743"/>
        <v>0</v>
      </c>
      <c r="JN281" s="91">
        <f t="shared" si="1744"/>
        <v>0</v>
      </c>
      <c r="KC281" s="91">
        <f t="shared" si="1745"/>
        <v>0</v>
      </c>
      <c r="KD281" s="91">
        <f t="shared" si="1746"/>
        <v>0</v>
      </c>
      <c r="KS281" s="91">
        <f t="shared" si="1747"/>
        <v>0</v>
      </c>
      <c r="KT281" s="91">
        <f t="shared" si="1748"/>
        <v>0</v>
      </c>
      <c r="LI281" s="91">
        <f t="shared" si="1749"/>
        <v>0</v>
      </c>
      <c r="LJ281" s="91">
        <f t="shared" si="1750"/>
        <v>0</v>
      </c>
      <c r="LY281" s="91">
        <f t="shared" si="1751"/>
        <v>0</v>
      </c>
      <c r="LZ281" s="91">
        <f t="shared" si="1752"/>
        <v>0</v>
      </c>
      <c r="MO281" s="91">
        <f t="shared" si="1753"/>
        <v>0</v>
      </c>
      <c r="MP281" s="91">
        <f t="shared" si="1754"/>
        <v>0</v>
      </c>
      <c r="NE281" s="91">
        <f t="shared" si="1755"/>
        <v>0</v>
      </c>
      <c r="NF281" s="91">
        <f t="shared" si="1756"/>
        <v>0</v>
      </c>
      <c r="NQ281" s="98">
        <v>122</v>
      </c>
      <c r="NR281" s="98">
        <v>2196</v>
      </c>
      <c r="NU281" s="91">
        <f t="shared" si="1757"/>
        <v>122</v>
      </c>
      <c r="NV281" s="91">
        <f t="shared" si="1758"/>
        <v>2196</v>
      </c>
      <c r="OK281" s="91">
        <f t="shared" si="1759"/>
        <v>0</v>
      </c>
      <c r="OL281" s="91">
        <f t="shared" si="1760"/>
        <v>0</v>
      </c>
      <c r="PA281" s="91">
        <f t="shared" si="1761"/>
        <v>0</v>
      </c>
      <c r="PB281" s="91">
        <f t="shared" si="1762"/>
        <v>0</v>
      </c>
      <c r="PQ281" s="91">
        <f t="shared" si="1763"/>
        <v>0</v>
      </c>
      <c r="PR281" s="91">
        <f t="shared" si="1764"/>
        <v>0</v>
      </c>
      <c r="PY281" s="98">
        <v>15617</v>
      </c>
      <c r="PZ281" s="98">
        <v>312340</v>
      </c>
      <c r="QC281" s="98">
        <v>2810</v>
      </c>
      <c r="QD281" s="98">
        <v>42150</v>
      </c>
      <c r="QG281" s="91">
        <f t="shared" si="1765"/>
        <v>18427</v>
      </c>
      <c r="QH281" s="91">
        <f t="shared" si="1766"/>
        <v>354490</v>
      </c>
      <c r="QW281" s="91">
        <f t="shared" si="1767"/>
        <v>0</v>
      </c>
      <c r="QX281" s="91">
        <f t="shared" si="1768"/>
        <v>0</v>
      </c>
      <c r="RM281" s="91">
        <f t="shared" si="1769"/>
        <v>0</v>
      </c>
      <c r="RN281" s="91">
        <f t="shared" si="1770"/>
        <v>0</v>
      </c>
      <c r="SC281" s="91">
        <f t="shared" si="1771"/>
        <v>0</v>
      </c>
      <c r="SD281" s="91">
        <f t="shared" si="1772"/>
        <v>0</v>
      </c>
      <c r="SS281" s="91">
        <f t="shared" si="1773"/>
        <v>0</v>
      </c>
      <c r="ST281" s="91">
        <f t="shared" si="1774"/>
        <v>0</v>
      </c>
      <c r="TI281" s="91">
        <f t="shared" si="1775"/>
        <v>0</v>
      </c>
      <c r="TJ281" s="91">
        <f t="shared" si="1776"/>
        <v>0</v>
      </c>
      <c r="TY281" s="91">
        <f t="shared" si="1777"/>
        <v>0</v>
      </c>
      <c r="TZ281" s="91">
        <f t="shared" si="1778"/>
        <v>0</v>
      </c>
      <c r="UO281" s="91">
        <f t="shared" si="1779"/>
        <v>0</v>
      </c>
      <c r="UP281" s="91">
        <f t="shared" si="1780"/>
        <v>0</v>
      </c>
      <c r="VE281" s="91">
        <f t="shared" si="1781"/>
        <v>0</v>
      </c>
      <c r="VF281" s="91">
        <f t="shared" si="1782"/>
        <v>0</v>
      </c>
      <c r="VU281" s="91">
        <f t="shared" si="1783"/>
        <v>0</v>
      </c>
      <c r="VV281" s="91">
        <f t="shared" si="1784"/>
        <v>0</v>
      </c>
      <c r="WK281" s="91">
        <f t="shared" si="1785"/>
        <v>0</v>
      </c>
      <c r="WL281" s="91">
        <f t="shared" si="1786"/>
        <v>0</v>
      </c>
      <c r="WM281" s="89"/>
      <c r="WN281" s="87">
        <f t="shared" si="1787"/>
        <v>0</v>
      </c>
      <c r="WO281" s="87">
        <f t="shared" si="1788"/>
        <v>0</v>
      </c>
      <c r="WP281" s="87">
        <f t="shared" si="1789"/>
        <v>0</v>
      </c>
      <c r="WQ281" s="87">
        <f t="shared" si="1790"/>
        <v>0</v>
      </c>
      <c r="WR281" s="87">
        <f t="shared" si="1791"/>
        <v>0</v>
      </c>
      <c r="WS281" s="87">
        <f t="shared" si="1792"/>
        <v>0</v>
      </c>
      <c r="WT281" s="87">
        <f t="shared" si="1793"/>
        <v>408787</v>
      </c>
      <c r="WU281" s="87">
        <f t="shared" si="1794"/>
        <v>6545340</v>
      </c>
      <c r="WV281" s="87">
        <f t="shared" si="1795"/>
        <v>0</v>
      </c>
      <c r="WW281" s="87">
        <f t="shared" si="1796"/>
        <v>0</v>
      </c>
      <c r="WX281" s="87">
        <f t="shared" si="1797"/>
        <v>2932</v>
      </c>
      <c r="WY281" s="87">
        <f t="shared" si="1798"/>
        <v>44346</v>
      </c>
      <c r="WZ281" s="87">
        <f t="shared" si="1799"/>
        <v>0</v>
      </c>
      <c r="XA281" s="87">
        <f t="shared" si="1800"/>
        <v>0</v>
      </c>
      <c r="XB281" s="92">
        <f t="shared" si="1801"/>
        <v>411719</v>
      </c>
      <c r="XC281" s="92">
        <f t="shared" si="1802"/>
        <v>6589686</v>
      </c>
      <c r="XD281" s="89"/>
      <c r="XE281" s="92"/>
      <c r="XF281" s="92"/>
      <c r="XG281" s="89"/>
      <c r="XH281" s="92"/>
      <c r="XI281" s="92"/>
      <c r="XJ281" s="89"/>
      <c r="XK281" s="87"/>
      <c r="XL281" s="87"/>
      <c r="XM281" s="87"/>
      <c r="XN281" s="87"/>
      <c r="XO281" s="87"/>
      <c r="XP281" s="87"/>
      <c r="XQ281" s="87"/>
      <c r="XR281" s="92">
        <f t="shared" ca="1" si="1803"/>
        <v>0</v>
      </c>
      <c r="XS281" s="89"/>
      <c r="XT281" s="87"/>
      <c r="XU281" s="87"/>
      <c r="XV281" s="87"/>
      <c r="XW281" s="87"/>
      <c r="XX281" s="87"/>
      <c r="XY281" s="87"/>
      <c r="XZ281" s="87"/>
      <c r="YA281" s="92">
        <f t="shared" ca="1" si="1804"/>
        <v>0</v>
      </c>
      <c r="YB281" s="90"/>
      <c r="YC281" s="90"/>
      <c r="YD281" s="90"/>
      <c r="YE281" s="90"/>
      <c r="YF281" s="90"/>
      <c r="YG281" s="90"/>
      <c r="YH281" s="90"/>
      <c r="YI281" s="90"/>
      <c r="YJ281" s="90"/>
      <c r="YK281" s="90"/>
      <c r="YL281" s="90"/>
      <c r="YM281" s="90"/>
      <c r="YN281" s="90"/>
      <c r="YO281" s="90"/>
      <c r="YP281" s="90"/>
      <c r="YQ281" s="90"/>
      <c r="YR281" s="90"/>
      <c r="YS281" s="90"/>
      <c r="YT281" s="90"/>
      <c r="YU281" s="90"/>
      <c r="YV281" s="90"/>
      <c r="YW281" s="90"/>
      <c r="YX281" s="90"/>
      <c r="YY281" s="90"/>
      <c r="YZ281" s="90"/>
      <c r="ZA281" s="90"/>
      <c r="ZB281" s="90"/>
      <c r="ZC281" s="90"/>
      <c r="ZD281" s="90"/>
      <c r="ZE281" s="90"/>
      <c r="ZF281" s="90"/>
      <c r="ZG281" s="90"/>
      <c r="ZH281" s="90"/>
      <c r="ZI281" s="90"/>
      <c r="ZJ281" s="90"/>
      <c r="ZK281" s="90"/>
      <c r="ZL281" s="90"/>
      <c r="ZM281" s="90"/>
      <c r="ZN281" s="90"/>
      <c r="ZO281" s="90"/>
      <c r="ZP281" s="90"/>
      <c r="ZQ281" s="90"/>
      <c r="ZR281" s="90"/>
      <c r="ZS281" s="90"/>
      <c r="ZT281" s="90"/>
      <c r="ZU281" s="90"/>
      <c r="ZV281" s="90"/>
      <c r="ZW281" s="90"/>
      <c r="ZX281" s="90"/>
      <c r="ZY281" s="90"/>
      <c r="ZZ281" s="90"/>
      <c r="AAA281" s="90"/>
      <c r="AAB281" s="90"/>
      <c r="AAC281" s="90"/>
      <c r="AAD281" s="90"/>
      <c r="AAE281" s="90"/>
      <c r="AAF281" s="90"/>
      <c r="AAG281" s="90"/>
      <c r="AAH281" s="90"/>
      <c r="AAI281" s="90"/>
      <c r="AAJ281" s="90"/>
      <c r="AAK281" s="90"/>
      <c r="AAL281" s="90"/>
      <c r="AAM281" s="90"/>
      <c r="AAN281" s="90"/>
      <c r="AAO281" s="90"/>
      <c r="AAP281" s="90"/>
      <c r="AAQ281" s="90"/>
      <c r="AAR281" s="90"/>
      <c r="AAS281" s="90"/>
      <c r="AAT281" s="90"/>
      <c r="AAU281" s="90"/>
      <c r="AAV281" s="90"/>
      <c r="AAW281" s="90"/>
      <c r="AAX281" s="90"/>
      <c r="AAY281" s="90"/>
      <c r="AAZ281" s="90"/>
      <c r="ABA281" s="90"/>
      <c r="ABB281" s="90"/>
      <c r="ABC281" s="90"/>
      <c r="ABD281" s="90"/>
      <c r="ABE281" s="90"/>
      <c r="ABF281" s="90"/>
      <c r="ABG281" s="90"/>
      <c r="ABH281" s="90"/>
      <c r="ABI281" s="90"/>
      <c r="ABJ281" s="90"/>
      <c r="ABK281" s="90"/>
      <c r="ABL281" s="90"/>
      <c r="ABM281" s="90"/>
      <c r="ABN281" s="90"/>
      <c r="ABO281" s="90"/>
      <c r="ABP281" s="90"/>
      <c r="ABQ281" s="90"/>
      <c r="ABR281" s="90"/>
      <c r="ABS281" s="90"/>
      <c r="ABT281" s="90"/>
      <c r="ABU281" s="90"/>
      <c r="ABV281" s="90"/>
      <c r="ABW281" s="90"/>
      <c r="ABX281" s="90"/>
      <c r="ABY281" s="90"/>
      <c r="ABZ281" s="90"/>
      <c r="ACA281" s="90"/>
      <c r="ACB281" s="90"/>
      <c r="ACC281" s="90"/>
      <c r="ACD281" s="90"/>
      <c r="ACE281" s="90"/>
      <c r="ACF281" s="90"/>
      <c r="ACG281" s="90"/>
      <c r="ACH281" s="90"/>
      <c r="ACI281" s="90"/>
      <c r="ACJ281" s="90"/>
      <c r="ACK281" s="90"/>
      <c r="ACL281" s="90"/>
      <c r="ACM281" s="90"/>
      <c r="ACN281" s="90"/>
      <c r="ACO281" s="90"/>
      <c r="ACP281" s="90"/>
      <c r="ACQ281" s="90"/>
      <c r="ACR281" s="90"/>
      <c r="ACS281" s="90"/>
      <c r="ACT281" s="90"/>
      <c r="ACU281" s="90"/>
      <c r="ACV281" s="90"/>
      <c r="ACW281" s="90"/>
      <c r="ACX281" s="90"/>
      <c r="ACY281" s="90"/>
      <c r="ACZ281" s="90"/>
      <c r="ADA281" s="90"/>
      <c r="ADB281" s="90"/>
      <c r="ADC281" s="90"/>
      <c r="ADD281" s="90"/>
      <c r="ADE281" s="90"/>
      <c r="ADF281" s="90"/>
      <c r="ADG281" s="90"/>
      <c r="ADH281" s="90"/>
      <c r="ADI281" s="90"/>
      <c r="ADJ281" s="90"/>
      <c r="ADK281" s="90"/>
      <c r="ADL281" s="90"/>
      <c r="ADM281" s="90"/>
      <c r="ADN281" s="90"/>
      <c r="ADO281" s="90"/>
      <c r="ADP281" s="90"/>
      <c r="ADQ281" s="90"/>
      <c r="ADR281" s="90"/>
      <c r="ADS281" s="90"/>
      <c r="ADT281" s="90"/>
      <c r="ADU281" s="90"/>
      <c r="ADV281" s="90"/>
      <c r="ADW281" s="90"/>
      <c r="ADX281" s="90"/>
      <c r="ADY281" s="90"/>
      <c r="ADZ281" s="90"/>
      <c r="AEA281" s="90"/>
      <c r="AEB281" s="90"/>
      <c r="AEC281" s="90"/>
      <c r="AED281" s="90"/>
      <c r="AEE281" s="90"/>
      <c r="AEF281" s="90"/>
      <c r="AEG281" s="90"/>
      <c r="AEH281" s="90"/>
      <c r="AEI281" s="90"/>
      <c r="AEJ281" s="90"/>
      <c r="AEK281" s="90"/>
      <c r="AEL281" s="90"/>
      <c r="AEM281" s="90"/>
      <c r="AEN281" s="90"/>
      <c r="AEO281" s="90"/>
      <c r="AEP281" s="90"/>
      <c r="AEQ281" s="90"/>
      <c r="AER281" s="90"/>
      <c r="AES281" s="90"/>
      <c r="AET281" s="90"/>
      <c r="AEU281" s="90"/>
      <c r="AEV281" s="90"/>
      <c r="AEW281" s="90"/>
      <c r="AEX281" s="90"/>
      <c r="AEY281" s="90"/>
      <c r="AEZ281" s="90"/>
      <c r="AFA281" s="90"/>
      <c r="AFB281" s="90"/>
      <c r="AFC281" s="90"/>
      <c r="AFD281" s="90"/>
      <c r="AFE281" s="90"/>
      <c r="AFF281" s="90"/>
      <c r="AFG281" s="90"/>
      <c r="AFH281" s="90"/>
      <c r="AFI281" s="90"/>
      <c r="AFJ281" s="90"/>
      <c r="AFK281" s="90"/>
      <c r="AFL281" s="90"/>
      <c r="AFM281" s="90"/>
      <c r="AFN281" s="90"/>
      <c r="AFO281" s="90"/>
      <c r="AFP281" s="90"/>
      <c r="AFQ281" s="90"/>
      <c r="AFR281" s="90"/>
      <c r="AFS281" s="90"/>
      <c r="AFT281" s="90"/>
      <c r="AFU281" s="90"/>
      <c r="AFV281" s="90"/>
      <c r="AFW281" s="90"/>
      <c r="AFX281" s="90"/>
      <c r="AFY281" s="90"/>
      <c r="AFZ281" s="90"/>
      <c r="AGA281" s="90"/>
      <c r="AGB281" s="90"/>
      <c r="AGC281" s="90"/>
      <c r="AGD281" s="90"/>
      <c r="AGE281" s="90"/>
      <c r="AGF281" s="90"/>
      <c r="AGG281" s="90"/>
      <c r="AGH281" s="90"/>
      <c r="AGI281" s="90"/>
      <c r="AGJ281" s="90"/>
      <c r="AGK281" s="90"/>
      <c r="AGL281" s="90"/>
      <c r="AGM281" s="90"/>
      <c r="AGN281" s="90"/>
      <c r="AGO281" s="90"/>
      <c r="AGP281" s="90"/>
      <c r="AGQ281" s="90"/>
      <c r="AGR281" s="90"/>
      <c r="AGS281" s="90"/>
      <c r="AGT281" s="90"/>
      <c r="AGU281" s="90"/>
      <c r="AGV281" s="90"/>
      <c r="AGW281" s="90"/>
      <c r="AGX281" s="90"/>
      <c r="AGY281" s="90"/>
      <c r="AGZ281" s="90"/>
      <c r="AHA281" s="90"/>
      <c r="AHB281" s="90"/>
      <c r="AHC281" s="90"/>
      <c r="AHD281" s="90"/>
      <c r="AHE281" s="90"/>
      <c r="AHF281" s="90"/>
      <c r="AHG281" s="90"/>
      <c r="AHH281" s="90"/>
      <c r="AHI281" s="90"/>
      <c r="AHJ281" s="90"/>
      <c r="AHK281" s="90"/>
      <c r="AHL281" s="90"/>
      <c r="AHM281" s="90"/>
      <c r="AHN281" s="90"/>
      <c r="AHO281" s="90"/>
      <c r="AHP281" s="90"/>
      <c r="AHQ281" s="90"/>
      <c r="AHR281" s="90"/>
      <c r="AHS281" s="90"/>
      <c r="AHT281" s="90"/>
      <c r="AHU281" s="90"/>
      <c r="AHV281" s="90"/>
      <c r="AHW281" s="90"/>
      <c r="AHX281" s="90"/>
      <c r="AHY281" s="90"/>
      <c r="AHZ281" s="90"/>
      <c r="AIA281" s="90"/>
      <c r="AIB281" s="90"/>
      <c r="AIC281" s="90"/>
      <c r="AID281" s="90"/>
      <c r="AIE281" s="90"/>
      <c r="AIF281" s="90"/>
      <c r="AIG281" s="90"/>
      <c r="AIH281" s="90"/>
      <c r="AII281" s="90"/>
      <c r="AIJ281" s="90"/>
      <c r="AIK281" s="90"/>
      <c r="AIL281" s="90"/>
      <c r="AIM281" s="90"/>
      <c r="AIN281" s="90"/>
      <c r="AIO281" s="90"/>
      <c r="AIP281" s="90"/>
      <c r="AIQ281" s="90"/>
      <c r="AIR281" s="90"/>
      <c r="AIS281" s="90"/>
      <c r="AIT281" s="90"/>
      <c r="AIU281" s="90"/>
      <c r="AIV281" s="90"/>
      <c r="AIW281" s="90"/>
      <c r="AIX281" s="90"/>
      <c r="AIY281" s="90"/>
      <c r="AIZ281" s="90"/>
      <c r="AJA281" s="90"/>
      <c r="AJB281" s="90"/>
      <c r="AJC281" s="90"/>
      <c r="AJD281" s="90"/>
      <c r="AJE281" s="90"/>
      <c r="AJF281" s="90"/>
      <c r="AJG281" s="90"/>
      <c r="AJH281" s="90"/>
      <c r="AJI281" s="90"/>
      <c r="AJJ281" s="90"/>
      <c r="AJK281" s="90"/>
      <c r="AJL281" s="90"/>
      <c r="AJM281" s="90"/>
      <c r="AJN281" s="90"/>
      <c r="AJO281" s="90"/>
      <c r="AJP281" s="90"/>
      <c r="AJQ281" s="90"/>
      <c r="AJR281" s="90"/>
      <c r="AJS281" s="90"/>
      <c r="AJT281" s="90"/>
      <c r="AJU281" s="90"/>
      <c r="AJV281" s="90"/>
      <c r="AJW281" s="90"/>
      <c r="AJX281" s="90"/>
      <c r="AJY281" s="90"/>
      <c r="AJZ281" s="90"/>
      <c r="AKA281" s="90"/>
      <c r="AKB281" s="90"/>
      <c r="AKC281" s="90"/>
      <c r="AKD281" s="90"/>
      <c r="AKE281" s="90"/>
      <c r="AKF281" s="90"/>
      <c r="AKG281" s="90"/>
      <c r="AKH281" s="90"/>
      <c r="AKI281" s="90"/>
      <c r="AKJ281" s="90"/>
      <c r="AKK281" s="90"/>
      <c r="AKL281" s="90"/>
      <c r="AKM281" s="90"/>
      <c r="AKN281" s="90"/>
      <c r="AKO281" s="90"/>
      <c r="AKP281" s="90"/>
      <c r="AKQ281" s="90"/>
      <c r="AKR281" s="90"/>
      <c r="AKS281" s="90"/>
      <c r="AKT281" s="90"/>
      <c r="AKU281" s="90"/>
      <c r="AKV281" s="90"/>
      <c r="AKW281" s="90"/>
      <c r="AKX281" s="90"/>
      <c r="AKY281" s="90"/>
      <c r="AKZ281" s="90"/>
      <c r="ALA281" s="90"/>
      <c r="ALB281" s="90"/>
      <c r="ALC281" s="90"/>
      <c r="ALD281" s="90"/>
      <c r="ALE281" s="90"/>
      <c r="ALF281" s="90"/>
      <c r="ALG281" s="90"/>
      <c r="ALH281" s="90"/>
      <c r="ALI281" s="90"/>
      <c r="ALJ281" s="90"/>
      <c r="ALK281" s="90"/>
      <c r="ALL281" s="90"/>
      <c r="ALM281" s="90"/>
      <c r="ALN281" s="90"/>
      <c r="ALO281" s="90"/>
      <c r="ALP281" s="90"/>
      <c r="ALQ281" s="90"/>
      <c r="ALR281" s="90"/>
      <c r="ALS281" s="90"/>
      <c r="ALT281" s="90"/>
      <c r="ALU281" s="90"/>
      <c r="ALV281" s="90"/>
      <c r="ALW281" s="90"/>
      <c r="ALX281" s="90"/>
      <c r="ALY281" s="90"/>
      <c r="ALZ281" s="90"/>
      <c r="AMA281" s="90"/>
      <c r="AMB281" s="90"/>
      <c r="AMC281" s="90"/>
    </row>
    <row r="282" spans="1:1017">
      <c r="A282" s="98" t="s">
        <v>52</v>
      </c>
      <c r="B282" s="90" t="str">
        <f t="shared" si="1710"/>
        <v xml:space="preserve">Belanak </v>
      </c>
      <c r="E282" s="98">
        <v>56300</v>
      </c>
      <c r="F282" s="98">
        <v>1689000</v>
      </c>
      <c r="Q282" s="91">
        <f t="shared" si="1711"/>
        <v>56300</v>
      </c>
      <c r="R282" s="91">
        <f t="shared" si="1712"/>
        <v>1689000</v>
      </c>
      <c r="AG282" s="91">
        <f t="shared" si="1713"/>
        <v>0</v>
      </c>
      <c r="AH282" s="91">
        <f t="shared" si="1714"/>
        <v>0</v>
      </c>
      <c r="AW282" s="91">
        <f t="shared" si="1715"/>
        <v>0</v>
      </c>
      <c r="AX282" s="91">
        <f t="shared" si="1716"/>
        <v>0</v>
      </c>
      <c r="BM282" s="91">
        <f t="shared" si="1717"/>
        <v>0</v>
      </c>
      <c r="BN282" s="91">
        <f t="shared" si="1718"/>
        <v>0</v>
      </c>
      <c r="CC282" s="91">
        <f t="shared" si="1719"/>
        <v>0</v>
      </c>
      <c r="CD282" s="91">
        <f t="shared" si="1720"/>
        <v>0</v>
      </c>
      <c r="CS282" s="91">
        <f t="shared" si="1721"/>
        <v>0</v>
      </c>
      <c r="CT282" s="91">
        <f t="shared" si="1722"/>
        <v>0</v>
      </c>
      <c r="DI282" s="91">
        <f t="shared" si="1723"/>
        <v>0</v>
      </c>
      <c r="DJ282" s="91">
        <f t="shared" si="1724"/>
        <v>0</v>
      </c>
      <c r="DY282" s="91">
        <f t="shared" si="1725"/>
        <v>0</v>
      </c>
      <c r="DZ282" s="91">
        <f t="shared" si="1726"/>
        <v>0</v>
      </c>
      <c r="EO282" s="91">
        <f t="shared" si="1727"/>
        <v>0</v>
      </c>
      <c r="EP282" s="91">
        <f t="shared" si="1728"/>
        <v>0</v>
      </c>
      <c r="FE282" s="91">
        <f t="shared" si="1729"/>
        <v>0</v>
      </c>
      <c r="FF282" s="91">
        <f t="shared" si="1730"/>
        <v>0</v>
      </c>
      <c r="FU282" s="91">
        <f t="shared" si="1731"/>
        <v>0</v>
      </c>
      <c r="FV282" s="91">
        <f t="shared" si="1732"/>
        <v>0</v>
      </c>
      <c r="GK282" s="91">
        <f t="shared" si="1733"/>
        <v>0</v>
      </c>
      <c r="GL282" s="91">
        <f t="shared" si="1734"/>
        <v>0</v>
      </c>
      <c r="HA282" s="91">
        <f t="shared" si="1735"/>
        <v>0</v>
      </c>
      <c r="HB282" s="91">
        <f t="shared" si="1736"/>
        <v>0</v>
      </c>
      <c r="HQ282" s="91">
        <f t="shared" si="1737"/>
        <v>0</v>
      </c>
      <c r="HR282" s="91">
        <f t="shared" si="1738"/>
        <v>0</v>
      </c>
      <c r="IG282" s="91">
        <f t="shared" si="1739"/>
        <v>0</v>
      </c>
      <c r="IH282" s="91">
        <f t="shared" si="1740"/>
        <v>0</v>
      </c>
      <c r="IW282" s="91">
        <f t="shared" si="1741"/>
        <v>0</v>
      </c>
      <c r="IX282" s="91">
        <f t="shared" si="1742"/>
        <v>0</v>
      </c>
      <c r="JM282" s="91">
        <f t="shared" si="1743"/>
        <v>0</v>
      </c>
      <c r="JN282" s="91">
        <f t="shared" si="1744"/>
        <v>0</v>
      </c>
      <c r="KC282" s="91">
        <f t="shared" si="1745"/>
        <v>0</v>
      </c>
      <c r="KD282" s="91">
        <f t="shared" si="1746"/>
        <v>0</v>
      </c>
      <c r="KS282" s="91">
        <f t="shared" si="1747"/>
        <v>0</v>
      </c>
      <c r="KT282" s="91">
        <f t="shared" si="1748"/>
        <v>0</v>
      </c>
      <c r="LI282" s="91">
        <f t="shared" si="1749"/>
        <v>0</v>
      </c>
      <c r="LJ282" s="91">
        <f t="shared" si="1750"/>
        <v>0</v>
      </c>
      <c r="LY282" s="91">
        <f t="shared" si="1751"/>
        <v>0</v>
      </c>
      <c r="LZ282" s="91">
        <f t="shared" si="1752"/>
        <v>0</v>
      </c>
      <c r="MC282" s="98">
        <v>4710</v>
      </c>
      <c r="MD282" s="98">
        <v>56520</v>
      </c>
      <c r="MO282" s="91">
        <f t="shared" si="1753"/>
        <v>4710</v>
      </c>
      <c r="MP282" s="91">
        <f t="shared" si="1754"/>
        <v>56520</v>
      </c>
      <c r="MS282" s="98">
        <v>100</v>
      </c>
      <c r="MT282" s="98">
        <v>2200</v>
      </c>
      <c r="NE282" s="91">
        <f t="shared" si="1755"/>
        <v>100</v>
      </c>
      <c r="NF282" s="91">
        <f t="shared" si="1756"/>
        <v>2200</v>
      </c>
      <c r="NU282" s="91">
        <f t="shared" si="1757"/>
        <v>0</v>
      </c>
      <c r="NV282" s="91">
        <f t="shared" si="1758"/>
        <v>0</v>
      </c>
      <c r="OK282" s="91">
        <f t="shared" si="1759"/>
        <v>0</v>
      </c>
      <c r="OL282" s="91">
        <f t="shared" si="1760"/>
        <v>0</v>
      </c>
      <c r="PA282" s="91">
        <f t="shared" si="1761"/>
        <v>0</v>
      </c>
      <c r="PB282" s="91">
        <f t="shared" si="1762"/>
        <v>0</v>
      </c>
      <c r="PQ282" s="91">
        <f t="shared" si="1763"/>
        <v>0</v>
      </c>
      <c r="PR282" s="91">
        <f t="shared" si="1764"/>
        <v>0</v>
      </c>
      <c r="QG282" s="91">
        <f t="shared" si="1765"/>
        <v>0</v>
      </c>
      <c r="QH282" s="91">
        <f t="shared" si="1766"/>
        <v>0</v>
      </c>
      <c r="QW282" s="91">
        <f t="shared" si="1767"/>
        <v>0</v>
      </c>
      <c r="QX282" s="91">
        <f t="shared" si="1768"/>
        <v>0</v>
      </c>
      <c r="RM282" s="91">
        <f t="shared" si="1769"/>
        <v>0</v>
      </c>
      <c r="RN282" s="91">
        <f t="shared" si="1770"/>
        <v>0</v>
      </c>
      <c r="SC282" s="91">
        <f t="shared" si="1771"/>
        <v>0</v>
      </c>
      <c r="SD282" s="91">
        <f t="shared" si="1772"/>
        <v>0</v>
      </c>
      <c r="SS282" s="91">
        <f t="shared" si="1773"/>
        <v>0</v>
      </c>
      <c r="ST282" s="91">
        <f t="shared" si="1774"/>
        <v>0</v>
      </c>
      <c r="TI282" s="91">
        <f t="shared" si="1775"/>
        <v>0</v>
      </c>
      <c r="TJ282" s="91">
        <f t="shared" si="1776"/>
        <v>0</v>
      </c>
      <c r="TY282" s="91">
        <f t="shared" si="1777"/>
        <v>0</v>
      </c>
      <c r="TZ282" s="91">
        <f t="shared" si="1778"/>
        <v>0</v>
      </c>
      <c r="UO282" s="91">
        <f t="shared" si="1779"/>
        <v>0</v>
      </c>
      <c r="UP282" s="91">
        <f t="shared" si="1780"/>
        <v>0</v>
      </c>
      <c r="VE282" s="91">
        <f t="shared" si="1781"/>
        <v>0</v>
      </c>
      <c r="VF282" s="91">
        <f t="shared" si="1782"/>
        <v>0</v>
      </c>
      <c r="VU282" s="91">
        <f t="shared" si="1783"/>
        <v>0</v>
      </c>
      <c r="VV282" s="91">
        <f t="shared" si="1784"/>
        <v>0</v>
      </c>
      <c r="WK282" s="91">
        <f t="shared" si="1785"/>
        <v>0</v>
      </c>
      <c r="WL282" s="91">
        <f t="shared" si="1786"/>
        <v>0</v>
      </c>
      <c r="WM282" s="89"/>
      <c r="WN282" s="87">
        <f t="shared" si="1787"/>
        <v>0</v>
      </c>
      <c r="WO282" s="87">
        <f t="shared" si="1788"/>
        <v>0</v>
      </c>
      <c r="WP282" s="87">
        <f t="shared" si="1789"/>
        <v>61110</v>
      </c>
      <c r="WQ282" s="87">
        <f t="shared" si="1790"/>
        <v>1747720</v>
      </c>
      <c r="WR282" s="87">
        <f t="shared" si="1791"/>
        <v>0</v>
      </c>
      <c r="WS282" s="87">
        <f t="shared" si="1792"/>
        <v>0</v>
      </c>
      <c r="WT282" s="87">
        <f t="shared" si="1793"/>
        <v>0</v>
      </c>
      <c r="WU282" s="87">
        <f t="shared" si="1794"/>
        <v>0</v>
      </c>
      <c r="WV282" s="87">
        <f t="shared" si="1795"/>
        <v>0</v>
      </c>
      <c r="WW282" s="87">
        <f t="shared" si="1796"/>
        <v>0</v>
      </c>
      <c r="WX282" s="87">
        <f t="shared" si="1797"/>
        <v>0</v>
      </c>
      <c r="WY282" s="87">
        <f t="shared" si="1798"/>
        <v>0</v>
      </c>
      <c r="WZ282" s="87">
        <f t="shared" si="1799"/>
        <v>0</v>
      </c>
      <c r="XA282" s="87">
        <f t="shared" si="1800"/>
        <v>0</v>
      </c>
      <c r="XB282" s="92">
        <f t="shared" si="1801"/>
        <v>61110</v>
      </c>
      <c r="XC282" s="92">
        <f t="shared" si="1802"/>
        <v>1747720</v>
      </c>
      <c r="XD282" s="89"/>
      <c r="XE282" s="92"/>
      <c r="XF282" s="92"/>
      <c r="XG282" s="89"/>
      <c r="XH282" s="92"/>
      <c r="XI282" s="92"/>
      <c r="XJ282" s="89"/>
      <c r="XK282" s="87"/>
      <c r="XL282" s="87"/>
      <c r="XM282" s="87"/>
      <c r="XN282" s="87"/>
      <c r="XO282" s="87"/>
      <c r="XP282" s="87"/>
      <c r="XQ282" s="87"/>
      <c r="XR282" s="92">
        <f t="shared" ca="1" si="1803"/>
        <v>0</v>
      </c>
      <c r="XS282" s="89"/>
      <c r="XT282" s="87"/>
      <c r="XU282" s="87"/>
      <c r="XV282" s="87"/>
      <c r="XW282" s="87"/>
      <c r="XX282" s="87"/>
      <c r="XY282" s="87"/>
      <c r="XZ282" s="87"/>
      <c r="YA282" s="92">
        <f t="shared" ca="1" si="1804"/>
        <v>0</v>
      </c>
      <c r="YB282" s="90"/>
      <c r="YC282" s="90"/>
      <c r="YD282" s="90"/>
      <c r="YE282" s="90"/>
      <c r="YF282" s="90"/>
      <c r="YG282" s="90"/>
      <c r="YH282" s="90"/>
      <c r="YI282" s="90"/>
      <c r="YJ282" s="90"/>
      <c r="YK282" s="90"/>
      <c r="YL282" s="90"/>
      <c r="YM282" s="90"/>
      <c r="YN282" s="90"/>
      <c r="YO282" s="90"/>
      <c r="YP282" s="90"/>
      <c r="YQ282" s="90"/>
      <c r="YR282" s="90"/>
      <c r="YS282" s="90"/>
      <c r="YT282" s="90"/>
      <c r="YU282" s="90"/>
      <c r="YV282" s="90"/>
      <c r="YW282" s="90"/>
      <c r="YX282" s="90"/>
      <c r="YY282" s="90"/>
      <c r="YZ282" s="90"/>
      <c r="ZA282" s="90"/>
      <c r="ZB282" s="90"/>
      <c r="ZC282" s="90"/>
      <c r="ZD282" s="90"/>
      <c r="ZE282" s="90"/>
      <c r="ZF282" s="90"/>
      <c r="ZG282" s="90"/>
      <c r="ZH282" s="90"/>
      <c r="ZI282" s="90"/>
      <c r="ZJ282" s="90"/>
      <c r="ZK282" s="90"/>
      <c r="ZL282" s="90"/>
      <c r="ZM282" s="90"/>
      <c r="ZN282" s="90"/>
      <c r="ZO282" s="90"/>
      <c r="ZP282" s="90"/>
      <c r="ZQ282" s="90"/>
      <c r="ZR282" s="90"/>
      <c r="ZS282" s="90"/>
      <c r="ZT282" s="90"/>
      <c r="ZU282" s="90"/>
      <c r="ZV282" s="90"/>
      <c r="ZW282" s="90"/>
      <c r="ZX282" s="90"/>
      <c r="ZY282" s="90"/>
      <c r="ZZ282" s="90"/>
      <c r="AAA282" s="90"/>
      <c r="AAB282" s="90"/>
      <c r="AAC282" s="90"/>
      <c r="AAD282" s="90"/>
      <c r="AAE282" s="90"/>
      <c r="AAF282" s="90"/>
      <c r="AAG282" s="90"/>
      <c r="AAH282" s="90"/>
      <c r="AAI282" s="90"/>
      <c r="AAJ282" s="90"/>
      <c r="AAK282" s="90"/>
      <c r="AAL282" s="90"/>
      <c r="AAM282" s="90"/>
      <c r="AAN282" s="90"/>
      <c r="AAO282" s="90"/>
      <c r="AAP282" s="90"/>
      <c r="AAQ282" s="90"/>
      <c r="AAR282" s="90"/>
      <c r="AAS282" s="90"/>
      <c r="AAT282" s="90"/>
      <c r="AAU282" s="90"/>
      <c r="AAV282" s="90"/>
      <c r="AAW282" s="90"/>
      <c r="AAX282" s="90"/>
      <c r="AAY282" s="90"/>
      <c r="AAZ282" s="90"/>
      <c r="ABA282" s="90"/>
      <c r="ABB282" s="90"/>
      <c r="ABC282" s="90"/>
      <c r="ABD282" s="90"/>
      <c r="ABE282" s="90"/>
      <c r="ABF282" s="90"/>
      <c r="ABG282" s="90"/>
      <c r="ABH282" s="90"/>
      <c r="ABI282" s="90"/>
      <c r="ABJ282" s="90"/>
      <c r="ABK282" s="90"/>
      <c r="ABL282" s="90"/>
      <c r="ABM282" s="90"/>
      <c r="ABN282" s="90"/>
      <c r="ABO282" s="90"/>
      <c r="ABP282" s="90"/>
      <c r="ABQ282" s="90"/>
      <c r="ABR282" s="90"/>
      <c r="ABS282" s="90"/>
      <c r="ABT282" s="90"/>
      <c r="ABU282" s="90"/>
      <c r="ABV282" s="90"/>
      <c r="ABW282" s="90"/>
      <c r="ABX282" s="90"/>
      <c r="ABY282" s="90"/>
      <c r="ABZ282" s="90"/>
      <c r="ACA282" s="90"/>
      <c r="ACB282" s="90"/>
      <c r="ACC282" s="90"/>
      <c r="ACD282" s="90"/>
      <c r="ACE282" s="90"/>
      <c r="ACF282" s="90"/>
      <c r="ACG282" s="90"/>
      <c r="ACH282" s="90"/>
      <c r="ACI282" s="90"/>
      <c r="ACJ282" s="90"/>
      <c r="ACK282" s="90"/>
      <c r="ACL282" s="90"/>
      <c r="ACM282" s="90"/>
      <c r="ACN282" s="90"/>
      <c r="ACO282" s="90"/>
      <c r="ACP282" s="90"/>
      <c r="ACQ282" s="90"/>
      <c r="ACR282" s="90"/>
      <c r="ACS282" s="90"/>
      <c r="ACT282" s="90"/>
      <c r="ACU282" s="90"/>
      <c r="ACV282" s="90"/>
      <c r="ACW282" s="90"/>
      <c r="ACX282" s="90"/>
      <c r="ACY282" s="90"/>
      <c r="ACZ282" s="90"/>
      <c r="ADA282" s="90"/>
      <c r="ADB282" s="90"/>
      <c r="ADC282" s="90"/>
      <c r="ADD282" s="90"/>
      <c r="ADE282" s="90"/>
      <c r="ADF282" s="90"/>
      <c r="ADG282" s="90"/>
      <c r="ADH282" s="90"/>
      <c r="ADI282" s="90"/>
      <c r="ADJ282" s="90"/>
      <c r="ADK282" s="90"/>
      <c r="ADL282" s="90"/>
      <c r="ADM282" s="90"/>
      <c r="ADN282" s="90"/>
      <c r="ADO282" s="90"/>
      <c r="ADP282" s="90"/>
      <c r="ADQ282" s="90"/>
      <c r="ADR282" s="90"/>
      <c r="ADS282" s="90"/>
      <c r="ADT282" s="90"/>
      <c r="ADU282" s="90"/>
      <c r="ADV282" s="90"/>
      <c r="ADW282" s="90"/>
      <c r="ADX282" s="90"/>
      <c r="ADY282" s="90"/>
      <c r="ADZ282" s="90"/>
      <c r="AEA282" s="90"/>
      <c r="AEB282" s="90"/>
      <c r="AEC282" s="90"/>
      <c r="AED282" s="90"/>
      <c r="AEE282" s="90"/>
      <c r="AEF282" s="90"/>
      <c r="AEG282" s="90"/>
      <c r="AEH282" s="90"/>
      <c r="AEI282" s="90"/>
      <c r="AEJ282" s="90"/>
      <c r="AEK282" s="90"/>
      <c r="AEL282" s="90"/>
      <c r="AEM282" s="90"/>
      <c r="AEN282" s="90"/>
      <c r="AEO282" s="90"/>
      <c r="AEP282" s="90"/>
      <c r="AEQ282" s="90"/>
      <c r="AER282" s="90"/>
      <c r="AES282" s="90"/>
      <c r="AET282" s="90"/>
      <c r="AEU282" s="90"/>
      <c r="AEV282" s="90"/>
      <c r="AEW282" s="90"/>
      <c r="AEX282" s="90"/>
      <c r="AEY282" s="90"/>
      <c r="AEZ282" s="90"/>
      <c r="AFA282" s="90"/>
      <c r="AFB282" s="90"/>
      <c r="AFC282" s="90"/>
      <c r="AFD282" s="90"/>
      <c r="AFE282" s="90"/>
      <c r="AFF282" s="90"/>
      <c r="AFG282" s="90"/>
      <c r="AFH282" s="90"/>
      <c r="AFI282" s="90"/>
      <c r="AFJ282" s="90"/>
      <c r="AFK282" s="90"/>
      <c r="AFL282" s="90"/>
      <c r="AFM282" s="90"/>
      <c r="AFN282" s="90"/>
      <c r="AFO282" s="90"/>
      <c r="AFP282" s="90"/>
      <c r="AFQ282" s="90"/>
      <c r="AFR282" s="90"/>
      <c r="AFS282" s="90"/>
      <c r="AFT282" s="90"/>
      <c r="AFU282" s="90"/>
      <c r="AFV282" s="90"/>
      <c r="AFW282" s="90"/>
      <c r="AFX282" s="90"/>
      <c r="AFY282" s="90"/>
      <c r="AFZ282" s="90"/>
      <c r="AGA282" s="90"/>
      <c r="AGB282" s="90"/>
      <c r="AGC282" s="90"/>
      <c r="AGD282" s="90"/>
      <c r="AGE282" s="90"/>
      <c r="AGF282" s="90"/>
      <c r="AGG282" s="90"/>
      <c r="AGH282" s="90"/>
      <c r="AGI282" s="90"/>
      <c r="AGJ282" s="90"/>
      <c r="AGK282" s="90"/>
      <c r="AGL282" s="90"/>
      <c r="AGM282" s="90"/>
      <c r="AGN282" s="90"/>
      <c r="AGO282" s="90"/>
      <c r="AGP282" s="90"/>
      <c r="AGQ282" s="90"/>
      <c r="AGR282" s="90"/>
      <c r="AGS282" s="90"/>
      <c r="AGT282" s="90"/>
      <c r="AGU282" s="90"/>
      <c r="AGV282" s="90"/>
      <c r="AGW282" s="90"/>
      <c r="AGX282" s="90"/>
      <c r="AGY282" s="90"/>
      <c r="AGZ282" s="90"/>
      <c r="AHA282" s="90"/>
      <c r="AHB282" s="90"/>
      <c r="AHC282" s="90"/>
      <c r="AHD282" s="90"/>
      <c r="AHE282" s="90"/>
      <c r="AHF282" s="90"/>
      <c r="AHG282" s="90"/>
      <c r="AHH282" s="90"/>
      <c r="AHI282" s="90"/>
      <c r="AHJ282" s="90"/>
      <c r="AHK282" s="90"/>
      <c r="AHL282" s="90"/>
      <c r="AHM282" s="90"/>
      <c r="AHN282" s="90"/>
      <c r="AHO282" s="90"/>
      <c r="AHP282" s="90"/>
      <c r="AHQ282" s="90"/>
      <c r="AHR282" s="90"/>
      <c r="AHS282" s="90"/>
      <c r="AHT282" s="90"/>
      <c r="AHU282" s="90"/>
      <c r="AHV282" s="90"/>
      <c r="AHW282" s="90"/>
      <c r="AHX282" s="90"/>
      <c r="AHY282" s="90"/>
      <c r="AHZ282" s="90"/>
      <c r="AIA282" s="90"/>
      <c r="AIB282" s="90"/>
      <c r="AIC282" s="90"/>
      <c r="AID282" s="90"/>
      <c r="AIE282" s="90"/>
      <c r="AIF282" s="90"/>
      <c r="AIG282" s="90"/>
      <c r="AIH282" s="90"/>
      <c r="AII282" s="90"/>
      <c r="AIJ282" s="90"/>
      <c r="AIK282" s="90"/>
      <c r="AIL282" s="90"/>
      <c r="AIM282" s="90"/>
      <c r="AIN282" s="90"/>
      <c r="AIO282" s="90"/>
      <c r="AIP282" s="90"/>
      <c r="AIQ282" s="90"/>
      <c r="AIR282" s="90"/>
      <c r="AIS282" s="90"/>
      <c r="AIT282" s="90"/>
      <c r="AIU282" s="90"/>
      <c r="AIV282" s="90"/>
      <c r="AIW282" s="90"/>
      <c r="AIX282" s="90"/>
      <c r="AIY282" s="90"/>
      <c r="AIZ282" s="90"/>
      <c r="AJA282" s="90"/>
      <c r="AJB282" s="90"/>
      <c r="AJC282" s="90"/>
      <c r="AJD282" s="90"/>
      <c r="AJE282" s="90"/>
      <c r="AJF282" s="90"/>
      <c r="AJG282" s="90"/>
      <c r="AJH282" s="90"/>
      <c r="AJI282" s="90"/>
      <c r="AJJ282" s="90"/>
      <c r="AJK282" s="90"/>
      <c r="AJL282" s="90"/>
      <c r="AJM282" s="90"/>
      <c r="AJN282" s="90"/>
      <c r="AJO282" s="90"/>
      <c r="AJP282" s="90"/>
      <c r="AJQ282" s="90"/>
      <c r="AJR282" s="90"/>
      <c r="AJS282" s="90"/>
      <c r="AJT282" s="90"/>
      <c r="AJU282" s="90"/>
      <c r="AJV282" s="90"/>
      <c r="AJW282" s="90"/>
      <c r="AJX282" s="90"/>
      <c r="AJY282" s="90"/>
      <c r="AJZ282" s="90"/>
      <c r="AKA282" s="90"/>
      <c r="AKB282" s="90"/>
      <c r="AKC282" s="90"/>
      <c r="AKD282" s="90"/>
      <c r="AKE282" s="90"/>
      <c r="AKF282" s="90"/>
      <c r="AKG282" s="90"/>
      <c r="AKH282" s="90"/>
      <c r="AKI282" s="90"/>
      <c r="AKJ282" s="90"/>
      <c r="AKK282" s="90"/>
      <c r="AKL282" s="90"/>
      <c r="AKM282" s="90"/>
      <c r="AKN282" s="90"/>
      <c r="AKO282" s="90"/>
      <c r="AKP282" s="90"/>
      <c r="AKQ282" s="90"/>
      <c r="AKR282" s="90"/>
      <c r="AKS282" s="90"/>
      <c r="AKT282" s="90"/>
      <c r="AKU282" s="90"/>
      <c r="AKV282" s="90"/>
      <c r="AKW282" s="90"/>
      <c r="AKX282" s="90"/>
      <c r="AKY282" s="90"/>
      <c r="AKZ282" s="90"/>
      <c r="ALA282" s="90"/>
      <c r="ALB282" s="90"/>
      <c r="ALC282" s="90"/>
      <c r="ALD282" s="90"/>
      <c r="ALE282" s="90"/>
      <c r="ALF282" s="90"/>
      <c r="ALG282" s="90"/>
      <c r="ALH282" s="90"/>
      <c r="ALI282" s="90"/>
      <c r="ALJ282" s="90"/>
      <c r="ALK282" s="90"/>
      <c r="ALL282" s="90"/>
      <c r="ALM282" s="90"/>
      <c r="ALN282" s="90"/>
      <c r="ALO282" s="90"/>
      <c r="ALP282" s="90"/>
      <c r="ALQ282" s="90"/>
      <c r="ALR282" s="90"/>
      <c r="ALS282" s="90"/>
      <c r="ALT282" s="90"/>
      <c r="ALU282" s="90"/>
      <c r="ALV282" s="90"/>
      <c r="ALW282" s="90"/>
      <c r="ALX282" s="90"/>
      <c r="ALY282" s="90"/>
      <c r="ALZ282" s="90"/>
      <c r="AMA282" s="90"/>
      <c r="AMB282" s="90"/>
      <c r="AMC282" s="90"/>
    </row>
    <row r="283" spans="1:1017">
      <c r="A283" s="98" t="s">
        <v>52</v>
      </c>
      <c r="B283" s="90" t="str">
        <f t="shared" si="1710"/>
        <v xml:space="preserve">Eucheuma cottonii </v>
      </c>
      <c r="Q283" s="91">
        <f t="shared" si="1711"/>
        <v>0</v>
      </c>
      <c r="R283" s="91">
        <f t="shared" si="1712"/>
        <v>0</v>
      </c>
      <c r="AG283" s="91">
        <f t="shared" si="1713"/>
        <v>0</v>
      </c>
      <c r="AH283" s="91">
        <f t="shared" si="1714"/>
        <v>0</v>
      </c>
      <c r="AW283" s="91">
        <f t="shared" si="1715"/>
        <v>0</v>
      </c>
      <c r="AX283" s="91">
        <f t="shared" si="1716"/>
        <v>0</v>
      </c>
      <c r="BM283" s="91">
        <f t="shared" si="1717"/>
        <v>0</v>
      </c>
      <c r="BN283" s="91">
        <f t="shared" si="1718"/>
        <v>0</v>
      </c>
      <c r="CC283" s="91">
        <f t="shared" si="1719"/>
        <v>0</v>
      </c>
      <c r="CD283" s="91">
        <f t="shared" si="1720"/>
        <v>0</v>
      </c>
      <c r="CS283" s="91">
        <f t="shared" si="1721"/>
        <v>0</v>
      </c>
      <c r="CT283" s="91">
        <f t="shared" si="1722"/>
        <v>0</v>
      </c>
      <c r="DI283" s="91">
        <f t="shared" si="1723"/>
        <v>0</v>
      </c>
      <c r="DJ283" s="91">
        <f t="shared" si="1724"/>
        <v>0</v>
      </c>
      <c r="DY283" s="91">
        <f t="shared" si="1725"/>
        <v>0</v>
      </c>
      <c r="DZ283" s="91">
        <f t="shared" si="1726"/>
        <v>0</v>
      </c>
      <c r="EO283" s="91">
        <f t="shared" si="1727"/>
        <v>0</v>
      </c>
      <c r="EP283" s="91">
        <f t="shared" si="1728"/>
        <v>0</v>
      </c>
      <c r="FE283" s="91">
        <f t="shared" si="1729"/>
        <v>0</v>
      </c>
      <c r="FF283" s="91">
        <f t="shared" si="1730"/>
        <v>0</v>
      </c>
      <c r="FU283" s="91">
        <f t="shared" si="1731"/>
        <v>0</v>
      </c>
      <c r="FV283" s="91">
        <f t="shared" si="1732"/>
        <v>0</v>
      </c>
      <c r="GK283" s="91">
        <f t="shared" si="1733"/>
        <v>0</v>
      </c>
      <c r="GL283" s="91">
        <f t="shared" si="1734"/>
        <v>0</v>
      </c>
      <c r="HA283" s="91">
        <f t="shared" si="1735"/>
        <v>0</v>
      </c>
      <c r="HB283" s="91">
        <f t="shared" si="1736"/>
        <v>0</v>
      </c>
      <c r="HQ283" s="91">
        <f t="shared" si="1737"/>
        <v>0</v>
      </c>
      <c r="HR283" s="91">
        <f t="shared" si="1738"/>
        <v>0</v>
      </c>
      <c r="IG283" s="91">
        <f t="shared" si="1739"/>
        <v>0</v>
      </c>
      <c r="IH283" s="91">
        <f t="shared" si="1740"/>
        <v>0</v>
      </c>
      <c r="IW283" s="91">
        <f t="shared" si="1741"/>
        <v>0</v>
      </c>
      <c r="IX283" s="91">
        <f t="shared" si="1742"/>
        <v>0</v>
      </c>
      <c r="JM283" s="91">
        <f t="shared" si="1743"/>
        <v>0</v>
      </c>
      <c r="JN283" s="91">
        <f t="shared" si="1744"/>
        <v>0</v>
      </c>
      <c r="KC283" s="91">
        <f t="shared" si="1745"/>
        <v>0</v>
      </c>
      <c r="KD283" s="91">
        <f t="shared" si="1746"/>
        <v>0</v>
      </c>
      <c r="KS283" s="91">
        <f t="shared" si="1747"/>
        <v>0</v>
      </c>
      <c r="KT283" s="91">
        <f t="shared" si="1748"/>
        <v>0</v>
      </c>
      <c r="LI283" s="91">
        <f t="shared" si="1749"/>
        <v>0</v>
      </c>
      <c r="LJ283" s="91">
        <f t="shared" si="1750"/>
        <v>0</v>
      </c>
      <c r="LY283" s="91">
        <f t="shared" si="1751"/>
        <v>0</v>
      </c>
      <c r="LZ283" s="91">
        <f t="shared" si="1752"/>
        <v>0</v>
      </c>
      <c r="MO283" s="91">
        <f t="shared" si="1753"/>
        <v>0</v>
      </c>
      <c r="MP283" s="91">
        <f t="shared" si="1754"/>
        <v>0</v>
      </c>
      <c r="NE283" s="91">
        <f t="shared" si="1755"/>
        <v>0</v>
      </c>
      <c r="NF283" s="91">
        <f t="shared" si="1756"/>
        <v>0</v>
      </c>
      <c r="NU283" s="91">
        <f t="shared" si="1757"/>
        <v>0</v>
      </c>
      <c r="NV283" s="91">
        <f t="shared" si="1758"/>
        <v>0</v>
      </c>
      <c r="NW283" s="98">
        <v>3200</v>
      </c>
      <c r="NX283" s="98">
        <v>16000</v>
      </c>
      <c r="OK283" s="91">
        <f t="shared" si="1759"/>
        <v>3200</v>
      </c>
      <c r="OL283" s="91">
        <f t="shared" si="1760"/>
        <v>16000</v>
      </c>
      <c r="OM283" s="98">
        <v>70426530</v>
      </c>
      <c r="ON283" s="98">
        <v>352132650</v>
      </c>
      <c r="PA283" s="91">
        <f t="shared" si="1761"/>
        <v>70426530</v>
      </c>
      <c r="PB283" s="91">
        <f t="shared" si="1762"/>
        <v>352132650</v>
      </c>
      <c r="PQ283" s="91">
        <f t="shared" si="1763"/>
        <v>0</v>
      </c>
      <c r="PR283" s="91">
        <f t="shared" si="1764"/>
        <v>0</v>
      </c>
      <c r="QG283" s="91">
        <f t="shared" si="1765"/>
        <v>0</v>
      </c>
      <c r="QH283" s="91">
        <f t="shared" si="1766"/>
        <v>0</v>
      </c>
      <c r="QW283" s="91">
        <f t="shared" si="1767"/>
        <v>0</v>
      </c>
      <c r="QX283" s="91">
        <f t="shared" si="1768"/>
        <v>0</v>
      </c>
      <c r="RM283" s="91">
        <f t="shared" si="1769"/>
        <v>0</v>
      </c>
      <c r="RN283" s="91">
        <f t="shared" si="1770"/>
        <v>0</v>
      </c>
      <c r="SC283" s="91">
        <f t="shared" si="1771"/>
        <v>0</v>
      </c>
      <c r="SD283" s="91">
        <f t="shared" si="1772"/>
        <v>0</v>
      </c>
      <c r="SS283" s="91">
        <f t="shared" si="1773"/>
        <v>0</v>
      </c>
      <c r="ST283" s="91">
        <f t="shared" si="1774"/>
        <v>0</v>
      </c>
      <c r="TI283" s="91">
        <f t="shared" si="1775"/>
        <v>0</v>
      </c>
      <c r="TJ283" s="91">
        <f t="shared" si="1776"/>
        <v>0</v>
      </c>
      <c r="TY283" s="91">
        <f t="shared" si="1777"/>
        <v>0</v>
      </c>
      <c r="TZ283" s="91">
        <f t="shared" si="1778"/>
        <v>0</v>
      </c>
      <c r="UO283" s="91">
        <f t="shared" si="1779"/>
        <v>0</v>
      </c>
      <c r="UP283" s="91">
        <f t="shared" si="1780"/>
        <v>0</v>
      </c>
      <c r="VE283" s="91">
        <f t="shared" si="1781"/>
        <v>0</v>
      </c>
      <c r="VF283" s="91">
        <f t="shared" si="1782"/>
        <v>0</v>
      </c>
      <c r="VU283" s="91">
        <f t="shared" si="1783"/>
        <v>0</v>
      </c>
      <c r="VV283" s="91">
        <f t="shared" si="1784"/>
        <v>0</v>
      </c>
      <c r="WK283" s="91">
        <f t="shared" si="1785"/>
        <v>0</v>
      </c>
      <c r="WL283" s="91">
        <f t="shared" si="1786"/>
        <v>0</v>
      </c>
      <c r="WM283" s="89"/>
      <c r="WN283" s="87">
        <f t="shared" si="1787"/>
        <v>70429730</v>
      </c>
      <c r="WO283" s="87">
        <f t="shared" si="1788"/>
        <v>352148650</v>
      </c>
      <c r="WP283" s="87">
        <f t="shared" si="1789"/>
        <v>0</v>
      </c>
      <c r="WQ283" s="87">
        <f t="shared" si="1790"/>
        <v>0</v>
      </c>
      <c r="WR283" s="87">
        <f t="shared" si="1791"/>
        <v>0</v>
      </c>
      <c r="WS283" s="87">
        <f t="shared" si="1792"/>
        <v>0</v>
      </c>
      <c r="WT283" s="87">
        <f t="shared" si="1793"/>
        <v>0</v>
      </c>
      <c r="WU283" s="87">
        <f t="shared" si="1794"/>
        <v>0</v>
      </c>
      <c r="WV283" s="87">
        <f t="shared" si="1795"/>
        <v>0</v>
      </c>
      <c r="WW283" s="87">
        <f t="shared" si="1796"/>
        <v>0</v>
      </c>
      <c r="WX283" s="87">
        <f t="shared" si="1797"/>
        <v>0</v>
      </c>
      <c r="WY283" s="87">
        <f t="shared" si="1798"/>
        <v>0</v>
      </c>
      <c r="WZ283" s="87">
        <f t="shared" si="1799"/>
        <v>0</v>
      </c>
      <c r="XA283" s="87">
        <f t="shared" si="1800"/>
        <v>0</v>
      </c>
      <c r="XB283" s="92">
        <f t="shared" si="1801"/>
        <v>70429730</v>
      </c>
      <c r="XC283" s="92">
        <f t="shared" si="1802"/>
        <v>352148650</v>
      </c>
      <c r="XD283" s="89"/>
      <c r="XE283" s="92"/>
      <c r="XF283" s="92"/>
      <c r="XG283" s="89"/>
      <c r="XH283" s="92"/>
      <c r="XI283" s="92"/>
      <c r="XJ283" s="89"/>
      <c r="XK283" s="87"/>
      <c r="XL283" s="87"/>
      <c r="XM283" s="87"/>
      <c r="XN283" s="87"/>
      <c r="XO283" s="87"/>
      <c r="XP283" s="87"/>
      <c r="XQ283" s="87"/>
      <c r="XR283" s="92">
        <f t="shared" ca="1" si="1803"/>
        <v>0</v>
      </c>
      <c r="XS283" s="89"/>
      <c r="XT283" s="87"/>
      <c r="XU283" s="87"/>
      <c r="XV283" s="87"/>
      <c r="XW283" s="87"/>
      <c r="XX283" s="87"/>
      <c r="XY283" s="87"/>
      <c r="XZ283" s="87"/>
      <c r="YA283" s="92">
        <f t="shared" ca="1" si="1804"/>
        <v>0</v>
      </c>
      <c r="YB283" s="90"/>
      <c r="YC283" s="90"/>
      <c r="YD283" s="90"/>
      <c r="YE283" s="90"/>
      <c r="YF283" s="90"/>
      <c r="YG283" s="90"/>
      <c r="YH283" s="90"/>
      <c r="YI283" s="90"/>
      <c r="YJ283" s="90"/>
      <c r="YK283" s="90"/>
      <c r="YL283" s="90"/>
      <c r="YM283" s="90"/>
      <c r="YN283" s="90"/>
      <c r="YO283" s="90"/>
      <c r="YP283" s="90"/>
      <c r="YQ283" s="90"/>
      <c r="YR283" s="90"/>
      <c r="YS283" s="90"/>
      <c r="YT283" s="90"/>
      <c r="YU283" s="90"/>
      <c r="YV283" s="90"/>
      <c r="YW283" s="90"/>
      <c r="YX283" s="90"/>
      <c r="YY283" s="90"/>
      <c r="YZ283" s="90"/>
      <c r="ZA283" s="90"/>
      <c r="ZB283" s="90"/>
      <c r="ZC283" s="90"/>
      <c r="ZD283" s="90"/>
      <c r="ZE283" s="90"/>
      <c r="ZF283" s="90"/>
      <c r="ZG283" s="90"/>
      <c r="ZH283" s="90"/>
      <c r="ZI283" s="90"/>
      <c r="ZJ283" s="90"/>
      <c r="ZK283" s="90"/>
      <c r="ZL283" s="90"/>
      <c r="ZM283" s="90"/>
      <c r="ZN283" s="90"/>
      <c r="ZO283" s="90"/>
      <c r="ZP283" s="90"/>
      <c r="ZQ283" s="90"/>
      <c r="ZR283" s="90"/>
      <c r="ZS283" s="90"/>
      <c r="ZT283" s="90"/>
      <c r="ZU283" s="90"/>
      <c r="ZV283" s="90"/>
      <c r="ZW283" s="90"/>
      <c r="ZX283" s="90"/>
      <c r="ZY283" s="90"/>
      <c r="ZZ283" s="90"/>
      <c r="AAA283" s="90"/>
      <c r="AAB283" s="90"/>
      <c r="AAC283" s="90"/>
      <c r="AAD283" s="90"/>
      <c r="AAE283" s="90"/>
      <c r="AAF283" s="90"/>
      <c r="AAG283" s="90"/>
      <c r="AAH283" s="90"/>
      <c r="AAI283" s="90"/>
      <c r="AAJ283" s="90"/>
      <c r="AAK283" s="90"/>
      <c r="AAL283" s="90"/>
      <c r="AAM283" s="90"/>
      <c r="AAN283" s="90"/>
      <c r="AAO283" s="90"/>
      <c r="AAP283" s="90"/>
      <c r="AAQ283" s="90"/>
      <c r="AAR283" s="90"/>
      <c r="AAS283" s="90"/>
      <c r="AAT283" s="90"/>
      <c r="AAU283" s="90"/>
      <c r="AAV283" s="90"/>
      <c r="AAW283" s="90"/>
      <c r="AAX283" s="90"/>
      <c r="AAY283" s="90"/>
      <c r="AAZ283" s="90"/>
      <c r="ABA283" s="90"/>
      <c r="ABB283" s="90"/>
      <c r="ABC283" s="90"/>
      <c r="ABD283" s="90"/>
      <c r="ABE283" s="90"/>
      <c r="ABF283" s="90"/>
      <c r="ABG283" s="90"/>
      <c r="ABH283" s="90"/>
      <c r="ABI283" s="90"/>
      <c r="ABJ283" s="90"/>
      <c r="ABK283" s="90"/>
      <c r="ABL283" s="90"/>
      <c r="ABM283" s="90"/>
      <c r="ABN283" s="90"/>
      <c r="ABO283" s="90"/>
      <c r="ABP283" s="90"/>
      <c r="ABQ283" s="90"/>
      <c r="ABR283" s="90"/>
      <c r="ABS283" s="90"/>
      <c r="ABT283" s="90"/>
      <c r="ABU283" s="90"/>
      <c r="ABV283" s="90"/>
      <c r="ABW283" s="90"/>
      <c r="ABX283" s="90"/>
      <c r="ABY283" s="90"/>
      <c r="ABZ283" s="90"/>
      <c r="ACA283" s="90"/>
      <c r="ACB283" s="90"/>
      <c r="ACC283" s="90"/>
      <c r="ACD283" s="90"/>
      <c r="ACE283" s="90"/>
      <c r="ACF283" s="90"/>
      <c r="ACG283" s="90"/>
      <c r="ACH283" s="90"/>
      <c r="ACI283" s="90"/>
      <c r="ACJ283" s="90"/>
      <c r="ACK283" s="90"/>
      <c r="ACL283" s="90"/>
      <c r="ACM283" s="90"/>
      <c r="ACN283" s="90"/>
      <c r="ACO283" s="90"/>
      <c r="ACP283" s="90"/>
      <c r="ACQ283" s="90"/>
      <c r="ACR283" s="90"/>
      <c r="ACS283" s="90"/>
      <c r="ACT283" s="90"/>
      <c r="ACU283" s="90"/>
      <c r="ACV283" s="90"/>
      <c r="ACW283" s="90"/>
      <c r="ACX283" s="90"/>
      <c r="ACY283" s="90"/>
      <c r="ACZ283" s="90"/>
      <c r="ADA283" s="90"/>
      <c r="ADB283" s="90"/>
      <c r="ADC283" s="90"/>
      <c r="ADD283" s="90"/>
      <c r="ADE283" s="90"/>
      <c r="ADF283" s="90"/>
      <c r="ADG283" s="90"/>
      <c r="ADH283" s="90"/>
      <c r="ADI283" s="90"/>
      <c r="ADJ283" s="90"/>
      <c r="ADK283" s="90"/>
      <c r="ADL283" s="90"/>
      <c r="ADM283" s="90"/>
      <c r="ADN283" s="90"/>
      <c r="ADO283" s="90"/>
      <c r="ADP283" s="90"/>
      <c r="ADQ283" s="90"/>
      <c r="ADR283" s="90"/>
      <c r="ADS283" s="90"/>
      <c r="ADT283" s="90"/>
      <c r="ADU283" s="90"/>
      <c r="ADV283" s="90"/>
      <c r="ADW283" s="90"/>
      <c r="ADX283" s="90"/>
      <c r="ADY283" s="90"/>
      <c r="ADZ283" s="90"/>
      <c r="AEA283" s="90"/>
      <c r="AEB283" s="90"/>
      <c r="AEC283" s="90"/>
      <c r="AED283" s="90"/>
      <c r="AEE283" s="90"/>
      <c r="AEF283" s="90"/>
      <c r="AEG283" s="90"/>
      <c r="AEH283" s="90"/>
      <c r="AEI283" s="90"/>
      <c r="AEJ283" s="90"/>
      <c r="AEK283" s="90"/>
      <c r="AEL283" s="90"/>
      <c r="AEM283" s="90"/>
      <c r="AEN283" s="90"/>
      <c r="AEO283" s="90"/>
      <c r="AEP283" s="90"/>
      <c r="AEQ283" s="90"/>
      <c r="AER283" s="90"/>
      <c r="AES283" s="90"/>
      <c r="AET283" s="90"/>
      <c r="AEU283" s="90"/>
      <c r="AEV283" s="90"/>
      <c r="AEW283" s="90"/>
      <c r="AEX283" s="90"/>
      <c r="AEY283" s="90"/>
      <c r="AEZ283" s="90"/>
      <c r="AFA283" s="90"/>
      <c r="AFB283" s="90"/>
      <c r="AFC283" s="90"/>
      <c r="AFD283" s="90"/>
      <c r="AFE283" s="90"/>
      <c r="AFF283" s="90"/>
      <c r="AFG283" s="90"/>
      <c r="AFH283" s="90"/>
      <c r="AFI283" s="90"/>
      <c r="AFJ283" s="90"/>
      <c r="AFK283" s="90"/>
      <c r="AFL283" s="90"/>
      <c r="AFM283" s="90"/>
      <c r="AFN283" s="90"/>
      <c r="AFO283" s="90"/>
      <c r="AFP283" s="90"/>
      <c r="AFQ283" s="90"/>
      <c r="AFR283" s="90"/>
      <c r="AFS283" s="90"/>
      <c r="AFT283" s="90"/>
      <c r="AFU283" s="90"/>
      <c r="AFV283" s="90"/>
      <c r="AFW283" s="90"/>
      <c r="AFX283" s="90"/>
      <c r="AFY283" s="90"/>
      <c r="AFZ283" s="90"/>
      <c r="AGA283" s="90"/>
      <c r="AGB283" s="90"/>
      <c r="AGC283" s="90"/>
      <c r="AGD283" s="90"/>
      <c r="AGE283" s="90"/>
      <c r="AGF283" s="90"/>
      <c r="AGG283" s="90"/>
      <c r="AGH283" s="90"/>
      <c r="AGI283" s="90"/>
      <c r="AGJ283" s="90"/>
      <c r="AGK283" s="90"/>
      <c r="AGL283" s="90"/>
      <c r="AGM283" s="90"/>
      <c r="AGN283" s="90"/>
      <c r="AGO283" s="90"/>
      <c r="AGP283" s="90"/>
      <c r="AGQ283" s="90"/>
      <c r="AGR283" s="90"/>
      <c r="AGS283" s="90"/>
      <c r="AGT283" s="90"/>
      <c r="AGU283" s="90"/>
      <c r="AGV283" s="90"/>
      <c r="AGW283" s="90"/>
      <c r="AGX283" s="90"/>
      <c r="AGY283" s="90"/>
      <c r="AGZ283" s="90"/>
      <c r="AHA283" s="90"/>
      <c r="AHB283" s="90"/>
      <c r="AHC283" s="90"/>
      <c r="AHD283" s="90"/>
      <c r="AHE283" s="90"/>
      <c r="AHF283" s="90"/>
      <c r="AHG283" s="90"/>
      <c r="AHH283" s="90"/>
      <c r="AHI283" s="90"/>
      <c r="AHJ283" s="90"/>
      <c r="AHK283" s="90"/>
      <c r="AHL283" s="90"/>
      <c r="AHM283" s="90"/>
      <c r="AHN283" s="90"/>
      <c r="AHO283" s="90"/>
      <c r="AHP283" s="90"/>
      <c r="AHQ283" s="90"/>
      <c r="AHR283" s="90"/>
      <c r="AHS283" s="90"/>
      <c r="AHT283" s="90"/>
      <c r="AHU283" s="90"/>
      <c r="AHV283" s="90"/>
      <c r="AHW283" s="90"/>
      <c r="AHX283" s="90"/>
      <c r="AHY283" s="90"/>
      <c r="AHZ283" s="90"/>
      <c r="AIA283" s="90"/>
      <c r="AIB283" s="90"/>
      <c r="AIC283" s="90"/>
      <c r="AID283" s="90"/>
      <c r="AIE283" s="90"/>
      <c r="AIF283" s="90"/>
      <c r="AIG283" s="90"/>
      <c r="AIH283" s="90"/>
      <c r="AII283" s="90"/>
      <c r="AIJ283" s="90"/>
      <c r="AIK283" s="90"/>
      <c r="AIL283" s="90"/>
      <c r="AIM283" s="90"/>
      <c r="AIN283" s="90"/>
      <c r="AIO283" s="90"/>
      <c r="AIP283" s="90"/>
      <c r="AIQ283" s="90"/>
      <c r="AIR283" s="90"/>
      <c r="AIS283" s="90"/>
      <c r="AIT283" s="90"/>
      <c r="AIU283" s="90"/>
      <c r="AIV283" s="90"/>
      <c r="AIW283" s="90"/>
      <c r="AIX283" s="90"/>
      <c r="AIY283" s="90"/>
      <c r="AIZ283" s="90"/>
      <c r="AJA283" s="90"/>
      <c r="AJB283" s="90"/>
      <c r="AJC283" s="90"/>
      <c r="AJD283" s="90"/>
      <c r="AJE283" s="90"/>
      <c r="AJF283" s="90"/>
      <c r="AJG283" s="90"/>
      <c r="AJH283" s="90"/>
      <c r="AJI283" s="90"/>
      <c r="AJJ283" s="90"/>
      <c r="AJK283" s="90"/>
      <c r="AJL283" s="90"/>
      <c r="AJM283" s="90"/>
      <c r="AJN283" s="90"/>
      <c r="AJO283" s="90"/>
      <c r="AJP283" s="90"/>
      <c r="AJQ283" s="90"/>
      <c r="AJR283" s="90"/>
      <c r="AJS283" s="90"/>
      <c r="AJT283" s="90"/>
      <c r="AJU283" s="90"/>
      <c r="AJV283" s="90"/>
      <c r="AJW283" s="90"/>
      <c r="AJX283" s="90"/>
      <c r="AJY283" s="90"/>
      <c r="AJZ283" s="90"/>
      <c r="AKA283" s="90"/>
      <c r="AKB283" s="90"/>
      <c r="AKC283" s="90"/>
      <c r="AKD283" s="90"/>
      <c r="AKE283" s="90"/>
      <c r="AKF283" s="90"/>
      <c r="AKG283" s="90"/>
      <c r="AKH283" s="90"/>
      <c r="AKI283" s="90"/>
      <c r="AKJ283" s="90"/>
      <c r="AKK283" s="90"/>
      <c r="AKL283" s="90"/>
      <c r="AKM283" s="90"/>
      <c r="AKN283" s="90"/>
      <c r="AKO283" s="90"/>
      <c r="AKP283" s="90"/>
      <c r="AKQ283" s="90"/>
      <c r="AKR283" s="90"/>
      <c r="AKS283" s="90"/>
      <c r="AKT283" s="90"/>
      <c r="AKU283" s="90"/>
      <c r="AKV283" s="90"/>
      <c r="AKW283" s="90"/>
      <c r="AKX283" s="90"/>
      <c r="AKY283" s="90"/>
      <c r="AKZ283" s="90"/>
      <c r="ALA283" s="90"/>
      <c r="ALB283" s="90"/>
      <c r="ALC283" s="90"/>
      <c r="ALD283" s="90"/>
      <c r="ALE283" s="90"/>
      <c r="ALF283" s="90"/>
      <c r="ALG283" s="90"/>
      <c r="ALH283" s="90"/>
      <c r="ALI283" s="90"/>
      <c r="ALJ283" s="90"/>
      <c r="ALK283" s="90"/>
      <c r="ALL283" s="90"/>
      <c r="ALM283" s="90"/>
      <c r="ALN283" s="90"/>
      <c r="ALO283" s="90"/>
      <c r="ALP283" s="90"/>
      <c r="ALQ283" s="90"/>
      <c r="ALR283" s="90"/>
      <c r="ALS283" s="90"/>
      <c r="ALT283" s="90"/>
      <c r="ALU283" s="90"/>
      <c r="ALV283" s="90"/>
      <c r="ALW283" s="90"/>
      <c r="ALX283" s="90"/>
      <c r="ALY283" s="90"/>
      <c r="ALZ283" s="90"/>
      <c r="AMA283" s="90"/>
      <c r="AMB283" s="90"/>
      <c r="AMC283" s="90"/>
    </row>
    <row r="284" spans="1:1017">
      <c r="A284" s="98" t="s">
        <v>52</v>
      </c>
      <c r="B284" s="90" t="str">
        <f t="shared" si="1710"/>
        <v xml:space="preserve">Gabus </v>
      </c>
      <c r="Q284" s="91">
        <f t="shared" si="1711"/>
        <v>0</v>
      </c>
      <c r="R284" s="91">
        <f t="shared" si="1712"/>
        <v>0</v>
      </c>
      <c r="Y284" s="98">
        <v>320</v>
      </c>
      <c r="Z284" s="98">
        <v>12800</v>
      </c>
      <c r="AG284" s="91">
        <f t="shared" si="1713"/>
        <v>320</v>
      </c>
      <c r="AH284" s="91">
        <f t="shared" si="1714"/>
        <v>12800</v>
      </c>
      <c r="AW284" s="91">
        <f t="shared" si="1715"/>
        <v>0</v>
      </c>
      <c r="AX284" s="91">
        <f t="shared" si="1716"/>
        <v>0</v>
      </c>
      <c r="BM284" s="91">
        <f t="shared" si="1717"/>
        <v>0</v>
      </c>
      <c r="BN284" s="91">
        <f t="shared" si="1718"/>
        <v>0</v>
      </c>
      <c r="CC284" s="91">
        <f t="shared" si="1719"/>
        <v>0</v>
      </c>
      <c r="CD284" s="91">
        <f t="shared" si="1720"/>
        <v>0</v>
      </c>
      <c r="CS284" s="91">
        <f t="shared" si="1721"/>
        <v>0</v>
      </c>
      <c r="CT284" s="91">
        <f t="shared" si="1722"/>
        <v>0</v>
      </c>
      <c r="DI284" s="91">
        <f t="shared" si="1723"/>
        <v>0</v>
      </c>
      <c r="DJ284" s="91">
        <f t="shared" si="1724"/>
        <v>0</v>
      </c>
      <c r="DY284" s="91">
        <f t="shared" si="1725"/>
        <v>0</v>
      </c>
      <c r="DZ284" s="91">
        <f t="shared" si="1726"/>
        <v>0</v>
      </c>
      <c r="EO284" s="91">
        <f t="shared" si="1727"/>
        <v>0</v>
      </c>
      <c r="EP284" s="91">
        <f t="shared" si="1728"/>
        <v>0</v>
      </c>
      <c r="EW284" s="98">
        <v>157</v>
      </c>
      <c r="EX284" s="98">
        <v>4710</v>
      </c>
      <c r="FE284" s="91">
        <f t="shared" si="1729"/>
        <v>157</v>
      </c>
      <c r="FF284" s="91">
        <f t="shared" si="1730"/>
        <v>4710</v>
      </c>
      <c r="FM284" s="98">
        <v>330</v>
      </c>
      <c r="FN284" s="98">
        <v>13200</v>
      </c>
      <c r="FU284" s="91">
        <f t="shared" si="1731"/>
        <v>330</v>
      </c>
      <c r="FV284" s="91">
        <f t="shared" si="1732"/>
        <v>13200</v>
      </c>
      <c r="GK284" s="91">
        <f t="shared" si="1733"/>
        <v>0</v>
      </c>
      <c r="GL284" s="91">
        <f t="shared" si="1734"/>
        <v>0</v>
      </c>
      <c r="HA284" s="91">
        <f t="shared" si="1735"/>
        <v>0</v>
      </c>
      <c r="HB284" s="91">
        <f t="shared" si="1736"/>
        <v>0</v>
      </c>
      <c r="HQ284" s="91">
        <f t="shared" si="1737"/>
        <v>0</v>
      </c>
      <c r="HR284" s="91">
        <f t="shared" si="1738"/>
        <v>0</v>
      </c>
      <c r="IG284" s="91">
        <f t="shared" si="1739"/>
        <v>0</v>
      </c>
      <c r="IH284" s="91">
        <f t="shared" si="1740"/>
        <v>0</v>
      </c>
      <c r="IW284" s="91">
        <f t="shared" si="1741"/>
        <v>0</v>
      </c>
      <c r="IX284" s="91">
        <f t="shared" si="1742"/>
        <v>0</v>
      </c>
      <c r="JM284" s="91">
        <f t="shared" si="1743"/>
        <v>0</v>
      </c>
      <c r="JN284" s="91">
        <f t="shared" si="1744"/>
        <v>0</v>
      </c>
      <c r="KC284" s="91">
        <f t="shared" si="1745"/>
        <v>0</v>
      </c>
      <c r="KD284" s="91">
        <f t="shared" si="1746"/>
        <v>0</v>
      </c>
      <c r="KS284" s="91">
        <f t="shared" si="1747"/>
        <v>0</v>
      </c>
      <c r="KT284" s="91">
        <f t="shared" si="1748"/>
        <v>0</v>
      </c>
      <c r="LI284" s="91">
        <f t="shared" si="1749"/>
        <v>0</v>
      </c>
      <c r="LJ284" s="91">
        <f t="shared" si="1750"/>
        <v>0</v>
      </c>
      <c r="LQ284" s="98">
        <v>115</v>
      </c>
      <c r="LR284" s="98">
        <v>6900</v>
      </c>
      <c r="LY284" s="91">
        <f t="shared" si="1751"/>
        <v>115</v>
      </c>
      <c r="LZ284" s="91">
        <f t="shared" si="1752"/>
        <v>6900</v>
      </c>
      <c r="MO284" s="91">
        <f t="shared" si="1753"/>
        <v>0</v>
      </c>
      <c r="MP284" s="91">
        <f t="shared" si="1754"/>
        <v>0</v>
      </c>
      <c r="NE284" s="91">
        <f t="shared" si="1755"/>
        <v>0</v>
      </c>
      <c r="NF284" s="91">
        <f t="shared" si="1756"/>
        <v>0</v>
      </c>
      <c r="NU284" s="91">
        <f t="shared" si="1757"/>
        <v>0</v>
      </c>
      <c r="NV284" s="91">
        <f t="shared" si="1758"/>
        <v>0</v>
      </c>
      <c r="OK284" s="91">
        <f t="shared" si="1759"/>
        <v>0</v>
      </c>
      <c r="OL284" s="91">
        <f t="shared" si="1760"/>
        <v>0</v>
      </c>
      <c r="PA284" s="91">
        <f t="shared" si="1761"/>
        <v>0</v>
      </c>
      <c r="PB284" s="91">
        <f t="shared" si="1762"/>
        <v>0</v>
      </c>
      <c r="PQ284" s="91">
        <f t="shared" si="1763"/>
        <v>0</v>
      </c>
      <c r="PR284" s="91">
        <f t="shared" si="1764"/>
        <v>0</v>
      </c>
      <c r="PY284" s="98">
        <v>1150</v>
      </c>
      <c r="PZ284" s="98">
        <v>57500</v>
      </c>
      <c r="QG284" s="91">
        <f t="shared" si="1765"/>
        <v>1150</v>
      </c>
      <c r="QH284" s="91">
        <f t="shared" si="1766"/>
        <v>57500</v>
      </c>
      <c r="QO284" s="98">
        <v>5000</v>
      </c>
      <c r="QP284" s="98">
        <v>175000</v>
      </c>
      <c r="QW284" s="91">
        <f t="shared" si="1767"/>
        <v>5000</v>
      </c>
      <c r="QX284" s="91">
        <f t="shared" si="1768"/>
        <v>175000</v>
      </c>
      <c r="RM284" s="91">
        <f t="shared" si="1769"/>
        <v>0</v>
      </c>
      <c r="RN284" s="91">
        <f t="shared" si="1770"/>
        <v>0</v>
      </c>
      <c r="SC284" s="91">
        <f t="shared" si="1771"/>
        <v>0</v>
      </c>
      <c r="SD284" s="91">
        <f t="shared" si="1772"/>
        <v>0</v>
      </c>
      <c r="SS284" s="91">
        <f t="shared" si="1773"/>
        <v>0</v>
      </c>
      <c r="ST284" s="91">
        <f t="shared" si="1774"/>
        <v>0</v>
      </c>
      <c r="TI284" s="91">
        <f t="shared" si="1775"/>
        <v>0</v>
      </c>
      <c r="TJ284" s="91">
        <f t="shared" si="1776"/>
        <v>0</v>
      </c>
      <c r="TY284" s="91">
        <f t="shared" si="1777"/>
        <v>0</v>
      </c>
      <c r="TZ284" s="91">
        <f t="shared" si="1778"/>
        <v>0</v>
      </c>
      <c r="UO284" s="91">
        <f t="shared" si="1779"/>
        <v>0</v>
      </c>
      <c r="UP284" s="91">
        <f t="shared" si="1780"/>
        <v>0</v>
      </c>
      <c r="VE284" s="91">
        <f t="shared" si="1781"/>
        <v>0</v>
      </c>
      <c r="VF284" s="91">
        <f t="shared" si="1782"/>
        <v>0</v>
      </c>
      <c r="VU284" s="91">
        <f t="shared" si="1783"/>
        <v>0</v>
      </c>
      <c r="VV284" s="91">
        <f t="shared" si="1784"/>
        <v>0</v>
      </c>
      <c r="WK284" s="91">
        <f t="shared" si="1785"/>
        <v>0</v>
      </c>
      <c r="WL284" s="91">
        <f t="shared" si="1786"/>
        <v>0</v>
      </c>
      <c r="WM284" s="89"/>
      <c r="WN284" s="87">
        <f t="shared" si="1787"/>
        <v>0</v>
      </c>
      <c r="WO284" s="87">
        <f t="shared" si="1788"/>
        <v>0</v>
      </c>
      <c r="WP284" s="87">
        <f t="shared" si="1789"/>
        <v>0</v>
      </c>
      <c r="WQ284" s="87">
        <f t="shared" si="1790"/>
        <v>0</v>
      </c>
      <c r="WR284" s="87">
        <f t="shared" si="1791"/>
        <v>0</v>
      </c>
      <c r="WS284" s="87">
        <f t="shared" si="1792"/>
        <v>0</v>
      </c>
      <c r="WT284" s="87">
        <f t="shared" si="1793"/>
        <v>7072</v>
      </c>
      <c r="WU284" s="87">
        <f t="shared" si="1794"/>
        <v>270110</v>
      </c>
      <c r="WV284" s="87">
        <f t="shared" si="1795"/>
        <v>0</v>
      </c>
      <c r="WW284" s="87">
        <f t="shared" si="1796"/>
        <v>0</v>
      </c>
      <c r="WX284" s="87">
        <f t="shared" si="1797"/>
        <v>0</v>
      </c>
      <c r="WY284" s="87">
        <f t="shared" si="1798"/>
        <v>0</v>
      </c>
      <c r="WZ284" s="87">
        <f t="shared" si="1799"/>
        <v>0</v>
      </c>
      <c r="XA284" s="87">
        <f t="shared" si="1800"/>
        <v>0</v>
      </c>
      <c r="XB284" s="92">
        <f t="shared" si="1801"/>
        <v>7072</v>
      </c>
      <c r="XC284" s="92">
        <f t="shared" si="1802"/>
        <v>270110</v>
      </c>
      <c r="XD284" s="89"/>
      <c r="XE284" s="92"/>
      <c r="XF284" s="92"/>
      <c r="XG284" s="89"/>
      <c r="XH284" s="92"/>
      <c r="XI284" s="92"/>
      <c r="XJ284" s="89"/>
      <c r="XK284" s="87"/>
      <c r="XL284" s="87"/>
      <c r="XM284" s="87"/>
      <c r="XN284" s="87"/>
      <c r="XO284" s="87"/>
      <c r="XP284" s="87"/>
      <c r="XQ284" s="87"/>
      <c r="XR284" s="92">
        <f t="shared" ca="1" si="1803"/>
        <v>0</v>
      </c>
      <c r="XS284" s="89"/>
      <c r="XT284" s="87"/>
      <c r="XU284" s="87"/>
      <c r="XV284" s="87"/>
      <c r="XW284" s="87"/>
      <c r="XX284" s="87"/>
      <c r="XY284" s="87"/>
      <c r="XZ284" s="87"/>
      <c r="YA284" s="92">
        <f t="shared" ca="1" si="1804"/>
        <v>0</v>
      </c>
      <c r="YB284" s="90"/>
      <c r="YC284" s="90"/>
      <c r="YD284" s="90"/>
      <c r="YE284" s="90"/>
      <c r="YF284" s="90"/>
      <c r="YG284" s="90"/>
      <c r="YH284" s="90"/>
      <c r="YI284" s="90"/>
      <c r="YJ284" s="90"/>
      <c r="YK284" s="90"/>
      <c r="YL284" s="90"/>
      <c r="YM284" s="90"/>
      <c r="YN284" s="90"/>
      <c r="YO284" s="90"/>
      <c r="YP284" s="90"/>
      <c r="YQ284" s="90"/>
      <c r="YR284" s="90"/>
      <c r="YS284" s="90"/>
      <c r="YT284" s="90"/>
      <c r="YU284" s="90"/>
      <c r="YV284" s="90"/>
      <c r="YW284" s="90"/>
      <c r="YX284" s="90"/>
      <c r="YY284" s="90"/>
      <c r="YZ284" s="90"/>
      <c r="ZA284" s="90"/>
      <c r="ZB284" s="90"/>
      <c r="ZC284" s="90"/>
      <c r="ZD284" s="90"/>
      <c r="ZE284" s="90"/>
      <c r="ZF284" s="90"/>
      <c r="ZG284" s="90"/>
      <c r="ZH284" s="90"/>
      <c r="ZI284" s="90"/>
      <c r="ZJ284" s="90"/>
      <c r="ZK284" s="90"/>
      <c r="ZL284" s="90"/>
      <c r="ZM284" s="90"/>
      <c r="ZN284" s="90"/>
      <c r="ZO284" s="90"/>
      <c r="ZP284" s="90"/>
      <c r="ZQ284" s="90"/>
      <c r="ZR284" s="90"/>
      <c r="ZS284" s="90"/>
      <c r="ZT284" s="90"/>
      <c r="ZU284" s="90"/>
      <c r="ZV284" s="90"/>
      <c r="ZW284" s="90"/>
      <c r="ZX284" s="90"/>
      <c r="ZY284" s="90"/>
      <c r="ZZ284" s="90"/>
      <c r="AAA284" s="90"/>
      <c r="AAB284" s="90"/>
      <c r="AAC284" s="90"/>
      <c r="AAD284" s="90"/>
      <c r="AAE284" s="90"/>
      <c r="AAF284" s="90"/>
      <c r="AAG284" s="90"/>
      <c r="AAH284" s="90"/>
      <c r="AAI284" s="90"/>
      <c r="AAJ284" s="90"/>
      <c r="AAK284" s="90"/>
      <c r="AAL284" s="90"/>
      <c r="AAM284" s="90"/>
      <c r="AAN284" s="90"/>
      <c r="AAO284" s="90"/>
      <c r="AAP284" s="90"/>
      <c r="AAQ284" s="90"/>
      <c r="AAR284" s="90"/>
      <c r="AAS284" s="90"/>
      <c r="AAT284" s="90"/>
      <c r="AAU284" s="90"/>
      <c r="AAV284" s="90"/>
      <c r="AAW284" s="90"/>
      <c r="AAX284" s="90"/>
      <c r="AAY284" s="90"/>
      <c r="AAZ284" s="90"/>
      <c r="ABA284" s="90"/>
      <c r="ABB284" s="90"/>
      <c r="ABC284" s="90"/>
      <c r="ABD284" s="90"/>
      <c r="ABE284" s="90"/>
      <c r="ABF284" s="90"/>
      <c r="ABG284" s="90"/>
      <c r="ABH284" s="90"/>
      <c r="ABI284" s="90"/>
      <c r="ABJ284" s="90"/>
      <c r="ABK284" s="90"/>
      <c r="ABL284" s="90"/>
      <c r="ABM284" s="90"/>
      <c r="ABN284" s="90"/>
      <c r="ABO284" s="90"/>
      <c r="ABP284" s="90"/>
      <c r="ABQ284" s="90"/>
      <c r="ABR284" s="90"/>
      <c r="ABS284" s="90"/>
      <c r="ABT284" s="90"/>
      <c r="ABU284" s="90"/>
      <c r="ABV284" s="90"/>
      <c r="ABW284" s="90"/>
      <c r="ABX284" s="90"/>
      <c r="ABY284" s="90"/>
      <c r="ABZ284" s="90"/>
      <c r="ACA284" s="90"/>
      <c r="ACB284" s="90"/>
      <c r="ACC284" s="90"/>
      <c r="ACD284" s="90"/>
      <c r="ACE284" s="90"/>
      <c r="ACF284" s="90"/>
      <c r="ACG284" s="90"/>
      <c r="ACH284" s="90"/>
      <c r="ACI284" s="90"/>
      <c r="ACJ284" s="90"/>
      <c r="ACK284" s="90"/>
      <c r="ACL284" s="90"/>
      <c r="ACM284" s="90"/>
      <c r="ACN284" s="90"/>
      <c r="ACO284" s="90"/>
      <c r="ACP284" s="90"/>
      <c r="ACQ284" s="90"/>
      <c r="ACR284" s="90"/>
      <c r="ACS284" s="90"/>
      <c r="ACT284" s="90"/>
      <c r="ACU284" s="90"/>
      <c r="ACV284" s="90"/>
      <c r="ACW284" s="90"/>
      <c r="ACX284" s="90"/>
      <c r="ACY284" s="90"/>
      <c r="ACZ284" s="90"/>
      <c r="ADA284" s="90"/>
      <c r="ADB284" s="90"/>
      <c r="ADC284" s="90"/>
      <c r="ADD284" s="90"/>
      <c r="ADE284" s="90"/>
      <c r="ADF284" s="90"/>
      <c r="ADG284" s="90"/>
      <c r="ADH284" s="90"/>
      <c r="ADI284" s="90"/>
      <c r="ADJ284" s="90"/>
      <c r="ADK284" s="90"/>
      <c r="ADL284" s="90"/>
      <c r="ADM284" s="90"/>
      <c r="ADN284" s="90"/>
      <c r="ADO284" s="90"/>
      <c r="ADP284" s="90"/>
      <c r="ADQ284" s="90"/>
      <c r="ADR284" s="90"/>
      <c r="ADS284" s="90"/>
      <c r="ADT284" s="90"/>
      <c r="ADU284" s="90"/>
      <c r="ADV284" s="90"/>
      <c r="ADW284" s="90"/>
      <c r="ADX284" s="90"/>
      <c r="ADY284" s="90"/>
      <c r="ADZ284" s="90"/>
      <c r="AEA284" s="90"/>
      <c r="AEB284" s="90"/>
      <c r="AEC284" s="90"/>
      <c r="AED284" s="90"/>
      <c r="AEE284" s="90"/>
      <c r="AEF284" s="90"/>
      <c r="AEG284" s="90"/>
      <c r="AEH284" s="90"/>
      <c r="AEI284" s="90"/>
      <c r="AEJ284" s="90"/>
      <c r="AEK284" s="90"/>
      <c r="AEL284" s="90"/>
      <c r="AEM284" s="90"/>
      <c r="AEN284" s="90"/>
      <c r="AEO284" s="90"/>
      <c r="AEP284" s="90"/>
      <c r="AEQ284" s="90"/>
      <c r="AER284" s="90"/>
      <c r="AES284" s="90"/>
      <c r="AET284" s="90"/>
      <c r="AEU284" s="90"/>
      <c r="AEV284" s="90"/>
      <c r="AEW284" s="90"/>
      <c r="AEX284" s="90"/>
      <c r="AEY284" s="90"/>
      <c r="AEZ284" s="90"/>
      <c r="AFA284" s="90"/>
      <c r="AFB284" s="90"/>
      <c r="AFC284" s="90"/>
      <c r="AFD284" s="90"/>
      <c r="AFE284" s="90"/>
      <c r="AFF284" s="90"/>
      <c r="AFG284" s="90"/>
      <c r="AFH284" s="90"/>
      <c r="AFI284" s="90"/>
      <c r="AFJ284" s="90"/>
      <c r="AFK284" s="90"/>
      <c r="AFL284" s="90"/>
      <c r="AFM284" s="90"/>
      <c r="AFN284" s="90"/>
      <c r="AFO284" s="90"/>
      <c r="AFP284" s="90"/>
      <c r="AFQ284" s="90"/>
      <c r="AFR284" s="90"/>
      <c r="AFS284" s="90"/>
      <c r="AFT284" s="90"/>
      <c r="AFU284" s="90"/>
      <c r="AFV284" s="90"/>
      <c r="AFW284" s="90"/>
      <c r="AFX284" s="90"/>
      <c r="AFY284" s="90"/>
      <c r="AFZ284" s="90"/>
      <c r="AGA284" s="90"/>
      <c r="AGB284" s="90"/>
      <c r="AGC284" s="90"/>
      <c r="AGD284" s="90"/>
      <c r="AGE284" s="90"/>
      <c r="AGF284" s="90"/>
      <c r="AGG284" s="90"/>
      <c r="AGH284" s="90"/>
      <c r="AGI284" s="90"/>
      <c r="AGJ284" s="90"/>
      <c r="AGK284" s="90"/>
      <c r="AGL284" s="90"/>
      <c r="AGM284" s="90"/>
      <c r="AGN284" s="90"/>
      <c r="AGO284" s="90"/>
      <c r="AGP284" s="90"/>
      <c r="AGQ284" s="90"/>
      <c r="AGR284" s="90"/>
      <c r="AGS284" s="90"/>
      <c r="AGT284" s="90"/>
      <c r="AGU284" s="90"/>
      <c r="AGV284" s="90"/>
      <c r="AGW284" s="90"/>
      <c r="AGX284" s="90"/>
      <c r="AGY284" s="90"/>
      <c r="AGZ284" s="90"/>
      <c r="AHA284" s="90"/>
      <c r="AHB284" s="90"/>
      <c r="AHC284" s="90"/>
      <c r="AHD284" s="90"/>
      <c r="AHE284" s="90"/>
      <c r="AHF284" s="90"/>
      <c r="AHG284" s="90"/>
      <c r="AHH284" s="90"/>
      <c r="AHI284" s="90"/>
      <c r="AHJ284" s="90"/>
      <c r="AHK284" s="90"/>
      <c r="AHL284" s="90"/>
      <c r="AHM284" s="90"/>
      <c r="AHN284" s="90"/>
      <c r="AHO284" s="90"/>
      <c r="AHP284" s="90"/>
      <c r="AHQ284" s="90"/>
      <c r="AHR284" s="90"/>
      <c r="AHS284" s="90"/>
      <c r="AHT284" s="90"/>
      <c r="AHU284" s="90"/>
      <c r="AHV284" s="90"/>
      <c r="AHW284" s="90"/>
      <c r="AHX284" s="90"/>
      <c r="AHY284" s="90"/>
      <c r="AHZ284" s="90"/>
      <c r="AIA284" s="90"/>
      <c r="AIB284" s="90"/>
      <c r="AIC284" s="90"/>
      <c r="AID284" s="90"/>
      <c r="AIE284" s="90"/>
      <c r="AIF284" s="90"/>
      <c r="AIG284" s="90"/>
      <c r="AIH284" s="90"/>
      <c r="AII284" s="90"/>
      <c r="AIJ284" s="90"/>
      <c r="AIK284" s="90"/>
      <c r="AIL284" s="90"/>
      <c r="AIM284" s="90"/>
      <c r="AIN284" s="90"/>
      <c r="AIO284" s="90"/>
      <c r="AIP284" s="90"/>
      <c r="AIQ284" s="90"/>
      <c r="AIR284" s="90"/>
      <c r="AIS284" s="90"/>
      <c r="AIT284" s="90"/>
      <c r="AIU284" s="90"/>
      <c r="AIV284" s="90"/>
      <c r="AIW284" s="90"/>
      <c r="AIX284" s="90"/>
      <c r="AIY284" s="90"/>
      <c r="AIZ284" s="90"/>
      <c r="AJA284" s="90"/>
      <c r="AJB284" s="90"/>
      <c r="AJC284" s="90"/>
      <c r="AJD284" s="90"/>
      <c r="AJE284" s="90"/>
      <c r="AJF284" s="90"/>
      <c r="AJG284" s="90"/>
      <c r="AJH284" s="90"/>
      <c r="AJI284" s="90"/>
      <c r="AJJ284" s="90"/>
      <c r="AJK284" s="90"/>
      <c r="AJL284" s="90"/>
      <c r="AJM284" s="90"/>
      <c r="AJN284" s="90"/>
      <c r="AJO284" s="90"/>
      <c r="AJP284" s="90"/>
      <c r="AJQ284" s="90"/>
      <c r="AJR284" s="90"/>
      <c r="AJS284" s="90"/>
      <c r="AJT284" s="90"/>
      <c r="AJU284" s="90"/>
      <c r="AJV284" s="90"/>
      <c r="AJW284" s="90"/>
      <c r="AJX284" s="90"/>
      <c r="AJY284" s="90"/>
      <c r="AJZ284" s="90"/>
      <c r="AKA284" s="90"/>
      <c r="AKB284" s="90"/>
      <c r="AKC284" s="90"/>
      <c r="AKD284" s="90"/>
      <c r="AKE284" s="90"/>
      <c r="AKF284" s="90"/>
      <c r="AKG284" s="90"/>
      <c r="AKH284" s="90"/>
      <c r="AKI284" s="90"/>
      <c r="AKJ284" s="90"/>
      <c r="AKK284" s="90"/>
      <c r="AKL284" s="90"/>
      <c r="AKM284" s="90"/>
      <c r="AKN284" s="90"/>
      <c r="AKO284" s="90"/>
      <c r="AKP284" s="90"/>
      <c r="AKQ284" s="90"/>
      <c r="AKR284" s="90"/>
      <c r="AKS284" s="90"/>
      <c r="AKT284" s="90"/>
      <c r="AKU284" s="90"/>
      <c r="AKV284" s="90"/>
      <c r="AKW284" s="90"/>
      <c r="AKX284" s="90"/>
      <c r="AKY284" s="90"/>
      <c r="AKZ284" s="90"/>
      <c r="ALA284" s="90"/>
      <c r="ALB284" s="90"/>
      <c r="ALC284" s="90"/>
      <c r="ALD284" s="90"/>
      <c r="ALE284" s="90"/>
      <c r="ALF284" s="90"/>
      <c r="ALG284" s="90"/>
      <c r="ALH284" s="90"/>
      <c r="ALI284" s="90"/>
      <c r="ALJ284" s="90"/>
      <c r="ALK284" s="90"/>
      <c r="ALL284" s="90"/>
      <c r="ALM284" s="90"/>
      <c r="ALN284" s="90"/>
      <c r="ALO284" s="90"/>
      <c r="ALP284" s="90"/>
      <c r="ALQ284" s="90"/>
      <c r="ALR284" s="90"/>
      <c r="ALS284" s="90"/>
      <c r="ALT284" s="90"/>
      <c r="ALU284" s="90"/>
      <c r="ALV284" s="90"/>
      <c r="ALW284" s="90"/>
      <c r="ALX284" s="90"/>
      <c r="ALY284" s="90"/>
      <c r="ALZ284" s="90"/>
      <c r="AMA284" s="90"/>
      <c r="AMB284" s="90"/>
      <c r="AMC284" s="90"/>
    </row>
    <row r="285" spans="1:1017">
      <c r="A285" s="98" t="s">
        <v>52</v>
      </c>
      <c r="B285" s="90" t="str">
        <f t="shared" si="1710"/>
        <v xml:space="preserve">Gracilaria verrucosa </v>
      </c>
      <c r="Q285" s="91">
        <f t="shared" si="1711"/>
        <v>0</v>
      </c>
      <c r="R285" s="91">
        <f t="shared" si="1712"/>
        <v>0</v>
      </c>
      <c r="AG285" s="91">
        <f t="shared" si="1713"/>
        <v>0</v>
      </c>
      <c r="AH285" s="91">
        <f t="shared" si="1714"/>
        <v>0</v>
      </c>
      <c r="AW285" s="91">
        <f t="shared" si="1715"/>
        <v>0</v>
      </c>
      <c r="AX285" s="91">
        <f t="shared" si="1716"/>
        <v>0</v>
      </c>
      <c r="BM285" s="91">
        <f t="shared" si="1717"/>
        <v>0</v>
      </c>
      <c r="BN285" s="91">
        <f t="shared" si="1718"/>
        <v>0</v>
      </c>
      <c r="CC285" s="91">
        <f t="shared" si="1719"/>
        <v>0</v>
      </c>
      <c r="CD285" s="91">
        <f t="shared" si="1720"/>
        <v>0</v>
      </c>
      <c r="CG285" s="98">
        <v>434930</v>
      </c>
      <c r="CH285" s="98">
        <v>1304790</v>
      </c>
      <c r="CS285" s="91">
        <f t="shared" si="1721"/>
        <v>434930</v>
      </c>
      <c r="CT285" s="91">
        <f t="shared" si="1722"/>
        <v>1304790</v>
      </c>
      <c r="DI285" s="91">
        <f t="shared" si="1723"/>
        <v>0</v>
      </c>
      <c r="DJ285" s="91">
        <f t="shared" si="1724"/>
        <v>0</v>
      </c>
      <c r="DY285" s="91">
        <f t="shared" si="1725"/>
        <v>0</v>
      </c>
      <c r="DZ285" s="91">
        <f t="shared" si="1726"/>
        <v>0</v>
      </c>
      <c r="EO285" s="91">
        <f t="shared" si="1727"/>
        <v>0</v>
      </c>
      <c r="EP285" s="91">
        <f t="shared" si="1728"/>
        <v>0</v>
      </c>
      <c r="FE285" s="91">
        <f t="shared" si="1729"/>
        <v>0</v>
      </c>
      <c r="FF285" s="91">
        <f t="shared" si="1730"/>
        <v>0</v>
      </c>
      <c r="FU285" s="91">
        <f t="shared" si="1731"/>
        <v>0</v>
      </c>
      <c r="FV285" s="91">
        <f t="shared" si="1732"/>
        <v>0</v>
      </c>
      <c r="GK285" s="91">
        <f t="shared" si="1733"/>
        <v>0</v>
      </c>
      <c r="GL285" s="91">
        <f t="shared" si="1734"/>
        <v>0</v>
      </c>
      <c r="HA285" s="91">
        <f t="shared" si="1735"/>
        <v>0</v>
      </c>
      <c r="HB285" s="91">
        <f t="shared" si="1736"/>
        <v>0</v>
      </c>
      <c r="HQ285" s="91">
        <f t="shared" si="1737"/>
        <v>0</v>
      </c>
      <c r="HR285" s="91">
        <f t="shared" si="1738"/>
        <v>0</v>
      </c>
      <c r="IG285" s="91">
        <f t="shared" si="1739"/>
        <v>0</v>
      </c>
      <c r="IH285" s="91">
        <f t="shared" si="1740"/>
        <v>0</v>
      </c>
      <c r="IW285" s="91">
        <f t="shared" si="1741"/>
        <v>0</v>
      </c>
      <c r="IX285" s="91">
        <f t="shared" si="1742"/>
        <v>0</v>
      </c>
      <c r="JM285" s="91">
        <f t="shared" si="1743"/>
        <v>0</v>
      </c>
      <c r="JN285" s="91">
        <f t="shared" si="1744"/>
        <v>0</v>
      </c>
      <c r="KC285" s="91">
        <f t="shared" si="1745"/>
        <v>0</v>
      </c>
      <c r="KD285" s="91">
        <f t="shared" si="1746"/>
        <v>0</v>
      </c>
      <c r="KS285" s="91">
        <f t="shared" si="1747"/>
        <v>0</v>
      </c>
      <c r="KT285" s="91">
        <f t="shared" si="1748"/>
        <v>0</v>
      </c>
      <c r="KW285" s="98">
        <v>549295.9</v>
      </c>
      <c r="KX285" s="98">
        <v>823943</v>
      </c>
      <c r="LI285" s="91">
        <f t="shared" si="1749"/>
        <v>549295.9</v>
      </c>
      <c r="LJ285" s="91">
        <f t="shared" si="1750"/>
        <v>823943</v>
      </c>
      <c r="LY285" s="91">
        <f t="shared" si="1751"/>
        <v>0</v>
      </c>
      <c r="LZ285" s="91">
        <f t="shared" si="1752"/>
        <v>0</v>
      </c>
      <c r="MO285" s="91">
        <f t="shared" si="1753"/>
        <v>0</v>
      </c>
      <c r="MP285" s="91">
        <f t="shared" si="1754"/>
        <v>0</v>
      </c>
      <c r="NE285" s="91">
        <f t="shared" si="1755"/>
        <v>0</v>
      </c>
      <c r="NF285" s="91">
        <f t="shared" si="1756"/>
        <v>0</v>
      </c>
      <c r="NI285" s="98">
        <v>2300200</v>
      </c>
      <c r="NJ285" s="98">
        <v>5290460</v>
      </c>
      <c r="NU285" s="91">
        <f t="shared" si="1757"/>
        <v>2300200</v>
      </c>
      <c r="NV285" s="91">
        <f t="shared" si="1758"/>
        <v>5290460</v>
      </c>
      <c r="NY285" s="98">
        <v>6558</v>
      </c>
      <c r="NZ285" s="98">
        <v>19674</v>
      </c>
      <c r="OK285" s="91">
        <f t="shared" si="1759"/>
        <v>6558</v>
      </c>
      <c r="OL285" s="91">
        <f t="shared" si="1760"/>
        <v>19674</v>
      </c>
      <c r="PA285" s="91">
        <f t="shared" si="1761"/>
        <v>0</v>
      </c>
      <c r="PB285" s="91">
        <f t="shared" si="1762"/>
        <v>0</v>
      </c>
      <c r="PQ285" s="91">
        <f t="shared" si="1763"/>
        <v>0</v>
      </c>
      <c r="PR285" s="91">
        <f t="shared" si="1764"/>
        <v>0</v>
      </c>
      <c r="QG285" s="91">
        <f t="shared" si="1765"/>
        <v>0</v>
      </c>
      <c r="QH285" s="91">
        <f t="shared" si="1766"/>
        <v>0</v>
      </c>
      <c r="QW285" s="91">
        <f t="shared" si="1767"/>
        <v>0</v>
      </c>
      <c r="QX285" s="91">
        <f t="shared" si="1768"/>
        <v>0</v>
      </c>
      <c r="RM285" s="91">
        <f t="shared" si="1769"/>
        <v>0</v>
      </c>
      <c r="RN285" s="91">
        <f t="shared" si="1770"/>
        <v>0</v>
      </c>
      <c r="SC285" s="91">
        <f t="shared" si="1771"/>
        <v>0</v>
      </c>
      <c r="SD285" s="91">
        <f t="shared" si="1772"/>
        <v>0</v>
      </c>
      <c r="SS285" s="91">
        <f t="shared" si="1773"/>
        <v>0</v>
      </c>
      <c r="ST285" s="91">
        <f t="shared" si="1774"/>
        <v>0</v>
      </c>
      <c r="TI285" s="91">
        <f t="shared" si="1775"/>
        <v>0</v>
      </c>
      <c r="TJ285" s="91">
        <f t="shared" si="1776"/>
        <v>0</v>
      </c>
      <c r="TY285" s="91">
        <f t="shared" si="1777"/>
        <v>0</v>
      </c>
      <c r="TZ285" s="91">
        <f t="shared" si="1778"/>
        <v>0</v>
      </c>
      <c r="UO285" s="91">
        <f t="shared" si="1779"/>
        <v>0</v>
      </c>
      <c r="UP285" s="91">
        <f t="shared" si="1780"/>
        <v>0</v>
      </c>
      <c r="US285" s="98">
        <v>155500</v>
      </c>
      <c r="UT285" s="98">
        <v>124400</v>
      </c>
      <c r="VE285" s="91">
        <f t="shared" si="1781"/>
        <v>155500</v>
      </c>
      <c r="VF285" s="91">
        <f t="shared" si="1782"/>
        <v>124400</v>
      </c>
      <c r="VU285" s="91">
        <f t="shared" si="1783"/>
        <v>0</v>
      </c>
      <c r="VV285" s="91">
        <f t="shared" si="1784"/>
        <v>0</v>
      </c>
      <c r="WK285" s="91">
        <f t="shared" si="1785"/>
        <v>0</v>
      </c>
      <c r="WL285" s="91">
        <f t="shared" si="1786"/>
        <v>0</v>
      </c>
      <c r="WM285" s="89"/>
      <c r="WN285" s="87">
        <f t="shared" si="1787"/>
        <v>0</v>
      </c>
      <c r="WO285" s="87">
        <f t="shared" si="1788"/>
        <v>0</v>
      </c>
      <c r="WP285" s="87">
        <f t="shared" si="1789"/>
        <v>3446483.9</v>
      </c>
      <c r="WQ285" s="87">
        <f t="shared" si="1790"/>
        <v>7563267</v>
      </c>
      <c r="WR285" s="87">
        <f t="shared" si="1791"/>
        <v>0</v>
      </c>
      <c r="WS285" s="87">
        <f t="shared" si="1792"/>
        <v>0</v>
      </c>
      <c r="WT285" s="87">
        <f t="shared" si="1793"/>
        <v>0</v>
      </c>
      <c r="WU285" s="87">
        <f t="shared" si="1794"/>
        <v>0</v>
      </c>
      <c r="WV285" s="87">
        <f t="shared" si="1795"/>
        <v>0</v>
      </c>
      <c r="WW285" s="87">
        <f t="shared" si="1796"/>
        <v>0</v>
      </c>
      <c r="WX285" s="87">
        <f t="shared" si="1797"/>
        <v>0</v>
      </c>
      <c r="WY285" s="87">
        <f t="shared" si="1798"/>
        <v>0</v>
      </c>
      <c r="WZ285" s="87">
        <f t="shared" si="1799"/>
        <v>0</v>
      </c>
      <c r="XA285" s="87">
        <f t="shared" si="1800"/>
        <v>0</v>
      </c>
      <c r="XB285" s="92">
        <f t="shared" si="1801"/>
        <v>3446483.9</v>
      </c>
      <c r="XC285" s="92">
        <f t="shared" si="1802"/>
        <v>7563267</v>
      </c>
      <c r="XD285" s="89"/>
      <c r="XE285" s="92"/>
      <c r="XF285" s="92"/>
      <c r="XG285" s="89"/>
      <c r="XH285" s="92"/>
      <c r="XI285" s="92"/>
      <c r="XJ285" s="89"/>
      <c r="XK285" s="87"/>
      <c r="XL285" s="87"/>
      <c r="XM285" s="87"/>
      <c r="XN285" s="87"/>
      <c r="XO285" s="87"/>
      <c r="XP285" s="87"/>
      <c r="XQ285" s="87"/>
      <c r="XR285" s="92">
        <f t="shared" ca="1" si="1803"/>
        <v>0</v>
      </c>
      <c r="XS285" s="89"/>
      <c r="XT285" s="87"/>
      <c r="XU285" s="87"/>
      <c r="XV285" s="87"/>
      <c r="XW285" s="87"/>
      <c r="XX285" s="87"/>
      <c r="XY285" s="87"/>
      <c r="XZ285" s="87"/>
      <c r="YA285" s="92">
        <f t="shared" ca="1" si="1804"/>
        <v>0</v>
      </c>
      <c r="YB285" s="90"/>
      <c r="YC285" s="90"/>
      <c r="YD285" s="90"/>
      <c r="YE285" s="90"/>
      <c r="YF285" s="90"/>
      <c r="YG285" s="90"/>
      <c r="YH285" s="90"/>
      <c r="YI285" s="90"/>
      <c r="YJ285" s="90"/>
      <c r="YK285" s="90"/>
      <c r="YL285" s="90"/>
      <c r="YM285" s="90"/>
      <c r="YN285" s="90"/>
      <c r="YO285" s="90"/>
      <c r="YP285" s="90"/>
      <c r="YQ285" s="90"/>
      <c r="YR285" s="90"/>
      <c r="YS285" s="90"/>
      <c r="YT285" s="90"/>
      <c r="YU285" s="90"/>
      <c r="YV285" s="90"/>
      <c r="YW285" s="90"/>
      <c r="YX285" s="90"/>
      <c r="YY285" s="90"/>
      <c r="YZ285" s="90"/>
      <c r="ZA285" s="90"/>
      <c r="ZB285" s="90"/>
      <c r="ZC285" s="90"/>
      <c r="ZD285" s="90"/>
      <c r="ZE285" s="90"/>
      <c r="ZF285" s="90"/>
      <c r="ZG285" s="90"/>
      <c r="ZH285" s="90"/>
      <c r="ZI285" s="90"/>
      <c r="ZJ285" s="90"/>
      <c r="ZK285" s="90"/>
      <c r="ZL285" s="90"/>
      <c r="ZM285" s="90"/>
      <c r="ZN285" s="90"/>
      <c r="ZO285" s="90"/>
      <c r="ZP285" s="90"/>
      <c r="ZQ285" s="90"/>
      <c r="ZR285" s="90"/>
      <c r="ZS285" s="90"/>
      <c r="ZT285" s="90"/>
      <c r="ZU285" s="90"/>
      <c r="ZV285" s="90"/>
      <c r="ZW285" s="90"/>
      <c r="ZX285" s="90"/>
      <c r="ZY285" s="90"/>
      <c r="ZZ285" s="90"/>
      <c r="AAA285" s="90"/>
      <c r="AAB285" s="90"/>
      <c r="AAC285" s="90"/>
      <c r="AAD285" s="90"/>
      <c r="AAE285" s="90"/>
      <c r="AAF285" s="90"/>
      <c r="AAG285" s="90"/>
      <c r="AAH285" s="90"/>
      <c r="AAI285" s="90"/>
      <c r="AAJ285" s="90"/>
      <c r="AAK285" s="90"/>
      <c r="AAL285" s="90"/>
      <c r="AAM285" s="90"/>
      <c r="AAN285" s="90"/>
      <c r="AAO285" s="90"/>
      <c r="AAP285" s="90"/>
      <c r="AAQ285" s="90"/>
      <c r="AAR285" s="90"/>
      <c r="AAS285" s="90"/>
      <c r="AAT285" s="90"/>
      <c r="AAU285" s="90"/>
      <c r="AAV285" s="90"/>
      <c r="AAW285" s="90"/>
      <c r="AAX285" s="90"/>
      <c r="AAY285" s="90"/>
      <c r="AAZ285" s="90"/>
      <c r="ABA285" s="90"/>
      <c r="ABB285" s="90"/>
      <c r="ABC285" s="90"/>
      <c r="ABD285" s="90"/>
      <c r="ABE285" s="90"/>
      <c r="ABF285" s="90"/>
      <c r="ABG285" s="90"/>
      <c r="ABH285" s="90"/>
      <c r="ABI285" s="90"/>
      <c r="ABJ285" s="90"/>
      <c r="ABK285" s="90"/>
      <c r="ABL285" s="90"/>
      <c r="ABM285" s="90"/>
      <c r="ABN285" s="90"/>
      <c r="ABO285" s="90"/>
      <c r="ABP285" s="90"/>
      <c r="ABQ285" s="90"/>
      <c r="ABR285" s="90"/>
      <c r="ABS285" s="90"/>
      <c r="ABT285" s="90"/>
      <c r="ABU285" s="90"/>
      <c r="ABV285" s="90"/>
      <c r="ABW285" s="90"/>
      <c r="ABX285" s="90"/>
      <c r="ABY285" s="90"/>
      <c r="ABZ285" s="90"/>
      <c r="ACA285" s="90"/>
      <c r="ACB285" s="90"/>
      <c r="ACC285" s="90"/>
      <c r="ACD285" s="90"/>
      <c r="ACE285" s="90"/>
      <c r="ACF285" s="90"/>
      <c r="ACG285" s="90"/>
      <c r="ACH285" s="90"/>
      <c r="ACI285" s="90"/>
      <c r="ACJ285" s="90"/>
      <c r="ACK285" s="90"/>
      <c r="ACL285" s="90"/>
      <c r="ACM285" s="90"/>
      <c r="ACN285" s="90"/>
      <c r="ACO285" s="90"/>
      <c r="ACP285" s="90"/>
      <c r="ACQ285" s="90"/>
      <c r="ACR285" s="90"/>
      <c r="ACS285" s="90"/>
      <c r="ACT285" s="90"/>
      <c r="ACU285" s="90"/>
      <c r="ACV285" s="90"/>
      <c r="ACW285" s="90"/>
      <c r="ACX285" s="90"/>
      <c r="ACY285" s="90"/>
      <c r="ACZ285" s="90"/>
      <c r="ADA285" s="90"/>
      <c r="ADB285" s="90"/>
      <c r="ADC285" s="90"/>
      <c r="ADD285" s="90"/>
      <c r="ADE285" s="90"/>
      <c r="ADF285" s="90"/>
      <c r="ADG285" s="90"/>
      <c r="ADH285" s="90"/>
      <c r="ADI285" s="90"/>
      <c r="ADJ285" s="90"/>
      <c r="ADK285" s="90"/>
      <c r="ADL285" s="90"/>
      <c r="ADM285" s="90"/>
      <c r="ADN285" s="90"/>
      <c r="ADO285" s="90"/>
      <c r="ADP285" s="90"/>
      <c r="ADQ285" s="90"/>
      <c r="ADR285" s="90"/>
      <c r="ADS285" s="90"/>
      <c r="ADT285" s="90"/>
      <c r="ADU285" s="90"/>
      <c r="ADV285" s="90"/>
      <c r="ADW285" s="90"/>
      <c r="ADX285" s="90"/>
      <c r="ADY285" s="90"/>
      <c r="ADZ285" s="90"/>
      <c r="AEA285" s="90"/>
      <c r="AEB285" s="90"/>
      <c r="AEC285" s="90"/>
      <c r="AED285" s="90"/>
      <c r="AEE285" s="90"/>
      <c r="AEF285" s="90"/>
      <c r="AEG285" s="90"/>
      <c r="AEH285" s="90"/>
      <c r="AEI285" s="90"/>
      <c r="AEJ285" s="90"/>
      <c r="AEK285" s="90"/>
      <c r="AEL285" s="90"/>
      <c r="AEM285" s="90"/>
      <c r="AEN285" s="90"/>
      <c r="AEO285" s="90"/>
      <c r="AEP285" s="90"/>
      <c r="AEQ285" s="90"/>
      <c r="AER285" s="90"/>
      <c r="AES285" s="90"/>
      <c r="AET285" s="90"/>
      <c r="AEU285" s="90"/>
      <c r="AEV285" s="90"/>
      <c r="AEW285" s="90"/>
      <c r="AEX285" s="90"/>
      <c r="AEY285" s="90"/>
      <c r="AEZ285" s="90"/>
      <c r="AFA285" s="90"/>
      <c r="AFB285" s="90"/>
      <c r="AFC285" s="90"/>
      <c r="AFD285" s="90"/>
      <c r="AFE285" s="90"/>
      <c r="AFF285" s="90"/>
      <c r="AFG285" s="90"/>
      <c r="AFH285" s="90"/>
      <c r="AFI285" s="90"/>
      <c r="AFJ285" s="90"/>
      <c r="AFK285" s="90"/>
      <c r="AFL285" s="90"/>
      <c r="AFM285" s="90"/>
      <c r="AFN285" s="90"/>
      <c r="AFO285" s="90"/>
      <c r="AFP285" s="90"/>
      <c r="AFQ285" s="90"/>
      <c r="AFR285" s="90"/>
      <c r="AFS285" s="90"/>
      <c r="AFT285" s="90"/>
      <c r="AFU285" s="90"/>
      <c r="AFV285" s="90"/>
      <c r="AFW285" s="90"/>
      <c r="AFX285" s="90"/>
      <c r="AFY285" s="90"/>
      <c r="AFZ285" s="90"/>
      <c r="AGA285" s="90"/>
      <c r="AGB285" s="90"/>
      <c r="AGC285" s="90"/>
      <c r="AGD285" s="90"/>
      <c r="AGE285" s="90"/>
      <c r="AGF285" s="90"/>
      <c r="AGG285" s="90"/>
      <c r="AGH285" s="90"/>
      <c r="AGI285" s="90"/>
      <c r="AGJ285" s="90"/>
      <c r="AGK285" s="90"/>
      <c r="AGL285" s="90"/>
      <c r="AGM285" s="90"/>
      <c r="AGN285" s="90"/>
      <c r="AGO285" s="90"/>
      <c r="AGP285" s="90"/>
      <c r="AGQ285" s="90"/>
      <c r="AGR285" s="90"/>
      <c r="AGS285" s="90"/>
      <c r="AGT285" s="90"/>
      <c r="AGU285" s="90"/>
      <c r="AGV285" s="90"/>
      <c r="AGW285" s="90"/>
      <c r="AGX285" s="90"/>
      <c r="AGY285" s="90"/>
      <c r="AGZ285" s="90"/>
      <c r="AHA285" s="90"/>
      <c r="AHB285" s="90"/>
      <c r="AHC285" s="90"/>
      <c r="AHD285" s="90"/>
      <c r="AHE285" s="90"/>
      <c r="AHF285" s="90"/>
      <c r="AHG285" s="90"/>
      <c r="AHH285" s="90"/>
      <c r="AHI285" s="90"/>
      <c r="AHJ285" s="90"/>
      <c r="AHK285" s="90"/>
      <c r="AHL285" s="90"/>
      <c r="AHM285" s="90"/>
      <c r="AHN285" s="90"/>
      <c r="AHO285" s="90"/>
      <c r="AHP285" s="90"/>
      <c r="AHQ285" s="90"/>
      <c r="AHR285" s="90"/>
      <c r="AHS285" s="90"/>
      <c r="AHT285" s="90"/>
      <c r="AHU285" s="90"/>
      <c r="AHV285" s="90"/>
      <c r="AHW285" s="90"/>
      <c r="AHX285" s="90"/>
      <c r="AHY285" s="90"/>
      <c r="AHZ285" s="90"/>
      <c r="AIA285" s="90"/>
      <c r="AIB285" s="90"/>
      <c r="AIC285" s="90"/>
      <c r="AID285" s="90"/>
      <c r="AIE285" s="90"/>
      <c r="AIF285" s="90"/>
      <c r="AIG285" s="90"/>
      <c r="AIH285" s="90"/>
      <c r="AII285" s="90"/>
      <c r="AIJ285" s="90"/>
      <c r="AIK285" s="90"/>
      <c r="AIL285" s="90"/>
      <c r="AIM285" s="90"/>
      <c r="AIN285" s="90"/>
      <c r="AIO285" s="90"/>
      <c r="AIP285" s="90"/>
      <c r="AIQ285" s="90"/>
      <c r="AIR285" s="90"/>
      <c r="AIS285" s="90"/>
      <c r="AIT285" s="90"/>
      <c r="AIU285" s="90"/>
      <c r="AIV285" s="90"/>
      <c r="AIW285" s="90"/>
      <c r="AIX285" s="90"/>
      <c r="AIY285" s="90"/>
      <c r="AIZ285" s="90"/>
      <c r="AJA285" s="90"/>
      <c r="AJB285" s="90"/>
      <c r="AJC285" s="90"/>
      <c r="AJD285" s="90"/>
      <c r="AJE285" s="90"/>
      <c r="AJF285" s="90"/>
      <c r="AJG285" s="90"/>
      <c r="AJH285" s="90"/>
      <c r="AJI285" s="90"/>
      <c r="AJJ285" s="90"/>
      <c r="AJK285" s="90"/>
      <c r="AJL285" s="90"/>
      <c r="AJM285" s="90"/>
      <c r="AJN285" s="90"/>
      <c r="AJO285" s="90"/>
      <c r="AJP285" s="90"/>
      <c r="AJQ285" s="90"/>
      <c r="AJR285" s="90"/>
      <c r="AJS285" s="90"/>
      <c r="AJT285" s="90"/>
      <c r="AJU285" s="90"/>
      <c r="AJV285" s="90"/>
      <c r="AJW285" s="90"/>
      <c r="AJX285" s="90"/>
      <c r="AJY285" s="90"/>
      <c r="AJZ285" s="90"/>
      <c r="AKA285" s="90"/>
      <c r="AKB285" s="90"/>
      <c r="AKC285" s="90"/>
      <c r="AKD285" s="90"/>
      <c r="AKE285" s="90"/>
      <c r="AKF285" s="90"/>
      <c r="AKG285" s="90"/>
      <c r="AKH285" s="90"/>
      <c r="AKI285" s="90"/>
      <c r="AKJ285" s="90"/>
      <c r="AKK285" s="90"/>
      <c r="AKL285" s="90"/>
      <c r="AKM285" s="90"/>
      <c r="AKN285" s="90"/>
      <c r="AKO285" s="90"/>
      <c r="AKP285" s="90"/>
      <c r="AKQ285" s="90"/>
      <c r="AKR285" s="90"/>
      <c r="AKS285" s="90"/>
      <c r="AKT285" s="90"/>
      <c r="AKU285" s="90"/>
      <c r="AKV285" s="90"/>
      <c r="AKW285" s="90"/>
      <c r="AKX285" s="90"/>
      <c r="AKY285" s="90"/>
      <c r="AKZ285" s="90"/>
      <c r="ALA285" s="90"/>
      <c r="ALB285" s="90"/>
      <c r="ALC285" s="90"/>
      <c r="ALD285" s="90"/>
      <c r="ALE285" s="90"/>
      <c r="ALF285" s="90"/>
      <c r="ALG285" s="90"/>
      <c r="ALH285" s="90"/>
      <c r="ALI285" s="90"/>
      <c r="ALJ285" s="90"/>
      <c r="ALK285" s="90"/>
      <c r="ALL285" s="90"/>
      <c r="ALM285" s="90"/>
      <c r="ALN285" s="90"/>
      <c r="ALO285" s="90"/>
      <c r="ALP285" s="90"/>
      <c r="ALQ285" s="90"/>
      <c r="ALR285" s="90"/>
      <c r="ALS285" s="90"/>
      <c r="ALT285" s="90"/>
      <c r="ALU285" s="90"/>
      <c r="ALV285" s="90"/>
      <c r="ALW285" s="90"/>
      <c r="ALX285" s="90"/>
      <c r="ALY285" s="90"/>
      <c r="ALZ285" s="90"/>
      <c r="AMA285" s="90"/>
      <c r="AMB285" s="90"/>
      <c r="AMC285" s="90"/>
    </row>
    <row r="286" spans="1:1017">
      <c r="A286" s="98" t="s">
        <v>52</v>
      </c>
      <c r="B286" s="90" t="str">
        <f t="shared" si="1710"/>
        <v xml:space="preserve">Gurame, Gurami </v>
      </c>
      <c r="Q286" s="91">
        <f t="shared" si="1711"/>
        <v>0</v>
      </c>
      <c r="R286" s="91">
        <f t="shared" si="1712"/>
        <v>0</v>
      </c>
      <c r="Y286" s="98">
        <v>14150</v>
      </c>
      <c r="Z286" s="98">
        <v>495250</v>
      </c>
      <c r="AG286" s="91">
        <f t="shared" si="1713"/>
        <v>14150</v>
      </c>
      <c r="AH286" s="91">
        <f t="shared" si="1714"/>
        <v>495250</v>
      </c>
      <c r="AO286" s="98">
        <v>601500</v>
      </c>
      <c r="AP286" s="98">
        <v>17443500</v>
      </c>
      <c r="AW286" s="91">
        <f t="shared" si="1715"/>
        <v>601500</v>
      </c>
      <c r="AX286" s="91">
        <f t="shared" si="1716"/>
        <v>17443500</v>
      </c>
      <c r="BE286" s="98">
        <v>2563</v>
      </c>
      <c r="BF286" s="98">
        <v>76890</v>
      </c>
      <c r="BM286" s="91">
        <f t="shared" si="1717"/>
        <v>2563</v>
      </c>
      <c r="BN286" s="91">
        <f t="shared" si="1718"/>
        <v>76890</v>
      </c>
      <c r="BU286" s="98">
        <v>3362</v>
      </c>
      <c r="BV286" s="98">
        <v>127756</v>
      </c>
      <c r="CC286" s="91">
        <f t="shared" si="1719"/>
        <v>3362</v>
      </c>
      <c r="CD286" s="91">
        <f t="shared" si="1720"/>
        <v>127756</v>
      </c>
      <c r="CK286" s="98">
        <v>181</v>
      </c>
      <c r="CL286" s="98">
        <v>4534</v>
      </c>
      <c r="CS286" s="91">
        <f t="shared" si="1721"/>
        <v>181</v>
      </c>
      <c r="CT286" s="91">
        <f t="shared" si="1722"/>
        <v>4534</v>
      </c>
      <c r="DA286" s="98">
        <v>262590</v>
      </c>
      <c r="DB286" s="98">
        <v>8140290</v>
      </c>
      <c r="DI286" s="91">
        <f t="shared" si="1723"/>
        <v>262590</v>
      </c>
      <c r="DJ286" s="91">
        <f t="shared" si="1724"/>
        <v>8140290</v>
      </c>
      <c r="DQ286" s="98">
        <v>33500</v>
      </c>
      <c r="DR286" s="98">
        <v>1005000</v>
      </c>
      <c r="DY286" s="91">
        <f t="shared" si="1725"/>
        <v>33500</v>
      </c>
      <c r="DZ286" s="91">
        <f t="shared" si="1726"/>
        <v>1005000</v>
      </c>
      <c r="EG286" s="98">
        <v>210000</v>
      </c>
      <c r="EH286" s="98">
        <v>5880000</v>
      </c>
      <c r="EO286" s="91">
        <f t="shared" si="1727"/>
        <v>210000</v>
      </c>
      <c r="EP286" s="91">
        <f t="shared" si="1728"/>
        <v>5880000</v>
      </c>
      <c r="FE286" s="91">
        <f t="shared" si="1729"/>
        <v>0</v>
      </c>
      <c r="FF286" s="91">
        <f t="shared" si="1730"/>
        <v>0</v>
      </c>
      <c r="FM286" s="98">
        <v>67823</v>
      </c>
      <c r="FN286" s="98">
        <v>2373805</v>
      </c>
      <c r="FU286" s="91">
        <f t="shared" si="1731"/>
        <v>67823</v>
      </c>
      <c r="FV286" s="91">
        <f t="shared" si="1732"/>
        <v>2373805</v>
      </c>
      <c r="GC286" s="98">
        <v>29000</v>
      </c>
      <c r="GD286" s="98">
        <v>870000</v>
      </c>
      <c r="GK286" s="91">
        <f t="shared" si="1733"/>
        <v>29000</v>
      </c>
      <c r="GL286" s="91">
        <f t="shared" si="1734"/>
        <v>870000</v>
      </c>
      <c r="GS286" s="98">
        <v>6400</v>
      </c>
      <c r="GT286" s="98">
        <v>185600</v>
      </c>
      <c r="HA286" s="91">
        <f t="shared" si="1735"/>
        <v>6400</v>
      </c>
      <c r="HB286" s="91">
        <f t="shared" si="1736"/>
        <v>185600</v>
      </c>
      <c r="HI286" s="98">
        <v>4500</v>
      </c>
      <c r="HJ286" s="98">
        <v>135000</v>
      </c>
      <c r="HQ286" s="91">
        <f t="shared" si="1737"/>
        <v>4500</v>
      </c>
      <c r="HR286" s="91">
        <f t="shared" si="1738"/>
        <v>135000</v>
      </c>
      <c r="HY286" s="98">
        <v>2000</v>
      </c>
      <c r="HZ286" s="98">
        <v>64000</v>
      </c>
      <c r="IG286" s="91">
        <f t="shared" si="1739"/>
        <v>2000</v>
      </c>
      <c r="IH286" s="91">
        <f t="shared" si="1740"/>
        <v>64000</v>
      </c>
      <c r="IO286" s="98">
        <v>84380</v>
      </c>
      <c r="IP286" s="98">
        <v>2278260</v>
      </c>
      <c r="IW286" s="91">
        <f t="shared" si="1741"/>
        <v>84380</v>
      </c>
      <c r="IX286" s="91">
        <f t="shared" si="1742"/>
        <v>2278260</v>
      </c>
      <c r="JE286" s="98">
        <v>15460</v>
      </c>
      <c r="JF286" s="98">
        <v>463800</v>
      </c>
      <c r="JM286" s="91">
        <f t="shared" si="1743"/>
        <v>15460</v>
      </c>
      <c r="JN286" s="91">
        <f t="shared" si="1744"/>
        <v>463800</v>
      </c>
      <c r="KC286" s="91">
        <f t="shared" si="1745"/>
        <v>0</v>
      </c>
      <c r="KD286" s="91">
        <f t="shared" si="1746"/>
        <v>0</v>
      </c>
      <c r="KK286" s="98">
        <v>155</v>
      </c>
      <c r="KL286" s="98">
        <v>7750</v>
      </c>
      <c r="KS286" s="91">
        <f t="shared" si="1747"/>
        <v>155</v>
      </c>
      <c r="KT286" s="91">
        <f t="shared" si="1748"/>
        <v>7750</v>
      </c>
      <c r="LA286" s="98">
        <v>9104.0499999999993</v>
      </c>
      <c r="LB286" s="98">
        <v>318641</v>
      </c>
      <c r="LI286" s="91">
        <f t="shared" si="1749"/>
        <v>9104.0499999999993</v>
      </c>
      <c r="LJ286" s="91">
        <f t="shared" si="1750"/>
        <v>318641</v>
      </c>
      <c r="LQ286" s="98">
        <v>24949</v>
      </c>
      <c r="LR286" s="98">
        <v>748470</v>
      </c>
      <c r="LY286" s="91">
        <f t="shared" si="1751"/>
        <v>24949</v>
      </c>
      <c r="LZ286" s="91">
        <f t="shared" si="1752"/>
        <v>748470</v>
      </c>
      <c r="MG286" s="98">
        <v>60</v>
      </c>
      <c r="MH286" s="98">
        <v>1620</v>
      </c>
      <c r="MO286" s="91">
        <f t="shared" si="1753"/>
        <v>60</v>
      </c>
      <c r="MP286" s="91">
        <f t="shared" si="1754"/>
        <v>1620</v>
      </c>
      <c r="NE286" s="91">
        <f t="shared" si="1755"/>
        <v>0</v>
      </c>
      <c r="NF286" s="91">
        <f t="shared" si="1756"/>
        <v>0</v>
      </c>
      <c r="NM286" s="98">
        <v>15000</v>
      </c>
      <c r="NN286" s="98">
        <v>420000</v>
      </c>
      <c r="NQ286" s="98">
        <v>600</v>
      </c>
      <c r="NR286" s="98">
        <v>16800</v>
      </c>
      <c r="NU286" s="91">
        <f t="shared" si="1757"/>
        <v>15600</v>
      </c>
      <c r="NV286" s="91">
        <f t="shared" si="1758"/>
        <v>436800</v>
      </c>
      <c r="OC286" s="98">
        <v>250</v>
      </c>
      <c r="OD286" s="98">
        <v>10000</v>
      </c>
      <c r="OK286" s="91">
        <f t="shared" si="1759"/>
        <v>250</v>
      </c>
      <c r="OL286" s="91">
        <f t="shared" si="1760"/>
        <v>10000</v>
      </c>
      <c r="OS286" s="98">
        <v>865</v>
      </c>
      <c r="OT286" s="98">
        <v>43250</v>
      </c>
      <c r="PA286" s="91">
        <f t="shared" si="1761"/>
        <v>865</v>
      </c>
      <c r="PB286" s="91">
        <f t="shared" si="1762"/>
        <v>43250</v>
      </c>
      <c r="PI286" s="98">
        <v>21433</v>
      </c>
      <c r="PJ286" s="98">
        <v>471526</v>
      </c>
      <c r="PQ286" s="91">
        <f t="shared" si="1763"/>
        <v>21433</v>
      </c>
      <c r="PR286" s="91">
        <f t="shared" si="1764"/>
        <v>471526</v>
      </c>
      <c r="PY286" s="98">
        <v>893</v>
      </c>
      <c r="PZ286" s="98">
        <v>26790</v>
      </c>
      <c r="QG286" s="91">
        <f t="shared" si="1765"/>
        <v>893</v>
      </c>
      <c r="QH286" s="91">
        <f t="shared" si="1766"/>
        <v>26790</v>
      </c>
      <c r="QO286" s="98">
        <v>1740000</v>
      </c>
      <c r="QP286" s="98">
        <v>40020000</v>
      </c>
      <c r="QW286" s="91">
        <f t="shared" si="1767"/>
        <v>1740000</v>
      </c>
      <c r="QX286" s="91">
        <f t="shared" si="1768"/>
        <v>40020000</v>
      </c>
      <c r="RM286" s="91">
        <f t="shared" si="1769"/>
        <v>0</v>
      </c>
      <c r="RN286" s="91">
        <f t="shared" si="1770"/>
        <v>0</v>
      </c>
      <c r="RU286" s="98">
        <v>3870</v>
      </c>
      <c r="RV286" s="98">
        <v>104490</v>
      </c>
      <c r="SC286" s="91">
        <f t="shared" si="1771"/>
        <v>3870</v>
      </c>
      <c r="SD286" s="91">
        <f t="shared" si="1772"/>
        <v>104490</v>
      </c>
      <c r="SS286" s="91">
        <f t="shared" si="1773"/>
        <v>0</v>
      </c>
      <c r="ST286" s="91">
        <f t="shared" si="1774"/>
        <v>0</v>
      </c>
      <c r="TA286" s="98">
        <v>3950</v>
      </c>
      <c r="TB286" s="98">
        <v>130350</v>
      </c>
      <c r="TI286" s="91">
        <f t="shared" si="1775"/>
        <v>3950</v>
      </c>
      <c r="TJ286" s="91">
        <f t="shared" si="1776"/>
        <v>130350</v>
      </c>
      <c r="TY286" s="91">
        <f t="shared" si="1777"/>
        <v>0</v>
      </c>
      <c r="TZ286" s="91">
        <f t="shared" si="1778"/>
        <v>0</v>
      </c>
      <c r="UG286" s="98">
        <v>230</v>
      </c>
      <c r="UH286" s="98">
        <v>6900</v>
      </c>
      <c r="UO286" s="91">
        <f t="shared" si="1779"/>
        <v>230</v>
      </c>
      <c r="UP286" s="91">
        <f t="shared" si="1780"/>
        <v>6900</v>
      </c>
      <c r="VE286" s="91">
        <f t="shared" si="1781"/>
        <v>0</v>
      </c>
      <c r="VF286" s="91">
        <f t="shared" si="1782"/>
        <v>0</v>
      </c>
      <c r="VM286" s="98">
        <v>701</v>
      </c>
      <c r="VN286" s="98">
        <v>25937</v>
      </c>
      <c r="VU286" s="91">
        <f t="shared" si="1783"/>
        <v>701</v>
      </c>
      <c r="VV286" s="91">
        <f t="shared" si="1784"/>
        <v>25937</v>
      </c>
      <c r="WK286" s="91">
        <f t="shared" si="1785"/>
        <v>0</v>
      </c>
      <c r="WL286" s="91">
        <f t="shared" si="1786"/>
        <v>0</v>
      </c>
      <c r="WM286" s="89"/>
      <c r="WN286" s="87">
        <f t="shared" si="1787"/>
        <v>0</v>
      </c>
      <c r="WO286" s="87">
        <f t="shared" si="1788"/>
        <v>0</v>
      </c>
      <c r="WP286" s="87">
        <f t="shared" si="1789"/>
        <v>0</v>
      </c>
      <c r="WQ286" s="87">
        <f t="shared" si="1790"/>
        <v>0</v>
      </c>
      <c r="WR286" s="87">
        <f t="shared" si="1791"/>
        <v>0</v>
      </c>
      <c r="WS286" s="87">
        <f t="shared" si="1792"/>
        <v>0</v>
      </c>
      <c r="WT286" s="87">
        <f t="shared" si="1793"/>
        <v>3158869.05</v>
      </c>
      <c r="WU286" s="87">
        <f t="shared" si="1794"/>
        <v>81879409</v>
      </c>
      <c r="WV286" s="87">
        <f t="shared" si="1795"/>
        <v>0</v>
      </c>
      <c r="WW286" s="87">
        <f t="shared" si="1796"/>
        <v>0</v>
      </c>
      <c r="WX286" s="87">
        <f t="shared" si="1797"/>
        <v>600</v>
      </c>
      <c r="WY286" s="87">
        <f t="shared" si="1798"/>
        <v>16800</v>
      </c>
      <c r="WZ286" s="87">
        <f t="shared" si="1799"/>
        <v>0</v>
      </c>
      <c r="XA286" s="87">
        <f t="shared" si="1800"/>
        <v>0</v>
      </c>
      <c r="XB286" s="92">
        <f t="shared" si="1801"/>
        <v>3159469.05</v>
      </c>
      <c r="XC286" s="92">
        <f t="shared" si="1802"/>
        <v>81896209</v>
      </c>
      <c r="XD286" s="89"/>
      <c r="XE286" s="92"/>
      <c r="XF286" s="92"/>
      <c r="XG286" s="89"/>
      <c r="XH286" s="92"/>
      <c r="XI286" s="92"/>
      <c r="XJ286" s="89"/>
      <c r="XK286" s="87"/>
      <c r="XL286" s="87"/>
      <c r="XM286" s="87"/>
      <c r="XN286" s="87"/>
      <c r="XO286" s="87"/>
      <c r="XP286" s="87"/>
      <c r="XQ286" s="87"/>
      <c r="XR286" s="92">
        <f t="shared" ca="1" si="1803"/>
        <v>0</v>
      </c>
      <c r="XS286" s="89"/>
      <c r="XT286" s="87"/>
      <c r="XU286" s="87"/>
      <c r="XV286" s="87"/>
      <c r="XW286" s="87"/>
      <c r="XX286" s="87"/>
      <c r="XY286" s="87"/>
      <c r="XZ286" s="87"/>
      <c r="YA286" s="92">
        <f t="shared" ca="1" si="1804"/>
        <v>0</v>
      </c>
      <c r="YB286" s="90"/>
      <c r="YC286" s="90"/>
      <c r="YD286" s="90"/>
      <c r="YE286" s="90"/>
      <c r="YF286" s="90"/>
      <c r="YG286" s="90"/>
      <c r="YH286" s="90"/>
      <c r="YI286" s="90"/>
      <c r="YJ286" s="90"/>
      <c r="YK286" s="90"/>
      <c r="YL286" s="90"/>
      <c r="YM286" s="90"/>
      <c r="YN286" s="90"/>
      <c r="YO286" s="90"/>
      <c r="YP286" s="90"/>
      <c r="YQ286" s="90"/>
      <c r="YR286" s="90"/>
      <c r="YS286" s="90"/>
      <c r="YT286" s="90"/>
      <c r="YU286" s="90"/>
      <c r="YV286" s="90"/>
      <c r="YW286" s="90"/>
      <c r="YX286" s="90"/>
      <c r="YY286" s="90"/>
      <c r="YZ286" s="90"/>
      <c r="ZA286" s="90"/>
      <c r="ZB286" s="90"/>
      <c r="ZC286" s="90"/>
      <c r="ZD286" s="90"/>
      <c r="ZE286" s="90"/>
      <c r="ZF286" s="90"/>
      <c r="ZG286" s="90"/>
      <c r="ZH286" s="90"/>
      <c r="ZI286" s="90"/>
      <c r="ZJ286" s="90"/>
      <c r="ZK286" s="90"/>
      <c r="ZL286" s="90"/>
      <c r="ZM286" s="90"/>
      <c r="ZN286" s="90"/>
      <c r="ZO286" s="90"/>
      <c r="ZP286" s="90"/>
      <c r="ZQ286" s="90"/>
      <c r="ZR286" s="90"/>
      <c r="ZS286" s="90"/>
      <c r="ZT286" s="90"/>
      <c r="ZU286" s="90"/>
      <c r="ZV286" s="90"/>
      <c r="ZW286" s="90"/>
      <c r="ZX286" s="90"/>
      <c r="ZY286" s="90"/>
      <c r="ZZ286" s="90"/>
      <c r="AAA286" s="90"/>
      <c r="AAB286" s="90"/>
      <c r="AAC286" s="90"/>
      <c r="AAD286" s="90"/>
      <c r="AAE286" s="90"/>
      <c r="AAF286" s="90"/>
      <c r="AAG286" s="90"/>
      <c r="AAH286" s="90"/>
      <c r="AAI286" s="90"/>
      <c r="AAJ286" s="90"/>
      <c r="AAK286" s="90"/>
      <c r="AAL286" s="90"/>
      <c r="AAM286" s="90"/>
      <c r="AAN286" s="90"/>
      <c r="AAO286" s="90"/>
      <c r="AAP286" s="90"/>
      <c r="AAQ286" s="90"/>
      <c r="AAR286" s="90"/>
      <c r="AAS286" s="90"/>
      <c r="AAT286" s="90"/>
      <c r="AAU286" s="90"/>
      <c r="AAV286" s="90"/>
      <c r="AAW286" s="90"/>
      <c r="AAX286" s="90"/>
      <c r="AAY286" s="90"/>
      <c r="AAZ286" s="90"/>
      <c r="ABA286" s="90"/>
      <c r="ABB286" s="90"/>
      <c r="ABC286" s="90"/>
      <c r="ABD286" s="90"/>
      <c r="ABE286" s="90"/>
      <c r="ABF286" s="90"/>
      <c r="ABG286" s="90"/>
      <c r="ABH286" s="90"/>
      <c r="ABI286" s="90"/>
      <c r="ABJ286" s="90"/>
      <c r="ABK286" s="90"/>
      <c r="ABL286" s="90"/>
      <c r="ABM286" s="90"/>
      <c r="ABN286" s="90"/>
      <c r="ABO286" s="90"/>
      <c r="ABP286" s="90"/>
      <c r="ABQ286" s="90"/>
      <c r="ABR286" s="90"/>
      <c r="ABS286" s="90"/>
      <c r="ABT286" s="90"/>
      <c r="ABU286" s="90"/>
      <c r="ABV286" s="90"/>
      <c r="ABW286" s="90"/>
      <c r="ABX286" s="90"/>
      <c r="ABY286" s="90"/>
      <c r="ABZ286" s="90"/>
      <c r="ACA286" s="90"/>
      <c r="ACB286" s="90"/>
      <c r="ACC286" s="90"/>
      <c r="ACD286" s="90"/>
      <c r="ACE286" s="90"/>
      <c r="ACF286" s="90"/>
      <c r="ACG286" s="90"/>
      <c r="ACH286" s="90"/>
      <c r="ACI286" s="90"/>
      <c r="ACJ286" s="90"/>
      <c r="ACK286" s="90"/>
      <c r="ACL286" s="90"/>
      <c r="ACM286" s="90"/>
      <c r="ACN286" s="90"/>
      <c r="ACO286" s="90"/>
      <c r="ACP286" s="90"/>
      <c r="ACQ286" s="90"/>
      <c r="ACR286" s="90"/>
      <c r="ACS286" s="90"/>
      <c r="ACT286" s="90"/>
      <c r="ACU286" s="90"/>
      <c r="ACV286" s="90"/>
      <c r="ACW286" s="90"/>
      <c r="ACX286" s="90"/>
      <c r="ACY286" s="90"/>
      <c r="ACZ286" s="90"/>
      <c r="ADA286" s="90"/>
      <c r="ADB286" s="90"/>
      <c r="ADC286" s="90"/>
      <c r="ADD286" s="90"/>
      <c r="ADE286" s="90"/>
      <c r="ADF286" s="90"/>
      <c r="ADG286" s="90"/>
      <c r="ADH286" s="90"/>
      <c r="ADI286" s="90"/>
      <c r="ADJ286" s="90"/>
      <c r="ADK286" s="90"/>
      <c r="ADL286" s="90"/>
      <c r="ADM286" s="90"/>
      <c r="ADN286" s="90"/>
      <c r="ADO286" s="90"/>
      <c r="ADP286" s="90"/>
      <c r="ADQ286" s="90"/>
      <c r="ADR286" s="90"/>
      <c r="ADS286" s="90"/>
      <c r="ADT286" s="90"/>
      <c r="ADU286" s="90"/>
      <c r="ADV286" s="90"/>
      <c r="ADW286" s="90"/>
      <c r="ADX286" s="90"/>
      <c r="ADY286" s="90"/>
      <c r="ADZ286" s="90"/>
      <c r="AEA286" s="90"/>
      <c r="AEB286" s="90"/>
      <c r="AEC286" s="90"/>
      <c r="AED286" s="90"/>
      <c r="AEE286" s="90"/>
      <c r="AEF286" s="90"/>
      <c r="AEG286" s="90"/>
      <c r="AEH286" s="90"/>
      <c r="AEI286" s="90"/>
      <c r="AEJ286" s="90"/>
      <c r="AEK286" s="90"/>
      <c r="AEL286" s="90"/>
      <c r="AEM286" s="90"/>
      <c r="AEN286" s="90"/>
      <c r="AEO286" s="90"/>
      <c r="AEP286" s="90"/>
      <c r="AEQ286" s="90"/>
      <c r="AER286" s="90"/>
      <c r="AES286" s="90"/>
      <c r="AET286" s="90"/>
      <c r="AEU286" s="90"/>
      <c r="AEV286" s="90"/>
      <c r="AEW286" s="90"/>
      <c r="AEX286" s="90"/>
      <c r="AEY286" s="90"/>
      <c r="AEZ286" s="90"/>
      <c r="AFA286" s="90"/>
      <c r="AFB286" s="90"/>
      <c r="AFC286" s="90"/>
      <c r="AFD286" s="90"/>
      <c r="AFE286" s="90"/>
      <c r="AFF286" s="90"/>
      <c r="AFG286" s="90"/>
      <c r="AFH286" s="90"/>
      <c r="AFI286" s="90"/>
      <c r="AFJ286" s="90"/>
      <c r="AFK286" s="90"/>
      <c r="AFL286" s="90"/>
      <c r="AFM286" s="90"/>
      <c r="AFN286" s="90"/>
      <c r="AFO286" s="90"/>
      <c r="AFP286" s="90"/>
      <c r="AFQ286" s="90"/>
      <c r="AFR286" s="90"/>
      <c r="AFS286" s="90"/>
      <c r="AFT286" s="90"/>
      <c r="AFU286" s="90"/>
      <c r="AFV286" s="90"/>
      <c r="AFW286" s="90"/>
      <c r="AFX286" s="90"/>
      <c r="AFY286" s="90"/>
      <c r="AFZ286" s="90"/>
      <c r="AGA286" s="90"/>
      <c r="AGB286" s="90"/>
      <c r="AGC286" s="90"/>
      <c r="AGD286" s="90"/>
      <c r="AGE286" s="90"/>
      <c r="AGF286" s="90"/>
      <c r="AGG286" s="90"/>
      <c r="AGH286" s="90"/>
      <c r="AGI286" s="90"/>
      <c r="AGJ286" s="90"/>
      <c r="AGK286" s="90"/>
      <c r="AGL286" s="90"/>
      <c r="AGM286" s="90"/>
      <c r="AGN286" s="90"/>
      <c r="AGO286" s="90"/>
      <c r="AGP286" s="90"/>
      <c r="AGQ286" s="90"/>
      <c r="AGR286" s="90"/>
      <c r="AGS286" s="90"/>
      <c r="AGT286" s="90"/>
      <c r="AGU286" s="90"/>
      <c r="AGV286" s="90"/>
      <c r="AGW286" s="90"/>
      <c r="AGX286" s="90"/>
      <c r="AGY286" s="90"/>
      <c r="AGZ286" s="90"/>
      <c r="AHA286" s="90"/>
      <c r="AHB286" s="90"/>
      <c r="AHC286" s="90"/>
      <c r="AHD286" s="90"/>
      <c r="AHE286" s="90"/>
      <c r="AHF286" s="90"/>
      <c r="AHG286" s="90"/>
      <c r="AHH286" s="90"/>
      <c r="AHI286" s="90"/>
      <c r="AHJ286" s="90"/>
      <c r="AHK286" s="90"/>
      <c r="AHL286" s="90"/>
      <c r="AHM286" s="90"/>
      <c r="AHN286" s="90"/>
      <c r="AHO286" s="90"/>
      <c r="AHP286" s="90"/>
      <c r="AHQ286" s="90"/>
      <c r="AHR286" s="90"/>
      <c r="AHS286" s="90"/>
      <c r="AHT286" s="90"/>
      <c r="AHU286" s="90"/>
      <c r="AHV286" s="90"/>
      <c r="AHW286" s="90"/>
      <c r="AHX286" s="90"/>
      <c r="AHY286" s="90"/>
      <c r="AHZ286" s="90"/>
      <c r="AIA286" s="90"/>
      <c r="AIB286" s="90"/>
      <c r="AIC286" s="90"/>
      <c r="AID286" s="90"/>
      <c r="AIE286" s="90"/>
      <c r="AIF286" s="90"/>
      <c r="AIG286" s="90"/>
      <c r="AIH286" s="90"/>
      <c r="AII286" s="90"/>
      <c r="AIJ286" s="90"/>
      <c r="AIK286" s="90"/>
      <c r="AIL286" s="90"/>
      <c r="AIM286" s="90"/>
      <c r="AIN286" s="90"/>
      <c r="AIO286" s="90"/>
      <c r="AIP286" s="90"/>
      <c r="AIQ286" s="90"/>
      <c r="AIR286" s="90"/>
      <c r="AIS286" s="90"/>
      <c r="AIT286" s="90"/>
      <c r="AIU286" s="90"/>
      <c r="AIV286" s="90"/>
      <c r="AIW286" s="90"/>
      <c r="AIX286" s="90"/>
      <c r="AIY286" s="90"/>
      <c r="AIZ286" s="90"/>
      <c r="AJA286" s="90"/>
      <c r="AJB286" s="90"/>
      <c r="AJC286" s="90"/>
      <c r="AJD286" s="90"/>
      <c r="AJE286" s="90"/>
      <c r="AJF286" s="90"/>
      <c r="AJG286" s="90"/>
      <c r="AJH286" s="90"/>
      <c r="AJI286" s="90"/>
      <c r="AJJ286" s="90"/>
      <c r="AJK286" s="90"/>
      <c r="AJL286" s="90"/>
      <c r="AJM286" s="90"/>
      <c r="AJN286" s="90"/>
      <c r="AJO286" s="90"/>
      <c r="AJP286" s="90"/>
      <c r="AJQ286" s="90"/>
      <c r="AJR286" s="90"/>
      <c r="AJS286" s="90"/>
      <c r="AJT286" s="90"/>
      <c r="AJU286" s="90"/>
      <c r="AJV286" s="90"/>
      <c r="AJW286" s="90"/>
      <c r="AJX286" s="90"/>
      <c r="AJY286" s="90"/>
      <c r="AJZ286" s="90"/>
      <c r="AKA286" s="90"/>
      <c r="AKB286" s="90"/>
      <c r="AKC286" s="90"/>
      <c r="AKD286" s="90"/>
      <c r="AKE286" s="90"/>
      <c r="AKF286" s="90"/>
      <c r="AKG286" s="90"/>
      <c r="AKH286" s="90"/>
      <c r="AKI286" s="90"/>
      <c r="AKJ286" s="90"/>
      <c r="AKK286" s="90"/>
      <c r="AKL286" s="90"/>
      <c r="AKM286" s="90"/>
      <c r="AKN286" s="90"/>
      <c r="AKO286" s="90"/>
      <c r="AKP286" s="90"/>
      <c r="AKQ286" s="90"/>
      <c r="AKR286" s="90"/>
      <c r="AKS286" s="90"/>
      <c r="AKT286" s="90"/>
      <c r="AKU286" s="90"/>
      <c r="AKV286" s="90"/>
      <c r="AKW286" s="90"/>
      <c r="AKX286" s="90"/>
      <c r="AKY286" s="90"/>
      <c r="AKZ286" s="90"/>
      <c r="ALA286" s="90"/>
      <c r="ALB286" s="90"/>
      <c r="ALC286" s="90"/>
      <c r="ALD286" s="90"/>
      <c r="ALE286" s="90"/>
      <c r="ALF286" s="90"/>
      <c r="ALG286" s="90"/>
      <c r="ALH286" s="90"/>
      <c r="ALI286" s="90"/>
      <c r="ALJ286" s="90"/>
      <c r="ALK286" s="90"/>
      <c r="ALL286" s="90"/>
      <c r="ALM286" s="90"/>
      <c r="ALN286" s="90"/>
      <c r="ALO286" s="90"/>
      <c r="ALP286" s="90"/>
      <c r="ALQ286" s="90"/>
      <c r="ALR286" s="90"/>
      <c r="ALS286" s="90"/>
      <c r="ALT286" s="90"/>
      <c r="ALU286" s="90"/>
      <c r="ALV286" s="90"/>
      <c r="ALW286" s="90"/>
      <c r="ALX286" s="90"/>
      <c r="ALY286" s="90"/>
      <c r="ALZ286" s="90"/>
      <c r="AMA286" s="90"/>
      <c r="AMB286" s="90"/>
      <c r="AMC286" s="90"/>
    </row>
    <row r="287" spans="1:1017">
      <c r="A287" s="98" t="s">
        <v>52</v>
      </c>
      <c r="B287" s="90" t="str">
        <f t="shared" si="1710"/>
        <v>Kakap Putih</v>
      </c>
      <c r="E287" s="98">
        <v>62000</v>
      </c>
      <c r="F287" s="98">
        <v>3720000</v>
      </c>
      <c r="Q287" s="91">
        <f t="shared" si="1711"/>
        <v>62000</v>
      </c>
      <c r="R287" s="91">
        <f t="shared" si="1712"/>
        <v>3720000</v>
      </c>
      <c r="S287" s="98">
        <v>10</v>
      </c>
      <c r="T287" s="98">
        <v>650</v>
      </c>
      <c r="U287" s="98">
        <v>1985</v>
      </c>
      <c r="V287" s="98">
        <v>129025</v>
      </c>
      <c r="AG287" s="91">
        <f t="shared" si="1713"/>
        <v>1995</v>
      </c>
      <c r="AH287" s="91">
        <f t="shared" si="1714"/>
        <v>129675</v>
      </c>
      <c r="AW287" s="91">
        <f t="shared" si="1715"/>
        <v>0</v>
      </c>
      <c r="AX287" s="91">
        <f t="shared" si="1716"/>
        <v>0</v>
      </c>
      <c r="BM287" s="91">
        <f t="shared" si="1717"/>
        <v>0</v>
      </c>
      <c r="BN287" s="91">
        <f t="shared" si="1718"/>
        <v>0</v>
      </c>
      <c r="CC287" s="91">
        <f t="shared" si="1719"/>
        <v>0</v>
      </c>
      <c r="CD287" s="91">
        <f t="shared" si="1720"/>
        <v>0</v>
      </c>
      <c r="CG287" s="98">
        <v>1319</v>
      </c>
      <c r="CH287" s="98">
        <v>46166</v>
      </c>
      <c r="CS287" s="91">
        <f t="shared" si="1721"/>
        <v>1319</v>
      </c>
      <c r="CT287" s="91">
        <f t="shared" si="1722"/>
        <v>46166</v>
      </c>
      <c r="DI287" s="91">
        <f t="shared" si="1723"/>
        <v>0</v>
      </c>
      <c r="DJ287" s="91">
        <f t="shared" si="1724"/>
        <v>0</v>
      </c>
      <c r="DY287" s="91">
        <f t="shared" si="1725"/>
        <v>0</v>
      </c>
      <c r="DZ287" s="91">
        <f t="shared" si="1726"/>
        <v>0</v>
      </c>
      <c r="EO287" s="91">
        <f t="shared" si="1727"/>
        <v>0</v>
      </c>
      <c r="EP287" s="91">
        <f t="shared" si="1728"/>
        <v>0</v>
      </c>
      <c r="FE287" s="91">
        <f t="shared" si="1729"/>
        <v>0</v>
      </c>
      <c r="FF287" s="91">
        <f t="shared" si="1730"/>
        <v>0</v>
      </c>
      <c r="FU287" s="91">
        <f t="shared" si="1731"/>
        <v>0</v>
      </c>
      <c r="FV287" s="91">
        <f t="shared" si="1732"/>
        <v>0</v>
      </c>
      <c r="GK287" s="91">
        <f t="shared" si="1733"/>
        <v>0</v>
      </c>
      <c r="GL287" s="91">
        <f t="shared" si="1734"/>
        <v>0</v>
      </c>
      <c r="HA287" s="91">
        <f t="shared" si="1735"/>
        <v>0</v>
      </c>
      <c r="HB287" s="91">
        <f t="shared" si="1736"/>
        <v>0</v>
      </c>
      <c r="HQ287" s="91">
        <f t="shared" si="1737"/>
        <v>0</v>
      </c>
      <c r="HR287" s="91">
        <f t="shared" si="1738"/>
        <v>0</v>
      </c>
      <c r="IG287" s="91">
        <f t="shared" si="1739"/>
        <v>0</v>
      </c>
      <c r="IH287" s="91">
        <f t="shared" si="1740"/>
        <v>0</v>
      </c>
      <c r="IW287" s="91">
        <f t="shared" si="1741"/>
        <v>0</v>
      </c>
      <c r="IX287" s="91">
        <f t="shared" si="1742"/>
        <v>0</v>
      </c>
      <c r="JM287" s="91">
        <f t="shared" si="1743"/>
        <v>0</v>
      </c>
      <c r="JN287" s="91">
        <f t="shared" si="1744"/>
        <v>0</v>
      </c>
      <c r="KC287" s="91">
        <f t="shared" si="1745"/>
        <v>0</v>
      </c>
      <c r="KD287" s="91">
        <f t="shared" si="1746"/>
        <v>0</v>
      </c>
      <c r="KS287" s="91">
        <f t="shared" si="1747"/>
        <v>0</v>
      </c>
      <c r="KT287" s="91">
        <f t="shared" si="1748"/>
        <v>0</v>
      </c>
      <c r="LI287" s="91">
        <f t="shared" si="1749"/>
        <v>0</v>
      </c>
      <c r="LJ287" s="91">
        <f t="shared" si="1750"/>
        <v>0</v>
      </c>
      <c r="LY287" s="91">
        <f t="shared" si="1751"/>
        <v>0</v>
      </c>
      <c r="LZ287" s="91">
        <f t="shared" si="1752"/>
        <v>0</v>
      </c>
      <c r="MO287" s="91">
        <f t="shared" si="1753"/>
        <v>0</v>
      </c>
      <c r="MP287" s="91">
        <f t="shared" si="1754"/>
        <v>0</v>
      </c>
      <c r="MS287" s="98">
        <v>200</v>
      </c>
      <c r="MT287" s="98">
        <v>6000</v>
      </c>
      <c r="NE287" s="91">
        <f t="shared" si="1755"/>
        <v>200</v>
      </c>
      <c r="NF287" s="91">
        <f t="shared" si="1756"/>
        <v>6000</v>
      </c>
      <c r="NI287" s="98">
        <v>7700</v>
      </c>
      <c r="NJ287" s="98">
        <v>269500</v>
      </c>
      <c r="NU287" s="91">
        <f t="shared" si="1757"/>
        <v>7700</v>
      </c>
      <c r="NV287" s="91">
        <f t="shared" si="1758"/>
        <v>269500</v>
      </c>
      <c r="NW287" s="98">
        <v>200</v>
      </c>
      <c r="NX287" s="98">
        <v>16000</v>
      </c>
      <c r="NY287" s="98">
        <v>9800</v>
      </c>
      <c r="NZ287" s="98">
        <v>784000</v>
      </c>
      <c r="OK287" s="91">
        <f t="shared" si="1759"/>
        <v>10000</v>
      </c>
      <c r="OL287" s="91">
        <f t="shared" si="1760"/>
        <v>800000</v>
      </c>
      <c r="PA287" s="91">
        <f t="shared" si="1761"/>
        <v>0</v>
      </c>
      <c r="PB287" s="91">
        <f t="shared" si="1762"/>
        <v>0</v>
      </c>
      <c r="PQ287" s="91">
        <f t="shared" si="1763"/>
        <v>0</v>
      </c>
      <c r="PR287" s="91">
        <f t="shared" si="1764"/>
        <v>0</v>
      </c>
      <c r="PU287" s="98">
        <v>3270</v>
      </c>
      <c r="PV287" s="98">
        <v>130800</v>
      </c>
      <c r="QG287" s="91">
        <f t="shared" si="1765"/>
        <v>3270</v>
      </c>
      <c r="QH287" s="91">
        <f t="shared" si="1766"/>
        <v>130800</v>
      </c>
      <c r="QW287" s="91">
        <f t="shared" si="1767"/>
        <v>0</v>
      </c>
      <c r="QX287" s="91">
        <f t="shared" si="1768"/>
        <v>0</v>
      </c>
      <c r="RM287" s="91">
        <f t="shared" si="1769"/>
        <v>0</v>
      </c>
      <c r="RN287" s="91">
        <f t="shared" si="1770"/>
        <v>0</v>
      </c>
      <c r="SC287" s="91">
        <f t="shared" si="1771"/>
        <v>0</v>
      </c>
      <c r="SD287" s="91">
        <f t="shared" si="1772"/>
        <v>0</v>
      </c>
      <c r="SS287" s="91">
        <f t="shared" si="1773"/>
        <v>0</v>
      </c>
      <c r="ST287" s="91">
        <f t="shared" si="1774"/>
        <v>0</v>
      </c>
      <c r="TI287" s="91">
        <f t="shared" si="1775"/>
        <v>0</v>
      </c>
      <c r="TJ287" s="91">
        <f t="shared" si="1776"/>
        <v>0</v>
      </c>
      <c r="TY287" s="91">
        <f t="shared" si="1777"/>
        <v>0</v>
      </c>
      <c r="TZ287" s="91">
        <f t="shared" si="1778"/>
        <v>0</v>
      </c>
      <c r="UO287" s="91">
        <f t="shared" si="1779"/>
        <v>0</v>
      </c>
      <c r="UP287" s="91">
        <f t="shared" si="1780"/>
        <v>0</v>
      </c>
      <c r="VE287" s="91">
        <f t="shared" si="1781"/>
        <v>0</v>
      </c>
      <c r="VF287" s="91">
        <f t="shared" si="1782"/>
        <v>0</v>
      </c>
      <c r="VI287" s="98">
        <v>21</v>
      </c>
      <c r="VJ287" s="98">
        <v>840</v>
      </c>
      <c r="VU287" s="91">
        <f t="shared" si="1783"/>
        <v>21</v>
      </c>
      <c r="VV287" s="91">
        <f t="shared" si="1784"/>
        <v>840</v>
      </c>
      <c r="WK287" s="91">
        <f t="shared" si="1785"/>
        <v>0</v>
      </c>
      <c r="WL287" s="91">
        <f t="shared" si="1786"/>
        <v>0</v>
      </c>
      <c r="WM287" s="89"/>
      <c r="WN287" s="87">
        <f t="shared" si="1787"/>
        <v>210</v>
      </c>
      <c r="WO287" s="87">
        <f t="shared" si="1788"/>
        <v>16650</v>
      </c>
      <c r="WP287" s="87">
        <f t="shared" si="1789"/>
        <v>86295</v>
      </c>
      <c r="WQ287" s="87">
        <f t="shared" si="1790"/>
        <v>5086331</v>
      </c>
      <c r="WR287" s="87">
        <f t="shared" si="1791"/>
        <v>0</v>
      </c>
      <c r="WS287" s="87">
        <f t="shared" si="1792"/>
        <v>0</v>
      </c>
      <c r="WT287" s="87">
        <f t="shared" si="1793"/>
        <v>0</v>
      </c>
      <c r="WU287" s="87">
        <f t="shared" si="1794"/>
        <v>0</v>
      </c>
      <c r="WV287" s="87">
        <f t="shared" si="1795"/>
        <v>0</v>
      </c>
      <c r="WW287" s="87">
        <f t="shared" si="1796"/>
        <v>0</v>
      </c>
      <c r="WX287" s="87">
        <f t="shared" si="1797"/>
        <v>0</v>
      </c>
      <c r="WY287" s="87">
        <f t="shared" si="1798"/>
        <v>0</v>
      </c>
      <c r="WZ287" s="87">
        <f t="shared" si="1799"/>
        <v>0</v>
      </c>
      <c r="XA287" s="87">
        <f t="shared" si="1800"/>
        <v>0</v>
      </c>
      <c r="XB287" s="92">
        <f t="shared" si="1801"/>
        <v>86505</v>
      </c>
      <c r="XC287" s="92">
        <f t="shared" si="1802"/>
        <v>5102981</v>
      </c>
      <c r="XD287" s="89"/>
      <c r="XE287" s="92"/>
      <c r="XF287" s="92"/>
      <c r="XG287" s="89"/>
      <c r="XH287" s="92"/>
      <c r="XI287" s="92"/>
      <c r="XJ287" s="89"/>
      <c r="XK287" s="87"/>
      <c r="XL287" s="87"/>
      <c r="XM287" s="87"/>
      <c r="XN287" s="87"/>
      <c r="XO287" s="87"/>
      <c r="XP287" s="87"/>
      <c r="XQ287" s="87"/>
      <c r="XR287" s="92">
        <f t="shared" ca="1" si="1803"/>
        <v>0</v>
      </c>
      <c r="XS287" s="89"/>
      <c r="XT287" s="87"/>
      <c r="XU287" s="87"/>
      <c r="XV287" s="87"/>
      <c r="XW287" s="87"/>
      <c r="XX287" s="87"/>
      <c r="XY287" s="87"/>
      <c r="XZ287" s="87"/>
      <c r="YA287" s="92">
        <f t="shared" ca="1" si="1804"/>
        <v>0</v>
      </c>
      <c r="YB287" s="90"/>
      <c r="YC287" s="90"/>
      <c r="YD287" s="90"/>
      <c r="YE287" s="90"/>
      <c r="YF287" s="90"/>
      <c r="YG287" s="90"/>
      <c r="YH287" s="90"/>
      <c r="YI287" s="90"/>
      <c r="YJ287" s="90"/>
      <c r="YK287" s="90"/>
      <c r="YL287" s="90"/>
      <c r="YM287" s="90"/>
      <c r="YN287" s="90"/>
      <c r="YO287" s="90"/>
      <c r="YP287" s="90"/>
      <c r="YQ287" s="90"/>
      <c r="YR287" s="90"/>
      <c r="YS287" s="90"/>
      <c r="YT287" s="90"/>
      <c r="YU287" s="90"/>
      <c r="YV287" s="90"/>
      <c r="YW287" s="90"/>
      <c r="YX287" s="90"/>
      <c r="YY287" s="90"/>
      <c r="YZ287" s="90"/>
      <c r="ZA287" s="90"/>
      <c r="ZB287" s="90"/>
      <c r="ZC287" s="90"/>
      <c r="ZD287" s="90"/>
      <c r="ZE287" s="90"/>
      <c r="ZF287" s="90"/>
      <c r="ZG287" s="90"/>
      <c r="ZH287" s="90"/>
      <c r="ZI287" s="90"/>
      <c r="ZJ287" s="90"/>
      <c r="ZK287" s="90"/>
      <c r="ZL287" s="90"/>
      <c r="ZM287" s="90"/>
      <c r="ZN287" s="90"/>
      <c r="ZO287" s="90"/>
      <c r="ZP287" s="90"/>
      <c r="ZQ287" s="90"/>
      <c r="ZR287" s="90"/>
      <c r="ZS287" s="90"/>
      <c r="ZT287" s="90"/>
      <c r="ZU287" s="90"/>
      <c r="ZV287" s="90"/>
      <c r="ZW287" s="90"/>
      <c r="ZX287" s="90"/>
      <c r="ZY287" s="90"/>
      <c r="ZZ287" s="90"/>
      <c r="AAA287" s="90"/>
      <c r="AAB287" s="90"/>
      <c r="AAC287" s="90"/>
      <c r="AAD287" s="90"/>
      <c r="AAE287" s="90"/>
      <c r="AAF287" s="90"/>
      <c r="AAG287" s="90"/>
      <c r="AAH287" s="90"/>
      <c r="AAI287" s="90"/>
      <c r="AAJ287" s="90"/>
      <c r="AAK287" s="90"/>
      <c r="AAL287" s="90"/>
      <c r="AAM287" s="90"/>
      <c r="AAN287" s="90"/>
      <c r="AAO287" s="90"/>
      <c r="AAP287" s="90"/>
      <c r="AAQ287" s="90"/>
      <c r="AAR287" s="90"/>
      <c r="AAS287" s="90"/>
      <c r="AAT287" s="90"/>
      <c r="AAU287" s="90"/>
      <c r="AAV287" s="90"/>
      <c r="AAW287" s="90"/>
      <c r="AAX287" s="90"/>
      <c r="AAY287" s="90"/>
      <c r="AAZ287" s="90"/>
      <c r="ABA287" s="90"/>
      <c r="ABB287" s="90"/>
      <c r="ABC287" s="90"/>
      <c r="ABD287" s="90"/>
      <c r="ABE287" s="90"/>
      <c r="ABF287" s="90"/>
      <c r="ABG287" s="90"/>
      <c r="ABH287" s="90"/>
      <c r="ABI287" s="90"/>
      <c r="ABJ287" s="90"/>
      <c r="ABK287" s="90"/>
      <c r="ABL287" s="90"/>
      <c r="ABM287" s="90"/>
      <c r="ABN287" s="90"/>
      <c r="ABO287" s="90"/>
      <c r="ABP287" s="90"/>
      <c r="ABQ287" s="90"/>
      <c r="ABR287" s="90"/>
      <c r="ABS287" s="90"/>
      <c r="ABT287" s="90"/>
      <c r="ABU287" s="90"/>
      <c r="ABV287" s="90"/>
      <c r="ABW287" s="90"/>
      <c r="ABX287" s="90"/>
      <c r="ABY287" s="90"/>
      <c r="ABZ287" s="90"/>
      <c r="ACA287" s="90"/>
      <c r="ACB287" s="90"/>
      <c r="ACC287" s="90"/>
      <c r="ACD287" s="90"/>
      <c r="ACE287" s="90"/>
      <c r="ACF287" s="90"/>
      <c r="ACG287" s="90"/>
      <c r="ACH287" s="90"/>
      <c r="ACI287" s="90"/>
      <c r="ACJ287" s="90"/>
      <c r="ACK287" s="90"/>
      <c r="ACL287" s="90"/>
      <c r="ACM287" s="90"/>
      <c r="ACN287" s="90"/>
      <c r="ACO287" s="90"/>
      <c r="ACP287" s="90"/>
      <c r="ACQ287" s="90"/>
      <c r="ACR287" s="90"/>
      <c r="ACS287" s="90"/>
      <c r="ACT287" s="90"/>
      <c r="ACU287" s="90"/>
      <c r="ACV287" s="90"/>
      <c r="ACW287" s="90"/>
      <c r="ACX287" s="90"/>
      <c r="ACY287" s="90"/>
      <c r="ACZ287" s="90"/>
      <c r="ADA287" s="90"/>
      <c r="ADB287" s="90"/>
      <c r="ADC287" s="90"/>
      <c r="ADD287" s="90"/>
      <c r="ADE287" s="90"/>
      <c r="ADF287" s="90"/>
      <c r="ADG287" s="90"/>
      <c r="ADH287" s="90"/>
      <c r="ADI287" s="90"/>
      <c r="ADJ287" s="90"/>
      <c r="ADK287" s="90"/>
      <c r="ADL287" s="90"/>
      <c r="ADM287" s="90"/>
      <c r="ADN287" s="90"/>
      <c r="ADO287" s="90"/>
      <c r="ADP287" s="90"/>
      <c r="ADQ287" s="90"/>
      <c r="ADR287" s="90"/>
      <c r="ADS287" s="90"/>
      <c r="ADT287" s="90"/>
      <c r="ADU287" s="90"/>
      <c r="ADV287" s="90"/>
      <c r="ADW287" s="90"/>
      <c r="ADX287" s="90"/>
      <c r="ADY287" s="90"/>
      <c r="ADZ287" s="90"/>
      <c r="AEA287" s="90"/>
      <c r="AEB287" s="90"/>
      <c r="AEC287" s="90"/>
      <c r="AED287" s="90"/>
      <c r="AEE287" s="90"/>
      <c r="AEF287" s="90"/>
      <c r="AEG287" s="90"/>
      <c r="AEH287" s="90"/>
      <c r="AEI287" s="90"/>
      <c r="AEJ287" s="90"/>
      <c r="AEK287" s="90"/>
      <c r="AEL287" s="90"/>
      <c r="AEM287" s="90"/>
      <c r="AEN287" s="90"/>
      <c r="AEO287" s="90"/>
      <c r="AEP287" s="90"/>
      <c r="AEQ287" s="90"/>
      <c r="AER287" s="90"/>
      <c r="AES287" s="90"/>
      <c r="AET287" s="90"/>
      <c r="AEU287" s="90"/>
      <c r="AEV287" s="90"/>
      <c r="AEW287" s="90"/>
      <c r="AEX287" s="90"/>
      <c r="AEY287" s="90"/>
      <c r="AEZ287" s="90"/>
      <c r="AFA287" s="90"/>
      <c r="AFB287" s="90"/>
      <c r="AFC287" s="90"/>
      <c r="AFD287" s="90"/>
      <c r="AFE287" s="90"/>
      <c r="AFF287" s="90"/>
      <c r="AFG287" s="90"/>
      <c r="AFH287" s="90"/>
      <c r="AFI287" s="90"/>
      <c r="AFJ287" s="90"/>
      <c r="AFK287" s="90"/>
      <c r="AFL287" s="90"/>
      <c r="AFM287" s="90"/>
      <c r="AFN287" s="90"/>
      <c r="AFO287" s="90"/>
      <c r="AFP287" s="90"/>
      <c r="AFQ287" s="90"/>
      <c r="AFR287" s="90"/>
      <c r="AFS287" s="90"/>
      <c r="AFT287" s="90"/>
      <c r="AFU287" s="90"/>
      <c r="AFV287" s="90"/>
      <c r="AFW287" s="90"/>
      <c r="AFX287" s="90"/>
      <c r="AFY287" s="90"/>
      <c r="AFZ287" s="90"/>
      <c r="AGA287" s="90"/>
      <c r="AGB287" s="90"/>
      <c r="AGC287" s="90"/>
      <c r="AGD287" s="90"/>
      <c r="AGE287" s="90"/>
      <c r="AGF287" s="90"/>
      <c r="AGG287" s="90"/>
      <c r="AGH287" s="90"/>
      <c r="AGI287" s="90"/>
      <c r="AGJ287" s="90"/>
      <c r="AGK287" s="90"/>
      <c r="AGL287" s="90"/>
      <c r="AGM287" s="90"/>
      <c r="AGN287" s="90"/>
      <c r="AGO287" s="90"/>
      <c r="AGP287" s="90"/>
      <c r="AGQ287" s="90"/>
      <c r="AGR287" s="90"/>
      <c r="AGS287" s="90"/>
      <c r="AGT287" s="90"/>
      <c r="AGU287" s="90"/>
      <c r="AGV287" s="90"/>
      <c r="AGW287" s="90"/>
      <c r="AGX287" s="90"/>
      <c r="AGY287" s="90"/>
      <c r="AGZ287" s="90"/>
      <c r="AHA287" s="90"/>
      <c r="AHB287" s="90"/>
      <c r="AHC287" s="90"/>
      <c r="AHD287" s="90"/>
      <c r="AHE287" s="90"/>
      <c r="AHF287" s="90"/>
      <c r="AHG287" s="90"/>
      <c r="AHH287" s="90"/>
      <c r="AHI287" s="90"/>
      <c r="AHJ287" s="90"/>
      <c r="AHK287" s="90"/>
      <c r="AHL287" s="90"/>
      <c r="AHM287" s="90"/>
      <c r="AHN287" s="90"/>
      <c r="AHO287" s="90"/>
      <c r="AHP287" s="90"/>
      <c r="AHQ287" s="90"/>
      <c r="AHR287" s="90"/>
      <c r="AHS287" s="90"/>
      <c r="AHT287" s="90"/>
      <c r="AHU287" s="90"/>
      <c r="AHV287" s="90"/>
      <c r="AHW287" s="90"/>
      <c r="AHX287" s="90"/>
      <c r="AHY287" s="90"/>
      <c r="AHZ287" s="90"/>
      <c r="AIA287" s="90"/>
      <c r="AIB287" s="90"/>
      <c r="AIC287" s="90"/>
      <c r="AID287" s="90"/>
      <c r="AIE287" s="90"/>
      <c r="AIF287" s="90"/>
      <c r="AIG287" s="90"/>
      <c r="AIH287" s="90"/>
      <c r="AII287" s="90"/>
      <c r="AIJ287" s="90"/>
      <c r="AIK287" s="90"/>
      <c r="AIL287" s="90"/>
      <c r="AIM287" s="90"/>
      <c r="AIN287" s="90"/>
      <c r="AIO287" s="90"/>
      <c r="AIP287" s="90"/>
      <c r="AIQ287" s="90"/>
      <c r="AIR287" s="90"/>
      <c r="AIS287" s="90"/>
      <c r="AIT287" s="90"/>
      <c r="AIU287" s="90"/>
      <c r="AIV287" s="90"/>
      <c r="AIW287" s="90"/>
      <c r="AIX287" s="90"/>
      <c r="AIY287" s="90"/>
      <c r="AIZ287" s="90"/>
      <c r="AJA287" s="90"/>
      <c r="AJB287" s="90"/>
      <c r="AJC287" s="90"/>
      <c r="AJD287" s="90"/>
      <c r="AJE287" s="90"/>
      <c r="AJF287" s="90"/>
      <c r="AJG287" s="90"/>
      <c r="AJH287" s="90"/>
      <c r="AJI287" s="90"/>
      <c r="AJJ287" s="90"/>
      <c r="AJK287" s="90"/>
      <c r="AJL287" s="90"/>
      <c r="AJM287" s="90"/>
      <c r="AJN287" s="90"/>
      <c r="AJO287" s="90"/>
      <c r="AJP287" s="90"/>
      <c r="AJQ287" s="90"/>
      <c r="AJR287" s="90"/>
      <c r="AJS287" s="90"/>
      <c r="AJT287" s="90"/>
      <c r="AJU287" s="90"/>
      <c r="AJV287" s="90"/>
      <c r="AJW287" s="90"/>
      <c r="AJX287" s="90"/>
      <c r="AJY287" s="90"/>
      <c r="AJZ287" s="90"/>
      <c r="AKA287" s="90"/>
      <c r="AKB287" s="90"/>
      <c r="AKC287" s="90"/>
      <c r="AKD287" s="90"/>
      <c r="AKE287" s="90"/>
      <c r="AKF287" s="90"/>
      <c r="AKG287" s="90"/>
      <c r="AKH287" s="90"/>
      <c r="AKI287" s="90"/>
      <c r="AKJ287" s="90"/>
      <c r="AKK287" s="90"/>
      <c r="AKL287" s="90"/>
      <c r="AKM287" s="90"/>
      <c r="AKN287" s="90"/>
      <c r="AKO287" s="90"/>
      <c r="AKP287" s="90"/>
      <c r="AKQ287" s="90"/>
      <c r="AKR287" s="90"/>
      <c r="AKS287" s="90"/>
      <c r="AKT287" s="90"/>
      <c r="AKU287" s="90"/>
      <c r="AKV287" s="90"/>
      <c r="AKW287" s="90"/>
      <c r="AKX287" s="90"/>
      <c r="AKY287" s="90"/>
      <c r="AKZ287" s="90"/>
      <c r="ALA287" s="90"/>
      <c r="ALB287" s="90"/>
      <c r="ALC287" s="90"/>
      <c r="ALD287" s="90"/>
      <c r="ALE287" s="90"/>
      <c r="ALF287" s="90"/>
      <c r="ALG287" s="90"/>
      <c r="ALH287" s="90"/>
      <c r="ALI287" s="90"/>
      <c r="ALJ287" s="90"/>
      <c r="ALK287" s="90"/>
      <c r="ALL287" s="90"/>
      <c r="ALM287" s="90"/>
      <c r="ALN287" s="90"/>
      <c r="ALO287" s="90"/>
      <c r="ALP287" s="90"/>
      <c r="ALQ287" s="90"/>
      <c r="ALR287" s="90"/>
      <c r="ALS287" s="90"/>
      <c r="ALT287" s="90"/>
      <c r="ALU287" s="90"/>
      <c r="ALV287" s="90"/>
      <c r="ALW287" s="90"/>
      <c r="ALX287" s="90"/>
      <c r="ALY287" s="90"/>
      <c r="ALZ287" s="90"/>
      <c r="AMA287" s="90"/>
      <c r="AMB287" s="90"/>
      <c r="AMC287" s="90"/>
    </row>
    <row r="288" spans="1:1017">
      <c r="A288" s="98" t="s">
        <v>52</v>
      </c>
      <c r="B288" s="90" t="str">
        <f t="shared" si="1710"/>
        <v>Kepiting  Bakau</v>
      </c>
      <c r="E288" s="98">
        <v>300</v>
      </c>
      <c r="F288" s="98">
        <v>30000</v>
      </c>
      <c r="Q288" s="91">
        <f t="shared" si="1711"/>
        <v>300</v>
      </c>
      <c r="R288" s="91">
        <f t="shared" si="1712"/>
        <v>30000</v>
      </c>
      <c r="U288" s="98">
        <v>4505</v>
      </c>
      <c r="V288" s="98">
        <v>292825</v>
      </c>
      <c r="AG288" s="91">
        <f t="shared" si="1713"/>
        <v>4505</v>
      </c>
      <c r="AH288" s="91">
        <f t="shared" si="1714"/>
        <v>292825</v>
      </c>
      <c r="AW288" s="91">
        <f t="shared" si="1715"/>
        <v>0</v>
      </c>
      <c r="AX288" s="91">
        <f t="shared" si="1716"/>
        <v>0</v>
      </c>
      <c r="BM288" s="91">
        <f t="shared" si="1717"/>
        <v>0</v>
      </c>
      <c r="BN288" s="91">
        <f t="shared" si="1718"/>
        <v>0</v>
      </c>
      <c r="CC288" s="91">
        <f t="shared" si="1719"/>
        <v>0</v>
      </c>
      <c r="CD288" s="91">
        <f t="shared" si="1720"/>
        <v>0</v>
      </c>
      <c r="CG288" s="98">
        <v>34468</v>
      </c>
      <c r="CH288" s="98">
        <v>1378722</v>
      </c>
      <c r="CS288" s="91">
        <f t="shared" si="1721"/>
        <v>34468</v>
      </c>
      <c r="CT288" s="91">
        <f t="shared" si="1722"/>
        <v>1378722</v>
      </c>
      <c r="DI288" s="91">
        <f t="shared" si="1723"/>
        <v>0</v>
      </c>
      <c r="DJ288" s="91">
        <f t="shared" si="1724"/>
        <v>0</v>
      </c>
      <c r="DY288" s="91">
        <f t="shared" si="1725"/>
        <v>0</v>
      </c>
      <c r="DZ288" s="91">
        <f t="shared" si="1726"/>
        <v>0</v>
      </c>
      <c r="EO288" s="91">
        <f t="shared" si="1727"/>
        <v>0</v>
      </c>
      <c r="EP288" s="91">
        <f t="shared" si="1728"/>
        <v>0</v>
      </c>
      <c r="FE288" s="91">
        <f t="shared" si="1729"/>
        <v>0</v>
      </c>
      <c r="FF288" s="91">
        <f t="shared" si="1730"/>
        <v>0</v>
      </c>
      <c r="FU288" s="91">
        <f t="shared" si="1731"/>
        <v>0</v>
      </c>
      <c r="FV288" s="91">
        <f t="shared" si="1732"/>
        <v>0</v>
      </c>
      <c r="GK288" s="91">
        <f t="shared" si="1733"/>
        <v>0</v>
      </c>
      <c r="GL288" s="91">
        <f t="shared" si="1734"/>
        <v>0</v>
      </c>
      <c r="HA288" s="91">
        <f t="shared" si="1735"/>
        <v>0</v>
      </c>
      <c r="HB288" s="91">
        <f t="shared" si="1736"/>
        <v>0</v>
      </c>
      <c r="HQ288" s="91">
        <f t="shared" si="1737"/>
        <v>0</v>
      </c>
      <c r="HR288" s="91">
        <f t="shared" si="1738"/>
        <v>0</v>
      </c>
      <c r="IG288" s="91">
        <f t="shared" si="1739"/>
        <v>0</v>
      </c>
      <c r="IH288" s="91">
        <f t="shared" si="1740"/>
        <v>0</v>
      </c>
      <c r="IW288" s="91">
        <f t="shared" si="1741"/>
        <v>0</v>
      </c>
      <c r="IX288" s="91">
        <f t="shared" si="1742"/>
        <v>0</v>
      </c>
      <c r="JM288" s="91">
        <f t="shared" si="1743"/>
        <v>0</v>
      </c>
      <c r="JN288" s="91">
        <f t="shared" si="1744"/>
        <v>0</v>
      </c>
      <c r="KC288" s="91">
        <f t="shared" si="1745"/>
        <v>0</v>
      </c>
      <c r="KD288" s="91">
        <f t="shared" si="1746"/>
        <v>0</v>
      </c>
      <c r="KS288" s="91">
        <f t="shared" si="1747"/>
        <v>0</v>
      </c>
      <c r="KT288" s="91">
        <f t="shared" si="1748"/>
        <v>0</v>
      </c>
      <c r="LI288" s="91">
        <f t="shared" si="1749"/>
        <v>0</v>
      </c>
      <c r="LJ288" s="91">
        <f t="shared" si="1750"/>
        <v>0</v>
      </c>
      <c r="LY288" s="91">
        <f t="shared" si="1751"/>
        <v>0</v>
      </c>
      <c r="LZ288" s="91">
        <f t="shared" si="1752"/>
        <v>0</v>
      </c>
      <c r="MC288" s="98">
        <v>3410</v>
      </c>
      <c r="MD288" s="98">
        <v>341000</v>
      </c>
      <c r="MO288" s="91">
        <f t="shared" si="1753"/>
        <v>3410</v>
      </c>
      <c r="MP288" s="91">
        <f t="shared" si="1754"/>
        <v>341000</v>
      </c>
      <c r="MS288" s="98">
        <v>70</v>
      </c>
      <c r="MT288" s="98">
        <v>7000</v>
      </c>
      <c r="NE288" s="91">
        <f t="shared" si="1755"/>
        <v>70</v>
      </c>
      <c r="NF288" s="91">
        <f t="shared" si="1756"/>
        <v>7000</v>
      </c>
      <c r="NI288" s="98">
        <v>19400</v>
      </c>
      <c r="NJ288" s="98">
        <v>776000</v>
      </c>
      <c r="NU288" s="91">
        <f t="shared" si="1757"/>
        <v>19400</v>
      </c>
      <c r="NV288" s="91">
        <f t="shared" si="1758"/>
        <v>776000</v>
      </c>
      <c r="OK288" s="91">
        <f t="shared" si="1759"/>
        <v>0</v>
      </c>
      <c r="OL288" s="91">
        <f t="shared" si="1760"/>
        <v>0</v>
      </c>
      <c r="PA288" s="91">
        <f t="shared" si="1761"/>
        <v>0</v>
      </c>
      <c r="PB288" s="91">
        <f t="shared" si="1762"/>
        <v>0</v>
      </c>
      <c r="PQ288" s="91">
        <f t="shared" si="1763"/>
        <v>0</v>
      </c>
      <c r="PR288" s="91">
        <f t="shared" si="1764"/>
        <v>0</v>
      </c>
      <c r="QG288" s="91">
        <f t="shared" si="1765"/>
        <v>0</v>
      </c>
      <c r="QH288" s="91">
        <f t="shared" si="1766"/>
        <v>0</v>
      </c>
      <c r="QW288" s="91">
        <f t="shared" si="1767"/>
        <v>0</v>
      </c>
      <c r="QX288" s="91">
        <f t="shared" si="1768"/>
        <v>0</v>
      </c>
      <c r="RM288" s="91">
        <f t="shared" si="1769"/>
        <v>0</v>
      </c>
      <c r="RN288" s="91">
        <f t="shared" si="1770"/>
        <v>0</v>
      </c>
      <c r="SC288" s="91">
        <f t="shared" si="1771"/>
        <v>0</v>
      </c>
      <c r="SD288" s="91">
        <f t="shared" si="1772"/>
        <v>0</v>
      </c>
      <c r="SS288" s="91">
        <f t="shared" si="1773"/>
        <v>0</v>
      </c>
      <c r="ST288" s="91">
        <f t="shared" si="1774"/>
        <v>0</v>
      </c>
      <c r="TI288" s="91">
        <f t="shared" si="1775"/>
        <v>0</v>
      </c>
      <c r="TJ288" s="91">
        <f t="shared" si="1776"/>
        <v>0</v>
      </c>
      <c r="TY288" s="91">
        <f t="shared" si="1777"/>
        <v>0</v>
      </c>
      <c r="TZ288" s="91">
        <f t="shared" si="1778"/>
        <v>0</v>
      </c>
      <c r="UO288" s="91">
        <f t="shared" si="1779"/>
        <v>0</v>
      </c>
      <c r="UP288" s="91">
        <f t="shared" si="1780"/>
        <v>0</v>
      </c>
      <c r="VE288" s="91">
        <f t="shared" si="1781"/>
        <v>0</v>
      </c>
      <c r="VF288" s="91">
        <f t="shared" si="1782"/>
        <v>0</v>
      </c>
      <c r="VI288" s="98">
        <v>207</v>
      </c>
      <c r="VJ288" s="98">
        <v>12420</v>
      </c>
      <c r="VU288" s="91">
        <f t="shared" si="1783"/>
        <v>207</v>
      </c>
      <c r="VV288" s="91">
        <f t="shared" si="1784"/>
        <v>12420</v>
      </c>
      <c r="WK288" s="91">
        <f t="shared" si="1785"/>
        <v>0</v>
      </c>
      <c r="WL288" s="91">
        <f t="shared" si="1786"/>
        <v>0</v>
      </c>
      <c r="WM288" s="89"/>
      <c r="WN288" s="87">
        <f t="shared" si="1787"/>
        <v>0</v>
      </c>
      <c r="WO288" s="87">
        <f t="shared" si="1788"/>
        <v>0</v>
      </c>
      <c r="WP288" s="87">
        <f t="shared" si="1789"/>
        <v>62360</v>
      </c>
      <c r="WQ288" s="87">
        <f t="shared" si="1790"/>
        <v>2837967</v>
      </c>
      <c r="WR288" s="87">
        <f t="shared" si="1791"/>
        <v>0</v>
      </c>
      <c r="WS288" s="87">
        <f t="shared" si="1792"/>
        <v>0</v>
      </c>
      <c r="WT288" s="87">
        <f t="shared" si="1793"/>
        <v>0</v>
      </c>
      <c r="WU288" s="87">
        <f t="shared" si="1794"/>
        <v>0</v>
      </c>
      <c r="WV288" s="87">
        <f t="shared" si="1795"/>
        <v>0</v>
      </c>
      <c r="WW288" s="87">
        <f t="shared" si="1796"/>
        <v>0</v>
      </c>
      <c r="WX288" s="87">
        <f t="shared" si="1797"/>
        <v>0</v>
      </c>
      <c r="WY288" s="87">
        <f t="shared" si="1798"/>
        <v>0</v>
      </c>
      <c r="WZ288" s="87">
        <f t="shared" si="1799"/>
        <v>0</v>
      </c>
      <c r="XA288" s="87">
        <f t="shared" si="1800"/>
        <v>0</v>
      </c>
      <c r="XB288" s="92">
        <f t="shared" si="1801"/>
        <v>62360</v>
      </c>
      <c r="XC288" s="92">
        <f t="shared" si="1802"/>
        <v>2837967</v>
      </c>
      <c r="XD288" s="89"/>
      <c r="XE288" s="92"/>
      <c r="XF288" s="92"/>
      <c r="XG288" s="89"/>
      <c r="XH288" s="92"/>
      <c r="XI288" s="92"/>
      <c r="XJ288" s="89"/>
      <c r="XK288" s="87"/>
      <c r="XL288" s="87"/>
      <c r="XM288" s="87"/>
      <c r="XN288" s="87"/>
      <c r="XO288" s="87"/>
      <c r="XP288" s="87"/>
      <c r="XQ288" s="87"/>
      <c r="XR288" s="92">
        <f t="shared" ca="1" si="1803"/>
        <v>0</v>
      </c>
      <c r="XS288" s="89"/>
      <c r="XT288" s="87"/>
      <c r="XU288" s="87"/>
      <c r="XV288" s="87"/>
      <c r="XW288" s="87"/>
      <c r="XX288" s="87"/>
      <c r="XY288" s="87"/>
      <c r="XZ288" s="87"/>
      <c r="YA288" s="92">
        <f t="shared" ca="1" si="1804"/>
        <v>0</v>
      </c>
      <c r="YB288" s="90"/>
      <c r="YC288" s="90"/>
      <c r="YD288" s="90"/>
      <c r="YE288" s="90"/>
      <c r="YF288" s="90"/>
      <c r="YG288" s="90"/>
      <c r="YH288" s="90"/>
      <c r="YI288" s="90"/>
      <c r="YJ288" s="90"/>
      <c r="YK288" s="90"/>
      <c r="YL288" s="90"/>
      <c r="YM288" s="90"/>
      <c r="YN288" s="90"/>
      <c r="YO288" s="90"/>
      <c r="YP288" s="90"/>
      <c r="YQ288" s="90"/>
      <c r="YR288" s="90"/>
      <c r="YS288" s="90"/>
      <c r="YT288" s="90"/>
      <c r="YU288" s="90"/>
      <c r="YV288" s="90"/>
      <c r="YW288" s="90"/>
      <c r="YX288" s="90"/>
      <c r="YY288" s="90"/>
      <c r="YZ288" s="90"/>
      <c r="ZA288" s="90"/>
      <c r="ZB288" s="90"/>
      <c r="ZC288" s="90"/>
      <c r="ZD288" s="90"/>
      <c r="ZE288" s="90"/>
      <c r="ZF288" s="90"/>
      <c r="ZG288" s="90"/>
      <c r="ZH288" s="90"/>
      <c r="ZI288" s="90"/>
      <c r="ZJ288" s="90"/>
      <c r="ZK288" s="90"/>
      <c r="ZL288" s="90"/>
      <c r="ZM288" s="90"/>
      <c r="ZN288" s="90"/>
      <c r="ZO288" s="90"/>
      <c r="ZP288" s="90"/>
      <c r="ZQ288" s="90"/>
      <c r="ZR288" s="90"/>
      <c r="ZS288" s="90"/>
      <c r="ZT288" s="90"/>
      <c r="ZU288" s="90"/>
      <c r="ZV288" s="90"/>
      <c r="ZW288" s="90"/>
      <c r="ZX288" s="90"/>
      <c r="ZY288" s="90"/>
      <c r="ZZ288" s="90"/>
      <c r="AAA288" s="90"/>
      <c r="AAB288" s="90"/>
      <c r="AAC288" s="90"/>
      <c r="AAD288" s="90"/>
      <c r="AAE288" s="90"/>
      <c r="AAF288" s="90"/>
      <c r="AAG288" s="90"/>
      <c r="AAH288" s="90"/>
      <c r="AAI288" s="90"/>
      <c r="AAJ288" s="90"/>
      <c r="AAK288" s="90"/>
      <c r="AAL288" s="90"/>
      <c r="AAM288" s="90"/>
      <c r="AAN288" s="90"/>
      <c r="AAO288" s="90"/>
      <c r="AAP288" s="90"/>
      <c r="AAQ288" s="90"/>
      <c r="AAR288" s="90"/>
      <c r="AAS288" s="90"/>
      <c r="AAT288" s="90"/>
      <c r="AAU288" s="90"/>
      <c r="AAV288" s="90"/>
      <c r="AAW288" s="90"/>
      <c r="AAX288" s="90"/>
      <c r="AAY288" s="90"/>
      <c r="AAZ288" s="90"/>
      <c r="ABA288" s="90"/>
      <c r="ABB288" s="90"/>
      <c r="ABC288" s="90"/>
      <c r="ABD288" s="90"/>
      <c r="ABE288" s="90"/>
      <c r="ABF288" s="90"/>
      <c r="ABG288" s="90"/>
      <c r="ABH288" s="90"/>
      <c r="ABI288" s="90"/>
      <c r="ABJ288" s="90"/>
      <c r="ABK288" s="90"/>
      <c r="ABL288" s="90"/>
      <c r="ABM288" s="90"/>
      <c r="ABN288" s="90"/>
      <c r="ABO288" s="90"/>
      <c r="ABP288" s="90"/>
      <c r="ABQ288" s="90"/>
      <c r="ABR288" s="90"/>
      <c r="ABS288" s="90"/>
      <c r="ABT288" s="90"/>
      <c r="ABU288" s="90"/>
      <c r="ABV288" s="90"/>
      <c r="ABW288" s="90"/>
      <c r="ABX288" s="90"/>
      <c r="ABY288" s="90"/>
      <c r="ABZ288" s="90"/>
      <c r="ACA288" s="90"/>
      <c r="ACB288" s="90"/>
      <c r="ACC288" s="90"/>
      <c r="ACD288" s="90"/>
      <c r="ACE288" s="90"/>
      <c r="ACF288" s="90"/>
      <c r="ACG288" s="90"/>
      <c r="ACH288" s="90"/>
      <c r="ACI288" s="90"/>
      <c r="ACJ288" s="90"/>
      <c r="ACK288" s="90"/>
      <c r="ACL288" s="90"/>
      <c r="ACM288" s="90"/>
      <c r="ACN288" s="90"/>
      <c r="ACO288" s="90"/>
      <c r="ACP288" s="90"/>
      <c r="ACQ288" s="90"/>
      <c r="ACR288" s="90"/>
      <c r="ACS288" s="90"/>
      <c r="ACT288" s="90"/>
      <c r="ACU288" s="90"/>
      <c r="ACV288" s="90"/>
      <c r="ACW288" s="90"/>
      <c r="ACX288" s="90"/>
      <c r="ACY288" s="90"/>
      <c r="ACZ288" s="90"/>
      <c r="ADA288" s="90"/>
      <c r="ADB288" s="90"/>
      <c r="ADC288" s="90"/>
      <c r="ADD288" s="90"/>
      <c r="ADE288" s="90"/>
      <c r="ADF288" s="90"/>
      <c r="ADG288" s="90"/>
      <c r="ADH288" s="90"/>
      <c r="ADI288" s="90"/>
      <c r="ADJ288" s="90"/>
      <c r="ADK288" s="90"/>
      <c r="ADL288" s="90"/>
      <c r="ADM288" s="90"/>
      <c r="ADN288" s="90"/>
      <c r="ADO288" s="90"/>
      <c r="ADP288" s="90"/>
      <c r="ADQ288" s="90"/>
      <c r="ADR288" s="90"/>
      <c r="ADS288" s="90"/>
      <c r="ADT288" s="90"/>
      <c r="ADU288" s="90"/>
      <c r="ADV288" s="90"/>
      <c r="ADW288" s="90"/>
      <c r="ADX288" s="90"/>
      <c r="ADY288" s="90"/>
      <c r="ADZ288" s="90"/>
      <c r="AEA288" s="90"/>
      <c r="AEB288" s="90"/>
      <c r="AEC288" s="90"/>
      <c r="AED288" s="90"/>
      <c r="AEE288" s="90"/>
      <c r="AEF288" s="90"/>
      <c r="AEG288" s="90"/>
      <c r="AEH288" s="90"/>
      <c r="AEI288" s="90"/>
      <c r="AEJ288" s="90"/>
      <c r="AEK288" s="90"/>
      <c r="AEL288" s="90"/>
      <c r="AEM288" s="90"/>
      <c r="AEN288" s="90"/>
      <c r="AEO288" s="90"/>
      <c r="AEP288" s="90"/>
      <c r="AEQ288" s="90"/>
      <c r="AER288" s="90"/>
      <c r="AES288" s="90"/>
      <c r="AET288" s="90"/>
      <c r="AEU288" s="90"/>
      <c r="AEV288" s="90"/>
      <c r="AEW288" s="90"/>
      <c r="AEX288" s="90"/>
      <c r="AEY288" s="90"/>
      <c r="AEZ288" s="90"/>
      <c r="AFA288" s="90"/>
      <c r="AFB288" s="90"/>
      <c r="AFC288" s="90"/>
      <c r="AFD288" s="90"/>
      <c r="AFE288" s="90"/>
      <c r="AFF288" s="90"/>
      <c r="AFG288" s="90"/>
      <c r="AFH288" s="90"/>
      <c r="AFI288" s="90"/>
      <c r="AFJ288" s="90"/>
      <c r="AFK288" s="90"/>
      <c r="AFL288" s="90"/>
      <c r="AFM288" s="90"/>
      <c r="AFN288" s="90"/>
      <c r="AFO288" s="90"/>
      <c r="AFP288" s="90"/>
      <c r="AFQ288" s="90"/>
      <c r="AFR288" s="90"/>
      <c r="AFS288" s="90"/>
      <c r="AFT288" s="90"/>
      <c r="AFU288" s="90"/>
      <c r="AFV288" s="90"/>
      <c r="AFW288" s="90"/>
      <c r="AFX288" s="90"/>
      <c r="AFY288" s="90"/>
      <c r="AFZ288" s="90"/>
      <c r="AGA288" s="90"/>
      <c r="AGB288" s="90"/>
      <c r="AGC288" s="90"/>
      <c r="AGD288" s="90"/>
      <c r="AGE288" s="90"/>
      <c r="AGF288" s="90"/>
      <c r="AGG288" s="90"/>
      <c r="AGH288" s="90"/>
      <c r="AGI288" s="90"/>
      <c r="AGJ288" s="90"/>
      <c r="AGK288" s="90"/>
      <c r="AGL288" s="90"/>
      <c r="AGM288" s="90"/>
      <c r="AGN288" s="90"/>
      <c r="AGO288" s="90"/>
      <c r="AGP288" s="90"/>
      <c r="AGQ288" s="90"/>
      <c r="AGR288" s="90"/>
      <c r="AGS288" s="90"/>
      <c r="AGT288" s="90"/>
      <c r="AGU288" s="90"/>
      <c r="AGV288" s="90"/>
      <c r="AGW288" s="90"/>
      <c r="AGX288" s="90"/>
      <c r="AGY288" s="90"/>
      <c r="AGZ288" s="90"/>
      <c r="AHA288" s="90"/>
      <c r="AHB288" s="90"/>
      <c r="AHC288" s="90"/>
      <c r="AHD288" s="90"/>
      <c r="AHE288" s="90"/>
      <c r="AHF288" s="90"/>
      <c r="AHG288" s="90"/>
      <c r="AHH288" s="90"/>
      <c r="AHI288" s="90"/>
      <c r="AHJ288" s="90"/>
      <c r="AHK288" s="90"/>
      <c r="AHL288" s="90"/>
      <c r="AHM288" s="90"/>
      <c r="AHN288" s="90"/>
      <c r="AHO288" s="90"/>
      <c r="AHP288" s="90"/>
      <c r="AHQ288" s="90"/>
      <c r="AHR288" s="90"/>
      <c r="AHS288" s="90"/>
      <c r="AHT288" s="90"/>
      <c r="AHU288" s="90"/>
      <c r="AHV288" s="90"/>
      <c r="AHW288" s="90"/>
      <c r="AHX288" s="90"/>
      <c r="AHY288" s="90"/>
      <c r="AHZ288" s="90"/>
      <c r="AIA288" s="90"/>
      <c r="AIB288" s="90"/>
      <c r="AIC288" s="90"/>
      <c r="AID288" s="90"/>
      <c r="AIE288" s="90"/>
      <c r="AIF288" s="90"/>
      <c r="AIG288" s="90"/>
      <c r="AIH288" s="90"/>
      <c r="AII288" s="90"/>
      <c r="AIJ288" s="90"/>
      <c r="AIK288" s="90"/>
      <c r="AIL288" s="90"/>
      <c r="AIM288" s="90"/>
      <c r="AIN288" s="90"/>
      <c r="AIO288" s="90"/>
      <c r="AIP288" s="90"/>
      <c r="AIQ288" s="90"/>
      <c r="AIR288" s="90"/>
      <c r="AIS288" s="90"/>
      <c r="AIT288" s="90"/>
      <c r="AIU288" s="90"/>
      <c r="AIV288" s="90"/>
      <c r="AIW288" s="90"/>
      <c r="AIX288" s="90"/>
      <c r="AIY288" s="90"/>
      <c r="AIZ288" s="90"/>
      <c r="AJA288" s="90"/>
      <c r="AJB288" s="90"/>
      <c r="AJC288" s="90"/>
      <c r="AJD288" s="90"/>
      <c r="AJE288" s="90"/>
      <c r="AJF288" s="90"/>
      <c r="AJG288" s="90"/>
      <c r="AJH288" s="90"/>
      <c r="AJI288" s="90"/>
      <c r="AJJ288" s="90"/>
      <c r="AJK288" s="90"/>
      <c r="AJL288" s="90"/>
      <c r="AJM288" s="90"/>
      <c r="AJN288" s="90"/>
      <c r="AJO288" s="90"/>
      <c r="AJP288" s="90"/>
      <c r="AJQ288" s="90"/>
      <c r="AJR288" s="90"/>
      <c r="AJS288" s="90"/>
      <c r="AJT288" s="90"/>
      <c r="AJU288" s="90"/>
      <c r="AJV288" s="90"/>
      <c r="AJW288" s="90"/>
      <c r="AJX288" s="90"/>
      <c r="AJY288" s="90"/>
      <c r="AJZ288" s="90"/>
      <c r="AKA288" s="90"/>
      <c r="AKB288" s="90"/>
      <c r="AKC288" s="90"/>
      <c r="AKD288" s="90"/>
      <c r="AKE288" s="90"/>
      <c r="AKF288" s="90"/>
      <c r="AKG288" s="90"/>
      <c r="AKH288" s="90"/>
      <c r="AKI288" s="90"/>
      <c r="AKJ288" s="90"/>
      <c r="AKK288" s="90"/>
      <c r="AKL288" s="90"/>
      <c r="AKM288" s="90"/>
      <c r="AKN288" s="90"/>
      <c r="AKO288" s="90"/>
      <c r="AKP288" s="90"/>
      <c r="AKQ288" s="90"/>
      <c r="AKR288" s="90"/>
      <c r="AKS288" s="90"/>
      <c r="AKT288" s="90"/>
      <c r="AKU288" s="90"/>
      <c r="AKV288" s="90"/>
      <c r="AKW288" s="90"/>
      <c r="AKX288" s="90"/>
      <c r="AKY288" s="90"/>
      <c r="AKZ288" s="90"/>
      <c r="ALA288" s="90"/>
      <c r="ALB288" s="90"/>
      <c r="ALC288" s="90"/>
      <c r="ALD288" s="90"/>
      <c r="ALE288" s="90"/>
      <c r="ALF288" s="90"/>
      <c r="ALG288" s="90"/>
      <c r="ALH288" s="90"/>
      <c r="ALI288" s="90"/>
      <c r="ALJ288" s="90"/>
      <c r="ALK288" s="90"/>
      <c r="ALL288" s="90"/>
      <c r="ALM288" s="90"/>
      <c r="ALN288" s="90"/>
      <c r="ALO288" s="90"/>
      <c r="ALP288" s="90"/>
      <c r="ALQ288" s="90"/>
      <c r="ALR288" s="90"/>
      <c r="ALS288" s="90"/>
      <c r="ALT288" s="90"/>
      <c r="ALU288" s="90"/>
      <c r="ALV288" s="90"/>
      <c r="ALW288" s="90"/>
      <c r="ALX288" s="90"/>
      <c r="ALY288" s="90"/>
      <c r="ALZ288" s="90"/>
      <c r="AMA288" s="90"/>
      <c r="AMB288" s="90"/>
      <c r="AMC288" s="90"/>
    </row>
    <row r="289" spans="1:1017">
      <c r="A289" s="98" t="s">
        <v>52</v>
      </c>
      <c r="B289" s="90" t="str">
        <f t="shared" si="1710"/>
        <v xml:space="preserve">Kerang Hijau </v>
      </c>
      <c r="Q289" s="91">
        <f t="shared" si="1711"/>
        <v>0</v>
      </c>
      <c r="R289" s="91">
        <f t="shared" si="1712"/>
        <v>0</v>
      </c>
      <c r="AG289" s="91">
        <f t="shared" si="1713"/>
        <v>0</v>
      </c>
      <c r="AH289" s="91">
        <f t="shared" si="1714"/>
        <v>0</v>
      </c>
      <c r="AW289" s="91">
        <f t="shared" si="1715"/>
        <v>0</v>
      </c>
      <c r="AX289" s="91">
        <f t="shared" si="1716"/>
        <v>0</v>
      </c>
      <c r="BM289" s="91">
        <f t="shared" si="1717"/>
        <v>0</v>
      </c>
      <c r="BN289" s="91">
        <f t="shared" si="1718"/>
        <v>0</v>
      </c>
      <c r="CC289" s="91">
        <f t="shared" si="1719"/>
        <v>0</v>
      </c>
      <c r="CD289" s="91">
        <f t="shared" si="1720"/>
        <v>0</v>
      </c>
      <c r="CE289" s="98">
        <v>1868475</v>
      </c>
      <c r="CF289" s="98">
        <v>7473898</v>
      </c>
      <c r="CS289" s="91">
        <f t="shared" si="1721"/>
        <v>1868475</v>
      </c>
      <c r="CT289" s="91">
        <f t="shared" si="1722"/>
        <v>7473898</v>
      </c>
      <c r="DI289" s="91">
        <f t="shared" si="1723"/>
        <v>0</v>
      </c>
      <c r="DJ289" s="91">
        <f t="shared" si="1724"/>
        <v>0</v>
      </c>
      <c r="DY289" s="91">
        <f t="shared" si="1725"/>
        <v>0</v>
      </c>
      <c r="DZ289" s="91">
        <f t="shared" si="1726"/>
        <v>0</v>
      </c>
      <c r="EO289" s="91">
        <f t="shared" si="1727"/>
        <v>0</v>
      </c>
      <c r="EP289" s="91">
        <f t="shared" si="1728"/>
        <v>0</v>
      </c>
      <c r="FE289" s="91">
        <f t="shared" si="1729"/>
        <v>0</v>
      </c>
      <c r="FF289" s="91">
        <f t="shared" si="1730"/>
        <v>0</v>
      </c>
      <c r="FU289" s="91">
        <f t="shared" si="1731"/>
        <v>0</v>
      </c>
      <c r="FV289" s="91">
        <f t="shared" si="1732"/>
        <v>0</v>
      </c>
      <c r="GK289" s="91">
        <f t="shared" si="1733"/>
        <v>0</v>
      </c>
      <c r="GL289" s="91">
        <f t="shared" si="1734"/>
        <v>0</v>
      </c>
      <c r="HA289" s="91">
        <f t="shared" si="1735"/>
        <v>0</v>
      </c>
      <c r="HB289" s="91">
        <f t="shared" si="1736"/>
        <v>0</v>
      </c>
      <c r="HQ289" s="91">
        <f t="shared" si="1737"/>
        <v>0</v>
      </c>
      <c r="HR289" s="91">
        <f t="shared" si="1738"/>
        <v>0</v>
      </c>
      <c r="IG289" s="91">
        <f t="shared" si="1739"/>
        <v>0</v>
      </c>
      <c r="IH289" s="91">
        <f t="shared" si="1740"/>
        <v>0</v>
      </c>
      <c r="IW289" s="91">
        <f t="shared" si="1741"/>
        <v>0</v>
      </c>
      <c r="IX289" s="91">
        <f t="shared" si="1742"/>
        <v>0</v>
      </c>
      <c r="JM289" s="91">
        <f t="shared" si="1743"/>
        <v>0</v>
      </c>
      <c r="JN289" s="91">
        <f t="shared" si="1744"/>
        <v>0</v>
      </c>
      <c r="KC289" s="91">
        <f t="shared" si="1745"/>
        <v>0</v>
      </c>
      <c r="KD289" s="91">
        <f t="shared" si="1746"/>
        <v>0</v>
      </c>
      <c r="KS289" s="91">
        <f t="shared" si="1747"/>
        <v>0</v>
      </c>
      <c r="KT289" s="91">
        <f t="shared" si="1748"/>
        <v>0</v>
      </c>
      <c r="LI289" s="91">
        <f t="shared" si="1749"/>
        <v>0</v>
      </c>
      <c r="LJ289" s="91">
        <f t="shared" si="1750"/>
        <v>0</v>
      </c>
      <c r="LY289" s="91">
        <f t="shared" si="1751"/>
        <v>0</v>
      </c>
      <c r="LZ289" s="91">
        <f t="shared" si="1752"/>
        <v>0</v>
      </c>
      <c r="MK289" s="98">
        <v>0</v>
      </c>
      <c r="MO289" s="91">
        <f t="shared" si="1753"/>
        <v>0</v>
      </c>
      <c r="MP289" s="91">
        <f t="shared" si="1754"/>
        <v>0</v>
      </c>
      <c r="NE289" s="91">
        <f t="shared" si="1755"/>
        <v>0</v>
      </c>
      <c r="NF289" s="91">
        <f t="shared" si="1756"/>
        <v>0</v>
      </c>
      <c r="NU289" s="91">
        <f t="shared" si="1757"/>
        <v>0</v>
      </c>
      <c r="NV289" s="91">
        <f t="shared" si="1758"/>
        <v>0</v>
      </c>
      <c r="OK289" s="91">
        <f t="shared" si="1759"/>
        <v>0</v>
      </c>
      <c r="OL289" s="91">
        <f t="shared" si="1760"/>
        <v>0</v>
      </c>
      <c r="PA289" s="91">
        <f t="shared" si="1761"/>
        <v>0</v>
      </c>
      <c r="PB289" s="91">
        <f t="shared" si="1762"/>
        <v>0</v>
      </c>
      <c r="PQ289" s="91">
        <f t="shared" si="1763"/>
        <v>0</v>
      </c>
      <c r="PR289" s="91">
        <f t="shared" si="1764"/>
        <v>0</v>
      </c>
      <c r="QG289" s="91">
        <f t="shared" si="1765"/>
        <v>0</v>
      </c>
      <c r="QH289" s="91">
        <f t="shared" si="1766"/>
        <v>0</v>
      </c>
      <c r="QW289" s="91">
        <f t="shared" si="1767"/>
        <v>0</v>
      </c>
      <c r="QX289" s="91">
        <f t="shared" si="1768"/>
        <v>0</v>
      </c>
      <c r="RM289" s="91">
        <f t="shared" si="1769"/>
        <v>0</v>
      </c>
      <c r="RN289" s="91">
        <f t="shared" si="1770"/>
        <v>0</v>
      </c>
      <c r="SC289" s="91">
        <f t="shared" si="1771"/>
        <v>0</v>
      </c>
      <c r="SD289" s="91">
        <f t="shared" si="1772"/>
        <v>0</v>
      </c>
      <c r="SS289" s="91">
        <f t="shared" si="1773"/>
        <v>0</v>
      </c>
      <c r="ST289" s="91">
        <f t="shared" si="1774"/>
        <v>0</v>
      </c>
      <c r="TI289" s="91">
        <f t="shared" si="1775"/>
        <v>0</v>
      </c>
      <c r="TJ289" s="91">
        <f t="shared" si="1776"/>
        <v>0</v>
      </c>
      <c r="TY289" s="91">
        <f t="shared" si="1777"/>
        <v>0</v>
      </c>
      <c r="TZ289" s="91">
        <f t="shared" si="1778"/>
        <v>0</v>
      </c>
      <c r="UO289" s="91">
        <f t="shared" si="1779"/>
        <v>0</v>
      </c>
      <c r="UP289" s="91">
        <f t="shared" si="1780"/>
        <v>0</v>
      </c>
      <c r="VE289" s="91">
        <f t="shared" si="1781"/>
        <v>0</v>
      </c>
      <c r="VF289" s="91">
        <f t="shared" si="1782"/>
        <v>0</v>
      </c>
      <c r="VU289" s="91">
        <f t="shared" si="1783"/>
        <v>0</v>
      </c>
      <c r="VV289" s="91">
        <f t="shared" si="1784"/>
        <v>0</v>
      </c>
      <c r="WK289" s="91">
        <f t="shared" si="1785"/>
        <v>0</v>
      </c>
      <c r="WL289" s="91">
        <f t="shared" si="1786"/>
        <v>0</v>
      </c>
      <c r="WM289" s="89"/>
      <c r="WN289" s="87">
        <f t="shared" si="1787"/>
        <v>1868475</v>
      </c>
      <c r="WO289" s="87">
        <f t="shared" si="1788"/>
        <v>7473898</v>
      </c>
      <c r="WP289" s="87">
        <f t="shared" si="1789"/>
        <v>0</v>
      </c>
      <c r="WQ289" s="87">
        <f t="shared" si="1790"/>
        <v>0</v>
      </c>
      <c r="WR289" s="87">
        <f t="shared" si="1791"/>
        <v>0</v>
      </c>
      <c r="WS289" s="87">
        <f t="shared" si="1792"/>
        <v>0</v>
      </c>
      <c r="WT289" s="87">
        <f t="shared" si="1793"/>
        <v>0</v>
      </c>
      <c r="WU289" s="87">
        <f t="shared" si="1794"/>
        <v>0</v>
      </c>
      <c r="WV289" s="87">
        <f t="shared" si="1795"/>
        <v>0</v>
      </c>
      <c r="WW289" s="87">
        <f t="shared" si="1796"/>
        <v>0</v>
      </c>
      <c r="WX289" s="87">
        <f t="shared" si="1797"/>
        <v>0</v>
      </c>
      <c r="WY289" s="87">
        <f t="shared" si="1798"/>
        <v>0</v>
      </c>
      <c r="WZ289" s="87">
        <f t="shared" si="1799"/>
        <v>0</v>
      </c>
      <c r="XA289" s="87">
        <f t="shared" si="1800"/>
        <v>0</v>
      </c>
      <c r="XB289" s="92">
        <f t="shared" si="1801"/>
        <v>1868475</v>
      </c>
      <c r="XC289" s="92">
        <f t="shared" si="1802"/>
        <v>7473898</v>
      </c>
      <c r="XD289" s="89"/>
      <c r="XE289" s="92"/>
      <c r="XF289" s="92"/>
      <c r="XG289" s="89"/>
      <c r="XH289" s="92"/>
      <c r="XI289" s="92"/>
      <c r="XJ289" s="89"/>
      <c r="XK289" s="87"/>
      <c r="XL289" s="87"/>
      <c r="XM289" s="87"/>
      <c r="XN289" s="87"/>
      <c r="XO289" s="87"/>
      <c r="XP289" s="87"/>
      <c r="XQ289" s="87"/>
      <c r="XR289" s="92">
        <f t="shared" ca="1" si="1803"/>
        <v>0</v>
      </c>
      <c r="XS289" s="89"/>
      <c r="XT289" s="87"/>
      <c r="XU289" s="87"/>
      <c r="XV289" s="87"/>
      <c r="XW289" s="87"/>
      <c r="XX289" s="87"/>
      <c r="XY289" s="87"/>
      <c r="XZ289" s="87"/>
      <c r="YA289" s="92">
        <f t="shared" ca="1" si="1804"/>
        <v>0</v>
      </c>
      <c r="YB289" s="90"/>
      <c r="YC289" s="90"/>
      <c r="YD289" s="90"/>
      <c r="YE289" s="90"/>
      <c r="YF289" s="90"/>
      <c r="YG289" s="90"/>
      <c r="YH289" s="90"/>
      <c r="YI289" s="90"/>
      <c r="YJ289" s="90"/>
      <c r="YK289" s="90"/>
      <c r="YL289" s="90"/>
      <c r="YM289" s="90"/>
      <c r="YN289" s="90"/>
      <c r="YO289" s="90"/>
      <c r="YP289" s="90"/>
      <c r="YQ289" s="90"/>
      <c r="YR289" s="90"/>
      <c r="YS289" s="90"/>
      <c r="YT289" s="90"/>
      <c r="YU289" s="90"/>
      <c r="YV289" s="90"/>
      <c r="YW289" s="90"/>
      <c r="YX289" s="90"/>
      <c r="YY289" s="90"/>
      <c r="YZ289" s="90"/>
      <c r="ZA289" s="90"/>
      <c r="ZB289" s="90"/>
      <c r="ZC289" s="90"/>
      <c r="ZD289" s="90"/>
      <c r="ZE289" s="90"/>
      <c r="ZF289" s="90"/>
      <c r="ZG289" s="90"/>
      <c r="ZH289" s="90"/>
      <c r="ZI289" s="90"/>
      <c r="ZJ289" s="90"/>
      <c r="ZK289" s="90"/>
      <c r="ZL289" s="90"/>
      <c r="ZM289" s="90"/>
      <c r="ZN289" s="90"/>
      <c r="ZO289" s="90"/>
      <c r="ZP289" s="90"/>
      <c r="ZQ289" s="90"/>
      <c r="ZR289" s="90"/>
      <c r="ZS289" s="90"/>
      <c r="ZT289" s="90"/>
      <c r="ZU289" s="90"/>
      <c r="ZV289" s="90"/>
      <c r="ZW289" s="90"/>
      <c r="ZX289" s="90"/>
      <c r="ZY289" s="90"/>
      <c r="ZZ289" s="90"/>
      <c r="AAA289" s="90"/>
      <c r="AAB289" s="90"/>
      <c r="AAC289" s="90"/>
      <c r="AAD289" s="90"/>
      <c r="AAE289" s="90"/>
      <c r="AAF289" s="90"/>
      <c r="AAG289" s="90"/>
      <c r="AAH289" s="90"/>
      <c r="AAI289" s="90"/>
      <c r="AAJ289" s="90"/>
      <c r="AAK289" s="90"/>
      <c r="AAL289" s="90"/>
      <c r="AAM289" s="90"/>
      <c r="AAN289" s="90"/>
      <c r="AAO289" s="90"/>
      <c r="AAP289" s="90"/>
      <c r="AAQ289" s="90"/>
      <c r="AAR289" s="90"/>
      <c r="AAS289" s="90"/>
      <c r="AAT289" s="90"/>
      <c r="AAU289" s="90"/>
      <c r="AAV289" s="90"/>
      <c r="AAW289" s="90"/>
      <c r="AAX289" s="90"/>
      <c r="AAY289" s="90"/>
      <c r="AAZ289" s="90"/>
      <c r="ABA289" s="90"/>
      <c r="ABB289" s="90"/>
      <c r="ABC289" s="90"/>
      <c r="ABD289" s="90"/>
      <c r="ABE289" s="90"/>
      <c r="ABF289" s="90"/>
      <c r="ABG289" s="90"/>
      <c r="ABH289" s="90"/>
      <c r="ABI289" s="90"/>
      <c r="ABJ289" s="90"/>
      <c r="ABK289" s="90"/>
      <c r="ABL289" s="90"/>
      <c r="ABM289" s="90"/>
      <c r="ABN289" s="90"/>
      <c r="ABO289" s="90"/>
      <c r="ABP289" s="90"/>
      <c r="ABQ289" s="90"/>
      <c r="ABR289" s="90"/>
      <c r="ABS289" s="90"/>
      <c r="ABT289" s="90"/>
      <c r="ABU289" s="90"/>
      <c r="ABV289" s="90"/>
      <c r="ABW289" s="90"/>
      <c r="ABX289" s="90"/>
      <c r="ABY289" s="90"/>
      <c r="ABZ289" s="90"/>
      <c r="ACA289" s="90"/>
      <c r="ACB289" s="90"/>
      <c r="ACC289" s="90"/>
      <c r="ACD289" s="90"/>
      <c r="ACE289" s="90"/>
      <c r="ACF289" s="90"/>
      <c r="ACG289" s="90"/>
      <c r="ACH289" s="90"/>
      <c r="ACI289" s="90"/>
      <c r="ACJ289" s="90"/>
      <c r="ACK289" s="90"/>
      <c r="ACL289" s="90"/>
      <c r="ACM289" s="90"/>
      <c r="ACN289" s="90"/>
      <c r="ACO289" s="90"/>
      <c r="ACP289" s="90"/>
      <c r="ACQ289" s="90"/>
      <c r="ACR289" s="90"/>
      <c r="ACS289" s="90"/>
      <c r="ACT289" s="90"/>
      <c r="ACU289" s="90"/>
      <c r="ACV289" s="90"/>
      <c r="ACW289" s="90"/>
      <c r="ACX289" s="90"/>
      <c r="ACY289" s="90"/>
      <c r="ACZ289" s="90"/>
      <c r="ADA289" s="90"/>
      <c r="ADB289" s="90"/>
      <c r="ADC289" s="90"/>
      <c r="ADD289" s="90"/>
      <c r="ADE289" s="90"/>
      <c r="ADF289" s="90"/>
      <c r="ADG289" s="90"/>
      <c r="ADH289" s="90"/>
      <c r="ADI289" s="90"/>
      <c r="ADJ289" s="90"/>
      <c r="ADK289" s="90"/>
      <c r="ADL289" s="90"/>
      <c r="ADM289" s="90"/>
      <c r="ADN289" s="90"/>
      <c r="ADO289" s="90"/>
      <c r="ADP289" s="90"/>
      <c r="ADQ289" s="90"/>
      <c r="ADR289" s="90"/>
      <c r="ADS289" s="90"/>
      <c r="ADT289" s="90"/>
      <c r="ADU289" s="90"/>
      <c r="ADV289" s="90"/>
      <c r="ADW289" s="90"/>
      <c r="ADX289" s="90"/>
      <c r="ADY289" s="90"/>
      <c r="ADZ289" s="90"/>
      <c r="AEA289" s="90"/>
      <c r="AEB289" s="90"/>
      <c r="AEC289" s="90"/>
      <c r="AED289" s="90"/>
      <c r="AEE289" s="90"/>
      <c r="AEF289" s="90"/>
      <c r="AEG289" s="90"/>
      <c r="AEH289" s="90"/>
      <c r="AEI289" s="90"/>
      <c r="AEJ289" s="90"/>
      <c r="AEK289" s="90"/>
      <c r="AEL289" s="90"/>
      <c r="AEM289" s="90"/>
      <c r="AEN289" s="90"/>
      <c r="AEO289" s="90"/>
      <c r="AEP289" s="90"/>
      <c r="AEQ289" s="90"/>
      <c r="AER289" s="90"/>
      <c r="AES289" s="90"/>
      <c r="AET289" s="90"/>
      <c r="AEU289" s="90"/>
      <c r="AEV289" s="90"/>
      <c r="AEW289" s="90"/>
      <c r="AEX289" s="90"/>
      <c r="AEY289" s="90"/>
      <c r="AEZ289" s="90"/>
      <c r="AFA289" s="90"/>
      <c r="AFB289" s="90"/>
      <c r="AFC289" s="90"/>
      <c r="AFD289" s="90"/>
      <c r="AFE289" s="90"/>
      <c r="AFF289" s="90"/>
      <c r="AFG289" s="90"/>
      <c r="AFH289" s="90"/>
      <c r="AFI289" s="90"/>
      <c r="AFJ289" s="90"/>
      <c r="AFK289" s="90"/>
      <c r="AFL289" s="90"/>
      <c r="AFM289" s="90"/>
      <c r="AFN289" s="90"/>
      <c r="AFO289" s="90"/>
      <c r="AFP289" s="90"/>
      <c r="AFQ289" s="90"/>
      <c r="AFR289" s="90"/>
      <c r="AFS289" s="90"/>
      <c r="AFT289" s="90"/>
      <c r="AFU289" s="90"/>
      <c r="AFV289" s="90"/>
      <c r="AFW289" s="90"/>
      <c r="AFX289" s="90"/>
      <c r="AFY289" s="90"/>
      <c r="AFZ289" s="90"/>
      <c r="AGA289" s="90"/>
      <c r="AGB289" s="90"/>
      <c r="AGC289" s="90"/>
      <c r="AGD289" s="90"/>
      <c r="AGE289" s="90"/>
      <c r="AGF289" s="90"/>
      <c r="AGG289" s="90"/>
      <c r="AGH289" s="90"/>
      <c r="AGI289" s="90"/>
      <c r="AGJ289" s="90"/>
      <c r="AGK289" s="90"/>
      <c r="AGL289" s="90"/>
      <c r="AGM289" s="90"/>
      <c r="AGN289" s="90"/>
      <c r="AGO289" s="90"/>
      <c r="AGP289" s="90"/>
      <c r="AGQ289" s="90"/>
      <c r="AGR289" s="90"/>
      <c r="AGS289" s="90"/>
      <c r="AGT289" s="90"/>
      <c r="AGU289" s="90"/>
      <c r="AGV289" s="90"/>
      <c r="AGW289" s="90"/>
      <c r="AGX289" s="90"/>
      <c r="AGY289" s="90"/>
      <c r="AGZ289" s="90"/>
      <c r="AHA289" s="90"/>
      <c r="AHB289" s="90"/>
      <c r="AHC289" s="90"/>
      <c r="AHD289" s="90"/>
      <c r="AHE289" s="90"/>
      <c r="AHF289" s="90"/>
      <c r="AHG289" s="90"/>
      <c r="AHH289" s="90"/>
      <c r="AHI289" s="90"/>
      <c r="AHJ289" s="90"/>
      <c r="AHK289" s="90"/>
      <c r="AHL289" s="90"/>
      <c r="AHM289" s="90"/>
      <c r="AHN289" s="90"/>
      <c r="AHO289" s="90"/>
      <c r="AHP289" s="90"/>
      <c r="AHQ289" s="90"/>
      <c r="AHR289" s="90"/>
      <c r="AHS289" s="90"/>
      <c r="AHT289" s="90"/>
      <c r="AHU289" s="90"/>
      <c r="AHV289" s="90"/>
      <c r="AHW289" s="90"/>
      <c r="AHX289" s="90"/>
      <c r="AHY289" s="90"/>
      <c r="AHZ289" s="90"/>
      <c r="AIA289" s="90"/>
      <c r="AIB289" s="90"/>
      <c r="AIC289" s="90"/>
      <c r="AID289" s="90"/>
      <c r="AIE289" s="90"/>
      <c r="AIF289" s="90"/>
      <c r="AIG289" s="90"/>
      <c r="AIH289" s="90"/>
      <c r="AII289" s="90"/>
      <c r="AIJ289" s="90"/>
      <c r="AIK289" s="90"/>
      <c r="AIL289" s="90"/>
      <c r="AIM289" s="90"/>
      <c r="AIN289" s="90"/>
      <c r="AIO289" s="90"/>
      <c r="AIP289" s="90"/>
      <c r="AIQ289" s="90"/>
      <c r="AIR289" s="90"/>
      <c r="AIS289" s="90"/>
      <c r="AIT289" s="90"/>
      <c r="AIU289" s="90"/>
      <c r="AIV289" s="90"/>
      <c r="AIW289" s="90"/>
      <c r="AIX289" s="90"/>
      <c r="AIY289" s="90"/>
      <c r="AIZ289" s="90"/>
      <c r="AJA289" s="90"/>
      <c r="AJB289" s="90"/>
      <c r="AJC289" s="90"/>
      <c r="AJD289" s="90"/>
      <c r="AJE289" s="90"/>
      <c r="AJF289" s="90"/>
      <c r="AJG289" s="90"/>
      <c r="AJH289" s="90"/>
      <c r="AJI289" s="90"/>
      <c r="AJJ289" s="90"/>
      <c r="AJK289" s="90"/>
      <c r="AJL289" s="90"/>
      <c r="AJM289" s="90"/>
      <c r="AJN289" s="90"/>
      <c r="AJO289" s="90"/>
      <c r="AJP289" s="90"/>
      <c r="AJQ289" s="90"/>
      <c r="AJR289" s="90"/>
      <c r="AJS289" s="90"/>
      <c r="AJT289" s="90"/>
      <c r="AJU289" s="90"/>
      <c r="AJV289" s="90"/>
      <c r="AJW289" s="90"/>
      <c r="AJX289" s="90"/>
      <c r="AJY289" s="90"/>
      <c r="AJZ289" s="90"/>
      <c r="AKA289" s="90"/>
      <c r="AKB289" s="90"/>
      <c r="AKC289" s="90"/>
      <c r="AKD289" s="90"/>
      <c r="AKE289" s="90"/>
      <c r="AKF289" s="90"/>
      <c r="AKG289" s="90"/>
      <c r="AKH289" s="90"/>
      <c r="AKI289" s="90"/>
      <c r="AKJ289" s="90"/>
      <c r="AKK289" s="90"/>
      <c r="AKL289" s="90"/>
      <c r="AKM289" s="90"/>
      <c r="AKN289" s="90"/>
      <c r="AKO289" s="90"/>
      <c r="AKP289" s="90"/>
      <c r="AKQ289" s="90"/>
      <c r="AKR289" s="90"/>
      <c r="AKS289" s="90"/>
      <c r="AKT289" s="90"/>
      <c r="AKU289" s="90"/>
      <c r="AKV289" s="90"/>
      <c r="AKW289" s="90"/>
      <c r="AKX289" s="90"/>
      <c r="AKY289" s="90"/>
      <c r="AKZ289" s="90"/>
      <c r="ALA289" s="90"/>
      <c r="ALB289" s="90"/>
      <c r="ALC289" s="90"/>
      <c r="ALD289" s="90"/>
      <c r="ALE289" s="90"/>
      <c r="ALF289" s="90"/>
      <c r="ALG289" s="90"/>
      <c r="ALH289" s="90"/>
      <c r="ALI289" s="90"/>
      <c r="ALJ289" s="90"/>
      <c r="ALK289" s="90"/>
      <c r="ALL289" s="90"/>
      <c r="ALM289" s="90"/>
      <c r="ALN289" s="90"/>
      <c r="ALO289" s="90"/>
      <c r="ALP289" s="90"/>
      <c r="ALQ289" s="90"/>
      <c r="ALR289" s="90"/>
      <c r="ALS289" s="90"/>
      <c r="ALT289" s="90"/>
      <c r="ALU289" s="90"/>
      <c r="ALV289" s="90"/>
      <c r="ALW289" s="90"/>
      <c r="ALX289" s="90"/>
      <c r="ALY289" s="90"/>
      <c r="ALZ289" s="90"/>
      <c r="AMA289" s="90"/>
      <c r="AMB289" s="90"/>
      <c r="AMC289" s="90"/>
    </row>
    <row r="290" spans="1:1017">
      <c r="A290" s="98" t="s">
        <v>52</v>
      </c>
      <c r="B290" s="90" t="str">
        <f t="shared" si="1710"/>
        <v>Kerapu Cantang</v>
      </c>
      <c r="C290" s="610"/>
      <c r="D290" s="610"/>
      <c r="Q290" s="91">
        <f t="shared" si="1711"/>
        <v>0</v>
      </c>
      <c r="R290" s="91">
        <f t="shared" si="1712"/>
        <v>0</v>
      </c>
      <c r="S290" s="610">
        <v>460</v>
      </c>
      <c r="T290" s="610">
        <v>39100</v>
      </c>
      <c r="U290" s="98">
        <v>3405</v>
      </c>
      <c r="V290" s="98">
        <v>289425</v>
      </c>
      <c r="AG290" s="91">
        <f t="shared" si="1713"/>
        <v>3865</v>
      </c>
      <c r="AH290" s="91">
        <f t="shared" si="1714"/>
        <v>328525</v>
      </c>
      <c r="AI290" s="610"/>
      <c r="AJ290" s="610"/>
      <c r="AW290" s="91">
        <f t="shared" si="1715"/>
        <v>0</v>
      </c>
      <c r="AX290" s="91">
        <f t="shared" si="1716"/>
        <v>0</v>
      </c>
      <c r="AY290" s="610"/>
      <c r="AZ290" s="610"/>
      <c r="BM290" s="91">
        <f t="shared" si="1717"/>
        <v>0</v>
      </c>
      <c r="BN290" s="91">
        <f t="shared" si="1718"/>
        <v>0</v>
      </c>
      <c r="BO290" s="610"/>
      <c r="BP290" s="610"/>
      <c r="CC290" s="91">
        <f t="shared" si="1719"/>
        <v>0</v>
      </c>
      <c r="CD290" s="91">
        <f t="shared" si="1720"/>
        <v>0</v>
      </c>
      <c r="CE290" s="610"/>
      <c r="CF290" s="797"/>
      <c r="CG290" s="98">
        <v>14112</v>
      </c>
      <c r="CH290" s="98">
        <v>1128954</v>
      </c>
      <c r="CS290" s="91">
        <f t="shared" si="1721"/>
        <v>14112</v>
      </c>
      <c r="CT290" s="91">
        <f t="shared" si="1722"/>
        <v>1128954</v>
      </c>
      <c r="CU290" s="610"/>
      <c r="CV290" s="610"/>
      <c r="DI290" s="91">
        <f t="shared" si="1723"/>
        <v>0</v>
      </c>
      <c r="DJ290" s="91">
        <f t="shared" si="1724"/>
        <v>0</v>
      </c>
      <c r="DK290" s="610"/>
      <c r="DL290" s="610"/>
      <c r="DY290" s="91">
        <f t="shared" si="1725"/>
        <v>0</v>
      </c>
      <c r="DZ290" s="91">
        <f t="shared" si="1726"/>
        <v>0</v>
      </c>
      <c r="EA290" s="610"/>
      <c r="EB290" s="610"/>
      <c r="EO290" s="91">
        <f t="shared" si="1727"/>
        <v>0</v>
      </c>
      <c r="EP290" s="91">
        <f t="shared" si="1728"/>
        <v>0</v>
      </c>
      <c r="EQ290" s="610"/>
      <c r="ER290" s="610"/>
      <c r="ES290" s="98">
        <v>138944</v>
      </c>
      <c r="ET290" s="98">
        <v>11115520</v>
      </c>
      <c r="FE290" s="91">
        <f t="shared" si="1729"/>
        <v>138944</v>
      </c>
      <c r="FF290" s="91">
        <f t="shared" si="1730"/>
        <v>11115520</v>
      </c>
      <c r="FG290" s="610"/>
      <c r="FH290" s="610"/>
      <c r="FU290" s="91">
        <f t="shared" si="1731"/>
        <v>0</v>
      </c>
      <c r="FV290" s="91">
        <f t="shared" si="1732"/>
        <v>0</v>
      </c>
      <c r="FW290" s="610"/>
      <c r="FX290" s="610"/>
      <c r="GK290" s="91">
        <f t="shared" si="1733"/>
        <v>0</v>
      </c>
      <c r="GL290" s="91">
        <f t="shared" si="1734"/>
        <v>0</v>
      </c>
      <c r="GM290" s="610"/>
      <c r="GN290" s="610"/>
      <c r="HA290" s="91">
        <f t="shared" si="1735"/>
        <v>0</v>
      </c>
      <c r="HB290" s="91">
        <f t="shared" si="1736"/>
        <v>0</v>
      </c>
      <c r="HC290" s="610"/>
      <c r="HD290" s="610"/>
      <c r="HQ290" s="91">
        <f t="shared" si="1737"/>
        <v>0</v>
      </c>
      <c r="HR290" s="91">
        <f t="shared" si="1738"/>
        <v>0</v>
      </c>
      <c r="HS290" s="610"/>
      <c r="HT290" s="610"/>
      <c r="IG290" s="91">
        <f t="shared" si="1739"/>
        <v>0</v>
      </c>
      <c r="IH290" s="91">
        <f t="shared" si="1740"/>
        <v>0</v>
      </c>
      <c r="II290" s="610"/>
      <c r="IJ290" s="610"/>
      <c r="IW290" s="91">
        <f t="shared" si="1741"/>
        <v>0</v>
      </c>
      <c r="IX290" s="91">
        <f t="shared" si="1742"/>
        <v>0</v>
      </c>
      <c r="IY290" s="610"/>
      <c r="IZ290" s="610"/>
      <c r="JM290" s="91">
        <f t="shared" si="1743"/>
        <v>0</v>
      </c>
      <c r="JN290" s="91">
        <f t="shared" si="1744"/>
        <v>0</v>
      </c>
      <c r="JO290" s="610"/>
      <c r="JP290" s="610"/>
      <c r="KC290" s="91">
        <f t="shared" si="1745"/>
        <v>0</v>
      </c>
      <c r="KD290" s="91">
        <f t="shared" si="1746"/>
        <v>0</v>
      </c>
      <c r="KE290" s="610"/>
      <c r="KF290" s="610"/>
      <c r="KS290" s="91">
        <f t="shared" si="1747"/>
        <v>0</v>
      </c>
      <c r="KT290" s="91">
        <f t="shared" si="1748"/>
        <v>0</v>
      </c>
      <c r="KU290" s="610"/>
      <c r="KV290" s="610"/>
      <c r="LI290" s="91">
        <f t="shared" si="1749"/>
        <v>0</v>
      </c>
      <c r="LJ290" s="91">
        <f t="shared" si="1750"/>
        <v>0</v>
      </c>
      <c r="LK290" s="610"/>
      <c r="LL290" s="610"/>
      <c r="LY290" s="91">
        <f t="shared" si="1751"/>
        <v>0</v>
      </c>
      <c r="LZ290" s="91">
        <f t="shared" si="1752"/>
        <v>0</v>
      </c>
      <c r="MA290" s="98">
        <v>29600</v>
      </c>
      <c r="MB290" s="98">
        <v>2516000</v>
      </c>
      <c r="MO290" s="91">
        <f>SUMIF($C$12:$P$12,$A$1,MA290:MN290)</f>
        <v>29600</v>
      </c>
      <c r="MP290" s="91">
        <f>SUMIF($C$12:$P$12,$A$3,MA290:MN290)</f>
        <v>2516000</v>
      </c>
      <c r="MQ290" s="610"/>
      <c r="MR290" s="610"/>
      <c r="NE290" s="91">
        <f t="shared" si="1755"/>
        <v>0</v>
      </c>
      <c r="NF290" s="91">
        <f t="shared" si="1756"/>
        <v>0</v>
      </c>
      <c r="NG290" s="610"/>
      <c r="NH290" s="610"/>
      <c r="NU290" s="91">
        <f t="shared" si="1757"/>
        <v>0</v>
      </c>
      <c r="NV290" s="91">
        <f t="shared" si="1758"/>
        <v>0</v>
      </c>
      <c r="NW290" s="610">
        <v>500</v>
      </c>
      <c r="NX290" s="610">
        <v>50000</v>
      </c>
      <c r="OK290" s="91">
        <f t="shared" si="1759"/>
        <v>500</v>
      </c>
      <c r="OL290" s="91">
        <f t="shared" si="1760"/>
        <v>50000</v>
      </c>
      <c r="OM290" s="610"/>
      <c r="ON290" s="610"/>
      <c r="PA290" s="91">
        <f t="shared" si="1761"/>
        <v>0</v>
      </c>
      <c r="PB290" s="91">
        <f t="shared" si="1762"/>
        <v>0</v>
      </c>
      <c r="PC290" s="610">
        <v>87</v>
      </c>
      <c r="PD290" s="610">
        <v>4350</v>
      </c>
      <c r="PQ290" s="91">
        <f t="shared" si="1763"/>
        <v>87</v>
      </c>
      <c r="PR290" s="91">
        <f t="shared" si="1764"/>
        <v>4350</v>
      </c>
      <c r="PS290" s="610"/>
      <c r="PT290" s="610"/>
      <c r="PU290" s="98">
        <v>4690</v>
      </c>
      <c r="PV290" s="98">
        <v>539350</v>
      </c>
      <c r="QG290" s="91">
        <f t="shared" si="1765"/>
        <v>4690</v>
      </c>
      <c r="QH290" s="91">
        <f t="shared" si="1766"/>
        <v>539350</v>
      </c>
      <c r="QI290" s="610"/>
      <c r="QJ290" s="610"/>
      <c r="QW290" s="91">
        <f t="shared" si="1767"/>
        <v>0</v>
      </c>
      <c r="QX290" s="91">
        <f t="shared" si="1768"/>
        <v>0</v>
      </c>
      <c r="QY290" s="610"/>
      <c r="QZ290" s="610"/>
      <c r="RM290" s="91">
        <f t="shared" si="1769"/>
        <v>0</v>
      </c>
      <c r="RN290" s="91">
        <f t="shared" si="1770"/>
        <v>0</v>
      </c>
      <c r="RO290" s="610"/>
      <c r="RP290" s="610"/>
      <c r="SC290" s="91">
        <f t="shared" si="1771"/>
        <v>0</v>
      </c>
      <c r="SD290" s="91">
        <f t="shared" si="1772"/>
        <v>0</v>
      </c>
      <c r="SE290" s="610"/>
      <c r="SF290" s="610"/>
      <c r="SS290" s="91">
        <f t="shared" si="1773"/>
        <v>0</v>
      </c>
      <c r="ST290" s="91">
        <f t="shared" si="1774"/>
        <v>0</v>
      </c>
      <c r="SU290" s="610"/>
      <c r="SV290" s="610"/>
      <c r="TI290" s="91">
        <f t="shared" si="1775"/>
        <v>0</v>
      </c>
      <c r="TJ290" s="91">
        <f t="shared" si="1776"/>
        <v>0</v>
      </c>
      <c r="TK290" s="610"/>
      <c r="TL290" s="610"/>
      <c r="TY290" s="91">
        <f t="shared" si="1777"/>
        <v>0</v>
      </c>
      <c r="TZ290" s="91">
        <f t="shared" si="1778"/>
        <v>0</v>
      </c>
      <c r="UA290" s="610"/>
      <c r="UB290" s="610"/>
      <c r="UO290" s="91">
        <f t="shared" si="1779"/>
        <v>0</v>
      </c>
      <c r="UP290" s="91">
        <f t="shared" si="1780"/>
        <v>0</v>
      </c>
      <c r="UQ290" s="610"/>
      <c r="UR290" s="610"/>
      <c r="VE290" s="91">
        <f t="shared" si="1781"/>
        <v>0</v>
      </c>
      <c r="VF290" s="91">
        <f t="shared" si="1782"/>
        <v>0</v>
      </c>
      <c r="VG290" s="610"/>
      <c r="VH290" s="610"/>
      <c r="VU290" s="91">
        <f t="shared" si="1783"/>
        <v>0</v>
      </c>
      <c r="VV290" s="91">
        <f t="shared" si="1784"/>
        <v>0</v>
      </c>
      <c r="VW290" s="610"/>
      <c r="VX290" s="610"/>
      <c r="WK290" s="91">
        <f t="shared" si="1785"/>
        <v>0</v>
      </c>
      <c r="WL290" s="91">
        <f t="shared" si="1786"/>
        <v>0</v>
      </c>
      <c r="WM290" s="89"/>
      <c r="WN290" s="87">
        <f t="shared" si="1787"/>
        <v>30647</v>
      </c>
      <c r="WO290" s="87">
        <f t="shared" si="1788"/>
        <v>2609450</v>
      </c>
      <c r="WP290" s="87">
        <f t="shared" si="1789"/>
        <v>161151</v>
      </c>
      <c r="WQ290" s="87">
        <f t="shared" si="1790"/>
        <v>13073249</v>
      </c>
      <c r="WR290" s="87">
        <f t="shared" si="1791"/>
        <v>0</v>
      </c>
      <c r="WS290" s="87">
        <f t="shared" si="1792"/>
        <v>0</v>
      </c>
      <c r="WT290" s="87">
        <f t="shared" si="1793"/>
        <v>0</v>
      </c>
      <c r="WU290" s="87">
        <f t="shared" si="1794"/>
        <v>0</v>
      </c>
      <c r="WV290" s="87">
        <f t="shared" si="1795"/>
        <v>0</v>
      </c>
      <c r="WW290" s="87">
        <f t="shared" si="1796"/>
        <v>0</v>
      </c>
      <c r="WX290" s="87">
        <f t="shared" si="1797"/>
        <v>0</v>
      </c>
      <c r="WY290" s="87">
        <f t="shared" si="1798"/>
        <v>0</v>
      </c>
      <c r="WZ290" s="87">
        <f t="shared" si="1799"/>
        <v>0</v>
      </c>
      <c r="XA290" s="87">
        <f t="shared" si="1800"/>
        <v>0</v>
      </c>
      <c r="XB290" s="92">
        <f t="shared" si="1801"/>
        <v>191798</v>
      </c>
      <c r="XC290" s="92">
        <f t="shared" si="1802"/>
        <v>15682699</v>
      </c>
      <c r="XD290" s="89"/>
      <c r="XE290" s="92"/>
      <c r="XF290" s="92"/>
      <c r="XG290" s="89"/>
      <c r="XH290" s="92"/>
      <c r="XI290" s="92"/>
      <c r="XJ290" s="89"/>
      <c r="XK290" s="87"/>
      <c r="XL290" s="87"/>
      <c r="XM290" s="87"/>
      <c r="XN290" s="87"/>
      <c r="XO290" s="87"/>
      <c r="XP290" s="87"/>
      <c r="XQ290" s="87"/>
      <c r="XR290" s="92">
        <f t="shared" ca="1" si="1803"/>
        <v>0</v>
      </c>
      <c r="XS290" s="89"/>
      <c r="XT290" s="87"/>
      <c r="XU290" s="87"/>
      <c r="XV290" s="87"/>
      <c r="XW290" s="87"/>
      <c r="XX290" s="87"/>
      <c r="XY290" s="87"/>
      <c r="XZ290" s="87"/>
      <c r="YA290" s="92">
        <f t="shared" ca="1" si="1804"/>
        <v>0</v>
      </c>
      <c r="YB290" s="90"/>
      <c r="YC290" s="90"/>
      <c r="YD290" s="90"/>
      <c r="YE290" s="90"/>
      <c r="YF290" s="90"/>
      <c r="YG290" s="90"/>
      <c r="YH290" s="90"/>
      <c r="YI290" s="90"/>
      <c r="YJ290" s="90"/>
      <c r="YK290" s="90"/>
      <c r="YL290" s="90"/>
      <c r="YM290" s="90"/>
      <c r="YN290" s="90"/>
      <c r="YO290" s="90"/>
      <c r="YP290" s="90"/>
      <c r="YQ290" s="90"/>
      <c r="YR290" s="90"/>
      <c r="YS290" s="90"/>
      <c r="YT290" s="90"/>
      <c r="YU290" s="90"/>
      <c r="YV290" s="90"/>
      <c r="YW290" s="90"/>
      <c r="YX290" s="90"/>
      <c r="YY290" s="90"/>
      <c r="YZ290" s="90"/>
      <c r="ZA290" s="90"/>
      <c r="ZB290" s="90"/>
      <c r="ZC290" s="90"/>
      <c r="ZD290" s="90"/>
      <c r="ZE290" s="90"/>
      <c r="ZF290" s="90"/>
      <c r="ZG290" s="90"/>
      <c r="ZH290" s="90"/>
      <c r="ZI290" s="90"/>
      <c r="ZJ290" s="90"/>
      <c r="ZK290" s="90"/>
      <c r="ZL290" s="90"/>
      <c r="ZM290" s="90"/>
      <c r="ZN290" s="90"/>
      <c r="ZO290" s="90"/>
      <c r="ZP290" s="90"/>
      <c r="ZQ290" s="90"/>
      <c r="ZR290" s="90"/>
      <c r="ZS290" s="90"/>
      <c r="ZT290" s="90"/>
      <c r="ZU290" s="90"/>
      <c r="ZV290" s="90"/>
      <c r="ZW290" s="90"/>
      <c r="ZX290" s="90"/>
      <c r="ZY290" s="90"/>
      <c r="ZZ290" s="90"/>
      <c r="AAA290" s="90"/>
      <c r="AAB290" s="90"/>
      <c r="AAC290" s="90"/>
      <c r="AAD290" s="90"/>
      <c r="AAE290" s="90"/>
      <c r="AAF290" s="90"/>
      <c r="AAG290" s="90"/>
      <c r="AAH290" s="90"/>
      <c r="AAI290" s="90"/>
      <c r="AAJ290" s="90"/>
      <c r="AAK290" s="90"/>
      <c r="AAL290" s="90"/>
      <c r="AAM290" s="90"/>
      <c r="AAN290" s="90"/>
      <c r="AAO290" s="90"/>
      <c r="AAP290" s="90"/>
      <c r="AAQ290" s="90"/>
      <c r="AAR290" s="90"/>
      <c r="AAS290" s="90"/>
      <c r="AAT290" s="90"/>
      <c r="AAU290" s="90"/>
      <c r="AAV290" s="90"/>
      <c r="AAW290" s="90"/>
      <c r="AAX290" s="90"/>
      <c r="AAY290" s="90"/>
      <c r="AAZ290" s="90"/>
      <c r="ABA290" s="90"/>
      <c r="ABB290" s="90"/>
      <c r="ABC290" s="90"/>
      <c r="ABD290" s="90"/>
      <c r="ABE290" s="90"/>
      <c r="ABF290" s="90"/>
      <c r="ABG290" s="90"/>
      <c r="ABH290" s="90"/>
      <c r="ABI290" s="90"/>
      <c r="ABJ290" s="90"/>
      <c r="ABK290" s="90"/>
      <c r="ABL290" s="90"/>
      <c r="ABM290" s="90"/>
      <c r="ABN290" s="90"/>
      <c r="ABO290" s="90"/>
      <c r="ABP290" s="90"/>
      <c r="ABQ290" s="90"/>
      <c r="ABR290" s="90"/>
      <c r="ABS290" s="90"/>
      <c r="ABT290" s="90"/>
      <c r="ABU290" s="90"/>
      <c r="ABV290" s="90"/>
      <c r="ABW290" s="90"/>
      <c r="ABX290" s="90"/>
      <c r="ABY290" s="90"/>
      <c r="ABZ290" s="90"/>
      <c r="ACA290" s="90"/>
      <c r="ACB290" s="90"/>
      <c r="ACC290" s="90"/>
      <c r="ACD290" s="90"/>
      <c r="ACE290" s="90"/>
      <c r="ACF290" s="90"/>
      <c r="ACG290" s="90"/>
      <c r="ACH290" s="90"/>
      <c r="ACI290" s="90"/>
      <c r="ACJ290" s="90"/>
      <c r="ACK290" s="90"/>
      <c r="ACL290" s="90"/>
      <c r="ACM290" s="90"/>
      <c r="ACN290" s="90"/>
      <c r="ACO290" s="90"/>
      <c r="ACP290" s="90"/>
      <c r="ACQ290" s="90"/>
      <c r="ACR290" s="90"/>
      <c r="ACS290" s="90"/>
      <c r="ACT290" s="90"/>
      <c r="ACU290" s="90"/>
      <c r="ACV290" s="90"/>
      <c r="ACW290" s="90"/>
      <c r="ACX290" s="90"/>
      <c r="ACY290" s="90"/>
      <c r="ACZ290" s="90"/>
      <c r="ADA290" s="90"/>
      <c r="ADB290" s="90"/>
      <c r="ADC290" s="90"/>
      <c r="ADD290" s="90"/>
      <c r="ADE290" s="90"/>
      <c r="ADF290" s="90"/>
      <c r="ADG290" s="90"/>
      <c r="ADH290" s="90"/>
      <c r="ADI290" s="90"/>
      <c r="ADJ290" s="90"/>
      <c r="ADK290" s="90"/>
      <c r="ADL290" s="90"/>
      <c r="ADM290" s="90"/>
      <c r="ADN290" s="90"/>
      <c r="ADO290" s="90"/>
      <c r="ADP290" s="90"/>
      <c r="ADQ290" s="90"/>
      <c r="ADR290" s="90"/>
      <c r="ADS290" s="90"/>
      <c r="ADT290" s="90"/>
      <c r="ADU290" s="90"/>
      <c r="ADV290" s="90"/>
      <c r="ADW290" s="90"/>
      <c r="ADX290" s="90"/>
      <c r="ADY290" s="90"/>
      <c r="ADZ290" s="90"/>
      <c r="AEA290" s="90"/>
      <c r="AEB290" s="90"/>
      <c r="AEC290" s="90"/>
      <c r="AED290" s="90"/>
      <c r="AEE290" s="90"/>
      <c r="AEF290" s="90"/>
      <c r="AEG290" s="90"/>
      <c r="AEH290" s="90"/>
      <c r="AEI290" s="90"/>
      <c r="AEJ290" s="90"/>
      <c r="AEK290" s="90"/>
      <c r="AEL290" s="90"/>
      <c r="AEM290" s="90"/>
      <c r="AEN290" s="90"/>
      <c r="AEO290" s="90"/>
      <c r="AEP290" s="90"/>
      <c r="AEQ290" s="90"/>
      <c r="AER290" s="90"/>
      <c r="AES290" s="90"/>
      <c r="AET290" s="90"/>
      <c r="AEU290" s="90"/>
      <c r="AEV290" s="90"/>
      <c r="AEW290" s="90"/>
      <c r="AEX290" s="90"/>
      <c r="AEY290" s="90"/>
      <c r="AEZ290" s="90"/>
      <c r="AFA290" s="90"/>
      <c r="AFB290" s="90"/>
      <c r="AFC290" s="90"/>
      <c r="AFD290" s="90"/>
      <c r="AFE290" s="90"/>
      <c r="AFF290" s="90"/>
      <c r="AFG290" s="90"/>
      <c r="AFH290" s="90"/>
      <c r="AFI290" s="90"/>
      <c r="AFJ290" s="90"/>
      <c r="AFK290" s="90"/>
      <c r="AFL290" s="90"/>
      <c r="AFM290" s="90"/>
      <c r="AFN290" s="90"/>
      <c r="AFO290" s="90"/>
      <c r="AFP290" s="90"/>
      <c r="AFQ290" s="90"/>
      <c r="AFR290" s="90"/>
      <c r="AFS290" s="90"/>
      <c r="AFT290" s="90"/>
      <c r="AFU290" s="90"/>
      <c r="AFV290" s="90"/>
      <c r="AFW290" s="90"/>
      <c r="AFX290" s="90"/>
      <c r="AFY290" s="90"/>
      <c r="AFZ290" s="90"/>
      <c r="AGA290" s="90"/>
      <c r="AGB290" s="90"/>
      <c r="AGC290" s="90"/>
      <c r="AGD290" s="90"/>
      <c r="AGE290" s="90"/>
      <c r="AGF290" s="90"/>
      <c r="AGG290" s="90"/>
      <c r="AGH290" s="90"/>
      <c r="AGI290" s="90"/>
      <c r="AGJ290" s="90"/>
      <c r="AGK290" s="90"/>
      <c r="AGL290" s="90"/>
      <c r="AGM290" s="90"/>
      <c r="AGN290" s="90"/>
      <c r="AGO290" s="90"/>
      <c r="AGP290" s="90"/>
      <c r="AGQ290" s="90"/>
      <c r="AGR290" s="90"/>
      <c r="AGS290" s="90"/>
      <c r="AGT290" s="90"/>
      <c r="AGU290" s="90"/>
      <c r="AGV290" s="90"/>
      <c r="AGW290" s="90"/>
      <c r="AGX290" s="90"/>
      <c r="AGY290" s="90"/>
      <c r="AGZ290" s="90"/>
      <c r="AHA290" s="90"/>
      <c r="AHB290" s="90"/>
      <c r="AHC290" s="90"/>
      <c r="AHD290" s="90"/>
      <c r="AHE290" s="90"/>
      <c r="AHF290" s="90"/>
      <c r="AHG290" s="90"/>
      <c r="AHH290" s="90"/>
      <c r="AHI290" s="90"/>
      <c r="AHJ290" s="90"/>
      <c r="AHK290" s="90"/>
      <c r="AHL290" s="90"/>
      <c r="AHM290" s="90"/>
      <c r="AHN290" s="90"/>
      <c r="AHO290" s="90"/>
      <c r="AHP290" s="90"/>
      <c r="AHQ290" s="90"/>
      <c r="AHR290" s="90"/>
      <c r="AHS290" s="90"/>
      <c r="AHT290" s="90"/>
      <c r="AHU290" s="90"/>
      <c r="AHV290" s="90"/>
      <c r="AHW290" s="90"/>
      <c r="AHX290" s="90"/>
      <c r="AHY290" s="90"/>
      <c r="AHZ290" s="90"/>
      <c r="AIA290" s="90"/>
      <c r="AIB290" s="90"/>
      <c r="AIC290" s="90"/>
      <c r="AID290" s="90"/>
      <c r="AIE290" s="90"/>
      <c r="AIF290" s="90"/>
      <c r="AIG290" s="90"/>
      <c r="AIH290" s="90"/>
      <c r="AII290" s="90"/>
      <c r="AIJ290" s="90"/>
      <c r="AIK290" s="90"/>
      <c r="AIL290" s="90"/>
      <c r="AIM290" s="90"/>
      <c r="AIN290" s="90"/>
      <c r="AIO290" s="90"/>
      <c r="AIP290" s="90"/>
      <c r="AIQ290" s="90"/>
      <c r="AIR290" s="90"/>
      <c r="AIS290" s="90"/>
      <c r="AIT290" s="90"/>
      <c r="AIU290" s="90"/>
      <c r="AIV290" s="90"/>
      <c r="AIW290" s="90"/>
      <c r="AIX290" s="90"/>
      <c r="AIY290" s="90"/>
      <c r="AIZ290" s="90"/>
      <c r="AJA290" s="90"/>
      <c r="AJB290" s="90"/>
      <c r="AJC290" s="90"/>
      <c r="AJD290" s="90"/>
      <c r="AJE290" s="90"/>
      <c r="AJF290" s="90"/>
      <c r="AJG290" s="90"/>
      <c r="AJH290" s="90"/>
      <c r="AJI290" s="90"/>
      <c r="AJJ290" s="90"/>
      <c r="AJK290" s="90"/>
      <c r="AJL290" s="90"/>
      <c r="AJM290" s="90"/>
      <c r="AJN290" s="90"/>
      <c r="AJO290" s="90"/>
      <c r="AJP290" s="90"/>
      <c r="AJQ290" s="90"/>
      <c r="AJR290" s="90"/>
      <c r="AJS290" s="90"/>
      <c r="AJT290" s="90"/>
      <c r="AJU290" s="90"/>
      <c r="AJV290" s="90"/>
      <c r="AJW290" s="90"/>
      <c r="AJX290" s="90"/>
      <c r="AJY290" s="90"/>
      <c r="AJZ290" s="90"/>
      <c r="AKA290" s="90"/>
      <c r="AKB290" s="90"/>
      <c r="AKC290" s="90"/>
      <c r="AKD290" s="90"/>
      <c r="AKE290" s="90"/>
      <c r="AKF290" s="90"/>
      <c r="AKG290" s="90"/>
      <c r="AKH290" s="90"/>
      <c r="AKI290" s="90"/>
      <c r="AKJ290" s="90"/>
      <c r="AKK290" s="90"/>
      <c r="AKL290" s="90"/>
      <c r="AKM290" s="90"/>
      <c r="AKN290" s="90"/>
      <c r="AKO290" s="90"/>
      <c r="AKP290" s="90"/>
      <c r="AKQ290" s="90"/>
      <c r="AKR290" s="90"/>
      <c r="AKS290" s="90"/>
      <c r="AKT290" s="90"/>
      <c r="AKU290" s="90"/>
      <c r="AKV290" s="90"/>
      <c r="AKW290" s="90"/>
      <c r="AKX290" s="90"/>
      <c r="AKY290" s="90"/>
      <c r="AKZ290" s="90"/>
      <c r="ALA290" s="90"/>
      <c r="ALB290" s="90"/>
      <c r="ALC290" s="90"/>
      <c r="ALD290" s="90"/>
      <c r="ALE290" s="90"/>
      <c r="ALF290" s="90"/>
      <c r="ALG290" s="90"/>
      <c r="ALH290" s="90"/>
      <c r="ALI290" s="90"/>
      <c r="ALJ290" s="90"/>
      <c r="ALK290" s="90"/>
      <c r="ALL290" s="90"/>
      <c r="ALM290" s="90"/>
      <c r="ALN290" s="90"/>
      <c r="ALO290" s="90"/>
      <c r="ALP290" s="90"/>
      <c r="ALQ290" s="90"/>
      <c r="ALR290" s="90"/>
      <c r="ALS290" s="90"/>
      <c r="ALT290" s="90"/>
      <c r="ALU290" s="90"/>
      <c r="ALV290" s="90"/>
      <c r="ALW290" s="90"/>
      <c r="ALX290" s="90"/>
      <c r="ALY290" s="90"/>
      <c r="ALZ290" s="90"/>
      <c r="AMA290" s="90"/>
      <c r="AMB290" s="90"/>
      <c r="AMC290" s="90"/>
    </row>
    <row r="291" spans="1:1017">
      <c r="A291" s="98" t="s">
        <v>52</v>
      </c>
      <c r="B291" s="90" t="str">
        <f t="shared" si="1710"/>
        <v>Kerapu Macan</v>
      </c>
      <c r="C291" s="610"/>
      <c r="D291" s="610"/>
      <c r="Q291" s="91">
        <f t="shared" si="1711"/>
        <v>0</v>
      </c>
      <c r="R291" s="91">
        <f t="shared" si="1712"/>
        <v>0</v>
      </c>
      <c r="S291" s="610"/>
      <c r="T291" s="610"/>
      <c r="AG291" s="91">
        <f t="shared" si="1713"/>
        <v>0</v>
      </c>
      <c r="AH291" s="91">
        <f t="shared" si="1714"/>
        <v>0</v>
      </c>
      <c r="AI291" s="610"/>
      <c r="AJ291" s="610"/>
      <c r="AW291" s="91">
        <f t="shared" si="1715"/>
        <v>0</v>
      </c>
      <c r="AX291" s="91">
        <f t="shared" si="1716"/>
        <v>0</v>
      </c>
      <c r="AY291" s="610"/>
      <c r="AZ291" s="610"/>
      <c r="BM291" s="91">
        <f t="shared" si="1717"/>
        <v>0</v>
      </c>
      <c r="BN291" s="91">
        <f t="shared" si="1718"/>
        <v>0</v>
      </c>
      <c r="BO291" s="610"/>
      <c r="BP291" s="610"/>
      <c r="CC291" s="91">
        <f t="shared" si="1719"/>
        <v>0</v>
      </c>
      <c r="CD291" s="91">
        <f t="shared" si="1720"/>
        <v>0</v>
      </c>
      <c r="CE291" s="610"/>
      <c r="CF291" s="797"/>
      <c r="CS291" s="91">
        <f t="shared" si="1721"/>
        <v>0</v>
      </c>
      <c r="CT291" s="91">
        <f t="shared" si="1722"/>
        <v>0</v>
      </c>
      <c r="CU291" s="610"/>
      <c r="CV291" s="610"/>
      <c r="DI291" s="91">
        <f t="shared" si="1723"/>
        <v>0</v>
      </c>
      <c r="DJ291" s="91">
        <f t="shared" si="1724"/>
        <v>0</v>
      </c>
      <c r="DK291" s="610"/>
      <c r="DL291" s="610"/>
      <c r="DY291" s="91">
        <f t="shared" si="1725"/>
        <v>0</v>
      </c>
      <c r="DZ291" s="91">
        <f t="shared" si="1726"/>
        <v>0</v>
      </c>
      <c r="EA291" s="610"/>
      <c r="EB291" s="610"/>
      <c r="EO291" s="91">
        <f t="shared" si="1727"/>
        <v>0</v>
      </c>
      <c r="EP291" s="91">
        <f t="shared" si="1728"/>
        <v>0</v>
      </c>
      <c r="EQ291" s="610"/>
      <c r="ER291" s="610"/>
      <c r="FE291" s="91">
        <f t="shared" si="1729"/>
        <v>0</v>
      </c>
      <c r="FF291" s="91">
        <f t="shared" si="1730"/>
        <v>0</v>
      </c>
      <c r="FG291" s="610"/>
      <c r="FH291" s="610"/>
      <c r="FU291" s="91">
        <f t="shared" si="1731"/>
        <v>0</v>
      </c>
      <c r="FV291" s="91">
        <f t="shared" si="1732"/>
        <v>0</v>
      </c>
      <c r="FW291" s="610"/>
      <c r="FX291" s="610"/>
      <c r="GK291" s="91">
        <f t="shared" si="1733"/>
        <v>0</v>
      </c>
      <c r="GL291" s="91">
        <f t="shared" si="1734"/>
        <v>0</v>
      </c>
      <c r="GM291" s="610"/>
      <c r="GN291" s="610"/>
      <c r="HA291" s="91">
        <f t="shared" si="1735"/>
        <v>0</v>
      </c>
      <c r="HB291" s="91">
        <f t="shared" si="1736"/>
        <v>0</v>
      </c>
      <c r="HC291" s="610"/>
      <c r="HD291" s="610"/>
      <c r="HQ291" s="91">
        <f t="shared" si="1737"/>
        <v>0</v>
      </c>
      <c r="HR291" s="91">
        <f t="shared" si="1738"/>
        <v>0</v>
      </c>
      <c r="HS291" s="610"/>
      <c r="HT291" s="610"/>
      <c r="IG291" s="91">
        <f t="shared" si="1739"/>
        <v>0</v>
      </c>
      <c r="IH291" s="91">
        <f t="shared" si="1740"/>
        <v>0</v>
      </c>
      <c r="II291" s="610"/>
      <c r="IJ291" s="610"/>
      <c r="IW291" s="91">
        <f t="shared" si="1741"/>
        <v>0</v>
      </c>
      <c r="IX291" s="91">
        <f t="shared" si="1742"/>
        <v>0</v>
      </c>
      <c r="IY291" s="610"/>
      <c r="IZ291" s="610"/>
      <c r="JM291" s="91">
        <f t="shared" si="1743"/>
        <v>0</v>
      </c>
      <c r="JN291" s="91">
        <f t="shared" si="1744"/>
        <v>0</v>
      </c>
      <c r="JO291" s="610"/>
      <c r="JP291" s="610"/>
      <c r="KC291" s="91">
        <f t="shared" si="1745"/>
        <v>0</v>
      </c>
      <c r="KD291" s="91">
        <f t="shared" si="1746"/>
        <v>0</v>
      </c>
      <c r="KE291" s="610"/>
      <c r="KF291" s="610"/>
      <c r="KS291" s="91">
        <f t="shared" si="1747"/>
        <v>0</v>
      </c>
      <c r="KT291" s="91">
        <f t="shared" si="1748"/>
        <v>0</v>
      </c>
      <c r="KU291" s="610"/>
      <c r="KV291" s="610"/>
      <c r="LI291" s="91">
        <f t="shared" si="1749"/>
        <v>0</v>
      </c>
      <c r="LJ291" s="91">
        <f t="shared" si="1750"/>
        <v>0</v>
      </c>
      <c r="LK291" s="610"/>
      <c r="LL291" s="610"/>
      <c r="LY291" s="91">
        <f t="shared" si="1751"/>
        <v>0</v>
      </c>
      <c r="LZ291" s="91">
        <f t="shared" si="1752"/>
        <v>0</v>
      </c>
      <c r="MO291" s="91">
        <f>SUMIF($C$12:$P$12,$A$1,MA291:MN291)</f>
        <v>0</v>
      </c>
      <c r="MP291" s="91">
        <f>SUMIF($C$12:$P$12,$A$3,MA291:MN291)</f>
        <v>0</v>
      </c>
      <c r="MQ291" s="610"/>
      <c r="MR291" s="610"/>
      <c r="NE291" s="91">
        <f t="shared" si="1755"/>
        <v>0</v>
      </c>
      <c r="NF291" s="91">
        <f t="shared" si="1756"/>
        <v>0</v>
      </c>
      <c r="NG291" s="610"/>
      <c r="NH291" s="610"/>
      <c r="NU291" s="91">
        <f t="shared" si="1757"/>
        <v>0</v>
      </c>
      <c r="NV291" s="91">
        <f t="shared" si="1758"/>
        <v>0</v>
      </c>
      <c r="NW291" s="610"/>
      <c r="NX291" s="610"/>
      <c r="OK291" s="91">
        <f t="shared" si="1759"/>
        <v>0</v>
      </c>
      <c r="OL291" s="91">
        <f t="shared" si="1760"/>
        <v>0</v>
      </c>
      <c r="OM291" s="610">
        <v>29157</v>
      </c>
      <c r="ON291" s="610">
        <v>17494200</v>
      </c>
      <c r="PA291" s="91">
        <f t="shared" si="1761"/>
        <v>29157</v>
      </c>
      <c r="PB291" s="91">
        <f t="shared" si="1762"/>
        <v>17494200</v>
      </c>
      <c r="PC291" s="610"/>
      <c r="PD291" s="610"/>
      <c r="PQ291" s="91">
        <f t="shared" si="1763"/>
        <v>0</v>
      </c>
      <c r="PR291" s="91">
        <f t="shared" si="1764"/>
        <v>0</v>
      </c>
      <c r="PS291" s="610"/>
      <c r="PT291" s="610"/>
      <c r="QG291" s="91">
        <f t="shared" si="1765"/>
        <v>0</v>
      </c>
      <c r="QH291" s="91">
        <f t="shared" si="1766"/>
        <v>0</v>
      </c>
      <c r="QI291" s="610"/>
      <c r="QJ291" s="610"/>
      <c r="QW291" s="91">
        <f t="shared" si="1767"/>
        <v>0</v>
      </c>
      <c r="QX291" s="91">
        <f t="shared" si="1768"/>
        <v>0</v>
      </c>
      <c r="QY291" s="610"/>
      <c r="QZ291" s="610"/>
      <c r="RM291" s="91">
        <f t="shared" si="1769"/>
        <v>0</v>
      </c>
      <c r="RN291" s="91">
        <f t="shared" si="1770"/>
        <v>0</v>
      </c>
      <c r="RO291" s="610"/>
      <c r="RP291" s="610"/>
      <c r="SC291" s="91">
        <f t="shared" si="1771"/>
        <v>0</v>
      </c>
      <c r="SD291" s="91">
        <f t="shared" si="1772"/>
        <v>0</v>
      </c>
      <c r="SE291" s="610"/>
      <c r="SF291" s="610"/>
      <c r="SS291" s="91">
        <f t="shared" si="1773"/>
        <v>0</v>
      </c>
      <c r="ST291" s="91">
        <f t="shared" si="1774"/>
        <v>0</v>
      </c>
      <c r="SU291" s="610"/>
      <c r="SV291" s="610"/>
      <c r="TI291" s="91">
        <f t="shared" si="1775"/>
        <v>0</v>
      </c>
      <c r="TJ291" s="91">
        <f t="shared" si="1776"/>
        <v>0</v>
      </c>
      <c r="TK291" s="610"/>
      <c r="TL291" s="610"/>
      <c r="TY291" s="91">
        <f t="shared" si="1777"/>
        <v>0</v>
      </c>
      <c r="TZ291" s="91">
        <f t="shared" si="1778"/>
        <v>0</v>
      </c>
      <c r="UA291" s="610"/>
      <c r="UB291" s="610"/>
      <c r="UO291" s="91">
        <f t="shared" si="1779"/>
        <v>0</v>
      </c>
      <c r="UP291" s="91">
        <f t="shared" si="1780"/>
        <v>0</v>
      </c>
      <c r="UQ291" s="610"/>
      <c r="UR291" s="610"/>
      <c r="VE291" s="91">
        <f t="shared" si="1781"/>
        <v>0</v>
      </c>
      <c r="VF291" s="91">
        <f t="shared" si="1782"/>
        <v>0</v>
      </c>
      <c r="VG291" s="610"/>
      <c r="VH291" s="610"/>
      <c r="VU291" s="91">
        <f t="shared" si="1783"/>
        <v>0</v>
      </c>
      <c r="VV291" s="91">
        <f t="shared" si="1784"/>
        <v>0</v>
      </c>
      <c r="VW291" s="610"/>
      <c r="VX291" s="610"/>
      <c r="WK291" s="91">
        <f t="shared" si="1785"/>
        <v>0</v>
      </c>
      <c r="WL291" s="91">
        <f t="shared" si="1786"/>
        <v>0</v>
      </c>
      <c r="WM291" s="89"/>
      <c r="WN291" s="87">
        <f t="shared" si="1787"/>
        <v>29157</v>
      </c>
      <c r="WO291" s="87">
        <f t="shared" si="1788"/>
        <v>17494200</v>
      </c>
      <c r="WP291" s="87">
        <f t="shared" si="1789"/>
        <v>0</v>
      </c>
      <c r="WQ291" s="87">
        <f t="shared" si="1790"/>
        <v>0</v>
      </c>
      <c r="WR291" s="87">
        <f t="shared" si="1791"/>
        <v>0</v>
      </c>
      <c r="WS291" s="87">
        <f t="shared" si="1792"/>
        <v>0</v>
      </c>
      <c r="WT291" s="87">
        <f t="shared" si="1793"/>
        <v>0</v>
      </c>
      <c r="WU291" s="87">
        <f t="shared" si="1794"/>
        <v>0</v>
      </c>
      <c r="WV291" s="87">
        <f t="shared" si="1795"/>
        <v>0</v>
      </c>
      <c r="WW291" s="87">
        <f t="shared" si="1796"/>
        <v>0</v>
      </c>
      <c r="WX291" s="87">
        <f t="shared" si="1797"/>
        <v>0</v>
      </c>
      <c r="WY291" s="87">
        <f t="shared" si="1798"/>
        <v>0</v>
      </c>
      <c r="WZ291" s="87">
        <f t="shared" si="1799"/>
        <v>0</v>
      </c>
      <c r="XA291" s="87">
        <f t="shared" si="1800"/>
        <v>0</v>
      </c>
      <c r="XB291" s="92">
        <f t="shared" si="1801"/>
        <v>29157</v>
      </c>
      <c r="XC291" s="92">
        <f t="shared" si="1802"/>
        <v>17494200</v>
      </c>
      <c r="XD291" s="89"/>
      <c r="XE291" s="92"/>
      <c r="XF291" s="92"/>
      <c r="XG291" s="89"/>
      <c r="XH291" s="92"/>
      <c r="XI291" s="92"/>
      <c r="XJ291" s="89"/>
      <c r="XK291" s="87"/>
      <c r="XL291" s="87"/>
      <c r="XM291" s="87"/>
      <c r="XN291" s="87"/>
      <c r="XO291" s="87"/>
      <c r="XP291" s="87"/>
      <c r="XQ291" s="87"/>
      <c r="XR291" s="92">
        <f t="shared" ca="1" si="1803"/>
        <v>0</v>
      </c>
      <c r="XS291" s="89"/>
      <c r="XT291" s="87"/>
      <c r="XU291" s="87"/>
      <c r="XV291" s="87"/>
      <c r="XW291" s="87"/>
      <c r="XX291" s="87"/>
      <c r="XY291" s="87"/>
      <c r="XZ291" s="87"/>
      <c r="YA291" s="92">
        <f t="shared" ca="1" si="1804"/>
        <v>0</v>
      </c>
      <c r="YB291" s="90"/>
      <c r="YC291" s="90"/>
      <c r="YD291" s="90"/>
      <c r="YE291" s="90"/>
      <c r="YF291" s="90"/>
      <c r="YG291" s="90"/>
      <c r="YH291" s="90"/>
      <c r="YI291" s="90"/>
      <c r="YJ291" s="90"/>
      <c r="YK291" s="90"/>
      <c r="YL291" s="90"/>
      <c r="YM291" s="90"/>
      <c r="YN291" s="90"/>
      <c r="YO291" s="90"/>
      <c r="YP291" s="90"/>
      <c r="YQ291" s="90"/>
      <c r="YR291" s="90"/>
      <c r="YS291" s="90"/>
      <c r="YT291" s="90"/>
      <c r="YU291" s="90"/>
      <c r="YV291" s="90"/>
      <c r="YW291" s="90"/>
      <c r="YX291" s="90"/>
      <c r="YY291" s="90"/>
      <c r="YZ291" s="90"/>
      <c r="ZA291" s="90"/>
      <c r="ZB291" s="90"/>
      <c r="ZC291" s="90"/>
      <c r="ZD291" s="90"/>
      <c r="ZE291" s="90"/>
      <c r="ZF291" s="90"/>
      <c r="ZG291" s="90"/>
      <c r="ZH291" s="90"/>
      <c r="ZI291" s="90"/>
      <c r="ZJ291" s="90"/>
      <c r="ZK291" s="90"/>
      <c r="ZL291" s="90"/>
      <c r="ZM291" s="90"/>
      <c r="ZN291" s="90"/>
      <c r="ZO291" s="90"/>
      <c r="ZP291" s="90"/>
      <c r="ZQ291" s="90"/>
      <c r="ZR291" s="90"/>
      <c r="ZS291" s="90"/>
      <c r="ZT291" s="90"/>
      <c r="ZU291" s="90"/>
      <c r="ZV291" s="90"/>
      <c r="ZW291" s="90"/>
      <c r="ZX291" s="90"/>
      <c r="ZY291" s="90"/>
      <c r="ZZ291" s="90"/>
      <c r="AAA291" s="90"/>
      <c r="AAB291" s="90"/>
      <c r="AAC291" s="90"/>
      <c r="AAD291" s="90"/>
      <c r="AAE291" s="90"/>
      <c r="AAF291" s="90"/>
      <c r="AAG291" s="90"/>
      <c r="AAH291" s="90"/>
      <c r="AAI291" s="90"/>
      <c r="AAJ291" s="90"/>
      <c r="AAK291" s="90"/>
      <c r="AAL291" s="90"/>
      <c r="AAM291" s="90"/>
      <c r="AAN291" s="90"/>
      <c r="AAO291" s="90"/>
      <c r="AAP291" s="90"/>
      <c r="AAQ291" s="90"/>
      <c r="AAR291" s="90"/>
      <c r="AAS291" s="90"/>
      <c r="AAT291" s="90"/>
      <c r="AAU291" s="90"/>
      <c r="AAV291" s="90"/>
      <c r="AAW291" s="90"/>
      <c r="AAX291" s="90"/>
      <c r="AAY291" s="90"/>
      <c r="AAZ291" s="90"/>
      <c r="ABA291" s="90"/>
      <c r="ABB291" s="90"/>
      <c r="ABC291" s="90"/>
      <c r="ABD291" s="90"/>
      <c r="ABE291" s="90"/>
      <c r="ABF291" s="90"/>
      <c r="ABG291" s="90"/>
      <c r="ABH291" s="90"/>
      <c r="ABI291" s="90"/>
      <c r="ABJ291" s="90"/>
      <c r="ABK291" s="90"/>
      <c r="ABL291" s="90"/>
      <c r="ABM291" s="90"/>
      <c r="ABN291" s="90"/>
      <c r="ABO291" s="90"/>
      <c r="ABP291" s="90"/>
      <c r="ABQ291" s="90"/>
      <c r="ABR291" s="90"/>
      <c r="ABS291" s="90"/>
      <c r="ABT291" s="90"/>
      <c r="ABU291" s="90"/>
      <c r="ABV291" s="90"/>
      <c r="ABW291" s="90"/>
      <c r="ABX291" s="90"/>
      <c r="ABY291" s="90"/>
      <c r="ABZ291" s="90"/>
      <c r="ACA291" s="90"/>
      <c r="ACB291" s="90"/>
      <c r="ACC291" s="90"/>
      <c r="ACD291" s="90"/>
      <c r="ACE291" s="90"/>
      <c r="ACF291" s="90"/>
      <c r="ACG291" s="90"/>
      <c r="ACH291" s="90"/>
      <c r="ACI291" s="90"/>
      <c r="ACJ291" s="90"/>
      <c r="ACK291" s="90"/>
      <c r="ACL291" s="90"/>
      <c r="ACM291" s="90"/>
      <c r="ACN291" s="90"/>
      <c r="ACO291" s="90"/>
      <c r="ACP291" s="90"/>
      <c r="ACQ291" s="90"/>
      <c r="ACR291" s="90"/>
      <c r="ACS291" s="90"/>
      <c r="ACT291" s="90"/>
      <c r="ACU291" s="90"/>
      <c r="ACV291" s="90"/>
      <c r="ACW291" s="90"/>
      <c r="ACX291" s="90"/>
      <c r="ACY291" s="90"/>
      <c r="ACZ291" s="90"/>
      <c r="ADA291" s="90"/>
      <c r="ADB291" s="90"/>
      <c r="ADC291" s="90"/>
      <c r="ADD291" s="90"/>
      <c r="ADE291" s="90"/>
      <c r="ADF291" s="90"/>
      <c r="ADG291" s="90"/>
      <c r="ADH291" s="90"/>
      <c r="ADI291" s="90"/>
      <c r="ADJ291" s="90"/>
      <c r="ADK291" s="90"/>
      <c r="ADL291" s="90"/>
      <c r="ADM291" s="90"/>
      <c r="ADN291" s="90"/>
      <c r="ADO291" s="90"/>
      <c r="ADP291" s="90"/>
      <c r="ADQ291" s="90"/>
      <c r="ADR291" s="90"/>
      <c r="ADS291" s="90"/>
      <c r="ADT291" s="90"/>
      <c r="ADU291" s="90"/>
      <c r="ADV291" s="90"/>
      <c r="ADW291" s="90"/>
      <c r="ADX291" s="90"/>
      <c r="ADY291" s="90"/>
      <c r="ADZ291" s="90"/>
      <c r="AEA291" s="90"/>
      <c r="AEB291" s="90"/>
      <c r="AEC291" s="90"/>
      <c r="AED291" s="90"/>
      <c r="AEE291" s="90"/>
      <c r="AEF291" s="90"/>
      <c r="AEG291" s="90"/>
      <c r="AEH291" s="90"/>
      <c r="AEI291" s="90"/>
      <c r="AEJ291" s="90"/>
      <c r="AEK291" s="90"/>
      <c r="AEL291" s="90"/>
      <c r="AEM291" s="90"/>
      <c r="AEN291" s="90"/>
      <c r="AEO291" s="90"/>
      <c r="AEP291" s="90"/>
      <c r="AEQ291" s="90"/>
      <c r="AER291" s="90"/>
      <c r="AES291" s="90"/>
      <c r="AET291" s="90"/>
      <c r="AEU291" s="90"/>
      <c r="AEV291" s="90"/>
      <c r="AEW291" s="90"/>
      <c r="AEX291" s="90"/>
      <c r="AEY291" s="90"/>
      <c r="AEZ291" s="90"/>
      <c r="AFA291" s="90"/>
      <c r="AFB291" s="90"/>
      <c r="AFC291" s="90"/>
      <c r="AFD291" s="90"/>
      <c r="AFE291" s="90"/>
      <c r="AFF291" s="90"/>
      <c r="AFG291" s="90"/>
      <c r="AFH291" s="90"/>
      <c r="AFI291" s="90"/>
      <c r="AFJ291" s="90"/>
      <c r="AFK291" s="90"/>
      <c r="AFL291" s="90"/>
      <c r="AFM291" s="90"/>
      <c r="AFN291" s="90"/>
      <c r="AFO291" s="90"/>
      <c r="AFP291" s="90"/>
      <c r="AFQ291" s="90"/>
      <c r="AFR291" s="90"/>
      <c r="AFS291" s="90"/>
      <c r="AFT291" s="90"/>
      <c r="AFU291" s="90"/>
      <c r="AFV291" s="90"/>
      <c r="AFW291" s="90"/>
      <c r="AFX291" s="90"/>
      <c r="AFY291" s="90"/>
      <c r="AFZ291" s="90"/>
      <c r="AGA291" s="90"/>
      <c r="AGB291" s="90"/>
      <c r="AGC291" s="90"/>
      <c r="AGD291" s="90"/>
      <c r="AGE291" s="90"/>
      <c r="AGF291" s="90"/>
      <c r="AGG291" s="90"/>
      <c r="AGH291" s="90"/>
      <c r="AGI291" s="90"/>
      <c r="AGJ291" s="90"/>
      <c r="AGK291" s="90"/>
      <c r="AGL291" s="90"/>
      <c r="AGM291" s="90"/>
      <c r="AGN291" s="90"/>
      <c r="AGO291" s="90"/>
      <c r="AGP291" s="90"/>
      <c r="AGQ291" s="90"/>
      <c r="AGR291" s="90"/>
      <c r="AGS291" s="90"/>
      <c r="AGT291" s="90"/>
      <c r="AGU291" s="90"/>
      <c r="AGV291" s="90"/>
      <c r="AGW291" s="90"/>
      <c r="AGX291" s="90"/>
      <c r="AGY291" s="90"/>
      <c r="AGZ291" s="90"/>
      <c r="AHA291" s="90"/>
      <c r="AHB291" s="90"/>
      <c r="AHC291" s="90"/>
      <c r="AHD291" s="90"/>
      <c r="AHE291" s="90"/>
      <c r="AHF291" s="90"/>
      <c r="AHG291" s="90"/>
      <c r="AHH291" s="90"/>
      <c r="AHI291" s="90"/>
      <c r="AHJ291" s="90"/>
      <c r="AHK291" s="90"/>
      <c r="AHL291" s="90"/>
      <c r="AHM291" s="90"/>
      <c r="AHN291" s="90"/>
      <c r="AHO291" s="90"/>
      <c r="AHP291" s="90"/>
      <c r="AHQ291" s="90"/>
      <c r="AHR291" s="90"/>
      <c r="AHS291" s="90"/>
      <c r="AHT291" s="90"/>
      <c r="AHU291" s="90"/>
      <c r="AHV291" s="90"/>
      <c r="AHW291" s="90"/>
      <c r="AHX291" s="90"/>
      <c r="AHY291" s="90"/>
      <c r="AHZ291" s="90"/>
      <c r="AIA291" s="90"/>
      <c r="AIB291" s="90"/>
      <c r="AIC291" s="90"/>
      <c r="AID291" s="90"/>
      <c r="AIE291" s="90"/>
      <c r="AIF291" s="90"/>
      <c r="AIG291" s="90"/>
      <c r="AIH291" s="90"/>
      <c r="AII291" s="90"/>
      <c r="AIJ291" s="90"/>
      <c r="AIK291" s="90"/>
      <c r="AIL291" s="90"/>
      <c r="AIM291" s="90"/>
      <c r="AIN291" s="90"/>
      <c r="AIO291" s="90"/>
      <c r="AIP291" s="90"/>
      <c r="AIQ291" s="90"/>
      <c r="AIR291" s="90"/>
      <c r="AIS291" s="90"/>
      <c r="AIT291" s="90"/>
      <c r="AIU291" s="90"/>
      <c r="AIV291" s="90"/>
      <c r="AIW291" s="90"/>
      <c r="AIX291" s="90"/>
      <c r="AIY291" s="90"/>
      <c r="AIZ291" s="90"/>
      <c r="AJA291" s="90"/>
      <c r="AJB291" s="90"/>
      <c r="AJC291" s="90"/>
      <c r="AJD291" s="90"/>
      <c r="AJE291" s="90"/>
      <c r="AJF291" s="90"/>
      <c r="AJG291" s="90"/>
      <c r="AJH291" s="90"/>
      <c r="AJI291" s="90"/>
      <c r="AJJ291" s="90"/>
      <c r="AJK291" s="90"/>
      <c r="AJL291" s="90"/>
      <c r="AJM291" s="90"/>
      <c r="AJN291" s="90"/>
      <c r="AJO291" s="90"/>
      <c r="AJP291" s="90"/>
      <c r="AJQ291" s="90"/>
      <c r="AJR291" s="90"/>
      <c r="AJS291" s="90"/>
      <c r="AJT291" s="90"/>
      <c r="AJU291" s="90"/>
      <c r="AJV291" s="90"/>
      <c r="AJW291" s="90"/>
      <c r="AJX291" s="90"/>
      <c r="AJY291" s="90"/>
      <c r="AJZ291" s="90"/>
      <c r="AKA291" s="90"/>
      <c r="AKB291" s="90"/>
      <c r="AKC291" s="90"/>
      <c r="AKD291" s="90"/>
      <c r="AKE291" s="90"/>
      <c r="AKF291" s="90"/>
      <c r="AKG291" s="90"/>
      <c r="AKH291" s="90"/>
      <c r="AKI291" s="90"/>
      <c r="AKJ291" s="90"/>
      <c r="AKK291" s="90"/>
      <c r="AKL291" s="90"/>
      <c r="AKM291" s="90"/>
      <c r="AKN291" s="90"/>
      <c r="AKO291" s="90"/>
      <c r="AKP291" s="90"/>
      <c r="AKQ291" s="90"/>
      <c r="AKR291" s="90"/>
      <c r="AKS291" s="90"/>
      <c r="AKT291" s="90"/>
      <c r="AKU291" s="90"/>
      <c r="AKV291" s="90"/>
      <c r="AKW291" s="90"/>
      <c r="AKX291" s="90"/>
      <c r="AKY291" s="90"/>
      <c r="AKZ291" s="90"/>
      <c r="ALA291" s="90"/>
      <c r="ALB291" s="90"/>
      <c r="ALC291" s="90"/>
      <c r="ALD291" s="90"/>
      <c r="ALE291" s="90"/>
      <c r="ALF291" s="90"/>
      <c r="ALG291" s="90"/>
      <c r="ALH291" s="90"/>
      <c r="ALI291" s="90"/>
      <c r="ALJ291" s="90"/>
      <c r="ALK291" s="90"/>
      <c r="ALL291" s="90"/>
      <c r="ALM291" s="90"/>
      <c r="ALN291" s="90"/>
      <c r="ALO291" s="90"/>
      <c r="ALP291" s="90"/>
      <c r="ALQ291" s="90"/>
      <c r="ALR291" s="90"/>
      <c r="ALS291" s="90"/>
      <c r="ALT291" s="90"/>
      <c r="ALU291" s="90"/>
      <c r="ALV291" s="90"/>
      <c r="ALW291" s="90"/>
      <c r="ALX291" s="90"/>
      <c r="ALY291" s="90"/>
      <c r="ALZ291" s="90"/>
      <c r="AMA291" s="90"/>
      <c r="AMB291" s="90"/>
      <c r="AMC291" s="90"/>
    </row>
    <row r="292" spans="1:1017">
      <c r="A292" s="98" t="s">
        <v>52</v>
      </c>
      <c r="B292" s="90" t="str">
        <f t="shared" si="1710"/>
        <v>Kerong Kerong</v>
      </c>
      <c r="J292" s="611"/>
      <c r="Q292" s="91">
        <f t="shared" si="1711"/>
        <v>0</v>
      </c>
      <c r="R292" s="91">
        <f t="shared" si="1712"/>
        <v>0</v>
      </c>
      <c r="Z292" s="611"/>
      <c r="AG292" s="91">
        <f t="shared" si="1713"/>
        <v>0</v>
      </c>
      <c r="AH292" s="91">
        <f t="shared" si="1714"/>
        <v>0</v>
      </c>
      <c r="AP292" s="611"/>
      <c r="AW292" s="91">
        <f t="shared" si="1715"/>
        <v>0</v>
      </c>
      <c r="AX292" s="91">
        <f t="shared" si="1716"/>
        <v>0</v>
      </c>
      <c r="BF292" s="611"/>
      <c r="BM292" s="91">
        <f t="shared" si="1717"/>
        <v>0</v>
      </c>
      <c r="BN292" s="91">
        <f t="shared" si="1718"/>
        <v>0</v>
      </c>
      <c r="BV292" s="611"/>
      <c r="CC292" s="91">
        <f t="shared" si="1719"/>
        <v>0</v>
      </c>
      <c r="CD292" s="91">
        <f t="shared" si="1720"/>
        <v>0</v>
      </c>
      <c r="CL292" s="611"/>
      <c r="CS292" s="91">
        <f t="shared" si="1721"/>
        <v>0</v>
      </c>
      <c r="CT292" s="91">
        <f t="shared" si="1722"/>
        <v>0</v>
      </c>
      <c r="DB292" s="611"/>
      <c r="DI292" s="91">
        <f t="shared" si="1723"/>
        <v>0</v>
      </c>
      <c r="DJ292" s="91">
        <f t="shared" si="1724"/>
        <v>0</v>
      </c>
      <c r="DR292" s="611"/>
      <c r="DY292" s="91">
        <f t="shared" si="1725"/>
        <v>0</v>
      </c>
      <c r="DZ292" s="91">
        <f t="shared" si="1726"/>
        <v>0</v>
      </c>
      <c r="EH292" s="611"/>
      <c r="EO292" s="91">
        <f t="shared" si="1727"/>
        <v>0</v>
      </c>
      <c r="EP292" s="91">
        <f t="shared" si="1728"/>
        <v>0</v>
      </c>
      <c r="EX292" s="611"/>
      <c r="FE292" s="91">
        <f t="shared" si="1729"/>
        <v>0</v>
      </c>
      <c r="FF292" s="91">
        <f t="shared" si="1730"/>
        <v>0</v>
      </c>
      <c r="FN292" s="611"/>
      <c r="FU292" s="91">
        <f t="shared" si="1731"/>
        <v>0</v>
      </c>
      <c r="FV292" s="91">
        <f t="shared" si="1732"/>
        <v>0</v>
      </c>
      <c r="GD292" s="611"/>
      <c r="GK292" s="91">
        <f t="shared" si="1733"/>
        <v>0</v>
      </c>
      <c r="GL292" s="91">
        <f t="shared" si="1734"/>
        <v>0</v>
      </c>
      <c r="GT292" s="611"/>
      <c r="HA292" s="91">
        <f t="shared" si="1735"/>
        <v>0</v>
      </c>
      <c r="HB292" s="91">
        <f t="shared" si="1736"/>
        <v>0</v>
      </c>
      <c r="HJ292" s="611"/>
      <c r="HQ292" s="91">
        <f t="shared" si="1737"/>
        <v>0</v>
      </c>
      <c r="HR292" s="91">
        <f t="shared" si="1738"/>
        <v>0</v>
      </c>
      <c r="HZ292" s="611"/>
      <c r="IG292" s="91">
        <f t="shared" si="1739"/>
        <v>0</v>
      </c>
      <c r="IH292" s="91">
        <f t="shared" si="1740"/>
        <v>0</v>
      </c>
      <c r="IP292" s="611"/>
      <c r="IW292" s="91">
        <f t="shared" si="1741"/>
        <v>0</v>
      </c>
      <c r="IX292" s="91">
        <f t="shared" si="1742"/>
        <v>0</v>
      </c>
      <c r="JF292" s="611"/>
      <c r="JM292" s="91">
        <f t="shared" si="1743"/>
        <v>0</v>
      </c>
      <c r="JN292" s="91">
        <f t="shared" si="1744"/>
        <v>0</v>
      </c>
      <c r="JV292" s="611"/>
      <c r="KC292" s="91">
        <f t="shared" si="1745"/>
        <v>0</v>
      </c>
      <c r="KD292" s="91">
        <f t="shared" si="1746"/>
        <v>0</v>
      </c>
      <c r="KL292" s="611"/>
      <c r="KS292" s="91">
        <f t="shared" si="1747"/>
        <v>0</v>
      </c>
      <c r="KT292" s="91">
        <f t="shared" si="1748"/>
        <v>0</v>
      </c>
      <c r="LB292" s="611"/>
      <c r="LI292" s="91">
        <f t="shared" si="1749"/>
        <v>0</v>
      </c>
      <c r="LJ292" s="91">
        <f t="shared" si="1750"/>
        <v>0</v>
      </c>
      <c r="LR292" s="611"/>
      <c r="LY292" s="91">
        <f t="shared" si="1751"/>
        <v>0</v>
      </c>
      <c r="LZ292" s="91">
        <f t="shared" si="1752"/>
        <v>0</v>
      </c>
      <c r="MH292" s="611"/>
      <c r="MO292" s="91">
        <f t="shared" si="1753"/>
        <v>0</v>
      </c>
      <c r="MP292" s="91">
        <f t="shared" si="1754"/>
        <v>0</v>
      </c>
      <c r="MX292" s="611"/>
      <c r="NE292" s="91">
        <f t="shared" si="1755"/>
        <v>0</v>
      </c>
      <c r="NF292" s="91">
        <f t="shared" si="1756"/>
        <v>0</v>
      </c>
      <c r="NN292" s="611"/>
      <c r="NU292" s="91">
        <f t="shared" si="1757"/>
        <v>0</v>
      </c>
      <c r="NV292" s="91">
        <f t="shared" si="1758"/>
        <v>0</v>
      </c>
      <c r="OD292" s="611"/>
      <c r="OK292" s="91">
        <f t="shared" si="1759"/>
        <v>0</v>
      </c>
      <c r="OL292" s="91">
        <f t="shared" si="1760"/>
        <v>0</v>
      </c>
      <c r="OT292" s="611"/>
      <c r="PA292" s="91">
        <f t="shared" si="1761"/>
        <v>0</v>
      </c>
      <c r="PB292" s="91">
        <f t="shared" si="1762"/>
        <v>0</v>
      </c>
      <c r="PJ292" s="611"/>
      <c r="PQ292" s="91">
        <f t="shared" si="1763"/>
        <v>0</v>
      </c>
      <c r="PR292" s="91">
        <f t="shared" si="1764"/>
        <v>0</v>
      </c>
      <c r="PZ292" s="611"/>
      <c r="QG292" s="91">
        <f t="shared" si="1765"/>
        <v>0</v>
      </c>
      <c r="QH292" s="91">
        <f t="shared" si="1766"/>
        <v>0</v>
      </c>
      <c r="QP292" s="611"/>
      <c r="QW292" s="91">
        <f t="shared" si="1767"/>
        <v>0</v>
      </c>
      <c r="QX292" s="91">
        <f t="shared" si="1768"/>
        <v>0</v>
      </c>
      <c r="RF292" s="611"/>
      <c r="RM292" s="91">
        <f t="shared" si="1769"/>
        <v>0</v>
      </c>
      <c r="RN292" s="91">
        <f t="shared" si="1770"/>
        <v>0</v>
      </c>
      <c r="RV292" s="611"/>
      <c r="SC292" s="91">
        <f t="shared" si="1771"/>
        <v>0</v>
      </c>
      <c r="SD292" s="91">
        <f t="shared" si="1772"/>
        <v>0</v>
      </c>
      <c r="SL292" s="611"/>
      <c r="SS292" s="91">
        <f t="shared" si="1773"/>
        <v>0</v>
      </c>
      <c r="ST292" s="91">
        <f t="shared" si="1774"/>
        <v>0</v>
      </c>
      <c r="TB292" s="611"/>
      <c r="TI292" s="91">
        <f t="shared" si="1775"/>
        <v>0</v>
      </c>
      <c r="TJ292" s="91">
        <f t="shared" si="1776"/>
        <v>0</v>
      </c>
      <c r="TR292" s="611"/>
      <c r="TY292" s="91">
        <f t="shared" si="1777"/>
        <v>0</v>
      </c>
      <c r="TZ292" s="91">
        <f t="shared" si="1778"/>
        <v>0</v>
      </c>
      <c r="UH292" s="611"/>
      <c r="UO292" s="91">
        <f t="shared" si="1779"/>
        <v>0</v>
      </c>
      <c r="UP292" s="91">
        <f t="shared" si="1780"/>
        <v>0</v>
      </c>
      <c r="UX292" s="611"/>
      <c r="VE292" s="91">
        <f t="shared" si="1781"/>
        <v>0</v>
      </c>
      <c r="VF292" s="91">
        <f t="shared" si="1782"/>
        <v>0</v>
      </c>
      <c r="VN292" s="611"/>
      <c r="VU292" s="91">
        <f t="shared" si="1783"/>
        <v>0</v>
      </c>
      <c r="VV292" s="91">
        <f t="shared" si="1784"/>
        <v>0</v>
      </c>
      <c r="WD292" s="611"/>
      <c r="WK292" s="91">
        <f t="shared" si="1785"/>
        <v>0</v>
      </c>
      <c r="WL292" s="91">
        <f t="shared" si="1786"/>
        <v>0</v>
      </c>
      <c r="WM292" s="89"/>
      <c r="WN292" s="87">
        <f t="shared" si="1787"/>
        <v>0</v>
      </c>
      <c r="WO292" s="87">
        <f t="shared" si="1788"/>
        <v>0</v>
      </c>
      <c r="WP292" s="87">
        <f t="shared" si="1789"/>
        <v>0</v>
      </c>
      <c r="WQ292" s="87">
        <f t="shared" si="1790"/>
        <v>0</v>
      </c>
      <c r="WR292" s="87">
        <f t="shared" si="1791"/>
        <v>0</v>
      </c>
      <c r="WS292" s="87">
        <f t="shared" si="1792"/>
        <v>0</v>
      </c>
      <c r="WT292" s="87">
        <f t="shared" si="1793"/>
        <v>0</v>
      </c>
      <c r="WU292" s="87">
        <f t="shared" si="1794"/>
        <v>0</v>
      </c>
      <c r="WV292" s="87">
        <f t="shared" si="1795"/>
        <v>0</v>
      </c>
      <c r="WW292" s="87">
        <f t="shared" si="1796"/>
        <v>0</v>
      </c>
      <c r="WX292" s="87">
        <f t="shared" si="1797"/>
        <v>0</v>
      </c>
      <c r="WY292" s="87">
        <f t="shared" si="1798"/>
        <v>0</v>
      </c>
      <c r="WZ292" s="87">
        <f t="shared" si="1799"/>
        <v>0</v>
      </c>
      <c r="XA292" s="87">
        <f t="shared" si="1800"/>
        <v>0</v>
      </c>
      <c r="XB292" s="92">
        <f t="shared" si="1801"/>
        <v>0</v>
      </c>
      <c r="XC292" s="92">
        <f t="shared" si="1802"/>
        <v>0</v>
      </c>
      <c r="XD292" s="89"/>
      <c r="XE292" s="92"/>
      <c r="XF292" s="92"/>
      <c r="XG292" s="89"/>
      <c r="XH292" s="92"/>
      <c r="XI292" s="92"/>
      <c r="XJ292" s="89"/>
      <c r="XK292" s="87"/>
      <c r="XL292" s="87"/>
      <c r="XM292" s="87"/>
      <c r="XN292" s="87"/>
      <c r="XO292" s="87"/>
      <c r="XP292" s="87"/>
      <c r="XQ292" s="87"/>
      <c r="XR292" s="92">
        <f t="shared" ca="1" si="1803"/>
        <v>0</v>
      </c>
      <c r="XS292" s="89"/>
      <c r="XT292" s="87"/>
      <c r="XU292" s="87"/>
      <c r="XV292" s="87"/>
      <c r="XW292" s="87"/>
      <c r="XX292" s="87"/>
      <c r="XY292" s="87"/>
      <c r="XZ292" s="87"/>
      <c r="YA292" s="92">
        <f t="shared" ca="1" si="1804"/>
        <v>0</v>
      </c>
      <c r="YB292" s="90"/>
      <c r="YC292" s="90"/>
      <c r="YD292" s="90"/>
      <c r="YE292" s="90"/>
      <c r="YF292" s="90"/>
      <c r="YG292" s="90"/>
      <c r="YH292" s="90"/>
      <c r="YI292" s="90"/>
      <c r="YJ292" s="90"/>
      <c r="YK292" s="90"/>
      <c r="YL292" s="90"/>
      <c r="YM292" s="90"/>
      <c r="YN292" s="90"/>
      <c r="YO292" s="90"/>
      <c r="YP292" s="90"/>
      <c r="YQ292" s="90"/>
      <c r="YR292" s="90"/>
      <c r="YS292" s="90"/>
      <c r="YT292" s="90"/>
      <c r="YU292" s="90"/>
      <c r="YV292" s="90"/>
      <c r="YW292" s="90"/>
      <c r="YX292" s="90"/>
      <c r="YY292" s="90"/>
      <c r="YZ292" s="90"/>
      <c r="ZA292" s="90"/>
      <c r="ZB292" s="90"/>
      <c r="ZC292" s="90"/>
      <c r="ZD292" s="90"/>
      <c r="ZE292" s="90"/>
      <c r="ZF292" s="90"/>
      <c r="ZG292" s="90"/>
      <c r="ZH292" s="90"/>
      <c r="ZI292" s="90"/>
      <c r="ZJ292" s="90"/>
      <c r="ZK292" s="90"/>
      <c r="ZL292" s="90"/>
      <c r="ZM292" s="90"/>
      <c r="ZN292" s="90"/>
      <c r="ZO292" s="90"/>
      <c r="ZP292" s="90"/>
      <c r="ZQ292" s="90"/>
      <c r="ZR292" s="90"/>
      <c r="ZS292" s="90"/>
      <c r="ZT292" s="90"/>
      <c r="ZU292" s="90"/>
      <c r="ZV292" s="90"/>
      <c r="ZW292" s="90"/>
      <c r="ZX292" s="90"/>
      <c r="ZY292" s="90"/>
      <c r="ZZ292" s="90"/>
      <c r="AAA292" s="90"/>
      <c r="AAB292" s="90"/>
      <c r="AAC292" s="90"/>
      <c r="AAD292" s="90"/>
      <c r="AAE292" s="90"/>
      <c r="AAF292" s="90"/>
      <c r="AAG292" s="90"/>
      <c r="AAH292" s="90"/>
      <c r="AAI292" s="90"/>
      <c r="AAJ292" s="90"/>
      <c r="AAK292" s="90"/>
      <c r="AAL292" s="90"/>
      <c r="AAM292" s="90"/>
      <c r="AAN292" s="90"/>
      <c r="AAO292" s="90"/>
      <c r="AAP292" s="90"/>
      <c r="AAQ292" s="90"/>
      <c r="AAR292" s="90"/>
      <c r="AAS292" s="90"/>
      <c r="AAT292" s="90"/>
      <c r="AAU292" s="90"/>
      <c r="AAV292" s="90"/>
      <c r="AAW292" s="90"/>
      <c r="AAX292" s="90"/>
      <c r="AAY292" s="90"/>
      <c r="AAZ292" s="90"/>
      <c r="ABA292" s="90"/>
      <c r="ABB292" s="90"/>
      <c r="ABC292" s="90"/>
      <c r="ABD292" s="90"/>
      <c r="ABE292" s="90"/>
      <c r="ABF292" s="90"/>
      <c r="ABG292" s="90"/>
      <c r="ABH292" s="90"/>
      <c r="ABI292" s="90"/>
      <c r="ABJ292" s="90"/>
      <c r="ABK292" s="90"/>
      <c r="ABL292" s="90"/>
      <c r="ABM292" s="90"/>
      <c r="ABN292" s="90"/>
      <c r="ABO292" s="90"/>
      <c r="ABP292" s="90"/>
      <c r="ABQ292" s="90"/>
      <c r="ABR292" s="90"/>
      <c r="ABS292" s="90"/>
      <c r="ABT292" s="90"/>
      <c r="ABU292" s="90"/>
      <c r="ABV292" s="90"/>
      <c r="ABW292" s="90"/>
      <c r="ABX292" s="90"/>
      <c r="ABY292" s="90"/>
      <c r="ABZ292" s="90"/>
      <c r="ACA292" s="90"/>
      <c r="ACB292" s="90"/>
      <c r="ACC292" s="90"/>
      <c r="ACD292" s="90"/>
      <c r="ACE292" s="90"/>
      <c r="ACF292" s="90"/>
      <c r="ACG292" s="90"/>
      <c r="ACH292" s="90"/>
      <c r="ACI292" s="90"/>
      <c r="ACJ292" s="90"/>
      <c r="ACK292" s="90"/>
      <c r="ACL292" s="90"/>
      <c r="ACM292" s="90"/>
      <c r="ACN292" s="90"/>
      <c r="ACO292" s="90"/>
      <c r="ACP292" s="90"/>
      <c r="ACQ292" s="90"/>
      <c r="ACR292" s="90"/>
      <c r="ACS292" s="90"/>
      <c r="ACT292" s="90"/>
      <c r="ACU292" s="90"/>
      <c r="ACV292" s="90"/>
      <c r="ACW292" s="90"/>
      <c r="ACX292" s="90"/>
      <c r="ACY292" s="90"/>
      <c r="ACZ292" s="90"/>
      <c r="ADA292" s="90"/>
      <c r="ADB292" s="90"/>
      <c r="ADC292" s="90"/>
      <c r="ADD292" s="90"/>
      <c r="ADE292" s="90"/>
      <c r="ADF292" s="90"/>
      <c r="ADG292" s="90"/>
      <c r="ADH292" s="90"/>
      <c r="ADI292" s="90"/>
      <c r="ADJ292" s="90"/>
      <c r="ADK292" s="90"/>
      <c r="ADL292" s="90"/>
      <c r="ADM292" s="90"/>
      <c r="ADN292" s="90"/>
      <c r="ADO292" s="90"/>
      <c r="ADP292" s="90"/>
      <c r="ADQ292" s="90"/>
      <c r="ADR292" s="90"/>
      <c r="ADS292" s="90"/>
      <c r="ADT292" s="90"/>
      <c r="ADU292" s="90"/>
      <c r="ADV292" s="90"/>
      <c r="ADW292" s="90"/>
      <c r="ADX292" s="90"/>
      <c r="ADY292" s="90"/>
      <c r="ADZ292" s="90"/>
      <c r="AEA292" s="90"/>
      <c r="AEB292" s="90"/>
      <c r="AEC292" s="90"/>
      <c r="AED292" s="90"/>
      <c r="AEE292" s="90"/>
      <c r="AEF292" s="90"/>
      <c r="AEG292" s="90"/>
      <c r="AEH292" s="90"/>
      <c r="AEI292" s="90"/>
      <c r="AEJ292" s="90"/>
      <c r="AEK292" s="90"/>
      <c r="AEL292" s="90"/>
      <c r="AEM292" s="90"/>
      <c r="AEN292" s="90"/>
      <c r="AEO292" s="90"/>
      <c r="AEP292" s="90"/>
      <c r="AEQ292" s="90"/>
      <c r="AER292" s="90"/>
      <c r="AES292" s="90"/>
      <c r="AET292" s="90"/>
      <c r="AEU292" s="90"/>
      <c r="AEV292" s="90"/>
      <c r="AEW292" s="90"/>
      <c r="AEX292" s="90"/>
      <c r="AEY292" s="90"/>
      <c r="AEZ292" s="90"/>
      <c r="AFA292" s="90"/>
      <c r="AFB292" s="90"/>
      <c r="AFC292" s="90"/>
      <c r="AFD292" s="90"/>
      <c r="AFE292" s="90"/>
      <c r="AFF292" s="90"/>
      <c r="AFG292" s="90"/>
      <c r="AFH292" s="90"/>
      <c r="AFI292" s="90"/>
      <c r="AFJ292" s="90"/>
      <c r="AFK292" s="90"/>
      <c r="AFL292" s="90"/>
      <c r="AFM292" s="90"/>
      <c r="AFN292" s="90"/>
      <c r="AFO292" s="90"/>
      <c r="AFP292" s="90"/>
      <c r="AFQ292" s="90"/>
      <c r="AFR292" s="90"/>
      <c r="AFS292" s="90"/>
      <c r="AFT292" s="90"/>
      <c r="AFU292" s="90"/>
      <c r="AFV292" s="90"/>
      <c r="AFW292" s="90"/>
      <c r="AFX292" s="90"/>
      <c r="AFY292" s="90"/>
      <c r="AFZ292" s="90"/>
      <c r="AGA292" s="90"/>
      <c r="AGB292" s="90"/>
      <c r="AGC292" s="90"/>
      <c r="AGD292" s="90"/>
      <c r="AGE292" s="90"/>
      <c r="AGF292" s="90"/>
      <c r="AGG292" s="90"/>
      <c r="AGH292" s="90"/>
      <c r="AGI292" s="90"/>
      <c r="AGJ292" s="90"/>
      <c r="AGK292" s="90"/>
      <c r="AGL292" s="90"/>
      <c r="AGM292" s="90"/>
      <c r="AGN292" s="90"/>
      <c r="AGO292" s="90"/>
      <c r="AGP292" s="90"/>
      <c r="AGQ292" s="90"/>
      <c r="AGR292" s="90"/>
      <c r="AGS292" s="90"/>
      <c r="AGT292" s="90"/>
      <c r="AGU292" s="90"/>
      <c r="AGV292" s="90"/>
      <c r="AGW292" s="90"/>
      <c r="AGX292" s="90"/>
      <c r="AGY292" s="90"/>
      <c r="AGZ292" s="90"/>
      <c r="AHA292" s="90"/>
      <c r="AHB292" s="90"/>
      <c r="AHC292" s="90"/>
      <c r="AHD292" s="90"/>
      <c r="AHE292" s="90"/>
      <c r="AHF292" s="90"/>
      <c r="AHG292" s="90"/>
      <c r="AHH292" s="90"/>
      <c r="AHI292" s="90"/>
      <c r="AHJ292" s="90"/>
      <c r="AHK292" s="90"/>
      <c r="AHL292" s="90"/>
      <c r="AHM292" s="90"/>
      <c r="AHN292" s="90"/>
      <c r="AHO292" s="90"/>
      <c r="AHP292" s="90"/>
      <c r="AHQ292" s="90"/>
      <c r="AHR292" s="90"/>
      <c r="AHS292" s="90"/>
      <c r="AHT292" s="90"/>
      <c r="AHU292" s="90"/>
      <c r="AHV292" s="90"/>
      <c r="AHW292" s="90"/>
      <c r="AHX292" s="90"/>
      <c r="AHY292" s="90"/>
      <c r="AHZ292" s="90"/>
      <c r="AIA292" s="90"/>
      <c r="AIB292" s="90"/>
      <c r="AIC292" s="90"/>
      <c r="AID292" s="90"/>
      <c r="AIE292" s="90"/>
      <c r="AIF292" s="90"/>
      <c r="AIG292" s="90"/>
      <c r="AIH292" s="90"/>
      <c r="AII292" s="90"/>
      <c r="AIJ292" s="90"/>
      <c r="AIK292" s="90"/>
      <c r="AIL292" s="90"/>
      <c r="AIM292" s="90"/>
      <c r="AIN292" s="90"/>
      <c r="AIO292" s="90"/>
      <c r="AIP292" s="90"/>
      <c r="AIQ292" s="90"/>
      <c r="AIR292" s="90"/>
      <c r="AIS292" s="90"/>
      <c r="AIT292" s="90"/>
      <c r="AIU292" s="90"/>
      <c r="AIV292" s="90"/>
      <c r="AIW292" s="90"/>
      <c r="AIX292" s="90"/>
      <c r="AIY292" s="90"/>
      <c r="AIZ292" s="90"/>
      <c r="AJA292" s="90"/>
      <c r="AJB292" s="90"/>
      <c r="AJC292" s="90"/>
      <c r="AJD292" s="90"/>
      <c r="AJE292" s="90"/>
      <c r="AJF292" s="90"/>
      <c r="AJG292" s="90"/>
      <c r="AJH292" s="90"/>
      <c r="AJI292" s="90"/>
      <c r="AJJ292" s="90"/>
      <c r="AJK292" s="90"/>
      <c r="AJL292" s="90"/>
      <c r="AJM292" s="90"/>
      <c r="AJN292" s="90"/>
      <c r="AJO292" s="90"/>
      <c r="AJP292" s="90"/>
      <c r="AJQ292" s="90"/>
      <c r="AJR292" s="90"/>
      <c r="AJS292" s="90"/>
      <c r="AJT292" s="90"/>
      <c r="AJU292" s="90"/>
      <c r="AJV292" s="90"/>
      <c r="AJW292" s="90"/>
      <c r="AJX292" s="90"/>
      <c r="AJY292" s="90"/>
      <c r="AJZ292" s="90"/>
      <c r="AKA292" s="90"/>
      <c r="AKB292" s="90"/>
      <c r="AKC292" s="90"/>
      <c r="AKD292" s="90"/>
      <c r="AKE292" s="90"/>
      <c r="AKF292" s="90"/>
      <c r="AKG292" s="90"/>
      <c r="AKH292" s="90"/>
      <c r="AKI292" s="90"/>
      <c r="AKJ292" s="90"/>
      <c r="AKK292" s="90"/>
      <c r="AKL292" s="90"/>
      <c r="AKM292" s="90"/>
      <c r="AKN292" s="90"/>
      <c r="AKO292" s="90"/>
      <c r="AKP292" s="90"/>
      <c r="AKQ292" s="90"/>
      <c r="AKR292" s="90"/>
      <c r="AKS292" s="90"/>
      <c r="AKT292" s="90"/>
      <c r="AKU292" s="90"/>
      <c r="AKV292" s="90"/>
      <c r="AKW292" s="90"/>
      <c r="AKX292" s="90"/>
      <c r="AKY292" s="90"/>
      <c r="AKZ292" s="90"/>
      <c r="ALA292" s="90"/>
      <c r="ALB292" s="90"/>
      <c r="ALC292" s="90"/>
      <c r="ALD292" s="90"/>
      <c r="ALE292" s="90"/>
      <c r="ALF292" s="90"/>
      <c r="ALG292" s="90"/>
      <c r="ALH292" s="90"/>
      <c r="ALI292" s="90"/>
      <c r="ALJ292" s="90"/>
      <c r="ALK292" s="90"/>
      <c r="ALL292" s="90"/>
      <c r="ALM292" s="90"/>
      <c r="ALN292" s="90"/>
      <c r="ALO292" s="90"/>
      <c r="ALP292" s="90"/>
      <c r="ALQ292" s="90"/>
      <c r="ALR292" s="90"/>
      <c r="ALS292" s="90"/>
      <c r="ALT292" s="90"/>
      <c r="ALU292" s="90"/>
      <c r="ALV292" s="90"/>
      <c r="ALW292" s="90"/>
      <c r="ALX292" s="90"/>
      <c r="ALY292" s="90"/>
      <c r="ALZ292" s="90"/>
      <c r="AMA292" s="90"/>
      <c r="AMB292" s="90"/>
      <c r="AMC292" s="90"/>
    </row>
    <row r="293" spans="1:1017">
      <c r="A293" s="98" t="s">
        <v>52</v>
      </c>
      <c r="B293" s="90" t="str">
        <f t="shared" si="1710"/>
        <v xml:space="preserve">Lele </v>
      </c>
      <c r="I293" s="98">
        <v>19000</v>
      </c>
      <c r="J293" s="98">
        <v>380000</v>
      </c>
      <c r="M293" s="98">
        <v>300</v>
      </c>
      <c r="N293" s="98">
        <v>6000</v>
      </c>
      <c r="Q293" s="91">
        <f t="shared" si="1711"/>
        <v>19300</v>
      </c>
      <c r="R293" s="91">
        <f t="shared" si="1712"/>
        <v>386000</v>
      </c>
      <c r="Y293" s="98">
        <v>617920</v>
      </c>
      <c r="Z293" s="98">
        <v>12358400</v>
      </c>
      <c r="AE293" s="98">
        <v>460</v>
      </c>
      <c r="AF293" s="98">
        <v>9200</v>
      </c>
      <c r="AG293" s="91">
        <f t="shared" si="1713"/>
        <v>618380</v>
      </c>
      <c r="AH293" s="91">
        <f t="shared" si="1714"/>
        <v>12367600</v>
      </c>
      <c r="AO293" s="98">
        <v>773300</v>
      </c>
      <c r="AP293" s="98">
        <v>13146100</v>
      </c>
      <c r="AW293" s="91">
        <f t="shared" si="1715"/>
        <v>773300</v>
      </c>
      <c r="AX293" s="91">
        <f t="shared" si="1716"/>
        <v>13146100</v>
      </c>
      <c r="BE293" s="98">
        <v>249149</v>
      </c>
      <c r="BF293" s="98">
        <v>4733831</v>
      </c>
      <c r="BM293" s="91">
        <f t="shared" si="1717"/>
        <v>249149</v>
      </c>
      <c r="BN293" s="91">
        <f t="shared" si="1718"/>
        <v>4733831</v>
      </c>
      <c r="BU293" s="98">
        <v>59615</v>
      </c>
      <c r="BV293" s="98">
        <v>1192300</v>
      </c>
      <c r="CC293" s="91">
        <f t="shared" si="1719"/>
        <v>59615</v>
      </c>
      <c r="CD293" s="91">
        <f t="shared" si="1720"/>
        <v>1192300</v>
      </c>
      <c r="CK293" s="98">
        <v>106815</v>
      </c>
      <c r="CL293" s="98">
        <v>1602224</v>
      </c>
      <c r="CS293" s="91">
        <f t="shared" si="1721"/>
        <v>106815</v>
      </c>
      <c r="CT293" s="91">
        <f t="shared" si="1722"/>
        <v>1602224</v>
      </c>
      <c r="DA293" s="98">
        <v>711580</v>
      </c>
      <c r="DB293" s="98">
        <v>13164230</v>
      </c>
      <c r="DI293" s="91">
        <f t="shared" si="1723"/>
        <v>711580</v>
      </c>
      <c r="DJ293" s="91">
        <f t="shared" si="1724"/>
        <v>13164230</v>
      </c>
      <c r="DQ293" s="98">
        <v>546300</v>
      </c>
      <c r="DR293" s="98">
        <v>9833400</v>
      </c>
      <c r="DY293" s="91">
        <f t="shared" si="1725"/>
        <v>546300</v>
      </c>
      <c r="DZ293" s="91">
        <f t="shared" si="1726"/>
        <v>9833400</v>
      </c>
      <c r="EG293" s="98">
        <v>1355000</v>
      </c>
      <c r="EH293" s="98">
        <v>24390000</v>
      </c>
      <c r="EO293" s="91">
        <f t="shared" si="1727"/>
        <v>1355000</v>
      </c>
      <c r="EP293" s="91">
        <f t="shared" si="1728"/>
        <v>24390000</v>
      </c>
      <c r="EW293" s="98">
        <v>179885</v>
      </c>
      <c r="EX293" s="98">
        <v>3597700</v>
      </c>
      <c r="FA293" s="98">
        <v>3331</v>
      </c>
      <c r="FB293" s="98">
        <v>66620</v>
      </c>
      <c r="FE293" s="91">
        <f t="shared" si="1729"/>
        <v>183216</v>
      </c>
      <c r="FF293" s="91">
        <f t="shared" si="1730"/>
        <v>3664320</v>
      </c>
      <c r="FM293" s="98">
        <v>100028</v>
      </c>
      <c r="FN293" s="98">
        <v>1850518</v>
      </c>
      <c r="FU293" s="91">
        <f t="shared" si="1731"/>
        <v>100028</v>
      </c>
      <c r="FV293" s="91">
        <f t="shared" si="1732"/>
        <v>1850518</v>
      </c>
      <c r="GC293" s="98">
        <v>201000</v>
      </c>
      <c r="GD293" s="98">
        <v>3618000</v>
      </c>
      <c r="GK293" s="91">
        <f t="shared" si="1733"/>
        <v>201000</v>
      </c>
      <c r="GL293" s="91">
        <f t="shared" si="1734"/>
        <v>3618000</v>
      </c>
      <c r="GS293" s="98">
        <v>126000</v>
      </c>
      <c r="GT293" s="98">
        <v>2305800</v>
      </c>
      <c r="HA293" s="91">
        <f t="shared" si="1735"/>
        <v>126000</v>
      </c>
      <c r="HB293" s="91">
        <f t="shared" si="1736"/>
        <v>2305800</v>
      </c>
      <c r="HI293" s="98">
        <v>500000</v>
      </c>
      <c r="HJ293" s="98">
        <v>9000000</v>
      </c>
      <c r="HQ293" s="91">
        <f t="shared" si="1737"/>
        <v>500000</v>
      </c>
      <c r="HR293" s="91">
        <f t="shared" si="1738"/>
        <v>9000000</v>
      </c>
      <c r="HY293" s="98">
        <v>134125</v>
      </c>
      <c r="HZ293" s="98">
        <v>2414250</v>
      </c>
      <c r="IG293" s="91">
        <f t="shared" si="1739"/>
        <v>134125</v>
      </c>
      <c r="IH293" s="91">
        <f t="shared" si="1740"/>
        <v>2414250</v>
      </c>
      <c r="IO293" s="98">
        <v>733100</v>
      </c>
      <c r="IP293" s="98">
        <v>12975870</v>
      </c>
      <c r="IW293" s="91">
        <f t="shared" si="1741"/>
        <v>733100</v>
      </c>
      <c r="IX293" s="91">
        <f t="shared" si="1742"/>
        <v>12975870</v>
      </c>
      <c r="JE293" s="98">
        <v>334550</v>
      </c>
      <c r="JF293" s="98">
        <v>6189175</v>
      </c>
      <c r="JM293" s="91">
        <f t="shared" si="1743"/>
        <v>334550</v>
      </c>
      <c r="JN293" s="91">
        <f t="shared" si="1744"/>
        <v>6189175</v>
      </c>
      <c r="JU293" s="98">
        <v>68344</v>
      </c>
      <c r="JV293" s="98">
        <v>1640256</v>
      </c>
      <c r="KC293" s="91">
        <f t="shared" si="1745"/>
        <v>68344</v>
      </c>
      <c r="KD293" s="91">
        <f t="shared" si="1746"/>
        <v>1640256</v>
      </c>
      <c r="KK293" s="98">
        <v>57996</v>
      </c>
      <c r="KL293" s="98">
        <v>1159920</v>
      </c>
      <c r="KS293" s="91">
        <f t="shared" si="1747"/>
        <v>57996</v>
      </c>
      <c r="KT293" s="91">
        <f t="shared" si="1748"/>
        <v>1159920</v>
      </c>
      <c r="LA293" s="98">
        <v>1273472.83</v>
      </c>
      <c r="LB293" s="98">
        <v>22922510</v>
      </c>
      <c r="LI293" s="91">
        <f t="shared" si="1749"/>
        <v>1273472.83</v>
      </c>
      <c r="LJ293" s="91">
        <f t="shared" si="1750"/>
        <v>22922510</v>
      </c>
      <c r="LQ293" s="98">
        <v>142903</v>
      </c>
      <c r="LR293" s="98">
        <v>2572254</v>
      </c>
      <c r="LW293" s="98">
        <v>978</v>
      </c>
      <c r="LX293" s="98">
        <v>31296</v>
      </c>
      <c r="LY293" s="91">
        <f t="shared" si="1751"/>
        <v>143881</v>
      </c>
      <c r="LZ293" s="91">
        <f t="shared" si="1752"/>
        <v>2603550</v>
      </c>
      <c r="MG293" s="98">
        <v>72430</v>
      </c>
      <c r="MH293" s="98">
        <v>1339955.0000000002</v>
      </c>
      <c r="MO293" s="91">
        <f t="shared" si="1753"/>
        <v>72430</v>
      </c>
      <c r="MP293" s="91">
        <f t="shared" si="1754"/>
        <v>1339955.0000000002</v>
      </c>
      <c r="MW293" s="98">
        <v>13000</v>
      </c>
      <c r="MX293" s="98">
        <v>299000</v>
      </c>
      <c r="NE293" s="91">
        <f t="shared" si="1755"/>
        <v>13000</v>
      </c>
      <c r="NF293" s="91">
        <f t="shared" si="1756"/>
        <v>299000</v>
      </c>
      <c r="NM293" s="98">
        <v>2210900</v>
      </c>
      <c r="NN293" s="98">
        <v>35374400</v>
      </c>
      <c r="NQ293" s="98">
        <v>670</v>
      </c>
      <c r="NR293" s="98">
        <v>10720</v>
      </c>
      <c r="NU293" s="91">
        <f t="shared" si="1757"/>
        <v>2211570</v>
      </c>
      <c r="NV293" s="91">
        <f t="shared" si="1758"/>
        <v>35385120</v>
      </c>
      <c r="OC293" s="98">
        <v>43014</v>
      </c>
      <c r="OD293" s="98">
        <v>817266</v>
      </c>
      <c r="OK293" s="91">
        <f t="shared" si="1759"/>
        <v>43014</v>
      </c>
      <c r="OL293" s="91">
        <f t="shared" si="1760"/>
        <v>817266</v>
      </c>
      <c r="OS293" s="98">
        <v>750048</v>
      </c>
      <c r="OT293" s="786">
        <v>5797971.9000000004</v>
      </c>
      <c r="PA293" s="91">
        <f t="shared" si="1761"/>
        <v>750048</v>
      </c>
      <c r="PB293" s="91">
        <f t="shared" si="1762"/>
        <v>5797971.9000000004</v>
      </c>
      <c r="PI293" s="98">
        <v>309638</v>
      </c>
      <c r="PJ293" s="98">
        <v>5511556</v>
      </c>
      <c r="PQ293" s="91">
        <f t="shared" si="1763"/>
        <v>309638</v>
      </c>
      <c r="PR293" s="91">
        <f t="shared" si="1764"/>
        <v>5511556</v>
      </c>
      <c r="PY293" s="98">
        <v>906740</v>
      </c>
      <c r="PZ293" s="98">
        <v>16321320</v>
      </c>
      <c r="QC293" s="98">
        <v>217050</v>
      </c>
      <c r="QD293" s="98">
        <v>4015425</v>
      </c>
      <c r="QG293" s="91">
        <f t="shared" si="1765"/>
        <v>1123790</v>
      </c>
      <c r="QH293" s="91">
        <f t="shared" si="1766"/>
        <v>20336745</v>
      </c>
      <c r="QO293" s="98">
        <v>900000</v>
      </c>
      <c r="QP293" s="98">
        <v>16200000</v>
      </c>
      <c r="QW293" s="91">
        <f t="shared" si="1767"/>
        <v>900000</v>
      </c>
      <c r="QX293" s="91">
        <f t="shared" si="1768"/>
        <v>16200000</v>
      </c>
      <c r="RE293" s="98">
        <v>2650</v>
      </c>
      <c r="RF293" s="98">
        <f>RE293*20</f>
        <v>53000</v>
      </c>
      <c r="RM293" s="91">
        <f t="shared" si="1769"/>
        <v>2650</v>
      </c>
      <c r="RN293" s="91">
        <f t="shared" si="1770"/>
        <v>53000</v>
      </c>
      <c r="RU293" s="98">
        <v>9900</v>
      </c>
      <c r="RV293" s="98">
        <v>173250</v>
      </c>
      <c r="SC293" s="91">
        <f t="shared" si="1771"/>
        <v>9900</v>
      </c>
      <c r="SD293" s="91">
        <f t="shared" si="1772"/>
        <v>173250</v>
      </c>
      <c r="SK293" s="98">
        <v>11000</v>
      </c>
      <c r="SL293" s="98">
        <v>203500</v>
      </c>
      <c r="SS293" s="91">
        <f t="shared" si="1773"/>
        <v>11000</v>
      </c>
      <c r="ST293" s="91">
        <f t="shared" si="1774"/>
        <v>203500</v>
      </c>
      <c r="TA293" s="98">
        <v>11765</v>
      </c>
      <c r="TB293" s="98">
        <v>205888</v>
      </c>
      <c r="TI293" s="91">
        <f t="shared" si="1775"/>
        <v>11765</v>
      </c>
      <c r="TJ293" s="91">
        <f t="shared" si="1776"/>
        <v>205888</v>
      </c>
      <c r="TQ293" s="98">
        <v>6300</v>
      </c>
      <c r="TR293" s="98">
        <v>119700</v>
      </c>
      <c r="TY293" s="91">
        <f t="shared" si="1777"/>
        <v>6300</v>
      </c>
      <c r="TZ293" s="91">
        <f t="shared" si="1778"/>
        <v>119700</v>
      </c>
      <c r="UG293" s="98">
        <v>17970</v>
      </c>
      <c r="UH293" s="98">
        <v>323460</v>
      </c>
      <c r="UO293" s="91">
        <f t="shared" si="1779"/>
        <v>17970</v>
      </c>
      <c r="UP293" s="91">
        <f t="shared" si="1780"/>
        <v>323460</v>
      </c>
      <c r="UW293" s="98">
        <v>1417</v>
      </c>
      <c r="UX293" s="98">
        <v>28340</v>
      </c>
      <c r="VE293" s="91">
        <f t="shared" si="1781"/>
        <v>1417</v>
      </c>
      <c r="VF293" s="91">
        <f t="shared" si="1782"/>
        <v>28340</v>
      </c>
      <c r="VM293" s="98">
        <v>11810</v>
      </c>
      <c r="VN293" s="98">
        <v>224390</v>
      </c>
      <c r="VU293" s="91">
        <f t="shared" si="1783"/>
        <v>11810</v>
      </c>
      <c r="VV293" s="91">
        <f t="shared" si="1784"/>
        <v>224390</v>
      </c>
      <c r="WC293" s="98">
        <v>234870</v>
      </c>
      <c r="WD293" s="98">
        <v>4697400</v>
      </c>
      <c r="WI293" s="98">
        <v>6540</v>
      </c>
      <c r="WJ293" s="98">
        <v>143880</v>
      </c>
      <c r="WK293" s="91">
        <f t="shared" si="1785"/>
        <v>241410</v>
      </c>
      <c r="WL293" s="91">
        <f t="shared" si="1786"/>
        <v>4841280</v>
      </c>
      <c r="WM293" s="89"/>
      <c r="WN293" s="87">
        <f t="shared" si="1787"/>
        <v>0</v>
      </c>
      <c r="WO293" s="87">
        <f t="shared" si="1788"/>
        <v>0</v>
      </c>
      <c r="WP293" s="87">
        <f t="shared" si="1789"/>
        <v>0</v>
      </c>
      <c r="WQ293" s="87">
        <f t="shared" si="1790"/>
        <v>0</v>
      </c>
      <c r="WR293" s="87">
        <f t="shared" si="1791"/>
        <v>0</v>
      </c>
      <c r="WS293" s="87">
        <f t="shared" si="1792"/>
        <v>0</v>
      </c>
      <c r="WT293" s="87">
        <f t="shared" si="1793"/>
        <v>13803534.83</v>
      </c>
      <c r="WU293" s="87">
        <f t="shared" si="1794"/>
        <v>238737134.90000001</v>
      </c>
      <c r="WV293" s="87">
        <f t="shared" si="1795"/>
        <v>0</v>
      </c>
      <c r="WW293" s="87">
        <f t="shared" si="1796"/>
        <v>0</v>
      </c>
      <c r="WX293" s="87">
        <f t="shared" si="1797"/>
        <v>221351</v>
      </c>
      <c r="WY293" s="87">
        <f t="shared" si="1798"/>
        <v>4098765</v>
      </c>
      <c r="WZ293" s="87">
        <f t="shared" si="1799"/>
        <v>7978</v>
      </c>
      <c r="XA293" s="87">
        <f t="shared" si="1800"/>
        <v>184376</v>
      </c>
      <c r="XB293" s="92">
        <f t="shared" si="1801"/>
        <v>14032863.83</v>
      </c>
      <c r="XC293" s="92">
        <f t="shared" si="1802"/>
        <v>243020275.90000001</v>
      </c>
      <c r="XD293" s="89"/>
      <c r="XE293" s="92"/>
      <c r="XF293" s="92"/>
      <c r="XG293" s="89"/>
      <c r="XH293" s="92"/>
      <c r="XI293" s="92"/>
      <c r="XJ293" s="89"/>
      <c r="XK293" s="87"/>
      <c r="XL293" s="87"/>
      <c r="XM293" s="87"/>
      <c r="XN293" s="87"/>
      <c r="XO293" s="87"/>
      <c r="XP293" s="87"/>
      <c r="XQ293" s="87"/>
      <c r="XR293" s="92">
        <f t="shared" ca="1" si="1803"/>
        <v>0</v>
      </c>
      <c r="XS293" s="89"/>
      <c r="XT293" s="87"/>
      <c r="XU293" s="87"/>
      <c r="XV293" s="87"/>
      <c r="XW293" s="87"/>
      <c r="XX293" s="87"/>
      <c r="XY293" s="87"/>
      <c r="XZ293" s="87"/>
      <c r="YA293" s="92">
        <f t="shared" ca="1" si="1804"/>
        <v>0</v>
      </c>
      <c r="YB293" s="90"/>
      <c r="YC293" s="90"/>
      <c r="YD293" s="90"/>
      <c r="YE293" s="90"/>
      <c r="YF293" s="90"/>
      <c r="YG293" s="90"/>
      <c r="YH293" s="90"/>
      <c r="YI293" s="90"/>
      <c r="YJ293" s="90"/>
      <c r="YK293" s="90"/>
      <c r="YL293" s="90"/>
      <c r="YM293" s="90"/>
      <c r="YN293" s="90"/>
      <c r="YO293" s="90"/>
      <c r="YP293" s="90"/>
      <c r="YQ293" s="90"/>
      <c r="YR293" s="90"/>
      <c r="YS293" s="90"/>
      <c r="YT293" s="90"/>
      <c r="YU293" s="90"/>
      <c r="YV293" s="90"/>
      <c r="YW293" s="90"/>
      <c r="YX293" s="90"/>
      <c r="YY293" s="90"/>
      <c r="YZ293" s="90"/>
      <c r="ZA293" s="90"/>
      <c r="ZB293" s="90"/>
      <c r="ZC293" s="90"/>
      <c r="ZD293" s="90"/>
      <c r="ZE293" s="90"/>
      <c r="ZF293" s="90"/>
      <c r="ZG293" s="90"/>
      <c r="ZH293" s="90"/>
      <c r="ZI293" s="90"/>
      <c r="ZJ293" s="90"/>
      <c r="ZK293" s="90"/>
      <c r="ZL293" s="90"/>
      <c r="ZM293" s="90"/>
      <c r="ZN293" s="90"/>
      <c r="ZO293" s="90"/>
      <c r="ZP293" s="90"/>
      <c r="ZQ293" s="90"/>
      <c r="ZR293" s="90"/>
      <c r="ZS293" s="90"/>
      <c r="ZT293" s="90"/>
      <c r="ZU293" s="90"/>
      <c r="ZV293" s="90"/>
      <c r="ZW293" s="90"/>
      <c r="ZX293" s="90"/>
      <c r="ZY293" s="90"/>
      <c r="ZZ293" s="90"/>
      <c r="AAA293" s="90"/>
      <c r="AAB293" s="90"/>
      <c r="AAC293" s="90"/>
      <c r="AAD293" s="90"/>
      <c r="AAE293" s="90"/>
      <c r="AAF293" s="90"/>
      <c r="AAG293" s="90"/>
      <c r="AAH293" s="90"/>
      <c r="AAI293" s="90"/>
      <c r="AAJ293" s="90"/>
      <c r="AAK293" s="90"/>
      <c r="AAL293" s="90"/>
      <c r="AAM293" s="90"/>
      <c r="AAN293" s="90"/>
      <c r="AAO293" s="90"/>
      <c r="AAP293" s="90"/>
      <c r="AAQ293" s="90"/>
      <c r="AAR293" s="90"/>
      <c r="AAS293" s="90"/>
      <c r="AAT293" s="90"/>
      <c r="AAU293" s="90"/>
      <c r="AAV293" s="90"/>
      <c r="AAW293" s="90"/>
      <c r="AAX293" s="90"/>
      <c r="AAY293" s="90"/>
      <c r="AAZ293" s="90"/>
      <c r="ABA293" s="90"/>
      <c r="ABB293" s="90"/>
      <c r="ABC293" s="90"/>
      <c r="ABD293" s="90"/>
      <c r="ABE293" s="90"/>
      <c r="ABF293" s="90"/>
      <c r="ABG293" s="90"/>
      <c r="ABH293" s="90"/>
      <c r="ABI293" s="90"/>
      <c r="ABJ293" s="90"/>
      <c r="ABK293" s="90"/>
      <c r="ABL293" s="90"/>
      <c r="ABM293" s="90"/>
      <c r="ABN293" s="90"/>
      <c r="ABO293" s="90"/>
      <c r="ABP293" s="90"/>
      <c r="ABQ293" s="90"/>
      <c r="ABR293" s="90"/>
      <c r="ABS293" s="90"/>
      <c r="ABT293" s="90"/>
      <c r="ABU293" s="90"/>
      <c r="ABV293" s="90"/>
      <c r="ABW293" s="90"/>
      <c r="ABX293" s="90"/>
      <c r="ABY293" s="90"/>
      <c r="ABZ293" s="90"/>
      <c r="ACA293" s="90"/>
      <c r="ACB293" s="90"/>
      <c r="ACC293" s="90"/>
      <c r="ACD293" s="90"/>
      <c r="ACE293" s="90"/>
      <c r="ACF293" s="90"/>
      <c r="ACG293" s="90"/>
      <c r="ACH293" s="90"/>
      <c r="ACI293" s="90"/>
      <c r="ACJ293" s="90"/>
      <c r="ACK293" s="90"/>
      <c r="ACL293" s="90"/>
      <c r="ACM293" s="90"/>
      <c r="ACN293" s="90"/>
      <c r="ACO293" s="90"/>
      <c r="ACP293" s="90"/>
      <c r="ACQ293" s="90"/>
      <c r="ACR293" s="90"/>
      <c r="ACS293" s="90"/>
      <c r="ACT293" s="90"/>
      <c r="ACU293" s="90"/>
      <c r="ACV293" s="90"/>
      <c r="ACW293" s="90"/>
      <c r="ACX293" s="90"/>
      <c r="ACY293" s="90"/>
      <c r="ACZ293" s="90"/>
      <c r="ADA293" s="90"/>
      <c r="ADB293" s="90"/>
      <c r="ADC293" s="90"/>
      <c r="ADD293" s="90"/>
      <c r="ADE293" s="90"/>
      <c r="ADF293" s="90"/>
      <c r="ADG293" s="90"/>
      <c r="ADH293" s="90"/>
      <c r="ADI293" s="90"/>
      <c r="ADJ293" s="90"/>
      <c r="ADK293" s="90"/>
      <c r="ADL293" s="90"/>
      <c r="ADM293" s="90"/>
      <c r="ADN293" s="90"/>
      <c r="ADO293" s="90"/>
      <c r="ADP293" s="90"/>
      <c r="ADQ293" s="90"/>
      <c r="ADR293" s="90"/>
      <c r="ADS293" s="90"/>
      <c r="ADT293" s="90"/>
      <c r="ADU293" s="90"/>
      <c r="ADV293" s="90"/>
      <c r="ADW293" s="90"/>
      <c r="ADX293" s="90"/>
      <c r="ADY293" s="90"/>
      <c r="ADZ293" s="90"/>
      <c r="AEA293" s="90"/>
      <c r="AEB293" s="90"/>
      <c r="AEC293" s="90"/>
      <c r="AED293" s="90"/>
      <c r="AEE293" s="90"/>
      <c r="AEF293" s="90"/>
      <c r="AEG293" s="90"/>
      <c r="AEH293" s="90"/>
      <c r="AEI293" s="90"/>
      <c r="AEJ293" s="90"/>
      <c r="AEK293" s="90"/>
      <c r="AEL293" s="90"/>
      <c r="AEM293" s="90"/>
      <c r="AEN293" s="90"/>
      <c r="AEO293" s="90"/>
      <c r="AEP293" s="90"/>
      <c r="AEQ293" s="90"/>
      <c r="AER293" s="90"/>
      <c r="AES293" s="90"/>
      <c r="AET293" s="90"/>
      <c r="AEU293" s="90"/>
      <c r="AEV293" s="90"/>
      <c r="AEW293" s="90"/>
      <c r="AEX293" s="90"/>
      <c r="AEY293" s="90"/>
      <c r="AEZ293" s="90"/>
      <c r="AFA293" s="90"/>
      <c r="AFB293" s="90"/>
      <c r="AFC293" s="90"/>
      <c r="AFD293" s="90"/>
      <c r="AFE293" s="90"/>
      <c r="AFF293" s="90"/>
      <c r="AFG293" s="90"/>
      <c r="AFH293" s="90"/>
      <c r="AFI293" s="90"/>
      <c r="AFJ293" s="90"/>
      <c r="AFK293" s="90"/>
      <c r="AFL293" s="90"/>
      <c r="AFM293" s="90"/>
      <c r="AFN293" s="90"/>
      <c r="AFO293" s="90"/>
      <c r="AFP293" s="90"/>
      <c r="AFQ293" s="90"/>
      <c r="AFR293" s="90"/>
      <c r="AFS293" s="90"/>
      <c r="AFT293" s="90"/>
      <c r="AFU293" s="90"/>
      <c r="AFV293" s="90"/>
      <c r="AFW293" s="90"/>
      <c r="AFX293" s="90"/>
      <c r="AFY293" s="90"/>
      <c r="AFZ293" s="90"/>
      <c r="AGA293" s="90"/>
      <c r="AGB293" s="90"/>
      <c r="AGC293" s="90"/>
      <c r="AGD293" s="90"/>
      <c r="AGE293" s="90"/>
      <c r="AGF293" s="90"/>
      <c r="AGG293" s="90"/>
      <c r="AGH293" s="90"/>
      <c r="AGI293" s="90"/>
      <c r="AGJ293" s="90"/>
      <c r="AGK293" s="90"/>
      <c r="AGL293" s="90"/>
      <c r="AGM293" s="90"/>
      <c r="AGN293" s="90"/>
      <c r="AGO293" s="90"/>
      <c r="AGP293" s="90"/>
      <c r="AGQ293" s="90"/>
      <c r="AGR293" s="90"/>
      <c r="AGS293" s="90"/>
      <c r="AGT293" s="90"/>
      <c r="AGU293" s="90"/>
      <c r="AGV293" s="90"/>
      <c r="AGW293" s="90"/>
      <c r="AGX293" s="90"/>
      <c r="AGY293" s="90"/>
      <c r="AGZ293" s="90"/>
      <c r="AHA293" s="90"/>
      <c r="AHB293" s="90"/>
      <c r="AHC293" s="90"/>
      <c r="AHD293" s="90"/>
      <c r="AHE293" s="90"/>
      <c r="AHF293" s="90"/>
      <c r="AHG293" s="90"/>
      <c r="AHH293" s="90"/>
      <c r="AHI293" s="90"/>
      <c r="AHJ293" s="90"/>
      <c r="AHK293" s="90"/>
      <c r="AHL293" s="90"/>
      <c r="AHM293" s="90"/>
      <c r="AHN293" s="90"/>
      <c r="AHO293" s="90"/>
      <c r="AHP293" s="90"/>
      <c r="AHQ293" s="90"/>
      <c r="AHR293" s="90"/>
      <c r="AHS293" s="90"/>
      <c r="AHT293" s="90"/>
      <c r="AHU293" s="90"/>
      <c r="AHV293" s="90"/>
      <c r="AHW293" s="90"/>
      <c r="AHX293" s="90"/>
      <c r="AHY293" s="90"/>
      <c r="AHZ293" s="90"/>
      <c r="AIA293" s="90"/>
      <c r="AIB293" s="90"/>
      <c r="AIC293" s="90"/>
      <c r="AID293" s="90"/>
      <c r="AIE293" s="90"/>
      <c r="AIF293" s="90"/>
      <c r="AIG293" s="90"/>
      <c r="AIH293" s="90"/>
      <c r="AII293" s="90"/>
      <c r="AIJ293" s="90"/>
      <c r="AIK293" s="90"/>
      <c r="AIL293" s="90"/>
      <c r="AIM293" s="90"/>
      <c r="AIN293" s="90"/>
      <c r="AIO293" s="90"/>
      <c r="AIP293" s="90"/>
      <c r="AIQ293" s="90"/>
      <c r="AIR293" s="90"/>
      <c r="AIS293" s="90"/>
      <c r="AIT293" s="90"/>
      <c r="AIU293" s="90"/>
      <c r="AIV293" s="90"/>
      <c r="AIW293" s="90"/>
      <c r="AIX293" s="90"/>
      <c r="AIY293" s="90"/>
      <c r="AIZ293" s="90"/>
      <c r="AJA293" s="90"/>
      <c r="AJB293" s="90"/>
      <c r="AJC293" s="90"/>
      <c r="AJD293" s="90"/>
      <c r="AJE293" s="90"/>
      <c r="AJF293" s="90"/>
      <c r="AJG293" s="90"/>
      <c r="AJH293" s="90"/>
      <c r="AJI293" s="90"/>
      <c r="AJJ293" s="90"/>
      <c r="AJK293" s="90"/>
      <c r="AJL293" s="90"/>
      <c r="AJM293" s="90"/>
      <c r="AJN293" s="90"/>
      <c r="AJO293" s="90"/>
      <c r="AJP293" s="90"/>
      <c r="AJQ293" s="90"/>
      <c r="AJR293" s="90"/>
      <c r="AJS293" s="90"/>
      <c r="AJT293" s="90"/>
      <c r="AJU293" s="90"/>
      <c r="AJV293" s="90"/>
      <c r="AJW293" s="90"/>
      <c r="AJX293" s="90"/>
      <c r="AJY293" s="90"/>
      <c r="AJZ293" s="90"/>
      <c r="AKA293" s="90"/>
      <c r="AKB293" s="90"/>
      <c r="AKC293" s="90"/>
      <c r="AKD293" s="90"/>
      <c r="AKE293" s="90"/>
      <c r="AKF293" s="90"/>
      <c r="AKG293" s="90"/>
      <c r="AKH293" s="90"/>
      <c r="AKI293" s="90"/>
      <c r="AKJ293" s="90"/>
      <c r="AKK293" s="90"/>
      <c r="AKL293" s="90"/>
      <c r="AKM293" s="90"/>
      <c r="AKN293" s="90"/>
      <c r="AKO293" s="90"/>
      <c r="AKP293" s="90"/>
      <c r="AKQ293" s="90"/>
      <c r="AKR293" s="90"/>
      <c r="AKS293" s="90"/>
      <c r="AKT293" s="90"/>
      <c r="AKU293" s="90"/>
      <c r="AKV293" s="90"/>
      <c r="AKW293" s="90"/>
      <c r="AKX293" s="90"/>
      <c r="AKY293" s="90"/>
      <c r="AKZ293" s="90"/>
      <c r="ALA293" s="90"/>
      <c r="ALB293" s="90"/>
      <c r="ALC293" s="90"/>
      <c r="ALD293" s="90"/>
      <c r="ALE293" s="90"/>
      <c r="ALF293" s="90"/>
      <c r="ALG293" s="90"/>
      <c r="ALH293" s="90"/>
      <c r="ALI293" s="90"/>
      <c r="ALJ293" s="90"/>
      <c r="ALK293" s="90"/>
      <c r="ALL293" s="90"/>
      <c r="ALM293" s="90"/>
      <c r="ALN293" s="90"/>
      <c r="ALO293" s="90"/>
      <c r="ALP293" s="90"/>
      <c r="ALQ293" s="90"/>
      <c r="ALR293" s="90"/>
      <c r="ALS293" s="90"/>
      <c r="ALT293" s="90"/>
      <c r="ALU293" s="90"/>
      <c r="ALV293" s="90"/>
      <c r="ALW293" s="90"/>
      <c r="ALX293" s="90"/>
      <c r="ALY293" s="90"/>
      <c r="ALZ293" s="90"/>
      <c r="AMA293" s="90"/>
      <c r="AMB293" s="90"/>
      <c r="AMC293" s="90"/>
    </row>
    <row r="294" spans="1:1017">
      <c r="A294" s="98" t="s">
        <v>52</v>
      </c>
      <c r="B294" s="90" t="str">
        <f t="shared" si="1710"/>
        <v xml:space="preserve">Lobster Air Laut </v>
      </c>
      <c r="J294" s="611"/>
      <c r="Q294" s="91">
        <f t="shared" si="1711"/>
        <v>0</v>
      </c>
      <c r="R294" s="91">
        <f t="shared" si="1712"/>
        <v>0</v>
      </c>
      <c r="Z294" s="611"/>
      <c r="AG294" s="91">
        <f t="shared" si="1713"/>
        <v>0</v>
      </c>
      <c r="AH294" s="91">
        <f t="shared" si="1714"/>
        <v>0</v>
      </c>
      <c r="AP294" s="611"/>
      <c r="AW294" s="91">
        <f t="shared" si="1715"/>
        <v>0</v>
      </c>
      <c r="AX294" s="91">
        <f t="shared" si="1716"/>
        <v>0</v>
      </c>
      <c r="BF294" s="611"/>
      <c r="BM294" s="91">
        <f t="shared" si="1717"/>
        <v>0</v>
      </c>
      <c r="BN294" s="91">
        <f t="shared" si="1718"/>
        <v>0</v>
      </c>
      <c r="BV294" s="611"/>
      <c r="CC294" s="91">
        <f t="shared" si="1719"/>
        <v>0</v>
      </c>
      <c r="CD294" s="91">
        <f t="shared" si="1720"/>
        <v>0</v>
      </c>
      <c r="CL294" s="611"/>
      <c r="CS294" s="91">
        <f t="shared" si="1721"/>
        <v>0</v>
      </c>
      <c r="CT294" s="91">
        <f t="shared" si="1722"/>
        <v>0</v>
      </c>
      <c r="DB294" s="611"/>
      <c r="DI294" s="91">
        <f t="shared" si="1723"/>
        <v>0</v>
      </c>
      <c r="DJ294" s="91">
        <f t="shared" si="1724"/>
        <v>0</v>
      </c>
      <c r="DR294" s="611"/>
      <c r="DY294" s="91">
        <f t="shared" si="1725"/>
        <v>0</v>
      </c>
      <c r="DZ294" s="91">
        <f t="shared" si="1726"/>
        <v>0</v>
      </c>
      <c r="EH294" s="611"/>
      <c r="EO294" s="91">
        <f t="shared" si="1727"/>
        <v>0</v>
      </c>
      <c r="EP294" s="91">
        <f t="shared" si="1728"/>
        <v>0</v>
      </c>
      <c r="EX294" s="611"/>
      <c r="FE294" s="91">
        <f t="shared" si="1729"/>
        <v>0</v>
      </c>
      <c r="FF294" s="91">
        <f t="shared" si="1730"/>
        <v>0</v>
      </c>
      <c r="FN294" s="611"/>
      <c r="FU294" s="91">
        <f t="shared" si="1731"/>
        <v>0</v>
      </c>
      <c r="FV294" s="91">
        <f t="shared" si="1732"/>
        <v>0</v>
      </c>
      <c r="GD294" s="611"/>
      <c r="GK294" s="91">
        <f t="shared" si="1733"/>
        <v>0</v>
      </c>
      <c r="GL294" s="91">
        <f t="shared" si="1734"/>
        <v>0</v>
      </c>
      <c r="GT294" s="611"/>
      <c r="HA294" s="91">
        <f t="shared" si="1735"/>
        <v>0</v>
      </c>
      <c r="HB294" s="91">
        <f t="shared" si="1736"/>
        <v>0</v>
      </c>
      <c r="HJ294" s="611"/>
      <c r="HQ294" s="91">
        <f t="shared" si="1737"/>
        <v>0</v>
      </c>
      <c r="HR294" s="91">
        <f t="shared" si="1738"/>
        <v>0</v>
      </c>
      <c r="HZ294" s="611"/>
      <c r="IG294" s="91">
        <f t="shared" si="1739"/>
        <v>0</v>
      </c>
      <c r="IH294" s="91">
        <f t="shared" si="1740"/>
        <v>0</v>
      </c>
      <c r="IW294" s="91">
        <f t="shared" si="1741"/>
        <v>0</v>
      </c>
      <c r="IX294" s="91">
        <f t="shared" si="1742"/>
        <v>0</v>
      </c>
      <c r="JF294" s="611"/>
      <c r="JM294" s="91">
        <f t="shared" si="1743"/>
        <v>0</v>
      </c>
      <c r="JN294" s="91">
        <f t="shared" si="1744"/>
        <v>0</v>
      </c>
      <c r="JV294" s="611"/>
      <c r="KC294" s="91">
        <f t="shared" si="1745"/>
        <v>0</v>
      </c>
      <c r="KD294" s="91">
        <f t="shared" si="1746"/>
        <v>0</v>
      </c>
      <c r="KL294" s="611"/>
      <c r="KS294" s="91">
        <f t="shared" si="1747"/>
        <v>0</v>
      </c>
      <c r="KT294" s="91">
        <f t="shared" si="1748"/>
        <v>0</v>
      </c>
      <c r="LB294" s="611"/>
      <c r="LI294" s="91">
        <f t="shared" si="1749"/>
        <v>0</v>
      </c>
      <c r="LJ294" s="91">
        <f t="shared" si="1750"/>
        <v>0</v>
      </c>
      <c r="LR294" s="611"/>
      <c r="LY294" s="91">
        <f t="shared" si="1751"/>
        <v>0</v>
      </c>
      <c r="LZ294" s="91">
        <f t="shared" si="1752"/>
        <v>0</v>
      </c>
      <c r="MH294" s="611"/>
      <c r="MO294" s="91">
        <f t="shared" si="1753"/>
        <v>0</v>
      </c>
      <c r="MP294" s="91">
        <f t="shared" si="1754"/>
        <v>0</v>
      </c>
      <c r="MX294" s="611"/>
      <c r="NE294" s="91">
        <f t="shared" si="1755"/>
        <v>0</v>
      </c>
      <c r="NF294" s="91">
        <f t="shared" si="1756"/>
        <v>0</v>
      </c>
      <c r="NN294" s="611"/>
      <c r="NU294" s="91">
        <f t="shared" si="1757"/>
        <v>0</v>
      </c>
      <c r="NV294" s="91">
        <f t="shared" si="1758"/>
        <v>0</v>
      </c>
      <c r="NW294" s="98">
        <v>250</v>
      </c>
      <c r="NX294" s="98">
        <v>87500</v>
      </c>
      <c r="OD294" s="611"/>
      <c r="OK294" s="91">
        <f t="shared" si="1759"/>
        <v>250</v>
      </c>
      <c r="OL294" s="91">
        <f t="shared" si="1760"/>
        <v>87500</v>
      </c>
      <c r="OT294" s="611"/>
      <c r="PA294" s="91">
        <f t="shared" si="1761"/>
        <v>0</v>
      </c>
      <c r="PB294" s="91">
        <f t="shared" si="1762"/>
        <v>0</v>
      </c>
      <c r="PC294" s="98">
        <v>238</v>
      </c>
      <c r="PD294" s="98">
        <v>30940</v>
      </c>
      <c r="PJ294" s="611"/>
      <c r="PQ294" s="91">
        <f t="shared" si="1763"/>
        <v>238</v>
      </c>
      <c r="PR294" s="91">
        <f t="shared" si="1764"/>
        <v>30940</v>
      </c>
      <c r="PZ294" s="611"/>
      <c r="QG294" s="91">
        <f t="shared" si="1765"/>
        <v>0</v>
      </c>
      <c r="QH294" s="91">
        <f t="shared" si="1766"/>
        <v>0</v>
      </c>
      <c r="QP294" s="611"/>
      <c r="QW294" s="91">
        <f t="shared" si="1767"/>
        <v>0</v>
      </c>
      <c r="QX294" s="91">
        <f t="shared" si="1768"/>
        <v>0</v>
      </c>
      <c r="RF294" s="611"/>
      <c r="RM294" s="91">
        <f t="shared" si="1769"/>
        <v>0</v>
      </c>
      <c r="RN294" s="91">
        <f t="shared" si="1770"/>
        <v>0</v>
      </c>
      <c r="RV294" s="611"/>
      <c r="SC294" s="91">
        <f t="shared" si="1771"/>
        <v>0</v>
      </c>
      <c r="SD294" s="91">
        <f t="shared" si="1772"/>
        <v>0</v>
      </c>
      <c r="SL294" s="611"/>
      <c r="SS294" s="91">
        <f t="shared" si="1773"/>
        <v>0</v>
      </c>
      <c r="ST294" s="91">
        <f t="shared" si="1774"/>
        <v>0</v>
      </c>
      <c r="TB294" s="611"/>
      <c r="TI294" s="91">
        <f t="shared" si="1775"/>
        <v>0</v>
      </c>
      <c r="TJ294" s="91">
        <f t="shared" si="1776"/>
        <v>0</v>
      </c>
      <c r="TR294" s="611"/>
      <c r="TY294" s="91">
        <f t="shared" si="1777"/>
        <v>0</v>
      </c>
      <c r="TZ294" s="91">
        <f t="shared" si="1778"/>
        <v>0</v>
      </c>
      <c r="UH294" s="611"/>
      <c r="UO294" s="91">
        <f t="shared" si="1779"/>
        <v>0</v>
      </c>
      <c r="UP294" s="91">
        <f t="shared" si="1780"/>
        <v>0</v>
      </c>
      <c r="UX294" s="611"/>
      <c r="VE294" s="91">
        <f t="shared" si="1781"/>
        <v>0</v>
      </c>
      <c r="VF294" s="91">
        <f t="shared" si="1782"/>
        <v>0</v>
      </c>
      <c r="VN294" s="611"/>
      <c r="VU294" s="91">
        <f t="shared" si="1783"/>
        <v>0</v>
      </c>
      <c r="VV294" s="91">
        <f t="shared" si="1784"/>
        <v>0</v>
      </c>
      <c r="WD294" s="611"/>
      <c r="WK294" s="91">
        <f t="shared" si="1785"/>
        <v>0</v>
      </c>
      <c r="WL294" s="91">
        <f t="shared" si="1786"/>
        <v>0</v>
      </c>
      <c r="WM294" s="89"/>
      <c r="WN294" s="87">
        <f t="shared" si="1787"/>
        <v>488</v>
      </c>
      <c r="WO294" s="87">
        <f t="shared" si="1788"/>
        <v>118440</v>
      </c>
      <c r="WP294" s="87">
        <f t="shared" si="1789"/>
        <v>0</v>
      </c>
      <c r="WQ294" s="87">
        <f t="shared" si="1790"/>
        <v>0</v>
      </c>
      <c r="WR294" s="87">
        <f t="shared" si="1791"/>
        <v>0</v>
      </c>
      <c r="WS294" s="87">
        <f t="shared" si="1792"/>
        <v>0</v>
      </c>
      <c r="WT294" s="87">
        <f t="shared" si="1793"/>
        <v>0</v>
      </c>
      <c r="WU294" s="87">
        <f t="shared" si="1794"/>
        <v>0</v>
      </c>
      <c r="WV294" s="87">
        <f t="shared" si="1795"/>
        <v>0</v>
      </c>
      <c r="WW294" s="87">
        <f t="shared" si="1796"/>
        <v>0</v>
      </c>
      <c r="WX294" s="87">
        <f t="shared" si="1797"/>
        <v>0</v>
      </c>
      <c r="WY294" s="87">
        <f t="shared" si="1798"/>
        <v>0</v>
      </c>
      <c r="WZ294" s="87">
        <f t="shared" si="1799"/>
        <v>0</v>
      </c>
      <c r="XA294" s="87">
        <f t="shared" si="1800"/>
        <v>0</v>
      </c>
      <c r="XB294" s="92">
        <f t="shared" si="1801"/>
        <v>488</v>
      </c>
      <c r="XC294" s="92">
        <f t="shared" si="1802"/>
        <v>118440</v>
      </c>
      <c r="XD294" s="89"/>
      <c r="XE294" s="92"/>
      <c r="XF294" s="92"/>
      <c r="XG294" s="89"/>
      <c r="XH294" s="92"/>
      <c r="XI294" s="92"/>
      <c r="XJ294" s="89"/>
      <c r="XK294" s="87"/>
      <c r="XL294" s="87"/>
      <c r="XM294" s="87"/>
      <c r="XN294" s="87"/>
      <c r="XO294" s="87"/>
      <c r="XP294" s="87"/>
      <c r="XQ294" s="87"/>
      <c r="XR294" s="92">
        <f t="shared" ca="1" si="1803"/>
        <v>0</v>
      </c>
      <c r="XS294" s="89"/>
      <c r="XT294" s="87"/>
      <c r="XU294" s="87"/>
      <c r="XV294" s="87"/>
      <c r="XW294" s="87"/>
      <c r="XX294" s="87"/>
      <c r="XY294" s="87"/>
      <c r="XZ294" s="87"/>
      <c r="YA294" s="92">
        <f t="shared" ca="1" si="1804"/>
        <v>0</v>
      </c>
      <c r="YB294" s="90"/>
      <c r="YC294" s="90"/>
      <c r="YD294" s="90"/>
      <c r="YE294" s="90"/>
      <c r="YF294" s="90"/>
      <c r="YG294" s="90"/>
      <c r="YH294" s="90"/>
      <c r="YI294" s="90"/>
      <c r="YJ294" s="90"/>
      <c r="YK294" s="90"/>
      <c r="YL294" s="90"/>
      <c r="YM294" s="90"/>
      <c r="YN294" s="90"/>
      <c r="YO294" s="90"/>
      <c r="YP294" s="90"/>
      <c r="YQ294" s="90"/>
      <c r="YR294" s="90"/>
      <c r="YS294" s="90"/>
      <c r="YT294" s="90"/>
      <c r="YU294" s="90"/>
      <c r="YV294" s="90"/>
      <c r="YW294" s="90"/>
      <c r="YX294" s="90"/>
      <c r="YY294" s="90"/>
      <c r="YZ294" s="90"/>
      <c r="ZA294" s="90"/>
      <c r="ZB294" s="90"/>
      <c r="ZC294" s="90"/>
      <c r="ZD294" s="90"/>
      <c r="ZE294" s="90"/>
      <c r="ZF294" s="90"/>
      <c r="ZG294" s="90"/>
      <c r="ZH294" s="90"/>
      <c r="ZI294" s="90"/>
      <c r="ZJ294" s="90"/>
      <c r="ZK294" s="90"/>
      <c r="ZL294" s="90"/>
      <c r="ZM294" s="90"/>
      <c r="ZN294" s="90"/>
      <c r="ZO294" s="90"/>
      <c r="ZP294" s="90"/>
      <c r="ZQ294" s="90"/>
      <c r="ZR294" s="90"/>
      <c r="ZS294" s="90"/>
      <c r="ZT294" s="90"/>
      <c r="ZU294" s="90"/>
      <c r="ZV294" s="90"/>
      <c r="ZW294" s="90"/>
      <c r="ZX294" s="90"/>
      <c r="ZY294" s="90"/>
      <c r="ZZ294" s="90"/>
      <c r="AAA294" s="90"/>
      <c r="AAB294" s="90"/>
      <c r="AAC294" s="90"/>
      <c r="AAD294" s="90"/>
      <c r="AAE294" s="90"/>
      <c r="AAF294" s="90"/>
      <c r="AAG294" s="90"/>
      <c r="AAH294" s="90"/>
      <c r="AAI294" s="90"/>
      <c r="AAJ294" s="90"/>
      <c r="AAK294" s="90"/>
      <c r="AAL294" s="90"/>
      <c r="AAM294" s="90"/>
      <c r="AAN294" s="90"/>
      <c r="AAO294" s="90"/>
      <c r="AAP294" s="90"/>
      <c r="AAQ294" s="90"/>
      <c r="AAR294" s="90"/>
      <c r="AAS294" s="90"/>
      <c r="AAT294" s="90"/>
      <c r="AAU294" s="90"/>
      <c r="AAV294" s="90"/>
      <c r="AAW294" s="90"/>
      <c r="AAX294" s="90"/>
      <c r="AAY294" s="90"/>
      <c r="AAZ294" s="90"/>
      <c r="ABA294" s="90"/>
      <c r="ABB294" s="90"/>
      <c r="ABC294" s="90"/>
      <c r="ABD294" s="90"/>
      <c r="ABE294" s="90"/>
      <c r="ABF294" s="90"/>
      <c r="ABG294" s="90"/>
      <c r="ABH294" s="90"/>
      <c r="ABI294" s="90"/>
      <c r="ABJ294" s="90"/>
      <c r="ABK294" s="90"/>
      <c r="ABL294" s="90"/>
      <c r="ABM294" s="90"/>
      <c r="ABN294" s="90"/>
      <c r="ABO294" s="90"/>
      <c r="ABP294" s="90"/>
      <c r="ABQ294" s="90"/>
      <c r="ABR294" s="90"/>
      <c r="ABS294" s="90"/>
      <c r="ABT294" s="90"/>
      <c r="ABU294" s="90"/>
      <c r="ABV294" s="90"/>
      <c r="ABW294" s="90"/>
      <c r="ABX294" s="90"/>
      <c r="ABY294" s="90"/>
      <c r="ABZ294" s="90"/>
      <c r="ACA294" s="90"/>
      <c r="ACB294" s="90"/>
      <c r="ACC294" s="90"/>
      <c r="ACD294" s="90"/>
      <c r="ACE294" s="90"/>
      <c r="ACF294" s="90"/>
      <c r="ACG294" s="90"/>
      <c r="ACH294" s="90"/>
      <c r="ACI294" s="90"/>
      <c r="ACJ294" s="90"/>
      <c r="ACK294" s="90"/>
      <c r="ACL294" s="90"/>
      <c r="ACM294" s="90"/>
      <c r="ACN294" s="90"/>
      <c r="ACO294" s="90"/>
      <c r="ACP294" s="90"/>
      <c r="ACQ294" s="90"/>
      <c r="ACR294" s="90"/>
      <c r="ACS294" s="90"/>
      <c r="ACT294" s="90"/>
      <c r="ACU294" s="90"/>
      <c r="ACV294" s="90"/>
      <c r="ACW294" s="90"/>
      <c r="ACX294" s="90"/>
      <c r="ACY294" s="90"/>
      <c r="ACZ294" s="90"/>
      <c r="ADA294" s="90"/>
      <c r="ADB294" s="90"/>
      <c r="ADC294" s="90"/>
      <c r="ADD294" s="90"/>
      <c r="ADE294" s="90"/>
      <c r="ADF294" s="90"/>
      <c r="ADG294" s="90"/>
      <c r="ADH294" s="90"/>
      <c r="ADI294" s="90"/>
      <c r="ADJ294" s="90"/>
      <c r="ADK294" s="90"/>
      <c r="ADL294" s="90"/>
      <c r="ADM294" s="90"/>
      <c r="ADN294" s="90"/>
      <c r="ADO294" s="90"/>
      <c r="ADP294" s="90"/>
      <c r="ADQ294" s="90"/>
      <c r="ADR294" s="90"/>
      <c r="ADS294" s="90"/>
      <c r="ADT294" s="90"/>
      <c r="ADU294" s="90"/>
      <c r="ADV294" s="90"/>
      <c r="ADW294" s="90"/>
      <c r="ADX294" s="90"/>
      <c r="ADY294" s="90"/>
      <c r="ADZ294" s="90"/>
      <c r="AEA294" s="90"/>
      <c r="AEB294" s="90"/>
      <c r="AEC294" s="90"/>
      <c r="AED294" s="90"/>
      <c r="AEE294" s="90"/>
      <c r="AEF294" s="90"/>
      <c r="AEG294" s="90"/>
      <c r="AEH294" s="90"/>
      <c r="AEI294" s="90"/>
      <c r="AEJ294" s="90"/>
      <c r="AEK294" s="90"/>
      <c r="AEL294" s="90"/>
      <c r="AEM294" s="90"/>
      <c r="AEN294" s="90"/>
      <c r="AEO294" s="90"/>
      <c r="AEP294" s="90"/>
      <c r="AEQ294" s="90"/>
      <c r="AER294" s="90"/>
      <c r="AES294" s="90"/>
      <c r="AET294" s="90"/>
      <c r="AEU294" s="90"/>
      <c r="AEV294" s="90"/>
      <c r="AEW294" s="90"/>
      <c r="AEX294" s="90"/>
      <c r="AEY294" s="90"/>
      <c r="AEZ294" s="90"/>
      <c r="AFA294" s="90"/>
      <c r="AFB294" s="90"/>
      <c r="AFC294" s="90"/>
      <c r="AFD294" s="90"/>
      <c r="AFE294" s="90"/>
      <c r="AFF294" s="90"/>
      <c r="AFG294" s="90"/>
      <c r="AFH294" s="90"/>
      <c r="AFI294" s="90"/>
      <c r="AFJ294" s="90"/>
      <c r="AFK294" s="90"/>
      <c r="AFL294" s="90"/>
      <c r="AFM294" s="90"/>
      <c r="AFN294" s="90"/>
      <c r="AFO294" s="90"/>
      <c r="AFP294" s="90"/>
      <c r="AFQ294" s="90"/>
      <c r="AFR294" s="90"/>
      <c r="AFS294" s="90"/>
      <c r="AFT294" s="90"/>
      <c r="AFU294" s="90"/>
      <c r="AFV294" s="90"/>
      <c r="AFW294" s="90"/>
      <c r="AFX294" s="90"/>
      <c r="AFY294" s="90"/>
      <c r="AFZ294" s="90"/>
      <c r="AGA294" s="90"/>
      <c r="AGB294" s="90"/>
      <c r="AGC294" s="90"/>
      <c r="AGD294" s="90"/>
      <c r="AGE294" s="90"/>
      <c r="AGF294" s="90"/>
      <c r="AGG294" s="90"/>
      <c r="AGH294" s="90"/>
      <c r="AGI294" s="90"/>
      <c r="AGJ294" s="90"/>
      <c r="AGK294" s="90"/>
      <c r="AGL294" s="90"/>
      <c r="AGM294" s="90"/>
      <c r="AGN294" s="90"/>
      <c r="AGO294" s="90"/>
      <c r="AGP294" s="90"/>
      <c r="AGQ294" s="90"/>
      <c r="AGR294" s="90"/>
      <c r="AGS294" s="90"/>
      <c r="AGT294" s="90"/>
      <c r="AGU294" s="90"/>
      <c r="AGV294" s="90"/>
      <c r="AGW294" s="90"/>
      <c r="AGX294" s="90"/>
      <c r="AGY294" s="90"/>
      <c r="AGZ294" s="90"/>
      <c r="AHA294" s="90"/>
      <c r="AHB294" s="90"/>
      <c r="AHC294" s="90"/>
      <c r="AHD294" s="90"/>
      <c r="AHE294" s="90"/>
      <c r="AHF294" s="90"/>
      <c r="AHG294" s="90"/>
      <c r="AHH294" s="90"/>
      <c r="AHI294" s="90"/>
      <c r="AHJ294" s="90"/>
      <c r="AHK294" s="90"/>
      <c r="AHL294" s="90"/>
      <c r="AHM294" s="90"/>
      <c r="AHN294" s="90"/>
      <c r="AHO294" s="90"/>
      <c r="AHP294" s="90"/>
      <c r="AHQ294" s="90"/>
      <c r="AHR294" s="90"/>
      <c r="AHS294" s="90"/>
      <c r="AHT294" s="90"/>
      <c r="AHU294" s="90"/>
      <c r="AHV294" s="90"/>
      <c r="AHW294" s="90"/>
      <c r="AHX294" s="90"/>
      <c r="AHY294" s="90"/>
      <c r="AHZ294" s="90"/>
      <c r="AIA294" s="90"/>
      <c r="AIB294" s="90"/>
      <c r="AIC294" s="90"/>
      <c r="AID294" s="90"/>
      <c r="AIE294" s="90"/>
      <c r="AIF294" s="90"/>
      <c r="AIG294" s="90"/>
      <c r="AIH294" s="90"/>
      <c r="AII294" s="90"/>
      <c r="AIJ294" s="90"/>
      <c r="AIK294" s="90"/>
      <c r="AIL294" s="90"/>
      <c r="AIM294" s="90"/>
      <c r="AIN294" s="90"/>
      <c r="AIO294" s="90"/>
      <c r="AIP294" s="90"/>
      <c r="AIQ294" s="90"/>
      <c r="AIR294" s="90"/>
      <c r="AIS294" s="90"/>
      <c r="AIT294" s="90"/>
      <c r="AIU294" s="90"/>
      <c r="AIV294" s="90"/>
      <c r="AIW294" s="90"/>
      <c r="AIX294" s="90"/>
      <c r="AIY294" s="90"/>
      <c r="AIZ294" s="90"/>
      <c r="AJA294" s="90"/>
      <c r="AJB294" s="90"/>
      <c r="AJC294" s="90"/>
      <c r="AJD294" s="90"/>
      <c r="AJE294" s="90"/>
      <c r="AJF294" s="90"/>
      <c r="AJG294" s="90"/>
      <c r="AJH294" s="90"/>
      <c r="AJI294" s="90"/>
      <c r="AJJ294" s="90"/>
      <c r="AJK294" s="90"/>
      <c r="AJL294" s="90"/>
      <c r="AJM294" s="90"/>
      <c r="AJN294" s="90"/>
      <c r="AJO294" s="90"/>
      <c r="AJP294" s="90"/>
      <c r="AJQ294" s="90"/>
      <c r="AJR294" s="90"/>
      <c r="AJS294" s="90"/>
      <c r="AJT294" s="90"/>
      <c r="AJU294" s="90"/>
      <c r="AJV294" s="90"/>
      <c r="AJW294" s="90"/>
      <c r="AJX294" s="90"/>
      <c r="AJY294" s="90"/>
      <c r="AJZ294" s="90"/>
      <c r="AKA294" s="90"/>
      <c r="AKB294" s="90"/>
      <c r="AKC294" s="90"/>
      <c r="AKD294" s="90"/>
      <c r="AKE294" s="90"/>
      <c r="AKF294" s="90"/>
      <c r="AKG294" s="90"/>
      <c r="AKH294" s="90"/>
      <c r="AKI294" s="90"/>
      <c r="AKJ294" s="90"/>
      <c r="AKK294" s="90"/>
      <c r="AKL294" s="90"/>
      <c r="AKM294" s="90"/>
      <c r="AKN294" s="90"/>
      <c r="AKO294" s="90"/>
      <c r="AKP294" s="90"/>
      <c r="AKQ294" s="90"/>
      <c r="AKR294" s="90"/>
      <c r="AKS294" s="90"/>
      <c r="AKT294" s="90"/>
      <c r="AKU294" s="90"/>
      <c r="AKV294" s="90"/>
      <c r="AKW294" s="90"/>
      <c r="AKX294" s="90"/>
      <c r="AKY294" s="90"/>
      <c r="AKZ294" s="90"/>
      <c r="ALA294" s="90"/>
      <c r="ALB294" s="90"/>
      <c r="ALC294" s="90"/>
      <c r="ALD294" s="90"/>
      <c r="ALE294" s="90"/>
      <c r="ALF294" s="90"/>
      <c r="ALG294" s="90"/>
      <c r="ALH294" s="90"/>
      <c r="ALI294" s="90"/>
      <c r="ALJ294" s="90"/>
      <c r="ALK294" s="90"/>
      <c r="ALL294" s="90"/>
      <c r="ALM294" s="90"/>
      <c r="ALN294" s="90"/>
      <c r="ALO294" s="90"/>
      <c r="ALP294" s="90"/>
      <c r="ALQ294" s="90"/>
      <c r="ALR294" s="90"/>
      <c r="ALS294" s="90"/>
      <c r="ALT294" s="90"/>
      <c r="ALU294" s="90"/>
      <c r="ALV294" s="90"/>
      <c r="ALW294" s="90"/>
      <c r="ALX294" s="90"/>
      <c r="ALY294" s="90"/>
      <c r="ALZ294" s="90"/>
      <c r="AMA294" s="90"/>
      <c r="AMB294" s="90"/>
      <c r="AMC294" s="90"/>
    </row>
    <row r="295" spans="1:1017">
      <c r="A295" s="98" t="s">
        <v>52</v>
      </c>
      <c r="B295" s="90" t="str">
        <f t="shared" si="1710"/>
        <v xml:space="preserve">Lobster Air Tawar, Cherax </v>
      </c>
      <c r="Q295" s="91">
        <f t="shared" si="1711"/>
        <v>0</v>
      </c>
      <c r="R295" s="91">
        <f t="shared" si="1712"/>
        <v>0</v>
      </c>
      <c r="AG295" s="91">
        <f t="shared" si="1713"/>
        <v>0</v>
      </c>
      <c r="AH295" s="91">
        <f t="shared" si="1714"/>
        <v>0</v>
      </c>
      <c r="AW295" s="91">
        <f t="shared" si="1715"/>
        <v>0</v>
      </c>
      <c r="AX295" s="91">
        <f t="shared" si="1716"/>
        <v>0</v>
      </c>
      <c r="BM295" s="91">
        <f t="shared" si="1717"/>
        <v>0</v>
      </c>
      <c r="BN295" s="91">
        <f t="shared" si="1718"/>
        <v>0</v>
      </c>
      <c r="CC295" s="91">
        <f t="shared" si="1719"/>
        <v>0</v>
      </c>
      <c r="CD295" s="91">
        <f t="shared" si="1720"/>
        <v>0</v>
      </c>
      <c r="CS295" s="91">
        <f t="shared" si="1721"/>
        <v>0</v>
      </c>
      <c r="CT295" s="91">
        <f t="shared" si="1722"/>
        <v>0</v>
      </c>
      <c r="DI295" s="91">
        <f t="shared" si="1723"/>
        <v>0</v>
      </c>
      <c r="DJ295" s="91">
        <f t="shared" si="1724"/>
        <v>0</v>
      </c>
      <c r="DY295" s="91">
        <f t="shared" si="1725"/>
        <v>0</v>
      </c>
      <c r="DZ295" s="91">
        <f t="shared" si="1726"/>
        <v>0</v>
      </c>
      <c r="EO295" s="91">
        <f t="shared" si="1727"/>
        <v>0</v>
      </c>
      <c r="EP295" s="91">
        <f t="shared" si="1728"/>
        <v>0</v>
      </c>
      <c r="FE295" s="91">
        <f t="shared" si="1729"/>
        <v>0</v>
      </c>
      <c r="FF295" s="91">
        <f t="shared" si="1730"/>
        <v>0</v>
      </c>
      <c r="FU295" s="91">
        <f t="shared" si="1731"/>
        <v>0</v>
      </c>
      <c r="FV295" s="91">
        <f t="shared" si="1732"/>
        <v>0</v>
      </c>
      <c r="GK295" s="91">
        <f t="shared" si="1733"/>
        <v>0</v>
      </c>
      <c r="GL295" s="91">
        <f t="shared" si="1734"/>
        <v>0</v>
      </c>
      <c r="HA295" s="91">
        <f t="shared" si="1735"/>
        <v>0</v>
      </c>
      <c r="HB295" s="91">
        <f t="shared" si="1736"/>
        <v>0</v>
      </c>
      <c r="HQ295" s="91">
        <f t="shared" si="1737"/>
        <v>0</v>
      </c>
      <c r="HR295" s="91">
        <f t="shared" si="1738"/>
        <v>0</v>
      </c>
      <c r="IG295" s="91">
        <f t="shared" si="1739"/>
        <v>0</v>
      </c>
      <c r="IH295" s="91">
        <f t="shared" si="1740"/>
        <v>0</v>
      </c>
      <c r="IO295" s="98">
        <v>250</v>
      </c>
      <c r="IP295" s="611">
        <v>27500</v>
      </c>
      <c r="IW295" s="91">
        <f t="shared" si="1741"/>
        <v>250</v>
      </c>
      <c r="IX295" s="91">
        <f t="shared" si="1742"/>
        <v>27500</v>
      </c>
      <c r="JM295" s="91">
        <f t="shared" si="1743"/>
        <v>0</v>
      </c>
      <c r="JN295" s="91">
        <f t="shared" si="1744"/>
        <v>0</v>
      </c>
      <c r="KC295" s="91">
        <f t="shared" si="1745"/>
        <v>0</v>
      </c>
      <c r="KD295" s="91">
        <f t="shared" si="1746"/>
        <v>0</v>
      </c>
      <c r="KS295" s="91">
        <f t="shared" si="1747"/>
        <v>0</v>
      </c>
      <c r="KT295" s="91">
        <f t="shared" si="1748"/>
        <v>0</v>
      </c>
      <c r="LI295" s="91">
        <f t="shared" si="1749"/>
        <v>0</v>
      </c>
      <c r="LJ295" s="91">
        <f t="shared" si="1750"/>
        <v>0</v>
      </c>
      <c r="LY295" s="91">
        <f t="shared" si="1751"/>
        <v>0</v>
      </c>
      <c r="LZ295" s="91">
        <f t="shared" si="1752"/>
        <v>0</v>
      </c>
      <c r="MO295" s="91">
        <f t="shared" si="1753"/>
        <v>0</v>
      </c>
      <c r="MP295" s="91">
        <f t="shared" si="1754"/>
        <v>0</v>
      </c>
      <c r="NE295" s="91">
        <f t="shared" si="1755"/>
        <v>0</v>
      </c>
      <c r="NF295" s="91">
        <f t="shared" si="1756"/>
        <v>0</v>
      </c>
      <c r="NU295" s="91">
        <f t="shared" si="1757"/>
        <v>0</v>
      </c>
      <c r="NV295" s="91">
        <f t="shared" si="1758"/>
        <v>0</v>
      </c>
      <c r="OK295" s="91">
        <f t="shared" si="1759"/>
        <v>0</v>
      </c>
      <c r="OL295" s="91">
        <f t="shared" si="1760"/>
        <v>0</v>
      </c>
      <c r="PA295" s="91">
        <f t="shared" si="1761"/>
        <v>0</v>
      </c>
      <c r="PB295" s="91">
        <f t="shared" si="1762"/>
        <v>0</v>
      </c>
      <c r="PQ295" s="91">
        <f t="shared" si="1763"/>
        <v>0</v>
      </c>
      <c r="PR295" s="91">
        <f t="shared" si="1764"/>
        <v>0</v>
      </c>
      <c r="QG295" s="91">
        <f t="shared" si="1765"/>
        <v>0</v>
      </c>
      <c r="QH295" s="91">
        <f t="shared" si="1766"/>
        <v>0</v>
      </c>
      <c r="QW295" s="91">
        <f t="shared" si="1767"/>
        <v>0</v>
      </c>
      <c r="QX295" s="91">
        <f t="shared" si="1768"/>
        <v>0</v>
      </c>
      <c r="RM295" s="91">
        <f t="shared" si="1769"/>
        <v>0</v>
      </c>
      <c r="RN295" s="91">
        <f t="shared" si="1770"/>
        <v>0</v>
      </c>
      <c r="SC295" s="91">
        <f t="shared" si="1771"/>
        <v>0</v>
      </c>
      <c r="SD295" s="91">
        <f t="shared" si="1772"/>
        <v>0</v>
      </c>
      <c r="SS295" s="91">
        <f t="shared" si="1773"/>
        <v>0</v>
      </c>
      <c r="ST295" s="91">
        <f t="shared" si="1774"/>
        <v>0</v>
      </c>
      <c r="TI295" s="91">
        <f t="shared" si="1775"/>
        <v>0</v>
      </c>
      <c r="TJ295" s="91">
        <f t="shared" si="1776"/>
        <v>0</v>
      </c>
      <c r="TY295" s="91">
        <f t="shared" si="1777"/>
        <v>0</v>
      </c>
      <c r="TZ295" s="91">
        <f t="shared" si="1778"/>
        <v>0</v>
      </c>
      <c r="UO295" s="91">
        <f t="shared" si="1779"/>
        <v>0</v>
      </c>
      <c r="UP295" s="91">
        <f t="shared" si="1780"/>
        <v>0</v>
      </c>
      <c r="VE295" s="91">
        <f t="shared" si="1781"/>
        <v>0</v>
      </c>
      <c r="VF295" s="91">
        <f t="shared" si="1782"/>
        <v>0</v>
      </c>
      <c r="VU295" s="91">
        <f t="shared" si="1783"/>
        <v>0</v>
      </c>
      <c r="VV295" s="91">
        <f t="shared" si="1784"/>
        <v>0</v>
      </c>
      <c r="WK295" s="91">
        <f t="shared" si="1785"/>
        <v>0</v>
      </c>
      <c r="WL295" s="91">
        <f t="shared" si="1786"/>
        <v>0</v>
      </c>
      <c r="WM295" s="89"/>
      <c r="WN295" s="87">
        <f t="shared" si="1787"/>
        <v>0</v>
      </c>
      <c r="WO295" s="87">
        <f t="shared" si="1788"/>
        <v>0</v>
      </c>
      <c r="WP295" s="87">
        <f t="shared" si="1789"/>
        <v>0</v>
      </c>
      <c r="WQ295" s="87">
        <f t="shared" si="1790"/>
        <v>0</v>
      </c>
      <c r="WR295" s="87">
        <f t="shared" si="1791"/>
        <v>0</v>
      </c>
      <c r="WS295" s="87">
        <f t="shared" si="1792"/>
        <v>0</v>
      </c>
      <c r="WT295" s="87">
        <f t="shared" si="1793"/>
        <v>250</v>
      </c>
      <c r="WU295" s="87">
        <f t="shared" si="1794"/>
        <v>27500</v>
      </c>
      <c r="WV295" s="87">
        <f t="shared" si="1795"/>
        <v>0</v>
      </c>
      <c r="WW295" s="87">
        <f t="shared" si="1796"/>
        <v>0</v>
      </c>
      <c r="WX295" s="87">
        <f t="shared" si="1797"/>
        <v>0</v>
      </c>
      <c r="WY295" s="87">
        <f t="shared" si="1798"/>
        <v>0</v>
      </c>
      <c r="WZ295" s="87">
        <f t="shared" si="1799"/>
        <v>0</v>
      </c>
      <c r="XA295" s="87">
        <f t="shared" si="1800"/>
        <v>0</v>
      </c>
      <c r="XB295" s="92">
        <f t="shared" si="1801"/>
        <v>250</v>
      </c>
      <c r="XC295" s="92">
        <f t="shared" si="1802"/>
        <v>27500</v>
      </c>
      <c r="XD295" s="89"/>
      <c r="XE295" s="92"/>
      <c r="XF295" s="92"/>
      <c r="XG295" s="89"/>
      <c r="XH295" s="92"/>
      <c r="XI295" s="92"/>
      <c r="XJ295" s="89"/>
      <c r="XK295" s="87"/>
      <c r="XL295" s="87"/>
      <c r="XM295" s="87"/>
      <c r="XN295" s="87"/>
      <c r="XO295" s="87"/>
      <c r="XP295" s="87"/>
      <c r="XQ295" s="87"/>
      <c r="XR295" s="92">
        <f t="shared" ca="1" si="1803"/>
        <v>0</v>
      </c>
      <c r="XS295" s="89"/>
      <c r="XT295" s="87"/>
      <c r="XU295" s="87"/>
      <c r="XV295" s="87"/>
      <c r="XW295" s="87"/>
      <c r="XX295" s="87"/>
      <c r="XY295" s="87"/>
      <c r="XZ295" s="87"/>
      <c r="YA295" s="92">
        <f t="shared" ca="1" si="1804"/>
        <v>0</v>
      </c>
      <c r="YB295" s="90"/>
      <c r="YC295" s="90"/>
      <c r="YD295" s="90"/>
      <c r="YE295" s="90"/>
      <c r="YF295" s="90"/>
      <c r="YG295" s="90"/>
      <c r="YH295" s="90"/>
      <c r="YI295" s="90"/>
      <c r="YJ295" s="90"/>
      <c r="YK295" s="90"/>
      <c r="YL295" s="90"/>
      <c r="YM295" s="90"/>
      <c r="YN295" s="90"/>
      <c r="YO295" s="90"/>
      <c r="YP295" s="90"/>
      <c r="YQ295" s="90"/>
      <c r="YR295" s="90"/>
      <c r="YS295" s="90"/>
      <c r="YT295" s="90"/>
      <c r="YU295" s="90"/>
      <c r="YV295" s="90"/>
      <c r="YW295" s="90"/>
      <c r="YX295" s="90"/>
      <c r="YY295" s="90"/>
      <c r="YZ295" s="90"/>
      <c r="ZA295" s="90"/>
      <c r="ZB295" s="90"/>
      <c r="ZC295" s="90"/>
      <c r="ZD295" s="90"/>
      <c r="ZE295" s="90"/>
      <c r="ZF295" s="90"/>
      <c r="ZG295" s="90"/>
      <c r="ZH295" s="90"/>
      <c r="ZI295" s="90"/>
      <c r="ZJ295" s="90"/>
      <c r="ZK295" s="90"/>
      <c r="ZL295" s="90"/>
      <c r="ZM295" s="90"/>
      <c r="ZN295" s="90"/>
      <c r="ZO295" s="90"/>
      <c r="ZP295" s="90"/>
      <c r="ZQ295" s="90"/>
      <c r="ZR295" s="90"/>
      <c r="ZS295" s="90"/>
      <c r="ZT295" s="90"/>
      <c r="ZU295" s="90"/>
      <c r="ZV295" s="90"/>
      <c r="ZW295" s="90"/>
      <c r="ZX295" s="90"/>
      <c r="ZY295" s="90"/>
      <c r="ZZ295" s="90"/>
      <c r="AAA295" s="90"/>
      <c r="AAB295" s="90"/>
      <c r="AAC295" s="90"/>
      <c r="AAD295" s="90"/>
      <c r="AAE295" s="90"/>
      <c r="AAF295" s="90"/>
      <c r="AAG295" s="90"/>
      <c r="AAH295" s="90"/>
      <c r="AAI295" s="90"/>
      <c r="AAJ295" s="90"/>
      <c r="AAK295" s="90"/>
      <c r="AAL295" s="90"/>
      <c r="AAM295" s="90"/>
      <c r="AAN295" s="90"/>
      <c r="AAO295" s="90"/>
      <c r="AAP295" s="90"/>
      <c r="AAQ295" s="90"/>
      <c r="AAR295" s="90"/>
      <c r="AAS295" s="90"/>
      <c r="AAT295" s="90"/>
      <c r="AAU295" s="90"/>
      <c r="AAV295" s="90"/>
      <c r="AAW295" s="90"/>
      <c r="AAX295" s="90"/>
      <c r="AAY295" s="90"/>
      <c r="AAZ295" s="90"/>
      <c r="ABA295" s="90"/>
      <c r="ABB295" s="90"/>
      <c r="ABC295" s="90"/>
      <c r="ABD295" s="90"/>
      <c r="ABE295" s="90"/>
      <c r="ABF295" s="90"/>
      <c r="ABG295" s="90"/>
      <c r="ABH295" s="90"/>
      <c r="ABI295" s="90"/>
      <c r="ABJ295" s="90"/>
      <c r="ABK295" s="90"/>
      <c r="ABL295" s="90"/>
      <c r="ABM295" s="90"/>
      <c r="ABN295" s="90"/>
      <c r="ABO295" s="90"/>
      <c r="ABP295" s="90"/>
      <c r="ABQ295" s="90"/>
      <c r="ABR295" s="90"/>
      <c r="ABS295" s="90"/>
      <c r="ABT295" s="90"/>
      <c r="ABU295" s="90"/>
      <c r="ABV295" s="90"/>
      <c r="ABW295" s="90"/>
      <c r="ABX295" s="90"/>
      <c r="ABY295" s="90"/>
      <c r="ABZ295" s="90"/>
      <c r="ACA295" s="90"/>
      <c r="ACB295" s="90"/>
      <c r="ACC295" s="90"/>
      <c r="ACD295" s="90"/>
      <c r="ACE295" s="90"/>
      <c r="ACF295" s="90"/>
      <c r="ACG295" s="90"/>
      <c r="ACH295" s="90"/>
      <c r="ACI295" s="90"/>
      <c r="ACJ295" s="90"/>
      <c r="ACK295" s="90"/>
      <c r="ACL295" s="90"/>
      <c r="ACM295" s="90"/>
      <c r="ACN295" s="90"/>
      <c r="ACO295" s="90"/>
      <c r="ACP295" s="90"/>
      <c r="ACQ295" s="90"/>
      <c r="ACR295" s="90"/>
      <c r="ACS295" s="90"/>
      <c r="ACT295" s="90"/>
      <c r="ACU295" s="90"/>
      <c r="ACV295" s="90"/>
      <c r="ACW295" s="90"/>
      <c r="ACX295" s="90"/>
      <c r="ACY295" s="90"/>
      <c r="ACZ295" s="90"/>
      <c r="ADA295" s="90"/>
      <c r="ADB295" s="90"/>
      <c r="ADC295" s="90"/>
      <c r="ADD295" s="90"/>
      <c r="ADE295" s="90"/>
      <c r="ADF295" s="90"/>
      <c r="ADG295" s="90"/>
      <c r="ADH295" s="90"/>
      <c r="ADI295" s="90"/>
      <c r="ADJ295" s="90"/>
      <c r="ADK295" s="90"/>
      <c r="ADL295" s="90"/>
      <c r="ADM295" s="90"/>
      <c r="ADN295" s="90"/>
      <c r="ADO295" s="90"/>
      <c r="ADP295" s="90"/>
      <c r="ADQ295" s="90"/>
      <c r="ADR295" s="90"/>
      <c r="ADS295" s="90"/>
      <c r="ADT295" s="90"/>
      <c r="ADU295" s="90"/>
      <c r="ADV295" s="90"/>
      <c r="ADW295" s="90"/>
      <c r="ADX295" s="90"/>
      <c r="ADY295" s="90"/>
      <c r="ADZ295" s="90"/>
      <c r="AEA295" s="90"/>
      <c r="AEB295" s="90"/>
      <c r="AEC295" s="90"/>
      <c r="AED295" s="90"/>
      <c r="AEE295" s="90"/>
      <c r="AEF295" s="90"/>
      <c r="AEG295" s="90"/>
      <c r="AEH295" s="90"/>
      <c r="AEI295" s="90"/>
      <c r="AEJ295" s="90"/>
      <c r="AEK295" s="90"/>
      <c r="AEL295" s="90"/>
      <c r="AEM295" s="90"/>
      <c r="AEN295" s="90"/>
      <c r="AEO295" s="90"/>
      <c r="AEP295" s="90"/>
      <c r="AEQ295" s="90"/>
      <c r="AER295" s="90"/>
      <c r="AES295" s="90"/>
      <c r="AET295" s="90"/>
      <c r="AEU295" s="90"/>
      <c r="AEV295" s="90"/>
      <c r="AEW295" s="90"/>
      <c r="AEX295" s="90"/>
      <c r="AEY295" s="90"/>
      <c r="AEZ295" s="90"/>
      <c r="AFA295" s="90"/>
      <c r="AFB295" s="90"/>
      <c r="AFC295" s="90"/>
      <c r="AFD295" s="90"/>
      <c r="AFE295" s="90"/>
      <c r="AFF295" s="90"/>
      <c r="AFG295" s="90"/>
      <c r="AFH295" s="90"/>
      <c r="AFI295" s="90"/>
      <c r="AFJ295" s="90"/>
      <c r="AFK295" s="90"/>
      <c r="AFL295" s="90"/>
      <c r="AFM295" s="90"/>
      <c r="AFN295" s="90"/>
      <c r="AFO295" s="90"/>
      <c r="AFP295" s="90"/>
      <c r="AFQ295" s="90"/>
      <c r="AFR295" s="90"/>
      <c r="AFS295" s="90"/>
      <c r="AFT295" s="90"/>
      <c r="AFU295" s="90"/>
      <c r="AFV295" s="90"/>
      <c r="AFW295" s="90"/>
      <c r="AFX295" s="90"/>
      <c r="AFY295" s="90"/>
      <c r="AFZ295" s="90"/>
      <c r="AGA295" s="90"/>
      <c r="AGB295" s="90"/>
      <c r="AGC295" s="90"/>
      <c r="AGD295" s="90"/>
      <c r="AGE295" s="90"/>
      <c r="AGF295" s="90"/>
      <c r="AGG295" s="90"/>
      <c r="AGH295" s="90"/>
      <c r="AGI295" s="90"/>
      <c r="AGJ295" s="90"/>
      <c r="AGK295" s="90"/>
      <c r="AGL295" s="90"/>
      <c r="AGM295" s="90"/>
      <c r="AGN295" s="90"/>
      <c r="AGO295" s="90"/>
      <c r="AGP295" s="90"/>
      <c r="AGQ295" s="90"/>
      <c r="AGR295" s="90"/>
      <c r="AGS295" s="90"/>
      <c r="AGT295" s="90"/>
      <c r="AGU295" s="90"/>
      <c r="AGV295" s="90"/>
      <c r="AGW295" s="90"/>
      <c r="AGX295" s="90"/>
      <c r="AGY295" s="90"/>
      <c r="AGZ295" s="90"/>
      <c r="AHA295" s="90"/>
      <c r="AHB295" s="90"/>
      <c r="AHC295" s="90"/>
      <c r="AHD295" s="90"/>
      <c r="AHE295" s="90"/>
      <c r="AHF295" s="90"/>
      <c r="AHG295" s="90"/>
      <c r="AHH295" s="90"/>
      <c r="AHI295" s="90"/>
      <c r="AHJ295" s="90"/>
      <c r="AHK295" s="90"/>
      <c r="AHL295" s="90"/>
      <c r="AHM295" s="90"/>
      <c r="AHN295" s="90"/>
      <c r="AHO295" s="90"/>
      <c r="AHP295" s="90"/>
      <c r="AHQ295" s="90"/>
      <c r="AHR295" s="90"/>
      <c r="AHS295" s="90"/>
      <c r="AHT295" s="90"/>
      <c r="AHU295" s="90"/>
      <c r="AHV295" s="90"/>
      <c r="AHW295" s="90"/>
      <c r="AHX295" s="90"/>
      <c r="AHY295" s="90"/>
      <c r="AHZ295" s="90"/>
      <c r="AIA295" s="90"/>
      <c r="AIB295" s="90"/>
      <c r="AIC295" s="90"/>
      <c r="AID295" s="90"/>
      <c r="AIE295" s="90"/>
      <c r="AIF295" s="90"/>
      <c r="AIG295" s="90"/>
      <c r="AIH295" s="90"/>
      <c r="AII295" s="90"/>
      <c r="AIJ295" s="90"/>
      <c r="AIK295" s="90"/>
      <c r="AIL295" s="90"/>
      <c r="AIM295" s="90"/>
      <c r="AIN295" s="90"/>
      <c r="AIO295" s="90"/>
      <c r="AIP295" s="90"/>
      <c r="AIQ295" s="90"/>
      <c r="AIR295" s="90"/>
      <c r="AIS295" s="90"/>
      <c r="AIT295" s="90"/>
      <c r="AIU295" s="90"/>
      <c r="AIV295" s="90"/>
      <c r="AIW295" s="90"/>
      <c r="AIX295" s="90"/>
      <c r="AIY295" s="90"/>
      <c r="AIZ295" s="90"/>
      <c r="AJA295" s="90"/>
      <c r="AJB295" s="90"/>
      <c r="AJC295" s="90"/>
      <c r="AJD295" s="90"/>
      <c r="AJE295" s="90"/>
      <c r="AJF295" s="90"/>
      <c r="AJG295" s="90"/>
      <c r="AJH295" s="90"/>
      <c r="AJI295" s="90"/>
      <c r="AJJ295" s="90"/>
      <c r="AJK295" s="90"/>
      <c r="AJL295" s="90"/>
      <c r="AJM295" s="90"/>
      <c r="AJN295" s="90"/>
      <c r="AJO295" s="90"/>
      <c r="AJP295" s="90"/>
      <c r="AJQ295" s="90"/>
      <c r="AJR295" s="90"/>
      <c r="AJS295" s="90"/>
      <c r="AJT295" s="90"/>
      <c r="AJU295" s="90"/>
      <c r="AJV295" s="90"/>
      <c r="AJW295" s="90"/>
      <c r="AJX295" s="90"/>
      <c r="AJY295" s="90"/>
      <c r="AJZ295" s="90"/>
      <c r="AKA295" s="90"/>
      <c r="AKB295" s="90"/>
      <c r="AKC295" s="90"/>
      <c r="AKD295" s="90"/>
      <c r="AKE295" s="90"/>
      <c r="AKF295" s="90"/>
      <c r="AKG295" s="90"/>
      <c r="AKH295" s="90"/>
      <c r="AKI295" s="90"/>
      <c r="AKJ295" s="90"/>
      <c r="AKK295" s="90"/>
      <c r="AKL295" s="90"/>
      <c r="AKM295" s="90"/>
      <c r="AKN295" s="90"/>
      <c r="AKO295" s="90"/>
      <c r="AKP295" s="90"/>
      <c r="AKQ295" s="90"/>
      <c r="AKR295" s="90"/>
      <c r="AKS295" s="90"/>
      <c r="AKT295" s="90"/>
      <c r="AKU295" s="90"/>
      <c r="AKV295" s="90"/>
      <c r="AKW295" s="90"/>
      <c r="AKX295" s="90"/>
      <c r="AKY295" s="90"/>
      <c r="AKZ295" s="90"/>
      <c r="ALA295" s="90"/>
      <c r="ALB295" s="90"/>
      <c r="ALC295" s="90"/>
      <c r="ALD295" s="90"/>
      <c r="ALE295" s="90"/>
      <c r="ALF295" s="90"/>
      <c r="ALG295" s="90"/>
      <c r="ALH295" s="90"/>
      <c r="ALI295" s="90"/>
      <c r="ALJ295" s="90"/>
      <c r="ALK295" s="90"/>
      <c r="ALL295" s="90"/>
      <c r="ALM295" s="90"/>
      <c r="ALN295" s="90"/>
      <c r="ALO295" s="90"/>
      <c r="ALP295" s="90"/>
      <c r="ALQ295" s="90"/>
      <c r="ALR295" s="90"/>
      <c r="ALS295" s="90"/>
      <c r="ALT295" s="90"/>
      <c r="ALU295" s="90"/>
      <c r="ALV295" s="90"/>
      <c r="ALW295" s="90"/>
      <c r="ALX295" s="90"/>
      <c r="ALY295" s="90"/>
      <c r="ALZ295" s="90"/>
      <c r="AMA295" s="90"/>
      <c r="AMB295" s="90"/>
      <c r="AMC295" s="90"/>
    </row>
    <row r="296" spans="1:1017">
      <c r="A296" s="98" t="s">
        <v>52</v>
      </c>
      <c r="B296" s="90" t="str">
        <f t="shared" si="1710"/>
        <v xml:space="preserve">Mas, Ikan Mas, Karper </v>
      </c>
      <c r="Q296" s="91">
        <f t="shared" si="1711"/>
        <v>0</v>
      </c>
      <c r="R296" s="91">
        <f t="shared" si="1712"/>
        <v>0</v>
      </c>
      <c r="Y296" s="98">
        <v>8475</v>
      </c>
      <c r="Z296" s="98">
        <v>296625</v>
      </c>
      <c r="AA296" s="98">
        <v>2845</v>
      </c>
      <c r="AB296" s="98">
        <v>99575</v>
      </c>
      <c r="AC296" s="98">
        <v>2090</v>
      </c>
      <c r="AD296" s="98">
        <v>73150</v>
      </c>
      <c r="AE296" s="98">
        <v>220</v>
      </c>
      <c r="AF296" s="98">
        <v>7700</v>
      </c>
      <c r="AG296" s="91">
        <f t="shared" si="1713"/>
        <v>13630</v>
      </c>
      <c r="AH296" s="91">
        <f t="shared" si="1714"/>
        <v>477050</v>
      </c>
      <c r="AW296" s="91">
        <f t="shared" si="1715"/>
        <v>0</v>
      </c>
      <c r="AX296" s="91">
        <f t="shared" si="1716"/>
        <v>0</v>
      </c>
      <c r="BM296" s="91">
        <f t="shared" si="1717"/>
        <v>0</v>
      </c>
      <c r="BN296" s="91">
        <f t="shared" si="1718"/>
        <v>0</v>
      </c>
      <c r="BU296" s="98">
        <v>180</v>
      </c>
      <c r="BV296" s="98">
        <v>4860</v>
      </c>
      <c r="CC296" s="91">
        <f t="shared" si="1719"/>
        <v>180</v>
      </c>
      <c r="CD296" s="91">
        <f t="shared" si="1720"/>
        <v>4860</v>
      </c>
      <c r="CK296" s="98">
        <v>165179</v>
      </c>
      <c r="CL296" s="98">
        <v>1982147</v>
      </c>
      <c r="CS296" s="91">
        <f t="shared" si="1721"/>
        <v>165179</v>
      </c>
      <c r="CT296" s="91">
        <f t="shared" si="1722"/>
        <v>1982147</v>
      </c>
      <c r="DA296" s="98">
        <v>2980</v>
      </c>
      <c r="DB296" s="98">
        <v>53640</v>
      </c>
      <c r="DC296" s="98">
        <v>725</v>
      </c>
      <c r="DD296" s="98">
        <v>13050</v>
      </c>
      <c r="DI296" s="91">
        <f t="shared" si="1723"/>
        <v>3705</v>
      </c>
      <c r="DJ296" s="91">
        <f t="shared" si="1724"/>
        <v>66690</v>
      </c>
      <c r="DQ296" s="98">
        <v>19700</v>
      </c>
      <c r="DR296" s="98">
        <v>394000</v>
      </c>
      <c r="DY296" s="91">
        <f t="shared" si="1725"/>
        <v>19700</v>
      </c>
      <c r="DZ296" s="91">
        <f t="shared" si="1726"/>
        <v>394000</v>
      </c>
      <c r="EG296" s="98">
        <v>850</v>
      </c>
      <c r="EH296" s="98">
        <v>12750</v>
      </c>
      <c r="EO296" s="91">
        <f t="shared" si="1727"/>
        <v>850</v>
      </c>
      <c r="EP296" s="91">
        <f t="shared" si="1728"/>
        <v>12750</v>
      </c>
      <c r="EW296" s="98">
        <v>12792</v>
      </c>
      <c r="EX296" s="98">
        <v>243048</v>
      </c>
      <c r="FE296" s="91">
        <f t="shared" si="1729"/>
        <v>12792</v>
      </c>
      <c r="FF296" s="91">
        <f t="shared" si="1730"/>
        <v>243048</v>
      </c>
      <c r="FM296" s="98">
        <v>330</v>
      </c>
      <c r="FN296" s="98">
        <v>9900</v>
      </c>
      <c r="FU296" s="91">
        <f t="shared" si="1731"/>
        <v>330</v>
      </c>
      <c r="FV296" s="91">
        <f t="shared" si="1732"/>
        <v>9900</v>
      </c>
      <c r="GC296" s="98">
        <v>200</v>
      </c>
      <c r="GD296" s="98">
        <v>5000</v>
      </c>
      <c r="GK296" s="91">
        <f t="shared" si="1733"/>
        <v>200</v>
      </c>
      <c r="GL296" s="91">
        <f t="shared" si="1734"/>
        <v>5000</v>
      </c>
      <c r="GS296" s="98">
        <v>1500</v>
      </c>
      <c r="GT296" s="98">
        <v>43500</v>
      </c>
      <c r="GY296" s="98">
        <v>50</v>
      </c>
      <c r="GZ296" s="98">
        <v>1425</v>
      </c>
      <c r="HA296" s="91">
        <f t="shared" si="1735"/>
        <v>1550</v>
      </c>
      <c r="HB296" s="91">
        <f t="shared" si="1736"/>
        <v>44925</v>
      </c>
      <c r="HI296" s="98">
        <v>1500</v>
      </c>
      <c r="HJ296" s="98">
        <v>37500</v>
      </c>
      <c r="HQ296" s="91">
        <f t="shared" si="1737"/>
        <v>1500</v>
      </c>
      <c r="HR296" s="91">
        <f t="shared" si="1738"/>
        <v>37500</v>
      </c>
      <c r="IG296" s="91">
        <f t="shared" si="1739"/>
        <v>0</v>
      </c>
      <c r="IH296" s="91">
        <f t="shared" si="1740"/>
        <v>0</v>
      </c>
      <c r="IW296" s="91">
        <f t="shared" si="1741"/>
        <v>0</v>
      </c>
      <c r="IX296" s="91">
        <f t="shared" si="1742"/>
        <v>0</v>
      </c>
      <c r="JE296" s="98">
        <v>77</v>
      </c>
      <c r="JF296" s="98">
        <v>1694</v>
      </c>
      <c r="JM296" s="91">
        <f t="shared" si="1743"/>
        <v>77</v>
      </c>
      <c r="JN296" s="91">
        <f t="shared" si="1744"/>
        <v>1694</v>
      </c>
      <c r="KC296" s="91">
        <f t="shared" si="1745"/>
        <v>0</v>
      </c>
      <c r="KD296" s="91">
        <f t="shared" si="1746"/>
        <v>0</v>
      </c>
      <c r="KS296" s="91">
        <f t="shared" si="1747"/>
        <v>0</v>
      </c>
      <c r="KT296" s="91">
        <f t="shared" si="1748"/>
        <v>0</v>
      </c>
      <c r="LI296" s="91">
        <f t="shared" si="1749"/>
        <v>0</v>
      </c>
      <c r="LJ296" s="91">
        <f t="shared" si="1750"/>
        <v>0</v>
      </c>
      <c r="LY296" s="91">
        <f t="shared" si="1751"/>
        <v>0</v>
      </c>
      <c r="LZ296" s="91">
        <f t="shared" si="1752"/>
        <v>0</v>
      </c>
      <c r="MO296" s="91">
        <f t="shared" si="1753"/>
        <v>0</v>
      </c>
      <c r="MP296" s="91">
        <f t="shared" si="1754"/>
        <v>0</v>
      </c>
      <c r="NE296" s="91">
        <f t="shared" si="1755"/>
        <v>0</v>
      </c>
      <c r="NF296" s="91">
        <f t="shared" si="1756"/>
        <v>0</v>
      </c>
      <c r="NU296" s="91">
        <f t="shared" si="1757"/>
        <v>0</v>
      </c>
      <c r="NV296" s="91">
        <f t="shared" si="1758"/>
        <v>0</v>
      </c>
      <c r="OK296" s="91">
        <f t="shared" si="1759"/>
        <v>0</v>
      </c>
      <c r="OL296" s="91">
        <f t="shared" si="1760"/>
        <v>0</v>
      </c>
      <c r="PA296" s="91">
        <f t="shared" si="1761"/>
        <v>0</v>
      </c>
      <c r="PB296" s="91">
        <f t="shared" si="1762"/>
        <v>0</v>
      </c>
      <c r="PQ296" s="91">
        <f t="shared" si="1763"/>
        <v>0</v>
      </c>
      <c r="PR296" s="91">
        <f t="shared" si="1764"/>
        <v>0</v>
      </c>
      <c r="PY296" s="98">
        <v>80920</v>
      </c>
      <c r="PZ296" s="98">
        <v>1456560</v>
      </c>
      <c r="QA296" s="98">
        <v>11570</v>
      </c>
      <c r="QB296" s="98">
        <v>208260</v>
      </c>
      <c r="QC296" s="98">
        <v>69120</v>
      </c>
      <c r="QD296" s="98">
        <v>1244160</v>
      </c>
      <c r="QG296" s="91">
        <f t="shared" si="1765"/>
        <v>161610</v>
      </c>
      <c r="QH296" s="91">
        <f t="shared" si="1766"/>
        <v>2908980</v>
      </c>
      <c r="QW296" s="91">
        <f t="shared" si="1767"/>
        <v>0</v>
      </c>
      <c r="QX296" s="91">
        <f t="shared" si="1768"/>
        <v>0</v>
      </c>
      <c r="RE296" s="98">
        <v>197</v>
      </c>
      <c r="RF296" s="98">
        <v>7289</v>
      </c>
      <c r="RM296" s="91">
        <f t="shared" si="1769"/>
        <v>197</v>
      </c>
      <c r="RN296" s="91">
        <f t="shared" si="1770"/>
        <v>7289</v>
      </c>
      <c r="SC296" s="91">
        <f t="shared" si="1771"/>
        <v>0</v>
      </c>
      <c r="SD296" s="91">
        <f t="shared" si="1772"/>
        <v>0</v>
      </c>
      <c r="SS296" s="91">
        <f t="shared" si="1773"/>
        <v>0</v>
      </c>
      <c r="ST296" s="91">
        <f t="shared" si="1774"/>
        <v>0</v>
      </c>
      <c r="TI296" s="91">
        <f t="shared" si="1775"/>
        <v>0</v>
      </c>
      <c r="TJ296" s="91">
        <f t="shared" si="1776"/>
        <v>0</v>
      </c>
      <c r="TU296" s="98">
        <v>400</v>
      </c>
      <c r="TV296" s="98">
        <v>14000</v>
      </c>
      <c r="TY296" s="91">
        <f t="shared" si="1777"/>
        <v>400</v>
      </c>
      <c r="TZ296" s="91">
        <f t="shared" si="1778"/>
        <v>14000</v>
      </c>
      <c r="UO296" s="91">
        <f t="shared" si="1779"/>
        <v>0</v>
      </c>
      <c r="UP296" s="91">
        <f t="shared" si="1780"/>
        <v>0</v>
      </c>
      <c r="VE296" s="91">
        <f t="shared" si="1781"/>
        <v>0</v>
      </c>
      <c r="VF296" s="91">
        <f t="shared" si="1782"/>
        <v>0</v>
      </c>
      <c r="VU296" s="91">
        <f t="shared" si="1783"/>
        <v>0</v>
      </c>
      <c r="VV296" s="91">
        <f t="shared" si="1784"/>
        <v>0</v>
      </c>
      <c r="WK296" s="91">
        <f t="shared" si="1785"/>
        <v>0</v>
      </c>
      <c r="WL296" s="91">
        <f t="shared" si="1786"/>
        <v>0</v>
      </c>
      <c r="WM296" s="89"/>
      <c r="WN296" s="87">
        <f t="shared" si="1787"/>
        <v>0</v>
      </c>
      <c r="WO296" s="87">
        <f t="shared" si="1788"/>
        <v>0</v>
      </c>
      <c r="WP296" s="87">
        <f t="shared" si="1789"/>
        <v>0</v>
      </c>
      <c r="WQ296" s="87">
        <f t="shared" si="1790"/>
        <v>0</v>
      </c>
      <c r="WR296" s="87">
        <f t="shared" si="1791"/>
        <v>0</v>
      </c>
      <c r="WS296" s="87">
        <f t="shared" si="1792"/>
        <v>0</v>
      </c>
      <c r="WT296" s="87">
        <f t="shared" si="1793"/>
        <v>294880</v>
      </c>
      <c r="WU296" s="87">
        <f t="shared" si="1794"/>
        <v>4548513</v>
      </c>
      <c r="WV296" s="87">
        <f t="shared" si="1795"/>
        <v>15140</v>
      </c>
      <c r="WW296" s="87">
        <f t="shared" si="1796"/>
        <v>320885</v>
      </c>
      <c r="WX296" s="87">
        <f t="shared" si="1797"/>
        <v>71610</v>
      </c>
      <c r="WY296" s="87">
        <f t="shared" si="1798"/>
        <v>1331310</v>
      </c>
      <c r="WZ296" s="87">
        <f t="shared" si="1799"/>
        <v>270</v>
      </c>
      <c r="XA296" s="87">
        <f t="shared" si="1800"/>
        <v>9125</v>
      </c>
      <c r="XB296" s="92">
        <f t="shared" si="1801"/>
        <v>381900</v>
      </c>
      <c r="XC296" s="92">
        <f t="shared" si="1802"/>
        <v>6209833</v>
      </c>
      <c r="XD296" s="89"/>
      <c r="XE296" s="92"/>
      <c r="XF296" s="92"/>
      <c r="XG296" s="89"/>
      <c r="XH296" s="92"/>
      <c r="XI296" s="92"/>
      <c r="XJ296" s="89"/>
      <c r="XK296" s="87"/>
      <c r="XL296" s="87"/>
      <c r="XM296" s="87"/>
      <c r="XN296" s="87"/>
      <c r="XO296" s="87"/>
      <c r="XP296" s="87"/>
      <c r="XQ296" s="87"/>
      <c r="XR296" s="92">
        <f t="shared" ca="1" si="1803"/>
        <v>0</v>
      </c>
      <c r="XS296" s="89"/>
      <c r="XT296" s="87"/>
      <c r="XU296" s="87"/>
      <c r="XV296" s="87"/>
      <c r="XW296" s="87"/>
      <c r="XX296" s="87"/>
      <c r="XY296" s="87"/>
      <c r="XZ296" s="87"/>
      <c r="YA296" s="92">
        <f t="shared" ca="1" si="1804"/>
        <v>0</v>
      </c>
      <c r="YB296" s="90"/>
      <c r="YC296" s="90"/>
      <c r="YD296" s="90"/>
      <c r="YE296" s="90"/>
      <c r="YF296" s="90"/>
      <c r="YG296" s="90"/>
      <c r="YH296" s="90"/>
      <c r="YI296" s="90"/>
      <c r="YJ296" s="90"/>
      <c r="YK296" s="90"/>
      <c r="YL296" s="90"/>
      <c r="YM296" s="90"/>
      <c r="YN296" s="90"/>
      <c r="YO296" s="90"/>
      <c r="YP296" s="90"/>
      <c r="YQ296" s="90"/>
      <c r="YR296" s="90"/>
      <c r="YS296" s="90"/>
      <c r="YT296" s="90"/>
      <c r="YU296" s="90"/>
      <c r="YV296" s="90"/>
      <c r="YW296" s="90"/>
      <c r="YX296" s="90"/>
      <c r="YY296" s="90"/>
      <c r="YZ296" s="90"/>
      <c r="ZA296" s="90"/>
      <c r="ZB296" s="90"/>
      <c r="ZC296" s="90"/>
      <c r="ZD296" s="90"/>
      <c r="ZE296" s="90"/>
      <c r="ZF296" s="90"/>
      <c r="ZG296" s="90"/>
      <c r="ZH296" s="90"/>
      <c r="ZI296" s="90"/>
      <c r="ZJ296" s="90"/>
      <c r="ZK296" s="90"/>
      <c r="ZL296" s="90"/>
      <c r="ZM296" s="90"/>
      <c r="ZN296" s="90"/>
      <c r="ZO296" s="90"/>
      <c r="ZP296" s="90"/>
      <c r="ZQ296" s="90"/>
      <c r="ZR296" s="90"/>
      <c r="ZS296" s="90"/>
      <c r="ZT296" s="90"/>
      <c r="ZU296" s="90"/>
      <c r="ZV296" s="90"/>
      <c r="ZW296" s="90"/>
      <c r="ZX296" s="90"/>
      <c r="ZY296" s="90"/>
      <c r="ZZ296" s="90"/>
      <c r="AAA296" s="90"/>
      <c r="AAB296" s="90"/>
      <c r="AAC296" s="90"/>
      <c r="AAD296" s="90"/>
      <c r="AAE296" s="90"/>
      <c r="AAF296" s="90"/>
      <c r="AAG296" s="90"/>
      <c r="AAH296" s="90"/>
      <c r="AAI296" s="90"/>
      <c r="AAJ296" s="90"/>
      <c r="AAK296" s="90"/>
      <c r="AAL296" s="90"/>
      <c r="AAM296" s="90"/>
      <c r="AAN296" s="90"/>
      <c r="AAO296" s="90"/>
      <c r="AAP296" s="90"/>
      <c r="AAQ296" s="90"/>
      <c r="AAR296" s="90"/>
      <c r="AAS296" s="90"/>
      <c r="AAT296" s="90"/>
      <c r="AAU296" s="90"/>
      <c r="AAV296" s="90"/>
      <c r="AAW296" s="90"/>
      <c r="AAX296" s="90"/>
      <c r="AAY296" s="90"/>
      <c r="AAZ296" s="90"/>
      <c r="ABA296" s="90"/>
      <c r="ABB296" s="90"/>
      <c r="ABC296" s="90"/>
      <c r="ABD296" s="90"/>
      <c r="ABE296" s="90"/>
      <c r="ABF296" s="90"/>
      <c r="ABG296" s="90"/>
      <c r="ABH296" s="90"/>
      <c r="ABI296" s="90"/>
      <c r="ABJ296" s="90"/>
      <c r="ABK296" s="90"/>
      <c r="ABL296" s="90"/>
      <c r="ABM296" s="90"/>
      <c r="ABN296" s="90"/>
      <c r="ABO296" s="90"/>
      <c r="ABP296" s="90"/>
      <c r="ABQ296" s="90"/>
      <c r="ABR296" s="90"/>
      <c r="ABS296" s="90"/>
      <c r="ABT296" s="90"/>
      <c r="ABU296" s="90"/>
      <c r="ABV296" s="90"/>
      <c r="ABW296" s="90"/>
      <c r="ABX296" s="90"/>
      <c r="ABY296" s="90"/>
      <c r="ABZ296" s="90"/>
      <c r="ACA296" s="90"/>
      <c r="ACB296" s="90"/>
      <c r="ACC296" s="90"/>
      <c r="ACD296" s="90"/>
      <c r="ACE296" s="90"/>
      <c r="ACF296" s="90"/>
      <c r="ACG296" s="90"/>
      <c r="ACH296" s="90"/>
      <c r="ACI296" s="90"/>
      <c r="ACJ296" s="90"/>
      <c r="ACK296" s="90"/>
      <c r="ACL296" s="90"/>
      <c r="ACM296" s="90"/>
      <c r="ACN296" s="90"/>
      <c r="ACO296" s="90"/>
      <c r="ACP296" s="90"/>
      <c r="ACQ296" s="90"/>
      <c r="ACR296" s="90"/>
      <c r="ACS296" s="90"/>
      <c r="ACT296" s="90"/>
      <c r="ACU296" s="90"/>
      <c r="ACV296" s="90"/>
      <c r="ACW296" s="90"/>
      <c r="ACX296" s="90"/>
      <c r="ACY296" s="90"/>
      <c r="ACZ296" s="90"/>
      <c r="ADA296" s="90"/>
      <c r="ADB296" s="90"/>
      <c r="ADC296" s="90"/>
      <c r="ADD296" s="90"/>
      <c r="ADE296" s="90"/>
      <c r="ADF296" s="90"/>
      <c r="ADG296" s="90"/>
      <c r="ADH296" s="90"/>
      <c r="ADI296" s="90"/>
      <c r="ADJ296" s="90"/>
      <c r="ADK296" s="90"/>
      <c r="ADL296" s="90"/>
      <c r="ADM296" s="90"/>
      <c r="ADN296" s="90"/>
      <c r="ADO296" s="90"/>
      <c r="ADP296" s="90"/>
      <c r="ADQ296" s="90"/>
      <c r="ADR296" s="90"/>
      <c r="ADS296" s="90"/>
      <c r="ADT296" s="90"/>
      <c r="ADU296" s="90"/>
      <c r="ADV296" s="90"/>
      <c r="ADW296" s="90"/>
      <c r="ADX296" s="90"/>
      <c r="ADY296" s="90"/>
      <c r="ADZ296" s="90"/>
      <c r="AEA296" s="90"/>
      <c r="AEB296" s="90"/>
      <c r="AEC296" s="90"/>
      <c r="AED296" s="90"/>
      <c r="AEE296" s="90"/>
      <c r="AEF296" s="90"/>
      <c r="AEG296" s="90"/>
      <c r="AEH296" s="90"/>
      <c r="AEI296" s="90"/>
      <c r="AEJ296" s="90"/>
      <c r="AEK296" s="90"/>
      <c r="AEL296" s="90"/>
      <c r="AEM296" s="90"/>
      <c r="AEN296" s="90"/>
      <c r="AEO296" s="90"/>
      <c r="AEP296" s="90"/>
      <c r="AEQ296" s="90"/>
      <c r="AER296" s="90"/>
      <c r="AES296" s="90"/>
      <c r="AET296" s="90"/>
      <c r="AEU296" s="90"/>
      <c r="AEV296" s="90"/>
      <c r="AEW296" s="90"/>
      <c r="AEX296" s="90"/>
      <c r="AEY296" s="90"/>
      <c r="AEZ296" s="90"/>
      <c r="AFA296" s="90"/>
      <c r="AFB296" s="90"/>
      <c r="AFC296" s="90"/>
      <c r="AFD296" s="90"/>
      <c r="AFE296" s="90"/>
      <c r="AFF296" s="90"/>
      <c r="AFG296" s="90"/>
      <c r="AFH296" s="90"/>
      <c r="AFI296" s="90"/>
      <c r="AFJ296" s="90"/>
      <c r="AFK296" s="90"/>
      <c r="AFL296" s="90"/>
      <c r="AFM296" s="90"/>
      <c r="AFN296" s="90"/>
      <c r="AFO296" s="90"/>
      <c r="AFP296" s="90"/>
      <c r="AFQ296" s="90"/>
      <c r="AFR296" s="90"/>
      <c r="AFS296" s="90"/>
      <c r="AFT296" s="90"/>
      <c r="AFU296" s="90"/>
      <c r="AFV296" s="90"/>
      <c r="AFW296" s="90"/>
      <c r="AFX296" s="90"/>
      <c r="AFY296" s="90"/>
      <c r="AFZ296" s="90"/>
      <c r="AGA296" s="90"/>
      <c r="AGB296" s="90"/>
      <c r="AGC296" s="90"/>
      <c r="AGD296" s="90"/>
      <c r="AGE296" s="90"/>
      <c r="AGF296" s="90"/>
      <c r="AGG296" s="90"/>
      <c r="AGH296" s="90"/>
      <c r="AGI296" s="90"/>
      <c r="AGJ296" s="90"/>
      <c r="AGK296" s="90"/>
      <c r="AGL296" s="90"/>
      <c r="AGM296" s="90"/>
      <c r="AGN296" s="90"/>
      <c r="AGO296" s="90"/>
      <c r="AGP296" s="90"/>
      <c r="AGQ296" s="90"/>
      <c r="AGR296" s="90"/>
      <c r="AGS296" s="90"/>
      <c r="AGT296" s="90"/>
      <c r="AGU296" s="90"/>
      <c r="AGV296" s="90"/>
      <c r="AGW296" s="90"/>
      <c r="AGX296" s="90"/>
      <c r="AGY296" s="90"/>
      <c r="AGZ296" s="90"/>
      <c r="AHA296" s="90"/>
      <c r="AHB296" s="90"/>
      <c r="AHC296" s="90"/>
      <c r="AHD296" s="90"/>
      <c r="AHE296" s="90"/>
      <c r="AHF296" s="90"/>
      <c r="AHG296" s="90"/>
      <c r="AHH296" s="90"/>
      <c r="AHI296" s="90"/>
      <c r="AHJ296" s="90"/>
      <c r="AHK296" s="90"/>
      <c r="AHL296" s="90"/>
      <c r="AHM296" s="90"/>
      <c r="AHN296" s="90"/>
      <c r="AHO296" s="90"/>
      <c r="AHP296" s="90"/>
      <c r="AHQ296" s="90"/>
      <c r="AHR296" s="90"/>
      <c r="AHS296" s="90"/>
      <c r="AHT296" s="90"/>
      <c r="AHU296" s="90"/>
      <c r="AHV296" s="90"/>
      <c r="AHW296" s="90"/>
      <c r="AHX296" s="90"/>
      <c r="AHY296" s="90"/>
      <c r="AHZ296" s="90"/>
      <c r="AIA296" s="90"/>
      <c r="AIB296" s="90"/>
      <c r="AIC296" s="90"/>
      <c r="AID296" s="90"/>
      <c r="AIE296" s="90"/>
      <c r="AIF296" s="90"/>
      <c r="AIG296" s="90"/>
      <c r="AIH296" s="90"/>
      <c r="AII296" s="90"/>
      <c r="AIJ296" s="90"/>
      <c r="AIK296" s="90"/>
      <c r="AIL296" s="90"/>
      <c r="AIM296" s="90"/>
      <c r="AIN296" s="90"/>
      <c r="AIO296" s="90"/>
      <c r="AIP296" s="90"/>
      <c r="AIQ296" s="90"/>
      <c r="AIR296" s="90"/>
      <c r="AIS296" s="90"/>
      <c r="AIT296" s="90"/>
      <c r="AIU296" s="90"/>
      <c r="AIV296" s="90"/>
      <c r="AIW296" s="90"/>
      <c r="AIX296" s="90"/>
      <c r="AIY296" s="90"/>
      <c r="AIZ296" s="90"/>
      <c r="AJA296" s="90"/>
      <c r="AJB296" s="90"/>
      <c r="AJC296" s="90"/>
      <c r="AJD296" s="90"/>
      <c r="AJE296" s="90"/>
      <c r="AJF296" s="90"/>
      <c r="AJG296" s="90"/>
      <c r="AJH296" s="90"/>
      <c r="AJI296" s="90"/>
      <c r="AJJ296" s="90"/>
      <c r="AJK296" s="90"/>
      <c r="AJL296" s="90"/>
      <c r="AJM296" s="90"/>
      <c r="AJN296" s="90"/>
      <c r="AJO296" s="90"/>
      <c r="AJP296" s="90"/>
      <c r="AJQ296" s="90"/>
      <c r="AJR296" s="90"/>
      <c r="AJS296" s="90"/>
      <c r="AJT296" s="90"/>
      <c r="AJU296" s="90"/>
      <c r="AJV296" s="90"/>
      <c r="AJW296" s="90"/>
      <c r="AJX296" s="90"/>
      <c r="AJY296" s="90"/>
      <c r="AJZ296" s="90"/>
      <c r="AKA296" s="90"/>
      <c r="AKB296" s="90"/>
      <c r="AKC296" s="90"/>
      <c r="AKD296" s="90"/>
      <c r="AKE296" s="90"/>
      <c r="AKF296" s="90"/>
      <c r="AKG296" s="90"/>
      <c r="AKH296" s="90"/>
      <c r="AKI296" s="90"/>
      <c r="AKJ296" s="90"/>
      <c r="AKK296" s="90"/>
      <c r="AKL296" s="90"/>
      <c r="AKM296" s="90"/>
      <c r="AKN296" s="90"/>
      <c r="AKO296" s="90"/>
      <c r="AKP296" s="90"/>
      <c r="AKQ296" s="90"/>
      <c r="AKR296" s="90"/>
      <c r="AKS296" s="90"/>
      <c r="AKT296" s="90"/>
      <c r="AKU296" s="90"/>
      <c r="AKV296" s="90"/>
      <c r="AKW296" s="90"/>
      <c r="AKX296" s="90"/>
      <c r="AKY296" s="90"/>
      <c r="AKZ296" s="90"/>
      <c r="ALA296" s="90"/>
      <c r="ALB296" s="90"/>
      <c r="ALC296" s="90"/>
      <c r="ALD296" s="90"/>
      <c r="ALE296" s="90"/>
      <c r="ALF296" s="90"/>
      <c r="ALG296" s="90"/>
      <c r="ALH296" s="90"/>
      <c r="ALI296" s="90"/>
      <c r="ALJ296" s="90"/>
      <c r="ALK296" s="90"/>
      <c r="ALL296" s="90"/>
      <c r="ALM296" s="90"/>
      <c r="ALN296" s="90"/>
      <c r="ALO296" s="90"/>
      <c r="ALP296" s="90"/>
      <c r="ALQ296" s="90"/>
      <c r="ALR296" s="90"/>
      <c r="ALS296" s="90"/>
      <c r="ALT296" s="90"/>
      <c r="ALU296" s="90"/>
      <c r="ALV296" s="90"/>
      <c r="ALW296" s="90"/>
      <c r="ALX296" s="90"/>
      <c r="ALY296" s="90"/>
      <c r="ALZ296" s="90"/>
      <c r="AMA296" s="90"/>
      <c r="AMB296" s="90"/>
      <c r="AMC296" s="90"/>
    </row>
    <row r="297" spans="1:1017">
      <c r="A297" s="98" t="s">
        <v>52</v>
      </c>
      <c r="B297" s="90" t="str">
        <f t="shared" si="1710"/>
        <v xml:space="preserve">Mujair </v>
      </c>
      <c r="E297" s="98">
        <v>95700</v>
      </c>
      <c r="F297" s="98">
        <v>1435500</v>
      </c>
      <c r="I297" s="98">
        <v>1500</v>
      </c>
      <c r="J297" s="98">
        <v>22500</v>
      </c>
      <c r="Q297" s="91">
        <f t="shared" si="1711"/>
        <v>97200</v>
      </c>
      <c r="R297" s="91">
        <f t="shared" si="1712"/>
        <v>1458000</v>
      </c>
      <c r="U297" s="98">
        <v>6560</v>
      </c>
      <c r="V297" s="98">
        <v>98400</v>
      </c>
      <c r="Y297" s="98">
        <v>5275</v>
      </c>
      <c r="Z297" s="98">
        <v>79125</v>
      </c>
      <c r="AG297" s="91">
        <f t="shared" si="1713"/>
        <v>11835</v>
      </c>
      <c r="AH297" s="91">
        <f t="shared" si="1714"/>
        <v>177525</v>
      </c>
      <c r="AW297" s="91">
        <f t="shared" si="1715"/>
        <v>0</v>
      </c>
      <c r="AX297" s="91">
        <f t="shared" si="1716"/>
        <v>0</v>
      </c>
      <c r="BM297" s="91">
        <f t="shared" si="1717"/>
        <v>0</v>
      </c>
      <c r="BN297" s="91">
        <f t="shared" si="1718"/>
        <v>0</v>
      </c>
      <c r="BU297" s="98">
        <v>30</v>
      </c>
      <c r="BV297" s="98">
        <v>750</v>
      </c>
      <c r="CC297" s="91">
        <f t="shared" si="1719"/>
        <v>30</v>
      </c>
      <c r="CD297" s="91">
        <f t="shared" si="1720"/>
        <v>750</v>
      </c>
      <c r="CG297" s="98">
        <v>145986</v>
      </c>
      <c r="CH297" s="98">
        <v>1459861</v>
      </c>
      <c r="CK297" s="98">
        <v>239721</v>
      </c>
      <c r="CL297" s="98">
        <v>2157491</v>
      </c>
      <c r="CS297" s="91">
        <f t="shared" si="1721"/>
        <v>385707</v>
      </c>
      <c r="CT297" s="91">
        <f t="shared" si="1722"/>
        <v>3617352</v>
      </c>
      <c r="DI297" s="91">
        <f t="shared" si="1723"/>
        <v>0</v>
      </c>
      <c r="DJ297" s="91">
        <f t="shared" si="1724"/>
        <v>0</v>
      </c>
      <c r="DY297" s="91">
        <f t="shared" si="1725"/>
        <v>0</v>
      </c>
      <c r="DZ297" s="91">
        <f t="shared" si="1726"/>
        <v>0</v>
      </c>
      <c r="EO297" s="91">
        <f t="shared" si="1727"/>
        <v>0</v>
      </c>
      <c r="EP297" s="91">
        <f t="shared" si="1728"/>
        <v>0</v>
      </c>
      <c r="ES297" s="98">
        <v>887</v>
      </c>
      <c r="ET297" s="98">
        <v>4435</v>
      </c>
      <c r="EW297" s="98">
        <v>1070</v>
      </c>
      <c r="EX297" s="98">
        <v>5350</v>
      </c>
      <c r="FE297" s="91">
        <f t="shared" si="1729"/>
        <v>1957</v>
      </c>
      <c r="FF297" s="91">
        <f t="shared" si="1730"/>
        <v>9785</v>
      </c>
      <c r="FU297" s="91">
        <f t="shared" si="1731"/>
        <v>0</v>
      </c>
      <c r="FV297" s="91">
        <f t="shared" si="1732"/>
        <v>0</v>
      </c>
      <c r="GK297" s="91">
        <f t="shared" si="1733"/>
        <v>0</v>
      </c>
      <c r="GL297" s="91">
        <f t="shared" si="1734"/>
        <v>0</v>
      </c>
      <c r="HA297" s="91">
        <f t="shared" si="1735"/>
        <v>0</v>
      </c>
      <c r="HB297" s="91">
        <f t="shared" si="1736"/>
        <v>0</v>
      </c>
      <c r="HQ297" s="91">
        <f t="shared" si="1737"/>
        <v>0</v>
      </c>
      <c r="HR297" s="91">
        <f t="shared" si="1738"/>
        <v>0</v>
      </c>
      <c r="IG297" s="91">
        <f t="shared" si="1739"/>
        <v>0</v>
      </c>
      <c r="IH297" s="91">
        <f t="shared" si="1740"/>
        <v>0</v>
      </c>
      <c r="IW297" s="91">
        <f t="shared" si="1741"/>
        <v>0</v>
      </c>
      <c r="IX297" s="91">
        <f t="shared" si="1742"/>
        <v>0</v>
      </c>
      <c r="JM297" s="91">
        <f t="shared" si="1743"/>
        <v>0</v>
      </c>
      <c r="JN297" s="91">
        <f t="shared" si="1744"/>
        <v>0</v>
      </c>
      <c r="KC297" s="91">
        <f t="shared" si="1745"/>
        <v>0</v>
      </c>
      <c r="KD297" s="91">
        <f t="shared" si="1746"/>
        <v>0</v>
      </c>
      <c r="KS297" s="91">
        <f t="shared" si="1747"/>
        <v>0</v>
      </c>
      <c r="KT297" s="91">
        <f t="shared" si="1748"/>
        <v>0</v>
      </c>
      <c r="LI297" s="91">
        <f t="shared" si="1749"/>
        <v>0</v>
      </c>
      <c r="LJ297" s="91">
        <f t="shared" si="1750"/>
        <v>0</v>
      </c>
      <c r="LY297" s="91">
        <f t="shared" si="1751"/>
        <v>0</v>
      </c>
      <c r="LZ297" s="91">
        <f t="shared" si="1752"/>
        <v>0</v>
      </c>
      <c r="MC297" s="98">
        <v>3300</v>
      </c>
      <c r="MD297" s="98">
        <v>33000</v>
      </c>
      <c r="MO297" s="91">
        <f t="shared" si="1753"/>
        <v>3300</v>
      </c>
      <c r="MP297" s="91">
        <f t="shared" si="1754"/>
        <v>33000</v>
      </c>
      <c r="MS297" s="98">
        <v>800</v>
      </c>
      <c r="MT297" s="98">
        <v>20000</v>
      </c>
      <c r="NE297" s="91">
        <f t="shared" si="1755"/>
        <v>800</v>
      </c>
      <c r="NF297" s="91">
        <f t="shared" si="1756"/>
        <v>20000</v>
      </c>
      <c r="NI297" s="98">
        <v>372900</v>
      </c>
      <c r="NJ297" s="98">
        <v>5966400</v>
      </c>
      <c r="NU297" s="91">
        <f t="shared" si="1757"/>
        <v>372900</v>
      </c>
      <c r="NV297" s="91">
        <f t="shared" si="1758"/>
        <v>5966400</v>
      </c>
      <c r="OK297" s="91">
        <f t="shared" si="1759"/>
        <v>0</v>
      </c>
      <c r="OL297" s="91">
        <f t="shared" si="1760"/>
        <v>0</v>
      </c>
      <c r="PA297" s="91">
        <f t="shared" si="1761"/>
        <v>0</v>
      </c>
      <c r="PB297" s="91">
        <f t="shared" si="1762"/>
        <v>0</v>
      </c>
      <c r="PQ297" s="91">
        <f t="shared" si="1763"/>
        <v>0</v>
      </c>
      <c r="PR297" s="91">
        <f t="shared" si="1764"/>
        <v>0</v>
      </c>
      <c r="PU297" s="98">
        <v>5040</v>
      </c>
      <c r="PV297" s="98">
        <v>60480</v>
      </c>
      <c r="QG297" s="91">
        <f t="shared" si="1765"/>
        <v>5040</v>
      </c>
      <c r="QH297" s="91">
        <f t="shared" si="1766"/>
        <v>60480</v>
      </c>
      <c r="QW297" s="91">
        <f t="shared" si="1767"/>
        <v>0</v>
      </c>
      <c r="QX297" s="91">
        <f t="shared" si="1768"/>
        <v>0</v>
      </c>
      <c r="RM297" s="91">
        <f t="shared" si="1769"/>
        <v>0</v>
      </c>
      <c r="RN297" s="91">
        <f t="shared" si="1770"/>
        <v>0</v>
      </c>
      <c r="SC297" s="91">
        <f t="shared" si="1771"/>
        <v>0</v>
      </c>
      <c r="SD297" s="91">
        <f t="shared" si="1772"/>
        <v>0</v>
      </c>
      <c r="SS297" s="91">
        <f t="shared" si="1773"/>
        <v>0</v>
      </c>
      <c r="ST297" s="91">
        <f t="shared" si="1774"/>
        <v>0</v>
      </c>
      <c r="TI297" s="91">
        <f t="shared" si="1775"/>
        <v>0</v>
      </c>
      <c r="TJ297" s="91">
        <f t="shared" si="1776"/>
        <v>0</v>
      </c>
      <c r="TY297" s="91">
        <f t="shared" si="1777"/>
        <v>0</v>
      </c>
      <c r="TZ297" s="91">
        <f t="shared" si="1778"/>
        <v>0</v>
      </c>
      <c r="UO297" s="91">
        <f t="shared" si="1779"/>
        <v>0</v>
      </c>
      <c r="UP297" s="91">
        <f t="shared" si="1780"/>
        <v>0</v>
      </c>
      <c r="VE297" s="91">
        <f t="shared" si="1781"/>
        <v>0</v>
      </c>
      <c r="VF297" s="91">
        <f t="shared" si="1782"/>
        <v>0</v>
      </c>
      <c r="VI297" s="98">
        <v>34</v>
      </c>
      <c r="VJ297" s="98">
        <v>306</v>
      </c>
      <c r="VU297" s="91">
        <f t="shared" si="1783"/>
        <v>34</v>
      </c>
      <c r="VV297" s="91">
        <f t="shared" si="1784"/>
        <v>306</v>
      </c>
      <c r="WK297" s="91">
        <f t="shared" si="1785"/>
        <v>0</v>
      </c>
      <c r="WL297" s="91">
        <f t="shared" si="1786"/>
        <v>0</v>
      </c>
      <c r="WM297" s="89"/>
      <c r="WN297" s="87">
        <f t="shared" si="1787"/>
        <v>0</v>
      </c>
      <c r="WO297" s="87">
        <f t="shared" si="1788"/>
        <v>0</v>
      </c>
      <c r="WP297" s="87">
        <f t="shared" si="1789"/>
        <v>631207</v>
      </c>
      <c r="WQ297" s="87">
        <f t="shared" si="1790"/>
        <v>9078382</v>
      </c>
      <c r="WR297" s="87">
        <f t="shared" si="1791"/>
        <v>0</v>
      </c>
      <c r="WS297" s="87">
        <f t="shared" si="1792"/>
        <v>0</v>
      </c>
      <c r="WT297" s="87">
        <f t="shared" si="1793"/>
        <v>247596</v>
      </c>
      <c r="WU297" s="87">
        <f t="shared" si="1794"/>
        <v>2265216</v>
      </c>
      <c r="WV297" s="87">
        <f t="shared" si="1795"/>
        <v>0</v>
      </c>
      <c r="WW297" s="87">
        <f t="shared" si="1796"/>
        <v>0</v>
      </c>
      <c r="WX297" s="87">
        <f t="shared" si="1797"/>
        <v>0</v>
      </c>
      <c r="WY297" s="87">
        <f t="shared" si="1798"/>
        <v>0</v>
      </c>
      <c r="WZ297" s="87">
        <f t="shared" si="1799"/>
        <v>0</v>
      </c>
      <c r="XA297" s="87">
        <f t="shared" si="1800"/>
        <v>0</v>
      </c>
      <c r="XB297" s="92">
        <f t="shared" si="1801"/>
        <v>878803</v>
      </c>
      <c r="XC297" s="92">
        <f t="shared" si="1802"/>
        <v>11343598</v>
      </c>
      <c r="XD297" s="89"/>
      <c r="XE297" s="92"/>
      <c r="XF297" s="92"/>
      <c r="XG297" s="89"/>
      <c r="XH297" s="92"/>
      <c r="XI297" s="92"/>
      <c r="XJ297" s="89"/>
      <c r="XK297" s="87"/>
      <c r="XL297" s="87"/>
      <c r="XM297" s="87"/>
      <c r="XN297" s="87"/>
      <c r="XO297" s="87"/>
      <c r="XP297" s="87"/>
      <c r="XQ297" s="87"/>
      <c r="XR297" s="92">
        <f t="shared" ca="1" si="1803"/>
        <v>0</v>
      </c>
      <c r="XS297" s="89"/>
      <c r="XT297" s="87"/>
      <c r="XU297" s="87"/>
      <c r="XV297" s="87"/>
      <c r="XW297" s="87"/>
      <c r="XX297" s="87"/>
      <c r="XY297" s="87"/>
      <c r="XZ297" s="87"/>
      <c r="YA297" s="92">
        <f t="shared" ca="1" si="1804"/>
        <v>0</v>
      </c>
      <c r="YB297" s="90"/>
      <c r="YC297" s="90"/>
      <c r="YD297" s="90"/>
      <c r="YE297" s="90"/>
      <c r="YF297" s="90"/>
      <c r="YG297" s="90"/>
      <c r="YH297" s="90"/>
      <c r="YI297" s="90"/>
      <c r="YJ297" s="90"/>
      <c r="YK297" s="90"/>
      <c r="YL297" s="90"/>
      <c r="YM297" s="90"/>
      <c r="YN297" s="90"/>
      <c r="YO297" s="90"/>
      <c r="YP297" s="90"/>
      <c r="YQ297" s="90"/>
      <c r="YR297" s="90"/>
      <c r="YS297" s="90"/>
      <c r="YT297" s="90"/>
      <c r="YU297" s="90"/>
      <c r="YV297" s="90"/>
      <c r="YW297" s="90"/>
      <c r="YX297" s="90"/>
      <c r="YY297" s="90"/>
      <c r="YZ297" s="90"/>
      <c r="ZA297" s="90"/>
      <c r="ZB297" s="90"/>
      <c r="ZC297" s="90"/>
      <c r="ZD297" s="90"/>
      <c r="ZE297" s="90"/>
      <c r="ZF297" s="90"/>
      <c r="ZG297" s="90"/>
      <c r="ZH297" s="90"/>
      <c r="ZI297" s="90"/>
      <c r="ZJ297" s="90"/>
      <c r="ZK297" s="90"/>
      <c r="ZL297" s="90"/>
      <c r="ZM297" s="90"/>
      <c r="ZN297" s="90"/>
      <c r="ZO297" s="90"/>
      <c r="ZP297" s="90"/>
      <c r="ZQ297" s="90"/>
      <c r="ZR297" s="90"/>
      <c r="ZS297" s="90"/>
      <c r="ZT297" s="90"/>
      <c r="ZU297" s="90"/>
      <c r="ZV297" s="90"/>
      <c r="ZW297" s="90"/>
      <c r="ZX297" s="90"/>
      <c r="ZY297" s="90"/>
      <c r="ZZ297" s="90"/>
      <c r="AAA297" s="90"/>
      <c r="AAB297" s="90"/>
      <c r="AAC297" s="90"/>
      <c r="AAD297" s="90"/>
      <c r="AAE297" s="90"/>
      <c r="AAF297" s="90"/>
      <c r="AAG297" s="90"/>
      <c r="AAH297" s="90"/>
      <c r="AAI297" s="90"/>
      <c r="AAJ297" s="90"/>
      <c r="AAK297" s="90"/>
      <c r="AAL297" s="90"/>
      <c r="AAM297" s="90"/>
      <c r="AAN297" s="90"/>
      <c r="AAO297" s="90"/>
      <c r="AAP297" s="90"/>
      <c r="AAQ297" s="90"/>
      <c r="AAR297" s="90"/>
      <c r="AAS297" s="90"/>
      <c r="AAT297" s="90"/>
      <c r="AAU297" s="90"/>
      <c r="AAV297" s="90"/>
      <c r="AAW297" s="90"/>
      <c r="AAX297" s="90"/>
      <c r="AAY297" s="90"/>
      <c r="AAZ297" s="90"/>
      <c r="ABA297" s="90"/>
      <c r="ABB297" s="90"/>
      <c r="ABC297" s="90"/>
      <c r="ABD297" s="90"/>
      <c r="ABE297" s="90"/>
      <c r="ABF297" s="90"/>
      <c r="ABG297" s="90"/>
      <c r="ABH297" s="90"/>
      <c r="ABI297" s="90"/>
      <c r="ABJ297" s="90"/>
      <c r="ABK297" s="90"/>
      <c r="ABL297" s="90"/>
      <c r="ABM297" s="90"/>
      <c r="ABN297" s="90"/>
      <c r="ABO297" s="90"/>
      <c r="ABP297" s="90"/>
      <c r="ABQ297" s="90"/>
      <c r="ABR297" s="90"/>
      <c r="ABS297" s="90"/>
      <c r="ABT297" s="90"/>
      <c r="ABU297" s="90"/>
      <c r="ABV297" s="90"/>
      <c r="ABW297" s="90"/>
      <c r="ABX297" s="90"/>
      <c r="ABY297" s="90"/>
      <c r="ABZ297" s="90"/>
      <c r="ACA297" s="90"/>
      <c r="ACB297" s="90"/>
      <c r="ACC297" s="90"/>
      <c r="ACD297" s="90"/>
      <c r="ACE297" s="90"/>
      <c r="ACF297" s="90"/>
      <c r="ACG297" s="90"/>
      <c r="ACH297" s="90"/>
      <c r="ACI297" s="90"/>
      <c r="ACJ297" s="90"/>
      <c r="ACK297" s="90"/>
      <c r="ACL297" s="90"/>
      <c r="ACM297" s="90"/>
      <c r="ACN297" s="90"/>
      <c r="ACO297" s="90"/>
      <c r="ACP297" s="90"/>
      <c r="ACQ297" s="90"/>
      <c r="ACR297" s="90"/>
      <c r="ACS297" s="90"/>
      <c r="ACT297" s="90"/>
      <c r="ACU297" s="90"/>
      <c r="ACV297" s="90"/>
      <c r="ACW297" s="90"/>
      <c r="ACX297" s="90"/>
      <c r="ACY297" s="90"/>
      <c r="ACZ297" s="90"/>
      <c r="ADA297" s="90"/>
      <c r="ADB297" s="90"/>
      <c r="ADC297" s="90"/>
      <c r="ADD297" s="90"/>
      <c r="ADE297" s="90"/>
      <c r="ADF297" s="90"/>
      <c r="ADG297" s="90"/>
      <c r="ADH297" s="90"/>
      <c r="ADI297" s="90"/>
      <c r="ADJ297" s="90"/>
      <c r="ADK297" s="90"/>
      <c r="ADL297" s="90"/>
      <c r="ADM297" s="90"/>
      <c r="ADN297" s="90"/>
      <c r="ADO297" s="90"/>
      <c r="ADP297" s="90"/>
      <c r="ADQ297" s="90"/>
      <c r="ADR297" s="90"/>
      <c r="ADS297" s="90"/>
      <c r="ADT297" s="90"/>
      <c r="ADU297" s="90"/>
      <c r="ADV297" s="90"/>
      <c r="ADW297" s="90"/>
      <c r="ADX297" s="90"/>
      <c r="ADY297" s="90"/>
      <c r="ADZ297" s="90"/>
      <c r="AEA297" s="90"/>
      <c r="AEB297" s="90"/>
      <c r="AEC297" s="90"/>
      <c r="AED297" s="90"/>
      <c r="AEE297" s="90"/>
      <c r="AEF297" s="90"/>
      <c r="AEG297" s="90"/>
      <c r="AEH297" s="90"/>
      <c r="AEI297" s="90"/>
      <c r="AEJ297" s="90"/>
      <c r="AEK297" s="90"/>
      <c r="AEL297" s="90"/>
      <c r="AEM297" s="90"/>
      <c r="AEN297" s="90"/>
      <c r="AEO297" s="90"/>
      <c r="AEP297" s="90"/>
      <c r="AEQ297" s="90"/>
      <c r="AER297" s="90"/>
      <c r="AES297" s="90"/>
      <c r="AET297" s="90"/>
      <c r="AEU297" s="90"/>
      <c r="AEV297" s="90"/>
      <c r="AEW297" s="90"/>
      <c r="AEX297" s="90"/>
      <c r="AEY297" s="90"/>
      <c r="AEZ297" s="90"/>
      <c r="AFA297" s="90"/>
      <c r="AFB297" s="90"/>
      <c r="AFC297" s="90"/>
      <c r="AFD297" s="90"/>
      <c r="AFE297" s="90"/>
      <c r="AFF297" s="90"/>
      <c r="AFG297" s="90"/>
      <c r="AFH297" s="90"/>
      <c r="AFI297" s="90"/>
      <c r="AFJ297" s="90"/>
      <c r="AFK297" s="90"/>
      <c r="AFL297" s="90"/>
      <c r="AFM297" s="90"/>
      <c r="AFN297" s="90"/>
      <c r="AFO297" s="90"/>
      <c r="AFP297" s="90"/>
      <c r="AFQ297" s="90"/>
      <c r="AFR297" s="90"/>
      <c r="AFS297" s="90"/>
      <c r="AFT297" s="90"/>
      <c r="AFU297" s="90"/>
      <c r="AFV297" s="90"/>
      <c r="AFW297" s="90"/>
      <c r="AFX297" s="90"/>
      <c r="AFY297" s="90"/>
      <c r="AFZ297" s="90"/>
      <c r="AGA297" s="90"/>
      <c r="AGB297" s="90"/>
      <c r="AGC297" s="90"/>
      <c r="AGD297" s="90"/>
      <c r="AGE297" s="90"/>
      <c r="AGF297" s="90"/>
      <c r="AGG297" s="90"/>
      <c r="AGH297" s="90"/>
      <c r="AGI297" s="90"/>
      <c r="AGJ297" s="90"/>
      <c r="AGK297" s="90"/>
      <c r="AGL297" s="90"/>
      <c r="AGM297" s="90"/>
      <c r="AGN297" s="90"/>
      <c r="AGO297" s="90"/>
      <c r="AGP297" s="90"/>
      <c r="AGQ297" s="90"/>
      <c r="AGR297" s="90"/>
      <c r="AGS297" s="90"/>
      <c r="AGT297" s="90"/>
      <c r="AGU297" s="90"/>
      <c r="AGV297" s="90"/>
      <c r="AGW297" s="90"/>
      <c r="AGX297" s="90"/>
      <c r="AGY297" s="90"/>
      <c r="AGZ297" s="90"/>
      <c r="AHA297" s="90"/>
      <c r="AHB297" s="90"/>
      <c r="AHC297" s="90"/>
      <c r="AHD297" s="90"/>
      <c r="AHE297" s="90"/>
      <c r="AHF297" s="90"/>
      <c r="AHG297" s="90"/>
      <c r="AHH297" s="90"/>
      <c r="AHI297" s="90"/>
      <c r="AHJ297" s="90"/>
      <c r="AHK297" s="90"/>
      <c r="AHL297" s="90"/>
      <c r="AHM297" s="90"/>
      <c r="AHN297" s="90"/>
      <c r="AHO297" s="90"/>
      <c r="AHP297" s="90"/>
      <c r="AHQ297" s="90"/>
      <c r="AHR297" s="90"/>
      <c r="AHS297" s="90"/>
      <c r="AHT297" s="90"/>
      <c r="AHU297" s="90"/>
      <c r="AHV297" s="90"/>
      <c r="AHW297" s="90"/>
      <c r="AHX297" s="90"/>
      <c r="AHY297" s="90"/>
      <c r="AHZ297" s="90"/>
      <c r="AIA297" s="90"/>
      <c r="AIB297" s="90"/>
      <c r="AIC297" s="90"/>
      <c r="AID297" s="90"/>
      <c r="AIE297" s="90"/>
      <c r="AIF297" s="90"/>
      <c r="AIG297" s="90"/>
      <c r="AIH297" s="90"/>
      <c r="AII297" s="90"/>
      <c r="AIJ297" s="90"/>
      <c r="AIK297" s="90"/>
      <c r="AIL297" s="90"/>
      <c r="AIM297" s="90"/>
      <c r="AIN297" s="90"/>
      <c r="AIO297" s="90"/>
      <c r="AIP297" s="90"/>
      <c r="AIQ297" s="90"/>
      <c r="AIR297" s="90"/>
      <c r="AIS297" s="90"/>
      <c r="AIT297" s="90"/>
      <c r="AIU297" s="90"/>
      <c r="AIV297" s="90"/>
      <c r="AIW297" s="90"/>
      <c r="AIX297" s="90"/>
      <c r="AIY297" s="90"/>
      <c r="AIZ297" s="90"/>
      <c r="AJA297" s="90"/>
      <c r="AJB297" s="90"/>
      <c r="AJC297" s="90"/>
      <c r="AJD297" s="90"/>
      <c r="AJE297" s="90"/>
      <c r="AJF297" s="90"/>
      <c r="AJG297" s="90"/>
      <c r="AJH297" s="90"/>
      <c r="AJI297" s="90"/>
      <c r="AJJ297" s="90"/>
      <c r="AJK297" s="90"/>
      <c r="AJL297" s="90"/>
      <c r="AJM297" s="90"/>
      <c r="AJN297" s="90"/>
      <c r="AJO297" s="90"/>
      <c r="AJP297" s="90"/>
      <c r="AJQ297" s="90"/>
      <c r="AJR297" s="90"/>
      <c r="AJS297" s="90"/>
      <c r="AJT297" s="90"/>
      <c r="AJU297" s="90"/>
      <c r="AJV297" s="90"/>
      <c r="AJW297" s="90"/>
      <c r="AJX297" s="90"/>
      <c r="AJY297" s="90"/>
      <c r="AJZ297" s="90"/>
      <c r="AKA297" s="90"/>
      <c r="AKB297" s="90"/>
      <c r="AKC297" s="90"/>
      <c r="AKD297" s="90"/>
      <c r="AKE297" s="90"/>
      <c r="AKF297" s="90"/>
      <c r="AKG297" s="90"/>
      <c r="AKH297" s="90"/>
      <c r="AKI297" s="90"/>
      <c r="AKJ297" s="90"/>
      <c r="AKK297" s="90"/>
      <c r="AKL297" s="90"/>
      <c r="AKM297" s="90"/>
      <c r="AKN297" s="90"/>
      <c r="AKO297" s="90"/>
      <c r="AKP297" s="90"/>
      <c r="AKQ297" s="90"/>
      <c r="AKR297" s="90"/>
      <c r="AKS297" s="90"/>
      <c r="AKT297" s="90"/>
      <c r="AKU297" s="90"/>
      <c r="AKV297" s="90"/>
      <c r="AKW297" s="90"/>
      <c r="AKX297" s="90"/>
      <c r="AKY297" s="90"/>
      <c r="AKZ297" s="90"/>
      <c r="ALA297" s="90"/>
      <c r="ALB297" s="90"/>
      <c r="ALC297" s="90"/>
      <c r="ALD297" s="90"/>
      <c r="ALE297" s="90"/>
      <c r="ALF297" s="90"/>
      <c r="ALG297" s="90"/>
      <c r="ALH297" s="90"/>
      <c r="ALI297" s="90"/>
      <c r="ALJ297" s="90"/>
      <c r="ALK297" s="90"/>
      <c r="ALL297" s="90"/>
      <c r="ALM297" s="90"/>
      <c r="ALN297" s="90"/>
      <c r="ALO297" s="90"/>
      <c r="ALP297" s="90"/>
      <c r="ALQ297" s="90"/>
      <c r="ALR297" s="90"/>
      <c r="ALS297" s="90"/>
      <c r="ALT297" s="90"/>
      <c r="ALU297" s="90"/>
      <c r="ALV297" s="90"/>
      <c r="ALW297" s="90"/>
      <c r="ALX297" s="90"/>
      <c r="ALY297" s="90"/>
      <c r="ALZ297" s="90"/>
      <c r="AMA297" s="90"/>
      <c r="AMB297" s="90"/>
      <c r="AMC297" s="90"/>
    </row>
    <row r="298" spans="1:1017">
      <c r="A298" s="98" t="s">
        <v>52</v>
      </c>
      <c r="B298" s="90" t="str">
        <f t="shared" si="1710"/>
        <v xml:space="preserve">Nila </v>
      </c>
      <c r="I298" s="98">
        <v>5300</v>
      </c>
      <c r="J298" s="98">
        <v>148400</v>
      </c>
      <c r="Q298" s="91">
        <f t="shared" si="1711"/>
        <v>5300</v>
      </c>
      <c r="R298" s="91">
        <f t="shared" si="1712"/>
        <v>148400</v>
      </c>
      <c r="U298" s="98">
        <v>8340</v>
      </c>
      <c r="V298" s="98">
        <v>166800</v>
      </c>
      <c r="Y298" s="98">
        <v>12215</v>
      </c>
      <c r="Z298" s="98">
        <v>244300</v>
      </c>
      <c r="AA298" s="98">
        <v>2985</v>
      </c>
      <c r="AB298" s="98">
        <v>59700</v>
      </c>
      <c r="AC298" s="98">
        <v>2205</v>
      </c>
      <c r="AD298" s="98">
        <v>44100</v>
      </c>
      <c r="AE298" s="98">
        <v>850</v>
      </c>
      <c r="AF298" s="98">
        <v>17000</v>
      </c>
      <c r="AG298" s="91">
        <f t="shared" si="1713"/>
        <v>26595</v>
      </c>
      <c r="AH298" s="91">
        <f t="shared" si="1714"/>
        <v>531900</v>
      </c>
      <c r="AO298" s="98">
        <v>54300</v>
      </c>
      <c r="AP298" s="98">
        <v>1303200</v>
      </c>
      <c r="AQ298" s="98">
        <v>150</v>
      </c>
      <c r="AR298" s="98">
        <v>3600</v>
      </c>
      <c r="AU298" s="98">
        <v>2050</v>
      </c>
      <c r="AV298" s="98">
        <v>49200</v>
      </c>
      <c r="AW298" s="91">
        <f t="shared" si="1715"/>
        <v>56500</v>
      </c>
      <c r="AX298" s="91">
        <f t="shared" si="1716"/>
        <v>1356000</v>
      </c>
      <c r="BE298" s="98">
        <v>74604</v>
      </c>
      <c r="BF298" s="98">
        <v>1865100</v>
      </c>
      <c r="BG298" s="98">
        <v>412</v>
      </c>
      <c r="BH298" s="98">
        <v>10300</v>
      </c>
      <c r="BK298" s="98">
        <v>498</v>
      </c>
      <c r="BL298" s="98">
        <v>12450</v>
      </c>
      <c r="BM298" s="91">
        <f t="shared" si="1717"/>
        <v>75514</v>
      </c>
      <c r="BN298" s="91">
        <f t="shared" si="1718"/>
        <v>1887850</v>
      </c>
      <c r="BU298" s="98">
        <v>5987</v>
      </c>
      <c r="BV298" s="98">
        <v>161649</v>
      </c>
      <c r="CC298" s="91">
        <f t="shared" si="1719"/>
        <v>5987</v>
      </c>
      <c r="CD298" s="91">
        <f t="shared" si="1720"/>
        <v>161649</v>
      </c>
      <c r="CG298" s="98">
        <v>80022</v>
      </c>
      <c r="CH298" s="98">
        <v>1360368</v>
      </c>
      <c r="CK298" s="98">
        <v>362383</v>
      </c>
      <c r="CL298" s="98">
        <v>6160508</v>
      </c>
      <c r="CS298" s="91">
        <f t="shared" si="1721"/>
        <v>442405</v>
      </c>
      <c r="CT298" s="91">
        <f t="shared" si="1722"/>
        <v>7520876</v>
      </c>
      <c r="DA298" s="98">
        <v>77660</v>
      </c>
      <c r="DB298" s="98">
        <v>1941500</v>
      </c>
      <c r="DC298" s="98">
        <v>1090</v>
      </c>
      <c r="DD298" s="98">
        <v>25070</v>
      </c>
      <c r="DI298" s="91">
        <f t="shared" si="1723"/>
        <v>78750</v>
      </c>
      <c r="DJ298" s="91">
        <f t="shared" si="1724"/>
        <v>1966570</v>
      </c>
      <c r="DQ298" s="98">
        <v>15600</v>
      </c>
      <c r="DR298" s="98">
        <v>312000</v>
      </c>
      <c r="DY298" s="91">
        <f t="shared" si="1725"/>
        <v>15600</v>
      </c>
      <c r="DZ298" s="91">
        <f t="shared" si="1726"/>
        <v>312000</v>
      </c>
      <c r="EG298" s="98">
        <v>218100</v>
      </c>
      <c r="EH298" s="98">
        <v>4580100</v>
      </c>
      <c r="EO298" s="91">
        <f t="shared" si="1727"/>
        <v>218100</v>
      </c>
      <c r="EP298" s="91">
        <f t="shared" si="1728"/>
        <v>4580100</v>
      </c>
      <c r="ES298" s="98">
        <v>28790</v>
      </c>
      <c r="ET298" s="98">
        <v>777330</v>
      </c>
      <c r="EW298" s="98">
        <v>82466</v>
      </c>
      <c r="EX298" s="98">
        <v>1814252</v>
      </c>
      <c r="FC298" s="98">
        <v>360</v>
      </c>
      <c r="FD298" s="98">
        <v>7920</v>
      </c>
      <c r="FE298" s="91">
        <f t="shared" si="1729"/>
        <v>111616</v>
      </c>
      <c r="FF298" s="91">
        <f t="shared" si="1730"/>
        <v>2599502</v>
      </c>
      <c r="FM298" s="98">
        <v>62968</v>
      </c>
      <c r="FN298" s="98">
        <v>1574200</v>
      </c>
      <c r="FS298" s="98">
        <v>77465</v>
      </c>
      <c r="FT298" s="98">
        <v>2169020</v>
      </c>
      <c r="FU298" s="91">
        <f t="shared" si="1731"/>
        <v>140433</v>
      </c>
      <c r="FV298" s="91">
        <f t="shared" si="1732"/>
        <v>3743220</v>
      </c>
      <c r="GC298" s="98">
        <v>36000</v>
      </c>
      <c r="GD298" s="98">
        <v>936000</v>
      </c>
      <c r="GK298" s="91">
        <f t="shared" si="1733"/>
        <v>36000</v>
      </c>
      <c r="GL298" s="91">
        <f t="shared" si="1734"/>
        <v>936000</v>
      </c>
      <c r="GS298" s="98">
        <v>8600</v>
      </c>
      <c r="GT298" s="98">
        <v>245100</v>
      </c>
      <c r="GY298" s="98">
        <v>100</v>
      </c>
      <c r="GZ298" s="98">
        <v>2900</v>
      </c>
      <c r="HA298" s="91">
        <f t="shared" si="1735"/>
        <v>8700</v>
      </c>
      <c r="HB298" s="91">
        <f t="shared" si="1736"/>
        <v>248000</v>
      </c>
      <c r="HI298" s="98">
        <v>50000</v>
      </c>
      <c r="HJ298" s="98">
        <v>1000000</v>
      </c>
      <c r="HO298" s="98">
        <v>90000</v>
      </c>
      <c r="HP298" s="98">
        <v>1800000</v>
      </c>
      <c r="HQ298" s="91">
        <f t="shared" si="1737"/>
        <v>140000</v>
      </c>
      <c r="HR298" s="91">
        <f t="shared" si="1738"/>
        <v>2800000</v>
      </c>
      <c r="HY298" s="98">
        <v>10450</v>
      </c>
      <c r="HZ298" s="98">
        <v>292600</v>
      </c>
      <c r="IC298" s="98">
        <v>800</v>
      </c>
      <c r="ID298" s="98">
        <v>22400</v>
      </c>
      <c r="IG298" s="91">
        <f t="shared" si="1739"/>
        <v>11250</v>
      </c>
      <c r="IH298" s="91">
        <f t="shared" si="1740"/>
        <v>315000</v>
      </c>
      <c r="IO298" s="98">
        <v>8700</v>
      </c>
      <c r="IP298" s="98">
        <v>226200</v>
      </c>
      <c r="IW298" s="91">
        <f t="shared" si="1741"/>
        <v>8700</v>
      </c>
      <c r="IX298" s="91">
        <f t="shared" si="1742"/>
        <v>226200</v>
      </c>
      <c r="JE298" s="98">
        <v>8100</v>
      </c>
      <c r="JF298" s="98">
        <v>178200</v>
      </c>
      <c r="JK298" s="98">
        <v>3540</v>
      </c>
      <c r="JL298" s="98">
        <v>77880</v>
      </c>
      <c r="JM298" s="91">
        <f t="shared" si="1743"/>
        <v>11640</v>
      </c>
      <c r="JN298" s="91">
        <f t="shared" si="1744"/>
        <v>256080</v>
      </c>
      <c r="JU298" s="98">
        <v>16746</v>
      </c>
      <c r="JV298" s="98">
        <v>586110</v>
      </c>
      <c r="KC298" s="91">
        <f t="shared" si="1745"/>
        <v>16746</v>
      </c>
      <c r="KD298" s="91">
        <f t="shared" si="1746"/>
        <v>586110</v>
      </c>
      <c r="KK298" s="98">
        <v>150</v>
      </c>
      <c r="KL298" s="98">
        <v>3750</v>
      </c>
      <c r="KS298" s="91">
        <f t="shared" si="1747"/>
        <v>150</v>
      </c>
      <c r="KT298" s="91">
        <f t="shared" si="1748"/>
        <v>3750</v>
      </c>
      <c r="KW298" s="98">
        <v>24120.23</v>
      </c>
      <c r="KX298" s="98">
        <v>434164</v>
      </c>
      <c r="LA298" s="98">
        <v>17485.45</v>
      </c>
      <c r="LB298" s="98">
        <v>297252</v>
      </c>
      <c r="LG298" s="98">
        <v>9289.7199999999993</v>
      </c>
      <c r="LH298" s="98">
        <v>222953</v>
      </c>
      <c r="LI298" s="91">
        <f t="shared" si="1749"/>
        <v>50895.4</v>
      </c>
      <c r="LJ298" s="91">
        <f t="shared" si="1750"/>
        <v>954369</v>
      </c>
      <c r="LQ298" s="98">
        <v>4008</v>
      </c>
      <c r="LR298" s="98">
        <v>104208</v>
      </c>
      <c r="LY298" s="91">
        <f t="shared" si="1751"/>
        <v>4008</v>
      </c>
      <c r="LZ298" s="91">
        <f t="shared" si="1752"/>
        <v>104208</v>
      </c>
      <c r="MC298" s="98">
        <v>2690</v>
      </c>
      <c r="MD298" s="98">
        <v>48420</v>
      </c>
      <c r="MG298" s="98">
        <v>710</v>
      </c>
      <c r="MH298" s="98">
        <v>12780</v>
      </c>
      <c r="MM298" s="98">
        <v>890</v>
      </c>
      <c r="MN298" s="98">
        <v>16020</v>
      </c>
      <c r="MO298" s="91">
        <f t="shared" si="1753"/>
        <v>4290</v>
      </c>
      <c r="MP298" s="91">
        <f t="shared" si="1754"/>
        <v>77220</v>
      </c>
      <c r="NE298" s="91">
        <f t="shared" si="1755"/>
        <v>0</v>
      </c>
      <c r="NF298" s="91">
        <f t="shared" si="1756"/>
        <v>0</v>
      </c>
      <c r="NI298" s="98">
        <v>1766700</v>
      </c>
      <c r="NJ298" s="98">
        <v>31800600</v>
      </c>
      <c r="NM298" s="98">
        <v>16400</v>
      </c>
      <c r="NN298" s="98">
        <v>295200</v>
      </c>
      <c r="NQ298" s="98">
        <v>2200</v>
      </c>
      <c r="NR298" s="98">
        <v>39600</v>
      </c>
      <c r="NU298" s="91">
        <f t="shared" si="1757"/>
        <v>1785300</v>
      </c>
      <c r="NV298" s="91">
        <f t="shared" si="1758"/>
        <v>32135400</v>
      </c>
      <c r="OK298" s="91">
        <f t="shared" si="1759"/>
        <v>0</v>
      </c>
      <c r="OL298" s="91">
        <f t="shared" si="1760"/>
        <v>0</v>
      </c>
      <c r="OO298" s="98">
        <v>4990</v>
      </c>
      <c r="OP298" s="98">
        <v>174650</v>
      </c>
      <c r="PA298" s="91">
        <f t="shared" si="1761"/>
        <v>4990</v>
      </c>
      <c r="PB298" s="91">
        <f t="shared" si="1762"/>
        <v>174650</v>
      </c>
      <c r="PI298" s="98">
        <v>11291</v>
      </c>
      <c r="PJ298" s="98">
        <v>225820</v>
      </c>
      <c r="PQ298" s="91">
        <f t="shared" si="1763"/>
        <v>11291</v>
      </c>
      <c r="PR298" s="91">
        <f t="shared" si="1764"/>
        <v>225820</v>
      </c>
      <c r="PU298" s="98">
        <v>38490</v>
      </c>
      <c r="PV298" s="98">
        <v>692820</v>
      </c>
      <c r="PY298" s="98">
        <v>90550</v>
      </c>
      <c r="PZ298" s="98">
        <v>1629900</v>
      </c>
      <c r="QA298" s="98">
        <v>15920</v>
      </c>
      <c r="QB298" s="98">
        <v>270640</v>
      </c>
      <c r="QC298" s="98">
        <v>91520</v>
      </c>
      <c r="QD298" s="98">
        <v>1555840</v>
      </c>
      <c r="QG298" s="91">
        <f t="shared" si="1765"/>
        <v>236480</v>
      </c>
      <c r="QH298" s="91">
        <f t="shared" si="1766"/>
        <v>4149200</v>
      </c>
      <c r="QO298" s="98">
        <v>9500</v>
      </c>
      <c r="QP298" s="98">
        <v>142500</v>
      </c>
      <c r="QW298" s="91">
        <f t="shared" si="1767"/>
        <v>9500</v>
      </c>
      <c r="QX298" s="91">
        <f t="shared" si="1768"/>
        <v>142500</v>
      </c>
      <c r="RE298" s="98">
        <v>2892</v>
      </c>
      <c r="RF298" s="98">
        <f>RE298*27</f>
        <v>78084</v>
      </c>
      <c r="RM298" s="91">
        <f t="shared" si="1769"/>
        <v>2892</v>
      </c>
      <c r="RN298" s="91">
        <f t="shared" si="1770"/>
        <v>78084</v>
      </c>
      <c r="RU298" s="98">
        <v>5610</v>
      </c>
      <c r="RV298" s="98">
        <v>134640</v>
      </c>
      <c r="SC298" s="91">
        <f t="shared" si="1771"/>
        <v>5610</v>
      </c>
      <c r="SD298" s="91">
        <f t="shared" si="1772"/>
        <v>134640</v>
      </c>
      <c r="SK298" s="98">
        <v>700</v>
      </c>
      <c r="SL298" s="98">
        <v>17500</v>
      </c>
      <c r="SS298" s="91">
        <f t="shared" si="1773"/>
        <v>700</v>
      </c>
      <c r="ST298" s="91">
        <f t="shared" si="1774"/>
        <v>17500</v>
      </c>
      <c r="TA298" s="98">
        <v>2850</v>
      </c>
      <c r="TB298" s="98">
        <v>71250</v>
      </c>
      <c r="TI298" s="91">
        <f t="shared" si="1775"/>
        <v>2850</v>
      </c>
      <c r="TJ298" s="91">
        <f t="shared" si="1776"/>
        <v>71250</v>
      </c>
      <c r="TQ298" s="98">
        <v>1700</v>
      </c>
      <c r="TR298" s="98">
        <v>42500</v>
      </c>
      <c r="TU298" s="98">
        <v>300</v>
      </c>
      <c r="TV298" s="98">
        <v>9000</v>
      </c>
      <c r="TY298" s="91">
        <f t="shared" si="1777"/>
        <v>2000</v>
      </c>
      <c r="TZ298" s="91">
        <f t="shared" si="1778"/>
        <v>51500</v>
      </c>
      <c r="UG298" s="98">
        <v>485</v>
      </c>
      <c r="UH298" s="98">
        <v>11155</v>
      </c>
      <c r="UO298" s="91">
        <f t="shared" si="1779"/>
        <v>485</v>
      </c>
      <c r="UP298" s="91">
        <f t="shared" si="1780"/>
        <v>11155</v>
      </c>
      <c r="US298" s="98">
        <v>4500</v>
      </c>
      <c r="UT298" s="98">
        <v>117000</v>
      </c>
      <c r="VE298" s="91">
        <f t="shared" si="1781"/>
        <v>4500</v>
      </c>
      <c r="VF298" s="91">
        <f t="shared" si="1782"/>
        <v>117000</v>
      </c>
      <c r="VI298" s="98">
        <v>565</v>
      </c>
      <c r="VJ298" s="98">
        <v>12995</v>
      </c>
      <c r="VM298" s="98">
        <v>826</v>
      </c>
      <c r="VN298" s="98">
        <v>20650</v>
      </c>
      <c r="VU298" s="91">
        <f t="shared" si="1783"/>
        <v>1391</v>
      </c>
      <c r="VV298" s="91">
        <f t="shared" si="1784"/>
        <v>33645</v>
      </c>
      <c r="VY298" s="98">
        <v>26980</v>
      </c>
      <c r="VZ298" s="98">
        <v>755440</v>
      </c>
      <c r="WC298" s="98">
        <v>118670</v>
      </c>
      <c r="WD298" s="98">
        <v>3322760</v>
      </c>
      <c r="WK298" s="91">
        <f t="shared" si="1785"/>
        <v>145650</v>
      </c>
      <c r="WL298" s="91">
        <f t="shared" si="1786"/>
        <v>4078200</v>
      </c>
      <c r="WM298" s="89"/>
      <c r="WN298" s="87">
        <f t="shared" si="1787"/>
        <v>0</v>
      </c>
      <c r="WO298" s="87">
        <f t="shared" si="1788"/>
        <v>0</v>
      </c>
      <c r="WP298" s="87">
        <f t="shared" si="1789"/>
        <v>1986187.23</v>
      </c>
      <c r="WQ298" s="87">
        <f t="shared" si="1790"/>
        <v>36340587</v>
      </c>
      <c r="WR298" s="87">
        <f t="shared" si="1791"/>
        <v>0</v>
      </c>
      <c r="WS298" s="87">
        <f t="shared" si="1792"/>
        <v>0</v>
      </c>
      <c r="WT298" s="87">
        <f t="shared" si="1793"/>
        <v>1394006.45</v>
      </c>
      <c r="WU298" s="87">
        <f t="shared" si="1794"/>
        <v>29979368</v>
      </c>
      <c r="WV298" s="87">
        <f t="shared" si="1795"/>
        <v>20557</v>
      </c>
      <c r="WW298" s="87">
        <f t="shared" si="1796"/>
        <v>369310</v>
      </c>
      <c r="WX298" s="87">
        <f t="shared" si="1797"/>
        <v>97025</v>
      </c>
      <c r="WY298" s="87">
        <f t="shared" si="1798"/>
        <v>1670940</v>
      </c>
      <c r="WZ298" s="87">
        <f t="shared" si="1799"/>
        <v>185042.72</v>
      </c>
      <c r="XA298" s="87">
        <f t="shared" si="1800"/>
        <v>4375343</v>
      </c>
      <c r="XB298" s="92">
        <f t="shared" si="1801"/>
        <v>3682818.4</v>
      </c>
      <c r="XC298" s="92">
        <f t="shared" si="1802"/>
        <v>72735548</v>
      </c>
      <c r="XD298" s="89"/>
      <c r="XE298" s="92"/>
      <c r="XF298" s="92"/>
      <c r="XG298" s="89"/>
      <c r="XH298" s="92"/>
      <c r="XI298" s="92"/>
      <c r="XJ298" s="89"/>
      <c r="XK298" s="87"/>
      <c r="XL298" s="87"/>
      <c r="XM298" s="87"/>
      <c r="XN298" s="87"/>
      <c r="XO298" s="87"/>
      <c r="XP298" s="87"/>
      <c r="XQ298" s="87"/>
      <c r="XR298" s="92">
        <f t="shared" ca="1" si="1803"/>
        <v>0</v>
      </c>
      <c r="XS298" s="89"/>
      <c r="XT298" s="87"/>
      <c r="XU298" s="87"/>
      <c r="XV298" s="87"/>
      <c r="XW298" s="87"/>
      <c r="XX298" s="87"/>
      <c r="XY298" s="87"/>
      <c r="XZ298" s="87"/>
      <c r="YA298" s="92">
        <f t="shared" ca="1" si="1804"/>
        <v>0</v>
      </c>
      <c r="YB298" s="90"/>
      <c r="YC298" s="90"/>
      <c r="YD298" s="90"/>
      <c r="YE298" s="90"/>
      <c r="YF298" s="90"/>
      <c r="YG298" s="90"/>
      <c r="YH298" s="90"/>
      <c r="YI298" s="90"/>
      <c r="YJ298" s="90"/>
      <c r="YK298" s="90"/>
      <c r="YL298" s="90"/>
      <c r="YM298" s="90"/>
      <c r="YN298" s="90"/>
      <c r="YO298" s="90"/>
      <c r="YP298" s="90"/>
      <c r="YQ298" s="90"/>
      <c r="YR298" s="90"/>
      <c r="YS298" s="90"/>
      <c r="YT298" s="90"/>
      <c r="YU298" s="90"/>
      <c r="YV298" s="90"/>
      <c r="YW298" s="90"/>
      <c r="YX298" s="90"/>
      <c r="YY298" s="90"/>
      <c r="YZ298" s="90"/>
      <c r="ZA298" s="90"/>
      <c r="ZB298" s="90"/>
      <c r="ZC298" s="90"/>
      <c r="ZD298" s="90"/>
      <c r="ZE298" s="90"/>
      <c r="ZF298" s="90"/>
      <c r="ZG298" s="90"/>
      <c r="ZH298" s="90"/>
      <c r="ZI298" s="90"/>
      <c r="ZJ298" s="90"/>
      <c r="ZK298" s="90"/>
      <c r="ZL298" s="90"/>
      <c r="ZM298" s="90"/>
      <c r="ZN298" s="90"/>
      <c r="ZO298" s="90"/>
      <c r="ZP298" s="90"/>
      <c r="ZQ298" s="90"/>
      <c r="ZR298" s="90"/>
      <c r="ZS298" s="90"/>
      <c r="ZT298" s="90"/>
      <c r="ZU298" s="90"/>
      <c r="ZV298" s="90"/>
      <c r="ZW298" s="90"/>
      <c r="ZX298" s="90"/>
      <c r="ZY298" s="90"/>
      <c r="ZZ298" s="90"/>
      <c r="AAA298" s="90"/>
      <c r="AAB298" s="90"/>
      <c r="AAC298" s="90"/>
      <c r="AAD298" s="90"/>
      <c r="AAE298" s="90"/>
      <c r="AAF298" s="90"/>
      <c r="AAG298" s="90"/>
      <c r="AAH298" s="90"/>
      <c r="AAI298" s="90"/>
      <c r="AAJ298" s="90"/>
      <c r="AAK298" s="90"/>
      <c r="AAL298" s="90"/>
      <c r="AAM298" s="90"/>
      <c r="AAN298" s="90"/>
      <c r="AAO298" s="90"/>
      <c r="AAP298" s="90"/>
      <c r="AAQ298" s="90"/>
      <c r="AAR298" s="90"/>
      <c r="AAS298" s="90"/>
      <c r="AAT298" s="90"/>
      <c r="AAU298" s="90"/>
      <c r="AAV298" s="90"/>
      <c r="AAW298" s="90"/>
      <c r="AAX298" s="90"/>
      <c r="AAY298" s="90"/>
      <c r="AAZ298" s="90"/>
      <c r="ABA298" s="90"/>
      <c r="ABB298" s="90"/>
      <c r="ABC298" s="90"/>
      <c r="ABD298" s="90"/>
      <c r="ABE298" s="90"/>
      <c r="ABF298" s="90"/>
      <c r="ABG298" s="90"/>
      <c r="ABH298" s="90"/>
      <c r="ABI298" s="90"/>
      <c r="ABJ298" s="90"/>
      <c r="ABK298" s="90"/>
      <c r="ABL298" s="90"/>
      <c r="ABM298" s="90"/>
      <c r="ABN298" s="90"/>
      <c r="ABO298" s="90"/>
      <c r="ABP298" s="90"/>
      <c r="ABQ298" s="90"/>
      <c r="ABR298" s="90"/>
      <c r="ABS298" s="90"/>
      <c r="ABT298" s="90"/>
      <c r="ABU298" s="90"/>
      <c r="ABV298" s="90"/>
      <c r="ABW298" s="90"/>
      <c r="ABX298" s="90"/>
      <c r="ABY298" s="90"/>
      <c r="ABZ298" s="90"/>
      <c r="ACA298" s="90"/>
      <c r="ACB298" s="90"/>
      <c r="ACC298" s="90"/>
      <c r="ACD298" s="90"/>
      <c r="ACE298" s="90"/>
      <c r="ACF298" s="90"/>
      <c r="ACG298" s="90"/>
      <c r="ACH298" s="90"/>
      <c r="ACI298" s="90"/>
      <c r="ACJ298" s="90"/>
      <c r="ACK298" s="90"/>
      <c r="ACL298" s="90"/>
      <c r="ACM298" s="90"/>
      <c r="ACN298" s="90"/>
      <c r="ACO298" s="90"/>
      <c r="ACP298" s="90"/>
      <c r="ACQ298" s="90"/>
      <c r="ACR298" s="90"/>
      <c r="ACS298" s="90"/>
      <c r="ACT298" s="90"/>
      <c r="ACU298" s="90"/>
      <c r="ACV298" s="90"/>
      <c r="ACW298" s="90"/>
      <c r="ACX298" s="90"/>
      <c r="ACY298" s="90"/>
      <c r="ACZ298" s="90"/>
      <c r="ADA298" s="90"/>
      <c r="ADB298" s="90"/>
      <c r="ADC298" s="90"/>
      <c r="ADD298" s="90"/>
      <c r="ADE298" s="90"/>
      <c r="ADF298" s="90"/>
      <c r="ADG298" s="90"/>
      <c r="ADH298" s="90"/>
      <c r="ADI298" s="90"/>
      <c r="ADJ298" s="90"/>
      <c r="ADK298" s="90"/>
      <c r="ADL298" s="90"/>
      <c r="ADM298" s="90"/>
      <c r="ADN298" s="90"/>
      <c r="ADO298" s="90"/>
      <c r="ADP298" s="90"/>
      <c r="ADQ298" s="90"/>
      <c r="ADR298" s="90"/>
      <c r="ADS298" s="90"/>
      <c r="ADT298" s="90"/>
      <c r="ADU298" s="90"/>
      <c r="ADV298" s="90"/>
      <c r="ADW298" s="90"/>
      <c r="ADX298" s="90"/>
      <c r="ADY298" s="90"/>
      <c r="ADZ298" s="90"/>
      <c r="AEA298" s="90"/>
      <c r="AEB298" s="90"/>
      <c r="AEC298" s="90"/>
      <c r="AED298" s="90"/>
      <c r="AEE298" s="90"/>
      <c r="AEF298" s="90"/>
      <c r="AEG298" s="90"/>
      <c r="AEH298" s="90"/>
      <c r="AEI298" s="90"/>
      <c r="AEJ298" s="90"/>
      <c r="AEK298" s="90"/>
      <c r="AEL298" s="90"/>
      <c r="AEM298" s="90"/>
      <c r="AEN298" s="90"/>
      <c r="AEO298" s="90"/>
      <c r="AEP298" s="90"/>
      <c r="AEQ298" s="90"/>
      <c r="AER298" s="90"/>
      <c r="AES298" s="90"/>
      <c r="AET298" s="90"/>
      <c r="AEU298" s="90"/>
      <c r="AEV298" s="90"/>
      <c r="AEW298" s="90"/>
      <c r="AEX298" s="90"/>
      <c r="AEY298" s="90"/>
      <c r="AEZ298" s="90"/>
      <c r="AFA298" s="90"/>
      <c r="AFB298" s="90"/>
      <c r="AFC298" s="90"/>
      <c r="AFD298" s="90"/>
      <c r="AFE298" s="90"/>
      <c r="AFF298" s="90"/>
      <c r="AFG298" s="90"/>
      <c r="AFH298" s="90"/>
      <c r="AFI298" s="90"/>
      <c r="AFJ298" s="90"/>
      <c r="AFK298" s="90"/>
      <c r="AFL298" s="90"/>
      <c r="AFM298" s="90"/>
      <c r="AFN298" s="90"/>
      <c r="AFO298" s="90"/>
      <c r="AFP298" s="90"/>
      <c r="AFQ298" s="90"/>
      <c r="AFR298" s="90"/>
      <c r="AFS298" s="90"/>
      <c r="AFT298" s="90"/>
      <c r="AFU298" s="90"/>
      <c r="AFV298" s="90"/>
      <c r="AFW298" s="90"/>
      <c r="AFX298" s="90"/>
      <c r="AFY298" s="90"/>
      <c r="AFZ298" s="90"/>
      <c r="AGA298" s="90"/>
      <c r="AGB298" s="90"/>
      <c r="AGC298" s="90"/>
      <c r="AGD298" s="90"/>
      <c r="AGE298" s="90"/>
      <c r="AGF298" s="90"/>
      <c r="AGG298" s="90"/>
      <c r="AGH298" s="90"/>
      <c r="AGI298" s="90"/>
      <c r="AGJ298" s="90"/>
      <c r="AGK298" s="90"/>
      <c r="AGL298" s="90"/>
      <c r="AGM298" s="90"/>
      <c r="AGN298" s="90"/>
      <c r="AGO298" s="90"/>
      <c r="AGP298" s="90"/>
      <c r="AGQ298" s="90"/>
      <c r="AGR298" s="90"/>
      <c r="AGS298" s="90"/>
      <c r="AGT298" s="90"/>
      <c r="AGU298" s="90"/>
      <c r="AGV298" s="90"/>
      <c r="AGW298" s="90"/>
      <c r="AGX298" s="90"/>
      <c r="AGY298" s="90"/>
      <c r="AGZ298" s="90"/>
      <c r="AHA298" s="90"/>
      <c r="AHB298" s="90"/>
      <c r="AHC298" s="90"/>
      <c r="AHD298" s="90"/>
      <c r="AHE298" s="90"/>
      <c r="AHF298" s="90"/>
      <c r="AHG298" s="90"/>
      <c r="AHH298" s="90"/>
      <c r="AHI298" s="90"/>
      <c r="AHJ298" s="90"/>
      <c r="AHK298" s="90"/>
      <c r="AHL298" s="90"/>
      <c r="AHM298" s="90"/>
      <c r="AHN298" s="90"/>
      <c r="AHO298" s="90"/>
      <c r="AHP298" s="90"/>
      <c r="AHQ298" s="90"/>
      <c r="AHR298" s="90"/>
      <c r="AHS298" s="90"/>
      <c r="AHT298" s="90"/>
      <c r="AHU298" s="90"/>
      <c r="AHV298" s="90"/>
      <c r="AHW298" s="90"/>
      <c r="AHX298" s="90"/>
      <c r="AHY298" s="90"/>
      <c r="AHZ298" s="90"/>
      <c r="AIA298" s="90"/>
      <c r="AIB298" s="90"/>
      <c r="AIC298" s="90"/>
      <c r="AID298" s="90"/>
      <c r="AIE298" s="90"/>
      <c r="AIF298" s="90"/>
      <c r="AIG298" s="90"/>
      <c r="AIH298" s="90"/>
      <c r="AII298" s="90"/>
      <c r="AIJ298" s="90"/>
      <c r="AIK298" s="90"/>
      <c r="AIL298" s="90"/>
      <c r="AIM298" s="90"/>
      <c r="AIN298" s="90"/>
      <c r="AIO298" s="90"/>
      <c r="AIP298" s="90"/>
      <c r="AIQ298" s="90"/>
      <c r="AIR298" s="90"/>
      <c r="AIS298" s="90"/>
      <c r="AIT298" s="90"/>
      <c r="AIU298" s="90"/>
      <c r="AIV298" s="90"/>
      <c r="AIW298" s="90"/>
      <c r="AIX298" s="90"/>
      <c r="AIY298" s="90"/>
      <c r="AIZ298" s="90"/>
      <c r="AJA298" s="90"/>
      <c r="AJB298" s="90"/>
      <c r="AJC298" s="90"/>
      <c r="AJD298" s="90"/>
      <c r="AJE298" s="90"/>
      <c r="AJF298" s="90"/>
      <c r="AJG298" s="90"/>
      <c r="AJH298" s="90"/>
      <c r="AJI298" s="90"/>
      <c r="AJJ298" s="90"/>
      <c r="AJK298" s="90"/>
      <c r="AJL298" s="90"/>
      <c r="AJM298" s="90"/>
      <c r="AJN298" s="90"/>
      <c r="AJO298" s="90"/>
      <c r="AJP298" s="90"/>
      <c r="AJQ298" s="90"/>
      <c r="AJR298" s="90"/>
      <c r="AJS298" s="90"/>
      <c r="AJT298" s="90"/>
      <c r="AJU298" s="90"/>
      <c r="AJV298" s="90"/>
      <c r="AJW298" s="90"/>
      <c r="AJX298" s="90"/>
      <c r="AJY298" s="90"/>
      <c r="AJZ298" s="90"/>
      <c r="AKA298" s="90"/>
      <c r="AKB298" s="90"/>
      <c r="AKC298" s="90"/>
      <c r="AKD298" s="90"/>
      <c r="AKE298" s="90"/>
      <c r="AKF298" s="90"/>
      <c r="AKG298" s="90"/>
      <c r="AKH298" s="90"/>
      <c r="AKI298" s="90"/>
      <c r="AKJ298" s="90"/>
      <c r="AKK298" s="90"/>
      <c r="AKL298" s="90"/>
      <c r="AKM298" s="90"/>
      <c r="AKN298" s="90"/>
      <c r="AKO298" s="90"/>
      <c r="AKP298" s="90"/>
      <c r="AKQ298" s="90"/>
      <c r="AKR298" s="90"/>
      <c r="AKS298" s="90"/>
      <c r="AKT298" s="90"/>
      <c r="AKU298" s="90"/>
      <c r="AKV298" s="90"/>
      <c r="AKW298" s="90"/>
      <c r="AKX298" s="90"/>
      <c r="AKY298" s="90"/>
      <c r="AKZ298" s="90"/>
      <c r="ALA298" s="90"/>
      <c r="ALB298" s="90"/>
      <c r="ALC298" s="90"/>
      <c r="ALD298" s="90"/>
      <c r="ALE298" s="90"/>
      <c r="ALF298" s="90"/>
      <c r="ALG298" s="90"/>
      <c r="ALH298" s="90"/>
      <c r="ALI298" s="90"/>
      <c r="ALJ298" s="90"/>
      <c r="ALK298" s="90"/>
      <c r="ALL298" s="90"/>
      <c r="ALM298" s="90"/>
      <c r="ALN298" s="90"/>
      <c r="ALO298" s="90"/>
      <c r="ALP298" s="90"/>
      <c r="ALQ298" s="90"/>
      <c r="ALR298" s="90"/>
      <c r="ALS298" s="90"/>
      <c r="ALT298" s="90"/>
      <c r="ALU298" s="90"/>
      <c r="ALV298" s="90"/>
      <c r="ALW298" s="90"/>
      <c r="ALX298" s="90"/>
      <c r="ALY298" s="90"/>
      <c r="ALZ298" s="90"/>
      <c r="AMA298" s="90"/>
      <c r="AMB298" s="90"/>
      <c r="AMC298" s="90"/>
    </row>
    <row r="299" spans="1:1017">
      <c r="A299" s="98" t="s">
        <v>52</v>
      </c>
      <c r="B299" s="90" t="str">
        <f t="shared" si="1710"/>
        <v xml:space="preserve">Patin </v>
      </c>
      <c r="Q299" s="91">
        <f t="shared" si="1711"/>
        <v>0</v>
      </c>
      <c r="R299" s="91">
        <f t="shared" si="1712"/>
        <v>0</v>
      </c>
      <c r="Y299" s="98">
        <v>189225</v>
      </c>
      <c r="Z299" s="98">
        <v>3784500</v>
      </c>
      <c r="AG299" s="91">
        <f t="shared" si="1713"/>
        <v>189225</v>
      </c>
      <c r="AH299" s="91">
        <f t="shared" si="1714"/>
        <v>3784500</v>
      </c>
      <c r="AO299" s="98">
        <v>12400</v>
      </c>
      <c r="AP299" s="98">
        <v>198400</v>
      </c>
      <c r="AW299" s="91">
        <f t="shared" si="1715"/>
        <v>12400</v>
      </c>
      <c r="AX299" s="91">
        <f t="shared" si="1716"/>
        <v>198400</v>
      </c>
      <c r="BE299" s="98">
        <v>17982</v>
      </c>
      <c r="BF299" s="98">
        <v>323676</v>
      </c>
      <c r="BM299" s="91">
        <f t="shared" si="1717"/>
        <v>17982</v>
      </c>
      <c r="BN299" s="91">
        <f t="shared" si="1718"/>
        <v>323676</v>
      </c>
      <c r="CC299" s="91">
        <f t="shared" si="1719"/>
        <v>0</v>
      </c>
      <c r="CD299" s="91">
        <f t="shared" si="1720"/>
        <v>0</v>
      </c>
      <c r="CK299" s="98">
        <v>799</v>
      </c>
      <c r="CL299" s="98">
        <v>14379</v>
      </c>
      <c r="CS299" s="91">
        <f t="shared" si="1721"/>
        <v>799</v>
      </c>
      <c r="CT299" s="91">
        <f t="shared" si="1722"/>
        <v>14379</v>
      </c>
      <c r="DI299" s="91">
        <f t="shared" si="1723"/>
        <v>0</v>
      </c>
      <c r="DJ299" s="91">
        <f t="shared" si="1724"/>
        <v>0</v>
      </c>
      <c r="DQ299" s="98">
        <v>172400</v>
      </c>
      <c r="DR299" s="98">
        <v>2930800</v>
      </c>
      <c r="DY299" s="91">
        <f t="shared" si="1725"/>
        <v>172400</v>
      </c>
      <c r="DZ299" s="91">
        <f t="shared" si="1726"/>
        <v>2930800</v>
      </c>
      <c r="EG299" s="98">
        <v>194700</v>
      </c>
      <c r="EH299" s="98">
        <v>2920500</v>
      </c>
      <c r="EO299" s="91">
        <f t="shared" si="1727"/>
        <v>194700</v>
      </c>
      <c r="EP299" s="91">
        <f t="shared" si="1728"/>
        <v>2920500</v>
      </c>
      <c r="EW299" s="98">
        <v>347</v>
      </c>
      <c r="EX299" s="98">
        <v>6940</v>
      </c>
      <c r="FE299" s="91">
        <f t="shared" si="1729"/>
        <v>347</v>
      </c>
      <c r="FF299" s="91">
        <f t="shared" si="1730"/>
        <v>6940</v>
      </c>
      <c r="FM299" s="98">
        <v>820</v>
      </c>
      <c r="FN299" s="98">
        <v>16400</v>
      </c>
      <c r="FU299" s="91">
        <f t="shared" si="1731"/>
        <v>820</v>
      </c>
      <c r="FV299" s="91">
        <f t="shared" si="1732"/>
        <v>16400</v>
      </c>
      <c r="GC299" s="98">
        <v>30000</v>
      </c>
      <c r="GD299" s="98">
        <v>510000</v>
      </c>
      <c r="GK299" s="91">
        <f t="shared" si="1733"/>
        <v>30000</v>
      </c>
      <c r="GL299" s="91">
        <f t="shared" si="1734"/>
        <v>510000</v>
      </c>
      <c r="GS299" s="98">
        <v>1000</v>
      </c>
      <c r="GT299" s="98">
        <v>18000</v>
      </c>
      <c r="HA299" s="91">
        <f t="shared" si="1735"/>
        <v>1000</v>
      </c>
      <c r="HB299" s="91">
        <f t="shared" si="1736"/>
        <v>18000</v>
      </c>
      <c r="HQ299" s="91">
        <f t="shared" si="1737"/>
        <v>0</v>
      </c>
      <c r="HR299" s="91">
        <f t="shared" si="1738"/>
        <v>0</v>
      </c>
      <c r="HY299" s="98">
        <v>1500</v>
      </c>
      <c r="HZ299" s="98">
        <v>26250</v>
      </c>
      <c r="IG299" s="91">
        <f t="shared" si="1739"/>
        <v>1500</v>
      </c>
      <c r="IH299" s="91">
        <f t="shared" si="1740"/>
        <v>26250</v>
      </c>
      <c r="IO299" s="98">
        <v>6270</v>
      </c>
      <c r="IP299" s="98">
        <v>106590</v>
      </c>
      <c r="IW299" s="91">
        <f t="shared" si="1741"/>
        <v>6270</v>
      </c>
      <c r="IX299" s="91">
        <f t="shared" si="1742"/>
        <v>106590</v>
      </c>
      <c r="JE299" s="98">
        <v>13980</v>
      </c>
      <c r="JF299" s="98">
        <v>244650</v>
      </c>
      <c r="JK299" s="98">
        <v>5730</v>
      </c>
      <c r="JL299" s="98">
        <v>97410</v>
      </c>
      <c r="JM299" s="91">
        <f t="shared" si="1743"/>
        <v>19710</v>
      </c>
      <c r="JN299" s="91">
        <f t="shared" si="1744"/>
        <v>342060</v>
      </c>
      <c r="KC299" s="91">
        <f t="shared" si="1745"/>
        <v>0</v>
      </c>
      <c r="KD299" s="91">
        <f t="shared" si="1746"/>
        <v>0</v>
      </c>
      <c r="KS299" s="91">
        <f t="shared" si="1747"/>
        <v>0</v>
      </c>
      <c r="KT299" s="91">
        <f t="shared" si="1748"/>
        <v>0</v>
      </c>
      <c r="LI299" s="91">
        <f t="shared" si="1749"/>
        <v>0</v>
      </c>
      <c r="LJ299" s="91">
        <f t="shared" si="1750"/>
        <v>0</v>
      </c>
      <c r="LQ299" s="98">
        <v>1435</v>
      </c>
      <c r="LR299" s="98">
        <v>24395</v>
      </c>
      <c r="LY299" s="91">
        <f t="shared" si="1751"/>
        <v>1435</v>
      </c>
      <c r="LZ299" s="91">
        <f t="shared" si="1752"/>
        <v>24395</v>
      </c>
      <c r="MO299" s="91">
        <f t="shared" si="1753"/>
        <v>0</v>
      </c>
      <c r="MP299" s="91">
        <f t="shared" si="1754"/>
        <v>0</v>
      </c>
      <c r="NE299" s="91">
        <f t="shared" si="1755"/>
        <v>0</v>
      </c>
      <c r="NF299" s="91">
        <f t="shared" si="1756"/>
        <v>0</v>
      </c>
      <c r="NM299" s="98">
        <v>25700</v>
      </c>
      <c r="NN299" s="98">
        <v>462600</v>
      </c>
      <c r="NQ299" s="98">
        <v>22500</v>
      </c>
      <c r="NR299" s="98">
        <v>405000</v>
      </c>
      <c r="NU299" s="91">
        <f t="shared" si="1757"/>
        <v>48200</v>
      </c>
      <c r="NV299" s="91">
        <f t="shared" si="1758"/>
        <v>867600</v>
      </c>
      <c r="OK299" s="91">
        <f t="shared" si="1759"/>
        <v>0</v>
      </c>
      <c r="OL299" s="91">
        <f t="shared" si="1760"/>
        <v>0</v>
      </c>
      <c r="PA299" s="91">
        <f t="shared" si="1761"/>
        <v>0</v>
      </c>
      <c r="PB299" s="91">
        <f t="shared" si="1762"/>
        <v>0</v>
      </c>
      <c r="PI299" s="98">
        <v>49642</v>
      </c>
      <c r="PJ299" s="98">
        <v>843914</v>
      </c>
      <c r="PQ299" s="91">
        <f t="shared" si="1763"/>
        <v>49642</v>
      </c>
      <c r="PR299" s="91">
        <f t="shared" si="1764"/>
        <v>843914</v>
      </c>
      <c r="PY299" s="98">
        <v>71500</v>
      </c>
      <c r="PZ299" s="98">
        <v>1072500</v>
      </c>
      <c r="QA299" s="98">
        <v>6430</v>
      </c>
      <c r="QB299" s="98">
        <v>96450</v>
      </c>
      <c r="QC299" s="98">
        <v>6580</v>
      </c>
      <c r="QD299" s="98">
        <v>98700</v>
      </c>
      <c r="QG299" s="91">
        <f t="shared" si="1765"/>
        <v>84510</v>
      </c>
      <c r="QH299" s="91">
        <f t="shared" si="1766"/>
        <v>1267650</v>
      </c>
      <c r="QO299" s="98">
        <v>1680000</v>
      </c>
      <c r="QP299" s="98">
        <v>26880000</v>
      </c>
      <c r="QW299" s="91">
        <f t="shared" si="1767"/>
        <v>1680000</v>
      </c>
      <c r="QX299" s="91">
        <f t="shared" si="1768"/>
        <v>26880000</v>
      </c>
      <c r="RM299" s="91">
        <f t="shared" si="1769"/>
        <v>0</v>
      </c>
      <c r="RN299" s="91">
        <f t="shared" si="1770"/>
        <v>0</v>
      </c>
      <c r="RU299" s="98">
        <v>1030</v>
      </c>
      <c r="RV299" s="98">
        <v>18540</v>
      </c>
      <c r="SC299" s="91">
        <f t="shared" si="1771"/>
        <v>1030</v>
      </c>
      <c r="SD299" s="91">
        <f t="shared" si="1772"/>
        <v>18540</v>
      </c>
      <c r="SS299" s="91">
        <f t="shared" si="1773"/>
        <v>0</v>
      </c>
      <c r="ST299" s="91">
        <f t="shared" si="1774"/>
        <v>0</v>
      </c>
      <c r="TI299" s="91">
        <f t="shared" si="1775"/>
        <v>0</v>
      </c>
      <c r="TJ299" s="91">
        <f t="shared" si="1776"/>
        <v>0</v>
      </c>
      <c r="TY299" s="91">
        <f t="shared" si="1777"/>
        <v>0</v>
      </c>
      <c r="TZ299" s="91">
        <f t="shared" si="1778"/>
        <v>0</v>
      </c>
      <c r="UG299" s="98">
        <v>215</v>
      </c>
      <c r="UH299" s="98">
        <v>4300</v>
      </c>
      <c r="UO299" s="91">
        <f t="shared" si="1779"/>
        <v>215</v>
      </c>
      <c r="UP299" s="91">
        <f t="shared" si="1780"/>
        <v>4300</v>
      </c>
      <c r="VE299" s="91">
        <f t="shared" si="1781"/>
        <v>0</v>
      </c>
      <c r="VF299" s="91">
        <f t="shared" si="1782"/>
        <v>0</v>
      </c>
      <c r="VU299" s="91">
        <f t="shared" si="1783"/>
        <v>0</v>
      </c>
      <c r="VV299" s="91">
        <f t="shared" si="1784"/>
        <v>0</v>
      </c>
      <c r="WC299" s="98">
        <v>690</v>
      </c>
      <c r="WD299" s="98">
        <v>15180</v>
      </c>
      <c r="WK299" s="91">
        <f t="shared" si="1785"/>
        <v>690</v>
      </c>
      <c r="WL299" s="91">
        <f t="shared" si="1786"/>
        <v>15180</v>
      </c>
      <c r="WM299" s="89"/>
      <c r="WN299" s="87">
        <f t="shared" si="1787"/>
        <v>0</v>
      </c>
      <c r="WO299" s="87">
        <f t="shared" si="1788"/>
        <v>0</v>
      </c>
      <c r="WP299" s="87">
        <f t="shared" si="1789"/>
        <v>0</v>
      </c>
      <c r="WQ299" s="87">
        <f t="shared" si="1790"/>
        <v>0</v>
      </c>
      <c r="WR299" s="87">
        <f t="shared" si="1791"/>
        <v>0</v>
      </c>
      <c r="WS299" s="87">
        <f t="shared" si="1792"/>
        <v>0</v>
      </c>
      <c r="WT299" s="87">
        <f t="shared" si="1793"/>
        <v>2471635</v>
      </c>
      <c r="WU299" s="87">
        <f t="shared" si="1794"/>
        <v>40422514</v>
      </c>
      <c r="WV299" s="87">
        <f t="shared" si="1795"/>
        <v>6430</v>
      </c>
      <c r="WW299" s="87">
        <f t="shared" si="1796"/>
        <v>96450</v>
      </c>
      <c r="WX299" s="87">
        <f t="shared" si="1797"/>
        <v>29080</v>
      </c>
      <c r="WY299" s="87">
        <f t="shared" si="1798"/>
        <v>503700</v>
      </c>
      <c r="WZ299" s="87">
        <f t="shared" si="1799"/>
        <v>5730</v>
      </c>
      <c r="XA299" s="87">
        <f t="shared" si="1800"/>
        <v>97410</v>
      </c>
      <c r="XB299" s="92">
        <f t="shared" si="1801"/>
        <v>2512875</v>
      </c>
      <c r="XC299" s="92">
        <f t="shared" si="1802"/>
        <v>41120074</v>
      </c>
      <c r="XD299" s="89"/>
      <c r="XE299" s="92"/>
      <c r="XF299" s="92"/>
      <c r="XG299" s="89"/>
      <c r="XH299" s="92"/>
      <c r="XI299" s="92"/>
      <c r="XJ299" s="89"/>
      <c r="XK299" s="87"/>
      <c r="XL299" s="87"/>
      <c r="XM299" s="87"/>
      <c r="XN299" s="87"/>
      <c r="XO299" s="87"/>
      <c r="XP299" s="87"/>
      <c r="XQ299" s="87"/>
      <c r="XR299" s="92">
        <f t="shared" ca="1" si="1803"/>
        <v>0</v>
      </c>
      <c r="XS299" s="89"/>
      <c r="XT299" s="87"/>
      <c r="XU299" s="87"/>
      <c r="XV299" s="87"/>
      <c r="XW299" s="87"/>
      <c r="XX299" s="87"/>
      <c r="XY299" s="87"/>
      <c r="XZ299" s="87"/>
      <c r="YA299" s="92">
        <f t="shared" ca="1" si="1804"/>
        <v>0</v>
      </c>
      <c r="YB299" s="90"/>
      <c r="YC299" s="90"/>
      <c r="YD299" s="90"/>
      <c r="YE299" s="90"/>
      <c r="YF299" s="90"/>
      <c r="YG299" s="90"/>
      <c r="YH299" s="90"/>
      <c r="YI299" s="90"/>
      <c r="YJ299" s="90"/>
      <c r="YK299" s="90"/>
      <c r="YL299" s="90"/>
      <c r="YM299" s="90"/>
      <c r="YN299" s="90"/>
      <c r="YO299" s="90"/>
      <c r="YP299" s="90"/>
      <c r="YQ299" s="90"/>
      <c r="YR299" s="90"/>
      <c r="YS299" s="90"/>
      <c r="YT299" s="90"/>
      <c r="YU299" s="90"/>
      <c r="YV299" s="90"/>
      <c r="YW299" s="90"/>
      <c r="YX299" s="90"/>
      <c r="YY299" s="90"/>
      <c r="YZ299" s="90"/>
      <c r="ZA299" s="90"/>
      <c r="ZB299" s="90"/>
      <c r="ZC299" s="90"/>
      <c r="ZD299" s="90"/>
      <c r="ZE299" s="90"/>
      <c r="ZF299" s="90"/>
      <c r="ZG299" s="90"/>
      <c r="ZH299" s="90"/>
      <c r="ZI299" s="90"/>
      <c r="ZJ299" s="90"/>
      <c r="ZK299" s="90"/>
      <c r="ZL299" s="90"/>
      <c r="ZM299" s="90"/>
      <c r="ZN299" s="90"/>
      <c r="ZO299" s="90"/>
      <c r="ZP299" s="90"/>
      <c r="ZQ299" s="90"/>
      <c r="ZR299" s="90"/>
      <c r="ZS299" s="90"/>
      <c r="ZT299" s="90"/>
      <c r="ZU299" s="90"/>
      <c r="ZV299" s="90"/>
      <c r="ZW299" s="90"/>
      <c r="ZX299" s="90"/>
      <c r="ZY299" s="90"/>
      <c r="ZZ299" s="90"/>
      <c r="AAA299" s="90"/>
      <c r="AAB299" s="90"/>
      <c r="AAC299" s="90"/>
      <c r="AAD299" s="90"/>
      <c r="AAE299" s="90"/>
      <c r="AAF299" s="90"/>
      <c r="AAG299" s="90"/>
      <c r="AAH299" s="90"/>
      <c r="AAI299" s="90"/>
      <c r="AAJ299" s="90"/>
      <c r="AAK299" s="90"/>
      <c r="AAL299" s="90"/>
      <c r="AAM299" s="90"/>
      <c r="AAN299" s="90"/>
      <c r="AAO299" s="90"/>
      <c r="AAP299" s="90"/>
      <c r="AAQ299" s="90"/>
      <c r="AAR299" s="90"/>
      <c r="AAS299" s="90"/>
      <c r="AAT299" s="90"/>
      <c r="AAU299" s="90"/>
      <c r="AAV299" s="90"/>
      <c r="AAW299" s="90"/>
      <c r="AAX299" s="90"/>
      <c r="AAY299" s="90"/>
      <c r="AAZ299" s="90"/>
      <c r="ABA299" s="90"/>
      <c r="ABB299" s="90"/>
      <c r="ABC299" s="90"/>
      <c r="ABD299" s="90"/>
      <c r="ABE299" s="90"/>
      <c r="ABF299" s="90"/>
      <c r="ABG299" s="90"/>
      <c r="ABH299" s="90"/>
      <c r="ABI299" s="90"/>
      <c r="ABJ299" s="90"/>
      <c r="ABK299" s="90"/>
      <c r="ABL299" s="90"/>
      <c r="ABM299" s="90"/>
      <c r="ABN299" s="90"/>
      <c r="ABO299" s="90"/>
      <c r="ABP299" s="90"/>
      <c r="ABQ299" s="90"/>
      <c r="ABR299" s="90"/>
      <c r="ABS299" s="90"/>
      <c r="ABT299" s="90"/>
      <c r="ABU299" s="90"/>
      <c r="ABV299" s="90"/>
      <c r="ABW299" s="90"/>
      <c r="ABX299" s="90"/>
      <c r="ABY299" s="90"/>
      <c r="ABZ299" s="90"/>
      <c r="ACA299" s="90"/>
      <c r="ACB299" s="90"/>
      <c r="ACC299" s="90"/>
      <c r="ACD299" s="90"/>
      <c r="ACE299" s="90"/>
      <c r="ACF299" s="90"/>
      <c r="ACG299" s="90"/>
      <c r="ACH299" s="90"/>
      <c r="ACI299" s="90"/>
      <c r="ACJ299" s="90"/>
      <c r="ACK299" s="90"/>
      <c r="ACL299" s="90"/>
      <c r="ACM299" s="90"/>
      <c r="ACN299" s="90"/>
      <c r="ACO299" s="90"/>
      <c r="ACP299" s="90"/>
      <c r="ACQ299" s="90"/>
      <c r="ACR299" s="90"/>
      <c r="ACS299" s="90"/>
      <c r="ACT299" s="90"/>
      <c r="ACU299" s="90"/>
      <c r="ACV299" s="90"/>
      <c r="ACW299" s="90"/>
      <c r="ACX299" s="90"/>
      <c r="ACY299" s="90"/>
      <c r="ACZ299" s="90"/>
      <c r="ADA299" s="90"/>
      <c r="ADB299" s="90"/>
      <c r="ADC299" s="90"/>
      <c r="ADD299" s="90"/>
      <c r="ADE299" s="90"/>
      <c r="ADF299" s="90"/>
      <c r="ADG299" s="90"/>
      <c r="ADH299" s="90"/>
      <c r="ADI299" s="90"/>
      <c r="ADJ299" s="90"/>
      <c r="ADK299" s="90"/>
      <c r="ADL299" s="90"/>
      <c r="ADM299" s="90"/>
      <c r="ADN299" s="90"/>
      <c r="ADO299" s="90"/>
      <c r="ADP299" s="90"/>
      <c r="ADQ299" s="90"/>
      <c r="ADR299" s="90"/>
      <c r="ADS299" s="90"/>
      <c r="ADT299" s="90"/>
      <c r="ADU299" s="90"/>
      <c r="ADV299" s="90"/>
      <c r="ADW299" s="90"/>
      <c r="ADX299" s="90"/>
      <c r="ADY299" s="90"/>
      <c r="ADZ299" s="90"/>
      <c r="AEA299" s="90"/>
      <c r="AEB299" s="90"/>
      <c r="AEC299" s="90"/>
      <c r="AED299" s="90"/>
      <c r="AEE299" s="90"/>
      <c r="AEF299" s="90"/>
      <c r="AEG299" s="90"/>
      <c r="AEH299" s="90"/>
      <c r="AEI299" s="90"/>
      <c r="AEJ299" s="90"/>
      <c r="AEK299" s="90"/>
      <c r="AEL299" s="90"/>
      <c r="AEM299" s="90"/>
      <c r="AEN299" s="90"/>
      <c r="AEO299" s="90"/>
      <c r="AEP299" s="90"/>
      <c r="AEQ299" s="90"/>
      <c r="AER299" s="90"/>
      <c r="AES299" s="90"/>
      <c r="AET299" s="90"/>
      <c r="AEU299" s="90"/>
      <c r="AEV299" s="90"/>
      <c r="AEW299" s="90"/>
      <c r="AEX299" s="90"/>
      <c r="AEY299" s="90"/>
      <c r="AEZ299" s="90"/>
      <c r="AFA299" s="90"/>
      <c r="AFB299" s="90"/>
      <c r="AFC299" s="90"/>
      <c r="AFD299" s="90"/>
      <c r="AFE299" s="90"/>
      <c r="AFF299" s="90"/>
      <c r="AFG299" s="90"/>
      <c r="AFH299" s="90"/>
      <c r="AFI299" s="90"/>
      <c r="AFJ299" s="90"/>
      <c r="AFK299" s="90"/>
      <c r="AFL299" s="90"/>
      <c r="AFM299" s="90"/>
      <c r="AFN299" s="90"/>
      <c r="AFO299" s="90"/>
      <c r="AFP299" s="90"/>
      <c r="AFQ299" s="90"/>
      <c r="AFR299" s="90"/>
      <c r="AFS299" s="90"/>
      <c r="AFT299" s="90"/>
      <c r="AFU299" s="90"/>
      <c r="AFV299" s="90"/>
      <c r="AFW299" s="90"/>
      <c r="AFX299" s="90"/>
      <c r="AFY299" s="90"/>
      <c r="AFZ299" s="90"/>
      <c r="AGA299" s="90"/>
      <c r="AGB299" s="90"/>
      <c r="AGC299" s="90"/>
      <c r="AGD299" s="90"/>
      <c r="AGE299" s="90"/>
      <c r="AGF299" s="90"/>
      <c r="AGG299" s="90"/>
      <c r="AGH299" s="90"/>
      <c r="AGI299" s="90"/>
      <c r="AGJ299" s="90"/>
      <c r="AGK299" s="90"/>
      <c r="AGL299" s="90"/>
      <c r="AGM299" s="90"/>
      <c r="AGN299" s="90"/>
      <c r="AGO299" s="90"/>
      <c r="AGP299" s="90"/>
      <c r="AGQ299" s="90"/>
      <c r="AGR299" s="90"/>
      <c r="AGS299" s="90"/>
      <c r="AGT299" s="90"/>
      <c r="AGU299" s="90"/>
      <c r="AGV299" s="90"/>
      <c r="AGW299" s="90"/>
      <c r="AGX299" s="90"/>
      <c r="AGY299" s="90"/>
      <c r="AGZ299" s="90"/>
      <c r="AHA299" s="90"/>
      <c r="AHB299" s="90"/>
      <c r="AHC299" s="90"/>
      <c r="AHD299" s="90"/>
      <c r="AHE299" s="90"/>
      <c r="AHF299" s="90"/>
      <c r="AHG299" s="90"/>
      <c r="AHH299" s="90"/>
      <c r="AHI299" s="90"/>
      <c r="AHJ299" s="90"/>
      <c r="AHK299" s="90"/>
      <c r="AHL299" s="90"/>
      <c r="AHM299" s="90"/>
      <c r="AHN299" s="90"/>
      <c r="AHO299" s="90"/>
      <c r="AHP299" s="90"/>
      <c r="AHQ299" s="90"/>
      <c r="AHR299" s="90"/>
      <c r="AHS299" s="90"/>
      <c r="AHT299" s="90"/>
      <c r="AHU299" s="90"/>
      <c r="AHV299" s="90"/>
      <c r="AHW299" s="90"/>
      <c r="AHX299" s="90"/>
      <c r="AHY299" s="90"/>
      <c r="AHZ299" s="90"/>
      <c r="AIA299" s="90"/>
      <c r="AIB299" s="90"/>
      <c r="AIC299" s="90"/>
      <c r="AID299" s="90"/>
      <c r="AIE299" s="90"/>
      <c r="AIF299" s="90"/>
      <c r="AIG299" s="90"/>
      <c r="AIH299" s="90"/>
      <c r="AII299" s="90"/>
      <c r="AIJ299" s="90"/>
      <c r="AIK299" s="90"/>
      <c r="AIL299" s="90"/>
      <c r="AIM299" s="90"/>
      <c r="AIN299" s="90"/>
      <c r="AIO299" s="90"/>
      <c r="AIP299" s="90"/>
      <c r="AIQ299" s="90"/>
      <c r="AIR299" s="90"/>
      <c r="AIS299" s="90"/>
      <c r="AIT299" s="90"/>
      <c r="AIU299" s="90"/>
      <c r="AIV299" s="90"/>
      <c r="AIW299" s="90"/>
      <c r="AIX299" s="90"/>
      <c r="AIY299" s="90"/>
      <c r="AIZ299" s="90"/>
      <c r="AJA299" s="90"/>
      <c r="AJB299" s="90"/>
      <c r="AJC299" s="90"/>
      <c r="AJD299" s="90"/>
      <c r="AJE299" s="90"/>
      <c r="AJF299" s="90"/>
      <c r="AJG299" s="90"/>
      <c r="AJH299" s="90"/>
      <c r="AJI299" s="90"/>
      <c r="AJJ299" s="90"/>
      <c r="AJK299" s="90"/>
      <c r="AJL299" s="90"/>
      <c r="AJM299" s="90"/>
      <c r="AJN299" s="90"/>
      <c r="AJO299" s="90"/>
      <c r="AJP299" s="90"/>
      <c r="AJQ299" s="90"/>
      <c r="AJR299" s="90"/>
      <c r="AJS299" s="90"/>
      <c r="AJT299" s="90"/>
      <c r="AJU299" s="90"/>
      <c r="AJV299" s="90"/>
      <c r="AJW299" s="90"/>
      <c r="AJX299" s="90"/>
      <c r="AJY299" s="90"/>
      <c r="AJZ299" s="90"/>
      <c r="AKA299" s="90"/>
      <c r="AKB299" s="90"/>
      <c r="AKC299" s="90"/>
      <c r="AKD299" s="90"/>
      <c r="AKE299" s="90"/>
      <c r="AKF299" s="90"/>
      <c r="AKG299" s="90"/>
      <c r="AKH299" s="90"/>
      <c r="AKI299" s="90"/>
      <c r="AKJ299" s="90"/>
      <c r="AKK299" s="90"/>
      <c r="AKL299" s="90"/>
      <c r="AKM299" s="90"/>
      <c r="AKN299" s="90"/>
      <c r="AKO299" s="90"/>
      <c r="AKP299" s="90"/>
      <c r="AKQ299" s="90"/>
      <c r="AKR299" s="90"/>
      <c r="AKS299" s="90"/>
      <c r="AKT299" s="90"/>
      <c r="AKU299" s="90"/>
      <c r="AKV299" s="90"/>
      <c r="AKW299" s="90"/>
      <c r="AKX299" s="90"/>
      <c r="AKY299" s="90"/>
      <c r="AKZ299" s="90"/>
      <c r="ALA299" s="90"/>
      <c r="ALB299" s="90"/>
      <c r="ALC299" s="90"/>
      <c r="ALD299" s="90"/>
      <c r="ALE299" s="90"/>
      <c r="ALF299" s="90"/>
      <c r="ALG299" s="90"/>
      <c r="ALH299" s="90"/>
      <c r="ALI299" s="90"/>
      <c r="ALJ299" s="90"/>
      <c r="ALK299" s="90"/>
      <c r="ALL299" s="90"/>
      <c r="ALM299" s="90"/>
      <c r="ALN299" s="90"/>
      <c r="ALO299" s="90"/>
      <c r="ALP299" s="90"/>
      <c r="ALQ299" s="90"/>
      <c r="ALR299" s="90"/>
      <c r="ALS299" s="90"/>
      <c r="ALT299" s="90"/>
      <c r="ALU299" s="90"/>
      <c r="ALV299" s="90"/>
      <c r="ALW299" s="90"/>
      <c r="ALX299" s="90"/>
      <c r="ALY299" s="90"/>
      <c r="ALZ299" s="90"/>
      <c r="AMA299" s="90"/>
      <c r="AMB299" s="90"/>
      <c r="AMC299" s="90"/>
    </row>
    <row r="300" spans="1:1017">
      <c r="A300" s="98" t="s">
        <v>52</v>
      </c>
      <c r="B300" s="90" t="str">
        <f t="shared" si="1710"/>
        <v xml:space="preserve">Rajungan </v>
      </c>
      <c r="Q300" s="91">
        <f t="shared" si="1711"/>
        <v>0</v>
      </c>
      <c r="R300" s="91">
        <f t="shared" si="1712"/>
        <v>0</v>
      </c>
      <c r="AG300" s="91">
        <f t="shared" si="1713"/>
        <v>0</v>
      </c>
      <c r="AH300" s="91">
        <f t="shared" si="1714"/>
        <v>0</v>
      </c>
      <c r="AW300" s="91">
        <f t="shared" si="1715"/>
        <v>0</v>
      </c>
      <c r="AX300" s="91">
        <f t="shared" si="1716"/>
        <v>0</v>
      </c>
      <c r="BM300" s="91">
        <f t="shared" si="1717"/>
        <v>0</v>
      </c>
      <c r="BN300" s="91">
        <f t="shared" si="1718"/>
        <v>0</v>
      </c>
      <c r="CC300" s="91">
        <f t="shared" si="1719"/>
        <v>0</v>
      </c>
      <c r="CD300" s="91">
        <f t="shared" si="1720"/>
        <v>0</v>
      </c>
      <c r="CS300" s="91">
        <f t="shared" si="1721"/>
        <v>0</v>
      </c>
      <c r="CT300" s="91">
        <f t="shared" si="1722"/>
        <v>0</v>
      </c>
      <c r="DI300" s="91">
        <f t="shared" si="1723"/>
        <v>0</v>
      </c>
      <c r="DJ300" s="91">
        <f t="shared" si="1724"/>
        <v>0</v>
      </c>
      <c r="DY300" s="91">
        <f t="shared" si="1725"/>
        <v>0</v>
      </c>
      <c r="DZ300" s="91">
        <f t="shared" si="1726"/>
        <v>0</v>
      </c>
      <c r="EO300" s="91">
        <f t="shared" si="1727"/>
        <v>0</v>
      </c>
      <c r="EP300" s="91">
        <f t="shared" si="1728"/>
        <v>0</v>
      </c>
      <c r="FE300" s="91">
        <f t="shared" si="1729"/>
        <v>0</v>
      </c>
      <c r="FF300" s="91">
        <f t="shared" si="1730"/>
        <v>0</v>
      </c>
      <c r="FU300" s="91">
        <f t="shared" si="1731"/>
        <v>0</v>
      </c>
      <c r="FV300" s="91">
        <f t="shared" si="1732"/>
        <v>0</v>
      </c>
      <c r="GK300" s="91">
        <f t="shared" si="1733"/>
        <v>0</v>
      </c>
      <c r="GL300" s="91">
        <f t="shared" si="1734"/>
        <v>0</v>
      </c>
      <c r="HA300" s="91">
        <f t="shared" si="1735"/>
        <v>0</v>
      </c>
      <c r="HB300" s="91">
        <f t="shared" si="1736"/>
        <v>0</v>
      </c>
      <c r="HQ300" s="91">
        <f t="shared" si="1737"/>
        <v>0</v>
      </c>
      <c r="HR300" s="91">
        <f t="shared" si="1738"/>
        <v>0</v>
      </c>
      <c r="IG300" s="91">
        <f t="shared" si="1739"/>
        <v>0</v>
      </c>
      <c r="IH300" s="91">
        <f t="shared" si="1740"/>
        <v>0</v>
      </c>
      <c r="IW300" s="91">
        <f t="shared" si="1741"/>
        <v>0</v>
      </c>
      <c r="IX300" s="91">
        <f t="shared" si="1742"/>
        <v>0</v>
      </c>
      <c r="JM300" s="91">
        <f t="shared" si="1743"/>
        <v>0</v>
      </c>
      <c r="JN300" s="91">
        <f t="shared" si="1744"/>
        <v>0</v>
      </c>
      <c r="KC300" s="91">
        <f t="shared" si="1745"/>
        <v>0</v>
      </c>
      <c r="KD300" s="91">
        <f t="shared" si="1746"/>
        <v>0</v>
      </c>
      <c r="KS300" s="91">
        <f t="shared" si="1747"/>
        <v>0</v>
      </c>
      <c r="KT300" s="91">
        <f t="shared" si="1748"/>
        <v>0</v>
      </c>
      <c r="LI300" s="91">
        <f t="shared" si="1749"/>
        <v>0</v>
      </c>
      <c r="LJ300" s="91">
        <f t="shared" si="1750"/>
        <v>0</v>
      </c>
      <c r="LY300" s="91">
        <f t="shared" si="1751"/>
        <v>0</v>
      </c>
      <c r="LZ300" s="91">
        <f t="shared" si="1752"/>
        <v>0</v>
      </c>
      <c r="MO300" s="91">
        <f t="shared" si="1753"/>
        <v>0</v>
      </c>
      <c r="MP300" s="91">
        <f t="shared" si="1754"/>
        <v>0</v>
      </c>
      <c r="NE300" s="91">
        <f t="shared" si="1755"/>
        <v>0</v>
      </c>
      <c r="NF300" s="91">
        <f t="shared" si="1756"/>
        <v>0</v>
      </c>
      <c r="NU300" s="91">
        <f t="shared" si="1757"/>
        <v>0</v>
      </c>
      <c r="NV300" s="91">
        <f t="shared" si="1758"/>
        <v>0</v>
      </c>
      <c r="OK300" s="91">
        <f t="shared" si="1759"/>
        <v>0</v>
      </c>
      <c r="OL300" s="91">
        <f t="shared" si="1760"/>
        <v>0</v>
      </c>
      <c r="PA300" s="91">
        <f t="shared" si="1761"/>
        <v>0</v>
      </c>
      <c r="PB300" s="91">
        <f t="shared" si="1762"/>
        <v>0</v>
      </c>
      <c r="PQ300" s="91">
        <f t="shared" si="1763"/>
        <v>0</v>
      </c>
      <c r="PR300" s="91">
        <f t="shared" si="1764"/>
        <v>0</v>
      </c>
      <c r="QG300" s="91">
        <f t="shared" si="1765"/>
        <v>0</v>
      </c>
      <c r="QH300" s="91">
        <f t="shared" si="1766"/>
        <v>0</v>
      </c>
      <c r="QW300" s="91">
        <f t="shared" si="1767"/>
        <v>0</v>
      </c>
      <c r="QX300" s="91">
        <f t="shared" si="1768"/>
        <v>0</v>
      </c>
      <c r="RM300" s="91">
        <f t="shared" si="1769"/>
        <v>0</v>
      </c>
      <c r="RN300" s="91">
        <f t="shared" si="1770"/>
        <v>0</v>
      </c>
      <c r="SC300" s="91">
        <f t="shared" si="1771"/>
        <v>0</v>
      </c>
      <c r="SD300" s="91">
        <f t="shared" si="1772"/>
        <v>0</v>
      </c>
      <c r="SS300" s="91">
        <f t="shared" si="1773"/>
        <v>0</v>
      </c>
      <c r="ST300" s="91">
        <f t="shared" si="1774"/>
        <v>0</v>
      </c>
      <c r="TI300" s="91">
        <f t="shared" si="1775"/>
        <v>0</v>
      </c>
      <c r="TJ300" s="91">
        <f t="shared" si="1776"/>
        <v>0</v>
      </c>
      <c r="TY300" s="91">
        <f t="shared" si="1777"/>
        <v>0</v>
      </c>
      <c r="TZ300" s="91">
        <f t="shared" si="1778"/>
        <v>0</v>
      </c>
      <c r="UO300" s="91">
        <f t="shared" si="1779"/>
        <v>0</v>
      </c>
      <c r="UP300" s="91">
        <f t="shared" si="1780"/>
        <v>0</v>
      </c>
      <c r="VE300" s="91">
        <f t="shared" si="1781"/>
        <v>0</v>
      </c>
      <c r="VF300" s="91">
        <f t="shared" si="1782"/>
        <v>0</v>
      </c>
      <c r="VU300" s="91">
        <f t="shared" si="1783"/>
        <v>0</v>
      </c>
      <c r="VV300" s="91">
        <f t="shared" si="1784"/>
        <v>0</v>
      </c>
      <c r="WK300" s="91">
        <f t="shared" si="1785"/>
        <v>0</v>
      </c>
      <c r="WL300" s="91">
        <f t="shared" si="1786"/>
        <v>0</v>
      </c>
      <c r="WM300" s="89"/>
      <c r="WN300" s="87">
        <f t="shared" si="1787"/>
        <v>0</v>
      </c>
      <c r="WO300" s="87">
        <f t="shared" si="1788"/>
        <v>0</v>
      </c>
      <c r="WP300" s="87">
        <f t="shared" si="1789"/>
        <v>0</v>
      </c>
      <c r="WQ300" s="87">
        <f t="shared" si="1790"/>
        <v>0</v>
      </c>
      <c r="WR300" s="87">
        <f t="shared" si="1791"/>
        <v>0</v>
      </c>
      <c r="WS300" s="87">
        <f t="shared" si="1792"/>
        <v>0</v>
      </c>
      <c r="WT300" s="87">
        <f t="shared" si="1793"/>
        <v>0</v>
      </c>
      <c r="WU300" s="87">
        <f t="shared" si="1794"/>
        <v>0</v>
      </c>
      <c r="WV300" s="87">
        <f t="shared" si="1795"/>
        <v>0</v>
      </c>
      <c r="WW300" s="87">
        <f t="shared" si="1796"/>
        <v>0</v>
      </c>
      <c r="WX300" s="87">
        <f t="shared" si="1797"/>
        <v>0</v>
      </c>
      <c r="WY300" s="87">
        <f t="shared" si="1798"/>
        <v>0</v>
      </c>
      <c r="WZ300" s="87">
        <f t="shared" si="1799"/>
        <v>0</v>
      </c>
      <c r="XA300" s="87">
        <f t="shared" si="1800"/>
        <v>0</v>
      </c>
      <c r="XB300" s="92">
        <f t="shared" si="1801"/>
        <v>0</v>
      </c>
      <c r="XC300" s="92">
        <f t="shared" si="1802"/>
        <v>0</v>
      </c>
      <c r="XD300" s="89"/>
      <c r="XE300" s="92"/>
      <c r="XF300" s="92"/>
      <c r="XG300" s="89"/>
      <c r="XH300" s="92"/>
      <c r="XI300" s="92"/>
      <c r="XJ300" s="89"/>
      <c r="XK300" s="87"/>
      <c r="XL300" s="87"/>
      <c r="XM300" s="87"/>
      <c r="XN300" s="87"/>
      <c r="XO300" s="87"/>
      <c r="XP300" s="87"/>
      <c r="XQ300" s="87"/>
      <c r="XR300" s="92">
        <f t="shared" ca="1" si="1803"/>
        <v>0</v>
      </c>
      <c r="XS300" s="89"/>
      <c r="XT300" s="87"/>
      <c r="XU300" s="87"/>
      <c r="XV300" s="87"/>
      <c r="XW300" s="87"/>
      <c r="XX300" s="87"/>
      <c r="XY300" s="87"/>
      <c r="XZ300" s="87"/>
      <c r="YA300" s="92">
        <f t="shared" ca="1" si="1804"/>
        <v>0</v>
      </c>
      <c r="YB300" s="90"/>
      <c r="YC300" s="90"/>
      <c r="YD300" s="90"/>
      <c r="YE300" s="90"/>
      <c r="YF300" s="90"/>
      <c r="YG300" s="90"/>
      <c r="YH300" s="90"/>
      <c r="YI300" s="90"/>
      <c r="YJ300" s="90"/>
      <c r="YK300" s="90"/>
      <c r="YL300" s="90"/>
      <c r="YM300" s="90"/>
      <c r="YN300" s="90"/>
      <c r="YO300" s="90"/>
      <c r="YP300" s="90"/>
      <c r="YQ300" s="90"/>
      <c r="YR300" s="90"/>
      <c r="YS300" s="90"/>
      <c r="YT300" s="90"/>
      <c r="YU300" s="90"/>
      <c r="YV300" s="90"/>
      <c r="YW300" s="90"/>
      <c r="YX300" s="90"/>
      <c r="YY300" s="90"/>
      <c r="YZ300" s="90"/>
      <c r="ZA300" s="90"/>
      <c r="ZB300" s="90"/>
      <c r="ZC300" s="90"/>
      <c r="ZD300" s="90"/>
      <c r="ZE300" s="90"/>
      <c r="ZF300" s="90"/>
      <c r="ZG300" s="90"/>
      <c r="ZH300" s="90"/>
      <c r="ZI300" s="90"/>
      <c r="ZJ300" s="90"/>
      <c r="ZK300" s="90"/>
      <c r="ZL300" s="90"/>
      <c r="ZM300" s="90"/>
      <c r="ZN300" s="90"/>
      <c r="ZO300" s="90"/>
      <c r="ZP300" s="90"/>
      <c r="ZQ300" s="90"/>
      <c r="ZR300" s="90"/>
      <c r="ZS300" s="90"/>
      <c r="ZT300" s="90"/>
      <c r="ZU300" s="90"/>
      <c r="ZV300" s="90"/>
      <c r="ZW300" s="90"/>
      <c r="ZX300" s="90"/>
      <c r="ZY300" s="90"/>
      <c r="ZZ300" s="90"/>
      <c r="AAA300" s="90"/>
      <c r="AAB300" s="90"/>
      <c r="AAC300" s="90"/>
      <c r="AAD300" s="90"/>
      <c r="AAE300" s="90"/>
      <c r="AAF300" s="90"/>
      <c r="AAG300" s="90"/>
      <c r="AAH300" s="90"/>
      <c r="AAI300" s="90"/>
      <c r="AAJ300" s="90"/>
      <c r="AAK300" s="90"/>
      <c r="AAL300" s="90"/>
      <c r="AAM300" s="90"/>
      <c r="AAN300" s="90"/>
      <c r="AAO300" s="90"/>
      <c r="AAP300" s="90"/>
      <c r="AAQ300" s="90"/>
      <c r="AAR300" s="90"/>
      <c r="AAS300" s="90"/>
      <c r="AAT300" s="90"/>
      <c r="AAU300" s="90"/>
      <c r="AAV300" s="90"/>
      <c r="AAW300" s="90"/>
      <c r="AAX300" s="90"/>
      <c r="AAY300" s="90"/>
      <c r="AAZ300" s="90"/>
      <c r="ABA300" s="90"/>
      <c r="ABB300" s="90"/>
      <c r="ABC300" s="90"/>
      <c r="ABD300" s="90"/>
      <c r="ABE300" s="90"/>
      <c r="ABF300" s="90"/>
      <c r="ABG300" s="90"/>
      <c r="ABH300" s="90"/>
      <c r="ABI300" s="90"/>
      <c r="ABJ300" s="90"/>
      <c r="ABK300" s="90"/>
      <c r="ABL300" s="90"/>
      <c r="ABM300" s="90"/>
      <c r="ABN300" s="90"/>
      <c r="ABO300" s="90"/>
      <c r="ABP300" s="90"/>
      <c r="ABQ300" s="90"/>
      <c r="ABR300" s="90"/>
      <c r="ABS300" s="90"/>
      <c r="ABT300" s="90"/>
      <c r="ABU300" s="90"/>
      <c r="ABV300" s="90"/>
      <c r="ABW300" s="90"/>
      <c r="ABX300" s="90"/>
      <c r="ABY300" s="90"/>
      <c r="ABZ300" s="90"/>
      <c r="ACA300" s="90"/>
      <c r="ACB300" s="90"/>
      <c r="ACC300" s="90"/>
      <c r="ACD300" s="90"/>
      <c r="ACE300" s="90"/>
      <c r="ACF300" s="90"/>
      <c r="ACG300" s="90"/>
      <c r="ACH300" s="90"/>
      <c r="ACI300" s="90"/>
      <c r="ACJ300" s="90"/>
      <c r="ACK300" s="90"/>
      <c r="ACL300" s="90"/>
      <c r="ACM300" s="90"/>
      <c r="ACN300" s="90"/>
      <c r="ACO300" s="90"/>
      <c r="ACP300" s="90"/>
      <c r="ACQ300" s="90"/>
      <c r="ACR300" s="90"/>
      <c r="ACS300" s="90"/>
      <c r="ACT300" s="90"/>
      <c r="ACU300" s="90"/>
      <c r="ACV300" s="90"/>
      <c r="ACW300" s="90"/>
      <c r="ACX300" s="90"/>
      <c r="ACY300" s="90"/>
      <c r="ACZ300" s="90"/>
      <c r="ADA300" s="90"/>
      <c r="ADB300" s="90"/>
      <c r="ADC300" s="90"/>
      <c r="ADD300" s="90"/>
      <c r="ADE300" s="90"/>
      <c r="ADF300" s="90"/>
      <c r="ADG300" s="90"/>
      <c r="ADH300" s="90"/>
      <c r="ADI300" s="90"/>
      <c r="ADJ300" s="90"/>
      <c r="ADK300" s="90"/>
      <c r="ADL300" s="90"/>
      <c r="ADM300" s="90"/>
      <c r="ADN300" s="90"/>
      <c r="ADO300" s="90"/>
      <c r="ADP300" s="90"/>
      <c r="ADQ300" s="90"/>
      <c r="ADR300" s="90"/>
      <c r="ADS300" s="90"/>
      <c r="ADT300" s="90"/>
      <c r="ADU300" s="90"/>
      <c r="ADV300" s="90"/>
      <c r="ADW300" s="90"/>
      <c r="ADX300" s="90"/>
      <c r="ADY300" s="90"/>
      <c r="ADZ300" s="90"/>
      <c r="AEA300" s="90"/>
      <c r="AEB300" s="90"/>
      <c r="AEC300" s="90"/>
      <c r="AED300" s="90"/>
      <c r="AEE300" s="90"/>
      <c r="AEF300" s="90"/>
      <c r="AEG300" s="90"/>
      <c r="AEH300" s="90"/>
      <c r="AEI300" s="90"/>
      <c r="AEJ300" s="90"/>
      <c r="AEK300" s="90"/>
      <c r="AEL300" s="90"/>
      <c r="AEM300" s="90"/>
      <c r="AEN300" s="90"/>
      <c r="AEO300" s="90"/>
      <c r="AEP300" s="90"/>
      <c r="AEQ300" s="90"/>
      <c r="AER300" s="90"/>
      <c r="AES300" s="90"/>
      <c r="AET300" s="90"/>
      <c r="AEU300" s="90"/>
      <c r="AEV300" s="90"/>
      <c r="AEW300" s="90"/>
      <c r="AEX300" s="90"/>
      <c r="AEY300" s="90"/>
      <c r="AEZ300" s="90"/>
      <c r="AFA300" s="90"/>
      <c r="AFB300" s="90"/>
      <c r="AFC300" s="90"/>
      <c r="AFD300" s="90"/>
      <c r="AFE300" s="90"/>
      <c r="AFF300" s="90"/>
      <c r="AFG300" s="90"/>
      <c r="AFH300" s="90"/>
      <c r="AFI300" s="90"/>
      <c r="AFJ300" s="90"/>
      <c r="AFK300" s="90"/>
      <c r="AFL300" s="90"/>
      <c r="AFM300" s="90"/>
      <c r="AFN300" s="90"/>
      <c r="AFO300" s="90"/>
      <c r="AFP300" s="90"/>
      <c r="AFQ300" s="90"/>
      <c r="AFR300" s="90"/>
      <c r="AFS300" s="90"/>
      <c r="AFT300" s="90"/>
      <c r="AFU300" s="90"/>
      <c r="AFV300" s="90"/>
      <c r="AFW300" s="90"/>
      <c r="AFX300" s="90"/>
      <c r="AFY300" s="90"/>
      <c r="AFZ300" s="90"/>
      <c r="AGA300" s="90"/>
      <c r="AGB300" s="90"/>
      <c r="AGC300" s="90"/>
      <c r="AGD300" s="90"/>
      <c r="AGE300" s="90"/>
      <c r="AGF300" s="90"/>
      <c r="AGG300" s="90"/>
      <c r="AGH300" s="90"/>
      <c r="AGI300" s="90"/>
      <c r="AGJ300" s="90"/>
      <c r="AGK300" s="90"/>
      <c r="AGL300" s="90"/>
      <c r="AGM300" s="90"/>
      <c r="AGN300" s="90"/>
      <c r="AGO300" s="90"/>
      <c r="AGP300" s="90"/>
      <c r="AGQ300" s="90"/>
      <c r="AGR300" s="90"/>
      <c r="AGS300" s="90"/>
      <c r="AGT300" s="90"/>
      <c r="AGU300" s="90"/>
      <c r="AGV300" s="90"/>
      <c r="AGW300" s="90"/>
      <c r="AGX300" s="90"/>
      <c r="AGY300" s="90"/>
      <c r="AGZ300" s="90"/>
      <c r="AHA300" s="90"/>
      <c r="AHB300" s="90"/>
      <c r="AHC300" s="90"/>
      <c r="AHD300" s="90"/>
      <c r="AHE300" s="90"/>
      <c r="AHF300" s="90"/>
      <c r="AHG300" s="90"/>
      <c r="AHH300" s="90"/>
      <c r="AHI300" s="90"/>
      <c r="AHJ300" s="90"/>
      <c r="AHK300" s="90"/>
      <c r="AHL300" s="90"/>
      <c r="AHM300" s="90"/>
      <c r="AHN300" s="90"/>
      <c r="AHO300" s="90"/>
      <c r="AHP300" s="90"/>
      <c r="AHQ300" s="90"/>
      <c r="AHR300" s="90"/>
      <c r="AHS300" s="90"/>
      <c r="AHT300" s="90"/>
      <c r="AHU300" s="90"/>
      <c r="AHV300" s="90"/>
      <c r="AHW300" s="90"/>
      <c r="AHX300" s="90"/>
      <c r="AHY300" s="90"/>
      <c r="AHZ300" s="90"/>
      <c r="AIA300" s="90"/>
      <c r="AIB300" s="90"/>
      <c r="AIC300" s="90"/>
      <c r="AID300" s="90"/>
      <c r="AIE300" s="90"/>
      <c r="AIF300" s="90"/>
      <c r="AIG300" s="90"/>
      <c r="AIH300" s="90"/>
      <c r="AII300" s="90"/>
      <c r="AIJ300" s="90"/>
      <c r="AIK300" s="90"/>
      <c r="AIL300" s="90"/>
      <c r="AIM300" s="90"/>
      <c r="AIN300" s="90"/>
      <c r="AIO300" s="90"/>
      <c r="AIP300" s="90"/>
      <c r="AIQ300" s="90"/>
      <c r="AIR300" s="90"/>
      <c r="AIS300" s="90"/>
      <c r="AIT300" s="90"/>
      <c r="AIU300" s="90"/>
      <c r="AIV300" s="90"/>
      <c r="AIW300" s="90"/>
      <c r="AIX300" s="90"/>
      <c r="AIY300" s="90"/>
      <c r="AIZ300" s="90"/>
      <c r="AJA300" s="90"/>
      <c r="AJB300" s="90"/>
      <c r="AJC300" s="90"/>
      <c r="AJD300" s="90"/>
      <c r="AJE300" s="90"/>
      <c r="AJF300" s="90"/>
      <c r="AJG300" s="90"/>
      <c r="AJH300" s="90"/>
      <c r="AJI300" s="90"/>
      <c r="AJJ300" s="90"/>
      <c r="AJK300" s="90"/>
      <c r="AJL300" s="90"/>
      <c r="AJM300" s="90"/>
      <c r="AJN300" s="90"/>
      <c r="AJO300" s="90"/>
      <c r="AJP300" s="90"/>
      <c r="AJQ300" s="90"/>
      <c r="AJR300" s="90"/>
      <c r="AJS300" s="90"/>
      <c r="AJT300" s="90"/>
      <c r="AJU300" s="90"/>
      <c r="AJV300" s="90"/>
      <c r="AJW300" s="90"/>
      <c r="AJX300" s="90"/>
      <c r="AJY300" s="90"/>
      <c r="AJZ300" s="90"/>
      <c r="AKA300" s="90"/>
      <c r="AKB300" s="90"/>
      <c r="AKC300" s="90"/>
      <c r="AKD300" s="90"/>
      <c r="AKE300" s="90"/>
      <c r="AKF300" s="90"/>
      <c r="AKG300" s="90"/>
      <c r="AKH300" s="90"/>
      <c r="AKI300" s="90"/>
      <c r="AKJ300" s="90"/>
      <c r="AKK300" s="90"/>
      <c r="AKL300" s="90"/>
      <c r="AKM300" s="90"/>
      <c r="AKN300" s="90"/>
      <c r="AKO300" s="90"/>
      <c r="AKP300" s="90"/>
      <c r="AKQ300" s="90"/>
      <c r="AKR300" s="90"/>
      <c r="AKS300" s="90"/>
      <c r="AKT300" s="90"/>
      <c r="AKU300" s="90"/>
      <c r="AKV300" s="90"/>
      <c r="AKW300" s="90"/>
      <c r="AKX300" s="90"/>
      <c r="AKY300" s="90"/>
      <c r="AKZ300" s="90"/>
      <c r="ALA300" s="90"/>
      <c r="ALB300" s="90"/>
      <c r="ALC300" s="90"/>
      <c r="ALD300" s="90"/>
      <c r="ALE300" s="90"/>
      <c r="ALF300" s="90"/>
      <c r="ALG300" s="90"/>
      <c r="ALH300" s="90"/>
      <c r="ALI300" s="90"/>
      <c r="ALJ300" s="90"/>
      <c r="ALK300" s="90"/>
      <c r="ALL300" s="90"/>
      <c r="ALM300" s="90"/>
      <c r="ALN300" s="90"/>
      <c r="ALO300" s="90"/>
      <c r="ALP300" s="90"/>
      <c r="ALQ300" s="90"/>
      <c r="ALR300" s="90"/>
      <c r="ALS300" s="90"/>
      <c r="ALT300" s="90"/>
      <c r="ALU300" s="90"/>
      <c r="ALV300" s="90"/>
      <c r="ALW300" s="90"/>
      <c r="ALX300" s="90"/>
      <c r="ALY300" s="90"/>
      <c r="ALZ300" s="90"/>
      <c r="AMA300" s="90"/>
      <c r="AMB300" s="90"/>
      <c r="AMC300" s="90"/>
    </row>
    <row r="301" spans="1:1017">
      <c r="A301" s="98" t="s">
        <v>52</v>
      </c>
      <c r="B301" s="90" t="str">
        <f t="shared" si="1710"/>
        <v>Tawes</v>
      </c>
      <c r="Q301" s="91">
        <f t="shared" si="1711"/>
        <v>0</v>
      </c>
      <c r="R301" s="91">
        <f t="shared" si="1712"/>
        <v>0</v>
      </c>
      <c r="Y301" s="98">
        <v>1410</v>
      </c>
      <c r="Z301" s="98">
        <v>23970</v>
      </c>
      <c r="AG301" s="91">
        <f t="shared" si="1713"/>
        <v>1410</v>
      </c>
      <c r="AH301" s="91">
        <f t="shared" si="1714"/>
        <v>23970</v>
      </c>
      <c r="AW301" s="91">
        <f t="shared" si="1715"/>
        <v>0</v>
      </c>
      <c r="AX301" s="91">
        <f t="shared" si="1716"/>
        <v>0</v>
      </c>
      <c r="BK301" s="98">
        <v>445</v>
      </c>
      <c r="BL301" s="98">
        <v>4450</v>
      </c>
      <c r="BM301" s="91">
        <f t="shared" si="1717"/>
        <v>445</v>
      </c>
      <c r="BN301" s="91">
        <f t="shared" si="1718"/>
        <v>4450</v>
      </c>
      <c r="BU301" s="98">
        <v>58</v>
      </c>
      <c r="BV301" s="98">
        <v>1160</v>
      </c>
      <c r="CC301" s="91">
        <f t="shared" si="1719"/>
        <v>58</v>
      </c>
      <c r="CD301" s="91">
        <f t="shared" si="1720"/>
        <v>1160</v>
      </c>
      <c r="CK301" s="98">
        <v>369272</v>
      </c>
      <c r="CL301" s="98">
        <v>4431264</v>
      </c>
      <c r="CS301" s="91">
        <f t="shared" si="1721"/>
        <v>369272</v>
      </c>
      <c r="CT301" s="91">
        <f t="shared" si="1722"/>
        <v>4431264</v>
      </c>
      <c r="DI301" s="91">
        <f t="shared" si="1723"/>
        <v>0</v>
      </c>
      <c r="DJ301" s="91">
        <f t="shared" si="1724"/>
        <v>0</v>
      </c>
      <c r="DY301" s="91">
        <f t="shared" si="1725"/>
        <v>0</v>
      </c>
      <c r="DZ301" s="91">
        <f t="shared" si="1726"/>
        <v>0</v>
      </c>
      <c r="EG301" s="98">
        <v>90</v>
      </c>
      <c r="EH301" s="98">
        <v>990</v>
      </c>
      <c r="EO301" s="91">
        <f t="shared" si="1727"/>
        <v>90</v>
      </c>
      <c r="EP301" s="91">
        <f t="shared" si="1728"/>
        <v>990</v>
      </c>
      <c r="EW301" s="98">
        <v>20258</v>
      </c>
      <c r="EX301" s="98">
        <v>486192</v>
      </c>
      <c r="FE301" s="91">
        <f t="shared" si="1729"/>
        <v>20258</v>
      </c>
      <c r="FF301" s="91">
        <f t="shared" si="1730"/>
        <v>486192</v>
      </c>
      <c r="FM301" s="98">
        <v>90</v>
      </c>
      <c r="FN301" s="98">
        <v>1800</v>
      </c>
      <c r="FU301" s="91">
        <f t="shared" si="1731"/>
        <v>90</v>
      </c>
      <c r="FV301" s="91">
        <f t="shared" si="1732"/>
        <v>1800</v>
      </c>
      <c r="GC301" s="98">
        <v>250</v>
      </c>
      <c r="GD301" s="98">
        <v>3125</v>
      </c>
      <c r="GK301" s="91">
        <f t="shared" si="1733"/>
        <v>250</v>
      </c>
      <c r="GL301" s="91">
        <f t="shared" si="1734"/>
        <v>3125</v>
      </c>
      <c r="HA301" s="91">
        <f t="shared" si="1735"/>
        <v>0</v>
      </c>
      <c r="HB301" s="91">
        <f t="shared" si="1736"/>
        <v>0</v>
      </c>
      <c r="HQ301" s="91">
        <f t="shared" si="1737"/>
        <v>0</v>
      </c>
      <c r="HR301" s="91">
        <f t="shared" si="1738"/>
        <v>0</v>
      </c>
      <c r="IG301" s="91">
        <f t="shared" si="1739"/>
        <v>0</v>
      </c>
      <c r="IH301" s="91">
        <f t="shared" si="1740"/>
        <v>0</v>
      </c>
      <c r="IW301" s="91">
        <f t="shared" si="1741"/>
        <v>0</v>
      </c>
      <c r="IX301" s="91">
        <f t="shared" si="1742"/>
        <v>0</v>
      </c>
      <c r="JM301" s="91">
        <f t="shared" si="1743"/>
        <v>0</v>
      </c>
      <c r="JN301" s="91">
        <f t="shared" si="1744"/>
        <v>0</v>
      </c>
      <c r="KC301" s="91">
        <f t="shared" si="1745"/>
        <v>0</v>
      </c>
      <c r="KD301" s="91">
        <f t="shared" si="1746"/>
        <v>0</v>
      </c>
      <c r="KS301" s="91">
        <f t="shared" si="1747"/>
        <v>0</v>
      </c>
      <c r="KT301" s="91">
        <f t="shared" si="1748"/>
        <v>0</v>
      </c>
      <c r="LI301" s="91">
        <f t="shared" si="1749"/>
        <v>0</v>
      </c>
      <c r="LJ301" s="91">
        <f t="shared" si="1750"/>
        <v>0</v>
      </c>
      <c r="LY301" s="91">
        <f t="shared" si="1751"/>
        <v>0</v>
      </c>
      <c r="LZ301" s="91">
        <f t="shared" si="1752"/>
        <v>0</v>
      </c>
      <c r="MO301" s="91">
        <f t="shared" si="1753"/>
        <v>0</v>
      </c>
      <c r="MP301" s="91">
        <f t="shared" si="1754"/>
        <v>0</v>
      </c>
      <c r="NE301" s="91">
        <f t="shared" si="1755"/>
        <v>0</v>
      </c>
      <c r="NF301" s="91">
        <f t="shared" si="1756"/>
        <v>0</v>
      </c>
      <c r="NQ301" s="98">
        <v>135</v>
      </c>
      <c r="NR301" s="98">
        <v>2160</v>
      </c>
      <c r="NU301" s="91">
        <f t="shared" si="1757"/>
        <v>135</v>
      </c>
      <c r="NV301" s="91">
        <f t="shared" si="1758"/>
        <v>2160</v>
      </c>
      <c r="OK301" s="91">
        <f t="shared" si="1759"/>
        <v>0</v>
      </c>
      <c r="OL301" s="91">
        <f t="shared" si="1760"/>
        <v>0</v>
      </c>
      <c r="PA301" s="91">
        <f t="shared" si="1761"/>
        <v>0</v>
      </c>
      <c r="PB301" s="91">
        <f t="shared" si="1762"/>
        <v>0</v>
      </c>
      <c r="PQ301" s="91">
        <f t="shared" si="1763"/>
        <v>0</v>
      </c>
      <c r="PR301" s="91">
        <f t="shared" si="1764"/>
        <v>0</v>
      </c>
      <c r="PY301" s="98">
        <v>64240</v>
      </c>
      <c r="PZ301" s="98">
        <v>963600</v>
      </c>
      <c r="QA301" s="98">
        <v>21020</v>
      </c>
      <c r="QB301" s="98">
        <v>315300</v>
      </c>
      <c r="QG301" s="91">
        <f t="shared" si="1765"/>
        <v>85260</v>
      </c>
      <c r="QH301" s="91">
        <f t="shared" si="1766"/>
        <v>1278900</v>
      </c>
      <c r="QW301" s="91">
        <f t="shared" si="1767"/>
        <v>0</v>
      </c>
      <c r="QX301" s="91">
        <f t="shared" si="1768"/>
        <v>0</v>
      </c>
      <c r="RM301" s="91">
        <f t="shared" si="1769"/>
        <v>0</v>
      </c>
      <c r="RN301" s="91">
        <f t="shared" si="1770"/>
        <v>0</v>
      </c>
      <c r="SC301" s="91">
        <f t="shared" si="1771"/>
        <v>0</v>
      </c>
      <c r="SD301" s="91">
        <f t="shared" si="1772"/>
        <v>0</v>
      </c>
      <c r="SS301" s="91">
        <f t="shared" si="1773"/>
        <v>0</v>
      </c>
      <c r="ST301" s="91">
        <f t="shared" si="1774"/>
        <v>0</v>
      </c>
      <c r="TI301" s="91">
        <f t="shared" si="1775"/>
        <v>0</v>
      </c>
      <c r="TJ301" s="91">
        <f t="shared" si="1776"/>
        <v>0</v>
      </c>
      <c r="TY301" s="91">
        <f t="shared" si="1777"/>
        <v>0</v>
      </c>
      <c r="TZ301" s="91">
        <f t="shared" si="1778"/>
        <v>0</v>
      </c>
      <c r="UO301" s="91">
        <f t="shared" si="1779"/>
        <v>0</v>
      </c>
      <c r="UP301" s="91">
        <f t="shared" si="1780"/>
        <v>0</v>
      </c>
      <c r="VE301" s="91">
        <f t="shared" si="1781"/>
        <v>0</v>
      </c>
      <c r="VF301" s="91">
        <f t="shared" si="1782"/>
        <v>0</v>
      </c>
      <c r="VU301" s="91">
        <f t="shared" si="1783"/>
        <v>0</v>
      </c>
      <c r="VV301" s="91">
        <f t="shared" si="1784"/>
        <v>0</v>
      </c>
      <c r="WK301" s="91">
        <f t="shared" si="1785"/>
        <v>0</v>
      </c>
      <c r="WL301" s="91">
        <f t="shared" si="1786"/>
        <v>0</v>
      </c>
      <c r="WM301" s="89"/>
      <c r="WN301" s="87">
        <f t="shared" si="1787"/>
        <v>0</v>
      </c>
      <c r="WO301" s="87">
        <f t="shared" si="1788"/>
        <v>0</v>
      </c>
      <c r="WP301" s="87">
        <f t="shared" si="1789"/>
        <v>0</v>
      </c>
      <c r="WQ301" s="87">
        <f t="shared" si="1790"/>
        <v>0</v>
      </c>
      <c r="WR301" s="87">
        <f t="shared" si="1791"/>
        <v>0</v>
      </c>
      <c r="WS301" s="87">
        <f t="shared" si="1792"/>
        <v>0</v>
      </c>
      <c r="WT301" s="87">
        <f t="shared" si="1793"/>
        <v>455668</v>
      </c>
      <c r="WU301" s="87">
        <f t="shared" si="1794"/>
        <v>5912101</v>
      </c>
      <c r="WV301" s="87">
        <f t="shared" si="1795"/>
        <v>21020</v>
      </c>
      <c r="WW301" s="87">
        <f t="shared" si="1796"/>
        <v>315300</v>
      </c>
      <c r="WX301" s="87">
        <f t="shared" si="1797"/>
        <v>135</v>
      </c>
      <c r="WY301" s="87">
        <f t="shared" si="1798"/>
        <v>2160</v>
      </c>
      <c r="WZ301" s="87">
        <f t="shared" si="1799"/>
        <v>445</v>
      </c>
      <c r="XA301" s="87">
        <f t="shared" si="1800"/>
        <v>4450</v>
      </c>
      <c r="XB301" s="92">
        <f t="shared" si="1801"/>
        <v>477268</v>
      </c>
      <c r="XC301" s="92">
        <f t="shared" si="1802"/>
        <v>6234011</v>
      </c>
      <c r="XD301" s="89"/>
      <c r="XE301" s="92"/>
      <c r="XF301" s="92"/>
      <c r="XG301" s="89"/>
      <c r="XH301" s="92"/>
      <c r="XI301" s="92"/>
      <c r="XJ301" s="89"/>
      <c r="XK301" s="87"/>
      <c r="XL301" s="87"/>
      <c r="XM301" s="87"/>
      <c r="XN301" s="87"/>
      <c r="XO301" s="87"/>
      <c r="XP301" s="87"/>
      <c r="XQ301" s="87"/>
      <c r="XR301" s="92">
        <f t="shared" ca="1" si="1803"/>
        <v>0</v>
      </c>
      <c r="XS301" s="89"/>
      <c r="XT301" s="87"/>
      <c r="XU301" s="87"/>
      <c r="XV301" s="87"/>
      <c r="XW301" s="87"/>
      <c r="XX301" s="87"/>
      <c r="XY301" s="87"/>
      <c r="XZ301" s="87"/>
      <c r="YA301" s="92">
        <f t="shared" ca="1" si="1804"/>
        <v>0</v>
      </c>
      <c r="YB301" s="90"/>
      <c r="YC301" s="90"/>
      <c r="YD301" s="90"/>
      <c r="YE301" s="90"/>
      <c r="YF301" s="90"/>
      <c r="YG301" s="90"/>
      <c r="YH301" s="90"/>
      <c r="YI301" s="90"/>
      <c r="YJ301" s="90"/>
      <c r="YK301" s="90"/>
      <c r="YL301" s="90"/>
      <c r="YM301" s="90"/>
      <c r="YN301" s="90"/>
      <c r="YO301" s="90"/>
      <c r="YP301" s="90"/>
      <c r="YQ301" s="90"/>
      <c r="YR301" s="90"/>
      <c r="YS301" s="90"/>
      <c r="YT301" s="90"/>
      <c r="YU301" s="90"/>
      <c r="YV301" s="90"/>
      <c r="YW301" s="90"/>
      <c r="YX301" s="90"/>
      <c r="YY301" s="90"/>
      <c r="YZ301" s="90"/>
      <c r="ZA301" s="90"/>
      <c r="ZB301" s="90"/>
      <c r="ZC301" s="90"/>
      <c r="ZD301" s="90"/>
      <c r="ZE301" s="90"/>
      <c r="ZF301" s="90"/>
      <c r="ZG301" s="90"/>
      <c r="ZH301" s="90"/>
      <c r="ZI301" s="90"/>
      <c r="ZJ301" s="90"/>
      <c r="ZK301" s="90"/>
      <c r="ZL301" s="90"/>
      <c r="ZM301" s="90"/>
      <c r="ZN301" s="90"/>
      <c r="ZO301" s="90"/>
      <c r="ZP301" s="90"/>
      <c r="ZQ301" s="90"/>
      <c r="ZR301" s="90"/>
      <c r="ZS301" s="90"/>
      <c r="ZT301" s="90"/>
      <c r="ZU301" s="90"/>
      <c r="ZV301" s="90"/>
      <c r="ZW301" s="90"/>
      <c r="ZX301" s="90"/>
      <c r="ZY301" s="90"/>
      <c r="ZZ301" s="90"/>
      <c r="AAA301" s="90"/>
      <c r="AAB301" s="90"/>
      <c r="AAC301" s="90"/>
      <c r="AAD301" s="90"/>
      <c r="AAE301" s="90"/>
      <c r="AAF301" s="90"/>
      <c r="AAG301" s="90"/>
      <c r="AAH301" s="90"/>
      <c r="AAI301" s="90"/>
      <c r="AAJ301" s="90"/>
      <c r="AAK301" s="90"/>
      <c r="AAL301" s="90"/>
      <c r="AAM301" s="90"/>
      <c r="AAN301" s="90"/>
      <c r="AAO301" s="90"/>
      <c r="AAP301" s="90"/>
      <c r="AAQ301" s="90"/>
      <c r="AAR301" s="90"/>
      <c r="AAS301" s="90"/>
      <c r="AAT301" s="90"/>
      <c r="AAU301" s="90"/>
      <c r="AAV301" s="90"/>
      <c r="AAW301" s="90"/>
      <c r="AAX301" s="90"/>
      <c r="AAY301" s="90"/>
      <c r="AAZ301" s="90"/>
      <c r="ABA301" s="90"/>
      <c r="ABB301" s="90"/>
      <c r="ABC301" s="90"/>
      <c r="ABD301" s="90"/>
      <c r="ABE301" s="90"/>
      <c r="ABF301" s="90"/>
      <c r="ABG301" s="90"/>
      <c r="ABH301" s="90"/>
      <c r="ABI301" s="90"/>
      <c r="ABJ301" s="90"/>
      <c r="ABK301" s="90"/>
      <c r="ABL301" s="90"/>
      <c r="ABM301" s="90"/>
      <c r="ABN301" s="90"/>
      <c r="ABO301" s="90"/>
      <c r="ABP301" s="90"/>
      <c r="ABQ301" s="90"/>
      <c r="ABR301" s="90"/>
      <c r="ABS301" s="90"/>
      <c r="ABT301" s="90"/>
      <c r="ABU301" s="90"/>
      <c r="ABV301" s="90"/>
      <c r="ABW301" s="90"/>
      <c r="ABX301" s="90"/>
      <c r="ABY301" s="90"/>
      <c r="ABZ301" s="90"/>
      <c r="ACA301" s="90"/>
      <c r="ACB301" s="90"/>
      <c r="ACC301" s="90"/>
      <c r="ACD301" s="90"/>
      <c r="ACE301" s="90"/>
      <c r="ACF301" s="90"/>
      <c r="ACG301" s="90"/>
      <c r="ACH301" s="90"/>
      <c r="ACI301" s="90"/>
      <c r="ACJ301" s="90"/>
      <c r="ACK301" s="90"/>
      <c r="ACL301" s="90"/>
      <c r="ACM301" s="90"/>
      <c r="ACN301" s="90"/>
      <c r="ACO301" s="90"/>
      <c r="ACP301" s="90"/>
      <c r="ACQ301" s="90"/>
      <c r="ACR301" s="90"/>
      <c r="ACS301" s="90"/>
      <c r="ACT301" s="90"/>
      <c r="ACU301" s="90"/>
      <c r="ACV301" s="90"/>
      <c r="ACW301" s="90"/>
      <c r="ACX301" s="90"/>
      <c r="ACY301" s="90"/>
      <c r="ACZ301" s="90"/>
      <c r="ADA301" s="90"/>
      <c r="ADB301" s="90"/>
      <c r="ADC301" s="90"/>
      <c r="ADD301" s="90"/>
      <c r="ADE301" s="90"/>
      <c r="ADF301" s="90"/>
      <c r="ADG301" s="90"/>
      <c r="ADH301" s="90"/>
      <c r="ADI301" s="90"/>
      <c r="ADJ301" s="90"/>
      <c r="ADK301" s="90"/>
      <c r="ADL301" s="90"/>
      <c r="ADM301" s="90"/>
      <c r="ADN301" s="90"/>
      <c r="ADO301" s="90"/>
      <c r="ADP301" s="90"/>
      <c r="ADQ301" s="90"/>
      <c r="ADR301" s="90"/>
      <c r="ADS301" s="90"/>
      <c r="ADT301" s="90"/>
      <c r="ADU301" s="90"/>
      <c r="ADV301" s="90"/>
      <c r="ADW301" s="90"/>
      <c r="ADX301" s="90"/>
      <c r="ADY301" s="90"/>
      <c r="ADZ301" s="90"/>
      <c r="AEA301" s="90"/>
      <c r="AEB301" s="90"/>
      <c r="AEC301" s="90"/>
      <c r="AED301" s="90"/>
      <c r="AEE301" s="90"/>
      <c r="AEF301" s="90"/>
      <c r="AEG301" s="90"/>
      <c r="AEH301" s="90"/>
      <c r="AEI301" s="90"/>
      <c r="AEJ301" s="90"/>
      <c r="AEK301" s="90"/>
      <c r="AEL301" s="90"/>
      <c r="AEM301" s="90"/>
      <c r="AEN301" s="90"/>
      <c r="AEO301" s="90"/>
      <c r="AEP301" s="90"/>
      <c r="AEQ301" s="90"/>
      <c r="AER301" s="90"/>
      <c r="AES301" s="90"/>
      <c r="AET301" s="90"/>
      <c r="AEU301" s="90"/>
      <c r="AEV301" s="90"/>
      <c r="AEW301" s="90"/>
      <c r="AEX301" s="90"/>
      <c r="AEY301" s="90"/>
      <c r="AEZ301" s="90"/>
      <c r="AFA301" s="90"/>
      <c r="AFB301" s="90"/>
      <c r="AFC301" s="90"/>
      <c r="AFD301" s="90"/>
      <c r="AFE301" s="90"/>
      <c r="AFF301" s="90"/>
      <c r="AFG301" s="90"/>
      <c r="AFH301" s="90"/>
      <c r="AFI301" s="90"/>
      <c r="AFJ301" s="90"/>
      <c r="AFK301" s="90"/>
      <c r="AFL301" s="90"/>
      <c r="AFM301" s="90"/>
      <c r="AFN301" s="90"/>
      <c r="AFO301" s="90"/>
      <c r="AFP301" s="90"/>
      <c r="AFQ301" s="90"/>
      <c r="AFR301" s="90"/>
      <c r="AFS301" s="90"/>
      <c r="AFT301" s="90"/>
      <c r="AFU301" s="90"/>
      <c r="AFV301" s="90"/>
      <c r="AFW301" s="90"/>
      <c r="AFX301" s="90"/>
      <c r="AFY301" s="90"/>
      <c r="AFZ301" s="90"/>
      <c r="AGA301" s="90"/>
      <c r="AGB301" s="90"/>
      <c r="AGC301" s="90"/>
      <c r="AGD301" s="90"/>
      <c r="AGE301" s="90"/>
      <c r="AGF301" s="90"/>
      <c r="AGG301" s="90"/>
      <c r="AGH301" s="90"/>
      <c r="AGI301" s="90"/>
      <c r="AGJ301" s="90"/>
      <c r="AGK301" s="90"/>
      <c r="AGL301" s="90"/>
      <c r="AGM301" s="90"/>
      <c r="AGN301" s="90"/>
      <c r="AGO301" s="90"/>
      <c r="AGP301" s="90"/>
      <c r="AGQ301" s="90"/>
      <c r="AGR301" s="90"/>
      <c r="AGS301" s="90"/>
      <c r="AGT301" s="90"/>
      <c r="AGU301" s="90"/>
      <c r="AGV301" s="90"/>
      <c r="AGW301" s="90"/>
      <c r="AGX301" s="90"/>
      <c r="AGY301" s="90"/>
      <c r="AGZ301" s="90"/>
      <c r="AHA301" s="90"/>
      <c r="AHB301" s="90"/>
      <c r="AHC301" s="90"/>
      <c r="AHD301" s="90"/>
      <c r="AHE301" s="90"/>
      <c r="AHF301" s="90"/>
      <c r="AHG301" s="90"/>
      <c r="AHH301" s="90"/>
      <c r="AHI301" s="90"/>
      <c r="AHJ301" s="90"/>
      <c r="AHK301" s="90"/>
      <c r="AHL301" s="90"/>
      <c r="AHM301" s="90"/>
      <c r="AHN301" s="90"/>
      <c r="AHO301" s="90"/>
      <c r="AHP301" s="90"/>
      <c r="AHQ301" s="90"/>
      <c r="AHR301" s="90"/>
      <c r="AHS301" s="90"/>
      <c r="AHT301" s="90"/>
      <c r="AHU301" s="90"/>
      <c r="AHV301" s="90"/>
      <c r="AHW301" s="90"/>
      <c r="AHX301" s="90"/>
      <c r="AHY301" s="90"/>
      <c r="AHZ301" s="90"/>
      <c r="AIA301" s="90"/>
      <c r="AIB301" s="90"/>
      <c r="AIC301" s="90"/>
      <c r="AID301" s="90"/>
      <c r="AIE301" s="90"/>
      <c r="AIF301" s="90"/>
      <c r="AIG301" s="90"/>
      <c r="AIH301" s="90"/>
      <c r="AII301" s="90"/>
      <c r="AIJ301" s="90"/>
      <c r="AIK301" s="90"/>
      <c r="AIL301" s="90"/>
      <c r="AIM301" s="90"/>
      <c r="AIN301" s="90"/>
      <c r="AIO301" s="90"/>
      <c r="AIP301" s="90"/>
      <c r="AIQ301" s="90"/>
      <c r="AIR301" s="90"/>
      <c r="AIS301" s="90"/>
      <c r="AIT301" s="90"/>
      <c r="AIU301" s="90"/>
      <c r="AIV301" s="90"/>
      <c r="AIW301" s="90"/>
      <c r="AIX301" s="90"/>
      <c r="AIY301" s="90"/>
      <c r="AIZ301" s="90"/>
      <c r="AJA301" s="90"/>
      <c r="AJB301" s="90"/>
      <c r="AJC301" s="90"/>
      <c r="AJD301" s="90"/>
      <c r="AJE301" s="90"/>
      <c r="AJF301" s="90"/>
      <c r="AJG301" s="90"/>
      <c r="AJH301" s="90"/>
      <c r="AJI301" s="90"/>
      <c r="AJJ301" s="90"/>
      <c r="AJK301" s="90"/>
      <c r="AJL301" s="90"/>
      <c r="AJM301" s="90"/>
      <c r="AJN301" s="90"/>
      <c r="AJO301" s="90"/>
      <c r="AJP301" s="90"/>
      <c r="AJQ301" s="90"/>
      <c r="AJR301" s="90"/>
      <c r="AJS301" s="90"/>
      <c r="AJT301" s="90"/>
      <c r="AJU301" s="90"/>
      <c r="AJV301" s="90"/>
      <c r="AJW301" s="90"/>
      <c r="AJX301" s="90"/>
      <c r="AJY301" s="90"/>
      <c r="AJZ301" s="90"/>
      <c r="AKA301" s="90"/>
      <c r="AKB301" s="90"/>
      <c r="AKC301" s="90"/>
      <c r="AKD301" s="90"/>
      <c r="AKE301" s="90"/>
      <c r="AKF301" s="90"/>
      <c r="AKG301" s="90"/>
      <c r="AKH301" s="90"/>
      <c r="AKI301" s="90"/>
      <c r="AKJ301" s="90"/>
      <c r="AKK301" s="90"/>
      <c r="AKL301" s="90"/>
      <c r="AKM301" s="90"/>
      <c r="AKN301" s="90"/>
      <c r="AKO301" s="90"/>
      <c r="AKP301" s="90"/>
      <c r="AKQ301" s="90"/>
      <c r="AKR301" s="90"/>
      <c r="AKS301" s="90"/>
      <c r="AKT301" s="90"/>
      <c r="AKU301" s="90"/>
      <c r="AKV301" s="90"/>
      <c r="AKW301" s="90"/>
      <c r="AKX301" s="90"/>
      <c r="AKY301" s="90"/>
      <c r="AKZ301" s="90"/>
      <c r="ALA301" s="90"/>
      <c r="ALB301" s="90"/>
      <c r="ALC301" s="90"/>
      <c r="ALD301" s="90"/>
      <c r="ALE301" s="90"/>
      <c r="ALF301" s="90"/>
      <c r="ALG301" s="90"/>
      <c r="ALH301" s="90"/>
      <c r="ALI301" s="90"/>
      <c r="ALJ301" s="90"/>
      <c r="ALK301" s="90"/>
      <c r="ALL301" s="90"/>
      <c r="ALM301" s="90"/>
      <c r="ALN301" s="90"/>
      <c r="ALO301" s="90"/>
      <c r="ALP301" s="90"/>
      <c r="ALQ301" s="90"/>
      <c r="ALR301" s="90"/>
      <c r="ALS301" s="90"/>
      <c r="ALT301" s="90"/>
      <c r="ALU301" s="90"/>
      <c r="ALV301" s="90"/>
      <c r="ALW301" s="90"/>
      <c r="ALX301" s="90"/>
      <c r="ALY301" s="90"/>
      <c r="ALZ301" s="90"/>
      <c r="AMA301" s="90"/>
      <c r="AMB301" s="90"/>
      <c r="AMC301" s="90"/>
    </row>
    <row r="302" spans="1:1017">
      <c r="A302" s="98" t="s">
        <v>52</v>
      </c>
      <c r="B302" s="90" t="str">
        <f t="shared" si="1710"/>
        <v>Teri</v>
      </c>
      <c r="Q302" s="91">
        <f t="shared" si="1711"/>
        <v>0</v>
      </c>
      <c r="R302" s="91">
        <f t="shared" si="1712"/>
        <v>0</v>
      </c>
      <c r="AG302" s="91">
        <f t="shared" si="1713"/>
        <v>0</v>
      </c>
      <c r="AH302" s="91">
        <f t="shared" si="1714"/>
        <v>0</v>
      </c>
      <c r="AW302" s="91">
        <f t="shared" si="1715"/>
        <v>0</v>
      </c>
      <c r="AX302" s="91">
        <f t="shared" si="1716"/>
        <v>0</v>
      </c>
      <c r="BM302" s="91">
        <f t="shared" si="1717"/>
        <v>0</v>
      </c>
      <c r="BN302" s="91">
        <f t="shared" si="1718"/>
        <v>0</v>
      </c>
      <c r="CC302" s="91">
        <f t="shared" si="1719"/>
        <v>0</v>
      </c>
      <c r="CD302" s="91">
        <f t="shared" si="1720"/>
        <v>0</v>
      </c>
      <c r="CS302" s="91">
        <f t="shared" si="1721"/>
        <v>0</v>
      </c>
      <c r="CT302" s="91">
        <f t="shared" si="1722"/>
        <v>0</v>
      </c>
      <c r="DI302" s="91">
        <f t="shared" si="1723"/>
        <v>0</v>
      </c>
      <c r="DJ302" s="91">
        <f t="shared" si="1724"/>
        <v>0</v>
      </c>
      <c r="DY302" s="91">
        <f t="shared" si="1725"/>
        <v>0</v>
      </c>
      <c r="DZ302" s="91">
        <f t="shared" si="1726"/>
        <v>0</v>
      </c>
      <c r="EO302" s="91">
        <f t="shared" si="1727"/>
        <v>0</v>
      </c>
      <c r="EP302" s="91">
        <f t="shared" si="1728"/>
        <v>0</v>
      </c>
      <c r="FE302" s="91">
        <f t="shared" si="1729"/>
        <v>0</v>
      </c>
      <c r="FF302" s="91">
        <f t="shared" si="1730"/>
        <v>0</v>
      </c>
      <c r="FU302" s="91">
        <f t="shared" si="1731"/>
        <v>0</v>
      </c>
      <c r="FV302" s="91">
        <f t="shared" si="1732"/>
        <v>0</v>
      </c>
      <c r="GK302" s="91">
        <f t="shared" si="1733"/>
        <v>0</v>
      </c>
      <c r="GL302" s="91">
        <f t="shared" si="1734"/>
        <v>0</v>
      </c>
      <c r="HA302" s="91">
        <f t="shared" si="1735"/>
        <v>0</v>
      </c>
      <c r="HB302" s="91">
        <f t="shared" si="1736"/>
        <v>0</v>
      </c>
      <c r="HQ302" s="91">
        <f t="shared" si="1737"/>
        <v>0</v>
      </c>
      <c r="HR302" s="91">
        <f t="shared" si="1738"/>
        <v>0</v>
      </c>
      <c r="IG302" s="91">
        <f t="shared" si="1739"/>
        <v>0</v>
      </c>
      <c r="IH302" s="91">
        <f t="shared" si="1740"/>
        <v>0</v>
      </c>
      <c r="IW302" s="91">
        <f t="shared" si="1741"/>
        <v>0</v>
      </c>
      <c r="IX302" s="91">
        <f t="shared" si="1742"/>
        <v>0</v>
      </c>
      <c r="JM302" s="91">
        <f t="shared" si="1743"/>
        <v>0</v>
      </c>
      <c r="JN302" s="91">
        <f t="shared" si="1744"/>
        <v>0</v>
      </c>
      <c r="KC302" s="91">
        <f t="shared" si="1745"/>
        <v>0</v>
      </c>
      <c r="KD302" s="91">
        <f t="shared" si="1746"/>
        <v>0</v>
      </c>
      <c r="KS302" s="91">
        <f t="shared" si="1747"/>
        <v>0</v>
      </c>
      <c r="KT302" s="91">
        <f t="shared" si="1748"/>
        <v>0</v>
      </c>
      <c r="LI302" s="91">
        <f t="shared" si="1749"/>
        <v>0</v>
      </c>
      <c r="LJ302" s="91">
        <f t="shared" si="1750"/>
        <v>0</v>
      </c>
      <c r="LY302" s="91">
        <f t="shared" si="1751"/>
        <v>0</v>
      </c>
      <c r="LZ302" s="91">
        <f t="shared" si="1752"/>
        <v>0</v>
      </c>
      <c r="MO302" s="91">
        <f t="shared" si="1753"/>
        <v>0</v>
      </c>
      <c r="MP302" s="91">
        <f t="shared" si="1754"/>
        <v>0</v>
      </c>
      <c r="NE302" s="91">
        <f t="shared" si="1755"/>
        <v>0</v>
      </c>
      <c r="NF302" s="91">
        <f t="shared" si="1756"/>
        <v>0</v>
      </c>
      <c r="NU302" s="91">
        <f t="shared" si="1757"/>
        <v>0</v>
      </c>
      <c r="NV302" s="91">
        <f t="shared" si="1758"/>
        <v>0</v>
      </c>
      <c r="OK302" s="91">
        <f t="shared" si="1759"/>
        <v>0</v>
      </c>
      <c r="OL302" s="91">
        <f t="shared" si="1760"/>
        <v>0</v>
      </c>
      <c r="PA302" s="91">
        <f t="shared" si="1761"/>
        <v>0</v>
      </c>
      <c r="PB302" s="91">
        <f t="shared" si="1762"/>
        <v>0</v>
      </c>
      <c r="PQ302" s="91">
        <f t="shared" si="1763"/>
        <v>0</v>
      </c>
      <c r="PR302" s="91">
        <f t="shared" si="1764"/>
        <v>0</v>
      </c>
      <c r="QG302" s="91">
        <f t="shared" si="1765"/>
        <v>0</v>
      </c>
      <c r="QH302" s="91">
        <f t="shared" si="1766"/>
        <v>0</v>
      </c>
      <c r="QW302" s="91">
        <f t="shared" si="1767"/>
        <v>0</v>
      </c>
      <c r="QX302" s="91">
        <f t="shared" si="1768"/>
        <v>0</v>
      </c>
      <c r="RM302" s="91">
        <f t="shared" si="1769"/>
        <v>0</v>
      </c>
      <c r="RN302" s="91">
        <f t="shared" si="1770"/>
        <v>0</v>
      </c>
      <c r="SC302" s="91">
        <f t="shared" si="1771"/>
        <v>0</v>
      </c>
      <c r="SD302" s="91">
        <f t="shared" si="1772"/>
        <v>0</v>
      </c>
      <c r="SS302" s="91">
        <f t="shared" si="1773"/>
        <v>0</v>
      </c>
      <c r="ST302" s="91">
        <f t="shared" si="1774"/>
        <v>0</v>
      </c>
      <c r="TI302" s="91">
        <f t="shared" si="1775"/>
        <v>0</v>
      </c>
      <c r="TJ302" s="91">
        <f t="shared" si="1776"/>
        <v>0</v>
      </c>
      <c r="TY302" s="91">
        <f t="shared" si="1777"/>
        <v>0</v>
      </c>
      <c r="TZ302" s="91">
        <f t="shared" si="1778"/>
        <v>0</v>
      </c>
      <c r="UO302" s="91">
        <f t="shared" si="1779"/>
        <v>0</v>
      </c>
      <c r="UP302" s="91">
        <f t="shared" si="1780"/>
        <v>0</v>
      </c>
      <c r="VE302" s="91">
        <f t="shared" si="1781"/>
        <v>0</v>
      </c>
      <c r="VF302" s="91">
        <f t="shared" si="1782"/>
        <v>0</v>
      </c>
      <c r="VU302" s="91">
        <f t="shared" si="1783"/>
        <v>0</v>
      </c>
      <c r="VV302" s="91">
        <f t="shared" si="1784"/>
        <v>0</v>
      </c>
      <c r="WK302" s="91">
        <f t="shared" si="1785"/>
        <v>0</v>
      </c>
      <c r="WL302" s="91">
        <f t="shared" si="1786"/>
        <v>0</v>
      </c>
      <c r="WM302" s="89"/>
      <c r="WN302" s="87">
        <f t="shared" si="1787"/>
        <v>0</v>
      </c>
      <c r="WO302" s="87">
        <f t="shared" si="1788"/>
        <v>0</v>
      </c>
      <c r="WP302" s="87">
        <f t="shared" si="1789"/>
        <v>0</v>
      </c>
      <c r="WQ302" s="87">
        <f t="shared" si="1790"/>
        <v>0</v>
      </c>
      <c r="WR302" s="87">
        <f t="shared" si="1791"/>
        <v>0</v>
      </c>
      <c r="WS302" s="87">
        <f t="shared" si="1792"/>
        <v>0</v>
      </c>
      <c r="WT302" s="87">
        <f t="shared" si="1793"/>
        <v>0</v>
      </c>
      <c r="WU302" s="87">
        <f t="shared" si="1794"/>
        <v>0</v>
      </c>
      <c r="WV302" s="87">
        <f t="shared" si="1795"/>
        <v>0</v>
      </c>
      <c r="WW302" s="87">
        <f t="shared" si="1796"/>
        <v>0</v>
      </c>
      <c r="WX302" s="87">
        <f t="shared" si="1797"/>
        <v>0</v>
      </c>
      <c r="WY302" s="87">
        <f t="shared" si="1798"/>
        <v>0</v>
      </c>
      <c r="WZ302" s="87">
        <f t="shared" si="1799"/>
        <v>0</v>
      </c>
      <c r="XA302" s="87">
        <f t="shared" si="1800"/>
        <v>0</v>
      </c>
      <c r="XB302" s="92">
        <f t="shared" si="1801"/>
        <v>0</v>
      </c>
      <c r="XC302" s="92">
        <f t="shared" si="1802"/>
        <v>0</v>
      </c>
      <c r="XD302" s="89"/>
      <c r="XE302" s="92"/>
      <c r="XF302" s="92"/>
      <c r="XG302" s="89"/>
      <c r="XH302" s="92"/>
      <c r="XI302" s="92"/>
      <c r="XJ302" s="89"/>
      <c r="XK302" s="87"/>
      <c r="XL302" s="87"/>
      <c r="XM302" s="87"/>
      <c r="XN302" s="87"/>
      <c r="XO302" s="87"/>
      <c r="XP302" s="87"/>
      <c r="XQ302" s="87"/>
      <c r="XR302" s="92">
        <f t="shared" ca="1" si="1803"/>
        <v>0</v>
      </c>
      <c r="XS302" s="89"/>
      <c r="XT302" s="87"/>
      <c r="XU302" s="87"/>
      <c r="XV302" s="87"/>
      <c r="XW302" s="87"/>
      <c r="XX302" s="87"/>
      <c r="XY302" s="87"/>
      <c r="XZ302" s="87"/>
      <c r="YA302" s="92">
        <f t="shared" ca="1" si="1804"/>
        <v>0</v>
      </c>
      <c r="YB302" s="90"/>
      <c r="YC302" s="90"/>
      <c r="YD302" s="90"/>
      <c r="YE302" s="90"/>
      <c r="YF302" s="90"/>
      <c r="YG302" s="90"/>
      <c r="YH302" s="90"/>
      <c r="YI302" s="90"/>
      <c r="YJ302" s="90"/>
      <c r="YK302" s="90"/>
      <c r="YL302" s="90"/>
      <c r="YM302" s="90"/>
      <c r="YN302" s="90"/>
      <c r="YO302" s="90"/>
      <c r="YP302" s="90"/>
      <c r="YQ302" s="90"/>
      <c r="YR302" s="90"/>
      <c r="YS302" s="90"/>
      <c r="YT302" s="90"/>
      <c r="YU302" s="90"/>
      <c r="YV302" s="90"/>
      <c r="YW302" s="90"/>
      <c r="YX302" s="90"/>
      <c r="YY302" s="90"/>
      <c r="YZ302" s="90"/>
      <c r="ZA302" s="90"/>
      <c r="ZB302" s="90"/>
      <c r="ZC302" s="90"/>
      <c r="ZD302" s="90"/>
      <c r="ZE302" s="90"/>
      <c r="ZF302" s="90"/>
      <c r="ZG302" s="90"/>
      <c r="ZH302" s="90"/>
      <c r="ZI302" s="90"/>
      <c r="ZJ302" s="90"/>
      <c r="ZK302" s="90"/>
      <c r="ZL302" s="90"/>
      <c r="ZM302" s="90"/>
      <c r="ZN302" s="90"/>
      <c r="ZO302" s="90"/>
      <c r="ZP302" s="90"/>
      <c r="ZQ302" s="90"/>
      <c r="ZR302" s="90"/>
      <c r="ZS302" s="90"/>
      <c r="ZT302" s="90"/>
      <c r="ZU302" s="90"/>
      <c r="ZV302" s="90"/>
      <c r="ZW302" s="90"/>
      <c r="ZX302" s="90"/>
      <c r="ZY302" s="90"/>
      <c r="ZZ302" s="90"/>
      <c r="AAA302" s="90"/>
      <c r="AAB302" s="90"/>
      <c r="AAC302" s="90"/>
      <c r="AAD302" s="90"/>
      <c r="AAE302" s="90"/>
      <c r="AAF302" s="90"/>
      <c r="AAG302" s="90"/>
      <c r="AAH302" s="90"/>
      <c r="AAI302" s="90"/>
      <c r="AAJ302" s="90"/>
      <c r="AAK302" s="90"/>
      <c r="AAL302" s="90"/>
      <c r="AAM302" s="90"/>
      <c r="AAN302" s="90"/>
      <c r="AAO302" s="90"/>
      <c r="AAP302" s="90"/>
      <c r="AAQ302" s="90"/>
      <c r="AAR302" s="90"/>
      <c r="AAS302" s="90"/>
      <c r="AAT302" s="90"/>
      <c r="AAU302" s="90"/>
      <c r="AAV302" s="90"/>
      <c r="AAW302" s="90"/>
      <c r="AAX302" s="90"/>
      <c r="AAY302" s="90"/>
      <c r="AAZ302" s="90"/>
      <c r="ABA302" s="90"/>
      <c r="ABB302" s="90"/>
      <c r="ABC302" s="90"/>
      <c r="ABD302" s="90"/>
      <c r="ABE302" s="90"/>
      <c r="ABF302" s="90"/>
      <c r="ABG302" s="90"/>
      <c r="ABH302" s="90"/>
      <c r="ABI302" s="90"/>
      <c r="ABJ302" s="90"/>
      <c r="ABK302" s="90"/>
      <c r="ABL302" s="90"/>
      <c r="ABM302" s="90"/>
      <c r="ABN302" s="90"/>
      <c r="ABO302" s="90"/>
      <c r="ABP302" s="90"/>
      <c r="ABQ302" s="90"/>
      <c r="ABR302" s="90"/>
      <c r="ABS302" s="90"/>
      <c r="ABT302" s="90"/>
      <c r="ABU302" s="90"/>
      <c r="ABV302" s="90"/>
      <c r="ABW302" s="90"/>
      <c r="ABX302" s="90"/>
      <c r="ABY302" s="90"/>
      <c r="ABZ302" s="90"/>
      <c r="ACA302" s="90"/>
      <c r="ACB302" s="90"/>
      <c r="ACC302" s="90"/>
      <c r="ACD302" s="90"/>
      <c r="ACE302" s="90"/>
      <c r="ACF302" s="90"/>
      <c r="ACG302" s="90"/>
      <c r="ACH302" s="90"/>
      <c r="ACI302" s="90"/>
      <c r="ACJ302" s="90"/>
      <c r="ACK302" s="90"/>
      <c r="ACL302" s="90"/>
      <c r="ACM302" s="90"/>
      <c r="ACN302" s="90"/>
      <c r="ACO302" s="90"/>
      <c r="ACP302" s="90"/>
      <c r="ACQ302" s="90"/>
      <c r="ACR302" s="90"/>
      <c r="ACS302" s="90"/>
      <c r="ACT302" s="90"/>
      <c r="ACU302" s="90"/>
      <c r="ACV302" s="90"/>
      <c r="ACW302" s="90"/>
      <c r="ACX302" s="90"/>
      <c r="ACY302" s="90"/>
      <c r="ACZ302" s="90"/>
      <c r="ADA302" s="90"/>
      <c r="ADB302" s="90"/>
      <c r="ADC302" s="90"/>
      <c r="ADD302" s="90"/>
      <c r="ADE302" s="90"/>
      <c r="ADF302" s="90"/>
      <c r="ADG302" s="90"/>
      <c r="ADH302" s="90"/>
      <c r="ADI302" s="90"/>
      <c r="ADJ302" s="90"/>
      <c r="ADK302" s="90"/>
      <c r="ADL302" s="90"/>
      <c r="ADM302" s="90"/>
      <c r="ADN302" s="90"/>
      <c r="ADO302" s="90"/>
      <c r="ADP302" s="90"/>
      <c r="ADQ302" s="90"/>
      <c r="ADR302" s="90"/>
      <c r="ADS302" s="90"/>
      <c r="ADT302" s="90"/>
      <c r="ADU302" s="90"/>
      <c r="ADV302" s="90"/>
      <c r="ADW302" s="90"/>
      <c r="ADX302" s="90"/>
      <c r="ADY302" s="90"/>
      <c r="ADZ302" s="90"/>
      <c r="AEA302" s="90"/>
      <c r="AEB302" s="90"/>
      <c r="AEC302" s="90"/>
      <c r="AED302" s="90"/>
      <c r="AEE302" s="90"/>
      <c r="AEF302" s="90"/>
      <c r="AEG302" s="90"/>
      <c r="AEH302" s="90"/>
      <c r="AEI302" s="90"/>
      <c r="AEJ302" s="90"/>
      <c r="AEK302" s="90"/>
      <c r="AEL302" s="90"/>
      <c r="AEM302" s="90"/>
      <c r="AEN302" s="90"/>
      <c r="AEO302" s="90"/>
      <c r="AEP302" s="90"/>
      <c r="AEQ302" s="90"/>
      <c r="AER302" s="90"/>
      <c r="AES302" s="90"/>
      <c r="AET302" s="90"/>
      <c r="AEU302" s="90"/>
      <c r="AEV302" s="90"/>
      <c r="AEW302" s="90"/>
      <c r="AEX302" s="90"/>
      <c r="AEY302" s="90"/>
      <c r="AEZ302" s="90"/>
      <c r="AFA302" s="90"/>
      <c r="AFB302" s="90"/>
      <c r="AFC302" s="90"/>
      <c r="AFD302" s="90"/>
      <c r="AFE302" s="90"/>
      <c r="AFF302" s="90"/>
      <c r="AFG302" s="90"/>
      <c r="AFH302" s="90"/>
      <c r="AFI302" s="90"/>
      <c r="AFJ302" s="90"/>
      <c r="AFK302" s="90"/>
      <c r="AFL302" s="90"/>
      <c r="AFM302" s="90"/>
      <c r="AFN302" s="90"/>
      <c r="AFO302" s="90"/>
      <c r="AFP302" s="90"/>
      <c r="AFQ302" s="90"/>
      <c r="AFR302" s="90"/>
      <c r="AFS302" s="90"/>
      <c r="AFT302" s="90"/>
      <c r="AFU302" s="90"/>
      <c r="AFV302" s="90"/>
      <c r="AFW302" s="90"/>
      <c r="AFX302" s="90"/>
      <c r="AFY302" s="90"/>
      <c r="AFZ302" s="90"/>
      <c r="AGA302" s="90"/>
      <c r="AGB302" s="90"/>
      <c r="AGC302" s="90"/>
      <c r="AGD302" s="90"/>
      <c r="AGE302" s="90"/>
      <c r="AGF302" s="90"/>
      <c r="AGG302" s="90"/>
      <c r="AGH302" s="90"/>
      <c r="AGI302" s="90"/>
      <c r="AGJ302" s="90"/>
      <c r="AGK302" s="90"/>
      <c r="AGL302" s="90"/>
      <c r="AGM302" s="90"/>
      <c r="AGN302" s="90"/>
      <c r="AGO302" s="90"/>
      <c r="AGP302" s="90"/>
      <c r="AGQ302" s="90"/>
      <c r="AGR302" s="90"/>
      <c r="AGS302" s="90"/>
      <c r="AGT302" s="90"/>
      <c r="AGU302" s="90"/>
      <c r="AGV302" s="90"/>
      <c r="AGW302" s="90"/>
      <c r="AGX302" s="90"/>
      <c r="AGY302" s="90"/>
      <c r="AGZ302" s="90"/>
      <c r="AHA302" s="90"/>
      <c r="AHB302" s="90"/>
      <c r="AHC302" s="90"/>
      <c r="AHD302" s="90"/>
      <c r="AHE302" s="90"/>
      <c r="AHF302" s="90"/>
      <c r="AHG302" s="90"/>
      <c r="AHH302" s="90"/>
      <c r="AHI302" s="90"/>
      <c r="AHJ302" s="90"/>
      <c r="AHK302" s="90"/>
      <c r="AHL302" s="90"/>
      <c r="AHM302" s="90"/>
      <c r="AHN302" s="90"/>
      <c r="AHO302" s="90"/>
      <c r="AHP302" s="90"/>
      <c r="AHQ302" s="90"/>
      <c r="AHR302" s="90"/>
      <c r="AHS302" s="90"/>
      <c r="AHT302" s="90"/>
      <c r="AHU302" s="90"/>
      <c r="AHV302" s="90"/>
      <c r="AHW302" s="90"/>
      <c r="AHX302" s="90"/>
      <c r="AHY302" s="90"/>
      <c r="AHZ302" s="90"/>
      <c r="AIA302" s="90"/>
      <c r="AIB302" s="90"/>
      <c r="AIC302" s="90"/>
      <c r="AID302" s="90"/>
      <c r="AIE302" s="90"/>
      <c r="AIF302" s="90"/>
      <c r="AIG302" s="90"/>
      <c r="AIH302" s="90"/>
      <c r="AII302" s="90"/>
      <c r="AIJ302" s="90"/>
      <c r="AIK302" s="90"/>
      <c r="AIL302" s="90"/>
      <c r="AIM302" s="90"/>
      <c r="AIN302" s="90"/>
      <c r="AIO302" s="90"/>
      <c r="AIP302" s="90"/>
      <c r="AIQ302" s="90"/>
      <c r="AIR302" s="90"/>
      <c r="AIS302" s="90"/>
      <c r="AIT302" s="90"/>
      <c r="AIU302" s="90"/>
      <c r="AIV302" s="90"/>
      <c r="AIW302" s="90"/>
      <c r="AIX302" s="90"/>
      <c r="AIY302" s="90"/>
      <c r="AIZ302" s="90"/>
      <c r="AJA302" s="90"/>
      <c r="AJB302" s="90"/>
      <c r="AJC302" s="90"/>
      <c r="AJD302" s="90"/>
      <c r="AJE302" s="90"/>
      <c r="AJF302" s="90"/>
      <c r="AJG302" s="90"/>
      <c r="AJH302" s="90"/>
      <c r="AJI302" s="90"/>
      <c r="AJJ302" s="90"/>
      <c r="AJK302" s="90"/>
      <c r="AJL302" s="90"/>
      <c r="AJM302" s="90"/>
      <c r="AJN302" s="90"/>
      <c r="AJO302" s="90"/>
      <c r="AJP302" s="90"/>
      <c r="AJQ302" s="90"/>
      <c r="AJR302" s="90"/>
      <c r="AJS302" s="90"/>
      <c r="AJT302" s="90"/>
      <c r="AJU302" s="90"/>
      <c r="AJV302" s="90"/>
      <c r="AJW302" s="90"/>
      <c r="AJX302" s="90"/>
      <c r="AJY302" s="90"/>
      <c r="AJZ302" s="90"/>
      <c r="AKA302" s="90"/>
      <c r="AKB302" s="90"/>
      <c r="AKC302" s="90"/>
      <c r="AKD302" s="90"/>
      <c r="AKE302" s="90"/>
      <c r="AKF302" s="90"/>
      <c r="AKG302" s="90"/>
      <c r="AKH302" s="90"/>
      <c r="AKI302" s="90"/>
      <c r="AKJ302" s="90"/>
      <c r="AKK302" s="90"/>
      <c r="AKL302" s="90"/>
      <c r="AKM302" s="90"/>
      <c r="AKN302" s="90"/>
      <c r="AKO302" s="90"/>
      <c r="AKP302" s="90"/>
      <c r="AKQ302" s="90"/>
      <c r="AKR302" s="90"/>
      <c r="AKS302" s="90"/>
      <c r="AKT302" s="90"/>
      <c r="AKU302" s="90"/>
      <c r="AKV302" s="90"/>
      <c r="AKW302" s="90"/>
      <c r="AKX302" s="90"/>
      <c r="AKY302" s="90"/>
      <c r="AKZ302" s="90"/>
      <c r="ALA302" s="90"/>
      <c r="ALB302" s="90"/>
      <c r="ALC302" s="90"/>
      <c r="ALD302" s="90"/>
      <c r="ALE302" s="90"/>
      <c r="ALF302" s="90"/>
      <c r="ALG302" s="90"/>
      <c r="ALH302" s="90"/>
      <c r="ALI302" s="90"/>
      <c r="ALJ302" s="90"/>
      <c r="ALK302" s="90"/>
      <c r="ALL302" s="90"/>
      <c r="ALM302" s="90"/>
      <c r="ALN302" s="90"/>
      <c r="ALO302" s="90"/>
      <c r="ALP302" s="90"/>
      <c r="ALQ302" s="90"/>
      <c r="ALR302" s="90"/>
      <c r="ALS302" s="90"/>
      <c r="ALT302" s="90"/>
      <c r="ALU302" s="90"/>
      <c r="ALV302" s="90"/>
      <c r="ALW302" s="90"/>
      <c r="ALX302" s="90"/>
      <c r="ALY302" s="90"/>
      <c r="ALZ302" s="90"/>
      <c r="AMA302" s="90"/>
      <c r="AMB302" s="90"/>
      <c r="AMC302" s="90"/>
    </row>
    <row r="303" spans="1:1017">
      <c r="A303" s="98" t="s">
        <v>52</v>
      </c>
      <c r="B303" s="90" t="str">
        <f t="shared" si="1710"/>
        <v xml:space="preserve">Udang Galah </v>
      </c>
      <c r="Q303" s="91">
        <f t="shared" si="1711"/>
        <v>0</v>
      </c>
      <c r="R303" s="91">
        <f t="shared" si="1712"/>
        <v>0</v>
      </c>
      <c r="AG303" s="91">
        <f t="shared" si="1713"/>
        <v>0</v>
      </c>
      <c r="AH303" s="91">
        <f t="shared" si="1714"/>
        <v>0</v>
      </c>
      <c r="AW303" s="91">
        <f t="shared" si="1715"/>
        <v>0</v>
      </c>
      <c r="AX303" s="91">
        <f t="shared" si="1716"/>
        <v>0</v>
      </c>
      <c r="BM303" s="91">
        <f t="shared" si="1717"/>
        <v>0</v>
      </c>
      <c r="BN303" s="91">
        <f t="shared" si="1718"/>
        <v>0</v>
      </c>
      <c r="CC303" s="91">
        <f t="shared" si="1719"/>
        <v>0</v>
      </c>
      <c r="CD303" s="91">
        <f t="shared" si="1720"/>
        <v>0</v>
      </c>
      <c r="CS303" s="91">
        <f t="shared" si="1721"/>
        <v>0</v>
      </c>
      <c r="CT303" s="91">
        <f t="shared" si="1722"/>
        <v>0</v>
      </c>
      <c r="DI303" s="91">
        <f t="shared" si="1723"/>
        <v>0</v>
      </c>
      <c r="DJ303" s="91">
        <f t="shared" si="1724"/>
        <v>0</v>
      </c>
      <c r="DY303" s="91">
        <f t="shared" si="1725"/>
        <v>0</v>
      </c>
      <c r="DZ303" s="91">
        <f t="shared" si="1726"/>
        <v>0</v>
      </c>
      <c r="EO303" s="91">
        <f t="shared" si="1727"/>
        <v>0</v>
      </c>
      <c r="EP303" s="91">
        <f t="shared" si="1728"/>
        <v>0</v>
      </c>
      <c r="FE303" s="91">
        <f t="shared" si="1729"/>
        <v>0</v>
      </c>
      <c r="FF303" s="91">
        <f t="shared" si="1730"/>
        <v>0</v>
      </c>
      <c r="FU303" s="91">
        <f t="shared" si="1731"/>
        <v>0</v>
      </c>
      <c r="FV303" s="91">
        <f t="shared" si="1732"/>
        <v>0</v>
      </c>
      <c r="GK303" s="91">
        <f t="shared" si="1733"/>
        <v>0</v>
      </c>
      <c r="GL303" s="91">
        <f t="shared" si="1734"/>
        <v>0</v>
      </c>
      <c r="HA303" s="91">
        <f t="shared" si="1735"/>
        <v>0</v>
      </c>
      <c r="HB303" s="91">
        <f t="shared" si="1736"/>
        <v>0</v>
      </c>
      <c r="HQ303" s="91">
        <f t="shared" si="1737"/>
        <v>0</v>
      </c>
      <c r="HR303" s="91">
        <f t="shared" si="1738"/>
        <v>0</v>
      </c>
      <c r="IG303" s="91">
        <f t="shared" si="1739"/>
        <v>0</v>
      </c>
      <c r="IH303" s="91">
        <f t="shared" si="1740"/>
        <v>0</v>
      </c>
      <c r="IW303" s="91">
        <f t="shared" si="1741"/>
        <v>0</v>
      </c>
      <c r="IX303" s="91">
        <f t="shared" si="1742"/>
        <v>0</v>
      </c>
      <c r="JM303" s="91">
        <f t="shared" si="1743"/>
        <v>0</v>
      </c>
      <c r="JN303" s="91">
        <f t="shared" si="1744"/>
        <v>0</v>
      </c>
      <c r="KC303" s="91">
        <f t="shared" si="1745"/>
        <v>0</v>
      </c>
      <c r="KD303" s="91">
        <f t="shared" si="1746"/>
        <v>0</v>
      </c>
      <c r="KS303" s="91">
        <f t="shared" si="1747"/>
        <v>0</v>
      </c>
      <c r="KT303" s="91">
        <f t="shared" si="1748"/>
        <v>0</v>
      </c>
      <c r="LI303" s="91">
        <f t="shared" si="1749"/>
        <v>0</v>
      </c>
      <c r="LJ303" s="91">
        <f t="shared" si="1750"/>
        <v>0</v>
      </c>
      <c r="LY303" s="91">
        <f t="shared" si="1751"/>
        <v>0</v>
      </c>
      <c r="LZ303" s="91">
        <f t="shared" si="1752"/>
        <v>0</v>
      </c>
      <c r="MO303" s="91">
        <f t="shared" si="1753"/>
        <v>0</v>
      </c>
      <c r="MP303" s="91">
        <f t="shared" si="1754"/>
        <v>0</v>
      </c>
      <c r="NE303" s="91">
        <f t="shared" si="1755"/>
        <v>0</v>
      </c>
      <c r="NF303" s="91">
        <f t="shared" si="1756"/>
        <v>0</v>
      </c>
      <c r="NU303" s="91">
        <f t="shared" si="1757"/>
        <v>0</v>
      </c>
      <c r="NV303" s="91">
        <f t="shared" si="1758"/>
        <v>0</v>
      </c>
      <c r="OK303" s="91">
        <f t="shared" si="1759"/>
        <v>0</v>
      </c>
      <c r="OL303" s="91">
        <f t="shared" si="1760"/>
        <v>0</v>
      </c>
      <c r="PA303" s="91">
        <f t="shared" si="1761"/>
        <v>0</v>
      </c>
      <c r="PB303" s="91">
        <f t="shared" si="1762"/>
        <v>0</v>
      </c>
      <c r="PQ303" s="91">
        <f t="shared" si="1763"/>
        <v>0</v>
      </c>
      <c r="PR303" s="91">
        <f t="shared" si="1764"/>
        <v>0</v>
      </c>
      <c r="QG303" s="91">
        <f t="shared" si="1765"/>
        <v>0</v>
      </c>
      <c r="QH303" s="91">
        <f t="shared" si="1766"/>
        <v>0</v>
      </c>
      <c r="QW303" s="91">
        <f t="shared" si="1767"/>
        <v>0</v>
      </c>
      <c r="QX303" s="91">
        <f t="shared" si="1768"/>
        <v>0</v>
      </c>
      <c r="RM303" s="91">
        <f t="shared" si="1769"/>
        <v>0</v>
      </c>
      <c r="RN303" s="91">
        <f t="shared" si="1770"/>
        <v>0</v>
      </c>
      <c r="SC303" s="91">
        <f t="shared" si="1771"/>
        <v>0</v>
      </c>
      <c r="SD303" s="91">
        <f t="shared" si="1772"/>
        <v>0</v>
      </c>
      <c r="SS303" s="91">
        <f t="shared" si="1773"/>
        <v>0</v>
      </c>
      <c r="ST303" s="91">
        <f t="shared" si="1774"/>
        <v>0</v>
      </c>
      <c r="TI303" s="91">
        <f t="shared" si="1775"/>
        <v>0</v>
      </c>
      <c r="TJ303" s="91">
        <f t="shared" si="1776"/>
        <v>0</v>
      </c>
      <c r="TY303" s="91">
        <f t="shared" si="1777"/>
        <v>0</v>
      </c>
      <c r="TZ303" s="91">
        <f t="shared" si="1778"/>
        <v>0</v>
      </c>
      <c r="UO303" s="91">
        <f t="shared" si="1779"/>
        <v>0</v>
      </c>
      <c r="UP303" s="91">
        <f t="shared" si="1780"/>
        <v>0</v>
      </c>
      <c r="VE303" s="91">
        <f t="shared" si="1781"/>
        <v>0</v>
      </c>
      <c r="VF303" s="91">
        <f t="shared" si="1782"/>
        <v>0</v>
      </c>
      <c r="VU303" s="91">
        <f t="shared" si="1783"/>
        <v>0</v>
      </c>
      <c r="VV303" s="91">
        <f t="shared" si="1784"/>
        <v>0</v>
      </c>
      <c r="WK303" s="91">
        <f t="shared" si="1785"/>
        <v>0</v>
      </c>
      <c r="WL303" s="91">
        <f t="shared" si="1786"/>
        <v>0</v>
      </c>
      <c r="WM303" s="89"/>
      <c r="WN303" s="87">
        <f t="shared" si="1787"/>
        <v>0</v>
      </c>
      <c r="WO303" s="87">
        <f t="shared" si="1788"/>
        <v>0</v>
      </c>
      <c r="WP303" s="87">
        <f t="shared" si="1789"/>
        <v>0</v>
      </c>
      <c r="WQ303" s="87">
        <f t="shared" si="1790"/>
        <v>0</v>
      </c>
      <c r="WR303" s="87">
        <f t="shared" si="1791"/>
        <v>0</v>
      </c>
      <c r="WS303" s="87">
        <f t="shared" si="1792"/>
        <v>0</v>
      </c>
      <c r="WT303" s="87">
        <f t="shared" si="1793"/>
        <v>0</v>
      </c>
      <c r="WU303" s="87">
        <f t="shared" si="1794"/>
        <v>0</v>
      </c>
      <c r="WV303" s="87">
        <f t="shared" si="1795"/>
        <v>0</v>
      </c>
      <c r="WW303" s="87">
        <f t="shared" si="1796"/>
        <v>0</v>
      </c>
      <c r="WX303" s="87">
        <f t="shared" si="1797"/>
        <v>0</v>
      </c>
      <c r="WY303" s="87">
        <f t="shared" si="1798"/>
        <v>0</v>
      </c>
      <c r="WZ303" s="87">
        <f t="shared" ref="WZ303:WZ316" si="1805">SUMIF($C$5:$WL$5,$WZ$5,C303:WL303)</f>
        <v>0</v>
      </c>
      <c r="XA303" s="87">
        <f t="shared" ref="XA303:XA316" si="1806">SUMIF($C$5:$WL$5,$XA$5,C303:WL303)</f>
        <v>0</v>
      </c>
      <c r="XB303" s="92">
        <f t="shared" ref="XB303:XB316" si="1807">SUMIF($WN$12:$XA$12,$XB$12,WN303:XA303)</f>
        <v>0</v>
      </c>
      <c r="XC303" s="92">
        <f t="shared" ref="XC303:XC316" si="1808">SUMIF($WN$12:$XA$12,$XC$12,WN303:XA303)</f>
        <v>0</v>
      </c>
      <c r="XD303" s="89"/>
      <c r="XE303" s="92"/>
      <c r="XF303" s="92"/>
      <c r="XG303" s="89"/>
      <c r="XH303" s="92"/>
      <c r="XI303" s="92"/>
      <c r="XJ303" s="89"/>
      <c r="XK303" s="87"/>
      <c r="XL303" s="87"/>
      <c r="XM303" s="87"/>
      <c r="XN303" s="87"/>
      <c r="XO303" s="87"/>
      <c r="XP303" s="87"/>
      <c r="XQ303" s="87"/>
      <c r="XR303" s="92">
        <f t="shared" ca="1" si="1803"/>
        <v>0</v>
      </c>
      <c r="XS303" s="89"/>
      <c r="XT303" s="87"/>
      <c r="XU303" s="87"/>
      <c r="XV303" s="87"/>
      <c r="XW303" s="87"/>
      <c r="XX303" s="87"/>
      <c r="XY303" s="87"/>
      <c r="XZ303" s="87"/>
      <c r="YA303" s="92">
        <f t="shared" ca="1" si="1804"/>
        <v>0</v>
      </c>
      <c r="YB303" s="90"/>
      <c r="YC303" s="90"/>
      <c r="YD303" s="90"/>
      <c r="YE303" s="90"/>
      <c r="YF303" s="90"/>
      <c r="YG303" s="90"/>
      <c r="YH303" s="90"/>
      <c r="YI303" s="90"/>
      <c r="YJ303" s="90"/>
      <c r="YK303" s="90"/>
      <c r="YL303" s="90"/>
      <c r="YM303" s="90"/>
      <c r="YN303" s="90"/>
      <c r="YO303" s="90"/>
      <c r="YP303" s="90"/>
      <c r="YQ303" s="90"/>
      <c r="YR303" s="90"/>
      <c r="YS303" s="90"/>
      <c r="YT303" s="90"/>
      <c r="YU303" s="90"/>
      <c r="YV303" s="90"/>
      <c r="YW303" s="90"/>
      <c r="YX303" s="90"/>
      <c r="YY303" s="90"/>
      <c r="YZ303" s="90"/>
      <c r="ZA303" s="90"/>
      <c r="ZB303" s="90"/>
      <c r="ZC303" s="90"/>
      <c r="ZD303" s="90"/>
      <c r="ZE303" s="90"/>
      <c r="ZF303" s="90"/>
      <c r="ZG303" s="90"/>
      <c r="ZH303" s="90"/>
      <c r="ZI303" s="90"/>
      <c r="ZJ303" s="90"/>
      <c r="ZK303" s="90"/>
      <c r="ZL303" s="90"/>
      <c r="ZM303" s="90"/>
      <c r="ZN303" s="90"/>
      <c r="ZO303" s="90"/>
      <c r="ZP303" s="90"/>
      <c r="ZQ303" s="90"/>
      <c r="ZR303" s="90"/>
      <c r="ZS303" s="90"/>
      <c r="ZT303" s="90"/>
      <c r="ZU303" s="90"/>
      <c r="ZV303" s="90"/>
      <c r="ZW303" s="90"/>
      <c r="ZX303" s="90"/>
      <c r="ZY303" s="90"/>
      <c r="ZZ303" s="90"/>
      <c r="AAA303" s="90"/>
      <c r="AAB303" s="90"/>
      <c r="AAC303" s="90"/>
      <c r="AAD303" s="90"/>
      <c r="AAE303" s="90"/>
      <c r="AAF303" s="90"/>
      <c r="AAG303" s="90"/>
      <c r="AAH303" s="90"/>
      <c r="AAI303" s="90"/>
      <c r="AAJ303" s="90"/>
      <c r="AAK303" s="90"/>
      <c r="AAL303" s="90"/>
      <c r="AAM303" s="90"/>
      <c r="AAN303" s="90"/>
      <c r="AAO303" s="90"/>
      <c r="AAP303" s="90"/>
      <c r="AAQ303" s="90"/>
      <c r="AAR303" s="90"/>
      <c r="AAS303" s="90"/>
      <c r="AAT303" s="90"/>
      <c r="AAU303" s="90"/>
      <c r="AAV303" s="90"/>
      <c r="AAW303" s="90"/>
      <c r="AAX303" s="90"/>
      <c r="AAY303" s="90"/>
      <c r="AAZ303" s="90"/>
      <c r="ABA303" s="90"/>
      <c r="ABB303" s="90"/>
      <c r="ABC303" s="90"/>
      <c r="ABD303" s="90"/>
      <c r="ABE303" s="90"/>
      <c r="ABF303" s="90"/>
      <c r="ABG303" s="90"/>
      <c r="ABH303" s="90"/>
      <c r="ABI303" s="90"/>
      <c r="ABJ303" s="90"/>
      <c r="ABK303" s="90"/>
      <c r="ABL303" s="90"/>
      <c r="ABM303" s="90"/>
      <c r="ABN303" s="90"/>
      <c r="ABO303" s="90"/>
      <c r="ABP303" s="90"/>
      <c r="ABQ303" s="90"/>
      <c r="ABR303" s="90"/>
      <c r="ABS303" s="90"/>
      <c r="ABT303" s="90"/>
      <c r="ABU303" s="90"/>
      <c r="ABV303" s="90"/>
      <c r="ABW303" s="90"/>
      <c r="ABX303" s="90"/>
      <c r="ABY303" s="90"/>
      <c r="ABZ303" s="90"/>
      <c r="ACA303" s="90"/>
      <c r="ACB303" s="90"/>
      <c r="ACC303" s="90"/>
      <c r="ACD303" s="90"/>
      <c r="ACE303" s="90"/>
      <c r="ACF303" s="90"/>
      <c r="ACG303" s="90"/>
      <c r="ACH303" s="90"/>
      <c r="ACI303" s="90"/>
      <c r="ACJ303" s="90"/>
      <c r="ACK303" s="90"/>
      <c r="ACL303" s="90"/>
      <c r="ACM303" s="90"/>
      <c r="ACN303" s="90"/>
      <c r="ACO303" s="90"/>
      <c r="ACP303" s="90"/>
      <c r="ACQ303" s="90"/>
      <c r="ACR303" s="90"/>
      <c r="ACS303" s="90"/>
      <c r="ACT303" s="90"/>
      <c r="ACU303" s="90"/>
      <c r="ACV303" s="90"/>
      <c r="ACW303" s="90"/>
      <c r="ACX303" s="90"/>
      <c r="ACY303" s="90"/>
      <c r="ACZ303" s="90"/>
      <c r="ADA303" s="90"/>
      <c r="ADB303" s="90"/>
      <c r="ADC303" s="90"/>
      <c r="ADD303" s="90"/>
      <c r="ADE303" s="90"/>
      <c r="ADF303" s="90"/>
      <c r="ADG303" s="90"/>
      <c r="ADH303" s="90"/>
      <c r="ADI303" s="90"/>
      <c r="ADJ303" s="90"/>
      <c r="ADK303" s="90"/>
      <c r="ADL303" s="90"/>
      <c r="ADM303" s="90"/>
      <c r="ADN303" s="90"/>
      <c r="ADO303" s="90"/>
      <c r="ADP303" s="90"/>
      <c r="ADQ303" s="90"/>
      <c r="ADR303" s="90"/>
      <c r="ADS303" s="90"/>
      <c r="ADT303" s="90"/>
      <c r="ADU303" s="90"/>
      <c r="ADV303" s="90"/>
      <c r="ADW303" s="90"/>
      <c r="ADX303" s="90"/>
      <c r="ADY303" s="90"/>
      <c r="ADZ303" s="90"/>
      <c r="AEA303" s="90"/>
      <c r="AEB303" s="90"/>
      <c r="AEC303" s="90"/>
      <c r="AED303" s="90"/>
      <c r="AEE303" s="90"/>
      <c r="AEF303" s="90"/>
      <c r="AEG303" s="90"/>
      <c r="AEH303" s="90"/>
      <c r="AEI303" s="90"/>
      <c r="AEJ303" s="90"/>
      <c r="AEK303" s="90"/>
      <c r="AEL303" s="90"/>
      <c r="AEM303" s="90"/>
      <c r="AEN303" s="90"/>
      <c r="AEO303" s="90"/>
      <c r="AEP303" s="90"/>
      <c r="AEQ303" s="90"/>
      <c r="AER303" s="90"/>
      <c r="AES303" s="90"/>
      <c r="AET303" s="90"/>
      <c r="AEU303" s="90"/>
      <c r="AEV303" s="90"/>
      <c r="AEW303" s="90"/>
      <c r="AEX303" s="90"/>
      <c r="AEY303" s="90"/>
      <c r="AEZ303" s="90"/>
      <c r="AFA303" s="90"/>
      <c r="AFB303" s="90"/>
      <c r="AFC303" s="90"/>
      <c r="AFD303" s="90"/>
      <c r="AFE303" s="90"/>
      <c r="AFF303" s="90"/>
      <c r="AFG303" s="90"/>
      <c r="AFH303" s="90"/>
      <c r="AFI303" s="90"/>
      <c r="AFJ303" s="90"/>
      <c r="AFK303" s="90"/>
      <c r="AFL303" s="90"/>
      <c r="AFM303" s="90"/>
      <c r="AFN303" s="90"/>
      <c r="AFO303" s="90"/>
      <c r="AFP303" s="90"/>
      <c r="AFQ303" s="90"/>
      <c r="AFR303" s="90"/>
      <c r="AFS303" s="90"/>
      <c r="AFT303" s="90"/>
      <c r="AFU303" s="90"/>
      <c r="AFV303" s="90"/>
      <c r="AFW303" s="90"/>
      <c r="AFX303" s="90"/>
      <c r="AFY303" s="90"/>
      <c r="AFZ303" s="90"/>
      <c r="AGA303" s="90"/>
      <c r="AGB303" s="90"/>
      <c r="AGC303" s="90"/>
      <c r="AGD303" s="90"/>
      <c r="AGE303" s="90"/>
      <c r="AGF303" s="90"/>
      <c r="AGG303" s="90"/>
      <c r="AGH303" s="90"/>
      <c r="AGI303" s="90"/>
      <c r="AGJ303" s="90"/>
      <c r="AGK303" s="90"/>
      <c r="AGL303" s="90"/>
      <c r="AGM303" s="90"/>
      <c r="AGN303" s="90"/>
      <c r="AGO303" s="90"/>
      <c r="AGP303" s="90"/>
      <c r="AGQ303" s="90"/>
      <c r="AGR303" s="90"/>
      <c r="AGS303" s="90"/>
      <c r="AGT303" s="90"/>
      <c r="AGU303" s="90"/>
      <c r="AGV303" s="90"/>
      <c r="AGW303" s="90"/>
      <c r="AGX303" s="90"/>
      <c r="AGY303" s="90"/>
      <c r="AGZ303" s="90"/>
      <c r="AHA303" s="90"/>
      <c r="AHB303" s="90"/>
      <c r="AHC303" s="90"/>
      <c r="AHD303" s="90"/>
      <c r="AHE303" s="90"/>
      <c r="AHF303" s="90"/>
      <c r="AHG303" s="90"/>
      <c r="AHH303" s="90"/>
      <c r="AHI303" s="90"/>
      <c r="AHJ303" s="90"/>
      <c r="AHK303" s="90"/>
      <c r="AHL303" s="90"/>
      <c r="AHM303" s="90"/>
      <c r="AHN303" s="90"/>
      <c r="AHO303" s="90"/>
      <c r="AHP303" s="90"/>
      <c r="AHQ303" s="90"/>
      <c r="AHR303" s="90"/>
      <c r="AHS303" s="90"/>
      <c r="AHT303" s="90"/>
      <c r="AHU303" s="90"/>
      <c r="AHV303" s="90"/>
      <c r="AHW303" s="90"/>
      <c r="AHX303" s="90"/>
      <c r="AHY303" s="90"/>
      <c r="AHZ303" s="90"/>
      <c r="AIA303" s="90"/>
      <c r="AIB303" s="90"/>
      <c r="AIC303" s="90"/>
      <c r="AID303" s="90"/>
      <c r="AIE303" s="90"/>
      <c r="AIF303" s="90"/>
      <c r="AIG303" s="90"/>
      <c r="AIH303" s="90"/>
      <c r="AII303" s="90"/>
      <c r="AIJ303" s="90"/>
      <c r="AIK303" s="90"/>
      <c r="AIL303" s="90"/>
      <c r="AIM303" s="90"/>
      <c r="AIN303" s="90"/>
      <c r="AIO303" s="90"/>
      <c r="AIP303" s="90"/>
      <c r="AIQ303" s="90"/>
      <c r="AIR303" s="90"/>
      <c r="AIS303" s="90"/>
      <c r="AIT303" s="90"/>
      <c r="AIU303" s="90"/>
      <c r="AIV303" s="90"/>
      <c r="AIW303" s="90"/>
      <c r="AIX303" s="90"/>
      <c r="AIY303" s="90"/>
      <c r="AIZ303" s="90"/>
      <c r="AJA303" s="90"/>
      <c r="AJB303" s="90"/>
      <c r="AJC303" s="90"/>
      <c r="AJD303" s="90"/>
      <c r="AJE303" s="90"/>
      <c r="AJF303" s="90"/>
      <c r="AJG303" s="90"/>
      <c r="AJH303" s="90"/>
      <c r="AJI303" s="90"/>
      <c r="AJJ303" s="90"/>
      <c r="AJK303" s="90"/>
      <c r="AJL303" s="90"/>
      <c r="AJM303" s="90"/>
      <c r="AJN303" s="90"/>
      <c r="AJO303" s="90"/>
      <c r="AJP303" s="90"/>
      <c r="AJQ303" s="90"/>
      <c r="AJR303" s="90"/>
      <c r="AJS303" s="90"/>
      <c r="AJT303" s="90"/>
      <c r="AJU303" s="90"/>
      <c r="AJV303" s="90"/>
      <c r="AJW303" s="90"/>
      <c r="AJX303" s="90"/>
      <c r="AJY303" s="90"/>
      <c r="AJZ303" s="90"/>
      <c r="AKA303" s="90"/>
      <c r="AKB303" s="90"/>
      <c r="AKC303" s="90"/>
      <c r="AKD303" s="90"/>
      <c r="AKE303" s="90"/>
      <c r="AKF303" s="90"/>
      <c r="AKG303" s="90"/>
      <c r="AKH303" s="90"/>
      <c r="AKI303" s="90"/>
      <c r="AKJ303" s="90"/>
      <c r="AKK303" s="90"/>
      <c r="AKL303" s="90"/>
      <c r="AKM303" s="90"/>
      <c r="AKN303" s="90"/>
      <c r="AKO303" s="90"/>
      <c r="AKP303" s="90"/>
      <c r="AKQ303" s="90"/>
      <c r="AKR303" s="90"/>
      <c r="AKS303" s="90"/>
      <c r="AKT303" s="90"/>
      <c r="AKU303" s="90"/>
      <c r="AKV303" s="90"/>
      <c r="AKW303" s="90"/>
      <c r="AKX303" s="90"/>
      <c r="AKY303" s="90"/>
      <c r="AKZ303" s="90"/>
      <c r="ALA303" s="90"/>
      <c r="ALB303" s="90"/>
      <c r="ALC303" s="90"/>
      <c r="ALD303" s="90"/>
      <c r="ALE303" s="90"/>
      <c r="ALF303" s="90"/>
      <c r="ALG303" s="90"/>
      <c r="ALH303" s="90"/>
      <c r="ALI303" s="90"/>
      <c r="ALJ303" s="90"/>
      <c r="ALK303" s="90"/>
      <c r="ALL303" s="90"/>
      <c r="ALM303" s="90"/>
      <c r="ALN303" s="90"/>
      <c r="ALO303" s="90"/>
      <c r="ALP303" s="90"/>
      <c r="ALQ303" s="90"/>
      <c r="ALR303" s="90"/>
      <c r="ALS303" s="90"/>
      <c r="ALT303" s="90"/>
      <c r="ALU303" s="90"/>
      <c r="ALV303" s="90"/>
      <c r="ALW303" s="90"/>
      <c r="ALX303" s="90"/>
      <c r="ALY303" s="90"/>
      <c r="ALZ303" s="90"/>
      <c r="AMA303" s="90"/>
      <c r="AMB303" s="90"/>
      <c r="AMC303" s="90"/>
    </row>
    <row r="304" spans="1:1017">
      <c r="A304" s="98" t="s">
        <v>52</v>
      </c>
      <c r="B304" s="90" t="str">
        <f t="shared" si="1710"/>
        <v>Udang Putih</v>
      </c>
      <c r="E304" s="98">
        <v>92800</v>
      </c>
      <c r="F304" s="98">
        <v>3712000</v>
      </c>
      <c r="Q304" s="91">
        <f t="shared" si="1711"/>
        <v>92800</v>
      </c>
      <c r="R304" s="91">
        <f t="shared" si="1712"/>
        <v>3712000</v>
      </c>
      <c r="AG304" s="91">
        <f t="shared" si="1713"/>
        <v>0</v>
      </c>
      <c r="AH304" s="91">
        <f t="shared" si="1714"/>
        <v>0</v>
      </c>
      <c r="AW304" s="91">
        <f t="shared" si="1715"/>
        <v>0</v>
      </c>
      <c r="AX304" s="91">
        <f t="shared" si="1716"/>
        <v>0</v>
      </c>
      <c r="BM304" s="91">
        <f t="shared" si="1717"/>
        <v>0</v>
      </c>
      <c r="BN304" s="91">
        <f t="shared" si="1718"/>
        <v>0</v>
      </c>
      <c r="CC304" s="91">
        <f t="shared" si="1719"/>
        <v>0</v>
      </c>
      <c r="CD304" s="91">
        <f t="shared" si="1720"/>
        <v>0</v>
      </c>
      <c r="CS304" s="91">
        <f t="shared" si="1721"/>
        <v>0</v>
      </c>
      <c r="CT304" s="91">
        <f t="shared" si="1722"/>
        <v>0</v>
      </c>
      <c r="DI304" s="91">
        <f t="shared" si="1723"/>
        <v>0</v>
      </c>
      <c r="DJ304" s="91">
        <f t="shared" si="1724"/>
        <v>0</v>
      </c>
      <c r="DY304" s="91">
        <f t="shared" si="1725"/>
        <v>0</v>
      </c>
      <c r="DZ304" s="91">
        <f t="shared" si="1726"/>
        <v>0</v>
      </c>
      <c r="EO304" s="91">
        <f t="shared" si="1727"/>
        <v>0</v>
      </c>
      <c r="EP304" s="91">
        <f t="shared" si="1728"/>
        <v>0</v>
      </c>
      <c r="FE304" s="91">
        <f t="shared" si="1729"/>
        <v>0</v>
      </c>
      <c r="FF304" s="91">
        <f t="shared" si="1730"/>
        <v>0</v>
      </c>
      <c r="FU304" s="91">
        <f t="shared" si="1731"/>
        <v>0</v>
      </c>
      <c r="FV304" s="91">
        <f t="shared" si="1732"/>
        <v>0</v>
      </c>
      <c r="GK304" s="91">
        <f t="shared" si="1733"/>
        <v>0</v>
      </c>
      <c r="GL304" s="91">
        <f t="shared" si="1734"/>
        <v>0</v>
      </c>
      <c r="HA304" s="91">
        <f t="shared" si="1735"/>
        <v>0</v>
      </c>
      <c r="HB304" s="91">
        <f t="shared" si="1736"/>
        <v>0</v>
      </c>
      <c r="HQ304" s="91">
        <f t="shared" si="1737"/>
        <v>0</v>
      </c>
      <c r="HR304" s="91">
        <f t="shared" si="1738"/>
        <v>0</v>
      </c>
      <c r="IG304" s="91">
        <f t="shared" si="1739"/>
        <v>0</v>
      </c>
      <c r="IH304" s="91">
        <f t="shared" si="1740"/>
        <v>0</v>
      </c>
      <c r="IW304" s="91">
        <f t="shared" si="1741"/>
        <v>0</v>
      </c>
      <c r="IX304" s="91">
        <f t="shared" si="1742"/>
        <v>0</v>
      </c>
      <c r="JM304" s="91">
        <f t="shared" si="1743"/>
        <v>0</v>
      </c>
      <c r="JN304" s="91">
        <f t="shared" si="1744"/>
        <v>0</v>
      </c>
      <c r="KC304" s="91">
        <f t="shared" si="1745"/>
        <v>0</v>
      </c>
      <c r="KD304" s="91">
        <f t="shared" si="1746"/>
        <v>0</v>
      </c>
      <c r="KS304" s="91">
        <f t="shared" si="1747"/>
        <v>0</v>
      </c>
      <c r="KT304" s="91">
        <f t="shared" si="1748"/>
        <v>0</v>
      </c>
      <c r="LI304" s="91">
        <f t="shared" si="1749"/>
        <v>0</v>
      </c>
      <c r="LJ304" s="91">
        <f t="shared" si="1750"/>
        <v>0</v>
      </c>
      <c r="LY304" s="91">
        <f t="shared" si="1751"/>
        <v>0</v>
      </c>
      <c r="LZ304" s="91">
        <f t="shared" si="1752"/>
        <v>0</v>
      </c>
      <c r="MC304" s="98">
        <v>9810</v>
      </c>
      <c r="MD304" s="98">
        <v>392400</v>
      </c>
      <c r="MO304" s="91">
        <f t="shared" si="1753"/>
        <v>9810</v>
      </c>
      <c r="MP304" s="91">
        <f t="shared" si="1754"/>
        <v>392400</v>
      </c>
      <c r="NE304" s="91">
        <f t="shared" si="1755"/>
        <v>0</v>
      </c>
      <c r="NF304" s="91">
        <f t="shared" si="1756"/>
        <v>0</v>
      </c>
      <c r="NI304" s="98">
        <v>101400</v>
      </c>
      <c r="NJ304" s="98">
        <v>4563000</v>
      </c>
      <c r="NU304" s="91">
        <f t="shared" si="1757"/>
        <v>101400</v>
      </c>
      <c r="NV304" s="91">
        <f t="shared" si="1758"/>
        <v>4563000</v>
      </c>
      <c r="OK304" s="91">
        <f t="shared" si="1759"/>
        <v>0</v>
      </c>
      <c r="OL304" s="91">
        <f t="shared" si="1760"/>
        <v>0</v>
      </c>
      <c r="PA304" s="91">
        <f t="shared" si="1761"/>
        <v>0</v>
      </c>
      <c r="PB304" s="91">
        <f t="shared" si="1762"/>
        <v>0</v>
      </c>
      <c r="PQ304" s="91">
        <f t="shared" si="1763"/>
        <v>0</v>
      </c>
      <c r="PR304" s="91">
        <f t="shared" si="1764"/>
        <v>0</v>
      </c>
      <c r="QG304" s="91">
        <f t="shared" si="1765"/>
        <v>0</v>
      </c>
      <c r="QH304" s="91">
        <f t="shared" si="1766"/>
        <v>0</v>
      </c>
      <c r="QW304" s="91">
        <f t="shared" si="1767"/>
        <v>0</v>
      </c>
      <c r="QX304" s="91">
        <f t="shared" si="1768"/>
        <v>0</v>
      </c>
      <c r="RM304" s="91">
        <f t="shared" si="1769"/>
        <v>0</v>
      </c>
      <c r="RN304" s="91">
        <f t="shared" si="1770"/>
        <v>0</v>
      </c>
      <c r="SC304" s="91">
        <f t="shared" si="1771"/>
        <v>0</v>
      </c>
      <c r="SD304" s="91">
        <f t="shared" si="1772"/>
        <v>0</v>
      </c>
      <c r="SS304" s="91">
        <f t="shared" si="1773"/>
        <v>0</v>
      </c>
      <c r="ST304" s="91">
        <f t="shared" si="1774"/>
        <v>0</v>
      </c>
      <c r="TI304" s="91">
        <f t="shared" si="1775"/>
        <v>0</v>
      </c>
      <c r="TJ304" s="91">
        <f t="shared" si="1776"/>
        <v>0</v>
      </c>
      <c r="TY304" s="91">
        <f t="shared" si="1777"/>
        <v>0</v>
      </c>
      <c r="TZ304" s="91">
        <f t="shared" si="1778"/>
        <v>0</v>
      </c>
      <c r="UO304" s="91">
        <f t="shared" si="1779"/>
        <v>0</v>
      </c>
      <c r="UP304" s="91">
        <f t="shared" si="1780"/>
        <v>0</v>
      </c>
      <c r="VE304" s="91">
        <f t="shared" si="1781"/>
        <v>0</v>
      </c>
      <c r="VF304" s="91">
        <f t="shared" si="1782"/>
        <v>0</v>
      </c>
      <c r="VI304" s="98">
        <v>236</v>
      </c>
      <c r="VJ304" s="98">
        <v>11800</v>
      </c>
      <c r="VU304" s="91">
        <f t="shared" si="1783"/>
        <v>236</v>
      </c>
      <c r="VV304" s="91">
        <f t="shared" si="1784"/>
        <v>11800</v>
      </c>
      <c r="WK304" s="91">
        <f t="shared" si="1785"/>
        <v>0</v>
      </c>
      <c r="WL304" s="91">
        <f t="shared" si="1786"/>
        <v>0</v>
      </c>
      <c r="WM304" s="89"/>
      <c r="WN304" s="87">
        <f t="shared" si="1787"/>
        <v>0</v>
      </c>
      <c r="WO304" s="87">
        <f t="shared" si="1788"/>
        <v>0</v>
      </c>
      <c r="WP304" s="87">
        <f t="shared" si="1789"/>
        <v>204246</v>
      </c>
      <c r="WQ304" s="87">
        <f t="shared" si="1790"/>
        <v>8679200</v>
      </c>
      <c r="WR304" s="87">
        <f t="shared" si="1791"/>
        <v>0</v>
      </c>
      <c r="WS304" s="87">
        <f t="shared" si="1792"/>
        <v>0</v>
      </c>
      <c r="WT304" s="87">
        <f t="shared" si="1793"/>
        <v>0</v>
      </c>
      <c r="WU304" s="87">
        <f t="shared" si="1794"/>
        <v>0</v>
      </c>
      <c r="WV304" s="87">
        <f t="shared" si="1795"/>
        <v>0</v>
      </c>
      <c r="WW304" s="87">
        <f t="shared" si="1796"/>
        <v>0</v>
      </c>
      <c r="WX304" s="87">
        <f t="shared" si="1797"/>
        <v>0</v>
      </c>
      <c r="WY304" s="87">
        <f t="shared" si="1798"/>
        <v>0</v>
      </c>
      <c r="WZ304" s="87">
        <f t="shared" si="1805"/>
        <v>0</v>
      </c>
      <c r="XA304" s="87">
        <f t="shared" si="1806"/>
        <v>0</v>
      </c>
      <c r="XB304" s="92">
        <f t="shared" si="1807"/>
        <v>204246</v>
      </c>
      <c r="XC304" s="92">
        <f t="shared" si="1808"/>
        <v>8679200</v>
      </c>
      <c r="XD304" s="89"/>
      <c r="XE304" s="92"/>
      <c r="XF304" s="92"/>
      <c r="XG304" s="89"/>
      <c r="XH304" s="92"/>
      <c r="XI304" s="92"/>
      <c r="XJ304" s="89"/>
      <c r="XK304" s="87"/>
      <c r="XL304" s="87"/>
      <c r="XM304" s="87"/>
      <c r="XN304" s="87"/>
      <c r="XO304" s="87"/>
      <c r="XP304" s="87"/>
      <c r="XQ304" s="87"/>
      <c r="XR304" s="92">
        <f t="shared" ca="1" si="1803"/>
        <v>0</v>
      </c>
      <c r="XS304" s="89"/>
      <c r="XT304" s="87"/>
      <c r="XU304" s="87"/>
      <c r="XV304" s="87"/>
      <c r="XW304" s="87"/>
      <c r="XX304" s="87"/>
      <c r="XY304" s="87"/>
      <c r="XZ304" s="87"/>
      <c r="YA304" s="92">
        <f t="shared" ca="1" si="1804"/>
        <v>0</v>
      </c>
      <c r="YB304" s="90"/>
      <c r="YC304" s="90"/>
      <c r="YD304" s="90"/>
      <c r="YE304" s="90"/>
      <c r="YF304" s="90"/>
      <c r="YG304" s="90"/>
      <c r="YH304" s="90"/>
      <c r="YI304" s="90"/>
      <c r="YJ304" s="90"/>
      <c r="YK304" s="90"/>
      <c r="YL304" s="90"/>
      <c r="YM304" s="90"/>
      <c r="YN304" s="90"/>
      <c r="YO304" s="90"/>
      <c r="YP304" s="90"/>
      <c r="YQ304" s="90"/>
      <c r="YR304" s="90"/>
      <c r="YS304" s="90"/>
      <c r="YT304" s="90"/>
      <c r="YU304" s="90"/>
      <c r="YV304" s="90"/>
      <c r="YW304" s="90"/>
      <c r="YX304" s="90"/>
      <c r="YY304" s="90"/>
      <c r="YZ304" s="90"/>
      <c r="ZA304" s="90"/>
      <c r="ZB304" s="90"/>
      <c r="ZC304" s="90"/>
      <c r="ZD304" s="90"/>
      <c r="ZE304" s="90"/>
      <c r="ZF304" s="90"/>
      <c r="ZG304" s="90"/>
      <c r="ZH304" s="90"/>
      <c r="ZI304" s="90"/>
      <c r="ZJ304" s="90"/>
      <c r="ZK304" s="90"/>
      <c r="ZL304" s="90"/>
      <c r="ZM304" s="90"/>
      <c r="ZN304" s="90"/>
      <c r="ZO304" s="90"/>
      <c r="ZP304" s="90"/>
      <c r="ZQ304" s="90"/>
      <c r="ZR304" s="90"/>
      <c r="ZS304" s="90"/>
      <c r="ZT304" s="90"/>
      <c r="ZU304" s="90"/>
      <c r="ZV304" s="90"/>
      <c r="ZW304" s="90"/>
      <c r="ZX304" s="90"/>
      <c r="ZY304" s="90"/>
      <c r="ZZ304" s="90"/>
      <c r="AAA304" s="90"/>
      <c r="AAB304" s="90"/>
      <c r="AAC304" s="90"/>
      <c r="AAD304" s="90"/>
      <c r="AAE304" s="90"/>
      <c r="AAF304" s="90"/>
      <c r="AAG304" s="90"/>
      <c r="AAH304" s="90"/>
      <c r="AAI304" s="90"/>
      <c r="AAJ304" s="90"/>
      <c r="AAK304" s="90"/>
      <c r="AAL304" s="90"/>
      <c r="AAM304" s="90"/>
      <c r="AAN304" s="90"/>
      <c r="AAO304" s="90"/>
      <c r="AAP304" s="90"/>
      <c r="AAQ304" s="90"/>
      <c r="AAR304" s="90"/>
      <c r="AAS304" s="90"/>
      <c r="AAT304" s="90"/>
      <c r="AAU304" s="90"/>
      <c r="AAV304" s="90"/>
      <c r="AAW304" s="90"/>
      <c r="AAX304" s="90"/>
      <c r="AAY304" s="90"/>
      <c r="AAZ304" s="90"/>
      <c r="ABA304" s="90"/>
      <c r="ABB304" s="90"/>
      <c r="ABC304" s="90"/>
      <c r="ABD304" s="90"/>
      <c r="ABE304" s="90"/>
      <c r="ABF304" s="90"/>
      <c r="ABG304" s="90"/>
      <c r="ABH304" s="90"/>
      <c r="ABI304" s="90"/>
      <c r="ABJ304" s="90"/>
      <c r="ABK304" s="90"/>
      <c r="ABL304" s="90"/>
      <c r="ABM304" s="90"/>
      <c r="ABN304" s="90"/>
      <c r="ABO304" s="90"/>
      <c r="ABP304" s="90"/>
      <c r="ABQ304" s="90"/>
      <c r="ABR304" s="90"/>
      <c r="ABS304" s="90"/>
      <c r="ABT304" s="90"/>
      <c r="ABU304" s="90"/>
      <c r="ABV304" s="90"/>
      <c r="ABW304" s="90"/>
      <c r="ABX304" s="90"/>
      <c r="ABY304" s="90"/>
      <c r="ABZ304" s="90"/>
      <c r="ACA304" s="90"/>
      <c r="ACB304" s="90"/>
      <c r="ACC304" s="90"/>
      <c r="ACD304" s="90"/>
      <c r="ACE304" s="90"/>
      <c r="ACF304" s="90"/>
      <c r="ACG304" s="90"/>
      <c r="ACH304" s="90"/>
      <c r="ACI304" s="90"/>
      <c r="ACJ304" s="90"/>
      <c r="ACK304" s="90"/>
      <c r="ACL304" s="90"/>
      <c r="ACM304" s="90"/>
      <c r="ACN304" s="90"/>
      <c r="ACO304" s="90"/>
      <c r="ACP304" s="90"/>
      <c r="ACQ304" s="90"/>
      <c r="ACR304" s="90"/>
      <c r="ACS304" s="90"/>
      <c r="ACT304" s="90"/>
      <c r="ACU304" s="90"/>
      <c r="ACV304" s="90"/>
      <c r="ACW304" s="90"/>
      <c r="ACX304" s="90"/>
      <c r="ACY304" s="90"/>
      <c r="ACZ304" s="90"/>
      <c r="ADA304" s="90"/>
      <c r="ADB304" s="90"/>
      <c r="ADC304" s="90"/>
      <c r="ADD304" s="90"/>
      <c r="ADE304" s="90"/>
      <c r="ADF304" s="90"/>
      <c r="ADG304" s="90"/>
      <c r="ADH304" s="90"/>
      <c r="ADI304" s="90"/>
      <c r="ADJ304" s="90"/>
      <c r="ADK304" s="90"/>
      <c r="ADL304" s="90"/>
      <c r="ADM304" s="90"/>
      <c r="ADN304" s="90"/>
      <c r="ADO304" s="90"/>
      <c r="ADP304" s="90"/>
      <c r="ADQ304" s="90"/>
      <c r="ADR304" s="90"/>
      <c r="ADS304" s="90"/>
      <c r="ADT304" s="90"/>
      <c r="ADU304" s="90"/>
      <c r="ADV304" s="90"/>
      <c r="ADW304" s="90"/>
      <c r="ADX304" s="90"/>
      <c r="ADY304" s="90"/>
      <c r="ADZ304" s="90"/>
      <c r="AEA304" s="90"/>
      <c r="AEB304" s="90"/>
      <c r="AEC304" s="90"/>
      <c r="AED304" s="90"/>
      <c r="AEE304" s="90"/>
      <c r="AEF304" s="90"/>
      <c r="AEG304" s="90"/>
      <c r="AEH304" s="90"/>
      <c r="AEI304" s="90"/>
      <c r="AEJ304" s="90"/>
      <c r="AEK304" s="90"/>
      <c r="AEL304" s="90"/>
      <c r="AEM304" s="90"/>
      <c r="AEN304" s="90"/>
      <c r="AEO304" s="90"/>
      <c r="AEP304" s="90"/>
      <c r="AEQ304" s="90"/>
      <c r="AER304" s="90"/>
      <c r="AES304" s="90"/>
      <c r="AET304" s="90"/>
      <c r="AEU304" s="90"/>
      <c r="AEV304" s="90"/>
      <c r="AEW304" s="90"/>
      <c r="AEX304" s="90"/>
      <c r="AEY304" s="90"/>
      <c r="AEZ304" s="90"/>
      <c r="AFA304" s="90"/>
      <c r="AFB304" s="90"/>
      <c r="AFC304" s="90"/>
      <c r="AFD304" s="90"/>
      <c r="AFE304" s="90"/>
      <c r="AFF304" s="90"/>
      <c r="AFG304" s="90"/>
      <c r="AFH304" s="90"/>
      <c r="AFI304" s="90"/>
      <c r="AFJ304" s="90"/>
      <c r="AFK304" s="90"/>
      <c r="AFL304" s="90"/>
      <c r="AFM304" s="90"/>
      <c r="AFN304" s="90"/>
      <c r="AFO304" s="90"/>
      <c r="AFP304" s="90"/>
      <c r="AFQ304" s="90"/>
      <c r="AFR304" s="90"/>
      <c r="AFS304" s="90"/>
      <c r="AFT304" s="90"/>
      <c r="AFU304" s="90"/>
      <c r="AFV304" s="90"/>
      <c r="AFW304" s="90"/>
      <c r="AFX304" s="90"/>
      <c r="AFY304" s="90"/>
      <c r="AFZ304" s="90"/>
      <c r="AGA304" s="90"/>
      <c r="AGB304" s="90"/>
      <c r="AGC304" s="90"/>
      <c r="AGD304" s="90"/>
      <c r="AGE304" s="90"/>
      <c r="AGF304" s="90"/>
      <c r="AGG304" s="90"/>
      <c r="AGH304" s="90"/>
      <c r="AGI304" s="90"/>
      <c r="AGJ304" s="90"/>
      <c r="AGK304" s="90"/>
      <c r="AGL304" s="90"/>
      <c r="AGM304" s="90"/>
      <c r="AGN304" s="90"/>
      <c r="AGO304" s="90"/>
      <c r="AGP304" s="90"/>
      <c r="AGQ304" s="90"/>
      <c r="AGR304" s="90"/>
      <c r="AGS304" s="90"/>
      <c r="AGT304" s="90"/>
      <c r="AGU304" s="90"/>
      <c r="AGV304" s="90"/>
      <c r="AGW304" s="90"/>
      <c r="AGX304" s="90"/>
      <c r="AGY304" s="90"/>
      <c r="AGZ304" s="90"/>
      <c r="AHA304" s="90"/>
      <c r="AHB304" s="90"/>
      <c r="AHC304" s="90"/>
      <c r="AHD304" s="90"/>
      <c r="AHE304" s="90"/>
      <c r="AHF304" s="90"/>
      <c r="AHG304" s="90"/>
      <c r="AHH304" s="90"/>
      <c r="AHI304" s="90"/>
      <c r="AHJ304" s="90"/>
      <c r="AHK304" s="90"/>
      <c r="AHL304" s="90"/>
      <c r="AHM304" s="90"/>
      <c r="AHN304" s="90"/>
      <c r="AHO304" s="90"/>
      <c r="AHP304" s="90"/>
      <c r="AHQ304" s="90"/>
      <c r="AHR304" s="90"/>
      <c r="AHS304" s="90"/>
      <c r="AHT304" s="90"/>
      <c r="AHU304" s="90"/>
      <c r="AHV304" s="90"/>
      <c r="AHW304" s="90"/>
      <c r="AHX304" s="90"/>
      <c r="AHY304" s="90"/>
      <c r="AHZ304" s="90"/>
      <c r="AIA304" s="90"/>
      <c r="AIB304" s="90"/>
      <c r="AIC304" s="90"/>
      <c r="AID304" s="90"/>
      <c r="AIE304" s="90"/>
      <c r="AIF304" s="90"/>
      <c r="AIG304" s="90"/>
      <c r="AIH304" s="90"/>
      <c r="AII304" s="90"/>
      <c r="AIJ304" s="90"/>
      <c r="AIK304" s="90"/>
      <c r="AIL304" s="90"/>
      <c r="AIM304" s="90"/>
      <c r="AIN304" s="90"/>
      <c r="AIO304" s="90"/>
      <c r="AIP304" s="90"/>
      <c r="AIQ304" s="90"/>
      <c r="AIR304" s="90"/>
      <c r="AIS304" s="90"/>
      <c r="AIT304" s="90"/>
      <c r="AIU304" s="90"/>
      <c r="AIV304" s="90"/>
      <c r="AIW304" s="90"/>
      <c r="AIX304" s="90"/>
      <c r="AIY304" s="90"/>
      <c r="AIZ304" s="90"/>
      <c r="AJA304" s="90"/>
      <c r="AJB304" s="90"/>
      <c r="AJC304" s="90"/>
      <c r="AJD304" s="90"/>
      <c r="AJE304" s="90"/>
      <c r="AJF304" s="90"/>
      <c r="AJG304" s="90"/>
      <c r="AJH304" s="90"/>
      <c r="AJI304" s="90"/>
      <c r="AJJ304" s="90"/>
      <c r="AJK304" s="90"/>
      <c r="AJL304" s="90"/>
      <c r="AJM304" s="90"/>
      <c r="AJN304" s="90"/>
      <c r="AJO304" s="90"/>
      <c r="AJP304" s="90"/>
      <c r="AJQ304" s="90"/>
      <c r="AJR304" s="90"/>
      <c r="AJS304" s="90"/>
      <c r="AJT304" s="90"/>
      <c r="AJU304" s="90"/>
      <c r="AJV304" s="90"/>
      <c r="AJW304" s="90"/>
      <c r="AJX304" s="90"/>
      <c r="AJY304" s="90"/>
      <c r="AJZ304" s="90"/>
      <c r="AKA304" s="90"/>
      <c r="AKB304" s="90"/>
      <c r="AKC304" s="90"/>
      <c r="AKD304" s="90"/>
      <c r="AKE304" s="90"/>
      <c r="AKF304" s="90"/>
      <c r="AKG304" s="90"/>
      <c r="AKH304" s="90"/>
      <c r="AKI304" s="90"/>
      <c r="AKJ304" s="90"/>
      <c r="AKK304" s="90"/>
      <c r="AKL304" s="90"/>
      <c r="AKM304" s="90"/>
      <c r="AKN304" s="90"/>
      <c r="AKO304" s="90"/>
      <c r="AKP304" s="90"/>
      <c r="AKQ304" s="90"/>
      <c r="AKR304" s="90"/>
      <c r="AKS304" s="90"/>
      <c r="AKT304" s="90"/>
      <c r="AKU304" s="90"/>
      <c r="AKV304" s="90"/>
      <c r="AKW304" s="90"/>
      <c r="AKX304" s="90"/>
      <c r="AKY304" s="90"/>
      <c r="AKZ304" s="90"/>
      <c r="ALA304" s="90"/>
      <c r="ALB304" s="90"/>
      <c r="ALC304" s="90"/>
      <c r="ALD304" s="90"/>
      <c r="ALE304" s="90"/>
      <c r="ALF304" s="90"/>
      <c r="ALG304" s="90"/>
      <c r="ALH304" s="90"/>
      <c r="ALI304" s="90"/>
      <c r="ALJ304" s="90"/>
      <c r="ALK304" s="90"/>
      <c r="ALL304" s="90"/>
      <c r="ALM304" s="90"/>
      <c r="ALN304" s="90"/>
      <c r="ALO304" s="90"/>
      <c r="ALP304" s="90"/>
      <c r="ALQ304" s="90"/>
      <c r="ALR304" s="90"/>
      <c r="ALS304" s="90"/>
      <c r="ALT304" s="90"/>
      <c r="ALU304" s="90"/>
      <c r="ALV304" s="90"/>
      <c r="ALW304" s="90"/>
      <c r="ALX304" s="90"/>
      <c r="ALY304" s="90"/>
      <c r="ALZ304" s="90"/>
      <c r="AMA304" s="90"/>
      <c r="AMB304" s="90"/>
      <c r="AMC304" s="90"/>
    </row>
    <row r="305" spans="1:1017">
      <c r="A305" s="98" t="s">
        <v>52</v>
      </c>
      <c r="B305" s="90" t="str">
        <f t="shared" si="1710"/>
        <v xml:space="preserve">Udang Vaname </v>
      </c>
      <c r="E305" s="98">
        <v>36300</v>
      </c>
      <c r="F305" s="98">
        <v>2393700</v>
      </c>
      <c r="Q305" s="91">
        <f t="shared" si="1711"/>
        <v>36300</v>
      </c>
      <c r="R305" s="91">
        <f t="shared" si="1712"/>
        <v>2393700</v>
      </c>
      <c r="U305" s="98">
        <v>1649240</v>
      </c>
      <c r="V305" s="98">
        <v>90708200</v>
      </c>
      <c r="AG305" s="91">
        <f t="shared" si="1713"/>
        <v>1649240</v>
      </c>
      <c r="AH305" s="91">
        <f t="shared" si="1714"/>
        <v>90708200</v>
      </c>
      <c r="AK305" s="98">
        <v>37200</v>
      </c>
      <c r="AL305" s="98">
        <v>2418000</v>
      </c>
      <c r="AW305" s="91">
        <f t="shared" si="1715"/>
        <v>37200</v>
      </c>
      <c r="AX305" s="91">
        <f t="shared" si="1716"/>
        <v>2418000</v>
      </c>
      <c r="BM305" s="91">
        <f t="shared" si="1717"/>
        <v>0</v>
      </c>
      <c r="BN305" s="91">
        <f t="shared" si="1718"/>
        <v>0</v>
      </c>
      <c r="CC305" s="91">
        <f t="shared" si="1719"/>
        <v>0</v>
      </c>
      <c r="CD305" s="91">
        <f t="shared" si="1720"/>
        <v>0</v>
      </c>
      <c r="CG305" s="98">
        <v>1572400</v>
      </c>
      <c r="CH305" s="98">
        <v>78619982</v>
      </c>
      <c r="CS305" s="91">
        <f t="shared" si="1721"/>
        <v>1572400</v>
      </c>
      <c r="CT305" s="91">
        <f t="shared" si="1722"/>
        <v>78619982</v>
      </c>
      <c r="CW305" s="98">
        <v>450512.00000456849</v>
      </c>
      <c r="CX305" s="98">
        <v>24778160.002</v>
      </c>
      <c r="DI305" s="91">
        <f t="shared" si="1723"/>
        <v>450512.00000456849</v>
      </c>
      <c r="DJ305" s="91">
        <f t="shared" si="1724"/>
        <v>24778160.002</v>
      </c>
      <c r="DY305" s="91">
        <f t="shared" si="1725"/>
        <v>0</v>
      </c>
      <c r="DZ305" s="91">
        <f t="shared" si="1726"/>
        <v>0</v>
      </c>
      <c r="EO305" s="91">
        <f t="shared" si="1727"/>
        <v>0</v>
      </c>
      <c r="EP305" s="91">
        <f t="shared" si="1728"/>
        <v>0</v>
      </c>
      <c r="ES305" s="98">
        <v>111990</v>
      </c>
      <c r="ET305" s="98">
        <v>4479600</v>
      </c>
      <c r="EW305" s="98">
        <v>97367</v>
      </c>
      <c r="EX305" s="98">
        <v>3894680</v>
      </c>
      <c r="FE305" s="91">
        <f t="shared" si="1729"/>
        <v>209357</v>
      </c>
      <c r="FF305" s="91">
        <f t="shared" si="1730"/>
        <v>8374280</v>
      </c>
      <c r="FI305" s="98">
        <v>125000</v>
      </c>
      <c r="FJ305" s="98">
        <v>7500000</v>
      </c>
      <c r="FU305" s="91">
        <f t="shared" si="1731"/>
        <v>125000</v>
      </c>
      <c r="FV305" s="91">
        <f t="shared" si="1732"/>
        <v>7500000</v>
      </c>
      <c r="GK305" s="91">
        <f t="shared" si="1733"/>
        <v>0</v>
      </c>
      <c r="GL305" s="91">
        <f t="shared" si="1734"/>
        <v>0</v>
      </c>
      <c r="HA305" s="91">
        <f t="shared" si="1735"/>
        <v>0</v>
      </c>
      <c r="HB305" s="91">
        <f t="shared" si="1736"/>
        <v>0</v>
      </c>
      <c r="HE305" s="98">
        <v>235000</v>
      </c>
      <c r="HF305" s="98">
        <v>16450000</v>
      </c>
      <c r="HQ305" s="91">
        <f t="shared" si="1737"/>
        <v>235000</v>
      </c>
      <c r="HR305" s="91">
        <f t="shared" si="1738"/>
        <v>16450000</v>
      </c>
      <c r="IG305" s="91">
        <f t="shared" si="1739"/>
        <v>0</v>
      </c>
      <c r="IH305" s="91">
        <f t="shared" si="1740"/>
        <v>0</v>
      </c>
      <c r="IW305" s="91">
        <f t="shared" si="1741"/>
        <v>0</v>
      </c>
      <c r="IX305" s="91">
        <f t="shared" si="1742"/>
        <v>0</v>
      </c>
      <c r="JM305" s="91">
        <f t="shared" si="1743"/>
        <v>0</v>
      </c>
      <c r="JN305" s="91">
        <f t="shared" si="1744"/>
        <v>0</v>
      </c>
      <c r="JQ305" s="98">
        <v>120830</v>
      </c>
      <c r="JR305" s="98">
        <v>9666400</v>
      </c>
      <c r="KC305" s="91">
        <f t="shared" si="1745"/>
        <v>120830</v>
      </c>
      <c r="KD305" s="91">
        <f t="shared" si="1746"/>
        <v>9666400</v>
      </c>
      <c r="KG305" s="98">
        <v>18483</v>
      </c>
      <c r="KH305" s="98">
        <v>887184</v>
      </c>
      <c r="KS305" s="91">
        <f t="shared" si="1747"/>
        <v>18483</v>
      </c>
      <c r="KT305" s="91">
        <f t="shared" si="1748"/>
        <v>887184</v>
      </c>
      <c r="KW305" s="98">
        <v>202484.68</v>
      </c>
      <c r="KX305" s="98">
        <v>11136657</v>
      </c>
      <c r="LI305" s="91">
        <f t="shared" si="1749"/>
        <v>202484.68</v>
      </c>
      <c r="LJ305" s="91">
        <f t="shared" si="1750"/>
        <v>11136657</v>
      </c>
      <c r="LY305" s="91">
        <f t="shared" si="1751"/>
        <v>0</v>
      </c>
      <c r="LZ305" s="91">
        <f t="shared" si="1752"/>
        <v>0</v>
      </c>
      <c r="MC305" s="98">
        <v>1159570</v>
      </c>
      <c r="MD305" s="98">
        <v>57978500</v>
      </c>
      <c r="MO305" s="91">
        <f t="shared" si="1753"/>
        <v>1159570</v>
      </c>
      <c r="MP305" s="91">
        <f t="shared" si="1754"/>
        <v>57978500</v>
      </c>
      <c r="MS305" s="98">
        <v>19200</v>
      </c>
      <c r="MT305" s="98">
        <v>1248000</v>
      </c>
      <c r="NE305" s="91">
        <f t="shared" si="1755"/>
        <v>19200</v>
      </c>
      <c r="NF305" s="91">
        <f t="shared" si="1756"/>
        <v>1248000</v>
      </c>
      <c r="NI305" s="98">
        <v>559000</v>
      </c>
      <c r="NJ305" s="98">
        <v>33540000</v>
      </c>
      <c r="NU305" s="91">
        <f t="shared" si="1757"/>
        <v>559000</v>
      </c>
      <c r="NV305" s="91">
        <f t="shared" si="1758"/>
        <v>33540000</v>
      </c>
      <c r="NY305" s="98">
        <v>990800</v>
      </c>
      <c r="NZ305" s="98">
        <v>49540000</v>
      </c>
      <c r="OK305" s="91">
        <f t="shared" si="1759"/>
        <v>990800</v>
      </c>
      <c r="OL305" s="91">
        <f t="shared" si="1760"/>
        <v>49540000</v>
      </c>
      <c r="OO305" s="98">
        <v>889993</v>
      </c>
      <c r="OP305" s="98">
        <v>54203310.000000007</v>
      </c>
      <c r="PA305" s="91">
        <f t="shared" si="1761"/>
        <v>889993</v>
      </c>
      <c r="PB305" s="91">
        <f t="shared" si="1762"/>
        <v>54203310.000000007</v>
      </c>
      <c r="PE305" s="98">
        <v>15546</v>
      </c>
      <c r="PF305" s="98">
        <v>1010490</v>
      </c>
      <c r="PQ305" s="91">
        <f t="shared" si="1763"/>
        <v>15546</v>
      </c>
      <c r="PR305" s="91">
        <f t="shared" si="1764"/>
        <v>1010490</v>
      </c>
      <c r="PU305" s="98">
        <v>665520</v>
      </c>
      <c r="PV305" s="98">
        <v>39931200</v>
      </c>
      <c r="QA305" s="98">
        <v>215410</v>
      </c>
      <c r="QB305" s="98">
        <v>12924600</v>
      </c>
      <c r="QG305" s="91">
        <f t="shared" si="1765"/>
        <v>880930</v>
      </c>
      <c r="QH305" s="91">
        <f t="shared" si="1766"/>
        <v>52855800</v>
      </c>
      <c r="QW305" s="91">
        <f t="shared" si="1767"/>
        <v>0</v>
      </c>
      <c r="QX305" s="91">
        <f t="shared" si="1768"/>
        <v>0</v>
      </c>
      <c r="RM305" s="91">
        <f t="shared" si="1769"/>
        <v>0</v>
      </c>
      <c r="RN305" s="91">
        <f t="shared" si="1770"/>
        <v>0</v>
      </c>
      <c r="SC305" s="91">
        <f t="shared" si="1771"/>
        <v>0</v>
      </c>
      <c r="SD305" s="91">
        <f t="shared" si="1772"/>
        <v>0</v>
      </c>
      <c r="SS305" s="91">
        <f t="shared" si="1773"/>
        <v>0</v>
      </c>
      <c r="ST305" s="91">
        <f t="shared" si="1774"/>
        <v>0</v>
      </c>
      <c r="TI305" s="91">
        <f t="shared" si="1775"/>
        <v>0</v>
      </c>
      <c r="TJ305" s="91">
        <f t="shared" si="1776"/>
        <v>0</v>
      </c>
      <c r="TY305" s="91">
        <f t="shared" si="1777"/>
        <v>0</v>
      </c>
      <c r="TZ305" s="91">
        <f t="shared" si="1778"/>
        <v>0</v>
      </c>
      <c r="UO305" s="91">
        <f t="shared" si="1779"/>
        <v>0</v>
      </c>
      <c r="UP305" s="91">
        <f t="shared" si="1780"/>
        <v>0</v>
      </c>
      <c r="US305" s="98">
        <v>272</v>
      </c>
      <c r="UT305" s="98">
        <v>17680</v>
      </c>
      <c r="VE305" s="91">
        <f t="shared" si="1781"/>
        <v>272</v>
      </c>
      <c r="VF305" s="91">
        <f t="shared" si="1782"/>
        <v>17680</v>
      </c>
      <c r="VI305" s="98">
        <v>8875</v>
      </c>
      <c r="VJ305" s="98">
        <v>488125</v>
      </c>
      <c r="VU305" s="91">
        <f t="shared" si="1783"/>
        <v>8875</v>
      </c>
      <c r="VV305" s="91">
        <f t="shared" si="1784"/>
        <v>488125</v>
      </c>
      <c r="VY305" s="98">
        <v>21400</v>
      </c>
      <c r="VZ305" s="98">
        <v>1070000</v>
      </c>
      <c r="WK305" s="91">
        <f t="shared" si="1785"/>
        <v>21400</v>
      </c>
      <c r="WL305" s="91">
        <f t="shared" si="1786"/>
        <v>1070000</v>
      </c>
      <c r="WM305" s="89"/>
      <c r="WN305" s="87">
        <f t="shared" si="1787"/>
        <v>0</v>
      </c>
      <c r="WO305" s="87">
        <f t="shared" si="1788"/>
        <v>0</v>
      </c>
      <c r="WP305" s="87">
        <f t="shared" si="1789"/>
        <v>8889615.6800045688</v>
      </c>
      <c r="WQ305" s="87">
        <f t="shared" si="1790"/>
        <v>488065188.00199997</v>
      </c>
      <c r="WR305" s="87">
        <f t="shared" si="1791"/>
        <v>0</v>
      </c>
      <c r="WS305" s="87">
        <f t="shared" si="1792"/>
        <v>0</v>
      </c>
      <c r="WT305" s="87">
        <f t="shared" si="1793"/>
        <v>97367</v>
      </c>
      <c r="WU305" s="87">
        <f t="shared" si="1794"/>
        <v>3894680</v>
      </c>
      <c r="WV305" s="87">
        <f t="shared" si="1795"/>
        <v>215410</v>
      </c>
      <c r="WW305" s="87">
        <f t="shared" si="1796"/>
        <v>12924600</v>
      </c>
      <c r="WX305" s="87">
        <f t="shared" si="1797"/>
        <v>0</v>
      </c>
      <c r="WY305" s="87">
        <f t="shared" si="1798"/>
        <v>0</v>
      </c>
      <c r="WZ305" s="87">
        <f t="shared" si="1805"/>
        <v>0</v>
      </c>
      <c r="XA305" s="87">
        <f t="shared" si="1806"/>
        <v>0</v>
      </c>
      <c r="XB305" s="92">
        <f t="shared" si="1807"/>
        <v>9202392.6800045688</v>
      </c>
      <c r="XC305" s="92">
        <f t="shared" si="1808"/>
        <v>504884468.00199997</v>
      </c>
      <c r="XD305" s="89"/>
      <c r="XE305" s="92"/>
      <c r="XF305" s="92"/>
      <c r="XG305" s="89"/>
      <c r="XH305" s="92"/>
      <c r="XI305" s="92"/>
      <c r="XJ305" s="89"/>
      <c r="XK305" s="87"/>
      <c r="XL305" s="87"/>
      <c r="XM305" s="87"/>
      <c r="XN305" s="87"/>
      <c r="XO305" s="87"/>
      <c r="XP305" s="87"/>
      <c r="XQ305" s="87"/>
      <c r="XR305" s="92">
        <f t="shared" ca="1" si="1803"/>
        <v>0</v>
      </c>
      <c r="XS305" s="89"/>
      <c r="XT305" s="87"/>
      <c r="XU305" s="87"/>
      <c r="XV305" s="87"/>
      <c r="XW305" s="87"/>
      <c r="XX305" s="87"/>
      <c r="XY305" s="87"/>
      <c r="XZ305" s="87"/>
      <c r="YA305" s="92">
        <f t="shared" ca="1" si="1804"/>
        <v>0</v>
      </c>
      <c r="YB305" s="90"/>
      <c r="YC305" s="90"/>
      <c r="YD305" s="90"/>
      <c r="YE305" s="90"/>
      <c r="YF305" s="90"/>
      <c r="YG305" s="90"/>
      <c r="YH305" s="90"/>
      <c r="YI305" s="90"/>
      <c r="YJ305" s="90"/>
      <c r="YK305" s="90"/>
      <c r="YL305" s="90"/>
      <c r="YM305" s="90"/>
      <c r="YN305" s="90"/>
      <c r="YO305" s="90"/>
      <c r="YP305" s="90"/>
      <c r="YQ305" s="90"/>
      <c r="YR305" s="90"/>
      <c r="YS305" s="90"/>
      <c r="YT305" s="90"/>
      <c r="YU305" s="90"/>
      <c r="YV305" s="90"/>
      <c r="YW305" s="90"/>
      <c r="YX305" s="90"/>
      <c r="YY305" s="90"/>
      <c r="YZ305" s="90"/>
      <c r="ZA305" s="90"/>
      <c r="ZB305" s="90"/>
      <c r="ZC305" s="90"/>
      <c r="ZD305" s="90"/>
      <c r="ZE305" s="90"/>
      <c r="ZF305" s="90"/>
      <c r="ZG305" s="90"/>
      <c r="ZH305" s="90"/>
      <c r="ZI305" s="90"/>
      <c r="ZJ305" s="90"/>
      <c r="ZK305" s="90"/>
      <c r="ZL305" s="90"/>
      <c r="ZM305" s="90"/>
      <c r="ZN305" s="90"/>
      <c r="ZO305" s="90"/>
      <c r="ZP305" s="90"/>
      <c r="ZQ305" s="90"/>
      <c r="ZR305" s="90"/>
      <c r="ZS305" s="90"/>
      <c r="ZT305" s="90"/>
      <c r="ZU305" s="90"/>
      <c r="ZV305" s="90"/>
      <c r="ZW305" s="90"/>
      <c r="ZX305" s="90"/>
      <c r="ZY305" s="90"/>
      <c r="ZZ305" s="90"/>
      <c r="AAA305" s="90"/>
      <c r="AAB305" s="90"/>
      <c r="AAC305" s="90"/>
      <c r="AAD305" s="90"/>
      <c r="AAE305" s="90"/>
      <c r="AAF305" s="90"/>
      <c r="AAG305" s="90"/>
      <c r="AAH305" s="90"/>
      <c r="AAI305" s="90"/>
      <c r="AAJ305" s="90"/>
      <c r="AAK305" s="90"/>
      <c r="AAL305" s="90"/>
      <c r="AAM305" s="90"/>
      <c r="AAN305" s="90"/>
      <c r="AAO305" s="90"/>
      <c r="AAP305" s="90"/>
      <c r="AAQ305" s="90"/>
      <c r="AAR305" s="90"/>
      <c r="AAS305" s="90"/>
      <c r="AAT305" s="90"/>
      <c r="AAU305" s="90"/>
      <c r="AAV305" s="90"/>
      <c r="AAW305" s="90"/>
      <c r="AAX305" s="90"/>
      <c r="AAY305" s="90"/>
      <c r="AAZ305" s="90"/>
      <c r="ABA305" s="90"/>
      <c r="ABB305" s="90"/>
      <c r="ABC305" s="90"/>
      <c r="ABD305" s="90"/>
      <c r="ABE305" s="90"/>
      <c r="ABF305" s="90"/>
      <c r="ABG305" s="90"/>
      <c r="ABH305" s="90"/>
      <c r="ABI305" s="90"/>
      <c r="ABJ305" s="90"/>
      <c r="ABK305" s="90"/>
      <c r="ABL305" s="90"/>
      <c r="ABM305" s="90"/>
      <c r="ABN305" s="90"/>
      <c r="ABO305" s="90"/>
      <c r="ABP305" s="90"/>
      <c r="ABQ305" s="90"/>
      <c r="ABR305" s="90"/>
      <c r="ABS305" s="90"/>
      <c r="ABT305" s="90"/>
      <c r="ABU305" s="90"/>
      <c r="ABV305" s="90"/>
      <c r="ABW305" s="90"/>
      <c r="ABX305" s="90"/>
      <c r="ABY305" s="90"/>
      <c r="ABZ305" s="90"/>
      <c r="ACA305" s="90"/>
      <c r="ACB305" s="90"/>
      <c r="ACC305" s="90"/>
      <c r="ACD305" s="90"/>
      <c r="ACE305" s="90"/>
      <c r="ACF305" s="90"/>
      <c r="ACG305" s="90"/>
      <c r="ACH305" s="90"/>
      <c r="ACI305" s="90"/>
      <c r="ACJ305" s="90"/>
      <c r="ACK305" s="90"/>
      <c r="ACL305" s="90"/>
      <c r="ACM305" s="90"/>
      <c r="ACN305" s="90"/>
      <c r="ACO305" s="90"/>
      <c r="ACP305" s="90"/>
      <c r="ACQ305" s="90"/>
      <c r="ACR305" s="90"/>
      <c r="ACS305" s="90"/>
      <c r="ACT305" s="90"/>
      <c r="ACU305" s="90"/>
      <c r="ACV305" s="90"/>
      <c r="ACW305" s="90"/>
      <c r="ACX305" s="90"/>
      <c r="ACY305" s="90"/>
      <c r="ACZ305" s="90"/>
      <c r="ADA305" s="90"/>
      <c r="ADB305" s="90"/>
      <c r="ADC305" s="90"/>
      <c r="ADD305" s="90"/>
      <c r="ADE305" s="90"/>
      <c r="ADF305" s="90"/>
      <c r="ADG305" s="90"/>
      <c r="ADH305" s="90"/>
      <c r="ADI305" s="90"/>
      <c r="ADJ305" s="90"/>
      <c r="ADK305" s="90"/>
      <c r="ADL305" s="90"/>
      <c r="ADM305" s="90"/>
      <c r="ADN305" s="90"/>
      <c r="ADO305" s="90"/>
      <c r="ADP305" s="90"/>
      <c r="ADQ305" s="90"/>
      <c r="ADR305" s="90"/>
      <c r="ADS305" s="90"/>
      <c r="ADT305" s="90"/>
      <c r="ADU305" s="90"/>
      <c r="ADV305" s="90"/>
      <c r="ADW305" s="90"/>
      <c r="ADX305" s="90"/>
      <c r="ADY305" s="90"/>
      <c r="ADZ305" s="90"/>
      <c r="AEA305" s="90"/>
      <c r="AEB305" s="90"/>
      <c r="AEC305" s="90"/>
      <c r="AED305" s="90"/>
      <c r="AEE305" s="90"/>
      <c r="AEF305" s="90"/>
      <c r="AEG305" s="90"/>
      <c r="AEH305" s="90"/>
      <c r="AEI305" s="90"/>
      <c r="AEJ305" s="90"/>
      <c r="AEK305" s="90"/>
      <c r="AEL305" s="90"/>
      <c r="AEM305" s="90"/>
      <c r="AEN305" s="90"/>
      <c r="AEO305" s="90"/>
      <c r="AEP305" s="90"/>
      <c r="AEQ305" s="90"/>
      <c r="AER305" s="90"/>
      <c r="AES305" s="90"/>
      <c r="AET305" s="90"/>
      <c r="AEU305" s="90"/>
      <c r="AEV305" s="90"/>
      <c r="AEW305" s="90"/>
      <c r="AEX305" s="90"/>
      <c r="AEY305" s="90"/>
      <c r="AEZ305" s="90"/>
      <c r="AFA305" s="90"/>
      <c r="AFB305" s="90"/>
      <c r="AFC305" s="90"/>
      <c r="AFD305" s="90"/>
      <c r="AFE305" s="90"/>
      <c r="AFF305" s="90"/>
      <c r="AFG305" s="90"/>
      <c r="AFH305" s="90"/>
      <c r="AFI305" s="90"/>
      <c r="AFJ305" s="90"/>
      <c r="AFK305" s="90"/>
      <c r="AFL305" s="90"/>
      <c r="AFM305" s="90"/>
      <c r="AFN305" s="90"/>
      <c r="AFO305" s="90"/>
      <c r="AFP305" s="90"/>
      <c r="AFQ305" s="90"/>
      <c r="AFR305" s="90"/>
      <c r="AFS305" s="90"/>
      <c r="AFT305" s="90"/>
      <c r="AFU305" s="90"/>
      <c r="AFV305" s="90"/>
      <c r="AFW305" s="90"/>
      <c r="AFX305" s="90"/>
      <c r="AFY305" s="90"/>
      <c r="AFZ305" s="90"/>
      <c r="AGA305" s="90"/>
      <c r="AGB305" s="90"/>
      <c r="AGC305" s="90"/>
      <c r="AGD305" s="90"/>
      <c r="AGE305" s="90"/>
      <c r="AGF305" s="90"/>
      <c r="AGG305" s="90"/>
      <c r="AGH305" s="90"/>
      <c r="AGI305" s="90"/>
      <c r="AGJ305" s="90"/>
      <c r="AGK305" s="90"/>
      <c r="AGL305" s="90"/>
      <c r="AGM305" s="90"/>
      <c r="AGN305" s="90"/>
      <c r="AGO305" s="90"/>
      <c r="AGP305" s="90"/>
      <c r="AGQ305" s="90"/>
      <c r="AGR305" s="90"/>
      <c r="AGS305" s="90"/>
      <c r="AGT305" s="90"/>
      <c r="AGU305" s="90"/>
      <c r="AGV305" s="90"/>
      <c r="AGW305" s="90"/>
      <c r="AGX305" s="90"/>
      <c r="AGY305" s="90"/>
      <c r="AGZ305" s="90"/>
      <c r="AHA305" s="90"/>
      <c r="AHB305" s="90"/>
      <c r="AHC305" s="90"/>
      <c r="AHD305" s="90"/>
      <c r="AHE305" s="90"/>
      <c r="AHF305" s="90"/>
      <c r="AHG305" s="90"/>
      <c r="AHH305" s="90"/>
      <c r="AHI305" s="90"/>
      <c r="AHJ305" s="90"/>
      <c r="AHK305" s="90"/>
      <c r="AHL305" s="90"/>
      <c r="AHM305" s="90"/>
      <c r="AHN305" s="90"/>
      <c r="AHO305" s="90"/>
      <c r="AHP305" s="90"/>
      <c r="AHQ305" s="90"/>
      <c r="AHR305" s="90"/>
      <c r="AHS305" s="90"/>
      <c r="AHT305" s="90"/>
      <c r="AHU305" s="90"/>
      <c r="AHV305" s="90"/>
      <c r="AHW305" s="90"/>
      <c r="AHX305" s="90"/>
      <c r="AHY305" s="90"/>
      <c r="AHZ305" s="90"/>
      <c r="AIA305" s="90"/>
      <c r="AIB305" s="90"/>
      <c r="AIC305" s="90"/>
      <c r="AID305" s="90"/>
      <c r="AIE305" s="90"/>
      <c r="AIF305" s="90"/>
      <c r="AIG305" s="90"/>
      <c r="AIH305" s="90"/>
      <c r="AII305" s="90"/>
      <c r="AIJ305" s="90"/>
      <c r="AIK305" s="90"/>
      <c r="AIL305" s="90"/>
      <c r="AIM305" s="90"/>
      <c r="AIN305" s="90"/>
      <c r="AIO305" s="90"/>
      <c r="AIP305" s="90"/>
      <c r="AIQ305" s="90"/>
      <c r="AIR305" s="90"/>
      <c r="AIS305" s="90"/>
      <c r="AIT305" s="90"/>
      <c r="AIU305" s="90"/>
      <c r="AIV305" s="90"/>
      <c r="AIW305" s="90"/>
      <c r="AIX305" s="90"/>
      <c r="AIY305" s="90"/>
      <c r="AIZ305" s="90"/>
      <c r="AJA305" s="90"/>
      <c r="AJB305" s="90"/>
      <c r="AJC305" s="90"/>
      <c r="AJD305" s="90"/>
      <c r="AJE305" s="90"/>
      <c r="AJF305" s="90"/>
      <c r="AJG305" s="90"/>
      <c r="AJH305" s="90"/>
      <c r="AJI305" s="90"/>
      <c r="AJJ305" s="90"/>
      <c r="AJK305" s="90"/>
      <c r="AJL305" s="90"/>
      <c r="AJM305" s="90"/>
      <c r="AJN305" s="90"/>
      <c r="AJO305" s="90"/>
      <c r="AJP305" s="90"/>
      <c r="AJQ305" s="90"/>
      <c r="AJR305" s="90"/>
      <c r="AJS305" s="90"/>
      <c r="AJT305" s="90"/>
      <c r="AJU305" s="90"/>
      <c r="AJV305" s="90"/>
      <c r="AJW305" s="90"/>
      <c r="AJX305" s="90"/>
      <c r="AJY305" s="90"/>
      <c r="AJZ305" s="90"/>
      <c r="AKA305" s="90"/>
      <c r="AKB305" s="90"/>
      <c r="AKC305" s="90"/>
      <c r="AKD305" s="90"/>
      <c r="AKE305" s="90"/>
      <c r="AKF305" s="90"/>
      <c r="AKG305" s="90"/>
      <c r="AKH305" s="90"/>
      <c r="AKI305" s="90"/>
      <c r="AKJ305" s="90"/>
      <c r="AKK305" s="90"/>
      <c r="AKL305" s="90"/>
      <c r="AKM305" s="90"/>
      <c r="AKN305" s="90"/>
      <c r="AKO305" s="90"/>
      <c r="AKP305" s="90"/>
      <c r="AKQ305" s="90"/>
      <c r="AKR305" s="90"/>
      <c r="AKS305" s="90"/>
      <c r="AKT305" s="90"/>
      <c r="AKU305" s="90"/>
      <c r="AKV305" s="90"/>
      <c r="AKW305" s="90"/>
      <c r="AKX305" s="90"/>
      <c r="AKY305" s="90"/>
      <c r="AKZ305" s="90"/>
      <c r="ALA305" s="90"/>
      <c r="ALB305" s="90"/>
      <c r="ALC305" s="90"/>
      <c r="ALD305" s="90"/>
      <c r="ALE305" s="90"/>
      <c r="ALF305" s="90"/>
      <c r="ALG305" s="90"/>
      <c r="ALH305" s="90"/>
      <c r="ALI305" s="90"/>
      <c r="ALJ305" s="90"/>
      <c r="ALK305" s="90"/>
      <c r="ALL305" s="90"/>
      <c r="ALM305" s="90"/>
      <c r="ALN305" s="90"/>
      <c r="ALO305" s="90"/>
      <c r="ALP305" s="90"/>
      <c r="ALQ305" s="90"/>
      <c r="ALR305" s="90"/>
      <c r="ALS305" s="90"/>
      <c r="ALT305" s="90"/>
      <c r="ALU305" s="90"/>
      <c r="ALV305" s="90"/>
      <c r="ALW305" s="90"/>
      <c r="ALX305" s="90"/>
      <c r="ALY305" s="90"/>
      <c r="ALZ305" s="90"/>
      <c r="AMA305" s="90"/>
      <c r="AMB305" s="90"/>
      <c r="AMC305" s="90"/>
    </row>
    <row r="306" spans="1:1017">
      <c r="A306" s="98" t="s">
        <v>52</v>
      </c>
      <c r="B306" s="90" t="str">
        <f t="shared" si="1710"/>
        <v xml:space="preserve">Udang Windu </v>
      </c>
      <c r="E306" s="98">
        <v>2800</v>
      </c>
      <c r="F306" s="98">
        <v>364000</v>
      </c>
      <c r="Q306" s="91">
        <f t="shared" si="1711"/>
        <v>2800</v>
      </c>
      <c r="R306" s="91">
        <f t="shared" si="1712"/>
        <v>364000</v>
      </c>
      <c r="AG306" s="91">
        <f t="shared" si="1713"/>
        <v>0</v>
      </c>
      <c r="AH306" s="91">
        <f t="shared" si="1714"/>
        <v>0</v>
      </c>
      <c r="AW306" s="91">
        <f t="shared" si="1715"/>
        <v>0</v>
      </c>
      <c r="AX306" s="91">
        <f t="shared" si="1716"/>
        <v>0</v>
      </c>
      <c r="BM306" s="91">
        <f t="shared" si="1717"/>
        <v>0</v>
      </c>
      <c r="BN306" s="91">
        <f t="shared" si="1718"/>
        <v>0</v>
      </c>
      <c r="CC306" s="91">
        <f t="shared" si="1719"/>
        <v>0</v>
      </c>
      <c r="CD306" s="91">
        <f t="shared" si="1720"/>
        <v>0</v>
      </c>
      <c r="CG306" s="98">
        <v>255366</v>
      </c>
      <c r="CH306" s="98">
        <v>25536551</v>
      </c>
      <c r="CS306" s="91">
        <f t="shared" si="1721"/>
        <v>255366</v>
      </c>
      <c r="CT306" s="91">
        <f t="shared" si="1722"/>
        <v>25536551</v>
      </c>
      <c r="DI306" s="91">
        <f t="shared" si="1723"/>
        <v>0</v>
      </c>
      <c r="DJ306" s="91">
        <f t="shared" si="1724"/>
        <v>0</v>
      </c>
      <c r="DY306" s="91">
        <f t="shared" si="1725"/>
        <v>0</v>
      </c>
      <c r="DZ306" s="91">
        <f t="shared" si="1726"/>
        <v>0</v>
      </c>
      <c r="EO306" s="91">
        <f t="shared" si="1727"/>
        <v>0</v>
      </c>
      <c r="EP306" s="91">
        <f t="shared" si="1728"/>
        <v>0</v>
      </c>
      <c r="FE306" s="91">
        <f t="shared" si="1729"/>
        <v>0</v>
      </c>
      <c r="FF306" s="91">
        <f t="shared" si="1730"/>
        <v>0</v>
      </c>
      <c r="FU306" s="91">
        <f t="shared" si="1731"/>
        <v>0</v>
      </c>
      <c r="FV306" s="91">
        <f t="shared" si="1732"/>
        <v>0</v>
      </c>
      <c r="GK306" s="91">
        <f t="shared" si="1733"/>
        <v>0</v>
      </c>
      <c r="GL306" s="91">
        <f t="shared" si="1734"/>
        <v>0</v>
      </c>
      <c r="HA306" s="91">
        <f t="shared" si="1735"/>
        <v>0</v>
      </c>
      <c r="HB306" s="91">
        <f t="shared" si="1736"/>
        <v>0</v>
      </c>
      <c r="HQ306" s="91">
        <f t="shared" si="1737"/>
        <v>0</v>
      </c>
      <c r="HR306" s="91">
        <f t="shared" si="1738"/>
        <v>0</v>
      </c>
      <c r="IG306" s="91">
        <f t="shared" si="1739"/>
        <v>0</v>
      </c>
      <c r="IH306" s="91">
        <f t="shared" si="1740"/>
        <v>0</v>
      </c>
      <c r="IW306" s="91">
        <f t="shared" si="1741"/>
        <v>0</v>
      </c>
      <c r="IX306" s="91">
        <f t="shared" si="1742"/>
        <v>0</v>
      </c>
      <c r="JM306" s="91">
        <f t="shared" si="1743"/>
        <v>0</v>
      </c>
      <c r="JN306" s="91">
        <f t="shared" si="1744"/>
        <v>0</v>
      </c>
      <c r="KC306" s="91">
        <f t="shared" si="1745"/>
        <v>0</v>
      </c>
      <c r="KD306" s="91">
        <f t="shared" si="1746"/>
        <v>0</v>
      </c>
      <c r="KS306" s="91">
        <f t="shared" si="1747"/>
        <v>0</v>
      </c>
      <c r="KT306" s="91">
        <f t="shared" si="1748"/>
        <v>0</v>
      </c>
      <c r="KW306" s="98">
        <v>2144.02</v>
      </c>
      <c r="KX306" s="98">
        <v>203681</v>
      </c>
      <c r="LI306" s="91">
        <f t="shared" si="1749"/>
        <v>2144.02</v>
      </c>
      <c r="LJ306" s="91">
        <f t="shared" si="1750"/>
        <v>203681</v>
      </c>
      <c r="LY306" s="91">
        <f t="shared" si="1751"/>
        <v>0</v>
      </c>
      <c r="LZ306" s="91">
        <f t="shared" si="1752"/>
        <v>0</v>
      </c>
      <c r="MO306" s="91">
        <f t="shared" si="1753"/>
        <v>0</v>
      </c>
      <c r="MP306" s="91">
        <f t="shared" si="1754"/>
        <v>0</v>
      </c>
      <c r="MS306" s="98">
        <v>550</v>
      </c>
      <c r="MT306" s="98">
        <v>44000</v>
      </c>
      <c r="NE306" s="91">
        <f t="shared" si="1755"/>
        <v>550</v>
      </c>
      <c r="NF306" s="91">
        <f t="shared" si="1756"/>
        <v>44000</v>
      </c>
      <c r="NI306" s="98">
        <v>333000</v>
      </c>
      <c r="NJ306" s="98">
        <v>29970000</v>
      </c>
      <c r="NU306" s="91">
        <f t="shared" si="1757"/>
        <v>333000</v>
      </c>
      <c r="NV306" s="91">
        <f t="shared" si="1758"/>
        <v>29970000</v>
      </c>
      <c r="NY306" s="98">
        <v>60</v>
      </c>
      <c r="NZ306" s="98">
        <v>9000</v>
      </c>
      <c r="OK306" s="91">
        <f t="shared" si="1759"/>
        <v>60</v>
      </c>
      <c r="OL306" s="91">
        <f t="shared" si="1760"/>
        <v>9000</v>
      </c>
      <c r="PA306" s="91">
        <f t="shared" si="1761"/>
        <v>0</v>
      </c>
      <c r="PB306" s="91">
        <f t="shared" si="1762"/>
        <v>0</v>
      </c>
      <c r="PQ306" s="91">
        <f t="shared" si="1763"/>
        <v>0</v>
      </c>
      <c r="PR306" s="91">
        <f t="shared" si="1764"/>
        <v>0</v>
      </c>
      <c r="QG306" s="91">
        <f t="shared" si="1765"/>
        <v>0</v>
      </c>
      <c r="QH306" s="91">
        <f t="shared" si="1766"/>
        <v>0</v>
      </c>
      <c r="QW306" s="91">
        <f t="shared" si="1767"/>
        <v>0</v>
      </c>
      <c r="QX306" s="91">
        <f t="shared" si="1768"/>
        <v>0</v>
      </c>
      <c r="RM306" s="91">
        <f t="shared" si="1769"/>
        <v>0</v>
      </c>
      <c r="RN306" s="91">
        <f t="shared" si="1770"/>
        <v>0</v>
      </c>
      <c r="SC306" s="91">
        <f t="shared" si="1771"/>
        <v>0</v>
      </c>
      <c r="SD306" s="91">
        <f t="shared" si="1772"/>
        <v>0</v>
      </c>
      <c r="SS306" s="91">
        <f t="shared" si="1773"/>
        <v>0</v>
      </c>
      <c r="ST306" s="91">
        <f t="shared" si="1774"/>
        <v>0</v>
      </c>
      <c r="TI306" s="91">
        <f t="shared" si="1775"/>
        <v>0</v>
      </c>
      <c r="TJ306" s="91">
        <f t="shared" si="1776"/>
        <v>0</v>
      </c>
      <c r="TY306" s="91">
        <f t="shared" si="1777"/>
        <v>0</v>
      </c>
      <c r="TZ306" s="91">
        <f t="shared" si="1778"/>
        <v>0</v>
      </c>
      <c r="UO306" s="91">
        <f t="shared" si="1779"/>
        <v>0</v>
      </c>
      <c r="UP306" s="91">
        <f t="shared" si="1780"/>
        <v>0</v>
      </c>
      <c r="VE306" s="91">
        <f t="shared" si="1781"/>
        <v>0</v>
      </c>
      <c r="VF306" s="91">
        <f t="shared" si="1782"/>
        <v>0</v>
      </c>
      <c r="VI306" s="98">
        <v>33</v>
      </c>
      <c r="VJ306" s="98">
        <v>2145</v>
      </c>
      <c r="VU306" s="91">
        <f t="shared" si="1783"/>
        <v>33</v>
      </c>
      <c r="VV306" s="91">
        <f t="shared" si="1784"/>
        <v>2145</v>
      </c>
      <c r="VY306" s="98">
        <v>1080</v>
      </c>
      <c r="VZ306" s="98">
        <v>97200</v>
      </c>
      <c r="WK306" s="91">
        <f t="shared" si="1785"/>
        <v>1080</v>
      </c>
      <c r="WL306" s="91">
        <f t="shared" si="1786"/>
        <v>97200</v>
      </c>
      <c r="WM306" s="89"/>
      <c r="WN306" s="87">
        <f t="shared" si="1787"/>
        <v>0</v>
      </c>
      <c r="WO306" s="87">
        <f t="shared" si="1788"/>
        <v>0</v>
      </c>
      <c r="WP306" s="87">
        <f t="shared" si="1789"/>
        <v>595033.02</v>
      </c>
      <c r="WQ306" s="87">
        <f t="shared" si="1790"/>
        <v>56226577</v>
      </c>
      <c r="WR306" s="87">
        <f t="shared" si="1791"/>
        <v>0</v>
      </c>
      <c r="WS306" s="87">
        <f t="shared" si="1792"/>
        <v>0</v>
      </c>
      <c r="WT306" s="87">
        <f t="shared" si="1793"/>
        <v>0</v>
      </c>
      <c r="WU306" s="87">
        <f t="shared" si="1794"/>
        <v>0</v>
      </c>
      <c r="WV306" s="87">
        <f t="shared" si="1795"/>
        <v>0</v>
      </c>
      <c r="WW306" s="87">
        <f t="shared" si="1796"/>
        <v>0</v>
      </c>
      <c r="WX306" s="87">
        <f t="shared" si="1797"/>
        <v>0</v>
      </c>
      <c r="WY306" s="87">
        <f t="shared" si="1798"/>
        <v>0</v>
      </c>
      <c r="WZ306" s="87">
        <f t="shared" si="1805"/>
        <v>0</v>
      </c>
      <c r="XA306" s="87">
        <f t="shared" si="1806"/>
        <v>0</v>
      </c>
      <c r="XB306" s="92">
        <f t="shared" si="1807"/>
        <v>595033.02</v>
      </c>
      <c r="XC306" s="92">
        <f t="shared" si="1808"/>
        <v>56226577</v>
      </c>
      <c r="XD306" s="89"/>
      <c r="XE306" s="92"/>
      <c r="XF306" s="92"/>
      <c r="XG306" s="89"/>
      <c r="XH306" s="92"/>
      <c r="XI306" s="92"/>
      <c r="XJ306" s="89"/>
      <c r="XK306" s="87"/>
      <c r="XL306" s="87"/>
      <c r="XM306" s="87"/>
      <c r="XN306" s="87"/>
      <c r="XO306" s="87"/>
      <c r="XP306" s="87"/>
      <c r="XQ306" s="87"/>
      <c r="XR306" s="92">
        <f t="shared" ca="1" si="1803"/>
        <v>0</v>
      </c>
      <c r="XS306" s="89"/>
      <c r="XT306" s="87"/>
      <c r="XU306" s="87"/>
      <c r="XV306" s="87"/>
      <c r="XW306" s="87"/>
      <c r="XX306" s="87"/>
      <c r="XY306" s="87"/>
      <c r="XZ306" s="87"/>
      <c r="YA306" s="92">
        <f t="shared" ca="1" si="1804"/>
        <v>0</v>
      </c>
      <c r="YB306" s="90"/>
      <c r="YC306" s="90"/>
      <c r="YD306" s="90"/>
      <c r="YE306" s="90"/>
      <c r="YF306" s="90"/>
      <c r="YG306" s="90"/>
      <c r="YH306" s="90"/>
      <c r="YI306" s="90"/>
      <c r="YJ306" s="90"/>
      <c r="YK306" s="90"/>
      <c r="YL306" s="90"/>
      <c r="YM306" s="90"/>
      <c r="YN306" s="90"/>
      <c r="YO306" s="90"/>
      <c r="YP306" s="90"/>
      <c r="YQ306" s="90"/>
      <c r="YR306" s="90"/>
      <c r="YS306" s="90"/>
      <c r="YT306" s="90"/>
      <c r="YU306" s="90"/>
      <c r="YV306" s="90"/>
      <c r="YW306" s="90"/>
      <c r="YX306" s="90"/>
      <c r="YY306" s="90"/>
      <c r="YZ306" s="90"/>
      <c r="ZA306" s="90"/>
      <c r="ZB306" s="90"/>
      <c r="ZC306" s="90"/>
      <c r="ZD306" s="90"/>
      <c r="ZE306" s="90"/>
      <c r="ZF306" s="90"/>
      <c r="ZG306" s="90"/>
      <c r="ZH306" s="90"/>
      <c r="ZI306" s="90"/>
      <c r="ZJ306" s="90"/>
      <c r="ZK306" s="90"/>
      <c r="ZL306" s="90"/>
      <c r="ZM306" s="90"/>
      <c r="ZN306" s="90"/>
      <c r="ZO306" s="90"/>
      <c r="ZP306" s="90"/>
      <c r="ZQ306" s="90"/>
      <c r="ZR306" s="90"/>
      <c r="ZS306" s="90"/>
      <c r="ZT306" s="90"/>
      <c r="ZU306" s="90"/>
      <c r="ZV306" s="90"/>
      <c r="ZW306" s="90"/>
      <c r="ZX306" s="90"/>
      <c r="ZY306" s="90"/>
      <c r="ZZ306" s="90"/>
      <c r="AAA306" s="90"/>
      <c r="AAB306" s="90"/>
      <c r="AAC306" s="90"/>
      <c r="AAD306" s="90"/>
      <c r="AAE306" s="90"/>
      <c r="AAF306" s="90"/>
      <c r="AAG306" s="90"/>
      <c r="AAH306" s="90"/>
      <c r="AAI306" s="90"/>
      <c r="AAJ306" s="90"/>
      <c r="AAK306" s="90"/>
      <c r="AAL306" s="90"/>
      <c r="AAM306" s="90"/>
      <c r="AAN306" s="90"/>
      <c r="AAO306" s="90"/>
      <c r="AAP306" s="90"/>
      <c r="AAQ306" s="90"/>
      <c r="AAR306" s="90"/>
      <c r="AAS306" s="90"/>
      <c r="AAT306" s="90"/>
      <c r="AAU306" s="90"/>
      <c r="AAV306" s="90"/>
      <c r="AAW306" s="90"/>
      <c r="AAX306" s="90"/>
      <c r="AAY306" s="90"/>
      <c r="AAZ306" s="90"/>
      <c r="ABA306" s="90"/>
      <c r="ABB306" s="90"/>
      <c r="ABC306" s="90"/>
      <c r="ABD306" s="90"/>
      <c r="ABE306" s="90"/>
      <c r="ABF306" s="90"/>
      <c r="ABG306" s="90"/>
      <c r="ABH306" s="90"/>
      <c r="ABI306" s="90"/>
      <c r="ABJ306" s="90"/>
      <c r="ABK306" s="90"/>
      <c r="ABL306" s="90"/>
      <c r="ABM306" s="90"/>
      <c r="ABN306" s="90"/>
      <c r="ABO306" s="90"/>
      <c r="ABP306" s="90"/>
      <c r="ABQ306" s="90"/>
      <c r="ABR306" s="90"/>
      <c r="ABS306" s="90"/>
      <c r="ABT306" s="90"/>
      <c r="ABU306" s="90"/>
      <c r="ABV306" s="90"/>
      <c r="ABW306" s="90"/>
      <c r="ABX306" s="90"/>
      <c r="ABY306" s="90"/>
      <c r="ABZ306" s="90"/>
      <c r="ACA306" s="90"/>
      <c r="ACB306" s="90"/>
      <c r="ACC306" s="90"/>
      <c r="ACD306" s="90"/>
      <c r="ACE306" s="90"/>
      <c r="ACF306" s="90"/>
      <c r="ACG306" s="90"/>
      <c r="ACH306" s="90"/>
      <c r="ACI306" s="90"/>
      <c r="ACJ306" s="90"/>
      <c r="ACK306" s="90"/>
      <c r="ACL306" s="90"/>
      <c r="ACM306" s="90"/>
      <c r="ACN306" s="90"/>
      <c r="ACO306" s="90"/>
      <c r="ACP306" s="90"/>
      <c r="ACQ306" s="90"/>
      <c r="ACR306" s="90"/>
      <c r="ACS306" s="90"/>
      <c r="ACT306" s="90"/>
      <c r="ACU306" s="90"/>
      <c r="ACV306" s="90"/>
      <c r="ACW306" s="90"/>
      <c r="ACX306" s="90"/>
      <c r="ACY306" s="90"/>
      <c r="ACZ306" s="90"/>
      <c r="ADA306" s="90"/>
      <c r="ADB306" s="90"/>
      <c r="ADC306" s="90"/>
      <c r="ADD306" s="90"/>
      <c r="ADE306" s="90"/>
      <c r="ADF306" s="90"/>
      <c r="ADG306" s="90"/>
      <c r="ADH306" s="90"/>
      <c r="ADI306" s="90"/>
      <c r="ADJ306" s="90"/>
      <c r="ADK306" s="90"/>
      <c r="ADL306" s="90"/>
      <c r="ADM306" s="90"/>
      <c r="ADN306" s="90"/>
      <c r="ADO306" s="90"/>
      <c r="ADP306" s="90"/>
      <c r="ADQ306" s="90"/>
      <c r="ADR306" s="90"/>
      <c r="ADS306" s="90"/>
      <c r="ADT306" s="90"/>
      <c r="ADU306" s="90"/>
      <c r="ADV306" s="90"/>
      <c r="ADW306" s="90"/>
      <c r="ADX306" s="90"/>
      <c r="ADY306" s="90"/>
      <c r="ADZ306" s="90"/>
      <c r="AEA306" s="90"/>
      <c r="AEB306" s="90"/>
      <c r="AEC306" s="90"/>
      <c r="AED306" s="90"/>
      <c r="AEE306" s="90"/>
      <c r="AEF306" s="90"/>
      <c r="AEG306" s="90"/>
      <c r="AEH306" s="90"/>
      <c r="AEI306" s="90"/>
      <c r="AEJ306" s="90"/>
      <c r="AEK306" s="90"/>
      <c r="AEL306" s="90"/>
      <c r="AEM306" s="90"/>
      <c r="AEN306" s="90"/>
      <c r="AEO306" s="90"/>
      <c r="AEP306" s="90"/>
      <c r="AEQ306" s="90"/>
      <c r="AER306" s="90"/>
      <c r="AES306" s="90"/>
      <c r="AET306" s="90"/>
      <c r="AEU306" s="90"/>
      <c r="AEV306" s="90"/>
      <c r="AEW306" s="90"/>
      <c r="AEX306" s="90"/>
      <c r="AEY306" s="90"/>
      <c r="AEZ306" s="90"/>
      <c r="AFA306" s="90"/>
      <c r="AFB306" s="90"/>
      <c r="AFC306" s="90"/>
      <c r="AFD306" s="90"/>
      <c r="AFE306" s="90"/>
      <c r="AFF306" s="90"/>
      <c r="AFG306" s="90"/>
      <c r="AFH306" s="90"/>
      <c r="AFI306" s="90"/>
      <c r="AFJ306" s="90"/>
      <c r="AFK306" s="90"/>
      <c r="AFL306" s="90"/>
      <c r="AFM306" s="90"/>
      <c r="AFN306" s="90"/>
      <c r="AFO306" s="90"/>
      <c r="AFP306" s="90"/>
      <c r="AFQ306" s="90"/>
      <c r="AFR306" s="90"/>
      <c r="AFS306" s="90"/>
      <c r="AFT306" s="90"/>
      <c r="AFU306" s="90"/>
      <c r="AFV306" s="90"/>
      <c r="AFW306" s="90"/>
      <c r="AFX306" s="90"/>
      <c r="AFY306" s="90"/>
      <c r="AFZ306" s="90"/>
      <c r="AGA306" s="90"/>
      <c r="AGB306" s="90"/>
      <c r="AGC306" s="90"/>
      <c r="AGD306" s="90"/>
      <c r="AGE306" s="90"/>
      <c r="AGF306" s="90"/>
      <c r="AGG306" s="90"/>
      <c r="AGH306" s="90"/>
      <c r="AGI306" s="90"/>
      <c r="AGJ306" s="90"/>
      <c r="AGK306" s="90"/>
      <c r="AGL306" s="90"/>
      <c r="AGM306" s="90"/>
      <c r="AGN306" s="90"/>
      <c r="AGO306" s="90"/>
      <c r="AGP306" s="90"/>
      <c r="AGQ306" s="90"/>
      <c r="AGR306" s="90"/>
      <c r="AGS306" s="90"/>
      <c r="AGT306" s="90"/>
      <c r="AGU306" s="90"/>
      <c r="AGV306" s="90"/>
      <c r="AGW306" s="90"/>
      <c r="AGX306" s="90"/>
      <c r="AGY306" s="90"/>
      <c r="AGZ306" s="90"/>
      <c r="AHA306" s="90"/>
      <c r="AHB306" s="90"/>
      <c r="AHC306" s="90"/>
      <c r="AHD306" s="90"/>
      <c r="AHE306" s="90"/>
      <c r="AHF306" s="90"/>
      <c r="AHG306" s="90"/>
      <c r="AHH306" s="90"/>
      <c r="AHI306" s="90"/>
      <c r="AHJ306" s="90"/>
      <c r="AHK306" s="90"/>
      <c r="AHL306" s="90"/>
      <c r="AHM306" s="90"/>
      <c r="AHN306" s="90"/>
      <c r="AHO306" s="90"/>
      <c r="AHP306" s="90"/>
      <c r="AHQ306" s="90"/>
      <c r="AHR306" s="90"/>
      <c r="AHS306" s="90"/>
      <c r="AHT306" s="90"/>
      <c r="AHU306" s="90"/>
      <c r="AHV306" s="90"/>
      <c r="AHW306" s="90"/>
      <c r="AHX306" s="90"/>
      <c r="AHY306" s="90"/>
      <c r="AHZ306" s="90"/>
      <c r="AIA306" s="90"/>
      <c r="AIB306" s="90"/>
      <c r="AIC306" s="90"/>
      <c r="AID306" s="90"/>
      <c r="AIE306" s="90"/>
      <c r="AIF306" s="90"/>
      <c r="AIG306" s="90"/>
      <c r="AIH306" s="90"/>
      <c r="AII306" s="90"/>
      <c r="AIJ306" s="90"/>
      <c r="AIK306" s="90"/>
      <c r="AIL306" s="90"/>
      <c r="AIM306" s="90"/>
      <c r="AIN306" s="90"/>
      <c r="AIO306" s="90"/>
      <c r="AIP306" s="90"/>
      <c r="AIQ306" s="90"/>
      <c r="AIR306" s="90"/>
      <c r="AIS306" s="90"/>
      <c r="AIT306" s="90"/>
      <c r="AIU306" s="90"/>
      <c r="AIV306" s="90"/>
      <c r="AIW306" s="90"/>
      <c r="AIX306" s="90"/>
      <c r="AIY306" s="90"/>
      <c r="AIZ306" s="90"/>
      <c r="AJA306" s="90"/>
      <c r="AJB306" s="90"/>
      <c r="AJC306" s="90"/>
      <c r="AJD306" s="90"/>
      <c r="AJE306" s="90"/>
      <c r="AJF306" s="90"/>
      <c r="AJG306" s="90"/>
      <c r="AJH306" s="90"/>
      <c r="AJI306" s="90"/>
      <c r="AJJ306" s="90"/>
      <c r="AJK306" s="90"/>
      <c r="AJL306" s="90"/>
      <c r="AJM306" s="90"/>
      <c r="AJN306" s="90"/>
      <c r="AJO306" s="90"/>
      <c r="AJP306" s="90"/>
      <c r="AJQ306" s="90"/>
      <c r="AJR306" s="90"/>
      <c r="AJS306" s="90"/>
      <c r="AJT306" s="90"/>
      <c r="AJU306" s="90"/>
      <c r="AJV306" s="90"/>
      <c r="AJW306" s="90"/>
      <c r="AJX306" s="90"/>
      <c r="AJY306" s="90"/>
      <c r="AJZ306" s="90"/>
      <c r="AKA306" s="90"/>
      <c r="AKB306" s="90"/>
      <c r="AKC306" s="90"/>
      <c r="AKD306" s="90"/>
      <c r="AKE306" s="90"/>
      <c r="AKF306" s="90"/>
      <c r="AKG306" s="90"/>
      <c r="AKH306" s="90"/>
      <c r="AKI306" s="90"/>
      <c r="AKJ306" s="90"/>
      <c r="AKK306" s="90"/>
      <c r="AKL306" s="90"/>
      <c r="AKM306" s="90"/>
      <c r="AKN306" s="90"/>
      <c r="AKO306" s="90"/>
      <c r="AKP306" s="90"/>
      <c r="AKQ306" s="90"/>
      <c r="AKR306" s="90"/>
      <c r="AKS306" s="90"/>
      <c r="AKT306" s="90"/>
      <c r="AKU306" s="90"/>
      <c r="AKV306" s="90"/>
      <c r="AKW306" s="90"/>
      <c r="AKX306" s="90"/>
      <c r="AKY306" s="90"/>
      <c r="AKZ306" s="90"/>
      <c r="ALA306" s="90"/>
      <c r="ALB306" s="90"/>
      <c r="ALC306" s="90"/>
      <c r="ALD306" s="90"/>
      <c r="ALE306" s="90"/>
      <c r="ALF306" s="90"/>
      <c r="ALG306" s="90"/>
      <c r="ALH306" s="90"/>
      <c r="ALI306" s="90"/>
      <c r="ALJ306" s="90"/>
      <c r="ALK306" s="90"/>
      <c r="ALL306" s="90"/>
      <c r="ALM306" s="90"/>
      <c r="ALN306" s="90"/>
      <c r="ALO306" s="90"/>
      <c r="ALP306" s="90"/>
      <c r="ALQ306" s="90"/>
      <c r="ALR306" s="90"/>
      <c r="ALS306" s="90"/>
      <c r="ALT306" s="90"/>
      <c r="ALU306" s="90"/>
      <c r="ALV306" s="90"/>
      <c r="ALW306" s="90"/>
      <c r="ALX306" s="90"/>
      <c r="ALY306" s="90"/>
      <c r="ALZ306" s="90"/>
      <c r="AMA306" s="90"/>
      <c r="AMB306" s="90"/>
      <c r="AMC306" s="90"/>
    </row>
    <row r="307" spans="1:1017">
      <c r="A307" s="98" t="s">
        <v>52</v>
      </c>
      <c r="B307" s="90" t="str">
        <f t="shared" ref="B307:B316" si="1809">B269</f>
        <v xml:space="preserve">Udang_01 (Udang Api-Api) </v>
      </c>
      <c r="E307" s="98">
        <v>5300</v>
      </c>
      <c r="F307" s="98">
        <v>212000</v>
      </c>
      <c r="Q307" s="91">
        <f t="shared" si="1711"/>
        <v>5300</v>
      </c>
      <c r="R307" s="91">
        <f t="shared" si="1712"/>
        <v>212000</v>
      </c>
      <c r="AG307" s="91">
        <f t="shared" si="1713"/>
        <v>0</v>
      </c>
      <c r="AH307" s="91">
        <f t="shared" si="1714"/>
        <v>0</v>
      </c>
      <c r="AW307" s="91">
        <f t="shared" si="1715"/>
        <v>0</v>
      </c>
      <c r="AX307" s="91">
        <f t="shared" si="1716"/>
        <v>0</v>
      </c>
      <c r="BM307" s="91">
        <f t="shared" si="1717"/>
        <v>0</v>
      </c>
      <c r="BN307" s="91">
        <f t="shared" si="1718"/>
        <v>0</v>
      </c>
      <c r="CC307" s="91">
        <f t="shared" si="1719"/>
        <v>0</v>
      </c>
      <c r="CD307" s="91">
        <f t="shared" si="1720"/>
        <v>0</v>
      </c>
      <c r="CS307" s="91">
        <f t="shared" si="1721"/>
        <v>0</v>
      </c>
      <c r="CT307" s="91">
        <f t="shared" si="1722"/>
        <v>0</v>
      </c>
      <c r="DI307" s="91">
        <f t="shared" si="1723"/>
        <v>0</v>
      </c>
      <c r="DJ307" s="91">
        <f t="shared" si="1724"/>
        <v>0</v>
      </c>
      <c r="DY307" s="91">
        <f t="shared" si="1725"/>
        <v>0</v>
      </c>
      <c r="DZ307" s="91">
        <f t="shared" si="1726"/>
        <v>0</v>
      </c>
      <c r="EO307" s="91">
        <f t="shared" si="1727"/>
        <v>0</v>
      </c>
      <c r="EP307" s="91">
        <f t="shared" si="1728"/>
        <v>0</v>
      </c>
      <c r="FE307" s="91">
        <f t="shared" si="1729"/>
        <v>0</v>
      </c>
      <c r="FF307" s="91">
        <f t="shared" si="1730"/>
        <v>0</v>
      </c>
      <c r="FU307" s="91">
        <f t="shared" si="1731"/>
        <v>0</v>
      </c>
      <c r="FV307" s="91">
        <f t="shared" si="1732"/>
        <v>0</v>
      </c>
      <c r="GK307" s="91">
        <f t="shared" si="1733"/>
        <v>0</v>
      </c>
      <c r="GL307" s="91">
        <f t="shared" si="1734"/>
        <v>0</v>
      </c>
      <c r="HA307" s="91">
        <f t="shared" si="1735"/>
        <v>0</v>
      </c>
      <c r="HB307" s="91">
        <f t="shared" si="1736"/>
        <v>0</v>
      </c>
      <c r="HQ307" s="91">
        <f t="shared" si="1737"/>
        <v>0</v>
      </c>
      <c r="HR307" s="91">
        <f t="shared" si="1738"/>
        <v>0</v>
      </c>
      <c r="IG307" s="91">
        <f t="shared" si="1739"/>
        <v>0</v>
      </c>
      <c r="IH307" s="91">
        <f t="shared" si="1740"/>
        <v>0</v>
      </c>
      <c r="IW307" s="91">
        <f t="shared" si="1741"/>
        <v>0</v>
      </c>
      <c r="IX307" s="91">
        <f t="shared" si="1742"/>
        <v>0</v>
      </c>
      <c r="JM307" s="91">
        <f t="shared" si="1743"/>
        <v>0</v>
      </c>
      <c r="JN307" s="91">
        <f t="shared" si="1744"/>
        <v>0</v>
      </c>
      <c r="KC307" s="91">
        <f t="shared" si="1745"/>
        <v>0</v>
      </c>
      <c r="KD307" s="91">
        <f t="shared" si="1746"/>
        <v>0</v>
      </c>
      <c r="KS307" s="91">
        <f t="shared" si="1747"/>
        <v>0</v>
      </c>
      <c r="KT307" s="91">
        <f t="shared" si="1748"/>
        <v>0</v>
      </c>
      <c r="LI307" s="91">
        <f t="shared" si="1749"/>
        <v>0</v>
      </c>
      <c r="LJ307" s="91">
        <f t="shared" si="1750"/>
        <v>0</v>
      </c>
      <c r="LY307" s="91">
        <f t="shared" si="1751"/>
        <v>0</v>
      </c>
      <c r="LZ307" s="91">
        <f t="shared" si="1752"/>
        <v>0</v>
      </c>
      <c r="MC307" s="98">
        <v>7260</v>
      </c>
      <c r="MD307" s="98">
        <v>290400</v>
      </c>
      <c r="MO307" s="91">
        <f t="shared" si="1753"/>
        <v>7260</v>
      </c>
      <c r="MP307" s="91">
        <f t="shared" si="1754"/>
        <v>290400</v>
      </c>
      <c r="NE307" s="91">
        <f t="shared" si="1755"/>
        <v>0</v>
      </c>
      <c r="NF307" s="91">
        <f t="shared" si="1756"/>
        <v>0</v>
      </c>
      <c r="NI307" s="98">
        <v>50700</v>
      </c>
      <c r="NJ307" s="98">
        <v>2281500</v>
      </c>
      <c r="NU307" s="91">
        <f t="shared" si="1757"/>
        <v>50700</v>
      </c>
      <c r="NV307" s="91">
        <f t="shared" si="1758"/>
        <v>2281500</v>
      </c>
      <c r="OK307" s="91">
        <f t="shared" si="1759"/>
        <v>0</v>
      </c>
      <c r="OL307" s="91">
        <f t="shared" si="1760"/>
        <v>0</v>
      </c>
      <c r="PA307" s="91">
        <f t="shared" si="1761"/>
        <v>0</v>
      </c>
      <c r="PB307" s="91">
        <f t="shared" si="1762"/>
        <v>0</v>
      </c>
      <c r="PQ307" s="91">
        <f t="shared" si="1763"/>
        <v>0</v>
      </c>
      <c r="PR307" s="91">
        <f t="shared" si="1764"/>
        <v>0</v>
      </c>
      <c r="QG307" s="91">
        <f t="shared" si="1765"/>
        <v>0</v>
      </c>
      <c r="QH307" s="91">
        <f t="shared" si="1766"/>
        <v>0</v>
      </c>
      <c r="QW307" s="91">
        <f t="shared" si="1767"/>
        <v>0</v>
      </c>
      <c r="QX307" s="91">
        <f t="shared" si="1768"/>
        <v>0</v>
      </c>
      <c r="RM307" s="91">
        <f t="shared" si="1769"/>
        <v>0</v>
      </c>
      <c r="RN307" s="91">
        <f t="shared" si="1770"/>
        <v>0</v>
      </c>
      <c r="SC307" s="91">
        <f t="shared" si="1771"/>
        <v>0</v>
      </c>
      <c r="SD307" s="91">
        <f t="shared" si="1772"/>
        <v>0</v>
      </c>
      <c r="SS307" s="91">
        <f t="shared" si="1773"/>
        <v>0</v>
      </c>
      <c r="ST307" s="91">
        <f t="shared" si="1774"/>
        <v>0</v>
      </c>
      <c r="TI307" s="91">
        <f t="shared" si="1775"/>
        <v>0</v>
      </c>
      <c r="TJ307" s="91">
        <f t="shared" si="1776"/>
        <v>0</v>
      </c>
      <c r="TY307" s="91">
        <f t="shared" si="1777"/>
        <v>0</v>
      </c>
      <c r="TZ307" s="91">
        <f t="shared" si="1778"/>
        <v>0</v>
      </c>
      <c r="UO307" s="91">
        <f t="shared" si="1779"/>
        <v>0</v>
      </c>
      <c r="UP307" s="91">
        <f t="shared" si="1780"/>
        <v>0</v>
      </c>
      <c r="VE307" s="91">
        <f t="shared" si="1781"/>
        <v>0</v>
      </c>
      <c r="VF307" s="91">
        <f t="shared" si="1782"/>
        <v>0</v>
      </c>
      <c r="VU307" s="91">
        <f t="shared" si="1783"/>
        <v>0</v>
      </c>
      <c r="VV307" s="91">
        <f t="shared" si="1784"/>
        <v>0</v>
      </c>
      <c r="WK307" s="91">
        <f t="shared" si="1785"/>
        <v>0</v>
      </c>
      <c r="WL307" s="91">
        <f t="shared" si="1786"/>
        <v>0</v>
      </c>
      <c r="WM307" s="89"/>
      <c r="WN307" s="87">
        <f t="shared" si="1787"/>
        <v>0</v>
      </c>
      <c r="WO307" s="87">
        <f t="shared" si="1788"/>
        <v>0</v>
      </c>
      <c r="WP307" s="87">
        <f t="shared" si="1789"/>
        <v>63260</v>
      </c>
      <c r="WQ307" s="87">
        <f t="shared" si="1790"/>
        <v>2783900</v>
      </c>
      <c r="WR307" s="87">
        <f t="shared" si="1791"/>
        <v>0</v>
      </c>
      <c r="WS307" s="87">
        <f t="shared" si="1792"/>
        <v>0</v>
      </c>
      <c r="WT307" s="87">
        <f t="shared" si="1793"/>
        <v>0</v>
      </c>
      <c r="WU307" s="87">
        <f t="shared" si="1794"/>
        <v>0</v>
      </c>
      <c r="WV307" s="87">
        <f t="shared" si="1795"/>
        <v>0</v>
      </c>
      <c r="WW307" s="87">
        <f t="shared" si="1796"/>
        <v>0</v>
      </c>
      <c r="WX307" s="87">
        <f t="shared" si="1797"/>
        <v>0</v>
      </c>
      <c r="WY307" s="87">
        <f t="shared" si="1798"/>
        <v>0</v>
      </c>
      <c r="WZ307" s="87">
        <f t="shared" si="1805"/>
        <v>0</v>
      </c>
      <c r="XA307" s="87">
        <f t="shared" si="1806"/>
        <v>0</v>
      </c>
      <c r="XB307" s="92">
        <f t="shared" si="1807"/>
        <v>63260</v>
      </c>
      <c r="XC307" s="92">
        <f t="shared" si="1808"/>
        <v>2783900</v>
      </c>
      <c r="XD307" s="89"/>
      <c r="XE307" s="92"/>
      <c r="XF307" s="92"/>
      <c r="XG307" s="89"/>
      <c r="XH307" s="92"/>
      <c r="XI307" s="92"/>
      <c r="XJ307" s="89"/>
      <c r="XK307" s="87"/>
      <c r="XL307" s="87"/>
      <c r="XM307" s="87"/>
      <c r="XN307" s="87"/>
      <c r="XO307" s="87"/>
      <c r="XP307" s="87"/>
      <c r="XQ307" s="87"/>
      <c r="XR307" s="92">
        <f t="shared" ca="1" si="1803"/>
        <v>0</v>
      </c>
      <c r="XS307" s="89"/>
      <c r="XT307" s="87"/>
      <c r="XU307" s="87"/>
      <c r="XV307" s="87"/>
      <c r="XW307" s="87"/>
      <c r="XX307" s="87"/>
      <c r="XY307" s="87"/>
      <c r="XZ307" s="87"/>
      <c r="YA307" s="92">
        <f t="shared" ca="1" si="1804"/>
        <v>0</v>
      </c>
      <c r="YB307" s="90"/>
      <c r="YC307" s="90"/>
      <c r="YD307" s="90"/>
      <c r="YE307" s="90"/>
      <c r="YF307" s="90"/>
      <c r="YG307" s="90"/>
      <c r="YH307" s="90"/>
      <c r="YI307" s="90"/>
      <c r="YJ307" s="90"/>
      <c r="YK307" s="90"/>
      <c r="YL307" s="90"/>
      <c r="YM307" s="90"/>
      <c r="YN307" s="90"/>
      <c r="YO307" s="90"/>
      <c r="YP307" s="90"/>
      <c r="YQ307" s="90"/>
      <c r="YR307" s="90"/>
      <c r="YS307" s="90"/>
      <c r="YT307" s="90"/>
      <c r="YU307" s="90"/>
      <c r="YV307" s="90"/>
      <c r="YW307" s="90"/>
      <c r="YX307" s="90"/>
      <c r="YY307" s="90"/>
      <c r="YZ307" s="90"/>
      <c r="ZA307" s="90"/>
      <c r="ZB307" s="90"/>
      <c r="ZC307" s="90"/>
      <c r="ZD307" s="90"/>
      <c r="ZE307" s="90"/>
      <c r="ZF307" s="90"/>
      <c r="ZG307" s="90"/>
      <c r="ZH307" s="90"/>
      <c r="ZI307" s="90"/>
      <c r="ZJ307" s="90"/>
      <c r="ZK307" s="90"/>
      <c r="ZL307" s="90"/>
      <c r="ZM307" s="90"/>
      <c r="ZN307" s="90"/>
      <c r="ZO307" s="90"/>
      <c r="ZP307" s="90"/>
      <c r="ZQ307" s="90"/>
      <c r="ZR307" s="90"/>
      <c r="ZS307" s="90"/>
      <c r="ZT307" s="90"/>
      <c r="ZU307" s="90"/>
      <c r="ZV307" s="90"/>
      <c r="ZW307" s="90"/>
      <c r="ZX307" s="90"/>
      <c r="ZY307" s="90"/>
      <c r="ZZ307" s="90"/>
      <c r="AAA307" s="90"/>
      <c r="AAB307" s="90"/>
      <c r="AAC307" s="90"/>
      <c r="AAD307" s="90"/>
      <c r="AAE307" s="90"/>
      <c r="AAF307" s="90"/>
      <c r="AAG307" s="90"/>
      <c r="AAH307" s="90"/>
      <c r="AAI307" s="90"/>
      <c r="AAJ307" s="90"/>
      <c r="AAK307" s="90"/>
      <c r="AAL307" s="90"/>
      <c r="AAM307" s="90"/>
      <c r="AAN307" s="90"/>
      <c r="AAO307" s="90"/>
      <c r="AAP307" s="90"/>
      <c r="AAQ307" s="90"/>
      <c r="AAR307" s="90"/>
      <c r="AAS307" s="90"/>
      <c r="AAT307" s="90"/>
      <c r="AAU307" s="90"/>
      <c r="AAV307" s="90"/>
      <c r="AAW307" s="90"/>
      <c r="AAX307" s="90"/>
      <c r="AAY307" s="90"/>
      <c r="AAZ307" s="90"/>
      <c r="ABA307" s="90"/>
      <c r="ABB307" s="90"/>
      <c r="ABC307" s="90"/>
      <c r="ABD307" s="90"/>
      <c r="ABE307" s="90"/>
      <c r="ABF307" s="90"/>
      <c r="ABG307" s="90"/>
      <c r="ABH307" s="90"/>
      <c r="ABI307" s="90"/>
      <c r="ABJ307" s="90"/>
      <c r="ABK307" s="90"/>
      <c r="ABL307" s="90"/>
      <c r="ABM307" s="90"/>
      <c r="ABN307" s="90"/>
      <c r="ABO307" s="90"/>
      <c r="ABP307" s="90"/>
      <c r="ABQ307" s="90"/>
      <c r="ABR307" s="90"/>
      <c r="ABS307" s="90"/>
      <c r="ABT307" s="90"/>
      <c r="ABU307" s="90"/>
      <c r="ABV307" s="90"/>
      <c r="ABW307" s="90"/>
      <c r="ABX307" s="90"/>
      <c r="ABY307" s="90"/>
      <c r="ABZ307" s="90"/>
      <c r="ACA307" s="90"/>
      <c r="ACB307" s="90"/>
      <c r="ACC307" s="90"/>
      <c r="ACD307" s="90"/>
      <c r="ACE307" s="90"/>
      <c r="ACF307" s="90"/>
      <c r="ACG307" s="90"/>
      <c r="ACH307" s="90"/>
      <c r="ACI307" s="90"/>
      <c r="ACJ307" s="90"/>
      <c r="ACK307" s="90"/>
      <c r="ACL307" s="90"/>
      <c r="ACM307" s="90"/>
      <c r="ACN307" s="90"/>
      <c r="ACO307" s="90"/>
      <c r="ACP307" s="90"/>
      <c r="ACQ307" s="90"/>
      <c r="ACR307" s="90"/>
      <c r="ACS307" s="90"/>
      <c r="ACT307" s="90"/>
      <c r="ACU307" s="90"/>
      <c r="ACV307" s="90"/>
      <c r="ACW307" s="90"/>
      <c r="ACX307" s="90"/>
      <c r="ACY307" s="90"/>
      <c r="ACZ307" s="90"/>
      <c r="ADA307" s="90"/>
      <c r="ADB307" s="90"/>
      <c r="ADC307" s="90"/>
      <c r="ADD307" s="90"/>
      <c r="ADE307" s="90"/>
      <c r="ADF307" s="90"/>
      <c r="ADG307" s="90"/>
      <c r="ADH307" s="90"/>
      <c r="ADI307" s="90"/>
      <c r="ADJ307" s="90"/>
      <c r="ADK307" s="90"/>
      <c r="ADL307" s="90"/>
      <c r="ADM307" s="90"/>
      <c r="ADN307" s="90"/>
      <c r="ADO307" s="90"/>
      <c r="ADP307" s="90"/>
      <c r="ADQ307" s="90"/>
      <c r="ADR307" s="90"/>
      <c r="ADS307" s="90"/>
      <c r="ADT307" s="90"/>
      <c r="ADU307" s="90"/>
      <c r="ADV307" s="90"/>
      <c r="ADW307" s="90"/>
      <c r="ADX307" s="90"/>
      <c r="ADY307" s="90"/>
      <c r="ADZ307" s="90"/>
      <c r="AEA307" s="90"/>
      <c r="AEB307" s="90"/>
      <c r="AEC307" s="90"/>
      <c r="AED307" s="90"/>
      <c r="AEE307" s="90"/>
      <c r="AEF307" s="90"/>
      <c r="AEG307" s="90"/>
      <c r="AEH307" s="90"/>
      <c r="AEI307" s="90"/>
      <c r="AEJ307" s="90"/>
      <c r="AEK307" s="90"/>
      <c r="AEL307" s="90"/>
      <c r="AEM307" s="90"/>
      <c r="AEN307" s="90"/>
      <c r="AEO307" s="90"/>
      <c r="AEP307" s="90"/>
      <c r="AEQ307" s="90"/>
      <c r="AER307" s="90"/>
      <c r="AES307" s="90"/>
      <c r="AET307" s="90"/>
      <c r="AEU307" s="90"/>
      <c r="AEV307" s="90"/>
      <c r="AEW307" s="90"/>
      <c r="AEX307" s="90"/>
      <c r="AEY307" s="90"/>
      <c r="AEZ307" s="90"/>
      <c r="AFA307" s="90"/>
      <c r="AFB307" s="90"/>
      <c r="AFC307" s="90"/>
      <c r="AFD307" s="90"/>
      <c r="AFE307" s="90"/>
      <c r="AFF307" s="90"/>
      <c r="AFG307" s="90"/>
      <c r="AFH307" s="90"/>
      <c r="AFI307" s="90"/>
      <c r="AFJ307" s="90"/>
      <c r="AFK307" s="90"/>
      <c r="AFL307" s="90"/>
      <c r="AFM307" s="90"/>
      <c r="AFN307" s="90"/>
      <c r="AFO307" s="90"/>
      <c r="AFP307" s="90"/>
      <c r="AFQ307" s="90"/>
      <c r="AFR307" s="90"/>
      <c r="AFS307" s="90"/>
      <c r="AFT307" s="90"/>
      <c r="AFU307" s="90"/>
      <c r="AFV307" s="90"/>
      <c r="AFW307" s="90"/>
      <c r="AFX307" s="90"/>
      <c r="AFY307" s="90"/>
      <c r="AFZ307" s="90"/>
      <c r="AGA307" s="90"/>
      <c r="AGB307" s="90"/>
      <c r="AGC307" s="90"/>
      <c r="AGD307" s="90"/>
      <c r="AGE307" s="90"/>
      <c r="AGF307" s="90"/>
      <c r="AGG307" s="90"/>
      <c r="AGH307" s="90"/>
      <c r="AGI307" s="90"/>
      <c r="AGJ307" s="90"/>
      <c r="AGK307" s="90"/>
      <c r="AGL307" s="90"/>
      <c r="AGM307" s="90"/>
      <c r="AGN307" s="90"/>
      <c r="AGO307" s="90"/>
      <c r="AGP307" s="90"/>
      <c r="AGQ307" s="90"/>
      <c r="AGR307" s="90"/>
      <c r="AGS307" s="90"/>
      <c r="AGT307" s="90"/>
      <c r="AGU307" s="90"/>
      <c r="AGV307" s="90"/>
      <c r="AGW307" s="90"/>
      <c r="AGX307" s="90"/>
      <c r="AGY307" s="90"/>
      <c r="AGZ307" s="90"/>
      <c r="AHA307" s="90"/>
      <c r="AHB307" s="90"/>
      <c r="AHC307" s="90"/>
      <c r="AHD307" s="90"/>
      <c r="AHE307" s="90"/>
      <c r="AHF307" s="90"/>
      <c r="AHG307" s="90"/>
      <c r="AHH307" s="90"/>
      <c r="AHI307" s="90"/>
      <c r="AHJ307" s="90"/>
      <c r="AHK307" s="90"/>
      <c r="AHL307" s="90"/>
      <c r="AHM307" s="90"/>
      <c r="AHN307" s="90"/>
      <c r="AHO307" s="90"/>
      <c r="AHP307" s="90"/>
      <c r="AHQ307" s="90"/>
      <c r="AHR307" s="90"/>
      <c r="AHS307" s="90"/>
      <c r="AHT307" s="90"/>
      <c r="AHU307" s="90"/>
      <c r="AHV307" s="90"/>
      <c r="AHW307" s="90"/>
      <c r="AHX307" s="90"/>
      <c r="AHY307" s="90"/>
      <c r="AHZ307" s="90"/>
      <c r="AIA307" s="90"/>
      <c r="AIB307" s="90"/>
      <c r="AIC307" s="90"/>
      <c r="AID307" s="90"/>
      <c r="AIE307" s="90"/>
      <c r="AIF307" s="90"/>
      <c r="AIG307" s="90"/>
      <c r="AIH307" s="90"/>
      <c r="AII307" s="90"/>
      <c r="AIJ307" s="90"/>
      <c r="AIK307" s="90"/>
      <c r="AIL307" s="90"/>
      <c r="AIM307" s="90"/>
      <c r="AIN307" s="90"/>
      <c r="AIO307" s="90"/>
      <c r="AIP307" s="90"/>
      <c r="AIQ307" s="90"/>
      <c r="AIR307" s="90"/>
      <c r="AIS307" s="90"/>
      <c r="AIT307" s="90"/>
      <c r="AIU307" s="90"/>
      <c r="AIV307" s="90"/>
      <c r="AIW307" s="90"/>
      <c r="AIX307" s="90"/>
      <c r="AIY307" s="90"/>
      <c r="AIZ307" s="90"/>
      <c r="AJA307" s="90"/>
      <c r="AJB307" s="90"/>
      <c r="AJC307" s="90"/>
      <c r="AJD307" s="90"/>
      <c r="AJE307" s="90"/>
      <c r="AJF307" s="90"/>
      <c r="AJG307" s="90"/>
      <c r="AJH307" s="90"/>
      <c r="AJI307" s="90"/>
      <c r="AJJ307" s="90"/>
      <c r="AJK307" s="90"/>
      <c r="AJL307" s="90"/>
      <c r="AJM307" s="90"/>
      <c r="AJN307" s="90"/>
      <c r="AJO307" s="90"/>
      <c r="AJP307" s="90"/>
      <c r="AJQ307" s="90"/>
      <c r="AJR307" s="90"/>
      <c r="AJS307" s="90"/>
      <c r="AJT307" s="90"/>
      <c r="AJU307" s="90"/>
      <c r="AJV307" s="90"/>
      <c r="AJW307" s="90"/>
      <c r="AJX307" s="90"/>
      <c r="AJY307" s="90"/>
      <c r="AJZ307" s="90"/>
      <c r="AKA307" s="90"/>
      <c r="AKB307" s="90"/>
      <c r="AKC307" s="90"/>
      <c r="AKD307" s="90"/>
      <c r="AKE307" s="90"/>
      <c r="AKF307" s="90"/>
      <c r="AKG307" s="90"/>
      <c r="AKH307" s="90"/>
      <c r="AKI307" s="90"/>
      <c r="AKJ307" s="90"/>
      <c r="AKK307" s="90"/>
      <c r="AKL307" s="90"/>
      <c r="AKM307" s="90"/>
      <c r="AKN307" s="90"/>
      <c r="AKO307" s="90"/>
      <c r="AKP307" s="90"/>
      <c r="AKQ307" s="90"/>
      <c r="AKR307" s="90"/>
      <c r="AKS307" s="90"/>
      <c r="AKT307" s="90"/>
      <c r="AKU307" s="90"/>
      <c r="AKV307" s="90"/>
      <c r="AKW307" s="90"/>
      <c r="AKX307" s="90"/>
      <c r="AKY307" s="90"/>
      <c r="AKZ307" s="90"/>
      <c r="ALA307" s="90"/>
      <c r="ALB307" s="90"/>
      <c r="ALC307" s="90"/>
      <c r="ALD307" s="90"/>
      <c r="ALE307" s="90"/>
      <c r="ALF307" s="90"/>
      <c r="ALG307" s="90"/>
      <c r="ALH307" s="90"/>
      <c r="ALI307" s="90"/>
      <c r="ALJ307" s="90"/>
      <c r="ALK307" s="90"/>
      <c r="ALL307" s="90"/>
      <c r="ALM307" s="90"/>
      <c r="ALN307" s="90"/>
      <c r="ALO307" s="90"/>
      <c r="ALP307" s="90"/>
      <c r="ALQ307" s="90"/>
      <c r="ALR307" s="90"/>
      <c r="ALS307" s="90"/>
      <c r="ALT307" s="90"/>
      <c r="ALU307" s="90"/>
      <c r="ALV307" s="90"/>
      <c r="ALW307" s="90"/>
      <c r="ALX307" s="90"/>
      <c r="ALY307" s="90"/>
      <c r="ALZ307" s="90"/>
      <c r="AMA307" s="90"/>
      <c r="AMB307" s="90"/>
      <c r="AMC307" s="90"/>
    </row>
    <row r="308" spans="1:1017">
      <c r="A308" s="98" t="s">
        <v>52</v>
      </c>
      <c r="B308" s="90" t="str">
        <f t="shared" si="1809"/>
        <v xml:space="preserve">Udang_02 (Udang Rebon) </v>
      </c>
      <c r="Q308" s="91">
        <f t="shared" si="1711"/>
        <v>0</v>
      </c>
      <c r="R308" s="91">
        <f t="shared" si="1712"/>
        <v>0</v>
      </c>
      <c r="AG308" s="91">
        <f t="shared" si="1713"/>
        <v>0</v>
      </c>
      <c r="AH308" s="91">
        <f t="shared" si="1714"/>
        <v>0</v>
      </c>
      <c r="AW308" s="91">
        <f t="shared" si="1715"/>
        <v>0</v>
      </c>
      <c r="AX308" s="91">
        <f t="shared" si="1716"/>
        <v>0</v>
      </c>
      <c r="BM308" s="91">
        <f t="shared" si="1717"/>
        <v>0</v>
      </c>
      <c r="BN308" s="91">
        <f t="shared" si="1718"/>
        <v>0</v>
      </c>
      <c r="CC308" s="91">
        <f t="shared" si="1719"/>
        <v>0</v>
      </c>
      <c r="CD308" s="91">
        <f t="shared" si="1720"/>
        <v>0</v>
      </c>
      <c r="CS308" s="91">
        <f t="shared" si="1721"/>
        <v>0</v>
      </c>
      <c r="CT308" s="91">
        <f t="shared" si="1722"/>
        <v>0</v>
      </c>
      <c r="DI308" s="91">
        <f t="shared" si="1723"/>
        <v>0</v>
      </c>
      <c r="DJ308" s="91">
        <f t="shared" si="1724"/>
        <v>0</v>
      </c>
      <c r="DY308" s="91">
        <f t="shared" si="1725"/>
        <v>0</v>
      </c>
      <c r="DZ308" s="91">
        <f t="shared" si="1726"/>
        <v>0</v>
      </c>
      <c r="EO308" s="91">
        <f t="shared" si="1727"/>
        <v>0</v>
      </c>
      <c r="EP308" s="91">
        <f t="shared" si="1728"/>
        <v>0</v>
      </c>
      <c r="FE308" s="91">
        <f t="shared" si="1729"/>
        <v>0</v>
      </c>
      <c r="FF308" s="91">
        <f t="shared" si="1730"/>
        <v>0</v>
      </c>
      <c r="FU308" s="91">
        <f t="shared" si="1731"/>
        <v>0</v>
      </c>
      <c r="FV308" s="91">
        <f t="shared" si="1732"/>
        <v>0</v>
      </c>
      <c r="GK308" s="91">
        <f t="shared" si="1733"/>
        <v>0</v>
      </c>
      <c r="GL308" s="91">
        <f t="shared" si="1734"/>
        <v>0</v>
      </c>
      <c r="HA308" s="91">
        <f t="shared" si="1735"/>
        <v>0</v>
      </c>
      <c r="HB308" s="91">
        <f t="shared" si="1736"/>
        <v>0</v>
      </c>
      <c r="HQ308" s="91">
        <f t="shared" si="1737"/>
        <v>0</v>
      </c>
      <c r="HR308" s="91">
        <f t="shared" si="1738"/>
        <v>0</v>
      </c>
      <c r="IG308" s="91">
        <f t="shared" si="1739"/>
        <v>0</v>
      </c>
      <c r="IH308" s="91">
        <f t="shared" si="1740"/>
        <v>0</v>
      </c>
      <c r="IW308" s="91">
        <f t="shared" si="1741"/>
        <v>0</v>
      </c>
      <c r="IX308" s="91">
        <f t="shared" si="1742"/>
        <v>0</v>
      </c>
      <c r="JM308" s="91">
        <f t="shared" si="1743"/>
        <v>0</v>
      </c>
      <c r="JN308" s="91">
        <f t="shared" si="1744"/>
        <v>0</v>
      </c>
      <c r="KC308" s="91">
        <f t="shared" si="1745"/>
        <v>0</v>
      </c>
      <c r="KD308" s="91">
        <f t="shared" si="1746"/>
        <v>0</v>
      </c>
      <c r="KS308" s="91">
        <f t="shared" si="1747"/>
        <v>0</v>
      </c>
      <c r="KT308" s="91">
        <f t="shared" si="1748"/>
        <v>0</v>
      </c>
      <c r="LI308" s="91">
        <f t="shared" si="1749"/>
        <v>0</v>
      </c>
      <c r="LJ308" s="91">
        <f t="shared" si="1750"/>
        <v>0</v>
      </c>
      <c r="LY308" s="91">
        <f t="shared" si="1751"/>
        <v>0</v>
      </c>
      <c r="LZ308" s="91">
        <f t="shared" si="1752"/>
        <v>0</v>
      </c>
      <c r="MO308" s="91">
        <f t="shared" si="1753"/>
        <v>0</v>
      </c>
      <c r="MP308" s="91">
        <f t="shared" si="1754"/>
        <v>0</v>
      </c>
      <c r="NE308" s="91">
        <f t="shared" si="1755"/>
        <v>0</v>
      </c>
      <c r="NF308" s="91">
        <f t="shared" si="1756"/>
        <v>0</v>
      </c>
      <c r="NI308" s="98">
        <v>185800</v>
      </c>
      <c r="NJ308" s="98">
        <v>7432000</v>
      </c>
      <c r="NU308" s="91">
        <f t="shared" si="1757"/>
        <v>185800</v>
      </c>
      <c r="NV308" s="91">
        <f t="shared" si="1758"/>
        <v>7432000</v>
      </c>
      <c r="OK308" s="91">
        <f t="shared" si="1759"/>
        <v>0</v>
      </c>
      <c r="OL308" s="91">
        <f t="shared" si="1760"/>
        <v>0</v>
      </c>
      <c r="PA308" s="91">
        <f t="shared" si="1761"/>
        <v>0</v>
      </c>
      <c r="PB308" s="91">
        <f t="shared" si="1762"/>
        <v>0</v>
      </c>
      <c r="PQ308" s="91">
        <f t="shared" si="1763"/>
        <v>0</v>
      </c>
      <c r="PR308" s="91">
        <f t="shared" si="1764"/>
        <v>0</v>
      </c>
      <c r="QG308" s="91">
        <f t="shared" si="1765"/>
        <v>0</v>
      </c>
      <c r="QH308" s="91">
        <f t="shared" si="1766"/>
        <v>0</v>
      </c>
      <c r="QW308" s="91">
        <f t="shared" si="1767"/>
        <v>0</v>
      </c>
      <c r="QX308" s="91">
        <f t="shared" si="1768"/>
        <v>0</v>
      </c>
      <c r="RM308" s="91">
        <f t="shared" si="1769"/>
        <v>0</v>
      </c>
      <c r="RN308" s="91">
        <f t="shared" si="1770"/>
        <v>0</v>
      </c>
      <c r="SC308" s="91">
        <f t="shared" si="1771"/>
        <v>0</v>
      </c>
      <c r="SD308" s="91">
        <f t="shared" si="1772"/>
        <v>0</v>
      </c>
      <c r="SS308" s="91">
        <f t="shared" si="1773"/>
        <v>0</v>
      </c>
      <c r="ST308" s="91">
        <f t="shared" si="1774"/>
        <v>0</v>
      </c>
      <c r="TI308" s="91">
        <f t="shared" si="1775"/>
        <v>0</v>
      </c>
      <c r="TJ308" s="91">
        <f t="shared" si="1776"/>
        <v>0</v>
      </c>
      <c r="TY308" s="91">
        <f t="shared" si="1777"/>
        <v>0</v>
      </c>
      <c r="TZ308" s="91">
        <f t="shared" si="1778"/>
        <v>0</v>
      </c>
      <c r="UO308" s="91">
        <f t="shared" si="1779"/>
        <v>0</v>
      </c>
      <c r="UP308" s="91">
        <f t="shared" si="1780"/>
        <v>0</v>
      </c>
      <c r="VE308" s="91">
        <f t="shared" si="1781"/>
        <v>0</v>
      </c>
      <c r="VF308" s="91">
        <f t="shared" si="1782"/>
        <v>0</v>
      </c>
      <c r="VU308" s="91">
        <f t="shared" si="1783"/>
        <v>0</v>
      </c>
      <c r="VV308" s="91">
        <f t="shared" si="1784"/>
        <v>0</v>
      </c>
      <c r="WK308" s="91">
        <f t="shared" si="1785"/>
        <v>0</v>
      </c>
      <c r="WL308" s="91">
        <f t="shared" si="1786"/>
        <v>0</v>
      </c>
      <c r="WM308" s="89"/>
      <c r="WN308" s="87">
        <f t="shared" ref="WN308:WN316" si="1810">SUMIF($C$5:$WL$5,$WN$5,C308:WL308)</f>
        <v>0</v>
      </c>
      <c r="WO308" s="87">
        <f t="shared" ref="WO308:WO316" si="1811">SUMIF($C$5:$WL$5,$WO$5,C308:WL308)</f>
        <v>0</v>
      </c>
      <c r="WP308" s="87">
        <f t="shared" ref="WP308:WP316" si="1812">SUMIF($C$5:$WL$5,$WP$5,C308:WL308)</f>
        <v>185800</v>
      </c>
      <c r="WQ308" s="87">
        <f t="shared" ref="WQ308:WQ316" si="1813">SUMIF($C$5:$WL$5,$WQ$5,C308:WL308)</f>
        <v>7432000</v>
      </c>
      <c r="WR308" s="87">
        <f t="shared" ref="WR308:WR316" si="1814">SUMIF($C$5:$WL$5,$WR$5,C308:WL308)</f>
        <v>0</v>
      </c>
      <c r="WS308" s="87">
        <f t="shared" ref="WS308:WS316" si="1815">SUMIF($C$5:$WL$5,$WS$5,C308:WL308)</f>
        <v>0</v>
      </c>
      <c r="WT308" s="87">
        <f t="shared" ref="WT308:WT316" si="1816">SUMIF($C$5:$WL$5,$WT$5,C308:WL308)</f>
        <v>0</v>
      </c>
      <c r="WU308" s="87">
        <f t="shared" ref="WU308:WU316" si="1817">SUMIF($C$5:$WL$5,$WU$5,C308:WL308)</f>
        <v>0</v>
      </c>
      <c r="WV308" s="87">
        <f t="shared" ref="WV308:WV316" si="1818">SUMIF($C$5:$WL$5,$WV$5,C308:WL308)</f>
        <v>0</v>
      </c>
      <c r="WW308" s="87">
        <f t="shared" ref="WW308:WW316" si="1819">SUMIF($C$5:$WL$5,$WW$5,C308:WL308)</f>
        <v>0</v>
      </c>
      <c r="WX308" s="87">
        <f t="shared" ref="WX308:WX316" si="1820">SUMIF($C$5:$WL$5,$WX$5,C308:WL308)</f>
        <v>0</v>
      </c>
      <c r="WY308" s="87">
        <f t="shared" ref="WY308:WY316" si="1821">SUMIF($C$5:$WL$5,$WY$5,C308:WL308)</f>
        <v>0</v>
      </c>
      <c r="WZ308" s="87">
        <f t="shared" si="1805"/>
        <v>0</v>
      </c>
      <c r="XA308" s="87">
        <f t="shared" si="1806"/>
        <v>0</v>
      </c>
      <c r="XB308" s="92">
        <f t="shared" si="1807"/>
        <v>185800</v>
      </c>
      <c r="XC308" s="92">
        <f t="shared" si="1808"/>
        <v>7432000</v>
      </c>
      <c r="XD308" s="89"/>
      <c r="XE308" s="92"/>
      <c r="XF308" s="92"/>
      <c r="XG308" s="89"/>
      <c r="XH308" s="92"/>
      <c r="XI308" s="92"/>
      <c r="XJ308" s="89"/>
      <c r="XK308" s="87"/>
      <c r="XL308" s="87"/>
      <c r="XM308" s="87"/>
      <c r="XN308" s="87"/>
      <c r="XO308" s="87"/>
      <c r="XP308" s="87"/>
      <c r="XQ308" s="87"/>
      <c r="XR308" s="92">
        <f t="shared" ca="1" si="1803"/>
        <v>0</v>
      </c>
      <c r="XS308" s="89"/>
      <c r="XT308" s="87"/>
      <c r="XU308" s="87"/>
      <c r="XV308" s="87"/>
      <c r="XW308" s="87"/>
      <c r="XX308" s="87"/>
      <c r="XY308" s="87"/>
      <c r="XZ308" s="87"/>
      <c r="YA308" s="92">
        <f t="shared" ca="1" si="1804"/>
        <v>0</v>
      </c>
      <c r="YB308" s="90"/>
      <c r="YC308" s="90"/>
      <c r="YD308" s="90"/>
      <c r="YE308" s="90"/>
      <c r="YF308" s="90"/>
      <c r="YG308" s="90"/>
      <c r="YH308" s="90"/>
      <c r="YI308" s="90"/>
      <c r="YJ308" s="90"/>
      <c r="YK308" s="90"/>
      <c r="YL308" s="90"/>
      <c r="YM308" s="90"/>
      <c r="YN308" s="90"/>
      <c r="YO308" s="90"/>
      <c r="YP308" s="90"/>
      <c r="YQ308" s="90"/>
      <c r="YR308" s="90"/>
      <c r="YS308" s="90"/>
      <c r="YT308" s="90"/>
      <c r="YU308" s="90"/>
      <c r="YV308" s="90"/>
      <c r="YW308" s="90"/>
      <c r="YX308" s="90"/>
      <c r="YY308" s="90"/>
      <c r="YZ308" s="90"/>
      <c r="ZA308" s="90"/>
      <c r="ZB308" s="90"/>
      <c r="ZC308" s="90"/>
      <c r="ZD308" s="90"/>
      <c r="ZE308" s="90"/>
      <c r="ZF308" s="90"/>
      <c r="ZG308" s="90"/>
      <c r="ZH308" s="90"/>
      <c r="ZI308" s="90"/>
      <c r="ZJ308" s="90"/>
      <c r="ZK308" s="90"/>
      <c r="ZL308" s="90"/>
      <c r="ZM308" s="90"/>
      <c r="ZN308" s="90"/>
      <c r="ZO308" s="90"/>
      <c r="ZP308" s="90"/>
      <c r="ZQ308" s="90"/>
      <c r="ZR308" s="90"/>
      <c r="ZS308" s="90"/>
      <c r="ZT308" s="90"/>
      <c r="ZU308" s="90"/>
      <c r="ZV308" s="90"/>
      <c r="ZW308" s="90"/>
      <c r="ZX308" s="90"/>
      <c r="ZY308" s="90"/>
      <c r="ZZ308" s="90"/>
      <c r="AAA308" s="90"/>
      <c r="AAB308" s="90"/>
      <c r="AAC308" s="90"/>
      <c r="AAD308" s="90"/>
      <c r="AAE308" s="90"/>
      <c r="AAF308" s="90"/>
      <c r="AAG308" s="90"/>
      <c r="AAH308" s="90"/>
      <c r="AAI308" s="90"/>
      <c r="AAJ308" s="90"/>
      <c r="AAK308" s="90"/>
      <c r="AAL308" s="90"/>
      <c r="AAM308" s="90"/>
      <c r="AAN308" s="90"/>
      <c r="AAO308" s="90"/>
      <c r="AAP308" s="90"/>
      <c r="AAQ308" s="90"/>
      <c r="AAR308" s="90"/>
      <c r="AAS308" s="90"/>
      <c r="AAT308" s="90"/>
      <c r="AAU308" s="90"/>
      <c r="AAV308" s="90"/>
      <c r="AAW308" s="90"/>
      <c r="AAX308" s="90"/>
      <c r="AAY308" s="90"/>
      <c r="AAZ308" s="90"/>
      <c r="ABA308" s="90"/>
      <c r="ABB308" s="90"/>
      <c r="ABC308" s="90"/>
      <c r="ABD308" s="90"/>
      <c r="ABE308" s="90"/>
      <c r="ABF308" s="90"/>
      <c r="ABG308" s="90"/>
      <c r="ABH308" s="90"/>
      <c r="ABI308" s="90"/>
      <c r="ABJ308" s="90"/>
      <c r="ABK308" s="90"/>
      <c r="ABL308" s="90"/>
      <c r="ABM308" s="90"/>
      <c r="ABN308" s="90"/>
      <c r="ABO308" s="90"/>
      <c r="ABP308" s="90"/>
      <c r="ABQ308" s="90"/>
      <c r="ABR308" s="90"/>
      <c r="ABS308" s="90"/>
      <c r="ABT308" s="90"/>
      <c r="ABU308" s="90"/>
      <c r="ABV308" s="90"/>
      <c r="ABW308" s="90"/>
      <c r="ABX308" s="90"/>
      <c r="ABY308" s="90"/>
      <c r="ABZ308" s="90"/>
      <c r="ACA308" s="90"/>
      <c r="ACB308" s="90"/>
      <c r="ACC308" s="90"/>
      <c r="ACD308" s="90"/>
      <c r="ACE308" s="90"/>
      <c r="ACF308" s="90"/>
      <c r="ACG308" s="90"/>
      <c r="ACH308" s="90"/>
      <c r="ACI308" s="90"/>
      <c r="ACJ308" s="90"/>
      <c r="ACK308" s="90"/>
      <c r="ACL308" s="90"/>
      <c r="ACM308" s="90"/>
      <c r="ACN308" s="90"/>
      <c r="ACO308" s="90"/>
      <c r="ACP308" s="90"/>
      <c r="ACQ308" s="90"/>
      <c r="ACR308" s="90"/>
      <c r="ACS308" s="90"/>
      <c r="ACT308" s="90"/>
      <c r="ACU308" s="90"/>
      <c r="ACV308" s="90"/>
      <c r="ACW308" s="90"/>
      <c r="ACX308" s="90"/>
      <c r="ACY308" s="90"/>
      <c r="ACZ308" s="90"/>
      <c r="ADA308" s="90"/>
      <c r="ADB308" s="90"/>
      <c r="ADC308" s="90"/>
      <c r="ADD308" s="90"/>
      <c r="ADE308" s="90"/>
      <c r="ADF308" s="90"/>
      <c r="ADG308" s="90"/>
      <c r="ADH308" s="90"/>
      <c r="ADI308" s="90"/>
      <c r="ADJ308" s="90"/>
      <c r="ADK308" s="90"/>
      <c r="ADL308" s="90"/>
      <c r="ADM308" s="90"/>
      <c r="ADN308" s="90"/>
      <c r="ADO308" s="90"/>
      <c r="ADP308" s="90"/>
      <c r="ADQ308" s="90"/>
      <c r="ADR308" s="90"/>
      <c r="ADS308" s="90"/>
      <c r="ADT308" s="90"/>
      <c r="ADU308" s="90"/>
      <c r="ADV308" s="90"/>
      <c r="ADW308" s="90"/>
      <c r="ADX308" s="90"/>
      <c r="ADY308" s="90"/>
      <c r="ADZ308" s="90"/>
      <c r="AEA308" s="90"/>
      <c r="AEB308" s="90"/>
      <c r="AEC308" s="90"/>
      <c r="AED308" s="90"/>
      <c r="AEE308" s="90"/>
      <c r="AEF308" s="90"/>
      <c r="AEG308" s="90"/>
      <c r="AEH308" s="90"/>
      <c r="AEI308" s="90"/>
      <c r="AEJ308" s="90"/>
      <c r="AEK308" s="90"/>
      <c r="AEL308" s="90"/>
      <c r="AEM308" s="90"/>
      <c r="AEN308" s="90"/>
      <c r="AEO308" s="90"/>
      <c r="AEP308" s="90"/>
      <c r="AEQ308" s="90"/>
      <c r="AER308" s="90"/>
      <c r="AES308" s="90"/>
      <c r="AET308" s="90"/>
      <c r="AEU308" s="90"/>
      <c r="AEV308" s="90"/>
      <c r="AEW308" s="90"/>
      <c r="AEX308" s="90"/>
      <c r="AEY308" s="90"/>
      <c r="AEZ308" s="90"/>
      <c r="AFA308" s="90"/>
      <c r="AFB308" s="90"/>
      <c r="AFC308" s="90"/>
      <c r="AFD308" s="90"/>
      <c r="AFE308" s="90"/>
      <c r="AFF308" s="90"/>
      <c r="AFG308" s="90"/>
      <c r="AFH308" s="90"/>
      <c r="AFI308" s="90"/>
      <c r="AFJ308" s="90"/>
      <c r="AFK308" s="90"/>
      <c r="AFL308" s="90"/>
      <c r="AFM308" s="90"/>
      <c r="AFN308" s="90"/>
      <c r="AFO308" s="90"/>
      <c r="AFP308" s="90"/>
      <c r="AFQ308" s="90"/>
      <c r="AFR308" s="90"/>
      <c r="AFS308" s="90"/>
      <c r="AFT308" s="90"/>
      <c r="AFU308" s="90"/>
      <c r="AFV308" s="90"/>
      <c r="AFW308" s="90"/>
      <c r="AFX308" s="90"/>
      <c r="AFY308" s="90"/>
      <c r="AFZ308" s="90"/>
      <c r="AGA308" s="90"/>
      <c r="AGB308" s="90"/>
      <c r="AGC308" s="90"/>
      <c r="AGD308" s="90"/>
      <c r="AGE308" s="90"/>
      <c r="AGF308" s="90"/>
      <c r="AGG308" s="90"/>
      <c r="AGH308" s="90"/>
      <c r="AGI308" s="90"/>
      <c r="AGJ308" s="90"/>
      <c r="AGK308" s="90"/>
      <c r="AGL308" s="90"/>
      <c r="AGM308" s="90"/>
      <c r="AGN308" s="90"/>
      <c r="AGO308" s="90"/>
      <c r="AGP308" s="90"/>
      <c r="AGQ308" s="90"/>
      <c r="AGR308" s="90"/>
      <c r="AGS308" s="90"/>
      <c r="AGT308" s="90"/>
      <c r="AGU308" s="90"/>
      <c r="AGV308" s="90"/>
      <c r="AGW308" s="90"/>
      <c r="AGX308" s="90"/>
      <c r="AGY308" s="90"/>
      <c r="AGZ308" s="90"/>
      <c r="AHA308" s="90"/>
      <c r="AHB308" s="90"/>
      <c r="AHC308" s="90"/>
      <c r="AHD308" s="90"/>
      <c r="AHE308" s="90"/>
      <c r="AHF308" s="90"/>
      <c r="AHG308" s="90"/>
      <c r="AHH308" s="90"/>
      <c r="AHI308" s="90"/>
      <c r="AHJ308" s="90"/>
      <c r="AHK308" s="90"/>
      <c r="AHL308" s="90"/>
      <c r="AHM308" s="90"/>
      <c r="AHN308" s="90"/>
      <c r="AHO308" s="90"/>
      <c r="AHP308" s="90"/>
      <c r="AHQ308" s="90"/>
      <c r="AHR308" s="90"/>
      <c r="AHS308" s="90"/>
      <c r="AHT308" s="90"/>
      <c r="AHU308" s="90"/>
      <c r="AHV308" s="90"/>
      <c r="AHW308" s="90"/>
      <c r="AHX308" s="90"/>
      <c r="AHY308" s="90"/>
      <c r="AHZ308" s="90"/>
      <c r="AIA308" s="90"/>
      <c r="AIB308" s="90"/>
      <c r="AIC308" s="90"/>
      <c r="AID308" s="90"/>
      <c r="AIE308" s="90"/>
      <c r="AIF308" s="90"/>
      <c r="AIG308" s="90"/>
      <c r="AIH308" s="90"/>
      <c r="AII308" s="90"/>
      <c r="AIJ308" s="90"/>
      <c r="AIK308" s="90"/>
      <c r="AIL308" s="90"/>
      <c r="AIM308" s="90"/>
      <c r="AIN308" s="90"/>
      <c r="AIO308" s="90"/>
      <c r="AIP308" s="90"/>
      <c r="AIQ308" s="90"/>
      <c r="AIR308" s="90"/>
      <c r="AIS308" s="90"/>
      <c r="AIT308" s="90"/>
      <c r="AIU308" s="90"/>
      <c r="AIV308" s="90"/>
      <c r="AIW308" s="90"/>
      <c r="AIX308" s="90"/>
      <c r="AIY308" s="90"/>
      <c r="AIZ308" s="90"/>
      <c r="AJA308" s="90"/>
      <c r="AJB308" s="90"/>
      <c r="AJC308" s="90"/>
      <c r="AJD308" s="90"/>
      <c r="AJE308" s="90"/>
      <c r="AJF308" s="90"/>
      <c r="AJG308" s="90"/>
      <c r="AJH308" s="90"/>
      <c r="AJI308" s="90"/>
      <c r="AJJ308" s="90"/>
      <c r="AJK308" s="90"/>
      <c r="AJL308" s="90"/>
      <c r="AJM308" s="90"/>
      <c r="AJN308" s="90"/>
      <c r="AJO308" s="90"/>
      <c r="AJP308" s="90"/>
      <c r="AJQ308" s="90"/>
      <c r="AJR308" s="90"/>
      <c r="AJS308" s="90"/>
      <c r="AJT308" s="90"/>
      <c r="AJU308" s="90"/>
      <c r="AJV308" s="90"/>
      <c r="AJW308" s="90"/>
      <c r="AJX308" s="90"/>
      <c r="AJY308" s="90"/>
      <c r="AJZ308" s="90"/>
      <c r="AKA308" s="90"/>
      <c r="AKB308" s="90"/>
      <c r="AKC308" s="90"/>
      <c r="AKD308" s="90"/>
      <c r="AKE308" s="90"/>
      <c r="AKF308" s="90"/>
      <c r="AKG308" s="90"/>
      <c r="AKH308" s="90"/>
      <c r="AKI308" s="90"/>
      <c r="AKJ308" s="90"/>
      <c r="AKK308" s="90"/>
      <c r="AKL308" s="90"/>
      <c r="AKM308" s="90"/>
      <c r="AKN308" s="90"/>
      <c r="AKO308" s="90"/>
      <c r="AKP308" s="90"/>
      <c r="AKQ308" s="90"/>
      <c r="AKR308" s="90"/>
      <c r="AKS308" s="90"/>
      <c r="AKT308" s="90"/>
      <c r="AKU308" s="90"/>
      <c r="AKV308" s="90"/>
      <c r="AKW308" s="90"/>
      <c r="AKX308" s="90"/>
      <c r="AKY308" s="90"/>
      <c r="AKZ308" s="90"/>
      <c r="ALA308" s="90"/>
      <c r="ALB308" s="90"/>
      <c r="ALC308" s="90"/>
      <c r="ALD308" s="90"/>
      <c r="ALE308" s="90"/>
      <c r="ALF308" s="90"/>
      <c r="ALG308" s="90"/>
      <c r="ALH308" s="90"/>
      <c r="ALI308" s="90"/>
      <c r="ALJ308" s="90"/>
      <c r="ALK308" s="90"/>
      <c r="ALL308" s="90"/>
      <c r="ALM308" s="90"/>
      <c r="ALN308" s="90"/>
      <c r="ALO308" s="90"/>
      <c r="ALP308" s="90"/>
      <c r="ALQ308" s="90"/>
      <c r="ALR308" s="90"/>
      <c r="ALS308" s="90"/>
      <c r="ALT308" s="90"/>
      <c r="ALU308" s="90"/>
      <c r="ALV308" s="90"/>
      <c r="ALW308" s="90"/>
      <c r="ALX308" s="90"/>
      <c r="ALY308" s="90"/>
      <c r="ALZ308" s="90"/>
      <c r="AMA308" s="90"/>
      <c r="AMB308" s="90"/>
      <c r="AMC308" s="90"/>
    </row>
    <row r="309" spans="1:1017">
      <c r="A309" s="98" t="s">
        <v>52</v>
      </c>
      <c r="B309" s="90" t="str">
        <f t="shared" si="1809"/>
        <v xml:space="preserve">Belut Sawah </v>
      </c>
      <c r="Q309" s="91">
        <f t="shared" si="1711"/>
        <v>0</v>
      </c>
      <c r="R309" s="91">
        <f t="shared" si="1712"/>
        <v>0</v>
      </c>
      <c r="AG309" s="91">
        <f t="shared" si="1713"/>
        <v>0</v>
      </c>
      <c r="AH309" s="91">
        <f t="shared" si="1714"/>
        <v>0</v>
      </c>
      <c r="AW309" s="91">
        <f t="shared" si="1715"/>
        <v>0</v>
      </c>
      <c r="AX309" s="91">
        <f t="shared" si="1716"/>
        <v>0</v>
      </c>
      <c r="BM309" s="91">
        <f t="shared" si="1717"/>
        <v>0</v>
      </c>
      <c r="BN309" s="91">
        <f t="shared" si="1718"/>
        <v>0</v>
      </c>
      <c r="CC309" s="91">
        <f t="shared" si="1719"/>
        <v>0</v>
      </c>
      <c r="CD309" s="91">
        <f t="shared" si="1720"/>
        <v>0</v>
      </c>
      <c r="CS309" s="91">
        <f t="shared" si="1721"/>
        <v>0</v>
      </c>
      <c r="CT309" s="91">
        <f t="shared" si="1722"/>
        <v>0</v>
      </c>
      <c r="DI309" s="91">
        <f t="shared" si="1723"/>
        <v>0</v>
      </c>
      <c r="DJ309" s="91">
        <f t="shared" si="1724"/>
        <v>0</v>
      </c>
      <c r="DY309" s="91">
        <f t="shared" si="1725"/>
        <v>0</v>
      </c>
      <c r="DZ309" s="91">
        <f t="shared" si="1726"/>
        <v>0</v>
      </c>
      <c r="EO309" s="91">
        <f t="shared" si="1727"/>
        <v>0</v>
      </c>
      <c r="EP309" s="91">
        <f t="shared" si="1728"/>
        <v>0</v>
      </c>
      <c r="FE309" s="91">
        <f t="shared" si="1729"/>
        <v>0</v>
      </c>
      <c r="FF309" s="91">
        <f t="shared" si="1730"/>
        <v>0</v>
      </c>
      <c r="FU309" s="91">
        <f t="shared" si="1731"/>
        <v>0</v>
      </c>
      <c r="FV309" s="91">
        <f t="shared" si="1732"/>
        <v>0</v>
      </c>
      <c r="GK309" s="91">
        <f t="shared" si="1733"/>
        <v>0</v>
      </c>
      <c r="GL309" s="91">
        <f t="shared" si="1734"/>
        <v>0</v>
      </c>
      <c r="HA309" s="91">
        <f t="shared" si="1735"/>
        <v>0</v>
      </c>
      <c r="HB309" s="91">
        <f t="shared" si="1736"/>
        <v>0</v>
      </c>
      <c r="HQ309" s="91">
        <f t="shared" si="1737"/>
        <v>0</v>
      </c>
      <c r="HR309" s="91">
        <f t="shared" si="1738"/>
        <v>0</v>
      </c>
      <c r="IG309" s="91">
        <f t="shared" si="1739"/>
        <v>0</v>
      </c>
      <c r="IH309" s="91">
        <f t="shared" si="1740"/>
        <v>0</v>
      </c>
      <c r="IW309" s="91">
        <f t="shared" si="1741"/>
        <v>0</v>
      </c>
      <c r="IX309" s="91">
        <f t="shared" si="1742"/>
        <v>0</v>
      </c>
      <c r="JM309" s="91">
        <f t="shared" si="1743"/>
        <v>0</v>
      </c>
      <c r="JN309" s="91">
        <f t="shared" si="1744"/>
        <v>0</v>
      </c>
      <c r="JU309" s="98">
        <v>25</v>
      </c>
      <c r="JV309" s="98">
        <v>1875</v>
      </c>
      <c r="KC309" s="91">
        <f t="shared" si="1745"/>
        <v>25</v>
      </c>
      <c r="KD309" s="91">
        <f t="shared" si="1746"/>
        <v>1875</v>
      </c>
      <c r="KS309" s="91">
        <f t="shared" si="1747"/>
        <v>0</v>
      </c>
      <c r="KT309" s="91">
        <f t="shared" si="1748"/>
        <v>0</v>
      </c>
      <c r="LI309" s="91">
        <f t="shared" si="1749"/>
        <v>0</v>
      </c>
      <c r="LJ309" s="91">
        <f t="shared" si="1750"/>
        <v>0</v>
      </c>
      <c r="LY309" s="91">
        <f t="shared" si="1751"/>
        <v>0</v>
      </c>
      <c r="LZ309" s="91">
        <f t="shared" si="1752"/>
        <v>0</v>
      </c>
      <c r="MO309" s="91">
        <f t="shared" si="1753"/>
        <v>0</v>
      </c>
      <c r="MP309" s="91">
        <f t="shared" si="1754"/>
        <v>0</v>
      </c>
      <c r="NE309" s="91">
        <f t="shared" si="1755"/>
        <v>0</v>
      </c>
      <c r="NF309" s="91">
        <f t="shared" si="1756"/>
        <v>0</v>
      </c>
      <c r="NU309" s="91">
        <f t="shared" si="1757"/>
        <v>0</v>
      </c>
      <c r="NV309" s="91">
        <f t="shared" si="1758"/>
        <v>0</v>
      </c>
      <c r="OK309" s="91">
        <f t="shared" si="1759"/>
        <v>0</v>
      </c>
      <c r="OL309" s="91">
        <f t="shared" si="1760"/>
        <v>0</v>
      </c>
      <c r="PA309" s="91">
        <f t="shared" si="1761"/>
        <v>0</v>
      </c>
      <c r="PB309" s="91">
        <f t="shared" si="1762"/>
        <v>0</v>
      </c>
      <c r="PQ309" s="91">
        <f t="shared" si="1763"/>
        <v>0</v>
      </c>
      <c r="PR309" s="91">
        <f t="shared" si="1764"/>
        <v>0</v>
      </c>
      <c r="QG309" s="91">
        <f t="shared" si="1765"/>
        <v>0</v>
      </c>
      <c r="QH309" s="91">
        <f t="shared" si="1766"/>
        <v>0</v>
      </c>
      <c r="QW309" s="91">
        <f t="shared" si="1767"/>
        <v>0</v>
      </c>
      <c r="QX309" s="91">
        <f t="shared" si="1768"/>
        <v>0</v>
      </c>
      <c r="RM309" s="91">
        <f t="shared" si="1769"/>
        <v>0</v>
      </c>
      <c r="RN309" s="91">
        <f t="shared" si="1770"/>
        <v>0</v>
      </c>
      <c r="SC309" s="91">
        <f t="shared" si="1771"/>
        <v>0</v>
      </c>
      <c r="SD309" s="91">
        <f t="shared" si="1772"/>
        <v>0</v>
      </c>
      <c r="SS309" s="91">
        <f t="shared" si="1773"/>
        <v>0</v>
      </c>
      <c r="ST309" s="91">
        <f t="shared" si="1774"/>
        <v>0</v>
      </c>
      <c r="TI309" s="91">
        <f t="shared" si="1775"/>
        <v>0</v>
      </c>
      <c r="TJ309" s="91">
        <f t="shared" si="1776"/>
        <v>0</v>
      </c>
      <c r="TY309" s="91">
        <f t="shared" si="1777"/>
        <v>0</v>
      </c>
      <c r="TZ309" s="91">
        <f t="shared" si="1778"/>
        <v>0</v>
      </c>
      <c r="UO309" s="91">
        <f t="shared" si="1779"/>
        <v>0</v>
      </c>
      <c r="UP309" s="91">
        <f t="shared" si="1780"/>
        <v>0</v>
      </c>
      <c r="VE309" s="91">
        <f t="shared" si="1781"/>
        <v>0</v>
      </c>
      <c r="VF309" s="91">
        <f t="shared" si="1782"/>
        <v>0</v>
      </c>
      <c r="VU309" s="91">
        <f t="shared" si="1783"/>
        <v>0</v>
      </c>
      <c r="VV309" s="91">
        <f t="shared" si="1784"/>
        <v>0</v>
      </c>
      <c r="WK309" s="91">
        <f t="shared" si="1785"/>
        <v>0</v>
      </c>
      <c r="WL309" s="91">
        <f t="shared" si="1786"/>
        <v>0</v>
      </c>
      <c r="WM309" s="89"/>
      <c r="WN309" s="87">
        <f t="shared" si="1810"/>
        <v>0</v>
      </c>
      <c r="WO309" s="87">
        <f t="shared" si="1811"/>
        <v>0</v>
      </c>
      <c r="WP309" s="87">
        <f t="shared" si="1812"/>
        <v>0</v>
      </c>
      <c r="WQ309" s="87">
        <f t="shared" si="1813"/>
        <v>0</v>
      </c>
      <c r="WR309" s="87">
        <f t="shared" si="1814"/>
        <v>0</v>
      </c>
      <c r="WS309" s="87">
        <f t="shared" si="1815"/>
        <v>0</v>
      </c>
      <c r="WT309" s="87">
        <f t="shared" si="1816"/>
        <v>25</v>
      </c>
      <c r="WU309" s="87">
        <f t="shared" si="1817"/>
        <v>1875</v>
      </c>
      <c r="WV309" s="87">
        <f t="shared" si="1818"/>
        <v>0</v>
      </c>
      <c r="WW309" s="87">
        <f t="shared" si="1819"/>
        <v>0</v>
      </c>
      <c r="WX309" s="87">
        <f t="shared" si="1820"/>
        <v>0</v>
      </c>
      <c r="WY309" s="87">
        <f t="shared" si="1821"/>
        <v>0</v>
      </c>
      <c r="WZ309" s="87">
        <f t="shared" si="1805"/>
        <v>0</v>
      </c>
      <c r="XA309" s="87">
        <f t="shared" si="1806"/>
        <v>0</v>
      </c>
      <c r="XB309" s="92">
        <f t="shared" si="1807"/>
        <v>25</v>
      </c>
      <c r="XC309" s="92">
        <f t="shared" si="1808"/>
        <v>1875</v>
      </c>
      <c r="XD309" s="89"/>
      <c r="XE309" s="92"/>
      <c r="XF309" s="92"/>
      <c r="XG309" s="89"/>
      <c r="XH309" s="92"/>
      <c r="XI309" s="92"/>
      <c r="XJ309" s="89"/>
      <c r="XK309" s="87"/>
      <c r="XL309" s="87"/>
      <c r="XM309" s="87"/>
      <c r="XN309" s="87"/>
      <c r="XO309" s="87"/>
      <c r="XP309" s="87"/>
      <c r="XQ309" s="87"/>
      <c r="XR309" s="92">
        <f t="shared" ca="1" si="1803"/>
        <v>0</v>
      </c>
      <c r="XS309" s="89"/>
      <c r="XT309" s="87"/>
      <c r="XU309" s="87"/>
      <c r="XV309" s="87"/>
      <c r="XW309" s="87"/>
      <c r="XX309" s="87"/>
      <c r="XY309" s="87"/>
      <c r="XZ309" s="87"/>
      <c r="YA309" s="92">
        <f t="shared" ca="1" si="1804"/>
        <v>0</v>
      </c>
      <c r="YB309" s="90"/>
      <c r="YC309" s="90"/>
      <c r="YD309" s="90"/>
      <c r="YE309" s="90"/>
      <c r="YF309" s="90"/>
      <c r="YG309" s="90"/>
      <c r="YH309" s="90"/>
      <c r="YI309" s="90"/>
      <c r="YJ309" s="90"/>
      <c r="YK309" s="90"/>
      <c r="YL309" s="90"/>
      <c r="YM309" s="90"/>
      <c r="YN309" s="90"/>
      <c r="YO309" s="90"/>
      <c r="YP309" s="90"/>
      <c r="YQ309" s="90"/>
      <c r="YR309" s="90"/>
      <c r="YS309" s="90"/>
      <c r="YT309" s="90"/>
      <c r="YU309" s="90"/>
      <c r="YV309" s="90"/>
      <c r="YW309" s="90"/>
      <c r="YX309" s="90"/>
      <c r="YY309" s="90"/>
      <c r="YZ309" s="90"/>
      <c r="ZA309" s="90"/>
      <c r="ZB309" s="90"/>
      <c r="ZC309" s="90"/>
      <c r="ZD309" s="90"/>
      <c r="ZE309" s="90"/>
      <c r="ZF309" s="90"/>
      <c r="ZG309" s="90"/>
      <c r="ZH309" s="90"/>
      <c r="ZI309" s="90"/>
      <c r="ZJ309" s="90"/>
      <c r="ZK309" s="90"/>
      <c r="ZL309" s="90"/>
      <c r="ZM309" s="90"/>
      <c r="ZN309" s="90"/>
      <c r="ZO309" s="90"/>
      <c r="ZP309" s="90"/>
      <c r="ZQ309" s="90"/>
      <c r="ZR309" s="90"/>
      <c r="ZS309" s="90"/>
      <c r="ZT309" s="90"/>
      <c r="ZU309" s="90"/>
      <c r="ZV309" s="90"/>
      <c r="ZW309" s="90"/>
      <c r="ZX309" s="90"/>
      <c r="ZY309" s="90"/>
      <c r="ZZ309" s="90"/>
      <c r="AAA309" s="90"/>
      <c r="AAB309" s="90"/>
      <c r="AAC309" s="90"/>
      <c r="AAD309" s="90"/>
      <c r="AAE309" s="90"/>
      <c r="AAF309" s="90"/>
      <c r="AAG309" s="90"/>
      <c r="AAH309" s="90"/>
      <c r="AAI309" s="90"/>
      <c r="AAJ309" s="90"/>
      <c r="AAK309" s="90"/>
      <c r="AAL309" s="90"/>
      <c r="AAM309" s="90"/>
      <c r="AAN309" s="90"/>
      <c r="AAO309" s="90"/>
      <c r="AAP309" s="90"/>
      <c r="AAQ309" s="90"/>
      <c r="AAR309" s="90"/>
      <c r="AAS309" s="90"/>
      <c r="AAT309" s="90"/>
      <c r="AAU309" s="90"/>
      <c r="AAV309" s="90"/>
      <c r="AAW309" s="90"/>
      <c r="AAX309" s="90"/>
      <c r="AAY309" s="90"/>
      <c r="AAZ309" s="90"/>
      <c r="ABA309" s="90"/>
      <c r="ABB309" s="90"/>
      <c r="ABC309" s="90"/>
      <c r="ABD309" s="90"/>
      <c r="ABE309" s="90"/>
      <c r="ABF309" s="90"/>
      <c r="ABG309" s="90"/>
      <c r="ABH309" s="90"/>
      <c r="ABI309" s="90"/>
      <c r="ABJ309" s="90"/>
      <c r="ABK309" s="90"/>
      <c r="ABL309" s="90"/>
      <c r="ABM309" s="90"/>
      <c r="ABN309" s="90"/>
      <c r="ABO309" s="90"/>
      <c r="ABP309" s="90"/>
      <c r="ABQ309" s="90"/>
      <c r="ABR309" s="90"/>
      <c r="ABS309" s="90"/>
      <c r="ABT309" s="90"/>
      <c r="ABU309" s="90"/>
      <c r="ABV309" s="90"/>
      <c r="ABW309" s="90"/>
      <c r="ABX309" s="90"/>
      <c r="ABY309" s="90"/>
      <c r="ABZ309" s="90"/>
      <c r="ACA309" s="90"/>
      <c r="ACB309" s="90"/>
      <c r="ACC309" s="90"/>
      <c r="ACD309" s="90"/>
      <c r="ACE309" s="90"/>
      <c r="ACF309" s="90"/>
      <c r="ACG309" s="90"/>
      <c r="ACH309" s="90"/>
      <c r="ACI309" s="90"/>
      <c r="ACJ309" s="90"/>
      <c r="ACK309" s="90"/>
      <c r="ACL309" s="90"/>
      <c r="ACM309" s="90"/>
      <c r="ACN309" s="90"/>
      <c r="ACO309" s="90"/>
      <c r="ACP309" s="90"/>
      <c r="ACQ309" s="90"/>
      <c r="ACR309" s="90"/>
      <c r="ACS309" s="90"/>
      <c r="ACT309" s="90"/>
      <c r="ACU309" s="90"/>
      <c r="ACV309" s="90"/>
      <c r="ACW309" s="90"/>
      <c r="ACX309" s="90"/>
      <c r="ACY309" s="90"/>
      <c r="ACZ309" s="90"/>
      <c r="ADA309" s="90"/>
      <c r="ADB309" s="90"/>
      <c r="ADC309" s="90"/>
      <c r="ADD309" s="90"/>
      <c r="ADE309" s="90"/>
      <c r="ADF309" s="90"/>
      <c r="ADG309" s="90"/>
      <c r="ADH309" s="90"/>
      <c r="ADI309" s="90"/>
      <c r="ADJ309" s="90"/>
      <c r="ADK309" s="90"/>
      <c r="ADL309" s="90"/>
      <c r="ADM309" s="90"/>
      <c r="ADN309" s="90"/>
      <c r="ADO309" s="90"/>
      <c r="ADP309" s="90"/>
      <c r="ADQ309" s="90"/>
      <c r="ADR309" s="90"/>
      <c r="ADS309" s="90"/>
      <c r="ADT309" s="90"/>
      <c r="ADU309" s="90"/>
      <c r="ADV309" s="90"/>
      <c r="ADW309" s="90"/>
      <c r="ADX309" s="90"/>
      <c r="ADY309" s="90"/>
      <c r="ADZ309" s="90"/>
      <c r="AEA309" s="90"/>
      <c r="AEB309" s="90"/>
      <c r="AEC309" s="90"/>
      <c r="AED309" s="90"/>
      <c r="AEE309" s="90"/>
      <c r="AEF309" s="90"/>
      <c r="AEG309" s="90"/>
      <c r="AEH309" s="90"/>
      <c r="AEI309" s="90"/>
      <c r="AEJ309" s="90"/>
      <c r="AEK309" s="90"/>
      <c r="AEL309" s="90"/>
      <c r="AEM309" s="90"/>
      <c r="AEN309" s="90"/>
      <c r="AEO309" s="90"/>
      <c r="AEP309" s="90"/>
      <c r="AEQ309" s="90"/>
      <c r="AER309" s="90"/>
      <c r="AES309" s="90"/>
      <c r="AET309" s="90"/>
      <c r="AEU309" s="90"/>
      <c r="AEV309" s="90"/>
      <c r="AEW309" s="90"/>
      <c r="AEX309" s="90"/>
      <c r="AEY309" s="90"/>
      <c r="AEZ309" s="90"/>
      <c r="AFA309" s="90"/>
      <c r="AFB309" s="90"/>
      <c r="AFC309" s="90"/>
      <c r="AFD309" s="90"/>
      <c r="AFE309" s="90"/>
      <c r="AFF309" s="90"/>
      <c r="AFG309" s="90"/>
      <c r="AFH309" s="90"/>
      <c r="AFI309" s="90"/>
      <c r="AFJ309" s="90"/>
      <c r="AFK309" s="90"/>
      <c r="AFL309" s="90"/>
      <c r="AFM309" s="90"/>
      <c r="AFN309" s="90"/>
      <c r="AFO309" s="90"/>
      <c r="AFP309" s="90"/>
      <c r="AFQ309" s="90"/>
      <c r="AFR309" s="90"/>
      <c r="AFS309" s="90"/>
      <c r="AFT309" s="90"/>
      <c r="AFU309" s="90"/>
      <c r="AFV309" s="90"/>
      <c r="AFW309" s="90"/>
      <c r="AFX309" s="90"/>
      <c r="AFY309" s="90"/>
      <c r="AFZ309" s="90"/>
      <c r="AGA309" s="90"/>
      <c r="AGB309" s="90"/>
      <c r="AGC309" s="90"/>
      <c r="AGD309" s="90"/>
      <c r="AGE309" s="90"/>
      <c r="AGF309" s="90"/>
      <c r="AGG309" s="90"/>
      <c r="AGH309" s="90"/>
      <c r="AGI309" s="90"/>
      <c r="AGJ309" s="90"/>
      <c r="AGK309" s="90"/>
      <c r="AGL309" s="90"/>
      <c r="AGM309" s="90"/>
      <c r="AGN309" s="90"/>
      <c r="AGO309" s="90"/>
      <c r="AGP309" s="90"/>
      <c r="AGQ309" s="90"/>
      <c r="AGR309" s="90"/>
      <c r="AGS309" s="90"/>
      <c r="AGT309" s="90"/>
      <c r="AGU309" s="90"/>
      <c r="AGV309" s="90"/>
      <c r="AGW309" s="90"/>
      <c r="AGX309" s="90"/>
      <c r="AGY309" s="90"/>
      <c r="AGZ309" s="90"/>
      <c r="AHA309" s="90"/>
      <c r="AHB309" s="90"/>
      <c r="AHC309" s="90"/>
      <c r="AHD309" s="90"/>
      <c r="AHE309" s="90"/>
      <c r="AHF309" s="90"/>
      <c r="AHG309" s="90"/>
      <c r="AHH309" s="90"/>
      <c r="AHI309" s="90"/>
      <c r="AHJ309" s="90"/>
      <c r="AHK309" s="90"/>
      <c r="AHL309" s="90"/>
      <c r="AHM309" s="90"/>
      <c r="AHN309" s="90"/>
      <c r="AHO309" s="90"/>
      <c r="AHP309" s="90"/>
      <c r="AHQ309" s="90"/>
      <c r="AHR309" s="90"/>
      <c r="AHS309" s="90"/>
      <c r="AHT309" s="90"/>
      <c r="AHU309" s="90"/>
      <c r="AHV309" s="90"/>
      <c r="AHW309" s="90"/>
      <c r="AHX309" s="90"/>
      <c r="AHY309" s="90"/>
      <c r="AHZ309" s="90"/>
      <c r="AIA309" s="90"/>
      <c r="AIB309" s="90"/>
      <c r="AIC309" s="90"/>
      <c r="AID309" s="90"/>
      <c r="AIE309" s="90"/>
      <c r="AIF309" s="90"/>
      <c r="AIG309" s="90"/>
      <c r="AIH309" s="90"/>
      <c r="AII309" s="90"/>
      <c r="AIJ309" s="90"/>
      <c r="AIK309" s="90"/>
      <c r="AIL309" s="90"/>
      <c r="AIM309" s="90"/>
      <c r="AIN309" s="90"/>
      <c r="AIO309" s="90"/>
      <c r="AIP309" s="90"/>
      <c r="AIQ309" s="90"/>
      <c r="AIR309" s="90"/>
      <c r="AIS309" s="90"/>
      <c r="AIT309" s="90"/>
      <c r="AIU309" s="90"/>
      <c r="AIV309" s="90"/>
      <c r="AIW309" s="90"/>
      <c r="AIX309" s="90"/>
      <c r="AIY309" s="90"/>
      <c r="AIZ309" s="90"/>
      <c r="AJA309" s="90"/>
      <c r="AJB309" s="90"/>
      <c r="AJC309" s="90"/>
      <c r="AJD309" s="90"/>
      <c r="AJE309" s="90"/>
      <c r="AJF309" s="90"/>
      <c r="AJG309" s="90"/>
      <c r="AJH309" s="90"/>
      <c r="AJI309" s="90"/>
      <c r="AJJ309" s="90"/>
      <c r="AJK309" s="90"/>
      <c r="AJL309" s="90"/>
      <c r="AJM309" s="90"/>
      <c r="AJN309" s="90"/>
      <c r="AJO309" s="90"/>
      <c r="AJP309" s="90"/>
      <c r="AJQ309" s="90"/>
      <c r="AJR309" s="90"/>
      <c r="AJS309" s="90"/>
      <c r="AJT309" s="90"/>
      <c r="AJU309" s="90"/>
      <c r="AJV309" s="90"/>
      <c r="AJW309" s="90"/>
      <c r="AJX309" s="90"/>
      <c r="AJY309" s="90"/>
      <c r="AJZ309" s="90"/>
      <c r="AKA309" s="90"/>
      <c r="AKB309" s="90"/>
      <c r="AKC309" s="90"/>
      <c r="AKD309" s="90"/>
      <c r="AKE309" s="90"/>
      <c r="AKF309" s="90"/>
      <c r="AKG309" s="90"/>
      <c r="AKH309" s="90"/>
      <c r="AKI309" s="90"/>
      <c r="AKJ309" s="90"/>
      <c r="AKK309" s="90"/>
      <c r="AKL309" s="90"/>
      <c r="AKM309" s="90"/>
      <c r="AKN309" s="90"/>
      <c r="AKO309" s="90"/>
      <c r="AKP309" s="90"/>
      <c r="AKQ309" s="90"/>
      <c r="AKR309" s="90"/>
      <c r="AKS309" s="90"/>
      <c r="AKT309" s="90"/>
      <c r="AKU309" s="90"/>
      <c r="AKV309" s="90"/>
      <c r="AKW309" s="90"/>
      <c r="AKX309" s="90"/>
      <c r="AKY309" s="90"/>
      <c r="AKZ309" s="90"/>
      <c r="ALA309" s="90"/>
      <c r="ALB309" s="90"/>
      <c r="ALC309" s="90"/>
      <c r="ALD309" s="90"/>
      <c r="ALE309" s="90"/>
      <c r="ALF309" s="90"/>
      <c r="ALG309" s="90"/>
      <c r="ALH309" s="90"/>
      <c r="ALI309" s="90"/>
      <c r="ALJ309" s="90"/>
      <c r="ALK309" s="90"/>
      <c r="ALL309" s="90"/>
      <c r="ALM309" s="90"/>
      <c r="ALN309" s="90"/>
      <c r="ALO309" s="90"/>
      <c r="ALP309" s="90"/>
      <c r="ALQ309" s="90"/>
      <c r="ALR309" s="90"/>
      <c r="ALS309" s="90"/>
      <c r="ALT309" s="90"/>
      <c r="ALU309" s="90"/>
      <c r="ALV309" s="90"/>
      <c r="ALW309" s="90"/>
      <c r="ALX309" s="90"/>
      <c r="ALY309" s="90"/>
      <c r="ALZ309" s="90"/>
      <c r="AMA309" s="90"/>
      <c r="AMB309" s="90"/>
      <c r="AMC309" s="90"/>
    </row>
    <row r="310" spans="1:1017">
      <c r="A310" s="98" t="s">
        <v>52</v>
      </c>
      <c r="B310" s="90" t="str">
        <f t="shared" si="1809"/>
        <v xml:space="preserve">Udang_04 (Udang Lainnya) </v>
      </c>
      <c r="Q310" s="91">
        <f t="shared" si="1711"/>
        <v>0</v>
      </c>
      <c r="R310" s="91">
        <f t="shared" si="1712"/>
        <v>0</v>
      </c>
      <c r="AG310" s="91">
        <f t="shared" si="1713"/>
        <v>0</v>
      </c>
      <c r="AH310" s="91">
        <f t="shared" si="1714"/>
        <v>0</v>
      </c>
      <c r="AW310" s="91">
        <f t="shared" si="1715"/>
        <v>0</v>
      </c>
      <c r="AX310" s="91">
        <f t="shared" si="1716"/>
        <v>0</v>
      </c>
      <c r="BM310" s="91">
        <f t="shared" si="1717"/>
        <v>0</v>
      </c>
      <c r="BN310" s="91">
        <f t="shared" si="1718"/>
        <v>0</v>
      </c>
      <c r="CC310" s="91">
        <f t="shared" si="1719"/>
        <v>0</v>
      </c>
      <c r="CD310" s="91">
        <f t="shared" si="1720"/>
        <v>0</v>
      </c>
      <c r="CS310" s="91">
        <f t="shared" si="1721"/>
        <v>0</v>
      </c>
      <c r="CT310" s="91">
        <f t="shared" si="1722"/>
        <v>0</v>
      </c>
      <c r="DI310" s="91">
        <f t="shared" si="1723"/>
        <v>0</v>
      </c>
      <c r="DJ310" s="91">
        <f t="shared" si="1724"/>
        <v>0</v>
      </c>
      <c r="DY310" s="91">
        <f t="shared" si="1725"/>
        <v>0</v>
      </c>
      <c r="DZ310" s="91">
        <f t="shared" si="1726"/>
        <v>0</v>
      </c>
      <c r="EO310" s="91">
        <f t="shared" si="1727"/>
        <v>0</v>
      </c>
      <c r="EP310" s="91">
        <f t="shared" si="1728"/>
        <v>0</v>
      </c>
      <c r="FE310" s="91">
        <f t="shared" si="1729"/>
        <v>0</v>
      </c>
      <c r="FF310" s="91">
        <f t="shared" si="1730"/>
        <v>0</v>
      </c>
      <c r="FU310" s="91">
        <f t="shared" si="1731"/>
        <v>0</v>
      </c>
      <c r="FV310" s="91">
        <f t="shared" si="1732"/>
        <v>0</v>
      </c>
      <c r="GK310" s="91">
        <f t="shared" si="1733"/>
        <v>0</v>
      </c>
      <c r="GL310" s="91">
        <f t="shared" si="1734"/>
        <v>0</v>
      </c>
      <c r="HA310" s="91">
        <f t="shared" si="1735"/>
        <v>0</v>
      </c>
      <c r="HB310" s="91">
        <f t="shared" si="1736"/>
        <v>0</v>
      </c>
      <c r="HQ310" s="91">
        <f t="shared" si="1737"/>
        <v>0</v>
      </c>
      <c r="HR310" s="91">
        <f t="shared" si="1738"/>
        <v>0</v>
      </c>
      <c r="IG310" s="91">
        <f t="shared" si="1739"/>
        <v>0</v>
      </c>
      <c r="IH310" s="91">
        <f t="shared" si="1740"/>
        <v>0</v>
      </c>
      <c r="IW310" s="91">
        <f t="shared" si="1741"/>
        <v>0</v>
      </c>
      <c r="IX310" s="91">
        <f t="shared" si="1742"/>
        <v>0</v>
      </c>
      <c r="JM310" s="91">
        <f t="shared" si="1743"/>
        <v>0</v>
      </c>
      <c r="JN310" s="91">
        <f t="shared" si="1744"/>
        <v>0</v>
      </c>
      <c r="KC310" s="91">
        <f t="shared" si="1745"/>
        <v>0</v>
      </c>
      <c r="KD310" s="91">
        <f t="shared" si="1746"/>
        <v>0</v>
      </c>
      <c r="KS310" s="91">
        <f t="shared" si="1747"/>
        <v>0</v>
      </c>
      <c r="KT310" s="91">
        <f t="shared" si="1748"/>
        <v>0</v>
      </c>
      <c r="LI310" s="91">
        <f t="shared" si="1749"/>
        <v>0</v>
      </c>
      <c r="LJ310" s="91">
        <f t="shared" si="1750"/>
        <v>0</v>
      </c>
      <c r="LY310" s="91">
        <f t="shared" si="1751"/>
        <v>0</v>
      </c>
      <c r="LZ310" s="91">
        <f t="shared" si="1752"/>
        <v>0</v>
      </c>
      <c r="MO310" s="91">
        <f t="shared" si="1753"/>
        <v>0</v>
      </c>
      <c r="MP310" s="91">
        <f t="shared" si="1754"/>
        <v>0</v>
      </c>
      <c r="NE310" s="91">
        <f t="shared" si="1755"/>
        <v>0</v>
      </c>
      <c r="NF310" s="91">
        <f t="shared" si="1756"/>
        <v>0</v>
      </c>
      <c r="NU310" s="91">
        <f t="shared" si="1757"/>
        <v>0</v>
      </c>
      <c r="NV310" s="91">
        <f t="shared" si="1758"/>
        <v>0</v>
      </c>
      <c r="OK310" s="91">
        <f t="shared" si="1759"/>
        <v>0</v>
      </c>
      <c r="OL310" s="91">
        <f t="shared" si="1760"/>
        <v>0</v>
      </c>
      <c r="PA310" s="91">
        <f t="shared" si="1761"/>
        <v>0</v>
      </c>
      <c r="PB310" s="91">
        <f t="shared" si="1762"/>
        <v>0</v>
      </c>
      <c r="PQ310" s="91">
        <f t="shared" si="1763"/>
        <v>0</v>
      </c>
      <c r="PR310" s="91">
        <f t="shared" si="1764"/>
        <v>0</v>
      </c>
      <c r="QG310" s="91">
        <f t="shared" si="1765"/>
        <v>0</v>
      </c>
      <c r="QH310" s="91">
        <f t="shared" si="1766"/>
        <v>0</v>
      </c>
      <c r="QW310" s="91">
        <f t="shared" si="1767"/>
        <v>0</v>
      </c>
      <c r="QX310" s="91">
        <f t="shared" si="1768"/>
        <v>0</v>
      </c>
      <c r="RM310" s="91">
        <f t="shared" si="1769"/>
        <v>0</v>
      </c>
      <c r="RN310" s="91">
        <f t="shared" si="1770"/>
        <v>0</v>
      </c>
      <c r="SC310" s="91">
        <f t="shared" si="1771"/>
        <v>0</v>
      </c>
      <c r="SD310" s="91">
        <f t="shared" si="1772"/>
        <v>0</v>
      </c>
      <c r="SS310" s="91">
        <f t="shared" si="1773"/>
        <v>0</v>
      </c>
      <c r="ST310" s="91">
        <f t="shared" si="1774"/>
        <v>0</v>
      </c>
      <c r="TI310" s="91">
        <f t="shared" si="1775"/>
        <v>0</v>
      </c>
      <c r="TJ310" s="91">
        <f t="shared" si="1776"/>
        <v>0</v>
      </c>
      <c r="TY310" s="91">
        <f t="shared" si="1777"/>
        <v>0</v>
      </c>
      <c r="TZ310" s="91">
        <f t="shared" si="1778"/>
        <v>0</v>
      </c>
      <c r="UO310" s="91">
        <f t="shared" si="1779"/>
        <v>0</v>
      </c>
      <c r="UP310" s="91">
        <f t="shared" si="1780"/>
        <v>0</v>
      </c>
      <c r="VE310" s="91">
        <f t="shared" si="1781"/>
        <v>0</v>
      </c>
      <c r="VF310" s="91">
        <f t="shared" si="1782"/>
        <v>0</v>
      </c>
      <c r="VU310" s="91">
        <f t="shared" si="1783"/>
        <v>0</v>
      </c>
      <c r="VV310" s="91">
        <f t="shared" si="1784"/>
        <v>0</v>
      </c>
      <c r="WK310" s="91">
        <f t="shared" si="1785"/>
        <v>0</v>
      </c>
      <c r="WL310" s="91">
        <f t="shared" si="1786"/>
        <v>0</v>
      </c>
      <c r="WM310" s="89"/>
      <c r="WN310" s="87">
        <f t="shared" si="1810"/>
        <v>0</v>
      </c>
      <c r="WO310" s="87">
        <f t="shared" si="1811"/>
        <v>0</v>
      </c>
      <c r="WP310" s="87">
        <f t="shared" si="1812"/>
        <v>0</v>
      </c>
      <c r="WQ310" s="87">
        <f t="shared" si="1813"/>
        <v>0</v>
      </c>
      <c r="WR310" s="87">
        <f t="shared" si="1814"/>
        <v>0</v>
      </c>
      <c r="WS310" s="87">
        <f t="shared" si="1815"/>
        <v>0</v>
      </c>
      <c r="WT310" s="87">
        <f t="shared" si="1816"/>
        <v>0</v>
      </c>
      <c r="WU310" s="87">
        <f t="shared" si="1817"/>
        <v>0</v>
      </c>
      <c r="WV310" s="87">
        <f t="shared" si="1818"/>
        <v>0</v>
      </c>
      <c r="WW310" s="87">
        <f t="shared" si="1819"/>
        <v>0</v>
      </c>
      <c r="WX310" s="87">
        <f t="shared" si="1820"/>
        <v>0</v>
      </c>
      <c r="WY310" s="87">
        <f t="shared" si="1821"/>
        <v>0</v>
      </c>
      <c r="WZ310" s="87">
        <f t="shared" si="1805"/>
        <v>0</v>
      </c>
      <c r="XA310" s="87">
        <f t="shared" si="1806"/>
        <v>0</v>
      </c>
      <c r="XB310" s="92">
        <f t="shared" si="1807"/>
        <v>0</v>
      </c>
      <c r="XC310" s="92">
        <f t="shared" si="1808"/>
        <v>0</v>
      </c>
      <c r="XD310" s="89"/>
      <c r="XE310" s="92"/>
      <c r="XF310" s="92"/>
      <c r="XG310" s="89"/>
      <c r="XH310" s="92"/>
      <c r="XI310" s="92"/>
      <c r="XJ310" s="89"/>
      <c r="XK310" s="87"/>
      <c r="XL310" s="87"/>
      <c r="XM310" s="87"/>
      <c r="XN310" s="87"/>
      <c r="XO310" s="87"/>
      <c r="XP310" s="87"/>
      <c r="XQ310" s="87"/>
      <c r="XR310" s="92">
        <f t="shared" ca="1" si="1803"/>
        <v>0</v>
      </c>
      <c r="XS310" s="89"/>
      <c r="XT310" s="87"/>
      <c r="XU310" s="87"/>
      <c r="XV310" s="87"/>
      <c r="XW310" s="87"/>
      <c r="XX310" s="87"/>
      <c r="XY310" s="87"/>
      <c r="XZ310" s="87"/>
      <c r="YA310" s="92">
        <f t="shared" ca="1" si="1804"/>
        <v>0</v>
      </c>
      <c r="YB310" s="90"/>
      <c r="YC310" s="90"/>
      <c r="YD310" s="90"/>
      <c r="YE310" s="90"/>
      <c r="YF310" s="90"/>
      <c r="YG310" s="90"/>
      <c r="YH310" s="90"/>
      <c r="YI310" s="90"/>
      <c r="YJ310" s="90"/>
      <c r="YK310" s="90"/>
      <c r="YL310" s="90"/>
      <c r="YM310" s="90"/>
      <c r="YN310" s="90"/>
      <c r="YO310" s="90"/>
      <c r="YP310" s="90"/>
      <c r="YQ310" s="90"/>
      <c r="YR310" s="90"/>
      <c r="YS310" s="90"/>
      <c r="YT310" s="90"/>
      <c r="YU310" s="90"/>
      <c r="YV310" s="90"/>
      <c r="YW310" s="90"/>
      <c r="YX310" s="90"/>
      <c r="YY310" s="90"/>
      <c r="YZ310" s="90"/>
      <c r="ZA310" s="90"/>
      <c r="ZB310" s="90"/>
      <c r="ZC310" s="90"/>
      <c r="ZD310" s="90"/>
      <c r="ZE310" s="90"/>
      <c r="ZF310" s="90"/>
      <c r="ZG310" s="90"/>
      <c r="ZH310" s="90"/>
      <c r="ZI310" s="90"/>
      <c r="ZJ310" s="90"/>
      <c r="ZK310" s="90"/>
      <c r="ZL310" s="90"/>
      <c r="ZM310" s="90"/>
      <c r="ZN310" s="90"/>
      <c r="ZO310" s="90"/>
      <c r="ZP310" s="90"/>
      <c r="ZQ310" s="90"/>
      <c r="ZR310" s="90"/>
      <c r="ZS310" s="90"/>
      <c r="ZT310" s="90"/>
      <c r="ZU310" s="90"/>
      <c r="ZV310" s="90"/>
      <c r="ZW310" s="90"/>
      <c r="ZX310" s="90"/>
      <c r="ZY310" s="90"/>
      <c r="ZZ310" s="90"/>
      <c r="AAA310" s="90"/>
      <c r="AAB310" s="90"/>
      <c r="AAC310" s="90"/>
      <c r="AAD310" s="90"/>
      <c r="AAE310" s="90"/>
      <c r="AAF310" s="90"/>
      <c r="AAG310" s="90"/>
      <c r="AAH310" s="90"/>
      <c r="AAI310" s="90"/>
      <c r="AAJ310" s="90"/>
      <c r="AAK310" s="90"/>
      <c r="AAL310" s="90"/>
      <c r="AAM310" s="90"/>
      <c r="AAN310" s="90"/>
      <c r="AAO310" s="90"/>
      <c r="AAP310" s="90"/>
      <c r="AAQ310" s="90"/>
      <c r="AAR310" s="90"/>
      <c r="AAS310" s="90"/>
      <c r="AAT310" s="90"/>
      <c r="AAU310" s="90"/>
      <c r="AAV310" s="90"/>
      <c r="AAW310" s="90"/>
      <c r="AAX310" s="90"/>
      <c r="AAY310" s="90"/>
      <c r="AAZ310" s="90"/>
      <c r="ABA310" s="90"/>
      <c r="ABB310" s="90"/>
      <c r="ABC310" s="90"/>
      <c r="ABD310" s="90"/>
      <c r="ABE310" s="90"/>
      <c r="ABF310" s="90"/>
      <c r="ABG310" s="90"/>
      <c r="ABH310" s="90"/>
      <c r="ABI310" s="90"/>
      <c r="ABJ310" s="90"/>
      <c r="ABK310" s="90"/>
      <c r="ABL310" s="90"/>
      <c r="ABM310" s="90"/>
      <c r="ABN310" s="90"/>
      <c r="ABO310" s="90"/>
      <c r="ABP310" s="90"/>
      <c r="ABQ310" s="90"/>
      <c r="ABR310" s="90"/>
      <c r="ABS310" s="90"/>
      <c r="ABT310" s="90"/>
      <c r="ABU310" s="90"/>
      <c r="ABV310" s="90"/>
      <c r="ABW310" s="90"/>
      <c r="ABX310" s="90"/>
      <c r="ABY310" s="90"/>
      <c r="ABZ310" s="90"/>
      <c r="ACA310" s="90"/>
      <c r="ACB310" s="90"/>
      <c r="ACC310" s="90"/>
      <c r="ACD310" s="90"/>
      <c r="ACE310" s="90"/>
      <c r="ACF310" s="90"/>
      <c r="ACG310" s="90"/>
      <c r="ACH310" s="90"/>
      <c r="ACI310" s="90"/>
      <c r="ACJ310" s="90"/>
      <c r="ACK310" s="90"/>
      <c r="ACL310" s="90"/>
      <c r="ACM310" s="90"/>
      <c r="ACN310" s="90"/>
      <c r="ACO310" s="90"/>
      <c r="ACP310" s="90"/>
      <c r="ACQ310" s="90"/>
      <c r="ACR310" s="90"/>
      <c r="ACS310" s="90"/>
      <c r="ACT310" s="90"/>
      <c r="ACU310" s="90"/>
      <c r="ACV310" s="90"/>
      <c r="ACW310" s="90"/>
      <c r="ACX310" s="90"/>
      <c r="ACY310" s="90"/>
      <c r="ACZ310" s="90"/>
      <c r="ADA310" s="90"/>
      <c r="ADB310" s="90"/>
      <c r="ADC310" s="90"/>
      <c r="ADD310" s="90"/>
      <c r="ADE310" s="90"/>
      <c r="ADF310" s="90"/>
      <c r="ADG310" s="90"/>
      <c r="ADH310" s="90"/>
      <c r="ADI310" s="90"/>
      <c r="ADJ310" s="90"/>
      <c r="ADK310" s="90"/>
      <c r="ADL310" s="90"/>
      <c r="ADM310" s="90"/>
      <c r="ADN310" s="90"/>
      <c r="ADO310" s="90"/>
      <c r="ADP310" s="90"/>
      <c r="ADQ310" s="90"/>
      <c r="ADR310" s="90"/>
      <c r="ADS310" s="90"/>
      <c r="ADT310" s="90"/>
      <c r="ADU310" s="90"/>
      <c r="ADV310" s="90"/>
      <c r="ADW310" s="90"/>
      <c r="ADX310" s="90"/>
      <c r="ADY310" s="90"/>
      <c r="ADZ310" s="90"/>
      <c r="AEA310" s="90"/>
      <c r="AEB310" s="90"/>
      <c r="AEC310" s="90"/>
      <c r="AED310" s="90"/>
      <c r="AEE310" s="90"/>
      <c r="AEF310" s="90"/>
      <c r="AEG310" s="90"/>
      <c r="AEH310" s="90"/>
      <c r="AEI310" s="90"/>
      <c r="AEJ310" s="90"/>
      <c r="AEK310" s="90"/>
      <c r="AEL310" s="90"/>
      <c r="AEM310" s="90"/>
      <c r="AEN310" s="90"/>
      <c r="AEO310" s="90"/>
      <c r="AEP310" s="90"/>
      <c r="AEQ310" s="90"/>
      <c r="AER310" s="90"/>
      <c r="AES310" s="90"/>
      <c r="AET310" s="90"/>
      <c r="AEU310" s="90"/>
      <c r="AEV310" s="90"/>
      <c r="AEW310" s="90"/>
      <c r="AEX310" s="90"/>
      <c r="AEY310" s="90"/>
      <c r="AEZ310" s="90"/>
      <c r="AFA310" s="90"/>
      <c r="AFB310" s="90"/>
      <c r="AFC310" s="90"/>
      <c r="AFD310" s="90"/>
      <c r="AFE310" s="90"/>
      <c r="AFF310" s="90"/>
      <c r="AFG310" s="90"/>
      <c r="AFH310" s="90"/>
      <c r="AFI310" s="90"/>
      <c r="AFJ310" s="90"/>
      <c r="AFK310" s="90"/>
      <c r="AFL310" s="90"/>
      <c r="AFM310" s="90"/>
      <c r="AFN310" s="90"/>
      <c r="AFO310" s="90"/>
      <c r="AFP310" s="90"/>
      <c r="AFQ310" s="90"/>
      <c r="AFR310" s="90"/>
      <c r="AFS310" s="90"/>
      <c r="AFT310" s="90"/>
      <c r="AFU310" s="90"/>
      <c r="AFV310" s="90"/>
      <c r="AFW310" s="90"/>
      <c r="AFX310" s="90"/>
      <c r="AFY310" s="90"/>
      <c r="AFZ310" s="90"/>
      <c r="AGA310" s="90"/>
      <c r="AGB310" s="90"/>
      <c r="AGC310" s="90"/>
      <c r="AGD310" s="90"/>
      <c r="AGE310" s="90"/>
      <c r="AGF310" s="90"/>
      <c r="AGG310" s="90"/>
      <c r="AGH310" s="90"/>
      <c r="AGI310" s="90"/>
      <c r="AGJ310" s="90"/>
      <c r="AGK310" s="90"/>
      <c r="AGL310" s="90"/>
      <c r="AGM310" s="90"/>
      <c r="AGN310" s="90"/>
      <c r="AGO310" s="90"/>
      <c r="AGP310" s="90"/>
      <c r="AGQ310" s="90"/>
      <c r="AGR310" s="90"/>
      <c r="AGS310" s="90"/>
      <c r="AGT310" s="90"/>
      <c r="AGU310" s="90"/>
      <c r="AGV310" s="90"/>
      <c r="AGW310" s="90"/>
      <c r="AGX310" s="90"/>
      <c r="AGY310" s="90"/>
      <c r="AGZ310" s="90"/>
      <c r="AHA310" s="90"/>
      <c r="AHB310" s="90"/>
      <c r="AHC310" s="90"/>
      <c r="AHD310" s="90"/>
      <c r="AHE310" s="90"/>
      <c r="AHF310" s="90"/>
      <c r="AHG310" s="90"/>
      <c r="AHH310" s="90"/>
      <c r="AHI310" s="90"/>
      <c r="AHJ310" s="90"/>
      <c r="AHK310" s="90"/>
      <c r="AHL310" s="90"/>
      <c r="AHM310" s="90"/>
      <c r="AHN310" s="90"/>
      <c r="AHO310" s="90"/>
      <c r="AHP310" s="90"/>
      <c r="AHQ310" s="90"/>
      <c r="AHR310" s="90"/>
      <c r="AHS310" s="90"/>
      <c r="AHT310" s="90"/>
      <c r="AHU310" s="90"/>
      <c r="AHV310" s="90"/>
      <c r="AHW310" s="90"/>
      <c r="AHX310" s="90"/>
      <c r="AHY310" s="90"/>
      <c r="AHZ310" s="90"/>
      <c r="AIA310" s="90"/>
      <c r="AIB310" s="90"/>
      <c r="AIC310" s="90"/>
      <c r="AID310" s="90"/>
      <c r="AIE310" s="90"/>
      <c r="AIF310" s="90"/>
      <c r="AIG310" s="90"/>
      <c r="AIH310" s="90"/>
      <c r="AII310" s="90"/>
      <c r="AIJ310" s="90"/>
      <c r="AIK310" s="90"/>
      <c r="AIL310" s="90"/>
      <c r="AIM310" s="90"/>
      <c r="AIN310" s="90"/>
      <c r="AIO310" s="90"/>
      <c r="AIP310" s="90"/>
      <c r="AIQ310" s="90"/>
      <c r="AIR310" s="90"/>
      <c r="AIS310" s="90"/>
      <c r="AIT310" s="90"/>
      <c r="AIU310" s="90"/>
      <c r="AIV310" s="90"/>
      <c r="AIW310" s="90"/>
      <c r="AIX310" s="90"/>
      <c r="AIY310" s="90"/>
      <c r="AIZ310" s="90"/>
      <c r="AJA310" s="90"/>
      <c r="AJB310" s="90"/>
      <c r="AJC310" s="90"/>
      <c r="AJD310" s="90"/>
      <c r="AJE310" s="90"/>
      <c r="AJF310" s="90"/>
      <c r="AJG310" s="90"/>
      <c r="AJH310" s="90"/>
      <c r="AJI310" s="90"/>
      <c r="AJJ310" s="90"/>
      <c r="AJK310" s="90"/>
      <c r="AJL310" s="90"/>
      <c r="AJM310" s="90"/>
      <c r="AJN310" s="90"/>
      <c r="AJO310" s="90"/>
      <c r="AJP310" s="90"/>
      <c r="AJQ310" s="90"/>
      <c r="AJR310" s="90"/>
      <c r="AJS310" s="90"/>
      <c r="AJT310" s="90"/>
      <c r="AJU310" s="90"/>
      <c r="AJV310" s="90"/>
      <c r="AJW310" s="90"/>
      <c r="AJX310" s="90"/>
      <c r="AJY310" s="90"/>
      <c r="AJZ310" s="90"/>
      <c r="AKA310" s="90"/>
      <c r="AKB310" s="90"/>
      <c r="AKC310" s="90"/>
      <c r="AKD310" s="90"/>
      <c r="AKE310" s="90"/>
      <c r="AKF310" s="90"/>
      <c r="AKG310" s="90"/>
      <c r="AKH310" s="90"/>
      <c r="AKI310" s="90"/>
      <c r="AKJ310" s="90"/>
      <c r="AKK310" s="90"/>
      <c r="AKL310" s="90"/>
      <c r="AKM310" s="90"/>
      <c r="AKN310" s="90"/>
      <c r="AKO310" s="90"/>
      <c r="AKP310" s="90"/>
      <c r="AKQ310" s="90"/>
      <c r="AKR310" s="90"/>
      <c r="AKS310" s="90"/>
      <c r="AKT310" s="90"/>
      <c r="AKU310" s="90"/>
      <c r="AKV310" s="90"/>
      <c r="AKW310" s="90"/>
      <c r="AKX310" s="90"/>
      <c r="AKY310" s="90"/>
      <c r="AKZ310" s="90"/>
      <c r="ALA310" s="90"/>
      <c r="ALB310" s="90"/>
      <c r="ALC310" s="90"/>
      <c r="ALD310" s="90"/>
      <c r="ALE310" s="90"/>
      <c r="ALF310" s="90"/>
      <c r="ALG310" s="90"/>
      <c r="ALH310" s="90"/>
      <c r="ALI310" s="90"/>
      <c r="ALJ310" s="90"/>
      <c r="ALK310" s="90"/>
      <c r="ALL310" s="90"/>
      <c r="ALM310" s="90"/>
      <c r="ALN310" s="90"/>
      <c r="ALO310" s="90"/>
      <c r="ALP310" s="90"/>
      <c r="ALQ310" s="90"/>
      <c r="ALR310" s="90"/>
      <c r="ALS310" s="90"/>
      <c r="ALT310" s="90"/>
      <c r="ALU310" s="90"/>
      <c r="ALV310" s="90"/>
      <c r="ALW310" s="90"/>
      <c r="ALX310" s="90"/>
      <c r="ALY310" s="90"/>
      <c r="ALZ310" s="90"/>
      <c r="AMA310" s="90"/>
      <c r="AMB310" s="90"/>
      <c r="AMC310" s="90"/>
    </row>
    <row r="311" spans="1:1017">
      <c r="A311" s="98" t="s">
        <v>52</v>
      </c>
      <c r="B311" s="90" t="str">
        <f t="shared" si="1809"/>
        <v xml:space="preserve">Udang_05 (Udang Lainnya) </v>
      </c>
      <c r="Q311" s="91">
        <f t="shared" si="1711"/>
        <v>0</v>
      </c>
      <c r="R311" s="91">
        <f t="shared" si="1712"/>
        <v>0</v>
      </c>
      <c r="AG311" s="91">
        <f t="shared" si="1713"/>
        <v>0</v>
      </c>
      <c r="AH311" s="91">
        <f t="shared" si="1714"/>
        <v>0</v>
      </c>
      <c r="AW311" s="91">
        <f t="shared" si="1715"/>
        <v>0</v>
      </c>
      <c r="AX311" s="91">
        <f t="shared" si="1716"/>
        <v>0</v>
      </c>
      <c r="BM311" s="91">
        <f t="shared" si="1717"/>
        <v>0</v>
      </c>
      <c r="BN311" s="91">
        <f t="shared" si="1718"/>
        <v>0</v>
      </c>
      <c r="CC311" s="91">
        <f t="shared" si="1719"/>
        <v>0</v>
      </c>
      <c r="CD311" s="91">
        <f t="shared" si="1720"/>
        <v>0</v>
      </c>
      <c r="CS311" s="91">
        <f t="shared" si="1721"/>
        <v>0</v>
      </c>
      <c r="CT311" s="91">
        <f t="shared" si="1722"/>
        <v>0</v>
      </c>
      <c r="DI311" s="91">
        <f t="shared" si="1723"/>
        <v>0</v>
      </c>
      <c r="DJ311" s="91">
        <f t="shared" si="1724"/>
        <v>0</v>
      </c>
      <c r="DY311" s="91">
        <f t="shared" si="1725"/>
        <v>0</v>
      </c>
      <c r="DZ311" s="91">
        <f t="shared" si="1726"/>
        <v>0</v>
      </c>
      <c r="EO311" s="91">
        <f t="shared" si="1727"/>
        <v>0</v>
      </c>
      <c r="EP311" s="91">
        <f t="shared" si="1728"/>
        <v>0</v>
      </c>
      <c r="FE311" s="91">
        <f t="shared" si="1729"/>
        <v>0</v>
      </c>
      <c r="FF311" s="91">
        <f t="shared" si="1730"/>
        <v>0</v>
      </c>
      <c r="FU311" s="91">
        <f t="shared" si="1731"/>
        <v>0</v>
      </c>
      <c r="FV311" s="91">
        <f t="shared" si="1732"/>
        <v>0</v>
      </c>
      <c r="GK311" s="91">
        <f t="shared" si="1733"/>
        <v>0</v>
      </c>
      <c r="GL311" s="91">
        <f t="shared" si="1734"/>
        <v>0</v>
      </c>
      <c r="HA311" s="91">
        <f t="shared" si="1735"/>
        <v>0</v>
      </c>
      <c r="HB311" s="91">
        <f t="shared" si="1736"/>
        <v>0</v>
      </c>
      <c r="HQ311" s="91">
        <f t="shared" si="1737"/>
        <v>0</v>
      </c>
      <c r="HR311" s="91">
        <f t="shared" si="1738"/>
        <v>0</v>
      </c>
      <c r="IG311" s="91">
        <f t="shared" si="1739"/>
        <v>0</v>
      </c>
      <c r="IH311" s="91">
        <f t="shared" si="1740"/>
        <v>0</v>
      </c>
      <c r="IW311" s="91">
        <f t="shared" si="1741"/>
        <v>0</v>
      </c>
      <c r="IX311" s="91">
        <f t="shared" si="1742"/>
        <v>0</v>
      </c>
      <c r="JM311" s="91">
        <f t="shared" si="1743"/>
        <v>0</v>
      </c>
      <c r="JN311" s="91">
        <f t="shared" si="1744"/>
        <v>0</v>
      </c>
      <c r="KC311" s="91">
        <f t="shared" si="1745"/>
        <v>0</v>
      </c>
      <c r="KD311" s="91">
        <f t="shared" si="1746"/>
        <v>0</v>
      </c>
      <c r="KS311" s="91">
        <f t="shared" si="1747"/>
        <v>0</v>
      </c>
      <c r="KT311" s="91">
        <f t="shared" si="1748"/>
        <v>0</v>
      </c>
      <c r="LI311" s="91">
        <f t="shared" si="1749"/>
        <v>0</v>
      </c>
      <c r="LJ311" s="91">
        <f t="shared" si="1750"/>
        <v>0</v>
      </c>
      <c r="LY311" s="91">
        <f t="shared" si="1751"/>
        <v>0</v>
      </c>
      <c r="LZ311" s="91">
        <f t="shared" si="1752"/>
        <v>0</v>
      </c>
      <c r="MO311" s="91">
        <f t="shared" si="1753"/>
        <v>0</v>
      </c>
      <c r="MP311" s="91">
        <f t="shared" si="1754"/>
        <v>0</v>
      </c>
      <c r="NE311" s="91">
        <f t="shared" si="1755"/>
        <v>0</v>
      </c>
      <c r="NF311" s="91">
        <f t="shared" si="1756"/>
        <v>0</v>
      </c>
      <c r="NU311" s="91">
        <f t="shared" si="1757"/>
        <v>0</v>
      </c>
      <c r="NV311" s="91">
        <f t="shared" si="1758"/>
        <v>0</v>
      </c>
      <c r="OK311" s="91">
        <f t="shared" si="1759"/>
        <v>0</v>
      </c>
      <c r="OL311" s="91">
        <f t="shared" si="1760"/>
        <v>0</v>
      </c>
      <c r="PA311" s="91">
        <f t="shared" si="1761"/>
        <v>0</v>
      </c>
      <c r="PB311" s="91">
        <f t="shared" si="1762"/>
        <v>0</v>
      </c>
      <c r="PQ311" s="91">
        <f t="shared" si="1763"/>
        <v>0</v>
      </c>
      <c r="PR311" s="91">
        <f t="shared" si="1764"/>
        <v>0</v>
      </c>
      <c r="QG311" s="91">
        <f t="shared" si="1765"/>
        <v>0</v>
      </c>
      <c r="QH311" s="91">
        <f t="shared" si="1766"/>
        <v>0</v>
      </c>
      <c r="QW311" s="91">
        <f t="shared" si="1767"/>
        <v>0</v>
      </c>
      <c r="QX311" s="91">
        <f t="shared" si="1768"/>
        <v>0</v>
      </c>
      <c r="RM311" s="91">
        <f t="shared" si="1769"/>
        <v>0</v>
      </c>
      <c r="RN311" s="91">
        <f t="shared" si="1770"/>
        <v>0</v>
      </c>
      <c r="SC311" s="91">
        <f t="shared" si="1771"/>
        <v>0</v>
      </c>
      <c r="SD311" s="91">
        <f t="shared" si="1772"/>
        <v>0</v>
      </c>
      <c r="SS311" s="91">
        <f t="shared" si="1773"/>
        <v>0</v>
      </c>
      <c r="ST311" s="91">
        <f t="shared" si="1774"/>
        <v>0</v>
      </c>
      <c r="TI311" s="91">
        <f t="shared" si="1775"/>
        <v>0</v>
      </c>
      <c r="TJ311" s="91">
        <f t="shared" si="1776"/>
        <v>0</v>
      </c>
      <c r="TY311" s="91">
        <f t="shared" si="1777"/>
        <v>0</v>
      </c>
      <c r="TZ311" s="91">
        <f t="shared" si="1778"/>
        <v>0</v>
      </c>
      <c r="UO311" s="91">
        <f t="shared" si="1779"/>
        <v>0</v>
      </c>
      <c r="UP311" s="91">
        <f t="shared" si="1780"/>
        <v>0</v>
      </c>
      <c r="VE311" s="91">
        <f t="shared" si="1781"/>
        <v>0</v>
      </c>
      <c r="VF311" s="91">
        <f t="shared" si="1782"/>
        <v>0</v>
      </c>
      <c r="VU311" s="91">
        <f t="shared" si="1783"/>
        <v>0</v>
      </c>
      <c r="VV311" s="91">
        <f t="shared" si="1784"/>
        <v>0</v>
      </c>
      <c r="WK311" s="91">
        <f t="shared" si="1785"/>
        <v>0</v>
      </c>
      <c r="WL311" s="91">
        <f t="shared" si="1786"/>
        <v>0</v>
      </c>
      <c r="WM311" s="89"/>
      <c r="WN311" s="87">
        <f t="shared" si="1810"/>
        <v>0</v>
      </c>
      <c r="WO311" s="87">
        <f t="shared" si="1811"/>
        <v>0</v>
      </c>
      <c r="WP311" s="87">
        <f t="shared" si="1812"/>
        <v>0</v>
      </c>
      <c r="WQ311" s="87">
        <f t="shared" si="1813"/>
        <v>0</v>
      </c>
      <c r="WR311" s="87">
        <f t="shared" si="1814"/>
        <v>0</v>
      </c>
      <c r="WS311" s="87">
        <f t="shared" si="1815"/>
        <v>0</v>
      </c>
      <c r="WT311" s="87">
        <f t="shared" si="1816"/>
        <v>0</v>
      </c>
      <c r="WU311" s="87">
        <f t="shared" si="1817"/>
        <v>0</v>
      </c>
      <c r="WV311" s="87">
        <f t="shared" si="1818"/>
        <v>0</v>
      </c>
      <c r="WW311" s="87">
        <f t="shared" si="1819"/>
        <v>0</v>
      </c>
      <c r="WX311" s="87">
        <f t="shared" si="1820"/>
        <v>0</v>
      </c>
      <c r="WY311" s="87">
        <f t="shared" si="1821"/>
        <v>0</v>
      </c>
      <c r="WZ311" s="87">
        <f t="shared" si="1805"/>
        <v>0</v>
      </c>
      <c r="XA311" s="87">
        <f t="shared" si="1806"/>
        <v>0</v>
      </c>
      <c r="XB311" s="92">
        <f t="shared" si="1807"/>
        <v>0</v>
      </c>
      <c r="XC311" s="92">
        <f t="shared" si="1808"/>
        <v>0</v>
      </c>
      <c r="XD311" s="89"/>
      <c r="XE311" s="92"/>
      <c r="XF311" s="92"/>
      <c r="XG311" s="89"/>
      <c r="XH311" s="92"/>
      <c r="XI311" s="92"/>
      <c r="XJ311" s="89"/>
      <c r="XK311" s="87"/>
      <c r="XL311" s="87"/>
      <c r="XM311" s="87"/>
      <c r="XN311" s="87"/>
      <c r="XO311" s="87"/>
      <c r="XP311" s="87"/>
      <c r="XQ311" s="87"/>
      <c r="XR311" s="92">
        <f t="shared" ca="1" si="1803"/>
        <v>0</v>
      </c>
      <c r="XS311" s="89"/>
      <c r="XT311" s="87"/>
      <c r="XU311" s="87"/>
      <c r="XV311" s="87"/>
      <c r="XW311" s="87"/>
      <c r="XX311" s="87"/>
      <c r="XY311" s="87"/>
      <c r="XZ311" s="87"/>
      <c r="YA311" s="92">
        <f t="shared" ca="1" si="1804"/>
        <v>0</v>
      </c>
      <c r="YB311" s="90"/>
      <c r="YC311" s="90"/>
      <c r="YD311" s="90"/>
      <c r="YE311" s="90"/>
      <c r="YF311" s="90"/>
      <c r="YG311" s="90"/>
      <c r="YH311" s="90"/>
      <c r="YI311" s="90"/>
      <c r="YJ311" s="90"/>
      <c r="YK311" s="90"/>
      <c r="YL311" s="90"/>
      <c r="YM311" s="90"/>
      <c r="YN311" s="90"/>
      <c r="YO311" s="90"/>
      <c r="YP311" s="90"/>
      <c r="YQ311" s="90"/>
      <c r="YR311" s="90"/>
      <c r="YS311" s="90"/>
      <c r="YT311" s="90"/>
      <c r="YU311" s="90"/>
      <c r="YV311" s="90"/>
      <c r="YW311" s="90"/>
      <c r="YX311" s="90"/>
      <c r="YY311" s="90"/>
      <c r="YZ311" s="90"/>
      <c r="ZA311" s="90"/>
      <c r="ZB311" s="90"/>
      <c r="ZC311" s="90"/>
      <c r="ZD311" s="90"/>
      <c r="ZE311" s="90"/>
      <c r="ZF311" s="90"/>
      <c r="ZG311" s="90"/>
      <c r="ZH311" s="90"/>
      <c r="ZI311" s="90"/>
      <c r="ZJ311" s="90"/>
      <c r="ZK311" s="90"/>
      <c r="ZL311" s="90"/>
      <c r="ZM311" s="90"/>
      <c r="ZN311" s="90"/>
      <c r="ZO311" s="90"/>
      <c r="ZP311" s="90"/>
      <c r="ZQ311" s="90"/>
      <c r="ZR311" s="90"/>
      <c r="ZS311" s="90"/>
      <c r="ZT311" s="90"/>
      <c r="ZU311" s="90"/>
      <c r="ZV311" s="90"/>
      <c r="ZW311" s="90"/>
      <c r="ZX311" s="90"/>
      <c r="ZY311" s="90"/>
      <c r="ZZ311" s="90"/>
      <c r="AAA311" s="90"/>
      <c r="AAB311" s="90"/>
      <c r="AAC311" s="90"/>
      <c r="AAD311" s="90"/>
      <c r="AAE311" s="90"/>
      <c r="AAF311" s="90"/>
      <c r="AAG311" s="90"/>
      <c r="AAH311" s="90"/>
      <c r="AAI311" s="90"/>
      <c r="AAJ311" s="90"/>
      <c r="AAK311" s="90"/>
      <c r="AAL311" s="90"/>
      <c r="AAM311" s="90"/>
      <c r="AAN311" s="90"/>
      <c r="AAO311" s="90"/>
      <c r="AAP311" s="90"/>
      <c r="AAQ311" s="90"/>
      <c r="AAR311" s="90"/>
      <c r="AAS311" s="90"/>
      <c r="AAT311" s="90"/>
      <c r="AAU311" s="90"/>
      <c r="AAV311" s="90"/>
      <c r="AAW311" s="90"/>
      <c r="AAX311" s="90"/>
      <c r="AAY311" s="90"/>
      <c r="AAZ311" s="90"/>
      <c r="ABA311" s="90"/>
      <c r="ABB311" s="90"/>
      <c r="ABC311" s="90"/>
      <c r="ABD311" s="90"/>
      <c r="ABE311" s="90"/>
      <c r="ABF311" s="90"/>
      <c r="ABG311" s="90"/>
      <c r="ABH311" s="90"/>
      <c r="ABI311" s="90"/>
      <c r="ABJ311" s="90"/>
      <c r="ABK311" s="90"/>
      <c r="ABL311" s="90"/>
      <c r="ABM311" s="90"/>
      <c r="ABN311" s="90"/>
      <c r="ABO311" s="90"/>
      <c r="ABP311" s="90"/>
      <c r="ABQ311" s="90"/>
      <c r="ABR311" s="90"/>
      <c r="ABS311" s="90"/>
      <c r="ABT311" s="90"/>
      <c r="ABU311" s="90"/>
      <c r="ABV311" s="90"/>
      <c r="ABW311" s="90"/>
      <c r="ABX311" s="90"/>
      <c r="ABY311" s="90"/>
      <c r="ABZ311" s="90"/>
      <c r="ACA311" s="90"/>
      <c r="ACB311" s="90"/>
      <c r="ACC311" s="90"/>
      <c r="ACD311" s="90"/>
      <c r="ACE311" s="90"/>
      <c r="ACF311" s="90"/>
      <c r="ACG311" s="90"/>
      <c r="ACH311" s="90"/>
      <c r="ACI311" s="90"/>
      <c r="ACJ311" s="90"/>
      <c r="ACK311" s="90"/>
      <c r="ACL311" s="90"/>
      <c r="ACM311" s="90"/>
      <c r="ACN311" s="90"/>
      <c r="ACO311" s="90"/>
      <c r="ACP311" s="90"/>
      <c r="ACQ311" s="90"/>
      <c r="ACR311" s="90"/>
      <c r="ACS311" s="90"/>
      <c r="ACT311" s="90"/>
      <c r="ACU311" s="90"/>
      <c r="ACV311" s="90"/>
      <c r="ACW311" s="90"/>
      <c r="ACX311" s="90"/>
      <c r="ACY311" s="90"/>
      <c r="ACZ311" s="90"/>
      <c r="ADA311" s="90"/>
      <c r="ADB311" s="90"/>
      <c r="ADC311" s="90"/>
      <c r="ADD311" s="90"/>
      <c r="ADE311" s="90"/>
      <c r="ADF311" s="90"/>
      <c r="ADG311" s="90"/>
      <c r="ADH311" s="90"/>
      <c r="ADI311" s="90"/>
      <c r="ADJ311" s="90"/>
      <c r="ADK311" s="90"/>
      <c r="ADL311" s="90"/>
      <c r="ADM311" s="90"/>
      <c r="ADN311" s="90"/>
      <c r="ADO311" s="90"/>
      <c r="ADP311" s="90"/>
      <c r="ADQ311" s="90"/>
      <c r="ADR311" s="90"/>
      <c r="ADS311" s="90"/>
      <c r="ADT311" s="90"/>
      <c r="ADU311" s="90"/>
      <c r="ADV311" s="90"/>
      <c r="ADW311" s="90"/>
      <c r="ADX311" s="90"/>
      <c r="ADY311" s="90"/>
      <c r="ADZ311" s="90"/>
      <c r="AEA311" s="90"/>
      <c r="AEB311" s="90"/>
      <c r="AEC311" s="90"/>
      <c r="AED311" s="90"/>
      <c r="AEE311" s="90"/>
      <c r="AEF311" s="90"/>
      <c r="AEG311" s="90"/>
      <c r="AEH311" s="90"/>
      <c r="AEI311" s="90"/>
      <c r="AEJ311" s="90"/>
      <c r="AEK311" s="90"/>
      <c r="AEL311" s="90"/>
      <c r="AEM311" s="90"/>
      <c r="AEN311" s="90"/>
      <c r="AEO311" s="90"/>
      <c r="AEP311" s="90"/>
      <c r="AEQ311" s="90"/>
      <c r="AER311" s="90"/>
      <c r="AES311" s="90"/>
      <c r="AET311" s="90"/>
      <c r="AEU311" s="90"/>
      <c r="AEV311" s="90"/>
      <c r="AEW311" s="90"/>
      <c r="AEX311" s="90"/>
      <c r="AEY311" s="90"/>
      <c r="AEZ311" s="90"/>
      <c r="AFA311" s="90"/>
      <c r="AFB311" s="90"/>
      <c r="AFC311" s="90"/>
      <c r="AFD311" s="90"/>
      <c r="AFE311" s="90"/>
      <c r="AFF311" s="90"/>
      <c r="AFG311" s="90"/>
      <c r="AFH311" s="90"/>
      <c r="AFI311" s="90"/>
      <c r="AFJ311" s="90"/>
      <c r="AFK311" s="90"/>
      <c r="AFL311" s="90"/>
      <c r="AFM311" s="90"/>
      <c r="AFN311" s="90"/>
      <c r="AFO311" s="90"/>
      <c r="AFP311" s="90"/>
      <c r="AFQ311" s="90"/>
      <c r="AFR311" s="90"/>
      <c r="AFS311" s="90"/>
      <c r="AFT311" s="90"/>
      <c r="AFU311" s="90"/>
      <c r="AFV311" s="90"/>
      <c r="AFW311" s="90"/>
      <c r="AFX311" s="90"/>
      <c r="AFY311" s="90"/>
      <c r="AFZ311" s="90"/>
      <c r="AGA311" s="90"/>
      <c r="AGB311" s="90"/>
      <c r="AGC311" s="90"/>
      <c r="AGD311" s="90"/>
      <c r="AGE311" s="90"/>
      <c r="AGF311" s="90"/>
      <c r="AGG311" s="90"/>
      <c r="AGH311" s="90"/>
      <c r="AGI311" s="90"/>
      <c r="AGJ311" s="90"/>
      <c r="AGK311" s="90"/>
      <c r="AGL311" s="90"/>
      <c r="AGM311" s="90"/>
      <c r="AGN311" s="90"/>
      <c r="AGO311" s="90"/>
      <c r="AGP311" s="90"/>
      <c r="AGQ311" s="90"/>
      <c r="AGR311" s="90"/>
      <c r="AGS311" s="90"/>
      <c r="AGT311" s="90"/>
      <c r="AGU311" s="90"/>
      <c r="AGV311" s="90"/>
      <c r="AGW311" s="90"/>
      <c r="AGX311" s="90"/>
      <c r="AGY311" s="90"/>
      <c r="AGZ311" s="90"/>
      <c r="AHA311" s="90"/>
      <c r="AHB311" s="90"/>
      <c r="AHC311" s="90"/>
      <c r="AHD311" s="90"/>
      <c r="AHE311" s="90"/>
      <c r="AHF311" s="90"/>
      <c r="AHG311" s="90"/>
      <c r="AHH311" s="90"/>
      <c r="AHI311" s="90"/>
      <c r="AHJ311" s="90"/>
      <c r="AHK311" s="90"/>
      <c r="AHL311" s="90"/>
      <c r="AHM311" s="90"/>
      <c r="AHN311" s="90"/>
      <c r="AHO311" s="90"/>
      <c r="AHP311" s="90"/>
      <c r="AHQ311" s="90"/>
      <c r="AHR311" s="90"/>
      <c r="AHS311" s="90"/>
      <c r="AHT311" s="90"/>
      <c r="AHU311" s="90"/>
      <c r="AHV311" s="90"/>
      <c r="AHW311" s="90"/>
      <c r="AHX311" s="90"/>
      <c r="AHY311" s="90"/>
      <c r="AHZ311" s="90"/>
      <c r="AIA311" s="90"/>
      <c r="AIB311" s="90"/>
      <c r="AIC311" s="90"/>
      <c r="AID311" s="90"/>
      <c r="AIE311" s="90"/>
      <c r="AIF311" s="90"/>
      <c r="AIG311" s="90"/>
      <c r="AIH311" s="90"/>
      <c r="AII311" s="90"/>
      <c r="AIJ311" s="90"/>
      <c r="AIK311" s="90"/>
      <c r="AIL311" s="90"/>
      <c r="AIM311" s="90"/>
      <c r="AIN311" s="90"/>
      <c r="AIO311" s="90"/>
      <c r="AIP311" s="90"/>
      <c r="AIQ311" s="90"/>
      <c r="AIR311" s="90"/>
      <c r="AIS311" s="90"/>
      <c r="AIT311" s="90"/>
      <c r="AIU311" s="90"/>
      <c r="AIV311" s="90"/>
      <c r="AIW311" s="90"/>
      <c r="AIX311" s="90"/>
      <c r="AIY311" s="90"/>
      <c r="AIZ311" s="90"/>
      <c r="AJA311" s="90"/>
      <c r="AJB311" s="90"/>
      <c r="AJC311" s="90"/>
      <c r="AJD311" s="90"/>
      <c r="AJE311" s="90"/>
      <c r="AJF311" s="90"/>
      <c r="AJG311" s="90"/>
      <c r="AJH311" s="90"/>
      <c r="AJI311" s="90"/>
      <c r="AJJ311" s="90"/>
      <c r="AJK311" s="90"/>
      <c r="AJL311" s="90"/>
      <c r="AJM311" s="90"/>
      <c r="AJN311" s="90"/>
      <c r="AJO311" s="90"/>
      <c r="AJP311" s="90"/>
      <c r="AJQ311" s="90"/>
      <c r="AJR311" s="90"/>
      <c r="AJS311" s="90"/>
      <c r="AJT311" s="90"/>
      <c r="AJU311" s="90"/>
      <c r="AJV311" s="90"/>
      <c r="AJW311" s="90"/>
      <c r="AJX311" s="90"/>
      <c r="AJY311" s="90"/>
      <c r="AJZ311" s="90"/>
      <c r="AKA311" s="90"/>
      <c r="AKB311" s="90"/>
      <c r="AKC311" s="90"/>
      <c r="AKD311" s="90"/>
      <c r="AKE311" s="90"/>
      <c r="AKF311" s="90"/>
      <c r="AKG311" s="90"/>
      <c r="AKH311" s="90"/>
      <c r="AKI311" s="90"/>
      <c r="AKJ311" s="90"/>
      <c r="AKK311" s="90"/>
      <c r="AKL311" s="90"/>
      <c r="AKM311" s="90"/>
      <c r="AKN311" s="90"/>
      <c r="AKO311" s="90"/>
      <c r="AKP311" s="90"/>
      <c r="AKQ311" s="90"/>
      <c r="AKR311" s="90"/>
      <c r="AKS311" s="90"/>
      <c r="AKT311" s="90"/>
      <c r="AKU311" s="90"/>
      <c r="AKV311" s="90"/>
      <c r="AKW311" s="90"/>
      <c r="AKX311" s="90"/>
      <c r="AKY311" s="90"/>
      <c r="AKZ311" s="90"/>
      <c r="ALA311" s="90"/>
      <c r="ALB311" s="90"/>
      <c r="ALC311" s="90"/>
      <c r="ALD311" s="90"/>
      <c r="ALE311" s="90"/>
      <c r="ALF311" s="90"/>
      <c r="ALG311" s="90"/>
      <c r="ALH311" s="90"/>
      <c r="ALI311" s="90"/>
      <c r="ALJ311" s="90"/>
      <c r="ALK311" s="90"/>
      <c r="ALL311" s="90"/>
      <c r="ALM311" s="90"/>
      <c r="ALN311" s="90"/>
      <c r="ALO311" s="90"/>
      <c r="ALP311" s="90"/>
      <c r="ALQ311" s="90"/>
      <c r="ALR311" s="90"/>
      <c r="ALS311" s="90"/>
      <c r="ALT311" s="90"/>
      <c r="ALU311" s="90"/>
      <c r="ALV311" s="90"/>
      <c r="ALW311" s="90"/>
      <c r="ALX311" s="90"/>
      <c r="ALY311" s="90"/>
      <c r="ALZ311" s="90"/>
      <c r="AMA311" s="90"/>
      <c r="AMB311" s="90"/>
      <c r="AMC311" s="90"/>
    </row>
    <row r="312" spans="1:1017">
      <c r="A312" s="98" t="s">
        <v>52</v>
      </c>
      <c r="B312" s="90" t="str">
        <f t="shared" si="1809"/>
        <v>Ikan_01 (Ikan Lainnya)</v>
      </c>
      <c r="Q312" s="91">
        <f t="shared" si="1711"/>
        <v>0</v>
      </c>
      <c r="R312" s="91">
        <f t="shared" si="1712"/>
        <v>0</v>
      </c>
      <c r="S312" s="98">
        <v>645</v>
      </c>
      <c r="T312" s="98">
        <v>225750</v>
      </c>
      <c r="AG312" s="91">
        <f t="shared" si="1713"/>
        <v>645</v>
      </c>
      <c r="AH312" s="91">
        <f t="shared" si="1714"/>
        <v>225750</v>
      </c>
      <c r="AW312" s="91">
        <f t="shared" si="1715"/>
        <v>0</v>
      </c>
      <c r="AX312" s="91">
        <f t="shared" si="1716"/>
        <v>0</v>
      </c>
      <c r="BM312" s="91">
        <f t="shared" si="1717"/>
        <v>0</v>
      </c>
      <c r="BN312" s="91">
        <f t="shared" si="1718"/>
        <v>0</v>
      </c>
      <c r="CC312" s="91">
        <f t="shared" si="1719"/>
        <v>0</v>
      </c>
      <c r="CD312" s="91">
        <f t="shared" si="1720"/>
        <v>0</v>
      </c>
      <c r="CG312" s="98">
        <v>310664</v>
      </c>
      <c r="CH312" s="98">
        <v>931991</v>
      </c>
      <c r="CK312" s="98">
        <v>302912</v>
      </c>
      <c r="CL312" s="98">
        <v>908737</v>
      </c>
      <c r="CS312" s="91">
        <f t="shared" si="1721"/>
        <v>613576</v>
      </c>
      <c r="CT312" s="91">
        <f t="shared" si="1722"/>
        <v>1840728</v>
      </c>
      <c r="DI312" s="91">
        <f t="shared" si="1723"/>
        <v>0</v>
      </c>
      <c r="DJ312" s="91">
        <f t="shared" si="1724"/>
        <v>0</v>
      </c>
      <c r="DY312" s="91">
        <f t="shared" si="1725"/>
        <v>0</v>
      </c>
      <c r="DZ312" s="91">
        <f t="shared" si="1726"/>
        <v>0</v>
      </c>
      <c r="EO312" s="91">
        <f t="shared" si="1727"/>
        <v>0</v>
      </c>
      <c r="EP312" s="91">
        <f t="shared" si="1728"/>
        <v>0</v>
      </c>
      <c r="FE312" s="91">
        <f t="shared" si="1729"/>
        <v>0</v>
      </c>
      <c r="FF312" s="91">
        <f t="shared" si="1730"/>
        <v>0</v>
      </c>
      <c r="FU312" s="91">
        <f t="shared" si="1731"/>
        <v>0</v>
      </c>
      <c r="FV312" s="91">
        <f t="shared" si="1732"/>
        <v>0</v>
      </c>
      <c r="GK312" s="91">
        <f t="shared" si="1733"/>
        <v>0</v>
      </c>
      <c r="GL312" s="91">
        <f t="shared" si="1734"/>
        <v>0</v>
      </c>
      <c r="HA312" s="91">
        <f t="shared" si="1735"/>
        <v>0</v>
      </c>
      <c r="HB312" s="91">
        <f t="shared" si="1736"/>
        <v>0</v>
      </c>
      <c r="HQ312" s="91">
        <f t="shared" si="1737"/>
        <v>0</v>
      </c>
      <c r="HR312" s="91">
        <f t="shared" si="1738"/>
        <v>0</v>
      </c>
      <c r="IG312" s="91">
        <f t="shared" si="1739"/>
        <v>0</v>
      </c>
      <c r="IH312" s="91">
        <f t="shared" si="1740"/>
        <v>0</v>
      </c>
      <c r="IW312" s="91">
        <f t="shared" si="1741"/>
        <v>0</v>
      </c>
      <c r="IX312" s="91">
        <f t="shared" si="1742"/>
        <v>0</v>
      </c>
      <c r="JM312" s="91">
        <f t="shared" si="1743"/>
        <v>0</v>
      </c>
      <c r="JN312" s="91">
        <f t="shared" si="1744"/>
        <v>0</v>
      </c>
      <c r="KC312" s="91">
        <f t="shared" si="1745"/>
        <v>0</v>
      </c>
      <c r="KD312" s="91">
        <f t="shared" si="1746"/>
        <v>0</v>
      </c>
      <c r="KS312" s="91">
        <f t="shared" si="1747"/>
        <v>0</v>
      </c>
      <c r="KT312" s="91">
        <f t="shared" si="1748"/>
        <v>0</v>
      </c>
      <c r="LI312" s="91">
        <f t="shared" si="1749"/>
        <v>0</v>
      </c>
      <c r="LJ312" s="91">
        <f t="shared" si="1750"/>
        <v>0</v>
      </c>
      <c r="LY312" s="91">
        <f t="shared" si="1751"/>
        <v>0</v>
      </c>
      <c r="LZ312" s="91">
        <f t="shared" si="1752"/>
        <v>0</v>
      </c>
      <c r="MO312" s="91">
        <f t="shared" si="1753"/>
        <v>0</v>
      </c>
      <c r="MP312" s="91">
        <f t="shared" si="1754"/>
        <v>0</v>
      </c>
      <c r="NE312" s="91">
        <f t="shared" si="1755"/>
        <v>0</v>
      </c>
      <c r="NF312" s="91">
        <f t="shared" si="1756"/>
        <v>0</v>
      </c>
      <c r="NU312" s="91">
        <f t="shared" si="1757"/>
        <v>0</v>
      </c>
      <c r="NV312" s="91">
        <f t="shared" si="1758"/>
        <v>0</v>
      </c>
      <c r="OK312" s="91">
        <f t="shared" si="1759"/>
        <v>0</v>
      </c>
      <c r="OL312" s="91">
        <f t="shared" si="1760"/>
        <v>0</v>
      </c>
      <c r="PA312" s="91">
        <f t="shared" si="1761"/>
        <v>0</v>
      </c>
      <c r="PB312" s="91">
        <f t="shared" si="1762"/>
        <v>0</v>
      </c>
      <c r="PQ312" s="91">
        <f t="shared" si="1763"/>
        <v>0</v>
      </c>
      <c r="PR312" s="91">
        <f t="shared" si="1764"/>
        <v>0</v>
      </c>
      <c r="QG312" s="91">
        <f t="shared" si="1765"/>
        <v>0</v>
      </c>
      <c r="QH312" s="91">
        <f t="shared" si="1766"/>
        <v>0</v>
      </c>
      <c r="QW312" s="91">
        <f t="shared" si="1767"/>
        <v>0</v>
      </c>
      <c r="QX312" s="91">
        <f t="shared" si="1768"/>
        <v>0</v>
      </c>
      <c r="RM312" s="91">
        <f t="shared" si="1769"/>
        <v>0</v>
      </c>
      <c r="RN312" s="91">
        <f t="shared" si="1770"/>
        <v>0</v>
      </c>
      <c r="SC312" s="91">
        <f t="shared" si="1771"/>
        <v>0</v>
      </c>
      <c r="SD312" s="91">
        <f t="shared" si="1772"/>
        <v>0</v>
      </c>
      <c r="SS312" s="91">
        <f t="shared" si="1773"/>
        <v>0</v>
      </c>
      <c r="ST312" s="91">
        <f t="shared" si="1774"/>
        <v>0</v>
      </c>
      <c r="TI312" s="91">
        <f t="shared" si="1775"/>
        <v>0</v>
      </c>
      <c r="TJ312" s="91">
        <f t="shared" si="1776"/>
        <v>0</v>
      </c>
      <c r="TY312" s="91">
        <f t="shared" si="1777"/>
        <v>0</v>
      </c>
      <c r="TZ312" s="91">
        <f t="shared" si="1778"/>
        <v>0</v>
      </c>
      <c r="UO312" s="91">
        <f t="shared" si="1779"/>
        <v>0</v>
      </c>
      <c r="UP312" s="91">
        <f t="shared" si="1780"/>
        <v>0</v>
      </c>
      <c r="VE312" s="91">
        <f t="shared" si="1781"/>
        <v>0</v>
      </c>
      <c r="VF312" s="91">
        <f t="shared" si="1782"/>
        <v>0</v>
      </c>
      <c r="VU312" s="91">
        <f t="shared" si="1783"/>
        <v>0</v>
      </c>
      <c r="VV312" s="91">
        <f t="shared" si="1784"/>
        <v>0</v>
      </c>
      <c r="WK312" s="91">
        <f t="shared" si="1785"/>
        <v>0</v>
      </c>
      <c r="WL312" s="91">
        <f t="shared" si="1786"/>
        <v>0</v>
      </c>
      <c r="WM312" s="89"/>
      <c r="WN312" s="87">
        <f t="shared" si="1810"/>
        <v>645</v>
      </c>
      <c r="WO312" s="87">
        <f t="shared" si="1811"/>
        <v>225750</v>
      </c>
      <c r="WP312" s="87">
        <f t="shared" si="1812"/>
        <v>310664</v>
      </c>
      <c r="WQ312" s="87">
        <f t="shared" si="1813"/>
        <v>931991</v>
      </c>
      <c r="WR312" s="87">
        <f t="shared" si="1814"/>
        <v>0</v>
      </c>
      <c r="WS312" s="87">
        <f t="shared" si="1815"/>
        <v>0</v>
      </c>
      <c r="WT312" s="87">
        <f t="shared" si="1816"/>
        <v>302912</v>
      </c>
      <c r="WU312" s="87">
        <f t="shared" si="1817"/>
        <v>908737</v>
      </c>
      <c r="WV312" s="87">
        <f t="shared" si="1818"/>
        <v>0</v>
      </c>
      <c r="WW312" s="87">
        <f t="shared" si="1819"/>
        <v>0</v>
      </c>
      <c r="WX312" s="87">
        <f t="shared" si="1820"/>
        <v>0</v>
      </c>
      <c r="WY312" s="87">
        <f t="shared" si="1821"/>
        <v>0</v>
      </c>
      <c r="WZ312" s="87">
        <f t="shared" si="1805"/>
        <v>0</v>
      </c>
      <c r="XA312" s="87">
        <f t="shared" si="1806"/>
        <v>0</v>
      </c>
      <c r="XB312" s="92">
        <f t="shared" si="1807"/>
        <v>614221</v>
      </c>
      <c r="XC312" s="92">
        <f t="shared" si="1808"/>
        <v>2066478</v>
      </c>
      <c r="XD312" s="89"/>
      <c r="XE312" s="92"/>
      <c r="XF312" s="92"/>
      <c r="XG312" s="89"/>
      <c r="XH312" s="92"/>
      <c r="XI312" s="92"/>
      <c r="XJ312" s="89"/>
      <c r="XK312" s="87"/>
      <c r="XL312" s="87"/>
      <c r="XM312" s="87"/>
      <c r="XN312" s="87"/>
      <c r="XO312" s="87"/>
      <c r="XP312" s="87"/>
      <c r="XQ312" s="87"/>
      <c r="XR312" s="92">
        <f t="shared" ca="1" si="1803"/>
        <v>0</v>
      </c>
      <c r="XS312" s="89"/>
      <c r="XT312" s="87"/>
      <c r="XU312" s="87"/>
      <c r="XV312" s="87"/>
      <c r="XW312" s="87"/>
      <c r="XX312" s="87"/>
      <c r="XY312" s="87"/>
      <c r="XZ312" s="87"/>
      <c r="YA312" s="92">
        <f t="shared" ca="1" si="1804"/>
        <v>0</v>
      </c>
      <c r="YB312" s="90"/>
      <c r="YC312" s="90"/>
      <c r="YD312" s="90"/>
      <c r="YE312" s="90"/>
      <c r="YF312" s="90"/>
      <c r="YG312" s="90"/>
      <c r="YH312" s="90"/>
      <c r="YI312" s="90"/>
      <c r="YJ312" s="90"/>
      <c r="YK312" s="90"/>
      <c r="YL312" s="90"/>
      <c r="YM312" s="90"/>
      <c r="YN312" s="90"/>
      <c r="YO312" s="90"/>
      <c r="YP312" s="90"/>
      <c r="YQ312" s="90"/>
      <c r="YR312" s="90"/>
      <c r="YS312" s="90"/>
      <c r="YT312" s="90"/>
      <c r="YU312" s="90"/>
      <c r="YV312" s="90"/>
      <c r="YW312" s="90"/>
      <c r="YX312" s="90"/>
      <c r="YY312" s="90"/>
      <c r="YZ312" s="90"/>
      <c r="ZA312" s="90"/>
      <c r="ZB312" s="90"/>
      <c r="ZC312" s="90"/>
      <c r="ZD312" s="90"/>
      <c r="ZE312" s="90"/>
      <c r="ZF312" s="90"/>
      <c r="ZG312" s="90"/>
      <c r="ZH312" s="90"/>
      <c r="ZI312" s="90"/>
      <c r="ZJ312" s="90"/>
      <c r="ZK312" s="90"/>
      <c r="ZL312" s="90"/>
      <c r="ZM312" s="90"/>
      <c r="ZN312" s="90"/>
      <c r="ZO312" s="90"/>
      <c r="ZP312" s="90"/>
      <c r="ZQ312" s="90"/>
      <c r="ZR312" s="90"/>
      <c r="ZS312" s="90"/>
      <c r="ZT312" s="90"/>
      <c r="ZU312" s="90"/>
      <c r="ZV312" s="90"/>
      <c r="ZW312" s="90"/>
      <c r="ZX312" s="90"/>
      <c r="ZY312" s="90"/>
      <c r="ZZ312" s="90"/>
      <c r="AAA312" s="90"/>
      <c r="AAB312" s="90"/>
      <c r="AAC312" s="90"/>
      <c r="AAD312" s="90"/>
      <c r="AAE312" s="90"/>
      <c r="AAF312" s="90"/>
      <c r="AAG312" s="90"/>
      <c r="AAH312" s="90"/>
      <c r="AAI312" s="90"/>
      <c r="AAJ312" s="90"/>
      <c r="AAK312" s="90"/>
      <c r="AAL312" s="90"/>
      <c r="AAM312" s="90"/>
      <c r="AAN312" s="90"/>
      <c r="AAO312" s="90"/>
      <c r="AAP312" s="90"/>
      <c r="AAQ312" s="90"/>
      <c r="AAR312" s="90"/>
      <c r="AAS312" s="90"/>
      <c r="AAT312" s="90"/>
      <c r="AAU312" s="90"/>
      <c r="AAV312" s="90"/>
      <c r="AAW312" s="90"/>
      <c r="AAX312" s="90"/>
      <c r="AAY312" s="90"/>
      <c r="AAZ312" s="90"/>
      <c r="ABA312" s="90"/>
      <c r="ABB312" s="90"/>
      <c r="ABC312" s="90"/>
      <c r="ABD312" s="90"/>
      <c r="ABE312" s="90"/>
      <c r="ABF312" s="90"/>
      <c r="ABG312" s="90"/>
      <c r="ABH312" s="90"/>
      <c r="ABI312" s="90"/>
      <c r="ABJ312" s="90"/>
      <c r="ABK312" s="90"/>
      <c r="ABL312" s="90"/>
      <c r="ABM312" s="90"/>
      <c r="ABN312" s="90"/>
      <c r="ABO312" s="90"/>
      <c r="ABP312" s="90"/>
      <c r="ABQ312" s="90"/>
      <c r="ABR312" s="90"/>
      <c r="ABS312" s="90"/>
      <c r="ABT312" s="90"/>
      <c r="ABU312" s="90"/>
      <c r="ABV312" s="90"/>
      <c r="ABW312" s="90"/>
      <c r="ABX312" s="90"/>
      <c r="ABY312" s="90"/>
      <c r="ABZ312" s="90"/>
      <c r="ACA312" s="90"/>
      <c r="ACB312" s="90"/>
      <c r="ACC312" s="90"/>
      <c r="ACD312" s="90"/>
      <c r="ACE312" s="90"/>
      <c r="ACF312" s="90"/>
      <c r="ACG312" s="90"/>
      <c r="ACH312" s="90"/>
      <c r="ACI312" s="90"/>
      <c r="ACJ312" s="90"/>
      <c r="ACK312" s="90"/>
      <c r="ACL312" s="90"/>
      <c r="ACM312" s="90"/>
      <c r="ACN312" s="90"/>
      <c r="ACO312" s="90"/>
      <c r="ACP312" s="90"/>
      <c r="ACQ312" s="90"/>
      <c r="ACR312" s="90"/>
      <c r="ACS312" s="90"/>
      <c r="ACT312" s="90"/>
      <c r="ACU312" s="90"/>
      <c r="ACV312" s="90"/>
      <c r="ACW312" s="90"/>
      <c r="ACX312" s="90"/>
      <c r="ACY312" s="90"/>
      <c r="ACZ312" s="90"/>
      <c r="ADA312" s="90"/>
      <c r="ADB312" s="90"/>
      <c r="ADC312" s="90"/>
      <c r="ADD312" s="90"/>
      <c r="ADE312" s="90"/>
      <c r="ADF312" s="90"/>
      <c r="ADG312" s="90"/>
      <c r="ADH312" s="90"/>
      <c r="ADI312" s="90"/>
      <c r="ADJ312" s="90"/>
      <c r="ADK312" s="90"/>
      <c r="ADL312" s="90"/>
      <c r="ADM312" s="90"/>
      <c r="ADN312" s="90"/>
      <c r="ADO312" s="90"/>
      <c r="ADP312" s="90"/>
      <c r="ADQ312" s="90"/>
      <c r="ADR312" s="90"/>
      <c r="ADS312" s="90"/>
      <c r="ADT312" s="90"/>
      <c r="ADU312" s="90"/>
      <c r="ADV312" s="90"/>
      <c r="ADW312" s="90"/>
      <c r="ADX312" s="90"/>
      <c r="ADY312" s="90"/>
      <c r="ADZ312" s="90"/>
      <c r="AEA312" s="90"/>
      <c r="AEB312" s="90"/>
      <c r="AEC312" s="90"/>
      <c r="AED312" s="90"/>
      <c r="AEE312" s="90"/>
      <c r="AEF312" s="90"/>
      <c r="AEG312" s="90"/>
      <c r="AEH312" s="90"/>
      <c r="AEI312" s="90"/>
      <c r="AEJ312" s="90"/>
      <c r="AEK312" s="90"/>
      <c r="AEL312" s="90"/>
      <c r="AEM312" s="90"/>
      <c r="AEN312" s="90"/>
      <c r="AEO312" s="90"/>
      <c r="AEP312" s="90"/>
      <c r="AEQ312" s="90"/>
      <c r="AER312" s="90"/>
      <c r="AES312" s="90"/>
      <c r="AET312" s="90"/>
      <c r="AEU312" s="90"/>
      <c r="AEV312" s="90"/>
      <c r="AEW312" s="90"/>
      <c r="AEX312" s="90"/>
      <c r="AEY312" s="90"/>
      <c r="AEZ312" s="90"/>
      <c r="AFA312" s="90"/>
      <c r="AFB312" s="90"/>
      <c r="AFC312" s="90"/>
      <c r="AFD312" s="90"/>
      <c r="AFE312" s="90"/>
      <c r="AFF312" s="90"/>
      <c r="AFG312" s="90"/>
      <c r="AFH312" s="90"/>
      <c r="AFI312" s="90"/>
      <c r="AFJ312" s="90"/>
      <c r="AFK312" s="90"/>
      <c r="AFL312" s="90"/>
      <c r="AFM312" s="90"/>
      <c r="AFN312" s="90"/>
      <c r="AFO312" s="90"/>
      <c r="AFP312" s="90"/>
      <c r="AFQ312" s="90"/>
      <c r="AFR312" s="90"/>
      <c r="AFS312" s="90"/>
      <c r="AFT312" s="90"/>
      <c r="AFU312" s="90"/>
      <c r="AFV312" s="90"/>
      <c r="AFW312" s="90"/>
      <c r="AFX312" s="90"/>
      <c r="AFY312" s="90"/>
      <c r="AFZ312" s="90"/>
      <c r="AGA312" s="90"/>
      <c r="AGB312" s="90"/>
      <c r="AGC312" s="90"/>
      <c r="AGD312" s="90"/>
      <c r="AGE312" s="90"/>
      <c r="AGF312" s="90"/>
      <c r="AGG312" s="90"/>
      <c r="AGH312" s="90"/>
      <c r="AGI312" s="90"/>
      <c r="AGJ312" s="90"/>
      <c r="AGK312" s="90"/>
      <c r="AGL312" s="90"/>
      <c r="AGM312" s="90"/>
      <c r="AGN312" s="90"/>
      <c r="AGO312" s="90"/>
      <c r="AGP312" s="90"/>
      <c r="AGQ312" s="90"/>
      <c r="AGR312" s="90"/>
      <c r="AGS312" s="90"/>
      <c r="AGT312" s="90"/>
      <c r="AGU312" s="90"/>
      <c r="AGV312" s="90"/>
      <c r="AGW312" s="90"/>
      <c r="AGX312" s="90"/>
      <c r="AGY312" s="90"/>
      <c r="AGZ312" s="90"/>
      <c r="AHA312" s="90"/>
      <c r="AHB312" s="90"/>
      <c r="AHC312" s="90"/>
      <c r="AHD312" s="90"/>
      <c r="AHE312" s="90"/>
      <c r="AHF312" s="90"/>
      <c r="AHG312" s="90"/>
      <c r="AHH312" s="90"/>
      <c r="AHI312" s="90"/>
      <c r="AHJ312" s="90"/>
      <c r="AHK312" s="90"/>
      <c r="AHL312" s="90"/>
      <c r="AHM312" s="90"/>
      <c r="AHN312" s="90"/>
      <c r="AHO312" s="90"/>
      <c r="AHP312" s="90"/>
      <c r="AHQ312" s="90"/>
      <c r="AHR312" s="90"/>
      <c r="AHS312" s="90"/>
      <c r="AHT312" s="90"/>
      <c r="AHU312" s="90"/>
      <c r="AHV312" s="90"/>
      <c r="AHW312" s="90"/>
      <c r="AHX312" s="90"/>
      <c r="AHY312" s="90"/>
      <c r="AHZ312" s="90"/>
      <c r="AIA312" s="90"/>
      <c r="AIB312" s="90"/>
      <c r="AIC312" s="90"/>
      <c r="AID312" s="90"/>
      <c r="AIE312" s="90"/>
      <c r="AIF312" s="90"/>
      <c r="AIG312" s="90"/>
      <c r="AIH312" s="90"/>
      <c r="AII312" s="90"/>
      <c r="AIJ312" s="90"/>
      <c r="AIK312" s="90"/>
      <c r="AIL312" s="90"/>
      <c r="AIM312" s="90"/>
      <c r="AIN312" s="90"/>
      <c r="AIO312" s="90"/>
      <c r="AIP312" s="90"/>
      <c r="AIQ312" s="90"/>
      <c r="AIR312" s="90"/>
      <c r="AIS312" s="90"/>
      <c r="AIT312" s="90"/>
      <c r="AIU312" s="90"/>
      <c r="AIV312" s="90"/>
      <c r="AIW312" s="90"/>
      <c r="AIX312" s="90"/>
      <c r="AIY312" s="90"/>
      <c r="AIZ312" s="90"/>
      <c r="AJA312" s="90"/>
      <c r="AJB312" s="90"/>
      <c r="AJC312" s="90"/>
      <c r="AJD312" s="90"/>
      <c r="AJE312" s="90"/>
      <c r="AJF312" s="90"/>
      <c r="AJG312" s="90"/>
      <c r="AJH312" s="90"/>
      <c r="AJI312" s="90"/>
      <c r="AJJ312" s="90"/>
      <c r="AJK312" s="90"/>
      <c r="AJL312" s="90"/>
      <c r="AJM312" s="90"/>
      <c r="AJN312" s="90"/>
      <c r="AJO312" s="90"/>
      <c r="AJP312" s="90"/>
      <c r="AJQ312" s="90"/>
      <c r="AJR312" s="90"/>
      <c r="AJS312" s="90"/>
      <c r="AJT312" s="90"/>
      <c r="AJU312" s="90"/>
      <c r="AJV312" s="90"/>
      <c r="AJW312" s="90"/>
      <c r="AJX312" s="90"/>
      <c r="AJY312" s="90"/>
      <c r="AJZ312" s="90"/>
      <c r="AKA312" s="90"/>
      <c r="AKB312" s="90"/>
      <c r="AKC312" s="90"/>
      <c r="AKD312" s="90"/>
      <c r="AKE312" s="90"/>
      <c r="AKF312" s="90"/>
      <c r="AKG312" s="90"/>
      <c r="AKH312" s="90"/>
      <c r="AKI312" s="90"/>
      <c r="AKJ312" s="90"/>
      <c r="AKK312" s="90"/>
      <c r="AKL312" s="90"/>
      <c r="AKM312" s="90"/>
      <c r="AKN312" s="90"/>
      <c r="AKO312" s="90"/>
      <c r="AKP312" s="90"/>
      <c r="AKQ312" s="90"/>
      <c r="AKR312" s="90"/>
      <c r="AKS312" s="90"/>
      <c r="AKT312" s="90"/>
      <c r="AKU312" s="90"/>
      <c r="AKV312" s="90"/>
      <c r="AKW312" s="90"/>
      <c r="AKX312" s="90"/>
      <c r="AKY312" s="90"/>
      <c r="AKZ312" s="90"/>
      <c r="ALA312" s="90"/>
      <c r="ALB312" s="90"/>
      <c r="ALC312" s="90"/>
      <c r="ALD312" s="90"/>
      <c r="ALE312" s="90"/>
      <c r="ALF312" s="90"/>
      <c r="ALG312" s="90"/>
      <c r="ALH312" s="90"/>
      <c r="ALI312" s="90"/>
      <c r="ALJ312" s="90"/>
      <c r="ALK312" s="90"/>
      <c r="ALL312" s="90"/>
      <c r="ALM312" s="90"/>
      <c r="ALN312" s="90"/>
      <c r="ALO312" s="90"/>
      <c r="ALP312" s="90"/>
      <c r="ALQ312" s="90"/>
      <c r="ALR312" s="90"/>
      <c r="ALS312" s="90"/>
      <c r="ALT312" s="90"/>
      <c r="ALU312" s="90"/>
      <c r="ALV312" s="90"/>
      <c r="ALW312" s="90"/>
      <c r="ALX312" s="90"/>
      <c r="ALY312" s="90"/>
      <c r="ALZ312" s="90"/>
      <c r="AMA312" s="90"/>
      <c r="AMB312" s="90"/>
      <c r="AMC312" s="90"/>
    </row>
    <row r="313" spans="1:1017" ht="15.65" customHeight="1">
      <c r="A313" s="98" t="s">
        <v>52</v>
      </c>
      <c r="B313" s="90" t="str">
        <f t="shared" si="1809"/>
        <v>Ikan_02 (Tiram)</v>
      </c>
      <c r="Q313" s="91">
        <f t="shared" si="1711"/>
        <v>0</v>
      </c>
      <c r="R313" s="91">
        <f t="shared" si="1712"/>
        <v>0</v>
      </c>
      <c r="S313" s="98">
        <v>1145</v>
      </c>
      <c r="T313" s="98">
        <v>11450</v>
      </c>
      <c r="AG313" s="91">
        <f t="shared" si="1713"/>
        <v>1145</v>
      </c>
      <c r="AH313" s="91">
        <f t="shared" si="1714"/>
        <v>11450</v>
      </c>
      <c r="AW313" s="91">
        <f t="shared" si="1715"/>
        <v>0</v>
      </c>
      <c r="AX313" s="91">
        <f t="shared" si="1716"/>
        <v>0</v>
      </c>
      <c r="BM313" s="91">
        <f t="shared" si="1717"/>
        <v>0</v>
      </c>
      <c r="BN313" s="91">
        <f t="shared" si="1718"/>
        <v>0</v>
      </c>
      <c r="CC313" s="91">
        <f t="shared" si="1719"/>
        <v>0</v>
      </c>
      <c r="CD313" s="91">
        <f t="shared" si="1720"/>
        <v>0</v>
      </c>
      <c r="CS313" s="91">
        <f t="shared" si="1721"/>
        <v>0</v>
      </c>
      <c r="CT313" s="91">
        <f t="shared" si="1722"/>
        <v>0</v>
      </c>
      <c r="DI313" s="91">
        <f t="shared" si="1723"/>
        <v>0</v>
      </c>
      <c r="DJ313" s="91">
        <f t="shared" si="1724"/>
        <v>0</v>
      </c>
      <c r="DY313" s="91">
        <f t="shared" si="1725"/>
        <v>0</v>
      </c>
      <c r="DZ313" s="91">
        <f t="shared" si="1726"/>
        <v>0</v>
      </c>
      <c r="EO313" s="91">
        <f t="shared" si="1727"/>
        <v>0</v>
      </c>
      <c r="EP313" s="91">
        <f t="shared" si="1728"/>
        <v>0</v>
      </c>
      <c r="FE313" s="91">
        <f t="shared" si="1729"/>
        <v>0</v>
      </c>
      <c r="FF313" s="91">
        <f t="shared" si="1730"/>
        <v>0</v>
      </c>
      <c r="FU313" s="91">
        <f t="shared" si="1731"/>
        <v>0</v>
      </c>
      <c r="FV313" s="91">
        <f t="shared" si="1732"/>
        <v>0</v>
      </c>
      <c r="GK313" s="91">
        <f t="shared" si="1733"/>
        <v>0</v>
      </c>
      <c r="GL313" s="91">
        <f t="shared" si="1734"/>
        <v>0</v>
      </c>
      <c r="HA313" s="91">
        <f t="shared" si="1735"/>
        <v>0</v>
      </c>
      <c r="HB313" s="91">
        <f t="shared" si="1736"/>
        <v>0</v>
      </c>
      <c r="HQ313" s="91">
        <f t="shared" si="1737"/>
        <v>0</v>
      </c>
      <c r="HR313" s="91">
        <f t="shared" si="1738"/>
        <v>0</v>
      </c>
      <c r="IG313" s="91">
        <f t="shared" si="1739"/>
        <v>0</v>
      </c>
      <c r="IH313" s="91">
        <f t="shared" si="1740"/>
        <v>0</v>
      </c>
      <c r="IW313" s="91">
        <f t="shared" si="1741"/>
        <v>0</v>
      </c>
      <c r="IX313" s="91">
        <f t="shared" si="1742"/>
        <v>0</v>
      </c>
      <c r="JM313" s="91">
        <f t="shared" si="1743"/>
        <v>0</v>
      </c>
      <c r="JN313" s="91">
        <f t="shared" si="1744"/>
        <v>0</v>
      </c>
      <c r="KC313" s="91">
        <f t="shared" si="1745"/>
        <v>0</v>
      </c>
      <c r="KD313" s="91">
        <f t="shared" si="1746"/>
        <v>0</v>
      </c>
      <c r="KS313" s="91">
        <f t="shared" si="1747"/>
        <v>0</v>
      </c>
      <c r="KT313" s="91">
        <f t="shared" si="1748"/>
        <v>0</v>
      </c>
      <c r="LI313" s="91">
        <f t="shared" si="1749"/>
        <v>0</v>
      </c>
      <c r="LJ313" s="91">
        <f t="shared" si="1750"/>
        <v>0</v>
      </c>
      <c r="LY313" s="91">
        <f t="shared" si="1751"/>
        <v>0</v>
      </c>
      <c r="LZ313" s="91">
        <f t="shared" si="1752"/>
        <v>0</v>
      </c>
      <c r="MO313" s="91">
        <f t="shared" si="1753"/>
        <v>0</v>
      </c>
      <c r="MP313" s="91">
        <f t="shared" si="1754"/>
        <v>0</v>
      </c>
      <c r="NE313" s="91">
        <f t="shared" si="1755"/>
        <v>0</v>
      </c>
      <c r="NF313" s="91">
        <f t="shared" si="1756"/>
        <v>0</v>
      </c>
      <c r="NU313" s="91">
        <f t="shared" si="1757"/>
        <v>0</v>
      </c>
      <c r="NV313" s="91">
        <f t="shared" si="1758"/>
        <v>0</v>
      </c>
      <c r="OK313" s="91">
        <f t="shared" si="1759"/>
        <v>0</v>
      </c>
      <c r="OL313" s="91">
        <f t="shared" si="1760"/>
        <v>0</v>
      </c>
      <c r="PA313" s="91">
        <f t="shared" si="1761"/>
        <v>0</v>
      </c>
      <c r="PB313" s="91">
        <f t="shared" si="1762"/>
        <v>0</v>
      </c>
      <c r="PQ313" s="91">
        <f t="shared" si="1763"/>
        <v>0</v>
      </c>
      <c r="PR313" s="91">
        <f t="shared" si="1764"/>
        <v>0</v>
      </c>
      <c r="QG313" s="91">
        <f t="shared" si="1765"/>
        <v>0</v>
      </c>
      <c r="QH313" s="91">
        <f t="shared" si="1766"/>
        <v>0</v>
      </c>
      <c r="QW313" s="91">
        <f t="shared" si="1767"/>
        <v>0</v>
      </c>
      <c r="QX313" s="91">
        <f t="shared" si="1768"/>
        <v>0</v>
      </c>
      <c r="RM313" s="91">
        <f t="shared" si="1769"/>
        <v>0</v>
      </c>
      <c r="RN313" s="91">
        <f t="shared" si="1770"/>
        <v>0</v>
      </c>
      <c r="SC313" s="91">
        <f t="shared" si="1771"/>
        <v>0</v>
      </c>
      <c r="SD313" s="91">
        <f t="shared" si="1772"/>
        <v>0</v>
      </c>
      <c r="SS313" s="91">
        <f t="shared" si="1773"/>
        <v>0</v>
      </c>
      <c r="ST313" s="91">
        <f t="shared" si="1774"/>
        <v>0</v>
      </c>
      <c r="TI313" s="91">
        <f t="shared" si="1775"/>
        <v>0</v>
      </c>
      <c r="TJ313" s="91">
        <f t="shared" si="1776"/>
        <v>0</v>
      </c>
      <c r="TY313" s="91">
        <f t="shared" si="1777"/>
        <v>0</v>
      </c>
      <c r="TZ313" s="91">
        <f t="shared" si="1778"/>
        <v>0</v>
      </c>
      <c r="UO313" s="91">
        <f t="shared" si="1779"/>
        <v>0</v>
      </c>
      <c r="UP313" s="91">
        <f t="shared" si="1780"/>
        <v>0</v>
      </c>
      <c r="VE313" s="91">
        <f t="shared" si="1781"/>
        <v>0</v>
      </c>
      <c r="VF313" s="91">
        <f t="shared" si="1782"/>
        <v>0</v>
      </c>
      <c r="VU313" s="91">
        <f t="shared" si="1783"/>
        <v>0</v>
      </c>
      <c r="VV313" s="91">
        <f t="shared" si="1784"/>
        <v>0</v>
      </c>
      <c r="WK313" s="91">
        <f t="shared" si="1785"/>
        <v>0</v>
      </c>
      <c r="WL313" s="91">
        <f t="shared" si="1786"/>
        <v>0</v>
      </c>
      <c r="WM313" s="89"/>
      <c r="WN313" s="87">
        <f t="shared" si="1810"/>
        <v>1145</v>
      </c>
      <c r="WO313" s="87">
        <f t="shared" si="1811"/>
        <v>11450</v>
      </c>
      <c r="WP313" s="87">
        <f t="shared" si="1812"/>
        <v>0</v>
      </c>
      <c r="WQ313" s="87">
        <f t="shared" si="1813"/>
        <v>0</v>
      </c>
      <c r="WR313" s="87">
        <f t="shared" si="1814"/>
        <v>0</v>
      </c>
      <c r="WS313" s="87">
        <f t="shared" si="1815"/>
        <v>0</v>
      </c>
      <c r="WT313" s="87">
        <f t="shared" si="1816"/>
        <v>0</v>
      </c>
      <c r="WU313" s="87">
        <f t="shared" si="1817"/>
        <v>0</v>
      </c>
      <c r="WV313" s="87">
        <f t="shared" si="1818"/>
        <v>0</v>
      </c>
      <c r="WW313" s="87">
        <f t="shared" si="1819"/>
        <v>0</v>
      </c>
      <c r="WX313" s="87">
        <f t="shared" si="1820"/>
        <v>0</v>
      </c>
      <c r="WY313" s="87">
        <f t="shared" si="1821"/>
        <v>0</v>
      </c>
      <c r="WZ313" s="87">
        <f t="shared" si="1805"/>
        <v>0</v>
      </c>
      <c r="XA313" s="87">
        <f t="shared" si="1806"/>
        <v>0</v>
      </c>
      <c r="XB313" s="92">
        <f t="shared" si="1807"/>
        <v>1145</v>
      </c>
      <c r="XC313" s="92">
        <f t="shared" si="1808"/>
        <v>11450</v>
      </c>
      <c r="XD313" s="89"/>
      <c r="XE313" s="92"/>
      <c r="XF313" s="92"/>
      <c r="XG313" s="89"/>
      <c r="XH313" s="92"/>
      <c r="XI313" s="92"/>
      <c r="XJ313" s="89"/>
      <c r="XK313" s="87"/>
      <c r="XL313" s="87"/>
      <c r="XM313" s="87"/>
      <c r="XN313" s="87"/>
      <c r="XO313" s="87"/>
      <c r="XP313" s="87"/>
      <c r="XQ313" s="87"/>
      <c r="XR313" s="92">
        <f t="shared" ca="1" si="1803"/>
        <v>0</v>
      </c>
      <c r="XS313" s="89"/>
      <c r="XT313" s="87"/>
      <c r="XU313" s="87"/>
      <c r="XV313" s="87"/>
      <c r="XW313" s="87"/>
      <c r="XX313" s="87"/>
      <c r="XY313" s="87"/>
      <c r="XZ313" s="87"/>
      <c r="YA313" s="92">
        <f t="shared" ca="1" si="1804"/>
        <v>0</v>
      </c>
      <c r="YB313" s="90"/>
      <c r="YC313" s="90"/>
      <c r="YD313" s="90"/>
      <c r="YE313" s="90"/>
      <c r="YF313" s="90"/>
      <c r="YG313" s="90"/>
      <c r="YH313" s="90"/>
      <c r="YI313" s="90"/>
      <c r="YJ313" s="90"/>
      <c r="YK313" s="90"/>
      <c r="YL313" s="90"/>
      <c r="YM313" s="90"/>
      <c r="YN313" s="90"/>
      <c r="YO313" s="90"/>
      <c r="YP313" s="90"/>
      <c r="YQ313" s="90"/>
      <c r="YR313" s="90"/>
      <c r="YS313" s="90"/>
      <c r="YT313" s="90"/>
      <c r="YU313" s="90"/>
      <c r="YV313" s="90"/>
      <c r="YW313" s="90"/>
      <c r="YX313" s="90"/>
      <c r="YY313" s="90"/>
      <c r="YZ313" s="90"/>
      <c r="ZA313" s="90"/>
      <c r="ZB313" s="90"/>
      <c r="ZC313" s="90"/>
      <c r="ZD313" s="90"/>
      <c r="ZE313" s="90"/>
      <c r="ZF313" s="90"/>
      <c r="ZG313" s="90"/>
      <c r="ZH313" s="90"/>
      <c r="ZI313" s="90"/>
      <c r="ZJ313" s="90"/>
      <c r="ZK313" s="90"/>
      <c r="ZL313" s="90"/>
      <c r="ZM313" s="90"/>
      <c r="ZN313" s="90"/>
      <c r="ZO313" s="90"/>
      <c r="ZP313" s="90"/>
      <c r="ZQ313" s="90"/>
      <c r="ZR313" s="90"/>
      <c r="ZS313" s="90"/>
      <c r="ZT313" s="90"/>
      <c r="ZU313" s="90"/>
      <c r="ZV313" s="90"/>
      <c r="ZW313" s="90"/>
      <c r="ZX313" s="90"/>
      <c r="ZY313" s="90"/>
      <c r="ZZ313" s="90"/>
      <c r="AAA313" s="90"/>
      <c r="AAB313" s="90"/>
      <c r="AAC313" s="90"/>
      <c r="AAD313" s="90"/>
      <c r="AAE313" s="90"/>
      <c r="AAF313" s="90"/>
      <c r="AAG313" s="90"/>
      <c r="AAH313" s="90"/>
      <c r="AAI313" s="90"/>
      <c r="AAJ313" s="90"/>
      <c r="AAK313" s="90"/>
      <c r="AAL313" s="90"/>
      <c r="AAM313" s="90"/>
      <c r="AAN313" s="90"/>
      <c r="AAO313" s="90"/>
      <c r="AAP313" s="90"/>
      <c r="AAQ313" s="90"/>
      <c r="AAR313" s="90"/>
      <c r="AAS313" s="90"/>
      <c r="AAT313" s="90"/>
      <c r="AAU313" s="90"/>
      <c r="AAV313" s="90"/>
      <c r="AAW313" s="90"/>
      <c r="AAX313" s="90"/>
      <c r="AAY313" s="90"/>
      <c r="AAZ313" s="90"/>
      <c r="ABA313" s="90"/>
      <c r="ABB313" s="90"/>
      <c r="ABC313" s="90"/>
      <c r="ABD313" s="90"/>
      <c r="ABE313" s="90"/>
      <c r="ABF313" s="90"/>
      <c r="ABG313" s="90"/>
      <c r="ABH313" s="90"/>
      <c r="ABI313" s="90"/>
      <c r="ABJ313" s="90"/>
      <c r="ABK313" s="90"/>
      <c r="ABL313" s="90"/>
      <c r="ABM313" s="90"/>
      <c r="ABN313" s="90"/>
      <c r="ABO313" s="90"/>
      <c r="ABP313" s="90"/>
      <c r="ABQ313" s="90"/>
      <c r="ABR313" s="90"/>
      <c r="ABS313" s="90"/>
      <c r="ABT313" s="90"/>
      <c r="ABU313" s="90"/>
      <c r="ABV313" s="90"/>
      <c r="ABW313" s="90"/>
      <c r="ABX313" s="90"/>
      <c r="ABY313" s="90"/>
      <c r="ABZ313" s="90"/>
      <c r="ACA313" s="90"/>
      <c r="ACB313" s="90"/>
      <c r="ACC313" s="90"/>
      <c r="ACD313" s="90"/>
      <c r="ACE313" s="90"/>
      <c r="ACF313" s="90"/>
      <c r="ACG313" s="90"/>
      <c r="ACH313" s="90"/>
      <c r="ACI313" s="90"/>
      <c r="ACJ313" s="90"/>
      <c r="ACK313" s="90"/>
      <c r="ACL313" s="90"/>
      <c r="ACM313" s="90"/>
      <c r="ACN313" s="90"/>
      <c r="ACO313" s="90"/>
      <c r="ACP313" s="90"/>
      <c r="ACQ313" s="90"/>
      <c r="ACR313" s="90"/>
      <c r="ACS313" s="90"/>
      <c r="ACT313" s="90"/>
      <c r="ACU313" s="90"/>
      <c r="ACV313" s="90"/>
      <c r="ACW313" s="90"/>
      <c r="ACX313" s="90"/>
      <c r="ACY313" s="90"/>
      <c r="ACZ313" s="90"/>
      <c r="ADA313" s="90"/>
      <c r="ADB313" s="90"/>
      <c r="ADC313" s="90"/>
      <c r="ADD313" s="90"/>
      <c r="ADE313" s="90"/>
      <c r="ADF313" s="90"/>
      <c r="ADG313" s="90"/>
      <c r="ADH313" s="90"/>
      <c r="ADI313" s="90"/>
      <c r="ADJ313" s="90"/>
      <c r="ADK313" s="90"/>
      <c r="ADL313" s="90"/>
      <c r="ADM313" s="90"/>
      <c r="ADN313" s="90"/>
      <c r="ADO313" s="90"/>
      <c r="ADP313" s="90"/>
      <c r="ADQ313" s="90"/>
      <c r="ADR313" s="90"/>
      <c r="ADS313" s="90"/>
      <c r="ADT313" s="90"/>
      <c r="ADU313" s="90"/>
      <c r="ADV313" s="90"/>
      <c r="ADW313" s="90"/>
      <c r="ADX313" s="90"/>
      <c r="ADY313" s="90"/>
      <c r="ADZ313" s="90"/>
      <c r="AEA313" s="90"/>
      <c r="AEB313" s="90"/>
      <c r="AEC313" s="90"/>
      <c r="AED313" s="90"/>
      <c r="AEE313" s="90"/>
      <c r="AEF313" s="90"/>
      <c r="AEG313" s="90"/>
      <c r="AEH313" s="90"/>
      <c r="AEI313" s="90"/>
      <c r="AEJ313" s="90"/>
      <c r="AEK313" s="90"/>
      <c r="AEL313" s="90"/>
      <c r="AEM313" s="90"/>
      <c r="AEN313" s="90"/>
      <c r="AEO313" s="90"/>
      <c r="AEP313" s="90"/>
      <c r="AEQ313" s="90"/>
      <c r="AER313" s="90"/>
      <c r="AES313" s="90"/>
      <c r="AET313" s="90"/>
      <c r="AEU313" s="90"/>
      <c r="AEV313" s="90"/>
      <c r="AEW313" s="90"/>
      <c r="AEX313" s="90"/>
      <c r="AEY313" s="90"/>
      <c r="AEZ313" s="90"/>
      <c r="AFA313" s="90"/>
      <c r="AFB313" s="90"/>
      <c r="AFC313" s="90"/>
      <c r="AFD313" s="90"/>
      <c r="AFE313" s="90"/>
      <c r="AFF313" s="90"/>
      <c r="AFG313" s="90"/>
      <c r="AFH313" s="90"/>
      <c r="AFI313" s="90"/>
      <c r="AFJ313" s="90"/>
      <c r="AFK313" s="90"/>
      <c r="AFL313" s="90"/>
      <c r="AFM313" s="90"/>
      <c r="AFN313" s="90"/>
      <c r="AFO313" s="90"/>
      <c r="AFP313" s="90"/>
      <c r="AFQ313" s="90"/>
      <c r="AFR313" s="90"/>
      <c r="AFS313" s="90"/>
      <c r="AFT313" s="90"/>
      <c r="AFU313" s="90"/>
      <c r="AFV313" s="90"/>
      <c r="AFW313" s="90"/>
      <c r="AFX313" s="90"/>
      <c r="AFY313" s="90"/>
      <c r="AFZ313" s="90"/>
      <c r="AGA313" s="90"/>
      <c r="AGB313" s="90"/>
      <c r="AGC313" s="90"/>
      <c r="AGD313" s="90"/>
      <c r="AGE313" s="90"/>
      <c r="AGF313" s="90"/>
      <c r="AGG313" s="90"/>
      <c r="AGH313" s="90"/>
      <c r="AGI313" s="90"/>
      <c r="AGJ313" s="90"/>
      <c r="AGK313" s="90"/>
      <c r="AGL313" s="90"/>
      <c r="AGM313" s="90"/>
      <c r="AGN313" s="90"/>
      <c r="AGO313" s="90"/>
      <c r="AGP313" s="90"/>
      <c r="AGQ313" s="90"/>
      <c r="AGR313" s="90"/>
      <c r="AGS313" s="90"/>
      <c r="AGT313" s="90"/>
      <c r="AGU313" s="90"/>
      <c r="AGV313" s="90"/>
      <c r="AGW313" s="90"/>
      <c r="AGX313" s="90"/>
      <c r="AGY313" s="90"/>
      <c r="AGZ313" s="90"/>
      <c r="AHA313" s="90"/>
      <c r="AHB313" s="90"/>
      <c r="AHC313" s="90"/>
      <c r="AHD313" s="90"/>
      <c r="AHE313" s="90"/>
      <c r="AHF313" s="90"/>
      <c r="AHG313" s="90"/>
      <c r="AHH313" s="90"/>
      <c r="AHI313" s="90"/>
      <c r="AHJ313" s="90"/>
      <c r="AHK313" s="90"/>
      <c r="AHL313" s="90"/>
      <c r="AHM313" s="90"/>
      <c r="AHN313" s="90"/>
      <c r="AHO313" s="90"/>
      <c r="AHP313" s="90"/>
      <c r="AHQ313" s="90"/>
      <c r="AHR313" s="90"/>
      <c r="AHS313" s="90"/>
      <c r="AHT313" s="90"/>
      <c r="AHU313" s="90"/>
      <c r="AHV313" s="90"/>
      <c r="AHW313" s="90"/>
      <c r="AHX313" s="90"/>
      <c r="AHY313" s="90"/>
      <c r="AHZ313" s="90"/>
      <c r="AIA313" s="90"/>
      <c r="AIB313" s="90"/>
      <c r="AIC313" s="90"/>
      <c r="AID313" s="90"/>
      <c r="AIE313" s="90"/>
      <c r="AIF313" s="90"/>
      <c r="AIG313" s="90"/>
      <c r="AIH313" s="90"/>
      <c r="AII313" s="90"/>
      <c r="AIJ313" s="90"/>
      <c r="AIK313" s="90"/>
      <c r="AIL313" s="90"/>
      <c r="AIM313" s="90"/>
      <c r="AIN313" s="90"/>
      <c r="AIO313" s="90"/>
      <c r="AIP313" s="90"/>
      <c r="AIQ313" s="90"/>
      <c r="AIR313" s="90"/>
      <c r="AIS313" s="90"/>
      <c r="AIT313" s="90"/>
      <c r="AIU313" s="90"/>
      <c r="AIV313" s="90"/>
      <c r="AIW313" s="90"/>
      <c r="AIX313" s="90"/>
      <c r="AIY313" s="90"/>
      <c r="AIZ313" s="90"/>
      <c r="AJA313" s="90"/>
      <c r="AJB313" s="90"/>
      <c r="AJC313" s="90"/>
      <c r="AJD313" s="90"/>
      <c r="AJE313" s="90"/>
      <c r="AJF313" s="90"/>
      <c r="AJG313" s="90"/>
      <c r="AJH313" s="90"/>
      <c r="AJI313" s="90"/>
      <c r="AJJ313" s="90"/>
      <c r="AJK313" s="90"/>
      <c r="AJL313" s="90"/>
      <c r="AJM313" s="90"/>
      <c r="AJN313" s="90"/>
      <c r="AJO313" s="90"/>
      <c r="AJP313" s="90"/>
      <c r="AJQ313" s="90"/>
      <c r="AJR313" s="90"/>
      <c r="AJS313" s="90"/>
      <c r="AJT313" s="90"/>
      <c r="AJU313" s="90"/>
      <c r="AJV313" s="90"/>
      <c r="AJW313" s="90"/>
      <c r="AJX313" s="90"/>
      <c r="AJY313" s="90"/>
      <c r="AJZ313" s="90"/>
      <c r="AKA313" s="90"/>
      <c r="AKB313" s="90"/>
      <c r="AKC313" s="90"/>
      <c r="AKD313" s="90"/>
      <c r="AKE313" s="90"/>
      <c r="AKF313" s="90"/>
      <c r="AKG313" s="90"/>
      <c r="AKH313" s="90"/>
      <c r="AKI313" s="90"/>
      <c r="AKJ313" s="90"/>
      <c r="AKK313" s="90"/>
      <c r="AKL313" s="90"/>
      <c r="AKM313" s="90"/>
      <c r="AKN313" s="90"/>
      <c r="AKO313" s="90"/>
      <c r="AKP313" s="90"/>
      <c r="AKQ313" s="90"/>
      <c r="AKR313" s="90"/>
      <c r="AKS313" s="90"/>
      <c r="AKT313" s="90"/>
      <c r="AKU313" s="90"/>
      <c r="AKV313" s="90"/>
      <c r="AKW313" s="90"/>
      <c r="AKX313" s="90"/>
      <c r="AKY313" s="90"/>
      <c r="AKZ313" s="90"/>
      <c r="ALA313" s="90"/>
      <c r="ALB313" s="90"/>
      <c r="ALC313" s="90"/>
      <c r="ALD313" s="90"/>
      <c r="ALE313" s="90"/>
      <c r="ALF313" s="90"/>
      <c r="ALG313" s="90"/>
      <c r="ALH313" s="90"/>
      <c r="ALI313" s="90"/>
      <c r="ALJ313" s="90"/>
      <c r="ALK313" s="90"/>
      <c r="ALL313" s="90"/>
      <c r="ALM313" s="90"/>
      <c r="ALN313" s="90"/>
      <c r="ALO313" s="90"/>
      <c r="ALP313" s="90"/>
      <c r="ALQ313" s="90"/>
      <c r="ALR313" s="90"/>
      <c r="ALS313" s="90"/>
      <c r="ALT313" s="90"/>
      <c r="ALU313" s="90"/>
      <c r="ALV313" s="90"/>
      <c r="ALW313" s="90"/>
      <c r="ALX313" s="90"/>
      <c r="ALY313" s="90"/>
      <c r="ALZ313" s="90"/>
      <c r="AMA313" s="90"/>
      <c r="AMB313" s="90"/>
      <c r="AMC313" s="90"/>
    </row>
    <row r="314" spans="1:1017" ht="15.65" customHeight="1">
      <c r="A314" s="98" t="s">
        <v>52</v>
      </c>
      <c r="B314" s="90" t="str">
        <f t="shared" si="1809"/>
        <v>Ikan_03 (Kerang Darah)</v>
      </c>
      <c r="Q314" s="91">
        <f t="shared" si="1711"/>
        <v>0</v>
      </c>
      <c r="R314" s="91">
        <f t="shared" si="1712"/>
        <v>0</v>
      </c>
      <c r="AG314" s="91">
        <f t="shared" si="1713"/>
        <v>0</v>
      </c>
      <c r="AH314" s="91">
        <f t="shared" si="1714"/>
        <v>0</v>
      </c>
      <c r="AW314" s="91">
        <f t="shared" si="1715"/>
        <v>0</v>
      </c>
      <c r="AX314" s="91">
        <f t="shared" si="1716"/>
        <v>0</v>
      </c>
      <c r="BM314" s="91">
        <f t="shared" si="1717"/>
        <v>0</v>
      </c>
      <c r="BN314" s="91">
        <f t="shared" si="1718"/>
        <v>0</v>
      </c>
      <c r="CC314" s="91">
        <f t="shared" si="1719"/>
        <v>0</v>
      </c>
      <c r="CD314" s="91">
        <f t="shared" si="1720"/>
        <v>0</v>
      </c>
      <c r="CS314" s="91">
        <f t="shared" si="1721"/>
        <v>0</v>
      </c>
      <c r="CT314" s="91">
        <f t="shared" si="1722"/>
        <v>0</v>
      </c>
      <c r="DI314" s="91">
        <f t="shared" si="1723"/>
        <v>0</v>
      </c>
      <c r="DJ314" s="91">
        <f t="shared" si="1724"/>
        <v>0</v>
      </c>
      <c r="DY314" s="91">
        <f t="shared" si="1725"/>
        <v>0</v>
      </c>
      <c r="DZ314" s="91">
        <f t="shared" si="1726"/>
        <v>0</v>
      </c>
      <c r="EO314" s="91">
        <f t="shared" si="1727"/>
        <v>0</v>
      </c>
      <c r="EP314" s="91">
        <f t="shared" si="1728"/>
        <v>0</v>
      </c>
      <c r="FE314" s="91">
        <f t="shared" si="1729"/>
        <v>0</v>
      </c>
      <c r="FF314" s="91">
        <f t="shared" si="1730"/>
        <v>0</v>
      </c>
      <c r="FU314" s="91">
        <f t="shared" si="1731"/>
        <v>0</v>
      </c>
      <c r="FV314" s="91">
        <f t="shared" si="1732"/>
        <v>0</v>
      </c>
      <c r="GK314" s="91">
        <f t="shared" si="1733"/>
        <v>0</v>
      </c>
      <c r="GL314" s="91">
        <f t="shared" si="1734"/>
        <v>0</v>
      </c>
      <c r="HA314" s="91">
        <f t="shared" si="1735"/>
        <v>0</v>
      </c>
      <c r="HB314" s="91">
        <f t="shared" si="1736"/>
        <v>0</v>
      </c>
      <c r="HQ314" s="91">
        <f t="shared" si="1737"/>
        <v>0</v>
      </c>
      <c r="HR314" s="91">
        <f t="shared" si="1738"/>
        <v>0</v>
      </c>
      <c r="IG314" s="91">
        <f t="shared" si="1739"/>
        <v>0</v>
      </c>
      <c r="IH314" s="91">
        <f t="shared" si="1740"/>
        <v>0</v>
      </c>
      <c r="IW314" s="91">
        <f t="shared" si="1741"/>
        <v>0</v>
      </c>
      <c r="IX314" s="91">
        <f t="shared" si="1742"/>
        <v>0</v>
      </c>
      <c r="JM314" s="91">
        <f t="shared" si="1743"/>
        <v>0</v>
      </c>
      <c r="JN314" s="91">
        <f t="shared" si="1744"/>
        <v>0</v>
      </c>
      <c r="KC314" s="91">
        <f t="shared" si="1745"/>
        <v>0</v>
      </c>
      <c r="KD314" s="91">
        <f t="shared" si="1746"/>
        <v>0</v>
      </c>
      <c r="KS314" s="91">
        <f t="shared" si="1747"/>
        <v>0</v>
      </c>
      <c r="KT314" s="91">
        <f t="shared" si="1748"/>
        <v>0</v>
      </c>
      <c r="LI314" s="91">
        <f t="shared" si="1749"/>
        <v>0</v>
      </c>
      <c r="LJ314" s="91">
        <f t="shared" si="1750"/>
        <v>0</v>
      </c>
      <c r="LY314" s="91">
        <f t="shared" si="1751"/>
        <v>0</v>
      </c>
      <c r="LZ314" s="91">
        <f t="shared" si="1752"/>
        <v>0</v>
      </c>
      <c r="MO314" s="91">
        <f t="shared" si="1753"/>
        <v>0</v>
      </c>
      <c r="MP314" s="91">
        <f t="shared" si="1754"/>
        <v>0</v>
      </c>
      <c r="NE314" s="91">
        <f t="shared" si="1755"/>
        <v>0</v>
      </c>
      <c r="NF314" s="91">
        <f t="shared" si="1756"/>
        <v>0</v>
      </c>
      <c r="NU314" s="91">
        <f t="shared" si="1757"/>
        <v>0</v>
      </c>
      <c r="NV314" s="91">
        <f t="shared" si="1758"/>
        <v>0</v>
      </c>
      <c r="OK314" s="91">
        <f t="shared" si="1759"/>
        <v>0</v>
      </c>
      <c r="OL314" s="91">
        <f t="shared" si="1760"/>
        <v>0</v>
      </c>
      <c r="PA314" s="91">
        <f t="shared" si="1761"/>
        <v>0</v>
      </c>
      <c r="PB314" s="91">
        <f t="shared" si="1762"/>
        <v>0</v>
      </c>
      <c r="PQ314" s="91">
        <f t="shared" si="1763"/>
        <v>0</v>
      </c>
      <c r="PR314" s="91">
        <f t="shared" si="1764"/>
        <v>0</v>
      </c>
      <c r="QG314" s="91">
        <f t="shared" si="1765"/>
        <v>0</v>
      </c>
      <c r="QH314" s="91">
        <f t="shared" si="1766"/>
        <v>0</v>
      </c>
      <c r="QW314" s="91">
        <f t="shared" si="1767"/>
        <v>0</v>
      </c>
      <c r="QX314" s="91">
        <f t="shared" si="1768"/>
        <v>0</v>
      </c>
      <c r="RM314" s="91">
        <f t="shared" si="1769"/>
        <v>0</v>
      </c>
      <c r="RN314" s="91">
        <f t="shared" si="1770"/>
        <v>0</v>
      </c>
      <c r="SC314" s="91">
        <f t="shared" si="1771"/>
        <v>0</v>
      </c>
      <c r="SD314" s="91">
        <f t="shared" si="1772"/>
        <v>0</v>
      </c>
      <c r="SS314" s="91">
        <f t="shared" si="1773"/>
        <v>0</v>
      </c>
      <c r="ST314" s="91">
        <f t="shared" si="1774"/>
        <v>0</v>
      </c>
      <c r="TI314" s="91">
        <f t="shared" si="1775"/>
        <v>0</v>
      </c>
      <c r="TJ314" s="91">
        <f t="shared" si="1776"/>
        <v>0</v>
      </c>
      <c r="TY314" s="91">
        <f t="shared" si="1777"/>
        <v>0</v>
      </c>
      <c r="TZ314" s="91">
        <f t="shared" si="1778"/>
        <v>0</v>
      </c>
      <c r="UO314" s="91">
        <f t="shared" si="1779"/>
        <v>0</v>
      </c>
      <c r="UP314" s="91">
        <f t="shared" si="1780"/>
        <v>0</v>
      </c>
      <c r="VE314" s="91">
        <f t="shared" si="1781"/>
        <v>0</v>
      </c>
      <c r="VF314" s="91">
        <f t="shared" si="1782"/>
        <v>0</v>
      </c>
      <c r="VU314" s="91">
        <f t="shared" si="1783"/>
        <v>0</v>
      </c>
      <c r="VV314" s="91">
        <f t="shared" si="1784"/>
        <v>0</v>
      </c>
      <c r="WK314" s="91">
        <f t="shared" si="1785"/>
        <v>0</v>
      </c>
      <c r="WL314" s="91">
        <f t="shared" si="1786"/>
        <v>0</v>
      </c>
      <c r="WM314" s="89"/>
      <c r="WN314" s="87">
        <f t="shared" si="1810"/>
        <v>0</v>
      </c>
      <c r="WO314" s="87">
        <f t="shared" si="1811"/>
        <v>0</v>
      </c>
      <c r="WP314" s="87">
        <f t="shared" si="1812"/>
        <v>0</v>
      </c>
      <c r="WQ314" s="87">
        <f t="shared" si="1813"/>
        <v>0</v>
      </c>
      <c r="WR314" s="87">
        <f t="shared" si="1814"/>
        <v>0</v>
      </c>
      <c r="WS314" s="87">
        <f t="shared" si="1815"/>
        <v>0</v>
      </c>
      <c r="WT314" s="87">
        <f t="shared" si="1816"/>
        <v>0</v>
      </c>
      <c r="WU314" s="87">
        <f t="shared" si="1817"/>
        <v>0</v>
      </c>
      <c r="WV314" s="87">
        <f t="shared" si="1818"/>
        <v>0</v>
      </c>
      <c r="WW314" s="87">
        <f t="shared" si="1819"/>
        <v>0</v>
      </c>
      <c r="WX314" s="87">
        <f t="shared" si="1820"/>
        <v>0</v>
      </c>
      <c r="WY314" s="87">
        <f t="shared" si="1821"/>
        <v>0</v>
      </c>
      <c r="WZ314" s="87">
        <f t="shared" si="1805"/>
        <v>0</v>
      </c>
      <c r="XA314" s="87">
        <f t="shared" si="1806"/>
        <v>0</v>
      </c>
      <c r="XB314" s="92">
        <f t="shared" si="1807"/>
        <v>0</v>
      </c>
      <c r="XC314" s="92">
        <f t="shared" si="1808"/>
        <v>0</v>
      </c>
      <c r="XD314" s="89"/>
      <c r="XE314" s="92"/>
      <c r="XF314" s="92"/>
      <c r="XG314" s="89"/>
      <c r="XH314" s="92"/>
      <c r="XI314" s="92"/>
      <c r="XJ314" s="89"/>
      <c r="XK314" s="87"/>
      <c r="XL314" s="87"/>
      <c r="XM314" s="87"/>
      <c r="XN314" s="87"/>
      <c r="XO314" s="87"/>
      <c r="XP314" s="87"/>
      <c r="XQ314" s="87"/>
      <c r="XR314" s="92">
        <f t="shared" ca="1" si="1803"/>
        <v>0</v>
      </c>
      <c r="XS314" s="89"/>
      <c r="XT314" s="87"/>
      <c r="XU314" s="87"/>
      <c r="XV314" s="87"/>
      <c r="XW314" s="87"/>
      <c r="XX314" s="87"/>
      <c r="XY314" s="87"/>
      <c r="XZ314" s="87"/>
      <c r="YA314" s="92">
        <f t="shared" ca="1" si="1804"/>
        <v>0</v>
      </c>
      <c r="YB314" s="90"/>
      <c r="YC314" s="90"/>
      <c r="YD314" s="90"/>
      <c r="YE314" s="90"/>
      <c r="YF314" s="90"/>
      <c r="YG314" s="90"/>
      <c r="YH314" s="90"/>
      <c r="YI314" s="90"/>
      <c r="YJ314" s="90"/>
      <c r="YK314" s="90"/>
      <c r="YL314" s="90"/>
      <c r="YM314" s="90"/>
      <c r="YN314" s="90"/>
      <c r="YO314" s="90"/>
      <c r="YP314" s="90"/>
      <c r="YQ314" s="90"/>
      <c r="YR314" s="90"/>
      <c r="YS314" s="90"/>
      <c r="YT314" s="90"/>
      <c r="YU314" s="90"/>
      <c r="YV314" s="90"/>
      <c r="YW314" s="90"/>
      <c r="YX314" s="90"/>
      <c r="YY314" s="90"/>
      <c r="YZ314" s="90"/>
      <c r="ZA314" s="90"/>
      <c r="ZB314" s="90"/>
      <c r="ZC314" s="90"/>
      <c r="ZD314" s="90"/>
      <c r="ZE314" s="90"/>
      <c r="ZF314" s="90"/>
      <c r="ZG314" s="90"/>
      <c r="ZH314" s="90"/>
      <c r="ZI314" s="90"/>
      <c r="ZJ314" s="90"/>
      <c r="ZK314" s="90"/>
      <c r="ZL314" s="90"/>
      <c r="ZM314" s="90"/>
      <c r="ZN314" s="90"/>
      <c r="ZO314" s="90"/>
      <c r="ZP314" s="90"/>
      <c r="ZQ314" s="90"/>
      <c r="ZR314" s="90"/>
      <c r="ZS314" s="90"/>
      <c r="ZT314" s="90"/>
      <c r="ZU314" s="90"/>
      <c r="ZV314" s="90"/>
      <c r="ZW314" s="90"/>
      <c r="ZX314" s="90"/>
      <c r="ZY314" s="90"/>
      <c r="ZZ314" s="90"/>
      <c r="AAA314" s="90"/>
      <c r="AAB314" s="90"/>
      <c r="AAC314" s="90"/>
      <c r="AAD314" s="90"/>
      <c r="AAE314" s="90"/>
      <c r="AAF314" s="90"/>
      <c r="AAG314" s="90"/>
      <c r="AAH314" s="90"/>
      <c r="AAI314" s="90"/>
      <c r="AAJ314" s="90"/>
      <c r="AAK314" s="90"/>
      <c r="AAL314" s="90"/>
      <c r="AAM314" s="90"/>
      <c r="AAN314" s="90"/>
      <c r="AAO314" s="90"/>
      <c r="AAP314" s="90"/>
      <c r="AAQ314" s="90"/>
      <c r="AAR314" s="90"/>
      <c r="AAS314" s="90"/>
      <c r="AAT314" s="90"/>
      <c r="AAU314" s="90"/>
      <c r="AAV314" s="90"/>
      <c r="AAW314" s="90"/>
      <c r="AAX314" s="90"/>
      <c r="AAY314" s="90"/>
      <c r="AAZ314" s="90"/>
      <c r="ABA314" s="90"/>
      <c r="ABB314" s="90"/>
      <c r="ABC314" s="90"/>
      <c r="ABD314" s="90"/>
      <c r="ABE314" s="90"/>
      <c r="ABF314" s="90"/>
      <c r="ABG314" s="90"/>
      <c r="ABH314" s="90"/>
      <c r="ABI314" s="90"/>
      <c r="ABJ314" s="90"/>
      <c r="ABK314" s="90"/>
      <c r="ABL314" s="90"/>
      <c r="ABM314" s="90"/>
      <c r="ABN314" s="90"/>
      <c r="ABO314" s="90"/>
      <c r="ABP314" s="90"/>
      <c r="ABQ314" s="90"/>
      <c r="ABR314" s="90"/>
      <c r="ABS314" s="90"/>
      <c r="ABT314" s="90"/>
      <c r="ABU314" s="90"/>
      <c r="ABV314" s="90"/>
      <c r="ABW314" s="90"/>
      <c r="ABX314" s="90"/>
      <c r="ABY314" s="90"/>
      <c r="ABZ314" s="90"/>
      <c r="ACA314" s="90"/>
      <c r="ACB314" s="90"/>
      <c r="ACC314" s="90"/>
      <c r="ACD314" s="90"/>
      <c r="ACE314" s="90"/>
      <c r="ACF314" s="90"/>
      <c r="ACG314" s="90"/>
      <c r="ACH314" s="90"/>
      <c r="ACI314" s="90"/>
      <c r="ACJ314" s="90"/>
      <c r="ACK314" s="90"/>
      <c r="ACL314" s="90"/>
      <c r="ACM314" s="90"/>
      <c r="ACN314" s="90"/>
      <c r="ACO314" s="90"/>
      <c r="ACP314" s="90"/>
      <c r="ACQ314" s="90"/>
      <c r="ACR314" s="90"/>
      <c r="ACS314" s="90"/>
      <c r="ACT314" s="90"/>
      <c r="ACU314" s="90"/>
      <c r="ACV314" s="90"/>
      <c r="ACW314" s="90"/>
      <c r="ACX314" s="90"/>
      <c r="ACY314" s="90"/>
      <c r="ACZ314" s="90"/>
      <c r="ADA314" s="90"/>
      <c r="ADB314" s="90"/>
      <c r="ADC314" s="90"/>
      <c r="ADD314" s="90"/>
      <c r="ADE314" s="90"/>
      <c r="ADF314" s="90"/>
      <c r="ADG314" s="90"/>
      <c r="ADH314" s="90"/>
      <c r="ADI314" s="90"/>
      <c r="ADJ314" s="90"/>
      <c r="ADK314" s="90"/>
      <c r="ADL314" s="90"/>
      <c r="ADM314" s="90"/>
      <c r="ADN314" s="90"/>
      <c r="ADO314" s="90"/>
      <c r="ADP314" s="90"/>
      <c r="ADQ314" s="90"/>
      <c r="ADR314" s="90"/>
      <c r="ADS314" s="90"/>
      <c r="ADT314" s="90"/>
      <c r="ADU314" s="90"/>
      <c r="ADV314" s="90"/>
      <c r="ADW314" s="90"/>
      <c r="ADX314" s="90"/>
      <c r="ADY314" s="90"/>
      <c r="ADZ314" s="90"/>
      <c r="AEA314" s="90"/>
      <c r="AEB314" s="90"/>
      <c r="AEC314" s="90"/>
      <c r="AED314" s="90"/>
      <c r="AEE314" s="90"/>
      <c r="AEF314" s="90"/>
      <c r="AEG314" s="90"/>
      <c r="AEH314" s="90"/>
      <c r="AEI314" s="90"/>
      <c r="AEJ314" s="90"/>
      <c r="AEK314" s="90"/>
      <c r="AEL314" s="90"/>
      <c r="AEM314" s="90"/>
      <c r="AEN314" s="90"/>
      <c r="AEO314" s="90"/>
      <c r="AEP314" s="90"/>
      <c r="AEQ314" s="90"/>
      <c r="AER314" s="90"/>
      <c r="AES314" s="90"/>
      <c r="AET314" s="90"/>
      <c r="AEU314" s="90"/>
      <c r="AEV314" s="90"/>
      <c r="AEW314" s="90"/>
      <c r="AEX314" s="90"/>
      <c r="AEY314" s="90"/>
      <c r="AEZ314" s="90"/>
      <c r="AFA314" s="90"/>
      <c r="AFB314" s="90"/>
      <c r="AFC314" s="90"/>
      <c r="AFD314" s="90"/>
      <c r="AFE314" s="90"/>
      <c r="AFF314" s="90"/>
      <c r="AFG314" s="90"/>
      <c r="AFH314" s="90"/>
      <c r="AFI314" s="90"/>
      <c r="AFJ314" s="90"/>
      <c r="AFK314" s="90"/>
      <c r="AFL314" s="90"/>
      <c r="AFM314" s="90"/>
      <c r="AFN314" s="90"/>
      <c r="AFO314" s="90"/>
      <c r="AFP314" s="90"/>
      <c r="AFQ314" s="90"/>
      <c r="AFR314" s="90"/>
      <c r="AFS314" s="90"/>
      <c r="AFT314" s="90"/>
      <c r="AFU314" s="90"/>
      <c r="AFV314" s="90"/>
      <c r="AFW314" s="90"/>
      <c r="AFX314" s="90"/>
      <c r="AFY314" s="90"/>
      <c r="AFZ314" s="90"/>
      <c r="AGA314" s="90"/>
      <c r="AGB314" s="90"/>
      <c r="AGC314" s="90"/>
      <c r="AGD314" s="90"/>
      <c r="AGE314" s="90"/>
      <c r="AGF314" s="90"/>
      <c r="AGG314" s="90"/>
      <c r="AGH314" s="90"/>
      <c r="AGI314" s="90"/>
      <c r="AGJ314" s="90"/>
      <c r="AGK314" s="90"/>
      <c r="AGL314" s="90"/>
      <c r="AGM314" s="90"/>
      <c r="AGN314" s="90"/>
      <c r="AGO314" s="90"/>
      <c r="AGP314" s="90"/>
      <c r="AGQ314" s="90"/>
      <c r="AGR314" s="90"/>
      <c r="AGS314" s="90"/>
      <c r="AGT314" s="90"/>
      <c r="AGU314" s="90"/>
      <c r="AGV314" s="90"/>
      <c r="AGW314" s="90"/>
      <c r="AGX314" s="90"/>
      <c r="AGY314" s="90"/>
      <c r="AGZ314" s="90"/>
      <c r="AHA314" s="90"/>
      <c r="AHB314" s="90"/>
      <c r="AHC314" s="90"/>
      <c r="AHD314" s="90"/>
      <c r="AHE314" s="90"/>
      <c r="AHF314" s="90"/>
      <c r="AHG314" s="90"/>
      <c r="AHH314" s="90"/>
      <c r="AHI314" s="90"/>
      <c r="AHJ314" s="90"/>
      <c r="AHK314" s="90"/>
      <c r="AHL314" s="90"/>
      <c r="AHM314" s="90"/>
      <c r="AHN314" s="90"/>
      <c r="AHO314" s="90"/>
      <c r="AHP314" s="90"/>
      <c r="AHQ314" s="90"/>
      <c r="AHR314" s="90"/>
      <c r="AHS314" s="90"/>
      <c r="AHT314" s="90"/>
      <c r="AHU314" s="90"/>
      <c r="AHV314" s="90"/>
      <c r="AHW314" s="90"/>
      <c r="AHX314" s="90"/>
      <c r="AHY314" s="90"/>
      <c r="AHZ314" s="90"/>
      <c r="AIA314" s="90"/>
      <c r="AIB314" s="90"/>
      <c r="AIC314" s="90"/>
      <c r="AID314" s="90"/>
      <c r="AIE314" s="90"/>
      <c r="AIF314" s="90"/>
      <c r="AIG314" s="90"/>
      <c r="AIH314" s="90"/>
      <c r="AII314" s="90"/>
      <c r="AIJ314" s="90"/>
      <c r="AIK314" s="90"/>
      <c r="AIL314" s="90"/>
      <c r="AIM314" s="90"/>
      <c r="AIN314" s="90"/>
      <c r="AIO314" s="90"/>
      <c r="AIP314" s="90"/>
      <c r="AIQ314" s="90"/>
      <c r="AIR314" s="90"/>
      <c r="AIS314" s="90"/>
      <c r="AIT314" s="90"/>
      <c r="AIU314" s="90"/>
      <c r="AIV314" s="90"/>
      <c r="AIW314" s="90"/>
      <c r="AIX314" s="90"/>
      <c r="AIY314" s="90"/>
      <c r="AIZ314" s="90"/>
      <c r="AJA314" s="90"/>
      <c r="AJB314" s="90"/>
      <c r="AJC314" s="90"/>
      <c r="AJD314" s="90"/>
      <c r="AJE314" s="90"/>
      <c r="AJF314" s="90"/>
      <c r="AJG314" s="90"/>
      <c r="AJH314" s="90"/>
      <c r="AJI314" s="90"/>
      <c r="AJJ314" s="90"/>
      <c r="AJK314" s="90"/>
      <c r="AJL314" s="90"/>
      <c r="AJM314" s="90"/>
      <c r="AJN314" s="90"/>
      <c r="AJO314" s="90"/>
      <c r="AJP314" s="90"/>
      <c r="AJQ314" s="90"/>
      <c r="AJR314" s="90"/>
      <c r="AJS314" s="90"/>
      <c r="AJT314" s="90"/>
      <c r="AJU314" s="90"/>
      <c r="AJV314" s="90"/>
      <c r="AJW314" s="90"/>
      <c r="AJX314" s="90"/>
      <c r="AJY314" s="90"/>
      <c r="AJZ314" s="90"/>
      <c r="AKA314" s="90"/>
      <c r="AKB314" s="90"/>
      <c r="AKC314" s="90"/>
      <c r="AKD314" s="90"/>
      <c r="AKE314" s="90"/>
      <c r="AKF314" s="90"/>
      <c r="AKG314" s="90"/>
      <c r="AKH314" s="90"/>
      <c r="AKI314" s="90"/>
      <c r="AKJ314" s="90"/>
      <c r="AKK314" s="90"/>
      <c r="AKL314" s="90"/>
      <c r="AKM314" s="90"/>
      <c r="AKN314" s="90"/>
      <c r="AKO314" s="90"/>
      <c r="AKP314" s="90"/>
      <c r="AKQ314" s="90"/>
      <c r="AKR314" s="90"/>
      <c r="AKS314" s="90"/>
      <c r="AKT314" s="90"/>
      <c r="AKU314" s="90"/>
      <c r="AKV314" s="90"/>
      <c r="AKW314" s="90"/>
      <c r="AKX314" s="90"/>
      <c r="AKY314" s="90"/>
      <c r="AKZ314" s="90"/>
      <c r="ALA314" s="90"/>
      <c r="ALB314" s="90"/>
      <c r="ALC314" s="90"/>
      <c r="ALD314" s="90"/>
      <c r="ALE314" s="90"/>
      <c r="ALF314" s="90"/>
      <c r="ALG314" s="90"/>
      <c r="ALH314" s="90"/>
      <c r="ALI314" s="90"/>
      <c r="ALJ314" s="90"/>
      <c r="ALK314" s="90"/>
      <c r="ALL314" s="90"/>
      <c r="ALM314" s="90"/>
      <c r="ALN314" s="90"/>
      <c r="ALO314" s="90"/>
      <c r="ALP314" s="90"/>
      <c r="ALQ314" s="90"/>
      <c r="ALR314" s="90"/>
      <c r="ALS314" s="90"/>
      <c r="ALT314" s="90"/>
      <c r="ALU314" s="90"/>
      <c r="ALV314" s="90"/>
      <c r="ALW314" s="90"/>
      <c r="ALX314" s="90"/>
      <c r="ALY314" s="90"/>
      <c r="ALZ314" s="90"/>
      <c r="AMA314" s="90"/>
      <c r="AMB314" s="90"/>
      <c r="AMC314" s="90"/>
    </row>
    <row r="315" spans="1:1017" ht="15.65" customHeight="1">
      <c r="A315" s="98" t="s">
        <v>52</v>
      </c>
      <c r="B315" s="90" t="str">
        <f t="shared" si="1809"/>
        <v>Ikan_04 (Ikan Keting)</v>
      </c>
      <c r="Q315" s="91">
        <f t="shared" si="1711"/>
        <v>0</v>
      </c>
      <c r="R315" s="91">
        <f t="shared" si="1712"/>
        <v>0</v>
      </c>
      <c r="AG315" s="91">
        <f t="shared" si="1713"/>
        <v>0</v>
      </c>
      <c r="AH315" s="91">
        <f t="shared" si="1714"/>
        <v>0</v>
      </c>
      <c r="AW315" s="91">
        <f t="shared" si="1715"/>
        <v>0</v>
      </c>
      <c r="AX315" s="91">
        <f t="shared" si="1716"/>
        <v>0</v>
      </c>
      <c r="BM315" s="91">
        <f t="shared" si="1717"/>
        <v>0</v>
      </c>
      <c r="BN315" s="91">
        <f t="shared" si="1718"/>
        <v>0</v>
      </c>
      <c r="CC315" s="91">
        <f t="shared" si="1719"/>
        <v>0</v>
      </c>
      <c r="CD315" s="91">
        <f t="shared" si="1720"/>
        <v>0</v>
      </c>
      <c r="CS315" s="91">
        <f t="shared" si="1721"/>
        <v>0</v>
      </c>
      <c r="CT315" s="91">
        <f t="shared" si="1722"/>
        <v>0</v>
      </c>
      <c r="DI315" s="91">
        <f t="shared" si="1723"/>
        <v>0</v>
      </c>
      <c r="DJ315" s="91">
        <f t="shared" si="1724"/>
        <v>0</v>
      </c>
      <c r="DY315" s="91">
        <f t="shared" si="1725"/>
        <v>0</v>
      </c>
      <c r="DZ315" s="91">
        <f t="shared" si="1726"/>
        <v>0</v>
      </c>
      <c r="EO315" s="91">
        <f t="shared" si="1727"/>
        <v>0</v>
      </c>
      <c r="EP315" s="91">
        <f t="shared" si="1728"/>
        <v>0</v>
      </c>
      <c r="FE315" s="91">
        <f t="shared" si="1729"/>
        <v>0</v>
      </c>
      <c r="FF315" s="91">
        <f t="shared" si="1730"/>
        <v>0</v>
      </c>
      <c r="FU315" s="91">
        <f t="shared" si="1731"/>
        <v>0</v>
      </c>
      <c r="FV315" s="91">
        <f t="shared" si="1732"/>
        <v>0</v>
      </c>
      <c r="GK315" s="91">
        <f t="shared" si="1733"/>
        <v>0</v>
      </c>
      <c r="GL315" s="91">
        <f t="shared" si="1734"/>
        <v>0</v>
      </c>
      <c r="HA315" s="91">
        <f t="shared" si="1735"/>
        <v>0</v>
      </c>
      <c r="HB315" s="91">
        <f t="shared" si="1736"/>
        <v>0</v>
      </c>
      <c r="HQ315" s="91">
        <f t="shared" si="1737"/>
        <v>0</v>
      </c>
      <c r="HR315" s="91">
        <f t="shared" si="1738"/>
        <v>0</v>
      </c>
      <c r="IG315" s="91">
        <f t="shared" si="1739"/>
        <v>0</v>
      </c>
      <c r="IH315" s="91">
        <f t="shared" si="1740"/>
        <v>0</v>
      </c>
      <c r="IW315" s="91">
        <f t="shared" si="1741"/>
        <v>0</v>
      </c>
      <c r="IX315" s="91">
        <f t="shared" si="1742"/>
        <v>0</v>
      </c>
      <c r="JM315" s="91">
        <f t="shared" si="1743"/>
        <v>0</v>
      </c>
      <c r="JN315" s="91">
        <f t="shared" si="1744"/>
        <v>0</v>
      </c>
      <c r="KC315" s="91">
        <f t="shared" si="1745"/>
        <v>0</v>
      </c>
      <c r="KD315" s="91">
        <f t="shared" si="1746"/>
        <v>0</v>
      </c>
      <c r="KS315" s="91">
        <f t="shared" si="1747"/>
        <v>0</v>
      </c>
      <c r="KT315" s="91">
        <f t="shared" si="1748"/>
        <v>0</v>
      </c>
      <c r="LI315" s="91">
        <f t="shared" si="1749"/>
        <v>0</v>
      </c>
      <c r="LJ315" s="91">
        <f t="shared" si="1750"/>
        <v>0</v>
      </c>
      <c r="LY315" s="91">
        <f t="shared" si="1751"/>
        <v>0</v>
      </c>
      <c r="LZ315" s="91">
        <f t="shared" si="1752"/>
        <v>0</v>
      </c>
      <c r="MO315" s="91">
        <f t="shared" si="1753"/>
        <v>0</v>
      </c>
      <c r="MP315" s="91">
        <f t="shared" si="1754"/>
        <v>0</v>
      </c>
      <c r="NE315" s="91">
        <f t="shared" si="1755"/>
        <v>0</v>
      </c>
      <c r="NF315" s="91">
        <f t="shared" si="1756"/>
        <v>0</v>
      </c>
      <c r="NI315" s="98">
        <v>126800</v>
      </c>
      <c r="NJ315" s="98">
        <v>1521600</v>
      </c>
      <c r="NU315" s="91">
        <f t="shared" si="1757"/>
        <v>126800</v>
      </c>
      <c r="NV315" s="91">
        <f t="shared" si="1758"/>
        <v>1521600</v>
      </c>
      <c r="OK315" s="91">
        <f t="shared" si="1759"/>
        <v>0</v>
      </c>
      <c r="OL315" s="91">
        <f t="shared" si="1760"/>
        <v>0</v>
      </c>
      <c r="PA315" s="91">
        <f t="shared" si="1761"/>
        <v>0</v>
      </c>
      <c r="PB315" s="91">
        <f t="shared" si="1762"/>
        <v>0</v>
      </c>
      <c r="PQ315" s="91">
        <f t="shared" si="1763"/>
        <v>0</v>
      </c>
      <c r="PR315" s="91">
        <f t="shared" si="1764"/>
        <v>0</v>
      </c>
      <c r="QG315" s="91">
        <f t="shared" si="1765"/>
        <v>0</v>
      </c>
      <c r="QH315" s="91">
        <f t="shared" si="1766"/>
        <v>0</v>
      </c>
      <c r="QW315" s="91">
        <f t="shared" si="1767"/>
        <v>0</v>
      </c>
      <c r="QX315" s="91">
        <f t="shared" si="1768"/>
        <v>0</v>
      </c>
      <c r="RM315" s="91">
        <f t="shared" si="1769"/>
        <v>0</v>
      </c>
      <c r="RN315" s="91">
        <f t="shared" si="1770"/>
        <v>0</v>
      </c>
      <c r="SC315" s="91">
        <f t="shared" si="1771"/>
        <v>0</v>
      </c>
      <c r="SD315" s="91">
        <f t="shared" si="1772"/>
        <v>0</v>
      </c>
      <c r="SS315" s="91">
        <f t="shared" si="1773"/>
        <v>0</v>
      </c>
      <c r="ST315" s="91">
        <f t="shared" si="1774"/>
        <v>0</v>
      </c>
      <c r="TI315" s="91">
        <f t="shared" si="1775"/>
        <v>0</v>
      </c>
      <c r="TJ315" s="91">
        <f t="shared" si="1776"/>
        <v>0</v>
      </c>
      <c r="TY315" s="91">
        <f t="shared" si="1777"/>
        <v>0</v>
      </c>
      <c r="TZ315" s="91">
        <f t="shared" si="1778"/>
        <v>0</v>
      </c>
      <c r="UO315" s="91">
        <f t="shared" si="1779"/>
        <v>0</v>
      </c>
      <c r="UP315" s="91">
        <f t="shared" ref="UP315:UP316" si="1822">SUMIF($C$12:$P$12,$A$1,UB315:UO315)</f>
        <v>0</v>
      </c>
      <c r="VE315" s="91">
        <f t="shared" si="1781"/>
        <v>0</v>
      </c>
      <c r="VF315" s="91">
        <f t="shared" si="1782"/>
        <v>0</v>
      </c>
      <c r="VU315" s="91">
        <f t="shared" si="1783"/>
        <v>0</v>
      </c>
      <c r="VV315" s="91">
        <f t="shared" si="1784"/>
        <v>0</v>
      </c>
      <c r="WK315" s="91">
        <f t="shared" si="1785"/>
        <v>0</v>
      </c>
      <c r="WL315" s="91">
        <f t="shared" si="1786"/>
        <v>0</v>
      </c>
      <c r="WM315" s="89"/>
      <c r="WN315" s="87">
        <f t="shared" si="1810"/>
        <v>0</v>
      </c>
      <c r="WO315" s="87">
        <f t="shared" si="1811"/>
        <v>0</v>
      </c>
      <c r="WP315" s="87">
        <f t="shared" si="1812"/>
        <v>126800</v>
      </c>
      <c r="WQ315" s="87">
        <f t="shared" si="1813"/>
        <v>1521600</v>
      </c>
      <c r="WR315" s="87">
        <f t="shared" si="1814"/>
        <v>0</v>
      </c>
      <c r="WS315" s="87">
        <f t="shared" si="1815"/>
        <v>0</v>
      </c>
      <c r="WT315" s="87">
        <f t="shared" si="1816"/>
        <v>0</v>
      </c>
      <c r="WU315" s="87">
        <f t="shared" si="1817"/>
        <v>0</v>
      </c>
      <c r="WV315" s="87">
        <f t="shared" si="1818"/>
        <v>0</v>
      </c>
      <c r="WW315" s="87">
        <f t="shared" si="1819"/>
        <v>0</v>
      </c>
      <c r="WX315" s="87">
        <f t="shared" si="1820"/>
        <v>0</v>
      </c>
      <c r="WY315" s="87">
        <f t="shared" si="1821"/>
        <v>0</v>
      </c>
      <c r="WZ315" s="87">
        <f t="shared" si="1805"/>
        <v>0</v>
      </c>
      <c r="XA315" s="87">
        <f t="shared" si="1806"/>
        <v>0</v>
      </c>
      <c r="XB315" s="92">
        <f t="shared" si="1807"/>
        <v>126800</v>
      </c>
      <c r="XC315" s="92">
        <f t="shared" si="1808"/>
        <v>1521600</v>
      </c>
      <c r="XD315" s="89"/>
      <c r="XE315" s="92"/>
      <c r="XF315" s="92"/>
      <c r="XG315" s="89"/>
      <c r="XH315" s="92"/>
      <c r="XI315" s="92"/>
      <c r="XJ315" s="89"/>
      <c r="XK315" s="87"/>
      <c r="XL315" s="87"/>
      <c r="XM315" s="87"/>
      <c r="XN315" s="87"/>
      <c r="XO315" s="87"/>
      <c r="XP315" s="87"/>
      <c r="XQ315" s="87"/>
      <c r="XR315" s="92">
        <f t="shared" ca="1" si="1803"/>
        <v>0</v>
      </c>
      <c r="XS315" s="89"/>
      <c r="XT315" s="87"/>
      <c r="XU315" s="87"/>
      <c r="XV315" s="87"/>
      <c r="XW315" s="87"/>
      <c r="XX315" s="87"/>
      <c r="XY315" s="87"/>
      <c r="XZ315" s="87"/>
      <c r="YA315" s="92">
        <f t="shared" ca="1" si="1804"/>
        <v>0</v>
      </c>
      <c r="YB315" s="90"/>
      <c r="YC315" s="90"/>
      <c r="YD315" s="90"/>
      <c r="YE315" s="90"/>
      <c r="YF315" s="90"/>
      <c r="YG315" s="90"/>
      <c r="YH315" s="90"/>
      <c r="YI315" s="90"/>
      <c r="YJ315" s="90"/>
      <c r="YK315" s="90"/>
      <c r="YL315" s="90"/>
      <c r="YM315" s="90"/>
      <c r="YN315" s="90"/>
      <c r="YO315" s="90"/>
      <c r="YP315" s="90"/>
      <c r="YQ315" s="90"/>
      <c r="YR315" s="90"/>
      <c r="YS315" s="90"/>
      <c r="YT315" s="90"/>
      <c r="YU315" s="90"/>
      <c r="YV315" s="90"/>
      <c r="YW315" s="90"/>
      <c r="YX315" s="90"/>
      <c r="YY315" s="90"/>
      <c r="YZ315" s="90"/>
      <c r="ZA315" s="90"/>
      <c r="ZB315" s="90"/>
      <c r="ZC315" s="90"/>
      <c r="ZD315" s="90"/>
      <c r="ZE315" s="90"/>
      <c r="ZF315" s="90"/>
      <c r="ZG315" s="90"/>
      <c r="ZH315" s="90"/>
      <c r="ZI315" s="90"/>
      <c r="ZJ315" s="90"/>
      <c r="ZK315" s="90"/>
      <c r="ZL315" s="90"/>
      <c r="ZM315" s="90"/>
      <c r="ZN315" s="90"/>
      <c r="ZO315" s="90"/>
      <c r="ZP315" s="90"/>
      <c r="ZQ315" s="90"/>
      <c r="ZR315" s="90"/>
      <c r="ZS315" s="90"/>
      <c r="ZT315" s="90"/>
      <c r="ZU315" s="90"/>
      <c r="ZV315" s="90"/>
      <c r="ZW315" s="90"/>
      <c r="ZX315" s="90"/>
      <c r="ZY315" s="90"/>
      <c r="ZZ315" s="90"/>
      <c r="AAA315" s="90"/>
      <c r="AAB315" s="90"/>
      <c r="AAC315" s="90"/>
      <c r="AAD315" s="90"/>
      <c r="AAE315" s="90"/>
      <c r="AAF315" s="90"/>
      <c r="AAG315" s="90"/>
      <c r="AAH315" s="90"/>
      <c r="AAI315" s="90"/>
      <c r="AAJ315" s="90"/>
      <c r="AAK315" s="90"/>
      <c r="AAL315" s="90"/>
      <c r="AAM315" s="90"/>
      <c r="AAN315" s="90"/>
      <c r="AAO315" s="90"/>
      <c r="AAP315" s="90"/>
      <c r="AAQ315" s="90"/>
      <c r="AAR315" s="90"/>
      <c r="AAS315" s="90"/>
      <c r="AAT315" s="90"/>
      <c r="AAU315" s="90"/>
      <c r="AAV315" s="90"/>
      <c r="AAW315" s="90"/>
      <c r="AAX315" s="90"/>
      <c r="AAY315" s="90"/>
      <c r="AAZ315" s="90"/>
      <c r="ABA315" s="90"/>
      <c r="ABB315" s="90"/>
      <c r="ABC315" s="90"/>
      <c r="ABD315" s="90"/>
      <c r="ABE315" s="90"/>
      <c r="ABF315" s="90"/>
      <c r="ABG315" s="90"/>
      <c r="ABH315" s="90"/>
      <c r="ABI315" s="90"/>
      <c r="ABJ315" s="90"/>
      <c r="ABK315" s="90"/>
      <c r="ABL315" s="90"/>
      <c r="ABM315" s="90"/>
      <c r="ABN315" s="90"/>
      <c r="ABO315" s="90"/>
      <c r="ABP315" s="90"/>
      <c r="ABQ315" s="90"/>
      <c r="ABR315" s="90"/>
      <c r="ABS315" s="90"/>
      <c r="ABT315" s="90"/>
      <c r="ABU315" s="90"/>
      <c r="ABV315" s="90"/>
      <c r="ABW315" s="90"/>
      <c r="ABX315" s="90"/>
      <c r="ABY315" s="90"/>
      <c r="ABZ315" s="90"/>
      <c r="ACA315" s="90"/>
      <c r="ACB315" s="90"/>
      <c r="ACC315" s="90"/>
      <c r="ACD315" s="90"/>
      <c r="ACE315" s="90"/>
      <c r="ACF315" s="90"/>
      <c r="ACG315" s="90"/>
      <c r="ACH315" s="90"/>
      <c r="ACI315" s="90"/>
      <c r="ACJ315" s="90"/>
      <c r="ACK315" s="90"/>
      <c r="ACL315" s="90"/>
      <c r="ACM315" s="90"/>
      <c r="ACN315" s="90"/>
      <c r="ACO315" s="90"/>
      <c r="ACP315" s="90"/>
      <c r="ACQ315" s="90"/>
      <c r="ACR315" s="90"/>
      <c r="ACS315" s="90"/>
      <c r="ACT315" s="90"/>
      <c r="ACU315" s="90"/>
      <c r="ACV315" s="90"/>
      <c r="ACW315" s="90"/>
      <c r="ACX315" s="90"/>
      <c r="ACY315" s="90"/>
      <c r="ACZ315" s="90"/>
      <c r="ADA315" s="90"/>
      <c r="ADB315" s="90"/>
      <c r="ADC315" s="90"/>
      <c r="ADD315" s="90"/>
      <c r="ADE315" s="90"/>
      <c r="ADF315" s="90"/>
      <c r="ADG315" s="90"/>
      <c r="ADH315" s="90"/>
      <c r="ADI315" s="90"/>
      <c r="ADJ315" s="90"/>
      <c r="ADK315" s="90"/>
      <c r="ADL315" s="90"/>
      <c r="ADM315" s="90"/>
      <c r="ADN315" s="90"/>
      <c r="ADO315" s="90"/>
      <c r="ADP315" s="90"/>
      <c r="ADQ315" s="90"/>
      <c r="ADR315" s="90"/>
      <c r="ADS315" s="90"/>
      <c r="ADT315" s="90"/>
      <c r="ADU315" s="90"/>
      <c r="ADV315" s="90"/>
      <c r="ADW315" s="90"/>
      <c r="ADX315" s="90"/>
      <c r="ADY315" s="90"/>
      <c r="ADZ315" s="90"/>
      <c r="AEA315" s="90"/>
      <c r="AEB315" s="90"/>
      <c r="AEC315" s="90"/>
      <c r="AED315" s="90"/>
      <c r="AEE315" s="90"/>
      <c r="AEF315" s="90"/>
      <c r="AEG315" s="90"/>
      <c r="AEH315" s="90"/>
      <c r="AEI315" s="90"/>
      <c r="AEJ315" s="90"/>
      <c r="AEK315" s="90"/>
      <c r="AEL315" s="90"/>
      <c r="AEM315" s="90"/>
      <c r="AEN315" s="90"/>
      <c r="AEO315" s="90"/>
      <c r="AEP315" s="90"/>
      <c r="AEQ315" s="90"/>
      <c r="AER315" s="90"/>
      <c r="AES315" s="90"/>
      <c r="AET315" s="90"/>
      <c r="AEU315" s="90"/>
      <c r="AEV315" s="90"/>
      <c r="AEW315" s="90"/>
      <c r="AEX315" s="90"/>
      <c r="AEY315" s="90"/>
      <c r="AEZ315" s="90"/>
      <c r="AFA315" s="90"/>
      <c r="AFB315" s="90"/>
      <c r="AFC315" s="90"/>
      <c r="AFD315" s="90"/>
      <c r="AFE315" s="90"/>
      <c r="AFF315" s="90"/>
      <c r="AFG315" s="90"/>
      <c r="AFH315" s="90"/>
      <c r="AFI315" s="90"/>
      <c r="AFJ315" s="90"/>
      <c r="AFK315" s="90"/>
      <c r="AFL315" s="90"/>
      <c r="AFM315" s="90"/>
      <c r="AFN315" s="90"/>
      <c r="AFO315" s="90"/>
      <c r="AFP315" s="90"/>
      <c r="AFQ315" s="90"/>
      <c r="AFR315" s="90"/>
      <c r="AFS315" s="90"/>
      <c r="AFT315" s="90"/>
      <c r="AFU315" s="90"/>
      <c r="AFV315" s="90"/>
      <c r="AFW315" s="90"/>
      <c r="AFX315" s="90"/>
      <c r="AFY315" s="90"/>
      <c r="AFZ315" s="90"/>
      <c r="AGA315" s="90"/>
      <c r="AGB315" s="90"/>
      <c r="AGC315" s="90"/>
      <c r="AGD315" s="90"/>
      <c r="AGE315" s="90"/>
      <c r="AGF315" s="90"/>
      <c r="AGG315" s="90"/>
      <c r="AGH315" s="90"/>
      <c r="AGI315" s="90"/>
      <c r="AGJ315" s="90"/>
      <c r="AGK315" s="90"/>
      <c r="AGL315" s="90"/>
      <c r="AGM315" s="90"/>
      <c r="AGN315" s="90"/>
      <c r="AGO315" s="90"/>
      <c r="AGP315" s="90"/>
      <c r="AGQ315" s="90"/>
      <c r="AGR315" s="90"/>
      <c r="AGS315" s="90"/>
      <c r="AGT315" s="90"/>
      <c r="AGU315" s="90"/>
      <c r="AGV315" s="90"/>
      <c r="AGW315" s="90"/>
      <c r="AGX315" s="90"/>
      <c r="AGY315" s="90"/>
      <c r="AGZ315" s="90"/>
      <c r="AHA315" s="90"/>
      <c r="AHB315" s="90"/>
      <c r="AHC315" s="90"/>
      <c r="AHD315" s="90"/>
      <c r="AHE315" s="90"/>
      <c r="AHF315" s="90"/>
      <c r="AHG315" s="90"/>
      <c r="AHH315" s="90"/>
      <c r="AHI315" s="90"/>
      <c r="AHJ315" s="90"/>
      <c r="AHK315" s="90"/>
      <c r="AHL315" s="90"/>
      <c r="AHM315" s="90"/>
      <c r="AHN315" s="90"/>
      <c r="AHO315" s="90"/>
      <c r="AHP315" s="90"/>
      <c r="AHQ315" s="90"/>
      <c r="AHR315" s="90"/>
      <c r="AHS315" s="90"/>
      <c r="AHT315" s="90"/>
      <c r="AHU315" s="90"/>
      <c r="AHV315" s="90"/>
      <c r="AHW315" s="90"/>
      <c r="AHX315" s="90"/>
      <c r="AHY315" s="90"/>
      <c r="AHZ315" s="90"/>
      <c r="AIA315" s="90"/>
      <c r="AIB315" s="90"/>
      <c r="AIC315" s="90"/>
      <c r="AID315" s="90"/>
      <c r="AIE315" s="90"/>
      <c r="AIF315" s="90"/>
      <c r="AIG315" s="90"/>
      <c r="AIH315" s="90"/>
      <c r="AII315" s="90"/>
      <c r="AIJ315" s="90"/>
      <c r="AIK315" s="90"/>
      <c r="AIL315" s="90"/>
      <c r="AIM315" s="90"/>
      <c r="AIN315" s="90"/>
      <c r="AIO315" s="90"/>
      <c r="AIP315" s="90"/>
      <c r="AIQ315" s="90"/>
      <c r="AIR315" s="90"/>
      <c r="AIS315" s="90"/>
      <c r="AIT315" s="90"/>
      <c r="AIU315" s="90"/>
      <c r="AIV315" s="90"/>
      <c r="AIW315" s="90"/>
      <c r="AIX315" s="90"/>
      <c r="AIY315" s="90"/>
      <c r="AIZ315" s="90"/>
      <c r="AJA315" s="90"/>
      <c r="AJB315" s="90"/>
      <c r="AJC315" s="90"/>
      <c r="AJD315" s="90"/>
      <c r="AJE315" s="90"/>
      <c r="AJF315" s="90"/>
      <c r="AJG315" s="90"/>
      <c r="AJH315" s="90"/>
      <c r="AJI315" s="90"/>
      <c r="AJJ315" s="90"/>
      <c r="AJK315" s="90"/>
      <c r="AJL315" s="90"/>
      <c r="AJM315" s="90"/>
      <c r="AJN315" s="90"/>
      <c r="AJO315" s="90"/>
      <c r="AJP315" s="90"/>
      <c r="AJQ315" s="90"/>
      <c r="AJR315" s="90"/>
      <c r="AJS315" s="90"/>
      <c r="AJT315" s="90"/>
      <c r="AJU315" s="90"/>
      <c r="AJV315" s="90"/>
      <c r="AJW315" s="90"/>
      <c r="AJX315" s="90"/>
      <c r="AJY315" s="90"/>
      <c r="AJZ315" s="90"/>
      <c r="AKA315" s="90"/>
      <c r="AKB315" s="90"/>
      <c r="AKC315" s="90"/>
      <c r="AKD315" s="90"/>
      <c r="AKE315" s="90"/>
      <c r="AKF315" s="90"/>
      <c r="AKG315" s="90"/>
      <c r="AKH315" s="90"/>
      <c r="AKI315" s="90"/>
      <c r="AKJ315" s="90"/>
      <c r="AKK315" s="90"/>
      <c r="AKL315" s="90"/>
      <c r="AKM315" s="90"/>
      <c r="AKN315" s="90"/>
      <c r="AKO315" s="90"/>
      <c r="AKP315" s="90"/>
      <c r="AKQ315" s="90"/>
      <c r="AKR315" s="90"/>
      <c r="AKS315" s="90"/>
      <c r="AKT315" s="90"/>
      <c r="AKU315" s="90"/>
      <c r="AKV315" s="90"/>
      <c r="AKW315" s="90"/>
      <c r="AKX315" s="90"/>
      <c r="AKY315" s="90"/>
      <c r="AKZ315" s="90"/>
      <c r="ALA315" s="90"/>
      <c r="ALB315" s="90"/>
      <c r="ALC315" s="90"/>
      <c r="ALD315" s="90"/>
      <c r="ALE315" s="90"/>
      <c r="ALF315" s="90"/>
      <c r="ALG315" s="90"/>
      <c r="ALH315" s="90"/>
      <c r="ALI315" s="90"/>
      <c r="ALJ315" s="90"/>
      <c r="ALK315" s="90"/>
      <c r="ALL315" s="90"/>
      <c r="ALM315" s="90"/>
      <c r="ALN315" s="90"/>
      <c r="ALO315" s="90"/>
      <c r="ALP315" s="90"/>
      <c r="ALQ315" s="90"/>
      <c r="ALR315" s="90"/>
      <c r="ALS315" s="90"/>
      <c r="ALT315" s="90"/>
      <c r="ALU315" s="90"/>
      <c r="ALV315" s="90"/>
      <c r="ALW315" s="90"/>
      <c r="ALX315" s="90"/>
      <c r="ALY315" s="90"/>
      <c r="ALZ315" s="90"/>
      <c r="AMA315" s="90"/>
      <c r="AMB315" s="90"/>
      <c r="AMC315" s="90"/>
    </row>
    <row r="316" spans="1:1017" ht="15.65" customHeight="1">
      <c r="A316" s="98" t="s">
        <v>52</v>
      </c>
      <c r="B316" s="90" t="str">
        <f t="shared" si="1809"/>
        <v>Ikan_05 (Ikan betutu)</v>
      </c>
      <c r="Q316" s="91">
        <f t="shared" si="1711"/>
        <v>0</v>
      </c>
      <c r="R316" s="91">
        <f t="shared" si="1712"/>
        <v>0</v>
      </c>
      <c r="AG316" s="91">
        <f t="shared" si="1713"/>
        <v>0</v>
      </c>
      <c r="AH316" s="91">
        <f t="shared" si="1714"/>
        <v>0</v>
      </c>
      <c r="AW316" s="91">
        <f t="shared" si="1715"/>
        <v>0</v>
      </c>
      <c r="AX316" s="91">
        <f t="shared" si="1716"/>
        <v>0</v>
      </c>
      <c r="BM316" s="91">
        <f t="shared" si="1717"/>
        <v>0</v>
      </c>
      <c r="BN316" s="91">
        <f t="shared" si="1718"/>
        <v>0</v>
      </c>
      <c r="CC316" s="91">
        <f t="shared" si="1719"/>
        <v>0</v>
      </c>
      <c r="CD316" s="91">
        <f t="shared" si="1720"/>
        <v>0</v>
      </c>
      <c r="CS316" s="91">
        <f t="shared" si="1721"/>
        <v>0</v>
      </c>
      <c r="CT316" s="91">
        <f t="shared" si="1722"/>
        <v>0</v>
      </c>
      <c r="DI316" s="91">
        <f t="shared" si="1723"/>
        <v>0</v>
      </c>
      <c r="DJ316" s="91">
        <f t="shared" si="1724"/>
        <v>0</v>
      </c>
      <c r="DY316" s="91">
        <f t="shared" si="1725"/>
        <v>0</v>
      </c>
      <c r="DZ316" s="91">
        <f t="shared" si="1726"/>
        <v>0</v>
      </c>
      <c r="EO316" s="91">
        <f t="shared" si="1727"/>
        <v>0</v>
      </c>
      <c r="EP316" s="91">
        <f t="shared" si="1728"/>
        <v>0</v>
      </c>
      <c r="FE316" s="91">
        <f t="shared" si="1729"/>
        <v>0</v>
      </c>
      <c r="FF316" s="91">
        <f t="shared" si="1730"/>
        <v>0</v>
      </c>
      <c r="FU316" s="91">
        <f t="shared" si="1731"/>
        <v>0</v>
      </c>
      <c r="FV316" s="91">
        <f t="shared" si="1732"/>
        <v>0</v>
      </c>
      <c r="GK316" s="91">
        <f t="shared" si="1733"/>
        <v>0</v>
      </c>
      <c r="GL316" s="91">
        <f t="shared" si="1734"/>
        <v>0</v>
      </c>
      <c r="HA316" s="91">
        <f t="shared" si="1735"/>
        <v>0</v>
      </c>
      <c r="HB316" s="91">
        <f t="shared" si="1736"/>
        <v>0</v>
      </c>
      <c r="HQ316" s="91">
        <f t="shared" si="1737"/>
        <v>0</v>
      </c>
      <c r="HR316" s="91">
        <f t="shared" si="1738"/>
        <v>0</v>
      </c>
      <c r="IG316" s="91">
        <f t="shared" si="1739"/>
        <v>0</v>
      </c>
      <c r="IH316" s="91">
        <f t="shared" si="1740"/>
        <v>0</v>
      </c>
      <c r="IW316" s="91">
        <f t="shared" si="1741"/>
        <v>0</v>
      </c>
      <c r="IX316" s="91">
        <f t="shared" si="1742"/>
        <v>0</v>
      </c>
      <c r="JM316" s="91">
        <f t="shared" si="1743"/>
        <v>0</v>
      </c>
      <c r="JN316" s="91">
        <f t="shared" si="1744"/>
        <v>0</v>
      </c>
      <c r="KC316" s="91">
        <f t="shared" si="1745"/>
        <v>0</v>
      </c>
      <c r="KD316" s="91">
        <f t="shared" si="1746"/>
        <v>0</v>
      </c>
      <c r="KS316" s="91">
        <f t="shared" si="1747"/>
        <v>0</v>
      </c>
      <c r="KT316" s="91">
        <f t="shared" si="1748"/>
        <v>0</v>
      </c>
      <c r="LI316" s="91">
        <f t="shared" si="1749"/>
        <v>0</v>
      </c>
      <c r="LJ316" s="91">
        <f t="shared" si="1750"/>
        <v>0</v>
      </c>
      <c r="LY316" s="91">
        <f t="shared" si="1751"/>
        <v>0</v>
      </c>
      <c r="LZ316" s="91">
        <f t="shared" si="1752"/>
        <v>0</v>
      </c>
      <c r="MO316" s="91">
        <f t="shared" si="1753"/>
        <v>0</v>
      </c>
      <c r="MP316" s="91">
        <f t="shared" si="1754"/>
        <v>0</v>
      </c>
      <c r="NE316" s="91">
        <f t="shared" si="1755"/>
        <v>0</v>
      </c>
      <c r="NF316" s="91">
        <f t="shared" si="1756"/>
        <v>0</v>
      </c>
      <c r="NU316" s="91">
        <f t="shared" si="1757"/>
        <v>0</v>
      </c>
      <c r="NV316" s="91">
        <f t="shared" si="1758"/>
        <v>0</v>
      </c>
      <c r="OK316" s="91">
        <f t="shared" si="1759"/>
        <v>0</v>
      </c>
      <c r="OL316" s="91">
        <f t="shared" si="1760"/>
        <v>0</v>
      </c>
      <c r="PA316" s="91">
        <f t="shared" si="1761"/>
        <v>0</v>
      </c>
      <c r="PB316" s="91">
        <f t="shared" si="1762"/>
        <v>0</v>
      </c>
      <c r="PQ316" s="91">
        <f t="shared" si="1763"/>
        <v>0</v>
      </c>
      <c r="PR316" s="91">
        <f t="shared" si="1764"/>
        <v>0</v>
      </c>
      <c r="QG316" s="91">
        <f t="shared" si="1765"/>
        <v>0</v>
      </c>
      <c r="QH316" s="91">
        <f t="shared" si="1766"/>
        <v>0</v>
      </c>
      <c r="QW316" s="91">
        <f t="shared" si="1767"/>
        <v>0</v>
      </c>
      <c r="QX316" s="91">
        <f t="shared" si="1768"/>
        <v>0</v>
      </c>
      <c r="RM316" s="91">
        <f t="shared" si="1769"/>
        <v>0</v>
      </c>
      <c r="RN316" s="91">
        <f t="shared" si="1770"/>
        <v>0</v>
      </c>
      <c r="SC316" s="91">
        <f t="shared" si="1771"/>
        <v>0</v>
      </c>
      <c r="SD316" s="91">
        <f t="shared" si="1772"/>
        <v>0</v>
      </c>
      <c r="SS316" s="91">
        <f t="shared" si="1773"/>
        <v>0</v>
      </c>
      <c r="ST316" s="91">
        <f t="shared" si="1774"/>
        <v>0</v>
      </c>
      <c r="TI316" s="91">
        <f t="shared" si="1775"/>
        <v>0</v>
      </c>
      <c r="TJ316" s="91">
        <f t="shared" si="1776"/>
        <v>0</v>
      </c>
      <c r="TY316" s="91">
        <f t="shared" si="1777"/>
        <v>0</v>
      </c>
      <c r="TZ316" s="91">
        <f t="shared" si="1778"/>
        <v>0</v>
      </c>
      <c r="UO316" s="91">
        <f t="shared" si="1779"/>
        <v>0</v>
      </c>
      <c r="UP316" s="91">
        <f t="shared" si="1822"/>
        <v>0</v>
      </c>
      <c r="VE316" s="91">
        <f t="shared" si="1781"/>
        <v>0</v>
      </c>
      <c r="VF316" s="91">
        <f t="shared" si="1782"/>
        <v>0</v>
      </c>
      <c r="VU316" s="91">
        <f t="shared" si="1783"/>
        <v>0</v>
      </c>
      <c r="VV316" s="91">
        <f t="shared" si="1784"/>
        <v>0</v>
      </c>
      <c r="WK316" s="91">
        <f t="shared" si="1785"/>
        <v>0</v>
      </c>
      <c r="WL316" s="91">
        <f t="shared" si="1786"/>
        <v>0</v>
      </c>
      <c r="WM316" s="89"/>
      <c r="WN316" s="87">
        <f t="shared" si="1810"/>
        <v>0</v>
      </c>
      <c r="WO316" s="87">
        <f t="shared" si="1811"/>
        <v>0</v>
      </c>
      <c r="WP316" s="87">
        <f t="shared" si="1812"/>
        <v>0</v>
      </c>
      <c r="WQ316" s="87">
        <f t="shared" si="1813"/>
        <v>0</v>
      </c>
      <c r="WR316" s="87">
        <f t="shared" si="1814"/>
        <v>0</v>
      </c>
      <c r="WS316" s="87">
        <f t="shared" si="1815"/>
        <v>0</v>
      </c>
      <c r="WT316" s="87">
        <f t="shared" si="1816"/>
        <v>0</v>
      </c>
      <c r="WU316" s="87">
        <f t="shared" si="1817"/>
        <v>0</v>
      </c>
      <c r="WV316" s="87">
        <f t="shared" si="1818"/>
        <v>0</v>
      </c>
      <c r="WW316" s="87">
        <f t="shared" si="1819"/>
        <v>0</v>
      </c>
      <c r="WX316" s="87">
        <f t="shared" si="1820"/>
        <v>0</v>
      </c>
      <c r="WY316" s="87">
        <f t="shared" si="1821"/>
        <v>0</v>
      </c>
      <c r="WZ316" s="87">
        <f t="shared" si="1805"/>
        <v>0</v>
      </c>
      <c r="XA316" s="87">
        <f t="shared" si="1806"/>
        <v>0</v>
      </c>
      <c r="XB316" s="92">
        <f t="shared" si="1807"/>
        <v>0</v>
      </c>
      <c r="XC316" s="92">
        <f t="shared" si="1808"/>
        <v>0</v>
      </c>
      <c r="XD316" s="89"/>
      <c r="XE316" s="92"/>
      <c r="XF316" s="92"/>
      <c r="XG316" s="89"/>
      <c r="XH316" s="92"/>
      <c r="XI316" s="92"/>
      <c r="XJ316" s="89"/>
      <c r="XK316" s="87"/>
      <c r="XL316" s="87"/>
      <c r="XM316" s="87"/>
      <c r="XN316" s="87"/>
      <c r="XO316" s="87"/>
      <c r="XP316" s="87"/>
      <c r="XQ316" s="87"/>
      <c r="XR316" s="92">
        <f t="shared" ca="1" si="1803"/>
        <v>0</v>
      </c>
      <c r="XS316" s="89"/>
      <c r="XT316" s="87"/>
      <c r="XU316" s="87"/>
      <c r="XV316" s="87"/>
      <c r="XW316" s="87"/>
      <c r="XX316" s="87"/>
      <c r="XY316" s="87"/>
      <c r="XZ316" s="87"/>
      <c r="YA316" s="92">
        <f t="shared" ca="1" si="1804"/>
        <v>0</v>
      </c>
      <c r="YB316" s="90"/>
      <c r="YC316" s="90"/>
      <c r="YD316" s="90"/>
      <c r="YE316" s="90"/>
      <c r="YF316" s="90"/>
      <c r="YG316" s="90"/>
      <c r="YH316" s="90"/>
      <c r="YI316" s="90"/>
      <c r="YJ316" s="90"/>
      <c r="YK316" s="90"/>
      <c r="YL316" s="90"/>
      <c r="YM316" s="90"/>
      <c r="YN316" s="90"/>
      <c r="YO316" s="90"/>
      <c r="YP316" s="90"/>
      <c r="YQ316" s="90"/>
      <c r="YR316" s="90"/>
      <c r="YS316" s="90"/>
      <c r="YT316" s="90"/>
      <c r="YU316" s="90"/>
      <c r="YV316" s="90"/>
      <c r="YW316" s="90"/>
      <c r="YX316" s="90"/>
      <c r="YY316" s="90"/>
      <c r="YZ316" s="90"/>
      <c r="ZA316" s="90"/>
      <c r="ZB316" s="90"/>
      <c r="ZC316" s="90"/>
      <c r="ZD316" s="90"/>
      <c r="ZE316" s="90"/>
      <c r="ZF316" s="90"/>
      <c r="ZG316" s="90"/>
      <c r="ZH316" s="90"/>
      <c r="ZI316" s="90"/>
      <c r="ZJ316" s="90"/>
      <c r="ZK316" s="90"/>
      <c r="ZL316" s="90"/>
      <c r="ZM316" s="90"/>
      <c r="ZN316" s="90"/>
      <c r="ZO316" s="90"/>
      <c r="ZP316" s="90"/>
      <c r="ZQ316" s="90"/>
      <c r="ZR316" s="90"/>
      <c r="ZS316" s="90"/>
      <c r="ZT316" s="90"/>
      <c r="ZU316" s="90"/>
      <c r="ZV316" s="90"/>
      <c r="ZW316" s="90"/>
      <c r="ZX316" s="90"/>
      <c r="ZY316" s="90"/>
      <c r="ZZ316" s="90"/>
      <c r="AAA316" s="90"/>
      <c r="AAB316" s="90"/>
      <c r="AAC316" s="90"/>
      <c r="AAD316" s="90"/>
      <c r="AAE316" s="90"/>
      <c r="AAF316" s="90"/>
      <c r="AAG316" s="90"/>
      <c r="AAH316" s="90"/>
      <c r="AAI316" s="90"/>
      <c r="AAJ316" s="90"/>
      <c r="AAK316" s="90"/>
      <c r="AAL316" s="90"/>
      <c r="AAM316" s="90"/>
      <c r="AAN316" s="90"/>
      <c r="AAO316" s="90"/>
      <c r="AAP316" s="90"/>
      <c r="AAQ316" s="90"/>
      <c r="AAR316" s="90"/>
      <c r="AAS316" s="90"/>
      <c r="AAT316" s="90"/>
      <c r="AAU316" s="90"/>
      <c r="AAV316" s="90"/>
      <c r="AAW316" s="90"/>
      <c r="AAX316" s="90"/>
      <c r="AAY316" s="90"/>
      <c r="AAZ316" s="90"/>
      <c r="ABA316" s="90"/>
      <c r="ABB316" s="90"/>
      <c r="ABC316" s="90"/>
      <c r="ABD316" s="90"/>
      <c r="ABE316" s="90"/>
      <c r="ABF316" s="90"/>
      <c r="ABG316" s="90"/>
      <c r="ABH316" s="90"/>
      <c r="ABI316" s="90"/>
      <c r="ABJ316" s="90"/>
      <c r="ABK316" s="90"/>
      <c r="ABL316" s="90"/>
      <c r="ABM316" s="90"/>
      <c r="ABN316" s="90"/>
      <c r="ABO316" s="90"/>
      <c r="ABP316" s="90"/>
      <c r="ABQ316" s="90"/>
      <c r="ABR316" s="90"/>
      <c r="ABS316" s="90"/>
      <c r="ABT316" s="90"/>
      <c r="ABU316" s="90"/>
      <c r="ABV316" s="90"/>
      <c r="ABW316" s="90"/>
      <c r="ABX316" s="90"/>
      <c r="ABY316" s="90"/>
      <c r="ABZ316" s="90"/>
      <c r="ACA316" s="90"/>
      <c r="ACB316" s="90"/>
      <c r="ACC316" s="90"/>
      <c r="ACD316" s="90"/>
      <c r="ACE316" s="90"/>
      <c r="ACF316" s="90"/>
      <c r="ACG316" s="90"/>
      <c r="ACH316" s="90"/>
      <c r="ACI316" s="90"/>
      <c r="ACJ316" s="90"/>
      <c r="ACK316" s="90"/>
      <c r="ACL316" s="90"/>
      <c r="ACM316" s="90"/>
      <c r="ACN316" s="90"/>
      <c r="ACO316" s="90"/>
      <c r="ACP316" s="90"/>
      <c r="ACQ316" s="90"/>
      <c r="ACR316" s="90"/>
      <c r="ACS316" s="90"/>
      <c r="ACT316" s="90"/>
      <c r="ACU316" s="90"/>
      <c r="ACV316" s="90"/>
      <c r="ACW316" s="90"/>
      <c r="ACX316" s="90"/>
      <c r="ACY316" s="90"/>
      <c r="ACZ316" s="90"/>
      <c r="ADA316" s="90"/>
      <c r="ADB316" s="90"/>
      <c r="ADC316" s="90"/>
      <c r="ADD316" s="90"/>
      <c r="ADE316" s="90"/>
      <c r="ADF316" s="90"/>
      <c r="ADG316" s="90"/>
      <c r="ADH316" s="90"/>
      <c r="ADI316" s="90"/>
      <c r="ADJ316" s="90"/>
      <c r="ADK316" s="90"/>
      <c r="ADL316" s="90"/>
      <c r="ADM316" s="90"/>
      <c r="ADN316" s="90"/>
      <c r="ADO316" s="90"/>
      <c r="ADP316" s="90"/>
      <c r="ADQ316" s="90"/>
      <c r="ADR316" s="90"/>
      <c r="ADS316" s="90"/>
      <c r="ADT316" s="90"/>
      <c r="ADU316" s="90"/>
      <c r="ADV316" s="90"/>
      <c r="ADW316" s="90"/>
      <c r="ADX316" s="90"/>
      <c r="ADY316" s="90"/>
      <c r="ADZ316" s="90"/>
      <c r="AEA316" s="90"/>
      <c r="AEB316" s="90"/>
      <c r="AEC316" s="90"/>
      <c r="AED316" s="90"/>
      <c r="AEE316" s="90"/>
      <c r="AEF316" s="90"/>
      <c r="AEG316" s="90"/>
      <c r="AEH316" s="90"/>
      <c r="AEI316" s="90"/>
      <c r="AEJ316" s="90"/>
      <c r="AEK316" s="90"/>
      <c r="AEL316" s="90"/>
      <c r="AEM316" s="90"/>
      <c r="AEN316" s="90"/>
      <c r="AEO316" s="90"/>
      <c r="AEP316" s="90"/>
      <c r="AEQ316" s="90"/>
      <c r="AER316" s="90"/>
      <c r="AES316" s="90"/>
      <c r="AET316" s="90"/>
      <c r="AEU316" s="90"/>
      <c r="AEV316" s="90"/>
      <c r="AEW316" s="90"/>
      <c r="AEX316" s="90"/>
      <c r="AEY316" s="90"/>
      <c r="AEZ316" s="90"/>
      <c r="AFA316" s="90"/>
      <c r="AFB316" s="90"/>
      <c r="AFC316" s="90"/>
      <c r="AFD316" s="90"/>
      <c r="AFE316" s="90"/>
      <c r="AFF316" s="90"/>
      <c r="AFG316" s="90"/>
      <c r="AFH316" s="90"/>
      <c r="AFI316" s="90"/>
      <c r="AFJ316" s="90"/>
      <c r="AFK316" s="90"/>
      <c r="AFL316" s="90"/>
      <c r="AFM316" s="90"/>
      <c r="AFN316" s="90"/>
      <c r="AFO316" s="90"/>
      <c r="AFP316" s="90"/>
      <c r="AFQ316" s="90"/>
      <c r="AFR316" s="90"/>
      <c r="AFS316" s="90"/>
      <c r="AFT316" s="90"/>
      <c r="AFU316" s="90"/>
      <c r="AFV316" s="90"/>
      <c r="AFW316" s="90"/>
      <c r="AFX316" s="90"/>
      <c r="AFY316" s="90"/>
      <c r="AFZ316" s="90"/>
      <c r="AGA316" s="90"/>
      <c r="AGB316" s="90"/>
      <c r="AGC316" s="90"/>
      <c r="AGD316" s="90"/>
      <c r="AGE316" s="90"/>
      <c r="AGF316" s="90"/>
      <c r="AGG316" s="90"/>
      <c r="AGH316" s="90"/>
      <c r="AGI316" s="90"/>
      <c r="AGJ316" s="90"/>
      <c r="AGK316" s="90"/>
      <c r="AGL316" s="90"/>
      <c r="AGM316" s="90"/>
      <c r="AGN316" s="90"/>
      <c r="AGO316" s="90"/>
      <c r="AGP316" s="90"/>
      <c r="AGQ316" s="90"/>
      <c r="AGR316" s="90"/>
      <c r="AGS316" s="90"/>
      <c r="AGT316" s="90"/>
      <c r="AGU316" s="90"/>
      <c r="AGV316" s="90"/>
      <c r="AGW316" s="90"/>
      <c r="AGX316" s="90"/>
      <c r="AGY316" s="90"/>
      <c r="AGZ316" s="90"/>
      <c r="AHA316" s="90"/>
      <c r="AHB316" s="90"/>
      <c r="AHC316" s="90"/>
      <c r="AHD316" s="90"/>
      <c r="AHE316" s="90"/>
      <c r="AHF316" s="90"/>
      <c r="AHG316" s="90"/>
      <c r="AHH316" s="90"/>
      <c r="AHI316" s="90"/>
      <c r="AHJ316" s="90"/>
      <c r="AHK316" s="90"/>
      <c r="AHL316" s="90"/>
      <c r="AHM316" s="90"/>
      <c r="AHN316" s="90"/>
      <c r="AHO316" s="90"/>
      <c r="AHP316" s="90"/>
      <c r="AHQ316" s="90"/>
      <c r="AHR316" s="90"/>
      <c r="AHS316" s="90"/>
      <c r="AHT316" s="90"/>
      <c r="AHU316" s="90"/>
      <c r="AHV316" s="90"/>
      <c r="AHW316" s="90"/>
      <c r="AHX316" s="90"/>
      <c r="AHY316" s="90"/>
      <c r="AHZ316" s="90"/>
      <c r="AIA316" s="90"/>
      <c r="AIB316" s="90"/>
      <c r="AIC316" s="90"/>
      <c r="AID316" s="90"/>
      <c r="AIE316" s="90"/>
      <c r="AIF316" s="90"/>
      <c r="AIG316" s="90"/>
      <c r="AIH316" s="90"/>
      <c r="AII316" s="90"/>
      <c r="AIJ316" s="90"/>
      <c r="AIK316" s="90"/>
      <c r="AIL316" s="90"/>
      <c r="AIM316" s="90"/>
      <c r="AIN316" s="90"/>
      <c r="AIO316" s="90"/>
      <c r="AIP316" s="90"/>
      <c r="AIQ316" s="90"/>
      <c r="AIR316" s="90"/>
      <c r="AIS316" s="90"/>
      <c r="AIT316" s="90"/>
      <c r="AIU316" s="90"/>
      <c r="AIV316" s="90"/>
      <c r="AIW316" s="90"/>
      <c r="AIX316" s="90"/>
      <c r="AIY316" s="90"/>
      <c r="AIZ316" s="90"/>
      <c r="AJA316" s="90"/>
      <c r="AJB316" s="90"/>
      <c r="AJC316" s="90"/>
      <c r="AJD316" s="90"/>
      <c r="AJE316" s="90"/>
      <c r="AJF316" s="90"/>
      <c r="AJG316" s="90"/>
      <c r="AJH316" s="90"/>
      <c r="AJI316" s="90"/>
      <c r="AJJ316" s="90"/>
      <c r="AJK316" s="90"/>
      <c r="AJL316" s="90"/>
      <c r="AJM316" s="90"/>
      <c r="AJN316" s="90"/>
      <c r="AJO316" s="90"/>
      <c r="AJP316" s="90"/>
      <c r="AJQ316" s="90"/>
      <c r="AJR316" s="90"/>
      <c r="AJS316" s="90"/>
      <c r="AJT316" s="90"/>
      <c r="AJU316" s="90"/>
      <c r="AJV316" s="90"/>
      <c r="AJW316" s="90"/>
      <c r="AJX316" s="90"/>
      <c r="AJY316" s="90"/>
      <c r="AJZ316" s="90"/>
      <c r="AKA316" s="90"/>
      <c r="AKB316" s="90"/>
      <c r="AKC316" s="90"/>
      <c r="AKD316" s="90"/>
      <c r="AKE316" s="90"/>
      <c r="AKF316" s="90"/>
      <c r="AKG316" s="90"/>
      <c r="AKH316" s="90"/>
      <c r="AKI316" s="90"/>
      <c r="AKJ316" s="90"/>
      <c r="AKK316" s="90"/>
      <c r="AKL316" s="90"/>
      <c r="AKM316" s="90"/>
      <c r="AKN316" s="90"/>
      <c r="AKO316" s="90"/>
      <c r="AKP316" s="90"/>
      <c r="AKQ316" s="90"/>
      <c r="AKR316" s="90"/>
      <c r="AKS316" s="90"/>
      <c r="AKT316" s="90"/>
      <c r="AKU316" s="90"/>
      <c r="AKV316" s="90"/>
      <c r="AKW316" s="90"/>
      <c r="AKX316" s="90"/>
      <c r="AKY316" s="90"/>
      <c r="AKZ316" s="90"/>
      <c r="ALA316" s="90"/>
      <c r="ALB316" s="90"/>
      <c r="ALC316" s="90"/>
      <c r="ALD316" s="90"/>
      <c r="ALE316" s="90"/>
      <c r="ALF316" s="90"/>
      <c r="ALG316" s="90"/>
      <c r="ALH316" s="90"/>
      <c r="ALI316" s="90"/>
      <c r="ALJ316" s="90"/>
      <c r="ALK316" s="90"/>
      <c r="ALL316" s="90"/>
      <c r="ALM316" s="90"/>
      <c r="ALN316" s="90"/>
      <c r="ALO316" s="90"/>
      <c r="ALP316" s="90"/>
      <c r="ALQ316" s="90"/>
      <c r="ALR316" s="90"/>
      <c r="ALS316" s="90"/>
      <c r="ALT316" s="90"/>
      <c r="ALU316" s="90"/>
      <c r="ALV316" s="90"/>
      <c r="ALW316" s="90"/>
      <c r="ALX316" s="90"/>
      <c r="ALY316" s="90"/>
      <c r="ALZ316" s="90"/>
      <c r="AMA316" s="90"/>
      <c r="AMB316" s="90"/>
      <c r="AMC316" s="90"/>
    </row>
    <row r="317" spans="1:1017" s="100" customFormat="1">
      <c r="A317" s="100">
        <v>9</v>
      </c>
      <c r="B317" s="100" t="s">
        <v>62</v>
      </c>
      <c r="C317" s="100">
        <f t="shared" ref="C317:R317" si="1823">SUM(C318:C354)</f>
        <v>0</v>
      </c>
      <c r="D317" s="100">
        <f t="shared" si="1823"/>
        <v>0</v>
      </c>
      <c r="E317" s="100">
        <f t="shared" si="1823"/>
        <v>515900</v>
      </c>
      <c r="F317" s="100">
        <f t="shared" si="1823"/>
        <v>18494340</v>
      </c>
      <c r="G317" s="100">
        <f t="shared" si="1823"/>
        <v>0</v>
      </c>
      <c r="H317" s="100">
        <f t="shared" si="1823"/>
        <v>0</v>
      </c>
      <c r="I317" s="100">
        <f t="shared" si="1823"/>
        <v>33850</v>
      </c>
      <c r="J317" s="100">
        <f t="shared" si="1823"/>
        <v>760350</v>
      </c>
      <c r="K317" s="100">
        <f t="shared" si="1823"/>
        <v>0</v>
      </c>
      <c r="L317" s="100">
        <f t="shared" si="1823"/>
        <v>0</v>
      </c>
      <c r="M317" s="100">
        <f t="shared" si="1823"/>
        <v>200</v>
      </c>
      <c r="N317" s="100">
        <f t="shared" si="1823"/>
        <v>4000</v>
      </c>
      <c r="O317" s="100">
        <f t="shared" si="1823"/>
        <v>0</v>
      </c>
      <c r="P317" s="100">
        <f t="shared" si="1823"/>
        <v>0</v>
      </c>
      <c r="Q317" s="728">
        <f t="shared" si="1823"/>
        <v>549950</v>
      </c>
      <c r="R317" s="728">
        <f t="shared" si="1823"/>
        <v>19258690</v>
      </c>
      <c r="S317" s="100">
        <f t="shared" ref="S317:CD317" si="1824">SUM(S318:S354)</f>
        <v>2205</v>
      </c>
      <c r="T317" s="100">
        <f t="shared" si="1824"/>
        <v>237525</v>
      </c>
      <c r="U317" s="100">
        <f t="shared" si="1824"/>
        <v>1691140</v>
      </c>
      <c r="V317" s="100">
        <f t="shared" si="1824"/>
        <v>92660225</v>
      </c>
      <c r="W317" s="100">
        <f t="shared" si="1824"/>
        <v>0</v>
      </c>
      <c r="X317" s="100">
        <f t="shared" si="1824"/>
        <v>0</v>
      </c>
      <c r="Y317" s="100">
        <f t="shared" si="1824"/>
        <v>892994</v>
      </c>
      <c r="Z317" s="100">
        <f t="shared" si="1824"/>
        <v>18193110</v>
      </c>
      <c r="AA317" s="100">
        <f t="shared" si="1824"/>
        <v>5780</v>
      </c>
      <c r="AB317" s="100">
        <f t="shared" si="1824"/>
        <v>157375</v>
      </c>
      <c r="AC317" s="100">
        <f t="shared" si="1824"/>
        <v>4025</v>
      </c>
      <c r="AD317" s="100">
        <f t="shared" si="1824"/>
        <v>109900</v>
      </c>
      <c r="AE317" s="100">
        <f t="shared" si="1824"/>
        <v>1505</v>
      </c>
      <c r="AF317" s="100">
        <f t="shared" si="1824"/>
        <v>31750</v>
      </c>
      <c r="AG317" s="728">
        <f t="shared" si="1824"/>
        <v>2597649</v>
      </c>
      <c r="AH317" s="728">
        <f t="shared" si="1824"/>
        <v>111389885</v>
      </c>
      <c r="AI317" s="100">
        <f t="shared" si="1824"/>
        <v>0</v>
      </c>
      <c r="AJ317" s="100">
        <f t="shared" si="1824"/>
        <v>0</v>
      </c>
      <c r="AK317" s="100">
        <f t="shared" si="1824"/>
        <v>37700</v>
      </c>
      <c r="AL317" s="100">
        <f t="shared" si="1824"/>
        <v>2450500</v>
      </c>
      <c r="AM317" s="100">
        <f t="shared" si="1824"/>
        <v>0</v>
      </c>
      <c r="AN317" s="100">
        <f t="shared" si="1824"/>
        <v>0</v>
      </c>
      <c r="AO317" s="100">
        <f t="shared" si="1824"/>
        <v>1270500</v>
      </c>
      <c r="AP317" s="100">
        <f t="shared" si="1824"/>
        <v>29154800</v>
      </c>
      <c r="AQ317" s="100">
        <f t="shared" si="1824"/>
        <v>150</v>
      </c>
      <c r="AR317" s="100">
        <f t="shared" si="1824"/>
        <v>3600</v>
      </c>
      <c r="AS317" s="100">
        <f t="shared" si="1824"/>
        <v>0</v>
      </c>
      <c r="AT317" s="100">
        <f t="shared" si="1824"/>
        <v>0</v>
      </c>
      <c r="AU317" s="100">
        <f t="shared" si="1824"/>
        <v>2150</v>
      </c>
      <c r="AV317" s="100">
        <f t="shared" si="1824"/>
        <v>51600</v>
      </c>
      <c r="AW317" s="728">
        <f t="shared" si="1824"/>
        <v>1310500</v>
      </c>
      <c r="AX317" s="728">
        <f t="shared" si="1824"/>
        <v>31660500</v>
      </c>
      <c r="AY317" s="100">
        <f t="shared" si="1824"/>
        <v>0</v>
      </c>
      <c r="AZ317" s="100">
        <f t="shared" si="1824"/>
        <v>0</v>
      </c>
      <c r="BA317" s="100">
        <f t="shared" si="1824"/>
        <v>0</v>
      </c>
      <c r="BB317" s="100">
        <f t="shared" si="1824"/>
        <v>0</v>
      </c>
      <c r="BC317" s="100">
        <f t="shared" si="1824"/>
        <v>0</v>
      </c>
      <c r="BD317" s="100">
        <f t="shared" si="1824"/>
        <v>0</v>
      </c>
      <c r="BE317" s="100">
        <f t="shared" si="1824"/>
        <v>384462</v>
      </c>
      <c r="BF317" s="100">
        <f t="shared" si="1824"/>
        <v>7658808.5</v>
      </c>
      <c r="BG317" s="100">
        <f t="shared" si="1824"/>
        <v>568</v>
      </c>
      <c r="BH317" s="100">
        <f t="shared" si="1824"/>
        <v>14200</v>
      </c>
      <c r="BI317" s="100">
        <f t="shared" si="1824"/>
        <v>0</v>
      </c>
      <c r="BJ317" s="100">
        <f t="shared" si="1824"/>
        <v>0</v>
      </c>
      <c r="BK317" s="100">
        <f t="shared" si="1824"/>
        <v>1555</v>
      </c>
      <c r="BL317" s="100">
        <f t="shared" si="1824"/>
        <v>25495</v>
      </c>
      <c r="BM317" s="728">
        <f t="shared" si="1824"/>
        <v>386585</v>
      </c>
      <c r="BN317" s="728">
        <f t="shared" si="1824"/>
        <v>7698503.5</v>
      </c>
      <c r="BO317" s="100">
        <f t="shared" si="1824"/>
        <v>0</v>
      </c>
      <c r="BP317" s="100">
        <f t="shared" si="1824"/>
        <v>0</v>
      </c>
      <c r="BQ317" s="100">
        <f t="shared" si="1824"/>
        <v>0</v>
      </c>
      <c r="BR317" s="100">
        <f t="shared" si="1824"/>
        <v>0</v>
      </c>
      <c r="BS317" s="100">
        <f t="shared" si="1824"/>
        <v>0</v>
      </c>
      <c r="BT317" s="100">
        <f t="shared" si="1824"/>
        <v>0</v>
      </c>
      <c r="BU317" s="100">
        <f t="shared" si="1824"/>
        <v>66202</v>
      </c>
      <c r="BV317" s="100">
        <f t="shared" si="1824"/>
        <v>1421964</v>
      </c>
      <c r="BW317" s="100">
        <f t="shared" si="1824"/>
        <v>0</v>
      </c>
      <c r="BX317" s="100">
        <f t="shared" si="1824"/>
        <v>0</v>
      </c>
      <c r="BY317" s="100">
        <f t="shared" si="1824"/>
        <v>0</v>
      </c>
      <c r="BZ317" s="100">
        <f t="shared" si="1824"/>
        <v>0</v>
      </c>
      <c r="CA317" s="100">
        <f t="shared" si="1824"/>
        <v>0</v>
      </c>
      <c r="CB317" s="100">
        <f t="shared" si="1824"/>
        <v>0</v>
      </c>
      <c r="CC317" s="728">
        <f t="shared" si="1824"/>
        <v>66202</v>
      </c>
      <c r="CD317" s="728">
        <f t="shared" si="1824"/>
        <v>1421964</v>
      </c>
      <c r="CE317" s="100">
        <f t="shared" ref="CE317:EP317" si="1825">SUM(CE318:CE354)</f>
        <v>1910940</v>
      </c>
      <c r="CF317" s="100">
        <f t="shared" si="1825"/>
        <v>7643760</v>
      </c>
      <c r="CG317" s="100">
        <f t="shared" si="1825"/>
        <v>7149253</v>
      </c>
      <c r="CH317" s="100">
        <f t="shared" si="1825"/>
        <v>206553527</v>
      </c>
      <c r="CI317" s="100">
        <f t="shared" si="1825"/>
        <v>0</v>
      </c>
      <c r="CJ317" s="100">
        <f t="shared" si="1825"/>
        <v>0</v>
      </c>
      <c r="CK317" s="100">
        <f t="shared" si="1825"/>
        <v>5282728</v>
      </c>
      <c r="CL317" s="100">
        <f t="shared" si="1825"/>
        <v>83501775</v>
      </c>
      <c r="CM317" s="100">
        <f t="shared" si="1825"/>
        <v>0</v>
      </c>
      <c r="CN317" s="100">
        <f t="shared" si="1825"/>
        <v>0</v>
      </c>
      <c r="CO317" s="100">
        <f t="shared" si="1825"/>
        <v>0</v>
      </c>
      <c r="CP317" s="100">
        <f t="shared" si="1825"/>
        <v>0</v>
      </c>
      <c r="CQ317" s="100">
        <f t="shared" si="1825"/>
        <v>0</v>
      </c>
      <c r="CR317" s="100">
        <f t="shared" si="1825"/>
        <v>0</v>
      </c>
      <c r="CS317" s="728">
        <f t="shared" si="1825"/>
        <v>14342921</v>
      </c>
      <c r="CT317" s="728">
        <f t="shared" si="1825"/>
        <v>297699062</v>
      </c>
      <c r="CU317" s="100">
        <f t="shared" si="1825"/>
        <v>0</v>
      </c>
      <c r="CV317" s="100">
        <f t="shared" si="1825"/>
        <v>0</v>
      </c>
      <c r="CW317" s="100">
        <f t="shared" si="1825"/>
        <v>455424.9713845292</v>
      </c>
      <c r="CX317" s="100">
        <f t="shared" si="1825"/>
        <v>24877014.432</v>
      </c>
      <c r="CY317" s="100">
        <f t="shared" si="1825"/>
        <v>0</v>
      </c>
      <c r="CZ317" s="100">
        <f t="shared" si="1825"/>
        <v>0</v>
      </c>
      <c r="DA317" s="100">
        <f t="shared" si="1825"/>
        <v>1012095</v>
      </c>
      <c r="DB317" s="100">
        <f t="shared" si="1825"/>
        <v>22265845</v>
      </c>
      <c r="DC317" s="100">
        <f t="shared" si="1825"/>
        <v>1800</v>
      </c>
      <c r="DD317" s="100">
        <f t="shared" si="1825"/>
        <v>41400</v>
      </c>
      <c r="DE317" s="100">
        <f t="shared" si="1825"/>
        <v>0</v>
      </c>
      <c r="DF317" s="100">
        <f t="shared" si="1825"/>
        <v>0</v>
      </c>
      <c r="DG317" s="100">
        <f t="shared" si="1825"/>
        <v>0</v>
      </c>
      <c r="DH317" s="100">
        <f t="shared" si="1825"/>
        <v>0</v>
      </c>
      <c r="DI317" s="728">
        <f t="shared" si="1825"/>
        <v>1469319.9713845293</v>
      </c>
      <c r="DJ317" s="728">
        <f t="shared" si="1825"/>
        <v>47184259.431999996</v>
      </c>
      <c r="DK317" s="100">
        <f t="shared" si="1825"/>
        <v>0</v>
      </c>
      <c r="DL317" s="100">
        <f t="shared" si="1825"/>
        <v>0</v>
      </c>
      <c r="DM317" s="100">
        <f t="shared" si="1825"/>
        <v>0</v>
      </c>
      <c r="DN317" s="100">
        <f t="shared" si="1825"/>
        <v>0</v>
      </c>
      <c r="DO317" s="100">
        <f t="shared" si="1825"/>
        <v>0</v>
      </c>
      <c r="DP317" s="100">
        <f t="shared" si="1825"/>
        <v>0</v>
      </c>
      <c r="DQ317" s="100">
        <f t="shared" si="1825"/>
        <v>1208400</v>
      </c>
      <c r="DR317" s="100">
        <f t="shared" si="1825"/>
        <v>21758000</v>
      </c>
      <c r="DS317" s="100">
        <f t="shared" si="1825"/>
        <v>0</v>
      </c>
      <c r="DT317" s="100">
        <f t="shared" si="1825"/>
        <v>0</v>
      </c>
      <c r="DU317" s="100">
        <f t="shared" si="1825"/>
        <v>0</v>
      </c>
      <c r="DV317" s="100">
        <f t="shared" si="1825"/>
        <v>0</v>
      </c>
      <c r="DW317" s="100">
        <f t="shared" si="1825"/>
        <v>0</v>
      </c>
      <c r="DX317" s="100">
        <f t="shared" si="1825"/>
        <v>0</v>
      </c>
      <c r="DY317" s="728">
        <f t="shared" si="1825"/>
        <v>1208400</v>
      </c>
      <c r="DZ317" s="728">
        <f t="shared" si="1825"/>
        <v>21758000</v>
      </c>
      <c r="EA317" s="100">
        <f t="shared" si="1825"/>
        <v>0</v>
      </c>
      <c r="EB317" s="100">
        <f t="shared" si="1825"/>
        <v>0</v>
      </c>
      <c r="EC317" s="100">
        <f t="shared" si="1825"/>
        <v>0</v>
      </c>
      <c r="ED317" s="100">
        <f t="shared" si="1825"/>
        <v>0</v>
      </c>
      <c r="EE317" s="100">
        <f t="shared" si="1825"/>
        <v>0</v>
      </c>
      <c r="EF317" s="100">
        <f t="shared" si="1825"/>
        <v>0</v>
      </c>
      <c r="EG317" s="100">
        <f t="shared" si="1825"/>
        <v>2003415</v>
      </c>
      <c r="EH317" s="100">
        <f t="shared" si="1825"/>
        <v>37785225</v>
      </c>
      <c r="EI317" s="100">
        <f t="shared" si="1825"/>
        <v>0</v>
      </c>
      <c r="EJ317" s="100">
        <f t="shared" si="1825"/>
        <v>0</v>
      </c>
      <c r="EK317" s="100">
        <f t="shared" si="1825"/>
        <v>0</v>
      </c>
      <c r="EL317" s="100">
        <f t="shared" si="1825"/>
        <v>0</v>
      </c>
      <c r="EM317" s="100">
        <f t="shared" si="1825"/>
        <v>0</v>
      </c>
      <c r="EN317" s="100">
        <f t="shared" si="1825"/>
        <v>0</v>
      </c>
      <c r="EO317" s="728">
        <f t="shared" si="1825"/>
        <v>2003415</v>
      </c>
      <c r="EP317" s="728">
        <f t="shared" si="1825"/>
        <v>37785225</v>
      </c>
      <c r="EQ317" s="100">
        <f t="shared" ref="EQ317:HB317" si="1826">SUM(EQ318:EQ354)</f>
        <v>0</v>
      </c>
      <c r="ER317" s="100">
        <f t="shared" si="1826"/>
        <v>0</v>
      </c>
      <c r="ES317" s="100">
        <f t="shared" si="1826"/>
        <v>315373</v>
      </c>
      <c r="ET317" s="100">
        <f t="shared" si="1826"/>
        <v>17562087</v>
      </c>
      <c r="EU317" s="100">
        <f t="shared" si="1826"/>
        <v>0</v>
      </c>
      <c r="EV317" s="100">
        <f t="shared" si="1826"/>
        <v>0</v>
      </c>
      <c r="EW317" s="100">
        <f t="shared" si="1826"/>
        <v>256143</v>
      </c>
      <c r="EX317" s="100">
        <f t="shared" si="1826"/>
        <v>6347854</v>
      </c>
      <c r="EY317" s="100">
        <f t="shared" si="1826"/>
        <v>0</v>
      </c>
      <c r="EZ317" s="100">
        <f t="shared" si="1826"/>
        <v>0</v>
      </c>
      <c r="FA317" s="100">
        <f t="shared" si="1826"/>
        <v>2221</v>
      </c>
      <c r="FB317" s="100">
        <f t="shared" si="1826"/>
        <v>44420</v>
      </c>
      <c r="FC317" s="100">
        <f t="shared" si="1826"/>
        <v>238</v>
      </c>
      <c r="FD317" s="100">
        <f t="shared" si="1826"/>
        <v>5236</v>
      </c>
      <c r="FE317" s="728">
        <f t="shared" si="1826"/>
        <v>573975</v>
      </c>
      <c r="FF317" s="728">
        <f t="shared" si="1826"/>
        <v>23959597</v>
      </c>
      <c r="FG317" s="100">
        <f t="shared" si="1826"/>
        <v>0</v>
      </c>
      <c r="FH317" s="100">
        <f t="shared" si="1826"/>
        <v>0</v>
      </c>
      <c r="FI317" s="100">
        <f t="shared" si="1826"/>
        <v>118000</v>
      </c>
      <c r="FJ317" s="100">
        <f t="shared" si="1826"/>
        <v>7080000</v>
      </c>
      <c r="FK317" s="100">
        <f t="shared" si="1826"/>
        <v>0</v>
      </c>
      <c r="FL317" s="100">
        <f t="shared" si="1826"/>
        <v>0</v>
      </c>
      <c r="FM317" s="100">
        <f t="shared" si="1826"/>
        <v>222808</v>
      </c>
      <c r="FN317" s="100">
        <f t="shared" si="1826"/>
        <v>5623691</v>
      </c>
      <c r="FO317" s="100">
        <f t="shared" si="1826"/>
        <v>0</v>
      </c>
      <c r="FP317" s="100">
        <f t="shared" si="1826"/>
        <v>0</v>
      </c>
      <c r="FQ317" s="100">
        <f t="shared" si="1826"/>
        <v>0</v>
      </c>
      <c r="FR317" s="100">
        <f t="shared" si="1826"/>
        <v>0</v>
      </c>
      <c r="FS317" s="100">
        <f t="shared" si="1826"/>
        <v>69800</v>
      </c>
      <c r="FT317" s="100">
        <f t="shared" si="1826"/>
        <v>1954400</v>
      </c>
      <c r="FU317" s="728">
        <f t="shared" si="1826"/>
        <v>410608</v>
      </c>
      <c r="FV317" s="728">
        <f t="shared" si="1826"/>
        <v>14658091</v>
      </c>
      <c r="FW317" s="100">
        <f t="shared" si="1826"/>
        <v>0</v>
      </c>
      <c r="FX317" s="100">
        <f t="shared" si="1826"/>
        <v>0</v>
      </c>
      <c r="FY317" s="100">
        <f t="shared" si="1826"/>
        <v>0</v>
      </c>
      <c r="FZ317" s="100">
        <f t="shared" si="1826"/>
        <v>0</v>
      </c>
      <c r="GA317" s="100">
        <f t="shared" si="1826"/>
        <v>0</v>
      </c>
      <c r="GB317" s="100">
        <f t="shared" si="1826"/>
        <v>0</v>
      </c>
      <c r="GC317" s="100">
        <f t="shared" si="1826"/>
        <v>297450</v>
      </c>
      <c r="GD317" s="100">
        <f t="shared" si="1826"/>
        <v>5957750</v>
      </c>
      <c r="GE317" s="100">
        <f t="shared" si="1826"/>
        <v>0</v>
      </c>
      <c r="GF317" s="100">
        <f t="shared" si="1826"/>
        <v>0</v>
      </c>
      <c r="GG317" s="100">
        <f t="shared" si="1826"/>
        <v>0</v>
      </c>
      <c r="GH317" s="100">
        <f t="shared" si="1826"/>
        <v>0</v>
      </c>
      <c r="GI317" s="100">
        <f t="shared" si="1826"/>
        <v>0</v>
      </c>
      <c r="GJ317" s="100">
        <f t="shared" si="1826"/>
        <v>0</v>
      </c>
      <c r="GK317" s="728">
        <f t="shared" si="1826"/>
        <v>297450</v>
      </c>
      <c r="GL317" s="728">
        <f t="shared" si="1826"/>
        <v>5957750</v>
      </c>
      <c r="GM317" s="100">
        <f t="shared" si="1826"/>
        <v>0</v>
      </c>
      <c r="GN317" s="100">
        <f t="shared" si="1826"/>
        <v>0</v>
      </c>
      <c r="GO317" s="100">
        <f t="shared" si="1826"/>
        <v>0</v>
      </c>
      <c r="GP317" s="100">
        <f t="shared" si="1826"/>
        <v>0</v>
      </c>
      <c r="GQ317" s="100">
        <f t="shared" si="1826"/>
        <v>0</v>
      </c>
      <c r="GR317" s="100">
        <f t="shared" si="1826"/>
        <v>0</v>
      </c>
      <c r="GS317" s="100">
        <f t="shared" si="1826"/>
        <v>139000</v>
      </c>
      <c r="GT317" s="100">
        <f t="shared" si="1826"/>
        <v>2665550</v>
      </c>
      <c r="GU317" s="100">
        <f t="shared" si="1826"/>
        <v>0</v>
      </c>
      <c r="GV317" s="100">
        <f t="shared" si="1826"/>
        <v>0</v>
      </c>
      <c r="GW317" s="100">
        <f t="shared" si="1826"/>
        <v>0</v>
      </c>
      <c r="GX317" s="100">
        <f t="shared" si="1826"/>
        <v>0</v>
      </c>
      <c r="GY317" s="100">
        <f t="shared" si="1826"/>
        <v>130</v>
      </c>
      <c r="GZ317" s="100">
        <f t="shared" si="1826"/>
        <v>3660</v>
      </c>
      <c r="HA317" s="728">
        <f t="shared" si="1826"/>
        <v>139130</v>
      </c>
      <c r="HB317" s="728">
        <f t="shared" si="1826"/>
        <v>2669210</v>
      </c>
      <c r="HC317" s="100">
        <f t="shared" ref="HC317:JN317" si="1827">SUM(HC318:HC354)</f>
        <v>0</v>
      </c>
      <c r="HD317" s="100">
        <f t="shared" si="1827"/>
        <v>0</v>
      </c>
      <c r="HE317" s="100">
        <f t="shared" si="1827"/>
        <v>105000</v>
      </c>
      <c r="HF317" s="100">
        <f t="shared" si="1827"/>
        <v>7350000</v>
      </c>
      <c r="HG317" s="100">
        <f t="shared" si="1827"/>
        <v>0</v>
      </c>
      <c r="HH317" s="100">
        <f t="shared" si="1827"/>
        <v>0</v>
      </c>
      <c r="HI317" s="100">
        <f t="shared" si="1827"/>
        <v>616500</v>
      </c>
      <c r="HJ317" s="100">
        <f t="shared" si="1827"/>
        <v>11287500</v>
      </c>
      <c r="HK317" s="100">
        <f t="shared" si="1827"/>
        <v>0</v>
      </c>
      <c r="HL317" s="100">
        <f t="shared" si="1827"/>
        <v>0</v>
      </c>
      <c r="HM317" s="100">
        <f t="shared" si="1827"/>
        <v>0</v>
      </c>
      <c r="HN317" s="100">
        <f t="shared" si="1827"/>
        <v>0</v>
      </c>
      <c r="HO317" s="100">
        <f t="shared" si="1827"/>
        <v>120000</v>
      </c>
      <c r="HP317" s="100">
        <f t="shared" si="1827"/>
        <v>2400000</v>
      </c>
      <c r="HQ317" s="728">
        <f t="shared" si="1827"/>
        <v>841500</v>
      </c>
      <c r="HR317" s="728">
        <f t="shared" si="1827"/>
        <v>21037500</v>
      </c>
      <c r="HS317" s="100">
        <f t="shared" si="1827"/>
        <v>0</v>
      </c>
      <c r="HT317" s="100">
        <f t="shared" si="1827"/>
        <v>0</v>
      </c>
      <c r="HU317" s="100">
        <f t="shared" si="1827"/>
        <v>0</v>
      </c>
      <c r="HV317" s="100">
        <f t="shared" si="1827"/>
        <v>0</v>
      </c>
      <c r="HW317" s="100">
        <f t="shared" si="1827"/>
        <v>0</v>
      </c>
      <c r="HX317" s="100">
        <f t="shared" si="1827"/>
        <v>0</v>
      </c>
      <c r="HY317" s="100">
        <f t="shared" si="1827"/>
        <v>149550</v>
      </c>
      <c r="HZ317" s="100">
        <f t="shared" si="1827"/>
        <v>2830900</v>
      </c>
      <c r="IA317" s="100">
        <f t="shared" si="1827"/>
        <v>0</v>
      </c>
      <c r="IB317" s="100">
        <f t="shared" si="1827"/>
        <v>0</v>
      </c>
      <c r="IC317" s="100">
        <f t="shared" si="1827"/>
        <v>0</v>
      </c>
      <c r="ID317" s="100">
        <f t="shared" si="1827"/>
        <v>0</v>
      </c>
      <c r="IE317" s="100">
        <f t="shared" si="1827"/>
        <v>0</v>
      </c>
      <c r="IF317" s="100">
        <f t="shared" si="1827"/>
        <v>0</v>
      </c>
      <c r="IG317" s="728">
        <f t="shared" si="1827"/>
        <v>149550</v>
      </c>
      <c r="IH317" s="728">
        <f t="shared" si="1827"/>
        <v>2830900</v>
      </c>
      <c r="II317" s="100">
        <f t="shared" si="1827"/>
        <v>0</v>
      </c>
      <c r="IJ317" s="100">
        <f t="shared" si="1827"/>
        <v>0</v>
      </c>
      <c r="IK317" s="100">
        <f t="shared" si="1827"/>
        <v>0</v>
      </c>
      <c r="IL317" s="100">
        <f t="shared" si="1827"/>
        <v>0</v>
      </c>
      <c r="IM317" s="100">
        <f t="shared" si="1827"/>
        <v>0</v>
      </c>
      <c r="IN317" s="100">
        <f t="shared" si="1827"/>
        <v>0</v>
      </c>
      <c r="IO317" s="96">
        <f t="shared" si="1827"/>
        <v>810000</v>
      </c>
      <c r="IP317" s="96">
        <f t="shared" si="1827"/>
        <v>15777394</v>
      </c>
      <c r="IQ317" s="100">
        <f t="shared" si="1827"/>
        <v>0</v>
      </c>
      <c r="IR317" s="100">
        <f t="shared" si="1827"/>
        <v>0</v>
      </c>
      <c r="IS317" s="100">
        <f t="shared" si="1827"/>
        <v>0</v>
      </c>
      <c r="IT317" s="100">
        <f t="shared" si="1827"/>
        <v>0</v>
      </c>
      <c r="IU317" s="100">
        <f t="shared" si="1827"/>
        <v>0</v>
      </c>
      <c r="IV317" s="100">
        <f t="shared" si="1827"/>
        <v>0</v>
      </c>
      <c r="IW317" s="728">
        <f t="shared" si="1827"/>
        <v>810000</v>
      </c>
      <c r="IX317" s="728">
        <f t="shared" si="1827"/>
        <v>15777394</v>
      </c>
      <c r="IY317" s="100">
        <f t="shared" si="1827"/>
        <v>0</v>
      </c>
      <c r="IZ317" s="100">
        <f t="shared" si="1827"/>
        <v>0</v>
      </c>
      <c r="JA317" s="100">
        <f t="shared" si="1827"/>
        <v>0</v>
      </c>
      <c r="JB317" s="100">
        <f t="shared" si="1827"/>
        <v>0</v>
      </c>
      <c r="JC317" s="100">
        <f t="shared" si="1827"/>
        <v>0</v>
      </c>
      <c r="JD317" s="100">
        <f t="shared" si="1827"/>
        <v>0</v>
      </c>
      <c r="JE317" s="100">
        <f t="shared" si="1827"/>
        <v>368330</v>
      </c>
      <c r="JF317" s="100">
        <f t="shared" si="1827"/>
        <v>6994685</v>
      </c>
      <c r="JG317" s="100">
        <f t="shared" si="1827"/>
        <v>0</v>
      </c>
      <c r="JH317" s="100">
        <f t="shared" si="1827"/>
        <v>0</v>
      </c>
      <c r="JI317" s="100">
        <f t="shared" si="1827"/>
        <v>0</v>
      </c>
      <c r="JJ317" s="100">
        <f t="shared" si="1827"/>
        <v>0</v>
      </c>
      <c r="JK317" s="100">
        <f t="shared" si="1827"/>
        <v>9090</v>
      </c>
      <c r="JL317" s="100">
        <f t="shared" si="1827"/>
        <v>166080</v>
      </c>
      <c r="JM317" s="728">
        <f t="shared" si="1827"/>
        <v>377420</v>
      </c>
      <c r="JN317" s="728">
        <f t="shared" si="1827"/>
        <v>7160765</v>
      </c>
      <c r="JO317" s="100">
        <f t="shared" ref="JO317:MA317" si="1828">SUM(JO318:JO354)</f>
        <v>0</v>
      </c>
      <c r="JP317" s="100">
        <f t="shared" si="1828"/>
        <v>0</v>
      </c>
      <c r="JQ317" s="100">
        <f t="shared" si="1828"/>
        <v>234950</v>
      </c>
      <c r="JR317" s="100">
        <f t="shared" si="1828"/>
        <v>18821000</v>
      </c>
      <c r="JS317" s="100">
        <f t="shared" si="1828"/>
        <v>0</v>
      </c>
      <c r="JT317" s="100">
        <f t="shared" si="1828"/>
        <v>0</v>
      </c>
      <c r="JU317" s="100">
        <f t="shared" si="1828"/>
        <v>83135</v>
      </c>
      <c r="JV317" s="100">
        <f t="shared" si="1828"/>
        <v>2142761</v>
      </c>
      <c r="JW317" s="100">
        <f t="shared" si="1828"/>
        <v>0</v>
      </c>
      <c r="JX317" s="100">
        <f t="shared" si="1828"/>
        <v>0</v>
      </c>
      <c r="JY317" s="100">
        <f t="shared" si="1828"/>
        <v>0</v>
      </c>
      <c r="JZ317" s="100">
        <f t="shared" si="1828"/>
        <v>0</v>
      </c>
      <c r="KA317" s="100">
        <f t="shared" si="1828"/>
        <v>0</v>
      </c>
      <c r="KB317" s="100">
        <f t="shared" si="1828"/>
        <v>0</v>
      </c>
      <c r="KC317" s="728">
        <f t="shared" si="1828"/>
        <v>318085</v>
      </c>
      <c r="KD317" s="728">
        <f t="shared" si="1828"/>
        <v>20963761</v>
      </c>
      <c r="KE317" s="100">
        <f t="shared" si="1828"/>
        <v>0</v>
      </c>
      <c r="KF317" s="100">
        <f t="shared" si="1828"/>
        <v>0</v>
      </c>
      <c r="KG317" s="100">
        <f t="shared" si="1828"/>
        <v>35678</v>
      </c>
      <c r="KH317" s="100">
        <f t="shared" si="1828"/>
        <v>1959040</v>
      </c>
      <c r="KI317" s="100">
        <f t="shared" si="1828"/>
        <v>0</v>
      </c>
      <c r="KJ317" s="100">
        <f t="shared" si="1828"/>
        <v>0</v>
      </c>
      <c r="KK317" s="100">
        <f t="shared" si="1828"/>
        <v>60761</v>
      </c>
      <c r="KL317" s="100">
        <f t="shared" si="1828"/>
        <v>1220985</v>
      </c>
      <c r="KM317" s="100">
        <f t="shared" si="1828"/>
        <v>0</v>
      </c>
      <c r="KN317" s="100">
        <f t="shared" si="1828"/>
        <v>0</v>
      </c>
      <c r="KO317" s="100">
        <f t="shared" si="1828"/>
        <v>0</v>
      </c>
      <c r="KP317" s="100">
        <f t="shared" si="1828"/>
        <v>0</v>
      </c>
      <c r="KQ317" s="100">
        <f t="shared" si="1828"/>
        <v>0</v>
      </c>
      <c r="KR317" s="100">
        <f t="shared" si="1828"/>
        <v>0</v>
      </c>
      <c r="KS317" s="728">
        <f t="shared" si="1828"/>
        <v>96439</v>
      </c>
      <c r="KT317" s="728">
        <f t="shared" si="1828"/>
        <v>3180025</v>
      </c>
      <c r="KU317" s="100">
        <f t="shared" si="1828"/>
        <v>0</v>
      </c>
      <c r="KV317" s="100">
        <f t="shared" si="1828"/>
        <v>0</v>
      </c>
      <c r="KW317" s="100">
        <f t="shared" si="1828"/>
        <v>923294.26</v>
      </c>
      <c r="KX317" s="100">
        <f t="shared" si="1828"/>
        <v>10278671</v>
      </c>
      <c r="KY317" s="100">
        <f t="shared" si="1828"/>
        <v>0</v>
      </c>
      <c r="KZ317" s="100">
        <f t="shared" si="1828"/>
        <v>0</v>
      </c>
      <c r="LA317" s="100">
        <f t="shared" si="1828"/>
        <v>1232903.69</v>
      </c>
      <c r="LB317" s="100">
        <f t="shared" si="1828"/>
        <v>22220543</v>
      </c>
      <c r="LC317" s="100">
        <f t="shared" si="1828"/>
        <v>0</v>
      </c>
      <c r="LD317" s="100">
        <f t="shared" si="1828"/>
        <v>0</v>
      </c>
      <c r="LE317" s="100">
        <f t="shared" si="1828"/>
        <v>0</v>
      </c>
      <c r="LF317" s="100">
        <f t="shared" si="1828"/>
        <v>0</v>
      </c>
      <c r="LG317" s="100">
        <f t="shared" si="1828"/>
        <v>12831.509999999998</v>
      </c>
      <c r="LH317" s="100">
        <f t="shared" si="1828"/>
        <v>298415</v>
      </c>
      <c r="LI317" s="728">
        <f t="shared" si="1828"/>
        <v>2169029.46</v>
      </c>
      <c r="LJ317" s="728">
        <f t="shared" si="1828"/>
        <v>32797629</v>
      </c>
      <c r="LK317" s="100">
        <f t="shared" si="1828"/>
        <v>0</v>
      </c>
      <c r="LL317" s="100">
        <f t="shared" si="1828"/>
        <v>0</v>
      </c>
      <c r="LM317" s="100">
        <f t="shared" si="1828"/>
        <v>0</v>
      </c>
      <c r="LN317" s="100">
        <f t="shared" si="1828"/>
        <v>0</v>
      </c>
      <c r="LO317" s="100">
        <f t="shared" si="1828"/>
        <v>0</v>
      </c>
      <c r="LP317" s="100">
        <f t="shared" si="1828"/>
        <v>0</v>
      </c>
      <c r="LQ317" s="100">
        <f t="shared" si="1828"/>
        <v>163213</v>
      </c>
      <c r="LR317" s="100">
        <f t="shared" si="1828"/>
        <v>3270793</v>
      </c>
      <c r="LS317" s="100">
        <f t="shared" si="1828"/>
        <v>0</v>
      </c>
      <c r="LT317" s="100">
        <f t="shared" si="1828"/>
        <v>0</v>
      </c>
      <c r="LU317" s="100">
        <f t="shared" si="1828"/>
        <v>0</v>
      </c>
      <c r="LV317" s="100">
        <f t="shared" si="1828"/>
        <v>0</v>
      </c>
      <c r="LW317" s="100">
        <f t="shared" si="1828"/>
        <v>848</v>
      </c>
      <c r="LX317" s="100">
        <f t="shared" si="1828"/>
        <v>27136</v>
      </c>
      <c r="LY317" s="728">
        <f t="shared" si="1828"/>
        <v>164061</v>
      </c>
      <c r="LZ317" s="728">
        <f t="shared" si="1828"/>
        <v>3297929</v>
      </c>
      <c r="MA317" s="100">
        <f t="shared" si="1828"/>
        <v>27250</v>
      </c>
      <c r="MB317" s="100">
        <f t="shared" ref="MB317:MN317" si="1829">SUM(MB318:MB354)</f>
        <v>2316250</v>
      </c>
      <c r="MC317" s="100">
        <f t="shared" si="1829"/>
        <v>1038490</v>
      </c>
      <c r="MD317" s="100">
        <f t="shared" si="1829"/>
        <v>44883940</v>
      </c>
      <c r="ME317" s="100">
        <f t="shared" si="1829"/>
        <v>0</v>
      </c>
      <c r="MF317" s="100">
        <f t="shared" si="1829"/>
        <v>0</v>
      </c>
      <c r="MG317" s="100">
        <f t="shared" si="1829"/>
        <v>98770</v>
      </c>
      <c r="MH317" s="100">
        <f t="shared" si="1829"/>
        <v>1827415</v>
      </c>
      <c r="MI317" s="100">
        <f t="shared" si="1829"/>
        <v>0</v>
      </c>
      <c r="MJ317" s="100">
        <f t="shared" si="1829"/>
        <v>0</v>
      </c>
      <c r="MK317" s="100">
        <f t="shared" si="1829"/>
        <v>0</v>
      </c>
      <c r="ML317" s="100">
        <f t="shared" si="1829"/>
        <v>0</v>
      </c>
      <c r="MM317" s="100">
        <f t="shared" si="1829"/>
        <v>3010</v>
      </c>
      <c r="MN317" s="100">
        <f t="shared" si="1829"/>
        <v>54179.999999999993</v>
      </c>
      <c r="MO317" s="728">
        <f t="shared" ref="MO317:OL317" si="1830">SUM(MO318:MO354)</f>
        <v>1167520</v>
      </c>
      <c r="MP317" s="728">
        <f t="shared" si="1830"/>
        <v>49081785</v>
      </c>
      <c r="MQ317" s="100">
        <f t="shared" si="1830"/>
        <v>0</v>
      </c>
      <c r="MR317" s="100">
        <f t="shared" si="1830"/>
        <v>0</v>
      </c>
      <c r="MS317" s="100">
        <f t="shared" si="1830"/>
        <v>20350</v>
      </c>
      <c r="MT317" s="100">
        <f t="shared" si="1830"/>
        <v>789600</v>
      </c>
      <c r="MU317" s="100">
        <f t="shared" si="1830"/>
        <v>0</v>
      </c>
      <c r="MV317" s="100">
        <f t="shared" si="1830"/>
        <v>0</v>
      </c>
      <c r="MW317" s="100">
        <f t="shared" si="1830"/>
        <v>20500</v>
      </c>
      <c r="MX317" s="100">
        <f t="shared" si="1830"/>
        <v>471500</v>
      </c>
      <c r="MY317" s="100">
        <f t="shared" si="1830"/>
        <v>0</v>
      </c>
      <c r="MZ317" s="100">
        <f t="shared" si="1830"/>
        <v>0</v>
      </c>
      <c r="NA317" s="100">
        <f t="shared" si="1830"/>
        <v>0</v>
      </c>
      <c r="NB317" s="100">
        <f t="shared" si="1830"/>
        <v>0</v>
      </c>
      <c r="NC317" s="100">
        <f t="shared" si="1830"/>
        <v>0</v>
      </c>
      <c r="ND317" s="100">
        <f t="shared" si="1830"/>
        <v>0</v>
      </c>
      <c r="NE317" s="728">
        <f t="shared" si="1830"/>
        <v>40850</v>
      </c>
      <c r="NF317" s="728">
        <f t="shared" si="1830"/>
        <v>1261100</v>
      </c>
      <c r="NG317" s="100">
        <f t="shared" si="1830"/>
        <v>0</v>
      </c>
      <c r="NH317" s="100">
        <f t="shared" si="1830"/>
        <v>0</v>
      </c>
      <c r="NI317" s="100">
        <f t="shared" si="1830"/>
        <v>9707900</v>
      </c>
      <c r="NJ317" s="100">
        <f t="shared" si="1830"/>
        <v>240382040</v>
      </c>
      <c r="NK317" s="100">
        <f t="shared" si="1830"/>
        <v>0</v>
      </c>
      <c r="NL317" s="100">
        <f t="shared" si="1830"/>
        <v>0</v>
      </c>
      <c r="NM317" s="100">
        <f t="shared" si="1830"/>
        <v>2025600</v>
      </c>
      <c r="NN317" s="100">
        <f t="shared" si="1830"/>
        <v>32705200</v>
      </c>
      <c r="NO317" s="100">
        <f t="shared" si="1830"/>
        <v>0</v>
      </c>
      <c r="NP317" s="100">
        <f t="shared" si="1830"/>
        <v>0</v>
      </c>
      <c r="NQ317" s="100">
        <f t="shared" si="1830"/>
        <v>25777</v>
      </c>
      <c r="NR317" s="100">
        <f t="shared" si="1830"/>
        <v>467516</v>
      </c>
      <c r="NS317" s="100">
        <f t="shared" si="1830"/>
        <v>0</v>
      </c>
      <c r="NT317" s="100">
        <f t="shared" si="1830"/>
        <v>0</v>
      </c>
      <c r="NU317" s="728">
        <f t="shared" si="1830"/>
        <v>11759277</v>
      </c>
      <c r="NV317" s="728">
        <f t="shared" si="1830"/>
        <v>273554756</v>
      </c>
      <c r="NW317" s="100">
        <f t="shared" si="1830"/>
        <v>5940</v>
      </c>
      <c r="NX317" s="100">
        <f t="shared" si="1830"/>
        <v>218000</v>
      </c>
      <c r="NY317" s="100">
        <f t="shared" si="1830"/>
        <v>1016629</v>
      </c>
      <c r="NZ317" s="100">
        <f t="shared" si="1830"/>
        <v>50787890</v>
      </c>
      <c r="OA317" s="100">
        <f t="shared" si="1830"/>
        <v>0</v>
      </c>
      <c r="OB317" s="100">
        <f t="shared" si="1830"/>
        <v>0</v>
      </c>
      <c r="OC317" s="100">
        <f t="shared" si="1830"/>
        <v>46278</v>
      </c>
      <c r="OD317" s="100">
        <f t="shared" si="1830"/>
        <v>881382</v>
      </c>
      <c r="OE317" s="100">
        <f t="shared" si="1830"/>
        <v>0</v>
      </c>
      <c r="OF317" s="100">
        <f t="shared" si="1830"/>
        <v>0</v>
      </c>
      <c r="OG317" s="100">
        <f t="shared" si="1830"/>
        <v>0</v>
      </c>
      <c r="OH317" s="100">
        <f t="shared" si="1830"/>
        <v>0</v>
      </c>
      <c r="OI317" s="100">
        <f t="shared" si="1830"/>
        <v>0</v>
      </c>
      <c r="OJ317" s="100">
        <f t="shared" si="1830"/>
        <v>0</v>
      </c>
      <c r="OK317" s="728">
        <f t="shared" si="1830"/>
        <v>1068847</v>
      </c>
      <c r="OL317" s="728">
        <f t="shared" si="1830"/>
        <v>51887272</v>
      </c>
      <c r="OM317" s="100">
        <f t="shared" ref="OM317:QX317" si="1831">SUM(OM318:OM354)</f>
        <v>78565551</v>
      </c>
      <c r="ON317" s="100">
        <f t="shared" si="1831"/>
        <v>398867100</v>
      </c>
      <c r="OO317" s="100">
        <f>SUM(OO318:OO354)</f>
        <v>1109434</v>
      </c>
      <c r="OP317" s="100">
        <f>SUM(OP318:OP354)</f>
        <v>66345681.999999978</v>
      </c>
      <c r="OQ317" s="100">
        <f t="shared" si="1831"/>
        <v>0</v>
      </c>
      <c r="OR317" s="100">
        <f t="shared" si="1831"/>
        <v>0</v>
      </c>
      <c r="OS317" s="100">
        <f t="shared" si="1831"/>
        <v>779023</v>
      </c>
      <c r="OT317" s="100">
        <f t="shared" si="1831"/>
        <v>6029534.5999999996</v>
      </c>
      <c r="OU317" s="100">
        <f t="shared" si="1831"/>
        <v>0</v>
      </c>
      <c r="OV317" s="100">
        <f t="shared" si="1831"/>
        <v>0</v>
      </c>
      <c r="OW317" s="100">
        <f t="shared" si="1831"/>
        <v>0</v>
      </c>
      <c r="OX317" s="100">
        <f t="shared" si="1831"/>
        <v>0</v>
      </c>
      <c r="OY317" s="100">
        <f t="shared" si="1831"/>
        <v>0</v>
      </c>
      <c r="OZ317" s="100">
        <f t="shared" si="1831"/>
        <v>0</v>
      </c>
      <c r="PA317" s="728">
        <f t="shared" si="1831"/>
        <v>80454008</v>
      </c>
      <c r="PB317" s="728">
        <f t="shared" si="1831"/>
        <v>471242316.60000002</v>
      </c>
      <c r="PC317" s="100">
        <f t="shared" si="1831"/>
        <v>308</v>
      </c>
      <c r="PD317" s="100">
        <f t="shared" si="1831"/>
        <v>33815</v>
      </c>
      <c r="PE317" s="100">
        <f t="shared" si="1831"/>
        <v>16825</v>
      </c>
      <c r="PF317" s="100">
        <f t="shared" si="1831"/>
        <v>1093625</v>
      </c>
      <c r="PG317" s="100">
        <f t="shared" si="1831"/>
        <v>0</v>
      </c>
      <c r="PH317" s="100">
        <f t="shared" si="1831"/>
        <v>0</v>
      </c>
      <c r="PI317" s="100">
        <f t="shared" si="1831"/>
        <v>380662</v>
      </c>
      <c r="PJ317" s="100">
        <f t="shared" si="1831"/>
        <v>6933972</v>
      </c>
      <c r="PK317" s="100">
        <f t="shared" si="1831"/>
        <v>0</v>
      </c>
      <c r="PL317" s="100">
        <f t="shared" si="1831"/>
        <v>0</v>
      </c>
      <c r="PM317" s="100">
        <f t="shared" si="1831"/>
        <v>0</v>
      </c>
      <c r="PN317" s="100">
        <f t="shared" si="1831"/>
        <v>0</v>
      </c>
      <c r="PO317" s="100">
        <f t="shared" si="1831"/>
        <v>0</v>
      </c>
      <c r="PP317" s="100">
        <f t="shared" si="1831"/>
        <v>0</v>
      </c>
      <c r="PQ317" s="728">
        <f t="shared" si="1831"/>
        <v>397795</v>
      </c>
      <c r="PR317" s="728">
        <f t="shared" si="1831"/>
        <v>8061412</v>
      </c>
      <c r="PS317" s="100">
        <f t="shared" si="1831"/>
        <v>570</v>
      </c>
      <c r="PT317" s="100">
        <f t="shared" si="1831"/>
        <v>62700</v>
      </c>
      <c r="PU317" s="100">
        <f t="shared" si="1831"/>
        <v>1229080</v>
      </c>
      <c r="PV317" s="100">
        <f t="shared" si="1831"/>
        <v>54897630</v>
      </c>
      <c r="PW317" s="100">
        <f t="shared" si="1831"/>
        <v>0</v>
      </c>
      <c r="PX317" s="100">
        <f t="shared" si="1831"/>
        <v>0</v>
      </c>
      <c r="PY317" s="100">
        <f t="shared" si="1831"/>
        <v>1121150</v>
      </c>
      <c r="PZ317" s="100">
        <f t="shared" si="1831"/>
        <v>20609740</v>
      </c>
      <c r="QA317" s="100">
        <f t="shared" si="1831"/>
        <v>867990</v>
      </c>
      <c r="QB317" s="100">
        <f t="shared" si="1831"/>
        <v>27474510</v>
      </c>
      <c r="QC317" s="100">
        <f t="shared" si="1831"/>
        <v>397830</v>
      </c>
      <c r="QD317" s="100">
        <f t="shared" si="1831"/>
        <v>7383190</v>
      </c>
      <c r="QE317" s="100">
        <f t="shared" si="1831"/>
        <v>0</v>
      </c>
      <c r="QF317" s="100">
        <f t="shared" si="1831"/>
        <v>0</v>
      </c>
      <c r="QG317" s="728">
        <f t="shared" si="1831"/>
        <v>3616620</v>
      </c>
      <c r="QH317" s="728">
        <f t="shared" si="1831"/>
        <v>110427770</v>
      </c>
      <c r="QI317" s="100">
        <f t="shared" si="1831"/>
        <v>0</v>
      </c>
      <c r="QJ317" s="100">
        <f t="shared" si="1831"/>
        <v>0</v>
      </c>
      <c r="QK317" s="100">
        <f t="shared" si="1831"/>
        <v>0</v>
      </c>
      <c r="QL317" s="100">
        <f t="shared" si="1831"/>
        <v>0</v>
      </c>
      <c r="QM317" s="100">
        <f t="shared" si="1831"/>
        <v>0</v>
      </c>
      <c r="QN317" s="100">
        <f t="shared" si="1831"/>
        <v>0</v>
      </c>
      <c r="QO317" s="100">
        <f t="shared" si="1831"/>
        <v>4304500</v>
      </c>
      <c r="QP317" s="100">
        <f t="shared" si="1831"/>
        <v>86237500</v>
      </c>
      <c r="QQ317" s="100">
        <f t="shared" si="1831"/>
        <v>0</v>
      </c>
      <c r="QR317" s="100">
        <f t="shared" si="1831"/>
        <v>0</v>
      </c>
      <c r="QS317" s="100">
        <f t="shared" si="1831"/>
        <v>0</v>
      </c>
      <c r="QT317" s="100">
        <f t="shared" si="1831"/>
        <v>0</v>
      </c>
      <c r="QU317" s="100">
        <f t="shared" si="1831"/>
        <v>0</v>
      </c>
      <c r="QV317" s="100">
        <f t="shared" si="1831"/>
        <v>0</v>
      </c>
      <c r="QW317" s="728">
        <f t="shared" si="1831"/>
        <v>4304500</v>
      </c>
      <c r="QX317" s="728">
        <f t="shared" si="1831"/>
        <v>86237500</v>
      </c>
      <c r="QY317" s="100">
        <f t="shared" ref="QY317:TJ317" si="1832">SUM(QY318:QY354)</f>
        <v>0</v>
      </c>
      <c r="QZ317" s="100">
        <f t="shared" si="1832"/>
        <v>0</v>
      </c>
      <c r="RA317" s="100">
        <f t="shared" si="1832"/>
        <v>0</v>
      </c>
      <c r="RB317" s="100">
        <f t="shared" si="1832"/>
        <v>0</v>
      </c>
      <c r="RC317" s="100">
        <f t="shared" si="1832"/>
        <v>0</v>
      </c>
      <c r="RD317" s="100">
        <f t="shared" si="1832"/>
        <v>0</v>
      </c>
      <c r="RE317" s="100">
        <f t="shared" si="1832"/>
        <v>5904</v>
      </c>
      <c r="RF317" s="100">
        <f t="shared" si="1832"/>
        <v>141958</v>
      </c>
      <c r="RG317" s="100">
        <f t="shared" si="1832"/>
        <v>0</v>
      </c>
      <c r="RH317" s="100">
        <f t="shared" si="1832"/>
        <v>0</v>
      </c>
      <c r="RI317" s="100">
        <f t="shared" si="1832"/>
        <v>0</v>
      </c>
      <c r="RJ317" s="100">
        <f t="shared" si="1832"/>
        <v>0</v>
      </c>
      <c r="RK317" s="100">
        <f t="shared" si="1832"/>
        <v>0</v>
      </c>
      <c r="RL317" s="100">
        <f t="shared" si="1832"/>
        <v>0</v>
      </c>
      <c r="RM317" s="728">
        <f t="shared" si="1832"/>
        <v>5904</v>
      </c>
      <c r="RN317" s="728">
        <f t="shared" si="1832"/>
        <v>141958</v>
      </c>
      <c r="RO317" s="100">
        <f t="shared" si="1832"/>
        <v>0</v>
      </c>
      <c r="RP317" s="100">
        <f t="shared" si="1832"/>
        <v>0</v>
      </c>
      <c r="RQ317" s="100">
        <f t="shared" si="1832"/>
        <v>0</v>
      </c>
      <c r="RR317" s="100">
        <f t="shared" si="1832"/>
        <v>0</v>
      </c>
      <c r="RS317" s="100">
        <f t="shared" si="1832"/>
        <v>0</v>
      </c>
      <c r="RT317" s="100">
        <f t="shared" si="1832"/>
        <v>0</v>
      </c>
      <c r="RU317" s="100">
        <f t="shared" si="1832"/>
        <v>20430</v>
      </c>
      <c r="RV317" s="100">
        <f t="shared" si="1832"/>
        <v>467345</v>
      </c>
      <c r="RW317" s="100">
        <f t="shared" si="1832"/>
        <v>0</v>
      </c>
      <c r="RX317" s="100">
        <f t="shared" si="1832"/>
        <v>0</v>
      </c>
      <c r="RY317" s="100">
        <f t="shared" si="1832"/>
        <v>0</v>
      </c>
      <c r="RZ317" s="100">
        <f t="shared" si="1832"/>
        <v>0</v>
      </c>
      <c r="SA317" s="100">
        <f t="shared" si="1832"/>
        <v>0</v>
      </c>
      <c r="SB317" s="100">
        <f t="shared" si="1832"/>
        <v>0</v>
      </c>
      <c r="SC317" s="728">
        <f t="shared" si="1832"/>
        <v>20430</v>
      </c>
      <c r="SD317" s="728">
        <f t="shared" si="1832"/>
        <v>467345</v>
      </c>
      <c r="SE317" s="100">
        <f t="shared" si="1832"/>
        <v>0</v>
      </c>
      <c r="SF317" s="100">
        <f t="shared" si="1832"/>
        <v>0</v>
      </c>
      <c r="SG317" s="100">
        <f t="shared" si="1832"/>
        <v>0</v>
      </c>
      <c r="SH317" s="100">
        <f t="shared" si="1832"/>
        <v>0</v>
      </c>
      <c r="SI317" s="100">
        <f t="shared" si="1832"/>
        <v>0</v>
      </c>
      <c r="SJ317" s="100">
        <f t="shared" si="1832"/>
        <v>0</v>
      </c>
      <c r="SK317" s="100">
        <f t="shared" si="1832"/>
        <v>18600</v>
      </c>
      <c r="SL317" s="100">
        <f t="shared" si="1832"/>
        <v>366950</v>
      </c>
      <c r="SM317" s="100">
        <f t="shared" si="1832"/>
        <v>0</v>
      </c>
      <c r="SN317" s="100">
        <f t="shared" si="1832"/>
        <v>0</v>
      </c>
      <c r="SO317" s="100">
        <f t="shared" si="1832"/>
        <v>0</v>
      </c>
      <c r="SP317" s="100">
        <f t="shared" si="1832"/>
        <v>0</v>
      </c>
      <c r="SQ317" s="100">
        <f t="shared" si="1832"/>
        <v>0</v>
      </c>
      <c r="SR317" s="100">
        <f t="shared" si="1832"/>
        <v>0</v>
      </c>
      <c r="SS317" s="728">
        <f t="shared" si="1832"/>
        <v>18600</v>
      </c>
      <c r="ST317" s="728">
        <f t="shared" si="1832"/>
        <v>366950</v>
      </c>
      <c r="SU317" s="100">
        <f t="shared" si="1832"/>
        <v>0</v>
      </c>
      <c r="SV317" s="100">
        <f t="shared" si="1832"/>
        <v>0</v>
      </c>
      <c r="SW317" s="100">
        <f t="shared" si="1832"/>
        <v>0</v>
      </c>
      <c r="SX317" s="100">
        <f t="shared" si="1832"/>
        <v>0</v>
      </c>
      <c r="SY317" s="100">
        <f t="shared" si="1832"/>
        <v>0</v>
      </c>
      <c r="SZ317" s="100">
        <f t="shared" si="1832"/>
        <v>0</v>
      </c>
      <c r="TA317" s="100">
        <f t="shared" si="1832"/>
        <v>17925</v>
      </c>
      <c r="TB317" s="100">
        <f t="shared" si="1832"/>
        <v>384695</v>
      </c>
      <c r="TC317" s="100">
        <f t="shared" si="1832"/>
        <v>0</v>
      </c>
      <c r="TD317" s="100">
        <f t="shared" si="1832"/>
        <v>0</v>
      </c>
      <c r="TE317" s="100">
        <f t="shared" si="1832"/>
        <v>0</v>
      </c>
      <c r="TF317" s="100">
        <f t="shared" si="1832"/>
        <v>0</v>
      </c>
      <c r="TG317" s="100">
        <f t="shared" si="1832"/>
        <v>0</v>
      </c>
      <c r="TH317" s="100">
        <f t="shared" si="1832"/>
        <v>0</v>
      </c>
      <c r="TI317" s="728">
        <f t="shared" si="1832"/>
        <v>17925</v>
      </c>
      <c r="TJ317" s="728">
        <f t="shared" si="1832"/>
        <v>384695</v>
      </c>
      <c r="TK317" s="100">
        <f t="shared" ref="TK317:VV317" si="1833">SUM(TK318:TK354)</f>
        <v>0</v>
      </c>
      <c r="TL317" s="100">
        <f t="shared" si="1833"/>
        <v>0</v>
      </c>
      <c r="TM317" s="100">
        <f t="shared" si="1833"/>
        <v>0</v>
      </c>
      <c r="TN317" s="100">
        <f t="shared" si="1833"/>
        <v>0</v>
      </c>
      <c r="TO317" s="100">
        <f t="shared" si="1833"/>
        <v>0</v>
      </c>
      <c r="TP317" s="100">
        <f t="shared" si="1833"/>
        <v>0</v>
      </c>
      <c r="TQ317" s="100">
        <f t="shared" si="1833"/>
        <v>5700</v>
      </c>
      <c r="TR317" s="100">
        <f t="shared" si="1833"/>
        <v>115500</v>
      </c>
      <c r="TS317" s="100">
        <f t="shared" si="1833"/>
        <v>0</v>
      </c>
      <c r="TT317" s="100">
        <f t="shared" si="1833"/>
        <v>0</v>
      </c>
      <c r="TU317" s="100">
        <f t="shared" si="1833"/>
        <v>500</v>
      </c>
      <c r="TV317" s="100">
        <f t="shared" si="1833"/>
        <v>16500</v>
      </c>
      <c r="TW317" s="100">
        <f t="shared" si="1833"/>
        <v>0</v>
      </c>
      <c r="TX317" s="100">
        <f t="shared" si="1833"/>
        <v>0</v>
      </c>
      <c r="TY317" s="728">
        <f t="shared" si="1833"/>
        <v>6200</v>
      </c>
      <c r="TZ317" s="728">
        <f t="shared" si="1833"/>
        <v>132000</v>
      </c>
      <c r="UA317" s="100">
        <f t="shared" si="1833"/>
        <v>0</v>
      </c>
      <c r="UB317" s="100">
        <f t="shared" si="1833"/>
        <v>0</v>
      </c>
      <c r="UC317" s="100">
        <f t="shared" si="1833"/>
        <v>0</v>
      </c>
      <c r="UD317" s="100">
        <f t="shared" si="1833"/>
        <v>0</v>
      </c>
      <c r="UE317" s="100">
        <f t="shared" si="1833"/>
        <v>0</v>
      </c>
      <c r="UF317" s="100">
        <f t="shared" si="1833"/>
        <v>0</v>
      </c>
      <c r="UG317" s="100">
        <f t="shared" si="1833"/>
        <v>19118</v>
      </c>
      <c r="UH317" s="100">
        <f t="shared" si="1833"/>
        <v>350336</v>
      </c>
      <c r="UI317" s="100">
        <f t="shared" si="1833"/>
        <v>0</v>
      </c>
      <c r="UJ317" s="100">
        <f t="shared" si="1833"/>
        <v>0</v>
      </c>
      <c r="UK317" s="100">
        <f t="shared" si="1833"/>
        <v>0</v>
      </c>
      <c r="UL317" s="100">
        <f t="shared" si="1833"/>
        <v>0</v>
      </c>
      <c r="UM317" s="100">
        <f t="shared" si="1833"/>
        <v>0</v>
      </c>
      <c r="UN317" s="100">
        <f t="shared" si="1833"/>
        <v>0</v>
      </c>
      <c r="UO317" s="728">
        <f t="shared" si="1833"/>
        <v>19118</v>
      </c>
      <c r="UP317" s="728">
        <f t="shared" si="1833"/>
        <v>350336</v>
      </c>
      <c r="UQ317" s="100">
        <f t="shared" si="1833"/>
        <v>0</v>
      </c>
      <c r="UR317" s="100">
        <f t="shared" si="1833"/>
        <v>0</v>
      </c>
      <c r="US317" s="100">
        <f t="shared" si="1833"/>
        <v>219100</v>
      </c>
      <c r="UT317" s="100">
        <f t="shared" si="1833"/>
        <v>1918640</v>
      </c>
      <c r="UU317" s="100">
        <f t="shared" si="1833"/>
        <v>0</v>
      </c>
      <c r="UV317" s="100">
        <f t="shared" si="1833"/>
        <v>0</v>
      </c>
      <c r="UW317" s="100">
        <f t="shared" si="1833"/>
        <v>1603</v>
      </c>
      <c r="UX317" s="100">
        <f t="shared" si="1833"/>
        <v>30457</v>
      </c>
      <c r="UY317" s="100">
        <f t="shared" si="1833"/>
        <v>0</v>
      </c>
      <c r="UZ317" s="100">
        <f t="shared" si="1833"/>
        <v>0</v>
      </c>
      <c r="VA317" s="100">
        <f t="shared" si="1833"/>
        <v>0</v>
      </c>
      <c r="VB317" s="100">
        <f t="shared" si="1833"/>
        <v>0</v>
      </c>
      <c r="VC317" s="100">
        <f t="shared" si="1833"/>
        <v>0</v>
      </c>
      <c r="VD317" s="100">
        <f t="shared" si="1833"/>
        <v>0</v>
      </c>
      <c r="VE317" s="728">
        <f t="shared" si="1833"/>
        <v>220703</v>
      </c>
      <c r="VF317" s="728">
        <f t="shared" si="1833"/>
        <v>1949097</v>
      </c>
      <c r="VG317" s="100">
        <f t="shared" si="1833"/>
        <v>0</v>
      </c>
      <c r="VH317" s="100">
        <f t="shared" si="1833"/>
        <v>0</v>
      </c>
      <c r="VI317" s="100">
        <f t="shared" si="1833"/>
        <v>1740</v>
      </c>
      <c r="VJ317" s="100">
        <f t="shared" si="1833"/>
        <v>59855</v>
      </c>
      <c r="VK317" s="100">
        <f t="shared" si="1833"/>
        <v>0</v>
      </c>
      <c r="VL317" s="100">
        <f t="shared" si="1833"/>
        <v>0</v>
      </c>
      <c r="VM317" s="100">
        <f t="shared" si="1833"/>
        <v>12641</v>
      </c>
      <c r="VN317" s="100">
        <f t="shared" si="1833"/>
        <v>255677</v>
      </c>
      <c r="VO317" s="100">
        <f t="shared" si="1833"/>
        <v>0</v>
      </c>
      <c r="VP317" s="100">
        <f t="shared" si="1833"/>
        <v>0</v>
      </c>
      <c r="VQ317" s="100">
        <f t="shared" si="1833"/>
        <v>0</v>
      </c>
      <c r="VR317" s="100">
        <f t="shared" si="1833"/>
        <v>0</v>
      </c>
      <c r="VS317" s="100">
        <f t="shared" si="1833"/>
        <v>0</v>
      </c>
      <c r="VT317" s="100">
        <f t="shared" si="1833"/>
        <v>0</v>
      </c>
      <c r="VU317" s="728">
        <f t="shared" si="1833"/>
        <v>14381</v>
      </c>
      <c r="VV317" s="728">
        <f t="shared" si="1833"/>
        <v>315532</v>
      </c>
      <c r="VW317" s="100">
        <f t="shared" ref="VW317:WL317" si="1834">SUM(VW318:VW354)</f>
        <v>0</v>
      </c>
      <c r="VX317" s="100">
        <f t="shared" si="1834"/>
        <v>0</v>
      </c>
      <c r="VY317" s="100">
        <f t="shared" si="1834"/>
        <v>422710</v>
      </c>
      <c r="VZ317" s="100">
        <f t="shared" si="1834"/>
        <v>14365600</v>
      </c>
      <c r="WA317" s="100">
        <f t="shared" si="1834"/>
        <v>0</v>
      </c>
      <c r="WB317" s="100">
        <f t="shared" si="1834"/>
        <v>0</v>
      </c>
      <c r="WC317" s="100">
        <f t="shared" si="1834"/>
        <v>347930</v>
      </c>
      <c r="WD317" s="100">
        <f t="shared" si="1834"/>
        <v>8356420</v>
      </c>
      <c r="WE317" s="100">
        <f t="shared" si="1834"/>
        <v>0</v>
      </c>
      <c r="WF317" s="100">
        <f t="shared" si="1834"/>
        <v>0</v>
      </c>
      <c r="WG317" s="100">
        <f t="shared" si="1834"/>
        <v>0</v>
      </c>
      <c r="WH317" s="100">
        <f t="shared" si="1834"/>
        <v>0</v>
      </c>
      <c r="WI317" s="100">
        <f t="shared" si="1834"/>
        <v>4540</v>
      </c>
      <c r="WJ317" s="100">
        <f t="shared" si="1834"/>
        <v>90800</v>
      </c>
      <c r="WK317" s="728">
        <f t="shared" si="1834"/>
        <v>775180</v>
      </c>
      <c r="WL317" s="728">
        <f t="shared" si="1834"/>
        <v>22812820</v>
      </c>
      <c r="WM317" s="89"/>
      <c r="WN317" s="96">
        <f t="shared" ref="WN317:XC317" si="1835">SUM(WN318:WN354)</f>
        <v>80512764</v>
      </c>
      <c r="WO317" s="96">
        <f t="shared" si="1835"/>
        <v>409379150</v>
      </c>
      <c r="WP317" s="96">
        <f t="shared" si="1835"/>
        <v>26363971.231384527</v>
      </c>
      <c r="WQ317" s="96">
        <f t="shared" si="1835"/>
        <v>883610906.43199992</v>
      </c>
      <c r="WR317" s="96">
        <f t="shared" si="1835"/>
        <v>0</v>
      </c>
      <c r="WS317" s="96">
        <f t="shared" si="1835"/>
        <v>0</v>
      </c>
      <c r="WT317" s="96">
        <f t="shared" si="1835"/>
        <v>25780773.689999998</v>
      </c>
      <c r="WU317" s="96">
        <f t="shared" si="1835"/>
        <v>475005865.10000002</v>
      </c>
      <c r="WV317" s="96">
        <f t="shared" si="1835"/>
        <v>876288</v>
      </c>
      <c r="WW317" s="96">
        <f t="shared" si="1835"/>
        <v>27691085</v>
      </c>
      <c r="WX317" s="96">
        <f t="shared" si="1835"/>
        <v>430553</v>
      </c>
      <c r="WY317" s="96">
        <f t="shared" si="1835"/>
        <v>8025526</v>
      </c>
      <c r="WZ317" s="96">
        <f t="shared" si="1835"/>
        <v>225697.51</v>
      </c>
      <c r="XA317" s="96">
        <f t="shared" si="1835"/>
        <v>5108752</v>
      </c>
      <c r="XB317" s="96">
        <f t="shared" si="1835"/>
        <v>134190047.43138452</v>
      </c>
      <c r="XC317" s="96">
        <f t="shared" si="1835"/>
        <v>1808821284.5319998</v>
      </c>
      <c r="XD317" s="89"/>
      <c r="XE317" s="94"/>
      <c r="XF317" s="94"/>
      <c r="XG317" s="89"/>
      <c r="XH317" s="96"/>
      <c r="XI317" s="96"/>
      <c r="XJ317" s="89"/>
      <c r="XK317" s="96"/>
      <c r="XL317" s="96"/>
      <c r="XM317" s="96"/>
      <c r="XN317" s="96"/>
      <c r="XO317" s="96"/>
      <c r="XP317" s="96"/>
      <c r="XQ317" s="96"/>
      <c r="XR317" s="96">
        <f t="shared" ref="XR317" ca="1" si="1836">SUM(XR318:XR354)</f>
        <v>0</v>
      </c>
      <c r="XS317" s="89"/>
      <c r="XT317" s="96"/>
      <c r="XU317" s="96"/>
      <c r="XV317" s="96"/>
      <c r="XW317" s="96"/>
      <c r="XX317" s="96"/>
      <c r="XY317" s="96"/>
      <c r="XZ317" s="96"/>
      <c r="YA317" s="96">
        <f t="shared" ref="YA317" ca="1" si="1837">SUM(YA318:YA354)</f>
        <v>0</v>
      </c>
    </row>
    <row r="318" spans="1:1017">
      <c r="A318" s="98" t="s">
        <v>53</v>
      </c>
      <c r="B318" s="90" t="str">
        <f t="shared" ref="B318:B344" si="1838">B280</f>
        <v xml:space="preserve">Bandeng </v>
      </c>
      <c r="E318" s="98">
        <v>183900</v>
      </c>
      <c r="F318" s="98">
        <v>5517000</v>
      </c>
      <c r="I318" s="98">
        <v>10500</v>
      </c>
      <c r="J318" s="98">
        <v>262500</v>
      </c>
      <c r="Q318" s="91">
        <f t="shared" ref="Q318:Q354" si="1839">SUMIF($C$12:$P$12,$A$1,C318:P318)</f>
        <v>194400</v>
      </c>
      <c r="R318" s="91">
        <f t="shared" ref="R318:R354" si="1840">SUMIF($C$12:$P$12,$A$3,C318:P318)</f>
        <v>5779500</v>
      </c>
      <c r="U318" s="98">
        <v>3160</v>
      </c>
      <c r="V318" s="98">
        <v>63200</v>
      </c>
      <c r="AG318" s="91">
        <f t="shared" ref="AG318:AG354" si="1841">SUMIF($C$12:$P$12,$A$1,S318:AF318)</f>
        <v>3160</v>
      </c>
      <c r="AH318" s="91">
        <f t="shared" ref="AH318:AH354" si="1842">SUMIF($C$12:$P$12,$A$3,S318:AF318)</f>
        <v>63200</v>
      </c>
      <c r="AW318" s="91">
        <f t="shared" ref="AW318:AW354" si="1843">SUMIF($C$12:$P$12,$A$1,AI318:AV318)</f>
        <v>0</v>
      </c>
      <c r="AX318" s="91">
        <f t="shared" ref="AX318:AX354" si="1844">SUMIF($C$12:$P$12,$A$3,AI318:AV318)</f>
        <v>0</v>
      </c>
      <c r="BE318" s="98">
        <v>3117</v>
      </c>
      <c r="BF318" s="98">
        <v>52989</v>
      </c>
      <c r="BM318" s="91">
        <f t="shared" ref="BM318:BM354" si="1845">SUMIF($C$12:$P$12,$A$1,AY318:BL318)</f>
        <v>3117</v>
      </c>
      <c r="BN318" s="91">
        <f t="shared" ref="BN318:BN354" si="1846">SUMIF($C$12:$P$12,$A$3,AY318:BL318)</f>
        <v>52989</v>
      </c>
      <c r="CC318" s="91">
        <f t="shared" ref="CC318:CC354" si="1847">SUMIF($C$12:$P$12,$A$1,BO318:CB318)</f>
        <v>0</v>
      </c>
      <c r="CD318" s="91">
        <f t="shared" ref="CD318:CD354" si="1848">SUMIF($C$12:$P$12,$A$3,BO318:CB318)</f>
        <v>0</v>
      </c>
      <c r="CG318" s="98">
        <v>3774233</v>
      </c>
      <c r="CH318" s="98">
        <v>86807360</v>
      </c>
      <c r="CK318" s="98">
        <v>3003187</v>
      </c>
      <c r="CL318" s="98">
        <v>60063743</v>
      </c>
      <c r="CS318" s="91">
        <f t="shared" ref="CS318:CS354" si="1849">SUMIF($C$12:$P$12,$A$1,CE318:CR318)</f>
        <v>6777420</v>
      </c>
      <c r="CT318" s="91">
        <f t="shared" ref="CT318:CT354" si="1850">SUMIF($C$12:$P$12,$A$3,CE318:CR318)</f>
        <v>146871103</v>
      </c>
      <c r="CW318" s="98">
        <v>4895.9713420658099</v>
      </c>
      <c r="CX318" s="98">
        <v>97919.428</v>
      </c>
      <c r="DI318" s="91">
        <f t="shared" ref="DI318:DI354" si="1851">SUMIF($C$12:$P$12,$A$1,CU318:DH318)</f>
        <v>4895.9713420658099</v>
      </c>
      <c r="DJ318" s="91">
        <f t="shared" ref="DJ318:DJ354" si="1852">SUMIF($C$12:$P$12,$A$3,CU318:DH318)</f>
        <v>97919.428</v>
      </c>
      <c r="DY318" s="91">
        <f t="shared" ref="DY318:DY354" si="1853">SUMIF($C$12:$P$12,$A$1,DK318:DX318)</f>
        <v>0</v>
      </c>
      <c r="DZ318" s="91">
        <f t="shared" ref="DZ318:DZ354" si="1854">SUMIF($C$12:$P$12,$A$3,DK318:DX318)</f>
        <v>0</v>
      </c>
      <c r="EO318" s="91">
        <f t="shared" ref="EO318:EO354" si="1855">SUMIF($C$12:$P$12,$A$1,EA318:EN318)</f>
        <v>0</v>
      </c>
      <c r="EP318" s="91">
        <f t="shared" ref="EP318:EP354" si="1856">SUMIF($C$12:$P$12,$A$3,EA318:EN318)</f>
        <v>0</v>
      </c>
      <c r="ES318" s="98">
        <v>35161</v>
      </c>
      <c r="ET318" s="98">
        <v>808703</v>
      </c>
      <c r="EW318" s="98">
        <v>47221</v>
      </c>
      <c r="EX318" s="98">
        <v>1086083</v>
      </c>
      <c r="FE318" s="91">
        <f t="shared" ref="FE318:FE354" si="1857">SUMIF($C$12:$P$12,$A$1,EQ318:FD318)</f>
        <v>82382</v>
      </c>
      <c r="FF318" s="91">
        <f t="shared" ref="FF318:FF354" si="1858">SUMIF($C$12:$P$12,$A$3,EQ318:FD318)</f>
        <v>1894786</v>
      </c>
      <c r="FU318" s="91">
        <f t="shared" ref="FU318:FU354" si="1859">SUMIF($C$12:$P$12,$A$1,FG318:FT318)</f>
        <v>0</v>
      </c>
      <c r="FV318" s="91">
        <f t="shared" ref="FV318:FV354" si="1860">SUMIF($C$12:$P$12,$A$3,FG318:FT318)</f>
        <v>0</v>
      </c>
      <c r="GK318" s="91">
        <f t="shared" ref="GK318:GK354" si="1861">SUMIF($C$12:$P$12,$A$1,FW318:GJ318)</f>
        <v>0</v>
      </c>
      <c r="GL318" s="91">
        <f t="shared" ref="GL318:GL354" si="1862">SUMIF($C$12:$P$12,$A$3,FW318:GJ318)</f>
        <v>0</v>
      </c>
      <c r="HA318" s="91">
        <f t="shared" ref="HA318:HA354" si="1863">SUMIF($C$12:$P$12,$A$1,GM318:GZ318)</f>
        <v>0</v>
      </c>
      <c r="HB318" s="91">
        <f t="shared" ref="HB318:HB354" si="1864">SUMIF($C$12:$P$12,$A$3,GM318:GZ318)</f>
        <v>0</v>
      </c>
      <c r="HQ318" s="91">
        <f t="shared" ref="HQ318:HQ354" si="1865">SUMIF($C$12:$P$12,$A$1,HC318:HP318)</f>
        <v>0</v>
      </c>
      <c r="HR318" s="91">
        <f t="shared" ref="HR318:HR354" si="1866">SUMIF($C$12:$P$12,$A$3,HC318:HP318)</f>
        <v>0</v>
      </c>
      <c r="IG318" s="91">
        <f t="shared" ref="IG318:IG354" si="1867">SUMIF($C$12:$P$12,$A$1,HS318:IF318)</f>
        <v>0</v>
      </c>
      <c r="IH318" s="91">
        <f t="shared" ref="IH318:IH354" si="1868">SUMIF($C$12:$P$12,$A$3,HS318:IF318)</f>
        <v>0</v>
      </c>
      <c r="IW318" s="91">
        <f t="shared" ref="IW318:IW354" si="1869">SUMIF($C$12:$P$12,$A$1,II318:IV318)</f>
        <v>0</v>
      </c>
      <c r="IX318" s="91">
        <f t="shared" ref="IX318:IX354" si="1870">SUMIF($C$12:$P$12,$A$3,II318:IV318)</f>
        <v>0</v>
      </c>
      <c r="JM318" s="91">
        <f t="shared" ref="JM318:JM354" si="1871">SUMIF($C$12:$P$12,$A$1,IY318:JL318)</f>
        <v>0</v>
      </c>
      <c r="JN318" s="91">
        <f t="shared" ref="JN318:JN354" si="1872">SUMIF($C$12:$P$12,$A$3,IY318:JL318)</f>
        <v>0</v>
      </c>
      <c r="KC318" s="91">
        <f t="shared" ref="KC318:KC354" si="1873">SUMIF($C$12:$P$12,$A$1,JO318:KB318)</f>
        <v>0</v>
      </c>
      <c r="KD318" s="91">
        <f t="shared" ref="KD318:KD354" si="1874">SUMIF($C$12:$P$12,$A$3,JO318:KB318)</f>
        <v>0</v>
      </c>
      <c r="KG318" s="98">
        <v>130</v>
      </c>
      <c r="KH318" s="98">
        <v>3900</v>
      </c>
      <c r="KS318" s="91">
        <f t="shared" ref="KS318:KS354" si="1875">SUMIF($C$12:$P$12,$A$1,KE318:KR318)</f>
        <v>130</v>
      </c>
      <c r="KT318" s="91">
        <f t="shared" ref="KT318:KT354" si="1876">SUMIF($C$12:$P$12,$A$3,KE318:KR318)</f>
        <v>3900</v>
      </c>
      <c r="KW318" s="98">
        <v>430441.67</v>
      </c>
      <c r="KX318" s="98">
        <v>7317508</v>
      </c>
      <c r="LI318" s="91">
        <f t="shared" ref="LI318:LI354" si="1877">SUMIF($C$12:$P$12,$A$1,KU318:LH318)</f>
        <v>430441.67</v>
      </c>
      <c r="LJ318" s="91">
        <f t="shared" ref="LJ318:LJ354" si="1878">SUMIF($C$12:$P$12,$A$3,KU318:LH318)</f>
        <v>7317508</v>
      </c>
      <c r="LY318" s="91">
        <f t="shared" ref="LY318:LY354" si="1879">SUMIF($C$12:$P$12,$A$1,LK318:LX318)</f>
        <v>0</v>
      </c>
      <c r="LZ318" s="91">
        <f t="shared" ref="LZ318:LZ354" si="1880">SUMIF($C$12:$P$12,$A$3,LK318:LX318)</f>
        <v>0</v>
      </c>
      <c r="MC318" s="98">
        <v>177520</v>
      </c>
      <c r="MD318" s="98">
        <v>2662800</v>
      </c>
      <c r="MO318" s="91">
        <f t="shared" ref="MO318:MO354" si="1881">SUMIF($C$12:$P$12,$A$1,MA318:MN318)</f>
        <v>177520</v>
      </c>
      <c r="MP318" s="91">
        <f t="shared" ref="MP318:MP354" si="1882">SUMIF($C$12:$P$12,$A$3,MA318:MN318)</f>
        <v>2662800</v>
      </c>
      <c r="MS318" s="98">
        <v>14500</v>
      </c>
      <c r="MT318" s="98">
        <v>406000</v>
      </c>
      <c r="NE318" s="91">
        <f t="shared" ref="NE318:NE354" si="1883">SUMIF($C$12:$P$12,$A$1,MQ318:ND318)</f>
        <v>14500</v>
      </c>
      <c r="NF318" s="91">
        <f t="shared" ref="NF318:NF354" si="1884">SUMIF($C$12:$P$12,$A$3,MQ318:ND318)</f>
        <v>406000</v>
      </c>
      <c r="NI318" s="98">
        <v>4282200</v>
      </c>
      <c r="NJ318" s="98">
        <v>94208400</v>
      </c>
      <c r="NU318" s="91">
        <f t="shared" ref="NU318:NU354" si="1885">SUMIF($C$12:$P$12,$A$1,NG318:NT318)</f>
        <v>4282200</v>
      </c>
      <c r="NV318" s="91">
        <f t="shared" ref="NV318:NV354" si="1886">SUMIF($C$12:$P$12,$A$3,NG318:NT318)</f>
        <v>94208400</v>
      </c>
      <c r="NW318" s="98">
        <v>200</v>
      </c>
      <c r="NX318" s="98">
        <v>14000</v>
      </c>
      <c r="NY318" s="98">
        <v>150</v>
      </c>
      <c r="NZ318" s="98">
        <v>2700</v>
      </c>
      <c r="OK318" s="91">
        <f t="shared" ref="OK318:OK354" si="1887">SUMIF($C$12:$P$12,$A$1,NW318:OJ318)</f>
        <v>350</v>
      </c>
      <c r="OL318" s="91">
        <f t="shared" ref="OL318:OL354" si="1888">SUMIF($C$12:$P$12,$A$3,NW318:OJ318)</f>
        <v>16700</v>
      </c>
      <c r="OO318" s="98">
        <v>7870</v>
      </c>
      <c r="OP318" s="98">
        <v>236100</v>
      </c>
      <c r="PA318" s="91">
        <f t="shared" ref="PA318:PA354" si="1889">SUMIF($C$12:$P$12,$A$1,OM318:OZ318)</f>
        <v>7870</v>
      </c>
      <c r="PB318" s="91">
        <f t="shared" ref="PB318:PB354" si="1890">SUMIF($C$12:$P$12,$A$3,OM318:OZ318)</f>
        <v>236100</v>
      </c>
      <c r="PQ318" s="91">
        <f t="shared" ref="PQ318:PQ354" si="1891">SUMIF($C$12:$P$12,$A$1,PC318:PP318)</f>
        <v>0</v>
      </c>
      <c r="PR318" s="91">
        <f t="shared" ref="PR318:PR354" si="1892">SUMIF($C$12:$P$12,$A$3,PC318:PP318)</f>
        <v>0</v>
      </c>
      <c r="PU318" s="98">
        <v>436040</v>
      </c>
      <c r="PV318" s="98">
        <v>8720800</v>
      </c>
      <c r="QA318" s="98">
        <v>432680</v>
      </c>
      <c r="QB318" s="98">
        <v>8653600</v>
      </c>
      <c r="QG318" s="91">
        <f t="shared" ref="QG318:QG354" si="1893">SUMIF($C$12:$P$12,$A$1,PS318:QF318)</f>
        <v>868720</v>
      </c>
      <c r="QH318" s="91">
        <f t="shared" ref="QH318:QH354" si="1894">SUMIF($C$12:$P$12,$A$3,PS318:QF318)</f>
        <v>17374400</v>
      </c>
      <c r="QW318" s="91">
        <f t="shared" ref="QW318:QW354" si="1895">SUMIF($C$12:$P$12,$A$1,QI318:QV318)</f>
        <v>0</v>
      </c>
      <c r="QX318" s="91">
        <f t="shared" ref="QX318:QX354" si="1896">SUMIF($C$12:$P$12,$A$3,QI318:QV318)</f>
        <v>0</v>
      </c>
      <c r="RM318" s="91">
        <f t="shared" ref="RM318:RM354" si="1897">SUMIF($C$12:$P$12,$A$1,QY318:RL318)</f>
        <v>0</v>
      </c>
      <c r="RN318" s="91">
        <f t="shared" ref="RN318:RN354" si="1898">SUMIF($C$12:$P$12,$A$3,QY318:RL318)</f>
        <v>0</v>
      </c>
      <c r="SC318" s="91">
        <f t="shared" ref="SC318:SC354" si="1899">SUMIF($C$12:$P$12,$A$1,RO318:SB318)</f>
        <v>0</v>
      </c>
      <c r="SD318" s="91">
        <f t="shared" ref="SD318:SD354" si="1900">SUMIF($C$12:$P$12,$A$3,RO318:SB318)</f>
        <v>0</v>
      </c>
      <c r="SS318" s="91">
        <f t="shared" ref="SS318:SS354" si="1901">SUMIF($C$12:$P$12,$A$1,SE318:SR318)</f>
        <v>0</v>
      </c>
      <c r="ST318" s="91">
        <f t="shared" ref="ST318:ST354" si="1902">SUMIF($C$12:$P$12,$A$3,SE318:SR318)</f>
        <v>0</v>
      </c>
      <c r="TI318" s="91">
        <f t="shared" ref="TI318:TI354" si="1903">SUMIF($C$12:$P$12,$A$1,SU318:TH318)</f>
        <v>0</v>
      </c>
      <c r="TJ318" s="91">
        <f t="shared" ref="TJ318:TJ354" si="1904">SUMIF($C$12:$P$12,$A$3,SU318:TH318)</f>
        <v>0</v>
      </c>
      <c r="TY318" s="91">
        <f t="shared" ref="TY318:TY354" si="1905">SUMIF($C$12:$P$12,$A$1,TK318:TX318)</f>
        <v>0</v>
      </c>
      <c r="TZ318" s="91">
        <f t="shared" ref="TZ318:TZ354" si="1906">SUMIF($C$12:$P$12,$A$3,TK318:TX318)</f>
        <v>0</v>
      </c>
      <c r="UO318" s="91">
        <f t="shared" ref="UO318:UO354" si="1907">SUMIF($C$12:$P$12,$A$1,UA318:UN318)</f>
        <v>0</v>
      </c>
      <c r="UP318" s="91">
        <f t="shared" ref="UP318:UP352" si="1908">SUMIF($C$12:$P$12,$A$3,UA318:UN318)</f>
        <v>0</v>
      </c>
      <c r="US318" s="98">
        <v>90800</v>
      </c>
      <c r="UT318" s="98">
        <v>1816000</v>
      </c>
      <c r="VE318" s="91">
        <f t="shared" ref="VE318:VE354" si="1909">SUMIF($C$12:$P$12,$A$1,UQ318:VD318)</f>
        <v>90800</v>
      </c>
      <c r="VF318" s="91">
        <f t="shared" ref="VF318:VF354" si="1910">SUMIF($C$12:$P$12,$A$3,UQ318:VD318)</f>
        <v>1816000</v>
      </c>
      <c r="VI318" s="98">
        <v>570</v>
      </c>
      <c r="VJ318" s="98">
        <v>9120</v>
      </c>
      <c r="VU318" s="91">
        <f t="shared" ref="VU318:VU354" si="1911">SUMIF($C$12:$P$12,$A$1,VG318:VT318)</f>
        <v>570</v>
      </c>
      <c r="VV318" s="91">
        <f t="shared" ref="VV318:VV354" si="1912">SUMIF($C$12:$P$12,$A$3,VG318:VT318)</f>
        <v>9120</v>
      </c>
      <c r="VY318" s="98">
        <v>368730</v>
      </c>
      <c r="VZ318" s="98">
        <v>12168090</v>
      </c>
      <c r="WC318" s="98">
        <v>60900</v>
      </c>
      <c r="WD318" s="98">
        <v>1827000</v>
      </c>
      <c r="WK318" s="91">
        <f t="shared" ref="WK318:WK354" si="1913">SUMIF($C$12:$P$12,$A$1,VW318:WJ318)</f>
        <v>429630</v>
      </c>
      <c r="WL318" s="91">
        <f t="shared" ref="WL318:WL354" si="1914">SUMIF($C$12:$P$12,$A$3,VW318:WJ318)</f>
        <v>13995090</v>
      </c>
      <c r="WM318" s="89"/>
      <c r="WN318" s="87">
        <f t="shared" ref="WN318:WN345" si="1915">SUMIF($C$5:$WL$5,$WN$5,C318:WL318)</f>
        <v>200</v>
      </c>
      <c r="WO318" s="87">
        <f t="shared" ref="WO318:WO345" si="1916">SUMIF($C$5:$WL$5,$WO$5,C318:WL318)</f>
        <v>14000</v>
      </c>
      <c r="WP318" s="87">
        <f t="shared" ref="WP318:WP345" si="1917">SUMIF($C$5:$WL$5,$WP$5,C318:WL318)</f>
        <v>9810301.6413420662</v>
      </c>
      <c r="WQ318" s="87">
        <f t="shared" ref="WQ318:WQ345" si="1918">SUMIF($C$5:$WL$5,$WQ$5,C318:WL318)</f>
        <v>220845600.428</v>
      </c>
      <c r="WR318" s="87">
        <f t="shared" ref="WR318:WR345" si="1919">SUMIF($C$5:$WL$5,$WR$5,C318:WL318)</f>
        <v>0</v>
      </c>
      <c r="WS318" s="87">
        <f t="shared" ref="WS318:WS345" si="1920">SUMIF($C$5:$WL$5,$WS$5,C318:WL318)</f>
        <v>0</v>
      </c>
      <c r="WT318" s="87">
        <f t="shared" ref="WT318:WT345" si="1921">SUMIF($C$5:$WL$5,$WT$5,C318:WL318)</f>
        <v>3124925</v>
      </c>
      <c r="WU318" s="87">
        <f t="shared" ref="WU318:WU345" si="1922">SUMIF($C$5:$WL$5,$WU$5,C318:WL318)</f>
        <v>63292315</v>
      </c>
      <c r="WV318" s="87">
        <f t="shared" ref="WV318:WV345" si="1923">SUMIF($C$5:$WL$5,$WV$5,C318:WL318)</f>
        <v>432680</v>
      </c>
      <c r="WW318" s="87">
        <f t="shared" ref="WW318:WW345" si="1924">SUMIF($C$5:$WL$5,$WW$5,C318:WL318)</f>
        <v>8653600</v>
      </c>
      <c r="WX318" s="87">
        <f t="shared" ref="WX318:WX345" si="1925">SUMIF($C$5:$WL$5,$WX$5,C318:WL318)</f>
        <v>0</v>
      </c>
      <c r="WY318" s="87">
        <f t="shared" ref="WY318:WY345" si="1926">SUMIF($C$5:$WL$5,$WY$5,C318:WL318)</f>
        <v>0</v>
      </c>
      <c r="WZ318" s="87">
        <f t="shared" ref="WZ318:WZ340" si="1927">SUMIF($C$5:$WL$5,$WZ$5,C318:WL318)</f>
        <v>0</v>
      </c>
      <c r="XA318" s="87">
        <f t="shared" ref="XA318:XA340" si="1928">SUMIF($C$5:$WL$5,$XA$5,C318:WL318)</f>
        <v>0</v>
      </c>
      <c r="XB318" s="92">
        <f t="shared" ref="XB318:XB340" si="1929">SUMIF($WN$12:$XA$12,$XB$12,WN318:XA318)</f>
        <v>13368106.641342066</v>
      </c>
      <c r="XC318" s="92">
        <f t="shared" ref="XC318:XC340" si="1930">SUMIF($WN$12:$XA$12,$XC$12,WN318:XA318)</f>
        <v>292805515.42799997</v>
      </c>
      <c r="XD318" s="89"/>
      <c r="XE318" s="92"/>
      <c r="XF318" s="92"/>
      <c r="XG318" s="89"/>
      <c r="XH318" s="92"/>
      <c r="XI318" s="92"/>
      <c r="XJ318" s="89"/>
      <c r="XK318" s="87"/>
      <c r="XL318" s="87"/>
      <c r="XM318" s="87"/>
      <c r="XN318" s="87"/>
      <c r="XO318" s="87"/>
      <c r="XP318" s="87"/>
      <c r="XQ318" s="87"/>
      <c r="XR318" s="92">
        <f t="shared" ref="XR318:XR354" ca="1" si="1931">SUMIF($WN$12:$XA$12,$XB$12,XK318:XQ318)</f>
        <v>0</v>
      </c>
      <c r="XS318" s="89"/>
      <c r="XT318" s="87"/>
      <c r="XU318" s="87"/>
      <c r="XV318" s="87"/>
      <c r="XW318" s="87"/>
      <c r="XX318" s="87"/>
      <c r="XY318" s="87"/>
      <c r="XZ318" s="87"/>
      <c r="YA318" s="92">
        <f t="shared" ref="YA318:YA354" ca="1" si="1932">SUMIF($WN$12:$XA$12,$XB$12,XT318:XZ318)</f>
        <v>0</v>
      </c>
      <c r="YB318" s="90"/>
      <c r="YC318" s="90"/>
      <c r="YD318" s="90"/>
      <c r="YE318" s="90"/>
      <c r="YF318" s="90"/>
      <c r="YG318" s="90"/>
      <c r="YH318" s="90"/>
      <c r="YI318" s="90"/>
      <c r="YJ318" s="90"/>
      <c r="YK318" s="90"/>
      <c r="YL318" s="90"/>
      <c r="YM318" s="90"/>
      <c r="YN318" s="90"/>
      <c r="YO318" s="90"/>
      <c r="YP318" s="90"/>
      <c r="YQ318" s="90"/>
      <c r="YR318" s="90"/>
      <c r="YS318" s="90"/>
      <c r="YT318" s="90"/>
      <c r="YU318" s="90"/>
      <c r="YV318" s="90"/>
      <c r="YW318" s="90"/>
      <c r="YX318" s="90"/>
      <c r="YY318" s="90"/>
      <c r="YZ318" s="90"/>
      <c r="ZA318" s="90"/>
      <c r="ZB318" s="90"/>
      <c r="ZC318" s="90"/>
      <c r="ZD318" s="90"/>
      <c r="ZE318" s="90"/>
      <c r="ZF318" s="90"/>
      <c r="ZG318" s="90"/>
      <c r="ZH318" s="90"/>
      <c r="ZI318" s="90"/>
      <c r="ZJ318" s="90"/>
      <c r="ZK318" s="90"/>
      <c r="ZL318" s="90"/>
      <c r="ZM318" s="90"/>
      <c r="ZN318" s="90"/>
      <c r="ZO318" s="90"/>
      <c r="ZP318" s="90"/>
      <c r="ZQ318" s="90"/>
      <c r="ZR318" s="90"/>
      <c r="ZS318" s="90"/>
      <c r="ZT318" s="90"/>
      <c r="ZU318" s="90"/>
      <c r="ZV318" s="90"/>
      <c r="ZW318" s="90"/>
      <c r="ZX318" s="90"/>
      <c r="ZY318" s="90"/>
      <c r="ZZ318" s="90"/>
      <c r="AAA318" s="90"/>
      <c r="AAB318" s="90"/>
      <c r="AAC318" s="90"/>
      <c r="AAD318" s="90"/>
      <c r="AAE318" s="90"/>
      <c r="AAF318" s="90"/>
      <c r="AAG318" s="90"/>
      <c r="AAH318" s="90"/>
      <c r="AAI318" s="90"/>
      <c r="AAJ318" s="90"/>
      <c r="AAK318" s="90"/>
      <c r="AAL318" s="90"/>
      <c r="AAM318" s="90"/>
      <c r="AAN318" s="90"/>
      <c r="AAO318" s="90"/>
      <c r="AAP318" s="90"/>
      <c r="AAQ318" s="90"/>
      <c r="AAR318" s="90"/>
      <c r="AAS318" s="90"/>
      <c r="AAT318" s="90"/>
      <c r="AAU318" s="90"/>
      <c r="AAV318" s="90"/>
      <c r="AAW318" s="90"/>
      <c r="AAX318" s="90"/>
      <c r="AAY318" s="90"/>
      <c r="AAZ318" s="90"/>
      <c r="ABA318" s="90"/>
      <c r="ABB318" s="90"/>
      <c r="ABC318" s="90"/>
      <c r="ABD318" s="90"/>
      <c r="ABE318" s="90"/>
      <c r="ABF318" s="90"/>
      <c r="ABG318" s="90"/>
      <c r="ABH318" s="90"/>
      <c r="ABI318" s="90"/>
      <c r="ABJ318" s="90"/>
      <c r="ABK318" s="90"/>
      <c r="ABL318" s="90"/>
      <c r="ABM318" s="90"/>
      <c r="ABN318" s="90"/>
      <c r="ABO318" s="90"/>
      <c r="ABP318" s="90"/>
      <c r="ABQ318" s="90"/>
      <c r="ABR318" s="90"/>
      <c r="ABS318" s="90"/>
      <c r="ABT318" s="90"/>
      <c r="ABU318" s="90"/>
      <c r="ABV318" s="90"/>
      <c r="ABW318" s="90"/>
      <c r="ABX318" s="90"/>
      <c r="ABY318" s="90"/>
      <c r="ABZ318" s="90"/>
      <c r="ACA318" s="90"/>
      <c r="ACB318" s="90"/>
      <c r="ACC318" s="90"/>
      <c r="ACD318" s="90"/>
      <c r="ACE318" s="90"/>
      <c r="ACF318" s="90"/>
      <c r="ACG318" s="90"/>
      <c r="ACH318" s="90"/>
      <c r="ACI318" s="90"/>
      <c r="ACJ318" s="90"/>
      <c r="ACK318" s="90"/>
      <c r="ACL318" s="90"/>
      <c r="ACM318" s="90"/>
      <c r="ACN318" s="90"/>
      <c r="ACO318" s="90"/>
      <c r="ACP318" s="90"/>
      <c r="ACQ318" s="90"/>
      <c r="ACR318" s="90"/>
      <c r="ACS318" s="90"/>
      <c r="ACT318" s="90"/>
      <c r="ACU318" s="90"/>
      <c r="ACV318" s="90"/>
      <c r="ACW318" s="90"/>
      <c r="ACX318" s="90"/>
      <c r="ACY318" s="90"/>
      <c r="ACZ318" s="90"/>
      <c r="ADA318" s="90"/>
      <c r="ADB318" s="90"/>
      <c r="ADC318" s="90"/>
      <c r="ADD318" s="90"/>
      <c r="ADE318" s="90"/>
      <c r="ADF318" s="90"/>
      <c r="ADG318" s="90"/>
      <c r="ADH318" s="90"/>
      <c r="ADI318" s="90"/>
      <c r="ADJ318" s="90"/>
      <c r="ADK318" s="90"/>
      <c r="ADL318" s="90"/>
      <c r="ADM318" s="90"/>
      <c r="ADN318" s="90"/>
      <c r="ADO318" s="90"/>
      <c r="ADP318" s="90"/>
      <c r="ADQ318" s="90"/>
      <c r="ADR318" s="90"/>
      <c r="ADS318" s="90"/>
      <c r="ADT318" s="90"/>
      <c r="ADU318" s="90"/>
      <c r="ADV318" s="90"/>
      <c r="ADW318" s="90"/>
      <c r="ADX318" s="90"/>
      <c r="ADY318" s="90"/>
      <c r="ADZ318" s="90"/>
      <c r="AEA318" s="90"/>
      <c r="AEB318" s="90"/>
      <c r="AEC318" s="90"/>
      <c r="AED318" s="90"/>
      <c r="AEE318" s="90"/>
      <c r="AEF318" s="90"/>
      <c r="AEG318" s="90"/>
      <c r="AEH318" s="90"/>
      <c r="AEI318" s="90"/>
      <c r="AEJ318" s="90"/>
      <c r="AEK318" s="90"/>
      <c r="AEL318" s="90"/>
      <c r="AEM318" s="90"/>
      <c r="AEN318" s="90"/>
      <c r="AEO318" s="90"/>
      <c r="AEP318" s="90"/>
      <c r="AEQ318" s="90"/>
      <c r="AER318" s="90"/>
      <c r="AES318" s="90"/>
      <c r="AET318" s="90"/>
      <c r="AEU318" s="90"/>
      <c r="AEV318" s="90"/>
      <c r="AEW318" s="90"/>
      <c r="AEX318" s="90"/>
      <c r="AEY318" s="90"/>
      <c r="AEZ318" s="90"/>
      <c r="AFA318" s="90"/>
      <c r="AFB318" s="90"/>
      <c r="AFC318" s="90"/>
      <c r="AFD318" s="90"/>
      <c r="AFE318" s="90"/>
      <c r="AFF318" s="90"/>
      <c r="AFG318" s="90"/>
      <c r="AFH318" s="90"/>
      <c r="AFI318" s="90"/>
      <c r="AFJ318" s="90"/>
      <c r="AFK318" s="90"/>
      <c r="AFL318" s="90"/>
      <c r="AFM318" s="90"/>
      <c r="AFN318" s="90"/>
      <c r="AFO318" s="90"/>
      <c r="AFP318" s="90"/>
      <c r="AFQ318" s="90"/>
      <c r="AFR318" s="90"/>
      <c r="AFS318" s="90"/>
      <c r="AFT318" s="90"/>
      <c r="AFU318" s="90"/>
      <c r="AFV318" s="90"/>
      <c r="AFW318" s="90"/>
      <c r="AFX318" s="90"/>
      <c r="AFY318" s="90"/>
      <c r="AFZ318" s="90"/>
      <c r="AGA318" s="90"/>
      <c r="AGB318" s="90"/>
      <c r="AGC318" s="90"/>
      <c r="AGD318" s="90"/>
      <c r="AGE318" s="90"/>
      <c r="AGF318" s="90"/>
      <c r="AGG318" s="90"/>
      <c r="AGH318" s="90"/>
      <c r="AGI318" s="90"/>
      <c r="AGJ318" s="90"/>
      <c r="AGK318" s="90"/>
      <c r="AGL318" s="90"/>
      <c r="AGM318" s="90"/>
      <c r="AGN318" s="90"/>
      <c r="AGO318" s="90"/>
      <c r="AGP318" s="90"/>
      <c r="AGQ318" s="90"/>
      <c r="AGR318" s="90"/>
      <c r="AGS318" s="90"/>
      <c r="AGT318" s="90"/>
      <c r="AGU318" s="90"/>
      <c r="AGV318" s="90"/>
      <c r="AGW318" s="90"/>
      <c r="AGX318" s="90"/>
      <c r="AGY318" s="90"/>
      <c r="AGZ318" s="90"/>
      <c r="AHA318" s="90"/>
      <c r="AHB318" s="90"/>
      <c r="AHC318" s="90"/>
      <c r="AHD318" s="90"/>
      <c r="AHE318" s="90"/>
      <c r="AHF318" s="90"/>
      <c r="AHG318" s="90"/>
      <c r="AHH318" s="90"/>
      <c r="AHI318" s="90"/>
      <c r="AHJ318" s="90"/>
      <c r="AHK318" s="90"/>
      <c r="AHL318" s="90"/>
      <c r="AHM318" s="90"/>
      <c r="AHN318" s="90"/>
      <c r="AHO318" s="90"/>
      <c r="AHP318" s="90"/>
      <c r="AHQ318" s="90"/>
      <c r="AHR318" s="90"/>
      <c r="AHS318" s="90"/>
      <c r="AHT318" s="90"/>
      <c r="AHU318" s="90"/>
      <c r="AHV318" s="90"/>
      <c r="AHW318" s="90"/>
      <c r="AHX318" s="90"/>
      <c r="AHY318" s="90"/>
      <c r="AHZ318" s="90"/>
      <c r="AIA318" s="90"/>
      <c r="AIB318" s="90"/>
      <c r="AIC318" s="90"/>
      <c r="AID318" s="90"/>
      <c r="AIE318" s="90"/>
      <c r="AIF318" s="90"/>
      <c r="AIG318" s="90"/>
      <c r="AIH318" s="90"/>
      <c r="AII318" s="90"/>
      <c r="AIJ318" s="90"/>
      <c r="AIK318" s="90"/>
      <c r="AIL318" s="90"/>
      <c r="AIM318" s="90"/>
      <c r="AIN318" s="90"/>
      <c r="AIO318" s="90"/>
      <c r="AIP318" s="90"/>
      <c r="AIQ318" s="90"/>
      <c r="AIR318" s="90"/>
      <c r="AIS318" s="90"/>
      <c r="AIT318" s="90"/>
      <c r="AIU318" s="90"/>
      <c r="AIV318" s="90"/>
      <c r="AIW318" s="90"/>
      <c r="AIX318" s="90"/>
      <c r="AIY318" s="90"/>
      <c r="AIZ318" s="90"/>
      <c r="AJA318" s="90"/>
      <c r="AJB318" s="90"/>
      <c r="AJC318" s="90"/>
      <c r="AJD318" s="90"/>
      <c r="AJE318" s="90"/>
      <c r="AJF318" s="90"/>
      <c r="AJG318" s="90"/>
      <c r="AJH318" s="90"/>
      <c r="AJI318" s="90"/>
      <c r="AJJ318" s="90"/>
      <c r="AJK318" s="90"/>
      <c r="AJL318" s="90"/>
      <c r="AJM318" s="90"/>
      <c r="AJN318" s="90"/>
      <c r="AJO318" s="90"/>
      <c r="AJP318" s="90"/>
      <c r="AJQ318" s="90"/>
      <c r="AJR318" s="90"/>
      <c r="AJS318" s="90"/>
      <c r="AJT318" s="90"/>
      <c r="AJU318" s="90"/>
      <c r="AJV318" s="90"/>
      <c r="AJW318" s="90"/>
      <c r="AJX318" s="90"/>
      <c r="AJY318" s="90"/>
      <c r="AJZ318" s="90"/>
      <c r="AKA318" s="90"/>
      <c r="AKB318" s="90"/>
      <c r="AKC318" s="90"/>
      <c r="AKD318" s="90"/>
      <c r="AKE318" s="90"/>
      <c r="AKF318" s="90"/>
      <c r="AKG318" s="90"/>
      <c r="AKH318" s="90"/>
      <c r="AKI318" s="90"/>
      <c r="AKJ318" s="90"/>
      <c r="AKK318" s="90"/>
      <c r="AKL318" s="90"/>
      <c r="AKM318" s="90"/>
      <c r="AKN318" s="90"/>
      <c r="AKO318" s="90"/>
      <c r="AKP318" s="90"/>
      <c r="AKQ318" s="90"/>
      <c r="AKR318" s="90"/>
      <c r="AKS318" s="90"/>
      <c r="AKT318" s="90"/>
      <c r="AKU318" s="90"/>
      <c r="AKV318" s="90"/>
      <c r="AKW318" s="90"/>
      <c r="AKX318" s="90"/>
      <c r="AKY318" s="90"/>
      <c r="AKZ318" s="90"/>
      <c r="ALA318" s="90"/>
      <c r="ALB318" s="90"/>
      <c r="ALC318" s="90"/>
      <c r="ALD318" s="90"/>
      <c r="ALE318" s="90"/>
      <c r="ALF318" s="90"/>
      <c r="ALG318" s="90"/>
      <c r="ALH318" s="90"/>
      <c r="ALI318" s="90"/>
      <c r="ALJ318" s="90"/>
      <c r="ALK318" s="90"/>
      <c r="ALL318" s="90"/>
      <c r="ALM318" s="90"/>
      <c r="ALN318" s="90"/>
      <c r="ALO318" s="90"/>
      <c r="ALP318" s="90"/>
      <c r="ALQ318" s="90"/>
      <c r="ALR318" s="90"/>
      <c r="ALS318" s="90"/>
      <c r="ALT318" s="90"/>
      <c r="ALU318" s="90"/>
      <c r="ALV318" s="90"/>
      <c r="ALW318" s="90"/>
      <c r="ALX318" s="90"/>
      <c r="ALY318" s="90"/>
      <c r="ALZ318" s="90"/>
      <c r="AMA318" s="90"/>
      <c r="AMB318" s="90"/>
      <c r="AMC318" s="90"/>
    </row>
    <row r="319" spans="1:1017">
      <c r="A319" s="98" t="s">
        <v>53</v>
      </c>
      <c r="B319" s="90" t="str">
        <f t="shared" si="1838"/>
        <v xml:space="preserve">Bawal </v>
      </c>
      <c r="Q319" s="91">
        <f t="shared" si="1839"/>
        <v>0</v>
      </c>
      <c r="R319" s="91">
        <f t="shared" si="1840"/>
        <v>0</v>
      </c>
      <c r="Y319" s="98">
        <v>1875</v>
      </c>
      <c r="Z319" s="98">
        <v>37500</v>
      </c>
      <c r="AG319" s="91">
        <f t="shared" si="1841"/>
        <v>1875</v>
      </c>
      <c r="AH319" s="91">
        <f t="shared" si="1842"/>
        <v>37500</v>
      </c>
      <c r="AW319" s="91">
        <f t="shared" si="1843"/>
        <v>0</v>
      </c>
      <c r="AX319" s="91">
        <f t="shared" si="1844"/>
        <v>0</v>
      </c>
      <c r="BM319" s="91">
        <f t="shared" si="1845"/>
        <v>0</v>
      </c>
      <c r="BN319" s="91">
        <f t="shared" si="1846"/>
        <v>0</v>
      </c>
      <c r="CC319" s="91">
        <f t="shared" si="1847"/>
        <v>0</v>
      </c>
      <c r="CD319" s="91">
        <f t="shared" si="1848"/>
        <v>0</v>
      </c>
      <c r="CS319" s="91">
        <f t="shared" si="1849"/>
        <v>0</v>
      </c>
      <c r="CT319" s="91">
        <f t="shared" si="1850"/>
        <v>0</v>
      </c>
      <c r="DI319" s="91">
        <f t="shared" si="1851"/>
        <v>0</v>
      </c>
      <c r="DJ319" s="91">
        <f t="shared" si="1852"/>
        <v>0</v>
      </c>
      <c r="DQ319" s="98">
        <v>307400</v>
      </c>
      <c r="DR319" s="98">
        <v>5225800</v>
      </c>
      <c r="DY319" s="91">
        <f t="shared" si="1853"/>
        <v>307400</v>
      </c>
      <c r="DZ319" s="91">
        <f t="shared" si="1854"/>
        <v>5225800</v>
      </c>
      <c r="EG319" s="98">
        <v>60000</v>
      </c>
      <c r="EH319" s="98">
        <v>660000</v>
      </c>
      <c r="EO319" s="91">
        <f t="shared" si="1855"/>
        <v>60000</v>
      </c>
      <c r="EP319" s="91">
        <f t="shared" si="1856"/>
        <v>660000</v>
      </c>
      <c r="FE319" s="91">
        <f t="shared" si="1857"/>
        <v>0</v>
      </c>
      <c r="FF319" s="91">
        <f t="shared" si="1858"/>
        <v>0</v>
      </c>
      <c r="FU319" s="91">
        <f t="shared" si="1859"/>
        <v>0</v>
      </c>
      <c r="FV319" s="91">
        <f t="shared" si="1860"/>
        <v>0</v>
      </c>
      <c r="GK319" s="91">
        <f t="shared" si="1861"/>
        <v>0</v>
      </c>
      <c r="GL319" s="91">
        <f t="shared" si="1862"/>
        <v>0</v>
      </c>
      <c r="HA319" s="91">
        <f t="shared" si="1863"/>
        <v>0</v>
      </c>
      <c r="HB319" s="91">
        <f t="shared" si="1864"/>
        <v>0</v>
      </c>
      <c r="HQ319" s="91">
        <f t="shared" si="1865"/>
        <v>0</v>
      </c>
      <c r="HR319" s="91">
        <f t="shared" si="1866"/>
        <v>0</v>
      </c>
      <c r="IG319" s="91">
        <f t="shared" si="1867"/>
        <v>0</v>
      </c>
      <c r="IH319" s="91">
        <f t="shared" si="1868"/>
        <v>0</v>
      </c>
      <c r="IO319" s="98">
        <v>1170</v>
      </c>
      <c r="IP319" s="98">
        <v>29250</v>
      </c>
      <c r="IW319" s="91">
        <f t="shared" si="1869"/>
        <v>1170</v>
      </c>
      <c r="IX319" s="91">
        <f t="shared" si="1870"/>
        <v>29250</v>
      </c>
      <c r="JM319" s="91">
        <f t="shared" si="1871"/>
        <v>0</v>
      </c>
      <c r="JN319" s="91">
        <f t="shared" si="1872"/>
        <v>0</v>
      </c>
      <c r="KC319" s="91">
        <f t="shared" si="1873"/>
        <v>0</v>
      </c>
      <c r="KD319" s="91">
        <f t="shared" si="1874"/>
        <v>0</v>
      </c>
      <c r="KS319" s="91">
        <f t="shared" si="1875"/>
        <v>0</v>
      </c>
      <c r="KT319" s="91">
        <f t="shared" si="1876"/>
        <v>0</v>
      </c>
      <c r="LI319" s="91">
        <f t="shared" si="1877"/>
        <v>0</v>
      </c>
      <c r="LJ319" s="91">
        <f t="shared" si="1878"/>
        <v>0</v>
      </c>
      <c r="LY319" s="91">
        <f t="shared" si="1879"/>
        <v>0</v>
      </c>
      <c r="LZ319" s="91">
        <f t="shared" si="1880"/>
        <v>0</v>
      </c>
      <c r="MO319" s="91">
        <f t="shared" si="1881"/>
        <v>0</v>
      </c>
      <c r="MP319" s="91">
        <f t="shared" si="1882"/>
        <v>0</v>
      </c>
      <c r="NE319" s="91">
        <f t="shared" si="1883"/>
        <v>0</v>
      </c>
      <c r="NF319" s="91">
        <f t="shared" si="1884"/>
        <v>0</v>
      </c>
      <c r="NQ319" s="98">
        <v>142</v>
      </c>
      <c r="NR319" s="98">
        <v>2556</v>
      </c>
      <c r="NU319" s="91">
        <f t="shared" si="1885"/>
        <v>142</v>
      </c>
      <c r="NV319" s="91">
        <f t="shared" si="1886"/>
        <v>2556</v>
      </c>
      <c r="OK319" s="91">
        <f t="shared" si="1887"/>
        <v>0</v>
      </c>
      <c r="OL319" s="91">
        <f t="shared" si="1888"/>
        <v>0</v>
      </c>
      <c r="PA319" s="91">
        <f t="shared" si="1889"/>
        <v>0</v>
      </c>
      <c r="PB319" s="91">
        <f t="shared" si="1890"/>
        <v>0</v>
      </c>
      <c r="PQ319" s="91">
        <f t="shared" si="1891"/>
        <v>0</v>
      </c>
      <c r="PR319" s="91">
        <f t="shared" si="1892"/>
        <v>0</v>
      </c>
      <c r="PY319" s="98">
        <v>18000</v>
      </c>
      <c r="PZ319" s="98">
        <v>360000</v>
      </c>
      <c r="QC319" s="98">
        <v>6310</v>
      </c>
      <c r="QD319" s="98">
        <v>94650</v>
      </c>
      <c r="QG319" s="91">
        <f t="shared" si="1893"/>
        <v>24310</v>
      </c>
      <c r="QH319" s="91">
        <f t="shared" si="1894"/>
        <v>454650</v>
      </c>
      <c r="QW319" s="91">
        <f t="shared" si="1895"/>
        <v>0</v>
      </c>
      <c r="QX319" s="91">
        <f t="shared" si="1896"/>
        <v>0</v>
      </c>
      <c r="RM319" s="91">
        <f t="shared" si="1897"/>
        <v>0</v>
      </c>
      <c r="RN319" s="91">
        <f t="shared" si="1898"/>
        <v>0</v>
      </c>
      <c r="SC319" s="91">
        <f t="shared" si="1899"/>
        <v>0</v>
      </c>
      <c r="SD319" s="91">
        <f t="shared" si="1900"/>
        <v>0</v>
      </c>
      <c r="SS319" s="91">
        <f t="shared" si="1901"/>
        <v>0</v>
      </c>
      <c r="ST319" s="91">
        <f t="shared" si="1902"/>
        <v>0</v>
      </c>
      <c r="TI319" s="91">
        <f t="shared" si="1903"/>
        <v>0</v>
      </c>
      <c r="TJ319" s="91">
        <f t="shared" si="1904"/>
        <v>0</v>
      </c>
      <c r="TY319" s="91">
        <f t="shared" si="1905"/>
        <v>0</v>
      </c>
      <c r="TZ319" s="91">
        <f t="shared" si="1906"/>
        <v>0</v>
      </c>
      <c r="UO319" s="91">
        <f t="shared" si="1907"/>
        <v>0</v>
      </c>
      <c r="UP319" s="91">
        <f t="shared" si="1908"/>
        <v>0</v>
      </c>
      <c r="VE319" s="91">
        <f t="shared" si="1909"/>
        <v>0</v>
      </c>
      <c r="VF319" s="91">
        <f t="shared" si="1910"/>
        <v>0</v>
      </c>
      <c r="VU319" s="91">
        <f t="shared" si="1911"/>
        <v>0</v>
      </c>
      <c r="VV319" s="91">
        <f t="shared" si="1912"/>
        <v>0</v>
      </c>
      <c r="WK319" s="91">
        <f t="shared" si="1913"/>
        <v>0</v>
      </c>
      <c r="WL319" s="91">
        <f t="shared" si="1914"/>
        <v>0</v>
      </c>
      <c r="WM319" s="89"/>
      <c r="WN319" s="87">
        <f t="shared" si="1915"/>
        <v>0</v>
      </c>
      <c r="WO319" s="87">
        <f t="shared" si="1916"/>
        <v>0</v>
      </c>
      <c r="WP319" s="87">
        <f t="shared" si="1917"/>
        <v>0</v>
      </c>
      <c r="WQ319" s="87">
        <f t="shared" si="1918"/>
        <v>0</v>
      </c>
      <c r="WR319" s="87">
        <f t="shared" si="1919"/>
        <v>0</v>
      </c>
      <c r="WS319" s="87">
        <f t="shared" si="1920"/>
        <v>0</v>
      </c>
      <c r="WT319" s="87">
        <f t="shared" si="1921"/>
        <v>388445</v>
      </c>
      <c r="WU319" s="87">
        <f t="shared" si="1922"/>
        <v>6312550</v>
      </c>
      <c r="WV319" s="87">
        <f t="shared" si="1923"/>
        <v>0</v>
      </c>
      <c r="WW319" s="87">
        <f t="shared" si="1924"/>
        <v>0</v>
      </c>
      <c r="WX319" s="87">
        <f t="shared" si="1925"/>
        <v>6452</v>
      </c>
      <c r="WY319" s="87">
        <f t="shared" si="1926"/>
        <v>97206</v>
      </c>
      <c r="WZ319" s="87">
        <f t="shared" si="1927"/>
        <v>0</v>
      </c>
      <c r="XA319" s="87">
        <f t="shared" si="1928"/>
        <v>0</v>
      </c>
      <c r="XB319" s="92">
        <f t="shared" si="1929"/>
        <v>394897</v>
      </c>
      <c r="XC319" s="92">
        <f t="shared" si="1930"/>
        <v>6409756</v>
      </c>
      <c r="XD319" s="89"/>
      <c r="XE319" s="92"/>
      <c r="XF319" s="92"/>
      <c r="XG319" s="89"/>
      <c r="XH319" s="92"/>
      <c r="XI319" s="92"/>
      <c r="XJ319" s="89"/>
      <c r="XK319" s="87"/>
      <c r="XL319" s="87"/>
      <c r="XM319" s="87"/>
      <c r="XN319" s="87"/>
      <c r="XO319" s="87"/>
      <c r="XP319" s="87"/>
      <c r="XQ319" s="87"/>
      <c r="XR319" s="92">
        <f t="shared" ca="1" si="1931"/>
        <v>0</v>
      </c>
      <c r="XS319" s="89"/>
      <c r="XT319" s="87"/>
      <c r="XU319" s="87"/>
      <c r="XV319" s="87"/>
      <c r="XW319" s="87"/>
      <c r="XX319" s="87"/>
      <c r="XY319" s="87"/>
      <c r="XZ319" s="87"/>
      <c r="YA319" s="92">
        <f t="shared" ca="1" si="1932"/>
        <v>0</v>
      </c>
      <c r="YB319" s="90"/>
      <c r="YC319" s="90"/>
      <c r="YD319" s="90"/>
      <c r="YE319" s="90"/>
      <c r="YF319" s="90"/>
      <c r="YG319" s="90"/>
      <c r="YH319" s="90"/>
      <c r="YI319" s="90"/>
      <c r="YJ319" s="90"/>
      <c r="YK319" s="90"/>
      <c r="YL319" s="90"/>
      <c r="YM319" s="90"/>
      <c r="YN319" s="90"/>
      <c r="YO319" s="90"/>
      <c r="YP319" s="90"/>
      <c r="YQ319" s="90"/>
      <c r="YR319" s="90"/>
      <c r="YS319" s="90"/>
      <c r="YT319" s="90"/>
      <c r="YU319" s="90"/>
      <c r="YV319" s="90"/>
      <c r="YW319" s="90"/>
      <c r="YX319" s="90"/>
      <c r="YY319" s="90"/>
      <c r="YZ319" s="90"/>
      <c r="ZA319" s="90"/>
      <c r="ZB319" s="90"/>
      <c r="ZC319" s="90"/>
      <c r="ZD319" s="90"/>
      <c r="ZE319" s="90"/>
      <c r="ZF319" s="90"/>
      <c r="ZG319" s="90"/>
      <c r="ZH319" s="90"/>
      <c r="ZI319" s="90"/>
      <c r="ZJ319" s="90"/>
      <c r="ZK319" s="90"/>
      <c r="ZL319" s="90"/>
      <c r="ZM319" s="90"/>
      <c r="ZN319" s="90"/>
      <c r="ZO319" s="90"/>
      <c r="ZP319" s="90"/>
      <c r="ZQ319" s="90"/>
      <c r="ZR319" s="90"/>
      <c r="ZS319" s="90"/>
      <c r="ZT319" s="90"/>
      <c r="ZU319" s="90"/>
      <c r="ZV319" s="90"/>
      <c r="ZW319" s="90"/>
      <c r="ZX319" s="90"/>
      <c r="ZY319" s="90"/>
      <c r="ZZ319" s="90"/>
      <c r="AAA319" s="90"/>
      <c r="AAB319" s="90"/>
      <c r="AAC319" s="90"/>
      <c r="AAD319" s="90"/>
      <c r="AAE319" s="90"/>
      <c r="AAF319" s="90"/>
      <c r="AAG319" s="90"/>
      <c r="AAH319" s="90"/>
      <c r="AAI319" s="90"/>
      <c r="AAJ319" s="90"/>
      <c r="AAK319" s="90"/>
      <c r="AAL319" s="90"/>
      <c r="AAM319" s="90"/>
      <c r="AAN319" s="90"/>
      <c r="AAO319" s="90"/>
      <c r="AAP319" s="90"/>
      <c r="AAQ319" s="90"/>
      <c r="AAR319" s="90"/>
      <c r="AAS319" s="90"/>
      <c r="AAT319" s="90"/>
      <c r="AAU319" s="90"/>
      <c r="AAV319" s="90"/>
      <c r="AAW319" s="90"/>
      <c r="AAX319" s="90"/>
      <c r="AAY319" s="90"/>
      <c r="AAZ319" s="90"/>
      <c r="ABA319" s="90"/>
      <c r="ABB319" s="90"/>
      <c r="ABC319" s="90"/>
      <c r="ABD319" s="90"/>
      <c r="ABE319" s="90"/>
      <c r="ABF319" s="90"/>
      <c r="ABG319" s="90"/>
      <c r="ABH319" s="90"/>
      <c r="ABI319" s="90"/>
      <c r="ABJ319" s="90"/>
      <c r="ABK319" s="90"/>
      <c r="ABL319" s="90"/>
      <c r="ABM319" s="90"/>
      <c r="ABN319" s="90"/>
      <c r="ABO319" s="90"/>
      <c r="ABP319" s="90"/>
      <c r="ABQ319" s="90"/>
      <c r="ABR319" s="90"/>
      <c r="ABS319" s="90"/>
      <c r="ABT319" s="90"/>
      <c r="ABU319" s="90"/>
      <c r="ABV319" s="90"/>
      <c r="ABW319" s="90"/>
      <c r="ABX319" s="90"/>
      <c r="ABY319" s="90"/>
      <c r="ABZ319" s="90"/>
      <c r="ACA319" s="90"/>
      <c r="ACB319" s="90"/>
      <c r="ACC319" s="90"/>
      <c r="ACD319" s="90"/>
      <c r="ACE319" s="90"/>
      <c r="ACF319" s="90"/>
      <c r="ACG319" s="90"/>
      <c r="ACH319" s="90"/>
      <c r="ACI319" s="90"/>
      <c r="ACJ319" s="90"/>
      <c r="ACK319" s="90"/>
      <c r="ACL319" s="90"/>
      <c r="ACM319" s="90"/>
      <c r="ACN319" s="90"/>
      <c r="ACO319" s="90"/>
      <c r="ACP319" s="90"/>
      <c r="ACQ319" s="90"/>
      <c r="ACR319" s="90"/>
      <c r="ACS319" s="90"/>
      <c r="ACT319" s="90"/>
      <c r="ACU319" s="90"/>
      <c r="ACV319" s="90"/>
      <c r="ACW319" s="90"/>
      <c r="ACX319" s="90"/>
      <c r="ACY319" s="90"/>
      <c r="ACZ319" s="90"/>
      <c r="ADA319" s="90"/>
      <c r="ADB319" s="90"/>
      <c r="ADC319" s="90"/>
      <c r="ADD319" s="90"/>
      <c r="ADE319" s="90"/>
      <c r="ADF319" s="90"/>
      <c r="ADG319" s="90"/>
      <c r="ADH319" s="90"/>
      <c r="ADI319" s="90"/>
      <c r="ADJ319" s="90"/>
      <c r="ADK319" s="90"/>
      <c r="ADL319" s="90"/>
      <c r="ADM319" s="90"/>
      <c r="ADN319" s="90"/>
      <c r="ADO319" s="90"/>
      <c r="ADP319" s="90"/>
      <c r="ADQ319" s="90"/>
      <c r="ADR319" s="90"/>
      <c r="ADS319" s="90"/>
      <c r="ADT319" s="90"/>
      <c r="ADU319" s="90"/>
      <c r="ADV319" s="90"/>
      <c r="ADW319" s="90"/>
      <c r="ADX319" s="90"/>
      <c r="ADY319" s="90"/>
      <c r="ADZ319" s="90"/>
      <c r="AEA319" s="90"/>
      <c r="AEB319" s="90"/>
      <c r="AEC319" s="90"/>
      <c r="AED319" s="90"/>
      <c r="AEE319" s="90"/>
      <c r="AEF319" s="90"/>
      <c r="AEG319" s="90"/>
      <c r="AEH319" s="90"/>
      <c r="AEI319" s="90"/>
      <c r="AEJ319" s="90"/>
      <c r="AEK319" s="90"/>
      <c r="AEL319" s="90"/>
      <c r="AEM319" s="90"/>
      <c r="AEN319" s="90"/>
      <c r="AEO319" s="90"/>
      <c r="AEP319" s="90"/>
      <c r="AEQ319" s="90"/>
      <c r="AER319" s="90"/>
      <c r="AES319" s="90"/>
      <c r="AET319" s="90"/>
      <c r="AEU319" s="90"/>
      <c r="AEV319" s="90"/>
      <c r="AEW319" s="90"/>
      <c r="AEX319" s="90"/>
      <c r="AEY319" s="90"/>
      <c r="AEZ319" s="90"/>
      <c r="AFA319" s="90"/>
      <c r="AFB319" s="90"/>
      <c r="AFC319" s="90"/>
      <c r="AFD319" s="90"/>
      <c r="AFE319" s="90"/>
      <c r="AFF319" s="90"/>
      <c r="AFG319" s="90"/>
      <c r="AFH319" s="90"/>
      <c r="AFI319" s="90"/>
      <c r="AFJ319" s="90"/>
      <c r="AFK319" s="90"/>
      <c r="AFL319" s="90"/>
      <c r="AFM319" s="90"/>
      <c r="AFN319" s="90"/>
      <c r="AFO319" s="90"/>
      <c r="AFP319" s="90"/>
      <c r="AFQ319" s="90"/>
      <c r="AFR319" s="90"/>
      <c r="AFS319" s="90"/>
      <c r="AFT319" s="90"/>
      <c r="AFU319" s="90"/>
      <c r="AFV319" s="90"/>
      <c r="AFW319" s="90"/>
      <c r="AFX319" s="90"/>
      <c r="AFY319" s="90"/>
      <c r="AFZ319" s="90"/>
      <c r="AGA319" s="90"/>
      <c r="AGB319" s="90"/>
      <c r="AGC319" s="90"/>
      <c r="AGD319" s="90"/>
      <c r="AGE319" s="90"/>
      <c r="AGF319" s="90"/>
      <c r="AGG319" s="90"/>
      <c r="AGH319" s="90"/>
      <c r="AGI319" s="90"/>
      <c r="AGJ319" s="90"/>
      <c r="AGK319" s="90"/>
      <c r="AGL319" s="90"/>
      <c r="AGM319" s="90"/>
      <c r="AGN319" s="90"/>
      <c r="AGO319" s="90"/>
      <c r="AGP319" s="90"/>
      <c r="AGQ319" s="90"/>
      <c r="AGR319" s="90"/>
      <c r="AGS319" s="90"/>
      <c r="AGT319" s="90"/>
      <c r="AGU319" s="90"/>
      <c r="AGV319" s="90"/>
      <c r="AGW319" s="90"/>
      <c r="AGX319" s="90"/>
      <c r="AGY319" s="90"/>
      <c r="AGZ319" s="90"/>
      <c r="AHA319" s="90"/>
      <c r="AHB319" s="90"/>
      <c r="AHC319" s="90"/>
      <c r="AHD319" s="90"/>
      <c r="AHE319" s="90"/>
      <c r="AHF319" s="90"/>
      <c r="AHG319" s="90"/>
      <c r="AHH319" s="90"/>
      <c r="AHI319" s="90"/>
      <c r="AHJ319" s="90"/>
      <c r="AHK319" s="90"/>
      <c r="AHL319" s="90"/>
      <c r="AHM319" s="90"/>
      <c r="AHN319" s="90"/>
      <c r="AHO319" s="90"/>
      <c r="AHP319" s="90"/>
      <c r="AHQ319" s="90"/>
      <c r="AHR319" s="90"/>
      <c r="AHS319" s="90"/>
      <c r="AHT319" s="90"/>
      <c r="AHU319" s="90"/>
      <c r="AHV319" s="90"/>
      <c r="AHW319" s="90"/>
      <c r="AHX319" s="90"/>
      <c r="AHY319" s="90"/>
      <c r="AHZ319" s="90"/>
      <c r="AIA319" s="90"/>
      <c r="AIB319" s="90"/>
      <c r="AIC319" s="90"/>
      <c r="AID319" s="90"/>
      <c r="AIE319" s="90"/>
      <c r="AIF319" s="90"/>
      <c r="AIG319" s="90"/>
      <c r="AIH319" s="90"/>
      <c r="AII319" s="90"/>
      <c r="AIJ319" s="90"/>
      <c r="AIK319" s="90"/>
      <c r="AIL319" s="90"/>
      <c r="AIM319" s="90"/>
      <c r="AIN319" s="90"/>
      <c r="AIO319" s="90"/>
      <c r="AIP319" s="90"/>
      <c r="AIQ319" s="90"/>
      <c r="AIR319" s="90"/>
      <c r="AIS319" s="90"/>
      <c r="AIT319" s="90"/>
      <c r="AIU319" s="90"/>
      <c r="AIV319" s="90"/>
      <c r="AIW319" s="90"/>
      <c r="AIX319" s="90"/>
      <c r="AIY319" s="90"/>
      <c r="AIZ319" s="90"/>
      <c r="AJA319" s="90"/>
      <c r="AJB319" s="90"/>
      <c r="AJC319" s="90"/>
      <c r="AJD319" s="90"/>
      <c r="AJE319" s="90"/>
      <c r="AJF319" s="90"/>
      <c r="AJG319" s="90"/>
      <c r="AJH319" s="90"/>
      <c r="AJI319" s="90"/>
      <c r="AJJ319" s="90"/>
      <c r="AJK319" s="90"/>
      <c r="AJL319" s="90"/>
      <c r="AJM319" s="90"/>
      <c r="AJN319" s="90"/>
      <c r="AJO319" s="90"/>
      <c r="AJP319" s="90"/>
      <c r="AJQ319" s="90"/>
      <c r="AJR319" s="90"/>
      <c r="AJS319" s="90"/>
      <c r="AJT319" s="90"/>
      <c r="AJU319" s="90"/>
      <c r="AJV319" s="90"/>
      <c r="AJW319" s="90"/>
      <c r="AJX319" s="90"/>
      <c r="AJY319" s="90"/>
      <c r="AJZ319" s="90"/>
      <c r="AKA319" s="90"/>
      <c r="AKB319" s="90"/>
      <c r="AKC319" s="90"/>
      <c r="AKD319" s="90"/>
      <c r="AKE319" s="90"/>
      <c r="AKF319" s="90"/>
      <c r="AKG319" s="90"/>
      <c r="AKH319" s="90"/>
      <c r="AKI319" s="90"/>
      <c r="AKJ319" s="90"/>
      <c r="AKK319" s="90"/>
      <c r="AKL319" s="90"/>
      <c r="AKM319" s="90"/>
      <c r="AKN319" s="90"/>
      <c r="AKO319" s="90"/>
      <c r="AKP319" s="90"/>
      <c r="AKQ319" s="90"/>
      <c r="AKR319" s="90"/>
      <c r="AKS319" s="90"/>
      <c r="AKT319" s="90"/>
      <c r="AKU319" s="90"/>
      <c r="AKV319" s="90"/>
      <c r="AKW319" s="90"/>
      <c r="AKX319" s="90"/>
      <c r="AKY319" s="90"/>
      <c r="AKZ319" s="90"/>
      <c r="ALA319" s="90"/>
      <c r="ALB319" s="90"/>
      <c r="ALC319" s="90"/>
      <c r="ALD319" s="90"/>
      <c r="ALE319" s="90"/>
      <c r="ALF319" s="90"/>
      <c r="ALG319" s="90"/>
      <c r="ALH319" s="90"/>
      <c r="ALI319" s="90"/>
      <c r="ALJ319" s="90"/>
      <c r="ALK319" s="90"/>
      <c r="ALL319" s="90"/>
      <c r="ALM319" s="90"/>
      <c r="ALN319" s="90"/>
      <c r="ALO319" s="90"/>
      <c r="ALP319" s="90"/>
      <c r="ALQ319" s="90"/>
      <c r="ALR319" s="90"/>
      <c r="ALS319" s="90"/>
      <c r="ALT319" s="90"/>
      <c r="ALU319" s="90"/>
      <c r="ALV319" s="90"/>
      <c r="ALW319" s="90"/>
      <c r="ALX319" s="90"/>
      <c r="ALY319" s="90"/>
      <c r="ALZ319" s="90"/>
      <c r="AMA319" s="90"/>
      <c r="AMB319" s="90"/>
      <c r="AMC319" s="90"/>
    </row>
    <row r="320" spans="1:1017">
      <c r="A320" s="98" t="s">
        <v>53</v>
      </c>
      <c r="B320" s="90" t="str">
        <f t="shared" si="1838"/>
        <v xml:space="preserve">Belanak </v>
      </c>
      <c r="E320" s="98">
        <v>52500</v>
      </c>
      <c r="F320" s="98">
        <v>1575000</v>
      </c>
      <c r="Q320" s="91">
        <f t="shared" si="1839"/>
        <v>52500</v>
      </c>
      <c r="R320" s="91">
        <f t="shared" si="1840"/>
        <v>1575000</v>
      </c>
      <c r="AG320" s="91">
        <f t="shared" si="1841"/>
        <v>0</v>
      </c>
      <c r="AH320" s="91">
        <f t="shared" si="1842"/>
        <v>0</v>
      </c>
      <c r="AW320" s="91">
        <f t="shared" si="1843"/>
        <v>0</v>
      </c>
      <c r="AX320" s="91">
        <f t="shared" si="1844"/>
        <v>0</v>
      </c>
      <c r="BM320" s="91">
        <f t="shared" si="1845"/>
        <v>0</v>
      </c>
      <c r="BN320" s="91">
        <f t="shared" si="1846"/>
        <v>0</v>
      </c>
      <c r="CC320" s="91">
        <f t="shared" si="1847"/>
        <v>0</v>
      </c>
      <c r="CD320" s="91">
        <f t="shared" si="1848"/>
        <v>0</v>
      </c>
      <c r="CS320" s="91">
        <f t="shared" si="1849"/>
        <v>0</v>
      </c>
      <c r="CT320" s="91">
        <f t="shared" si="1850"/>
        <v>0</v>
      </c>
      <c r="DI320" s="91">
        <f t="shared" si="1851"/>
        <v>0</v>
      </c>
      <c r="DJ320" s="91">
        <f t="shared" si="1852"/>
        <v>0</v>
      </c>
      <c r="DY320" s="91">
        <f t="shared" si="1853"/>
        <v>0</v>
      </c>
      <c r="DZ320" s="91">
        <f t="shared" si="1854"/>
        <v>0</v>
      </c>
      <c r="EO320" s="91">
        <f t="shared" si="1855"/>
        <v>0</v>
      </c>
      <c r="EP320" s="91">
        <f t="shared" si="1856"/>
        <v>0</v>
      </c>
      <c r="FE320" s="91">
        <f t="shared" si="1857"/>
        <v>0</v>
      </c>
      <c r="FF320" s="91">
        <f t="shared" si="1858"/>
        <v>0</v>
      </c>
      <c r="FU320" s="91">
        <f t="shared" si="1859"/>
        <v>0</v>
      </c>
      <c r="FV320" s="91">
        <f t="shared" si="1860"/>
        <v>0</v>
      </c>
      <c r="GK320" s="91">
        <f t="shared" si="1861"/>
        <v>0</v>
      </c>
      <c r="GL320" s="91">
        <f t="shared" si="1862"/>
        <v>0</v>
      </c>
      <c r="HA320" s="91">
        <f t="shared" si="1863"/>
        <v>0</v>
      </c>
      <c r="HB320" s="91">
        <f t="shared" si="1864"/>
        <v>0</v>
      </c>
      <c r="HQ320" s="91">
        <f t="shared" si="1865"/>
        <v>0</v>
      </c>
      <c r="HR320" s="91">
        <f t="shared" si="1866"/>
        <v>0</v>
      </c>
      <c r="IG320" s="91">
        <f t="shared" si="1867"/>
        <v>0</v>
      </c>
      <c r="IH320" s="91">
        <f t="shared" si="1868"/>
        <v>0</v>
      </c>
      <c r="IW320" s="91">
        <f t="shared" si="1869"/>
        <v>0</v>
      </c>
      <c r="IX320" s="91">
        <f t="shared" si="1870"/>
        <v>0</v>
      </c>
      <c r="JM320" s="91">
        <f t="shared" si="1871"/>
        <v>0</v>
      </c>
      <c r="JN320" s="91">
        <f t="shared" si="1872"/>
        <v>0</v>
      </c>
      <c r="KC320" s="91">
        <f t="shared" si="1873"/>
        <v>0</v>
      </c>
      <c r="KD320" s="91">
        <f t="shared" si="1874"/>
        <v>0</v>
      </c>
      <c r="KS320" s="91">
        <f t="shared" si="1875"/>
        <v>0</v>
      </c>
      <c r="KT320" s="91">
        <f t="shared" si="1876"/>
        <v>0</v>
      </c>
      <c r="LI320" s="91">
        <f t="shared" si="1877"/>
        <v>0</v>
      </c>
      <c r="LJ320" s="91">
        <f t="shared" si="1878"/>
        <v>0</v>
      </c>
      <c r="LY320" s="91">
        <f t="shared" si="1879"/>
        <v>0</v>
      </c>
      <c r="LZ320" s="91">
        <f t="shared" si="1880"/>
        <v>0</v>
      </c>
      <c r="MC320" s="98">
        <v>13620</v>
      </c>
      <c r="MD320" s="98">
        <v>163440</v>
      </c>
      <c r="MO320" s="91">
        <f t="shared" si="1881"/>
        <v>13620</v>
      </c>
      <c r="MP320" s="91">
        <f t="shared" si="1882"/>
        <v>163440</v>
      </c>
      <c r="MS320" s="98">
        <v>50</v>
      </c>
      <c r="MT320" s="98">
        <v>1100</v>
      </c>
      <c r="NE320" s="91">
        <f t="shared" si="1883"/>
        <v>50</v>
      </c>
      <c r="NF320" s="91">
        <f t="shared" si="1884"/>
        <v>1100</v>
      </c>
      <c r="NU320" s="91">
        <f t="shared" si="1885"/>
        <v>0</v>
      </c>
      <c r="NV320" s="91">
        <f t="shared" si="1886"/>
        <v>0</v>
      </c>
      <c r="OK320" s="91">
        <f t="shared" si="1887"/>
        <v>0</v>
      </c>
      <c r="OL320" s="91">
        <f t="shared" si="1888"/>
        <v>0</v>
      </c>
      <c r="PA320" s="91">
        <f t="shared" si="1889"/>
        <v>0</v>
      </c>
      <c r="PB320" s="91">
        <f t="shared" si="1890"/>
        <v>0</v>
      </c>
      <c r="PQ320" s="91">
        <f t="shared" si="1891"/>
        <v>0</v>
      </c>
      <c r="PR320" s="91">
        <f t="shared" si="1892"/>
        <v>0</v>
      </c>
      <c r="QG320" s="91">
        <f t="shared" si="1893"/>
        <v>0</v>
      </c>
      <c r="QH320" s="91">
        <f t="shared" si="1894"/>
        <v>0</v>
      </c>
      <c r="QW320" s="91">
        <f t="shared" si="1895"/>
        <v>0</v>
      </c>
      <c r="QX320" s="91">
        <f t="shared" si="1896"/>
        <v>0</v>
      </c>
      <c r="RM320" s="91">
        <f t="shared" si="1897"/>
        <v>0</v>
      </c>
      <c r="RN320" s="91">
        <f t="shared" si="1898"/>
        <v>0</v>
      </c>
      <c r="SC320" s="91">
        <f t="shared" si="1899"/>
        <v>0</v>
      </c>
      <c r="SD320" s="91">
        <f t="shared" si="1900"/>
        <v>0</v>
      </c>
      <c r="SS320" s="91">
        <f t="shared" si="1901"/>
        <v>0</v>
      </c>
      <c r="ST320" s="91">
        <f t="shared" si="1902"/>
        <v>0</v>
      </c>
      <c r="TI320" s="91">
        <f t="shared" si="1903"/>
        <v>0</v>
      </c>
      <c r="TJ320" s="91">
        <f t="shared" si="1904"/>
        <v>0</v>
      </c>
      <c r="TY320" s="91">
        <f t="shared" si="1905"/>
        <v>0</v>
      </c>
      <c r="TZ320" s="91">
        <f t="shared" si="1906"/>
        <v>0</v>
      </c>
      <c r="UO320" s="91">
        <f t="shared" si="1907"/>
        <v>0</v>
      </c>
      <c r="UP320" s="91">
        <f t="shared" si="1908"/>
        <v>0</v>
      </c>
      <c r="VE320" s="91">
        <f t="shared" si="1909"/>
        <v>0</v>
      </c>
      <c r="VF320" s="91">
        <f t="shared" si="1910"/>
        <v>0</v>
      </c>
      <c r="VU320" s="91">
        <f t="shared" si="1911"/>
        <v>0</v>
      </c>
      <c r="VV320" s="91">
        <f t="shared" si="1912"/>
        <v>0</v>
      </c>
      <c r="WK320" s="91">
        <f t="shared" si="1913"/>
        <v>0</v>
      </c>
      <c r="WL320" s="91">
        <f t="shared" si="1914"/>
        <v>0</v>
      </c>
      <c r="WM320" s="89"/>
      <c r="WN320" s="87">
        <f t="shared" si="1915"/>
        <v>0</v>
      </c>
      <c r="WO320" s="87">
        <f t="shared" si="1916"/>
        <v>0</v>
      </c>
      <c r="WP320" s="87">
        <f t="shared" si="1917"/>
        <v>66170</v>
      </c>
      <c r="WQ320" s="87">
        <f t="shared" si="1918"/>
        <v>1739540</v>
      </c>
      <c r="WR320" s="87">
        <f t="shared" si="1919"/>
        <v>0</v>
      </c>
      <c r="WS320" s="87">
        <f t="shared" si="1920"/>
        <v>0</v>
      </c>
      <c r="WT320" s="87">
        <f t="shared" si="1921"/>
        <v>0</v>
      </c>
      <c r="WU320" s="87">
        <f t="shared" si="1922"/>
        <v>0</v>
      </c>
      <c r="WV320" s="87">
        <f t="shared" si="1923"/>
        <v>0</v>
      </c>
      <c r="WW320" s="87">
        <f t="shared" si="1924"/>
        <v>0</v>
      </c>
      <c r="WX320" s="87">
        <f t="shared" si="1925"/>
        <v>0</v>
      </c>
      <c r="WY320" s="87">
        <f t="shared" si="1926"/>
        <v>0</v>
      </c>
      <c r="WZ320" s="87">
        <f t="shared" si="1927"/>
        <v>0</v>
      </c>
      <c r="XA320" s="87">
        <f t="shared" si="1928"/>
        <v>0</v>
      </c>
      <c r="XB320" s="92">
        <f t="shared" si="1929"/>
        <v>66170</v>
      </c>
      <c r="XC320" s="92">
        <f t="shared" si="1930"/>
        <v>1739540</v>
      </c>
      <c r="XD320" s="89"/>
      <c r="XE320" s="92"/>
      <c r="XF320" s="92"/>
      <c r="XG320" s="89"/>
      <c r="XH320" s="92"/>
      <c r="XI320" s="92"/>
      <c r="XJ320" s="89"/>
      <c r="XK320" s="87"/>
      <c r="XL320" s="87"/>
      <c r="XM320" s="87"/>
      <c r="XN320" s="87"/>
      <c r="XO320" s="87"/>
      <c r="XP320" s="87"/>
      <c r="XQ320" s="87"/>
      <c r="XR320" s="92">
        <f t="shared" ca="1" si="1931"/>
        <v>0</v>
      </c>
      <c r="XS320" s="89"/>
      <c r="XT320" s="87"/>
      <c r="XU320" s="87"/>
      <c r="XV320" s="87"/>
      <c r="XW320" s="87"/>
      <c r="XX320" s="87"/>
      <c r="XY320" s="87"/>
      <c r="XZ320" s="87"/>
      <c r="YA320" s="92">
        <f t="shared" ca="1" si="1932"/>
        <v>0</v>
      </c>
      <c r="YB320" s="90"/>
      <c r="YC320" s="90"/>
      <c r="YD320" s="90"/>
      <c r="YE320" s="90"/>
      <c r="YF320" s="90"/>
      <c r="YG320" s="90"/>
      <c r="YH320" s="90"/>
      <c r="YI320" s="90"/>
      <c r="YJ320" s="90"/>
      <c r="YK320" s="90"/>
      <c r="YL320" s="90"/>
      <c r="YM320" s="90"/>
      <c r="YN320" s="90"/>
      <c r="YO320" s="90"/>
      <c r="YP320" s="90"/>
      <c r="YQ320" s="90"/>
      <c r="YR320" s="90"/>
      <c r="YS320" s="90"/>
      <c r="YT320" s="90"/>
      <c r="YU320" s="90"/>
      <c r="YV320" s="90"/>
      <c r="YW320" s="90"/>
      <c r="YX320" s="90"/>
      <c r="YY320" s="90"/>
      <c r="YZ320" s="90"/>
      <c r="ZA320" s="90"/>
      <c r="ZB320" s="90"/>
      <c r="ZC320" s="90"/>
      <c r="ZD320" s="90"/>
      <c r="ZE320" s="90"/>
      <c r="ZF320" s="90"/>
      <c r="ZG320" s="90"/>
      <c r="ZH320" s="90"/>
      <c r="ZI320" s="90"/>
      <c r="ZJ320" s="90"/>
      <c r="ZK320" s="90"/>
      <c r="ZL320" s="90"/>
      <c r="ZM320" s="90"/>
      <c r="ZN320" s="90"/>
      <c r="ZO320" s="90"/>
      <c r="ZP320" s="90"/>
      <c r="ZQ320" s="90"/>
      <c r="ZR320" s="90"/>
      <c r="ZS320" s="90"/>
      <c r="ZT320" s="90"/>
      <c r="ZU320" s="90"/>
      <c r="ZV320" s="90"/>
      <c r="ZW320" s="90"/>
      <c r="ZX320" s="90"/>
      <c r="ZY320" s="90"/>
      <c r="ZZ320" s="90"/>
      <c r="AAA320" s="90"/>
      <c r="AAB320" s="90"/>
      <c r="AAC320" s="90"/>
      <c r="AAD320" s="90"/>
      <c r="AAE320" s="90"/>
      <c r="AAF320" s="90"/>
      <c r="AAG320" s="90"/>
      <c r="AAH320" s="90"/>
      <c r="AAI320" s="90"/>
      <c r="AAJ320" s="90"/>
      <c r="AAK320" s="90"/>
      <c r="AAL320" s="90"/>
      <c r="AAM320" s="90"/>
      <c r="AAN320" s="90"/>
      <c r="AAO320" s="90"/>
      <c r="AAP320" s="90"/>
      <c r="AAQ320" s="90"/>
      <c r="AAR320" s="90"/>
      <c r="AAS320" s="90"/>
      <c r="AAT320" s="90"/>
      <c r="AAU320" s="90"/>
      <c r="AAV320" s="90"/>
      <c r="AAW320" s="90"/>
      <c r="AAX320" s="90"/>
      <c r="AAY320" s="90"/>
      <c r="AAZ320" s="90"/>
      <c r="ABA320" s="90"/>
      <c r="ABB320" s="90"/>
      <c r="ABC320" s="90"/>
      <c r="ABD320" s="90"/>
      <c r="ABE320" s="90"/>
      <c r="ABF320" s="90"/>
      <c r="ABG320" s="90"/>
      <c r="ABH320" s="90"/>
      <c r="ABI320" s="90"/>
      <c r="ABJ320" s="90"/>
      <c r="ABK320" s="90"/>
      <c r="ABL320" s="90"/>
      <c r="ABM320" s="90"/>
      <c r="ABN320" s="90"/>
      <c r="ABO320" s="90"/>
      <c r="ABP320" s="90"/>
      <c r="ABQ320" s="90"/>
      <c r="ABR320" s="90"/>
      <c r="ABS320" s="90"/>
      <c r="ABT320" s="90"/>
      <c r="ABU320" s="90"/>
      <c r="ABV320" s="90"/>
      <c r="ABW320" s="90"/>
      <c r="ABX320" s="90"/>
      <c r="ABY320" s="90"/>
      <c r="ABZ320" s="90"/>
      <c r="ACA320" s="90"/>
      <c r="ACB320" s="90"/>
      <c r="ACC320" s="90"/>
      <c r="ACD320" s="90"/>
      <c r="ACE320" s="90"/>
      <c r="ACF320" s="90"/>
      <c r="ACG320" s="90"/>
      <c r="ACH320" s="90"/>
      <c r="ACI320" s="90"/>
      <c r="ACJ320" s="90"/>
      <c r="ACK320" s="90"/>
      <c r="ACL320" s="90"/>
      <c r="ACM320" s="90"/>
      <c r="ACN320" s="90"/>
      <c r="ACO320" s="90"/>
      <c r="ACP320" s="90"/>
      <c r="ACQ320" s="90"/>
      <c r="ACR320" s="90"/>
      <c r="ACS320" s="90"/>
      <c r="ACT320" s="90"/>
      <c r="ACU320" s="90"/>
      <c r="ACV320" s="90"/>
      <c r="ACW320" s="90"/>
      <c r="ACX320" s="90"/>
      <c r="ACY320" s="90"/>
      <c r="ACZ320" s="90"/>
      <c r="ADA320" s="90"/>
      <c r="ADB320" s="90"/>
      <c r="ADC320" s="90"/>
      <c r="ADD320" s="90"/>
      <c r="ADE320" s="90"/>
      <c r="ADF320" s="90"/>
      <c r="ADG320" s="90"/>
      <c r="ADH320" s="90"/>
      <c r="ADI320" s="90"/>
      <c r="ADJ320" s="90"/>
      <c r="ADK320" s="90"/>
      <c r="ADL320" s="90"/>
      <c r="ADM320" s="90"/>
      <c r="ADN320" s="90"/>
      <c r="ADO320" s="90"/>
      <c r="ADP320" s="90"/>
      <c r="ADQ320" s="90"/>
      <c r="ADR320" s="90"/>
      <c r="ADS320" s="90"/>
      <c r="ADT320" s="90"/>
      <c r="ADU320" s="90"/>
      <c r="ADV320" s="90"/>
      <c r="ADW320" s="90"/>
      <c r="ADX320" s="90"/>
      <c r="ADY320" s="90"/>
      <c r="ADZ320" s="90"/>
      <c r="AEA320" s="90"/>
      <c r="AEB320" s="90"/>
      <c r="AEC320" s="90"/>
      <c r="AED320" s="90"/>
      <c r="AEE320" s="90"/>
      <c r="AEF320" s="90"/>
      <c r="AEG320" s="90"/>
      <c r="AEH320" s="90"/>
      <c r="AEI320" s="90"/>
      <c r="AEJ320" s="90"/>
      <c r="AEK320" s="90"/>
      <c r="AEL320" s="90"/>
      <c r="AEM320" s="90"/>
      <c r="AEN320" s="90"/>
      <c r="AEO320" s="90"/>
      <c r="AEP320" s="90"/>
      <c r="AEQ320" s="90"/>
      <c r="AER320" s="90"/>
      <c r="AES320" s="90"/>
      <c r="AET320" s="90"/>
      <c r="AEU320" s="90"/>
      <c r="AEV320" s="90"/>
      <c r="AEW320" s="90"/>
      <c r="AEX320" s="90"/>
      <c r="AEY320" s="90"/>
      <c r="AEZ320" s="90"/>
      <c r="AFA320" s="90"/>
      <c r="AFB320" s="90"/>
      <c r="AFC320" s="90"/>
      <c r="AFD320" s="90"/>
      <c r="AFE320" s="90"/>
      <c r="AFF320" s="90"/>
      <c r="AFG320" s="90"/>
      <c r="AFH320" s="90"/>
      <c r="AFI320" s="90"/>
      <c r="AFJ320" s="90"/>
      <c r="AFK320" s="90"/>
      <c r="AFL320" s="90"/>
      <c r="AFM320" s="90"/>
      <c r="AFN320" s="90"/>
      <c r="AFO320" s="90"/>
      <c r="AFP320" s="90"/>
      <c r="AFQ320" s="90"/>
      <c r="AFR320" s="90"/>
      <c r="AFS320" s="90"/>
      <c r="AFT320" s="90"/>
      <c r="AFU320" s="90"/>
      <c r="AFV320" s="90"/>
      <c r="AFW320" s="90"/>
      <c r="AFX320" s="90"/>
      <c r="AFY320" s="90"/>
      <c r="AFZ320" s="90"/>
      <c r="AGA320" s="90"/>
      <c r="AGB320" s="90"/>
      <c r="AGC320" s="90"/>
      <c r="AGD320" s="90"/>
      <c r="AGE320" s="90"/>
      <c r="AGF320" s="90"/>
      <c r="AGG320" s="90"/>
      <c r="AGH320" s="90"/>
      <c r="AGI320" s="90"/>
      <c r="AGJ320" s="90"/>
      <c r="AGK320" s="90"/>
      <c r="AGL320" s="90"/>
      <c r="AGM320" s="90"/>
      <c r="AGN320" s="90"/>
      <c r="AGO320" s="90"/>
      <c r="AGP320" s="90"/>
      <c r="AGQ320" s="90"/>
      <c r="AGR320" s="90"/>
      <c r="AGS320" s="90"/>
      <c r="AGT320" s="90"/>
      <c r="AGU320" s="90"/>
      <c r="AGV320" s="90"/>
      <c r="AGW320" s="90"/>
      <c r="AGX320" s="90"/>
      <c r="AGY320" s="90"/>
      <c r="AGZ320" s="90"/>
      <c r="AHA320" s="90"/>
      <c r="AHB320" s="90"/>
      <c r="AHC320" s="90"/>
      <c r="AHD320" s="90"/>
      <c r="AHE320" s="90"/>
      <c r="AHF320" s="90"/>
      <c r="AHG320" s="90"/>
      <c r="AHH320" s="90"/>
      <c r="AHI320" s="90"/>
      <c r="AHJ320" s="90"/>
      <c r="AHK320" s="90"/>
      <c r="AHL320" s="90"/>
      <c r="AHM320" s="90"/>
      <c r="AHN320" s="90"/>
      <c r="AHO320" s="90"/>
      <c r="AHP320" s="90"/>
      <c r="AHQ320" s="90"/>
      <c r="AHR320" s="90"/>
      <c r="AHS320" s="90"/>
      <c r="AHT320" s="90"/>
      <c r="AHU320" s="90"/>
      <c r="AHV320" s="90"/>
      <c r="AHW320" s="90"/>
      <c r="AHX320" s="90"/>
      <c r="AHY320" s="90"/>
      <c r="AHZ320" s="90"/>
      <c r="AIA320" s="90"/>
      <c r="AIB320" s="90"/>
      <c r="AIC320" s="90"/>
      <c r="AID320" s="90"/>
      <c r="AIE320" s="90"/>
      <c r="AIF320" s="90"/>
      <c r="AIG320" s="90"/>
      <c r="AIH320" s="90"/>
      <c r="AII320" s="90"/>
      <c r="AIJ320" s="90"/>
      <c r="AIK320" s="90"/>
      <c r="AIL320" s="90"/>
      <c r="AIM320" s="90"/>
      <c r="AIN320" s="90"/>
      <c r="AIO320" s="90"/>
      <c r="AIP320" s="90"/>
      <c r="AIQ320" s="90"/>
      <c r="AIR320" s="90"/>
      <c r="AIS320" s="90"/>
      <c r="AIT320" s="90"/>
      <c r="AIU320" s="90"/>
      <c r="AIV320" s="90"/>
      <c r="AIW320" s="90"/>
      <c r="AIX320" s="90"/>
      <c r="AIY320" s="90"/>
      <c r="AIZ320" s="90"/>
      <c r="AJA320" s="90"/>
      <c r="AJB320" s="90"/>
      <c r="AJC320" s="90"/>
      <c r="AJD320" s="90"/>
      <c r="AJE320" s="90"/>
      <c r="AJF320" s="90"/>
      <c r="AJG320" s="90"/>
      <c r="AJH320" s="90"/>
      <c r="AJI320" s="90"/>
      <c r="AJJ320" s="90"/>
      <c r="AJK320" s="90"/>
      <c r="AJL320" s="90"/>
      <c r="AJM320" s="90"/>
      <c r="AJN320" s="90"/>
      <c r="AJO320" s="90"/>
      <c r="AJP320" s="90"/>
      <c r="AJQ320" s="90"/>
      <c r="AJR320" s="90"/>
      <c r="AJS320" s="90"/>
      <c r="AJT320" s="90"/>
      <c r="AJU320" s="90"/>
      <c r="AJV320" s="90"/>
      <c r="AJW320" s="90"/>
      <c r="AJX320" s="90"/>
      <c r="AJY320" s="90"/>
      <c r="AJZ320" s="90"/>
      <c r="AKA320" s="90"/>
      <c r="AKB320" s="90"/>
      <c r="AKC320" s="90"/>
      <c r="AKD320" s="90"/>
      <c r="AKE320" s="90"/>
      <c r="AKF320" s="90"/>
      <c r="AKG320" s="90"/>
      <c r="AKH320" s="90"/>
      <c r="AKI320" s="90"/>
      <c r="AKJ320" s="90"/>
      <c r="AKK320" s="90"/>
      <c r="AKL320" s="90"/>
      <c r="AKM320" s="90"/>
      <c r="AKN320" s="90"/>
      <c r="AKO320" s="90"/>
      <c r="AKP320" s="90"/>
      <c r="AKQ320" s="90"/>
      <c r="AKR320" s="90"/>
      <c r="AKS320" s="90"/>
      <c r="AKT320" s="90"/>
      <c r="AKU320" s="90"/>
      <c r="AKV320" s="90"/>
      <c r="AKW320" s="90"/>
      <c r="AKX320" s="90"/>
      <c r="AKY320" s="90"/>
      <c r="AKZ320" s="90"/>
      <c r="ALA320" s="90"/>
      <c r="ALB320" s="90"/>
      <c r="ALC320" s="90"/>
      <c r="ALD320" s="90"/>
      <c r="ALE320" s="90"/>
      <c r="ALF320" s="90"/>
      <c r="ALG320" s="90"/>
      <c r="ALH320" s="90"/>
      <c r="ALI320" s="90"/>
      <c r="ALJ320" s="90"/>
      <c r="ALK320" s="90"/>
      <c r="ALL320" s="90"/>
      <c r="ALM320" s="90"/>
      <c r="ALN320" s="90"/>
      <c r="ALO320" s="90"/>
      <c r="ALP320" s="90"/>
      <c r="ALQ320" s="90"/>
      <c r="ALR320" s="90"/>
      <c r="ALS320" s="90"/>
      <c r="ALT320" s="90"/>
      <c r="ALU320" s="90"/>
      <c r="ALV320" s="90"/>
      <c r="ALW320" s="90"/>
      <c r="ALX320" s="90"/>
      <c r="ALY320" s="90"/>
      <c r="ALZ320" s="90"/>
      <c r="AMA320" s="90"/>
      <c r="AMB320" s="90"/>
      <c r="AMC320" s="90"/>
    </row>
    <row r="321" spans="1:1017">
      <c r="A321" s="98" t="s">
        <v>53</v>
      </c>
      <c r="B321" s="90" t="str">
        <f t="shared" si="1838"/>
        <v xml:space="preserve">Eucheuma cottonii </v>
      </c>
      <c r="Q321" s="91">
        <f t="shared" si="1839"/>
        <v>0</v>
      </c>
      <c r="R321" s="91">
        <f t="shared" si="1840"/>
        <v>0</v>
      </c>
      <c r="AG321" s="91">
        <f t="shared" si="1841"/>
        <v>0</v>
      </c>
      <c r="AH321" s="91">
        <f t="shared" si="1842"/>
        <v>0</v>
      </c>
      <c r="AW321" s="91">
        <f t="shared" si="1843"/>
        <v>0</v>
      </c>
      <c r="AX321" s="91">
        <f t="shared" si="1844"/>
        <v>0</v>
      </c>
      <c r="BM321" s="91">
        <f t="shared" si="1845"/>
        <v>0</v>
      </c>
      <c r="BN321" s="91">
        <f t="shared" si="1846"/>
        <v>0</v>
      </c>
      <c r="CC321" s="91">
        <f t="shared" si="1847"/>
        <v>0</v>
      </c>
      <c r="CD321" s="91">
        <f t="shared" si="1848"/>
        <v>0</v>
      </c>
      <c r="CS321" s="91">
        <f t="shared" si="1849"/>
        <v>0</v>
      </c>
      <c r="CT321" s="91">
        <f t="shared" si="1850"/>
        <v>0</v>
      </c>
      <c r="DI321" s="91">
        <f t="shared" si="1851"/>
        <v>0</v>
      </c>
      <c r="DJ321" s="91">
        <f t="shared" si="1852"/>
        <v>0</v>
      </c>
      <c r="DY321" s="91">
        <f t="shared" si="1853"/>
        <v>0</v>
      </c>
      <c r="DZ321" s="91">
        <f t="shared" si="1854"/>
        <v>0</v>
      </c>
      <c r="EO321" s="91">
        <f t="shared" si="1855"/>
        <v>0</v>
      </c>
      <c r="EP321" s="91">
        <f t="shared" si="1856"/>
        <v>0</v>
      </c>
      <c r="FE321" s="91">
        <f t="shared" si="1857"/>
        <v>0</v>
      </c>
      <c r="FF321" s="91">
        <f t="shared" si="1858"/>
        <v>0</v>
      </c>
      <c r="FU321" s="91">
        <f t="shared" si="1859"/>
        <v>0</v>
      </c>
      <c r="FV321" s="91">
        <f t="shared" si="1860"/>
        <v>0</v>
      </c>
      <c r="GK321" s="91">
        <f t="shared" si="1861"/>
        <v>0</v>
      </c>
      <c r="GL321" s="91">
        <f t="shared" si="1862"/>
        <v>0</v>
      </c>
      <c r="HA321" s="91">
        <f t="shared" si="1863"/>
        <v>0</v>
      </c>
      <c r="HB321" s="91">
        <f t="shared" si="1864"/>
        <v>0</v>
      </c>
      <c r="HQ321" s="91">
        <f t="shared" si="1865"/>
        <v>0</v>
      </c>
      <c r="HR321" s="91">
        <f t="shared" si="1866"/>
        <v>0</v>
      </c>
      <c r="IG321" s="91">
        <f t="shared" si="1867"/>
        <v>0</v>
      </c>
      <c r="IH321" s="91">
        <f t="shared" si="1868"/>
        <v>0</v>
      </c>
      <c r="IW321" s="91">
        <f t="shared" si="1869"/>
        <v>0</v>
      </c>
      <c r="IX321" s="91">
        <f t="shared" si="1870"/>
        <v>0</v>
      </c>
      <c r="JM321" s="91">
        <f t="shared" si="1871"/>
        <v>0</v>
      </c>
      <c r="JN321" s="91">
        <f t="shared" si="1872"/>
        <v>0</v>
      </c>
      <c r="KC321" s="91">
        <f t="shared" si="1873"/>
        <v>0</v>
      </c>
      <c r="KD321" s="91">
        <f t="shared" si="1874"/>
        <v>0</v>
      </c>
      <c r="KS321" s="91">
        <f t="shared" si="1875"/>
        <v>0</v>
      </c>
      <c r="KT321" s="91">
        <f t="shared" si="1876"/>
        <v>0</v>
      </c>
      <c r="LI321" s="91">
        <f t="shared" si="1877"/>
        <v>0</v>
      </c>
      <c r="LJ321" s="91">
        <f t="shared" si="1878"/>
        <v>0</v>
      </c>
      <c r="LY321" s="91">
        <f t="shared" si="1879"/>
        <v>0</v>
      </c>
      <c r="LZ321" s="91">
        <f t="shared" si="1880"/>
        <v>0</v>
      </c>
      <c r="MO321" s="91">
        <f t="shared" si="1881"/>
        <v>0</v>
      </c>
      <c r="MP321" s="91">
        <f t="shared" si="1882"/>
        <v>0</v>
      </c>
      <c r="NE321" s="91">
        <f t="shared" si="1883"/>
        <v>0</v>
      </c>
      <c r="NF321" s="91">
        <f t="shared" si="1884"/>
        <v>0</v>
      </c>
      <c r="NU321" s="91">
        <f t="shared" si="1885"/>
        <v>0</v>
      </c>
      <c r="NV321" s="91">
        <f t="shared" si="1886"/>
        <v>0</v>
      </c>
      <c r="NW321" s="98">
        <v>4500</v>
      </c>
      <c r="NX321" s="98">
        <v>22500</v>
      </c>
      <c r="OK321" s="91">
        <f t="shared" si="1887"/>
        <v>4500</v>
      </c>
      <c r="OL321" s="91">
        <f t="shared" si="1888"/>
        <v>22500</v>
      </c>
      <c r="OM321" s="98">
        <v>78534580</v>
      </c>
      <c r="ON321" s="98">
        <v>392672900</v>
      </c>
      <c r="PA321" s="91">
        <f t="shared" si="1889"/>
        <v>78534580</v>
      </c>
      <c r="PB321" s="91">
        <f t="shared" si="1890"/>
        <v>392672900</v>
      </c>
      <c r="PQ321" s="91">
        <f t="shared" si="1891"/>
        <v>0</v>
      </c>
      <c r="PR321" s="91">
        <f t="shared" si="1892"/>
        <v>0</v>
      </c>
      <c r="QG321" s="91">
        <f t="shared" si="1893"/>
        <v>0</v>
      </c>
      <c r="QH321" s="91">
        <f t="shared" si="1894"/>
        <v>0</v>
      </c>
      <c r="QW321" s="91">
        <f t="shared" si="1895"/>
        <v>0</v>
      </c>
      <c r="QX321" s="91">
        <f t="shared" si="1896"/>
        <v>0</v>
      </c>
      <c r="RM321" s="91">
        <f t="shared" si="1897"/>
        <v>0</v>
      </c>
      <c r="RN321" s="91">
        <f t="shared" si="1898"/>
        <v>0</v>
      </c>
      <c r="SC321" s="91">
        <f t="shared" si="1899"/>
        <v>0</v>
      </c>
      <c r="SD321" s="91">
        <f t="shared" si="1900"/>
        <v>0</v>
      </c>
      <c r="SS321" s="91">
        <f t="shared" si="1901"/>
        <v>0</v>
      </c>
      <c r="ST321" s="91">
        <f t="shared" si="1902"/>
        <v>0</v>
      </c>
      <c r="TI321" s="91">
        <f t="shared" si="1903"/>
        <v>0</v>
      </c>
      <c r="TJ321" s="91">
        <f t="shared" si="1904"/>
        <v>0</v>
      </c>
      <c r="TY321" s="91">
        <f t="shared" si="1905"/>
        <v>0</v>
      </c>
      <c r="TZ321" s="91">
        <f t="shared" si="1906"/>
        <v>0</v>
      </c>
      <c r="UO321" s="91">
        <f t="shared" si="1907"/>
        <v>0</v>
      </c>
      <c r="UP321" s="91">
        <f t="shared" si="1908"/>
        <v>0</v>
      </c>
      <c r="VE321" s="91">
        <f t="shared" si="1909"/>
        <v>0</v>
      </c>
      <c r="VF321" s="91">
        <f t="shared" si="1910"/>
        <v>0</v>
      </c>
      <c r="VU321" s="91">
        <f t="shared" si="1911"/>
        <v>0</v>
      </c>
      <c r="VV321" s="91">
        <f t="shared" si="1912"/>
        <v>0</v>
      </c>
      <c r="WK321" s="91">
        <f t="shared" si="1913"/>
        <v>0</v>
      </c>
      <c r="WL321" s="91">
        <f t="shared" si="1914"/>
        <v>0</v>
      </c>
      <c r="WM321" s="89"/>
      <c r="WN321" s="87">
        <f t="shared" si="1915"/>
        <v>78539080</v>
      </c>
      <c r="WO321" s="87">
        <f t="shared" si="1916"/>
        <v>392695400</v>
      </c>
      <c r="WP321" s="87">
        <f t="shared" si="1917"/>
        <v>0</v>
      </c>
      <c r="WQ321" s="87">
        <f t="shared" si="1918"/>
        <v>0</v>
      </c>
      <c r="WR321" s="87">
        <f t="shared" si="1919"/>
        <v>0</v>
      </c>
      <c r="WS321" s="87">
        <f t="shared" si="1920"/>
        <v>0</v>
      </c>
      <c r="WT321" s="87">
        <f t="shared" si="1921"/>
        <v>0</v>
      </c>
      <c r="WU321" s="87">
        <f t="shared" si="1922"/>
        <v>0</v>
      </c>
      <c r="WV321" s="87">
        <f t="shared" si="1923"/>
        <v>0</v>
      </c>
      <c r="WW321" s="87">
        <f t="shared" si="1924"/>
        <v>0</v>
      </c>
      <c r="WX321" s="87">
        <f t="shared" si="1925"/>
        <v>0</v>
      </c>
      <c r="WY321" s="87">
        <f t="shared" si="1926"/>
        <v>0</v>
      </c>
      <c r="WZ321" s="87">
        <f t="shared" si="1927"/>
        <v>0</v>
      </c>
      <c r="XA321" s="87">
        <f t="shared" si="1928"/>
        <v>0</v>
      </c>
      <c r="XB321" s="92">
        <f t="shared" si="1929"/>
        <v>78539080</v>
      </c>
      <c r="XC321" s="92">
        <f t="shared" si="1930"/>
        <v>392695400</v>
      </c>
      <c r="XD321" s="89"/>
      <c r="XE321" s="92"/>
      <c r="XF321" s="92"/>
      <c r="XG321" s="89"/>
      <c r="XH321" s="92"/>
      <c r="XI321" s="92"/>
      <c r="XJ321" s="89"/>
      <c r="XK321" s="87"/>
      <c r="XL321" s="87"/>
      <c r="XM321" s="87"/>
      <c r="XN321" s="87"/>
      <c r="XO321" s="87"/>
      <c r="XP321" s="87"/>
      <c r="XQ321" s="87"/>
      <c r="XR321" s="92">
        <f t="shared" ca="1" si="1931"/>
        <v>0</v>
      </c>
      <c r="XS321" s="89"/>
      <c r="XT321" s="87"/>
      <c r="XU321" s="87"/>
      <c r="XV321" s="87"/>
      <c r="XW321" s="87"/>
      <c r="XX321" s="87"/>
      <c r="XY321" s="87"/>
      <c r="XZ321" s="87"/>
      <c r="YA321" s="92">
        <f t="shared" ca="1" si="1932"/>
        <v>0</v>
      </c>
      <c r="YB321" s="90"/>
      <c r="YC321" s="90"/>
      <c r="YD321" s="90"/>
      <c r="YE321" s="90"/>
      <c r="YF321" s="90"/>
      <c r="YG321" s="90"/>
      <c r="YH321" s="90"/>
      <c r="YI321" s="90"/>
      <c r="YJ321" s="90"/>
      <c r="YK321" s="90"/>
      <c r="YL321" s="90"/>
      <c r="YM321" s="90"/>
      <c r="YN321" s="90"/>
      <c r="YO321" s="90"/>
      <c r="YP321" s="90"/>
      <c r="YQ321" s="90"/>
      <c r="YR321" s="90"/>
      <c r="YS321" s="90"/>
      <c r="YT321" s="90"/>
      <c r="YU321" s="90"/>
      <c r="YV321" s="90"/>
      <c r="YW321" s="90"/>
      <c r="YX321" s="90"/>
      <c r="YY321" s="90"/>
      <c r="YZ321" s="90"/>
      <c r="ZA321" s="90"/>
      <c r="ZB321" s="90"/>
      <c r="ZC321" s="90"/>
      <c r="ZD321" s="90"/>
      <c r="ZE321" s="90"/>
      <c r="ZF321" s="90"/>
      <c r="ZG321" s="90"/>
      <c r="ZH321" s="90"/>
      <c r="ZI321" s="90"/>
      <c r="ZJ321" s="90"/>
      <c r="ZK321" s="90"/>
      <c r="ZL321" s="90"/>
      <c r="ZM321" s="90"/>
      <c r="ZN321" s="90"/>
      <c r="ZO321" s="90"/>
      <c r="ZP321" s="90"/>
      <c r="ZQ321" s="90"/>
      <c r="ZR321" s="90"/>
      <c r="ZS321" s="90"/>
      <c r="ZT321" s="90"/>
      <c r="ZU321" s="90"/>
      <c r="ZV321" s="90"/>
      <c r="ZW321" s="90"/>
      <c r="ZX321" s="90"/>
      <c r="ZY321" s="90"/>
      <c r="ZZ321" s="90"/>
      <c r="AAA321" s="90"/>
      <c r="AAB321" s="90"/>
      <c r="AAC321" s="90"/>
      <c r="AAD321" s="90"/>
      <c r="AAE321" s="90"/>
      <c r="AAF321" s="90"/>
      <c r="AAG321" s="90"/>
      <c r="AAH321" s="90"/>
      <c r="AAI321" s="90"/>
      <c r="AAJ321" s="90"/>
      <c r="AAK321" s="90"/>
      <c r="AAL321" s="90"/>
      <c r="AAM321" s="90"/>
      <c r="AAN321" s="90"/>
      <c r="AAO321" s="90"/>
      <c r="AAP321" s="90"/>
      <c r="AAQ321" s="90"/>
      <c r="AAR321" s="90"/>
      <c r="AAS321" s="90"/>
      <c r="AAT321" s="90"/>
      <c r="AAU321" s="90"/>
      <c r="AAV321" s="90"/>
      <c r="AAW321" s="90"/>
      <c r="AAX321" s="90"/>
      <c r="AAY321" s="90"/>
      <c r="AAZ321" s="90"/>
      <c r="ABA321" s="90"/>
      <c r="ABB321" s="90"/>
      <c r="ABC321" s="90"/>
      <c r="ABD321" s="90"/>
      <c r="ABE321" s="90"/>
      <c r="ABF321" s="90"/>
      <c r="ABG321" s="90"/>
      <c r="ABH321" s="90"/>
      <c r="ABI321" s="90"/>
      <c r="ABJ321" s="90"/>
      <c r="ABK321" s="90"/>
      <c r="ABL321" s="90"/>
      <c r="ABM321" s="90"/>
      <c r="ABN321" s="90"/>
      <c r="ABO321" s="90"/>
      <c r="ABP321" s="90"/>
      <c r="ABQ321" s="90"/>
      <c r="ABR321" s="90"/>
      <c r="ABS321" s="90"/>
      <c r="ABT321" s="90"/>
      <c r="ABU321" s="90"/>
      <c r="ABV321" s="90"/>
      <c r="ABW321" s="90"/>
      <c r="ABX321" s="90"/>
      <c r="ABY321" s="90"/>
      <c r="ABZ321" s="90"/>
      <c r="ACA321" s="90"/>
      <c r="ACB321" s="90"/>
      <c r="ACC321" s="90"/>
      <c r="ACD321" s="90"/>
      <c r="ACE321" s="90"/>
      <c r="ACF321" s="90"/>
      <c r="ACG321" s="90"/>
      <c r="ACH321" s="90"/>
      <c r="ACI321" s="90"/>
      <c r="ACJ321" s="90"/>
      <c r="ACK321" s="90"/>
      <c r="ACL321" s="90"/>
      <c r="ACM321" s="90"/>
      <c r="ACN321" s="90"/>
      <c r="ACO321" s="90"/>
      <c r="ACP321" s="90"/>
      <c r="ACQ321" s="90"/>
      <c r="ACR321" s="90"/>
      <c r="ACS321" s="90"/>
      <c r="ACT321" s="90"/>
      <c r="ACU321" s="90"/>
      <c r="ACV321" s="90"/>
      <c r="ACW321" s="90"/>
      <c r="ACX321" s="90"/>
      <c r="ACY321" s="90"/>
      <c r="ACZ321" s="90"/>
      <c r="ADA321" s="90"/>
      <c r="ADB321" s="90"/>
      <c r="ADC321" s="90"/>
      <c r="ADD321" s="90"/>
      <c r="ADE321" s="90"/>
      <c r="ADF321" s="90"/>
      <c r="ADG321" s="90"/>
      <c r="ADH321" s="90"/>
      <c r="ADI321" s="90"/>
      <c r="ADJ321" s="90"/>
      <c r="ADK321" s="90"/>
      <c r="ADL321" s="90"/>
      <c r="ADM321" s="90"/>
      <c r="ADN321" s="90"/>
      <c r="ADO321" s="90"/>
      <c r="ADP321" s="90"/>
      <c r="ADQ321" s="90"/>
      <c r="ADR321" s="90"/>
      <c r="ADS321" s="90"/>
      <c r="ADT321" s="90"/>
      <c r="ADU321" s="90"/>
      <c r="ADV321" s="90"/>
      <c r="ADW321" s="90"/>
      <c r="ADX321" s="90"/>
      <c r="ADY321" s="90"/>
      <c r="ADZ321" s="90"/>
      <c r="AEA321" s="90"/>
      <c r="AEB321" s="90"/>
      <c r="AEC321" s="90"/>
      <c r="AED321" s="90"/>
      <c r="AEE321" s="90"/>
      <c r="AEF321" s="90"/>
      <c r="AEG321" s="90"/>
      <c r="AEH321" s="90"/>
      <c r="AEI321" s="90"/>
      <c r="AEJ321" s="90"/>
      <c r="AEK321" s="90"/>
      <c r="AEL321" s="90"/>
      <c r="AEM321" s="90"/>
      <c r="AEN321" s="90"/>
      <c r="AEO321" s="90"/>
      <c r="AEP321" s="90"/>
      <c r="AEQ321" s="90"/>
      <c r="AER321" s="90"/>
      <c r="AES321" s="90"/>
      <c r="AET321" s="90"/>
      <c r="AEU321" s="90"/>
      <c r="AEV321" s="90"/>
      <c r="AEW321" s="90"/>
      <c r="AEX321" s="90"/>
      <c r="AEY321" s="90"/>
      <c r="AEZ321" s="90"/>
      <c r="AFA321" s="90"/>
      <c r="AFB321" s="90"/>
      <c r="AFC321" s="90"/>
      <c r="AFD321" s="90"/>
      <c r="AFE321" s="90"/>
      <c r="AFF321" s="90"/>
      <c r="AFG321" s="90"/>
      <c r="AFH321" s="90"/>
      <c r="AFI321" s="90"/>
      <c r="AFJ321" s="90"/>
      <c r="AFK321" s="90"/>
      <c r="AFL321" s="90"/>
      <c r="AFM321" s="90"/>
      <c r="AFN321" s="90"/>
      <c r="AFO321" s="90"/>
      <c r="AFP321" s="90"/>
      <c r="AFQ321" s="90"/>
      <c r="AFR321" s="90"/>
      <c r="AFS321" s="90"/>
      <c r="AFT321" s="90"/>
      <c r="AFU321" s="90"/>
      <c r="AFV321" s="90"/>
      <c r="AFW321" s="90"/>
      <c r="AFX321" s="90"/>
      <c r="AFY321" s="90"/>
      <c r="AFZ321" s="90"/>
      <c r="AGA321" s="90"/>
      <c r="AGB321" s="90"/>
      <c r="AGC321" s="90"/>
      <c r="AGD321" s="90"/>
      <c r="AGE321" s="90"/>
      <c r="AGF321" s="90"/>
      <c r="AGG321" s="90"/>
      <c r="AGH321" s="90"/>
      <c r="AGI321" s="90"/>
      <c r="AGJ321" s="90"/>
      <c r="AGK321" s="90"/>
      <c r="AGL321" s="90"/>
      <c r="AGM321" s="90"/>
      <c r="AGN321" s="90"/>
      <c r="AGO321" s="90"/>
      <c r="AGP321" s="90"/>
      <c r="AGQ321" s="90"/>
      <c r="AGR321" s="90"/>
      <c r="AGS321" s="90"/>
      <c r="AGT321" s="90"/>
      <c r="AGU321" s="90"/>
      <c r="AGV321" s="90"/>
      <c r="AGW321" s="90"/>
      <c r="AGX321" s="90"/>
      <c r="AGY321" s="90"/>
      <c r="AGZ321" s="90"/>
      <c r="AHA321" s="90"/>
      <c r="AHB321" s="90"/>
      <c r="AHC321" s="90"/>
      <c r="AHD321" s="90"/>
      <c r="AHE321" s="90"/>
      <c r="AHF321" s="90"/>
      <c r="AHG321" s="90"/>
      <c r="AHH321" s="90"/>
      <c r="AHI321" s="90"/>
      <c r="AHJ321" s="90"/>
      <c r="AHK321" s="90"/>
      <c r="AHL321" s="90"/>
      <c r="AHM321" s="90"/>
      <c r="AHN321" s="90"/>
      <c r="AHO321" s="90"/>
      <c r="AHP321" s="90"/>
      <c r="AHQ321" s="90"/>
      <c r="AHR321" s="90"/>
      <c r="AHS321" s="90"/>
      <c r="AHT321" s="90"/>
      <c r="AHU321" s="90"/>
      <c r="AHV321" s="90"/>
      <c r="AHW321" s="90"/>
      <c r="AHX321" s="90"/>
      <c r="AHY321" s="90"/>
      <c r="AHZ321" s="90"/>
      <c r="AIA321" s="90"/>
      <c r="AIB321" s="90"/>
      <c r="AIC321" s="90"/>
      <c r="AID321" s="90"/>
      <c r="AIE321" s="90"/>
      <c r="AIF321" s="90"/>
      <c r="AIG321" s="90"/>
      <c r="AIH321" s="90"/>
      <c r="AII321" s="90"/>
      <c r="AIJ321" s="90"/>
      <c r="AIK321" s="90"/>
      <c r="AIL321" s="90"/>
      <c r="AIM321" s="90"/>
      <c r="AIN321" s="90"/>
      <c r="AIO321" s="90"/>
      <c r="AIP321" s="90"/>
      <c r="AIQ321" s="90"/>
      <c r="AIR321" s="90"/>
      <c r="AIS321" s="90"/>
      <c r="AIT321" s="90"/>
      <c r="AIU321" s="90"/>
      <c r="AIV321" s="90"/>
      <c r="AIW321" s="90"/>
      <c r="AIX321" s="90"/>
      <c r="AIY321" s="90"/>
      <c r="AIZ321" s="90"/>
      <c r="AJA321" s="90"/>
      <c r="AJB321" s="90"/>
      <c r="AJC321" s="90"/>
      <c r="AJD321" s="90"/>
      <c r="AJE321" s="90"/>
      <c r="AJF321" s="90"/>
      <c r="AJG321" s="90"/>
      <c r="AJH321" s="90"/>
      <c r="AJI321" s="90"/>
      <c r="AJJ321" s="90"/>
      <c r="AJK321" s="90"/>
      <c r="AJL321" s="90"/>
      <c r="AJM321" s="90"/>
      <c r="AJN321" s="90"/>
      <c r="AJO321" s="90"/>
      <c r="AJP321" s="90"/>
      <c r="AJQ321" s="90"/>
      <c r="AJR321" s="90"/>
      <c r="AJS321" s="90"/>
      <c r="AJT321" s="90"/>
      <c r="AJU321" s="90"/>
      <c r="AJV321" s="90"/>
      <c r="AJW321" s="90"/>
      <c r="AJX321" s="90"/>
      <c r="AJY321" s="90"/>
      <c r="AJZ321" s="90"/>
      <c r="AKA321" s="90"/>
      <c r="AKB321" s="90"/>
      <c r="AKC321" s="90"/>
      <c r="AKD321" s="90"/>
      <c r="AKE321" s="90"/>
      <c r="AKF321" s="90"/>
      <c r="AKG321" s="90"/>
      <c r="AKH321" s="90"/>
      <c r="AKI321" s="90"/>
      <c r="AKJ321" s="90"/>
      <c r="AKK321" s="90"/>
      <c r="AKL321" s="90"/>
      <c r="AKM321" s="90"/>
      <c r="AKN321" s="90"/>
      <c r="AKO321" s="90"/>
      <c r="AKP321" s="90"/>
      <c r="AKQ321" s="90"/>
      <c r="AKR321" s="90"/>
      <c r="AKS321" s="90"/>
      <c r="AKT321" s="90"/>
      <c r="AKU321" s="90"/>
      <c r="AKV321" s="90"/>
      <c r="AKW321" s="90"/>
      <c r="AKX321" s="90"/>
      <c r="AKY321" s="90"/>
      <c r="AKZ321" s="90"/>
      <c r="ALA321" s="90"/>
      <c r="ALB321" s="90"/>
      <c r="ALC321" s="90"/>
      <c r="ALD321" s="90"/>
      <c r="ALE321" s="90"/>
      <c r="ALF321" s="90"/>
      <c r="ALG321" s="90"/>
      <c r="ALH321" s="90"/>
      <c r="ALI321" s="90"/>
      <c r="ALJ321" s="90"/>
      <c r="ALK321" s="90"/>
      <c r="ALL321" s="90"/>
      <c r="ALM321" s="90"/>
      <c r="ALN321" s="90"/>
      <c r="ALO321" s="90"/>
      <c r="ALP321" s="90"/>
      <c r="ALQ321" s="90"/>
      <c r="ALR321" s="90"/>
      <c r="ALS321" s="90"/>
      <c r="ALT321" s="90"/>
      <c r="ALU321" s="90"/>
      <c r="ALV321" s="90"/>
      <c r="ALW321" s="90"/>
      <c r="ALX321" s="90"/>
      <c r="ALY321" s="90"/>
      <c r="ALZ321" s="90"/>
      <c r="AMA321" s="90"/>
      <c r="AMB321" s="90"/>
      <c r="AMC321" s="90"/>
    </row>
    <row r="322" spans="1:1017">
      <c r="A322" s="98" t="s">
        <v>53</v>
      </c>
      <c r="B322" s="90" t="str">
        <f t="shared" si="1838"/>
        <v xml:space="preserve">Gabus </v>
      </c>
      <c r="Q322" s="91">
        <f t="shared" si="1839"/>
        <v>0</v>
      </c>
      <c r="R322" s="91">
        <f t="shared" si="1840"/>
        <v>0</v>
      </c>
      <c r="Y322" s="98">
        <v>390</v>
      </c>
      <c r="Z322" s="98">
        <v>15600</v>
      </c>
      <c r="AG322" s="91">
        <f t="shared" si="1841"/>
        <v>390</v>
      </c>
      <c r="AH322" s="91">
        <f t="shared" si="1842"/>
        <v>15600</v>
      </c>
      <c r="AW322" s="91">
        <f t="shared" si="1843"/>
        <v>0</v>
      </c>
      <c r="AX322" s="91">
        <f t="shared" si="1844"/>
        <v>0</v>
      </c>
      <c r="BM322" s="91">
        <f t="shared" si="1845"/>
        <v>0</v>
      </c>
      <c r="BN322" s="91">
        <f t="shared" si="1846"/>
        <v>0</v>
      </c>
      <c r="CC322" s="91">
        <f t="shared" si="1847"/>
        <v>0</v>
      </c>
      <c r="CD322" s="91">
        <f t="shared" si="1848"/>
        <v>0</v>
      </c>
      <c r="CS322" s="91">
        <f t="shared" si="1849"/>
        <v>0</v>
      </c>
      <c r="CT322" s="91">
        <f t="shared" si="1850"/>
        <v>0</v>
      </c>
      <c r="DI322" s="91">
        <f t="shared" si="1851"/>
        <v>0</v>
      </c>
      <c r="DJ322" s="91">
        <f t="shared" si="1852"/>
        <v>0</v>
      </c>
      <c r="DY322" s="91">
        <f t="shared" si="1853"/>
        <v>0</v>
      </c>
      <c r="DZ322" s="91">
        <f t="shared" si="1854"/>
        <v>0</v>
      </c>
      <c r="EO322" s="91">
        <f t="shared" si="1855"/>
        <v>0</v>
      </c>
      <c r="EP322" s="91">
        <f t="shared" si="1856"/>
        <v>0</v>
      </c>
      <c r="EW322" s="98">
        <v>78</v>
      </c>
      <c r="EX322" s="98">
        <v>2340</v>
      </c>
      <c r="FE322" s="91">
        <f t="shared" si="1857"/>
        <v>78</v>
      </c>
      <c r="FF322" s="91">
        <f t="shared" si="1858"/>
        <v>2340</v>
      </c>
      <c r="FM322" s="98">
        <v>320</v>
      </c>
      <c r="FN322" s="98">
        <v>12800</v>
      </c>
      <c r="FU322" s="91">
        <f t="shared" si="1859"/>
        <v>320</v>
      </c>
      <c r="FV322" s="91">
        <f t="shared" si="1860"/>
        <v>12800</v>
      </c>
      <c r="GK322" s="91">
        <f t="shared" si="1861"/>
        <v>0</v>
      </c>
      <c r="GL322" s="91">
        <f t="shared" si="1862"/>
        <v>0</v>
      </c>
      <c r="HA322" s="91">
        <f t="shared" si="1863"/>
        <v>0</v>
      </c>
      <c r="HB322" s="91">
        <f t="shared" si="1864"/>
        <v>0</v>
      </c>
      <c r="HQ322" s="91">
        <f t="shared" si="1865"/>
        <v>0</v>
      </c>
      <c r="HR322" s="91">
        <f t="shared" si="1866"/>
        <v>0</v>
      </c>
      <c r="IG322" s="91">
        <f t="shared" si="1867"/>
        <v>0</v>
      </c>
      <c r="IH322" s="91">
        <f t="shared" si="1868"/>
        <v>0</v>
      </c>
      <c r="IW322" s="91">
        <f t="shared" si="1869"/>
        <v>0</v>
      </c>
      <c r="IX322" s="91">
        <f t="shared" si="1870"/>
        <v>0</v>
      </c>
      <c r="JM322" s="91">
        <f t="shared" si="1871"/>
        <v>0</v>
      </c>
      <c r="JN322" s="91">
        <f t="shared" si="1872"/>
        <v>0</v>
      </c>
      <c r="KC322" s="91">
        <f t="shared" si="1873"/>
        <v>0</v>
      </c>
      <c r="KD322" s="91">
        <f t="shared" si="1874"/>
        <v>0</v>
      </c>
      <c r="KS322" s="91">
        <f t="shared" si="1875"/>
        <v>0</v>
      </c>
      <c r="KT322" s="91">
        <f t="shared" si="1876"/>
        <v>0</v>
      </c>
      <c r="LI322" s="91">
        <f t="shared" si="1877"/>
        <v>0</v>
      </c>
      <c r="LJ322" s="91">
        <f t="shared" si="1878"/>
        <v>0</v>
      </c>
      <c r="LQ322" s="98">
        <v>108</v>
      </c>
      <c r="LR322" s="98">
        <v>6480</v>
      </c>
      <c r="LY322" s="91">
        <f t="shared" si="1879"/>
        <v>108</v>
      </c>
      <c r="LZ322" s="91">
        <f t="shared" si="1880"/>
        <v>6480</v>
      </c>
      <c r="MO322" s="91">
        <f t="shared" si="1881"/>
        <v>0</v>
      </c>
      <c r="MP322" s="91">
        <f t="shared" si="1882"/>
        <v>0</v>
      </c>
      <c r="NE322" s="91">
        <f t="shared" si="1883"/>
        <v>0</v>
      </c>
      <c r="NF322" s="91">
        <f t="shared" si="1884"/>
        <v>0</v>
      </c>
      <c r="NU322" s="91">
        <f t="shared" si="1885"/>
        <v>0</v>
      </c>
      <c r="NV322" s="91">
        <f t="shared" si="1886"/>
        <v>0</v>
      </c>
      <c r="OK322" s="91">
        <f t="shared" si="1887"/>
        <v>0</v>
      </c>
      <c r="OL322" s="91">
        <f t="shared" si="1888"/>
        <v>0</v>
      </c>
      <c r="PA322" s="91">
        <f t="shared" si="1889"/>
        <v>0</v>
      </c>
      <c r="PB322" s="91">
        <f t="shared" si="1890"/>
        <v>0</v>
      </c>
      <c r="PQ322" s="91">
        <f t="shared" si="1891"/>
        <v>0</v>
      </c>
      <c r="PR322" s="91">
        <f t="shared" si="1892"/>
        <v>0</v>
      </c>
      <c r="PY322" s="98">
        <v>1250</v>
      </c>
      <c r="PZ322" s="98">
        <v>62500</v>
      </c>
      <c r="QG322" s="91">
        <f t="shared" si="1893"/>
        <v>1250</v>
      </c>
      <c r="QH322" s="91">
        <f t="shared" si="1894"/>
        <v>62500</v>
      </c>
      <c r="QO322" s="98">
        <v>5000</v>
      </c>
      <c r="QP322" s="98">
        <v>175000</v>
      </c>
      <c r="QW322" s="91">
        <f t="shared" si="1895"/>
        <v>5000</v>
      </c>
      <c r="QX322" s="91">
        <f t="shared" si="1896"/>
        <v>175000</v>
      </c>
      <c r="RM322" s="91">
        <f t="shared" si="1897"/>
        <v>0</v>
      </c>
      <c r="RN322" s="91">
        <f t="shared" si="1898"/>
        <v>0</v>
      </c>
      <c r="SC322" s="91">
        <f t="shared" si="1899"/>
        <v>0</v>
      </c>
      <c r="SD322" s="91">
        <f t="shared" si="1900"/>
        <v>0</v>
      </c>
      <c r="SS322" s="91">
        <f t="shared" si="1901"/>
        <v>0</v>
      </c>
      <c r="ST322" s="91">
        <f t="shared" si="1902"/>
        <v>0</v>
      </c>
      <c r="TI322" s="91">
        <f t="shared" si="1903"/>
        <v>0</v>
      </c>
      <c r="TJ322" s="91">
        <f t="shared" si="1904"/>
        <v>0</v>
      </c>
      <c r="TY322" s="91">
        <f t="shared" si="1905"/>
        <v>0</v>
      </c>
      <c r="TZ322" s="91">
        <f t="shared" si="1906"/>
        <v>0</v>
      </c>
      <c r="UO322" s="91">
        <f t="shared" si="1907"/>
        <v>0</v>
      </c>
      <c r="UP322" s="91">
        <f t="shared" si="1908"/>
        <v>0</v>
      </c>
      <c r="VE322" s="91">
        <f t="shared" si="1909"/>
        <v>0</v>
      </c>
      <c r="VF322" s="91">
        <f t="shared" si="1910"/>
        <v>0</v>
      </c>
      <c r="VU322" s="91">
        <f t="shared" si="1911"/>
        <v>0</v>
      </c>
      <c r="VV322" s="91">
        <f t="shared" si="1912"/>
        <v>0</v>
      </c>
      <c r="WK322" s="91">
        <f t="shared" si="1913"/>
        <v>0</v>
      </c>
      <c r="WL322" s="91">
        <f t="shared" si="1914"/>
        <v>0</v>
      </c>
      <c r="WM322" s="89"/>
      <c r="WN322" s="87">
        <f t="shared" si="1915"/>
        <v>0</v>
      </c>
      <c r="WO322" s="87">
        <f t="shared" si="1916"/>
        <v>0</v>
      </c>
      <c r="WP322" s="87">
        <f t="shared" si="1917"/>
        <v>0</v>
      </c>
      <c r="WQ322" s="87">
        <f t="shared" si="1918"/>
        <v>0</v>
      </c>
      <c r="WR322" s="87">
        <f t="shared" si="1919"/>
        <v>0</v>
      </c>
      <c r="WS322" s="87">
        <f t="shared" si="1920"/>
        <v>0</v>
      </c>
      <c r="WT322" s="87">
        <f t="shared" si="1921"/>
        <v>7146</v>
      </c>
      <c r="WU322" s="87">
        <f t="shared" si="1922"/>
        <v>274720</v>
      </c>
      <c r="WV322" s="87">
        <f t="shared" si="1923"/>
        <v>0</v>
      </c>
      <c r="WW322" s="87">
        <f t="shared" si="1924"/>
        <v>0</v>
      </c>
      <c r="WX322" s="87">
        <f t="shared" si="1925"/>
        <v>0</v>
      </c>
      <c r="WY322" s="87">
        <f t="shared" si="1926"/>
        <v>0</v>
      </c>
      <c r="WZ322" s="87">
        <f t="shared" si="1927"/>
        <v>0</v>
      </c>
      <c r="XA322" s="87">
        <f t="shared" si="1928"/>
        <v>0</v>
      </c>
      <c r="XB322" s="92">
        <f t="shared" si="1929"/>
        <v>7146</v>
      </c>
      <c r="XC322" s="92">
        <f t="shared" si="1930"/>
        <v>274720</v>
      </c>
      <c r="XD322" s="89"/>
      <c r="XE322" s="92"/>
      <c r="XF322" s="92"/>
      <c r="XG322" s="89"/>
      <c r="XH322" s="92"/>
      <c r="XI322" s="92"/>
      <c r="XJ322" s="89"/>
      <c r="XK322" s="87"/>
      <c r="XL322" s="87"/>
      <c r="XM322" s="87"/>
      <c r="XN322" s="87"/>
      <c r="XO322" s="87"/>
      <c r="XP322" s="87"/>
      <c r="XQ322" s="87"/>
      <c r="XR322" s="92">
        <f t="shared" ca="1" si="1931"/>
        <v>0</v>
      </c>
      <c r="XS322" s="89"/>
      <c r="XT322" s="87"/>
      <c r="XU322" s="87"/>
      <c r="XV322" s="87"/>
      <c r="XW322" s="87"/>
      <c r="XX322" s="87"/>
      <c r="XY322" s="87"/>
      <c r="XZ322" s="87"/>
      <c r="YA322" s="92">
        <f t="shared" ca="1" si="1932"/>
        <v>0</v>
      </c>
      <c r="YB322" s="90"/>
      <c r="YC322" s="90"/>
      <c r="YD322" s="90"/>
      <c r="YE322" s="90"/>
      <c r="YF322" s="90"/>
      <c r="YG322" s="90"/>
      <c r="YH322" s="90"/>
      <c r="YI322" s="90"/>
      <c r="YJ322" s="90"/>
      <c r="YK322" s="90"/>
      <c r="YL322" s="90"/>
      <c r="YM322" s="90"/>
      <c r="YN322" s="90"/>
      <c r="YO322" s="90"/>
      <c r="YP322" s="90"/>
      <c r="YQ322" s="90"/>
      <c r="YR322" s="90"/>
      <c r="YS322" s="90"/>
      <c r="YT322" s="90"/>
      <c r="YU322" s="90"/>
      <c r="YV322" s="90"/>
      <c r="YW322" s="90"/>
      <c r="YX322" s="90"/>
      <c r="YY322" s="90"/>
      <c r="YZ322" s="90"/>
      <c r="ZA322" s="90"/>
      <c r="ZB322" s="90"/>
      <c r="ZC322" s="90"/>
      <c r="ZD322" s="90"/>
      <c r="ZE322" s="90"/>
      <c r="ZF322" s="90"/>
      <c r="ZG322" s="90"/>
      <c r="ZH322" s="90"/>
      <c r="ZI322" s="90"/>
      <c r="ZJ322" s="90"/>
      <c r="ZK322" s="90"/>
      <c r="ZL322" s="90"/>
      <c r="ZM322" s="90"/>
      <c r="ZN322" s="90"/>
      <c r="ZO322" s="90"/>
      <c r="ZP322" s="90"/>
      <c r="ZQ322" s="90"/>
      <c r="ZR322" s="90"/>
      <c r="ZS322" s="90"/>
      <c r="ZT322" s="90"/>
      <c r="ZU322" s="90"/>
      <c r="ZV322" s="90"/>
      <c r="ZW322" s="90"/>
      <c r="ZX322" s="90"/>
      <c r="ZY322" s="90"/>
      <c r="ZZ322" s="90"/>
      <c r="AAA322" s="90"/>
      <c r="AAB322" s="90"/>
      <c r="AAC322" s="90"/>
      <c r="AAD322" s="90"/>
      <c r="AAE322" s="90"/>
      <c r="AAF322" s="90"/>
      <c r="AAG322" s="90"/>
      <c r="AAH322" s="90"/>
      <c r="AAI322" s="90"/>
      <c r="AAJ322" s="90"/>
      <c r="AAK322" s="90"/>
      <c r="AAL322" s="90"/>
      <c r="AAM322" s="90"/>
      <c r="AAN322" s="90"/>
      <c r="AAO322" s="90"/>
      <c r="AAP322" s="90"/>
      <c r="AAQ322" s="90"/>
      <c r="AAR322" s="90"/>
      <c r="AAS322" s="90"/>
      <c r="AAT322" s="90"/>
      <c r="AAU322" s="90"/>
      <c r="AAV322" s="90"/>
      <c r="AAW322" s="90"/>
      <c r="AAX322" s="90"/>
      <c r="AAY322" s="90"/>
      <c r="AAZ322" s="90"/>
      <c r="ABA322" s="90"/>
      <c r="ABB322" s="90"/>
      <c r="ABC322" s="90"/>
      <c r="ABD322" s="90"/>
      <c r="ABE322" s="90"/>
      <c r="ABF322" s="90"/>
      <c r="ABG322" s="90"/>
      <c r="ABH322" s="90"/>
      <c r="ABI322" s="90"/>
      <c r="ABJ322" s="90"/>
      <c r="ABK322" s="90"/>
      <c r="ABL322" s="90"/>
      <c r="ABM322" s="90"/>
      <c r="ABN322" s="90"/>
      <c r="ABO322" s="90"/>
      <c r="ABP322" s="90"/>
      <c r="ABQ322" s="90"/>
      <c r="ABR322" s="90"/>
      <c r="ABS322" s="90"/>
      <c r="ABT322" s="90"/>
      <c r="ABU322" s="90"/>
      <c r="ABV322" s="90"/>
      <c r="ABW322" s="90"/>
      <c r="ABX322" s="90"/>
      <c r="ABY322" s="90"/>
      <c r="ABZ322" s="90"/>
      <c r="ACA322" s="90"/>
      <c r="ACB322" s="90"/>
      <c r="ACC322" s="90"/>
      <c r="ACD322" s="90"/>
      <c r="ACE322" s="90"/>
      <c r="ACF322" s="90"/>
      <c r="ACG322" s="90"/>
      <c r="ACH322" s="90"/>
      <c r="ACI322" s="90"/>
      <c r="ACJ322" s="90"/>
      <c r="ACK322" s="90"/>
      <c r="ACL322" s="90"/>
      <c r="ACM322" s="90"/>
      <c r="ACN322" s="90"/>
      <c r="ACO322" s="90"/>
      <c r="ACP322" s="90"/>
      <c r="ACQ322" s="90"/>
      <c r="ACR322" s="90"/>
      <c r="ACS322" s="90"/>
      <c r="ACT322" s="90"/>
      <c r="ACU322" s="90"/>
      <c r="ACV322" s="90"/>
      <c r="ACW322" s="90"/>
      <c r="ACX322" s="90"/>
      <c r="ACY322" s="90"/>
      <c r="ACZ322" s="90"/>
      <c r="ADA322" s="90"/>
      <c r="ADB322" s="90"/>
      <c r="ADC322" s="90"/>
      <c r="ADD322" s="90"/>
      <c r="ADE322" s="90"/>
      <c r="ADF322" s="90"/>
      <c r="ADG322" s="90"/>
      <c r="ADH322" s="90"/>
      <c r="ADI322" s="90"/>
      <c r="ADJ322" s="90"/>
      <c r="ADK322" s="90"/>
      <c r="ADL322" s="90"/>
      <c r="ADM322" s="90"/>
      <c r="ADN322" s="90"/>
      <c r="ADO322" s="90"/>
      <c r="ADP322" s="90"/>
      <c r="ADQ322" s="90"/>
      <c r="ADR322" s="90"/>
      <c r="ADS322" s="90"/>
      <c r="ADT322" s="90"/>
      <c r="ADU322" s="90"/>
      <c r="ADV322" s="90"/>
      <c r="ADW322" s="90"/>
      <c r="ADX322" s="90"/>
      <c r="ADY322" s="90"/>
      <c r="ADZ322" s="90"/>
      <c r="AEA322" s="90"/>
      <c r="AEB322" s="90"/>
      <c r="AEC322" s="90"/>
      <c r="AED322" s="90"/>
      <c r="AEE322" s="90"/>
      <c r="AEF322" s="90"/>
      <c r="AEG322" s="90"/>
      <c r="AEH322" s="90"/>
      <c r="AEI322" s="90"/>
      <c r="AEJ322" s="90"/>
      <c r="AEK322" s="90"/>
      <c r="AEL322" s="90"/>
      <c r="AEM322" s="90"/>
      <c r="AEN322" s="90"/>
      <c r="AEO322" s="90"/>
      <c r="AEP322" s="90"/>
      <c r="AEQ322" s="90"/>
      <c r="AER322" s="90"/>
      <c r="AES322" s="90"/>
      <c r="AET322" s="90"/>
      <c r="AEU322" s="90"/>
      <c r="AEV322" s="90"/>
      <c r="AEW322" s="90"/>
      <c r="AEX322" s="90"/>
      <c r="AEY322" s="90"/>
      <c r="AEZ322" s="90"/>
      <c r="AFA322" s="90"/>
      <c r="AFB322" s="90"/>
      <c r="AFC322" s="90"/>
      <c r="AFD322" s="90"/>
      <c r="AFE322" s="90"/>
      <c r="AFF322" s="90"/>
      <c r="AFG322" s="90"/>
      <c r="AFH322" s="90"/>
      <c r="AFI322" s="90"/>
      <c r="AFJ322" s="90"/>
      <c r="AFK322" s="90"/>
      <c r="AFL322" s="90"/>
      <c r="AFM322" s="90"/>
      <c r="AFN322" s="90"/>
      <c r="AFO322" s="90"/>
      <c r="AFP322" s="90"/>
      <c r="AFQ322" s="90"/>
      <c r="AFR322" s="90"/>
      <c r="AFS322" s="90"/>
      <c r="AFT322" s="90"/>
      <c r="AFU322" s="90"/>
      <c r="AFV322" s="90"/>
      <c r="AFW322" s="90"/>
      <c r="AFX322" s="90"/>
      <c r="AFY322" s="90"/>
      <c r="AFZ322" s="90"/>
      <c r="AGA322" s="90"/>
      <c r="AGB322" s="90"/>
      <c r="AGC322" s="90"/>
      <c r="AGD322" s="90"/>
      <c r="AGE322" s="90"/>
      <c r="AGF322" s="90"/>
      <c r="AGG322" s="90"/>
      <c r="AGH322" s="90"/>
      <c r="AGI322" s="90"/>
      <c r="AGJ322" s="90"/>
      <c r="AGK322" s="90"/>
      <c r="AGL322" s="90"/>
      <c r="AGM322" s="90"/>
      <c r="AGN322" s="90"/>
      <c r="AGO322" s="90"/>
      <c r="AGP322" s="90"/>
      <c r="AGQ322" s="90"/>
      <c r="AGR322" s="90"/>
      <c r="AGS322" s="90"/>
      <c r="AGT322" s="90"/>
      <c r="AGU322" s="90"/>
      <c r="AGV322" s="90"/>
      <c r="AGW322" s="90"/>
      <c r="AGX322" s="90"/>
      <c r="AGY322" s="90"/>
      <c r="AGZ322" s="90"/>
      <c r="AHA322" s="90"/>
      <c r="AHB322" s="90"/>
      <c r="AHC322" s="90"/>
      <c r="AHD322" s="90"/>
      <c r="AHE322" s="90"/>
      <c r="AHF322" s="90"/>
      <c r="AHG322" s="90"/>
      <c r="AHH322" s="90"/>
      <c r="AHI322" s="90"/>
      <c r="AHJ322" s="90"/>
      <c r="AHK322" s="90"/>
      <c r="AHL322" s="90"/>
      <c r="AHM322" s="90"/>
      <c r="AHN322" s="90"/>
      <c r="AHO322" s="90"/>
      <c r="AHP322" s="90"/>
      <c r="AHQ322" s="90"/>
      <c r="AHR322" s="90"/>
      <c r="AHS322" s="90"/>
      <c r="AHT322" s="90"/>
      <c r="AHU322" s="90"/>
      <c r="AHV322" s="90"/>
      <c r="AHW322" s="90"/>
      <c r="AHX322" s="90"/>
      <c r="AHY322" s="90"/>
      <c r="AHZ322" s="90"/>
      <c r="AIA322" s="90"/>
      <c r="AIB322" s="90"/>
      <c r="AIC322" s="90"/>
      <c r="AID322" s="90"/>
      <c r="AIE322" s="90"/>
      <c r="AIF322" s="90"/>
      <c r="AIG322" s="90"/>
      <c r="AIH322" s="90"/>
      <c r="AII322" s="90"/>
      <c r="AIJ322" s="90"/>
      <c r="AIK322" s="90"/>
      <c r="AIL322" s="90"/>
      <c r="AIM322" s="90"/>
      <c r="AIN322" s="90"/>
      <c r="AIO322" s="90"/>
      <c r="AIP322" s="90"/>
      <c r="AIQ322" s="90"/>
      <c r="AIR322" s="90"/>
      <c r="AIS322" s="90"/>
      <c r="AIT322" s="90"/>
      <c r="AIU322" s="90"/>
      <c r="AIV322" s="90"/>
      <c r="AIW322" s="90"/>
      <c r="AIX322" s="90"/>
      <c r="AIY322" s="90"/>
      <c r="AIZ322" s="90"/>
      <c r="AJA322" s="90"/>
      <c r="AJB322" s="90"/>
      <c r="AJC322" s="90"/>
      <c r="AJD322" s="90"/>
      <c r="AJE322" s="90"/>
      <c r="AJF322" s="90"/>
      <c r="AJG322" s="90"/>
      <c r="AJH322" s="90"/>
      <c r="AJI322" s="90"/>
      <c r="AJJ322" s="90"/>
      <c r="AJK322" s="90"/>
      <c r="AJL322" s="90"/>
      <c r="AJM322" s="90"/>
      <c r="AJN322" s="90"/>
      <c r="AJO322" s="90"/>
      <c r="AJP322" s="90"/>
      <c r="AJQ322" s="90"/>
      <c r="AJR322" s="90"/>
      <c r="AJS322" s="90"/>
      <c r="AJT322" s="90"/>
      <c r="AJU322" s="90"/>
      <c r="AJV322" s="90"/>
      <c r="AJW322" s="90"/>
      <c r="AJX322" s="90"/>
      <c r="AJY322" s="90"/>
      <c r="AJZ322" s="90"/>
      <c r="AKA322" s="90"/>
      <c r="AKB322" s="90"/>
      <c r="AKC322" s="90"/>
      <c r="AKD322" s="90"/>
      <c r="AKE322" s="90"/>
      <c r="AKF322" s="90"/>
      <c r="AKG322" s="90"/>
      <c r="AKH322" s="90"/>
      <c r="AKI322" s="90"/>
      <c r="AKJ322" s="90"/>
      <c r="AKK322" s="90"/>
      <c r="AKL322" s="90"/>
      <c r="AKM322" s="90"/>
      <c r="AKN322" s="90"/>
      <c r="AKO322" s="90"/>
      <c r="AKP322" s="90"/>
      <c r="AKQ322" s="90"/>
      <c r="AKR322" s="90"/>
      <c r="AKS322" s="90"/>
      <c r="AKT322" s="90"/>
      <c r="AKU322" s="90"/>
      <c r="AKV322" s="90"/>
      <c r="AKW322" s="90"/>
      <c r="AKX322" s="90"/>
      <c r="AKY322" s="90"/>
      <c r="AKZ322" s="90"/>
      <c r="ALA322" s="90"/>
      <c r="ALB322" s="90"/>
      <c r="ALC322" s="90"/>
      <c r="ALD322" s="90"/>
      <c r="ALE322" s="90"/>
      <c r="ALF322" s="90"/>
      <c r="ALG322" s="90"/>
      <c r="ALH322" s="90"/>
      <c r="ALI322" s="90"/>
      <c r="ALJ322" s="90"/>
      <c r="ALK322" s="90"/>
      <c r="ALL322" s="90"/>
      <c r="ALM322" s="90"/>
      <c r="ALN322" s="90"/>
      <c r="ALO322" s="90"/>
      <c r="ALP322" s="90"/>
      <c r="ALQ322" s="90"/>
      <c r="ALR322" s="90"/>
      <c r="ALS322" s="90"/>
      <c r="ALT322" s="90"/>
      <c r="ALU322" s="90"/>
      <c r="ALV322" s="90"/>
      <c r="ALW322" s="90"/>
      <c r="ALX322" s="90"/>
      <c r="ALY322" s="90"/>
      <c r="ALZ322" s="90"/>
      <c r="AMA322" s="90"/>
      <c r="AMB322" s="90"/>
      <c r="AMC322" s="90"/>
    </row>
    <row r="323" spans="1:1017">
      <c r="A323" s="98" t="s">
        <v>53</v>
      </c>
      <c r="B323" s="90" t="str">
        <f t="shared" si="1838"/>
        <v xml:space="preserve">Gracilaria verrucosa </v>
      </c>
      <c r="Q323" s="91">
        <f t="shared" si="1839"/>
        <v>0</v>
      </c>
      <c r="R323" s="91">
        <f t="shared" si="1840"/>
        <v>0</v>
      </c>
      <c r="AG323" s="91">
        <f t="shared" si="1841"/>
        <v>0</v>
      </c>
      <c r="AH323" s="91">
        <f t="shared" si="1842"/>
        <v>0</v>
      </c>
      <c r="AW323" s="91">
        <f t="shared" si="1843"/>
        <v>0</v>
      </c>
      <c r="AX323" s="91">
        <f t="shared" si="1844"/>
        <v>0</v>
      </c>
      <c r="BM323" s="91">
        <f t="shared" si="1845"/>
        <v>0</v>
      </c>
      <c r="BN323" s="91">
        <f t="shared" si="1846"/>
        <v>0</v>
      </c>
      <c r="CC323" s="91">
        <f t="shared" si="1847"/>
        <v>0</v>
      </c>
      <c r="CD323" s="91">
        <f t="shared" si="1848"/>
        <v>0</v>
      </c>
      <c r="CG323" s="98">
        <v>434930</v>
      </c>
      <c r="CH323" s="98">
        <v>1304790</v>
      </c>
      <c r="CS323" s="91">
        <f t="shared" si="1849"/>
        <v>434930</v>
      </c>
      <c r="CT323" s="91">
        <f t="shared" si="1850"/>
        <v>1304790</v>
      </c>
      <c r="DI323" s="91">
        <f t="shared" si="1851"/>
        <v>0</v>
      </c>
      <c r="DJ323" s="91">
        <f t="shared" si="1852"/>
        <v>0</v>
      </c>
      <c r="DY323" s="91">
        <f t="shared" si="1853"/>
        <v>0</v>
      </c>
      <c r="DZ323" s="91">
        <f t="shared" si="1854"/>
        <v>0</v>
      </c>
      <c r="EO323" s="91">
        <f t="shared" si="1855"/>
        <v>0</v>
      </c>
      <c r="EP323" s="91">
        <f t="shared" si="1856"/>
        <v>0</v>
      </c>
      <c r="FE323" s="91">
        <f t="shared" si="1857"/>
        <v>0</v>
      </c>
      <c r="FF323" s="91">
        <f t="shared" si="1858"/>
        <v>0</v>
      </c>
      <c r="FU323" s="91">
        <f t="shared" si="1859"/>
        <v>0</v>
      </c>
      <c r="FV323" s="91">
        <f t="shared" si="1860"/>
        <v>0</v>
      </c>
      <c r="GK323" s="91">
        <f t="shared" si="1861"/>
        <v>0</v>
      </c>
      <c r="GL323" s="91">
        <f t="shared" si="1862"/>
        <v>0</v>
      </c>
      <c r="HA323" s="91">
        <f t="shared" si="1863"/>
        <v>0</v>
      </c>
      <c r="HB323" s="91">
        <f t="shared" si="1864"/>
        <v>0</v>
      </c>
      <c r="HQ323" s="91">
        <f t="shared" si="1865"/>
        <v>0</v>
      </c>
      <c r="HR323" s="91">
        <f t="shared" si="1866"/>
        <v>0</v>
      </c>
      <c r="IG323" s="91">
        <f t="shared" si="1867"/>
        <v>0</v>
      </c>
      <c r="IH323" s="91">
        <f t="shared" si="1868"/>
        <v>0</v>
      </c>
      <c r="IW323" s="91">
        <f t="shared" si="1869"/>
        <v>0</v>
      </c>
      <c r="IX323" s="91">
        <f t="shared" si="1870"/>
        <v>0</v>
      </c>
      <c r="JM323" s="91">
        <f t="shared" si="1871"/>
        <v>0</v>
      </c>
      <c r="JN323" s="91">
        <f t="shared" si="1872"/>
        <v>0</v>
      </c>
      <c r="KC323" s="91">
        <f t="shared" si="1873"/>
        <v>0</v>
      </c>
      <c r="KD323" s="91">
        <f t="shared" si="1874"/>
        <v>0</v>
      </c>
      <c r="KS323" s="91">
        <f t="shared" si="1875"/>
        <v>0</v>
      </c>
      <c r="KT323" s="91">
        <f t="shared" si="1876"/>
        <v>0</v>
      </c>
      <c r="KW323" s="98">
        <v>436746.27</v>
      </c>
      <c r="KX323" s="98">
        <v>655119</v>
      </c>
      <c r="LI323" s="91">
        <f t="shared" si="1877"/>
        <v>436746.27</v>
      </c>
      <c r="LJ323" s="91">
        <f t="shared" si="1878"/>
        <v>655119</v>
      </c>
      <c r="LY323" s="91">
        <f t="shared" si="1879"/>
        <v>0</v>
      </c>
      <c r="LZ323" s="91">
        <f t="shared" si="1880"/>
        <v>0</v>
      </c>
      <c r="MO323" s="91">
        <f t="shared" si="1881"/>
        <v>0</v>
      </c>
      <c r="MP323" s="91">
        <f t="shared" si="1882"/>
        <v>0</v>
      </c>
      <c r="NE323" s="91">
        <f t="shared" si="1883"/>
        <v>0</v>
      </c>
      <c r="NF323" s="91">
        <f t="shared" si="1884"/>
        <v>0</v>
      </c>
      <c r="NI323" s="98">
        <v>1546800</v>
      </c>
      <c r="NJ323" s="98">
        <v>3557640</v>
      </c>
      <c r="NU323" s="91">
        <f t="shared" si="1885"/>
        <v>1546800</v>
      </c>
      <c r="NV323" s="91">
        <f t="shared" si="1886"/>
        <v>3557640</v>
      </c>
      <c r="NY323" s="98">
        <v>6580</v>
      </c>
      <c r="NZ323" s="98">
        <v>19740</v>
      </c>
      <c r="OK323" s="91">
        <f t="shared" si="1887"/>
        <v>6580</v>
      </c>
      <c r="OL323" s="91">
        <f t="shared" si="1888"/>
        <v>19740</v>
      </c>
      <c r="PA323" s="91">
        <f t="shared" si="1889"/>
        <v>0</v>
      </c>
      <c r="PB323" s="91">
        <f t="shared" si="1890"/>
        <v>0</v>
      </c>
      <c r="PQ323" s="91">
        <f t="shared" si="1891"/>
        <v>0</v>
      </c>
      <c r="PR323" s="91">
        <f t="shared" si="1892"/>
        <v>0</v>
      </c>
      <c r="QG323" s="91">
        <f t="shared" si="1893"/>
        <v>0</v>
      </c>
      <c r="QH323" s="91">
        <f t="shared" si="1894"/>
        <v>0</v>
      </c>
      <c r="QW323" s="91">
        <f t="shared" si="1895"/>
        <v>0</v>
      </c>
      <c r="QX323" s="91">
        <f t="shared" si="1896"/>
        <v>0</v>
      </c>
      <c r="RM323" s="91">
        <f t="shared" si="1897"/>
        <v>0</v>
      </c>
      <c r="RN323" s="91">
        <f t="shared" si="1898"/>
        <v>0</v>
      </c>
      <c r="SC323" s="91">
        <f t="shared" si="1899"/>
        <v>0</v>
      </c>
      <c r="SD323" s="91">
        <f t="shared" si="1900"/>
        <v>0</v>
      </c>
      <c r="SS323" s="91">
        <f t="shared" si="1901"/>
        <v>0</v>
      </c>
      <c r="ST323" s="91">
        <f t="shared" si="1902"/>
        <v>0</v>
      </c>
      <c r="TI323" s="91">
        <f t="shared" si="1903"/>
        <v>0</v>
      </c>
      <c r="TJ323" s="91">
        <f t="shared" si="1904"/>
        <v>0</v>
      </c>
      <c r="TY323" s="91">
        <f t="shared" si="1905"/>
        <v>0</v>
      </c>
      <c r="TZ323" s="91">
        <f t="shared" si="1906"/>
        <v>0</v>
      </c>
      <c r="UO323" s="91">
        <f t="shared" si="1907"/>
        <v>0</v>
      </c>
      <c r="UP323" s="91">
        <f t="shared" si="1908"/>
        <v>0</v>
      </c>
      <c r="US323" s="98">
        <v>128300</v>
      </c>
      <c r="UT323" s="98">
        <v>102640</v>
      </c>
      <c r="VE323" s="91">
        <f t="shared" si="1909"/>
        <v>128300</v>
      </c>
      <c r="VF323" s="91">
        <f t="shared" si="1910"/>
        <v>102640</v>
      </c>
      <c r="VU323" s="91">
        <f t="shared" si="1911"/>
        <v>0</v>
      </c>
      <c r="VV323" s="91">
        <f t="shared" si="1912"/>
        <v>0</v>
      </c>
      <c r="WK323" s="91">
        <f t="shared" si="1913"/>
        <v>0</v>
      </c>
      <c r="WL323" s="91">
        <f t="shared" si="1914"/>
        <v>0</v>
      </c>
      <c r="WM323" s="89"/>
      <c r="WN323" s="87">
        <f t="shared" si="1915"/>
        <v>0</v>
      </c>
      <c r="WO323" s="87">
        <f t="shared" si="1916"/>
        <v>0</v>
      </c>
      <c r="WP323" s="87">
        <f t="shared" si="1917"/>
        <v>2553356.27</v>
      </c>
      <c r="WQ323" s="87">
        <f t="shared" si="1918"/>
        <v>5639929</v>
      </c>
      <c r="WR323" s="87">
        <f t="shared" si="1919"/>
        <v>0</v>
      </c>
      <c r="WS323" s="87">
        <f t="shared" si="1920"/>
        <v>0</v>
      </c>
      <c r="WT323" s="87">
        <f t="shared" si="1921"/>
        <v>0</v>
      </c>
      <c r="WU323" s="87">
        <f t="shared" si="1922"/>
        <v>0</v>
      </c>
      <c r="WV323" s="87">
        <f t="shared" si="1923"/>
        <v>0</v>
      </c>
      <c r="WW323" s="87">
        <f t="shared" si="1924"/>
        <v>0</v>
      </c>
      <c r="WX323" s="87">
        <f t="shared" si="1925"/>
        <v>0</v>
      </c>
      <c r="WY323" s="87">
        <f t="shared" si="1926"/>
        <v>0</v>
      </c>
      <c r="WZ323" s="87">
        <f t="shared" si="1927"/>
        <v>0</v>
      </c>
      <c r="XA323" s="87">
        <f t="shared" si="1928"/>
        <v>0</v>
      </c>
      <c r="XB323" s="92">
        <f t="shared" si="1929"/>
        <v>2553356.27</v>
      </c>
      <c r="XC323" s="92">
        <f t="shared" si="1930"/>
        <v>5639929</v>
      </c>
      <c r="XD323" s="89"/>
      <c r="XE323" s="92"/>
      <c r="XF323" s="92"/>
      <c r="XG323" s="89"/>
      <c r="XH323" s="92"/>
      <c r="XI323" s="92"/>
      <c r="XJ323" s="89"/>
      <c r="XK323" s="87"/>
      <c r="XL323" s="87"/>
      <c r="XM323" s="87"/>
      <c r="XN323" s="87"/>
      <c r="XO323" s="87"/>
      <c r="XP323" s="87"/>
      <c r="XQ323" s="87"/>
      <c r="XR323" s="92">
        <f t="shared" ca="1" si="1931"/>
        <v>0</v>
      </c>
      <c r="XS323" s="89"/>
      <c r="XT323" s="87"/>
      <c r="XU323" s="87"/>
      <c r="XV323" s="87"/>
      <c r="XW323" s="87"/>
      <c r="XX323" s="87"/>
      <c r="XY323" s="87"/>
      <c r="XZ323" s="87"/>
      <c r="YA323" s="92">
        <f t="shared" ca="1" si="1932"/>
        <v>0</v>
      </c>
      <c r="YB323" s="90"/>
      <c r="YC323" s="90"/>
      <c r="YD323" s="90"/>
      <c r="YE323" s="90"/>
      <c r="YF323" s="90"/>
      <c r="YG323" s="90"/>
      <c r="YH323" s="90"/>
      <c r="YI323" s="90"/>
      <c r="YJ323" s="90"/>
      <c r="YK323" s="90"/>
      <c r="YL323" s="90"/>
      <c r="YM323" s="90"/>
      <c r="YN323" s="90"/>
      <c r="YO323" s="90"/>
      <c r="YP323" s="90"/>
      <c r="YQ323" s="90"/>
      <c r="YR323" s="90"/>
      <c r="YS323" s="90"/>
      <c r="YT323" s="90"/>
      <c r="YU323" s="90"/>
      <c r="YV323" s="90"/>
      <c r="YW323" s="90"/>
      <c r="YX323" s="90"/>
      <c r="YY323" s="90"/>
      <c r="YZ323" s="90"/>
      <c r="ZA323" s="90"/>
      <c r="ZB323" s="90"/>
      <c r="ZC323" s="90"/>
      <c r="ZD323" s="90"/>
      <c r="ZE323" s="90"/>
      <c r="ZF323" s="90"/>
      <c r="ZG323" s="90"/>
      <c r="ZH323" s="90"/>
      <c r="ZI323" s="90"/>
      <c r="ZJ323" s="90"/>
      <c r="ZK323" s="90"/>
      <c r="ZL323" s="90"/>
      <c r="ZM323" s="90"/>
      <c r="ZN323" s="90"/>
      <c r="ZO323" s="90"/>
      <c r="ZP323" s="90"/>
      <c r="ZQ323" s="90"/>
      <c r="ZR323" s="90"/>
      <c r="ZS323" s="90"/>
      <c r="ZT323" s="90"/>
      <c r="ZU323" s="90"/>
      <c r="ZV323" s="90"/>
      <c r="ZW323" s="90"/>
      <c r="ZX323" s="90"/>
      <c r="ZY323" s="90"/>
      <c r="ZZ323" s="90"/>
      <c r="AAA323" s="90"/>
      <c r="AAB323" s="90"/>
      <c r="AAC323" s="90"/>
      <c r="AAD323" s="90"/>
      <c r="AAE323" s="90"/>
      <c r="AAF323" s="90"/>
      <c r="AAG323" s="90"/>
      <c r="AAH323" s="90"/>
      <c r="AAI323" s="90"/>
      <c r="AAJ323" s="90"/>
      <c r="AAK323" s="90"/>
      <c r="AAL323" s="90"/>
      <c r="AAM323" s="90"/>
      <c r="AAN323" s="90"/>
      <c r="AAO323" s="90"/>
      <c r="AAP323" s="90"/>
      <c r="AAQ323" s="90"/>
      <c r="AAR323" s="90"/>
      <c r="AAS323" s="90"/>
      <c r="AAT323" s="90"/>
      <c r="AAU323" s="90"/>
      <c r="AAV323" s="90"/>
      <c r="AAW323" s="90"/>
      <c r="AAX323" s="90"/>
      <c r="AAY323" s="90"/>
      <c r="AAZ323" s="90"/>
      <c r="ABA323" s="90"/>
      <c r="ABB323" s="90"/>
      <c r="ABC323" s="90"/>
      <c r="ABD323" s="90"/>
      <c r="ABE323" s="90"/>
      <c r="ABF323" s="90"/>
      <c r="ABG323" s="90"/>
      <c r="ABH323" s="90"/>
      <c r="ABI323" s="90"/>
      <c r="ABJ323" s="90"/>
      <c r="ABK323" s="90"/>
      <c r="ABL323" s="90"/>
      <c r="ABM323" s="90"/>
      <c r="ABN323" s="90"/>
      <c r="ABO323" s="90"/>
      <c r="ABP323" s="90"/>
      <c r="ABQ323" s="90"/>
      <c r="ABR323" s="90"/>
      <c r="ABS323" s="90"/>
      <c r="ABT323" s="90"/>
      <c r="ABU323" s="90"/>
      <c r="ABV323" s="90"/>
      <c r="ABW323" s="90"/>
      <c r="ABX323" s="90"/>
      <c r="ABY323" s="90"/>
      <c r="ABZ323" s="90"/>
      <c r="ACA323" s="90"/>
      <c r="ACB323" s="90"/>
      <c r="ACC323" s="90"/>
      <c r="ACD323" s="90"/>
      <c r="ACE323" s="90"/>
      <c r="ACF323" s="90"/>
      <c r="ACG323" s="90"/>
      <c r="ACH323" s="90"/>
      <c r="ACI323" s="90"/>
      <c r="ACJ323" s="90"/>
      <c r="ACK323" s="90"/>
      <c r="ACL323" s="90"/>
      <c r="ACM323" s="90"/>
      <c r="ACN323" s="90"/>
      <c r="ACO323" s="90"/>
      <c r="ACP323" s="90"/>
      <c r="ACQ323" s="90"/>
      <c r="ACR323" s="90"/>
      <c r="ACS323" s="90"/>
      <c r="ACT323" s="90"/>
      <c r="ACU323" s="90"/>
      <c r="ACV323" s="90"/>
      <c r="ACW323" s="90"/>
      <c r="ACX323" s="90"/>
      <c r="ACY323" s="90"/>
      <c r="ACZ323" s="90"/>
      <c r="ADA323" s="90"/>
      <c r="ADB323" s="90"/>
      <c r="ADC323" s="90"/>
      <c r="ADD323" s="90"/>
      <c r="ADE323" s="90"/>
      <c r="ADF323" s="90"/>
      <c r="ADG323" s="90"/>
      <c r="ADH323" s="90"/>
      <c r="ADI323" s="90"/>
      <c r="ADJ323" s="90"/>
      <c r="ADK323" s="90"/>
      <c r="ADL323" s="90"/>
      <c r="ADM323" s="90"/>
      <c r="ADN323" s="90"/>
      <c r="ADO323" s="90"/>
      <c r="ADP323" s="90"/>
      <c r="ADQ323" s="90"/>
      <c r="ADR323" s="90"/>
      <c r="ADS323" s="90"/>
      <c r="ADT323" s="90"/>
      <c r="ADU323" s="90"/>
      <c r="ADV323" s="90"/>
      <c r="ADW323" s="90"/>
      <c r="ADX323" s="90"/>
      <c r="ADY323" s="90"/>
      <c r="ADZ323" s="90"/>
      <c r="AEA323" s="90"/>
      <c r="AEB323" s="90"/>
      <c r="AEC323" s="90"/>
      <c r="AED323" s="90"/>
      <c r="AEE323" s="90"/>
      <c r="AEF323" s="90"/>
      <c r="AEG323" s="90"/>
      <c r="AEH323" s="90"/>
      <c r="AEI323" s="90"/>
      <c r="AEJ323" s="90"/>
      <c r="AEK323" s="90"/>
      <c r="AEL323" s="90"/>
      <c r="AEM323" s="90"/>
      <c r="AEN323" s="90"/>
      <c r="AEO323" s="90"/>
      <c r="AEP323" s="90"/>
      <c r="AEQ323" s="90"/>
      <c r="AER323" s="90"/>
      <c r="AES323" s="90"/>
      <c r="AET323" s="90"/>
      <c r="AEU323" s="90"/>
      <c r="AEV323" s="90"/>
      <c r="AEW323" s="90"/>
      <c r="AEX323" s="90"/>
      <c r="AEY323" s="90"/>
      <c r="AEZ323" s="90"/>
      <c r="AFA323" s="90"/>
      <c r="AFB323" s="90"/>
      <c r="AFC323" s="90"/>
      <c r="AFD323" s="90"/>
      <c r="AFE323" s="90"/>
      <c r="AFF323" s="90"/>
      <c r="AFG323" s="90"/>
      <c r="AFH323" s="90"/>
      <c r="AFI323" s="90"/>
      <c r="AFJ323" s="90"/>
      <c r="AFK323" s="90"/>
      <c r="AFL323" s="90"/>
      <c r="AFM323" s="90"/>
      <c r="AFN323" s="90"/>
      <c r="AFO323" s="90"/>
      <c r="AFP323" s="90"/>
      <c r="AFQ323" s="90"/>
      <c r="AFR323" s="90"/>
      <c r="AFS323" s="90"/>
      <c r="AFT323" s="90"/>
      <c r="AFU323" s="90"/>
      <c r="AFV323" s="90"/>
      <c r="AFW323" s="90"/>
      <c r="AFX323" s="90"/>
      <c r="AFY323" s="90"/>
      <c r="AFZ323" s="90"/>
      <c r="AGA323" s="90"/>
      <c r="AGB323" s="90"/>
      <c r="AGC323" s="90"/>
      <c r="AGD323" s="90"/>
      <c r="AGE323" s="90"/>
      <c r="AGF323" s="90"/>
      <c r="AGG323" s="90"/>
      <c r="AGH323" s="90"/>
      <c r="AGI323" s="90"/>
      <c r="AGJ323" s="90"/>
      <c r="AGK323" s="90"/>
      <c r="AGL323" s="90"/>
      <c r="AGM323" s="90"/>
      <c r="AGN323" s="90"/>
      <c r="AGO323" s="90"/>
      <c r="AGP323" s="90"/>
      <c r="AGQ323" s="90"/>
      <c r="AGR323" s="90"/>
      <c r="AGS323" s="90"/>
      <c r="AGT323" s="90"/>
      <c r="AGU323" s="90"/>
      <c r="AGV323" s="90"/>
      <c r="AGW323" s="90"/>
      <c r="AGX323" s="90"/>
      <c r="AGY323" s="90"/>
      <c r="AGZ323" s="90"/>
      <c r="AHA323" s="90"/>
      <c r="AHB323" s="90"/>
      <c r="AHC323" s="90"/>
      <c r="AHD323" s="90"/>
      <c r="AHE323" s="90"/>
      <c r="AHF323" s="90"/>
      <c r="AHG323" s="90"/>
      <c r="AHH323" s="90"/>
      <c r="AHI323" s="90"/>
      <c r="AHJ323" s="90"/>
      <c r="AHK323" s="90"/>
      <c r="AHL323" s="90"/>
      <c r="AHM323" s="90"/>
      <c r="AHN323" s="90"/>
      <c r="AHO323" s="90"/>
      <c r="AHP323" s="90"/>
      <c r="AHQ323" s="90"/>
      <c r="AHR323" s="90"/>
      <c r="AHS323" s="90"/>
      <c r="AHT323" s="90"/>
      <c r="AHU323" s="90"/>
      <c r="AHV323" s="90"/>
      <c r="AHW323" s="90"/>
      <c r="AHX323" s="90"/>
      <c r="AHY323" s="90"/>
      <c r="AHZ323" s="90"/>
      <c r="AIA323" s="90"/>
      <c r="AIB323" s="90"/>
      <c r="AIC323" s="90"/>
      <c r="AID323" s="90"/>
      <c r="AIE323" s="90"/>
      <c r="AIF323" s="90"/>
      <c r="AIG323" s="90"/>
      <c r="AIH323" s="90"/>
      <c r="AII323" s="90"/>
      <c r="AIJ323" s="90"/>
      <c r="AIK323" s="90"/>
      <c r="AIL323" s="90"/>
      <c r="AIM323" s="90"/>
      <c r="AIN323" s="90"/>
      <c r="AIO323" s="90"/>
      <c r="AIP323" s="90"/>
      <c r="AIQ323" s="90"/>
      <c r="AIR323" s="90"/>
      <c r="AIS323" s="90"/>
      <c r="AIT323" s="90"/>
      <c r="AIU323" s="90"/>
      <c r="AIV323" s="90"/>
      <c r="AIW323" s="90"/>
      <c r="AIX323" s="90"/>
      <c r="AIY323" s="90"/>
      <c r="AIZ323" s="90"/>
      <c r="AJA323" s="90"/>
      <c r="AJB323" s="90"/>
      <c r="AJC323" s="90"/>
      <c r="AJD323" s="90"/>
      <c r="AJE323" s="90"/>
      <c r="AJF323" s="90"/>
      <c r="AJG323" s="90"/>
      <c r="AJH323" s="90"/>
      <c r="AJI323" s="90"/>
      <c r="AJJ323" s="90"/>
      <c r="AJK323" s="90"/>
      <c r="AJL323" s="90"/>
      <c r="AJM323" s="90"/>
      <c r="AJN323" s="90"/>
      <c r="AJO323" s="90"/>
      <c r="AJP323" s="90"/>
      <c r="AJQ323" s="90"/>
      <c r="AJR323" s="90"/>
      <c r="AJS323" s="90"/>
      <c r="AJT323" s="90"/>
      <c r="AJU323" s="90"/>
      <c r="AJV323" s="90"/>
      <c r="AJW323" s="90"/>
      <c r="AJX323" s="90"/>
      <c r="AJY323" s="90"/>
      <c r="AJZ323" s="90"/>
      <c r="AKA323" s="90"/>
      <c r="AKB323" s="90"/>
      <c r="AKC323" s="90"/>
      <c r="AKD323" s="90"/>
      <c r="AKE323" s="90"/>
      <c r="AKF323" s="90"/>
      <c r="AKG323" s="90"/>
      <c r="AKH323" s="90"/>
      <c r="AKI323" s="90"/>
      <c r="AKJ323" s="90"/>
      <c r="AKK323" s="90"/>
      <c r="AKL323" s="90"/>
      <c r="AKM323" s="90"/>
      <c r="AKN323" s="90"/>
      <c r="AKO323" s="90"/>
      <c r="AKP323" s="90"/>
      <c r="AKQ323" s="90"/>
      <c r="AKR323" s="90"/>
      <c r="AKS323" s="90"/>
      <c r="AKT323" s="90"/>
      <c r="AKU323" s="90"/>
      <c r="AKV323" s="90"/>
      <c r="AKW323" s="90"/>
      <c r="AKX323" s="90"/>
      <c r="AKY323" s="90"/>
      <c r="AKZ323" s="90"/>
      <c r="ALA323" s="90"/>
      <c r="ALB323" s="90"/>
      <c r="ALC323" s="90"/>
      <c r="ALD323" s="90"/>
      <c r="ALE323" s="90"/>
      <c r="ALF323" s="90"/>
      <c r="ALG323" s="90"/>
      <c r="ALH323" s="90"/>
      <c r="ALI323" s="90"/>
      <c r="ALJ323" s="90"/>
      <c r="ALK323" s="90"/>
      <c r="ALL323" s="90"/>
      <c r="ALM323" s="90"/>
      <c r="ALN323" s="90"/>
      <c r="ALO323" s="90"/>
      <c r="ALP323" s="90"/>
      <c r="ALQ323" s="90"/>
      <c r="ALR323" s="90"/>
      <c r="ALS323" s="90"/>
      <c r="ALT323" s="90"/>
      <c r="ALU323" s="90"/>
      <c r="ALV323" s="90"/>
      <c r="ALW323" s="90"/>
      <c r="ALX323" s="90"/>
      <c r="ALY323" s="90"/>
      <c r="ALZ323" s="90"/>
      <c r="AMA323" s="90"/>
      <c r="AMB323" s="90"/>
      <c r="AMC323" s="90"/>
    </row>
    <row r="324" spans="1:1017">
      <c r="A324" s="98" t="s">
        <v>53</v>
      </c>
      <c r="B324" s="90" t="str">
        <f t="shared" si="1838"/>
        <v xml:space="preserve">Gurame, Gurami </v>
      </c>
      <c r="Q324" s="91">
        <f t="shared" si="1839"/>
        <v>0</v>
      </c>
      <c r="R324" s="91">
        <f t="shared" si="1840"/>
        <v>0</v>
      </c>
      <c r="Y324" s="98">
        <v>13825</v>
      </c>
      <c r="Z324" s="98">
        <v>483875</v>
      </c>
      <c r="AG324" s="91">
        <f t="shared" si="1841"/>
        <v>13825</v>
      </c>
      <c r="AH324" s="91">
        <f t="shared" si="1842"/>
        <v>483875</v>
      </c>
      <c r="AO324" s="98">
        <v>598600</v>
      </c>
      <c r="AP324" s="98">
        <v>17359400</v>
      </c>
      <c r="AW324" s="91">
        <f t="shared" si="1843"/>
        <v>598600</v>
      </c>
      <c r="AX324" s="91">
        <f t="shared" si="1844"/>
        <v>17359400</v>
      </c>
      <c r="BE324" s="98">
        <v>4833</v>
      </c>
      <c r="BF324" s="98">
        <v>144990</v>
      </c>
      <c r="BM324" s="91">
        <f t="shared" si="1845"/>
        <v>4833</v>
      </c>
      <c r="BN324" s="91">
        <f t="shared" si="1846"/>
        <v>144990</v>
      </c>
      <c r="BU324" s="98">
        <v>3124</v>
      </c>
      <c r="BV324" s="98">
        <v>118712</v>
      </c>
      <c r="CC324" s="91">
        <f t="shared" si="1847"/>
        <v>3124</v>
      </c>
      <c r="CD324" s="91">
        <f t="shared" si="1848"/>
        <v>118712</v>
      </c>
      <c r="CK324" s="98">
        <v>363</v>
      </c>
      <c r="CL324" s="98">
        <v>9068</v>
      </c>
      <c r="CS324" s="91">
        <f t="shared" si="1849"/>
        <v>363</v>
      </c>
      <c r="CT324" s="91">
        <f t="shared" si="1850"/>
        <v>9068</v>
      </c>
      <c r="DA324" s="98">
        <v>244605</v>
      </c>
      <c r="DB324" s="98">
        <v>7582755</v>
      </c>
      <c r="DI324" s="91">
        <f t="shared" si="1851"/>
        <v>244605</v>
      </c>
      <c r="DJ324" s="91">
        <f t="shared" si="1852"/>
        <v>7582755</v>
      </c>
      <c r="DQ324" s="98">
        <v>33500</v>
      </c>
      <c r="DR324" s="98">
        <v>1005000</v>
      </c>
      <c r="DY324" s="91">
        <f t="shared" si="1853"/>
        <v>33500</v>
      </c>
      <c r="DZ324" s="91">
        <f t="shared" si="1854"/>
        <v>1005000</v>
      </c>
      <c r="EG324" s="98">
        <v>215100</v>
      </c>
      <c r="EH324" s="98">
        <v>6022800</v>
      </c>
      <c r="EO324" s="91">
        <f t="shared" si="1855"/>
        <v>215100</v>
      </c>
      <c r="EP324" s="91">
        <f t="shared" si="1856"/>
        <v>6022800</v>
      </c>
      <c r="FE324" s="91">
        <f t="shared" si="1857"/>
        <v>0</v>
      </c>
      <c r="FF324" s="91">
        <f t="shared" si="1858"/>
        <v>0</v>
      </c>
      <c r="FM324" s="98">
        <v>63800</v>
      </c>
      <c r="FN324" s="98">
        <v>2233000</v>
      </c>
      <c r="FU324" s="91">
        <f t="shared" si="1859"/>
        <v>63800</v>
      </c>
      <c r="FV324" s="91">
        <f t="shared" si="1860"/>
        <v>2233000</v>
      </c>
      <c r="GC324" s="98">
        <v>30000</v>
      </c>
      <c r="GD324" s="98">
        <v>900000</v>
      </c>
      <c r="GK324" s="91">
        <f t="shared" si="1861"/>
        <v>30000</v>
      </c>
      <c r="GL324" s="91">
        <f t="shared" si="1862"/>
        <v>900000</v>
      </c>
      <c r="GS324" s="98">
        <v>6700</v>
      </c>
      <c r="GT324" s="98">
        <v>190950</v>
      </c>
      <c r="HA324" s="91">
        <f t="shared" si="1863"/>
        <v>6700</v>
      </c>
      <c r="HB324" s="91">
        <f t="shared" si="1864"/>
        <v>190950</v>
      </c>
      <c r="HI324" s="98">
        <v>5000</v>
      </c>
      <c r="HJ324" s="98">
        <v>150000</v>
      </c>
      <c r="HQ324" s="91">
        <f t="shared" si="1865"/>
        <v>5000</v>
      </c>
      <c r="HR324" s="91">
        <f t="shared" si="1866"/>
        <v>150000</v>
      </c>
      <c r="HY324" s="98">
        <v>3000</v>
      </c>
      <c r="HZ324" s="98">
        <v>96000</v>
      </c>
      <c r="IG324" s="91">
        <f t="shared" si="1867"/>
        <v>3000</v>
      </c>
      <c r="IH324" s="91">
        <f t="shared" si="1868"/>
        <v>96000</v>
      </c>
      <c r="IO324" s="98">
        <v>82734</v>
      </c>
      <c r="IP324" s="98">
        <v>2233818</v>
      </c>
      <c r="IW324" s="91">
        <f t="shared" si="1869"/>
        <v>82734</v>
      </c>
      <c r="IX324" s="91">
        <f t="shared" si="1870"/>
        <v>2233818</v>
      </c>
      <c r="JE324" s="98">
        <v>14850</v>
      </c>
      <c r="JF324" s="98">
        <v>445500</v>
      </c>
      <c r="JM324" s="91">
        <f t="shared" si="1871"/>
        <v>14850</v>
      </c>
      <c r="JN324" s="91">
        <f t="shared" si="1872"/>
        <v>445500</v>
      </c>
      <c r="JU324" s="98">
        <v>40</v>
      </c>
      <c r="JV324" s="98">
        <v>1400</v>
      </c>
      <c r="KC324" s="91">
        <f t="shared" si="1873"/>
        <v>40</v>
      </c>
      <c r="KD324" s="91">
        <f t="shared" si="1874"/>
        <v>1400</v>
      </c>
      <c r="KK324" s="98">
        <v>150</v>
      </c>
      <c r="KL324" s="98">
        <v>7500</v>
      </c>
      <c r="KS324" s="91">
        <f t="shared" si="1875"/>
        <v>150</v>
      </c>
      <c r="KT324" s="91">
        <f t="shared" si="1876"/>
        <v>7500</v>
      </c>
      <c r="LA324" s="98">
        <v>2601.16</v>
      </c>
      <c r="LB324" s="98">
        <v>91040</v>
      </c>
      <c r="LI324" s="91">
        <f t="shared" si="1877"/>
        <v>2601.16</v>
      </c>
      <c r="LJ324" s="91">
        <f t="shared" si="1878"/>
        <v>91040</v>
      </c>
      <c r="LQ324" s="98">
        <v>25278</v>
      </c>
      <c r="LR324" s="98">
        <v>758340</v>
      </c>
      <c r="LY324" s="91">
        <f t="shared" si="1879"/>
        <v>25278</v>
      </c>
      <c r="LZ324" s="91">
        <f t="shared" si="1880"/>
        <v>758340</v>
      </c>
      <c r="MG324" s="98">
        <v>80</v>
      </c>
      <c r="MH324" s="98">
        <v>2160</v>
      </c>
      <c r="MO324" s="91">
        <f t="shared" si="1881"/>
        <v>80</v>
      </c>
      <c r="MP324" s="91">
        <f t="shared" si="1882"/>
        <v>2160</v>
      </c>
      <c r="NE324" s="91">
        <f t="shared" si="1883"/>
        <v>0</v>
      </c>
      <c r="NF324" s="91">
        <f t="shared" si="1884"/>
        <v>0</v>
      </c>
      <c r="NM324" s="98">
        <v>17500</v>
      </c>
      <c r="NN324" s="98">
        <v>490000</v>
      </c>
      <c r="NQ324" s="98">
        <v>500</v>
      </c>
      <c r="NR324" s="98">
        <v>14000</v>
      </c>
      <c r="NU324" s="91">
        <f t="shared" si="1885"/>
        <v>18000</v>
      </c>
      <c r="NV324" s="91">
        <f t="shared" si="1886"/>
        <v>504000</v>
      </c>
      <c r="OC324" s="98">
        <v>100</v>
      </c>
      <c r="OD324" s="98">
        <v>4000</v>
      </c>
      <c r="OK324" s="91">
        <f t="shared" si="1887"/>
        <v>100</v>
      </c>
      <c r="OL324" s="91">
        <f t="shared" si="1888"/>
        <v>4000</v>
      </c>
      <c r="OS324" s="98">
        <v>1045</v>
      </c>
      <c r="OT324" s="98">
        <v>52250</v>
      </c>
      <c r="PA324" s="91">
        <f t="shared" si="1889"/>
        <v>1045</v>
      </c>
      <c r="PB324" s="91">
        <f t="shared" si="1890"/>
        <v>52250</v>
      </c>
      <c r="PI324" s="98">
        <v>21786</v>
      </c>
      <c r="PJ324" s="98">
        <v>479292</v>
      </c>
      <c r="PQ324" s="91">
        <f t="shared" si="1891"/>
        <v>21786</v>
      </c>
      <c r="PR324" s="91">
        <f t="shared" si="1892"/>
        <v>479292</v>
      </c>
      <c r="PY324" s="98">
        <v>1000</v>
      </c>
      <c r="PZ324" s="98">
        <v>30000</v>
      </c>
      <c r="QG324" s="91">
        <f t="shared" si="1893"/>
        <v>1000</v>
      </c>
      <c r="QH324" s="91">
        <f t="shared" si="1894"/>
        <v>30000</v>
      </c>
      <c r="QO324" s="98">
        <v>1740000</v>
      </c>
      <c r="QP324" s="98">
        <v>40020000</v>
      </c>
      <c r="QW324" s="91">
        <f t="shared" si="1895"/>
        <v>1740000</v>
      </c>
      <c r="QX324" s="91">
        <f t="shared" si="1896"/>
        <v>40020000</v>
      </c>
      <c r="RM324" s="91">
        <f t="shared" si="1897"/>
        <v>0</v>
      </c>
      <c r="RN324" s="91">
        <f t="shared" si="1898"/>
        <v>0</v>
      </c>
      <c r="RU324" s="98">
        <v>4230</v>
      </c>
      <c r="RV324" s="98">
        <v>126900</v>
      </c>
      <c r="SC324" s="91">
        <f t="shared" si="1899"/>
        <v>4230</v>
      </c>
      <c r="SD324" s="91">
        <f t="shared" si="1900"/>
        <v>126900</v>
      </c>
      <c r="SK324" s="98">
        <v>800</v>
      </c>
      <c r="SL324" s="98">
        <v>24000</v>
      </c>
      <c r="SS324" s="91">
        <f t="shared" si="1901"/>
        <v>800</v>
      </c>
      <c r="ST324" s="91">
        <f t="shared" si="1902"/>
        <v>24000</v>
      </c>
      <c r="TA324" s="98">
        <v>3035</v>
      </c>
      <c r="TB324" s="98">
        <v>100155</v>
      </c>
      <c r="TI324" s="91">
        <f t="shared" si="1903"/>
        <v>3035</v>
      </c>
      <c r="TJ324" s="91">
        <f t="shared" si="1904"/>
        <v>100155</v>
      </c>
      <c r="TY324" s="91">
        <f t="shared" si="1905"/>
        <v>0</v>
      </c>
      <c r="TZ324" s="91">
        <f t="shared" si="1906"/>
        <v>0</v>
      </c>
      <c r="UG324" s="98">
        <v>275</v>
      </c>
      <c r="UH324" s="98">
        <v>8250</v>
      </c>
      <c r="UO324" s="91">
        <f t="shared" si="1907"/>
        <v>275</v>
      </c>
      <c r="UP324" s="91">
        <f t="shared" si="1908"/>
        <v>8250</v>
      </c>
      <c r="VE324" s="91">
        <f t="shared" si="1909"/>
        <v>0</v>
      </c>
      <c r="VF324" s="91">
        <f t="shared" si="1910"/>
        <v>0</v>
      </c>
      <c r="VM324" s="98">
        <v>623</v>
      </c>
      <c r="VN324" s="98">
        <v>23051</v>
      </c>
      <c r="VU324" s="91">
        <f t="shared" si="1911"/>
        <v>623</v>
      </c>
      <c r="VV324" s="91">
        <f t="shared" si="1912"/>
        <v>23051</v>
      </c>
      <c r="WK324" s="91">
        <f t="shared" si="1913"/>
        <v>0</v>
      </c>
      <c r="WL324" s="91">
        <f t="shared" si="1914"/>
        <v>0</v>
      </c>
      <c r="WM324" s="89"/>
      <c r="WN324" s="87">
        <f t="shared" si="1915"/>
        <v>0</v>
      </c>
      <c r="WO324" s="87">
        <f t="shared" si="1916"/>
        <v>0</v>
      </c>
      <c r="WP324" s="87">
        <f t="shared" si="1917"/>
        <v>0</v>
      </c>
      <c r="WQ324" s="87">
        <f t="shared" si="1918"/>
        <v>0</v>
      </c>
      <c r="WR324" s="87">
        <f t="shared" si="1919"/>
        <v>0</v>
      </c>
      <c r="WS324" s="87">
        <f t="shared" si="1920"/>
        <v>0</v>
      </c>
      <c r="WT324" s="87">
        <f t="shared" si="1921"/>
        <v>3138577.16</v>
      </c>
      <c r="WU324" s="87">
        <f t="shared" si="1922"/>
        <v>81194206</v>
      </c>
      <c r="WV324" s="87">
        <f t="shared" si="1923"/>
        <v>0</v>
      </c>
      <c r="WW324" s="87">
        <f t="shared" si="1924"/>
        <v>0</v>
      </c>
      <c r="WX324" s="87">
        <f t="shared" si="1925"/>
        <v>500</v>
      </c>
      <c r="WY324" s="87">
        <f t="shared" si="1926"/>
        <v>14000</v>
      </c>
      <c r="WZ324" s="87">
        <f t="shared" si="1927"/>
        <v>0</v>
      </c>
      <c r="XA324" s="87">
        <f t="shared" si="1928"/>
        <v>0</v>
      </c>
      <c r="XB324" s="92">
        <f t="shared" si="1929"/>
        <v>3139077.16</v>
      </c>
      <c r="XC324" s="92">
        <f t="shared" si="1930"/>
        <v>81208206</v>
      </c>
      <c r="XD324" s="89"/>
      <c r="XE324" s="92"/>
      <c r="XF324" s="92"/>
      <c r="XG324" s="89"/>
      <c r="XH324" s="92"/>
      <c r="XI324" s="92"/>
      <c r="XJ324" s="89"/>
      <c r="XK324" s="87"/>
      <c r="XL324" s="87"/>
      <c r="XM324" s="87"/>
      <c r="XN324" s="87"/>
      <c r="XO324" s="87"/>
      <c r="XP324" s="87"/>
      <c r="XQ324" s="87"/>
      <c r="XR324" s="92">
        <f t="shared" ca="1" si="1931"/>
        <v>0</v>
      </c>
      <c r="XS324" s="89"/>
      <c r="XT324" s="87"/>
      <c r="XU324" s="87"/>
      <c r="XV324" s="87"/>
      <c r="XW324" s="87"/>
      <c r="XX324" s="87"/>
      <c r="XY324" s="87"/>
      <c r="XZ324" s="87"/>
      <c r="YA324" s="92">
        <f t="shared" ca="1" si="1932"/>
        <v>0</v>
      </c>
      <c r="YB324" s="90"/>
      <c r="YC324" s="90"/>
      <c r="YD324" s="90"/>
      <c r="YE324" s="90"/>
      <c r="YF324" s="90"/>
      <c r="YG324" s="90"/>
      <c r="YH324" s="90"/>
      <c r="YI324" s="90"/>
      <c r="YJ324" s="90"/>
      <c r="YK324" s="90"/>
      <c r="YL324" s="90"/>
      <c r="YM324" s="90"/>
      <c r="YN324" s="90"/>
      <c r="YO324" s="90"/>
      <c r="YP324" s="90"/>
      <c r="YQ324" s="90"/>
      <c r="YR324" s="90"/>
      <c r="YS324" s="90"/>
      <c r="YT324" s="90"/>
      <c r="YU324" s="90"/>
      <c r="YV324" s="90"/>
      <c r="YW324" s="90"/>
      <c r="YX324" s="90"/>
      <c r="YY324" s="90"/>
      <c r="YZ324" s="90"/>
      <c r="ZA324" s="90"/>
      <c r="ZB324" s="90"/>
      <c r="ZC324" s="90"/>
      <c r="ZD324" s="90"/>
      <c r="ZE324" s="90"/>
      <c r="ZF324" s="90"/>
      <c r="ZG324" s="90"/>
      <c r="ZH324" s="90"/>
      <c r="ZI324" s="90"/>
      <c r="ZJ324" s="90"/>
      <c r="ZK324" s="90"/>
      <c r="ZL324" s="90"/>
      <c r="ZM324" s="90"/>
      <c r="ZN324" s="90"/>
      <c r="ZO324" s="90"/>
      <c r="ZP324" s="90"/>
      <c r="ZQ324" s="90"/>
      <c r="ZR324" s="90"/>
      <c r="ZS324" s="90"/>
      <c r="ZT324" s="90"/>
      <c r="ZU324" s="90"/>
      <c r="ZV324" s="90"/>
      <c r="ZW324" s="90"/>
      <c r="ZX324" s="90"/>
      <c r="ZY324" s="90"/>
      <c r="ZZ324" s="90"/>
      <c r="AAA324" s="90"/>
      <c r="AAB324" s="90"/>
      <c r="AAC324" s="90"/>
      <c r="AAD324" s="90"/>
      <c r="AAE324" s="90"/>
      <c r="AAF324" s="90"/>
      <c r="AAG324" s="90"/>
      <c r="AAH324" s="90"/>
      <c r="AAI324" s="90"/>
      <c r="AAJ324" s="90"/>
      <c r="AAK324" s="90"/>
      <c r="AAL324" s="90"/>
      <c r="AAM324" s="90"/>
      <c r="AAN324" s="90"/>
      <c r="AAO324" s="90"/>
      <c r="AAP324" s="90"/>
      <c r="AAQ324" s="90"/>
      <c r="AAR324" s="90"/>
      <c r="AAS324" s="90"/>
      <c r="AAT324" s="90"/>
      <c r="AAU324" s="90"/>
      <c r="AAV324" s="90"/>
      <c r="AAW324" s="90"/>
      <c r="AAX324" s="90"/>
      <c r="AAY324" s="90"/>
      <c r="AAZ324" s="90"/>
      <c r="ABA324" s="90"/>
      <c r="ABB324" s="90"/>
      <c r="ABC324" s="90"/>
      <c r="ABD324" s="90"/>
      <c r="ABE324" s="90"/>
      <c r="ABF324" s="90"/>
      <c r="ABG324" s="90"/>
      <c r="ABH324" s="90"/>
      <c r="ABI324" s="90"/>
      <c r="ABJ324" s="90"/>
      <c r="ABK324" s="90"/>
      <c r="ABL324" s="90"/>
      <c r="ABM324" s="90"/>
      <c r="ABN324" s="90"/>
      <c r="ABO324" s="90"/>
      <c r="ABP324" s="90"/>
      <c r="ABQ324" s="90"/>
      <c r="ABR324" s="90"/>
      <c r="ABS324" s="90"/>
      <c r="ABT324" s="90"/>
      <c r="ABU324" s="90"/>
      <c r="ABV324" s="90"/>
      <c r="ABW324" s="90"/>
      <c r="ABX324" s="90"/>
      <c r="ABY324" s="90"/>
      <c r="ABZ324" s="90"/>
      <c r="ACA324" s="90"/>
      <c r="ACB324" s="90"/>
      <c r="ACC324" s="90"/>
      <c r="ACD324" s="90"/>
      <c r="ACE324" s="90"/>
      <c r="ACF324" s="90"/>
      <c r="ACG324" s="90"/>
      <c r="ACH324" s="90"/>
      <c r="ACI324" s="90"/>
      <c r="ACJ324" s="90"/>
      <c r="ACK324" s="90"/>
      <c r="ACL324" s="90"/>
      <c r="ACM324" s="90"/>
      <c r="ACN324" s="90"/>
      <c r="ACO324" s="90"/>
      <c r="ACP324" s="90"/>
      <c r="ACQ324" s="90"/>
      <c r="ACR324" s="90"/>
      <c r="ACS324" s="90"/>
      <c r="ACT324" s="90"/>
      <c r="ACU324" s="90"/>
      <c r="ACV324" s="90"/>
      <c r="ACW324" s="90"/>
      <c r="ACX324" s="90"/>
      <c r="ACY324" s="90"/>
      <c r="ACZ324" s="90"/>
      <c r="ADA324" s="90"/>
      <c r="ADB324" s="90"/>
      <c r="ADC324" s="90"/>
      <c r="ADD324" s="90"/>
      <c r="ADE324" s="90"/>
      <c r="ADF324" s="90"/>
      <c r="ADG324" s="90"/>
      <c r="ADH324" s="90"/>
      <c r="ADI324" s="90"/>
      <c r="ADJ324" s="90"/>
      <c r="ADK324" s="90"/>
      <c r="ADL324" s="90"/>
      <c r="ADM324" s="90"/>
      <c r="ADN324" s="90"/>
      <c r="ADO324" s="90"/>
      <c r="ADP324" s="90"/>
      <c r="ADQ324" s="90"/>
      <c r="ADR324" s="90"/>
      <c r="ADS324" s="90"/>
      <c r="ADT324" s="90"/>
      <c r="ADU324" s="90"/>
      <c r="ADV324" s="90"/>
      <c r="ADW324" s="90"/>
      <c r="ADX324" s="90"/>
      <c r="ADY324" s="90"/>
      <c r="ADZ324" s="90"/>
      <c r="AEA324" s="90"/>
      <c r="AEB324" s="90"/>
      <c r="AEC324" s="90"/>
      <c r="AED324" s="90"/>
      <c r="AEE324" s="90"/>
      <c r="AEF324" s="90"/>
      <c r="AEG324" s="90"/>
      <c r="AEH324" s="90"/>
      <c r="AEI324" s="90"/>
      <c r="AEJ324" s="90"/>
      <c r="AEK324" s="90"/>
      <c r="AEL324" s="90"/>
      <c r="AEM324" s="90"/>
      <c r="AEN324" s="90"/>
      <c r="AEO324" s="90"/>
      <c r="AEP324" s="90"/>
      <c r="AEQ324" s="90"/>
      <c r="AER324" s="90"/>
      <c r="AES324" s="90"/>
      <c r="AET324" s="90"/>
      <c r="AEU324" s="90"/>
      <c r="AEV324" s="90"/>
      <c r="AEW324" s="90"/>
      <c r="AEX324" s="90"/>
      <c r="AEY324" s="90"/>
      <c r="AEZ324" s="90"/>
      <c r="AFA324" s="90"/>
      <c r="AFB324" s="90"/>
      <c r="AFC324" s="90"/>
      <c r="AFD324" s="90"/>
      <c r="AFE324" s="90"/>
      <c r="AFF324" s="90"/>
      <c r="AFG324" s="90"/>
      <c r="AFH324" s="90"/>
      <c r="AFI324" s="90"/>
      <c r="AFJ324" s="90"/>
      <c r="AFK324" s="90"/>
      <c r="AFL324" s="90"/>
      <c r="AFM324" s="90"/>
      <c r="AFN324" s="90"/>
      <c r="AFO324" s="90"/>
      <c r="AFP324" s="90"/>
      <c r="AFQ324" s="90"/>
      <c r="AFR324" s="90"/>
      <c r="AFS324" s="90"/>
      <c r="AFT324" s="90"/>
      <c r="AFU324" s="90"/>
      <c r="AFV324" s="90"/>
      <c r="AFW324" s="90"/>
      <c r="AFX324" s="90"/>
      <c r="AFY324" s="90"/>
      <c r="AFZ324" s="90"/>
      <c r="AGA324" s="90"/>
      <c r="AGB324" s="90"/>
      <c r="AGC324" s="90"/>
      <c r="AGD324" s="90"/>
      <c r="AGE324" s="90"/>
      <c r="AGF324" s="90"/>
      <c r="AGG324" s="90"/>
      <c r="AGH324" s="90"/>
      <c r="AGI324" s="90"/>
      <c r="AGJ324" s="90"/>
      <c r="AGK324" s="90"/>
      <c r="AGL324" s="90"/>
      <c r="AGM324" s="90"/>
      <c r="AGN324" s="90"/>
      <c r="AGO324" s="90"/>
      <c r="AGP324" s="90"/>
      <c r="AGQ324" s="90"/>
      <c r="AGR324" s="90"/>
      <c r="AGS324" s="90"/>
      <c r="AGT324" s="90"/>
      <c r="AGU324" s="90"/>
      <c r="AGV324" s="90"/>
      <c r="AGW324" s="90"/>
      <c r="AGX324" s="90"/>
      <c r="AGY324" s="90"/>
      <c r="AGZ324" s="90"/>
      <c r="AHA324" s="90"/>
      <c r="AHB324" s="90"/>
      <c r="AHC324" s="90"/>
      <c r="AHD324" s="90"/>
      <c r="AHE324" s="90"/>
      <c r="AHF324" s="90"/>
      <c r="AHG324" s="90"/>
      <c r="AHH324" s="90"/>
      <c r="AHI324" s="90"/>
      <c r="AHJ324" s="90"/>
      <c r="AHK324" s="90"/>
      <c r="AHL324" s="90"/>
      <c r="AHM324" s="90"/>
      <c r="AHN324" s="90"/>
      <c r="AHO324" s="90"/>
      <c r="AHP324" s="90"/>
      <c r="AHQ324" s="90"/>
      <c r="AHR324" s="90"/>
      <c r="AHS324" s="90"/>
      <c r="AHT324" s="90"/>
      <c r="AHU324" s="90"/>
      <c r="AHV324" s="90"/>
      <c r="AHW324" s="90"/>
      <c r="AHX324" s="90"/>
      <c r="AHY324" s="90"/>
      <c r="AHZ324" s="90"/>
      <c r="AIA324" s="90"/>
      <c r="AIB324" s="90"/>
      <c r="AIC324" s="90"/>
      <c r="AID324" s="90"/>
      <c r="AIE324" s="90"/>
      <c r="AIF324" s="90"/>
      <c r="AIG324" s="90"/>
      <c r="AIH324" s="90"/>
      <c r="AII324" s="90"/>
      <c r="AIJ324" s="90"/>
      <c r="AIK324" s="90"/>
      <c r="AIL324" s="90"/>
      <c r="AIM324" s="90"/>
      <c r="AIN324" s="90"/>
      <c r="AIO324" s="90"/>
      <c r="AIP324" s="90"/>
      <c r="AIQ324" s="90"/>
      <c r="AIR324" s="90"/>
      <c r="AIS324" s="90"/>
      <c r="AIT324" s="90"/>
      <c r="AIU324" s="90"/>
      <c r="AIV324" s="90"/>
      <c r="AIW324" s="90"/>
      <c r="AIX324" s="90"/>
      <c r="AIY324" s="90"/>
      <c r="AIZ324" s="90"/>
      <c r="AJA324" s="90"/>
      <c r="AJB324" s="90"/>
      <c r="AJC324" s="90"/>
      <c r="AJD324" s="90"/>
      <c r="AJE324" s="90"/>
      <c r="AJF324" s="90"/>
      <c r="AJG324" s="90"/>
      <c r="AJH324" s="90"/>
      <c r="AJI324" s="90"/>
      <c r="AJJ324" s="90"/>
      <c r="AJK324" s="90"/>
      <c r="AJL324" s="90"/>
      <c r="AJM324" s="90"/>
      <c r="AJN324" s="90"/>
      <c r="AJO324" s="90"/>
      <c r="AJP324" s="90"/>
      <c r="AJQ324" s="90"/>
      <c r="AJR324" s="90"/>
      <c r="AJS324" s="90"/>
      <c r="AJT324" s="90"/>
      <c r="AJU324" s="90"/>
      <c r="AJV324" s="90"/>
      <c r="AJW324" s="90"/>
      <c r="AJX324" s="90"/>
      <c r="AJY324" s="90"/>
      <c r="AJZ324" s="90"/>
      <c r="AKA324" s="90"/>
      <c r="AKB324" s="90"/>
      <c r="AKC324" s="90"/>
      <c r="AKD324" s="90"/>
      <c r="AKE324" s="90"/>
      <c r="AKF324" s="90"/>
      <c r="AKG324" s="90"/>
      <c r="AKH324" s="90"/>
      <c r="AKI324" s="90"/>
      <c r="AKJ324" s="90"/>
      <c r="AKK324" s="90"/>
      <c r="AKL324" s="90"/>
      <c r="AKM324" s="90"/>
      <c r="AKN324" s="90"/>
      <c r="AKO324" s="90"/>
      <c r="AKP324" s="90"/>
      <c r="AKQ324" s="90"/>
      <c r="AKR324" s="90"/>
      <c r="AKS324" s="90"/>
      <c r="AKT324" s="90"/>
      <c r="AKU324" s="90"/>
      <c r="AKV324" s="90"/>
      <c r="AKW324" s="90"/>
      <c r="AKX324" s="90"/>
      <c r="AKY324" s="90"/>
      <c r="AKZ324" s="90"/>
      <c r="ALA324" s="90"/>
      <c r="ALB324" s="90"/>
      <c r="ALC324" s="90"/>
      <c r="ALD324" s="90"/>
      <c r="ALE324" s="90"/>
      <c r="ALF324" s="90"/>
      <c r="ALG324" s="90"/>
      <c r="ALH324" s="90"/>
      <c r="ALI324" s="90"/>
      <c r="ALJ324" s="90"/>
      <c r="ALK324" s="90"/>
      <c r="ALL324" s="90"/>
      <c r="ALM324" s="90"/>
      <c r="ALN324" s="90"/>
      <c r="ALO324" s="90"/>
      <c r="ALP324" s="90"/>
      <c r="ALQ324" s="90"/>
      <c r="ALR324" s="90"/>
      <c r="ALS324" s="90"/>
      <c r="ALT324" s="90"/>
      <c r="ALU324" s="90"/>
      <c r="ALV324" s="90"/>
      <c r="ALW324" s="90"/>
      <c r="ALX324" s="90"/>
      <c r="ALY324" s="90"/>
      <c r="ALZ324" s="90"/>
      <c r="AMA324" s="90"/>
      <c r="AMB324" s="90"/>
      <c r="AMC324" s="90"/>
    </row>
    <row r="325" spans="1:1017">
      <c r="A325" s="98" t="s">
        <v>53</v>
      </c>
      <c r="B325" s="90" t="str">
        <f t="shared" si="1838"/>
        <v>Kakap Putih</v>
      </c>
      <c r="E325" s="98">
        <v>57800</v>
      </c>
      <c r="F325" s="98">
        <v>3468000</v>
      </c>
      <c r="Q325" s="91">
        <f t="shared" si="1839"/>
        <v>57800</v>
      </c>
      <c r="R325" s="91">
        <f t="shared" si="1840"/>
        <v>3468000</v>
      </c>
      <c r="U325" s="98">
        <v>16050</v>
      </c>
      <c r="V325" s="98">
        <v>1043250</v>
      </c>
      <c r="AG325" s="91">
        <f t="shared" si="1841"/>
        <v>16050</v>
      </c>
      <c r="AH325" s="91">
        <f t="shared" si="1842"/>
        <v>1043250</v>
      </c>
      <c r="AW325" s="91">
        <f t="shared" si="1843"/>
        <v>0</v>
      </c>
      <c r="AX325" s="91">
        <f t="shared" si="1844"/>
        <v>0</v>
      </c>
      <c r="BM325" s="91">
        <f t="shared" si="1845"/>
        <v>0</v>
      </c>
      <c r="BN325" s="91">
        <f t="shared" si="1846"/>
        <v>0</v>
      </c>
      <c r="CC325" s="91">
        <f t="shared" si="1847"/>
        <v>0</v>
      </c>
      <c r="CD325" s="91">
        <f t="shared" si="1848"/>
        <v>0</v>
      </c>
      <c r="CG325" s="98">
        <v>1759</v>
      </c>
      <c r="CH325" s="98">
        <v>61554</v>
      </c>
      <c r="CS325" s="91">
        <f t="shared" si="1849"/>
        <v>1759</v>
      </c>
      <c r="CT325" s="91">
        <f t="shared" si="1850"/>
        <v>61554</v>
      </c>
      <c r="DI325" s="91">
        <f t="shared" si="1851"/>
        <v>0</v>
      </c>
      <c r="DJ325" s="91">
        <f t="shared" si="1852"/>
        <v>0</v>
      </c>
      <c r="DY325" s="91">
        <f t="shared" si="1853"/>
        <v>0</v>
      </c>
      <c r="DZ325" s="91">
        <f t="shared" si="1854"/>
        <v>0</v>
      </c>
      <c r="EO325" s="91">
        <f t="shared" si="1855"/>
        <v>0</v>
      </c>
      <c r="EP325" s="91">
        <f t="shared" si="1856"/>
        <v>0</v>
      </c>
      <c r="FE325" s="91">
        <f t="shared" si="1857"/>
        <v>0</v>
      </c>
      <c r="FF325" s="91">
        <f t="shared" si="1858"/>
        <v>0</v>
      </c>
      <c r="FU325" s="91">
        <f t="shared" si="1859"/>
        <v>0</v>
      </c>
      <c r="FV325" s="91">
        <f t="shared" si="1860"/>
        <v>0</v>
      </c>
      <c r="GK325" s="91">
        <f t="shared" si="1861"/>
        <v>0</v>
      </c>
      <c r="GL325" s="91">
        <f t="shared" si="1862"/>
        <v>0</v>
      </c>
      <c r="HA325" s="91">
        <f t="shared" si="1863"/>
        <v>0</v>
      </c>
      <c r="HB325" s="91">
        <f t="shared" si="1864"/>
        <v>0</v>
      </c>
      <c r="HQ325" s="91">
        <f t="shared" si="1865"/>
        <v>0</v>
      </c>
      <c r="HR325" s="91">
        <f t="shared" si="1866"/>
        <v>0</v>
      </c>
      <c r="IG325" s="91">
        <f t="shared" si="1867"/>
        <v>0</v>
      </c>
      <c r="IH325" s="91">
        <f t="shared" si="1868"/>
        <v>0</v>
      </c>
      <c r="IW325" s="91">
        <f t="shared" si="1869"/>
        <v>0</v>
      </c>
      <c r="IX325" s="91">
        <f t="shared" si="1870"/>
        <v>0</v>
      </c>
      <c r="JM325" s="91">
        <f t="shared" si="1871"/>
        <v>0</v>
      </c>
      <c r="JN325" s="91">
        <f t="shared" si="1872"/>
        <v>0</v>
      </c>
      <c r="KC325" s="91">
        <f t="shared" si="1873"/>
        <v>0</v>
      </c>
      <c r="KD325" s="91">
        <f t="shared" si="1874"/>
        <v>0</v>
      </c>
      <c r="KS325" s="91">
        <f t="shared" si="1875"/>
        <v>0</v>
      </c>
      <c r="KT325" s="91">
        <f t="shared" si="1876"/>
        <v>0</v>
      </c>
      <c r="LI325" s="91">
        <f t="shared" si="1877"/>
        <v>0</v>
      </c>
      <c r="LJ325" s="91">
        <f t="shared" si="1878"/>
        <v>0</v>
      </c>
      <c r="LY325" s="91">
        <f t="shared" si="1879"/>
        <v>0</v>
      </c>
      <c r="LZ325" s="91">
        <f t="shared" si="1880"/>
        <v>0</v>
      </c>
      <c r="MO325" s="91">
        <f t="shared" si="1881"/>
        <v>0</v>
      </c>
      <c r="MP325" s="91">
        <f t="shared" si="1882"/>
        <v>0</v>
      </c>
      <c r="MS325" s="98">
        <v>150</v>
      </c>
      <c r="MT325" s="98">
        <v>4500</v>
      </c>
      <c r="NE325" s="91">
        <f t="shared" si="1883"/>
        <v>150</v>
      </c>
      <c r="NF325" s="91">
        <f t="shared" si="1884"/>
        <v>4500</v>
      </c>
      <c r="NI325" s="98">
        <v>7700</v>
      </c>
      <c r="NJ325" s="98">
        <v>269500</v>
      </c>
      <c r="NU325" s="91">
        <f t="shared" si="1885"/>
        <v>7700</v>
      </c>
      <c r="NV325" s="91">
        <f t="shared" si="1886"/>
        <v>269500</v>
      </c>
      <c r="NW325" s="98">
        <v>250</v>
      </c>
      <c r="NX325" s="98">
        <v>20000</v>
      </c>
      <c r="NY325" s="98">
        <v>8800</v>
      </c>
      <c r="NZ325" s="98">
        <v>704000</v>
      </c>
      <c r="OK325" s="91">
        <f t="shared" si="1887"/>
        <v>9050</v>
      </c>
      <c r="OL325" s="91">
        <f t="shared" si="1888"/>
        <v>724000</v>
      </c>
      <c r="PA325" s="91">
        <f t="shared" si="1889"/>
        <v>0</v>
      </c>
      <c r="PB325" s="91">
        <f t="shared" si="1890"/>
        <v>0</v>
      </c>
      <c r="PQ325" s="91">
        <f t="shared" si="1891"/>
        <v>0</v>
      </c>
      <c r="PR325" s="91">
        <f t="shared" si="1892"/>
        <v>0</v>
      </c>
      <c r="PU325" s="98">
        <v>1420</v>
      </c>
      <c r="PV325" s="98">
        <v>62480</v>
      </c>
      <c r="QG325" s="91">
        <f t="shared" si="1893"/>
        <v>1420</v>
      </c>
      <c r="QH325" s="91">
        <f t="shared" si="1894"/>
        <v>62480</v>
      </c>
      <c r="QW325" s="91">
        <f t="shared" si="1895"/>
        <v>0</v>
      </c>
      <c r="QX325" s="91">
        <f t="shared" si="1896"/>
        <v>0</v>
      </c>
      <c r="RM325" s="91">
        <f t="shared" si="1897"/>
        <v>0</v>
      </c>
      <c r="RN325" s="91">
        <f t="shared" si="1898"/>
        <v>0</v>
      </c>
      <c r="SC325" s="91">
        <f t="shared" si="1899"/>
        <v>0</v>
      </c>
      <c r="SD325" s="91">
        <f t="shared" si="1900"/>
        <v>0</v>
      </c>
      <c r="SS325" s="91">
        <f t="shared" si="1901"/>
        <v>0</v>
      </c>
      <c r="ST325" s="91">
        <f t="shared" si="1902"/>
        <v>0</v>
      </c>
      <c r="TI325" s="91">
        <f t="shared" si="1903"/>
        <v>0</v>
      </c>
      <c r="TJ325" s="91">
        <f t="shared" si="1904"/>
        <v>0</v>
      </c>
      <c r="TY325" s="91">
        <f t="shared" si="1905"/>
        <v>0</v>
      </c>
      <c r="TZ325" s="91">
        <f t="shared" si="1906"/>
        <v>0</v>
      </c>
      <c r="UO325" s="91">
        <f t="shared" si="1907"/>
        <v>0</v>
      </c>
      <c r="UP325" s="91">
        <f t="shared" si="1908"/>
        <v>0</v>
      </c>
      <c r="VE325" s="91">
        <f t="shared" si="1909"/>
        <v>0</v>
      </c>
      <c r="VF325" s="91">
        <f t="shared" si="1910"/>
        <v>0</v>
      </c>
      <c r="VI325" s="98">
        <v>11</v>
      </c>
      <c r="VJ325" s="98">
        <v>440</v>
      </c>
      <c r="VU325" s="91">
        <f t="shared" si="1911"/>
        <v>11</v>
      </c>
      <c r="VV325" s="91">
        <f t="shared" si="1912"/>
        <v>440</v>
      </c>
      <c r="WK325" s="91">
        <f t="shared" si="1913"/>
        <v>0</v>
      </c>
      <c r="WL325" s="91">
        <f t="shared" si="1914"/>
        <v>0</v>
      </c>
      <c r="WM325" s="89"/>
      <c r="WN325" s="87">
        <f t="shared" si="1915"/>
        <v>250</v>
      </c>
      <c r="WO325" s="87">
        <f t="shared" si="1916"/>
        <v>20000</v>
      </c>
      <c r="WP325" s="87">
        <f t="shared" si="1917"/>
        <v>93690</v>
      </c>
      <c r="WQ325" s="87">
        <f t="shared" si="1918"/>
        <v>5613724</v>
      </c>
      <c r="WR325" s="87">
        <f t="shared" si="1919"/>
        <v>0</v>
      </c>
      <c r="WS325" s="87">
        <f t="shared" si="1920"/>
        <v>0</v>
      </c>
      <c r="WT325" s="87">
        <f t="shared" si="1921"/>
        <v>0</v>
      </c>
      <c r="WU325" s="87">
        <f t="shared" si="1922"/>
        <v>0</v>
      </c>
      <c r="WV325" s="87">
        <f t="shared" si="1923"/>
        <v>0</v>
      </c>
      <c r="WW325" s="87">
        <f t="shared" si="1924"/>
        <v>0</v>
      </c>
      <c r="WX325" s="87">
        <f t="shared" si="1925"/>
        <v>0</v>
      </c>
      <c r="WY325" s="87">
        <f t="shared" si="1926"/>
        <v>0</v>
      </c>
      <c r="WZ325" s="87">
        <f t="shared" si="1927"/>
        <v>0</v>
      </c>
      <c r="XA325" s="87">
        <f t="shared" si="1928"/>
        <v>0</v>
      </c>
      <c r="XB325" s="92">
        <f t="shared" si="1929"/>
        <v>93940</v>
      </c>
      <c r="XC325" s="92">
        <f t="shared" si="1930"/>
        <v>5633724</v>
      </c>
      <c r="XD325" s="89"/>
      <c r="XE325" s="92"/>
      <c r="XF325" s="92"/>
      <c r="XG325" s="89"/>
      <c r="XH325" s="92"/>
      <c r="XI325" s="92"/>
      <c r="XJ325" s="89"/>
      <c r="XK325" s="87"/>
      <c r="XL325" s="87"/>
      <c r="XM325" s="87"/>
      <c r="XN325" s="87"/>
      <c r="XO325" s="87"/>
      <c r="XP325" s="87"/>
      <c r="XQ325" s="87"/>
      <c r="XR325" s="92">
        <f t="shared" ca="1" si="1931"/>
        <v>0</v>
      </c>
      <c r="XS325" s="89"/>
      <c r="XT325" s="87"/>
      <c r="XU325" s="87"/>
      <c r="XV325" s="87"/>
      <c r="XW325" s="87"/>
      <c r="XX325" s="87"/>
      <c r="XY325" s="87"/>
      <c r="XZ325" s="87"/>
      <c r="YA325" s="92">
        <f t="shared" ca="1" si="1932"/>
        <v>0</v>
      </c>
      <c r="YB325" s="90"/>
      <c r="YC325" s="90"/>
      <c r="YD325" s="90"/>
      <c r="YE325" s="90"/>
      <c r="YF325" s="90"/>
      <c r="YG325" s="90"/>
      <c r="YH325" s="90"/>
      <c r="YI325" s="90"/>
      <c r="YJ325" s="90"/>
      <c r="YK325" s="90"/>
      <c r="YL325" s="90"/>
      <c r="YM325" s="90"/>
      <c r="YN325" s="90"/>
      <c r="YO325" s="90"/>
      <c r="YP325" s="90"/>
      <c r="YQ325" s="90"/>
      <c r="YR325" s="90"/>
      <c r="YS325" s="90"/>
      <c r="YT325" s="90"/>
      <c r="YU325" s="90"/>
      <c r="YV325" s="90"/>
      <c r="YW325" s="90"/>
      <c r="YX325" s="90"/>
      <c r="YY325" s="90"/>
      <c r="YZ325" s="90"/>
      <c r="ZA325" s="90"/>
      <c r="ZB325" s="90"/>
      <c r="ZC325" s="90"/>
      <c r="ZD325" s="90"/>
      <c r="ZE325" s="90"/>
      <c r="ZF325" s="90"/>
      <c r="ZG325" s="90"/>
      <c r="ZH325" s="90"/>
      <c r="ZI325" s="90"/>
      <c r="ZJ325" s="90"/>
      <c r="ZK325" s="90"/>
      <c r="ZL325" s="90"/>
      <c r="ZM325" s="90"/>
      <c r="ZN325" s="90"/>
      <c r="ZO325" s="90"/>
      <c r="ZP325" s="90"/>
      <c r="ZQ325" s="90"/>
      <c r="ZR325" s="90"/>
      <c r="ZS325" s="90"/>
      <c r="ZT325" s="90"/>
      <c r="ZU325" s="90"/>
      <c r="ZV325" s="90"/>
      <c r="ZW325" s="90"/>
      <c r="ZX325" s="90"/>
      <c r="ZY325" s="90"/>
      <c r="ZZ325" s="90"/>
      <c r="AAA325" s="90"/>
      <c r="AAB325" s="90"/>
      <c r="AAC325" s="90"/>
      <c r="AAD325" s="90"/>
      <c r="AAE325" s="90"/>
      <c r="AAF325" s="90"/>
      <c r="AAG325" s="90"/>
      <c r="AAH325" s="90"/>
      <c r="AAI325" s="90"/>
      <c r="AAJ325" s="90"/>
      <c r="AAK325" s="90"/>
      <c r="AAL325" s="90"/>
      <c r="AAM325" s="90"/>
      <c r="AAN325" s="90"/>
      <c r="AAO325" s="90"/>
      <c r="AAP325" s="90"/>
      <c r="AAQ325" s="90"/>
      <c r="AAR325" s="90"/>
      <c r="AAS325" s="90"/>
      <c r="AAT325" s="90"/>
      <c r="AAU325" s="90"/>
      <c r="AAV325" s="90"/>
      <c r="AAW325" s="90"/>
      <c r="AAX325" s="90"/>
      <c r="AAY325" s="90"/>
      <c r="AAZ325" s="90"/>
      <c r="ABA325" s="90"/>
      <c r="ABB325" s="90"/>
      <c r="ABC325" s="90"/>
      <c r="ABD325" s="90"/>
      <c r="ABE325" s="90"/>
      <c r="ABF325" s="90"/>
      <c r="ABG325" s="90"/>
      <c r="ABH325" s="90"/>
      <c r="ABI325" s="90"/>
      <c r="ABJ325" s="90"/>
      <c r="ABK325" s="90"/>
      <c r="ABL325" s="90"/>
      <c r="ABM325" s="90"/>
      <c r="ABN325" s="90"/>
      <c r="ABO325" s="90"/>
      <c r="ABP325" s="90"/>
      <c r="ABQ325" s="90"/>
      <c r="ABR325" s="90"/>
      <c r="ABS325" s="90"/>
      <c r="ABT325" s="90"/>
      <c r="ABU325" s="90"/>
      <c r="ABV325" s="90"/>
      <c r="ABW325" s="90"/>
      <c r="ABX325" s="90"/>
      <c r="ABY325" s="90"/>
      <c r="ABZ325" s="90"/>
      <c r="ACA325" s="90"/>
      <c r="ACB325" s="90"/>
      <c r="ACC325" s="90"/>
      <c r="ACD325" s="90"/>
      <c r="ACE325" s="90"/>
      <c r="ACF325" s="90"/>
      <c r="ACG325" s="90"/>
      <c r="ACH325" s="90"/>
      <c r="ACI325" s="90"/>
      <c r="ACJ325" s="90"/>
      <c r="ACK325" s="90"/>
      <c r="ACL325" s="90"/>
      <c r="ACM325" s="90"/>
      <c r="ACN325" s="90"/>
      <c r="ACO325" s="90"/>
      <c r="ACP325" s="90"/>
      <c r="ACQ325" s="90"/>
      <c r="ACR325" s="90"/>
      <c r="ACS325" s="90"/>
      <c r="ACT325" s="90"/>
      <c r="ACU325" s="90"/>
      <c r="ACV325" s="90"/>
      <c r="ACW325" s="90"/>
      <c r="ACX325" s="90"/>
      <c r="ACY325" s="90"/>
      <c r="ACZ325" s="90"/>
      <c r="ADA325" s="90"/>
      <c r="ADB325" s="90"/>
      <c r="ADC325" s="90"/>
      <c r="ADD325" s="90"/>
      <c r="ADE325" s="90"/>
      <c r="ADF325" s="90"/>
      <c r="ADG325" s="90"/>
      <c r="ADH325" s="90"/>
      <c r="ADI325" s="90"/>
      <c r="ADJ325" s="90"/>
      <c r="ADK325" s="90"/>
      <c r="ADL325" s="90"/>
      <c r="ADM325" s="90"/>
      <c r="ADN325" s="90"/>
      <c r="ADO325" s="90"/>
      <c r="ADP325" s="90"/>
      <c r="ADQ325" s="90"/>
      <c r="ADR325" s="90"/>
      <c r="ADS325" s="90"/>
      <c r="ADT325" s="90"/>
      <c r="ADU325" s="90"/>
      <c r="ADV325" s="90"/>
      <c r="ADW325" s="90"/>
      <c r="ADX325" s="90"/>
      <c r="ADY325" s="90"/>
      <c r="ADZ325" s="90"/>
      <c r="AEA325" s="90"/>
      <c r="AEB325" s="90"/>
      <c r="AEC325" s="90"/>
      <c r="AED325" s="90"/>
      <c r="AEE325" s="90"/>
      <c r="AEF325" s="90"/>
      <c r="AEG325" s="90"/>
      <c r="AEH325" s="90"/>
      <c r="AEI325" s="90"/>
      <c r="AEJ325" s="90"/>
      <c r="AEK325" s="90"/>
      <c r="AEL325" s="90"/>
      <c r="AEM325" s="90"/>
      <c r="AEN325" s="90"/>
      <c r="AEO325" s="90"/>
      <c r="AEP325" s="90"/>
      <c r="AEQ325" s="90"/>
      <c r="AER325" s="90"/>
      <c r="AES325" s="90"/>
      <c r="AET325" s="90"/>
      <c r="AEU325" s="90"/>
      <c r="AEV325" s="90"/>
      <c r="AEW325" s="90"/>
      <c r="AEX325" s="90"/>
      <c r="AEY325" s="90"/>
      <c r="AEZ325" s="90"/>
      <c r="AFA325" s="90"/>
      <c r="AFB325" s="90"/>
      <c r="AFC325" s="90"/>
      <c r="AFD325" s="90"/>
      <c r="AFE325" s="90"/>
      <c r="AFF325" s="90"/>
      <c r="AFG325" s="90"/>
      <c r="AFH325" s="90"/>
      <c r="AFI325" s="90"/>
      <c r="AFJ325" s="90"/>
      <c r="AFK325" s="90"/>
      <c r="AFL325" s="90"/>
      <c r="AFM325" s="90"/>
      <c r="AFN325" s="90"/>
      <c r="AFO325" s="90"/>
      <c r="AFP325" s="90"/>
      <c r="AFQ325" s="90"/>
      <c r="AFR325" s="90"/>
      <c r="AFS325" s="90"/>
      <c r="AFT325" s="90"/>
      <c r="AFU325" s="90"/>
      <c r="AFV325" s="90"/>
      <c r="AFW325" s="90"/>
      <c r="AFX325" s="90"/>
      <c r="AFY325" s="90"/>
      <c r="AFZ325" s="90"/>
      <c r="AGA325" s="90"/>
      <c r="AGB325" s="90"/>
      <c r="AGC325" s="90"/>
      <c r="AGD325" s="90"/>
      <c r="AGE325" s="90"/>
      <c r="AGF325" s="90"/>
      <c r="AGG325" s="90"/>
      <c r="AGH325" s="90"/>
      <c r="AGI325" s="90"/>
      <c r="AGJ325" s="90"/>
      <c r="AGK325" s="90"/>
      <c r="AGL325" s="90"/>
      <c r="AGM325" s="90"/>
      <c r="AGN325" s="90"/>
      <c r="AGO325" s="90"/>
      <c r="AGP325" s="90"/>
      <c r="AGQ325" s="90"/>
      <c r="AGR325" s="90"/>
      <c r="AGS325" s="90"/>
      <c r="AGT325" s="90"/>
      <c r="AGU325" s="90"/>
      <c r="AGV325" s="90"/>
      <c r="AGW325" s="90"/>
      <c r="AGX325" s="90"/>
      <c r="AGY325" s="90"/>
      <c r="AGZ325" s="90"/>
      <c r="AHA325" s="90"/>
      <c r="AHB325" s="90"/>
      <c r="AHC325" s="90"/>
      <c r="AHD325" s="90"/>
      <c r="AHE325" s="90"/>
      <c r="AHF325" s="90"/>
      <c r="AHG325" s="90"/>
      <c r="AHH325" s="90"/>
      <c r="AHI325" s="90"/>
      <c r="AHJ325" s="90"/>
      <c r="AHK325" s="90"/>
      <c r="AHL325" s="90"/>
      <c r="AHM325" s="90"/>
      <c r="AHN325" s="90"/>
      <c r="AHO325" s="90"/>
      <c r="AHP325" s="90"/>
      <c r="AHQ325" s="90"/>
      <c r="AHR325" s="90"/>
      <c r="AHS325" s="90"/>
      <c r="AHT325" s="90"/>
      <c r="AHU325" s="90"/>
      <c r="AHV325" s="90"/>
      <c r="AHW325" s="90"/>
      <c r="AHX325" s="90"/>
      <c r="AHY325" s="90"/>
      <c r="AHZ325" s="90"/>
      <c r="AIA325" s="90"/>
      <c r="AIB325" s="90"/>
      <c r="AIC325" s="90"/>
      <c r="AID325" s="90"/>
      <c r="AIE325" s="90"/>
      <c r="AIF325" s="90"/>
      <c r="AIG325" s="90"/>
      <c r="AIH325" s="90"/>
      <c r="AII325" s="90"/>
      <c r="AIJ325" s="90"/>
      <c r="AIK325" s="90"/>
      <c r="AIL325" s="90"/>
      <c r="AIM325" s="90"/>
      <c r="AIN325" s="90"/>
      <c r="AIO325" s="90"/>
      <c r="AIP325" s="90"/>
      <c r="AIQ325" s="90"/>
      <c r="AIR325" s="90"/>
      <c r="AIS325" s="90"/>
      <c r="AIT325" s="90"/>
      <c r="AIU325" s="90"/>
      <c r="AIV325" s="90"/>
      <c r="AIW325" s="90"/>
      <c r="AIX325" s="90"/>
      <c r="AIY325" s="90"/>
      <c r="AIZ325" s="90"/>
      <c r="AJA325" s="90"/>
      <c r="AJB325" s="90"/>
      <c r="AJC325" s="90"/>
      <c r="AJD325" s="90"/>
      <c r="AJE325" s="90"/>
      <c r="AJF325" s="90"/>
      <c r="AJG325" s="90"/>
      <c r="AJH325" s="90"/>
      <c r="AJI325" s="90"/>
      <c r="AJJ325" s="90"/>
      <c r="AJK325" s="90"/>
      <c r="AJL325" s="90"/>
      <c r="AJM325" s="90"/>
      <c r="AJN325" s="90"/>
      <c r="AJO325" s="90"/>
      <c r="AJP325" s="90"/>
      <c r="AJQ325" s="90"/>
      <c r="AJR325" s="90"/>
      <c r="AJS325" s="90"/>
      <c r="AJT325" s="90"/>
      <c r="AJU325" s="90"/>
      <c r="AJV325" s="90"/>
      <c r="AJW325" s="90"/>
      <c r="AJX325" s="90"/>
      <c r="AJY325" s="90"/>
      <c r="AJZ325" s="90"/>
      <c r="AKA325" s="90"/>
      <c r="AKB325" s="90"/>
      <c r="AKC325" s="90"/>
      <c r="AKD325" s="90"/>
      <c r="AKE325" s="90"/>
      <c r="AKF325" s="90"/>
      <c r="AKG325" s="90"/>
      <c r="AKH325" s="90"/>
      <c r="AKI325" s="90"/>
      <c r="AKJ325" s="90"/>
      <c r="AKK325" s="90"/>
      <c r="AKL325" s="90"/>
      <c r="AKM325" s="90"/>
      <c r="AKN325" s="90"/>
      <c r="AKO325" s="90"/>
      <c r="AKP325" s="90"/>
      <c r="AKQ325" s="90"/>
      <c r="AKR325" s="90"/>
      <c r="AKS325" s="90"/>
      <c r="AKT325" s="90"/>
      <c r="AKU325" s="90"/>
      <c r="AKV325" s="90"/>
      <c r="AKW325" s="90"/>
      <c r="AKX325" s="90"/>
      <c r="AKY325" s="90"/>
      <c r="AKZ325" s="90"/>
      <c r="ALA325" s="90"/>
      <c r="ALB325" s="90"/>
      <c r="ALC325" s="90"/>
      <c r="ALD325" s="90"/>
      <c r="ALE325" s="90"/>
      <c r="ALF325" s="90"/>
      <c r="ALG325" s="90"/>
      <c r="ALH325" s="90"/>
      <c r="ALI325" s="90"/>
      <c r="ALJ325" s="90"/>
      <c r="ALK325" s="90"/>
      <c r="ALL325" s="90"/>
      <c r="ALM325" s="90"/>
      <c r="ALN325" s="90"/>
      <c r="ALO325" s="90"/>
      <c r="ALP325" s="90"/>
      <c r="ALQ325" s="90"/>
      <c r="ALR325" s="90"/>
      <c r="ALS325" s="90"/>
      <c r="ALT325" s="90"/>
      <c r="ALU325" s="90"/>
      <c r="ALV325" s="90"/>
      <c r="ALW325" s="90"/>
      <c r="ALX325" s="90"/>
      <c r="ALY325" s="90"/>
      <c r="ALZ325" s="90"/>
      <c r="AMA325" s="90"/>
      <c r="AMB325" s="90"/>
      <c r="AMC325" s="90"/>
    </row>
    <row r="326" spans="1:1017">
      <c r="A326" s="98" t="s">
        <v>53</v>
      </c>
      <c r="B326" s="90" t="str">
        <f t="shared" si="1838"/>
        <v>Kepiting  Bakau</v>
      </c>
      <c r="E326" s="98">
        <v>200</v>
      </c>
      <c r="F326" s="98">
        <v>20000</v>
      </c>
      <c r="Q326" s="91">
        <f t="shared" si="1839"/>
        <v>200</v>
      </c>
      <c r="R326" s="91">
        <f t="shared" si="1840"/>
        <v>20000</v>
      </c>
      <c r="U326" s="98">
        <v>4240</v>
      </c>
      <c r="V326" s="98">
        <v>275600</v>
      </c>
      <c r="AG326" s="91">
        <f t="shared" si="1841"/>
        <v>4240</v>
      </c>
      <c r="AH326" s="91">
        <f t="shared" si="1842"/>
        <v>275600</v>
      </c>
      <c r="AW326" s="91">
        <f t="shared" si="1843"/>
        <v>0</v>
      </c>
      <c r="AX326" s="91">
        <f t="shared" si="1844"/>
        <v>0</v>
      </c>
      <c r="BM326" s="91">
        <f t="shared" si="1845"/>
        <v>0</v>
      </c>
      <c r="BN326" s="91">
        <f t="shared" si="1846"/>
        <v>0</v>
      </c>
      <c r="CC326" s="91">
        <f t="shared" si="1847"/>
        <v>0</v>
      </c>
      <c r="CD326" s="91">
        <f t="shared" si="1848"/>
        <v>0</v>
      </c>
      <c r="CG326" s="98">
        <v>45410</v>
      </c>
      <c r="CH326" s="98">
        <v>1816412</v>
      </c>
      <c r="CS326" s="91">
        <f t="shared" si="1849"/>
        <v>45410</v>
      </c>
      <c r="CT326" s="91">
        <f t="shared" si="1850"/>
        <v>1816412</v>
      </c>
      <c r="DI326" s="91">
        <f t="shared" si="1851"/>
        <v>0</v>
      </c>
      <c r="DJ326" s="91">
        <f t="shared" si="1852"/>
        <v>0</v>
      </c>
      <c r="DY326" s="91">
        <f t="shared" si="1853"/>
        <v>0</v>
      </c>
      <c r="DZ326" s="91">
        <f t="shared" si="1854"/>
        <v>0</v>
      </c>
      <c r="EO326" s="91">
        <f t="shared" si="1855"/>
        <v>0</v>
      </c>
      <c r="EP326" s="91">
        <f t="shared" si="1856"/>
        <v>0</v>
      </c>
      <c r="FE326" s="91">
        <f t="shared" si="1857"/>
        <v>0</v>
      </c>
      <c r="FF326" s="91">
        <f t="shared" si="1858"/>
        <v>0</v>
      </c>
      <c r="FU326" s="91">
        <f t="shared" si="1859"/>
        <v>0</v>
      </c>
      <c r="FV326" s="91">
        <f t="shared" si="1860"/>
        <v>0</v>
      </c>
      <c r="GK326" s="91">
        <f t="shared" si="1861"/>
        <v>0</v>
      </c>
      <c r="GL326" s="91">
        <f t="shared" si="1862"/>
        <v>0</v>
      </c>
      <c r="HA326" s="91">
        <f t="shared" si="1863"/>
        <v>0</v>
      </c>
      <c r="HB326" s="91">
        <f t="shared" si="1864"/>
        <v>0</v>
      </c>
      <c r="HQ326" s="91">
        <f t="shared" si="1865"/>
        <v>0</v>
      </c>
      <c r="HR326" s="91">
        <f t="shared" si="1866"/>
        <v>0</v>
      </c>
      <c r="IG326" s="91">
        <f t="shared" si="1867"/>
        <v>0</v>
      </c>
      <c r="IH326" s="91">
        <f t="shared" si="1868"/>
        <v>0</v>
      </c>
      <c r="IW326" s="91">
        <f t="shared" si="1869"/>
        <v>0</v>
      </c>
      <c r="IX326" s="91">
        <f t="shared" si="1870"/>
        <v>0</v>
      </c>
      <c r="JM326" s="91">
        <f t="shared" si="1871"/>
        <v>0</v>
      </c>
      <c r="JN326" s="91">
        <f t="shared" si="1872"/>
        <v>0</v>
      </c>
      <c r="JQ326" s="98">
        <v>250</v>
      </c>
      <c r="JR326" s="98">
        <v>45000</v>
      </c>
      <c r="KC326" s="91">
        <f t="shared" si="1873"/>
        <v>250</v>
      </c>
      <c r="KD326" s="91">
        <f t="shared" si="1874"/>
        <v>45000</v>
      </c>
      <c r="KS326" s="91">
        <f t="shared" si="1875"/>
        <v>0</v>
      </c>
      <c r="KT326" s="91">
        <f t="shared" si="1876"/>
        <v>0</v>
      </c>
      <c r="LI326" s="91">
        <f t="shared" si="1877"/>
        <v>0</v>
      </c>
      <c r="LJ326" s="91">
        <f t="shared" si="1878"/>
        <v>0</v>
      </c>
      <c r="LY326" s="91">
        <f t="shared" si="1879"/>
        <v>0</v>
      </c>
      <c r="LZ326" s="91">
        <f t="shared" si="1880"/>
        <v>0</v>
      </c>
      <c r="MC326" s="98">
        <v>4910</v>
      </c>
      <c r="MD326" s="98">
        <v>491000</v>
      </c>
      <c r="MO326" s="91">
        <f t="shared" si="1881"/>
        <v>4910</v>
      </c>
      <c r="MP326" s="91">
        <f t="shared" si="1882"/>
        <v>491000</v>
      </c>
      <c r="MS326" s="98">
        <v>50</v>
      </c>
      <c r="MT326" s="98">
        <v>5000</v>
      </c>
      <c r="NE326" s="91">
        <f t="shared" si="1883"/>
        <v>50</v>
      </c>
      <c r="NF326" s="91">
        <f t="shared" si="1884"/>
        <v>5000</v>
      </c>
      <c r="NI326" s="98">
        <v>19700</v>
      </c>
      <c r="NJ326" s="98">
        <v>788000</v>
      </c>
      <c r="NU326" s="91">
        <f t="shared" si="1885"/>
        <v>19700</v>
      </c>
      <c r="NV326" s="91">
        <f t="shared" si="1886"/>
        <v>788000</v>
      </c>
      <c r="OK326" s="91">
        <f t="shared" si="1887"/>
        <v>0</v>
      </c>
      <c r="OL326" s="91">
        <f t="shared" si="1888"/>
        <v>0</v>
      </c>
      <c r="PA326" s="91">
        <f t="shared" si="1889"/>
        <v>0</v>
      </c>
      <c r="PB326" s="91">
        <f t="shared" si="1890"/>
        <v>0</v>
      </c>
      <c r="PQ326" s="91">
        <f t="shared" si="1891"/>
        <v>0</v>
      </c>
      <c r="PR326" s="91">
        <f t="shared" si="1892"/>
        <v>0</v>
      </c>
      <c r="QG326" s="91">
        <f t="shared" si="1893"/>
        <v>0</v>
      </c>
      <c r="QH326" s="91">
        <f t="shared" si="1894"/>
        <v>0</v>
      </c>
      <c r="QW326" s="91">
        <f t="shared" si="1895"/>
        <v>0</v>
      </c>
      <c r="QX326" s="91">
        <f t="shared" si="1896"/>
        <v>0</v>
      </c>
      <c r="RM326" s="91">
        <f t="shared" si="1897"/>
        <v>0</v>
      </c>
      <c r="RN326" s="91">
        <f t="shared" si="1898"/>
        <v>0</v>
      </c>
      <c r="SC326" s="91">
        <f t="shared" si="1899"/>
        <v>0</v>
      </c>
      <c r="SD326" s="91">
        <f t="shared" si="1900"/>
        <v>0</v>
      </c>
      <c r="SS326" s="91">
        <f t="shared" si="1901"/>
        <v>0</v>
      </c>
      <c r="ST326" s="91">
        <f t="shared" si="1902"/>
        <v>0</v>
      </c>
      <c r="TI326" s="91">
        <f t="shared" si="1903"/>
        <v>0</v>
      </c>
      <c r="TJ326" s="91">
        <f t="shared" si="1904"/>
        <v>0</v>
      </c>
      <c r="TY326" s="91">
        <f t="shared" si="1905"/>
        <v>0</v>
      </c>
      <c r="TZ326" s="91">
        <f t="shared" si="1906"/>
        <v>0</v>
      </c>
      <c r="UO326" s="91">
        <f t="shared" si="1907"/>
        <v>0</v>
      </c>
      <c r="UP326" s="91">
        <f t="shared" si="1908"/>
        <v>0</v>
      </c>
      <c r="VE326" s="91">
        <f t="shared" si="1909"/>
        <v>0</v>
      </c>
      <c r="VF326" s="91">
        <f t="shared" si="1910"/>
        <v>0</v>
      </c>
      <c r="VI326" s="98">
        <v>175</v>
      </c>
      <c r="VJ326" s="98">
        <v>10500</v>
      </c>
      <c r="VU326" s="91">
        <f t="shared" si="1911"/>
        <v>175</v>
      </c>
      <c r="VV326" s="91">
        <f t="shared" si="1912"/>
        <v>10500</v>
      </c>
      <c r="WK326" s="91">
        <f t="shared" si="1913"/>
        <v>0</v>
      </c>
      <c r="WL326" s="91">
        <f t="shared" si="1914"/>
        <v>0</v>
      </c>
      <c r="WM326" s="89"/>
      <c r="WN326" s="87">
        <f t="shared" si="1915"/>
        <v>0</v>
      </c>
      <c r="WO326" s="87">
        <f t="shared" si="1916"/>
        <v>0</v>
      </c>
      <c r="WP326" s="87">
        <f t="shared" si="1917"/>
        <v>74935</v>
      </c>
      <c r="WQ326" s="87">
        <f t="shared" si="1918"/>
        <v>3451512</v>
      </c>
      <c r="WR326" s="87">
        <f t="shared" si="1919"/>
        <v>0</v>
      </c>
      <c r="WS326" s="87">
        <f t="shared" si="1920"/>
        <v>0</v>
      </c>
      <c r="WT326" s="87">
        <f t="shared" si="1921"/>
        <v>0</v>
      </c>
      <c r="WU326" s="87">
        <f t="shared" si="1922"/>
        <v>0</v>
      </c>
      <c r="WV326" s="87">
        <f t="shared" si="1923"/>
        <v>0</v>
      </c>
      <c r="WW326" s="87">
        <f t="shared" si="1924"/>
        <v>0</v>
      </c>
      <c r="WX326" s="87">
        <f t="shared" si="1925"/>
        <v>0</v>
      </c>
      <c r="WY326" s="87">
        <f t="shared" si="1926"/>
        <v>0</v>
      </c>
      <c r="WZ326" s="87">
        <f t="shared" si="1927"/>
        <v>0</v>
      </c>
      <c r="XA326" s="87">
        <f t="shared" si="1928"/>
        <v>0</v>
      </c>
      <c r="XB326" s="92">
        <f t="shared" si="1929"/>
        <v>74935</v>
      </c>
      <c r="XC326" s="92">
        <f t="shared" si="1930"/>
        <v>3451512</v>
      </c>
      <c r="XD326" s="89"/>
      <c r="XE326" s="92"/>
      <c r="XF326" s="92"/>
      <c r="XG326" s="89"/>
      <c r="XH326" s="92"/>
      <c r="XI326" s="92"/>
      <c r="XJ326" s="89"/>
      <c r="XK326" s="87"/>
      <c r="XL326" s="87"/>
      <c r="XM326" s="87"/>
      <c r="XN326" s="87"/>
      <c r="XO326" s="87"/>
      <c r="XP326" s="87"/>
      <c r="XQ326" s="87"/>
      <c r="XR326" s="92">
        <f t="shared" ca="1" si="1931"/>
        <v>0</v>
      </c>
      <c r="XS326" s="89"/>
      <c r="XT326" s="87"/>
      <c r="XU326" s="87"/>
      <c r="XV326" s="87"/>
      <c r="XW326" s="87"/>
      <c r="XX326" s="87"/>
      <c r="XY326" s="87"/>
      <c r="XZ326" s="87"/>
      <c r="YA326" s="92">
        <f t="shared" ca="1" si="1932"/>
        <v>0</v>
      </c>
      <c r="YB326" s="90"/>
      <c r="YC326" s="90"/>
      <c r="YD326" s="90"/>
      <c r="YE326" s="90"/>
      <c r="YF326" s="90"/>
      <c r="YG326" s="90"/>
      <c r="YH326" s="90"/>
      <c r="YI326" s="90"/>
      <c r="YJ326" s="90"/>
      <c r="YK326" s="90"/>
      <c r="YL326" s="90"/>
      <c r="YM326" s="90"/>
      <c r="YN326" s="90"/>
      <c r="YO326" s="90"/>
      <c r="YP326" s="90"/>
      <c r="YQ326" s="90"/>
      <c r="YR326" s="90"/>
      <c r="YS326" s="90"/>
      <c r="YT326" s="90"/>
      <c r="YU326" s="90"/>
      <c r="YV326" s="90"/>
      <c r="YW326" s="90"/>
      <c r="YX326" s="90"/>
      <c r="YY326" s="90"/>
      <c r="YZ326" s="90"/>
      <c r="ZA326" s="90"/>
      <c r="ZB326" s="90"/>
      <c r="ZC326" s="90"/>
      <c r="ZD326" s="90"/>
      <c r="ZE326" s="90"/>
      <c r="ZF326" s="90"/>
      <c r="ZG326" s="90"/>
      <c r="ZH326" s="90"/>
      <c r="ZI326" s="90"/>
      <c r="ZJ326" s="90"/>
      <c r="ZK326" s="90"/>
      <c r="ZL326" s="90"/>
      <c r="ZM326" s="90"/>
      <c r="ZN326" s="90"/>
      <c r="ZO326" s="90"/>
      <c r="ZP326" s="90"/>
      <c r="ZQ326" s="90"/>
      <c r="ZR326" s="90"/>
      <c r="ZS326" s="90"/>
      <c r="ZT326" s="90"/>
      <c r="ZU326" s="90"/>
      <c r="ZV326" s="90"/>
      <c r="ZW326" s="90"/>
      <c r="ZX326" s="90"/>
      <c r="ZY326" s="90"/>
      <c r="ZZ326" s="90"/>
      <c r="AAA326" s="90"/>
      <c r="AAB326" s="90"/>
      <c r="AAC326" s="90"/>
      <c r="AAD326" s="90"/>
      <c r="AAE326" s="90"/>
      <c r="AAF326" s="90"/>
      <c r="AAG326" s="90"/>
      <c r="AAH326" s="90"/>
      <c r="AAI326" s="90"/>
      <c r="AAJ326" s="90"/>
      <c r="AAK326" s="90"/>
      <c r="AAL326" s="90"/>
      <c r="AAM326" s="90"/>
      <c r="AAN326" s="90"/>
      <c r="AAO326" s="90"/>
      <c r="AAP326" s="90"/>
      <c r="AAQ326" s="90"/>
      <c r="AAR326" s="90"/>
      <c r="AAS326" s="90"/>
      <c r="AAT326" s="90"/>
      <c r="AAU326" s="90"/>
      <c r="AAV326" s="90"/>
      <c r="AAW326" s="90"/>
      <c r="AAX326" s="90"/>
      <c r="AAY326" s="90"/>
      <c r="AAZ326" s="90"/>
      <c r="ABA326" s="90"/>
      <c r="ABB326" s="90"/>
      <c r="ABC326" s="90"/>
      <c r="ABD326" s="90"/>
      <c r="ABE326" s="90"/>
      <c r="ABF326" s="90"/>
      <c r="ABG326" s="90"/>
      <c r="ABH326" s="90"/>
      <c r="ABI326" s="90"/>
      <c r="ABJ326" s="90"/>
      <c r="ABK326" s="90"/>
      <c r="ABL326" s="90"/>
      <c r="ABM326" s="90"/>
      <c r="ABN326" s="90"/>
      <c r="ABO326" s="90"/>
      <c r="ABP326" s="90"/>
      <c r="ABQ326" s="90"/>
      <c r="ABR326" s="90"/>
      <c r="ABS326" s="90"/>
      <c r="ABT326" s="90"/>
      <c r="ABU326" s="90"/>
      <c r="ABV326" s="90"/>
      <c r="ABW326" s="90"/>
      <c r="ABX326" s="90"/>
      <c r="ABY326" s="90"/>
      <c r="ABZ326" s="90"/>
      <c r="ACA326" s="90"/>
      <c r="ACB326" s="90"/>
      <c r="ACC326" s="90"/>
      <c r="ACD326" s="90"/>
      <c r="ACE326" s="90"/>
      <c r="ACF326" s="90"/>
      <c r="ACG326" s="90"/>
      <c r="ACH326" s="90"/>
      <c r="ACI326" s="90"/>
      <c r="ACJ326" s="90"/>
      <c r="ACK326" s="90"/>
      <c r="ACL326" s="90"/>
      <c r="ACM326" s="90"/>
      <c r="ACN326" s="90"/>
      <c r="ACO326" s="90"/>
      <c r="ACP326" s="90"/>
      <c r="ACQ326" s="90"/>
      <c r="ACR326" s="90"/>
      <c r="ACS326" s="90"/>
      <c r="ACT326" s="90"/>
      <c r="ACU326" s="90"/>
      <c r="ACV326" s="90"/>
      <c r="ACW326" s="90"/>
      <c r="ACX326" s="90"/>
      <c r="ACY326" s="90"/>
      <c r="ACZ326" s="90"/>
      <c r="ADA326" s="90"/>
      <c r="ADB326" s="90"/>
      <c r="ADC326" s="90"/>
      <c r="ADD326" s="90"/>
      <c r="ADE326" s="90"/>
      <c r="ADF326" s="90"/>
      <c r="ADG326" s="90"/>
      <c r="ADH326" s="90"/>
      <c r="ADI326" s="90"/>
      <c r="ADJ326" s="90"/>
      <c r="ADK326" s="90"/>
      <c r="ADL326" s="90"/>
      <c r="ADM326" s="90"/>
      <c r="ADN326" s="90"/>
      <c r="ADO326" s="90"/>
      <c r="ADP326" s="90"/>
      <c r="ADQ326" s="90"/>
      <c r="ADR326" s="90"/>
      <c r="ADS326" s="90"/>
      <c r="ADT326" s="90"/>
      <c r="ADU326" s="90"/>
      <c r="ADV326" s="90"/>
      <c r="ADW326" s="90"/>
      <c r="ADX326" s="90"/>
      <c r="ADY326" s="90"/>
      <c r="ADZ326" s="90"/>
      <c r="AEA326" s="90"/>
      <c r="AEB326" s="90"/>
      <c r="AEC326" s="90"/>
      <c r="AED326" s="90"/>
      <c r="AEE326" s="90"/>
      <c r="AEF326" s="90"/>
      <c r="AEG326" s="90"/>
      <c r="AEH326" s="90"/>
      <c r="AEI326" s="90"/>
      <c r="AEJ326" s="90"/>
      <c r="AEK326" s="90"/>
      <c r="AEL326" s="90"/>
      <c r="AEM326" s="90"/>
      <c r="AEN326" s="90"/>
      <c r="AEO326" s="90"/>
      <c r="AEP326" s="90"/>
      <c r="AEQ326" s="90"/>
      <c r="AER326" s="90"/>
      <c r="AES326" s="90"/>
      <c r="AET326" s="90"/>
      <c r="AEU326" s="90"/>
      <c r="AEV326" s="90"/>
      <c r="AEW326" s="90"/>
      <c r="AEX326" s="90"/>
      <c r="AEY326" s="90"/>
      <c r="AEZ326" s="90"/>
      <c r="AFA326" s="90"/>
      <c r="AFB326" s="90"/>
      <c r="AFC326" s="90"/>
      <c r="AFD326" s="90"/>
      <c r="AFE326" s="90"/>
      <c r="AFF326" s="90"/>
      <c r="AFG326" s="90"/>
      <c r="AFH326" s="90"/>
      <c r="AFI326" s="90"/>
      <c r="AFJ326" s="90"/>
      <c r="AFK326" s="90"/>
      <c r="AFL326" s="90"/>
      <c r="AFM326" s="90"/>
      <c r="AFN326" s="90"/>
      <c r="AFO326" s="90"/>
      <c r="AFP326" s="90"/>
      <c r="AFQ326" s="90"/>
      <c r="AFR326" s="90"/>
      <c r="AFS326" s="90"/>
      <c r="AFT326" s="90"/>
      <c r="AFU326" s="90"/>
      <c r="AFV326" s="90"/>
      <c r="AFW326" s="90"/>
      <c r="AFX326" s="90"/>
      <c r="AFY326" s="90"/>
      <c r="AFZ326" s="90"/>
      <c r="AGA326" s="90"/>
      <c r="AGB326" s="90"/>
      <c r="AGC326" s="90"/>
      <c r="AGD326" s="90"/>
      <c r="AGE326" s="90"/>
      <c r="AGF326" s="90"/>
      <c r="AGG326" s="90"/>
      <c r="AGH326" s="90"/>
      <c r="AGI326" s="90"/>
      <c r="AGJ326" s="90"/>
      <c r="AGK326" s="90"/>
      <c r="AGL326" s="90"/>
      <c r="AGM326" s="90"/>
      <c r="AGN326" s="90"/>
      <c r="AGO326" s="90"/>
      <c r="AGP326" s="90"/>
      <c r="AGQ326" s="90"/>
      <c r="AGR326" s="90"/>
      <c r="AGS326" s="90"/>
      <c r="AGT326" s="90"/>
      <c r="AGU326" s="90"/>
      <c r="AGV326" s="90"/>
      <c r="AGW326" s="90"/>
      <c r="AGX326" s="90"/>
      <c r="AGY326" s="90"/>
      <c r="AGZ326" s="90"/>
      <c r="AHA326" s="90"/>
      <c r="AHB326" s="90"/>
      <c r="AHC326" s="90"/>
      <c r="AHD326" s="90"/>
      <c r="AHE326" s="90"/>
      <c r="AHF326" s="90"/>
      <c r="AHG326" s="90"/>
      <c r="AHH326" s="90"/>
      <c r="AHI326" s="90"/>
      <c r="AHJ326" s="90"/>
      <c r="AHK326" s="90"/>
      <c r="AHL326" s="90"/>
      <c r="AHM326" s="90"/>
      <c r="AHN326" s="90"/>
      <c r="AHO326" s="90"/>
      <c r="AHP326" s="90"/>
      <c r="AHQ326" s="90"/>
      <c r="AHR326" s="90"/>
      <c r="AHS326" s="90"/>
      <c r="AHT326" s="90"/>
      <c r="AHU326" s="90"/>
      <c r="AHV326" s="90"/>
      <c r="AHW326" s="90"/>
      <c r="AHX326" s="90"/>
      <c r="AHY326" s="90"/>
      <c r="AHZ326" s="90"/>
      <c r="AIA326" s="90"/>
      <c r="AIB326" s="90"/>
      <c r="AIC326" s="90"/>
      <c r="AID326" s="90"/>
      <c r="AIE326" s="90"/>
      <c r="AIF326" s="90"/>
      <c r="AIG326" s="90"/>
      <c r="AIH326" s="90"/>
      <c r="AII326" s="90"/>
      <c r="AIJ326" s="90"/>
      <c r="AIK326" s="90"/>
      <c r="AIL326" s="90"/>
      <c r="AIM326" s="90"/>
      <c r="AIN326" s="90"/>
      <c r="AIO326" s="90"/>
      <c r="AIP326" s="90"/>
      <c r="AIQ326" s="90"/>
      <c r="AIR326" s="90"/>
      <c r="AIS326" s="90"/>
      <c r="AIT326" s="90"/>
      <c r="AIU326" s="90"/>
      <c r="AIV326" s="90"/>
      <c r="AIW326" s="90"/>
      <c r="AIX326" s="90"/>
      <c r="AIY326" s="90"/>
      <c r="AIZ326" s="90"/>
      <c r="AJA326" s="90"/>
      <c r="AJB326" s="90"/>
      <c r="AJC326" s="90"/>
      <c r="AJD326" s="90"/>
      <c r="AJE326" s="90"/>
      <c r="AJF326" s="90"/>
      <c r="AJG326" s="90"/>
      <c r="AJH326" s="90"/>
      <c r="AJI326" s="90"/>
      <c r="AJJ326" s="90"/>
      <c r="AJK326" s="90"/>
      <c r="AJL326" s="90"/>
      <c r="AJM326" s="90"/>
      <c r="AJN326" s="90"/>
      <c r="AJO326" s="90"/>
      <c r="AJP326" s="90"/>
      <c r="AJQ326" s="90"/>
      <c r="AJR326" s="90"/>
      <c r="AJS326" s="90"/>
      <c r="AJT326" s="90"/>
      <c r="AJU326" s="90"/>
      <c r="AJV326" s="90"/>
      <c r="AJW326" s="90"/>
      <c r="AJX326" s="90"/>
      <c r="AJY326" s="90"/>
      <c r="AJZ326" s="90"/>
      <c r="AKA326" s="90"/>
      <c r="AKB326" s="90"/>
      <c r="AKC326" s="90"/>
      <c r="AKD326" s="90"/>
      <c r="AKE326" s="90"/>
      <c r="AKF326" s="90"/>
      <c r="AKG326" s="90"/>
      <c r="AKH326" s="90"/>
      <c r="AKI326" s="90"/>
      <c r="AKJ326" s="90"/>
      <c r="AKK326" s="90"/>
      <c r="AKL326" s="90"/>
      <c r="AKM326" s="90"/>
      <c r="AKN326" s="90"/>
      <c r="AKO326" s="90"/>
      <c r="AKP326" s="90"/>
      <c r="AKQ326" s="90"/>
      <c r="AKR326" s="90"/>
      <c r="AKS326" s="90"/>
      <c r="AKT326" s="90"/>
      <c r="AKU326" s="90"/>
      <c r="AKV326" s="90"/>
      <c r="AKW326" s="90"/>
      <c r="AKX326" s="90"/>
      <c r="AKY326" s="90"/>
      <c r="AKZ326" s="90"/>
      <c r="ALA326" s="90"/>
      <c r="ALB326" s="90"/>
      <c r="ALC326" s="90"/>
      <c r="ALD326" s="90"/>
      <c r="ALE326" s="90"/>
      <c r="ALF326" s="90"/>
      <c r="ALG326" s="90"/>
      <c r="ALH326" s="90"/>
      <c r="ALI326" s="90"/>
      <c r="ALJ326" s="90"/>
      <c r="ALK326" s="90"/>
      <c r="ALL326" s="90"/>
      <c r="ALM326" s="90"/>
      <c r="ALN326" s="90"/>
      <c r="ALO326" s="90"/>
      <c r="ALP326" s="90"/>
      <c r="ALQ326" s="90"/>
      <c r="ALR326" s="90"/>
      <c r="ALS326" s="90"/>
      <c r="ALT326" s="90"/>
      <c r="ALU326" s="90"/>
      <c r="ALV326" s="90"/>
      <c r="ALW326" s="90"/>
      <c r="ALX326" s="90"/>
      <c r="ALY326" s="90"/>
      <c r="ALZ326" s="90"/>
      <c r="AMA326" s="90"/>
      <c r="AMB326" s="90"/>
      <c r="AMC326" s="90"/>
    </row>
    <row r="327" spans="1:1017">
      <c r="A327" s="98" t="s">
        <v>53</v>
      </c>
      <c r="B327" s="90" t="str">
        <f t="shared" si="1838"/>
        <v xml:space="preserve">Kerang Hijau </v>
      </c>
      <c r="Q327" s="91">
        <f t="shared" si="1839"/>
        <v>0</v>
      </c>
      <c r="R327" s="91">
        <f t="shared" si="1840"/>
        <v>0</v>
      </c>
      <c r="AG327" s="91">
        <f t="shared" si="1841"/>
        <v>0</v>
      </c>
      <c r="AH327" s="91">
        <f t="shared" si="1842"/>
        <v>0</v>
      </c>
      <c r="AW327" s="91">
        <f t="shared" si="1843"/>
        <v>0</v>
      </c>
      <c r="AX327" s="91">
        <f t="shared" si="1844"/>
        <v>0</v>
      </c>
      <c r="BM327" s="91">
        <f t="shared" si="1845"/>
        <v>0</v>
      </c>
      <c r="BN327" s="91">
        <f t="shared" si="1846"/>
        <v>0</v>
      </c>
      <c r="CC327" s="91">
        <f t="shared" si="1847"/>
        <v>0</v>
      </c>
      <c r="CD327" s="91">
        <f t="shared" si="1848"/>
        <v>0</v>
      </c>
      <c r="CE327" s="98">
        <v>1910940</v>
      </c>
      <c r="CF327" s="98">
        <v>7643760</v>
      </c>
      <c r="CS327" s="91">
        <f t="shared" si="1849"/>
        <v>1910940</v>
      </c>
      <c r="CT327" s="91">
        <f t="shared" si="1850"/>
        <v>7643760</v>
      </c>
      <c r="DI327" s="91">
        <f t="shared" si="1851"/>
        <v>0</v>
      </c>
      <c r="DJ327" s="91">
        <f t="shared" si="1852"/>
        <v>0</v>
      </c>
      <c r="DY327" s="91">
        <f t="shared" si="1853"/>
        <v>0</v>
      </c>
      <c r="DZ327" s="91">
        <f t="shared" si="1854"/>
        <v>0</v>
      </c>
      <c r="EO327" s="91">
        <f t="shared" si="1855"/>
        <v>0</v>
      </c>
      <c r="EP327" s="91">
        <f t="shared" si="1856"/>
        <v>0</v>
      </c>
      <c r="FE327" s="91">
        <f t="shared" si="1857"/>
        <v>0</v>
      </c>
      <c r="FF327" s="91">
        <f t="shared" si="1858"/>
        <v>0</v>
      </c>
      <c r="FU327" s="91">
        <f t="shared" si="1859"/>
        <v>0</v>
      </c>
      <c r="FV327" s="91">
        <f t="shared" si="1860"/>
        <v>0</v>
      </c>
      <c r="GK327" s="91">
        <f t="shared" si="1861"/>
        <v>0</v>
      </c>
      <c r="GL327" s="91">
        <f t="shared" si="1862"/>
        <v>0</v>
      </c>
      <c r="HA327" s="91">
        <f t="shared" si="1863"/>
        <v>0</v>
      </c>
      <c r="HB327" s="91">
        <f t="shared" si="1864"/>
        <v>0</v>
      </c>
      <c r="HQ327" s="91">
        <f t="shared" si="1865"/>
        <v>0</v>
      </c>
      <c r="HR327" s="91">
        <f t="shared" si="1866"/>
        <v>0</v>
      </c>
      <c r="IG327" s="91">
        <f t="shared" si="1867"/>
        <v>0</v>
      </c>
      <c r="IH327" s="91">
        <f t="shared" si="1868"/>
        <v>0</v>
      </c>
      <c r="IW327" s="91">
        <f t="shared" si="1869"/>
        <v>0</v>
      </c>
      <c r="IX327" s="91">
        <f t="shared" si="1870"/>
        <v>0</v>
      </c>
      <c r="JM327" s="91">
        <f t="shared" si="1871"/>
        <v>0</v>
      </c>
      <c r="JN327" s="91">
        <f t="shared" si="1872"/>
        <v>0</v>
      </c>
      <c r="KC327" s="91">
        <f t="shared" si="1873"/>
        <v>0</v>
      </c>
      <c r="KD327" s="91">
        <f t="shared" si="1874"/>
        <v>0</v>
      </c>
      <c r="KS327" s="91">
        <f t="shared" si="1875"/>
        <v>0</v>
      </c>
      <c r="KT327" s="91">
        <f t="shared" si="1876"/>
        <v>0</v>
      </c>
      <c r="LI327" s="91">
        <f t="shared" si="1877"/>
        <v>0</v>
      </c>
      <c r="LJ327" s="91">
        <f t="shared" si="1878"/>
        <v>0</v>
      </c>
      <c r="LY327" s="91">
        <f t="shared" si="1879"/>
        <v>0</v>
      </c>
      <c r="LZ327" s="91">
        <f t="shared" si="1880"/>
        <v>0</v>
      </c>
      <c r="MO327" s="91">
        <f t="shared" si="1881"/>
        <v>0</v>
      </c>
      <c r="MP327" s="91">
        <f t="shared" si="1882"/>
        <v>0</v>
      </c>
      <c r="NE327" s="91">
        <f t="shared" si="1883"/>
        <v>0</v>
      </c>
      <c r="NF327" s="91">
        <f t="shared" si="1884"/>
        <v>0</v>
      </c>
      <c r="NU327" s="91">
        <f t="shared" si="1885"/>
        <v>0</v>
      </c>
      <c r="NV327" s="91">
        <f t="shared" si="1886"/>
        <v>0</v>
      </c>
      <c r="OK327" s="91">
        <f t="shared" si="1887"/>
        <v>0</v>
      </c>
      <c r="OL327" s="91">
        <f t="shared" si="1888"/>
        <v>0</v>
      </c>
      <c r="PA327" s="91">
        <f t="shared" si="1889"/>
        <v>0</v>
      </c>
      <c r="PB327" s="91">
        <f t="shared" si="1890"/>
        <v>0</v>
      </c>
      <c r="PQ327" s="91">
        <f t="shared" si="1891"/>
        <v>0</v>
      </c>
      <c r="PR327" s="91">
        <f t="shared" si="1892"/>
        <v>0</v>
      </c>
      <c r="QG327" s="91">
        <f t="shared" si="1893"/>
        <v>0</v>
      </c>
      <c r="QH327" s="91">
        <f t="shared" si="1894"/>
        <v>0</v>
      </c>
      <c r="QW327" s="91">
        <f t="shared" si="1895"/>
        <v>0</v>
      </c>
      <c r="QX327" s="91">
        <f t="shared" si="1896"/>
        <v>0</v>
      </c>
      <c r="RM327" s="91">
        <f t="shared" si="1897"/>
        <v>0</v>
      </c>
      <c r="RN327" s="91">
        <f t="shared" si="1898"/>
        <v>0</v>
      </c>
      <c r="SC327" s="91">
        <f t="shared" si="1899"/>
        <v>0</v>
      </c>
      <c r="SD327" s="91">
        <f t="shared" si="1900"/>
        <v>0</v>
      </c>
      <c r="SS327" s="91">
        <f t="shared" si="1901"/>
        <v>0</v>
      </c>
      <c r="ST327" s="91">
        <f t="shared" si="1902"/>
        <v>0</v>
      </c>
      <c r="TI327" s="91">
        <f t="shared" si="1903"/>
        <v>0</v>
      </c>
      <c r="TJ327" s="91">
        <f t="shared" si="1904"/>
        <v>0</v>
      </c>
      <c r="TY327" s="91">
        <f t="shared" si="1905"/>
        <v>0</v>
      </c>
      <c r="TZ327" s="91">
        <f t="shared" si="1906"/>
        <v>0</v>
      </c>
      <c r="UO327" s="91">
        <f t="shared" si="1907"/>
        <v>0</v>
      </c>
      <c r="UP327" s="91">
        <f t="shared" si="1908"/>
        <v>0</v>
      </c>
      <c r="VE327" s="91">
        <f t="shared" si="1909"/>
        <v>0</v>
      </c>
      <c r="VF327" s="91">
        <f t="shared" si="1910"/>
        <v>0</v>
      </c>
      <c r="VU327" s="91">
        <f t="shared" si="1911"/>
        <v>0</v>
      </c>
      <c r="VV327" s="91">
        <f t="shared" si="1912"/>
        <v>0</v>
      </c>
      <c r="WK327" s="91">
        <f t="shared" si="1913"/>
        <v>0</v>
      </c>
      <c r="WL327" s="91">
        <f t="shared" si="1914"/>
        <v>0</v>
      </c>
      <c r="WM327" s="89"/>
      <c r="WN327" s="87">
        <f t="shared" si="1915"/>
        <v>1910940</v>
      </c>
      <c r="WO327" s="87">
        <f t="shared" si="1916"/>
        <v>7643760</v>
      </c>
      <c r="WP327" s="87">
        <f t="shared" si="1917"/>
        <v>0</v>
      </c>
      <c r="WQ327" s="87">
        <f t="shared" si="1918"/>
        <v>0</v>
      </c>
      <c r="WR327" s="87">
        <f t="shared" si="1919"/>
        <v>0</v>
      </c>
      <c r="WS327" s="87">
        <f t="shared" si="1920"/>
        <v>0</v>
      </c>
      <c r="WT327" s="87">
        <f t="shared" si="1921"/>
        <v>0</v>
      </c>
      <c r="WU327" s="87">
        <f t="shared" si="1922"/>
        <v>0</v>
      </c>
      <c r="WV327" s="87">
        <f t="shared" si="1923"/>
        <v>0</v>
      </c>
      <c r="WW327" s="87">
        <f t="shared" si="1924"/>
        <v>0</v>
      </c>
      <c r="WX327" s="87">
        <f t="shared" si="1925"/>
        <v>0</v>
      </c>
      <c r="WY327" s="87">
        <f t="shared" si="1926"/>
        <v>0</v>
      </c>
      <c r="WZ327" s="87">
        <f t="shared" si="1927"/>
        <v>0</v>
      </c>
      <c r="XA327" s="87">
        <f t="shared" si="1928"/>
        <v>0</v>
      </c>
      <c r="XB327" s="92">
        <f t="shared" si="1929"/>
        <v>1910940</v>
      </c>
      <c r="XC327" s="92">
        <f t="shared" si="1930"/>
        <v>7643760</v>
      </c>
      <c r="XD327" s="89"/>
      <c r="XE327" s="92"/>
      <c r="XF327" s="92"/>
      <c r="XG327" s="89"/>
      <c r="XH327" s="92"/>
      <c r="XI327" s="92"/>
      <c r="XJ327" s="89"/>
      <c r="XK327" s="87"/>
      <c r="XL327" s="87"/>
      <c r="XM327" s="87"/>
      <c r="XN327" s="87"/>
      <c r="XO327" s="87"/>
      <c r="XP327" s="87"/>
      <c r="XQ327" s="87"/>
      <c r="XR327" s="92">
        <f t="shared" ca="1" si="1931"/>
        <v>0</v>
      </c>
      <c r="XS327" s="89"/>
      <c r="XT327" s="87"/>
      <c r="XU327" s="87"/>
      <c r="XV327" s="87"/>
      <c r="XW327" s="87"/>
      <c r="XX327" s="87"/>
      <c r="XY327" s="87"/>
      <c r="XZ327" s="87"/>
      <c r="YA327" s="92">
        <f t="shared" ca="1" si="1932"/>
        <v>0</v>
      </c>
      <c r="YB327" s="90"/>
      <c r="YC327" s="90"/>
      <c r="YD327" s="90"/>
      <c r="YE327" s="90"/>
      <c r="YF327" s="90"/>
      <c r="YG327" s="90"/>
      <c r="YH327" s="90"/>
      <c r="YI327" s="90"/>
      <c r="YJ327" s="90"/>
      <c r="YK327" s="90"/>
      <c r="YL327" s="90"/>
      <c r="YM327" s="90"/>
      <c r="YN327" s="90"/>
      <c r="YO327" s="90"/>
      <c r="YP327" s="90"/>
      <c r="YQ327" s="90"/>
      <c r="YR327" s="90"/>
      <c r="YS327" s="90"/>
      <c r="YT327" s="90"/>
      <c r="YU327" s="90"/>
      <c r="YV327" s="90"/>
      <c r="YW327" s="90"/>
      <c r="YX327" s="90"/>
      <c r="YY327" s="90"/>
      <c r="YZ327" s="90"/>
      <c r="ZA327" s="90"/>
      <c r="ZB327" s="90"/>
      <c r="ZC327" s="90"/>
      <c r="ZD327" s="90"/>
      <c r="ZE327" s="90"/>
      <c r="ZF327" s="90"/>
      <c r="ZG327" s="90"/>
      <c r="ZH327" s="90"/>
      <c r="ZI327" s="90"/>
      <c r="ZJ327" s="90"/>
      <c r="ZK327" s="90"/>
      <c r="ZL327" s="90"/>
      <c r="ZM327" s="90"/>
      <c r="ZN327" s="90"/>
      <c r="ZO327" s="90"/>
      <c r="ZP327" s="90"/>
      <c r="ZQ327" s="90"/>
      <c r="ZR327" s="90"/>
      <c r="ZS327" s="90"/>
      <c r="ZT327" s="90"/>
      <c r="ZU327" s="90"/>
      <c r="ZV327" s="90"/>
      <c r="ZW327" s="90"/>
      <c r="ZX327" s="90"/>
      <c r="ZY327" s="90"/>
      <c r="ZZ327" s="90"/>
      <c r="AAA327" s="90"/>
      <c r="AAB327" s="90"/>
      <c r="AAC327" s="90"/>
      <c r="AAD327" s="90"/>
      <c r="AAE327" s="90"/>
      <c r="AAF327" s="90"/>
      <c r="AAG327" s="90"/>
      <c r="AAH327" s="90"/>
      <c r="AAI327" s="90"/>
      <c r="AAJ327" s="90"/>
      <c r="AAK327" s="90"/>
      <c r="AAL327" s="90"/>
      <c r="AAM327" s="90"/>
      <c r="AAN327" s="90"/>
      <c r="AAO327" s="90"/>
      <c r="AAP327" s="90"/>
      <c r="AAQ327" s="90"/>
      <c r="AAR327" s="90"/>
      <c r="AAS327" s="90"/>
      <c r="AAT327" s="90"/>
      <c r="AAU327" s="90"/>
      <c r="AAV327" s="90"/>
      <c r="AAW327" s="90"/>
      <c r="AAX327" s="90"/>
      <c r="AAY327" s="90"/>
      <c r="AAZ327" s="90"/>
      <c r="ABA327" s="90"/>
      <c r="ABB327" s="90"/>
      <c r="ABC327" s="90"/>
      <c r="ABD327" s="90"/>
      <c r="ABE327" s="90"/>
      <c r="ABF327" s="90"/>
      <c r="ABG327" s="90"/>
      <c r="ABH327" s="90"/>
      <c r="ABI327" s="90"/>
      <c r="ABJ327" s="90"/>
      <c r="ABK327" s="90"/>
      <c r="ABL327" s="90"/>
      <c r="ABM327" s="90"/>
      <c r="ABN327" s="90"/>
      <c r="ABO327" s="90"/>
      <c r="ABP327" s="90"/>
      <c r="ABQ327" s="90"/>
      <c r="ABR327" s="90"/>
      <c r="ABS327" s="90"/>
      <c r="ABT327" s="90"/>
      <c r="ABU327" s="90"/>
      <c r="ABV327" s="90"/>
      <c r="ABW327" s="90"/>
      <c r="ABX327" s="90"/>
      <c r="ABY327" s="90"/>
      <c r="ABZ327" s="90"/>
      <c r="ACA327" s="90"/>
      <c r="ACB327" s="90"/>
      <c r="ACC327" s="90"/>
      <c r="ACD327" s="90"/>
      <c r="ACE327" s="90"/>
      <c r="ACF327" s="90"/>
      <c r="ACG327" s="90"/>
      <c r="ACH327" s="90"/>
      <c r="ACI327" s="90"/>
      <c r="ACJ327" s="90"/>
      <c r="ACK327" s="90"/>
      <c r="ACL327" s="90"/>
      <c r="ACM327" s="90"/>
      <c r="ACN327" s="90"/>
      <c r="ACO327" s="90"/>
      <c r="ACP327" s="90"/>
      <c r="ACQ327" s="90"/>
      <c r="ACR327" s="90"/>
      <c r="ACS327" s="90"/>
      <c r="ACT327" s="90"/>
      <c r="ACU327" s="90"/>
      <c r="ACV327" s="90"/>
      <c r="ACW327" s="90"/>
      <c r="ACX327" s="90"/>
      <c r="ACY327" s="90"/>
      <c r="ACZ327" s="90"/>
      <c r="ADA327" s="90"/>
      <c r="ADB327" s="90"/>
      <c r="ADC327" s="90"/>
      <c r="ADD327" s="90"/>
      <c r="ADE327" s="90"/>
      <c r="ADF327" s="90"/>
      <c r="ADG327" s="90"/>
      <c r="ADH327" s="90"/>
      <c r="ADI327" s="90"/>
      <c r="ADJ327" s="90"/>
      <c r="ADK327" s="90"/>
      <c r="ADL327" s="90"/>
      <c r="ADM327" s="90"/>
      <c r="ADN327" s="90"/>
      <c r="ADO327" s="90"/>
      <c r="ADP327" s="90"/>
      <c r="ADQ327" s="90"/>
      <c r="ADR327" s="90"/>
      <c r="ADS327" s="90"/>
      <c r="ADT327" s="90"/>
      <c r="ADU327" s="90"/>
      <c r="ADV327" s="90"/>
      <c r="ADW327" s="90"/>
      <c r="ADX327" s="90"/>
      <c r="ADY327" s="90"/>
      <c r="ADZ327" s="90"/>
      <c r="AEA327" s="90"/>
      <c r="AEB327" s="90"/>
      <c r="AEC327" s="90"/>
      <c r="AED327" s="90"/>
      <c r="AEE327" s="90"/>
      <c r="AEF327" s="90"/>
      <c r="AEG327" s="90"/>
      <c r="AEH327" s="90"/>
      <c r="AEI327" s="90"/>
      <c r="AEJ327" s="90"/>
      <c r="AEK327" s="90"/>
      <c r="AEL327" s="90"/>
      <c r="AEM327" s="90"/>
      <c r="AEN327" s="90"/>
      <c r="AEO327" s="90"/>
      <c r="AEP327" s="90"/>
      <c r="AEQ327" s="90"/>
      <c r="AER327" s="90"/>
      <c r="AES327" s="90"/>
      <c r="AET327" s="90"/>
      <c r="AEU327" s="90"/>
      <c r="AEV327" s="90"/>
      <c r="AEW327" s="90"/>
      <c r="AEX327" s="90"/>
      <c r="AEY327" s="90"/>
      <c r="AEZ327" s="90"/>
      <c r="AFA327" s="90"/>
      <c r="AFB327" s="90"/>
      <c r="AFC327" s="90"/>
      <c r="AFD327" s="90"/>
      <c r="AFE327" s="90"/>
      <c r="AFF327" s="90"/>
      <c r="AFG327" s="90"/>
      <c r="AFH327" s="90"/>
      <c r="AFI327" s="90"/>
      <c r="AFJ327" s="90"/>
      <c r="AFK327" s="90"/>
      <c r="AFL327" s="90"/>
      <c r="AFM327" s="90"/>
      <c r="AFN327" s="90"/>
      <c r="AFO327" s="90"/>
      <c r="AFP327" s="90"/>
      <c r="AFQ327" s="90"/>
      <c r="AFR327" s="90"/>
      <c r="AFS327" s="90"/>
      <c r="AFT327" s="90"/>
      <c r="AFU327" s="90"/>
      <c r="AFV327" s="90"/>
      <c r="AFW327" s="90"/>
      <c r="AFX327" s="90"/>
      <c r="AFY327" s="90"/>
      <c r="AFZ327" s="90"/>
      <c r="AGA327" s="90"/>
      <c r="AGB327" s="90"/>
      <c r="AGC327" s="90"/>
      <c r="AGD327" s="90"/>
      <c r="AGE327" s="90"/>
      <c r="AGF327" s="90"/>
      <c r="AGG327" s="90"/>
      <c r="AGH327" s="90"/>
      <c r="AGI327" s="90"/>
      <c r="AGJ327" s="90"/>
      <c r="AGK327" s="90"/>
      <c r="AGL327" s="90"/>
      <c r="AGM327" s="90"/>
      <c r="AGN327" s="90"/>
      <c r="AGO327" s="90"/>
      <c r="AGP327" s="90"/>
      <c r="AGQ327" s="90"/>
      <c r="AGR327" s="90"/>
      <c r="AGS327" s="90"/>
      <c r="AGT327" s="90"/>
      <c r="AGU327" s="90"/>
      <c r="AGV327" s="90"/>
      <c r="AGW327" s="90"/>
      <c r="AGX327" s="90"/>
      <c r="AGY327" s="90"/>
      <c r="AGZ327" s="90"/>
      <c r="AHA327" s="90"/>
      <c r="AHB327" s="90"/>
      <c r="AHC327" s="90"/>
      <c r="AHD327" s="90"/>
      <c r="AHE327" s="90"/>
      <c r="AHF327" s="90"/>
      <c r="AHG327" s="90"/>
      <c r="AHH327" s="90"/>
      <c r="AHI327" s="90"/>
      <c r="AHJ327" s="90"/>
      <c r="AHK327" s="90"/>
      <c r="AHL327" s="90"/>
      <c r="AHM327" s="90"/>
      <c r="AHN327" s="90"/>
      <c r="AHO327" s="90"/>
      <c r="AHP327" s="90"/>
      <c r="AHQ327" s="90"/>
      <c r="AHR327" s="90"/>
      <c r="AHS327" s="90"/>
      <c r="AHT327" s="90"/>
      <c r="AHU327" s="90"/>
      <c r="AHV327" s="90"/>
      <c r="AHW327" s="90"/>
      <c r="AHX327" s="90"/>
      <c r="AHY327" s="90"/>
      <c r="AHZ327" s="90"/>
      <c r="AIA327" s="90"/>
      <c r="AIB327" s="90"/>
      <c r="AIC327" s="90"/>
      <c r="AID327" s="90"/>
      <c r="AIE327" s="90"/>
      <c r="AIF327" s="90"/>
      <c r="AIG327" s="90"/>
      <c r="AIH327" s="90"/>
      <c r="AII327" s="90"/>
      <c r="AIJ327" s="90"/>
      <c r="AIK327" s="90"/>
      <c r="AIL327" s="90"/>
      <c r="AIM327" s="90"/>
      <c r="AIN327" s="90"/>
      <c r="AIO327" s="90"/>
      <c r="AIP327" s="90"/>
      <c r="AIQ327" s="90"/>
      <c r="AIR327" s="90"/>
      <c r="AIS327" s="90"/>
      <c r="AIT327" s="90"/>
      <c r="AIU327" s="90"/>
      <c r="AIV327" s="90"/>
      <c r="AIW327" s="90"/>
      <c r="AIX327" s="90"/>
      <c r="AIY327" s="90"/>
      <c r="AIZ327" s="90"/>
      <c r="AJA327" s="90"/>
      <c r="AJB327" s="90"/>
      <c r="AJC327" s="90"/>
      <c r="AJD327" s="90"/>
      <c r="AJE327" s="90"/>
      <c r="AJF327" s="90"/>
      <c r="AJG327" s="90"/>
      <c r="AJH327" s="90"/>
      <c r="AJI327" s="90"/>
      <c r="AJJ327" s="90"/>
      <c r="AJK327" s="90"/>
      <c r="AJL327" s="90"/>
      <c r="AJM327" s="90"/>
      <c r="AJN327" s="90"/>
      <c r="AJO327" s="90"/>
      <c r="AJP327" s="90"/>
      <c r="AJQ327" s="90"/>
      <c r="AJR327" s="90"/>
      <c r="AJS327" s="90"/>
      <c r="AJT327" s="90"/>
      <c r="AJU327" s="90"/>
      <c r="AJV327" s="90"/>
      <c r="AJW327" s="90"/>
      <c r="AJX327" s="90"/>
      <c r="AJY327" s="90"/>
      <c r="AJZ327" s="90"/>
      <c r="AKA327" s="90"/>
      <c r="AKB327" s="90"/>
      <c r="AKC327" s="90"/>
      <c r="AKD327" s="90"/>
      <c r="AKE327" s="90"/>
      <c r="AKF327" s="90"/>
      <c r="AKG327" s="90"/>
      <c r="AKH327" s="90"/>
      <c r="AKI327" s="90"/>
      <c r="AKJ327" s="90"/>
      <c r="AKK327" s="90"/>
      <c r="AKL327" s="90"/>
      <c r="AKM327" s="90"/>
      <c r="AKN327" s="90"/>
      <c r="AKO327" s="90"/>
      <c r="AKP327" s="90"/>
      <c r="AKQ327" s="90"/>
      <c r="AKR327" s="90"/>
      <c r="AKS327" s="90"/>
      <c r="AKT327" s="90"/>
      <c r="AKU327" s="90"/>
      <c r="AKV327" s="90"/>
      <c r="AKW327" s="90"/>
      <c r="AKX327" s="90"/>
      <c r="AKY327" s="90"/>
      <c r="AKZ327" s="90"/>
      <c r="ALA327" s="90"/>
      <c r="ALB327" s="90"/>
      <c r="ALC327" s="90"/>
      <c r="ALD327" s="90"/>
      <c r="ALE327" s="90"/>
      <c r="ALF327" s="90"/>
      <c r="ALG327" s="90"/>
      <c r="ALH327" s="90"/>
      <c r="ALI327" s="90"/>
      <c r="ALJ327" s="90"/>
      <c r="ALK327" s="90"/>
      <c r="ALL327" s="90"/>
      <c r="ALM327" s="90"/>
      <c r="ALN327" s="90"/>
      <c r="ALO327" s="90"/>
      <c r="ALP327" s="90"/>
      <c r="ALQ327" s="90"/>
      <c r="ALR327" s="90"/>
      <c r="ALS327" s="90"/>
      <c r="ALT327" s="90"/>
      <c r="ALU327" s="90"/>
      <c r="ALV327" s="90"/>
      <c r="ALW327" s="90"/>
      <c r="ALX327" s="90"/>
      <c r="ALY327" s="90"/>
      <c r="ALZ327" s="90"/>
      <c r="AMA327" s="90"/>
      <c r="AMB327" s="90"/>
      <c r="AMC327" s="90"/>
    </row>
    <row r="328" spans="1:1017">
      <c r="A328" s="98" t="s">
        <v>53</v>
      </c>
      <c r="B328" s="90" t="str">
        <f t="shared" si="1838"/>
        <v>Kerapu Cantang</v>
      </c>
      <c r="C328" s="610"/>
      <c r="D328" s="610"/>
      <c r="Q328" s="91">
        <f t="shared" si="1839"/>
        <v>0</v>
      </c>
      <c r="R328" s="91">
        <f t="shared" si="1840"/>
        <v>0</v>
      </c>
      <c r="S328" s="610">
        <v>425</v>
      </c>
      <c r="T328" s="610">
        <v>36125</v>
      </c>
      <c r="U328" s="98">
        <v>3485</v>
      </c>
      <c r="V328" s="98">
        <v>296225</v>
      </c>
      <c r="AG328" s="91">
        <f t="shared" si="1841"/>
        <v>3910</v>
      </c>
      <c r="AH328" s="91">
        <f t="shared" si="1842"/>
        <v>332350</v>
      </c>
      <c r="AI328" s="610"/>
      <c r="AJ328" s="610"/>
      <c r="AW328" s="91">
        <f t="shared" si="1843"/>
        <v>0</v>
      </c>
      <c r="AX328" s="91">
        <f t="shared" si="1844"/>
        <v>0</v>
      </c>
      <c r="AY328" s="610"/>
      <c r="AZ328" s="610"/>
      <c r="BM328" s="91">
        <f t="shared" si="1845"/>
        <v>0</v>
      </c>
      <c r="BN328" s="91">
        <f t="shared" si="1846"/>
        <v>0</v>
      </c>
      <c r="BO328" s="610"/>
      <c r="BP328" s="610"/>
      <c r="CC328" s="91">
        <f t="shared" si="1847"/>
        <v>0</v>
      </c>
      <c r="CD328" s="91">
        <f t="shared" si="1848"/>
        <v>0</v>
      </c>
      <c r="CE328" s="610"/>
      <c r="CF328" s="797"/>
      <c r="CG328" s="98">
        <v>18816</v>
      </c>
      <c r="CH328" s="98">
        <v>1505272</v>
      </c>
      <c r="CS328" s="91">
        <f t="shared" si="1849"/>
        <v>18816</v>
      </c>
      <c r="CT328" s="91">
        <f t="shared" si="1850"/>
        <v>1505272</v>
      </c>
      <c r="CU328" s="610"/>
      <c r="CV328" s="610"/>
      <c r="DI328" s="91">
        <f t="shared" si="1851"/>
        <v>0</v>
      </c>
      <c r="DJ328" s="91">
        <f t="shared" si="1852"/>
        <v>0</v>
      </c>
      <c r="DK328" s="610"/>
      <c r="DL328" s="610"/>
      <c r="DY328" s="91">
        <f t="shared" si="1853"/>
        <v>0</v>
      </c>
      <c r="DZ328" s="91">
        <f t="shared" si="1854"/>
        <v>0</v>
      </c>
      <c r="EA328" s="610"/>
      <c r="EB328" s="610"/>
      <c r="EO328" s="91">
        <f t="shared" si="1855"/>
        <v>0</v>
      </c>
      <c r="EP328" s="91">
        <f t="shared" si="1856"/>
        <v>0</v>
      </c>
      <c r="EQ328" s="610"/>
      <c r="ER328" s="610"/>
      <c r="ES328" s="98">
        <v>134733</v>
      </c>
      <c r="ET328" s="98">
        <v>11452305</v>
      </c>
      <c r="FE328" s="91">
        <f t="shared" si="1857"/>
        <v>134733</v>
      </c>
      <c r="FF328" s="91">
        <f t="shared" si="1858"/>
        <v>11452305</v>
      </c>
      <c r="FG328" s="610"/>
      <c r="FH328" s="610"/>
      <c r="FU328" s="91">
        <f t="shared" si="1859"/>
        <v>0</v>
      </c>
      <c r="FV328" s="91">
        <f t="shared" si="1860"/>
        <v>0</v>
      </c>
      <c r="FW328" s="610"/>
      <c r="FX328" s="610"/>
      <c r="GK328" s="91">
        <f t="shared" si="1861"/>
        <v>0</v>
      </c>
      <c r="GL328" s="91">
        <f t="shared" si="1862"/>
        <v>0</v>
      </c>
      <c r="GM328" s="610"/>
      <c r="GN328" s="610"/>
      <c r="HA328" s="91">
        <f t="shared" si="1863"/>
        <v>0</v>
      </c>
      <c r="HB328" s="91">
        <f t="shared" si="1864"/>
        <v>0</v>
      </c>
      <c r="HC328" s="610"/>
      <c r="HD328" s="610"/>
      <c r="HQ328" s="91">
        <f t="shared" si="1865"/>
        <v>0</v>
      </c>
      <c r="HR328" s="91">
        <f t="shared" si="1866"/>
        <v>0</v>
      </c>
      <c r="HS328" s="610"/>
      <c r="HT328" s="610"/>
      <c r="IG328" s="91">
        <f t="shared" si="1867"/>
        <v>0</v>
      </c>
      <c r="IH328" s="91">
        <f t="shared" si="1868"/>
        <v>0</v>
      </c>
      <c r="II328" s="610"/>
      <c r="IJ328" s="610"/>
      <c r="IW328" s="91">
        <f t="shared" si="1869"/>
        <v>0</v>
      </c>
      <c r="IX328" s="91">
        <f t="shared" si="1870"/>
        <v>0</v>
      </c>
      <c r="IY328" s="610"/>
      <c r="IZ328" s="610"/>
      <c r="JM328" s="91">
        <f t="shared" si="1871"/>
        <v>0</v>
      </c>
      <c r="JN328" s="91">
        <f t="shared" si="1872"/>
        <v>0</v>
      </c>
      <c r="JO328" s="610"/>
      <c r="JP328" s="610"/>
      <c r="KC328" s="91">
        <f t="shared" si="1873"/>
        <v>0</v>
      </c>
      <c r="KD328" s="91">
        <f t="shared" si="1874"/>
        <v>0</v>
      </c>
      <c r="KE328" s="610"/>
      <c r="KF328" s="610"/>
      <c r="KS328" s="91">
        <f t="shared" si="1875"/>
        <v>0</v>
      </c>
      <c r="KT328" s="91">
        <f t="shared" si="1876"/>
        <v>0</v>
      </c>
      <c r="KU328" s="610"/>
      <c r="KV328" s="610"/>
      <c r="LI328" s="91">
        <f t="shared" si="1877"/>
        <v>0</v>
      </c>
      <c r="LJ328" s="91">
        <f t="shared" si="1878"/>
        <v>0</v>
      </c>
      <c r="LK328" s="610"/>
      <c r="LL328" s="610"/>
      <c r="LY328" s="91">
        <f t="shared" si="1879"/>
        <v>0</v>
      </c>
      <c r="LZ328" s="91">
        <f t="shared" si="1880"/>
        <v>0</v>
      </c>
      <c r="MA328" s="610">
        <v>27250</v>
      </c>
      <c r="MB328" s="610">
        <v>2316250</v>
      </c>
      <c r="MO328" s="91">
        <f>SUMIF($C$12:$P$12,$A$1,MA328:MN328)</f>
        <v>27250</v>
      </c>
      <c r="MP328" s="91">
        <f>SUMIF($C$12:$P$12,$A$3,MA328:MN328)</f>
        <v>2316250</v>
      </c>
      <c r="MQ328" s="610"/>
      <c r="MR328" s="610"/>
      <c r="NE328" s="91">
        <f t="shared" si="1883"/>
        <v>0</v>
      </c>
      <c r="NF328" s="91">
        <f t="shared" si="1884"/>
        <v>0</v>
      </c>
      <c r="NG328" s="610"/>
      <c r="NH328" s="610"/>
      <c r="NU328" s="91">
        <f t="shared" si="1885"/>
        <v>0</v>
      </c>
      <c r="NV328" s="91">
        <f t="shared" si="1886"/>
        <v>0</v>
      </c>
      <c r="NW328" s="610">
        <v>740</v>
      </c>
      <c r="NX328" s="610">
        <v>74000</v>
      </c>
      <c r="OK328" s="91">
        <f t="shared" si="1887"/>
        <v>740</v>
      </c>
      <c r="OL328" s="91">
        <f t="shared" si="1888"/>
        <v>74000</v>
      </c>
      <c r="PA328" s="91">
        <f t="shared" si="1889"/>
        <v>0</v>
      </c>
      <c r="PB328" s="91">
        <f t="shared" si="1890"/>
        <v>0</v>
      </c>
      <c r="PC328" s="610">
        <v>83</v>
      </c>
      <c r="PD328" s="610">
        <v>4565</v>
      </c>
      <c r="PQ328" s="91">
        <f t="shared" si="1891"/>
        <v>83</v>
      </c>
      <c r="PR328" s="91">
        <f t="shared" si="1892"/>
        <v>4565</v>
      </c>
      <c r="PS328" s="610">
        <v>570</v>
      </c>
      <c r="PT328" s="610">
        <v>62700</v>
      </c>
      <c r="PU328" s="98">
        <v>6120</v>
      </c>
      <c r="PV328" s="98">
        <v>612000</v>
      </c>
      <c r="QG328" s="91">
        <f t="shared" si="1893"/>
        <v>6690</v>
      </c>
      <c r="QH328" s="91">
        <f t="shared" si="1894"/>
        <v>674700</v>
      </c>
      <c r="QI328" s="610"/>
      <c r="QJ328" s="610"/>
      <c r="QW328" s="91">
        <f t="shared" si="1895"/>
        <v>0</v>
      </c>
      <c r="QX328" s="91">
        <f t="shared" si="1896"/>
        <v>0</v>
      </c>
      <c r="QY328" s="610"/>
      <c r="QZ328" s="610"/>
      <c r="RM328" s="91">
        <f t="shared" si="1897"/>
        <v>0</v>
      </c>
      <c r="RN328" s="91">
        <f t="shared" si="1898"/>
        <v>0</v>
      </c>
      <c r="RO328" s="610"/>
      <c r="RP328" s="610"/>
      <c r="SC328" s="91">
        <f t="shared" si="1899"/>
        <v>0</v>
      </c>
      <c r="SD328" s="91">
        <f t="shared" si="1900"/>
        <v>0</v>
      </c>
      <c r="SE328" s="610"/>
      <c r="SF328" s="610"/>
      <c r="SS328" s="91">
        <f t="shared" si="1901"/>
        <v>0</v>
      </c>
      <c r="ST328" s="91">
        <f t="shared" si="1902"/>
        <v>0</v>
      </c>
      <c r="SU328" s="610"/>
      <c r="SV328" s="610"/>
      <c r="TI328" s="91">
        <f t="shared" si="1903"/>
        <v>0</v>
      </c>
      <c r="TJ328" s="91">
        <f t="shared" si="1904"/>
        <v>0</v>
      </c>
      <c r="TK328" s="610"/>
      <c r="TL328" s="610"/>
      <c r="TY328" s="91">
        <f t="shared" si="1905"/>
        <v>0</v>
      </c>
      <c r="TZ328" s="91">
        <f t="shared" si="1906"/>
        <v>0</v>
      </c>
      <c r="UA328" s="610"/>
      <c r="UB328" s="610"/>
      <c r="UO328" s="91">
        <f t="shared" si="1907"/>
        <v>0</v>
      </c>
      <c r="UP328" s="91">
        <f t="shared" si="1908"/>
        <v>0</v>
      </c>
      <c r="UQ328" s="610"/>
      <c r="UR328" s="610"/>
      <c r="VE328" s="91">
        <f t="shared" si="1909"/>
        <v>0</v>
      </c>
      <c r="VF328" s="91">
        <f t="shared" si="1910"/>
        <v>0</v>
      </c>
      <c r="VG328" s="610"/>
      <c r="VH328" s="610"/>
      <c r="VU328" s="91">
        <f t="shared" si="1911"/>
        <v>0</v>
      </c>
      <c r="VV328" s="91">
        <f t="shared" si="1912"/>
        <v>0</v>
      </c>
      <c r="VW328" s="610"/>
      <c r="VX328" s="610"/>
      <c r="WK328" s="91">
        <f t="shared" si="1913"/>
        <v>0</v>
      </c>
      <c r="WL328" s="91">
        <f t="shared" si="1914"/>
        <v>0</v>
      </c>
      <c r="WM328" s="89"/>
      <c r="WN328" s="87">
        <f t="shared" si="1915"/>
        <v>29068</v>
      </c>
      <c r="WO328" s="87">
        <f t="shared" si="1916"/>
        <v>2493640</v>
      </c>
      <c r="WP328" s="87">
        <f t="shared" si="1917"/>
        <v>163154</v>
      </c>
      <c r="WQ328" s="87">
        <f t="shared" si="1918"/>
        <v>13865802</v>
      </c>
      <c r="WR328" s="87">
        <f t="shared" si="1919"/>
        <v>0</v>
      </c>
      <c r="WS328" s="87">
        <f t="shared" si="1920"/>
        <v>0</v>
      </c>
      <c r="WT328" s="87">
        <f t="shared" si="1921"/>
        <v>0</v>
      </c>
      <c r="WU328" s="87">
        <f t="shared" si="1922"/>
        <v>0</v>
      </c>
      <c r="WV328" s="87">
        <f t="shared" si="1923"/>
        <v>0</v>
      </c>
      <c r="WW328" s="87">
        <f t="shared" si="1924"/>
        <v>0</v>
      </c>
      <c r="WX328" s="87">
        <f t="shared" si="1925"/>
        <v>0</v>
      </c>
      <c r="WY328" s="87">
        <f t="shared" si="1926"/>
        <v>0</v>
      </c>
      <c r="WZ328" s="87">
        <f t="shared" si="1927"/>
        <v>0</v>
      </c>
      <c r="XA328" s="87">
        <f t="shared" si="1928"/>
        <v>0</v>
      </c>
      <c r="XB328" s="92">
        <f t="shared" si="1929"/>
        <v>192222</v>
      </c>
      <c r="XC328" s="92">
        <f t="shared" si="1930"/>
        <v>16359442</v>
      </c>
      <c r="XD328" s="89"/>
      <c r="XE328" s="92"/>
      <c r="XF328" s="92"/>
      <c r="XG328" s="89"/>
      <c r="XH328" s="92"/>
      <c r="XI328" s="92"/>
      <c r="XJ328" s="89"/>
      <c r="XK328" s="87"/>
      <c r="XL328" s="87"/>
      <c r="XM328" s="87"/>
      <c r="XN328" s="87"/>
      <c r="XO328" s="87"/>
      <c r="XP328" s="87"/>
      <c r="XQ328" s="87"/>
      <c r="XR328" s="92">
        <f t="shared" ca="1" si="1931"/>
        <v>0</v>
      </c>
      <c r="XS328" s="89"/>
      <c r="XT328" s="87"/>
      <c r="XU328" s="87"/>
      <c r="XV328" s="87"/>
      <c r="XW328" s="87"/>
      <c r="XX328" s="87"/>
      <c r="XY328" s="87"/>
      <c r="XZ328" s="87"/>
      <c r="YA328" s="92">
        <f t="shared" ca="1" si="1932"/>
        <v>0</v>
      </c>
      <c r="YB328" s="90"/>
      <c r="YC328" s="90"/>
      <c r="YD328" s="90"/>
      <c r="YE328" s="90"/>
      <c r="YF328" s="90"/>
      <c r="YG328" s="90"/>
      <c r="YH328" s="90"/>
      <c r="YI328" s="90"/>
      <c r="YJ328" s="90"/>
      <c r="YK328" s="90"/>
      <c r="YL328" s="90"/>
      <c r="YM328" s="90"/>
      <c r="YN328" s="90"/>
      <c r="YO328" s="90"/>
      <c r="YP328" s="90"/>
      <c r="YQ328" s="90"/>
      <c r="YR328" s="90"/>
      <c r="YS328" s="90"/>
      <c r="YT328" s="90"/>
      <c r="YU328" s="90"/>
      <c r="YV328" s="90"/>
      <c r="YW328" s="90"/>
      <c r="YX328" s="90"/>
      <c r="YY328" s="90"/>
      <c r="YZ328" s="90"/>
      <c r="ZA328" s="90"/>
      <c r="ZB328" s="90"/>
      <c r="ZC328" s="90"/>
      <c r="ZD328" s="90"/>
      <c r="ZE328" s="90"/>
      <c r="ZF328" s="90"/>
      <c r="ZG328" s="90"/>
      <c r="ZH328" s="90"/>
      <c r="ZI328" s="90"/>
      <c r="ZJ328" s="90"/>
      <c r="ZK328" s="90"/>
      <c r="ZL328" s="90"/>
      <c r="ZM328" s="90"/>
      <c r="ZN328" s="90"/>
      <c r="ZO328" s="90"/>
      <c r="ZP328" s="90"/>
      <c r="ZQ328" s="90"/>
      <c r="ZR328" s="90"/>
      <c r="ZS328" s="90"/>
      <c r="ZT328" s="90"/>
      <c r="ZU328" s="90"/>
      <c r="ZV328" s="90"/>
      <c r="ZW328" s="90"/>
      <c r="ZX328" s="90"/>
      <c r="ZY328" s="90"/>
      <c r="ZZ328" s="90"/>
      <c r="AAA328" s="90"/>
      <c r="AAB328" s="90"/>
      <c r="AAC328" s="90"/>
      <c r="AAD328" s="90"/>
      <c r="AAE328" s="90"/>
      <c r="AAF328" s="90"/>
      <c r="AAG328" s="90"/>
      <c r="AAH328" s="90"/>
      <c r="AAI328" s="90"/>
      <c r="AAJ328" s="90"/>
      <c r="AAK328" s="90"/>
      <c r="AAL328" s="90"/>
      <c r="AAM328" s="90"/>
      <c r="AAN328" s="90"/>
      <c r="AAO328" s="90"/>
      <c r="AAP328" s="90"/>
      <c r="AAQ328" s="90"/>
      <c r="AAR328" s="90"/>
      <c r="AAS328" s="90"/>
      <c r="AAT328" s="90"/>
      <c r="AAU328" s="90"/>
      <c r="AAV328" s="90"/>
      <c r="AAW328" s="90"/>
      <c r="AAX328" s="90"/>
      <c r="AAY328" s="90"/>
      <c r="AAZ328" s="90"/>
      <c r="ABA328" s="90"/>
      <c r="ABB328" s="90"/>
      <c r="ABC328" s="90"/>
      <c r="ABD328" s="90"/>
      <c r="ABE328" s="90"/>
      <c r="ABF328" s="90"/>
      <c r="ABG328" s="90"/>
      <c r="ABH328" s="90"/>
      <c r="ABI328" s="90"/>
      <c r="ABJ328" s="90"/>
      <c r="ABK328" s="90"/>
      <c r="ABL328" s="90"/>
      <c r="ABM328" s="90"/>
      <c r="ABN328" s="90"/>
      <c r="ABO328" s="90"/>
      <c r="ABP328" s="90"/>
      <c r="ABQ328" s="90"/>
      <c r="ABR328" s="90"/>
      <c r="ABS328" s="90"/>
      <c r="ABT328" s="90"/>
      <c r="ABU328" s="90"/>
      <c r="ABV328" s="90"/>
      <c r="ABW328" s="90"/>
      <c r="ABX328" s="90"/>
      <c r="ABY328" s="90"/>
      <c r="ABZ328" s="90"/>
      <c r="ACA328" s="90"/>
      <c r="ACB328" s="90"/>
      <c r="ACC328" s="90"/>
      <c r="ACD328" s="90"/>
      <c r="ACE328" s="90"/>
      <c r="ACF328" s="90"/>
      <c r="ACG328" s="90"/>
      <c r="ACH328" s="90"/>
      <c r="ACI328" s="90"/>
      <c r="ACJ328" s="90"/>
      <c r="ACK328" s="90"/>
      <c r="ACL328" s="90"/>
      <c r="ACM328" s="90"/>
      <c r="ACN328" s="90"/>
      <c r="ACO328" s="90"/>
      <c r="ACP328" s="90"/>
      <c r="ACQ328" s="90"/>
      <c r="ACR328" s="90"/>
      <c r="ACS328" s="90"/>
      <c r="ACT328" s="90"/>
      <c r="ACU328" s="90"/>
      <c r="ACV328" s="90"/>
      <c r="ACW328" s="90"/>
      <c r="ACX328" s="90"/>
      <c r="ACY328" s="90"/>
      <c r="ACZ328" s="90"/>
      <c r="ADA328" s="90"/>
      <c r="ADB328" s="90"/>
      <c r="ADC328" s="90"/>
      <c r="ADD328" s="90"/>
      <c r="ADE328" s="90"/>
      <c r="ADF328" s="90"/>
      <c r="ADG328" s="90"/>
      <c r="ADH328" s="90"/>
      <c r="ADI328" s="90"/>
      <c r="ADJ328" s="90"/>
      <c r="ADK328" s="90"/>
      <c r="ADL328" s="90"/>
      <c r="ADM328" s="90"/>
      <c r="ADN328" s="90"/>
      <c r="ADO328" s="90"/>
      <c r="ADP328" s="90"/>
      <c r="ADQ328" s="90"/>
      <c r="ADR328" s="90"/>
      <c r="ADS328" s="90"/>
      <c r="ADT328" s="90"/>
      <c r="ADU328" s="90"/>
      <c r="ADV328" s="90"/>
      <c r="ADW328" s="90"/>
      <c r="ADX328" s="90"/>
      <c r="ADY328" s="90"/>
      <c r="ADZ328" s="90"/>
      <c r="AEA328" s="90"/>
      <c r="AEB328" s="90"/>
      <c r="AEC328" s="90"/>
      <c r="AED328" s="90"/>
      <c r="AEE328" s="90"/>
      <c r="AEF328" s="90"/>
      <c r="AEG328" s="90"/>
      <c r="AEH328" s="90"/>
      <c r="AEI328" s="90"/>
      <c r="AEJ328" s="90"/>
      <c r="AEK328" s="90"/>
      <c r="AEL328" s="90"/>
      <c r="AEM328" s="90"/>
      <c r="AEN328" s="90"/>
      <c r="AEO328" s="90"/>
      <c r="AEP328" s="90"/>
      <c r="AEQ328" s="90"/>
      <c r="AER328" s="90"/>
      <c r="AES328" s="90"/>
      <c r="AET328" s="90"/>
      <c r="AEU328" s="90"/>
      <c r="AEV328" s="90"/>
      <c r="AEW328" s="90"/>
      <c r="AEX328" s="90"/>
      <c r="AEY328" s="90"/>
      <c r="AEZ328" s="90"/>
      <c r="AFA328" s="90"/>
      <c r="AFB328" s="90"/>
      <c r="AFC328" s="90"/>
      <c r="AFD328" s="90"/>
      <c r="AFE328" s="90"/>
      <c r="AFF328" s="90"/>
      <c r="AFG328" s="90"/>
      <c r="AFH328" s="90"/>
      <c r="AFI328" s="90"/>
      <c r="AFJ328" s="90"/>
      <c r="AFK328" s="90"/>
      <c r="AFL328" s="90"/>
      <c r="AFM328" s="90"/>
      <c r="AFN328" s="90"/>
      <c r="AFO328" s="90"/>
      <c r="AFP328" s="90"/>
      <c r="AFQ328" s="90"/>
      <c r="AFR328" s="90"/>
      <c r="AFS328" s="90"/>
      <c r="AFT328" s="90"/>
      <c r="AFU328" s="90"/>
      <c r="AFV328" s="90"/>
      <c r="AFW328" s="90"/>
      <c r="AFX328" s="90"/>
      <c r="AFY328" s="90"/>
      <c r="AFZ328" s="90"/>
      <c r="AGA328" s="90"/>
      <c r="AGB328" s="90"/>
      <c r="AGC328" s="90"/>
      <c r="AGD328" s="90"/>
      <c r="AGE328" s="90"/>
      <c r="AGF328" s="90"/>
      <c r="AGG328" s="90"/>
      <c r="AGH328" s="90"/>
      <c r="AGI328" s="90"/>
      <c r="AGJ328" s="90"/>
      <c r="AGK328" s="90"/>
      <c r="AGL328" s="90"/>
      <c r="AGM328" s="90"/>
      <c r="AGN328" s="90"/>
      <c r="AGO328" s="90"/>
      <c r="AGP328" s="90"/>
      <c r="AGQ328" s="90"/>
      <c r="AGR328" s="90"/>
      <c r="AGS328" s="90"/>
      <c r="AGT328" s="90"/>
      <c r="AGU328" s="90"/>
      <c r="AGV328" s="90"/>
      <c r="AGW328" s="90"/>
      <c r="AGX328" s="90"/>
      <c r="AGY328" s="90"/>
      <c r="AGZ328" s="90"/>
      <c r="AHA328" s="90"/>
      <c r="AHB328" s="90"/>
      <c r="AHC328" s="90"/>
      <c r="AHD328" s="90"/>
      <c r="AHE328" s="90"/>
      <c r="AHF328" s="90"/>
      <c r="AHG328" s="90"/>
      <c r="AHH328" s="90"/>
      <c r="AHI328" s="90"/>
      <c r="AHJ328" s="90"/>
      <c r="AHK328" s="90"/>
      <c r="AHL328" s="90"/>
      <c r="AHM328" s="90"/>
      <c r="AHN328" s="90"/>
      <c r="AHO328" s="90"/>
      <c r="AHP328" s="90"/>
      <c r="AHQ328" s="90"/>
      <c r="AHR328" s="90"/>
      <c r="AHS328" s="90"/>
      <c r="AHT328" s="90"/>
      <c r="AHU328" s="90"/>
      <c r="AHV328" s="90"/>
      <c r="AHW328" s="90"/>
      <c r="AHX328" s="90"/>
      <c r="AHY328" s="90"/>
      <c r="AHZ328" s="90"/>
      <c r="AIA328" s="90"/>
      <c r="AIB328" s="90"/>
      <c r="AIC328" s="90"/>
      <c r="AID328" s="90"/>
      <c r="AIE328" s="90"/>
      <c r="AIF328" s="90"/>
      <c r="AIG328" s="90"/>
      <c r="AIH328" s="90"/>
      <c r="AII328" s="90"/>
      <c r="AIJ328" s="90"/>
      <c r="AIK328" s="90"/>
      <c r="AIL328" s="90"/>
      <c r="AIM328" s="90"/>
      <c r="AIN328" s="90"/>
      <c r="AIO328" s="90"/>
      <c r="AIP328" s="90"/>
      <c r="AIQ328" s="90"/>
      <c r="AIR328" s="90"/>
      <c r="AIS328" s="90"/>
      <c r="AIT328" s="90"/>
      <c r="AIU328" s="90"/>
      <c r="AIV328" s="90"/>
      <c r="AIW328" s="90"/>
      <c r="AIX328" s="90"/>
      <c r="AIY328" s="90"/>
      <c r="AIZ328" s="90"/>
      <c r="AJA328" s="90"/>
      <c r="AJB328" s="90"/>
      <c r="AJC328" s="90"/>
      <c r="AJD328" s="90"/>
      <c r="AJE328" s="90"/>
      <c r="AJF328" s="90"/>
      <c r="AJG328" s="90"/>
      <c r="AJH328" s="90"/>
      <c r="AJI328" s="90"/>
      <c r="AJJ328" s="90"/>
      <c r="AJK328" s="90"/>
      <c r="AJL328" s="90"/>
      <c r="AJM328" s="90"/>
      <c r="AJN328" s="90"/>
      <c r="AJO328" s="90"/>
      <c r="AJP328" s="90"/>
      <c r="AJQ328" s="90"/>
      <c r="AJR328" s="90"/>
      <c r="AJS328" s="90"/>
      <c r="AJT328" s="90"/>
      <c r="AJU328" s="90"/>
      <c r="AJV328" s="90"/>
      <c r="AJW328" s="90"/>
      <c r="AJX328" s="90"/>
      <c r="AJY328" s="90"/>
      <c r="AJZ328" s="90"/>
      <c r="AKA328" s="90"/>
      <c r="AKB328" s="90"/>
      <c r="AKC328" s="90"/>
      <c r="AKD328" s="90"/>
      <c r="AKE328" s="90"/>
      <c r="AKF328" s="90"/>
      <c r="AKG328" s="90"/>
      <c r="AKH328" s="90"/>
      <c r="AKI328" s="90"/>
      <c r="AKJ328" s="90"/>
      <c r="AKK328" s="90"/>
      <c r="AKL328" s="90"/>
      <c r="AKM328" s="90"/>
      <c r="AKN328" s="90"/>
      <c r="AKO328" s="90"/>
      <c r="AKP328" s="90"/>
      <c r="AKQ328" s="90"/>
      <c r="AKR328" s="90"/>
      <c r="AKS328" s="90"/>
      <c r="AKT328" s="90"/>
      <c r="AKU328" s="90"/>
      <c r="AKV328" s="90"/>
      <c r="AKW328" s="90"/>
      <c r="AKX328" s="90"/>
      <c r="AKY328" s="90"/>
      <c r="AKZ328" s="90"/>
      <c r="ALA328" s="90"/>
      <c r="ALB328" s="90"/>
      <c r="ALC328" s="90"/>
      <c r="ALD328" s="90"/>
      <c r="ALE328" s="90"/>
      <c r="ALF328" s="90"/>
      <c r="ALG328" s="90"/>
      <c r="ALH328" s="90"/>
      <c r="ALI328" s="90"/>
      <c r="ALJ328" s="90"/>
      <c r="ALK328" s="90"/>
      <c r="ALL328" s="90"/>
      <c r="ALM328" s="90"/>
      <c r="ALN328" s="90"/>
      <c r="ALO328" s="90"/>
      <c r="ALP328" s="90"/>
      <c r="ALQ328" s="90"/>
      <c r="ALR328" s="90"/>
      <c r="ALS328" s="90"/>
      <c r="ALT328" s="90"/>
      <c r="ALU328" s="90"/>
      <c r="ALV328" s="90"/>
      <c r="ALW328" s="90"/>
      <c r="ALX328" s="90"/>
      <c r="ALY328" s="90"/>
      <c r="ALZ328" s="90"/>
      <c r="AMA328" s="90"/>
      <c r="AMB328" s="90"/>
      <c r="AMC328" s="90"/>
    </row>
    <row r="329" spans="1:1017">
      <c r="A329" s="98" t="s">
        <v>53</v>
      </c>
      <c r="B329" s="90" t="str">
        <f t="shared" si="1838"/>
        <v>Kerapu Macan</v>
      </c>
      <c r="C329" s="610"/>
      <c r="D329" s="610"/>
      <c r="Q329" s="91">
        <f t="shared" si="1839"/>
        <v>0</v>
      </c>
      <c r="R329" s="91">
        <f t="shared" si="1840"/>
        <v>0</v>
      </c>
      <c r="S329" s="610"/>
      <c r="T329" s="610"/>
      <c r="AG329" s="91">
        <f t="shared" si="1841"/>
        <v>0</v>
      </c>
      <c r="AH329" s="91">
        <f t="shared" si="1842"/>
        <v>0</v>
      </c>
      <c r="AI329" s="610"/>
      <c r="AJ329" s="610"/>
      <c r="AW329" s="91">
        <f t="shared" si="1843"/>
        <v>0</v>
      </c>
      <c r="AX329" s="91">
        <f t="shared" si="1844"/>
        <v>0</v>
      </c>
      <c r="AY329" s="610"/>
      <c r="AZ329" s="610"/>
      <c r="BM329" s="91">
        <f t="shared" si="1845"/>
        <v>0</v>
      </c>
      <c r="BN329" s="91">
        <f t="shared" si="1846"/>
        <v>0</v>
      </c>
      <c r="BO329" s="610"/>
      <c r="BP329" s="610"/>
      <c r="CC329" s="91">
        <f t="shared" si="1847"/>
        <v>0</v>
      </c>
      <c r="CD329" s="91">
        <f t="shared" si="1848"/>
        <v>0</v>
      </c>
      <c r="CE329" s="610"/>
      <c r="CF329" s="797"/>
      <c r="CS329" s="91">
        <f t="shared" si="1849"/>
        <v>0</v>
      </c>
      <c r="CT329" s="91">
        <f t="shared" si="1850"/>
        <v>0</v>
      </c>
      <c r="CU329" s="610"/>
      <c r="CV329" s="610"/>
      <c r="DI329" s="91">
        <f t="shared" si="1851"/>
        <v>0</v>
      </c>
      <c r="DJ329" s="91">
        <f t="shared" si="1852"/>
        <v>0</v>
      </c>
      <c r="DK329" s="610"/>
      <c r="DL329" s="610"/>
      <c r="DY329" s="91">
        <f t="shared" si="1853"/>
        <v>0</v>
      </c>
      <c r="DZ329" s="91">
        <f t="shared" si="1854"/>
        <v>0</v>
      </c>
      <c r="EA329" s="610"/>
      <c r="EB329" s="610"/>
      <c r="EO329" s="91">
        <f t="shared" si="1855"/>
        <v>0</v>
      </c>
      <c r="EP329" s="91">
        <f t="shared" si="1856"/>
        <v>0</v>
      </c>
      <c r="EQ329" s="610"/>
      <c r="ER329" s="610"/>
      <c r="FE329" s="91">
        <f t="shared" si="1857"/>
        <v>0</v>
      </c>
      <c r="FF329" s="91">
        <f t="shared" si="1858"/>
        <v>0</v>
      </c>
      <c r="FG329" s="610"/>
      <c r="FH329" s="610"/>
      <c r="FU329" s="91">
        <f t="shared" si="1859"/>
        <v>0</v>
      </c>
      <c r="FV329" s="91">
        <f t="shared" si="1860"/>
        <v>0</v>
      </c>
      <c r="FW329" s="610"/>
      <c r="FX329" s="610"/>
      <c r="GK329" s="91">
        <f t="shared" si="1861"/>
        <v>0</v>
      </c>
      <c r="GL329" s="91">
        <f t="shared" si="1862"/>
        <v>0</v>
      </c>
      <c r="GM329" s="610"/>
      <c r="GN329" s="610"/>
      <c r="HA329" s="91">
        <f t="shared" si="1863"/>
        <v>0</v>
      </c>
      <c r="HB329" s="91">
        <f t="shared" si="1864"/>
        <v>0</v>
      </c>
      <c r="HC329" s="610"/>
      <c r="HD329" s="610"/>
      <c r="HQ329" s="91">
        <f t="shared" si="1865"/>
        <v>0</v>
      </c>
      <c r="HR329" s="91">
        <f t="shared" si="1866"/>
        <v>0</v>
      </c>
      <c r="HS329" s="610"/>
      <c r="HT329" s="610"/>
      <c r="IG329" s="91">
        <f t="shared" si="1867"/>
        <v>0</v>
      </c>
      <c r="IH329" s="91">
        <f t="shared" si="1868"/>
        <v>0</v>
      </c>
      <c r="II329" s="610"/>
      <c r="IJ329" s="610"/>
      <c r="IW329" s="91">
        <f t="shared" si="1869"/>
        <v>0</v>
      </c>
      <c r="IX329" s="91">
        <f t="shared" si="1870"/>
        <v>0</v>
      </c>
      <c r="IY329" s="610"/>
      <c r="IZ329" s="610"/>
      <c r="JM329" s="91">
        <f t="shared" si="1871"/>
        <v>0</v>
      </c>
      <c r="JN329" s="91">
        <f t="shared" si="1872"/>
        <v>0</v>
      </c>
      <c r="JO329" s="610"/>
      <c r="JP329" s="610"/>
      <c r="KC329" s="91">
        <f t="shared" si="1873"/>
        <v>0</v>
      </c>
      <c r="KD329" s="91">
        <f t="shared" si="1874"/>
        <v>0</v>
      </c>
      <c r="KE329" s="610"/>
      <c r="KF329" s="610"/>
      <c r="KS329" s="91">
        <f t="shared" si="1875"/>
        <v>0</v>
      </c>
      <c r="KT329" s="91">
        <f t="shared" si="1876"/>
        <v>0</v>
      </c>
      <c r="KU329" s="610"/>
      <c r="KV329" s="610"/>
      <c r="LI329" s="91">
        <f t="shared" si="1877"/>
        <v>0</v>
      </c>
      <c r="LJ329" s="91">
        <f t="shared" si="1878"/>
        <v>0</v>
      </c>
      <c r="LK329" s="610"/>
      <c r="LL329" s="610"/>
      <c r="LY329" s="91">
        <f t="shared" si="1879"/>
        <v>0</v>
      </c>
      <c r="LZ329" s="91">
        <f t="shared" si="1880"/>
        <v>0</v>
      </c>
      <c r="MO329" s="91">
        <f t="shared" si="1881"/>
        <v>0</v>
      </c>
      <c r="MP329" s="91">
        <f t="shared" si="1882"/>
        <v>0</v>
      </c>
      <c r="MQ329" s="610"/>
      <c r="MR329" s="610"/>
      <c r="NE329" s="91">
        <f t="shared" si="1883"/>
        <v>0</v>
      </c>
      <c r="NF329" s="91">
        <f t="shared" si="1884"/>
        <v>0</v>
      </c>
      <c r="NG329" s="610"/>
      <c r="NH329" s="610"/>
      <c r="NU329" s="91">
        <f t="shared" si="1885"/>
        <v>0</v>
      </c>
      <c r="NV329" s="91">
        <f t="shared" si="1886"/>
        <v>0</v>
      </c>
      <c r="NW329" s="610"/>
      <c r="NX329" s="610"/>
      <c r="OK329" s="91">
        <f t="shared" si="1887"/>
        <v>0</v>
      </c>
      <c r="OL329" s="91">
        <f t="shared" si="1888"/>
        <v>0</v>
      </c>
      <c r="OM329" s="610">
        <v>30971</v>
      </c>
      <c r="ON329" s="610">
        <v>6194200</v>
      </c>
      <c r="PA329" s="91">
        <f>SUMIF($C$12:$P$12,$A$1,OM329:OZ329)</f>
        <v>30971</v>
      </c>
      <c r="PB329" s="91">
        <f>SUMIF($C$12:$P$12,$A$3,OM329:OZ329)</f>
        <v>6194200</v>
      </c>
      <c r="PC329" s="610"/>
      <c r="PD329" s="610"/>
      <c r="PQ329" s="91">
        <f t="shared" si="1891"/>
        <v>0</v>
      </c>
      <c r="PR329" s="91">
        <f t="shared" si="1892"/>
        <v>0</v>
      </c>
      <c r="PS329" s="610"/>
      <c r="PT329" s="610"/>
      <c r="QG329" s="91">
        <f t="shared" si="1893"/>
        <v>0</v>
      </c>
      <c r="QH329" s="91">
        <f t="shared" si="1894"/>
        <v>0</v>
      </c>
      <c r="QI329" s="610"/>
      <c r="QJ329" s="610"/>
      <c r="QW329" s="91">
        <f t="shared" si="1895"/>
        <v>0</v>
      </c>
      <c r="QX329" s="91">
        <f t="shared" si="1896"/>
        <v>0</v>
      </c>
      <c r="QY329" s="610"/>
      <c r="QZ329" s="610"/>
      <c r="RM329" s="91">
        <f t="shared" si="1897"/>
        <v>0</v>
      </c>
      <c r="RN329" s="91">
        <f t="shared" si="1898"/>
        <v>0</v>
      </c>
      <c r="RO329" s="610"/>
      <c r="RP329" s="610"/>
      <c r="SC329" s="91">
        <f t="shared" si="1899"/>
        <v>0</v>
      </c>
      <c r="SD329" s="91">
        <f t="shared" si="1900"/>
        <v>0</v>
      </c>
      <c r="SE329" s="610"/>
      <c r="SF329" s="610"/>
      <c r="SS329" s="91">
        <f t="shared" si="1901"/>
        <v>0</v>
      </c>
      <c r="ST329" s="91">
        <f t="shared" si="1902"/>
        <v>0</v>
      </c>
      <c r="SU329" s="610"/>
      <c r="SV329" s="610"/>
      <c r="TI329" s="91">
        <f t="shared" si="1903"/>
        <v>0</v>
      </c>
      <c r="TJ329" s="91">
        <f t="shared" si="1904"/>
        <v>0</v>
      </c>
      <c r="TK329" s="610"/>
      <c r="TL329" s="610"/>
      <c r="TY329" s="91">
        <f t="shared" si="1905"/>
        <v>0</v>
      </c>
      <c r="TZ329" s="91">
        <f t="shared" si="1906"/>
        <v>0</v>
      </c>
      <c r="UA329" s="610"/>
      <c r="UB329" s="610"/>
      <c r="UO329" s="91">
        <f t="shared" si="1907"/>
        <v>0</v>
      </c>
      <c r="UP329" s="91">
        <f t="shared" si="1908"/>
        <v>0</v>
      </c>
      <c r="UQ329" s="610"/>
      <c r="UR329" s="610"/>
      <c r="VE329" s="91">
        <f t="shared" si="1909"/>
        <v>0</v>
      </c>
      <c r="VF329" s="91">
        <f t="shared" si="1910"/>
        <v>0</v>
      </c>
      <c r="VG329" s="610"/>
      <c r="VH329" s="610"/>
      <c r="VU329" s="91">
        <f t="shared" si="1911"/>
        <v>0</v>
      </c>
      <c r="VV329" s="91">
        <f t="shared" si="1912"/>
        <v>0</v>
      </c>
      <c r="VW329" s="610"/>
      <c r="VX329" s="610"/>
      <c r="WK329" s="91">
        <f t="shared" si="1913"/>
        <v>0</v>
      </c>
      <c r="WL329" s="91">
        <f t="shared" si="1914"/>
        <v>0</v>
      </c>
      <c r="WM329" s="89"/>
      <c r="WN329" s="87">
        <f t="shared" si="1915"/>
        <v>30971</v>
      </c>
      <c r="WO329" s="87">
        <f t="shared" si="1916"/>
        <v>6194200</v>
      </c>
      <c r="WP329" s="87">
        <f t="shared" si="1917"/>
        <v>0</v>
      </c>
      <c r="WQ329" s="87">
        <f t="shared" si="1918"/>
        <v>0</v>
      </c>
      <c r="WR329" s="87">
        <f t="shared" si="1919"/>
        <v>0</v>
      </c>
      <c r="WS329" s="87">
        <f t="shared" si="1920"/>
        <v>0</v>
      </c>
      <c r="WT329" s="87">
        <f t="shared" si="1921"/>
        <v>0</v>
      </c>
      <c r="WU329" s="87">
        <f t="shared" si="1922"/>
        <v>0</v>
      </c>
      <c r="WV329" s="87">
        <f t="shared" si="1923"/>
        <v>0</v>
      </c>
      <c r="WW329" s="87">
        <f t="shared" si="1924"/>
        <v>0</v>
      </c>
      <c r="WX329" s="87">
        <f t="shared" si="1925"/>
        <v>0</v>
      </c>
      <c r="WY329" s="87">
        <f t="shared" si="1926"/>
        <v>0</v>
      </c>
      <c r="WZ329" s="87">
        <f t="shared" si="1927"/>
        <v>0</v>
      </c>
      <c r="XA329" s="87">
        <f t="shared" si="1928"/>
        <v>0</v>
      </c>
      <c r="XB329" s="92">
        <f t="shared" si="1929"/>
        <v>30971</v>
      </c>
      <c r="XC329" s="92">
        <f t="shared" si="1930"/>
        <v>6194200</v>
      </c>
      <c r="XD329" s="89"/>
      <c r="XE329" s="92"/>
      <c r="XF329" s="92"/>
      <c r="XG329" s="89"/>
      <c r="XH329" s="92"/>
      <c r="XI329" s="92"/>
      <c r="XJ329" s="89"/>
      <c r="XK329" s="87"/>
      <c r="XL329" s="87"/>
      <c r="XM329" s="87"/>
      <c r="XN329" s="87"/>
      <c r="XO329" s="87"/>
      <c r="XP329" s="87"/>
      <c r="XQ329" s="87"/>
      <c r="XR329" s="92">
        <f t="shared" ca="1" si="1931"/>
        <v>0</v>
      </c>
      <c r="XS329" s="89"/>
      <c r="XT329" s="87"/>
      <c r="XU329" s="87"/>
      <c r="XV329" s="87"/>
      <c r="XW329" s="87"/>
      <c r="XX329" s="87"/>
      <c r="XY329" s="87"/>
      <c r="XZ329" s="87"/>
      <c r="YA329" s="92">
        <f t="shared" ca="1" si="1932"/>
        <v>0</v>
      </c>
      <c r="YB329" s="90"/>
      <c r="YC329" s="90"/>
      <c r="YD329" s="90"/>
      <c r="YE329" s="90"/>
      <c r="YF329" s="90"/>
      <c r="YG329" s="90"/>
      <c r="YH329" s="90"/>
      <c r="YI329" s="90"/>
      <c r="YJ329" s="90"/>
      <c r="YK329" s="90"/>
      <c r="YL329" s="90"/>
      <c r="YM329" s="90"/>
      <c r="YN329" s="90"/>
      <c r="YO329" s="90"/>
      <c r="YP329" s="90"/>
      <c r="YQ329" s="90"/>
      <c r="YR329" s="90"/>
      <c r="YS329" s="90"/>
      <c r="YT329" s="90"/>
      <c r="YU329" s="90"/>
      <c r="YV329" s="90"/>
      <c r="YW329" s="90"/>
      <c r="YX329" s="90"/>
      <c r="YY329" s="90"/>
      <c r="YZ329" s="90"/>
      <c r="ZA329" s="90"/>
      <c r="ZB329" s="90"/>
      <c r="ZC329" s="90"/>
      <c r="ZD329" s="90"/>
      <c r="ZE329" s="90"/>
      <c r="ZF329" s="90"/>
      <c r="ZG329" s="90"/>
      <c r="ZH329" s="90"/>
      <c r="ZI329" s="90"/>
      <c r="ZJ329" s="90"/>
      <c r="ZK329" s="90"/>
      <c r="ZL329" s="90"/>
      <c r="ZM329" s="90"/>
      <c r="ZN329" s="90"/>
      <c r="ZO329" s="90"/>
      <c r="ZP329" s="90"/>
      <c r="ZQ329" s="90"/>
      <c r="ZR329" s="90"/>
      <c r="ZS329" s="90"/>
      <c r="ZT329" s="90"/>
      <c r="ZU329" s="90"/>
      <c r="ZV329" s="90"/>
      <c r="ZW329" s="90"/>
      <c r="ZX329" s="90"/>
      <c r="ZY329" s="90"/>
      <c r="ZZ329" s="90"/>
      <c r="AAA329" s="90"/>
      <c r="AAB329" s="90"/>
      <c r="AAC329" s="90"/>
      <c r="AAD329" s="90"/>
      <c r="AAE329" s="90"/>
      <c r="AAF329" s="90"/>
      <c r="AAG329" s="90"/>
      <c r="AAH329" s="90"/>
      <c r="AAI329" s="90"/>
      <c r="AAJ329" s="90"/>
      <c r="AAK329" s="90"/>
      <c r="AAL329" s="90"/>
      <c r="AAM329" s="90"/>
      <c r="AAN329" s="90"/>
      <c r="AAO329" s="90"/>
      <c r="AAP329" s="90"/>
      <c r="AAQ329" s="90"/>
      <c r="AAR329" s="90"/>
      <c r="AAS329" s="90"/>
      <c r="AAT329" s="90"/>
      <c r="AAU329" s="90"/>
      <c r="AAV329" s="90"/>
      <c r="AAW329" s="90"/>
      <c r="AAX329" s="90"/>
      <c r="AAY329" s="90"/>
      <c r="AAZ329" s="90"/>
      <c r="ABA329" s="90"/>
      <c r="ABB329" s="90"/>
      <c r="ABC329" s="90"/>
      <c r="ABD329" s="90"/>
      <c r="ABE329" s="90"/>
      <c r="ABF329" s="90"/>
      <c r="ABG329" s="90"/>
      <c r="ABH329" s="90"/>
      <c r="ABI329" s="90"/>
      <c r="ABJ329" s="90"/>
      <c r="ABK329" s="90"/>
      <c r="ABL329" s="90"/>
      <c r="ABM329" s="90"/>
      <c r="ABN329" s="90"/>
      <c r="ABO329" s="90"/>
      <c r="ABP329" s="90"/>
      <c r="ABQ329" s="90"/>
      <c r="ABR329" s="90"/>
      <c r="ABS329" s="90"/>
      <c r="ABT329" s="90"/>
      <c r="ABU329" s="90"/>
      <c r="ABV329" s="90"/>
      <c r="ABW329" s="90"/>
      <c r="ABX329" s="90"/>
      <c r="ABY329" s="90"/>
      <c r="ABZ329" s="90"/>
      <c r="ACA329" s="90"/>
      <c r="ACB329" s="90"/>
      <c r="ACC329" s="90"/>
      <c r="ACD329" s="90"/>
      <c r="ACE329" s="90"/>
      <c r="ACF329" s="90"/>
      <c r="ACG329" s="90"/>
      <c r="ACH329" s="90"/>
      <c r="ACI329" s="90"/>
      <c r="ACJ329" s="90"/>
      <c r="ACK329" s="90"/>
      <c r="ACL329" s="90"/>
      <c r="ACM329" s="90"/>
      <c r="ACN329" s="90"/>
      <c r="ACO329" s="90"/>
      <c r="ACP329" s="90"/>
      <c r="ACQ329" s="90"/>
      <c r="ACR329" s="90"/>
      <c r="ACS329" s="90"/>
      <c r="ACT329" s="90"/>
      <c r="ACU329" s="90"/>
      <c r="ACV329" s="90"/>
      <c r="ACW329" s="90"/>
      <c r="ACX329" s="90"/>
      <c r="ACY329" s="90"/>
      <c r="ACZ329" s="90"/>
      <c r="ADA329" s="90"/>
      <c r="ADB329" s="90"/>
      <c r="ADC329" s="90"/>
      <c r="ADD329" s="90"/>
      <c r="ADE329" s="90"/>
      <c r="ADF329" s="90"/>
      <c r="ADG329" s="90"/>
      <c r="ADH329" s="90"/>
      <c r="ADI329" s="90"/>
      <c r="ADJ329" s="90"/>
      <c r="ADK329" s="90"/>
      <c r="ADL329" s="90"/>
      <c r="ADM329" s="90"/>
      <c r="ADN329" s="90"/>
      <c r="ADO329" s="90"/>
      <c r="ADP329" s="90"/>
      <c r="ADQ329" s="90"/>
      <c r="ADR329" s="90"/>
      <c r="ADS329" s="90"/>
      <c r="ADT329" s="90"/>
      <c r="ADU329" s="90"/>
      <c r="ADV329" s="90"/>
      <c r="ADW329" s="90"/>
      <c r="ADX329" s="90"/>
      <c r="ADY329" s="90"/>
      <c r="ADZ329" s="90"/>
      <c r="AEA329" s="90"/>
      <c r="AEB329" s="90"/>
      <c r="AEC329" s="90"/>
      <c r="AED329" s="90"/>
      <c r="AEE329" s="90"/>
      <c r="AEF329" s="90"/>
      <c r="AEG329" s="90"/>
      <c r="AEH329" s="90"/>
      <c r="AEI329" s="90"/>
      <c r="AEJ329" s="90"/>
      <c r="AEK329" s="90"/>
      <c r="AEL329" s="90"/>
      <c r="AEM329" s="90"/>
      <c r="AEN329" s="90"/>
      <c r="AEO329" s="90"/>
      <c r="AEP329" s="90"/>
      <c r="AEQ329" s="90"/>
      <c r="AER329" s="90"/>
      <c r="AES329" s="90"/>
      <c r="AET329" s="90"/>
      <c r="AEU329" s="90"/>
      <c r="AEV329" s="90"/>
      <c r="AEW329" s="90"/>
      <c r="AEX329" s="90"/>
      <c r="AEY329" s="90"/>
      <c r="AEZ329" s="90"/>
      <c r="AFA329" s="90"/>
      <c r="AFB329" s="90"/>
      <c r="AFC329" s="90"/>
      <c r="AFD329" s="90"/>
      <c r="AFE329" s="90"/>
      <c r="AFF329" s="90"/>
      <c r="AFG329" s="90"/>
      <c r="AFH329" s="90"/>
      <c r="AFI329" s="90"/>
      <c r="AFJ329" s="90"/>
      <c r="AFK329" s="90"/>
      <c r="AFL329" s="90"/>
      <c r="AFM329" s="90"/>
      <c r="AFN329" s="90"/>
      <c r="AFO329" s="90"/>
      <c r="AFP329" s="90"/>
      <c r="AFQ329" s="90"/>
      <c r="AFR329" s="90"/>
      <c r="AFS329" s="90"/>
      <c r="AFT329" s="90"/>
      <c r="AFU329" s="90"/>
      <c r="AFV329" s="90"/>
      <c r="AFW329" s="90"/>
      <c r="AFX329" s="90"/>
      <c r="AFY329" s="90"/>
      <c r="AFZ329" s="90"/>
      <c r="AGA329" s="90"/>
      <c r="AGB329" s="90"/>
      <c r="AGC329" s="90"/>
      <c r="AGD329" s="90"/>
      <c r="AGE329" s="90"/>
      <c r="AGF329" s="90"/>
      <c r="AGG329" s="90"/>
      <c r="AGH329" s="90"/>
      <c r="AGI329" s="90"/>
      <c r="AGJ329" s="90"/>
      <c r="AGK329" s="90"/>
      <c r="AGL329" s="90"/>
      <c r="AGM329" s="90"/>
      <c r="AGN329" s="90"/>
      <c r="AGO329" s="90"/>
      <c r="AGP329" s="90"/>
      <c r="AGQ329" s="90"/>
      <c r="AGR329" s="90"/>
      <c r="AGS329" s="90"/>
      <c r="AGT329" s="90"/>
      <c r="AGU329" s="90"/>
      <c r="AGV329" s="90"/>
      <c r="AGW329" s="90"/>
      <c r="AGX329" s="90"/>
      <c r="AGY329" s="90"/>
      <c r="AGZ329" s="90"/>
      <c r="AHA329" s="90"/>
      <c r="AHB329" s="90"/>
      <c r="AHC329" s="90"/>
      <c r="AHD329" s="90"/>
      <c r="AHE329" s="90"/>
      <c r="AHF329" s="90"/>
      <c r="AHG329" s="90"/>
      <c r="AHH329" s="90"/>
      <c r="AHI329" s="90"/>
      <c r="AHJ329" s="90"/>
      <c r="AHK329" s="90"/>
      <c r="AHL329" s="90"/>
      <c r="AHM329" s="90"/>
      <c r="AHN329" s="90"/>
      <c r="AHO329" s="90"/>
      <c r="AHP329" s="90"/>
      <c r="AHQ329" s="90"/>
      <c r="AHR329" s="90"/>
      <c r="AHS329" s="90"/>
      <c r="AHT329" s="90"/>
      <c r="AHU329" s="90"/>
      <c r="AHV329" s="90"/>
      <c r="AHW329" s="90"/>
      <c r="AHX329" s="90"/>
      <c r="AHY329" s="90"/>
      <c r="AHZ329" s="90"/>
      <c r="AIA329" s="90"/>
      <c r="AIB329" s="90"/>
      <c r="AIC329" s="90"/>
      <c r="AID329" s="90"/>
      <c r="AIE329" s="90"/>
      <c r="AIF329" s="90"/>
      <c r="AIG329" s="90"/>
      <c r="AIH329" s="90"/>
      <c r="AII329" s="90"/>
      <c r="AIJ329" s="90"/>
      <c r="AIK329" s="90"/>
      <c r="AIL329" s="90"/>
      <c r="AIM329" s="90"/>
      <c r="AIN329" s="90"/>
      <c r="AIO329" s="90"/>
      <c r="AIP329" s="90"/>
      <c r="AIQ329" s="90"/>
      <c r="AIR329" s="90"/>
      <c r="AIS329" s="90"/>
      <c r="AIT329" s="90"/>
      <c r="AIU329" s="90"/>
      <c r="AIV329" s="90"/>
      <c r="AIW329" s="90"/>
      <c r="AIX329" s="90"/>
      <c r="AIY329" s="90"/>
      <c r="AIZ329" s="90"/>
      <c r="AJA329" s="90"/>
      <c r="AJB329" s="90"/>
      <c r="AJC329" s="90"/>
      <c r="AJD329" s="90"/>
      <c r="AJE329" s="90"/>
      <c r="AJF329" s="90"/>
      <c r="AJG329" s="90"/>
      <c r="AJH329" s="90"/>
      <c r="AJI329" s="90"/>
      <c r="AJJ329" s="90"/>
      <c r="AJK329" s="90"/>
      <c r="AJL329" s="90"/>
      <c r="AJM329" s="90"/>
      <c r="AJN329" s="90"/>
      <c r="AJO329" s="90"/>
      <c r="AJP329" s="90"/>
      <c r="AJQ329" s="90"/>
      <c r="AJR329" s="90"/>
      <c r="AJS329" s="90"/>
      <c r="AJT329" s="90"/>
      <c r="AJU329" s="90"/>
      <c r="AJV329" s="90"/>
      <c r="AJW329" s="90"/>
      <c r="AJX329" s="90"/>
      <c r="AJY329" s="90"/>
      <c r="AJZ329" s="90"/>
      <c r="AKA329" s="90"/>
      <c r="AKB329" s="90"/>
      <c r="AKC329" s="90"/>
      <c r="AKD329" s="90"/>
      <c r="AKE329" s="90"/>
      <c r="AKF329" s="90"/>
      <c r="AKG329" s="90"/>
      <c r="AKH329" s="90"/>
      <c r="AKI329" s="90"/>
      <c r="AKJ329" s="90"/>
      <c r="AKK329" s="90"/>
      <c r="AKL329" s="90"/>
      <c r="AKM329" s="90"/>
      <c r="AKN329" s="90"/>
      <c r="AKO329" s="90"/>
      <c r="AKP329" s="90"/>
      <c r="AKQ329" s="90"/>
      <c r="AKR329" s="90"/>
      <c r="AKS329" s="90"/>
      <c r="AKT329" s="90"/>
      <c r="AKU329" s="90"/>
      <c r="AKV329" s="90"/>
      <c r="AKW329" s="90"/>
      <c r="AKX329" s="90"/>
      <c r="AKY329" s="90"/>
      <c r="AKZ329" s="90"/>
      <c r="ALA329" s="90"/>
      <c r="ALB329" s="90"/>
      <c r="ALC329" s="90"/>
      <c r="ALD329" s="90"/>
      <c r="ALE329" s="90"/>
      <c r="ALF329" s="90"/>
      <c r="ALG329" s="90"/>
      <c r="ALH329" s="90"/>
      <c r="ALI329" s="90"/>
      <c r="ALJ329" s="90"/>
      <c r="ALK329" s="90"/>
      <c r="ALL329" s="90"/>
      <c r="ALM329" s="90"/>
      <c r="ALN329" s="90"/>
      <c r="ALO329" s="90"/>
      <c r="ALP329" s="90"/>
      <c r="ALQ329" s="90"/>
      <c r="ALR329" s="90"/>
      <c r="ALS329" s="90"/>
      <c r="ALT329" s="90"/>
      <c r="ALU329" s="90"/>
      <c r="ALV329" s="90"/>
      <c r="ALW329" s="90"/>
      <c r="ALX329" s="90"/>
      <c r="ALY329" s="90"/>
      <c r="ALZ329" s="90"/>
      <c r="AMA329" s="90"/>
      <c r="AMB329" s="90"/>
      <c r="AMC329" s="90"/>
    </row>
    <row r="330" spans="1:1017">
      <c r="A330" s="98" t="s">
        <v>53</v>
      </c>
      <c r="B330" s="90" t="str">
        <f t="shared" si="1838"/>
        <v>Kerong Kerong</v>
      </c>
      <c r="J330" s="611"/>
      <c r="Q330" s="91">
        <f t="shared" si="1839"/>
        <v>0</v>
      </c>
      <c r="R330" s="91">
        <f t="shared" si="1840"/>
        <v>0</v>
      </c>
      <c r="Z330" s="611"/>
      <c r="AG330" s="91">
        <f t="shared" si="1841"/>
        <v>0</v>
      </c>
      <c r="AH330" s="91">
        <f t="shared" si="1842"/>
        <v>0</v>
      </c>
      <c r="AP330" s="611"/>
      <c r="AW330" s="91">
        <f t="shared" si="1843"/>
        <v>0</v>
      </c>
      <c r="AX330" s="91">
        <f t="shared" si="1844"/>
        <v>0</v>
      </c>
      <c r="BF330" s="611"/>
      <c r="BM330" s="91">
        <f t="shared" si="1845"/>
        <v>0</v>
      </c>
      <c r="BN330" s="91">
        <f t="shared" si="1846"/>
        <v>0</v>
      </c>
      <c r="BV330" s="611"/>
      <c r="CC330" s="91">
        <f t="shared" si="1847"/>
        <v>0</v>
      </c>
      <c r="CD330" s="91">
        <f t="shared" si="1848"/>
        <v>0</v>
      </c>
      <c r="CL330" s="611"/>
      <c r="CS330" s="91">
        <f t="shared" si="1849"/>
        <v>0</v>
      </c>
      <c r="CT330" s="91">
        <f t="shared" si="1850"/>
        <v>0</v>
      </c>
      <c r="DB330" s="611"/>
      <c r="DI330" s="91">
        <f t="shared" si="1851"/>
        <v>0</v>
      </c>
      <c r="DJ330" s="91">
        <f t="shared" si="1852"/>
        <v>0</v>
      </c>
      <c r="DR330" s="611"/>
      <c r="DY330" s="91">
        <f t="shared" si="1853"/>
        <v>0</v>
      </c>
      <c r="DZ330" s="91">
        <f t="shared" si="1854"/>
        <v>0</v>
      </c>
      <c r="EH330" s="611"/>
      <c r="EO330" s="91">
        <f t="shared" si="1855"/>
        <v>0</v>
      </c>
      <c r="EP330" s="91">
        <f t="shared" si="1856"/>
        <v>0</v>
      </c>
      <c r="EX330" s="611"/>
      <c r="FE330" s="91">
        <f t="shared" si="1857"/>
        <v>0</v>
      </c>
      <c r="FF330" s="91">
        <f t="shared" si="1858"/>
        <v>0</v>
      </c>
      <c r="FN330" s="611"/>
      <c r="FU330" s="91">
        <f t="shared" si="1859"/>
        <v>0</v>
      </c>
      <c r="FV330" s="91">
        <f t="shared" si="1860"/>
        <v>0</v>
      </c>
      <c r="GD330" s="611"/>
      <c r="GK330" s="91">
        <f t="shared" si="1861"/>
        <v>0</v>
      </c>
      <c r="GL330" s="91">
        <f t="shared" si="1862"/>
        <v>0</v>
      </c>
      <c r="GT330" s="611"/>
      <c r="HA330" s="91">
        <f t="shared" si="1863"/>
        <v>0</v>
      </c>
      <c r="HB330" s="91">
        <f t="shared" si="1864"/>
        <v>0</v>
      </c>
      <c r="HJ330" s="611"/>
      <c r="HQ330" s="91">
        <f t="shared" si="1865"/>
        <v>0</v>
      </c>
      <c r="HR330" s="91">
        <f t="shared" si="1866"/>
        <v>0</v>
      </c>
      <c r="HZ330" s="611"/>
      <c r="IG330" s="91">
        <f t="shared" si="1867"/>
        <v>0</v>
      </c>
      <c r="IH330" s="91">
        <f t="shared" si="1868"/>
        <v>0</v>
      </c>
      <c r="IP330" s="611"/>
      <c r="IW330" s="91">
        <f t="shared" si="1869"/>
        <v>0</v>
      </c>
      <c r="IX330" s="91">
        <f t="shared" si="1870"/>
        <v>0</v>
      </c>
      <c r="JF330" s="611"/>
      <c r="JM330" s="91">
        <f t="shared" si="1871"/>
        <v>0</v>
      </c>
      <c r="JN330" s="91">
        <f t="shared" si="1872"/>
        <v>0</v>
      </c>
      <c r="JV330" s="611"/>
      <c r="KC330" s="91">
        <f t="shared" si="1873"/>
        <v>0</v>
      </c>
      <c r="KD330" s="91">
        <f t="shared" si="1874"/>
        <v>0</v>
      </c>
      <c r="KL330" s="611"/>
      <c r="KS330" s="91">
        <f t="shared" si="1875"/>
        <v>0</v>
      </c>
      <c r="KT330" s="91">
        <f t="shared" si="1876"/>
        <v>0</v>
      </c>
      <c r="LB330" s="611"/>
      <c r="LI330" s="91">
        <f t="shared" si="1877"/>
        <v>0</v>
      </c>
      <c r="LJ330" s="91">
        <f t="shared" si="1878"/>
        <v>0</v>
      </c>
      <c r="LR330" s="611"/>
      <c r="LY330" s="91">
        <f t="shared" si="1879"/>
        <v>0</v>
      </c>
      <c r="LZ330" s="91">
        <f t="shared" si="1880"/>
        <v>0</v>
      </c>
      <c r="MH330" s="611"/>
      <c r="MO330" s="91">
        <f t="shared" si="1881"/>
        <v>0</v>
      </c>
      <c r="MP330" s="91">
        <f t="shared" si="1882"/>
        <v>0</v>
      </c>
      <c r="MX330" s="611"/>
      <c r="NE330" s="91">
        <f t="shared" si="1883"/>
        <v>0</v>
      </c>
      <c r="NF330" s="91">
        <f t="shared" si="1884"/>
        <v>0</v>
      </c>
      <c r="NN330" s="611"/>
      <c r="NU330" s="91">
        <f t="shared" si="1885"/>
        <v>0</v>
      </c>
      <c r="NV330" s="91">
        <f t="shared" si="1886"/>
        <v>0</v>
      </c>
      <c r="OD330" s="611"/>
      <c r="OK330" s="91">
        <f t="shared" si="1887"/>
        <v>0</v>
      </c>
      <c r="OL330" s="91">
        <f t="shared" si="1888"/>
        <v>0</v>
      </c>
      <c r="OT330" s="611"/>
      <c r="PA330" s="91">
        <f t="shared" si="1889"/>
        <v>0</v>
      </c>
      <c r="PB330" s="91">
        <f t="shared" si="1890"/>
        <v>0</v>
      </c>
      <c r="PJ330" s="611"/>
      <c r="PQ330" s="91">
        <f t="shared" si="1891"/>
        <v>0</v>
      </c>
      <c r="PR330" s="91">
        <f t="shared" si="1892"/>
        <v>0</v>
      </c>
      <c r="PZ330" s="611"/>
      <c r="QG330" s="91">
        <f t="shared" si="1893"/>
        <v>0</v>
      </c>
      <c r="QH330" s="91">
        <f t="shared" si="1894"/>
        <v>0</v>
      </c>
      <c r="QP330" s="611"/>
      <c r="QW330" s="91">
        <f t="shared" si="1895"/>
        <v>0</v>
      </c>
      <c r="QX330" s="91">
        <f t="shared" si="1896"/>
        <v>0</v>
      </c>
      <c r="RF330" s="611"/>
      <c r="RM330" s="91">
        <f t="shared" si="1897"/>
        <v>0</v>
      </c>
      <c r="RN330" s="91">
        <f t="shared" si="1898"/>
        <v>0</v>
      </c>
      <c r="RV330" s="611"/>
      <c r="SC330" s="91">
        <f t="shared" si="1899"/>
        <v>0</v>
      </c>
      <c r="SD330" s="91">
        <f t="shared" si="1900"/>
        <v>0</v>
      </c>
      <c r="SL330" s="611"/>
      <c r="SS330" s="91">
        <f t="shared" si="1901"/>
        <v>0</v>
      </c>
      <c r="ST330" s="91">
        <f t="shared" si="1902"/>
        <v>0</v>
      </c>
      <c r="TB330" s="611"/>
      <c r="TI330" s="91">
        <f t="shared" si="1903"/>
        <v>0</v>
      </c>
      <c r="TJ330" s="91">
        <f t="shared" si="1904"/>
        <v>0</v>
      </c>
      <c r="TR330" s="611"/>
      <c r="TY330" s="91">
        <f t="shared" si="1905"/>
        <v>0</v>
      </c>
      <c r="TZ330" s="91">
        <f t="shared" si="1906"/>
        <v>0</v>
      </c>
      <c r="UH330" s="611"/>
      <c r="UO330" s="91">
        <f t="shared" si="1907"/>
        <v>0</v>
      </c>
      <c r="UP330" s="91">
        <f t="shared" si="1908"/>
        <v>0</v>
      </c>
      <c r="UX330" s="611"/>
      <c r="VE330" s="91">
        <f t="shared" si="1909"/>
        <v>0</v>
      </c>
      <c r="VF330" s="91">
        <f t="shared" si="1910"/>
        <v>0</v>
      </c>
      <c r="VN330" s="611"/>
      <c r="VU330" s="91">
        <f t="shared" si="1911"/>
        <v>0</v>
      </c>
      <c r="VV330" s="91">
        <f t="shared" si="1912"/>
        <v>0</v>
      </c>
      <c r="WD330" s="611"/>
      <c r="WK330" s="91">
        <f t="shared" si="1913"/>
        <v>0</v>
      </c>
      <c r="WL330" s="91">
        <f t="shared" si="1914"/>
        <v>0</v>
      </c>
      <c r="WM330" s="89"/>
      <c r="WN330" s="87">
        <f t="shared" si="1915"/>
        <v>0</v>
      </c>
      <c r="WO330" s="87">
        <f t="shared" si="1916"/>
        <v>0</v>
      </c>
      <c r="WP330" s="87">
        <f t="shared" si="1917"/>
        <v>0</v>
      </c>
      <c r="WQ330" s="87">
        <f t="shared" si="1918"/>
        <v>0</v>
      </c>
      <c r="WR330" s="87">
        <f t="shared" si="1919"/>
        <v>0</v>
      </c>
      <c r="WS330" s="87">
        <f t="shared" si="1920"/>
        <v>0</v>
      </c>
      <c r="WT330" s="87">
        <f t="shared" si="1921"/>
        <v>0</v>
      </c>
      <c r="WU330" s="87">
        <f t="shared" si="1922"/>
        <v>0</v>
      </c>
      <c r="WV330" s="87">
        <f t="shared" si="1923"/>
        <v>0</v>
      </c>
      <c r="WW330" s="87">
        <f t="shared" si="1924"/>
        <v>0</v>
      </c>
      <c r="WX330" s="87">
        <f t="shared" si="1925"/>
        <v>0</v>
      </c>
      <c r="WY330" s="87">
        <f t="shared" si="1926"/>
        <v>0</v>
      </c>
      <c r="WZ330" s="87">
        <f t="shared" si="1927"/>
        <v>0</v>
      </c>
      <c r="XA330" s="87">
        <f t="shared" si="1928"/>
        <v>0</v>
      </c>
      <c r="XB330" s="92">
        <f t="shared" si="1929"/>
        <v>0</v>
      </c>
      <c r="XC330" s="92">
        <f t="shared" si="1930"/>
        <v>0</v>
      </c>
      <c r="XD330" s="89"/>
      <c r="XE330" s="92"/>
      <c r="XF330" s="92"/>
      <c r="XG330" s="89"/>
      <c r="XH330" s="92"/>
      <c r="XI330" s="92"/>
      <c r="XJ330" s="89"/>
      <c r="XK330" s="87"/>
      <c r="XL330" s="87"/>
      <c r="XM330" s="87"/>
      <c r="XN330" s="87"/>
      <c r="XO330" s="87"/>
      <c r="XP330" s="87"/>
      <c r="XQ330" s="87"/>
      <c r="XR330" s="92">
        <f t="shared" ca="1" si="1931"/>
        <v>0</v>
      </c>
      <c r="XS330" s="89"/>
      <c r="XT330" s="87"/>
      <c r="XU330" s="87"/>
      <c r="XV330" s="87"/>
      <c r="XW330" s="87"/>
      <c r="XX330" s="87"/>
      <c r="XY330" s="87"/>
      <c r="XZ330" s="87"/>
      <c r="YA330" s="92">
        <f t="shared" ca="1" si="1932"/>
        <v>0</v>
      </c>
      <c r="YB330" s="90"/>
      <c r="YC330" s="90"/>
      <c r="YD330" s="90"/>
      <c r="YE330" s="90"/>
      <c r="YF330" s="90"/>
      <c r="YG330" s="90"/>
      <c r="YH330" s="90"/>
      <c r="YI330" s="90"/>
      <c r="YJ330" s="90"/>
      <c r="YK330" s="90"/>
      <c r="YL330" s="90"/>
      <c r="YM330" s="90"/>
      <c r="YN330" s="90"/>
      <c r="YO330" s="90"/>
      <c r="YP330" s="90"/>
      <c r="YQ330" s="90"/>
      <c r="YR330" s="90"/>
      <c r="YS330" s="90"/>
      <c r="YT330" s="90"/>
      <c r="YU330" s="90"/>
      <c r="YV330" s="90"/>
      <c r="YW330" s="90"/>
      <c r="YX330" s="90"/>
      <c r="YY330" s="90"/>
      <c r="YZ330" s="90"/>
      <c r="ZA330" s="90"/>
      <c r="ZB330" s="90"/>
      <c r="ZC330" s="90"/>
      <c r="ZD330" s="90"/>
      <c r="ZE330" s="90"/>
      <c r="ZF330" s="90"/>
      <c r="ZG330" s="90"/>
      <c r="ZH330" s="90"/>
      <c r="ZI330" s="90"/>
      <c r="ZJ330" s="90"/>
      <c r="ZK330" s="90"/>
      <c r="ZL330" s="90"/>
      <c r="ZM330" s="90"/>
      <c r="ZN330" s="90"/>
      <c r="ZO330" s="90"/>
      <c r="ZP330" s="90"/>
      <c r="ZQ330" s="90"/>
      <c r="ZR330" s="90"/>
      <c r="ZS330" s="90"/>
      <c r="ZT330" s="90"/>
      <c r="ZU330" s="90"/>
      <c r="ZV330" s="90"/>
      <c r="ZW330" s="90"/>
      <c r="ZX330" s="90"/>
      <c r="ZY330" s="90"/>
      <c r="ZZ330" s="90"/>
      <c r="AAA330" s="90"/>
      <c r="AAB330" s="90"/>
      <c r="AAC330" s="90"/>
      <c r="AAD330" s="90"/>
      <c r="AAE330" s="90"/>
      <c r="AAF330" s="90"/>
      <c r="AAG330" s="90"/>
      <c r="AAH330" s="90"/>
      <c r="AAI330" s="90"/>
      <c r="AAJ330" s="90"/>
      <c r="AAK330" s="90"/>
      <c r="AAL330" s="90"/>
      <c r="AAM330" s="90"/>
      <c r="AAN330" s="90"/>
      <c r="AAO330" s="90"/>
      <c r="AAP330" s="90"/>
      <c r="AAQ330" s="90"/>
      <c r="AAR330" s="90"/>
      <c r="AAS330" s="90"/>
      <c r="AAT330" s="90"/>
      <c r="AAU330" s="90"/>
      <c r="AAV330" s="90"/>
      <c r="AAW330" s="90"/>
      <c r="AAX330" s="90"/>
      <c r="AAY330" s="90"/>
      <c r="AAZ330" s="90"/>
      <c r="ABA330" s="90"/>
      <c r="ABB330" s="90"/>
      <c r="ABC330" s="90"/>
      <c r="ABD330" s="90"/>
      <c r="ABE330" s="90"/>
      <c r="ABF330" s="90"/>
      <c r="ABG330" s="90"/>
      <c r="ABH330" s="90"/>
      <c r="ABI330" s="90"/>
      <c r="ABJ330" s="90"/>
      <c r="ABK330" s="90"/>
      <c r="ABL330" s="90"/>
      <c r="ABM330" s="90"/>
      <c r="ABN330" s="90"/>
      <c r="ABO330" s="90"/>
      <c r="ABP330" s="90"/>
      <c r="ABQ330" s="90"/>
      <c r="ABR330" s="90"/>
      <c r="ABS330" s="90"/>
      <c r="ABT330" s="90"/>
      <c r="ABU330" s="90"/>
      <c r="ABV330" s="90"/>
      <c r="ABW330" s="90"/>
      <c r="ABX330" s="90"/>
      <c r="ABY330" s="90"/>
      <c r="ABZ330" s="90"/>
      <c r="ACA330" s="90"/>
      <c r="ACB330" s="90"/>
      <c r="ACC330" s="90"/>
      <c r="ACD330" s="90"/>
      <c r="ACE330" s="90"/>
      <c r="ACF330" s="90"/>
      <c r="ACG330" s="90"/>
      <c r="ACH330" s="90"/>
      <c r="ACI330" s="90"/>
      <c r="ACJ330" s="90"/>
      <c r="ACK330" s="90"/>
      <c r="ACL330" s="90"/>
      <c r="ACM330" s="90"/>
      <c r="ACN330" s="90"/>
      <c r="ACO330" s="90"/>
      <c r="ACP330" s="90"/>
      <c r="ACQ330" s="90"/>
      <c r="ACR330" s="90"/>
      <c r="ACS330" s="90"/>
      <c r="ACT330" s="90"/>
      <c r="ACU330" s="90"/>
      <c r="ACV330" s="90"/>
      <c r="ACW330" s="90"/>
      <c r="ACX330" s="90"/>
      <c r="ACY330" s="90"/>
      <c r="ACZ330" s="90"/>
      <c r="ADA330" s="90"/>
      <c r="ADB330" s="90"/>
      <c r="ADC330" s="90"/>
      <c r="ADD330" s="90"/>
      <c r="ADE330" s="90"/>
      <c r="ADF330" s="90"/>
      <c r="ADG330" s="90"/>
      <c r="ADH330" s="90"/>
      <c r="ADI330" s="90"/>
      <c r="ADJ330" s="90"/>
      <c r="ADK330" s="90"/>
      <c r="ADL330" s="90"/>
      <c r="ADM330" s="90"/>
      <c r="ADN330" s="90"/>
      <c r="ADO330" s="90"/>
      <c r="ADP330" s="90"/>
      <c r="ADQ330" s="90"/>
      <c r="ADR330" s="90"/>
      <c r="ADS330" s="90"/>
      <c r="ADT330" s="90"/>
      <c r="ADU330" s="90"/>
      <c r="ADV330" s="90"/>
      <c r="ADW330" s="90"/>
      <c r="ADX330" s="90"/>
      <c r="ADY330" s="90"/>
      <c r="ADZ330" s="90"/>
      <c r="AEA330" s="90"/>
      <c r="AEB330" s="90"/>
      <c r="AEC330" s="90"/>
      <c r="AED330" s="90"/>
      <c r="AEE330" s="90"/>
      <c r="AEF330" s="90"/>
      <c r="AEG330" s="90"/>
      <c r="AEH330" s="90"/>
      <c r="AEI330" s="90"/>
      <c r="AEJ330" s="90"/>
      <c r="AEK330" s="90"/>
      <c r="AEL330" s="90"/>
      <c r="AEM330" s="90"/>
      <c r="AEN330" s="90"/>
      <c r="AEO330" s="90"/>
      <c r="AEP330" s="90"/>
      <c r="AEQ330" s="90"/>
      <c r="AER330" s="90"/>
      <c r="AES330" s="90"/>
      <c r="AET330" s="90"/>
      <c r="AEU330" s="90"/>
      <c r="AEV330" s="90"/>
      <c r="AEW330" s="90"/>
      <c r="AEX330" s="90"/>
      <c r="AEY330" s="90"/>
      <c r="AEZ330" s="90"/>
      <c r="AFA330" s="90"/>
      <c r="AFB330" s="90"/>
      <c r="AFC330" s="90"/>
      <c r="AFD330" s="90"/>
      <c r="AFE330" s="90"/>
      <c r="AFF330" s="90"/>
      <c r="AFG330" s="90"/>
      <c r="AFH330" s="90"/>
      <c r="AFI330" s="90"/>
      <c r="AFJ330" s="90"/>
      <c r="AFK330" s="90"/>
      <c r="AFL330" s="90"/>
      <c r="AFM330" s="90"/>
      <c r="AFN330" s="90"/>
      <c r="AFO330" s="90"/>
      <c r="AFP330" s="90"/>
      <c r="AFQ330" s="90"/>
      <c r="AFR330" s="90"/>
      <c r="AFS330" s="90"/>
      <c r="AFT330" s="90"/>
      <c r="AFU330" s="90"/>
      <c r="AFV330" s="90"/>
      <c r="AFW330" s="90"/>
      <c r="AFX330" s="90"/>
      <c r="AFY330" s="90"/>
      <c r="AFZ330" s="90"/>
      <c r="AGA330" s="90"/>
      <c r="AGB330" s="90"/>
      <c r="AGC330" s="90"/>
      <c r="AGD330" s="90"/>
      <c r="AGE330" s="90"/>
      <c r="AGF330" s="90"/>
      <c r="AGG330" s="90"/>
      <c r="AGH330" s="90"/>
      <c r="AGI330" s="90"/>
      <c r="AGJ330" s="90"/>
      <c r="AGK330" s="90"/>
      <c r="AGL330" s="90"/>
      <c r="AGM330" s="90"/>
      <c r="AGN330" s="90"/>
      <c r="AGO330" s="90"/>
      <c r="AGP330" s="90"/>
      <c r="AGQ330" s="90"/>
      <c r="AGR330" s="90"/>
      <c r="AGS330" s="90"/>
      <c r="AGT330" s="90"/>
      <c r="AGU330" s="90"/>
      <c r="AGV330" s="90"/>
      <c r="AGW330" s="90"/>
      <c r="AGX330" s="90"/>
      <c r="AGY330" s="90"/>
      <c r="AGZ330" s="90"/>
      <c r="AHA330" s="90"/>
      <c r="AHB330" s="90"/>
      <c r="AHC330" s="90"/>
      <c r="AHD330" s="90"/>
      <c r="AHE330" s="90"/>
      <c r="AHF330" s="90"/>
      <c r="AHG330" s="90"/>
      <c r="AHH330" s="90"/>
      <c r="AHI330" s="90"/>
      <c r="AHJ330" s="90"/>
      <c r="AHK330" s="90"/>
      <c r="AHL330" s="90"/>
      <c r="AHM330" s="90"/>
      <c r="AHN330" s="90"/>
      <c r="AHO330" s="90"/>
      <c r="AHP330" s="90"/>
      <c r="AHQ330" s="90"/>
      <c r="AHR330" s="90"/>
      <c r="AHS330" s="90"/>
      <c r="AHT330" s="90"/>
      <c r="AHU330" s="90"/>
      <c r="AHV330" s="90"/>
      <c r="AHW330" s="90"/>
      <c r="AHX330" s="90"/>
      <c r="AHY330" s="90"/>
      <c r="AHZ330" s="90"/>
      <c r="AIA330" s="90"/>
      <c r="AIB330" s="90"/>
      <c r="AIC330" s="90"/>
      <c r="AID330" s="90"/>
      <c r="AIE330" s="90"/>
      <c r="AIF330" s="90"/>
      <c r="AIG330" s="90"/>
      <c r="AIH330" s="90"/>
      <c r="AII330" s="90"/>
      <c r="AIJ330" s="90"/>
      <c r="AIK330" s="90"/>
      <c r="AIL330" s="90"/>
      <c r="AIM330" s="90"/>
      <c r="AIN330" s="90"/>
      <c r="AIO330" s="90"/>
      <c r="AIP330" s="90"/>
      <c r="AIQ330" s="90"/>
      <c r="AIR330" s="90"/>
      <c r="AIS330" s="90"/>
      <c r="AIT330" s="90"/>
      <c r="AIU330" s="90"/>
      <c r="AIV330" s="90"/>
      <c r="AIW330" s="90"/>
      <c r="AIX330" s="90"/>
      <c r="AIY330" s="90"/>
      <c r="AIZ330" s="90"/>
      <c r="AJA330" s="90"/>
      <c r="AJB330" s="90"/>
      <c r="AJC330" s="90"/>
      <c r="AJD330" s="90"/>
      <c r="AJE330" s="90"/>
      <c r="AJF330" s="90"/>
      <c r="AJG330" s="90"/>
      <c r="AJH330" s="90"/>
      <c r="AJI330" s="90"/>
      <c r="AJJ330" s="90"/>
      <c r="AJK330" s="90"/>
      <c r="AJL330" s="90"/>
      <c r="AJM330" s="90"/>
      <c r="AJN330" s="90"/>
      <c r="AJO330" s="90"/>
      <c r="AJP330" s="90"/>
      <c r="AJQ330" s="90"/>
      <c r="AJR330" s="90"/>
      <c r="AJS330" s="90"/>
      <c r="AJT330" s="90"/>
      <c r="AJU330" s="90"/>
      <c r="AJV330" s="90"/>
      <c r="AJW330" s="90"/>
      <c r="AJX330" s="90"/>
      <c r="AJY330" s="90"/>
      <c r="AJZ330" s="90"/>
      <c r="AKA330" s="90"/>
      <c r="AKB330" s="90"/>
      <c r="AKC330" s="90"/>
      <c r="AKD330" s="90"/>
      <c r="AKE330" s="90"/>
      <c r="AKF330" s="90"/>
      <c r="AKG330" s="90"/>
      <c r="AKH330" s="90"/>
      <c r="AKI330" s="90"/>
      <c r="AKJ330" s="90"/>
      <c r="AKK330" s="90"/>
      <c r="AKL330" s="90"/>
      <c r="AKM330" s="90"/>
      <c r="AKN330" s="90"/>
      <c r="AKO330" s="90"/>
      <c r="AKP330" s="90"/>
      <c r="AKQ330" s="90"/>
      <c r="AKR330" s="90"/>
      <c r="AKS330" s="90"/>
      <c r="AKT330" s="90"/>
      <c r="AKU330" s="90"/>
      <c r="AKV330" s="90"/>
      <c r="AKW330" s="90"/>
      <c r="AKX330" s="90"/>
      <c r="AKY330" s="90"/>
      <c r="AKZ330" s="90"/>
      <c r="ALA330" s="90"/>
      <c r="ALB330" s="90"/>
      <c r="ALC330" s="90"/>
      <c r="ALD330" s="90"/>
      <c r="ALE330" s="90"/>
      <c r="ALF330" s="90"/>
      <c r="ALG330" s="90"/>
      <c r="ALH330" s="90"/>
      <c r="ALI330" s="90"/>
      <c r="ALJ330" s="90"/>
      <c r="ALK330" s="90"/>
      <c r="ALL330" s="90"/>
      <c r="ALM330" s="90"/>
      <c r="ALN330" s="90"/>
      <c r="ALO330" s="90"/>
      <c r="ALP330" s="90"/>
      <c r="ALQ330" s="90"/>
      <c r="ALR330" s="90"/>
      <c r="ALS330" s="90"/>
      <c r="ALT330" s="90"/>
      <c r="ALU330" s="90"/>
      <c r="ALV330" s="90"/>
      <c r="ALW330" s="90"/>
      <c r="ALX330" s="90"/>
      <c r="ALY330" s="90"/>
      <c r="ALZ330" s="90"/>
      <c r="AMA330" s="90"/>
      <c r="AMB330" s="90"/>
      <c r="AMC330" s="90"/>
    </row>
    <row r="331" spans="1:1017">
      <c r="A331" s="98" t="s">
        <v>53</v>
      </c>
      <c r="B331" s="90" t="str">
        <f t="shared" si="1838"/>
        <v xml:space="preserve">Lele </v>
      </c>
      <c r="I331" s="98">
        <v>17300</v>
      </c>
      <c r="J331" s="98">
        <v>346000</v>
      </c>
      <c r="M331" s="98">
        <v>200</v>
      </c>
      <c r="N331" s="98">
        <v>4000</v>
      </c>
      <c r="Q331" s="91">
        <f t="shared" si="1839"/>
        <v>17500</v>
      </c>
      <c r="R331" s="91">
        <f t="shared" si="1840"/>
        <v>350000</v>
      </c>
      <c r="Y331" s="98">
        <v>628825</v>
      </c>
      <c r="Z331" s="98">
        <v>12576500</v>
      </c>
      <c r="AE331" s="98">
        <v>450</v>
      </c>
      <c r="AF331" s="98">
        <v>9000</v>
      </c>
      <c r="AG331" s="91">
        <f t="shared" si="1841"/>
        <v>629275</v>
      </c>
      <c r="AH331" s="91">
        <f t="shared" si="1842"/>
        <v>12585500</v>
      </c>
      <c r="AO331" s="98">
        <v>606500</v>
      </c>
      <c r="AP331" s="98">
        <v>10310500</v>
      </c>
      <c r="AW331" s="91">
        <f t="shared" si="1843"/>
        <v>606500</v>
      </c>
      <c r="AX331" s="91">
        <f t="shared" si="1844"/>
        <v>10310500</v>
      </c>
      <c r="BE331" s="98">
        <v>278643</v>
      </c>
      <c r="BF331" s="98">
        <v>5154895.5</v>
      </c>
      <c r="BM331" s="91">
        <f t="shared" si="1845"/>
        <v>278643</v>
      </c>
      <c r="BN331" s="91">
        <f t="shared" si="1846"/>
        <v>5154895.5</v>
      </c>
      <c r="BU331" s="98">
        <v>57051</v>
      </c>
      <c r="BV331" s="98">
        <v>1141020</v>
      </c>
      <c r="CC331" s="91">
        <f t="shared" si="1847"/>
        <v>57051</v>
      </c>
      <c r="CD331" s="91">
        <f t="shared" si="1848"/>
        <v>1141020</v>
      </c>
      <c r="CK331" s="98">
        <v>138982</v>
      </c>
      <c r="CL331" s="98">
        <v>2084725</v>
      </c>
      <c r="CS331" s="91">
        <f t="shared" si="1849"/>
        <v>138982</v>
      </c>
      <c r="CT331" s="91">
        <f t="shared" si="1850"/>
        <v>2084725</v>
      </c>
      <c r="DA331" s="98">
        <v>692640</v>
      </c>
      <c r="DB331" s="98">
        <v>12813840</v>
      </c>
      <c r="DI331" s="91">
        <f t="shared" si="1851"/>
        <v>692640</v>
      </c>
      <c r="DJ331" s="91">
        <f t="shared" si="1852"/>
        <v>12813840</v>
      </c>
      <c r="DQ331" s="98">
        <v>661200</v>
      </c>
      <c r="DR331" s="98">
        <v>11901600</v>
      </c>
      <c r="DY331" s="91">
        <f t="shared" si="1853"/>
        <v>661200</v>
      </c>
      <c r="DZ331" s="91">
        <f t="shared" si="1854"/>
        <v>11901600</v>
      </c>
      <c r="EG331" s="98">
        <v>1345000</v>
      </c>
      <c r="EH331" s="98">
        <v>24210000</v>
      </c>
      <c r="EO331" s="91">
        <f t="shared" si="1855"/>
        <v>1345000</v>
      </c>
      <c r="EP331" s="91">
        <f t="shared" si="1856"/>
        <v>24210000</v>
      </c>
      <c r="EW331" s="98">
        <v>101500</v>
      </c>
      <c r="EX331" s="98">
        <v>2030000</v>
      </c>
      <c r="FA331" s="98">
        <v>2221</v>
      </c>
      <c r="FB331" s="98">
        <v>44420</v>
      </c>
      <c r="FE331" s="91">
        <f t="shared" si="1857"/>
        <v>103721</v>
      </c>
      <c r="FF331" s="91">
        <f t="shared" si="1858"/>
        <v>2074420</v>
      </c>
      <c r="FM331" s="98">
        <v>90126</v>
      </c>
      <c r="FN331" s="98">
        <v>1667331</v>
      </c>
      <c r="FU331" s="91">
        <f t="shared" si="1859"/>
        <v>90126</v>
      </c>
      <c r="FV331" s="91">
        <f t="shared" si="1860"/>
        <v>1667331</v>
      </c>
      <c r="GC331" s="98">
        <v>204000</v>
      </c>
      <c r="GD331" s="98">
        <v>3672000</v>
      </c>
      <c r="GK331" s="91">
        <f t="shared" si="1861"/>
        <v>204000</v>
      </c>
      <c r="GL331" s="91">
        <f t="shared" si="1862"/>
        <v>3672000</v>
      </c>
      <c r="GS331" s="98">
        <v>122000</v>
      </c>
      <c r="GT331" s="98">
        <v>2196000</v>
      </c>
      <c r="HA331" s="91">
        <f t="shared" si="1863"/>
        <v>122000</v>
      </c>
      <c r="HB331" s="91">
        <f t="shared" si="1864"/>
        <v>2196000</v>
      </c>
      <c r="HI331" s="98">
        <v>550000</v>
      </c>
      <c r="HJ331" s="98">
        <v>9900000</v>
      </c>
      <c r="HQ331" s="91">
        <f t="shared" si="1865"/>
        <v>550000</v>
      </c>
      <c r="HR331" s="91">
        <f t="shared" si="1866"/>
        <v>9900000</v>
      </c>
      <c r="HY331" s="98">
        <v>134750</v>
      </c>
      <c r="HZ331" s="611">
        <v>2425500</v>
      </c>
      <c r="IG331" s="91">
        <f t="shared" si="1867"/>
        <v>134750</v>
      </c>
      <c r="IH331" s="91">
        <f t="shared" si="1868"/>
        <v>2425500</v>
      </c>
      <c r="IO331" s="98">
        <v>711396</v>
      </c>
      <c r="IP331" s="98">
        <v>13160826</v>
      </c>
      <c r="IW331" s="91">
        <f t="shared" si="1869"/>
        <v>711396</v>
      </c>
      <c r="IX331" s="91">
        <f t="shared" si="1870"/>
        <v>13160826</v>
      </c>
      <c r="JE331" s="98">
        <v>332100</v>
      </c>
      <c r="JF331" s="98">
        <v>6143850</v>
      </c>
      <c r="JM331" s="91">
        <f t="shared" si="1871"/>
        <v>332100</v>
      </c>
      <c r="JN331" s="91">
        <f t="shared" si="1872"/>
        <v>6143850</v>
      </c>
      <c r="JU331" s="98">
        <v>69724</v>
      </c>
      <c r="JV331" s="98">
        <v>1673376</v>
      </c>
      <c r="KC331" s="91">
        <f t="shared" si="1873"/>
        <v>69724</v>
      </c>
      <c r="KD331" s="91">
        <f t="shared" si="1874"/>
        <v>1673376</v>
      </c>
      <c r="KK331" s="98">
        <v>60358</v>
      </c>
      <c r="KL331" s="98">
        <v>1207160</v>
      </c>
      <c r="KS331" s="91">
        <f t="shared" si="1875"/>
        <v>60358</v>
      </c>
      <c r="KT331" s="91">
        <f t="shared" si="1876"/>
        <v>1207160</v>
      </c>
      <c r="LA331" s="98">
        <v>1214360.3500000001</v>
      </c>
      <c r="LB331" s="98">
        <v>21858486</v>
      </c>
      <c r="LI331" s="91">
        <f t="shared" si="1877"/>
        <v>1214360.3500000001</v>
      </c>
      <c r="LJ331" s="91">
        <f t="shared" si="1878"/>
        <v>21858486</v>
      </c>
      <c r="LQ331" s="98">
        <v>132498</v>
      </c>
      <c r="LR331" s="98">
        <v>2384964</v>
      </c>
      <c r="LY331" s="91">
        <f t="shared" si="1879"/>
        <v>132498</v>
      </c>
      <c r="LZ331" s="91">
        <f t="shared" si="1880"/>
        <v>2384964</v>
      </c>
      <c r="MG331" s="98">
        <v>97670</v>
      </c>
      <c r="MH331" s="98">
        <v>1806895</v>
      </c>
      <c r="MO331" s="91">
        <f t="shared" si="1881"/>
        <v>97670</v>
      </c>
      <c r="MP331" s="91">
        <f t="shared" si="1882"/>
        <v>1806895</v>
      </c>
      <c r="MW331" s="98">
        <v>20500</v>
      </c>
      <c r="MX331" s="98">
        <v>471500</v>
      </c>
      <c r="NE331" s="91">
        <f t="shared" si="1883"/>
        <v>20500</v>
      </c>
      <c r="NF331" s="91">
        <f t="shared" si="1884"/>
        <v>471500</v>
      </c>
      <c r="NM331" s="98">
        <v>1965300</v>
      </c>
      <c r="NN331" s="98">
        <v>31444800</v>
      </c>
      <c r="NQ331" s="98">
        <v>610</v>
      </c>
      <c r="NR331" s="98">
        <v>9760</v>
      </c>
      <c r="NU331" s="91">
        <f t="shared" si="1885"/>
        <v>1965910</v>
      </c>
      <c r="NV331" s="91">
        <f t="shared" si="1886"/>
        <v>31454560</v>
      </c>
      <c r="OC331" s="98">
        <v>46178</v>
      </c>
      <c r="OD331" s="98">
        <v>877382</v>
      </c>
      <c r="OK331" s="91">
        <f t="shared" si="1887"/>
        <v>46178</v>
      </c>
      <c r="OL331" s="91">
        <f t="shared" si="1888"/>
        <v>877382</v>
      </c>
      <c r="OS331" s="98">
        <v>777978</v>
      </c>
      <c r="OT331" s="786">
        <v>5977284.5999999996</v>
      </c>
      <c r="PA331" s="91">
        <f t="shared" si="1889"/>
        <v>777978</v>
      </c>
      <c r="PB331" s="91">
        <f t="shared" si="1890"/>
        <v>5977284.5999999996</v>
      </c>
      <c r="PI331" s="98">
        <v>292834</v>
      </c>
      <c r="PJ331" s="98">
        <v>5124595</v>
      </c>
      <c r="PQ331" s="91">
        <f t="shared" si="1891"/>
        <v>292834</v>
      </c>
      <c r="PR331" s="91">
        <f t="shared" si="1892"/>
        <v>5124595</v>
      </c>
      <c r="PY331" s="98">
        <v>790190</v>
      </c>
      <c r="PZ331" s="98">
        <v>15013610</v>
      </c>
      <c r="QC331" s="98">
        <v>265840</v>
      </c>
      <c r="QD331" s="98">
        <v>5050960</v>
      </c>
      <c r="QG331" s="91">
        <f t="shared" si="1893"/>
        <v>1056030</v>
      </c>
      <c r="QH331" s="91">
        <f t="shared" si="1894"/>
        <v>20064570</v>
      </c>
      <c r="QO331" s="98">
        <v>930000</v>
      </c>
      <c r="QP331" s="98">
        <v>16740000</v>
      </c>
      <c r="QW331" s="91">
        <f t="shared" si="1895"/>
        <v>930000</v>
      </c>
      <c r="QX331" s="91">
        <f t="shared" si="1896"/>
        <v>16740000</v>
      </c>
      <c r="RE331" s="98">
        <v>2780</v>
      </c>
      <c r="RF331" s="98">
        <f>RE331*20</f>
        <v>55600</v>
      </c>
      <c r="RM331" s="91">
        <f t="shared" si="1897"/>
        <v>2780</v>
      </c>
      <c r="RN331" s="91">
        <f t="shared" si="1898"/>
        <v>55600</v>
      </c>
      <c r="RU331" s="98">
        <v>9890</v>
      </c>
      <c r="RV331" s="98">
        <v>182965</v>
      </c>
      <c r="SC331" s="91">
        <f t="shared" si="1899"/>
        <v>9890</v>
      </c>
      <c r="SD331" s="91">
        <f t="shared" si="1900"/>
        <v>182965</v>
      </c>
      <c r="SK331" s="98">
        <v>15700</v>
      </c>
      <c r="SL331" s="98">
        <v>290450</v>
      </c>
      <c r="SS331" s="91">
        <f t="shared" si="1901"/>
        <v>15700</v>
      </c>
      <c r="ST331" s="91">
        <f t="shared" si="1902"/>
        <v>290450</v>
      </c>
      <c r="TA331" s="98">
        <v>12530</v>
      </c>
      <c r="TB331" s="98">
        <v>225540</v>
      </c>
      <c r="TI331" s="91">
        <f t="shared" si="1903"/>
        <v>12530</v>
      </c>
      <c r="TJ331" s="91">
        <f t="shared" si="1904"/>
        <v>225540</v>
      </c>
      <c r="TQ331" s="98">
        <v>4500</v>
      </c>
      <c r="TR331" s="98">
        <v>85500</v>
      </c>
      <c r="TY331" s="91">
        <f t="shared" si="1905"/>
        <v>4500</v>
      </c>
      <c r="TZ331" s="91">
        <f t="shared" si="1906"/>
        <v>85500</v>
      </c>
      <c r="UG331" s="98">
        <v>18119</v>
      </c>
      <c r="UH331" s="98">
        <v>326142</v>
      </c>
      <c r="UO331" s="91">
        <f t="shared" si="1907"/>
        <v>18119</v>
      </c>
      <c r="UP331" s="91">
        <f t="shared" si="1908"/>
        <v>326142</v>
      </c>
      <c r="UW331" s="98">
        <v>1603</v>
      </c>
      <c r="UX331" s="98">
        <v>30457</v>
      </c>
      <c r="VE331" s="91">
        <f t="shared" si="1909"/>
        <v>1603</v>
      </c>
      <c r="VF331" s="91">
        <f t="shared" si="1910"/>
        <v>30457</v>
      </c>
      <c r="VM331" s="98">
        <v>11304</v>
      </c>
      <c r="VN331" s="98">
        <v>214776</v>
      </c>
      <c r="VU331" s="91">
        <f t="shared" si="1911"/>
        <v>11304</v>
      </c>
      <c r="VV331" s="91">
        <f t="shared" si="1912"/>
        <v>214776</v>
      </c>
      <c r="WC331" s="98">
        <v>188240</v>
      </c>
      <c r="WD331" s="98">
        <v>3764800</v>
      </c>
      <c r="WI331" s="98">
        <v>4540</v>
      </c>
      <c r="WJ331" s="98">
        <v>90800</v>
      </c>
      <c r="WK331" s="91">
        <f t="shared" si="1913"/>
        <v>192780</v>
      </c>
      <c r="WL331" s="91">
        <f t="shared" si="1914"/>
        <v>3855600</v>
      </c>
      <c r="WM331" s="89"/>
      <c r="WN331" s="87">
        <f t="shared" si="1915"/>
        <v>0</v>
      </c>
      <c r="WO331" s="87">
        <f t="shared" si="1916"/>
        <v>0</v>
      </c>
      <c r="WP331" s="87">
        <f t="shared" si="1917"/>
        <v>0</v>
      </c>
      <c r="WQ331" s="87">
        <f t="shared" si="1918"/>
        <v>0</v>
      </c>
      <c r="WR331" s="87">
        <f t="shared" si="1919"/>
        <v>0</v>
      </c>
      <c r="WS331" s="87">
        <f t="shared" si="1920"/>
        <v>0</v>
      </c>
      <c r="WT331" s="87">
        <f t="shared" si="1921"/>
        <v>13334269.35</v>
      </c>
      <c r="WU331" s="87">
        <f t="shared" si="1922"/>
        <v>231490870.09999999</v>
      </c>
      <c r="WV331" s="87">
        <f t="shared" si="1923"/>
        <v>0</v>
      </c>
      <c r="WW331" s="87">
        <f t="shared" si="1924"/>
        <v>0</v>
      </c>
      <c r="WX331" s="87">
        <f t="shared" si="1925"/>
        <v>268871</v>
      </c>
      <c r="WY331" s="87">
        <f t="shared" si="1926"/>
        <v>5109140</v>
      </c>
      <c r="WZ331" s="87">
        <f t="shared" si="1927"/>
        <v>4990</v>
      </c>
      <c r="XA331" s="87">
        <f t="shared" si="1928"/>
        <v>99800</v>
      </c>
      <c r="XB331" s="92">
        <f t="shared" si="1929"/>
        <v>13608130.35</v>
      </c>
      <c r="XC331" s="92">
        <f t="shared" si="1930"/>
        <v>236699810.09999999</v>
      </c>
      <c r="XD331" s="89"/>
      <c r="XE331" s="92"/>
      <c r="XF331" s="92"/>
      <c r="XG331" s="89"/>
      <c r="XH331" s="92"/>
      <c r="XI331" s="92"/>
      <c r="XJ331" s="89"/>
      <c r="XK331" s="87"/>
      <c r="XL331" s="87"/>
      <c r="XM331" s="87"/>
      <c r="XN331" s="87"/>
      <c r="XO331" s="87"/>
      <c r="XP331" s="87"/>
      <c r="XQ331" s="87"/>
      <c r="XR331" s="92">
        <f t="shared" ca="1" si="1931"/>
        <v>0</v>
      </c>
      <c r="XS331" s="89"/>
      <c r="XT331" s="87"/>
      <c r="XU331" s="87"/>
      <c r="XV331" s="87"/>
      <c r="XW331" s="87"/>
      <c r="XX331" s="87"/>
      <c r="XY331" s="87"/>
      <c r="XZ331" s="87"/>
      <c r="YA331" s="92">
        <f t="shared" ca="1" si="1932"/>
        <v>0</v>
      </c>
      <c r="YB331" s="90"/>
      <c r="YC331" s="90"/>
      <c r="YD331" s="90"/>
      <c r="YE331" s="90"/>
      <c r="YF331" s="90"/>
      <c r="YG331" s="90"/>
      <c r="YH331" s="90"/>
      <c r="YI331" s="90"/>
      <c r="YJ331" s="90"/>
      <c r="YK331" s="90"/>
      <c r="YL331" s="90"/>
      <c r="YM331" s="90"/>
      <c r="YN331" s="90"/>
      <c r="YO331" s="90"/>
      <c r="YP331" s="90"/>
      <c r="YQ331" s="90"/>
      <c r="YR331" s="90"/>
      <c r="YS331" s="90"/>
      <c r="YT331" s="90"/>
      <c r="YU331" s="90"/>
      <c r="YV331" s="90"/>
      <c r="YW331" s="90"/>
      <c r="YX331" s="90"/>
      <c r="YY331" s="90"/>
      <c r="YZ331" s="90"/>
      <c r="ZA331" s="90"/>
      <c r="ZB331" s="90"/>
      <c r="ZC331" s="90"/>
      <c r="ZD331" s="90"/>
      <c r="ZE331" s="90"/>
      <c r="ZF331" s="90"/>
      <c r="ZG331" s="90"/>
      <c r="ZH331" s="90"/>
      <c r="ZI331" s="90"/>
      <c r="ZJ331" s="90"/>
      <c r="ZK331" s="90"/>
      <c r="ZL331" s="90"/>
      <c r="ZM331" s="90"/>
      <c r="ZN331" s="90"/>
      <c r="ZO331" s="90"/>
      <c r="ZP331" s="90"/>
      <c r="ZQ331" s="90"/>
      <c r="ZR331" s="90"/>
      <c r="ZS331" s="90"/>
      <c r="ZT331" s="90"/>
      <c r="ZU331" s="90"/>
      <c r="ZV331" s="90"/>
      <c r="ZW331" s="90"/>
      <c r="ZX331" s="90"/>
      <c r="ZY331" s="90"/>
      <c r="ZZ331" s="90"/>
      <c r="AAA331" s="90"/>
      <c r="AAB331" s="90"/>
      <c r="AAC331" s="90"/>
      <c r="AAD331" s="90"/>
      <c r="AAE331" s="90"/>
      <c r="AAF331" s="90"/>
      <c r="AAG331" s="90"/>
      <c r="AAH331" s="90"/>
      <c r="AAI331" s="90"/>
      <c r="AAJ331" s="90"/>
      <c r="AAK331" s="90"/>
      <c r="AAL331" s="90"/>
      <c r="AAM331" s="90"/>
      <c r="AAN331" s="90"/>
      <c r="AAO331" s="90"/>
      <c r="AAP331" s="90"/>
      <c r="AAQ331" s="90"/>
      <c r="AAR331" s="90"/>
      <c r="AAS331" s="90"/>
      <c r="AAT331" s="90"/>
      <c r="AAU331" s="90"/>
      <c r="AAV331" s="90"/>
      <c r="AAW331" s="90"/>
      <c r="AAX331" s="90"/>
      <c r="AAY331" s="90"/>
      <c r="AAZ331" s="90"/>
      <c r="ABA331" s="90"/>
      <c r="ABB331" s="90"/>
      <c r="ABC331" s="90"/>
      <c r="ABD331" s="90"/>
      <c r="ABE331" s="90"/>
      <c r="ABF331" s="90"/>
      <c r="ABG331" s="90"/>
      <c r="ABH331" s="90"/>
      <c r="ABI331" s="90"/>
      <c r="ABJ331" s="90"/>
      <c r="ABK331" s="90"/>
      <c r="ABL331" s="90"/>
      <c r="ABM331" s="90"/>
      <c r="ABN331" s="90"/>
      <c r="ABO331" s="90"/>
      <c r="ABP331" s="90"/>
      <c r="ABQ331" s="90"/>
      <c r="ABR331" s="90"/>
      <c r="ABS331" s="90"/>
      <c r="ABT331" s="90"/>
      <c r="ABU331" s="90"/>
      <c r="ABV331" s="90"/>
      <c r="ABW331" s="90"/>
      <c r="ABX331" s="90"/>
      <c r="ABY331" s="90"/>
      <c r="ABZ331" s="90"/>
      <c r="ACA331" s="90"/>
      <c r="ACB331" s="90"/>
      <c r="ACC331" s="90"/>
      <c r="ACD331" s="90"/>
      <c r="ACE331" s="90"/>
      <c r="ACF331" s="90"/>
      <c r="ACG331" s="90"/>
      <c r="ACH331" s="90"/>
      <c r="ACI331" s="90"/>
      <c r="ACJ331" s="90"/>
      <c r="ACK331" s="90"/>
      <c r="ACL331" s="90"/>
      <c r="ACM331" s="90"/>
      <c r="ACN331" s="90"/>
      <c r="ACO331" s="90"/>
      <c r="ACP331" s="90"/>
      <c r="ACQ331" s="90"/>
      <c r="ACR331" s="90"/>
      <c r="ACS331" s="90"/>
      <c r="ACT331" s="90"/>
      <c r="ACU331" s="90"/>
      <c r="ACV331" s="90"/>
      <c r="ACW331" s="90"/>
      <c r="ACX331" s="90"/>
      <c r="ACY331" s="90"/>
      <c r="ACZ331" s="90"/>
      <c r="ADA331" s="90"/>
      <c r="ADB331" s="90"/>
      <c r="ADC331" s="90"/>
      <c r="ADD331" s="90"/>
      <c r="ADE331" s="90"/>
      <c r="ADF331" s="90"/>
      <c r="ADG331" s="90"/>
      <c r="ADH331" s="90"/>
      <c r="ADI331" s="90"/>
      <c r="ADJ331" s="90"/>
      <c r="ADK331" s="90"/>
      <c r="ADL331" s="90"/>
      <c r="ADM331" s="90"/>
      <c r="ADN331" s="90"/>
      <c r="ADO331" s="90"/>
      <c r="ADP331" s="90"/>
      <c r="ADQ331" s="90"/>
      <c r="ADR331" s="90"/>
      <c r="ADS331" s="90"/>
      <c r="ADT331" s="90"/>
      <c r="ADU331" s="90"/>
      <c r="ADV331" s="90"/>
      <c r="ADW331" s="90"/>
      <c r="ADX331" s="90"/>
      <c r="ADY331" s="90"/>
      <c r="ADZ331" s="90"/>
      <c r="AEA331" s="90"/>
      <c r="AEB331" s="90"/>
      <c r="AEC331" s="90"/>
      <c r="AED331" s="90"/>
      <c r="AEE331" s="90"/>
      <c r="AEF331" s="90"/>
      <c r="AEG331" s="90"/>
      <c r="AEH331" s="90"/>
      <c r="AEI331" s="90"/>
      <c r="AEJ331" s="90"/>
      <c r="AEK331" s="90"/>
      <c r="AEL331" s="90"/>
      <c r="AEM331" s="90"/>
      <c r="AEN331" s="90"/>
      <c r="AEO331" s="90"/>
      <c r="AEP331" s="90"/>
      <c r="AEQ331" s="90"/>
      <c r="AER331" s="90"/>
      <c r="AES331" s="90"/>
      <c r="AET331" s="90"/>
      <c r="AEU331" s="90"/>
      <c r="AEV331" s="90"/>
      <c r="AEW331" s="90"/>
      <c r="AEX331" s="90"/>
      <c r="AEY331" s="90"/>
      <c r="AEZ331" s="90"/>
      <c r="AFA331" s="90"/>
      <c r="AFB331" s="90"/>
      <c r="AFC331" s="90"/>
      <c r="AFD331" s="90"/>
      <c r="AFE331" s="90"/>
      <c r="AFF331" s="90"/>
      <c r="AFG331" s="90"/>
      <c r="AFH331" s="90"/>
      <c r="AFI331" s="90"/>
      <c r="AFJ331" s="90"/>
      <c r="AFK331" s="90"/>
      <c r="AFL331" s="90"/>
      <c r="AFM331" s="90"/>
      <c r="AFN331" s="90"/>
      <c r="AFO331" s="90"/>
      <c r="AFP331" s="90"/>
      <c r="AFQ331" s="90"/>
      <c r="AFR331" s="90"/>
      <c r="AFS331" s="90"/>
      <c r="AFT331" s="90"/>
      <c r="AFU331" s="90"/>
      <c r="AFV331" s="90"/>
      <c r="AFW331" s="90"/>
      <c r="AFX331" s="90"/>
      <c r="AFY331" s="90"/>
      <c r="AFZ331" s="90"/>
      <c r="AGA331" s="90"/>
      <c r="AGB331" s="90"/>
      <c r="AGC331" s="90"/>
      <c r="AGD331" s="90"/>
      <c r="AGE331" s="90"/>
      <c r="AGF331" s="90"/>
      <c r="AGG331" s="90"/>
      <c r="AGH331" s="90"/>
      <c r="AGI331" s="90"/>
      <c r="AGJ331" s="90"/>
      <c r="AGK331" s="90"/>
      <c r="AGL331" s="90"/>
      <c r="AGM331" s="90"/>
      <c r="AGN331" s="90"/>
      <c r="AGO331" s="90"/>
      <c r="AGP331" s="90"/>
      <c r="AGQ331" s="90"/>
      <c r="AGR331" s="90"/>
      <c r="AGS331" s="90"/>
      <c r="AGT331" s="90"/>
      <c r="AGU331" s="90"/>
      <c r="AGV331" s="90"/>
      <c r="AGW331" s="90"/>
      <c r="AGX331" s="90"/>
      <c r="AGY331" s="90"/>
      <c r="AGZ331" s="90"/>
      <c r="AHA331" s="90"/>
      <c r="AHB331" s="90"/>
      <c r="AHC331" s="90"/>
      <c r="AHD331" s="90"/>
      <c r="AHE331" s="90"/>
      <c r="AHF331" s="90"/>
      <c r="AHG331" s="90"/>
      <c r="AHH331" s="90"/>
      <c r="AHI331" s="90"/>
      <c r="AHJ331" s="90"/>
      <c r="AHK331" s="90"/>
      <c r="AHL331" s="90"/>
      <c r="AHM331" s="90"/>
      <c r="AHN331" s="90"/>
      <c r="AHO331" s="90"/>
      <c r="AHP331" s="90"/>
      <c r="AHQ331" s="90"/>
      <c r="AHR331" s="90"/>
      <c r="AHS331" s="90"/>
      <c r="AHT331" s="90"/>
      <c r="AHU331" s="90"/>
      <c r="AHV331" s="90"/>
      <c r="AHW331" s="90"/>
      <c r="AHX331" s="90"/>
      <c r="AHY331" s="90"/>
      <c r="AHZ331" s="90"/>
      <c r="AIA331" s="90"/>
      <c r="AIB331" s="90"/>
      <c r="AIC331" s="90"/>
      <c r="AID331" s="90"/>
      <c r="AIE331" s="90"/>
      <c r="AIF331" s="90"/>
      <c r="AIG331" s="90"/>
      <c r="AIH331" s="90"/>
      <c r="AII331" s="90"/>
      <c r="AIJ331" s="90"/>
      <c r="AIK331" s="90"/>
      <c r="AIL331" s="90"/>
      <c r="AIM331" s="90"/>
      <c r="AIN331" s="90"/>
      <c r="AIO331" s="90"/>
      <c r="AIP331" s="90"/>
      <c r="AIQ331" s="90"/>
      <c r="AIR331" s="90"/>
      <c r="AIS331" s="90"/>
      <c r="AIT331" s="90"/>
      <c r="AIU331" s="90"/>
      <c r="AIV331" s="90"/>
      <c r="AIW331" s="90"/>
      <c r="AIX331" s="90"/>
      <c r="AIY331" s="90"/>
      <c r="AIZ331" s="90"/>
      <c r="AJA331" s="90"/>
      <c r="AJB331" s="90"/>
      <c r="AJC331" s="90"/>
      <c r="AJD331" s="90"/>
      <c r="AJE331" s="90"/>
      <c r="AJF331" s="90"/>
      <c r="AJG331" s="90"/>
      <c r="AJH331" s="90"/>
      <c r="AJI331" s="90"/>
      <c r="AJJ331" s="90"/>
      <c r="AJK331" s="90"/>
      <c r="AJL331" s="90"/>
      <c r="AJM331" s="90"/>
      <c r="AJN331" s="90"/>
      <c r="AJO331" s="90"/>
      <c r="AJP331" s="90"/>
      <c r="AJQ331" s="90"/>
      <c r="AJR331" s="90"/>
      <c r="AJS331" s="90"/>
      <c r="AJT331" s="90"/>
      <c r="AJU331" s="90"/>
      <c r="AJV331" s="90"/>
      <c r="AJW331" s="90"/>
      <c r="AJX331" s="90"/>
      <c r="AJY331" s="90"/>
      <c r="AJZ331" s="90"/>
      <c r="AKA331" s="90"/>
      <c r="AKB331" s="90"/>
      <c r="AKC331" s="90"/>
      <c r="AKD331" s="90"/>
      <c r="AKE331" s="90"/>
      <c r="AKF331" s="90"/>
      <c r="AKG331" s="90"/>
      <c r="AKH331" s="90"/>
      <c r="AKI331" s="90"/>
      <c r="AKJ331" s="90"/>
      <c r="AKK331" s="90"/>
      <c r="AKL331" s="90"/>
      <c r="AKM331" s="90"/>
      <c r="AKN331" s="90"/>
      <c r="AKO331" s="90"/>
      <c r="AKP331" s="90"/>
      <c r="AKQ331" s="90"/>
      <c r="AKR331" s="90"/>
      <c r="AKS331" s="90"/>
      <c r="AKT331" s="90"/>
      <c r="AKU331" s="90"/>
      <c r="AKV331" s="90"/>
      <c r="AKW331" s="90"/>
      <c r="AKX331" s="90"/>
      <c r="AKY331" s="90"/>
      <c r="AKZ331" s="90"/>
      <c r="ALA331" s="90"/>
      <c r="ALB331" s="90"/>
      <c r="ALC331" s="90"/>
      <c r="ALD331" s="90"/>
      <c r="ALE331" s="90"/>
      <c r="ALF331" s="90"/>
      <c r="ALG331" s="90"/>
      <c r="ALH331" s="90"/>
      <c r="ALI331" s="90"/>
      <c r="ALJ331" s="90"/>
      <c r="ALK331" s="90"/>
      <c r="ALL331" s="90"/>
      <c r="ALM331" s="90"/>
      <c r="ALN331" s="90"/>
      <c r="ALO331" s="90"/>
      <c r="ALP331" s="90"/>
      <c r="ALQ331" s="90"/>
      <c r="ALR331" s="90"/>
      <c r="ALS331" s="90"/>
      <c r="ALT331" s="90"/>
      <c r="ALU331" s="90"/>
      <c r="ALV331" s="90"/>
      <c r="ALW331" s="90"/>
      <c r="ALX331" s="90"/>
      <c r="ALY331" s="90"/>
      <c r="ALZ331" s="90"/>
      <c r="AMA331" s="90"/>
      <c r="AMB331" s="90"/>
      <c r="AMC331" s="90"/>
    </row>
    <row r="332" spans="1:1017">
      <c r="A332" s="98" t="s">
        <v>53</v>
      </c>
      <c r="B332" s="90" t="str">
        <f t="shared" si="1838"/>
        <v xml:space="preserve">Lobster Air Laut </v>
      </c>
      <c r="J332" s="611"/>
      <c r="Q332" s="91">
        <f t="shared" si="1839"/>
        <v>0</v>
      </c>
      <c r="R332" s="91">
        <f t="shared" si="1840"/>
        <v>0</v>
      </c>
      <c r="S332" s="98">
        <v>540</v>
      </c>
      <c r="T332" s="98">
        <v>189000</v>
      </c>
      <c r="Z332" s="611"/>
      <c r="AG332" s="91">
        <f t="shared" si="1841"/>
        <v>540</v>
      </c>
      <c r="AH332" s="91">
        <f t="shared" si="1842"/>
        <v>189000</v>
      </c>
      <c r="AP332" s="611"/>
      <c r="AW332" s="91">
        <f t="shared" si="1843"/>
        <v>0</v>
      </c>
      <c r="AX332" s="91">
        <f t="shared" si="1844"/>
        <v>0</v>
      </c>
      <c r="BF332" s="611"/>
      <c r="BM332" s="91">
        <f t="shared" si="1845"/>
        <v>0</v>
      </c>
      <c r="BN332" s="91">
        <f t="shared" si="1846"/>
        <v>0</v>
      </c>
      <c r="BV332" s="611"/>
      <c r="CC332" s="91">
        <f t="shared" si="1847"/>
        <v>0</v>
      </c>
      <c r="CD332" s="91">
        <f t="shared" si="1848"/>
        <v>0</v>
      </c>
      <c r="CL332" s="611"/>
      <c r="CS332" s="91">
        <f t="shared" si="1849"/>
        <v>0</v>
      </c>
      <c r="CT332" s="91">
        <f t="shared" si="1850"/>
        <v>0</v>
      </c>
      <c r="DB332" s="611"/>
      <c r="DI332" s="91">
        <f t="shared" si="1851"/>
        <v>0</v>
      </c>
      <c r="DJ332" s="91">
        <f t="shared" si="1852"/>
        <v>0</v>
      </c>
      <c r="DR332" s="611"/>
      <c r="DY332" s="91">
        <f t="shared" si="1853"/>
        <v>0</v>
      </c>
      <c r="DZ332" s="91">
        <f t="shared" si="1854"/>
        <v>0</v>
      </c>
      <c r="EH332" s="611"/>
      <c r="EO332" s="91">
        <f t="shared" si="1855"/>
        <v>0</v>
      </c>
      <c r="EP332" s="91">
        <f t="shared" si="1856"/>
        <v>0</v>
      </c>
      <c r="EX332" s="611"/>
      <c r="FE332" s="91">
        <f t="shared" si="1857"/>
        <v>0</v>
      </c>
      <c r="FF332" s="91">
        <f t="shared" si="1858"/>
        <v>0</v>
      </c>
      <c r="FN332" s="611"/>
      <c r="FU332" s="91">
        <f t="shared" si="1859"/>
        <v>0</v>
      </c>
      <c r="FV332" s="91">
        <f t="shared" si="1860"/>
        <v>0</v>
      </c>
      <c r="GD332" s="611"/>
      <c r="GK332" s="91">
        <f t="shared" si="1861"/>
        <v>0</v>
      </c>
      <c r="GL332" s="91">
        <f t="shared" si="1862"/>
        <v>0</v>
      </c>
      <c r="GT332" s="611"/>
      <c r="HA332" s="91">
        <f t="shared" si="1863"/>
        <v>0</v>
      </c>
      <c r="HB332" s="91">
        <f t="shared" si="1864"/>
        <v>0</v>
      </c>
      <c r="HJ332" s="611"/>
      <c r="HQ332" s="91">
        <f t="shared" si="1865"/>
        <v>0</v>
      </c>
      <c r="HR332" s="91">
        <f t="shared" si="1866"/>
        <v>0</v>
      </c>
      <c r="HZ332" s="611"/>
      <c r="IG332" s="91">
        <f t="shared" si="1867"/>
        <v>0</v>
      </c>
      <c r="IH332" s="91">
        <f t="shared" si="1868"/>
        <v>0</v>
      </c>
      <c r="IP332" s="611"/>
      <c r="IW332" s="91">
        <f t="shared" si="1869"/>
        <v>0</v>
      </c>
      <c r="IX332" s="91">
        <f t="shared" si="1870"/>
        <v>0</v>
      </c>
      <c r="JF332" s="611"/>
      <c r="JM332" s="91">
        <f t="shared" si="1871"/>
        <v>0</v>
      </c>
      <c r="JN332" s="91">
        <f t="shared" si="1872"/>
        <v>0</v>
      </c>
      <c r="JV332" s="611"/>
      <c r="KC332" s="91">
        <f t="shared" si="1873"/>
        <v>0</v>
      </c>
      <c r="KD332" s="91">
        <f t="shared" si="1874"/>
        <v>0</v>
      </c>
      <c r="KL332" s="611"/>
      <c r="KS332" s="91">
        <f t="shared" si="1875"/>
        <v>0</v>
      </c>
      <c r="KT332" s="91">
        <f t="shared" si="1876"/>
        <v>0</v>
      </c>
      <c r="LB332" s="611"/>
      <c r="LI332" s="91">
        <f t="shared" si="1877"/>
        <v>0</v>
      </c>
      <c r="LJ332" s="91">
        <f t="shared" si="1878"/>
        <v>0</v>
      </c>
      <c r="LR332" s="611"/>
      <c r="LY332" s="91">
        <f t="shared" si="1879"/>
        <v>0</v>
      </c>
      <c r="LZ332" s="91">
        <f t="shared" si="1880"/>
        <v>0</v>
      </c>
      <c r="MH332" s="611"/>
      <c r="MO332" s="91">
        <f t="shared" si="1881"/>
        <v>0</v>
      </c>
      <c r="MP332" s="91">
        <f t="shared" si="1882"/>
        <v>0</v>
      </c>
      <c r="MX332" s="611"/>
      <c r="NE332" s="91">
        <f t="shared" si="1883"/>
        <v>0</v>
      </c>
      <c r="NF332" s="91">
        <f t="shared" si="1884"/>
        <v>0</v>
      </c>
      <c r="NN332" s="611"/>
      <c r="NU332" s="91">
        <f t="shared" si="1885"/>
        <v>0</v>
      </c>
      <c r="NV332" s="91">
        <f t="shared" si="1886"/>
        <v>0</v>
      </c>
      <c r="NW332" s="98">
        <v>250</v>
      </c>
      <c r="NX332" s="98">
        <v>87500</v>
      </c>
      <c r="OD332" s="611"/>
      <c r="OK332" s="91">
        <f t="shared" si="1887"/>
        <v>250</v>
      </c>
      <c r="OL332" s="91">
        <f t="shared" si="1888"/>
        <v>87500</v>
      </c>
      <c r="OT332" s="611"/>
      <c r="PA332" s="91">
        <f t="shared" si="1889"/>
        <v>0</v>
      </c>
      <c r="PB332" s="91">
        <f t="shared" si="1890"/>
        <v>0</v>
      </c>
      <c r="PC332" s="98">
        <v>225</v>
      </c>
      <c r="PD332" s="98">
        <v>29250</v>
      </c>
      <c r="PJ332" s="611"/>
      <c r="PQ332" s="91">
        <f t="shared" si="1891"/>
        <v>225</v>
      </c>
      <c r="PR332" s="91">
        <f t="shared" si="1892"/>
        <v>29250</v>
      </c>
      <c r="PZ332" s="611"/>
      <c r="QG332" s="91">
        <f t="shared" si="1893"/>
        <v>0</v>
      </c>
      <c r="QH332" s="91">
        <f t="shared" si="1894"/>
        <v>0</v>
      </c>
      <c r="QP332" s="611"/>
      <c r="QW332" s="91">
        <f t="shared" si="1895"/>
        <v>0</v>
      </c>
      <c r="QX332" s="91">
        <f t="shared" si="1896"/>
        <v>0</v>
      </c>
      <c r="RF332" s="611"/>
      <c r="RM332" s="91">
        <f t="shared" si="1897"/>
        <v>0</v>
      </c>
      <c r="RN332" s="91">
        <f t="shared" si="1898"/>
        <v>0</v>
      </c>
      <c r="RV332" s="611"/>
      <c r="SC332" s="91">
        <f t="shared" si="1899"/>
        <v>0</v>
      </c>
      <c r="SD332" s="91">
        <f t="shared" si="1900"/>
        <v>0</v>
      </c>
      <c r="SL332" s="611"/>
      <c r="SS332" s="91">
        <f t="shared" si="1901"/>
        <v>0</v>
      </c>
      <c r="ST332" s="91">
        <f t="shared" si="1902"/>
        <v>0</v>
      </c>
      <c r="TB332" s="611"/>
      <c r="TI332" s="91">
        <f t="shared" si="1903"/>
        <v>0</v>
      </c>
      <c r="TJ332" s="91">
        <f t="shared" si="1904"/>
        <v>0</v>
      </c>
      <c r="TR332" s="611"/>
      <c r="TY332" s="91">
        <f t="shared" si="1905"/>
        <v>0</v>
      </c>
      <c r="TZ332" s="91">
        <f t="shared" si="1906"/>
        <v>0</v>
      </c>
      <c r="UH332" s="611"/>
      <c r="UO332" s="91">
        <f t="shared" si="1907"/>
        <v>0</v>
      </c>
      <c r="UP332" s="91">
        <f t="shared" si="1908"/>
        <v>0</v>
      </c>
      <c r="UX332" s="611"/>
      <c r="VE332" s="91">
        <f t="shared" si="1909"/>
        <v>0</v>
      </c>
      <c r="VF332" s="91">
        <f t="shared" si="1910"/>
        <v>0</v>
      </c>
      <c r="VN332" s="611"/>
      <c r="VU332" s="91">
        <f t="shared" si="1911"/>
        <v>0</v>
      </c>
      <c r="VV332" s="91">
        <f t="shared" si="1912"/>
        <v>0</v>
      </c>
      <c r="WD332" s="611"/>
      <c r="WK332" s="91">
        <f t="shared" si="1913"/>
        <v>0</v>
      </c>
      <c r="WL332" s="91">
        <f t="shared" si="1914"/>
        <v>0</v>
      </c>
      <c r="WM332" s="89"/>
      <c r="WN332" s="87">
        <f t="shared" si="1915"/>
        <v>1015</v>
      </c>
      <c r="WO332" s="87">
        <f t="shared" si="1916"/>
        <v>305750</v>
      </c>
      <c r="WP332" s="87">
        <f t="shared" si="1917"/>
        <v>0</v>
      </c>
      <c r="WQ332" s="87">
        <f t="shared" si="1918"/>
        <v>0</v>
      </c>
      <c r="WR332" s="87">
        <f t="shared" si="1919"/>
        <v>0</v>
      </c>
      <c r="WS332" s="87">
        <f t="shared" si="1920"/>
        <v>0</v>
      </c>
      <c r="WT332" s="87">
        <f t="shared" si="1921"/>
        <v>0</v>
      </c>
      <c r="WU332" s="87">
        <f t="shared" si="1922"/>
        <v>0</v>
      </c>
      <c r="WV332" s="87">
        <f t="shared" si="1923"/>
        <v>0</v>
      </c>
      <c r="WW332" s="87">
        <f t="shared" si="1924"/>
        <v>0</v>
      </c>
      <c r="WX332" s="87">
        <f t="shared" si="1925"/>
        <v>0</v>
      </c>
      <c r="WY332" s="87">
        <f t="shared" si="1926"/>
        <v>0</v>
      </c>
      <c r="WZ332" s="87">
        <f t="shared" si="1927"/>
        <v>0</v>
      </c>
      <c r="XA332" s="87">
        <f t="shared" si="1928"/>
        <v>0</v>
      </c>
      <c r="XB332" s="92">
        <f t="shared" si="1929"/>
        <v>1015</v>
      </c>
      <c r="XC332" s="92">
        <f t="shared" si="1930"/>
        <v>305750</v>
      </c>
      <c r="XD332" s="89"/>
      <c r="XE332" s="92"/>
      <c r="XF332" s="92"/>
      <c r="XG332" s="89"/>
      <c r="XH332" s="92"/>
      <c r="XI332" s="92"/>
      <c r="XJ332" s="89"/>
      <c r="XK332" s="87"/>
      <c r="XL332" s="87"/>
      <c r="XM332" s="87"/>
      <c r="XN332" s="87"/>
      <c r="XO332" s="87"/>
      <c r="XP332" s="87"/>
      <c r="XQ332" s="87"/>
      <c r="XR332" s="92">
        <f t="shared" ca="1" si="1931"/>
        <v>0</v>
      </c>
      <c r="XS332" s="89"/>
      <c r="XT332" s="87"/>
      <c r="XU332" s="87"/>
      <c r="XV332" s="87"/>
      <c r="XW332" s="87"/>
      <c r="XX332" s="87"/>
      <c r="XY332" s="87"/>
      <c r="XZ332" s="87"/>
      <c r="YA332" s="92">
        <f t="shared" ca="1" si="1932"/>
        <v>0</v>
      </c>
      <c r="YB332" s="90"/>
      <c r="YC332" s="90"/>
      <c r="YD332" s="90"/>
      <c r="YE332" s="90"/>
      <c r="YF332" s="90"/>
      <c r="YG332" s="90"/>
      <c r="YH332" s="90"/>
      <c r="YI332" s="90"/>
      <c r="YJ332" s="90"/>
      <c r="YK332" s="90"/>
      <c r="YL332" s="90"/>
      <c r="YM332" s="90"/>
      <c r="YN332" s="90"/>
      <c r="YO332" s="90"/>
      <c r="YP332" s="90"/>
      <c r="YQ332" s="90"/>
      <c r="YR332" s="90"/>
      <c r="YS332" s="90"/>
      <c r="YT332" s="90"/>
      <c r="YU332" s="90"/>
      <c r="YV332" s="90"/>
      <c r="YW332" s="90"/>
      <c r="YX332" s="90"/>
      <c r="YY332" s="90"/>
      <c r="YZ332" s="90"/>
      <c r="ZA332" s="90"/>
      <c r="ZB332" s="90"/>
      <c r="ZC332" s="90"/>
      <c r="ZD332" s="90"/>
      <c r="ZE332" s="90"/>
      <c r="ZF332" s="90"/>
      <c r="ZG332" s="90"/>
      <c r="ZH332" s="90"/>
      <c r="ZI332" s="90"/>
      <c r="ZJ332" s="90"/>
      <c r="ZK332" s="90"/>
      <c r="ZL332" s="90"/>
      <c r="ZM332" s="90"/>
      <c r="ZN332" s="90"/>
      <c r="ZO332" s="90"/>
      <c r="ZP332" s="90"/>
      <c r="ZQ332" s="90"/>
      <c r="ZR332" s="90"/>
      <c r="ZS332" s="90"/>
      <c r="ZT332" s="90"/>
      <c r="ZU332" s="90"/>
      <c r="ZV332" s="90"/>
      <c r="ZW332" s="90"/>
      <c r="ZX332" s="90"/>
      <c r="ZY332" s="90"/>
      <c r="ZZ332" s="90"/>
      <c r="AAA332" s="90"/>
      <c r="AAB332" s="90"/>
      <c r="AAC332" s="90"/>
      <c r="AAD332" s="90"/>
      <c r="AAE332" s="90"/>
      <c r="AAF332" s="90"/>
      <c r="AAG332" s="90"/>
      <c r="AAH332" s="90"/>
      <c r="AAI332" s="90"/>
      <c r="AAJ332" s="90"/>
      <c r="AAK332" s="90"/>
      <c r="AAL332" s="90"/>
      <c r="AAM332" s="90"/>
      <c r="AAN332" s="90"/>
      <c r="AAO332" s="90"/>
      <c r="AAP332" s="90"/>
      <c r="AAQ332" s="90"/>
      <c r="AAR332" s="90"/>
      <c r="AAS332" s="90"/>
      <c r="AAT332" s="90"/>
      <c r="AAU332" s="90"/>
      <c r="AAV332" s="90"/>
      <c r="AAW332" s="90"/>
      <c r="AAX332" s="90"/>
      <c r="AAY332" s="90"/>
      <c r="AAZ332" s="90"/>
      <c r="ABA332" s="90"/>
      <c r="ABB332" s="90"/>
      <c r="ABC332" s="90"/>
      <c r="ABD332" s="90"/>
      <c r="ABE332" s="90"/>
      <c r="ABF332" s="90"/>
      <c r="ABG332" s="90"/>
      <c r="ABH332" s="90"/>
      <c r="ABI332" s="90"/>
      <c r="ABJ332" s="90"/>
      <c r="ABK332" s="90"/>
      <c r="ABL332" s="90"/>
      <c r="ABM332" s="90"/>
      <c r="ABN332" s="90"/>
      <c r="ABO332" s="90"/>
      <c r="ABP332" s="90"/>
      <c r="ABQ332" s="90"/>
      <c r="ABR332" s="90"/>
      <c r="ABS332" s="90"/>
      <c r="ABT332" s="90"/>
      <c r="ABU332" s="90"/>
      <c r="ABV332" s="90"/>
      <c r="ABW332" s="90"/>
      <c r="ABX332" s="90"/>
      <c r="ABY332" s="90"/>
      <c r="ABZ332" s="90"/>
      <c r="ACA332" s="90"/>
      <c r="ACB332" s="90"/>
      <c r="ACC332" s="90"/>
      <c r="ACD332" s="90"/>
      <c r="ACE332" s="90"/>
      <c r="ACF332" s="90"/>
      <c r="ACG332" s="90"/>
      <c r="ACH332" s="90"/>
      <c r="ACI332" s="90"/>
      <c r="ACJ332" s="90"/>
      <c r="ACK332" s="90"/>
      <c r="ACL332" s="90"/>
      <c r="ACM332" s="90"/>
      <c r="ACN332" s="90"/>
      <c r="ACO332" s="90"/>
      <c r="ACP332" s="90"/>
      <c r="ACQ332" s="90"/>
      <c r="ACR332" s="90"/>
      <c r="ACS332" s="90"/>
      <c r="ACT332" s="90"/>
      <c r="ACU332" s="90"/>
      <c r="ACV332" s="90"/>
      <c r="ACW332" s="90"/>
      <c r="ACX332" s="90"/>
      <c r="ACY332" s="90"/>
      <c r="ACZ332" s="90"/>
      <c r="ADA332" s="90"/>
      <c r="ADB332" s="90"/>
      <c r="ADC332" s="90"/>
      <c r="ADD332" s="90"/>
      <c r="ADE332" s="90"/>
      <c r="ADF332" s="90"/>
      <c r="ADG332" s="90"/>
      <c r="ADH332" s="90"/>
      <c r="ADI332" s="90"/>
      <c r="ADJ332" s="90"/>
      <c r="ADK332" s="90"/>
      <c r="ADL332" s="90"/>
      <c r="ADM332" s="90"/>
      <c r="ADN332" s="90"/>
      <c r="ADO332" s="90"/>
      <c r="ADP332" s="90"/>
      <c r="ADQ332" s="90"/>
      <c r="ADR332" s="90"/>
      <c r="ADS332" s="90"/>
      <c r="ADT332" s="90"/>
      <c r="ADU332" s="90"/>
      <c r="ADV332" s="90"/>
      <c r="ADW332" s="90"/>
      <c r="ADX332" s="90"/>
      <c r="ADY332" s="90"/>
      <c r="ADZ332" s="90"/>
      <c r="AEA332" s="90"/>
      <c r="AEB332" s="90"/>
      <c r="AEC332" s="90"/>
      <c r="AED332" s="90"/>
      <c r="AEE332" s="90"/>
      <c r="AEF332" s="90"/>
      <c r="AEG332" s="90"/>
      <c r="AEH332" s="90"/>
      <c r="AEI332" s="90"/>
      <c r="AEJ332" s="90"/>
      <c r="AEK332" s="90"/>
      <c r="AEL332" s="90"/>
      <c r="AEM332" s="90"/>
      <c r="AEN332" s="90"/>
      <c r="AEO332" s="90"/>
      <c r="AEP332" s="90"/>
      <c r="AEQ332" s="90"/>
      <c r="AER332" s="90"/>
      <c r="AES332" s="90"/>
      <c r="AET332" s="90"/>
      <c r="AEU332" s="90"/>
      <c r="AEV332" s="90"/>
      <c r="AEW332" s="90"/>
      <c r="AEX332" s="90"/>
      <c r="AEY332" s="90"/>
      <c r="AEZ332" s="90"/>
      <c r="AFA332" s="90"/>
      <c r="AFB332" s="90"/>
      <c r="AFC332" s="90"/>
      <c r="AFD332" s="90"/>
      <c r="AFE332" s="90"/>
      <c r="AFF332" s="90"/>
      <c r="AFG332" s="90"/>
      <c r="AFH332" s="90"/>
      <c r="AFI332" s="90"/>
      <c r="AFJ332" s="90"/>
      <c r="AFK332" s="90"/>
      <c r="AFL332" s="90"/>
      <c r="AFM332" s="90"/>
      <c r="AFN332" s="90"/>
      <c r="AFO332" s="90"/>
      <c r="AFP332" s="90"/>
      <c r="AFQ332" s="90"/>
      <c r="AFR332" s="90"/>
      <c r="AFS332" s="90"/>
      <c r="AFT332" s="90"/>
      <c r="AFU332" s="90"/>
      <c r="AFV332" s="90"/>
      <c r="AFW332" s="90"/>
      <c r="AFX332" s="90"/>
      <c r="AFY332" s="90"/>
      <c r="AFZ332" s="90"/>
      <c r="AGA332" s="90"/>
      <c r="AGB332" s="90"/>
      <c r="AGC332" s="90"/>
      <c r="AGD332" s="90"/>
      <c r="AGE332" s="90"/>
      <c r="AGF332" s="90"/>
      <c r="AGG332" s="90"/>
      <c r="AGH332" s="90"/>
      <c r="AGI332" s="90"/>
      <c r="AGJ332" s="90"/>
      <c r="AGK332" s="90"/>
      <c r="AGL332" s="90"/>
      <c r="AGM332" s="90"/>
      <c r="AGN332" s="90"/>
      <c r="AGO332" s="90"/>
      <c r="AGP332" s="90"/>
      <c r="AGQ332" s="90"/>
      <c r="AGR332" s="90"/>
      <c r="AGS332" s="90"/>
      <c r="AGT332" s="90"/>
      <c r="AGU332" s="90"/>
      <c r="AGV332" s="90"/>
      <c r="AGW332" s="90"/>
      <c r="AGX332" s="90"/>
      <c r="AGY332" s="90"/>
      <c r="AGZ332" s="90"/>
      <c r="AHA332" s="90"/>
      <c r="AHB332" s="90"/>
      <c r="AHC332" s="90"/>
      <c r="AHD332" s="90"/>
      <c r="AHE332" s="90"/>
      <c r="AHF332" s="90"/>
      <c r="AHG332" s="90"/>
      <c r="AHH332" s="90"/>
      <c r="AHI332" s="90"/>
      <c r="AHJ332" s="90"/>
      <c r="AHK332" s="90"/>
      <c r="AHL332" s="90"/>
      <c r="AHM332" s="90"/>
      <c r="AHN332" s="90"/>
      <c r="AHO332" s="90"/>
      <c r="AHP332" s="90"/>
      <c r="AHQ332" s="90"/>
      <c r="AHR332" s="90"/>
      <c r="AHS332" s="90"/>
      <c r="AHT332" s="90"/>
      <c r="AHU332" s="90"/>
      <c r="AHV332" s="90"/>
      <c r="AHW332" s="90"/>
      <c r="AHX332" s="90"/>
      <c r="AHY332" s="90"/>
      <c r="AHZ332" s="90"/>
      <c r="AIA332" s="90"/>
      <c r="AIB332" s="90"/>
      <c r="AIC332" s="90"/>
      <c r="AID332" s="90"/>
      <c r="AIE332" s="90"/>
      <c r="AIF332" s="90"/>
      <c r="AIG332" s="90"/>
      <c r="AIH332" s="90"/>
      <c r="AII332" s="90"/>
      <c r="AIJ332" s="90"/>
      <c r="AIK332" s="90"/>
      <c r="AIL332" s="90"/>
      <c r="AIM332" s="90"/>
      <c r="AIN332" s="90"/>
      <c r="AIO332" s="90"/>
      <c r="AIP332" s="90"/>
      <c r="AIQ332" s="90"/>
      <c r="AIR332" s="90"/>
      <c r="AIS332" s="90"/>
      <c r="AIT332" s="90"/>
      <c r="AIU332" s="90"/>
      <c r="AIV332" s="90"/>
      <c r="AIW332" s="90"/>
      <c r="AIX332" s="90"/>
      <c r="AIY332" s="90"/>
      <c r="AIZ332" s="90"/>
      <c r="AJA332" s="90"/>
      <c r="AJB332" s="90"/>
      <c r="AJC332" s="90"/>
      <c r="AJD332" s="90"/>
      <c r="AJE332" s="90"/>
      <c r="AJF332" s="90"/>
      <c r="AJG332" s="90"/>
      <c r="AJH332" s="90"/>
      <c r="AJI332" s="90"/>
      <c r="AJJ332" s="90"/>
      <c r="AJK332" s="90"/>
      <c r="AJL332" s="90"/>
      <c r="AJM332" s="90"/>
      <c r="AJN332" s="90"/>
      <c r="AJO332" s="90"/>
      <c r="AJP332" s="90"/>
      <c r="AJQ332" s="90"/>
      <c r="AJR332" s="90"/>
      <c r="AJS332" s="90"/>
      <c r="AJT332" s="90"/>
      <c r="AJU332" s="90"/>
      <c r="AJV332" s="90"/>
      <c r="AJW332" s="90"/>
      <c r="AJX332" s="90"/>
      <c r="AJY332" s="90"/>
      <c r="AJZ332" s="90"/>
      <c r="AKA332" s="90"/>
      <c r="AKB332" s="90"/>
      <c r="AKC332" s="90"/>
      <c r="AKD332" s="90"/>
      <c r="AKE332" s="90"/>
      <c r="AKF332" s="90"/>
      <c r="AKG332" s="90"/>
      <c r="AKH332" s="90"/>
      <c r="AKI332" s="90"/>
      <c r="AKJ332" s="90"/>
      <c r="AKK332" s="90"/>
      <c r="AKL332" s="90"/>
      <c r="AKM332" s="90"/>
      <c r="AKN332" s="90"/>
      <c r="AKO332" s="90"/>
      <c r="AKP332" s="90"/>
      <c r="AKQ332" s="90"/>
      <c r="AKR332" s="90"/>
      <c r="AKS332" s="90"/>
      <c r="AKT332" s="90"/>
      <c r="AKU332" s="90"/>
      <c r="AKV332" s="90"/>
      <c r="AKW332" s="90"/>
      <c r="AKX332" s="90"/>
      <c r="AKY332" s="90"/>
      <c r="AKZ332" s="90"/>
      <c r="ALA332" s="90"/>
      <c r="ALB332" s="90"/>
      <c r="ALC332" s="90"/>
      <c r="ALD332" s="90"/>
      <c r="ALE332" s="90"/>
      <c r="ALF332" s="90"/>
      <c r="ALG332" s="90"/>
      <c r="ALH332" s="90"/>
      <c r="ALI332" s="90"/>
      <c r="ALJ332" s="90"/>
      <c r="ALK332" s="90"/>
      <c r="ALL332" s="90"/>
      <c r="ALM332" s="90"/>
      <c r="ALN332" s="90"/>
      <c r="ALO332" s="90"/>
      <c r="ALP332" s="90"/>
      <c r="ALQ332" s="90"/>
      <c r="ALR332" s="90"/>
      <c r="ALS332" s="90"/>
      <c r="ALT332" s="90"/>
      <c r="ALU332" s="90"/>
      <c r="ALV332" s="90"/>
      <c r="ALW332" s="90"/>
      <c r="ALX332" s="90"/>
      <c r="ALY332" s="90"/>
      <c r="ALZ332" s="90"/>
      <c r="AMA332" s="90"/>
      <c r="AMB332" s="90"/>
      <c r="AMC332" s="90"/>
    </row>
    <row r="333" spans="1:1017">
      <c r="A333" s="98" t="s">
        <v>53</v>
      </c>
      <c r="B333" s="90" t="str">
        <f t="shared" si="1838"/>
        <v xml:space="preserve">Lobster Air Tawar, Cherax </v>
      </c>
      <c r="Q333" s="91">
        <f t="shared" si="1839"/>
        <v>0</v>
      </c>
      <c r="R333" s="91">
        <f t="shared" si="1840"/>
        <v>0</v>
      </c>
      <c r="AG333" s="91">
        <f t="shared" si="1841"/>
        <v>0</v>
      </c>
      <c r="AH333" s="91">
        <f t="shared" si="1842"/>
        <v>0</v>
      </c>
      <c r="AW333" s="91">
        <f t="shared" si="1843"/>
        <v>0</v>
      </c>
      <c r="AX333" s="91">
        <f t="shared" si="1844"/>
        <v>0</v>
      </c>
      <c r="BM333" s="91">
        <f t="shared" si="1845"/>
        <v>0</v>
      </c>
      <c r="BN333" s="91">
        <f t="shared" si="1846"/>
        <v>0</v>
      </c>
      <c r="CC333" s="91">
        <f t="shared" si="1847"/>
        <v>0</v>
      </c>
      <c r="CD333" s="91">
        <f t="shared" si="1848"/>
        <v>0</v>
      </c>
      <c r="CS333" s="91">
        <f t="shared" si="1849"/>
        <v>0</v>
      </c>
      <c r="CT333" s="91">
        <f t="shared" si="1850"/>
        <v>0</v>
      </c>
      <c r="DI333" s="91">
        <f t="shared" si="1851"/>
        <v>0</v>
      </c>
      <c r="DJ333" s="91">
        <f t="shared" si="1852"/>
        <v>0</v>
      </c>
      <c r="DY333" s="91">
        <f t="shared" si="1853"/>
        <v>0</v>
      </c>
      <c r="DZ333" s="91">
        <f t="shared" si="1854"/>
        <v>0</v>
      </c>
      <c r="EO333" s="91">
        <f t="shared" si="1855"/>
        <v>0</v>
      </c>
      <c r="EP333" s="91">
        <f t="shared" si="1856"/>
        <v>0</v>
      </c>
      <c r="FE333" s="91">
        <f t="shared" si="1857"/>
        <v>0</v>
      </c>
      <c r="FF333" s="91">
        <f t="shared" si="1858"/>
        <v>0</v>
      </c>
      <c r="FU333" s="91">
        <f t="shared" si="1859"/>
        <v>0</v>
      </c>
      <c r="FV333" s="91">
        <f t="shared" si="1860"/>
        <v>0</v>
      </c>
      <c r="GK333" s="91">
        <f t="shared" si="1861"/>
        <v>0</v>
      </c>
      <c r="GL333" s="91">
        <f t="shared" si="1862"/>
        <v>0</v>
      </c>
      <c r="HA333" s="91">
        <f t="shared" si="1863"/>
        <v>0</v>
      </c>
      <c r="HB333" s="91">
        <f t="shared" si="1864"/>
        <v>0</v>
      </c>
      <c r="HQ333" s="91">
        <f t="shared" si="1865"/>
        <v>0</v>
      </c>
      <c r="HR333" s="91">
        <f t="shared" si="1866"/>
        <v>0</v>
      </c>
      <c r="IG333" s="91">
        <f t="shared" si="1867"/>
        <v>0</v>
      </c>
      <c r="IH333" s="91">
        <f t="shared" si="1868"/>
        <v>0</v>
      </c>
      <c r="IO333" s="98">
        <v>200</v>
      </c>
      <c r="IP333" s="98">
        <v>22000</v>
      </c>
      <c r="IW333" s="91">
        <f t="shared" si="1869"/>
        <v>200</v>
      </c>
      <c r="IX333" s="91">
        <f t="shared" si="1870"/>
        <v>22000</v>
      </c>
      <c r="JM333" s="91">
        <f t="shared" si="1871"/>
        <v>0</v>
      </c>
      <c r="JN333" s="91">
        <f t="shared" si="1872"/>
        <v>0</v>
      </c>
      <c r="KC333" s="91">
        <f t="shared" si="1873"/>
        <v>0</v>
      </c>
      <c r="KD333" s="91">
        <f t="shared" si="1874"/>
        <v>0</v>
      </c>
      <c r="KS333" s="91">
        <f t="shared" si="1875"/>
        <v>0</v>
      </c>
      <c r="KT333" s="91">
        <f t="shared" si="1876"/>
        <v>0</v>
      </c>
      <c r="LI333" s="91">
        <f t="shared" si="1877"/>
        <v>0</v>
      </c>
      <c r="LJ333" s="91">
        <f t="shared" si="1878"/>
        <v>0</v>
      </c>
      <c r="LY333" s="91">
        <f t="shared" si="1879"/>
        <v>0</v>
      </c>
      <c r="LZ333" s="91">
        <f t="shared" si="1880"/>
        <v>0</v>
      </c>
      <c r="MO333" s="91">
        <f t="shared" si="1881"/>
        <v>0</v>
      </c>
      <c r="MP333" s="91">
        <f t="shared" si="1882"/>
        <v>0</v>
      </c>
      <c r="NE333" s="91">
        <f t="shared" si="1883"/>
        <v>0</v>
      </c>
      <c r="NF333" s="91">
        <f t="shared" si="1884"/>
        <v>0</v>
      </c>
      <c r="NU333" s="91">
        <f t="shared" si="1885"/>
        <v>0</v>
      </c>
      <c r="NV333" s="91">
        <f t="shared" si="1886"/>
        <v>0</v>
      </c>
      <c r="OK333" s="91">
        <f t="shared" si="1887"/>
        <v>0</v>
      </c>
      <c r="OL333" s="91">
        <f t="shared" si="1888"/>
        <v>0</v>
      </c>
      <c r="PA333" s="91">
        <f t="shared" si="1889"/>
        <v>0</v>
      </c>
      <c r="PB333" s="91">
        <f t="shared" si="1890"/>
        <v>0</v>
      </c>
      <c r="PQ333" s="91">
        <f t="shared" si="1891"/>
        <v>0</v>
      </c>
      <c r="PR333" s="91">
        <f t="shared" si="1892"/>
        <v>0</v>
      </c>
      <c r="QG333" s="91">
        <f t="shared" si="1893"/>
        <v>0</v>
      </c>
      <c r="QH333" s="91">
        <f t="shared" si="1894"/>
        <v>0</v>
      </c>
      <c r="QW333" s="91">
        <f t="shared" si="1895"/>
        <v>0</v>
      </c>
      <c r="QX333" s="91">
        <f t="shared" si="1896"/>
        <v>0</v>
      </c>
      <c r="RM333" s="91">
        <f t="shared" si="1897"/>
        <v>0</v>
      </c>
      <c r="RN333" s="91">
        <f t="shared" si="1898"/>
        <v>0</v>
      </c>
      <c r="SC333" s="91">
        <f t="shared" si="1899"/>
        <v>0</v>
      </c>
      <c r="SD333" s="91">
        <f t="shared" si="1900"/>
        <v>0</v>
      </c>
      <c r="SS333" s="91">
        <f t="shared" si="1901"/>
        <v>0</v>
      </c>
      <c r="ST333" s="91">
        <f t="shared" si="1902"/>
        <v>0</v>
      </c>
      <c r="TI333" s="91">
        <f t="shared" si="1903"/>
        <v>0</v>
      </c>
      <c r="TJ333" s="91">
        <f t="shared" si="1904"/>
        <v>0</v>
      </c>
      <c r="TY333" s="91">
        <f t="shared" si="1905"/>
        <v>0</v>
      </c>
      <c r="TZ333" s="91">
        <f t="shared" si="1906"/>
        <v>0</v>
      </c>
      <c r="UO333" s="91">
        <f t="shared" si="1907"/>
        <v>0</v>
      </c>
      <c r="UP333" s="91">
        <f t="shared" si="1908"/>
        <v>0</v>
      </c>
      <c r="VE333" s="91">
        <f t="shared" si="1909"/>
        <v>0</v>
      </c>
      <c r="VF333" s="91">
        <f t="shared" si="1910"/>
        <v>0</v>
      </c>
      <c r="VU333" s="91">
        <f t="shared" si="1911"/>
        <v>0</v>
      </c>
      <c r="VV333" s="91">
        <f t="shared" si="1912"/>
        <v>0</v>
      </c>
      <c r="WK333" s="91">
        <f t="shared" si="1913"/>
        <v>0</v>
      </c>
      <c r="WL333" s="91">
        <f t="shared" si="1914"/>
        <v>0</v>
      </c>
      <c r="WM333" s="89"/>
      <c r="WN333" s="87">
        <f t="shared" si="1915"/>
        <v>0</v>
      </c>
      <c r="WO333" s="87">
        <f t="shared" si="1916"/>
        <v>0</v>
      </c>
      <c r="WP333" s="87">
        <f t="shared" si="1917"/>
        <v>0</v>
      </c>
      <c r="WQ333" s="87">
        <f t="shared" si="1918"/>
        <v>0</v>
      </c>
      <c r="WR333" s="87">
        <f t="shared" si="1919"/>
        <v>0</v>
      </c>
      <c r="WS333" s="87">
        <f t="shared" si="1920"/>
        <v>0</v>
      </c>
      <c r="WT333" s="87">
        <f t="shared" si="1921"/>
        <v>200</v>
      </c>
      <c r="WU333" s="87">
        <f t="shared" si="1922"/>
        <v>22000</v>
      </c>
      <c r="WV333" s="87">
        <f t="shared" si="1923"/>
        <v>0</v>
      </c>
      <c r="WW333" s="87">
        <f t="shared" si="1924"/>
        <v>0</v>
      </c>
      <c r="WX333" s="87">
        <f t="shared" si="1925"/>
        <v>0</v>
      </c>
      <c r="WY333" s="87">
        <f t="shared" si="1926"/>
        <v>0</v>
      </c>
      <c r="WZ333" s="87">
        <f t="shared" si="1927"/>
        <v>0</v>
      </c>
      <c r="XA333" s="87">
        <f t="shared" si="1928"/>
        <v>0</v>
      </c>
      <c r="XB333" s="92">
        <f t="shared" si="1929"/>
        <v>200</v>
      </c>
      <c r="XC333" s="92">
        <f t="shared" si="1930"/>
        <v>22000</v>
      </c>
      <c r="XD333" s="89"/>
      <c r="XE333" s="92"/>
      <c r="XF333" s="92"/>
      <c r="XG333" s="89"/>
      <c r="XH333" s="92"/>
      <c r="XI333" s="92"/>
      <c r="XJ333" s="89"/>
      <c r="XK333" s="87"/>
      <c r="XL333" s="87"/>
      <c r="XM333" s="87"/>
      <c r="XN333" s="87"/>
      <c r="XO333" s="87"/>
      <c r="XP333" s="87"/>
      <c r="XQ333" s="87"/>
      <c r="XR333" s="92">
        <f t="shared" ca="1" si="1931"/>
        <v>0</v>
      </c>
      <c r="XS333" s="89"/>
      <c r="XT333" s="87"/>
      <c r="XU333" s="87"/>
      <c r="XV333" s="87"/>
      <c r="XW333" s="87"/>
      <c r="XX333" s="87"/>
      <c r="XY333" s="87"/>
      <c r="XZ333" s="87"/>
      <c r="YA333" s="92">
        <f t="shared" ca="1" si="1932"/>
        <v>0</v>
      </c>
      <c r="YB333" s="90"/>
      <c r="YC333" s="90"/>
      <c r="YD333" s="90"/>
      <c r="YE333" s="90"/>
      <c r="YF333" s="90"/>
      <c r="YG333" s="90"/>
      <c r="YH333" s="90"/>
      <c r="YI333" s="90"/>
      <c r="YJ333" s="90"/>
      <c r="YK333" s="90"/>
      <c r="YL333" s="90"/>
      <c r="YM333" s="90"/>
      <c r="YN333" s="90"/>
      <c r="YO333" s="90"/>
      <c r="YP333" s="90"/>
      <c r="YQ333" s="90"/>
      <c r="YR333" s="90"/>
      <c r="YS333" s="90"/>
      <c r="YT333" s="90"/>
      <c r="YU333" s="90"/>
      <c r="YV333" s="90"/>
      <c r="YW333" s="90"/>
      <c r="YX333" s="90"/>
      <c r="YY333" s="90"/>
      <c r="YZ333" s="90"/>
      <c r="ZA333" s="90"/>
      <c r="ZB333" s="90"/>
      <c r="ZC333" s="90"/>
      <c r="ZD333" s="90"/>
      <c r="ZE333" s="90"/>
      <c r="ZF333" s="90"/>
      <c r="ZG333" s="90"/>
      <c r="ZH333" s="90"/>
      <c r="ZI333" s="90"/>
      <c r="ZJ333" s="90"/>
      <c r="ZK333" s="90"/>
      <c r="ZL333" s="90"/>
      <c r="ZM333" s="90"/>
      <c r="ZN333" s="90"/>
      <c r="ZO333" s="90"/>
      <c r="ZP333" s="90"/>
      <c r="ZQ333" s="90"/>
      <c r="ZR333" s="90"/>
      <c r="ZS333" s="90"/>
      <c r="ZT333" s="90"/>
      <c r="ZU333" s="90"/>
      <c r="ZV333" s="90"/>
      <c r="ZW333" s="90"/>
      <c r="ZX333" s="90"/>
      <c r="ZY333" s="90"/>
      <c r="ZZ333" s="90"/>
      <c r="AAA333" s="90"/>
      <c r="AAB333" s="90"/>
      <c r="AAC333" s="90"/>
      <c r="AAD333" s="90"/>
      <c r="AAE333" s="90"/>
      <c r="AAF333" s="90"/>
      <c r="AAG333" s="90"/>
      <c r="AAH333" s="90"/>
      <c r="AAI333" s="90"/>
      <c r="AAJ333" s="90"/>
      <c r="AAK333" s="90"/>
      <c r="AAL333" s="90"/>
      <c r="AAM333" s="90"/>
      <c r="AAN333" s="90"/>
      <c r="AAO333" s="90"/>
      <c r="AAP333" s="90"/>
      <c r="AAQ333" s="90"/>
      <c r="AAR333" s="90"/>
      <c r="AAS333" s="90"/>
      <c r="AAT333" s="90"/>
      <c r="AAU333" s="90"/>
      <c r="AAV333" s="90"/>
      <c r="AAW333" s="90"/>
      <c r="AAX333" s="90"/>
      <c r="AAY333" s="90"/>
      <c r="AAZ333" s="90"/>
      <c r="ABA333" s="90"/>
      <c r="ABB333" s="90"/>
      <c r="ABC333" s="90"/>
      <c r="ABD333" s="90"/>
      <c r="ABE333" s="90"/>
      <c r="ABF333" s="90"/>
      <c r="ABG333" s="90"/>
      <c r="ABH333" s="90"/>
      <c r="ABI333" s="90"/>
      <c r="ABJ333" s="90"/>
      <c r="ABK333" s="90"/>
      <c r="ABL333" s="90"/>
      <c r="ABM333" s="90"/>
      <c r="ABN333" s="90"/>
      <c r="ABO333" s="90"/>
      <c r="ABP333" s="90"/>
      <c r="ABQ333" s="90"/>
      <c r="ABR333" s="90"/>
      <c r="ABS333" s="90"/>
      <c r="ABT333" s="90"/>
      <c r="ABU333" s="90"/>
      <c r="ABV333" s="90"/>
      <c r="ABW333" s="90"/>
      <c r="ABX333" s="90"/>
      <c r="ABY333" s="90"/>
      <c r="ABZ333" s="90"/>
      <c r="ACA333" s="90"/>
      <c r="ACB333" s="90"/>
      <c r="ACC333" s="90"/>
      <c r="ACD333" s="90"/>
      <c r="ACE333" s="90"/>
      <c r="ACF333" s="90"/>
      <c r="ACG333" s="90"/>
      <c r="ACH333" s="90"/>
      <c r="ACI333" s="90"/>
      <c r="ACJ333" s="90"/>
      <c r="ACK333" s="90"/>
      <c r="ACL333" s="90"/>
      <c r="ACM333" s="90"/>
      <c r="ACN333" s="90"/>
      <c r="ACO333" s="90"/>
      <c r="ACP333" s="90"/>
      <c r="ACQ333" s="90"/>
      <c r="ACR333" s="90"/>
      <c r="ACS333" s="90"/>
      <c r="ACT333" s="90"/>
      <c r="ACU333" s="90"/>
      <c r="ACV333" s="90"/>
      <c r="ACW333" s="90"/>
      <c r="ACX333" s="90"/>
      <c r="ACY333" s="90"/>
      <c r="ACZ333" s="90"/>
      <c r="ADA333" s="90"/>
      <c r="ADB333" s="90"/>
      <c r="ADC333" s="90"/>
      <c r="ADD333" s="90"/>
      <c r="ADE333" s="90"/>
      <c r="ADF333" s="90"/>
      <c r="ADG333" s="90"/>
      <c r="ADH333" s="90"/>
      <c r="ADI333" s="90"/>
      <c r="ADJ333" s="90"/>
      <c r="ADK333" s="90"/>
      <c r="ADL333" s="90"/>
      <c r="ADM333" s="90"/>
      <c r="ADN333" s="90"/>
      <c r="ADO333" s="90"/>
      <c r="ADP333" s="90"/>
      <c r="ADQ333" s="90"/>
      <c r="ADR333" s="90"/>
      <c r="ADS333" s="90"/>
      <c r="ADT333" s="90"/>
      <c r="ADU333" s="90"/>
      <c r="ADV333" s="90"/>
      <c r="ADW333" s="90"/>
      <c r="ADX333" s="90"/>
      <c r="ADY333" s="90"/>
      <c r="ADZ333" s="90"/>
      <c r="AEA333" s="90"/>
      <c r="AEB333" s="90"/>
      <c r="AEC333" s="90"/>
      <c r="AED333" s="90"/>
      <c r="AEE333" s="90"/>
      <c r="AEF333" s="90"/>
      <c r="AEG333" s="90"/>
      <c r="AEH333" s="90"/>
      <c r="AEI333" s="90"/>
      <c r="AEJ333" s="90"/>
      <c r="AEK333" s="90"/>
      <c r="AEL333" s="90"/>
      <c r="AEM333" s="90"/>
      <c r="AEN333" s="90"/>
      <c r="AEO333" s="90"/>
      <c r="AEP333" s="90"/>
      <c r="AEQ333" s="90"/>
      <c r="AER333" s="90"/>
      <c r="AES333" s="90"/>
      <c r="AET333" s="90"/>
      <c r="AEU333" s="90"/>
      <c r="AEV333" s="90"/>
      <c r="AEW333" s="90"/>
      <c r="AEX333" s="90"/>
      <c r="AEY333" s="90"/>
      <c r="AEZ333" s="90"/>
      <c r="AFA333" s="90"/>
      <c r="AFB333" s="90"/>
      <c r="AFC333" s="90"/>
      <c r="AFD333" s="90"/>
      <c r="AFE333" s="90"/>
      <c r="AFF333" s="90"/>
      <c r="AFG333" s="90"/>
      <c r="AFH333" s="90"/>
      <c r="AFI333" s="90"/>
      <c r="AFJ333" s="90"/>
      <c r="AFK333" s="90"/>
      <c r="AFL333" s="90"/>
      <c r="AFM333" s="90"/>
      <c r="AFN333" s="90"/>
      <c r="AFO333" s="90"/>
      <c r="AFP333" s="90"/>
      <c r="AFQ333" s="90"/>
      <c r="AFR333" s="90"/>
      <c r="AFS333" s="90"/>
      <c r="AFT333" s="90"/>
      <c r="AFU333" s="90"/>
      <c r="AFV333" s="90"/>
      <c r="AFW333" s="90"/>
      <c r="AFX333" s="90"/>
      <c r="AFY333" s="90"/>
      <c r="AFZ333" s="90"/>
      <c r="AGA333" s="90"/>
      <c r="AGB333" s="90"/>
      <c r="AGC333" s="90"/>
      <c r="AGD333" s="90"/>
      <c r="AGE333" s="90"/>
      <c r="AGF333" s="90"/>
      <c r="AGG333" s="90"/>
      <c r="AGH333" s="90"/>
      <c r="AGI333" s="90"/>
      <c r="AGJ333" s="90"/>
      <c r="AGK333" s="90"/>
      <c r="AGL333" s="90"/>
      <c r="AGM333" s="90"/>
      <c r="AGN333" s="90"/>
      <c r="AGO333" s="90"/>
      <c r="AGP333" s="90"/>
      <c r="AGQ333" s="90"/>
      <c r="AGR333" s="90"/>
      <c r="AGS333" s="90"/>
      <c r="AGT333" s="90"/>
      <c r="AGU333" s="90"/>
      <c r="AGV333" s="90"/>
      <c r="AGW333" s="90"/>
      <c r="AGX333" s="90"/>
      <c r="AGY333" s="90"/>
      <c r="AGZ333" s="90"/>
      <c r="AHA333" s="90"/>
      <c r="AHB333" s="90"/>
      <c r="AHC333" s="90"/>
      <c r="AHD333" s="90"/>
      <c r="AHE333" s="90"/>
      <c r="AHF333" s="90"/>
      <c r="AHG333" s="90"/>
      <c r="AHH333" s="90"/>
      <c r="AHI333" s="90"/>
      <c r="AHJ333" s="90"/>
      <c r="AHK333" s="90"/>
      <c r="AHL333" s="90"/>
      <c r="AHM333" s="90"/>
      <c r="AHN333" s="90"/>
      <c r="AHO333" s="90"/>
      <c r="AHP333" s="90"/>
      <c r="AHQ333" s="90"/>
      <c r="AHR333" s="90"/>
      <c r="AHS333" s="90"/>
      <c r="AHT333" s="90"/>
      <c r="AHU333" s="90"/>
      <c r="AHV333" s="90"/>
      <c r="AHW333" s="90"/>
      <c r="AHX333" s="90"/>
      <c r="AHY333" s="90"/>
      <c r="AHZ333" s="90"/>
      <c r="AIA333" s="90"/>
      <c r="AIB333" s="90"/>
      <c r="AIC333" s="90"/>
      <c r="AID333" s="90"/>
      <c r="AIE333" s="90"/>
      <c r="AIF333" s="90"/>
      <c r="AIG333" s="90"/>
      <c r="AIH333" s="90"/>
      <c r="AII333" s="90"/>
      <c r="AIJ333" s="90"/>
      <c r="AIK333" s="90"/>
      <c r="AIL333" s="90"/>
      <c r="AIM333" s="90"/>
      <c r="AIN333" s="90"/>
      <c r="AIO333" s="90"/>
      <c r="AIP333" s="90"/>
      <c r="AIQ333" s="90"/>
      <c r="AIR333" s="90"/>
      <c r="AIS333" s="90"/>
      <c r="AIT333" s="90"/>
      <c r="AIU333" s="90"/>
      <c r="AIV333" s="90"/>
      <c r="AIW333" s="90"/>
      <c r="AIX333" s="90"/>
      <c r="AIY333" s="90"/>
      <c r="AIZ333" s="90"/>
      <c r="AJA333" s="90"/>
      <c r="AJB333" s="90"/>
      <c r="AJC333" s="90"/>
      <c r="AJD333" s="90"/>
      <c r="AJE333" s="90"/>
      <c r="AJF333" s="90"/>
      <c r="AJG333" s="90"/>
      <c r="AJH333" s="90"/>
      <c r="AJI333" s="90"/>
      <c r="AJJ333" s="90"/>
      <c r="AJK333" s="90"/>
      <c r="AJL333" s="90"/>
      <c r="AJM333" s="90"/>
      <c r="AJN333" s="90"/>
      <c r="AJO333" s="90"/>
      <c r="AJP333" s="90"/>
      <c r="AJQ333" s="90"/>
      <c r="AJR333" s="90"/>
      <c r="AJS333" s="90"/>
      <c r="AJT333" s="90"/>
      <c r="AJU333" s="90"/>
      <c r="AJV333" s="90"/>
      <c r="AJW333" s="90"/>
      <c r="AJX333" s="90"/>
      <c r="AJY333" s="90"/>
      <c r="AJZ333" s="90"/>
      <c r="AKA333" s="90"/>
      <c r="AKB333" s="90"/>
      <c r="AKC333" s="90"/>
      <c r="AKD333" s="90"/>
      <c r="AKE333" s="90"/>
      <c r="AKF333" s="90"/>
      <c r="AKG333" s="90"/>
      <c r="AKH333" s="90"/>
      <c r="AKI333" s="90"/>
      <c r="AKJ333" s="90"/>
      <c r="AKK333" s="90"/>
      <c r="AKL333" s="90"/>
      <c r="AKM333" s="90"/>
      <c r="AKN333" s="90"/>
      <c r="AKO333" s="90"/>
      <c r="AKP333" s="90"/>
      <c r="AKQ333" s="90"/>
      <c r="AKR333" s="90"/>
      <c r="AKS333" s="90"/>
      <c r="AKT333" s="90"/>
      <c r="AKU333" s="90"/>
      <c r="AKV333" s="90"/>
      <c r="AKW333" s="90"/>
      <c r="AKX333" s="90"/>
      <c r="AKY333" s="90"/>
      <c r="AKZ333" s="90"/>
      <c r="ALA333" s="90"/>
      <c r="ALB333" s="90"/>
      <c r="ALC333" s="90"/>
      <c r="ALD333" s="90"/>
      <c r="ALE333" s="90"/>
      <c r="ALF333" s="90"/>
      <c r="ALG333" s="90"/>
      <c r="ALH333" s="90"/>
      <c r="ALI333" s="90"/>
      <c r="ALJ333" s="90"/>
      <c r="ALK333" s="90"/>
      <c r="ALL333" s="90"/>
      <c r="ALM333" s="90"/>
      <c r="ALN333" s="90"/>
      <c r="ALO333" s="90"/>
      <c r="ALP333" s="90"/>
      <c r="ALQ333" s="90"/>
      <c r="ALR333" s="90"/>
      <c r="ALS333" s="90"/>
      <c r="ALT333" s="90"/>
      <c r="ALU333" s="90"/>
      <c r="ALV333" s="90"/>
      <c r="ALW333" s="90"/>
      <c r="ALX333" s="90"/>
      <c r="ALY333" s="90"/>
      <c r="ALZ333" s="90"/>
      <c r="AMA333" s="90"/>
      <c r="AMB333" s="90"/>
      <c r="AMC333" s="90"/>
    </row>
    <row r="334" spans="1:1017">
      <c r="A334" s="98" t="s">
        <v>53</v>
      </c>
      <c r="B334" s="90" t="str">
        <f t="shared" si="1838"/>
        <v xml:space="preserve">Mas, Ikan Mas, Karper </v>
      </c>
      <c r="Q334" s="91">
        <f t="shared" si="1839"/>
        <v>0</v>
      </c>
      <c r="R334" s="91">
        <f t="shared" si="1840"/>
        <v>0</v>
      </c>
      <c r="Y334" s="98">
        <v>9845</v>
      </c>
      <c r="Z334" s="98">
        <v>344575</v>
      </c>
      <c r="AA334" s="98">
        <v>2785</v>
      </c>
      <c r="AB334" s="98">
        <v>97475</v>
      </c>
      <c r="AC334" s="98">
        <v>1960</v>
      </c>
      <c r="AD334" s="98">
        <v>68600</v>
      </c>
      <c r="AE334" s="98">
        <v>110</v>
      </c>
      <c r="AF334" s="98">
        <v>3850</v>
      </c>
      <c r="AG334" s="91">
        <f t="shared" si="1841"/>
        <v>14700</v>
      </c>
      <c r="AH334" s="91">
        <f t="shared" si="1842"/>
        <v>514500</v>
      </c>
      <c r="AW334" s="91">
        <f t="shared" si="1843"/>
        <v>0</v>
      </c>
      <c r="AX334" s="91">
        <f t="shared" si="1844"/>
        <v>0</v>
      </c>
      <c r="BM334" s="91">
        <f t="shared" si="1845"/>
        <v>0</v>
      </c>
      <c r="BN334" s="91">
        <f t="shared" si="1846"/>
        <v>0</v>
      </c>
      <c r="BU334" s="98">
        <v>235</v>
      </c>
      <c r="BV334" s="98">
        <v>6345</v>
      </c>
      <c r="CC334" s="91">
        <f t="shared" si="1847"/>
        <v>235</v>
      </c>
      <c r="CD334" s="91">
        <f t="shared" si="1848"/>
        <v>6345</v>
      </c>
      <c r="CK334" s="98">
        <v>247768</v>
      </c>
      <c r="CL334" s="98">
        <v>2973221</v>
      </c>
      <c r="CS334" s="91">
        <f t="shared" si="1849"/>
        <v>247768</v>
      </c>
      <c r="CT334" s="91">
        <f t="shared" si="1850"/>
        <v>2973221</v>
      </c>
      <c r="DC334" s="98">
        <v>720</v>
      </c>
      <c r="DD334" s="98">
        <v>16560</v>
      </c>
      <c r="DI334" s="91">
        <f t="shared" si="1851"/>
        <v>720</v>
      </c>
      <c r="DJ334" s="91">
        <f t="shared" si="1852"/>
        <v>16560</v>
      </c>
      <c r="DQ334" s="98">
        <v>22100</v>
      </c>
      <c r="DR334" s="98">
        <v>442000</v>
      </c>
      <c r="DY334" s="91">
        <f t="shared" si="1853"/>
        <v>22100</v>
      </c>
      <c r="DZ334" s="91">
        <f t="shared" si="1854"/>
        <v>442000</v>
      </c>
      <c r="EG334" s="98">
        <v>640</v>
      </c>
      <c r="EH334" s="98">
        <v>9600</v>
      </c>
      <c r="EO334" s="91">
        <f t="shared" si="1855"/>
        <v>640</v>
      </c>
      <c r="EP334" s="91">
        <f t="shared" si="1856"/>
        <v>9600</v>
      </c>
      <c r="EW334" s="98">
        <v>6402</v>
      </c>
      <c r="EX334" s="98">
        <v>121638</v>
      </c>
      <c r="FE334" s="91">
        <f t="shared" si="1857"/>
        <v>6402</v>
      </c>
      <c r="FF334" s="91">
        <f t="shared" si="1858"/>
        <v>121638</v>
      </c>
      <c r="FM334" s="98">
        <v>290</v>
      </c>
      <c r="FN334" s="98">
        <v>8700</v>
      </c>
      <c r="FU334" s="91">
        <f t="shared" si="1859"/>
        <v>290</v>
      </c>
      <c r="FV334" s="91">
        <f t="shared" si="1860"/>
        <v>8700</v>
      </c>
      <c r="GC334" s="98">
        <v>250</v>
      </c>
      <c r="GD334" s="98">
        <v>6250</v>
      </c>
      <c r="GK334" s="91">
        <f t="shared" si="1861"/>
        <v>250</v>
      </c>
      <c r="GL334" s="91">
        <f t="shared" si="1862"/>
        <v>6250</v>
      </c>
      <c r="GS334" s="98">
        <v>1400</v>
      </c>
      <c r="GT334" s="98">
        <v>39900</v>
      </c>
      <c r="GY334" s="98">
        <v>40</v>
      </c>
      <c r="GZ334" s="98">
        <v>1140</v>
      </c>
      <c r="HA334" s="91">
        <f t="shared" si="1863"/>
        <v>1440</v>
      </c>
      <c r="HB334" s="91">
        <f t="shared" si="1864"/>
        <v>41040</v>
      </c>
      <c r="HI334" s="98">
        <v>1500</v>
      </c>
      <c r="HJ334" s="98">
        <v>37500</v>
      </c>
      <c r="HQ334" s="91">
        <f t="shared" si="1865"/>
        <v>1500</v>
      </c>
      <c r="HR334" s="91">
        <f t="shared" si="1866"/>
        <v>37500</v>
      </c>
      <c r="IG334" s="91">
        <f t="shared" si="1867"/>
        <v>0</v>
      </c>
      <c r="IH334" s="91">
        <f t="shared" si="1868"/>
        <v>0</v>
      </c>
      <c r="IW334" s="91">
        <f t="shared" si="1869"/>
        <v>0</v>
      </c>
      <c r="IX334" s="91">
        <f t="shared" si="1870"/>
        <v>0</v>
      </c>
      <c r="JE334" s="98">
        <v>80</v>
      </c>
      <c r="JF334" s="98">
        <v>1760</v>
      </c>
      <c r="JM334" s="91">
        <f t="shared" si="1871"/>
        <v>80</v>
      </c>
      <c r="JN334" s="91">
        <f t="shared" si="1872"/>
        <v>1760</v>
      </c>
      <c r="KC334" s="91">
        <f t="shared" si="1873"/>
        <v>0</v>
      </c>
      <c r="KD334" s="91">
        <f t="shared" si="1874"/>
        <v>0</v>
      </c>
      <c r="KS334" s="91">
        <f t="shared" si="1875"/>
        <v>0</v>
      </c>
      <c r="KT334" s="91">
        <f t="shared" si="1876"/>
        <v>0</v>
      </c>
      <c r="LI334" s="91">
        <f t="shared" si="1877"/>
        <v>0</v>
      </c>
      <c r="LJ334" s="91">
        <f t="shared" si="1878"/>
        <v>0</v>
      </c>
      <c r="LY334" s="91">
        <f t="shared" si="1879"/>
        <v>0</v>
      </c>
      <c r="LZ334" s="91">
        <f t="shared" si="1880"/>
        <v>0</v>
      </c>
      <c r="MO334" s="91">
        <f t="shared" si="1881"/>
        <v>0</v>
      </c>
      <c r="MP334" s="91">
        <f t="shared" si="1882"/>
        <v>0</v>
      </c>
      <c r="NE334" s="91">
        <f t="shared" si="1883"/>
        <v>0</v>
      </c>
      <c r="NF334" s="91">
        <f t="shared" si="1884"/>
        <v>0</v>
      </c>
      <c r="NU334" s="91">
        <f t="shared" si="1885"/>
        <v>0</v>
      </c>
      <c r="NV334" s="91">
        <f t="shared" si="1886"/>
        <v>0</v>
      </c>
      <c r="OK334" s="91">
        <f t="shared" si="1887"/>
        <v>0</v>
      </c>
      <c r="OL334" s="91">
        <f t="shared" si="1888"/>
        <v>0</v>
      </c>
      <c r="PA334" s="91">
        <f t="shared" si="1889"/>
        <v>0</v>
      </c>
      <c r="PB334" s="91">
        <f t="shared" si="1890"/>
        <v>0</v>
      </c>
      <c r="PQ334" s="91">
        <f t="shared" si="1891"/>
        <v>0</v>
      </c>
      <c r="PR334" s="91">
        <f t="shared" si="1892"/>
        <v>0</v>
      </c>
      <c r="PY334" s="98">
        <v>95300</v>
      </c>
      <c r="PZ334" s="98">
        <v>1715400</v>
      </c>
      <c r="QA334" s="98">
        <v>24490</v>
      </c>
      <c r="QB334" s="98">
        <v>440820</v>
      </c>
      <c r="QC334" s="98">
        <v>45830</v>
      </c>
      <c r="QD334" s="98">
        <v>824940</v>
      </c>
      <c r="QG334" s="91">
        <f t="shared" si="1893"/>
        <v>165620</v>
      </c>
      <c r="QH334" s="91">
        <f t="shared" si="1894"/>
        <v>2981160</v>
      </c>
      <c r="QW334" s="91">
        <f t="shared" si="1895"/>
        <v>0</v>
      </c>
      <c r="QX334" s="91">
        <f t="shared" si="1896"/>
        <v>0</v>
      </c>
      <c r="RE334" s="98">
        <v>201</v>
      </c>
      <c r="RF334" s="98">
        <v>7437</v>
      </c>
      <c r="RM334" s="91">
        <f t="shared" si="1897"/>
        <v>201</v>
      </c>
      <c r="RN334" s="91">
        <f t="shared" si="1898"/>
        <v>7437</v>
      </c>
      <c r="SC334" s="91">
        <f t="shared" si="1899"/>
        <v>0</v>
      </c>
      <c r="SD334" s="91">
        <f t="shared" si="1900"/>
        <v>0</v>
      </c>
      <c r="SS334" s="91">
        <f t="shared" si="1901"/>
        <v>0</v>
      </c>
      <c r="ST334" s="91">
        <f t="shared" si="1902"/>
        <v>0</v>
      </c>
      <c r="TI334" s="91">
        <f t="shared" si="1903"/>
        <v>0</v>
      </c>
      <c r="TJ334" s="91">
        <f t="shared" si="1904"/>
        <v>0</v>
      </c>
      <c r="TU334" s="98">
        <v>300</v>
      </c>
      <c r="TV334" s="98">
        <v>10500</v>
      </c>
      <c r="TY334" s="91">
        <f t="shared" si="1905"/>
        <v>300</v>
      </c>
      <c r="TZ334" s="91">
        <f t="shared" si="1906"/>
        <v>10500</v>
      </c>
      <c r="UO334" s="91">
        <f t="shared" si="1907"/>
        <v>0</v>
      </c>
      <c r="UP334" s="91">
        <f t="shared" si="1908"/>
        <v>0</v>
      </c>
      <c r="VE334" s="91">
        <f t="shared" si="1909"/>
        <v>0</v>
      </c>
      <c r="VF334" s="91">
        <f t="shared" si="1910"/>
        <v>0</v>
      </c>
      <c r="VU334" s="91">
        <f t="shared" si="1911"/>
        <v>0</v>
      </c>
      <c r="VV334" s="91">
        <f t="shared" si="1912"/>
        <v>0</v>
      </c>
      <c r="WK334" s="91">
        <f t="shared" si="1913"/>
        <v>0</v>
      </c>
      <c r="WL334" s="91">
        <f t="shared" si="1914"/>
        <v>0</v>
      </c>
      <c r="WM334" s="89"/>
      <c r="WN334" s="87">
        <f t="shared" si="1915"/>
        <v>0</v>
      </c>
      <c r="WO334" s="87">
        <f t="shared" si="1916"/>
        <v>0</v>
      </c>
      <c r="WP334" s="87">
        <f t="shared" si="1917"/>
        <v>0</v>
      </c>
      <c r="WQ334" s="87">
        <f t="shared" si="1918"/>
        <v>0</v>
      </c>
      <c r="WR334" s="87">
        <f t="shared" si="1919"/>
        <v>0</v>
      </c>
      <c r="WS334" s="87">
        <f t="shared" si="1920"/>
        <v>0</v>
      </c>
      <c r="WT334" s="87">
        <f t="shared" si="1921"/>
        <v>386011</v>
      </c>
      <c r="WU334" s="87">
        <f t="shared" si="1922"/>
        <v>5714326</v>
      </c>
      <c r="WV334" s="87">
        <f t="shared" si="1923"/>
        <v>27995</v>
      </c>
      <c r="WW334" s="87">
        <f t="shared" si="1924"/>
        <v>554855</v>
      </c>
      <c r="WX334" s="87">
        <f t="shared" si="1925"/>
        <v>48090</v>
      </c>
      <c r="WY334" s="87">
        <f t="shared" si="1926"/>
        <v>904040</v>
      </c>
      <c r="WZ334" s="87">
        <f t="shared" si="1927"/>
        <v>150</v>
      </c>
      <c r="XA334" s="87">
        <f t="shared" si="1928"/>
        <v>4990</v>
      </c>
      <c r="XB334" s="92">
        <f t="shared" si="1929"/>
        <v>462246</v>
      </c>
      <c r="XC334" s="92">
        <f t="shared" si="1930"/>
        <v>7178211</v>
      </c>
      <c r="XD334" s="89"/>
      <c r="XE334" s="92"/>
      <c r="XF334" s="92"/>
      <c r="XG334" s="89"/>
      <c r="XH334" s="92"/>
      <c r="XI334" s="92"/>
      <c r="XJ334" s="89"/>
      <c r="XK334" s="87"/>
      <c r="XL334" s="87"/>
      <c r="XM334" s="87"/>
      <c r="XN334" s="87"/>
      <c r="XO334" s="87"/>
      <c r="XP334" s="87"/>
      <c r="XQ334" s="87"/>
      <c r="XR334" s="92">
        <f t="shared" ca="1" si="1931"/>
        <v>0</v>
      </c>
      <c r="XS334" s="89"/>
      <c r="XT334" s="87"/>
      <c r="XU334" s="87"/>
      <c r="XV334" s="87"/>
      <c r="XW334" s="87"/>
      <c r="XX334" s="87"/>
      <c r="XY334" s="87"/>
      <c r="XZ334" s="87"/>
      <c r="YA334" s="92">
        <f t="shared" ca="1" si="1932"/>
        <v>0</v>
      </c>
      <c r="YB334" s="90"/>
      <c r="YC334" s="90"/>
      <c r="YD334" s="90"/>
      <c r="YE334" s="90"/>
      <c r="YF334" s="90"/>
      <c r="YG334" s="90"/>
      <c r="YH334" s="90"/>
      <c r="YI334" s="90"/>
      <c r="YJ334" s="90"/>
      <c r="YK334" s="90"/>
      <c r="YL334" s="90"/>
      <c r="YM334" s="90"/>
      <c r="YN334" s="90"/>
      <c r="YO334" s="90"/>
      <c r="YP334" s="90"/>
      <c r="YQ334" s="90"/>
      <c r="YR334" s="90"/>
      <c r="YS334" s="90"/>
      <c r="YT334" s="90"/>
      <c r="YU334" s="90"/>
      <c r="YV334" s="90"/>
      <c r="YW334" s="90"/>
      <c r="YX334" s="90"/>
      <c r="YY334" s="90"/>
      <c r="YZ334" s="90"/>
      <c r="ZA334" s="90"/>
      <c r="ZB334" s="90"/>
      <c r="ZC334" s="90"/>
      <c r="ZD334" s="90"/>
      <c r="ZE334" s="90"/>
      <c r="ZF334" s="90"/>
      <c r="ZG334" s="90"/>
      <c r="ZH334" s="90"/>
      <c r="ZI334" s="90"/>
      <c r="ZJ334" s="90"/>
      <c r="ZK334" s="90"/>
      <c r="ZL334" s="90"/>
      <c r="ZM334" s="90"/>
      <c r="ZN334" s="90"/>
      <c r="ZO334" s="90"/>
      <c r="ZP334" s="90"/>
      <c r="ZQ334" s="90"/>
      <c r="ZR334" s="90"/>
      <c r="ZS334" s="90"/>
      <c r="ZT334" s="90"/>
      <c r="ZU334" s="90"/>
      <c r="ZV334" s="90"/>
      <c r="ZW334" s="90"/>
      <c r="ZX334" s="90"/>
      <c r="ZY334" s="90"/>
      <c r="ZZ334" s="90"/>
      <c r="AAA334" s="90"/>
      <c r="AAB334" s="90"/>
      <c r="AAC334" s="90"/>
      <c r="AAD334" s="90"/>
      <c r="AAE334" s="90"/>
      <c r="AAF334" s="90"/>
      <c r="AAG334" s="90"/>
      <c r="AAH334" s="90"/>
      <c r="AAI334" s="90"/>
      <c r="AAJ334" s="90"/>
      <c r="AAK334" s="90"/>
      <c r="AAL334" s="90"/>
      <c r="AAM334" s="90"/>
      <c r="AAN334" s="90"/>
      <c r="AAO334" s="90"/>
      <c r="AAP334" s="90"/>
      <c r="AAQ334" s="90"/>
      <c r="AAR334" s="90"/>
      <c r="AAS334" s="90"/>
      <c r="AAT334" s="90"/>
      <c r="AAU334" s="90"/>
      <c r="AAV334" s="90"/>
      <c r="AAW334" s="90"/>
      <c r="AAX334" s="90"/>
      <c r="AAY334" s="90"/>
      <c r="AAZ334" s="90"/>
      <c r="ABA334" s="90"/>
      <c r="ABB334" s="90"/>
      <c r="ABC334" s="90"/>
      <c r="ABD334" s="90"/>
      <c r="ABE334" s="90"/>
      <c r="ABF334" s="90"/>
      <c r="ABG334" s="90"/>
      <c r="ABH334" s="90"/>
      <c r="ABI334" s="90"/>
      <c r="ABJ334" s="90"/>
      <c r="ABK334" s="90"/>
      <c r="ABL334" s="90"/>
      <c r="ABM334" s="90"/>
      <c r="ABN334" s="90"/>
      <c r="ABO334" s="90"/>
      <c r="ABP334" s="90"/>
      <c r="ABQ334" s="90"/>
      <c r="ABR334" s="90"/>
      <c r="ABS334" s="90"/>
      <c r="ABT334" s="90"/>
      <c r="ABU334" s="90"/>
      <c r="ABV334" s="90"/>
      <c r="ABW334" s="90"/>
      <c r="ABX334" s="90"/>
      <c r="ABY334" s="90"/>
      <c r="ABZ334" s="90"/>
      <c r="ACA334" s="90"/>
      <c r="ACB334" s="90"/>
      <c r="ACC334" s="90"/>
      <c r="ACD334" s="90"/>
      <c r="ACE334" s="90"/>
      <c r="ACF334" s="90"/>
      <c r="ACG334" s="90"/>
      <c r="ACH334" s="90"/>
      <c r="ACI334" s="90"/>
      <c r="ACJ334" s="90"/>
      <c r="ACK334" s="90"/>
      <c r="ACL334" s="90"/>
      <c r="ACM334" s="90"/>
      <c r="ACN334" s="90"/>
      <c r="ACO334" s="90"/>
      <c r="ACP334" s="90"/>
      <c r="ACQ334" s="90"/>
      <c r="ACR334" s="90"/>
      <c r="ACS334" s="90"/>
      <c r="ACT334" s="90"/>
      <c r="ACU334" s="90"/>
      <c r="ACV334" s="90"/>
      <c r="ACW334" s="90"/>
      <c r="ACX334" s="90"/>
      <c r="ACY334" s="90"/>
      <c r="ACZ334" s="90"/>
      <c r="ADA334" s="90"/>
      <c r="ADB334" s="90"/>
      <c r="ADC334" s="90"/>
      <c r="ADD334" s="90"/>
      <c r="ADE334" s="90"/>
      <c r="ADF334" s="90"/>
      <c r="ADG334" s="90"/>
      <c r="ADH334" s="90"/>
      <c r="ADI334" s="90"/>
      <c r="ADJ334" s="90"/>
      <c r="ADK334" s="90"/>
      <c r="ADL334" s="90"/>
      <c r="ADM334" s="90"/>
      <c r="ADN334" s="90"/>
      <c r="ADO334" s="90"/>
      <c r="ADP334" s="90"/>
      <c r="ADQ334" s="90"/>
      <c r="ADR334" s="90"/>
      <c r="ADS334" s="90"/>
      <c r="ADT334" s="90"/>
      <c r="ADU334" s="90"/>
      <c r="ADV334" s="90"/>
      <c r="ADW334" s="90"/>
      <c r="ADX334" s="90"/>
      <c r="ADY334" s="90"/>
      <c r="ADZ334" s="90"/>
      <c r="AEA334" s="90"/>
      <c r="AEB334" s="90"/>
      <c r="AEC334" s="90"/>
      <c r="AED334" s="90"/>
      <c r="AEE334" s="90"/>
      <c r="AEF334" s="90"/>
      <c r="AEG334" s="90"/>
      <c r="AEH334" s="90"/>
      <c r="AEI334" s="90"/>
      <c r="AEJ334" s="90"/>
      <c r="AEK334" s="90"/>
      <c r="AEL334" s="90"/>
      <c r="AEM334" s="90"/>
      <c r="AEN334" s="90"/>
      <c r="AEO334" s="90"/>
      <c r="AEP334" s="90"/>
      <c r="AEQ334" s="90"/>
      <c r="AER334" s="90"/>
      <c r="AES334" s="90"/>
      <c r="AET334" s="90"/>
      <c r="AEU334" s="90"/>
      <c r="AEV334" s="90"/>
      <c r="AEW334" s="90"/>
      <c r="AEX334" s="90"/>
      <c r="AEY334" s="90"/>
      <c r="AEZ334" s="90"/>
      <c r="AFA334" s="90"/>
      <c r="AFB334" s="90"/>
      <c r="AFC334" s="90"/>
      <c r="AFD334" s="90"/>
      <c r="AFE334" s="90"/>
      <c r="AFF334" s="90"/>
      <c r="AFG334" s="90"/>
      <c r="AFH334" s="90"/>
      <c r="AFI334" s="90"/>
      <c r="AFJ334" s="90"/>
      <c r="AFK334" s="90"/>
      <c r="AFL334" s="90"/>
      <c r="AFM334" s="90"/>
      <c r="AFN334" s="90"/>
      <c r="AFO334" s="90"/>
      <c r="AFP334" s="90"/>
      <c r="AFQ334" s="90"/>
      <c r="AFR334" s="90"/>
      <c r="AFS334" s="90"/>
      <c r="AFT334" s="90"/>
      <c r="AFU334" s="90"/>
      <c r="AFV334" s="90"/>
      <c r="AFW334" s="90"/>
      <c r="AFX334" s="90"/>
      <c r="AFY334" s="90"/>
      <c r="AFZ334" s="90"/>
      <c r="AGA334" s="90"/>
      <c r="AGB334" s="90"/>
      <c r="AGC334" s="90"/>
      <c r="AGD334" s="90"/>
      <c r="AGE334" s="90"/>
      <c r="AGF334" s="90"/>
      <c r="AGG334" s="90"/>
      <c r="AGH334" s="90"/>
      <c r="AGI334" s="90"/>
      <c r="AGJ334" s="90"/>
      <c r="AGK334" s="90"/>
      <c r="AGL334" s="90"/>
      <c r="AGM334" s="90"/>
      <c r="AGN334" s="90"/>
      <c r="AGO334" s="90"/>
      <c r="AGP334" s="90"/>
      <c r="AGQ334" s="90"/>
      <c r="AGR334" s="90"/>
      <c r="AGS334" s="90"/>
      <c r="AGT334" s="90"/>
      <c r="AGU334" s="90"/>
      <c r="AGV334" s="90"/>
      <c r="AGW334" s="90"/>
      <c r="AGX334" s="90"/>
      <c r="AGY334" s="90"/>
      <c r="AGZ334" s="90"/>
      <c r="AHA334" s="90"/>
      <c r="AHB334" s="90"/>
      <c r="AHC334" s="90"/>
      <c r="AHD334" s="90"/>
      <c r="AHE334" s="90"/>
      <c r="AHF334" s="90"/>
      <c r="AHG334" s="90"/>
      <c r="AHH334" s="90"/>
      <c r="AHI334" s="90"/>
      <c r="AHJ334" s="90"/>
      <c r="AHK334" s="90"/>
      <c r="AHL334" s="90"/>
      <c r="AHM334" s="90"/>
      <c r="AHN334" s="90"/>
      <c r="AHO334" s="90"/>
      <c r="AHP334" s="90"/>
      <c r="AHQ334" s="90"/>
      <c r="AHR334" s="90"/>
      <c r="AHS334" s="90"/>
      <c r="AHT334" s="90"/>
      <c r="AHU334" s="90"/>
      <c r="AHV334" s="90"/>
      <c r="AHW334" s="90"/>
      <c r="AHX334" s="90"/>
      <c r="AHY334" s="90"/>
      <c r="AHZ334" s="90"/>
      <c r="AIA334" s="90"/>
      <c r="AIB334" s="90"/>
      <c r="AIC334" s="90"/>
      <c r="AID334" s="90"/>
      <c r="AIE334" s="90"/>
      <c r="AIF334" s="90"/>
      <c r="AIG334" s="90"/>
      <c r="AIH334" s="90"/>
      <c r="AII334" s="90"/>
      <c r="AIJ334" s="90"/>
      <c r="AIK334" s="90"/>
      <c r="AIL334" s="90"/>
      <c r="AIM334" s="90"/>
      <c r="AIN334" s="90"/>
      <c r="AIO334" s="90"/>
      <c r="AIP334" s="90"/>
      <c r="AIQ334" s="90"/>
      <c r="AIR334" s="90"/>
      <c r="AIS334" s="90"/>
      <c r="AIT334" s="90"/>
      <c r="AIU334" s="90"/>
      <c r="AIV334" s="90"/>
      <c r="AIW334" s="90"/>
      <c r="AIX334" s="90"/>
      <c r="AIY334" s="90"/>
      <c r="AIZ334" s="90"/>
      <c r="AJA334" s="90"/>
      <c r="AJB334" s="90"/>
      <c r="AJC334" s="90"/>
      <c r="AJD334" s="90"/>
      <c r="AJE334" s="90"/>
      <c r="AJF334" s="90"/>
      <c r="AJG334" s="90"/>
      <c r="AJH334" s="90"/>
      <c r="AJI334" s="90"/>
      <c r="AJJ334" s="90"/>
      <c r="AJK334" s="90"/>
      <c r="AJL334" s="90"/>
      <c r="AJM334" s="90"/>
      <c r="AJN334" s="90"/>
      <c r="AJO334" s="90"/>
      <c r="AJP334" s="90"/>
      <c r="AJQ334" s="90"/>
      <c r="AJR334" s="90"/>
      <c r="AJS334" s="90"/>
      <c r="AJT334" s="90"/>
      <c r="AJU334" s="90"/>
      <c r="AJV334" s="90"/>
      <c r="AJW334" s="90"/>
      <c r="AJX334" s="90"/>
      <c r="AJY334" s="90"/>
      <c r="AJZ334" s="90"/>
      <c r="AKA334" s="90"/>
      <c r="AKB334" s="90"/>
      <c r="AKC334" s="90"/>
      <c r="AKD334" s="90"/>
      <c r="AKE334" s="90"/>
      <c r="AKF334" s="90"/>
      <c r="AKG334" s="90"/>
      <c r="AKH334" s="90"/>
      <c r="AKI334" s="90"/>
      <c r="AKJ334" s="90"/>
      <c r="AKK334" s="90"/>
      <c r="AKL334" s="90"/>
      <c r="AKM334" s="90"/>
      <c r="AKN334" s="90"/>
      <c r="AKO334" s="90"/>
      <c r="AKP334" s="90"/>
      <c r="AKQ334" s="90"/>
      <c r="AKR334" s="90"/>
      <c r="AKS334" s="90"/>
      <c r="AKT334" s="90"/>
      <c r="AKU334" s="90"/>
      <c r="AKV334" s="90"/>
      <c r="AKW334" s="90"/>
      <c r="AKX334" s="90"/>
      <c r="AKY334" s="90"/>
      <c r="AKZ334" s="90"/>
      <c r="ALA334" s="90"/>
      <c r="ALB334" s="90"/>
      <c r="ALC334" s="90"/>
      <c r="ALD334" s="90"/>
      <c r="ALE334" s="90"/>
      <c r="ALF334" s="90"/>
      <c r="ALG334" s="90"/>
      <c r="ALH334" s="90"/>
      <c r="ALI334" s="90"/>
      <c r="ALJ334" s="90"/>
      <c r="ALK334" s="90"/>
      <c r="ALL334" s="90"/>
      <c r="ALM334" s="90"/>
      <c r="ALN334" s="90"/>
      <c r="ALO334" s="90"/>
      <c r="ALP334" s="90"/>
      <c r="ALQ334" s="90"/>
      <c r="ALR334" s="90"/>
      <c r="ALS334" s="90"/>
      <c r="ALT334" s="90"/>
      <c r="ALU334" s="90"/>
      <c r="ALV334" s="90"/>
      <c r="ALW334" s="90"/>
      <c r="ALX334" s="90"/>
      <c r="ALY334" s="90"/>
      <c r="ALZ334" s="90"/>
      <c r="AMA334" s="90"/>
      <c r="AMB334" s="90"/>
      <c r="AMC334" s="90"/>
    </row>
    <row r="335" spans="1:1017">
      <c r="A335" s="98" t="s">
        <v>53</v>
      </c>
      <c r="B335" s="90" t="str">
        <f t="shared" si="1838"/>
        <v xml:space="preserve">Mujair </v>
      </c>
      <c r="E335" s="98">
        <v>89300</v>
      </c>
      <c r="F335" s="98">
        <v>1339500</v>
      </c>
      <c r="I335" s="98">
        <v>1350</v>
      </c>
      <c r="J335" s="98">
        <v>20250</v>
      </c>
      <c r="Q335" s="91">
        <f t="shared" si="1839"/>
        <v>90650</v>
      </c>
      <c r="R335" s="91">
        <f t="shared" si="1840"/>
        <v>1359750</v>
      </c>
      <c r="U335" s="98">
        <v>6265</v>
      </c>
      <c r="V335" s="98">
        <v>93975</v>
      </c>
      <c r="Y335" s="98">
        <v>5135</v>
      </c>
      <c r="Z335" s="98">
        <v>77025</v>
      </c>
      <c r="AG335" s="91">
        <f t="shared" si="1841"/>
        <v>11400</v>
      </c>
      <c r="AH335" s="91">
        <f t="shared" si="1842"/>
        <v>171000</v>
      </c>
      <c r="AW335" s="91">
        <f t="shared" si="1843"/>
        <v>0</v>
      </c>
      <c r="AX335" s="91">
        <f t="shared" si="1844"/>
        <v>0</v>
      </c>
      <c r="BM335" s="91">
        <f t="shared" si="1845"/>
        <v>0</v>
      </c>
      <c r="BN335" s="91">
        <f t="shared" si="1846"/>
        <v>0</v>
      </c>
      <c r="CC335" s="91">
        <f t="shared" si="1847"/>
        <v>0</v>
      </c>
      <c r="CD335" s="91">
        <f t="shared" si="1848"/>
        <v>0</v>
      </c>
      <c r="CG335" s="98">
        <v>185800</v>
      </c>
      <c r="CH335" s="98">
        <v>1858004</v>
      </c>
      <c r="CK335" s="98">
        <v>719164</v>
      </c>
      <c r="CL335" s="98">
        <v>6472474</v>
      </c>
      <c r="CS335" s="91">
        <f t="shared" si="1849"/>
        <v>904964</v>
      </c>
      <c r="CT335" s="91">
        <f t="shared" si="1850"/>
        <v>8330478</v>
      </c>
      <c r="DI335" s="91">
        <f t="shared" si="1851"/>
        <v>0</v>
      </c>
      <c r="DJ335" s="91">
        <f t="shared" si="1852"/>
        <v>0</v>
      </c>
      <c r="DY335" s="91">
        <f t="shared" si="1853"/>
        <v>0</v>
      </c>
      <c r="DZ335" s="91">
        <f t="shared" si="1854"/>
        <v>0</v>
      </c>
      <c r="EO335" s="91">
        <f t="shared" si="1855"/>
        <v>0</v>
      </c>
      <c r="EP335" s="91">
        <f t="shared" si="1856"/>
        <v>0</v>
      </c>
      <c r="ES335" s="98">
        <v>860</v>
      </c>
      <c r="ET335" s="98">
        <v>4300</v>
      </c>
      <c r="EW335" s="98">
        <v>537</v>
      </c>
      <c r="EX335" s="98">
        <v>2685</v>
      </c>
      <c r="FE335" s="91">
        <f t="shared" si="1857"/>
        <v>1397</v>
      </c>
      <c r="FF335" s="91">
        <f t="shared" si="1858"/>
        <v>6985</v>
      </c>
      <c r="FU335" s="91">
        <f t="shared" si="1859"/>
        <v>0</v>
      </c>
      <c r="FV335" s="91">
        <f t="shared" si="1860"/>
        <v>0</v>
      </c>
      <c r="GK335" s="91">
        <f t="shared" si="1861"/>
        <v>0</v>
      </c>
      <c r="GL335" s="91">
        <f t="shared" si="1862"/>
        <v>0</v>
      </c>
      <c r="HA335" s="91">
        <f t="shared" si="1863"/>
        <v>0</v>
      </c>
      <c r="HB335" s="91">
        <f t="shared" si="1864"/>
        <v>0</v>
      </c>
      <c r="HQ335" s="91">
        <f t="shared" si="1865"/>
        <v>0</v>
      </c>
      <c r="HR335" s="91">
        <f t="shared" si="1866"/>
        <v>0</v>
      </c>
      <c r="IG335" s="91">
        <f t="shared" si="1867"/>
        <v>0</v>
      </c>
      <c r="IH335" s="91">
        <f t="shared" si="1868"/>
        <v>0</v>
      </c>
      <c r="IW335" s="91">
        <f t="shared" si="1869"/>
        <v>0</v>
      </c>
      <c r="IX335" s="91">
        <f t="shared" si="1870"/>
        <v>0</v>
      </c>
      <c r="JM335" s="91">
        <f t="shared" si="1871"/>
        <v>0</v>
      </c>
      <c r="JN335" s="91">
        <f t="shared" si="1872"/>
        <v>0</v>
      </c>
      <c r="KC335" s="91">
        <f t="shared" si="1873"/>
        <v>0</v>
      </c>
      <c r="KD335" s="91">
        <f t="shared" si="1874"/>
        <v>0</v>
      </c>
      <c r="KS335" s="91">
        <f t="shared" si="1875"/>
        <v>0</v>
      </c>
      <c r="KT335" s="91">
        <f t="shared" si="1876"/>
        <v>0</v>
      </c>
      <c r="LI335" s="91">
        <f t="shared" si="1877"/>
        <v>0</v>
      </c>
      <c r="LJ335" s="91">
        <f t="shared" si="1878"/>
        <v>0</v>
      </c>
      <c r="LY335" s="91">
        <f t="shared" si="1879"/>
        <v>0</v>
      </c>
      <c r="LZ335" s="91">
        <f t="shared" si="1880"/>
        <v>0</v>
      </c>
      <c r="MC335" s="98">
        <v>6770</v>
      </c>
      <c r="MD335" s="98">
        <v>67700</v>
      </c>
      <c r="MO335" s="91">
        <f t="shared" si="1881"/>
        <v>6770</v>
      </c>
      <c r="MP335" s="91">
        <f t="shared" si="1882"/>
        <v>67700</v>
      </c>
      <c r="NE335" s="91">
        <f t="shared" si="1883"/>
        <v>0</v>
      </c>
      <c r="NF335" s="91">
        <f t="shared" si="1884"/>
        <v>0</v>
      </c>
      <c r="NI335" s="98">
        <v>376000</v>
      </c>
      <c r="NJ335" s="98">
        <v>6016000</v>
      </c>
      <c r="NU335" s="91">
        <f t="shared" si="1885"/>
        <v>376000</v>
      </c>
      <c r="NV335" s="91">
        <f t="shared" si="1886"/>
        <v>6016000</v>
      </c>
      <c r="OK335" s="91">
        <f t="shared" si="1887"/>
        <v>0</v>
      </c>
      <c r="OL335" s="91">
        <f t="shared" si="1888"/>
        <v>0</v>
      </c>
      <c r="PA335" s="91">
        <f t="shared" si="1889"/>
        <v>0</v>
      </c>
      <c r="PB335" s="91">
        <f t="shared" si="1890"/>
        <v>0</v>
      </c>
      <c r="PQ335" s="91">
        <f t="shared" si="1891"/>
        <v>0</v>
      </c>
      <c r="PR335" s="91">
        <f t="shared" si="1892"/>
        <v>0</v>
      </c>
      <c r="PU335" s="98">
        <v>2550</v>
      </c>
      <c r="PV335" s="98">
        <v>33150</v>
      </c>
      <c r="QG335" s="91">
        <f t="shared" si="1893"/>
        <v>2550</v>
      </c>
      <c r="QH335" s="91">
        <f t="shared" si="1894"/>
        <v>33150</v>
      </c>
      <c r="QW335" s="91">
        <f t="shared" si="1895"/>
        <v>0</v>
      </c>
      <c r="QX335" s="91">
        <f t="shared" si="1896"/>
        <v>0</v>
      </c>
      <c r="RM335" s="91">
        <f t="shared" si="1897"/>
        <v>0</v>
      </c>
      <c r="RN335" s="91">
        <f t="shared" si="1898"/>
        <v>0</v>
      </c>
      <c r="SC335" s="91">
        <f t="shared" si="1899"/>
        <v>0</v>
      </c>
      <c r="SD335" s="91">
        <f t="shared" si="1900"/>
        <v>0</v>
      </c>
      <c r="SS335" s="91">
        <f t="shared" si="1901"/>
        <v>0</v>
      </c>
      <c r="ST335" s="91">
        <f t="shared" si="1902"/>
        <v>0</v>
      </c>
      <c r="TI335" s="91">
        <f t="shared" si="1903"/>
        <v>0</v>
      </c>
      <c r="TJ335" s="91">
        <f t="shared" si="1904"/>
        <v>0</v>
      </c>
      <c r="TY335" s="91">
        <f t="shared" si="1905"/>
        <v>0</v>
      </c>
      <c r="TZ335" s="91">
        <f t="shared" si="1906"/>
        <v>0</v>
      </c>
      <c r="UO335" s="91">
        <f t="shared" si="1907"/>
        <v>0</v>
      </c>
      <c r="UP335" s="91">
        <f t="shared" si="1908"/>
        <v>0</v>
      </c>
      <c r="VE335" s="91">
        <f t="shared" si="1909"/>
        <v>0</v>
      </c>
      <c r="VF335" s="91">
        <f t="shared" si="1910"/>
        <v>0</v>
      </c>
      <c r="VI335" s="98">
        <v>20</v>
      </c>
      <c r="VJ335" s="98">
        <v>180</v>
      </c>
      <c r="VU335" s="91">
        <f t="shared" si="1911"/>
        <v>20</v>
      </c>
      <c r="VV335" s="91">
        <f t="shared" si="1912"/>
        <v>180</v>
      </c>
      <c r="WK335" s="91">
        <f t="shared" si="1913"/>
        <v>0</v>
      </c>
      <c r="WL335" s="91">
        <f t="shared" si="1914"/>
        <v>0</v>
      </c>
      <c r="WM335" s="89"/>
      <c r="WN335" s="87">
        <f t="shared" si="1915"/>
        <v>0</v>
      </c>
      <c r="WO335" s="87">
        <f t="shared" si="1916"/>
        <v>0</v>
      </c>
      <c r="WP335" s="87">
        <f t="shared" si="1917"/>
        <v>667565</v>
      </c>
      <c r="WQ335" s="87">
        <f t="shared" si="1918"/>
        <v>9412809</v>
      </c>
      <c r="WR335" s="87">
        <f t="shared" si="1919"/>
        <v>0</v>
      </c>
      <c r="WS335" s="87">
        <f t="shared" si="1920"/>
        <v>0</v>
      </c>
      <c r="WT335" s="87">
        <f t="shared" si="1921"/>
        <v>726186</v>
      </c>
      <c r="WU335" s="87">
        <f t="shared" si="1922"/>
        <v>6572434</v>
      </c>
      <c r="WV335" s="87">
        <f t="shared" si="1923"/>
        <v>0</v>
      </c>
      <c r="WW335" s="87">
        <f t="shared" si="1924"/>
        <v>0</v>
      </c>
      <c r="WX335" s="87">
        <f t="shared" si="1925"/>
        <v>0</v>
      </c>
      <c r="WY335" s="87">
        <f t="shared" si="1926"/>
        <v>0</v>
      </c>
      <c r="WZ335" s="87">
        <f t="shared" si="1927"/>
        <v>0</v>
      </c>
      <c r="XA335" s="87">
        <f t="shared" si="1928"/>
        <v>0</v>
      </c>
      <c r="XB335" s="92">
        <f t="shared" si="1929"/>
        <v>1393751</v>
      </c>
      <c r="XC335" s="92">
        <f t="shared" si="1930"/>
        <v>15985243</v>
      </c>
      <c r="XD335" s="89"/>
      <c r="XE335" s="92"/>
      <c r="XF335" s="92"/>
      <c r="XG335" s="89"/>
      <c r="XH335" s="92"/>
      <c r="XI335" s="92"/>
      <c r="XJ335" s="89"/>
      <c r="XK335" s="87"/>
      <c r="XL335" s="87"/>
      <c r="XM335" s="87"/>
      <c r="XN335" s="87"/>
      <c r="XO335" s="87"/>
      <c r="XP335" s="87"/>
      <c r="XQ335" s="87"/>
      <c r="XR335" s="92">
        <f t="shared" ca="1" si="1931"/>
        <v>0</v>
      </c>
      <c r="XS335" s="89"/>
      <c r="XT335" s="87"/>
      <c r="XU335" s="87"/>
      <c r="XV335" s="87"/>
      <c r="XW335" s="87"/>
      <c r="XX335" s="87"/>
      <c r="XY335" s="87"/>
      <c r="XZ335" s="87"/>
      <c r="YA335" s="92">
        <f t="shared" ca="1" si="1932"/>
        <v>0</v>
      </c>
      <c r="YB335" s="90"/>
      <c r="YC335" s="90"/>
      <c r="YD335" s="90"/>
      <c r="YE335" s="90"/>
      <c r="YF335" s="90"/>
      <c r="YG335" s="90"/>
      <c r="YH335" s="90"/>
      <c r="YI335" s="90"/>
      <c r="YJ335" s="90"/>
      <c r="YK335" s="90"/>
      <c r="YL335" s="90"/>
      <c r="YM335" s="90"/>
      <c r="YN335" s="90"/>
      <c r="YO335" s="90"/>
      <c r="YP335" s="90"/>
      <c r="YQ335" s="90"/>
      <c r="YR335" s="90"/>
      <c r="YS335" s="90"/>
      <c r="YT335" s="90"/>
      <c r="YU335" s="90"/>
      <c r="YV335" s="90"/>
      <c r="YW335" s="90"/>
      <c r="YX335" s="90"/>
      <c r="YY335" s="90"/>
      <c r="YZ335" s="90"/>
      <c r="ZA335" s="90"/>
      <c r="ZB335" s="90"/>
      <c r="ZC335" s="90"/>
      <c r="ZD335" s="90"/>
      <c r="ZE335" s="90"/>
      <c r="ZF335" s="90"/>
      <c r="ZG335" s="90"/>
      <c r="ZH335" s="90"/>
      <c r="ZI335" s="90"/>
      <c r="ZJ335" s="90"/>
      <c r="ZK335" s="90"/>
      <c r="ZL335" s="90"/>
      <c r="ZM335" s="90"/>
      <c r="ZN335" s="90"/>
      <c r="ZO335" s="90"/>
      <c r="ZP335" s="90"/>
      <c r="ZQ335" s="90"/>
      <c r="ZR335" s="90"/>
      <c r="ZS335" s="90"/>
      <c r="ZT335" s="90"/>
      <c r="ZU335" s="90"/>
      <c r="ZV335" s="90"/>
      <c r="ZW335" s="90"/>
      <c r="ZX335" s="90"/>
      <c r="ZY335" s="90"/>
      <c r="ZZ335" s="90"/>
      <c r="AAA335" s="90"/>
      <c r="AAB335" s="90"/>
      <c r="AAC335" s="90"/>
      <c r="AAD335" s="90"/>
      <c r="AAE335" s="90"/>
      <c r="AAF335" s="90"/>
      <c r="AAG335" s="90"/>
      <c r="AAH335" s="90"/>
      <c r="AAI335" s="90"/>
      <c r="AAJ335" s="90"/>
      <c r="AAK335" s="90"/>
      <c r="AAL335" s="90"/>
      <c r="AAM335" s="90"/>
      <c r="AAN335" s="90"/>
      <c r="AAO335" s="90"/>
      <c r="AAP335" s="90"/>
      <c r="AAQ335" s="90"/>
      <c r="AAR335" s="90"/>
      <c r="AAS335" s="90"/>
      <c r="AAT335" s="90"/>
      <c r="AAU335" s="90"/>
      <c r="AAV335" s="90"/>
      <c r="AAW335" s="90"/>
      <c r="AAX335" s="90"/>
      <c r="AAY335" s="90"/>
      <c r="AAZ335" s="90"/>
      <c r="ABA335" s="90"/>
      <c r="ABB335" s="90"/>
      <c r="ABC335" s="90"/>
      <c r="ABD335" s="90"/>
      <c r="ABE335" s="90"/>
      <c r="ABF335" s="90"/>
      <c r="ABG335" s="90"/>
      <c r="ABH335" s="90"/>
      <c r="ABI335" s="90"/>
      <c r="ABJ335" s="90"/>
      <c r="ABK335" s="90"/>
      <c r="ABL335" s="90"/>
      <c r="ABM335" s="90"/>
      <c r="ABN335" s="90"/>
      <c r="ABO335" s="90"/>
      <c r="ABP335" s="90"/>
      <c r="ABQ335" s="90"/>
      <c r="ABR335" s="90"/>
      <c r="ABS335" s="90"/>
      <c r="ABT335" s="90"/>
      <c r="ABU335" s="90"/>
      <c r="ABV335" s="90"/>
      <c r="ABW335" s="90"/>
      <c r="ABX335" s="90"/>
      <c r="ABY335" s="90"/>
      <c r="ABZ335" s="90"/>
      <c r="ACA335" s="90"/>
      <c r="ACB335" s="90"/>
      <c r="ACC335" s="90"/>
      <c r="ACD335" s="90"/>
      <c r="ACE335" s="90"/>
      <c r="ACF335" s="90"/>
      <c r="ACG335" s="90"/>
      <c r="ACH335" s="90"/>
      <c r="ACI335" s="90"/>
      <c r="ACJ335" s="90"/>
      <c r="ACK335" s="90"/>
      <c r="ACL335" s="90"/>
      <c r="ACM335" s="90"/>
      <c r="ACN335" s="90"/>
      <c r="ACO335" s="90"/>
      <c r="ACP335" s="90"/>
      <c r="ACQ335" s="90"/>
      <c r="ACR335" s="90"/>
      <c r="ACS335" s="90"/>
      <c r="ACT335" s="90"/>
      <c r="ACU335" s="90"/>
      <c r="ACV335" s="90"/>
      <c r="ACW335" s="90"/>
      <c r="ACX335" s="90"/>
      <c r="ACY335" s="90"/>
      <c r="ACZ335" s="90"/>
      <c r="ADA335" s="90"/>
      <c r="ADB335" s="90"/>
      <c r="ADC335" s="90"/>
      <c r="ADD335" s="90"/>
      <c r="ADE335" s="90"/>
      <c r="ADF335" s="90"/>
      <c r="ADG335" s="90"/>
      <c r="ADH335" s="90"/>
      <c r="ADI335" s="90"/>
      <c r="ADJ335" s="90"/>
      <c r="ADK335" s="90"/>
      <c r="ADL335" s="90"/>
      <c r="ADM335" s="90"/>
      <c r="ADN335" s="90"/>
      <c r="ADO335" s="90"/>
      <c r="ADP335" s="90"/>
      <c r="ADQ335" s="90"/>
      <c r="ADR335" s="90"/>
      <c r="ADS335" s="90"/>
      <c r="ADT335" s="90"/>
      <c r="ADU335" s="90"/>
      <c r="ADV335" s="90"/>
      <c r="ADW335" s="90"/>
      <c r="ADX335" s="90"/>
      <c r="ADY335" s="90"/>
      <c r="ADZ335" s="90"/>
      <c r="AEA335" s="90"/>
      <c r="AEB335" s="90"/>
      <c r="AEC335" s="90"/>
      <c r="AED335" s="90"/>
      <c r="AEE335" s="90"/>
      <c r="AEF335" s="90"/>
      <c r="AEG335" s="90"/>
      <c r="AEH335" s="90"/>
      <c r="AEI335" s="90"/>
      <c r="AEJ335" s="90"/>
      <c r="AEK335" s="90"/>
      <c r="AEL335" s="90"/>
      <c r="AEM335" s="90"/>
      <c r="AEN335" s="90"/>
      <c r="AEO335" s="90"/>
      <c r="AEP335" s="90"/>
      <c r="AEQ335" s="90"/>
      <c r="AER335" s="90"/>
      <c r="AES335" s="90"/>
      <c r="AET335" s="90"/>
      <c r="AEU335" s="90"/>
      <c r="AEV335" s="90"/>
      <c r="AEW335" s="90"/>
      <c r="AEX335" s="90"/>
      <c r="AEY335" s="90"/>
      <c r="AEZ335" s="90"/>
      <c r="AFA335" s="90"/>
      <c r="AFB335" s="90"/>
      <c r="AFC335" s="90"/>
      <c r="AFD335" s="90"/>
      <c r="AFE335" s="90"/>
      <c r="AFF335" s="90"/>
      <c r="AFG335" s="90"/>
      <c r="AFH335" s="90"/>
      <c r="AFI335" s="90"/>
      <c r="AFJ335" s="90"/>
      <c r="AFK335" s="90"/>
      <c r="AFL335" s="90"/>
      <c r="AFM335" s="90"/>
      <c r="AFN335" s="90"/>
      <c r="AFO335" s="90"/>
      <c r="AFP335" s="90"/>
      <c r="AFQ335" s="90"/>
      <c r="AFR335" s="90"/>
      <c r="AFS335" s="90"/>
      <c r="AFT335" s="90"/>
      <c r="AFU335" s="90"/>
      <c r="AFV335" s="90"/>
      <c r="AFW335" s="90"/>
      <c r="AFX335" s="90"/>
      <c r="AFY335" s="90"/>
      <c r="AFZ335" s="90"/>
      <c r="AGA335" s="90"/>
      <c r="AGB335" s="90"/>
      <c r="AGC335" s="90"/>
      <c r="AGD335" s="90"/>
      <c r="AGE335" s="90"/>
      <c r="AGF335" s="90"/>
      <c r="AGG335" s="90"/>
      <c r="AGH335" s="90"/>
      <c r="AGI335" s="90"/>
      <c r="AGJ335" s="90"/>
      <c r="AGK335" s="90"/>
      <c r="AGL335" s="90"/>
      <c r="AGM335" s="90"/>
      <c r="AGN335" s="90"/>
      <c r="AGO335" s="90"/>
      <c r="AGP335" s="90"/>
      <c r="AGQ335" s="90"/>
      <c r="AGR335" s="90"/>
      <c r="AGS335" s="90"/>
      <c r="AGT335" s="90"/>
      <c r="AGU335" s="90"/>
      <c r="AGV335" s="90"/>
      <c r="AGW335" s="90"/>
      <c r="AGX335" s="90"/>
      <c r="AGY335" s="90"/>
      <c r="AGZ335" s="90"/>
      <c r="AHA335" s="90"/>
      <c r="AHB335" s="90"/>
      <c r="AHC335" s="90"/>
      <c r="AHD335" s="90"/>
      <c r="AHE335" s="90"/>
      <c r="AHF335" s="90"/>
      <c r="AHG335" s="90"/>
      <c r="AHH335" s="90"/>
      <c r="AHI335" s="90"/>
      <c r="AHJ335" s="90"/>
      <c r="AHK335" s="90"/>
      <c r="AHL335" s="90"/>
      <c r="AHM335" s="90"/>
      <c r="AHN335" s="90"/>
      <c r="AHO335" s="90"/>
      <c r="AHP335" s="90"/>
      <c r="AHQ335" s="90"/>
      <c r="AHR335" s="90"/>
      <c r="AHS335" s="90"/>
      <c r="AHT335" s="90"/>
      <c r="AHU335" s="90"/>
      <c r="AHV335" s="90"/>
      <c r="AHW335" s="90"/>
      <c r="AHX335" s="90"/>
      <c r="AHY335" s="90"/>
      <c r="AHZ335" s="90"/>
      <c r="AIA335" s="90"/>
      <c r="AIB335" s="90"/>
      <c r="AIC335" s="90"/>
      <c r="AID335" s="90"/>
      <c r="AIE335" s="90"/>
      <c r="AIF335" s="90"/>
      <c r="AIG335" s="90"/>
      <c r="AIH335" s="90"/>
      <c r="AII335" s="90"/>
      <c r="AIJ335" s="90"/>
      <c r="AIK335" s="90"/>
      <c r="AIL335" s="90"/>
      <c r="AIM335" s="90"/>
      <c r="AIN335" s="90"/>
      <c r="AIO335" s="90"/>
      <c r="AIP335" s="90"/>
      <c r="AIQ335" s="90"/>
      <c r="AIR335" s="90"/>
      <c r="AIS335" s="90"/>
      <c r="AIT335" s="90"/>
      <c r="AIU335" s="90"/>
      <c r="AIV335" s="90"/>
      <c r="AIW335" s="90"/>
      <c r="AIX335" s="90"/>
      <c r="AIY335" s="90"/>
      <c r="AIZ335" s="90"/>
      <c r="AJA335" s="90"/>
      <c r="AJB335" s="90"/>
      <c r="AJC335" s="90"/>
      <c r="AJD335" s="90"/>
      <c r="AJE335" s="90"/>
      <c r="AJF335" s="90"/>
      <c r="AJG335" s="90"/>
      <c r="AJH335" s="90"/>
      <c r="AJI335" s="90"/>
      <c r="AJJ335" s="90"/>
      <c r="AJK335" s="90"/>
      <c r="AJL335" s="90"/>
      <c r="AJM335" s="90"/>
      <c r="AJN335" s="90"/>
      <c r="AJO335" s="90"/>
      <c r="AJP335" s="90"/>
      <c r="AJQ335" s="90"/>
      <c r="AJR335" s="90"/>
      <c r="AJS335" s="90"/>
      <c r="AJT335" s="90"/>
      <c r="AJU335" s="90"/>
      <c r="AJV335" s="90"/>
      <c r="AJW335" s="90"/>
      <c r="AJX335" s="90"/>
      <c r="AJY335" s="90"/>
      <c r="AJZ335" s="90"/>
      <c r="AKA335" s="90"/>
      <c r="AKB335" s="90"/>
      <c r="AKC335" s="90"/>
      <c r="AKD335" s="90"/>
      <c r="AKE335" s="90"/>
      <c r="AKF335" s="90"/>
      <c r="AKG335" s="90"/>
      <c r="AKH335" s="90"/>
      <c r="AKI335" s="90"/>
      <c r="AKJ335" s="90"/>
      <c r="AKK335" s="90"/>
      <c r="AKL335" s="90"/>
      <c r="AKM335" s="90"/>
      <c r="AKN335" s="90"/>
      <c r="AKO335" s="90"/>
      <c r="AKP335" s="90"/>
      <c r="AKQ335" s="90"/>
      <c r="AKR335" s="90"/>
      <c r="AKS335" s="90"/>
      <c r="AKT335" s="90"/>
      <c r="AKU335" s="90"/>
      <c r="AKV335" s="90"/>
      <c r="AKW335" s="90"/>
      <c r="AKX335" s="90"/>
      <c r="AKY335" s="90"/>
      <c r="AKZ335" s="90"/>
      <c r="ALA335" s="90"/>
      <c r="ALB335" s="90"/>
      <c r="ALC335" s="90"/>
      <c r="ALD335" s="90"/>
      <c r="ALE335" s="90"/>
      <c r="ALF335" s="90"/>
      <c r="ALG335" s="90"/>
      <c r="ALH335" s="90"/>
      <c r="ALI335" s="90"/>
      <c r="ALJ335" s="90"/>
      <c r="ALK335" s="90"/>
      <c r="ALL335" s="90"/>
      <c r="ALM335" s="90"/>
      <c r="ALN335" s="90"/>
      <c r="ALO335" s="90"/>
      <c r="ALP335" s="90"/>
      <c r="ALQ335" s="90"/>
      <c r="ALR335" s="90"/>
      <c r="ALS335" s="90"/>
      <c r="ALT335" s="90"/>
      <c r="ALU335" s="90"/>
      <c r="ALV335" s="90"/>
      <c r="ALW335" s="90"/>
      <c r="ALX335" s="90"/>
      <c r="ALY335" s="90"/>
      <c r="ALZ335" s="90"/>
      <c r="AMA335" s="90"/>
      <c r="AMB335" s="90"/>
      <c r="AMC335" s="90"/>
    </row>
    <row r="336" spans="1:1017">
      <c r="A336" s="98" t="s">
        <v>53</v>
      </c>
      <c r="B336" s="90" t="str">
        <f t="shared" si="1838"/>
        <v xml:space="preserve">Nila </v>
      </c>
      <c r="I336" s="98">
        <v>4700</v>
      </c>
      <c r="J336" s="98">
        <v>131600</v>
      </c>
      <c r="Q336" s="91">
        <f t="shared" si="1839"/>
        <v>4700</v>
      </c>
      <c r="R336" s="91">
        <f t="shared" si="1840"/>
        <v>131600</v>
      </c>
      <c r="U336" s="98">
        <v>8535</v>
      </c>
      <c r="V336" s="98">
        <v>170700</v>
      </c>
      <c r="Y336" s="98">
        <v>13456</v>
      </c>
      <c r="Z336" s="98">
        <v>269120</v>
      </c>
      <c r="AA336" s="98">
        <v>2995</v>
      </c>
      <c r="AB336" s="98">
        <v>59900</v>
      </c>
      <c r="AC336" s="98">
        <v>2065</v>
      </c>
      <c r="AD336" s="98">
        <v>41300</v>
      </c>
      <c r="AE336" s="98">
        <v>945</v>
      </c>
      <c r="AF336" s="98">
        <v>18900</v>
      </c>
      <c r="AG336" s="91">
        <f t="shared" si="1841"/>
        <v>27996</v>
      </c>
      <c r="AH336" s="91">
        <f t="shared" si="1842"/>
        <v>559920</v>
      </c>
      <c r="AO336" s="98">
        <v>53300</v>
      </c>
      <c r="AP336" s="98">
        <v>1279200</v>
      </c>
      <c r="AQ336" s="98">
        <v>150</v>
      </c>
      <c r="AR336" s="98">
        <v>3600</v>
      </c>
      <c r="AU336" s="98">
        <v>2150</v>
      </c>
      <c r="AV336" s="98">
        <v>51600</v>
      </c>
      <c r="AW336" s="91">
        <f t="shared" si="1843"/>
        <v>55600</v>
      </c>
      <c r="AX336" s="91">
        <f t="shared" si="1844"/>
        <v>1334400</v>
      </c>
      <c r="BE336" s="98">
        <v>77756</v>
      </c>
      <c r="BF336" s="98">
        <v>1943900</v>
      </c>
      <c r="BG336" s="98">
        <v>568</v>
      </c>
      <c r="BH336" s="98">
        <v>14200</v>
      </c>
      <c r="BK336" s="98">
        <v>663</v>
      </c>
      <c r="BL336" s="98">
        <v>16575</v>
      </c>
      <c r="BM336" s="91">
        <f t="shared" si="1845"/>
        <v>78987</v>
      </c>
      <c r="BN336" s="91">
        <f t="shared" si="1846"/>
        <v>1974675</v>
      </c>
      <c r="BU336" s="98">
        <v>5686</v>
      </c>
      <c r="BV336" s="98">
        <v>153522</v>
      </c>
      <c r="CC336" s="91">
        <f t="shared" si="1847"/>
        <v>5686</v>
      </c>
      <c r="CD336" s="91">
        <f t="shared" si="1848"/>
        <v>153522</v>
      </c>
      <c r="CG336" s="98">
        <v>95715</v>
      </c>
      <c r="CH336" s="98">
        <v>1627156</v>
      </c>
      <c r="CK336" s="98">
        <v>362383</v>
      </c>
      <c r="CL336" s="98">
        <v>5798125</v>
      </c>
      <c r="CS336" s="91">
        <f t="shared" si="1849"/>
        <v>458098</v>
      </c>
      <c r="CT336" s="91">
        <f t="shared" si="1850"/>
        <v>7425281</v>
      </c>
      <c r="DA336" s="98">
        <v>74650</v>
      </c>
      <c r="DB336" s="98">
        <v>1866250</v>
      </c>
      <c r="DC336" s="98">
        <v>1080</v>
      </c>
      <c r="DD336" s="98">
        <v>24840</v>
      </c>
      <c r="DI336" s="91">
        <f t="shared" si="1851"/>
        <v>75730</v>
      </c>
      <c r="DJ336" s="91">
        <f t="shared" si="1852"/>
        <v>1891090</v>
      </c>
      <c r="DQ336" s="98">
        <v>17400</v>
      </c>
      <c r="DR336" s="98">
        <v>348000</v>
      </c>
      <c r="DY336" s="91">
        <f t="shared" si="1853"/>
        <v>17400</v>
      </c>
      <c r="DZ336" s="91">
        <f t="shared" si="1854"/>
        <v>348000</v>
      </c>
      <c r="EG336" s="98">
        <v>190500</v>
      </c>
      <c r="EH336" s="98">
        <v>4000500</v>
      </c>
      <c r="EO336" s="91">
        <f t="shared" si="1855"/>
        <v>190500</v>
      </c>
      <c r="EP336" s="91">
        <f t="shared" si="1856"/>
        <v>4000500</v>
      </c>
      <c r="ES336" s="98">
        <v>37537</v>
      </c>
      <c r="ET336" s="98">
        <v>1013499</v>
      </c>
      <c r="EW336" s="98">
        <v>41368</v>
      </c>
      <c r="EX336" s="98">
        <v>910096</v>
      </c>
      <c r="FC336" s="98">
        <v>238</v>
      </c>
      <c r="FD336" s="98">
        <v>5236</v>
      </c>
      <c r="FE336" s="91">
        <f t="shared" si="1857"/>
        <v>79143</v>
      </c>
      <c r="FF336" s="91">
        <f t="shared" si="1858"/>
        <v>1928831</v>
      </c>
      <c r="FM336" s="98">
        <v>67284</v>
      </c>
      <c r="FN336" s="98">
        <v>1682100</v>
      </c>
      <c r="FS336" s="98">
        <v>69800</v>
      </c>
      <c r="FT336" s="98">
        <v>1954400</v>
      </c>
      <c r="FU336" s="91">
        <f t="shared" si="1859"/>
        <v>137084</v>
      </c>
      <c r="FV336" s="91">
        <f t="shared" si="1860"/>
        <v>3636500</v>
      </c>
      <c r="GC336" s="98">
        <v>34000</v>
      </c>
      <c r="GD336" s="98">
        <v>884000</v>
      </c>
      <c r="GK336" s="91">
        <f t="shared" si="1861"/>
        <v>34000</v>
      </c>
      <c r="GL336" s="91">
        <f t="shared" si="1862"/>
        <v>884000</v>
      </c>
      <c r="GS336" s="98">
        <v>7900</v>
      </c>
      <c r="GT336" s="98">
        <v>221200</v>
      </c>
      <c r="GY336" s="98">
        <v>90</v>
      </c>
      <c r="GZ336" s="98">
        <v>2520</v>
      </c>
      <c r="HA336" s="91">
        <f t="shared" si="1863"/>
        <v>7990</v>
      </c>
      <c r="HB336" s="91">
        <f t="shared" si="1864"/>
        <v>223720</v>
      </c>
      <c r="HI336" s="98">
        <v>60000</v>
      </c>
      <c r="HJ336" s="98">
        <v>1200000</v>
      </c>
      <c r="HO336" s="98">
        <v>120000</v>
      </c>
      <c r="HP336" s="98">
        <v>2400000</v>
      </c>
      <c r="HQ336" s="91">
        <f t="shared" si="1865"/>
        <v>180000</v>
      </c>
      <c r="HR336" s="91">
        <f t="shared" si="1866"/>
        <v>3600000</v>
      </c>
      <c r="HY336" s="98">
        <v>9800</v>
      </c>
      <c r="HZ336" s="98">
        <v>274400</v>
      </c>
      <c r="IG336" s="91">
        <f t="shared" si="1867"/>
        <v>9800</v>
      </c>
      <c r="IH336" s="91">
        <f t="shared" si="1868"/>
        <v>274400</v>
      </c>
      <c r="IO336" s="98">
        <v>8500</v>
      </c>
      <c r="IP336" s="98">
        <v>229500</v>
      </c>
      <c r="IW336" s="91">
        <f t="shared" si="1869"/>
        <v>8500</v>
      </c>
      <c r="IX336" s="91">
        <f t="shared" si="1870"/>
        <v>229500</v>
      </c>
      <c r="JE336" s="98">
        <v>6850</v>
      </c>
      <c r="JF336" s="98">
        <v>150700</v>
      </c>
      <c r="JK336" s="98">
        <v>3440</v>
      </c>
      <c r="JL336" s="98">
        <v>75680</v>
      </c>
      <c r="JM336" s="91">
        <f t="shared" si="1871"/>
        <v>10290</v>
      </c>
      <c r="JN336" s="91">
        <f t="shared" si="1872"/>
        <v>226380</v>
      </c>
      <c r="JU336" s="98">
        <v>13371</v>
      </c>
      <c r="JV336" s="98">
        <v>467985</v>
      </c>
      <c r="KC336" s="91">
        <f t="shared" si="1873"/>
        <v>13371</v>
      </c>
      <c r="KD336" s="91">
        <f t="shared" si="1874"/>
        <v>467985</v>
      </c>
      <c r="KK336" s="98">
        <v>253</v>
      </c>
      <c r="KL336" s="98">
        <v>6325</v>
      </c>
      <c r="KS336" s="91">
        <f t="shared" si="1875"/>
        <v>253</v>
      </c>
      <c r="KT336" s="91">
        <f t="shared" si="1876"/>
        <v>6325</v>
      </c>
      <c r="KW336" s="98">
        <v>17322.150000000001</v>
      </c>
      <c r="KX336" s="98">
        <v>294476</v>
      </c>
      <c r="LA336" s="98">
        <v>15942.18</v>
      </c>
      <c r="LB336" s="98">
        <v>271017</v>
      </c>
      <c r="LG336" s="98">
        <v>10446.469999999999</v>
      </c>
      <c r="LH336" s="98">
        <v>250715</v>
      </c>
      <c r="LI336" s="91">
        <f t="shared" si="1877"/>
        <v>43710.8</v>
      </c>
      <c r="LJ336" s="91">
        <f t="shared" si="1878"/>
        <v>816208</v>
      </c>
      <c r="LQ336" s="98">
        <v>3802</v>
      </c>
      <c r="LR336" s="98">
        <v>95050</v>
      </c>
      <c r="LW336" s="98">
        <v>848</v>
      </c>
      <c r="LX336" s="98">
        <v>27136</v>
      </c>
      <c r="LY336" s="91">
        <f t="shared" si="1879"/>
        <v>4650</v>
      </c>
      <c r="LZ336" s="91">
        <f t="shared" si="1880"/>
        <v>122186</v>
      </c>
      <c r="MC336" s="98">
        <v>3500</v>
      </c>
      <c r="MD336" s="98">
        <v>63000</v>
      </c>
      <c r="MG336" s="98">
        <v>1020</v>
      </c>
      <c r="MH336" s="98">
        <v>18360</v>
      </c>
      <c r="MM336" s="98">
        <v>3010</v>
      </c>
      <c r="MN336" s="98">
        <v>54179.999999999993</v>
      </c>
      <c r="MO336" s="91">
        <f t="shared" si="1881"/>
        <v>7530</v>
      </c>
      <c r="MP336" s="91">
        <f t="shared" si="1882"/>
        <v>135540</v>
      </c>
      <c r="NE336" s="91">
        <f t="shared" si="1883"/>
        <v>0</v>
      </c>
      <c r="NF336" s="91">
        <f t="shared" si="1884"/>
        <v>0</v>
      </c>
      <c r="NI336" s="98">
        <v>1817800</v>
      </c>
      <c r="NJ336" s="98">
        <v>32720400</v>
      </c>
      <c r="NM336" s="98">
        <v>17800</v>
      </c>
      <c r="NN336" s="98">
        <v>320400</v>
      </c>
      <c r="NQ336" s="98">
        <v>2400</v>
      </c>
      <c r="NR336" s="98">
        <v>43200</v>
      </c>
      <c r="NU336" s="91">
        <f t="shared" si="1885"/>
        <v>1838000</v>
      </c>
      <c r="NV336" s="91">
        <f t="shared" si="1886"/>
        <v>33084000</v>
      </c>
      <c r="OK336" s="91">
        <f t="shared" si="1887"/>
        <v>0</v>
      </c>
      <c r="OL336" s="91">
        <f t="shared" si="1888"/>
        <v>0</v>
      </c>
      <c r="OO336" s="87">
        <v>5120</v>
      </c>
      <c r="OP336" s="87">
        <v>179200</v>
      </c>
      <c r="PA336" s="91">
        <f t="shared" si="1889"/>
        <v>5120</v>
      </c>
      <c r="PB336" s="91">
        <f t="shared" si="1890"/>
        <v>179200</v>
      </c>
      <c r="PI336" s="98">
        <v>11823</v>
      </c>
      <c r="PJ336" s="98">
        <v>236460</v>
      </c>
      <c r="PQ336" s="91">
        <f t="shared" si="1891"/>
        <v>11823</v>
      </c>
      <c r="PR336" s="91">
        <f t="shared" si="1892"/>
        <v>236460</v>
      </c>
      <c r="PU336" s="98">
        <v>35900</v>
      </c>
      <c r="PV336" s="98">
        <v>646200</v>
      </c>
      <c r="PY336" s="98">
        <v>98540</v>
      </c>
      <c r="PZ336" s="98">
        <v>1675180</v>
      </c>
      <c r="QA336" s="98">
        <v>24380</v>
      </c>
      <c r="QB336" s="98">
        <v>438840</v>
      </c>
      <c r="QC336" s="98">
        <v>71630</v>
      </c>
      <c r="QD336" s="98">
        <v>1289340</v>
      </c>
      <c r="QG336" s="91">
        <f t="shared" si="1893"/>
        <v>230450</v>
      </c>
      <c r="QH336" s="91">
        <f t="shared" si="1894"/>
        <v>4049560</v>
      </c>
      <c r="QO336" s="98">
        <v>9500</v>
      </c>
      <c r="QP336" s="98">
        <v>142500</v>
      </c>
      <c r="QW336" s="91">
        <f t="shared" si="1895"/>
        <v>9500</v>
      </c>
      <c r="QX336" s="91">
        <f t="shared" si="1896"/>
        <v>142500</v>
      </c>
      <c r="RE336" s="98">
        <v>2923</v>
      </c>
      <c r="RF336" s="98">
        <f>RE336*27</f>
        <v>78921</v>
      </c>
      <c r="RM336" s="91">
        <f t="shared" si="1897"/>
        <v>2923</v>
      </c>
      <c r="RN336" s="91">
        <f t="shared" si="1898"/>
        <v>78921</v>
      </c>
      <c r="RU336" s="98">
        <v>5370</v>
      </c>
      <c r="RV336" s="98">
        <v>139620</v>
      </c>
      <c r="SC336" s="91">
        <f t="shared" si="1899"/>
        <v>5370</v>
      </c>
      <c r="SD336" s="91">
        <f t="shared" si="1900"/>
        <v>139620</v>
      </c>
      <c r="SK336" s="98">
        <v>2100</v>
      </c>
      <c r="SL336" s="98">
        <v>52500</v>
      </c>
      <c r="SS336" s="91">
        <f t="shared" si="1901"/>
        <v>2100</v>
      </c>
      <c r="ST336" s="91">
        <f t="shared" si="1902"/>
        <v>52500</v>
      </c>
      <c r="TA336" s="98">
        <v>2360</v>
      </c>
      <c r="TB336" s="98">
        <v>59000</v>
      </c>
      <c r="TI336" s="91">
        <f t="shared" si="1903"/>
        <v>2360</v>
      </c>
      <c r="TJ336" s="91">
        <f t="shared" si="1904"/>
        <v>59000</v>
      </c>
      <c r="TQ336" s="98">
        <v>1200</v>
      </c>
      <c r="TR336" s="98">
        <v>30000</v>
      </c>
      <c r="TU336" s="98">
        <v>200</v>
      </c>
      <c r="TV336" s="98">
        <v>6000</v>
      </c>
      <c r="TY336" s="91">
        <f t="shared" si="1905"/>
        <v>1400</v>
      </c>
      <c r="TZ336" s="91">
        <f t="shared" si="1906"/>
        <v>36000</v>
      </c>
      <c r="UG336" s="98">
        <v>488</v>
      </c>
      <c r="UH336" s="98">
        <v>11224</v>
      </c>
      <c r="UO336" s="91">
        <f t="shared" si="1907"/>
        <v>488</v>
      </c>
      <c r="UP336" s="91">
        <f t="shared" si="1908"/>
        <v>11224</v>
      </c>
      <c r="VE336" s="91">
        <f t="shared" si="1909"/>
        <v>0</v>
      </c>
      <c r="VF336" s="91">
        <f t="shared" si="1910"/>
        <v>0</v>
      </c>
      <c r="VI336" s="98">
        <v>400</v>
      </c>
      <c r="VJ336" s="98">
        <v>9200</v>
      </c>
      <c r="VM336" s="98">
        <v>714</v>
      </c>
      <c r="VN336" s="98">
        <v>17850</v>
      </c>
      <c r="VU336" s="91">
        <f t="shared" si="1911"/>
        <v>1114</v>
      </c>
      <c r="VV336" s="91">
        <f t="shared" si="1912"/>
        <v>27050</v>
      </c>
      <c r="VY336" s="98">
        <v>28570</v>
      </c>
      <c r="VZ336" s="98">
        <v>799960</v>
      </c>
      <c r="WC336" s="98">
        <v>98540</v>
      </c>
      <c r="WD336" s="98">
        <v>2759120</v>
      </c>
      <c r="WK336" s="91">
        <f t="shared" si="1913"/>
        <v>127110</v>
      </c>
      <c r="WL336" s="91">
        <f t="shared" si="1914"/>
        <v>3559080</v>
      </c>
      <c r="WM336" s="89"/>
      <c r="WN336" s="87">
        <f t="shared" si="1915"/>
        <v>0</v>
      </c>
      <c r="WO336" s="87">
        <f t="shared" si="1916"/>
        <v>0</v>
      </c>
      <c r="WP336" s="87">
        <f t="shared" si="1917"/>
        <v>2050399.15</v>
      </c>
      <c r="WQ336" s="87">
        <f t="shared" si="1918"/>
        <v>37523791</v>
      </c>
      <c r="WR336" s="87">
        <f t="shared" si="1919"/>
        <v>0</v>
      </c>
      <c r="WS336" s="87">
        <f t="shared" si="1920"/>
        <v>0</v>
      </c>
      <c r="WT336" s="87">
        <f t="shared" si="1921"/>
        <v>1321279.18</v>
      </c>
      <c r="WU336" s="87">
        <f t="shared" si="1922"/>
        <v>27723725</v>
      </c>
      <c r="WV336" s="87">
        <f t="shared" si="1923"/>
        <v>29173</v>
      </c>
      <c r="WW336" s="87">
        <f t="shared" si="1924"/>
        <v>541380</v>
      </c>
      <c r="WX336" s="87">
        <f t="shared" si="1925"/>
        <v>76295</v>
      </c>
      <c r="WY336" s="87">
        <f t="shared" si="1926"/>
        <v>1379840</v>
      </c>
      <c r="WZ336" s="87">
        <f t="shared" si="1927"/>
        <v>211630.47</v>
      </c>
      <c r="XA336" s="87">
        <f t="shared" si="1928"/>
        <v>4856942</v>
      </c>
      <c r="XB336" s="92">
        <f t="shared" si="1929"/>
        <v>3688776.8000000003</v>
      </c>
      <c r="XC336" s="92">
        <f t="shared" si="1930"/>
        <v>72025678</v>
      </c>
      <c r="XD336" s="89"/>
      <c r="XE336" s="92"/>
      <c r="XF336" s="92"/>
      <c r="XG336" s="89"/>
      <c r="XH336" s="92"/>
      <c r="XI336" s="92"/>
      <c r="XJ336" s="89"/>
      <c r="XK336" s="87"/>
      <c r="XL336" s="87"/>
      <c r="XM336" s="87"/>
      <c r="XN336" s="87"/>
      <c r="XO336" s="87"/>
      <c r="XP336" s="87"/>
      <c r="XQ336" s="87"/>
      <c r="XR336" s="92">
        <f t="shared" ca="1" si="1931"/>
        <v>0</v>
      </c>
      <c r="XS336" s="89"/>
      <c r="XT336" s="87"/>
      <c r="XU336" s="87"/>
      <c r="XV336" s="87"/>
      <c r="XW336" s="87"/>
      <c r="XX336" s="87"/>
      <c r="XY336" s="87"/>
      <c r="XZ336" s="87"/>
      <c r="YA336" s="92">
        <f t="shared" ca="1" si="1932"/>
        <v>0</v>
      </c>
      <c r="YB336" s="90"/>
      <c r="YC336" s="90"/>
      <c r="YD336" s="90"/>
      <c r="YE336" s="90"/>
      <c r="YF336" s="90"/>
      <c r="YG336" s="90"/>
      <c r="YH336" s="90"/>
      <c r="YI336" s="90"/>
      <c r="YJ336" s="90"/>
      <c r="YK336" s="90"/>
      <c r="YL336" s="90"/>
      <c r="YM336" s="90"/>
      <c r="YN336" s="90"/>
      <c r="YO336" s="90"/>
      <c r="YP336" s="90"/>
      <c r="YQ336" s="90"/>
      <c r="YR336" s="90"/>
      <c r="YS336" s="90"/>
      <c r="YT336" s="90"/>
      <c r="YU336" s="90"/>
      <c r="YV336" s="90"/>
      <c r="YW336" s="90"/>
      <c r="YX336" s="90"/>
      <c r="YY336" s="90"/>
      <c r="YZ336" s="90"/>
      <c r="ZA336" s="90"/>
      <c r="ZB336" s="90"/>
      <c r="ZC336" s="90"/>
      <c r="ZD336" s="90"/>
      <c r="ZE336" s="90"/>
      <c r="ZF336" s="90"/>
      <c r="ZG336" s="90"/>
      <c r="ZH336" s="90"/>
      <c r="ZI336" s="90"/>
      <c r="ZJ336" s="90"/>
      <c r="ZK336" s="90"/>
      <c r="ZL336" s="90"/>
      <c r="ZM336" s="90"/>
      <c r="ZN336" s="90"/>
      <c r="ZO336" s="90"/>
      <c r="ZP336" s="90"/>
      <c r="ZQ336" s="90"/>
      <c r="ZR336" s="90"/>
      <c r="ZS336" s="90"/>
      <c r="ZT336" s="90"/>
      <c r="ZU336" s="90"/>
      <c r="ZV336" s="90"/>
      <c r="ZW336" s="90"/>
      <c r="ZX336" s="90"/>
      <c r="ZY336" s="90"/>
      <c r="ZZ336" s="90"/>
      <c r="AAA336" s="90"/>
      <c r="AAB336" s="90"/>
      <c r="AAC336" s="90"/>
      <c r="AAD336" s="90"/>
      <c r="AAE336" s="90"/>
      <c r="AAF336" s="90"/>
      <c r="AAG336" s="90"/>
      <c r="AAH336" s="90"/>
      <c r="AAI336" s="90"/>
      <c r="AAJ336" s="90"/>
      <c r="AAK336" s="90"/>
      <c r="AAL336" s="90"/>
      <c r="AAM336" s="90"/>
      <c r="AAN336" s="90"/>
      <c r="AAO336" s="90"/>
      <c r="AAP336" s="90"/>
      <c r="AAQ336" s="90"/>
      <c r="AAR336" s="90"/>
      <c r="AAS336" s="90"/>
      <c r="AAT336" s="90"/>
      <c r="AAU336" s="90"/>
      <c r="AAV336" s="90"/>
      <c r="AAW336" s="90"/>
      <c r="AAX336" s="90"/>
      <c r="AAY336" s="90"/>
      <c r="AAZ336" s="90"/>
      <c r="ABA336" s="90"/>
      <c r="ABB336" s="90"/>
      <c r="ABC336" s="90"/>
      <c r="ABD336" s="90"/>
      <c r="ABE336" s="90"/>
      <c r="ABF336" s="90"/>
      <c r="ABG336" s="90"/>
      <c r="ABH336" s="90"/>
      <c r="ABI336" s="90"/>
      <c r="ABJ336" s="90"/>
      <c r="ABK336" s="90"/>
      <c r="ABL336" s="90"/>
      <c r="ABM336" s="90"/>
      <c r="ABN336" s="90"/>
      <c r="ABO336" s="90"/>
      <c r="ABP336" s="90"/>
      <c r="ABQ336" s="90"/>
      <c r="ABR336" s="90"/>
      <c r="ABS336" s="90"/>
      <c r="ABT336" s="90"/>
      <c r="ABU336" s="90"/>
      <c r="ABV336" s="90"/>
      <c r="ABW336" s="90"/>
      <c r="ABX336" s="90"/>
      <c r="ABY336" s="90"/>
      <c r="ABZ336" s="90"/>
      <c r="ACA336" s="90"/>
      <c r="ACB336" s="90"/>
      <c r="ACC336" s="90"/>
      <c r="ACD336" s="90"/>
      <c r="ACE336" s="90"/>
      <c r="ACF336" s="90"/>
      <c r="ACG336" s="90"/>
      <c r="ACH336" s="90"/>
      <c r="ACI336" s="90"/>
      <c r="ACJ336" s="90"/>
      <c r="ACK336" s="90"/>
      <c r="ACL336" s="90"/>
      <c r="ACM336" s="90"/>
      <c r="ACN336" s="90"/>
      <c r="ACO336" s="90"/>
      <c r="ACP336" s="90"/>
      <c r="ACQ336" s="90"/>
      <c r="ACR336" s="90"/>
      <c r="ACS336" s="90"/>
      <c r="ACT336" s="90"/>
      <c r="ACU336" s="90"/>
      <c r="ACV336" s="90"/>
      <c r="ACW336" s="90"/>
      <c r="ACX336" s="90"/>
      <c r="ACY336" s="90"/>
      <c r="ACZ336" s="90"/>
      <c r="ADA336" s="90"/>
      <c r="ADB336" s="90"/>
      <c r="ADC336" s="90"/>
      <c r="ADD336" s="90"/>
      <c r="ADE336" s="90"/>
      <c r="ADF336" s="90"/>
      <c r="ADG336" s="90"/>
      <c r="ADH336" s="90"/>
      <c r="ADI336" s="90"/>
      <c r="ADJ336" s="90"/>
      <c r="ADK336" s="90"/>
      <c r="ADL336" s="90"/>
      <c r="ADM336" s="90"/>
      <c r="ADN336" s="90"/>
      <c r="ADO336" s="90"/>
      <c r="ADP336" s="90"/>
      <c r="ADQ336" s="90"/>
      <c r="ADR336" s="90"/>
      <c r="ADS336" s="90"/>
      <c r="ADT336" s="90"/>
      <c r="ADU336" s="90"/>
      <c r="ADV336" s="90"/>
      <c r="ADW336" s="90"/>
      <c r="ADX336" s="90"/>
      <c r="ADY336" s="90"/>
      <c r="ADZ336" s="90"/>
      <c r="AEA336" s="90"/>
      <c r="AEB336" s="90"/>
      <c r="AEC336" s="90"/>
      <c r="AED336" s="90"/>
      <c r="AEE336" s="90"/>
      <c r="AEF336" s="90"/>
      <c r="AEG336" s="90"/>
      <c r="AEH336" s="90"/>
      <c r="AEI336" s="90"/>
      <c r="AEJ336" s="90"/>
      <c r="AEK336" s="90"/>
      <c r="AEL336" s="90"/>
      <c r="AEM336" s="90"/>
      <c r="AEN336" s="90"/>
      <c r="AEO336" s="90"/>
      <c r="AEP336" s="90"/>
      <c r="AEQ336" s="90"/>
      <c r="AER336" s="90"/>
      <c r="AES336" s="90"/>
      <c r="AET336" s="90"/>
      <c r="AEU336" s="90"/>
      <c r="AEV336" s="90"/>
      <c r="AEW336" s="90"/>
      <c r="AEX336" s="90"/>
      <c r="AEY336" s="90"/>
      <c r="AEZ336" s="90"/>
      <c r="AFA336" s="90"/>
      <c r="AFB336" s="90"/>
      <c r="AFC336" s="90"/>
      <c r="AFD336" s="90"/>
      <c r="AFE336" s="90"/>
      <c r="AFF336" s="90"/>
      <c r="AFG336" s="90"/>
      <c r="AFH336" s="90"/>
      <c r="AFI336" s="90"/>
      <c r="AFJ336" s="90"/>
      <c r="AFK336" s="90"/>
      <c r="AFL336" s="90"/>
      <c r="AFM336" s="90"/>
      <c r="AFN336" s="90"/>
      <c r="AFO336" s="90"/>
      <c r="AFP336" s="90"/>
      <c r="AFQ336" s="90"/>
      <c r="AFR336" s="90"/>
      <c r="AFS336" s="90"/>
      <c r="AFT336" s="90"/>
      <c r="AFU336" s="90"/>
      <c r="AFV336" s="90"/>
      <c r="AFW336" s="90"/>
      <c r="AFX336" s="90"/>
      <c r="AFY336" s="90"/>
      <c r="AFZ336" s="90"/>
      <c r="AGA336" s="90"/>
      <c r="AGB336" s="90"/>
      <c r="AGC336" s="90"/>
      <c r="AGD336" s="90"/>
      <c r="AGE336" s="90"/>
      <c r="AGF336" s="90"/>
      <c r="AGG336" s="90"/>
      <c r="AGH336" s="90"/>
      <c r="AGI336" s="90"/>
      <c r="AGJ336" s="90"/>
      <c r="AGK336" s="90"/>
      <c r="AGL336" s="90"/>
      <c r="AGM336" s="90"/>
      <c r="AGN336" s="90"/>
      <c r="AGO336" s="90"/>
      <c r="AGP336" s="90"/>
      <c r="AGQ336" s="90"/>
      <c r="AGR336" s="90"/>
      <c r="AGS336" s="90"/>
      <c r="AGT336" s="90"/>
      <c r="AGU336" s="90"/>
      <c r="AGV336" s="90"/>
      <c r="AGW336" s="90"/>
      <c r="AGX336" s="90"/>
      <c r="AGY336" s="90"/>
      <c r="AGZ336" s="90"/>
      <c r="AHA336" s="90"/>
      <c r="AHB336" s="90"/>
      <c r="AHC336" s="90"/>
      <c r="AHD336" s="90"/>
      <c r="AHE336" s="90"/>
      <c r="AHF336" s="90"/>
      <c r="AHG336" s="90"/>
      <c r="AHH336" s="90"/>
      <c r="AHI336" s="90"/>
      <c r="AHJ336" s="90"/>
      <c r="AHK336" s="90"/>
      <c r="AHL336" s="90"/>
      <c r="AHM336" s="90"/>
      <c r="AHN336" s="90"/>
      <c r="AHO336" s="90"/>
      <c r="AHP336" s="90"/>
      <c r="AHQ336" s="90"/>
      <c r="AHR336" s="90"/>
      <c r="AHS336" s="90"/>
      <c r="AHT336" s="90"/>
      <c r="AHU336" s="90"/>
      <c r="AHV336" s="90"/>
      <c r="AHW336" s="90"/>
      <c r="AHX336" s="90"/>
      <c r="AHY336" s="90"/>
      <c r="AHZ336" s="90"/>
      <c r="AIA336" s="90"/>
      <c r="AIB336" s="90"/>
      <c r="AIC336" s="90"/>
      <c r="AID336" s="90"/>
      <c r="AIE336" s="90"/>
      <c r="AIF336" s="90"/>
      <c r="AIG336" s="90"/>
      <c r="AIH336" s="90"/>
      <c r="AII336" s="90"/>
      <c r="AIJ336" s="90"/>
      <c r="AIK336" s="90"/>
      <c r="AIL336" s="90"/>
      <c r="AIM336" s="90"/>
      <c r="AIN336" s="90"/>
      <c r="AIO336" s="90"/>
      <c r="AIP336" s="90"/>
      <c r="AIQ336" s="90"/>
      <c r="AIR336" s="90"/>
      <c r="AIS336" s="90"/>
      <c r="AIT336" s="90"/>
      <c r="AIU336" s="90"/>
      <c r="AIV336" s="90"/>
      <c r="AIW336" s="90"/>
      <c r="AIX336" s="90"/>
      <c r="AIY336" s="90"/>
      <c r="AIZ336" s="90"/>
      <c r="AJA336" s="90"/>
      <c r="AJB336" s="90"/>
      <c r="AJC336" s="90"/>
      <c r="AJD336" s="90"/>
      <c r="AJE336" s="90"/>
      <c r="AJF336" s="90"/>
      <c r="AJG336" s="90"/>
      <c r="AJH336" s="90"/>
      <c r="AJI336" s="90"/>
      <c r="AJJ336" s="90"/>
      <c r="AJK336" s="90"/>
      <c r="AJL336" s="90"/>
      <c r="AJM336" s="90"/>
      <c r="AJN336" s="90"/>
      <c r="AJO336" s="90"/>
      <c r="AJP336" s="90"/>
      <c r="AJQ336" s="90"/>
      <c r="AJR336" s="90"/>
      <c r="AJS336" s="90"/>
      <c r="AJT336" s="90"/>
      <c r="AJU336" s="90"/>
      <c r="AJV336" s="90"/>
      <c r="AJW336" s="90"/>
      <c r="AJX336" s="90"/>
      <c r="AJY336" s="90"/>
      <c r="AJZ336" s="90"/>
      <c r="AKA336" s="90"/>
      <c r="AKB336" s="90"/>
      <c r="AKC336" s="90"/>
      <c r="AKD336" s="90"/>
      <c r="AKE336" s="90"/>
      <c r="AKF336" s="90"/>
      <c r="AKG336" s="90"/>
      <c r="AKH336" s="90"/>
      <c r="AKI336" s="90"/>
      <c r="AKJ336" s="90"/>
      <c r="AKK336" s="90"/>
      <c r="AKL336" s="90"/>
      <c r="AKM336" s="90"/>
      <c r="AKN336" s="90"/>
      <c r="AKO336" s="90"/>
      <c r="AKP336" s="90"/>
      <c r="AKQ336" s="90"/>
      <c r="AKR336" s="90"/>
      <c r="AKS336" s="90"/>
      <c r="AKT336" s="90"/>
      <c r="AKU336" s="90"/>
      <c r="AKV336" s="90"/>
      <c r="AKW336" s="90"/>
      <c r="AKX336" s="90"/>
      <c r="AKY336" s="90"/>
      <c r="AKZ336" s="90"/>
      <c r="ALA336" s="90"/>
      <c r="ALB336" s="90"/>
      <c r="ALC336" s="90"/>
      <c r="ALD336" s="90"/>
      <c r="ALE336" s="90"/>
      <c r="ALF336" s="90"/>
      <c r="ALG336" s="90"/>
      <c r="ALH336" s="90"/>
      <c r="ALI336" s="90"/>
      <c r="ALJ336" s="90"/>
      <c r="ALK336" s="90"/>
      <c r="ALL336" s="90"/>
      <c r="ALM336" s="90"/>
      <c r="ALN336" s="90"/>
      <c r="ALO336" s="90"/>
      <c r="ALP336" s="90"/>
      <c r="ALQ336" s="90"/>
      <c r="ALR336" s="90"/>
      <c r="ALS336" s="90"/>
      <c r="ALT336" s="90"/>
      <c r="ALU336" s="90"/>
      <c r="ALV336" s="90"/>
      <c r="ALW336" s="90"/>
      <c r="ALX336" s="90"/>
      <c r="ALY336" s="90"/>
      <c r="ALZ336" s="90"/>
      <c r="AMA336" s="90"/>
      <c r="AMB336" s="90"/>
      <c r="AMC336" s="90"/>
    </row>
    <row r="337" spans="1:1017">
      <c r="A337" s="98" t="s">
        <v>53</v>
      </c>
      <c r="B337" s="90" t="str">
        <f t="shared" si="1838"/>
        <v xml:space="preserve">Patin </v>
      </c>
      <c r="Q337" s="91">
        <f t="shared" si="1839"/>
        <v>0</v>
      </c>
      <c r="R337" s="91">
        <f t="shared" si="1840"/>
        <v>0</v>
      </c>
      <c r="Y337" s="98">
        <v>218328</v>
      </c>
      <c r="Z337" s="98">
        <v>4366560</v>
      </c>
      <c r="AG337" s="91">
        <f t="shared" si="1841"/>
        <v>218328</v>
      </c>
      <c r="AH337" s="91">
        <f t="shared" si="1842"/>
        <v>4366560</v>
      </c>
      <c r="AO337" s="98">
        <v>12100</v>
      </c>
      <c r="AP337" s="98">
        <v>205700</v>
      </c>
      <c r="AW337" s="91">
        <f t="shared" si="1843"/>
        <v>12100</v>
      </c>
      <c r="AX337" s="91">
        <f t="shared" si="1844"/>
        <v>205700</v>
      </c>
      <c r="BE337" s="98">
        <v>20113</v>
      </c>
      <c r="BF337" s="98">
        <v>362034</v>
      </c>
      <c r="BM337" s="91">
        <f t="shared" si="1845"/>
        <v>20113</v>
      </c>
      <c r="BN337" s="91">
        <f t="shared" si="1846"/>
        <v>362034</v>
      </c>
      <c r="BU337" s="98">
        <v>35</v>
      </c>
      <c r="BV337" s="98">
        <v>945</v>
      </c>
      <c r="CC337" s="91">
        <f t="shared" si="1847"/>
        <v>35</v>
      </c>
      <c r="CD337" s="91">
        <f t="shared" si="1848"/>
        <v>945</v>
      </c>
      <c r="CK337" s="98">
        <v>799</v>
      </c>
      <c r="CL337" s="98">
        <v>14379</v>
      </c>
      <c r="CS337" s="91">
        <f t="shared" si="1849"/>
        <v>799</v>
      </c>
      <c r="CT337" s="91">
        <f t="shared" si="1850"/>
        <v>14379</v>
      </c>
      <c r="DI337" s="91">
        <f t="shared" si="1851"/>
        <v>0</v>
      </c>
      <c r="DJ337" s="91">
        <f t="shared" si="1852"/>
        <v>0</v>
      </c>
      <c r="DQ337" s="98">
        <v>166800</v>
      </c>
      <c r="DR337" s="98">
        <v>2835600</v>
      </c>
      <c r="DY337" s="91">
        <f t="shared" si="1853"/>
        <v>166800</v>
      </c>
      <c r="DZ337" s="91">
        <f t="shared" si="1854"/>
        <v>2835600</v>
      </c>
      <c r="EG337" s="98">
        <v>192100</v>
      </c>
      <c r="EH337" s="98">
        <v>2881500</v>
      </c>
      <c r="EO337" s="91">
        <f t="shared" si="1855"/>
        <v>192100</v>
      </c>
      <c r="EP337" s="91">
        <f t="shared" si="1856"/>
        <v>2881500</v>
      </c>
      <c r="EW337" s="98">
        <v>197</v>
      </c>
      <c r="EX337" s="98">
        <v>3940</v>
      </c>
      <c r="FE337" s="91">
        <f t="shared" si="1857"/>
        <v>197</v>
      </c>
      <c r="FF337" s="91">
        <f t="shared" si="1858"/>
        <v>3940</v>
      </c>
      <c r="FM337" s="98">
        <v>900</v>
      </c>
      <c r="FN337" s="98">
        <v>18000</v>
      </c>
      <c r="FU337" s="91">
        <f t="shared" si="1859"/>
        <v>900</v>
      </c>
      <c r="FV337" s="91">
        <f t="shared" si="1860"/>
        <v>18000</v>
      </c>
      <c r="GC337" s="98">
        <v>29000</v>
      </c>
      <c r="GD337" s="98">
        <v>493000</v>
      </c>
      <c r="GK337" s="91">
        <f t="shared" si="1861"/>
        <v>29000</v>
      </c>
      <c r="GL337" s="91">
        <f t="shared" si="1862"/>
        <v>493000</v>
      </c>
      <c r="GS337" s="98">
        <v>1000</v>
      </c>
      <c r="GT337" s="98">
        <v>17500</v>
      </c>
      <c r="HA337" s="91">
        <f t="shared" si="1863"/>
        <v>1000</v>
      </c>
      <c r="HB337" s="91">
        <f t="shared" si="1864"/>
        <v>17500</v>
      </c>
      <c r="HQ337" s="91">
        <f t="shared" si="1865"/>
        <v>0</v>
      </c>
      <c r="HR337" s="91">
        <f t="shared" si="1866"/>
        <v>0</v>
      </c>
      <c r="HY337" s="98">
        <v>2000</v>
      </c>
      <c r="HZ337" s="98">
        <v>35000</v>
      </c>
      <c r="IG337" s="91">
        <f t="shared" si="1867"/>
        <v>2000</v>
      </c>
      <c r="IH337" s="91">
        <f t="shared" si="1868"/>
        <v>35000</v>
      </c>
      <c r="IO337" s="98">
        <v>6000</v>
      </c>
      <c r="IP337" s="98">
        <v>102000</v>
      </c>
      <c r="IW337" s="91">
        <f t="shared" si="1869"/>
        <v>6000</v>
      </c>
      <c r="IX337" s="91">
        <f t="shared" si="1870"/>
        <v>102000</v>
      </c>
      <c r="JE337" s="98">
        <v>14450</v>
      </c>
      <c r="JF337" s="98">
        <v>252875</v>
      </c>
      <c r="JK337" s="98">
        <v>5650</v>
      </c>
      <c r="JL337" s="98">
        <v>90400</v>
      </c>
      <c r="JM337" s="91">
        <f t="shared" si="1871"/>
        <v>20100</v>
      </c>
      <c r="JN337" s="91">
        <f t="shared" si="1872"/>
        <v>343275</v>
      </c>
      <c r="KC337" s="91">
        <f t="shared" si="1873"/>
        <v>0</v>
      </c>
      <c r="KD337" s="91">
        <f t="shared" si="1874"/>
        <v>0</v>
      </c>
      <c r="KS337" s="91">
        <f t="shared" si="1875"/>
        <v>0</v>
      </c>
      <c r="KT337" s="91">
        <f t="shared" si="1876"/>
        <v>0</v>
      </c>
      <c r="LG337" s="98">
        <v>2385.04</v>
      </c>
      <c r="LH337" s="98">
        <v>47700</v>
      </c>
      <c r="LI337" s="91">
        <f t="shared" si="1877"/>
        <v>2385.04</v>
      </c>
      <c r="LJ337" s="91">
        <f t="shared" si="1878"/>
        <v>47700</v>
      </c>
      <c r="LQ337" s="98">
        <v>1527</v>
      </c>
      <c r="LR337" s="98">
        <v>25959</v>
      </c>
      <c r="LY337" s="91">
        <f t="shared" si="1879"/>
        <v>1527</v>
      </c>
      <c r="LZ337" s="91">
        <f t="shared" si="1880"/>
        <v>25959</v>
      </c>
      <c r="MO337" s="91">
        <f t="shared" si="1881"/>
        <v>0</v>
      </c>
      <c r="MP337" s="91">
        <f t="shared" si="1882"/>
        <v>0</v>
      </c>
      <c r="NE337" s="91">
        <f t="shared" si="1883"/>
        <v>0</v>
      </c>
      <c r="NF337" s="91">
        <f t="shared" si="1884"/>
        <v>0</v>
      </c>
      <c r="NM337" s="98">
        <v>25000</v>
      </c>
      <c r="NN337" s="98">
        <v>450000</v>
      </c>
      <c r="NQ337" s="98">
        <v>22000</v>
      </c>
      <c r="NR337" s="98">
        <v>396000</v>
      </c>
      <c r="NU337" s="91">
        <f t="shared" si="1885"/>
        <v>47000</v>
      </c>
      <c r="NV337" s="91">
        <f t="shared" si="1886"/>
        <v>846000</v>
      </c>
      <c r="OK337" s="91">
        <f t="shared" si="1887"/>
        <v>0</v>
      </c>
      <c r="OL337" s="91">
        <f t="shared" si="1888"/>
        <v>0</v>
      </c>
      <c r="PA337" s="91">
        <f t="shared" si="1889"/>
        <v>0</v>
      </c>
      <c r="PB337" s="91">
        <f t="shared" si="1890"/>
        <v>0</v>
      </c>
      <c r="PI337" s="98">
        <v>54219</v>
      </c>
      <c r="PJ337" s="98">
        <v>1093625</v>
      </c>
      <c r="PQ337" s="91">
        <f t="shared" si="1891"/>
        <v>54219</v>
      </c>
      <c r="PR337" s="91">
        <f t="shared" si="1892"/>
        <v>1093625</v>
      </c>
      <c r="PY337" s="98">
        <v>45280</v>
      </c>
      <c r="PZ337" s="98">
        <v>679200</v>
      </c>
      <c r="QA337" s="98">
        <v>6560</v>
      </c>
      <c r="QB337" s="98">
        <v>98400</v>
      </c>
      <c r="QC337" s="98">
        <v>8220</v>
      </c>
      <c r="QD337" s="98">
        <v>123300</v>
      </c>
      <c r="QG337" s="91">
        <f t="shared" si="1893"/>
        <v>60060</v>
      </c>
      <c r="QH337" s="91">
        <f t="shared" si="1894"/>
        <v>900900</v>
      </c>
      <c r="QO337" s="98">
        <v>1620000</v>
      </c>
      <c r="QP337" s="98">
        <v>29160000</v>
      </c>
      <c r="QW337" s="91">
        <f t="shared" si="1895"/>
        <v>1620000</v>
      </c>
      <c r="QX337" s="91">
        <f t="shared" si="1896"/>
        <v>29160000</v>
      </c>
      <c r="RM337" s="91">
        <f t="shared" si="1897"/>
        <v>0</v>
      </c>
      <c r="RN337" s="91">
        <f t="shared" si="1898"/>
        <v>0</v>
      </c>
      <c r="RU337" s="98">
        <v>940</v>
      </c>
      <c r="RV337" s="98">
        <v>17860</v>
      </c>
      <c r="SC337" s="91">
        <f t="shared" si="1899"/>
        <v>940</v>
      </c>
      <c r="SD337" s="91">
        <f t="shared" si="1900"/>
        <v>17860</v>
      </c>
      <c r="SS337" s="91">
        <f t="shared" si="1901"/>
        <v>0</v>
      </c>
      <c r="ST337" s="91">
        <f t="shared" si="1902"/>
        <v>0</v>
      </c>
      <c r="TI337" s="91">
        <f t="shared" si="1903"/>
        <v>0</v>
      </c>
      <c r="TJ337" s="91">
        <f t="shared" si="1904"/>
        <v>0</v>
      </c>
      <c r="TY337" s="91">
        <f t="shared" si="1905"/>
        <v>0</v>
      </c>
      <c r="TZ337" s="91">
        <f t="shared" si="1906"/>
        <v>0</v>
      </c>
      <c r="UG337" s="98">
        <v>236</v>
      </c>
      <c r="UH337" s="98">
        <v>4720</v>
      </c>
      <c r="UO337" s="91">
        <f t="shared" si="1907"/>
        <v>236</v>
      </c>
      <c r="UP337" s="91">
        <f t="shared" si="1908"/>
        <v>4720</v>
      </c>
      <c r="VE337" s="91">
        <f t="shared" si="1909"/>
        <v>0</v>
      </c>
      <c r="VF337" s="91">
        <f t="shared" si="1910"/>
        <v>0</v>
      </c>
      <c r="VU337" s="91">
        <f t="shared" si="1911"/>
        <v>0</v>
      </c>
      <c r="VV337" s="91">
        <f t="shared" si="1912"/>
        <v>0</v>
      </c>
      <c r="WC337" s="98">
        <v>250</v>
      </c>
      <c r="WD337" s="98">
        <v>5500</v>
      </c>
      <c r="WK337" s="91">
        <f t="shared" si="1913"/>
        <v>250</v>
      </c>
      <c r="WL337" s="91">
        <f t="shared" si="1914"/>
        <v>5500</v>
      </c>
      <c r="WM337" s="89"/>
      <c r="WN337" s="87">
        <f t="shared" si="1915"/>
        <v>0</v>
      </c>
      <c r="WO337" s="87">
        <f t="shared" si="1916"/>
        <v>0</v>
      </c>
      <c r="WP337" s="87">
        <f t="shared" si="1917"/>
        <v>0</v>
      </c>
      <c r="WQ337" s="87">
        <f t="shared" si="1918"/>
        <v>0</v>
      </c>
      <c r="WR337" s="87">
        <f t="shared" si="1919"/>
        <v>0</v>
      </c>
      <c r="WS337" s="87">
        <f t="shared" si="1920"/>
        <v>0</v>
      </c>
      <c r="WT337" s="87">
        <f t="shared" si="1921"/>
        <v>2411274</v>
      </c>
      <c r="WU337" s="87">
        <f t="shared" si="1922"/>
        <v>43025897</v>
      </c>
      <c r="WV337" s="87">
        <f t="shared" si="1923"/>
        <v>6560</v>
      </c>
      <c r="WW337" s="87">
        <f t="shared" si="1924"/>
        <v>98400</v>
      </c>
      <c r="WX337" s="87">
        <f t="shared" si="1925"/>
        <v>30220</v>
      </c>
      <c r="WY337" s="87">
        <f t="shared" si="1926"/>
        <v>519300</v>
      </c>
      <c r="WZ337" s="87">
        <f t="shared" si="1927"/>
        <v>8035.04</v>
      </c>
      <c r="XA337" s="87">
        <f t="shared" si="1928"/>
        <v>138100</v>
      </c>
      <c r="XB337" s="92">
        <f t="shared" si="1929"/>
        <v>2456089.04</v>
      </c>
      <c r="XC337" s="92">
        <f t="shared" si="1930"/>
        <v>43781697</v>
      </c>
      <c r="XD337" s="89"/>
      <c r="XE337" s="92"/>
      <c r="XF337" s="92"/>
      <c r="XG337" s="89"/>
      <c r="XH337" s="92"/>
      <c r="XI337" s="92"/>
      <c r="XJ337" s="89"/>
      <c r="XK337" s="87"/>
      <c r="XL337" s="87"/>
      <c r="XM337" s="87"/>
      <c r="XN337" s="87"/>
      <c r="XO337" s="87"/>
      <c r="XP337" s="87"/>
      <c r="XQ337" s="87"/>
      <c r="XR337" s="92">
        <f t="shared" ca="1" si="1931"/>
        <v>0</v>
      </c>
      <c r="XS337" s="89"/>
      <c r="XT337" s="87"/>
      <c r="XU337" s="87"/>
      <c r="XV337" s="87"/>
      <c r="XW337" s="87"/>
      <c r="XX337" s="87"/>
      <c r="XY337" s="87"/>
      <c r="XZ337" s="87"/>
      <c r="YA337" s="92">
        <f t="shared" ca="1" si="1932"/>
        <v>0</v>
      </c>
      <c r="YB337" s="90"/>
      <c r="YC337" s="90"/>
      <c r="YD337" s="90"/>
      <c r="YE337" s="90"/>
      <c r="YF337" s="90"/>
      <c r="YG337" s="90"/>
      <c r="YH337" s="90"/>
      <c r="YI337" s="90"/>
      <c r="YJ337" s="90"/>
      <c r="YK337" s="90"/>
      <c r="YL337" s="90"/>
      <c r="YM337" s="90"/>
      <c r="YN337" s="90"/>
      <c r="YO337" s="90"/>
      <c r="YP337" s="90"/>
      <c r="YQ337" s="90"/>
      <c r="YR337" s="90"/>
      <c r="YS337" s="90"/>
      <c r="YT337" s="90"/>
      <c r="YU337" s="90"/>
      <c r="YV337" s="90"/>
      <c r="YW337" s="90"/>
      <c r="YX337" s="90"/>
      <c r="YY337" s="90"/>
      <c r="YZ337" s="90"/>
      <c r="ZA337" s="90"/>
      <c r="ZB337" s="90"/>
      <c r="ZC337" s="90"/>
      <c r="ZD337" s="90"/>
      <c r="ZE337" s="90"/>
      <c r="ZF337" s="90"/>
      <c r="ZG337" s="90"/>
      <c r="ZH337" s="90"/>
      <c r="ZI337" s="90"/>
      <c r="ZJ337" s="90"/>
      <c r="ZK337" s="90"/>
      <c r="ZL337" s="90"/>
      <c r="ZM337" s="90"/>
      <c r="ZN337" s="90"/>
      <c r="ZO337" s="90"/>
      <c r="ZP337" s="90"/>
      <c r="ZQ337" s="90"/>
      <c r="ZR337" s="90"/>
      <c r="ZS337" s="90"/>
      <c r="ZT337" s="90"/>
      <c r="ZU337" s="90"/>
      <c r="ZV337" s="90"/>
      <c r="ZW337" s="90"/>
      <c r="ZX337" s="90"/>
      <c r="ZY337" s="90"/>
      <c r="ZZ337" s="90"/>
      <c r="AAA337" s="90"/>
      <c r="AAB337" s="90"/>
      <c r="AAC337" s="90"/>
      <c r="AAD337" s="90"/>
      <c r="AAE337" s="90"/>
      <c r="AAF337" s="90"/>
      <c r="AAG337" s="90"/>
      <c r="AAH337" s="90"/>
      <c r="AAI337" s="90"/>
      <c r="AAJ337" s="90"/>
      <c r="AAK337" s="90"/>
      <c r="AAL337" s="90"/>
      <c r="AAM337" s="90"/>
      <c r="AAN337" s="90"/>
      <c r="AAO337" s="90"/>
      <c r="AAP337" s="90"/>
      <c r="AAQ337" s="90"/>
      <c r="AAR337" s="90"/>
      <c r="AAS337" s="90"/>
      <c r="AAT337" s="90"/>
      <c r="AAU337" s="90"/>
      <c r="AAV337" s="90"/>
      <c r="AAW337" s="90"/>
      <c r="AAX337" s="90"/>
      <c r="AAY337" s="90"/>
      <c r="AAZ337" s="90"/>
      <c r="ABA337" s="90"/>
      <c r="ABB337" s="90"/>
      <c r="ABC337" s="90"/>
      <c r="ABD337" s="90"/>
      <c r="ABE337" s="90"/>
      <c r="ABF337" s="90"/>
      <c r="ABG337" s="90"/>
      <c r="ABH337" s="90"/>
      <c r="ABI337" s="90"/>
      <c r="ABJ337" s="90"/>
      <c r="ABK337" s="90"/>
      <c r="ABL337" s="90"/>
      <c r="ABM337" s="90"/>
      <c r="ABN337" s="90"/>
      <c r="ABO337" s="90"/>
      <c r="ABP337" s="90"/>
      <c r="ABQ337" s="90"/>
      <c r="ABR337" s="90"/>
      <c r="ABS337" s="90"/>
      <c r="ABT337" s="90"/>
      <c r="ABU337" s="90"/>
      <c r="ABV337" s="90"/>
      <c r="ABW337" s="90"/>
      <c r="ABX337" s="90"/>
      <c r="ABY337" s="90"/>
      <c r="ABZ337" s="90"/>
      <c r="ACA337" s="90"/>
      <c r="ACB337" s="90"/>
      <c r="ACC337" s="90"/>
      <c r="ACD337" s="90"/>
      <c r="ACE337" s="90"/>
      <c r="ACF337" s="90"/>
      <c r="ACG337" s="90"/>
      <c r="ACH337" s="90"/>
      <c r="ACI337" s="90"/>
      <c r="ACJ337" s="90"/>
      <c r="ACK337" s="90"/>
      <c r="ACL337" s="90"/>
      <c r="ACM337" s="90"/>
      <c r="ACN337" s="90"/>
      <c r="ACO337" s="90"/>
      <c r="ACP337" s="90"/>
      <c r="ACQ337" s="90"/>
      <c r="ACR337" s="90"/>
      <c r="ACS337" s="90"/>
      <c r="ACT337" s="90"/>
      <c r="ACU337" s="90"/>
      <c r="ACV337" s="90"/>
      <c r="ACW337" s="90"/>
      <c r="ACX337" s="90"/>
      <c r="ACY337" s="90"/>
      <c r="ACZ337" s="90"/>
      <c r="ADA337" s="90"/>
      <c r="ADB337" s="90"/>
      <c r="ADC337" s="90"/>
      <c r="ADD337" s="90"/>
      <c r="ADE337" s="90"/>
      <c r="ADF337" s="90"/>
      <c r="ADG337" s="90"/>
      <c r="ADH337" s="90"/>
      <c r="ADI337" s="90"/>
      <c r="ADJ337" s="90"/>
      <c r="ADK337" s="90"/>
      <c r="ADL337" s="90"/>
      <c r="ADM337" s="90"/>
      <c r="ADN337" s="90"/>
      <c r="ADO337" s="90"/>
      <c r="ADP337" s="90"/>
      <c r="ADQ337" s="90"/>
      <c r="ADR337" s="90"/>
      <c r="ADS337" s="90"/>
      <c r="ADT337" s="90"/>
      <c r="ADU337" s="90"/>
      <c r="ADV337" s="90"/>
      <c r="ADW337" s="90"/>
      <c r="ADX337" s="90"/>
      <c r="ADY337" s="90"/>
      <c r="ADZ337" s="90"/>
      <c r="AEA337" s="90"/>
      <c r="AEB337" s="90"/>
      <c r="AEC337" s="90"/>
      <c r="AED337" s="90"/>
      <c r="AEE337" s="90"/>
      <c r="AEF337" s="90"/>
      <c r="AEG337" s="90"/>
      <c r="AEH337" s="90"/>
      <c r="AEI337" s="90"/>
      <c r="AEJ337" s="90"/>
      <c r="AEK337" s="90"/>
      <c r="AEL337" s="90"/>
      <c r="AEM337" s="90"/>
      <c r="AEN337" s="90"/>
      <c r="AEO337" s="90"/>
      <c r="AEP337" s="90"/>
      <c r="AEQ337" s="90"/>
      <c r="AER337" s="90"/>
      <c r="AES337" s="90"/>
      <c r="AET337" s="90"/>
      <c r="AEU337" s="90"/>
      <c r="AEV337" s="90"/>
      <c r="AEW337" s="90"/>
      <c r="AEX337" s="90"/>
      <c r="AEY337" s="90"/>
      <c r="AEZ337" s="90"/>
      <c r="AFA337" s="90"/>
      <c r="AFB337" s="90"/>
      <c r="AFC337" s="90"/>
      <c r="AFD337" s="90"/>
      <c r="AFE337" s="90"/>
      <c r="AFF337" s="90"/>
      <c r="AFG337" s="90"/>
      <c r="AFH337" s="90"/>
      <c r="AFI337" s="90"/>
      <c r="AFJ337" s="90"/>
      <c r="AFK337" s="90"/>
      <c r="AFL337" s="90"/>
      <c r="AFM337" s="90"/>
      <c r="AFN337" s="90"/>
      <c r="AFO337" s="90"/>
      <c r="AFP337" s="90"/>
      <c r="AFQ337" s="90"/>
      <c r="AFR337" s="90"/>
      <c r="AFS337" s="90"/>
      <c r="AFT337" s="90"/>
      <c r="AFU337" s="90"/>
      <c r="AFV337" s="90"/>
      <c r="AFW337" s="90"/>
      <c r="AFX337" s="90"/>
      <c r="AFY337" s="90"/>
      <c r="AFZ337" s="90"/>
      <c r="AGA337" s="90"/>
      <c r="AGB337" s="90"/>
      <c r="AGC337" s="90"/>
      <c r="AGD337" s="90"/>
      <c r="AGE337" s="90"/>
      <c r="AGF337" s="90"/>
      <c r="AGG337" s="90"/>
      <c r="AGH337" s="90"/>
      <c r="AGI337" s="90"/>
      <c r="AGJ337" s="90"/>
      <c r="AGK337" s="90"/>
      <c r="AGL337" s="90"/>
      <c r="AGM337" s="90"/>
      <c r="AGN337" s="90"/>
      <c r="AGO337" s="90"/>
      <c r="AGP337" s="90"/>
      <c r="AGQ337" s="90"/>
      <c r="AGR337" s="90"/>
      <c r="AGS337" s="90"/>
      <c r="AGT337" s="90"/>
      <c r="AGU337" s="90"/>
      <c r="AGV337" s="90"/>
      <c r="AGW337" s="90"/>
      <c r="AGX337" s="90"/>
      <c r="AGY337" s="90"/>
      <c r="AGZ337" s="90"/>
      <c r="AHA337" s="90"/>
      <c r="AHB337" s="90"/>
      <c r="AHC337" s="90"/>
      <c r="AHD337" s="90"/>
      <c r="AHE337" s="90"/>
      <c r="AHF337" s="90"/>
      <c r="AHG337" s="90"/>
      <c r="AHH337" s="90"/>
      <c r="AHI337" s="90"/>
      <c r="AHJ337" s="90"/>
      <c r="AHK337" s="90"/>
      <c r="AHL337" s="90"/>
      <c r="AHM337" s="90"/>
      <c r="AHN337" s="90"/>
      <c r="AHO337" s="90"/>
      <c r="AHP337" s="90"/>
      <c r="AHQ337" s="90"/>
      <c r="AHR337" s="90"/>
      <c r="AHS337" s="90"/>
      <c r="AHT337" s="90"/>
      <c r="AHU337" s="90"/>
      <c r="AHV337" s="90"/>
      <c r="AHW337" s="90"/>
      <c r="AHX337" s="90"/>
      <c r="AHY337" s="90"/>
      <c r="AHZ337" s="90"/>
      <c r="AIA337" s="90"/>
      <c r="AIB337" s="90"/>
      <c r="AIC337" s="90"/>
      <c r="AID337" s="90"/>
      <c r="AIE337" s="90"/>
      <c r="AIF337" s="90"/>
      <c r="AIG337" s="90"/>
      <c r="AIH337" s="90"/>
      <c r="AII337" s="90"/>
      <c r="AIJ337" s="90"/>
      <c r="AIK337" s="90"/>
      <c r="AIL337" s="90"/>
      <c r="AIM337" s="90"/>
      <c r="AIN337" s="90"/>
      <c r="AIO337" s="90"/>
      <c r="AIP337" s="90"/>
      <c r="AIQ337" s="90"/>
      <c r="AIR337" s="90"/>
      <c r="AIS337" s="90"/>
      <c r="AIT337" s="90"/>
      <c r="AIU337" s="90"/>
      <c r="AIV337" s="90"/>
      <c r="AIW337" s="90"/>
      <c r="AIX337" s="90"/>
      <c r="AIY337" s="90"/>
      <c r="AIZ337" s="90"/>
      <c r="AJA337" s="90"/>
      <c r="AJB337" s="90"/>
      <c r="AJC337" s="90"/>
      <c r="AJD337" s="90"/>
      <c r="AJE337" s="90"/>
      <c r="AJF337" s="90"/>
      <c r="AJG337" s="90"/>
      <c r="AJH337" s="90"/>
      <c r="AJI337" s="90"/>
      <c r="AJJ337" s="90"/>
      <c r="AJK337" s="90"/>
      <c r="AJL337" s="90"/>
      <c r="AJM337" s="90"/>
      <c r="AJN337" s="90"/>
      <c r="AJO337" s="90"/>
      <c r="AJP337" s="90"/>
      <c r="AJQ337" s="90"/>
      <c r="AJR337" s="90"/>
      <c r="AJS337" s="90"/>
      <c r="AJT337" s="90"/>
      <c r="AJU337" s="90"/>
      <c r="AJV337" s="90"/>
      <c r="AJW337" s="90"/>
      <c r="AJX337" s="90"/>
      <c r="AJY337" s="90"/>
      <c r="AJZ337" s="90"/>
      <c r="AKA337" s="90"/>
      <c r="AKB337" s="90"/>
      <c r="AKC337" s="90"/>
      <c r="AKD337" s="90"/>
      <c r="AKE337" s="90"/>
      <c r="AKF337" s="90"/>
      <c r="AKG337" s="90"/>
      <c r="AKH337" s="90"/>
      <c r="AKI337" s="90"/>
      <c r="AKJ337" s="90"/>
      <c r="AKK337" s="90"/>
      <c r="AKL337" s="90"/>
      <c r="AKM337" s="90"/>
      <c r="AKN337" s="90"/>
      <c r="AKO337" s="90"/>
      <c r="AKP337" s="90"/>
      <c r="AKQ337" s="90"/>
      <c r="AKR337" s="90"/>
      <c r="AKS337" s="90"/>
      <c r="AKT337" s="90"/>
      <c r="AKU337" s="90"/>
      <c r="AKV337" s="90"/>
      <c r="AKW337" s="90"/>
      <c r="AKX337" s="90"/>
      <c r="AKY337" s="90"/>
      <c r="AKZ337" s="90"/>
      <c r="ALA337" s="90"/>
      <c r="ALB337" s="90"/>
      <c r="ALC337" s="90"/>
      <c r="ALD337" s="90"/>
      <c r="ALE337" s="90"/>
      <c r="ALF337" s="90"/>
      <c r="ALG337" s="90"/>
      <c r="ALH337" s="90"/>
      <c r="ALI337" s="90"/>
      <c r="ALJ337" s="90"/>
      <c r="ALK337" s="90"/>
      <c r="ALL337" s="90"/>
      <c r="ALM337" s="90"/>
      <c r="ALN337" s="90"/>
      <c r="ALO337" s="90"/>
      <c r="ALP337" s="90"/>
      <c r="ALQ337" s="90"/>
      <c r="ALR337" s="90"/>
      <c r="ALS337" s="90"/>
      <c r="ALT337" s="90"/>
      <c r="ALU337" s="90"/>
      <c r="ALV337" s="90"/>
      <c r="ALW337" s="90"/>
      <c r="ALX337" s="90"/>
      <c r="ALY337" s="90"/>
      <c r="ALZ337" s="90"/>
      <c r="AMA337" s="90"/>
      <c r="AMB337" s="90"/>
      <c r="AMC337" s="90"/>
    </row>
    <row r="338" spans="1:1017">
      <c r="A338" s="98" t="s">
        <v>53</v>
      </c>
      <c r="B338" s="90" t="str">
        <f t="shared" si="1838"/>
        <v xml:space="preserve">Rajungan </v>
      </c>
      <c r="Q338" s="91">
        <f t="shared" si="1839"/>
        <v>0</v>
      </c>
      <c r="R338" s="91">
        <f t="shared" si="1840"/>
        <v>0</v>
      </c>
      <c r="AG338" s="91">
        <f t="shared" si="1841"/>
        <v>0</v>
      </c>
      <c r="AH338" s="91">
        <f t="shared" si="1842"/>
        <v>0</v>
      </c>
      <c r="AW338" s="91">
        <f t="shared" si="1843"/>
        <v>0</v>
      </c>
      <c r="AX338" s="91">
        <f t="shared" si="1844"/>
        <v>0</v>
      </c>
      <c r="BM338" s="91">
        <f t="shared" si="1845"/>
        <v>0</v>
      </c>
      <c r="BN338" s="91">
        <f t="shared" si="1846"/>
        <v>0</v>
      </c>
      <c r="CC338" s="91">
        <f t="shared" si="1847"/>
        <v>0</v>
      </c>
      <c r="CD338" s="91">
        <f t="shared" si="1848"/>
        <v>0</v>
      </c>
      <c r="CS338" s="91">
        <f t="shared" si="1849"/>
        <v>0</v>
      </c>
      <c r="CT338" s="91">
        <f t="shared" si="1850"/>
        <v>0</v>
      </c>
      <c r="DI338" s="91">
        <f t="shared" si="1851"/>
        <v>0</v>
      </c>
      <c r="DJ338" s="91">
        <f t="shared" si="1852"/>
        <v>0</v>
      </c>
      <c r="DY338" s="91">
        <f t="shared" si="1853"/>
        <v>0</v>
      </c>
      <c r="DZ338" s="91">
        <f t="shared" si="1854"/>
        <v>0</v>
      </c>
      <c r="EO338" s="91">
        <f t="shared" si="1855"/>
        <v>0</v>
      </c>
      <c r="EP338" s="91">
        <f t="shared" si="1856"/>
        <v>0</v>
      </c>
      <c r="FE338" s="91">
        <f t="shared" si="1857"/>
        <v>0</v>
      </c>
      <c r="FF338" s="91">
        <f t="shared" si="1858"/>
        <v>0</v>
      </c>
      <c r="FU338" s="91">
        <f t="shared" si="1859"/>
        <v>0</v>
      </c>
      <c r="FV338" s="91">
        <f t="shared" si="1860"/>
        <v>0</v>
      </c>
      <c r="GK338" s="91">
        <f t="shared" si="1861"/>
        <v>0</v>
      </c>
      <c r="GL338" s="91">
        <f t="shared" si="1862"/>
        <v>0</v>
      </c>
      <c r="HA338" s="91">
        <f t="shared" si="1863"/>
        <v>0</v>
      </c>
      <c r="HB338" s="91">
        <f t="shared" si="1864"/>
        <v>0</v>
      </c>
      <c r="HQ338" s="91">
        <f t="shared" si="1865"/>
        <v>0</v>
      </c>
      <c r="HR338" s="91">
        <f t="shared" si="1866"/>
        <v>0</v>
      </c>
      <c r="IG338" s="91">
        <f t="shared" si="1867"/>
        <v>0</v>
      </c>
      <c r="IH338" s="91">
        <f t="shared" si="1868"/>
        <v>0</v>
      </c>
      <c r="IW338" s="91">
        <f t="shared" si="1869"/>
        <v>0</v>
      </c>
      <c r="IX338" s="91">
        <f t="shared" si="1870"/>
        <v>0</v>
      </c>
      <c r="JM338" s="91">
        <f t="shared" si="1871"/>
        <v>0</v>
      </c>
      <c r="JN338" s="91">
        <f t="shared" si="1872"/>
        <v>0</v>
      </c>
      <c r="KC338" s="91">
        <f t="shared" si="1873"/>
        <v>0</v>
      </c>
      <c r="KD338" s="91">
        <f t="shared" si="1874"/>
        <v>0</v>
      </c>
      <c r="KS338" s="91">
        <f t="shared" si="1875"/>
        <v>0</v>
      </c>
      <c r="KT338" s="91">
        <f t="shared" si="1876"/>
        <v>0</v>
      </c>
      <c r="LI338" s="91">
        <f t="shared" si="1877"/>
        <v>0</v>
      </c>
      <c r="LJ338" s="91">
        <f t="shared" si="1878"/>
        <v>0</v>
      </c>
      <c r="LY338" s="91">
        <f t="shared" si="1879"/>
        <v>0</v>
      </c>
      <c r="LZ338" s="91">
        <f t="shared" si="1880"/>
        <v>0</v>
      </c>
      <c r="MO338" s="91">
        <f t="shared" si="1881"/>
        <v>0</v>
      </c>
      <c r="MP338" s="91">
        <f t="shared" si="1882"/>
        <v>0</v>
      </c>
      <c r="NE338" s="91">
        <f t="shared" si="1883"/>
        <v>0</v>
      </c>
      <c r="NF338" s="91">
        <f t="shared" si="1884"/>
        <v>0</v>
      </c>
      <c r="NU338" s="91">
        <f t="shared" si="1885"/>
        <v>0</v>
      </c>
      <c r="NV338" s="91">
        <f t="shared" si="1886"/>
        <v>0</v>
      </c>
      <c r="OK338" s="91">
        <f t="shared" si="1887"/>
        <v>0</v>
      </c>
      <c r="OL338" s="91">
        <f t="shared" si="1888"/>
        <v>0</v>
      </c>
      <c r="PA338" s="91">
        <f t="shared" si="1889"/>
        <v>0</v>
      </c>
      <c r="PB338" s="91">
        <f t="shared" si="1890"/>
        <v>0</v>
      </c>
      <c r="PQ338" s="91">
        <f t="shared" si="1891"/>
        <v>0</v>
      </c>
      <c r="PR338" s="91">
        <f t="shared" si="1892"/>
        <v>0</v>
      </c>
      <c r="QG338" s="91">
        <f t="shared" si="1893"/>
        <v>0</v>
      </c>
      <c r="QH338" s="91">
        <f t="shared" si="1894"/>
        <v>0</v>
      </c>
      <c r="QW338" s="91">
        <f t="shared" si="1895"/>
        <v>0</v>
      </c>
      <c r="QX338" s="91">
        <f t="shared" si="1896"/>
        <v>0</v>
      </c>
      <c r="RM338" s="91">
        <f t="shared" si="1897"/>
        <v>0</v>
      </c>
      <c r="RN338" s="91">
        <f t="shared" si="1898"/>
        <v>0</v>
      </c>
      <c r="SC338" s="91">
        <f t="shared" si="1899"/>
        <v>0</v>
      </c>
      <c r="SD338" s="91">
        <f t="shared" si="1900"/>
        <v>0</v>
      </c>
      <c r="SS338" s="91">
        <f t="shared" si="1901"/>
        <v>0</v>
      </c>
      <c r="ST338" s="91">
        <f t="shared" si="1902"/>
        <v>0</v>
      </c>
      <c r="TI338" s="91">
        <f t="shared" si="1903"/>
        <v>0</v>
      </c>
      <c r="TJ338" s="91">
        <f t="shared" si="1904"/>
        <v>0</v>
      </c>
      <c r="TY338" s="91">
        <f t="shared" si="1905"/>
        <v>0</v>
      </c>
      <c r="TZ338" s="91">
        <f t="shared" si="1906"/>
        <v>0</v>
      </c>
      <c r="UO338" s="91">
        <f t="shared" si="1907"/>
        <v>0</v>
      </c>
      <c r="UP338" s="91">
        <f t="shared" si="1908"/>
        <v>0</v>
      </c>
      <c r="VE338" s="91">
        <f t="shared" si="1909"/>
        <v>0</v>
      </c>
      <c r="VF338" s="91">
        <f t="shared" si="1910"/>
        <v>0</v>
      </c>
      <c r="VU338" s="91">
        <f t="shared" si="1911"/>
        <v>0</v>
      </c>
      <c r="VV338" s="91">
        <f t="shared" si="1912"/>
        <v>0</v>
      </c>
      <c r="WK338" s="91">
        <f t="shared" si="1913"/>
        <v>0</v>
      </c>
      <c r="WL338" s="91">
        <f t="shared" si="1914"/>
        <v>0</v>
      </c>
      <c r="WM338" s="89"/>
      <c r="WN338" s="87">
        <f t="shared" si="1915"/>
        <v>0</v>
      </c>
      <c r="WO338" s="87">
        <f t="shared" si="1916"/>
        <v>0</v>
      </c>
      <c r="WP338" s="87">
        <f t="shared" si="1917"/>
        <v>0</v>
      </c>
      <c r="WQ338" s="87">
        <f t="shared" si="1918"/>
        <v>0</v>
      </c>
      <c r="WR338" s="87">
        <f t="shared" si="1919"/>
        <v>0</v>
      </c>
      <c r="WS338" s="87">
        <f t="shared" si="1920"/>
        <v>0</v>
      </c>
      <c r="WT338" s="87">
        <f t="shared" si="1921"/>
        <v>0</v>
      </c>
      <c r="WU338" s="87">
        <f t="shared" si="1922"/>
        <v>0</v>
      </c>
      <c r="WV338" s="87">
        <f t="shared" si="1923"/>
        <v>0</v>
      </c>
      <c r="WW338" s="87">
        <f t="shared" si="1924"/>
        <v>0</v>
      </c>
      <c r="WX338" s="87">
        <f t="shared" si="1925"/>
        <v>0</v>
      </c>
      <c r="WY338" s="87">
        <f t="shared" si="1926"/>
        <v>0</v>
      </c>
      <c r="WZ338" s="87">
        <f t="shared" si="1927"/>
        <v>0</v>
      </c>
      <c r="XA338" s="87">
        <f t="shared" si="1928"/>
        <v>0</v>
      </c>
      <c r="XB338" s="92">
        <f t="shared" si="1929"/>
        <v>0</v>
      </c>
      <c r="XC338" s="92">
        <f t="shared" si="1930"/>
        <v>0</v>
      </c>
      <c r="XD338" s="89"/>
      <c r="XE338" s="92"/>
      <c r="XF338" s="92"/>
      <c r="XG338" s="89"/>
      <c r="XH338" s="92"/>
      <c r="XI338" s="92"/>
      <c r="XJ338" s="89"/>
      <c r="XK338" s="87"/>
      <c r="XL338" s="87"/>
      <c r="XM338" s="87"/>
      <c r="XN338" s="87"/>
      <c r="XO338" s="87"/>
      <c r="XP338" s="87"/>
      <c r="XQ338" s="87"/>
      <c r="XR338" s="92">
        <f t="shared" ca="1" si="1931"/>
        <v>0</v>
      </c>
      <c r="XS338" s="89"/>
      <c r="XT338" s="87"/>
      <c r="XU338" s="87"/>
      <c r="XV338" s="87"/>
      <c r="XW338" s="87"/>
      <c r="XX338" s="87"/>
      <c r="XY338" s="87"/>
      <c r="XZ338" s="87"/>
      <c r="YA338" s="92">
        <f t="shared" ca="1" si="1932"/>
        <v>0</v>
      </c>
      <c r="YB338" s="90"/>
      <c r="YC338" s="90"/>
      <c r="YD338" s="90"/>
      <c r="YE338" s="90"/>
      <c r="YF338" s="90"/>
      <c r="YG338" s="90"/>
      <c r="YH338" s="90"/>
      <c r="YI338" s="90"/>
      <c r="YJ338" s="90"/>
      <c r="YK338" s="90"/>
      <c r="YL338" s="90"/>
      <c r="YM338" s="90"/>
      <c r="YN338" s="90"/>
      <c r="YO338" s="90"/>
      <c r="YP338" s="90"/>
      <c r="YQ338" s="90"/>
      <c r="YR338" s="90"/>
      <c r="YS338" s="90"/>
      <c r="YT338" s="90"/>
      <c r="YU338" s="90"/>
      <c r="YV338" s="90"/>
      <c r="YW338" s="90"/>
      <c r="YX338" s="90"/>
      <c r="YY338" s="90"/>
      <c r="YZ338" s="90"/>
      <c r="ZA338" s="90"/>
      <c r="ZB338" s="90"/>
      <c r="ZC338" s="90"/>
      <c r="ZD338" s="90"/>
      <c r="ZE338" s="90"/>
      <c r="ZF338" s="90"/>
      <c r="ZG338" s="90"/>
      <c r="ZH338" s="90"/>
      <c r="ZI338" s="90"/>
      <c r="ZJ338" s="90"/>
      <c r="ZK338" s="90"/>
      <c r="ZL338" s="90"/>
      <c r="ZM338" s="90"/>
      <c r="ZN338" s="90"/>
      <c r="ZO338" s="90"/>
      <c r="ZP338" s="90"/>
      <c r="ZQ338" s="90"/>
      <c r="ZR338" s="90"/>
      <c r="ZS338" s="90"/>
      <c r="ZT338" s="90"/>
      <c r="ZU338" s="90"/>
      <c r="ZV338" s="90"/>
      <c r="ZW338" s="90"/>
      <c r="ZX338" s="90"/>
      <c r="ZY338" s="90"/>
      <c r="ZZ338" s="90"/>
      <c r="AAA338" s="90"/>
      <c r="AAB338" s="90"/>
      <c r="AAC338" s="90"/>
      <c r="AAD338" s="90"/>
      <c r="AAE338" s="90"/>
      <c r="AAF338" s="90"/>
      <c r="AAG338" s="90"/>
      <c r="AAH338" s="90"/>
      <c r="AAI338" s="90"/>
      <c r="AAJ338" s="90"/>
      <c r="AAK338" s="90"/>
      <c r="AAL338" s="90"/>
      <c r="AAM338" s="90"/>
      <c r="AAN338" s="90"/>
      <c r="AAO338" s="90"/>
      <c r="AAP338" s="90"/>
      <c r="AAQ338" s="90"/>
      <c r="AAR338" s="90"/>
      <c r="AAS338" s="90"/>
      <c r="AAT338" s="90"/>
      <c r="AAU338" s="90"/>
      <c r="AAV338" s="90"/>
      <c r="AAW338" s="90"/>
      <c r="AAX338" s="90"/>
      <c r="AAY338" s="90"/>
      <c r="AAZ338" s="90"/>
      <c r="ABA338" s="90"/>
      <c r="ABB338" s="90"/>
      <c r="ABC338" s="90"/>
      <c r="ABD338" s="90"/>
      <c r="ABE338" s="90"/>
      <c r="ABF338" s="90"/>
      <c r="ABG338" s="90"/>
      <c r="ABH338" s="90"/>
      <c r="ABI338" s="90"/>
      <c r="ABJ338" s="90"/>
      <c r="ABK338" s="90"/>
      <c r="ABL338" s="90"/>
      <c r="ABM338" s="90"/>
      <c r="ABN338" s="90"/>
      <c r="ABO338" s="90"/>
      <c r="ABP338" s="90"/>
      <c r="ABQ338" s="90"/>
      <c r="ABR338" s="90"/>
      <c r="ABS338" s="90"/>
      <c r="ABT338" s="90"/>
      <c r="ABU338" s="90"/>
      <c r="ABV338" s="90"/>
      <c r="ABW338" s="90"/>
      <c r="ABX338" s="90"/>
      <c r="ABY338" s="90"/>
      <c r="ABZ338" s="90"/>
      <c r="ACA338" s="90"/>
      <c r="ACB338" s="90"/>
      <c r="ACC338" s="90"/>
      <c r="ACD338" s="90"/>
      <c r="ACE338" s="90"/>
      <c r="ACF338" s="90"/>
      <c r="ACG338" s="90"/>
      <c r="ACH338" s="90"/>
      <c r="ACI338" s="90"/>
      <c r="ACJ338" s="90"/>
      <c r="ACK338" s="90"/>
      <c r="ACL338" s="90"/>
      <c r="ACM338" s="90"/>
      <c r="ACN338" s="90"/>
      <c r="ACO338" s="90"/>
      <c r="ACP338" s="90"/>
      <c r="ACQ338" s="90"/>
      <c r="ACR338" s="90"/>
      <c r="ACS338" s="90"/>
      <c r="ACT338" s="90"/>
      <c r="ACU338" s="90"/>
      <c r="ACV338" s="90"/>
      <c r="ACW338" s="90"/>
      <c r="ACX338" s="90"/>
      <c r="ACY338" s="90"/>
      <c r="ACZ338" s="90"/>
      <c r="ADA338" s="90"/>
      <c r="ADB338" s="90"/>
      <c r="ADC338" s="90"/>
      <c r="ADD338" s="90"/>
      <c r="ADE338" s="90"/>
      <c r="ADF338" s="90"/>
      <c r="ADG338" s="90"/>
      <c r="ADH338" s="90"/>
      <c r="ADI338" s="90"/>
      <c r="ADJ338" s="90"/>
      <c r="ADK338" s="90"/>
      <c r="ADL338" s="90"/>
      <c r="ADM338" s="90"/>
      <c r="ADN338" s="90"/>
      <c r="ADO338" s="90"/>
      <c r="ADP338" s="90"/>
      <c r="ADQ338" s="90"/>
      <c r="ADR338" s="90"/>
      <c r="ADS338" s="90"/>
      <c r="ADT338" s="90"/>
      <c r="ADU338" s="90"/>
      <c r="ADV338" s="90"/>
      <c r="ADW338" s="90"/>
      <c r="ADX338" s="90"/>
      <c r="ADY338" s="90"/>
      <c r="ADZ338" s="90"/>
      <c r="AEA338" s="90"/>
      <c r="AEB338" s="90"/>
      <c r="AEC338" s="90"/>
      <c r="AED338" s="90"/>
      <c r="AEE338" s="90"/>
      <c r="AEF338" s="90"/>
      <c r="AEG338" s="90"/>
      <c r="AEH338" s="90"/>
      <c r="AEI338" s="90"/>
      <c r="AEJ338" s="90"/>
      <c r="AEK338" s="90"/>
      <c r="AEL338" s="90"/>
      <c r="AEM338" s="90"/>
      <c r="AEN338" s="90"/>
      <c r="AEO338" s="90"/>
      <c r="AEP338" s="90"/>
      <c r="AEQ338" s="90"/>
      <c r="AER338" s="90"/>
      <c r="AES338" s="90"/>
      <c r="AET338" s="90"/>
      <c r="AEU338" s="90"/>
      <c r="AEV338" s="90"/>
      <c r="AEW338" s="90"/>
      <c r="AEX338" s="90"/>
      <c r="AEY338" s="90"/>
      <c r="AEZ338" s="90"/>
      <c r="AFA338" s="90"/>
      <c r="AFB338" s="90"/>
      <c r="AFC338" s="90"/>
      <c r="AFD338" s="90"/>
      <c r="AFE338" s="90"/>
      <c r="AFF338" s="90"/>
      <c r="AFG338" s="90"/>
      <c r="AFH338" s="90"/>
      <c r="AFI338" s="90"/>
      <c r="AFJ338" s="90"/>
      <c r="AFK338" s="90"/>
      <c r="AFL338" s="90"/>
      <c r="AFM338" s="90"/>
      <c r="AFN338" s="90"/>
      <c r="AFO338" s="90"/>
      <c r="AFP338" s="90"/>
      <c r="AFQ338" s="90"/>
      <c r="AFR338" s="90"/>
      <c r="AFS338" s="90"/>
      <c r="AFT338" s="90"/>
      <c r="AFU338" s="90"/>
      <c r="AFV338" s="90"/>
      <c r="AFW338" s="90"/>
      <c r="AFX338" s="90"/>
      <c r="AFY338" s="90"/>
      <c r="AFZ338" s="90"/>
      <c r="AGA338" s="90"/>
      <c r="AGB338" s="90"/>
      <c r="AGC338" s="90"/>
      <c r="AGD338" s="90"/>
      <c r="AGE338" s="90"/>
      <c r="AGF338" s="90"/>
      <c r="AGG338" s="90"/>
      <c r="AGH338" s="90"/>
      <c r="AGI338" s="90"/>
      <c r="AGJ338" s="90"/>
      <c r="AGK338" s="90"/>
      <c r="AGL338" s="90"/>
      <c r="AGM338" s="90"/>
      <c r="AGN338" s="90"/>
      <c r="AGO338" s="90"/>
      <c r="AGP338" s="90"/>
      <c r="AGQ338" s="90"/>
      <c r="AGR338" s="90"/>
      <c r="AGS338" s="90"/>
      <c r="AGT338" s="90"/>
      <c r="AGU338" s="90"/>
      <c r="AGV338" s="90"/>
      <c r="AGW338" s="90"/>
      <c r="AGX338" s="90"/>
      <c r="AGY338" s="90"/>
      <c r="AGZ338" s="90"/>
      <c r="AHA338" s="90"/>
      <c r="AHB338" s="90"/>
      <c r="AHC338" s="90"/>
      <c r="AHD338" s="90"/>
      <c r="AHE338" s="90"/>
      <c r="AHF338" s="90"/>
      <c r="AHG338" s="90"/>
      <c r="AHH338" s="90"/>
      <c r="AHI338" s="90"/>
      <c r="AHJ338" s="90"/>
      <c r="AHK338" s="90"/>
      <c r="AHL338" s="90"/>
      <c r="AHM338" s="90"/>
      <c r="AHN338" s="90"/>
      <c r="AHO338" s="90"/>
      <c r="AHP338" s="90"/>
      <c r="AHQ338" s="90"/>
      <c r="AHR338" s="90"/>
      <c r="AHS338" s="90"/>
      <c r="AHT338" s="90"/>
      <c r="AHU338" s="90"/>
      <c r="AHV338" s="90"/>
      <c r="AHW338" s="90"/>
      <c r="AHX338" s="90"/>
      <c r="AHY338" s="90"/>
      <c r="AHZ338" s="90"/>
      <c r="AIA338" s="90"/>
      <c r="AIB338" s="90"/>
      <c r="AIC338" s="90"/>
      <c r="AID338" s="90"/>
      <c r="AIE338" s="90"/>
      <c r="AIF338" s="90"/>
      <c r="AIG338" s="90"/>
      <c r="AIH338" s="90"/>
      <c r="AII338" s="90"/>
      <c r="AIJ338" s="90"/>
      <c r="AIK338" s="90"/>
      <c r="AIL338" s="90"/>
      <c r="AIM338" s="90"/>
      <c r="AIN338" s="90"/>
      <c r="AIO338" s="90"/>
      <c r="AIP338" s="90"/>
      <c r="AIQ338" s="90"/>
      <c r="AIR338" s="90"/>
      <c r="AIS338" s="90"/>
      <c r="AIT338" s="90"/>
      <c r="AIU338" s="90"/>
      <c r="AIV338" s="90"/>
      <c r="AIW338" s="90"/>
      <c r="AIX338" s="90"/>
      <c r="AIY338" s="90"/>
      <c r="AIZ338" s="90"/>
      <c r="AJA338" s="90"/>
      <c r="AJB338" s="90"/>
      <c r="AJC338" s="90"/>
      <c r="AJD338" s="90"/>
      <c r="AJE338" s="90"/>
      <c r="AJF338" s="90"/>
      <c r="AJG338" s="90"/>
      <c r="AJH338" s="90"/>
      <c r="AJI338" s="90"/>
      <c r="AJJ338" s="90"/>
      <c r="AJK338" s="90"/>
      <c r="AJL338" s="90"/>
      <c r="AJM338" s="90"/>
      <c r="AJN338" s="90"/>
      <c r="AJO338" s="90"/>
      <c r="AJP338" s="90"/>
      <c r="AJQ338" s="90"/>
      <c r="AJR338" s="90"/>
      <c r="AJS338" s="90"/>
      <c r="AJT338" s="90"/>
      <c r="AJU338" s="90"/>
      <c r="AJV338" s="90"/>
      <c r="AJW338" s="90"/>
      <c r="AJX338" s="90"/>
      <c r="AJY338" s="90"/>
      <c r="AJZ338" s="90"/>
      <c r="AKA338" s="90"/>
      <c r="AKB338" s="90"/>
      <c r="AKC338" s="90"/>
      <c r="AKD338" s="90"/>
      <c r="AKE338" s="90"/>
      <c r="AKF338" s="90"/>
      <c r="AKG338" s="90"/>
      <c r="AKH338" s="90"/>
      <c r="AKI338" s="90"/>
      <c r="AKJ338" s="90"/>
      <c r="AKK338" s="90"/>
      <c r="AKL338" s="90"/>
      <c r="AKM338" s="90"/>
      <c r="AKN338" s="90"/>
      <c r="AKO338" s="90"/>
      <c r="AKP338" s="90"/>
      <c r="AKQ338" s="90"/>
      <c r="AKR338" s="90"/>
      <c r="AKS338" s="90"/>
      <c r="AKT338" s="90"/>
      <c r="AKU338" s="90"/>
      <c r="AKV338" s="90"/>
      <c r="AKW338" s="90"/>
      <c r="AKX338" s="90"/>
      <c r="AKY338" s="90"/>
      <c r="AKZ338" s="90"/>
      <c r="ALA338" s="90"/>
      <c r="ALB338" s="90"/>
      <c r="ALC338" s="90"/>
      <c r="ALD338" s="90"/>
      <c r="ALE338" s="90"/>
      <c r="ALF338" s="90"/>
      <c r="ALG338" s="90"/>
      <c r="ALH338" s="90"/>
      <c r="ALI338" s="90"/>
      <c r="ALJ338" s="90"/>
      <c r="ALK338" s="90"/>
      <c r="ALL338" s="90"/>
      <c r="ALM338" s="90"/>
      <c r="ALN338" s="90"/>
      <c r="ALO338" s="90"/>
      <c r="ALP338" s="90"/>
      <c r="ALQ338" s="90"/>
      <c r="ALR338" s="90"/>
      <c r="ALS338" s="90"/>
      <c r="ALT338" s="90"/>
      <c r="ALU338" s="90"/>
      <c r="ALV338" s="90"/>
      <c r="ALW338" s="90"/>
      <c r="ALX338" s="90"/>
      <c r="ALY338" s="90"/>
      <c r="ALZ338" s="90"/>
      <c r="AMA338" s="90"/>
      <c r="AMB338" s="90"/>
      <c r="AMC338" s="90"/>
    </row>
    <row r="339" spans="1:1017">
      <c r="A339" s="98" t="s">
        <v>53</v>
      </c>
      <c r="B339" s="90" t="str">
        <f t="shared" si="1838"/>
        <v>Tawes</v>
      </c>
      <c r="Q339" s="91">
        <f t="shared" si="1839"/>
        <v>0</v>
      </c>
      <c r="R339" s="91">
        <f t="shared" si="1840"/>
        <v>0</v>
      </c>
      <c r="Y339" s="98">
        <v>1315</v>
      </c>
      <c r="Z339" s="98">
        <v>22355</v>
      </c>
      <c r="AG339" s="91">
        <f t="shared" si="1841"/>
        <v>1315</v>
      </c>
      <c r="AH339" s="91">
        <f t="shared" si="1842"/>
        <v>22355</v>
      </c>
      <c r="AW339" s="91">
        <f t="shared" si="1843"/>
        <v>0</v>
      </c>
      <c r="AX339" s="91">
        <f t="shared" si="1844"/>
        <v>0</v>
      </c>
      <c r="BK339" s="98">
        <v>892</v>
      </c>
      <c r="BL339" s="98">
        <v>8920</v>
      </c>
      <c r="BM339" s="91">
        <f t="shared" si="1845"/>
        <v>892</v>
      </c>
      <c r="BN339" s="91">
        <f t="shared" si="1846"/>
        <v>8920</v>
      </c>
      <c r="BU339" s="98">
        <v>71</v>
      </c>
      <c r="BV339" s="98">
        <v>1420</v>
      </c>
      <c r="CC339" s="91">
        <f t="shared" si="1847"/>
        <v>71</v>
      </c>
      <c r="CD339" s="91">
        <f t="shared" si="1848"/>
        <v>1420</v>
      </c>
      <c r="CK339" s="98">
        <v>406199</v>
      </c>
      <c r="CL339" s="98">
        <v>4874391</v>
      </c>
      <c r="CS339" s="91">
        <f t="shared" si="1849"/>
        <v>406199</v>
      </c>
      <c r="CT339" s="91">
        <f t="shared" si="1850"/>
        <v>4874391</v>
      </c>
      <c r="DA339" s="98">
        <v>200</v>
      </c>
      <c r="DB339" s="98">
        <v>3000</v>
      </c>
      <c r="DI339" s="91">
        <f t="shared" si="1851"/>
        <v>200</v>
      </c>
      <c r="DJ339" s="91">
        <f t="shared" si="1852"/>
        <v>3000</v>
      </c>
      <c r="DY339" s="91">
        <f t="shared" si="1853"/>
        <v>0</v>
      </c>
      <c r="DZ339" s="91">
        <f t="shared" si="1854"/>
        <v>0</v>
      </c>
      <c r="EG339" s="98">
        <v>75</v>
      </c>
      <c r="EH339" s="98">
        <v>825</v>
      </c>
      <c r="EO339" s="91">
        <f t="shared" si="1855"/>
        <v>75</v>
      </c>
      <c r="EP339" s="91">
        <f t="shared" si="1856"/>
        <v>825</v>
      </c>
      <c r="EW339" s="98">
        <v>10158</v>
      </c>
      <c r="EX339" s="98">
        <v>243792</v>
      </c>
      <c r="FE339" s="91">
        <f t="shared" si="1857"/>
        <v>10158</v>
      </c>
      <c r="FF339" s="91">
        <f t="shared" si="1858"/>
        <v>243792</v>
      </c>
      <c r="FM339" s="98">
        <v>88</v>
      </c>
      <c r="FN339" s="98">
        <v>1760</v>
      </c>
      <c r="FU339" s="91">
        <f t="shared" si="1859"/>
        <v>88</v>
      </c>
      <c r="FV339" s="91">
        <f t="shared" si="1860"/>
        <v>1760</v>
      </c>
      <c r="GC339" s="98">
        <v>200</v>
      </c>
      <c r="GD339" s="98">
        <v>2500</v>
      </c>
      <c r="GK339" s="91">
        <f t="shared" si="1861"/>
        <v>200</v>
      </c>
      <c r="GL339" s="91">
        <f t="shared" si="1862"/>
        <v>2500</v>
      </c>
      <c r="HA339" s="91">
        <f t="shared" si="1863"/>
        <v>0</v>
      </c>
      <c r="HB339" s="91">
        <f t="shared" si="1864"/>
        <v>0</v>
      </c>
      <c r="HQ339" s="91">
        <f t="shared" si="1865"/>
        <v>0</v>
      </c>
      <c r="HR339" s="91">
        <f t="shared" si="1866"/>
        <v>0</v>
      </c>
      <c r="IG339" s="91">
        <f t="shared" si="1867"/>
        <v>0</v>
      </c>
      <c r="IH339" s="91">
        <f t="shared" si="1868"/>
        <v>0</v>
      </c>
      <c r="IW339" s="91">
        <f t="shared" si="1869"/>
        <v>0</v>
      </c>
      <c r="IX339" s="91">
        <f t="shared" si="1870"/>
        <v>0</v>
      </c>
      <c r="JM339" s="91">
        <f t="shared" si="1871"/>
        <v>0</v>
      </c>
      <c r="JN339" s="91">
        <f t="shared" si="1872"/>
        <v>0</v>
      </c>
      <c r="KC339" s="91">
        <f t="shared" si="1873"/>
        <v>0</v>
      </c>
      <c r="KD339" s="91">
        <f t="shared" si="1874"/>
        <v>0</v>
      </c>
      <c r="KS339" s="91">
        <f t="shared" si="1875"/>
        <v>0</v>
      </c>
      <c r="KT339" s="91">
        <f t="shared" si="1876"/>
        <v>0</v>
      </c>
      <c r="LI339" s="91">
        <f t="shared" si="1877"/>
        <v>0</v>
      </c>
      <c r="LJ339" s="91">
        <f t="shared" si="1878"/>
        <v>0</v>
      </c>
      <c r="LY339" s="91">
        <f t="shared" si="1879"/>
        <v>0</v>
      </c>
      <c r="LZ339" s="91">
        <f t="shared" si="1880"/>
        <v>0</v>
      </c>
      <c r="MO339" s="91">
        <f t="shared" si="1881"/>
        <v>0</v>
      </c>
      <c r="MP339" s="91">
        <f t="shared" si="1882"/>
        <v>0</v>
      </c>
      <c r="NE339" s="91">
        <f t="shared" si="1883"/>
        <v>0</v>
      </c>
      <c r="NF339" s="91">
        <f t="shared" si="1884"/>
        <v>0</v>
      </c>
      <c r="NQ339" s="98">
        <v>125</v>
      </c>
      <c r="NR339" s="98">
        <v>2000</v>
      </c>
      <c r="NU339" s="91">
        <f t="shared" si="1885"/>
        <v>125</v>
      </c>
      <c r="NV339" s="91">
        <f t="shared" si="1886"/>
        <v>2000</v>
      </c>
      <c r="OK339" s="91">
        <f t="shared" si="1887"/>
        <v>0</v>
      </c>
      <c r="OL339" s="91">
        <f t="shared" si="1888"/>
        <v>0</v>
      </c>
      <c r="PA339" s="91">
        <f t="shared" si="1889"/>
        <v>0</v>
      </c>
      <c r="PB339" s="91">
        <f t="shared" si="1890"/>
        <v>0</v>
      </c>
      <c r="PQ339" s="91">
        <f t="shared" si="1891"/>
        <v>0</v>
      </c>
      <c r="PR339" s="91">
        <f t="shared" si="1892"/>
        <v>0</v>
      </c>
      <c r="PY339" s="98">
        <v>71590</v>
      </c>
      <c r="PZ339" s="98">
        <v>1073850</v>
      </c>
      <c r="QA339" s="98">
        <v>32890</v>
      </c>
      <c r="QB339" s="98">
        <v>493350</v>
      </c>
      <c r="QG339" s="91">
        <f t="shared" si="1893"/>
        <v>104480</v>
      </c>
      <c r="QH339" s="91">
        <f t="shared" si="1894"/>
        <v>1567200</v>
      </c>
      <c r="QW339" s="91">
        <f t="shared" si="1895"/>
        <v>0</v>
      </c>
      <c r="QX339" s="91">
        <f t="shared" si="1896"/>
        <v>0</v>
      </c>
      <c r="RM339" s="91">
        <f t="shared" si="1897"/>
        <v>0</v>
      </c>
      <c r="RN339" s="91">
        <f t="shared" si="1898"/>
        <v>0</v>
      </c>
      <c r="SC339" s="91">
        <f t="shared" si="1899"/>
        <v>0</v>
      </c>
      <c r="SD339" s="91">
        <f t="shared" si="1900"/>
        <v>0</v>
      </c>
      <c r="SS339" s="91">
        <f t="shared" si="1901"/>
        <v>0</v>
      </c>
      <c r="ST339" s="91">
        <f t="shared" si="1902"/>
        <v>0</v>
      </c>
      <c r="TI339" s="91">
        <f t="shared" si="1903"/>
        <v>0</v>
      </c>
      <c r="TJ339" s="91">
        <f t="shared" si="1904"/>
        <v>0</v>
      </c>
      <c r="TY339" s="91">
        <f t="shared" si="1905"/>
        <v>0</v>
      </c>
      <c r="TZ339" s="91">
        <f t="shared" si="1906"/>
        <v>0</v>
      </c>
      <c r="UO339" s="91">
        <f t="shared" si="1907"/>
        <v>0</v>
      </c>
      <c r="UP339" s="91">
        <f t="shared" si="1908"/>
        <v>0</v>
      </c>
      <c r="VE339" s="91">
        <f t="shared" si="1909"/>
        <v>0</v>
      </c>
      <c r="VF339" s="91">
        <f t="shared" si="1910"/>
        <v>0</v>
      </c>
      <c r="VU339" s="91">
        <f t="shared" si="1911"/>
        <v>0</v>
      </c>
      <c r="VV339" s="91">
        <f t="shared" si="1912"/>
        <v>0</v>
      </c>
      <c r="WK339" s="91">
        <f t="shared" si="1913"/>
        <v>0</v>
      </c>
      <c r="WL339" s="91">
        <f t="shared" si="1914"/>
        <v>0</v>
      </c>
      <c r="WM339" s="89"/>
      <c r="WN339" s="87">
        <f t="shared" si="1915"/>
        <v>0</v>
      </c>
      <c r="WO339" s="87">
        <f t="shared" si="1916"/>
        <v>0</v>
      </c>
      <c r="WP339" s="87">
        <f t="shared" si="1917"/>
        <v>0</v>
      </c>
      <c r="WQ339" s="87">
        <f t="shared" si="1918"/>
        <v>0</v>
      </c>
      <c r="WR339" s="87">
        <f t="shared" si="1919"/>
        <v>0</v>
      </c>
      <c r="WS339" s="87">
        <f t="shared" si="1920"/>
        <v>0</v>
      </c>
      <c r="WT339" s="87">
        <f t="shared" si="1921"/>
        <v>489896</v>
      </c>
      <c r="WU339" s="87">
        <f t="shared" si="1922"/>
        <v>6223893</v>
      </c>
      <c r="WV339" s="87">
        <f t="shared" si="1923"/>
        <v>32890</v>
      </c>
      <c r="WW339" s="87">
        <f t="shared" si="1924"/>
        <v>493350</v>
      </c>
      <c r="WX339" s="87">
        <f t="shared" si="1925"/>
        <v>125</v>
      </c>
      <c r="WY339" s="87">
        <f t="shared" si="1926"/>
        <v>2000</v>
      </c>
      <c r="WZ339" s="87">
        <f t="shared" si="1927"/>
        <v>892</v>
      </c>
      <c r="XA339" s="87">
        <f t="shared" si="1928"/>
        <v>8920</v>
      </c>
      <c r="XB339" s="92">
        <f t="shared" si="1929"/>
        <v>523803</v>
      </c>
      <c r="XC339" s="92">
        <f t="shared" si="1930"/>
        <v>6728163</v>
      </c>
      <c r="XD339" s="89"/>
      <c r="XE339" s="92"/>
      <c r="XF339" s="92"/>
      <c r="XG339" s="89"/>
      <c r="XH339" s="92"/>
      <c r="XI339" s="92"/>
      <c r="XJ339" s="89"/>
      <c r="XK339" s="87"/>
      <c r="XL339" s="87"/>
      <c r="XM339" s="87"/>
      <c r="XN339" s="87"/>
      <c r="XO339" s="87"/>
      <c r="XP339" s="87"/>
      <c r="XQ339" s="87"/>
      <c r="XR339" s="92">
        <f t="shared" ca="1" si="1931"/>
        <v>0</v>
      </c>
      <c r="XS339" s="89"/>
      <c r="XT339" s="87"/>
      <c r="XU339" s="87"/>
      <c r="XV339" s="87"/>
      <c r="XW339" s="87"/>
      <c r="XX339" s="87"/>
      <c r="XY339" s="87"/>
      <c r="XZ339" s="87"/>
      <c r="YA339" s="92">
        <f t="shared" ca="1" si="1932"/>
        <v>0</v>
      </c>
      <c r="YB339" s="90"/>
      <c r="YC339" s="90"/>
      <c r="YD339" s="90"/>
      <c r="YE339" s="90"/>
      <c r="YF339" s="90"/>
      <c r="YG339" s="90"/>
      <c r="YH339" s="90"/>
      <c r="YI339" s="90"/>
      <c r="YJ339" s="90"/>
      <c r="YK339" s="90"/>
      <c r="YL339" s="90"/>
      <c r="YM339" s="90"/>
      <c r="YN339" s="90"/>
      <c r="YO339" s="90"/>
      <c r="YP339" s="90"/>
      <c r="YQ339" s="90"/>
      <c r="YR339" s="90"/>
      <c r="YS339" s="90"/>
      <c r="YT339" s="90"/>
      <c r="YU339" s="90"/>
      <c r="YV339" s="90"/>
      <c r="YW339" s="90"/>
      <c r="YX339" s="90"/>
      <c r="YY339" s="90"/>
      <c r="YZ339" s="90"/>
      <c r="ZA339" s="90"/>
      <c r="ZB339" s="90"/>
      <c r="ZC339" s="90"/>
      <c r="ZD339" s="90"/>
      <c r="ZE339" s="90"/>
      <c r="ZF339" s="90"/>
      <c r="ZG339" s="90"/>
      <c r="ZH339" s="90"/>
      <c r="ZI339" s="90"/>
      <c r="ZJ339" s="90"/>
      <c r="ZK339" s="90"/>
      <c r="ZL339" s="90"/>
      <c r="ZM339" s="90"/>
      <c r="ZN339" s="90"/>
      <c r="ZO339" s="90"/>
      <c r="ZP339" s="90"/>
      <c r="ZQ339" s="90"/>
      <c r="ZR339" s="90"/>
      <c r="ZS339" s="90"/>
      <c r="ZT339" s="90"/>
      <c r="ZU339" s="90"/>
      <c r="ZV339" s="90"/>
      <c r="ZW339" s="90"/>
      <c r="ZX339" s="90"/>
      <c r="ZY339" s="90"/>
      <c r="ZZ339" s="90"/>
      <c r="AAA339" s="90"/>
      <c r="AAB339" s="90"/>
      <c r="AAC339" s="90"/>
      <c r="AAD339" s="90"/>
      <c r="AAE339" s="90"/>
      <c r="AAF339" s="90"/>
      <c r="AAG339" s="90"/>
      <c r="AAH339" s="90"/>
      <c r="AAI339" s="90"/>
      <c r="AAJ339" s="90"/>
      <c r="AAK339" s="90"/>
      <c r="AAL339" s="90"/>
      <c r="AAM339" s="90"/>
      <c r="AAN339" s="90"/>
      <c r="AAO339" s="90"/>
      <c r="AAP339" s="90"/>
      <c r="AAQ339" s="90"/>
      <c r="AAR339" s="90"/>
      <c r="AAS339" s="90"/>
      <c r="AAT339" s="90"/>
      <c r="AAU339" s="90"/>
      <c r="AAV339" s="90"/>
      <c r="AAW339" s="90"/>
      <c r="AAX339" s="90"/>
      <c r="AAY339" s="90"/>
      <c r="AAZ339" s="90"/>
      <c r="ABA339" s="90"/>
      <c r="ABB339" s="90"/>
      <c r="ABC339" s="90"/>
      <c r="ABD339" s="90"/>
      <c r="ABE339" s="90"/>
      <c r="ABF339" s="90"/>
      <c r="ABG339" s="90"/>
      <c r="ABH339" s="90"/>
      <c r="ABI339" s="90"/>
      <c r="ABJ339" s="90"/>
      <c r="ABK339" s="90"/>
      <c r="ABL339" s="90"/>
      <c r="ABM339" s="90"/>
      <c r="ABN339" s="90"/>
      <c r="ABO339" s="90"/>
      <c r="ABP339" s="90"/>
      <c r="ABQ339" s="90"/>
      <c r="ABR339" s="90"/>
      <c r="ABS339" s="90"/>
      <c r="ABT339" s="90"/>
      <c r="ABU339" s="90"/>
      <c r="ABV339" s="90"/>
      <c r="ABW339" s="90"/>
      <c r="ABX339" s="90"/>
      <c r="ABY339" s="90"/>
      <c r="ABZ339" s="90"/>
      <c r="ACA339" s="90"/>
      <c r="ACB339" s="90"/>
      <c r="ACC339" s="90"/>
      <c r="ACD339" s="90"/>
      <c r="ACE339" s="90"/>
      <c r="ACF339" s="90"/>
      <c r="ACG339" s="90"/>
      <c r="ACH339" s="90"/>
      <c r="ACI339" s="90"/>
      <c r="ACJ339" s="90"/>
      <c r="ACK339" s="90"/>
      <c r="ACL339" s="90"/>
      <c r="ACM339" s="90"/>
      <c r="ACN339" s="90"/>
      <c r="ACO339" s="90"/>
      <c r="ACP339" s="90"/>
      <c r="ACQ339" s="90"/>
      <c r="ACR339" s="90"/>
      <c r="ACS339" s="90"/>
      <c r="ACT339" s="90"/>
      <c r="ACU339" s="90"/>
      <c r="ACV339" s="90"/>
      <c r="ACW339" s="90"/>
      <c r="ACX339" s="90"/>
      <c r="ACY339" s="90"/>
      <c r="ACZ339" s="90"/>
      <c r="ADA339" s="90"/>
      <c r="ADB339" s="90"/>
      <c r="ADC339" s="90"/>
      <c r="ADD339" s="90"/>
      <c r="ADE339" s="90"/>
      <c r="ADF339" s="90"/>
      <c r="ADG339" s="90"/>
      <c r="ADH339" s="90"/>
      <c r="ADI339" s="90"/>
      <c r="ADJ339" s="90"/>
      <c r="ADK339" s="90"/>
      <c r="ADL339" s="90"/>
      <c r="ADM339" s="90"/>
      <c r="ADN339" s="90"/>
      <c r="ADO339" s="90"/>
      <c r="ADP339" s="90"/>
      <c r="ADQ339" s="90"/>
      <c r="ADR339" s="90"/>
      <c r="ADS339" s="90"/>
      <c r="ADT339" s="90"/>
      <c r="ADU339" s="90"/>
      <c r="ADV339" s="90"/>
      <c r="ADW339" s="90"/>
      <c r="ADX339" s="90"/>
      <c r="ADY339" s="90"/>
      <c r="ADZ339" s="90"/>
      <c r="AEA339" s="90"/>
      <c r="AEB339" s="90"/>
      <c r="AEC339" s="90"/>
      <c r="AED339" s="90"/>
      <c r="AEE339" s="90"/>
      <c r="AEF339" s="90"/>
      <c r="AEG339" s="90"/>
      <c r="AEH339" s="90"/>
      <c r="AEI339" s="90"/>
      <c r="AEJ339" s="90"/>
      <c r="AEK339" s="90"/>
      <c r="AEL339" s="90"/>
      <c r="AEM339" s="90"/>
      <c r="AEN339" s="90"/>
      <c r="AEO339" s="90"/>
      <c r="AEP339" s="90"/>
      <c r="AEQ339" s="90"/>
      <c r="AER339" s="90"/>
      <c r="AES339" s="90"/>
      <c r="AET339" s="90"/>
      <c r="AEU339" s="90"/>
      <c r="AEV339" s="90"/>
      <c r="AEW339" s="90"/>
      <c r="AEX339" s="90"/>
      <c r="AEY339" s="90"/>
      <c r="AEZ339" s="90"/>
      <c r="AFA339" s="90"/>
      <c r="AFB339" s="90"/>
      <c r="AFC339" s="90"/>
      <c r="AFD339" s="90"/>
      <c r="AFE339" s="90"/>
      <c r="AFF339" s="90"/>
      <c r="AFG339" s="90"/>
      <c r="AFH339" s="90"/>
      <c r="AFI339" s="90"/>
      <c r="AFJ339" s="90"/>
      <c r="AFK339" s="90"/>
      <c r="AFL339" s="90"/>
      <c r="AFM339" s="90"/>
      <c r="AFN339" s="90"/>
      <c r="AFO339" s="90"/>
      <c r="AFP339" s="90"/>
      <c r="AFQ339" s="90"/>
      <c r="AFR339" s="90"/>
      <c r="AFS339" s="90"/>
      <c r="AFT339" s="90"/>
      <c r="AFU339" s="90"/>
      <c r="AFV339" s="90"/>
      <c r="AFW339" s="90"/>
      <c r="AFX339" s="90"/>
      <c r="AFY339" s="90"/>
      <c r="AFZ339" s="90"/>
      <c r="AGA339" s="90"/>
      <c r="AGB339" s="90"/>
      <c r="AGC339" s="90"/>
      <c r="AGD339" s="90"/>
      <c r="AGE339" s="90"/>
      <c r="AGF339" s="90"/>
      <c r="AGG339" s="90"/>
      <c r="AGH339" s="90"/>
      <c r="AGI339" s="90"/>
      <c r="AGJ339" s="90"/>
      <c r="AGK339" s="90"/>
      <c r="AGL339" s="90"/>
      <c r="AGM339" s="90"/>
      <c r="AGN339" s="90"/>
      <c r="AGO339" s="90"/>
      <c r="AGP339" s="90"/>
      <c r="AGQ339" s="90"/>
      <c r="AGR339" s="90"/>
      <c r="AGS339" s="90"/>
      <c r="AGT339" s="90"/>
      <c r="AGU339" s="90"/>
      <c r="AGV339" s="90"/>
      <c r="AGW339" s="90"/>
      <c r="AGX339" s="90"/>
      <c r="AGY339" s="90"/>
      <c r="AGZ339" s="90"/>
      <c r="AHA339" s="90"/>
      <c r="AHB339" s="90"/>
      <c r="AHC339" s="90"/>
      <c r="AHD339" s="90"/>
      <c r="AHE339" s="90"/>
      <c r="AHF339" s="90"/>
      <c r="AHG339" s="90"/>
      <c r="AHH339" s="90"/>
      <c r="AHI339" s="90"/>
      <c r="AHJ339" s="90"/>
      <c r="AHK339" s="90"/>
      <c r="AHL339" s="90"/>
      <c r="AHM339" s="90"/>
      <c r="AHN339" s="90"/>
      <c r="AHO339" s="90"/>
      <c r="AHP339" s="90"/>
      <c r="AHQ339" s="90"/>
      <c r="AHR339" s="90"/>
      <c r="AHS339" s="90"/>
      <c r="AHT339" s="90"/>
      <c r="AHU339" s="90"/>
      <c r="AHV339" s="90"/>
      <c r="AHW339" s="90"/>
      <c r="AHX339" s="90"/>
      <c r="AHY339" s="90"/>
      <c r="AHZ339" s="90"/>
      <c r="AIA339" s="90"/>
      <c r="AIB339" s="90"/>
      <c r="AIC339" s="90"/>
      <c r="AID339" s="90"/>
      <c r="AIE339" s="90"/>
      <c r="AIF339" s="90"/>
      <c r="AIG339" s="90"/>
      <c r="AIH339" s="90"/>
      <c r="AII339" s="90"/>
      <c r="AIJ339" s="90"/>
      <c r="AIK339" s="90"/>
      <c r="AIL339" s="90"/>
      <c r="AIM339" s="90"/>
      <c r="AIN339" s="90"/>
      <c r="AIO339" s="90"/>
      <c r="AIP339" s="90"/>
      <c r="AIQ339" s="90"/>
      <c r="AIR339" s="90"/>
      <c r="AIS339" s="90"/>
      <c r="AIT339" s="90"/>
      <c r="AIU339" s="90"/>
      <c r="AIV339" s="90"/>
      <c r="AIW339" s="90"/>
      <c r="AIX339" s="90"/>
      <c r="AIY339" s="90"/>
      <c r="AIZ339" s="90"/>
      <c r="AJA339" s="90"/>
      <c r="AJB339" s="90"/>
      <c r="AJC339" s="90"/>
      <c r="AJD339" s="90"/>
      <c r="AJE339" s="90"/>
      <c r="AJF339" s="90"/>
      <c r="AJG339" s="90"/>
      <c r="AJH339" s="90"/>
      <c r="AJI339" s="90"/>
      <c r="AJJ339" s="90"/>
      <c r="AJK339" s="90"/>
      <c r="AJL339" s="90"/>
      <c r="AJM339" s="90"/>
      <c r="AJN339" s="90"/>
      <c r="AJO339" s="90"/>
      <c r="AJP339" s="90"/>
      <c r="AJQ339" s="90"/>
      <c r="AJR339" s="90"/>
      <c r="AJS339" s="90"/>
      <c r="AJT339" s="90"/>
      <c r="AJU339" s="90"/>
      <c r="AJV339" s="90"/>
      <c r="AJW339" s="90"/>
      <c r="AJX339" s="90"/>
      <c r="AJY339" s="90"/>
      <c r="AJZ339" s="90"/>
      <c r="AKA339" s="90"/>
      <c r="AKB339" s="90"/>
      <c r="AKC339" s="90"/>
      <c r="AKD339" s="90"/>
      <c r="AKE339" s="90"/>
      <c r="AKF339" s="90"/>
      <c r="AKG339" s="90"/>
      <c r="AKH339" s="90"/>
      <c r="AKI339" s="90"/>
      <c r="AKJ339" s="90"/>
      <c r="AKK339" s="90"/>
      <c r="AKL339" s="90"/>
      <c r="AKM339" s="90"/>
      <c r="AKN339" s="90"/>
      <c r="AKO339" s="90"/>
      <c r="AKP339" s="90"/>
      <c r="AKQ339" s="90"/>
      <c r="AKR339" s="90"/>
      <c r="AKS339" s="90"/>
      <c r="AKT339" s="90"/>
      <c r="AKU339" s="90"/>
      <c r="AKV339" s="90"/>
      <c r="AKW339" s="90"/>
      <c r="AKX339" s="90"/>
      <c r="AKY339" s="90"/>
      <c r="AKZ339" s="90"/>
      <c r="ALA339" s="90"/>
      <c r="ALB339" s="90"/>
      <c r="ALC339" s="90"/>
      <c r="ALD339" s="90"/>
      <c r="ALE339" s="90"/>
      <c r="ALF339" s="90"/>
      <c r="ALG339" s="90"/>
      <c r="ALH339" s="90"/>
      <c r="ALI339" s="90"/>
      <c r="ALJ339" s="90"/>
      <c r="ALK339" s="90"/>
      <c r="ALL339" s="90"/>
      <c r="ALM339" s="90"/>
      <c r="ALN339" s="90"/>
      <c r="ALO339" s="90"/>
      <c r="ALP339" s="90"/>
      <c r="ALQ339" s="90"/>
      <c r="ALR339" s="90"/>
      <c r="ALS339" s="90"/>
      <c r="ALT339" s="90"/>
      <c r="ALU339" s="90"/>
      <c r="ALV339" s="90"/>
      <c r="ALW339" s="90"/>
      <c r="ALX339" s="90"/>
      <c r="ALY339" s="90"/>
      <c r="ALZ339" s="90"/>
      <c r="AMA339" s="90"/>
      <c r="AMB339" s="90"/>
      <c r="AMC339" s="90"/>
    </row>
    <row r="340" spans="1:1017">
      <c r="A340" s="98" t="s">
        <v>53</v>
      </c>
      <c r="B340" s="90" t="str">
        <f t="shared" si="1838"/>
        <v>Teri</v>
      </c>
      <c r="Q340" s="91">
        <f t="shared" si="1839"/>
        <v>0</v>
      </c>
      <c r="R340" s="91">
        <f t="shared" si="1840"/>
        <v>0</v>
      </c>
      <c r="AG340" s="91">
        <f t="shared" si="1841"/>
        <v>0</v>
      </c>
      <c r="AH340" s="91">
        <f t="shared" si="1842"/>
        <v>0</v>
      </c>
      <c r="AW340" s="91">
        <f t="shared" si="1843"/>
        <v>0</v>
      </c>
      <c r="AX340" s="91">
        <f t="shared" si="1844"/>
        <v>0</v>
      </c>
      <c r="BM340" s="91">
        <f t="shared" si="1845"/>
        <v>0</v>
      </c>
      <c r="BN340" s="91">
        <f t="shared" si="1846"/>
        <v>0</v>
      </c>
      <c r="CC340" s="91">
        <f t="shared" si="1847"/>
        <v>0</v>
      </c>
      <c r="CD340" s="91">
        <f t="shared" si="1848"/>
        <v>0</v>
      </c>
      <c r="CS340" s="91">
        <f t="shared" si="1849"/>
        <v>0</v>
      </c>
      <c r="CT340" s="91">
        <f t="shared" si="1850"/>
        <v>0</v>
      </c>
      <c r="DI340" s="91">
        <f t="shared" si="1851"/>
        <v>0</v>
      </c>
      <c r="DJ340" s="91">
        <f t="shared" si="1852"/>
        <v>0</v>
      </c>
      <c r="DY340" s="91">
        <f t="shared" si="1853"/>
        <v>0</v>
      </c>
      <c r="DZ340" s="91">
        <f t="shared" si="1854"/>
        <v>0</v>
      </c>
      <c r="EO340" s="91">
        <f t="shared" si="1855"/>
        <v>0</v>
      </c>
      <c r="EP340" s="91">
        <f t="shared" si="1856"/>
        <v>0</v>
      </c>
      <c r="FE340" s="91">
        <f t="shared" si="1857"/>
        <v>0</v>
      </c>
      <c r="FF340" s="91">
        <f t="shared" si="1858"/>
        <v>0</v>
      </c>
      <c r="FU340" s="91">
        <f t="shared" si="1859"/>
        <v>0</v>
      </c>
      <c r="FV340" s="91">
        <f t="shared" si="1860"/>
        <v>0</v>
      </c>
      <c r="GK340" s="91">
        <f t="shared" si="1861"/>
        <v>0</v>
      </c>
      <c r="GL340" s="91">
        <f t="shared" si="1862"/>
        <v>0</v>
      </c>
      <c r="HA340" s="91">
        <f t="shared" si="1863"/>
        <v>0</v>
      </c>
      <c r="HB340" s="91">
        <f t="shared" si="1864"/>
        <v>0</v>
      </c>
      <c r="HQ340" s="91">
        <f t="shared" si="1865"/>
        <v>0</v>
      </c>
      <c r="HR340" s="91">
        <f t="shared" si="1866"/>
        <v>0</v>
      </c>
      <c r="IG340" s="91">
        <f t="shared" si="1867"/>
        <v>0</v>
      </c>
      <c r="IH340" s="91">
        <f t="shared" si="1868"/>
        <v>0</v>
      </c>
      <c r="IW340" s="91">
        <f t="shared" si="1869"/>
        <v>0</v>
      </c>
      <c r="IX340" s="91">
        <f t="shared" si="1870"/>
        <v>0</v>
      </c>
      <c r="JM340" s="91">
        <f t="shared" si="1871"/>
        <v>0</v>
      </c>
      <c r="JN340" s="91">
        <f t="shared" si="1872"/>
        <v>0</v>
      </c>
      <c r="KC340" s="91">
        <f t="shared" si="1873"/>
        <v>0</v>
      </c>
      <c r="KD340" s="91">
        <f t="shared" si="1874"/>
        <v>0</v>
      </c>
      <c r="KS340" s="91">
        <f t="shared" si="1875"/>
        <v>0</v>
      </c>
      <c r="KT340" s="91">
        <f t="shared" si="1876"/>
        <v>0</v>
      </c>
      <c r="LI340" s="91">
        <f t="shared" si="1877"/>
        <v>0</v>
      </c>
      <c r="LJ340" s="91">
        <f t="shared" si="1878"/>
        <v>0</v>
      </c>
      <c r="LY340" s="91">
        <f t="shared" si="1879"/>
        <v>0</v>
      </c>
      <c r="LZ340" s="91">
        <f t="shared" si="1880"/>
        <v>0</v>
      </c>
      <c r="MO340" s="91">
        <f t="shared" si="1881"/>
        <v>0</v>
      </c>
      <c r="MP340" s="91">
        <f t="shared" si="1882"/>
        <v>0</v>
      </c>
      <c r="NE340" s="91">
        <f t="shared" si="1883"/>
        <v>0</v>
      </c>
      <c r="NF340" s="91">
        <f t="shared" si="1884"/>
        <v>0</v>
      </c>
      <c r="NU340" s="91">
        <f t="shared" si="1885"/>
        <v>0</v>
      </c>
      <c r="NV340" s="91">
        <f t="shared" si="1886"/>
        <v>0</v>
      </c>
      <c r="OK340" s="91">
        <f t="shared" si="1887"/>
        <v>0</v>
      </c>
      <c r="OL340" s="91">
        <f t="shared" si="1888"/>
        <v>0</v>
      </c>
      <c r="PA340" s="91">
        <f t="shared" si="1889"/>
        <v>0</v>
      </c>
      <c r="PB340" s="91">
        <f t="shared" si="1890"/>
        <v>0</v>
      </c>
      <c r="PQ340" s="91">
        <f t="shared" si="1891"/>
        <v>0</v>
      </c>
      <c r="PR340" s="91">
        <f t="shared" si="1892"/>
        <v>0</v>
      </c>
      <c r="QG340" s="91">
        <f t="shared" si="1893"/>
        <v>0</v>
      </c>
      <c r="QH340" s="91">
        <f t="shared" si="1894"/>
        <v>0</v>
      </c>
      <c r="QW340" s="91">
        <f t="shared" si="1895"/>
        <v>0</v>
      </c>
      <c r="QX340" s="91">
        <f t="shared" si="1896"/>
        <v>0</v>
      </c>
      <c r="RM340" s="91">
        <f t="shared" si="1897"/>
        <v>0</v>
      </c>
      <c r="RN340" s="91">
        <f t="shared" si="1898"/>
        <v>0</v>
      </c>
      <c r="SC340" s="91">
        <f t="shared" si="1899"/>
        <v>0</v>
      </c>
      <c r="SD340" s="91">
        <f t="shared" si="1900"/>
        <v>0</v>
      </c>
      <c r="SS340" s="91">
        <f t="shared" si="1901"/>
        <v>0</v>
      </c>
      <c r="ST340" s="91">
        <f t="shared" si="1902"/>
        <v>0</v>
      </c>
      <c r="TI340" s="91">
        <f t="shared" si="1903"/>
        <v>0</v>
      </c>
      <c r="TJ340" s="91">
        <f t="shared" si="1904"/>
        <v>0</v>
      </c>
      <c r="TY340" s="91">
        <f t="shared" si="1905"/>
        <v>0</v>
      </c>
      <c r="TZ340" s="91">
        <f t="shared" si="1906"/>
        <v>0</v>
      </c>
      <c r="UO340" s="91">
        <f t="shared" si="1907"/>
        <v>0</v>
      </c>
      <c r="UP340" s="91">
        <f t="shared" si="1908"/>
        <v>0</v>
      </c>
      <c r="VE340" s="91">
        <f t="shared" si="1909"/>
        <v>0</v>
      </c>
      <c r="VF340" s="91">
        <f t="shared" si="1910"/>
        <v>0</v>
      </c>
      <c r="VU340" s="91">
        <f t="shared" si="1911"/>
        <v>0</v>
      </c>
      <c r="VV340" s="91">
        <f t="shared" si="1912"/>
        <v>0</v>
      </c>
      <c r="WK340" s="91">
        <f t="shared" si="1913"/>
        <v>0</v>
      </c>
      <c r="WL340" s="91">
        <f t="shared" si="1914"/>
        <v>0</v>
      </c>
      <c r="WM340" s="89"/>
      <c r="WN340" s="87">
        <f t="shared" si="1915"/>
        <v>0</v>
      </c>
      <c r="WO340" s="87">
        <f t="shared" si="1916"/>
        <v>0</v>
      </c>
      <c r="WP340" s="87">
        <f t="shared" si="1917"/>
        <v>0</v>
      </c>
      <c r="WQ340" s="87">
        <f t="shared" si="1918"/>
        <v>0</v>
      </c>
      <c r="WR340" s="87">
        <f t="shared" si="1919"/>
        <v>0</v>
      </c>
      <c r="WS340" s="87">
        <f t="shared" si="1920"/>
        <v>0</v>
      </c>
      <c r="WT340" s="87">
        <f t="shared" si="1921"/>
        <v>0</v>
      </c>
      <c r="WU340" s="87">
        <f t="shared" si="1922"/>
        <v>0</v>
      </c>
      <c r="WV340" s="87">
        <f t="shared" si="1923"/>
        <v>0</v>
      </c>
      <c r="WW340" s="87">
        <f t="shared" si="1924"/>
        <v>0</v>
      </c>
      <c r="WX340" s="87">
        <f t="shared" si="1925"/>
        <v>0</v>
      </c>
      <c r="WY340" s="87">
        <f t="shared" si="1926"/>
        <v>0</v>
      </c>
      <c r="WZ340" s="87">
        <f t="shared" si="1927"/>
        <v>0</v>
      </c>
      <c r="XA340" s="87">
        <f t="shared" si="1928"/>
        <v>0</v>
      </c>
      <c r="XB340" s="92">
        <f t="shared" si="1929"/>
        <v>0</v>
      </c>
      <c r="XC340" s="92">
        <f t="shared" si="1930"/>
        <v>0</v>
      </c>
      <c r="XD340" s="89"/>
      <c r="XE340" s="92"/>
      <c r="XF340" s="92"/>
      <c r="XG340" s="89"/>
      <c r="XH340" s="92"/>
      <c r="XI340" s="92"/>
      <c r="XJ340" s="89"/>
      <c r="XK340" s="87"/>
      <c r="XL340" s="87"/>
      <c r="XM340" s="87"/>
      <c r="XN340" s="87"/>
      <c r="XO340" s="87"/>
      <c r="XP340" s="87"/>
      <c r="XQ340" s="87"/>
      <c r="XR340" s="92">
        <f t="shared" ca="1" si="1931"/>
        <v>0</v>
      </c>
      <c r="XS340" s="89"/>
      <c r="XT340" s="87"/>
      <c r="XU340" s="87"/>
      <c r="XV340" s="87"/>
      <c r="XW340" s="87"/>
      <c r="XX340" s="87"/>
      <c r="XY340" s="87"/>
      <c r="XZ340" s="87"/>
      <c r="YA340" s="92">
        <f t="shared" ca="1" si="1932"/>
        <v>0</v>
      </c>
      <c r="YB340" s="90"/>
      <c r="YC340" s="90"/>
      <c r="YD340" s="90"/>
      <c r="YE340" s="90"/>
      <c r="YF340" s="90"/>
      <c r="YG340" s="90"/>
      <c r="YH340" s="90"/>
      <c r="YI340" s="90"/>
      <c r="YJ340" s="90"/>
      <c r="YK340" s="90"/>
      <c r="YL340" s="90"/>
      <c r="YM340" s="90"/>
      <c r="YN340" s="90"/>
      <c r="YO340" s="90"/>
      <c r="YP340" s="90"/>
      <c r="YQ340" s="90"/>
      <c r="YR340" s="90"/>
      <c r="YS340" s="90"/>
      <c r="YT340" s="90"/>
      <c r="YU340" s="90"/>
      <c r="YV340" s="90"/>
      <c r="YW340" s="90"/>
      <c r="YX340" s="90"/>
      <c r="YY340" s="90"/>
      <c r="YZ340" s="90"/>
      <c r="ZA340" s="90"/>
      <c r="ZB340" s="90"/>
      <c r="ZC340" s="90"/>
      <c r="ZD340" s="90"/>
      <c r="ZE340" s="90"/>
      <c r="ZF340" s="90"/>
      <c r="ZG340" s="90"/>
      <c r="ZH340" s="90"/>
      <c r="ZI340" s="90"/>
      <c r="ZJ340" s="90"/>
      <c r="ZK340" s="90"/>
      <c r="ZL340" s="90"/>
      <c r="ZM340" s="90"/>
      <c r="ZN340" s="90"/>
      <c r="ZO340" s="90"/>
      <c r="ZP340" s="90"/>
      <c r="ZQ340" s="90"/>
      <c r="ZR340" s="90"/>
      <c r="ZS340" s="90"/>
      <c r="ZT340" s="90"/>
      <c r="ZU340" s="90"/>
      <c r="ZV340" s="90"/>
      <c r="ZW340" s="90"/>
      <c r="ZX340" s="90"/>
      <c r="ZY340" s="90"/>
      <c r="ZZ340" s="90"/>
      <c r="AAA340" s="90"/>
      <c r="AAB340" s="90"/>
      <c r="AAC340" s="90"/>
      <c r="AAD340" s="90"/>
      <c r="AAE340" s="90"/>
      <c r="AAF340" s="90"/>
      <c r="AAG340" s="90"/>
      <c r="AAH340" s="90"/>
      <c r="AAI340" s="90"/>
      <c r="AAJ340" s="90"/>
      <c r="AAK340" s="90"/>
      <c r="AAL340" s="90"/>
      <c r="AAM340" s="90"/>
      <c r="AAN340" s="90"/>
      <c r="AAO340" s="90"/>
      <c r="AAP340" s="90"/>
      <c r="AAQ340" s="90"/>
      <c r="AAR340" s="90"/>
      <c r="AAS340" s="90"/>
      <c r="AAT340" s="90"/>
      <c r="AAU340" s="90"/>
      <c r="AAV340" s="90"/>
      <c r="AAW340" s="90"/>
      <c r="AAX340" s="90"/>
      <c r="AAY340" s="90"/>
      <c r="AAZ340" s="90"/>
      <c r="ABA340" s="90"/>
      <c r="ABB340" s="90"/>
      <c r="ABC340" s="90"/>
      <c r="ABD340" s="90"/>
      <c r="ABE340" s="90"/>
      <c r="ABF340" s="90"/>
      <c r="ABG340" s="90"/>
      <c r="ABH340" s="90"/>
      <c r="ABI340" s="90"/>
      <c r="ABJ340" s="90"/>
      <c r="ABK340" s="90"/>
      <c r="ABL340" s="90"/>
      <c r="ABM340" s="90"/>
      <c r="ABN340" s="90"/>
      <c r="ABO340" s="90"/>
      <c r="ABP340" s="90"/>
      <c r="ABQ340" s="90"/>
      <c r="ABR340" s="90"/>
      <c r="ABS340" s="90"/>
      <c r="ABT340" s="90"/>
      <c r="ABU340" s="90"/>
      <c r="ABV340" s="90"/>
      <c r="ABW340" s="90"/>
      <c r="ABX340" s="90"/>
      <c r="ABY340" s="90"/>
      <c r="ABZ340" s="90"/>
      <c r="ACA340" s="90"/>
      <c r="ACB340" s="90"/>
      <c r="ACC340" s="90"/>
      <c r="ACD340" s="90"/>
      <c r="ACE340" s="90"/>
      <c r="ACF340" s="90"/>
      <c r="ACG340" s="90"/>
      <c r="ACH340" s="90"/>
      <c r="ACI340" s="90"/>
      <c r="ACJ340" s="90"/>
      <c r="ACK340" s="90"/>
      <c r="ACL340" s="90"/>
      <c r="ACM340" s="90"/>
      <c r="ACN340" s="90"/>
      <c r="ACO340" s="90"/>
      <c r="ACP340" s="90"/>
      <c r="ACQ340" s="90"/>
      <c r="ACR340" s="90"/>
      <c r="ACS340" s="90"/>
      <c r="ACT340" s="90"/>
      <c r="ACU340" s="90"/>
      <c r="ACV340" s="90"/>
      <c r="ACW340" s="90"/>
      <c r="ACX340" s="90"/>
      <c r="ACY340" s="90"/>
      <c r="ACZ340" s="90"/>
      <c r="ADA340" s="90"/>
      <c r="ADB340" s="90"/>
      <c r="ADC340" s="90"/>
      <c r="ADD340" s="90"/>
      <c r="ADE340" s="90"/>
      <c r="ADF340" s="90"/>
      <c r="ADG340" s="90"/>
      <c r="ADH340" s="90"/>
      <c r="ADI340" s="90"/>
      <c r="ADJ340" s="90"/>
      <c r="ADK340" s="90"/>
      <c r="ADL340" s="90"/>
      <c r="ADM340" s="90"/>
      <c r="ADN340" s="90"/>
      <c r="ADO340" s="90"/>
      <c r="ADP340" s="90"/>
      <c r="ADQ340" s="90"/>
      <c r="ADR340" s="90"/>
      <c r="ADS340" s="90"/>
      <c r="ADT340" s="90"/>
      <c r="ADU340" s="90"/>
      <c r="ADV340" s="90"/>
      <c r="ADW340" s="90"/>
      <c r="ADX340" s="90"/>
      <c r="ADY340" s="90"/>
      <c r="ADZ340" s="90"/>
      <c r="AEA340" s="90"/>
      <c r="AEB340" s="90"/>
      <c r="AEC340" s="90"/>
      <c r="AED340" s="90"/>
      <c r="AEE340" s="90"/>
      <c r="AEF340" s="90"/>
      <c r="AEG340" s="90"/>
      <c r="AEH340" s="90"/>
      <c r="AEI340" s="90"/>
      <c r="AEJ340" s="90"/>
      <c r="AEK340" s="90"/>
      <c r="AEL340" s="90"/>
      <c r="AEM340" s="90"/>
      <c r="AEN340" s="90"/>
      <c r="AEO340" s="90"/>
      <c r="AEP340" s="90"/>
      <c r="AEQ340" s="90"/>
      <c r="AER340" s="90"/>
      <c r="AES340" s="90"/>
      <c r="AET340" s="90"/>
      <c r="AEU340" s="90"/>
      <c r="AEV340" s="90"/>
      <c r="AEW340" s="90"/>
      <c r="AEX340" s="90"/>
      <c r="AEY340" s="90"/>
      <c r="AEZ340" s="90"/>
      <c r="AFA340" s="90"/>
      <c r="AFB340" s="90"/>
      <c r="AFC340" s="90"/>
      <c r="AFD340" s="90"/>
      <c r="AFE340" s="90"/>
      <c r="AFF340" s="90"/>
      <c r="AFG340" s="90"/>
      <c r="AFH340" s="90"/>
      <c r="AFI340" s="90"/>
      <c r="AFJ340" s="90"/>
      <c r="AFK340" s="90"/>
      <c r="AFL340" s="90"/>
      <c r="AFM340" s="90"/>
      <c r="AFN340" s="90"/>
      <c r="AFO340" s="90"/>
      <c r="AFP340" s="90"/>
      <c r="AFQ340" s="90"/>
      <c r="AFR340" s="90"/>
      <c r="AFS340" s="90"/>
      <c r="AFT340" s="90"/>
      <c r="AFU340" s="90"/>
      <c r="AFV340" s="90"/>
      <c r="AFW340" s="90"/>
      <c r="AFX340" s="90"/>
      <c r="AFY340" s="90"/>
      <c r="AFZ340" s="90"/>
      <c r="AGA340" s="90"/>
      <c r="AGB340" s="90"/>
      <c r="AGC340" s="90"/>
      <c r="AGD340" s="90"/>
      <c r="AGE340" s="90"/>
      <c r="AGF340" s="90"/>
      <c r="AGG340" s="90"/>
      <c r="AGH340" s="90"/>
      <c r="AGI340" s="90"/>
      <c r="AGJ340" s="90"/>
      <c r="AGK340" s="90"/>
      <c r="AGL340" s="90"/>
      <c r="AGM340" s="90"/>
      <c r="AGN340" s="90"/>
      <c r="AGO340" s="90"/>
      <c r="AGP340" s="90"/>
      <c r="AGQ340" s="90"/>
      <c r="AGR340" s="90"/>
      <c r="AGS340" s="90"/>
      <c r="AGT340" s="90"/>
      <c r="AGU340" s="90"/>
      <c r="AGV340" s="90"/>
      <c r="AGW340" s="90"/>
      <c r="AGX340" s="90"/>
      <c r="AGY340" s="90"/>
      <c r="AGZ340" s="90"/>
      <c r="AHA340" s="90"/>
      <c r="AHB340" s="90"/>
      <c r="AHC340" s="90"/>
      <c r="AHD340" s="90"/>
      <c r="AHE340" s="90"/>
      <c r="AHF340" s="90"/>
      <c r="AHG340" s="90"/>
      <c r="AHH340" s="90"/>
      <c r="AHI340" s="90"/>
      <c r="AHJ340" s="90"/>
      <c r="AHK340" s="90"/>
      <c r="AHL340" s="90"/>
      <c r="AHM340" s="90"/>
      <c r="AHN340" s="90"/>
      <c r="AHO340" s="90"/>
      <c r="AHP340" s="90"/>
      <c r="AHQ340" s="90"/>
      <c r="AHR340" s="90"/>
      <c r="AHS340" s="90"/>
      <c r="AHT340" s="90"/>
      <c r="AHU340" s="90"/>
      <c r="AHV340" s="90"/>
      <c r="AHW340" s="90"/>
      <c r="AHX340" s="90"/>
      <c r="AHY340" s="90"/>
      <c r="AHZ340" s="90"/>
      <c r="AIA340" s="90"/>
      <c r="AIB340" s="90"/>
      <c r="AIC340" s="90"/>
      <c r="AID340" s="90"/>
      <c r="AIE340" s="90"/>
      <c r="AIF340" s="90"/>
      <c r="AIG340" s="90"/>
      <c r="AIH340" s="90"/>
      <c r="AII340" s="90"/>
      <c r="AIJ340" s="90"/>
      <c r="AIK340" s="90"/>
      <c r="AIL340" s="90"/>
      <c r="AIM340" s="90"/>
      <c r="AIN340" s="90"/>
      <c r="AIO340" s="90"/>
      <c r="AIP340" s="90"/>
      <c r="AIQ340" s="90"/>
      <c r="AIR340" s="90"/>
      <c r="AIS340" s="90"/>
      <c r="AIT340" s="90"/>
      <c r="AIU340" s="90"/>
      <c r="AIV340" s="90"/>
      <c r="AIW340" s="90"/>
      <c r="AIX340" s="90"/>
      <c r="AIY340" s="90"/>
      <c r="AIZ340" s="90"/>
      <c r="AJA340" s="90"/>
      <c r="AJB340" s="90"/>
      <c r="AJC340" s="90"/>
      <c r="AJD340" s="90"/>
      <c r="AJE340" s="90"/>
      <c r="AJF340" s="90"/>
      <c r="AJG340" s="90"/>
      <c r="AJH340" s="90"/>
      <c r="AJI340" s="90"/>
      <c r="AJJ340" s="90"/>
      <c r="AJK340" s="90"/>
      <c r="AJL340" s="90"/>
      <c r="AJM340" s="90"/>
      <c r="AJN340" s="90"/>
      <c r="AJO340" s="90"/>
      <c r="AJP340" s="90"/>
      <c r="AJQ340" s="90"/>
      <c r="AJR340" s="90"/>
      <c r="AJS340" s="90"/>
      <c r="AJT340" s="90"/>
      <c r="AJU340" s="90"/>
      <c r="AJV340" s="90"/>
      <c r="AJW340" s="90"/>
      <c r="AJX340" s="90"/>
      <c r="AJY340" s="90"/>
      <c r="AJZ340" s="90"/>
      <c r="AKA340" s="90"/>
      <c r="AKB340" s="90"/>
      <c r="AKC340" s="90"/>
      <c r="AKD340" s="90"/>
      <c r="AKE340" s="90"/>
      <c r="AKF340" s="90"/>
      <c r="AKG340" s="90"/>
      <c r="AKH340" s="90"/>
      <c r="AKI340" s="90"/>
      <c r="AKJ340" s="90"/>
      <c r="AKK340" s="90"/>
      <c r="AKL340" s="90"/>
      <c r="AKM340" s="90"/>
      <c r="AKN340" s="90"/>
      <c r="AKO340" s="90"/>
      <c r="AKP340" s="90"/>
      <c r="AKQ340" s="90"/>
      <c r="AKR340" s="90"/>
      <c r="AKS340" s="90"/>
      <c r="AKT340" s="90"/>
      <c r="AKU340" s="90"/>
      <c r="AKV340" s="90"/>
      <c r="AKW340" s="90"/>
      <c r="AKX340" s="90"/>
      <c r="AKY340" s="90"/>
      <c r="AKZ340" s="90"/>
      <c r="ALA340" s="90"/>
      <c r="ALB340" s="90"/>
      <c r="ALC340" s="90"/>
      <c r="ALD340" s="90"/>
      <c r="ALE340" s="90"/>
      <c r="ALF340" s="90"/>
      <c r="ALG340" s="90"/>
      <c r="ALH340" s="90"/>
      <c r="ALI340" s="90"/>
      <c r="ALJ340" s="90"/>
      <c r="ALK340" s="90"/>
      <c r="ALL340" s="90"/>
      <c r="ALM340" s="90"/>
      <c r="ALN340" s="90"/>
      <c r="ALO340" s="90"/>
      <c r="ALP340" s="90"/>
      <c r="ALQ340" s="90"/>
      <c r="ALR340" s="90"/>
      <c r="ALS340" s="90"/>
      <c r="ALT340" s="90"/>
      <c r="ALU340" s="90"/>
      <c r="ALV340" s="90"/>
      <c r="ALW340" s="90"/>
      <c r="ALX340" s="90"/>
      <c r="ALY340" s="90"/>
      <c r="ALZ340" s="90"/>
      <c r="AMA340" s="90"/>
      <c r="AMB340" s="90"/>
      <c r="AMC340" s="90"/>
    </row>
    <row r="341" spans="1:1017">
      <c r="A341" s="98" t="s">
        <v>53</v>
      </c>
      <c r="B341" s="90" t="str">
        <f t="shared" si="1838"/>
        <v xml:space="preserve">Udang Galah </v>
      </c>
      <c r="Q341" s="91">
        <f t="shared" si="1839"/>
        <v>0</v>
      </c>
      <c r="R341" s="91">
        <f t="shared" si="1840"/>
        <v>0</v>
      </c>
      <c r="AG341" s="91">
        <f t="shared" si="1841"/>
        <v>0</v>
      </c>
      <c r="AH341" s="91">
        <f t="shared" si="1842"/>
        <v>0</v>
      </c>
      <c r="AW341" s="91">
        <f t="shared" si="1843"/>
        <v>0</v>
      </c>
      <c r="AX341" s="91">
        <f t="shared" si="1844"/>
        <v>0</v>
      </c>
      <c r="BM341" s="91">
        <f t="shared" si="1845"/>
        <v>0</v>
      </c>
      <c r="BN341" s="91">
        <f t="shared" si="1846"/>
        <v>0</v>
      </c>
      <c r="CC341" s="91">
        <f t="shared" si="1847"/>
        <v>0</v>
      </c>
      <c r="CD341" s="91">
        <f t="shared" si="1848"/>
        <v>0</v>
      </c>
      <c r="CS341" s="91">
        <f t="shared" si="1849"/>
        <v>0</v>
      </c>
      <c r="CT341" s="91">
        <f t="shared" si="1850"/>
        <v>0</v>
      </c>
      <c r="DI341" s="91">
        <f t="shared" si="1851"/>
        <v>0</v>
      </c>
      <c r="DJ341" s="91">
        <f t="shared" si="1852"/>
        <v>0</v>
      </c>
      <c r="DY341" s="91">
        <f t="shared" si="1853"/>
        <v>0</v>
      </c>
      <c r="DZ341" s="91">
        <f t="shared" si="1854"/>
        <v>0</v>
      </c>
      <c r="EO341" s="91">
        <f t="shared" si="1855"/>
        <v>0</v>
      </c>
      <c r="EP341" s="91">
        <f t="shared" si="1856"/>
        <v>0</v>
      </c>
      <c r="FE341" s="91">
        <f t="shared" si="1857"/>
        <v>0</v>
      </c>
      <c r="FF341" s="91">
        <f t="shared" si="1858"/>
        <v>0</v>
      </c>
      <c r="FU341" s="91">
        <f t="shared" si="1859"/>
        <v>0</v>
      </c>
      <c r="FV341" s="91">
        <f t="shared" si="1860"/>
        <v>0</v>
      </c>
      <c r="GK341" s="91">
        <f t="shared" si="1861"/>
        <v>0</v>
      </c>
      <c r="GL341" s="91">
        <f t="shared" si="1862"/>
        <v>0</v>
      </c>
      <c r="HA341" s="91">
        <f t="shared" si="1863"/>
        <v>0</v>
      </c>
      <c r="HB341" s="91">
        <f t="shared" si="1864"/>
        <v>0</v>
      </c>
      <c r="HQ341" s="91">
        <f t="shared" si="1865"/>
        <v>0</v>
      </c>
      <c r="HR341" s="91">
        <f t="shared" si="1866"/>
        <v>0</v>
      </c>
      <c r="IG341" s="91">
        <f t="shared" si="1867"/>
        <v>0</v>
      </c>
      <c r="IH341" s="91">
        <f t="shared" si="1868"/>
        <v>0</v>
      </c>
      <c r="IW341" s="91">
        <f t="shared" si="1869"/>
        <v>0</v>
      </c>
      <c r="IX341" s="91">
        <f t="shared" si="1870"/>
        <v>0</v>
      </c>
      <c r="JM341" s="91">
        <f t="shared" si="1871"/>
        <v>0</v>
      </c>
      <c r="JN341" s="91">
        <f t="shared" si="1872"/>
        <v>0</v>
      </c>
      <c r="KC341" s="91">
        <f t="shared" si="1873"/>
        <v>0</v>
      </c>
      <c r="KD341" s="91">
        <f t="shared" si="1874"/>
        <v>0</v>
      </c>
      <c r="KS341" s="91">
        <f t="shared" si="1875"/>
        <v>0</v>
      </c>
      <c r="KT341" s="91">
        <f t="shared" si="1876"/>
        <v>0</v>
      </c>
      <c r="LI341" s="91">
        <f t="shared" si="1877"/>
        <v>0</v>
      </c>
      <c r="LJ341" s="91">
        <f t="shared" si="1878"/>
        <v>0</v>
      </c>
      <c r="LY341" s="91">
        <f t="shared" si="1879"/>
        <v>0</v>
      </c>
      <c r="LZ341" s="91">
        <f t="shared" si="1880"/>
        <v>0</v>
      </c>
      <c r="MO341" s="91">
        <f t="shared" si="1881"/>
        <v>0</v>
      </c>
      <c r="MP341" s="91">
        <f t="shared" si="1882"/>
        <v>0</v>
      </c>
      <c r="NE341" s="91">
        <f t="shared" si="1883"/>
        <v>0</v>
      </c>
      <c r="NF341" s="91">
        <f t="shared" si="1884"/>
        <v>0</v>
      </c>
      <c r="NU341" s="91">
        <f t="shared" si="1885"/>
        <v>0</v>
      </c>
      <c r="NV341" s="91">
        <f t="shared" si="1886"/>
        <v>0</v>
      </c>
      <c r="OK341" s="91">
        <f t="shared" si="1887"/>
        <v>0</v>
      </c>
      <c r="OL341" s="91">
        <f t="shared" si="1888"/>
        <v>0</v>
      </c>
      <c r="PA341" s="91">
        <f t="shared" si="1889"/>
        <v>0</v>
      </c>
      <c r="PB341" s="91">
        <f t="shared" si="1890"/>
        <v>0</v>
      </c>
      <c r="PQ341" s="91">
        <f t="shared" si="1891"/>
        <v>0</v>
      </c>
      <c r="PR341" s="91">
        <f t="shared" si="1892"/>
        <v>0</v>
      </c>
      <c r="QG341" s="91">
        <f t="shared" si="1893"/>
        <v>0</v>
      </c>
      <c r="QH341" s="91">
        <f t="shared" si="1894"/>
        <v>0</v>
      </c>
      <c r="QW341" s="91">
        <f t="shared" si="1895"/>
        <v>0</v>
      </c>
      <c r="QX341" s="91">
        <f t="shared" si="1896"/>
        <v>0</v>
      </c>
      <c r="RM341" s="91">
        <f t="shared" si="1897"/>
        <v>0</v>
      </c>
      <c r="RN341" s="91">
        <f t="shared" si="1898"/>
        <v>0</v>
      </c>
      <c r="SC341" s="91">
        <f t="shared" si="1899"/>
        <v>0</v>
      </c>
      <c r="SD341" s="91">
        <f t="shared" si="1900"/>
        <v>0</v>
      </c>
      <c r="SS341" s="91">
        <f t="shared" si="1901"/>
        <v>0</v>
      </c>
      <c r="ST341" s="91">
        <f t="shared" si="1902"/>
        <v>0</v>
      </c>
      <c r="TI341" s="91">
        <f t="shared" si="1903"/>
        <v>0</v>
      </c>
      <c r="TJ341" s="91">
        <f t="shared" si="1904"/>
        <v>0</v>
      </c>
      <c r="TY341" s="91">
        <f t="shared" si="1905"/>
        <v>0</v>
      </c>
      <c r="TZ341" s="91">
        <f t="shared" si="1906"/>
        <v>0</v>
      </c>
      <c r="UO341" s="91">
        <f t="shared" si="1907"/>
        <v>0</v>
      </c>
      <c r="UP341" s="91">
        <f t="shared" si="1908"/>
        <v>0</v>
      </c>
      <c r="VE341" s="91">
        <f t="shared" si="1909"/>
        <v>0</v>
      </c>
      <c r="VF341" s="91">
        <f t="shared" si="1910"/>
        <v>0</v>
      </c>
      <c r="VU341" s="91">
        <f t="shared" si="1911"/>
        <v>0</v>
      </c>
      <c r="VV341" s="91">
        <f t="shared" si="1912"/>
        <v>0</v>
      </c>
      <c r="WK341" s="91">
        <f t="shared" si="1913"/>
        <v>0</v>
      </c>
      <c r="WL341" s="91">
        <f t="shared" si="1914"/>
        <v>0</v>
      </c>
      <c r="WM341" s="89"/>
      <c r="WN341" s="87">
        <f t="shared" si="1915"/>
        <v>0</v>
      </c>
      <c r="WO341" s="87">
        <f t="shared" si="1916"/>
        <v>0</v>
      </c>
      <c r="WP341" s="87">
        <f t="shared" si="1917"/>
        <v>0</v>
      </c>
      <c r="WQ341" s="87">
        <f t="shared" si="1918"/>
        <v>0</v>
      </c>
      <c r="WR341" s="87">
        <f t="shared" si="1919"/>
        <v>0</v>
      </c>
      <c r="WS341" s="87">
        <f t="shared" si="1920"/>
        <v>0</v>
      </c>
      <c r="WT341" s="87">
        <f t="shared" si="1921"/>
        <v>0</v>
      </c>
      <c r="WU341" s="87">
        <f t="shared" si="1922"/>
        <v>0</v>
      </c>
      <c r="WV341" s="87">
        <f t="shared" si="1923"/>
        <v>0</v>
      </c>
      <c r="WW341" s="87">
        <f t="shared" si="1924"/>
        <v>0</v>
      </c>
      <c r="WX341" s="87">
        <f t="shared" si="1925"/>
        <v>0</v>
      </c>
      <c r="WY341" s="87">
        <f t="shared" si="1926"/>
        <v>0</v>
      </c>
      <c r="WZ341" s="87">
        <f t="shared" ref="WZ341:WZ354" si="1933">SUMIF($C$5:$WL$5,$WZ$5,C341:WL341)</f>
        <v>0</v>
      </c>
      <c r="XA341" s="87">
        <f t="shared" ref="XA341:XA354" si="1934">SUMIF($C$5:$WL$5,$XA$5,C341:WL341)</f>
        <v>0</v>
      </c>
      <c r="XB341" s="92">
        <f t="shared" ref="XB341:XB354" si="1935">SUMIF($WN$12:$XA$12,$XB$12,WN341:XA341)</f>
        <v>0</v>
      </c>
      <c r="XC341" s="92">
        <f t="shared" ref="XC341:XC354" si="1936">SUMIF($WN$12:$XA$12,$XC$12,WN341:XA341)</f>
        <v>0</v>
      </c>
      <c r="XD341" s="89"/>
      <c r="XE341" s="92"/>
      <c r="XF341" s="92"/>
      <c r="XG341" s="89"/>
      <c r="XH341" s="92"/>
      <c r="XI341" s="92"/>
      <c r="XJ341" s="89"/>
      <c r="XK341" s="87"/>
      <c r="XL341" s="87"/>
      <c r="XM341" s="87"/>
      <c r="XN341" s="87"/>
      <c r="XO341" s="87"/>
      <c r="XP341" s="87"/>
      <c r="XQ341" s="87"/>
      <c r="XR341" s="92">
        <f t="shared" ca="1" si="1931"/>
        <v>0</v>
      </c>
      <c r="XS341" s="89"/>
      <c r="XT341" s="87"/>
      <c r="XU341" s="87"/>
      <c r="XV341" s="87"/>
      <c r="XW341" s="87"/>
      <c r="XX341" s="87"/>
      <c r="XY341" s="87"/>
      <c r="XZ341" s="87"/>
      <c r="YA341" s="92">
        <f t="shared" ca="1" si="1932"/>
        <v>0</v>
      </c>
      <c r="YB341" s="90"/>
      <c r="YC341" s="90"/>
      <c r="YD341" s="90"/>
      <c r="YE341" s="90"/>
      <c r="YF341" s="90"/>
      <c r="YG341" s="90"/>
      <c r="YH341" s="90"/>
      <c r="YI341" s="90"/>
      <c r="YJ341" s="90"/>
      <c r="YK341" s="90"/>
      <c r="YL341" s="90"/>
      <c r="YM341" s="90"/>
      <c r="YN341" s="90"/>
      <c r="YO341" s="90"/>
      <c r="YP341" s="90"/>
      <c r="YQ341" s="90"/>
      <c r="YR341" s="90"/>
      <c r="YS341" s="90"/>
      <c r="YT341" s="90"/>
      <c r="YU341" s="90"/>
      <c r="YV341" s="90"/>
      <c r="YW341" s="90"/>
      <c r="YX341" s="90"/>
      <c r="YY341" s="90"/>
      <c r="YZ341" s="90"/>
      <c r="ZA341" s="90"/>
      <c r="ZB341" s="90"/>
      <c r="ZC341" s="90"/>
      <c r="ZD341" s="90"/>
      <c r="ZE341" s="90"/>
      <c r="ZF341" s="90"/>
      <c r="ZG341" s="90"/>
      <c r="ZH341" s="90"/>
      <c r="ZI341" s="90"/>
      <c r="ZJ341" s="90"/>
      <c r="ZK341" s="90"/>
      <c r="ZL341" s="90"/>
      <c r="ZM341" s="90"/>
      <c r="ZN341" s="90"/>
      <c r="ZO341" s="90"/>
      <c r="ZP341" s="90"/>
      <c r="ZQ341" s="90"/>
      <c r="ZR341" s="90"/>
      <c r="ZS341" s="90"/>
      <c r="ZT341" s="90"/>
      <c r="ZU341" s="90"/>
      <c r="ZV341" s="90"/>
      <c r="ZW341" s="90"/>
      <c r="ZX341" s="90"/>
      <c r="ZY341" s="90"/>
      <c r="ZZ341" s="90"/>
      <c r="AAA341" s="90"/>
      <c r="AAB341" s="90"/>
      <c r="AAC341" s="90"/>
      <c r="AAD341" s="90"/>
      <c r="AAE341" s="90"/>
      <c r="AAF341" s="90"/>
      <c r="AAG341" s="90"/>
      <c r="AAH341" s="90"/>
      <c r="AAI341" s="90"/>
      <c r="AAJ341" s="90"/>
      <c r="AAK341" s="90"/>
      <c r="AAL341" s="90"/>
      <c r="AAM341" s="90"/>
      <c r="AAN341" s="90"/>
      <c r="AAO341" s="90"/>
      <c r="AAP341" s="90"/>
      <c r="AAQ341" s="90"/>
      <c r="AAR341" s="90"/>
      <c r="AAS341" s="90"/>
      <c r="AAT341" s="90"/>
      <c r="AAU341" s="90"/>
      <c r="AAV341" s="90"/>
      <c r="AAW341" s="90"/>
      <c r="AAX341" s="90"/>
      <c r="AAY341" s="90"/>
      <c r="AAZ341" s="90"/>
      <c r="ABA341" s="90"/>
      <c r="ABB341" s="90"/>
      <c r="ABC341" s="90"/>
      <c r="ABD341" s="90"/>
      <c r="ABE341" s="90"/>
      <c r="ABF341" s="90"/>
      <c r="ABG341" s="90"/>
      <c r="ABH341" s="90"/>
      <c r="ABI341" s="90"/>
      <c r="ABJ341" s="90"/>
      <c r="ABK341" s="90"/>
      <c r="ABL341" s="90"/>
      <c r="ABM341" s="90"/>
      <c r="ABN341" s="90"/>
      <c r="ABO341" s="90"/>
      <c r="ABP341" s="90"/>
      <c r="ABQ341" s="90"/>
      <c r="ABR341" s="90"/>
      <c r="ABS341" s="90"/>
      <c r="ABT341" s="90"/>
      <c r="ABU341" s="90"/>
      <c r="ABV341" s="90"/>
      <c r="ABW341" s="90"/>
      <c r="ABX341" s="90"/>
      <c r="ABY341" s="90"/>
      <c r="ABZ341" s="90"/>
      <c r="ACA341" s="90"/>
      <c r="ACB341" s="90"/>
      <c r="ACC341" s="90"/>
      <c r="ACD341" s="90"/>
      <c r="ACE341" s="90"/>
      <c r="ACF341" s="90"/>
      <c r="ACG341" s="90"/>
      <c r="ACH341" s="90"/>
      <c r="ACI341" s="90"/>
      <c r="ACJ341" s="90"/>
      <c r="ACK341" s="90"/>
      <c r="ACL341" s="90"/>
      <c r="ACM341" s="90"/>
      <c r="ACN341" s="90"/>
      <c r="ACO341" s="90"/>
      <c r="ACP341" s="90"/>
      <c r="ACQ341" s="90"/>
      <c r="ACR341" s="90"/>
      <c r="ACS341" s="90"/>
      <c r="ACT341" s="90"/>
      <c r="ACU341" s="90"/>
      <c r="ACV341" s="90"/>
      <c r="ACW341" s="90"/>
      <c r="ACX341" s="90"/>
      <c r="ACY341" s="90"/>
      <c r="ACZ341" s="90"/>
      <c r="ADA341" s="90"/>
      <c r="ADB341" s="90"/>
      <c r="ADC341" s="90"/>
      <c r="ADD341" s="90"/>
      <c r="ADE341" s="90"/>
      <c r="ADF341" s="90"/>
      <c r="ADG341" s="90"/>
      <c r="ADH341" s="90"/>
      <c r="ADI341" s="90"/>
      <c r="ADJ341" s="90"/>
      <c r="ADK341" s="90"/>
      <c r="ADL341" s="90"/>
      <c r="ADM341" s="90"/>
      <c r="ADN341" s="90"/>
      <c r="ADO341" s="90"/>
      <c r="ADP341" s="90"/>
      <c r="ADQ341" s="90"/>
      <c r="ADR341" s="90"/>
      <c r="ADS341" s="90"/>
      <c r="ADT341" s="90"/>
      <c r="ADU341" s="90"/>
      <c r="ADV341" s="90"/>
      <c r="ADW341" s="90"/>
      <c r="ADX341" s="90"/>
      <c r="ADY341" s="90"/>
      <c r="ADZ341" s="90"/>
      <c r="AEA341" s="90"/>
      <c r="AEB341" s="90"/>
      <c r="AEC341" s="90"/>
      <c r="AED341" s="90"/>
      <c r="AEE341" s="90"/>
      <c r="AEF341" s="90"/>
      <c r="AEG341" s="90"/>
      <c r="AEH341" s="90"/>
      <c r="AEI341" s="90"/>
      <c r="AEJ341" s="90"/>
      <c r="AEK341" s="90"/>
      <c r="AEL341" s="90"/>
      <c r="AEM341" s="90"/>
      <c r="AEN341" s="90"/>
      <c r="AEO341" s="90"/>
      <c r="AEP341" s="90"/>
      <c r="AEQ341" s="90"/>
      <c r="AER341" s="90"/>
      <c r="AES341" s="90"/>
      <c r="AET341" s="90"/>
      <c r="AEU341" s="90"/>
      <c r="AEV341" s="90"/>
      <c r="AEW341" s="90"/>
      <c r="AEX341" s="90"/>
      <c r="AEY341" s="90"/>
      <c r="AEZ341" s="90"/>
      <c r="AFA341" s="90"/>
      <c r="AFB341" s="90"/>
      <c r="AFC341" s="90"/>
      <c r="AFD341" s="90"/>
      <c r="AFE341" s="90"/>
      <c r="AFF341" s="90"/>
      <c r="AFG341" s="90"/>
      <c r="AFH341" s="90"/>
      <c r="AFI341" s="90"/>
      <c r="AFJ341" s="90"/>
      <c r="AFK341" s="90"/>
      <c r="AFL341" s="90"/>
      <c r="AFM341" s="90"/>
      <c r="AFN341" s="90"/>
      <c r="AFO341" s="90"/>
      <c r="AFP341" s="90"/>
      <c r="AFQ341" s="90"/>
      <c r="AFR341" s="90"/>
      <c r="AFS341" s="90"/>
      <c r="AFT341" s="90"/>
      <c r="AFU341" s="90"/>
      <c r="AFV341" s="90"/>
      <c r="AFW341" s="90"/>
      <c r="AFX341" s="90"/>
      <c r="AFY341" s="90"/>
      <c r="AFZ341" s="90"/>
      <c r="AGA341" s="90"/>
      <c r="AGB341" s="90"/>
      <c r="AGC341" s="90"/>
      <c r="AGD341" s="90"/>
      <c r="AGE341" s="90"/>
      <c r="AGF341" s="90"/>
      <c r="AGG341" s="90"/>
      <c r="AGH341" s="90"/>
      <c r="AGI341" s="90"/>
      <c r="AGJ341" s="90"/>
      <c r="AGK341" s="90"/>
      <c r="AGL341" s="90"/>
      <c r="AGM341" s="90"/>
      <c r="AGN341" s="90"/>
      <c r="AGO341" s="90"/>
      <c r="AGP341" s="90"/>
      <c r="AGQ341" s="90"/>
      <c r="AGR341" s="90"/>
      <c r="AGS341" s="90"/>
      <c r="AGT341" s="90"/>
      <c r="AGU341" s="90"/>
      <c r="AGV341" s="90"/>
      <c r="AGW341" s="90"/>
      <c r="AGX341" s="90"/>
      <c r="AGY341" s="90"/>
      <c r="AGZ341" s="90"/>
      <c r="AHA341" s="90"/>
      <c r="AHB341" s="90"/>
      <c r="AHC341" s="90"/>
      <c r="AHD341" s="90"/>
      <c r="AHE341" s="90"/>
      <c r="AHF341" s="90"/>
      <c r="AHG341" s="90"/>
      <c r="AHH341" s="90"/>
      <c r="AHI341" s="90"/>
      <c r="AHJ341" s="90"/>
      <c r="AHK341" s="90"/>
      <c r="AHL341" s="90"/>
      <c r="AHM341" s="90"/>
      <c r="AHN341" s="90"/>
      <c r="AHO341" s="90"/>
      <c r="AHP341" s="90"/>
      <c r="AHQ341" s="90"/>
      <c r="AHR341" s="90"/>
      <c r="AHS341" s="90"/>
      <c r="AHT341" s="90"/>
      <c r="AHU341" s="90"/>
      <c r="AHV341" s="90"/>
      <c r="AHW341" s="90"/>
      <c r="AHX341" s="90"/>
      <c r="AHY341" s="90"/>
      <c r="AHZ341" s="90"/>
      <c r="AIA341" s="90"/>
      <c r="AIB341" s="90"/>
      <c r="AIC341" s="90"/>
      <c r="AID341" s="90"/>
      <c r="AIE341" s="90"/>
      <c r="AIF341" s="90"/>
      <c r="AIG341" s="90"/>
      <c r="AIH341" s="90"/>
      <c r="AII341" s="90"/>
      <c r="AIJ341" s="90"/>
      <c r="AIK341" s="90"/>
      <c r="AIL341" s="90"/>
      <c r="AIM341" s="90"/>
      <c r="AIN341" s="90"/>
      <c r="AIO341" s="90"/>
      <c r="AIP341" s="90"/>
      <c r="AIQ341" s="90"/>
      <c r="AIR341" s="90"/>
      <c r="AIS341" s="90"/>
      <c r="AIT341" s="90"/>
      <c r="AIU341" s="90"/>
      <c r="AIV341" s="90"/>
      <c r="AIW341" s="90"/>
      <c r="AIX341" s="90"/>
      <c r="AIY341" s="90"/>
      <c r="AIZ341" s="90"/>
      <c r="AJA341" s="90"/>
      <c r="AJB341" s="90"/>
      <c r="AJC341" s="90"/>
      <c r="AJD341" s="90"/>
      <c r="AJE341" s="90"/>
      <c r="AJF341" s="90"/>
      <c r="AJG341" s="90"/>
      <c r="AJH341" s="90"/>
      <c r="AJI341" s="90"/>
      <c r="AJJ341" s="90"/>
      <c r="AJK341" s="90"/>
      <c r="AJL341" s="90"/>
      <c r="AJM341" s="90"/>
      <c r="AJN341" s="90"/>
      <c r="AJO341" s="90"/>
      <c r="AJP341" s="90"/>
      <c r="AJQ341" s="90"/>
      <c r="AJR341" s="90"/>
      <c r="AJS341" s="90"/>
      <c r="AJT341" s="90"/>
      <c r="AJU341" s="90"/>
      <c r="AJV341" s="90"/>
      <c r="AJW341" s="90"/>
      <c r="AJX341" s="90"/>
      <c r="AJY341" s="90"/>
      <c r="AJZ341" s="90"/>
      <c r="AKA341" s="90"/>
      <c r="AKB341" s="90"/>
      <c r="AKC341" s="90"/>
      <c r="AKD341" s="90"/>
      <c r="AKE341" s="90"/>
      <c r="AKF341" s="90"/>
      <c r="AKG341" s="90"/>
      <c r="AKH341" s="90"/>
      <c r="AKI341" s="90"/>
      <c r="AKJ341" s="90"/>
      <c r="AKK341" s="90"/>
      <c r="AKL341" s="90"/>
      <c r="AKM341" s="90"/>
      <c r="AKN341" s="90"/>
      <c r="AKO341" s="90"/>
      <c r="AKP341" s="90"/>
      <c r="AKQ341" s="90"/>
      <c r="AKR341" s="90"/>
      <c r="AKS341" s="90"/>
      <c r="AKT341" s="90"/>
      <c r="AKU341" s="90"/>
      <c r="AKV341" s="90"/>
      <c r="AKW341" s="90"/>
      <c r="AKX341" s="90"/>
      <c r="AKY341" s="90"/>
      <c r="AKZ341" s="90"/>
      <c r="ALA341" s="90"/>
      <c r="ALB341" s="90"/>
      <c r="ALC341" s="90"/>
      <c r="ALD341" s="90"/>
      <c r="ALE341" s="90"/>
      <c r="ALF341" s="90"/>
      <c r="ALG341" s="90"/>
      <c r="ALH341" s="90"/>
      <c r="ALI341" s="90"/>
      <c r="ALJ341" s="90"/>
      <c r="ALK341" s="90"/>
      <c r="ALL341" s="90"/>
      <c r="ALM341" s="90"/>
      <c r="ALN341" s="90"/>
      <c r="ALO341" s="90"/>
      <c r="ALP341" s="90"/>
      <c r="ALQ341" s="90"/>
      <c r="ALR341" s="90"/>
      <c r="ALS341" s="90"/>
      <c r="ALT341" s="90"/>
      <c r="ALU341" s="90"/>
      <c r="ALV341" s="90"/>
      <c r="ALW341" s="90"/>
      <c r="ALX341" s="90"/>
      <c r="ALY341" s="90"/>
      <c r="ALZ341" s="90"/>
      <c r="AMA341" s="90"/>
      <c r="AMB341" s="90"/>
      <c r="AMC341" s="90"/>
    </row>
    <row r="342" spans="1:1017">
      <c r="A342" s="98" t="s">
        <v>53</v>
      </c>
      <c r="B342" s="90" t="str">
        <f t="shared" si="1838"/>
        <v>Udang Putih</v>
      </c>
      <c r="E342" s="98">
        <v>86700</v>
      </c>
      <c r="F342" s="98">
        <v>3468000</v>
      </c>
      <c r="Q342" s="91">
        <f t="shared" si="1839"/>
        <v>86700</v>
      </c>
      <c r="R342" s="91">
        <f t="shared" si="1840"/>
        <v>3468000</v>
      </c>
      <c r="AG342" s="91">
        <f t="shared" si="1841"/>
        <v>0</v>
      </c>
      <c r="AH342" s="91">
        <f t="shared" si="1842"/>
        <v>0</v>
      </c>
      <c r="AW342" s="91">
        <f t="shared" si="1843"/>
        <v>0</v>
      </c>
      <c r="AX342" s="91">
        <f t="shared" si="1844"/>
        <v>0</v>
      </c>
      <c r="BM342" s="91">
        <f t="shared" si="1845"/>
        <v>0</v>
      </c>
      <c r="BN342" s="91">
        <f t="shared" si="1846"/>
        <v>0</v>
      </c>
      <c r="CC342" s="91">
        <f t="shared" si="1847"/>
        <v>0</v>
      </c>
      <c r="CD342" s="91">
        <f t="shared" si="1848"/>
        <v>0</v>
      </c>
      <c r="CS342" s="91">
        <f t="shared" si="1849"/>
        <v>0</v>
      </c>
      <c r="CT342" s="91">
        <f t="shared" si="1850"/>
        <v>0</v>
      </c>
      <c r="DI342" s="91">
        <f t="shared" si="1851"/>
        <v>0</v>
      </c>
      <c r="DJ342" s="91">
        <f t="shared" si="1852"/>
        <v>0</v>
      </c>
      <c r="DY342" s="91">
        <f t="shared" si="1853"/>
        <v>0</v>
      </c>
      <c r="DZ342" s="91">
        <f t="shared" si="1854"/>
        <v>0</v>
      </c>
      <c r="EO342" s="91">
        <f t="shared" si="1855"/>
        <v>0</v>
      </c>
      <c r="EP342" s="91">
        <f t="shared" si="1856"/>
        <v>0</v>
      </c>
      <c r="FE342" s="91">
        <f t="shared" si="1857"/>
        <v>0</v>
      </c>
      <c r="FF342" s="91">
        <f t="shared" si="1858"/>
        <v>0</v>
      </c>
      <c r="FU342" s="91">
        <f t="shared" si="1859"/>
        <v>0</v>
      </c>
      <c r="FV342" s="91">
        <f t="shared" si="1860"/>
        <v>0</v>
      </c>
      <c r="GK342" s="91">
        <f t="shared" si="1861"/>
        <v>0</v>
      </c>
      <c r="GL342" s="91">
        <f t="shared" si="1862"/>
        <v>0</v>
      </c>
      <c r="HA342" s="91">
        <f t="shared" si="1863"/>
        <v>0</v>
      </c>
      <c r="HB342" s="91">
        <f t="shared" si="1864"/>
        <v>0</v>
      </c>
      <c r="HQ342" s="91">
        <f t="shared" si="1865"/>
        <v>0</v>
      </c>
      <c r="HR342" s="91">
        <f t="shared" si="1866"/>
        <v>0</v>
      </c>
      <c r="IG342" s="91">
        <f t="shared" si="1867"/>
        <v>0</v>
      </c>
      <c r="IH342" s="91">
        <f t="shared" si="1868"/>
        <v>0</v>
      </c>
      <c r="IW342" s="91">
        <f t="shared" si="1869"/>
        <v>0</v>
      </c>
      <c r="IX342" s="91">
        <f t="shared" si="1870"/>
        <v>0</v>
      </c>
      <c r="JM342" s="91">
        <f t="shared" si="1871"/>
        <v>0</v>
      </c>
      <c r="JN342" s="91">
        <f t="shared" si="1872"/>
        <v>0</v>
      </c>
      <c r="KC342" s="91">
        <f t="shared" si="1873"/>
        <v>0</v>
      </c>
      <c r="KD342" s="91">
        <f t="shared" si="1874"/>
        <v>0</v>
      </c>
      <c r="KS342" s="91">
        <f t="shared" si="1875"/>
        <v>0</v>
      </c>
      <c r="KT342" s="91">
        <f t="shared" si="1876"/>
        <v>0</v>
      </c>
      <c r="LI342" s="91">
        <f t="shared" si="1877"/>
        <v>0</v>
      </c>
      <c r="LJ342" s="91">
        <f t="shared" si="1878"/>
        <v>0</v>
      </c>
      <c r="LY342" s="91">
        <f t="shared" si="1879"/>
        <v>0</v>
      </c>
      <c r="LZ342" s="91">
        <f t="shared" si="1880"/>
        <v>0</v>
      </c>
      <c r="MC342" s="98">
        <v>8730</v>
      </c>
      <c r="MD342" s="98">
        <v>349200</v>
      </c>
      <c r="MO342" s="91">
        <f t="shared" si="1881"/>
        <v>8730</v>
      </c>
      <c r="MP342" s="91">
        <f t="shared" si="1882"/>
        <v>349200</v>
      </c>
      <c r="NE342" s="91">
        <f t="shared" si="1883"/>
        <v>0</v>
      </c>
      <c r="NF342" s="91">
        <f t="shared" si="1884"/>
        <v>0</v>
      </c>
      <c r="NI342" s="98">
        <v>102300</v>
      </c>
      <c r="NJ342" s="98">
        <v>4603500</v>
      </c>
      <c r="NU342" s="91">
        <f t="shared" si="1885"/>
        <v>102300</v>
      </c>
      <c r="NV342" s="91">
        <f t="shared" si="1886"/>
        <v>4603500</v>
      </c>
      <c r="OK342" s="91">
        <f t="shared" si="1887"/>
        <v>0</v>
      </c>
      <c r="OL342" s="91">
        <f t="shared" si="1888"/>
        <v>0</v>
      </c>
      <c r="PA342" s="91">
        <f t="shared" si="1889"/>
        <v>0</v>
      </c>
      <c r="PB342" s="91">
        <f t="shared" si="1890"/>
        <v>0</v>
      </c>
      <c r="PQ342" s="91">
        <f t="shared" si="1891"/>
        <v>0</v>
      </c>
      <c r="PR342" s="91">
        <f t="shared" si="1892"/>
        <v>0</v>
      </c>
      <c r="QG342" s="91">
        <f t="shared" si="1893"/>
        <v>0</v>
      </c>
      <c r="QH342" s="91">
        <f t="shared" si="1894"/>
        <v>0</v>
      </c>
      <c r="QW342" s="91">
        <f t="shared" si="1895"/>
        <v>0</v>
      </c>
      <c r="QX342" s="91">
        <f t="shared" si="1896"/>
        <v>0</v>
      </c>
      <c r="RM342" s="91">
        <f t="shared" si="1897"/>
        <v>0</v>
      </c>
      <c r="RN342" s="91">
        <f t="shared" si="1898"/>
        <v>0</v>
      </c>
      <c r="SC342" s="91">
        <f t="shared" si="1899"/>
        <v>0</v>
      </c>
      <c r="SD342" s="91">
        <f t="shared" si="1900"/>
        <v>0</v>
      </c>
      <c r="SS342" s="91">
        <f t="shared" si="1901"/>
        <v>0</v>
      </c>
      <c r="ST342" s="91">
        <f t="shared" si="1902"/>
        <v>0</v>
      </c>
      <c r="TI342" s="91">
        <f t="shared" si="1903"/>
        <v>0</v>
      </c>
      <c r="TJ342" s="91">
        <f t="shared" si="1904"/>
        <v>0</v>
      </c>
      <c r="TY342" s="91">
        <f t="shared" si="1905"/>
        <v>0</v>
      </c>
      <c r="TZ342" s="91">
        <f t="shared" si="1906"/>
        <v>0</v>
      </c>
      <c r="UO342" s="91">
        <f t="shared" si="1907"/>
        <v>0</v>
      </c>
      <c r="UP342" s="91">
        <f t="shared" si="1908"/>
        <v>0</v>
      </c>
      <c r="VE342" s="91">
        <f t="shared" si="1909"/>
        <v>0</v>
      </c>
      <c r="VF342" s="91">
        <f t="shared" si="1910"/>
        <v>0</v>
      </c>
      <c r="VI342" s="98">
        <v>157</v>
      </c>
      <c r="VJ342" s="98">
        <v>7850</v>
      </c>
      <c r="VU342" s="91">
        <f t="shared" si="1911"/>
        <v>157</v>
      </c>
      <c r="VV342" s="91">
        <f t="shared" si="1912"/>
        <v>7850</v>
      </c>
      <c r="WK342" s="91">
        <f t="shared" si="1913"/>
        <v>0</v>
      </c>
      <c r="WL342" s="91">
        <f t="shared" si="1914"/>
        <v>0</v>
      </c>
      <c r="WM342" s="89"/>
      <c r="WN342" s="87">
        <f t="shared" si="1915"/>
        <v>0</v>
      </c>
      <c r="WO342" s="87">
        <f t="shared" si="1916"/>
        <v>0</v>
      </c>
      <c r="WP342" s="87">
        <f t="shared" si="1917"/>
        <v>197887</v>
      </c>
      <c r="WQ342" s="87">
        <f t="shared" si="1918"/>
        <v>8428550</v>
      </c>
      <c r="WR342" s="87">
        <f t="shared" si="1919"/>
        <v>0</v>
      </c>
      <c r="WS342" s="87">
        <f t="shared" si="1920"/>
        <v>0</v>
      </c>
      <c r="WT342" s="87">
        <f t="shared" si="1921"/>
        <v>0</v>
      </c>
      <c r="WU342" s="87">
        <f t="shared" si="1922"/>
        <v>0</v>
      </c>
      <c r="WV342" s="87">
        <f t="shared" si="1923"/>
        <v>0</v>
      </c>
      <c r="WW342" s="87">
        <f t="shared" si="1924"/>
        <v>0</v>
      </c>
      <c r="WX342" s="87">
        <f t="shared" si="1925"/>
        <v>0</v>
      </c>
      <c r="WY342" s="87">
        <f t="shared" si="1926"/>
        <v>0</v>
      </c>
      <c r="WZ342" s="87">
        <f t="shared" si="1933"/>
        <v>0</v>
      </c>
      <c r="XA342" s="87">
        <f t="shared" si="1934"/>
        <v>0</v>
      </c>
      <c r="XB342" s="92">
        <f t="shared" si="1935"/>
        <v>197887</v>
      </c>
      <c r="XC342" s="92">
        <f t="shared" si="1936"/>
        <v>8428550</v>
      </c>
      <c r="XD342" s="89"/>
      <c r="XE342" s="92"/>
      <c r="XF342" s="92"/>
      <c r="XG342" s="89"/>
      <c r="XH342" s="92"/>
      <c r="XI342" s="92"/>
      <c r="XJ342" s="89"/>
      <c r="XK342" s="87"/>
      <c r="XL342" s="87"/>
      <c r="XM342" s="87"/>
      <c r="XN342" s="87"/>
      <c r="XO342" s="87"/>
      <c r="XP342" s="87"/>
      <c r="XQ342" s="87"/>
      <c r="XR342" s="92">
        <f t="shared" ca="1" si="1931"/>
        <v>0</v>
      </c>
      <c r="XS342" s="89"/>
      <c r="XT342" s="87"/>
      <c r="XU342" s="87"/>
      <c r="XV342" s="87"/>
      <c r="XW342" s="87"/>
      <c r="XX342" s="87"/>
      <c r="XY342" s="87"/>
      <c r="XZ342" s="87"/>
      <c r="YA342" s="92">
        <f t="shared" ca="1" si="1932"/>
        <v>0</v>
      </c>
      <c r="YB342" s="90"/>
      <c r="YC342" s="90"/>
      <c r="YD342" s="90"/>
      <c r="YE342" s="90"/>
      <c r="YF342" s="90"/>
      <c r="YG342" s="90"/>
      <c r="YH342" s="90"/>
      <c r="YI342" s="90"/>
      <c r="YJ342" s="90"/>
      <c r="YK342" s="90"/>
      <c r="YL342" s="90"/>
      <c r="YM342" s="90"/>
      <c r="YN342" s="90"/>
      <c r="YO342" s="90"/>
      <c r="YP342" s="90"/>
      <c r="YQ342" s="90"/>
      <c r="YR342" s="90"/>
      <c r="YS342" s="90"/>
      <c r="YT342" s="90"/>
      <c r="YU342" s="90"/>
      <c r="YV342" s="90"/>
      <c r="YW342" s="90"/>
      <c r="YX342" s="90"/>
      <c r="YY342" s="90"/>
      <c r="YZ342" s="90"/>
      <c r="ZA342" s="90"/>
      <c r="ZB342" s="90"/>
      <c r="ZC342" s="90"/>
      <c r="ZD342" s="90"/>
      <c r="ZE342" s="90"/>
      <c r="ZF342" s="90"/>
      <c r="ZG342" s="90"/>
      <c r="ZH342" s="90"/>
      <c r="ZI342" s="90"/>
      <c r="ZJ342" s="90"/>
      <c r="ZK342" s="90"/>
      <c r="ZL342" s="90"/>
      <c r="ZM342" s="90"/>
      <c r="ZN342" s="90"/>
      <c r="ZO342" s="90"/>
      <c r="ZP342" s="90"/>
      <c r="ZQ342" s="90"/>
      <c r="ZR342" s="90"/>
      <c r="ZS342" s="90"/>
      <c r="ZT342" s="90"/>
      <c r="ZU342" s="90"/>
      <c r="ZV342" s="90"/>
      <c r="ZW342" s="90"/>
      <c r="ZX342" s="90"/>
      <c r="ZY342" s="90"/>
      <c r="ZZ342" s="90"/>
      <c r="AAA342" s="90"/>
      <c r="AAB342" s="90"/>
      <c r="AAC342" s="90"/>
      <c r="AAD342" s="90"/>
      <c r="AAE342" s="90"/>
      <c r="AAF342" s="90"/>
      <c r="AAG342" s="90"/>
      <c r="AAH342" s="90"/>
      <c r="AAI342" s="90"/>
      <c r="AAJ342" s="90"/>
      <c r="AAK342" s="90"/>
      <c r="AAL342" s="90"/>
      <c r="AAM342" s="90"/>
      <c r="AAN342" s="90"/>
      <c r="AAO342" s="90"/>
      <c r="AAP342" s="90"/>
      <c r="AAQ342" s="90"/>
      <c r="AAR342" s="90"/>
      <c r="AAS342" s="90"/>
      <c r="AAT342" s="90"/>
      <c r="AAU342" s="90"/>
      <c r="AAV342" s="90"/>
      <c r="AAW342" s="90"/>
      <c r="AAX342" s="90"/>
      <c r="AAY342" s="90"/>
      <c r="AAZ342" s="90"/>
      <c r="ABA342" s="90"/>
      <c r="ABB342" s="90"/>
      <c r="ABC342" s="90"/>
      <c r="ABD342" s="90"/>
      <c r="ABE342" s="90"/>
      <c r="ABF342" s="90"/>
      <c r="ABG342" s="90"/>
      <c r="ABH342" s="90"/>
      <c r="ABI342" s="90"/>
      <c r="ABJ342" s="90"/>
      <c r="ABK342" s="90"/>
      <c r="ABL342" s="90"/>
      <c r="ABM342" s="90"/>
      <c r="ABN342" s="90"/>
      <c r="ABO342" s="90"/>
      <c r="ABP342" s="90"/>
      <c r="ABQ342" s="90"/>
      <c r="ABR342" s="90"/>
      <c r="ABS342" s="90"/>
      <c r="ABT342" s="90"/>
      <c r="ABU342" s="90"/>
      <c r="ABV342" s="90"/>
      <c r="ABW342" s="90"/>
      <c r="ABX342" s="90"/>
      <c r="ABY342" s="90"/>
      <c r="ABZ342" s="90"/>
      <c r="ACA342" s="90"/>
      <c r="ACB342" s="90"/>
      <c r="ACC342" s="90"/>
      <c r="ACD342" s="90"/>
      <c r="ACE342" s="90"/>
      <c r="ACF342" s="90"/>
      <c r="ACG342" s="90"/>
      <c r="ACH342" s="90"/>
      <c r="ACI342" s="90"/>
      <c r="ACJ342" s="90"/>
      <c r="ACK342" s="90"/>
      <c r="ACL342" s="90"/>
      <c r="ACM342" s="90"/>
      <c r="ACN342" s="90"/>
      <c r="ACO342" s="90"/>
      <c r="ACP342" s="90"/>
      <c r="ACQ342" s="90"/>
      <c r="ACR342" s="90"/>
      <c r="ACS342" s="90"/>
      <c r="ACT342" s="90"/>
      <c r="ACU342" s="90"/>
      <c r="ACV342" s="90"/>
      <c r="ACW342" s="90"/>
      <c r="ACX342" s="90"/>
      <c r="ACY342" s="90"/>
      <c r="ACZ342" s="90"/>
      <c r="ADA342" s="90"/>
      <c r="ADB342" s="90"/>
      <c r="ADC342" s="90"/>
      <c r="ADD342" s="90"/>
      <c r="ADE342" s="90"/>
      <c r="ADF342" s="90"/>
      <c r="ADG342" s="90"/>
      <c r="ADH342" s="90"/>
      <c r="ADI342" s="90"/>
      <c r="ADJ342" s="90"/>
      <c r="ADK342" s="90"/>
      <c r="ADL342" s="90"/>
      <c r="ADM342" s="90"/>
      <c r="ADN342" s="90"/>
      <c r="ADO342" s="90"/>
      <c r="ADP342" s="90"/>
      <c r="ADQ342" s="90"/>
      <c r="ADR342" s="90"/>
      <c r="ADS342" s="90"/>
      <c r="ADT342" s="90"/>
      <c r="ADU342" s="90"/>
      <c r="ADV342" s="90"/>
      <c r="ADW342" s="90"/>
      <c r="ADX342" s="90"/>
      <c r="ADY342" s="90"/>
      <c r="ADZ342" s="90"/>
      <c r="AEA342" s="90"/>
      <c r="AEB342" s="90"/>
      <c r="AEC342" s="90"/>
      <c r="AED342" s="90"/>
      <c r="AEE342" s="90"/>
      <c r="AEF342" s="90"/>
      <c r="AEG342" s="90"/>
      <c r="AEH342" s="90"/>
      <c r="AEI342" s="90"/>
      <c r="AEJ342" s="90"/>
      <c r="AEK342" s="90"/>
      <c r="AEL342" s="90"/>
      <c r="AEM342" s="90"/>
      <c r="AEN342" s="90"/>
      <c r="AEO342" s="90"/>
      <c r="AEP342" s="90"/>
      <c r="AEQ342" s="90"/>
      <c r="AER342" s="90"/>
      <c r="AES342" s="90"/>
      <c r="AET342" s="90"/>
      <c r="AEU342" s="90"/>
      <c r="AEV342" s="90"/>
      <c r="AEW342" s="90"/>
      <c r="AEX342" s="90"/>
      <c r="AEY342" s="90"/>
      <c r="AEZ342" s="90"/>
      <c r="AFA342" s="90"/>
      <c r="AFB342" s="90"/>
      <c r="AFC342" s="90"/>
      <c r="AFD342" s="90"/>
      <c r="AFE342" s="90"/>
      <c r="AFF342" s="90"/>
      <c r="AFG342" s="90"/>
      <c r="AFH342" s="90"/>
      <c r="AFI342" s="90"/>
      <c r="AFJ342" s="90"/>
      <c r="AFK342" s="90"/>
      <c r="AFL342" s="90"/>
      <c r="AFM342" s="90"/>
      <c r="AFN342" s="90"/>
      <c r="AFO342" s="90"/>
      <c r="AFP342" s="90"/>
      <c r="AFQ342" s="90"/>
      <c r="AFR342" s="90"/>
      <c r="AFS342" s="90"/>
      <c r="AFT342" s="90"/>
      <c r="AFU342" s="90"/>
      <c r="AFV342" s="90"/>
      <c r="AFW342" s="90"/>
      <c r="AFX342" s="90"/>
      <c r="AFY342" s="90"/>
      <c r="AFZ342" s="90"/>
      <c r="AGA342" s="90"/>
      <c r="AGB342" s="90"/>
      <c r="AGC342" s="90"/>
      <c r="AGD342" s="90"/>
      <c r="AGE342" s="90"/>
      <c r="AGF342" s="90"/>
      <c r="AGG342" s="90"/>
      <c r="AGH342" s="90"/>
      <c r="AGI342" s="90"/>
      <c r="AGJ342" s="90"/>
      <c r="AGK342" s="90"/>
      <c r="AGL342" s="90"/>
      <c r="AGM342" s="90"/>
      <c r="AGN342" s="90"/>
      <c r="AGO342" s="90"/>
      <c r="AGP342" s="90"/>
      <c r="AGQ342" s="90"/>
      <c r="AGR342" s="90"/>
      <c r="AGS342" s="90"/>
      <c r="AGT342" s="90"/>
      <c r="AGU342" s="90"/>
      <c r="AGV342" s="90"/>
      <c r="AGW342" s="90"/>
      <c r="AGX342" s="90"/>
      <c r="AGY342" s="90"/>
      <c r="AGZ342" s="90"/>
      <c r="AHA342" s="90"/>
      <c r="AHB342" s="90"/>
      <c r="AHC342" s="90"/>
      <c r="AHD342" s="90"/>
      <c r="AHE342" s="90"/>
      <c r="AHF342" s="90"/>
      <c r="AHG342" s="90"/>
      <c r="AHH342" s="90"/>
      <c r="AHI342" s="90"/>
      <c r="AHJ342" s="90"/>
      <c r="AHK342" s="90"/>
      <c r="AHL342" s="90"/>
      <c r="AHM342" s="90"/>
      <c r="AHN342" s="90"/>
      <c r="AHO342" s="90"/>
      <c r="AHP342" s="90"/>
      <c r="AHQ342" s="90"/>
      <c r="AHR342" s="90"/>
      <c r="AHS342" s="90"/>
      <c r="AHT342" s="90"/>
      <c r="AHU342" s="90"/>
      <c r="AHV342" s="90"/>
      <c r="AHW342" s="90"/>
      <c r="AHX342" s="90"/>
      <c r="AHY342" s="90"/>
      <c r="AHZ342" s="90"/>
      <c r="AIA342" s="90"/>
      <c r="AIB342" s="90"/>
      <c r="AIC342" s="90"/>
      <c r="AID342" s="90"/>
      <c r="AIE342" s="90"/>
      <c r="AIF342" s="90"/>
      <c r="AIG342" s="90"/>
      <c r="AIH342" s="90"/>
      <c r="AII342" s="90"/>
      <c r="AIJ342" s="90"/>
      <c r="AIK342" s="90"/>
      <c r="AIL342" s="90"/>
      <c r="AIM342" s="90"/>
      <c r="AIN342" s="90"/>
      <c r="AIO342" s="90"/>
      <c r="AIP342" s="90"/>
      <c r="AIQ342" s="90"/>
      <c r="AIR342" s="90"/>
      <c r="AIS342" s="90"/>
      <c r="AIT342" s="90"/>
      <c r="AIU342" s="90"/>
      <c r="AIV342" s="90"/>
      <c r="AIW342" s="90"/>
      <c r="AIX342" s="90"/>
      <c r="AIY342" s="90"/>
      <c r="AIZ342" s="90"/>
      <c r="AJA342" s="90"/>
      <c r="AJB342" s="90"/>
      <c r="AJC342" s="90"/>
      <c r="AJD342" s="90"/>
      <c r="AJE342" s="90"/>
      <c r="AJF342" s="90"/>
      <c r="AJG342" s="90"/>
      <c r="AJH342" s="90"/>
      <c r="AJI342" s="90"/>
      <c r="AJJ342" s="90"/>
      <c r="AJK342" s="90"/>
      <c r="AJL342" s="90"/>
      <c r="AJM342" s="90"/>
      <c r="AJN342" s="90"/>
      <c r="AJO342" s="90"/>
      <c r="AJP342" s="90"/>
      <c r="AJQ342" s="90"/>
      <c r="AJR342" s="90"/>
      <c r="AJS342" s="90"/>
      <c r="AJT342" s="90"/>
      <c r="AJU342" s="90"/>
      <c r="AJV342" s="90"/>
      <c r="AJW342" s="90"/>
      <c r="AJX342" s="90"/>
      <c r="AJY342" s="90"/>
      <c r="AJZ342" s="90"/>
      <c r="AKA342" s="90"/>
      <c r="AKB342" s="90"/>
      <c r="AKC342" s="90"/>
      <c r="AKD342" s="90"/>
      <c r="AKE342" s="90"/>
      <c r="AKF342" s="90"/>
      <c r="AKG342" s="90"/>
      <c r="AKH342" s="90"/>
      <c r="AKI342" s="90"/>
      <c r="AKJ342" s="90"/>
      <c r="AKK342" s="90"/>
      <c r="AKL342" s="90"/>
      <c r="AKM342" s="90"/>
      <c r="AKN342" s="90"/>
      <c r="AKO342" s="90"/>
      <c r="AKP342" s="90"/>
      <c r="AKQ342" s="90"/>
      <c r="AKR342" s="90"/>
      <c r="AKS342" s="90"/>
      <c r="AKT342" s="90"/>
      <c r="AKU342" s="90"/>
      <c r="AKV342" s="90"/>
      <c r="AKW342" s="90"/>
      <c r="AKX342" s="90"/>
      <c r="AKY342" s="90"/>
      <c r="AKZ342" s="90"/>
      <c r="ALA342" s="90"/>
      <c r="ALB342" s="90"/>
      <c r="ALC342" s="90"/>
      <c r="ALD342" s="90"/>
      <c r="ALE342" s="90"/>
      <c r="ALF342" s="90"/>
      <c r="ALG342" s="90"/>
      <c r="ALH342" s="90"/>
      <c r="ALI342" s="90"/>
      <c r="ALJ342" s="90"/>
      <c r="ALK342" s="90"/>
      <c r="ALL342" s="90"/>
      <c r="ALM342" s="90"/>
      <c r="ALN342" s="90"/>
      <c r="ALO342" s="90"/>
      <c r="ALP342" s="90"/>
      <c r="ALQ342" s="90"/>
      <c r="ALR342" s="90"/>
      <c r="ALS342" s="90"/>
      <c r="ALT342" s="90"/>
      <c r="ALU342" s="90"/>
      <c r="ALV342" s="90"/>
      <c r="ALW342" s="90"/>
      <c r="ALX342" s="90"/>
      <c r="ALY342" s="90"/>
      <c r="ALZ342" s="90"/>
      <c r="AMA342" s="90"/>
      <c r="AMB342" s="90"/>
      <c r="AMC342" s="90"/>
    </row>
    <row r="343" spans="1:1017">
      <c r="A343" s="98" t="s">
        <v>53</v>
      </c>
      <c r="B343" s="90" t="str">
        <f t="shared" si="1838"/>
        <v xml:space="preserve">Udang Vaname </v>
      </c>
      <c r="E343" s="98">
        <v>37900</v>
      </c>
      <c r="F343" s="98">
        <v>2568840</v>
      </c>
      <c r="Q343" s="91">
        <f t="shared" si="1839"/>
        <v>37900</v>
      </c>
      <c r="R343" s="91">
        <f t="shared" si="1840"/>
        <v>2568840</v>
      </c>
      <c r="U343" s="98">
        <v>1649405</v>
      </c>
      <c r="V343" s="98">
        <v>90717275</v>
      </c>
      <c r="AG343" s="91">
        <f t="shared" si="1841"/>
        <v>1649405</v>
      </c>
      <c r="AH343" s="91">
        <f t="shared" si="1842"/>
        <v>90717275</v>
      </c>
      <c r="AK343" s="98">
        <v>37700</v>
      </c>
      <c r="AL343" s="98">
        <v>2450500</v>
      </c>
      <c r="AW343" s="91">
        <f t="shared" si="1843"/>
        <v>37700</v>
      </c>
      <c r="AX343" s="91">
        <f t="shared" si="1844"/>
        <v>2450500</v>
      </c>
      <c r="BM343" s="91">
        <f t="shared" si="1845"/>
        <v>0</v>
      </c>
      <c r="BN343" s="91">
        <f t="shared" si="1846"/>
        <v>0</v>
      </c>
      <c r="CC343" s="91">
        <f t="shared" si="1847"/>
        <v>0</v>
      </c>
      <c r="CD343" s="91">
        <f t="shared" si="1848"/>
        <v>0</v>
      </c>
      <c r="CG343" s="98">
        <v>1681378</v>
      </c>
      <c r="CH343" s="98">
        <v>84068891</v>
      </c>
      <c r="CS343" s="91">
        <f t="shared" si="1849"/>
        <v>1681378</v>
      </c>
      <c r="CT343" s="91">
        <f t="shared" si="1850"/>
        <v>84068891</v>
      </c>
      <c r="CW343" s="98">
        <v>450529.00004246336</v>
      </c>
      <c r="CX343" s="98">
        <v>24779095.004000001</v>
      </c>
      <c r="DI343" s="91">
        <f t="shared" si="1851"/>
        <v>450529.00004246336</v>
      </c>
      <c r="DJ343" s="91">
        <f t="shared" si="1852"/>
        <v>24779095.004000001</v>
      </c>
      <c r="DY343" s="91">
        <f t="shared" si="1853"/>
        <v>0</v>
      </c>
      <c r="DZ343" s="91">
        <f t="shared" si="1854"/>
        <v>0</v>
      </c>
      <c r="EO343" s="91">
        <f t="shared" si="1855"/>
        <v>0</v>
      </c>
      <c r="EP343" s="91">
        <f t="shared" si="1856"/>
        <v>0</v>
      </c>
      <c r="ES343" s="98">
        <v>107082</v>
      </c>
      <c r="ET343" s="98">
        <v>4283280</v>
      </c>
      <c r="EW343" s="98">
        <v>48682</v>
      </c>
      <c r="EX343" s="98">
        <v>1947280</v>
      </c>
      <c r="FE343" s="91">
        <f t="shared" si="1857"/>
        <v>155764</v>
      </c>
      <c r="FF343" s="91">
        <f t="shared" si="1858"/>
        <v>6230560</v>
      </c>
      <c r="FI343" s="98">
        <v>118000</v>
      </c>
      <c r="FJ343" s="98">
        <v>7080000</v>
      </c>
      <c r="FU343" s="91">
        <f t="shared" si="1859"/>
        <v>118000</v>
      </c>
      <c r="FV343" s="91">
        <f t="shared" si="1860"/>
        <v>7080000</v>
      </c>
      <c r="GK343" s="91">
        <f t="shared" si="1861"/>
        <v>0</v>
      </c>
      <c r="GL343" s="91">
        <f t="shared" si="1862"/>
        <v>0</v>
      </c>
      <c r="HA343" s="91">
        <f t="shared" si="1863"/>
        <v>0</v>
      </c>
      <c r="HB343" s="91">
        <f t="shared" si="1864"/>
        <v>0</v>
      </c>
      <c r="HE343" s="98">
        <v>105000</v>
      </c>
      <c r="HF343" s="98">
        <v>7350000</v>
      </c>
      <c r="HQ343" s="91">
        <f t="shared" si="1865"/>
        <v>105000</v>
      </c>
      <c r="HR343" s="91">
        <f t="shared" si="1866"/>
        <v>7350000</v>
      </c>
      <c r="IG343" s="91">
        <f t="shared" si="1867"/>
        <v>0</v>
      </c>
      <c r="IH343" s="91">
        <f t="shared" si="1868"/>
        <v>0</v>
      </c>
      <c r="IW343" s="91">
        <f t="shared" si="1869"/>
        <v>0</v>
      </c>
      <c r="IX343" s="91">
        <f t="shared" si="1870"/>
        <v>0</v>
      </c>
      <c r="JM343" s="91">
        <f t="shared" si="1871"/>
        <v>0</v>
      </c>
      <c r="JN343" s="91">
        <f t="shared" si="1872"/>
        <v>0</v>
      </c>
      <c r="JQ343" s="98">
        <v>234700</v>
      </c>
      <c r="JR343" s="98">
        <v>18776000</v>
      </c>
      <c r="KC343" s="91">
        <f t="shared" si="1873"/>
        <v>234700</v>
      </c>
      <c r="KD343" s="91">
        <f t="shared" si="1874"/>
        <v>18776000</v>
      </c>
      <c r="KG343" s="98">
        <v>35548</v>
      </c>
      <c r="KH343" s="98">
        <v>1955140</v>
      </c>
      <c r="KS343" s="91">
        <f t="shared" si="1875"/>
        <v>35548</v>
      </c>
      <c r="KT343" s="91">
        <f t="shared" si="1876"/>
        <v>1955140</v>
      </c>
      <c r="KW343" s="98">
        <v>37176.15</v>
      </c>
      <c r="KX343" s="98">
        <v>1858807</v>
      </c>
      <c r="LI343" s="91">
        <f t="shared" si="1877"/>
        <v>37176.15</v>
      </c>
      <c r="LJ343" s="91">
        <f t="shared" si="1878"/>
        <v>1858807</v>
      </c>
      <c r="LY343" s="91">
        <f t="shared" si="1879"/>
        <v>0</v>
      </c>
      <c r="LZ343" s="91">
        <f t="shared" si="1880"/>
        <v>0</v>
      </c>
      <c r="MC343" s="98">
        <v>814920</v>
      </c>
      <c r="MD343" s="98">
        <v>40746000</v>
      </c>
      <c r="MO343" s="91">
        <f t="shared" si="1881"/>
        <v>814920</v>
      </c>
      <c r="MP343" s="91">
        <f t="shared" si="1882"/>
        <v>40746000</v>
      </c>
      <c r="MS343" s="98">
        <v>5000</v>
      </c>
      <c r="MT343" s="98">
        <v>325000</v>
      </c>
      <c r="NE343" s="91">
        <f t="shared" si="1883"/>
        <v>5000</v>
      </c>
      <c r="NF343" s="91">
        <f t="shared" si="1884"/>
        <v>325000</v>
      </c>
      <c r="NI343" s="98">
        <v>671000</v>
      </c>
      <c r="NJ343" s="98">
        <v>40260000</v>
      </c>
      <c r="NU343" s="91">
        <f t="shared" si="1885"/>
        <v>671000</v>
      </c>
      <c r="NV343" s="91">
        <f t="shared" si="1886"/>
        <v>40260000</v>
      </c>
      <c r="NY343" s="98">
        <v>1001034</v>
      </c>
      <c r="NZ343" s="98">
        <v>50051700</v>
      </c>
      <c r="OK343" s="91">
        <f t="shared" si="1887"/>
        <v>1001034</v>
      </c>
      <c r="OL343" s="91">
        <f t="shared" si="1888"/>
        <v>50051700</v>
      </c>
      <c r="OO343" s="98">
        <v>1096444</v>
      </c>
      <c r="OP343" s="98">
        <v>65930381.999999978</v>
      </c>
      <c r="PA343" s="91">
        <f t="shared" si="1889"/>
        <v>1096444</v>
      </c>
      <c r="PB343" s="91">
        <f t="shared" si="1890"/>
        <v>65930381.999999978</v>
      </c>
      <c r="PE343" s="98">
        <v>16825</v>
      </c>
      <c r="PF343" s="98">
        <v>1093625</v>
      </c>
      <c r="PQ343" s="91">
        <f t="shared" si="1891"/>
        <v>16825</v>
      </c>
      <c r="PR343" s="91">
        <f t="shared" si="1892"/>
        <v>1093625</v>
      </c>
      <c r="PU343" s="98">
        <v>747050</v>
      </c>
      <c r="PV343" s="98">
        <v>44823000</v>
      </c>
      <c r="QA343" s="98">
        <v>346990</v>
      </c>
      <c r="QB343" s="98">
        <v>17349500</v>
      </c>
      <c r="QG343" s="91">
        <f t="shared" si="1893"/>
        <v>1094040</v>
      </c>
      <c r="QH343" s="91">
        <f t="shared" si="1894"/>
        <v>62172500</v>
      </c>
      <c r="QW343" s="91">
        <f t="shared" si="1895"/>
        <v>0</v>
      </c>
      <c r="QX343" s="91">
        <f t="shared" si="1896"/>
        <v>0</v>
      </c>
      <c r="RM343" s="91">
        <f t="shared" si="1897"/>
        <v>0</v>
      </c>
      <c r="RN343" s="91">
        <f t="shared" si="1898"/>
        <v>0</v>
      </c>
      <c r="SC343" s="91">
        <f t="shared" si="1899"/>
        <v>0</v>
      </c>
      <c r="SD343" s="91">
        <f t="shared" si="1900"/>
        <v>0</v>
      </c>
      <c r="SS343" s="91">
        <f t="shared" si="1901"/>
        <v>0</v>
      </c>
      <c r="ST343" s="91">
        <f t="shared" si="1902"/>
        <v>0</v>
      </c>
      <c r="TI343" s="91">
        <f t="shared" si="1903"/>
        <v>0</v>
      </c>
      <c r="TJ343" s="91">
        <f t="shared" si="1904"/>
        <v>0</v>
      </c>
      <c r="TY343" s="91">
        <f t="shared" si="1905"/>
        <v>0</v>
      </c>
      <c r="TZ343" s="91">
        <f t="shared" si="1906"/>
        <v>0</v>
      </c>
      <c r="UO343" s="91">
        <f t="shared" si="1907"/>
        <v>0</v>
      </c>
      <c r="UP343" s="91">
        <f t="shared" si="1908"/>
        <v>0</v>
      </c>
      <c r="VE343" s="91">
        <f t="shared" si="1909"/>
        <v>0</v>
      </c>
      <c r="VF343" s="91">
        <f t="shared" si="1910"/>
        <v>0</v>
      </c>
      <c r="VI343" s="98">
        <v>389</v>
      </c>
      <c r="VJ343" s="98">
        <v>21395</v>
      </c>
      <c r="VU343" s="91">
        <f t="shared" si="1911"/>
        <v>389</v>
      </c>
      <c r="VV343" s="91">
        <f t="shared" si="1912"/>
        <v>21395</v>
      </c>
      <c r="VY343" s="98">
        <v>25410</v>
      </c>
      <c r="VZ343" s="98">
        <v>1397550</v>
      </c>
      <c r="WK343" s="91">
        <f t="shared" si="1913"/>
        <v>25410</v>
      </c>
      <c r="WL343" s="91">
        <f t="shared" si="1914"/>
        <v>1397550</v>
      </c>
      <c r="WM343" s="89"/>
      <c r="WN343" s="87">
        <f t="shared" si="1915"/>
        <v>0</v>
      </c>
      <c r="WO343" s="87">
        <f t="shared" si="1916"/>
        <v>0</v>
      </c>
      <c r="WP343" s="87">
        <f t="shared" si="1917"/>
        <v>8872490.1500424631</v>
      </c>
      <c r="WQ343" s="87">
        <f t="shared" si="1918"/>
        <v>490536480.00400001</v>
      </c>
      <c r="WR343" s="87">
        <f t="shared" si="1919"/>
        <v>0</v>
      </c>
      <c r="WS343" s="87">
        <f t="shared" si="1920"/>
        <v>0</v>
      </c>
      <c r="WT343" s="87">
        <f t="shared" si="1921"/>
        <v>48682</v>
      </c>
      <c r="WU343" s="87">
        <f t="shared" si="1922"/>
        <v>1947280</v>
      </c>
      <c r="WV343" s="87">
        <f t="shared" si="1923"/>
        <v>346990</v>
      </c>
      <c r="WW343" s="87">
        <f t="shared" si="1924"/>
        <v>17349500</v>
      </c>
      <c r="WX343" s="87">
        <f t="shared" si="1925"/>
        <v>0</v>
      </c>
      <c r="WY343" s="87">
        <f t="shared" si="1926"/>
        <v>0</v>
      </c>
      <c r="WZ343" s="87">
        <f t="shared" si="1933"/>
        <v>0</v>
      </c>
      <c r="XA343" s="87">
        <f t="shared" si="1934"/>
        <v>0</v>
      </c>
      <c r="XB343" s="92">
        <f t="shared" si="1935"/>
        <v>9268162.1500424631</v>
      </c>
      <c r="XC343" s="92">
        <f t="shared" si="1936"/>
        <v>509833260.00400001</v>
      </c>
      <c r="XD343" s="89"/>
      <c r="XE343" s="92"/>
      <c r="XF343" s="92"/>
      <c r="XG343" s="89"/>
      <c r="XH343" s="92"/>
      <c r="XI343" s="92"/>
      <c r="XJ343" s="89"/>
      <c r="XK343" s="87"/>
      <c r="XL343" s="87"/>
      <c r="XM343" s="87"/>
      <c r="XN343" s="87"/>
      <c r="XO343" s="87"/>
      <c r="XP343" s="87"/>
      <c r="XQ343" s="87"/>
      <c r="XR343" s="92">
        <f t="shared" ca="1" si="1931"/>
        <v>0</v>
      </c>
      <c r="XS343" s="89"/>
      <c r="XT343" s="87"/>
      <c r="XU343" s="87"/>
      <c r="XV343" s="87"/>
      <c r="XW343" s="87"/>
      <c r="XX343" s="87"/>
      <c r="XY343" s="87"/>
      <c r="XZ343" s="87"/>
      <c r="YA343" s="92">
        <f t="shared" ca="1" si="1932"/>
        <v>0</v>
      </c>
      <c r="YB343" s="90"/>
      <c r="YC343" s="90"/>
      <c r="YD343" s="90"/>
      <c r="YE343" s="90"/>
      <c r="YF343" s="90"/>
      <c r="YG343" s="90"/>
      <c r="YH343" s="90"/>
      <c r="YI343" s="90"/>
      <c r="YJ343" s="90"/>
      <c r="YK343" s="90"/>
      <c r="YL343" s="90"/>
      <c r="YM343" s="90"/>
      <c r="YN343" s="90"/>
      <c r="YO343" s="90"/>
      <c r="YP343" s="90"/>
      <c r="YQ343" s="90"/>
      <c r="YR343" s="90"/>
      <c r="YS343" s="90"/>
      <c r="YT343" s="90"/>
      <c r="YU343" s="90"/>
      <c r="YV343" s="90"/>
      <c r="YW343" s="90"/>
      <c r="YX343" s="90"/>
      <c r="YY343" s="90"/>
      <c r="YZ343" s="90"/>
      <c r="ZA343" s="90"/>
      <c r="ZB343" s="90"/>
      <c r="ZC343" s="90"/>
      <c r="ZD343" s="90"/>
      <c r="ZE343" s="90"/>
      <c r="ZF343" s="90"/>
      <c r="ZG343" s="90"/>
      <c r="ZH343" s="90"/>
      <c r="ZI343" s="90"/>
      <c r="ZJ343" s="90"/>
      <c r="ZK343" s="90"/>
      <c r="ZL343" s="90"/>
      <c r="ZM343" s="90"/>
      <c r="ZN343" s="90"/>
      <c r="ZO343" s="90"/>
      <c r="ZP343" s="90"/>
      <c r="ZQ343" s="90"/>
      <c r="ZR343" s="90"/>
      <c r="ZS343" s="90"/>
      <c r="ZT343" s="90"/>
      <c r="ZU343" s="90"/>
      <c r="ZV343" s="90"/>
      <c r="ZW343" s="90"/>
      <c r="ZX343" s="90"/>
      <c r="ZY343" s="90"/>
      <c r="ZZ343" s="90"/>
      <c r="AAA343" s="90"/>
      <c r="AAB343" s="90"/>
      <c r="AAC343" s="90"/>
      <c r="AAD343" s="90"/>
      <c r="AAE343" s="90"/>
      <c r="AAF343" s="90"/>
      <c r="AAG343" s="90"/>
      <c r="AAH343" s="90"/>
      <c r="AAI343" s="90"/>
      <c r="AAJ343" s="90"/>
      <c r="AAK343" s="90"/>
      <c r="AAL343" s="90"/>
      <c r="AAM343" s="90"/>
      <c r="AAN343" s="90"/>
      <c r="AAO343" s="90"/>
      <c r="AAP343" s="90"/>
      <c r="AAQ343" s="90"/>
      <c r="AAR343" s="90"/>
      <c r="AAS343" s="90"/>
      <c r="AAT343" s="90"/>
      <c r="AAU343" s="90"/>
      <c r="AAV343" s="90"/>
      <c r="AAW343" s="90"/>
      <c r="AAX343" s="90"/>
      <c r="AAY343" s="90"/>
      <c r="AAZ343" s="90"/>
      <c r="ABA343" s="90"/>
      <c r="ABB343" s="90"/>
      <c r="ABC343" s="90"/>
      <c r="ABD343" s="90"/>
      <c r="ABE343" s="90"/>
      <c r="ABF343" s="90"/>
      <c r="ABG343" s="90"/>
      <c r="ABH343" s="90"/>
      <c r="ABI343" s="90"/>
      <c r="ABJ343" s="90"/>
      <c r="ABK343" s="90"/>
      <c r="ABL343" s="90"/>
      <c r="ABM343" s="90"/>
      <c r="ABN343" s="90"/>
      <c r="ABO343" s="90"/>
      <c r="ABP343" s="90"/>
      <c r="ABQ343" s="90"/>
      <c r="ABR343" s="90"/>
      <c r="ABS343" s="90"/>
      <c r="ABT343" s="90"/>
      <c r="ABU343" s="90"/>
      <c r="ABV343" s="90"/>
      <c r="ABW343" s="90"/>
      <c r="ABX343" s="90"/>
      <c r="ABY343" s="90"/>
      <c r="ABZ343" s="90"/>
      <c r="ACA343" s="90"/>
      <c r="ACB343" s="90"/>
      <c r="ACC343" s="90"/>
      <c r="ACD343" s="90"/>
      <c r="ACE343" s="90"/>
      <c r="ACF343" s="90"/>
      <c r="ACG343" s="90"/>
      <c r="ACH343" s="90"/>
      <c r="ACI343" s="90"/>
      <c r="ACJ343" s="90"/>
      <c r="ACK343" s="90"/>
      <c r="ACL343" s="90"/>
      <c r="ACM343" s="90"/>
      <c r="ACN343" s="90"/>
      <c r="ACO343" s="90"/>
      <c r="ACP343" s="90"/>
      <c r="ACQ343" s="90"/>
      <c r="ACR343" s="90"/>
      <c r="ACS343" s="90"/>
      <c r="ACT343" s="90"/>
      <c r="ACU343" s="90"/>
      <c r="ACV343" s="90"/>
      <c r="ACW343" s="90"/>
      <c r="ACX343" s="90"/>
      <c r="ACY343" s="90"/>
      <c r="ACZ343" s="90"/>
      <c r="ADA343" s="90"/>
      <c r="ADB343" s="90"/>
      <c r="ADC343" s="90"/>
      <c r="ADD343" s="90"/>
      <c r="ADE343" s="90"/>
      <c r="ADF343" s="90"/>
      <c r="ADG343" s="90"/>
      <c r="ADH343" s="90"/>
      <c r="ADI343" s="90"/>
      <c r="ADJ343" s="90"/>
      <c r="ADK343" s="90"/>
      <c r="ADL343" s="90"/>
      <c r="ADM343" s="90"/>
      <c r="ADN343" s="90"/>
      <c r="ADO343" s="90"/>
      <c r="ADP343" s="90"/>
      <c r="ADQ343" s="90"/>
      <c r="ADR343" s="90"/>
      <c r="ADS343" s="90"/>
      <c r="ADT343" s="90"/>
      <c r="ADU343" s="90"/>
      <c r="ADV343" s="90"/>
      <c r="ADW343" s="90"/>
      <c r="ADX343" s="90"/>
      <c r="ADY343" s="90"/>
      <c r="ADZ343" s="90"/>
      <c r="AEA343" s="90"/>
      <c r="AEB343" s="90"/>
      <c r="AEC343" s="90"/>
      <c r="AED343" s="90"/>
      <c r="AEE343" s="90"/>
      <c r="AEF343" s="90"/>
      <c r="AEG343" s="90"/>
      <c r="AEH343" s="90"/>
      <c r="AEI343" s="90"/>
      <c r="AEJ343" s="90"/>
      <c r="AEK343" s="90"/>
      <c r="AEL343" s="90"/>
      <c r="AEM343" s="90"/>
      <c r="AEN343" s="90"/>
      <c r="AEO343" s="90"/>
      <c r="AEP343" s="90"/>
      <c r="AEQ343" s="90"/>
      <c r="AER343" s="90"/>
      <c r="AES343" s="90"/>
      <c r="AET343" s="90"/>
      <c r="AEU343" s="90"/>
      <c r="AEV343" s="90"/>
      <c r="AEW343" s="90"/>
      <c r="AEX343" s="90"/>
      <c r="AEY343" s="90"/>
      <c r="AEZ343" s="90"/>
      <c r="AFA343" s="90"/>
      <c r="AFB343" s="90"/>
      <c r="AFC343" s="90"/>
      <c r="AFD343" s="90"/>
      <c r="AFE343" s="90"/>
      <c r="AFF343" s="90"/>
      <c r="AFG343" s="90"/>
      <c r="AFH343" s="90"/>
      <c r="AFI343" s="90"/>
      <c r="AFJ343" s="90"/>
      <c r="AFK343" s="90"/>
      <c r="AFL343" s="90"/>
      <c r="AFM343" s="90"/>
      <c r="AFN343" s="90"/>
      <c r="AFO343" s="90"/>
      <c r="AFP343" s="90"/>
      <c r="AFQ343" s="90"/>
      <c r="AFR343" s="90"/>
      <c r="AFS343" s="90"/>
      <c r="AFT343" s="90"/>
      <c r="AFU343" s="90"/>
      <c r="AFV343" s="90"/>
      <c r="AFW343" s="90"/>
      <c r="AFX343" s="90"/>
      <c r="AFY343" s="90"/>
      <c r="AFZ343" s="90"/>
      <c r="AGA343" s="90"/>
      <c r="AGB343" s="90"/>
      <c r="AGC343" s="90"/>
      <c r="AGD343" s="90"/>
      <c r="AGE343" s="90"/>
      <c r="AGF343" s="90"/>
      <c r="AGG343" s="90"/>
      <c r="AGH343" s="90"/>
      <c r="AGI343" s="90"/>
      <c r="AGJ343" s="90"/>
      <c r="AGK343" s="90"/>
      <c r="AGL343" s="90"/>
      <c r="AGM343" s="90"/>
      <c r="AGN343" s="90"/>
      <c r="AGO343" s="90"/>
      <c r="AGP343" s="90"/>
      <c r="AGQ343" s="90"/>
      <c r="AGR343" s="90"/>
      <c r="AGS343" s="90"/>
      <c r="AGT343" s="90"/>
      <c r="AGU343" s="90"/>
      <c r="AGV343" s="90"/>
      <c r="AGW343" s="90"/>
      <c r="AGX343" s="90"/>
      <c r="AGY343" s="90"/>
      <c r="AGZ343" s="90"/>
      <c r="AHA343" s="90"/>
      <c r="AHB343" s="90"/>
      <c r="AHC343" s="90"/>
      <c r="AHD343" s="90"/>
      <c r="AHE343" s="90"/>
      <c r="AHF343" s="90"/>
      <c r="AHG343" s="90"/>
      <c r="AHH343" s="90"/>
      <c r="AHI343" s="90"/>
      <c r="AHJ343" s="90"/>
      <c r="AHK343" s="90"/>
      <c r="AHL343" s="90"/>
      <c r="AHM343" s="90"/>
      <c r="AHN343" s="90"/>
      <c r="AHO343" s="90"/>
      <c r="AHP343" s="90"/>
      <c r="AHQ343" s="90"/>
      <c r="AHR343" s="90"/>
      <c r="AHS343" s="90"/>
      <c r="AHT343" s="90"/>
      <c r="AHU343" s="90"/>
      <c r="AHV343" s="90"/>
      <c r="AHW343" s="90"/>
      <c r="AHX343" s="90"/>
      <c r="AHY343" s="90"/>
      <c r="AHZ343" s="90"/>
      <c r="AIA343" s="90"/>
      <c r="AIB343" s="90"/>
      <c r="AIC343" s="90"/>
      <c r="AID343" s="90"/>
      <c r="AIE343" s="90"/>
      <c r="AIF343" s="90"/>
      <c r="AIG343" s="90"/>
      <c r="AIH343" s="90"/>
      <c r="AII343" s="90"/>
      <c r="AIJ343" s="90"/>
      <c r="AIK343" s="90"/>
      <c r="AIL343" s="90"/>
      <c r="AIM343" s="90"/>
      <c r="AIN343" s="90"/>
      <c r="AIO343" s="90"/>
      <c r="AIP343" s="90"/>
      <c r="AIQ343" s="90"/>
      <c r="AIR343" s="90"/>
      <c r="AIS343" s="90"/>
      <c r="AIT343" s="90"/>
      <c r="AIU343" s="90"/>
      <c r="AIV343" s="90"/>
      <c r="AIW343" s="90"/>
      <c r="AIX343" s="90"/>
      <c r="AIY343" s="90"/>
      <c r="AIZ343" s="90"/>
      <c r="AJA343" s="90"/>
      <c r="AJB343" s="90"/>
      <c r="AJC343" s="90"/>
      <c r="AJD343" s="90"/>
      <c r="AJE343" s="90"/>
      <c r="AJF343" s="90"/>
      <c r="AJG343" s="90"/>
      <c r="AJH343" s="90"/>
      <c r="AJI343" s="90"/>
      <c r="AJJ343" s="90"/>
      <c r="AJK343" s="90"/>
      <c r="AJL343" s="90"/>
      <c r="AJM343" s="90"/>
      <c r="AJN343" s="90"/>
      <c r="AJO343" s="90"/>
      <c r="AJP343" s="90"/>
      <c r="AJQ343" s="90"/>
      <c r="AJR343" s="90"/>
      <c r="AJS343" s="90"/>
      <c r="AJT343" s="90"/>
      <c r="AJU343" s="90"/>
      <c r="AJV343" s="90"/>
      <c r="AJW343" s="90"/>
      <c r="AJX343" s="90"/>
      <c r="AJY343" s="90"/>
      <c r="AJZ343" s="90"/>
      <c r="AKA343" s="90"/>
      <c r="AKB343" s="90"/>
      <c r="AKC343" s="90"/>
      <c r="AKD343" s="90"/>
      <c r="AKE343" s="90"/>
      <c r="AKF343" s="90"/>
      <c r="AKG343" s="90"/>
      <c r="AKH343" s="90"/>
      <c r="AKI343" s="90"/>
      <c r="AKJ343" s="90"/>
      <c r="AKK343" s="90"/>
      <c r="AKL343" s="90"/>
      <c r="AKM343" s="90"/>
      <c r="AKN343" s="90"/>
      <c r="AKO343" s="90"/>
      <c r="AKP343" s="90"/>
      <c r="AKQ343" s="90"/>
      <c r="AKR343" s="90"/>
      <c r="AKS343" s="90"/>
      <c r="AKT343" s="90"/>
      <c r="AKU343" s="90"/>
      <c r="AKV343" s="90"/>
      <c r="AKW343" s="90"/>
      <c r="AKX343" s="90"/>
      <c r="AKY343" s="90"/>
      <c r="AKZ343" s="90"/>
      <c r="ALA343" s="90"/>
      <c r="ALB343" s="90"/>
      <c r="ALC343" s="90"/>
      <c r="ALD343" s="90"/>
      <c r="ALE343" s="90"/>
      <c r="ALF343" s="90"/>
      <c r="ALG343" s="90"/>
      <c r="ALH343" s="90"/>
      <c r="ALI343" s="90"/>
      <c r="ALJ343" s="90"/>
      <c r="ALK343" s="90"/>
      <c r="ALL343" s="90"/>
      <c r="ALM343" s="90"/>
      <c r="ALN343" s="90"/>
      <c r="ALO343" s="90"/>
      <c r="ALP343" s="90"/>
      <c r="ALQ343" s="90"/>
      <c r="ALR343" s="90"/>
      <c r="ALS343" s="90"/>
      <c r="ALT343" s="90"/>
      <c r="ALU343" s="90"/>
      <c r="ALV343" s="90"/>
      <c r="ALW343" s="90"/>
      <c r="ALX343" s="90"/>
      <c r="ALY343" s="90"/>
      <c r="ALZ343" s="90"/>
      <c r="AMA343" s="90"/>
      <c r="AMB343" s="90"/>
      <c r="AMC343" s="90"/>
    </row>
    <row r="344" spans="1:1017">
      <c r="A344" s="98" t="s">
        <v>53</v>
      </c>
      <c r="B344" s="90" t="str">
        <f t="shared" si="1838"/>
        <v xml:space="preserve">Udang Windu </v>
      </c>
      <c r="E344" s="98">
        <v>2600</v>
      </c>
      <c r="F344" s="98">
        <v>338000</v>
      </c>
      <c r="Q344" s="91">
        <f t="shared" si="1839"/>
        <v>2600</v>
      </c>
      <c r="R344" s="91">
        <f t="shared" si="1840"/>
        <v>338000</v>
      </c>
      <c r="AG344" s="91">
        <f t="shared" si="1841"/>
        <v>0</v>
      </c>
      <c r="AH344" s="91">
        <f t="shared" si="1842"/>
        <v>0</v>
      </c>
      <c r="AW344" s="91">
        <f t="shared" si="1843"/>
        <v>0</v>
      </c>
      <c r="AX344" s="91">
        <f t="shared" si="1844"/>
        <v>0</v>
      </c>
      <c r="BM344" s="91">
        <f t="shared" si="1845"/>
        <v>0</v>
      </c>
      <c r="BN344" s="91">
        <f t="shared" si="1846"/>
        <v>0</v>
      </c>
      <c r="CC344" s="91">
        <f t="shared" si="1847"/>
        <v>0</v>
      </c>
      <c r="CD344" s="91">
        <f t="shared" si="1848"/>
        <v>0</v>
      </c>
      <c r="CG344" s="98">
        <v>255366</v>
      </c>
      <c r="CH344" s="98">
        <v>25536551</v>
      </c>
      <c r="CS344" s="91">
        <f t="shared" si="1849"/>
        <v>255366</v>
      </c>
      <c r="CT344" s="91">
        <f t="shared" si="1850"/>
        <v>25536551</v>
      </c>
      <c r="DI344" s="91">
        <f t="shared" si="1851"/>
        <v>0</v>
      </c>
      <c r="DJ344" s="91">
        <f t="shared" si="1852"/>
        <v>0</v>
      </c>
      <c r="DY344" s="91">
        <f t="shared" si="1853"/>
        <v>0</v>
      </c>
      <c r="DZ344" s="91">
        <f t="shared" si="1854"/>
        <v>0</v>
      </c>
      <c r="EO344" s="91">
        <f t="shared" si="1855"/>
        <v>0</v>
      </c>
      <c r="EP344" s="91">
        <f t="shared" si="1856"/>
        <v>0</v>
      </c>
      <c r="FE344" s="91">
        <f t="shared" si="1857"/>
        <v>0</v>
      </c>
      <c r="FF344" s="91">
        <f t="shared" si="1858"/>
        <v>0</v>
      </c>
      <c r="FU344" s="91">
        <f t="shared" si="1859"/>
        <v>0</v>
      </c>
      <c r="FV344" s="91">
        <f t="shared" si="1860"/>
        <v>0</v>
      </c>
      <c r="GK344" s="91">
        <f t="shared" si="1861"/>
        <v>0</v>
      </c>
      <c r="GL344" s="91">
        <f t="shared" si="1862"/>
        <v>0</v>
      </c>
      <c r="HA344" s="91">
        <f t="shared" si="1863"/>
        <v>0</v>
      </c>
      <c r="HB344" s="91">
        <f t="shared" si="1864"/>
        <v>0</v>
      </c>
      <c r="HQ344" s="91">
        <f t="shared" si="1865"/>
        <v>0</v>
      </c>
      <c r="HR344" s="91">
        <f t="shared" si="1866"/>
        <v>0</v>
      </c>
      <c r="IG344" s="91">
        <f t="shared" si="1867"/>
        <v>0</v>
      </c>
      <c r="IH344" s="91">
        <f t="shared" si="1868"/>
        <v>0</v>
      </c>
      <c r="IW344" s="91">
        <f t="shared" si="1869"/>
        <v>0</v>
      </c>
      <c r="IX344" s="91">
        <f t="shared" si="1870"/>
        <v>0</v>
      </c>
      <c r="JM344" s="91">
        <f t="shared" si="1871"/>
        <v>0</v>
      </c>
      <c r="JN344" s="91">
        <f t="shared" si="1872"/>
        <v>0</v>
      </c>
      <c r="KC344" s="91">
        <f t="shared" si="1873"/>
        <v>0</v>
      </c>
      <c r="KD344" s="91">
        <f t="shared" si="1874"/>
        <v>0</v>
      </c>
      <c r="KS344" s="91">
        <f t="shared" si="1875"/>
        <v>0</v>
      </c>
      <c r="KT344" s="91">
        <f t="shared" si="1876"/>
        <v>0</v>
      </c>
      <c r="KW344" s="98">
        <v>1608.02</v>
      </c>
      <c r="KX344" s="98">
        <v>152761</v>
      </c>
      <c r="LI344" s="91">
        <f t="shared" si="1877"/>
        <v>1608.02</v>
      </c>
      <c r="LJ344" s="91">
        <f t="shared" si="1878"/>
        <v>152761</v>
      </c>
      <c r="LY344" s="91">
        <f t="shared" si="1879"/>
        <v>0</v>
      </c>
      <c r="LZ344" s="91">
        <f t="shared" si="1880"/>
        <v>0</v>
      </c>
      <c r="MO344" s="91">
        <f t="shared" si="1881"/>
        <v>0</v>
      </c>
      <c r="MP344" s="91">
        <f t="shared" si="1882"/>
        <v>0</v>
      </c>
      <c r="MS344" s="98">
        <v>600</v>
      </c>
      <c r="MT344" s="98">
        <v>48000</v>
      </c>
      <c r="NE344" s="91">
        <f t="shared" si="1883"/>
        <v>600</v>
      </c>
      <c r="NF344" s="91">
        <f t="shared" si="1884"/>
        <v>48000</v>
      </c>
      <c r="NI344" s="98">
        <v>518100</v>
      </c>
      <c r="NJ344" s="98">
        <v>46629000</v>
      </c>
      <c r="NU344" s="91">
        <f t="shared" si="1885"/>
        <v>518100</v>
      </c>
      <c r="NV344" s="91">
        <f t="shared" si="1886"/>
        <v>46629000</v>
      </c>
      <c r="NY344" s="98">
        <v>65</v>
      </c>
      <c r="NZ344" s="98">
        <v>9750</v>
      </c>
      <c r="OK344" s="91">
        <f t="shared" si="1887"/>
        <v>65</v>
      </c>
      <c r="OL344" s="91">
        <f t="shared" si="1888"/>
        <v>9750</v>
      </c>
      <c r="PA344" s="91">
        <f t="shared" si="1889"/>
        <v>0</v>
      </c>
      <c r="PB344" s="91">
        <f t="shared" si="1890"/>
        <v>0</v>
      </c>
      <c r="PQ344" s="91">
        <f t="shared" si="1891"/>
        <v>0</v>
      </c>
      <c r="PR344" s="91">
        <f t="shared" si="1892"/>
        <v>0</v>
      </c>
      <c r="QG344" s="91">
        <f t="shared" si="1893"/>
        <v>0</v>
      </c>
      <c r="QH344" s="91">
        <f t="shared" si="1894"/>
        <v>0</v>
      </c>
      <c r="QW344" s="91">
        <f t="shared" si="1895"/>
        <v>0</v>
      </c>
      <c r="QX344" s="91">
        <f t="shared" si="1896"/>
        <v>0</v>
      </c>
      <c r="RM344" s="91">
        <f t="shared" si="1897"/>
        <v>0</v>
      </c>
      <c r="RN344" s="91">
        <f t="shared" si="1898"/>
        <v>0</v>
      </c>
      <c r="SC344" s="91">
        <f t="shared" si="1899"/>
        <v>0</v>
      </c>
      <c r="SD344" s="91">
        <f t="shared" si="1900"/>
        <v>0</v>
      </c>
      <c r="SS344" s="91">
        <f t="shared" si="1901"/>
        <v>0</v>
      </c>
      <c r="ST344" s="91">
        <f t="shared" si="1902"/>
        <v>0</v>
      </c>
      <c r="TI344" s="91">
        <f t="shared" si="1903"/>
        <v>0</v>
      </c>
      <c r="TJ344" s="91">
        <f t="shared" si="1904"/>
        <v>0</v>
      </c>
      <c r="TY344" s="91">
        <f t="shared" si="1905"/>
        <v>0</v>
      </c>
      <c r="TZ344" s="91">
        <f t="shared" si="1906"/>
        <v>0</v>
      </c>
      <c r="UO344" s="91">
        <f t="shared" si="1907"/>
        <v>0</v>
      </c>
      <c r="UP344" s="91">
        <f t="shared" si="1908"/>
        <v>0</v>
      </c>
      <c r="VE344" s="91">
        <f t="shared" si="1909"/>
        <v>0</v>
      </c>
      <c r="VF344" s="91">
        <f t="shared" si="1910"/>
        <v>0</v>
      </c>
      <c r="VI344" s="98">
        <v>18</v>
      </c>
      <c r="VJ344" s="98">
        <v>1170</v>
      </c>
      <c r="VU344" s="91">
        <f t="shared" si="1911"/>
        <v>18</v>
      </c>
      <c r="VV344" s="91">
        <f t="shared" si="1912"/>
        <v>1170</v>
      </c>
      <c r="WK344" s="91">
        <f t="shared" si="1913"/>
        <v>0</v>
      </c>
      <c r="WL344" s="91">
        <f t="shared" si="1914"/>
        <v>0</v>
      </c>
      <c r="WM344" s="89"/>
      <c r="WN344" s="87">
        <f t="shared" si="1915"/>
        <v>0</v>
      </c>
      <c r="WO344" s="87">
        <f t="shared" si="1916"/>
        <v>0</v>
      </c>
      <c r="WP344" s="87">
        <f t="shared" si="1917"/>
        <v>778357.02</v>
      </c>
      <c r="WQ344" s="87">
        <f t="shared" si="1918"/>
        <v>72715232</v>
      </c>
      <c r="WR344" s="87">
        <f t="shared" si="1919"/>
        <v>0</v>
      </c>
      <c r="WS344" s="87">
        <f t="shared" si="1920"/>
        <v>0</v>
      </c>
      <c r="WT344" s="87">
        <f t="shared" si="1921"/>
        <v>0</v>
      </c>
      <c r="WU344" s="87">
        <f t="shared" si="1922"/>
        <v>0</v>
      </c>
      <c r="WV344" s="87">
        <f t="shared" si="1923"/>
        <v>0</v>
      </c>
      <c r="WW344" s="87">
        <f t="shared" si="1924"/>
        <v>0</v>
      </c>
      <c r="WX344" s="87">
        <f t="shared" si="1925"/>
        <v>0</v>
      </c>
      <c r="WY344" s="87">
        <f t="shared" si="1926"/>
        <v>0</v>
      </c>
      <c r="WZ344" s="87">
        <f t="shared" si="1933"/>
        <v>0</v>
      </c>
      <c r="XA344" s="87">
        <f t="shared" si="1934"/>
        <v>0</v>
      </c>
      <c r="XB344" s="92">
        <f t="shared" si="1935"/>
        <v>778357.02</v>
      </c>
      <c r="XC344" s="92">
        <f t="shared" si="1936"/>
        <v>72715232</v>
      </c>
      <c r="XD344" s="89"/>
      <c r="XE344" s="92"/>
      <c r="XF344" s="92"/>
      <c r="XG344" s="89"/>
      <c r="XH344" s="92"/>
      <c r="XI344" s="92"/>
      <c r="XJ344" s="89"/>
      <c r="XK344" s="87"/>
      <c r="XL344" s="87"/>
      <c r="XM344" s="87"/>
      <c r="XN344" s="87"/>
      <c r="XO344" s="87"/>
      <c r="XP344" s="87"/>
      <c r="XQ344" s="87"/>
      <c r="XR344" s="92">
        <f t="shared" ca="1" si="1931"/>
        <v>0</v>
      </c>
      <c r="XS344" s="89"/>
      <c r="XT344" s="87"/>
      <c r="XU344" s="87"/>
      <c r="XV344" s="87"/>
      <c r="XW344" s="87"/>
      <c r="XX344" s="87"/>
      <c r="XY344" s="87"/>
      <c r="XZ344" s="87"/>
      <c r="YA344" s="92">
        <f t="shared" ca="1" si="1932"/>
        <v>0</v>
      </c>
      <c r="YB344" s="90"/>
      <c r="YC344" s="90"/>
      <c r="YD344" s="90"/>
      <c r="YE344" s="90"/>
      <c r="YF344" s="90"/>
      <c r="YG344" s="90"/>
      <c r="YH344" s="90"/>
      <c r="YI344" s="90"/>
      <c r="YJ344" s="90"/>
      <c r="YK344" s="90"/>
      <c r="YL344" s="90"/>
      <c r="YM344" s="90"/>
      <c r="YN344" s="90"/>
      <c r="YO344" s="90"/>
      <c r="YP344" s="90"/>
      <c r="YQ344" s="90"/>
      <c r="YR344" s="90"/>
      <c r="YS344" s="90"/>
      <c r="YT344" s="90"/>
      <c r="YU344" s="90"/>
      <c r="YV344" s="90"/>
      <c r="YW344" s="90"/>
      <c r="YX344" s="90"/>
      <c r="YY344" s="90"/>
      <c r="YZ344" s="90"/>
      <c r="ZA344" s="90"/>
      <c r="ZB344" s="90"/>
      <c r="ZC344" s="90"/>
      <c r="ZD344" s="90"/>
      <c r="ZE344" s="90"/>
      <c r="ZF344" s="90"/>
      <c r="ZG344" s="90"/>
      <c r="ZH344" s="90"/>
      <c r="ZI344" s="90"/>
      <c r="ZJ344" s="90"/>
      <c r="ZK344" s="90"/>
      <c r="ZL344" s="90"/>
      <c r="ZM344" s="90"/>
      <c r="ZN344" s="90"/>
      <c r="ZO344" s="90"/>
      <c r="ZP344" s="90"/>
      <c r="ZQ344" s="90"/>
      <c r="ZR344" s="90"/>
      <c r="ZS344" s="90"/>
      <c r="ZT344" s="90"/>
      <c r="ZU344" s="90"/>
      <c r="ZV344" s="90"/>
      <c r="ZW344" s="90"/>
      <c r="ZX344" s="90"/>
      <c r="ZY344" s="90"/>
      <c r="ZZ344" s="90"/>
      <c r="AAA344" s="90"/>
      <c r="AAB344" s="90"/>
      <c r="AAC344" s="90"/>
      <c r="AAD344" s="90"/>
      <c r="AAE344" s="90"/>
      <c r="AAF344" s="90"/>
      <c r="AAG344" s="90"/>
      <c r="AAH344" s="90"/>
      <c r="AAI344" s="90"/>
      <c r="AAJ344" s="90"/>
      <c r="AAK344" s="90"/>
      <c r="AAL344" s="90"/>
      <c r="AAM344" s="90"/>
      <c r="AAN344" s="90"/>
      <c r="AAO344" s="90"/>
      <c r="AAP344" s="90"/>
      <c r="AAQ344" s="90"/>
      <c r="AAR344" s="90"/>
      <c r="AAS344" s="90"/>
      <c r="AAT344" s="90"/>
      <c r="AAU344" s="90"/>
      <c r="AAV344" s="90"/>
      <c r="AAW344" s="90"/>
      <c r="AAX344" s="90"/>
      <c r="AAY344" s="90"/>
      <c r="AAZ344" s="90"/>
      <c r="ABA344" s="90"/>
      <c r="ABB344" s="90"/>
      <c r="ABC344" s="90"/>
      <c r="ABD344" s="90"/>
      <c r="ABE344" s="90"/>
      <c r="ABF344" s="90"/>
      <c r="ABG344" s="90"/>
      <c r="ABH344" s="90"/>
      <c r="ABI344" s="90"/>
      <c r="ABJ344" s="90"/>
      <c r="ABK344" s="90"/>
      <c r="ABL344" s="90"/>
      <c r="ABM344" s="90"/>
      <c r="ABN344" s="90"/>
      <c r="ABO344" s="90"/>
      <c r="ABP344" s="90"/>
      <c r="ABQ344" s="90"/>
      <c r="ABR344" s="90"/>
      <c r="ABS344" s="90"/>
      <c r="ABT344" s="90"/>
      <c r="ABU344" s="90"/>
      <c r="ABV344" s="90"/>
      <c r="ABW344" s="90"/>
      <c r="ABX344" s="90"/>
      <c r="ABY344" s="90"/>
      <c r="ABZ344" s="90"/>
      <c r="ACA344" s="90"/>
      <c r="ACB344" s="90"/>
      <c r="ACC344" s="90"/>
      <c r="ACD344" s="90"/>
      <c r="ACE344" s="90"/>
      <c r="ACF344" s="90"/>
      <c r="ACG344" s="90"/>
      <c r="ACH344" s="90"/>
      <c r="ACI344" s="90"/>
      <c r="ACJ344" s="90"/>
      <c r="ACK344" s="90"/>
      <c r="ACL344" s="90"/>
      <c r="ACM344" s="90"/>
      <c r="ACN344" s="90"/>
      <c r="ACO344" s="90"/>
      <c r="ACP344" s="90"/>
      <c r="ACQ344" s="90"/>
      <c r="ACR344" s="90"/>
      <c r="ACS344" s="90"/>
      <c r="ACT344" s="90"/>
      <c r="ACU344" s="90"/>
      <c r="ACV344" s="90"/>
      <c r="ACW344" s="90"/>
      <c r="ACX344" s="90"/>
      <c r="ACY344" s="90"/>
      <c r="ACZ344" s="90"/>
      <c r="ADA344" s="90"/>
      <c r="ADB344" s="90"/>
      <c r="ADC344" s="90"/>
      <c r="ADD344" s="90"/>
      <c r="ADE344" s="90"/>
      <c r="ADF344" s="90"/>
      <c r="ADG344" s="90"/>
      <c r="ADH344" s="90"/>
      <c r="ADI344" s="90"/>
      <c r="ADJ344" s="90"/>
      <c r="ADK344" s="90"/>
      <c r="ADL344" s="90"/>
      <c r="ADM344" s="90"/>
      <c r="ADN344" s="90"/>
      <c r="ADO344" s="90"/>
      <c r="ADP344" s="90"/>
      <c r="ADQ344" s="90"/>
      <c r="ADR344" s="90"/>
      <c r="ADS344" s="90"/>
      <c r="ADT344" s="90"/>
      <c r="ADU344" s="90"/>
      <c r="ADV344" s="90"/>
      <c r="ADW344" s="90"/>
      <c r="ADX344" s="90"/>
      <c r="ADY344" s="90"/>
      <c r="ADZ344" s="90"/>
      <c r="AEA344" s="90"/>
      <c r="AEB344" s="90"/>
      <c r="AEC344" s="90"/>
      <c r="AED344" s="90"/>
      <c r="AEE344" s="90"/>
      <c r="AEF344" s="90"/>
      <c r="AEG344" s="90"/>
      <c r="AEH344" s="90"/>
      <c r="AEI344" s="90"/>
      <c r="AEJ344" s="90"/>
      <c r="AEK344" s="90"/>
      <c r="AEL344" s="90"/>
      <c r="AEM344" s="90"/>
      <c r="AEN344" s="90"/>
      <c r="AEO344" s="90"/>
      <c r="AEP344" s="90"/>
      <c r="AEQ344" s="90"/>
      <c r="AER344" s="90"/>
      <c r="AES344" s="90"/>
      <c r="AET344" s="90"/>
      <c r="AEU344" s="90"/>
      <c r="AEV344" s="90"/>
      <c r="AEW344" s="90"/>
      <c r="AEX344" s="90"/>
      <c r="AEY344" s="90"/>
      <c r="AEZ344" s="90"/>
      <c r="AFA344" s="90"/>
      <c r="AFB344" s="90"/>
      <c r="AFC344" s="90"/>
      <c r="AFD344" s="90"/>
      <c r="AFE344" s="90"/>
      <c r="AFF344" s="90"/>
      <c r="AFG344" s="90"/>
      <c r="AFH344" s="90"/>
      <c r="AFI344" s="90"/>
      <c r="AFJ344" s="90"/>
      <c r="AFK344" s="90"/>
      <c r="AFL344" s="90"/>
      <c r="AFM344" s="90"/>
      <c r="AFN344" s="90"/>
      <c r="AFO344" s="90"/>
      <c r="AFP344" s="90"/>
      <c r="AFQ344" s="90"/>
      <c r="AFR344" s="90"/>
      <c r="AFS344" s="90"/>
      <c r="AFT344" s="90"/>
      <c r="AFU344" s="90"/>
      <c r="AFV344" s="90"/>
      <c r="AFW344" s="90"/>
      <c r="AFX344" s="90"/>
      <c r="AFY344" s="90"/>
      <c r="AFZ344" s="90"/>
      <c r="AGA344" s="90"/>
      <c r="AGB344" s="90"/>
      <c r="AGC344" s="90"/>
      <c r="AGD344" s="90"/>
      <c r="AGE344" s="90"/>
      <c r="AGF344" s="90"/>
      <c r="AGG344" s="90"/>
      <c r="AGH344" s="90"/>
      <c r="AGI344" s="90"/>
      <c r="AGJ344" s="90"/>
      <c r="AGK344" s="90"/>
      <c r="AGL344" s="90"/>
      <c r="AGM344" s="90"/>
      <c r="AGN344" s="90"/>
      <c r="AGO344" s="90"/>
      <c r="AGP344" s="90"/>
      <c r="AGQ344" s="90"/>
      <c r="AGR344" s="90"/>
      <c r="AGS344" s="90"/>
      <c r="AGT344" s="90"/>
      <c r="AGU344" s="90"/>
      <c r="AGV344" s="90"/>
      <c r="AGW344" s="90"/>
      <c r="AGX344" s="90"/>
      <c r="AGY344" s="90"/>
      <c r="AGZ344" s="90"/>
      <c r="AHA344" s="90"/>
      <c r="AHB344" s="90"/>
      <c r="AHC344" s="90"/>
      <c r="AHD344" s="90"/>
      <c r="AHE344" s="90"/>
      <c r="AHF344" s="90"/>
      <c r="AHG344" s="90"/>
      <c r="AHH344" s="90"/>
      <c r="AHI344" s="90"/>
      <c r="AHJ344" s="90"/>
      <c r="AHK344" s="90"/>
      <c r="AHL344" s="90"/>
      <c r="AHM344" s="90"/>
      <c r="AHN344" s="90"/>
      <c r="AHO344" s="90"/>
      <c r="AHP344" s="90"/>
      <c r="AHQ344" s="90"/>
      <c r="AHR344" s="90"/>
      <c r="AHS344" s="90"/>
      <c r="AHT344" s="90"/>
      <c r="AHU344" s="90"/>
      <c r="AHV344" s="90"/>
      <c r="AHW344" s="90"/>
      <c r="AHX344" s="90"/>
      <c r="AHY344" s="90"/>
      <c r="AHZ344" s="90"/>
      <c r="AIA344" s="90"/>
      <c r="AIB344" s="90"/>
      <c r="AIC344" s="90"/>
      <c r="AID344" s="90"/>
      <c r="AIE344" s="90"/>
      <c r="AIF344" s="90"/>
      <c r="AIG344" s="90"/>
      <c r="AIH344" s="90"/>
      <c r="AII344" s="90"/>
      <c r="AIJ344" s="90"/>
      <c r="AIK344" s="90"/>
      <c r="AIL344" s="90"/>
      <c r="AIM344" s="90"/>
      <c r="AIN344" s="90"/>
      <c r="AIO344" s="90"/>
      <c r="AIP344" s="90"/>
      <c r="AIQ344" s="90"/>
      <c r="AIR344" s="90"/>
      <c r="AIS344" s="90"/>
      <c r="AIT344" s="90"/>
      <c r="AIU344" s="90"/>
      <c r="AIV344" s="90"/>
      <c r="AIW344" s="90"/>
      <c r="AIX344" s="90"/>
      <c r="AIY344" s="90"/>
      <c r="AIZ344" s="90"/>
      <c r="AJA344" s="90"/>
      <c r="AJB344" s="90"/>
      <c r="AJC344" s="90"/>
      <c r="AJD344" s="90"/>
      <c r="AJE344" s="90"/>
      <c r="AJF344" s="90"/>
      <c r="AJG344" s="90"/>
      <c r="AJH344" s="90"/>
      <c r="AJI344" s="90"/>
      <c r="AJJ344" s="90"/>
      <c r="AJK344" s="90"/>
      <c r="AJL344" s="90"/>
      <c r="AJM344" s="90"/>
      <c r="AJN344" s="90"/>
      <c r="AJO344" s="90"/>
      <c r="AJP344" s="90"/>
      <c r="AJQ344" s="90"/>
      <c r="AJR344" s="90"/>
      <c r="AJS344" s="90"/>
      <c r="AJT344" s="90"/>
      <c r="AJU344" s="90"/>
      <c r="AJV344" s="90"/>
      <c r="AJW344" s="90"/>
      <c r="AJX344" s="90"/>
      <c r="AJY344" s="90"/>
      <c r="AJZ344" s="90"/>
      <c r="AKA344" s="90"/>
      <c r="AKB344" s="90"/>
      <c r="AKC344" s="90"/>
      <c r="AKD344" s="90"/>
      <c r="AKE344" s="90"/>
      <c r="AKF344" s="90"/>
      <c r="AKG344" s="90"/>
      <c r="AKH344" s="90"/>
      <c r="AKI344" s="90"/>
      <c r="AKJ344" s="90"/>
      <c r="AKK344" s="90"/>
      <c r="AKL344" s="90"/>
      <c r="AKM344" s="90"/>
      <c r="AKN344" s="90"/>
      <c r="AKO344" s="90"/>
      <c r="AKP344" s="90"/>
      <c r="AKQ344" s="90"/>
      <c r="AKR344" s="90"/>
      <c r="AKS344" s="90"/>
      <c r="AKT344" s="90"/>
      <c r="AKU344" s="90"/>
      <c r="AKV344" s="90"/>
      <c r="AKW344" s="90"/>
      <c r="AKX344" s="90"/>
      <c r="AKY344" s="90"/>
      <c r="AKZ344" s="90"/>
      <c r="ALA344" s="90"/>
      <c r="ALB344" s="90"/>
      <c r="ALC344" s="90"/>
      <c r="ALD344" s="90"/>
      <c r="ALE344" s="90"/>
      <c r="ALF344" s="90"/>
      <c r="ALG344" s="90"/>
      <c r="ALH344" s="90"/>
      <c r="ALI344" s="90"/>
      <c r="ALJ344" s="90"/>
      <c r="ALK344" s="90"/>
      <c r="ALL344" s="90"/>
      <c r="ALM344" s="90"/>
      <c r="ALN344" s="90"/>
      <c r="ALO344" s="90"/>
      <c r="ALP344" s="90"/>
      <c r="ALQ344" s="90"/>
      <c r="ALR344" s="90"/>
      <c r="ALS344" s="90"/>
      <c r="ALT344" s="90"/>
      <c r="ALU344" s="90"/>
      <c r="ALV344" s="90"/>
      <c r="ALW344" s="90"/>
      <c r="ALX344" s="90"/>
      <c r="ALY344" s="90"/>
      <c r="ALZ344" s="90"/>
      <c r="AMA344" s="90"/>
      <c r="AMB344" s="90"/>
      <c r="AMC344" s="90"/>
    </row>
    <row r="345" spans="1:1017">
      <c r="A345" s="98" t="s">
        <v>53</v>
      </c>
      <c r="B345" s="90" t="str">
        <f t="shared" ref="B345:B354" si="1937">B307</f>
        <v xml:space="preserve">Udang_01 (Udang Api-Api) </v>
      </c>
      <c r="E345" s="98">
        <v>5000</v>
      </c>
      <c r="F345" s="98">
        <v>200000</v>
      </c>
      <c r="Q345" s="91">
        <f t="shared" si="1839"/>
        <v>5000</v>
      </c>
      <c r="R345" s="91">
        <f t="shared" si="1840"/>
        <v>200000</v>
      </c>
      <c r="AG345" s="91">
        <f t="shared" si="1841"/>
        <v>0</v>
      </c>
      <c r="AH345" s="91">
        <f t="shared" si="1842"/>
        <v>0</v>
      </c>
      <c r="AW345" s="91">
        <f t="shared" si="1843"/>
        <v>0</v>
      </c>
      <c r="AX345" s="91">
        <f t="shared" si="1844"/>
        <v>0</v>
      </c>
      <c r="BM345" s="91">
        <f t="shared" si="1845"/>
        <v>0</v>
      </c>
      <c r="BN345" s="91">
        <f t="shared" si="1846"/>
        <v>0</v>
      </c>
      <c r="CC345" s="91">
        <f t="shared" si="1847"/>
        <v>0</v>
      </c>
      <c r="CD345" s="91">
        <f t="shared" si="1848"/>
        <v>0</v>
      </c>
      <c r="CS345" s="91">
        <f t="shared" si="1849"/>
        <v>0</v>
      </c>
      <c r="CT345" s="91">
        <f t="shared" si="1850"/>
        <v>0</v>
      </c>
      <c r="DI345" s="91">
        <f t="shared" si="1851"/>
        <v>0</v>
      </c>
      <c r="DJ345" s="91">
        <f t="shared" si="1852"/>
        <v>0</v>
      </c>
      <c r="DY345" s="91">
        <f t="shared" si="1853"/>
        <v>0</v>
      </c>
      <c r="DZ345" s="91">
        <f t="shared" si="1854"/>
        <v>0</v>
      </c>
      <c r="EO345" s="91">
        <f t="shared" si="1855"/>
        <v>0</v>
      </c>
      <c r="EP345" s="91">
        <f t="shared" si="1856"/>
        <v>0</v>
      </c>
      <c r="FE345" s="91">
        <f t="shared" si="1857"/>
        <v>0</v>
      </c>
      <c r="FF345" s="91">
        <f t="shared" si="1858"/>
        <v>0</v>
      </c>
      <c r="FU345" s="91">
        <f t="shared" si="1859"/>
        <v>0</v>
      </c>
      <c r="FV345" s="91">
        <f t="shared" si="1860"/>
        <v>0</v>
      </c>
      <c r="GK345" s="91">
        <f t="shared" si="1861"/>
        <v>0</v>
      </c>
      <c r="GL345" s="91">
        <f t="shared" si="1862"/>
        <v>0</v>
      </c>
      <c r="HA345" s="91">
        <f t="shared" si="1863"/>
        <v>0</v>
      </c>
      <c r="HB345" s="91">
        <f t="shared" si="1864"/>
        <v>0</v>
      </c>
      <c r="HQ345" s="91">
        <f t="shared" si="1865"/>
        <v>0</v>
      </c>
      <c r="HR345" s="91">
        <f t="shared" si="1866"/>
        <v>0</v>
      </c>
      <c r="IG345" s="91">
        <f t="shared" si="1867"/>
        <v>0</v>
      </c>
      <c r="IH345" s="91">
        <f t="shared" si="1868"/>
        <v>0</v>
      </c>
      <c r="IW345" s="91">
        <f t="shared" si="1869"/>
        <v>0</v>
      </c>
      <c r="IX345" s="91">
        <f t="shared" si="1870"/>
        <v>0</v>
      </c>
      <c r="JM345" s="91">
        <f t="shared" si="1871"/>
        <v>0</v>
      </c>
      <c r="JN345" s="91">
        <f t="shared" si="1872"/>
        <v>0</v>
      </c>
      <c r="KC345" s="91">
        <f t="shared" si="1873"/>
        <v>0</v>
      </c>
      <c r="KD345" s="91">
        <f t="shared" si="1874"/>
        <v>0</v>
      </c>
      <c r="KS345" s="91">
        <f t="shared" si="1875"/>
        <v>0</v>
      </c>
      <c r="KT345" s="91">
        <f t="shared" si="1876"/>
        <v>0</v>
      </c>
      <c r="LI345" s="91">
        <f t="shared" si="1877"/>
        <v>0</v>
      </c>
      <c r="LJ345" s="91">
        <f t="shared" si="1878"/>
        <v>0</v>
      </c>
      <c r="LY345" s="91">
        <f t="shared" si="1879"/>
        <v>0</v>
      </c>
      <c r="LZ345" s="91">
        <f t="shared" si="1880"/>
        <v>0</v>
      </c>
      <c r="MC345" s="98">
        <v>8520</v>
      </c>
      <c r="MD345" s="98">
        <v>340800</v>
      </c>
      <c r="MO345" s="91">
        <f t="shared" si="1881"/>
        <v>8520</v>
      </c>
      <c r="MP345" s="91">
        <f t="shared" si="1882"/>
        <v>340800</v>
      </c>
      <c r="NE345" s="91">
        <f t="shared" si="1883"/>
        <v>0</v>
      </c>
      <c r="NF345" s="91">
        <f t="shared" si="1884"/>
        <v>0</v>
      </c>
      <c r="NI345" s="98">
        <v>51200</v>
      </c>
      <c r="NJ345" s="98">
        <v>2304000</v>
      </c>
      <c r="NU345" s="91">
        <f t="shared" si="1885"/>
        <v>51200</v>
      </c>
      <c r="NV345" s="91">
        <f t="shared" si="1886"/>
        <v>2304000</v>
      </c>
      <c r="OK345" s="91">
        <f t="shared" si="1887"/>
        <v>0</v>
      </c>
      <c r="OL345" s="91">
        <f t="shared" si="1888"/>
        <v>0</v>
      </c>
      <c r="PA345" s="91">
        <f t="shared" si="1889"/>
        <v>0</v>
      </c>
      <c r="PB345" s="91">
        <f t="shared" si="1890"/>
        <v>0</v>
      </c>
      <c r="PQ345" s="91">
        <f t="shared" si="1891"/>
        <v>0</v>
      </c>
      <c r="PR345" s="91">
        <f t="shared" si="1892"/>
        <v>0</v>
      </c>
      <c r="QG345" s="91">
        <f t="shared" si="1893"/>
        <v>0</v>
      </c>
      <c r="QH345" s="91">
        <f t="shared" si="1894"/>
        <v>0</v>
      </c>
      <c r="QW345" s="91">
        <f t="shared" si="1895"/>
        <v>0</v>
      </c>
      <c r="QX345" s="91">
        <f t="shared" si="1896"/>
        <v>0</v>
      </c>
      <c r="RM345" s="91">
        <f t="shared" si="1897"/>
        <v>0</v>
      </c>
      <c r="RN345" s="91">
        <f t="shared" si="1898"/>
        <v>0</v>
      </c>
      <c r="SC345" s="91">
        <f t="shared" si="1899"/>
        <v>0</v>
      </c>
      <c r="SD345" s="91">
        <f t="shared" si="1900"/>
        <v>0</v>
      </c>
      <c r="SS345" s="91">
        <f t="shared" si="1901"/>
        <v>0</v>
      </c>
      <c r="ST345" s="91">
        <f t="shared" si="1902"/>
        <v>0</v>
      </c>
      <c r="TI345" s="91">
        <f t="shared" si="1903"/>
        <v>0</v>
      </c>
      <c r="TJ345" s="91">
        <f t="shared" si="1904"/>
        <v>0</v>
      </c>
      <c r="TY345" s="91">
        <f t="shared" si="1905"/>
        <v>0</v>
      </c>
      <c r="TZ345" s="91">
        <f t="shared" si="1906"/>
        <v>0</v>
      </c>
      <c r="UO345" s="91">
        <f t="shared" si="1907"/>
        <v>0</v>
      </c>
      <c r="UP345" s="91">
        <f t="shared" si="1908"/>
        <v>0</v>
      </c>
      <c r="VE345" s="91">
        <f t="shared" si="1909"/>
        <v>0</v>
      </c>
      <c r="VF345" s="91">
        <f t="shared" si="1910"/>
        <v>0</v>
      </c>
      <c r="VU345" s="91">
        <f t="shared" si="1911"/>
        <v>0</v>
      </c>
      <c r="VV345" s="91">
        <f t="shared" si="1912"/>
        <v>0</v>
      </c>
      <c r="WK345" s="91">
        <f t="shared" si="1913"/>
        <v>0</v>
      </c>
      <c r="WL345" s="91">
        <f t="shared" si="1914"/>
        <v>0</v>
      </c>
      <c r="WM345" s="89"/>
      <c r="WN345" s="87">
        <f t="shared" si="1915"/>
        <v>0</v>
      </c>
      <c r="WO345" s="87">
        <f t="shared" si="1916"/>
        <v>0</v>
      </c>
      <c r="WP345" s="87">
        <f t="shared" si="1917"/>
        <v>64720</v>
      </c>
      <c r="WQ345" s="87">
        <f t="shared" si="1918"/>
        <v>2844800</v>
      </c>
      <c r="WR345" s="87">
        <f t="shared" si="1919"/>
        <v>0</v>
      </c>
      <c r="WS345" s="87">
        <f t="shared" si="1920"/>
        <v>0</v>
      </c>
      <c r="WT345" s="87">
        <f t="shared" si="1921"/>
        <v>0</v>
      </c>
      <c r="WU345" s="87">
        <f t="shared" si="1922"/>
        <v>0</v>
      </c>
      <c r="WV345" s="87">
        <f t="shared" si="1923"/>
        <v>0</v>
      </c>
      <c r="WW345" s="87">
        <f t="shared" si="1924"/>
        <v>0</v>
      </c>
      <c r="WX345" s="87">
        <f t="shared" si="1925"/>
        <v>0</v>
      </c>
      <c r="WY345" s="87">
        <f t="shared" si="1926"/>
        <v>0</v>
      </c>
      <c r="WZ345" s="87">
        <f t="shared" si="1933"/>
        <v>0</v>
      </c>
      <c r="XA345" s="87">
        <f t="shared" si="1934"/>
        <v>0</v>
      </c>
      <c r="XB345" s="92">
        <f t="shared" si="1935"/>
        <v>64720</v>
      </c>
      <c r="XC345" s="92">
        <f t="shared" si="1936"/>
        <v>2844800</v>
      </c>
      <c r="XD345" s="89"/>
      <c r="XE345" s="92"/>
      <c r="XF345" s="92"/>
      <c r="XG345" s="89"/>
      <c r="XH345" s="92"/>
      <c r="XI345" s="92"/>
      <c r="XJ345" s="89"/>
      <c r="XK345" s="87"/>
      <c r="XL345" s="87"/>
      <c r="XM345" s="87"/>
      <c r="XN345" s="87"/>
      <c r="XO345" s="87"/>
      <c r="XP345" s="87"/>
      <c r="XQ345" s="87"/>
      <c r="XR345" s="92">
        <f t="shared" ca="1" si="1931"/>
        <v>0</v>
      </c>
      <c r="XS345" s="89"/>
      <c r="XT345" s="87"/>
      <c r="XU345" s="87"/>
      <c r="XV345" s="87"/>
      <c r="XW345" s="87"/>
      <c r="XX345" s="87"/>
      <c r="XY345" s="87"/>
      <c r="XZ345" s="87"/>
      <c r="YA345" s="92">
        <f t="shared" ca="1" si="1932"/>
        <v>0</v>
      </c>
      <c r="YB345" s="90"/>
      <c r="YC345" s="90"/>
      <c r="YD345" s="90"/>
      <c r="YE345" s="90"/>
      <c r="YF345" s="90"/>
      <c r="YG345" s="90"/>
      <c r="YH345" s="90"/>
      <c r="YI345" s="90"/>
      <c r="YJ345" s="90"/>
      <c r="YK345" s="90"/>
      <c r="YL345" s="90"/>
      <c r="YM345" s="90"/>
      <c r="YN345" s="90"/>
      <c r="YO345" s="90"/>
      <c r="YP345" s="90"/>
      <c r="YQ345" s="90"/>
      <c r="YR345" s="90"/>
      <c r="YS345" s="90"/>
      <c r="YT345" s="90"/>
      <c r="YU345" s="90"/>
      <c r="YV345" s="90"/>
      <c r="YW345" s="90"/>
      <c r="YX345" s="90"/>
      <c r="YY345" s="90"/>
      <c r="YZ345" s="90"/>
      <c r="ZA345" s="90"/>
      <c r="ZB345" s="90"/>
      <c r="ZC345" s="90"/>
      <c r="ZD345" s="90"/>
      <c r="ZE345" s="90"/>
      <c r="ZF345" s="90"/>
      <c r="ZG345" s="90"/>
      <c r="ZH345" s="90"/>
      <c r="ZI345" s="90"/>
      <c r="ZJ345" s="90"/>
      <c r="ZK345" s="90"/>
      <c r="ZL345" s="90"/>
      <c r="ZM345" s="90"/>
      <c r="ZN345" s="90"/>
      <c r="ZO345" s="90"/>
      <c r="ZP345" s="90"/>
      <c r="ZQ345" s="90"/>
      <c r="ZR345" s="90"/>
      <c r="ZS345" s="90"/>
      <c r="ZT345" s="90"/>
      <c r="ZU345" s="90"/>
      <c r="ZV345" s="90"/>
      <c r="ZW345" s="90"/>
      <c r="ZX345" s="90"/>
      <c r="ZY345" s="90"/>
      <c r="ZZ345" s="90"/>
      <c r="AAA345" s="90"/>
      <c r="AAB345" s="90"/>
      <c r="AAC345" s="90"/>
      <c r="AAD345" s="90"/>
      <c r="AAE345" s="90"/>
      <c r="AAF345" s="90"/>
      <c r="AAG345" s="90"/>
      <c r="AAH345" s="90"/>
      <c r="AAI345" s="90"/>
      <c r="AAJ345" s="90"/>
      <c r="AAK345" s="90"/>
      <c r="AAL345" s="90"/>
      <c r="AAM345" s="90"/>
      <c r="AAN345" s="90"/>
      <c r="AAO345" s="90"/>
      <c r="AAP345" s="90"/>
      <c r="AAQ345" s="90"/>
      <c r="AAR345" s="90"/>
      <c r="AAS345" s="90"/>
      <c r="AAT345" s="90"/>
      <c r="AAU345" s="90"/>
      <c r="AAV345" s="90"/>
      <c r="AAW345" s="90"/>
      <c r="AAX345" s="90"/>
      <c r="AAY345" s="90"/>
      <c r="AAZ345" s="90"/>
      <c r="ABA345" s="90"/>
      <c r="ABB345" s="90"/>
      <c r="ABC345" s="90"/>
      <c r="ABD345" s="90"/>
      <c r="ABE345" s="90"/>
      <c r="ABF345" s="90"/>
      <c r="ABG345" s="90"/>
      <c r="ABH345" s="90"/>
      <c r="ABI345" s="90"/>
      <c r="ABJ345" s="90"/>
      <c r="ABK345" s="90"/>
      <c r="ABL345" s="90"/>
      <c r="ABM345" s="90"/>
      <c r="ABN345" s="90"/>
      <c r="ABO345" s="90"/>
      <c r="ABP345" s="90"/>
      <c r="ABQ345" s="90"/>
      <c r="ABR345" s="90"/>
      <c r="ABS345" s="90"/>
      <c r="ABT345" s="90"/>
      <c r="ABU345" s="90"/>
      <c r="ABV345" s="90"/>
      <c r="ABW345" s="90"/>
      <c r="ABX345" s="90"/>
      <c r="ABY345" s="90"/>
      <c r="ABZ345" s="90"/>
      <c r="ACA345" s="90"/>
      <c r="ACB345" s="90"/>
      <c r="ACC345" s="90"/>
      <c r="ACD345" s="90"/>
      <c r="ACE345" s="90"/>
      <c r="ACF345" s="90"/>
      <c r="ACG345" s="90"/>
      <c r="ACH345" s="90"/>
      <c r="ACI345" s="90"/>
      <c r="ACJ345" s="90"/>
      <c r="ACK345" s="90"/>
      <c r="ACL345" s="90"/>
      <c r="ACM345" s="90"/>
      <c r="ACN345" s="90"/>
      <c r="ACO345" s="90"/>
      <c r="ACP345" s="90"/>
      <c r="ACQ345" s="90"/>
      <c r="ACR345" s="90"/>
      <c r="ACS345" s="90"/>
      <c r="ACT345" s="90"/>
      <c r="ACU345" s="90"/>
      <c r="ACV345" s="90"/>
      <c r="ACW345" s="90"/>
      <c r="ACX345" s="90"/>
      <c r="ACY345" s="90"/>
      <c r="ACZ345" s="90"/>
      <c r="ADA345" s="90"/>
      <c r="ADB345" s="90"/>
      <c r="ADC345" s="90"/>
      <c r="ADD345" s="90"/>
      <c r="ADE345" s="90"/>
      <c r="ADF345" s="90"/>
      <c r="ADG345" s="90"/>
      <c r="ADH345" s="90"/>
      <c r="ADI345" s="90"/>
      <c r="ADJ345" s="90"/>
      <c r="ADK345" s="90"/>
      <c r="ADL345" s="90"/>
      <c r="ADM345" s="90"/>
      <c r="ADN345" s="90"/>
      <c r="ADO345" s="90"/>
      <c r="ADP345" s="90"/>
      <c r="ADQ345" s="90"/>
      <c r="ADR345" s="90"/>
      <c r="ADS345" s="90"/>
      <c r="ADT345" s="90"/>
      <c r="ADU345" s="90"/>
      <c r="ADV345" s="90"/>
      <c r="ADW345" s="90"/>
      <c r="ADX345" s="90"/>
      <c r="ADY345" s="90"/>
      <c r="ADZ345" s="90"/>
      <c r="AEA345" s="90"/>
      <c r="AEB345" s="90"/>
      <c r="AEC345" s="90"/>
      <c r="AED345" s="90"/>
      <c r="AEE345" s="90"/>
      <c r="AEF345" s="90"/>
      <c r="AEG345" s="90"/>
      <c r="AEH345" s="90"/>
      <c r="AEI345" s="90"/>
      <c r="AEJ345" s="90"/>
      <c r="AEK345" s="90"/>
      <c r="AEL345" s="90"/>
      <c r="AEM345" s="90"/>
      <c r="AEN345" s="90"/>
      <c r="AEO345" s="90"/>
      <c r="AEP345" s="90"/>
      <c r="AEQ345" s="90"/>
      <c r="AER345" s="90"/>
      <c r="AES345" s="90"/>
      <c r="AET345" s="90"/>
      <c r="AEU345" s="90"/>
      <c r="AEV345" s="90"/>
      <c r="AEW345" s="90"/>
      <c r="AEX345" s="90"/>
      <c r="AEY345" s="90"/>
      <c r="AEZ345" s="90"/>
      <c r="AFA345" s="90"/>
      <c r="AFB345" s="90"/>
      <c r="AFC345" s="90"/>
      <c r="AFD345" s="90"/>
      <c r="AFE345" s="90"/>
      <c r="AFF345" s="90"/>
      <c r="AFG345" s="90"/>
      <c r="AFH345" s="90"/>
      <c r="AFI345" s="90"/>
      <c r="AFJ345" s="90"/>
      <c r="AFK345" s="90"/>
      <c r="AFL345" s="90"/>
      <c r="AFM345" s="90"/>
      <c r="AFN345" s="90"/>
      <c r="AFO345" s="90"/>
      <c r="AFP345" s="90"/>
      <c r="AFQ345" s="90"/>
      <c r="AFR345" s="90"/>
      <c r="AFS345" s="90"/>
      <c r="AFT345" s="90"/>
      <c r="AFU345" s="90"/>
      <c r="AFV345" s="90"/>
      <c r="AFW345" s="90"/>
      <c r="AFX345" s="90"/>
      <c r="AFY345" s="90"/>
      <c r="AFZ345" s="90"/>
      <c r="AGA345" s="90"/>
      <c r="AGB345" s="90"/>
      <c r="AGC345" s="90"/>
      <c r="AGD345" s="90"/>
      <c r="AGE345" s="90"/>
      <c r="AGF345" s="90"/>
      <c r="AGG345" s="90"/>
      <c r="AGH345" s="90"/>
      <c r="AGI345" s="90"/>
      <c r="AGJ345" s="90"/>
      <c r="AGK345" s="90"/>
      <c r="AGL345" s="90"/>
      <c r="AGM345" s="90"/>
      <c r="AGN345" s="90"/>
      <c r="AGO345" s="90"/>
      <c r="AGP345" s="90"/>
      <c r="AGQ345" s="90"/>
      <c r="AGR345" s="90"/>
      <c r="AGS345" s="90"/>
      <c r="AGT345" s="90"/>
      <c r="AGU345" s="90"/>
      <c r="AGV345" s="90"/>
      <c r="AGW345" s="90"/>
      <c r="AGX345" s="90"/>
      <c r="AGY345" s="90"/>
      <c r="AGZ345" s="90"/>
      <c r="AHA345" s="90"/>
      <c r="AHB345" s="90"/>
      <c r="AHC345" s="90"/>
      <c r="AHD345" s="90"/>
      <c r="AHE345" s="90"/>
      <c r="AHF345" s="90"/>
      <c r="AHG345" s="90"/>
      <c r="AHH345" s="90"/>
      <c r="AHI345" s="90"/>
      <c r="AHJ345" s="90"/>
      <c r="AHK345" s="90"/>
      <c r="AHL345" s="90"/>
      <c r="AHM345" s="90"/>
      <c r="AHN345" s="90"/>
      <c r="AHO345" s="90"/>
      <c r="AHP345" s="90"/>
      <c r="AHQ345" s="90"/>
      <c r="AHR345" s="90"/>
      <c r="AHS345" s="90"/>
      <c r="AHT345" s="90"/>
      <c r="AHU345" s="90"/>
      <c r="AHV345" s="90"/>
      <c r="AHW345" s="90"/>
      <c r="AHX345" s="90"/>
      <c r="AHY345" s="90"/>
      <c r="AHZ345" s="90"/>
      <c r="AIA345" s="90"/>
      <c r="AIB345" s="90"/>
      <c r="AIC345" s="90"/>
      <c r="AID345" s="90"/>
      <c r="AIE345" s="90"/>
      <c r="AIF345" s="90"/>
      <c r="AIG345" s="90"/>
      <c r="AIH345" s="90"/>
      <c r="AII345" s="90"/>
      <c r="AIJ345" s="90"/>
      <c r="AIK345" s="90"/>
      <c r="AIL345" s="90"/>
      <c r="AIM345" s="90"/>
      <c r="AIN345" s="90"/>
      <c r="AIO345" s="90"/>
      <c r="AIP345" s="90"/>
      <c r="AIQ345" s="90"/>
      <c r="AIR345" s="90"/>
      <c r="AIS345" s="90"/>
      <c r="AIT345" s="90"/>
      <c r="AIU345" s="90"/>
      <c r="AIV345" s="90"/>
      <c r="AIW345" s="90"/>
      <c r="AIX345" s="90"/>
      <c r="AIY345" s="90"/>
      <c r="AIZ345" s="90"/>
      <c r="AJA345" s="90"/>
      <c r="AJB345" s="90"/>
      <c r="AJC345" s="90"/>
      <c r="AJD345" s="90"/>
      <c r="AJE345" s="90"/>
      <c r="AJF345" s="90"/>
      <c r="AJG345" s="90"/>
      <c r="AJH345" s="90"/>
      <c r="AJI345" s="90"/>
      <c r="AJJ345" s="90"/>
      <c r="AJK345" s="90"/>
      <c r="AJL345" s="90"/>
      <c r="AJM345" s="90"/>
      <c r="AJN345" s="90"/>
      <c r="AJO345" s="90"/>
      <c r="AJP345" s="90"/>
      <c r="AJQ345" s="90"/>
      <c r="AJR345" s="90"/>
      <c r="AJS345" s="90"/>
      <c r="AJT345" s="90"/>
      <c r="AJU345" s="90"/>
      <c r="AJV345" s="90"/>
      <c r="AJW345" s="90"/>
      <c r="AJX345" s="90"/>
      <c r="AJY345" s="90"/>
      <c r="AJZ345" s="90"/>
      <c r="AKA345" s="90"/>
      <c r="AKB345" s="90"/>
      <c r="AKC345" s="90"/>
      <c r="AKD345" s="90"/>
      <c r="AKE345" s="90"/>
      <c r="AKF345" s="90"/>
      <c r="AKG345" s="90"/>
      <c r="AKH345" s="90"/>
      <c r="AKI345" s="90"/>
      <c r="AKJ345" s="90"/>
      <c r="AKK345" s="90"/>
      <c r="AKL345" s="90"/>
      <c r="AKM345" s="90"/>
      <c r="AKN345" s="90"/>
      <c r="AKO345" s="90"/>
      <c r="AKP345" s="90"/>
      <c r="AKQ345" s="90"/>
      <c r="AKR345" s="90"/>
      <c r="AKS345" s="90"/>
      <c r="AKT345" s="90"/>
      <c r="AKU345" s="90"/>
      <c r="AKV345" s="90"/>
      <c r="AKW345" s="90"/>
      <c r="AKX345" s="90"/>
      <c r="AKY345" s="90"/>
      <c r="AKZ345" s="90"/>
      <c r="ALA345" s="90"/>
      <c r="ALB345" s="90"/>
      <c r="ALC345" s="90"/>
      <c r="ALD345" s="90"/>
      <c r="ALE345" s="90"/>
      <c r="ALF345" s="90"/>
      <c r="ALG345" s="90"/>
      <c r="ALH345" s="90"/>
      <c r="ALI345" s="90"/>
      <c r="ALJ345" s="90"/>
      <c r="ALK345" s="90"/>
      <c r="ALL345" s="90"/>
      <c r="ALM345" s="90"/>
      <c r="ALN345" s="90"/>
      <c r="ALO345" s="90"/>
      <c r="ALP345" s="90"/>
      <c r="ALQ345" s="90"/>
      <c r="ALR345" s="90"/>
      <c r="ALS345" s="90"/>
      <c r="ALT345" s="90"/>
      <c r="ALU345" s="90"/>
      <c r="ALV345" s="90"/>
      <c r="ALW345" s="90"/>
      <c r="ALX345" s="90"/>
      <c r="ALY345" s="90"/>
      <c r="ALZ345" s="90"/>
      <c r="AMA345" s="90"/>
      <c r="AMB345" s="90"/>
      <c r="AMC345" s="90"/>
    </row>
    <row r="346" spans="1:1017">
      <c r="A346" s="98" t="s">
        <v>53</v>
      </c>
      <c r="B346" s="90" t="str">
        <f t="shared" si="1937"/>
        <v xml:space="preserve">Udang_02 (Udang Rebon) </v>
      </c>
      <c r="Q346" s="91">
        <f t="shared" si="1839"/>
        <v>0</v>
      </c>
      <c r="R346" s="91">
        <f t="shared" si="1840"/>
        <v>0</v>
      </c>
      <c r="AG346" s="91">
        <f t="shared" si="1841"/>
        <v>0</v>
      </c>
      <c r="AH346" s="91">
        <f t="shared" si="1842"/>
        <v>0</v>
      </c>
      <c r="AW346" s="91">
        <f t="shared" si="1843"/>
        <v>0</v>
      </c>
      <c r="AX346" s="91">
        <f t="shared" si="1844"/>
        <v>0</v>
      </c>
      <c r="BM346" s="91">
        <f t="shared" si="1845"/>
        <v>0</v>
      </c>
      <c r="BN346" s="91">
        <f t="shared" si="1846"/>
        <v>0</v>
      </c>
      <c r="CC346" s="91">
        <f t="shared" si="1847"/>
        <v>0</v>
      </c>
      <c r="CD346" s="91">
        <f t="shared" si="1848"/>
        <v>0</v>
      </c>
      <c r="CS346" s="91">
        <f t="shared" si="1849"/>
        <v>0</v>
      </c>
      <c r="CT346" s="91">
        <f t="shared" si="1850"/>
        <v>0</v>
      </c>
      <c r="DI346" s="91">
        <f t="shared" si="1851"/>
        <v>0</v>
      </c>
      <c r="DJ346" s="91">
        <f t="shared" si="1852"/>
        <v>0</v>
      </c>
      <c r="DY346" s="91">
        <f t="shared" si="1853"/>
        <v>0</v>
      </c>
      <c r="DZ346" s="91">
        <f t="shared" si="1854"/>
        <v>0</v>
      </c>
      <c r="EO346" s="91">
        <f t="shared" si="1855"/>
        <v>0</v>
      </c>
      <c r="EP346" s="91">
        <f t="shared" si="1856"/>
        <v>0</v>
      </c>
      <c r="FE346" s="91">
        <f t="shared" si="1857"/>
        <v>0</v>
      </c>
      <c r="FF346" s="91">
        <f t="shared" si="1858"/>
        <v>0</v>
      </c>
      <c r="FU346" s="91">
        <f t="shared" si="1859"/>
        <v>0</v>
      </c>
      <c r="FV346" s="91">
        <f t="shared" si="1860"/>
        <v>0</v>
      </c>
      <c r="GK346" s="91">
        <f t="shared" si="1861"/>
        <v>0</v>
      </c>
      <c r="GL346" s="91">
        <f t="shared" si="1862"/>
        <v>0</v>
      </c>
      <c r="HA346" s="91">
        <f t="shared" si="1863"/>
        <v>0</v>
      </c>
      <c r="HB346" s="91">
        <f t="shared" si="1864"/>
        <v>0</v>
      </c>
      <c r="HQ346" s="91">
        <f t="shared" si="1865"/>
        <v>0</v>
      </c>
      <c r="HR346" s="91">
        <f t="shared" si="1866"/>
        <v>0</v>
      </c>
      <c r="IG346" s="91">
        <f t="shared" si="1867"/>
        <v>0</v>
      </c>
      <c r="IH346" s="91">
        <f t="shared" si="1868"/>
        <v>0</v>
      </c>
      <c r="IW346" s="91">
        <f t="shared" si="1869"/>
        <v>0</v>
      </c>
      <c r="IX346" s="91">
        <f t="shared" si="1870"/>
        <v>0</v>
      </c>
      <c r="JM346" s="91">
        <f t="shared" si="1871"/>
        <v>0</v>
      </c>
      <c r="JN346" s="91">
        <f t="shared" si="1872"/>
        <v>0</v>
      </c>
      <c r="KC346" s="91">
        <f t="shared" si="1873"/>
        <v>0</v>
      </c>
      <c r="KD346" s="91">
        <f t="shared" si="1874"/>
        <v>0</v>
      </c>
      <c r="KS346" s="91">
        <f t="shared" si="1875"/>
        <v>0</v>
      </c>
      <c r="KT346" s="91">
        <f t="shared" si="1876"/>
        <v>0</v>
      </c>
      <c r="LI346" s="91">
        <f t="shared" si="1877"/>
        <v>0</v>
      </c>
      <c r="LJ346" s="91">
        <f t="shared" si="1878"/>
        <v>0</v>
      </c>
      <c r="LY346" s="91">
        <f t="shared" si="1879"/>
        <v>0</v>
      </c>
      <c r="LZ346" s="91">
        <f t="shared" si="1880"/>
        <v>0</v>
      </c>
      <c r="MO346" s="91">
        <f t="shared" si="1881"/>
        <v>0</v>
      </c>
      <c r="MP346" s="91">
        <f t="shared" si="1882"/>
        <v>0</v>
      </c>
      <c r="NE346" s="91">
        <f t="shared" si="1883"/>
        <v>0</v>
      </c>
      <c r="NF346" s="91">
        <f t="shared" si="1884"/>
        <v>0</v>
      </c>
      <c r="NI346" s="98">
        <v>187300</v>
      </c>
      <c r="NJ346" s="98">
        <v>7492000</v>
      </c>
      <c r="NU346" s="91">
        <f t="shared" si="1885"/>
        <v>187300</v>
      </c>
      <c r="NV346" s="91">
        <f t="shared" si="1886"/>
        <v>7492000</v>
      </c>
      <c r="OK346" s="91">
        <f t="shared" si="1887"/>
        <v>0</v>
      </c>
      <c r="OL346" s="91">
        <f t="shared" si="1888"/>
        <v>0</v>
      </c>
      <c r="PA346" s="91">
        <f t="shared" si="1889"/>
        <v>0</v>
      </c>
      <c r="PB346" s="91">
        <f t="shared" si="1890"/>
        <v>0</v>
      </c>
      <c r="PQ346" s="91">
        <f t="shared" si="1891"/>
        <v>0</v>
      </c>
      <c r="PR346" s="91">
        <f t="shared" si="1892"/>
        <v>0</v>
      </c>
      <c r="QG346" s="91">
        <f t="shared" si="1893"/>
        <v>0</v>
      </c>
      <c r="QH346" s="91">
        <f t="shared" si="1894"/>
        <v>0</v>
      </c>
      <c r="QW346" s="91">
        <f t="shared" si="1895"/>
        <v>0</v>
      </c>
      <c r="QX346" s="91">
        <f t="shared" si="1896"/>
        <v>0</v>
      </c>
      <c r="RM346" s="91">
        <f t="shared" si="1897"/>
        <v>0</v>
      </c>
      <c r="RN346" s="91">
        <f t="shared" si="1898"/>
        <v>0</v>
      </c>
      <c r="SC346" s="91">
        <f t="shared" si="1899"/>
        <v>0</v>
      </c>
      <c r="SD346" s="91">
        <f t="shared" si="1900"/>
        <v>0</v>
      </c>
      <c r="SS346" s="91">
        <f t="shared" si="1901"/>
        <v>0</v>
      </c>
      <c r="ST346" s="91">
        <f t="shared" si="1902"/>
        <v>0</v>
      </c>
      <c r="TI346" s="91">
        <f t="shared" si="1903"/>
        <v>0</v>
      </c>
      <c r="TJ346" s="91">
        <f t="shared" si="1904"/>
        <v>0</v>
      </c>
      <c r="TY346" s="91">
        <f t="shared" si="1905"/>
        <v>0</v>
      </c>
      <c r="TZ346" s="91">
        <f t="shared" si="1906"/>
        <v>0</v>
      </c>
      <c r="UO346" s="91">
        <f t="shared" si="1907"/>
        <v>0</v>
      </c>
      <c r="UP346" s="91">
        <f t="shared" si="1908"/>
        <v>0</v>
      </c>
      <c r="VE346" s="91">
        <f t="shared" si="1909"/>
        <v>0</v>
      </c>
      <c r="VF346" s="91">
        <f t="shared" si="1910"/>
        <v>0</v>
      </c>
      <c r="VU346" s="91">
        <f t="shared" si="1911"/>
        <v>0</v>
      </c>
      <c r="VV346" s="91">
        <f t="shared" si="1912"/>
        <v>0</v>
      </c>
      <c r="WK346" s="91">
        <f t="shared" si="1913"/>
        <v>0</v>
      </c>
      <c r="WL346" s="91">
        <f t="shared" si="1914"/>
        <v>0</v>
      </c>
      <c r="WM346" s="89"/>
      <c r="WN346" s="87">
        <f t="shared" ref="WN346:WN354" si="1938">SUMIF($C$5:$WL$5,$WN$5,C346:WL346)</f>
        <v>0</v>
      </c>
      <c r="WO346" s="87">
        <f t="shared" ref="WO346:WO354" si="1939">SUMIF($C$5:$WL$5,$WO$5,C346:WL346)</f>
        <v>0</v>
      </c>
      <c r="WP346" s="87">
        <f t="shared" ref="WP346:WP354" si="1940">SUMIF($C$5:$WL$5,$WP$5,C346:WL346)</f>
        <v>187300</v>
      </c>
      <c r="WQ346" s="87">
        <f t="shared" ref="WQ346:WQ354" si="1941">SUMIF($C$5:$WL$5,$WQ$5,C346:WL346)</f>
        <v>7492000</v>
      </c>
      <c r="WR346" s="87">
        <f t="shared" ref="WR346:WR354" si="1942">SUMIF($C$5:$WL$5,$WR$5,C346:WL346)</f>
        <v>0</v>
      </c>
      <c r="WS346" s="87">
        <f t="shared" ref="WS346:WS354" si="1943">SUMIF($C$5:$WL$5,$WS$5,C346:WL346)</f>
        <v>0</v>
      </c>
      <c r="WT346" s="87">
        <f t="shared" ref="WT346:WT354" si="1944">SUMIF($C$5:$WL$5,$WT$5,C346:WL346)</f>
        <v>0</v>
      </c>
      <c r="WU346" s="87">
        <f t="shared" ref="WU346:WU354" si="1945">SUMIF($C$5:$WL$5,$WU$5,C346:WL346)</f>
        <v>0</v>
      </c>
      <c r="WV346" s="87">
        <f t="shared" ref="WV346:WV354" si="1946">SUMIF($C$5:$WL$5,$WV$5,C346:WL346)</f>
        <v>0</v>
      </c>
      <c r="WW346" s="87">
        <f t="shared" ref="WW346:WW354" si="1947">SUMIF($C$5:$WL$5,$WW$5,C346:WL346)</f>
        <v>0</v>
      </c>
      <c r="WX346" s="87">
        <f t="shared" ref="WX346:WX354" si="1948">SUMIF($C$5:$WL$5,$WX$5,C346:WL346)</f>
        <v>0</v>
      </c>
      <c r="WY346" s="87">
        <f t="shared" ref="WY346:WY354" si="1949">SUMIF($C$5:$WL$5,$WY$5,C346:WL346)</f>
        <v>0</v>
      </c>
      <c r="WZ346" s="87">
        <f t="shared" si="1933"/>
        <v>0</v>
      </c>
      <c r="XA346" s="87">
        <f t="shared" si="1934"/>
        <v>0</v>
      </c>
      <c r="XB346" s="92">
        <f t="shared" si="1935"/>
        <v>187300</v>
      </c>
      <c r="XC346" s="92">
        <f t="shared" si="1936"/>
        <v>7492000</v>
      </c>
      <c r="XD346" s="89"/>
      <c r="XE346" s="92"/>
      <c r="XF346" s="92"/>
      <c r="XG346" s="89"/>
      <c r="XH346" s="92"/>
      <c r="XI346" s="92"/>
      <c r="XJ346" s="89"/>
      <c r="XK346" s="87"/>
      <c r="XL346" s="87"/>
      <c r="XM346" s="87"/>
      <c r="XN346" s="87"/>
      <c r="XO346" s="87"/>
      <c r="XP346" s="87"/>
      <c r="XQ346" s="87"/>
      <c r="XR346" s="92">
        <f t="shared" ca="1" si="1931"/>
        <v>0</v>
      </c>
      <c r="XS346" s="89"/>
      <c r="XT346" s="87"/>
      <c r="XU346" s="87"/>
      <c r="XV346" s="87"/>
      <c r="XW346" s="87"/>
      <c r="XX346" s="87"/>
      <c r="XY346" s="87"/>
      <c r="XZ346" s="87"/>
      <c r="YA346" s="92">
        <f t="shared" ca="1" si="1932"/>
        <v>0</v>
      </c>
      <c r="YB346" s="90"/>
      <c r="YC346" s="90"/>
      <c r="YD346" s="90"/>
      <c r="YE346" s="90"/>
      <c r="YF346" s="90"/>
      <c r="YG346" s="90"/>
      <c r="YH346" s="90"/>
      <c r="YI346" s="90"/>
      <c r="YJ346" s="90"/>
      <c r="YK346" s="90"/>
      <c r="YL346" s="90"/>
      <c r="YM346" s="90"/>
      <c r="YN346" s="90"/>
      <c r="YO346" s="90"/>
      <c r="YP346" s="90"/>
      <c r="YQ346" s="90"/>
      <c r="YR346" s="90"/>
      <c r="YS346" s="90"/>
      <c r="YT346" s="90"/>
      <c r="YU346" s="90"/>
      <c r="YV346" s="90"/>
      <c r="YW346" s="90"/>
      <c r="YX346" s="90"/>
      <c r="YY346" s="90"/>
      <c r="YZ346" s="90"/>
      <c r="ZA346" s="90"/>
      <c r="ZB346" s="90"/>
      <c r="ZC346" s="90"/>
      <c r="ZD346" s="90"/>
      <c r="ZE346" s="90"/>
      <c r="ZF346" s="90"/>
      <c r="ZG346" s="90"/>
      <c r="ZH346" s="90"/>
      <c r="ZI346" s="90"/>
      <c r="ZJ346" s="90"/>
      <c r="ZK346" s="90"/>
      <c r="ZL346" s="90"/>
      <c r="ZM346" s="90"/>
      <c r="ZN346" s="90"/>
      <c r="ZO346" s="90"/>
      <c r="ZP346" s="90"/>
      <c r="ZQ346" s="90"/>
      <c r="ZR346" s="90"/>
      <c r="ZS346" s="90"/>
      <c r="ZT346" s="90"/>
      <c r="ZU346" s="90"/>
      <c r="ZV346" s="90"/>
      <c r="ZW346" s="90"/>
      <c r="ZX346" s="90"/>
      <c r="ZY346" s="90"/>
      <c r="ZZ346" s="90"/>
      <c r="AAA346" s="90"/>
      <c r="AAB346" s="90"/>
      <c r="AAC346" s="90"/>
      <c r="AAD346" s="90"/>
      <c r="AAE346" s="90"/>
      <c r="AAF346" s="90"/>
      <c r="AAG346" s="90"/>
      <c r="AAH346" s="90"/>
      <c r="AAI346" s="90"/>
      <c r="AAJ346" s="90"/>
      <c r="AAK346" s="90"/>
      <c r="AAL346" s="90"/>
      <c r="AAM346" s="90"/>
      <c r="AAN346" s="90"/>
      <c r="AAO346" s="90"/>
      <c r="AAP346" s="90"/>
      <c r="AAQ346" s="90"/>
      <c r="AAR346" s="90"/>
      <c r="AAS346" s="90"/>
      <c r="AAT346" s="90"/>
      <c r="AAU346" s="90"/>
      <c r="AAV346" s="90"/>
      <c r="AAW346" s="90"/>
      <c r="AAX346" s="90"/>
      <c r="AAY346" s="90"/>
      <c r="AAZ346" s="90"/>
      <c r="ABA346" s="90"/>
      <c r="ABB346" s="90"/>
      <c r="ABC346" s="90"/>
      <c r="ABD346" s="90"/>
      <c r="ABE346" s="90"/>
      <c r="ABF346" s="90"/>
      <c r="ABG346" s="90"/>
      <c r="ABH346" s="90"/>
      <c r="ABI346" s="90"/>
      <c r="ABJ346" s="90"/>
      <c r="ABK346" s="90"/>
      <c r="ABL346" s="90"/>
      <c r="ABM346" s="90"/>
      <c r="ABN346" s="90"/>
      <c r="ABO346" s="90"/>
      <c r="ABP346" s="90"/>
      <c r="ABQ346" s="90"/>
      <c r="ABR346" s="90"/>
      <c r="ABS346" s="90"/>
      <c r="ABT346" s="90"/>
      <c r="ABU346" s="90"/>
      <c r="ABV346" s="90"/>
      <c r="ABW346" s="90"/>
      <c r="ABX346" s="90"/>
      <c r="ABY346" s="90"/>
      <c r="ABZ346" s="90"/>
      <c r="ACA346" s="90"/>
      <c r="ACB346" s="90"/>
      <c r="ACC346" s="90"/>
      <c r="ACD346" s="90"/>
      <c r="ACE346" s="90"/>
      <c r="ACF346" s="90"/>
      <c r="ACG346" s="90"/>
      <c r="ACH346" s="90"/>
      <c r="ACI346" s="90"/>
      <c r="ACJ346" s="90"/>
      <c r="ACK346" s="90"/>
      <c r="ACL346" s="90"/>
      <c r="ACM346" s="90"/>
      <c r="ACN346" s="90"/>
      <c r="ACO346" s="90"/>
      <c r="ACP346" s="90"/>
      <c r="ACQ346" s="90"/>
      <c r="ACR346" s="90"/>
      <c r="ACS346" s="90"/>
      <c r="ACT346" s="90"/>
      <c r="ACU346" s="90"/>
      <c r="ACV346" s="90"/>
      <c r="ACW346" s="90"/>
      <c r="ACX346" s="90"/>
      <c r="ACY346" s="90"/>
      <c r="ACZ346" s="90"/>
      <c r="ADA346" s="90"/>
      <c r="ADB346" s="90"/>
      <c r="ADC346" s="90"/>
      <c r="ADD346" s="90"/>
      <c r="ADE346" s="90"/>
      <c r="ADF346" s="90"/>
      <c r="ADG346" s="90"/>
      <c r="ADH346" s="90"/>
      <c r="ADI346" s="90"/>
      <c r="ADJ346" s="90"/>
      <c r="ADK346" s="90"/>
      <c r="ADL346" s="90"/>
      <c r="ADM346" s="90"/>
      <c r="ADN346" s="90"/>
      <c r="ADO346" s="90"/>
      <c r="ADP346" s="90"/>
      <c r="ADQ346" s="90"/>
      <c r="ADR346" s="90"/>
      <c r="ADS346" s="90"/>
      <c r="ADT346" s="90"/>
      <c r="ADU346" s="90"/>
      <c r="ADV346" s="90"/>
      <c r="ADW346" s="90"/>
      <c r="ADX346" s="90"/>
      <c r="ADY346" s="90"/>
      <c r="ADZ346" s="90"/>
      <c r="AEA346" s="90"/>
      <c r="AEB346" s="90"/>
      <c r="AEC346" s="90"/>
      <c r="AED346" s="90"/>
      <c r="AEE346" s="90"/>
      <c r="AEF346" s="90"/>
      <c r="AEG346" s="90"/>
      <c r="AEH346" s="90"/>
      <c r="AEI346" s="90"/>
      <c r="AEJ346" s="90"/>
      <c r="AEK346" s="90"/>
      <c r="AEL346" s="90"/>
      <c r="AEM346" s="90"/>
      <c r="AEN346" s="90"/>
      <c r="AEO346" s="90"/>
      <c r="AEP346" s="90"/>
      <c r="AEQ346" s="90"/>
      <c r="AER346" s="90"/>
      <c r="AES346" s="90"/>
      <c r="AET346" s="90"/>
      <c r="AEU346" s="90"/>
      <c r="AEV346" s="90"/>
      <c r="AEW346" s="90"/>
      <c r="AEX346" s="90"/>
      <c r="AEY346" s="90"/>
      <c r="AEZ346" s="90"/>
      <c r="AFA346" s="90"/>
      <c r="AFB346" s="90"/>
      <c r="AFC346" s="90"/>
      <c r="AFD346" s="90"/>
      <c r="AFE346" s="90"/>
      <c r="AFF346" s="90"/>
      <c r="AFG346" s="90"/>
      <c r="AFH346" s="90"/>
      <c r="AFI346" s="90"/>
      <c r="AFJ346" s="90"/>
      <c r="AFK346" s="90"/>
      <c r="AFL346" s="90"/>
      <c r="AFM346" s="90"/>
      <c r="AFN346" s="90"/>
      <c r="AFO346" s="90"/>
      <c r="AFP346" s="90"/>
      <c r="AFQ346" s="90"/>
      <c r="AFR346" s="90"/>
      <c r="AFS346" s="90"/>
      <c r="AFT346" s="90"/>
      <c r="AFU346" s="90"/>
      <c r="AFV346" s="90"/>
      <c r="AFW346" s="90"/>
      <c r="AFX346" s="90"/>
      <c r="AFY346" s="90"/>
      <c r="AFZ346" s="90"/>
      <c r="AGA346" s="90"/>
      <c r="AGB346" s="90"/>
      <c r="AGC346" s="90"/>
      <c r="AGD346" s="90"/>
      <c r="AGE346" s="90"/>
      <c r="AGF346" s="90"/>
      <c r="AGG346" s="90"/>
      <c r="AGH346" s="90"/>
      <c r="AGI346" s="90"/>
      <c r="AGJ346" s="90"/>
      <c r="AGK346" s="90"/>
      <c r="AGL346" s="90"/>
      <c r="AGM346" s="90"/>
      <c r="AGN346" s="90"/>
      <c r="AGO346" s="90"/>
      <c r="AGP346" s="90"/>
      <c r="AGQ346" s="90"/>
      <c r="AGR346" s="90"/>
      <c r="AGS346" s="90"/>
      <c r="AGT346" s="90"/>
      <c r="AGU346" s="90"/>
      <c r="AGV346" s="90"/>
      <c r="AGW346" s="90"/>
      <c r="AGX346" s="90"/>
      <c r="AGY346" s="90"/>
      <c r="AGZ346" s="90"/>
      <c r="AHA346" s="90"/>
      <c r="AHB346" s="90"/>
      <c r="AHC346" s="90"/>
      <c r="AHD346" s="90"/>
      <c r="AHE346" s="90"/>
      <c r="AHF346" s="90"/>
      <c r="AHG346" s="90"/>
      <c r="AHH346" s="90"/>
      <c r="AHI346" s="90"/>
      <c r="AHJ346" s="90"/>
      <c r="AHK346" s="90"/>
      <c r="AHL346" s="90"/>
      <c r="AHM346" s="90"/>
      <c r="AHN346" s="90"/>
      <c r="AHO346" s="90"/>
      <c r="AHP346" s="90"/>
      <c r="AHQ346" s="90"/>
      <c r="AHR346" s="90"/>
      <c r="AHS346" s="90"/>
      <c r="AHT346" s="90"/>
      <c r="AHU346" s="90"/>
      <c r="AHV346" s="90"/>
      <c r="AHW346" s="90"/>
      <c r="AHX346" s="90"/>
      <c r="AHY346" s="90"/>
      <c r="AHZ346" s="90"/>
      <c r="AIA346" s="90"/>
      <c r="AIB346" s="90"/>
      <c r="AIC346" s="90"/>
      <c r="AID346" s="90"/>
      <c r="AIE346" s="90"/>
      <c r="AIF346" s="90"/>
      <c r="AIG346" s="90"/>
      <c r="AIH346" s="90"/>
      <c r="AII346" s="90"/>
      <c r="AIJ346" s="90"/>
      <c r="AIK346" s="90"/>
      <c r="AIL346" s="90"/>
      <c r="AIM346" s="90"/>
      <c r="AIN346" s="90"/>
      <c r="AIO346" s="90"/>
      <c r="AIP346" s="90"/>
      <c r="AIQ346" s="90"/>
      <c r="AIR346" s="90"/>
      <c r="AIS346" s="90"/>
      <c r="AIT346" s="90"/>
      <c r="AIU346" s="90"/>
      <c r="AIV346" s="90"/>
      <c r="AIW346" s="90"/>
      <c r="AIX346" s="90"/>
      <c r="AIY346" s="90"/>
      <c r="AIZ346" s="90"/>
      <c r="AJA346" s="90"/>
      <c r="AJB346" s="90"/>
      <c r="AJC346" s="90"/>
      <c r="AJD346" s="90"/>
      <c r="AJE346" s="90"/>
      <c r="AJF346" s="90"/>
      <c r="AJG346" s="90"/>
      <c r="AJH346" s="90"/>
      <c r="AJI346" s="90"/>
      <c r="AJJ346" s="90"/>
      <c r="AJK346" s="90"/>
      <c r="AJL346" s="90"/>
      <c r="AJM346" s="90"/>
      <c r="AJN346" s="90"/>
      <c r="AJO346" s="90"/>
      <c r="AJP346" s="90"/>
      <c r="AJQ346" s="90"/>
      <c r="AJR346" s="90"/>
      <c r="AJS346" s="90"/>
      <c r="AJT346" s="90"/>
      <c r="AJU346" s="90"/>
      <c r="AJV346" s="90"/>
      <c r="AJW346" s="90"/>
      <c r="AJX346" s="90"/>
      <c r="AJY346" s="90"/>
      <c r="AJZ346" s="90"/>
      <c r="AKA346" s="90"/>
      <c r="AKB346" s="90"/>
      <c r="AKC346" s="90"/>
      <c r="AKD346" s="90"/>
      <c r="AKE346" s="90"/>
      <c r="AKF346" s="90"/>
      <c r="AKG346" s="90"/>
      <c r="AKH346" s="90"/>
      <c r="AKI346" s="90"/>
      <c r="AKJ346" s="90"/>
      <c r="AKK346" s="90"/>
      <c r="AKL346" s="90"/>
      <c r="AKM346" s="90"/>
      <c r="AKN346" s="90"/>
      <c r="AKO346" s="90"/>
      <c r="AKP346" s="90"/>
      <c r="AKQ346" s="90"/>
      <c r="AKR346" s="90"/>
      <c r="AKS346" s="90"/>
      <c r="AKT346" s="90"/>
      <c r="AKU346" s="90"/>
      <c r="AKV346" s="90"/>
      <c r="AKW346" s="90"/>
      <c r="AKX346" s="90"/>
      <c r="AKY346" s="90"/>
      <c r="AKZ346" s="90"/>
      <c r="ALA346" s="90"/>
      <c r="ALB346" s="90"/>
      <c r="ALC346" s="90"/>
      <c r="ALD346" s="90"/>
      <c r="ALE346" s="90"/>
      <c r="ALF346" s="90"/>
      <c r="ALG346" s="90"/>
      <c r="ALH346" s="90"/>
      <c r="ALI346" s="90"/>
      <c r="ALJ346" s="90"/>
      <c r="ALK346" s="90"/>
      <c r="ALL346" s="90"/>
      <c r="ALM346" s="90"/>
      <c r="ALN346" s="90"/>
      <c r="ALO346" s="90"/>
      <c r="ALP346" s="90"/>
      <c r="ALQ346" s="90"/>
      <c r="ALR346" s="90"/>
      <c r="ALS346" s="90"/>
      <c r="ALT346" s="90"/>
      <c r="ALU346" s="90"/>
      <c r="ALV346" s="90"/>
      <c r="ALW346" s="90"/>
      <c r="ALX346" s="90"/>
      <c r="ALY346" s="90"/>
      <c r="ALZ346" s="90"/>
      <c r="AMA346" s="90"/>
      <c r="AMB346" s="90"/>
      <c r="AMC346" s="90"/>
    </row>
    <row r="347" spans="1:1017">
      <c r="A347" s="98" t="s">
        <v>53</v>
      </c>
      <c r="B347" s="90" t="str">
        <f t="shared" si="1937"/>
        <v xml:space="preserve">Belut Sawah </v>
      </c>
      <c r="Q347" s="91">
        <f t="shared" si="1839"/>
        <v>0</v>
      </c>
      <c r="R347" s="91">
        <f t="shared" si="1840"/>
        <v>0</v>
      </c>
      <c r="AG347" s="91">
        <f t="shared" si="1841"/>
        <v>0</v>
      </c>
      <c r="AH347" s="91">
        <f t="shared" si="1842"/>
        <v>0</v>
      </c>
      <c r="AW347" s="91">
        <f t="shared" si="1843"/>
        <v>0</v>
      </c>
      <c r="AX347" s="91">
        <f t="shared" si="1844"/>
        <v>0</v>
      </c>
      <c r="BM347" s="91">
        <f t="shared" si="1845"/>
        <v>0</v>
      </c>
      <c r="BN347" s="91">
        <f t="shared" si="1846"/>
        <v>0</v>
      </c>
      <c r="CC347" s="91">
        <f t="shared" si="1847"/>
        <v>0</v>
      </c>
      <c r="CD347" s="91">
        <f t="shared" si="1848"/>
        <v>0</v>
      </c>
      <c r="CS347" s="91">
        <f t="shared" si="1849"/>
        <v>0</v>
      </c>
      <c r="CT347" s="91">
        <f t="shared" si="1850"/>
        <v>0</v>
      </c>
      <c r="DI347" s="91">
        <f t="shared" si="1851"/>
        <v>0</v>
      </c>
      <c r="DJ347" s="91">
        <f t="shared" si="1852"/>
        <v>0</v>
      </c>
      <c r="DY347" s="91">
        <f t="shared" si="1853"/>
        <v>0</v>
      </c>
      <c r="DZ347" s="91">
        <f t="shared" si="1854"/>
        <v>0</v>
      </c>
      <c r="EO347" s="91">
        <f t="shared" si="1855"/>
        <v>0</v>
      </c>
      <c r="EP347" s="91">
        <f t="shared" si="1856"/>
        <v>0</v>
      </c>
      <c r="FE347" s="91">
        <f t="shared" si="1857"/>
        <v>0</v>
      </c>
      <c r="FF347" s="91">
        <f t="shared" si="1858"/>
        <v>0</v>
      </c>
      <c r="FU347" s="91">
        <f t="shared" si="1859"/>
        <v>0</v>
      </c>
      <c r="FV347" s="91">
        <f t="shared" si="1860"/>
        <v>0</v>
      </c>
      <c r="GK347" s="91">
        <f t="shared" si="1861"/>
        <v>0</v>
      </c>
      <c r="GL347" s="91">
        <f t="shared" si="1862"/>
        <v>0</v>
      </c>
      <c r="HA347" s="91">
        <f t="shared" si="1863"/>
        <v>0</v>
      </c>
      <c r="HB347" s="91">
        <f t="shared" si="1864"/>
        <v>0</v>
      </c>
      <c r="HQ347" s="91">
        <f t="shared" si="1865"/>
        <v>0</v>
      </c>
      <c r="HR347" s="91">
        <f t="shared" si="1866"/>
        <v>0</v>
      </c>
      <c r="IG347" s="91">
        <f t="shared" si="1867"/>
        <v>0</v>
      </c>
      <c r="IH347" s="91">
        <f t="shared" si="1868"/>
        <v>0</v>
      </c>
      <c r="IW347" s="91">
        <f t="shared" si="1869"/>
        <v>0</v>
      </c>
      <c r="IX347" s="91">
        <f t="shared" si="1870"/>
        <v>0</v>
      </c>
      <c r="JM347" s="91">
        <f t="shared" si="1871"/>
        <v>0</v>
      </c>
      <c r="JN347" s="91">
        <f t="shared" si="1872"/>
        <v>0</v>
      </c>
      <c r="KC347" s="91">
        <f t="shared" si="1873"/>
        <v>0</v>
      </c>
      <c r="KD347" s="91">
        <f t="shared" si="1874"/>
        <v>0</v>
      </c>
      <c r="KS347" s="91">
        <f t="shared" si="1875"/>
        <v>0</v>
      </c>
      <c r="KT347" s="91">
        <f t="shared" si="1876"/>
        <v>0</v>
      </c>
      <c r="LI347" s="91">
        <f t="shared" si="1877"/>
        <v>0</v>
      </c>
      <c r="LJ347" s="91">
        <f t="shared" si="1878"/>
        <v>0</v>
      </c>
      <c r="LY347" s="91">
        <f t="shared" si="1879"/>
        <v>0</v>
      </c>
      <c r="LZ347" s="91">
        <f t="shared" si="1880"/>
        <v>0</v>
      </c>
      <c r="MO347" s="91">
        <f t="shared" si="1881"/>
        <v>0</v>
      </c>
      <c r="MP347" s="91">
        <f t="shared" si="1882"/>
        <v>0</v>
      </c>
      <c r="NE347" s="91">
        <f t="shared" si="1883"/>
        <v>0</v>
      </c>
      <c r="NF347" s="91">
        <f t="shared" si="1884"/>
        <v>0</v>
      </c>
      <c r="NU347" s="91">
        <f t="shared" si="1885"/>
        <v>0</v>
      </c>
      <c r="NV347" s="91">
        <f t="shared" si="1886"/>
        <v>0</v>
      </c>
      <c r="OK347" s="91">
        <f t="shared" si="1887"/>
        <v>0</v>
      </c>
      <c r="OL347" s="91">
        <f t="shared" si="1888"/>
        <v>0</v>
      </c>
      <c r="PA347" s="91">
        <f t="shared" si="1889"/>
        <v>0</v>
      </c>
      <c r="PB347" s="91">
        <f t="shared" si="1890"/>
        <v>0</v>
      </c>
      <c r="PQ347" s="91">
        <f t="shared" si="1891"/>
        <v>0</v>
      </c>
      <c r="PR347" s="91">
        <f t="shared" si="1892"/>
        <v>0</v>
      </c>
      <c r="QG347" s="91">
        <f t="shared" si="1893"/>
        <v>0</v>
      </c>
      <c r="QH347" s="91">
        <f t="shared" si="1894"/>
        <v>0</v>
      </c>
      <c r="QW347" s="91">
        <f t="shared" si="1895"/>
        <v>0</v>
      </c>
      <c r="QX347" s="91">
        <f t="shared" si="1896"/>
        <v>0</v>
      </c>
      <c r="RM347" s="91">
        <f t="shared" si="1897"/>
        <v>0</v>
      </c>
      <c r="RN347" s="91">
        <f t="shared" si="1898"/>
        <v>0</v>
      </c>
      <c r="SC347" s="91">
        <f t="shared" si="1899"/>
        <v>0</v>
      </c>
      <c r="SD347" s="91">
        <f t="shared" si="1900"/>
        <v>0</v>
      </c>
      <c r="SS347" s="91">
        <f t="shared" si="1901"/>
        <v>0</v>
      </c>
      <c r="ST347" s="91">
        <f t="shared" si="1902"/>
        <v>0</v>
      </c>
      <c r="TI347" s="91">
        <f t="shared" si="1903"/>
        <v>0</v>
      </c>
      <c r="TJ347" s="91">
        <f t="shared" si="1904"/>
        <v>0</v>
      </c>
      <c r="TY347" s="91">
        <f t="shared" si="1905"/>
        <v>0</v>
      </c>
      <c r="TZ347" s="91">
        <f t="shared" si="1906"/>
        <v>0</v>
      </c>
      <c r="UO347" s="91">
        <f t="shared" si="1907"/>
        <v>0</v>
      </c>
      <c r="UP347" s="91">
        <f t="shared" si="1908"/>
        <v>0</v>
      </c>
      <c r="VE347" s="91">
        <f t="shared" si="1909"/>
        <v>0</v>
      </c>
      <c r="VF347" s="91">
        <f t="shared" si="1910"/>
        <v>0</v>
      </c>
      <c r="VU347" s="91">
        <f t="shared" si="1911"/>
        <v>0</v>
      </c>
      <c r="VV347" s="91">
        <f t="shared" si="1912"/>
        <v>0</v>
      </c>
      <c r="WK347" s="91">
        <f t="shared" si="1913"/>
        <v>0</v>
      </c>
      <c r="WL347" s="91">
        <f t="shared" si="1914"/>
        <v>0</v>
      </c>
      <c r="WM347" s="89"/>
      <c r="WN347" s="87">
        <f t="shared" si="1938"/>
        <v>0</v>
      </c>
      <c r="WO347" s="87">
        <f t="shared" si="1939"/>
        <v>0</v>
      </c>
      <c r="WP347" s="87">
        <f t="shared" si="1940"/>
        <v>0</v>
      </c>
      <c r="WQ347" s="87">
        <f t="shared" si="1941"/>
        <v>0</v>
      </c>
      <c r="WR347" s="87">
        <f t="shared" si="1942"/>
        <v>0</v>
      </c>
      <c r="WS347" s="87">
        <f t="shared" si="1943"/>
        <v>0</v>
      </c>
      <c r="WT347" s="87">
        <f t="shared" si="1944"/>
        <v>0</v>
      </c>
      <c r="WU347" s="87">
        <f t="shared" si="1945"/>
        <v>0</v>
      </c>
      <c r="WV347" s="87">
        <f t="shared" si="1946"/>
        <v>0</v>
      </c>
      <c r="WW347" s="87">
        <f t="shared" si="1947"/>
        <v>0</v>
      </c>
      <c r="WX347" s="87">
        <f t="shared" si="1948"/>
        <v>0</v>
      </c>
      <c r="WY347" s="87">
        <f t="shared" si="1949"/>
        <v>0</v>
      </c>
      <c r="WZ347" s="87">
        <f t="shared" si="1933"/>
        <v>0</v>
      </c>
      <c r="XA347" s="87">
        <f t="shared" si="1934"/>
        <v>0</v>
      </c>
      <c r="XB347" s="92">
        <f t="shared" si="1935"/>
        <v>0</v>
      </c>
      <c r="XC347" s="92">
        <f t="shared" si="1936"/>
        <v>0</v>
      </c>
      <c r="XD347" s="89"/>
      <c r="XE347" s="92"/>
      <c r="XF347" s="92"/>
      <c r="XG347" s="89"/>
      <c r="XH347" s="92"/>
      <c r="XI347" s="92"/>
      <c r="XJ347" s="89"/>
      <c r="XK347" s="87"/>
      <c r="XL347" s="87"/>
      <c r="XM347" s="87"/>
      <c r="XN347" s="87"/>
      <c r="XO347" s="87"/>
      <c r="XP347" s="87"/>
      <c r="XQ347" s="87"/>
      <c r="XR347" s="92">
        <f t="shared" ca="1" si="1931"/>
        <v>0</v>
      </c>
      <c r="XS347" s="89"/>
      <c r="XT347" s="87"/>
      <c r="XU347" s="87"/>
      <c r="XV347" s="87"/>
      <c r="XW347" s="87"/>
      <c r="XX347" s="87"/>
      <c r="XY347" s="87"/>
      <c r="XZ347" s="87"/>
      <c r="YA347" s="92">
        <f t="shared" ca="1" si="1932"/>
        <v>0</v>
      </c>
      <c r="YB347" s="90"/>
      <c r="YC347" s="90"/>
      <c r="YD347" s="90"/>
      <c r="YE347" s="90"/>
      <c r="YF347" s="90"/>
      <c r="YG347" s="90"/>
      <c r="YH347" s="90"/>
      <c r="YI347" s="90"/>
      <c r="YJ347" s="90"/>
      <c r="YK347" s="90"/>
      <c r="YL347" s="90"/>
      <c r="YM347" s="90"/>
      <c r="YN347" s="90"/>
      <c r="YO347" s="90"/>
      <c r="YP347" s="90"/>
      <c r="YQ347" s="90"/>
      <c r="YR347" s="90"/>
      <c r="YS347" s="90"/>
      <c r="YT347" s="90"/>
      <c r="YU347" s="90"/>
      <c r="YV347" s="90"/>
      <c r="YW347" s="90"/>
      <c r="YX347" s="90"/>
      <c r="YY347" s="90"/>
      <c r="YZ347" s="90"/>
      <c r="ZA347" s="90"/>
      <c r="ZB347" s="90"/>
      <c r="ZC347" s="90"/>
      <c r="ZD347" s="90"/>
      <c r="ZE347" s="90"/>
      <c r="ZF347" s="90"/>
      <c r="ZG347" s="90"/>
      <c r="ZH347" s="90"/>
      <c r="ZI347" s="90"/>
      <c r="ZJ347" s="90"/>
      <c r="ZK347" s="90"/>
      <c r="ZL347" s="90"/>
      <c r="ZM347" s="90"/>
      <c r="ZN347" s="90"/>
      <c r="ZO347" s="90"/>
      <c r="ZP347" s="90"/>
      <c r="ZQ347" s="90"/>
      <c r="ZR347" s="90"/>
      <c r="ZS347" s="90"/>
      <c r="ZT347" s="90"/>
      <c r="ZU347" s="90"/>
      <c r="ZV347" s="90"/>
      <c r="ZW347" s="90"/>
      <c r="ZX347" s="90"/>
      <c r="ZY347" s="90"/>
      <c r="ZZ347" s="90"/>
      <c r="AAA347" s="90"/>
      <c r="AAB347" s="90"/>
      <c r="AAC347" s="90"/>
      <c r="AAD347" s="90"/>
      <c r="AAE347" s="90"/>
      <c r="AAF347" s="90"/>
      <c r="AAG347" s="90"/>
      <c r="AAH347" s="90"/>
      <c r="AAI347" s="90"/>
      <c r="AAJ347" s="90"/>
      <c r="AAK347" s="90"/>
      <c r="AAL347" s="90"/>
      <c r="AAM347" s="90"/>
      <c r="AAN347" s="90"/>
      <c r="AAO347" s="90"/>
      <c r="AAP347" s="90"/>
      <c r="AAQ347" s="90"/>
      <c r="AAR347" s="90"/>
      <c r="AAS347" s="90"/>
      <c r="AAT347" s="90"/>
      <c r="AAU347" s="90"/>
      <c r="AAV347" s="90"/>
      <c r="AAW347" s="90"/>
      <c r="AAX347" s="90"/>
      <c r="AAY347" s="90"/>
      <c r="AAZ347" s="90"/>
      <c r="ABA347" s="90"/>
      <c r="ABB347" s="90"/>
      <c r="ABC347" s="90"/>
      <c r="ABD347" s="90"/>
      <c r="ABE347" s="90"/>
      <c r="ABF347" s="90"/>
      <c r="ABG347" s="90"/>
      <c r="ABH347" s="90"/>
      <c r="ABI347" s="90"/>
      <c r="ABJ347" s="90"/>
      <c r="ABK347" s="90"/>
      <c r="ABL347" s="90"/>
      <c r="ABM347" s="90"/>
      <c r="ABN347" s="90"/>
      <c r="ABO347" s="90"/>
      <c r="ABP347" s="90"/>
      <c r="ABQ347" s="90"/>
      <c r="ABR347" s="90"/>
      <c r="ABS347" s="90"/>
      <c r="ABT347" s="90"/>
      <c r="ABU347" s="90"/>
      <c r="ABV347" s="90"/>
      <c r="ABW347" s="90"/>
      <c r="ABX347" s="90"/>
      <c r="ABY347" s="90"/>
      <c r="ABZ347" s="90"/>
      <c r="ACA347" s="90"/>
      <c r="ACB347" s="90"/>
      <c r="ACC347" s="90"/>
      <c r="ACD347" s="90"/>
      <c r="ACE347" s="90"/>
      <c r="ACF347" s="90"/>
      <c r="ACG347" s="90"/>
      <c r="ACH347" s="90"/>
      <c r="ACI347" s="90"/>
      <c r="ACJ347" s="90"/>
      <c r="ACK347" s="90"/>
      <c r="ACL347" s="90"/>
      <c r="ACM347" s="90"/>
      <c r="ACN347" s="90"/>
      <c r="ACO347" s="90"/>
      <c r="ACP347" s="90"/>
      <c r="ACQ347" s="90"/>
      <c r="ACR347" s="90"/>
      <c r="ACS347" s="90"/>
      <c r="ACT347" s="90"/>
      <c r="ACU347" s="90"/>
      <c r="ACV347" s="90"/>
      <c r="ACW347" s="90"/>
      <c r="ACX347" s="90"/>
      <c r="ACY347" s="90"/>
      <c r="ACZ347" s="90"/>
      <c r="ADA347" s="90"/>
      <c r="ADB347" s="90"/>
      <c r="ADC347" s="90"/>
      <c r="ADD347" s="90"/>
      <c r="ADE347" s="90"/>
      <c r="ADF347" s="90"/>
      <c r="ADG347" s="90"/>
      <c r="ADH347" s="90"/>
      <c r="ADI347" s="90"/>
      <c r="ADJ347" s="90"/>
      <c r="ADK347" s="90"/>
      <c r="ADL347" s="90"/>
      <c r="ADM347" s="90"/>
      <c r="ADN347" s="90"/>
      <c r="ADO347" s="90"/>
      <c r="ADP347" s="90"/>
      <c r="ADQ347" s="90"/>
      <c r="ADR347" s="90"/>
      <c r="ADS347" s="90"/>
      <c r="ADT347" s="90"/>
      <c r="ADU347" s="90"/>
      <c r="ADV347" s="90"/>
      <c r="ADW347" s="90"/>
      <c r="ADX347" s="90"/>
      <c r="ADY347" s="90"/>
      <c r="ADZ347" s="90"/>
      <c r="AEA347" s="90"/>
      <c r="AEB347" s="90"/>
      <c r="AEC347" s="90"/>
      <c r="AED347" s="90"/>
      <c r="AEE347" s="90"/>
      <c r="AEF347" s="90"/>
      <c r="AEG347" s="90"/>
      <c r="AEH347" s="90"/>
      <c r="AEI347" s="90"/>
      <c r="AEJ347" s="90"/>
      <c r="AEK347" s="90"/>
      <c r="AEL347" s="90"/>
      <c r="AEM347" s="90"/>
      <c r="AEN347" s="90"/>
      <c r="AEO347" s="90"/>
      <c r="AEP347" s="90"/>
      <c r="AEQ347" s="90"/>
      <c r="AER347" s="90"/>
      <c r="AES347" s="90"/>
      <c r="AET347" s="90"/>
      <c r="AEU347" s="90"/>
      <c r="AEV347" s="90"/>
      <c r="AEW347" s="90"/>
      <c r="AEX347" s="90"/>
      <c r="AEY347" s="90"/>
      <c r="AEZ347" s="90"/>
      <c r="AFA347" s="90"/>
      <c r="AFB347" s="90"/>
      <c r="AFC347" s="90"/>
      <c r="AFD347" s="90"/>
      <c r="AFE347" s="90"/>
      <c r="AFF347" s="90"/>
      <c r="AFG347" s="90"/>
      <c r="AFH347" s="90"/>
      <c r="AFI347" s="90"/>
      <c r="AFJ347" s="90"/>
      <c r="AFK347" s="90"/>
      <c r="AFL347" s="90"/>
      <c r="AFM347" s="90"/>
      <c r="AFN347" s="90"/>
      <c r="AFO347" s="90"/>
      <c r="AFP347" s="90"/>
      <c r="AFQ347" s="90"/>
      <c r="AFR347" s="90"/>
      <c r="AFS347" s="90"/>
      <c r="AFT347" s="90"/>
      <c r="AFU347" s="90"/>
      <c r="AFV347" s="90"/>
      <c r="AFW347" s="90"/>
      <c r="AFX347" s="90"/>
      <c r="AFY347" s="90"/>
      <c r="AFZ347" s="90"/>
      <c r="AGA347" s="90"/>
      <c r="AGB347" s="90"/>
      <c r="AGC347" s="90"/>
      <c r="AGD347" s="90"/>
      <c r="AGE347" s="90"/>
      <c r="AGF347" s="90"/>
      <c r="AGG347" s="90"/>
      <c r="AGH347" s="90"/>
      <c r="AGI347" s="90"/>
      <c r="AGJ347" s="90"/>
      <c r="AGK347" s="90"/>
      <c r="AGL347" s="90"/>
      <c r="AGM347" s="90"/>
      <c r="AGN347" s="90"/>
      <c r="AGO347" s="90"/>
      <c r="AGP347" s="90"/>
      <c r="AGQ347" s="90"/>
      <c r="AGR347" s="90"/>
      <c r="AGS347" s="90"/>
      <c r="AGT347" s="90"/>
      <c r="AGU347" s="90"/>
      <c r="AGV347" s="90"/>
      <c r="AGW347" s="90"/>
      <c r="AGX347" s="90"/>
      <c r="AGY347" s="90"/>
      <c r="AGZ347" s="90"/>
      <c r="AHA347" s="90"/>
      <c r="AHB347" s="90"/>
      <c r="AHC347" s="90"/>
      <c r="AHD347" s="90"/>
      <c r="AHE347" s="90"/>
      <c r="AHF347" s="90"/>
      <c r="AHG347" s="90"/>
      <c r="AHH347" s="90"/>
      <c r="AHI347" s="90"/>
      <c r="AHJ347" s="90"/>
      <c r="AHK347" s="90"/>
      <c r="AHL347" s="90"/>
      <c r="AHM347" s="90"/>
      <c r="AHN347" s="90"/>
      <c r="AHO347" s="90"/>
      <c r="AHP347" s="90"/>
      <c r="AHQ347" s="90"/>
      <c r="AHR347" s="90"/>
      <c r="AHS347" s="90"/>
      <c r="AHT347" s="90"/>
      <c r="AHU347" s="90"/>
      <c r="AHV347" s="90"/>
      <c r="AHW347" s="90"/>
      <c r="AHX347" s="90"/>
      <c r="AHY347" s="90"/>
      <c r="AHZ347" s="90"/>
      <c r="AIA347" s="90"/>
      <c r="AIB347" s="90"/>
      <c r="AIC347" s="90"/>
      <c r="AID347" s="90"/>
      <c r="AIE347" s="90"/>
      <c r="AIF347" s="90"/>
      <c r="AIG347" s="90"/>
      <c r="AIH347" s="90"/>
      <c r="AII347" s="90"/>
      <c r="AIJ347" s="90"/>
      <c r="AIK347" s="90"/>
      <c r="AIL347" s="90"/>
      <c r="AIM347" s="90"/>
      <c r="AIN347" s="90"/>
      <c r="AIO347" s="90"/>
      <c r="AIP347" s="90"/>
      <c r="AIQ347" s="90"/>
      <c r="AIR347" s="90"/>
      <c r="AIS347" s="90"/>
      <c r="AIT347" s="90"/>
      <c r="AIU347" s="90"/>
      <c r="AIV347" s="90"/>
      <c r="AIW347" s="90"/>
      <c r="AIX347" s="90"/>
      <c r="AIY347" s="90"/>
      <c r="AIZ347" s="90"/>
      <c r="AJA347" s="90"/>
      <c r="AJB347" s="90"/>
      <c r="AJC347" s="90"/>
      <c r="AJD347" s="90"/>
      <c r="AJE347" s="90"/>
      <c r="AJF347" s="90"/>
      <c r="AJG347" s="90"/>
      <c r="AJH347" s="90"/>
      <c r="AJI347" s="90"/>
      <c r="AJJ347" s="90"/>
      <c r="AJK347" s="90"/>
      <c r="AJL347" s="90"/>
      <c r="AJM347" s="90"/>
      <c r="AJN347" s="90"/>
      <c r="AJO347" s="90"/>
      <c r="AJP347" s="90"/>
      <c r="AJQ347" s="90"/>
      <c r="AJR347" s="90"/>
      <c r="AJS347" s="90"/>
      <c r="AJT347" s="90"/>
      <c r="AJU347" s="90"/>
      <c r="AJV347" s="90"/>
      <c r="AJW347" s="90"/>
      <c r="AJX347" s="90"/>
      <c r="AJY347" s="90"/>
      <c r="AJZ347" s="90"/>
      <c r="AKA347" s="90"/>
      <c r="AKB347" s="90"/>
      <c r="AKC347" s="90"/>
      <c r="AKD347" s="90"/>
      <c r="AKE347" s="90"/>
      <c r="AKF347" s="90"/>
      <c r="AKG347" s="90"/>
      <c r="AKH347" s="90"/>
      <c r="AKI347" s="90"/>
      <c r="AKJ347" s="90"/>
      <c r="AKK347" s="90"/>
      <c r="AKL347" s="90"/>
      <c r="AKM347" s="90"/>
      <c r="AKN347" s="90"/>
      <c r="AKO347" s="90"/>
      <c r="AKP347" s="90"/>
      <c r="AKQ347" s="90"/>
      <c r="AKR347" s="90"/>
      <c r="AKS347" s="90"/>
      <c r="AKT347" s="90"/>
      <c r="AKU347" s="90"/>
      <c r="AKV347" s="90"/>
      <c r="AKW347" s="90"/>
      <c r="AKX347" s="90"/>
      <c r="AKY347" s="90"/>
      <c r="AKZ347" s="90"/>
      <c r="ALA347" s="90"/>
      <c r="ALB347" s="90"/>
      <c r="ALC347" s="90"/>
      <c r="ALD347" s="90"/>
      <c r="ALE347" s="90"/>
      <c r="ALF347" s="90"/>
      <c r="ALG347" s="90"/>
      <c r="ALH347" s="90"/>
      <c r="ALI347" s="90"/>
      <c r="ALJ347" s="90"/>
      <c r="ALK347" s="90"/>
      <c r="ALL347" s="90"/>
      <c r="ALM347" s="90"/>
      <c r="ALN347" s="90"/>
      <c r="ALO347" s="90"/>
      <c r="ALP347" s="90"/>
      <c r="ALQ347" s="90"/>
      <c r="ALR347" s="90"/>
      <c r="ALS347" s="90"/>
      <c r="ALT347" s="90"/>
      <c r="ALU347" s="90"/>
      <c r="ALV347" s="90"/>
      <c r="ALW347" s="90"/>
      <c r="ALX347" s="90"/>
      <c r="ALY347" s="90"/>
      <c r="ALZ347" s="90"/>
      <c r="AMA347" s="90"/>
      <c r="AMB347" s="90"/>
      <c r="AMC347" s="90"/>
    </row>
    <row r="348" spans="1:1017">
      <c r="A348" s="98" t="s">
        <v>53</v>
      </c>
      <c r="B348" s="90" t="str">
        <f t="shared" si="1937"/>
        <v xml:space="preserve">Udang_04 (Udang Lainnya) </v>
      </c>
      <c r="Q348" s="91">
        <f t="shared" si="1839"/>
        <v>0</v>
      </c>
      <c r="R348" s="91">
        <f t="shared" si="1840"/>
        <v>0</v>
      </c>
      <c r="AG348" s="91">
        <f t="shared" si="1841"/>
        <v>0</v>
      </c>
      <c r="AH348" s="91">
        <f t="shared" si="1842"/>
        <v>0</v>
      </c>
      <c r="AW348" s="91">
        <f t="shared" si="1843"/>
        <v>0</v>
      </c>
      <c r="AX348" s="91">
        <f t="shared" si="1844"/>
        <v>0</v>
      </c>
      <c r="BM348" s="91">
        <f t="shared" si="1845"/>
        <v>0</v>
      </c>
      <c r="BN348" s="91">
        <f t="shared" si="1846"/>
        <v>0</v>
      </c>
      <c r="CC348" s="91">
        <f t="shared" si="1847"/>
        <v>0</v>
      </c>
      <c r="CD348" s="91">
        <f t="shared" si="1848"/>
        <v>0</v>
      </c>
      <c r="CS348" s="91">
        <f t="shared" si="1849"/>
        <v>0</v>
      </c>
      <c r="CT348" s="91">
        <f t="shared" si="1850"/>
        <v>0</v>
      </c>
      <c r="DI348" s="91">
        <f t="shared" si="1851"/>
        <v>0</v>
      </c>
      <c r="DJ348" s="91">
        <f t="shared" si="1852"/>
        <v>0</v>
      </c>
      <c r="DY348" s="91">
        <f t="shared" si="1853"/>
        <v>0</v>
      </c>
      <c r="DZ348" s="91">
        <f t="shared" si="1854"/>
        <v>0</v>
      </c>
      <c r="EO348" s="91">
        <f t="shared" si="1855"/>
        <v>0</v>
      </c>
      <c r="EP348" s="91">
        <f t="shared" si="1856"/>
        <v>0</v>
      </c>
      <c r="FE348" s="91">
        <f t="shared" si="1857"/>
        <v>0</v>
      </c>
      <c r="FF348" s="91">
        <f t="shared" si="1858"/>
        <v>0</v>
      </c>
      <c r="FU348" s="91">
        <f t="shared" si="1859"/>
        <v>0</v>
      </c>
      <c r="FV348" s="91">
        <f t="shared" si="1860"/>
        <v>0</v>
      </c>
      <c r="GK348" s="91">
        <f t="shared" si="1861"/>
        <v>0</v>
      </c>
      <c r="GL348" s="91">
        <f t="shared" si="1862"/>
        <v>0</v>
      </c>
      <c r="HA348" s="91">
        <f t="shared" si="1863"/>
        <v>0</v>
      </c>
      <c r="HB348" s="91">
        <f t="shared" si="1864"/>
        <v>0</v>
      </c>
      <c r="HQ348" s="91">
        <f t="shared" si="1865"/>
        <v>0</v>
      </c>
      <c r="HR348" s="91">
        <f t="shared" si="1866"/>
        <v>0</v>
      </c>
      <c r="IG348" s="91">
        <f t="shared" si="1867"/>
        <v>0</v>
      </c>
      <c r="IH348" s="91">
        <f t="shared" si="1868"/>
        <v>0</v>
      </c>
      <c r="IW348" s="91">
        <f t="shared" si="1869"/>
        <v>0</v>
      </c>
      <c r="IX348" s="91">
        <f t="shared" si="1870"/>
        <v>0</v>
      </c>
      <c r="JM348" s="91">
        <f t="shared" si="1871"/>
        <v>0</v>
      </c>
      <c r="JN348" s="91">
        <f t="shared" si="1872"/>
        <v>0</v>
      </c>
      <c r="KC348" s="91">
        <f t="shared" si="1873"/>
        <v>0</v>
      </c>
      <c r="KD348" s="91">
        <f t="shared" si="1874"/>
        <v>0</v>
      </c>
      <c r="KS348" s="91">
        <f t="shared" si="1875"/>
        <v>0</v>
      </c>
      <c r="KT348" s="91">
        <f t="shared" si="1876"/>
        <v>0</v>
      </c>
      <c r="LI348" s="91">
        <f t="shared" si="1877"/>
        <v>0</v>
      </c>
      <c r="LJ348" s="91">
        <f t="shared" si="1878"/>
        <v>0</v>
      </c>
      <c r="LY348" s="91">
        <f t="shared" si="1879"/>
        <v>0</v>
      </c>
      <c r="LZ348" s="91">
        <f t="shared" si="1880"/>
        <v>0</v>
      </c>
      <c r="MO348" s="91">
        <f t="shared" si="1881"/>
        <v>0</v>
      </c>
      <c r="MP348" s="91">
        <f t="shared" si="1882"/>
        <v>0</v>
      </c>
      <c r="NE348" s="91">
        <f t="shared" si="1883"/>
        <v>0</v>
      </c>
      <c r="NF348" s="91">
        <f t="shared" si="1884"/>
        <v>0</v>
      </c>
      <c r="NU348" s="91">
        <f t="shared" si="1885"/>
        <v>0</v>
      </c>
      <c r="NV348" s="91">
        <f t="shared" si="1886"/>
        <v>0</v>
      </c>
      <c r="OK348" s="91">
        <f t="shared" si="1887"/>
        <v>0</v>
      </c>
      <c r="OL348" s="91">
        <f t="shared" si="1888"/>
        <v>0</v>
      </c>
      <c r="PA348" s="91">
        <f t="shared" si="1889"/>
        <v>0</v>
      </c>
      <c r="PB348" s="91">
        <f t="shared" si="1890"/>
        <v>0</v>
      </c>
      <c r="PQ348" s="91">
        <f t="shared" si="1891"/>
        <v>0</v>
      </c>
      <c r="PR348" s="91">
        <f t="shared" si="1892"/>
        <v>0</v>
      </c>
      <c r="QG348" s="91">
        <f t="shared" si="1893"/>
        <v>0</v>
      </c>
      <c r="QH348" s="91">
        <f t="shared" si="1894"/>
        <v>0</v>
      </c>
      <c r="QW348" s="91">
        <f t="shared" si="1895"/>
        <v>0</v>
      </c>
      <c r="QX348" s="91">
        <f t="shared" si="1896"/>
        <v>0</v>
      </c>
      <c r="RM348" s="91">
        <f t="shared" si="1897"/>
        <v>0</v>
      </c>
      <c r="RN348" s="91">
        <f t="shared" si="1898"/>
        <v>0</v>
      </c>
      <c r="SC348" s="91">
        <f t="shared" si="1899"/>
        <v>0</v>
      </c>
      <c r="SD348" s="91">
        <f t="shared" si="1900"/>
        <v>0</v>
      </c>
      <c r="SS348" s="91">
        <f t="shared" si="1901"/>
        <v>0</v>
      </c>
      <c r="ST348" s="91">
        <f t="shared" si="1902"/>
        <v>0</v>
      </c>
      <c r="TI348" s="91">
        <f t="shared" si="1903"/>
        <v>0</v>
      </c>
      <c r="TJ348" s="91">
        <f t="shared" si="1904"/>
        <v>0</v>
      </c>
      <c r="TY348" s="91">
        <f t="shared" si="1905"/>
        <v>0</v>
      </c>
      <c r="TZ348" s="91">
        <f t="shared" si="1906"/>
        <v>0</v>
      </c>
      <c r="UO348" s="91">
        <f t="shared" si="1907"/>
        <v>0</v>
      </c>
      <c r="UP348" s="91">
        <f t="shared" si="1908"/>
        <v>0</v>
      </c>
      <c r="VE348" s="91">
        <f t="shared" si="1909"/>
        <v>0</v>
      </c>
      <c r="VF348" s="91">
        <f t="shared" si="1910"/>
        <v>0</v>
      </c>
      <c r="VU348" s="91">
        <f t="shared" si="1911"/>
        <v>0</v>
      </c>
      <c r="VV348" s="91">
        <f t="shared" si="1912"/>
        <v>0</v>
      </c>
      <c r="WK348" s="91">
        <f t="shared" si="1913"/>
        <v>0</v>
      </c>
      <c r="WL348" s="91">
        <f t="shared" si="1914"/>
        <v>0</v>
      </c>
      <c r="WM348" s="89"/>
      <c r="WN348" s="87">
        <f t="shared" si="1938"/>
        <v>0</v>
      </c>
      <c r="WO348" s="87">
        <f t="shared" si="1939"/>
        <v>0</v>
      </c>
      <c r="WP348" s="87">
        <f t="shared" si="1940"/>
        <v>0</v>
      </c>
      <c r="WQ348" s="87">
        <f t="shared" si="1941"/>
        <v>0</v>
      </c>
      <c r="WR348" s="87">
        <f t="shared" si="1942"/>
        <v>0</v>
      </c>
      <c r="WS348" s="87">
        <f t="shared" si="1943"/>
        <v>0</v>
      </c>
      <c r="WT348" s="87">
        <f t="shared" si="1944"/>
        <v>0</v>
      </c>
      <c r="WU348" s="87">
        <f t="shared" si="1945"/>
        <v>0</v>
      </c>
      <c r="WV348" s="87">
        <f t="shared" si="1946"/>
        <v>0</v>
      </c>
      <c r="WW348" s="87">
        <f t="shared" si="1947"/>
        <v>0</v>
      </c>
      <c r="WX348" s="87">
        <f t="shared" si="1948"/>
        <v>0</v>
      </c>
      <c r="WY348" s="87">
        <f t="shared" si="1949"/>
        <v>0</v>
      </c>
      <c r="WZ348" s="87">
        <f t="shared" si="1933"/>
        <v>0</v>
      </c>
      <c r="XA348" s="87">
        <f t="shared" si="1934"/>
        <v>0</v>
      </c>
      <c r="XB348" s="92">
        <f t="shared" si="1935"/>
        <v>0</v>
      </c>
      <c r="XC348" s="92">
        <f t="shared" si="1936"/>
        <v>0</v>
      </c>
      <c r="XD348" s="89"/>
      <c r="XE348" s="92"/>
      <c r="XF348" s="92"/>
      <c r="XG348" s="89"/>
      <c r="XH348" s="92"/>
      <c r="XI348" s="92"/>
      <c r="XJ348" s="89"/>
      <c r="XK348" s="87"/>
      <c r="XL348" s="87"/>
      <c r="XM348" s="87"/>
      <c r="XN348" s="87"/>
      <c r="XO348" s="87"/>
      <c r="XP348" s="87"/>
      <c r="XQ348" s="87"/>
      <c r="XR348" s="92">
        <f t="shared" ca="1" si="1931"/>
        <v>0</v>
      </c>
      <c r="XS348" s="89"/>
      <c r="XT348" s="87"/>
      <c r="XU348" s="87"/>
      <c r="XV348" s="87"/>
      <c r="XW348" s="87"/>
      <c r="XX348" s="87"/>
      <c r="XY348" s="87"/>
      <c r="XZ348" s="87"/>
      <c r="YA348" s="92">
        <f t="shared" ca="1" si="1932"/>
        <v>0</v>
      </c>
      <c r="YB348" s="90"/>
      <c r="YC348" s="90"/>
      <c r="YD348" s="90"/>
      <c r="YE348" s="90"/>
      <c r="YF348" s="90"/>
      <c r="YG348" s="90"/>
      <c r="YH348" s="90"/>
      <c r="YI348" s="90"/>
      <c r="YJ348" s="90"/>
      <c r="YK348" s="90"/>
      <c r="YL348" s="90"/>
      <c r="YM348" s="90"/>
      <c r="YN348" s="90"/>
      <c r="YO348" s="90"/>
      <c r="YP348" s="90"/>
      <c r="YQ348" s="90"/>
      <c r="YR348" s="90"/>
      <c r="YS348" s="90"/>
      <c r="YT348" s="90"/>
      <c r="YU348" s="90"/>
      <c r="YV348" s="90"/>
      <c r="YW348" s="90"/>
      <c r="YX348" s="90"/>
      <c r="YY348" s="90"/>
      <c r="YZ348" s="90"/>
      <c r="ZA348" s="90"/>
      <c r="ZB348" s="90"/>
      <c r="ZC348" s="90"/>
      <c r="ZD348" s="90"/>
      <c r="ZE348" s="90"/>
      <c r="ZF348" s="90"/>
      <c r="ZG348" s="90"/>
      <c r="ZH348" s="90"/>
      <c r="ZI348" s="90"/>
      <c r="ZJ348" s="90"/>
      <c r="ZK348" s="90"/>
      <c r="ZL348" s="90"/>
      <c r="ZM348" s="90"/>
      <c r="ZN348" s="90"/>
      <c r="ZO348" s="90"/>
      <c r="ZP348" s="90"/>
      <c r="ZQ348" s="90"/>
      <c r="ZR348" s="90"/>
      <c r="ZS348" s="90"/>
      <c r="ZT348" s="90"/>
      <c r="ZU348" s="90"/>
      <c r="ZV348" s="90"/>
      <c r="ZW348" s="90"/>
      <c r="ZX348" s="90"/>
      <c r="ZY348" s="90"/>
      <c r="ZZ348" s="90"/>
      <c r="AAA348" s="90"/>
      <c r="AAB348" s="90"/>
      <c r="AAC348" s="90"/>
      <c r="AAD348" s="90"/>
      <c r="AAE348" s="90"/>
      <c r="AAF348" s="90"/>
      <c r="AAG348" s="90"/>
      <c r="AAH348" s="90"/>
      <c r="AAI348" s="90"/>
      <c r="AAJ348" s="90"/>
      <c r="AAK348" s="90"/>
      <c r="AAL348" s="90"/>
      <c r="AAM348" s="90"/>
      <c r="AAN348" s="90"/>
      <c r="AAO348" s="90"/>
      <c r="AAP348" s="90"/>
      <c r="AAQ348" s="90"/>
      <c r="AAR348" s="90"/>
      <c r="AAS348" s="90"/>
      <c r="AAT348" s="90"/>
      <c r="AAU348" s="90"/>
      <c r="AAV348" s="90"/>
      <c r="AAW348" s="90"/>
      <c r="AAX348" s="90"/>
      <c r="AAY348" s="90"/>
      <c r="AAZ348" s="90"/>
      <c r="ABA348" s="90"/>
      <c r="ABB348" s="90"/>
      <c r="ABC348" s="90"/>
      <c r="ABD348" s="90"/>
      <c r="ABE348" s="90"/>
      <c r="ABF348" s="90"/>
      <c r="ABG348" s="90"/>
      <c r="ABH348" s="90"/>
      <c r="ABI348" s="90"/>
      <c r="ABJ348" s="90"/>
      <c r="ABK348" s="90"/>
      <c r="ABL348" s="90"/>
      <c r="ABM348" s="90"/>
      <c r="ABN348" s="90"/>
      <c r="ABO348" s="90"/>
      <c r="ABP348" s="90"/>
      <c r="ABQ348" s="90"/>
      <c r="ABR348" s="90"/>
      <c r="ABS348" s="90"/>
      <c r="ABT348" s="90"/>
      <c r="ABU348" s="90"/>
      <c r="ABV348" s="90"/>
      <c r="ABW348" s="90"/>
      <c r="ABX348" s="90"/>
      <c r="ABY348" s="90"/>
      <c r="ABZ348" s="90"/>
      <c r="ACA348" s="90"/>
      <c r="ACB348" s="90"/>
      <c r="ACC348" s="90"/>
      <c r="ACD348" s="90"/>
      <c r="ACE348" s="90"/>
      <c r="ACF348" s="90"/>
      <c r="ACG348" s="90"/>
      <c r="ACH348" s="90"/>
      <c r="ACI348" s="90"/>
      <c r="ACJ348" s="90"/>
      <c r="ACK348" s="90"/>
      <c r="ACL348" s="90"/>
      <c r="ACM348" s="90"/>
      <c r="ACN348" s="90"/>
      <c r="ACO348" s="90"/>
      <c r="ACP348" s="90"/>
      <c r="ACQ348" s="90"/>
      <c r="ACR348" s="90"/>
      <c r="ACS348" s="90"/>
      <c r="ACT348" s="90"/>
      <c r="ACU348" s="90"/>
      <c r="ACV348" s="90"/>
      <c r="ACW348" s="90"/>
      <c r="ACX348" s="90"/>
      <c r="ACY348" s="90"/>
      <c r="ACZ348" s="90"/>
      <c r="ADA348" s="90"/>
      <c r="ADB348" s="90"/>
      <c r="ADC348" s="90"/>
      <c r="ADD348" s="90"/>
      <c r="ADE348" s="90"/>
      <c r="ADF348" s="90"/>
      <c r="ADG348" s="90"/>
      <c r="ADH348" s="90"/>
      <c r="ADI348" s="90"/>
      <c r="ADJ348" s="90"/>
      <c r="ADK348" s="90"/>
      <c r="ADL348" s="90"/>
      <c r="ADM348" s="90"/>
      <c r="ADN348" s="90"/>
      <c r="ADO348" s="90"/>
      <c r="ADP348" s="90"/>
      <c r="ADQ348" s="90"/>
      <c r="ADR348" s="90"/>
      <c r="ADS348" s="90"/>
      <c r="ADT348" s="90"/>
      <c r="ADU348" s="90"/>
      <c r="ADV348" s="90"/>
      <c r="ADW348" s="90"/>
      <c r="ADX348" s="90"/>
      <c r="ADY348" s="90"/>
      <c r="ADZ348" s="90"/>
      <c r="AEA348" s="90"/>
      <c r="AEB348" s="90"/>
      <c r="AEC348" s="90"/>
      <c r="AED348" s="90"/>
      <c r="AEE348" s="90"/>
      <c r="AEF348" s="90"/>
      <c r="AEG348" s="90"/>
      <c r="AEH348" s="90"/>
      <c r="AEI348" s="90"/>
      <c r="AEJ348" s="90"/>
      <c r="AEK348" s="90"/>
      <c r="AEL348" s="90"/>
      <c r="AEM348" s="90"/>
      <c r="AEN348" s="90"/>
      <c r="AEO348" s="90"/>
      <c r="AEP348" s="90"/>
      <c r="AEQ348" s="90"/>
      <c r="AER348" s="90"/>
      <c r="AES348" s="90"/>
      <c r="AET348" s="90"/>
      <c r="AEU348" s="90"/>
      <c r="AEV348" s="90"/>
      <c r="AEW348" s="90"/>
      <c r="AEX348" s="90"/>
      <c r="AEY348" s="90"/>
      <c r="AEZ348" s="90"/>
      <c r="AFA348" s="90"/>
      <c r="AFB348" s="90"/>
      <c r="AFC348" s="90"/>
      <c r="AFD348" s="90"/>
      <c r="AFE348" s="90"/>
      <c r="AFF348" s="90"/>
      <c r="AFG348" s="90"/>
      <c r="AFH348" s="90"/>
      <c r="AFI348" s="90"/>
      <c r="AFJ348" s="90"/>
      <c r="AFK348" s="90"/>
      <c r="AFL348" s="90"/>
      <c r="AFM348" s="90"/>
      <c r="AFN348" s="90"/>
      <c r="AFO348" s="90"/>
      <c r="AFP348" s="90"/>
      <c r="AFQ348" s="90"/>
      <c r="AFR348" s="90"/>
      <c r="AFS348" s="90"/>
      <c r="AFT348" s="90"/>
      <c r="AFU348" s="90"/>
      <c r="AFV348" s="90"/>
      <c r="AFW348" s="90"/>
      <c r="AFX348" s="90"/>
      <c r="AFY348" s="90"/>
      <c r="AFZ348" s="90"/>
      <c r="AGA348" s="90"/>
      <c r="AGB348" s="90"/>
      <c r="AGC348" s="90"/>
      <c r="AGD348" s="90"/>
      <c r="AGE348" s="90"/>
      <c r="AGF348" s="90"/>
      <c r="AGG348" s="90"/>
      <c r="AGH348" s="90"/>
      <c r="AGI348" s="90"/>
      <c r="AGJ348" s="90"/>
      <c r="AGK348" s="90"/>
      <c r="AGL348" s="90"/>
      <c r="AGM348" s="90"/>
      <c r="AGN348" s="90"/>
      <c r="AGO348" s="90"/>
      <c r="AGP348" s="90"/>
      <c r="AGQ348" s="90"/>
      <c r="AGR348" s="90"/>
      <c r="AGS348" s="90"/>
      <c r="AGT348" s="90"/>
      <c r="AGU348" s="90"/>
      <c r="AGV348" s="90"/>
      <c r="AGW348" s="90"/>
      <c r="AGX348" s="90"/>
      <c r="AGY348" s="90"/>
      <c r="AGZ348" s="90"/>
      <c r="AHA348" s="90"/>
      <c r="AHB348" s="90"/>
      <c r="AHC348" s="90"/>
      <c r="AHD348" s="90"/>
      <c r="AHE348" s="90"/>
      <c r="AHF348" s="90"/>
      <c r="AHG348" s="90"/>
      <c r="AHH348" s="90"/>
      <c r="AHI348" s="90"/>
      <c r="AHJ348" s="90"/>
      <c r="AHK348" s="90"/>
      <c r="AHL348" s="90"/>
      <c r="AHM348" s="90"/>
      <c r="AHN348" s="90"/>
      <c r="AHO348" s="90"/>
      <c r="AHP348" s="90"/>
      <c r="AHQ348" s="90"/>
      <c r="AHR348" s="90"/>
      <c r="AHS348" s="90"/>
      <c r="AHT348" s="90"/>
      <c r="AHU348" s="90"/>
      <c r="AHV348" s="90"/>
      <c r="AHW348" s="90"/>
      <c r="AHX348" s="90"/>
      <c r="AHY348" s="90"/>
      <c r="AHZ348" s="90"/>
      <c r="AIA348" s="90"/>
      <c r="AIB348" s="90"/>
      <c r="AIC348" s="90"/>
      <c r="AID348" s="90"/>
      <c r="AIE348" s="90"/>
      <c r="AIF348" s="90"/>
      <c r="AIG348" s="90"/>
      <c r="AIH348" s="90"/>
      <c r="AII348" s="90"/>
      <c r="AIJ348" s="90"/>
      <c r="AIK348" s="90"/>
      <c r="AIL348" s="90"/>
      <c r="AIM348" s="90"/>
      <c r="AIN348" s="90"/>
      <c r="AIO348" s="90"/>
      <c r="AIP348" s="90"/>
      <c r="AIQ348" s="90"/>
      <c r="AIR348" s="90"/>
      <c r="AIS348" s="90"/>
      <c r="AIT348" s="90"/>
      <c r="AIU348" s="90"/>
      <c r="AIV348" s="90"/>
      <c r="AIW348" s="90"/>
      <c r="AIX348" s="90"/>
      <c r="AIY348" s="90"/>
      <c r="AIZ348" s="90"/>
      <c r="AJA348" s="90"/>
      <c r="AJB348" s="90"/>
      <c r="AJC348" s="90"/>
      <c r="AJD348" s="90"/>
      <c r="AJE348" s="90"/>
      <c r="AJF348" s="90"/>
      <c r="AJG348" s="90"/>
      <c r="AJH348" s="90"/>
      <c r="AJI348" s="90"/>
      <c r="AJJ348" s="90"/>
      <c r="AJK348" s="90"/>
      <c r="AJL348" s="90"/>
      <c r="AJM348" s="90"/>
      <c r="AJN348" s="90"/>
      <c r="AJO348" s="90"/>
      <c r="AJP348" s="90"/>
      <c r="AJQ348" s="90"/>
      <c r="AJR348" s="90"/>
      <c r="AJS348" s="90"/>
      <c r="AJT348" s="90"/>
      <c r="AJU348" s="90"/>
      <c r="AJV348" s="90"/>
      <c r="AJW348" s="90"/>
      <c r="AJX348" s="90"/>
      <c r="AJY348" s="90"/>
      <c r="AJZ348" s="90"/>
      <c r="AKA348" s="90"/>
      <c r="AKB348" s="90"/>
      <c r="AKC348" s="90"/>
      <c r="AKD348" s="90"/>
      <c r="AKE348" s="90"/>
      <c r="AKF348" s="90"/>
      <c r="AKG348" s="90"/>
      <c r="AKH348" s="90"/>
      <c r="AKI348" s="90"/>
      <c r="AKJ348" s="90"/>
      <c r="AKK348" s="90"/>
      <c r="AKL348" s="90"/>
      <c r="AKM348" s="90"/>
      <c r="AKN348" s="90"/>
      <c r="AKO348" s="90"/>
      <c r="AKP348" s="90"/>
      <c r="AKQ348" s="90"/>
      <c r="AKR348" s="90"/>
      <c r="AKS348" s="90"/>
      <c r="AKT348" s="90"/>
      <c r="AKU348" s="90"/>
      <c r="AKV348" s="90"/>
      <c r="AKW348" s="90"/>
      <c r="AKX348" s="90"/>
      <c r="AKY348" s="90"/>
      <c r="AKZ348" s="90"/>
      <c r="ALA348" s="90"/>
      <c r="ALB348" s="90"/>
      <c r="ALC348" s="90"/>
      <c r="ALD348" s="90"/>
      <c r="ALE348" s="90"/>
      <c r="ALF348" s="90"/>
      <c r="ALG348" s="90"/>
      <c r="ALH348" s="90"/>
      <c r="ALI348" s="90"/>
      <c r="ALJ348" s="90"/>
      <c r="ALK348" s="90"/>
      <c r="ALL348" s="90"/>
      <c r="ALM348" s="90"/>
      <c r="ALN348" s="90"/>
      <c r="ALO348" s="90"/>
      <c r="ALP348" s="90"/>
      <c r="ALQ348" s="90"/>
      <c r="ALR348" s="90"/>
      <c r="ALS348" s="90"/>
      <c r="ALT348" s="90"/>
      <c r="ALU348" s="90"/>
      <c r="ALV348" s="90"/>
      <c r="ALW348" s="90"/>
      <c r="ALX348" s="90"/>
      <c r="ALY348" s="90"/>
      <c r="ALZ348" s="90"/>
      <c r="AMA348" s="90"/>
      <c r="AMB348" s="90"/>
      <c r="AMC348" s="90"/>
    </row>
    <row r="349" spans="1:1017">
      <c r="A349" s="98" t="s">
        <v>53</v>
      </c>
      <c r="B349" s="90" t="str">
        <f t="shared" si="1937"/>
        <v xml:space="preserve">Udang_05 (Udang Lainnya) </v>
      </c>
      <c r="Q349" s="91">
        <f t="shared" si="1839"/>
        <v>0</v>
      </c>
      <c r="R349" s="91">
        <f t="shared" si="1840"/>
        <v>0</v>
      </c>
      <c r="AG349" s="91">
        <f t="shared" si="1841"/>
        <v>0</v>
      </c>
      <c r="AH349" s="91">
        <f t="shared" si="1842"/>
        <v>0</v>
      </c>
      <c r="AW349" s="91">
        <f t="shared" si="1843"/>
        <v>0</v>
      </c>
      <c r="AX349" s="91">
        <f t="shared" si="1844"/>
        <v>0</v>
      </c>
      <c r="BM349" s="91">
        <f t="shared" si="1845"/>
        <v>0</v>
      </c>
      <c r="BN349" s="91">
        <f t="shared" si="1846"/>
        <v>0</v>
      </c>
      <c r="CC349" s="91">
        <f t="shared" si="1847"/>
        <v>0</v>
      </c>
      <c r="CD349" s="91">
        <f t="shared" si="1848"/>
        <v>0</v>
      </c>
      <c r="CS349" s="91">
        <f t="shared" si="1849"/>
        <v>0</v>
      </c>
      <c r="CT349" s="91">
        <f t="shared" si="1850"/>
        <v>0</v>
      </c>
      <c r="DI349" s="91">
        <f t="shared" si="1851"/>
        <v>0</v>
      </c>
      <c r="DJ349" s="91">
        <f t="shared" si="1852"/>
        <v>0</v>
      </c>
      <c r="DY349" s="91">
        <f t="shared" si="1853"/>
        <v>0</v>
      </c>
      <c r="DZ349" s="91">
        <f t="shared" si="1854"/>
        <v>0</v>
      </c>
      <c r="EO349" s="91">
        <f t="shared" si="1855"/>
        <v>0</v>
      </c>
      <c r="EP349" s="91">
        <f t="shared" si="1856"/>
        <v>0</v>
      </c>
      <c r="FE349" s="91">
        <f t="shared" si="1857"/>
        <v>0</v>
      </c>
      <c r="FF349" s="91">
        <f t="shared" si="1858"/>
        <v>0</v>
      </c>
      <c r="FU349" s="91">
        <f t="shared" si="1859"/>
        <v>0</v>
      </c>
      <c r="FV349" s="91">
        <f t="shared" si="1860"/>
        <v>0</v>
      </c>
      <c r="GK349" s="91">
        <f t="shared" si="1861"/>
        <v>0</v>
      </c>
      <c r="GL349" s="91">
        <f t="shared" si="1862"/>
        <v>0</v>
      </c>
      <c r="HA349" s="91">
        <f t="shared" si="1863"/>
        <v>0</v>
      </c>
      <c r="HB349" s="91">
        <f t="shared" si="1864"/>
        <v>0</v>
      </c>
      <c r="HQ349" s="91">
        <f t="shared" si="1865"/>
        <v>0</v>
      </c>
      <c r="HR349" s="91">
        <f t="shared" si="1866"/>
        <v>0</v>
      </c>
      <c r="IG349" s="91">
        <f t="shared" si="1867"/>
        <v>0</v>
      </c>
      <c r="IH349" s="91">
        <f t="shared" si="1868"/>
        <v>0</v>
      </c>
      <c r="IW349" s="91">
        <f t="shared" si="1869"/>
        <v>0</v>
      </c>
      <c r="IX349" s="91">
        <f t="shared" si="1870"/>
        <v>0</v>
      </c>
      <c r="JM349" s="91">
        <f t="shared" si="1871"/>
        <v>0</v>
      </c>
      <c r="JN349" s="91">
        <f t="shared" si="1872"/>
        <v>0</v>
      </c>
      <c r="KC349" s="91">
        <f t="shared" si="1873"/>
        <v>0</v>
      </c>
      <c r="KD349" s="91">
        <f t="shared" si="1874"/>
        <v>0</v>
      </c>
      <c r="KS349" s="91">
        <f t="shared" si="1875"/>
        <v>0</v>
      </c>
      <c r="KT349" s="91">
        <f t="shared" si="1876"/>
        <v>0</v>
      </c>
      <c r="LI349" s="91">
        <f t="shared" si="1877"/>
        <v>0</v>
      </c>
      <c r="LJ349" s="91">
        <f t="shared" si="1878"/>
        <v>0</v>
      </c>
      <c r="LY349" s="91">
        <f t="shared" si="1879"/>
        <v>0</v>
      </c>
      <c r="LZ349" s="91">
        <f t="shared" si="1880"/>
        <v>0</v>
      </c>
      <c r="MO349" s="91">
        <f t="shared" si="1881"/>
        <v>0</v>
      </c>
      <c r="MP349" s="91">
        <f t="shared" si="1882"/>
        <v>0</v>
      </c>
      <c r="NE349" s="91">
        <f t="shared" si="1883"/>
        <v>0</v>
      </c>
      <c r="NF349" s="91">
        <f t="shared" si="1884"/>
        <v>0</v>
      </c>
      <c r="NU349" s="91">
        <f t="shared" si="1885"/>
        <v>0</v>
      </c>
      <c r="NV349" s="91">
        <f t="shared" si="1886"/>
        <v>0</v>
      </c>
      <c r="OK349" s="91">
        <f t="shared" si="1887"/>
        <v>0</v>
      </c>
      <c r="OL349" s="91">
        <f t="shared" si="1888"/>
        <v>0</v>
      </c>
      <c r="PA349" s="91">
        <f t="shared" si="1889"/>
        <v>0</v>
      </c>
      <c r="PB349" s="91">
        <f t="shared" si="1890"/>
        <v>0</v>
      </c>
      <c r="PQ349" s="91">
        <f t="shared" si="1891"/>
        <v>0</v>
      </c>
      <c r="PR349" s="91">
        <f t="shared" si="1892"/>
        <v>0</v>
      </c>
      <c r="QG349" s="91">
        <f t="shared" si="1893"/>
        <v>0</v>
      </c>
      <c r="QH349" s="91">
        <f t="shared" si="1894"/>
        <v>0</v>
      </c>
      <c r="QW349" s="91">
        <f t="shared" si="1895"/>
        <v>0</v>
      </c>
      <c r="QX349" s="91">
        <f t="shared" si="1896"/>
        <v>0</v>
      </c>
      <c r="RM349" s="91">
        <f t="shared" si="1897"/>
        <v>0</v>
      </c>
      <c r="RN349" s="91">
        <f t="shared" si="1898"/>
        <v>0</v>
      </c>
      <c r="SC349" s="91">
        <f t="shared" si="1899"/>
        <v>0</v>
      </c>
      <c r="SD349" s="91">
        <f t="shared" si="1900"/>
        <v>0</v>
      </c>
      <c r="SS349" s="91">
        <f t="shared" si="1901"/>
        <v>0</v>
      </c>
      <c r="ST349" s="91">
        <f t="shared" si="1902"/>
        <v>0</v>
      </c>
      <c r="TI349" s="91">
        <f t="shared" si="1903"/>
        <v>0</v>
      </c>
      <c r="TJ349" s="91">
        <f t="shared" si="1904"/>
        <v>0</v>
      </c>
      <c r="TY349" s="91">
        <f t="shared" si="1905"/>
        <v>0</v>
      </c>
      <c r="TZ349" s="91">
        <f t="shared" si="1906"/>
        <v>0</v>
      </c>
      <c r="UO349" s="91">
        <f t="shared" si="1907"/>
        <v>0</v>
      </c>
      <c r="UP349" s="91">
        <f t="shared" si="1908"/>
        <v>0</v>
      </c>
      <c r="VE349" s="91">
        <f t="shared" si="1909"/>
        <v>0</v>
      </c>
      <c r="VF349" s="91">
        <f t="shared" si="1910"/>
        <v>0</v>
      </c>
      <c r="VU349" s="91">
        <f t="shared" si="1911"/>
        <v>0</v>
      </c>
      <c r="VV349" s="91">
        <f t="shared" si="1912"/>
        <v>0</v>
      </c>
      <c r="WK349" s="91">
        <f t="shared" si="1913"/>
        <v>0</v>
      </c>
      <c r="WL349" s="91">
        <f t="shared" si="1914"/>
        <v>0</v>
      </c>
      <c r="WM349" s="89"/>
      <c r="WN349" s="87">
        <f t="shared" si="1938"/>
        <v>0</v>
      </c>
      <c r="WO349" s="87">
        <f t="shared" si="1939"/>
        <v>0</v>
      </c>
      <c r="WP349" s="87">
        <f t="shared" si="1940"/>
        <v>0</v>
      </c>
      <c r="WQ349" s="87">
        <f t="shared" si="1941"/>
        <v>0</v>
      </c>
      <c r="WR349" s="87">
        <f t="shared" si="1942"/>
        <v>0</v>
      </c>
      <c r="WS349" s="87">
        <f t="shared" si="1943"/>
        <v>0</v>
      </c>
      <c r="WT349" s="87">
        <f t="shared" si="1944"/>
        <v>0</v>
      </c>
      <c r="WU349" s="87">
        <f t="shared" si="1945"/>
        <v>0</v>
      </c>
      <c r="WV349" s="87">
        <f t="shared" si="1946"/>
        <v>0</v>
      </c>
      <c r="WW349" s="87">
        <f t="shared" si="1947"/>
        <v>0</v>
      </c>
      <c r="WX349" s="87">
        <f t="shared" si="1948"/>
        <v>0</v>
      </c>
      <c r="WY349" s="87">
        <f t="shared" si="1949"/>
        <v>0</v>
      </c>
      <c r="WZ349" s="87">
        <f t="shared" si="1933"/>
        <v>0</v>
      </c>
      <c r="XA349" s="87">
        <f t="shared" si="1934"/>
        <v>0</v>
      </c>
      <c r="XB349" s="92">
        <f t="shared" si="1935"/>
        <v>0</v>
      </c>
      <c r="XC349" s="92">
        <f t="shared" si="1936"/>
        <v>0</v>
      </c>
      <c r="XD349" s="89"/>
      <c r="XE349" s="92"/>
      <c r="XF349" s="92"/>
      <c r="XG349" s="89"/>
      <c r="XH349" s="92"/>
      <c r="XI349" s="92"/>
      <c r="XJ349" s="89"/>
      <c r="XK349" s="87"/>
      <c r="XL349" s="87"/>
      <c r="XM349" s="87"/>
      <c r="XN349" s="87"/>
      <c r="XO349" s="87"/>
      <c r="XP349" s="87"/>
      <c r="XQ349" s="87"/>
      <c r="XR349" s="92">
        <f t="shared" ca="1" si="1931"/>
        <v>0</v>
      </c>
      <c r="XS349" s="89"/>
      <c r="XT349" s="87"/>
      <c r="XU349" s="87"/>
      <c r="XV349" s="87"/>
      <c r="XW349" s="87"/>
      <c r="XX349" s="87"/>
      <c r="XY349" s="87"/>
      <c r="XZ349" s="87"/>
      <c r="YA349" s="92">
        <f t="shared" ca="1" si="1932"/>
        <v>0</v>
      </c>
      <c r="YB349" s="90"/>
      <c r="YC349" s="90"/>
      <c r="YD349" s="90"/>
      <c r="YE349" s="90"/>
      <c r="YF349" s="90"/>
      <c r="YG349" s="90"/>
      <c r="YH349" s="90"/>
      <c r="YI349" s="90"/>
      <c r="YJ349" s="90"/>
      <c r="YK349" s="90"/>
      <c r="YL349" s="90"/>
      <c r="YM349" s="90"/>
      <c r="YN349" s="90"/>
      <c r="YO349" s="90"/>
      <c r="YP349" s="90"/>
      <c r="YQ349" s="90"/>
      <c r="YR349" s="90"/>
      <c r="YS349" s="90"/>
      <c r="YT349" s="90"/>
      <c r="YU349" s="90"/>
      <c r="YV349" s="90"/>
      <c r="YW349" s="90"/>
      <c r="YX349" s="90"/>
      <c r="YY349" s="90"/>
      <c r="YZ349" s="90"/>
      <c r="ZA349" s="90"/>
      <c r="ZB349" s="90"/>
      <c r="ZC349" s="90"/>
      <c r="ZD349" s="90"/>
      <c r="ZE349" s="90"/>
      <c r="ZF349" s="90"/>
      <c r="ZG349" s="90"/>
      <c r="ZH349" s="90"/>
      <c r="ZI349" s="90"/>
      <c r="ZJ349" s="90"/>
      <c r="ZK349" s="90"/>
      <c r="ZL349" s="90"/>
      <c r="ZM349" s="90"/>
      <c r="ZN349" s="90"/>
      <c r="ZO349" s="90"/>
      <c r="ZP349" s="90"/>
      <c r="ZQ349" s="90"/>
      <c r="ZR349" s="90"/>
      <c r="ZS349" s="90"/>
      <c r="ZT349" s="90"/>
      <c r="ZU349" s="90"/>
      <c r="ZV349" s="90"/>
      <c r="ZW349" s="90"/>
      <c r="ZX349" s="90"/>
      <c r="ZY349" s="90"/>
      <c r="ZZ349" s="90"/>
      <c r="AAA349" s="90"/>
      <c r="AAB349" s="90"/>
      <c r="AAC349" s="90"/>
      <c r="AAD349" s="90"/>
      <c r="AAE349" s="90"/>
      <c r="AAF349" s="90"/>
      <c r="AAG349" s="90"/>
      <c r="AAH349" s="90"/>
      <c r="AAI349" s="90"/>
      <c r="AAJ349" s="90"/>
      <c r="AAK349" s="90"/>
      <c r="AAL349" s="90"/>
      <c r="AAM349" s="90"/>
      <c r="AAN349" s="90"/>
      <c r="AAO349" s="90"/>
      <c r="AAP349" s="90"/>
      <c r="AAQ349" s="90"/>
      <c r="AAR349" s="90"/>
      <c r="AAS349" s="90"/>
      <c r="AAT349" s="90"/>
      <c r="AAU349" s="90"/>
      <c r="AAV349" s="90"/>
      <c r="AAW349" s="90"/>
      <c r="AAX349" s="90"/>
      <c r="AAY349" s="90"/>
      <c r="AAZ349" s="90"/>
      <c r="ABA349" s="90"/>
      <c r="ABB349" s="90"/>
      <c r="ABC349" s="90"/>
      <c r="ABD349" s="90"/>
      <c r="ABE349" s="90"/>
      <c r="ABF349" s="90"/>
      <c r="ABG349" s="90"/>
      <c r="ABH349" s="90"/>
      <c r="ABI349" s="90"/>
      <c r="ABJ349" s="90"/>
      <c r="ABK349" s="90"/>
      <c r="ABL349" s="90"/>
      <c r="ABM349" s="90"/>
      <c r="ABN349" s="90"/>
      <c r="ABO349" s="90"/>
      <c r="ABP349" s="90"/>
      <c r="ABQ349" s="90"/>
      <c r="ABR349" s="90"/>
      <c r="ABS349" s="90"/>
      <c r="ABT349" s="90"/>
      <c r="ABU349" s="90"/>
      <c r="ABV349" s="90"/>
      <c r="ABW349" s="90"/>
      <c r="ABX349" s="90"/>
      <c r="ABY349" s="90"/>
      <c r="ABZ349" s="90"/>
      <c r="ACA349" s="90"/>
      <c r="ACB349" s="90"/>
      <c r="ACC349" s="90"/>
      <c r="ACD349" s="90"/>
      <c r="ACE349" s="90"/>
      <c r="ACF349" s="90"/>
      <c r="ACG349" s="90"/>
      <c r="ACH349" s="90"/>
      <c r="ACI349" s="90"/>
      <c r="ACJ349" s="90"/>
      <c r="ACK349" s="90"/>
      <c r="ACL349" s="90"/>
      <c r="ACM349" s="90"/>
      <c r="ACN349" s="90"/>
      <c r="ACO349" s="90"/>
      <c r="ACP349" s="90"/>
      <c r="ACQ349" s="90"/>
      <c r="ACR349" s="90"/>
      <c r="ACS349" s="90"/>
      <c r="ACT349" s="90"/>
      <c r="ACU349" s="90"/>
      <c r="ACV349" s="90"/>
      <c r="ACW349" s="90"/>
      <c r="ACX349" s="90"/>
      <c r="ACY349" s="90"/>
      <c r="ACZ349" s="90"/>
      <c r="ADA349" s="90"/>
      <c r="ADB349" s="90"/>
      <c r="ADC349" s="90"/>
      <c r="ADD349" s="90"/>
      <c r="ADE349" s="90"/>
      <c r="ADF349" s="90"/>
      <c r="ADG349" s="90"/>
      <c r="ADH349" s="90"/>
      <c r="ADI349" s="90"/>
      <c r="ADJ349" s="90"/>
      <c r="ADK349" s="90"/>
      <c r="ADL349" s="90"/>
      <c r="ADM349" s="90"/>
      <c r="ADN349" s="90"/>
      <c r="ADO349" s="90"/>
      <c r="ADP349" s="90"/>
      <c r="ADQ349" s="90"/>
      <c r="ADR349" s="90"/>
      <c r="ADS349" s="90"/>
      <c r="ADT349" s="90"/>
      <c r="ADU349" s="90"/>
      <c r="ADV349" s="90"/>
      <c r="ADW349" s="90"/>
      <c r="ADX349" s="90"/>
      <c r="ADY349" s="90"/>
      <c r="ADZ349" s="90"/>
      <c r="AEA349" s="90"/>
      <c r="AEB349" s="90"/>
      <c r="AEC349" s="90"/>
      <c r="AED349" s="90"/>
      <c r="AEE349" s="90"/>
      <c r="AEF349" s="90"/>
      <c r="AEG349" s="90"/>
      <c r="AEH349" s="90"/>
      <c r="AEI349" s="90"/>
      <c r="AEJ349" s="90"/>
      <c r="AEK349" s="90"/>
      <c r="AEL349" s="90"/>
      <c r="AEM349" s="90"/>
      <c r="AEN349" s="90"/>
      <c r="AEO349" s="90"/>
      <c r="AEP349" s="90"/>
      <c r="AEQ349" s="90"/>
      <c r="AER349" s="90"/>
      <c r="AES349" s="90"/>
      <c r="AET349" s="90"/>
      <c r="AEU349" s="90"/>
      <c r="AEV349" s="90"/>
      <c r="AEW349" s="90"/>
      <c r="AEX349" s="90"/>
      <c r="AEY349" s="90"/>
      <c r="AEZ349" s="90"/>
      <c r="AFA349" s="90"/>
      <c r="AFB349" s="90"/>
      <c r="AFC349" s="90"/>
      <c r="AFD349" s="90"/>
      <c r="AFE349" s="90"/>
      <c r="AFF349" s="90"/>
      <c r="AFG349" s="90"/>
      <c r="AFH349" s="90"/>
      <c r="AFI349" s="90"/>
      <c r="AFJ349" s="90"/>
      <c r="AFK349" s="90"/>
      <c r="AFL349" s="90"/>
      <c r="AFM349" s="90"/>
      <c r="AFN349" s="90"/>
      <c r="AFO349" s="90"/>
      <c r="AFP349" s="90"/>
      <c r="AFQ349" s="90"/>
      <c r="AFR349" s="90"/>
      <c r="AFS349" s="90"/>
      <c r="AFT349" s="90"/>
      <c r="AFU349" s="90"/>
      <c r="AFV349" s="90"/>
      <c r="AFW349" s="90"/>
      <c r="AFX349" s="90"/>
      <c r="AFY349" s="90"/>
      <c r="AFZ349" s="90"/>
      <c r="AGA349" s="90"/>
      <c r="AGB349" s="90"/>
      <c r="AGC349" s="90"/>
      <c r="AGD349" s="90"/>
      <c r="AGE349" s="90"/>
      <c r="AGF349" s="90"/>
      <c r="AGG349" s="90"/>
      <c r="AGH349" s="90"/>
      <c r="AGI349" s="90"/>
      <c r="AGJ349" s="90"/>
      <c r="AGK349" s="90"/>
      <c r="AGL349" s="90"/>
      <c r="AGM349" s="90"/>
      <c r="AGN349" s="90"/>
      <c r="AGO349" s="90"/>
      <c r="AGP349" s="90"/>
      <c r="AGQ349" s="90"/>
      <c r="AGR349" s="90"/>
      <c r="AGS349" s="90"/>
      <c r="AGT349" s="90"/>
      <c r="AGU349" s="90"/>
      <c r="AGV349" s="90"/>
      <c r="AGW349" s="90"/>
      <c r="AGX349" s="90"/>
      <c r="AGY349" s="90"/>
      <c r="AGZ349" s="90"/>
      <c r="AHA349" s="90"/>
      <c r="AHB349" s="90"/>
      <c r="AHC349" s="90"/>
      <c r="AHD349" s="90"/>
      <c r="AHE349" s="90"/>
      <c r="AHF349" s="90"/>
      <c r="AHG349" s="90"/>
      <c r="AHH349" s="90"/>
      <c r="AHI349" s="90"/>
      <c r="AHJ349" s="90"/>
      <c r="AHK349" s="90"/>
      <c r="AHL349" s="90"/>
      <c r="AHM349" s="90"/>
      <c r="AHN349" s="90"/>
      <c r="AHO349" s="90"/>
      <c r="AHP349" s="90"/>
      <c r="AHQ349" s="90"/>
      <c r="AHR349" s="90"/>
      <c r="AHS349" s="90"/>
      <c r="AHT349" s="90"/>
      <c r="AHU349" s="90"/>
      <c r="AHV349" s="90"/>
      <c r="AHW349" s="90"/>
      <c r="AHX349" s="90"/>
      <c r="AHY349" s="90"/>
      <c r="AHZ349" s="90"/>
      <c r="AIA349" s="90"/>
      <c r="AIB349" s="90"/>
      <c r="AIC349" s="90"/>
      <c r="AID349" s="90"/>
      <c r="AIE349" s="90"/>
      <c r="AIF349" s="90"/>
      <c r="AIG349" s="90"/>
      <c r="AIH349" s="90"/>
      <c r="AII349" s="90"/>
      <c r="AIJ349" s="90"/>
      <c r="AIK349" s="90"/>
      <c r="AIL349" s="90"/>
      <c r="AIM349" s="90"/>
      <c r="AIN349" s="90"/>
      <c r="AIO349" s="90"/>
      <c r="AIP349" s="90"/>
      <c r="AIQ349" s="90"/>
      <c r="AIR349" s="90"/>
      <c r="AIS349" s="90"/>
      <c r="AIT349" s="90"/>
      <c r="AIU349" s="90"/>
      <c r="AIV349" s="90"/>
      <c r="AIW349" s="90"/>
      <c r="AIX349" s="90"/>
      <c r="AIY349" s="90"/>
      <c r="AIZ349" s="90"/>
      <c r="AJA349" s="90"/>
      <c r="AJB349" s="90"/>
      <c r="AJC349" s="90"/>
      <c r="AJD349" s="90"/>
      <c r="AJE349" s="90"/>
      <c r="AJF349" s="90"/>
      <c r="AJG349" s="90"/>
      <c r="AJH349" s="90"/>
      <c r="AJI349" s="90"/>
      <c r="AJJ349" s="90"/>
      <c r="AJK349" s="90"/>
      <c r="AJL349" s="90"/>
      <c r="AJM349" s="90"/>
      <c r="AJN349" s="90"/>
      <c r="AJO349" s="90"/>
      <c r="AJP349" s="90"/>
      <c r="AJQ349" s="90"/>
      <c r="AJR349" s="90"/>
      <c r="AJS349" s="90"/>
      <c r="AJT349" s="90"/>
      <c r="AJU349" s="90"/>
      <c r="AJV349" s="90"/>
      <c r="AJW349" s="90"/>
      <c r="AJX349" s="90"/>
      <c r="AJY349" s="90"/>
      <c r="AJZ349" s="90"/>
      <c r="AKA349" s="90"/>
      <c r="AKB349" s="90"/>
      <c r="AKC349" s="90"/>
      <c r="AKD349" s="90"/>
      <c r="AKE349" s="90"/>
      <c r="AKF349" s="90"/>
      <c r="AKG349" s="90"/>
      <c r="AKH349" s="90"/>
      <c r="AKI349" s="90"/>
      <c r="AKJ349" s="90"/>
      <c r="AKK349" s="90"/>
      <c r="AKL349" s="90"/>
      <c r="AKM349" s="90"/>
      <c r="AKN349" s="90"/>
      <c r="AKO349" s="90"/>
      <c r="AKP349" s="90"/>
      <c r="AKQ349" s="90"/>
      <c r="AKR349" s="90"/>
      <c r="AKS349" s="90"/>
      <c r="AKT349" s="90"/>
      <c r="AKU349" s="90"/>
      <c r="AKV349" s="90"/>
      <c r="AKW349" s="90"/>
      <c r="AKX349" s="90"/>
      <c r="AKY349" s="90"/>
      <c r="AKZ349" s="90"/>
      <c r="ALA349" s="90"/>
      <c r="ALB349" s="90"/>
      <c r="ALC349" s="90"/>
      <c r="ALD349" s="90"/>
      <c r="ALE349" s="90"/>
      <c r="ALF349" s="90"/>
      <c r="ALG349" s="90"/>
      <c r="ALH349" s="90"/>
      <c r="ALI349" s="90"/>
      <c r="ALJ349" s="90"/>
      <c r="ALK349" s="90"/>
      <c r="ALL349" s="90"/>
      <c r="ALM349" s="90"/>
      <c r="ALN349" s="90"/>
      <c r="ALO349" s="90"/>
      <c r="ALP349" s="90"/>
      <c r="ALQ349" s="90"/>
      <c r="ALR349" s="90"/>
      <c r="ALS349" s="90"/>
      <c r="ALT349" s="90"/>
      <c r="ALU349" s="90"/>
      <c r="ALV349" s="90"/>
      <c r="ALW349" s="90"/>
      <c r="ALX349" s="90"/>
      <c r="ALY349" s="90"/>
      <c r="ALZ349" s="90"/>
      <c r="AMA349" s="90"/>
      <c r="AMB349" s="90"/>
      <c r="AMC349" s="90"/>
    </row>
    <row r="350" spans="1:1017">
      <c r="A350" s="98" t="s">
        <v>53</v>
      </c>
      <c r="B350" s="90" t="str">
        <f t="shared" si="1937"/>
        <v>Ikan_01 (Ikan Lainnya)</v>
      </c>
      <c r="Q350" s="91">
        <f t="shared" si="1839"/>
        <v>0</v>
      </c>
      <c r="R350" s="91">
        <f t="shared" si="1840"/>
        <v>0</v>
      </c>
      <c r="AG350" s="91">
        <f t="shared" si="1841"/>
        <v>0</v>
      </c>
      <c r="AH350" s="91">
        <f t="shared" si="1842"/>
        <v>0</v>
      </c>
      <c r="AW350" s="91">
        <f t="shared" si="1843"/>
        <v>0</v>
      </c>
      <c r="AX350" s="91">
        <f t="shared" si="1844"/>
        <v>0</v>
      </c>
      <c r="BM350" s="91">
        <f t="shared" si="1845"/>
        <v>0</v>
      </c>
      <c r="BN350" s="91">
        <f t="shared" si="1846"/>
        <v>0</v>
      </c>
      <c r="CC350" s="91">
        <f t="shared" si="1847"/>
        <v>0</v>
      </c>
      <c r="CD350" s="91">
        <f t="shared" si="1848"/>
        <v>0</v>
      </c>
      <c r="CG350" s="98">
        <v>655846</v>
      </c>
      <c r="CH350" s="98">
        <v>1967537</v>
      </c>
      <c r="CK350" s="98">
        <v>403883</v>
      </c>
      <c r="CL350" s="98">
        <v>1211649</v>
      </c>
      <c r="CS350" s="91">
        <f t="shared" si="1849"/>
        <v>1059729</v>
      </c>
      <c r="CT350" s="91">
        <f t="shared" si="1850"/>
        <v>3179186</v>
      </c>
      <c r="DI350" s="91">
        <f t="shared" si="1851"/>
        <v>0</v>
      </c>
      <c r="DJ350" s="91">
        <f t="shared" si="1852"/>
        <v>0</v>
      </c>
      <c r="DY350" s="91">
        <f t="shared" si="1853"/>
        <v>0</v>
      </c>
      <c r="DZ350" s="91">
        <f t="shared" si="1854"/>
        <v>0</v>
      </c>
      <c r="EO350" s="91">
        <f t="shared" si="1855"/>
        <v>0</v>
      </c>
      <c r="EP350" s="91">
        <f t="shared" si="1856"/>
        <v>0</v>
      </c>
      <c r="FE350" s="91">
        <f t="shared" si="1857"/>
        <v>0</v>
      </c>
      <c r="FF350" s="91">
        <f t="shared" si="1858"/>
        <v>0</v>
      </c>
      <c r="FU350" s="91">
        <f t="shared" si="1859"/>
        <v>0</v>
      </c>
      <c r="FV350" s="91">
        <f t="shared" si="1860"/>
        <v>0</v>
      </c>
      <c r="GK350" s="91">
        <f t="shared" si="1861"/>
        <v>0</v>
      </c>
      <c r="GL350" s="91">
        <f t="shared" si="1862"/>
        <v>0</v>
      </c>
      <c r="HA350" s="91">
        <f t="shared" si="1863"/>
        <v>0</v>
      </c>
      <c r="HB350" s="91">
        <f t="shared" si="1864"/>
        <v>0</v>
      </c>
      <c r="HQ350" s="91">
        <f t="shared" si="1865"/>
        <v>0</v>
      </c>
      <c r="HR350" s="91">
        <f t="shared" si="1866"/>
        <v>0</v>
      </c>
      <c r="IG350" s="91">
        <f t="shared" si="1867"/>
        <v>0</v>
      </c>
      <c r="IH350" s="91">
        <f t="shared" si="1868"/>
        <v>0</v>
      </c>
      <c r="IW350" s="91">
        <f t="shared" si="1869"/>
        <v>0</v>
      </c>
      <c r="IX350" s="91">
        <f t="shared" si="1870"/>
        <v>0</v>
      </c>
      <c r="JM350" s="91">
        <f t="shared" si="1871"/>
        <v>0</v>
      </c>
      <c r="JN350" s="91">
        <f t="shared" si="1872"/>
        <v>0</v>
      </c>
      <c r="KC350" s="91">
        <f t="shared" si="1873"/>
        <v>0</v>
      </c>
      <c r="KD350" s="91">
        <f t="shared" si="1874"/>
        <v>0</v>
      </c>
      <c r="KS350" s="91">
        <f t="shared" si="1875"/>
        <v>0</v>
      </c>
      <c r="KT350" s="91">
        <f t="shared" si="1876"/>
        <v>0</v>
      </c>
      <c r="LI350" s="91">
        <f t="shared" si="1877"/>
        <v>0</v>
      </c>
      <c r="LJ350" s="91">
        <f t="shared" si="1878"/>
        <v>0</v>
      </c>
      <c r="LY350" s="91">
        <f t="shared" si="1879"/>
        <v>0</v>
      </c>
      <c r="LZ350" s="91">
        <f t="shared" si="1880"/>
        <v>0</v>
      </c>
      <c r="MO350" s="91">
        <f t="shared" si="1881"/>
        <v>0</v>
      </c>
      <c r="MP350" s="91">
        <f t="shared" si="1882"/>
        <v>0</v>
      </c>
      <c r="NE350" s="91">
        <f t="shared" si="1883"/>
        <v>0</v>
      </c>
      <c r="NF350" s="91">
        <f t="shared" si="1884"/>
        <v>0</v>
      </c>
      <c r="NU350" s="91">
        <f t="shared" si="1885"/>
        <v>0</v>
      </c>
      <c r="NV350" s="91">
        <f t="shared" si="1886"/>
        <v>0</v>
      </c>
      <c r="OK350" s="91">
        <f t="shared" si="1887"/>
        <v>0</v>
      </c>
      <c r="OL350" s="91">
        <f t="shared" si="1888"/>
        <v>0</v>
      </c>
      <c r="PA350" s="91">
        <f t="shared" si="1889"/>
        <v>0</v>
      </c>
      <c r="PB350" s="91">
        <f t="shared" si="1890"/>
        <v>0</v>
      </c>
      <c r="PQ350" s="91">
        <f t="shared" si="1891"/>
        <v>0</v>
      </c>
      <c r="PR350" s="91">
        <f t="shared" si="1892"/>
        <v>0</v>
      </c>
      <c r="QG350" s="91">
        <f t="shared" si="1893"/>
        <v>0</v>
      </c>
      <c r="QH350" s="91">
        <f t="shared" si="1894"/>
        <v>0</v>
      </c>
      <c r="QW350" s="91">
        <f t="shared" si="1895"/>
        <v>0</v>
      </c>
      <c r="QX350" s="91">
        <f t="shared" si="1896"/>
        <v>0</v>
      </c>
      <c r="RM350" s="91">
        <f t="shared" si="1897"/>
        <v>0</v>
      </c>
      <c r="RN350" s="91">
        <f t="shared" si="1898"/>
        <v>0</v>
      </c>
      <c r="SC350" s="91">
        <f t="shared" si="1899"/>
        <v>0</v>
      </c>
      <c r="SD350" s="91">
        <f t="shared" si="1900"/>
        <v>0</v>
      </c>
      <c r="SS350" s="91">
        <f t="shared" si="1901"/>
        <v>0</v>
      </c>
      <c r="ST350" s="91">
        <f t="shared" si="1902"/>
        <v>0</v>
      </c>
      <c r="TI350" s="91">
        <f t="shared" si="1903"/>
        <v>0</v>
      </c>
      <c r="TJ350" s="91">
        <f t="shared" si="1904"/>
        <v>0</v>
      </c>
      <c r="TY350" s="91">
        <f t="shared" si="1905"/>
        <v>0</v>
      </c>
      <c r="TZ350" s="91">
        <f t="shared" si="1906"/>
        <v>0</v>
      </c>
      <c r="UO350" s="91">
        <f t="shared" si="1907"/>
        <v>0</v>
      </c>
      <c r="UP350" s="91">
        <f t="shared" si="1908"/>
        <v>0</v>
      </c>
      <c r="VE350" s="91">
        <f t="shared" si="1909"/>
        <v>0</v>
      </c>
      <c r="VF350" s="91">
        <f t="shared" si="1910"/>
        <v>0</v>
      </c>
      <c r="VU350" s="91">
        <f t="shared" si="1911"/>
        <v>0</v>
      </c>
      <c r="VV350" s="91">
        <f t="shared" si="1912"/>
        <v>0</v>
      </c>
      <c r="WK350" s="91">
        <f t="shared" si="1913"/>
        <v>0</v>
      </c>
      <c r="WL350" s="91">
        <f t="shared" si="1914"/>
        <v>0</v>
      </c>
      <c r="WM350" s="89"/>
      <c r="WN350" s="87">
        <f t="shared" si="1938"/>
        <v>0</v>
      </c>
      <c r="WO350" s="87">
        <f t="shared" si="1939"/>
        <v>0</v>
      </c>
      <c r="WP350" s="87">
        <f t="shared" si="1940"/>
        <v>655846</v>
      </c>
      <c r="WQ350" s="87">
        <f t="shared" si="1941"/>
        <v>1967537</v>
      </c>
      <c r="WR350" s="87">
        <f t="shared" si="1942"/>
        <v>0</v>
      </c>
      <c r="WS350" s="87">
        <f t="shared" si="1943"/>
        <v>0</v>
      </c>
      <c r="WT350" s="87">
        <f t="shared" si="1944"/>
        <v>403883</v>
      </c>
      <c r="WU350" s="87">
        <f t="shared" si="1945"/>
        <v>1211649</v>
      </c>
      <c r="WV350" s="87">
        <f t="shared" si="1946"/>
        <v>0</v>
      </c>
      <c r="WW350" s="87">
        <f t="shared" si="1947"/>
        <v>0</v>
      </c>
      <c r="WX350" s="87">
        <f t="shared" si="1948"/>
        <v>0</v>
      </c>
      <c r="WY350" s="87">
        <f t="shared" si="1949"/>
        <v>0</v>
      </c>
      <c r="WZ350" s="87">
        <f t="shared" si="1933"/>
        <v>0</v>
      </c>
      <c r="XA350" s="87">
        <f t="shared" si="1934"/>
        <v>0</v>
      </c>
      <c r="XB350" s="92">
        <f t="shared" si="1935"/>
        <v>1059729</v>
      </c>
      <c r="XC350" s="92">
        <f t="shared" si="1936"/>
        <v>3179186</v>
      </c>
      <c r="XD350" s="89"/>
      <c r="XE350" s="92"/>
      <c r="XF350" s="92"/>
      <c r="XG350" s="89"/>
      <c r="XH350" s="92"/>
      <c r="XI350" s="92"/>
      <c r="XJ350" s="89"/>
      <c r="XK350" s="87"/>
      <c r="XL350" s="87"/>
      <c r="XM350" s="87"/>
      <c r="XN350" s="87"/>
      <c r="XO350" s="87"/>
      <c r="XP350" s="87"/>
      <c r="XQ350" s="87"/>
      <c r="XR350" s="92">
        <f t="shared" ca="1" si="1931"/>
        <v>0</v>
      </c>
      <c r="XS350" s="89"/>
      <c r="XT350" s="87"/>
      <c r="XU350" s="87"/>
      <c r="XV350" s="87"/>
      <c r="XW350" s="87"/>
      <c r="XX350" s="87"/>
      <c r="XY350" s="87"/>
      <c r="XZ350" s="87"/>
      <c r="YA350" s="92">
        <f t="shared" ca="1" si="1932"/>
        <v>0</v>
      </c>
      <c r="YB350" s="90"/>
      <c r="YC350" s="90"/>
      <c r="YD350" s="90"/>
      <c r="YE350" s="90"/>
      <c r="YF350" s="90"/>
      <c r="YG350" s="90"/>
      <c r="YH350" s="90"/>
      <c r="YI350" s="90"/>
      <c r="YJ350" s="90"/>
      <c r="YK350" s="90"/>
      <c r="YL350" s="90"/>
      <c r="YM350" s="90"/>
      <c r="YN350" s="90"/>
      <c r="YO350" s="90"/>
      <c r="YP350" s="90"/>
      <c r="YQ350" s="90"/>
      <c r="YR350" s="90"/>
      <c r="YS350" s="90"/>
      <c r="YT350" s="90"/>
      <c r="YU350" s="90"/>
      <c r="YV350" s="90"/>
      <c r="YW350" s="90"/>
      <c r="YX350" s="90"/>
      <c r="YY350" s="90"/>
      <c r="YZ350" s="90"/>
      <c r="ZA350" s="90"/>
      <c r="ZB350" s="90"/>
      <c r="ZC350" s="90"/>
      <c r="ZD350" s="90"/>
      <c r="ZE350" s="90"/>
      <c r="ZF350" s="90"/>
      <c r="ZG350" s="90"/>
      <c r="ZH350" s="90"/>
      <c r="ZI350" s="90"/>
      <c r="ZJ350" s="90"/>
      <c r="ZK350" s="90"/>
      <c r="ZL350" s="90"/>
      <c r="ZM350" s="90"/>
      <c r="ZN350" s="90"/>
      <c r="ZO350" s="90"/>
      <c r="ZP350" s="90"/>
      <c r="ZQ350" s="90"/>
      <c r="ZR350" s="90"/>
      <c r="ZS350" s="90"/>
      <c r="ZT350" s="90"/>
      <c r="ZU350" s="90"/>
      <c r="ZV350" s="90"/>
      <c r="ZW350" s="90"/>
      <c r="ZX350" s="90"/>
      <c r="ZY350" s="90"/>
      <c r="ZZ350" s="90"/>
      <c r="AAA350" s="90"/>
      <c r="AAB350" s="90"/>
      <c r="AAC350" s="90"/>
      <c r="AAD350" s="90"/>
      <c r="AAE350" s="90"/>
      <c r="AAF350" s="90"/>
      <c r="AAG350" s="90"/>
      <c r="AAH350" s="90"/>
      <c r="AAI350" s="90"/>
      <c r="AAJ350" s="90"/>
      <c r="AAK350" s="90"/>
      <c r="AAL350" s="90"/>
      <c r="AAM350" s="90"/>
      <c r="AAN350" s="90"/>
      <c r="AAO350" s="90"/>
      <c r="AAP350" s="90"/>
      <c r="AAQ350" s="90"/>
      <c r="AAR350" s="90"/>
      <c r="AAS350" s="90"/>
      <c r="AAT350" s="90"/>
      <c r="AAU350" s="90"/>
      <c r="AAV350" s="90"/>
      <c r="AAW350" s="90"/>
      <c r="AAX350" s="90"/>
      <c r="AAY350" s="90"/>
      <c r="AAZ350" s="90"/>
      <c r="ABA350" s="90"/>
      <c r="ABB350" s="90"/>
      <c r="ABC350" s="90"/>
      <c r="ABD350" s="90"/>
      <c r="ABE350" s="90"/>
      <c r="ABF350" s="90"/>
      <c r="ABG350" s="90"/>
      <c r="ABH350" s="90"/>
      <c r="ABI350" s="90"/>
      <c r="ABJ350" s="90"/>
      <c r="ABK350" s="90"/>
      <c r="ABL350" s="90"/>
      <c r="ABM350" s="90"/>
      <c r="ABN350" s="90"/>
      <c r="ABO350" s="90"/>
      <c r="ABP350" s="90"/>
      <c r="ABQ350" s="90"/>
      <c r="ABR350" s="90"/>
      <c r="ABS350" s="90"/>
      <c r="ABT350" s="90"/>
      <c r="ABU350" s="90"/>
      <c r="ABV350" s="90"/>
      <c r="ABW350" s="90"/>
      <c r="ABX350" s="90"/>
      <c r="ABY350" s="90"/>
      <c r="ABZ350" s="90"/>
      <c r="ACA350" s="90"/>
      <c r="ACB350" s="90"/>
      <c r="ACC350" s="90"/>
      <c r="ACD350" s="90"/>
      <c r="ACE350" s="90"/>
      <c r="ACF350" s="90"/>
      <c r="ACG350" s="90"/>
      <c r="ACH350" s="90"/>
      <c r="ACI350" s="90"/>
      <c r="ACJ350" s="90"/>
      <c r="ACK350" s="90"/>
      <c r="ACL350" s="90"/>
      <c r="ACM350" s="90"/>
      <c r="ACN350" s="90"/>
      <c r="ACO350" s="90"/>
      <c r="ACP350" s="90"/>
      <c r="ACQ350" s="90"/>
      <c r="ACR350" s="90"/>
      <c r="ACS350" s="90"/>
      <c r="ACT350" s="90"/>
      <c r="ACU350" s="90"/>
      <c r="ACV350" s="90"/>
      <c r="ACW350" s="90"/>
      <c r="ACX350" s="90"/>
      <c r="ACY350" s="90"/>
      <c r="ACZ350" s="90"/>
      <c r="ADA350" s="90"/>
      <c r="ADB350" s="90"/>
      <c r="ADC350" s="90"/>
      <c r="ADD350" s="90"/>
      <c r="ADE350" s="90"/>
      <c r="ADF350" s="90"/>
      <c r="ADG350" s="90"/>
      <c r="ADH350" s="90"/>
      <c r="ADI350" s="90"/>
      <c r="ADJ350" s="90"/>
      <c r="ADK350" s="90"/>
      <c r="ADL350" s="90"/>
      <c r="ADM350" s="90"/>
      <c r="ADN350" s="90"/>
      <c r="ADO350" s="90"/>
      <c r="ADP350" s="90"/>
      <c r="ADQ350" s="90"/>
      <c r="ADR350" s="90"/>
      <c r="ADS350" s="90"/>
      <c r="ADT350" s="90"/>
      <c r="ADU350" s="90"/>
      <c r="ADV350" s="90"/>
      <c r="ADW350" s="90"/>
      <c r="ADX350" s="90"/>
      <c r="ADY350" s="90"/>
      <c r="ADZ350" s="90"/>
      <c r="AEA350" s="90"/>
      <c r="AEB350" s="90"/>
      <c r="AEC350" s="90"/>
      <c r="AED350" s="90"/>
      <c r="AEE350" s="90"/>
      <c r="AEF350" s="90"/>
      <c r="AEG350" s="90"/>
      <c r="AEH350" s="90"/>
      <c r="AEI350" s="90"/>
      <c r="AEJ350" s="90"/>
      <c r="AEK350" s="90"/>
      <c r="AEL350" s="90"/>
      <c r="AEM350" s="90"/>
      <c r="AEN350" s="90"/>
      <c r="AEO350" s="90"/>
      <c r="AEP350" s="90"/>
      <c r="AEQ350" s="90"/>
      <c r="AER350" s="90"/>
      <c r="AES350" s="90"/>
      <c r="AET350" s="90"/>
      <c r="AEU350" s="90"/>
      <c r="AEV350" s="90"/>
      <c r="AEW350" s="90"/>
      <c r="AEX350" s="90"/>
      <c r="AEY350" s="90"/>
      <c r="AEZ350" s="90"/>
      <c r="AFA350" s="90"/>
      <c r="AFB350" s="90"/>
      <c r="AFC350" s="90"/>
      <c r="AFD350" s="90"/>
      <c r="AFE350" s="90"/>
      <c r="AFF350" s="90"/>
      <c r="AFG350" s="90"/>
      <c r="AFH350" s="90"/>
      <c r="AFI350" s="90"/>
      <c r="AFJ350" s="90"/>
      <c r="AFK350" s="90"/>
      <c r="AFL350" s="90"/>
      <c r="AFM350" s="90"/>
      <c r="AFN350" s="90"/>
      <c r="AFO350" s="90"/>
      <c r="AFP350" s="90"/>
      <c r="AFQ350" s="90"/>
      <c r="AFR350" s="90"/>
      <c r="AFS350" s="90"/>
      <c r="AFT350" s="90"/>
      <c r="AFU350" s="90"/>
      <c r="AFV350" s="90"/>
      <c r="AFW350" s="90"/>
      <c r="AFX350" s="90"/>
      <c r="AFY350" s="90"/>
      <c r="AFZ350" s="90"/>
      <c r="AGA350" s="90"/>
      <c r="AGB350" s="90"/>
      <c r="AGC350" s="90"/>
      <c r="AGD350" s="90"/>
      <c r="AGE350" s="90"/>
      <c r="AGF350" s="90"/>
      <c r="AGG350" s="90"/>
      <c r="AGH350" s="90"/>
      <c r="AGI350" s="90"/>
      <c r="AGJ350" s="90"/>
      <c r="AGK350" s="90"/>
      <c r="AGL350" s="90"/>
      <c r="AGM350" s="90"/>
      <c r="AGN350" s="90"/>
      <c r="AGO350" s="90"/>
      <c r="AGP350" s="90"/>
      <c r="AGQ350" s="90"/>
      <c r="AGR350" s="90"/>
      <c r="AGS350" s="90"/>
      <c r="AGT350" s="90"/>
      <c r="AGU350" s="90"/>
      <c r="AGV350" s="90"/>
      <c r="AGW350" s="90"/>
      <c r="AGX350" s="90"/>
      <c r="AGY350" s="90"/>
      <c r="AGZ350" s="90"/>
      <c r="AHA350" s="90"/>
      <c r="AHB350" s="90"/>
      <c r="AHC350" s="90"/>
      <c r="AHD350" s="90"/>
      <c r="AHE350" s="90"/>
      <c r="AHF350" s="90"/>
      <c r="AHG350" s="90"/>
      <c r="AHH350" s="90"/>
      <c r="AHI350" s="90"/>
      <c r="AHJ350" s="90"/>
      <c r="AHK350" s="90"/>
      <c r="AHL350" s="90"/>
      <c r="AHM350" s="90"/>
      <c r="AHN350" s="90"/>
      <c r="AHO350" s="90"/>
      <c r="AHP350" s="90"/>
      <c r="AHQ350" s="90"/>
      <c r="AHR350" s="90"/>
      <c r="AHS350" s="90"/>
      <c r="AHT350" s="90"/>
      <c r="AHU350" s="90"/>
      <c r="AHV350" s="90"/>
      <c r="AHW350" s="90"/>
      <c r="AHX350" s="90"/>
      <c r="AHY350" s="90"/>
      <c r="AHZ350" s="90"/>
      <c r="AIA350" s="90"/>
      <c r="AIB350" s="90"/>
      <c r="AIC350" s="90"/>
      <c r="AID350" s="90"/>
      <c r="AIE350" s="90"/>
      <c r="AIF350" s="90"/>
      <c r="AIG350" s="90"/>
      <c r="AIH350" s="90"/>
      <c r="AII350" s="90"/>
      <c r="AIJ350" s="90"/>
      <c r="AIK350" s="90"/>
      <c r="AIL350" s="90"/>
      <c r="AIM350" s="90"/>
      <c r="AIN350" s="90"/>
      <c r="AIO350" s="90"/>
      <c r="AIP350" s="90"/>
      <c r="AIQ350" s="90"/>
      <c r="AIR350" s="90"/>
      <c r="AIS350" s="90"/>
      <c r="AIT350" s="90"/>
      <c r="AIU350" s="90"/>
      <c r="AIV350" s="90"/>
      <c r="AIW350" s="90"/>
      <c r="AIX350" s="90"/>
      <c r="AIY350" s="90"/>
      <c r="AIZ350" s="90"/>
      <c r="AJA350" s="90"/>
      <c r="AJB350" s="90"/>
      <c r="AJC350" s="90"/>
      <c r="AJD350" s="90"/>
      <c r="AJE350" s="90"/>
      <c r="AJF350" s="90"/>
      <c r="AJG350" s="90"/>
      <c r="AJH350" s="90"/>
      <c r="AJI350" s="90"/>
      <c r="AJJ350" s="90"/>
      <c r="AJK350" s="90"/>
      <c r="AJL350" s="90"/>
      <c r="AJM350" s="90"/>
      <c r="AJN350" s="90"/>
      <c r="AJO350" s="90"/>
      <c r="AJP350" s="90"/>
      <c r="AJQ350" s="90"/>
      <c r="AJR350" s="90"/>
      <c r="AJS350" s="90"/>
      <c r="AJT350" s="90"/>
      <c r="AJU350" s="90"/>
      <c r="AJV350" s="90"/>
      <c r="AJW350" s="90"/>
      <c r="AJX350" s="90"/>
      <c r="AJY350" s="90"/>
      <c r="AJZ350" s="90"/>
      <c r="AKA350" s="90"/>
      <c r="AKB350" s="90"/>
      <c r="AKC350" s="90"/>
      <c r="AKD350" s="90"/>
      <c r="AKE350" s="90"/>
      <c r="AKF350" s="90"/>
      <c r="AKG350" s="90"/>
      <c r="AKH350" s="90"/>
      <c r="AKI350" s="90"/>
      <c r="AKJ350" s="90"/>
      <c r="AKK350" s="90"/>
      <c r="AKL350" s="90"/>
      <c r="AKM350" s="90"/>
      <c r="AKN350" s="90"/>
      <c r="AKO350" s="90"/>
      <c r="AKP350" s="90"/>
      <c r="AKQ350" s="90"/>
      <c r="AKR350" s="90"/>
      <c r="AKS350" s="90"/>
      <c r="AKT350" s="90"/>
      <c r="AKU350" s="90"/>
      <c r="AKV350" s="90"/>
      <c r="AKW350" s="90"/>
      <c r="AKX350" s="90"/>
      <c r="AKY350" s="90"/>
      <c r="AKZ350" s="90"/>
      <c r="ALA350" s="90"/>
      <c r="ALB350" s="90"/>
      <c r="ALC350" s="90"/>
      <c r="ALD350" s="90"/>
      <c r="ALE350" s="90"/>
      <c r="ALF350" s="90"/>
      <c r="ALG350" s="90"/>
      <c r="ALH350" s="90"/>
      <c r="ALI350" s="90"/>
      <c r="ALJ350" s="90"/>
      <c r="ALK350" s="90"/>
      <c r="ALL350" s="90"/>
      <c r="ALM350" s="90"/>
      <c r="ALN350" s="90"/>
      <c r="ALO350" s="90"/>
      <c r="ALP350" s="90"/>
      <c r="ALQ350" s="90"/>
      <c r="ALR350" s="90"/>
      <c r="ALS350" s="90"/>
      <c r="ALT350" s="90"/>
      <c r="ALU350" s="90"/>
      <c r="ALV350" s="90"/>
      <c r="ALW350" s="90"/>
      <c r="ALX350" s="90"/>
      <c r="ALY350" s="90"/>
      <c r="ALZ350" s="90"/>
      <c r="AMA350" s="90"/>
      <c r="AMB350" s="90"/>
      <c r="AMC350" s="90"/>
    </row>
    <row r="351" spans="1:1017">
      <c r="A351" s="98" t="s">
        <v>53</v>
      </c>
      <c r="B351" s="90" t="str">
        <f t="shared" si="1937"/>
        <v>Ikan_02 (Tiram)</v>
      </c>
      <c r="Q351" s="91">
        <f t="shared" si="1839"/>
        <v>0</v>
      </c>
      <c r="R351" s="91">
        <f t="shared" si="1840"/>
        <v>0</v>
      </c>
      <c r="S351" s="98">
        <v>1240</v>
      </c>
      <c r="T351" s="98">
        <v>12400</v>
      </c>
      <c r="AG351" s="91">
        <f t="shared" si="1841"/>
        <v>1240</v>
      </c>
      <c r="AH351" s="91">
        <f t="shared" si="1842"/>
        <v>12400</v>
      </c>
      <c r="AW351" s="91">
        <f t="shared" si="1843"/>
        <v>0</v>
      </c>
      <c r="AX351" s="91">
        <f t="shared" si="1844"/>
        <v>0</v>
      </c>
      <c r="BM351" s="91">
        <f t="shared" si="1845"/>
        <v>0</v>
      </c>
      <c r="BN351" s="91">
        <f t="shared" si="1846"/>
        <v>0</v>
      </c>
      <c r="CC351" s="91">
        <f t="shared" si="1847"/>
        <v>0</v>
      </c>
      <c r="CD351" s="91">
        <f t="shared" si="1848"/>
        <v>0</v>
      </c>
      <c r="CS351" s="91">
        <f t="shared" si="1849"/>
        <v>0</v>
      </c>
      <c r="CT351" s="91">
        <f t="shared" si="1850"/>
        <v>0</v>
      </c>
      <c r="DI351" s="91">
        <f t="shared" si="1851"/>
        <v>0</v>
      </c>
      <c r="DJ351" s="91">
        <f t="shared" si="1852"/>
        <v>0</v>
      </c>
      <c r="DY351" s="91">
        <f t="shared" si="1853"/>
        <v>0</v>
      </c>
      <c r="DZ351" s="91">
        <f t="shared" si="1854"/>
        <v>0</v>
      </c>
      <c r="EO351" s="91">
        <f t="shared" si="1855"/>
        <v>0</v>
      </c>
      <c r="EP351" s="91">
        <f t="shared" si="1856"/>
        <v>0</v>
      </c>
      <c r="FE351" s="91">
        <f t="shared" si="1857"/>
        <v>0</v>
      </c>
      <c r="FF351" s="91">
        <f t="shared" si="1858"/>
        <v>0</v>
      </c>
      <c r="FU351" s="91">
        <f t="shared" si="1859"/>
        <v>0</v>
      </c>
      <c r="FV351" s="91">
        <f t="shared" si="1860"/>
        <v>0</v>
      </c>
      <c r="GK351" s="91">
        <f t="shared" si="1861"/>
        <v>0</v>
      </c>
      <c r="GL351" s="91">
        <f t="shared" si="1862"/>
        <v>0</v>
      </c>
      <c r="HA351" s="91">
        <f t="shared" si="1863"/>
        <v>0</v>
      </c>
      <c r="HB351" s="91">
        <f t="shared" si="1864"/>
        <v>0</v>
      </c>
      <c r="HQ351" s="91">
        <f t="shared" si="1865"/>
        <v>0</v>
      </c>
      <c r="HR351" s="91">
        <f t="shared" si="1866"/>
        <v>0</v>
      </c>
      <c r="IG351" s="91">
        <f t="shared" si="1867"/>
        <v>0</v>
      </c>
      <c r="IH351" s="91">
        <f t="shared" si="1868"/>
        <v>0</v>
      </c>
      <c r="IW351" s="91">
        <f t="shared" si="1869"/>
        <v>0</v>
      </c>
      <c r="IX351" s="91">
        <f t="shared" si="1870"/>
        <v>0</v>
      </c>
      <c r="JM351" s="91">
        <f t="shared" si="1871"/>
        <v>0</v>
      </c>
      <c r="JN351" s="91">
        <f t="shared" si="1872"/>
        <v>0</v>
      </c>
      <c r="KC351" s="91">
        <f t="shared" si="1873"/>
        <v>0</v>
      </c>
      <c r="KD351" s="91">
        <f t="shared" si="1874"/>
        <v>0</v>
      </c>
      <c r="KS351" s="91">
        <f t="shared" si="1875"/>
        <v>0</v>
      </c>
      <c r="KT351" s="91">
        <f t="shared" si="1876"/>
        <v>0</v>
      </c>
      <c r="LI351" s="91">
        <f t="shared" si="1877"/>
        <v>0</v>
      </c>
      <c r="LJ351" s="91">
        <f t="shared" si="1878"/>
        <v>0</v>
      </c>
      <c r="LY351" s="91">
        <f t="shared" si="1879"/>
        <v>0</v>
      </c>
      <c r="LZ351" s="91">
        <f t="shared" si="1880"/>
        <v>0</v>
      </c>
      <c r="MO351" s="91">
        <f t="shared" si="1881"/>
        <v>0</v>
      </c>
      <c r="MP351" s="91">
        <f t="shared" si="1882"/>
        <v>0</v>
      </c>
      <c r="NE351" s="91">
        <f t="shared" si="1883"/>
        <v>0</v>
      </c>
      <c r="NF351" s="91">
        <f t="shared" si="1884"/>
        <v>0</v>
      </c>
      <c r="NU351" s="91">
        <f t="shared" si="1885"/>
        <v>0</v>
      </c>
      <c r="NV351" s="91">
        <f t="shared" si="1886"/>
        <v>0</v>
      </c>
      <c r="OK351" s="91">
        <f t="shared" si="1887"/>
        <v>0</v>
      </c>
      <c r="OL351" s="91">
        <f t="shared" si="1888"/>
        <v>0</v>
      </c>
      <c r="PA351" s="91">
        <f t="shared" si="1889"/>
        <v>0</v>
      </c>
      <c r="PB351" s="91">
        <f t="shared" si="1890"/>
        <v>0</v>
      </c>
      <c r="PQ351" s="91">
        <f t="shared" si="1891"/>
        <v>0</v>
      </c>
      <c r="PR351" s="91">
        <f t="shared" si="1892"/>
        <v>0</v>
      </c>
      <c r="QG351" s="91">
        <f t="shared" si="1893"/>
        <v>0</v>
      </c>
      <c r="QH351" s="91">
        <f t="shared" si="1894"/>
        <v>0</v>
      </c>
      <c r="QW351" s="91">
        <f t="shared" si="1895"/>
        <v>0</v>
      </c>
      <c r="QX351" s="91">
        <f t="shared" si="1896"/>
        <v>0</v>
      </c>
      <c r="RM351" s="91">
        <f t="shared" si="1897"/>
        <v>0</v>
      </c>
      <c r="RN351" s="91">
        <f t="shared" si="1898"/>
        <v>0</v>
      </c>
      <c r="SC351" s="91">
        <f t="shared" si="1899"/>
        <v>0</v>
      </c>
      <c r="SD351" s="91">
        <f t="shared" si="1900"/>
        <v>0</v>
      </c>
      <c r="SS351" s="91">
        <f t="shared" si="1901"/>
        <v>0</v>
      </c>
      <c r="ST351" s="91">
        <f t="shared" si="1902"/>
        <v>0</v>
      </c>
      <c r="TI351" s="91">
        <f t="shared" si="1903"/>
        <v>0</v>
      </c>
      <c r="TJ351" s="91">
        <f t="shared" si="1904"/>
        <v>0</v>
      </c>
      <c r="TY351" s="91">
        <f t="shared" si="1905"/>
        <v>0</v>
      </c>
      <c r="TZ351" s="91">
        <f t="shared" si="1906"/>
        <v>0</v>
      </c>
      <c r="UO351" s="91">
        <f t="shared" si="1907"/>
        <v>0</v>
      </c>
      <c r="UP351" s="91">
        <f t="shared" si="1908"/>
        <v>0</v>
      </c>
      <c r="VE351" s="91">
        <f t="shared" si="1909"/>
        <v>0</v>
      </c>
      <c r="VF351" s="91">
        <f t="shared" si="1910"/>
        <v>0</v>
      </c>
      <c r="VU351" s="91">
        <f t="shared" si="1911"/>
        <v>0</v>
      </c>
      <c r="VV351" s="91">
        <f t="shared" si="1912"/>
        <v>0</v>
      </c>
      <c r="WK351" s="91">
        <f t="shared" si="1913"/>
        <v>0</v>
      </c>
      <c r="WL351" s="91">
        <f t="shared" si="1914"/>
        <v>0</v>
      </c>
      <c r="WM351" s="89"/>
      <c r="WN351" s="87">
        <f t="shared" si="1938"/>
        <v>1240</v>
      </c>
      <c r="WO351" s="87">
        <f t="shared" si="1939"/>
        <v>12400</v>
      </c>
      <c r="WP351" s="87">
        <f t="shared" si="1940"/>
        <v>0</v>
      </c>
      <c r="WQ351" s="87">
        <f t="shared" si="1941"/>
        <v>0</v>
      </c>
      <c r="WR351" s="87">
        <f t="shared" si="1942"/>
        <v>0</v>
      </c>
      <c r="WS351" s="87">
        <f t="shared" si="1943"/>
        <v>0</v>
      </c>
      <c r="WT351" s="87">
        <f t="shared" si="1944"/>
        <v>0</v>
      </c>
      <c r="WU351" s="87">
        <f t="shared" si="1945"/>
        <v>0</v>
      </c>
      <c r="WV351" s="87">
        <f t="shared" si="1946"/>
        <v>0</v>
      </c>
      <c r="WW351" s="87">
        <f t="shared" si="1947"/>
        <v>0</v>
      </c>
      <c r="WX351" s="87">
        <f t="shared" si="1948"/>
        <v>0</v>
      </c>
      <c r="WY351" s="87">
        <f t="shared" si="1949"/>
        <v>0</v>
      </c>
      <c r="WZ351" s="87">
        <f t="shared" si="1933"/>
        <v>0</v>
      </c>
      <c r="XA351" s="87">
        <f t="shared" si="1934"/>
        <v>0</v>
      </c>
      <c r="XB351" s="92">
        <f t="shared" si="1935"/>
        <v>1240</v>
      </c>
      <c r="XC351" s="92">
        <f t="shared" si="1936"/>
        <v>12400</v>
      </c>
      <c r="XD351" s="89"/>
      <c r="XE351" s="92"/>
      <c r="XF351" s="92"/>
      <c r="XG351" s="89"/>
      <c r="XH351" s="92"/>
      <c r="XI351" s="92"/>
      <c r="XJ351" s="89"/>
      <c r="XK351" s="87"/>
      <c r="XL351" s="87"/>
      <c r="XM351" s="87"/>
      <c r="XN351" s="87"/>
      <c r="XO351" s="87"/>
      <c r="XP351" s="87"/>
      <c r="XQ351" s="87"/>
      <c r="XR351" s="92">
        <f t="shared" ca="1" si="1931"/>
        <v>0</v>
      </c>
      <c r="XS351" s="89"/>
      <c r="XT351" s="87"/>
      <c r="XU351" s="87"/>
      <c r="XV351" s="87"/>
      <c r="XW351" s="87"/>
      <c r="XX351" s="87"/>
      <c r="XY351" s="87"/>
      <c r="XZ351" s="87"/>
      <c r="YA351" s="92">
        <f t="shared" ca="1" si="1932"/>
        <v>0</v>
      </c>
      <c r="YB351" s="90"/>
      <c r="YC351" s="90"/>
      <c r="YD351" s="90"/>
      <c r="YE351" s="90"/>
      <c r="YF351" s="90"/>
      <c r="YG351" s="90"/>
      <c r="YH351" s="90"/>
      <c r="YI351" s="90"/>
      <c r="YJ351" s="90"/>
      <c r="YK351" s="90"/>
      <c r="YL351" s="90"/>
      <c r="YM351" s="90"/>
      <c r="YN351" s="90"/>
      <c r="YO351" s="90"/>
      <c r="YP351" s="90"/>
      <c r="YQ351" s="90"/>
      <c r="YR351" s="90"/>
      <c r="YS351" s="90"/>
      <c r="YT351" s="90"/>
      <c r="YU351" s="90"/>
      <c r="YV351" s="90"/>
      <c r="YW351" s="90"/>
      <c r="YX351" s="90"/>
      <c r="YY351" s="90"/>
      <c r="YZ351" s="90"/>
      <c r="ZA351" s="90"/>
      <c r="ZB351" s="90"/>
      <c r="ZC351" s="90"/>
      <c r="ZD351" s="90"/>
      <c r="ZE351" s="90"/>
      <c r="ZF351" s="90"/>
      <c r="ZG351" s="90"/>
      <c r="ZH351" s="90"/>
      <c r="ZI351" s="90"/>
      <c r="ZJ351" s="90"/>
      <c r="ZK351" s="90"/>
      <c r="ZL351" s="90"/>
      <c r="ZM351" s="90"/>
      <c r="ZN351" s="90"/>
      <c r="ZO351" s="90"/>
      <c r="ZP351" s="90"/>
      <c r="ZQ351" s="90"/>
      <c r="ZR351" s="90"/>
      <c r="ZS351" s="90"/>
      <c r="ZT351" s="90"/>
      <c r="ZU351" s="90"/>
      <c r="ZV351" s="90"/>
      <c r="ZW351" s="90"/>
      <c r="ZX351" s="90"/>
      <c r="ZY351" s="90"/>
      <c r="ZZ351" s="90"/>
      <c r="AAA351" s="90"/>
      <c r="AAB351" s="90"/>
      <c r="AAC351" s="90"/>
      <c r="AAD351" s="90"/>
      <c r="AAE351" s="90"/>
      <c r="AAF351" s="90"/>
      <c r="AAG351" s="90"/>
      <c r="AAH351" s="90"/>
      <c r="AAI351" s="90"/>
      <c r="AAJ351" s="90"/>
      <c r="AAK351" s="90"/>
      <c r="AAL351" s="90"/>
      <c r="AAM351" s="90"/>
      <c r="AAN351" s="90"/>
      <c r="AAO351" s="90"/>
      <c r="AAP351" s="90"/>
      <c r="AAQ351" s="90"/>
      <c r="AAR351" s="90"/>
      <c r="AAS351" s="90"/>
      <c r="AAT351" s="90"/>
      <c r="AAU351" s="90"/>
      <c r="AAV351" s="90"/>
      <c r="AAW351" s="90"/>
      <c r="AAX351" s="90"/>
      <c r="AAY351" s="90"/>
      <c r="AAZ351" s="90"/>
      <c r="ABA351" s="90"/>
      <c r="ABB351" s="90"/>
      <c r="ABC351" s="90"/>
      <c r="ABD351" s="90"/>
      <c r="ABE351" s="90"/>
      <c r="ABF351" s="90"/>
      <c r="ABG351" s="90"/>
      <c r="ABH351" s="90"/>
      <c r="ABI351" s="90"/>
      <c r="ABJ351" s="90"/>
      <c r="ABK351" s="90"/>
      <c r="ABL351" s="90"/>
      <c r="ABM351" s="90"/>
      <c r="ABN351" s="90"/>
      <c r="ABO351" s="90"/>
      <c r="ABP351" s="90"/>
      <c r="ABQ351" s="90"/>
      <c r="ABR351" s="90"/>
      <c r="ABS351" s="90"/>
      <c r="ABT351" s="90"/>
      <c r="ABU351" s="90"/>
      <c r="ABV351" s="90"/>
      <c r="ABW351" s="90"/>
      <c r="ABX351" s="90"/>
      <c r="ABY351" s="90"/>
      <c r="ABZ351" s="90"/>
      <c r="ACA351" s="90"/>
      <c r="ACB351" s="90"/>
      <c r="ACC351" s="90"/>
      <c r="ACD351" s="90"/>
      <c r="ACE351" s="90"/>
      <c r="ACF351" s="90"/>
      <c r="ACG351" s="90"/>
      <c r="ACH351" s="90"/>
      <c r="ACI351" s="90"/>
      <c r="ACJ351" s="90"/>
      <c r="ACK351" s="90"/>
      <c r="ACL351" s="90"/>
      <c r="ACM351" s="90"/>
      <c r="ACN351" s="90"/>
      <c r="ACO351" s="90"/>
      <c r="ACP351" s="90"/>
      <c r="ACQ351" s="90"/>
      <c r="ACR351" s="90"/>
      <c r="ACS351" s="90"/>
      <c r="ACT351" s="90"/>
      <c r="ACU351" s="90"/>
      <c r="ACV351" s="90"/>
      <c r="ACW351" s="90"/>
      <c r="ACX351" s="90"/>
      <c r="ACY351" s="90"/>
      <c r="ACZ351" s="90"/>
      <c r="ADA351" s="90"/>
      <c r="ADB351" s="90"/>
      <c r="ADC351" s="90"/>
      <c r="ADD351" s="90"/>
      <c r="ADE351" s="90"/>
      <c r="ADF351" s="90"/>
      <c r="ADG351" s="90"/>
      <c r="ADH351" s="90"/>
      <c r="ADI351" s="90"/>
      <c r="ADJ351" s="90"/>
      <c r="ADK351" s="90"/>
      <c r="ADL351" s="90"/>
      <c r="ADM351" s="90"/>
      <c r="ADN351" s="90"/>
      <c r="ADO351" s="90"/>
      <c r="ADP351" s="90"/>
      <c r="ADQ351" s="90"/>
      <c r="ADR351" s="90"/>
      <c r="ADS351" s="90"/>
      <c r="ADT351" s="90"/>
      <c r="ADU351" s="90"/>
      <c r="ADV351" s="90"/>
      <c r="ADW351" s="90"/>
      <c r="ADX351" s="90"/>
      <c r="ADY351" s="90"/>
      <c r="ADZ351" s="90"/>
      <c r="AEA351" s="90"/>
      <c r="AEB351" s="90"/>
      <c r="AEC351" s="90"/>
      <c r="AED351" s="90"/>
      <c r="AEE351" s="90"/>
      <c r="AEF351" s="90"/>
      <c r="AEG351" s="90"/>
      <c r="AEH351" s="90"/>
      <c r="AEI351" s="90"/>
      <c r="AEJ351" s="90"/>
      <c r="AEK351" s="90"/>
      <c r="AEL351" s="90"/>
      <c r="AEM351" s="90"/>
      <c r="AEN351" s="90"/>
      <c r="AEO351" s="90"/>
      <c r="AEP351" s="90"/>
      <c r="AEQ351" s="90"/>
      <c r="AER351" s="90"/>
      <c r="AES351" s="90"/>
      <c r="AET351" s="90"/>
      <c r="AEU351" s="90"/>
      <c r="AEV351" s="90"/>
      <c r="AEW351" s="90"/>
      <c r="AEX351" s="90"/>
      <c r="AEY351" s="90"/>
      <c r="AEZ351" s="90"/>
      <c r="AFA351" s="90"/>
      <c r="AFB351" s="90"/>
      <c r="AFC351" s="90"/>
      <c r="AFD351" s="90"/>
      <c r="AFE351" s="90"/>
      <c r="AFF351" s="90"/>
      <c r="AFG351" s="90"/>
      <c r="AFH351" s="90"/>
      <c r="AFI351" s="90"/>
      <c r="AFJ351" s="90"/>
      <c r="AFK351" s="90"/>
      <c r="AFL351" s="90"/>
      <c r="AFM351" s="90"/>
      <c r="AFN351" s="90"/>
      <c r="AFO351" s="90"/>
      <c r="AFP351" s="90"/>
      <c r="AFQ351" s="90"/>
      <c r="AFR351" s="90"/>
      <c r="AFS351" s="90"/>
      <c r="AFT351" s="90"/>
      <c r="AFU351" s="90"/>
      <c r="AFV351" s="90"/>
      <c r="AFW351" s="90"/>
      <c r="AFX351" s="90"/>
      <c r="AFY351" s="90"/>
      <c r="AFZ351" s="90"/>
      <c r="AGA351" s="90"/>
      <c r="AGB351" s="90"/>
      <c r="AGC351" s="90"/>
      <c r="AGD351" s="90"/>
      <c r="AGE351" s="90"/>
      <c r="AGF351" s="90"/>
      <c r="AGG351" s="90"/>
      <c r="AGH351" s="90"/>
      <c r="AGI351" s="90"/>
      <c r="AGJ351" s="90"/>
      <c r="AGK351" s="90"/>
      <c r="AGL351" s="90"/>
      <c r="AGM351" s="90"/>
      <c r="AGN351" s="90"/>
      <c r="AGO351" s="90"/>
      <c r="AGP351" s="90"/>
      <c r="AGQ351" s="90"/>
      <c r="AGR351" s="90"/>
      <c r="AGS351" s="90"/>
      <c r="AGT351" s="90"/>
      <c r="AGU351" s="90"/>
      <c r="AGV351" s="90"/>
      <c r="AGW351" s="90"/>
      <c r="AGX351" s="90"/>
      <c r="AGY351" s="90"/>
      <c r="AGZ351" s="90"/>
      <c r="AHA351" s="90"/>
      <c r="AHB351" s="90"/>
      <c r="AHC351" s="90"/>
      <c r="AHD351" s="90"/>
      <c r="AHE351" s="90"/>
      <c r="AHF351" s="90"/>
      <c r="AHG351" s="90"/>
      <c r="AHH351" s="90"/>
      <c r="AHI351" s="90"/>
      <c r="AHJ351" s="90"/>
      <c r="AHK351" s="90"/>
      <c r="AHL351" s="90"/>
      <c r="AHM351" s="90"/>
      <c r="AHN351" s="90"/>
      <c r="AHO351" s="90"/>
      <c r="AHP351" s="90"/>
      <c r="AHQ351" s="90"/>
      <c r="AHR351" s="90"/>
      <c r="AHS351" s="90"/>
      <c r="AHT351" s="90"/>
      <c r="AHU351" s="90"/>
      <c r="AHV351" s="90"/>
      <c r="AHW351" s="90"/>
      <c r="AHX351" s="90"/>
      <c r="AHY351" s="90"/>
      <c r="AHZ351" s="90"/>
      <c r="AIA351" s="90"/>
      <c r="AIB351" s="90"/>
      <c r="AIC351" s="90"/>
      <c r="AID351" s="90"/>
      <c r="AIE351" s="90"/>
      <c r="AIF351" s="90"/>
      <c r="AIG351" s="90"/>
      <c r="AIH351" s="90"/>
      <c r="AII351" s="90"/>
      <c r="AIJ351" s="90"/>
      <c r="AIK351" s="90"/>
      <c r="AIL351" s="90"/>
      <c r="AIM351" s="90"/>
      <c r="AIN351" s="90"/>
      <c r="AIO351" s="90"/>
      <c r="AIP351" s="90"/>
      <c r="AIQ351" s="90"/>
      <c r="AIR351" s="90"/>
      <c r="AIS351" s="90"/>
      <c r="AIT351" s="90"/>
      <c r="AIU351" s="90"/>
      <c r="AIV351" s="90"/>
      <c r="AIW351" s="90"/>
      <c r="AIX351" s="90"/>
      <c r="AIY351" s="90"/>
      <c r="AIZ351" s="90"/>
      <c r="AJA351" s="90"/>
      <c r="AJB351" s="90"/>
      <c r="AJC351" s="90"/>
      <c r="AJD351" s="90"/>
      <c r="AJE351" s="90"/>
      <c r="AJF351" s="90"/>
      <c r="AJG351" s="90"/>
      <c r="AJH351" s="90"/>
      <c r="AJI351" s="90"/>
      <c r="AJJ351" s="90"/>
      <c r="AJK351" s="90"/>
      <c r="AJL351" s="90"/>
      <c r="AJM351" s="90"/>
      <c r="AJN351" s="90"/>
      <c r="AJO351" s="90"/>
      <c r="AJP351" s="90"/>
      <c r="AJQ351" s="90"/>
      <c r="AJR351" s="90"/>
      <c r="AJS351" s="90"/>
      <c r="AJT351" s="90"/>
      <c r="AJU351" s="90"/>
      <c r="AJV351" s="90"/>
      <c r="AJW351" s="90"/>
      <c r="AJX351" s="90"/>
      <c r="AJY351" s="90"/>
      <c r="AJZ351" s="90"/>
      <c r="AKA351" s="90"/>
      <c r="AKB351" s="90"/>
      <c r="AKC351" s="90"/>
      <c r="AKD351" s="90"/>
      <c r="AKE351" s="90"/>
      <c r="AKF351" s="90"/>
      <c r="AKG351" s="90"/>
      <c r="AKH351" s="90"/>
      <c r="AKI351" s="90"/>
      <c r="AKJ351" s="90"/>
      <c r="AKK351" s="90"/>
      <c r="AKL351" s="90"/>
      <c r="AKM351" s="90"/>
      <c r="AKN351" s="90"/>
      <c r="AKO351" s="90"/>
      <c r="AKP351" s="90"/>
      <c r="AKQ351" s="90"/>
      <c r="AKR351" s="90"/>
      <c r="AKS351" s="90"/>
      <c r="AKT351" s="90"/>
      <c r="AKU351" s="90"/>
      <c r="AKV351" s="90"/>
      <c r="AKW351" s="90"/>
      <c r="AKX351" s="90"/>
      <c r="AKY351" s="90"/>
      <c r="AKZ351" s="90"/>
      <c r="ALA351" s="90"/>
      <c r="ALB351" s="90"/>
      <c r="ALC351" s="90"/>
      <c r="ALD351" s="90"/>
      <c r="ALE351" s="90"/>
      <c r="ALF351" s="90"/>
      <c r="ALG351" s="90"/>
      <c r="ALH351" s="90"/>
      <c r="ALI351" s="90"/>
      <c r="ALJ351" s="90"/>
      <c r="ALK351" s="90"/>
      <c r="ALL351" s="90"/>
      <c r="ALM351" s="90"/>
      <c r="ALN351" s="90"/>
      <c r="ALO351" s="90"/>
      <c r="ALP351" s="90"/>
      <c r="ALQ351" s="90"/>
      <c r="ALR351" s="90"/>
      <c r="ALS351" s="90"/>
      <c r="ALT351" s="90"/>
      <c r="ALU351" s="90"/>
      <c r="ALV351" s="90"/>
      <c r="ALW351" s="90"/>
      <c r="ALX351" s="90"/>
      <c r="ALY351" s="90"/>
      <c r="ALZ351" s="90"/>
      <c r="AMA351" s="90"/>
      <c r="AMB351" s="90"/>
      <c r="AMC351" s="90"/>
    </row>
    <row r="352" spans="1:1017">
      <c r="A352" s="98" t="s">
        <v>53</v>
      </c>
      <c r="B352" s="90" t="str">
        <f t="shared" si="1937"/>
        <v>Ikan_03 (Kerang Darah)</v>
      </c>
      <c r="Q352" s="91">
        <f t="shared" si="1839"/>
        <v>0</v>
      </c>
      <c r="R352" s="91">
        <f t="shared" si="1840"/>
        <v>0</v>
      </c>
      <c r="AG352" s="91">
        <f t="shared" si="1841"/>
        <v>0</v>
      </c>
      <c r="AH352" s="91">
        <f t="shared" si="1842"/>
        <v>0</v>
      </c>
      <c r="AW352" s="91">
        <f t="shared" si="1843"/>
        <v>0</v>
      </c>
      <c r="AX352" s="91">
        <f t="shared" si="1844"/>
        <v>0</v>
      </c>
      <c r="BM352" s="91">
        <f t="shared" si="1845"/>
        <v>0</v>
      </c>
      <c r="BN352" s="91">
        <f t="shared" si="1846"/>
        <v>0</v>
      </c>
      <c r="CC352" s="91">
        <f t="shared" si="1847"/>
        <v>0</v>
      </c>
      <c r="CD352" s="91">
        <f t="shared" si="1848"/>
        <v>0</v>
      </c>
      <c r="CS352" s="91">
        <f t="shared" si="1849"/>
        <v>0</v>
      </c>
      <c r="CT352" s="91">
        <f t="shared" si="1850"/>
        <v>0</v>
      </c>
      <c r="DI352" s="91">
        <f t="shared" si="1851"/>
        <v>0</v>
      </c>
      <c r="DJ352" s="91">
        <f t="shared" si="1852"/>
        <v>0</v>
      </c>
      <c r="DY352" s="91">
        <f t="shared" si="1853"/>
        <v>0</v>
      </c>
      <c r="DZ352" s="91">
        <f t="shared" si="1854"/>
        <v>0</v>
      </c>
      <c r="EO352" s="91">
        <f t="shared" si="1855"/>
        <v>0</v>
      </c>
      <c r="EP352" s="91">
        <f t="shared" si="1856"/>
        <v>0</v>
      </c>
      <c r="FE352" s="91">
        <f t="shared" si="1857"/>
        <v>0</v>
      </c>
      <c r="FF352" s="91">
        <f t="shared" si="1858"/>
        <v>0</v>
      </c>
      <c r="FU352" s="91">
        <f t="shared" si="1859"/>
        <v>0</v>
      </c>
      <c r="FV352" s="91">
        <f t="shared" si="1860"/>
        <v>0</v>
      </c>
      <c r="GK352" s="91">
        <f t="shared" si="1861"/>
        <v>0</v>
      </c>
      <c r="GL352" s="91">
        <f t="shared" si="1862"/>
        <v>0</v>
      </c>
      <c r="HA352" s="91">
        <f t="shared" si="1863"/>
        <v>0</v>
      </c>
      <c r="HB352" s="91">
        <f t="shared" si="1864"/>
        <v>0</v>
      </c>
      <c r="HQ352" s="91">
        <f t="shared" si="1865"/>
        <v>0</v>
      </c>
      <c r="HR352" s="91">
        <f t="shared" si="1866"/>
        <v>0</v>
      </c>
      <c r="IG352" s="91">
        <f t="shared" si="1867"/>
        <v>0</v>
      </c>
      <c r="IH352" s="91">
        <f t="shared" si="1868"/>
        <v>0</v>
      </c>
      <c r="IW352" s="91">
        <f t="shared" si="1869"/>
        <v>0</v>
      </c>
      <c r="IX352" s="91">
        <f t="shared" si="1870"/>
        <v>0</v>
      </c>
      <c r="JM352" s="91">
        <f t="shared" si="1871"/>
        <v>0</v>
      </c>
      <c r="JN352" s="91">
        <f t="shared" si="1872"/>
        <v>0</v>
      </c>
      <c r="KC352" s="91">
        <f t="shared" si="1873"/>
        <v>0</v>
      </c>
      <c r="KD352" s="91">
        <f t="shared" si="1874"/>
        <v>0</v>
      </c>
      <c r="KS352" s="91">
        <f t="shared" si="1875"/>
        <v>0</v>
      </c>
      <c r="KT352" s="91">
        <f t="shared" si="1876"/>
        <v>0</v>
      </c>
      <c r="LI352" s="91">
        <f t="shared" si="1877"/>
        <v>0</v>
      </c>
      <c r="LJ352" s="91">
        <f t="shared" si="1878"/>
        <v>0</v>
      </c>
      <c r="LY352" s="91">
        <f t="shared" si="1879"/>
        <v>0</v>
      </c>
      <c r="LZ352" s="91">
        <f t="shared" si="1880"/>
        <v>0</v>
      </c>
      <c r="MO352" s="91">
        <f t="shared" si="1881"/>
        <v>0</v>
      </c>
      <c r="MP352" s="91">
        <f t="shared" si="1882"/>
        <v>0</v>
      </c>
      <c r="NE352" s="91">
        <f t="shared" si="1883"/>
        <v>0</v>
      </c>
      <c r="NF352" s="91">
        <f t="shared" si="1884"/>
        <v>0</v>
      </c>
      <c r="NU352" s="91">
        <f t="shared" si="1885"/>
        <v>0</v>
      </c>
      <c r="NV352" s="91">
        <f t="shared" si="1886"/>
        <v>0</v>
      </c>
      <c r="OK352" s="91">
        <f t="shared" si="1887"/>
        <v>0</v>
      </c>
      <c r="OL352" s="91">
        <f t="shared" si="1888"/>
        <v>0</v>
      </c>
      <c r="PA352" s="91">
        <f t="shared" si="1889"/>
        <v>0</v>
      </c>
      <c r="PB352" s="91">
        <f t="shared" si="1890"/>
        <v>0</v>
      </c>
      <c r="PQ352" s="91">
        <f t="shared" si="1891"/>
        <v>0</v>
      </c>
      <c r="PR352" s="91">
        <f t="shared" si="1892"/>
        <v>0</v>
      </c>
      <c r="QG352" s="91">
        <f t="shared" si="1893"/>
        <v>0</v>
      </c>
      <c r="QH352" s="91">
        <f t="shared" si="1894"/>
        <v>0</v>
      </c>
      <c r="QW352" s="91">
        <f t="shared" si="1895"/>
        <v>0</v>
      </c>
      <c r="QX352" s="91">
        <f t="shared" si="1896"/>
        <v>0</v>
      </c>
      <c r="RM352" s="91">
        <f t="shared" si="1897"/>
        <v>0</v>
      </c>
      <c r="RN352" s="91">
        <f t="shared" si="1898"/>
        <v>0</v>
      </c>
      <c r="SC352" s="91">
        <f t="shared" si="1899"/>
        <v>0</v>
      </c>
      <c r="SD352" s="91">
        <f t="shared" si="1900"/>
        <v>0</v>
      </c>
      <c r="SS352" s="91">
        <f t="shared" si="1901"/>
        <v>0</v>
      </c>
      <c r="ST352" s="91">
        <f t="shared" si="1902"/>
        <v>0</v>
      </c>
      <c r="TI352" s="91">
        <f t="shared" si="1903"/>
        <v>0</v>
      </c>
      <c r="TJ352" s="91">
        <f t="shared" si="1904"/>
        <v>0</v>
      </c>
      <c r="TY352" s="91">
        <f t="shared" si="1905"/>
        <v>0</v>
      </c>
      <c r="TZ352" s="91">
        <f t="shared" si="1906"/>
        <v>0</v>
      </c>
      <c r="UO352" s="91">
        <f t="shared" si="1907"/>
        <v>0</v>
      </c>
      <c r="UP352" s="91">
        <f t="shared" si="1908"/>
        <v>0</v>
      </c>
      <c r="VE352" s="91">
        <f t="shared" si="1909"/>
        <v>0</v>
      </c>
      <c r="VF352" s="91">
        <f t="shared" si="1910"/>
        <v>0</v>
      </c>
      <c r="VU352" s="91">
        <f t="shared" si="1911"/>
        <v>0</v>
      </c>
      <c r="VV352" s="91">
        <f t="shared" si="1912"/>
        <v>0</v>
      </c>
      <c r="WK352" s="91">
        <f t="shared" si="1913"/>
        <v>0</v>
      </c>
      <c r="WL352" s="91">
        <f t="shared" si="1914"/>
        <v>0</v>
      </c>
      <c r="WM352" s="89"/>
      <c r="WN352" s="87">
        <f t="shared" si="1938"/>
        <v>0</v>
      </c>
      <c r="WO352" s="87">
        <f t="shared" si="1939"/>
        <v>0</v>
      </c>
      <c r="WP352" s="87">
        <f t="shared" si="1940"/>
        <v>0</v>
      </c>
      <c r="WQ352" s="87">
        <f t="shared" si="1941"/>
        <v>0</v>
      </c>
      <c r="WR352" s="87">
        <f t="shared" si="1942"/>
        <v>0</v>
      </c>
      <c r="WS352" s="87">
        <f t="shared" si="1943"/>
        <v>0</v>
      </c>
      <c r="WT352" s="87">
        <f t="shared" si="1944"/>
        <v>0</v>
      </c>
      <c r="WU352" s="87">
        <f t="shared" si="1945"/>
        <v>0</v>
      </c>
      <c r="WV352" s="87">
        <f t="shared" si="1946"/>
        <v>0</v>
      </c>
      <c r="WW352" s="87">
        <f t="shared" si="1947"/>
        <v>0</v>
      </c>
      <c r="WX352" s="87">
        <f t="shared" si="1948"/>
        <v>0</v>
      </c>
      <c r="WY352" s="87">
        <f t="shared" si="1949"/>
        <v>0</v>
      </c>
      <c r="WZ352" s="87">
        <f t="shared" si="1933"/>
        <v>0</v>
      </c>
      <c r="XA352" s="87">
        <f t="shared" si="1934"/>
        <v>0</v>
      </c>
      <c r="XB352" s="92">
        <f t="shared" si="1935"/>
        <v>0</v>
      </c>
      <c r="XC352" s="92">
        <f t="shared" si="1936"/>
        <v>0</v>
      </c>
      <c r="XD352" s="89"/>
      <c r="XE352" s="92"/>
      <c r="XF352" s="92"/>
      <c r="XG352" s="89"/>
      <c r="XH352" s="92"/>
      <c r="XI352" s="92"/>
      <c r="XJ352" s="89"/>
      <c r="XK352" s="87"/>
      <c r="XL352" s="87"/>
      <c r="XM352" s="87"/>
      <c r="XN352" s="87"/>
      <c r="XO352" s="87"/>
      <c r="XP352" s="87"/>
      <c r="XQ352" s="87"/>
      <c r="XR352" s="92">
        <f t="shared" ca="1" si="1931"/>
        <v>0</v>
      </c>
      <c r="XS352" s="89"/>
      <c r="XT352" s="87"/>
      <c r="XU352" s="87"/>
      <c r="XV352" s="87"/>
      <c r="XW352" s="87"/>
      <c r="XX352" s="87"/>
      <c r="XY352" s="87"/>
      <c r="XZ352" s="87"/>
      <c r="YA352" s="92">
        <f t="shared" ca="1" si="1932"/>
        <v>0</v>
      </c>
      <c r="YB352" s="90"/>
      <c r="YC352" s="90"/>
      <c r="YD352" s="90"/>
      <c r="YE352" s="90"/>
      <c r="YF352" s="90"/>
      <c r="YG352" s="90"/>
      <c r="YH352" s="90"/>
      <c r="YI352" s="90"/>
      <c r="YJ352" s="90"/>
      <c r="YK352" s="90"/>
      <c r="YL352" s="90"/>
      <c r="YM352" s="90"/>
      <c r="YN352" s="90"/>
      <c r="YO352" s="90"/>
      <c r="YP352" s="90"/>
      <c r="YQ352" s="90"/>
      <c r="YR352" s="90"/>
      <c r="YS352" s="90"/>
      <c r="YT352" s="90"/>
      <c r="YU352" s="90"/>
      <c r="YV352" s="90"/>
      <c r="YW352" s="90"/>
      <c r="YX352" s="90"/>
      <c r="YY352" s="90"/>
      <c r="YZ352" s="90"/>
      <c r="ZA352" s="90"/>
      <c r="ZB352" s="90"/>
      <c r="ZC352" s="90"/>
      <c r="ZD352" s="90"/>
      <c r="ZE352" s="90"/>
      <c r="ZF352" s="90"/>
      <c r="ZG352" s="90"/>
      <c r="ZH352" s="90"/>
      <c r="ZI352" s="90"/>
      <c r="ZJ352" s="90"/>
      <c r="ZK352" s="90"/>
      <c r="ZL352" s="90"/>
      <c r="ZM352" s="90"/>
      <c r="ZN352" s="90"/>
      <c r="ZO352" s="90"/>
      <c r="ZP352" s="90"/>
      <c r="ZQ352" s="90"/>
      <c r="ZR352" s="90"/>
      <c r="ZS352" s="90"/>
      <c r="ZT352" s="90"/>
      <c r="ZU352" s="90"/>
      <c r="ZV352" s="90"/>
      <c r="ZW352" s="90"/>
      <c r="ZX352" s="90"/>
      <c r="ZY352" s="90"/>
      <c r="ZZ352" s="90"/>
      <c r="AAA352" s="90"/>
      <c r="AAB352" s="90"/>
      <c r="AAC352" s="90"/>
      <c r="AAD352" s="90"/>
      <c r="AAE352" s="90"/>
      <c r="AAF352" s="90"/>
      <c r="AAG352" s="90"/>
      <c r="AAH352" s="90"/>
      <c r="AAI352" s="90"/>
      <c r="AAJ352" s="90"/>
      <c r="AAK352" s="90"/>
      <c r="AAL352" s="90"/>
      <c r="AAM352" s="90"/>
      <c r="AAN352" s="90"/>
      <c r="AAO352" s="90"/>
      <c r="AAP352" s="90"/>
      <c r="AAQ352" s="90"/>
      <c r="AAR352" s="90"/>
      <c r="AAS352" s="90"/>
      <c r="AAT352" s="90"/>
      <c r="AAU352" s="90"/>
      <c r="AAV352" s="90"/>
      <c r="AAW352" s="90"/>
      <c r="AAX352" s="90"/>
      <c r="AAY352" s="90"/>
      <c r="AAZ352" s="90"/>
      <c r="ABA352" s="90"/>
      <c r="ABB352" s="90"/>
      <c r="ABC352" s="90"/>
      <c r="ABD352" s="90"/>
      <c r="ABE352" s="90"/>
      <c r="ABF352" s="90"/>
      <c r="ABG352" s="90"/>
      <c r="ABH352" s="90"/>
      <c r="ABI352" s="90"/>
      <c r="ABJ352" s="90"/>
      <c r="ABK352" s="90"/>
      <c r="ABL352" s="90"/>
      <c r="ABM352" s="90"/>
      <c r="ABN352" s="90"/>
      <c r="ABO352" s="90"/>
      <c r="ABP352" s="90"/>
      <c r="ABQ352" s="90"/>
      <c r="ABR352" s="90"/>
      <c r="ABS352" s="90"/>
      <c r="ABT352" s="90"/>
      <c r="ABU352" s="90"/>
      <c r="ABV352" s="90"/>
      <c r="ABW352" s="90"/>
      <c r="ABX352" s="90"/>
      <c r="ABY352" s="90"/>
      <c r="ABZ352" s="90"/>
      <c r="ACA352" s="90"/>
      <c r="ACB352" s="90"/>
      <c r="ACC352" s="90"/>
      <c r="ACD352" s="90"/>
      <c r="ACE352" s="90"/>
      <c r="ACF352" s="90"/>
      <c r="ACG352" s="90"/>
      <c r="ACH352" s="90"/>
      <c r="ACI352" s="90"/>
      <c r="ACJ352" s="90"/>
      <c r="ACK352" s="90"/>
      <c r="ACL352" s="90"/>
      <c r="ACM352" s="90"/>
      <c r="ACN352" s="90"/>
      <c r="ACO352" s="90"/>
      <c r="ACP352" s="90"/>
      <c r="ACQ352" s="90"/>
      <c r="ACR352" s="90"/>
      <c r="ACS352" s="90"/>
      <c r="ACT352" s="90"/>
      <c r="ACU352" s="90"/>
      <c r="ACV352" s="90"/>
      <c r="ACW352" s="90"/>
      <c r="ACX352" s="90"/>
      <c r="ACY352" s="90"/>
      <c r="ACZ352" s="90"/>
      <c r="ADA352" s="90"/>
      <c r="ADB352" s="90"/>
      <c r="ADC352" s="90"/>
      <c r="ADD352" s="90"/>
      <c r="ADE352" s="90"/>
      <c r="ADF352" s="90"/>
      <c r="ADG352" s="90"/>
      <c r="ADH352" s="90"/>
      <c r="ADI352" s="90"/>
      <c r="ADJ352" s="90"/>
      <c r="ADK352" s="90"/>
      <c r="ADL352" s="90"/>
      <c r="ADM352" s="90"/>
      <c r="ADN352" s="90"/>
      <c r="ADO352" s="90"/>
      <c r="ADP352" s="90"/>
      <c r="ADQ352" s="90"/>
      <c r="ADR352" s="90"/>
      <c r="ADS352" s="90"/>
      <c r="ADT352" s="90"/>
      <c r="ADU352" s="90"/>
      <c r="ADV352" s="90"/>
      <c r="ADW352" s="90"/>
      <c r="ADX352" s="90"/>
      <c r="ADY352" s="90"/>
      <c r="ADZ352" s="90"/>
      <c r="AEA352" s="90"/>
      <c r="AEB352" s="90"/>
      <c r="AEC352" s="90"/>
      <c r="AED352" s="90"/>
      <c r="AEE352" s="90"/>
      <c r="AEF352" s="90"/>
      <c r="AEG352" s="90"/>
      <c r="AEH352" s="90"/>
      <c r="AEI352" s="90"/>
      <c r="AEJ352" s="90"/>
      <c r="AEK352" s="90"/>
      <c r="AEL352" s="90"/>
      <c r="AEM352" s="90"/>
      <c r="AEN352" s="90"/>
      <c r="AEO352" s="90"/>
      <c r="AEP352" s="90"/>
      <c r="AEQ352" s="90"/>
      <c r="AER352" s="90"/>
      <c r="AES352" s="90"/>
      <c r="AET352" s="90"/>
      <c r="AEU352" s="90"/>
      <c r="AEV352" s="90"/>
      <c r="AEW352" s="90"/>
      <c r="AEX352" s="90"/>
      <c r="AEY352" s="90"/>
      <c r="AEZ352" s="90"/>
      <c r="AFA352" s="90"/>
      <c r="AFB352" s="90"/>
      <c r="AFC352" s="90"/>
      <c r="AFD352" s="90"/>
      <c r="AFE352" s="90"/>
      <c r="AFF352" s="90"/>
      <c r="AFG352" s="90"/>
      <c r="AFH352" s="90"/>
      <c r="AFI352" s="90"/>
      <c r="AFJ352" s="90"/>
      <c r="AFK352" s="90"/>
      <c r="AFL352" s="90"/>
      <c r="AFM352" s="90"/>
      <c r="AFN352" s="90"/>
      <c r="AFO352" s="90"/>
      <c r="AFP352" s="90"/>
      <c r="AFQ352" s="90"/>
      <c r="AFR352" s="90"/>
      <c r="AFS352" s="90"/>
      <c r="AFT352" s="90"/>
      <c r="AFU352" s="90"/>
      <c r="AFV352" s="90"/>
      <c r="AFW352" s="90"/>
      <c r="AFX352" s="90"/>
      <c r="AFY352" s="90"/>
      <c r="AFZ352" s="90"/>
      <c r="AGA352" s="90"/>
      <c r="AGB352" s="90"/>
      <c r="AGC352" s="90"/>
      <c r="AGD352" s="90"/>
      <c r="AGE352" s="90"/>
      <c r="AGF352" s="90"/>
      <c r="AGG352" s="90"/>
      <c r="AGH352" s="90"/>
      <c r="AGI352" s="90"/>
      <c r="AGJ352" s="90"/>
      <c r="AGK352" s="90"/>
      <c r="AGL352" s="90"/>
      <c r="AGM352" s="90"/>
      <c r="AGN352" s="90"/>
      <c r="AGO352" s="90"/>
      <c r="AGP352" s="90"/>
      <c r="AGQ352" s="90"/>
      <c r="AGR352" s="90"/>
      <c r="AGS352" s="90"/>
      <c r="AGT352" s="90"/>
      <c r="AGU352" s="90"/>
      <c r="AGV352" s="90"/>
      <c r="AGW352" s="90"/>
      <c r="AGX352" s="90"/>
      <c r="AGY352" s="90"/>
      <c r="AGZ352" s="90"/>
      <c r="AHA352" s="90"/>
      <c r="AHB352" s="90"/>
      <c r="AHC352" s="90"/>
      <c r="AHD352" s="90"/>
      <c r="AHE352" s="90"/>
      <c r="AHF352" s="90"/>
      <c r="AHG352" s="90"/>
      <c r="AHH352" s="90"/>
      <c r="AHI352" s="90"/>
      <c r="AHJ352" s="90"/>
      <c r="AHK352" s="90"/>
      <c r="AHL352" s="90"/>
      <c r="AHM352" s="90"/>
      <c r="AHN352" s="90"/>
      <c r="AHO352" s="90"/>
      <c r="AHP352" s="90"/>
      <c r="AHQ352" s="90"/>
      <c r="AHR352" s="90"/>
      <c r="AHS352" s="90"/>
      <c r="AHT352" s="90"/>
      <c r="AHU352" s="90"/>
      <c r="AHV352" s="90"/>
      <c r="AHW352" s="90"/>
      <c r="AHX352" s="90"/>
      <c r="AHY352" s="90"/>
      <c r="AHZ352" s="90"/>
      <c r="AIA352" s="90"/>
      <c r="AIB352" s="90"/>
      <c r="AIC352" s="90"/>
      <c r="AID352" s="90"/>
      <c r="AIE352" s="90"/>
      <c r="AIF352" s="90"/>
      <c r="AIG352" s="90"/>
      <c r="AIH352" s="90"/>
      <c r="AII352" s="90"/>
      <c r="AIJ352" s="90"/>
      <c r="AIK352" s="90"/>
      <c r="AIL352" s="90"/>
      <c r="AIM352" s="90"/>
      <c r="AIN352" s="90"/>
      <c r="AIO352" s="90"/>
      <c r="AIP352" s="90"/>
      <c r="AIQ352" s="90"/>
      <c r="AIR352" s="90"/>
      <c r="AIS352" s="90"/>
      <c r="AIT352" s="90"/>
      <c r="AIU352" s="90"/>
      <c r="AIV352" s="90"/>
      <c r="AIW352" s="90"/>
      <c r="AIX352" s="90"/>
      <c r="AIY352" s="90"/>
      <c r="AIZ352" s="90"/>
      <c r="AJA352" s="90"/>
      <c r="AJB352" s="90"/>
      <c r="AJC352" s="90"/>
      <c r="AJD352" s="90"/>
      <c r="AJE352" s="90"/>
      <c r="AJF352" s="90"/>
      <c r="AJG352" s="90"/>
      <c r="AJH352" s="90"/>
      <c r="AJI352" s="90"/>
      <c r="AJJ352" s="90"/>
      <c r="AJK352" s="90"/>
      <c r="AJL352" s="90"/>
      <c r="AJM352" s="90"/>
      <c r="AJN352" s="90"/>
      <c r="AJO352" s="90"/>
      <c r="AJP352" s="90"/>
      <c r="AJQ352" s="90"/>
      <c r="AJR352" s="90"/>
      <c r="AJS352" s="90"/>
      <c r="AJT352" s="90"/>
      <c r="AJU352" s="90"/>
      <c r="AJV352" s="90"/>
      <c r="AJW352" s="90"/>
      <c r="AJX352" s="90"/>
      <c r="AJY352" s="90"/>
      <c r="AJZ352" s="90"/>
      <c r="AKA352" s="90"/>
      <c r="AKB352" s="90"/>
      <c r="AKC352" s="90"/>
      <c r="AKD352" s="90"/>
      <c r="AKE352" s="90"/>
      <c r="AKF352" s="90"/>
      <c r="AKG352" s="90"/>
      <c r="AKH352" s="90"/>
      <c r="AKI352" s="90"/>
      <c r="AKJ352" s="90"/>
      <c r="AKK352" s="90"/>
      <c r="AKL352" s="90"/>
      <c r="AKM352" s="90"/>
      <c r="AKN352" s="90"/>
      <c r="AKO352" s="90"/>
      <c r="AKP352" s="90"/>
      <c r="AKQ352" s="90"/>
      <c r="AKR352" s="90"/>
      <c r="AKS352" s="90"/>
      <c r="AKT352" s="90"/>
      <c r="AKU352" s="90"/>
      <c r="AKV352" s="90"/>
      <c r="AKW352" s="90"/>
      <c r="AKX352" s="90"/>
      <c r="AKY352" s="90"/>
      <c r="AKZ352" s="90"/>
      <c r="ALA352" s="90"/>
      <c r="ALB352" s="90"/>
      <c r="ALC352" s="90"/>
      <c r="ALD352" s="90"/>
      <c r="ALE352" s="90"/>
      <c r="ALF352" s="90"/>
      <c r="ALG352" s="90"/>
      <c r="ALH352" s="90"/>
      <c r="ALI352" s="90"/>
      <c r="ALJ352" s="90"/>
      <c r="ALK352" s="90"/>
      <c r="ALL352" s="90"/>
      <c r="ALM352" s="90"/>
      <c r="ALN352" s="90"/>
      <c r="ALO352" s="90"/>
      <c r="ALP352" s="90"/>
      <c r="ALQ352" s="90"/>
      <c r="ALR352" s="90"/>
      <c r="ALS352" s="90"/>
      <c r="ALT352" s="90"/>
      <c r="ALU352" s="90"/>
      <c r="ALV352" s="90"/>
      <c r="ALW352" s="90"/>
      <c r="ALX352" s="90"/>
      <c r="ALY352" s="90"/>
      <c r="ALZ352" s="90"/>
      <c r="AMA352" s="90"/>
      <c r="AMB352" s="90"/>
      <c r="AMC352" s="90"/>
    </row>
    <row r="353" spans="1:1017">
      <c r="A353" s="98" t="s">
        <v>53</v>
      </c>
      <c r="B353" s="90" t="str">
        <f t="shared" si="1937"/>
        <v>Ikan_04 (Ikan Keting)</v>
      </c>
      <c r="Q353" s="91">
        <f t="shared" si="1839"/>
        <v>0</v>
      </c>
      <c r="R353" s="91">
        <f t="shared" si="1840"/>
        <v>0</v>
      </c>
      <c r="AG353" s="91">
        <f t="shared" si="1841"/>
        <v>0</v>
      </c>
      <c r="AH353" s="91">
        <f t="shared" si="1842"/>
        <v>0</v>
      </c>
      <c r="AW353" s="91">
        <f t="shared" si="1843"/>
        <v>0</v>
      </c>
      <c r="AX353" s="91">
        <f t="shared" si="1844"/>
        <v>0</v>
      </c>
      <c r="BM353" s="91">
        <f t="shared" si="1845"/>
        <v>0</v>
      </c>
      <c r="BN353" s="91">
        <f t="shared" si="1846"/>
        <v>0</v>
      </c>
      <c r="CC353" s="91">
        <f t="shared" si="1847"/>
        <v>0</v>
      </c>
      <c r="CD353" s="91">
        <f t="shared" si="1848"/>
        <v>0</v>
      </c>
      <c r="CS353" s="91">
        <f t="shared" si="1849"/>
        <v>0</v>
      </c>
      <c r="CT353" s="91">
        <f t="shared" si="1850"/>
        <v>0</v>
      </c>
      <c r="DI353" s="91">
        <f t="shared" si="1851"/>
        <v>0</v>
      </c>
      <c r="DJ353" s="91">
        <f t="shared" si="1852"/>
        <v>0</v>
      </c>
      <c r="DY353" s="91">
        <f t="shared" si="1853"/>
        <v>0</v>
      </c>
      <c r="DZ353" s="91">
        <f t="shared" si="1854"/>
        <v>0</v>
      </c>
      <c r="EO353" s="91">
        <f t="shared" si="1855"/>
        <v>0</v>
      </c>
      <c r="EP353" s="91">
        <f t="shared" si="1856"/>
        <v>0</v>
      </c>
      <c r="FE353" s="91">
        <f t="shared" si="1857"/>
        <v>0</v>
      </c>
      <c r="FF353" s="91">
        <f t="shared" si="1858"/>
        <v>0</v>
      </c>
      <c r="FU353" s="91">
        <f t="shared" si="1859"/>
        <v>0</v>
      </c>
      <c r="FV353" s="91">
        <f t="shared" si="1860"/>
        <v>0</v>
      </c>
      <c r="GK353" s="91">
        <f t="shared" si="1861"/>
        <v>0</v>
      </c>
      <c r="GL353" s="91">
        <f t="shared" si="1862"/>
        <v>0</v>
      </c>
      <c r="HA353" s="91">
        <f t="shared" si="1863"/>
        <v>0</v>
      </c>
      <c r="HB353" s="91">
        <f t="shared" si="1864"/>
        <v>0</v>
      </c>
      <c r="HQ353" s="91">
        <f t="shared" si="1865"/>
        <v>0</v>
      </c>
      <c r="HR353" s="91">
        <f t="shared" si="1866"/>
        <v>0</v>
      </c>
      <c r="IG353" s="91">
        <f t="shared" si="1867"/>
        <v>0</v>
      </c>
      <c r="IH353" s="91">
        <f t="shared" si="1868"/>
        <v>0</v>
      </c>
      <c r="IW353" s="91">
        <f t="shared" si="1869"/>
        <v>0</v>
      </c>
      <c r="IX353" s="91">
        <f t="shared" si="1870"/>
        <v>0</v>
      </c>
      <c r="JM353" s="91">
        <f t="shared" si="1871"/>
        <v>0</v>
      </c>
      <c r="JN353" s="91">
        <f t="shared" si="1872"/>
        <v>0</v>
      </c>
      <c r="KC353" s="91">
        <f t="shared" si="1873"/>
        <v>0</v>
      </c>
      <c r="KD353" s="91">
        <f t="shared" si="1874"/>
        <v>0</v>
      </c>
      <c r="KS353" s="91">
        <f t="shared" si="1875"/>
        <v>0</v>
      </c>
      <c r="KT353" s="91">
        <f t="shared" si="1876"/>
        <v>0</v>
      </c>
      <c r="LI353" s="91">
        <f t="shared" si="1877"/>
        <v>0</v>
      </c>
      <c r="LJ353" s="91">
        <f t="shared" si="1878"/>
        <v>0</v>
      </c>
      <c r="LY353" s="91">
        <f t="shared" si="1879"/>
        <v>0</v>
      </c>
      <c r="LZ353" s="91">
        <f t="shared" si="1880"/>
        <v>0</v>
      </c>
      <c r="MO353" s="91">
        <f t="shared" si="1881"/>
        <v>0</v>
      </c>
      <c r="MP353" s="91">
        <f t="shared" si="1882"/>
        <v>0</v>
      </c>
      <c r="NE353" s="91">
        <f t="shared" si="1883"/>
        <v>0</v>
      </c>
      <c r="NF353" s="91">
        <f t="shared" si="1884"/>
        <v>0</v>
      </c>
      <c r="NI353" s="98">
        <v>127800</v>
      </c>
      <c r="NJ353" s="98">
        <v>1533600</v>
      </c>
      <c r="NU353" s="91">
        <f t="shared" si="1885"/>
        <v>127800</v>
      </c>
      <c r="NV353" s="91">
        <f t="shared" si="1886"/>
        <v>1533600</v>
      </c>
      <c r="OK353" s="91">
        <f t="shared" si="1887"/>
        <v>0</v>
      </c>
      <c r="OL353" s="91">
        <f t="shared" si="1888"/>
        <v>0</v>
      </c>
      <c r="PA353" s="91">
        <f t="shared" si="1889"/>
        <v>0</v>
      </c>
      <c r="PB353" s="91">
        <f t="shared" si="1890"/>
        <v>0</v>
      </c>
      <c r="PQ353" s="91">
        <f t="shared" si="1891"/>
        <v>0</v>
      </c>
      <c r="PR353" s="91">
        <f t="shared" si="1892"/>
        <v>0</v>
      </c>
      <c r="QG353" s="91">
        <f t="shared" si="1893"/>
        <v>0</v>
      </c>
      <c r="QH353" s="91">
        <f t="shared" si="1894"/>
        <v>0</v>
      </c>
      <c r="QW353" s="91">
        <f t="shared" si="1895"/>
        <v>0</v>
      </c>
      <c r="QX353" s="91">
        <f t="shared" si="1896"/>
        <v>0</v>
      </c>
      <c r="RM353" s="91">
        <f t="shared" si="1897"/>
        <v>0</v>
      </c>
      <c r="RN353" s="91">
        <f t="shared" si="1898"/>
        <v>0</v>
      </c>
      <c r="SC353" s="91">
        <f t="shared" si="1899"/>
        <v>0</v>
      </c>
      <c r="SD353" s="91">
        <f t="shared" si="1900"/>
        <v>0</v>
      </c>
      <c r="SS353" s="91">
        <f t="shared" si="1901"/>
        <v>0</v>
      </c>
      <c r="ST353" s="91">
        <f t="shared" si="1902"/>
        <v>0</v>
      </c>
      <c r="TI353" s="91">
        <f t="shared" si="1903"/>
        <v>0</v>
      </c>
      <c r="TJ353" s="91">
        <f t="shared" si="1904"/>
        <v>0</v>
      </c>
      <c r="TY353" s="91">
        <f t="shared" si="1905"/>
        <v>0</v>
      </c>
      <c r="TZ353" s="91">
        <f t="shared" si="1906"/>
        <v>0</v>
      </c>
      <c r="UO353" s="91">
        <f t="shared" si="1907"/>
        <v>0</v>
      </c>
      <c r="UP353" s="91">
        <f t="shared" ref="UP353:UP354" si="1950">SUMIF($C$12:$P$12,$A$1,UB353:UO353)</f>
        <v>0</v>
      </c>
      <c r="VE353" s="91">
        <f t="shared" si="1909"/>
        <v>0</v>
      </c>
      <c r="VF353" s="91">
        <f t="shared" si="1910"/>
        <v>0</v>
      </c>
      <c r="VU353" s="91">
        <f t="shared" si="1911"/>
        <v>0</v>
      </c>
      <c r="VV353" s="91">
        <f t="shared" si="1912"/>
        <v>0</v>
      </c>
      <c r="WK353" s="91">
        <f t="shared" si="1913"/>
        <v>0</v>
      </c>
      <c r="WL353" s="91">
        <f t="shared" si="1914"/>
        <v>0</v>
      </c>
      <c r="WM353" s="89"/>
      <c r="WN353" s="87">
        <f t="shared" si="1938"/>
        <v>0</v>
      </c>
      <c r="WO353" s="87">
        <f t="shared" si="1939"/>
        <v>0</v>
      </c>
      <c r="WP353" s="87">
        <f t="shared" si="1940"/>
        <v>127800</v>
      </c>
      <c r="WQ353" s="87">
        <f t="shared" si="1941"/>
        <v>1533600</v>
      </c>
      <c r="WR353" s="87">
        <f t="shared" si="1942"/>
        <v>0</v>
      </c>
      <c r="WS353" s="87">
        <f t="shared" si="1943"/>
        <v>0</v>
      </c>
      <c r="WT353" s="87">
        <f t="shared" si="1944"/>
        <v>0</v>
      </c>
      <c r="WU353" s="87">
        <f t="shared" si="1945"/>
        <v>0</v>
      </c>
      <c r="WV353" s="87">
        <f t="shared" si="1946"/>
        <v>0</v>
      </c>
      <c r="WW353" s="87">
        <f t="shared" si="1947"/>
        <v>0</v>
      </c>
      <c r="WX353" s="87">
        <f t="shared" si="1948"/>
        <v>0</v>
      </c>
      <c r="WY353" s="87">
        <f t="shared" si="1949"/>
        <v>0</v>
      </c>
      <c r="WZ353" s="87">
        <f t="shared" si="1933"/>
        <v>0</v>
      </c>
      <c r="XA353" s="87">
        <f t="shared" si="1934"/>
        <v>0</v>
      </c>
      <c r="XB353" s="92">
        <f t="shared" si="1935"/>
        <v>127800</v>
      </c>
      <c r="XC353" s="92">
        <f t="shared" si="1936"/>
        <v>1533600</v>
      </c>
      <c r="XD353" s="89"/>
      <c r="XE353" s="92"/>
      <c r="XF353" s="92"/>
      <c r="XG353" s="89"/>
      <c r="XH353" s="92"/>
      <c r="XI353" s="92"/>
      <c r="XJ353" s="89"/>
      <c r="XK353" s="87"/>
      <c r="XL353" s="87"/>
      <c r="XM353" s="87"/>
      <c r="XN353" s="87"/>
      <c r="XO353" s="87"/>
      <c r="XP353" s="87"/>
      <c r="XQ353" s="87"/>
      <c r="XR353" s="92">
        <f t="shared" ca="1" si="1931"/>
        <v>0</v>
      </c>
      <c r="XS353" s="89"/>
      <c r="XT353" s="87"/>
      <c r="XU353" s="87"/>
      <c r="XV353" s="87"/>
      <c r="XW353" s="87"/>
      <c r="XX353" s="87"/>
      <c r="XY353" s="87"/>
      <c r="XZ353" s="87"/>
      <c r="YA353" s="92">
        <f t="shared" ca="1" si="1932"/>
        <v>0</v>
      </c>
      <c r="YB353" s="90"/>
      <c r="YC353" s="90"/>
      <c r="YD353" s="90"/>
      <c r="YE353" s="90"/>
      <c r="YF353" s="90"/>
      <c r="YG353" s="90"/>
      <c r="YH353" s="90"/>
      <c r="YI353" s="90"/>
      <c r="YJ353" s="90"/>
      <c r="YK353" s="90"/>
      <c r="YL353" s="90"/>
      <c r="YM353" s="90"/>
      <c r="YN353" s="90"/>
      <c r="YO353" s="90"/>
      <c r="YP353" s="90"/>
      <c r="YQ353" s="90"/>
      <c r="YR353" s="90"/>
      <c r="YS353" s="90"/>
      <c r="YT353" s="90"/>
      <c r="YU353" s="90"/>
      <c r="YV353" s="90"/>
      <c r="YW353" s="90"/>
      <c r="YX353" s="90"/>
      <c r="YY353" s="90"/>
      <c r="YZ353" s="90"/>
      <c r="ZA353" s="90"/>
      <c r="ZB353" s="90"/>
      <c r="ZC353" s="90"/>
      <c r="ZD353" s="90"/>
      <c r="ZE353" s="90"/>
      <c r="ZF353" s="90"/>
      <c r="ZG353" s="90"/>
      <c r="ZH353" s="90"/>
      <c r="ZI353" s="90"/>
      <c r="ZJ353" s="90"/>
      <c r="ZK353" s="90"/>
      <c r="ZL353" s="90"/>
      <c r="ZM353" s="90"/>
      <c r="ZN353" s="90"/>
      <c r="ZO353" s="90"/>
      <c r="ZP353" s="90"/>
      <c r="ZQ353" s="90"/>
      <c r="ZR353" s="90"/>
      <c r="ZS353" s="90"/>
      <c r="ZT353" s="90"/>
      <c r="ZU353" s="90"/>
      <c r="ZV353" s="90"/>
      <c r="ZW353" s="90"/>
      <c r="ZX353" s="90"/>
      <c r="ZY353" s="90"/>
      <c r="ZZ353" s="90"/>
      <c r="AAA353" s="90"/>
      <c r="AAB353" s="90"/>
      <c r="AAC353" s="90"/>
      <c r="AAD353" s="90"/>
      <c r="AAE353" s="90"/>
      <c r="AAF353" s="90"/>
      <c r="AAG353" s="90"/>
      <c r="AAH353" s="90"/>
      <c r="AAI353" s="90"/>
      <c r="AAJ353" s="90"/>
      <c r="AAK353" s="90"/>
      <c r="AAL353" s="90"/>
      <c r="AAM353" s="90"/>
      <c r="AAN353" s="90"/>
      <c r="AAO353" s="90"/>
      <c r="AAP353" s="90"/>
      <c r="AAQ353" s="90"/>
      <c r="AAR353" s="90"/>
      <c r="AAS353" s="90"/>
      <c r="AAT353" s="90"/>
      <c r="AAU353" s="90"/>
      <c r="AAV353" s="90"/>
      <c r="AAW353" s="90"/>
      <c r="AAX353" s="90"/>
      <c r="AAY353" s="90"/>
      <c r="AAZ353" s="90"/>
      <c r="ABA353" s="90"/>
      <c r="ABB353" s="90"/>
      <c r="ABC353" s="90"/>
      <c r="ABD353" s="90"/>
      <c r="ABE353" s="90"/>
      <c r="ABF353" s="90"/>
      <c r="ABG353" s="90"/>
      <c r="ABH353" s="90"/>
      <c r="ABI353" s="90"/>
      <c r="ABJ353" s="90"/>
      <c r="ABK353" s="90"/>
      <c r="ABL353" s="90"/>
      <c r="ABM353" s="90"/>
      <c r="ABN353" s="90"/>
      <c r="ABO353" s="90"/>
      <c r="ABP353" s="90"/>
      <c r="ABQ353" s="90"/>
      <c r="ABR353" s="90"/>
      <c r="ABS353" s="90"/>
      <c r="ABT353" s="90"/>
      <c r="ABU353" s="90"/>
      <c r="ABV353" s="90"/>
      <c r="ABW353" s="90"/>
      <c r="ABX353" s="90"/>
      <c r="ABY353" s="90"/>
      <c r="ABZ353" s="90"/>
      <c r="ACA353" s="90"/>
      <c r="ACB353" s="90"/>
      <c r="ACC353" s="90"/>
      <c r="ACD353" s="90"/>
      <c r="ACE353" s="90"/>
      <c r="ACF353" s="90"/>
      <c r="ACG353" s="90"/>
      <c r="ACH353" s="90"/>
      <c r="ACI353" s="90"/>
      <c r="ACJ353" s="90"/>
      <c r="ACK353" s="90"/>
      <c r="ACL353" s="90"/>
      <c r="ACM353" s="90"/>
      <c r="ACN353" s="90"/>
      <c r="ACO353" s="90"/>
      <c r="ACP353" s="90"/>
      <c r="ACQ353" s="90"/>
      <c r="ACR353" s="90"/>
      <c r="ACS353" s="90"/>
      <c r="ACT353" s="90"/>
      <c r="ACU353" s="90"/>
      <c r="ACV353" s="90"/>
      <c r="ACW353" s="90"/>
      <c r="ACX353" s="90"/>
      <c r="ACY353" s="90"/>
      <c r="ACZ353" s="90"/>
      <c r="ADA353" s="90"/>
      <c r="ADB353" s="90"/>
      <c r="ADC353" s="90"/>
      <c r="ADD353" s="90"/>
      <c r="ADE353" s="90"/>
      <c r="ADF353" s="90"/>
      <c r="ADG353" s="90"/>
      <c r="ADH353" s="90"/>
      <c r="ADI353" s="90"/>
      <c r="ADJ353" s="90"/>
      <c r="ADK353" s="90"/>
      <c r="ADL353" s="90"/>
      <c r="ADM353" s="90"/>
      <c r="ADN353" s="90"/>
      <c r="ADO353" s="90"/>
      <c r="ADP353" s="90"/>
      <c r="ADQ353" s="90"/>
      <c r="ADR353" s="90"/>
      <c r="ADS353" s="90"/>
      <c r="ADT353" s="90"/>
      <c r="ADU353" s="90"/>
      <c r="ADV353" s="90"/>
      <c r="ADW353" s="90"/>
      <c r="ADX353" s="90"/>
      <c r="ADY353" s="90"/>
      <c r="ADZ353" s="90"/>
      <c r="AEA353" s="90"/>
      <c r="AEB353" s="90"/>
      <c r="AEC353" s="90"/>
      <c r="AED353" s="90"/>
      <c r="AEE353" s="90"/>
      <c r="AEF353" s="90"/>
      <c r="AEG353" s="90"/>
      <c r="AEH353" s="90"/>
      <c r="AEI353" s="90"/>
      <c r="AEJ353" s="90"/>
      <c r="AEK353" s="90"/>
      <c r="AEL353" s="90"/>
      <c r="AEM353" s="90"/>
      <c r="AEN353" s="90"/>
      <c r="AEO353" s="90"/>
      <c r="AEP353" s="90"/>
      <c r="AEQ353" s="90"/>
      <c r="AER353" s="90"/>
      <c r="AES353" s="90"/>
      <c r="AET353" s="90"/>
      <c r="AEU353" s="90"/>
      <c r="AEV353" s="90"/>
      <c r="AEW353" s="90"/>
      <c r="AEX353" s="90"/>
      <c r="AEY353" s="90"/>
      <c r="AEZ353" s="90"/>
      <c r="AFA353" s="90"/>
      <c r="AFB353" s="90"/>
      <c r="AFC353" s="90"/>
      <c r="AFD353" s="90"/>
      <c r="AFE353" s="90"/>
      <c r="AFF353" s="90"/>
      <c r="AFG353" s="90"/>
      <c r="AFH353" s="90"/>
      <c r="AFI353" s="90"/>
      <c r="AFJ353" s="90"/>
      <c r="AFK353" s="90"/>
      <c r="AFL353" s="90"/>
      <c r="AFM353" s="90"/>
      <c r="AFN353" s="90"/>
      <c r="AFO353" s="90"/>
      <c r="AFP353" s="90"/>
      <c r="AFQ353" s="90"/>
      <c r="AFR353" s="90"/>
      <c r="AFS353" s="90"/>
      <c r="AFT353" s="90"/>
      <c r="AFU353" s="90"/>
      <c r="AFV353" s="90"/>
      <c r="AFW353" s="90"/>
      <c r="AFX353" s="90"/>
      <c r="AFY353" s="90"/>
      <c r="AFZ353" s="90"/>
      <c r="AGA353" s="90"/>
      <c r="AGB353" s="90"/>
      <c r="AGC353" s="90"/>
      <c r="AGD353" s="90"/>
      <c r="AGE353" s="90"/>
      <c r="AGF353" s="90"/>
      <c r="AGG353" s="90"/>
      <c r="AGH353" s="90"/>
      <c r="AGI353" s="90"/>
      <c r="AGJ353" s="90"/>
      <c r="AGK353" s="90"/>
      <c r="AGL353" s="90"/>
      <c r="AGM353" s="90"/>
      <c r="AGN353" s="90"/>
      <c r="AGO353" s="90"/>
      <c r="AGP353" s="90"/>
      <c r="AGQ353" s="90"/>
      <c r="AGR353" s="90"/>
      <c r="AGS353" s="90"/>
      <c r="AGT353" s="90"/>
      <c r="AGU353" s="90"/>
      <c r="AGV353" s="90"/>
      <c r="AGW353" s="90"/>
      <c r="AGX353" s="90"/>
      <c r="AGY353" s="90"/>
      <c r="AGZ353" s="90"/>
      <c r="AHA353" s="90"/>
      <c r="AHB353" s="90"/>
      <c r="AHC353" s="90"/>
      <c r="AHD353" s="90"/>
      <c r="AHE353" s="90"/>
      <c r="AHF353" s="90"/>
      <c r="AHG353" s="90"/>
      <c r="AHH353" s="90"/>
      <c r="AHI353" s="90"/>
      <c r="AHJ353" s="90"/>
      <c r="AHK353" s="90"/>
      <c r="AHL353" s="90"/>
      <c r="AHM353" s="90"/>
      <c r="AHN353" s="90"/>
      <c r="AHO353" s="90"/>
      <c r="AHP353" s="90"/>
      <c r="AHQ353" s="90"/>
      <c r="AHR353" s="90"/>
      <c r="AHS353" s="90"/>
      <c r="AHT353" s="90"/>
      <c r="AHU353" s="90"/>
      <c r="AHV353" s="90"/>
      <c r="AHW353" s="90"/>
      <c r="AHX353" s="90"/>
      <c r="AHY353" s="90"/>
      <c r="AHZ353" s="90"/>
      <c r="AIA353" s="90"/>
      <c r="AIB353" s="90"/>
      <c r="AIC353" s="90"/>
      <c r="AID353" s="90"/>
      <c r="AIE353" s="90"/>
      <c r="AIF353" s="90"/>
      <c r="AIG353" s="90"/>
      <c r="AIH353" s="90"/>
      <c r="AII353" s="90"/>
      <c r="AIJ353" s="90"/>
      <c r="AIK353" s="90"/>
      <c r="AIL353" s="90"/>
      <c r="AIM353" s="90"/>
      <c r="AIN353" s="90"/>
      <c r="AIO353" s="90"/>
      <c r="AIP353" s="90"/>
      <c r="AIQ353" s="90"/>
      <c r="AIR353" s="90"/>
      <c r="AIS353" s="90"/>
      <c r="AIT353" s="90"/>
      <c r="AIU353" s="90"/>
      <c r="AIV353" s="90"/>
      <c r="AIW353" s="90"/>
      <c r="AIX353" s="90"/>
      <c r="AIY353" s="90"/>
      <c r="AIZ353" s="90"/>
      <c r="AJA353" s="90"/>
      <c r="AJB353" s="90"/>
      <c r="AJC353" s="90"/>
      <c r="AJD353" s="90"/>
      <c r="AJE353" s="90"/>
      <c r="AJF353" s="90"/>
      <c r="AJG353" s="90"/>
      <c r="AJH353" s="90"/>
      <c r="AJI353" s="90"/>
      <c r="AJJ353" s="90"/>
      <c r="AJK353" s="90"/>
      <c r="AJL353" s="90"/>
      <c r="AJM353" s="90"/>
      <c r="AJN353" s="90"/>
      <c r="AJO353" s="90"/>
      <c r="AJP353" s="90"/>
      <c r="AJQ353" s="90"/>
      <c r="AJR353" s="90"/>
      <c r="AJS353" s="90"/>
      <c r="AJT353" s="90"/>
      <c r="AJU353" s="90"/>
      <c r="AJV353" s="90"/>
      <c r="AJW353" s="90"/>
      <c r="AJX353" s="90"/>
      <c r="AJY353" s="90"/>
      <c r="AJZ353" s="90"/>
      <c r="AKA353" s="90"/>
      <c r="AKB353" s="90"/>
      <c r="AKC353" s="90"/>
      <c r="AKD353" s="90"/>
      <c r="AKE353" s="90"/>
      <c r="AKF353" s="90"/>
      <c r="AKG353" s="90"/>
      <c r="AKH353" s="90"/>
      <c r="AKI353" s="90"/>
      <c r="AKJ353" s="90"/>
      <c r="AKK353" s="90"/>
      <c r="AKL353" s="90"/>
      <c r="AKM353" s="90"/>
      <c r="AKN353" s="90"/>
      <c r="AKO353" s="90"/>
      <c r="AKP353" s="90"/>
      <c r="AKQ353" s="90"/>
      <c r="AKR353" s="90"/>
      <c r="AKS353" s="90"/>
      <c r="AKT353" s="90"/>
      <c r="AKU353" s="90"/>
      <c r="AKV353" s="90"/>
      <c r="AKW353" s="90"/>
      <c r="AKX353" s="90"/>
      <c r="AKY353" s="90"/>
      <c r="AKZ353" s="90"/>
      <c r="ALA353" s="90"/>
      <c r="ALB353" s="90"/>
      <c r="ALC353" s="90"/>
      <c r="ALD353" s="90"/>
      <c r="ALE353" s="90"/>
      <c r="ALF353" s="90"/>
      <c r="ALG353" s="90"/>
      <c r="ALH353" s="90"/>
      <c r="ALI353" s="90"/>
      <c r="ALJ353" s="90"/>
      <c r="ALK353" s="90"/>
      <c r="ALL353" s="90"/>
      <c r="ALM353" s="90"/>
      <c r="ALN353" s="90"/>
      <c r="ALO353" s="90"/>
      <c r="ALP353" s="90"/>
      <c r="ALQ353" s="90"/>
      <c r="ALR353" s="90"/>
      <c r="ALS353" s="90"/>
      <c r="ALT353" s="90"/>
      <c r="ALU353" s="90"/>
      <c r="ALV353" s="90"/>
      <c r="ALW353" s="90"/>
      <c r="ALX353" s="90"/>
      <c r="ALY353" s="90"/>
      <c r="ALZ353" s="90"/>
      <c r="AMA353" s="90"/>
      <c r="AMB353" s="90"/>
      <c r="AMC353" s="90"/>
    </row>
    <row r="354" spans="1:1017">
      <c r="A354" s="98" t="s">
        <v>53</v>
      </c>
      <c r="B354" s="90" t="str">
        <f t="shared" si="1937"/>
        <v>Ikan_05 (Ikan betutu)</v>
      </c>
      <c r="Q354" s="91">
        <f t="shared" si="1839"/>
        <v>0</v>
      </c>
      <c r="R354" s="91">
        <f t="shared" si="1840"/>
        <v>0</v>
      </c>
      <c r="AG354" s="91">
        <f t="shared" si="1841"/>
        <v>0</v>
      </c>
      <c r="AH354" s="91">
        <f t="shared" si="1842"/>
        <v>0</v>
      </c>
      <c r="AW354" s="91">
        <f t="shared" si="1843"/>
        <v>0</v>
      </c>
      <c r="AX354" s="91">
        <f t="shared" si="1844"/>
        <v>0</v>
      </c>
      <c r="BM354" s="91">
        <f t="shared" si="1845"/>
        <v>0</v>
      </c>
      <c r="BN354" s="91">
        <f t="shared" si="1846"/>
        <v>0</v>
      </c>
      <c r="CC354" s="91">
        <f t="shared" si="1847"/>
        <v>0</v>
      </c>
      <c r="CD354" s="91">
        <f t="shared" si="1848"/>
        <v>0</v>
      </c>
      <c r="CS354" s="91">
        <f t="shared" si="1849"/>
        <v>0</v>
      </c>
      <c r="CT354" s="91">
        <f t="shared" si="1850"/>
        <v>0</v>
      </c>
      <c r="DI354" s="91">
        <f t="shared" si="1851"/>
        <v>0</v>
      </c>
      <c r="DJ354" s="91">
        <f t="shared" si="1852"/>
        <v>0</v>
      </c>
      <c r="DY354" s="91">
        <f t="shared" si="1853"/>
        <v>0</v>
      </c>
      <c r="DZ354" s="91">
        <f t="shared" si="1854"/>
        <v>0</v>
      </c>
      <c r="EO354" s="91">
        <f t="shared" si="1855"/>
        <v>0</v>
      </c>
      <c r="EP354" s="91">
        <f t="shared" si="1856"/>
        <v>0</v>
      </c>
      <c r="FE354" s="91">
        <f t="shared" si="1857"/>
        <v>0</v>
      </c>
      <c r="FF354" s="91">
        <f t="shared" si="1858"/>
        <v>0</v>
      </c>
      <c r="FU354" s="91">
        <f t="shared" si="1859"/>
        <v>0</v>
      </c>
      <c r="FV354" s="91">
        <f t="shared" si="1860"/>
        <v>0</v>
      </c>
      <c r="GK354" s="91">
        <f t="shared" si="1861"/>
        <v>0</v>
      </c>
      <c r="GL354" s="91">
        <f t="shared" si="1862"/>
        <v>0</v>
      </c>
      <c r="HA354" s="91">
        <f t="shared" si="1863"/>
        <v>0</v>
      </c>
      <c r="HB354" s="91">
        <f t="shared" si="1864"/>
        <v>0</v>
      </c>
      <c r="HQ354" s="91">
        <f t="shared" si="1865"/>
        <v>0</v>
      </c>
      <c r="HR354" s="91">
        <f t="shared" si="1866"/>
        <v>0</v>
      </c>
      <c r="IG354" s="91">
        <f t="shared" si="1867"/>
        <v>0</v>
      </c>
      <c r="IH354" s="91">
        <f t="shared" si="1868"/>
        <v>0</v>
      </c>
      <c r="IW354" s="91">
        <f t="shared" si="1869"/>
        <v>0</v>
      </c>
      <c r="IX354" s="91">
        <f t="shared" si="1870"/>
        <v>0</v>
      </c>
      <c r="JM354" s="91">
        <f t="shared" si="1871"/>
        <v>0</v>
      </c>
      <c r="JN354" s="91">
        <f t="shared" si="1872"/>
        <v>0</v>
      </c>
      <c r="KC354" s="91">
        <f t="shared" si="1873"/>
        <v>0</v>
      </c>
      <c r="KD354" s="91">
        <f t="shared" si="1874"/>
        <v>0</v>
      </c>
      <c r="KS354" s="91">
        <f t="shared" si="1875"/>
        <v>0</v>
      </c>
      <c r="KT354" s="91">
        <f t="shared" si="1876"/>
        <v>0</v>
      </c>
      <c r="LI354" s="91">
        <f t="shared" si="1877"/>
        <v>0</v>
      </c>
      <c r="LJ354" s="91">
        <f t="shared" si="1878"/>
        <v>0</v>
      </c>
      <c r="LY354" s="91">
        <f t="shared" si="1879"/>
        <v>0</v>
      </c>
      <c r="LZ354" s="91">
        <f t="shared" si="1880"/>
        <v>0</v>
      </c>
      <c r="MO354" s="91">
        <f t="shared" si="1881"/>
        <v>0</v>
      </c>
      <c r="MP354" s="91">
        <f t="shared" si="1882"/>
        <v>0</v>
      </c>
      <c r="NE354" s="91">
        <f t="shared" si="1883"/>
        <v>0</v>
      </c>
      <c r="NF354" s="91">
        <f t="shared" si="1884"/>
        <v>0</v>
      </c>
      <c r="NU354" s="91">
        <f t="shared" si="1885"/>
        <v>0</v>
      </c>
      <c r="NV354" s="91">
        <f t="shared" si="1886"/>
        <v>0</v>
      </c>
      <c r="OK354" s="91">
        <f t="shared" si="1887"/>
        <v>0</v>
      </c>
      <c r="OL354" s="91">
        <f t="shared" si="1888"/>
        <v>0</v>
      </c>
      <c r="PA354" s="91">
        <f t="shared" si="1889"/>
        <v>0</v>
      </c>
      <c r="PB354" s="91">
        <f t="shared" si="1890"/>
        <v>0</v>
      </c>
      <c r="PQ354" s="91">
        <f t="shared" si="1891"/>
        <v>0</v>
      </c>
      <c r="PR354" s="91">
        <f t="shared" si="1892"/>
        <v>0</v>
      </c>
      <c r="QG354" s="91">
        <f t="shared" si="1893"/>
        <v>0</v>
      </c>
      <c r="QH354" s="91">
        <f t="shared" si="1894"/>
        <v>0</v>
      </c>
      <c r="QW354" s="91">
        <f t="shared" si="1895"/>
        <v>0</v>
      </c>
      <c r="QX354" s="91">
        <f t="shared" si="1896"/>
        <v>0</v>
      </c>
      <c r="RM354" s="91">
        <f t="shared" si="1897"/>
        <v>0</v>
      </c>
      <c r="RN354" s="91">
        <f t="shared" si="1898"/>
        <v>0</v>
      </c>
      <c r="SC354" s="91">
        <f t="shared" si="1899"/>
        <v>0</v>
      </c>
      <c r="SD354" s="91">
        <f t="shared" si="1900"/>
        <v>0</v>
      </c>
      <c r="SS354" s="91">
        <f t="shared" si="1901"/>
        <v>0</v>
      </c>
      <c r="ST354" s="91">
        <f t="shared" si="1902"/>
        <v>0</v>
      </c>
      <c r="TI354" s="91">
        <f t="shared" si="1903"/>
        <v>0</v>
      </c>
      <c r="TJ354" s="91">
        <f t="shared" si="1904"/>
        <v>0</v>
      </c>
      <c r="TY354" s="91">
        <f t="shared" si="1905"/>
        <v>0</v>
      </c>
      <c r="TZ354" s="91">
        <f t="shared" si="1906"/>
        <v>0</v>
      </c>
      <c r="UO354" s="91">
        <f t="shared" si="1907"/>
        <v>0</v>
      </c>
      <c r="UP354" s="91">
        <f t="shared" si="1950"/>
        <v>0</v>
      </c>
      <c r="VE354" s="91">
        <f t="shared" si="1909"/>
        <v>0</v>
      </c>
      <c r="VF354" s="91">
        <f t="shared" si="1910"/>
        <v>0</v>
      </c>
      <c r="VU354" s="91">
        <f t="shared" si="1911"/>
        <v>0</v>
      </c>
      <c r="VV354" s="91">
        <f t="shared" si="1912"/>
        <v>0</v>
      </c>
      <c r="WK354" s="91">
        <f t="shared" si="1913"/>
        <v>0</v>
      </c>
      <c r="WL354" s="91">
        <f t="shared" si="1914"/>
        <v>0</v>
      </c>
      <c r="WM354" s="89"/>
      <c r="WN354" s="87">
        <f t="shared" si="1938"/>
        <v>0</v>
      </c>
      <c r="WO354" s="87">
        <f t="shared" si="1939"/>
        <v>0</v>
      </c>
      <c r="WP354" s="87">
        <f t="shared" si="1940"/>
        <v>0</v>
      </c>
      <c r="WQ354" s="87">
        <f t="shared" si="1941"/>
        <v>0</v>
      </c>
      <c r="WR354" s="87">
        <f t="shared" si="1942"/>
        <v>0</v>
      </c>
      <c r="WS354" s="87">
        <f t="shared" si="1943"/>
        <v>0</v>
      </c>
      <c r="WT354" s="87">
        <f t="shared" si="1944"/>
        <v>0</v>
      </c>
      <c r="WU354" s="87">
        <f t="shared" si="1945"/>
        <v>0</v>
      </c>
      <c r="WV354" s="87">
        <f t="shared" si="1946"/>
        <v>0</v>
      </c>
      <c r="WW354" s="87">
        <f t="shared" si="1947"/>
        <v>0</v>
      </c>
      <c r="WX354" s="87">
        <f t="shared" si="1948"/>
        <v>0</v>
      </c>
      <c r="WY354" s="87">
        <f t="shared" si="1949"/>
        <v>0</v>
      </c>
      <c r="WZ354" s="87">
        <f t="shared" si="1933"/>
        <v>0</v>
      </c>
      <c r="XA354" s="87">
        <f t="shared" si="1934"/>
        <v>0</v>
      </c>
      <c r="XB354" s="92">
        <f t="shared" si="1935"/>
        <v>0</v>
      </c>
      <c r="XC354" s="92">
        <f t="shared" si="1936"/>
        <v>0</v>
      </c>
      <c r="XD354" s="89"/>
      <c r="XE354" s="92"/>
      <c r="XF354" s="92"/>
      <c r="XG354" s="89"/>
      <c r="XH354" s="92"/>
      <c r="XI354" s="92"/>
      <c r="XJ354" s="89"/>
      <c r="XK354" s="87"/>
      <c r="XL354" s="87"/>
      <c r="XM354" s="87"/>
      <c r="XN354" s="87"/>
      <c r="XO354" s="87"/>
      <c r="XP354" s="87"/>
      <c r="XQ354" s="87"/>
      <c r="XR354" s="92">
        <f t="shared" ca="1" si="1931"/>
        <v>0</v>
      </c>
      <c r="XS354" s="89"/>
      <c r="XT354" s="87"/>
      <c r="XU354" s="87"/>
      <c r="XV354" s="87"/>
      <c r="XW354" s="87"/>
      <c r="XX354" s="87"/>
      <c r="XY354" s="87"/>
      <c r="XZ354" s="87"/>
      <c r="YA354" s="92">
        <f t="shared" ca="1" si="1932"/>
        <v>0</v>
      </c>
      <c r="YB354" s="90"/>
      <c r="YC354" s="90"/>
      <c r="YD354" s="90"/>
      <c r="YE354" s="90"/>
      <c r="YF354" s="90"/>
      <c r="YG354" s="90"/>
      <c r="YH354" s="90"/>
      <c r="YI354" s="90"/>
      <c r="YJ354" s="90"/>
      <c r="YK354" s="90"/>
      <c r="YL354" s="90"/>
      <c r="YM354" s="90"/>
      <c r="YN354" s="90"/>
      <c r="YO354" s="90"/>
      <c r="YP354" s="90"/>
      <c r="YQ354" s="90"/>
      <c r="YR354" s="90"/>
      <c r="YS354" s="90"/>
      <c r="YT354" s="90"/>
      <c r="YU354" s="90"/>
      <c r="YV354" s="90"/>
      <c r="YW354" s="90"/>
      <c r="YX354" s="90"/>
      <c r="YY354" s="90"/>
      <c r="YZ354" s="90"/>
      <c r="ZA354" s="90"/>
      <c r="ZB354" s="90"/>
      <c r="ZC354" s="90"/>
      <c r="ZD354" s="90"/>
      <c r="ZE354" s="90"/>
      <c r="ZF354" s="90"/>
      <c r="ZG354" s="90"/>
      <c r="ZH354" s="90"/>
      <c r="ZI354" s="90"/>
      <c r="ZJ354" s="90"/>
      <c r="ZK354" s="90"/>
      <c r="ZL354" s="90"/>
      <c r="ZM354" s="90"/>
      <c r="ZN354" s="90"/>
      <c r="ZO354" s="90"/>
      <c r="ZP354" s="90"/>
      <c r="ZQ354" s="90"/>
      <c r="ZR354" s="90"/>
      <c r="ZS354" s="90"/>
      <c r="ZT354" s="90"/>
      <c r="ZU354" s="90"/>
      <c r="ZV354" s="90"/>
      <c r="ZW354" s="90"/>
      <c r="ZX354" s="90"/>
      <c r="ZY354" s="90"/>
      <c r="ZZ354" s="90"/>
      <c r="AAA354" s="90"/>
      <c r="AAB354" s="90"/>
      <c r="AAC354" s="90"/>
      <c r="AAD354" s="90"/>
      <c r="AAE354" s="90"/>
      <c r="AAF354" s="90"/>
      <c r="AAG354" s="90"/>
      <c r="AAH354" s="90"/>
      <c r="AAI354" s="90"/>
      <c r="AAJ354" s="90"/>
      <c r="AAK354" s="90"/>
      <c r="AAL354" s="90"/>
      <c r="AAM354" s="90"/>
      <c r="AAN354" s="90"/>
      <c r="AAO354" s="90"/>
      <c r="AAP354" s="90"/>
      <c r="AAQ354" s="90"/>
      <c r="AAR354" s="90"/>
      <c r="AAS354" s="90"/>
      <c r="AAT354" s="90"/>
      <c r="AAU354" s="90"/>
      <c r="AAV354" s="90"/>
      <c r="AAW354" s="90"/>
      <c r="AAX354" s="90"/>
      <c r="AAY354" s="90"/>
      <c r="AAZ354" s="90"/>
      <c r="ABA354" s="90"/>
      <c r="ABB354" s="90"/>
      <c r="ABC354" s="90"/>
      <c r="ABD354" s="90"/>
      <c r="ABE354" s="90"/>
      <c r="ABF354" s="90"/>
      <c r="ABG354" s="90"/>
      <c r="ABH354" s="90"/>
      <c r="ABI354" s="90"/>
      <c r="ABJ354" s="90"/>
      <c r="ABK354" s="90"/>
      <c r="ABL354" s="90"/>
      <c r="ABM354" s="90"/>
      <c r="ABN354" s="90"/>
      <c r="ABO354" s="90"/>
      <c r="ABP354" s="90"/>
      <c r="ABQ354" s="90"/>
      <c r="ABR354" s="90"/>
      <c r="ABS354" s="90"/>
      <c r="ABT354" s="90"/>
      <c r="ABU354" s="90"/>
      <c r="ABV354" s="90"/>
      <c r="ABW354" s="90"/>
      <c r="ABX354" s="90"/>
      <c r="ABY354" s="90"/>
      <c r="ABZ354" s="90"/>
      <c r="ACA354" s="90"/>
      <c r="ACB354" s="90"/>
      <c r="ACC354" s="90"/>
      <c r="ACD354" s="90"/>
      <c r="ACE354" s="90"/>
      <c r="ACF354" s="90"/>
      <c r="ACG354" s="90"/>
      <c r="ACH354" s="90"/>
      <c r="ACI354" s="90"/>
      <c r="ACJ354" s="90"/>
      <c r="ACK354" s="90"/>
      <c r="ACL354" s="90"/>
      <c r="ACM354" s="90"/>
      <c r="ACN354" s="90"/>
      <c r="ACO354" s="90"/>
      <c r="ACP354" s="90"/>
      <c r="ACQ354" s="90"/>
      <c r="ACR354" s="90"/>
      <c r="ACS354" s="90"/>
      <c r="ACT354" s="90"/>
      <c r="ACU354" s="90"/>
      <c r="ACV354" s="90"/>
      <c r="ACW354" s="90"/>
      <c r="ACX354" s="90"/>
      <c r="ACY354" s="90"/>
      <c r="ACZ354" s="90"/>
      <c r="ADA354" s="90"/>
      <c r="ADB354" s="90"/>
      <c r="ADC354" s="90"/>
      <c r="ADD354" s="90"/>
      <c r="ADE354" s="90"/>
      <c r="ADF354" s="90"/>
      <c r="ADG354" s="90"/>
      <c r="ADH354" s="90"/>
      <c r="ADI354" s="90"/>
      <c r="ADJ354" s="90"/>
      <c r="ADK354" s="90"/>
      <c r="ADL354" s="90"/>
      <c r="ADM354" s="90"/>
      <c r="ADN354" s="90"/>
      <c r="ADO354" s="90"/>
      <c r="ADP354" s="90"/>
      <c r="ADQ354" s="90"/>
      <c r="ADR354" s="90"/>
      <c r="ADS354" s="90"/>
      <c r="ADT354" s="90"/>
      <c r="ADU354" s="90"/>
      <c r="ADV354" s="90"/>
      <c r="ADW354" s="90"/>
      <c r="ADX354" s="90"/>
      <c r="ADY354" s="90"/>
      <c r="ADZ354" s="90"/>
      <c r="AEA354" s="90"/>
      <c r="AEB354" s="90"/>
      <c r="AEC354" s="90"/>
      <c r="AED354" s="90"/>
      <c r="AEE354" s="90"/>
      <c r="AEF354" s="90"/>
      <c r="AEG354" s="90"/>
      <c r="AEH354" s="90"/>
      <c r="AEI354" s="90"/>
      <c r="AEJ354" s="90"/>
      <c r="AEK354" s="90"/>
      <c r="AEL354" s="90"/>
      <c r="AEM354" s="90"/>
      <c r="AEN354" s="90"/>
      <c r="AEO354" s="90"/>
      <c r="AEP354" s="90"/>
      <c r="AEQ354" s="90"/>
      <c r="AER354" s="90"/>
      <c r="AES354" s="90"/>
      <c r="AET354" s="90"/>
      <c r="AEU354" s="90"/>
      <c r="AEV354" s="90"/>
      <c r="AEW354" s="90"/>
      <c r="AEX354" s="90"/>
      <c r="AEY354" s="90"/>
      <c r="AEZ354" s="90"/>
      <c r="AFA354" s="90"/>
      <c r="AFB354" s="90"/>
      <c r="AFC354" s="90"/>
      <c r="AFD354" s="90"/>
      <c r="AFE354" s="90"/>
      <c r="AFF354" s="90"/>
      <c r="AFG354" s="90"/>
      <c r="AFH354" s="90"/>
      <c r="AFI354" s="90"/>
      <c r="AFJ354" s="90"/>
      <c r="AFK354" s="90"/>
      <c r="AFL354" s="90"/>
      <c r="AFM354" s="90"/>
      <c r="AFN354" s="90"/>
      <c r="AFO354" s="90"/>
      <c r="AFP354" s="90"/>
      <c r="AFQ354" s="90"/>
      <c r="AFR354" s="90"/>
      <c r="AFS354" s="90"/>
      <c r="AFT354" s="90"/>
      <c r="AFU354" s="90"/>
      <c r="AFV354" s="90"/>
      <c r="AFW354" s="90"/>
      <c r="AFX354" s="90"/>
      <c r="AFY354" s="90"/>
      <c r="AFZ354" s="90"/>
      <c r="AGA354" s="90"/>
      <c r="AGB354" s="90"/>
      <c r="AGC354" s="90"/>
      <c r="AGD354" s="90"/>
      <c r="AGE354" s="90"/>
      <c r="AGF354" s="90"/>
      <c r="AGG354" s="90"/>
      <c r="AGH354" s="90"/>
      <c r="AGI354" s="90"/>
      <c r="AGJ354" s="90"/>
      <c r="AGK354" s="90"/>
      <c r="AGL354" s="90"/>
      <c r="AGM354" s="90"/>
      <c r="AGN354" s="90"/>
      <c r="AGO354" s="90"/>
      <c r="AGP354" s="90"/>
      <c r="AGQ354" s="90"/>
      <c r="AGR354" s="90"/>
      <c r="AGS354" s="90"/>
      <c r="AGT354" s="90"/>
      <c r="AGU354" s="90"/>
      <c r="AGV354" s="90"/>
      <c r="AGW354" s="90"/>
      <c r="AGX354" s="90"/>
      <c r="AGY354" s="90"/>
      <c r="AGZ354" s="90"/>
      <c r="AHA354" s="90"/>
      <c r="AHB354" s="90"/>
      <c r="AHC354" s="90"/>
      <c r="AHD354" s="90"/>
      <c r="AHE354" s="90"/>
      <c r="AHF354" s="90"/>
      <c r="AHG354" s="90"/>
      <c r="AHH354" s="90"/>
      <c r="AHI354" s="90"/>
      <c r="AHJ354" s="90"/>
      <c r="AHK354" s="90"/>
      <c r="AHL354" s="90"/>
      <c r="AHM354" s="90"/>
      <c r="AHN354" s="90"/>
      <c r="AHO354" s="90"/>
      <c r="AHP354" s="90"/>
      <c r="AHQ354" s="90"/>
      <c r="AHR354" s="90"/>
      <c r="AHS354" s="90"/>
      <c r="AHT354" s="90"/>
      <c r="AHU354" s="90"/>
      <c r="AHV354" s="90"/>
      <c r="AHW354" s="90"/>
      <c r="AHX354" s="90"/>
      <c r="AHY354" s="90"/>
      <c r="AHZ354" s="90"/>
      <c r="AIA354" s="90"/>
      <c r="AIB354" s="90"/>
      <c r="AIC354" s="90"/>
      <c r="AID354" s="90"/>
      <c r="AIE354" s="90"/>
      <c r="AIF354" s="90"/>
      <c r="AIG354" s="90"/>
      <c r="AIH354" s="90"/>
      <c r="AII354" s="90"/>
      <c r="AIJ354" s="90"/>
      <c r="AIK354" s="90"/>
      <c r="AIL354" s="90"/>
      <c r="AIM354" s="90"/>
      <c r="AIN354" s="90"/>
      <c r="AIO354" s="90"/>
      <c r="AIP354" s="90"/>
      <c r="AIQ354" s="90"/>
      <c r="AIR354" s="90"/>
      <c r="AIS354" s="90"/>
      <c r="AIT354" s="90"/>
      <c r="AIU354" s="90"/>
      <c r="AIV354" s="90"/>
      <c r="AIW354" s="90"/>
      <c r="AIX354" s="90"/>
      <c r="AIY354" s="90"/>
      <c r="AIZ354" s="90"/>
      <c r="AJA354" s="90"/>
      <c r="AJB354" s="90"/>
      <c r="AJC354" s="90"/>
      <c r="AJD354" s="90"/>
      <c r="AJE354" s="90"/>
      <c r="AJF354" s="90"/>
      <c r="AJG354" s="90"/>
      <c r="AJH354" s="90"/>
      <c r="AJI354" s="90"/>
      <c r="AJJ354" s="90"/>
      <c r="AJK354" s="90"/>
      <c r="AJL354" s="90"/>
      <c r="AJM354" s="90"/>
      <c r="AJN354" s="90"/>
      <c r="AJO354" s="90"/>
      <c r="AJP354" s="90"/>
      <c r="AJQ354" s="90"/>
      <c r="AJR354" s="90"/>
      <c r="AJS354" s="90"/>
      <c r="AJT354" s="90"/>
      <c r="AJU354" s="90"/>
      <c r="AJV354" s="90"/>
      <c r="AJW354" s="90"/>
      <c r="AJX354" s="90"/>
      <c r="AJY354" s="90"/>
      <c r="AJZ354" s="90"/>
      <c r="AKA354" s="90"/>
      <c r="AKB354" s="90"/>
      <c r="AKC354" s="90"/>
      <c r="AKD354" s="90"/>
      <c r="AKE354" s="90"/>
      <c r="AKF354" s="90"/>
      <c r="AKG354" s="90"/>
      <c r="AKH354" s="90"/>
      <c r="AKI354" s="90"/>
      <c r="AKJ354" s="90"/>
      <c r="AKK354" s="90"/>
      <c r="AKL354" s="90"/>
      <c r="AKM354" s="90"/>
      <c r="AKN354" s="90"/>
      <c r="AKO354" s="90"/>
      <c r="AKP354" s="90"/>
      <c r="AKQ354" s="90"/>
      <c r="AKR354" s="90"/>
      <c r="AKS354" s="90"/>
      <c r="AKT354" s="90"/>
      <c r="AKU354" s="90"/>
      <c r="AKV354" s="90"/>
      <c r="AKW354" s="90"/>
      <c r="AKX354" s="90"/>
      <c r="AKY354" s="90"/>
      <c r="AKZ354" s="90"/>
      <c r="ALA354" s="90"/>
      <c r="ALB354" s="90"/>
      <c r="ALC354" s="90"/>
      <c r="ALD354" s="90"/>
      <c r="ALE354" s="90"/>
      <c r="ALF354" s="90"/>
      <c r="ALG354" s="90"/>
      <c r="ALH354" s="90"/>
      <c r="ALI354" s="90"/>
      <c r="ALJ354" s="90"/>
      <c r="ALK354" s="90"/>
      <c r="ALL354" s="90"/>
      <c r="ALM354" s="90"/>
      <c r="ALN354" s="90"/>
      <c r="ALO354" s="90"/>
      <c r="ALP354" s="90"/>
      <c r="ALQ354" s="90"/>
      <c r="ALR354" s="90"/>
      <c r="ALS354" s="90"/>
      <c r="ALT354" s="90"/>
      <c r="ALU354" s="90"/>
      <c r="ALV354" s="90"/>
      <c r="ALW354" s="90"/>
      <c r="ALX354" s="90"/>
      <c r="ALY354" s="90"/>
      <c r="ALZ354" s="90"/>
      <c r="AMA354" s="90"/>
      <c r="AMB354" s="90"/>
      <c r="AMC354" s="90"/>
    </row>
    <row r="355" spans="1:1017" s="100" customFormat="1">
      <c r="A355" s="100">
        <v>10</v>
      </c>
      <c r="B355" s="100" t="s">
        <v>67</v>
      </c>
      <c r="C355" s="100">
        <f t="shared" ref="C355:R355" si="1951">SUM(C356:C392)</f>
        <v>0</v>
      </c>
      <c r="D355" s="100">
        <f t="shared" si="1951"/>
        <v>0</v>
      </c>
      <c r="E355" s="100">
        <f t="shared" si="1951"/>
        <v>1337700</v>
      </c>
      <c r="F355" s="100">
        <f t="shared" si="1951"/>
        <v>45079460</v>
      </c>
      <c r="G355" s="100">
        <f t="shared" si="1951"/>
        <v>0</v>
      </c>
      <c r="H355" s="100">
        <f t="shared" si="1951"/>
        <v>0</v>
      </c>
      <c r="I355" s="100">
        <f t="shared" si="1951"/>
        <v>76300</v>
      </c>
      <c r="J355" s="100">
        <f t="shared" si="1951"/>
        <v>1715400</v>
      </c>
      <c r="K355" s="100">
        <f t="shared" si="1951"/>
        <v>0</v>
      </c>
      <c r="L355" s="100">
        <f t="shared" si="1951"/>
        <v>0</v>
      </c>
      <c r="M355" s="100">
        <f t="shared" si="1951"/>
        <v>400</v>
      </c>
      <c r="N355" s="100">
        <f t="shared" si="1951"/>
        <v>8000</v>
      </c>
      <c r="O355" s="100">
        <f t="shared" si="1951"/>
        <v>0</v>
      </c>
      <c r="P355" s="100">
        <f t="shared" si="1951"/>
        <v>0</v>
      </c>
      <c r="Q355" s="728">
        <f t="shared" si="1951"/>
        <v>1414400</v>
      </c>
      <c r="R355" s="728">
        <f t="shared" si="1951"/>
        <v>46802860</v>
      </c>
      <c r="S355" s="100">
        <f t="shared" ref="S355:CD355" si="1952">SUM(S356:S392)</f>
        <v>3165</v>
      </c>
      <c r="T355" s="100">
        <f t="shared" si="1952"/>
        <v>381750</v>
      </c>
      <c r="U355" s="100">
        <f t="shared" si="1952"/>
        <v>1666265</v>
      </c>
      <c r="V355" s="100">
        <f t="shared" si="1952"/>
        <v>82818575</v>
      </c>
      <c r="W355" s="100">
        <f t="shared" si="1952"/>
        <v>0</v>
      </c>
      <c r="X355" s="100">
        <f t="shared" si="1952"/>
        <v>0</v>
      </c>
      <c r="Y355" s="100">
        <f t="shared" si="1952"/>
        <v>988160</v>
      </c>
      <c r="Z355" s="100">
        <f t="shared" si="1952"/>
        <v>20159370</v>
      </c>
      <c r="AA355" s="100">
        <f t="shared" si="1952"/>
        <v>5415</v>
      </c>
      <c r="AB355" s="100">
        <f t="shared" si="1952"/>
        <v>148575</v>
      </c>
      <c r="AC355" s="100">
        <f t="shared" si="1952"/>
        <v>4480</v>
      </c>
      <c r="AD355" s="100">
        <f t="shared" si="1952"/>
        <v>123950</v>
      </c>
      <c r="AE355" s="100">
        <f t="shared" si="1952"/>
        <v>2145</v>
      </c>
      <c r="AF355" s="100">
        <f t="shared" si="1952"/>
        <v>47550</v>
      </c>
      <c r="AG355" s="728">
        <f t="shared" si="1952"/>
        <v>2669630</v>
      </c>
      <c r="AH355" s="728">
        <f t="shared" si="1952"/>
        <v>103679770</v>
      </c>
      <c r="AI355" s="100">
        <f t="shared" si="1952"/>
        <v>0</v>
      </c>
      <c r="AJ355" s="100">
        <f t="shared" si="1952"/>
        <v>0</v>
      </c>
      <c r="AK355" s="100">
        <f t="shared" si="1952"/>
        <v>36400</v>
      </c>
      <c r="AL355" s="100">
        <f t="shared" si="1952"/>
        <v>2366000</v>
      </c>
      <c r="AM355" s="100">
        <f t="shared" si="1952"/>
        <v>0</v>
      </c>
      <c r="AN355" s="100">
        <f t="shared" si="1952"/>
        <v>0</v>
      </c>
      <c r="AO355" s="100">
        <f t="shared" si="1952"/>
        <v>1530300</v>
      </c>
      <c r="AP355" s="100">
        <f t="shared" si="1952"/>
        <v>34818500</v>
      </c>
      <c r="AQ355" s="100">
        <f t="shared" si="1952"/>
        <v>130</v>
      </c>
      <c r="AR355" s="100">
        <f t="shared" si="1952"/>
        <v>3120</v>
      </c>
      <c r="AS355" s="100">
        <f t="shared" si="1952"/>
        <v>0</v>
      </c>
      <c r="AT355" s="100">
        <f t="shared" si="1952"/>
        <v>0</v>
      </c>
      <c r="AU355" s="100">
        <f t="shared" si="1952"/>
        <v>2085</v>
      </c>
      <c r="AV355" s="100">
        <f t="shared" si="1952"/>
        <v>50040</v>
      </c>
      <c r="AW355" s="728">
        <f t="shared" si="1952"/>
        <v>1568915</v>
      </c>
      <c r="AX355" s="728">
        <f t="shared" si="1952"/>
        <v>37237660</v>
      </c>
      <c r="AY355" s="100">
        <f t="shared" si="1952"/>
        <v>0</v>
      </c>
      <c r="AZ355" s="100">
        <f t="shared" si="1952"/>
        <v>0</v>
      </c>
      <c r="BA355" s="100">
        <f t="shared" si="1952"/>
        <v>0</v>
      </c>
      <c r="BB355" s="100">
        <f t="shared" si="1952"/>
        <v>0</v>
      </c>
      <c r="BC355" s="100">
        <f t="shared" si="1952"/>
        <v>0</v>
      </c>
      <c r="BD355" s="100">
        <f t="shared" si="1952"/>
        <v>0</v>
      </c>
      <c r="BE355" s="100">
        <f t="shared" si="1952"/>
        <v>418951</v>
      </c>
      <c r="BF355" s="100">
        <f t="shared" si="1952"/>
        <v>8330310</v>
      </c>
      <c r="BG355" s="100">
        <f t="shared" si="1952"/>
        <v>846</v>
      </c>
      <c r="BH355" s="100">
        <f t="shared" si="1952"/>
        <v>19275</v>
      </c>
      <c r="BI355" s="100">
        <f t="shared" si="1952"/>
        <v>0</v>
      </c>
      <c r="BJ355" s="100">
        <f t="shared" si="1952"/>
        <v>0</v>
      </c>
      <c r="BK355" s="100">
        <f t="shared" si="1952"/>
        <v>2799</v>
      </c>
      <c r="BL355" s="100">
        <f t="shared" si="1952"/>
        <v>45577</v>
      </c>
      <c r="BM355" s="728">
        <f t="shared" si="1952"/>
        <v>422596</v>
      </c>
      <c r="BN355" s="728">
        <f t="shared" si="1952"/>
        <v>8395162</v>
      </c>
      <c r="BO355" s="100">
        <f t="shared" si="1952"/>
        <v>0</v>
      </c>
      <c r="BP355" s="100">
        <f t="shared" si="1952"/>
        <v>0</v>
      </c>
      <c r="BQ355" s="100">
        <f t="shared" si="1952"/>
        <v>0</v>
      </c>
      <c r="BR355" s="100">
        <f t="shared" si="1952"/>
        <v>0</v>
      </c>
      <c r="BS355" s="100">
        <f t="shared" si="1952"/>
        <v>0</v>
      </c>
      <c r="BT355" s="100">
        <f t="shared" si="1952"/>
        <v>0</v>
      </c>
      <c r="BU355" s="100">
        <f t="shared" si="1952"/>
        <v>67037</v>
      </c>
      <c r="BV355" s="100">
        <f t="shared" si="1952"/>
        <v>1437315</v>
      </c>
      <c r="BW355" s="100">
        <f t="shared" si="1952"/>
        <v>0</v>
      </c>
      <c r="BX355" s="100">
        <f t="shared" si="1952"/>
        <v>0</v>
      </c>
      <c r="BY355" s="100">
        <f t="shared" si="1952"/>
        <v>0</v>
      </c>
      <c r="BZ355" s="100">
        <f t="shared" si="1952"/>
        <v>0</v>
      </c>
      <c r="CA355" s="100">
        <f t="shared" si="1952"/>
        <v>0</v>
      </c>
      <c r="CB355" s="100">
        <f t="shared" si="1952"/>
        <v>0</v>
      </c>
      <c r="CC355" s="728">
        <f t="shared" si="1952"/>
        <v>67037</v>
      </c>
      <c r="CD355" s="728">
        <f t="shared" si="1952"/>
        <v>1437315</v>
      </c>
      <c r="CE355" s="100">
        <f t="shared" ref="CE355:EP355" si="1953">SUM(CE356:CE392)</f>
        <v>3111508.6221356886</v>
      </c>
      <c r="CF355" s="100">
        <f t="shared" si="1953"/>
        <v>9334525.8664070666</v>
      </c>
      <c r="CG355" s="100">
        <f t="shared" si="1953"/>
        <v>6567503.805030765</v>
      </c>
      <c r="CH355" s="100">
        <f t="shared" si="1953"/>
        <v>168122778.04699999</v>
      </c>
      <c r="CI355" s="100">
        <f t="shared" si="1953"/>
        <v>0</v>
      </c>
      <c r="CJ355" s="100">
        <f t="shared" si="1953"/>
        <v>0</v>
      </c>
      <c r="CK355" s="100">
        <f t="shared" si="1953"/>
        <v>4982909.586412875</v>
      </c>
      <c r="CL355" s="100">
        <f t="shared" si="1953"/>
        <v>87254033.907186285</v>
      </c>
      <c r="CM355" s="100">
        <f t="shared" si="1953"/>
        <v>0</v>
      </c>
      <c r="CN355" s="100">
        <f t="shared" si="1953"/>
        <v>0</v>
      </c>
      <c r="CO355" s="100">
        <f t="shared" si="1953"/>
        <v>0</v>
      </c>
      <c r="CP355" s="100">
        <f t="shared" si="1953"/>
        <v>0</v>
      </c>
      <c r="CQ355" s="100">
        <f t="shared" si="1953"/>
        <v>0</v>
      </c>
      <c r="CR355" s="100">
        <f t="shared" si="1953"/>
        <v>0</v>
      </c>
      <c r="CS355" s="728">
        <f t="shared" si="1953"/>
        <v>14661922.013579328</v>
      </c>
      <c r="CT355" s="728">
        <f t="shared" si="1953"/>
        <v>264711337.82059336</v>
      </c>
      <c r="CU355" s="100">
        <f t="shared" si="1953"/>
        <v>0</v>
      </c>
      <c r="CV355" s="100">
        <f t="shared" si="1953"/>
        <v>0</v>
      </c>
      <c r="CW355" s="100">
        <f t="shared" si="1953"/>
        <v>422800.00000171235</v>
      </c>
      <c r="CX355" s="100">
        <f t="shared" si="1953"/>
        <v>25175136.004000001</v>
      </c>
      <c r="CY355" s="100">
        <f t="shared" si="1953"/>
        <v>0</v>
      </c>
      <c r="CZ355" s="100">
        <f t="shared" si="1953"/>
        <v>0</v>
      </c>
      <c r="DA355" s="100">
        <f t="shared" si="1953"/>
        <v>938779.53441640886</v>
      </c>
      <c r="DB355" s="100">
        <f t="shared" si="1953"/>
        <v>20282510.001000002</v>
      </c>
      <c r="DC355" s="100">
        <f t="shared" si="1953"/>
        <v>545</v>
      </c>
      <c r="DD355" s="100">
        <f t="shared" si="1953"/>
        <v>12625</v>
      </c>
      <c r="DE355" s="100">
        <f t="shared" si="1953"/>
        <v>0</v>
      </c>
      <c r="DF355" s="100">
        <f t="shared" si="1953"/>
        <v>0</v>
      </c>
      <c r="DG355" s="100">
        <f t="shared" si="1953"/>
        <v>0</v>
      </c>
      <c r="DH355" s="100">
        <f t="shared" si="1953"/>
        <v>0</v>
      </c>
      <c r="DI355" s="728">
        <f t="shared" si="1953"/>
        <v>1362124.5344181212</v>
      </c>
      <c r="DJ355" s="728">
        <f t="shared" si="1953"/>
        <v>45470271.004999995</v>
      </c>
      <c r="DK355" s="100">
        <f t="shared" si="1953"/>
        <v>0</v>
      </c>
      <c r="DL355" s="100">
        <f t="shared" si="1953"/>
        <v>0</v>
      </c>
      <c r="DM355" s="100">
        <f t="shared" si="1953"/>
        <v>0</v>
      </c>
      <c r="DN355" s="100">
        <f t="shared" si="1953"/>
        <v>0</v>
      </c>
      <c r="DO355" s="100">
        <f t="shared" si="1953"/>
        <v>0</v>
      </c>
      <c r="DP355" s="100">
        <f t="shared" si="1953"/>
        <v>0</v>
      </c>
      <c r="DQ355" s="100">
        <f t="shared" si="1953"/>
        <v>1188800</v>
      </c>
      <c r="DR355" s="100">
        <f t="shared" si="1953"/>
        <v>22684700</v>
      </c>
      <c r="DS355" s="100">
        <f t="shared" si="1953"/>
        <v>0</v>
      </c>
      <c r="DT355" s="100">
        <f t="shared" si="1953"/>
        <v>0</v>
      </c>
      <c r="DU355" s="100">
        <f t="shared" si="1953"/>
        <v>0</v>
      </c>
      <c r="DV355" s="100">
        <f t="shared" si="1953"/>
        <v>0</v>
      </c>
      <c r="DW355" s="100">
        <f t="shared" si="1953"/>
        <v>0</v>
      </c>
      <c r="DX355" s="100">
        <f t="shared" si="1953"/>
        <v>0</v>
      </c>
      <c r="DY355" s="728">
        <f t="shared" si="1953"/>
        <v>1188800</v>
      </c>
      <c r="DZ355" s="728">
        <f t="shared" si="1953"/>
        <v>22684700</v>
      </c>
      <c r="EA355" s="100">
        <f t="shared" si="1953"/>
        <v>0</v>
      </c>
      <c r="EB355" s="100">
        <f t="shared" si="1953"/>
        <v>0</v>
      </c>
      <c r="EC355" s="100">
        <f t="shared" si="1953"/>
        <v>0</v>
      </c>
      <c r="ED355" s="100">
        <f t="shared" si="1953"/>
        <v>0</v>
      </c>
      <c r="EE355" s="100">
        <f t="shared" si="1953"/>
        <v>0</v>
      </c>
      <c r="EF355" s="100">
        <f t="shared" si="1953"/>
        <v>0</v>
      </c>
      <c r="EG355" s="100">
        <f t="shared" si="1953"/>
        <v>1917725</v>
      </c>
      <c r="EH355" s="100">
        <f t="shared" si="1953"/>
        <v>36995615</v>
      </c>
      <c r="EI355" s="100">
        <f t="shared" si="1953"/>
        <v>0</v>
      </c>
      <c r="EJ355" s="100">
        <f t="shared" si="1953"/>
        <v>0</v>
      </c>
      <c r="EK355" s="100">
        <f t="shared" si="1953"/>
        <v>0</v>
      </c>
      <c r="EL355" s="100">
        <f t="shared" si="1953"/>
        <v>0</v>
      </c>
      <c r="EM355" s="100">
        <f t="shared" si="1953"/>
        <v>0</v>
      </c>
      <c r="EN355" s="100">
        <f t="shared" si="1953"/>
        <v>0</v>
      </c>
      <c r="EO355" s="728">
        <f t="shared" si="1953"/>
        <v>1917725</v>
      </c>
      <c r="EP355" s="728">
        <f t="shared" si="1953"/>
        <v>36995615</v>
      </c>
      <c r="EQ355" s="100">
        <f t="shared" ref="EQ355:HB355" si="1954">SUM(EQ356:EQ392)</f>
        <v>0</v>
      </c>
      <c r="ER355" s="100">
        <f t="shared" si="1954"/>
        <v>0</v>
      </c>
      <c r="ES355" s="100">
        <f t="shared" si="1954"/>
        <v>366414</v>
      </c>
      <c r="ET355" s="100">
        <f t="shared" si="1954"/>
        <v>21467220</v>
      </c>
      <c r="EU355" s="100">
        <f t="shared" si="1954"/>
        <v>0</v>
      </c>
      <c r="EV355" s="100">
        <f t="shared" si="1954"/>
        <v>0</v>
      </c>
      <c r="EW355" s="100">
        <f t="shared" si="1954"/>
        <v>171737</v>
      </c>
      <c r="EX355" s="100">
        <f t="shared" si="1954"/>
        <v>4155216</v>
      </c>
      <c r="EY355" s="100">
        <f t="shared" si="1954"/>
        <v>0</v>
      </c>
      <c r="EZ355" s="100">
        <f t="shared" si="1954"/>
        <v>0</v>
      </c>
      <c r="FA355" s="100">
        <f t="shared" si="1954"/>
        <v>2217</v>
      </c>
      <c r="FB355" s="100">
        <f t="shared" si="1954"/>
        <v>39906</v>
      </c>
      <c r="FC355" s="100">
        <f t="shared" si="1954"/>
        <v>159</v>
      </c>
      <c r="FD355" s="100">
        <f t="shared" si="1954"/>
        <v>3180</v>
      </c>
      <c r="FE355" s="728">
        <f t="shared" si="1954"/>
        <v>540527</v>
      </c>
      <c r="FF355" s="728">
        <f t="shared" si="1954"/>
        <v>25665522</v>
      </c>
      <c r="FG355" s="100">
        <f t="shared" si="1954"/>
        <v>0</v>
      </c>
      <c r="FH355" s="100">
        <f t="shared" si="1954"/>
        <v>0</v>
      </c>
      <c r="FI355" s="100">
        <f t="shared" si="1954"/>
        <v>120000</v>
      </c>
      <c r="FJ355" s="100">
        <f t="shared" si="1954"/>
        <v>7200000</v>
      </c>
      <c r="FK355" s="100">
        <f t="shared" si="1954"/>
        <v>0</v>
      </c>
      <c r="FL355" s="100">
        <f t="shared" si="1954"/>
        <v>0</v>
      </c>
      <c r="FM355" s="100">
        <f t="shared" si="1954"/>
        <v>224413</v>
      </c>
      <c r="FN355" s="100">
        <f t="shared" si="1954"/>
        <v>5627285</v>
      </c>
      <c r="FO355" s="100">
        <f t="shared" si="1954"/>
        <v>0</v>
      </c>
      <c r="FP355" s="100">
        <f t="shared" si="1954"/>
        <v>0</v>
      </c>
      <c r="FQ355" s="100">
        <f t="shared" si="1954"/>
        <v>0</v>
      </c>
      <c r="FR355" s="100">
        <f t="shared" si="1954"/>
        <v>0</v>
      </c>
      <c r="FS355" s="100">
        <f t="shared" si="1954"/>
        <v>72000</v>
      </c>
      <c r="FT355" s="100">
        <f t="shared" si="1954"/>
        <v>2016000</v>
      </c>
      <c r="FU355" s="728">
        <f t="shared" si="1954"/>
        <v>416413</v>
      </c>
      <c r="FV355" s="728">
        <f t="shared" si="1954"/>
        <v>14843285</v>
      </c>
      <c r="FW355" s="100">
        <f t="shared" si="1954"/>
        <v>0</v>
      </c>
      <c r="FX355" s="100">
        <f t="shared" si="1954"/>
        <v>0</v>
      </c>
      <c r="FY355" s="100">
        <f t="shared" si="1954"/>
        <v>0</v>
      </c>
      <c r="FZ355" s="100">
        <f t="shared" si="1954"/>
        <v>0</v>
      </c>
      <c r="GA355" s="100">
        <f t="shared" si="1954"/>
        <v>0</v>
      </c>
      <c r="GB355" s="100">
        <f t="shared" si="1954"/>
        <v>0</v>
      </c>
      <c r="GC355" s="100">
        <f t="shared" si="1954"/>
        <v>326550</v>
      </c>
      <c r="GD355" s="100">
        <f t="shared" si="1954"/>
        <v>6770050</v>
      </c>
      <c r="GE355" s="100">
        <f t="shared" si="1954"/>
        <v>0</v>
      </c>
      <c r="GF355" s="100">
        <f t="shared" si="1954"/>
        <v>0</v>
      </c>
      <c r="GG355" s="100">
        <f t="shared" si="1954"/>
        <v>0</v>
      </c>
      <c r="GH355" s="100">
        <f t="shared" si="1954"/>
        <v>0</v>
      </c>
      <c r="GI355" s="100">
        <f t="shared" si="1954"/>
        <v>0</v>
      </c>
      <c r="GJ355" s="100">
        <f t="shared" si="1954"/>
        <v>0</v>
      </c>
      <c r="GK355" s="728">
        <f t="shared" si="1954"/>
        <v>326550</v>
      </c>
      <c r="GL355" s="728">
        <f t="shared" si="1954"/>
        <v>6770050</v>
      </c>
      <c r="GM355" s="100">
        <f t="shared" si="1954"/>
        <v>0</v>
      </c>
      <c r="GN355" s="100">
        <f t="shared" si="1954"/>
        <v>0</v>
      </c>
      <c r="GO355" s="100">
        <f t="shared" si="1954"/>
        <v>0</v>
      </c>
      <c r="GP355" s="100">
        <f t="shared" si="1954"/>
        <v>0</v>
      </c>
      <c r="GQ355" s="100">
        <f t="shared" si="1954"/>
        <v>0</v>
      </c>
      <c r="GR355" s="100">
        <f t="shared" si="1954"/>
        <v>0</v>
      </c>
      <c r="GS355" s="100">
        <f t="shared" si="1954"/>
        <v>149200</v>
      </c>
      <c r="GT355" s="100">
        <f t="shared" si="1954"/>
        <v>2862400</v>
      </c>
      <c r="GU355" s="100">
        <f t="shared" si="1954"/>
        <v>0</v>
      </c>
      <c r="GV355" s="100">
        <f t="shared" si="1954"/>
        <v>0</v>
      </c>
      <c r="GW355" s="100">
        <f t="shared" si="1954"/>
        <v>0</v>
      </c>
      <c r="GX355" s="100">
        <f t="shared" si="1954"/>
        <v>0</v>
      </c>
      <c r="GY355" s="100">
        <f t="shared" si="1954"/>
        <v>110</v>
      </c>
      <c r="GZ355" s="100">
        <f t="shared" si="1954"/>
        <v>3095</v>
      </c>
      <c r="HA355" s="728">
        <f t="shared" si="1954"/>
        <v>149310</v>
      </c>
      <c r="HB355" s="728">
        <f t="shared" si="1954"/>
        <v>2865495</v>
      </c>
      <c r="HC355" s="100">
        <f t="shared" ref="HC355:JN355" si="1955">SUM(HC356:HC392)</f>
        <v>0</v>
      </c>
      <c r="HD355" s="100">
        <f t="shared" si="1955"/>
        <v>0</v>
      </c>
      <c r="HE355" s="100">
        <f t="shared" si="1955"/>
        <v>90000</v>
      </c>
      <c r="HF355" s="100">
        <f t="shared" si="1955"/>
        <v>6660000</v>
      </c>
      <c r="HG355" s="100">
        <f t="shared" si="1955"/>
        <v>0</v>
      </c>
      <c r="HH355" s="100">
        <f t="shared" si="1955"/>
        <v>0</v>
      </c>
      <c r="HI355" s="100">
        <f t="shared" si="1955"/>
        <v>672000</v>
      </c>
      <c r="HJ355" s="100">
        <f t="shared" si="1955"/>
        <v>12548000</v>
      </c>
      <c r="HK355" s="100">
        <f t="shared" si="1955"/>
        <v>0</v>
      </c>
      <c r="HL355" s="100">
        <f t="shared" si="1955"/>
        <v>0</v>
      </c>
      <c r="HM355" s="100">
        <f t="shared" si="1955"/>
        <v>0</v>
      </c>
      <c r="HN355" s="100">
        <f t="shared" si="1955"/>
        <v>0</v>
      </c>
      <c r="HO355" s="100">
        <f t="shared" si="1955"/>
        <v>150000</v>
      </c>
      <c r="HP355" s="100">
        <f t="shared" si="1955"/>
        <v>3450000</v>
      </c>
      <c r="HQ355" s="728">
        <f t="shared" si="1955"/>
        <v>912000</v>
      </c>
      <c r="HR355" s="728">
        <f t="shared" si="1955"/>
        <v>22658000</v>
      </c>
      <c r="HS355" s="100">
        <f t="shared" si="1955"/>
        <v>0</v>
      </c>
      <c r="HT355" s="100">
        <f t="shared" si="1955"/>
        <v>0</v>
      </c>
      <c r="HU355" s="100">
        <f t="shared" si="1955"/>
        <v>0</v>
      </c>
      <c r="HV355" s="100">
        <f t="shared" si="1955"/>
        <v>0</v>
      </c>
      <c r="HW355" s="100">
        <f t="shared" si="1955"/>
        <v>0</v>
      </c>
      <c r="HX355" s="100">
        <f t="shared" si="1955"/>
        <v>0</v>
      </c>
      <c r="HY355" s="100">
        <f t="shared" si="1955"/>
        <v>149660</v>
      </c>
      <c r="HZ355" s="100">
        <f t="shared" si="1955"/>
        <v>2745800</v>
      </c>
      <c r="IA355" s="100">
        <f t="shared" si="1955"/>
        <v>0</v>
      </c>
      <c r="IB355" s="100">
        <f t="shared" si="1955"/>
        <v>0</v>
      </c>
      <c r="IC355" s="100">
        <f t="shared" si="1955"/>
        <v>0</v>
      </c>
      <c r="ID355" s="100">
        <f t="shared" si="1955"/>
        <v>0</v>
      </c>
      <c r="IE355" s="100">
        <f t="shared" si="1955"/>
        <v>0</v>
      </c>
      <c r="IF355" s="100">
        <f t="shared" si="1955"/>
        <v>0</v>
      </c>
      <c r="IG355" s="728">
        <f t="shared" si="1955"/>
        <v>149660</v>
      </c>
      <c r="IH355" s="728">
        <f t="shared" si="1955"/>
        <v>2745800</v>
      </c>
      <c r="II355" s="100">
        <f t="shared" si="1955"/>
        <v>0</v>
      </c>
      <c r="IJ355" s="100">
        <f t="shared" si="1955"/>
        <v>0</v>
      </c>
      <c r="IK355" s="100">
        <f t="shared" si="1955"/>
        <v>0</v>
      </c>
      <c r="IL355" s="100">
        <f t="shared" si="1955"/>
        <v>0</v>
      </c>
      <c r="IM355" s="100">
        <f t="shared" si="1955"/>
        <v>0</v>
      </c>
      <c r="IN355" s="100">
        <f t="shared" si="1955"/>
        <v>0</v>
      </c>
      <c r="IO355" s="96">
        <f t="shared" si="1955"/>
        <v>855800</v>
      </c>
      <c r="IP355" s="96">
        <f t="shared" si="1955"/>
        <v>16308950</v>
      </c>
      <c r="IQ355" s="100">
        <f t="shared" si="1955"/>
        <v>0</v>
      </c>
      <c r="IR355" s="100">
        <f t="shared" si="1955"/>
        <v>0</v>
      </c>
      <c r="IS355" s="100">
        <f t="shared" si="1955"/>
        <v>0</v>
      </c>
      <c r="IT355" s="100">
        <f t="shared" si="1955"/>
        <v>0</v>
      </c>
      <c r="IU355" s="100">
        <f t="shared" si="1955"/>
        <v>0</v>
      </c>
      <c r="IV355" s="100">
        <f t="shared" si="1955"/>
        <v>0</v>
      </c>
      <c r="IW355" s="728">
        <f t="shared" si="1955"/>
        <v>855800</v>
      </c>
      <c r="IX355" s="728">
        <f t="shared" si="1955"/>
        <v>16308950</v>
      </c>
      <c r="IY355" s="100">
        <f t="shared" si="1955"/>
        <v>0</v>
      </c>
      <c r="IZ355" s="100">
        <f t="shared" si="1955"/>
        <v>0</v>
      </c>
      <c r="JA355" s="100">
        <f t="shared" si="1955"/>
        <v>0</v>
      </c>
      <c r="JB355" s="100">
        <f t="shared" si="1955"/>
        <v>0</v>
      </c>
      <c r="JC355" s="100">
        <f t="shared" si="1955"/>
        <v>0</v>
      </c>
      <c r="JD355" s="100">
        <f t="shared" si="1955"/>
        <v>0</v>
      </c>
      <c r="JE355" s="100">
        <f t="shared" si="1955"/>
        <v>357158</v>
      </c>
      <c r="JF355" s="100">
        <f t="shared" si="1955"/>
        <v>6784410</v>
      </c>
      <c r="JG355" s="100">
        <f t="shared" si="1955"/>
        <v>0</v>
      </c>
      <c r="JH355" s="100">
        <f t="shared" si="1955"/>
        <v>0</v>
      </c>
      <c r="JI355" s="100">
        <f t="shared" si="1955"/>
        <v>0</v>
      </c>
      <c r="JJ355" s="100">
        <f t="shared" si="1955"/>
        <v>0</v>
      </c>
      <c r="JK355" s="100">
        <f t="shared" si="1955"/>
        <v>6240</v>
      </c>
      <c r="JL355" s="100">
        <f t="shared" si="1955"/>
        <v>116980</v>
      </c>
      <c r="JM355" s="728">
        <f t="shared" si="1955"/>
        <v>363398</v>
      </c>
      <c r="JN355" s="728">
        <f t="shared" si="1955"/>
        <v>6901390</v>
      </c>
      <c r="JO355" s="100">
        <f t="shared" ref="JO355:MB355" si="1956">SUM(JO356:JO392)</f>
        <v>0</v>
      </c>
      <c r="JP355" s="100">
        <f t="shared" si="1956"/>
        <v>0</v>
      </c>
      <c r="JQ355" s="100">
        <f t="shared" si="1956"/>
        <v>169012</v>
      </c>
      <c r="JR355" s="100">
        <f t="shared" si="1956"/>
        <v>13527160</v>
      </c>
      <c r="JS355" s="100">
        <f t="shared" si="1956"/>
        <v>0</v>
      </c>
      <c r="JT355" s="100">
        <f t="shared" si="1956"/>
        <v>0</v>
      </c>
      <c r="JU355" s="100">
        <f t="shared" si="1956"/>
        <v>77455</v>
      </c>
      <c r="JV355" s="100">
        <f t="shared" si="1956"/>
        <v>1979469</v>
      </c>
      <c r="JW355" s="100">
        <f t="shared" si="1956"/>
        <v>0</v>
      </c>
      <c r="JX355" s="100">
        <f t="shared" si="1956"/>
        <v>0</v>
      </c>
      <c r="JY355" s="100">
        <f t="shared" si="1956"/>
        <v>0</v>
      </c>
      <c r="JZ355" s="100">
        <f t="shared" si="1956"/>
        <v>0</v>
      </c>
      <c r="KA355" s="100">
        <f t="shared" si="1956"/>
        <v>0</v>
      </c>
      <c r="KB355" s="100">
        <f t="shared" si="1956"/>
        <v>0</v>
      </c>
      <c r="KC355" s="728">
        <f t="shared" si="1956"/>
        <v>246467</v>
      </c>
      <c r="KD355" s="728">
        <f t="shared" si="1956"/>
        <v>15506629</v>
      </c>
      <c r="KE355" s="100">
        <f t="shared" si="1956"/>
        <v>0</v>
      </c>
      <c r="KF355" s="100">
        <f t="shared" si="1956"/>
        <v>0</v>
      </c>
      <c r="KG355" s="100">
        <f t="shared" si="1956"/>
        <v>50301</v>
      </c>
      <c r="KH355" s="100">
        <f t="shared" si="1956"/>
        <v>2859597</v>
      </c>
      <c r="KI355" s="100">
        <f t="shared" si="1956"/>
        <v>0</v>
      </c>
      <c r="KJ355" s="100">
        <f t="shared" si="1956"/>
        <v>0</v>
      </c>
      <c r="KK355" s="100">
        <f t="shared" si="1956"/>
        <v>89255</v>
      </c>
      <c r="KL355" s="100">
        <f t="shared" si="1956"/>
        <v>1793875</v>
      </c>
      <c r="KM355" s="100">
        <f t="shared" si="1956"/>
        <v>0</v>
      </c>
      <c r="KN355" s="100">
        <f t="shared" si="1956"/>
        <v>0</v>
      </c>
      <c r="KO355" s="100">
        <f t="shared" si="1956"/>
        <v>0</v>
      </c>
      <c r="KP355" s="100">
        <f t="shared" si="1956"/>
        <v>0</v>
      </c>
      <c r="KQ355" s="100">
        <f t="shared" si="1956"/>
        <v>0</v>
      </c>
      <c r="KR355" s="100">
        <f t="shared" si="1956"/>
        <v>0</v>
      </c>
      <c r="KS355" s="728">
        <f t="shared" si="1956"/>
        <v>139556</v>
      </c>
      <c r="KT355" s="728">
        <f t="shared" si="1956"/>
        <v>4653472</v>
      </c>
      <c r="KU355" s="100">
        <f t="shared" si="1956"/>
        <v>0</v>
      </c>
      <c r="KV355" s="100">
        <f t="shared" si="1956"/>
        <v>0</v>
      </c>
      <c r="KW355" s="100">
        <f t="shared" si="1956"/>
        <v>762200.37</v>
      </c>
      <c r="KX355" s="100">
        <f t="shared" si="1956"/>
        <v>15599935</v>
      </c>
      <c r="KY355" s="100">
        <f t="shared" si="1956"/>
        <v>0</v>
      </c>
      <c r="KZ355" s="100">
        <f t="shared" si="1956"/>
        <v>0</v>
      </c>
      <c r="LA355" s="100">
        <f t="shared" si="1956"/>
        <v>1184818.06</v>
      </c>
      <c r="LB355" s="100">
        <f t="shared" si="1956"/>
        <v>21618187</v>
      </c>
      <c r="LC355" s="100">
        <f t="shared" si="1956"/>
        <v>0</v>
      </c>
      <c r="LD355" s="100">
        <f t="shared" si="1956"/>
        <v>0</v>
      </c>
      <c r="LE355" s="100">
        <f t="shared" si="1956"/>
        <v>0</v>
      </c>
      <c r="LF355" s="100">
        <f t="shared" si="1956"/>
        <v>0</v>
      </c>
      <c r="LG355" s="100">
        <f t="shared" si="1956"/>
        <v>13892.84</v>
      </c>
      <c r="LH355" s="100">
        <f t="shared" si="1956"/>
        <v>361213</v>
      </c>
      <c r="LI355" s="728">
        <f t="shared" si="1956"/>
        <v>1960911.27</v>
      </c>
      <c r="LJ355" s="728">
        <f t="shared" si="1956"/>
        <v>37579335</v>
      </c>
      <c r="LK355" s="100">
        <f t="shared" si="1956"/>
        <v>0</v>
      </c>
      <c r="LL355" s="100">
        <f t="shared" si="1956"/>
        <v>0</v>
      </c>
      <c r="LM355" s="100">
        <f t="shared" si="1956"/>
        <v>0</v>
      </c>
      <c r="LN355" s="100">
        <f t="shared" si="1956"/>
        <v>0</v>
      </c>
      <c r="LO355" s="100">
        <f t="shared" si="1956"/>
        <v>0</v>
      </c>
      <c r="LP355" s="100">
        <f t="shared" si="1956"/>
        <v>0</v>
      </c>
      <c r="LQ355" s="100">
        <f t="shared" si="1956"/>
        <v>171221</v>
      </c>
      <c r="LR355" s="100">
        <f t="shared" si="1956"/>
        <v>3440699.5300000003</v>
      </c>
      <c r="LS355" s="100">
        <f t="shared" si="1956"/>
        <v>0</v>
      </c>
      <c r="LT355" s="100">
        <f t="shared" si="1956"/>
        <v>0</v>
      </c>
      <c r="LU355" s="100">
        <f t="shared" si="1956"/>
        <v>0</v>
      </c>
      <c r="LV355" s="100">
        <f t="shared" si="1956"/>
        <v>0</v>
      </c>
      <c r="LW355" s="100">
        <f t="shared" si="1956"/>
        <v>1085</v>
      </c>
      <c r="LX355" s="100">
        <f t="shared" si="1956"/>
        <v>30380</v>
      </c>
      <c r="LY355" s="728">
        <f t="shared" si="1956"/>
        <v>172306</v>
      </c>
      <c r="LZ355" s="728">
        <f t="shared" si="1956"/>
        <v>3471079.5300000003</v>
      </c>
      <c r="MA355" s="100">
        <f t="shared" si="1956"/>
        <v>78200</v>
      </c>
      <c r="MB355" s="100">
        <f t="shared" si="1956"/>
        <v>6647000</v>
      </c>
      <c r="MC355" s="100">
        <f t="shared" ref="MC355:MN355" si="1957">SUM(MC356:MC392)</f>
        <v>877840</v>
      </c>
      <c r="MD355" s="100">
        <f t="shared" si="1957"/>
        <v>43681630</v>
      </c>
      <c r="ME355" s="100">
        <f t="shared" si="1957"/>
        <v>0</v>
      </c>
      <c r="MF355" s="100">
        <f t="shared" si="1957"/>
        <v>0</v>
      </c>
      <c r="MG355" s="100">
        <f t="shared" si="1957"/>
        <v>57240</v>
      </c>
      <c r="MH355" s="100">
        <f t="shared" si="1957"/>
        <v>1058455</v>
      </c>
      <c r="MI355" s="100">
        <f t="shared" si="1957"/>
        <v>0</v>
      </c>
      <c r="MJ355" s="100">
        <f t="shared" si="1957"/>
        <v>0</v>
      </c>
      <c r="MK355" s="100">
        <f t="shared" si="1957"/>
        <v>0</v>
      </c>
      <c r="ML355" s="100">
        <f t="shared" si="1957"/>
        <v>0</v>
      </c>
      <c r="MM355" s="100">
        <f t="shared" si="1957"/>
        <v>1690</v>
      </c>
      <c r="MN355" s="100">
        <f t="shared" si="1957"/>
        <v>30420</v>
      </c>
      <c r="MO355" s="728">
        <f t="shared" ref="MO355:OL355" si="1958">SUM(MO356:MO392)</f>
        <v>1014970</v>
      </c>
      <c r="MP355" s="728">
        <f t="shared" si="1958"/>
        <v>51417505</v>
      </c>
      <c r="MQ355" s="100">
        <f t="shared" si="1958"/>
        <v>0</v>
      </c>
      <c r="MR355" s="100">
        <f t="shared" si="1958"/>
        <v>0</v>
      </c>
      <c r="MS355" s="100">
        <f t="shared" si="1958"/>
        <v>41083</v>
      </c>
      <c r="MT355" s="100">
        <f t="shared" si="1958"/>
        <v>1296626</v>
      </c>
      <c r="MU355" s="100">
        <f t="shared" si="1958"/>
        <v>0</v>
      </c>
      <c r="MV355" s="100">
        <f t="shared" si="1958"/>
        <v>0</v>
      </c>
      <c r="MW355" s="100">
        <f t="shared" si="1958"/>
        <v>22310</v>
      </c>
      <c r="MX355" s="100">
        <f t="shared" si="1958"/>
        <v>513480</v>
      </c>
      <c r="MY355" s="100">
        <f t="shared" si="1958"/>
        <v>0</v>
      </c>
      <c r="MZ355" s="100">
        <f t="shared" si="1958"/>
        <v>0</v>
      </c>
      <c r="NA355" s="100">
        <f t="shared" si="1958"/>
        <v>0</v>
      </c>
      <c r="NB355" s="100">
        <f t="shared" si="1958"/>
        <v>0</v>
      </c>
      <c r="NC355" s="100">
        <f t="shared" si="1958"/>
        <v>0</v>
      </c>
      <c r="ND355" s="100">
        <f t="shared" si="1958"/>
        <v>0</v>
      </c>
      <c r="NE355" s="728">
        <f t="shared" si="1958"/>
        <v>63393</v>
      </c>
      <c r="NF355" s="728">
        <f t="shared" si="1958"/>
        <v>1810106</v>
      </c>
      <c r="NG355" s="100">
        <f t="shared" si="1958"/>
        <v>0</v>
      </c>
      <c r="NH355" s="100">
        <f t="shared" si="1958"/>
        <v>0</v>
      </c>
      <c r="NI355" s="100">
        <f t="shared" si="1958"/>
        <v>6549465</v>
      </c>
      <c r="NJ355" s="100">
        <f t="shared" si="1958"/>
        <v>155403120</v>
      </c>
      <c r="NK355" s="100">
        <f t="shared" si="1958"/>
        <v>0</v>
      </c>
      <c r="NL355" s="100">
        <f t="shared" si="1958"/>
        <v>0</v>
      </c>
      <c r="NM355" s="100">
        <f t="shared" si="1958"/>
        <v>2175500</v>
      </c>
      <c r="NN355" s="100">
        <f t="shared" si="1958"/>
        <v>35173000</v>
      </c>
      <c r="NO355" s="100">
        <f t="shared" si="1958"/>
        <v>0</v>
      </c>
      <c r="NP355" s="100">
        <f t="shared" si="1958"/>
        <v>0</v>
      </c>
      <c r="NQ355" s="100">
        <f t="shared" si="1958"/>
        <v>23244</v>
      </c>
      <c r="NR355" s="100">
        <f t="shared" si="1958"/>
        <v>424792</v>
      </c>
      <c r="NS355" s="100">
        <f t="shared" si="1958"/>
        <v>0</v>
      </c>
      <c r="NT355" s="100">
        <f t="shared" si="1958"/>
        <v>0</v>
      </c>
      <c r="NU355" s="728">
        <f t="shared" si="1958"/>
        <v>8748209</v>
      </c>
      <c r="NV355" s="728">
        <f t="shared" si="1958"/>
        <v>191000912</v>
      </c>
      <c r="NW355" s="100">
        <f t="shared" si="1958"/>
        <v>7110</v>
      </c>
      <c r="NX355" s="100">
        <f t="shared" si="1958"/>
        <v>195600</v>
      </c>
      <c r="NY355" s="100">
        <f t="shared" si="1958"/>
        <v>715414</v>
      </c>
      <c r="NZ355" s="100">
        <f t="shared" si="1958"/>
        <v>28282993</v>
      </c>
      <c r="OA355" s="100">
        <f t="shared" si="1958"/>
        <v>0</v>
      </c>
      <c r="OB355" s="100">
        <f t="shared" si="1958"/>
        <v>0</v>
      </c>
      <c r="OC355" s="100">
        <f t="shared" si="1958"/>
        <v>62526</v>
      </c>
      <c r="OD355" s="100">
        <f t="shared" si="1958"/>
        <v>1210800</v>
      </c>
      <c r="OE355" s="100">
        <f t="shared" si="1958"/>
        <v>0</v>
      </c>
      <c r="OF355" s="100">
        <f t="shared" si="1958"/>
        <v>0</v>
      </c>
      <c r="OG355" s="100">
        <f t="shared" si="1958"/>
        <v>0</v>
      </c>
      <c r="OH355" s="100">
        <f t="shared" si="1958"/>
        <v>0</v>
      </c>
      <c r="OI355" s="100">
        <f t="shared" si="1958"/>
        <v>0</v>
      </c>
      <c r="OJ355" s="100">
        <f t="shared" si="1958"/>
        <v>0</v>
      </c>
      <c r="OK355" s="728">
        <f t="shared" si="1958"/>
        <v>785050</v>
      </c>
      <c r="OL355" s="728">
        <f t="shared" si="1958"/>
        <v>29689393</v>
      </c>
      <c r="OM355" s="100">
        <f t="shared" ref="OM355:QX355" si="1959">SUM(OM356:OM392)</f>
        <v>66755870</v>
      </c>
      <c r="ON355" s="100">
        <f t="shared" si="1959"/>
        <v>338966350</v>
      </c>
      <c r="OO355" s="100">
        <f t="shared" si="1959"/>
        <v>510399</v>
      </c>
      <c r="OP355" s="100">
        <f t="shared" si="1959"/>
        <v>31722097</v>
      </c>
      <c r="OQ355" s="100">
        <f t="shared" si="1959"/>
        <v>0</v>
      </c>
      <c r="OR355" s="100">
        <f t="shared" si="1959"/>
        <v>0</v>
      </c>
      <c r="OS355" s="100">
        <f t="shared" si="1959"/>
        <v>39675</v>
      </c>
      <c r="OT355" s="100">
        <f t="shared" si="1959"/>
        <v>870975</v>
      </c>
      <c r="OU355" s="100">
        <f t="shared" si="1959"/>
        <v>0</v>
      </c>
      <c r="OV355" s="100">
        <f t="shared" si="1959"/>
        <v>0</v>
      </c>
      <c r="OW355" s="100">
        <f t="shared" si="1959"/>
        <v>0</v>
      </c>
      <c r="OX355" s="100">
        <f t="shared" si="1959"/>
        <v>0</v>
      </c>
      <c r="OY355" s="100">
        <f t="shared" si="1959"/>
        <v>0</v>
      </c>
      <c r="OZ355" s="100">
        <f t="shared" si="1959"/>
        <v>0</v>
      </c>
      <c r="PA355" s="728">
        <f t="shared" si="1959"/>
        <v>67305944</v>
      </c>
      <c r="PB355" s="728">
        <f t="shared" si="1959"/>
        <v>371559422</v>
      </c>
      <c r="PC355" s="100">
        <f t="shared" si="1959"/>
        <v>68</v>
      </c>
      <c r="PD355" s="100">
        <f t="shared" si="1959"/>
        <v>3740</v>
      </c>
      <c r="PE355" s="100">
        <f t="shared" si="1959"/>
        <v>14972</v>
      </c>
      <c r="PF355" s="100">
        <f t="shared" si="1959"/>
        <v>973180</v>
      </c>
      <c r="PG355" s="100">
        <f t="shared" si="1959"/>
        <v>0</v>
      </c>
      <c r="PH355" s="100">
        <f t="shared" si="1959"/>
        <v>0</v>
      </c>
      <c r="PI355" s="100">
        <f t="shared" si="1959"/>
        <v>371816</v>
      </c>
      <c r="PJ355" s="100">
        <f t="shared" si="1959"/>
        <v>6693267</v>
      </c>
      <c r="PK355" s="100">
        <f t="shared" si="1959"/>
        <v>0</v>
      </c>
      <c r="PL355" s="100">
        <f t="shared" si="1959"/>
        <v>0</v>
      </c>
      <c r="PM355" s="100">
        <f t="shared" si="1959"/>
        <v>0</v>
      </c>
      <c r="PN355" s="100">
        <f t="shared" si="1959"/>
        <v>0</v>
      </c>
      <c r="PO355" s="100">
        <f t="shared" si="1959"/>
        <v>0</v>
      </c>
      <c r="PP355" s="100">
        <f t="shared" si="1959"/>
        <v>0</v>
      </c>
      <c r="PQ355" s="728">
        <f t="shared" si="1959"/>
        <v>386856</v>
      </c>
      <c r="PR355" s="728">
        <f t="shared" si="1959"/>
        <v>7670187</v>
      </c>
      <c r="PS355" s="100">
        <f t="shared" si="1959"/>
        <v>0</v>
      </c>
      <c r="PT355" s="100">
        <f t="shared" si="1959"/>
        <v>0</v>
      </c>
      <c r="PU355" s="100">
        <f t="shared" si="1959"/>
        <v>1790300</v>
      </c>
      <c r="PV355" s="100">
        <f t="shared" si="1959"/>
        <v>61075680</v>
      </c>
      <c r="PW355" s="100">
        <f t="shared" si="1959"/>
        <v>0</v>
      </c>
      <c r="PX355" s="100">
        <f t="shared" si="1959"/>
        <v>0</v>
      </c>
      <c r="PY355" s="100">
        <f t="shared" si="1959"/>
        <v>1342730</v>
      </c>
      <c r="PZ355" s="100">
        <f t="shared" si="1959"/>
        <v>24811640</v>
      </c>
      <c r="QA355" s="100">
        <f t="shared" si="1959"/>
        <v>895150</v>
      </c>
      <c r="QB355" s="100">
        <f t="shared" si="1959"/>
        <v>25627760</v>
      </c>
      <c r="QC355" s="100">
        <f t="shared" si="1959"/>
        <v>447580</v>
      </c>
      <c r="QD355" s="100">
        <f t="shared" si="1959"/>
        <v>7716940</v>
      </c>
      <c r="QE355" s="100">
        <f t="shared" si="1959"/>
        <v>0</v>
      </c>
      <c r="QF355" s="100">
        <f t="shared" si="1959"/>
        <v>0</v>
      </c>
      <c r="QG355" s="728">
        <f t="shared" si="1959"/>
        <v>4475760</v>
      </c>
      <c r="QH355" s="728">
        <f t="shared" si="1959"/>
        <v>119232020</v>
      </c>
      <c r="QI355" s="100">
        <f t="shared" si="1959"/>
        <v>0</v>
      </c>
      <c r="QJ355" s="100">
        <f t="shared" si="1959"/>
        <v>0</v>
      </c>
      <c r="QK355" s="100">
        <f t="shared" si="1959"/>
        <v>0</v>
      </c>
      <c r="QL355" s="100">
        <f t="shared" si="1959"/>
        <v>0</v>
      </c>
      <c r="QM355" s="100">
        <f t="shared" si="1959"/>
        <v>0</v>
      </c>
      <c r="QN355" s="100">
        <f t="shared" si="1959"/>
        <v>0</v>
      </c>
      <c r="QO355" s="100">
        <f t="shared" si="1959"/>
        <v>4334500</v>
      </c>
      <c r="QP355" s="100">
        <f t="shared" si="1959"/>
        <v>93316000</v>
      </c>
      <c r="QQ355" s="100">
        <f t="shared" si="1959"/>
        <v>0</v>
      </c>
      <c r="QR355" s="100">
        <f t="shared" si="1959"/>
        <v>0</v>
      </c>
      <c r="QS355" s="100">
        <f t="shared" si="1959"/>
        <v>0</v>
      </c>
      <c r="QT355" s="100">
        <f t="shared" si="1959"/>
        <v>0</v>
      </c>
      <c r="QU355" s="100">
        <f t="shared" si="1959"/>
        <v>0</v>
      </c>
      <c r="QV355" s="100">
        <f t="shared" si="1959"/>
        <v>0</v>
      </c>
      <c r="QW355" s="728">
        <f t="shared" si="1959"/>
        <v>4334500</v>
      </c>
      <c r="QX355" s="728">
        <f t="shared" si="1959"/>
        <v>93316000</v>
      </c>
      <c r="QY355" s="100">
        <f t="shared" ref="QY355:TJ355" si="1960">SUM(QY356:QY392)</f>
        <v>0</v>
      </c>
      <c r="QZ355" s="100">
        <f t="shared" si="1960"/>
        <v>0</v>
      </c>
      <c r="RA355" s="100">
        <f t="shared" si="1960"/>
        <v>0</v>
      </c>
      <c r="RB355" s="100">
        <f t="shared" si="1960"/>
        <v>0</v>
      </c>
      <c r="RC355" s="100">
        <f t="shared" si="1960"/>
        <v>0</v>
      </c>
      <c r="RD355" s="100">
        <f t="shared" si="1960"/>
        <v>0</v>
      </c>
      <c r="RE355" s="100">
        <f t="shared" si="1960"/>
        <v>5805</v>
      </c>
      <c r="RF355" s="100">
        <f t="shared" si="1960"/>
        <v>139525</v>
      </c>
      <c r="RG355" s="100">
        <f t="shared" si="1960"/>
        <v>0</v>
      </c>
      <c r="RH355" s="100">
        <f t="shared" si="1960"/>
        <v>0</v>
      </c>
      <c r="RI355" s="100">
        <f t="shared" si="1960"/>
        <v>0</v>
      </c>
      <c r="RJ355" s="100">
        <f t="shared" si="1960"/>
        <v>0</v>
      </c>
      <c r="RK355" s="100">
        <f t="shared" si="1960"/>
        <v>0</v>
      </c>
      <c r="RL355" s="100">
        <f t="shared" si="1960"/>
        <v>0</v>
      </c>
      <c r="RM355" s="728">
        <f t="shared" si="1960"/>
        <v>5805</v>
      </c>
      <c r="RN355" s="728">
        <f t="shared" si="1960"/>
        <v>139525</v>
      </c>
      <c r="RO355" s="100">
        <f t="shared" si="1960"/>
        <v>0</v>
      </c>
      <c r="RP355" s="100">
        <f t="shared" si="1960"/>
        <v>0</v>
      </c>
      <c r="RQ355" s="100">
        <f t="shared" si="1960"/>
        <v>0</v>
      </c>
      <c r="RR355" s="100">
        <f t="shared" si="1960"/>
        <v>0</v>
      </c>
      <c r="RS355" s="100">
        <f t="shared" si="1960"/>
        <v>0</v>
      </c>
      <c r="RT355" s="100">
        <f t="shared" si="1960"/>
        <v>0</v>
      </c>
      <c r="RU355" s="100">
        <f t="shared" si="1960"/>
        <v>17320</v>
      </c>
      <c r="RV355" s="100">
        <f t="shared" si="1960"/>
        <v>351230</v>
      </c>
      <c r="RW355" s="100">
        <f t="shared" si="1960"/>
        <v>0</v>
      </c>
      <c r="RX355" s="100">
        <f t="shared" si="1960"/>
        <v>0</v>
      </c>
      <c r="RY355" s="100">
        <f t="shared" si="1960"/>
        <v>0</v>
      </c>
      <c r="RZ355" s="100">
        <f t="shared" si="1960"/>
        <v>0</v>
      </c>
      <c r="SA355" s="100">
        <f t="shared" si="1960"/>
        <v>0</v>
      </c>
      <c r="SB355" s="100">
        <f t="shared" si="1960"/>
        <v>0</v>
      </c>
      <c r="SC355" s="728">
        <f t="shared" si="1960"/>
        <v>17320</v>
      </c>
      <c r="SD355" s="728">
        <f t="shared" si="1960"/>
        <v>351230</v>
      </c>
      <c r="SE355" s="100">
        <f t="shared" si="1960"/>
        <v>0</v>
      </c>
      <c r="SF355" s="100">
        <f t="shared" si="1960"/>
        <v>0</v>
      </c>
      <c r="SG355" s="100">
        <f t="shared" si="1960"/>
        <v>0</v>
      </c>
      <c r="SH355" s="100">
        <f t="shared" si="1960"/>
        <v>0</v>
      </c>
      <c r="SI355" s="100">
        <f t="shared" si="1960"/>
        <v>0</v>
      </c>
      <c r="SJ355" s="100">
        <f t="shared" si="1960"/>
        <v>0</v>
      </c>
      <c r="SK355" s="100">
        <f t="shared" si="1960"/>
        <v>16100</v>
      </c>
      <c r="SL355" s="100">
        <f t="shared" si="1960"/>
        <v>297850</v>
      </c>
      <c r="SM355" s="100">
        <f t="shared" si="1960"/>
        <v>0</v>
      </c>
      <c r="SN355" s="100">
        <f t="shared" si="1960"/>
        <v>0</v>
      </c>
      <c r="SO355" s="100">
        <f t="shared" si="1960"/>
        <v>0</v>
      </c>
      <c r="SP355" s="100">
        <f t="shared" si="1960"/>
        <v>0</v>
      </c>
      <c r="SQ355" s="100">
        <f t="shared" si="1960"/>
        <v>0</v>
      </c>
      <c r="SR355" s="100">
        <f t="shared" si="1960"/>
        <v>0</v>
      </c>
      <c r="SS355" s="728">
        <f t="shared" si="1960"/>
        <v>16100</v>
      </c>
      <c r="ST355" s="728">
        <f t="shared" si="1960"/>
        <v>297850</v>
      </c>
      <c r="SU355" s="100">
        <f t="shared" si="1960"/>
        <v>0</v>
      </c>
      <c r="SV355" s="100">
        <f t="shared" si="1960"/>
        <v>0</v>
      </c>
      <c r="SW355" s="100">
        <f t="shared" si="1960"/>
        <v>0</v>
      </c>
      <c r="SX355" s="100">
        <f t="shared" si="1960"/>
        <v>0</v>
      </c>
      <c r="SY355" s="100">
        <f t="shared" si="1960"/>
        <v>0</v>
      </c>
      <c r="SZ355" s="100">
        <f t="shared" si="1960"/>
        <v>0</v>
      </c>
      <c r="TA355" s="100">
        <f t="shared" si="1960"/>
        <v>18805</v>
      </c>
      <c r="TB355" s="100">
        <f t="shared" si="1960"/>
        <v>394932</v>
      </c>
      <c r="TC355" s="100">
        <f t="shared" si="1960"/>
        <v>0</v>
      </c>
      <c r="TD355" s="100">
        <f t="shared" si="1960"/>
        <v>0</v>
      </c>
      <c r="TE355" s="100">
        <f t="shared" si="1960"/>
        <v>0</v>
      </c>
      <c r="TF355" s="100">
        <f t="shared" si="1960"/>
        <v>0</v>
      </c>
      <c r="TG355" s="100">
        <f t="shared" si="1960"/>
        <v>0</v>
      </c>
      <c r="TH355" s="100">
        <f t="shared" si="1960"/>
        <v>0</v>
      </c>
      <c r="TI355" s="728">
        <f t="shared" si="1960"/>
        <v>18805</v>
      </c>
      <c r="TJ355" s="728">
        <f t="shared" si="1960"/>
        <v>394932</v>
      </c>
      <c r="TK355" s="100">
        <f t="shared" ref="TK355:VV355" si="1961">SUM(TK356:TK392)</f>
        <v>0</v>
      </c>
      <c r="TL355" s="100">
        <f t="shared" si="1961"/>
        <v>0</v>
      </c>
      <c r="TM355" s="100">
        <f t="shared" si="1961"/>
        <v>0</v>
      </c>
      <c r="TN355" s="100">
        <f t="shared" si="1961"/>
        <v>0</v>
      </c>
      <c r="TO355" s="100">
        <f t="shared" si="1961"/>
        <v>0</v>
      </c>
      <c r="TP355" s="100">
        <f t="shared" si="1961"/>
        <v>0</v>
      </c>
      <c r="TQ355" s="100">
        <f t="shared" si="1961"/>
        <v>6800</v>
      </c>
      <c r="TR355" s="100">
        <f t="shared" si="1961"/>
        <v>140000</v>
      </c>
      <c r="TS355" s="100">
        <f t="shared" si="1961"/>
        <v>0</v>
      </c>
      <c r="TT355" s="100">
        <f t="shared" si="1961"/>
        <v>0</v>
      </c>
      <c r="TU355" s="100">
        <f t="shared" si="1961"/>
        <v>1500</v>
      </c>
      <c r="TV355" s="100">
        <f t="shared" si="1961"/>
        <v>47500</v>
      </c>
      <c r="TW355" s="100">
        <f t="shared" si="1961"/>
        <v>0</v>
      </c>
      <c r="TX355" s="100">
        <f t="shared" si="1961"/>
        <v>0</v>
      </c>
      <c r="TY355" s="728">
        <f t="shared" si="1961"/>
        <v>8300</v>
      </c>
      <c r="TZ355" s="728">
        <f t="shared" si="1961"/>
        <v>187500</v>
      </c>
      <c r="UA355" s="100">
        <f t="shared" si="1961"/>
        <v>0</v>
      </c>
      <c r="UB355" s="100">
        <f t="shared" si="1961"/>
        <v>0</v>
      </c>
      <c r="UC355" s="100">
        <f t="shared" si="1961"/>
        <v>0</v>
      </c>
      <c r="UD355" s="100">
        <f t="shared" si="1961"/>
        <v>0</v>
      </c>
      <c r="UE355" s="100">
        <f t="shared" si="1961"/>
        <v>0</v>
      </c>
      <c r="UF355" s="100">
        <f t="shared" si="1961"/>
        <v>0</v>
      </c>
      <c r="UG355" s="100">
        <f t="shared" si="1961"/>
        <v>19150</v>
      </c>
      <c r="UH355" s="100">
        <f t="shared" si="1961"/>
        <v>350820</v>
      </c>
      <c r="UI355" s="100">
        <f t="shared" si="1961"/>
        <v>0</v>
      </c>
      <c r="UJ355" s="100">
        <f t="shared" si="1961"/>
        <v>0</v>
      </c>
      <c r="UK355" s="100">
        <f t="shared" si="1961"/>
        <v>0</v>
      </c>
      <c r="UL355" s="100">
        <f t="shared" si="1961"/>
        <v>0</v>
      </c>
      <c r="UM355" s="100">
        <f t="shared" si="1961"/>
        <v>0</v>
      </c>
      <c r="UN355" s="100">
        <f t="shared" si="1961"/>
        <v>0</v>
      </c>
      <c r="UO355" s="728">
        <f t="shared" si="1961"/>
        <v>19150</v>
      </c>
      <c r="UP355" s="728">
        <f t="shared" si="1961"/>
        <v>350820</v>
      </c>
      <c r="UQ355" s="100">
        <f t="shared" si="1961"/>
        <v>0</v>
      </c>
      <c r="UR355" s="100">
        <f t="shared" si="1961"/>
        <v>0</v>
      </c>
      <c r="US355" s="100">
        <f t="shared" si="1961"/>
        <v>243050</v>
      </c>
      <c r="UT355" s="100">
        <f t="shared" si="1961"/>
        <v>2237980</v>
      </c>
      <c r="UU355" s="100">
        <f t="shared" si="1961"/>
        <v>0</v>
      </c>
      <c r="UV355" s="100">
        <f t="shared" si="1961"/>
        <v>0</v>
      </c>
      <c r="UW355" s="100">
        <f t="shared" si="1961"/>
        <v>2218</v>
      </c>
      <c r="UX355" s="100">
        <f t="shared" si="1961"/>
        <v>42142</v>
      </c>
      <c r="UY355" s="100">
        <f t="shared" si="1961"/>
        <v>0</v>
      </c>
      <c r="UZ355" s="100">
        <f t="shared" si="1961"/>
        <v>0</v>
      </c>
      <c r="VA355" s="100">
        <f t="shared" si="1961"/>
        <v>0</v>
      </c>
      <c r="VB355" s="100">
        <f t="shared" si="1961"/>
        <v>0</v>
      </c>
      <c r="VC355" s="100">
        <f t="shared" si="1961"/>
        <v>0</v>
      </c>
      <c r="VD355" s="100">
        <f t="shared" si="1961"/>
        <v>0</v>
      </c>
      <c r="VE355" s="728">
        <f t="shared" si="1961"/>
        <v>245268</v>
      </c>
      <c r="VF355" s="728">
        <f t="shared" si="1961"/>
        <v>2280122</v>
      </c>
      <c r="VG355" s="100">
        <f t="shared" si="1961"/>
        <v>0</v>
      </c>
      <c r="VH355" s="100">
        <f t="shared" si="1961"/>
        <v>0</v>
      </c>
      <c r="VI355" s="100">
        <f t="shared" si="1961"/>
        <v>2264</v>
      </c>
      <c r="VJ355" s="100">
        <f t="shared" si="1961"/>
        <v>98046</v>
      </c>
      <c r="VK355" s="100">
        <f t="shared" si="1961"/>
        <v>0</v>
      </c>
      <c r="VL355" s="100">
        <f t="shared" si="1961"/>
        <v>0</v>
      </c>
      <c r="VM355" s="100">
        <f t="shared" si="1961"/>
        <v>11888</v>
      </c>
      <c r="VN355" s="100">
        <f t="shared" si="1961"/>
        <v>236196</v>
      </c>
      <c r="VO355" s="100">
        <f t="shared" si="1961"/>
        <v>0</v>
      </c>
      <c r="VP355" s="100">
        <f t="shared" si="1961"/>
        <v>0</v>
      </c>
      <c r="VQ355" s="100">
        <f t="shared" si="1961"/>
        <v>0</v>
      </c>
      <c r="VR355" s="100">
        <f t="shared" si="1961"/>
        <v>0</v>
      </c>
      <c r="VS355" s="100">
        <f t="shared" si="1961"/>
        <v>0</v>
      </c>
      <c r="VT355" s="100">
        <f t="shared" si="1961"/>
        <v>0</v>
      </c>
      <c r="VU355" s="728">
        <f t="shared" si="1961"/>
        <v>14152</v>
      </c>
      <c r="VV355" s="728">
        <f t="shared" si="1961"/>
        <v>334242</v>
      </c>
      <c r="VW355" s="100">
        <f t="shared" ref="VW355:WL355" si="1962">SUM(VW356:VW392)</f>
        <v>0</v>
      </c>
      <c r="VX355" s="100">
        <f t="shared" si="1962"/>
        <v>0</v>
      </c>
      <c r="VY355" s="100">
        <f t="shared" si="1962"/>
        <v>434510</v>
      </c>
      <c r="VZ355" s="100">
        <f t="shared" si="1962"/>
        <v>14635460</v>
      </c>
      <c r="WA355" s="100">
        <f t="shared" si="1962"/>
        <v>0</v>
      </c>
      <c r="WB355" s="100">
        <f t="shared" si="1962"/>
        <v>0</v>
      </c>
      <c r="WC355" s="100">
        <f t="shared" si="1962"/>
        <v>362030</v>
      </c>
      <c r="WD355" s="100">
        <f t="shared" si="1962"/>
        <v>9007250</v>
      </c>
      <c r="WE355" s="100">
        <f t="shared" si="1962"/>
        <v>0</v>
      </c>
      <c r="WF355" s="100">
        <f t="shared" si="1962"/>
        <v>0</v>
      </c>
      <c r="WG355" s="100">
        <f t="shared" si="1962"/>
        <v>0</v>
      </c>
      <c r="WH355" s="100">
        <f t="shared" si="1962"/>
        <v>0</v>
      </c>
      <c r="WI355" s="100">
        <f t="shared" si="1962"/>
        <v>4240</v>
      </c>
      <c r="WJ355" s="100">
        <f t="shared" si="1962"/>
        <v>69040</v>
      </c>
      <c r="WK355" s="728">
        <f t="shared" si="1962"/>
        <v>800780</v>
      </c>
      <c r="WL355" s="728">
        <f t="shared" si="1962"/>
        <v>23711750</v>
      </c>
      <c r="WM355" s="89"/>
      <c r="WN355" s="96">
        <f t="shared" ref="WN355:XC355" si="1963">SUM(WN356:WN392)</f>
        <v>69955921.622135684</v>
      </c>
      <c r="WO355" s="96">
        <f t="shared" si="1963"/>
        <v>355528965.86640704</v>
      </c>
      <c r="WP355" s="96">
        <f t="shared" si="1963"/>
        <v>22767893.175032474</v>
      </c>
      <c r="WQ355" s="96">
        <f t="shared" si="1963"/>
        <v>730282673.051</v>
      </c>
      <c r="WR355" s="96">
        <f t="shared" si="1963"/>
        <v>0</v>
      </c>
      <c r="WS355" s="96">
        <f t="shared" si="1963"/>
        <v>0</v>
      </c>
      <c r="WT355" s="96">
        <f t="shared" si="1963"/>
        <v>25404642.18082929</v>
      </c>
      <c r="WU355" s="96">
        <f t="shared" si="1963"/>
        <v>494919657.43818629</v>
      </c>
      <c r="WV355" s="96">
        <f t="shared" si="1963"/>
        <v>902086</v>
      </c>
      <c r="WW355" s="96">
        <f t="shared" si="1963"/>
        <v>25811355</v>
      </c>
      <c r="WX355" s="96">
        <f t="shared" si="1963"/>
        <v>479421</v>
      </c>
      <c r="WY355" s="96">
        <f t="shared" si="1963"/>
        <v>8361088</v>
      </c>
      <c r="WZ355" s="96">
        <f t="shared" si="1963"/>
        <v>256445.84</v>
      </c>
      <c r="XA355" s="96">
        <f t="shared" si="1963"/>
        <v>6223475</v>
      </c>
      <c r="XB355" s="96">
        <f t="shared" si="1963"/>
        <v>119766409.81799743</v>
      </c>
      <c r="XC355" s="96">
        <f t="shared" si="1963"/>
        <v>1621127214.3555934</v>
      </c>
      <c r="XD355" s="89"/>
      <c r="XE355" s="94"/>
      <c r="XF355" s="94"/>
      <c r="XG355" s="89"/>
      <c r="XH355" s="96"/>
      <c r="XI355" s="96"/>
      <c r="XJ355" s="89"/>
      <c r="XK355" s="96"/>
      <c r="XL355" s="96"/>
      <c r="XM355" s="96"/>
      <c r="XN355" s="96"/>
      <c r="XO355" s="96"/>
      <c r="XP355" s="96"/>
      <c r="XQ355" s="96"/>
      <c r="XR355" s="96">
        <f t="shared" ref="XR355" ca="1" si="1964">SUM(XR356:XR392)</f>
        <v>0</v>
      </c>
      <c r="XS355" s="89"/>
      <c r="XT355" s="96"/>
      <c r="XU355" s="96"/>
      <c r="XV355" s="96"/>
      <c r="XW355" s="96"/>
      <c r="XX355" s="96"/>
      <c r="XY355" s="96"/>
      <c r="XZ355" s="96"/>
      <c r="YA355" s="96">
        <f t="shared" ref="YA355" ca="1" si="1965">SUM(YA356:YA392)</f>
        <v>0</v>
      </c>
    </row>
    <row r="356" spans="1:1017">
      <c r="A356" s="98" t="s">
        <v>54</v>
      </c>
      <c r="B356" s="90" t="str">
        <f t="shared" ref="B356:B382" si="1966">B318</f>
        <v xml:space="preserve">Bandeng </v>
      </c>
      <c r="E356" s="98">
        <v>503400</v>
      </c>
      <c r="F356" s="98">
        <v>15102000</v>
      </c>
      <c r="I356" s="98">
        <v>23600</v>
      </c>
      <c r="J356" s="98">
        <v>590000</v>
      </c>
      <c r="Q356" s="91">
        <f t="shared" ref="Q356:Q392" si="1967">SUMIF($C$12:$P$12,$A$1,C356:P356)</f>
        <v>527000</v>
      </c>
      <c r="R356" s="91">
        <f t="shared" ref="R356:R392" si="1968">SUMIF($C$12:$P$12,$A$3,C356:P356)</f>
        <v>15692000</v>
      </c>
      <c r="U356" s="98">
        <v>3600</v>
      </c>
      <c r="V356" s="98">
        <v>72000</v>
      </c>
      <c r="AG356" s="91">
        <f t="shared" ref="AG356:AG392" si="1969">SUMIF($C$12:$P$12,$A$1,S356:AF356)</f>
        <v>3600</v>
      </c>
      <c r="AH356" s="91">
        <f t="shared" ref="AH356:AH392" si="1970">SUMIF($C$12:$P$12,$A$3,S356:AF356)</f>
        <v>72000</v>
      </c>
      <c r="AW356" s="91">
        <f t="shared" ref="AW356:AW392" si="1971">SUMIF($C$12:$P$12,$A$1,AI356:AV356)</f>
        <v>0</v>
      </c>
      <c r="AX356" s="91">
        <f t="shared" ref="AX356:AX392" si="1972">SUMIF($C$12:$P$12,$A$3,AI356:AV356)</f>
        <v>0</v>
      </c>
      <c r="BE356" s="98">
        <v>4015</v>
      </c>
      <c r="BF356" s="98">
        <v>68255</v>
      </c>
      <c r="BM356" s="91">
        <f t="shared" ref="BM356:BM392" si="1973">SUMIF($C$12:$P$12,$A$1,AY356:BL356)</f>
        <v>4015</v>
      </c>
      <c r="BN356" s="91">
        <f t="shared" ref="BN356:BN392" si="1974">SUMIF($C$12:$P$12,$A$3,AY356:BL356)</f>
        <v>68255</v>
      </c>
      <c r="CC356" s="91">
        <f t="shared" ref="CC356:CC392" si="1975">SUMIF($C$12:$P$12,$A$1,BO356:CB356)</f>
        <v>0</v>
      </c>
      <c r="CD356" s="91">
        <f t="shared" ref="CD356:CD392" si="1976">SUMIF($C$12:$P$12,$A$3,BO356:CB356)</f>
        <v>0</v>
      </c>
      <c r="CG356" s="98">
        <v>3652775.8986699409</v>
      </c>
      <c r="CH356" s="98">
        <v>84013870.995000005</v>
      </c>
      <c r="CK356" s="98">
        <v>2803780.1505616154</v>
      </c>
      <c r="CL356" s="98">
        <v>64486941.336000003</v>
      </c>
      <c r="CS356" s="91">
        <f t="shared" ref="CS356:CS392" si="1977">SUMIF($C$12:$P$12,$A$1,CE356:CR356)</f>
        <v>6456556.0492315562</v>
      </c>
      <c r="CT356" s="91">
        <f t="shared" ref="CT356:CT392" si="1978">SUMIF($C$12:$P$12,$A$3,CE356:CR356)</f>
        <v>148500812.331</v>
      </c>
      <c r="CW356" s="98">
        <v>4592.0000003684399</v>
      </c>
      <c r="CX356" s="98">
        <v>82656.001999999993</v>
      </c>
      <c r="DI356" s="91">
        <f t="shared" ref="DI356:DI392" si="1979">SUMIF($C$12:$P$12,$A$1,CU356:DH356)</f>
        <v>4592.0000003684399</v>
      </c>
      <c r="DJ356" s="91">
        <f t="shared" ref="DJ356:DJ392" si="1980">SUMIF($C$12:$P$12,$A$3,CU356:DH356)</f>
        <v>82656.001999999993</v>
      </c>
      <c r="DY356" s="91">
        <f t="shared" ref="DY356:DY392" si="1981">SUMIF($C$12:$P$12,$A$1,DK356:DX356)</f>
        <v>0</v>
      </c>
      <c r="DZ356" s="91">
        <f t="shared" ref="DZ356:DZ392" si="1982">SUMIF($C$12:$P$12,$A$3,DK356:DX356)</f>
        <v>0</v>
      </c>
      <c r="EO356" s="91">
        <f t="shared" ref="EO356:EO392" si="1983">SUMIF($C$12:$P$12,$A$1,EA356:EN356)</f>
        <v>0</v>
      </c>
      <c r="EP356" s="91">
        <f t="shared" ref="EP356:EP392" si="1984">SUMIF($C$12:$P$12,$A$3,EA356:EN356)</f>
        <v>0</v>
      </c>
      <c r="ES356" s="98">
        <v>36305</v>
      </c>
      <c r="ET356" s="98">
        <v>907625</v>
      </c>
      <c r="EW356" s="98">
        <v>22210</v>
      </c>
      <c r="EX356" s="98">
        <v>555250</v>
      </c>
      <c r="FE356" s="91">
        <f t="shared" ref="FE356:FE392" si="1985">SUMIF($C$12:$P$12,$A$1,EQ356:FD356)</f>
        <v>58515</v>
      </c>
      <c r="FF356" s="91">
        <f t="shared" ref="FF356:FF392" si="1986">SUMIF($C$12:$P$12,$A$3,EQ356:FD356)</f>
        <v>1462875</v>
      </c>
      <c r="FU356" s="91">
        <f t="shared" ref="FU356:FU392" si="1987">SUMIF($C$12:$P$12,$A$1,FG356:FT356)</f>
        <v>0</v>
      </c>
      <c r="FV356" s="91">
        <f t="shared" ref="FV356:FV392" si="1988">SUMIF($C$12:$P$12,$A$3,FG356:FT356)</f>
        <v>0</v>
      </c>
      <c r="GK356" s="91">
        <f t="shared" ref="GK356:GK392" si="1989">SUMIF($C$12:$P$12,$A$1,FW356:GJ356)</f>
        <v>0</v>
      </c>
      <c r="GL356" s="91">
        <f t="shared" ref="GL356:GL392" si="1990">SUMIF($C$12:$P$12,$A$3,FW356:GJ356)</f>
        <v>0</v>
      </c>
      <c r="HA356" s="91">
        <f t="shared" ref="HA356:HA392" si="1991">SUMIF($C$12:$P$12,$A$1,GM356:GZ356)</f>
        <v>0</v>
      </c>
      <c r="HB356" s="91">
        <f t="shared" ref="HB356:HB392" si="1992">SUMIF($C$12:$P$12,$A$3,GM356:GZ356)</f>
        <v>0</v>
      </c>
      <c r="HQ356" s="91">
        <f t="shared" ref="HQ356:HQ392" si="1993">SUMIF($C$12:$P$12,$A$1,HC356:HP356)</f>
        <v>0</v>
      </c>
      <c r="HR356" s="91">
        <f t="shared" ref="HR356:HR392" si="1994">SUMIF($C$12:$P$12,$A$3,HC356:HP356)</f>
        <v>0</v>
      </c>
      <c r="IG356" s="91">
        <f t="shared" ref="IG356:IG392" si="1995">SUMIF($C$12:$P$12,$A$1,HS356:IF356)</f>
        <v>0</v>
      </c>
      <c r="IH356" s="91">
        <f t="shared" ref="IH356:IH392" si="1996">SUMIF($C$12:$P$12,$A$3,HS356:IF356)</f>
        <v>0</v>
      </c>
      <c r="IW356" s="91">
        <f t="shared" ref="IW356:IW392" si="1997">SUMIF($C$12:$P$12,$A$1,II356:IV356)</f>
        <v>0</v>
      </c>
      <c r="IX356" s="91">
        <f t="shared" ref="IX356:IX392" si="1998">SUMIF($C$12:$P$12,$A$3,II356:IV356)</f>
        <v>0</v>
      </c>
      <c r="JM356" s="91">
        <f t="shared" ref="JM356:JM392" si="1999">SUMIF($C$12:$P$12,$A$1,IY356:JL356)</f>
        <v>0</v>
      </c>
      <c r="JN356" s="91">
        <f t="shared" ref="JN356:JN392" si="2000">SUMIF($C$12:$P$12,$A$3,IY356:JL356)</f>
        <v>0</v>
      </c>
      <c r="KC356" s="91">
        <f t="shared" ref="KC356:KC392" si="2001">SUMIF($C$12:$P$12,$A$1,JO356:KB356)</f>
        <v>0</v>
      </c>
      <c r="KD356" s="91">
        <f t="shared" ref="KD356:KD392" si="2002">SUMIF($C$12:$P$12,$A$3,JO356:KB356)</f>
        <v>0</v>
      </c>
      <c r="KG356" s="98">
        <v>280</v>
      </c>
      <c r="KH356" s="98">
        <v>8400</v>
      </c>
      <c r="KS356" s="91">
        <f t="shared" ref="KS356:KS392" si="2003">SUMIF($C$12:$P$12,$A$1,KE356:KR356)</f>
        <v>280</v>
      </c>
      <c r="KT356" s="91">
        <f t="shared" ref="KT356:KT392" si="2004">SUMIF($C$12:$P$12,$A$3,KE356:KR356)</f>
        <v>8400</v>
      </c>
      <c r="KW356" s="98">
        <v>249630.41</v>
      </c>
      <c r="KX356" s="98">
        <v>4243717</v>
      </c>
      <c r="LI356" s="91">
        <f t="shared" ref="LI356:LI392" si="2005">SUMIF($C$12:$P$12,$A$1,KU356:LH356)</f>
        <v>249630.41</v>
      </c>
      <c r="LJ356" s="91">
        <f t="shared" ref="LJ356:LJ392" si="2006">SUMIF($C$12:$P$12,$A$3,KU356:LH356)</f>
        <v>4243717</v>
      </c>
      <c r="LY356" s="91">
        <f t="shared" ref="LY356:LY392" si="2007">SUMIF($C$12:$P$12,$A$1,LK356:LX356)</f>
        <v>0</v>
      </c>
      <c r="LZ356" s="91">
        <f t="shared" ref="LZ356:LZ392" si="2008">SUMIF($C$12:$P$12,$A$3,LK356:LX356)</f>
        <v>0</v>
      </c>
      <c r="MC356" s="98">
        <v>6890</v>
      </c>
      <c r="MD356" s="98">
        <v>103350</v>
      </c>
      <c r="MO356" s="91">
        <f t="shared" ref="MO356:MO392" si="2009">SUMIF($C$12:$P$12,$A$1,MA356:MN356)</f>
        <v>6890</v>
      </c>
      <c r="MP356" s="91">
        <f t="shared" ref="MP356:MP392" si="2010">SUMIF($C$12:$P$12,$A$3,MA356:MN356)</f>
        <v>103350</v>
      </c>
      <c r="MS356" s="98">
        <v>35750</v>
      </c>
      <c r="MT356" s="98">
        <v>1001000</v>
      </c>
      <c r="NE356" s="91">
        <f t="shared" ref="NE356:NE392" si="2011">SUMIF($C$12:$P$12,$A$1,MQ356:ND356)</f>
        <v>35750</v>
      </c>
      <c r="NF356" s="91">
        <f t="shared" ref="NF356:NF392" si="2012">SUMIF($C$12:$P$12,$A$3,MQ356:ND356)</f>
        <v>1001000</v>
      </c>
      <c r="NI356" s="98">
        <v>2537300</v>
      </c>
      <c r="NJ356" s="98">
        <v>55820600</v>
      </c>
      <c r="NU356" s="91">
        <f t="shared" ref="NU356:NU392" si="2013">SUMIF($C$12:$P$12,$A$1,NG356:NT356)</f>
        <v>2537300</v>
      </c>
      <c r="NV356" s="91">
        <f t="shared" ref="NV356:NV392" si="2014">SUMIF($C$12:$P$12,$A$3,NG356:NT356)</f>
        <v>55820600</v>
      </c>
      <c r="NW356" s="98">
        <v>110</v>
      </c>
      <c r="NX356" s="98">
        <v>7700</v>
      </c>
      <c r="NY356" s="98">
        <v>180</v>
      </c>
      <c r="NZ356" s="98">
        <v>3240</v>
      </c>
      <c r="OK356" s="91">
        <f t="shared" ref="OK356:OK392" si="2015">SUMIF($C$12:$P$12,$A$1,NW356:OJ356)</f>
        <v>290</v>
      </c>
      <c r="OL356" s="91">
        <f t="shared" ref="OL356:OL392" si="2016">SUMIF($C$12:$P$12,$A$3,NW356:OJ356)</f>
        <v>10940</v>
      </c>
      <c r="OO356" s="98">
        <v>9580</v>
      </c>
      <c r="OP356" s="98">
        <v>287400</v>
      </c>
      <c r="PA356" s="91">
        <f t="shared" ref="PA356:PA392" si="2017">SUMIF($C$12:$P$12,$A$1,OM356:OZ356)</f>
        <v>9580</v>
      </c>
      <c r="PB356" s="91">
        <f t="shared" ref="PB356:PB392" si="2018">SUMIF($C$12:$P$12,$A$3,OM356:OZ356)</f>
        <v>287400</v>
      </c>
      <c r="PQ356" s="91">
        <f t="shared" ref="PQ356:PQ392" si="2019">SUMIF($C$12:$P$12,$A$1,PC356:PP356)</f>
        <v>0</v>
      </c>
      <c r="PR356" s="91">
        <f t="shared" ref="PR356:PR392" si="2020">SUMIF($C$12:$P$12,$A$3,PC356:PP356)</f>
        <v>0</v>
      </c>
      <c r="PU356" s="98">
        <v>781400</v>
      </c>
      <c r="PV356" s="98">
        <v>14065200</v>
      </c>
      <c r="QA356" s="98">
        <v>319030</v>
      </c>
      <c r="QB356" s="98">
        <v>5742540</v>
      </c>
      <c r="QG356" s="91">
        <f t="shared" ref="QG356:QG392" si="2021">SUMIF($C$12:$P$12,$A$1,PS356:QF356)</f>
        <v>1100430</v>
      </c>
      <c r="QH356" s="91">
        <f t="shared" ref="QH356:QH392" si="2022">SUMIF($C$12:$P$12,$A$3,PS356:QF356)</f>
        <v>19807740</v>
      </c>
      <c r="QW356" s="91">
        <f t="shared" ref="QW356:QW392" si="2023">SUMIF($C$12:$P$12,$A$1,QI356:QV356)</f>
        <v>0</v>
      </c>
      <c r="QX356" s="91">
        <f t="shared" ref="QX356:QX392" si="2024">SUMIF($C$12:$P$12,$A$3,QI356:QV356)</f>
        <v>0</v>
      </c>
      <c r="RM356" s="91">
        <f t="shared" ref="RM356:RM392" si="2025">SUMIF($C$12:$P$12,$A$1,QY356:RL356)</f>
        <v>0</v>
      </c>
      <c r="RN356" s="91">
        <f t="shared" ref="RN356:RN392" si="2026">SUMIF($C$12:$P$12,$A$3,QY356:RL356)</f>
        <v>0</v>
      </c>
      <c r="SC356" s="91">
        <f t="shared" ref="SC356:SC392" si="2027">SUMIF($C$12:$P$12,$A$1,RO356:SB356)</f>
        <v>0</v>
      </c>
      <c r="SD356" s="91">
        <f t="shared" ref="SD356:SD392" si="2028">SUMIF($C$12:$P$12,$A$3,RO356:SB356)</f>
        <v>0</v>
      </c>
      <c r="SS356" s="91">
        <f t="shared" ref="SS356:SS392" si="2029">SUMIF($C$12:$P$12,$A$1,SE356:SR356)</f>
        <v>0</v>
      </c>
      <c r="ST356" s="91">
        <f t="shared" ref="ST356:ST392" si="2030">SUMIF($C$12:$P$12,$A$3,SE356:SR356)</f>
        <v>0</v>
      </c>
      <c r="TI356" s="91">
        <f t="shared" ref="TI356:TI392" si="2031">SUMIF($C$12:$P$12,$A$1,SU356:TH356)</f>
        <v>0</v>
      </c>
      <c r="TJ356" s="91">
        <f t="shared" ref="TJ356:TJ392" si="2032">SUMIF($C$12:$P$12,$A$3,SU356:TH356)</f>
        <v>0</v>
      </c>
      <c r="TY356" s="91">
        <f t="shared" ref="TY356:TY392" si="2033">SUMIF($C$12:$P$12,$A$1,TK356:TX356)</f>
        <v>0</v>
      </c>
      <c r="TZ356" s="91">
        <f t="shared" ref="TZ356:TZ392" si="2034">SUMIF($C$12:$P$12,$A$3,TK356:TX356)</f>
        <v>0</v>
      </c>
      <c r="UO356" s="91">
        <f t="shared" ref="UO356:UO392" si="2035">SUMIF($C$12:$P$12,$A$1,UA356:UN356)</f>
        <v>0</v>
      </c>
      <c r="UP356" s="91">
        <f t="shared" ref="UP356:UP390" si="2036">SUMIF($C$12:$P$12,$A$3,UA356:UN356)</f>
        <v>0</v>
      </c>
      <c r="US356" s="98">
        <v>111820</v>
      </c>
      <c r="UT356" s="98">
        <v>2124580</v>
      </c>
      <c r="VE356" s="91">
        <f t="shared" ref="VE356:VE392" si="2037">SUMIF($C$12:$P$12,$A$1,UQ356:VD356)</f>
        <v>111820</v>
      </c>
      <c r="VF356" s="91">
        <f t="shared" ref="VF356:VF392" si="2038">SUMIF($C$12:$P$12,$A$3,UQ356:VD356)</f>
        <v>2124580</v>
      </c>
      <c r="VI356" s="98">
        <v>350</v>
      </c>
      <c r="VJ356" s="98">
        <v>5600</v>
      </c>
      <c r="VU356" s="91">
        <f t="shared" ref="VU356:VU392" si="2039">SUMIF($C$12:$P$12,$A$1,VG356:VT356)</f>
        <v>350</v>
      </c>
      <c r="VV356" s="91">
        <f t="shared" ref="VV356:VV392" si="2040">SUMIF($C$12:$P$12,$A$3,VG356:VT356)</f>
        <v>5600</v>
      </c>
      <c r="VY356" s="98">
        <v>377250</v>
      </c>
      <c r="VZ356" s="98">
        <v>12449250</v>
      </c>
      <c r="WC356" s="98">
        <v>50400</v>
      </c>
      <c r="WD356" s="98">
        <v>1512000</v>
      </c>
      <c r="WK356" s="91">
        <f t="shared" ref="WK356:WK392" si="2041">SUMIF($C$12:$P$12,$A$1,VW356:WJ356)</f>
        <v>427650</v>
      </c>
      <c r="WL356" s="91">
        <f t="shared" ref="WL356:WL392" si="2042">SUMIF($C$12:$P$12,$A$3,VW356:WJ356)</f>
        <v>13961250</v>
      </c>
      <c r="WM356" s="89"/>
      <c r="WN356" s="87">
        <f t="shared" ref="WN356:WN383" si="2043">SUMIF($C$5:$WL$5,$WN$5,C356:WL356)</f>
        <v>110</v>
      </c>
      <c r="WO356" s="87">
        <f t="shared" ref="WO356:WO383" si="2044">SUMIF($C$5:$WL$5,$WO$5,C356:WL356)</f>
        <v>7700</v>
      </c>
      <c r="WP356" s="87">
        <f t="shared" ref="WP356:WP383" si="2045">SUMIF($C$5:$WL$5,$WP$5,C356:WL356)</f>
        <v>8311103.3086703094</v>
      </c>
      <c r="WQ356" s="87">
        <f t="shared" ref="WQ356:WQ383" si="2046">SUMIF($C$5:$WL$5,$WQ$5,C356:WL356)</f>
        <v>190290488.99700001</v>
      </c>
      <c r="WR356" s="87">
        <f t="shared" ref="WR356:WR383" si="2047">SUMIF($C$5:$WL$5,$WR$5,C356:WL356)</f>
        <v>0</v>
      </c>
      <c r="WS356" s="87">
        <f t="shared" ref="WS356:WS383" si="2048">SUMIF($C$5:$WL$5,$WS$5,C356:WL356)</f>
        <v>0</v>
      </c>
      <c r="WT356" s="87">
        <f t="shared" ref="WT356:WT383" si="2049">SUMIF($C$5:$WL$5,$WT$5,C356:WL356)</f>
        <v>2904005.1505616154</v>
      </c>
      <c r="WU356" s="87">
        <f t="shared" ref="WU356:WU383" si="2050">SUMIF($C$5:$WL$5,$WU$5,C356:WL356)</f>
        <v>67212446.335999995</v>
      </c>
      <c r="WV356" s="87">
        <f t="shared" ref="WV356:WV383" si="2051">SUMIF($C$5:$WL$5,$WV$5,C356:WL356)</f>
        <v>319030</v>
      </c>
      <c r="WW356" s="87">
        <f t="shared" ref="WW356:WW383" si="2052">SUMIF($C$5:$WL$5,$WW$5,C356:WL356)</f>
        <v>5742540</v>
      </c>
      <c r="WX356" s="87">
        <f t="shared" ref="WX356:WX383" si="2053">SUMIF($C$5:$WL$5,$WX$5,C356:WL356)</f>
        <v>0</v>
      </c>
      <c r="WY356" s="87">
        <f t="shared" ref="WY356:WY383" si="2054">SUMIF($C$5:$WL$5,$WY$5,C356:WL356)</f>
        <v>0</v>
      </c>
      <c r="WZ356" s="87">
        <f t="shared" ref="WZ356:WZ378" si="2055">SUMIF($C$5:$WL$5,$WZ$5,C356:WL356)</f>
        <v>0</v>
      </c>
      <c r="XA356" s="87">
        <f t="shared" ref="XA356:XA378" si="2056">SUMIF($C$5:$WL$5,$XA$5,C356:WL356)</f>
        <v>0</v>
      </c>
      <c r="XB356" s="92">
        <f t="shared" ref="XB356:XB378" si="2057">SUMIF($WN$12:$XA$12,$XB$12,WN356:XA356)</f>
        <v>11534248.459231924</v>
      </c>
      <c r="XC356" s="92">
        <f t="shared" ref="XC356:XC378" si="2058">SUMIF($WN$12:$XA$12,$XC$12,WN356:XA356)</f>
        <v>263253175.333</v>
      </c>
      <c r="XD356" s="89"/>
      <c r="XE356" s="92"/>
      <c r="XF356" s="92"/>
      <c r="XG356" s="89"/>
      <c r="XH356" s="92"/>
      <c r="XI356" s="92"/>
      <c r="XJ356" s="89"/>
      <c r="XK356" s="87"/>
      <c r="XL356" s="87"/>
      <c r="XM356" s="87"/>
      <c r="XN356" s="87"/>
      <c r="XO356" s="87"/>
      <c r="XP356" s="87"/>
      <c r="XQ356" s="87"/>
      <c r="XR356" s="92">
        <f t="shared" ref="XR356:XR392" ca="1" si="2059">SUMIF($WN$12:$XA$12,$XB$12,XK356:XQ356)</f>
        <v>0</v>
      </c>
      <c r="XS356" s="89"/>
      <c r="XT356" s="87"/>
      <c r="XU356" s="87"/>
      <c r="XV356" s="87"/>
      <c r="XW356" s="87"/>
      <c r="XX356" s="87"/>
      <c r="XY356" s="87"/>
      <c r="XZ356" s="87"/>
      <c r="YA356" s="92">
        <f t="shared" ref="YA356:YA392" ca="1" si="2060">SUMIF($WN$12:$XA$12,$XB$12,XT356:XZ356)</f>
        <v>0</v>
      </c>
      <c r="YB356" s="90"/>
      <c r="YC356" s="90"/>
      <c r="YD356" s="90"/>
      <c r="YE356" s="90"/>
      <c r="YF356" s="90"/>
      <c r="YG356" s="90"/>
      <c r="YH356" s="90"/>
      <c r="YI356" s="90"/>
      <c r="YJ356" s="90"/>
      <c r="YK356" s="90"/>
      <c r="YL356" s="90"/>
      <c r="YM356" s="90"/>
      <c r="YN356" s="90"/>
      <c r="YO356" s="90"/>
      <c r="YP356" s="90"/>
      <c r="YQ356" s="90"/>
      <c r="YR356" s="90"/>
      <c r="YS356" s="90"/>
      <c r="YT356" s="90"/>
      <c r="YU356" s="90"/>
      <c r="YV356" s="90"/>
      <c r="YW356" s="90"/>
      <c r="YX356" s="90"/>
      <c r="YY356" s="90"/>
      <c r="YZ356" s="90"/>
      <c r="ZA356" s="90"/>
      <c r="ZB356" s="90"/>
      <c r="ZC356" s="90"/>
      <c r="ZD356" s="90"/>
      <c r="ZE356" s="90"/>
      <c r="ZF356" s="90"/>
      <c r="ZG356" s="90"/>
      <c r="ZH356" s="90"/>
      <c r="ZI356" s="90"/>
      <c r="ZJ356" s="90"/>
      <c r="ZK356" s="90"/>
      <c r="ZL356" s="90"/>
      <c r="ZM356" s="90"/>
      <c r="ZN356" s="90"/>
      <c r="ZO356" s="90"/>
      <c r="ZP356" s="90"/>
      <c r="ZQ356" s="90"/>
      <c r="ZR356" s="90"/>
      <c r="ZS356" s="90"/>
      <c r="ZT356" s="90"/>
      <c r="ZU356" s="90"/>
      <c r="ZV356" s="90"/>
      <c r="ZW356" s="90"/>
      <c r="ZX356" s="90"/>
      <c r="ZY356" s="90"/>
      <c r="ZZ356" s="90"/>
      <c r="AAA356" s="90"/>
      <c r="AAB356" s="90"/>
      <c r="AAC356" s="90"/>
      <c r="AAD356" s="90"/>
      <c r="AAE356" s="90"/>
      <c r="AAF356" s="90"/>
      <c r="AAG356" s="90"/>
      <c r="AAH356" s="90"/>
      <c r="AAI356" s="90"/>
      <c r="AAJ356" s="90"/>
      <c r="AAK356" s="90"/>
      <c r="AAL356" s="90"/>
      <c r="AAM356" s="90"/>
      <c r="AAN356" s="90"/>
      <c r="AAO356" s="90"/>
      <c r="AAP356" s="90"/>
      <c r="AAQ356" s="90"/>
      <c r="AAR356" s="90"/>
      <c r="AAS356" s="90"/>
      <c r="AAT356" s="90"/>
      <c r="AAU356" s="90"/>
      <c r="AAV356" s="90"/>
      <c r="AAW356" s="90"/>
      <c r="AAX356" s="90"/>
      <c r="AAY356" s="90"/>
      <c r="AAZ356" s="90"/>
      <c r="ABA356" s="90"/>
      <c r="ABB356" s="90"/>
      <c r="ABC356" s="90"/>
      <c r="ABD356" s="90"/>
      <c r="ABE356" s="90"/>
      <c r="ABF356" s="90"/>
      <c r="ABG356" s="90"/>
      <c r="ABH356" s="90"/>
      <c r="ABI356" s="90"/>
      <c r="ABJ356" s="90"/>
      <c r="ABK356" s="90"/>
      <c r="ABL356" s="90"/>
      <c r="ABM356" s="90"/>
      <c r="ABN356" s="90"/>
      <c r="ABO356" s="90"/>
      <c r="ABP356" s="90"/>
      <c r="ABQ356" s="90"/>
      <c r="ABR356" s="90"/>
      <c r="ABS356" s="90"/>
      <c r="ABT356" s="90"/>
      <c r="ABU356" s="90"/>
      <c r="ABV356" s="90"/>
      <c r="ABW356" s="90"/>
      <c r="ABX356" s="90"/>
      <c r="ABY356" s="90"/>
      <c r="ABZ356" s="90"/>
      <c r="ACA356" s="90"/>
      <c r="ACB356" s="90"/>
      <c r="ACC356" s="90"/>
      <c r="ACD356" s="90"/>
      <c r="ACE356" s="90"/>
      <c r="ACF356" s="90"/>
      <c r="ACG356" s="90"/>
      <c r="ACH356" s="90"/>
      <c r="ACI356" s="90"/>
      <c r="ACJ356" s="90"/>
      <c r="ACK356" s="90"/>
      <c r="ACL356" s="90"/>
      <c r="ACM356" s="90"/>
      <c r="ACN356" s="90"/>
      <c r="ACO356" s="90"/>
      <c r="ACP356" s="90"/>
      <c r="ACQ356" s="90"/>
      <c r="ACR356" s="90"/>
      <c r="ACS356" s="90"/>
      <c r="ACT356" s="90"/>
      <c r="ACU356" s="90"/>
      <c r="ACV356" s="90"/>
      <c r="ACW356" s="90"/>
      <c r="ACX356" s="90"/>
      <c r="ACY356" s="90"/>
      <c r="ACZ356" s="90"/>
      <c r="ADA356" s="90"/>
      <c r="ADB356" s="90"/>
      <c r="ADC356" s="90"/>
      <c r="ADD356" s="90"/>
      <c r="ADE356" s="90"/>
      <c r="ADF356" s="90"/>
      <c r="ADG356" s="90"/>
      <c r="ADH356" s="90"/>
      <c r="ADI356" s="90"/>
      <c r="ADJ356" s="90"/>
      <c r="ADK356" s="90"/>
      <c r="ADL356" s="90"/>
      <c r="ADM356" s="90"/>
      <c r="ADN356" s="90"/>
      <c r="ADO356" s="90"/>
      <c r="ADP356" s="90"/>
      <c r="ADQ356" s="90"/>
      <c r="ADR356" s="90"/>
      <c r="ADS356" s="90"/>
      <c r="ADT356" s="90"/>
      <c r="ADU356" s="90"/>
      <c r="ADV356" s="90"/>
      <c r="ADW356" s="90"/>
      <c r="ADX356" s="90"/>
      <c r="ADY356" s="90"/>
      <c r="ADZ356" s="90"/>
      <c r="AEA356" s="90"/>
      <c r="AEB356" s="90"/>
      <c r="AEC356" s="90"/>
      <c r="AED356" s="90"/>
      <c r="AEE356" s="90"/>
      <c r="AEF356" s="90"/>
      <c r="AEG356" s="90"/>
      <c r="AEH356" s="90"/>
      <c r="AEI356" s="90"/>
      <c r="AEJ356" s="90"/>
      <c r="AEK356" s="90"/>
      <c r="AEL356" s="90"/>
      <c r="AEM356" s="90"/>
      <c r="AEN356" s="90"/>
      <c r="AEO356" s="90"/>
      <c r="AEP356" s="90"/>
      <c r="AEQ356" s="90"/>
      <c r="AER356" s="90"/>
      <c r="AES356" s="90"/>
      <c r="AET356" s="90"/>
      <c r="AEU356" s="90"/>
      <c r="AEV356" s="90"/>
      <c r="AEW356" s="90"/>
      <c r="AEX356" s="90"/>
      <c r="AEY356" s="90"/>
      <c r="AEZ356" s="90"/>
      <c r="AFA356" s="90"/>
      <c r="AFB356" s="90"/>
      <c r="AFC356" s="90"/>
      <c r="AFD356" s="90"/>
      <c r="AFE356" s="90"/>
      <c r="AFF356" s="90"/>
      <c r="AFG356" s="90"/>
      <c r="AFH356" s="90"/>
      <c r="AFI356" s="90"/>
      <c r="AFJ356" s="90"/>
      <c r="AFK356" s="90"/>
      <c r="AFL356" s="90"/>
      <c r="AFM356" s="90"/>
      <c r="AFN356" s="90"/>
      <c r="AFO356" s="90"/>
      <c r="AFP356" s="90"/>
      <c r="AFQ356" s="90"/>
      <c r="AFR356" s="90"/>
      <c r="AFS356" s="90"/>
      <c r="AFT356" s="90"/>
      <c r="AFU356" s="90"/>
      <c r="AFV356" s="90"/>
      <c r="AFW356" s="90"/>
      <c r="AFX356" s="90"/>
      <c r="AFY356" s="90"/>
      <c r="AFZ356" s="90"/>
      <c r="AGA356" s="90"/>
      <c r="AGB356" s="90"/>
      <c r="AGC356" s="90"/>
      <c r="AGD356" s="90"/>
      <c r="AGE356" s="90"/>
      <c r="AGF356" s="90"/>
      <c r="AGG356" s="90"/>
      <c r="AGH356" s="90"/>
      <c r="AGI356" s="90"/>
      <c r="AGJ356" s="90"/>
      <c r="AGK356" s="90"/>
      <c r="AGL356" s="90"/>
      <c r="AGM356" s="90"/>
      <c r="AGN356" s="90"/>
      <c r="AGO356" s="90"/>
      <c r="AGP356" s="90"/>
      <c r="AGQ356" s="90"/>
      <c r="AGR356" s="90"/>
      <c r="AGS356" s="90"/>
      <c r="AGT356" s="90"/>
      <c r="AGU356" s="90"/>
      <c r="AGV356" s="90"/>
      <c r="AGW356" s="90"/>
      <c r="AGX356" s="90"/>
      <c r="AGY356" s="90"/>
      <c r="AGZ356" s="90"/>
      <c r="AHA356" s="90"/>
      <c r="AHB356" s="90"/>
      <c r="AHC356" s="90"/>
      <c r="AHD356" s="90"/>
      <c r="AHE356" s="90"/>
      <c r="AHF356" s="90"/>
      <c r="AHG356" s="90"/>
      <c r="AHH356" s="90"/>
      <c r="AHI356" s="90"/>
      <c r="AHJ356" s="90"/>
      <c r="AHK356" s="90"/>
      <c r="AHL356" s="90"/>
      <c r="AHM356" s="90"/>
      <c r="AHN356" s="90"/>
      <c r="AHO356" s="90"/>
      <c r="AHP356" s="90"/>
      <c r="AHQ356" s="90"/>
      <c r="AHR356" s="90"/>
      <c r="AHS356" s="90"/>
      <c r="AHT356" s="90"/>
      <c r="AHU356" s="90"/>
      <c r="AHV356" s="90"/>
      <c r="AHW356" s="90"/>
      <c r="AHX356" s="90"/>
      <c r="AHY356" s="90"/>
      <c r="AHZ356" s="90"/>
      <c r="AIA356" s="90"/>
      <c r="AIB356" s="90"/>
      <c r="AIC356" s="90"/>
      <c r="AID356" s="90"/>
      <c r="AIE356" s="90"/>
      <c r="AIF356" s="90"/>
      <c r="AIG356" s="90"/>
      <c r="AIH356" s="90"/>
      <c r="AII356" s="90"/>
      <c r="AIJ356" s="90"/>
      <c r="AIK356" s="90"/>
      <c r="AIL356" s="90"/>
      <c r="AIM356" s="90"/>
      <c r="AIN356" s="90"/>
      <c r="AIO356" s="90"/>
      <c r="AIP356" s="90"/>
      <c r="AIQ356" s="90"/>
      <c r="AIR356" s="90"/>
      <c r="AIS356" s="90"/>
      <c r="AIT356" s="90"/>
      <c r="AIU356" s="90"/>
      <c r="AIV356" s="90"/>
      <c r="AIW356" s="90"/>
      <c r="AIX356" s="90"/>
      <c r="AIY356" s="90"/>
      <c r="AIZ356" s="90"/>
      <c r="AJA356" s="90"/>
      <c r="AJB356" s="90"/>
      <c r="AJC356" s="90"/>
      <c r="AJD356" s="90"/>
      <c r="AJE356" s="90"/>
      <c r="AJF356" s="90"/>
      <c r="AJG356" s="90"/>
      <c r="AJH356" s="90"/>
      <c r="AJI356" s="90"/>
      <c r="AJJ356" s="90"/>
      <c r="AJK356" s="90"/>
      <c r="AJL356" s="90"/>
      <c r="AJM356" s="90"/>
      <c r="AJN356" s="90"/>
      <c r="AJO356" s="90"/>
      <c r="AJP356" s="90"/>
      <c r="AJQ356" s="90"/>
      <c r="AJR356" s="90"/>
      <c r="AJS356" s="90"/>
      <c r="AJT356" s="90"/>
      <c r="AJU356" s="90"/>
      <c r="AJV356" s="90"/>
      <c r="AJW356" s="90"/>
      <c r="AJX356" s="90"/>
      <c r="AJY356" s="90"/>
      <c r="AJZ356" s="90"/>
      <c r="AKA356" s="90"/>
      <c r="AKB356" s="90"/>
      <c r="AKC356" s="90"/>
      <c r="AKD356" s="90"/>
      <c r="AKE356" s="90"/>
      <c r="AKF356" s="90"/>
      <c r="AKG356" s="90"/>
      <c r="AKH356" s="90"/>
      <c r="AKI356" s="90"/>
      <c r="AKJ356" s="90"/>
      <c r="AKK356" s="90"/>
      <c r="AKL356" s="90"/>
      <c r="AKM356" s="90"/>
      <c r="AKN356" s="90"/>
      <c r="AKO356" s="90"/>
      <c r="AKP356" s="90"/>
      <c r="AKQ356" s="90"/>
      <c r="AKR356" s="90"/>
      <c r="AKS356" s="90"/>
      <c r="AKT356" s="90"/>
      <c r="AKU356" s="90"/>
      <c r="AKV356" s="90"/>
      <c r="AKW356" s="90"/>
      <c r="AKX356" s="90"/>
      <c r="AKY356" s="90"/>
      <c r="AKZ356" s="90"/>
      <c r="ALA356" s="90"/>
      <c r="ALB356" s="90"/>
      <c r="ALC356" s="90"/>
      <c r="ALD356" s="90"/>
      <c r="ALE356" s="90"/>
      <c r="ALF356" s="90"/>
      <c r="ALG356" s="90"/>
      <c r="ALH356" s="90"/>
      <c r="ALI356" s="90"/>
      <c r="ALJ356" s="90"/>
      <c r="ALK356" s="90"/>
      <c r="ALL356" s="90"/>
      <c r="ALM356" s="90"/>
      <c r="ALN356" s="90"/>
      <c r="ALO356" s="90"/>
      <c r="ALP356" s="90"/>
      <c r="ALQ356" s="90"/>
      <c r="ALR356" s="90"/>
      <c r="ALS356" s="90"/>
      <c r="ALT356" s="90"/>
      <c r="ALU356" s="90"/>
      <c r="ALV356" s="90"/>
      <c r="ALW356" s="90"/>
      <c r="ALX356" s="90"/>
      <c r="ALY356" s="90"/>
      <c r="ALZ356" s="90"/>
      <c r="AMA356" s="90"/>
      <c r="AMB356" s="90"/>
      <c r="AMC356" s="90"/>
    </row>
    <row r="357" spans="1:1017">
      <c r="A357" s="98" t="s">
        <v>54</v>
      </c>
      <c r="B357" s="90" t="str">
        <f t="shared" si="1966"/>
        <v xml:space="preserve">Bawal </v>
      </c>
      <c r="Q357" s="91">
        <f t="shared" si="1967"/>
        <v>0</v>
      </c>
      <c r="R357" s="91">
        <f t="shared" si="1968"/>
        <v>0</v>
      </c>
      <c r="Y357" s="98">
        <v>3900</v>
      </c>
      <c r="Z357" s="98">
        <v>78000</v>
      </c>
      <c r="AG357" s="91">
        <f t="shared" si="1969"/>
        <v>3900</v>
      </c>
      <c r="AH357" s="91">
        <f t="shared" si="1970"/>
        <v>78000</v>
      </c>
      <c r="AW357" s="91">
        <f t="shared" si="1971"/>
        <v>0</v>
      </c>
      <c r="AX357" s="91">
        <f t="shared" si="1972"/>
        <v>0</v>
      </c>
      <c r="BM357" s="91">
        <f t="shared" si="1973"/>
        <v>0</v>
      </c>
      <c r="BN357" s="91">
        <f t="shared" si="1974"/>
        <v>0</v>
      </c>
      <c r="CC357" s="91">
        <f t="shared" si="1975"/>
        <v>0</v>
      </c>
      <c r="CD357" s="91">
        <f t="shared" si="1976"/>
        <v>0</v>
      </c>
      <c r="CS357" s="91">
        <f t="shared" si="1977"/>
        <v>0</v>
      </c>
      <c r="CT357" s="91">
        <f t="shared" si="1978"/>
        <v>0</v>
      </c>
      <c r="DI357" s="91">
        <f t="shared" si="1979"/>
        <v>0</v>
      </c>
      <c r="DJ357" s="91">
        <f t="shared" si="1980"/>
        <v>0</v>
      </c>
      <c r="DQ357" s="98">
        <v>392800</v>
      </c>
      <c r="DR357" s="98">
        <v>6677600</v>
      </c>
      <c r="DY357" s="91">
        <f t="shared" si="1981"/>
        <v>392800</v>
      </c>
      <c r="DZ357" s="91">
        <f t="shared" si="1982"/>
        <v>6677600</v>
      </c>
      <c r="EG357" s="98">
        <v>75100</v>
      </c>
      <c r="EH357" s="98">
        <v>826100</v>
      </c>
      <c r="EO357" s="91">
        <f t="shared" si="1983"/>
        <v>75100</v>
      </c>
      <c r="EP357" s="91">
        <f t="shared" si="1984"/>
        <v>826100</v>
      </c>
      <c r="FE357" s="91">
        <f t="shared" si="1985"/>
        <v>0</v>
      </c>
      <c r="FF357" s="91">
        <f t="shared" si="1986"/>
        <v>0</v>
      </c>
      <c r="FU357" s="91">
        <f t="shared" si="1987"/>
        <v>0</v>
      </c>
      <c r="FV357" s="91">
        <f t="shared" si="1988"/>
        <v>0</v>
      </c>
      <c r="GK357" s="91">
        <f t="shared" si="1989"/>
        <v>0</v>
      </c>
      <c r="GL357" s="91">
        <f t="shared" si="1990"/>
        <v>0</v>
      </c>
      <c r="HA357" s="91">
        <f t="shared" si="1991"/>
        <v>0</v>
      </c>
      <c r="HB357" s="91">
        <f t="shared" si="1992"/>
        <v>0</v>
      </c>
      <c r="HQ357" s="91">
        <f t="shared" si="1993"/>
        <v>0</v>
      </c>
      <c r="HR357" s="91">
        <f t="shared" si="1994"/>
        <v>0</v>
      </c>
      <c r="IG357" s="91">
        <f t="shared" si="1995"/>
        <v>0</v>
      </c>
      <c r="IH357" s="91">
        <f t="shared" si="1996"/>
        <v>0</v>
      </c>
      <c r="IO357" s="98">
        <v>2000</v>
      </c>
      <c r="IP357" s="98">
        <v>50000</v>
      </c>
      <c r="IW357" s="91">
        <f t="shared" si="1997"/>
        <v>2000</v>
      </c>
      <c r="IX357" s="91">
        <f t="shared" si="1998"/>
        <v>50000</v>
      </c>
      <c r="JM357" s="91">
        <f t="shared" si="1999"/>
        <v>0</v>
      </c>
      <c r="JN357" s="91">
        <f t="shared" si="2000"/>
        <v>0</v>
      </c>
      <c r="KC357" s="91">
        <f t="shared" si="2001"/>
        <v>0</v>
      </c>
      <c r="KD357" s="91">
        <f t="shared" si="2002"/>
        <v>0</v>
      </c>
      <c r="KS357" s="91">
        <f t="shared" si="2003"/>
        <v>0</v>
      </c>
      <c r="KT357" s="91">
        <f t="shared" si="2004"/>
        <v>0</v>
      </c>
      <c r="LI357" s="91">
        <f t="shared" si="2005"/>
        <v>0</v>
      </c>
      <c r="LJ357" s="91">
        <f t="shared" si="2006"/>
        <v>0</v>
      </c>
      <c r="LY357" s="91">
        <f t="shared" si="2007"/>
        <v>0</v>
      </c>
      <c r="LZ357" s="91">
        <f t="shared" si="2008"/>
        <v>0</v>
      </c>
      <c r="MO357" s="91">
        <f t="shared" si="2009"/>
        <v>0</v>
      </c>
      <c r="MP357" s="91">
        <f t="shared" si="2010"/>
        <v>0</v>
      </c>
      <c r="NE357" s="91">
        <f t="shared" si="2011"/>
        <v>0</v>
      </c>
      <c r="NF357" s="91">
        <f t="shared" si="2012"/>
        <v>0</v>
      </c>
      <c r="NQ357" s="98">
        <v>144</v>
      </c>
      <c r="NR357" s="98">
        <v>2592</v>
      </c>
      <c r="NU357" s="91">
        <f t="shared" si="2013"/>
        <v>144</v>
      </c>
      <c r="NV357" s="91">
        <f t="shared" si="2014"/>
        <v>2592</v>
      </c>
      <c r="OK357" s="91">
        <f t="shared" si="2015"/>
        <v>0</v>
      </c>
      <c r="OL357" s="91">
        <f t="shared" si="2016"/>
        <v>0</v>
      </c>
      <c r="PA357" s="91">
        <f t="shared" si="2017"/>
        <v>0</v>
      </c>
      <c r="PB357" s="91">
        <f t="shared" si="2018"/>
        <v>0</v>
      </c>
      <c r="PQ357" s="91">
        <f t="shared" si="2019"/>
        <v>0</v>
      </c>
      <c r="PR357" s="91">
        <f t="shared" si="2020"/>
        <v>0</v>
      </c>
      <c r="PY357" s="98">
        <v>15200</v>
      </c>
      <c r="PZ357" s="98">
        <v>243200</v>
      </c>
      <c r="QC357" s="98">
        <v>53140</v>
      </c>
      <c r="QD357" s="98">
        <v>797100</v>
      </c>
      <c r="QG357" s="91">
        <f t="shared" si="2021"/>
        <v>68340</v>
      </c>
      <c r="QH357" s="91">
        <f t="shared" si="2022"/>
        <v>1040300</v>
      </c>
      <c r="QW357" s="91">
        <f t="shared" si="2023"/>
        <v>0</v>
      </c>
      <c r="QX357" s="91">
        <f t="shared" si="2024"/>
        <v>0</v>
      </c>
      <c r="RM357" s="91">
        <f t="shared" si="2025"/>
        <v>0</v>
      </c>
      <c r="RN357" s="91">
        <f t="shared" si="2026"/>
        <v>0</v>
      </c>
      <c r="SC357" s="91">
        <f t="shared" si="2027"/>
        <v>0</v>
      </c>
      <c r="SD357" s="91">
        <f t="shared" si="2028"/>
        <v>0</v>
      </c>
      <c r="SS357" s="91">
        <f t="shared" si="2029"/>
        <v>0</v>
      </c>
      <c r="ST357" s="91">
        <f t="shared" si="2030"/>
        <v>0</v>
      </c>
      <c r="TI357" s="91">
        <f t="shared" si="2031"/>
        <v>0</v>
      </c>
      <c r="TJ357" s="91">
        <f t="shared" si="2032"/>
        <v>0</v>
      </c>
      <c r="TY357" s="91">
        <f t="shared" si="2033"/>
        <v>0</v>
      </c>
      <c r="TZ357" s="91">
        <f t="shared" si="2034"/>
        <v>0</v>
      </c>
      <c r="UO357" s="91">
        <f t="shared" si="2035"/>
        <v>0</v>
      </c>
      <c r="UP357" s="91">
        <f t="shared" si="2036"/>
        <v>0</v>
      </c>
      <c r="VE357" s="91">
        <f t="shared" si="2037"/>
        <v>0</v>
      </c>
      <c r="VF357" s="91">
        <f t="shared" si="2038"/>
        <v>0</v>
      </c>
      <c r="VU357" s="91">
        <f t="shared" si="2039"/>
        <v>0</v>
      </c>
      <c r="VV357" s="91">
        <f t="shared" si="2040"/>
        <v>0</v>
      </c>
      <c r="WK357" s="91">
        <f t="shared" si="2041"/>
        <v>0</v>
      </c>
      <c r="WL357" s="91">
        <f t="shared" si="2042"/>
        <v>0</v>
      </c>
      <c r="WM357" s="89"/>
      <c r="WN357" s="87">
        <f t="shared" si="2043"/>
        <v>0</v>
      </c>
      <c r="WO357" s="87">
        <f t="shared" si="2044"/>
        <v>0</v>
      </c>
      <c r="WP357" s="87">
        <f t="shared" si="2045"/>
        <v>0</v>
      </c>
      <c r="WQ357" s="87">
        <f t="shared" si="2046"/>
        <v>0</v>
      </c>
      <c r="WR357" s="87">
        <f t="shared" si="2047"/>
        <v>0</v>
      </c>
      <c r="WS357" s="87">
        <f t="shared" si="2048"/>
        <v>0</v>
      </c>
      <c r="WT357" s="87">
        <f t="shared" si="2049"/>
        <v>489000</v>
      </c>
      <c r="WU357" s="87">
        <f t="shared" si="2050"/>
        <v>7874900</v>
      </c>
      <c r="WV357" s="87">
        <f t="shared" si="2051"/>
        <v>0</v>
      </c>
      <c r="WW357" s="87">
        <f t="shared" si="2052"/>
        <v>0</v>
      </c>
      <c r="WX357" s="87">
        <f t="shared" si="2053"/>
        <v>53284</v>
      </c>
      <c r="WY357" s="87">
        <f t="shared" si="2054"/>
        <v>799692</v>
      </c>
      <c r="WZ357" s="87">
        <f t="shared" si="2055"/>
        <v>0</v>
      </c>
      <c r="XA357" s="87">
        <f t="shared" si="2056"/>
        <v>0</v>
      </c>
      <c r="XB357" s="92">
        <f t="shared" si="2057"/>
        <v>542284</v>
      </c>
      <c r="XC357" s="92">
        <f t="shared" si="2058"/>
        <v>8674592</v>
      </c>
      <c r="XD357" s="89"/>
      <c r="XE357" s="92"/>
      <c r="XF357" s="92"/>
      <c r="XG357" s="89"/>
      <c r="XH357" s="92"/>
      <c r="XI357" s="92"/>
      <c r="XJ357" s="89"/>
      <c r="XK357" s="87"/>
      <c r="XL357" s="87"/>
      <c r="XM357" s="87"/>
      <c r="XN357" s="87"/>
      <c r="XO357" s="87"/>
      <c r="XP357" s="87"/>
      <c r="XQ357" s="87"/>
      <c r="XR357" s="92">
        <f t="shared" ca="1" si="2059"/>
        <v>0</v>
      </c>
      <c r="XS357" s="89"/>
      <c r="XT357" s="87"/>
      <c r="XU357" s="87"/>
      <c r="XV357" s="87"/>
      <c r="XW357" s="87"/>
      <c r="XX357" s="87"/>
      <c r="XY357" s="87"/>
      <c r="XZ357" s="87"/>
      <c r="YA357" s="92">
        <f t="shared" ca="1" si="2060"/>
        <v>0</v>
      </c>
      <c r="YB357" s="90"/>
      <c r="YC357" s="90"/>
      <c r="YD357" s="90"/>
      <c r="YE357" s="90"/>
      <c r="YF357" s="90"/>
      <c r="YG357" s="90"/>
      <c r="YH357" s="90"/>
      <c r="YI357" s="90"/>
      <c r="YJ357" s="90"/>
      <c r="YK357" s="90"/>
      <c r="YL357" s="90"/>
      <c r="YM357" s="90"/>
      <c r="YN357" s="90"/>
      <c r="YO357" s="90"/>
      <c r="YP357" s="90"/>
      <c r="YQ357" s="90"/>
      <c r="YR357" s="90"/>
      <c r="YS357" s="90"/>
      <c r="YT357" s="90"/>
      <c r="YU357" s="90"/>
      <c r="YV357" s="90"/>
      <c r="YW357" s="90"/>
      <c r="YX357" s="90"/>
      <c r="YY357" s="90"/>
      <c r="YZ357" s="90"/>
      <c r="ZA357" s="90"/>
      <c r="ZB357" s="90"/>
      <c r="ZC357" s="90"/>
      <c r="ZD357" s="90"/>
      <c r="ZE357" s="90"/>
      <c r="ZF357" s="90"/>
      <c r="ZG357" s="90"/>
      <c r="ZH357" s="90"/>
      <c r="ZI357" s="90"/>
      <c r="ZJ357" s="90"/>
      <c r="ZK357" s="90"/>
      <c r="ZL357" s="90"/>
      <c r="ZM357" s="90"/>
      <c r="ZN357" s="90"/>
      <c r="ZO357" s="90"/>
      <c r="ZP357" s="90"/>
      <c r="ZQ357" s="90"/>
      <c r="ZR357" s="90"/>
      <c r="ZS357" s="90"/>
      <c r="ZT357" s="90"/>
      <c r="ZU357" s="90"/>
      <c r="ZV357" s="90"/>
      <c r="ZW357" s="90"/>
      <c r="ZX357" s="90"/>
      <c r="ZY357" s="90"/>
      <c r="ZZ357" s="90"/>
      <c r="AAA357" s="90"/>
      <c r="AAB357" s="90"/>
      <c r="AAC357" s="90"/>
      <c r="AAD357" s="90"/>
      <c r="AAE357" s="90"/>
      <c r="AAF357" s="90"/>
      <c r="AAG357" s="90"/>
      <c r="AAH357" s="90"/>
      <c r="AAI357" s="90"/>
      <c r="AAJ357" s="90"/>
      <c r="AAK357" s="90"/>
      <c r="AAL357" s="90"/>
      <c r="AAM357" s="90"/>
      <c r="AAN357" s="90"/>
      <c r="AAO357" s="90"/>
      <c r="AAP357" s="90"/>
      <c r="AAQ357" s="90"/>
      <c r="AAR357" s="90"/>
      <c r="AAS357" s="90"/>
      <c r="AAT357" s="90"/>
      <c r="AAU357" s="90"/>
      <c r="AAV357" s="90"/>
      <c r="AAW357" s="90"/>
      <c r="AAX357" s="90"/>
      <c r="AAY357" s="90"/>
      <c r="AAZ357" s="90"/>
      <c r="ABA357" s="90"/>
      <c r="ABB357" s="90"/>
      <c r="ABC357" s="90"/>
      <c r="ABD357" s="90"/>
      <c r="ABE357" s="90"/>
      <c r="ABF357" s="90"/>
      <c r="ABG357" s="90"/>
      <c r="ABH357" s="90"/>
      <c r="ABI357" s="90"/>
      <c r="ABJ357" s="90"/>
      <c r="ABK357" s="90"/>
      <c r="ABL357" s="90"/>
      <c r="ABM357" s="90"/>
      <c r="ABN357" s="90"/>
      <c r="ABO357" s="90"/>
      <c r="ABP357" s="90"/>
      <c r="ABQ357" s="90"/>
      <c r="ABR357" s="90"/>
      <c r="ABS357" s="90"/>
      <c r="ABT357" s="90"/>
      <c r="ABU357" s="90"/>
      <c r="ABV357" s="90"/>
      <c r="ABW357" s="90"/>
      <c r="ABX357" s="90"/>
      <c r="ABY357" s="90"/>
      <c r="ABZ357" s="90"/>
      <c r="ACA357" s="90"/>
      <c r="ACB357" s="90"/>
      <c r="ACC357" s="90"/>
      <c r="ACD357" s="90"/>
      <c r="ACE357" s="90"/>
      <c r="ACF357" s="90"/>
      <c r="ACG357" s="90"/>
      <c r="ACH357" s="90"/>
      <c r="ACI357" s="90"/>
      <c r="ACJ357" s="90"/>
      <c r="ACK357" s="90"/>
      <c r="ACL357" s="90"/>
      <c r="ACM357" s="90"/>
      <c r="ACN357" s="90"/>
      <c r="ACO357" s="90"/>
      <c r="ACP357" s="90"/>
      <c r="ACQ357" s="90"/>
      <c r="ACR357" s="90"/>
      <c r="ACS357" s="90"/>
      <c r="ACT357" s="90"/>
      <c r="ACU357" s="90"/>
      <c r="ACV357" s="90"/>
      <c r="ACW357" s="90"/>
      <c r="ACX357" s="90"/>
      <c r="ACY357" s="90"/>
      <c r="ACZ357" s="90"/>
      <c r="ADA357" s="90"/>
      <c r="ADB357" s="90"/>
      <c r="ADC357" s="90"/>
      <c r="ADD357" s="90"/>
      <c r="ADE357" s="90"/>
      <c r="ADF357" s="90"/>
      <c r="ADG357" s="90"/>
      <c r="ADH357" s="90"/>
      <c r="ADI357" s="90"/>
      <c r="ADJ357" s="90"/>
      <c r="ADK357" s="90"/>
      <c r="ADL357" s="90"/>
      <c r="ADM357" s="90"/>
      <c r="ADN357" s="90"/>
      <c r="ADO357" s="90"/>
      <c r="ADP357" s="90"/>
      <c r="ADQ357" s="90"/>
      <c r="ADR357" s="90"/>
      <c r="ADS357" s="90"/>
      <c r="ADT357" s="90"/>
      <c r="ADU357" s="90"/>
      <c r="ADV357" s="90"/>
      <c r="ADW357" s="90"/>
      <c r="ADX357" s="90"/>
      <c r="ADY357" s="90"/>
      <c r="ADZ357" s="90"/>
      <c r="AEA357" s="90"/>
      <c r="AEB357" s="90"/>
      <c r="AEC357" s="90"/>
      <c r="AED357" s="90"/>
      <c r="AEE357" s="90"/>
      <c r="AEF357" s="90"/>
      <c r="AEG357" s="90"/>
      <c r="AEH357" s="90"/>
      <c r="AEI357" s="90"/>
      <c r="AEJ357" s="90"/>
      <c r="AEK357" s="90"/>
      <c r="AEL357" s="90"/>
      <c r="AEM357" s="90"/>
      <c r="AEN357" s="90"/>
      <c r="AEO357" s="90"/>
      <c r="AEP357" s="90"/>
      <c r="AEQ357" s="90"/>
      <c r="AER357" s="90"/>
      <c r="AES357" s="90"/>
      <c r="AET357" s="90"/>
      <c r="AEU357" s="90"/>
      <c r="AEV357" s="90"/>
      <c r="AEW357" s="90"/>
      <c r="AEX357" s="90"/>
      <c r="AEY357" s="90"/>
      <c r="AEZ357" s="90"/>
      <c r="AFA357" s="90"/>
      <c r="AFB357" s="90"/>
      <c r="AFC357" s="90"/>
      <c r="AFD357" s="90"/>
      <c r="AFE357" s="90"/>
      <c r="AFF357" s="90"/>
      <c r="AFG357" s="90"/>
      <c r="AFH357" s="90"/>
      <c r="AFI357" s="90"/>
      <c r="AFJ357" s="90"/>
      <c r="AFK357" s="90"/>
      <c r="AFL357" s="90"/>
      <c r="AFM357" s="90"/>
      <c r="AFN357" s="90"/>
      <c r="AFO357" s="90"/>
      <c r="AFP357" s="90"/>
      <c r="AFQ357" s="90"/>
      <c r="AFR357" s="90"/>
      <c r="AFS357" s="90"/>
      <c r="AFT357" s="90"/>
      <c r="AFU357" s="90"/>
      <c r="AFV357" s="90"/>
      <c r="AFW357" s="90"/>
      <c r="AFX357" s="90"/>
      <c r="AFY357" s="90"/>
      <c r="AFZ357" s="90"/>
      <c r="AGA357" s="90"/>
      <c r="AGB357" s="90"/>
      <c r="AGC357" s="90"/>
      <c r="AGD357" s="90"/>
      <c r="AGE357" s="90"/>
      <c r="AGF357" s="90"/>
      <c r="AGG357" s="90"/>
      <c r="AGH357" s="90"/>
      <c r="AGI357" s="90"/>
      <c r="AGJ357" s="90"/>
      <c r="AGK357" s="90"/>
      <c r="AGL357" s="90"/>
      <c r="AGM357" s="90"/>
      <c r="AGN357" s="90"/>
      <c r="AGO357" s="90"/>
      <c r="AGP357" s="90"/>
      <c r="AGQ357" s="90"/>
      <c r="AGR357" s="90"/>
      <c r="AGS357" s="90"/>
      <c r="AGT357" s="90"/>
      <c r="AGU357" s="90"/>
      <c r="AGV357" s="90"/>
      <c r="AGW357" s="90"/>
      <c r="AGX357" s="90"/>
      <c r="AGY357" s="90"/>
      <c r="AGZ357" s="90"/>
      <c r="AHA357" s="90"/>
      <c r="AHB357" s="90"/>
      <c r="AHC357" s="90"/>
      <c r="AHD357" s="90"/>
      <c r="AHE357" s="90"/>
      <c r="AHF357" s="90"/>
      <c r="AHG357" s="90"/>
      <c r="AHH357" s="90"/>
      <c r="AHI357" s="90"/>
      <c r="AHJ357" s="90"/>
      <c r="AHK357" s="90"/>
      <c r="AHL357" s="90"/>
      <c r="AHM357" s="90"/>
      <c r="AHN357" s="90"/>
      <c r="AHO357" s="90"/>
      <c r="AHP357" s="90"/>
      <c r="AHQ357" s="90"/>
      <c r="AHR357" s="90"/>
      <c r="AHS357" s="90"/>
      <c r="AHT357" s="90"/>
      <c r="AHU357" s="90"/>
      <c r="AHV357" s="90"/>
      <c r="AHW357" s="90"/>
      <c r="AHX357" s="90"/>
      <c r="AHY357" s="90"/>
      <c r="AHZ357" s="90"/>
      <c r="AIA357" s="90"/>
      <c r="AIB357" s="90"/>
      <c r="AIC357" s="90"/>
      <c r="AID357" s="90"/>
      <c r="AIE357" s="90"/>
      <c r="AIF357" s="90"/>
      <c r="AIG357" s="90"/>
      <c r="AIH357" s="90"/>
      <c r="AII357" s="90"/>
      <c r="AIJ357" s="90"/>
      <c r="AIK357" s="90"/>
      <c r="AIL357" s="90"/>
      <c r="AIM357" s="90"/>
      <c r="AIN357" s="90"/>
      <c r="AIO357" s="90"/>
      <c r="AIP357" s="90"/>
      <c r="AIQ357" s="90"/>
      <c r="AIR357" s="90"/>
      <c r="AIS357" s="90"/>
      <c r="AIT357" s="90"/>
      <c r="AIU357" s="90"/>
      <c r="AIV357" s="90"/>
      <c r="AIW357" s="90"/>
      <c r="AIX357" s="90"/>
      <c r="AIY357" s="90"/>
      <c r="AIZ357" s="90"/>
      <c r="AJA357" s="90"/>
      <c r="AJB357" s="90"/>
      <c r="AJC357" s="90"/>
      <c r="AJD357" s="90"/>
      <c r="AJE357" s="90"/>
      <c r="AJF357" s="90"/>
      <c r="AJG357" s="90"/>
      <c r="AJH357" s="90"/>
      <c r="AJI357" s="90"/>
      <c r="AJJ357" s="90"/>
      <c r="AJK357" s="90"/>
      <c r="AJL357" s="90"/>
      <c r="AJM357" s="90"/>
      <c r="AJN357" s="90"/>
      <c r="AJO357" s="90"/>
      <c r="AJP357" s="90"/>
      <c r="AJQ357" s="90"/>
      <c r="AJR357" s="90"/>
      <c r="AJS357" s="90"/>
      <c r="AJT357" s="90"/>
      <c r="AJU357" s="90"/>
      <c r="AJV357" s="90"/>
      <c r="AJW357" s="90"/>
      <c r="AJX357" s="90"/>
      <c r="AJY357" s="90"/>
      <c r="AJZ357" s="90"/>
      <c r="AKA357" s="90"/>
      <c r="AKB357" s="90"/>
      <c r="AKC357" s="90"/>
      <c r="AKD357" s="90"/>
      <c r="AKE357" s="90"/>
      <c r="AKF357" s="90"/>
      <c r="AKG357" s="90"/>
      <c r="AKH357" s="90"/>
      <c r="AKI357" s="90"/>
      <c r="AKJ357" s="90"/>
      <c r="AKK357" s="90"/>
      <c r="AKL357" s="90"/>
      <c r="AKM357" s="90"/>
      <c r="AKN357" s="90"/>
      <c r="AKO357" s="90"/>
      <c r="AKP357" s="90"/>
      <c r="AKQ357" s="90"/>
      <c r="AKR357" s="90"/>
      <c r="AKS357" s="90"/>
      <c r="AKT357" s="90"/>
      <c r="AKU357" s="90"/>
      <c r="AKV357" s="90"/>
      <c r="AKW357" s="90"/>
      <c r="AKX357" s="90"/>
      <c r="AKY357" s="90"/>
      <c r="AKZ357" s="90"/>
      <c r="ALA357" s="90"/>
      <c r="ALB357" s="90"/>
      <c r="ALC357" s="90"/>
      <c r="ALD357" s="90"/>
      <c r="ALE357" s="90"/>
      <c r="ALF357" s="90"/>
      <c r="ALG357" s="90"/>
      <c r="ALH357" s="90"/>
      <c r="ALI357" s="90"/>
      <c r="ALJ357" s="90"/>
      <c r="ALK357" s="90"/>
      <c r="ALL357" s="90"/>
      <c r="ALM357" s="90"/>
      <c r="ALN357" s="90"/>
      <c r="ALO357" s="90"/>
      <c r="ALP357" s="90"/>
      <c r="ALQ357" s="90"/>
      <c r="ALR357" s="90"/>
      <c r="ALS357" s="90"/>
      <c r="ALT357" s="90"/>
      <c r="ALU357" s="90"/>
      <c r="ALV357" s="90"/>
      <c r="ALW357" s="90"/>
      <c r="ALX357" s="90"/>
      <c r="ALY357" s="90"/>
      <c r="ALZ357" s="90"/>
      <c r="AMA357" s="90"/>
      <c r="AMB357" s="90"/>
      <c r="AMC357" s="90"/>
    </row>
    <row r="358" spans="1:1017">
      <c r="A358" s="98" t="s">
        <v>54</v>
      </c>
      <c r="B358" s="90" t="str">
        <f t="shared" si="1966"/>
        <v xml:space="preserve">Belanak </v>
      </c>
      <c r="E358" s="98">
        <v>143800</v>
      </c>
      <c r="F358" s="98">
        <v>4314000</v>
      </c>
      <c r="Q358" s="91">
        <f t="shared" si="1967"/>
        <v>143800</v>
      </c>
      <c r="R358" s="91">
        <f t="shared" si="1968"/>
        <v>4314000</v>
      </c>
      <c r="AG358" s="91">
        <f t="shared" si="1969"/>
        <v>0</v>
      </c>
      <c r="AH358" s="91">
        <f t="shared" si="1970"/>
        <v>0</v>
      </c>
      <c r="AW358" s="91">
        <f t="shared" si="1971"/>
        <v>0</v>
      </c>
      <c r="AX358" s="91">
        <f t="shared" si="1972"/>
        <v>0</v>
      </c>
      <c r="BM358" s="91">
        <f t="shared" si="1973"/>
        <v>0</v>
      </c>
      <c r="BN358" s="91">
        <f t="shared" si="1974"/>
        <v>0</v>
      </c>
      <c r="CC358" s="91">
        <f t="shared" si="1975"/>
        <v>0</v>
      </c>
      <c r="CD358" s="91">
        <f t="shared" si="1976"/>
        <v>0</v>
      </c>
      <c r="CS358" s="91">
        <f t="shared" si="1977"/>
        <v>0</v>
      </c>
      <c r="CT358" s="91">
        <f t="shared" si="1978"/>
        <v>0</v>
      </c>
      <c r="DI358" s="91">
        <f t="shared" si="1979"/>
        <v>0</v>
      </c>
      <c r="DJ358" s="91">
        <f t="shared" si="1980"/>
        <v>0</v>
      </c>
      <c r="DY358" s="91">
        <f t="shared" si="1981"/>
        <v>0</v>
      </c>
      <c r="DZ358" s="91">
        <f t="shared" si="1982"/>
        <v>0</v>
      </c>
      <c r="EO358" s="91">
        <f t="shared" si="1983"/>
        <v>0</v>
      </c>
      <c r="EP358" s="91">
        <f t="shared" si="1984"/>
        <v>0</v>
      </c>
      <c r="FE358" s="91">
        <f t="shared" si="1985"/>
        <v>0</v>
      </c>
      <c r="FF358" s="91">
        <f t="shared" si="1986"/>
        <v>0</v>
      </c>
      <c r="FU358" s="91">
        <f t="shared" si="1987"/>
        <v>0</v>
      </c>
      <c r="FV358" s="91">
        <f t="shared" si="1988"/>
        <v>0</v>
      </c>
      <c r="GK358" s="91">
        <f t="shared" si="1989"/>
        <v>0</v>
      </c>
      <c r="GL358" s="91">
        <f t="shared" si="1990"/>
        <v>0</v>
      </c>
      <c r="HA358" s="91">
        <f t="shared" si="1991"/>
        <v>0</v>
      </c>
      <c r="HB358" s="91">
        <f t="shared" si="1992"/>
        <v>0</v>
      </c>
      <c r="HQ358" s="91">
        <f t="shared" si="1993"/>
        <v>0</v>
      </c>
      <c r="HR358" s="91">
        <f t="shared" si="1994"/>
        <v>0</v>
      </c>
      <c r="IG358" s="91">
        <f t="shared" si="1995"/>
        <v>0</v>
      </c>
      <c r="IH358" s="91">
        <f t="shared" si="1996"/>
        <v>0</v>
      </c>
      <c r="IW358" s="91">
        <f t="shared" si="1997"/>
        <v>0</v>
      </c>
      <c r="IX358" s="91">
        <f t="shared" si="1998"/>
        <v>0</v>
      </c>
      <c r="JM358" s="91">
        <f t="shared" si="1999"/>
        <v>0</v>
      </c>
      <c r="JN358" s="91">
        <f t="shared" si="2000"/>
        <v>0</v>
      </c>
      <c r="KC358" s="91">
        <f t="shared" si="2001"/>
        <v>0</v>
      </c>
      <c r="KD358" s="91">
        <f t="shared" si="2002"/>
        <v>0</v>
      </c>
      <c r="KS358" s="91">
        <f t="shared" si="2003"/>
        <v>0</v>
      </c>
      <c r="KT358" s="91">
        <f t="shared" si="2004"/>
        <v>0</v>
      </c>
      <c r="LI358" s="91">
        <f t="shared" si="2005"/>
        <v>0</v>
      </c>
      <c r="LJ358" s="91">
        <f t="shared" si="2006"/>
        <v>0</v>
      </c>
      <c r="LY358" s="91">
        <f t="shared" si="2007"/>
        <v>0</v>
      </c>
      <c r="LZ358" s="91">
        <f t="shared" si="2008"/>
        <v>0</v>
      </c>
      <c r="MC358" s="98">
        <v>440</v>
      </c>
      <c r="MD358" s="98">
        <v>5280</v>
      </c>
      <c r="MO358" s="91">
        <f t="shared" si="2009"/>
        <v>440</v>
      </c>
      <c r="MP358" s="91">
        <f t="shared" si="2010"/>
        <v>5280</v>
      </c>
      <c r="MS358" s="98">
        <v>233</v>
      </c>
      <c r="MT358" s="98">
        <v>5126</v>
      </c>
      <c r="NE358" s="91">
        <f t="shared" si="2011"/>
        <v>233</v>
      </c>
      <c r="NF358" s="91">
        <f t="shared" si="2012"/>
        <v>5126</v>
      </c>
      <c r="NU358" s="91">
        <f t="shared" si="2013"/>
        <v>0</v>
      </c>
      <c r="NV358" s="91">
        <f t="shared" si="2014"/>
        <v>0</v>
      </c>
      <c r="OK358" s="91">
        <f t="shared" si="2015"/>
        <v>0</v>
      </c>
      <c r="OL358" s="91">
        <f t="shared" si="2016"/>
        <v>0</v>
      </c>
      <c r="PA358" s="91">
        <f t="shared" si="2017"/>
        <v>0</v>
      </c>
      <c r="PB358" s="91">
        <f t="shared" si="2018"/>
        <v>0</v>
      </c>
      <c r="PQ358" s="91">
        <f t="shared" si="2019"/>
        <v>0</v>
      </c>
      <c r="PR358" s="91">
        <f t="shared" si="2020"/>
        <v>0</v>
      </c>
      <c r="QG358" s="91">
        <f t="shared" si="2021"/>
        <v>0</v>
      </c>
      <c r="QH358" s="91">
        <f t="shared" si="2022"/>
        <v>0</v>
      </c>
      <c r="QW358" s="91">
        <f t="shared" si="2023"/>
        <v>0</v>
      </c>
      <c r="QX358" s="91">
        <f t="shared" si="2024"/>
        <v>0</v>
      </c>
      <c r="RM358" s="91">
        <f t="shared" si="2025"/>
        <v>0</v>
      </c>
      <c r="RN358" s="91">
        <f t="shared" si="2026"/>
        <v>0</v>
      </c>
      <c r="SC358" s="91">
        <f t="shared" si="2027"/>
        <v>0</v>
      </c>
      <c r="SD358" s="91">
        <f t="shared" si="2028"/>
        <v>0</v>
      </c>
      <c r="SS358" s="91">
        <f t="shared" si="2029"/>
        <v>0</v>
      </c>
      <c r="ST358" s="91">
        <f t="shared" si="2030"/>
        <v>0</v>
      </c>
      <c r="TI358" s="91">
        <f t="shared" si="2031"/>
        <v>0</v>
      </c>
      <c r="TJ358" s="91">
        <f t="shared" si="2032"/>
        <v>0</v>
      </c>
      <c r="TY358" s="91">
        <f t="shared" si="2033"/>
        <v>0</v>
      </c>
      <c r="TZ358" s="91">
        <f t="shared" si="2034"/>
        <v>0</v>
      </c>
      <c r="UO358" s="91">
        <f t="shared" si="2035"/>
        <v>0</v>
      </c>
      <c r="UP358" s="91">
        <f t="shared" si="2036"/>
        <v>0</v>
      </c>
      <c r="VE358" s="91">
        <f t="shared" si="2037"/>
        <v>0</v>
      </c>
      <c r="VF358" s="91">
        <f t="shared" si="2038"/>
        <v>0</v>
      </c>
      <c r="VU358" s="91">
        <f t="shared" si="2039"/>
        <v>0</v>
      </c>
      <c r="VV358" s="91">
        <f t="shared" si="2040"/>
        <v>0</v>
      </c>
      <c r="WK358" s="91">
        <f t="shared" si="2041"/>
        <v>0</v>
      </c>
      <c r="WL358" s="91">
        <f t="shared" si="2042"/>
        <v>0</v>
      </c>
      <c r="WM358" s="89"/>
      <c r="WN358" s="87">
        <f t="shared" si="2043"/>
        <v>0</v>
      </c>
      <c r="WO358" s="87">
        <f t="shared" si="2044"/>
        <v>0</v>
      </c>
      <c r="WP358" s="87">
        <f t="shared" si="2045"/>
        <v>144473</v>
      </c>
      <c r="WQ358" s="87">
        <f t="shared" si="2046"/>
        <v>4324406</v>
      </c>
      <c r="WR358" s="87">
        <f t="shared" si="2047"/>
        <v>0</v>
      </c>
      <c r="WS358" s="87">
        <f t="shared" si="2048"/>
        <v>0</v>
      </c>
      <c r="WT358" s="87">
        <f t="shared" si="2049"/>
        <v>0</v>
      </c>
      <c r="WU358" s="87">
        <f t="shared" si="2050"/>
        <v>0</v>
      </c>
      <c r="WV358" s="87">
        <f t="shared" si="2051"/>
        <v>0</v>
      </c>
      <c r="WW358" s="87">
        <f t="shared" si="2052"/>
        <v>0</v>
      </c>
      <c r="WX358" s="87">
        <f t="shared" si="2053"/>
        <v>0</v>
      </c>
      <c r="WY358" s="87">
        <f t="shared" si="2054"/>
        <v>0</v>
      </c>
      <c r="WZ358" s="87">
        <f t="shared" si="2055"/>
        <v>0</v>
      </c>
      <c r="XA358" s="87">
        <f t="shared" si="2056"/>
        <v>0</v>
      </c>
      <c r="XB358" s="92">
        <f t="shared" si="2057"/>
        <v>144473</v>
      </c>
      <c r="XC358" s="92">
        <f t="shared" si="2058"/>
        <v>4324406</v>
      </c>
      <c r="XD358" s="89"/>
      <c r="XE358" s="92"/>
      <c r="XF358" s="92"/>
      <c r="XG358" s="89"/>
      <c r="XH358" s="92"/>
      <c r="XI358" s="92"/>
      <c r="XJ358" s="89"/>
      <c r="XK358" s="87"/>
      <c r="XL358" s="87"/>
      <c r="XM358" s="87"/>
      <c r="XN358" s="87"/>
      <c r="XO358" s="87"/>
      <c r="XP358" s="87"/>
      <c r="XQ358" s="87"/>
      <c r="XR358" s="92">
        <f t="shared" ca="1" si="2059"/>
        <v>0</v>
      </c>
      <c r="XS358" s="89"/>
      <c r="XT358" s="87"/>
      <c r="XU358" s="87"/>
      <c r="XV358" s="87"/>
      <c r="XW358" s="87"/>
      <c r="XX358" s="87"/>
      <c r="XY358" s="87"/>
      <c r="XZ358" s="87"/>
      <c r="YA358" s="92">
        <f t="shared" ca="1" si="2060"/>
        <v>0</v>
      </c>
      <c r="YB358" s="90"/>
      <c r="YC358" s="90"/>
      <c r="YD358" s="90"/>
      <c r="YE358" s="90"/>
      <c r="YF358" s="90"/>
      <c r="YG358" s="90"/>
      <c r="YH358" s="90"/>
      <c r="YI358" s="90"/>
      <c r="YJ358" s="90"/>
      <c r="YK358" s="90"/>
      <c r="YL358" s="90"/>
      <c r="YM358" s="90"/>
      <c r="YN358" s="90"/>
      <c r="YO358" s="90"/>
      <c r="YP358" s="90"/>
      <c r="YQ358" s="90"/>
      <c r="YR358" s="90"/>
      <c r="YS358" s="90"/>
      <c r="YT358" s="90"/>
      <c r="YU358" s="90"/>
      <c r="YV358" s="90"/>
      <c r="YW358" s="90"/>
      <c r="YX358" s="90"/>
      <c r="YY358" s="90"/>
      <c r="YZ358" s="90"/>
      <c r="ZA358" s="90"/>
      <c r="ZB358" s="90"/>
      <c r="ZC358" s="90"/>
      <c r="ZD358" s="90"/>
      <c r="ZE358" s="90"/>
      <c r="ZF358" s="90"/>
      <c r="ZG358" s="90"/>
      <c r="ZH358" s="90"/>
      <c r="ZI358" s="90"/>
      <c r="ZJ358" s="90"/>
      <c r="ZK358" s="90"/>
      <c r="ZL358" s="90"/>
      <c r="ZM358" s="90"/>
      <c r="ZN358" s="90"/>
      <c r="ZO358" s="90"/>
      <c r="ZP358" s="90"/>
      <c r="ZQ358" s="90"/>
      <c r="ZR358" s="90"/>
      <c r="ZS358" s="90"/>
      <c r="ZT358" s="90"/>
      <c r="ZU358" s="90"/>
      <c r="ZV358" s="90"/>
      <c r="ZW358" s="90"/>
      <c r="ZX358" s="90"/>
      <c r="ZY358" s="90"/>
      <c r="ZZ358" s="90"/>
      <c r="AAA358" s="90"/>
      <c r="AAB358" s="90"/>
      <c r="AAC358" s="90"/>
      <c r="AAD358" s="90"/>
      <c r="AAE358" s="90"/>
      <c r="AAF358" s="90"/>
      <c r="AAG358" s="90"/>
      <c r="AAH358" s="90"/>
      <c r="AAI358" s="90"/>
      <c r="AAJ358" s="90"/>
      <c r="AAK358" s="90"/>
      <c r="AAL358" s="90"/>
      <c r="AAM358" s="90"/>
      <c r="AAN358" s="90"/>
      <c r="AAO358" s="90"/>
      <c r="AAP358" s="90"/>
      <c r="AAQ358" s="90"/>
      <c r="AAR358" s="90"/>
      <c r="AAS358" s="90"/>
      <c r="AAT358" s="90"/>
      <c r="AAU358" s="90"/>
      <c r="AAV358" s="90"/>
      <c r="AAW358" s="90"/>
      <c r="AAX358" s="90"/>
      <c r="AAY358" s="90"/>
      <c r="AAZ358" s="90"/>
      <c r="ABA358" s="90"/>
      <c r="ABB358" s="90"/>
      <c r="ABC358" s="90"/>
      <c r="ABD358" s="90"/>
      <c r="ABE358" s="90"/>
      <c r="ABF358" s="90"/>
      <c r="ABG358" s="90"/>
      <c r="ABH358" s="90"/>
      <c r="ABI358" s="90"/>
      <c r="ABJ358" s="90"/>
      <c r="ABK358" s="90"/>
      <c r="ABL358" s="90"/>
      <c r="ABM358" s="90"/>
      <c r="ABN358" s="90"/>
      <c r="ABO358" s="90"/>
      <c r="ABP358" s="90"/>
      <c r="ABQ358" s="90"/>
      <c r="ABR358" s="90"/>
      <c r="ABS358" s="90"/>
      <c r="ABT358" s="90"/>
      <c r="ABU358" s="90"/>
      <c r="ABV358" s="90"/>
      <c r="ABW358" s="90"/>
      <c r="ABX358" s="90"/>
      <c r="ABY358" s="90"/>
      <c r="ABZ358" s="90"/>
      <c r="ACA358" s="90"/>
      <c r="ACB358" s="90"/>
      <c r="ACC358" s="90"/>
      <c r="ACD358" s="90"/>
      <c r="ACE358" s="90"/>
      <c r="ACF358" s="90"/>
      <c r="ACG358" s="90"/>
      <c r="ACH358" s="90"/>
      <c r="ACI358" s="90"/>
      <c r="ACJ358" s="90"/>
      <c r="ACK358" s="90"/>
      <c r="ACL358" s="90"/>
      <c r="ACM358" s="90"/>
      <c r="ACN358" s="90"/>
      <c r="ACO358" s="90"/>
      <c r="ACP358" s="90"/>
      <c r="ACQ358" s="90"/>
      <c r="ACR358" s="90"/>
      <c r="ACS358" s="90"/>
      <c r="ACT358" s="90"/>
      <c r="ACU358" s="90"/>
      <c r="ACV358" s="90"/>
      <c r="ACW358" s="90"/>
      <c r="ACX358" s="90"/>
      <c r="ACY358" s="90"/>
      <c r="ACZ358" s="90"/>
      <c r="ADA358" s="90"/>
      <c r="ADB358" s="90"/>
      <c r="ADC358" s="90"/>
      <c r="ADD358" s="90"/>
      <c r="ADE358" s="90"/>
      <c r="ADF358" s="90"/>
      <c r="ADG358" s="90"/>
      <c r="ADH358" s="90"/>
      <c r="ADI358" s="90"/>
      <c r="ADJ358" s="90"/>
      <c r="ADK358" s="90"/>
      <c r="ADL358" s="90"/>
      <c r="ADM358" s="90"/>
      <c r="ADN358" s="90"/>
      <c r="ADO358" s="90"/>
      <c r="ADP358" s="90"/>
      <c r="ADQ358" s="90"/>
      <c r="ADR358" s="90"/>
      <c r="ADS358" s="90"/>
      <c r="ADT358" s="90"/>
      <c r="ADU358" s="90"/>
      <c r="ADV358" s="90"/>
      <c r="ADW358" s="90"/>
      <c r="ADX358" s="90"/>
      <c r="ADY358" s="90"/>
      <c r="ADZ358" s="90"/>
      <c r="AEA358" s="90"/>
      <c r="AEB358" s="90"/>
      <c r="AEC358" s="90"/>
      <c r="AED358" s="90"/>
      <c r="AEE358" s="90"/>
      <c r="AEF358" s="90"/>
      <c r="AEG358" s="90"/>
      <c r="AEH358" s="90"/>
      <c r="AEI358" s="90"/>
      <c r="AEJ358" s="90"/>
      <c r="AEK358" s="90"/>
      <c r="AEL358" s="90"/>
      <c r="AEM358" s="90"/>
      <c r="AEN358" s="90"/>
      <c r="AEO358" s="90"/>
      <c r="AEP358" s="90"/>
      <c r="AEQ358" s="90"/>
      <c r="AER358" s="90"/>
      <c r="AES358" s="90"/>
      <c r="AET358" s="90"/>
      <c r="AEU358" s="90"/>
      <c r="AEV358" s="90"/>
      <c r="AEW358" s="90"/>
      <c r="AEX358" s="90"/>
      <c r="AEY358" s="90"/>
      <c r="AEZ358" s="90"/>
      <c r="AFA358" s="90"/>
      <c r="AFB358" s="90"/>
      <c r="AFC358" s="90"/>
      <c r="AFD358" s="90"/>
      <c r="AFE358" s="90"/>
      <c r="AFF358" s="90"/>
      <c r="AFG358" s="90"/>
      <c r="AFH358" s="90"/>
      <c r="AFI358" s="90"/>
      <c r="AFJ358" s="90"/>
      <c r="AFK358" s="90"/>
      <c r="AFL358" s="90"/>
      <c r="AFM358" s="90"/>
      <c r="AFN358" s="90"/>
      <c r="AFO358" s="90"/>
      <c r="AFP358" s="90"/>
      <c r="AFQ358" s="90"/>
      <c r="AFR358" s="90"/>
      <c r="AFS358" s="90"/>
      <c r="AFT358" s="90"/>
      <c r="AFU358" s="90"/>
      <c r="AFV358" s="90"/>
      <c r="AFW358" s="90"/>
      <c r="AFX358" s="90"/>
      <c r="AFY358" s="90"/>
      <c r="AFZ358" s="90"/>
      <c r="AGA358" s="90"/>
      <c r="AGB358" s="90"/>
      <c r="AGC358" s="90"/>
      <c r="AGD358" s="90"/>
      <c r="AGE358" s="90"/>
      <c r="AGF358" s="90"/>
      <c r="AGG358" s="90"/>
      <c r="AGH358" s="90"/>
      <c r="AGI358" s="90"/>
      <c r="AGJ358" s="90"/>
      <c r="AGK358" s="90"/>
      <c r="AGL358" s="90"/>
      <c r="AGM358" s="90"/>
      <c r="AGN358" s="90"/>
      <c r="AGO358" s="90"/>
      <c r="AGP358" s="90"/>
      <c r="AGQ358" s="90"/>
      <c r="AGR358" s="90"/>
      <c r="AGS358" s="90"/>
      <c r="AGT358" s="90"/>
      <c r="AGU358" s="90"/>
      <c r="AGV358" s="90"/>
      <c r="AGW358" s="90"/>
      <c r="AGX358" s="90"/>
      <c r="AGY358" s="90"/>
      <c r="AGZ358" s="90"/>
      <c r="AHA358" s="90"/>
      <c r="AHB358" s="90"/>
      <c r="AHC358" s="90"/>
      <c r="AHD358" s="90"/>
      <c r="AHE358" s="90"/>
      <c r="AHF358" s="90"/>
      <c r="AHG358" s="90"/>
      <c r="AHH358" s="90"/>
      <c r="AHI358" s="90"/>
      <c r="AHJ358" s="90"/>
      <c r="AHK358" s="90"/>
      <c r="AHL358" s="90"/>
      <c r="AHM358" s="90"/>
      <c r="AHN358" s="90"/>
      <c r="AHO358" s="90"/>
      <c r="AHP358" s="90"/>
      <c r="AHQ358" s="90"/>
      <c r="AHR358" s="90"/>
      <c r="AHS358" s="90"/>
      <c r="AHT358" s="90"/>
      <c r="AHU358" s="90"/>
      <c r="AHV358" s="90"/>
      <c r="AHW358" s="90"/>
      <c r="AHX358" s="90"/>
      <c r="AHY358" s="90"/>
      <c r="AHZ358" s="90"/>
      <c r="AIA358" s="90"/>
      <c r="AIB358" s="90"/>
      <c r="AIC358" s="90"/>
      <c r="AID358" s="90"/>
      <c r="AIE358" s="90"/>
      <c r="AIF358" s="90"/>
      <c r="AIG358" s="90"/>
      <c r="AIH358" s="90"/>
      <c r="AII358" s="90"/>
      <c r="AIJ358" s="90"/>
      <c r="AIK358" s="90"/>
      <c r="AIL358" s="90"/>
      <c r="AIM358" s="90"/>
      <c r="AIN358" s="90"/>
      <c r="AIO358" s="90"/>
      <c r="AIP358" s="90"/>
      <c r="AIQ358" s="90"/>
      <c r="AIR358" s="90"/>
      <c r="AIS358" s="90"/>
      <c r="AIT358" s="90"/>
      <c r="AIU358" s="90"/>
      <c r="AIV358" s="90"/>
      <c r="AIW358" s="90"/>
      <c r="AIX358" s="90"/>
      <c r="AIY358" s="90"/>
      <c r="AIZ358" s="90"/>
      <c r="AJA358" s="90"/>
      <c r="AJB358" s="90"/>
      <c r="AJC358" s="90"/>
      <c r="AJD358" s="90"/>
      <c r="AJE358" s="90"/>
      <c r="AJF358" s="90"/>
      <c r="AJG358" s="90"/>
      <c r="AJH358" s="90"/>
      <c r="AJI358" s="90"/>
      <c r="AJJ358" s="90"/>
      <c r="AJK358" s="90"/>
      <c r="AJL358" s="90"/>
      <c r="AJM358" s="90"/>
      <c r="AJN358" s="90"/>
      <c r="AJO358" s="90"/>
      <c r="AJP358" s="90"/>
      <c r="AJQ358" s="90"/>
      <c r="AJR358" s="90"/>
      <c r="AJS358" s="90"/>
      <c r="AJT358" s="90"/>
      <c r="AJU358" s="90"/>
      <c r="AJV358" s="90"/>
      <c r="AJW358" s="90"/>
      <c r="AJX358" s="90"/>
      <c r="AJY358" s="90"/>
      <c r="AJZ358" s="90"/>
      <c r="AKA358" s="90"/>
      <c r="AKB358" s="90"/>
      <c r="AKC358" s="90"/>
      <c r="AKD358" s="90"/>
      <c r="AKE358" s="90"/>
      <c r="AKF358" s="90"/>
      <c r="AKG358" s="90"/>
      <c r="AKH358" s="90"/>
      <c r="AKI358" s="90"/>
      <c r="AKJ358" s="90"/>
      <c r="AKK358" s="90"/>
      <c r="AKL358" s="90"/>
      <c r="AKM358" s="90"/>
      <c r="AKN358" s="90"/>
      <c r="AKO358" s="90"/>
      <c r="AKP358" s="90"/>
      <c r="AKQ358" s="90"/>
      <c r="AKR358" s="90"/>
      <c r="AKS358" s="90"/>
      <c r="AKT358" s="90"/>
      <c r="AKU358" s="90"/>
      <c r="AKV358" s="90"/>
      <c r="AKW358" s="90"/>
      <c r="AKX358" s="90"/>
      <c r="AKY358" s="90"/>
      <c r="AKZ358" s="90"/>
      <c r="ALA358" s="90"/>
      <c r="ALB358" s="90"/>
      <c r="ALC358" s="90"/>
      <c r="ALD358" s="90"/>
      <c r="ALE358" s="90"/>
      <c r="ALF358" s="90"/>
      <c r="ALG358" s="90"/>
      <c r="ALH358" s="90"/>
      <c r="ALI358" s="90"/>
      <c r="ALJ358" s="90"/>
      <c r="ALK358" s="90"/>
      <c r="ALL358" s="90"/>
      <c r="ALM358" s="90"/>
      <c r="ALN358" s="90"/>
      <c r="ALO358" s="90"/>
      <c r="ALP358" s="90"/>
      <c r="ALQ358" s="90"/>
      <c r="ALR358" s="90"/>
      <c r="ALS358" s="90"/>
      <c r="ALT358" s="90"/>
      <c r="ALU358" s="90"/>
      <c r="ALV358" s="90"/>
      <c r="ALW358" s="90"/>
      <c r="ALX358" s="90"/>
      <c r="ALY358" s="90"/>
      <c r="ALZ358" s="90"/>
      <c r="AMA358" s="90"/>
      <c r="AMB358" s="90"/>
      <c r="AMC358" s="90"/>
    </row>
    <row r="359" spans="1:1017">
      <c r="A359" s="98" t="s">
        <v>54</v>
      </c>
      <c r="B359" s="90" t="str">
        <f t="shared" si="1966"/>
        <v xml:space="preserve">Eucheuma cottonii </v>
      </c>
      <c r="Q359" s="91">
        <f t="shared" si="1967"/>
        <v>0</v>
      </c>
      <c r="R359" s="91">
        <f t="shared" si="1968"/>
        <v>0</v>
      </c>
      <c r="AG359" s="91">
        <f t="shared" si="1969"/>
        <v>0</v>
      </c>
      <c r="AH359" s="91">
        <f t="shared" si="1970"/>
        <v>0</v>
      </c>
      <c r="AW359" s="91">
        <f t="shared" si="1971"/>
        <v>0</v>
      </c>
      <c r="AX359" s="91">
        <f t="shared" si="1972"/>
        <v>0</v>
      </c>
      <c r="BM359" s="91">
        <f t="shared" si="1973"/>
        <v>0</v>
      </c>
      <c r="BN359" s="91">
        <f t="shared" si="1974"/>
        <v>0</v>
      </c>
      <c r="CC359" s="91">
        <f t="shared" si="1975"/>
        <v>0</v>
      </c>
      <c r="CD359" s="91">
        <f t="shared" si="1976"/>
        <v>0</v>
      </c>
      <c r="CS359" s="91">
        <f t="shared" si="1977"/>
        <v>0</v>
      </c>
      <c r="CT359" s="91">
        <f t="shared" si="1978"/>
        <v>0</v>
      </c>
      <c r="DI359" s="91">
        <f t="shared" si="1979"/>
        <v>0</v>
      </c>
      <c r="DJ359" s="91">
        <f t="shared" si="1980"/>
        <v>0</v>
      </c>
      <c r="DY359" s="91">
        <f t="shared" si="1981"/>
        <v>0</v>
      </c>
      <c r="DZ359" s="91">
        <f t="shared" si="1982"/>
        <v>0</v>
      </c>
      <c r="EO359" s="91">
        <f t="shared" si="1983"/>
        <v>0</v>
      </c>
      <c r="EP359" s="91">
        <f t="shared" si="1984"/>
        <v>0</v>
      </c>
      <c r="FE359" s="91">
        <f t="shared" si="1985"/>
        <v>0</v>
      </c>
      <c r="FF359" s="91">
        <f t="shared" si="1986"/>
        <v>0</v>
      </c>
      <c r="FU359" s="91">
        <f t="shared" si="1987"/>
        <v>0</v>
      </c>
      <c r="FV359" s="91">
        <f t="shared" si="1988"/>
        <v>0</v>
      </c>
      <c r="GK359" s="91">
        <f t="shared" si="1989"/>
        <v>0</v>
      </c>
      <c r="GL359" s="91">
        <f t="shared" si="1990"/>
        <v>0</v>
      </c>
      <c r="HA359" s="91">
        <f t="shared" si="1991"/>
        <v>0</v>
      </c>
      <c r="HB359" s="91">
        <f t="shared" si="1992"/>
        <v>0</v>
      </c>
      <c r="HQ359" s="91">
        <f t="shared" si="1993"/>
        <v>0</v>
      </c>
      <c r="HR359" s="91">
        <f t="shared" si="1994"/>
        <v>0</v>
      </c>
      <c r="IG359" s="91">
        <f t="shared" si="1995"/>
        <v>0</v>
      </c>
      <c r="IH359" s="91">
        <f t="shared" si="1996"/>
        <v>0</v>
      </c>
      <c r="IW359" s="91">
        <f t="shared" si="1997"/>
        <v>0</v>
      </c>
      <c r="IX359" s="91">
        <f t="shared" si="1998"/>
        <v>0</v>
      </c>
      <c r="JM359" s="91">
        <f t="shared" si="1999"/>
        <v>0</v>
      </c>
      <c r="JN359" s="91">
        <f t="shared" si="2000"/>
        <v>0</v>
      </c>
      <c r="KC359" s="91">
        <f t="shared" si="2001"/>
        <v>0</v>
      </c>
      <c r="KD359" s="91">
        <f t="shared" si="2002"/>
        <v>0</v>
      </c>
      <c r="KS359" s="91">
        <f t="shared" si="2003"/>
        <v>0</v>
      </c>
      <c r="KT359" s="91">
        <f t="shared" si="2004"/>
        <v>0</v>
      </c>
      <c r="LI359" s="91">
        <f t="shared" si="2005"/>
        <v>0</v>
      </c>
      <c r="LJ359" s="91">
        <f t="shared" si="2006"/>
        <v>0</v>
      </c>
      <c r="LY359" s="91">
        <f t="shared" si="2007"/>
        <v>0</v>
      </c>
      <c r="LZ359" s="91">
        <f t="shared" si="2008"/>
        <v>0</v>
      </c>
      <c r="MO359" s="91">
        <f t="shared" si="2009"/>
        <v>0</v>
      </c>
      <c r="MP359" s="91">
        <f t="shared" si="2010"/>
        <v>0</v>
      </c>
      <c r="NE359" s="91">
        <f t="shared" si="2011"/>
        <v>0</v>
      </c>
      <c r="NF359" s="91">
        <f t="shared" si="2012"/>
        <v>0</v>
      </c>
      <c r="NU359" s="91">
        <f t="shared" si="2013"/>
        <v>0</v>
      </c>
      <c r="NV359" s="91">
        <f t="shared" si="2014"/>
        <v>0</v>
      </c>
      <c r="NW359" s="98">
        <v>6000</v>
      </c>
      <c r="NX359" s="98">
        <v>30000</v>
      </c>
      <c r="OK359" s="91">
        <f t="shared" si="2015"/>
        <v>6000</v>
      </c>
      <c r="OL359" s="91">
        <f t="shared" si="2016"/>
        <v>30000</v>
      </c>
      <c r="OM359" s="98">
        <v>66729270</v>
      </c>
      <c r="ON359" s="98">
        <v>333646350</v>
      </c>
      <c r="PA359" s="91">
        <f t="shared" si="2017"/>
        <v>66729270</v>
      </c>
      <c r="PB359" s="91">
        <f t="shared" si="2018"/>
        <v>333646350</v>
      </c>
      <c r="PQ359" s="91">
        <f t="shared" si="2019"/>
        <v>0</v>
      </c>
      <c r="PR359" s="91">
        <f t="shared" si="2020"/>
        <v>0</v>
      </c>
      <c r="QG359" s="91">
        <f t="shared" si="2021"/>
        <v>0</v>
      </c>
      <c r="QH359" s="91">
        <f t="shared" si="2022"/>
        <v>0</v>
      </c>
      <c r="QW359" s="91">
        <f t="shared" si="2023"/>
        <v>0</v>
      </c>
      <c r="QX359" s="91">
        <f t="shared" si="2024"/>
        <v>0</v>
      </c>
      <c r="RM359" s="91">
        <f t="shared" si="2025"/>
        <v>0</v>
      </c>
      <c r="RN359" s="91">
        <f t="shared" si="2026"/>
        <v>0</v>
      </c>
      <c r="SC359" s="91">
        <f t="shared" si="2027"/>
        <v>0</v>
      </c>
      <c r="SD359" s="91">
        <f t="shared" si="2028"/>
        <v>0</v>
      </c>
      <c r="SS359" s="91">
        <f t="shared" si="2029"/>
        <v>0</v>
      </c>
      <c r="ST359" s="91">
        <f t="shared" si="2030"/>
        <v>0</v>
      </c>
      <c r="TI359" s="91">
        <f t="shared" si="2031"/>
        <v>0</v>
      </c>
      <c r="TJ359" s="91">
        <f t="shared" si="2032"/>
        <v>0</v>
      </c>
      <c r="TY359" s="91">
        <f t="shared" si="2033"/>
        <v>0</v>
      </c>
      <c r="TZ359" s="91">
        <f t="shared" si="2034"/>
        <v>0</v>
      </c>
      <c r="UO359" s="91">
        <f t="shared" si="2035"/>
        <v>0</v>
      </c>
      <c r="UP359" s="91">
        <f t="shared" si="2036"/>
        <v>0</v>
      </c>
      <c r="VE359" s="91">
        <f t="shared" si="2037"/>
        <v>0</v>
      </c>
      <c r="VF359" s="91">
        <f t="shared" si="2038"/>
        <v>0</v>
      </c>
      <c r="VU359" s="91">
        <f t="shared" si="2039"/>
        <v>0</v>
      </c>
      <c r="VV359" s="91">
        <f t="shared" si="2040"/>
        <v>0</v>
      </c>
      <c r="WK359" s="91">
        <f t="shared" si="2041"/>
        <v>0</v>
      </c>
      <c r="WL359" s="91">
        <f t="shared" si="2042"/>
        <v>0</v>
      </c>
      <c r="WM359" s="89"/>
      <c r="WN359" s="87">
        <f t="shared" si="2043"/>
        <v>66735270</v>
      </c>
      <c r="WO359" s="87">
        <f t="shared" si="2044"/>
        <v>333676350</v>
      </c>
      <c r="WP359" s="87">
        <f t="shared" si="2045"/>
        <v>0</v>
      </c>
      <c r="WQ359" s="87">
        <f t="shared" si="2046"/>
        <v>0</v>
      </c>
      <c r="WR359" s="87">
        <f t="shared" si="2047"/>
        <v>0</v>
      </c>
      <c r="WS359" s="87">
        <f t="shared" si="2048"/>
        <v>0</v>
      </c>
      <c r="WT359" s="87">
        <f t="shared" si="2049"/>
        <v>0</v>
      </c>
      <c r="WU359" s="87">
        <f t="shared" si="2050"/>
        <v>0</v>
      </c>
      <c r="WV359" s="87">
        <f t="shared" si="2051"/>
        <v>0</v>
      </c>
      <c r="WW359" s="87">
        <f t="shared" si="2052"/>
        <v>0</v>
      </c>
      <c r="WX359" s="87">
        <f t="shared" si="2053"/>
        <v>0</v>
      </c>
      <c r="WY359" s="87">
        <f t="shared" si="2054"/>
        <v>0</v>
      </c>
      <c r="WZ359" s="87">
        <f t="shared" si="2055"/>
        <v>0</v>
      </c>
      <c r="XA359" s="87">
        <f t="shared" si="2056"/>
        <v>0</v>
      </c>
      <c r="XB359" s="92">
        <f t="shared" si="2057"/>
        <v>66735270</v>
      </c>
      <c r="XC359" s="92">
        <f t="shared" si="2058"/>
        <v>333676350</v>
      </c>
      <c r="XD359" s="89"/>
      <c r="XE359" s="92"/>
      <c r="XF359" s="92"/>
      <c r="XG359" s="89"/>
      <c r="XH359" s="92"/>
      <c r="XI359" s="92"/>
      <c r="XJ359" s="89"/>
      <c r="XK359" s="87"/>
      <c r="XL359" s="87"/>
      <c r="XM359" s="87"/>
      <c r="XN359" s="87"/>
      <c r="XO359" s="87"/>
      <c r="XP359" s="87"/>
      <c r="XQ359" s="87"/>
      <c r="XR359" s="92">
        <f t="shared" ca="1" si="2059"/>
        <v>0</v>
      </c>
      <c r="XS359" s="89"/>
      <c r="XT359" s="87"/>
      <c r="XU359" s="87"/>
      <c r="XV359" s="87"/>
      <c r="XW359" s="87"/>
      <c r="XX359" s="87"/>
      <c r="XY359" s="87"/>
      <c r="XZ359" s="87"/>
      <c r="YA359" s="92">
        <f t="shared" ca="1" si="2060"/>
        <v>0</v>
      </c>
      <c r="YB359" s="90"/>
      <c r="YC359" s="90"/>
      <c r="YD359" s="90"/>
      <c r="YE359" s="90"/>
      <c r="YF359" s="90"/>
      <c r="YG359" s="90"/>
      <c r="YH359" s="90"/>
      <c r="YI359" s="90"/>
      <c r="YJ359" s="90"/>
      <c r="YK359" s="90"/>
      <c r="YL359" s="90"/>
      <c r="YM359" s="90"/>
      <c r="YN359" s="90"/>
      <c r="YO359" s="90"/>
      <c r="YP359" s="90"/>
      <c r="YQ359" s="90"/>
      <c r="YR359" s="90"/>
      <c r="YS359" s="90"/>
      <c r="YT359" s="90"/>
      <c r="YU359" s="90"/>
      <c r="YV359" s="90"/>
      <c r="YW359" s="90"/>
      <c r="YX359" s="90"/>
      <c r="YY359" s="90"/>
      <c r="YZ359" s="90"/>
      <c r="ZA359" s="90"/>
      <c r="ZB359" s="90"/>
      <c r="ZC359" s="90"/>
      <c r="ZD359" s="90"/>
      <c r="ZE359" s="90"/>
      <c r="ZF359" s="90"/>
      <c r="ZG359" s="90"/>
      <c r="ZH359" s="90"/>
      <c r="ZI359" s="90"/>
      <c r="ZJ359" s="90"/>
      <c r="ZK359" s="90"/>
      <c r="ZL359" s="90"/>
      <c r="ZM359" s="90"/>
      <c r="ZN359" s="90"/>
      <c r="ZO359" s="90"/>
      <c r="ZP359" s="90"/>
      <c r="ZQ359" s="90"/>
      <c r="ZR359" s="90"/>
      <c r="ZS359" s="90"/>
      <c r="ZT359" s="90"/>
      <c r="ZU359" s="90"/>
      <c r="ZV359" s="90"/>
      <c r="ZW359" s="90"/>
      <c r="ZX359" s="90"/>
      <c r="ZY359" s="90"/>
      <c r="ZZ359" s="90"/>
      <c r="AAA359" s="90"/>
      <c r="AAB359" s="90"/>
      <c r="AAC359" s="90"/>
      <c r="AAD359" s="90"/>
      <c r="AAE359" s="90"/>
      <c r="AAF359" s="90"/>
      <c r="AAG359" s="90"/>
      <c r="AAH359" s="90"/>
      <c r="AAI359" s="90"/>
      <c r="AAJ359" s="90"/>
      <c r="AAK359" s="90"/>
      <c r="AAL359" s="90"/>
      <c r="AAM359" s="90"/>
      <c r="AAN359" s="90"/>
      <c r="AAO359" s="90"/>
      <c r="AAP359" s="90"/>
      <c r="AAQ359" s="90"/>
      <c r="AAR359" s="90"/>
      <c r="AAS359" s="90"/>
      <c r="AAT359" s="90"/>
      <c r="AAU359" s="90"/>
      <c r="AAV359" s="90"/>
      <c r="AAW359" s="90"/>
      <c r="AAX359" s="90"/>
      <c r="AAY359" s="90"/>
      <c r="AAZ359" s="90"/>
      <c r="ABA359" s="90"/>
      <c r="ABB359" s="90"/>
      <c r="ABC359" s="90"/>
      <c r="ABD359" s="90"/>
      <c r="ABE359" s="90"/>
      <c r="ABF359" s="90"/>
      <c r="ABG359" s="90"/>
      <c r="ABH359" s="90"/>
      <c r="ABI359" s="90"/>
      <c r="ABJ359" s="90"/>
      <c r="ABK359" s="90"/>
      <c r="ABL359" s="90"/>
      <c r="ABM359" s="90"/>
      <c r="ABN359" s="90"/>
      <c r="ABO359" s="90"/>
      <c r="ABP359" s="90"/>
      <c r="ABQ359" s="90"/>
      <c r="ABR359" s="90"/>
      <c r="ABS359" s="90"/>
      <c r="ABT359" s="90"/>
      <c r="ABU359" s="90"/>
      <c r="ABV359" s="90"/>
      <c r="ABW359" s="90"/>
      <c r="ABX359" s="90"/>
      <c r="ABY359" s="90"/>
      <c r="ABZ359" s="90"/>
      <c r="ACA359" s="90"/>
      <c r="ACB359" s="90"/>
      <c r="ACC359" s="90"/>
      <c r="ACD359" s="90"/>
      <c r="ACE359" s="90"/>
      <c r="ACF359" s="90"/>
      <c r="ACG359" s="90"/>
      <c r="ACH359" s="90"/>
      <c r="ACI359" s="90"/>
      <c r="ACJ359" s="90"/>
      <c r="ACK359" s="90"/>
      <c r="ACL359" s="90"/>
      <c r="ACM359" s="90"/>
      <c r="ACN359" s="90"/>
      <c r="ACO359" s="90"/>
      <c r="ACP359" s="90"/>
      <c r="ACQ359" s="90"/>
      <c r="ACR359" s="90"/>
      <c r="ACS359" s="90"/>
      <c r="ACT359" s="90"/>
      <c r="ACU359" s="90"/>
      <c r="ACV359" s="90"/>
      <c r="ACW359" s="90"/>
      <c r="ACX359" s="90"/>
      <c r="ACY359" s="90"/>
      <c r="ACZ359" s="90"/>
      <c r="ADA359" s="90"/>
      <c r="ADB359" s="90"/>
      <c r="ADC359" s="90"/>
      <c r="ADD359" s="90"/>
      <c r="ADE359" s="90"/>
      <c r="ADF359" s="90"/>
      <c r="ADG359" s="90"/>
      <c r="ADH359" s="90"/>
      <c r="ADI359" s="90"/>
      <c r="ADJ359" s="90"/>
      <c r="ADK359" s="90"/>
      <c r="ADL359" s="90"/>
      <c r="ADM359" s="90"/>
      <c r="ADN359" s="90"/>
      <c r="ADO359" s="90"/>
      <c r="ADP359" s="90"/>
      <c r="ADQ359" s="90"/>
      <c r="ADR359" s="90"/>
      <c r="ADS359" s="90"/>
      <c r="ADT359" s="90"/>
      <c r="ADU359" s="90"/>
      <c r="ADV359" s="90"/>
      <c r="ADW359" s="90"/>
      <c r="ADX359" s="90"/>
      <c r="ADY359" s="90"/>
      <c r="ADZ359" s="90"/>
      <c r="AEA359" s="90"/>
      <c r="AEB359" s="90"/>
      <c r="AEC359" s="90"/>
      <c r="AED359" s="90"/>
      <c r="AEE359" s="90"/>
      <c r="AEF359" s="90"/>
      <c r="AEG359" s="90"/>
      <c r="AEH359" s="90"/>
      <c r="AEI359" s="90"/>
      <c r="AEJ359" s="90"/>
      <c r="AEK359" s="90"/>
      <c r="AEL359" s="90"/>
      <c r="AEM359" s="90"/>
      <c r="AEN359" s="90"/>
      <c r="AEO359" s="90"/>
      <c r="AEP359" s="90"/>
      <c r="AEQ359" s="90"/>
      <c r="AER359" s="90"/>
      <c r="AES359" s="90"/>
      <c r="AET359" s="90"/>
      <c r="AEU359" s="90"/>
      <c r="AEV359" s="90"/>
      <c r="AEW359" s="90"/>
      <c r="AEX359" s="90"/>
      <c r="AEY359" s="90"/>
      <c r="AEZ359" s="90"/>
      <c r="AFA359" s="90"/>
      <c r="AFB359" s="90"/>
      <c r="AFC359" s="90"/>
      <c r="AFD359" s="90"/>
      <c r="AFE359" s="90"/>
      <c r="AFF359" s="90"/>
      <c r="AFG359" s="90"/>
      <c r="AFH359" s="90"/>
      <c r="AFI359" s="90"/>
      <c r="AFJ359" s="90"/>
      <c r="AFK359" s="90"/>
      <c r="AFL359" s="90"/>
      <c r="AFM359" s="90"/>
      <c r="AFN359" s="90"/>
      <c r="AFO359" s="90"/>
      <c r="AFP359" s="90"/>
      <c r="AFQ359" s="90"/>
      <c r="AFR359" s="90"/>
      <c r="AFS359" s="90"/>
      <c r="AFT359" s="90"/>
      <c r="AFU359" s="90"/>
      <c r="AFV359" s="90"/>
      <c r="AFW359" s="90"/>
      <c r="AFX359" s="90"/>
      <c r="AFY359" s="90"/>
      <c r="AFZ359" s="90"/>
      <c r="AGA359" s="90"/>
      <c r="AGB359" s="90"/>
      <c r="AGC359" s="90"/>
      <c r="AGD359" s="90"/>
      <c r="AGE359" s="90"/>
      <c r="AGF359" s="90"/>
      <c r="AGG359" s="90"/>
      <c r="AGH359" s="90"/>
      <c r="AGI359" s="90"/>
      <c r="AGJ359" s="90"/>
      <c r="AGK359" s="90"/>
      <c r="AGL359" s="90"/>
      <c r="AGM359" s="90"/>
      <c r="AGN359" s="90"/>
      <c r="AGO359" s="90"/>
      <c r="AGP359" s="90"/>
      <c r="AGQ359" s="90"/>
      <c r="AGR359" s="90"/>
      <c r="AGS359" s="90"/>
      <c r="AGT359" s="90"/>
      <c r="AGU359" s="90"/>
      <c r="AGV359" s="90"/>
      <c r="AGW359" s="90"/>
      <c r="AGX359" s="90"/>
      <c r="AGY359" s="90"/>
      <c r="AGZ359" s="90"/>
      <c r="AHA359" s="90"/>
      <c r="AHB359" s="90"/>
      <c r="AHC359" s="90"/>
      <c r="AHD359" s="90"/>
      <c r="AHE359" s="90"/>
      <c r="AHF359" s="90"/>
      <c r="AHG359" s="90"/>
      <c r="AHH359" s="90"/>
      <c r="AHI359" s="90"/>
      <c r="AHJ359" s="90"/>
      <c r="AHK359" s="90"/>
      <c r="AHL359" s="90"/>
      <c r="AHM359" s="90"/>
      <c r="AHN359" s="90"/>
      <c r="AHO359" s="90"/>
      <c r="AHP359" s="90"/>
      <c r="AHQ359" s="90"/>
      <c r="AHR359" s="90"/>
      <c r="AHS359" s="90"/>
      <c r="AHT359" s="90"/>
      <c r="AHU359" s="90"/>
      <c r="AHV359" s="90"/>
      <c r="AHW359" s="90"/>
      <c r="AHX359" s="90"/>
      <c r="AHY359" s="90"/>
      <c r="AHZ359" s="90"/>
      <c r="AIA359" s="90"/>
      <c r="AIB359" s="90"/>
      <c r="AIC359" s="90"/>
      <c r="AID359" s="90"/>
      <c r="AIE359" s="90"/>
      <c r="AIF359" s="90"/>
      <c r="AIG359" s="90"/>
      <c r="AIH359" s="90"/>
      <c r="AII359" s="90"/>
      <c r="AIJ359" s="90"/>
      <c r="AIK359" s="90"/>
      <c r="AIL359" s="90"/>
      <c r="AIM359" s="90"/>
      <c r="AIN359" s="90"/>
      <c r="AIO359" s="90"/>
      <c r="AIP359" s="90"/>
      <c r="AIQ359" s="90"/>
      <c r="AIR359" s="90"/>
      <c r="AIS359" s="90"/>
      <c r="AIT359" s="90"/>
      <c r="AIU359" s="90"/>
      <c r="AIV359" s="90"/>
      <c r="AIW359" s="90"/>
      <c r="AIX359" s="90"/>
      <c r="AIY359" s="90"/>
      <c r="AIZ359" s="90"/>
      <c r="AJA359" s="90"/>
      <c r="AJB359" s="90"/>
      <c r="AJC359" s="90"/>
      <c r="AJD359" s="90"/>
      <c r="AJE359" s="90"/>
      <c r="AJF359" s="90"/>
      <c r="AJG359" s="90"/>
      <c r="AJH359" s="90"/>
      <c r="AJI359" s="90"/>
      <c r="AJJ359" s="90"/>
      <c r="AJK359" s="90"/>
      <c r="AJL359" s="90"/>
      <c r="AJM359" s="90"/>
      <c r="AJN359" s="90"/>
      <c r="AJO359" s="90"/>
      <c r="AJP359" s="90"/>
      <c r="AJQ359" s="90"/>
      <c r="AJR359" s="90"/>
      <c r="AJS359" s="90"/>
      <c r="AJT359" s="90"/>
      <c r="AJU359" s="90"/>
      <c r="AJV359" s="90"/>
      <c r="AJW359" s="90"/>
      <c r="AJX359" s="90"/>
      <c r="AJY359" s="90"/>
      <c r="AJZ359" s="90"/>
      <c r="AKA359" s="90"/>
      <c r="AKB359" s="90"/>
      <c r="AKC359" s="90"/>
      <c r="AKD359" s="90"/>
      <c r="AKE359" s="90"/>
      <c r="AKF359" s="90"/>
      <c r="AKG359" s="90"/>
      <c r="AKH359" s="90"/>
      <c r="AKI359" s="90"/>
      <c r="AKJ359" s="90"/>
      <c r="AKK359" s="90"/>
      <c r="AKL359" s="90"/>
      <c r="AKM359" s="90"/>
      <c r="AKN359" s="90"/>
      <c r="AKO359" s="90"/>
      <c r="AKP359" s="90"/>
      <c r="AKQ359" s="90"/>
      <c r="AKR359" s="90"/>
      <c r="AKS359" s="90"/>
      <c r="AKT359" s="90"/>
      <c r="AKU359" s="90"/>
      <c r="AKV359" s="90"/>
      <c r="AKW359" s="90"/>
      <c r="AKX359" s="90"/>
      <c r="AKY359" s="90"/>
      <c r="AKZ359" s="90"/>
      <c r="ALA359" s="90"/>
      <c r="ALB359" s="90"/>
      <c r="ALC359" s="90"/>
      <c r="ALD359" s="90"/>
      <c r="ALE359" s="90"/>
      <c r="ALF359" s="90"/>
      <c r="ALG359" s="90"/>
      <c r="ALH359" s="90"/>
      <c r="ALI359" s="90"/>
      <c r="ALJ359" s="90"/>
      <c r="ALK359" s="90"/>
      <c r="ALL359" s="90"/>
      <c r="ALM359" s="90"/>
      <c r="ALN359" s="90"/>
      <c r="ALO359" s="90"/>
      <c r="ALP359" s="90"/>
      <c r="ALQ359" s="90"/>
      <c r="ALR359" s="90"/>
      <c r="ALS359" s="90"/>
      <c r="ALT359" s="90"/>
      <c r="ALU359" s="90"/>
      <c r="ALV359" s="90"/>
      <c r="ALW359" s="90"/>
      <c r="ALX359" s="90"/>
      <c r="ALY359" s="90"/>
      <c r="ALZ359" s="90"/>
      <c r="AMA359" s="90"/>
      <c r="AMB359" s="90"/>
      <c r="AMC359" s="90"/>
    </row>
    <row r="360" spans="1:1017">
      <c r="A360" s="98" t="s">
        <v>54</v>
      </c>
      <c r="B360" s="90" t="str">
        <f t="shared" si="1966"/>
        <v xml:space="preserve">Gabus </v>
      </c>
      <c r="Q360" s="91">
        <f t="shared" si="1967"/>
        <v>0</v>
      </c>
      <c r="R360" s="91">
        <f t="shared" si="1968"/>
        <v>0</v>
      </c>
      <c r="Y360" s="98">
        <v>390</v>
      </c>
      <c r="Z360" s="98">
        <v>15600</v>
      </c>
      <c r="AG360" s="91">
        <f t="shared" si="1969"/>
        <v>390</v>
      </c>
      <c r="AH360" s="91">
        <f t="shared" si="1970"/>
        <v>15600</v>
      </c>
      <c r="AW360" s="91">
        <f t="shared" si="1971"/>
        <v>0</v>
      </c>
      <c r="AX360" s="91">
        <f t="shared" si="1972"/>
        <v>0</v>
      </c>
      <c r="BM360" s="91">
        <f t="shared" si="1973"/>
        <v>0</v>
      </c>
      <c r="BN360" s="91">
        <f t="shared" si="1974"/>
        <v>0</v>
      </c>
      <c r="CC360" s="91">
        <f t="shared" si="1975"/>
        <v>0</v>
      </c>
      <c r="CD360" s="91">
        <f t="shared" si="1976"/>
        <v>0</v>
      </c>
      <c r="CS360" s="91">
        <f t="shared" si="1977"/>
        <v>0</v>
      </c>
      <c r="CT360" s="91">
        <f t="shared" si="1978"/>
        <v>0</v>
      </c>
      <c r="DI360" s="91">
        <f t="shared" si="1979"/>
        <v>0</v>
      </c>
      <c r="DJ360" s="91">
        <f t="shared" si="1980"/>
        <v>0</v>
      </c>
      <c r="DY360" s="91">
        <f t="shared" si="1981"/>
        <v>0</v>
      </c>
      <c r="DZ360" s="91">
        <f t="shared" si="1982"/>
        <v>0</v>
      </c>
      <c r="EO360" s="91">
        <f t="shared" si="1983"/>
        <v>0</v>
      </c>
      <c r="EP360" s="91">
        <f t="shared" si="1984"/>
        <v>0</v>
      </c>
      <c r="EW360" s="98">
        <v>41</v>
      </c>
      <c r="EX360" s="98">
        <v>1435</v>
      </c>
      <c r="FE360" s="91">
        <f t="shared" si="1985"/>
        <v>41</v>
      </c>
      <c r="FF360" s="91">
        <f t="shared" si="1986"/>
        <v>1435</v>
      </c>
      <c r="FM360" s="98">
        <v>348</v>
      </c>
      <c r="FN360" s="98">
        <v>13920</v>
      </c>
      <c r="FU360" s="91">
        <f t="shared" si="1987"/>
        <v>348</v>
      </c>
      <c r="FV360" s="91">
        <f t="shared" si="1988"/>
        <v>13920</v>
      </c>
      <c r="GK360" s="91">
        <f t="shared" si="1989"/>
        <v>0</v>
      </c>
      <c r="GL360" s="91">
        <f t="shared" si="1990"/>
        <v>0</v>
      </c>
      <c r="HA360" s="91">
        <f t="shared" si="1991"/>
        <v>0</v>
      </c>
      <c r="HB360" s="91">
        <f t="shared" si="1992"/>
        <v>0</v>
      </c>
      <c r="HQ360" s="91">
        <f t="shared" si="1993"/>
        <v>0</v>
      </c>
      <c r="HR360" s="91">
        <f t="shared" si="1994"/>
        <v>0</v>
      </c>
      <c r="IG360" s="91">
        <f t="shared" si="1995"/>
        <v>0</v>
      </c>
      <c r="IH360" s="91">
        <f t="shared" si="1996"/>
        <v>0</v>
      </c>
      <c r="IW360" s="91">
        <f t="shared" si="1997"/>
        <v>0</v>
      </c>
      <c r="IX360" s="91">
        <f t="shared" si="1998"/>
        <v>0</v>
      </c>
      <c r="JM360" s="91">
        <f t="shared" si="1999"/>
        <v>0</v>
      </c>
      <c r="JN360" s="91">
        <f t="shared" si="2000"/>
        <v>0</v>
      </c>
      <c r="KC360" s="91">
        <f t="shared" si="2001"/>
        <v>0</v>
      </c>
      <c r="KD360" s="91">
        <f t="shared" si="2002"/>
        <v>0</v>
      </c>
      <c r="KS360" s="91">
        <f t="shared" si="2003"/>
        <v>0</v>
      </c>
      <c r="KT360" s="91">
        <f t="shared" si="2004"/>
        <v>0</v>
      </c>
      <c r="LI360" s="91">
        <f t="shared" si="2005"/>
        <v>0</v>
      </c>
      <c r="LJ360" s="91">
        <f t="shared" si="2006"/>
        <v>0</v>
      </c>
      <c r="LQ360" s="98">
        <v>92</v>
      </c>
      <c r="LR360" s="98">
        <v>5520</v>
      </c>
      <c r="LY360" s="91">
        <f t="shared" si="2007"/>
        <v>92</v>
      </c>
      <c r="LZ360" s="91">
        <f t="shared" si="2008"/>
        <v>5520</v>
      </c>
      <c r="MO360" s="91">
        <f t="shared" si="2009"/>
        <v>0</v>
      </c>
      <c r="MP360" s="91">
        <f t="shared" si="2010"/>
        <v>0</v>
      </c>
      <c r="NE360" s="91">
        <f t="shared" si="2011"/>
        <v>0</v>
      </c>
      <c r="NF360" s="91">
        <f t="shared" si="2012"/>
        <v>0</v>
      </c>
      <c r="NU360" s="91">
        <f t="shared" si="2013"/>
        <v>0</v>
      </c>
      <c r="NV360" s="91">
        <f t="shared" si="2014"/>
        <v>0</v>
      </c>
      <c r="OK360" s="91">
        <f t="shared" si="2015"/>
        <v>0</v>
      </c>
      <c r="OL360" s="91">
        <f t="shared" si="2016"/>
        <v>0</v>
      </c>
      <c r="PA360" s="91">
        <f t="shared" si="2017"/>
        <v>0</v>
      </c>
      <c r="PB360" s="91">
        <f t="shared" si="2018"/>
        <v>0</v>
      </c>
      <c r="PI360" s="98">
        <v>1500</v>
      </c>
      <c r="PJ360" s="98">
        <v>37500</v>
      </c>
      <c r="PQ360" s="91">
        <f t="shared" si="2019"/>
        <v>1500</v>
      </c>
      <c r="PR360" s="91">
        <f t="shared" si="2020"/>
        <v>37500</v>
      </c>
      <c r="PY360" s="98">
        <v>1000</v>
      </c>
      <c r="PZ360" s="98">
        <v>50000</v>
      </c>
      <c r="QG360" s="91">
        <f t="shared" si="2021"/>
        <v>1000</v>
      </c>
      <c r="QH360" s="91">
        <f t="shared" si="2022"/>
        <v>50000</v>
      </c>
      <c r="QO360" s="98">
        <v>5000</v>
      </c>
      <c r="QP360" s="98">
        <v>175000</v>
      </c>
      <c r="QW360" s="91">
        <f t="shared" si="2023"/>
        <v>5000</v>
      </c>
      <c r="QX360" s="91">
        <f t="shared" si="2024"/>
        <v>175000</v>
      </c>
      <c r="RM360" s="91">
        <f t="shared" si="2025"/>
        <v>0</v>
      </c>
      <c r="RN360" s="91">
        <f t="shared" si="2026"/>
        <v>0</v>
      </c>
      <c r="SC360" s="91">
        <f t="shared" si="2027"/>
        <v>0</v>
      </c>
      <c r="SD360" s="91">
        <f t="shared" si="2028"/>
        <v>0</v>
      </c>
      <c r="SS360" s="91">
        <f t="shared" si="2029"/>
        <v>0</v>
      </c>
      <c r="ST360" s="91">
        <f t="shared" si="2030"/>
        <v>0</v>
      </c>
      <c r="TI360" s="91">
        <f t="shared" si="2031"/>
        <v>0</v>
      </c>
      <c r="TJ360" s="91">
        <f t="shared" si="2032"/>
        <v>0</v>
      </c>
      <c r="TY360" s="91">
        <f t="shared" si="2033"/>
        <v>0</v>
      </c>
      <c r="TZ360" s="91">
        <f t="shared" si="2034"/>
        <v>0</v>
      </c>
      <c r="UO360" s="91">
        <f t="shared" si="2035"/>
        <v>0</v>
      </c>
      <c r="UP360" s="91">
        <f t="shared" si="2036"/>
        <v>0</v>
      </c>
      <c r="VE360" s="91">
        <f t="shared" si="2037"/>
        <v>0</v>
      </c>
      <c r="VF360" s="91">
        <f t="shared" si="2038"/>
        <v>0</v>
      </c>
      <c r="VU360" s="91">
        <f t="shared" si="2039"/>
        <v>0</v>
      </c>
      <c r="VV360" s="91">
        <f t="shared" si="2040"/>
        <v>0</v>
      </c>
      <c r="WK360" s="91">
        <f t="shared" si="2041"/>
        <v>0</v>
      </c>
      <c r="WL360" s="91">
        <f t="shared" si="2042"/>
        <v>0</v>
      </c>
      <c r="WM360" s="89"/>
      <c r="WN360" s="87">
        <f t="shared" si="2043"/>
        <v>0</v>
      </c>
      <c r="WO360" s="87">
        <f t="shared" si="2044"/>
        <v>0</v>
      </c>
      <c r="WP360" s="87">
        <f t="shared" si="2045"/>
        <v>0</v>
      </c>
      <c r="WQ360" s="87">
        <f t="shared" si="2046"/>
        <v>0</v>
      </c>
      <c r="WR360" s="87">
        <f t="shared" si="2047"/>
        <v>0</v>
      </c>
      <c r="WS360" s="87">
        <f t="shared" si="2048"/>
        <v>0</v>
      </c>
      <c r="WT360" s="87">
        <f t="shared" si="2049"/>
        <v>8371</v>
      </c>
      <c r="WU360" s="87">
        <f t="shared" si="2050"/>
        <v>298975</v>
      </c>
      <c r="WV360" s="87">
        <f t="shared" si="2051"/>
        <v>0</v>
      </c>
      <c r="WW360" s="87">
        <f t="shared" si="2052"/>
        <v>0</v>
      </c>
      <c r="WX360" s="87">
        <f t="shared" si="2053"/>
        <v>0</v>
      </c>
      <c r="WY360" s="87">
        <f t="shared" si="2054"/>
        <v>0</v>
      </c>
      <c r="WZ360" s="87">
        <f t="shared" si="2055"/>
        <v>0</v>
      </c>
      <c r="XA360" s="87">
        <f t="shared" si="2056"/>
        <v>0</v>
      </c>
      <c r="XB360" s="92">
        <f t="shared" si="2057"/>
        <v>8371</v>
      </c>
      <c r="XC360" s="92">
        <f t="shared" si="2058"/>
        <v>298975</v>
      </c>
      <c r="XD360" s="89"/>
      <c r="XE360" s="92"/>
      <c r="XF360" s="92"/>
      <c r="XG360" s="89"/>
      <c r="XH360" s="92"/>
      <c r="XI360" s="92"/>
      <c r="XJ360" s="89"/>
      <c r="XK360" s="87"/>
      <c r="XL360" s="87"/>
      <c r="XM360" s="87"/>
      <c r="XN360" s="87"/>
      <c r="XO360" s="87"/>
      <c r="XP360" s="87"/>
      <c r="XQ360" s="87"/>
      <c r="XR360" s="92">
        <f t="shared" ca="1" si="2059"/>
        <v>0</v>
      </c>
      <c r="XS360" s="89"/>
      <c r="XT360" s="87"/>
      <c r="XU360" s="87"/>
      <c r="XV360" s="87"/>
      <c r="XW360" s="87"/>
      <c r="XX360" s="87"/>
      <c r="XY360" s="87"/>
      <c r="XZ360" s="87"/>
      <c r="YA360" s="92">
        <f t="shared" ca="1" si="2060"/>
        <v>0</v>
      </c>
      <c r="YB360" s="90"/>
      <c r="YC360" s="90"/>
      <c r="YD360" s="90"/>
      <c r="YE360" s="90"/>
      <c r="YF360" s="90"/>
      <c r="YG360" s="90"/>
      <c r="YH360" s="90"/>
      <c r="YI360" s="90"/>
      <c r="YJ360" s="90"/>
      <c r="YK360" s="90"/>
      <c r="YL360" s="90"/>
      <c r="YM360" s="90"/>
      <c r="YN360" s="90"/>
      <c r="YO360" s="90"/>
      <c r="YP360" s="90"/>
      <c r="YQ360" s="90"/>
      <c r="YR360" s="90"/>
      <c r="YS360" s="90"/>
      <c r="YT360" s="90"/>
      <c r="YU360" s="90"/>
      <c r="YV360" s="90"/>
      <c r="YW360" s="90"/>
      <c r="YX360" s="90"/>
      <c r="YY360" s="90"/>
      <c r="YZ360" s="90"/>
      <c r="ZA360" s="90"/>
      <c r="ZB360" s="90"/>
      <c r="ZC360" s="90"/>
      <c r="ZD360" s="90"/>
      <c r="ZE360" s="90"/>
      <c r="ZF360" s="90"/>
      <c r="ZG360" s="90"/>
      <c r="ZH360" s="90"/>
      <c r="ZI360" s="90"/>
      <c r="ZJ360" s="90"/>
      <c r="ZK360" s="90"/>
      <c r="ZL360" s="90"/>
      <c r="ZM360" s="90"/>
      <c r="ZN360" s="90"/>
      <c r="ZO360" s="90"/>
      <c r="ZP360" s="90"/>
      <c r="ZQ360" s="90"/>
      <c r="ZR360" s="90"/>
      <c r="ZS360" s="90"/>
      <c r="ZT360" s="90"/>
      <c r="ZU360" s="90"/>
      <c r="ZV360" s="90"/>
      <c r="ZW360" s="90"/>
      <c r="ZX360" s="90"/>
      <c r="ZY360" s="90"/>
      <c r="ZZ360" s="90"/>
      <c r="AAA360" s="90"/>
      <c r="AAB360" s="90"/>
      <c r="AAC360" s="90"/>
      <c r="AAD360" s="90"/>
      <c r="AAE360" s="90"/>
      <c r="AAF360" s="90"/>
      <c r="AAG360" s="90"/>
      <c r="AAH360" s="90"/>
      <c r="AAI360" s="90"/>
      <c r="AAJ360" s="90"/>
      <c r="AAK360" s="90"/>
      <c r="AAL360" s="90"/>
      <c r="AAM360" s="90"/>
      <c r="AAN360" s="90"/>
      <c r="AAO360" s="90"/>
      <c r="AAP360" s="90"/>
      <c r="AAQ360" s="90"/>
      <c r="AAR360" s="90"/>
      <c r="AAS360" s="90"/>
      <c r="AAT360" s="90"/>
      <c r="AAU360" s="90"/>
      <c r="AAV360" s="90"/>
      <c r="AAW360" s="90"/>
      <c r="AAX360" s="90"/>
      <c r="AAY360" s="90"/>
      <c r="AAZ360" s="90"/>
      <c r="ABA360" s="90"/>
      <c r="ABB360" s="90"/>
      <c r="ABC360" s="90"/>
      <c r="ABD360" s="90"/>
      <c r="ABE360" s="90"/>
      <c r="ABF360" s="90"/>
      <c r="ABG360" s="90"/>
      <c r="ABH360" s="90"/>
      <c r="ABI360" s="90"/>
      <c r="ABJ360" s="90"/>
      <c r="ABK360" s="90"/>
      <c r="ABL360" s="90"/>
      <c r="ABM360" s="90"/>
      <c r="ABN360" s="90"/>
      <c r="ABO360" s="90"/>
      <c r="ABP360" s="90"/>
      <c r="ABQ360" s="90"/>
      <c r="ABR360" s="90"/>
      <c r="ABS360" s="90"/>
      <c r="ABT360" s="90"/>
      <c r="ABU360" s="90"/>
      <c r="ABV360" s="90"/>
      <c r="ABW360" s="90"/>
      <c r="ABX360" s="90"/>
      <c r="ABY360" s="90"/>
      <c r="ABZ360" s="90"/>
      <c r="ACA360" s="90"/>
      <c r="ACB360" s="90"/>
      <c r="ACC360" s="90"/>
      <c r="ACD360" s="90"/>
      <c r="ACE360" s="90"/>
      <c r="ACF360" s="90"/>
      <c r="ACG360" s="90"/>
      <c r="ACH360" s="90"/>
      <c r="ACI360" s="90"/>
      <c r="ACJ360" s="90"/>
      <c r="ACK360" s="90"/>
      <c r="ACL360" s="90"/>
      <c r="ACM360" s="90"/>
      <c r="ACN360" s="90"/>
      <c r="ACO360" s="90"/>
      <c r="ACP360" s="90"/>
      <c r="ACQ360" s="90"/>
      <c r="ACR360" s="90"/>
      <c r="ACS360" s="90"/>
      <c r="ACT360" s="90"/>
      <c r="ACU360" s="90"/>
      <c r="ACV360" s="90"/>
      <c r="ACW360" s="90"/>
      <c r="ACX360" s="90"/>
      <c r="ACY360" s="90"/>
      <c r="ACZ360" s="90"/>
      <c r="ADA360" s="90"/>
      <c r="ADB360" s="90"/>
      <c r="ADC360" s="90"/>
      <c r="ADD360" s="90"/>
      <c r="ADE360" s="90"/>
      <c r="ADF360" s="90"/>
      <c r="ADG360" s="90"/>
      <c r="ADH360" s="90"/>
      <c r="ADI360" s="90"/>
      <c r="ADJ360" s="90"/>
      <c r="ADK360" s="90"/>
      <c r="ADL360" s="90"/>
      <c r="ADM360" s="90"/>
      <c r="ADN360" s="90"/>
      <c r="ADO360" s="90"/>
      <c r="ADP360" s="90"/>
      <c r="ADQ360" s="90"/>
      <c r="ADR360" s="90"/>
      <c r="ADS360" s="90"/>
      <c r="ADT360" s="90"/>
      <c r="ADU360" s="90"/>
      <c r="ADV360" s="90"/>
      <c r="ADW360" s="90"/>
      <c r="ADX360" s="90"/>
      <c r="ADY360" s="90"/>
      <c r="ADZ360" s="90"/>
      <c r="AEA360" s="90"/>
      <c r="AEB360" s="90"/>
      <c r="AEC360" s="90"/>
      <c r="AED360" s="90"/>
      <c r="AEE360" s="90"/>
      <c r="AEF360" s="90"/>
      <c r="AEG360" s="90"/>
      <c r="AEH360" s="90"/>
      <c r="AEI360" s="90"/>
      <c r="AEJ360" s="90"/>
      <c r="AEK360" s="90"/>
      <c r="AEL360" s="90"/>
      <c r="AEM360" s="90"/>
      <c r="AEN360" s="90"/>
      <c r="AEO360" s="90"/>
      <c r="AEP360" s="90"/>
      <c r="AEQ360" s="90"/>
      <c r="AER360" s="90"/>
      <c r="AES360" s="90"/>
      <c r="AET360" s="90"/>
      <c r="AEU360" s="90"/>
      <c r="AEV360" s="90"/>
      <c r="AEW360" s="90"/>
      <c r="AEX360" s="90"/>
      <c r="AEY360" s="90"/>
      <c r="AEZ360" s="90"/>
      <c r="AFA360" s="90"/>
      <c r="AFB360" s="90"/>
      <c r="AFC360" s="90"/>
      <c r="AFD360" s="90"/>
      <c r="AFE360" s="90"/>
      <c r="AFF360" s="90"/>
      <c r="AFG360" s="90"/>
      <c r="AFH360" s="90"/>
      <c r="AFI360" s="90"/>
      <c r="AFJ360" s="90"/>
      <c r="AFK360" s="90"/>
      <c r="AFL360" s="90"/>
      <c r="AFM360" s="90"/>
      <c r="AFN360" s="90"/>
      <c r="AFO360" s="90"/>
      <c r="AFP360" s="90"/>
      <c r="AFQ360" s="90"/>
      <c r="AFR360" s="90"/>
      <c r="AFS360" s="90"/>
      <c r="AFT360" s="90"/>
      <c r="AFU360" s="90"/>
      <c r="AFV360" s="90"/>
      <c r="AFW360" s="90"/>
      <c r="AFX360" s="90"/>
      <c r="AFY360" s="90"/>
      <c r="AFZ360" s="90"/>
      <c r="AGA360" s="90"/>
      <c r="AGB360" s="90"/>
      <c r="AGC360" s="90"/>
      <c r="AGD360" s="90"/>
      <c r="AGE360" s="90"/>
      <c r="AGF360" s="90"/>
      <c r="AGG360" s="90"/>
      <c r="AGH360" s="90"/>
      <c r="AGI360" s="90"/>
      <c r="AGJ360" s="90"/>
      <c r="AGK360" s="90"/>
      <c r="AGL360" s="90"/>
      <c r="AGM360" s="90"/>
      <c r="AGN360" s="90"/>
      <c r="AGO360" s="90"/>
      <c r="AGP360" s="90"/>
      <c r="AGQ360" s="90"/>
      <c r="AGR360" s="90"/>
      <c r="AGS360" s="90"/>
      <c r="AGT360" s="90"/>
      <c r="AGU360" s="90"/>
      <c r="AGV360" s="90"/>
      <c r="AGW360" s="90"/>
      <c r="AGX360" s="90"/>
      <c r="AGY360" s="90"/>
      <c r="AGZ360" s="90"/>
      <c r="AHA360" s="90"/>
      <c r="AHB360" s="90"/>
      <c r="AHC360" s="90"/>
      <c r="AHD360" s="90"/>
      <c r="AHE360" s="90"/>
      <c r="AHF360" s="90"/>
      <c r="AHG360" s="90"/>
      <c r="AHH360" s="90"/>
      <c r="AHI360" s="90"/>
      <c r="AHJ360" s="90"/>
      <c r="AHK360" s="90"/>
      <c r="AHL360" s="90"/>
      <c r="AHM360" s="90"/>
      <c r="AHN360" s="90"/>
      <c r="AHO360" s="90"/>
      <c r="AHP360" s="90"/>
      <c r="AHQ360" s="90"/>
      <c r="AHR360" s="90"/>
      <c r="AHS360" s="90"/>
      <c r="AHT360" s="90"/>
      <c r="AHU360" s="90"/>
      <c r="AHV360" s="90"/>
      <c r="AHW360" s="90"/>
      <c r="AHX360" s="90"/>
      <c r="AHY360" s="90"/>
      <c r="AHZ360" s="90"/>
      <c r="AIA360" s="90"/>
      <c r="AIB360" s="90"/>
      <c r="AIC360" s="90"/>
      <c r="AID360" s="90"/>
      <c r="AIE360" s="90"/>
      <c r="AIF360" s="90"/>
      <c r="AIG360" s="90"/>
      <c r="AIH360" s="90"/>
      <c r="AII360" s="90"/>
      <c r="AIJ360" s="90"/>
      <c r="AIK360" s="90"/>
      <c r="AIL360" s="90"/>
      <c r="AIM360" s="90"/>
      <c r="AIN360" s="90"/>
      <c r="AIO360" s="90"/>
      <c r="AIP360" s="90"/>
      <c r="AIQ360" s="90"/>
      <c r="AIR360" s="90"/>
      <c r="AIS360" s="90"/>
      <c r="AIT360" s="90"/>
      <c r="AIU360" s="90"/>
      <c r="AIV360" s="90"/>
      <c r="AIW360" s="90"/>
      <c r="AIX360" s="90"/>
      <c r="AIY360" s="90"/>
      <c r="AIZ360" s="90"/>
      <c r="AJA360" s="90"/>
      <c r="AJB360" s="90"/>
      <c r="AJC360" s="90"/>
      <c r="AJD360" s="90"/>
      <c r="AJE360" s="90"/>
      <c r="AJF360" s="90"/>
      <c r="AJG360" s="90"/>
      <c r="AJH360" s="90"/>
      <c r="AJI360" s="90"/>
      <c r="AJJ360" s="90"/>
      <c r="AJK360" s="90"/>
      <c r="AJL360" s="90"/>
      <c r="AJM360" s="90"/>
      <c r="AJN360" s="90"/>
      <c r="AJO360" s="90"/>
      <c r="AJP360" s="90"/>
      <c r="AJQ360" s="90"/>
      <c r="AJR360" s="90"/>
      <c r="AJS360" s="90"/>
      <c r="AJT360" s="90"/>
      <c r="AJU360" s="90"/>
      <c r="AJV360" s="90"/>
      <c r="AJW360" s="90"/>
      <c r="AJX360" s="90"/>
      <c r="AJY360" s="90"/>
      <c r="AJZ360" s="90"/>
      <c r="AKA360" s="90"/>
      <c r="AKB360" s="90"/>
      <c r="AKC360" s="90"/>
      <c r="AKD360" s="90"/>
      <c r="AKE360" s="90"/>
      <c r="AKF360" s="90"/>
      <c r="AKG360" s="90"/>
      <c r="AKH360" s="90"/>
      <c r="AKI360" s="90"/>
      <c r="AKJ360" s="90"/>
      <c r="AKK360" s="90"/>
      <c r="AKL360" s="90"/>
      <c r="AKM360" s="90"/>
      <c r="AKN360" s="90"/>
      <c r="AKO360" s="90"/>
      <c r="AKP360" s="90"/>
      <c r="AKQ360" s="90"/>
      <c r="AKR360" s="90"/>
      <c r="AKS360" s="90"/>
      <c r="AKT360" s="90"/>
      <c r="AKU360" s="90"/>
      <c r="AKV360" s="90"/>
      <c r="AKW360" s="90"/>
      <c r="AKX360" s="90"/>
      <c r="AKY360" s="90"/>
      <c r="AKZ360" s="90"/>
      <c r="ALA360" s="90"/>
      <c r="ALB360" s="90"/>
      <c r="ALC360" s="90"/>
      <c r="ALD360" s="90"/>
      <c r="ALE360" s="90"/>
      <c r="ALF360" s="90"/>
      <c r="ALG360" s="90"/>
      <c r="ALH360" s="90"/>
      <c r="ALI360" s="90"/>
      <c r="ALJ360" s="90"/>
      <c r="ALK360" s="90"/>
      <c r="ALL360" s="90"/>
      <c r="ALM360" s="90"/>
      <c r="ALN360" s="90"/>
      <c r="ALO360" s="90"/>
      <c r="ALP360" s="90"/>
      <c r="ALQ360" s="90"/>
      <c r="ALR360" s="90"/>
      <c r="ALS360" s="90"/>
      <c r="ALT360" s="90"/>
      <c r="ALU360" s="90"/>
      <c r="ALV360" s="90"/>
      <c r="ALW360" s="90"/>
      <c r="ALX360" s="90"/>
      <c r="ALY360" s="90"/>
      <c r="ALZ360" s="90"/>
      <c r="AMA360" s="90"/>
      <c r="AMB360" s="90"/>
      <c r="AMC360" s="90"/>
    </row>
    <row r="361" spans="1:1017">
      <c r="A361" s="98" t="s">
        <v>54</v>
      </c>
      <c r="B361" s="90" t="str">
        <f t="shared" si="1966"/>
        <v xml:space="preserve">Gracilaria verrucosa </v>
      </c>
      <c r="Q361" s="91">
        <f t="shared" si="1967"/>
        <v>0</v>
      </c>
      <c r="R361" s="91">
        <f t="shared" si="1968"/>
        <v>0</v>
      </c>
      <c r="AG361" s="91">
        <f t="shared" si="1969"/>
        <v>0</v>
      </c>
      <c r="AH361" s="91">
        <f t="shared" si="1970"/>
        <v>0</v>
      </c>
      <c r="AW361" s="91">
        <f t="shared" si="1971"/>
        <v>0</v>
      </c>
      <c r="AX361" s="91">
        <f t="shared" si="1972"/>
        <v>0</v>
      </c>
      <c r="BM361" s="91">
        <f t="shared" si="1973"/>
        <v>0</v>
      </c>
      <c r="BN361" s="91">
        <f t="shared" si="1974"/>
        <v>0</v>
      </c>
      <c r="CC361" s="91">
        <f t="shared" si="1975"/>
        <v>0</v>
      </c>
      <c r="CD361" s="91">
        <f t="shared" si="1976"/>
        <v>0</v>
      </c>
      <c r="CG361" s="98">
        <v>538200</v>
      </c>
      <c r="CH361" s="98">
        <v>1614600</v>
      </c>
      <c r="CS361" s="91">
        <f t="shared" si="1977"/>
        <v>538200</v>
      </c>
      <c r="CT361" s="91">
        <f t="shared" si="1978"/>
        <v>1614600</v>
      </c>
      <c r="DI361" s="91">
        <f t="shared" si="1979"/>
        <v>0</v>
      </c>
      <c r="DJ361" s="91">
        <f t="shared" si="1980"/>
        <v>0</v>
      </c>
      <c r="DY361" s="91">
        <f t="shared" si="1981"/>
        <v>0</v>
      </c>
      <c r="DZ361" s="91">
        <f t="shared" si="1982"/>
        <v>0</v>
      </c>
      <c r="EO361" s="91">
        <f t="shared" si="1983"/>
        <v>0</v>
      </c>
      <c r="EP361" s="91">
        <f t="shared" si="1984"/>
        <v>0</v>
      </c>
      <c r="FE361" s="91">
        <f t="shared" si="1985"/>
        <v>0</v>
      </c>
      <c r="FF361" s="91">
        <f t="shared" si="1986"/>
        <v>0</v>
      </c>
      <c r="FU361" s="91">
        <f t="shared" si="1987"/>
        <v>0</v>
      </c>
      <c r="FV361" s="91">
        <f t="shared" si="1988"/>
        <v>0</v>
      </c>
      <c r="GK361" s="91">
        <f t="shared" si="1989"/>
        <v>0</v>
      </c>
      <c r="GL361" s="91">
        <f t="shared" si="1990"/>
        <v>0</v>
      </c>
      <c r="HA361" s="91">
        <f t="shared" si="1991"/>
        <v>0</v>
      </c>
      <c r="HB361" s="91">
        <f t="shared" si="1992"/>
        <v>0</v>
      </c>
      <c r="HQ361" s="91">
        <f t="shared" si="1993"/>
        <v>0</v>
      </c>
      <c r="HR361" s="91">
        <f t="shared" si="1994"/>
        <v>0</v>
      </c>
      <c r="IG361" s="91">
        <f t="shared" si="1995"/>
        <v>0</v>
      </c>
      <c r="IH361" s="91">
        <f t="shared" si="1996"/>
        <v>0</v>
      </c>
      <c r="IW361" s="91">
        <f t="shared" si="1997"/>
        <v>0</v>
      </c>
      <c r="IX361" s="91">
        <f t="shared" si="1998"/>
        <v>0</v>
      </c>
      <c r="JM361" s="91">
        <f t="shared" si="1999"/>
        <v>0</v>
      </c>
      <c r="JN361" s="91">
        <f t="shared" si="2000"/>
        <v>0</v>
      </c>
      <c r="KC361" s="91">
        <f t="shared" si="2001"/>
        <v>0</v>
      </c>
      <c r="KD361" s="91">
        <f t="shared" si="2002"/>
        <v>0</v>
      </c>
      <c r="KS361" s="91">
        <f t="shared" si="2003"/>
        <v>0</v>
      </c>
      <c r="KT361" s="91">
        <f t="shared" si="2004"/>
        <v>0</v>
      </c>
      <c r="KW361" s="98">
        <v>292102.31</v>
      </c>
      <c r="KX361" s="98">
        <v>438153</v>
      </c>
      <c r="LI361" s="91">
        <f t="shared" si="2005"/>
        <v>292102.31</v>
      </c>
      <c r="LJ361" s="91">
        <f t="shared" si="2006"/>
        <v>438153</v>
      </c>
      <c r="LY361" s="91">
        <f t="shared" si="2007"/>
        <v>0</v>
      </c>
      <c r="LZ361" s="91">
        <f t="shared" si="2008"/>
        <v>0</v>
      </c>
      <c r="MO361" s="91">
        <f t="shared" si="2009"/>
        <v>0</v>
      </c>
      <c r="MP361" s="91">
        <f t="shared" si="2010"/>
        <v>0</v>
      </c>
      <c r="NE361" s="91">
        <f t="shared" si="2011"/>
        <v>0</v>
      </c>
      <c r="NF361" s="91">
        <f t="shared" si="2012"/>
        <v>0</v>
      </c>
      <c r="NI361" s="98">
        <v>1672400</v>
      </c>
      <c r="NJ361" s="98">
        <v>3846520</v>
      </c>
      <c r="NU361" s="91">
        <f t="shared" si="2013"/>
        <v>1672400</v>
      </c>
      <c r="NV361" s="91">
        <f t="shared" si="2014"/>
        <v>3846520</v>
      </c>
      <c r="NY361" s="98">
        <v>10281</v>
      </c>
      <c r="NZ361" s="98">
        <v>30843</v>
      </c>
      <c r="OK361" s="91">
        <f t="shared" si="2015"/>
        <v>10281</v>
      </c>
      <c r="OL361" s="91">
        <f t="shared" si="2016"/>
        <v>30843</v>
      </c>
      <c r="PA361" s="91">
        <f t="shared" si="2017"/>
        <v>0</v>
      </c>
      <c r="PB361" s="91">
        <f t="shared" si="2018"/>
        <v>0</v>
      </c>
      <c r="PQ361" s="91">
        <f t="shared" si="2019"/>
        <v>0</v>
      </c>
      <c r="PR361" s="91">
        <f t="shared" si="2020"/>
        <v>0</v>
      </c>
      <c r="QG361" s="91">
        <f t="shared" si="2021"/>
        <v>0</v>
      </c>
      <c r="QH361" s="91">
        <f t="shared" si="2022"/>
        <v>0</v>
      </c>
      <c r="QW361" s="91">
        <f t="shared" si="2023"/>
        <v>0</v>
      </c>
      <c r="QX361" s="91">
        <f t="shared" si="2024"/>
        <v>0</v>
      </c>
      <c r="RM361" s="91">
        <f t="shared" si="2025"/>
        <v>0</v>
      </c>
      <c r="RN361" s="91">
        <f t="shared" si="2026"/>
        <v>0</v>
      </c>
      <c r="SC361" s="91">
        <f t="shared" si="2027"/>
        <v>0</v>
      </c>
      <c r="SD361" s="91">
        <f t="shared" si="2028"/>
        <v>0</v>
      </c>
      <c r="SS361" s="91">
        <f t="shared" si="2029"/>
        <v>0</v>
      </c>
      <c r="ST361" s="91">
        <f t="shared" si="2030"/>
        <v>0</v>
      </c>
      <c r="TI361" s="91">
        <f t="shared" si="2031"/>
        <v>0</v>
      </c>
      <c r="TJ361" s="91">
        <f t="shared" si="2032"/>
        <v>0</v>
      </c>
      <c r="TY361" s="91">
        <f t="shared" si="2033"/>
        <v>0</v>
      </c>
      <c r="TZ361" s="91">
        <f t="shared" si="2034"/>
        <v>0</v>
      </c>
      <c r="UO361" s="91">
        <f t="shared" si="2035"/>
        <v>0</v>
      </c>
      <c r="UP361" s="91">
        <f t="shared" si="2036"/>
        <v>0</v>
      </c>
      <c r="US361" s="98">
        <v>131000</v>
      </c>
      <c r="UT361" s="98">
        <v>104800</v>
      </c>
      <c r="VE361" s="91">
        <f t="shared" si="2037"/>
        <v>131000</v>
      </c>
      <c r="VF361" s="91">
        <f t="shared" si="2038"/>
        <v>104800</v>
      </c>
      <c r="VU361" s="91">
        <f t="shared" si="2039"/>
        <v>0</v>
      </c>
      <c r="VV361" s="91">
        <f t="shared" si="2040"/>
        <v>0</v>
      </c>
      <c r="WK361" s="91">
        <f t="shared" si="2041"/>
        <v>0</v>
      </c>
      <c r="WL361" s="91">
        <f t="shared" si="2042"/>
        <v>0</v>
      </c>
      <c r="WM361" s="89"/>
      <c r="WN361" s="87">
        <f t="shared" si="2043"/>
        <v>0</v>
      </c>
      <c r="WO361" s="87">
        <f t="shared" si="2044"/>
        <v>0</v>
      </c>
      <c r="WP361" s="87">
        <f t="shared" si="2045"/>
        <v>2643983.31</v>
      </c>
      <c r="WQ361" s="87">
        <f t="shared" si="2046"/>
        <v>6034916</v>
      </c>
      <c r="WR361" s="87">
        <f t="shared" si="2047"/>
        <v>0</v>
      </c>
      <c r="WS361" s="87">
        <f t="shared" si="2048"/>
        <v>0</v>
      </c>
      <c r="WT361" s="87">
        <f t="shared" si="2049"/>
        <v>0</v>
      </c>
      <c r="WU361" s="87">
        <f t="shared" si="2050"/>
        <v>0</v>
      </c>
      <c r="WV361" s="87">
        <f t="shared" si="2051"/>
        <v>0</v>
      </c>
      <c r="WW361" s="87">
        <f t="shared" si="2052"/>
        <v>0</v>
      </c>
      <c r="WX361" s="87">
        <f t="shared" si="2053"/>
        <v>0</v>
      </c>
      <c r="WY361" s="87">
        <f t="shared" si="2054"/>
        <v>0</v>
      </c>
      <c r="WZ361" s="87">
        <f t="shared" si="2055"/>
        <v>0</v>
      </c>
      <c r="XA361" s="87">
        <f t="shared" si="2056"/>
        <v>0</v>
      </c>
      <c r="XB361" s="92">
        <f t="shared" si="2057"/>
        <v>2643983.31</v>
      </c>
      <c r="XC361" s="92">
        <f t="shared" si="2058"/>
        <v>6034916</v>
      </c>
      <c r="XD361" s="89"/>
      <c r="XE361" s="92"/>
      <c r="XF361" s="92"/>
      <c r="XG361" s="89"/>
      <c r="XH361" s="92"/>
      <c r="XI361" s="92"/>
      <c r="XJ361" s="89"/>
      <c r="XK361" s="87"/>
      <c r="XL361" s="87"/>
      <c r="XM361" s="87"/>
      <c r="XN361" s="87"/>
      <c r="XO361" s="87"/>
      <c r="XP361" s="87"/>
      <c r="XQ361" s="87"/>
      <c r="XR361" s="92">
        <f t="shared" ca="1" si="2059"/>
        <v>0</v>
      </c>
      <c r="XS361" s="89"/>
      <c r="XT361" s="87"/>
      <c r="XU361" s="87"/>
      <c r="XV361" s="87"/>
      <c r="XW361" s="87"/>
      <c r="XX361" s="87"/>
      <c r="XY361" s="87"/>
      <c r="XZ361" s="87"/>
      <c r="YA361" s="92">
        <f t="shared" ca="1" si="2060"/>
        <v>0</v>
      </c>
      <c r="YB361" s="90"/>
      <c r="YC361" s="90"/>
      <c r="YD361" s="90"/>
      <c r="YE361" s="90"/>
      <c r="YF361" s="90"/>
      <c r="YG361" s="90"/>
      <c r="YH361" s="90"/>
      <c r="YI361" s="90"/>
      <c r="YJ361" s="90"/>
      <c r="YK361" s="90"/>
      <c r="YL361" s="90"/>
      <c r="YM361" s="90"/>
      <c r="YN361" s="90"/>
      <c r="YO361" s="90"/>
      <c r="YP361" s="90"/>
      <c r="YQ361" s="90"/>
      <c r="YR361" s="90"/>
      <c r="YS361" s="90"/>
      <c r="YT361" s="90"/>
      <c r="YU361" s="90"/>
      <c r="YV361" s="90"/>
      <c r="YW361" s="90"/>
      <c r="YX361" s="90"/>
      <c r="YY361" s="90"/>
      <c r="YZ361" s="90"/>
      <c r="ZA361" s="90"/>
      <c r="ZB361" s="90"/>
      <c r="ZC361" s="90"/>
      <c r="ZD361" s="90"/>
      <c r="ZE361" s="90"/>
      <c r="ZF361" s="90"/>
      <c r="ZG361" s="90"/>
      <c r="ZH361" s="90"/>
      <c r="ZI361" s="90"/>
      <c r="ZJ361" s="90"/>
      <c r="ZK361" s="90"/>
      <c r="ZL361" s="90"/>
      <c r="ZM361" s="90"/>
      <c r="ZN361" s="90"/>
      <c r="ZO361" s="90"/>
      <c r="ZP361" s="90"/>
      <c r="ZQ361" s="90"/>
      <c r="ZR361" s="90"/>
      <c r="ZS361" s="90"/>
      <c r="ZT361" s="90"/>
      <c r="ZU361" s="90"/>
      <c r="ZV361" s="90"/>
      <c r="ZW361" s="90"/>
      <c r="ZX361" s="90"/>
      <c r="ZY361" s="90"/>
      <c r="ZZ361" s="90"/>
      <c r="AAA361" s="90"/>
      <c r="AAB361" s="90"/>
      <c r="AAC361" s="90"/>
      <c r="AAD361" s="90"/>
      <c r="AAE361" s="90"/>
      <c r="AAF361" s="90"/>
      <c r="AAG361" s="90"/>
      <c r="AAH361" s="90"/>
      <c r="AAI361" s="90"/>
      <c r="AAJ361" s="90"/>
      <c r="AAK361" s="90"/>
      <c r="AAL361" s="90"/>
      <c r="AAM361" s="90"/>
      <c r="AAN361" s="90"/>
      <c r="AAO361" s="90"/>
      <c r="AAP361" s="90"/>
      <c r="AAQ361" s="90"/>
      <c r="AAR361" s="90"/>
      <c r="AAS361" s="90"/>
      <c r="AAT361" s="90"/>
      <c r="AAU361" s="90"/>
      <c r="AAV361" s="90"/>
      <c r="AAW361" s="90"/>
      <c r="AAX361" s="90"/>
      <c r="AAY361" s="90"/>
      <c r="AAZ361" s="90"/>
      <c r="ABA361" s="90"/>
      <c r="ABB361" s="90"/>
      <c r="ABC361" s="90"/>
      <c r="ABD361" s="90"/>
      <c r="ABE361" s="90"/>
      <c r="ABF361" s="90"/>
      <c r="ABG361" s="90"/>
      <c r="ABH361" s="90"/>
      <c r="ABI361" s="90"/>
      <c r="ABJ361" s="90"/>
      <c r="ABK361" s="90"/>
      <c r="ABL361" s="90"/>
      <c r="ABM361" s="90"/>
      <c r="ABN361" s="90"/>
      <c r="ABO361" s="90"/>
      <c r="ABP361" s="90"/>
      <c r="ABQ361" s="90"/>
      <c r="ABR361" s="90"/>
      <c r="ABS361" s="90"/>
      <c r="ABT361" s="90"/>
      <c r="ABU361" s="90"/>
      <c r="ABV361" s="90"/>
      <c r="ABW361" s="90"/>
      <c r="ABX361" s="90"/>
      <c r="ABY361" s="90"/>
      <c r="ABZ361" s="90"/>
      <c r="ACA361" s="90"/>
      <c r="ACB361" s="90"/>
      <c r="ACC361" s="90"/>
      <c r="ACD361" s="90"/>
      <c r="ACE361" s="90"/>
      <c r="ACF361" s="90"/>
      <c r="ACG361" s="90"/>
      <c r="ACH361" s="90"/>
      <c r="ACI361" s="90"/>
      <c r="ACJ361" s="90"/>
      <c r="ACK361" s="90"/>
      <c r="ACL361" s="90"/>
      <c r="ACM361" s="90"/>
      <c r="ACN361" s="90"/>
      <c r="ACO361" s="90"/>
      <c r="ACP361" s="90"/>
      <c r="ACQ361" s="90"/>
      <c r="ACR361" s="90"/>
      <c r="ACS361" s="90"/>
      <c r="ACT361" s="90"/>
      <c r="ACU361" s="90"/>
      <c r="ACV361" s="90"/>
      <c r="ACW361" s="90"/>
      <c r="ACX361" s="90"/>
      <c r="ACY361" s="90"/>
      <c r="ACZ361" s="90"/>
      <c r="ADA361" s="90"/>
      <c r="ADB361" s="90"/>
      <c r="ADC361" s="90"/>
      <c r="ADD361" s="90"/>
      <c r="ADE361" s="90"/>
      <c r="ADF361" s="90"/>
      <c r="ADG361" s="90"/>
      <c r="ADH361" s="90"/>
      <c r="ADI361" s="90"/>
      <c r="ADJ361" s="90"/>
      <c r="ADK361" s="90"/>
      <c r="ADL361" s="90"/>
      <c r="ADM361" s="90"/>
      <c r="ADN361" s="90"/>
      <c r="ADO361" s="90"/>
      <c r="ADP361" s="90"/>
      <c r="ADQ361" s="90"/>
      <c r="ADR361" s="90"/>
      <c r="ADS361" s="90"/>
      <c r="ADT361" s="90"/>
      <c r="ADU361" s="90"/>
      <c r="ADV361" s="90"/>
      <c r="ADW361" s="90"/>
      <c r="ADX361" s="90"/>
      <c r="ADY361" s="90"/>
      <c r="ADZ361" s="90"/>
      <c r="AEA361" s="90"/>
      <c r="AEB361" s="90"/>
      <c r="AEC361" s="90"/>
      <c r="AED361" s="90"/>
      <c r="AEE361" s="90"/>
      <c r="AEF361" s="90"/>
      <c r="AEG361" s="90"/>
      <c r="AEH361" s="90"/>
      <c r="AEI361" s="90"/>
      <c r="AEJ361" s="90"/>
      <c r="AEK361" s="90"/>
      <c r="AEL361" s="90"/>
      <c r="AEM361" s="90"/>
      <c r="AEN361" s="90"/>
      <c r="AEO361" s="90"/>
      <c r="AEP361" s="90"/>
      <c r="AEQ361" s="90"/>
      <c r="AER361" s="90"/>
      <c r="AES361" s="90"/>
      <c r="AET361" s="90"/>
      <c r="AEU361" s="90"/>
      <c r="AEV361" s="90"/>
      <c r="AEW361" s="90"/>
      <c r="AEX361" s="90"/>
      <c r="AEY361" s="90"/>
      <c r="AEZ361" s="90"/>
      <c r="AFA361" s="90"/>
      <c r="AFB361" s="90"/>
      <c r="AFC361" s="90"/>
      <c r="AFD361" s="90"/>
      <c r="AFE361" s="90"/>
      <c r="AFF361" s="90"/>
      <c r="AFG361" s="90"/>
      <c r="AFH361" s="90"/>
      <c r="AFI361" s="90"/>
      <c r="AFJ361" s="90"/>
      <c r="AFK361" s="90"/>
      <c r="AFL361" s="90"/>
      <c r="AFM361" s="90"/>
      <c r="AFN361" s="90"/>
      <c r="AFO361" s="90"/>
      <c r="AFP361" s="90"/>
      <c r="AFQ361" s="90"/>
      <c r="AFR361" s="90"/>
      <c r="AFS361" s="90"/>
      <c r="AFT361" s="90"/>
      <c r="AFU361" s="90"/>
      <c r="AFV361" s="90"/>
      <c r="AFW361" s="90"/>
      <c r="AFX361" s="90"/>
      <c r="AFY361" s="90"/>
      <c r="AFZ361" s="90"/>
      <c r="AGA361" s="90"/>
      <c r="AGB361" s="90"/>
      <c r="AGC361" s="90"/>
      <c r="AGD361" s="90"/>
      <c r="AGE361" s="90"/>
      <c r="AGF361" s="90"/>
      <c r="AGG361" s="90"/>
      <c r="AGH361" s="90"/>
      <c r="AGI361" s="90"/>
      <c r="AGJ361" s="90"/>
      <c r="AGK361" s="90"/>
      <c r="AGL361" s="90"/>
      <c r="AGM361" s="90"/>
      <c r="AGN361" s="90"/>
      <c r="AGO361" s="90"/>
      <c r="AGP361" s="90"/>
      <c r="AGQ361" s="90"/>
      <c r="AGR361" s="90"/>
      <c r="AGS361" s="90"/>
      <c r="AGT361" s="90"/>
      <c r="AGU361" s="90"/>
      <c r="AGV361" s="90"/>
      <c r="AGW361" s="90"/>
      <c r="AGX361" s="90"/>
      <c r="AGY361" s="90"/>
      <c r="AGZ361" s="90"/>
      <c r="AHA361" s="90"/>
      <c r="AHB361" s="90"/>
      <c r="AHC361" s="90"/>
      <c r="AHD361" s="90"/>
      <c r="AHE361" s="90"/>
      <c r="AHF361" s="90"/>
      <c r="AHG361" s="90"/>
      <c r="AHH361" s="90"/>
      <c r="AHI361" s="90"/>
      <c r="AHJ361" s="90"/>
      <c r="AHK361" s="90"/>
      <c r="AHL361" s="90"/>
      <c r="AHM361" s="90"/>
      <c r="AHN361" s="90"/>
      <c r="AHO361" s="90"/>
      <c r="AHP361" s="90"/>
      <c r="AHQ361" s="90"/>
      <c r="AHR361" s="90"/>
      <c r="AHS361" s="90"/>
      <c r="AHT361" s="90"/>
      <c r="AHU361" s="90"/>
      <c r="AHV361" s="90"/>
      <c r="AHW361" s="90"/>
      <c r="AHX361" s="90"/>
      <c r="AHY361" s="90"/>
      <c r="AHZ361" s="90"/>
      <c r="AIA361" s="90"/>
      <c r="AIB361" s="90"/>
      <c r="AIC361" s="90"/>
      <c r="AID361" s="90"/>
      <c r="AIE361" s="90"/>
      <c r="AIF361" s="90"/>
      <c r="AIG361" s="90"/>
      <c r="AIH361" s="90"/>
      <c r="AII361" s="90"/>
      <c r="AIJ361" s="90"/>
      <c r="AIK361" s="90"/>
      <c r="AIL361" s="90"/>
      <c r="AIM361" s="90"/>
      <c r="AIN361" s="90"/>
      <c r="AIO361" s="90"/>
      <c r="AIP361" s="90"/>
      <c r="AIQ361" s="90"/>
      <c r="AIR361" s="90"/>
      <c r="AIS361" s="90"/>
      <c r="AIT361" s="90"/>
      <c r="AIU361" s="90"/>
      <c r="AIV361" s="90"/>
      <c r="AIW361" s="90"/>
      <c r="AIX361" s="90"/>
      <c r="AIY361" s="90"/>
      <c r="AIZ361" s="90"/>
      <c r="AJA361" s="90"/>
      <c r="AJB361" s="90"/>
      <c r="AJC361" s="90"/>
      <c r="AJD361" s="90"/>
      <c r="AJE361" s="90"/>
      <c r="AJF361" s="90"/>
      <c r="AJG361" s="90"/>
      <c r="AJH361" s="90"/>
      <c r="AJI361" s="90"/>
      <c r="AJJ361" s="90"/>
      <c r="AJK361" s="90"/>
      <c r="AJL361" s="90"/>
      <c r="AJM361" s="90"/>
      <c r="AJN361" s="90"/>
      <c r="AJO361" s="90"/>
      <c r="AJP361" s="90"/>
      <c r="AJQ361" s="90"/>
      <c r="AJR361" s="90"/>
      <c r="AJS361" s="90"/>
      <c r="AJT361" s="90"/>
      <c r="AJU361" s="90"/>
      <c r="AJV361" s="90"/>
      <c r="AJW361" s="90"/>
      <c r="AJX361" s="90"/>
      <c r="AJY361" s="90"/>
      <c r="AJZ361" s="90"/>
      <c r="AKA361" s="90"/>
      <c r="AKB361" s="90"/>
      <c r="AKC361" s="90"/>
      <c r="AKD361" s="90"/>
      <c r="AKE361" s="90"/>
      <c r="AKF361" s="90"/>
      <c r="AKG361" s="90"/>
      <c r="AKH361" s="90"/>
      <c r="AKI361" s="90"/>
      <c r="AKJ361" s="90"/>
      <c r="AKK361" s="90"/>
      <c r="AKL361" s="90"/>
      <c r="AKM361" s="90"/>
      <c r="AKN361" s="90"/>
      <c r="AKO361" s="90"/>
      <c r="AKP361" s="90"/>
      <c r="AKQ361" s="90"/>
      <c r="AKR361" s="90"/>
      <c r="AKS361" s="90"/>
      <c r="AKT361" s="90"/>
      <c r="AKU361" s="90"/>
      <c r="AKV361" s="90"/>
      <c r="AKW361" s="90"/>
      <c r="AKX361" s="90"/>
      <c r="AKY361" s="90"/>
      <c r="AKZ361" s="90"/>
      <c r="ALA361" s="90"/>
      <c r="ALB361" s="90"/>
      <c r="ALC361" s="90"/>
      <c r="ALD361" s="90"/>
      <c r="ALE361" s="90"/>
      <c r="ALF361" s="90"/>
      <c r="ALG361" s="90"/>
      <c r="ALH361" s="90"/>
      <c r="ALI361" s="90"/>
      <c r="ALJ361" s="90"/>
      <c r="ALK361" s="90"/>
      <c r="ALL361" s="90"/>
      <c r="ALM361" s="90"/>
      <c r="ALN361" s="90"/>
      <c r="ALO361" s="90"/>
      <c r="ALP361" s="90"/>
      <c r="ALQ361" s="90"/>
      <c r="ALR361" s="90"/>
      <c r="ALS361" s="90"/>
      <c r="ALT361" s="90"/>
      <c r="ALU361" s="90"/>
      <c r="ALV361" s="90"/>
      <c r="ALW361" s="90"/>
      <c r="ALX361" s="90"/>
      <c r="ALY361" s="90"/>
      <c r="ALZ361" s="90"/>
      <c r="AMA361" s="90"/>
      <c r="AMB361" s="90"/>
      <c r="AMC361" s="90"/>
    </row>
    <row r="362" spans="1:1017">
      <c r="A362" s="98" t="s">
        <v>54</v>
      </c>
      <c r="B362" s="90" t="str">
        <f t="shared" si="1966"/>
        <v xml:space="preserve">Gurame, Gurami </v>
      </c>
      <c r="Q362" s="91">
        <f t="shared" si="1967"/>
        <v>0</v>
      </c>
      <c r="R362" s="91">
        <f t="shared" si="1968"/>
        <v>0</v>
      </c>
      <c r="Y362" s="98">
        <v>19595</v>
      </c>
      <c r="Z362" s="98">
        <v>685825</v>
      </c>
      <c r="AG362" s="91">
        <f t="shared" si="1969"/>
        <v>19595</v>
      </c>
      <c r="AH362" s="91">
        <f t="shared" si="1970"/>
        <v>685825</v>
      </c>
      <c r="AO362" s="98">
        <v>641000</v>
      </c>
      <c r="AP362" s="98">
        <v>19230000</v>
      </c>
      <c r="AW362" s="91">
        <f t="shared" si="1971"/>
        <v>641000</v>
      </c>
      <c r="AX362" s="91">
        <f t="shared" si="1972"/>
        <v>19230000</v>
      </c>
      <c r="BE362" s="98">
        <v>5762</v>
      </c>
      <c r="BF362" s="98">
        <v>172860</v>
      </c>
      <c r="BM362" s="91">
        <f t="shared" si="1973"/>
        <v>5762</v>
      </c>
      <c r="BN362" s="91">
        <f t="shared" si="1974"/>
        <v>172860</v>
      </c>
      <c r="BU362" s="98">
        <v>3065</v>
      </c>
      <c r="BV362" s="98">
        <v>116470</v>
      </c>
      <c r="CC362" s="91">
        <f t="shared" si="1975"/>
        <v>3065</v>
      </c>
      <c r="CD362" s="91">
        <f t="shared" si="1976"/>
        <v>116470</v>
      </c>
      <c r="CK362" s="98">
        <v>481.81969655820001</v>
      </c>
      <c r="CL362" s="98">
        <v>14460.129000000001</v>
      </c>
      <c r="CS362" s="91">
        <f t="shared" si="1977"/>
        <v>481.81969655820001</v>
      </c>
      <c r="CT362" s="91">
        <f t="shared" si="1978"/>
        <v>14460.129000000001</v>
      </c>
      <c r="DA362" s="98">
        <v>233760</v>
      </c>
      <c r="DB362" s="98">
        <v>6779040</v>
      </c>
      <c r="DI362" s="91">
        <f t="shared" si="1979"/>
        <v>233760</v>
      </c>
      <c r="DJ362" s="91">
        <f t="shared" si="1980"/>
        <v>6779040</v>
      </c>
      <c r="DQ362" s="98">
        <v>26300</v>
      </c>
      <c r="DR362" s="98">
        <v>841600</v>
      </c>
      <c r="DY362" s="91">
        <f t="shared" si="1981"/>
        <v>26300</v>
      </c>
      <c r="DZ362" s="91">
        <f t="shared" si="1982"/>
        <v>841600</v>
      </c>
      <c r="EG362" s="98">
        <v>225600</v>
      </c>
      <c r="EH362" s="98">
        <v>6316800</v>
      </c>
      <c r="EO362" s="91">
        <f t="shared" si="1983"/>
        <v>225600</v>
      </c>
      <c r="EP362" s="91">
        <f t="shared" si="1984"/>
        <v>6316800</v>
      </c>
      <c r="FE362" s="91">
        <f t="shared" si="1985"/>
        <v>0</v>
      </c>
      <c r="FF362" s="91">
        <f t="shared" si="1986"/>
        <v>0</v>
      </c>
      <c r="FM362" s="98">
        <v>64000</v>
      </c>
      <c r="FN362" s="98">
        <v>2240000</v>
      </c>
      <c r="FU362" s="91">
        <f t="shared" si="1987"/>
        <v>64000</v>
      </c>
      <c r="FV362" s="91">
        <f t="shared" si="1988"/>
        <v>2240000</v>
      </c>
      <c r="GC362" s="98">
        <v>38000</v>
      </c>
      <c r="GD362" s="98">
        <v>1064000</v>
      </c>
      <c r="GK362" s="91">
        <f t="shared" si="1989"/>
        <v>38000</v>
      </c>
      <c r="GL362" s="91">
        <f t="shared" si="1990"/>
        <v>1064000</v>
      </c>
      <c r="GS362" s="98">
        <v>6000</v>
      </c>
      <c r="GT362" s="98">
        <v>171000</v>
      </c>
      <c r="HA362" s="91">
        <f t="shared" si="1991"/>
        <v>6000</v>
      </c>
      <c r="HB362" s="91">
        <f t="shared" si="1992"/>
        <v>171000</v>
      </c>
      <c r="HI362" s="98">
        <v>4500</v>
      </c>
      <c r="HJ362" s="98">
        <v>135000</v>
      </c>
      <c r="HQ362" s="91">
        <f t="shared" si="1993"/>
        <v>4500</v>
      </c>
      <c r="HR362" s="91">
        <f t="shared" si="1994"/>
        <v>135000</v>
      </c>
      <c r="HY362" s="98">
        <v>3300</v>
      </c>
      <c r="HZ362" s="98">
        <v>105600</v>
      </c>
      <c r="IG362" s="91">
        <f t="shared" si="1995"/>
        <v>3300</v>
      </c>
      <c r="IH362" s="91">
        <f t="shared" si="1996"/>
        <v>105600</v>
      </c>
      <c r="IO362" s="98">
        <v>97950</v>
      </c>
      <c r="IP362" s="98">
        <v>2938500</v>
      </c>
      <c r="IW362" s="91">
        <f t="shared" si="1997"/>
        <v>97950</v>
      </c>
      <c r="IX362" s="91">
        <f t="shared" si="1998"/>
        <v>2938500</v>
      </c>
      <c r="JE362" s="98">
        <v>14380</v>
      </c>
      <c r="JF362" s="98">
        <v>431400</v>
      </c>
      <c r="JM362" s="91">
        <f t="shared" si="1999"/>
        <v>14380</v>
      </c>
      <c r="JN362" s="91">
        <f t="shared" si="2000"/>
        <v>431400</v>
      </c>
      <c r="KC362" s="91">
        <f t="shared" si="2001"/>
        <v>0</v>
      </c>
      <c r="KD362" s="91">
        <f t="shared" si="2002"/>
        <v>0</v>
      </c>
      <c r="KK362" s="98">
        <v>250</v>
      </c>
      <c r="KL362" s="98">
        <v>12500</v>
      </c>
      <c r="KS362" s="91">
        <f t="shared" si="2003"/>
        <v>250</v>
      </c>
      <c r="KT362" s="91">
        <f t="shared" si="2004"/>
        <v>12500</v>
      </c>
      <c r="LA362" s="98">
        <v>16387.28</v>
      </c>
      <c r="LB362" s="98">
        <v>573554</v>
      </c>
      <c r="LI362" s="91">
        <f t="shared" si="2005"/>
        <v>16387.28</v>
      </c>
      <c r="LJ362" s="91">
        <f t="shared" si="2006"/>
        <v>573554</v>
      </c>
      <c r="LQ362" s="98">
        <v>25017</v>
      </c>
      <c r="LR362" s="98">
        <v>702727.53</v>
      </c>
      <c r="LY362" s="91">
        <f t="shared" si="2007"/>
        <v>25017</v>
      </c>
      <c r="LZ362" s="91">
        <f t="shared" si="2008"/>
        <v>702727.53</v>
      </c>
      <c r="MO362" s="91">
        <f t="shared" si="2009"/>
        <v>0</v>
      </c>
      <c r="MP362" s="91">
        <f t="shared" si="2010"/>
        <v>0</v>
      </c>
      <c r="NE362" s="91">
        <f t="shared" si="2011"/>
        <v>0</v>
      </c>
      <c r="NF362" s="91">
        <f t="shared" si="2012"/>
        <v>0</v>
      </c>
      <c r="NM362" s="98">
        <v>21500</v>
      </c>
      <c r="NN362" s="98">
        <v>602000</v>
      </c>
      <c r="NQ362" s="98">
        <v>800</v>
      </c>
      <c r="NR362" s="98">
        <v>22400</v>
      </c>
      <c r="NU362" s="91">
        <f t="shared" si="2013"/>
        <v>22300</v>
      </c>
      <c r="NV362" s="91">
        <f t="shared" si="2014"/>
        <v>624400</v>
      </c>
      <c r="OC362" s="98">
        <v>1086</v>
      </c>
      <c r="OD362" s="98">
        <v>43440</v>
      </c>
      <c r="OK362" s="91">
        <f t="shared" si="2015"/>
        <v>1086</v>
      </c>
      <c r="OL362" s="91">
        <f t="shared" si="2016"/>
        <v>43440</v>
      </c>
      <c r="OS362" s="98">
        <v>1260</v>
      </c>
      <c r="OT362" s="98">
        <v>64260</v>
      </c>
      <c r="PA362" s="91">
        <f t="shared" si="2017"/>
        <v>1260</v>
      </c>
      <c r="PB362" s="91">
        <f t="shared" si="2018"/>
        <v>64260</v>
      </c>
      <c r="PI362" s="98">
        <v>20593</v>
      </c>
      <c r="PJ362" s="98">
        <v>453046</v>
      </c>
      <c r="PQ362" s="91">
        <f t="shared" si="2019"/>
        <v>20593</v>
      </c>
      <c r="PR362" s="91">
        <f t="shared" si="2020"/>
        <v>453046</v>
      </c>
      <c r="PY362" s="98">
        <v>2010</v>
      </c>
      <c r="PZ362" s="98">
        <v>60300</v>
      </c>
      <c r="QG362" s="91">
        <f t="shared" si="2021"/>
        <v>2010</v>
      </c>
      <c r="QH362" s="91">
        <f t="shared" si="2022"/>
        <v>60300</v>
      </c>
      <c r="QO362" s="98">
        <v>1680000</v>
      </c>
      <c r="QP362" s="98">
        <v>40320000</v>
      </c>
      <c r="QW362" s="91">
        <f t="shared" si="2023"/>
        <v>1680000</v>
      </c>
      <c r="QX362" s="91">
        <f t="shared" si="2024"/>
        <v>40320000</v>
      </c>
      <c r="RM362" s="91">
        <f t="shared" si="2025"/>
        <v>0</v>
      </c>
      <c r="RN362" s="91">
        <f t="shared" si="2026"/>
        <v>0</v>
      </c>
      <c r="RU362" s="98">
        <v>3100</v>
      </c>
      <c r="RV362" s="98">
        <v>80600</v>
      </c>
      <c r="SC362" s="91">
        <f t="shared" si="2027"/>
        <v>3100</v>
      </c>
      <c r="SD362" s="91">
        <f t="shared" si="2028"/>
        <v>80600</v>
      </c>
      <c r="SS362" s="91">
        <f t="shared" si="2029"/>
        <v>0</v>
      </c>
      <c r="ST362" s="91">
        <f t="shared" si="2030"/>
        <v>0</v>
      </c>
      <c r="TA362" s="98">
        <v>2535</v>
      </c>
      <c r="TB362" s="98">
        <v>76050</v>
      </c>
      <c r="TI362" s="91">
        <f t="shared" si="2031"/>
        <v>2535</v>
      </c>
      <c r="TJ362" s="91">
        <f t="shared" si="2032"/>
        <v>76050</v>
      </c>
      <c r="TY362" s="91">
        <f t="shared" si="2033"/>
        <v>0</v>
      </c>
      <c r="TZ362" s="91">
        <f t="shared" si="2034"/>
        <v>0</v>
      </c>
      <c r="UG362" s="98">
        <v>280</v>
      </c>
      <c r="UH362" s="98">
        <v>8400</v>
      </c>
      <c r="UO362" s="91">
        <f t="shared" si="2035"/>
        <v>280</v>
      </c>
      <c r="UP362" s="91">
        <f t="shared" si="2036"/>
        <v>8400</v>
      </c>
      <c r="VE362" s="91">
        <f t="shared" si="2037"/>
        <v>0</v>
      </c>
      <c r="VF362" s="91">
        <f t="shared" si="2038"/>
        <v>0</v>
      </c>
      <c r="VM362" s="98">
        <v>338</v>
      </c>
      <c r="VN362" s="98">
        <v>12506</v>
      </c>
      <c r="VU362" s="91">
        <f t="shared" si="2039"/>
        <v>338</v>
      </c>
      <c r="VV362" s="91">
        <f t="shared" si="2040"/>
        <v>12506</v>
      </c>
      <c r="WK362" s="91">
        <f t="shared" si="2041"/>
        <v>0</v>
      </c>
      <c r="WL362" s="91">
        <f t="shared" si="2042"/>
        <v>0</v>
      </c>
      <c r="WM362" s="89"/>
      <c r="WN362" s="87">
        <f t="shared" si="2043"/>
        <v>0</v>
      </c>
      <c r="WO362" s="87">
        <f t="shared" si="2044"/>
        <v>0</v>
      </c>
      <c r="WP362" s="87">
        <f t="shared" si="2045"/>
        <v>0</v>
      </c>
      <c r="WQ362" s="87">
        <f t="shared" si="2046"/>
        <v>0</v>
      </c>
      <c r="WR362" s="87">
        <f t="shared" si="2047"/>
        <v>0</v>
      </c>
      <c r="WS362" s="87">
        <f t="shared" si="2048"/>
        <v>0</v>
      </c>
      <c r="WT362" s="87">
        <f t="shared" si="2049"/>
        <v>3158050.099696558</v>
      </c>
      <c r="WU362" s="87">
        <f t="shared" si="2050"/>
        <v>84251938.659000009</v>
      </c>
      <c r="WV362" s="87">
        <f t="shared" si="2051"/>
        <v>0</v>
      </c>
      <c r="WW362" s="87">
        <f t="shared" si="2052"/>
        <v>0</v>
      </c>
      <c r="WX362" s="87">
        <f t="shared" si="2053"/>
        <v>800</v>
      </c>
      <c r="WY362" s="87">
        <f t="shared" si="2054"/>
        <v>22400</v>
      </c>
      <c r="WZ362" s="87">
        <f t="shared" si="2055"/>
        <v>0</v>
      </c>
      <c r="XA362" s="87">
        <f t="shared" si="2056"/>
        <v>0</v>
      </c>
      <c r="XB362" s="92">
        <f t="shared" si="2057"/>
        <v>3158850.099696558</v>
      </c>
      <c r="XC362" s="92">
        <f t="shared" si="2058"/>
        <v>84274338.659000009</v>
      </c>
      <c r="XD362" s="89"/>
      <c r="XE362" s="92"/>
      <c r="XF362" s="92"/>
      <c r="XG362" s="89"/>
      <c r="XH362" s="92"/>
      <c r="XI362" s="92"/>
      <c r="XJ362" s="89"/>
      <c r="XK362" s="87"/>
      <c r="XL362" s="87"/>
      <c r="XM362" s="87"/>
      <c r="XN362" s="87"/>
      <c r="XO362" s="87"/>
      <c r="XP362" s="87"/>
      <c r="XQ362" s="87"/>
      <c r="XR362" s="92">
        <f t="shared" ca="1" si="2059"/>
        <v>0</v>
      </c>
      <c r="XS362" s="89"/>
      <c r="XT362" s="87"/>
      <c r="XU362" s="87"/>
      <c r="XV362" s="87"/>
      <c r="XW362" s="87"/>
      <c r="XX362" s="87"/>
      <c r="XY362" s="87"/>
      <c r="XZ362" s="87"/>
      <c r="YA362" s="92">
        <f t="shared" ca="1" si="2060"/>
        <v>0</v>
      </c>
      <c r="YB362" s="90"/>
      <c r="YC362" s="90"/>
      <c r="YD362" s="90"/>
      <c r="YE362" s="90"/>
      <c r="YF362" s="90"/>
      <c r="YG362" s="90"/>
      <c r="YH362" s="90"/>
      <c r="YI362" s="90"/>
      <c r="YJ362" s="90"/>
      <c r="YK362" s="90"/>
      <c r="YL362" s="90"/>
      <c r="YM362" s="90"/>
      <c r="YN362" s="90"/>
      <c r="YO362" s="90"/>
      <c r="YP362" s="90"/>
      <c r="YQ362" s="90"/>
      <c r="YR362" s="90"/>
      <c r="YS362" s="90"/>
      <c r="YT362" s="90"/>
      <c r="YU362" s="90"/>
      <c r="YV362" s="90"/>
      <c r="YW362" s="90"/>
      <c r="YX362" s="90"/>
      <c r="YY362" s="90"/>
      <c r="YZ362" s="90"/>
      <c r="ZA362" s="90"/>
      <c r="ZB362" s="90"/>
      <c r="ZC362" s="90"/>
      <c r="ZD362" s="90"/>
      <c r="ZE362" s="90"/>
      <c r="ZF362" s="90"/>
      <c r="ZG362" s="90"/>
      <c r="ZH362" s="90"/>
      <c r="ZI362" s="90"/>
      <c r="ZJ362" s="90"/>
      <c r="ZK362" s="90"/>
      <c r="ZL362" s="90"/>
      <c r="ZM362" s="90"/>
      <c r="ZN362" s="90"/>
      <c r="ZO362" s="90"/>
      <c r="ZP362" s="90"/>
      <c r="ZQ362" s="90"/>
      <c r="ZR362" s="90"/>
      <c r="ZS362" s="90"/>
      <c r="ZT362" s="90"/>
      <c r="ZU362" s="90"/>
      <c r="ZV362" s="90"/>
      <c r="ZW362" s="90"/>
      <c r="ZX362" s="90"/>
      <c r="ZY362" s="90"/>
      <c r="ZZ362" s="90"/>
      <c r="AAA362" s="90"/>
      <c r="AAB362" s="90"/>
      <c r="AAC362" s="90"/>
      <c r="AAD362" s="90"/>
      <c r="AAE362" s="90"/>
      <c r="AAF362" s="90"/>
      <c r="AAG362" s="90"/>
      <c r="AAH362" s="90"/>
      <c r="AAI362" s="90"/>
      <c r="AAJ362" s="90"/>
      <c r="AAK362" s="90"/>
      <c r="AAL362" s="90"/>
      <c r="AAM362" s="90"/>
      <c r="AAN362" s="90"/>
      <c r="AAO362" s="90"/>
      <c r="AAP362" s="90"/>
      <c r="AAQ362" s="90"/>
      <c r="AAR362" s="90"/>
      <c r="AAS362" s="90"/>
      <c r="AAT362" s="90"/>
      <c r="AAU362" s="90"/>
      <c r="AAV362" s="90"/>
      <c r="AAW362" s="90"/>
      <c r="AAX362" s="90"/>
      <c r="AAY362" s="90"/>
      <c r="AAZ362" s="90"/>
      <c r="ABA362" s="90"/>
      <c r="ABB362" s="90"/>
      <c r="ABC362" s="90"/>
      <c r="ABD362" s="90"/>
      <c r="ABE362" s="90"/>
      <c r="ABF362" s="90"/>
      <c r="ABG362" s="90"/>
      <c r="ABH362" s="90"/>
      <c r="ABI362" s="90"/>
      <c r="ABJ362" s="90"/>
      <c r="ABK362" s="90"/>
      <c r="ABL362" s="90"/>
      <c r="ABM362" s="90"/>
      <c r="ABN362" s="90"/>
      <c r="ABO362" s="90"/>
      <c r="ABP362" s="90"/>
      <c r="ABQ362" s="90"/>
      <c r="ABR362" s="90"/>
      <c r="ABS362" s="90"/>
      <c r="ABT362" s="90"/>
      <c r="ABU362" s="90"/>
      <c r="ABV362" s="90"/>
      <c r="ABW362" s="90"/>
      <c r="ABX362" s="90"/>
      <c r="ABY362" s="90"/>
      <c r="ABZ362" s="90"/>
      <c r="ACA362" s="90"/>
      <c r="ACB362" s="90"/>
      <c r="ACC362" s="90"/>
      <c r="ACD362" s="90"/>
      <c r="ACE362" s="90"/>
      <c r="ACF362" s="90"/>
      <c r="ACG362" s="90"/>
      <c r="ACH362" s="90"/>
      <c r="ACI362" s="90"/>
      <c r="ACJ362" s="90"/>
      <c r="ACK362" s="90"/>
      <c r="ACL362" s="90"/>
      <c r="ACM362" s="90"/>
      <c r="ACN362" s="90"/>
      <c r="ACO362" s="90"/>
      <c r="ACP362" s="90"/>
      <c r="ACQ362" s="90"/>
      <c r="ACR362" s="90"/>
      <c r="ACS362" s="90"/>
      <c r="ACT362" s="90"/>
      <c r="ACU362" s="90"/>
      <c r="ACV362" s="90"/>
      <c r="ACW362" s="90"/>
      <c r="ACX362" s="90"/>
      <c r="ACY362" s="90"/>
      <c r="ACZ362" s="90"/>
      <c r="ADA362" s="90"/>
      <c r="ADB362" s="90"/>
      <c r="ADC362" s="90"/>
      <c r="ADD362" s="90"/>
      <c r="ADE362" s="90"/>
      <c r="ADF362" s="90"/>
      <c r="ADG362" s="90"/>
      <c r="ADH362" s="90"/>
      <c r="ADI362" s="90"/>
      <c r="ADJ362" s="90"/>
      <c r="ADK362" s="90"/>
      <c r="ADL362" s="90"/>
      <c r="ADM362" s="90"/>
      <c r="ADN362" s="90"/>
      <c r="ADO362" s="90"/>
      <c r="ADP362" s="90"/>
      <c r="ADQ362" s="90"/>
      <c r="ADR362" s="90"/>
      <c r="ADS362" s="90"/>
      <c r="ADT362" s="90"/>
      <c r="ADU362" s="90"/>
      <c r="ADV362" s="90"/>
      <c r="ADW362" s="90"/>
      <c r="ADX362" s="90"/>
      <c r="ADY362" s="90"/>
      <c r="ADZ362" s="90"/>
      <c r="AEA362" s="90"/>
      <c r="AEB362" s="90"/>
      <c r="AEC362" s="90"/>
      <c r="AED362" s="90"/>
      <c r="AEE362" s="90"/>
      <c r="AEF362" s="90"/>
      <c r="AEG362" s="90"/>
      <c r="AEH362" s="90"/>
      <c r="AEI362" s="90"/>
      <c r="AEJ362" s="90"/>
      <c r="AEK362" s="90"/>
      <c r="AEL362" s="90"/>
      <c r="AEM362" s="90"/>
      <c r="AEN362" s="90"/>
      <c r="AEO362" s="90"/>
      <c r="AEP362" s="90"/>
      <c r="AEQ362" s="90"/>
      <c r="AER362" s="90"/>
      <c r="AES362" s="90"/>
      <c r="AET362" s="90"/>
      <c r="AEU362" s="90"/>
      <c r="AEV362" s="90"/>
      <c r="AEW362" s="90"/>
      <c r="AEX362" s="90"/>
      <c r="AEY362" s="90"/>
      <c r="AEZ362" s="90"/>
      <c r="AFA362" s="90"/>
      <c r="AFB362" s="90"/>
      <c r="AFC362" s="90"/>
      <c r="AFD362" s="90"/>
      <c r="AFE362" s="90"/>
      <c r="AFF362" s="90"/>
      <c r="AFG362" s="90"/>
      <c r="AFH362" s="90"/>
      <c r="AFI362" s="90"/>
      <c r="AFJ362" s="90"/>
      <c r="AFK362" s="90"/>
      <c r="AFL362" s="90"/>
      <c r="AFM362" s="90"/>
      <c r="AFN362" s="90"/>
      <c r="AFO362" s="90"/>
      <c r="AFP362" s="90"/>
      <c r="AFQ362" s="90"/>
      <c r="AFR362" s="90"/>
      <c r="AFS362" s="90"/>
      <c r="AFT362" s="90"/>
      <c r="AFU362" s="90"/>
      <c r="AFV362" s="90"/>
      <c r="AFW362" s="90"/>
      <c r="AFX362" s="90"/>
      <c r="AFY362" s="90"/>
      <c r="AFZ362" s="90"/>
      <c r="AGA362" s="90"/>
      <c r="AGB362" s="90"/>
      <c r="AGC362" s="90"/>
      <c r="AGD362" s="90"/>
      <c r="AGE362" s="90"/>
      <c r="AGF362" s="90"/>
      <c r="AGG362" s="90"/>
      <c r="AGH362" s="90"/>
      <c r="AGI362" s="90"/>
      <c r="AGJ362" s="90"/>
      <c r="AGK362" s="90"/>
      <c r="AGL362" s="90"/>
      <c r="AGM362" s="90"/>
      <c r="AGN362" s="90"/>
      <c r="AGO362" s="90"/>
      <c r="AGP362" s="90"/>
      <c r="AGQ362" s="90"/>
      <c r="AGR362" s="90"/>
      <c r="AGS362" s="90"/>
      <c r="AGT362" s="90"/>
      <c r="AGU362" s="90"/>
      <c r="AGV362" s="90"/>
      <c r="AGW362" s="90"/>
      <c r="AGX362" s="90"/>
      <c r="AGY362" s="90"/>
      <c r="AGZ362" s="90"/>
      <c r="AHA362" s="90"/>
      <c r="AHB362" s="90"/>
      <c r="AHC362" s="90"/>
      <c r="AHD362" s="90"/>
      <c r="AHE362" s="90"/>
      <c r="AHF362" s="90"/>
      <c r="AHG362" s="90"/>
      <c r="AHH362" s="90"/>
      <c r="AHI362" s="90"/>
      <c r="AHJ362" s="90"/>
      <c r="AHK362" s="90"/>
      <c r="AHL362" s="90"/>
      <c r="AHM362" s="90"/>
      <c r="AHN362" s="90"/>
      <c r="AHO362" s="90"/>
      <c r="AHP362" s="90"/>
      <c r="AHQ362" s="90"/>
      <c r="AHR362" s="90"/>
      <c r="AHS362" s="90"/>
      <c r="AHT362" s="90"/>
      <c r="AHU362" s="90"/>
      <c r="AHV362" s="90"/>
      <c r="AHW362" s="90"/>
      <c r="AHX362" s="90"/>
      <c r="AHY362" s="90"/>
      <c r="AHZ362" s="90"/>
      <c r="AIA362" s="90"/>
      <c r="AIB362" s="90"/>
      <c r="AIC362" s="90"/>
      <c r="AID362" s="90"/>
      <c r="AIE362" s="90"/>
      <c r="AIF362" s="90"/>
      <c r="AIG362" s="90"/>
      <c r="AIH362" s="90"/>
      <c r="AII362" s="90"/>
      <c r="AIJ362" s="90"/>
      <c r="AIK362" s="90"/>
      <c r="AIL362" s="90"/>
      <c r="AIM362" s="90"/>
      <c r="AIN362" s="90"/>
      <c r="AIO362" s="90"/>
      <c r="AIP362" s="90"/>
      <c r="AIQ362" s="90"/>
      <c r="AIR362" s="90"/>
      <c r="AIS362" s="90"/>
      <c r="AIT362" s="90"/>
      <c r="AIU362" s="90"/>
      <c r="AIV362" s="90"/>
      <c r="AIW362" s="90"/>
      <c r="AIX362" s="90"/>
      <c r="AIY362" s="90"/>
      <c r="AIZ362" s="90"/>
      <c r="AJA362" s="90"/>
      <c r="AJB362" s="90"/>
      <c r="AJC362" s="90"/>
      <c r="AJD362" s="90"/>
      <c r="AJE362" s="90"/>
      <c r="AJF362" s="90"/>
      <c r="AJG362" s="90"/>
      <c r="AJH362" s="90"/>
      <c r="AJI362" s="90"/>
      <c r="AJJ362" s="90"/>
      <c r="AJK362" s="90"/>
      <c r="AJL362" s="90"/>
      <c r="AJM362" s="90"/>
      <c r="AJN362" s="90"/>
      <c r="AJO362" s="90"/>
      <c r="AJP362" s="90"/>
      <c r="AJQ362" s="90"/>
      <c r="AJR362" s="90"/>
      <c r="AJS362" s="90"/>
      <c r="AJT362" s="90"/>
      <c r="AJU362" s="90"/>
      <c r="AJV362" s="90"/>
      <c r="AJW362" s="90"/>
      <c r="AJX362" s="90"/>
      <c r="AJY362" s="90"/>
      <c r="AJZ362" s="90"/>
      <c r="AKA362" s="90"/>
      <c r="AKB362" s="90"/>
      <c r="AKC362" s="90"/>
      <c r="AKD362" s="90"/>
      <c r="AKE362" s="90"/>
      <c r="AKF362" s="90"/>
      <c r="AKG362" s="90"/>
      <c r="AKH362" s="90"/>
      <c r="AKI362" s="90"/>
      <c r="AKJ362" s="90"/>
      <c r="AKK362" s="90"/>
      <c r="AKL362" s="90"/>
      <c r="AKM362" s="90"/>
      <c r="AKN362" s="90"/>
      <c r="AKO362" s="90"/>
      <c r="AKP362" s="90"/>
      <c r="AKQ362" s="90"/>
      <c r="AKR362" s="90"/>
      <c r="AKS362" s="90"/>
      <c r="AKT362" s="90"/>
      <c r="AKU362" s="90"/>
      <c r="AKV362" s="90"/>
      <c r="AKW362" s="90"/>
      <c r="AKX362" s="90"/>
      <c r="AKY362" s="90"/>
      <c r="AKZ362" s="90"/>
      <c r="ALA362" s="90"/>
      <c r="ALB362" s="90"/>
      <c r="ALC362" s="90"/>
      <c r="ALD362" s="90"/>
      <c r="ALE362" s="90"/>
      <c r="ALF362" s="90"/>
      <c r="ALG362" s="90"/>
      <c r="ALH362" s="90"/>
      <c r="ALI362" s="90"/>
      <c r="ALJ362" s="90"/>
      <c r="ALK362" s="90"/>
      <c r="ALL362" s="90"/>
      <c r="ALM362" s="90"/>
      <c r="ALN362" s="90"/>
      <c r="ALO362" s="90"/>
      <c r="ALP362" s="90"/>
      <c r="ALQ362" s="90"/>
      <c r="ALR362" s="90"/>
      <c r="ALS362" s="90"/>
      <c r="ALT362" s="90"/>
      <c r="ALU362" s="90"/>
      <c r="ALV362" s="90"/>
      <c r="ALW362" s="90"/>
      <c r="ALX362" s="90"/>
      <c r="ALY362" s="90"/>
      <c r="ALZ362" s="90"/>
      <c r="AMA362" s="90"/>
      <c r="AMB362" s="90"/>
      <c r="AMC362" s="90"/>
    </row>
    <row r="363" spans="1:1017">
      <c r="A363" s="98" t="s">
        <v>54</v>
      </c>
      <c r="B363" s="90" t="str">
        <f t="shared" si="1966"/>
        <v>Kakap Putih</v>
      </c>
      <c r="E363" s="98">
        <v>158200</v>
      </c>
      <c r="F363" s="98">
        <v>9492000</v>
      </c>
      <c r="Q363" s="91">
        <f t="shared" si="1967"/>
        <v>158200</v>
      </c>
      <c r="R363" s="91">
        <f t="shared" si="1968"/>
        <v>9492000</v>
      </c>
      <c r="S363" s="98">
        <v>310</v>
      </c>
      <c r="T363" s="98">
        <v>20150</v>
      </c>
      <c r="U363" s="98">
        <v>4940</v>
      </c>
      <c r="V363" s="98">
        <v>321100</v>
      </c>
      <c r="AG363" s="91">
        <f t="shared" si="1969"/>
        <v>5250</v>
      </c>
      <c r="AH363" s="91">
        <f t="shared" si="1970"/>
        <v>341250</v>
      </c>
      <c r="AW363" s="91">
        <f t="shared" si="1971"/>
        <v>0</v>
      </c>
      <c r="AX363" s="91">
        <f t="shared" si="1972"/>
        <v>0</v>
      </c>
      <c r="BM363" s="91">
        <f t="shared" si="1973"/>
        <v>0</v>
      </c>
      <c r="BN363" s="91">
        <f t="shared" si="1974"/>
        <v>0</v>
      </c>
      <c r="CC363" s="91">
        <f t="shared" si="1975"/>
        <v>0</v>
      </c>
      <c r="CD363" s="91">
        <f t="shared" si="1976"/>
        <v>0</v>
      </c>
      <c r="CG363" s="98">
        <v>1345.35244356513</v>
      </c>
      <c r="CH363" s="98">
        <v>47075.008000000002</v>
      </c>
      <c r="CS363" s="91">
        <f t="shared" si="1977"/>
        <v>1345.35244356513</v>
      </c>
      <c r="CT363" s="91">
        <f t="shared" si="1978"/>
        <v>47075.008000000002</v>
      </c>
      <c r="DI363" s="91">
        <f t="shared" si="1979"/>
        <v>0</v>
      </c>
      <c r="DJ363" s="91">
        <f t="shared" si="1980"/>
        <v>0</v>
      </c>
      <c r="DY363" s="91">
        <f t="shared" si="1981"/>
        <v>0</v>
      </c>
      <c r="DZ363" s="91">
        <f t="shared" si="1982"/>
        <v>0</v>
      </c>
      <c r="EO363" s="91">
        <f t="shared" si="1983"/>
        <v>0</v>
      </c>
      <c r="EP363" s="91">
        <f t="shared" si="1984"/>
        <v>0</v>
      </c>
      <c r="FE363" s="91">
        <f t="shared" si="1985"/>
        <v>0</v>
      </c>
      <c r="FF363" s="91">
        <f t="shared" si="1986"/>
        <v>0</v>
      </c>
      <c r="FU363" s="91">
        <f t="shared" si="1987"/>
        <v>0</v>
      </c>
      <c r="FV363" s="91">
        <f t="shared" si="1988"/>
        <v>0</v>
      </c>
      <c r="GK363" s="91">
        <f t="shared" si="1989"/>
        <v>0</v>
      </c>
      <c r="GL363" s="91">
        <f t="shared" si="1990"/>
        <v>0</v>
      </c>
      <c r="HA363" s="91">
        <f t="shared" si="1991"/>
        <v>0</v>
      </c>
      <c r="HB363" s="91">
        <f t="shared" si="1992"/>
        <v>0</v>
      </c>
      <c r="HQ363" s="91">
        <f t="shared" si="1993"/>
        <v>0</v>
      </c>
      <c r="HR363" s="91">
        <f t="shared" si="1994"/>
        <v>0</v>
      </c>
      <c r="IG363" s="91">
        <f t="shared" si="1995"/>
        <v>0</v>
      </c>
      <c r="IH363" s="91">
        <f t="shared" si="1996"/>
        <v>0</v>
      </c>
      <c r="IW363" s="91">
        <f t="shared" si="1997"/>
        <v>0</v>
      </c>
      <c r="IX363" s="91">
        <f t="shared" si="1998"/>
        <v>0</v>
      </c>
      <c r="JM363" s="91">
        <f t="shared" si="1999"/>
        <v>0</v>
      </c>
      <c r="JN363" s="91">
        <f t="shared" si="2000"/>
        <v>0</v>
      </c>
      <c r="KC363" s="91">
        <f t="shared" si="2001"/>
        <v>0</v>
      </c>
      <c r="KD363" s="91">
        <f t="shared" si="2002"/>
        <v>0</v>
      </c>
      <c r="KS363" s="91">
        <f t="shared" si="2003"/>
        <v>0</v>
      </c>
      <c r="KT363" s="91">
        <f t="shared" si="2004"/>
        <v>0</v>
      </c>
      <c r="LI363" s="91">
        <f t="shared" si="2005"/>
        <v>0</v>
      </c>
      <c r="LJ363" s="91">
        <f t="shared" si="2006"/>
        <v>0</v>
      </c>
      <c r="LY363" s="91">
        <f t="shared" si="2007"/>
        <v>0</v>
      </c>
      <c r="LZ363" s="91">
        <f t="shared" si="2008"/>
        <v>0</v>
      </c>
      <c r="MO363" s="91">
        <f t="shared" si="2009"/>
        <v>0</v>
      </c>
      <c r="MP363" s="91">
        <f t="shared" si="2010"/>
        <v>0</v>
      </c>
      <c r="MS363" s="98">
        <v>80</v>
      </c>
      <c r="MT363" s="98">
        <v>2400</v>
      </c>
      <c r="NE363" s="91">
        <f t="shared" si="2011"/>
        <v>80</v>
      </c>
      <c r="NF363" s="91">
        <f t="shared" si="2012"/>
        <v>2400</v>
      </c>
      <c r="NI363" s="98">
        <v>4255</v>
      </c>
      <c r="NJ363" s="98">
        <v>148925</v>
      </c>
      <c r="NU363" s="91">
        <f t="shared" si="2013"/>
        <v>4255</v>
      </c>
      <c r="NV363" s="91">
        <f t="shared" si="2014"/>
        <v>148925</v>
      </c>
      <c r="NW363" s="98">
        <v>230</v>
      </c>
      <c r="NX363" s="98">
        <v>18400</v>
      </c>
      <c r="NY363" s="98">
        <v>8970</v>
      </c>
      <c r="NZ363" s="98">
        <v>403650</v>
      </c>
      <c r="OK363" s="91">
        <f t="shared" si="2015"/>
        <v>9200</v>
      </c>
      <c r="OL363" s="91">
        <f t="shared" si="2016"/>
        <v>422050</v>
      </c>
      <c r="PA363" s="91">
        <f t="shared" si="2017"/>
        <v>0</v>
      </c>
      <c r="PB363" s="91">
        <f t="shared" si="2018"/>
        <v>0</v>
      </c>
      <c r="PQ363" s="91">
        <f t="shared" si="2019"/>
        <v>0</v>
      </c>
      <c r="PR363" s="91">
        <f t="shared" si="2020"/>
        <v>0</v>
      </c>
      <c r="PU363" s="98">
        <v>1000</v>
      </c>
      <c r="PV363" s="98">
        <v>40000</v>
      </c>
      <c r="QG363" s="91">
        <f t="shared" si="2021"/>
        <v>1000</v>
      </c>
      <c r="QH363" s="91">
        <f t="shared" si="2022"/>
        <v>40000</v>
      </c>
      <c r="QW363" s="91">
        <f t="shared" si="2023"/>
        <v>0</v>
      </c>
      <c r="QX363" s="91">
        <f t="shared" si="2024"/>
        <v>0</v>
      </c>
      <c r="RM363" s="91">
        <f t="shared" si="2025"/>
        <v>0</v>
      </c>
      <c r="RN363" s="91">
        <f t="shared" si="2026"/>
        <v>0</v>
      </c>
      <c r="SC363" s="91">
        <f t="shared" si="2027"/>
        <v>0</v>
      </c>
      <c r="SD363" s="91">
        <f t="shared" si="2028"/>
        <v>0</v>
      </c>
      <c r="SS363" s="91">
        <f t="shared" si="2029"/>
        <v>0</v>
      </c>
      <c r="ST363" s="91">
        <f t="shared" si="2030"/>
        <v>0</v>
      </c>
      <c r="TI363" s="91">
        <f t="shared" si="2031"/>
        <v>0</v>
      </c>
      <c r="TJ363" s="91">
        <f t="shared" si="2032"/>
        <v>0</v>
      </c>
      <c r="TY363" s="91">
        <f t="shared" si="2033"/>
        <v>0</v>
      </c>
      <c r="TZ363" s="91">
        <f t="shared" si="2034"/>
        <v>0</v>
      </c>
      <c r="UO363" s="91">
        <f t="shared" si="2035"/>
        <v>0</v>
      </c>
      <c r="UP363" s="91">
        <f t="shared" si="2036"/>
        <v>0</v>
      </c>
      <c r="VE363" s="91">
        <f t="shared" si="2037"/>
        <v>0</v>
      </c>
      <c r="VF363" s="91">
        <f t="shared" si="2038"/>
        <v>0</v>
      </c>
      <c r="VI363" s="98">
        <v>7</v>
      </c>
      <c r="VJ363" s="98">
        <v>280</v>
      </c>
      <c r="VU363" s="91">
        <f t="shared" si="2039"/>
        <v>7</v>
      </c>
      <c r="VV363" s="91">
        <f t="shared" si="2040"/>
        <v>280</v>
      </c>
      <c r="WK363" s="91">
        <f t="shared" si="2041"/>
        <v>0</v>
      </c>
      <c r="WL363" s="91">
        <f t="shared" si="2042"/>
        <v>0</v>
      </c>
      <c r="WM363" s="89"/>
      <c r="WN363" s="87">
        <f t="shared" si="2043"/>
        <v>540</v>
      </c>
      <c r="WO363" s="87">
        <f t="shared" si="2044"/>
        <v>38550</v>
      </c>
      <c r="WP363" s="87">
        <f t="shared" si="2045"/>
        <v>178797.35244356512</v>
      </c>
      <c r="WQ363" s="87">
        <f t="shared" si="2046"/>
        <v>10455430.007999999</v>
      </c>
      <c r="WR363" s="87">
        <f t="shared" si="2047"/>
        <v>0</v>
      </c>
      <c r="WS363" s="87">
        <f t="shared" si="2048"/>
        <v>0</v>
      </c>
      <c r="WT363" s="87">
        <f t="shared" si="2049"/>
        <v>0</v>
      </c>
      <c r="WU363" s="87">
        <f t="shared" si="2050"/>
        <v>0</v>
      </c>
      <c r="WV363" s="87">
        <f t="shared" si="2051"/>
        <v>0</v>
      </c>
      <c r="WW363" s="87">
        <f t="shared" si="2052"/>
        <v>0</v>
      </c>
      <c r="WX363" s="87">
        <f t="shared" si="2053"/>
        <v>0</v>
      </c>
      <c r="WY363" s="87">
        <f t="shared" si="2054"/>
        <v>0</v>
      </c>
      <c r="WZ363" s="87">
        <f t="shared" si="2055"/>
        <v>0</v>
      </c>
      <c r="XA363" s="87">
        <f t="shared" si="2056"/>
        <v>0</v>
      </c>
      <c r="XB363" s="92">
        <f t="shared" si="2057"/>
        <v>179337.35244356512</v>
      </c>
      <c r="XC363" s="92">
        <f t="shared" si="2058"/>
        <v>10493980.007999999</v>
      </c>
      <c r="XD363" s="89"/>
      <c r="XE363" s="92"/>
      <c r="XF363" s="92"/>
      <c r="XG363" s="89"/>
      <c r="XH363" s="92"/>
      <c r="XI363" s="92"/>
      <c r="XJ363" s="89"/>
      <c r="XK363" s="87"/>
      <c r="XL363" s="87"/>
      <c r="XM363" s="87"/>
      <c r="XN363" s="87"/>
      <c r="XO363" s="87"/>
      <c r="XP363" s="87"/>
      <c r="XQ363" s="87"/>
      <c r="XR363" s="92">
        <f t="shared" ca="1" si="2059"/>
        <v>0</v>
      </c>
      <c r="XS363" s="89"/>
      <c r="XT363" s="87"/>
      <c r="XU363" s="87"/>
      <c r="XV363" s="87"/>
      <c r="XW363" s="87"/>
      <c r="XX363" s="87"/>
      <c r="XY363" s="87"/>
      <c r="XZ363" s="87"/>
      <c r="YA363" s="92">
        <f t="shared" ca="1" si="2060"/>
        <v>0</v>
      </c>
      <c r="YB363" s="90"/>
      <c r="YC363" s="90"/>
      <c r="YD363" s="90"/>
      <c r="YE363" s="90"/>
      <c r="YF363" s="90"/>
      <c r="YG363" s="90"/>
      <c r="YH363" s="90"/>
      <c r="YI363" s="90"/>
      <c r="YJ363" s="90"/>
      <c r="YK363" s="90"/>
      <c r="YL363" s="90"/>
      <c r="YM363" s="90"/>
      <c r="YN363" s="90"/>
      <c r="YO363" s="90"/>
      <c r="YP363" s="90"/>
      <c r="YQ363" s="90"/>
      <c r="YR363" s="90"/>
      <c r="YS363" s="90"/>
      <c r="YT363" s="90"/>
      <c r="YU363" s="90"/>
      <c r="YV363" s="90"/>
      <c r="YW363" s="90"/>
      <c r="YX363" s="90"/>
      <c r="YY363" s="90"/>
      <c r="YZ363" s="90"/>
      <c r="ZA363" s="90"/>
      <c r="ZB363" s="90"/>
      <c r="ZC363" s="90"/>
      <c r="ZD363" s="90"/>
      <c r="ZE363" s="90"/>
      <c r="ZF363" s="90"/>
      <c r="ZG363" s="90"/>
      <c r="ZH363" s="90"/>
      <c r="ZI363" s="90"/>
      <c r="ZJ363" s="90"/>
      <c r="ZK363" s="90"/>
      <c r="ZL363" s="90"/>
      <c r="ZM363" s="90"/>
      <c r="ZN363" s="90"/>
      <c r="ZO363" s="90"/>
      <c r="ZP363" s="90"/>
      <c r="ZQ363" s="90"/>
      <c r="ZR363" s="90"/>
      <c r="ZS363" s="90"/>
      <c r="ZT363" s="90"/>
      <c r="ZU363" s="90"/>
      <c r="ZV363" s="90"/>
      <c r="ZW363" s="90"/>
      <c r="ZX363" s="90"/>
      <c r="ZY363" s="90"/>
      <c r="ZZ363" s="90"/>
      <c r="AAA363" s="90"/>
      <c r="AAB363" s="90"/>
      <c r="AAC363" s="90"/>
      <c r="AAD363" s="90"/>
      <c r="AAE363" s="90"/>
      <c r="AAF363" s="90"/>
      <c r="AAG363" s="90"/>
      <c r="AAH363" s="90"/>
      <c r="AAI363" s="90"/>
      <c r="AAJ363" s="90"/>
      <c r="AAK363" s="90"/>
      <c r="AAL363" s="90"/>
      <c r="AAM363" s="90"/>
      <c r="AAN363" s="90"/>
      <c r="AAO363" s="90"/>
      <c r="AAP363" s="90"/>
      <c r="AAQ363" s="90"/>
      <c r="AAR363" s="90"/>
      <c r="AAS363" s="90"/>
      <c r="AAT363" s="90"/>
      <c r="AAU363" s="90"/>
      <c r="AAV363" s="90"/>
      <c r="AAW363" s="90"/>
      <c r="AAX363" s="90"/>
      <c r="AAY363" s="90"/>
      <c r="AAZ363" s="90"/>
      <c r="ABA363" s="90"/>
      <c r="ABB363" s="90"/>
      <c r="ABC363" s="90"/>
      <c r="ABD363" s="90"/>
      <c r="ABE363" s="90"/>
      <c r="ABF363" s="90"/>
      <c r="ABG363" s="90"/>
      <c r="ABH363" s="90"/>
      <c r="ABI363" s="90"/>
      <c r="ABJ363" s="90"/>
      <c r="ABK363" s="90"/>
      <c r="ABL363" s="90"/>
      <c r="ABM363" s="90"/>
      <c r="ABN363" s="90"/>
      <c r="ABO363" s="90"/>
      <c r="ABP363" s="90"/>
      <c r="ABQ363" s="90"/>
      <c r="ABR363" s="90"/>
      <c r="ABS363" s="90"/>
      <c r="ABT363" s="90"/>
      <c r="ABU363" s="90"/>
      <c r="ABV363" s="90"/>
      <c r="ABW363" s="90"/>
      <c r="ABX363" s="90"/>
      <c r="ABY363" s="90"/>
      <c r="ABZ363" s="90"/>
      <c r="ACA363" s="90"/>
      <c r="ACB363" s="90"/>
      <c r="ACC363" s="90"/>
      <c r="ACD363" s="90"/>
      <c r="ACE363" s="90"/>
      <c r="ACF363" s="90"/>
      <c r="ACG363" s="90"/>
      <c r="ACH363" s="90"/>
      <c r="ACI363" s="90"/>
      <c r="ACJ363" s="90"/>
      <c r="ACK363" s="90"/>
      <c r="ACL363" s="90"/>
      <c r="ACM363" s="90"/>
      <c r="ACN363" s="90"/>
      <c r="ACO363" s="90"/>
      <c r="ACP363" s="90"/>
      <c r="ACQ363" s="90"/>
      <c r="ACR363" s="90"/>
      <c r="ACS363" s="90"/>
      <c r="ACT363" s="90"/>
      <c r="ACU363" s="90"/>
      <c r="ACV363" s="90"/>
      <c r="ACW363" s="90"/>
      <c r="ACX363" s="90"/>
      <c r="ACY363" s="90"/>
      <c r="ACZ363" s="90"/>
      <c r="ADA363" s="90"/>
      <c r="ADB363" s="90"/>
      <c r="ADC363" s="90"/>
      <c r="ADD363" s="90"/>
      <c r="ADE363" s="90"/>
      <c r="ADF363" s="90"/>
      <c r="ADG363" s="90"/>
      <c r="ADH363" s="90"/>
      <c r="ADI363" s="90"/>
      <c r="ADJ363" s="90"/>
      <c r="ADK363" s="90"/>
      <c r="ADL363" s="90"/>
      <c r="ADM363" s="90"/>
      <c r="ADN363" s="90"/>
      <c r="ADO363" s="90"/>
      <c r="ADP363" s="90"/>
      <c r="ADQ363" s="90"/>
      <c r="ADR363" s="90"/>
      <c r="ADS363" s="90"/>
      <c r="ADT363" s="90"/>
      <c r="ADU363" s="90"/>
      <c r="ADV363" s="90"/>
      <c r="ADW363" s="90"/>
      <c r="ADX363" s="90"/>
      <c r="ADY363" s="90"/>
      <c r="ADZ363" s="90"/>
      <c r="AEA363" s="90"/>
      <c r="AEB363" s="90"/>
      <c r="AEC363" s="90"/>
      <c r="AED363" s="90"/>
      <c r="AEE363" s="90"/>
      <c r="AEF363" s="90"/>
      <c r="AEG363" s="90"/>
      <c r="AEH363" s="90"/>
      <c r="AEI363" s="90"/>
      <c r="AEJ363" s="90"/>
      <c r="AEK363" s="90"/>
      <c r="AEL363" s="90"/>
      <c r="AEM363" s="90"/>
      <c r="AEN363" s="90"/>
      <c r="AEO363" s="90"/>
      <c r="AEP363" s="90"/>
      <c r="AEQ363" s="90"/>
      <c r="AER363" s="90"/>
      <c r="AES363" s="90"/>
      <c r="AET363" s="90"/>
      <c r="AEU363" s="90"/>
      <c r="AEV363" s="90"/>
      <c r="AEW363" s="90"/>
      <c r="AEX363" s="90"/>
      <c r="AEY363" s="90"/>
      <c r="AEZ363" s="90"/>
      <c r="AFA363" s="90"/>
      <c r="AFB363" s="90"/>
      <c r="AFC363" s="90"/>
      <c r="AFD363" s="90"/>
      <c r="AFE363" s="90"/>
      <c r="AFF363" s="90"/>
      <c r="AFG363" s="90"/>
      <c r="AFH363" s="90"/>
      <c r="AFI363" s="90"/>
      <c r="AFJ363" s="90"/>
      <c r="AFK363" s="90"/>
      <c r="AFL363" s="90"/>
      <c r="AFM363" s="90"/>
      <c r="AFN363" s="90"/>
      <c r="AFO363" s="90"/>
      <c r="AFP363" s="90"/>
      <c r="AFQ363" s="90"/>
      <c r="AFR363" s="90"/>
      <c r="AFS363" s="90"/>
      <c r="AFT363" s="90"/>
      <c r="AFU363" s="90"/>
      <c r="AFV363" s="90"/>
      <c r="AFW363" s="90"/>
      <c r="AFX363" s="90"/>
      <c r="AFY363" s="90"/>
      <c r="AFZ363" s="90"/>
      <c r="AGA363" s="90"/>
      <c r="AGB363" s="90"/>
      <c r="AGC363" s="90"/>
      <c r="AGD363" s="90"/>
      <c r="AGE363" s="90"/>
      <c r="AGF363" s="90"/>
      <c r="AGG363" s="90"/>
      <c r="AGH363" s="90"/>
      <c r="AGI363" s="90"/>
      <c r="AGJ363" s="90"/>
      <c r="AGK363" s="90"/>
      <c r="AGL363" s="90"/>
      <c r="AGM363" s="90"/>
      <c r="AGN363" s="90"/>
      <c r="AGO363" s="90"/>
      <c r="AGP363" s="90"/>
      <c r="AGQ363" s="90"/>
      <c r="AGR363" s="90"/>
      <c r="AGS363" s="90"/>
      <c r="AGT363" s="90"/>
      <c r="AGU363" s="90"/>
      <c r="AGV363" s="90"/>
      <c r="AGW363" s="90"/>
      <c r="AGX363" s="90"/>
      <c r="AGY363" s="90"/>
      <c r="AGZ363" s="90"/>
      <c r="AHA363" s="90"/>
      <c r="AHB363" s="90"/>
      <c r="AHC363" s="90"/>
      <c r="AHD363" s="90"/>
      <c r="AHE363" s="90"/>
      <c r="AHF363" s="90"/>
      <c r="AHG363" s="90"/>
      <c r="AHH363" s="90"/>
      <c r="AHI363" s="90"/>
      <c r="AHJ363" s="90"/>
      <c r="AHK363" s="90"/>
      <c r="AHL363" s="90"/>
      <c r="AHM363" s="90"/>
      <c r="AHN363" s="90"/>
      <c r="AHO363" s="90"/>
      <c r="AHP363" s="90"/>
      <c r="AHQ363" s="90"/>
      <c r="AHR363" s="90"/>
      <c r="AHS363" s="90"/>
      <c r="AHT363" s="90"/>
      <c r="AHU363" s="90"/>
      <c r="AHV363" s="90"/>
      <c r="AHW363" s="90"/>
      <c r="AHX363" s="90"/>
      <c r="AHY363" s="90"/>
      <c r="AHZ363" s="90"/>
      <c r="AIA363" s="90"/>
      <c r="AIB363" s="90"/>
      <c r="AIC363" s="90"/>
      <c r="AID363" s="90"/>
      <c r="AIE363" s="90"/>
      <c r="AIF363" s="90"/>
      <c r="AIG363" s="90"/>
      <c r="AIH363" s="90"/>
      <c r="AII363" s="90"/>
      <c r="AIJ363" s="90"/>
      <c r="AIK363" s="90"/>
      <c r="AIL363" s="90"/>
      <c r="AIM363" s="90"/>
      <c r="AIN363" s="90"/>
      <c r="AIO363" s="90"/>
      <c r="AIP363" s="90"/>
      <c r="AIQ363" s="90"/>
      <c r="AIR363" s="90"/>
      <c r="AIS363" s="90"/>
      <c r="AIT363" s="90"/>
      <c r="AIU363" s="90"/>
      <c r="AIV363" s="90"/>
      <c r="AIW363" s="90"/>
      <c r="AIX363" s="90"/>
      <c r="AIY363" s="90"/>
      <c r="AIZ363" s="90"/>
      <c r="AJA363" s="90"/>
      <c r="AJB363" s="90"/>
      <c r="AJC363" s="90"/>
      <c r="AJD363" s="90"/>
      <c r="AJE363" s="90"/>
      <c r="AJF363" s="90"/>
      <c r="AJG363" s="90"/>
      <c r="AJH363" s="90"/>
      <c r="AJI363" s="90"/>
      <c r="AJJ363" s="90"/>
      <c r="AJK363" s="90"/>
      <c r="AJL363" s="90"/>
      <c r="AJM363" s="90"/>
      <c r="AJN363" s="90"/>
      <c r="AJO363" s="90"/>
      <c r="AJP363" s="90"/>
      <c r="AJQ363" s="90"/>
      <c r="AJR363" s="90"/>
      <c r="AJS363" s="90"/>
      <c r="AJT363" s="90"/>
      <c r="AJU363" s="90"/>
      <c r="AJV363" s="90"/>
      <c r="AJW363" s="90"/>
      <c r="AJX363" s="90"/>
      <c r="AJY363" s="90"/>
      <c r="AJZ363" s="90"/>
      <c r="AKA363" s="90"/>
      <c r="AKB363" s="90"/>
      <c r="AKC363" s="90"/>
      <c r="AKD363" s="90"/>
      <c r="AKE363" s="90"/>
      <c r="AKF363" s="90"/>
      <c r="AKG363" s="90"/>
      <c r="AKH363" s="90"/>
      <c r="AKI363" s="90"/>
      <c r="AKJ363" s="90"/>
      <c r="AKK363" s="90"/>
      <c r="AKL363" s="90"/>
      <c r="AKM363" s="90"/>
      <c r="AKN363" s="90"/>
      <c r="AKO363" s="90"/>
      <c r="AKP363" s="90"/>
      <c r="AKQ363" s="90"/>
      <c r="AKR363" s="90"/>
      <c r="AKS363" s="90"/>
      <c r="AKT363" s="90"/>
      <c r="AKU363" s="90"/>
      <c r="AKV363" s="90"/>
      <c r="AKW363" s="90"/>
      <c r="AKX363" s="90"/>
      <c r="AKY363" s="90"/>
      <c r="AKZ363" s="90"/>
      <c r="ALA363" s="90"/>
      <c r="ALB363" s="90"/>
      <c r="ALC363" s="90"/>
      <c r="ALD363" s="90"/>
      <c r="ALE363" s="90"/>
      <c r="ALF363" s="90"/>
      <c r="ALG363" s="90"/>
      <c r="ALH363" s="90"/>
      <c r="ALI363" s="90"/>
      <c r="ALJ363" s="90"/>
      <c r="ALK363" s="90"/>
      <c r="ALL363" s="90"/>
      <c r="ALM363" s="90"/>
      <c r="ALN363" s="90"/>
      <c r="ALO363" s="90"/>
      <c r="ALP363" s="90"/>
      <c r="ALQ363" s="90"/>
      <c r="ALR363" s="90"/>
      <c r="ALS363" s="90"/>
      <c r="ALT363" s="90"/>
      <c r="ALU363" s="90"/>
      <c r="ALV363" s="90"/>
      <c r="ALW363" s="90"/>
      <c r="ALX363" s="90"/>
      <c r="ALY363" s="90"/>
      <c r="ALZ363" s="90"/>
      <c r="AMA363" s="90"/>
      <c r="AMB363" s="90"/>
      <c r="AMC363" s="90"/>
    </row>
    <row r="364" spans="1:1017">
      <c r="A364" s="98" t="s">
        <v>54</v>
      </c>
      <c r="B364" s="90" t="str">
        <f t="shared" si="1966"/>
        <v>Kepiting  Bakau</v>
      </c>
      <c r="E364" s="98">
        <v>800</v>
      </c>
      <c r="F364" s="98">
        <v>80000</v>
      </c>
      <c r="Q364" s="91">
        <f t="shared" si="1967"/>
        <v>800</v>
      </c>
      <c r="R364" s="91">
        <f t="shared" si="1968"/>
        <v>80000</v>
      </c>
      <c r="U364" s="98">
        <v>3425</v>
      </c>
      <c r="V364" s="98">
        <v>222625</v>
      </c>
      <c r="AG364" s="91">
        <f t="shared" si="1969"/>
        <v>3425</v>
      </c>
      <c r="AH364" s="91">
        <f t="shared" si="1970"/>
        <v>222625</v>
      </c>
      <c r="AW364" s="91">
        <f t="shared" si="1971"/>
        <v>0</v>
      </c>
      <c r="AX364" s="91">
        <f t="shared" si="1972"/>
        <v>0</v>
      </c>
      <c r="BM364" s="91">
        <f t="shared" si="1973"/>
        <v>0</v>
      </c>
      <c r="BN364" s="91">
        <f t="shared" si="1974"/>
        <v>0</v>
      </c>
      <c r="CC364" s="91">
        <f t="shared" si="1975"/>
        <v>0</v>
      </c>
      <c r="CD364" s="91">
        <f t="shared" si="1976"/>
        <v>0</v>
      </c>
      <c r="CG364" s="98">
        <v>26438.195442408753</v>
      </c>
      <c r="CH364" s="98">
        <v>1057520.551</v>
      </c>
      <c r="CS364" s="91">
        <f t="shared" si="1977"/>
        <v>26438.195442408753</v>
      </c>
      <c r="CT364" s="91">
        <f t="shared" si="1978"/>
        <v>1057520.551</v>
      </c>
      <c r="DI364" s="91">
        <f t="shared" si="1979"/>
        <v>0</v>
      </c>
      <c r="DJ364" s="91">
        <f t="shared" si="1980"/>
        <v>0</v>
      </c>
      <c r="DY364" s="91">
        <f t="shared" si="1981"/>
        <v>0</v>
      </c>
      <c r="DZ364" s="91">
        <f t="shared" si="1982"/>
        <v>0</v>
      </c>
      <c r="EO364" s="91">
        <f t="shared" si="1983"/>
        <v>0</v>
      </c>
      <c r="EP364" s="91">
        <f t="shared" si="1984"/>
        <v>0</v>
      </c>
      <c r="FE364" s="91">
        <f t="shared" si="1985"/>
        <v>0</v>
      </c>
      <c r="FF364" s="91">
        <f t="shared" si="1986"/>
        <v>0</v>
      </c>
      <c r="FU364" s="91">
        <f t="shared" si="1987"/>
        <v>0</v>
      </c>
      <c r="FV364" s="91">
        <f t="shared" si="1988"/>
        <v>0</v>
      </c>
      <c r="GK364" s="91">
        <f t="shared" si="1989"/>
        <v>0</v>
      </c>
      <c r="GL364" s="91">
        <f t="shared" si="1990"/>
        <v>0</v>
      </c>
      <c r="HA364" s="91">
        <f t="shared" si="1991"/>
        <v>0</v>
      </c>
      <c r="HB364" s="91">
        <f t="shared" si="1992"/>
        <v>0</v>
      </c>
      <c r="HQ364" s="91">
        <f t="shared" si="1993"/>
        <v>0</v>
      </c>
      <c r="HR364" s="91">
        <f t="shared" si="1994"/>
        <v>0</v>
      </c>
      <c r="IG364" s="91">
        <f t="shared" si="1995"/>
        <v>0</v>
      </c>
      <c r="IH364" s="91">
        <f t="shared" si="1996"/>
        <v>0</v>
      </c>
      <c r="IW364" s="91">
        <f t="shared" si="1997"/>
        <v>0</v>
      </c>
      <c r="IX364" s="91">
        <f t="shared" si="1998"/>
        <v>0</v>
      </c>
      <c r="JM364" s="91">
        <f t="shared" si="1999"/>
        <v>0</v>
      </c>
      <c r="JN364" s="91">
        <f t="shared" si="2000"/>
        <v>0</v>
      </c>
      <c r="JQ364" s="98">
        <v>62</v>
      </c>
      <c r="JR364" s="98">
        <v>11160</v>
      </c>
      <c r="KC364" s="91">
        <f t="shared" si="2001"/>
        <v>62</v>
      </c>
      <c r="KD364" s="91">
        <f t="shared" si="2002"/>
        <v>11160</v>
      </c>
      <c r="KS364" s="91">
        <f t="shared" si="2003"/>
        <v>0</v>
      </c>
      <c r="KT364" s="91">
        <f t="shared" si="2004"/>
        <v>0</v>
      </c>
      <c r="LI364" s="91">
        <f t="shared" si="2005"/>
        <v>0</v>
      </c>
      <c r="LJ364" s="91">
        <f t="shared" si="2006"/>
        <v>0</v>
      </c>
      <c r="LY364" s="91">
        <f t="shared" si="2007"/>
        <v>0</v>
      </c>
      <c r="LZ364" s="91">
        <f t="shared" si="2008"/>
        <v>0</v>
      </c>
      <c r="MC364" s="98">
        <v>4950</v>
      </c>
      <c r="MD364" s="98">
        <v>495000</v>
      </c>
      <c r="MO364" s="91">
        <f t="shared" si="2009"/>
        <v>4950</v>
      </c>
      <c r="MP364" s="91">
        <f t="shared" si="2010"/>
        <v>495000</v>
      </c>
      <c r="MS364" s="98">
        <v>50</v>
      </c>
      <c r="MT364" s="98">
        <v>5000</v>
      </c>
      <c r="NE364" s="91">
        <f t="shared" si="2011"/>
        <v>50</v>
      </c>
      <c r="NF364" s="91">
        <f t="shared" si="2012"/>
        <v>5000</v>
      </c>
      <c r="NI364" s="98">
        <v>23700</v>
      </c>
      <c r="NJ364" s="98">
        <v>948000</v>
      </c>
      <c r="NU364" s="91">
        <f t="shared" si="2013"/>
        <v>23700</v>
      </c>
      <c r="NV364" s="91">
        <f t="shared" si="2014"/>
        <v>948000</v>
      </c>
      <c r="OK364" s="91">
        <f t="shared" si="2015"/>
        <v>0</v>
      </c>
      <c r="OL364" s="91">
        <f t="shared" si="2016"/>
        <v>0</v>
      </c>
      <c r="PA364" s="91">
        <f t="shared" si="2017"/>
        <v>0</v>
      </c>
      <c r="PB364" s="91">
        <f t="shared" si="2018"/>
        <v>0</v>
      </c>
      <c r="PQ364" s="91">
        <f t="shared" si="2019"/>
        <v>0</v>
      </c>
      <c r="PR364" s="91">
        <f t="shared" si="2020"/>
        <v>0</v>
      </c>
      <c r="QG364" s="91">
        <f t="shared" si="2021"/>
        <v>0</v>
      </c>
      <c r="QH364" s="91">
        <f t="shared" si="2022"/>
        <v>0</v>
      </c>
      <c r="QW364" s="91">
        <f t="shared" si="2023"/>
        <v>0</v>
      </c>
      <c r="QX364" s="91">
        <f t="shared" si="2024"/>
        <v>0</v>
      </c>
      <c r="RM364" s="91">
        <f t="shared" si="2025"/>
        <v>0</v>
      </c>
      <c r="RN364" s="91">
        <f t="shared" si="2026"/>
        <v>0</v>
      </c>
      <c r="SC364" s="91">
        <f t="shared" si="2027"/>
        <v>0</v>
      </c>
      <c r="SD364" s="91">
        <f t="shared" si="2028"/>
        <v>0</v>
      </c>
      <c r="SS364" s="91">
        <f t="shared" si="2029"/>
        <v>0</v>
      </c>
      <c r="ST364" s="91">
        <f t="shared" si="2030"/>
        <v>0</v>
      </c>
      <c r="TI364" s="91">
        <f t="shared" si="2031"/>
        <v>0</v>
      </c>
      <c r="TJ364" s="91">
        <f t="shared" si="2032"/>
        <v>0</v>
      </c>
      <c r="TY364" s="91">
        <f t="shared" si="2033"/>
        <v>0</v>
      </c>
      <c r="TZ364" s="91">
        <f t="shared" si="2034"/>
        <v>0</v>
      </c>
      <c r="UO364" s="91">
        <f t="shared" si="2035"/>
        <v>0</v>
      </c>
      <c r="UP364" s="91">
        <f t="shared" si="2036"/>
        <v>0</v>
      </c>
      <c r="VE364" s="91">
        <f t="shared" si="2037"/>
        <v>0</v>
      </c>
      <c r="VF364" s="91">
        <f t="shared" si="2038"/>
        <v>0</v>
      </c>
      <c r="VI364" s="98">
        <v>72</v>
      </c>
      <c r="VJ364" s="98">
        <v>4320</v>
      </c>
      <c r="VU364" s="91">
        <f t="shared" si="2039"/>
        <v>72</v>
      </c>
      <c r="VV364" s="91">
        <f t="shared" si="2040"/>
        <v>4320</v>
      </c>
      <c r="WK364" s="91">
        <f t="shared" si="2041"/>
        <v>0</v>
      </c>
      <c r="WL364" s="91">
        <f t="shared" si="2042"/>
        <v>0</v>
      </c>
      <c r="WM364" s="89"/>
      <c r="WN364" s="87">
        <f t="shared" si="2043"/>
        <v>0</v>
      </c>
      <c r="WO364" s="87">
        <f t="shared" si="2044"/>
        <v>0</v>
      </c>
      <c r="WP364" s="87">
        <f t="shared" si="2045"/>
        <v>59497.195442408753</v>
      </c>
      <c r="WQ364" s="87">
        <f t="shared" si="2046"/>
        <v>2823625.551</v>
      </c>
      <c r="WR364" s="87">
        <f t="shared" si="2047"/>
        <v>0</v>
      </c>
      <c r="WS364" s="87">
        <f t="shared" si="2048"/>
        <v>0</v>
      </c>
      <c r="WT364" s="87">
        <f t="shared" si="2049"/>
        <v>0</v>
      </c>
      <c r="WU364" s="87">
        <f t="shared" si="2050"/>
        <v>0</v>
      </c>
      <c r="WV364" s="87">
        <f t="shared" si="2051"/>
        <v>0</v>
      </c>
      <c r="WW364" s="87">
        <f t="shared" si="2052"/>
        <v>0</v>
      </c>
      <c r="WX364" s="87">
        <f t="shared" si="2053"/>
        <v>0</v>
      </c>
      <c r="WY364" s="87">
        <f t="shared" si="2054"/>
        <v>0</v>
      </c>
      <c r="WZ364" s="87">
        <f t="shared" si="2055"/>
        <v>0</v>
      </c>
      <c r="XA364" s="87">
        <f t="shared" si="2056"/>
        <v>0</v>
      </c>
      <c r="XB364" s="92">
        <f t="shared" si="2057"/>
        <v>59497.195442408753</v>
      </c>
      <c r="XC364" s="92">
        <f t="shared" si="2058"/>
        <v>2823625.551</v>
      </c>
      <c r="XD364" s="89"/>
      <c r="XE364" s="92"/>
      <c r="XF364" s="92"/>
      <c r="XG364" s="89"/>
      <c r="XH364" s="92"/>
      <c r="XI364" s="92"/>
      <c r="XJ364" s="89"/>
      <c r="XK364" s="87"/>
      <c r="XL364" s="87"/>
      <c r="XM364" s="87"/>
      <c r="XN364" s="87"/>
      <c r="XO364" s="87"/>
      <c r="XP364" s="87"/>
      <c r="XQ364" s="87"/>
      <c r="XR364" s="92">
        <f t="shared" ca="1" si="2059"/>
        <v>0</v>
      </c>
      <c r="XS364" s="89"/>
      <c r="XT364" s="87"/>
      <c r="XU364" s="87"/>
      <c r="XV364" s="87"/>
      <c r="XW364" s="87"/>
      <c r="XX364" s="87"/>
      <c r="XY364" s="87"/>
      <c r="XZ364" s="87"/>
      <c r="YA364" s="92">
        <f t="shared" ca="1" si="2060"/>
        <v>0</v>
      </c>
      <c r="YB364" s="90"/>
      <c r="YC364" s="90"/>
      <c r="YD364" s="90"/>
      <c r="YE364" s="90"/>
      <c r="YF364" s="90"/>
      <c r="YG364" s="90"/>
      <c r="YH364" s="90"/>
      <c r="YI364" s="90"/>
      <c r="YJ364" s="90"/>
      <c r="YK364" s="90"/>
      <c r="YL364" s="90"/>
      <c r="YM364" s="90"/>
      <c r="YN364" s="90"/>
      <c r="YO364" s="90"/>
      <c r="YP364" s="90"/>
      <c r="YQ364" s="90"/>
      <c r="YR364" s="90"/>
      <c r="YS364" s="90"/>
      <c r="YT364" s="90"/>
      <c r="YU364" s="90"/>
      <c r="YV364" s="90"/>
      <c r="YW364" s="90"/>
      <c r="YX364" s="90"/>
      <c r="YY364" s="90"/>
      <c r="YZ364" s="90"/>
      <c r="ZA364" s="90"/>
      <c r="ZB364" s="90"/>
      <c r="ZC364" s="90"/>
      <c r="ZD364" s="90"/>
      <c r="ZE364" s="90"/>
      <c r="ZF364" s="90"/>
      <c r="ZG364" s="90"/>
      <c r="ZH364" s="90"/>
      <c r="ZI364" s="90"/>
      <c r="ZJ364" s="90"/>
      <c r="ZK364" s="90"/>
      <c r="ZL364" s="90"/>
      <c r="ZM364" s="90"/>
      <c r="ZN364" s="90"/>
      <c r="ZO364" s="90"/>
      <c r="ZP364" s="90"/>
      <c r="ZQ364" s="90"/>
      <c r="ZR364" s="90"/>
      <c r="ZS364" s="90"/>
      <c r="ZT364" s="90"/>
      <c r="ZU364" s="90"/>
      <c r="ZV364" s="90"/>
      <c r="ZW364" s="90"/>
      <c r="ZX364" s="90"/>
      <c r="ZY364" s="90"/>
      <c r="ZZ364" s="90"/>
      <c r="AAA364" s="90"/>
      <c r="AAB364" s="90"/>
      <c r="AAC364" s="90"/>
      <c r="AAD364" s="90"/>
      <c r="AAE364" s="90"/>
      <c r="AAF364" s="90"/>
      <c r="AAG364" s="90"/>
      <c r="AAH364" s="90"/>
      <c r="AAI364" s="90"/>
      <c r="AAJ364" s="90"/>
      <c r="AAK364" s="90"/>
      <c r="AAL364" s="90"/>
      <c r="AAM364" s="90"/>
      <c r="AAN364" s="90"/>
      <c r="AAO364" s="90"/>
      <c r="AAP364" s="90"/>
      <c r="AAQ364" s="90"/>
      <c r="AAR364" s="90"/>
      <c r="AAS364" s="90"/>
      <c r="AAT364" s="90"/>
      <c r="AAU364" s="90"/>
      <c r="AAV364" s="90"/>
      <c r="AAW364" s="90"/>
      <c r="AAX364" s="90"/>
      <c r="AAY364" s="90"/>
      <c r="AAZ364" s="90"/>
      <c r="ABA364" s="90"/>
      <c r="ABB364" s="90"/>
      <c r="ABC364" s="90"/>
      <c r="ABD364" s="90"/>
      <c r="ABE364" s="90"/>
      <c r="ABF364" s="90"/>
      <c r="ABG364" s="90"/>
      <c r="ABH364" s="90"/>
      <c r="ABI364" s="90"/>
      <c r="ABJ364" s="90"/>
      <c r="ABK364" s="90"/>
      <c r="ABL364" s="90"/>
      <c r="ABM364" s="90"/>
      <c r="ABN364" s="90"/>
      <c r="ABO364" s="90"/>
      <c r="ABP364" s="90"/>
      <c r="ABQ364" s="90"/>
      <c r="ABR364" s="90"/>
      <c r="ABS364" s="90"/>
      <c r="ABT364" s="90"/>
      <c r="ABU364" s="90"/>
      <c r="ABV364" s="90"/>
      <c r="ABW364" s="90"/>
      <c r="ABX364" s="90"/>
      <c r="ABY364" s="90"/>
      <c r="ABZ364" s="90"/>
      <c r="ACA364" s="90"/>
      <c r="ACB364" s="90"/>
      <c r="ACC364" s="90"/>
      <c r="ACD364" s="90"/>
      <c r="ACE364" s="90"/>
      <c r="ACF364" s="90"/>
      <c r="ACG364" s="90"/>
      <c r="ACH364" s="90"/>
      <c r="ACI364" s="90"/>
      <c r="ACJ364" s="90"/>
      <c r="ACK364" s="90"/>
      <c r="ACL364" s="90"/>
      <c r="ACM364" s="90"/>
      <c r="ACN364" s="90"/>
      <c r="ACO364" s="90"/>
      <c r="ACP364" s="90"/>
      <c r="ACQ364" s="90"/>
      <c r="ACR364" s="90"/>
      <c r="ACS364" s="90"/>
      <c r="ACT364" s="90"/>
      <c r="ACU364" s="90"/>
      <c r="ACV364" s="90"/>
      <c r="ACW364" s="90"/>
      <c r="ACX364" s="90"/>
      <c r="ACY364" s="90"/>
      <c r="ACZ364" s="90"/>
      <c r="ADA364" s="90"/>
      <c r="ADB364" s="90"/>
      <c r="ADC364" s="90"/>
      <c r="ADD364" s="90"/>
      <c r="ADE364" s="90"/>
      <c r="ADF364" s="90"/>
      <c r="ADG364" s="90"/>
      <c r="ADH364" s="90"/>
      <c r="ADI364" s="90"/>
      <c r="ADJ364" s="90"/>
      <c r="ADK364" s="90"/>
      <c r="ADL364" s="90"/>
      <c r="ADM364" s="90"/>
      <c r="ADN364" s="90"/>
      <c r="ADO364" s="90"/>
      <c r="ADP364" s="90"/>
      <c r="ADQ364" s="90"/>
      <c r="ADR364" s="90"/>
      <c r="ADS364" s="90"/>
      <c r="ADT364" s="90"/>
      <c r="ADU364" s="90"/>
      <c r="ADV364" s="90"/>
      <c r="ADW364" s="90"/>
      <c r="ADX364" s="90"/>
      <c r="ADY364" s="90"/>
      <c r="ADZ364" s="90"/>
      <c r="AEA364" s="90"/>
      <c r="AEB364" s="90"/>
      <c r="AEC364" s="90"/>
      <c r="AED364" s="90"/>
      <c r="AEE364" s="90"/>
      <c r="AEF364" s="90"/>
      <c r="AEG364" s="90"/>
      <c r="AEH364" s="90"/>
      <c r="AEI364" s="90"/>
      <c r="AEJ364" s="90"/>
      <c r="AEK364" s="90"/>
      <c r="AEL364" s="90"/>
      <c r="AEM364" s="90"/>
      <c r="AEN364" s="90"/>
      <c r="AEO364" s="90"/>
      <c r="AEP364" s="90"/>
      <c r="AEQ364" s="90"/>
      <c r="AER364" s="90"/>
      <c r="AES364" s="90"/>
      <c r="AET364" s="90"/>
      <c r="AEU364" s="90"/>
      <c r="AEV364" s="90"/>
      <c r="AEW364" s="90"/>
      <c r="AEX364" s="90"/>
      <c r="AEY364" s="90"/>
      <c r="AEZ364" s="90"/>
      <c r="AFA364" s="90"/>
      <c r="AFB364" s="90"/>
      <c r="AFC364" s="90"/>
      <c r="AFD364" s="90"/>
      <c r="AFE364" s="90"/>
      <c r="AFF364" s="90"/>
      <c r="AFG364" s="90"/>
      <c r="AFH364" s="90"/>
      <c r="AFI364" s="90"/>
      <c r="AFJ364" s="90"/>
      <c r="AFK364" s="90"/>
      <c r="AFL364" s="90"/>
      <c r="AFM364" s="90"/>
      <c r="AFN364" s="90"/>
      <c r="AFO364" s="90"/>
      <c r="AFP364" s="90"/>
      <c r="AFQ364" s="90"/>
      <c r="AFR364" s="90"/>
      <c r="AFS364" s="90"/>
      <c r="AFT364" s="90"/>
      <c r="AFU364" s="90"/>
      <c r="AFV364" s="90"/>
      <c r="AFW364" s="90"/>
      <c r="AFX364" s="90"/>
      <c r="AFY364" s="90"/>
      <c r="AFZ364" s="90"/>
      <c r="AGA364" s="90"/>
      <c r="AGB364" s="90"/>
      <c r="AGC364" s="90"/>
      <c r="AGD364" s="90"/>
      <c r="AGE364" s="90"/>
      <c r="AGF364" s="90"/>
      <c r="AGG364" s="90"/>
      <c r="AGH364" s="90"/>
      <c r="AGI364" s="90"/>
      <c r="AGJ364" s="90"/>
      <c r="AGK364" s="90"/>
      <c r="AGL364" s="90"/>
      <c r="AGM364" s="90"/>
      <c r="AGN364" s="90"/>
      <c r="AGO364" s="90"/>
      <c r="AGP364" s="90"/>
      <c r="AGQ364" s="90"/>
      <c r="AGR364" s="90"/>
      <c r="AGS364" s="90"/>
      <c r="AGT364" s="90"/>
      <c r="AGU364" s="90"/>
      <c r="AGV364" s="90"/>
      <c r="AGW364" s="90"/>
      <c r="AGX364" s="90"/>
      <c r="AGY364" s="90"/>
      <c r="AGZ364" s="90"/>
      <c r="AHA364" s="90"/>
      <c r="AHB364" s="90"/>
      <c r="AHC364" s="90"/>
      <c r="AHD364" s="90"/>
      <c r="AHE364" s="90"/>
      <c r="AHF364" s="90"/>
      <c r="AHG364" s="90"/>
      <c r="AHH364" s="90"/>
      <c r="AHI364" s="90"/>
      <c r="AHJ364" s="90"/>
      <c r="AHK364" s="90"/>
      <c r="AHL364" s="90"/>
      <c r="AHM364" s="90"/>
      <c r="AHN364" s="90"/>
      <c r="AHO364" s="90"/>
      <c r="AHP364" s="90"/>
      <c r="AHQ364" s="90"/>
      <c r="AHR364" s="90"/>
      <c r="AHS364" s="90"/>
      <c r="AHT364" s="90"/>
      <c r="AHU364" s="90"/>
      <c r="AHV364" s="90"/>
      <c r="AHW364" s="90"/>
      <c r="AHX364" s="90"/>
      <c r="AHY364" s="90"/>
      <c r="AHZ364" s="90"/>
      <c r="AIA364" s="90"/>
      <c r="AIB364" s="90"/>
      <c r="AIC364" s="90"/>
      <c r="AID364" s="90"/>
      <c r="AIE364" s="90"/>
      <c r="AIF364" s="90"/>
      <c r="AIG364" s="90"/>
      <c r="AIH364" s="90"/>
      <c r="AII364" s="90"/>
      <c r="AIJ364" s="90"/>
      <c r="AIK364" s="90"/>
      <c r="AIL364" s="90"/>
      <c r="AIM364" s="90"/>
      <c r="AIN364" s="90"/>
      <c r="AIO364" s="90"/>
      <c r="AIP364" s="90"/>
      <c r="AIQ364" s="90"/>
      <c r="AIR364" s="90"/>
      <c r="AIS364" s="90"/>
      <c r="AIT364" s="90"/>
      <c r="AIU364" s="90"/>
      <c r="AIV364" s="90"/>
      <c r="AIW364" s="90"/>
      <c r="AIX364" s="90"/>
      <c r="AIY364" s="90"/>
      <c r="AIZ364" s="90"/>
      <c r="AJA364" s="90"/>
      <c r="AJB364" s="90"/>
      <c r="AJC364" s="90"/>
      <c r="AJD364" s="90"/>
      <c r="AJE364" s="90"/>
      <c r="AJF364" s="90"/>
      <c r="AJG364" s="90"/>
      <c r="AJH364" s="90"/>
      <c r="AJI364" s="90"/>
      <c r="AJJ364" s="90"/>
      <c r="AJK364" s="90"/>
      <c r="AJL364" s="90"/>
      <c r="AJM364" s="90"/>
      <c r="AJN364" s="90"/>
      <c r="AJO364" s="90"/>
      <c r="AJP364" s="90"/>
      <c r="AJQ364" s="90"/>
      <c r="AJR364" s="90"/>
      <c r="AJS364" s="90"/>
      <c r="AJT364" s="90"/>
      <c r="AJU364" s="90"/>
      <c r="AJV364" s="90"/>
      <c r="AJW364" s="90"/>
      <c r="AJX364" s="90"/>
      <c r="AJY364" s="90"/>
      <c r="AJZ364" s="90"/>
      <c r="AKA364" s="90"/>
      <c r="AKB364" s="90"/>
      <c r="AKC364" s="90"/>
      <c r="AKD364" s="90"/>
      <c r="AKE364" s="90"/>
      <c r="AKF364" s="90"/>
      <c r="AKG364" s="90"/>
      <c r="AKH364" s="90"/>
      <c r="AKI364" s="90"/>
      <c r="AKJ364" s="90"/>
      <c r="AKK364" s="90"/>
      <c r="AKL364" s="90"/>
      <c r="AKM364" s="90"/>
      <c r="AKN364" s="90"/>
      <c r="AKO364" s="90"/>
      <c r="AKP364" s="90"/>
      <c r="AKQ364" s="90"/>
      <c r="AKR364" s="90"/>
      <c r="AKS364" s="90"/>
      <c r="AKT364" s="90"/>
      <c r="AKU364" s="90"/>
      <c r="AKV364" s="90"/>
      <c r="AKW364" s="90"/>
      <c r="AKX364" s="90"/>
      <c r="AKY364" s="90"/>
      <c r="AKZ364" s="90"/>
      <c r="ALA364" s="90"/>
      <c r="ALB364" s="90"/>
      <c r="ALC364" s="90"/>
      <c r="ALD364" s="90"/>
      <c r="ALE364" s="90"/>
      <c r="ALF364" s="90"/>
      <c r="ALG364" s="90"/>
      <c r="ALH364" s="90"/>
      <c r="ALI364" s="90"/>
      <c r="ALJ364" s="90"/>
      <c r="ALK364" s="90"/>
      <c r="ALL364" s="90"/>
      <c r="ALM364" s="90"/>
      <c r="ALN364" s="90"/>
      <c r="ALO364" s="90"/>
      <c r="ALP364" s="90"/>
      <c r="ALQ364" s="90"/>
      <c r="ALR364" s="90"/>
      <c r="ALS364" s="90"/>
      <c r="ALT364" s="90"/>
      <c r="ALU364" s="90"/>
      <c r="ALV364" s="90"/>
      <c r="ALW364" s="90"/>
      <c r="ALX364" s="90"/>
      <c r="ALY364" s="90"/>
      <c r="ALZ364" s="90"/>
      <c r="AMA364" s="90"/>
      <c r="AMB364" s="90"/>
      <c r="AMC364" s="90"/>
    </row>
    <row r="365" spans="1:1017">
      <c r="A365" s="98" t="s">
        <v>54</v>
      </c>
      <c r="B365" s="90" t="str">
        <f t="shared" si="1966"/>
        <v xml:space="preserve">Kerang Hijau </v>
      </c>
      <c r="Q365" s="91">
        <f t="shared" si="1967"/>
        <v>0</v>
      </c>
      <c r="R365" s="91">
        <f t="shared" si="1968"/>
        <v>0</v>
      </c>
      <c r="AG365" s="91">
        <f t="shared" si="1969"/>
        <v>0</v>
      </c>
      <c r="AH365" s="91">
        <f t="shared" si="1970"/>
        <v>0</v>
      </c>
      <c r="AW365" s="91">
        <f t="shared" si="1971"/>
        <v>0</v>
      </c>
      <c r="AX365" s="91">
        <f t="shared" si="1972"/>
        <v>0</v>
      </c>
      <c r="BM365" s="91">
        <f t="shared" si="1973"/>
        <v>0</v>
      </c>
      <c r="BN365" s="91">
        <f t="shared" si="1974"/>
        <v>0</v>
      </c>
      <c r="CC365" s="91">
        <f t="shared" si="1975"/>
        <v>0</v>
      </c>
      <c r="CD365" s="91">
        <f t="shared" si="1976"/>
        <v>0</v>
      </c>
      <c r="CE365" s="98">
        <v>3111508.6221356886</v>
      </c>
      <c r="CF365" s="98">
        <v>9334525.8664070666</v>
      </c>
      <c r="CS365" s="91">
        <f t="shared" si="1977"/>
        <v>3111508.6221356886</v>
      </c>
      <c r="CT365" s="91">
        <f t="shared" si="1978"/>
        <v>9334525.8664070666</v>
      </c>
      <c r="DI365" s="91">
        <f t="shared" si="1979"/>
        <v>0</v>
      </c>
      <c r="DJ365" s="91">
        <f t="shared" si="1980"/>
        <v>0</v>
      </c>
      <c r="DY365" s="91">
        <f t="shared" si="1981"/>
        <v>0</v>
      </c>
      <c r="DZ365" s="91">
        <f t="shared" si="1982"/>
        <v>0</v>
      </c>
      <c r="EO365" s="91">
        <f t="shared" si="1983"/>
        <v>0</v>
      </c>
      <c r="EP365" s="91">
        <f t="shared" si="1984"/>
        <v>0</v>
      </c>
      <c r="FE365" s="91">
        <f t="shared" si="1985"/>
        <v>0</v>
      </c>
      <c r="FF365" s="91">
        <f t="shared" si="1986"/>
        <v>0</v>
      </c>
      <c r="FU365" s="91">
        <f t="shared" si="1987"/>
        <v>0</v>
      </c>
      <c r="FV365" s="91">
        <f t="shared" si="1988"/>
        <v>0</v>
      </c>
      <c r="GK365" s="91">
        <f t="shared" si="1989"/>
        <v>0</v>
      </c>
      <c r="GL365" s="91">
        <f t="shared" si="1990"/>
        <v>0</v>
      </c>
      <c r="HA365" s="91">
        <f t="shared" si="1991"/>
        <v>0</v>
      </c>
      <c r="HB365" s="91">
        <f t="shared" si="1992"/>
        <v>0</v>
      </c>
      <c r="HQ365" s="91">
        <f t="shared" si="1993"/>
        <v>0</v>
      </c>
      <c r="HR365" s="91">
        <f t="shared" si="1994"/>
        <v>0</v>
      </c>
      <c r="IG365" s="91">
        <f t="shared" si="1995"/>
        <v>0</v>
      </c>
      <c r="IH365" s="91">
        <f t="shared" si="1996"/>
        <v>0</v>
      </c>
      <c r="IW365" s="91">
        <f t="shared" si="1997"/>
        <v>0</v>
      </c>
      <c r="IX365" s="91">
        <f t="shared" si="1998"/>
        <v>0</v>
      </c>
      <c r="JM365" s="91">
        <f t="shared" si="1999"/>
        <v>0</v>
      </c>
      <c r="JN365" s="91">
        <f t="shared" si="2000"/>
        <v>0</v>
      </c>
      <c r="KC365" s="91">
        <f t="shared" si="2001"/>
        <v>0</v>
      </c>
      <c r="KD365" s="91">
        <f t="shared" si="2002"/>
        <v>0</v>
      </c>
      <c r="KS365" s="91">
        <f t="shared" si="2003"/>
        <v>0</v>
      </c>
      <c r="KT365" s="91">
        <f t="shared" si="2004"/>
        <v>0</v>
      </c>
      <c r="LI365" s="91">
        <f t="shared" si="2005"/>
        <v>0</v>
      </c>
      <c r="LJ365" s="91">
        <f t="shared" si="2006"/>
        <v>0</v>
      </c>
      <c r="LY365" s="91">
        <f t="shared" si="2007"/>
        <v>0</v>
      </c>
      <c r="LZ365" s="91">
        <f t="shared" si="2008"/>
        <v>0</v>
      </c>
      <c r="MO365" s="91">
        <f t="shared" si="2009"/>
        <v>0</v>
      </c>
      <c r="MP365" s="91">
        <f t="shared" si="2010"/>
        <v>0</v>
      </c>
      <c r="NE365" s="91">
        <f t="shared" si="2011"/>
        <v>0</v>
      </c>
      <c r="NF365" s="91">
        <f t="shared" si="2012"/>
        <v>0</v>
      </c>
      <c r="NU365" s="91">
        <f t="shared" si="2013"/>
        <v>0</v>
      </c>
      <c r="NV365" s="91">
        <f t="shared" si="2014"/>
        <v>0</v>
      </c>
      <c r="OK365" s="91">
        <f t="shared" si="2015"/>
        <v>0</v>
      </c>
      <c r="OL365" s="91">
        <f t="shared" si="2016"/>
        <v>0</v>
      </c>
      <c r="PA365" s="91">
        <f t="shared" si="2017"/>
        <v>0</v>
      </c>
      <c r="PB365" s="91">
        <f t="shared" si="2018"/>
        <v>0</v>
      </c>
      <c r="PQ365" s="91">
        <f t="shared" si="2019"/>
        <v>0</v>
      </c>
      <c r="PR365" s="91">
        <f t="shared" si="2020"/>
        <v>0</v>
      </c>
      <c r="QG365" s="91">
        <f t="shared" si="2021"/>
        <v>0</v>
      </c>
      <c r="QH365" s="91">
        <f t="shared" si="2022"/>
        <v>0</v>
      </c>
      <c r="QW365" s="91">
        <f t="shared" si="2023"/>
        <v>0</v>
      </c>
      <c r="QX365" s="91">
        <f t="shared" si="2024"/>
        <v>0</v>
      </c>
      <c r="RM365" s="91">
        <f t="shared" si="2025"/>
        <v>0</v>
      </c>
      <c r="RN365" s="91">
        <f t="shared" si="2026"/>
        <v>0</v>
      </c>
      <c r="SC365" s="91">
        <f t="shared" si="2027"/>
        <v>0</v>
      </c>
      <c r="SD365" s="91">
        <f t="shared" si="2028"/>
        <v>0</v>
      </c>
      <c r="SS365" s="91">
        <f t="shared" si="2029"/>
        <v>0</v>
      </c>
      <c r="ST365" s="91">
        <f t="shared" si="2030"/>
        <v>0</v>
      </c>
      <c r="TI365" s="91">
        <f t="shared" si="2031"/>
        <v>0</v>
      </c>
      <c r="TJ365" s="91">
        <f t="shared" si="2032"/>
        <v>0</v>
      </c>
      <c r="TY365" s="91">
        <f t="shared" si="2033"/>
        <v>0</v>
      </c>
      <c r="TZ365" s="91">
        <f t="shared" si="2034"/>
        <v>0</v>
      </c>
      <c r="UO365" s="91">
        <f t="shared" si="2035"/>
        <v>0</v>
      </c>
      <c r="UP365" s="91">
        <f t="shared" si="2036"/>
        <v>0</v>
      </c>
      <c r="VE365" s="91">
        <f t="shared" si="2037"/>
        <v>0</v>
      </c>
      <c r="VF365" s="91">
        <f t="shared" si="2038"/>
        <v>0</v>
      </c>
      <c r="VU365" s="91">
        <f t="shared" si="2039"/>
        <v>0</v>
      </c>
      <c r="VV365" s="91">
        <f t="shared" si="2040"/>
        <v>0</v>
      </c>
      <c r="WK365" s="91">
        <f t="shared" si="2041"/>
        <v>0</v>
      </c>
      <c r="WL365" s="91">
        <f t="shared" si="2042"/>
        <v>0</v>
      </c>
      <c r="WM365" s="89"/>
      <c r="WN365" s="87">
        <f t="shared" si="2043"/>
        <v>3111508.6221356886</v>
      </c>
      <c r="WO365" s="87">
        <f t="shared" si="2044"/>
        <v>9334525.8664070666</v>
      </c>
      <c r="WP365" s="87">
        <f t="shared" si="2045"/>
        <v>0</v>
      </c>
      <c r="WQ365" s="87">
        <f t="shared" si="2046"/>
        <v>0</v>
      </c>
      <c r="WR365" s="87">
        <f t="shared" si="2047"/>
        <v>0</v>
      </c>
      <c r="WS365" s="87">
        <f t="shared" si="2048"/>
        <v>0</v>
      </c>
      <c r="WT365" s="87">
        <f t="shared" si="2049"/>
        <v>0</v>
      </c>
      <c r="WU365" s="87">
        <f t="shared" si="2050"/>
        <v>0</v>
      </c>
      <c r="WV365" s="87">
        <f t="shared" si="2051"/>
        <v>0</v>
      </c>
      <c r="WW365" s="87">
        <f t="shared" si="2052"/>
        <v>0</v>
      </c>
      <c r="WX365" s="87">
        <f t="shared" si="2053"/>
        <v>0</v>
      </c>
      <c r="WY365" s="87">
        <f t="shared" si="2054"/>
        <v>0</v>
      </c>
      <c r="WZ365" s="87">
        <f t="shared" si="2055"/>
        <v>0</v>
      </c>
      <c r="XA365" s="87">
        <f t="shared" si="2056"/>
        <v>0</v>
      </c>
      <c r="XB365" s="92">
        <f t="shared" si="2057"/>
        <v>3111508.6221356886</v>
      </c>
      <c r="XC365" s="92">
        <f t="shared" si="2058"/>
        <v>9334525.8664070666</v>
      </c>
      <c r="XD365" s="89"/>
      <c r="XE365" s="92"/>
      <c r="XF365" s="92"/>
      <c r="XG365" s="89"/>
      <c r="XH365" s="92"/>
      <c r="XI365" s="92"/>
      <c r="XJ365" s="89"/>
      <c r="XK365" s="87"/>
      <c r="XL365" s="87"/>
      <c r="XM365" s="87"/>
      <c r="XN365" s="87"/>
      <c r="XO365" s="87"/>
      <c r="XP365" s="87"/>
      <c r="XQ365" s="87"/>
      <c r="XR365" s="92">
        <f t="shared" ca="1" si="2059"/>
        <v>0</v>
      </c>
      <c r="XS365" s="89"/>
      <c r="XT365" s="87"/>
      <c r="XU365" s="87"/>
      <c r="XV365" s="87"/>
      <c r="XW365" s="87"/>
      <c r="XX365" s="87"/>
      <c r="XY365" s="87"/>
      <c r="XZ365" s="87"/>
      <c r="YA365" s="92">
        <f t="shared" ca="1" si="2060"/>
        <v>0</v>
      </c>
      <c r="YB365" s="90"/>
      <c r="YC365" s="90"/>
      <c r="YD365" s="90"/>
      <c r="YE365" s="90"/>
      <c r="YF365" s="90"/>
      <c r="YG365" s="90"/>
      <c r="YH365" s="90"/>
      <c r="YI365" s="90"/>
      <c r="YJ365" s="90"/>
      <c r="YK365" s="90"/>
      <c r="YL365" s="90"/>
      <c r="YM365" s="90"/>
      <c r="YN365" s="90"/>
      <c r="YO365" s="90"/>
      <c r="YP365" s="90"/>
      <c r="YQ365" s="90"/>
      <c r="YR365" s="90"/>
      <c r="YS365" s="90"/>
      <c r="YT365" s="90"/>
      <c r="YU365" s="90"/>
      <c r="YV365" s="90"/>
      <c r="YW365" s="90"/>
      <c r="YX365" s="90"/>
      <c r="YY365" s="90"/>
      <c r="YZ365" s="90"/>
      <c r="ZA365" s="90"/>
      <c r="ZB365" s="90"/>
      <c r="ZC365" s="90"/>
      <c r="ZD365" s="90"/>
      <c r="ZE365" s="90"/>
      <c r="ZF365" s="90"/>
      <c r="ZG365" s="90"/>
      <c r="ZH365" s="90"/>
      <c r="ZI365" s="90"/>
      <c r="ZJ365" s="90"/>
      <c r="ZK365" s="90"/>
      <c r="ZL365" s="90"/>
      <c r="ZM365" s="90"/>
      <c r="ZN365" s="90"/>
      <c r="ZO365" s="90"/>
      <c r="ZP365" s="90"/>
      <c r="ZQ365" s="90"/>
      <c r="ZR365" s="90"/>
      <c r="ZS365" s="90"/>
      <c r="ZT365" s="90"/>
      <c r="ZU365" s="90"/>
      <c r="ZV365" s="90"/>
      <c r="ZW365" s="90"/>
      <c r="ZX365" s="90"/>
      <c r="ZY365" s="90"/>
      <c r="ZZ365" s="90"/>
      <c r="AAA365" s="90"/>
      <c r="AAB365" s="90"/>
      <c r="AAC365" s="90"/>
      <c r="AAD365" s="90"/>
      <c r="AAE365" s="90"/>
      <c r="AAF365" s="90"/>
      <c r="AAG365" s="90"/>
      <c r="AAH365" s="90"/>
      <c r="AAI365" s="90"/>
      <c r="AAJ365" s="90"/>
      <c r="AAK365" s="90"/>
      <c r="AAL365" s="90"/>
      <c r="AAM365" s="90"/>
      <c r="AAN365" s="90"/>
      <c r="AAO365" s="90"/>
      <c r="AAP365" s="90"/>
      <c r="AAQ365" s="90"/>
      <c r="AAR365" s="90"/>
      <c r="AAS365" s="90"/>
      <c r="AAT365" s="90"/>
      <c r="AAU365" s="90"/>
      <c r="AAV365" s="90"/>
      <c r="AAW365" s="90"/>
      <c r="AAX365" s="90"/>
      <c r="AAY365" s="90"/>
      <c r="AAZ365" s="90"/>
      <c r="ABA365" s="90"/>
      <c r="ABB365" s="90"/>
      <c r="ABC365" s="90"/>
      <c r="ABD365" s="90"/>
      <c r="ABE365" s="90"/>
      <c r="ABF365" s="90"/>
      <c r="ABG365" s="90"/>
      <c r="ABH365" s="90"/>
      <c r="ABI365" s="90"/>
      <c r="ABJ365" s="90"/>
      <c r="ABK365" s="90"/>
      <c r="ABL365" s="90"/>
      <c r="ABM365" s="90"/>
      <c r="ABN365" s="90"/>
      <c r="ABO365" s="90"/>
      <c r="ABP365" s="90"/>
      <c r="ABQ365" s="90"/>
      <c r="ABR365" s="90"/>
      <c r="ABS365" s="90"/>
      <c r="ABT365" s="90"/>
      <c r="ABU365" s="90"/>
      <c r="ABV365" s="90"/>
      <c r="ABW365" s="90"/>
      <c r="ABX365" s="90"/>
      <c r="ABY365" s="90"/>
      <c r="ABZ365" s="90"/>
      <c r="ACA365" s="90"/>
      <c r="ACB365" s="90"/>
      <c r="ACC365" s="90"/>
      <c r="ACD365" s="90"/>
      <c r="ACE365" s="90"/>
      <c r="ACF365" s="90"/>
      <c r="ACG365" s="90"/>
      <c r="ACH365" s="90"/>
      <c r="ACI365" s="90"/>
      <c r="ACJ365" s="90"/>
      <c r="ACK365" s="90"/>
      <c r="ACL365" s="90"/>
      <c r="ACM365" s="90"/>
      <c r="ACN365" s="90"/>
      <c r="ACO365" s="90"/>
      <c r="ACP365" s="90"/>
      <c r="ACQ365" s="90"/>
      <c r="ACR365" s="90"/>
      <c r="ACS365" s="90"/>
      <c r="ACT365" s="90"/>
      <c r="ACU365" s="90"/>
      <c r="ACV365" s="90"/>
      <c r="ACW365" s="90"/>
      <c r="ACX365" s="90"/>
      <c r="ACY365" s="90"/>
      <c r="ACZ365" s="90"/>
      <c r="ADA365" s="90"/>
      <c r="ADB365" s="90"/>
      <c r="ADC365" s="90"/>
      <c r="ADD365" s="90"/>
      <c r="ADE365" s="90"/>
      <c r="ADF365" s="90"/>
      <c r="ADG365" s="90"/>
      <c r="ADH365" s="90"/>
      <c r="ADI365" s="90"/>
      <c r="ADJ365" s="90"/>
      <c r="ADK365" s="90"/>
      <c r="ADL365" s="90"/>
      <c r="ADM365" s="90"/>
      <c r="ADN365" s="90"/>
      <c r="ADO365" s="90"/>
      <c r="ADP365" s="90"/>
      <c r="ADQ365" s="90"/>
      <c r="ADR365" s="90"/>
      <c r="ADS365" s="90"/>
      <c r="ADT365" s="90"/>
      <c r="ADU365" s="90"/>
      <c r="ADV365" s="90"/>
      <c r="ADW365" s="90"/>
      <c r="ADX365" s="90"/>
      <c r="ADY365" s="90"/>
      <c r="ADZ365" s="90"/>
      <c r="AEA365" s="90"/>
      <c r="AEB365" s="90"/>
      <c r="AEC365" s="90"/>
      <c r="AED365" s="90"/>
      <c r="AEE365" s="90"/>
      <c r="AEF365" s="90"/>
      <c r="AEG365" s="90"/>
      <c r="AEH365" s="90"/>
      <c r="AEI365" s="90"/>
      <c r="AEJ365" s="90"/>
      <c r="AEK365" s="90"/>
      <c r="AEL365" s="90"/>
      <c r="AEM365" s="90"/>
      <c r="AEN365" s="90"/>
      <c r="AEO365" s="90"/>
      <c r="AEP365" s="90"/>
      <c r="AEQ365" s="90"/>
      <c r="AER365" s="90"/>
      <c r="AES365" s="90"/>
      <c r="AET365" s="90"/>
      <c r="AEU365" s="90"/>
      <c r="AEV365" s="90"/>
      <c r="AEW365" s="90"/>
      <c r="AEX365" s="90"/>
      <c r="AEY365" s="90"/>
      <c r="AEZ365" s="90"/>
      <c r="AFA365" s="90"/>
      <c r="AFB365" s="90"/>
      <c r="AFC365" s="90"/>
      <c r="AFD365" s="90"/>
      <c r="AFE365" s="90"/>
      <c r="AFF365" s="90"/>
      <c r="AFG365" s="90"/>
      <c r="AFH365" s="90"/>
      <c r="AFI365" s="90"/>
      <c r="AFJ365" s="90"/>
      <c r="AFK365" s="90"/>
      <c r="AFL365" s="90"/>
      <c r="AFM365" s="90"/>
      <c r="AFN365" s="90"/>
      <c r="AFO365" s="90"/>
      <c r="AFP365" s="90"/>
      <c r="AFQ365" s="90"/>
      <c r="AFR365" s="90"/>
      <c r="AFS365" s="90"/>
      <c r="AFT365" s="90"/>
      <c r="AFU365" s="90"/>
      <c r="AFV365" s="90"/>
      <c r="AFW365" s="90"/>
      <c r="AFX365" s="90"/>
      <c r="AFY365" s="90"/>
      <c r="AFZ365" s="90"/>
      <c r="AGA365" s="90"/>
      <c r="AGB365" s="90"/>
      <c r="AGC365" s="90"/>
      <c r="AGD365" s="90"/>
      <c r="AGE365" s="90"/>
      <c r="AGF365" s="90"/>
      <c r="AGG365" s="90"/>
      <c r="AGH365" s="90"/>
      <c r="AGI365" s="90"/>
      <c r="AGJ365" s="90"/>
      <c r="AGK365" s="90"/>
      <c r="AGL365" s="90"/>
      <c r="AGM365" s="90"/>
      <c r="AGN365" s="90"/>
      <c r="AGO365" s="90"/>
      <c r="AGP365" s="90"/>
      <c r="AGQ365" s="90"/>
      <c r="AGR365" s="90"/>
      <c r="AGS365" s="90"/>
      <c r="AGT365" s="90"/>
      <c r="AGU365" s="90"/>
      <c r="AGV365" s="90"/>
      <c r="AGW365" s="90"/>
      <c r="AGX365" s="90"/>
      <c r="AGY365" s="90"/>
      <c r="AGZ365" s="90"/>
      <c r="AHA365" s="90"/>
      <c r="AHB365" s="90"/>
      <c r="AHC365" s="90"/>
      <c r="AHD365" s="90"/>
      <c r="AHE365" s="90"/>
      <c r="AHF365" s="90"/>
      <c r="AHG365" s="90"/>
      <c r="AHH365" s="90"/>
      <c r="AHI365" s="90"/>
      <c r="AHJ365" s="90"/>
      <c r="AHK365" s="90"/>
      <c r="AHL365" s="90"/>
      <c r="AHM365" s="90"/>
      <c r="AHN365" s="90"/>
      <c r="AHO365" s="90"/>
      <c r="AHP365" s="90"/>
      <c r="AHQ365" s="90"/>
      <c r="AHR365" s="90"/>
      <c r="AHS365" s="90"/>
      <c r="AHT365" s="90"/>
      <c r="AHU365" s="90"/>
      <c r="AHV365" s="90"/>
      <c r="AHW365" s="90"/>
      <c r="AHX365" s="90"/>
      <c r="AHY365" s="90"/>
      <c r="AHZ365" s="90"/>
      <c r="AIA365" s="90"/>
      <c r="AIB365" s="90"/>
      <c r="AIC365" s="90"/>
      <c r="AID365" s="90"/>
      <c r="AIE365" s="90"/>
      <c r="AIF365" s="90"/>
      <c r="AIG365" s="90"/>
      <c r="AIH365" s="90"/>
      <c r="AII365" s="90"/>
      <c r="AIJ365" s="90"/>
      <c r="AIK365" s="90"/>
      <c r="AIL365" s="90"/>
      <c r="AIM365" s="90"/>
      <c r="AIN365" s="90"/>
      <c r="AIO365" s="90"/>
      <c r="AIP365" s="90"/>
      <c r="AIQ365" s="90"/>
      <c r="AIR365" s="90"/>
      <c r="AIS365" s="90"/>
      <c r="AIT365" s="90"/>
      <c r="AIU365" s="90"/>
      <c r="AIV365" s="90"/>
      <c r="AIW365" s="90"/>
      <c r="AIX365" s="90"/>
      <c r="AIY365" s="90"/>
      <c r="AIZ365" s="90"/>
      <c r="AJA365" s="90"/>
      <c r="AJB365" s="90"/>
      <c r="AJC365" s="90"/>
      <c r="AJD365" s="90"/>
      <c r="AJE365" s="90"/>
      <c r="AJF365" s="90"/>
      <c r="AJG365" s="90"/>
      <c r="AJH365" s="90"/>
      <c r="AJI365" s="90"/>
      <c r="AJJ365" s="90"/>
      <c r="AJK365" s="90"/>
      <c r="AJL365" s="90"/>
      <c r="AJM365" s="90"/>
      <c r="AJN365" s="90"/>
      <c r="AJO365" s="90"/>
      <c r="AJP365" s="90"/>
      <c r="AJQ365" s="90"/>
      <c r="AJR365" s="90"/>
      <c r="AJS365" s="90"/>
      <c r="AJT365" s="90"/>
      <c r="AJU365" s="90"/>
      <c r="AJV365" s="90"/>
      <c r="AJW365" s="90"/>
      <c r="AJX365" s="90"/>
      <c r="AJY365" s="90"/>
      <c r="AJZ365" s="90"/>
      <c r="AKA365" s="90"/>
      <c r="AKB365" s="90"/>
      <c r="AKC365" s="90"/>
      <c r="AKD365" s="90"/>
      <c r="AKE365" s="90"/>
      <c r="AKF365" s="90"/>
      <c r="AKG365" s="90"/>
      <c r="AKH365" s="90"/>
      <c r="AKI365" s="90"/>
      <c r="AKJ365" s="90"/>
      <c r="AKK365" s="90"/>
      <c r="AKL365" s="90"/>
      <c r="AKM365" s="90"/>
      <c r="AKN365" s="90"/>
      <c r="AKO365" s="90"/>
      <c r="AKP365" s="90"/>
      <c r="AKQ365" s="90"/>
      <c r="AKR365" s="90"/>
      <c r="AKS365" s="90"/>
      <c r="AKT365" s="90"/>
      <c r="AKU365" s="90"/>
      <c r="AKV365" s="90"/>
      <c r="AKW365" s="90"/>
      <c r="AKX365" s="90"/>
      <c r="AKY365" s="90"/>
      <c r="AKZ365" s="90"/>
      <c r="ALA365" s="90"/>
      <c r="ALB365" s="90"/>
      <c r="ALC365" s="90"/>
      <c r="ALD365" s="90"/>
      <c r="ALE365" s="90"/>
      <c r="ALF365" s="90"/>
      <c r="ALG365" s="90"/>
      <c r="ALH365" s="90"/>
      <c r="ALI365" s="90"/>
      <c r="ALJ365" s="90"/>
      <c r="ALK365" s="90"/>
      <c r="ALL365" s="90"/>
      <c r="ALM365" s="90"/>
      <c r="ALN365" s="90"/>
      <c r="ALO365" s="90"/>
      <c r="ALP365" s="90"/>
      <c r="ALQ365" s="90"/>
      <c r="ALR365" s="90"/>
      <c r="ALS365" s="90"/>
      <c r="ALT365" s="90"/>
      <c r="ALU365" s="90"/>
      <c r="ALV365" s="90"/>
      <c r="ALW365" s="90"/>
      <c r="ALX365" s="90"/>
      <c r="ALY365" s="90"/>
      <c r="ALZ365" s="90"/>
      <c r="AMA365" s="90"/>
      <c r="AMB365" s="90"/>
      <c r="AMC365" s="90"/>
    </row>
    <row r="366" spans="1:1017">
      <c r="A366" s="98" t="s">
        <v>54</v>
      </c>
      <c r="B366" s="90" t="str">
        <f t="shared" si="1966"/>
        <v>Kerapu Cantang</v>
      </c>
      <c r="C366" s="610"/>
      <c r="D366" s="610"/>
      <c r="Q366" s="91">
        <f t="shared" si="1967"/>
        <v>0</v>
      </c>
      <c r="R366" s="91">
        <f t="shared" si="1968"/>
        <v>0</v>
      </c>
      <c r="S366" s="610">
        <v>610</v>
      </c>
      <c r="T366" s="610">
        <v>51850</v>
      </c>
      <c r="U366" s="98">
        <v>3650</v>
      </c>
      <c r="V366" s="98">
        <v>310250</v>
      </c>
      <c r="AG366" s="91">
        <f t="shared" si="1969"/>
        <v>4260</v>
      </c>
      <c r="AH366" s="91">
        <f t="shared" si="1970"/>
        <v>362100</v>
      </c>
      <c r="AI366" s="610"/>
      <c r="AJ366" s="610"/>
      <c r="AW366" s="91">
        <f t="shared" si="1971"/>
        <v>0</v>
      </c>
      <c r="AX366" s="91">
        <f t="shared" si="1972"/>
        <v>0</v>
      </c>
      <c r="AY366" s="610"/>
      <c r="AZ366" s="610"/>
      <c r="BM366" s="91">
        <f t="shared" si="1973"/>
        <v>0</v>
      </c>
      <c r="BN366" s="91">
        <f t="shared" si="1974"/>
        <v>0</v>
      </c>
      <c r="BO366" s="610"/>
      <c r="BP366" s="610"/>
      <c r="CC366" s="91">
        <f t="shared" si="1975"/>
        <v>0</v>
      </c>
      <c r="CD366" s="91">
        <f t="shared" si="1976"/>
        <v>0</v>
      </c>
      <c r="CE366" s="610"/>
      <c r="CF366" s="797"/>
      <c r="CS366" s="91">
        <f t="shared" si="1977"/>
        <v>0</v>
      </c>
      <c r="CT366" s="91">
        <f t="shared" si="1978"/>
        <v>0</v>
      </c>
      <c r="CU366" s="610"/>
      <c r="CV366" s="610"/>
      <c r="DI366" s="91">
        <f t="shared" si="1979"/>
        <v>0</v>
      </c>
      <c r="DJ366" s="91">
        <f t="shared" si="1980"/>
        <v>0</v>
      </c>
      <c r="DK366" s="610"/>
      <c r="DL366" s="610"/>
      <c r="DY366" s="91">
        <f t="shared" si="1981"/>
        <v>0</v>
      </c>
      <c r="DZ366" s="91">
        <f t="shared" si="1982"/>
        <v>0</v>
      </c>
      <c r="EA366" s="610"/>
      <c r="EB366" s="610"/>
      <c r="EO366" s="91">
        <f t="shared" si="1983"/>
        <v>0</v>
      </c>
      <c r="EP366" s="91">
        <f t="shared" si="1984"/>
        <v>0</v>
      </c>
      <c r="EQ366" s="610"/>
      <c r="ER366" s="610"/>
      <c r="ES366" s="98">
        <v>120821</v>
      </c>
      <c r="ET366" s="98">
        <v>11477995</v>
      </c>
      <c r="FE366" s="91">
        <f t="shared" si="1985"/>
        <v>120821</v>
      </c>
      <c r="FF366" s="91">
        <f t="shared" si="1986"/>
        <v>11477995</v>
      </c>
      <c r="FG366" s="791"/>
      <c r="FH366" s="791"/>
      <c r="FU366" s="91">
        <f t="shared" si="1987"/>
        <v>0</v>
      </c>
      <c r="FV366" s="91">
        <f t="shared" si="1988"/>
        <v>0</v>
      </c>
      <c r="FW366" s="610"/>
      <c r="FX366" s="610"/>
      <c r="GK366" s="91">
        <f t="shared" si="1989"/>
        <v>0</v>
      </c>
      <c r="GL366" s="91">
        <f t="shared" si="1990"/>
        <v>0</v>
      </c>
      <c r="GM366" s="610"/>
      <c r="GN366" s="610"/>
      <c r="HA366" s="91">
        <f t="shared" si="1991"/>
        <v>0</v>
      </c>
      <c r="HB366" s="91">
        <f t="shared" si="1992"/>
        <v>0</v>
      </c>
      <c r="HC366" s="610"/>
      <c r="HD366" s="610"/>
      <c r="HQ366" s="91">
        <f t="shared" si="1993"/>
        <v>0</v>
      </c>
      <c r="HR366" s="91">
        <f t="shared" si="1994"/>
        <v>0</v>
      </c>
      <c r="HS366" s="610"/>
      <c r="HT366" s="610"/>
      <c r="IG366" s="91">
        <f t="shared" si="1995"/>
        <v>0</v>
      </c>
      <c r="IH366" s="91">
        <f t="shared" si="1996"/>
        <v>0</v>
      </c>
      <c r="II366" s="610"/>
      <c r="IJ366" s="610"/>
      <c r="IW366" s="91">
        <f t="shared" si="1997"/>
        <v>0</v>
      </c>
      <c r="IX366" s="91">
        <f t="shared" si="1998"/>
        <v>0</v>
      </c>
      <c r="IY366" s="610"/>
      <c r="IZ366" s="610"/>
      <c r="JM366" s="91">
        <f t="shared" si="1999"/>
        <v>0</v>
      </c>
      <c r="JN366" s="91">
        <f t="shared" si="2000"/>
        <v>0</v>
      </c>
      <c r="JO366" s="610"/>
      <c r="JP366" s="610"/>
      <c r="KC366" s="91">
        <f t="shared" si="2001"/>
        <v>0</v>
      </c>
      <c r="KD366" s="91">
        <f t="shared" si="2002"/>
        <v>0</v>
      </c>
      <c r="KE366" s="610"/>
      <c r="KF366" s="610"/>
      <c r="KS366" s="91">
        <f t="shared" si="2003"/>
        <v>0</v>
      </c>
      <c r="KT366" s="91">
        <f t="shared" si="2004"/>
        <v>0</v>
      </c>
      <c r="KU366" s="610"/>
      <c r="KV366" s="610"/>
      <c r="LI366" s="91">
        <f t="shared" si="2005"/>
        <v>0</v>
      </c>
      <c r="LJ366" s="91">
        <f t="shared" si="2006"/>
        <v>0</v>
      </c>
      <c r="LK366" s="610"/>
      <c r="LL366" s="610"/>
      <c r="LY366" s="91">
        <f t="shared" si="2007"/>
        <v>0</v>
      </c>
      <c r="LZ366" s="91">
        <f t="shared" si="2008"/>
        <v>0</v>
      </c>
      <c r="MA366" s="610">
        <v>78200</v>
      </c>
      <c r="MB366" s="610">
        <v>6647000</v>
      </c>
      <c r="MO366" s="91">
        <f t="shared" si="2009"/>
        <v>78200</v>
      </c>
      <c r="MP366" s="91">
        <f t="shared" si="2010"/>
        <v>6647000</v>
      </c>
      <c r="MQ366" s="610"/>
      <c r="MR366" s="610"/>
      <c r="NE366" s="91">
        <f t="shared" si="2011"/>
        <v>0</v>
      </c>
      <c r="NF366" s="91">
        <f t="shared" si="2012"/>
        <v>0</v>
      </c>
      <c r="NG366" s="610"/>
      <c r="NH366" s="610"/>
      <c r="NU366" s="91">
        <f t="shared" si="2013"/>
        <v>0</v>
      </c>
      <c r="NV366" s="91">
        <f t="shared" si="2014"/>
        <v>0</v>
      </c>
      <c r="NW366" s="610">
        <v>520</v>
      </c>
      <c r="NX366" s="610">
        <v>52000</v>
      </c>
      <c r="OK366" s="91">
        <f t="shared" si="2015"/>
        <v>520</v>
      </c>
      <c r="OL366" s="91">
        <f t="shared" si="2016"/>
        <v>52000</v>
      </c>
      <c r="PA366" s="91">
        <f t="shared" si="2017"/>
        <v>0</v>
      </c>
      <c r="PB366" s="91">
        <f t="shared" si="2018"/>
        <v>0</v>
      </c>
      <c r="PC366" s="610">
        <v>68</v>
      </c>
      <c r="PD366" s="610">
        <v>3740</v>
      </c>
      <c r="PQ366" s="91">
        <f t="shared" si="2019"/>
        <v>68</v>
      </c>
      <c r="PR366" s="91">
        <f t="shared" si="2020"/>
        <v>3740</v>
      </c>
      <c r="PS366" s="793"/>
      <c r="PT366" s="793"/>
      <c r="PU366" s="98">
        <v>1960</v>
      </c>
      <c r="PV366" s="98">
        <v>147000</v>
      </c>
      <c r="QG366" s="91">
        <f t="shared" si="2021"/>
        <v>1960</v>
      </c>
      <c r="QH366" s="91">
        <f t="shared" si="2022"/>
        <v>147000</v>
      </c>
      <c r="QI366" s="610"/>
      <c r="QJ366" s="610"/>
      <c r="QW366" s="91">
        <f t="shared" si="2023"/>
        <v>0</v>
      </c>
      <c r="QX366" s="91">
        <f t="shared" si="2024"/>
        <v>0</v>
      </c>
      <c r="QY366" s="610"/>
      <c r="QZ366" s="610"/>
      <c r="RM366" s="91">
        <f t="shared" si="2025"/>
        <v>0</v>
      </c>
      <c r="RN366" s="91">
        <f t="shared" si="2026"/>
        <v>0</v>
      </c>
      <c r="RO366" s="610"/>
      <c r="RP366" s="610"/>
      <c r="SC366" s="91">
        <f t="shared" si="2027"/>
        <v>0</v>
      </c>
      <c r="SD366" s="91">
        <f t="shared" si="2028"/>
        <v>0</v>
      </c>
      <c r="SE366" s="610"/>
      <c r="SF366" s="610"/>
      <c r="SS366" s="91">
        <f t="shared" si="2029"/>
        <v>0</v>
      </c>
      <c r="ST366" s="91">
        <f t="shared" si="2030"/>
        <v>0</v>
      </c>
      <c r="SU366" s="610"/>
      <c r="SV366" s="610"/>
      <c r="TI366" s="91">
        <f t="shared" si="2031"/>
        <v>0</v>
      </c>
      <c r="TJ366" s="91">
        <f t="shared" si="2032"/>
        <v>0</v>
      </c>
      <c r="TK366" s="610"/>
      <c r="TL366" s="610"/>
      <c r="TY366" s="91">
        <f t="shared" si="2033"/>
        <v>0</v>
      </c>
      <c r="TZ366" s="91">
        <f t="shared" si="2034"/>
        <v>0</v>
      </c>
      <c r="UA366" s="610"/>
      <c r="UB366" s="610"/>
      <c r="UO366" s="91">
        <f t="shared" si="2035"/>
        <v>0</v>
      </c>
      <c r="UP366" s="91">
        <f t="shared" si="2036"/>
        <v>0</v>
      </c>
      <c r="UQ366" s="610"/>
      <c r="UR366" s="610"/>
      <c r="VE366" s="91">
        <f t="shared" si="2037"/>
        <v>0</v>
      </c>
      <c r="VF366" s="91">
        <f t="shared" si="2038"/>
        <v>0</v>
      </c>
      <c r="VG366" s="610"/>
      <c r="VH366" s="610"/>
      <c r="VU366" s="91">
        <f t="shared" si="2039"/>
        <v>0</v>
      </c>
      <c r="VV366" s="91">
        <f t="shared" si="2040"/>
        <v>0</v>
      </c>
      <c r="VW366" s="791"/>
      <c r="VX366" s="791"/>
      <c r="WK366" s="91">
        <f t="shared" si="2041"/>
        <v>0</v>
      </c>
      <c r="WL366" s="91">
        <f t="shared" si="2042"/>
        <v>0</v>
      </c>
      <c r="WM366" s="89"/>
      <c r="WN366" s="87">
        <f t="shared" si="2043"/>
        <v>79398</v>
      </c>
      <c r="WO366" s="87">
        <f t="shared" si="2044"/>
        <v>6754590</v>
      </c>
      <c r="WP366" s="87">
        <f t="shared" si="2045"/>
        <v>126431</v>
      </c>
      <c r="WQ366" s="87">
        <f t="shared" si="2046"/>
        <v>11935245</v>
      </c>
      <c r="WR366" s="87">
        <f t="shared" si="2047"/>
        <v>0</v>
      </c>
      <c r="WS366" s="87">
        <f t="shared" si="2048"/>
        <v>0</v>
      </c>
      <c r="WT366" s="87">
        <f t="shared" si="2049"/>
        <v>0</v>
      </c>
      <c r="WU366" s="87">
        <f t="shared" si="2050"/>
        <v>0</v>
      </c>
      <c r="WV366" s="87">
        <f t="shared" si="2051"/>
        <v>0</v>
      </c>
      <c r="WW366" s="87">
        <f t="shared" si="2052"/>
        <v>0</v>
      </c>
      <c r="WX366" s="87">
        <f t="shared" si="2053"/>
        <v>0</v>
      </c>
      <c r="WY366" s="87">
        <f t="shared" si="2054"/>
        <v>0</v>
      </c>
      <c r="WZ366" s="87">
        <f t="shared" si="2055"/>
        <v>0</v>
      </c>
      <c r="XA366" s="87">
        <f t="shared" si="2056"/>
        <v>0</v>
      </c>
      <c r="XB366" s="92">
        <f t="shared" si="2057"/>
        <v>205829</v>
      </c>
      <c r="XC366" s="92">
        <f t="shared" si="2058"/>
        <v>18689835</v>
      </c>
      <c r="XD366" s="89"/>
      <c r="XE366" s="92"/>
      <c r="XF366" s="92"/>
      <c r="XG366" s="89"/>
      <c r="XH366" s="92"/>
      <c r="XI366" s="92"/>
      <c r="XJ366" s="89"/>
      <c r="XK366" s="87"/>
      <c r="XL366" s="87"/>
      <c r="XM366" s="87"/>
      <c r="XN366" s="87"/>
      <c r="XO366" s="87"/>
      <c r="XP366" s="87"/>
      <c r="XQ366" s="87"/>
      <c r="XR366" s="92">
        <f t="shared" ca="1" si="2059"/>
        <v>0</v>
      </c>
      <c r="XS366" s="89"/>
      <c r="XT366" s="87"/>
      <c r="XU366" s="87"/>
      <c r="XV366" s="87"/>
      <c r="XW366" s="87"/>
      <c r="XX366" s="87"/>
      <c r="XY366" s="87"/>
      <c r="XZ366" s="87"/>
      <c r="YA366" s="92">
        <f t="shared" ca="1" si="2060"/>
        <v>0</v>
      </c>
      <c r="YB366" s="90"/>
      <c r="YC366" s="90"/>
      <c r="YD366" s="90"/>
      <c r="YE366" s="90"/>
      <c r="YF366" s="90"/>
      <c r="YG366" s="90"/>
      <c r="YH366" s="90"/>
      <c r="YI366" s="90"/>
      <c r="YJ366" s="90"/>
      <c r="YK366" s="90"/>
      <c r="YL366" s="90"/>
      <c r="YM366" s="90"/>
      <c r="YN366" s="90"/>
      <c r="YO366" s="90"/>
      <c r="YP366" s="90"/>
      <c r="YQ366" s="90"/>
      <c r="YR366" s="90"/>
      <c r="YS366" s="90"/>
      <c r="YT366" s="90"/>
      <c r="YU366" s="90"/>
      <c r="YV366" s="90"/>
      <c r="YW366" s="90"/>
      <c r="YX366" s="90"/>
      <c r="YY366" s="90"/>
      <c r="YZ366" s="90"/>
      <c r="ZA366" s="90"/>
      <c r="ZB366" s="90"/>
      <c r="ZC366" s="90"/>
      <c r="ZD366" s="90"/>
      <c r="ZE366" s="90"/>
      <c r="ZF366" s="90"/>
      <c r="ZG366" s="90"/>
      <c r="ZH366" s="90"/>
      <c r="ZI366" s="90"/>
      <c r="ZJ366" s="90"/>
      <c r="ZK366" s="90"/>
      <c r="ZL366" s="90"/>
      <c r="ZM366" s="90"/>
      <c r="ZN366" s="90"/>
      <c r="ZO366" s="90"/>
      <c r="ZP366" s="90"/>
      <c r="ZQ366" s="90"/>
      <c r="ZR366" s="90"/>
      <c r="ZS366" s="90"/>
      <c r="ZT366" s="90"/>
      <c r="ZU366" s="90"/>
      <c r="ZV366" s="90"/>
      <c r="ZW366" s="90"/>
      <c r="ZX366" s="90"/>
      <c r="ZY366" s="90"/>
      <c r="ZZ366" s="90"/>
      <c r="AAA366" s="90"/>
      <c r="AAB366" s="90"/>
      <c r="AAC366" s="90"/>
      <c r="AAD366" s="90"/>
      <c r="AAE366" s="90"/>
      <c r="AAF366" s="90"/>
      <c r="AAG366" s="90"/>
      <c r="AAH366" s="90"/>
      <c r="AAI366" s="90"/>
      <c r="AAJ366" s="90"/>
      <c r="AAK366" s="90"/>
      <c r="AAL366" s="90"/>
      <c r="AAM366" s="90"/>
      <c r="AAN366" s="90"/>
      <c r="AAO366" s="90"/>
      <c r="AAP366" s="90"/>
      <c r="AAQ366" s="90"/>
      <c r="AAR366" s="90"/>
      <c r="AAS366" s="90"/>
      <c r="AAT366" s="90"/>
      <c r="AAU366" s="90"/>
      <c r="AAV366" s="90"/>
      <c r="AAW366" s="90"/>
      <c r="AAX366" s="90"/>
      <c r="AAY366" s="90"/>
      <c r="AAZ366" s="90"/>
      <c r="ABA366" s="90"/>
      <c r="ABB366" s="90"/>
      <c r="ABC366" s="90"/>
      <c r="ABD366" s="90"/>
      <c r="ABE366" s="90"/>
      <c r="ABF366" s="90"/>
      <c r="ABG366" s="90"/>
      <c r="ABH366" s="90"/>
      <c r="ABI366" s="90"/>
      <c r="ABJ366" s="90"/>
      <c r="ABK366" s="90"/>
      <c r="ABL366" s="90"/>
      <c r="ABM366" s="90"/>
      <c r="ABN366" s="90"/>
      <c r="ABO366" s="90"/>
      <c r="ABP366" s="90"/>
      <c r="ABQ366" s="90"/>
      <c r="ABR366" s="90"/>
      <c r="ABS366" s="90"/>
      <c r="ABT366" s="90"/>
      <c r="ABU366" s="90"/>
      <c r="ABV366" s="90"/>
      <c r="ABW366" s="90"/>
      <c r="ABX366" s="90"/>
      <c r="ABY366" s="90"/>
      <c r="ABZ366" s="90"/>
      <c r="ACA366" s="90"/>
      <c r="ACB366" s="90"/>
      <c r="ACC366" s="90"/>
      <c r="ACD366" s="90"/>
      <c r="ACE366" s="90"/>
      <c r="ACF366" s="90"/>
      <c r="ACG366" s="90"/>
      <c r="ACH366" s="90"/>
      <c r="ACI366" s="90"/>
      <c r="ACJ366" s="90"/>
      <c r="ACK366" s="90"/>
      <c r="ACL366" s="90"/>
      <c r="ACM366" s="90"/>
      <c r="ACN366" s="90"/>
      <c r="ACO366" s="90"/>
      <c r="ACP366" s="90"/>
      <c r="ACQ366" s="90"/>
      <c r="ACR366" s="90"/>
      <c r="ACS366" s="90"/>
      <c r="ACT366" s="90"/>
      <c r="ACU366" s="90"/>
      <c r="ACV366" s="90"/>
      <c r="ACW366" s="90"/>
      <c r="ACX366" s="90"/>
      <c r="ACY366" s="90"/>
      <c r="ACZ366" s="90"/>
      <c r="ADA366" s="90"/>
      <c r="ADB366" s="90"/>
      <c r="ADC366" s="90"/>
      <c r="ADD366" s="90"/>
      <c r="ADE366" s="90"/>
      <c r="ADF366" s="90"/>
      <c r="ADG366" s="90"/>
      <c r="ADH366" s="90"/>
      <c r="ADI366" s="90"/>
      <c r="ADJ366" s="90"/>
      <c r="ADK366" s="90"/>
      <c r="ADL366" s="90"/>
      <c r="ADM366" s="90"/>
      <c r="ADN366" s="90"/>
      <c r="ADO366" s="90"/>
      <c r="ADP366" s="90"/>
      <c r="ADQ366" s="90"/>
      <c r="ADR366" s="90"/>
      <c r="ADS366" s="90"/>
      <c r="ADT366" s="90"/>
      <c r="ADU366" s="90"/>
      <c r="ADV366" s="90"/>
      <c r="ADW366" s="90"/>
      <c r="ADX366" s="90"/>
      <c r="ADY366" s="90"/>
      <c r="ADZ366" s="90"/>
      <c r="AEA366" s="90"/>
      <c r="AEB366" s="90"/>
      <c r="AEC366" s="90"/>
      <c r="AED366" s="90"/>
      <c r="AEE366" s="90"/>
      <c r="AEF366" s="90"/>
      <c r="AEG366" s="90"/>
      <c r="AEH366" s="90"/>
      <c r="AEI366" s="90"/>
      <c r="AEJ366" s="90"/>
      <c r="AEK366" s="90"/>
      <c r="AEL366" s="90"/>
      <c r="AEM366" s="90"/>
      <c r="AEN366" s="90"/>
      <c r="AEO366" s="90"/>
      <c r="AEP366" s="90"/>
      <c r="AEQ366" s="90"/>
      <c r="AER366" s="90"/>
      <c r="AES366" s="90"/>
      <c r="AET366" s="90"/>
      <c r="AEU366" s="90"/>
      <c r="AEV366" s="90"/>
      <c r="AEW366" s="90"/>
      <c r="AEX366" s="90"/>
      <c r="AEY366" s="90"/>
      <c r="AEZ366" s="90"/>
      <c r="AFA366" s="90"/>
      <c r="AFB366" s="90"/>
      <c r="AFC366" s="90"/>
      <c r="AFD366" s="90"/>
      <c r="AFE366" s="90"/>
      <c r="AFF366" s="90"/>
      <c r="AFG366" s="90"/>
      <c r="AFH366" s="90"/>
      <c r="AFI366" s="90"/>
      <c r="AFJ366" s="90"/>
      <c r="AFK366" s="90"/>
      <c r="AFL366" s="90"/>
      <c r="AFM366" s="90"/>
      <c r="AFN366" s="90"/>
      <c r="AFO366" s="90"/>
      <c r="AFP366" s="90"/>
      <c r="AFQ366" s="90"/>
      <c r="AFR366" s="90"/>
      <c r="AFS366" s="90"/>
      <c r="AFT366" s="90"/>
      <c r="AFU366" s="90"/>
      <c r="AFV366" s="90"/>
      <c r="AFW366" s="90"/>
      <c r="AFX366" s="90"/>
      <c r="AFY366" s="90"/>
      <c r="AFZ366" s="90"/>
      <c r="AGA366" s="90"/>
      <c r="AGB366" s="90"/>
      <c r="AGC366" s="90"/>
      <c r="AGD366" s="90"/>
      <c r="AGE366" s="90"/>
      <c r="AGF366" s="90"/>
      <c r="AGG366" s="90"/>
      <c r="AGH366" s="90"/>
      <c r="AGI366" s="90"/>
      <c r="AGJ366" s="90"/>
      <c r="AGK366" s="90"/>
      <c r="AGL366" s="90"/>
      <c r="AGM366" s="90"/>
      <c r="AGN366" s="90"/>
      <c r="AGO366" s="90"/>
      <c r="AGP366" s="90"/>
      <c r="AGQ366" s="90"/>
      <c r="AGR366" s="90"/>
      <c r="AGS366" s="90"/>
      <c r="AGT366" s="90"/>
      <c r="AGU366" s="90"/>
      <c r="AGV366" s="90"/>
      <c r="AGW366" s="90"/>
      <c r="AGX366" s="90"/>
      <c r="AGY366" s="90"/>
      <c r="AGZ366" s="90"/>
      <c r="AHA366" s="90"/>
      <c r="AHB366" s="90"/>
      <c r="AHC366" s="90"/>
      <c r="AHD366" s="90"/>
      <c r="AHE366" s="90"/>
      <c r="AHF366" s="90"/>
      <c r="AHG366" s="90"/>
      <c r="AHH366" s="90"/>
      <c r="AHI366" s="90"/>
      <c r="AHJ366" s="90"/>
      <c r="AHK366" s="90"/>
      <c r="AHL366" s="90"/>
      <c r="AHM366" s="90"/>
      <c r="AHN366" s="90"/>
      <c r="AHO366" s="90"/>
      <c r="AHP366" s="90"/>
      <c r="AHQ366" s="90"/>
      <c r="AHR366" s="90"/>
      <c r="AHS366" s="90"/>
      <c r="AHT366" s="90"/>
      <c r="AHU366" s="90"/>
      <c r="AHV366" s="90"/>
      <c r="AHW366" s="90"/>
      <c r="AHX366" s="90"/>
      <c r="AHY366" s="90"/>
      <c r="AHZ366" s="90"/>
      <c r="AIA366" s="90"/>
      <c r="AIB366" s="90"/>
      <c r="AIC366" s="90"/>
      <c r="AID366" s="90"/>
      <c r="AIE366" s="90"/>
      <c r="AIF366" s="90"/>
      <c r="AIG366" s="90"/>
      <c r="AIH366" s="90"/>
      <c r="AII366" s="90"/>
      <c r="AIJ366" s="90"/>
      <c r="AIK366" s="90"/>
      <c r="AIL366" s="90"/>
      <c r="AIM366" s="90"/>
      <c r="AIN366" s="90"/>
      <c r="AIO366" s="90"/>
      <c r="AIP366" s="90"/>
      <c r="AIQ366" s="90"/>
      <c r="AIR366" s="90"/>
      <c r="AIS366" s="90"/>
      <c r="AIT366" s="90"/>
      <c r="AIU366" s="90"/>
      <c r="AIV366" s="90"/>
      <c r="AIW366" s="90"/>
      <c r="AIX366" s="90"/>
      <c r="AIY366" s="90"/>
      <c r="AIZ366" s="90"/>
      <c r="AJA366" s="90"/>
      <c r="AJB366" s="90"/>
      <c r="AJC366" s="90"/>
      <c r="AJD366" s="90"/>
      <c r="AJE366" s="90"/>
      <c r="AJF366" s="90"/>
      <c r="AJG366" s="90"/>
      <c r="AJH366" s="90"/>
      <c r="AJI366" s="90"/>
      <c r="AJJ366" s="90"/>
      <c r="AJK366" s="90"/>
      <c r="AJL366" s="90"/>
      <c r="AJM366" s="90"/>
      <c r="AJN366" s="90"/>
      <c r="AJO366" s="90"/>
      <c r="AJP366" s="90"/>
      <c r="AJQ366" s="90"/>
      <c r="AJR366" s="90"/>
      <c r="AJS366" s="90"/>
      <c r="AJT366" s="90"/>
      <c r="AJU366" s="90"/>
      <c r="AJV366" s="90"/>
      <c r="AJW366" s="90"/>
      <c r="AJX366" s="90"/>
      <c r="AJY366" s="90"/>
      <c r="AJZ366" s="90"/>
      <c r="AKA366" s="90"/>
      <c r="AKB366" s="90"/>
      <c r="AKC366" s="90"/>
      <c r="AKD366" s="90"/>
      <c r="AKE366" s="90"/>
      <c r="AKF366" s="90"/>
      <c r="AKG366" s="90"/>
      <c r="AKH366" s="90"/>
      <c r="AKI366" s="90"/>
      <c r="AKJ366" s="90"/>
      <c r="AKK366" s="90"/>
      <c r="AKL366" s="90"/>
      <c r="AKM366" s="90"/>
      <c r="AKN366" s="90"/>
      <c r="AKO366" s="90"/>
      <c r="AKP366" s="90"/>
      <c r="AKQ366" s="90"/>
      <c r="AKR366" s="90"/>
      <c r="AKS366" s="90"/>
      <c r="AKT366" s="90"/>
      <c r="AKU366" s="90"/>
      <c r="AKV366" s="90"/>
      <c r="AKW366" s="90"/>
      <c r="AKX366" s="90"/>
      <c r="AKY366" s="90"/>
      <c r="AKZ366" s="90"/>
      <c r="ALA366" s="90"/>
      <c r="ALB366" s="90"/>
      <c r="ALC366" s="90"/>
      <c r="ALD366" s="90"/>
      <c r="ALE366" s="90"/>
      <c r="ALF366" s="90"/>
      <c r="ALG366" s="90"/>
      <c r="ALH366" s="90"/>
      <c r="ALI366" s="90"/>
      <c r="ALJ366" s="90"/>
      <c r="ALK366" s="90"/>
      <c r="ALL366" s="90"/>
      <c r="ALM366" s="90"/>
      <c r="ALN366" s="90"/>
      <c r="ALO366" s="90"/>
      <c r="ALP366" s="90"/>
      <c r="ALQ366" s="90"/>
      <c r="ALR366" s="90"/>
      <c r="ALS366" s="90"/>
      <c r="ALT366" s="90"/>
      <c r="ALU366" s="90"/>
      <c r="ALV366" s="90"/>
      <c r="ALW366" s="90"/>
      <c r="ALX366" s="90"/>
      <c r="ALY366" s="90"/>
      <c r="ALZ366" s="90"/>
      <c r="AMA366" s="90"/>
      <c r="AMB366" s="90"/>
      <c r="AMC366" s="90"/>
    </row>
    <row r="367" spans="1:1017">
      <c r="A367" s="98" t="s">
        <v>54</v>
      </c>
      <c r="B367" s="90" t="str">
        <f t="shared" si="1966"/>
        <v>Kerapu Macan</v>
      </c>
      <c r="C367" s="610"/>
      <c r="D367" s="610"/>
      <c r="Q367" s="91">
        <f t="shared" si="1967"/>
        <v>0</v>
      </c>
      <c r="R367" s="91">
        <f t="shared" si="1968"/>
        <v>0</v>
      </c>
      <c r="S367" s="610"/>
      <c r="T367" s="610"/>
      <c r="AG367" s="91">
        <f t="shared" si="1969"/>
        <v>0</v>
      </c>
      <c r="AH367" s="91">
        <f t="shared" si="1970"/>
        <v>0</v>
      </c>
      <c r="AI367" s="610"/>
      <c r="AJ367" s="610"/>
      <c r="AW367" s="91">
        <f t="shared" si="1971"/>
        <v>0</v>
      </c>
      <c r="AX367" s="91">
        <f t="shared" si="1972"/>
        <v>0</v>
      </c>
      <c r="AY367" s="610"/>
      <c r="AZ367" s="610"/>
      <c r="BM367" s="91">
        <f t="shared" si="1973"/>
        <v>0</v>
      </c>
      <c r="BN367" s="91">
        <f t="shared" si="1974"/>
        <v>0</v>
      </c>
      <c r="BO367" s="610"/>
      <c r="BP367" s="610"/>
      <c r="CC367" s="91">
        <f t="shared" si="1975"/>
        <v>0</v>
      </c>
      <c r="CD367" s="91">
        <f t="shared" si="1976"/>
        <v>0</v>
      </c>
      <c r="CE367" s="610"/>
      <c r="CF367" s="797"/>
      <c r="CG367" s="98">
        <v>12288.982978827136</v>
      </c>
      <c r="CH367" s="98">
        <v>1351865.8729999999</v>
      </c>
      <c r="CS367" s="91">
        <f t="shared" si="1977"/>
        <v>12288.982978827136</v>
      </c>
      <c r="CT367" s="91">
        <f t="shared" si="1978"/>
        <v>1351865.8729999999</v>
      </c>
      <c r="CU367" s="610"/>
      <c r="CV367" s="610"/>
      <c r="DI367" s="91">
        <f t="shared" si="1979"/>
        <v>0</v>
      </c>
      <c r="DJ367" s="91">
        <f t="shared" si="1980"/>
        <v>0</v>
      </c>
      <c r="DK367" s="610"/>
      <c r="DL367" s="610"/>
      <c r="DY367" s="91">
        <f t="shared" si="1981"/>
        <v>0</v>
      </c>
      <c r="DZ367" s="91">
        <f t="shared" si="1982"/>
        <v>0</v>
      </c>
      <c r="EA367" s="610"/>
      <c r="EB367" s="610"/>
      <c r="EO367" s="91">
        <f t="shared" si="1983"/>
        <v>0</v>
      </c>
      <c r="EP367" s="91">
        <f t="shared" si="1984"/>
        <v>0</v>
      </c>
      <c r="EQ367" s="610"/>
      <c r="ER367" s="610"/>
      <c r="FE367" s="91">
        <f t="shared" si="1985"/>
        <v>0</v>
      </c>
      <c r="FF367" s="91">
        <f t="shared" si="1986"/>
        <v>0</v>
      </c>
      <c r="FG367" s="791"/>
      <c r="FH367" s="791"/>
      <c r="FU367" s="91">
        <f t="shared" si="1987"/>
        <v>0</v>
      </c>
      <c r="FV367" s="91">
        <f t="shared" si="1988"/>
        <v>0</v>
      </c>
      <c r="FW367" s="610"/>
      <c r="FX367" s="610"/>
      <c r="GK367" s="91">
        <f t="shared" si="1989"/>
        <v>0</v>
      </c>
      <c r="GL367" s="91">
        <f t="shared" si="1990"/>
        <v>0</v>
      </c>
      <c r="GM367" s="610"/>
      <c r="GN367" s="610"/>
      <c r="HA367" s="91">
        <f t="shared" si="1991"/>
        <v>0</v>
      </c>
      <c r="HB367" s="91">
        <f t="shared" si="1992"/>
        <v>0</v>
      </c>
      <c r="HC367" s="610"/>
      <c r="HD367" s="610"/>
      <c r="HQ367" s="91">
        <f t="shared" si="1993"/>
        <v>0</v>
      </c>
      <c r="HR367" s="91">
        <f t="shared" si="1994"/>
        <v>0</v>
      </c>
      <c r="HS367" s="610"/>
      <c r="HT367" s="610"/>
      <c r="IG367" s="91">
        <f t="shared" si="1995"/>
        <v>0</v>
      </c>
      <c r="IH367" s="91">
        <f t="shared" si="1996"/>
        <v>0</v>
      </c>
      <c r="II367" s="610"/>
      <c r="IJ367" s="610"/>
      <c r="IW367" s="91">
        <f t="shared" si="1997"/>
        <v>0</v>
      </c>
      <c r="IX367" s="91">
        <f t="shared" si="1998"/>
        <v>0</v>
      </c>
      <c r="IY367" s="610"/>
      <c r="IZ367" s="610"/>
      <c r="JM367" s="91">
        <f t="shared" si="1999"/>
        <v>0</v>
      </c>
      <c r="JN367" s="91">
        <f t="shared" si="2000"/>
        <v>0</v>
      </c>
      <c r="JO367" s="610"/>
      <c r="JP367" s="610"/>
      <c r="KC367" s="91">
        <f t="shared" si="2001"/>
        <v>0</v>
      </c>
      <c r="KD367" s="91">
        <f t="shared" si="2002"/>
        <v>0</v>
      </c>
      <c r="KE367" s="610"/>
      <c r="KF367" s="610"/>
      <c r="KS367" s="91">
        <f t="shared" si="2003"/>
        <v>0</v>
      </c>
      <c r="KT367" s="91">
        <f t="shared" si="2004"/>
        <v>0</v>
      </c>
      <c r="KU367" s="610"/>
      <c r="KV367" s="610"/>
      <c r="LI367" s="91">
        <f t="shared" si="2005"/>
        <v>0</v>
      </c>
      <c r="LJ367" s="91">
        <f t="shared" si="2006"/>
        <v>0</v>
      </c>
      <c r="LK367" s="610"/>
      <c r="LL367" s="610"/>
      <c r="LY367" s="91">
        <f t="shared" si="2007"/>
        <v>0</v>
      </c>
      <c r="LZ367" s="91">
        <f t="shared" si="2008"/>
        <v>0</v>
      </c>
      <c r="MA367" s="610"/>
      <c r="MB367" s="610"/>
      <c r="MO367" s="91">
        <f t="shared" si="2009"/>
        <v>0</v>
      </c>
      <c r="MP367" s="91">
        <f t="shared" si="2010"/>
        <v>0</v>
      </c>
      <c r="MQ367" s="610"/>
      <c r="MR367" s="610"/>
      <c r="NE367" s="91">
        <f t="shared" si="2011"/>
        <v>0</v>
      </c>
      <c r="NF367" s="91">
        <f t="shared" si="2012"/>
        <v>0</v>
      </c>
      <c r="NG367" s="610"/>
      <c r="NH367" s="610"/>
      <c r="NU367" s="91">
        <f t="shared" si="2013"/>
        <v>0</v>
      </c>
      <c r="NV367" s="91">
        <f t="shared" si="2014"/>
        <v>0</v>
      </c>
      <c r="NW367" s="610"/>
      <c r="NX367" s="610"/>
      <c r="OK367" s="91">
        <f t="shared" si="2015"/>
        <v>0</v>
      </c>
      <c r="OL367" s="91">
        <f t="shared" si="2016"/>
        <v>0</v>
      </c>
      <c r="OM367" s="610">
        <v>26600</v>
      </c>
      <c r="ON367" s="610">
        <v>5320000</v>
      </c>
      <c r="PA367" s="91">
        <f>SUMIF($C$12:$P$12,$A$1,OM367:OZ367)</f>
        <v>26600</v>
      </c>
      <c r="PB367" s="91">
        <f>SUMIF($C$12:$P$12,$A$3,OM367:OZ367)</f>
        <v>5320000</v>
      </c>
      <c r="PC367" s="610"/>
      <c r="PD367" s="610"/>
      <c r="PQ367" s="91">
        <f t="shared" si="2019"/>
        <v>0</v>
      </c>
      <c r="PR367" s="91">
        <f t="shared" si="2020"/>
        <v>0</v>
      </c>
      <c r="PS367" s="793"/>
      <c r="PT367" s="793"/>
      <c r="QG367" s="91">
        <f t="shared" si="2021"/>
        <v>0</v>
      </c>
      <c r="QH367" s="91">
        <f t="shared" si="2022"/>
        <v>0</v>
      </c>
      <c r="QI367" s="610"/>
      <c r="QJ367" s="610"/>
      <c r="QW367" s="91">
        <f t="shared" si="2023"/>
        <v>0</v>
      </c>
      <c r="QX367" s="91">
        <f t="shared" si="2024"/>
        <v>0</v>
      </c>
      <c r="QY367" s="610"/>
      <c r="QZ367" s="610"/>
      <c r="RM367" s="91">
        <f t="shared" si="2025"/>
        <v>0</v>
      </c>
      <c r="RN367" s="91">
        <f t="shared" si="2026"/>
        <v>0</v>
      </c>
      <c r="RO367" s="610"/>
      <c r="RP367" s="610"/>
      <c r="SC367" s="91">
        <f t="shared" si="2027"/>
        <v>0</v>
      </c>
      <c r="SD367" s="91">
        <f t="shared" si="2028"/>
        <v>0</v>
      </c>
      <c r="SE367" s="610"/>
      <c r="SF367" s="610"/>
      <c r="SS367" s="91">
        <f t="shared" si="2029"/>
        <v>0</v>
      </c>
      <c r="ST367" s="91">
        <f t="shared" si="2030"/>
        <v>0</v>
      </c>
      <c r="SU367" s="610"/>
      <c r="SV367" s="610"/>
      <c r="TI367" s="91">
        <f t="shared" si="2031"/>
        <v>0</v>
      </c>
      <c r="TJ367" s="91">
        <f t="shared" si="2032"/>
        <v>0</v>
      </c>
      <c r="TK367" s="610"/>
      <c r="TL367" s="610"/>
      <c r="TY367" s="91">
        <f t="shared" si="2033"/>
        <v>0</v>
      </c>
      <c r="TZ367" s="91">
        <f t="shared" si="2034"/>
        <v>0</v>
      </c>
      <c r="UA367" s="610"/>
      <c r="UB367" s="610"/>
      <c r="UO367" s="91">
        <f t="shared" si="2035"/>
        <v>0</v>
      </c>
      <c r="UP367" s="91">
        <f t="shared" si="2036"/>
        <v>0</v>
      </c>
      <c r="UQ367" s="610"/>
      <c r="UR367" s="610"/>
      <c r="VE367" s="91">
        <f t="shared" si="2037"/>
        <v>0</v>
      </c>
      <c r="VF367" s="91">
        <f t="shared" si="2038"/>
        <v>0</v>
      </c>
      <c r="VG367" s="610"/>
      <c r="VH367" s="610"/>
      <c r="VU367" s="91">
        <f t="shared" si="2039"/>
        <v>0</v>
      </c>
      <c r="VV367" s="91">
        <f t="shared" si="2040"/>
        <v>0</v>
      </c>
      <c r="VW367" s="791"/>
      <c r="VX367" s="791"/>
      <c r="WK367" s="91">
        <f t="shared" si="2041"/>
        <v>0</v>
      </c>
      <c r="WL367" s="91">
        <f t="shared" si="2042"/>
        <v>0</v>
      </c>
      <c r="WM367" s="89"/>
      <c r="WN367" s="87">
        <f t="shared" si="2043"/>
        <v>26600</v>
      </c>
      <c r="WO367" s="87">
        <f t="shared" si="2044"/>
        <v>5320000</v>
      </c>
      <c r="WP367" s="87">
        <f t="shared" si="2045"/>
        <v>12288.982978827136</v>
      </c>
      <c r="WQ367" s="87">
        <f t="shared" si="2046"/>
        <v>1351865.8729999999</v>
      </c>
      <c r="WR367" s="87">
        <f t="shared" si="2047"/>
        <v>0</v>
      </c>
      <c r="WS367" s="87">
        <f t="shared" si="2048"/>
        <v>0</v>
      </c>
      <c r="WT367" s="87">
        <f t="shared" si="2049"/>
        <v>0</v>
      </c>
      <c r="WU367" s="87">
        <f t="shared" si="2050"/>
        <v>0</v>
      </c>
      <c r="WV367" s="87">
        <f t="shared" si="2051"/>
        <v>0</v>
      </c>
      <c r="WW367" s="87">
        <f t="shared" si="2052"/>
        <v>0</v>
      </c>
      <c r="WX367" s="87">
        <f t="shared" si="2053"/>
        <v>0</v>
      </c>
      <c r="WY367" s="87">
        <f t="shared" si="2054"/>
        <v>0</v>
      </c>
      <c r="WZ367" s="87">
        <f t="shared" si="2055"/>
        <v>0</v>
      </c>
      <c r="XA367" s="87">
        <f t="shared" si="2056"/>
        <v>0</v>
      </c>
      <c r="XB367" s="92">
        <f t="shared" si="2057"/>
        <v>38888.982978827138</v>
      </c>
      <c r="XC367" s="92">
        <f t="shared" si="2058"/>
        <v>6671865.8729999997</v>
      </c>
      <c r="XD367" s="89"/>
      <c r="XE367" s="92"/>
      <c r="XF367" s="92"/>
      <c r="XG367" s="89"/>
      <c r="XH367" s="92"/>
      <c r="XI367" s="92"/>
      <c r="XJ367" s="89"/>
      <c r="XK367" s="87"/>
      <c r="XL367" s="87"/>
      <c r="XM367" s="87"/>
      <c r="XN367" s="87"/>
      <c r="XO367" s="87"/>
      <c r="XP367" s="87"/>
      <c r="XQ367" s="87"/>
      <c r="XR367" s="92">
        <f t="shared" ca="1" si="2059"/>
        <v>0</v>
      </c>
      <c r="XS367" s="89"/>
      <c r="XT367" s="87"/>
      <c r="XU367" s="87"/>
      <c r="XV367" s="87"/>
      <c r="XW367" s="87"/>
      <c r="XX367" s="87"/>
      <c r="XY367" s="87"/>
      <c r="XZ367" s="87"/>
      <c r="YA367" s="92">
        <f t="shared" ca="1" si="2060"/>
        <v>0</v>
      </c>
      <c r="YB367" s="90"/>
      <c r="YC367" s="90"/>
      <c r="YD367" s="90"/>
      <c r="YE367" s="90"/>
      <c r="YF367" s="90"/>
      <c r="YG367" s="90"/>
      <c r="YH367" s="90"/>
      <c r="YI367" s="90"/>
      <c r="YJ367" s="90"/>
      <c r="YK367" s="90"/>
      <c r="YL367" s="90"/>
      <c r="YM367" s="90"/>
      <c r="YN367" s="90"/>
      <c r="YO367" s="90"/>
      <c r="YP367" s="90"/>
      <c r="YQ367" s="90"/>
      <c r="YR367" s="90"/>
      <c r="YS367" s="90"/>
      <c r="YT367" s="90"/>
      <c r="YU367" s="90"/>
      <c r="YV367" s="90"/>
      <c r="YW367" s="90"/>
      <c r="YX367" s="90"/>
      <c r="YY367" s="90"/>
      <c r="YZ367" s="90"/>
      <c r="ZA367" s="90"/>
      <c r="ZB367" s="90"/>
      <c r="ZC367" s="90"/>
      <c r="ZD367" s="90"/>
      <c r="ZE367" s="90"/>
      <c r="ZF367" s="90"/>
      <c r="ZG367" s="90"/>
      <c r="ZH367" s="90"/>
      <c r="ZI367" s="90"/>
      <c r="ZJ367" s="90"/>
      <c r="ZK367" s="90"/>
      <c r="ZL367" s="90"/>
      <c r="ZM367" s="90"/>
      <c r="ZN367" s="90"/>
      <c r="ZO367" s="90"/>
      <c r="ZP367" s="90"/>
      <c r="ZQ367" s="90"/>
      <c r="ZR367" s="90"/>
      <c r="ZS367" s="90"/>
      <c r="ZT367" s="90"/>
      <c r="ZU367" s="90"/>
      <c r="ZV367" s="90"/>
      <c r="ZW367" s="90"/>
      <c r="ZX367" s="90"/>
      <c r="ZY367" s="90"/>
      <c r="ZZ367" s="90"/>
      <c r="AAA367" s="90"/>
      <c r="AAB367" s="90"/>
      <c r="AAC367" s="90"/>
      <c r="AAD367" s="90"/>
      <c r="AAE367" s="90"/>
      <c r="AAF367" s="90"/>
      <c r="AAG367" s="90"/>
      <c r="AAH367" s="90"/>
      <c r="AAI367" s="90"/>
      <c r="AAJ367" s="90"/>
      <c r="AAK367" s="90"/>
      <c r="AAL367" s="90"/>
      <c r="AAM367" s="90"/>
      <c r="AAN367" s="90"/>
      <c r="AAO367" s="90"/>
      <c r="AAP367" s="90"/>
      <c r="AAQ367" s="90"/>
      <c r="AAR367" s="90"/>
      <c r="AAS367" s="90"/>
      <c r="AAT367" s="90"/>
      <c r="AAU367" s="90"/>
      <c r="AAV367" s="90"/>
      <c r="AAW367" s="90"/>
      <c r="AAX367" s="90"/>
      <c r="AAY367" s="90"/>
      <c r="AAZ367" s="90"/>
      <c r="ABA367" s="90"/>
      <c r="ABB367" s="90"/>
      <c r="ABC367" s="90"/>
      <c r="ABD367" s="90"/>
      <c r="ABE367" s="90"/>
      <c r="ABF367" s="90"/>
      <c r="ABG367" s="90"/>
      <c r="ABH367" s="90"/>
      <c r="ABI367" s="90"/>
      <c r="ABJ367" s="90"/>
      <c r="ABK367" s="90"/>
      <c r="ABL367" s="90"/>
      <c r="ABM367" s="90"/>
      <c r="ABN367" s="90"/>
      <c r="ABO367" s="90"/>
      <c r="ABP367" s="90"/>
      <c r="ABQ367" s="90"/>
      <c r="ABR367" s="90"/>
      <c r="ABS367" s="90"/>
      <c r="ABT367" s="90"/>
      <c r="ABU367" s="90"/>
      <c r="ABV367" s="90"/>
      <c r="ABW367" s="90"/>
      <c r="ABX367" s="90"/>
      <c r="ABY367" s="90"/>
      <c r="ABZ367" s="90"/>
      <c r="ACA367" s="90"/>
      <c r="ACB367" s="90"/>
      <c r="ACC367" s="90"/>
      <c r="ACD367" s="90"/>
      <c r="ACE367" s="90"/>
      <c r="ACF367" s="90"/>
      <c r="ACG367" s="90"/>
      <c r="ACH367" s="90"/>
      <c r="ACI367" s="90"/>
      <c r="ACJ367" s="90"/>
      <c r="ACK367" s="90"/>
      <c r="ACL367" s="90"/>
      <c r="ACM367" s="90"/>
      <c r="ACN367" s="90"/>
      <c r="ACO367" s="90"/>
      <c r="ACP367" s="90"/>
      <c r="ACQ367" s="90"/>
      <c r="ACR367" s="90"/>
      <c r="ACS367" s="90"/>
      <c r="ACT367" s="90"/>
      <c r="ACU367" s="90"/>
      <c r="ACV367" s="90"/>
      <c r="ACW367" s="90"/>
      <c r="ACX367" s="90"/>
      <c r="ACY367" s="90"/>
      <c r="ACZ367" s="90"/>
      <c r="ADA367" s="90"/>
      <c r="ADB367" s="90"/>
      <c r="ADC367" s="90"/>
      <c r="ADD367" s="90"/>
      <c r="ADE367" s="90"/>
      <c r="ADF367" s="90"/>
      <c r="ADG367" s="90"/>
      <c r="ADH367" s="90"/>
      <c r="ADI367" s="90"/>
      <c r="ADJ367" s="90"/>
      <c r="ADK367" s="90"/>
      <c r="ADL367" s="90"/>
      <c r="ADM367" s="90"/>
      <c r="ADN367" s="90"/>
      <c r="ADO367" s="90"/>
      <c r="ADP367" s="90"/>
      <c r="ADQ367" s="90"/>
      <c r="ADR367" s="90"/>
      <c r="ADS367" s="90"/>
      <c r="ADT367" s="90"/>
      <c r="ADU367" s="90"/>
      <c r="ADV367" s="90"/>
      <c r="ADW367" s="90"/>
      <c r="ADX367" s="90"/>
      <c r="ADY367" s="90"/>
      <c r="ADZ367" s="90"/>
      <c r="AEA367" s="90"/>
      <c r="AEB367" s="90"/>
      <c r="AEC367" s="90"/>
      <c r="AED367" s="90"/>
      <c r="AEE367" s="90"/>
      <c r="AEF367" s="90"/>
      <c r="AEG367" s="90"/>
      <c r="AEH367" s="90"/>
      <c r="AEI367" s="90"/>
      <c r="AEJ367" s="90"/>
      <c r="AEK367" s="90"/>
      <c r="AEL367" s="90"/>
      <c r="AEM367" s="90"/>
      <c r="AEN367" s="90"/>
      <c r="AEO367" s="90"/>
      <c r="AEP367" s="90"/>
      <c r="AEQ367" s="90"/>
      <c r="AER367" s="90"/>
      <c r="AES367" s="90"/>
      <c r="AET367" s="90"/>
      <c r="AEU367" s="90"/>
      <c r="AEV367" s="90"/>
      <c r="AEW367" s="90"/>
      <c r="AEX367" s="90"/>
      <c r="AEY367" s="90"/>
      <c r="AEZ367" s="90"/>
      <c r="AFA367" s="90"/>
      <c r="AFB367" s="90"/>
      <c r="AFC367" s="90"/>
      <c r="AFD367" s="90"/>
      <c r="AFE367" s="90"/>
      <c r="AFF367" s="90"/>
      <c r="AFG367" s="90"/>
      <c r="AFH367" s="90"/>
      <c r="AFI367" s="90"/>
      <c r="AFJ367" s="90"/>
      <c r="AFK367" s="90"/>
      <c r="AFL367" s="90"/>
      <c r="AFM367" s="90"/>
      <c r="AFN367" s="90"/>
      <c r="AFO367" s="90"/>
      <c r="AFP367" s="90"/>
      <c r="AFQ367" s="90"/>
      <c r="AFR367" s="90"/>
      <c r="AFS367" s="90"/>
      <c r="AFT367" s="90"/>
      <c r="AFU367" s="90"/>
      <c r="AFV367" s="90"/>
      <c r="AFW367" s="90"/>
      <c r="AFX367" s="90"/>
      <c r="AFY367" s="90"/>
      <c r="AFZ367" s="90"/>
      <c r="AGA367" s="90"/>
      <c r="AGB367" s="90"/>
      <c r="AGC367" s="90"/>
      <c r="AGD367" s="90"/>
      <c r="AGE367" s="90"/>
      <c r="AGF367" s="90"/>
      <c r="AGG367" s="90"/>
      <c r="AGH367" s="90"/>
      <c r="AGI367" s="90"/>
      <c r="AGJ367" s="90"/>
      <c r="AGK367" s="90"/>
      <c r="AGL367" s="90"/>
      <c r="AGM367" s="90"/>
      <c r="AGN367" s="90"/>
      <c r="AGO367" s="90"/>
      <c r="AGP367" s="90"/>
      <c r="AGQ367" s="90"/>
      <c r="AGR367" s="90"/>
      <c r="AGS367" s="90"/>
      <c r="AGT367" s="90"/>
      <c r="AGU367" s="90"/>
      <c r="AGV367" s="90"/>
      <c r="AGW367" s="90"/>
      <c r="AGX367" s="90"/>
      <c r="AGY367" s="90"/>
      <c r="AGZ367" s="90"/>
      <c r="AHA367" s="90"/>
      <c r="AHB367" s="90"/>
      <c r="AHC367" s="90"/>
      <c r="AHD367" s="90"/>
      <c r="AHE367" s="90"/>
      <c r="AHF367" s="90"/>
      <c r="AHG367" s="90"/>
      <c r="AHH367" s="90"/>
      <c r="AHI367" s="90"/>
      <c r="AHJ367" s="90"/>
      <c r="AHK367" s="90"/>
      <c r="AHL367" s="90"/>
      <c r="AHM367" s="90"/>
      <c r="AHN367" s="90"/>
      <c r="AHO367" s="90"/>
      <c r="AHP367" s="90"/>
      <c r="AHQ367" s="90"/>
      <c r="AHR367" s="90"/>
      <c r="AHS367" s="90"/>
      <c r="AHT367" s="90"/>
      <c r="AHU367" s="90"/>
      <c r="AHV367" s="90"/>
      <c r="AHW367" s="90"/>
      <c r="AHX367" s="90"/>
      <c r="AHY367" s="90"/>
      <c r="AHZ367" s="90"/>
      <c r="AIA367" s="90"/>
      <c r="AIB367" s="90"/>
      <c r="AIC367" s="90"/>
      <c r="AID367" s="90"/>
      <c r="AIE367" s="90"/>
      <c r="AIF367" s="90"/>
      <c r="AIG367" s="90"/>
      <c r="AIH367" s="90"/>
      <c r="AII367" s="90"/>
      <c r="AIJ367" s="90"/>
      <c r="AIK367" s="90"/>
      <c r="AIL367" s="90"/>
      <c r="AIM367" s="90"/>
      <c r="AIN367" s="90"/>
      <c r="AIO367" s="90"/>
      <c r="AIP367" s="90"/>
      <c r="AIQ367" s="90"/>
      <c r="AIR367" s="90"/>
      <c r="AIS367" s="90"/>
      <c r="AIT367" s="90"/>
      <c r="AIU367" s="90"/>
      <c r="AIV367" s="90"/>
      <c r="AIW367" s="90"/>
      <c r="AIX367" s="90"/>
      <c r="AIY367" s="90"/>
      <c r="AIZ367" s="90"/>
      <c r="AJA367" s="90"/>
      <c r="AJB367" s="90"/>
      <c r="AJC367" s="90"/>
      <c r="AJD367" s="90"/>
      <c r="AJE367" s="90"/>
      <c r="AJF367" s="90"/>
      <c r="AJG367" s="90"/>
      <c r="AJH367" s="90"/>
      <c r="AJI367" s="90"/>
      <c r="AJJ367" s="90"/>
      <c r="AJK367" s="90"/>
      <c r="AJL367" s="90"/>
      <c r="AJM367" s="90"/>
      <c r="AJN367" s="90"/>
      <c r="AJO367" s="90"/>
      <c r="AJP367" s="90"/>
      <c r="AJQ367" s="90"/>
      <c r="AJR367" s="90"/>
      <c r="AJS367" s="90"/>
      <c r="AJT367" s="90"/>
      <c r="AJU367" s="90"/>
      <c r="AJV367" s="90"/>
      <c r="AJW367" s="90"/>
      <c r="AJX367" s="90"/>
      <c r="AJY367" s="90"/>
      <c r="AJZ367" s="90"/>
      <c r="AKA367" s="90"/>
      <c r="AKB367" s="90"/>
      <c r="AKC367" s="90"/>
      <c r="AKD367" s="90"/>
      <c r="AKE367" s="90"/>
      <c r="AKF367" s="90"/>
      <c r="AKG367" s="90"/>
      <c r="AKH367" s="90"/>
      <c r="AKI367" s="90"/>
      <c r="AKJ367" s="90"/>
      <c r="AKK367" s="90"/>
      <c r="AKL367" s="90"/>
      <c r="AKM367" s="90"/>
      <c r="AKN367" s="90"/>
      <c r="AKO367" s="90"/>
      <c r="AKP367" s="90"/>
      <c r="AKQ367" s="90"/>
      <c r="AKR367" s="90"/>
      <c r="AKS367" s="90"/>
      <c r="AKT367" s="90"/>
      <c r="AKU367" s="90"/>
      <c r="AKV367" s="90"/>
      <c r="AKW367" s="90"/>
      <c r="AKX367" s="90"/>
      <c r="AKY367" s="90"/>
      <c r="AKZ367" s="90"/>
      <c r="ALA367" s="90"/>
      <c r="ALB367" s="90"/>
      <c r="ALC367" s="90"/>
      <c r="ALD367" s="90"/>
      <c r="ALE367" s="90"/>
      <c r="ALF367" s="90"/>
      <c r="ALG367" s="90"/>
      <c r="ALH367" s="90"/>
      <c r="ALI367" s="90"/>
      <c r="ALJ367" s="90"/>
      <c r="ALK367" s="90"/>
      <c r="ALL367" s="90"/>
      <c r="ALM367" s="90"/>
      <c r="ALN367" s="90"/>
      <c r="ALO367" s="90"/>
      <c r="ALP367" s="90"/>
      <c r="ALQ367" s="90"/>
      <c r="ALR367" s="90"/>
      <c r="ALS367" s="90"/>
      <c r="ALT367" s="90"/>
      <c r="ALU367" s="90"/>
      <c r="ALV367" s="90"/>
      <c r="ALW367" s="90"/>
      <c r="ALX367" s="90"/>
      <c r="ALY367" s="90"/>
      <c r="ALZ367" s="90"/>
      <c r="AMA367" s="90"/>
      <c r="AMB367" s="90"/>
      <c r="AMC367" s="90"/>
    </row>
    <row r="368" spans="1:1017">
      <c r="A368" s="98" t="s">
        <v>54</v>
      </c>
      <c r="B368" s="90" t="str">
        <f t="shared" si="1966"/>
        <v>Kerong Kerong</v>
      </c>
      <c r="J368" s="611"/>
      <c r="Q368" s="91">
        <f t="shared" si="1967"/>
        <v>0</v>
      </c>
      <c r="R368" s="91">
        <f t="shared" si="1968"/>
        <v>0</v>
      </c>
      <c r="Z368" s="611"/>
      <c r="AG368" s="91">
        <f t="shared" si="1969"/>
        <v>0</v>
      </c>
      <c r="AH368" s="91">
        <f t="shared" si="1970"/>
        <v>0</v>
      </c>
      <c r="AP368" s="611"/>
      <c r="AW368" s="91">
        <f t="shared" si="1971"/>
        <v>0</v>
      </c>
      <c r="AX368" s="91">
        <f t="shared" si="1972"/>
        <v>0</v>
      </c>
      <c r="BF368" s="611"/>
      <c r="BM368" s="91">
        <f t="shared" si="1973"/>
        <v>0</v>
      </c>
      <c r="BN368" s="91">
        <f t="shared" si="1974"/>
        <v>0</v>
      </c>
      <c r="BV368" s="611"/>
      <c r="CC368" s="91">
        <f t="shared" si="1975"/>
        <v>0</v>
      </c>
      <c r="CD368" s="91">
        <f t="shared" si="1976"/>
        <v>0</v>
      </c>
      <c r="CL368" s="611"/>
      <c r="CS368" s="91">
        <f t="shared" si="1977"/>
        <v>0</v>
      </c>
      <c r="CT368" s="91">
        <f t="shared" si="1978"/>
        <v>0</v>
      </c>
      <c r="DB368" s="611"/>
      <c r="DI368" s="91">
        <f t="shared" si="1979"/>
        <v>0</v>
      </c>
      <c r="DJ368" s="91">
        <f t="shared" si="1980"/>
        <v>0</v>
      </c>
      <c r="DR368" s="611"/>
      <c r="DY368" s="91">
        <f t="shared" si="1981"/>
        <v>0</v>
      </c>
      <c r="DZ368" s="91">
        <f t="shared" si="1982"/>
        <v>0</v>
      </c>
      <c r="EH368" s="611"/>
      <c r="EO368" s="91">
        <f t="shared" si="1983"/>
        <v>0</v>
      </c>
      <c r="EP368" s="91">
        <f t="shared" si="1984"/>
        <v>0</v>
      </c>
      <c r="EX368" s="611"/>
      <c r="FE368" s="91">
        <f t="shared" si="1985"/>
        <v>0</v>
      </c>
      <c r="FF368" s="91">
        <f t="shared" si="1986"/>
        <v>0</v>
      </c>
      <c r="FN368" s="611"/>
      <c r="FU368" s="91">
        <f t="shared" si="1987"/>
        <v>0</v>
      </c>
      <c r="FV368" s="91">
        <f t="shared" si="1988"/>
        <v>0</v>
      </c>
      <c r="GD368" s="611"/>
      <c r="GK368" s="91">
        <f t="shared" si="1989"/>
        <v>0</v>
      </c>
      <c r="GL368" s="91">
        <f t="shared" si="1990"/>
        <v>0</v>
      </c>
      <c r="GT368" s="611"/>
      <c r="HA368" s="91">
        <f t="shared" si="1991"/>
        <v>0</v>
      </c>
      <c r="HB368" s="91">
        <f t="shared" si="1992"/>
        <v>0</v>
      </c>
      <c r="HJ368" s="611"/>
      <c r="HQ368" s="91">
        <f t="shared" si="1993"/>
        <v>0</v>
      </c>
      <c r="HR368" s="91">
        <f t="shared" si="1994"/>
        <v>0</v>
      </c>
      <c r="HZ368" s="611"/>
      <c r="IG368" s="91">
        <f t="shared" si="1995"/>
        <v>0</v>
      </c>
      <c r="IH368" s="91">
        <f t="shared" si="1996"/>
        <v>0</v>
      </c>
      <c r="IP368" s="611"/>
      <c r="IW368" s="91">
        <f t="shared" si="1997"/>
        <v>0</v>
      </c>
      <c r="IX368" s="91">
        <f t="shared" si="1998"/>
        <v>0</v>
      </c>
      <c r="JF368" s="611"/>
      <c r="JM368" s="91">
        <f t="shared" si="1999"/>
        <v>0</v>
      </c>
      <c r="JN368" s="91">
        <f t="shared" si="2000"/>
        <v>0</v>
      </c>
      <c r="JV368" s="611"/>
      <c r="KC368" s="91">
        <f t="shared" si="2001"/>
        <v>0</v>
      </c>
      <c r="KD368" s="91">
        <f t="shared" si="2002"/>
        <v>0</v>
      </c>
      <c r="KL368" s="611"/>
      <c r="KS368" s="91">
        <f t="shared" si="2003"/>
        <v>0</v>
      </c>
      <c r="KT368" s="91">
        <f t="shared" si="2004"/>
        <v>0</v>
      </c>
      <c r="LB368" s="611"/>
      <c r="LI368" s="91">
        <f t="shared" si="2005"/>
        <v>0</v>
      </c>
      <c r="LJ368" s="91">
        <f t="shared" si="2006"/>
        <v>0</v>
      </c>
      <c r="LR368" s="611"/>
      <c r="LY368" s="91">
        <f t="shared" si="2007"/>
        <v>0</v>
      </c>
      <c r="LZ368" s="91">
        <f t="shared" si="2008"/>
        <v>0</v>
      </c>
      <c r="MH368" s="611"/>
      <c r="MO368" s="91">
        <f t="shared" si="2009"/>
        <v>0</v>
      </c>
      <c r="MP368" s="91">
        <f t="shared" si="2010"/>
        <v>0</v>
      </c>
      <c r="MX368" s="611"/>
      <c r="NE368" s="91">
        <f t="shared" si="2011"/>
        <v>0</v>
      </c>
      <c r="NF368" s="91">
        <f t="shared" si="2012"/>
        <v>0</v>
      </c>
      <c r="NN368" s="611"/>
      <c r="NU368" s="91">
        <f t="shared" si="2013"/>
        <v>0</v>
      </c>
      <c r="NV368" s="91">
        <f t="shared" si="2014"/>
        <v>0</v>
      </c>
      <c r="OD368" s="611"/>
      <c r="OK368" s="91">
        <f t="shared" si="2015"/>
        <v>0</v>
      </c>
      <c r="OL368" s="91">
        <f t="shared" si="2016"/>
        <v>0</v>
      </c>
      <c r="OT368" s="611"/>
      <c r="PA368" s="91">
        <f t="shared" si="2017"/>
        <v>0</v>
      </c>
      <c r="PB368" s="91">
        <f t="shared" si="2018"/>
        <v>0</v>
      </c>
      <c r="PJ368" s="611"/>
      <c r="PQ368" s="91">
        <f t="shared" si="2019"/>
        <v>0</v>
      </c>
      <c r="PR368" s="91">
        <f t="shared" si="2020"/>
        <v>0</v>
      </c>
      <c r="PZ368" s="611"/>
      <c r="QG368" s="91">
        <f t="shared" si="2021"/>
        <v>0</v>
      </c>
      <c r="QH368" s="91">
        <f t="shared" si="2022"/>
        <v>0</v>
      </c>
      <c r="QP368" s="611"/>
      <c r="QW368" s="91">
        <f t="shared" si="2023"/>
        <v>0</v>
      </c>
      <c r="QX368" s="91">
        <f t="shared" si="2024"/>
        <v>0</v>
      </c>
      <c r="RF368" s="611"/>
      <c r="RM368" s="91">
        <f t="shared" si="2025"/>
        <v>0</v>
      </c>
      <c r="RN368" s="91">
        <f t="shared" si="2026"/>
        <v>0</v>
      </c>
      <c r="RV368" s="611"/>
      <c r="SC368" s="91">
        <f t="shared" si="2027"/>
        <v>0</v>
      </c>
      <c r="SD368" s="91">
        <f t="shared" si="2028"/>
        <v>0</v>
      </c>
      <c r="SL368" s="611"/>
      <c r="SS368" s="91">
        <f t="shared" si="2029"/>
        <v>0</v>
      </c>
      <c r="ST368" s="91">
        <f t="shared" si="2030"/>
        <v>0</v>
      </c>
      <c r="TB368" s="611"/>
      <c r="TI368" s="91">
        <f t="shared" si="2031"/>
        <v>0</v>
      </c>
      <c r="TJ368" s="91">
        <f t="shared" si="2032"/>
        <v>0</v>
      </c>
      <c r="TR368" s="611"/>
      <c r="TY368" s="91">
        <f t="shared" si="2033"/>
        <v>0</v>
      </c>
      <c r="TZ368" s="91">
        <f t="shared" si="2034"/>
        <v>0</v>
      </c>
      <c r="UH368" s="611"/>
      <c r="UO368" s="91">
        <f t="shared" si="2035"/>
        <v>0</v>
      </c>
      <c r="UP368" s="91">
        <f t="shared" si="2036"/>
        <v>0</v>
      </c>
      <c r="UX368" s="611"/>
      <c r="VE368" s="91">
        <f t="shared" si="2037"/>
        <v>0</v>
      </c>
      <c r="VF368" s="91">
        <f t="shared" si="2038"/>
        <v>0</v>
      </c>
      <c r="VN368" s="611"/>
      <c r="VU368" s="91">
        <f t="shared" si="2039"/>
        <v>0</v>
      </c>
      <c r="VV368" s="91">
        <f t="shared" si="2040"/>
        <v>0</v>
      </c>
      <c r="WD368" s="611"/>
      <c r="WK368" s="91">
        <f t="shared" si="2041"/>
        <v>0</v>
      </c>
      <c r="WL368" s="91">
        <f t="shared" si="2042"/>
        <v>0</v>
      </c>
      <c r="WM368" s="89"/>
      <c r="WN368" s="87">
        <f t="shared" si="2043"/>
        <v>0</v>
      </c>
      <c r="WO368" s="87">
        <f t="shared" si="2044"/>
        <v>0</v>
      </c>
      <c r="WP368" s="87">
        <f t="shared" si="2045"/>
        <v>0</v>
      </c>
      <c r="WQ368" s="87">
        <f t="shared" si="2046"/>
        <v>0</v>
      </c>
      <c r="WR368" s="87">
        <f t="shared" si="2047"/>
        <v>0</v>
      </c>
      <c r="WS368" s="87">
        <f t="shared" si="2048"/>
        <v>0</v>
      </c>
      <c r="WT368" s="87">
        <f t="shared" si="2049"/>
        <v>0</v>
      </c>
      <c r="WU368" s="87">
        <f t="shared" si="2050"/>
        <v>0</v>
      </c>
      <c r="WV368" s="87">
        <f t="shared" si="2051"/>
        <v>0</v>
      </c>
      <c r="WW368" s="87">
        <f t="shared" si="2052"/>
        <v>0</v>
      </c>
      <c r="WX368" s="87">
        <f t="shared" si="2053"/>
        <v>0</v>
      </c>
      <c r="WY368" s="87">
        <f t="shared" si="2054"/>
        <v>0</v>
      </c>
      <c r="WZ368" s="87">
        <f t="shared" si="2055"/>
        <v>0</v>
      </c>
      <c r="XA368" s="87">
        <f t="shared" si="2056"/>
        <v>0</v>
      </c>
      <c r="XB368" s="92">
        <f t="shared" si="2057"/>
        <v>0</v>
      </c>
      <c r="XC368" s="92">
        <f t="shared" si="2058"/>
        <v>0</v>
      </c>
      <c r="XD368" s="89"/>
      <c r="XE368" s="92"/>
      <c r="XF368" s="92"/>
      <c r="XG368" s="89"/>
      <c r="XH368" s="92"/>
      <c r="XI368" s="92"/>
      <c r="XJ368" s="89"/>
      <c r="XK368" s="87"/>
      <c r="XL368" s="87"/>
      <c r="XM368" s="87"/>
      <c r="XN368" s="87"/>
      <c r="XO368" s="87"/>
      <c r="XP368" s="87"/>
      <c r="XQ368" s="87"/>
      <c r="XR368" s="92">
        <f t="shared" ca="1" si="2059"/>
        <v>0</v>
      </c>
      <c r="XS368" s="89"/>
      <c r="XT368" s="87"/>
      <c r="XU368" s="87"/>
      <c r="XV368" s="87"/>
      <c r="XW368" s="87"/>
      <c r="XX368" s="87"/>
      <c r="XY368" s="87"/>
      <c r="XZ368" s="87"/>
      <c r="YA368" s="92">
        <f t="shared" ca="1" si="2060"/>
        <v>0</v>
      </c>
      <c r="YB368" s="90"/>
      <c r="YC368" s="90"/>
      <c r="YD368" s="90"/>
      <c r="YE368" s="90"/>
      <c r="YF368" s="90"/>
      <c r="YG368" s="90"/>
      <c r="YH368" s="90"/>
      <c r="YI368" s="90"/>
      <c r="YJ368" s="90"/>
      <c r="YK368" s="90"/>
      <c r="YL368" s="90"/>
      <c r="YM368" s="90"/>
      <c r="YN368" s="90"/>
      <c r="YO368" s="90"/>
      <c r="YP368" s="90"/>
      <c r="YQ368" s="90"/>
      <c r="YR368" s="90"/>
      <c r="YS368" s="90"/>
      <c r="YT368" s="90"/>
      <c r="YU368" s="90"/>
      <c r="YV368" s="90"/>
      <c r="YW368" s="90"/>
      <c r="YX368" s="90"/>
      <c r="YY368" s="90"/>
      <c r="YZ368" s="90"/>
      <c r="ZA368" s="90"/>
      <c r="ZB368" s="90"/>
      <c r="ZC368" s="90"/>
      <c r="ZD368" s="90"/>
      <c r="ZE368" s="90"/>
      <c r="ZF368" s="90"/>
      <c r="ZG368" s="90"/>
      <c r="ZH368" s="90"/>
      <c r="ZI368" s="90"/>
      <c r="ZJ368" s="90"/>
      <c r="ZK368" s="90"/>
      <c r="ZL368" s="90"/>
      <c r="ZM368" s="90"/>
      <c r="ZN368" s="90"/>
      <c r="ZO368" s="90"/>
      <c r="ZP368" s="90"/>
      <c r="ZQ368" s="90"/>
      <c r="ZR368" s="90"/>
      <c r="ZS368" s="90"/>
      <c r="ZT368" s="90"/>
      <c r="ZU368" s="90"/>
      <c r="ZV368" s="90"/>
      <c r="ZW368" s="90"/>
      <c r="ZX368" s="90"/>
      <c r="ZY368" s="90"/>
      <c r="ZZ368" s="90"/>
      <c r="AAA368" s="90"/>
      <c r="AAB368" s="90"/>
      <c r="AAC368" s="90"/>
      <c r="AAD368" s="90"/>
      <c r="AAE368" s="90"/>
      <c r="AAF368" s="90"/>
      <c r="AAG368" s="90"/>
      <c r="AAH368" s="90"/>
      <c r="AAI368" s="90"/>
      <c r="AAJ368" s="90"/>
      <c r="AAK368" s="90"/>
      <c r="AAL368" s="90"/>
      <c r="AAM368" s="90"/>
      <c r="AAN368" s="90"/>
      <c r="AAO368" s="90"/>
      <c r="AAP368" s="90"/>
      <c r="AAQ368" s="90"/>
      <c r="AAR368" s="90"/>
      <c r="AAS368" s="90"/>
      <c r="AAT368" s="90"/>
      <c r="AAU368" s="90"/>
      <c r="AAV368" s="90"/>
      <c r="AAW368" s="90"/>
      <c r="AAX368" s="90"/>
      <c r="AAY368" s="90"/>
      <c r="AAZ368" s="90"/>
      <c r="ABA368" s="90"/>
      <c r="ABB368" s="90"/>
      <c r="ABC368" s="90"/>
      <c r="ABD368" s="90"/>
      <c r="ABE368" s="90"/>
      <c r="ABF368" s="90"/>
      <c r="ABG368" s="90"/>
      <c r="ABH368" s="90"/>
      <c r="ABI368" s="90"/>
      <c r="ABJ368" s="90"/>
      <c r="ABK368" s="90"/>
      <c r="ABL368" s="90"/>
      <c r="ABM368" s="90"/>
      <c r="ABN368" s="90"/>
      <c r="ABO368" s="90"/>
      <c r="ABP368" s="90"/>
      <c r="ABQ368" s="90"/>
      <c r="ABR368" s="90"/>
      <c r="ABS368" s="90"/>
      <c r="ABT368" s="90"/>
      <c r="ABU368" s="90"/>
      <c r="ABV368" s="90"/>
      <c r="ABW368" s="90"/>
      <c r="ABX368" s="90"/>
      <c r="ABY368" s="90"/>
      <c r="ABZ368" s="90"/>
      <c r="ACA368" s="90"/>
      <c r="ACB368" s="90"/>
      <c r="ACC368" s="90"/>
      <c r="ACD368" s="90"/>
      <c r="ACE368" s="90"/>
      <c r="ACF368" s="90"/>
      <c r="ACG368" s="90"/>
      <c r="ACH368" s="90"/>
      <c r="ACI368" s="90"/>
      <c r="ACJ368" s="90"/>
      <c r="ACK368" s="90"/>
      <c r="ACL368" s="90"/>
      <c r="ACM368" s="90"/>
      <c r="ACN368" s="90"/>
      <c r="ACO368" s="90"/>
      <c r="ACP368" s="90"/>
      <c r="ACQ368" s="90"/>
      <c r="ACR368" s="90"/>
      <c r="ACS368" s="90"/>
      <c r="ACT368" s="90"/>
      <c r="ACU368" s="90"/>
      <c r="ACV368" s="90"/>
      <c r="ACW368" s="90"/>
      <c r="ACX368" s="90"/>
      <c r="ACY368" s="90"/>
      <c r="ACZ368" s="90"/>
      <c r="ADA368" s="90"/>
      <c r="ADB368" s="90"/>
      <c r="ADC368" s="90"/>
      <c r="ADD368" s="90"/>
      <c r="ADE368" s="90"/>
      <c r="ADF368" s="90"/>
      <c r="ADG368" s="90"/>
      <c r="ADH368" s="90"/>
      <c r="ADI368" s="90"/>
      <c r="ADJ368" s="90"/>
      <c r="ADK368" s="90"/>
      <c r="ADL368" s="90"/>
      <c r="ADM368" s="90"/>
      <c r="ADN368" s="90"/>
      <c r="ADO368" s="90"/>
      <c r="ADP368" s="90"/>
      <c r="ADQ368" s="90"/>
      <c r="ADR368" s="90"/>
      <c r="ADS368" s="90"/>
      <c r="ADT368" s="90"/>
      <c r="ADU368" s="90"/>
      <c r="ADV368" s="90"/>
      <c r="ADW368" s="90"/>
      <c r="ADX368" s="90"/>
      <c r="ADY368" s="90"/>
      <c r="ADZ368" s="90"/>
      <c r="AEA368" s="90"/>
      <c r="AEB368" s="90"/>
      <c r="AEC368" s="90"/>
      <c r="AED368" s="90"/>
      <c r="AEE368" s="90"/>
      <c r="AEF368" s="90"/>
      <c r="AEG368" s="90"/>
      <c r="AEH368" s="90"/>
      <c r="AEI368" s="90"/>
      <c r="AEJ368" s="90"/>
      <c r="AEK368" s="90"/>
      <c r="AEL368" s="90"/>
      <c r="AEM368" s="90"/>
      <c r="AEN368" s="90"/>
      <c r="AEO368" s="90"/>
      <c r="AEP368" s="90"/>
      <c r="AEQ368" s="90"/>
      <c r="AER368" s="90"/>
      <c r="AES368" s="90"/>
      <c r="AET368" s="90"/>
      <c r="AEU368" s="90"/>
      <c r="AEV368" s="90"/>
      <c r="AEW368" s="90"/>
      <c r="AEX368" s="90"/>
      <c r="AEY368" s="90"/>
      <c r="AEZ368" s="90"/>
      <c r="AFA368" s="90"/>
      <c r="AFB368" s="90"/>
      <c r="AFC368" s="90"/>
      <c r="AFD368" s="90"/>
      <c r="AFE368" s="90"/>
      <c r="AFF368" s="90"/>
      <c r="AFG368" s="90"/>
      <c r="AFH368" s="90"/>
      <c r="AFI368" s="90"/>
      <c r="AFJ368" s="90"/>
      <c r="AFK368" s="90"/>
      <c r="AFL368" s="90"/>
      <c r="AFM368" s="90"/>
      <c r="AFN368" s="90"/>
      <c r="AFO368" s="90"/>
      <c r="AFP368" s="90"/>
      <c r="AFQ368" s="90"/>
      <c r="AFR368" s="90"/>
      <c r="AFS368" s="90"/>
      <c r="AFT368" s="90"/>
      <c r="AFU368" s="90"/>
      <c r="AFV368" s="90"/>
      <c r="AFW368" s="90"/>
      <c r="AFX368" s="90"/>
      <c r="AFY368" s="90"/>
      <c r="AFZ368" s="90"/>
      <c r="AGA368" s="90"/>
      <c r="AGB368" s="90"/>
      <c r="AGC368" s="90"/>
      <c r="AGD368" s="90"/>
      <c r="AGE368" s="90"/>
      <c r="AGF368" s="90"/>
      <c r="AGG368" s="90"/>
      <c r="AGH368" s="90"/>
      <c r="AGI368" s="90"/>
      <c r="AGJ368" s="90"/>
      <c r="AGK368" s="90"/>
      <c r="AGL368" s="90"/>
      <c r="AGM368" s="90"/>
      <c r="AGN368" s="90"/>
      <c r="AGO368" s="90"/>
      <c r="AGP368" s="90"/>
      <c r="AGQ368" s="90"/>
      <c r="AGR368" s="90"/>
      <c r="AGS368" s="90"/>
      <c r="AGT368" s="90"/>
      <c r="AGU368" s="90"/>
      <c r="AGV368" s="90"/>
      <c r="AGW368" s="90"/>
      <c r="AGX368" s="90"/>
      <c r="AGY368" s="90"/>
      <c r="AGZ368" s="90"/>
      <c r="AHA368" s="90"/>
      <c r="AHB368" s="90"/>
      <c r="AHC368" s="90"/>
      <c r="AHD368" s="90"/>
      <c r="AHE368" s="90"/>
      <c r="AHF368" s="90"/>
      <c r="AHG368" s="90"/>
      <c r="AHH368" s="90"/>
      <c r="AHI368" s="90"/>
      <c r="AHJ368" s="90"/>
      <c r="AHK368" s="90"/>
      <c r="AHL368" s="90"/>
      <c r="AHM368" s="90"/>
      <c r="AHN368" s="90"/>
      <c r="AHO368" s="90"/>
      <c r="AHP368" s="90"/>
      <c r="AHQ368" s="90"/>
      <c r="AHR368" s="90"/>
      <c r="AHS368" s="90"/>
      <c r="AHT368" s="90"/>
      <c r="AHU368" s="90"/>
      <c r="AHV368" s="90"/>
      <c r="AHW368" s="90"/>
      <c r="AHX368" s="90"/>
      <c r="AHY368" s="90"/>
      <c r="AHZ368" s="90"/>
      <c r="AIA368" s="90"/>
      <c r="AIB368" s="90"/>
      <c r="AIC368" s="90"/>
      <c r="AID368" s="90"/>
      <c r="AIE368" s="90"/>
      <c r="AIF368" s="90"/>
      <c r="AIG368" s="90"/>
      <c r="AIH368" s="90"/>
      <c r="AII368" s="90"/>
      <c r="AIJ368" s="90"/>
      <c r="AIK368" s="90"/>
      <c r="AIL368" s="90"/>
      <c r="AIM368" s="90"/>
      <c r="AIN368" s="90"/>
      <c r="AIO368" s="90"/>
      <c r="AIP368" s="90"/>
      <c r="AIQ368" s="90"/>
      <c r="AIR368" s="90"/>
      <c r="AIS368" s="90"/>
      <c r="AIT368" s="90"/>
      <c r="AIU368" s="90"/>
      <c r="AIV368" s="90"/>
      <c r="AIW368" s="90"/>
      <c r="AIX368" s="90"/>
      <c r="AIY368" s="90"/>
      <c r="AIZ368" s="90"/>
      <c r="AJA368" s="90"/>
      <c r="AJB368" s="90"/>
      <c r="AJC368" s="90"/>
      <c r="AJD368" s="90"/>
      <c r="AJE368" s="90"/>
      <c r="AJF368" s="90"/>
      <c r="AJG368" s="90"/>
      <c r="AJH368" s="90"/>
      <c r="AJI368" s="90"/>
      <c r="AJJ368" s="90"/>
      <c r="AJK368" s="90"/>
      <c r="AJL368" s="90"/>
      <c r="AJM368" s="90"/>
      <c r="AJN368" s="90"/>
      <c r="AJO368" s="90"/>
      <c r="AJP368" s="90"/>
      <c r="AJQ368" s="90"/>
      <c r="AJR368" s="90"/>
      <c r="AJS368" s="90"/>
      <c r="AJT368" s="90"/>
      <c r="AJU368" s="90"/>
      <c r="AJV368" s="90"/>
      <c r="AJW368" s="90"/>
      <c r="AJX368" s="90"/>
      <c r="AJY368" s="90"/>
      <c r="AJZ368" s="90"/>
      <c r="AKA368" s="90"/>
      <c r="AKB368" s="90"/>
      <c r="AKC368" s="90"/>
      <c r="AKD368" s="90"/>
      <c r="AKE368" s="90"/>
      <c r="AKF368" s="90"/>
      <c r="AKG368" s="90"/>
      <c r="AKH368" s="90"/>
      <c r="AKI368" s="90"/>
      <c r="AKJ368" s="90"/>
      <c r="AKK368" s="90"/>
      <c r="AKL368" s="90"/>
      <c r="AKM368" s="90"/>
      <c r="AKN368" s="90"/>
      <c r="AKO368" s="90"/>
      <c r="AKP368" s="90"/>
      <c r="AKQ368" s="90"/>
      <c r="AKR368" s="90"/>
      <c r="AKS368" s="90"/>
      <c r="AKT368" s="90"/>
      <c r="AKU368" s="90"/>
      <c r="AKV368" s="90"/>
      <c r="AKW368" s="90"/>
      <c r="AKX368" s="90"/>
      <c r="AKY368" s="90"/>
      <c r="AKZ368" s="90"/>
      <c r="ALA368" s="90"/>
      <c r="ALB368" s="90"/>
      <c r="ALC368" s="90"/>
      <c r="ALD368" s="90"/>
      <c r="ALE368" s="90"/>
      <c r="ALF368" s="90"/>
      <c r="ALG368" s="90"/>
      <c r="ALH368" s="90"/>
      <c r="ALI368" s="90"/>
      <c r="ALJ368" s="90"/>
      <c r="ALK368" s="90"/>
      <c r="ALL368" s="90"/>
      <c r="ALM368" s="90"/>
      <c r="ALN368" s="90"/>
      <c r="ALO368" s="90"/>
      <c r="ALP368" s="90"/>
      <c r="ALQ368" s="90"/>
      <c r="ALR368" s="90"/>
      <c r="ALS368" s="90"/>
      <c r="ALT368" s="90"/>
      <c r="ALU368" s="90"/>
      <c r="ALV368" s="90"/>
      <c r="ALW368" s="90"/>
      <c r="ALX368" s="90"/>
      <c r="ALY368" s="90"/>
      <c r="ALZ368" s="90"/>
      <c r="AMA368" s="90"/>
      <c r="AMB368" s="90"/>
      <c r="AMC368" s="90"/>
    </row>
    <row r="369" spans="1:1017">
      <c r="A369" s="98" t="s">
        <v>54</v>
      </c>
      <c r="B369" s="90" t="str">
        <f t="shared" si="1966"/>
        <v xml:space="preserve">Lele </v>
      </c>
      <c r="I369" s="98">
        <v>38900</v>
      </c>
      <c r="J369" s="98">
        <v>778000</v>
      </c>
      <c r="M369" s="98">
        <v>400</v>
      </c>
      <c r="N369" s="98">
        <v>8000</v>
      </c>
      <c r="Q369" s="91">
        <f t="shared" si="1967"/>
        <v>39300</v>
      </c>
      <c r="R369" s="91">
        <f t="shared" si="1968"/>
        <v>786000</v>
      </c>
      <c r="Y369" s="98">
        <v>688300</v>
      </c>
      <c r="Z369" s="98">
        <v>13766000</v>
      </c>
      <c r="AE369" s="98">
        <v>580</v>
      </c>
      <c r="AF369" s="98">
        <v>11600</v>
      </c>
      <c r="AG369" s="91">
        <f t="shared" si="1969"/>
        <v>688880</v>
      </c>
      <c r="AH369" s="91">
        <f t="shared" si="1970"/>
        <v>13777600</v>
      </c>
      <c r="AO369" s="98">
        <v>809500</v>
      </c>
      <c r="AP369" s="98">
        <v>13761500</v>
      </c>
      <c r="AW369" s="91">
        <f t="shared" si="1971"/>
        <v>809500</v>
      </c>
      <c r="AX369" s="91">
        <f t="shared" si="1972"/>
        <v>13761500</v>
      </c>
      <c r="BE369" s="98">
        <v>299124</v>
      </c>
      <c r="BF369" s="98">
        <v>5533794</v>
      </c>
      <c r="BM369" s="91">
        <f t="shared" si="1973"/>
        <v>299124</v>
      </c>
      <c r="BN369" s="91">
        <f t="shared" si="1974"/>
        <v>5533794</v>
      </c>
      <c r="BU369" s="98">
        <v>57985</v>
      </c>
      <c r="BV369" s="98">
        <v>1159700</v>
      </c>
      <c r="CC369" s="91">
        <f t="shared" si="1975"/>
        <v>57985</v>
      </c>
      <c r="CD369" s="91">
        <f t="shared" si="1976"/>
        <v>1159700</v>
      </c>
      <c r="CK369" s="98">
        <v>146610.90291413479</v>
      </c>
      <c r="CL369" s="98">
        <v>2345776.111</v>
      </c>
      <c r="CS369" s="91">
        <f t="shared" si="1977"/>
        <v>146610.90291413479</v>
      </c>
      <c r="CT369" s="91">
        <f t="shared" si="1978"/>
        <v>2345776.111</v>
      </c>
      <c r="DA369" s="98">
        <v>633179.53441640886</v>
      </c>
      <c r="DB369" s="98">
        <v>11713830.001</v>
      </c>
      <c r="DI369" s="91">
        <f t="shared" si="1979"/>
        <v>633179.53441640886</v>
      </c>
      <c r="DJ369" s="91">
        <f t="shared" si="1980"/>
        <v>11713830.001</v>
      </c>
      <c r="DQ369" s="98">
        <v>571200</v>
      </c>
      <c r="DR369" s="98">
        <v>10567200</v>
      </c>
      <c r="DY369" s="91">
        <f t="shared" si="1981"/>
        <v>571200</v>
      </c>
      <c r="DZ369" s="91">
        <f t="shared" si="1982"/>
        <v>10567200</v>
      </c>
      <c r="EG369" s="98">
        <v>1146900</v>
      </c>
      <c r="EH369" s="98">
        <v>20644200</v>
      </c>
      <c r="EO369" s="91">
        <f t="shared" si="1983"/>
        <v>1146900</v>
      </c>
      <c r="EP369" s="91">
        <f t="shared" si="1984"/>
        <v>20644200</v>
      </c>
      <c r="EW369" s="98">
        <v>81516</v>
      </c>
      <c r="EX369" s="98">
        <v>1467288</v>
      </c>
      <c r="FA369" s="98">
        <v>2217</v>
      </c>
      <c r="FB369" s="98">
        <v>39906</v>
      </c>
      <c r="FE369" s="91">
        <f t="shared" si="1985"/>
        <v>83733</v>
      </c>
      <c r="FF369" s="91">
        <f t="shared" si="1986"/>
        <v>1507194</v>
      </c>
      <c r="FM369" s="98">
        <v>96200</v>
      </c>
      <c r="FN369" s="98">
        <v>1779700</v>
      </c>
      <c r="FU369" s="91">
        <f t="shared" si="1987"/>
        <v>96200</v>
      </c>
      <c r="FV369" s="91">
        <f t="shared" si="1988"/>
        <v>1779700</v>
      </c>
      <c r="GC369" s="98">
        <v>211800</v>
      </c>
      <c r="GD369" s="98">
        <v>3918300</v>
      </c>
      <c r="GK369" s="91">
        <f t="shared" si="1989"/>
        <v>211800</v>
      </c>
      <c r="GL369" s="91">
        <f t="shared" si="1990"/>
        <v>3918300</v>
      </c>
      <c r="GS369" s="98">
        <v>130000</v>
      </c>
      <c r="GT369" s="98">
        <v>2340000</v>
      </c>
      <c r="HA369" s="91">
        <f t="shared" si="1991"/>
        <v>130000</v>
      </c>
      <c r="HB369" s="91">
        <f t="shared" si="1992"/>
        <v>2340000</v>
      </c>
      <c r="HI369" s="98">
        <v>590000</v>
      </c>
      <c r="HJ369" s="98">
        <v>10620000</v>
      </c>
      <c r="HQ369" s="91">
        <f t="shared" si="1993"/>
        <v>590000</v>
      </c>
      <c r="HR369" s="91">
        <f t="shared" si="1994"/>
        <v>10620000</v>
      </c>
      <c r="HY369" s="98">
        <v>138160</v>
      </c>
      <c r="HZ369" s="98">
        <v>2417800</v>
      </c>
      <c r="IG369" s="91">
        <f t="shared" si="1995"/>
        <v>138160</v>
      </c>
      <c r="IH369" s="91">
        <f t="shared" si="1996"/>
        <v>2417800</v>
      </c>
      <c r="IO369" s="98">
        <v>738900</v>
      </c>
      <c r="IP369" s="98">
        <v>12930750</v>
      </c>
      <c r="IW369" s="91">
        <f t="shared" si="1997"/>
        <v>738900</v>
      </c>
      <c r="IX369" s="91">
        <f t="shared" si="1998"/>
        <v>12930750</v>
      </c>
      <c r="JE369" s="98">
        <v>319880</v>
      </c>
      <c r="JF369" s="98">
        <v>5917780</v>
      </c>
      <c r="JM369" s="91">
        <f t="shared" si="1999"/>
        <v>319880</v>
      </c>
      <c r="JN369" s="91">
        <f t="shared" si="2000"/>
        <v>5917780</v>
      </c>
      <c r="JU369" s="98">
        <v>66496</v>
      </c>
      <c r="JV369" s="98">
        <v>1595904</v>
      </c>
      <c r="KC369" s="91">
        <f t="shared" si="2001"/>
        <v>66496</v>
      </c>
      <c r="KD369" s="91">
        <f t="shared" si="2002"/>
        <v>1595904</v>
      </c>
      <c r="KK369" s="98">
        <v>88750</v>
      </c>
      <c r="KL369" s="98">
        <v>1775000</v>
      </c>
      <c r="KS369" s="91">
        <f t="shared" si="2003"/>
        <v>88750</v>
      </c>
      <c r="KT369" s="91">
        <f t="shared" si="2004"/>
        <v>1775000</v>
      </c>
      <c r="LA369" s="98">
        <v>1155551.23</v>
      </c>
      <c r="LB369" s="98">
        <v>20799922</v>
      </c>
      <c r="LI369" s="91">
        <f t="shared" si="2005"/>
        <v>1155551.23</v>
      </c>
      <c r="LJ369" s="91">
        <f t="shared" si="2006"/>
        <v>20799922</v>
      </c>
      <c r="LQ369" s="98">
        <v>140728</v>
      </c>
      <c r="LR369" s="98">
        <v>2603468</v>
      </c>
      <c r="LY369" s="91">
        <f t="shared" si="2007"/>
        <v>140728</v>
      </c>
      <c r="LZ369" s="91">
        <f t="shared" si="2008"/>
        <v>2603468</v>
      </c>
      <c r="MG369" s="98">
        <v>56270</v>
      </c>
      <c r="MH369" s="98">
        <v>1040995</v>
      </c>
      <c r="MO369" s="91">
        <f t="shared" si="2009"/>
        <v>56270</v>
      </c>
      <c r="MP369" s="91">
        <f t="shared" si="2010"/>
        <v>1040995</v>
      </c>
      <c r="MW369" s="98">
        <v>22260</v>
      </c>
      <c r="MX369" s="98">
        <v>511980</v>
      </c>
      <c r="NE369" s="91">
        <f t="shared" si="2011"/>
        <v>22260</v>
      </c>
      <c r="NF369" s="91">
        <f t="shared" si="2012"/>
        <v>511980</v>
      </c>
      <c r="NM369" s="98">
        <v>2100500</v>
      </c>
      <c r="NN369" s="98">
        <v>33608000</v>
      </c>
      <c r="NQ369" s="98">
        <v>600</v>
      </c>
      <c r="NR369" s="98">
        <v>9600</v>
      </c>
      <c r="NU369" s="91">
        <f t="shared" si="2013"/>
        <v>2101100</v>
      </c>
      <c r="NV369" s="91">
        <f t="shared" si="2014"/>
        <v>33617600</v>
      </c>
      <c r="OC369" s="98">
        <v>61440</v>
      </c>
      <c r="OD369" s="98">
        <v>1167360</v>
      </c>
      <c r="OK369" s="91">
        <f t="shared" si="2015"/>
        <v>61440</v>
      </c>
      <c r="OL369" s="91">
        <f t="shared" si="2016"/>
        <v>1167360</v>
      </c>
      <c r="OS369" s="98">
        <v>38415</v>
      </c>
      <c r="OT369" s="98">
        <v>806715</v>
      </c>
      <c r="PA369" s="91">
        <f t="shared" si="2017"/>
        <v>38415</v>
      </c>
      <c r="PB369" s="91">
        <f t="shared" si="2018"/>
        <v>806715</v>
      </c>
      <c r="PI369" s="98">
        <v>286586</v>
      </c>
      <c r="PJ369" s="98">
        <v>5015255</v>
      </c>
      <c r="PQ369" s="91">
        <f t="shared" si="2019"/>
        <v>286586</v>
      </c>
      <c r="PR369" s="91">
        <f t="shared" si="2020"/>
        <v>5015255</v>
      </c>
      <c r="PY369" s="98">
        <v>932200</v>
      </c>
      <c r="PZ369" s="98">
        <v>17711800</v>
      </c>
      <c r="QC369" s="98">
        <v>178040</v>
      </c>
      <c r="QD369" s="98">
        <v>3026680</v>
      </c>
      <c r="QG369" s="91">
        <f t="shared" si="2021"/>
        <v>1110240</v>
      </c>
      <c r="QH369" s="91">
        <f t="shared" si="2022"/>
        <v>20738480</v>
      </c>
      <c r="QO369" s="98">
        <v>930000</v>
      </c>
      <c r="QP369" s="98">
        <v>16740000</v>
      </c>
      <c r="QW369" s="91">
        <f t="shared" si="2023"/>
        <v>930000</v>
      </c>
      <c r="QX369" s="91">
        <f t="shared" si="2024"/>
        <v>16740000</v>
      </c>
      <c r="RE369" s="98">
        <v>2680</v>
      </c>
      <c r="RF369" s="98">
        <f>RE369*20</f>
        <v>53600</v>
      </c>
      <c r="RM369" s="91">
        <f t="shared" si="2025"/>
        <v>2680</v>
      </c>
      <c r="RN369" s="91">
        <f t="shared" si="2026"/>
        <v>53600</v>
      </c>
      <c r="RU369" s="98">
        <v>8390</v>
      </c>
      <c r="RV369" s="98">
        <v>142630</v>
      </c>
      <c r="SC369" s="91">
        <f t="shared" si="2027"/>
        <v>8390</v>
      </c>
      <c r="SD369" s="91">
        <f t="shared" si="2028"/>
        <v>142630</v>
      </c>
      <c r="SK369" s="98">
        <v>16100</v>
      </c>
      <c r="SL369" s="98">
        <v>297850</v>
      </c>
      <c r="SS369" s="91">
        <f t="shared" si="2029"/>
        <v>16100</v>
      </c>
      <c r="ST369" s="91">
        <f t="shared" si="2030"/>
        <v>297850</v>
      </c>
      <c r="TA369" s="98">
        <v>13840</v>
      </c>
      <c r="TB369" s="98">
        <v>253272</v>
      </c>
      <c r="TI369" s="91">
        <f t="shared" si="2031"/>
        <v>13840</v>
      </c>
      <c r="TJ369" s="91">
        <f t="shared" si="2032"/>
        <v>253272</v>
      </c>
      <c r="TQ369" s="98">
        <v>5000</v>
      </c>
      <c r="TR369" s="98">
        <v>95000</v>
      </c>
      <c r="TY369" s="91">
        <f t="shared" si="2033"/>
        <v>5000</v>
      </c>
      <c r="TZ369" s="91">
        <f t="shared" si="2034"/>
        <v>95000</v>
      </c>
      <c r="UG369" s="98">
        <v>18177</v>
      </c>
      <c r="UH369" s="98">
        <v>327186</v>
      </c>
      <c r="UO369" s="91">
        <f t="shared" si="2035"/>
        <v>18177</v>
      </c>
      <c r="UP369" s="91">
        <f t="shared" si="2036"/>
        <v>327186</v>
      </c>
      <c r="UW369" s="98">
        <v>2218</v>
      </c>
      <c r="UX369" s="98">
        <v>42142</v>
      </c>
      <c r="VE369" s="91">
        <f t="shared" si="2037"/>
        <v>2218</v>
      </c>
      <c r="VF369" s="91">
        <f t="shared" si="2038"/>
        <v>42142</v>
      </c>
      <c r="VM369" s="98">
        <v>11020</v>
      </c>
      <c r="VN369" s="98">
        <v>209380</v>
      </c>
      <c r="VU369" s="91">
        <f t="shared" si="2039"/>
        <v>11020</v>
      </c>
      <c r="VV369" s="91">
        <f t="shared" si="2040"/>
        <v>209380</v>
      </c>
      <c r="WC369" s="98">
        <v>175650</v>
      </c>
      <c r="WD369" s="98">
        <v>3688650</v>
      </c>
      <c r="WI369" s="98">
        <v>4240</v>
      </c>
      <c r="WJ369" s="98">
        <v>69040</v>
      </c>
      <c r="WK369" s="91">
        <f t="shared" si="2041"/>
        <v>179890</v>
      </c>
      <c r="WL369" s="91">
        <f t="shared" si="2042"/>
        <v>3757690</v>
      </c>
      <c r="WM369" s="89"/>
      <c r="WN369" s="87">
        <f t="shared" si="2043"/>
        <v>0</v>
      </c>
      <c r="WO369" s="87">
        <f t="shared" si="2044"/>
        <v>0</v>
      </c>
      <c r="WP369" s="87">
        <f t="shared" si="2045"/>
        <v>0</v>
      </c>
      <c r="WQ369" s="87">
        <f t="shared" si="2046"/>
        <v>0</v>
      </c>
      <c r="WR369" s="87">
        <f t="shared" si="2047"/>
        <v>0</v>
      </c>
      <c r="WS369" s="87">
        <f t="shared" si="2048"/>
        <v>0</v>
      </c>
      <c r="WT369" s="87">
        <f t="shared" si="2049"/>
        <v>12830426.667330544</v>
      </c>
      <c r="WU369" s="87">
        <f t="shared" si="2050"/>
        <v>230147727.11199999</v>
      </c>
      <c r="WV369" s="87">
        <f t="shared" si="2051"/>
        <v>0</v>
      </c>
      <c r="WW369" s="87">
        <f t="shared" si="2052"/>
        <v>0</v>
      </c>
      <c r="WX369" s="87">
        <f t="shared" si="2053"/>
        <v>181257</v>
      </c>
      <c r="WY369" s="87">
        <f t="shared" si="2054"/>
        <v>3084186</v>
      </c>
      <c r="WZ369" s="87">
        <f t="shared" si="2055"/>
        <v>4820</v>
      </c>
      <c r="XA369" s="87">
        <f t="shared" si="2056"/>
        <v>80640</v>
      </c>
      <c r="XB369" s="92">
        <f t="shared" si="2057"/>
        <v>13016503.667330544</v>
      </c>
      <c r="XC369" s="92">
        <f t="shared" si="2058"/>
        <v>233312553.11199999</v>
      </c>
      <c r="XD369" s="89"/>
      <c r="XE369" s="92"/>
      <c r="XF369" s="92"/>
      <c r="XG369" s="89"/>
      <c r="XH369" s="92"/>
      <c r="XI369" s="92"/>
      <c r="XJ369" s="89"/>
      <c r="XK369" s="87"/>
      <c r="XL369" s="87"/>
      <c r="XM369" s="87"/>
      <c r="XN369" s="87"/>
      <c r="XO369" s="87"/>
      <c r="XP369" s="87"/>
      <c r="XQ369" s="87"/>
      <c r="XR369" s="92">
        <f t="shared" ca="1" si="2059"/>
        <v>0</v>
      </c>
      <c r="XS369" s="89"/>
      <c r="XT369" s="87"/>
      <c r="XU369" s="87"/>
      <c r="XV369" s="87"/>
      <c r="XW369" s="87"/>
      <c r="XX369" s="87"/>
      <c r="XY369" s="87"/>
      <c r="XZ369" s="87"/>
      <c r="YA369" s="92">
        <f t="shared" ca="1" si="2060"/>
        <v>0</v>
      </c>
      <c r="YB369" s="90"/>
      <c r="YC369" s="90"/>
      <c r="YD369" s="90"/>
      <c r="YE369" s="90"/>
      <c r="YF369" s="90"/>
      <c r="YG369" s="90"/>
      <c r="YH369" s="90"/>
      <c r="YI369" s="90"/>
      <c r="YJ369" s="90"/>
      <c r="YK369" s="90"/>
      <c r="YL369" s="90"/>
      <c r="YM369" s="90"/>
      <c r="YN369" s="90"/>
      <c r="YO369" s="90"/>
      <c r="YP369" s="90"/>
      <c r="YQ369" s="90"/>
      <c r="YR369" s="90"/>
      <c r="YS369" s="90"/>
      <c r="YT369" s="90"/>
      <c r="YU369" s="90"/>
      <c r="YV369" s="90"/>
      <c r="YW369" s="90"/>
      <c r="YX369" s="90"/>
      <c r="YY369" s="90"/>
      <c r="YZ369" s="90"/>
      <c r="ZA369" s="90"/>
      <c r="ZB369" s="90"/>
      <c r="ZC369" s="90"/>
      <c r="ZD369" s="90"/>
      <c r="ZE369" s="90"/>
      <c r="ZF369" s="90"/>
      <c r="ZG369" s="90"/>
      <c r="ZH369" s="90"/>
      <c r="ZI369" s="90"/>
      <c r="ZJ369" s="90"/>
      <c r="ZK369" s="90"/>
      <c r="ZL369" s="90"/>
      <c r="ZM369" s="90"/>
      <c r="ZN369" s="90"/>
      <c r="ZO369" s="90"/>
      <c r="ZP369" s="90"/>
      <c r="ZQ369" s="90"/>
      <c r="ZR369" s="90"/>
      <c r="ZS369" s="90"/>
      <c r="ZT369" s="90"/>
      <c r="ZU369" s="90"/>
      <c r="ZV369" s="90"/>
      <c r="ZW369" s="90"/>
      <c r="ZX369" s="90"/>
      <c r="ZY369" s="90"/>
      <c r="ZZ369" s="90"/>
      <c r="AAA369" s="90"/>
      <c r="AAB369" s="90"/>
      <c r="AAC369" s="90"/>
      <c r="AAD369" s="90"/>
      <c r="AAE369" s="90"/>
      <c r="AAF369" s="90"/>
      <c r="AAG369" s="90"/>
      <c r="AAH369" s="90"/>
      <c r="AAI369" s="90"/>
      <c r="AAJ369" s="90"/>
      <c r="AAK369" s="90"/>
      <c r="AAL369" s="90"/>
      <c r="AAM369" s="90"/>
      <c r="AAN369" s="90"/>
      <c r="AAO369" s="90"/>
      <c r="AAP369" s="90"/>
      <c r="AAQ369" s="90"/>
      <c r="AAR369" s="90"/>
      <c r="AAS369" s="90"/>
      <c r="AAT369" s="90"/>
      <c r="AAU369" s="90"/>
      <c r="AAV369" s="90"/>
      <c r="AAW369" s="90"/>
      <c r="AAX369" s="90"/>
      <c r="AAY369" s="90"/>
      <c r="AAZ369" s="90"/>
      <c r="ABA369" s="90"/>
      <c r="ABB369" s="90"/>
      <c r="ABC369" s="90"/>
      <c r="ABD369" s="90"/>
      <c r="ABE369" s="90"/>
      <c r="ABF369" s="90"/>
      <c r="ABG369" s="90"/>
      <c r="ABH369" s="90"/>
      <c r="ABI369" s="90"/>
      <c r="ABJ369" s="90"/>
      <c r="ABK369" s="90"/>
      <c r="ABL369" s="90"/>
      <c r="ABM369" s="90"/>
      <c r="ABN369" s="90"/>
      <c r="ABO369" s="90"/>
      <c r="ABP369" s="90"/>
      <c r="ABQ369" s="90"/>
      <c r="ABR369" s="90"/>
      <c r="ABS369" s="90"/>
      <c r="ABT369" s="90"/>
      <c r="ABU369" s="90"/>
      <c r="ABV369" s="90"/>
      <c r="ABW369" s="90"/>
      <c r="ABX369" s="90"/>
      <c r="ABY369" s="90"/>
      <c r="ABZ369" s="90"/>
      <c r="ACA369" s="90"/>
      <c r="ACB369" s="90"/>
      <c r="ACC369" s="90"/>
      <c r="ACD369" s="90"/>
      <c r="ACE369" s="90"/>
      <c r="ACF369" s="90"/>
      <c r="ACG369" s="90"/>
      <c r="ACH369" s="90"/>
      <c r="ACI369" s="90"/>
      <c r="ACJ369" s="90"/>
      <c r="ACK369" s="90"/>
      <c r="ACL369" s="90"/>
      <c r="ACM369" s="90"/>
      <c r="ACN369" s="90"/>
      <c r="ACO369" s="90"/>
      <c r="ACP369" s="90"/>
      <c r="ACQ369" s="90"/>
      <c r="ACR369" s="90"/>
      <c r="ACS369" s="90"/>
      <c r="ACT369" s="90"/>
      <c r="ACU369" s="90"/>
      <c r="ACV369" s="90"/>
      <c r="ACW369" s="90"/>
      <c r="ACX369" s="90"/>
      <c r="ACY369" s="90"/>
      <c r="ACZ369" s="90"/>
      <c r="ADA369" s="90"/>
      <c r="ADB369" s="90"/>
      <c r="ADC369" s="90"/>
      <c r="ADD369" s="90"/>
      <c r="ADE369" s="90"/>
      <c r="ADF369" s="90"/>
      <c r="ADG369" s="90"/>
      <c r="ADH369" s="90"/>
      <c r="ADI369" s="90"/>
      <c r="ADJ369" s="90"/>
      <c r="ADK369" s="90"/>
      <c r="ADL369" s="90"/>
      <c r="ADM369" s="90"/>
      <c r="ADN369" s="90"/>
      <c r="ADO369" s="90"/>
      <c r="ADP369" s="90"/>
      <c r="ADQ369" s="90"/>
      <c r="ADR369" s="90"/>
      <c r="ADS369" s="90"/>
      <c r="ADT369" s="90"/>
      <c r="ADU369" s="90"/>
      <c r="ADV369" s="90"/>
      <c r="ADW369" s="90"/>
      <c r="ADX369" s="90"/>
      <c r="ADY369" s="90"/>
      <c r="ADZ369" s="90"/>
      <c r="AEA369" s="90"/>
      <c r="AEB369" s="90"/>
      <c r="AEC369" s="90"/>
      <c r="AED369" s="90"/>
      <c r="AEE369" s="90"/>
      <c r="AEF369" s="90"/>
      <c r="AEG369" s="90"/>
      <c r="AEH369" s="90"/>
      <c r="AEI369" s="90"/>
      <c r="AEJ369" s="90"/>
      <c r="AEK369" s="90"/>
      <c r="AEL369" s="90"/>
      <c r="AEM369" s="90"/>
      <c r="AEN369" s="90"/>
      <c r="AEO369" s="90"/>
      <c r="AEP369" s="90"/>
      <c r="AEQ369" s="90"/>
      <c r="AER369" s="90"/>
      <c r="AES369" s="90"/>
      <c r="AET369" s="90"/>
      <c r="AEU369" s="90"/>
      <c r="AEV369" s="90"/>
      <c r="AEW369" s="90"/>
      <c r="AEX369" s="90"/>
      <c r="AEY369" s="90"/>
      <c r="AEZ369" s="90"/>
      <c r="AFA369" s="90"/>
      <c r="AFB369" s="90"/>
      <c r="AFC369" s="90"/>
      <c r="AFD369" s="90"/>
      <c r="AFE369" s="90"/>
      <c r="AFF369" s="90"/>
      <c r="AFG369" s="90"/>
      <c r="AFH369" s="90"/>
      <c r="AFI369" s="90"/>
      <c r="AFJ369" s="90"/>
      <c r="AFK369" s="90"/>
      <c r="AFL369" s="90"/>
      <c r="AFM369" s="90"/>
      <c r="AFN369" s="90"/>
      <c r="AFO369" s="90"/>
      <c r="AFP369" s="90"/>
      <c r="AFQ369" s="90"/>
      <c r="AFR369" s="90"/>
      <c r="AFS369" s="90"/>
      <c r="AFT369" s="90"/>
      <c r="AFU369" s="90"/>
      <c r="AFV369" s="90"/>
      <c r="AFW369" s="90"/>
      <c r="AFX369" s="90"/>
      <c r="AFY369" s="90"/>
      <c r="AFZ369" s="90"/>
      <c r="AGA369" s="90"/>
      <c r="AGB369" s="90"/>
      <c r="AGC369" s="90"/>
      <c r="AGD369" s="90"/>
      <c r="AGE369" s="90"/>
      <c r="AGF369" s="90"/>
      <c r="AGG369" s="90"/>
      <c r="AGH369" s="90"/>
      <c r="AGI369" s="90"/>
      <c r="AGJ369" s="90"/>
      <c r="AGK369" s="90"/>
      <c r="AGL369" s="90"/>
      <c r="AGM369" s="90"/>
      <c r="AGN369" s="90"/>
      <c r="AGO369" s="90"/>
      <c r="AGP369" s="90"/>
      <c r="AGQ369" s="90"/>
      <c r="AGR369" s="90"/>
      <c r="AGS369" s="90"/>
      <c r="AGT369" s="90"/>
      <c r="AGU369" s="90"/>
      <c r="AGV369" s="90"/>
      <c r="AGW369" s="90"/>
      <c r="AGX369" s="90"/>
      <c r="AGY369" s="90"/>
      <c r="AGZ369" s="90"/>
      <c r="AHA369" s="90"/>
      <c r="AHB369" s="90"/>
      <c r="AHC369" s="90"/>
      <c r="AHD369" s="90"/>
      <c r="AHE369" s="90"/>
      <c r="AHF369" s="90"/>
      <c r="AHG369" s="90"/>
      <c r="AHH369" s="90"/>
      <c r="AHI369" s="90"/>
      <c r="AHJ369" s="90"/>
      <c r="AHK369" s="90"/>
      <c r="AHL369" s="90"/>
      <c r="AHM369" s="90"/>
      <c r="AHN369" s="90"/>
      <c r="AHO369" s="90"/>
      <c r="AHP369" s="90"/>
      <c r="AHQ369" s="90"/>
      <c r="AHR369" s="90"/>
      <c r="AHS369" s="90"/>
      <c r="AHT369" s="90"/>
      <c r="AHU369" s="90"/>
      <c r="AHV369" s="90"/>
      <c r="AHW369" s="90"/>
      <c r="AHX369" s="90"/>
      <c r="AHY369" s="90"/>
      <c r="AHZ369" s="90"/>
      <c r="AIA369" s="90"/>
      <c r="AIB369" s="90"/>
      <c r="AIC369" s="90"/>
      <c r="AID369" s="90"/>
      <c r="AIE369" s="90"/>
      <c r="AIF369" s="90"/>
      <c r="AIG369" s="90"/>
      <c r="AIH369" s="90"/>
      <c r="AII369" s="90"/>
      <c r="AIJ369" s="90"/>
      <c r="AIK369" s="90"/>
      <c r="AIL369" s="90"/>
      <c r="AIM369" s="90"/>
      <c r="AIN369" s="90"/>
      <c r="AIO369" s="90"/>
      <c r="AIP369" s="90"/>
      <c r="AIQ369" s="90"/>
      <c r="AIR369" s="90"/>
      <c r="AIS369" s="90"/>
      <c r="AIT369" s="90"/>
      <c r="AIU369" s="90"/>
      <c r="AIV369" s="90"/>
      <c r="AIW369" s="90"/>
      <c r="AIX369" s="90"/>
      <c r="AIY369" s="90"/>
      <c r="AIZ369" s="90"/>
      <c r="AJA369" s="90"/>
      <c r="AJB369" s="90"/>
      <c r="AJC369" s="90"/>
      <c r="AJD369" s="90"/>
      <c r="AJE369" s="90"/>
      <c r="AJF369" s="90"/>
      <c r="AJG369" s="90"/>
      <c r="AJH369" s="90"/>
      <c r="AJI369" s="90"/>
      <c r="AJJ369" s="90"/>
      <c r="AJK369" s="90"/>
      <c r="AJL369" s="90"/>
      <c r="AJM369" s="90"/>
      <c r="AJN369" s="90"/>
      <c r="AJO369" s="90"/>
      <c r="AJP369" s="90"/>
      <c r="AJQ369" s="90"/>
      <c r="AJR369" s="90"/>
      <c r="AJS369" s="90"/>
      <c r="AJT369" s="90"/>
      <c r="AJU369" s="90"/>
      <c r="AJV369" s="90"/>
      <c r="AJW369" s="90"/>
      <c r="AJX369" s="90"/>
      <c r="AJY369" s="90"/>
      <c r="AJZ369" s="90"/>
      <c r="AKA369" s="90"/>
      <c r="AKB369" s="90"/>
      <c r="AKC369" s="90"/>
      <c r="AKD369" s="90"/>
      <c r="AKE369" s="90"/>
      <c r="AKF369" s="90"/>
      <c r="AKG369" s="90"/>
      <c r="AKH369" s="90"/>
      <c r="AKI369" s="90"/>
      <c r="AKJ369" s="90"/>
      <c r="AKK369" s="90"/>
      <c r="AKL369" s="90"/>
      <c r="AKM369" s="90"/>
      <c r="AKN369" s="90"/>
      <c r="AKO369" s="90"/>
      <c r="AKP369" s="90"/>
      <c r="AKQ369" s="90"/>
      <c r="AKR369" s="90"/>
      <c r="AKS369" s="90"/>
      <c r="AKT369" s="90"/>
      <c r="AKU369" s="90"/>
      <c r="AKV369" s="90"/>
      <c r="AKW369" s="90"/>
      <c r="AKX369" s="90"/>
      <c r="AKY369" s="90"/>
      <c r="AKZ369" s="90"/>
      <c r="ALA369" s="90"/>
      <c r="ALB369" s="90"/>
      <c r="ALC369" s="90"/>
      <c r="ALD369" s="90"/>
      <c r="ALE369" s="90"/>
      <c r="ALF369" s="90"/>
      <c r="ALG369" s="90"/>
      <c r="ALH369" s="90"/>
      <c r="ALI369" s="90"/>
      <c r="ALJ369" s="90"/>
      <c r="ALK369" s="90"/>
      <c r="ALL369" s="90"/>
      <c r="ALM369" s="90"/>
      <c r="ALN369" s="90"/>
      <c r="ALO369" s="90"/>
      <c r="ALP369" s="90"/>
      <c r="ALQ369" s="90"/>
      <c r="ALR369" s="90"/>
      <c r="ALS369" s="90"/>
      <c r="ALT369" s="90"/>
      <c r="ALU369" s="90"/>
      <c r="ALV369" s="90"/>
      <c r="ALW369" s="90"/>
      <c r="ALX369" s="90"/>
      <c r="ALY369" s="90"/>
      <c r="ALZ369" s="90"/>
      <c r="AMA369" s="90"/>
      <c r="AMB369" s="90"/>
      <c r="AMC369" s="90"/>
    </row>
    <row r="370" spans="1:1017">
      <c r="A370" s="98" t="s">
        <v>54</v>
      </c>
      <c r="B370" s="90" t="str">
        <f t="shared" si="1966"/>
        <v xml:space="preserve">Lobster Air Laut </v>
      </c>
      <c r="J370" s="611"/>
      <c r="Q370" s="91">
        <f t="shared" si="1967"/>
        <v>0</v>
      </c>
      <c r="R370" s="91">
        <f t="shared" si="1968"/>
        <v>0</v>
      </c>
      <c r="S370" s="98">
        <v>845</v>
      </c>
      <c r="T370" s="98">
        <v>295750</v>
      </c>
      <c r="Z370" s="611"/>
      <c r="AG370" s="91">
        <f t="shared" si="1969"/>
        <v>845</v>
      </c>
      <c r="AH370" s="91">
        <f t="shared" si="1970"/>
        <v>295750</v>
      </c>
      <c r="AP370" s="611"/>
      <c r="AW370" s="91">
        <f t="shared" si="1971"/>
        <v>0</v>
      </c>
      <c r="AX370" s="91">
        <f t="shared" si="1972"/>
        <v>0</v>
      </c>
      <c r="BF370" s="611"/>
      <c r="BM370" s="91">
        <f t="shared" si="1973"/>
        <v>0</v>
      </c>
      <c r="BN370" s="91">
        <f t="shared" si="1974"/>
        <v>0</v>
      </c>
      <c r="BV370" s="611"/>
      <c r="CC370" s="91">
        <f t="shared" si="1975"/>
        <v>0</v>
      </c>
      <c r="CD370" s="91">
        <f t="shared" si="1976"/>
        <v>0</v>
      </c>
      <c r="CL370" s="611"/>
      <c r="CS370" s="91">
        <f t="shared" si="1977"/>
        <v>0</v>
      </c>
      <c r="CT370" s="91">
        <f t="shared" si="1978"/>
        <v>0</v>
      </c>
      <c r="DB370" s="611"/>
      <c r="DI370" s="91">
        <f t="shared" si="1979"/>
        <v>0</v>
      </c>
      <c r="DJ370" s="91">
        <f t="shared" si="1980"/>
        <v>0</v>
      </c>
      <c r="DR370" s="611"/>
      <c r="DY370" s="91">
        <f t="shared" si="1981"/>
        <v>0</v>
      </c>
      <c r="DZ370" s="91">
        <f t="shared" si="1982"/>
        <v>0</v>
      </c>
      <c r="EH370" s="611"/>
      <c r="EO370" s="91">
        <f t="shared" si="1983"/>
        <v>0</v>
      </c>
      <c r="EP370" s="91">
        <f t="shared" si="1984"/>
        <v>0</v>
      </c>
      <c r="EX370" s="611"/>
      <c r="FE370" s="91">
        <f t="shared" si="1985"/>
        <v>0</v>
      </c>
      <c r="FF370" s="91">
        <f t="shared" si="1986"/>
        <v>0</v>
      </c>
      <c r="FN370" s="611"/>
      <c r="FU370" s="91">
        <f t="shared" si="1987"/>
        <v>0</v>
      </c>
      <c r="FV370" s="91">
        <f t="shared" si="1988"/>
        <v>0</v>
      </c>
      <c r="GD370" s="611"/>
      <c r="GK370" s="91">
        <f t="shared" si="1989"/>
        <v>0</v>
      </c>
      <c r="GL370" s="91">
        <f t="shared" si="1990"/>
        <v>0</v>
      </c>
      <c r="GT370" s="611"/>
      <c r="HA370" s="91">
        <f t="shared" si="1991"/>
        <v>0</v>
      </c>
      <c r="HB370" s="91">
        <f t="shared" si="1992"/>
        <v>0</v>
      </c>
      <c r="HJ370" s="611"/>
      <c r="HQ370" s="91">
        <f t="shared" si="1993"/>
        <v>0</v>
      </c>
      <c r="HR370" s="91">
        <f t="shared" si="1994"/>
        <v>0</v>
      </c>
      <c r="HZ370" s="611"/>
      <c r="IG370" s="91">
        <f t="shared" si="1995"/>
        <v>0</v>
      </c>
      <c r="IH370" s="91">
        <f t="shared" si="1996"/>
        <v>0</v>
      </c>
      <c r="IP370" s="611"/>
      <c r="IW370" s="91">
        <f t="shared" si="1997"/>
        <v>0</v>
      </c>
      <c r="IX370" s="91">
        <f t="shared" si="1998"/>
        <v>0</v>
      </c>
      <c r="JM370" s="91">
        <f t="shared" si="1999"/>
        <v>0</v>
      </c>
      <c r="JN370" s="91">
        <f t="shared" si="2000"/>
        <v>0</v>
      </c>
      <c r="JV370" s="611"/>
      <c r="KC370" s="91">
        <f t="shared" si="2001"/>
        <v>0</v>
      </c>
      <c r="KD370" s="91">
        <f t="shared" si="2002"/>
        <v>0</v>
      </c>
      <c r="KL370" s="611"/>
      <c r="KS370" s="91">
        <f t="shared" si="2003"/>
        <v>0</v>
      </c>
      <c r="KT370" s="91">
        <f t="shared" si="2004"/>
        <v>0</v>
      </c>
      <c r="LI370" s="91">
        <f t="shared" si="2005"/>
        <v>0</v>
      </c>
      <c r="LJ370" s="91">
        <f t="shared" si="2006"/>
        <v>0</v>
      </c>
      <c r="LR370" s="611"/>
      <c r="LY370" s="91">
        <f t="shared" si="2007"/>
        <v>0</v>
      </c>
      <c r="LZ370" s="91">
        <f t="shared" si="2008"/>
        <v>0</v>
      </c>
      <c r="MH370" s="611"/>
      <c r="MO370" s="91">
        <f t="shared" si="2009"/>
        <v>0</v>
      </c>
      <c r="MP370" s="91">
        <f t="shared" si="2010"/>
        <v>0</v>
      </c>
      <c r="MX370" s="611"/>
      <c r="NE370" s="91">
        <f t="shared" si="2011"/>
        <v>0</v>
      </c>
      <c r="NF370" s="91">
        <f t="shared" si="2012"/>
        <v>0</v>
      </c>
      <c r="NN370" s="611"/>
      <c r="NU370" s="91">
        <f t="shared" si="2013"/>
        <v>0</v>
      </c>
      <c r="NV370" s="91">
        <f t="shared" si="2014"/>
        <v>0</v>
      </c>
      <c r="NW370" s="98">
        <v>250</v>
      </c>
      <c r="NX370" s="98">
        <v>87500</v>
      </c>
      <c r="OD370" s="611"/>
      <c r="OK370" s="91">
        <f t="shared" si="2015"/>
        <v>250</v>
      </c>
      <c r="OL370" s="91">
        <f t="shared" si="2016"/>
        <v>87500</v>
      </c>
      <c r="OT370" s="611"/>
      <c r="PA370" s="91">
        <f t="shared" si="2017"/>
        <v>0</v>
      </c>
      <c r="PB370" s="91">
        <f t="shared" si="2018"/>
        <v>0</v>
      </c>
      <c r="PJ370" s="611"/>
      <c r="PQ370" s="91">
        <f t="shared" si="2019"/>
        <v>0</v>
      </c>
      <c r="PR370" s="91">
        <f t="shared" si="2020"/>
        <v>0</v>
      </c>
      <c r="PZ370" s="611"/>
      <c r="QG370" s="91">
        <f t="shared" si="2021"/>
        <v>0</v>
      </c>
      <c r="QH370" s="91">
        <f t="shared" si="2022"/>
        <v>0</v>
      </c>
      <c r="QP370" s="611"/>
      <c r="QW370" s="91">
        <f t="shared" si="2023"/>
        <v>0</v>
      </c>
      <c r="QX370" s="91">
        <f t="shared" si="2024"/>
        <v>0</v>
      </c>
      <c r="RF370" s="611"/>
      <c r="RM370" s="91">
        <f t="shared" si="2025"/>
        <v>0</v>
      </c>
      <c r="RN370" s="91">
        <f t="shared" si="2026"/>
        <v>0</v>
      </c>
      <c r="RV370" s="611"/>
      <c r="SC370" s="91">
        <f t="shared" si="2027"/>
        <v>0</v>
      </c>
      <c r="SD370" s="91">
        <f t="shared" si="2028"/>
        <v>0</v>
      </c>
      <c r="SL370" s="611"/>
      <c r="SS370" s="91">
        <f t="shared" si="2029"/>
        <v>0</v>
      </c>
      <c r="ST370" s="91">
        <f t="shared" si="2030"/>
        <v>0</v>
      </c>
      <c r="TB370" s="611"/>
      <c r="TI370" s="91">
        <f t="shared" si="2031"/>
        <v>0</v>
      </c>
      <c r="TJ370" s="91">
        <f t="shared" si="2032"/>
        <v>0</v>
      </c>
      <c r="TR370" s="611"/>
      <c r="TY370" s="91">
        <f t="shared" si="2033"/>
        <v>0</v>
      </c>
      <c r="TZ370" s="91">
        <f t="shared" si="2034"/>
        <v>0</v>
      </c>
      <c r="UH370" s="611"/>
      <c r="UO370" s="91">
        <f t="shared" si="2035"/>
        <v>0</v>
      </c>
      <c r="UP370" s="91">
        <f t="shared" si="2036"/>
        <v>0</v>
      </c>
      <c r="UX370" s="611"/>
      <c r="VE370" s="91">
        <f t="shared" si="2037"/>
        <v>0</v>
      </c>
      <c r="VF370" s="91">
        <f t="shared" si="2038"/>
        <v>0</v>
      </c>
      <c r="VN370" s="611"/>
      <c r="VU370" s="91">
        <f t="shared" si="2039"/>
        <v>0</v>
      </c>
      <c r="VV370" s="91">
        <f t="shared" si="2040"/>
        <v>0</v>
      </c>
      <c r="WD370" s="611"/>
      <c r="WK370" s="91">
        <f t="shared" si="2041"/>
        <v>0</v>
      </c>
      <c r="WL370" s="91">
        <f t="shared" si="2042"/>
        <v>0</v>
      </c>
      <c r="WM370" s="89"/>
      <c r="WN370" s="87">
        <f t="shared" si="2043"/>
        <v>1095</v>
      </c>
      <c r="WO370" s="87">
        <f t="shared" si="2044"/>
        <v>383250</v>
      </c>
      <c r="WP370" s="87">
        <f t="shared" si="2045"/>
        <v>0</v>
      </c>
      <c r="WQ370" s="87">
        <f t="shared" si="2046"/>
        <v>0</v>
      </c>
      <c r="WR370" s="87">
        <f t="shared" si="2047"/>
        <v>0</v>
      </c>
      <c r="WS370" s="87">
        <f t="shared" si="2048"/>
        <v>0</v>
      </c>
      <c r="WT370" s="87">
        <f t="shared" si="2049"/>
        <v>0</v>
      </c>
      <c r="WU370" s="87">
        <f t="shared" si="2050"/>
        <v>0</v>
      </c>
      <c r="WV370" s="87">
        <f t="shared" si="2051"/>
        <v>0</v>
      </c>
      <c r="WW370" s="87">
        <f t="shared" si="2052"/>
        <v>0</v>
      </c>
      <c r="WX370" s="87">
        <f t="shared" si="2053"/>
        <v>0</v>
      </c>
      <c r="WY370" s="87">
        <f t="shared" si="2054"/>
        <v>0</v>
      </c>
      <c r="WZ370" s="87">
        <f t="shared" si="2055"/>
        <v>0</v>
      </c>
      <c r="XA370" s="87">
        <f t="shared" si="2056"/>
        <v>0</v>
      </c>
      <c r="XB370" s="92">
        <f t="shared" si="2057"/>
        <v>1095</v>
      </c>
      <c r="XC370" s="92">
        <f t="shared" si="2058"/>
        <v>383250</v>
      </c>
      <c r="XD370" s="89"/>
      <c r="XE370" s="92"/>
      <c r="XF370" s="92"/>
      <c r="XG370" s="89"/>
      <c r="XH370" s="92"/>
      <c r="XI370" s="92"/>
      <c r="XJ370" s="89"/>
      <c r="XK370" s="87"/>
      <c r="XL370" s="87"/>
      <c r="XM370" s="87"/>
      <c r="XN370" s="87"/>
      <c r="XO370" s="87"/>
      <c r="XP370" s="87"/>
      <c r="XQ370" s="87"/>
      <c r="XR370" s="92">
        <f t="shared" ca="1" si="2059"/>
        <v>0</v>
      </c>
      <c r="XS370" s="89"/>
      <c r="XT370" s="87"/>
      <c r="XU370" s="87"/>
      <c r="XV370" s="87"/>
      <c r="XW370" s="87"/>
      <c r="XX370" s="87"/>
      <c r="XY370" s="87"/>
      <c r="XZ370" s="87"/>
      <c r="YA370" s="92">
        <f t="shared" ca="1" si="2060"/>
        <v>0</v>
      </c>
      <c r="YB370" s="90"/>
      <c r="YC370" s="90"/>
      <c r="YD370" s="90"/>
      <c r="YE370" s="90"/>
      <c r="YF370" s="90"/>
      <c r="YG370" s="90"/>
      <c r="YH370" s="90"/>
      <c r="YI370" s="90"/>
      <c r="YJ370" s="90"/>
      <c r="YK370" s="90"/>
      <c r="YL370" s="90"/>
      <c r="YM370" s="90"/>
      <c r="YN370" s="90"/>
      <c r="YO370" s="90"/>
      <c r="YP370" s="90"/>
      <c r="YQ370" s="90"/>
      <c r="YR370" s="90"/>
      <c r="YS370" s="90"/>
      <c r="YT370" s="90"/>
      <c r="YU370" s="90"/>
      <c r="YV370" s="90"/>
      <c r="YW370" s="90"/>
      <c r="YX370" s="90"/>
      <c r="YY370" s="90"/>
      <c r="YZ370" s="90"/>
      <c r="ZA370" s="90"/>
      <c r="ZB370" s="90"/>
      <c r="ZC370" s="90"/>
      <c r="ZD370" s="90"/>
      <c r="ZE370" s="90"/>
      <c r="ZF370" s="90"/>
      <c r="ZG370" s="90"/>
      <c r="ZH370" s="90"/>
      <c r="ZI370" s="90"/>
      <c r="ZJ370" s="90"/>
      <c r="ZK370" s="90"/>
      <c r="ZL370" s="90"/>
      <c r="ZM370" s="90"/>
      <c r="ZN370" s="90"/>
      <c r="ZO370" s="90"/>
      <c r="ZP370" s="90"/>
      <c r="ZQ370" s="90"/>
      <c r="ZR370" s="90"/>
      <c r="ZS370" s="90"/>
      <c r="ZT370" s="90"/>
      <c r="ZU370" s="90"/>
      <c r="ZV370" s="90"/>
      <c r="ZW370" s="90"/>
      <c r="ZX370" s="90"/>
      <c r="ZY370" s="90"/>
      <c r="ZZ370" s="90"/>
      <c r="AAA370" s="90"/>
      <c r="AAB370" s="90"/>
      <c r="AAC370" s="90"/>
      <c r="AAD370" s="90"/>
      <c r="AAE370" s="90"/>
      <c r="AAF370" s="90"/>
      <c r="AAG370" s="90"/>
      <c r="AAH370" s="90"/>
      <c r="AAI370" s="90"/>
      <c r="AAJ370" s="90"/>
      <c r="AAK370" s="90"/>
      <c r="AAL370" s="90"/>
      <c r="AAM370" s="90"/>
      <c r="AAN370" s="90"/>
      <c r="AAO370" s="90"/>
      <c r="AAP370" s="90"/>
      <c r="AAQ370" s="90"/>
      <c r="AAR370" s="90"/>
      <c r="AAS370" s="90"/>
      <c r="AAT370" s="90"/>
      <c r="AAU370" s="90"/>
      <c r="AAV370" s="90"/>
      <c r="AAW370" s="90"/>
      <c r="AAX370" s="90"/>
      <c r="AAY370" s="90"/>
      <c r="AAZ370" s="90"/>
      <c r="ABA370" s="90"/>
      <c r="ABB370" s="90"/>
      <c r="ABC370" s="90"/>
      <c r="ABD370" s="90"/>
      <c r="ABE370" s="90"/>
      <c r="ABF370" s="90"/>
      <c r="ABG370" s="90"/>
      <c r="ABH370" s="90"/>
      <c r="ABI370" s="90"/>
      <c r="ABJ370" s="90"/>
      <c r="ABK370" s="90"/>
      <c r="ABL370" s="90"/>
      <c r="ABM370" s="90"/>
      <c r="ABN370" s="90"/>
      <c r="ABO370" s="90"/>
      <c r="ABP370" s="90"/>
      <c r="ABQ370" s="90"/>
      <c r="ABR370" s="90"/>
      <c r="ABS370" s="90"/>
      <c r="ABT370" s="90"/>
      <c r="ABU370" s="90"/>
      <c r="ABV370" s="90"/>
      <c r="ABW370" s="90"/>
      <c r="ABX370" s="90"/>
      <c r="ABY370" s="90"/>
      <c r="ABZ370" s="90"/>
      <c r="ACA370" s="90"/>
      <c r="ACB370" s="90"/>
      <c r="ACC370" s="90"/>
      <c r="ACD370" s="90"/>
      <c r="ACE370" s="90"/>
      <c r="ACF370" s="90"/>
      <c r="ACG370" s="90"/>
      <c r="ACH370" s="90"/>
      <c r="ACI370" s="90"/>
      <c r="ACJ370" s="90"/>
      <c r="ACK370" s="90"/>
      <c r="ACL370" s="90"/>
      <c r="ACM370" s="90"/>
      <c r="ACN370" s="90"/>
      <c r="ACO370" s="90"/>
      <c r="ACP370" s="90"/>
      <c r="ACQ370" s="90"/>
      <c r="ACR370" s="90"/>
      <c r="ACS370" s="90"/>
      <c r="ACT370" s="90"/>
      <c r="ACU370" s="90"/>
      <c r="ACV370" s="90"/>
      <c r="ACW370" s="90"/>
      <c r="ACX370" s="90"/>
      <c r="ACY370" s="90"/>
      <c r="ACZ370" s="90"/>
      <c r="ADA370" s="90"/>
      <c r="ADB370" s="90"/>
      <c r="ADC370" s="90"/>
      <c r="ADD370" s="90"/>
      <c r="ADE370" s="90"/>
      <c r="ADF370" s="90"/>
      <c r="ADG370" s="90"/>
      <c r="ADH370" s="90"/>
      <c r="ADI370" s="90"/>
      <c r="ADJ370" s="90"/>
      <c r="ADK370" s="90"/>
      <c r="ADL370" s="90"/>
      <c r="ADM370" s="90"/>
      <c r="ADN370" s="90"/>
      <c r="ADO370" s="90"/>
      <c r="ADP370" s="90"/>
      <c r="ADQ370" s="90"/>
      <c r="ADR370" s="90"/>
      <c r="ADS370" s="90"/>
      <c r="ADT370" s="90"/>
      <c r="ADU370" s="90"/>
      <c r="ADV370" s="90"/>
      <c r="ADW370" s="90"/>
      <c r="ADX370" s="90"/>
      <c r="ADY370" s="90"/>
      <c r="ADZ370" s="90"/>
      <c r="AEA370" s="90"/>
      <c r="AEB370" s="90"/>
      <c r="AEC370" s="90"/>
      <c r="AED370" s="90"/>
      <c r="AEE370" s="90"/>
      <c r="AEF370" s="90"/>
      <c r="AEG370" s="90"/>
      <c r="AEH370" s="90"/>
      <c r="AEI370" s="90"/>
      <c r="AEJ370" s="90"/>
      <c r="AEK370" s="90"/>
      <c r="AEL370" s="90"/>
      <c r="AEM370" s="90"/>
      <c r="AEN370" s="90"/>
      <c r="AEO370" s="90"/>
      <c r="AEP370" s="90"/>
      <c r="AEQ370" s="90"/>
      <c r="AER370" s="90"/>
      <c r="AES370" s="90"/>
      <c r="AET370" s="90"/>
      <c r="AEU370" s="90"/>
      <c r="AEV370" s="90"/>
      <c r="AEW370" s="90"/>
      <c r="AEX370" s="90"/>
      <c r="AEY370" s="90"/>
      <c r="AEZ370" s="90"/>
      <c r="AFA370" s="90"/>
      <c r="AFB370" s="90"/>
      <c r="AFC370" s="90"/>
      <c r="AFD370" s="90"/>
      <c r="AFE370" s="90"/>
      <c r="AFF370" s="90"/>
      <c r="AFG370" s="90"/>
      <c r="AFH370" s="90"/>
      <c r="AFI370" s="90"/>
      <c r="AFJ370" s="90"/>
      <c r="AFK370" s="90"/>
      <c r="AFL370" s="90"/>
      <c r="AFM370" s="90"/>
      <c r="AFN370" s="90"/>
      <c r="AFO370" s="90"/>
      <c r="AFP370" s="90"/>
      <c r="AFQ370" s="90"/>
      <c r="AFR370" s="90"/>
      <c r="AFS370" s="90"/>
      <c r="AFT370" s="90"/>
      <c r="AFU370" s="90"/>
      <c r="AFV370" s="90"/>
      <c r="AFW370" s="90"/>
      <c r="AFX370" s="90"/>
      <c r="AFY370" s="90"/>
      <c r="AFZ370" s="90"/>
      <c r="AGA370" s="90"/>
      <c r="AGB370" s="90"/>
      <c r="AGC370" s="90"/>
      <c r="AGD370" s="90"/>
      <c r="AGE370" s="90"/>
      <c r="AGF370" s="90"/>
      <c r="AGG370" s="90"/>
      <c r="AGH370" s="90"/>
      <c r="AGI370" s="90"/>
      <c r="AGJ370" s="90"/>
      <c r="AGK370" s="90"/>
      <c r="AGL370" s="90"/>
      <c r="AGM370" s="90"/>
      <c r="AGN370" s="90"/>
      <c r="AGO370" s="90"/>
      <c r="AGP370" s="90"/>
      <c r="AGQ370" s="90"/>
      <c r="AGR370" s="90"/>
      <c r="AGS370" s="90"/>
      <c r="AGT370" s="90"/>
      <c r="AGU370" s="90"/>
      <c r="AGV370" s="90"/>
      <c r="AGW370" s="90"/>
      <c r="AGX370" s="90"/>
      <c r="AGY370" s="90"/>
      <c r="AGZ370" s="90"/>
      <c r="AHA370" s="90"/>
      <c r="AHB370" s="90"/>
      <c r="AHC370" s="90"/>
      <c r="AHD370" s="90"/>
      <c r="AHE370" s="90"/>
      <c r="AHF370" s="90"/>
      <c r="AHG370" s="90"/>
      <c r="AHH370" s="90"/>
      <c r="AHI370" s="90"/>
      <c r="AHJ370" s="90"/>
      <c r="AHK370" s="90"/>
      <c r="AHL370" s="90"/>
      <c r="AHM370" s="90"/>
      <c r="AHN370" s="90"/>
      <c r="AHO370" s="90"/>
      <c r="AHP370" s="90"/>
      <c r="AHQ370" s="90"/>
      <c r="AHR370" s="90"/>
      <c r="AHS370" s="90"/>
      <c r="AHT370" s="90"/>
      <c r="AHU370" s="90"/>
      <c r="AHV370" s="90"/>
      <c r="AHW370" s="90"/>
      <c r="AHX370" s="90"/>
      <c r="AHY370" s="90"/>
      <c r="AHZ370" s="90"/>
      <c r="AIA370" s="90"/>
      <c r="AIB370" s="90"/>
      <c r="AIC370" s="90"/>
      <c r="AID370" s="90"/>
      <c r="AIE370" s="90"/>
      <c r="AIF370" s="90"/>
      <c r="AIG370" s="90"/>
      <c r="AIH370" s="90"/>
      <c r="AII370" s="90"/>
      <c r="AIJ370" s="90"/>
      <c r="AIK370" s="90"/>
      <c r="AIL370" s="90"/>
      <c r="AIM370" s="90"/>
      <c r="AIN370" s="90"/>
      <c r="AIO370" s="90"/>
      <c r="AIP370" s="90"/>
      <c r="AIQ370" s="90"/>
      <c r="AIR370" s="90"/>
      <c r="AIS370" s="90"/>
      <c r="AIT370" s="90"/>
      <c r="AIU370" s="90"/>
      <c r="AIV370" s="90"/>
      <c r="AIW370" s="90"/>
      <c r="AIX370" s="90"/>
      <c r="AIY370" s="90"/>
      <c r="AIZ370" s="90"/>
      <c r="AJA370" s="90"/>
      <c r="AJB370" s="90"/>
      <c r="AJC370" s="90"/>
      <c r="AJD370" s="90"/>
      <c r="AJE370" s="90"/>
      <c r="AJF370" s="90"/>
      <c r="AJG370" s="90"/>
      <c r="AJH370" s="90"/>
      <c r="AJI370" s="90"/>
      <c r="AJJ370" s="90"/>
      <c r="AJK370" s="90"/>
      <c r="AJL370" s="90"/>
      <c r="AJM370" s="90"/>
      <c r="AJN370" s="90"/>
      <c r="AJO370" s="90"/>
      <c r="AJP370" s="90"/>
      <c r="AJQ370" s="90"/>
      <c r="AJR370" s="90"/>
      <c r="AJS370" s="90"/>
      <c r="AJT370" s="90"/>
      <c r="AJU370" s="90"/>
      <c r="AJV370" s="90"/>
      <c r="AJW370" s="90"/>
      <c r="AJX370" s="90"/>
      <c r="AJY370" s="90"/>
      <c r="AJZ370" s="90"/>
      <c r="AKA370" s="90"/>
      <c r="AKB370" s="90"/>
      <c r="AKC370" s="90"/>
      <c r="AKD370" s="90"/>
      <c r="AKE370" s="90"/>
      <c r="AKF370" s="90"/>
      <c r="AKG370" s="90"/>
      <c r="AKH370" s="90"/>
      <c r="AKI370" s="90"/>
      <c r="AKJ370" s="90"/>
      <c r="AKK370" s="90"/>
      <c r="AKL370" s="90"/>
      <c r="AKM370" s="90"/>
      <c r="AKN370" s="90"/>
      <c r="AKO370" s="90"/>
      <c r="AKP370" s="90"/>
      <c r="AKQ370" s="90"/>
      <c r="AKR370" s="90"/>
      <c r="AKS370" s="90"/>
      <c r="AKT370" s="90"/>
      <c r="AKU370" s="90"/>
      <c r="AKV370" s="90"/>
      <c r="AKW370" s="90"/>
      <c r="AKX370" s="90"/>
      <c r="AKY370" s="90"/>
      <c r="AKZ370" s="90"/>
      <c r="ALA370" s="90"/>
      <c r="ALB370" s="90"/>
      <c r="ALC370" s="90"/>
      <c r="ALD370" s="90"/>
      <c r="ALE370" s="90"/>
      <c r="ALF370" s="90"/>
      <c r="ALG370" s="90"/>
      <c r="ALH370" s="90"/>
      <c r="ALI370" s="90"/>
      <c r="ALJ370" s="90"/>
      <c r="ALK370" s="90"/>
      <c r="ALL370" s="90"/>
      <c r="ALM370" s="90"/>
      <c r="ALN370" s="90"/>
      <c r="ALO370" s="90"/>
      <c r="ALP370" s="90"/>
      <c r="ALQ370" s="90"/>
      <c r="ALR370" s="90"/>
      <c r="ALS370" s="90"/>
      <c r="ALT370" s="90"/>
      <c r="ALU370" s="90"/>
      <c r="ALV370" s="90"/>
      <c r="ALW370" s="90"/>
      <c r="ALX370" s="90"/>
      <c r="ALY370" s="90"/>
      <c r="ALZ370" s="90"/>
      <c r="AMA370" s="90"/>
      <c r="AMB370" s="90"/>
      <c r="AMC370" s="90"/>
    </row>
    <row r="371" spans="1:1017">
      <c r="A371" s="98" t="s">
        <v>54</v>
      </c>
      <c r="B371" s="90" t="str">
        <f t="shared" si="1966"/>
        <v xml:space="preserve">Lobster Air Tawar, Cherax </v>
      </c>
      <c r="Q371" s="91">
        <f t="shared" si="1967"/>
        <v>0</v>
      </c>
      <c r="R371" s="91">
        <f t="shared" si="1968"/>
        <v>0</v>
      </c>
      <c r="AG371" s="91">
        <f t="shared" si="1969"/>
        <v>0</v>
      </c>
      <c r="AH371" s="91">
        <f t="shared" si="1970"/>
        <v>0</v>
      </c>
      <c r="AW371" s="91">
        <f t="shared" si="1971"/>
        <v>0</v>
      </c>
      <c r="AX371" s="91">
        <f t="shared" si="1972"/>
        <v>0</v>
      </c>
      <c r="BM371" s="91">
        <f t="shared" si="1973"/>
        <v>0</v>
      </c>
      <c r="BN371" s="91">
        <f t="shared" si="1974"/>
        <v>0</v>
      </c>
      <c r="CC371" s="91">
        <f t="shared" si="1975"/>
        <v>0</v>
      </c>
      <c r="CD371" s="91">
        <f t="shared" si="1976"/>
        <v>0</v>
      </c>
      <c r="CS371" s="91">
        <f t="shared" si="1977"/>
        <v>0</v>
      </c>
      <c r="CT371" s="91">
        <f t="shared" si="1978"/>
        <v>0</v>
      </c>
      <c r="DI371" s="91">
        <f t="shared" si="1979"/>
        <v>0</v>
      </c>
      <c r="DJ371" s="91">
        <f t="shared" si="1980"/>
        <v>0</v>
      </c>
      <c r="DY371" s="91">
        <f t="shared" si="1981"/>
        <v>0</v>
      </c>
      <c r="DZ371" s="91">
        <f t="shared" si="1982"/>
        <v>0</v>
      </c>
      <c r="EO371" s="91">
        <f t="shared" si="1983"/>
        <v>0</v>
      </c>
      <c r="EP371" s="91">
        <f t="shared" si="1984"/>
        <v>0</v>
      </c>
      <c r="FE371" s="91">
        <f t="shared" si="1985"/>
        <v>0</v>
      </c>
      <c r="FF371" s="91">
        <f t="shared" si="1986"/>
        <v>0</v>
      </c>
      <c r="FU371" s="91">
        <f t="shared" si="1987"/>
        <v>0</v>
      </c>
      <c r="FV371" s="91">
        <f t="shared" si="1988"/>
        <v>0</v>
      </c>
      <c r="GK371" s="91">
        <f t="shared" si="1989"/>
        <v>0</v>
      </c>
      <c r="GL371" s="91">
        <f t="shared" si="1990"/>
        <v>0</v>
      </c>
      <c r="HA371" s="91">
        <f t="shared" si="1991"/>
        <v>0</v>
      </c>
      <c r="HB371" s="91">
        <f t="shared" si="1992"/>
        <v>0</v>
      </c>
      <c r="HQ371" s="91">
        <f t="shared" si="1993"/>
        <v>0</v>
      </c>
      <c r="HR371" s="91">
        <f t="shared" si="1994"/>
        <v>0</v>
      </c>
      <c r="IG371" s="91">
        <f t="shared" si="1995"/>
        <v>0</v>
      </c>
      <c r="IH371" s="91">
        <f t="shared" si="1996"/>
        <v>0</v>
      </c>
      <c r="IO371" s="98">
        <v>250</v>
      </c>
      <c r="IP371" s="98">
        <v>27500</v>
      </c>
      <c r="IW371" s="91">
        <f t="shared" si="1997"/>
        <v>250</v>
      </c>
      <c r="IX371" s="91">
        <f t="shared" si="1998"/>
        <v>27500</v>
      </c>
      <c r="JM371" s="91">
        <f t="shared" si="1999"/>
        <v>0</v>
      </c>
      <c r="JN371" s="91">
        <f t="shared" si="2000"/>
        <v>0</v>
      </c>
      <c r="KC371" s="91">
        <f t="shared" si="2001"/>
        <v>0</v>
      </c>
      <c r="KD371" s="91">
        <f t="shared" si="2002"/>
        <v>0</v>
      </c>
      <c r="KS371" s="91">
        <f t="shared" si="2003"/>
        <v>0</v>
      </c>
      <c r="KT371" s="91">
        <f t="shared" si="2004"/>
        <v>0</v>
      </c>
      <c r="LI371" s="91">
        <f t="shared" si="2005"/>
        <v>0</v>
      </c>
      <c r="LJ371" s="91">
        <f t="shared" si="2006"/>
        <v>0</v>
      </c>
      <c r="LY371" s="91">
        <f t="shared" si="2007"/>
        <v>0</v>
      </c>
      <c r="LZ371" s="91">
        <f t="shared" si="2008"/>
        <v>0</v>
      </c>
      <c r="MO371" s="91">
        <f t="shared" si="2009"/>
        <v>0</v>
      </c>
      <c r="MP371" s="91">
        <f t="shared" si="2010"/>
        <v>0</v>
      </c>
      <c r="NE371" s="91">
        <f t="shared" si="2011"/>
        <v>0</v>
      </c>
      <c r="NF371" s="91">
        <f t="shared" si="2012"/>
        <v>0</v>
      </c>
      <c r="NU371" s="91">
        <f t="shared" si="2013"/>
        <v>0</v>
      </c>
      <c r="NV371" s="91">
        <f t="shared" si="2014"/>
        <v>0</v>
      </c>
      <c r="OK371" s="91">
        <f t="shared" si="2015"/>
        <v>0</v>
      </c>
      <c r="OL371" s="91">
        <f t="shared" si="2016"/>
        <v>0</v>
      </c>
      <c r="PA371" s="91">
        <f t="shared" si="2017"/>
        <v>0</v>
      </c>
      <c r="PB371" s="91">
        <f t="shared" si="2018"/>
        <v>0</v>
      </c>
      <c r="PQ371" s="91">
        <f t="shared" si="2019"/>
        <v>0</v>
      </c>
      <c r="PR371" s="91">
        <f t="shared" si="2020"/>
        <v>0</v>
      </c>
      <c r="QG371" s="91">
        <f t="shared" si="2021"/>
        <v>0</v>
      </c>
      <c r="QH371" s="91">
        <f t="shared" si="2022"/>
        <v>0</v>
      </c>
      <c r="QW371" s="91">
        <f t="shared" si="2023"/>
        <v>0</v>
      </c>
      <c r="QX371" s="91">
        <f t="shared" si="2024"/>
        <v>0</v>
      </c>
      <c r="RM371" s="91">
        <f t="shared" si="2025"/>
        <v>0</v>
      </c>
      <c r="RN371" s="91">
        <f t="shared" si="2026"/>
        <v>0</v>
      </c>
      <c r="SC371" s="91">
        <f t="shared" si="2027"/>
        <v>0</v>
      </c>
      <c r="SD371" s="91">
        <f t="shared" si="2028"/>
        <v>0</v>
      </c>
      <c r="SS371" s="91">
        <f t="shared" si="2029"/>
        <v>0</v>
      </c>
      <c r="ST371" s="91">
        <f t="shared" si="2030"/>
        <v>0</v>
      </c>
      <c r="TI371" s="91">
        <f t="shared" si="2031"/>
        <v>0</v>
      </c>
      <c r="TJ371" s="91">
        <f t="shared" si="2032"/>
        <v>0</v>
      </c>
      <c r="TY371" s="91">
        <f t="shared" si="2033"/>
        <v>0</v>
      </c>
      <c r="TZ371" s="91">
        <f t="shared" si="2034"/>
        <v>0</v>
      </c>
      <c r="UO371" s="91">
        <f t="shared" si="2035"/>
        <v>0</v>
      </c>
      <c r="UP371" s="91">
        <f t="shared" si="2036"/>
        <v>0</v>
      </c>
      <c r="VE371" s="91">
        <f t="shared" si="2037"/>
        <v>0</v>
      </c>
      <c r="VF371" s="91">
        <f t="shared" si="2038"/>
        <v>0</v>
      </c>
      <c r="VU371" s="91">
        <f t="shared" si="2039"/>
        <v>0</v>
      </c>
      <c r="VV371" s="91">
        <f t="shared" si="2040"/>
        <v>0</v>
      </c>
      <c r="WK371" s="91">
        <f t="shared" si="2041"/>
        <v>0</v>
      </c>
      <c r="WL371" s="91">
        <f t="shared" si="2042"/>
        <v>0</v>
      </c>
      <c r="WM371" s="89"/>
      <c r="WN371" s="87">
        <f t="shared" si="2043"/>
        <v>0</v>
      </c>
      <c r="WO371" s="87">
        <f t="shared" si="2044"/>
        <v>0</v>
      </c>
      <c r="WP371" s="87">
        <f t="shared" si="2045"/>
        <v>0</v>
      </c>
      <c r="WQ371" s="87">
        <f t="shared" si="2046"/>
        <v>0</v>
      </c>
      <c r="WR371" s="87">
        <f t="shared" si="2047"/>
        <v>0</v>
      </c>
      <c r="WS371" s="87">
        <f t="shared" si="2048"/>
        <v>0</v>
      </c>
      <c r="WT371" s="87">
        <f t="shared" si="2049"/>
        <v>250</v>
      </c>
      <c r="WU371" s="87">
        <f t="shared" si="2050"/>
        <v>27500</v>
      </c>
      <c r="WV371" s="87">
        <f t="shared" si="2051"/>
        <v>0</v>
      </c>
      <c r="WW371" s="87">
        <f t="shared" si="2052"/>
        <v>0</v>
      </c>
      <c r="WX371" s="87">
        <f t="shared" si="2053"/>
        <v>0</v>
      </c>
      <c r="WY371" s="87">
        <f t="shared" si="2054"/>
        <v>0</v>
      </c>
      <c r="WZ371" s="87">
        <f t="shared" si="2055"/>
        <v>0</v>
      </c>
      <c r="XA371" s="87">
        <f t="shared" si="2056"/>
        <v>0</v>
      </c>
      <c r="XB371" s="92">
        <f t="shared" si="2057"/>
        <v>250</v>
      </c>
      <c r="XC371" s="92">
        <f t="shared" si="2058"/>
        <v>27500</v>
      </c>
      <c r="XD371" s="89"/>
      <c r="XE371" s="92"/>
      <c r="XF371" s="92"/>
      <c r="XG371" s="89"/>
      <c r="XH371" s="92"/>
      <c r="XI371" s="92"/>
      <c r="XJ371" s="89"/>
      <c r="XK371" s="87"/>
      <c r="XL371" s="87"/>
      <c r="XM371" s="87"/>
      <c r="XN371" s="87"/>
      <c r="XO371" s="87"/>
      <c r="XP371" s="87"/>
      <c r="XQ371" s="87"/>
      <c r="XR371" s="92">
        <f t="shared" ca="1" si="2059"/>
        <v>0</v>
      </c>
      <c r="XS371" s="89"/>
      <c r="XT371" s="87"/>
      <c r="XU371" s="87"/>
      <c r="XV371" s="87"/>
      <c r="XW371" s="87"/>
      <c r="XX371" s="87"/>
      <c r="XY371" s="87"/>
      <c r="XZ371" s="87"/>
      <c r="YA371" s="92">
        <f t="shared" ca="1" si="2060"/>
        <v>0</v>
      </c>
      <c r="YB371" s="90"/>
      <c r="YC371" s="90"/>
      <c r="YD371" s="90"/>
      <c r="YE371" s="90"/>
      <c r="YF371" s="90"/>
      <c r="YG371" s="90"/>
      <c r="YH371" s="90"/>
      <c r="YI371" s="90"/>
      <c r="YJ371" s="90"/>
      <c r="YK371" s="90"/>
      <c r="YL371" s="90"/>
      <c r="YM371" s="90"/>
      <c r="YN371" s="90"/>
      <c r="YO371" s="90"/>
      <c r="YP371" s="90"/>
      <c r="YQ371" s="90"/>
      <c r="YR371" s="90"/>
      <c r="YS371" s="90"/>
      <c r="YT371" s="90"/>
      <c r="YU371" s="90"/>
      <c r="YV371" s="90"/>
      <c r="YW371" s="90"/>
      <c r="YX371" s="90"/>
      <c r="YY371" s="90"/>
      <c r="YZ371" s="90"/>
      <c r="ZA371" s="90"/>
      <c r="ZB371" s="90"/>
      <c r="ZC371" s="90"/>
      <c r="ZD371" s="90"/>
      <c r="ZE371" s="90"/>
      <c r="ZF371" s="90"/>
      <c r="ZG371" s="90"/>
      <c r="ZH371" s="90"/>
      <c r="ZI371" s="90"/>
      <c r="ZJ371" s="90"/>
      <c r="ZK371" s="90"/>
      <c r="ZL371" s="90"/>
      <c r="ZM371" s="90"/>
      <c r="ZN371" s="90"/>
      <c r="ZO371" s="90"/>
      <c r="ZP371" s="90"/>
      <c r="ZQ371" s="90"/>
      <c r="ZR371" s="90"/>
      <c r="ZS371" s="90"/>
      <c r="ZT371" s="90"/>
      <c r="ZU371" s="90"/>
      <c r="ZV371" s="90"/>
      <c r="ZW371" s="90"/>
      <c r="ZX371" s="90"/>
      <c r="ZY371" s="90"/>
      <c r="ZZ371" s="90"/>
      <c r="AAA371" s="90"/>
      <c r="AAB371" s="90"/>
      <c r="AAC371" s="90"/>
      <c r="AAD371" s="90"/>
      <c r="AAE371" s="90"/>
      <c r="AAF371" s="90"/>
      <c r="AAG371" s="90"/>
      <c r="AAH371" s="90"/>
      <c r="AAI371" s="90"/>
      <c r="AAJ371" s="90"/>
      <c r="AAK371" s="90"/>
      <c r="AAL371" s="90"/>
      <c r="AAM371" s="90"/>
      <c r="AAN371" s="90"/>
      <c r="AAO371" s="90"/>
      <c r="AAP371" s="90"/>
      <c r="AAQ371" s="90"/>
      <c r="AAR371" s="90"/>
      <c r="AAS371" s="90"/>
      <c r="AAT371" s="90"/>
      <c r="AAU371" s="90"/>
      <c r="AAV371" s="90"/>
      <c r="AAW371" s="90"/>
      <c r="AAX371" s="90"/>
      <c r="AAY371" s="90"/>
      <c r="AAZ371" s="90"/>
      <c r="ABA371" s="90"/>
      <c r="ABB371" s="90"/>
      <c r="ABC371" s="90"/>
      <c r="ABD371" s="90"/>
      <c r="ABE371" s="90"/>
      <c r="ABF371" s="90"/>
      <c r="ABG371" s="90"/>
      <c r="ABH371" s="90"/>
      <c r="ABI371" s="90"/>
      <c r="ABJ371" s="90"/>
      <c r="ABK371" s="90"/>
      <c r="ABL371" s="90"/>
      <c r="ABM371" s="90"/>
      <c r="ABN371" s="90"/>
      <c r="ABO371" s="90"/>
      <c r="ABP371" s="90"/>
      <c r="ABQ371" s="90"/>
      <c r="ABR371" s="90"/>
      <c r="ABS371" s="90"/>
      <c r="ABT371" s="90"/>
      <c r="ABU371" s="90"/>
      <c r="ABV371" s="90"/>
      <c r="ABW371" s="90"/>
      <c r="ABX371" s="90"/>
      <c r="ABY371" s="90"/>
      <c r="ABZ371" s="90"/>
      <c r="ACA371" s="90"/>
      <c r="ACB371" s="90"/>
      <c r="ACC371" s="90"/>
      <c r="ACD371" s="90"/>
      <c r="ACE371" s="90"/>
      <c r="ACF371" s="90"/>
      <c r="ACG371" s="90"/>
      <c r="ACH371" s="90"/>
      <c r="ACI371" s="90"/>
      <c r="ACJ371" s="90"/>
      <c r="ACK371" s="90"/>
      <c r="ACL371" s="90"/>
      <c r="ACM371" s="90"/>
      <c r="ACN371" s="90"/>
      <c r="ACO371" s="90"/>
      <c r="ACP371" s="90"/>
      <c r="ACQ371" s="90"/>
      <c r="ACR371" s="90"/>
      <c r="ACS371" s="90"/>
      <c r="ACT371" s="90"/>
      <c r="ACU371" s="90"/>
      <c r="ACV371" s="90"/>
      <c r="ACW371" s="90"/>
      <c r="ACX371" s="90"/>
      <c r="ACY371" s="90"/>
      <c r="ACZ371" s="90"/>
      <c r="ADA371" s="90"/>
      <c r="ADB371" s="90"/>
      <c r="ADC371" s="90"/>
      <c r="ADD371" s="90"/>
      <c r="ADE371" s="90"/>
      <c r="ADF371" s="90"/>
      <c r="ADG371" s="90"/>
      <c r="ADH371" s="90"/>
      <c r="ADI371" s="90"/>
      <c r="ADJ371" s="90"/>
      <c r="ADK371" s="90"/>
      <c r="ADL371" s="90"/>
      <c r="ADM371" s="90"/>
      <c r="ADN371" s="90"/>
      <c r="ADO371" s="90"/>
      <c r="ADP371" s="90"/>
      <c r="ADQ371" s="90"/>
      <c r="ADR371" s="90"/>
      <c r="ADS371" s="90"/>
      <c r="ADT371" s="90"/>
      <c r="ADU371" s="90"/>
      <c r="ADV371" s="90"/>
      <c r="ADW371" s="90"/>
      <c r="ADX371" s="90"/>
      <c r="ADY371" s="90"/>
      <c r="ADZ371" s="90"/>
      <c r="AEA371" s="90"/>
      <c r="AEB371" s="90"/>
      <c r="AEC371" s="90"/>
      <c r="AED371" s="90"/>
      <c r="AEE371" s="90"/>
      <c r="AEF371" s="90"/>
      <c r="AEG371" s="90"/>
      <c r="AEH371" s="90"/>
      <c r="AEI371" s="90"/>
      <c r="AEJ371" s="90"/>
      <c r="AEK371" s="90"/>
      <c r="AEL371" s="90"/>
      <c r="AEM371" s="90"/>
      <c r="AEN371" s="90"/>
      <c r="AEO371" s="90"/>
      <c r="AEP371" s="90"/>
      <c r="AEQ371" s="90"/>
      <c r="AER371" s="90"/>
      <c r="AES371" s="90"/>
      <c r="AET371" s="90"/>
      <c r="AEU371" s="90"/>
      <c r="AEV371" s="90"/>
      <c r="AEW371" s="90"/>
      <c r="AEX371" s="90"/>
      <c r="AEY371" s="90"/>
      <c r="AEZ371" s="90"/>
      <c r="AFA371" s="90"/>
      <c r="AFB371" s="90"/>
      <c r="AFC371" s="90"/>
      <c r="AFD371" s="90"/>
      <c r="AFE371" s="90"/>
      <c r="AFF371" s="90"/>
      <c r="AFG371" s="90"/>
      <c r="AFH371" s="90"/>
      <c r="AFI371" s="90"/>
      <c r="AFJ371" s="90"/>
      <c r="AFK371" s="90"/>
      <c r="AFL371" s="90"/>
      <c r="AFM371" s="90"/>
      <c r="AFN371" s="90"/>
      <c r="AFO371" s="90"/>
      <c r="AFP371" s="90"/>
      <c r="AFQ371" s="90"/>
      <c r="AFR371" s="90"/>
      <c r="AFS371" s="90"/>
      <c r="AFT371" s="90"/>
      <c r="AFU371" s="90"/>
      <c r="AFV371" s="90"/>
      <c r="AFW371" s="90"/>
      <c r="AFX371" s="90"/>
      <c r="AFY371" s="90"/>
      <c r="AFZ371" s="90"/>
      <c r="AGA371" s="90"/>
      <c r="AGB371" s="90"/>
      <c r="AGC371" s="90"/>
      <c r="AGD371" s="90"/>
      <c r="AGE371" s="90"/>
      <c r="AGF371" s="90"/>
      <c r="AGG371" s="90"/>
      <c r="AGH371" s="90"/>
      <c r="AGI371" s="90"/>
      <c r="AGJ371" s="90"/>
      <c r="AGK371" s="90"/>
      <c r="AGL371" s="90"/>
      <c r="AGM371" s="90"/>
      <c r="AGN371" s="90"/>
      <c r="AGO371" s="90"/>
      <c r="AGP371" s="90"/>
      <c r="AGQ371" s="90"/>
      <c r="AGR371" s="90"/>
      <c r="AGS371" s="90"/>
      <c r="AGT371" s="90"/>
      <c r="AGU371" s="90"/>
      <c r="AGV371" s="90"/>
      <c r="AGW371" s="90"/>
      <c r="AGX371" s="90"/>
      <c r="AGY371" s="90"/>
      <c r="AGZ371" s="90"/>
      <c r="AHA371" s="90"/>
      <c r="AHB371" s="90"/>
      <c r="AHC371" s="90"/>
      <c r="AHD371" s="90"/>
      <c r="AHE371" s="90"/>
      <c r="AHF371" s="90"/>
      <c r="AHG371" s="90"/>
      <c r="AHH371" s="90"/>
      <c r="AHI371" s="90"/>
      <c r="AHJ371" s="90"/>
      <c r="AHK371" s="90"/>
      <c r="AHL371" s="90"/>
      <c r="AHM371" s="90"/>
      <c r="AHN371" s="90"/>
      <c r="AHO371" s="90"/>
      <c r="AHP371" s="90"/>
      <c r="AHQ371" s="90"/>
      <c r="AHR371" s="90"/>
      <c r="AHS371" s="90"/>
      <c r="AHT371" s="90"/>
      <c r="AHU371" s="90"/>
      <c r="AHV371" s="90"/>
      <c r="AHW371" s="90"/>
      <c r="AHX371" s="90"/>
      <c r="AHY371" s="90"/>
      <c r="AHZ371" s="90"/>
      <c r="AIA371" s="90"/>
      <c r="AIB371" s="90"/>
      <c r="AIC371" s="90"/>
      <c r="AID371" s="90"/>
      <c r="AIE371" s="90"/>
      <c r="AIF371" s="90"/>
      <c r="AIG371" s="90"/>
      <c r="AIH371" s="90"/>
      <c r="AII371" s="90"/>
      <c r="AIJ371" s="90"/>
      <c r="AIK371" s="90"/>
      <c r="AIL371" s="90"/>
      <c r="AIM371" s="90"/>
      <c r="AIN371" s="90"/>
      <c r="AIO371" s="90"/>
      <c r="AIP371" s="90"/>
      <c r="AIQ371" s="90"/>
      <c r="AIR371" s="90"/>
      <c r="AIS371" s="90"/>
      <c r="AIT371" s="90"/>
      <c r="AIU371" s="90"/>
      <c r="AIV371" s="90"/>
      <c r="AIW371" s="90"/>
      <c r="AIX371" s="90"/>
      <c r="AIY371" s="90"/>
      <c r="AIZ371" s="90"/>
      <c r="AJA371" s="90"/>
      <c r="AJB371" s="90"/>
      <c r="AJC371" s="90"/>
      <c r="AJD371" s="90"/>
      <c r="AJE371" s="90"/>
      <c r="AJF371" s="90"/>
      <c r="AJG371" s="90"/>
      <c r="AJH371" s="90"/>
      <c r="AJI371" s="90"/>
      <c r="AJJ371" s="90"/>
      <c r="AJK371" s="90"/>
      <c r="AJL371" s="90"/>
      <c r="AJM371" s="90"/>
      <c r="AJN371" s="90"/>
      <c r="AJO371" s="90"/>
      <c r="AJP371" s="90"/>
      <c r="AJQ371" s="90"/>
      <c r="AJR371" s="90"/>
      <c r="AJS371" s="90"/>
      <c r="AJT371" s="90"/>
      <c r="AJU371" s="90"/>
      <c r="AJV371" s="90"/>
      <c r="AJW371" s="90"/>
      <c r="AJX371" s="90"/>
      <c r="AJY371" s="90"/>
      <c r="AJZ371" s="90"/>
      <c r="AKA371" s="90"/>
      <c r="AKB371" s="90"/>
      <c r="AKC371" s="90"/>
      <c r="AKD371" s="90"/>
      <c r="AKE371" s="90"/>
      <c r="AKF371" s="90"/>
      <c r="AKG371" s="90"/>
      <c r="AKH371" s="90"/>
      <c r="AKI371" s="90"/>
      <c r="AKJ371" s="90"/>
      <c r="AKK371" s="90"/>
      <c r="AKL371" s="90"/>
      <c r="AKM371" s="90"/>
      <c r="AKN371" s="90"/>
      <c r="AKO371" s="90"/>
      <c r="AKP371" s="90"/>
      <c r="AKQ371" s="90"/>
      <c r="AKR371" s="90"/>
      <c r="AKS371" s="90"/>
      <c r="AKT371" s="90"/>
      <c r="AKU371" s="90"/>
      <c r="AKV371" s="90"/>
      <c r="AKW371" s="90"/>
      <c r="AKX371" s="90"/>
      <c r="AKY371" s="90"/>
      <c r="AKZ371" s="90"/>
      <c r="ALA371" s="90"/>
      <c r="ALB371" s="90"/>
      <c r="ALC371" s="90"/>
      <c r="ALD371" s="90"/>
      <c r="ALE371" s="90"/>
      <c r="ALF371" s="90"/>
      <c r="ALG371" s="90"/>
      <c r="ALH371" s="90"/>
      <c r="ALI371" s="90"/>
      <c r="ALJ371" s="90"/>
      <c r="ALK371" s="90"/>
      <c r="ALL371" s="90"/>
      <c r="ALM371" s="90"/>
      <c r="ALN371" s="90"/>
      <c r="ALO371" s="90"/>
      <c r="ALP371" s="90"/>
      <c r="ALQ371" s="90"/>
      <c r="ALR371" s="90"/>
      <c r="ALS371" s="90"/>
      <c r="ALT371" s="90"/>
      <c r="ALU371" s="90"/>
      <c r="ALV371" s="90"/>
      <c r="ALW371" s="90"/>
      <c r="ALX371" s="90"/>
      <c r="ALY371" s="90"/>
      <c r="ALZ371" s="90"/>
      <c r="AMA371" s="90"/>
      <c r="AMB371" s="90"/>
      <c r="AMC371" s="90"/>
    </row>
    <row r="372" spans="1:1017">
      <c r="A372" s="98" t="s">
        <v>54</v>
      </c>
      <c r="B372" s="90" t="str">
        <f t="shared" si="1966"/>
        <v xml:space="preserve">Mas, Ikan Mas, Karper </v>
      </c>
      <c r="Q372" s="91">
        <f t="shared" si="1967"/>
        <v>0</v>
      </c>
      <c r="R372" s="91">
        <f t="shared" si="1968"/>
        <v>0</v>
      </c>
      <c r="Y372" s="98">
        <v>9345</v>
      </c>
      <c r="Z372" s="98">
        <v>327075</v>
      </c>
      <c r="AA372" s="98">
        <v>2685</v>
      </c>
      <c r="AB372" s="98">
        <v>93975</v>
      </c>
      <c r="AC372" s="98">
        <v>2290</v>
      </c>
      <c r="AD372" s="98">
        <v>80150</v>
      </c>
      <c r="AE372" s="98">
        <v>310</v>
      </c>
      <c r="AF372" s="98">
        <v>10850</v>
      </c>
      <c r="AG372" s="91">
        <f t="shared" si="1969"/>
        <v>14630</v>
      </c>
      <c r="AH372" s="91">
        <f t="shared" si="1970"/>
        <v>512050</v>
      </c>
      <c r="AW372" s="91">
        <f t="shared" si="1971"/>
        <v>0</v>
      </c>
      <c r="AX372" s="91">
        <f t="shared" si="1972"/>
        <v>0</v>
      </c>
      <c r="BE372" s="98">
        <v>1732</v>
      </c>
      <c r="BF372" s="98">
        <v>25980</v>
      </c>
      <c r="BM372" s="91">
        <f t="shared" si="1973"/>
        <v>1732</v>
      </c>
      <c r="BN372" s="91">
        <f t="shared" si="1974"/>
        <v>25980</v>
      </c>
      <c r="BU372" s="98">
        <v>210</v>
      </c>
      <c r="BV372" s="98">
        <v>5670</v>
      </c>
      <c r="CC372" s="91">
        <f t="shared" si="1975"/>
        <v>210</v>
      </c>
      <c r="CD372" s="91">
        <f t="shared" si="1976"/>
        <v>5670</v>
      </c>
      <c r="CK372" s="98">
        <v>297310.97968219145</v>
      </c>
      <c r="CL372" s="98">
        <v>3567731.7561862976</v>
      </c>
      <c r="CS372" s="91">
        <f t="shared" si="1977"/>
        <v>297310.97968219145</v>
      </c>
      <c r="CT372" s="91">
        <f t="shared" si="1978"/>
        <v>3567731.7561862976</v>
      </c>
      <c r="DA372" s="98">
        <v>2630</v>
      </c>
      <c r="DB372" s="98">
        <v>60490</v>
      </c>
      <c r="DC372" s="98">
        <v>200</v>
      </c>
      <c r="DD372" s="98">
        <v>4000</v>
      </c>
      <c r="DI372" s="91">
        <f t="shared" si="1979"/>
        <v>2830</v>
      </c>
      <c r="DJ372" s="91">
        <f t="shared" si="1980"/>
        <v>64490</v>
      </c>
      <c r="DQ372" s="98">
        <v>16300</v>
      </c>
      <c r="DR372" s="98">
        <v>391200</v>
      </c>
      <c r="DY372" s="91">
        <f t="shared" si="1981"/>
        <v>16300</v>
      </c>
      <c r="DZ372" s="91">
        <f t="shared" si="1982"/>
        <v>391200</v>
      </c>
      <c r="EG372" s="98">
        <v>435</v>
      </c>
      <c r="EH372" s="98">
        <v>6525</v>
      </c>
      <c r="EO372" s="91">
        <f t="shared" si="1983"/>
        <v>435</v>
      </c>
      <c r="EP372" s="91">
        <f t="shared" si="1984"/>
        <v>6525</v>
      </c>
      <c r="EW372" s="98">
        <v>4076</v>
      </c>
      <c r="EX372" s="98">
        <v>73368</v>
      </c>
      <c r="FE372" s="91">
        <f t="shared" si="1985"/>
        <v>4076</v>
      </c>
      <c r="FF372" s="91">
        <f t="shared" si="1986"/>
        <v>73368</v>
      </c>
      <c r="FM372" s="98">
        <v>270</v>
      </c>
      <c r="FN372" s="98">
        <v>8100</v>
      </c>
      <c r="FU372" s="91">
        <f t="shared" si="1987"/>
        <v>270</v>
      </c>
      <c r="FV372" s="91">
        <f t="shared" si="1988"/>
        <v>8100</v>
      </c>
      <c r="GC372" s="98">
        <v>250</v>
      </c>
      <c r="GD372" s="98">
        <v>6250</v>
      </c>
      <c r="GK372" s="91">
        <f t="shared" si="1989"/>
        <v>250</v>
      </c>
      <c r="GL372" s="91">
        <f t="shared" si="1990"/>
        <v>6250</v>
      </c>
      <c r="GS372" s="98">
        <v>1400</v>
      </c>
      <c r="GT372" s="98">
        <v>39900</v>
      </c>
      <c r="GY372" s="98">
        <v>30</v>
      </c>
      <c r="GZ372" s="98">
        <v>855</v>
      </c>
      <c r="HA372" s="91">
        <f t="shared" si="1991"/>
        <v>1430</v>
      </c>
      <c r="HB372" s="91">
        <f t="shared" si="1992"/>
        <v>40755</v>
      </c>
      <c r="HI372" s="98">
        <v>1500</v>
      </c>
      <c r="HJ372" s="98">
        <v>45000</v>
      </c>
      <c r="HQ372" s="91">
        <f t="shared" si="1993"/>
        <v>1500</v>
      </c>
      <c r="HR372" s="91">
        <f t="shared" si="1994"/>
        <v>45000</v>
      </c>
      <c r="IG372" s="91">
        <f t="shared" si="1995"/>
        <v>0</v>
      </c>
      <c r="IH372" s="91">
        <f t="shared" si="1996"/>
        <v>0</v>
      </c>
      <c r="IW372" s="91">
        <f t="shared" si="1997"/>
        <v>0</v>
      </c>
      <c r="IX372" s="91">
        <f t="shared" si="1998"/>
        <v>0</v>
      </c>
      <c r="JE372" s="98">
        <v>70</v>
      </c>
      <c r="JF372" s="98">
        <v>1540</v>
      </c>
      <c r="JM372" s="91">
        <f t="shared" si="1999"/>
        <v>70</v>
      </c>
      <c r="JN372" s="91">
        <f t="shared" si="2000"/>
        <v>1540</v>
      </c>
      <c r="KC372" s="91">
        <f t="shared" si="2001"/>
        <v>0</v>
      </c>
      <c r="KD372" s="91">
        <f t="shared" si="2002"/>
        <v>0</v>
      </c>
      <c r="KS372" s="91">
        <f t="shared" si="2003"/>
        <v>0</v>
      </c>
      <c r="KT372" s="91">
        <f t="shared" si="2004"/>
        <v>0</v>
      </c>
      <c r="LI372" s="91">
        <f t="shared" si="2005"/>
        <v>0</v>
      </c>
      <c r="LJ372" s="91">
        <f t="shared" si="2006"/>
        <v>0</v>
      </c>
      <c r="LY372" s="91">
        <f t="shared" si="2007"/>
        <v>0</v>
      </c>
      <c r="LZ372" s="91">
        <f t="shared" si="2008"/>
        <v>0</v>
      </c>
      <c r="MO372" s="91">
        <f t="shared" si="2009"/>
        <v>0</v>
      </c>
      <c r="MP372" s="91">
        <f t="shared" si="2010"/>
        <v>0</v>
      </c>
      <c r="NE372" s="91">
        <f t="shared" si="2011"/>
        <v>0</v>
      </c>
      <c r="NF372" s="91">
        <f t="shared" si="2012"/>
        <v>0</v>
      </c>
      <c r="NU372" s="91">
        <f t="shared" si="2013"/>
        <v>0</v>
      </c>
      <c r="NV372" s="91">
        <f t="shared" si="2014"/>
        <v>0</v>
      </c>
      <c r="OK372" s="91">
        <f t="shared" si="2015"/>
        <v>0</v>
      </c>
      <c r="OL372" s="91">
        <f t="shared" si="2016"/>
        <v>0</v>
      </c>
      <c r="PA372" s="91">
        <f t="shared" si="2017"/>
        <v>0</v>
      </c>
      <c r="PB372" s="91">
        <f t="shared" si="2018"/>
        <v>0</v>
      </c>
      <c r="PQ372" s="91">
        <f t="shared" si="2019"/>
        <v>0</v>
      </c>
      <c r="PR372" s="91">
        <f t="shared" si="2020"/>
        <v>0</v>
      </c>
      <c r="PY372" s="98">
        <v>150820</v>
      </c>
      <c r="PZ372" s="98">
        <v>2714760</v>
      </c>
      <c r="QA372" s="98">
        <v>92090</v>
      </c>
      <c r="QB372" s="98">
        <v>1657620</v>
      </c>
      <c r="QC372" s="98">
        <v>99350</v>
      </c>
      <c r="QD372" s="98">
        <v>1788300</v>
      </c>
      <c r="QG372" s="91">
        <f t="shared" si="2021"/>
        <v>342260</v>
      </c>
      <c r="QH372" s="91">
        <f t="shared" si="2022"/>
        <v>6160680</v>
      </c>
      <c r="QW372" s="91">
        <f t="shared" si="2023"/>
        <v>0</v>
      </c>
      <c r="QX372" s="91">
        <f t="shared" si="2024"/>
        <v>0</v>
      </c>
      <c r="RE372" s="98">
        <v>155</v>
      </c>
      <c r="RF372" s="98">
        <v>5735</v>
      </c>
      <c r="RM372" s="91">
        <f t="shared" si="2025"/>
        <v>155</v>
      </c>
      <c r="RN372" s="91">
        <f t="shared" si="2026"/>
        <v>5735</v>
      </c>
      <c r="SC372" s="91">
        <f t="shared" si="2027"/>
        <v>0</v>
      </c>
      <c r="SD372" s="91">
        <f t="shared" si="2028"/>
        <v>0</v>
      </c>
      <c r="SS372" s="91">
        <f t="shared" si="2029"/>
        <v>0</v>
      </c>
      <c r="ST372" s="91">
        <f t="shared" si="2030"/>
        <v>0</v>
      </c>
      <c r="TI372" s="91">
        <f t="shared" si="2031"/>
        <v>0</v>
      </c>
      <c r="TJ372" s="91">
        <f t="shared" si="2032"/>
        <v>0</v>
      </c>
      <c r="TU372" s="98">
        <v>500</v>
      </c>
      <c r="TV372" s="98">
        <v>17500</v>
      </c>
      <c r="TY372" s="91">
        <f t="shared" si="2033"/>
        <v>500</v>
      </c>
      <c r="TZ372" s="91">
        <f t="shared" si="2034"/>
        <v>17500</v>
      </c>
      <c r="UO372" s="91">
        <f t="shared" si="2035"/>
        <v>0</v>
      </c>
      <c r="UP372" s="91">
        <f t="shared" si="2036"/>
        <v>0</v>
      </c>
      <c r="VE372" s="91">
        <f t="shared" si="2037"/>
        <v>0</v>
      </c>
      <c r="VF372" s="91">
        <f t="shared" si="2038"/>
        <v>0</v>
      </c>
      <c r="VU372" s="91">
        <f t="shared" si="2039"/>
        <v>0</v>
      </c>
      <c r="VV372" s="91">
        <f t="shared" si="2040"/>
        <v>0</v>
      </c>
      <c r="WK372" s="91">
        <f t="shared" si="2041"/>
        <v>0</v>
      </c>
      <c r="WL372" s="91">
        <f t="shared" si="2042"/>
        <v>0</v>
      </c>
      <c r="WM372" s="89"/>
      <c r="WN372" s="87">
        <f t="shared" si="2043"/>
        <v>0</v>
      </c>
      <c r="WO372" s="87">
        <f t="shared" si="2044"/>
        <v>0</v>
      </c>
      <c r="WP372" s="87">
        <f t="shared" si="2045"/>
        <v>0</v>
      </c>
      <c r="WQ372" s="87">
        <f t="shared" si="2046"/>
        <v>0</v>
      </c>
      <c r="WR372" s="87">
        <f t="shared" si="2047"/>
        <v>0</v>
      </c>
      <c r="WS372" s="87">
        <f t="shared" si="2048"/>
        <v>0</v>
      </c>
      <c r="WT372" s="87">
        <f t="shared" si="2049"/>
        <v>486503.97968219145</v>
      </c>
      <c r="WU372" s="87">
        <f t="shared" si="2050"/>
        <v>7279324.7561862972</v>
      </c>
      <c r="WV372" s="87">
        <f t="shared" si="2051"/>
        <v>94975</v>
      </c>
      <c r="WW372" s="87">
        <f t="shared" si="2052"/>
        <v>1755595</v>
      </c>
      <c r="WX372" s="87">
        <f t="shared" si="2053"/>
        <v>102140</v>
      </c>
      <c r="WY372" s="87">
        <f t="shared" si="2054"/>
        <v>1885950</v>
      </c>
      <c r="WZ372" s="87">
        <f t="shared" si="2055"/>
        <v>340</v>
      </c>
      <c r="XA372" s="87">
        <f t="shared" si="2056"/>
        <v>11705</v>
      </c>
      <c r="XB372" s="92">
        <f t="shared" si="2057"/>
        <v>683958.97968219151</v>
      </c>
      <c r="XC372" s="92">
        <f t="shared" si="2058"/>
        <v>10932574.756186297</v>
      </c>
      <c r="XD372" s="89"/>
      <c r="XE372" s="92"/>
      <c r="XF372" s="92"/>
      <c r="XG372" s="89"/>
      <c r="XH372" s="92"/>
      <c r="XI372" s="92"/>
      <c r="XJ372" s="89"/>
      <c r="XK372" s="87"/>
      <c r="XL372" s="87"/>
      <c r="XM372" s="87"/>
      <c r="XN372" s="87"/>
      <c r="XO372" s="87"/>
      <c r="XP372" s="87"/>
      <c r="XQ372" s="87"/>
      <c r="XR372" s="92">
        <f t="shared" ca="1" si="2059"/>
        <v>0</v>
      </c>
      <c r="XS372" s="89"/>
      <c r="XT372" s="87"/>
      <c r="XU372" s="87"/>
      <c r="XV372" s="87"/>
      <c r="XW372" s="87"/>
      <c r="XX372" s="87"/>
      <c r="XY372" s="87"/>
      <c r="XZ372" s="87"/>
      <c r="YA372" s="92">
        <f t="shared" ca="1" si="2060"/>
        <v>0</v>
      </c>
      <c r="YB372" s="90"/>
      <c r="YC372" s="90"/>
      <c r="YD372" s="90"/>
      <c r="YE372" s="90"/>
      <c r="YF372" s="90"/>
      <c r="YG372" s="90"/>
      <c r="YH372" s="90"/>
      <c r="YI372" s="90"/>
      <c r="YJ372" s="90"/>
      <c r="YK372" s="90"/>
      <c r="YL372" s="90"/>
      <c r="YM372" s="90"/>
      <c r="YN372" s="90"/>
      <c r="YO372" s="90"/>
      <c r="YP372" s="90"/>
      <c r="YQ372" s="90"/>
      <c r="YR372" s="90"/>
      <c r="YS372" s="90"/>
      <c r="YT372" s="90"/>
      <c r="YU372" s="90"/>
      <c r="YV372" s="90"/>
      <c r="YW372" s="90"/>
      <c r="YX372" s="90"/>
      <c r="YY372" s="90"/>
      <c r="YZ372" s="90"/>
      <c r="ZA372" s="90"/>
      <c r="ZB372" s="90"/>
      <c r="ZC372" s="90"/>
      <c r="ZD372" s="90"/>
      <c r="ZE372" s="90"/>
      <c r="ZF372" s="90"/>
      <c r="ZG372" s="90"/>
      <c r="ZH372" s="90"/>
      <c r="ZI372" s="90"/>
      <c r="ZJ372" s="90"/>
      <c r="ZK372" s="90"/>
      <c r="ZL372" s="90"/>
      <c r="ZM372" s="90"/>
      <c r="ZN372" s="90"/>
      <c r="ZO372" s="90"/>
      <c r="ZP372" s="90"/>
      <c r="ZQ372" s="90"/>
      <c r="ZR372" s="90"/>
      <c r="ZS372" s="90"/>
      <c r="ZT372" s="90"/>
      <c r="ZU372" s="90"/>
      <c r="ZV372" s="90"/>
      <c r="ZW372" s="90"/>
      <c r="ZX372" s="90"/>
      <c r="ZY372" s="90"/>
      <c r="ZZ372" s="90"/>
      <c r="AAA372" s="90"/>
      <c r="AAB372" s="90"/>
      <c r="AAC372" s="90"/>
      <c r="AAD372" s="90"/>
      <c r="AAE372" s="90"/>
      <c r="AAF372" s="90"/>
      <c r="AAG372" s="90"/>
      <c r="AAH372" s="90"/>
      <c r="AAI372" s="90"/>
      <c r="AAJ372" s="90"/>
      <c r="AAK372" s="90"/>
      <c r="AAL372" s="90"/>
      <c r="AAM372" s="90"/>
      <c r="AAN372" s="90"/>
      <c r="AAO372" s="90"/>
      <c r="AAP372" s="90"/>
      <c r="AAQ372" s="90"/>
      <c r="AAR372" s="90"/>
      <c r="AAS372" s="90"/>
      <c r="AAT372" s="90"/>
      <c r="AAU372" s="90"/>
      <c r="AAV372" s="90"/>
      <c r="AAW372" s="90"/>
      <c r="AAX372" s="90"/>
      <c r="AAY372" s="90"/>
      <c r="AAZ372" s="90"/>
      <c r="ABA372" s="90"/>
      <c r="ABB372" s="90"/>
      <c r="ABC372" s="90"/>
      <c r="ABD372" s="90"/>
      <c r="ABE372" s="90"/>
      <c r="ABF372" s="90"/>
      <c r="ABG372" s="90"/>
      <c r="ABH372" s="90"/>
      <c r="ABI372" s="90"/>
      <c r="ABJ372" s="90"/>
      <c r="ABK372" s="90"/>
      <c r="ABL372" s="90"/>
      <c r="ABM372" s="90"/>
      <c r="ABN372" s="90"/>
      <c r="ABO372" s="90"/>
      <c r="ABP372" s="90"/>
      <c r="ABQ372" s="90"/>
      <c r="ABR372" s="90"/>
      <c r="ABS372" s="90"/>
      <c r="ABT372" s="90"/>
      <c r="ABU372" s="90"/>
      <c r="ABV372" s="90"/>
      <c r="ABW372" s="90"/>
      <c r="ABX372" s="90"/>
      <c r="ABY372" s="90"/>
      <c r="ABZ372" s="90"/>
      <c r="ACA372" s="90"/>
      <c r="ACB372" s="90"/>
      <c r="ACC372" s="90"/>
      <c r="ACD372" s="90"/>
      <c r="ACE372" s="90"/>
      <c r="ACF372" s="90"/>
      <c r="ACG372" s="90"/>
      <c r="ACH372" s="90"/>
      <c r="ACI372" s="90"/>
      <c r="ACJ372" s="90"/>
      <c r="ACK372" s="90"/>
      <c r="ACL372" s="90"/>
      <c r="ACM372" s="90"/>
      <c r="ACN372" s="90"/>
      <c r="ACO372" s="90"/>
      <c r="ACP372" s="90"/>
      <c r="ACQ372" s="90"/>
      <c r="ACR372" s="90"/>
      <c r="ACS372" s="90"/>
      <c r="ACT372" s="90"/>
      <c r="ACU372" s="90"/>
      <c r="ACV372" s="90"/>
      <c r="ACW372" s="90"/>
      <c r="ACX372" s="90"/>
      <c r="ACY372" s="90"/>
      <c r="ACZ372" s="90"/>
      <c r="ADA372" s="90"/>
      <c r="ADB372" s="90"/>
      <c r="ADC372" s="90"/>
      <c r="ADD372" s="90"/>
      <c r="ADE372" s="90"/>
      <c r="ADF372" s="90"/>
      <c r="ADG372" s="90"/>
      <c r="ADH372" s="90"/>
      <c r="ADI372" s="90"/>
      <c r="ADJ372" s="90"/>
      <c r="ADK372" s="90"/>
      <c r="ADL372" s="90"/>
      <c r="ADM372" s="90"/>
      <c r="ADN372" s="90"/>
      <c r="ADO372" s="90"/>
      <c r="ADP372" s="90"/>
      <c r="ADQ372" s="90"/>
      <c r="ADR372" s="90"/>
      <c r="ADS372" s="90"/>
      <c r="ADT372" s="90"/>
      <c r="ADU372" s="90"/>
      <c r="ADV372" s="90"/>
      <c r="ADW372" s="90"/>
      <c r="ADX372" s="90"/>
      <c r="ADY372" s="90"/>
      <c r="ADZ372" s="90"/>
      <c r="AEA372" s="90"/>
      <c r="AEB372" s="90"/>
      <c r="AEC372" s="90"/>
      <c r="AED372" s="90"/>
      <c r="AEE372" s="90"/>
      <c r="AEF372" s="90"/>
      <c r="AEG372" s="90"/>
      <c r="AEH372" s="90"/>
      <c r="AEI372" s="90"/>
      <c r="AEJ372" s="90"/>
      <c r="AEK372" s="90"/>
      <c r="AEL372" s="90"/>
      <c r="AEM372" s="90"/>
      <c r="AEN372" s="90"/>
      <c r="AEO372" s="90"/>
      <c r="AEP372" s="90"/>
      <c r="AEQ372" s="90"/>
      <c r="AER372" s="90"/>
      <c r="AES372" s="90"/>
      <c r="AET372" s="90"/>
      <c r="AEU372" s="90"/>
      <c r="AEV372" s="90"/>
      <c r="AEW372" s="90"/>
      <c r="AEX372" s="90"/>
      <c r="AEY372" s="90"/>
      <c r="AEZ372" s="90"/>
      <c r="AFA372" s="90"/>
      <c r="AFB372" s="90"/>
      <c r="AFC372" s="90"/>
      <c r="AFD372" s="90"/>
      <c r="AFE372" s="90"/>
      <c r="AFF372" s="90"/>
      <c r="AFG372" s="90"/>
      <c r="AFH372" s="90"/>
      <c r="AFI372" s="90"/>
      <c r="AFJ372" s="90"/>
      <c r="AFK372" s="90"/>
      <c r="AFL372" s="90"/>
      <c r="AFM372" s="90"/>
      <c r="AFN372" s="90"/>
      <c r="AFO372" s="90"/>
      <c r="AFP372" s="90"/>
      <c r="AFQ372" s="90"/>
      <c r="AFR372" s="90"/>
      <c r="AFS372" s="90"/>
      <c r="AFT372" s="90"/>
      <c r="AFU372" s="90"/>
      <c r="AFV372" s="90"/>
      <c r="AFW372" s="90"/>
      <c r="AFX372" s="90"/>
      <c r="AFY372" s="90"/>
      <c r="AFZ372" s="90"/>
      <c r="AGA372" s="90"/>
      <c r="AGB372" s="90"/>
      <c r="AGC372" s="90"/>
      <c r="AGD372" s="90"/>
      <c r="AGE372" s="90"/>
      <c r="AGF372" s="90"/>
      <c r="AGG372" s="90"/>
      <c r="AGH372" s="90"/>
      <c r="AGI372" s="90"/>
      <c r="AGJ372" s="90"/>
      <c r="AGK372" s="90"/>
      <c r="AGL372" s="90"/>
      <c r="AGM372" s="90"/>
      <c r="AGN372" s="90"/>
      <c r="AGO372" s="90"/>
      <c r="AGP372" s="90"/>
      <c r="AGQ372" s="90"/>
      <c r="AGR372" s="90"/>
      <c r="AGS372" s="90"/>
      <c r="AGT372" s="90"/>
      <c r="AGU372" s="90"/>
      <c r="AGV372" s="90"/>
      <c r="AGW372" s="90"/>
      <c r="AGX372" s="90"/>
      <c r="AGY372" s="90"/>
      <c r="AGZ372" s="90"/>
      <c r="AHA372" s="90"/>
      <c r="AHB372" s="90"/>
      <c r="AHC372" s="90"/>
      <c r="AHD372" s="90"/>
      <c r="AHE372" s="90"/>
      <c r="AHF372" s="90"/>
      <c r="AHG372" s="90"/>
      <c r="AHH372" s="90"/>
      <c r="AHI372" s="90"/>
      <c r="AHJ372" s="90"/>
      <c r="AHK372" s="90"/>
      <c r="AHL372" s="90"/>
      <c r="AHM372" s="90"/>
      <c r="AHN372" s="90"/>
      <c r="AHO372" s="90"/>
      <c r="AHP372" s="90"/>
      <c r="AHQ372" s="90"/>
      <c r="AHR372" s="90"/>
      <c r="AHS372" s="90"/>
      <c r="AHT372" s="90"/>
      <c r="AHU372" s="90"/>
      <c r="AHV372" s="90"/>
      <c r="AHW372" s="90"/>
      <c r="AHX372" s="90"/>
      <c r="AHY372" s="90"/>
      <c r="AHZ372" s="90"/>
      <c r="AIA372" s="90"/>
      <c r="AIB372" s="90"/>
      <c r="AIC372" s="90"/>
      <c r="AID372" s="90"/>
      <c r="AIE372" s="90"/>
      <c r="AIF372" s="90"/>
      <c r="AIG372" s="90"/>
      <c r="AIH372" s="90"/>
      <c r="AII372" s="90"/>
      <c r="AIJ372" s="90"/>
      <c r="AIK372" s="90"/>
      <c r="AIL372" s="90"/>
      <c r="AIM372" s="90"/>
      <c r="AIN372" s="90"/>
      <c r="AIO372" s="90"/>
      <c r="AIP372" s="90"/>
      <c r="AIQ372" s="90"/>
      <c r="AIR372" s="90"/>
      <c r="AIS372" s="90"/>
      <c r="AIT372" s="90"/>
      <c r="AIU372" s="90"/>
      <c r="AIV372" s="90"/>
      <c r="AIW372" s="90"/>
      <c r="AIX372" s="90"/>
      <c r="AIY372" s="90"/>
      <c r="AIZ372" s="90"/>
      <c r="AJA372" s="90"/>
      <c r="AJB372" s="90"/>
      <c r="AJC372" s="90"/>
      <c r="AJD372" s="90"/>
      <c r="AJE372" s="90"/>
      <c r="AJF372" s="90"/>
      <c r="AJG372" s="90"/>
      <c r="AJH372" s="90"/>
      <c r="AJI372" s="90"/>
      <c r="AJJ372" s="90"/>
      <c r="AJK372" s="90"/>
      <c r="AJL372" s="90"/>
      <c r="AJM372" s="90"/>
      <c r="AJN372" s="90"/>
      <c r="AJO372" s="90"/>
      <c r="AJP372" s="90"/>
      <c r="AJQ372" s="90"/>
      <c r="AJR372" s="90"/>
      <c r="AJS372" s="90"/>
      <c r="AJT372" s="90"/>
      <c r="AJU372" s="90"/>
      <c r="AJV372" s="90"/>
      <c r="AJW372" s="90"/>
      <c r="AJX372" s="90"/>
      <c r="AJY372" s="90"/>
      <c r="AJZ372" s="90"/>
      <c r="AKA372" s="90"/>
      <c r="AKB372" s="90"/>
      <c r="AKC372" s="90"/>
      <c r="AKD372" s="90"/>
      <c r="AKE372" s="90"/>
      <c r="AKF372" s="90"/>
      <c r="AKG372" s="90"/>
      <c r="AKH372" s="90"/>
      <c r="AKI372" s="90"/>
      <c r="AKJ372" s="90"/>
      <c r="AKK372" s="90"/>
      <c r="AKL372" s="90"/>
      <c r="AKM372" s="90"/>
      <c r="AKN372" s="90"/>
      <c r="AKO372" s="90"/>
      <c r="AKP372" s="90"/>
      <c r="AKQ372" s="90"/>
      <c r="AKR372" s="90"/>
      <c r="AKS372" s="90"/>
      <c r="AKT372" s="90"/>
      <c r="AKU372" s="90"/>
      <c r="AKV372" s="90"/>
      <c r="AKW372" s="90"/>
      <c r="AKX372" s="90"/>
      <c r="AKY372" s="90"/>
      <c r="AKZ372" s="90"/>
      <c r="ALA372" s="90"/>
      <c r="ALB372" s="90"/>
      <c r="ALC372" s="90"/>
      <c r="ALD372" s="90"/>
      <c r="ALE372" s="90"/>
      <c r="ALF372" s="90"/>
      <c r="ALG372" s="90"/>
      <c r="ALH372" s="90"/>
      <c r="ALI372" s="90"/>
      <c r="ALJ372" s="90"/>
      <c r="ALK372" s="90"/>
      <c r="ALL372" s="90"/>
      <c r="ALM372" s="90"/>
      <c r="ALN372" s="90"/>
      <c r="ALO372" s="90"/>
      <c r="ALP372" s="90"/>
      <c r="ALQ372" s="90"/>
      <c r="ALR372" s="90"/>
      <c r="ALS372" s="90"/>
      <c r="ALT372" s="90"/>
      <c r="ALU372" s="90"/>
      <c r="ALV372" s="90"/>
      <c r="ALW372" s="90"/>
      <c r="ALX372" s="90"/>
      <c r="ALY372" s="90"/>
      <c r="ALZ372" s="90"/>
      <c r="AMA372" s="90"/>
      <c r="AMB372" s="90"/>
      <c r="AMC372" s="90"/>
    </row>
    <row r="373" spans="1:1017">
      <c r="A373" s="98" t="s">
        <v>54</v>
      </c>
      <c r="B373" s="90" t="str">
        <f t="shared" si="1966"/>
        <v xml:space="preserve">Mujair </v>
      </c>
      <c r="E373" s="98">
        <v>244500</v>
      </c>
      <c r="F373" s="98">
        <v>3667500</v>
      </c>
      <c r="I373" s="98">
        <v>3000</v>
      </c>
      <c r="J373" s="98">
        <v>45000</v>
      </c>
      <c r="Q373" s="91">
        <f t="shared" si="1967"/>
        <v>247500</v>
      </c>
      <c r="R373" s="91">
        <f t="shared" si="1968"/>
        <v>3712500</v>
      </c>
      <c r="U373" s="98">
        <v>10080</v>
      </c>
      <c r="V373" s="98">
        <v>151200</v>
      </c>
      <c r="Y373" s="98">
        <v>8015</v>
      </c>
      <c r="Z373" s="98">
        <v>120225</v>
      </c>
      <c r="AG373" s="91">
        <f t="shared" si="1969"/>
        <v>18095</v>
      </c>
      <c r="AH373" s="91">
        <f t="shared" si="1970"/>
        <v>271425</v>
      </c>
      <c r="AW373" s="91">
        <f t="shared" si="1971"/>
        <v>0</v>
      </c>
      <c r="AX373" s="91">
        <f t="shared" si="1972"/>
        <v>0</v>
      </c>
      <c r="BM373" s="91">
        <f t="shared" si="1973"/>
        <v>0</v>
      </c>
      <c r="BN373" s="91">
        <f t="shared" si="1974"/>
        <v>0</v>
      </c>
      <c r="CC373" s="91">
        <f t="shared" si="1975"/>
        <v>0</v>
      </c>
      <c r="CD373" s="91">
        <f t="shared" si="1976"/>
        <v>0</v>
      </c>
      <c r="CG373" s="98">
        <v>605309.01</v>
      </c>
      <c r="CH373" s="98">
        <v>3699043.39</v>
      </c>
      <c r="CK373" s="98">
        <v>1154078.01</v>
      </c>
      <c r="CL373" s="98">
        <v>8113168.4460000005</v>
      </c>
      <c r="CS373" s="91">
        <f t="shared" si="1977"/>
        <v>1759387.02</v>
      </c>
      <c r="CT373" s="91">
        <f t="shared" si="1978"/>
        <v>11812211.836000001</v>
      </c>
      <c r="DI373" s="91">
        <f t="shared" si="1979"/>
        <v>0</v>
      </c>
      <c r="DJ373" s="91">
        <f t="shared" si="1980"/>
        <v>0</v>
      </c>
      <c r="DY373" s="91">
        <f t="shared" si="1981"/>
        <v>0</v>
      </c>
      <c r="DZ373" s="91">
        <f t="shared" si="1982"/>
        <v>0</v>
      </c>
      <c r="EO373" s="91">
        <f t="shared" si="1983"/>
        <v>0</v>
      </c>
      <c r="EP373" s="91">
        <f t="shared" si="1984"/>
        <v>0</v>
      </c>
      <c r="ES373" s="98">
        <v>869</v>
      </c>
      <c r="ET373" s="98">
        <v>4345</v>
      </c>
      <c r="EW373" s="98">
        <v>270</v>
      </c>
      <c r="EX373" s="98">
        <v>1350</v>
      </c>
      <c r="FE373" s="91">
        <f t="shared" si="1985"/>
        <v>1139</v>
      </c>
      <c r="FF373" s="91">
        <f t="shared" si="1986"/>
        <v>5695</v>
      </c>
      <c r="FU373" s="91">
        <f t="shared" si="1987"/>
        <v>0</v>
      </c>
      <c r="FV373" s="91">
        <f t="shared" si="1988"/>
        <v>0</v>
      </c>
      <c r="GK373" s="91">
        <f t="shared" si="1989"/>
        <v>0</v>
      </c>
      <c r="GL373" s="91">
        <f t="shared" si="1990"/>
        <v>0</v>
      </c>
      <c r="HA373" s="91">
        <f t="shared" si="1991"/>
        <v>0</v>
      </c>
      <c r="HB373" s="91">
        <f t="shared" si="1992"/>
        <v>0</v>
      </c>
      <c r="HQ373" s="91">
        <f t="shared" si="1993"/>
        <v>0</v>
      </c>
      <c r="HR373" s="91">
        <f t="shared" si="1994"/>
        <v>0</v>
      </c>
      <c r="IG373" s="91">
        <f t="shared" si="1995"/>
        <v>0</v>
      </c>
      <c r="IH373" s="91">
        <f t="shared" si="1996"/>
        <v>0</v>
      </c>
      <c r="IW373" s="91">
        <f t="shared" si="1997"/>
        <v>0</v>
      </c>
      <c r="IX373" s="91">
        <f t="shared" si="1998"/>
        <v>0</v>
      </c>
      <c r="JM373" s="91">
        <f t="shared" si="1999"/>
        <v>0</v>
      </c>
      <c r="JN373" s="91">
        <f t="shared" si="2000"/>
        <v>0</v>
      </c>
      <c r="KC373" s="91">
        <f t="shared" si="2001"/>
        <v>0</v>
      </c>
      <c r="KD373" s="91">
        <f t="shared" si="2002"/>
        <v>0</v>
      </c>
      <c r="KS373" s="91">
        <f t="shared" si="2003"/>
        <v>0</v>
      </c>
      <c r="KT373" s="91">
        <f t="shared" si="2004"/>
        <v>0</v>
      </c>
      <c r="LI373" s="91">
        <f t="shared" si="2005"/>
        <v>0</v>
      </c>
      <c r="LJ373" s="91">
        <f t="shared" si="2006"/>
        <v>0</v>
      </c>
      <c r="LY373" s="91">
        <f t="shared" si="2007"/>
        <v>0</v>
      </c>
      <c r="LZ373" s="91">
        <f t="shared" si="2008"/>
        <v>0</v>
      </c>
      <c r="MO373" s="91">
        <f t="shared" si="2009"/>
        <v>0</v>
      </c>
      <c r="MP373" s="91">
        <f t="shared" si="2010"/>
        <v>0</v>
      </c>
      <c r="MS373" s="98">
        <v>1200</v>
      </c>
      <c r="MT373" s="98">
        <f>MS373*25</f>
        <v>30000</v>
      </c>
      <c r="NE373" s="91">
        <f t="shared" si="2011"/>
        <v>1200</v>
      </c>
      <c r="NF373" s="91">
        <f t="shared" si="2012"/>
        <v>30000</v>
      </c>
      <c r="NI373" s="98">
        <v>200500</v>
      </c>
      <c r="NJ373" s="98">
        <v>3208000</v>
      </c>
      <c r="NU373" s="91">
        <f t="shared" si="2013"/>
        <v>200500</v>
      </c>
      <c r="NV373" s="91">
        <f t="shared" si="2014"/>
        <v>3208000</v>
      </c>
      <c r="OK373" s="91">
        <f t="shared" si="2015"/>
        <v>0</v>
      </c>
      <c r="OL373" s="91">
        <f t="shared" si="2016"/>
        <v>0</v>
      </c>
      <c r="PA373" s="91">
        <f t="shared" si="2017"/>
        <v>0</v>
      </c>
      <c r="PB373" s="91">
        <f t="shared" si="2018"/>
        <v>0</v>
      </c>
      <c r="PQ373" s="91">
        <f t="shared" si="2019"/>
        <v>0</v>
      </c>
      <c r="PR373" s="91">
        <f t="shared" si="2020"/>
        <v>0</v>
      </c>
      <c r="PU373" s="98">
        <v>6830</v>
      </c>
      <c r="PV373" s="98">
        <v>68300</v>
      </c>
      <c r="QG373" s="91">
        <f t="shared" si="2021"/>
        <v>6830</v>
      </c>
      <c r="QH373" s="91">
        <f t="shared" si="2022"/>
        <v>68300</v>
      </c>
      <c r="QW373" s="91">
        <f t="shared" si="2023"/>
        <v>0</v>
      </c>
      <c r="QX373" s="91">
        <f t="shared" si="2024"/>
        <v>0</v>
      </c>
      <c r="RM373" s="91">
        <f t="shared" si="2025"/>
        <v>0</v>
      </c>
      <c r="RN373" s="91">
        <f t="shared" si="2026"/>
        <v>0</v>
      </c>
      <c r="SC373" s="91">
        <f t="shared" si="2027"/>
        <v>0</v>
      </c>
      <c r="SD373" s="91">
        <f t="shared" si="2028"/>
        <v>0</v>
      </c>
      <c r="SS373" s="91">
        <f t="shared" si="2029"/>
        <v>0</v>
      </c>
      <c r="ST373" s="91">
        <f t="shared" si="2030"/>
        <v>0</v>
      </c>
      <c r="TI373" s="91">
        <f t="shared" si="2031"/>
        <v>0</v>
      </c>
      <c r="TJ373" s="91">
        <f t="shared" si="2032"/>
        <v>0</v>
      </c>
      <c r="TY373" s="91">
        <f t="shared" si="2033"/>
        <v>0</v>
      </c>
      <c r="TZ373" s="91">
        <f t="shared" si="2034"/>
        <v>0</v>
      </c>
      <c r="UO373" s="91">
        <f t="shared" si="2035"/>
        <v>0</v>
      </c>
      <c r="UP373" s="91">
        <f t="shared" si="2036"/>
        <v>0</v>
      </c>
      <c r="VE373" s="91">
        <f t="shared" si="2037"/>
        <v>0</v>
      </c>
      <c r="VF373" s="91">
        <f t="shared" si="2038"/>
        <v>0</v>
      </c>
      <c r="VI373" s="98">
        <v>9</v>
      </c>
      <c r="VJ373" s="98">
        <v>81</v>
      </c>
      <c r="VU373" s="91">
        <f t="shared" si="2039"/>
        <v>9</v>
      </c>
      <c r="VV373" s="91">
        <f t="shared" si="2040"/>
        <v>81</v>
      </c>
      <c r="WK373" s="91">
        <f t="shared" si="2041"/>
        <v>0</v>
      </c>
      <c r="WL373" s="91">
        <f t="shared" si="2042"/>
        <v>0</v>
      </c>
      <c r="WM373" s="89"/>
      <c r="WN373" s="87">
        <f t="shared" si="2043"/>
        <v>0</v>
      </c>
      <c r="WO373" s="87">
        <f t="shared" si="2044"/>
        <v>0</v>
      </c>
      <c r="WP373" s="87">
        <f t="shared" si="2045"/>
        <v>1069297.01</v>
      </c>
      <c r="WQ373" s="87">
        <f t="shared" si="2046"/>
        <v>10828469.390000001</v>
      </c>
      <c r="WR373" s="87">
        <f t="shared" si="2047"/>
        <v>0</v>
      </c>
      <c r="WS373" s="87">
        <f t="shared" si="2048"/>
        <v>0</v>
      </c>
      <c r="WT373" s="87">
        <f t="shared" si="2049"/>
        <v>1165363.01</v>
      </c>
      <c r="WU373" s="87">
        <f t="shared" si="2050"/>
        <v>8279743.4460000005</v>
      </c>
      <c r="WV373" s="87">
        <f t="shared" si="2051"/>
        <v>0</v>
      </c>
      <c r="WW373" s="87">
        <f t="shared" si="2052"/>
        <v>0</v>
      </c>
      <c r="WX373" s="87">
        <f t="shared" si="2053"/>
        <v>0</v>
      </c>
      <c r="WY373" s="87">
        <f t="shared" si="2054"/>
        <v>0</v>
      </c>
      <c r="WZ373" s="87">
        <f t="shared" si="2055"/>
        <v>0</v>
      </c>
      <c r="XA373" s="87">
        <f t="shared" si="2056"/>
        <v>0</v>
      </c>
      <c r="XB373" s="92">
        <f t="shared" si="2057"/>
        <v>2234660.02</v>
      </c>
      <c r="XC373" s="92">
        <f t="shared" si="2058"/>
        <v>19108212.836000003</v>
      </c>
      <c r="XD373" s="89"/>
      <c r="XE373" s="92"/>
      <c r="XF373" s="92"/>
      <c r="XG373" s="89"/>
      <c r="XH373" s="92"/>
      <c r="XI373" s="92"/>
      <c r="XJ373" s="89"/>
      <c r="XK373" s="87"/>
      <c r="XL373" s="87"/>
      <c r="XM373" s="87"/>
      <c r="XN373" s="87"/>
      <c r="XO373" s="87"/>
      <c r="XP373" s="87"/>
      <c r="XQ373" s="87"/>
      <c r="XR373" s="92">
        <f t="shared" ca="1" si="2059"/>
        <v>0</v>
      </c>
      <c r="XS373" s="89"/>
      <c r="XT373" s="87"/>
      <c r="XU373" s="87"/>
      <c r="XV373" s="87"/>
      <c r="XW373" s="87"/>
      <c r="XX373" s="87"/>
      <c r="XY373" s="87"/>
      <c r="XZ373" s="87"/>
      <c r="YA373" s="92">
        <f t="shared" ca="1" si="2060"/>
        <v>0</v>
      </c>
      <c r="YB373" s="90"/>
      <c r="YC373" s="90"/>
      <c r="YD373" s="90"/>
      <c r="YE373" s="90"/>
      <c r="YF373" s="90"/>
      <c r="YG373" s="90"/>
      <c r="YH373" s="90"/>
      <c r="YI373" s="90"/>
      <c r="YJ373" s="90"/>
      <c r="YK373" s="90"/>
      <c r="YL373" s="90"/>
      <c r="YM373" s="90"/>
      <c r="YN373" s="90"/>
      <c r="YO373" s="90"/>
      <c r="YP373" s="90"/>
      <c r="YQ373" s="90"/>
      <c r="YR373" s="90"/>
      <c r="YS373" s="90"/>
      <c r="YT373" s="90"/>
      <c r="YU373" s="90"/>
      <c r="YV373" s="90"/>
      <c r="YW373" s="90"/>
      <c r="YX373" s="90"/>
      <c r="YY373" s="90"/>
      <c r="YZ373" s="90"/>
      <c r="ZA373" s="90"/>
      <c r="ZB373" s="90"/>
      <c r="ZC373" s="90"/>
      <c r="ZD373" s="90"/>
      <c r="ZE373" s="90"/>
      <c r="ZF373" s="90"/>
      <c r="ZG373" s="90"/>
      <c r="ZH373" s="90"/>
      <c r="ZI373" s="90"/>
      <c r="ZJ373" s="90"/>
      <c r="ZK373" s="90"/>
      <c r="ZL373" s="90"/>
      <c r="ZM373" s="90"/>
      <c r="ZN373" s="90"/>
      <c r="ZO373" s="90"/>
      <c r="ZP373" s="90"/>
      <c r="ZQ373" s="90"/>
      <c r="ZR373" s="90"/>
      <c r="ZS373" s="90"/>
      <c r="ZT373" s="90"/>
      <c r="ZU373" s="90"/>
      <c r="ZV373" s="90"/>
      <c r="ZW373" s="90"/>
      <c r="ZX373" s="90"/>
      <c r="ZY373" s="90"/>
      <c r="ZZ373" s="90"/>
      <c r="AAA373" s="90"/>
      <c r="AAB373" s="90"/>
      <c r="AAC373" s="90"/>
      <c r="AAD373" s="90"/>
      <c r="AAE373" s="90"/>
      <c r="AAF373" s="90"/>
      <c r="AAG373" s="90"/>
      <c r="AAH373" s="90"/>
      <c r="AAI373" s="90"/>
      <c r="AAJ373" s="90"/>
      <c r="AAK373" s="90"/>
      <c r="AAL373" s="90"/>
      <c r="AAM373" s="90"/>
      <c r="AAN373" s="90"/>
      <c r="AAO373" s="90"/>
      <c r="AAP373" s="90"/>
      <c r="AAQ373" s="90"/>
      <c r="AAR373" s="90"/>
      <c r="AAS373" s="90"/>
      <c r="AAT373" s="90"/>
      <c r="AAU373" s="90"/>
      <c r="AAV373" s="90"/>
      <c r="AAW373" s="90"/>
      <c r="AAX373" s="90"/>
      <c r="AAY373" s="90"/>
      <c r="AAZ373" s="90"/>
      <c r="ABA373" s="90"/>
      <c r="ABB373" s="90"/>
      <c r="ABC373" s="90"/>
      <c r="ABD373" s="90"/>
      <c r="ABE373" s="90"/>
      <c r="ABF373" s="90"/>
      <c r="ABG373" s="90"/>
      <c r="ABH373" s="90"/>
      <c r="ABI373" s="90"/>
      <c r="ABJ373" s="90"/>
      <c r="ABK373" s="90"/>
      <c r="ABL373" s="90"/>
      <c r="ABM373" s="90"/>
      <c r="ABN373" s="90"/>
      <c r="ABO373" s="90"/>
      <c r="ABP373" s="90"/>
      <c r="ABQ373" s="90"/>
      <c r="ABR373" s="90"/>
      <c r="ABS373" s="90"/>
      <c r="ABT373" s="90"/>
      <c r="ABU373" s="90"/>
      <c r="ABV373" s="90"/>
      <c r="ABW373" s="90"/>
      <c r="ABX373" s="90"/>
      <c r="ABY373" s="90"/>
      <c r="ABZ373" s="90"/>
      <c r="ACA373" s="90"/>
      <c r="ACB373" s="90"/>
      <c r="ACC373" s="90"/>
      <c r="ACD373" s="90"/>
      <c r="ACE373" s="90"/>
      <c r="ACF373" s="90"/>
      <c r="ACG373" s="90"/>
      <c r="ACH373" s="90"/>
      <c r="ACI373" s="90"/>
      <c r="ACJ373" s="90"/>
      <c r="ACK373" s="90"/>
      <c r="ACL373" s="90"/>
      <c r="ACM373" s="90"/>
      <c r="ACN373" s="90"/>
      <c r="ACO373" s="90"/>
      <c r="ACP373" s="90"/>
      <c r="ACQ373" s="90"/>
      <c r="ACR373" s="90"/>
      <c r="ACS373" s="90"/>
      <c r="ACT373" s="90"/>
      <c r="ACU373" s="90"/>
      <c r="ACV373" s="90"/>
      <c r="ACW373" s="90"/>
      <c r="ACX373" s="90"/>
      <c r="ACY373" s="90"/>
      <c r="ACZ373" s="90"/>
      <c r="ADA373" s="90"/>
      <c r="ADB373" s="90"/>
      <c r="ADC373" s="90"/>
      <c r="ADD373" s="90"/>
      <c r="ADE373" s="90"/>
      <c r="ADF373" s="90"/>
      <c r="ADG373" s="90"/>
      <c r="ADH373" s="90"/>
      <c r="ADI373" s="90"/>
      <c r="ADJ373" s="90"/>
      <c r="ADK373" s="90"/>
      <c r="ADL373" s="90"/>
      <c r="ADM373" s="90"/>
      <c r="ADN373" s="90"/>
      <c r="ADO373" s="90"/>
      <c r="ADP373" s="90"/>
      <c r="ADQ373" s="90"/>
      <c r="ADR373" s="90"/>
      <c r="ADS373" s="90"/>
      <c r="ADT373" s="90"/>
      <c r="ADU373" s="90"/>
      <c r="ADV373" s="90"/>
      <c r="ADW373" s="90"/>
      <c r="ADX373" s="90"/>
      <c r="ADY373" s="90"/>
      <c r="ADZ373" s="90"/>
      <c r="AEA373" s="90"/>
      <c r="AEB373" s="90"/>
      <c r="AEC373" s="90"/>
      <c r="AED373" s="90"/>
      <c r="AEE373" s="90"/>
      <c r="AEF373" s="90"/>
      <c r="AEG373" s="90"/>
      <c r="AEH373" s="90"/>
      <c r="AEI373" s="90"/>
      <c r="AEJ373" s="90"/>
      <c r="AEK373" s="90"/>
      <c r="AEL373" s="90"/>
      <c r="AEM373" s="90"/>
      <c r="AEN373" s="90"/>
      <c r="AEO373" s="90"/>
      <c r="AEP373" s="90"/>
      <c r="AEQ373" s="90"/>
      <c r="AER373" s="90"/>
      <c r="AES373" s="90"/>
      <c r="AET373" s="90"/>
      <c r="AEU373" s="90"/>
      <c r="AEV373" s="90"/>
      <c r="AEW373" s="90"/>
      <c r="AEX373" s="90"/>
      <c r="AEY373" s="90"/>
      <c r="AEZ373" s="90"/>
      <c r="AFA373" s="90"/>
      <c r="AFB373" s="90"/>
      <c r="AFC373" s="90"/>
      <c r="AFD373" s="90"/>
      <c r="AFE373" s="90"/>
      <c r="AFF373" s="90"/>
      <c r="AFG373" s="90"/>
      <c r="AFH373" s="90"/>
      <c r="AFI373" s="90"/>
      <c r="AFJ373" s="90"/>
      <c r="AFK373" s="90"/>
      <c r="AFL373" s="90"/>
      <c r="AFM373" s="90"/>
      <c r="AFN373" s="90"/>
      <c r="AFO373" s="90"/>
      <c r="AFP373" s="90"/>
      <c r="AFQ373" s="90"/>
      <c r="AFR373" s="90"/>
      <c r="AFS373" s="90"/>
      <c r="AFT373" s="90"/>
      <c r="AFU373" s="90"/>
      <c r="AFV373" s="90"/>
      <c r="AFW373" s="90"/>
      <c r="AFX373" s="90"/>
      <c r="AFY373" s="90"/>
      <c r="AFZ373" s="90"/>
      <c r="AGA373" s="90"/>
      <c r="AGB373" s="90"/>
      <c r="AGC373" s="90"/>
      <c r="AGD373" s="90"/>
      <c r="AGE373" s="90"/>
      <c r="AGF373" s="90"/>
      <c r="AGG373" s="90"/>
      <c r="AGH373" s="90"/>
      <c r="AGI373" s="90"/>
      <c r="AGJ373" s="90"/>
      <c r="AGK373" s="90"/>
      <c r="AGL373" s="90"/>
      <c r="AGM373" s="90"/>
      <c r="AGN373" s="90"/>
      <c r="AGO373" s="90"/>
      <c r="AGP373" s="90"/>
      <c r="AGQ373" s="90"/>
      <c r="AGR373" s="90"/>
      <c r="AGS373" s="90"/>
      <c r="AGT373" s="90"/>
      <c r="AGU373" s="90"/>
      <c r="AGV373" s="90"/>
      <c r="AGW373" s="90"/>
      <c r="AGX373" s="90"/>
      <c r="AGY373" s="90"/>
      <c r="AGZ373" s="90"/>
      <c r="AHA373" s="90"/>
      <c r="AHB373" s="90"/>
      <c r="AHC373" s="90"/>
      <c r="AHD373" s="90"/>
      <c r="AHE373" s="90"/>
      <c r="AHF373" s="90"/>
      <c r="AHG373" s="90"/>
      <c r="AHH373" s="90"/>
      <c r="AHI373" s="90"/>
      <c r="AHJ373" s="90"/>
      <c r="AHK373" s="90"/>
      <c r="AHL373" s="90"/>
      <c r="AHM373" s="90"/>
      <c r="AHN373" s="90"/>
      <c r="AHO373" s="90"/>
      <c r="AHP373" s="90"/>
      <c r="AHQ373" s="90"/>
      <c r="AHR373" s="90"/>
      <c r="AHS373" s="90"/>
      <c r="AHT373" s="90"/>
      <c r="AHU373" s="90"/>
      <c r="AHV373" s="90"/>
      <c r="AHW373" s="90"/>
      <c r="AHX373" s="90"/>
      <c r="AHY373" s="90"/>
      <c r="AHZ373" s="90"/>
      <c r="AIA373" s="90"/>
      <c r="AIB373" s="90"/>
      <c r="AIC373" s="90"/>
      <c r="AID373" s="90"/>
      <c r="AIE373" s="90"/>
      <c r="AIF373" s="90"/>
      <c r="AIG373" s="90"/>
      <c r="AIH373" s="90"/>
      <c r="AII373" s="90"/>
      <c r="AIJ373" s="90"/>
      <c r="AIK373" s="90"/>
      <c r="AIL373" s="90"/>
      <c r="AIM373" s="90"/>
      <c r="AIN373" s="90"/>
      <c r="AIO373" s="90"/>
      <c r="AIP373" s="90"/>
      <c r="AIQ373" s="90"/>
      <c r="AIR373" s="90"/>
      <c r="AIS373" s="90"/>
      <c r="AIT373" s="90"/>
      <c r="AIU373" s="90"/>
      <c r="AIV373" s="90"/>
      <c r="AIW373" s="90"/>
      <c r="AIX373" s="90"/>
      <c r="AIY373" s="90"/>
      <c r="AIZ373" s="90"/>
      <c r="AJA373" s="90"/>
      <c r="AJB373" s="90"/>
      <c r="AJC373" s="90"/>
      <c r="AJD373" s="90"/>
      <c r="AJE373" s="90"/>
      <c r="AJF373" s="90"/>
      <c r="AJG373" s="90"/>
      <c r="AJH373" s="90"/>
      <c r="AJI373" s="90"/>
      <c r="AJJ373" s="90"/>
      <c r="AJK373" s="90"/>
      <c r="AJL373" s="90"/>
      <c r="AJM373" s="90"/>
      <c r="AJN373" s="90"/>
      <c r="AJO373" s="90"/>
      <c r="AJP373" s="90"/>
      <c r="AJQ373" s="90"/>
      <c r="AJR373" s="90"/>
      <c r="AJS373" s="90"/>
      <c r="AJT373" s="90"/>
      <c r="AJU373" s="90"/>
      <c r="AJV373" s="90"/>
      <c r="AJW373" s="90"/>
      <c r="AJX373" s="90"/>
      <c r="AJY373" s="90"/>
      <c r="AJZ373" s="90"/>
      <c r="AKA373" s="90"/>
      <c r="AKB373" s="90"/>
      <c r="AKC373" s="90"/>
      <c r="AKD373" s="90"/>
      <c r="AKE373" s="90"/>
      <c r="AKF373" s="90"/>
      <c r="AKG373" s="90"/>
      <c r="AKH373" s="90"/>
      <c r="AKI373" s="90"/>
      <c r="AKJ373" s="90"/>
      <c r="AKK373" s="90"/>
      <c r="AKL373" s="90"/>
      <c r="AKM373" s="90"/>
      <c r="AKN373" s="90"/>
      <c r="AKO373" s="90"/>
      <c r="AKP373" s="90"/>
      <c r="AKQ373" s="90"/>
      <c r="AKR373" s="90"/>
      <c r="AKS373" s="90"/>
      <c r="AKT373" s="90"/>
      <c r="AKU373" s="90"/>
      <c r="AKV373" s="90"/>
      <c r="AKW373" s="90"/>
      <c r="AKX373" s="90"/>
      <c r="AKY373" s="90"/>
      <c r="AKZ373" s="90"/>
      <c r="ALA373" s="90"/>
      <c r="ALB373" s="90"/>
      <c r="ALC373" s="90"/>
      <c r="ALD373" s="90"/>
      <c r="ALE373" s="90"/>
      <c r="ALF373" s="90"/>
      <c r="ALG373" s="90"/>
      <c r="ALH373" s="90"/>
      <c r="ALI373" s="90"/>
      <c r="ALJ373" s="90"/>
      <c r="ALK373" s="90"/>
      <c r="ALL373" s="90"/>
      <c r="ALM373" s="90"/>
      <c r="ALN373" s="90"/>
      <c r="ALO373" s="90"/>
      <c r="ALP373" s="90"/>
      <c r="ALQ373" s="90"/>
      <c r="ALR373" s="90"/>
      <c r="ALS373" s="90"/>
      <c r="ALT373" s="90"/>
      <c r="ALU373" s="90"/>
      <c r="ALV373" s="90"/>
      <c r="ALW373" s="90"/>
      <c r="ALX373" s="90"/>
      <c r="ALY373" s="90"/>
      <c r="ALZ373" s="90"/>
      <c r="AMA373" s="90"/>
      <c r="AMB373" s="90"/>
      <c r="AMC373" s="90"/>
    </row>
    <row r="374" spans="1:1017">
      <c r="A374" s="98" t="s">
        <v>54</v>
      </c>
      <c r="B374" s="90" t="str">
        <f t="shared" si="1966"/>
        <v xml:space="preserve">Nila </v>
      </c>
      <c r="I374" s="98">
        <v>10800</v>
      </c>
      <c r="J374" s="98">
        <v>302400</v>
      </c>
      <c r="Q374" s="91">
        <f t="shared" si="1967"/>
        <v>10800</v>
      </c>
      <c r="R374" s="91">
        <f t="shared" si="1968"/>
        <v>302400</v>
      </c>
      <c r="U374" s="98">
        <v>9570</v>
      </c>
      <c r="V374" s="98">
        <v>191400</v>
      </c>
      <c r="Y374" s="98">
        <v>12915</v>
      </c>
      <c r="Z374" s="98">
        <v>258300</v>
      </c>
      <c r="AA374" s="98">
        <v>2730</v>
      </c>
      <c r="AB374" s="98">
        <v>54600</v>
      </c>
      <c r="AC374" s="98">
        <v>2190</v>
      </c>
      <c r="AD374" s="98">
        <v>43800</v>
      </c>
      <c r="AE374" s="98">
        <v>1255</v>
      </c>
      <c r="AF374" s="98">
        <v>25100</v>
      </c>
      <c r="AG374" s="91">
        <f t="shared" si="1969"/>
        <v>28660</v>
      </c>
      <c r="AH374" s="91">
        <f t="shared" si="1970"/>
        <v>573200</v>
      </c>
      <c r="AO374" s="98">
        <v>67200</v>
      </c>
      <c r="AP374" s="98">
        <v>1612800</v>
      </c>
      <c r="AQ374" s="98">
        <v>130</v>
      </c>
      <c r="AR374" s="98">
        <v>3120</v>
      </c>
      <c r="AU374" s="98">
        <v>2085</v>
      </c>
      <c r="AV374" s="98">
        <v>50040</v>
      </c>
      <c r="AW374" s="91">
        <f t="shared" si="1971"/>
        <v>69415</v>
      </c>
      <c r="AX374" s="91">
        <f t="shared" si="1972"/>
        <v>1665960</v>
      </c>
      <c r="BE374" s="98">
        <v>84335</v>
      </c>
      <c r="BF374" s="98">
        <v>2108375</v>
      </c>
      <c r="BG374" s="98">
        <v>721</v>
      </c>
      <c r="BH374" s="98">
        <v>18025</v>
      </c>
      <c r="BK374" s="98">
        <v>829</v>
      </c>
      <c r="BL374" s="98">
        <v>20725</v>
      </c>
      <c r="BM374" s="91">
        <f t="shared" si="1973"/>
        <v>85885</v>
      </c>
      <c r="BN374" s="91">
        <f t="shared" si="1974"/>
        <v>2147125</v>
      </c>
      <c r="BU374" s="98">
        <v>5680</v>
      </c>
      <c r="BV374" s="98">
        <v>153360</v>
      </c>
      <c r="CC374" s="91">
        <f t="shared" si="1975"/>
        <v>5680</v>
      </c>
      <c r="CD374" s="91">
        <f t="shared" si="1976"/>
        <v>153360</v>
      </c>
      <c r="CG374" s="98">
        <v>85480.168479859785</v>
      </c>
      <c r="CH374" s="98">
        <v>1538640.101</v>
      </c>
      <c r="CK374" s="98">
        <v>234459.89068761538</v>
      </c>
      <c r="CL374" s="98">
        <v>4220280.0640000002</v>
      </c>
      <c r="CS374" s="91">
        <f t="shared" si="1977"/>
        <v>319940.05916747515</v>
      </c>
      <c r="CT374" s="91">
        <f t="shared" si="1978"/>
        <v>5758920.165</v>
      </c>
      <c r="DA374" s="98">
        <v>69100</v>
      </c>
      <c r="DB374" s="98">
        <v>1727500</v>
      </c>
      <c r="DC374" s="98">
        <v>345</v>
      </c>
      <c r="DD374" s="98">
        <v>8625</v>
      </c>
      <c r="DI374" s="91">
        <f t="shared" si="1979"/>
        <v>69445</v>
      </c>
      <c r="DJ374" s="91">
        <f t="shared" si="1980"/>
        <v>1736125</v>
      </c>
      <c r="DQ374" s="98">
        <v>16500</v>
      </c>
      <c r="DR374" s="98">
        <v>396000</v>
      </c>
      <c r="DY374" s="91">
        <f t="shared" si="1981"/>
        <v>16500</v>
      </c>
      <c r="DZ374" s="91">
        <f t="shared" si="1982"/>
        <v>396000</v>
      </c>
      <c r="EG374" s="98">
        <v>359500</v>
      </c>
      <c r="EH374" s="98">
        <v>7549500</v>
      </c>
      <c r="EO374" s="91">
        <f t="shared" si="1983"/>
        <v>359500</v>
      </c>
      <c r="EP374" s="91">
        <f t="shared" si="1984"/>
        <v>7549500</v>
      </c>
      <c r="ES374" s="98">
        <v>12064</v>
      </c>
      <c r="ET374" s="98">
        <v>241280</v>
      </c>
      <c r="EW374" s="98">
        <v>24146</v>
      </c>
      <c r="EX374" s="98">
        <v>482920</v>
      </c>
      <c r="FC374" s="98">
        <v>159</v>
      </c>
      <c r="FD374" s="98">
        <v>3180</v>
      </c>
      <c r="FE374" s="91">
        <f t="shared" si="1985"/>
        <v>36369</v>
      </c>
      <c r="FF374" s="91">
        <f t="shared" si="1986"/>
        <v>727380</v>
      </c>
      <c r="FM374" s="98">
        <v>62733</v>
      </c>
      <c r="FN374" s="98">
        <v>1568325</v>
      </c>
      <c r="FS374" s="98">
        <v>72000</v>
      </c>
      <c r="FT374" s="98">
        <v>2016000</v>
      </c>
      <c r="FU374" s="91">
        <f t="shared" si="1987"/>
        <v>134733</v>
      </c>
      <c r="FV374" s="91">
        <f t="shared" si="1988"/>
        <v>3584325</v>
      </c>
      <c r="GC374" s="98">
        <v>41000</v>
      </c>
      <c r="GD374" s="98">
        <v>1107000</v>
      </c>
      <c r="GK374" s="91">
        <f t="shared" si="1989"/>
        <v>41000</v>
      </c>
      <c r="GL374" s="91">
        <f t="shared" si="1990"/>
        <v>1107000</v>
      </c>
      <c r="GS374" s="98">
        <v>10000</v>
      </c>
      <c r="GT374" s="98">
        <v>280000</v>
      </c>
      <c r="GY374" s="98">
        <v>80</v>
      </c>
      <c r="GZ374" s="98">
        <v>2240</v>
      </c>
      <c r="HA374" s="91">
        <f t="shared" si="1991"/>
        <v>10080</v>
      </c>
      <c r="HB374" s="91">
        <f t="shared" si="1992"/>
        <v>282240</v>
      </c>
      <c r="HI374" s="98">
        <v>76000</v>
      </c>
      <c r="HJ374" s="98">
        <v>1748000</v>
      </c>
      <c r="HO374" s="98">
        <v>150000</v>
      </c>
      <c r="HP374" s="98">
        <v>3450000</v>
      </c>
      <c r="HQ374" s="91">
        <f t="shared" si="1993"/>
        <v>226000</v>
      </c>
      <c r="HR374" s="91">
        <f t="shared" si="1994"/>
        <v>5198000</v>
      </c>
      <c r="HY374" s="98">
        <v>7000</v>
      </c>
      <c r="HZ374" s="98">
        <v>196000</v>
      </c>
      <c r="IG374" s="91">
        <f t="shared" si="1995"/>
        <v>7000</v>
      </c>
      <c r="IH374" s="91">
        <f t="shared" si="1996"/>
        <v>196000</v>
      </c>
      <c r="IO374" s="98">
        <v>9500</v>
      </c>
      <c r="IP374" s="98">
        <v>247000</v>
      </c>
      <c r="IW374" s="91">
        <f t="shared" si="1997"/>
        <v>9500</v>
      </c>
      <c r="IX374" s="91">
        <f t="shared" si="1998"/>
        <v>247000</v>
      </c>
      <c r="JE374" s="98">
        <v>7600</v>
      </c>
      <c r="JF374" s="98">
        <v>167200</v>
      </c>
      <c r="JK374" s="98">
        <v>2180</v>
      </c>
      <c r="JL374" s="98">
        <v>47960</v>
      </c>
      <c r="JM374" s="91">
        <f t="shared" si="1999"/>
        <v>9780</v>
      </c>
      <c r="JN374" s="91">
        <f t="shared" si="2000"/>
        <v>215160</v>
      </c>
      <c r="JU374" s="98">
        <v>10959</v>
      </c>
      <c r="JV374" s="98">
        <v>383565</v>
      </c>
      <c r="KC374" s="91">
        <f t="shared" si="2001"/>
        <v>10959</v>
      </c>
      <c r="KD374" s="91">
        <f t="shared" si="2002"/>
        <v>383565</v>
      </c>
      <c r="KK374" s="98">
        <v>255</v>
      </c>
      <c r="KL374" s="98">
        <v>6375</v>
      </c>
      <c r="KS374" s="91">
        <f t="shared" si="2003"/>
        <v>255</v>
      </c>
      <c r="KT374" s="91">
        <f t="shared" si="2004"/>
        <v>6375</v>
      </c>
      <c r="KW374" s="98">
        <v>9529.91</v>
      </c>
      <c r="KX374" s="98">
        <v>152478</v>
      </c>
      <c r="LA374" s="98">
        <v>12879.55</v>
      </c>
      <c r="LB374" s="98">
        <v>244711</v>
      </c>
      <c r="LG374" s="98">
        <v>13892.84</v>
      </c>
      <c r="LH374" s="98">
        <v>361213</v>
      </c>
      <c r="LI374" s="91">
        <f t="shared" si="2005"/>
        <v>36302.300000000003</v>
      </c>
      <c r="LJ374" s="91">
        <f t="shared" si="2006"/>
        <v>758402</v>
      </c>
      <c r="LQ374" s="98">
        <v>3980</v>
      </c>
      <c r="LR374" s="98">
        <v>99500</v>
      </c>
      <c r="LW374" s="98">
        <v>1085</v>
      </c>
      <c r="LX374" s="98">
        <v>30380</v>
      </c>
      <c r="LY374" s="91">
        <f t="shared" si="2007"/>
        <v>5065</v>
      </c>
      <c r="LZ374" s="91">
        <f t="shared" si="2008"/>
        <v>129880</v>
      </c>
      <c r="MC374" s="98">
        <v>3250</v>
      </c>
      <c r="MD374" s="98">
        <v>58500</v>
      </c>
      <c r="MG374" s="98">
        <v>970</v>
      </c>
      <c r="MH374" s="98">
        <v>17460</v>
      </c>
      <c r="MM374" s="98">
        <v>1690</v>
      </c>
      <c r="MN374" s="98">
        <v>30420</v>
      </c>
      <c r="MO374" s="91">
        <f t="shared" si="2009"/>
        <v>5910</v>
      </c>
      <c r="MP374" s="91">
        <f t="shared" si="2010"/>
        <v>106380</v>
      </c>
      <c r="MW374" s="98">
        <v>50</v>
      </c>
      <c r="MX374" s="98">
        <f>MW374*30</f>
        <v>1500</v>
      </c>
      <c r="NE374" s="91">
        <f t="shared" si="2011"/>
        <v>50</v>
      </c>
      <c r="NF374" s="91">
        <f t="shared" si="2012"/>
        <v>1500</v>
      </c>
      <c r="NI374" s="98">
        <v>949700</v>
      </c>
      <c r="NJ374" s="98">
        <v>17094600</v>
      </c>
      <c r="NM374" s="98">
        <v>26000</v>
      </c>
      <c r="NN374" s="98">
        <v>468000</v>
      </c>
      <c r="NQ374" s="98">
        <v>2600</v>
      </c>
      <c r="NR374" s="98">
        <v>46800</v>
      </c>
      <c r="NU374" s="91">
        <f t="shared" si="2013"/>
        <v>978300</v>
      </c>
      <c r="NV374" s="91">
        <f t="shared" si="2014"/>
        <v>17609400</v>
      </c>
      <c r="OK374" s="91">
        <f t="shared" si="2015"/>
        <v>0</v>
      </c>
      <c r="OL374" s="91">
        <f t="shared" si="2016"/>
        <v>0</v>
      </c>
      <c r="OO374" s="98">
        <v>4175</v>
      </c>
      <c r="OP374" s="98">
        <v>146125</v>
      </c>
      <c r="PA374" s="91">
        <f t="shared" si="2017"/>
        <v>4175</v>
      </c>
      <c r="PB374" s="91">
        <f t="shared" si="2018"/>
        <v>146125</v>
      </c>
      <c r="PI374" s="98">
        <v>12954</v>
      </c>
      <c r="PJ374" s="98">
        <v>259080</v>
      </c>
      <c r="PQ374" s="91">
        <f t="shared" si="2019"/>
        <v>12954</v>
      </c>
      <c r="PR374" s="91">
        <f t="shared" si="2020"/>
        <v>259080</v>
      </c>
      <c r="PU374" s="98">
        <v>100010</v>
      </c>
      <c r="PV374" s="98">
        <v>1800180</v>
      </c>
      <c r="PY374" s="98">
        <v>134300</v>
      </c>
      <c r="PZ374" s="98">
        <v>2417400</v>
      </c>
      <c r="QA374" s="98">
        <v>102050</v>
      </c>
      <c r="QB374" s="98">
        <v>1836900</v>
      </c>
      <c r="QC374" s="98">
        <v>115010</v>
      </c>
      <c r="QD374" s="98">
        <v>2070180</v>
      </c>
      <c r="QG374" s="91">
        <f t="shared" si="2021"/>
        <v>451370</v>
      </c>
      <c r="QH374" s="91">
        <f t="shared" si="2022"/>
        <v>8124660</v>
      </c>
      <c r="QO374" s="98">
        <v>9500</v>
      </c>
      <c r="QP374" s="98">
        <v>171000</v>
      </c>
      <c r="QW374" s="91">
        <f t="shared" si="2023"/>
        <v>9500</v>
      </c>
      <c r="QX374" s="91">
        <f t="shared" si="2024"/>
        <v>171000</v>
      </c>
      <c r="RE374" s="98">
        <v>2970</v>
      </c>
      <c r="RF374" s="98">
        <f>RE374*27</f>
        <v>80190</v>
      </c>
      <c r="RM374" s="91">
        <f t="shared" si="2025"/>
        <v>2970</v>
      </c>
      <c r="RN374" s="91">
        <f t="shared" si="2026"/>
        <v>80190</v>
      </c>
      <c r="RU374" s="98">
        <v>4960</v>
      </c>
      <c r="RV374" s="98">
        <v>114080</v>
      </c>
      <c r="SC374" s="91">
        <f t="shared" si="2027"/>
        <v>4960</v>
      </c>
      <c r="SD374" s="91">
        <f t="shared" si="2028"/>
        <v>114080</v>
      </c>
      <c r="SS374" s="91">
        <f t="shared" si="2029"/>
        <v>0</v>
      </c>
      <c r="ST374" s="91">
        <f t="shared" si="2030"/>
        <v>0</v>
      </c>
      <c r="TA374" s="98">
        <v>2430</v>
      </c>
      <c r="TB374" s="98">
        <v>65610</v>
      </c>
      <c r="TI374" s="91">
        <f t="shared" si="2031"/>
        <v>2430</v>
      </c>
      <c r="TJ374" s="91">
        <f t="shared" si="2032"/>
        <v>65610</v>
      </c>
      <c r="TQ374" s="98">
        <v>1800</v>
      </c>
      <c r="TR374" s="98">
        <v>45000</v>
      </c>
      <c r="TU374" s="98">
        <v>1000</v>
      </c>
      <c r="TV374" s="98">
        <v>30000</v>
      </c>
      <c r="TY374" s="91">
        <f t="shared" si="2033"/>
        <v>2800</v>
      </c>
      <c r="TZ374" s="91">
        <f t="shared" si="2034"/>
        <v>75000</v>
      </c>
      <c r="UG374" s="98">
        <v>458</v>
      </c>
      <c r="UH374" s="98">
        <v>10534</v>
      </c>
      <c r="UO374" s="91">
        <f t="shared" si="2035"/>
        <v>458</v>
      </c>
      <c r="UP374" s="91">
        <f t="shared" si="2036"/>
        <v>10534</v>
      </c>
      <c r="US374" s="98">
        <v>130</v>
      </c>
      <c r="UT374" s="98">
        <v>2600</v>
      </c>
      <c r="VE374" s="91">
        <f t="shared" si="2037"/>
        <v>130</v>
      </c>
      <c r="VF374" s="91">
        <f t="shared" si="2038"/>
        <v>2600</v>
      </c>
      <c r="VI374" s="98">
        <v>410</v>
      </c>
      <c r="VJ374" s="98">
        <v>10250</v>
      </c>
      <c r="VM374" s="98">
        <v>530</v>
      </c>
      <c r="VN374" s="98">
        <v>14310</v>
      </c>
      <c r="VU374" s="91">
        <f t="shared" si="2039"/>
        <v>940</v>
      </c>
      <c r="VV374" s="91">
        <f t="shared" si="2040"/>
        <v>24560</v>
      </c>
      <c r="VY374" s="98">
        <v>35670</v>
      </c>
      <c r="VZ374" s="98">
        <v>998760</v>
      </c>
      <c r="WC374" s="98">
        <v>135700</v>
      </c>
      <c r="WD374" s="98">
        <v>3799600</v>
      </c>
      <c r="WK374" s="91">
        <f t="shared" si="2041"/>
        <v>171370</v>
      </c>
      <c r="WL374" s="91">
        <f t="shared" si="2042"/>
        <v>4798360</v>
      </c>
      <c r="WM374" s="89"/>
      <c r="WN374" s="87">
        <f t="shared" si="2043"/>
        <v>0</v>
      </c>
      <c r="WO374" s="87">
        <f t="shared" si="2044"/>
        <v>0</v>
      </c>
      <c r="WP374" s="87">
        <f t="shared" si="2045"/>
        <v>1209989.0784798597</v>
      </c>
      <c r="WQ374" s="87">
        <f t="shared" si="2046"/>
        <v>22234813.101</v>
      </c>
      <c r="WR374" s="87">
        <f t="shared" si="2047"/>
        <v>0</v>
      </c>
      <c r="WS374" s="87">
        <f t="shared" si="2048"/>
        <v>0</v>
      </c>
      <c r="WT374" s="87">
        <f t="shared" si="2049"/>
        <v>1459164.4406876154</v>
      </c>
      <c r="WU374" s="87">
        <f t="shared" si="2050"/>
        <v>32322875.063999999</v>
      </c>
      <c r="WV374" s="87">
        <f t="shared" si="2051"/>
        <v>105976</v>
      </c>
      <c r="WW374" s="87">
        <f t="shared" si="2052"/>
        <v>1921270</v>
      </c>
      <c r="WX374" s="87">
        <f t="shared" si="2053"/>
        <v>120800</v>
      </c>
      <c r="WY374" s="87">
        <f t="shared" si="2054"/>
        <v>2190780</v>
      </c>
      <c r="WZ374" s="87">
        <f t="shared" si="2055"/>
        <v>245255.84</v>
      </c>
      <c r="XA374" s="87">
        <f t="shared" si="2056"/>
        <v>6037258</v>
      </c>
      <c r="XB374" s="92">
        <f t="shared" si="2057"/>
        <v>3141185.3591674753</v>
      </c>
      <c r="XC374" s="92">
        <f t="shared" si="2058"/>
        <v>64706996.164999999</v>
      </c>
      <c r="XD374" s="89"/>
      <c r="XE374" s="92"/>
      <c r="XF374" s="92"/>
      <c r="XG374" s="89"/>
      <c r="XH374" s="92"/>
      <c r="XI374" s="92"/>
      <c r="XJ374" s="89"/>
      <c r="XK374" s="87"/>
      <c r="XL374" s="87"/>
      <c r="XM374" s="87"/>
      <c r="XN374" s="87"/>
      <c r="XO374" s="87"/>
      <c r="XP374" s="87"/>
      <c r="XQ374" s="87"/>
      <c r="XR374" s="92">
        <f t="shared" ca="1" si="2059"/>
        <v>0</v>
      </c>
      <c r="XS374" s="89"/>
      <c r="XT374" s="87"/>
      <c r="XU374" s="87"/>
      <c r="XV374" s="87"/>
      <c r="XW374" s="87"/>
      <c r="XX374" s="87"/>
      <c r="XY374" s="87"/>
      <c r="XZ374" s="87"/>
      <c r="YA374" s="92">
        <f t="shared" ca="1" si="2060"/>
        <v>0</v>
      </c>
      <c r="YB374" s="90"/>
      <c r="YC374" s="90"/>
      <c r="YD374" s="90"/>
      <c r="YE374" s="90"/>
      <c r="YF374" s="90"/>
      <c r="YG374" s="90"/>
      <c r="YH374" s="90"/>
      <c r="YI374" s="90"/>
      <c r="YJ374" s="90"/>
      <c r="YK374" s="90"/>
      <c r="YL374" s="90"/>
      <c r="YM374" s="90"/>
      <c r="YN374" s="90"/>
      <c r="YO374" s="90"/>
      <c r="YP374" s="90"/>
      <c r="YQ374" s="90"/>
      <c r="YR374" s="90"/>
      <c r="YS374" s="90"/>
      <c r="YT374" s="90"/>
      <c r="YU374" s="90"/>
      <c r="YV374" s="90"/>
      <c r="YW374" s="90"/>
      <c r="YX374" s="90"/>
      <c r="YY374" s="90"/>
      <c r="YZ374" s="90"/>
      <c r="ZA374" s="90"/>
      <c r="ZB374" s="90"/>
      <c r="ZC374" s="90"/>
      <c r="ZD374" s="90"/>
      <c r="ZE374" s="90"/>
      <c r="ZF374" s="90"/>
      <c r="ZG374" s="90"/>
      <c r="ZH374" s="90"/>
      <c r="ZI374" s="90"/>
      <c r="ZJ374" s="90"/>
      <c r="ZK374" s="90"/>
      <c r="ZL374" s="90"/>
      <c r="ZM374" s="90"/>
      <c r="ZN374" s="90"/>
      <c r="ZO374" s="90"/>
      <c r="ZP374" s="90"/>
      <c r="ZQ374" s="90"/>
      <c r="ZR374" s="90"/>
      <c r="ZS374" s="90"/>
      <c r="ZT374" s="90"/>
      <c r="ZU374" s="90"/>
      <c r="ZV374" s="90"/>
      <c r="ZW374" s="90"/>
      <c r="ZX374" s="90"/>
      <c r="ZY374" s="90"/>
      <c r="ZZ374" s="90"/>
      <c r="AAA374" s="90"/>
      <c r="AAB374" s="90"/>
      <c r="AAC374" s="90"/>
      <c r="AAD374" s="90"/>
      <c r="AAE374" s="90"/>
      <c r="AAF374" s="90"/>
      <c r="AAG374" s="90"/>
      <c r="AAH374" s="90"/>
      <c r="AAI374" s="90"/>
      <c r="AAJ374" s="90"/>
      <c r="AAK374" s="90"/>
      <c r="AAL374" s="90"/>
      <c r="AAM374" s="90"/>
      <c r="AAN374" s="90"/>
      <c r="AAO374" s="90"/>
      <c r="AAP374" s="90"/>
      <c r="AAQ374" s="90"/>
      <c r="AAR374" s="90"/>
      <c r="AAS374" s="90"/>
      <c r="AAT374" s="90"/>
      <c r="AAU374" s="90"/>
      <c r="AAV374" s="90"/>
      <c r="AAW374" s="90"/>
      <c r="AAX374" s="90"/>
      <c r="AAY374" s="90"/>
      <c r="AAZ374" s="90"/>
      <c r="ABA374" s="90"/>
      <c r="ABB374" s="90"/>
      <c r="ABC374" s="90"/>
      <c r="ABD374" s="90"/>
      <c r="ABE374" s="90"/>
      <c r="ABF374" s="90"/>
      <c r="ABG374" s="90"/>
      <c r="ABH374" s="90"/>
      <c r="ABI374" s="90"/>
      <c r="ABJ374" s="90"/>
      <c r="ABK374" s="90"/>
      <c r="ABL374" s="90"/>
      <c r="ABM374" s="90"/>
      <c r="ABN374" s="90"/>
      <c r="ABO374" s="90"/>
      <c r="ABP374" s="90"/>
      <c r="ABQ374" s="90"/>
      <c r="ABR374" s="90"/>
      <c r="ABS374" s="90"/>
      <c r="ABT374" s="90"/>
      <c r="ABU374" s="90"/>
      <c r="ABV374" s="90"/>
      <c r="ABW374" s="90"/>
      <c r="ABX374" s="90"/>
      <c r="ABY374" s="90"/>
      <c r="ABZ374" s="90"/>
      <c r="ACA374" s="90"/>
      <c r="ACB374" s="90"/>
      <c r="ACC374" s="90"/>
      <c r="ACD374" s="90"/>
      <c r="ACE374" s="90"/>
      <c r="ACF374" s="90"/>
      <c r="ACG374" s="90"/>
      <c r="ACH374" s="90"/>
      <c r="ACI374" s="90"/>
      <c r="ACJ374" s="90"/>
      <c r="ACK374" s="90"/>
      <c r="ACL374" s="90"/>
      <c r="ACM374" s="90"/>
      <c r="ACN374" s="90"/>
      <c r="ACO374" s="90"/>
      <c r="ACP374" s="90"/>
      <c r="ACQ374" s="90"/>
      <c r="ACR374" s="90"/>
      <c r="ACS374" s="90"/>
      <c r="ACT374" s="90"/>
      <c r="ACU374" s="90"/>
      <c r="ACV374" s="90"/>
      <c r="ACW374" s="90"/>
      <c r="ACX374" s="90"/>
      <c r="ACY374" s="90"/>
      <c r="ACZ374" s="90"/>
      <c r="ADA374" s="90"/>
      <c r="ADB374" s="90"/>
      <c r="ADC374" s="90"/>
      <c r="ADD374" s="90"/>
      <c r="ADE374" s="90"/>
      <c r="ADF374" s="90"/>
      <c r="ADG374" s="90"/>
      <c r="ADH374" s="90"/>
      <c r="ADI374" s="90"/>
      <c r="ADJ374" s="90"/>
      <c r="ADK374" s="90"/>
      <c r="ADL374" s="90"/>
      <c r="ADM374" s="90"/>
      <c r="ADN374" s="90"/>
      <c r="ADO374" s="90"/>
      <c r="ADP374" s="90"/>
      <c r="ADQ374" s="90"/>
      <c r="ADR374" s="90"/>
      <c r="ADS374" s="90"/>
      <c r="ADT374" s="90"/>
      <c r="ADU374" s="90"/>
      <c r="ADV374" s="90"/>
      <c r="ADW374" s="90"/>
      <c r="ADX374" s="90"/>
      <c r="ADY374" s="90"/>
      <c r="ADZ374" s="90"/>
      <c r="AEA374" s="90"/>
      <c r="AEB374" s="90"/>
      <c r="AEC374" s="90"/>
      <c r="AED374" s="90"/>
      <c r="AEE374" s="90"/>
      <c r="AEF374" s="90"/>
      <c r="AEG374" s="90"/>
      <c r="AEH374" s="90"/>
      <c r="AEI374" s="90"/>
      <c r="AEJ374" s="90"/>
      <c r="AEK374" s="90"/>
      <c r="AEL374" s="90"/>
      <c r="AEM374" s="90"/>
      <c r="AEN374" s="90"/>
      <c r="AEO374" s="90"/>
      <c r="AEP374" s="90"/>
      <c r="AEQ374" s="90"/>
      <c r="AER374" s="90"/>
      <c r="AES374" s="90"/>
      <c r="AET374" s="90"/>
      <c r="AEU374" s="90"/>
      <c r="AEV374" s="90"/>
      <c r="AEW374" s="90"/>
      <c r="AEX374" s="90"/>
      <c r="AEY374" s="90"/>
      <c r="AEZ374" s="90"/>
      <c r="AFA374" s="90"/>
      <c r="AFB374" s="90"/>
      <c r="AFC374" s="90"/>
      <c r="AFD374" s="90"/>
      <c r="AFE374" s="90"/>
      <c r="AFF374" s="90"/>
      <c r="AFG374" s="90"/>
      <c r="AFH374" s="90"/>
      <c r="AFI374" s="90"/>
      <c r="AFJ374" s="90"/>
      <c r="AFK374" s="90"/>
      <c r="AFL374" s="90"/>
      <c r="AFM374" s="90"/>
      <c r="AFN374" s="90"/>
      <c r="AFO374" s="90"/>
      <c r="AFP374" s="90"/>
      <c r="AFQ374" s="90"/>
      <c r="AFR374" s="90"/>
      <c r="AFS374" s="90"/>
      <c r="AFT374" s="90"/>
      <c r="AFU374" s="90"/>
      <c r="AFV374" s="90"/>
      <c r="AFW374" s="90"/>
      <c r="AFX374" s="90"/>
      <c r="AFY374" s="90"/>
      <c r="AFZ374" s="90"/>
      <c r="AGA374" s="90"/>
      <c r="AGB374" s="90"/>
      <c r="AGC374" s="90"/>
      <c r="AGD374" s="90"/>
      <c r="AGE374" s="90"/>
      <c r="AGF374" s="90"/>
      <c r="AGG374" s="90"/>
      <c r="AGH374" s="90"/>
      <c r="AGI374" s="90"/>
      <c r="AGJ374" s="90"/>
      <c r="AGK374" s="90"/>
      <c r="AGL374" s="90"/>
      <c r="AGM374" s="90"/>
      <c r="AGN374" s="90"/>
      <c r="AGO374" s="90"/>
      <c r="AGP374" s="90"/>
      <c r="AGQ374" s="90"/>
      <c r="AGR374" s="90"/>
      <c r="AGS374" s="90"/>
      <c r="AGT374" s="90"/>
      <c r="AGU374" s="90"/>
      <c r="AGV374" s="90"/>
      <c r="AGW374" s="90"/>
      <c r="AGX374" s="90"/>
      <c r="AGY374" s="90"/>
      <c r="AGZ374" s="90"/>
      <c r="AHA374" s="90"/>
      <c r="AHB374" s="90"/>
      <c r="AHC374" s="90"/>
      <c r="AHD374" s="90"/>
      <c r="AHE374" s="90"/>
      <c r="AHF374" s="90"/>
      <c r="AHG374" s="90"/>
      <c r="AHH374" s="90"/>
      <c r="AHI374" s="90"/>
      <c r="AHJ374" s="90"/>
      <c r="AHK374" s="90"/>
      <c r="AHL374" s="90"/>
      <c r="AHM374" s="90"/>
      <c r="AHN374" s="90"/>
      <c r="AHO374" s="90"/>
      <c r="AHP374" s="90"/>
      <c r="AHQ374" s="90"/>
      <c r="AHR374" s="90"/>
      <c r="AHS374" s="90"/>
      <c r="AHT374" s="90"/>
      <c r="AHU374" s="90"/>
      <c r="AHV374" s="90"/>
      <c r="AHW374" s="90"/>
      <c r="AHX374" s="90"/>
      <c r="AHY374" s="90"/>
      <c r="AHZ374" s="90"/>
      <c r="AIA374" s="90"/>
      <c r="AIB374" s="90"/>
      <c r="AIC374" s="90"/>
      <c r="AID374" s="90"/>
      <c r="AIE374" s="90"/>
      <c r="AIF374" s="90"/>
      <c r="AIG374" s="90"/>
      <c r="AIH374" s="90"/>
      <c r="AII374" s="90"/>
      <c r="AIJ374" s="90"/>
      <c r="AIK374" s="90"/>
      <c r="AIL374" s="90"/>
      <c r="AIM374" s="90"/>
      <c r="AIN374" s="90"/>
      <c r="AIO374" s="90"/>
      <c r="AIP374" s="90"/>
      <c r="AIQ374" s="90"/>
      <c r="AIR374" s="90"/>
      <c r="AIS374" s="90"/>
      <c r="AIT374" s="90"/>
      <c r="AIU374" s="90"/>
      <c r="AIV374" s="90"/>
      <c r="AIW374" s="90"/>
      <c r="AIX374" s="90"/>
      <c r="AIY374" s="90"/>
      <c r="AIZ374" s="90"/>
      <c r="AJA374" s="90"/>
      <c r="AJB374" s="90"/>
      <c r="AJC374" s="90"/>
      <c r="AJD374" s="90"/>
      <c r="AJE374" s="90"/>
      <c r="AJF374" s="90"/>
      <c r="AJG374" s="90"/>
      <c r="AJH374" s="90"/>
      <c r="AJI374" s="90"/>
      <c r="AJJ374" s="90"/>
      <c r="AJK374" s="90"/>
      <c r="AJL374" s="90"/>
      <c r="AJM374" s="90"/>
      <c r="AJN374" s="90"/>
      <c r="AJO374" s="90"/>
      <c r="AJP374" s="90"/>
      <c r="AJQ374" s="90"/>
      <c r="AJR374" s="90"/>
      <c r="AJS374" s="90"/>
      <c r="AJT374" s="90"/>
      <c r="AJU374" s="90"/>
      <c r="AJV374" s="90"/>
      <c r="AJW374" s="90"/>
      <c r="AJX374" s="90"/>
      <c r="AJY374" s="90"/>
      <c r="AJZ374" s="90"/>
      <c r="AKA374" s="90"/>
      <c r="AKB374" s="90"/>
      <c r="AKC374" s="90"/>
      <c r="AKD374" s="90"/>
      <c r="AKE374" s="90"/>
      <c r="AKF374" s="90"/>
      <c r="AKG374" s="90"/>
      <c r="AKH374" s="90"/>
      <c r="AKI374" s="90"/>
      <c r="AKJ374" s="90"/>
      <c r="AKK374" s="90"/>
      <c r="AKL374" s="90"/>
      <c r="AKM374" s="90"/>
      <c r="AKN374" s="90"/>
      <c r="AKO374" s="90"/>
      <c r="AKP374" s="90"/>
      <c r="AKQ374" s="90"/>
      <c r="AKR374" s="90"/>
      <c r="AKS374" s="90"/>
      <c r="AKT374" s="90"/>
      <c r="AKU374" s="90"/>
      <c r="AKV374" s="90"/>
      <c r="AKW374" s="90"/>
      <c r="AKX374" s="90"/>
      <c r="AKY374" s="90"/>
      <c r="AKZ374" s="90"/>
      <c r="ALA374" s="90"/>
      <c r="ALB374" s="90"/>
      <c r="ALC374" s="90"/>
      <c r="ALD374" s="90"/>
      <c r="ALE374" s="90"/>
      <c r="ALF374" s="90"/>
      <c r="ALG374" s="90"/>
      <c r="ALH374" s="90"/>
      <c r="ALI374" s="90"/>
      <c r="ALJ374" s="90"/>
      <c r="ALK374" s="90"/>
      <c r="ALL374" s="90"/>
      <c r="ALM374" s="90"/>
      <c r="ALN374" s="90"/>
      <c r="ALO374" s="90"/>
      <c r="ALP374" s="90"/>
      <c r="ALQ374" s="90"/>
      <c r="ALR374" s="90"/>
      <c r="ALS374" s="90"/>
      <c r="ALT374" s="90"/>
      <c r="ALU374" s="90"/>
      <c r="ALV374" s="90"/>
      <c r="ALW374" s="90"/>
      <c r="ALX374" s="90"/>
      <c r="ALY374" s="90"/>
      <c r="ALZ374" s="90"/>
      <c r="AMA374" s="90"/>
      <c r="AMB374" s="90"/>
      <c r="AMC374" s="90"/>
    </row>
    <row r="375" spans="1:1017">
      <c r="A375" s="98" t="s">
        <v>54</v>
      </c>
      <c r="B375" s="90" t="str">
        <f t="shared" si="1966"/>
        <v xml:space="preserve">Patin </v>
      </c>
      <c r="Q375" s="91">
        <f t="shared" si="1967"/>
        <v>0</v>
      </c>
      <c r="R375" s="91">
        <f t="shared" si="1968"/>
        <v>0</v>
      </c>
      <c r="Y375" s="98">
        <v>243815</v>
      </c>
      <c r="Z375" s="98">
        <v>4876300</v>
      </c>
      <c r="AG375" s="91">
        <f t="shared" si="1969"/>
        <v>243815</v>
      </c>
      <c r="AH375" s="91">
        <f t="shared" si="1970"/>
        <v>4876300</v>
      </c>
      <c r="AO375" s="98">
        <v>12600</v>
      </c>
      <c r="AP375" s="98">
        <v>214200</v>
      </c>
      <c r="AW375" s="91">
        <f t="shared" si="1971"/>
        <v>12600</v>
      </c>
      <c r="AX375" s="91">
        <f t="shared" si="1972"/>
        <v>214200</v>
      </c>
      <c r="BE375" s="98">
        <v>22652</v>
      </c>
      <c r="BF375" s="98">
        <v>407736</v>
      </c>
      <c r="BK375" s="98">
        <v>644</v>
      </c>
      <c r="BL375" s="98">
        <v>11592</v>
      </c>
      <c r="BM375" s="91">
        <f t="shared" si="1973"/>
        <v>23296</v>
      </c>
      <c r="BN375" s="91">
        <f t="shared" si="1974"/>
        <v>419328</v>
      </c>
      <c r="BU375" s="98">
        <v>25</v>
      </c>
      <c r="BV375" s="98">
        <v>675</v>
      </c>
      <c r="CC375" s="91">
        <f t="shared" si="1975"/>
        <v>25</v>
      </c>
      <c r="CD375" s="91">
        <f t="shared" si="1976"/>
        <v>675</v>
      </c>
      <c r="CK375" s="98">
        <v>1049.458011230475</v>
      </c>
      <c r="CL375" s="98">
        <v>18882.056</v>
      </c>
      <c r="CS375" s="91">
        <f t="shared" si="1977"/>
        <v>1049.458011230475</v>
      </c>
      <c r="CT375" s="91">
        <f t="shared" si="1978"/>
        <v>18882.056</v>
      </c>
      <c r="DI375" s="91">
        <f t="shared" si="1979"/>
        <v>0</v>
      </c>
      <c r="DJ375" s="91">
        <f t="shared" si="1980"/>
        <v>0</v>
      </c>
      <c r="DQ375" s="98">
        <v>165700</v>
      </c>
      <c r="DR375" s="98">
        <v>3811100</v>
      </c>
      <c r="DY375" s="91">
        <f t="shared" si="1981"/>
        <v>165700</v>
      </c>
      <c r="DZ375" s="91">
        <f t="shared" si="1982"/>
        <v>3811100</v>
      </c>
      <c r="EG375" s="98">
        <v>110100</v>
      </c>
      <c r="EH375" s="98">
        <v>1651500</v>
      </c>
      <c r="EO375" s="91">
        <f t="shared" si="1983"/>
        <v>110100</v>
      </c>
      <c r="EP375" s="91">
        <f t="shared" si="1984"/>
        <v>1651500</v>
      </c>
      <c r="EW375" s="98">
        <v>505</v>
      </c>
      <c r="EX375" s="98">
        <v>12120</v>
      </c>
      <c r="FE375" s="91">
        <f t="shared" si="1985"/>
        <v>505</v>
      </c>
      <c r="FF375" s="91">
        <f t="shared" si="1986"/>
        <v>12120</v>
      </c>
      <c r="FM375" s="98">
        <v>802</v>
      </c>
      <c r="FN375" s="98">
        <v>16040</v>
      </c>
      <c r="FU375" s="91">
        <f t="shared" si="1987"/>
        <v>802</v>
      </c>
      <c r="FV375" s="91">
        <f t="shared" si="1988"/>
        <v>16040</v>
      </c>
      <c r="GC375" s="98">
        <v>35500</v>
      </c>
      <c r="GD375" s="98">
        <v>674500</v>
      </c>
      <c r="GK375" s="91">
        <f t="shared" si="1989"/>
        <v>35500</v>
      </c>
      <c r="GL375" s="91">
        <f t="shared" si="1990"/>
        <v>674500</v>
      </c>
      <c r="GS375" s="98">
        <v>1800</v>
      </c>
      <c r="GT375" s="98">
        <v>31500</v>
      </c>
      <c r="HA375" s="91">
        <f t="shared" si="1991"/>
        <v>1800</v>
      </c>
      <c r="HB375" s="91">
        <f t="shared" si="1992"/>
        <v>31500</v>
      </c>
      <c r="HQ375" s="91">
        <f t="shared" si="1993"/>
        <v>0</v>
      </c>
      <c r="HR375" s="91">
        <f t="shared" si="1994"/>
        <v>0</v>
      </c>
      <c r="HY375" s="98">
        <v>1200</v>
      </c>
      <c r="HZ375" s="98">
        <v>26400</v>
      </c>
      <c r="IG375" s="91">
        <f t="shared" si="1995"/>
        <v>1200</v>
      </c>
      <c r="IH375" s="91">
        <f t="shared" si="1996"/>
        <v>26400</v>
      </c>
      <c r="IO375" s="98">
        <v>7200</v>
      </c>
      <c r="IP375" s="98">
        <v>115200</v>
      </c>
      <c r="IW375" s="91">
        <f t="shared" si="1997"/>
        <v>7200</v>
      </c>
      <c r="IX375" s="91">
        <f t="shared" si="1998"/>
        <v>115200</v>
      </c>
      <c r="JE375" s="98">
        <v>15228</v>
      </c>
      <c r="JF375" s="98">
        <v>266490</v>
      </c>
      <c r="JK375" s="98">
        <v>4060</v>
      </c>
      <c r="JL375" s="98">
        <v>69020</v>
      </c>
      <c r="JM375" s="91">
        <f t="shared" si="1999"/>
        <v>19288</v>
      </c>
      <c r="JN375" s="91">
        <f t="shared" si="2000"/>
        <v>335510</v>
      </c>
      <c r="KC375" s="91">
        <f t="shared" si="2001"/>
        <v>0</v>
      </c>
      <c r="KD375" s="91">
        <f t="shared" si="2002"/>
        <v>0</v>
      </c>
      <c r="KS375" s="91">
        <f t="shared" si="2003"/>
        <v>0</v>
      </c>
      <c r="KT375" s="91">
        <f t="shared" si="2004"/>
        <v>0</v>
      </c>
      <c r="LI375" s="91">
        <f t="shared" si="2005"/>
        <v>0</v>
      </c>
      <c r="LJ375" s="91">
        <f t="shared" si="2006"/>
        <v>0</v>
      </c>
      <c r="LQ375" s="98">
        <v>1404</v>
      </c>
      <c r="LR375" s="98">
        <v>29484</v>
      </c>
      <c r="LY375" s="91">
        <f t="shared" si="2007"/>
        <v>1404</v>
      </c>
      <c r="LZ375" s="91">
        <f t="shared" si="2008"/>
        <v>29484</v>
      </c>
      <c r="MO375" s="91">
        <f t="shared" si="2009"/>
        <v>0</v>
      </c>
      <c r="MP375" s="91">
        <f t="shared" si="2010"/>
        <v>0</v>
      </c>
      <c r="NE375" s="91">
        <f t="shared" si="2011"/>
        <v>0</v>
      </c>
      <c r="NF375" s="91">
        <f t="shared" si="2012"/>
        <v>0</v>
      </c>
      <c r="NM375" s="98">
        <v>27500</v>
      </c>
      <c r="NN375" s="98">
        <v>495000</v>
      </c>
      <c r="NQ375" s="98">
        <v>18900</v>
      </c>
      <c r="NR375" s="98">
        <v>340200</v>
      </c>
      <c r="NU375" s="91">
        <f t="shared" si="2013"/>
        <v>46400</v>
      </c>
      <c r="NV375" s="91">
        <f t="shared" si="2014"/>
        <v>835200</v>
      </c>
      <c r="OK375" s="91">
        <f t="shared" si="2015"/>
        <v>0</v>
      </c>
      <c r="OL375" s="91">
        <f t="shared" si="2016"/>
        <v>0</v>
      </c>
      <c r="PA375" s="91">
        <f t="shared" si="2017"/>
        <v>0</v>
      </c>
      <c r="PB375" s="91">
        <f t="shared" si="2018"/>
        <v>0</v>
      </c>
      <c r="PI375" s="98">
        <v>50183</v>
      </c>
      <c r="PJ375" s="98">
        <v>928386</v>
      </c>
      <c r="PQ375" s="91">
        <f t="shared" si="2019"/>
        <v>50183</v>
      </c>
      <c r="PR375" s="91">
        <f t="shared" si="2020"/>
        <v>928386</v>
      </c>
      <c r="PY375" s="98">
        <v>3090</v>
      </c>
      <c r="PZ375" s="98">
        <v>52530</v>
      </c>
      <c r="QC375" s="98">
        <v>2040</v>
      </c>
      <c r="QD375" s="98">
        <v>34680</v>
      </c>
      <c r="QG375" s="91">
        <f t="shared" si="2021"/>
        <v>5130</v>
      </c>
      <c r="QH375" s="91">
        <f t="shared" si="2022"/>
        <v>87210</v>
      </c>
      <c r="QO375" s="98">
        <v>1710000</v>
      </c>
      <c r="QP375" s="98">
        <v>35910000</v>
      </c>
      <c r="QW375" s="91">
        <f t="shared" si="2023"/>
        <v>1710000</v>
      </c>
      <c r="QX375" s="91">
        <f t="shared" si="2024"/>
        <v>35910000</v>
      </c>
      <c r="RM375" s="91">
        <f t="shared" si="2025"/>
        <v>0</v>
      </c>
      <c r="RN375" s="91">
        <f t="shared" si="2026"/>
        <v>0</v>
      </c>
      <c r="RU375" s="98">
        <v>870</v>
      </c>
      <c r="RV375" s="98">
        <v>13920</v>
      </c>
      <c r="SC375" s="91">
        <f t="shared" si="2027"/>
        <v>870</v>
      </c>
      <c r="SD375" s="91">
        <f t="shared" si="2028"/>
        <v>13920</v>
      </c>
      <c r="SS375" s="91">
        <f t="shared" si="2029"/>
        <v>0</v>
      </c>
      <c r="ST375" s="91">
        <f t="shared" si="2030"/>
        <v>0</v>
      </c>
      <c r="TI375" s="91">
        <f t="shared" si="2031"/>
        <v>0</v>
      </c>
      <c r="TJ375" s="91">
        <f t="shared" si="2032"/>
        <v>0</v>
      </c>
      <c r="TY375" s="91">
        <f t="shared" si="2033"/>
        <v>0</v>
      </c>
      <c r="TZ375" s="91">
        <f t="shared" si="2034"/>
        <v>0</v>
      </c>
      <c r="UG375" s="98">
        <v>235</v>
      </c>
      <c r="UH375" s="98">
        <v>4700</v>
      </c>
      <c r="UO375" s="91">
        <f t="shared" si="2035"/>
        <v>235</v>
      </c>
      <c r="UP375" s="91">
        <f t="shared" si="2036"/>
        <v>4700</v>
      </c>
      <c r="VE375" s="91">
        <f t="shared" si="2037"/>
        <v>0</v>
      </c>
      <c r="VF375" s="91">
        <f t="shared" si="2038"/>
        <v>0</v>
      </c>
      <c r="VU375" s="91">
        <f t="shared" si="2039"/>
        <v>0</v>
      </c>
      <c r="VV375" s="91">
        <f t="shared" si="2040"/>
        <v>0</v>
      </c>
      <c r="WC375" s="98">
        <v>280</v>
      </c>
      <c r="WD375" s="98">
        <v>7000</v>
      </c>
      <c r="WK375" s="91">
        <f t="shared" si="2041"/>
        <v>280</v>
      </c>
      <c r="WL375" s="91">
        <f t="shared" si="2042"/>
        <v>7000</v>
      </c>
      <c r="WM375" s="89"/>
      <c r="WN375" s="87">
        <f t="shared" si="2043"/>
        <v>0</v>
      </c>
      <c r="WO375" s="87">
        <f t="shared" si="2044"/>
        <v>0</v>
      </c>
      <c r="WP375" s="87">
        <f t="shared" si="2045"/>
        <v>0</v>
      </c>
      <c r="WQ375" s="87">
        <f t="shared" si="2046"/>
        <v>0</v>
      </c>
      <c r="WR375" s="87">
        <f t="shared" si="2047"/>
        <v>0</v>
      </c>
      <c r="WS375" s="87">
        <f t="shared" si="2048"/>
        <v>0</v>
      </c>
      <c r="WT375" s="87">
        <f t="shared" si="2049"/>
        <v>2411738.4580112305</v>
      </c>
      <c r="WU375" s="87">
        <f t="shared" si="2050"/>
        <v>49563663.056000002</v>
      </c>
      <c r="WV375" s="87">
        <f t="shared" si="2051"/>
        <v>0</v>
      </c>
      <c r="WW375" s="87">
        <f t="shared" si="2052"/>
        <v>0</v>
      </c>
      <c r="WX375" s="87">
        <f t="shared" si="2053"/>
        <v>20940</v>
      </c>
      <c r="WY375" s="87">
        <f t="shared" si="2054"/>
        <v>374880</v>
      </c>
      <c r="WZ375" s="87">
        <f t="shared" si="2055"/>
        <v>4704</v>
      </c>
      <c r="XA375" s="87">
        <f t="shared" si="2056"/>
        <v>80612</v>
      </c>
      <c r="XB375" s="92">
        <f t="shared" si="2057"/>
        <v>2437382.4580112305</v>
      </c>
      <c r="XC375" s="92">
        <f t="shared" si="2058"/>
        <v>50019155.056000002</v>
      </c>
      <c r="XD375" s="89"/>
      <c r="XE375" s="92"/>
      <c r="XF375" s="92"/>
      <c r="XG375" s="89"/>
      <c r="XH375" s="92"/>
      <c r="XI375" s="92"/>
      <c r="XJ375" s="89"/>
      <c r="XK375" s="87"/>
      <c r="XL375" s="87"/>
      <c r="XM375" s="87"/>
      <c r="XN375" s="87"/>
      <c r="XO375" s="87"/>
      <c r="XP375" s="87"/>
      <c r="XQ375" s="87"/>
      <c r="XR375" s="92">
        <f t="shared" ca="1" si="2059"/>
        <v>0</v>
      </c>
      <c r="XS375" s="89"/>
      <c r="XT375" s="87"/>
      <c r="XU375" s="87"/>
      <c r="XV375" s="87"/>
      <c r="XW375" s="87"/>
      <c r="XX375" s="87"/>
      <c r="XY375" s="87"/>
      <c r="XZ375" s="87"/>
      <c r="YA375" s="92">
        <f t="shared" ca="1" si="2060"/>
        <v>0</v>
      </c>
      <c r="YB375" s="90"/>
      <c r="YC375" s="90"/>
      <c r="YD375" s="90"/>
      <c r="YE375" s="90"/>
      <c r="YF375" s="90"/>
      <c r="YG375" s="90"/>
      <c r="YH375" s="90"/>
      <c r="YI375" s="90"/>
      <c r="YJ375" s="90"/>
      <c r="YK375" s="90"/>
      <c r="YL375" s="90"/>
      <c r="YM375" s="90"/>
      <c r="YN375" s="90"/>
      <c r="YO375" s="90"/>
      <c r="YP375" s="90"/>
      <c r="YQ375" s="90"/>
      <c r="YR375" s="90"/>
      <c r="YS375" s="90"/>
      <c r="YT375" s="90"/>
      <c r="YU375" s="90"/>
      <c r="YV375" s="90"/>
      <c r="YW375" s="90"/>
      <c r="YX375" s="90"/>
      <c r="YY375" s="90"/>
      <c r="YZ375" s="90"/>
      <c r="ZA375" s="90"/>
      <c r="ZB375" s="90"/>
      <c r="ZC375" s="90"/>
      <c r="ZD375" s="90"/>
      <c r="ZE375" s="90"/>
      <c r="ZF375" s="90"/>
      <c r="ZG375" s="90"/>
      <c r="ZH375" s="90"/>
      <c r="ZI375" s="90"/>
      <c r="ZJ375" s="90"/>
      <c r="ZK375" s="90"/>
      <c r="ZL375" s="90"/>
      <c r="ZM375" s="90"/>
      <c r="ZN375" s="90"/>
      <c r="ZO375" s="90"/>
      <c r="ZP375" s="90"/>
      <c r="ZQ375" s="90"/>
      <c r="ZR375" s="90"/>
      <c r="ZS375" s="90"/>
      <c r="ZT375" s="90"/>
      <c r="ZU375" s="90"/>
      <c r="ZV375" s="90"/>
      <c r="ZW375" s="90"/>
      <c r="ZX375" s="90"/>
      <c r="ZY375" s="90"/>
      <c r="ZZ375" s="90"/>
      <c r="AAA375" s="90"/>
      <c r="AAB375" s="90"/>
      <c r="AAC375" s="90"/>
      <c r="AAD375" s="90"/>
      <c r="AAE375" s="90"/>
      <c r="AAF375" s="90"/>
      <c r="AAG375" s="90"/>
      <c r="AAH375" s="90"/>
      <c r="AAI375" s="90"/>
      <c r="AAJ375" s="90"/>
      <c r="AAK375" s="90"/>
      <c r="AAL375" s="90"/>
      <c r="AAM375" s="90"/>
      <c r="AAN375" s="90"/>
      <c r="AAO375" s="90"/>
      <c r="AAP375" s="90"/>
      <c r="AAQ375" s="90"/>
      <c r="AAR375" s="90"/>
      <c r="AAS375" s="90"/>
      <c r="AAT375" s="90"/>
      <c r="AAU375" s="90"/>
      <c r="AAV375" s="90"/>
      <c r="AAW375" s="90"/>
      <c r="AAX375" s="90"/>
      <c r="AAY375" s="90"/>
      <c r="AAZ375" s="90"/>
      <c r="ABA375" s="90"/>
      <c r="ABB375" s="90"/>
      <c r="ABC375" s="90"/>
      <c r="ABD375" s="90"/>
      <c r="ABE375" s="90"/>
      <c r="ABF375" s="90"/>
      <c r="ABG375" s="90"/>
      <c r="ABH375" s="90"/>
      <c r="ABI375" s="90"/>
      <c r="ABJ375" s="90"/>
      <c r="ABK375" s="90"/>
      <c r="ABL375" s="90"/>
      <c r="ABM375" s="90"/>
      <c r="ABN375" s="90"/>
      <c r="ABO375" s="90"/>
      <c r="ABP375" s="90"/>
      <c r="ABQ375" s="90"/>
      <c r="ABR375" s="90"/>
      <c r="ABS375" s="90"/>
      <c r="ABT375" s="90"/>
      <c r="ABU375" s="90"/>
      <c r="ABV375" s="90"/>
      <c r="ABW375" s="90"/>
      <c r="ABX375" s="90"/>
      <c r="ABY375" s="90"/>
      <c r="ABZ375" s="90"/>
      <c r="ACA375" s="90"/>
      <c r="ACB375" s="90"/>
      <c r="ACC375" s="90"/>
      <c r="ACD375" s="90"/>
      <c r="ACE375" s="90"/>
      <c r="ACF375" s="90"/>
      <c r="ACG375" s="90"/>
      <c r="ACH375" s="90"/>
      <c r="ACI375" s="90"/>
      <c r="ACJ375" s="90"/>
      <c r="ACK375" s="90"/>
      <c r="ACL375" s="90"/>
      <c r="ACM375" s="90"/>
      <c r="ACN375" s="90"/>
      <c r="ACO375" s="90"/>
      <c r="ACP375" s="90"/>
      <c r="ACQ375" s="90"/>
      <c r="ACR375" s="90"/>
      <c r="ACS375" s="90"/>
      <c r="ACT375" s="90"/>
      <c r="ACU375" s="90"/>
      <c r="ACV375" s="90"/>
      <c r="ACW375" s="90"/>
      <c r="ACX375" s="90"/>
      <c r="ACY375" s="90"/>
      <c r="ACZ375" s="90"/>
      <c r="ADA375" s="90"/>
      <c r="ADB375" s="90"/>
      <c r="ADC375" s="90"/>
      <c r="ADD375" s="90"/>
      <c r="ADE375" s="90"/>
      <c r="ADF375" s="90"/>
      <c r="ADG375" s="90"/>
      <c r="ADH375" s="90"/>
      <c r="ADI375" s="90"/>
      <c r="ADJ375" s="90"/>
      <c r="ADK375" s="90"/>
      <c r="ADL375" s="90"/>
      <c r="ADM375" s="90"/>
      <c r="ADN375" s="90"/>
      <c r="ADO375" s="90"/>
      <c r="ADP375" s="90"/>
      <c r="ADQ375" s="90"/>
      <c r="ADR375" s="90"/>
      <c r="ADS375" s="90"/>
      <c r="ADT375" s="90"/>
      <c r="ADU375" s="90"/>
      <c r="ADV375" s="90"/>
      <c r="ADW375" s="90"/>
      <c r="ADX375" s="90"/>
      <c r="ADY375" s="90"/>
      <c r="ADZ375" s="90"/>
      <c r="AEA375" s="90"/>
      <c r="AEB375" s="90"/>
      <c r="AEC375" s="90"/>
      <c r="AED375" s="90"/>
      <c r="AEE375" s="90"/>
      <c r="AEF375" s="90"/>
      <c r="AEG375" s="90"/>
      <c r="AEH375" s="90"/>
      <c r="AEI375" s="90"/>
      <c r="AEJ375" s="90"/>
      <c r="AEK375" s="90"/>
      <c r="AEL375" s="90"/>
      <c r="AEM375" s="90"/>
      <c r="AEN375" s="90"/>
      <c r="AEO375" s="90"/>
      <c r="AEP375" s="90"/>
      <c r="AEQ375" s="90"/>
      <c r="AER375" s="90"/>
      <c r="AES375" s="90"/>
      <c r="AET375" s="90"/>
      <c r="AEU375" s="90"/>
      <c r="AEV375" s="90"/>
      <c r="AEW375" s="90"/>
      <c r="AEX375" s="90"/>
      <c r="AEY375" s="90"/>
      <c r="AEZ375" s="90"/>
      <c r="AFA375" s="90"/>
      <c r="AFB375" s="90"/>
      <c r="AFC375" s="90"/>
      <c r="AFD375" s="90"/>
      <c r="AFE375" s="90"/>
      <c r="AFF375" s="90"/>
      <c r="AFG375" s="90"/>
      <c r="AFH375" s="90"/>
      <c r="AFI375" s="90"/>
      <c r="AFJ375" s="90"/>
      <c r="AFK375" s="90"/>
      <c r="AFL375" s="90"/>
      <c r="AFM375" s="90"/>
      <c r="AFN375" s="90"/>
      <c r="AFO375" s="90"/>
      <c r="AFP375" s="90"/>
      <c r="AFQ375" s="90"/>
      <c r="AFR375" s="90"/>
      <c r="AFS375" s="90"/>
      <c r="AFT375" s="90"/>
      <c r="AFU375" s="90"/>
      <c r="AFV375" s="90"/>
      <c r="AFW375" s="90"/>
      <c r="AFX375" s="90"/>
      <c r="AFY375" s="90"/>
      <c r="AFZ375" s="90"/>
      <c r="AGA375" s="90"/>
      <c r="AGB375" s="90"/>
      <c r="AGC375" s="90"/>
      <c r="AGD375" s="90"/>
      <c r="AGE375" s="90"/>
      <c r="AGF375" s="90"/>
      <c r="AGG375" s="90"/>
      <c r="AGH375" s="90"/>
      <c r="AGI375" s="90"/>
      <c r="AGJ375" s="90"/>
      <c r="AGK375" s="90"/>
      <c r="AGL375" s="90"/>
      <c r="AGM375" s="90"/>
      <c r="AGN375" s="90"/>
      <c r="AGO375" s="90"/>
      <c r="AGP375" s="90"/>
      <c r="AGQ375" s="90"/>
      <c r="AGR375" s="90"/>
      <c r="AGS375" s="90"/>
      <c r="AGT375" s="90"/>
      <c r="AGU375" s="90"/>
      <c r="AGV375" s="90"/>
      <c r="AGW375" s="90"/>
      <c r="AGX375" s="90"/>
      <c r="AGY375" s="90"/>
      <c r="AGZ375" s="90"/>
      <c r="AHA375" s="90"/>
      <c r="AHB375" s="90"/>
      <c r="AHC375" s="90"/>
      <c r="AHD375" s="90"/>
      <c r="AHE375" s="90"/>
      <c r="AHF375" s="90"/>
      <c r="AHG375" s="90"/>
      <c r="AHH375" s="90"/>
      <c r="AHI375" s="90"/>
      <c r="AHJ375" s="90"/>
      <c r="AHK375" s="90"/>
      <c r="AHL375" s="90"/>
      <c r="AHM375" s="90"/>
      <c r="AHN375" s="90"/>
      <c r="AHO375" s="90"/>
      <c r="AHP375" s="90"/>
      <c r="AHQ375" s="90"/>
      <c r="AHR375" s="90"/>
      <c r="AHS375" s="90"/>
      <c r="AHT375" s="90"/>
      <c r="AHU375" s="90"/>
      <c r="AHV375" s="90"/>
      <c r="AHW375" s="90"/>
      <c r="AHX375" s="90"/>
      <c r="AHY375" s="90"/>
      <c r="AHZ375" s="90"/>
      <c r="AIA375" s="90"/>
      <c r="AIB375" s="90"/>
      <c r="AIC375" s="90"/>
      <c r="AID375" s="90"/>
      <c r="AIE375" s="90"/>
      <c r="AIF375" s="90"/>
      <c r="AIG375" s="90"/>
      <c r="AIH375" s="90"/>
      <c r="AII375" s="90"/>
      <c r="AIJ375" s="90"/>
      <c r="AIK375" s="90"/>
      <c r="AIL375" s="90"/>
      <c r="AIM375" s="90"/>
      <c r="AIN375" s="90"/>
      <c r="AIO375" s="90"/>
      <c r="AIP375" s="90"/>
      <c r="AIQ375" s="90"/>
      <c r="AIR375" s="90"/>
      <c r="AIS375" s="90"/>
      <c r="AIT375" s="90"/>
      <c r="AIU375" s="90"/>
      <c r="AIV375" s="90"/>
      <c r="AIW375" s="90"/>
      <c r="AIX375" s="90"/>
      <c r="AIY375" s="90"/>
      <c r="AIZ375" s="90"/>
      <c r="AJA375" s="90"/>
      <c r="AJB375" s="90"/>
      <c r="AJC375" s="90"/>
      <c r="AJD375" s="90"/>
      <c r="AJE375" s="90"/>
      <c r="AJF375" s="90"/>
      <c r="AJG375" s="90"/>
      <c r="AJH375" s="90"/>
      <c r="AJI375" s="90"/>
      <c r="AJJ375" s="90"/>
      <c r="AJK375" s="90"/>
      <c r="AJL375" s="90"/>
      <c r="AJM375" s="90"/>
      <c r="AJN375" s="90"/>
      <c r="AJO375" s="90"/>
      <c r="AJP375" s="90"/>
      <c r="AJQ375" s="90"/>
      <c r="AJR375" s="90"/>
      <c r="AJS375" s="90"/>
      <c r="AJT375" s="90"/>
      <c r="AJU375" s="90"/>
      <c r="AJV375" s="90"/>
      <c r="AJW375" s="90"/>
      <c r="AJX375" s="90"/>
      <c r="AJY375" s="90"/>
      <c r="AJZ375" s="90"/>
      <c r="AKA375" s="90"/>
      <c r="AKB375" s="90"/>
      <c r="AKC375" s="90"/>
      <c r="AKD375" s="90"/>
      <c r="AKE375" s="90"/>
      <c r="AKF375" s="90"/>
      <c r="AKG375" s="90"/>
      <c r="AKH375" s="90"/>
      <c r="AKI375" s="90"/>
      <c r="AKJ375" s="90"/>
      <c r="AKK375" s="90"/>
      <c r="AKL375" s="90"/>
      <c r="AKM375" s="90"/>
      <c r="AKN375" s="90"/>
      <c r="AKO375" s="90"/>
      <c r="AKP375" s="90"/>
      <c r="AKQ375" s="90"/>
      <c r="AKR375" s="90"/>
      <c r="AKS375" s="90"/>
      <c r="AKT375" s="90"/>
      <c r="AKU375" s="90"/>
      <c r="AKV375" s="90"/>
      <c r="AKW375" s="90"/>
      <c r="AKX375" s="90"/>
      <c r="AKY375" s="90"/>
      <c r="AKZ375" s="90"/>
      <c r="ALA375" s="90"/>
      <c r="ALB375" s="90"/>
      <c r="ALC375" s="90"/>
      <c r="ALD375" s="90"/>
      <c r="ALE375" s="90"/>
      <c r="ALF375" s="90"/>
      <c r="ALG375" s="90"/>
      <c r="ALH375" s="90"/>
      <c r="ALI375" s="90"/>
      <c r="ALJ375" s="90"/>
      <c r="ALK375" s="90"/>
      <c r="ALL375" s="90"/>
      <c r="ALM375" s="90"/>
      <c r="ALN375" s="90"/>
      <c r="ALO375" s="90"/>
      <c r="ALP375" s="90"/>
      <c r="ALQ375" s="90"/>
      <c r="ALR375" s="90"/>
      <c r="ALS375" s="90"/>
      <c r="ALT375" s="90"/>
      <c r="ALU375" s="90"/>
      <c r="ALV375" s="90"/>
      <c r="ALW375" s="90"/>
      <c r="ALX375" s="90"/>
      <c r="ALY375" s="90"/>
      <c r="ALZ375" s="90"/>
      <c r="AMA375" s="90"/>
      <c r="AMB375" s="90"/>
      <c r="AMC375" s="90"/>
    </row>
    <row r="376" spans="1:1017">
      <c r="A376" s="98" t="s">
        <v>54</v>
      </c>
      <c r="B376" s="90" t="str">
        <f t="shared" si="1966"/>
        <v xml:space="preserve">Rajungan </v>
      </c>
      <c r="Q376" s="91">
        <f t="shared" si="1967"/>
        <v>0</v>
      </c>
      <c r="R376" s="91">
        <f t="shared" si="1968"/>
        <v>0</v>
      </c>
      <c r="AG376" s="91">
        <f t="shared" si="1969"/>
        <v>0</v>
      </c>
      <c r="AH376" s="91">
        <f t="shared" si="1970"/>
        <v>0</v>
      </c>
      <c r="AW376" s="91">
        <f t="shared" si="1971"/>
        <v>0</v>
      </c>
      <c r="AX376" s="91">
        <f t="shared" si="1972"/>
        <v>0</v>
      </c>
      <c r="BM376" s="91">
        <f t="shared" si="1973"/>
        <v>0</v>
      </c>
      <c r="BN376" s="91">
        <f t="shared" si="1974"/>
        <v>0</v>
      </c>
      <c r="CC376" s="91">
        <f t="shared" si="1975"/>
        <v>0</v>
      </c>
      <c r="CD376" s="91">
        <f t="shared" si="1976"/>
        <v>0</v>
      </c>
      <c r="CS376" s="91">
        <f t="shared" si="1977"/>
        <v>0</v>
      </c>
      <c r="CT376" s="91">
        <f t="shared" si="1978"/>
        <v>0</v>
      </c>
      <c r="DI376" s="91">
        <f t="shared" si="1979"/>
        <v>0</v>
      </c>
      <c r="DJ376" s="91">
        <f t="shared" si="1980"/>
        <v>0</v>
      </c>
      <c r="DY376" s="91">
        <f t="shared" si="1981"/>
        <v>0</v>
      </c>
      <c r="DZ376" s="91">
        <f t="shared" si="1982"/>
        <v>0</v>
      </c>
      <c r="EO376" s="91">
        <f t="shared" si="1983"/>
        <v>0</v>
      </c>
      <c r="EP376" s="91">
        <f t="shared" si="1984"/>
        <v>0</v>
      </c>
      <c r="FE376" s="91">
        <f t="shared" si="1985"/>
        <v>0</v>
      </c>
      <c r="FF376" s="91">
        <f t="shared" si="1986"/>
        <v>0</v>
      </c>
      <c r="FU376" s="91">
        <f t="shared" si="1987"/>
        <v>0</v>
      </c>
      <c r="FV376" s="91">
        <f t="shared" si="1988"/>
        <v>0</v>
      </c>
      <c r="GK376" s="91">
        <f t="shared" si="1989"/>
        <v>0</v>
      </c>
      <c r="GL376" s="91">
        <f t="shared" si="1990"/>
        <v>0</v>
      </c>
      <c r="HA376" s="91">
        <f t="shared" si="1991"/>
        <v>0</v>
      </c>
      <c r="HB376" s="91">
        <f t="shared" si="1992"/>
        <v>0</v>
      </c>
      <c r="HQ376" s="91">
        <f t="shared" si="1993"/>
        <v>0</v>
      </c>
      <c r="HR376" s="91">
        <f t="shared" si="1994"/>
        <v>0</v>
      </c>
      <c r="IG376" s="91">
        <f t="shared" si="1995"/>
        <v>0</v>
      </c>
      <c r="IH376" s="91">
        <f t="shared" si="1996"/>
        <v>0</v>
      </c>
      <c r="IW376" s="91">
        <f t="shared" si="1997"/>
        <v>0</v>
      </c>
      <c r="IX376" s="91">
        <f t="shared" si="1998"/>
        <v>0</v>
      </c>
      <c r="JM376" s="91">
        <f t="shared" si="1999"/>
        <v>0</v>
      </c>
      <c r="JN376" s="91">
        <f t="shared" si="2000"/>
        <v>0</v>
      </c>
      <c r="KC376" s="91">
        <f t="shared" si="2001"/>
        <v>0</v>
      </c>
      <c r="KD376" s="91">
        <f t="shared" si="2002"/>
        <v>0</v>
      </c>
      <c r="KS376" s="91">
        <f t="shared" si="2003"/>
        <v>0</v>
      </c>
      <c r="KT376" s="91">
        <f t="shared" si="2004"/>
        <v>0</v>
      </c>
      <c r="LI376" s="91">
        <f t="shared" si="2005"/>
        <v>0</v>
      </c>
      <c r="LJ376" s="91">
        <f t="shared" si="2006"/>
        <v>0</v>
      </c>
      <c r="LY376" s="91">
        <f t="shared" si="2007"/>
        <v>0</v>
      </c>
      <c r="LZ376" s="91">
        <f t="shared" si="2008"/>
        <v>0</v>
      </c>
      <c r="MO376" s="91">
        <f t="shared" si="2009"/>
        <v>0</v>
      </c>
      <c r="MP376" s="91">
        <f t="shared" si="2010"/>
        <v>0</v>
      </c>
      <c r="NE376" s="91">
        <f t="shared" si="2011"/>
        <v>0</v>
      </c>
      <c r="NF376" s="91">
        <f t="shared" si="2012"/>
        <v>0</v>
      </c>
      <c r="NU376" s="91">
        <f t="shared" si="2013"/>
        <v>0</v>
      </c>
      <c r="NV376" s="91">
        <f t="shared" si="2014"/>
        <v>0</v>
      </c>
      <c r="OK376" s="91">
        <f t="shared" si="2015"/>
        <v>0</v>
      </c>
      <c r="OL376" s="91">
        <f t="shared" si="2016"/>
        <v>0</v>
      </c>
      <c r="PA376" s="91">
        <f t="shared" si="2017"/>
        <v>0</v>
      </c>
      <c r="PB376" s="91">
        <f t="shared" si="2018"/>
        <v>0</v>
      </c>
      <c r="PQ376" s="91">
        <f t="shared" si="2019"/>
        <v>0</v>
      </c>
      <c r="PR376" s="91">
        <f t="shared" si="2020"/>
        <v>0</v>
      </c>
      <c r="QG376" s="91">
        <f t="shared" si="2021"/>
        <v>0</v>
      </c>
      <c r="QH376" s="91">
        <f t="shared" si="2022"/>
        <v>0</v>
      </c>
      <c r="QW376" s="91">
        <f t="shared" si="2023"/>
        <v>0</v>
      </c>
      <c r="QX376" s="91">
        <f t="shared" si="2024"/>
        <v>0</v>
      </c>
      <c r="RM376" s="91">
        <f t="shared" si="2025"/>
        <v>0</v>
      </c>
      <c r="RN376" s="91">
        <f t="shared" si="2026"/>
        <v>0</v>
      </c>
      <c r="SC376" s="91">
        <f t="shared" si="2027"/>
        <v>0</v>
      </c>
      <c r="SD376" s="91">
        <f t="shared" si="2028"/>
        <v>0</v>
      </c>
      <c r="SS376" s="91">
        <f t="shared" si="2029"/>
        <v>0</v>
      </c>
      <c r="ST376" s="91">
        <f t="shared" si="2030"/>
        <v>0</v>
      </c>
      <c r="TI376" s="91">
        <f t="shared" si="2031"/>
        <v>0</v>
      </c>
      <c r="TJ376" s="91">
        <f t="shared" si="2032"/>
        <v>0</v>
      </c>
      <c r="TY376" s="91">
        <f t="shared" si="2033"/>
        <v>0</v>
      </c>
      <c r="TZ376" s="91">
        <f t="shared" si="2034"/>
        <v>0</v>
      </c>
      <c r="UO376" s="91">
        <f t="shared" si="2035"/>
        <v>0</v>
      </c>
      <c r="UP376" s="91">
        <f t="shared" si="2036"/>
        <v>0</v>
      </c>
      <c r="VE376" s="91">
        <f t="shared" si="2037"/>
        <v>0</v>
      </c>
      <c r="VF376" s="91">
        <f t="shared" si="2038"/>
        <v>0</v>
      </c>
      <c r="VU376" s="91">
        <f t="shared" si="2039"/>
        <v>0</v>
      </c>
      <c r="VV376" s="91">
        <f t="shared" si="2040"/>
        <v>0</v>
      </c>
      <c r="WK376" s="91">
        <f t="shared" si="2041"/>
        <v>0</v>
      </c>
      <c r="WL376" s="91">
        <f t="shared" si="2042"/>
        <v>0</v>
      </c>
      <c r="WM376" s="89"/>
      <c r="WN376" s="87">
        <f t="shared" si="2043"/>
        <v>0</v>
      </c>
      <c r="WO376" s="87">
        <f t="shared" si="2044"/>
        <v>0</v>
      </c>
      <c r="WP376" s="87">
        <f t="shared" si="2045"/>
        <v>0</v>
      </c>
      <c r="WQ376" s="87">
        <f t="shared" si="2046"/>
        <v>0</v>
      </c>
      <c r="WR376" s="87">
        <f t="shared" si="2047"/>
        <v>0</v>
      </c>
      <c r="WS376" s="87">
        <f t="shared" si="2048"/>
        <v>0</v>
      </c>
      <c r="WT376" s="87">
        <f t="shared" si="2049"/>
        <v>0</v>
      </c>
      <c r="WU376" s="87">
        <f t="shared" si="2050"/>
        <v>0</v>
      </c>
      <c r="WV376" s="87">
        <f t="shared" si="2051"/>
        <v>0</v>
      </c>
      <c r="WW376" s="87">
        <f t="shared" si="2052"/>
        <v>0</v>
      </c>
      <c r="WX376" s="87">
        <f t="shared" si="2053"/>
        <v>0</v>
      </c>
      <c r="WY376" s="87">
        <f t="shared" si="2054"/>
        <v>0</v>
      </c>
      <c r="WZ376" s="87">
        <f t="shared" si="2055"/>
        <v>0</v>
      </c>
      <c r="XA376" s="87">
        <f t="shared" si="2056"/>
        <v>0</v>
      </c>
      <c r="XB376" s="92">
        <f t="shared" si="2057"/>
        <v>0</v>
      </c>
      <c r="XC376" s="92">
        <f t="shared" si="2058"/>
        <v>0</v>
      </c>
      <c r="XD376" s="89"/>
      <c r="XE376" s="92"/>
      <c r="XF376" s="92"/>
      <c r="XG376" s="89"/>
      <c r="XH376" s="92"/>
      <c r="XI376" s="92"/>
      <c r="XJ376" s="89"/>
      <c r="XK376" s="87"/>
      <c r="XL376" s="87"/>
      <c r="XM376" s="87"/>
      <c r="XN376" s="87"/>
      <c r="XO376" s="87"/>
      <c r="XP376" s="87"/>
      <c r="XQ376" s="87"/>
      <c r="XR376" s="92">
        <f t="shared" ca="1" si="2059"/>
        <v>0</v>
      </c>
      <c r="XS376" s="89"/>
      <c r="XT376" s="87"/>
      <c r="XU376" s="87"/>
      <c r="XV376" s="87"/>
      <c r="XW376" s="87"/>
      <c r="XX376" s="87"/>
      <c r="XY376" s="87"/>
      <c r="XZ376" s="87"/>
      <c r="YA376" s="92">
        <f t="shared" ca="1" si="2060"/>
        <v>0</v>
      </c>
      <c r="YB376" s="90"/>
      <c r="YC376" s="90"/>
      <c r="YD376" s="90"/>
      <c r="YE376" s="90"/>
      <c r="YF376" s="90"/>
      <c r="YG376" s="90"/>
      <c r="YH376" s="90"/>
      <c r="YI376" s="90"/>
      <c r="YJ376" s="90"/>
      <c r="YK376" s="90"/>
      <c r="YL376" s="90"/>
      <c r="YM376" s="90"/>
      <c r="YN376" s="90"/>
      <c r="YO376" s="90"/>
      <c r="YP376" s="90"/>
      <c r="YQ376" s="90"/>
      <c r="YR376" s="90"/>
      <c r="YS376" s="90"/>
      <c r="YT376" s="90"/>
      <c r="YU376" s="90"/>
      <c r="YV376" s="90"/>
      <c r="YW376" s="90"/>
      <c r="YX376" s="90"/>
      <c r="YY376" s="90"/>
      <c r="YZ376" s="90"/>
      <c r="ZA376" s="90"/>
      <c r="ZB376" s="90"/>
      <c r="ZC376" s="90"/>
      <c r="ZD376" s="90"/>
      <c r="ZE376" s="90"/>
      <c r="ZF376" s="90"/>
      <c r="ZG376" s="90"/>
      <c r="ZH376" s="90"/>
      <c r="ZI376" s="90"/>
      <c r="ZJ376" s="90"/>
      <c r="ZK376" s="90"/>
      <c r="ZL376" s="90"/>
      <c r="ZM376" s="90"/>
      <c r="ZN376" s="90"/>
      <c r="ZO376" s="90"/>
      <c r="ZP376" s="90"/>
      <c r="ZQ376" s="90"/>
      <c r="ZR376" s="90"/>
      <c r="ZS376" s="90"/>
      <c r="ZT376" s="90"/>
      <c r="ZU376" s="90"/>
      <c r="ZV376" s="90"/>
      <c r="ZW376" s="90"/>
      <c r="ZX376" s="90"/>
      <c r="ZY376" s="90"/>
      <c r="ZZ376" s="90"/>
      <c r="AAA376" s="90"/>
      <c r="AAB376" s="90"/>
      <c r="AAC376" s="90"/>
      <c r="AAD376" s="90"/>
      <c r="AAE376" s="90"/>
      <c r="AAF376" s="90"/>
      <c r="AAG376" s="90"/>
      <c r="AAH376" s="90"/>
      <c r="AAI376" s="90"/>
      <c r="AAJ376" s="90"/>
      <c r="AAK376" s="90"/>
      <c r="AAL376" s="90"/>
      <c r="AAM376" s="90"/>
      <c r="AAN376" s="90"/>
      <c r="AAO376" s="90"/>
      <c r="AAP376" s="90"/>
      <c r="AAQ376" s="90"/>
      <c r="AAR376" s="90"/>
      <c r="AAS376" s="90"/>
      <c r="AAT376" s="90"/>
      <c r="AAU376" s="90"/>
      <c r="AAV376" s="90"/>
      <c r="AAW376" s="90"/>
      <c r="AAX376" s="90"/>
      <c r="AAY376" s="90"/>
      <c r="AAZ376" s="90"/>
      <c r="ABA376" s="90"/>
      <c r="ABB376" s="90"/>
      <c r="ABC376" s="90"/>
      <c r="ABD376" s="90"/>
      <c r="ABE376" s="90"/>
      <c r="ABF376" s="90"/>
      <c r="ABG376" s="90"/>
      <c r="ABH376" s="90"/>
      <c r="ABI376" s="90"/>
      <c r="ABJ376" s="90"/>
      <c r="ABK376" s="90"/>
      <c r="ABL376" s="90"/>
      <c r="ABM376" s="90"/>
      <c r="ABN376" s="90"/>
      <c r="ABO376" s="90"/>
      <c r="ABP376" s="90"/>
      <c r="ABQ376" s="90"/>
      <c r="ABR376" s="90"/>
      <c r="ABS376" s="90"/>
      <c r="ABT376" s="90"/>
      <c r="ABU376" s="90"/>
      <c r="ABV376" s="90"/>
      <c r="ABW376" s="90"/>
      <c r="ABX376" s="90"/>
      <c r="ABY376" s="90"/>
      <c r="ABZ376" s="90"/>
      <c r="ACA376" s="90"/>
      <c r="ACB376" s="90"/>
      <c r="ACC376" s="90"/>
      <c r="ACD376" s="90"/>
      <c r="ACE376" s="90"/>
      <c r="ACF376" s="90"/>
      <c r="ACG376" s="90"/>
      <c r="ACH376" s="90"/>
      <c r="ACI376" s="90"/>
      <c r="ACJ376" s="90"/>
      <c r="ACK376" s="90"/>
      <c r="ACL376" s="90"/>
      <c r="ACM376" s="90"/>
      <c r="ACN376" s="90"/>
      <c r="ACO376" s="90"/>
      <c r="ACP376" s="90"/>
      <c r="ACQ376" s="90"/>
      <c r="ACR376" s="90"/>
      <c r="ACS376" s="90"/>
      <c r="ACT376" s="90"/>
      <c r="ACU376" s="90"/>
      <c r="ACV376" s="90"/>
      <c r="ACW376" s="90"/>
      <c r="ACX376" s="90"/>
      <c r="ACY376" s="90"/>
      <c r="ACZ376" s="90"/>
      <c r="ADA376" s="90"/>
      <c r="ADB376" s="90"/>
      <c r="ADC376" s="90"/>
      <c r="ADD376" s="90"/>
      <c r="ADE376" s="90"/>
      <c r="ADF376" s="90"/>
      <c r="ADG376" s="90"/>
      <c r="ADH376" s="90"/>
      <c r="ADI376" s="90"/>
      <c r="ADJ376" s="90"/>
      <c r="ADK376" s="90"/>
      <c r="ADL376" s="90"/>
      <c r="ADM376" s="90"/>
      <c r="ADN376" s="90"/>
      <c r="ADO376" s="90"/>
      <c r="ADP376" s="90"/>
      <c r="ADQ376" s="90"/>
      <c r="ADR376" s="90"/>
      <c r="ADS376" s="90"/>
      <c r="ADT376" s="90"/>
      <c r="ADU376" s="90"/>
      <c r="ADV376" s="90"/>
      <c r="ADW376" s="90"/>
      <c r="ADX376" s="90"/>
      <c r="ADY376" s="90"/>
      <c r="ADZ376" s="90"/>
      <c r="AEA376" s="90"/>
      <c r="AEB376" s="90"/>
      <c r="AEC376" s="90"/>
      <c r="AED376" s="90"/>
      <c r="AEE376" s="90"/>
      <c r="AEF376" s="90"/>
      <c r="AEG376" s="90"/>
      <c r="AEH376" s="90"/>
      <c r="AEI376" s="90"/>
      <c r="AEJ376" s="90"/>
      <c r="AEK376" s="90"/>
      <c r="AEL376" s="90"/>
      <c r="AEM376" s="90"/>
      <c r="AEN376" s="90"/>
      <c r="AEO376" s="90"/>
      <c r="AEP376" s="90"/>
      <c r="AEQ376" s="90"/>
      <c r="AER376" s="90"/>
      <c r="AES376" s="90"/>
      <c r="AET376" s="90"/>
      <c r="AEU376" s="90"/>
      <c r="AEV376" s="90"/>
      <c r="AEW376" s="90"/>
      <c r="AEX376" s="90"/>
      <c r="AEY376" s="90"/>
      <c r="AEZ376" s="90"/>
      <c r="AFA376" s="90"/>
      <c r="AFB376" s="90"/>
      <c r="AFC376" s="90"/>
      <c r="AFD376" s="90"/>
      <c r="AFE376" s="90"/>
      <c r="AFF376" s="90"/>
      <c r="AFG376" s="90"/>
      <c r="AFH376" s="90"/>
      <c r="AFI376" s="90"/>
      <c r="AFJ376" s="90"/>
      <c r="AFK376" s="90"/>
      <c r="AFL376" s="90"/>
      <c r="AFM376" s="90"/>
      <c r="AFN376" s="90"/>
      <c r="AFO376" s="90"/>
      <c r="AFP376" s="90"/>
      <c r="AFQ376" s="90"/>
      <c r="AFR376" s="90"/>
      <c r="AFS376" s="90"/>
      <c r="AFT376" s="90"/>
      <c r="AFU376" s="90"/>
      <c r="AFV376" s="90"/>
      <c r="AFW376" s="90"/>
      <c r="AFX376" s="90"/>
      <c r="AFY376" s="90"/>
      <c r="AFZ376" s="90"/>
      <c r="AGA376" s="90"/>
      <c r="AGB376" s="90"/>
      <c r="AGC376" s="90"/>
      <c r="AGD376" s="90"/>
      <c r="AGE376" s="90"/>
      <c r="AGF376" s="90"/>
      <c r="AGG376" s="90"/>
      <c r="AGH376" s="90"/>
      <c r="AGI376" s="90"/>
      <c r="AGJ376" s="90"/>
      <c r="AGK376" s="90"/>
      <c r="AGL376" s="90"/>
      <c r="AGM376" s="90"/>
      <c r="AGN376" s="90"/>
      <c r="AGO376" s="90"/>
      <c r="AGP376" s="90"/>
      <c r="AGQ376" s="90"/>
      <c r="AGR376" s="90"/>
      <c r="AGS376" s="90"/>
      <c r="AGT376" s="90"/>
      <c r="AGU376" s="90"/>
      <c r="AGV376" s="90"/>
      <c r="AGW376" s="90"/>
      <c r="AGX376" s="90"/>
      <c r="AGY376" s="90"/>
      <c r="AGZ376" s="90"/>
      <c r="AHA376" s="90"/>
      <c r="AHB376" s="90"/>
      <c r="AHC376" s="90"/>
      <c r="AHD376" s="90"/>
      <c r="AHE376" s="90"/>
      <c r="AHF376" s="90"/>
      <c r="AHG376" s="90"/>
      <c r="AHH376" s="90"/>
      <c r="AHI376" s="90"/>
      <c r="AHJ376" s="90"/>
      <c r="AHK376" s="90"/>
      <c r="AHL376" s="90"/>
      <c r="AHM376" s="90"/>
      <c r="AHN376" s="90"/>
      <c r="AHO376" s="90"/>
      <c r="AHP376" s="90"/>
      <c r="AHQ376" s="90"/>
      <c r="AHR376" s="90"/>
      <c r="AHS376" s="90"/>
      <c r="AHT376" s="90"/>
      <c r="AHU376" s="90"/>
      <c r="AHV376" s="90"/>
      <c r="AHW376" s="90"/>
      <c r="AHX376" s="90"/>
      <c r="AHY376" s="90"/>
      <c r="AHZ376" s="90"/>
      <c r="AIA376" s="90"/>
      <c r="AIB376" s="90"/>
      <c r="AIC376" s="90"/>
      <c r="AID376" s="90"/>
      <c r="AIE376" s="90"/>
      <c r="AIF376" s="90"/>
      <c r="AIG376" s="90"/>
      <c r="AIH376" s="90"/>
      <c r="AII376" s="90"/>
      <c r="AIJ376" s="90"/>
      <c r="AIK376" s="90"/>
      <c r="AIL376" s="90"/>
      <c r="AIM376" s="90"/>
      <c r="AIN376" s="90"/>
      <c r="AIO376" s="90"/>
      <c r="AIP376" s="90"/>
      <c r="AIQ376" s="90"/>
      <c r="AIR376" s="90"/>
      <c r="AIS376" s="90"/>
      <c r="AIT376" s="90"/>
      <c r="AIU376" s="90"/>
      <c r="AIV376" s="90"/>
      <c r="AIW376" s="90"/>
      <c r="AIX376" s="90"/>
      <c r="AIY376" s="90"/>
      <c r="AIZ376" s="90"/>
      <c r="AJA376" s="90"/>
      <c r="AJB376" s="90"/>
      <c r="AJC376" s="90"/>
      <c r="AJD376" s="90"/>
      <c r="AJE376" s="90"/>
      <c r="AJF376" s="90"/>
      <c r="AJG376" s="90"/>
      <c r="AJH376" s="90"/>
      <c r="AJI376" s="90"/>
      <c r="AJJ376" s="90"/>
      <c r="AJK376" s="90"/>
      <c r="AJL376" s="90"/>
      <c r="AJM376" s="90"/>
      <c r="AJN376" s="90"/>
      <c r="AJO376" s="90"/>
      <c r="AJP376" s="90"/>
      <c r="AJQ376" s="90"/>
      <c r="AJR376" s="90"/>
      <c r="AJS376" s="90"/>
      <c r="AJT376" s="90"/>
      <c r="AJU376" s="90"/>
      <c r="AJV376" s="90"/>
      <c r="AJW376" s="90"/>
      <c r="AJX376" s="90"/>
      <c r="AJY376" s="90"/>
      <c r="AJZ376" s="90"/>
      <c r="AKA376" s="90"/>
      <c r="AKB376" s="90"/>
      <c r="AKC376" s="90"/>
      <c r="AKD376" s="90"/>
      <c r="AKE376" s="90"/>
      <c r="AKF376" s="90"/>
      <c r="AKG376" s="90"/>
      <c r="AKH376" s="90"/>
      <c r="AKI376" s="90"/>
      <c r="AKJ376" s="90"/>
      <c r="AKK376" s="90"/>
      <c r="AKL376" s="90"/>
      <c r="AKM376" s="90"/>
      <c r="AKN376" s="90"/>
      <c r="AKO376" s="90"/>
      <c r="AKP376" s="90"/>
      <c r="AKQ376" s="90"/>
      <c r="AKR376" s="90"/>
      <c r="AKS376" s="90"/>
      <c r="AKT376" s="90"/>
      <c r="AKU376" s="90"/>
      <c r="AKV376" s="90"/>
      <c r="AKW376" s="90"/>
      <c r="AKX376" s="90"/>
      <c r="AKY376" s="90"/>
      <c r="AKZ376" s="90"/>
      <c r="ALA376" s="90"/>
      <c r="ALB376" s="90"/>
      <c r="ALC376" s="90"/>
      <c r="ALD376" s="90"/>
      <c r="ALE376" s="90"/>
      <c r="ALF376" s="90"/>
      <c r="ALG376" s="90"/>
      <c r="ALH376" s="90"/>
      <c r="ALI376" s="90"/>
      <c r="ALJ376" s="90"/>
      <c r="ALK376" s="90"/>
      <c r="ALL376" s="90"/>
      <c r="ALM376" s="90"/>
      <c r="ALN376" s="90"/>
      <c r="ALO376" s="90"/>
      <c r="ALP376" s="90"/>
      <c r="ALQ376" s="90"/>
      <c r="ALR376" s="90"/>
      <c r="ALS376" s="90"/>
      <c r="ALT376" s="90"/>
      <c r="ALU376" s="90"/>
      <c r="ALV376" s="90"/>
      <c r="ALW376" s="90"/>
      <c r="ALX376" s="90"/>
      <c r="ALY376" s="90"/>
      <c r="ALZ376" s="90"/>
      <c r="AMA376" s="90"/>
      <c r="AMB376" s="90"/>
      <c r="AMC376" s="90"/>
    </row>
    <row r="377" spans="1:1017">
      <c r="A377" s="98" t="s">
        <v>54</v>
      </c>
      <c r="B377" s="90" t="str">
        <f t="shared" si="1966"/>
        <v>Tawes</v>
      </c>
      <c r="Q377" s="91">
        <f t="shared" si="1967"/>
        <v>0</v>
      </c>
      <c r="R377" s="91">
        <f t="shared" si="1968"/>
        <v>0</v>
      </c>
      <c r="Y377" s="98">
        <v>1885</v>
      </c>
      <c r="Z377" s="98">
        <v>32045</v>
      </c>
      <c r="AG377" s="91">
        <f t="shared" si="1969"/>
        <v>1885</v>
      </c>
      <c r="AH377" s="91">
        <f t="shared" si="1970"/>
        <v>32045</v>
      </c>
      <c r="AW377" s="91">
        <f t="shared" si="1971"/>
        <v>0</v>
      </c>
      <c r="AX377" s="91">
        <f t="shared" si="1972"/>
        <v>0</v>
      </c>
      <c r="BE377" s="98">
        <v>1331</v>
      </c>
      <c r="BF377" s="98">
        <v>13310</v>
      </c>
      <c r="BG377" s="98">
        <v>125</v>
      </c>
      <c r="BH377" s="98">
        <v>1250</v>
      </c>
      <c r="BK377" s="98">
        <v>1326</v>
      </c>
      <c r="BL377" s="98">
        <v>13260</v>
      </c>
      <c r="BM377" s="91">
        <f t="shared" si="1973"/>
        <v>2782</v>
      </c>
      <c r="BN377" s="91">
        <f t="shared" si="1974"/>
        <v>27820</v>
      </c>
      <c r="BU377" s="98">
        <v>72</v>
      </c>
      <c r="BV377" s="98">
        <v>1440</v>
      </c>
      <c r="CC377" s="91">
        <f t="shared" si="1975"/>
        <v>72</v>
      </c>
      <c r="CD377" s="91">
        <f t="shared" si="1976"/>
        <v>1440</v>
      </c>
      <c r="CK377" s="98">
        <v>345138.37485952972</v>
      </c>
      <c r="CL377" s="98">
        <v>4486794.0089999996</v>
      </c>
      <c r="CS377" s="91">
        <f t="shared" si="1977"/>
        <v>345138.37485952972</v>
      </c>
      <c r="CT377" s="91">
        <f t="shared" si="1978"/>
        <v>4486794.0089999996</v>
      </c>
      <c r="DA377" s="98">
        <v>110</v>
      </c>
      <c r="DB377" s="98">
        <v>1650</v>
      </c>
      <c r="DI377" s="91">
        <f t="shared" si="1979"/>
        <v>110</v>
      </c>
      <c r="DJ377" s="91">
        <f t="shared" si="1980"/>
        <v>1650</v>
      </c>
      <c r="DY377" s="91">
        <f t="shared" si="1981"/>
        <v>0</v>
      </c>
      <c r="DZ377" s="91">
        <f t="shared" si="1982"/>
        <v>0</v>
      </c>
      <c r="EG377" s="98">
        <v>90</v>
      </c>
      <c r="EH377" s="98">
        <v>990</v>
      </c>
      <c r="EO377" s="91">
        <f t="shared" si="1983"/>
        <v>90</v>
      </c>
      <c r="EP377" s="91">
        <f t="shared" si="1984"/>
        <v>990</v>
      </c>
      <c r="EW377" s="98">
        <v>7692</v>
      </c>
      <c r="EX377" s="98">
        <v>153840</v>
      </c>
      <c r="FE377" s="91">
        <f t="shared" si="1985"/>
        <v>7692</v>
      </c>
      <c r="FF377" s="91">
        <f t="shared" si="1986"/>
        <v>153840</v>
      </c>
      <c r="FM377" s="98">
        <v>60</v>
      </c>
      <c r="FN377" s="98">
        <v>1200</v>
      </c>
      <c r="FU377" s="91">
        <f t="shared" si="1987"/>
        <v>60</v>
      </c>
      <c r="FV377" s="91">
        <f t="shared" si="1988"/>
        <v>1200</v>
      </c>
      <c r="GK377" s="91">
        <f t="shared" si="1989"/>
        <v>0</v>
      </c>
      <c r="GL377" s="91">
        <f t="shared" si="1990"/>
        <v>0</v>
      </c>
      <c r="HA377" s="91">
        <f t="shared" si="1991"/>
        <v>0</v>
      </c>
      <c r="HB377" s="91">
        <f t="shared" si="1992"/>
        <v>0</v>
      </c>
      <c r="HQ377" s="91">
        <f t="shared" si="1993"/>
        <v>0</v>
      </c>
      <c r="HR377" s="91">
        <f t="shared" si="1994"/>
        <v>0</v>
      </c>
      <c r="IG377" s="91">
        <f t="shared" si="1995"/>
        <v>0</v>
      </c>
      <c r="IH377" s="91">
        <f t="shared" si="1996"/>
        <v>0</v>
      </c>
      <c r="IW377" s="91">
        <f t="shared" si="1997"/>
        <v>0</v>
      </c>
      <c r="IX377" s="91">
        <f t="shared" si="1998"/>
        <v>0</v>
      </c>
      <c r="JM377" s="91">
        <f t="shared" si="1999"/>
        <v>0</v>
      </c>
      <c r="JN377" s="91">
        <f t="shared" si="2000"/>
        <v>0</v>
      </c>
      <c r="KC377" s="91">
        <f t="shared" si="2001"/>
        <v>0</v>
      </c>
      <c r="KD377" s="91">
        <f t="shared" si="2002"/>
        <v>0</v>
      </c>
      <c r="KS377" s="91">
        <f t="shared" si="2003"/>
        <v>0</v>
      </c>
      <c r="KT377" s="91">
        <f t="shared" si="2004"/>
        <v>0</v>
      </c>
      <c r="LI377" s="91">
        <f t="shared" si="2005"/>
        <v>0</v>
      </c>
      <c r="LJ377" s="91">
        <f t="shared" si="2006"/>
        <v>0</v>
      </c>
      <c r="LY377" s="91">
        <f t="shared" si="2007"/>
        <v>0</v>
      </c>
      <c r="LZ377" s="91">
        <f t="shared" si="2008"/>
        <v>0</v>
      </c>
      <c r="MO377" s="91">
        <f t="shared" si="2009"/>
        <v>0</v>
      </c>
      <c r="MP377" s="91">
        <f t="shared" si="2010"/>
        <v>0</v>
      </c>
      <c r="NE377" s="91">
        <f t="shared" si="2011"/>
        <v>0</v>
      </c>
      <c r="NF377" s="91">
        <f t="shared" si="2012"/>
        <v>0</v>
      </c>
      <c r="NQ377" s="98">
        <v>200</v>
      </c>
      <c r="NR377" s="98">
        <v>3200</v>
      </c>
      <c r="NU377" s="91">
        <f t="shared" si="2013"/>
        <v>200</v>
      </c>
      <c r="NV377" s="91">
        <f t="shared" si="2014"/>
        <v>3200</v>
      </c>
      <c r="OK377" s="91">
        <f t="shared" si="2015"/>
        <v>0</v>
      </c>
      <c r="OL377" s="91">
        <f t="shared" si="2016"/>
        <v>0</v>
      </c>
      <c r="PA377" s="91">
        <f t="shared" si="2017"/>
        <v>0</v>
      </c>
      <c r="PB377" s="91">
        <f t="shared" si="2018"/>
        <v>0</v>
      </c>
      <c r="PQ377" s="91">
        <f t="shared" si="2019"/>
        <v>0</v>
      </c>
      <c r="PR377" s="91">
        <f t="shared" si="2020"/>
        <v>0</v>
      </c>
      <c r="PY377" s="98">
        <v>104110</v>
      </c>
      <c r="PZ377" s="98">
        <v>1561650</v>
      </c>
      <c r="QA377" s="98">
        <v>77380</v>
      </c>
      <c r="QB377" s="98">
        <v>1160700</v>
      </c>
      <c r="QG377" s="91">
        <f t="shared" si="2021"/>
        <v>181490</v>
      </c>
      <c r="QH377" s="91">
        <f t="shared" si="2022"/>
        <v>2722350</v>
      </c>
      <c r="QW377" s="91">
        <f t="shared" si="2023"/>
        <v>0</v>
      </c>
      <c r="QX377" s="91">
        <f t="shared" si="2024"/>
        <v>0</v>
      </c>
      <c r="RM377" s="91">
        <f t="shared" si="2025"/>
        <v>0</v>
      </c>
      <c r="RN377" s="91">
        <f t="shared" si="2026"/>
        <v>0</v>
      </c>
      <c r="SC377" s="91">
        <f t="shared" si="2027"/>
        <v>0</v>
      </c>
      <c r="SD377" s="91">
        <f t="shared" si="2028"/>
        <v>0</v>
      </c>
      <c r="SS377" s="91">
        <f t="shared" si="2029"/>
        <v>0</v>
      </c>
      <c r="ST377" s="91">
        <f t="shared" si="2030"/>
        <v>0</v>
      </c>
      <c r="TI377" s="91">
        <f t="shared" si="2031"/>
        <v>0</v>
      </c>
      <c r="TJ377" s="91">
        <f t="shared" si="2032"/>
        <v>0</v>
      </c>
      <c r="TY377" s="91">
        <f t="shared" si="2033"/>
        <v>0</v>
      </c>
      <c r="TZ377" s="91">
        <f t="shared" si="2034"/>
        <v>0</v>
      </c>
      <c r="UO377" s="91">
        <f t="shared" si="2035"/>
        <v>0</v>
      </c>
      <c r="UP377" s="91">
        <f t="shared" si="2036"/>
        <v>0</v>
      </c>
      <c r="VE377" s="91">
        <f t="shared" si="2037"/>
        <v>0</v>
      </c>
      <c r="VF377" s="91">
        <f t="shared" si="2038"/>
        <v>0</v>
      </c>
      <c r="VU377" s="91">
        <f t="shared" si="2039"/>
        <v>0</v>
      </c>
      <c r="VV377" s="91">
        <f t="shared" si="2040"/>
        <v>0</v>
      </c>
      <c r="WK377" s="91">
        <f t="shared" si="2041"/>
        <v>0</v>
      </c>
      <c r="WL377" s="91">
        <f t="shared" si="2042"/>
        <v>0</v>
      </c>
      <c r="WM377" s="89"/>
      <c r="WN377" s="87">
        <f t="shared" si="2043"/>
        <v>0</v>
      </c>
      <c r="WO377" s="87">
        <f t="shared" si="2044"/>
        <v>0</v>
      </c>
      <c r="WP377" s="87">
        <f t="shared" si="2045"/>
        <v>0</v>
      </c>
      <c r="WQ377" s="87">
        <f t="shared" si="2046"/>
        <v>0</v>
      </c>
      <c r="WR377" s="87">
        <f t="shared" si="2047"/>
        <v>0</v>
      </c>
      <c r="WS377" s="87">
        <f t="shared" si="2048"/>
        <v>0</v>
      </c>
      <c r="WT377" s="87">
        <f t="shared" si="2049"/>
        <v>460488.37485952972</v>
      </c>
      <c r="WU377" s="87">
        <f t="shared" si="2050"/>
        <v>6252919.0089999996</v>
      </c>
      <c r="WV377" s="87">
        <f t="shared" si="2051"/>
        <v>77505</v>
      </c>
      <c r="WW377" s="87">
        <f t="shared" si="2052"/>
        <v>1161950</v>
      </c>
      <c r="WX377" s="87">
        <f t="shared" si="2053"/>
        <v>200</v>
      </c>
      <c r="WY377" s="87">
        <f t="shared" si="2054"/>
        <v>3200</v>
      </c>
      <c r="WZ377" s="87">
        <f t="shared" si="2055"/>
        <v>1326</v>
      </c>
      <c r="XA377" s="87">
        <f t="shared" si="2056"/>
        <v>13260</v>
      </c>
      <c r="XB377" s="92">
        <f t="shared" si="2057"/>
        <v>539519.37485952978</v>
      </c>
      <c r="XC377" s="92">
        <f t="shared" si="2058"/>
        <v>7431329.0089999996</v>
      </c>
      <c r="XD377" s="89"/>
      <c r="XE377" s="92"/>
      <c r="XF377" s="92"/>
      <c r="XG377" s="89"/>
      <c r="XH377" s="92"/>
      <c r="XI377" s="92"/>
      <c r="XJ377" s="89"/>
      <c r="XK377" s="87"/>
      <c r="XL377" s="87"/>
      <c r="XM377" s="87"/>
      <c r="XN377" s="87"/>
      <c r="XO377" s="87"/>
      <c r="XP377" s="87"/>
      <c r="XQ377" s="87"/>
      <c r="XR377" s="92">
        <f t="shared" ca="1" si="2059"/>
        <v>0</v>
      </c>
      <c r="XS377" s="89"/>
      <c r="XT377" s="87"/>
      <c r="XU377" s="87"/>
      <c r="XV377" s="87"/>
      <c r="XW377" s="87"/>
      <c r="XX377" s="87"/>
      <c r="XY377" s="87"/>
      <c r="XZ377" s="87"/>
      <c r="YA377" s="92">
        <f t="shared" ca="1" si="2060"/>
        <v>0</v>
      </c>
      <c r="YB377" s="90"/>
      <c r="YC377" s="90"/>
      <c r="YD377" s="90"/>
      <c r="YE377" s="90"/>
      <c r="YF377" s="90"/>
      <c r="YG377" s="90"/>
      <c r="YH377" s="90"/>
      <c r="YI377" s="90"/>
      <c r="YJ377" s="90"/>
      <c r="YK377" s="90"/>
      <c r="YL377" s="90"/>
      <c r="YM377" s="90"/>
      <c r="YN377" s="90"/>
      <c r="YO377" s="90"/>
      <c r="YP377" s="90"/>
      <c r="YQ377" s="90"/>
      <c r="YR377" s="90"/>
      <c r="YS377" s="90"/>
      <c r="YT377" s="90"/>
      <c r="YU377" s="90"/>
      <c r="YV377" s="90"/>
      <c r="YW377" s="90"/>
      <c r="YX377" s="90"/>
      <c r="YY377" s="90"/>
      <c r="YZ377" s="90"/>
      <c r="ZA377" s="90"/>
      <c r="ZB377" s="90"/>
      <c r="ZC377" s="90"/>
      <c r="ZD377" s="90"/>
      <c r="ZE377" s="90"/>
      <c r="ZF377" s="90"/>
      <c r="ZG377" s="90"/>
      <c r="ZH377" s="90"/>
      <c r="ZI377" s="90"/>
      <c r="ZJ377" s="90"/>
      <c r="ZK377" s="90"/>
      <c r="ZL377" s="90"/>
      <c r="ZM377" s="90"/>
      <c r="ZN377" s="90"/>
      <c r="ZO377" s="90"/>
      <c r="ZP377" s="90"/>
      <c r="ZQ377" s="90"/>
      <c r="ZR377" s="90"/>
      <c r="ZS377" s="90"/>
      <c r="ZT377" s="90"/>
      <c r="ZU377" s="90"/>
      <c r="ZV377" s="90"/>
      <c r="ZW377" s="90"/>
      <c r="ZX377" s="90"/>
      <c r="ZY377" s="90"/>
      <c r="ZZ377" s="90"/>
      <c r="AAA377" s="90"/>
      <c r="AAB377" s="90"/>
      <c r="AAC377" s="90"/>
      <c r="AAD377" s="90"/>
      <c r="AAE377" s="90"/>
      <c r="AAF377" s="90"/>
      <c r="AAG377" s="90"/>
      <c r="AAH377" s="90"/>
      <c r="AAI377" s="90"/>
      <c r="AAJ377" s="90"/>
      <c r="AAK377" s="90"/>
      <c r="AAL377" s="90"/>
      <c r="AAM377" s="90"/>
      <c r="AAN377" s="90"/>
      <c r="AAO377" s="90"/>
      <c r="AAP377" s="90"/>
      <c r="AAQ377" s="90"/>
      <c r="AAR377" s="90"/>
      <c r="AAS377" s="90"/>
      <c r="AAT377" s="90"/>
      <c r="AAU377" s="90"/>
      <c r="AAV377" s="90"/>
      <c r="AAW377" s="90"/>
      <c r="AAX377" s="90"/>
      <c r="AAY377" s="90"/>
      <c r="AAZ377" s="90"/>
      <c r="ABA377" s="90"/>
      <c r="ABB377" s="90"/>
      <c r="ABC377" s="90"/>
      <c r="ABD377" s="90"/>
      <c r="ABE377" s="90"/>
      <c r="ABF377" s="90"/>
      <c r="ABG377" s="90"/>
      <c r="ABH377" s="90"/>
      <c r="ABI377" s="90"/>
      <c r="ABJ377" s="90"/>
      <c r="ABK377" s="90"/>
      <c r="ABL377" s="90"/>
      <c r="ABM377" s="90"/>
      <c r="ABN377" s="90"/>
      <c r="ABO377" s="90"/>
      <c r="ABP377" s="90"/>
      <c r="ABQ377" s="90"/>
      <c r="ABR377" s="90"/>
      <c r="ABS377" s="90"/>
      <c r="ABT377" s="90"/>
      <c r="ABU377" s="90"/>
      <c r="ABV377" s="90"/>
      <c r="ABW377" s="90"/>
      <c r="ABX377" s="90"/>
      <c r="ABY377" s="90"/>
      <c r="ABZ377" s="90"/>
      <c r="ACA377" s="90"/>
      <c r="ACB377" s="90"/>
      <c r="ACC377" s="90"/>
      <c r="ACD377" s="90"/>
      <c r="ACE377" s="90"/>
      <c r="ACF377" s="90"/>
      <c r="ACG377" s="90"/>
      <c r="ACH377" s="90"/>
      <c r="ACI377" s="90"/>
      <c r="ACJ377" s="90"/>
      <c r="ACK377" s="90"/>
      <c r="ACL377" s="90"/>
      <c r="ACM377" s="90"/>
      <c r="ACN377" s="90"/>
      <c r="ACO377" s="90"/>
      <c r="ACP377" s="90"/>
      <c r="ACQ377" s="90"/>
      <c r="ACR377" s="90"/>
      <c r="ACS377" s="90"/>
      <c r="ACT377" s="90"/>
      <c r="ACU377" s="90"/>
      <c r="ACV377" s="90"/>
      <c r="ACW377" s="90"/>
      <c r="ACX377" s="90"/>
      <c r="ACY377" s="90"/>
      <c r="ACZ377" s="90"/>
      <c r="ADA377" s="90"/>
      <c r="ADB377" s="90"/>
      <c r="ADC377" s="90"/>
      <c r="ADD377" s="90"/>
      <c r="ADE377" s="90"/>
      <c r="ADF377" s="90"/>
      <c r="ADG377" s="90"/>
      <c r="ADH377" s="90"/>
      <c r="ADI377" s="90"/>
      <c r="ADJ377" s="90"/>
      <c r="ADK377" s="90"/>
      <c r="ADL377" s="90"/>
      <c r="ADM377" s="90"/>
      <c r="ADN377" s="90"/>
      <c r="ADO377" s="90"/>
      <c r="ADP377" s="90"/>
      <c r="ADQ377" s="90"/>
      <c r="ADR377" s="90"/>
      <c r="ADS377" s="90"/>
      <c r="ADT377" s="90"/>
      <c r="ADU377" s="90"/>
      <c r="ADV377" s="90"/>
      <c r="ADW377" s="90"/>
      <c r="ADX377" s="90"/>
      <c r="ADY377" s="90"/>
      <c r="ADZ377" s="90"/>
      <c r="AEA377" s="90"/>
      <c r="AEB377" s="90"/>
      <c r="AEC377" s="90"/>
      <c r="AED377" s="90"/>
      <c r="AEE377" s="90"/>
      <c r="AEF377" s="90"/>
      <c r="AEG377" s="90"/>
      <c r="AEH377" s="90"/>
      <c r="AEI377" s="90"/>
      <c r="AEJ377" s="90"/>
      <c r="AEK377" s="90"/>
      <c r="AEL377" s="90"/>
      <c r="AEM377" s="90"/>
      <c r="AEN377" s="90"/>
      <c r="AEO377" s="90"/>
      <c r="AEP377" s="90"/>
      <c r="AEQ377" s="90"/>
      <c r="AER377" s="90"/>
      <c r="AES377" s="90"/>
      <c r="AET377" s="90"/>
      <c r="AEU377" s="90"/>
      <c r="AEV377" s="90"/>
      <c r="AEW377" s="90"/>
      <c r="AEX377" s="90"/>
      <c r="AEY377" s="90"/>
      <c r="AEZ377" s="90"/>
      <c r="AFA377" s="90"/>
      <c r="AFB377" s="90"/>
      <c r="AFC377" s="90"/>
      <c r="AFD377" s="90"/>
      <c r="AFE377" s="90"/>
      <c r="AFF377" s="90"/>
      <c r="AFG377" s="90"/>
      <c r="AFH377" s="90"/>
      <c r="AFI377" s="90"/>
      <c r="AFJ377" s="90"/>
      <c r="AFK377" s="90"/>
      <c r="AFL377" s="90"/>
      <c r="AFM377" s="90"/>
      <c r="AFN377" s="90"/>
      <c r="AFO377" s="90"/>
      <c r="AFP377" s="90"/>
      <c r="AFQ377" s="90"/>
      <c r="AFR377" s="90"/>
      <c r="AFS377" s="90"/>
      <c r="AFT377" s="90"/>
      <c r="AFU377" s="90"/>
      <c r="AFV377" s="90"/>
      <c r="AFW377" s="90"/>
      <c r="AFX377" s="90"/>
      <c r="AFY377" s="90"/>
      <c r="AFZ377" s="90"/>
      <c r="AGA377" s="90"/>
      <c r="AGB377" s="90"/>
      <c r="AGC377" s="90"/>
      <c r="AGD377" s="90"/>
      <c r="AGE377" s="90"/>
      <c r="AGF377" s="90"/>
      <c r="AGG377" s="90"/>
      <c r="AGH377" s="90"/>
      <c r="AGI377" s="90"/>
      <c r="AGJ377" s="90"/>
      <c r="AGK377" s="90"/>
      <c r="AGL377" s="90"/>
      <c r="AGM377" s="90"/>
      <c r="AGN377" s="90"/>
      <c r="AGO377" s="90"/>
      <c r="AGP377" s="90"/>
      <c r="AGQ377" s="90"/>
      <c r="AGR377" s="90"/>
      <c r="AGS377" s="90"/>
      <c r="AGT377" s="90"/>
      <c r="AGU377" s="90"/>
      <c r="AGV377" s="90"/>
      <c r="AGW377" s="90"/>
      <c r="AGX377" s="90"/>
      <c r="AGY377" s="90"/>
      <c r="AGZ377" s="90"/>
      <c r="AHA377" s="90"/>
      <c r="AHB377" s="90"/>
      <c r="AHC377" s="90"/>
      <c r="AHD377" s="90"/>
      <c r="AHE377" s="90"/>
      <c r="AHF377" s="90"/>
      <c r="AHG377" s="90"/>
      <c r="AHH377" s="90"/>
      <c r="AHI377" s="90"/>
      <c r="AHJ377" s="90"/>
      <c r="AHK377" s="90"/>
      <c r="AHL377" s="90"/>
      <c r="AHM377" s="90"/>
      <c r="AHN377" s="90"/>
      <c r="AHO377" s="90"/>
      <c r="AHP377" s="90"/>
      <c r="AHQ377" s="90"/>
      <c r="AHR377" s="90"/>
      <c r="AHS377" s="90"/>
      <c r="AHT377" s="90"/>
      <c r="AHU377" s="90"/>
      <c r="AHV377" s="90"/>
      <c r="AHW377" s="90"/>
      <c r="AHX377" s="90"/>
      <c r="AHY377" s="90"/>
      <c r="AHZ377" s="90"/>
      <c r="AIA377" s="90"/>
      <c r="AIB377" s="90"/>
      <c r="AIC377" s="90"/>
      <c r="AID377" s="90"/>
      <c r="AIE377" s="90"/>
      <c r="AIF377" s="90"/>
      <c r="AIG377" s="90"/>
      <c r="AIH377" s="90"/>
      <c r="AII377" s="90"/>
      <c r="AIJ377" s="90"/>
      <c r="AIK377" s="90"/>
      <c r="AIL377" s="90"/>
      <c r="AIM377" s="90"/>
      <c r="AIN377" s="90"/>
      <c r="AIO377" s="90"/>
      <c r="AIP377" s="90"/>
      <c r="AIQ377" s="90"/>
      <c r="AIR377" s="90"/>
      <c r="AIS377" s="90"/>
      <c r="AIT377" s="90"/>
      <c r="AIU377" s="90"/>
      <c r="AIV377" s="90"/>
      <c r="AIW377" s="90"/>
      <c r="AIX377" s="90"/>
      <c r="AIY377" s="90"/>
      <c r="AIZ377" s="90"/>
      <c r="AJA377" s="90"/>
      <c r="AJB377" s="90"/>
      <c r="AJC377" s="90"/>
      <c r="AJD377" s="90"/>
      <c r="AJE377" s="90"/>
      <c r="AJF377" s="90"/>
      <c r="AJG377" s="90"/>
      <c r="AJH377" s="90"/>
      <c r="AJI377" s="90"/>
      <c r="AJJ377" s="90"/>
      <c r="AJK377" s="90"/>
      <c r="AJL377" s="90"/>
      <c r="AJM377" s="90"/>
      <c r="AJN377" s="90"/>
      <c r="AJO377" s="90"/>
      <c r="AJP377" s="90"/>
      <c r="AJQ377" s="90"/>
      <c r="AJR377" s="90"/>
      <c r="AJS377" s="90"/>
      <c r="AJT377" s="90"/>
      <c r="AJU377" s="90"/>
      <c r="AJV377" s="90"/>
      <c r="AJW377" s="90"/>
      <c r="AJX377" s="90"/>
      <c r="AJY377" s="90"/>
      <c r="AJZ377" s="90"/>
      <c r="AKA377" s="90"/>
      <c r="AKB377" s="90"/>
      <c r="AKC377" s="90"/>
      <c r="AKD377" s="90"/>
      <c r="AKE377" s="90"/>
      <c r="AKF377" s="90"/>
      <c r="AKG377" s="90"/>
      <c r="AKH377" s="90"/>
      <c r="AKI377" s="90"/>
      <c r="AKJ377" s="90"/>
      <c r="AKK377" s="90"/>
      <c r="AKL377" s="90"/>
      <c r="AKM377" s="90"/>
      <c r="AKN377" s="90"/>
      <c r="AKO377" s="90"/>
      <c r="AKP377" s="90"/>
      <c r="AKQ377" s="90"/>
      <c r="AKR377" s="90"/>
      <c r="AKS377" s="90"/>
      <c r="AKT377" s="90"/>
      <c r="AKU377" s="90"/>
      <c r="AKV377" s="90"/>
      <c r="AKW377" s="90"/>
      <c r="AKX377" s="90"/>
      <c r="AKY377" s="90"/>
      <c r="AKZ377" s="90"/>
      <c r="ALA377" s="90"/>
      <c r="ALB377" s="90"/>
      <c r="ALC377" s="90"/>
      <c r="ALD377" s="90"/>
      <c r="ALE377" s="90"/>
      <c r="ALF377" s="90"/>
      <c r="ALG377" s="90"/>
      <c r="ALH377" s="90"/>
      <c r="ALI377" s="90"/>
      <c r="ALJ377" s="90"/>
      <c r="ALK377" s="90"/>
      <c r="ALL377" s="90"/>
      <c r="ALM377" s="90"/>
      <c r="ALN377" s="90"/>
      <c r="ALO377" s="90"/>
      <c r="ALP377" s="90"/>
      <c r="ALQ377" s="90"/>
      <c r="ALR377" s="90"/>
      <c r="ALS377" s="90"/>
      <c r="ALT377" s="90"/>
      <c r="ALU377" s="90"/>
      <c r="ALV377" s="90"/>
      <c r="ALW377" s="90"/>
      <c r="ALX377" s="90"/>
      <c r="ALY377" s="90"/>
      <c r="ALZ377" s="90"/>
      <c r="AMA377" s="90"/>
      <c r="AMB377" s="90"/>
      <c r="AMC377" s="90"/>
    </row>
    <row r="378" spans="1:1017">
      <c r="A378" s="98" t="s">
        <v>54</v>
      </c>
      <c r="B378" s="90" t="str">
        <f t="shared" si="1966"/>
        <v>Teri</v>
      </c>
      <c r="Q378" s="91">
        <f t="shared" si="1967"/>
        <v>0</v>
      </c>
      <c r="R378" s="91">
        <f t="shared" si="1968"/>
        <v>0</v>
      </c>
      <c r="AG378" s="91">
        <f t="shared" si="1969"/>
        <v>0</v>
      </c>
      <c r="AH378" s="91">
        <f t="shared" si="1970"/>
        <v>0</v>
      </c>
      <c r="AW378" s="91">
        <f t="shared" si="1971"/>
        <v>0</v>
      </c>
      <c r="AX378" s="91">
        <f t="shared" si="1972"/>
        <v>0</v>
      </c>
      <c r="BM378" s="91">
        <f t="shared" si="1973"/>
        <v>0</v>
      </c>
      <c r="BN378" s="91">
        <f t="shared" si="1974"/>
        <v>0</v>
      </c>
      <c r="CC378" s="91">
        <f t="shared" si="1975"/>
        <v>0</v>
      </c>
      <c r="CD378" s="91">
        <f t="shared" si="1976"/>
        <v>0</v>
      </c>
      <c r="CS378" s="91">
        <f t="shared" si="1977"/>
        <v>0</v>
      </c>
      <c r="CT378" s="91">
        <f t="shared" si="1978"/>
        <v>0</v>
      </c>
      <c r="DI378" s="91">
        <f t="shared" si="1979"/>
        <v>0</v>
      </c>
      <c r="DJ378" s="91">
        <f t="shared" si="1980"/>
        <v>0</v>
      </c>
      <c r="DY378" s="91">
        <f t="shared" si="1981"/>
        <v>0</v>
      </c>
      <c r="DZ378" s="91">
        <f t="shared" si="1982"/>
        <v>0</v>
      </c>
      <c r="EO378" s="91">
        <f t="shared" si="1983"/>
        <v>0</v>
      </c>
      <c r="EP378" s="91">
        <f t="shared" si="1984"/>
        <v>0</v>
      </c>
      <c r="FE378" s="91">
        <f t="shared" si="1985"/>
        <v>0</v>
      </c>
      <c r="FF378" s="91">
        <f t="shared" si="1986"/>
        <v>0</v>
      </c>
      <c r="FU378" s="91">
        <f t="shared" si="1987"/>
        <v>0</v>
      </c>
      <c r="FV378" s="91">
        <f t="shared" si="1988"/>
        <v>0</v>
      </c>
      <c r="GK378" s="91">
        <f t="shared" si="1989"/>
        <v>0</v>
      </c>
      <c r="GL378" s="91">
        <f t="shared" si="1990"/>
        <v>0</v>
      </c>
      <c r="HA378" s="91">
        <f t="shared" si="1991"/>
        <v>0</v>
      </c>
      <c r="HB378" s="91">
        <f t="shared" si="1992"/>
        <v>0</v>
      </c>
      <c r="HQ378" s="91">
        <f t="shared" si="1993"/>
        <v>0</v>
      </c>
      <c r="HR378" s="91">
        <f t="shared" si="1994"/>
        <v>0</v>
      </c>
      <c r="IG378" s="91">
        <f t="shared" si="1995"/>
        <v>0</v>
      </c>
      <c r="IH378" s="91">
        <f t="shared" si="1996"/>
        <v>0</v>
      </c>
      <c r="IW378" s="91">
        <f t="shared" si="1997"/>
        <v>0</v>
      </c>
      <c r="IX378" s="91">
        <f t="shared" si="1998"/>
        <v>0</v>
      </c>
      <c r="JM378" s="91">
        <f t="shared" si="1999"/>
        <v>0</v>
      </c>
      <c r="JN378" s="91">
        <f t="shared" si="2000"/>
        <v>0</v>
      </c>
      <c r="KC378" s="91">
        <f t="shared" si="2001"/>
        <v>0</v>
      </c>
      <c r="KD378" s="91">
        <f t="shared" si="2002"/>
        <v>0</v>
      </c>
      <c r="KS378" s="91">
        <f t="shared" si="2003"/>
        <v>0</v>
      </c>
      <c r="KT378" s="91">
        <f t="shared" si="2004"/>
        <v>0</v>
      </c>
      <c r="LI378" s="91">
        <f t="shared" si="2005"/>
        <v>0</v>
      </c>
      <c r="LJ378" s="91">
        <f t="shared" si="2006"/>
        <v>0</v>
      </c>
      <c r="LY378" s="91">
        <f t="shared" si="2007"/>
        <v>0</v>
      </c>
      <c r="LZ378" s="91">
        <f t="shared" si="2008"/>
        <v>0</v>
      </c>
      <c r="MO378" s="91">
        <f t="shared" si="2009"/>
        <v>0</v>
      </c>
      <c r="MP378" s="91">
        <f t="shared" si="2010"/>
        <v>0</v>
      </c>
      <c r="NE378" s="91">
        <f t="shared" si="2011"/>
        <v>0</v>
      </c>
      <c r="NF378" s="91">
        <f t="shared" si="2012"/>
        <v>0</v>
      </c>
      <c r="NU378" s="91">
        <f t="shared" si="2013"/>
        <v>0</v>
      </c>
      <c r="NV378" s="91">
        <f t="shared" si="2014"/>
        <v>0</v>
      </c>
      <c r="OK378" s="91">
        <f t="shared" si="2015"/>
        <v>0</v>
      </c>
      <c r="OL378" s="91">
        <f t="shared" si="2016"/>
        <v>0</v>
      </c>
      <c r="PA378" s="91">
        <f t="shared" si="2017"/>
        <v>0</v>
      </c>
      <c r="PB378" s="91">
        <f t="shared" si="2018"/>
        <v>0</v>
      </c>
      <c r="PQ378" s="91">
        <f t="shared" si="2019"/>
        <v>0</v>
      </c>
      <c r="PR378" s="91">
        <f t="shared" si="2020"/>
        <v>0</v>
      </c>
      <c r="QG378" s="91">
        <f t="shared" si="2021"/>
        <v>0</v>
      </c>
      <c r="QH378" s="91">
        <f t="shared" si="2022"/>
        <v>0</v>
      </c>
      <c r="QW378" s="91">
        <f t="shared" si="2023"/>
        <v>0</v>
      </c>
      <c r="QX378" s="91">
        <f t="shared" si="2024"/>
        <v>0</v>
      </c>
      <c r="RM378" s="91">
        <f t="shared" si="2025"/>
        <v>0</v>
      </c>
      <c r="RN378" s="91">
        <f t="shared" si="2026"/>
        <v>0</v>
      </c>
      <c r="SC378" s="91">
        <f t="shared" si="2027"/>
        <v>0</v>
      </c>
      <c r="SD378" s="91">
        <f t="shared" si="2028"/>
        <v>0</v>
      </c>
      <c r="SS378" s="91">
        <f t="shared" si="2029"/>
        <v>0</v>
      </c>
      <c r="ST378" s="91">
        <f t="shared" si="2030"/>
        <v>0</v>
      </c>
      <c r="TI378" s="91">
        <f t="shared" si="2031"/>
        <v>0</v>
      </c>
      <c r="TJ378" s="91">
        <f t="shared" si="2032"/>
        <v>0</v>
      </c>
      <c r="TY378" s="91">
        <f t="shared" si="2033"/>
        <v>0</v>
      </c>
      <c r="TZ378" s="91">
        <f t="shared" si="2034"/>
        <v>0</v>
      </c>
      <c r="UO378" s="91">
        <f t="shared" si="2035"/>
        <v>0</v>
      </c>
      <c r="UP378" s="91">
        <f t="shared" si="2036"/>
        <v>0</v>
      </c>
      <c r="VE378" s="91">
        <f t="shared" si="2037"/>
        <v>0</v>
      </c>
      <c r="VF378" s="91">
        <f t="shared" si="2038"/>
        <v>0</v>
      </c>
      <c r="VU378" s="91">
        <f t="shared" si="2039"/>
        <v>0</v>
      </c>
      <c r="VV378" s="91">
        <f t="shared" si="2040"/>
        <v>0</v>
      </c>
      <c r="WK378" s="91">
        <f t="shared" si="2041"/>
        <v>0</v>
      </c>
      <c r="WL378" s="91">
        <f t="shared" si="2042"/>
        <v>0</v>
      </c>
      <c r="WM378" s="89"/>
      <c r="WN378" s="87">
        <f t="shared" si="2043"/>
        <v>0</v>
      </c>
      <c r="WO378" s="87">
        <f t="shared" si="2044"/>
        <v>0</v>
      </c>
      <c r="WP378" s="87">
        <f t="shared" si="2045"/>
        <v>0</v>
      </c>
      <c r="WQ378" s="87">
        <f t="shared" si="2046"/>
        <v>0</v>
      </c>
      <c r="WR378" s="87">
        <f t="shared" si="2047"/>
        <v>0</v>
      </c>
      <c r="WS378" s="87">
        <f t="shared" si="2048"/>
        <v>0</v>
      </c>
      <c r="WT378" s="87">
        <f t="shared" si="2049"/>
        <v>0</v>
      </c>
      <c r="WU378" s="87">
        <f t="shared" si="2050"/>
        <v>0</v>
      </c>
      <c r="WV378" s="87">
        <f t="shared" si="2051"/>
        <v>0</v>
      </c>
      <c r="WW378" s="87">
        <f t="shared" si="2052"/>
        <v>0</v>
      </c>
      <c r="WX378" s="87">
        <f t="shared" si="2053"/>
        <v>0</v>
      </c>
      <c r="WY378" s="87">
        <f t="shared" si="2054"/>
        <v>0</v>
      </c>
      <c r="WZ378" s="87">
        <f t="shared" si="2055"/>
        <v>0</v>
      </c>
      <c r="XA378" s="87">
        <f t="shared" si="2056"/>
        <v>0</v>
      </c>
      <c r="XB378" s="92">
        <f t="shared" si="2057"/>
        <v>0</v>
      </c>
      <c r="XC378" s="92">
        <f t="shared" si="2058"/>
        <v>0</v>
      </c>
      <c r="XD378" s="89"/>
      <c r="XE378" s="92"/>
      <c r="XF378" s="92"/>
      <c r="XG378" s="89"/>
      <c r="XH378" s="92"/>
      <c r="XI378" s="92"/>
      <c r="XJ378" s="89"/>
      <c r="XK378" s="87"/>
      <c r="XL378" s="87"/>
      <c r="XM378" s="87"/>
      <c r="XN378" s="87"/>
      <c r="XO378" s="87"/>
      <c r="XP378" s="87"/>
      <c r="XQ378" s="87"/>
      <c r="XR378" s="92">
        <f t="shared" ca="1" si="2059"/>
        <v>0</v>
      </c>
      <c r="XS378" s="89"/>
      <c r="XT378" s="87"/>
      <c r="XU378" s="87"/>
      <c r="XV378" s="87"/>
      <c r="XW378" s="87"/>
      <c r="XX378" s="87"/>
      <c r="XY378" s="87"/>
      <c r="XZ378" s="87"/>
      <c r="YA378" s="92">
        <f t="shared" ca="1" si="2060"/>
        <v>0</v>
      </c>
      <c r="YB378" s="90"/>
      <c r="YC378" s="90"/>
      <c r="YD378" s="90"/>
      <c r="YE378" s="90"/>
      <c r="YF378" s="90"/>
      <c r="YG378" s="90"/>
      <c r="YH378" s="90"/>
      <c r="YI378" s="90"/>
      <c r="YJ378" s="90"/>
      <c r="YK378" s="90"/>
      <c r="YL378" s="90"/>
      <c r="YM378" s="90"/>
      <c r="YN378" s="90"/>
      <c r="YO378" s="90"/>
      <c r="YP378" s="90"/>
      <c r="YQ378" s="90"/>
      <c r="YR378" s="90"/>
      <c r="YS378" s="90"/>
      <c r="YT378" s="90"/>
      <c r="YU378" s="90"/>
      <c r="YV378" s="90"/>
      <c r="YW378" s="90"/>
      <c r="YX378" s="90"/>
      <c r="YY378" s="90"/>
      <c r="YZ378" s="90"/>
      <c r="ZA378" s="90"/>
      <c r="ZB378" s="90"/>
      <c r="ZC378" s="90"/>
      <c r="ZD378" s="90"/>
      <c r="ZE378" s="90"/>
      <c r="ZF378" s="90"/>
      <c r="ZG378" s="90"/>
      <c r="ZH378" s="90"/>
      <c r="ZI378" s="90"/>
      <c r="ZJ378" s="90"/>
      <c r="ZK378" s="90"/>
      <c r="ZL378" s="90"/>
      <c r="ZM378" s="90"/>
      <c r="ZN378" s="90"/>
      <c r="ZO378" s="90"/>
      <c r="ZP378" s="90"/>
      <c r="ZQ378" s="90"/>
      <c r="ZR378" s="90"/>
      <c r="ZS378" s="90"/>
      <c r="ZT378" s="90"/>
      <c r="ZU378" s="90"/>
      <c r="ZV378" s="90"/>
      <c r="ZW378" s="90"/>
      <c r="ZX378" s="90"/>
      <c r="ZY378" s="90"/>
      <c r="ZZ378" s="90"/>
      <c r="AAA378" s="90"/>
      <c r="AAB378" s="90"/>
      <c r="AAC378" s="90"/>
      <c r="AAD378" s="90"/>
      <c r="AAE378" s="90"/>
      <c r="AAF378" s="90"/>
      <c r="AAG378" s="90"/>
      <c r="AAH378" s="90"/>
      <c r="AAI378" s="90"/>
      <c r="AAJ378" s="90"/>
      <c r="AAK378" s="90"/>
      <c r="AAL378" s="90"/>
      <c r="AAM378" s="90"/>
      <c r="AAN378" s="90"/>
      <c r="AAO378" s="90"/>
      <c r="AAP378" s="90"/>
      <c r="AAQ378" s="90"/>
      <c r="AAR378" s="90"/>
      <c r="AAS378" s="90"/>
      <c r="AAT378" s="90"/>
      <c r="AAU378" s="90"/>
      <c r="AAV378" s="90"/>
      <c r="AAW378" s="90"/>
      <c r="AAX378" s="90"/>
      <c r="AAY378" s="90"/>
      <c r="AAZ378" s="90"/>
      <c r="ABA378" s="90"/>
      <c r="ABB378" s="90"/>
      <c r="ABC378" s="90"/>
      <c r="ABD378" s="90"/>
      <c r="ABE378" s="90"/>
      <c r="ABF378" s="90"/>
      <c r="ABG378" s="90"/>
      <c r="ABH378" s="90"/>
      <c r="ABI378" s="90"/>
      <c r="ABJ378" s="90"/>
      <c r="ABK378" s="90"/>
      <c r="ABL378" s="90"/>
      <c r="ABM378" s="90"/>
      <c r="ABN378" s="90"/>
      <c r="ABO378" s="90"/>
      <c r="ABP378" s="90"/>
      <c r="ABQ378" s="90"/>
      <c r="ABR378" s="90"/>
      <c r="ABS378" s="90"/>
      <c r="ABT378" s="90"/>
      <c r="ABU378" s="90"/>
      <c r="ABV378" s="90"/>
      <c r="ABW378" s="90"/>
      <c r="ABX378" s="90"/>
      <c r="ABY378" s="90"/>
      <c r="ABZ378" s="90"/>
      <c r="ACA378" s="90"/>
      <c r="ACB378" s="90"/>
      <c r="ACC378" s="90"/>
      <c r="ACD378" s="90"/>
      <c r="ACE378" s="90"/>
      <c r="ACF378" s="90"/>
      <c r="ACG378" s="90"/>
      <c r="ACH378" s="90"/>
      <c r="ACI378" s="90"/>
      <c r="ACJ378" s="90"/>
      <c r="ACK378" s="90"/>
      <c r="ACL378" s="90"/>
      <c r="ACM378" s="90"/>
      <c r="ACN378" s="90"/>
      <c r="ACO378" s="90"/>
      <c r="ACP378" s="90"/>
      <c r="ACQ378" s="90"/>
      <c r="ACR378" s="90"/>
      <c r="ACS378" s="90"/>
      <c r="ACT378" s="90"/>
      <c r="ACU378" s="90"/>
      <c r="ACV378" s="90"/>
      <c r="ACW378" s="90"/>
      <c r="ACX378" s="90"/>
      <c r="ACY378" s="90"/>
      <c r="ACZ378" s="90"/>
      <c r="ADA378" s="90"/>
      <c r="ADB378" s="90"/>
      <c r="ADC378" s="90"/>
      <c r="ADD378" s="90"/>
      <c r="ADE378" s="90"/>
      <c r="ADF378" s="90"/>
      <c r="ADG378" s="90"/>
      <c r="ADH378" s="90"/>
      <c r="ADI378" s="90"/>
      <c r="ADJ378" s="90"/>
      <c r="ADK378" s="90"/>
      <c r="ADL378" s="90"/>
      <c r="ADM378" s="90"/>
      <c r="ADN378" s="90"/>
      <c r="ADO378" s="90"/>
      <c r="ADP378" s="90"/>
      <c r="ADQ378" s="90"/>
      <c r="ADR378" s="90"/>
      <c r="ADS378" s="90"/>
      <c r="ADT378" s="90"/>
      <c r="ADU378" s="90"/>
      <c r="ADV378" s="90"/>
      <c r="ADW378" s="90"/>
      <c r="ADX378" s="90"/>
      <c r="ADY378" s="90"/>
      <c r="ADZ378" s="90"/>
      <c r="AEA378" s="90"/>
      <c r="AEB378" s="90"/>
      <c r="AEC378" s="90"/>
      <c r="AED378" s="90"/>
      <c r="AEE378" s="90"/>
      <c r="AEF378" s="90"/>
      <c r="AEG378" s="90"/>
      <c r="AEH378" s="90"/>
      <c r="AEI378" s="90"/>
      <c r="AEJ378" s="90"/>
      <c r="AEK378" s="90"/>
      <c r="AEL378" s="90"/>
      <c r="AEM378" s="90"/>
      <c r="AEN378" s="90"/>
      <c r="AEO378" s="90"/>
      <c r="AEP378" s="90"/>
      <c r="AEQ378" s="90"/>
      <c r="AER378" s="90"/>
      <c r="AES378" s="90"/>
      <c r="AET378" s="90"/>
      <c r="AEU378" s="90"/>
      <c r="AEV378" s="90"/>
      <c r="AEW378" s="90"/>
      <c r="AEX378" s="90"/>
      <c r="AEY378" s="90"/>
      <c r="AEZ378" s="90"/>
      <c r="AFA378" s="90"/>
      <c r="AFB378" s="90"/>
      <c r="AFC378" s="90"/>
      <c r="AFD378" s="90"/>
      <c r="AFE378" s="90"/>
      <c r="AFF378" s="90"/>
      <c r="AFG378" s="90"/>
      <c r="AFH378" s="90"/>
      <c r="AFI378" s="90"/>
      <c r="AFJ378" s="90"/>
      <c r="AFK378" s="90"/>
      <c r="AFL378" s="90"/>
      <c r="AFM378" s="90"/>
      <c r="AFN378" s="90"/>
      <c r="AFO378" s="90"/>
      <c r="AFP378" s="90"/>
      <c r="AFQ378" s="90"/>
      <c r="AFR378" s="90"/>
      <c r="AFS378" s="90"/>
      <c r="AFT378" s="90"/>
      <c r="AFU378" s="90"/>
      <c r="AFV378" s="90"/>
      <c r="AFW378" s="90"/>
      <c r="AFX378" s="90"/>
      <c r="AFY378" s="90"/>
      <c r="AFZ378" s="90"/>
      <c r="AGA378" s="90"/>
      <c r="AGB378" s="90"/>
      <c r="AGC378" s="90"/>
      <c r="AGD378" s="90"/>
      <c r="AGE378" s="90"/>
      <c r="AGF378" s="90"/>
      <c r="AGG378" s="90"/>
      <c r="AGH378" s="90"/>
      <c r="AGI378" s="90"/>
      <c r="AGJ378" s="90"/>
      <c r="AGK378" s="90"/>
      <c r="AGL378" s="90"/>
      <c r="AGM378" s="90"/>
      <c r="AGN378" s="90"/>
      <c r="AGO378" s="90"/>
      <c r="AGP378" s="90"/>
      <c r="AGQ378" s="90"/>
      <c r="AGR378" s="90"/>
      <c r="AGS378" s="90"/>
      <c r="AGT378" s="90"/>
      <c r="AGU378" s="90"/>
      <c r="AGV378" s="90"/>
      <c r="AGW378" s="90"/>
      <c r="AGX378" s="90"/>
      <c r="AGY378" s="90"/>
      <c r="AGZ378" s="90"/>
      <c r="AHA378" s="90"/>
      <c r="AHB378" s="90"/>
      <c r="AHC378" s="90"/>
      <c r="AHD378" s="90"/>
      <c r="AHE378" s="90"/>
      <c r="AHF378" s="90"/>
      <c r="AHG378" s="90"/>
      <c r="AHH378" s="90"/>
      <c r="AHI378" s="90"/>
      <c r="AHJ378" s="90"/>
      <c r="AHK378" s="90"/>
      <c r="AHL378" s="90"/>
      <c r="AHM378" s="90"/>
      <c r="AHN378" s="90"/>
      <c r="AHO378" s="90"/>
      <c r="AHP378" s="90"/>
      <c r="AHQ378" s="90"/>
      <c r="AHR378" s="90"/>
      <c r="AHS378" s="90"/>
      <c r="AHT378" s="90"/>
      <c r="AHU378" s="90"/>
      <c r="AHV378" s="90"/>
      <c r="AHW378" s="90"/>
      <c r="AHX378" s="90"/>
      <c r="AHY378" s="90"/>
      <c r="AHZ378" s="90"/>
      <c r="AIA378" s="90"/>
      <c r="AIB378" s="90"/>
      <c r="AIC378" s="90"/>
      <c r="AID378" s="90"/>
      <c r="AIE378" s="90"/>
      <c r="AIF378" s="90"/>
      <c r="AIG378" s="90"/>
      <c r="AIH378" s="90"/>
      <c r="AII378" s="90"/>
      <c r="AIJ378" s="90"/>
      <c r="AIK378" s="90"/>
      <c r="AIL378" s="90"/>
      <c r="AIM378" s="90"/>
      <c r="AIN378" s="90"/>
      <c r="AIO378" s="90"/>
      <c r="AIP378" s="90"/>
      <c r="AIQ378" s="90"/>
      <c r="AIR378" s="90"/>
      <c r="AIS378" s="90"/>
      <c r="AIT378" s="90"/>
      <c r="AIU378" s="90"/>
      <c r="AIV378" s="90"/>
      <c r="AIW378" s="90"/>
      <c r="AIX378" s="90"/>
      <c r="AIY378" s="90"/>
      <c r="AIZ378" s="90"/>
      <c r="AJA378" s="90"/>
      <c r="AJB378" s="90"/>
      <c r="AJC378" s="90"/>
      <c r="AJD378" s="90"/>
      <c r="AJE378" s="90"/>
      <c r="AJF378" s="90"/>
      <c r="AJG378" s="90"/>
      <c r="AJH378" s="90"/>
      <c r="AJI378" s="90"/>
      <c r="AJJ378" s="90"/>
      <c r="AJK378" s="90"/>
      <c r="AJL378" s="90"/>
      <c r="AJM378" s="90"/>
      <c r="AJN378" s="90"/>
      <c r="AJO378" s="90"/>
      <c r="AJP378" s="90"/>
      <c r="AJQ378" s="90"/>
      <c r="AJR378" s="90"/>
      <c r="AJS378" s="90"/>
      <c r="AJT378" s="90"/>
      <c r="AJU378" s="90"/>
      <c r="AJV378" s="90"/>
      <c r="AJW378" s="90"/>
      <c r="AJX378" s="90"/>
      <c r="AJY378" s="90"/>
      <c r="AJZ378" s="90"/>
      <c r="AKA378" s="90"/>
      <c r="AKB378" s="90"/>
      <c r="AKC378" s="90"/>
      <c r="AKD378" s="90"/>
      <c r="AKE378" s="90"/>
      <c r="AKF378" s="90"/>
      <c r="AKG378" s="90"/>
      <c r="AKH378" s="90"/>
      <c r="AKI378" s="90"/>
      <c r="AKJ378" s="90"/>
      <c r="AKK378" s="90"/>
      <c r="AKL378" s="90"/>
      <c r="AKM378" s="90"/>
      <c r="AKN378" s="90"/>
      <c r="AKO378" s="90"/>
      <c r="AKP378" s="90"/>
      <c r="AKQ378" s="90"/>
      <c r="AKR378" s="90"/>
      <c r="AKS378" s="90"/>
      <c r="AKT378" s="90"/>
      <c r="AKU378" s="90"/>
      <c r="AKV378" s="90"/>
      <c r="AKW378" s="90"/>
      <c r="AKX378" s="90"/>
      <c r="AKY378" s="90"/>
      <c r="AKZ378" s="90"/>
      <c r="ALA378" s="90"/>
      <c r="ALB378" s="90"/>
      <c r="ALC378" s="90"/>
      <c r="ALD378" s="90"/>
      <c r="ALE378" s="90"/>
      <c r="ALF378" s="90"/>
      <c r="ALG378" s="90"/>
      <c r="ALH378" s="90"/>
      <c r="ALI378" s="90"/>
      <c r="ALJ378" s="90"/>
      <c r="ALK378" s="90"/>
      <c r="ALL378" s="90"/>
      <c r="ALM378" s="90"/>
      <c r="ALN378" s="90"/>
      <c r="ALO378" s="90"/>
      <c r="ALP378" s="90"/>
      <c r="ALQ378" s="90"/>
      <c r="ALR378" s="90"/>
      <c r="ALS378" s="90"/>
      <c r="ALT378" s="90"/>
      <c r="ALU378" s="90"/>
      <c r="ALV378" s="90"/>
      <c r="ALW378" s="90"/>
      <c r="ALX378" s="90"/>
      <c r="ALY378" s="90"/>
      <c r="ALZ378" s="90"/>
      <c r="AMA378" s="90"/>
      <c r="AMB378" s="90"/>
      <c r="AMC378" s="90"/>
    </row>
    <row r="379" spans="1:1017">
      <c r="A379" s="98" t="s">
        <v>54</v>
      </c>
      <c r="B379" s="90" t="str">
        <f t="shared" si="1966"/>
        <v xml:space="preserve">Udang Galah </v>
      </c>
      <c r="Q379" s="91">
        <f t="shared" si="1967"/>
        <v>0</v>
      </c>
      <c r="R379" s="91">
        <f t="shared" si="1968"/>
        <v>0</v>
      </c>
      <c r="AG379" s="91">
        <f t="shared" si="1969"/>
        <v>0</v>
      </c>
      <c r="AH379" s="91">
        <f t="shared" si="1970"/>
        <v>0</v>
      </c>
      <c r="AW379" s="91">
        <f t="shared" si="1971"/>
        <v>0</v>
      </c>
      <c r="AX379" s="91">
        <f t="shared" si="1972"/>
        <v>0</v>
      </c>
      <c r="BM379" s="91">
        <f t="shared" si="1973"/>
        <v>0</v>
      </c>
      <c r="BN379" s="91">
        <f t="shared" si="1974"/>
        <v>0</v>
      </c>
      <c r="CC379" s="91">
        <f t="shared" si="1975"/>
        <v>0</v>
      </c>
      <c r="CD379" s="91">
        <f t="shared" si="1976"/>
        <v>0</v>
      </c>
      <c r="CS379" s="91">
        <f t="shared" si="1977"/>
        <v>0</v>
      </c>
      <c r="CT379" s="91">
        <f t="shared" si="1978"/>
        <v>0</v>
      </c>
      <c r="DI379" s="91">
        <f t="shared" si="1979"/>
        <v>0</v>
      </c>
      <c r="DJ379" s="91">
        <f t="shared" si="1980"/>
        <v>0</v>
      </c>
      <c r="DY379" s="91">
        <f t="shared" si="1981"/>
        <v>0</v>
      </c>
      <c r="DZ379" s="91">
        <f t="shared" si="1982"/>
        <v>0</v>
      </c>
      <c r="EO379" s="91">
        <f t="shared" si="1983"/>
        <v>0</v>
      </c>
      <c r="EP379" s="91">
        <f t="shared" si="1984"/>
        <v>0</v>
      </c>
      <c r="FE379" s="91">
        <f t="shared" si="1985"/>
        <v>0</v>
      </c>
      <c r="FF379" s="91">
        <f t="shared" si="1986"/>
        <v>0</v>
      </c>
      <c r="FU379" s="91">
        <f t="shared" si="1987"/>
        <v>0</v>
      </c>
      <c r="FV379" s="91">
        <f t="shared" si="1988"/>
        <v>0</v>
      </c>
      <c r="GK379" s="91">
        <f t="shared" si="1989"/>
        <v>0</v>
      </c>
      <c r="GL379" s="91">
        <f t="shared" si="1990"/>
        <v>0</v>
      </c>
      <c r="HA379" s="91">
        <f t="shared" si="1991"/>
        <v>0</v>
      </c>
      <c r="HB379" s="91">
        <f t="shared" si="1992"/>
        <v>0</v>
      </c>
      <c r="HQ379" s="91">
        <f t="shared" si="1993"/>
        <v>0</v>
      </c>
      <c r="HR379" s="91">
        <f t="shared" si="1994"/>
        <v>0</v>
      </c>
      <c r="IG379" s="91">
        <f t="shared" si="1995"/>
        <v>0</v>
      </c>
      <c r="IH379" s="91">
        <f t="shared" si="1996"/>
        <v>0</v>
      </c>
      <c r="IW379" s="91">
        <f t="shared" si="1997"/>
        <v>0</v>
      </c>
      <c r="IX379" s="91">
        <f t="shared" si="1998"/>
        <v>0</v>
      </c>
      <c r="JM379" s="91">
        <f t="shared" si="1999"/>
        <v>0</v>
      </c>
      <c r="JN379" s="91">
        <f t="shared" si="2000"/>
        <v>0</v>
      </c>
      <c r="KC379" s="91">
        <f t="shared" si="2001"/>
        <v>0</v>
      </c>
      <c r="KD379" s="91">
        <f t="shared" si="2002"/>
        <v>0</v>
      </c>
      <c r="KS379" s="91">
        <f t="shared" si="2003"/>
        <v>0</v>
      </c>
      <c r="KT379" s="91">
        <f t="shared" si="2004"/>
        <v>0</v>
      </c>
      <c r="LI379" s="91">
        <f t="shared" si="2005"/>
        <v>0</v>
      </c>
      <c r="LJ379" s="91">
        <f t="shared" si="2006"/>
        <v>0</v>
      </c>
      <c r="LY379" s="91">
        <f t="shared" si="2007"/>
        <v>0</v>
      </c>
      <c r="LZ379" s="91">
        <f t="shared" si="2008"/>
        <v>0</v>
      </c>
      <c r="MO379" s="91">
        <f t="shared" si="2009"/>
        <v>0</v>
      </c>
      <c r="MP379" s="91">
        <f t="shared" si="2010"/>
        <v>0</v>
      </c>
      <c r="NE379" s="91">
        <f t="shared" si="2011"/>
        <v>0</v>
      </c>
      <c r="NF379" s="91">
        <f t="shared" si="2012"/>
        <v>0</v>
      </c>
      <c r="NU379" s="91">
        <f t="shared" si="2013"/>
        <v>0</v>
      </c>
      <c r="NV379" s="91">
        <f t="shared" si="2014"/>
        <v>0</v>
      </c>
      <c r="OK379" s="91">
        <f t="shared" si="2015"/>
        <v>0</v>
      </c>
      <c r="OL379" s="91">
        <f t="shared" si="2016"/>
        <v>0</v>
      </c>
      <c r="PA379" s="91">
        <f t="shared" si="2017"/>
        <v>0</v>
      </c>
      <c r="PB379" s="91">
        <f t="shared" si="2018"/>
        <v>0</v>
      </c>
      <c r="PQ379" s="91">
        <f t="shared" si="2019"/>
        <v>0</v>
      </c>
      <c r="PR379" s="91">
        <f t="shared" si="2020"/>
        <v>0</v>
      </c>
      <c r="QG379" s="91">
        <f t="shared" si="2021"/>
        <v>0</v>
      </c>
      <c r="QH379" s="91">
        <f t="shared" si="2022"/>
        <v>0</v>
      </c>
      <c r="QW379" s="91">
        <f t="shared" si="2023"/>
        <v>0</v>
      </c>
      <c r="QX379" s="91">
        <f t="shared" si="2024"/>
        <v>0</v>
      </c>
      <c r="RM379" s="91">
        <f t="shared" si="2025"/>
        <v>0</v>
      </c>
      <c r="RN379" s="91">
        <f t="shared" si="2026"/>
        <v>0</v>
      </c>
      <c r="SC379" s="91">
        <f t="shared" si="2027"/>
        <v>0</v>
      </c>
      <c r="SD379" s="91">
        <f t="shared" si="2028"/>
        <v>0</v>
      </c>
      <c r="SS379" s="91">
        <f t="shared" si="2029"/>
        <v>0</v>
      </c>
      <c r="ST379" s="91">
        <f t="shared" si="2030"/>
        <v>0</v>
      </c>
      <c r="TI379" s="91">
        <f t="shared" si="2031"/>
        <v>0</v>
      </c>
      <c r="TJ379" s="91">
        <f t="shared" si="2032"/>
        <v>0</v>
      </c>
      <c r="TY379" s="91">
        <f t="shared" si="2033"/>
        <v>0</v>
      </c>
      <c r="TZ379" s="91">
        <f t="shared" si="2034"/>
        <v>0</v>
      </c>
      <c r="UO379" s="91">
        <f t="shared" si="2035"/>
        <v>0</v>
      </c>
      <c r="UP379" s="91">
        <f t="shared" si="2036"/>
        <v>0</v>
      </c>
      <c r="VE379" s="91">
        <f t="shared" si="2037"/>
        <v>0</v>
      </c>
      <c r="VF379" s="91">
        <f t="shared" si="2038"/>
        <v>0</v>
      </c>
      <c r="VU379" s="91">
        <f t="shared" si="2039"/>
        <v>0</v>
      </c>
      <c r="VV379" s="91">
        <f t="shared" si="2040"/>
        <v>0</v>
      </c>
      <c r="WK379" s="91">
        <f t="shared" si="2041"/>
        <v>0</v>
      </c>
      <c r="WL379" s="91">
        <f t="shared" si="2042"/>
        <v>0</v>
      </c>
      <c r="WM379" s="89"/>
      <c r="WN379" s="87">
        <f t="shared" si="2043"/>
        <v>0</v>
      </c>
      <c r="WO379" s="87">
        <f t="shared" si="2044"/>
        <v>0</v>
      </c>
      <c r="WP379" s="87">
        <f t="shared" si="2045"/>
        <v>0</v>
      </c>
      <c r="WQ379" s="87">
        <f t="shared" si="2046"/>
        <v>0</v>
      </c>
      <c r="WR379" s="87">
        <f t="shared" si="2047"/>
        <v>0</v>
      </c>
      <c r="WS379" s="87">
        <f t="shared" si="2048"/>
        <v>0</v>
      </c>
      <c r="WT379" s="87">
        <f t="shared" si="2049"/>
        <v>0</v>
      </c>
      <c r="WU379" s="87">
        <f t="shared" si="2050"/>
        <v>0</v>
      </c>
      <c r="WV379" s="87">
        <f t="shared" si="2051"/>
        <v>0</v>
      </c>
      <c r="WW379" s="87">
        <f t="shared" si="2052"/>
        <v>0</v>
      </c>
      <c r="WX379" s="87">
        <f t="shared" si="2053"/>
        <v>0</v>
      </c>
      <c r="WY379" s="87">
        <f t="shared" si="2054"/>
        <v>0</v>
      </c>
      <c r="WZ379" s="87">
        <f t="shared" ref="WZ379:WZ392" si="2061">SUMIF($C$5:$WL$5,$WZ$5,C379:WL379)</f>
        <v>0</v>
      </c>
      <c r="XA379" s="87">
        <f t="shared" ref="XA379:XA392" si="2062">SUMIF($C$5:$WL$5,$XA$5,C379:WL379)</f>
        <v>0</v>
      </c>
      <c r="XB379" s="92">
        <f t="shared" ref="XB379:XB392" si="2063">SUMIF($WN$12:$XA$12,$XB$12,WN379:XA379)</f>
        <v>0</v>
      </c>
      <c r="XC379" s="92">
        <f t="shared" ref="XC379:XC392" si="2064">SUMIF($WN$12:$XA$12,$XC$12,WN379:XA379)</f>
        <v>0</v>
      </c>
      <c r="XD379" s="89"/>
      <c r="XE379" s="92"/>
      <c r="XF379" s="92"/>
      <c r="XG379" s="89"/>
      <c r="XH379" s="92"/>
      <c r="XI379" s="92"/>
      <c r="XJ379" s="89"/>
      <c r="XK379" s="87"/>
      <c r="XL379" s="87"/>
      <c r="XM379" s="87"/>
      <c r="XN379" s="87"/>
      <c r="XO379" s="87"/>
      <c r="XP379" s="87"/>
      <c r="XQ379" s="87"/>
      <c r="XR379" s="92">
        <f t="shared" ca="1" si="2059"/>
        <v>0</v>
      </c>
      <c r="XS379" s="89"/>
      <c r="XT379" s="87"/>
      <c r="XU379" s="87"/>
      <c r="XV379" s="87"/>
      <c r="XW379" s="87"/>
      <c r="XX379" s="87"/>
      <c r="XY379" s="87"/>
      <c r="XZ379" s="87"/>
      <c r="YA379" s="92">
        <f t="shared" ca="1" si="2060"/>
        <v>0</v>
      </c>
      <c r="YB379" s="90"/>
      <c r="YC379" s="90"/>
      <c r="YD379" s="90"/>
      <c r="YE379" s="90"/>
      <c r="YF379" s="90"/>
      <c r="YG379" s="90"/>
      <c r="YH379" s="90"/>
      <c r="YI379" s="90"/>
      <c r="YJ379" s="90"/>
      <c r="YK379" s="90"/>
      <c r="YL379" s="90"/>
      <c r="YM379" s="90"/>
      <c r="YN379" s="90"/>
      <c r="YO379" s="90"/>
      <c r="YP379" s="90"/>
      <c r="YQ379" s="90"/>
      <c r="YR379" s="90"/>
      <c r="YS379" s="90"/>
      <c r="YT379" s="90"/>
      <c r="YU379" s="90"/>
      <c r="YV379" s="90"/>
      <c r="YW379" s="90"/>
      <c r="YX379" s="90"/>
      <c r="YY379" s="90"/>
      <c r="YZ379" s="90"/>
      <c r="ZA379" s="90"/>
      <c r="ZB379" s="90"/>
      <c r="ZC379" s="90"/>
      <c r="ZD379" s="90"/>
      <c r="ZE379" s="90"/>
      <c r="ZF379" s="90"/>
      <c r="ZG379" s="90"/>
      <c r="ZH379" s="90"/>
      <c r="ZI379" s="90"/>
      <c r="ZJ379" s="90"/>
      <c r="ZK379" s="90"/>
      <c r="ZL379" s="90"/>
      <c r="ZM379" s="90"/>
      <c r="ZN379" s="90"/>
      <c r="ZO379" s="90"/>
      <c r="ZP379" s="90"/>
      <c r="ZQ379" s="90"/>
      <c r="ZR379" s="90"/>
      <c r="ZS379" s="90"/>
      <c r="ZT379" s="90"/>
      <c r="ZU379" s="90"/>
      <c r="ZV379" s="90"/>
      <c r="ZW379" s="90"/>
      <c r="ZX379" s="90"/>
      <c r="ZY379" s="90"/>
      <c r="ZZ379" s="90"/>
      <c r="AAA379" s="90"/>
      <c r="AAB379" s="90"/>
      <c r="AAC379" s="90"/>
      <c r="AAD379" s="90"/>
      <c r="AAE379" s="90"/>
      <c r="AAF379" s="90"/>
      <c r="AAG379" s="90"/>
      <c r="AAH379" s="90"/>
      <c r="AAI379" s="90"/>
      <c r="AAJ379" s="90"/>
      <c r="AAK379" s="90"/>
      <c r="AAL379" s="90"/>
      <c r="AAM379" s="90"/>
      <c r="AAN379" s="90"/>
      <c r="AAO379" s="90"/>
      <c r="AAP379" s="90"/>
      <c r="AAQ379" s="90"/>
      <c r="AAR379" s="90"/>
      <c r="AAS379" s="90"/>
      <c r="AAT379" s="90"/>
      <c r="AAU379" s="90"/>
      <c r="AAV379" s="90"/>
      <c r="AAW379" s="90"/>
      <c r="AAX379" s="90"/>
      <c r="AAY379" s="90"/>
      <c r="AAZ379" s="90"/>
      <c r="ABA379" s="90"/>
      <c r="ABB379" s="90"/>
      <c r="ABC379" s="90"/>
      <c r="ABD379" s="90"/>
      <c r="ABE379" s="90"/>
      <c r="ABF379" s="90"/>
      <c r="ABG379" s="90"/>
      <c r="ABH379" s="90"/>
      <c r="ABI379" s="90"/>
      <c r="ABJ379" s="90"/>
      <c r="ABK379" s="90"/>
      <c r="ABL379" s="90"/>
      <c r="ABM379" s="90"/>
      <c r="ABN379" s="90"/>
      <c r="ABO379" s="90"/>
      <c r="ABP379" s="90"/>
      <c r="ABQ379" s="90"/>
      <c r="ABR379" s="90"/>
      <c r="ABS379" s="90"/>
      <c r="ABT379" s="90"/>
      <c r="ABU379" s="90"/>
      <c r="ABV379" s="90"/>
      <c r="ABW379" s="90"/>
      <c r="ABX379" s="90"/>
      <c r="ABY379" s="90"/>
      <c r="ABZ379" s="90"/>
      <c r="ACA379" s="90"/>
      <c r="ACB379" s="90"/>
      <c r="ACC379" s="90"/>
      <c r="ACD379" s="90"/>
      <c r="ACE379" s="90"/>
      <c r="ACF379" s="90"/>
      <c r="ACG379" s="90"/>
      <c r="ACH379" s="90"/>
      <c r="ACI379" s="90"/>
      <c r="ACJ379" s="90"/>
      <c r="ACK379" s="90"/>
      <c r="ACL379" s="90"/>
      <c r="ACM379" s="90"/>
      <c r="ACN379" s="90"/>
      <c r="ACO379" s="90"/>
      <c r="ACP379" s="90"/>
      <c r="ACQ379" s="90"/>
      <c r="ACR379" s="90"/>
      <c r="ACS379" s="90"/>
      <c r="ACT379" s="90"/>
      <c r="ACU379" s="90"/>
      <c r="ACV379" s="90"/>
      <c r="ACW379" s="90"/>
      <c r="ACX379" s="90"/>
      <c r="ACY379" s="90"/>
      <c r="ACZ379" s="90"/>
      <c r="ADA379" s="90"/>
      <c r="ADB379" s="90"/>
      <c r="ADC379" s="90"/>
      <c r="ADD379" s="90"/>
      <c r="ADE379" s="90"/>
      <c r="ADF379" s="90"/>
      <c r="ADG379" s="90"/>
      <c r="ADH379" s="90"/>
      <c r="ADI379" s="90"/>
      <c r="ADJ379" s="90"/>
      <c r="ADK379" s="90"/>
      <c r="ADL379" s="90"/>
      <c r="ADM379" s="90"/>
      <c r="ADN379" s="90"/>
      <c r="ADO379" s="90"/>
      <c r="ADP379" s="90"/>
      <c r="ADQ379" s="90"/>
      <c r="ADR379" s="90"/>
      <c r="ADS379" s="90"/>
      <c r="ADT379" s="90"/>
      <c r="ADU379" s="90"/>
      <c r="ADV379" s="90"/>
      <c r="ADW379" s="90"/>
      <c r="ADX379" s="90"/>
      <c r="ADY379" s="90"/>
      <c r="ADZ379" s="90"/>
      <c r="AEA379" s="90"/>
      <c r="AEB379" s="90"/>
      <c r="AEC379" s="90"/>
      <c r="AED379" s="90"/>
      <c r="AEE379" s="90"/>
      <c r="AEF379" s="90"/>
      <c r="AEG379" s="90"/>
      <c r="AEH379" s="90"/>
      <c r="AEI379" s="90"/>
      <c r="AEJ379" s="90"/>
      <c r="AEK379" s="90"/>
      <c r="AEL379" s="90"/>
      <c r="AEM379" s="90"/>
      <c r="AEN379" s="90"/>
      <c r="AEO379" s="90"/>
      <c r="AEP379" s="90"/>
      <c r="AEQ379" s="90"/>
      <c r="AER379" s="90"/>
      <c r="AES379" s="90"/>
      <c r="AET379" s="90"/>
      <c r="AEU379" s="90"/>
      <c r="AEV379" s="90"/>
      <c r="AEW379" s="90"/>
      <c r="AEX379" s="90"/>
      <c r="AEY379" s="90"/>
      <c r="AEZ379" s="90"/>
      <c r="AFA379" s="90"/>
      <c r="AFB379" s="90"/>
      <c r="AFC379" s="90"/>
      <c r="AFD379" s="90"/>
      <c r="AFE379" s="90"/>
      <c r="AFF379" s="90"/>
      <c r="AFG379" s="90"/>
      <c r="AFH379" s="90"/>
      <c r="AFI379" s="90"/>
      <c r="AFJ379" s="90"/>
      <c r="AFK379" s="90"/>
      <c r="AFL379" s="90"/>
      <c r="AFM379" s="90"/>
      <c r="AFN379" s="90"/>
      <c r="AFO379" s="90"/>
      <c r="AFP379" s="90"/>
      <c r="AFQ379" s="90"/>
      <c r="AFR379" s="90"/>
      <c r="AFS379" s="90"/>
      <c r="AFT379" s="90"/>
      <c r="AFU379" s="90"/>
      <c r="AFV379" s="90"/>
      <c r="AFW379" s="90"/>
      <c r="AFX379" s="90"/>
      <c r="AFY379" s="90"/>
      <c r="AFZ379" s="90"/>
      <c r="AGA379" s="90"/>
      <c r="AGB379" s="90"/>
      <c r="AGC379" s="90"/>
      <c r="AGD379" s="90"/>
      <c r="AGE379" s="90"/>
      <c r="AGF379" s="90"/>
      <c r="AGG379" s="90"/>
      <c r="AGH379" s="90"/>
      <c r="AGI379" s="90"/>
      <c r="AGJ379" s="90"/>
      <c r="AGK379" s="90"/>
      <c r="AGL379" s="90"/>
      <c r="AGM379" s="90"/>
      <c r="AGN379" s="90"/>
      <c r="AGO379" s="90"/>
      <c r="AGP379" s="90"/>
      <c r="AGQ379" s="90"/>
      <c r="AGR379" s="90"/>
      <c r="AGS379" s="90"/>
      <c r="AGT379" s="90"/>
      <c r="AGU379" s="90"/>
      <c r="AGV379" s="90"/>
      <c r="AGW379" s="90"/>
      <c r="AGX379" s="90"/>
      <c r="AGY379" s="90"/>
      <c r="AGZ379" s="90"/>
      <c r="AHA379" s="90"/>
      <c r="AHB379" s="90"/>
      <c r="AHC379" s="90"/>
      <c r="AHD379" s="90"/>
      <c r="AHE379" s="90"/>
      <c r="AHF379" s="90"/>
      <c r="AHG379" s="90"/>
      <c r="AHH379" s="90"/>
      <c r="AHI379" s="90"/>
      <c r="AHJ379" s="90"/>
      <c r="AHK379" s="90"/>
      <c r="AHL379" s="90"/>
      <c r="AHM379" s="90"/>
      <c r="AHN379" s="90"/>
      <c r="AHO379" s="90"/>
      <c r="AHP379" s="90"/>
      <c r="AHQ379" s="90"/>
      <c r="AHR379" s="90"/>
      <c r="AHS379" s="90"/>
      <c r="AHT379" s="90"/>
      <c r="AHU379" s="90"/>
      <c r="AHV379" s="90"/>
      <c r="AHW379" s="90"/>
      <c r="AHX379" s="90"/>
      <c r="AHY379" s="90"/>
      <c r="AHZ379" s="90"/>
      <c r="AIA379" s="90"/>
      <c r="AIB379" s="90"/>
      <c r="AIC379" s="90"/>
      <c r="AID379" s="90"/>
      <c r="AIE379" s="90"/>
      <c r="AIF379" s="90"/>
      <c r="AIG379" s="90"/>
      <c r="AIH379" s="90"/>
      <c r="AII379" s="90"/>
      <c r="AIJ379" s="90"/>
      <c r="AIK379" s="90"/>
      <c r="AIL379" s="90"/>
      <c r="AIM379" s="90"/>
      <c r="AIN379" s="90"/>
      <c r="AIO379" s="90"/>
      <c r="AIP379" s="90"/>
      <c r="AIQ379" s="90"/>
      <c r="AIR379" s="90"/>
      <c r="AIS379" s="90"/>
      <c r="AIT379" s="90"/>
      <c r="AIU379" s="90"/>
      <c r="AIV379" s="90"/>
      <c r="AIW379" s="90"/>
      <c r="AIX379" s="90"/>
      <c r="AIY379" s="90"/>
      <c r="AIZ379" s="90"/>
      <c r="AJA379" s="90"/>
      <c r="AJB379" s="90"/>
      <c r="AJC379" s="90"/>
      <c r="AJD379" s="90"/>
      <c r="AJE379" s="90"/>
      <c r="AJF379" s="90"/>
      <c r="AJG379" s="90"/>
      <c r="AJH379" s="90"/>
      <c r="AJI379" s="90"/>
      <c r="AJJ379" s="90"/>
      <c r="AJK379" s="90"/>
      <c r="AJL379" s="90"/>
      <c r="AJM379" s="90"/>
      <c r="AJN379" s="90"/>
      <c r="AJO379" s="90"/>
      <c r="AJP379" s="90"/>
      <c r="AJQ379" s="90"/>
      <c r="AJR379" s="90"/>
      <c r="AJS379" s="90"/>
      <c r="AJT379" s="90"/>
      <c r="AJU379" s="90"/>
      <c r="AJV379" s="90"/>
      <c r="AJW379" s="90"/>
      <c r="AJX379" s="90"/>
      <c r="AJY379" s="90"/>
      <c r="AJZ379" s="90"/>
      <c r="AKA379" s="90"/>
      <c r="AKB379" s="90"/>
      <c r="AKC379" s="90"/>
      <c r="AKD379" s="90"/>
      <c r="AKE379" s="90"/>
      <c r="AKF379" s="90"/>
      <c r="AKG379" s="90"/>
      <c r="AKH379" s="90"/>
      <c r="AKI379" s="90"/>
      <c r="AKJ379" s="90"/>
      <c r="AKK379" s="90"/>
      <c r="AKL379" s="90"/>
      <c r="AKM379" s="90"/>
      <c r="AKN379" s="90"/>
      <c r="AKO379" s="90"/>
      <c r="AKP379" s="90"/>
      <c r="AKQ379" s="90"/>
      <c r="AKR379" s="90"/>
      <c r="AKS379" s="90"/>
      <c r="AKT379" s="90"/>
      <c r="AKU379" s="90"/>
      <c r="AKV379" s="90"/>
      <c r="AKW379" s="90"/>
      <c r="AKX379" s="90"/>
      <c r="AKY379" s="90"/>
      <c r="AKZ379" s="90"/>
      <c r="ALA379" s="90"/>
      <c r="ALB379" s="90"/>
      <c r="ALC379" s="90"/>
      <c r="ALD379" s="90"/>
      <c r="ALE379" s="90"/>
      <c r="ALF379" s="90"/>
      <c r="ALG379" s="90"/>
      <c r="ALH379" s="90"/>
      <c r="ALI379" s="90"/>
      <c r="ALJ379" s="90"/>
      <c r="ALK379" s="90"/>
      <c r="ALL379" s="90"/>
      <c r="ALM379" s="90"/>
      <c r="ALN379" s="90"/>
      <c r="ALO379" s="90"/>
      <c r="ALP379" s="90"/>
      <c r="ALQ379" s="90"/>
      <c r="ALR379" s="90"/>
      <c r="ALS379" s="90"/>
      <c r="ALT379" s="90"/>
      <c r="ALU379" s="90"/>
      <c r="ALV379" s="90"/>
      <c r="ALW379" s="90"/>
      <c r="ALX379" s="90"/>
      <c r="ALY379" s="90"/>
      <c r="ALZ379" s="90"/>
      <c r="AMA379" s="90"/>
      <c r="AMB379" s="90"/>
      <c r="AMC379" s="90"/>
    </row>
    <row r="380" spans="1:1017">
      <c r="A380" s="98" t="s">
        <v>54</v>
      </c>
      <c r="B380" s="90" t="str">
        <f t="shared" si="1966"/>
        <v>Udang Putih</v>
      </c>
      <c r="E380" s="98">
        <v>237300</v>
      </c>
      <c r="F380" s="98">
        <v>9492000</v>
      </c>
      <c r="Q380" s="91">
        <f t="shared" si="1967"/>
        <v>237300</v>
      </c>
      <c r="R380" s="91">
        <f t="shared" si="1968"/>
        <v>9492000</v>
      </c>
      <c r="AG380" s="91">
        <f t="shared" si="1969"/>
        <v>0</v>
      </c>
      <c r="AH380" s="91">
        <f t="shared" si="1970"/>
        <v>0</v>
      </c>
      <c r="AW380" s="91">
        <f t="shared" si="1971"/>
        <v>0</v>
      </c>
      <c r="AX380" s="91">
        <f t="shared" si="1972"/>
        <v>0</v>
      </c>
      <c r="BM380" s="91">
        <f t="shared" si="1973"/>
        <v>0</v>
      </c>
      <c r="BN380" s="91">
        <f t="shared" si="1974"/>
        <v>0</v>
      </c>
      <c r="CC380" s="91">
        <f t="shared" si="1975"/>
        <v>0</v>
      </c>
      <c r="CD380" s="91">
        <f t="shared" si="1976"/>
        <v>0</v>
      </c>
      <c r="CS380" s="91">
        <f t="shared" si="1977"/>
        <v>0</v>
      </c>
      <c r="CT380" s="91">
        <f t="shared" si="1978"/>
        <v>0</v>
      </c>
      <c r="DI380" s="91">
        <f t="shared" si="1979"/>
        <v>0</v>
      </c>
      <c r="DJ380" s="91">
        <f t="shared" si="1980"/>
        <v>0</v>
      </c>
      <c r="DY380" s="91">
        <f t="shared" si="1981"/>
        <v>0</v>
      </c>
      <c r="DZ380" s="91">
        <f t="shared" si="1982"/>
        <v>0</v>
      </c>
      <c r="EO380" s="91">
        <f t="shared" si="1983"/>
        <v>0</v>
      </c>
      <c r="EP380" s="91">
        <f t="shared" si="1984"/>
        <v>0</v>
      </c>
      <c r="FE380" s="91">
        <f t="shared" si="1985"/>
        <v>0</v>
      </c>
      <c r="FF380" s="91">
        <f t="shared" si="1986"/>
        <v>0</v>
      </c>
      <c r="FU380" s="91">
        <f t="shared" si="1987"/>
        <v>0</v>
      </c>
      <c r="FV380" s="91">
        <f t="shared" si="1988"/>
        <v>0</v>
      </c>
      <c r="GK380" s="91">
        <f t="shared" si="1989"/>
        <v>0</v>
      </c>
      <c r="GL380" s="91">
        <f t="shared" si="1990"/>
        <v>0</v>
      </c>
      <c r="HA380" s="91">
        <f t="shared" si="1991"/>
        <v>0</v>
      </c>
      <c r="HB380" s="91">
        <f t="shared" si="1992"/>
        <v>0</v>
      </c>
      <c r="HQ380" s="91">
        <f t="shared" si="1993"/>
        <v>0</v>
      </c>
      <c r="HR380" s="91">
        <f t="shared" si="1994"/>
        <v>0</v>
      </c>
      <c r="IG380" s="91">
        <f t="shared" si="1995"/>
        <v>0</v>
      </c>
      <c r="IH380" s="91">
        <f t="shared" si="1996"/>
        <v>0</v>
      </c>
      <c r="IW380" s="91">
        <f t="shared" si="1997"/>
        <v>0</v>
      </c>
      <c r="IX380" s="91">
        <f t="shared" si="1998"/>
        <v>0</v>
      </c>
      <c r="JM380" s="91">
        <f t="shared" si="1999"/>
        <v>0</v>
      </c>
      <c r="JN380" s="91">
        <f t="shared" si="2000"/>
        <v>0</v>
      </c>
      <c r="KC380" s="91">
        <f t="shared" si="2001"/>
        <v>0</v>
      </c>
      <c r="KD380" s="91">
        <f t="shared" si="2002"/>
        <v>0</v>
      </c>
      <c r="KS380" s="91">
        <f t="shared" si="2003"/>
        <v>0</v>
      </c>
      <c r="KT380" s="91">
        <f t="shared" si="2004"/>
        <v>0</v>
      </c>
      <c r="LI380" s="91">
        <f t="shared" si="2005"/>
        <v>0</v>
      </c>
      <c r="LJ380" s="91">
        <f t="shared" si="2006"/>
        <v>0</v>
      </c>
      <c r="LY380" s="91">
        <f t="shared" si="2007"/>
        <v>0</v>
      </c>
      <c r="LZ380" s="91">
        <f t="shared" si="2008"/>
        <v>0</v>
      </c>
      <c r="MC380" s="98">
        <v>5880</v>
      </c>
      <c r="MD380" s="98">
        <v>235200</v>
      </c>
      <c r="MO380" s="91">
        <f t="shared" si="2009"/>
        <v>5880</v>
      </c>
      <c r="MP380" s="91">
        <f t="shared" si="2010"/>
        <v>235200</v>
      </c>
      <c r="NE380" s="91">
        <f t="shared" si="2011"/>
        <v>0</v>
      </c>
      <c r="NF380" s="91">
        <f t="shared" si="2012"/>
        <v>0</v>
      </c>
      <c r="NI380" s="98">
        <v>55350</v>
      </c>
      <c r="NJ380" s="98">
        <v>2490750</v>
      </c>
      <c r="NU380" s="91">
        <f t="shared" si="2013"/>
        <v>55350</v>
      </c>
      <c r="NV380" s="91">
        <f t="shared" si="2014"/>
        <v>2490750</v>
      </c>
      <c r="OK380" s="91">
        <f t="shared" si="2015"/>
        <v>0</v>
      </c>
      <c r="OL380" s="91">
        <f t="shared" si="2016"/>
        <v>0</v>
      </c>
      <c r="PA380" s="91">
        <f t="shared" si="2017"/>
        <v>0</v>
      </c>
      <c r="PB380" s="91">
        <f t="shared" si="2018"/>
        <v>0</v>
      </c>
      <c r="PQ380" s="91">
        <f t="shared" si="2019"/>
        <v>0</v>
      </c>
      <c r="PR380" s="91">
        <f t="shared" si="2020"/>
        <v>0</v>
      </c>
      <c r="QG380" s="91">
        <f t="shared" si="2021"/>
        <v>0</v>
      </c>
      <c r="QH380" s="91">
        <f t="shared" si="2022"/>
        <v>0</v>
      </c>
      <c r="QW380" s="91">
        <f t="shared" si="2023"/>
        <v>0</v>
      </c>
      <c r="QX380" s="91">
        <f t="shared" si="2024"/>
        <v>0</v>
      </c>
      <c r="RM380" s="91">
        <f t="shared" si="2025"/>
        <v>0</v>
      </c>
      <c r="RN380" s="91">
        <f t="shared" si="2026"/>
        <v>0</v>
      </c>
      <c r="SC380" s="91">
        <f t="shared" si="2027"/>
        <v>0</v>
      </c>
      <c r="SD380" s="91">
        <f t="shared" si="2028"/>
        <v>0</v>
      </c>
      <c r="SS380" s="91">
        <f t="shared" si="2029"/>
        <v>0</v>
      </c>
      <c r="ST380" s="91">
        <f t="shared" si="2030"/>
        <v>0</v>
      </c>
      <c r="TI380" s="91">
        <f t="shared" si="2031"/>
        <v>0</v>
      </c>
      <c r="TJ380" s="91">
        <f t="shared" si="2032"/>
        <v>0</v>
      </c>
      <c r="TY380" s="91">
        <f t="shared" si="2033"/>
        <v>0</v>
      </c>
      <c r="TZ380" s="91">
        <f t="shared" si="2034"/>
        <v>0</v>
      </c>
      <c r="UO380" s="91">
        <f t="shared" si="2035"/>
        <v>0</v>
      </c>
      <c r="UP380" s="91">
        <f t="shared" si="2036"/>
        <v>0</v>
      </c>
      <c r="VE380" s="91">
        <f t="shared" si="2037"/>
        <v>0</v>
      </c>
      <c r="VF380" s="91">
        <f t="shared" si="2038"/>
        <v>0</v>
      </c>
      <c r="VI380" s="98">
        <v>95</v>
      </c>
      <c r="VJ380" s="98">
        <v>4750</v>
      </c>
      <c r="VU380" s="91">
        <f t="shared" si="2039"/>
        <v>95</v>
      </c>
      <c r="VV380" s="91">
        <f t="shared" si="2040"/>
        <v>4750</v>
      </c>
      <c r="WK380" s="91">
        <f t="shared" si="2041"/>
        <v>0</v>
      </c>
      <c r="WL380" s="91">
        <f t="shared" si="2042"/>
        <v>0</v>
      </c>
      <c r="WM380" s="89"/>
      <c r="WN380" s="87">
        <f t="shared" si="2043"/>
        <v>0</v>
      </c>
      <c r="WO380" s="87">
        <f t="shared" si="2044"/>
        <v>0</v>
      </c>
      <c r="WP380" s="87">
        <f t="shared" si="2045"/>
        <v>298625</v>
      </c>
      <c r="WQ380" s="87">
        <f t="shared" si="2046"/>
        <v>12222700</v>
      </c>
      <c r="WR380" s="87">
        <f t="shared" si="2047"/>
        <v>0</v>
      </c>
      <c r="WS380" s="87">
        <f t="shared" si="2048"/>
        <v>0</v>
      </c>
      <c r="WT380" s="87">
        <f t="shared" si="2049"/>
        <v>0</v>
      </c>
      <c r="WU380" s="87">
        <f t="shared" si="2050"/>
        <v>0</v>
      </c>
      <c r="WV380" s="87">
        <f t="shared" si="2051"/>
        <v>0</v>
      </c>
      <c r="WW380" s="87">
        <f t="shared" si="2052"/>
        <v>0</v>
      </c>
      <c r="WX380" s="87">
        <f t="shared" si="2053"/>
        <v>0</v>
      </c>
      <c r="WY380" s="87">
        <f t="shared" si="2054"/>
        <v>0</v>
      </c>
      <c r="WZ380" s="87">
        <f t="shared" si="2061"/>
        <v>0</v>
      </c>
      <c r="XA380" s="87">
        <f t="shared" si="2062"/>
        <v>0</v>
      </c>
      <c r="XB380" s="92">
        <f t="shared" si="2063"/>
        <v>298625</v>
      </c>
      <c r="XC380" s="92">
        <f t="shared" si="2064"/>
        <v>12222700</v>
      </c>
      <c r="XD380" s="89"/>
      <c r="XE380" s="92"/>
      <c r="XF380" s="92"/>
      <c r="XG380" s="89"/>
      <c r="XH380" s="92"/>
      <c r="XI380" s="92"/>
      <c r="XJ380" s="89"/>
      <c r="XK380" s="87"/>
      <c r="XL380" s="87"/>
      <c r="XM380" s="87"/>
      <c r="XN380" s="87"/>
      <c r="XO380" s="87"/>
      <c r="XP380" s="87"/>
      <c r="XQ380" s="87"/>
      <c r="XR380" s="92">
        <f t="shared" ca="1" si="2059"/>
        <v>0</v>
      </c>
      <c r="XS380" s="89"/>
      <c r="XT380" s="87"/>
      <c r="XU380" s="87"/>
      <c r="XV380" s="87"/>
      <c r="XW380" s="87"/>
      <c r="XX380" s="87"/>
      <c r="XY380" s="87"/>
      <c r="XZ380" s="87"/>
      <c r="YA380" s="92">
        <f t="shared" ca="1" si="2060"/>
        <v>0</v>
      </c>
      <c r="YB380" s="90"/>
      <c r="YC380" s="90"/>
      <c r="YD380" s="90"/>
      <c r="YE380" s="90"/>
      <c r="YF380" s="90"/>
      <c r="YG380" s="90"/>
      <c r="YH380" s="90"/>
      <c r="YI380" s="90"/>
      <c r="YJ380" s="90"/>
      <c r="YK380" s="90"/>
      <c r="YL380" s="90"/>
      <c r="YM380" s="90"/>
      <c r="YN380" s="90"/>
      <c r="YO380" s="90"/>
      <c r="YP380" s="90"/>
      <c r="YQ380" s="90"/>
      <c r="YR380" s="90"/>
      <c r="YS380" s="90"/>
      <c r="YT380" s="90"/>
      <c r="YU380" s="90"/>
      <c r="YV380" s="90"/>
      <c r="YW380" s="90"/>
      <c r="YX380" s="90"/>
      <c r="YY380" s="90"/>
      <c r="YZ380" s="90"/>
      <c r="ZA380" s="90"/>
      <c r="ZB380" s="90"/>
      <c r="ZC380" s="90"/>
      <c r="ZD380" s="90"/>
      <c r="ZE380" s="90"/>
      <c r="ZF380" s="90"/>
      <c r="ZG380" s="90"/>
      <c r="ZH380" s="90"/>
      <c r="ZI380" s="90"/>
      <c r="ZJ380" s="90"/>
      <c r="ZK380" s="90"/>
      <c r="ZL380" s="90"/>
      <c r="ZM380" s="90"/>
      <c r="ZN380" s="90"/>
      <c r="ZO380" s="90"/>
      <c r="ZP380" s="90"/>
      <c r="ZQ380" s="90"/>
      <c r="ZR380" s="90"/>
      <c r="ZS380" s="90"/>
      <c r="ZT380" s="90"/>
      <c r="ZU380" s="90"/>
      <c r="ZV380" s="90"/>
      <c r="ZW380" s="90"/>
      <c r="ZX380" s="90"/>
      <c r="ZY380" s="90"/>
      <c r="ZZ380" s="90"/>
      <c r="AAA380" s="90"/>
      <c r="AAB380" s="90"/>
      <c r="AAC380" s="90"/>
      <c r="AAD380" s="90"/>
      <c r="AAE380" s="90"/>
      <c r="AAF380" s="90"/>
      <c r="AAG380" s="90"/>
      <c r="AAH380" s="90"/>
      <c r="AAI380" s="90"/>
      <c r="AAJ380" s="90"/>
      <c r="AAK380" s="90"/>
      <c r="AAL380" s="90"/>
      <c r="AAM380" s="90"/>
      <c r="AAN380" s="90"/>
      <c r="AAO380" s="90"/>
      <c r="AAP380" s="90"/>
      <c r="AAQ380" s="90"/>
      <c r="AAR380" s="90"/>
      <c r="AAS380" s="90"/>
      <c r="AAT380" s="90"/>
      <c r="AAU380" s="90"/>
      <c r="AAV380" s="90"/>
      <c r="AAW380" s="90"/>
      <c r="AAX380" s="90"/>
      <c r="AAY380" s="90"/>
      <c r="AAZ380" s="90"/>
      <c r="ABA380" s="90"/>
      <c r="ABB380" s="90"/>
      <c r="ABC380" s="90"/>
      <c r="ABD380" s="90"/>
      <c r="ABE380" s="90"/>
      <c r="ABF380" s="90"/>
      <c r="ABG380" s="90"/>
      <c r="ABH380" s="90"/>
      <c r="ABI380" s="90"/>
      <c r="ABJ380" s="90"/>
      <c r="ABK380" s="90"/>
      <c r="ABL380" s="90"/>
      <c r="ABM380" s="90"/>
      <c r="ABN380" s="90"/>
      <c r="ABO380" s="90"/>
      <c r="ABP380" s="90"/>
      <c r="ABQ380" s="90"/>
      <c r="ABR380" s="90"/>
      <c r="ABS380" s="90"/>
      <c r="ABT380" s="90"/>
      <c r="ABU380" s="90"/>
      <c r="ABV380" s="90"/>
      <c r="ABW380" s="90"/>
      <c r="ABX380" s="90"/>
      <c r="ABY380" s="90"/>
      <c r="ABZ380" s="90"/>
      <c r="ACA380" s="90"/>
      <c r="ACB380" s="90"/>
      <c r="ACC380" s="90"/>
      <c r="ACD380" s="90"/>
      <c r="ACE380" s="90"/>
      <c r="ACF380" s="90"/>
      <c r="ACG380" s="90"/>
      <c r="ACH380" s="90"/>
      <c r="ACI380" s="90"/>
      <c r="ACJ380" s="90"/>
      <c r="ACK380" s="90"/>
      <c r="ACL380" s="90"/>
      <c r="ACM380" s="90"/>
      <c r="ACN380" s="90"/>
      <c r="ACO380" s="90"/>
      <c r="ACP380" s="90"/>
      <c r="ACQ380" s="90"/>
      <c r="ACR380" s="90"/>
      <c r="ACS380" s="90"/>
      <c r="ACT380" s="90"/>
      <c r="ACU380" s="90"/>
      <c r="ACV380" s="90"/>
      <c r="ACW380" s="90"/>
      <c r="ACX380" s="90"/>
      <c r="ACY380" s="90"/>
      <c r="ACZ380" s="90"/>
      <c r="ADA380" s="90"/>
      <c r="ADB380" s="90"/>
      <c r="ADC380" s="90"/>
      <c r="ADD380" s="90"/>
      <c r="ADE380" s="90"/>
      <c r="ADF380" s="90"/>
      <c r="ADG380" s="90"/>
      <c r="ADH380" s="90"/>
      <c r="ADI380" s="90"/>
      <c r="ADJ380" s="90"/>
      <c r="ADK380" s="90"/>
      <c r="ADL380" s="90"/>
      <c r="ADM380" s="90"/>
      <c r="ADN380" s="90"/>
      <c r="ADO380" s="90"/>
      <c r="ADP380" s="90"/>
      <c r="ADQ380" s="90"/>
      <c r="ADR380" s="90"/>
      <c r="ADS380" s="90"/>
      <c r="ADT380" s="90"/>
      <c r="ADU380" s="90"/>
      <c r="ADV380" s="90"/>
      <c r="ADW380" s="90"/>
      <c r="ADX380" s="90"/>
      <c r="ADY380" s="90"/>
      <c r="ADZ380" s="90"/>
      <c r="AEA380" s="90"/>
      <c r="AEB380" s="90"/>
      <c r="AEC380" s="90"/>
      <c r="AED380" s="90"/>
      <c r="AEE380" s="90"/>
      <c r="AEF380" s="90"/>
      <c r="AEG380" s="90"/>
      <c r="AEH380" s="90"/>
      <c r="AEI380" s="90"/>
      <c r="AEJ380" s="90"/>
      <c r="AEK380" s="90"/>
      <c r="AEL380" s="90"/>
      <c r="AEM380" s="90"/>
      <c r="AEN380" s="90"/>
      <c r="AEO380" s="90"/>
      <c r="AEP380" s="90"/>
      <c r="AEQ380" s="90"/>
      <c r="AER380" s="90"/>
      <c r="AES380" s="90"/>
      <c r="AET380" s="90"/>
      <c r="AEU380" s="90"/>
      <c r="AEV380" s="90"/>
      <c r="AEW380" s="90"/>
      <c r="AEX380" s="90"/>
      <c r="AEY380" s="90"/>
      <c r="AEZ380" s="90"/>
      <c r="AFA380" s="90"/>
      <c r="AFB380" s="90"/>
      <c r="AFC380" s="90"/>
      <c r="AFD380" s="90"/>
      <c r="AFE380" s="90"/>
      <c r="AFF380" s="90"/>
      <c r="AFG380" s="90"/>
      <c r="AFH380" s="90"/>
      <c r="AFI380" s="90"/>
      <c r="AFJ380" s="90"/>
      <c r="AFK380" s="90"/>
      <c r="AFL380" s="90"/>
      <c r="AFM380" s="90"/>
      <c r="AFN380" s="90"/>
      <c r="AFO380" s="90"/>
      <c r="AFP380" s="90"/>
      <c r="AFQ380" s="90"/>
      <c r="AFR380" s="90"/>
      <c r="AFS380" s="90"/>
      <c r="AFT380" s="90"/>
      <c r="AFU380" s="90"/>
      <c r="AFV380" s="90"/>
      <c r="AFW380" s="90"/>
      <c r="AFX380" s="90"/>
      <c r="AFY380" s="90"/>
      <c r="AFZ380" s="90"/>
      <c r="AGA380" s="90"/>
      <c r="AGB380" s="90"/>
      <c r="AGC380" s="90"/>
      <c r="AGD380" s="90"/>
      <c r="AGE380" s="90"/>
      <c r="AGF380" s="90"/>
      <c r="AGG380" s="90"/>
      <c r="AGH380" s="90"/>
      <c r="AGI380" s="90"/>
      <c r="AGJ380" s="90"/>
      <c r="AGK380" s="90"/>
      <c r="AGL380" s="90"/>
      <c r="AGM380" s="90"/>
      <c r="AGN380" s="90"/>
      <c r="AGO380" s="90"/>
      <c r="AGP380" s="90"/>
      <c r="AGQ380" s="90"/>
      <c r="AGR380" s="90"/>
      <c r="AGS380" s="90"/>
      <c r="AGT380" s="90"/>
      <c r="AGU380" s="90"/>
      <c r="AGV380" s="90"/>
      <c r="AGW380" s="90"/>
      <c r="AGX380" s="90"/>
      <c r="AGY380" s="90"/>
      <c r="AGZ380" s="90"/>
      <c r="AHA380" s="90"/>
      <c r="AHB380" s="90"/>
      <c r="AHC380" s="90"/>
      <c r="AHD380" s="90"/>
      <c r="AHE380" s="90"/>
      <c r="AHF380" s="90"/>
      <c r="AHG380" s="90"/>
      <c r="AHH380" s="90"/>
      <c r="AHI380" s="90"/>
      <c r="AHJ380" s="90"/>
      <c r="AHK380" s="90"/>
      <c r="AHL380" s="90"/>
      <c r="AHM380" s="90"/>
      <c r="AHN380" s="90"/>
      <c r="AHO380" s="90"/>
      <c r="AHP380" s="90"/>
      <c r="AHQ380" s="90"/>
      <c r="AHR380" s="90"/>
      <c r="AHS380" s="90"/>
      <c r="AHT380" s="90"/>
      <c r="AHU380" s="90"/>
      <c r="AHV380" s="90"/>
      <c r="AHW380" s="90"/>
      <c r="AHX380" s="90"/>
      <c r="AHY380" s="90"/>
      <c r="AHZ380" s="90"/>
      <c r="AIA380" s="90"/>
      <c r="AIB380" s="90"/>
      <c r="AIC380" s="90"/>
      <c r="AID380" s="90"/>
      <c r="AIE380" s="90"/>
      <c r="AIF380" s="90"/>
      <c r="AIG380" s="90"/>
      <c r="AIH380" s="90"/>
      <c r="AII380" s="90"/>
      <c r="AIJ380" s="90"/>
      <c r="AIK380" s="90"/>
      <c r="AIL380" s="90"/>
      <c r="AIM380" s="90"/>
      <c r="AIN380" s="90"/>
      <c r="AIO380" s="90"/>
      <c r="AIP380" s="90"/>
      <c r="AIQ380" s="90"/>
      <c r="AIR380" s="90"/>
      <c r="AIS380" s="90"/>
      <c r="AIT380" s="90"/>
      <c r="AIU380" s="90"/>
      <c r="AIV380" s="90"/>
      <c r="AIW380" s="90"/>
      <c r="AIX380" s="90"/>
      <c r="AIY380" s="90"/>
      <c r="AIZ380" s="90"/>
      <c r="AJA380" s="90"/>
      <c r="AJB380" s="90"/>
      <c r="AJC380" s="90"/>
      <c r="AJD380" s="90"/>
      <c r="AJE380" s="90"/>
      <c r="AJF380" s="90"/>
      <c r="AJG380" s="90"/>
      <c r="AJH380" s="90"/>
      <c r="AJI380" s="90"/>
      <c r="AJJ380" s="90"/>
      <c r="AJK380" s="90"/>
      <c r="AJL380" s="90"/>
      <c r="AJM380" s="90"/>
      <c r="AJN380" s="90"/>
      <c r="AJO380" s="90"/>
      <c r="AJP380" s="90"/>
      <c r="AJQ380" s="90"/>
      <c r="AJR380" s="90"/>
      <c r="AJS380" s="90"/>
      <c r="AJT380" s="90"/>
      <c r="AJU380" s="90"/>
      <c r="AJV380" s="90"/>
      <c r="AJW380" s="90"/>
      <c r="AJX380" s="90"/>
      <c r="AJY380" s="90"/>
      <c r="AJZ380" s="90"/>
      <c r="AKA380" s="90"/>
      <c r="AKB380" s="90"/>
      <c r="AKC380" s="90"/>
      <c r="AKD380" s="90"/>
      <c r="AKE380" s="90"/>
      <c r="AKF380" s="90"/>
      <c r="AKG380" s="90"/>
      <c r="AKH380" s="90"/>
      <c r="AKI380" s="90"/>
      <c r="AKJ380" s="90"/>
      <c r="AKK380" s="90"/>
      <c r="AKL380" s="90"/>
      <c r="AKM380" s="90"/>
      <c r="AKN380" s="90"/>
      <c r="AKO380" s="90"/>
      <c r="AKP380" s="90"/>
      <c r="AKQ380" s="90"/>
      <c r="AKR380" s="90"/>
      <c r="AKS380" s="90"/>
      <c r="AKT380" s="90"/>
      <c r="AKU380" s="90"/>
      <c r="AKV380" s="90"/>
      <c r="AKW380" s="90"/>
      <c r="AKX380" s="90"/>
      <c r="AKY380" s="90"/>
      <c r="AKZ380" s="90"/>
      <c r="ALA380" s="90"/>
      <c r="ALB380" s="90"/>
      <c r="ALC380" s="90"/>
      <c r="ALD380" s="90"/>
      <c r="ALE380" s="90"/>
      <c r="ALF380" s="90"/>
      <c r="ALG380" s="90"/>
      <c r="ALH380" s="90"/>
      <c r="ALI380" s="90"/>
      <c r="ALJ380" s="90"/>
      <c r="ALK380" s="90"/>
      <c r="ALL380" s="90"/>
      <c r="ALM380" s="90"/>
      <c r="ALN380" s="90"/>
      <c r="ALO380" s="90"/>
      <c r="ALP380" s="90"/>
      <c r="ALQ380" s="90"/>
      <c r="ALR380" s="90"/>
      <c r="ALS380" s="90"/>
      <c r="ALT380" s="90"/>
      <c r="ALU380" s="90"/>
      <c r="ALV380" s="90"/>
      <c r="ALW380" s="90"/>
      <c r="ALX380" s="90"/>
      <c r="ALY380" s="90"/>
      <c r="ALZ380" s="90"/>
      <c r="AMA380" s="90"/>
      <c r="AMB380" s="90"/>
      <c r="AMC380" s="90"/>
    </row>
    <row r="381" spans="1:1017">
      <c r="A381" s="98" t="s">
        <v>54</v>
      </c>
      <c r="B381" s="90" t="str">
        <f t="shared" si="1966"/>
        <v xml:space="preserve">Udang Vaname </v>
      </c>
      <c r="E381" s="98">
        <v>28800</v>
      </c>
      <c r="F381" s="98">
        <v>1447960</v>
      </c>
      <c r="Q381" s="91">
        <f t="shared" si="1967"/>
        <v>28800</v>
      </c>
      <c r="R381" s="91">
        <f t="shared" si="1968"/>
        <v>1447960</v>
      </c>
      <c r="U381" s="98">
        <v>1631000</v>
      </c>
      <c r="V381" s="98">
        <v>81550000</v>
      </c>
      <c r="AG381" s="91">
        <f t="shared" si="1969"/>
        <v>1631000</v>
      </c>
      <c r="AH381" s="91">
        <f t="shared" si="1970"/>
        <v>81550000</v>
      </c>
      <c r="AK381" s="98">
        <v>36400</v>
      </c>
      <c r="AL381" s="98">
        <v>2366000</v>
      </c>
      <c r="AW381" s="91">
        <f t="shared" si="1971"/>
        <v>36400</v>
      </c>
      <c r="AX381" s="91">
        <f t="shared" si="1972"/>
        <v>2366000</v>
      </c>
      <c r="BM381" s="91">
        <f t="shared" si="1973"/>
        <v>0</v>
      </c>
      <c r="BN381" s="91">
        <f t="shared" si="1974"/>
        <v>0</v>
      </c>
      <c r="CC381" s="91">
        <f t="shared" si="1975"/>
        <v>0</v>
      </c>
      <c r="CD381" s="91">
        <f t="shared" si="1976"/>
        <v>0</v>
      </c>
      <c r="CG381" s="98">
        <v>1421328.2931254623</v>
      </c>
      <c r="CH381" s="98">
        <v>56853121.637000002</v>
      </c>
      <c r="CS381" s="91">
        <f t="shared" si="1977"/>
        <v>1421328.2931254623</v>
      </c>
      <c r="CT381" s="91">
        <f t="shared" si="1978"/>
        <v>56853121.637000002</v>
      </c>
      <c r="CW381" s="98">
        <v>418208.0000013439</v>
      </c>
      <c r="CX381" s="98">
        <v>25092480.002</v>
      </c>
      <c r="DI381" s="91">
        <f t="shared" si="1979"/>
        <v>418208.0000013439</v>
      </c>
      <c r="DJ381" s="91">
        <f t="shared" si="1980"/>
        <v>25092480.002</v>
      </c>
      <c r="DY381" s="91">
        <f t="shared" si="1981"/>
        <v>0</v>
      </c>
      <c r="DZ381" s="91">
        <f t="shared" si="1982"/>
        <v>0</v>
      </c>
      <c r="EO381" s="91">
        <f t="shared" si="1983"/>
        <v>0</v>
      </c>
      <c r="EP381" s="91">
        <f t="shared" si="1984"/>
        <v>0</v>
      </c>
      <c r="ES381" s="98">
        <v>196355</v>
      </c>
      <c r="ET381" s="98">
        <v>8835975</v>
      </c>
      <c r="EW381" s="98">
        <v>31281</v>
      </c>
      <c r="EX381" s="98">
        <v>1407645</v>
      </c>
      <c r="FE381" s="91">
        <f t="shared" si="1985"/>
        <v>227636</v>
      </c>
      <c r="FF381" s="91">
        <f t="shared" si="1986"/>
        <v>10243620</v>
      </c>
      <c r="FI381" s="98">
        <v>120000</v>
      </c>
      <c r="FJ381" s="98">
        <v>7200000</v>
      </c>
      <c r="FU381" s="91">
        <f t="shared" si="1987"/>
        <v>120000</v>
      </c>
      <c r="FV381" s="91">
        <f t="shared" si="1988"/>
        <v>7200000</v>
      </c>
      <c r="GK381" s="91">
        <f t="shared" si="1989"/>
        <v>0</v>
      </c>
      <c r="GL381" s="91">
        <f t="shared" si="1990"/>
        <v>0</v>
      </c>
      <c r="HA381" s="91">
        <f t="shared" si="1991"/>
        <v>0</v>
      </c>
      <c r="HB381" s="91">
        <f t="shared" si="1992"/>
        <v>0</v>
      </c>
      <c r="HE381" s="98">
        <v>90000</v>
      </c>
      <c r="HF381" s="98">
        <v>6660000</v>
      </c>
      <c r="HQ381" s="91">
        <f t="shared" si="1993"/>
        <v>90000</v>
      </c>
      <c r="HR381" s="91">
        <f t="shared" si="1994"/>
        <v>6660000</v>
      </c>
      <c r="IG381" s="91">
        <f t="shared" si="1995"/>
        <v>0</v>
      </c>
      <c r="IH381" s="91">
        <f t="shared" si="1996"/>
        <v>0</v>
      </c>
      <c r="IW381" s="91">
        <f t="shared" si="1997"/>
        <v>0</v>
      </c>
      <c r="IX381" s="91">
        <f t="shared" si="1998"/>
        <v>0</v>
      </c>
      <c r="JM381" s="91">
        <f t="shared" si="1999"/>
        <v>0</v>
      </c>
      <c r="JN381" s="91">
        <f t="shared" si="2000"/>
        <v>0</v>
      </c>
      <c r="JQ381" s="98">
        <v>168950</v>
      </c>
      <c r="JR381" s="98">
        <v>13516000</v>
      </c>
      <c r="KC381" s="91">
        <f t="shared" si="2001"/>
        <v>168950</v>
      </c>
      <c r="KD381" s="91">
        <f t="shared" si="2002"/>
        <v>13516000</v>
      </c>
      <c r="KG381" s="98">
        <v>50021</v>
      </c>
      <c r="KH381" s="98">
        <v>2851197</v>
      </c>
      <c r="KS381" s="91">
        <f t="shared" si="2003"/>
        <v>50021</v>
      </c>
      <c r="KT381" s="91">
        <f t="shared" si="2004"/>
        <v>2851197</v>
      </c>
      <c r="KW381" s="98">
        <v>206077.71</v>
      </c>
      <c r="KX381" s="98">
        <v>10303885</v>
      </c>
      <c r="LI381" s="91">
        <f t="shared" si="2005"/>
        <v>206077.71</v>
      </c>
      <c r="LJ381" s="91">
        <f t="shared" si="2006"/>
        <v>10303885</v>
      </c>
      <c r="LY381" s="91">
        <f t="shared" si="2007"/>
        <v>0</v>
      </c>
      <c r="LZ381" s="91">
        <f t="shared" si="2008"/>
        <v>0</v>
      </c>
      <c r="MC381" s="98">
        <v>852710</v>
      </c>
      <c r="MD381" s="98">
        <v>42635500</v>
      </c>
      <c r="MO381" s="91">
        <f t="shared" si="2009"/>
        <v>852710</v>
      </c>
      <c r="MP381" s="91">
        <f t="shared" si="2010"/>
        <v>42635500</v>
      </c>
      <c r="MS381" s="98">
        <v>3000</v>
      </c>
      <c r="MT381" s="98">
        <v>195000</v>
      </c>
      <c r="NE381" s="91">
        <f t="shared" si="2011"/>
        <v>3000</v>
      </c>
      <c r="NF381" s="91">
        <f t="shared" si="2012"/>
        <v>195000</v>
      </c>
      <c r="NI381" s="98">
        <v>526803</v>
      </c>
      <c r="NJ381" s="98">
        <v>31608180</v>
      </c>
      <c r="NU381" s="91">
        <f t="shared" si="2013"/>
        <v>526803</v>
      </c>
      <c r="NV381" s="91">
        <f t="shared" si="2014"/>
        <v>31608180</v>
      </c>
      <c r="NY381" s="98">
        <v>695929</v>
      </c>
      <c r="NZ381" s="98">
        <v>27837160</v>
      </c>
      <c r="OK381" s="91">
        <f t="shared" si="2015"/>
        <v>695929</v>
      </c>
      <c r="OL381" s="91">
        <f t="shared" si="2016"/>
        <v>27837160</v>
      </c>
      <c r="OO381" s="98">
        <v>496644</v>
      </c>
      <c r="OP381" s="98">
        <v>31288572</v>
      </c>
      <c r="PA381" s="91">
        <f t="shared" si="2017"/>
        <v>496644</v>
      </c>
      <c r="PB381" s="91">
        <f t="shared" si="2018"/>
        <v>31288572</v>
      </c>
      <c r="PE381" s="98">
        <v>14972</v>
      </c>
      <c r="PF381" s="98">
        <v>973180</v>
      </c>
      <c r="PQ381" s="91">
        <f t="shared" si="2019"/>
        <v>14972</v>
      </c>
      <c r="PR381" s="91">
        <f t="shared" si="2020"/>
        <v>973180</v>
      </c>
      <c r="PU381" s="98">
        <v>899100</v>
      </c>
      <c r="PV381" s="98">
        <v>44955000</v>
      </c>
      <c r="QA381" s="98">
        <v>304600</v>
      </c>
      <c r="QB381" s="98">
        <v>15230000</v>
      </c>
      <c r="QG381" s="91">
        <f t="shared" si="2021"/>
        <v>1203700</v>
      </c>
      <c r="QH381" s="91">
        <f t="shared" si="2022"/>
        <v>60185000</v>
      </c>
      <c r="QW381" s="91">
        <f t="shared" si="2023"/>
        <v>0</v>
      </c>
      <c r="QX381" s="91">
        <f t="shared" si="2024"/>
        <v>0</v>
      </c>
      <c r="RM381" s="91">
        <f t="shared" si="2025"/>
        <v>0</v>
      </c>
      <c r="RN381" s="91">
        <f t="shared" si="2026"/>
        <v>0</v>
      </c>
      <c r="SC381" s="91">
        <f t="shared" si="2027"/>
        <v>0</v>
      </c>
      <c r="SD381" s="91">
        <f t="shared" si="2028"/>
        <v>0</v>
      </c>
      <c r="SS381" s="91">
        <f t="shared" si="2029"/>
        <v>0</v>
      </c>
      <c r="ST381" s="91">
        <f t="shared" si="2030"/>
        <v>0</v>
      </c>
      <c r="TI381" s="91">
        <f t="shared" si="2031"/>
        <v>0</v>
      </c>
      <c r="TJ381" s="91">
        <f t="shared" si="2032"/>
        <v>0</v>
      </c>
      <c r="TY381" s="91">
        <f t="shared" si="2033"/>
        <v>0</v>
      </c>
      <c r="TZ381" s="91">
        <f t="shared" si="2034"/>
        <v>0</v>
      </c>
      <c r="UO381" s="91">
        <f t="shared" si="2035"/>
        <v>0</v>
      </c>
      <c r="UP381" s="91">
        <f t="shared" si="2036"/>
        <v>0</v>
      </c>
      <c r="US381" s="98">
        <v>100</v>
      </c>
      <c r="UT381" s="98">
        <v>6000</v>
      </c>
      <c r="VE381" s="91">
        <f t="shared" si="2037"/>
        <v>100</v>
      </c>
      <c r="VF381" s="91">
        <f t="shared" si="2038"/>
        <v>6000</v>
      </c>
      <c r="VI381" s="98">
        <v>1310</v>
      </c>
      <c r="VJ381" s="98">
        <v>72050</v>
      </c>
      <c r="VU381" s="91">
        <f t="shared" si="2039"/>
        <v>1310</v>
      </c>
      <c r="VV381" s="91">
        <f t="shared" si="2040"/>
        <v>72050</v>
      </c>
      <c r="VY381" s="98">
        <v>21590</v>
      </c>
      <c r="VZ381" s="98">
        <v>1187450</v>
      </c>
      <c r="WK381" s="91">
        <f t="shared" si="2041"/>
        <v>21590</v>
      </c>
      <c r="WL381" s="91">
        <f t="shared" si="2042"/>
        <v>1187450</v>
      </c>
      <c r="WM381" s="89"/>
      <c r="WN381" s="87">
        <f t="shared" si="2043"/>
        <v>0</v>
      </c>
      <c r="WO381" s="87">
        <f t="shared" si="2044"/>
        <v>0</v>
      </c>
      <c r="WP381" s="87">
        <f t="shared" si="2045"/>
        <v>7879298.0031268066</v>
      </c>
      <c r="WQ381" s="87">
        <f t="shared" si="2046"/>
        <v>397434710.639</v>
      </c>
      <c r="WR381" s="87">
        <f t="shared" si="2047"/>
        <v>0</v>
      </c>
      <c r="WS381" s="87">
        <f t="shared" si="2048"/>
        <v>0</v>
      </c>
      <c r="WT381" s="87">
        <f t="shared" si="2049"/>
        <v>31281</v>
      </c>
      <c r="WU381" s="87">
        <f t="shared" si="2050"/>
        <v>1407645</v>
      </c>
      <c r="WV381" s="87">
        <f t="shared" si="2051"/>
        <v>304600</v>
      </c>
      <c r="WW381" s="87">
        <f t="shared" si="2052"/>
        <v>15230000</v>
      </c>
      <c r="WX381" s="87">
        <f t="shared" si="2053"/>
        <v>0</v>
      </c>
      <c r="WY381" s="87">
        <f t="shared" si="2054"/>
        <v>0</v>
      </c>
      <c r="WZ381" s="87">
        <f t="shared" si="2061"/>
        <v>0</v>
      </c>
      <c r="XA381" s="87">
        <f t="shared" si="2062"/>
        <v>0</v>
      </c>
      <c r="XB381" s="92">
        <f t="shared" si="2063"/>
        <v>8215179.0031268066</v>
      </c>
      <c r="XC381" s="92">
        <f t="shared" si="2064"/>
        <v>414072355.639</v>
      </c>
      <c r="XD381" s="89"/>
      <c r="XE381" s="92"/>
      <c r="XF381" s="92"/>
      <c r="XG381" s="89"/>
      <c r="XH381" s="92"/>
      <c r="XI381" s="92"/>
      <c r="XJ381" s="89"/>
      <c r="XK381" s="87"/>
      <c r="XL381" s="87"/>
      <c r="XM381" s="87"/>
      <c r="XN381" s="87"/>
      <c r="XO381" s="87"/>
      <c r="XP381" s="87"/>
      <c r="XQ381" s="87"/>
      <c r="XR381" s="92">
        <f t="shared" ca="1" si="2059"/>
        <v>0</v>
      </c>
      <c r="XS381" s="89"/>
      <c r="XT381" s="87"/>
      <c r="XU381" s="87"/>
      <c r="XV381" s="87"/>
      <c r="XW381" s="87"/>
      <c r="XX381" s="87"/>
      <c r="XY381" s="87"/>
      <c r="XZ381" s="87"/>
      <c r="YA381" s="92">
        <f t="shared" ca="1" si="2060"/>
        <v>0</v>
      </c>
      <c r="YB381" s="90"/>
      <c r="YC381" s="90"/>
      <c r="YD381" s="90"/>
      <c r="YE381" s="90"/>
      <c r="YF381" s="90"/>
      <c r="YG381" s="90"/>
      <c r="YH381" s="90"/>
      <c r="YI381" s="90"/>
      <c r="YJ381" s="90"/>
      <c r="YK381" s="90"/>
      <c r="YL381" s="90"/>
      <c r="YM381" s="90"/>
      <c r="YN381" s="90"/>
      <c r="YO381" s="90"/>
      <c r="YP381" s="90"/>
      <c r="YQ381" s="90"/>
      <c r="YR381" s="90"/>
      <c r="YS381" s="90"/>
      <c r="YT381" s="90"/>
      <c r="YU381" s="90"/>
      <c r="YV381" s="90"/>
      <c r="YW381" s="90"/>
      <c r="YX381" s="90"/>
      <c r="YY381" s="90"/>
      <c r="YZ381" s="90"/>
      <c r="ZA381" s="90"/>
      <c r="ZB381" s="90"/>
      <c r="ZC381" s="90"/>
      <c r="ZD381" s="90"/>
      <c r="ZE381" s="90"/>
      <c r="ZF381" s="90"/>
      <c r="ZG381" s="90"/>
      <c r="ZH381" s="90"/>
      <c r="ZI381" s="90"/>
      <c r="ZJ381" s="90"/>
      <c r="ZK381" s="90"/>
      <c r="ZL381" s="90"/>
      <c r="ZM381" s="90"/>
      <c r="ZN381" s="90"/>
      <c r="ZO381" s="90"/>
      <c r="ZP381" s="90"/>
      <c r="ZQ381" s="90"/>
      <c r="ZR381" s="90"/>
      <c r="ZS381" s="90"/>
      <c r="ZT381" s="90"/>
      <c r="ZU381" s="90"/>
      <c r="ZV381" s="90"/>
      <c r="ZW381" s="90"/>
      <c r="ZX381" s="90"/>
      <c r="ZY381" s="90"/>
      <c r="ZZ381" s="90"/>
      <c r="AAA381" s="90"/>
      <c r="AAB381" s="90"/>
      <c r="AAC381" s="90"/>
      <c r="AAD381" s="90"/>
      <c r="AAE381" s="90"/>
      <c r="AAF381" s="90"/>
      <c r="AAG381" s="90"/>
      <c r="AAH381" s="90"/>
      <c r="AAI381" s="90"/>
      <c r="AAJ381" s="90"/>
      <c r="AAK381" s="90"/>
      <c r="AAL381" s="90"/>
      <c r="AAM381" s="90"/>
      <c r="AAN381" s="90"/>
      <c r="AAO381" s="90"/>
      <c r="AAP381" s="90"/>
      <c r="AAQ381" s="90"/>
      <c r="AAR381" s="90"/>
      <c r="AAS381" s="90"/>
      <c r="AAT381" s="90"/>
      <c r="AAU381" s="90"/>
      <c r="AAV381" s="90"/>
      <c r="AAW381" s="90"/>
      <c r="AAX381" s="90"/>
      <c r="AAY381" s="90"/>
      <c r="AAZ381" s="90"/>
      <c r="ABA381" s="90"/>
      <c r="ABB381" s="90"/>
      <c r="ABC381" s="90"/>
      <c r="ABD381" s="90"/>
      <c r="ABE381" s="90"/>
      <c r="ABF381" s="90"/>
      <c r="ABG381" s="90"/>
      <c r="ABH381" s="90"/>
      <c r="ABI381" s="90"/>
      <c r="ABJ381" s="90"/>
      <c r="ABK381" s="90"/>
      <c r="ABL381" s="90"/>
      <c r="ABM381" s="90"/>
      <c r="ABN381" s="90"/>
      <c r="ABO381" s="90"/>
      <c r="ABP381" s="90"/>
      <c r="ABQ381" s="90"/>
      <c r="ABR381" s="90"/>
      <c r="ABS381" s="90"/>
      <c r="ABT381" s="90"/>
      <c r="ABU381" s="90"/>
      <c r="ABV381" s="90"/>
      <c r="ABW381" s="90"/>
      <c r="ABX381" s="90"/>
      <c r="ABY381" s="90"/>
      <c r="ABZ381" s="90"/>
      <c r="ACA381" s="90"/>
      <c r="ACB381" s="90"/>
      <c r="ACC381" s="90"/>
      <c r="ACD381" s="90"/>
      <c r="ACE381" s="90"/>
      <c r="ACF381" s="90"/>
      <c r="ACG381" s="90"/>
      <c r="ACH381" s="90"/>
      <c r="ACI381" s="90"/>
      <c r="ACJ381" s="90"/>
      <c r="ACK381" s="90"/>
      <c r="ACL381" s="90"/>
      <c r="ACM381" s="90"/>
      <c r="ACN381" s="90"/>
      <c r="ACO381" s="90"/>
      <c r="ACP381" s="90"/>
      <c r="ACQ381" s="90"/>
      <c r="ACR381" s="90"/>
      <c r="ACS381" s="90"/>
      <c r="ACT381" s="90"/>
      <c r="ACU381" s="90"/>
      <c r="ACV381" s="90"/>
      <c r="ACW381" s="90"/>
      <c r="ACX381" s="90"/>
      <c r="ACY381" s="90"/>
      <c r="ACZ381" s="90"/>
      <c r="ADA381" s="90"/>
      <c r="ADB381" s="90"/>
      <c r="ADC381" s="90"/>
      <c r="ADD381" s="90"/>
      <c r="ADE381" s="90"/>
      <c r="ADF381" s="90"/>
      <c r="ADG381" s="90"/>
      <c r="ADH381" s="90"/>
      <c r="ADI381" s="90"/>
      <c r="ADJ381" s="90"/>
      <c r="ADK381" s="90"/>
      <c r="ADL381" s="90"/>
      <c r="ADM381" s="90"/>
      <c r="ADN381" s="90"/>
      <c r="ADO381" s="90"/>
      <c r="ADP381" s="90"/>
      <c r="ADQ381" s="90"/>
      <c r="ADR381" s="90"/>
      <c r="ADS381" s="90"/>
      <c r="ADT381" s="90"/>
      <c r="ADU381" s="90"/>
      <c r="ADV381" s="90"/>
      <c r="ADW381" s="90"/>
      <c r="ADX381" s="90"/>
      <c r="ADY381" s="90"/>
      <c r="ADZ381" s="90"/>
      <c r="AEA381" s="90"/>
      <c r="AEB381" s="90"/>
      <c r="AEC381" s="90"/>
      <c r="AED381" s="90"/>
      <c r="AEE381" s="90"/>
      <c r="AEF381" s="90"/>
      <c r="AEG381" s="90"/>
      <c r="AEH381" s="90"/>
      <c r="AEI381" s="90"/>
      <c r="AEJ381" s="90"/>
      <c r="AEK381" s="90"/>
      <c r="AEL381" s="90"/>
      <c r="AEM381" s="90"/>
      <c r="AEN381" s="90"/>
      <c r="AEO381" s="90"/>
      <c r="AEP381" s="90"/>
      <c r="AEQ381" s="90"/>
      <c r="AER381" s="90"/>
      <c r="AES381" s="90"/>
      <c r="AET381" s="90"/>
      <c r="AEU381" s="90"/>
      <c r="AEV381" s="90"/>
      <c r="AEW381" s="90"/>
      <c r="AEX381" s="90"/>
      <c r="AEY381" s="90"/>
      <c r="AEZ381" s="90"/>
      <c r="AFA381" s="90"/>
      <c r="AFB381" s="90"/>
      <c r="AFC381" s="90"/>
      <c r="AFD381" s="90"/>
      <c r="AFE381" s="90"/>
      <c r="AFF381" s="90"/>
      <c r="AFG381" s="90"/>
      <c r="AFH381" s="90"/>
      <c r="AFI381" s="90"/>
      <c r="AFJ381" s="90"/>
      <c r="AFK381" s="90"/>
      <c r="AFL381" s="90"/>
      <c r="AFM381" s="90"/>
      <c r="AFN381" s="90"/>
      <c r="AFO381" s="90"/>
      <c r="AFP381" s="90"/>
      <c r="AFQ381" s="90"/>
      <c r="AFR381" s="90"/>
      <c r="AFS381" s="90"/>
      <c r="AFT381" s="90"/>
      <c r="AFU381" s="90"/>
      <c r="AFV381" s="90"/>
      <c r="AFW381" s="90"/>
      <c r="AFX381" s="90"/>
      <c r="AFY381" s="90"/>
      <c r="AFZ381" s="90"/>
      <c r="AGA381" s="90"/>
      <c r="AGB381" s="90"/>
      <c r="AGC381" s="90"/>
      <c r="AGD381" s="90"/>
      <c r="AGE381" s="90"/>
      <c r="AGF381" s="90"/>
      <c r="AGG381" s="90"/>
      <c r="AGH381" s="90"/>
      <c r="AGI381" s="90"/>
      <c r="AGJ381" s="90"/>
      <c r="AGK381" s="90"/>
      <c r="AGL381" s="90"/>
      <c r="AGM381" s="90"/>
      <c r="AGN381" s="90"/>
      <c r="AGO381" s="90"/>
      <c r="AGP381" s="90"/>
      <c r="AGQ381" s="90"/>
      <c r="AGR381" s="90"/>
      <c r="AGS381" s="90"/>
      <c r="AGT381" s="90"/>
      <c r="AGU381" s="90"/>
      <c r="AGV381" s="90"/>
      <c r="AGW381" s="90"/>
      <c r="AGX381" s="90"/>
      <c r="AGY381" s="90"/>
      <c r="AGZ381" s="90"/>
      <c r="AHA381" s="90"/>
      <c r="AHB381" s="90"/>
      <c r="AHC381" s="90"/>
      <c r="AHD381" s="90"/>
      <c r="AHE381" s="90"/>
      <c r="AHF381" s="90"/>
      <c r="AHG381" s="90"/>
      <c r="AHH381" s="90"/>
      <c r="AHI381" s="90"/>
      <c r="AHJ381" s="90"/>
      <c r="AHK381" s="90"/>
      <c r="AHL381" s="90"/>
      <c r="AHM381" s="90"/>
      <c r="AHN381" s="90"/>
      <c r="AHO381" s="90"/>
      <c r="AHP381" s="90"/>
      <c r="AHQ381" s="90"/>
      <c r="AHR381" s="90"/>
      <c r="AHS381" s="90"/>
      <c r="AHT381" s="90"/>
      <c r="AHU381" s="90"/>
      <c r="AHV381" s="90"/>
      <c r="AHW381" s="90"/>
      <c r="AHX381" s="90"/>
      <c r="AHY381" s="90"/>
      <c r="AHZ381" s="90"/>
      <c r="AIA381" s="90"/>
      <c r="AIB381" s="90"/>
      <c r="AIC381" s="90"/>
      <c r="AID381" s="90"/>
      <c r="AIE381" s="90"/>
      <c r="AIF381" s="90"/>
      <c r="AIG381" s="90"/>
      <c r="AIH381" s="90"/>
      <c r="AII381" s="90"/>
      <c r="AIJ381" s="90"/>
      <c r="AIK381" s="90"/>
      <c r="AIL381" s="90"/>
      <c r="AIM381" s="90"/>
      <c r="AIN381" s="90"/>
      <c r="AIO381" s="90"/>
      <c r="AIP381" s="90"/>
      <c r="AIQ381" s="90"/>
      <c r="AIR381" s="90"/>
      <c r="AIS381" s="90"/>
      <c r="AIT381" s="90"/>
      <c r="AIU381" s="90"/>
      <c r="AIV381" s="90"/>
      <c r="AIW381" s="90"/>
      <c r="AIX381" s="90"/>
      <c r="AIY381" s="90"/>
      <c r="AIZ381" s="90"/>
      <c r="AJA381" s="90"/>
      <c r="AJB381" s="90"/>
      <c r="AJC381" s="90"/>
      <c r="AJD381" s="90"/>
      <c r="AJE381" s="90"/>
      <c r="AJF381" s="90"/>
      <c r="AJG381" s="90"/>
      <c r="AJH381" s="90"/>
      <c r="AJI381" s="90"/>
      <c r="AJJ381" s="90"/>
      <c r="AJK381" s="90"/>
      <c r="AJL381" s="90"/>
      <c r="AJM381" s="90"/>
      <c r="AJN381" s="90"/>
      <c r="AJO381" s="90"/>
      <c r="AJP381" s="90"/>
      <c r="AJQ381" s="90"/>
      <c r="AJR381" s="90"/>
      <c r="AJS381" s="90"/>
      <c r="AJT381" s="90"/>
      <c r="AJU381" s="90"/>
      <c r="AJV381" s="90"/>
      <c r="AJW381" s="90"/>
      <c r="AJX381" s="90"/>
      <c r="AJY381" s="90"/>
      <c r="AJZ381" s="90"/>
      <c r="AKA381" s="90"/>
      <c r="AKB381" s="90"/>
      <c r="AKC381" s="90"/>
      <c r="AKD381" s="90"/>
      <c r="AKE381" s="90"/>
      <c r="AKF381" s="90"/>
      <c r="AKG381" s="90"/>
      <c r="AKH381" s="90"/>
      <c r="AKI381" s="90"/>
      <c r="AKJ381" s="90"/>
      <c r="AKK381" s="90"/>
      <c r="AKL381" s="90"/>
      <c r="AKM381" s="90"/>
      <c r="AKN381" s="90"/>
      <c r="AKO381" s="90"/>
      <c r="AKP381" s="90"/>
      <c r="AKQ381" s="90"/>
      <c r="AKR381" s="90"/>
      <c r="AKS381" s="90"/>
      <c r="AKT381" s="90"/>
      <c r="AKU381" s="90"/>
      <c r="AKV381" s="90"/>
      <c r="AKW381" s="90"/>
      <c r="AKX381" s="90"/>
      <c r="AKY381" s="90"/>
      <c r="AKZ381" s="90"/>
      <c r="ALA381" s="90"/>
      <c r="ALB381" s="90"/>
      <c r="ALC381" s="90"/>
      <c r="ALD381" s="90"/>
      <c r="ALE381" s="90"/>
      <c r="ALF381" s="90"/>
      <c r="ALG381" s="90"/>
      <c r="ALH381" s="90"/>
      <c r="ALI381" s="90"/>
      <c r="ALJ381" s="90"/>
      <c r="ALK381" s="90"/>
      <c r="ALL381" s="90"/>
      <c r="ALM381" s="90"/>
      <c r="ALN381" s="90"/>
      <c r="ALO381" s="90"/>
      <c r="ALP381" s="90"/>
      <c r="ALQ381" s="90"/>
      <c r="ALR381" s="90"/>
      <c r="ALS381" s="90"/>
      <c r="ALT381" s="90"/>
      <c r="ALU381" s="90"/>
      <c r="ALV381" s="90"/>
      <c r="ALW381" s="90"/>
      <c r="ALX381" s="90"/>
      <c r="ALY381" s="90"/>
      <c r="ALZ381" s="90"/>
      <c r="AMA381" s="90"/>
      <c r="AMB381" s="90"/>
      <c r="AMC381" s="90"/>
    </row>
    <row r="382" spans="1:1017">
      <c r="A382" s="98" t="s">
        <v>54</v>
      </c>
      <c r="B382" s="90" t="str">
        <f t="shared" si="1966"/>
        <v xml:space="preserve">Udang Windu </v>
      </c>
      <c r="E382" s="98">
        <v>7200</v>
      </c>
      <c r="F382" s="98">
        <v>936000</v>
      </c>
      <c r="Q382" s="91">
        <f t="shared" si="1967"/>
        <v>7200</v>
      </c>
      <c r="R382" s="91">
        <f t="shared" si="1968"/>
        <v>936000</v>
      </c>
      <c r="AG382" s="91">
        <f t="shared" si="1969"/>
        <v>0</v>
      </c>
      <c r="AH382" s="91">
        <f t="shared" si="1970"/>
        <v>0</v>
      </c>
      <c r="AW382" s="91">
        <f t="shared" si="1971"/>
        <v>0</v>
      </c>
      <c r="AX382" s="91">
        <f t="shared" si="1972"/>
        <v>0</v>
      </c>
      <c r="BM382" s="91">
        <f t="shared" si="1973"/>
        <v>0</v>
      </c>
      <c r="BN382" s="91">
        <f t="shared" si="1974"/>
        <v>0</v>
      </c>
      <c r="CC382" s="91">
        <f t="shared" si="1975"/>
        <v>0</v>
      </c>
      <c r="CD382" s="91">
        <f t="shared" si="1976"/>
        <v>0</v>
      </c>
      <c r="CG382" s="98">
        <v>224337.9038907006</v>
      </c>
      <c r="CH382" s="98">
        <v>17947040.491999999</v>
      </c>
      <c r="CS382" s="91">
        <f t="shared" si="1977"/>
        <v>224337.9038907006</v>
      </c>
      <c r="CT382" s="91">
        <f t="shared" si="1978"/>
        <v>17947040.491999999</v>
      </c>
      <c r="DI382" s="91">
        <f t="shared" si="1979"/>
        <v>0</v>
      </c>
      <c r="DJ382" s="91">
        <f t="shared" si="1980"/>
        <v>0</v>
      </c>
      <c r="DY382" s="91">
        <f t="shared" si="1981"/>
        <v>0</v>
      </c>
      <c r="DZ382" s="91">
        <f t="shared" si="1982"/>
        <v>0</v>
      </c>
      <c r="EO382" s="91">
        <f t="shared" si="1983"/>
        <v>0</v>
      </c>
      <c r="EP382" s="91">
        <f t="shared" si="1984"/>
        <v>0</v>
      </c>
      <c r="FE382" s="91">
        <f t="shared" si="1985"/>
        <v>0</v>
      </c>
      <c r="FF382" s="91">
        <f t="shared" si="1986"/>
        <v>0</v>
      </c>
      <c r="FU382" s="91">
        <f t="shared" si="1987"/>
        <v>0</v>
      </c>
      <c r="FV382" s="91">
        <f t="shared" si="1988"/>
        <v>0</v>
      </c>
      <c r="GK382" s="91">
        <f t="shared" si="1989"/>
        <v>0</v>
      </c>
      <c r="GL382" s="91">
        <f t="shared" si="1990"/>
        <v>0</v>
      </c>
      <c r="HA382" s="91">
        <f t="shared" si="1991"/>
        <v>0</v>
      </c>
      <c r="HB382" s="91">
        <f t="shared" si="1992"/>
        <v>0</v>
      </c>
      <c r="HQ382" s="91">
        <f t="shared" si="1993"/>
        <v>0</v>
      </c>
      <c r="HR382" s="91">
        <f t="shared" si="1994"/>
        <v>0</v>
      </c>
      <c r="IG382" s="91">
        <f t="shared" si="1995"/>
        <v>0</v>
      </c>
      <c r="IH382" s="91">
        <f t="shared" si="1996"/>
        <v>0</v>
      </c>
      <c r="IW382" s="91">
        <f t="shared" si="1997"/>
        <v>0</v>
      </c>
      <c r="IX382" s="91">
        <f t="shared" si="1998"/>
        <v>0</v>
      </c>
      <c r="JM382" s="91">
        <f t="shared" si="1999"/>
        <v>0</v>
      </c>
      <c r="JN382" s="91">
        <f t="shared" si="2000"/>
        <v>0</v>
      </c>
      <c r="KC382" s="91">
        <f t="shared" si="2001"/>
        <v>0</v>
      </c>
      <c r="KD382" s="91">
        <f t="shared" si="2002"/>
        <v>0</v>
      </c>
      <c r="KS382" s="91">
        <f t="shared" si="2003"/>
        <v>0</v>
      </c>
      <c r="KT382" s="91">
        <f t="shared" si="2004"/>
        <v>0</v>
      </c>
      <c r="KW382" s="98">
        <v>4860.03</v>
      </c>
      <c r="KX382" s="98">
        <v>461702</v>
      </c>
      <c r="LI382" s="91">
        <f t="shared" si="2005"/>
        <v>4860.03</v>
      </c>
      <c r="LJ382" s="91">
        <f t="shared" si="2006"/>
        <v>461702</v>
      </c>
      <c r="LY382" s="91">
        <f t="shared" si="2007"/>
        <v>0</v>
      </c>
      <c r="LZ382" s="91">
        <f t="shared" si="2008"/>
        <v>0</v>
      </c>
      <c r="MO382" s="91">
        <f t="shared" si="2009"/>
        <v>0</v>
      </c>
      <c r="MP382" s="91">
        <f t="shared" si="2010"/>
        <v>0</v>
      </c>
      <c r="MS382" s="98">
        <v>700</v>
      </c>
      <c r="MT382" s="98">
        <v>56000</v>
      </c>
      <c r="NE382" s="91">
        <f t="shared" si="2011"/>
        <v>700</v>
      </c>
      <c r="NF382" s="91">
        <f t="shared" si="2012"/>
        <v>56000</v>
      </c>
      <c r="NI382" s="98">
        <v>378367</v>
      </c>
      <c r="NJ382" s="98">
        <v>34053030</v>
      </c>
      <c r="NU382" s="91">
        <f t="shared" si="2013"/>
        <v>378367</v>
      </c>
      <c r="NV382" s="91">
        <f t="shared" si="2014"/>
        <v>34053030</v>
      </c>
      <c r="NY382" s="98">
        <v>54</v>
      </c>
      <c r="NZ382" s="98">
        <v>8100</v>
      </c>
      <c r="OK382" s="91">
        <f t="shared" si="2015"/>
        <v>54</v>
      </c>
      <c r="OL382" s="91">
        <f t="shared" si="2016"/>
        <v>8100</v>
      </c>
      <c r="PA382" s="91">
        <f t="shared" si="2017"/>
        <v>0</v>
      </c>
      <c r="PB382" s="91">
        <f t="shared" si="2018"/>
        <v>0</v>
      </c>
      <c r="PQ382" s="91">
        <f t="shared" si="2019"/>
        <v>0</v>
      </c>
      <c r="PR382" s="91">
        <f t="shared" si="2020"/>
        <v>0</v>
      </c>
      <c r="QG382" s="91">
        <f t="shared" si="2021"/>
        <v>0</v>
      </c>
      <c r="QH382" s="91">
        <f t="shared" si="2022"/>
        <v>0</v>
      </c>
      <c r="QW382" s="91">
        <f t="shared" si="2023"/>
        <v>0</v>
      </c>
      <c r="QX382" s="91">
        <f t="shared" si="2024"/>
        <v>0</v>
      </c>
      <c r="RM382" s="91">
        <f t="shared" si="2025"/>
        <v>0</v>
      </c>
      <c r="RN382" s="91">
        <f t="shared" si="2026"/>
        <v>0</v>
      </c>
      <c r="SC382" s="91">
        <f t="shared" si="2027"/>
        <v>0</v>
      </c>
      <c r="SD382" s="91">
        <f t="shared" si="2028"/>
        <v>0</v>
      </c>
      <c r="SS382" s="91">
        <f t="shared" si="2029"/>
        <v>0</v>
      </c>
      <c r="ST382" s="91">
        <f t="shared" si="2030"/>
        <v>0</v>
      </c>
      <c r="TI382" s="91">
        <f t="shared" si="2031"/>
        <v>0</v>
      </c>
      <c r="TJ382" s="91">
        <f t="shared" si="2032"/>
        <v>0</v>
      </c>
      <c r="TY382" s="91">
        <f t="shared" si="2033"/>
        <v>0</v>
      </c>
      <c r="TZ382" s="91">
        <f t="shared" si="2034"/>
        <v>0</v>
      </c>
      <c r="UO382" s="91">
        <f t="shared" si="2035"/>
        <v>0</v>
      </c>
      <c r="UP382" s="91">
        <f t="shared" si="2036"/>
        <v>0</v>
      </c>
      <c r="VE382" s="91">
        <f t="shared" si="2037"/>
        <v>0</v>
      </c>
      <c r="VF382" s="91">
        <f t="shared" si="2038"/>
        <v>0</v>
      </c>
      <c r="VI382" s="98">
        <v>11</v>
      </c>
      <c r="VJ382" s="98">
        <v>715</v>
      </c>
      <c r="VU382" s="91">
        <f t="shared" si="2039"/>
        <v>11</v>
      </c>
      <c r="VV382" s="91">
        <f t="shared" si="2040"/>
        <v>715</v>
      </c>
      <c r="WK382" s="91">
        <f t="shared" si="2041"/>
        <v>0</v>
      </c>
      <c r="WL382" s="91">
        <f t="shared" si="2042"/>
        <v>0</v>
      </c>
      <c r="WM382" s="89"/>
      <c r="WN382" s="87">
        <f t="shared" si="2043"/>
        <v>0</v>
      </c>
      <c r="WO382" s="87">
        <f t="shared" si="2044"/>
        <v>0</v>
      </c>
      <c r="WP382" s="87">
        <f t="shared" si="2045"/>
        <v>615529.93389070057</v>
      </c>
      <c r="WQ382" s="87">
        <f t="shared" si="2046"/>
        <v>53462587.491999999</v>
      </c>
      <c r="WR382" s="87">
        <f t="shared" si="2047"/>
        <v>0</v>
      </c>
      <c r="WS382" s="87">
        <f t="shared" si="2048"/>
        <v>0</v>
      </c>
      <c r="WT382" s="87">
        <f t="shared" si="2049"/>
        <v>0</v>
      </c>
      <c r="WU382" s="87">
        <f t="shared" si="2050"/>
        <v>0</v>
      </c>
      <c r="WV382" s="87">
        <f t="shared" si="2051"/>
        <v>0</v>
      </c>
      <c r="WW382" s="87">
        <f t="shared" si="2052"/>
        <v>0</v>
      </c>
      <c r="WX382" s="87">
        <f t="shared" si="2053"/>
        <v>0</v>
      </c>
      <c r="WY382" s="87">
        <f t="shared" si="2054"/>
        <v>0</v>
      </c>
      <c r="WZ382" s="87">
        <f t="shared" si="2061"/>
        <v>0</v>
      </c>
      <c r="XA382" s="87">
        <f t="shared" si="2062"/>
        <v>0</v>
      </c>
      <c r="XB382" s="92">
        <f t="shared" si="2063"/>
        <v>615529.93389070057</v>
      </c>
      <c r="XC382" s="92">
        <f t="shared" si="2064"/>
        <v>53462587.491999999</v>
      </c>
      <c r="XD382" s="89"/>
      <c r="XE382" s="92"/>
      <c r="XF382" s="92"/>
      <c r="XG382" s="89"/>
      <c r="XH382" s="92"/>
      <c r="XI382" s="92"/>
      <c r="XJ382" s="89"/>
      <c r="XK382" s="87"/>
      <c r="XL382" s="87"/>
      <c r="XM382" s="87"/>
      <c r="XN382" s="87"/>
      <c r="XO382" s="87"/>
      <c r="XP382" s="87"/>
      <c r="XQ382" s="87"/>
      <c r="XR382" s="92">
        <f t="shared" ca="1" si="2059"/>
        <v>0</v>
      </c>
      <c r="XS382" s="89"/>
      <c r="XT382" s="87"/>
      <c r="XU382" s="87"/>
      <c r="XV382" s="87"/>
      <c r="XW382" s="87"/>
      <c r="XX382" s="87"/>
      <c r="XY382" s="87"/>
      <c r="XZ382" s="87"/>
      <c r="YA382" s="92">
        <f t="shared" ca="1" si="2060"/>
        <v>0</v>
      </c>
      <c r="YB382" s="90"/>
      <c r="YC382" s="90"/>
      <c r="YD382" s="90"/>
      <c r="YE382" s="90"/>
      <c r="YF382" s="90"/>
      <c r="YG382" s="90"/>
      <c r="YH382" s="90"/>
      <c r="YI382" s="90"/>
      <c r="YJ382" s="90"/>
      <c r="YK382" s="90"/>
      <c r="YL382" s="90"/>
      <c r="YM382" s="90"/>
      <c r="YN382" s="90"/>
      <c r="YO382" s="90"/>
      <c r="YP382" s="90"/>
      <c r="YQ382" s="90"/>
      <c r="YR382" s="90"/>
      <c r="YS382" s="90"/>
      <c r="YT382" s="90"/>
      <c r="YU382" s="90"/>
      <c r="YV382" s="90"/>
      <c r="YW382" s="90"/>
      <c r="YX382" s="90"/>
      <c r="YY382" s="90"/>
      <c r="YZ382" s="90"/>
      <c r="ZA382" s="90"/>
      <c r="ZB382" s="90"/>
      <c r="ZC382" s="90"/>
      <c r="ZD382" s="90"/>
      <c r="ZE382" s="90"/>
      <c r="ZF382" s="90"/>
      <c r="ZG382" s="90"/>
      <c r="ZH382" s="90"/>
      <c r="ZI382" s="90"/>
      <c r="ZJ382" s="90"/>
      <c r="ZK382" s="90"/>
      <c r="ZL382" s="90"/>
      <c r="ZM382" s="90"/>
      <c r="ZN382" s="90"/>
      <c r="ZO382" s="90"/>
      <c r="ZP382" s="90"/>
      <c r="ZQ382" s="90"/>
      <c r="ZR382" s="90"/>
      <c r="ZS382" s="90"/>
      <c r="ZT382" s="90"/>
      <c r="ZU382" s="90"/>
      <c r="ZV382" s="90"/>
      <c r="ZW382" s="90"/>
      <c r="ZX382" s="90"/>
      <c r="ZY382" s="90"/>
      <c r="ZZ382" s="90"/>
      <c r="AAA382" s="90"/>
      <c r="AAB382" s="90"/>
      <c r="AAC382" s="90"/>
      <c r="AAD382" s="90"/>
      <c r="AAE382" s="90"/>
      <c r="AAF382" s="90"/>
      <c r="AAG382" s="90"/>
      <c r="AAH382" s="90"/>
      <c r="AAI382" s="90"/>
      <c r="AAJ382" s="90"/>
      <c r="AAK382" s="90"/>
      <c r="AAL382" s="90"/>
      <c r="AAM382" s="90"/>
      <c r="AAN382" s="90"/>
      <c r="AAO382" s="90"/>
      <c r="AAP382" s="90"/>
      <c r="AAQ382" s="90"/>
      <c r="AAR382" s="90"/>
      <c r="AAS382" s="90"/>
      <c r="AAT382" s="90"/>
      <c r="AAU382" s="90"/>
      <c r="AAV382" s="90"/>
      <c r="AAW382" s="90"/>
      <c r="AAX382" s="90"/>
      <c r="AAY382" s="90"/>
      <c r="AAZ382" s="90"/>
      <c r="ABA382" s="90"/>
      <c r="ABB382" s="90"/>
      <c r="ABC382" s="90"/>
      <c r="ABD382" s="90"/>
      <c r="ABE382" s="90"/>
      <c r="ABF382" s="90"/>
      <c r="ABG382" s="90"/>
      <c r="ABH382" s="90"/>
      <c r="ABI382" s="90"/>
      <c r="ABJ382" s="90"/>
      <c r="ABK382" s="90"/>
      <c r="ABL382" s="90"/>
      <c r="ABM382" s="90"/>
      <c r="ABN382" s="90"/>
      <c r="ABO382" s="90"/>
      <c r="ABP382" s="90"/>
      <c r="ABQ382" s="90"/>
      <c r="ABR382" s="90"/>
      <c r="ABS382" s="90"/>
      <c r="ABT382" s="90"/>
      <c r="ABU382" s="90"/>
      <c r="ABV382" s="90"/>
      <c r="ABW382" s="90"/>
      <c r="ABX382" s="90"/>
      <c r="ABY382" s="90"/>
      <c r="ABZ382" s="90"/>
      <c r="ACA382" s="90"/>
      <c r="ACB382" s="90"/>
      <c r="ACC382" s="90"/>
      <c r="ACD382" s="90"/>
      <c r="ACE382" s="90"/>
      <c r="ACF382" s="90"/>
      <c r="ACG382" s="90"/>
      <c r="ACH382" s="90"/>
      <c r="ACI382" s="90"/>
      <c r="ACJ382" s="90"/>
      <c r="ACK382" s="90"/>
      <c r="ACL382" s="90"/>
      <c r="ACM382" s="90"/>
      <c r="ACN382" s="90"/>
      <c r="ACO382" s="90"/>
      <c r="ACP382" s="90"/>
      <c r="ACQ382" s="90"/>
      <c r="ACR382" s="90"/>
      <c r="ACS382" s="90"/>
      <c r="ACT382" s="90"/>
      <c r="ACU382" s="90"/>
      <c r="ACV382" s="90"/>
      <c r="ACW382" s="90"/>
      <c r="ACX382" s="90"/>
      <c r="ACY382" s="90"/>
      <c r="ACZ382" s="90"/>
      <c r="ADA382" s="90"/>
      <c r="ADB382" s="90"/>
      <c r="ADC382" s="90"/>
      <c r="ADD382" s="90"/>
      <c r="ADE382" s="90"/>
      <c r="ADF382" s="90"/>
      <c r="ADG382" s="90"/>
      <c r="ADH382" s="90"/>
      <c r="ADI382" s="90"/>
      <c r="ADJ382" s="90"/>
      <c r="ADK382" s="90"/>
      <c r="ADL382" s="90"/>
      <c r="ADM382" s="90"/>
      <c r="ADN382" s="90"/>
      <c r="ADO382" s="90"/>
      <c r="ADP382" s="90"/>
      <c r="ADQ382" s="90"/>
      <c r="ADR382" s="90"/>
      <c r="ADS382" s="90"/>
      <c r="ADT382" s="90"/>
      <c r="ADU382" s="90"/>
      <c r="ADV382" s="90"/>
      <c r="ADW382" s="90"/>
      <c r="ADX382" s="90"/>
      <c r="ADY382" s="90"/>
      <c r="ADZ382" s="90"/>
      <c r="AEA382" s="90"/>
      <c r="AEB382" s="90"/>
      <c r="AEC382" s="90"/>
      <c r="AED382" s="90"/>
      <c r="AEE382" s="90"/>
      <c r="AEF382" s="90"/>
      <c r="AEG382" s="90"/>
      <c r="AEH382" s="90"/>
      <c r="AEI382" s="90"/>
      <c r="AEJ382" s="90"/>
      <c r="AEK382" s="90"/>
      <c r="AEL382" s="90"/>
      <c r="AEM382" s="90"/>
      <c r="AEN382" s="90"/>
      <c r="AEO382" s="90"/>
      <c r="AEP382" s="90"/>
      <c r="AEQ382" s="90"/>
      <c r="AER382" s="90"/>
      <c r="AES382" s="90"/>
      <c r="AET382" s="90"/>
      <c r="AEU382" s="90"/>
      <c r="AEV382" s="90"/>
      <c r="AEW382" s="90"/>
      <c r="AEX382" s="90"/>
      <c r="AEY382" s="90"/>
      <c r="AEZ382" s="90"/>
      <c r="AFA382" s="90"/>
      <c r="AFB382" s="90"/>
      <c r="AFC382" s="90"/>
      <c r="AFD382" s="90"/>
      <c r="AFE382" s="90"/>
      <c r="AFF382" s="90"/>
      <c r="AFG382" s="90"/>
      <c r="AFH382" s="90"/>
      <c r="AFI382" s="90"/>
      <c r="AFJ382" s="90"/>
      <c r="AFK382" s="90"/>
      <c r="AFL382" s="90"/>
      <c r="AFM382" s="90"/>
      <c r="AFN382" s="90"/>
      <c r="AFO382" s="90"/>
      <c r="AFP382" s="90"/>
      <c r="AFQ382" s="90"/>
      <c r="AFR382" s="90"/>
      <c r="AFS382" s="90"/>
      <c r="AFT382" s="90"/>
      <c r="AFU382" s="90"/>
      <c r="AFV382" s="90"/>
      <c r="AFW382" s="90"/>
      <c r="AFX382" s="90"/>
      <c r="AFY382" s="90"/>
      <c r="AFZ382" s="90"/>
      <c r="AGA382" s="90"/>
      <c r="AGB382" s="90"/>
      <c r="AGC382" s="90"/>
      <c r="AGD382" s="90"/>
      <c r="AGE382" s="90"/>
      <c r="AGF382" s="90"/>
      <c r="AGG382" s="90"/>
      <c r="AGH382" s="90"/>
      <c r="AGI382" s="90"/>
      <c r="AGJ382" s="90"/>
      <c r="AGK382" s="90"/>
      <c r="AGL382" s="90"/>
      <c r="AGM382" s="90"/>
      <c r="AGN382" s="90"/>
      <c r="AGO382" s="90"/>
      <c r="AGP382" s="90"/>
      <c r="AGQ382" s="90"/>
      <c r="AGR382" s="90"/>
      <c r="AGS382" s="90"/>
      <c r="AGT382" s="90"/>
      <c r="AGU382" s="90"/>
      <c r="AGV382" s="90"/>
      <c r="AGW382" s="90"/>
      <c r="AGX382" s="90"/>
      <c r="AGY382" s="90"/>
      <c r="AGZ382" s="90"/>
      <c r="AHA382" s="90"/>
      <c r="AHB382" s="90"/>
      <c r="AHC382" s="90"/>
      <c r="AHD382" s="90"/>
      <c r="AHE382" s="90"/>
      <c r="AHF382" s="90"/>
      <c r="AHG382" s="90"/>
      <c r="AHH382" s="90"/>
      <c r="AHI382" s="90"/>
      <c r="AHJ382" s="90"/>
      <c r="AHK382" s="90"/>
      <c r="AHL382" s="90"/>
      <c r="AHM382" s="90"/>
      <c r="AHN382" s="90"/>
      <c r="AHO382" s="90"/>
      <c r="AHP382" s="90"/>
      <c r="AHQ382" s="90"/>
      <c r="AHR382" s="90"/>
      <c r="AHS382" s="90"/>
      <c r="AHT382" s="90"/>
      <c r="AHU382" s="90"/>
      <c r="AHV382" s="90"/>
      <c r="AHW382" s="90"/>
      <c r="AHX382" s="90"/>
      <c r="AHY382" s="90"/>
      <c r="AHZ382" s="90"/>
      <c r="AIA382" s="90"/>
      <c r="AIB382" s="90"/>
      <c r="AIC382" s="90"/>
      <c r="AID382" s="90"/>
      <c r="AIE382" s="90"/>
      <c r="AIF382" s="90"/>
      <c r="AIG382" s="90"/>
      <c r="AIH382" s="90"/>
      <c r="AII382" s="90"/>
      <c r="AIJ382" s="90"/>
      <c r="AIK382" s="90"/>
      <c r="AIL382" s="90"/>
      <c r="AIM382" s="90"/>
      <c r="AIN382" s="90"/>
      <c r="AIO382" s="90"/>
      <c r="AIP382" s="90"/>
      <c r="AIQ382" s="90"/>
      <c r="AIR382" s="90"/>
      <c r="AIS382" s="90"/>
      <c r="AIT382" s="90"/>
      <c r="AIU382" s="90"/>
      <c r="AIV382" s="90"/>
      <c r="AIW382" s="90"/>
      <c r="AIX382" s="90"/>
      <c r="AIY382" s="90"/>
      <c r="AIZ382" s="90"/>
      <c r="AJA382" s="90"/>
      <c r="AJB382" s="90"/>
      <c r="AJC382" s="90"/>
      <c r="AJD382" s="90"/>
      <c r="AJE382" s="90"/>
      <c r="AJF382" s="90"/>
      <c r="AJG382" s="90"/>
      <c r="AJH382" s="90"/>
      <c r="AJI382" s="90"/>
      <c r="AJJ382" s="90"/>
      <c r="AJK382" s="90"/>
      <c r="AJL382" s="90"/>
      <c r="AJM382" s="90"/>
      <c r="AJN382" s="90"/>
      <c r="AJO382" s="90"/>
      <c r="AJP382" s="90"/>
      <c r="AJQ382" s="90"/>
      <c r="AJR382" s="90"/>
      <c r="AJS382" s="90"/>
      <c r="AJT382" s="90"/>
      <c r="AJU382" s="90"/>
      <c r="AJV382" s="90"/>
      <c r="AJW382" s="90"/>
      <c r="AJX382" s="90"/>
      <c r="AJY382" s="90"/>
      <c r="AJZ382" s="90"/>
      <c r="AKA382" s="90"/>
      <c r="AKB382" s="90"/>
      <c r="AKC382" s="90"/>
      <c r="AKD382" s="90"/>
      <c r="AKE382" s="90"/>
      <c r="AKF382" s="90"/>
      <c r="AKG382" s="90"/>
      <c r="AKH382" s="90"/>
      <c r="AKI382" s="90"/>
      <c r="AKJ382" s="90"/>
      <c r="AKK382" s="90"/>
      <c r="AKL382" s="90"/>
      <c r="AKM382" s="90"/>
      <c r="AKN382" s="90"/>
      <c r="AKO382" s="90"/>
      <c r="AKP382" s="90"/>
      <c r="AKQ382" s="90"/>
      <c r="AKR382" s="90"/>
      <c r="AKS382" s="90"/>
      <c r="AKT382" s="90"/>
      <c r="AKU382" s="90"/>
      <c r="AKV382" s="90"/>
      <c r="AKW382" s="90"/>
      <c r="AKX382" s="90"/>
      <c r="AKY382" s="90"/>
      <c r="AKZ382" s="90"/>
      <c r="ALA382" s="90"/>
      <c r="ALB382" s="90"/>
      <c r="ALC382" s="90"/>
      <c r="ALD382" s="90"/>
      <c r="ALE382" s="90"/>
      <c r="ALF382" s="90"/>
      <c r="ALG382" s="90"/>
      <c r="ALH382" s="90"/>
      <c r="ALI382" s="90"/>
      <c r="ALJ382" s="90"/>
      <c r="ALK382" s="90"/>
      <c r="ALL382" s="90"/>
      <c r="ALM382" s="90"/>
      <c r="ALN382" s="90"/>
      <c r="ALO382" s="90"/>
      <c r="ALP382" s="90"/>
      <c r="ALQ382" s="90"/>
      <c r="ALR382" s="90"/>
      <c r="ALS382" s="90"/>
      <c r="ALT382" s="90"/>
      <c r="ALU382" s="90"/>
      <c r="ALV382" s="90"/>
      <c r="ALW382" s="90"/>
      <c r="ALX382" s="90"/>
      <c r="ALY382" s="90"/>
      <c r="ALZ382" s="90"/>
      <c r="AMA382" s="90"/>
      <c r="AMB382" s="90"/>
      <c r="AMC382" s="90"/>
    </row>
    <row r="383" spans="1:1017">
      <c r="A383" s="98" t="s">
        <v>54</v>
      </c>
      <c r="B383" s="90" t="str">
        <f t="shared" ref="B383:B392" si="2065">B345</f>
        <v xml:space="preserve">Udang_01 (Udang Api-Api) </v>
      </c>
      <c r="E383" s="98">
        <v>13700</v>
      </c>
      <c r="F383" s="98">
        <v>548000</v>
      </c>
      <c r="Q383" s="91">
        <f t="shared" si="1967"/>
        <v>13700</v>
      </c>
      <c r="R383" s="91">
        <f t="shared" si="1968"/>
        <v>548000</v>
      </c>
      <c r="AG383" s="91">
        <f t="shared" si="1969"/>
        <v>0</v>
      </c>
      <c r="AH383" s="91">
        <f t="shared" si="1970"/>
        <v>0</v>
      </c>
      <c r="AW383" s="91">
        <f t="shared" si="1971"/>
        <v>0</v>
      </c>
      <c r="AX383" s="91">
        <f t="shared" si="1972"/>
        <v>0</v>
      </c>
      <c r="BM383" s="91">
        <f t="shared" si="1973"/>
        <v>0</v>
      </c>
      <c r="BN383" s="91">
        <f t="shared" si="1974"/>
        <v>0</v>
      </c>
      <c r="CC383" s="91">
        <f t="shared" si="1975"/>
        <v>0</v>
      </c>
      <c r="CD383" s="91">
        <f t="shared" si="1976"/>
        <v>0</v>
      </c>
      <c r="CS383" s="91">
        <f t="shared" si="1977"/>
        <v>0</v>
      </c>
      <c r="CT383" s="91">
        <f t="shared" si="1978"/>
        <v>0</v>
      </c>
      <c r="DI383" s="91">
        <f t="shared" si="1979"/>
        <v>0</v>
      </c>
      <c r="DJ383" s="91">
        <f t="shared" si="1980"/>
        <v>0</v>
      </c>
      <c r="DY383" s="91">
        <f t="shared" si="1981"/>
        <v>0</v>
      </c>
      <c r="DZ383" s="91">
        <f t="shared" si="1982"/>
        <v>0</v>
      </c>
      <c r="EO383" s="91">
        <f t="shared" si="1983"/>
        <v>0</v>
      </c>
      <c r="EP383" s="91">
        <f t="shared" si="1984"/>
        <v>0</v>
      </c>
      <c r="FE383" s="91">
        <f t="shared" si="1985"/>
        <v>0</v>
      </c>
      <c r="FF383" s="91">
        <f t="shared" si="1986"/>
        <v>0</v>
      </c>
      <c r="FU383" s="91">
        <f t="shared" si="1987"/>
        <v>0</v>
      </c>
      <c r="FV383" s="91">
        <f t="shared" si="1988"/>
        <v>0</v>
      </c>
      <c r="GK383" s="91">
        <f t="shared" si="1989"/>
        <v>0</v>
      </c>
      <c r="GL383" s="91">
        <f t="shared" si="1990"/>
        <v>0</v>
      </c>
      <c r="HA383" s="91">
        <f t="shared" si="1991"/>
        <v>0</v>
      </c>
      <c r="HB383" s="91">
        <f t="shared" si="1992"/>
        <v>0</v>
      </c>
      <c r="HQ383" s="91">
        <f t="shared" si="1993"/>
        <v>0</v>
      </c>
      <c r="HR383" s="91">
        <f t="shared" si="1994"/>
        <v>0</v>
      </c>
      <c r="IG383" s="91">
        <f t="shared" si="1995"/>
        <v>0</v>
      </c>
      <c r="IH383" s="91">
        <f t="shared" si="1996"/>
        <v>0</v>
      </c>
      <c r="IW383" s="91">
        <f t="shared" si="1997"/>
        <v>0</v>
      </c>
      <c r="IX383" s="91">
        <f t="shared" si="1998"/>
        <v>0</v>
      </c>
      <c r="JM383" s="91">
        <f t="shared" si="1999"/>
        <v>0</v>
      </c>
      <c r="JN383" s="91">
        <f t="shared" si="2000"/>
        <v>0</v>
      </c>
      <c r="KC383" s="91">
        <f t="shared" si="2001"/>
        <v>0</v>
      </c>
      <c r="KD383" s="91">
        <f t="shared" si="2002"/>
        <v>0</v>
      </c>
      <c r="KS383" s="91">
        <f t="shared" si="2003"/>
        <v>0</v>
      </c>
      <c r="KT383" s="91">
        <f t="shared" si="2004"/>
        <v>0</v>
      </c>
      <c r="LI383" s="91">
        <f t="shared" si="2005"/>
        <v>0</v>
      </c>
      <c r="LJ383" s="91">
        <f t="shared" si="2006"/>
        <v>0</v>
      </c>
      <c r="LY383" s="91">
        <f t="shared" si="2007"/>
        <v>0</v>
      </c>
      <c r="LZ383" s="91">
        <f t="shared" si="2008"/>
        <v>0</v>
      </c>
      <c r="MC383" s="98">
        <v>3720</v>
      </c>
      <c r="MD383" s="98">
        <v>148800</v>
      </c>
      <c r="MO383" s="91">
        <f t="shared" si="2009"/>
        <v>3720</v>
      </c>
      <c r="MP383" s="91">
        <f t="shared" si="2010"/>
        <v>148800</v>
      </c>
      <c r="NE383" s="91">
        <f t="shared" si="2011"/>
        <v>0</v>
      </c>
      <c r="NF383" s="91">
        <f t="shared" si="2012"/>
        <v>0</v>
      </c>
      <c r="NI383" s="98">
        <v>28023</v>
      </c>
      <c r="NJ383" s="98">
        <v>1261035</v>
      </c>
      <c r="NU383" s="91">
        <f t="shared" si="2013"/>
        <v>28023</v>
      </c>
      <c r="NV383" s="91">
        <f t="shared" si="2014"/>
        <v>1261035</v>
      </c>
      <c r="OK383" s="91">
        <f t="shared" si="2015"/>
        <v>0</v>
      </c>
      <c r="OL383" s="91">
        <f t="shared" si="2016"/>
        <v>0</v>
      </c>
      <c r="PA383" s="91">
        <f t="shared" si="2017"/>
        <v>0</v>
      </c>
      <c r="PB383" s="91">
        <f t="shared" si="2018"/>
        <v>0</v>
      </c>
      <c r="PQ383" s="91">
        <f t="shared" si="2019"/>
        <v>0</v>
      </c>
      <c r="PR383" s="91">
        <f t="shared" si="2020"/>
        <v>0</v>
      </c>
      <c r="QG383" s="91">
        <f t="shared" si="2021"/>
        <v>0</v>
      </c>
      <c r="QH383" s="91">
        <f t="shared" si="2022"/>
        <v>0</v>
      </c>
      <c r="QW383" s="91">
        <f t="shared" si="2023"/>
        <v>0</v>
      </c>
      <c r="QX383" s="91">
        <f t="shared" si="2024"/>
        <v>0</v>
      </c>
      <c r="RM383" s="91">
        <f t="shared" si="2025"/>
        <v>0</v>
      </c>
      <c r="RN383" s="91">
        <f t="shared" si="2026"/>
        <v>0</v>
      </c>
      <c r="SC383" s="91">
        <f t="shared" si="2027"/>
        <v>0</v>
      </c>
      <c r="SD383" s="91">
        <f t="shared" si="2028"/>
        <v>0</v>
      </c>
      <c r="SS383" s="91">
        <f t="shared" si="2029"/>
        <v>0</v>
      </c>
      <c r="ST383" s="91">
        <f t="shared" si="2030"/>
        <v>0</v>
      </c>
      <c r="TI383" s="91">
        <f t="shared" si="2031"/>
        <v>0</v>
      </c>
      <c r="TJ383" s="91">
        <f t="shared" si="2032"/>
        <v>0</v>
      </c>
      <c r="TY383" s="91">
        <f t="shared" si="2033"/>
        <v>0</v>
      </c>
      <c r="TZ383" s="91">
        <f t="shared" si="2034"/>
        <v>0</v>
      </c>
      <c r="UO383" s="91">
        <f t="shared" si="2035"/>
        <v>0</v>
      </c>
      <c r="UP383" s="91">
        <f t="shared" si="2036"/>
        <v>0</v>
      </c>
      <c r="VE383" s="91">
        <f t="shared" si="2037"/>
        <v>0</v>
      </c>
      <c r="VF383" s="91">
        <f t="shared" si="2038"/>
        <v>0</v>
      </c>
      <c r="VU383" s="91">
        <f t="shared" si="2039"/>
        <v>0</v>
      </c>
      <c r="VV383" s="91">
        <f t="shared" si="2040"/>
        <v>0</v>
      </c>
      <c r="WK383" s="91">
        <f t="shared" si="2041"/>
        <v>0</v>
      </c>
      <c r="WL383" s="91">
        <f t="shared" si="2042"/>
        <v>0</v>
      </c>
      <c r="WM383" s="89"/>
      <c r="WN383" s="87">
        <f t="shared" si="2043"/>
        <v>0</v>
      </c>
      <c r="WO383" s="87">
        <f t="shared" si="2044"/>
        <v>0</v>
      </c>
      <c r="WP383" s="87">
        <f t="shared" si="2045"/>
        <v>45443</v>
      </c>
      <c r="WQ383" s="87">
        <f t="shared" si="2046"/>
        <v>1957835</v>
      </c>
      <c r="WR383" s="87">
        <f t="shared" si="2047"/>
        <v>0</v>
      </c>
      <c r="WS383" s="87">
        <f t="shared" si="2048"/>
        <v>0</v>
      </c>
      <c r="WT383" s="87">
        <f t="shared" si="2049"/>
        <v>0</v>
      </c>
      <c r="WU383" s="87">
        <f t="shared" si="2050"/>
        <v>0</v>
      </c>
      <c r="WV383" s="87">
        <f t="shared" si="2051"/>
        <v>0</v>
      </c>
      <c r="WW383" s="87">
        <f t="shared" si="2052"/>
        <v>0</v>
      </c>
      <c r="WX383" s="87">
        <f t="shared" si="2053"/>
        <v>0</v>
      </c>
      <c r="WY383" s="87">
        <f t="shared" si="2054"/>
        <v>0</v>
      </c>
      <c r="WZ383" s="87">
        <f t="shared" si="2061"/>
        <v>0</v>
      </c>
      <c r="XA383" s="87">
        <f t="shared" si="2062"/>
        <v>0</v>
      </c>
      <c r="XB383" s="92">
        <f t="shared" si="2063"/>
        <v>45443</v>
      </c>
      <c r="XC383" s="92">
        <f t="shared" si="2064"/>
        <v>1957835</v>
      </c>
      <c r="XD383" s="89"/>
      <c r="XE383" s="92"/>
      <c r="XF383" s="92"/>
      <c r="XG383" s="89"/>
      <c r="XH383" s="92"/>
      <c r="XI383" s="92"/>
      <c r="XJ383" s="89"/>
      <c r="XK383" s="87"/>
      <c r="XL383" s="87"/>
      <c r="XM383" s="87"/>
      <c r="XN383" s="87"/>
      <c r="XO383" s="87"/>
      <c r="XP383" s="87"/>
      <c r="XQ383" s="87"/>
      <c r="XR383" s="92">
        <f t="shared" ca="1" si="2059"/>
        <v>0</v>
      </c>
      <c r="XS383" s="89"/>
      <c r="XT383" s="87"/>
      <c r="XU383" s="87"/>
      <c r="XV383" s="87"/>
      <c r="XW383" s="87"/>
      <c r="XX383" s="87"/>
      <c r="XY383" s="87"/>
      <c r="XZ383" s="87"/>
      <c r="YA383" s="92">
        <f t="shared" ca="1" si="2060"/>
        <v>0</v>
      </c>
      <c r="YB383" s="90"/>
      <c r="YC383" s="90"/>
      <c r="YD383" s="90"/>
      <c r="YE383" s="90"/>
      <c r="YF383" s="90"/>
      <c r="YG383" s="90"/>
      <c r="YH383" s="90"/>
      <c r="YI383" s="90"/>
      <c r="YJ383" s="90"/>
      <c r="YK383" s="90"/>
      <c r="YL383" s="90"/>
      <c r="YM383" s="90"/>
      <c r="YN383" s="90"/>
      <c r="YO383" s="90"/>
      <c r="YP383" s="90"/>
      <c r="YQ383" s="90"/>
      <c r="YR383" s="90"/>
      <c r="YS383" s="90"/>
      <c r="YT383" s="90"/>
      <c r="YU383" s="90"/>
      <c r="YV383" s="90"/>
      <c r="YW383" s="90"/>
      <c r="YX383" s="90"/>
      <c r="YY383" s="90"/>
      <c r="YZ383" s="90"/>
      <c r="ZA383" s="90"/>
      <c r="ZB383" s="90"/>
      <c r="ZC383" s="90"/>
      <c r="ZD383" s="90"/>
      <c r="ZE383" s="90"/>
      <c r="ZF383" s="90"/>
      <c r="ZG383" s="90"/>
      <c r="ZH383" s="90"/>
      <c r="ZI383" s="90"/>
      <c r="ZJ383" s="90"/>
      <c r="ZK383" s="90"/>
      <c r="ZL383" s="90"/>
      <c r="ZM383" s="90"/>
      <c r="ZN383" s="90"/>
      <c r="ZO383" s="90"/>
      <c r="ZP383" s="90"/>
      <c r="ZQ383" s="90"/>
      <c r="ZR383" s="90"/>
      <c r="ZS383" s="90"/>
      <c r="ZT383" s="90"/>
      <c r="ZU383" s="90"/>
      <c r="ZV383" s="90"/>
      <c r="ZW383" s="90"/>
      <c r="ZX383" s="90"/>
      <c r="ZY383" s="90"/>
      <c r="ZZ383" s="90"/>
      <c r="AAA383" s="90"/>
      <c r="AAB383" s="90"/>
      <c r="AAC383" s="90"/>
      <c r="AAD383" s="90"/>
      <c r="AAE383" s="90"/>
      <c r="AAF383" s="90"/>
      <c r="AAG383" s="90"/>
      <c r="AAH383" s="90"/>
      <c r="AAI383" s="90"/>
      <c r="AAJ383" s="90"/>
      <c r="AAK383" s="90"/>
      <c r="AAL383" s="90"/>
      <c r="AAM383" s="90"/>
      <c r="AAN383" s="90"/>
      <c r="AAO383" s="90"/>
      <c r="AAP383" s="90"/>
      <c r="AAQ383" s="90"/>
      <c r="AAR383" s="90"/>
      <c r="AAS383" s="90"/>
      <c r="AAT383" s="90"/>
      <c r="AAU383" s="90"/>
      <c r="AAV383" s="90"/>
      <c r="AAW383" s="90"/>
      <c r="AAX383" s="90"/>
      <c r="AAY383" s="90"/>
      <c r="AAZ383" s="90"/>
      <c r="ABA383" s="90"/>
      <c r="ABB383" s="90"/>
      <c r="ABC383" s="90"/>
      <c r="ABD383" s="90"/>
      <c r="ABE383" s="90"/>
      <c r="ABF383" s="90"/>
      <c r="ABG383" s="90"/>
      <c r="ABH383" s="90"/>
      <c r="ABI383" s="90"/>
      <c r="ABJ383" s="90"/>
      <c r="ABK383" s="90"/>
      <c r="ABL383" s="90"/>
      <c r="ABM383" s="90"/>
      <c r="ABN383" s="90"/>
      <c r="ABO383" s="90"/>
      <c r="ABP383" s="90"/>
      <c r="ABQ383" s="90"/>
      <c r="ABR383" s="90"/>
      <c r="ABS383" s="90"/>
      <c r="ABT383" s="90"/>
      <c r="ABU383" s="90"/>
      <c r="ABV383" s="90"/>
      <c r="ABW383" s="90"/>
      <c r="ABX383" s="90"/>
      <c r="ABY383" s="90"/>
      <c r="ABZ383" s="90"/>
      <c r="ACA383" s="90"/>
      <c r="ACB383" s="90"/>
      <c r="ACC383" s="90"/>
      <c r="ACD383" s="90"/>
      <c r="ACE383" s="90"/>
      <c r="ACF383" s="90"/>
      <c r="ACG383" s="90"/>
      <c r="ACH383" s="90"/>
      <c r="ACI383" s="90"/>
      <c r="ACJ383" s="90"/>
      <c r="ACK383" s="90"/>
      <c r="ACL383" s="90"/>
      <c r="ACM383" s="90"/>
      <c r="ACN383" s="90"/>
      <c r="ACO383" s="90"/>
      <c r="ACP383" s="90"/>
      <c r="ACQ383" s="90"/>
      <c r="ACR383" s="90"/>
      <c r="ACS383" s="90"/>
      <c r="ACT383" s="90"/>
      <c r="ACU383" s="90"/>
      <c r="ACV383" s="90"/>
      <c r="ACW383" s="90"/>
      <c r="ACX383" s="90"/>
      <c r="ACY383" s="90"/>
      <c r="ACZ383" s="90"/>
      <c r="ADA383" s="90"/>
      <c r="ADB383" s="90"/>
      <c r="ADC383" s="90"/>
      <c r="ADD383" s="90"/>
      <c r="ADE383" s="90"/>
      <c r="ADF383" s="90"/>
      <c r="ADG383" s="90"/>
      <c r="ADH383" s="90"/>
      <c r="ADI383" s="90"/>
      <c r="ADJ383" s="90"/>
      <c r="ADK383" s="90"/>
      <c r="ADL383" s="90"/>
      <c r="ADM383" s="90"/>
      <c r="ADN383" s="90"/>
      <c r="ADO383" s="90"/>
      <c r="ADP383" s="90"/>
      <c r="ADQ383" s="90"/>
      <c r="ADR383" s="90"/>
      <c r="ADS383" s="90"/>
      <c r="ADT383" s="90"/>
      <c r="ADU383" s="90"/>
      <c r="ADV383" s="90"/>
      <c r="ADW383" s="90"/>
      <c r="ADX383" s="90"/>
      <c r="ADY383" s="90"/>
      <c r="ADZ383" s="90"/>
      <c r="AEA383" s="90"/>
      <c r="AEB383" s="90"/>
      <c r="AEC383" s="90"/>
      <c r="AED383" s="90"/>
      <c r="AEE383" s="90"/>
      <c r="AEF383" s="90"/>
      <c r="AEG383" s="90"/>
      <c r="AEH383" s="90"/>
      <c r="AEI383" s="90"/>
      <c r="AEJ383" s="90"/>
      <c r="AEK383" s="90"/>
      <c r="AEL383" s="90"/>
      <c r="AEM383" s="90"/>
      <c r="AEN383" s="90"/>
      <c r="AEO383" s="90"/>
      <c r="AEP383" s="90"/>
      <c r="AEQ383" s="90"/>
      <c r="AER383" s="90"/>
      <c r="AES383" s="90"/>
      <c r="AET383" s="90"/>
      <c r="AEU383" s="90"/>
      <c r="AEV383" s="90"/>
      <c r="AEW383" s="90"/>
      <c r="AEX383" s="90"/>
      <c r="AEY383" s="90"/>
      <c r="AEZ383" s="90"/>
      <c r="AFA383" s="90"/>
      <c r="AFB383" s="90"/>
      <c r="AFC383" s="90"/>
      <c r="AFD383" s="90"/>
      <c r="AFE383" s="90"/>
      <c r="AFF383" s="90"/>
      <c r="AFG383" s="90"/>
      <c r="AFH383" s="90"/>
      <c r="AFI383" s="90"/>
      <c r="AFJ383" s="90"/>
      <c r="AFK383" s="90"/>
      <c r="AFL383" s="90"/>
      <c r="AFM383" s="90"/>
      <c r="AFN383" s="90"/>
      <c r="AFO383" s="90"/>
      <c r="AFP383" s="90"/>
      <c r="AFQ383" s="90"/>
      <c r="AFR383" s="90"/>
      <c r="AFS383" s="90"/>
      <c r="AFT383" s="90"/>
      <c r="AFU383" s="90"/>
      <c r="AFV383" s="90"/>
      <c r="AFW383" s="90"/>
      <c r="AFX383" s="90"/>
      <c r="AFY383" s="90"/>
      <c r="AFZ383" s="90"/>
      <c r="AGA383" s="90"/>
      <c r="AGB383" s="90"/>
      <c r="AGC383" s="90"/>
      <c r="AGD383" s="90"/>
      <c r="AGE383" s="90"/>
      <c r="AGF383" s="90"/>
      <c r="AGG383" s="90"/>
      <c r="AGH383" s="90"/>
      <c r="AGI383" s="90"/>
      <c r="AGJ383" s="90"/>
      <c r="AGK383" s="90"/>
      <c r="AGL383" s="90"/>
      <c r="AGM383" s="90"/>
      <c r="AGN383" s="90"/>
      <c r="AGO383" s="90"/>
      <c r="AGP383" s="90"/>
      <c r="AGQ383" s="90"/>
      <c r="AGR383" s="90"/>
      <c r="AGS383" s="90"/>
      <c r="AGT383" s="90"/>
      <c r="AGU383" s="90"/>
      <c r="AGV383" s="90"/>
      <c r="AGW383" s="90"/>
      <c r="AGX383" s="90"/>
      <c r="AGY383" s="90"/>
      <c r="AGZ383" s="90"/>
      <c r="AHA383" s="90"/>
      <c r="AHB383" s="90"/>
      <c r="AHC383" s="90"/>
      <c r="AHD383" s="90"/>
      <c r="AHE383" s="90"/>
      <c r="AHF383" s="90"/>
      <c r="AHG383" s="90"/>
      <c r="AHH383" s="90"/>
      <c r="AHI383" s="90"/>
      <c r="AHJ383" s="90"/>
      <c r="AHK383" s="90"/>
      <c r="AHL383" s="90"/>
      <c r="AHM383" s="90"/>
      <c r="AHN383" s="90"/>
      <c r="AHO383" s="90"/>
      <c r="AHP383" s="90"/>
      <c r="AHQ383" s="90"/>
      <c r="AHR383" s="90"/>
      <c r="AHS383" s="90"/>
      <c r="AHT383" s="90"/>
      <c r="AHU383" s="90"/>
      <c r="AHV383" s="90"/>
      <c r="AHW383" s="90"/>
      <c r="AHX383" s="90"/>
      <c r="AHY383" s="90"/>
      <c r="AHZ383" s="90"/>
      <c r="AIA383" s="90"/>
      <c r="AIB383" s="90"/>
      <c r="AIC383" s="90"/>
      <c r="AID383" s="90"/>
      <c r="AIE383" s="90"/>
      <c r="AIF383" s="90"/>
      <c r="AIG383" s="90"/>
      <c r="AIH383" s="90"/>
      <c r="AII383" s="90"/>
      <c r="AIJ383" s="90"/>
      <c r="AIK383" s="90"/>
      <c r="AIL383" s="90"/>
      <c r="AIM383" s="90"/>
      <c r="AIN383" s="90"/>
      <c r="AIO383" s="90"/>
      <c r="AIP383" s="90"/>
      <c r="AIQ383" s="90"/>
      <c r="AIR383" s="90"/>
      <c r="AIS383" s="90"/>
      <c r="AIT383" s="90"/>
      <c r="AIU383" s="90"/>
      <c r="AIV383" s="90"/>
      <c r="AIW383" s="90"/>
      <c r="AIX383" s="90"/>
      <c r="AIY383" s="90"/>
      <c r="AIZ383" s="90"/>
      <c r="AJA383" s="90"/>
      <c r="AJB383" s="90"/>
      <c r="AJC383" s="90"/>
      <c r="AJD383" s="90"/>
      <c r="AJE383" s="90"/>
      <c r="AJF383" s="90"/>
      <c r="AJG383" s="90"/>
      <c r="AJH383" s="90"/>
      <c r="AJI383" s="90"/>
      <c r="AJJ383" s="90"/>
      <c r="AJK383" s="90"/>
      <c r="AJL383" s="90"/>
      <c r="AJM383" s="90"/>
      <c r="AJN383" s="90"/>
      <c r="AJO383" s="90"/>
      <c r="AJP383" s="90"/>
      <c r="AJQ383" s="90"/>
      <c r="AJR383" s="90"/>
      <c r="AJS383" s="90"/>
      <c r="AJT383" s="90"/>
      <c r="AJU383" s="90"/>
      <c r="AJV383" s="90"/>
      <c r="AJW383" s="90"/>
      <c r="AJX383" s="90"/>
      <c r="AJY383" s="90"/>
      <c r="AJZ383" s="90"/>
      <c r="AKA383" s="90"/>
      <c r="AKB383" s="90"/>
      <c r="AKC383" s="90"/>
      <c r="AKD383" s="90"/>
      <c r="AKE383" s="90"/>
      <c r="AKF383" s="90"/>
      <c r="AKG383" s="90"/>
      <c r="AKH383" s="90"/>
      <c r="AKI383" s="90"/>
      <c r="AKJ383" s="90"/>
      <c r="AKK383" s="90"/>
      <c r="AKL383" s="90"/>
      <c r="AKM383" s="90"/>
      <c r="AKN383" s="90"/>
      <c r="AKO383" s="90"/>
      <c r="AKP383" s="90"/>
      <c r="AKQ383" s="90"/>
      <c r="AKR383" s="90"/>
      <c r="AKS383" s="90"/>
      <c r="AKT383" s="90"/>
      <c r="AKU383" s="90"/>
      <c r="AKV383" s="90"/>
      <c r="AKW383" s="90"/>
      <c r="AKX383" s="90"/>
      <c r="AKY383" s="90"/>
      <c r="AKZ383" s="90"/>
      <c r="ALA383" s="90"/>
      <c r="ALB383" s="90"/>
      <c r="ALC383" s="90"/>
      <c r="ALD383" s="90"/>
      <c r="ALE383" s="90"/>
      <c r="ALF383" s="90"/>
      <c r="ALG383" s="90"/>
      <c r="ALH383" s="90"/>
      <c r="ALI383" s="90"/>
      <c r="ALJ383" s="90"/>
      <c r="ALK383" s="90"/>
      <c r="ALL383" s="90"/>
      <c r="ALM383" s="90"/>
      <c r="ALN383" s="90"/>
      <c r="ALO383" s="90"/>
      <c r="ALP383" s="90"/>
      <c r="ALQ383" s="90"/>
      <c r="ALR383" s="90"/>
      <c r="ALS383" s="90"/>
      <c r="ALT383" s="90"/>
      <c r="ALU383" s="90"/>
      <c r="ALV383" s="90"/>
      <c r="ALW383" s="90"/>
      <c r="ALX383" s="90"/>
      <c r="ALY383" s="90"/>
      <c r="ALZ383" s="90"/>
      <c r="AMA383" s="90"/>
      <c r="AMB383" s="90"/>
      <c r="AMC383" s="90"/>
    </row>
    <row r="384" spans="1:1017">
      <c r="A384" s="98" t="s">
        <v>54</v>
      </c>
      <c r="B384" s="90" t="str">
        <f t="shared" si="2065"/>
        <v xml:space="preserve">Udang_02 (Udang Rebon) </v>
      </c>
      <c r="Q384" s="91">
        <f t="shared" si="1967"/>
        <v>0</v>
      </c>
      <c r="R384" s="91">
        <f t="shared" si="1968"/>
        <v>0</v>
      </c>
      <c r="AG384" s="91">
        <f t="shared" si="1969"/>
        <v>0</v>
      </c>
      <c r="AH384" s="91">
        <f t="shared" si="1970"/>
        <v>0</v>
      </c>
      <c r="AW384" s="91">
        <f t="shared" si="1971"/>
        <v>0</v>
      </c>
      <c r="AX384" s="91">
        <f t="shared" si="1972"/>
        <v>0</v>
      </c>
      <c r="BM384" s="91">
        <f t="shared" si="1973"/>
        <v>0</v>
      </c>
      <c r="BN384" s="91">
        <f t="shared" si="1974"/>
        <v>0</v>
      </c>
      <c r="CC384" s="91">
        <f t="shared" si="1975"/>
        <v>0</v>
      </c>
      <c r="CD384" s="91">
        <f t="shared" si="1976"/>
        <v>0</v>
      </c>
      <c r="CS384" s="91">
        <f t="shared" si="1977"/>
        <v>0</v>
      </c>
      <c r="CT384" s="91">
        <f t="shared" si="1978"/>
        <v>0</v>
      </c>
      <c r="DI384" s="91">
        <f t="shared" si="1979"/>
        <v>0</v>
      </c>
      <c r="DJ384" s="91">
        <f t="shared" si="1980"/>
        <v>0</v>
      </c>
      <c r="DY384" s="91">
        <f t="shared" si="1981"/>
        <v>0</v>
      </c>
      <c r="DZ384" s="91">
        <f t="shared" si="1982"/>
        <v>0</v>
      </c>
      <c r="EO384" s="91">
        <f t="shared" si="1983"/>
        <v>0</v>
      </c>
      <c r="EP384" s="91">
        <f t="shared" si="1984"/>
        <v>0</v>
      </c>
      <c r="FE384" s="91">
        <f t="shared" si="1985"/>
        <v>0</v>
      </c>
      <c r="FF384" s="91">
        <f t="shared" si="1986"/>
        <v>0</v>
      </c>
      <c r="FU384" s="91">
        <f t="shared" si="1987"/>
        <v>0</v>
      </c>
      <c r="FV384" s="91">
        <f t="shared" si="1988"/>
        <v>0</v>
      </c>
      <c r="GK384" s="91">
        <f t="shared" si="1989"/>
        <v>0</v>
      </c>
      <c r="GL384" s="91">
        <f t="shared" si="1990"/>
        <v>0</v>
      </c>
      <c r="HA384" s="91">
        <f t="shared" si="1991"/>
        <v>0</v>
      </c>
      <c r="HB384" s="91">
        <f t="shared" si="1992"/>
        <v>0</v>
      </c>
      <c r="HQ384" s="91">
        <f t="shared" si="1993"/>
        <v>0</v>
      </c>
      <c r="HR384" s="91">
        <f t="shared" si="1994"/>
        <v>0</v>
      </c>
      <c r="IG384" s="91">
        <f t="shared" si="1995"/>
        <v>0</v>
      </c>
      <c r="IH384" s="91">
        <f t="shared" si="1996"/>
        <v>0</v>
      </c>
      <c r="IW384" s="91">
        <f t="shared" si="1997"/>
        <v>0</v>
      </c>
      <c r="IX384" s="91">
        <f t="shared" si="1998"/>
        <v>0</v>
      </c>
      <c r="JM384" s="91">
        <f t="shared" si="1999"/>
        <v>0</v>
      </c>
      <c r="JN384" s="91">
        <f t="shared" si="2000"/>
        <v>0</v>
      </c>
      <c r="KC384" s="91">
        <f t="shared" si="2001"/>
        <v>0</v>
      </c>
      <c r="KD384" s="91">
        <f t="shared" si="2002"/>
        <v>0</v>
      </c>
      <c r="KS384" s="91">
        <f t="shared" si="2003"/>
        <v>0</v>
      </c>
      <c r="KT384" s="91">
        <f t="shared" si="2004"/>
        <v>0</v>
      </c>
      <c r="LI384" s="91">
        <f t="shared" si="2005"/>
        <v>0</v>
      </c>
      <c r="LJ384" s="91">
        <f t="shared" si="2006"/>
        <v>0</v>
      </c>
      <c r="LY384" s="91">
        <f t="shared" si="2007"/>
        <v>0</v>
      </c>
      <c r="LZ384" s="91">
        <f t="shared" si="2008"/>
        <v>0</v>
      </c>
      <c r="MO384" s="91">
        <f t="shared" si="2009"/>
        <v>0</v>
      </c>
      <c r="MP384" s="91">
        <f t="shared" si="2010"/>
        <v>0</v>
      </c>
      <c r="NE384" s="91">
        <f t="shared" si="2011"/>
        <v>0</v>
      </c>
      <c r="NF384" s="91">
        <f t="shared" si="2012"/>
        <v>0</v>
      </c>
      <c r="NI384" s="98">
        <v>101667</v>
      </c>
      <c r="NJ384" s="98">
        <v>4066680</v>
      </c>
      <c r="NU384" s="91">
        <f t="shared" si="2013"/>
        <v>101667</v>
      </c>
      <c r="NV384" s="91">
        <f t="shared" si="2014"/>
        <v>4066680</v>
      </c>
      <c r="OK384" s="91">
        <f t="shared" si="2015"/>
        <v>0</v>
      </c>
      <c r="OL384" s="91">
        <f t="shared" si="2016"/>
        <v>0</v>
      </c>
      <c r="PA384" s="91">
        <f t="shared" si="2017"/>
        <v>0</v>
      </c>
      <c r="PB384" s="91">
        <f t="shared" si="2018"/>
        <v>0</v>
      </c>
      <c r="PQ384" s="91">
        <f t="shared" si="2019"/>
        <v>0</v>
      </c>
      <c r="PR384" s="91">
        <f t="shared" si="2020"/>
        <v>0</v>
      </c>
      <c r="QG384" s="91">
        <f t="shared" si="2021"/>
        <v>0</v>
      </c>
      <c r="QH384" s="91">
        <f t="shared" si="2022"/>
        <v>0</v>
      </c>
      <c r="QW384" s="91">
        <f t="shared" si="2023"/>
        <v>0</v>
      </c>
      <c r="QX384" s="91">
        <f t="shared" si="2024"/>
        <v>0</v>
      </c>
      <c r="RM384" s="91">
        <f t="shared" si="2025"/>
        <v>0</v>
      </c>
      <c r="RN384" s="91">
        <f t="shared" si="2026"/>
        <v>0</v>
      </c>
      <c r="SC384" s="91">
        <f t="shared" si="2027"/>
        <v>0</v>
      </c>
      <c r="SD384" s="91">
        <f t="shared" si="2028"/>
        <v>0</v>
      </c>
      <c r="SS384" s="91">
        <f t="shared" si="2029"/>
        <v>0</v>
      </c>
      <c r="ST384" s="91">
        <f t="shared" si="2030"/>
        <v>0</v>
      </c>
      <c r="TI384" s="91">
        <f t="shared" si="2031"/>
        <v>0</v>
      </c>
      <c r="TJ384" s="91">
        <f t="shared" si="2032"/>
        <v>0</v>
      </c>
      <c r="TY384" s="91">
        <f t="shared" si="2033"/>
        <v>0</v>
      </c>
      <c r="TZ384" s="91">
        <f t="shared" si="2034"/>
        <v>0</v>
      </c>
      <c r="UO384" s="91">
        <f t="shared" si="2035"/>
        <v>0</v>
      </c>
      <c r="UP384" s="91">
        <f t="shared" si="2036"/>
        <v>0</v>
      </c>
      <c r="VE384" s="91">
        <f t="shared" si="2037"/>
        <v>0</v>
      </c>
      <c r="VF384" s="91">
        <f t="shared" si="2038"/>
        <v>0</v>
      </c>
      <c r="VU384" s="91">
        <f t="shared" si="2039"/>
        <v>0</v>
      </c>
      <c r="VV384" s="91">
        <f t="shared" si="2040"/>
        <v>0</v>
      </c>
      <c r="WK384" s="91">
        <f t="shared" si="2041"/>
        <v>0</v>
      </c>
      <c r="WL384" s="91">
        <f t="shared" si="2042"/>
        <v>0</v>
      </c>
      <c r="WM384" s="89"/>
      <c r="WN384" s="87">
        <f t="shared" ref="WN384:WN392" si="2066">SUMIF($C$5:$WL$5,$WN$5,C384:WL384)</f>
        <v>0</v>
      </c>
      <c r="WO384" s="87">
        <f t="shared" ref="WO384:WO392" si="2067">SUMIF($C$5:$WL$5,$WO$5,C384:WL384)</f>
        <v>0</v>
      </c>
      <c r="WP384" s="87">
        <f t="shared" ref="WP384:WP392" si="2068">SUMIF($C$5:$WL$5,$WP$5,C384:WL384)</f>
        <v>101667</v>
      </c>
      <c r="WQ384" s="87">
        <f t="shared" ref="WQ384:WQ392" si="2069">SUMIF($C$5:$WL$5,$WQ$5,C384:WL384)</f>
        <v>4066680</v>
      </c>
      <c r="WR384" s="87">
        <f t="shared" ref="WR384:WR392" si="2070">SUMIF($C$5:$WL$5,$WR$5,C384:WL384)</f>
        <v>0</v>
      </c>
      <c r="WS384" s="87">
        <f t="shared" ref="WS384:WS392" si="2071">SUMIF($C$5:$WL$5,$WS$5,C384:WL384)</f>
        <v>0</v>
      </c>
      <c r="WT384" s="87">
        <f t="shared" ref="WT384:WT392" si="2072">SUMIF($C$5:$WL$5,$WT$5,C384:WL384)</f>
        <v>0</v>
      </c>
      <c r="WU384" s="87">
        <f t="shared" ref="WU384:WU392" si="2073">SUMIF($C$5:$WL$5,$WU$5,C384:WL384)</f>
        <v>0</v>
      </c>
      <c r="WV384" s="87">
        <f t="shared" ref="WV384:WV392" si="2074">SUMIF($C$5:$WL$5,$WV$5,C384:WL384)</f>
        <v>0</v>
      </c>
      <c r="WW384" s="87">
        <f t="shared" ref="WW384:WW392" si="2075">SUMIF($C$5:$WL$5,$WW$5,C384:WL384)</f>
        <v>0</v>
      </c>
      <c r="WX384" s="87">
        <f t="shared" ref="WX384:WX392" si="2076">SUMIF($C$5:$WL$5,$WX$5,C384:WL384)</f>
        <v>0</v>
      </c>
      <c r="WY384" s="87">
        <f t="shared" ref="WY384:WY392" si="2077">SUMIF($C$5:$WL$5,$WY$5,C384:WL384)</f>
        <v>0</v>
      </c>
      <c r="WZ384" s="87">
        <f t="shared" si="2061"/>
        <v>0</v>
      </c>
      <c r="XA384" s="87">
        <f t="shared" si="2062"/>
        <v>0</v>
      </c>
      <c r="XB384" s="92">
        <f t="shared" si="2063"/>
        <v>101667</v>
      </c>
      <c r="XC384" s="92">
        <f t="shared" si="2064"/>
        <v>4066680</v>
      </c>
      <c r="XD384" s="89"/>
      <c r="XE384" s="92"/>
      <c r="XF384" s="92"/>
      <c r="XG384" s="89"/>
      <c r="XH384" s="92"/>
      <c r="XI384" s="92"/>
      <c r="XJ384" s="89"/>
      <c r="XK384" s="87"/>
      <c r="XL384" s="87"/>
      <c r="XM384" s="87"/>
      <c r="XN384" s="87"/>
      <c r="XO384" s="87"/>
      <c r="XP384" s="87"/>
      <c r="XQ384" s="87"/>
      <c r="XR384" s="92">
        <f t="shared" ca="1" si="2059"/>
        <v>0</v>
      </c>
      <c r="XS384" s="89"/>
      <c r="XT384" s="87"/>
      <c r="XU384" s="87"/>
      <c r="XV384" s="87"/>
      <c r="XW384" s="87"/>
      <c r="XX384" s="87"/>
      <c r="XY384" s="87"/>
      <c r="XZ384" s="87"/>
      <c r="YA384" s="92">
        <f t="shared" ca="1" si="2060"/>
        <v>0</v>
      </c>
      <c r="YB384" s="90"/>
      <c r="YC384" s="90"/>
      <c r="YD384" s="90"/>
      <c r="YE384" s="90"/>
      <c r="YF384" s="90"/>
      <c r="YG384" s="90"/>
      <c r="YH384" s="90"/>
      <c r="YI384" s="90"/>
      <c r="YJ384" s="90"/>
      <c r="YK384" s="90"/>
      <c r="YL384" s="90"/>
      <c r="YM384" s="90"/>
      <c r="YN384" s="90"/>
      <c r="YO384" s="90"/>
      <c r="YP384" s="90"/>
      <c r="YQ384" s="90"/>
      <c r="YR384" s="90"/>
      <c r="YS384" s="90"/>
      <c r="YT384" s="90"/>
      <c r="YU384" s="90"/>
      <c r="YV384" s="90"/>
      <c r="YW384" s="90"/>
      <c r="YX384" s="90"/>
      <c r="YY384" s="90"/>
      <c r="YZ384" s="90"/>
      <c r="ZA384" s="90"/>
      <c r="ZB384" s="90"/>
      <c r="ZC384" s="90"/>
      <c r="ZD384" s="90"/>
      <c r="ZE384" s="90"/>
      <c r="ZF384" s="90"/>
      <c r="ZG384" s="90"/>
      <c r="ZH384" s="90"/>
      <c r="ZI384" s="90"/>
      <c r="ZJ384" s="90"/>
      <c r="ZK384" s="90"/>
      <c r="ZL384" s="90"/>
      <c r="ZM384" s="90"/>
      <c r="ZN384" s="90"/>
      <c r="ZO384" s="90"/>
      <c r="ZP384" s="90"/>
      <c r="ZQ384" s="90"/>
      <c r="ZR384" s="90"/>
      <c r="ZS384" s="90"/>
      <c r="ZT384" s="90"/>
      <c r="ZU384" s="90"/>
      <c r="ZV384" s="90"/>
      <c r="ZW384" s="90"/>
      <c r="ZX384" s="90"/>
      <c r="ZY384" s="90"/>
      <c r="ZZ384" s="90"/>
      <c r="AAA384" s="90"/>
      <c r="AAB384" s="90"/>
      <c r="AAC384" s="90"/>
      <c r="AAD384" s="90"/>
      <c r="AAE384" s="90"/>
      <c r="AAF384" s="90"/>
      <c r="AAG384" s="90"/>
      <c r="AAH384" s="90"/>
      <c r="AAI384" s="90"/>
      <c r="AAJ384" s="90"/>
      <c r="AAK384" s="90"/>
      <c r="AAL384" s="90"/>
      <c r="AAM384" s="90"/>
      <c r="AAN384" s="90"/>
      <c r="AAO384" s="90"/>
      <c r="AAP384" s="90"/>
      <c r="AAQ384" s="90"/>
      <c r="AAR384" s="90"/>
      <c r="AAS384" s="90"/>
      <c r="AAT384" s="90"/>
      <c r="AAU384" s="90"/>
      <c r="AAV384" s="90"/>
      <c r="AAW384" s="90"/>
      <c r="AAX384" s="90"/>
      <c r="AAY384" s="90"/>
      <c r="AAZ384" s="90"/>
      <c r="ABA384" s="90"/>
      <c r="ABB384" s="90"/>
      <c r="ABC384" s="90"/>
      <c r="ABD384" s="90"/>
      <c r="ABE384" s="90"/>
      <c r="ABF384" s="90"/>
      <c r="ABG384" s="90"/>
      <c r="ABH384" s="90"/>
      <c r="ABI384" s="90"/>
      <c r="ABJ384" s="90"/>
      <c r="ABK384" s="90"/>
      <c r="ABL384" s="90"/>
      <c r="ABM384" s="90"/>
      <c r="ABN384" s="90"/>
      <c r="ABO384" s="90"/>
      <c r="ABP384" s="90"/>
      <c r="ABQ384" s="90"/>
      <c r="ABR384" s="90"/>
      <c r="ABS384" s="90"/>
      <c r="ABT384" s="90"/>
      <c r="ABU384" s="90"/>
      <c r="ABV384" s="90"/>
      <c r="ABW384" s="90"/>
      <c r="ABX384" s="90"/>
      <c r="ABY384" s="90"/>
      <c r="ABZ384" s="90"/>
      <c r="ACA384" s="90"/>
      <c r="ACB384" s="90"/>
      <c r="ACC384" s="90"/>
      <c r="ACD384" s="90"/>
      <c r="ACE384" s="90"/>
      <c r="ACF384" s="90"/>
      <c r="ACG384" s="90"/>
      <c r="ACH384" s="90"/>
      <c r="ACI384" s="90"/>
      <c r="ACJ384" s="90"/>
      <c r="ACK384" s="90"/>
      <c r="ACL384" s="90"/>
      <c r="ACM384" s="90"/>
      <c r="ACN384" s="90"/>
      <c r="ACO384" s="90"/>
      <c r="ACP384" s="90"/>
      <c r="ACQ384" s="90"/>
      <c r="ACR384" s="90"/>
      <c r="ACS384" s="90"/>
      <c r="ACT384" s="90"/>
      <c r="ACU384" s="90"/>
      <c r="ACV384" s="90"/>
      <c r="ACW384" s="90"/>
      <c r="ACX384" s="90"/>
      <c r="ACY384" s="90"/>
      <c r="ACZ384" s="90"/>
      <c r="ADA384" s="90"/>
      <c r="ADB384" s="90"/>
      <c r="ADC384" s="90"/>
      <c r="ADD384" s="90"/>
      <c r="ADE384" s="90"/>
      <c r="ADF384" s="90"/>
      <c r="ADG384" s="90"/>
      <c r="ADH384" s="90"/>
      <c r="ADI384" s="90"/>
      <c r="ADJ384" s="90"/>
      <c r="ADK384" s="90"/>
      <c r="ADL384" s="90"/>
      <c r="ADM384" s="90"/>
      <c r="ADN384" s="90"/>
      <c r="ADO384" s="90"/>
      <c r="ADP384" s="90"/>
      <c r="ADQ384" s="90"/>
      <c r="ADR384" s="90"/>
      <c r="ADS384" s="90"/>
      <c r="ADT384" s="90"/>
      <c r="ADU384" s="90"/>
      <c r="ADV384" s="90"/>
      <c r="ADW384" s="90"/>
      <c r="ADX384" s="90"/>
      <c r="ADY384" s="90"/>
      <c r="ADZ384" s="90"/>
      <c r="AEA384" s="90"/>
      <c r="AEB384" s="90"/>
      <c r="AEC384" s="90"/>
      <c r="AED384" s="90"/>
      <c r="AEE384" s="90"/>
      <c r="AEF384" s="90"/>
      <c r="AEG384" s="90"/>
      <c r="AEH384" s="90"/>
      <c r="AEI384" s="90"/>
      <c r="AEJ384" s="90"/>
      <c r="AEK384" s="90"/>
      <c r="AEL384" s="90"/>
      <c r="AEM384" s="90"/>
      <c r="AEN384" s="90"/>
      <c r="AEO384" s="90"/>
      <c r="AEP384" s="90"/>
      <c r="AEQ384" s="90"/>
      <c r="AER384" s="90"/>
      <c r="AES384" s="90"/>
      <c r="AET384" s="90"/>
      <c r="AEU384" s="90"/>
      <c r="AEV384" s="90"/>
      <c r="AEW384" s="90"/>
      <c r="AEX384" s="90"/>
      <c r="AEY384" s="90"/>
      <c r="AEZ384" s="90"/>
      <c r="AFA384" s="90"/>
      <c r="AFB384" s="90"/>
      <c r="AFC384" s="90"/>
      <c r="AFD384" s="90"/>
      <c r="AFE384" s="90"/>
      <c r="AFF384" s="90"/>
      <c r="AFG384" s="90"/>
      <c r="AFH384" s="90"/>
      <c r="AFI384" s="90"/>
      <c r="AFJ384" s="90"/>
      <c r="AFK384" s="90"/>
      <c r="AFL384" s="90"/>
      <c r="AFM384" s="90"/>
      <c r="AFN384" s="90"/>
      <c r="AFO384" s="90"/>
      <c r="AFP384" s="90"/>
      <c r="AFQ384" s="90"/>
      <c r="AFR384" s="90"/>
      <c r="AFS384" s="90"/>
      <c r="AFT384" s="90"/>
      <c r="AFU384" s="90"/>
      <c r="AFV384" s="90"/>
      <c r="AFW384" s="90"/>
      <c r="AFX384" s="90"/>
      <c r="AFY384" s="90"/>
      <c r="AFZ384" s="90"/>
      <c r="AGA384" s="90"/>
      <c r="AGB384" s="90"/>
      <c r="AGC384" s="90"/>
      <c r="AGD384" s="90"/>
      <c r="AGE384" s="90"/>
      <c r="AGF384" s="90"/>
      <c r="AGG384" s="90"/>
      <c r="AGH384" s="90"/>
      <c r="AGI384" s="90"/>
      <c r="AGJ384" s="90"/>
      <c r="AGK384" s="90"/>
      <c r="AGL384" s="90"/>
      <c r="AGM384" s="90"/>
      <c r="AGN384" s="90"/>
      <c r="AGO384" s="90"/>
      <c r="AGP384" s="90"/>
      <c r="AGQ384" s="90"/>
      <c r="AGR384" s="90"/>
      <c r="AGS384" s="90"/>
      <c r="AGT384" s="90"/>
      <c r="AGU384" s="90"/>
      <c r="AGV384" s="90"/>
      <c r="AGW384" s="90"/>
      <c r="AGX384" s="90"/>
      <c r="AGY384" s="90"/>
      <c r="AGZ384" s="90"/>
      <c r="AHA384" s="90"/>
      <c r="AHB384" s="90"/>
      <c r="AHC384" s="90"/>
      <c r="AHD384" s="90"/>
      <c r="AHE384" s="90"/>
      <c r="AHF384" s="90"/>
      <c r="AHG384" s="90"/>
      <c r="AHH384" s="90"/>
      <c r="AHI384" s="90"/>
      <c r="AHJ384" s="90"/>
      <c r="AHK384" s="90"/>
      <c r="AHL384" s="90"/>
      <c r="AHM384" s="90"/>
      <c r="AHN384" s="90"/>
      <c r="AHO384" s="90"/>
      <c r="AHP384" s="90"/>
      <c r="AHQ384" s="90"/>
      <c r="AHR384" s="90"/>
      <c r="AHS384" s="90"/>
      <c r="AHT384" s="90"/>
      <c r="AHU384" s="90"/>
      <c r="AHV384" s="90"/>
      <c r="AHW384" s="90"/>
      <c r="AHX384" s="90"/>
      <c r="AHY384" s="90"/>
      <c r="AHZ384" s="90"/>
      <c r="AIA384" s="90"/>
      <c r="AIB384" s="90"/>
      <c r="AIC384" s="90"/>
      <c r="AID384" s="90"/>
      <c r="AIE384" s="90"/>
      <c r="AIF384" s="90"/>
      <c r="AIG384" s="90"/>
      <c r="AIH384" s="90"/>
      <c r="AII384" s="90"/>
      <c r="AIJ384" s="90"/>
      <c r="AIK384" s="90"/>
      <c r="AIL384" s="90"/>
      <c r="AIM384" s="90"/>
      <c r="AIN384" s="90"/>
      <c r="AIO384" s="90"/>
      <c r="AIP384" s="90"/>
      <c r="AIQ384" s="90"/>
      <c r="AIR384" s="90"/>
      <c r="AIS384" s="90"/>
      <c r="AIT384" s="90"/>
      <c r="AIU384" s="90"/>
      <c r="AIV384" s="90"/>
      <c r="AIW384" s="90"/>
      <c r="AIX384" s="90"/>
      <c r="AIY384" s="90"/>
      <c r="AIZ384" s="90"/>
      <c r="AJA384" s="90"/>
      <c r="AJB384" s="90"/>
      <c r="AJC384" s="90"/>
      <c r="AJD384" s="90"/>
      <c r="AJE384" s="90"/>
      <c r="AJF384" s="90"/>
      <c r="AJG384" s="90"/>
      <c r="AJH384" s="90"/>
      <c r="AJI384" s="90"/>
      <c r="AJJ384" s="90"/>
      <c r="AJK384" s="90"/>
      <c r="AJL384" s="90"/>
      <c r="AJM384" s="90"/>
      <c r="AJN384" s="90"/>
      <c r="AJO384" s="90"/>
      <c r="AJP384" s="90"/>
      <c r="AJQ384" s="90"/>
      <c r="AJR384" s="90"/>
      <c r="AJS384" s="90"/>
      <c r="AJT384" s="90"/>
      <c r="AJU384" s="90"/>
      <c r="AJV384" s="90"/>
      <c r="AJW384" s="90"/>
      <c r="AJX384" s="90"/>
      <c r="AJY384" s="90"/>
      <c r="AJZ384" s="90"/>
      <c r="AKA384" s="90"/>
      <c r="AKB384" s="90"/>
      <c r="AKC384" s="90"/>
      <c r="AKD384" s="90"/>
      <c r="AKE384" s="90"/>
      <c r="AKF384" s="90"/>
      <c r="AKG384" s="90"/>
      <c r="AKH384" s="90"/>
      <c r="AKI384" s="90"/>
      <c r="AKJ384" s="90"/>
      <c r="AKK384" s="90"/>
      <c r="AKL384" s="90"/>
      <c r="AKM384" s="90"/>
      <c r="AKN384" s="90"/>
      <c r="AKO384" s="90"/>
      <c r="AKP384" s="90"/>
      <c r="AKQ384" s="90"/>
      <c r="AKR384" s="90"/>
      <c r="AKS384" s="90"/>
      <c r="AKT384" s="90"/>
      <c r="AKU384" s="90"/>
      <c r="AKV384" s="90"/>
      <c r="AKW384" s="90"/>
      <c r="AKX384" s="90"/>
      <c r="AKY384" s="90"/>
      <c r="AKZ384" s="90"/>
      <c r="ALA384" s="90"/>
      <c r="ALB384" s="90"/>
      <c r="ALC384" s="90"/>
      <c r="ALD384" s="90"/>
      <c r="ALE384" s="90"/>
      <c r="ALF384" s="90"/>
      <c r="ALG384" s="90"/>
      <c r="ALH384" s="90"/>
      <c r="ALI384" s="90"/>
      <c r="ALJ384" s="90"/>
      <c r="ALK384" s="90"/>
      <c r="ALL384" s="90"/>
      <c r="ALM384" s="90"/>
      <c r="ALN384" s="90"/>
      <c r="ALO384" s="90"/>
      <c r="ALP384" s="90"/>
      <c r="ALQ384" s="90"/>
      <c r="ALR384" s="90"/>
      <c r="ALS384" s="90"/>
      <c r="ALT384" s="90"/>
      <c r="ALU384" s="90"/>
      <c r="ALV384" s="90"/>
      <c r="ALW384" s="90"/>
      <c r="ALX384" s="90"/>
      <c r="ALY384" s="90"/>
      <c r="ALZ384" s="90"/>
      <c r="AMA384" s="90"/>
      <c r="AMB384" s="90"/>
      <c r="AMC384" s="90"/>
    </row>
    <row r="385" spans="1:1017">
      <c r="A385" s="98" t="s">
        <v>54</v>
      </c>
      <c r="B385" s="90" t="str">
        <f t="shared" si="2065"/>
        <v xml:space="preserve">Belut Sawah </v>
      </c>
      <c r="Q385" s="91">
        <f t="shared" si="1967"/>
        <v>0</v>
      </c>
      <c r="R385" s="91">
        <f t="shared" si="1968"/>
        <v>0</v>
      </c>
      <c r="AG385" s="91">
        <f t="shared" si="1969"/>
        <v>0</v>
      </c>
      <c r="AH385" s="91">
        <f t="shared" si="1970"/>
        <v>0</v>
      </c>
      <c r="AW385" s="91">
        <f t="shared" si="1971"/>
        <v>0</v>
      </c>
      <c r="AX385" s="91">
        <f t="shared" si="1972"/>
        <v>0</v>
      </c>
      <c r="BM385" s="91">
        <f t="shared" si="1973"/>
        <v>0</v>
      </c>
      <c r="BN385" s="91">
        <f t="shared" si="1974"/>
        <v>0</v>
      </c>
      <c r="CC385" s="91">
        <f t="shared" si="1975"/>
        <v>0</v>
      </c>
      <c r="CD385" s="91">
        <f t="shared" si="1976"/>
        <v>0</v>
      </c>
      <c r="CS385" s="91">
        <f t="shared" si="1977"/>
        <v>0</v>
      </c>
      <c r="CT385" s="91">
        <f t="shared" si="1978"/>
        <v>0</v>
      </c>
      <c r="DI385" s="91">
        <f t="shared" si="1979"/>
        <v>0</v>
      </c>
      <c r="DJ385" s="91">
        <f t="shared" si="1980"/>
        <v>0</v>
      </c>
      <c r="DY385" s="91">
        <f t="shared" si="1981"/>
        <v>0</v>
      </c>
      <c r="DZ385" s="91">
        <f t="shared" si="1982"/>
        <v>0</v>
      </c>
      <c r="EO385" s="91">
        <f t="shared" si="1983"/>
        <v>0</v>
      </c>
      <c r="EP385" s="91">
        <f t="shared" si="1984"/>
        <v>0</v>
      </c>
      <c r="FE385" s="91">
        <f t="shared" si="1985"/>
        <v>0</v>
      </c>
      <c r="FF385" s="91">
        <f t="shared" si="1986"/>
        <v>0</v>
      </c>
      <c r="FU385" s="91">
        <f t="shared" si="1987"/>
        <v>0</v>
      </c>
      <c r="FV385" s="91">
        <f t="shared" si="1988"/>
        <v>0</v>
      </c>
      <c r="GK385" s="91">
        <f t="shared" si="1989"/>
        <v>0</v>
      </c>
      <c r="GL385" s="91">
        <f t="shared" si="1990"/>
        <v>0</v>
      </c>
      <c r="HA385" s="91">
        <f t="shared" si="1991"/>
        <v>0</v>
      </c>
      <c r="HB385" s="91">
        <f t="shared" si="1992"/>
        <v>0</v>
      </c>
      <c r="HQ385" s="91">
        <f t="shared" si="1993"/>
        <v>0</v>
      </c>
      <c r="HR385" s="91">
        <f t="shared" si="1994"/>
        <v>0</v>
      </c>
      <c r="IG385" s="91">
        <f t="shared" si="1995"/>
        <v>0</v>
      </c>
      <c r="IH385" s="91">
        <f t="shared" si="1996"/>
        <v>0</v>
      </c>
      <c r="IW385" s="91">
        <f t="shared" si="1997"/>
        <v>0</v>
      </c>
      <c r="IX385" s="91">
        <f t="shared" si="1998"/>
        <v>0</v>
      </c>
      <c r="JM385" s="91">
        <f t="shared" si="1999"/>
        <v>0</v>
      </c>
      <c r="JN385" s="91">
        <f t="shared" si="2000"/>
        <v>0</v>
      </c>
      <c r="KC385" s="91">
        <f t="shared" si="2001"/>
        <v>0</v>
      </c>
      <c r="KD385" s="91">
        <f t="shared" si="2002"/>
        <v>0</v>
      </c>
      <c r="KS385" s="91">
        <f t="shared" si="2003"/>
        <v>0</v>
      </c>
      <c r="KT385" s="91">
        <f t="shared" si="2004"/>
        <v>0</v>
      </c>
      <c r="LI385" s="91">
        <f t="shared" si="2005"/>
        <v>0</v>
      </c>
      <c r="LJ385" s="91">
        <f t="shared" si="2006"/>
        <v>0</v>
      </c>
      <c r="LY385" s="91">
        <f t="shared" si="2007"/>
        <v>0</v>
      </c>
      <c r="LZ385" s="91">
        <f t="shared" si="2008"/>
        <v>0</v>
      </c>
      <c r="MO385" s="91">
        <f t="shared" si="2009"/>
        <v>0</v>
      </c>
      <c r="MP385" s="91">
        <f t="shared" si="2010"/>
        <v>0</v>
      </c>
      <c r="NE385" s="91">
        <f t="shared" si="2011"/>
        <v>0</v>
      </c>
      <c r="NF385" s="91">
        <f t="shared" si="2012"/>
        <v>0</v>
      </c>
      <c r="NU385" s="91">
        <f t="shared" si="2013"/>
        <v>0</v>
      </c>
      <c r="NV385" s="91">
        <f t="shared" si="2014"/>
        <v>0</v>
      </c>
      <c r="OK385" s="91">
        <f t="shared" si="2015"/>
        <v>0</v>
      </c>
      <c r="OL385" s="91">
        <f t="shared" si="2016"/>
        <v>0</v>
      </c>
      <c r="PA385" s="91">
        <f t="shared" si="2017"/>
        <v>0</v>
      </c>
      <c r="PB385" s="91">
        <f t="shared" si="2018"/>
        <v>0</v>
      </c>
      <c r="PQ385" s="91">
        <f t="shared" si="2019"/>
        <v>0</v>
      </c>
      <c r="PR385" s="91">
        <f t="shared" si="2020"/>
        <v>0</v>
      </c>
      <c r="QG385" s="91">
        <f t="shared" si="2021"/>
        <v>0</v>
      </c>
      <c r="QH385" s="91">
        <f t="shared" si="2022"/>
        <v>0</v>
      </c>
      <c r="QW385" s="91">
        <f t="shared" si="2023"/>
        <v>0</v>
      </c>
      <c r="QX385" s="91">
        <f t="shared" si="2024"/>
        <v>0</v>
      </c>
      <c r="RM385" s="91">
        <f t="shared" si="2025"/>
        <v>0</v>
      </c>
      <c r="RN385" s="91">
        <f t="shared" si="2026"/>
        <v>0</v>
      </c>
      <c r="SC385" s="91">
        <f t="shared" si="2027"/>
        <v>0</v>
      </c>
      <c r="SD385" s="91">
        <f t="shared" si="2028"/>
        <v>0</v>
      </c>
      <c r="SS385" s="91">
        <f t="shared" si="2029"/>
        <v>0</v>
      </c>
      <c r="ST385" s="91">
        <f t="shared" si="2030"/>
        <v>0</v>
      </c>
      <c r="TI385" s="91">
        <f t="shared" si="2031"/>
        <v>0</v>
      </c>
      <c r="TJ385" s="91">
        <f t="shared" si="2032"/>
        <v>0</v>
      </c>
      <c r="TY385" s="91">
        <f t="shared" si="2033"/>
        <v>0</v>
      </c>
      <c r="TZ385" s="91">
        <f t="shared" si="2034"/>
        <v>0</v>
      </c>
      <c r="UO385" s="91">
        <f t="shared" si="2035"/>
        <v>0</v>
      </c>
      <c r="UP385" s="91">
        <f t="shared" si="2036"/>
        <v>0</v>
      </c>
      <c r="VE385" s="91">
        <f t="shared" si="2037"/>
        <v>0</v>
      </c>
      <c r="VF385" s="91">
        <f t="shared" si="2038"/>
        <v>0</v>
      </c>
      <c r="VU385" s="91">
        <f t="shared" si="2039"/>
        <v>0</v>
      </c>
      <c r="VV385" s="91">
        <f t="shared" si="2040"/>
        <v>0</v>
      </c>
      <c r="WK385" s="91">
        <f t="shared" si="2041"/>
        <v>0</v>
      </c>
      <c r="WL385" s="91">
        <f t="shared" si="2042"/>
        <v>0</v>
      </c>
      <c r="WM385" s="89"/>
      <c r="WN385" s="87">
        <f t="shared" si="2066"/>
        <v>0</v>
      </c>
      <c r="WO385" s="87">
        <f t="shared" si="2067"/>
        <v>0</v>
      </c>
      <c r="WP385" s="87">
        <f t="shared" si="2068"/>
        <v>0</v>
      </c>
      <c r="WQ385" s="87">
        <f t="shared" si="2069"/>
        <v>0</v>
      </c>
      <c r="WR385" s="87">
        <f t="shared" si="2070"/>
        <v>0</v>
      </c>
      <c r="WS385" s="87">
        <f t="shared" si="2071"/>
        <v>0</v>
      </c>
      <c r="WT385" s="87">
        <f t="shared" si="2072"/>
        <v>0</v>
      </c>
      <c r="WU385" s="87">
        <f t="shared" si="2073"/>
        <v>0</v>
      </c>
      <c r="WV385" s="87">
        <f t="shared" si="2074"/>
        <v>0</v>
      </c>
      <c r="WW385" s="87">
        <f t="shared" si="2075"/>
        <v>0</v>
      </c>
      <c r="WX385" s="87">
        <f t="shared" si="2076"/>
        <v>0</v>
      </c>
      <c r="WY385" s="87">
        <f t="shared" si="2077"/>
        <v>0</v>
      </c>
      <c r="WZ385" s="87">
        <f t="shared" si="2061"/>
        <v>0</v>
      </c>
      <c r="XA385" s="87">
        <f t="shared" si="2062"/>
        <v>0</v>
      </c>
      <c r="XB385" s="92">
        <f t="shared" si="2063"/>
        <v>0</v>
      </c>
      <c r="XC385" s="92">
        <f t="shared" si="2064"/>
        <v>0</v>
      </c>
      <c r="XD385" s="89"/>
      <c r="XE385" s="92"/>
      <c r="XF385" s="92"/>
      <c r="XG385" s="89"/>
      <c r="XH385" s="92"/>
      <c r="XI385" s="92"/>
      <c r="XJ385" s="89"/>
      <c r="XK385" s="87"/>
      <c r="XL385" s="87"/>
      <c r="XM385" s="87"/>
      <c r="XN385" s="87"/>
      <c r="XO385" s="87"/>
      <c r="XP385" s="87"/>
      <c r="XQ385" s="87"/>
      <c r="XR385" s="92">
        <f t="shared" ca="1" si="2059"/>
        <v>0</v>
      </c>
      <c r="XS385" s="89"/>
      <c r="XT385" s="87"/>
      <c r="XU385" s="87"/>
      <c r="XV385" s="87"/>
      <c r="XW385" s="87"/>
      <c r="XX385" s="87"/>
      <c r="XY385" s="87"/>
      <c r="XZ385" s="87"/>
      <c r="YA385" s="92">
        <f t="shared" ca="1" si="2060"/>
        <v>0</v>
      </c>
      <c r="YB385" s="90"/>
      <c r="YC385" s="90"/>
      <c r="YD385" s="90"/>
      <c r="YE385" s="90"/>
      <c r="YF385" s="90"/>
      <c r="YG385" s="90"/>
      <c r="YH385" s="90"/>
      <c r="YI385" s="90"/>
      <c r="YJ385" s="90"/>
      <c r="YK385" s="90"/>
      <c r="YL385" s="90"/>
      <c r="YM385" s="90"/>
      <c r="YN385" s="90"/>
      <c r="YO385" s="90"/>
      <c r="YP385" s="90"/>
      <c r="YQ385" s="90"/>
      <c r="YR385" s="90"/>
      <c r="YS385" s="90"/>
      <c r="YT385" s="90"/>
      <c r="YU385" s="90"/>
      <c r="YV385" s="90"/>
      <c r="YW385" s="90"/>
      <c r="YX385" s="90"/>
      <c r="YY385" s="90"/>
      <c r="YZ385" s="90"/>
      <c r="ZA385" s="90"/>
      <c r="ZB385" s="90"/>
      <c r="ZC385" s="90"/>
      <c r="ZD385" s="90"/>
      <c r="ZE385" s="90"/>
      <c r="ZF385" s="90"/>
      <c r="ZG385" s="90"/>
      <c r="ZH385" s="90"/>
      <c r="ZI385" s="90"/>
      <c r="ZJ385" s="90"/>
      <c r="ZK385" s="90"/>
      <c r="ZL385" s="90"/>
      <c r="ZM385" s="90"/>
      <c r="ZN385" s="90"/>
      <c r="ZO385" s="90"/>
      <c r="ZP385" s="90"/>
      <c r="ZQ385" s="90"/>
      <c r="ZR385" s="90"/>
      <c r="ZS385" s="90"/>
      <c r="ZT385" s="90"/>
      <c r="ZU385" s="90"/>
      <c r="ZV385" s="90"/>
      <c r="ZW385" s="90"/>
      <c r="ZX385" s="90"/>
      <c r="ZY385" s="90"/>
      <c r="ZZ385" s="90"/>
      <c r="AAA385" s="90"/>
      <c r="AAB385" s="90"/>
      <c r="AAC385" s="90"/>
      <c r="AAD385" s="90"/>
      <c r="AAE385" s="90"/>
      <c r="AAF385" s="90"/>
      <c r="AAG385" s="90"/>
      <c r="AAH385" s="90"/>
      <c r="AAI385" s="90"/>
      <c r="AAJ385" s="90"/>
      <c r="AAK385" s="90"/>
      <c r="AAL385" s="90"/>
      <c r="AAM385" s="90"/>
      <c r="AAN385" s="90"/>
      <c r="AAO385" s="90"/>
      <c r="AAP385" s="90"/>
      <c r="AAQ385" s="90"/>
      <c r="AAR385" s="90"/>
      <c r="AAS385" s="90"/>
      <c r="AAT385" s="90"/>
      <c r="AAU385" s="90"/>
      <c r="AAV385" s="90"/>
      <c r="AAW385" s="90"/>
      <c r="AAX385" s="90"/>
      <c r="AAY385" s="90"/>
      <c r="AAZ385" s="90"/>
      <c r="ABA385" s="90"/>
      <c r="ABB385" s="90"/>
      <c r="ABC385" s="90"/>
      <c r="ABD385" s="90"/>
      <c r="ABE385" s="90"/>
      <c r="ABF385" s="90"/>
      <c r="ABG385" s="90"/>
      <c r="ABH385" s="90"/>
      <c r="ABI385" s="90"/>
      <c r="ABJ385" s="90"/>
      <c r="ABK385" s="90"/>
      <c r="ABL385" s="90"/>
      <c r="ABM385" s="90"/>
      <c r="ABN385" s="90"/>
      <c r="ABO385" s="90"/>
      <c r="ABP385" s="90"/>
      <c r="ABQ385" s="90"/>
      <c r="ABR385" s="90"/>
      <c r="ABS385" s="90"/>
      <c r="ABT385" s="90"/>
      <c r="ABU385" s="90"/>
      <c r="ABV385" s="90"/>
      <c r="ABW385" s="90"/>
      <c r="ABX385" s="90"/>
      <c r="ABY385" s="90"/>
      <c r="ABZ385" s="90"/>
      <c r="ACA385" s="90"/>
      <c r="ACB385" s="90"/>
      <c r="ACC385" s="90"/>
      <c r="ACD385" s="90"/>
      <c r="ACE385" s="90"/>
      <c r="ACF385" s="90"/>
      <c r="ACG385" s="90"/>
      <c r="ACH385" s="90"/>
      <c r="ACI385" s="90"/>
      <c r="ACJ385" s="90"/>
      <c r="ACK385" s="90"/>
      <c r="ACL385" s="90"/>
      <c r="ACM385" s="90"/>
      <c r="ACN385" s="90"/>
      <c r="ACO385" s="90"/>
      <c r="ACP385" s="90"/>
      <c r="ACQ385" s="90"/>
      <c r="ACR385" s="90"/>
      <c r="ACS385" s="90"/>
      <c r="ACT385" s="90"/>
      <c r="ACU385" s="90"/>
      <c r="ACV385" s="90"/>
      <c r="ACW385" s="90"/>
      <c r="ACX385" s="90"/>
      <c r="ACY385" s="90"/>
      <c r="ACZ385" s="90"/>
      <c r="ADA385" s="90"/>
      <c r="ADB385" s="90"/>
      <c r="ADC385" s="90"/>
      <c r="ADD385" s="90"/>
      <c r="ADE385" s="90"/>
      <c r="ADF385" s="90"/>
      <c r="ADG385" s="90"/>
      <c r="ADH385" s="90"/>
      <c r="ADI385" s="90"/>
      <c r="ADJ385" s="90"/>
      <c r="ADK385" s="90"/>
      <c r="ADL385" s="90"/>
      <c r="ADM385" s="90"/>
      <c r="ADN385" s="90"/>
      <c r="ADO385" s="90"/>
      <c r="ADP385" s="90"/>
      <c r="ADQ385" s="90"/>
      <c r="ADR385" s="90"/>
      <c r="ADS385" s="90"/>
      <c r="ADT385" s="90"/>
      <c r="ADU385" s="90"/>
      <c r="ADV385" s="90"/>
      <c r="ADW385" s="90"/>
      <c r="ADX385" s="90"/>
      <c r="ADY385" s="90"/>
      <c r="ADZ385" s="90"/>
      <c r="AEA385" s="90"/>
      <c r="AEB385" s="90"/>
      <c r="AEC385" s="90"/>
      <c r="AED385" s="90"/>
      <c r="AEE385" s="90"/>
      <c r="AEF385" s="90"/>
      <c r="AEG385" s="90"/>
      <c r="AEH385" s="90"/>
      <c r="AEI385" s="90"/>
      <c r="AEJ385" s="90"/>
      <c r="AEK385" s="90"/>
      <c r="AEL385" s="90"/>
      <c r="AEM385" s="90"/>
      <c r="AEN385" s="90"/>
      <c r="AEO385" s="90"/>
      <c r="AEP385" s="90"/>
      <c r="AEQ385" s="90"/>
      <c r="AER385" s="90"/>
      <c r="AES385" s="90"/>
      <c r="AET385" s="90"/>
      <c r="AEU385" s="90"/>
      <c r="AEV385" s="90"/>
      <c r="AEW385" s="90"/>
      <c r="AEX385" s="90"/>
      <c r="AEY385" s="90"/>
      <c r="AEZ385" s="90"/>
      <c r="AFA385" s="90"/>
      <c r="AFB385" s="90"/>
      <c r="AFC385" s="90"/>
      <c r="AFD385" s="90"/>
      <c r="AFE385" s="90"/>
      <c r="AFF385" s="90"/>
      <c r="AFG385" s="90"/>
      <c r="AFH385" s="90"/>
      <c r="AFI385" s="90"/>
      <c r="AFJ385" s="90"/>
      <c r="AFK385" s="90"/>
      <c r="AFL385" s="90"/>
      <c r="AFM385" s="90"/>
      <c r="AFN385" s="90"/>
      <c r="AFO385" s="90"/>
      <c r="AFP385" s="90"/>
      <c r="AFQ385" s="90"/>
      <c r="AFR385" s="90"/>
      <c r="AFS385" s="90"/>
      <c r="AFT385" s="90"/>
      <c r="AFU385" s="90"/>
      <c r="AFV385" s="90"/>
      <c r="AFW385" s="90"/>
      <c r="AFX385" s="90"/>
      <c r="AFY385" s="90"/>
      <c r="AFZ385" s="90"/>
      <c r="AGA385" s="90"/>
      <c r="AGB385" s="90"/>
      <c r="AGC385" s="90"/>
      <c r="AGD385" s="90"/>
      <c r="AGE385" s="90"/>
      <c r="AGF385" s="90"/>
      <c r="AGG385" s="90"/>
      <c r="AGH385" s="90"/>
      <c r="AGI385" s="90"/>
      <c r="AGJ385" s="90"/>
      <c r="AGK385" s="90"/>
      <c r="AGL385" s="90"/>
      <c r="AGM385" s="90"/>
      <c r="AGN385" s="90"/>
      <c r="AGO385" s="90"/>
      <c r="AGP385" s="90"/>
      <c r="AGQ385" s="90"/>
      <c r="AGR385" s="90"/>
      <c r="AGS385" s="90"/>
      <c r="AGT385" s="90"/>
      <c r="AGU385" s="90"/>
      <c r="AGV385" s="90"/>
      <c r="AGW385" s="90"/>
      <c r="AGX385" s="90"/>
      <c r="AGY385" s="90"/>
      <c r="AGZ385" s="90"/>
      <c r="AHA385" s="90"/>
      <c r="AHB385" s="90"/>
      <c r="AHC385" s="90"/>
      <c r="AHD385" s="90"/>
      <c r="AHE385" s="90"/>
      <c r="AHF385" s="90"/>
      <c r="AHG385" s="90"/>
      <c r="AHH385" s="90"/>
      <c r="AHI385" s="90"/>
      <c r="AHJ385" s="90"/>
      <c r="AHK385" s="90"/>
      <c r="AHL385" s="90"/>
      <c r="AHM385" s="90"/>
      <c r="AHN385" s="90"/>
      <c r="AHO385" s="90"/>
      <c r="AHP385" s="90"/>
      <c r="AHQ385" s="90"/>
      <c r="AHR385" s="90"/>
      <c r="AHS385" s="90"/>
      <c r="AHT385" s="90"/>
      <c r="AHU385" s="90"/>
      <c r="AHV385" s="90"/>
      <c r="AHW385" s="90"/>
      <c r="AHX385" s="90"/>
      <c r="AHY385" s="90"/>
      <c r="AHZ385" s="90"/>
      <c r="AIA385" s="90"/>
      <c r="AIB385" s="90"/>
      <c r="AIC385" s="90"/>
      <c r="AID385" s="90"/>
      <c r="AIE385" s="90"/>
      <c r="AIF385" s="90"/>
      <c r="AIG385" s="90"/>
      <c r="AIH385" s="90"/>
      <c r="AII385" s="90"/>
      <c r="AIJ385" s="90"/>
      <c r="AIK385" s="90"/>
      <c r="AIL385" s="90"/>
      <c r="AIM385" s="90"/>
      <c r="AIN385" s="90"/>
      <c r="AIO385" s="90"/>
      <c r="AIP385" s="90"/>
      <c r="AIQ385" s="90"/>
      <c r="AIR385" s="90"/>
      <c r="AIS385" s="90"/>
      <c r="AIT385" s="90"/>
      <c r="AIU385" s="90"/>
      <c r="AIV385" s="90"/>
      <c r="AIW385" s="90"/>
      <c r="AIX385" s="90"/>
      <c r="AIY385" s="90"/>
      <c r="AIZ385" s="90"/>
      <c r="AJA385" s="90"/>
      <c r="AJB385" s="90"/>
      <c r="AJC385" s="90"/>
      <c r="AJD385" s="90"/>
      <c r="AJE385" s="90"/>
      <c r="AJF385" s="90"/>
      <c r="AJG385" s="90"/>
      <c r="AJH385" s="90"/>
      <c r="AJI385" s="90"/>
      <c r="AJJ385" s="90"/>
      <c r="AJK385" s="90"/>
      <c r="AJL385" s="90"/>
      <c r="AJM385" s="90"/>
      <c r="AJN385" s="90"/>
      <c r="AJO385" s="90"/>
      <c r="AJP385" s="90"/>
      <c r="AJQ385" s="90"/>
      <c r="AJR385" s="90"/>
      <c r="AJS385" s="90"/>
      <c r="AJT385" s="90"/>
      <c r="AJU385" s="90"/>
      <c r="AJV385" s="90"/>
      <c r="AJW385" s="90"/>
      <c r="AJX385" s="90"/>
      <c r="AJY385" s="90"/>
      <c r="AJZ385" s="90"/>
      <c r="AKA385" s="90"/>
      <c r="AKB385" s="90"/>
      <c r="AKC385" s="90"/>
      <c r="AKD385" s="90"/>
      <c r="AKE385" s="90"/>
      <c r="AKF385" s="90"/>
      <c r="AKG385" s="90"/>
      <c r="AKH385" s="90"/>
      <c r="AKI385" s="90"/>
      <c r="AKJ385" s="90"/>
      <c r="AKK385" s="90"/>
      <c r="AKL385" s="90"/>
      <c r="AKM385" s="90"/>
      <c r="AKN385" s="90"/>
      <c r="AKO385" s="90"/>
      <c r="AKP385" s="90"/>
      <c r="AKQ385" s="90"/>
      <c r="AKR385" s="90"/>
      <c r="AKS385" s="90"/>
      <c r="AKT385" s="90"/>
      <c r="AKU385" s="90"/>
      <c r="AKV385" s="90"/>
      <c r="AKW385" s="90"/>
      <c r="AKX385" s="90"/>
      <c r="AKY385" s="90"/>
      <c r="AKZ385" s="90"/>
      <c r="ALA385" s="90"/>
      <c r="ALB385" s="90"/>
      <c r="ALC385" s="90"/>
      <c r="ALD385" s="90"/>
      <c r="ALE385" s="90"/>
      <c r="ALF385" s="90"/>
      <c r="ALG385" s="90"/>
      <c r="ALH385" s="90"/>
      <c r="ALI385" s="90"/>
      <c r="ALJ385" s="90"/>
      <c r="ALK385" s="90"/>
      <c r="ALL385" s="90"/>
      <c r="ALM385" s="90"/>
      <c r="ALN385" s="90"/>
      <c r="ALO385" s="90"/>
      <c r="ALP385" s="90"/>
      <c r="ALQ385" s="90"/>
      <c r="ALR385" s="90"/>
      <c r="ALS385" s="90"/>
      <c r="ALT385" s="90"/>
      <c r="ALU385" s="90"/>
      <c r="ALV385" s="90"/>
      <c r="ALW385" s="90"/>
      <c r="ALX385" s="90"/>
      <c r="ALY385" s="90"/>
      <c r="ALZ385" s="90"/>
      <c r="AMA385" s="90"/>
      <c r="AMB385" s="90"/>
      <c r="AMC385" s="90"/>
    </row>
    <row r="386" spans="1:1017">
      <c r="A386" s="98" t="s">
        <v>54</v>
      </c>
      <c r="B386" s="90" t="str">
        <f t="shared" si="2065"/>
        <v xml:space="preserve">Udang_04 (Udang Lainnya) </v>
      </c>
      <c r="Q386" s="91">
        <f t="shared" si="1967"/>
        <v>0</v>
      </c>
      <c r="R386" s="91">
        <f t="shared" si="1968"/>
        <v>0</v>
      </c>
      <c r="AG386" s="91">
        <f t="shared" si="1969"/>
        <v>0</v>
      </c>
      <c r="AH386" s="91">
        <f t="shared" si="1970"/>
        <v>0</v>
      </c>
      <c r="AW386" s="91">
        <f t="shared" si="1971"/>
        <v>0</v>
      </c>
      <c r="AX386" s="91">
        <f t="shared" si="1972"/>
        <v>0</v>
      </c>
      <c r="BM386" s="91">
        <f t="shared" si="1973"/>
        <v>0</v>
      </c>
      <c r="BN386" s="91">
        <f t="shared" si="1974"/>
        <v>0</v>
      </c>
      <c r="CC386" s="91">
        <f t="shared" si="1975"/>
        <v>0</v>
      </c>
      <c r="CD386" s="91">
        <f t="shared" si="1976"/>
        <v>0</v>
      </c>
      <c r="CS386" s="91">
        <f t="shared" si="1977"/>
        <v>0</v>
      </c>
      <c r="CT386" s="91">
        <f t="shared" si="1978"/>
        <v>0</v>
      </c>
      <c r="DI386" s="91">
        <f t="shared" si="1979"/>
        <v>0</v>
      </c>
      <c r="DJ386" s="91">
        <f t="shared" si="1980"/>
        <v>0</v>
      </c>
      <c r="DY386" s="91">
        <f t="shared" si="1981"/>
        <v>0</v>
      </c>
      <c r="DZ386" s="91">
        <f t="shared" si="1982"/>
        <v>0</v>
      </c>
      <c r="EO386" s="91">
        <f t="shared" si="1983"/>
        <v>0</v>
      </c>
      <c r="EP386" s="91">
        <f t="shared" si="1984"/>
        <v>0</v>
      </c>
      <c r="FE386" s="91">
        <f t="shared" si="1985"/>
        <v>0</v>
      </c>
      <c r="FF386" s="91">
        <f t="shared" si="1986"/>
        <v>0</v>
      </c>
      <c r="FU386" s="91">
        <f t="shared" si="1987"/>
        <v>0</v>
      </c>
      <c r="FV386" s="91">
        <f t="shared" si="1988"/>
        <v>0</v>
      </c>
      <c r="GK386" s="91">
        <f t="shared" si="1989"/>
        <v>0</v>
      </c>
      <c r="GL386" s="91">
        <f t="shared" si="1990"/>
        <v>0</v>
      </c>
      <c r="HA386" s="91">
        <f t="shared" si="1991"/>
        <v>0</v>
      </c>
      <c r="HB386" s="91">
        <f t="shared" si="1992"/>
        <v>0</v>
      </c>
      <c r="HQ386" s="91">
        <f t="shared" si="1993"/>
        <v>0</v>
      </c>
      <c r="HR386" s="91">
        <f t="shared" si="1994"/>
        <v>0</v>
      </c>
      <c r="IG386" s="91">
        <f t="shared" si="1995"/>
        <v>0</v>
      </c>
      <c r="IH386" s="91">
        <f t="shared" si="1996"/>
        <v>0</v>
      </c>
      <c r="IW386" s="91">
        <f t="shared" si="1997"/>
        <v>0</v>
      </c>
      <c r="IX386" s="91">
        <f t="shared" si="1998"/>
        <v>0</v>
      </c>
      <c r="JM386" s="91">
        <f t="shared" si="1999"/>
        <v>0</v>
      </c>
      <c r="JN386" s="91">
        <f t="shared" si="2000"/>
        <v>0</v>
      </c>
      <c r="KC386" s="91">
        <f t="shared" si="2001"/>
        <v>0</v>
      </c>
      <c r="KD386" s="91">
        <f t="shared" si="2002"/>
        <v>0</v>
      </c>
      <c r="KS386" s="91">
        <f t="shared" si="2003"/>
        <v>0</v>
      </c>
      <c r="KT386" s="91">
        <f t="shared" si="2004"/>
        <v>0</v>
      </c>
      <c r="LI386" s="91">
        <f t="shared" si="2005"/>
        <v>0</v>
      </c>
      <c r="LJ386" s="91">
        <f t="shared" si="2006"/>
        <v>0</v>
      </c>
      <c r="LY386" s="91">
        <f t="shared" si="2007"/>
        <v>0</v>
      </c>
      <c r="LZ386" s="91">
        <f t="shared" si="2008"/>
        <v>0</v>
      </c>
      <c r="MO386" s="91">
        <f t="shared" si="2009"/>
        <v>0</v>
      </c>
      <c r="MP386" s="91">
        <f t="shared" si="2010"/>
        <v>0</v>
      </c>
      <c r="NE386" s="91">
        <f t="shared" si="2011"/>
        <v>0</v>
      </c>
      <c r="NF386" s="91">
        <f t="shared" si="2012"/>
        <v>0</v>
      </c>
      <c r="NU386" s="91">
        <f t="shared" si="2013"/>
        <v>0</v>
      </c>
      <c r="NV386" s="91">
        <f t="shared" si="2014"/>
        <v>0</v>
      </c>
      <c r="OK386" s="91">
        <f t="shared" si="2015"/>
        <v>0</v>
      </c>
      <c r="OL386" s="91">
        <f t="shared" si="2016"/>
        <v>0</v>
      </c>
      <c r="PA386" s="91">
        <f t="shared" si="2017"/>
        <v>0</v>
      </c>
      <c r="PB386" s="91">
        <f t="shared" si="2018"/>
        <v>0</v>
      </c>
      <c r="PQ386" s="91">
        <f t="shared" si="2019"/>
        <v>0</v>
      </c>
      <c r="PR386" s="91">
        <f t="shared" si="2020"/>
        <v>0</v>
      </c>
      <c r="QG386" s="91">
        <f t="shared" si="2021"/>
        <v>0</v>
      </c>
      <c r="QH386" s="91">
        <f t="shared" si="2022"/>
        <v>0</v>
      </c>
      <c r="QW386" s="91">
        <f t="shared" si="2023"/>
        <v>0</v>
      </c>
      <c r="QX386" s="91">
        <f t="shared" si="2024"/>
        <v>0</v>
      </c>
      <c r="RM386" s="91">
        <f t="shared" si="2025"/>
        <v>0</v>
      </c>
      <c r="RN386" s="91">
        <f t="shared" si="2026"/>
        <v>0</v>
      </c>
      <c r="SC386" s="91">
        <f t="shared" si="2027"/>
        <v>0</v>
      </c>
      <c r="SD386" s="91">
        <f t="shared" si="2028"/>
        <v>0</v>
      </c>
      <c r="SS386" s="91">
        <f t="shared" si="2029"/>
        <v>0</v>
      </c>
      <c r="ST386" s="91">
        <f t="shared" si="2030"/>
        <v>0</v>
      </c>
      <c r="TI386" s="91">
        <f t="shared" si="2031"/>
        <v>0</v>
      </c>
      <c r="TJ386" s="91">
        <f t="shared" si="2032"/>
        <v>0</v>
      </c>
      <c r="TY386" s="91">
        <f t="shared" si="2033"/>
        <v>0</v>
      </c>
      <c r="TZ386" s="91">
        <f t="shared" si="2034"/>
        <v>0</v>
      </c>
      <c r="UO386" s="91">
        <f t="shared" si="2035"/>
        <v>0</v>
      </c>
      <c r="UP386" s="91">
        <f t="shared" si="2036"/>
        <v>0</v>
      </c>
      <c r="VE386" s="91">
        <f t="shared" si="2037"/>
        <v>0</v>
      </c>
      <c r="VF386" s="91">
        <f t="shared" si="2038"/>
        <v>0</v>
      </c>
      <c r="VU386" s="91">
        <f t="shared" si="2039"/>
        <v>0</v>
      </c>
      <c r="VV386" s="91">
        <f t="shared" si="2040"/>
        <v>0</v>
      </c>
      <c r="WK386" s="91">
        <f t="shared" si="2041"/>
        <v>0</v>
      </c>
      <c r="WL386" s="91">
        <f t="shared" si="2042"/>
        <v>0</v>
      </c>
      <c r="WM386" s="89"/>
      <c r="WN386" s="87">
        <f t="shared" si="2066"/>
        <v>0</v>
      </c>
      <c r="WO386" s="87">
        <f t="shared" si="2067"/>
        <v>0</v>
      </c>
      <c r="WP386" s="87">
        <f t="shared" si="2068"/>
        <v>0</v>
      </c>
      <c r="WQ386" s="87">
        <f t="shared" si="2069"/>
        <v>0</v>
      </c>
      <c r="WR386" s="87">
        <f t="shared" si="2070"/>
        <v>0</v>
      </c>
      <c r="WS386" s="87">
        <f t="shared" si="2071"/>
        <v>0</v>
      </c>
      <c r="WT386" s="87">
        <f t="shared" si="2072"/>
        <v>0</v>
      </c>
      <c r="WU386" s="87">
        <f t="shared" si="2073"/>
        <v>0</v>
      </c>
      <c r="WV386" s="87">
        <f t="shared" si="2074"/>
        <v>0</v>
      </c>
      <c r="WW386" s="87">
        <f t="shared" si="2075"/>
        <v>0</v>
      </c>
      <c r="WX386" s="87">
        <f t="shared" si="2076"/>
        <v>0</v>
      </c>
      <c r="WY386" s="87">
        <f t="shared" si="2077"/>
        <v>0</v>
      </c>
      <c r="WZ386" s="87">
        <f t="shared" si="2061"/>
        <v>0</v>
      </c>
      <c r="XA386" s="87">
        <f t="shared" si="2062"/>
        <v>0</v>
      </c>
      <c r="XB386" s="92">
        <f t="shared" si="2063"/>
        <v>0</v>
      </c>
      <c r="XC386" s="92">
        <f t="shared" si="2064"/>
        <v>0</v>
      </c>
      <c r="XD386" s="89"/>
      <c r="XE386" s="92"/>
      <c r="XF386" s="92"/>
      <c r="XG386" s="89"/>
      <c r="XH386" s="92"/>
      <c r="XI386" s="92"/>
      <c r="XJ386" s="89"/>
      <c r="XK386" s="87"/>
      <c r="XL386" s="87"/>
      <c r="XM386" s="87"/>
      <c r="XN386" s="87"/>
      <c r="XO386" s="87"/>
      <c r="XP386" s="87"/>
      <c r="XQ386" s="87"/>
      <c r="XR386" s="92">
        <f t="shared" ca="1" si="2059"/>
        <v>0</v>
      </c>
      <c r="XS386" s="89"/>
      <c r="XT386" s="87"/>
      <c r="XU386" s="87"/>
      <c r="XV386" s="87"/>
      <c r="XW386" s="87"/>
      <c r="XX386" s="87"/>
      <c r="XY386" s="87"/>
      <c r="XZ386" s="87"/>
      <c r="YA386" s="92">
        <f t="shared" ca="1" si="2060"/>
        <v>0</v>
      </c>
      <c r="YB386" s="90"/>
      <c r="YC386" s="90"/>
      <c r="YD386" s="90"/>
      <c r="YE386" s="90"/>
      <c r="YF386" s="90"/>
      <c r="YG386" s="90"/>
      <c r="YH386" s="90"/>
      <c r="YI386" s="90"/>
      <c r="YJ386" s="90"/>
      <c r="YK386" s="90"/>
      <c r="YL386" s="90"/>
      <c r="YM386" s="90"/>
      <c r="YN386" s="90"/>
      <c r="YO386" s="90"/>
      <c r="YP386" s="90"/>
      <c r="YQ386" s="90"/>
      <c r="YR386" s="90"/>
      <c r="YS386" s="90"/>
      <c r="YT386" s="90"/>
      <c r="YU386" s="90"/>
      <c r="YV386" s="90"/>
      <c r="YW386" s="90"/>
      <c r="YX386" s="90"/>
      <c r="YY386" s="90"/>
      <c r="YZ386" s="90"/>
      <c r="ZA386" s="90"/>
      <c r="ZB386" s="90"/>
      <c r="ZC386" s="90"/>
      <c r="ZD386" s="90"/>
      <c r="ZE386" s="90"/>
      <c r="ZF386" s="90"/>
      <c r="ZG386" s="90"/>
      <c r="ZH386" s="90"/>
      <c r="ZI386" s="90"/>
      <c r="ZJ386" s="90"/>
      <c r="ZK386" s="90"/>
      <c r="ZL386" s="90"/>
      <c r="ZM386" s="90"/>
      <c r="ZN386" s="90"/>
      <c r="ZO386" s="90"/>
      <c r="ZP386" s="90"/>
      <c r="ZQ386" s="90"/>
      <c r="ZR386" s="90"/>
      <c r="ZS386" s="90"/>
      <c r="ZT386" s="90"/>
      <c r="ZU386" s="90"/>
      <c r="ZV386" s="90"/>
      <c r="ZW386" s="90"/>
      <c r="ZX386" s="90"/>
      <c r="ZY386" s="90"/>
      <c r="ZZ386" s="90"/>
      <c r="AAA386" s="90"/>
      <c r="AAB386" s="90"/>
      <c r="AAC386" s="90"/>
      <c r="AAD386" s="90"/>
      <c r="AAE386" s="90"/>
      <c r="AAF386" s="90"/>
      <c r="AAG386" s="90"/>
      <c r="AAH386" s="90"/>
      <c r="AAI386" s="90"/>
      <c r="AAJ386" s="90"/>
      <c r="AAK386" s="90"/>
      <c r="AAL386" s="90"/>
      <c r="AAM386" s="90"/>
      <c r="AAN386" s="90"/>
      <c r="AAO386" s="90"/>
      <c r="AAP386" s="90"/>
      <c r="AAQ386" s="90"/>
      <c r="AAR386" s="90"/>
      <c r="AAS386" s="90"/>
      <c r="AAT386" s="90"/>
      <c r="AAU386" s="90"/>
      <c r="AAV386" s="90"/>
      <c r="AAW386" s="90"/>
      <c r="AAX386" s="90"/>
      <c r="AAY386" s="90"/>
      <c r="AAZ386" s="90"/>
      <c r="ABA386" s="90"/>
      <c r="ABB386" s="90"/>
      <c r="ABC386" s="90"/>
      <c r="ABD386" s="90"/>
      <c r="ABE386" s="90"/>
      <c r="ABF386" s="90"/>
      <c r="ABG386" s="90"/>
      <c r="ABH386" s="90"/>
      <c r="ABI386" s="90"/>
      <c r="ABJ386" s="90"/>
      <c r="ABK386" s="90"/>
      <c r="ABL386" s="90"/>
      <c r="ABM386" s="90"/>
      <c r="ABN386" s="90"/>
      <c r="ABO386" s="90"/>
      <c r="ABP386" s="90"/>
      <c r="ABQ386" s="90"/>
      <c r="ABR386" s="90"/>
      <c r="ABS386" s="90"/>
      <c r="ABT386" s="90"/>
      <c r="ABU386" s="90"/>
      <c r="ABV386" s="90"/>
      <c r="ABW386" s="90"/>
      <c r="ABX386" s="90"/>
      <c r="ABY386" s="90"/>
      <c r="ABZ386" s="90"/>
      <c r="ACA386" s="90"/>
      <c r="ACB386" s="90"/>
      <c r="ACC386" s="90"/>
      <c r="ACD386" s="90"/>
      <c r="ACE386" s="90"/>
      <c r="ACF386" s="90"/>
      <c r="ACG386" s="90"/>
      <c r="ACH386" s="90"/>
      <c r="ACI386" s="90"/>
      <c r="ACJ386" s="90"/>
      <c r="ACK386" s="90"/>
      <c r="ACL386" s="90"/>
      <c r="ACM386" s="90"/>
      <c r="ACN386" s="90"/>
      <c r="ACO386" s="90"/>
      <c r="ACP386" s="90"/>
      <c r="ACQ386" s="90"/>
      <c r="ACR386" s="90"/>
      <c r="ACS386" s="90"/>
      <c r="ACT386" s="90"/>
      <c r="ACU386" s="90"/>
      <c r="ACV386" s="90"/>
      <c r="ACW386" s="90"/>
      <c r="ACX386" s="90"/>
      <c r="ACY386" s="90"/>
      <c r="ACZ386" s="90"/>
      <c r="ADA386" s="90"/>
      <c r="ADB386" s="90"/>
      <c r="ADC386" s="90"/>
      <c r="ADD386" s="90"/>
      <c r="ADE386" s="90"/>
      <c r="ADF386" s="90"/>
      <c r="ADG386" s="90"/>
      <c r="ADH386" s="90"/>
      <c r="ADI386" s="90"/>
      <c r="ADJ386" s="90"/>
      <c r="ADK386" s="90"/>
      <c r="ADL386" s="90"/>
      <c r="ADM386" s="90"/>
      <c r="ADN386" s="90"/>
      <c r="ADO386" s="90"/>
      <c r="ADP386" s="90"/>
      <c r="ADQ386" s="90"/>
      <c r="ADR386" s="90"/>
      <c r="ADS386" s="90"/>
      <c r="ADT386" s="90"/>
      <c r="ADU386" s="90"/>
      <c r="ADV386" s="90"/>
      <c r="ADW386" s="90"/>
      <c r="ADX386" s="90"/>
      <c r="ADY386" s="90"/>
      <c r="ADZ386" s="90"/>
      <c r="AEA386" s="90"/>
      <c r="AEB386" s="90"/>
      <c r="AEC386" s="90"/>
      <c r="AED386" s="90"/>
      <c r="AEE386" s="90"/>
      <c r="AEF386" s="90"/>
      <c r="AEG386" s="90"/>
      <c r="AEH386" s="90"/>
      <c r="AEI386" s="90"/>
      <c r="AEJ386" s="90"/>
      <c r="AEK386" s="90"/>
      <c r="AEL386" s="90"/>
      <c r="AEM386" s="90"/>
      <c r="AEN386" s="90"/>
      <c r="AEO386" s="90"/>
      <c r="AEP386" s="90"/>
      <c r="AEQ386" s="90"/>
      <c r="AER386" s="90"/>
      <c r="AES386" s="90"/>
      <c r="AET386" s="90"/>
      <c r="AEU386" s="90"/>
      <c r="AEV386" s="90"/>
      <c r="AEW386" s="90"/>
      <c r="AEX386" s="90"/>
      <c r="AEY386" s="90"/>
      <c r="AEZ386" s="90"/>
      <c r="AFA386" s="90"/>
      <c r="AFB386" s="90"/>
      <c r="AFC386" s="90"/>
      <c r="AFD386" s="90"/>
      <c r="AFE386" s="90"/>
      <c r="AFF386" s="90"/>
      <c r="AFG386" s="90"/>
      <c r="AFH386" s="90"/>
      <c r="AFI386" s="90"/>
      <c r="AFJ386" s="90"/>
      <c r="AFK386" s="90"/>
      <c r="AFL386" s="90"/>
      <c r="AFM386" s="90"/>
      <c r="AFN386" s="90"/>
      <c r="AFO386" s="90"/>
      <c r="AFP386" s="90"/>
      <c r="AFQ386" s="90"/>
      <c r="AFR386" s="90"/>
      <c r="AFS386" s="90"/>
      <c r="AFT386" s="90"/>
      <c r="AFU386" s="90"/>
      <c r="AFV386" s="90"/>
      <c r="AFW386" s="90"/>
      <c r="AFX386" s="90"/>
      <c r="AFY386" s="90"/>
      <c r="AFZ386" s="90"/>
      <c r="AGA386" s="90"/>
      <c r="AGB386" s="90"/>
      <c r="AGC386" s="90"/>
      <c r="AGD386" s="90"/>
      <c r="AGE386" s="90"/>
      <c r="AGF386" s="90"/>
      <c r="AGG386" s="90"/>
      <c r="AGH386" s="90"/>
      <c r="AGI386" s="90"/>
      <c r="AGJ386" s="90"/>
      <c r="AGK386" s="90"/>
      <c r="AGL386" s="90"/>
      <c r="AGM386" s="90"/>
      <c r="AGN386" s="90"/>
      <c r="AGO386" s="90"/>
      <c r="AGP386" s="90"/>
      <c r="AGQ386" s="90"/>
      <c r="AGR386" s="90"/>
      <c r="AGS386" s="90"/>
      <c r="AGT386" s="90"/>
      <c r="AGU386" s="90"/>
      <c r="AGV386" s="90"/>
      <c r="AGW386" s="90"/>
      <c r="AGX386" s="90"/>
      <c r="AGY386" s="90"/>
      <c r="AGZ386" s="90"/>
      <c r="AHA386" s="90"/>
      <c r="AHB386" s="90"/>
      <c r="AHC386" s="90"/>
      <c r="AHD386" s="90"/>
      <c r="AHE386" s="90"/>
      <c r="AHF386" s="90"/>
      <c r="AHG386" s="90"/>
      <c r="AHH386" s="90"/>
      <c r="AHI386" s="90"/>
      <c r="AHJ386" s="90"/>
      <c r="AHK386" s="90"/>
      <c r="AHL386" s="90"/>
      <c r="AHM386" s="90"/>
      <c r="AHN386" s="90"/>
      <c r="AHO386" s="90"/>
      <c r="AHP386" s="90"/>
      <c r="AHQ386" s="90"/>
      <c r="AHR386" s="90"/>
      <c r="AHS386" s="90"/>
      <c r="AHT386" s="90"/>
      <c r="AHU386" s="90"/>
      <c r="AHV386" s="90"/>
      <c r="AHW386" s="90"/>
      <c r="AHX386" s="90"/>
      <c r="AHY386" s="90"/>
      <c r="AHZ386" s="90"/>
      <c r="AIA386" s="90"/>
      <c r="AIB386" s="90"/>
      <c r="AIC386" s="90"/>
      <c r="AID386" s="90"/>
      <c r="AIE386" s="90"/>
      <c r="AIF386" s="90"/>
      <c r="AIG386" s="90"/>
      <c r="AIH386" s="90"/>
      <c r="AII386" s="90"/>
      <c r="AIJ386" s="90"/>
      <c r="AIK386" s="90"/>
      <c r="AIL386" s="90"/>
      <c r="AIM386" s="90"/>
      <c r="AIN386" s="90"/>
      <c r="AIO386" s="90"/>
      <c r="AIP386" s="90"/>
      <c r="AIQ386" s="90"/>
      <c r="AIR386" s="90"/>
      <c r="AIS386" s="90"/>
      <c r="AIT386" s="90"/>
      <c r="AIU386" s="90"/>
      <c r="AIV386" s="90"/>
      <c r="AIW386" s="90"/>
      <c r="AIX386" s="90"/>
      <c r="AIY386" s="90"/>
      <c r="AIZ386" s="90"/>
      <c r="AJA386" s="90"/>
      <c r="AJB386" s="90"/>
      <c r="AJC386" s="90"/>
      <c r="AJD386" s="90"/>
      <c r="AJE386" s="90"/>
      <c r="AJF386" s="90"/>
      <c r="AJG386" s="90"/>
      <c r="AJH386" s="90"/>
      <c r="AJI386" s="90"/>
      <c r="AJJ386" s="90"/>
      <c r="AJK386" s="90"/>
      <c r="AJL386" s="90"/>
      <c r="AJM386" s="90"/>
      <c r="AJN386" s="90"/>
      <c r="AJO386" s="90"/>
      <c r="AJP386" s="90"/>
      <c r="AJQ386" s="90"/>
      <c r="AJR386" s="90"/>
      <c r="AJS386" s="90"/>
      <c r="AJT386" s="90"/>
      <c r="AJU386" s="90"/>
      <c r="AJV386" s="90"/>
      <c r="AJW386" s="90"/>
      <c r="AJX386" s="90"/>
      <c r="AJY386" s="90"/>
      <c r="AJZ386" s="90"/>
      <c r="AKA386" s="90"/>
      <c r="AKB386" s="90"/>
      <c r="AKC386" s="90"/>
      <c r="AKD386" s="90"/>
      <c r="AKE386" s="90"/>
      <c r="AKF386" s="90"/>
      <c r="AKG386" s="90"/>
      <c r="AKH386" s="90"/>
      <c r="AKI386" s="90"/>
      <c r="AKJ386" s="90"/>
      <c r="AKK386" s="90"/>
      <c r="AKL386" s="90"/>
      <c r="AKM386" s="90"/>
      <c r="AKN386" s="90"/>
      <c r="AKO386" s="90"/>
      <c r="AKP386" s="90"/>
      <c r="AKQ386" s="90"/>
      <c r="AKR386" s="90"/>
      <c r="AKS386" s="90"/>
      <c r="AKT386" s="90"/>
      <c r="AKU386" s="90"/>
      <c r="AKV386" s="90"/>
      <c r="AKW386" s="90"/>
      <c r="AKX386" s="90"/>
      <c r="AKY386" s="90"/>
      <c r="AKZ386" s="90"/>
      <c r="ALA386" s="90"/>
      <c r="ALB386" s="90"/>
      <c r="ALC386" s="90"/>
      <c r="ALD386" s="90"/>
      <c r="ALE386" s="90"/>
      <c r="ALF386" s="90"/>
      <c r="ALG386" s="90"/>
      <c r="ALH386" s="90"/>
      <c r="ALI386" s="90"/>
      <c r="ALJ386" s="90"/>
      <c r="ALK386" s="90"/>
      <c r="ALL386" s="90"/>
      <c r="ALM386" s="90"/>
      <c r="ALN386" s="90"/>
      <c r="ALO386" s="90"/>
      <c r="ALP386" s="90"/>
      <c r="ALQ386" s="90"/>
      <c r="ALR386" s="90"/>
      <c r="ALS386" s="90"/>
      <c r="ALT386" s="90"/>
      <c r="ALU386" s="90"/>
      <c r="ALV386" s="90"/>
      <c r="ALW386" s="90"/>
      <c r="ALX386" s="90"/>
      <c r="ALY386" s="90"/>
      <c r="ALZ386" s="90"/>
      <c r="AMA386" s="90"/>
      <c r="AMB386" s="90"/>
      <c r="AMC386" s="90"/>
    </row>
    <row r="387" spans="1:1017">
      <c r="A387" s="98" t="s">
        <v>54</v>
      </c>
      <c r="B387" s="90" t="str">
        <f t="shared" si="2065"/>
        <v xml:space="preserve">Udang_05 (Udang Lainnya) </v>
      </c>
      <c r="Q387" s="91">
        <f t="shared" si="1967"/>
        <v>0</v>
      </c>
      <c r="R387" s="91">
        <f t="shared" si="1968"/>
        <v>0</v>
      </c>
      <c r="AG387" s="91">
        <f t="shared" si="1969"/>
        <v>0</v>
      </c>
      <c r="AH387" s="91">
        <f t="shared" si="1970"/>
        <v>0</v>
      </c>
      <c r="AW387" s="91">
        <f t="shared" si="1971"/>
        <v>0</v>
      </c>
      <c r="AX387" s="91">
        <f t="shared" si="1972"/>
        <v>0</v>
      </c>
      <c r="BM387" s="91">
        <f t="shared" si="1973"/>
        <v>0</v>
      </c>
      <c r="BN387" s="91">
        <f t="shared" si="1974"/>
        <v>0</v>
      </c>
      <c r="CC387" s="91">
        <f t="shared" si="1975"/>
        <v>0</v>
      </c>
      <c r="CD387" s="91">
        <f t="shared" si="1976"/>
        <v>0</v>
      </c>
      <c r="CS387" s="91">
        <f t="shared" si="1977"/>
        <v>0</v>
      </c>
      <c r="CT387" s="91">
        <f t="shared" si="1978"/>
        <v>0</v>
      </c>
      <c r="DI387" s="91">
        <f t="shared" si="1979"/>
        <v>0</v>
      </c>
      <c r="DJ387" s="91">
        <f t="shared" si="1980"/>
        <v>0</v>
      </c>
      <c r="DY387" s="91">
        <f t="shared" si="1981"/>
        <v>0</v>
      </c>
      <c r="DZ387" s="91">
        <f t="shared" si="1982"/>
        <v>0</v>
      </c>
      <c r="EO387" s="91">
        <f t="shared" si="1983"/>
        <v>0</v>
      </c>
      <c r="EP387" s="91">
        <f t="shared" si="1984"/>
        <v>0</v>
      </c>
      <c r="FE387" s="91">
        <f t="shared" si="1985"/>
        <v>0</v>
      </c>
      <c r="FF387" s="91">
        <f t="shared" si="1986"/>
        <v>0</v>
      </c>
      <c r="FU387" s="91">
        <f t="shared" si="1987"/>
        <v>0</v>
      </c>
      <c r="FV387" s="91">
        <f t="shared" si="1988"/>
        <v>0</v>
      </c>
      <c r="GK387" s="91">
        <f t="shared" si="1989"/>
        <v>0</v>
      </c>
      <c r="GL387" s="91">
        <f t="shared" si="1990"/>
        <v>0</v>
      </c>
      <c r="HA387" s="91">
        <f t="shared" si="1991"/>
        <v>0</v>
      </c>
      <c r="HB387" s="91">
        <f t="shared" si="1992"/>
        <v>0</v>
      </c>
      <c r="HQ387" s="91">
        <f t="shared" si="1993"/>
        <v>0</v>
      </c>
      <c r="HR387" s="91">
        <f t="shared" si="1994"/>
        <v>0</v>
      </c>
      <c r="IG387" s="91">
        <f t="shared" si="1995"/>
        <v>0</v>
      </c>
      <c r="IH387" s="91">
        <f t="shared" si="1996"/>
        <v>0</v>
      </c>
      <c r="IW387" s="91">
        <f t="shared" si="1997"/>
        <v>0</v>
      </c>
      <c r="IX387" s="91">
        <f t="shared" si="1998"/>
        <v>0</v>
      </c>
      <c r="JM387" s="91">
        <f t="shared" si="1999"/>
        <v>0</v>
      </c>
      <c r="JN387" s="91">
        <f t="shared" si="2000"/>
        <v>0</v>
      </c>
      <c r="KC387" s="91">
        <f t="shared" si="2001"/>
        <v>0</v>
      </c>
      <c r="KD387" s="91">
        <f t="shared" si="2002"/>
        <v>0</v>
      </c>
      <c r="KS387" s="91">
        <f t="shared" si="2003"/>
        <v>0</v>
      </c>
      <c r="KT387" s="91">
        <f t="shared" si="2004"/>
        <v>0</v>
      </c>
      <c r="LI387" s="91">
        <f t="shared" si="2005"/>
        <v>0</v>
      </c>
      <c r="LJ387" s="91">
        <f t="shared" si="2006"/>
        <v>0</v>
      </c>
      <c r="LY387" s="91">
        <f t="shared" si="2007"/>
        <v>0</v>
      </c>
      <c r="LZ387" s="91">
        <f t="shared" si="2008"/>
        <v>0</v>
      </c>
      <c r="MO387" s="91">
        <f t="shared" si="2009"/>
        <v>0</v>
      </c>
      <c r="MP387" s="91">
        <f t="shared" si="2010"/>
        <v>0</v>
      </c>
      <c r="NE387" s="91">
        <f t="shared" si="2011"/>
        <v>0</v>
      </c>
      <c r="NF387" s="91">
        <f t="shared" si="2012"/>
        <v>0</v>
      </c>
      <c r="NU387" s="91">
        <f t="shared" si="2013"/>
        <v>0</v>
      </c>
      <c r="NV387" s="91">
        <f t="shared" si="2014"/>
        <v>0</v>
      </c>
      <c r="OK387" s="91">
        <f t="shared" si="2015"/>
        <v>0</v>
      </c>
      <c r="OL387" s="91">
        <f t="shared" si="2016"/>
        <v>0</v>
      </c>
      <c r="PA387" s="91">
        <f t="shared" si="2017"/>
        <v>0</v>
      </c>
      <c r="PB387" s="91">
        <f t="shared" si="2018"/>
        <v>0</v>
      </c>
      <c r="PQ387" s="91">
        <f t="shared" si="2019"/>
        <v>0</v>
      </c>
      <c r="PR387" s="91">
        <f t="shared" si="2020"/>
        <v>0</v>
      </c>
      <c r="QG387" s="91">
        <f t="shared" si="2021"/>
        <v>0</v>
      </c>
      <c r="QH387" s="91">
        <f t="shared" si="2022"/>
        <v>0</v>
      </c>
      <c r="QW387" s="91">
        <f t="shared" si="2023"/>
        <v>0</v>
      </c>
      <c r="QX387" s="91">
        <f t="shared" si="2024"/>
        <v>0</v>
      </c>
      <c r="RM387" s="91">
        <f t="shared" si="2025"/>
        <v>0</v>
      </c>
      <c r="RN387" s="91">
        <f t="shared" si="2026"/>
        <v>0</v>
      </c>
      <c r="SC387" s="91">
        <f t="shared" si="2027"/>
        <v>0</v>
      </c>
      <c r="SD387" s="91">
        <f t="shared" si="2028"/>
        <v>0</v>
      </c>
      <c r="SS387" s="91">
        <f t="shared" si="2029"/>
        <v>0</v>
      </c>
      <c r="ST387" s="91">
        <f t="shared" si="2030"/>
        <v>0</v>
      </c>
      <c r="TI387" s="91">
        <f t="shared" si="2031"/>
        <v>0</v>
      </c>
      <c r="TJ387" s="91">
        <f t="shared" si="2032"/>
        <v>0</v>
      </c>
      <c r="TY387" s="91">
        <f t="shared" si="2033"/>
        <v>0</v>
      </c>
      <c r="TZ387" s="91">
        <f t="shared" si="2034"/>
        <v>0</v>
      </c>
      <c r="UO387" s="91">
        <f t="shared" si="2035"/>
        <v>0</v>
      </c>
      <c r="UP387" s="91">
        <f t="shared" si="2036"/>
        <v>0</v>
      </c>
      <c r="VE387" s="91">
        <f t="shared" si="2037"/>
        <v>0</v>
      </c>
      <c r="VF387" s="91">
        <f t="shared" si="2038"/>
        <v>0</v>
      </c>
      <c r="VU387" s="91">
        <f t="shared" si="2039"/>
        <v>0</v>
      </c>
      <c r="VV387" s="91">
        <f t="shared" si="2040"/>
        <v>0</v>
      </c>
      <c r="WK387" s="91">
        <f t="shared" si="2041"/>
        <v>0</v>
      </c>
      <c r="WL387" s="91">
        <f t="shared" si="2042"/>
        <v>0</v>
      </c>
      <c r="WM387" s="89"/>
      <c r="WN387" s="87">
        <f t="shared" si="2066"/>
        <v>0</v>
      </c>
      <c r="WO387" s="87">
        <f t="shared" si="2067"/>
        <v>0</v>
      </c>
      <c r="WP387" s="87">
        <f t="shared" si="2068"/>
        <v>0</v>
      </c>
      <c r="WQ387" s="87">
        <f t="shared" si="2069"/>
        <v>0</v>
      </c>
      <c r="WR387" s="87">
        <f t="shared" si="2070"/>
        <v>0</v>
      </c>
      <c r="WS387" s="87">
        <f t="shared" si="2071"/>
        <v>0</v>
      </c>
      <c r="WT387" s="87">
        <f t="shared" si="2072"/>
        <v>0</v>
      </c>
      <c r="WU387" s="87">
        <f t="shared" si="2073"/>
        <v>0</v>
      </c>
      <c r="WV387" s="87">
        <f t="shared" si="2074"/>
        <v>0</v>
      </c>
      <c r="WW387" s="87">
        <f t="shared" si="2075"/>
        <v>0</v>
      </c>
      <c r="WX387" s="87">
        <f t="shared" si="2076"/>
        <v>0</v>
      </c>
      <c r="WY387" s="87">
        <f t="shared" si="2077"/>
        <v>0</v>
      </c>
      <c r="WZ387" s="87">
        <f t="shared" si="2061"/>
        <v>0</v>
      </c>
      <c r="XA387" s="87">
        <f t="shared" si="2062"/>
        <v>0</v>
      </c>
      <c r="XB387" s="92">
        <f t="shared" si="2063"/>
        <v>0</v>
      </c>
      <c r="XC387" s="92">
        <f t="shared" si="2064"/>
        <v>0</v>
      </c>
      <c r="XD387" s="89"/>
      <c r="XE387" s="92"/>
      <c r="XF387" s="92"/>
      <c r="XG387" s="89"/>
      <c r="XH387" s="92"/>
      <c r="XI387" s="92"/>
      <c r="XJ387" s="89"/>
      <c r="XK387" s="87"/>
      <c r="XL387" s="87"/>
      <c r="XM387" s="87"/>
      <c r="XN387" s="87"/>
      <c r="XO387" s="87"/>
      <c r="XP387" s="87"/>
      <c r="XQ387" s="87"/>
      <c r="XR387" s="92">
        <f t="shared" ca="1" si="2059"/>
        <v>0</v>
      </c>
      <c r="XS387" s="89"/>
      <c r="XT387" s="87"/>
      <c r="XU387" s="87"/>
      <c r="XV387" s="87"/>
      <c r="XW387" s="87"/>
      <c r="XX387" s="87"/>
      <c r="XY387" s="87"/>
      <c r="XZ387" s="87"/>
      <c r="YA387" s="92">
        <f t="shared" ca="1" si="2060"/>
        <v>0</v>
      </c>
      <c r="YB387" s="90"/>
      <c r="YC387" s="90"/>
      <c r="YD387" s="90"/>
      <c r="YE387" s="90"/>
      <c r="YF387" s="90"/>
      <c r="YG387" s="90"/>
      <c r="YH387" s="90"/>
      <c r="YI387" s="90"/>
      <c r="YJ387" s="90"/>
      <c r="YK387" s="90"/>
      <c r="YL387" s="90"/>
      <c r="YM387" s="90"/>
      <c r="YN387" s="90"/>
      <c r="YO387" s="90"/>
      <c r="YP387" s="90"/>
      <c r="YQ387" s="90"/>
      <c r="YR387" s="90"/>
      <c r="YS387" s="90"/>
      <c r="YT387" s="90"/>
      <c r="YU387" s="90"/>
      <c r="YV387" s="90"/>
      <c r="YW387" s="90"/>
      <c r="YX387" s="90"/>
      <c r="YY387" s="90"/>
      <c r="YZ387" s="90"/>
      <c r="ZA387" s="90"/>
      <c r="ZB387" s="90"/>
      <c r="ZC387" s="90"/>
      <c r="ZD387" s="90"/>
      <c r="ZE387" s="90"/>
      <c r="ZF387" s="90"/>
      <c r="ZG387" s="90"/>
      <c r="ZH387" s="90"/>
      <c r="ZI387" s="90"/>
      <c r="ZJ387" s="90"/>
      <c r="ZK387" s="90"/>
      <c r="ZL387" s="90"/>
      <c r="ZM387" s="90"/>
      <c r="ZN387" s="90"/>
      <c r="ZO387" s="90"/>
      <c r="ZP387" s="90"/>
      <c r="ZQ387" s="90"/>
      <c r="ZR387" s="90"/>
      <c r="ZS387" s="90"/>
      <c r="ZT387" s="90"/>
      <c r="ZU387" s="90"/>
      <c r="ZV387" s="90"/>
      <c r="ZW387" s="90"/>
      <c r="ZX387" s="90"/>
      <c r="ZY387" s="90"/>
      <c r="ZZ387" s="90"/>
      <c r="AAA387" s="90"/>
      <c r="AAB387" s="90"/>
      <c r="AAC387" s="90"/>
      <c r="AAD387" s="90"/>
      <c r="AAE387" s="90"/>
      <c r="AAF387" s="90"/>
      <c r="AAG387" s="90"/>
      <c r="AAH387" s="90"/>
      <c r="AAI387" s="90"/>
      <c r="AAJ387" s="90"/>
      <c r="AAK387" s="90"/>
      <c r="AAL387" s="90"/>
      <c r="AAM387" s="90"/>
      <c r="AAN387" s="90"/>
      <c r="AAO387" s="90"/>
      <c r="AAP387" s="90"/>
      <c r="AAQ387" s="90"/>
      <c r="AAR387" s="90"/>
      <c r="AAS387" s="90"/>
      <c r="AAT387" s="90"/>
      <c r="AAU387" s="90"/>
      <c r="AAV387" s="90"/>
      <c r="AAW387" s="90"/>
      <c r="AAX387" s="90"/>
      <c r="AAY387" s="90"/>
      <c r="AAZ387" s="90"/>
      <c r="ABA387" s="90"/>
      <c r="ABB387" s="90"/>
      <c r="ABC387" s="90"/>
      <c r="ABD387" s="90"/>
      <c r="ABE387" s="90"/>
      <c r="ABF387" s="90"/>
      <c r="ABG387" s="90"/>
      <c r="ABH387" s="90"/>
      <c r="ABI387" s="90"/>
      <c r="ABJ387" s="90"/>
      <c r="ABK387" s="90"/>
      <c r="ABL387" s="90"/>
      <c r="ABM387" s="90"/>
      <c r="ABN387" s="90"/>
      <c r="ABO387" s="90"/>
      <c r="ABP387" s="90"/>
      <c r="ABQ387" s="90"/>
      <c r="ABR387" s="90"/>
      <c r="ABS387" s="90"/>
      <c r="ABT387" s="90"/>
      <c r="ABU387" s="90"/>
      <c r="ABV387" s="90"/>
      <c r="ABW387" s="90"/>
      <c r="ABX387" s="90"/>
      <c r="ABY387" s="90"/>
      <c r="ABZ387" s="90"/>
      <c r="ACA387" s="90"/>
      <c r="ACB387" s="90"/>
      <c r="ACC387" s="90"/>
      <c r="ACD387" s="90"/>
      <c r="ACE387" s="90"/>
      <c r="ACF387" s="90"/>
      <c r="ACG387" s="90"/>
      <c r="ACH387" s="90"/>
      <c r="ACI387" s="90"/>
      <c r="ACJ387" s="90"/>
      <c r="ACK387" s="90"/>
      <c r="ACL387" s="90"/>
      <c r="ACM387" s="90"/>
      <c r="ACN387" s="90"/>
      <c r="ACO387" s="90"/>
      <c r="ACP387" s="90"/>
      <c r="ACQ387" s="90"/>
      <c r="ACR387" s="90"/>
      <c r="ACS387" s="90"/>
      <c r="ACT387" s="90"/>
      <c r="ACU387" s="90"/>
      <c r="ACV387" s="90"/>
      <c r="ACW387" s="90"/>
      <c r="ACX387" s="90"/>
      <c r="ACY387" s="90"/>
      <c r="ACZ387" s="90"/>
      <c r="ADA387" s="90"/>
      <c r="ADB387" s="90"/>
      <c r="ADC387" s="90"/>
      <c r="ADD387" s="90"/>
      <c r="ADE387" s="90"/>
      <c r="ADF387" s="90"/>
      <c r="ADG387" s="90"/>
      <c r="ADH387" s="90"/>
      <c r="ADI387" s="90"/>
      <c r="ADJ387" s="90"/>
      <c r="ADK387" s="90"/>
      <c r="ADL387" s="90"/>
      <c r="ADM387" s="90"/>
      <c r="ADN387" s="90"/>
      <c r="ADO387" s="90"/>
      <c r="ADP387" s="90"/>
      <c r="ADQ387" s="90"/>
      <c r="ADR387" s="90"/>
      <c r="ADS387" s="90"/>
      <c r="ADT387" s="90"/>
      <c r="ADU387" s="90"/>
      <c r="ADV387" s="90"/>
      <c r="ADW387" s="90"/>
      <c r="ADX387" s="90"/>
      <c r="ADY387" s="90"/>
      <c r="ADZ387" s="90"/>
      <c r="AEA387" s="90"/>
      <c r="AEB387" s="90"/>
      <c r="AEC387" s="90"/>
      <c r="AED387" s="90"/>
      <c r="AEE387" s="90"/>
      <c r="AEF387" s="90"/>
      <c r="AEG387" s="90"/>
      <c r="AEH387" s="90"/>
      <c r="AEI387" s="90"/>
      <c r="AEJ387" s="90"/>
      <c r="AEK387" s="90"/>
      <c r="AEL387" s="90"/>
      <c r="AEM387" s="90"/>
      <c r="AEN387" s="90"/>
      <c r="AEO387" s="90"/>
      <c r="AEP387" s="90"/>
      <c r="AEQ387" s="90"/>
      <c r="AER387" s="90"/>
      <c r="AES387" s="90"/>
      <c r="AET387" s="90"/>
      <c r="AEU387" s="90"/>
      <c r="AEV387" s="90"/>
      <c r="AEW387" s="90"/>
      <c r="AEX387" s="90"/>
      <c r="AEY387" s="90"/>
      <c r="AEZ387" s="90"/>
      <c r="AFA387" s="90"/>
      <c r="AFB387" s="90"/>
      <c r="AFC387" s="90"/>
      <c r="AFD387" s="90"/>
      <c r="AFE387" s="90"/>
      <c r="AFF387" s="90"/>
      <c r="AFG387" s="90"/>
      <c r="AFH387" s="90"/>
      <c r="AFI387" s="90"/>
      <c r="AFJ387" s="90"/>
      <c r="AFK387" s="90"/>
      <c r="AFL387" s="90"/>
      <c r="AFM387" s="90"/>
      <c r="AFN387" s="90"/>
      <c r="AFO387" s="90"/>
      <c r="AFP387" s="90"/>
      <c r="AFQ387" s="90"/>
      <c r="AFR387" s="90"/>
      <c r="AFS387" s="90"/>
      <c r="AFT387" s="90"/>
      <c r="AFU387" s="90"/>
      <c r="AFV387" s="90"/>
      <c r="AFW387" s="90"/>
      <c r="AFX387" s="90"/>
      <c r="AFY387" s="90"/>
      <c r="AFZ387" s="90"/>
      <c r="AGA387" s="90"/>
      <c r="AGB387" s="90"/>
      <c r="AGC387" s="90"/>
      <c r="AGD387" s="90"/>
      <c r="AGE387" s="90"/>
      <c r="AGF387" s="90"/>
      <c r="AGG387" s="90"/>
      <c r="AGH387" s="90"/>
      <c r="AGI387" s="90"/>
      <c r="AGJ387" s="90"/>
      <c r="AGK387" s="90"/>
      <c r="AGL387" s="90"/>
      <c r="AGM387" s="90"/>
      <c r="AGN387" s="90"/>
      <c r="AGO387" s="90"/>
      <c r="AGP387" s="90"/>
      <c r="AGQ387" s="90"/>
      <c r="AGR387" s="90"/>
      <c r="AGS387" s="90"/>
      <c r="AGT387" s="90"/>
      <c r="AGU387" s="90"/>
      <c r="AGV387" s="90"/>
      <c r="AGW387" s="90"/>
      <c r="AGX387" s="90"/>
      <c r="AGY387" s="90"/>
      <c r="AGZ387" s="90"/>
      <c r="AHA387" s="90"/>
      <c r="AHB387" s="90"/>
      <c r="AHC387" s="90"/>
      <c r="AHD387" s="90"/>
      <c r="AHE387" s="90"/>
      <c r="AHF387" s="90"/>
      <c r="AHG387" s="90"/>
      <c r="AHH387" s="90"/>
      <c r="AHI387" s="90"/>
      <c r="AHJ387" s="90"/>
      <c r="AHK387" s="90"/>
      <c r="AHL387" s="90"/>
      <c r="AHM387" s="90"/>
      <c r="AHN387" s="90"/>
      <c r="AHO387" s="90"/>
      <c r="AHP387" s="90"/>
      <c r="AHQ387" s="90"/>
      <c r="AHR387" s="90"/>
      <c r="AHS387" s="90"/>
      <c r="AHT387" s="90"/>
      <c r="AHU387" s="90"/>
      <c r="AHV387" s="90"/>
      <c r="AHW387" s="90"/>
      <c r="AHX387" s="90"/>
      <c r="AHY387" s="90"/>
      <c r="AHZ387" s="90"/>
      <c r="AIA387" s="90"/>
      <c r="AIB387" s="90"/>
      <c r="AIC387" s="90"/>
      <c r="AID387" s="90"/>
      <c r="AIE387" s="90"/>
      <c r="AIF387" s="90"/>
      <c r="AIG387" s="90"/>
      <c r="AIH387" s="90"/>
      <c r="AII387" s="90"/>
      <c r="AIJ387" s="90"/>
      <c r="AIK387" s="90"/>
      <c r="AIL387" s="90"/>
      <c r="AIM387" s="90"/>
      <c r="AIN387" s="90"/>
      <c r="AIO387" s="90"/>
      <c r="AIP387" s="90"/>
      <c r="AIQ387" s="90"/>
      <c r="AIR387" s="90"/>
      <c r="AIS387" s="90"/>
      <c r="AIT387" s="90"/>
      <c r="AIU387" s="90"/>
      <c r="AIV387" s="90"/>
      <c r="AIW387" s="90"/>
      <c r="AIX387" s="90"/>
      <c r="AIY387" s="90"/>
      <c r="AIZ387" s="90"/>
      <c r="AJA387" s="90"/>
      <c r="AJB387" s="90"/>
      <c r="AJC387" s="90"/>
      <c r="AJD387" s="90"/>
      <c r="AJE387" s="90"/>
      <c r="AJF387" s="90"/>
      <c r="AJG387" s="90"/>
      <c r="AJH387" s="90"/>
      <c r="AJI387" s="90"/>
      <c r="AJJ387" s="90"/>
      <c r="AJK387" s="90"/>
      <c r="AJL387" s="90"/>
      <c r="AJM387" s="90"/>
      <c r="AJN387" s="90"/>
      <c r="AJO387" s="90"/>
      <c r="AJP387" s="90"/>
      <c r="AJQ387" s="90"/>
      <c r="AJR387" s="90"/>
      <c r="AJS387" s="90"/>
      <c r="AJT387" s="90"/>
      <c r="AJU387" s="90"/>
      <c r="AJV387" s="90"/>
      <c r="AJW387" s="90"/>
      <c r="AJX387" s="90"/>
      <c r="AJY387" s="90"/>
      <c r="AJZ387" s="90"/>
      <c r="AKA387" s="90"/>
      <c r="AKB387" s="90"/>
      <c r="AKC387" s="90"/>
      <c r="AKD387" s="90"/>
      <c r="AKE387" s="90"/>
      <c r="AKF387" s="90"/>
      <c r="AKG387" s="90"/>
      <c r="AKH387" s="90"/>
      <c r="AKI387" s="90"/>
      <c r="AKJ387" s="90"/>
      <c r="AKK387" s="90"/>
      <c r="AKL387" s="90"/>
      <c r="AKM387" s="90"/>
      <c r="AKN387" s="90"/>
      <c r="AKO387" s="90"/>
      <c r="AKP387" s="90"/>
      <c r="AKQ387" s="90"/>
      <c r="AKR387" s="90"/>
      <c r="AKS387" s="90"/>
      <c r="AKT387" s="90"/>
      <c r="AKU387" s="90"/>
      <c r="AKV387" s="90"/>
      <c r="AKW387" s="90"/>
      <c r="AKX387" s="90"/>
      <c r="AKY387" s="90"/>
      <c r="AKZ387" s="90"/>
      <c r="ALA387" s="90"/>
      <c r="ALB387" s="90"/>
      <c r="ALC387" s="90"/>
      <c r="ALD387" s="90"/>
      <c r="ALE387" s="90"/>
      <c r="ALF387" s="90"/>
      <c r="ALG387" s="90"/>
      <c r="ALH387" s="90"/>
      <c r="ALI387" s="90"/>
      <c r="ALJ387" s="90"/>
      <c r="ALK387" s="90"/>
      <c r="ALL387" s="90"/>
      <c r="ALM387" s="90"/>
      <c r="ALN387" s="90"/>
      <c r="ALO387" s="90"/>
      <c r="ALP387" s="90"/>
      <c r="ALQ387" s="90"/>
      <c r="ALR387" s="90"/>
      <c r="ALS387" s="90"/>
      <c r="ALT387" s="90"/>
      <c r="ALU387" s="90"/>
      <c r="ALV387" s="90"/>
      <c r="ALW387" s="90"/>
      <c r="ALX387" s="90"/>
      <c r="ALY387" s="90"/>
      <c r="ALZ387" s="90"/>
      <c r="AMA387" s="90"/>
      <c r="AMB387" s="90"/>
      <c r="AMC387" s="90"/>
    </row>
    <row r="388" spans="1:1017">
      <c r="A388" s="98" t="s">
        <v>54</v>
      </c>
      <c r="B388" s="90" t="str">
        <f t="shared" si="2065"/>
        <v>Ikan_01 (Ikan Lainnya)</v>
      </c>
      <c r="Q388" s="91">
        <f t="shared" si="1967"/>
        <v>0</v>
      </c>
      <c r="R388" s="91">
        <f t="shared" si="1968"/>
        <v>0</v>
      </c>
      <c r="AG388" s="91">
        <f t="shared" si="1969"/>
        <v>0</v>
      </c>
      <c r="AH388" s="91">
        <f t="shared" si="1970"/>
        <v>0</v>
      </c>
      <c r="AW388" s="91">
        <f t="shared" si="1971"/>
        <v>0</v>
      </c>
      <c r="AX388" s="91">
        <f t="shared" si="1972"/>
        <v>0</v>
      </c>
      <c r="BM388" s="91">
        <f t="shared" si="1973"/>
        <v>0</v>
      </c>
      <c r="BN388" s="91">
        <f t="shared" si="1974"/>
        <v>0</v>
      </c>
      <c r="CC388" s="91">
        <f t="shared" si="1975"/>
        <v>0</v>
      </c>
      <c r="CD388" s="91">
        <f t="shared" si="1976"/>
        <v>0</v>
      </c>
      <c r="CS388" s="91">
        <f t="shared" si="1977"/>
        <v>0</v>
      </c>
      <c r="CT388" s="91">
        <f t="shared" si="1978"/>
        <v>0</v>
      </c>
      <c r="DI388" s="91">
        <f t="shared" si="1979"/>
        <v>0</v>
      </c>
      <c r="DJ388" s="91">
        <f t="shared" si="1980"/>
        <v>0</v>
      </c>
      <c r="DY388" s="91">
        <f t="shared" si="1981"/>
        <v>0</v>
      </c>
      <c r="DZ388" s="91">
        <f t="shared" si="1982"/>
        <v>0</v>
      </c>
      <c r="EO388" s="91">
        <f t="shared" si="1983"/>
        <v>0</v>
      </c>
      <c r="EP388" s="91">
        <f t="shared" si="1984"/>
        <v>0</v>
      </c>
      <c r="FE388" s="91">
        <f t="shared" si="1985"/>
        <v>0</v>
      </c>
      <c r="FF388" s="91">
        <f t="shared" si="1986"/>
        <v>0</v>
      </c>
      <c r="FU388" s="91">
        <f t="shared" si="1987"/>
        <v>0</v>
      </c>
      <c r="FV388" s="91">
        <f t="shared" si="1988"/>
        <v>0</v>
      </c>
      <c r="GK388" s="91">
        <f t="shared" si="1989"/>
        <v>0</v>
      </c>
      <c r="GL388" s="91">
        <f t="shared" si="1990"/>
        <v>0</v>
      </c>
      <c r="HA388" s="91">
        <f t="shared" si="1991"/>
        <v>0</v>
      </c>
      <c r="HB388" s="91">
        <f t="shared" si="1992"/>
        <v>0</v>
      </c>
      <c r="HQ388" s="91">
        <f t="shared" si="1993"/>
        <v>0</v>
      </c>
      <c r="HR388" s="91">
        <f t="shared" si="1994"/>
        <v>0</v>
      </c>
      <c r="IG388" s="91">
        <f t="shared" si="1995"/>
        <v>0</v>
      </c>
      <c r="IH388" s="91">
        <f t="shared" si="1996"/>
        <v>0</v>
      </c>
      <c r="IW388" s="91">
        <f t="shared" si="1997"/>
        <v>0</v>
      </c>
      <c r="IX388" s="91">
        <f t="shared" si="1998"/>
        <v>0</v>
      </c>
      <c r="JM388" s="91">
        <f t="shared" si="1999"/>
        <v>0</v>
      </c>
      <c r="JN388" s="91">
        <f t="shared" si="2000"/>
        <v>0</v>
      </c>
      <c r="KC388" s="91">
        <f t="shared" si="2001"/>
        <v>0</v>
      </c>
      <c r="KD388" s="91">
        <f t="shared" si="2002"/>
        <v>0</v>
      </c>
      <c r="KS388" s="91">
        <f t="shared" si="2003"/>
        <v>0</v>
      </c>
      <c r="KT388" s="91">
        <f t="shared" si="2004"/>
        <v>0</v>
      </c>
      <c r="LI388" s="91">
        <f t="shared" si="2005"/>
        <v>0</v>
      </c>
      <c r="LJ388" s="91">
        <f t="shared" si="2006"/>
        <v>0</v>
      </c>
      <c r="LY388" s="91">
        <f t="shared" si="2007"/>
        <v>0</v>
      </c>
      <c r="LZ388" s="91">
        <f t="shared" si="2008"/>
        <v>0</v>
      </c>
      <c r="MO388" s="91">
        <f t="shared" si="2009"/>
        <v>0</v>
      </c>
      <c r="MP388" s="91">
        <f t="shared" si="2010"/>
        <v>0</v>
      </c>
      <c r="MS388" s="98">
        <v>70</v>
      </c>
      <c r="MT388" s="98">
        <v>2100</v>
      </c>
      <c r="NE388" s="91">
        <f t="shared" si="2011"/>
        <v>70</v>
      </c>
      <c r="NF388" s="91">
        <f t="shared" si="2012"/>
        <v>2100</v>
      </c>
      <c r="NU388" s="91">
        <f t="shared" si="2013"/>
        <v>0</v>
      </c>
      <c r="NV388" s="91">
        <f t="shared" si="2014"/>
        <v>0</v>
      </c>
      <c r="OK388" s="91">
        <f t="shared" si="2015"/>
        <v>0</v>
      </c>
      <c r="OL388" s="91">
        <f t="shared" si="2016"/>
        <v>0</v>
      </c>
      <c r="PA388" s="91">
        <f t="shared" si="2017"/>
        <v>0</v>
      </c>
      <c r="PB388" s="91">
        <f t="shared" si="2018"/>
        <v>0</v>
      </c>
      <c r="PQ388" s="91">
        <f t="shared" si="2019"/>
        <v>0</v>
      </c>
      <c r="PR388" s="91">
        <f t="shared" si="2020"/>
        <v>0</v>
      </c>
      <c r="QG388" s="91">
        <f t="shared" si="2021"/>
        <v>0</v>
      </c>
      <c r="QH388" s="91">
        <f t="shared" si="2022"/>
        <v>0</v>
      </c>
      <c r="QW388" s="91">
        <f t="shared" si="2023"/>
        <v>0</v>
      </c>
      <c r="QX388" s="91">
        <f t="shared" si="2024"/>
        <v>0</v>
      </c>
      <c r="RM388" s="91">
        <f t="shared" si="2025"/>
        <v>0</v>
      </c>
      <c r="RN388" s="91">
        <f t="shared" si="2026"/>
        <v>0</v>
      </c>
      <c r="SC388" s="91">
        <f t="shared" si="2027"/>
        <v>0</v>
      </c>
      <c r="SD388" s="91">
        <f t="shared" si="2028"/>
        <v>0</v>
      </c>
      <c r="SS388" s="91">
        <f t="shared" si="2029"/>
        <v>0</v>
      </c>
      <c r="ST388" s="91">
        <f t="shared" si="2030"/>
        <v>0</v>
      </c>
      <c r="TI388" s="91">
        <f t="shared" si="2031"/>
        <v>0</v>
      </c>
      <c r="TJ388" s="91">
        <f t="shared" si="2032"/>
        <v>0</v>
      </c>
      <c r="TY388" s="91">
        <f t="shared" si="2033"/>
        <v>0</v>
      </c>
      <c r="TZ388" s="91">
        <f t="shared" si="2034"/>
        <v>0</v>
      </c>
      <c r="UO388" s="91">
        <f t="shared" si="2035"/>
        <v>0</v>
      </c>
      <c r="UP388" s="91">
        <f t="shared" si="2036"/>
        <v>0</v>
      </c>
      <c r="VE388" s="91">
        <f t="shared" si="2037"/>
        <v>0</v>
      </c>
      <c r="VF388" s="91">
        <f t="shared" si="2038"/>
        <v>0</v>
      </c>
      <c r="VU388" s="91">
        <f t="shared" si="2039"/>
        <v>0</v>
      </c>
      <c r="VV388" s="91">
        <f t="shared" si="2040"/>
        <v>0</v>
      </c>
      <c r="WK388" s="91">
        <f t="shared" si="2041"/>
        <v>0</v>
      </c>
      <c r="WL388" s="91">
        <f t="shared" si="2042"/>
        <v>0</v>
      </c>
      <c r="WM388" s="89"/>
      <c r="WN388" s="87">
        <f t="shared" si="2066"/>
        <v>0</v>
      </c>
      <c r="WO388" s="87">
        <f t="shared" si="2067"/>
        <v>0</v>
      </c>
      <c r="WP388" s="87">
        <f t="shared" si="2068"/>
        <v>70</v>
      </c>
      <c r="WQ388" s="87">
        <f t="shared" si="2069"/>
        <v>2100</v>
      </c>
      <c r="WR388" s="87">
        <f t="shared" si="2070"/>
        <v>0</v>
      </c>
      <c r="WS388" s="87">
        <f t="shared" si="2071"/>
        <v>0</v>
      </c>
      <c r="WT388" s="87">
        <f t="shared" si="2072"/>
        <v>0</v>
      </c>
      <c r="WU388" s="87">
        <f t="shared" si="2073"/>
        <v>0</v>
      </c>
      <c r="WV388" s="87">
        <f t="shared" si="2074"/>
        <v>0</v>
      </c>
      <c r="WW388" s="87">
        <f t="shared" si="2075"/>
        <v>0</v>
      </c>
      <c r="WX388" s="87">
        <f t="shared" si="2076"/>
        <v>0</v>
      </c>
      <c r="WY388" s="87">
        <f t="shared" si="2077"/>
        <v>0</v>
      </c>
      <c r="WZ388" s="87">
        <f t="shared" si="2061"/>
        <v>0</v>
      </c>
      <c r="XA388" s="87">
        <f t="shared" si="2062"/>
        <v>0</v>
      </c>
      <c r="XB388" s="92">
        <f t="shared" si="2063"/>
        <v>70</v>
      </c>
      <c r="XC388" s="92">
        <f t="shared" si="2064"/>
        <v>2100</v>
      </c>
      <c r="XD388" s="89"/>
      <c r="XE388" s="92"/>
      <c r="XF388" s="92"/>
      <c r="XG388" s="89"/>
      <c r="XH388" s="92"/>
      <c r="XI388" s="92"/>
      <c r="XJ388" s="89"/>
      <c r="XK388" s="87"/>
      <c r="XL388" s="87"/>
      <c r="XM388" s="87"/>
      <c r="XN388" s="87"/>
      <c r="XO388" s="87"/>
      <c r="XP388" s="87"/>
      <c r="XQ388" s="87"/>
      <c r="XR388" s="92">
        <f t="shared" ca="1" si="2059"/>
        <v>0</v>
      </c>
      <c r="XS388" s="89"/>
      <c r="XT388" s="87"/>
      <c r="XU388" s="87"/>
      <c r="XV388" s="87"/>
      <c r="XW388" s="87"/>
      <c r="XX388" s="87"/>
      <c r="XY388" s="87"/>
      <c r="XZ388" s="87"/>
      <c r="YA388" s="92">
        <f t="shared" ca="1" si="2060"/>
        <v>0</v>
      </c>
      <c r="YB388" s="90"/>
      <c r="YC388" s="90"/>
      <c r="YD388" s="90"/>
      <c r="YE388" s="90"/>
      <c r="YF388" s="90"/>
      <c r="YG388" s="90"/>
      <c r="YH388" s="90"/>
      <c r="YI388" s="90"/>
      <c r="YJ388" s="90"/>
      <c r="YK388" s="90"/>
      <c r="YL388" s="90"/>
      <c r="YM388" s="90"/>
      <c r="YN388" s="90"/>
      <c r="YO388" s="90"/>
      <c r="YP388" s="90"/>
      <c r="YQ388" s="90"/>
      <c r="YR388" s="90"/>
      <c r="YS388" s="90"/>
      <c r="YT388" s="90"/>
      <c r="YU388" s="90"/>
      <c r="YV388" s="90"/>
      <c r="YW388" s="90"/>
      <c r="YX388" s="90"/>
      <c r="YY388" s="90"/>
      <c r="YZ388" s="90"/>
      <c r="ZA388" s="90"/>
      <c r="ZB388" s="90"/>
      <c r="ZC388" s="90"/>
      <c r="ZD388" s="90"/>
      <c r="ZE388" s="90"/>
      <c r="ZF388" s="90"/>
      <c r="ZG388" s="90"/>
      <c r="ZH388" s="90"/>
      <c r="ZI388" s="90"/>
      <c r="ZJ388" s="90"/>
      <c r="ZK388" s="90"/>
      <c r="ZL388" s="90"/>
      <c r="ZM388" s="90"/>
      <c r="ZN388" s="90"/>
      <c r="ZO388" s="90"/>
      <c r="ZP388" s="90"/>
      <c r="ZQ388" s="90"/>
      <c r="ZR388" s="90"/>
      <c r="ZS388" s="90"/>
      <c r="ZT388" s="90"/>
      <c r="ZU388" s="90"/>
      <c r="ZV388" s="90"/>
      <c r="ZW388" s="90"/>
      <c r="ZX388" s="90"/>
      <c r="ZY388" s="90"/>
      <c r="ZZ388" s="90"/>
      <c r="AAA388" s="90"/>
      <c r="AAB388" s="90"/>
      <c r="AAC388" s="90"/>
      <c r="AAD388" s="90"/>
      <c r="AAE388" s="90"/>
      <c r="AAF388" s="90"/>
      <c r="AAG388" s="90"/>
      <c r="AAH388" s="90"/>
      <c r="AAI388" s="90"/>
      <c r="AAJ388" s="90"/>
      <c r="AAK388" s="90"/>
      <c r="AAL388" s="90"/>
      <c r="AAM388" s="90"/>
      <c r="AAN388" s="90"/>
      <c r="AAO388" s="90"/>
      <c r="AAP388" s="90"/>
      <c r="AAQ388" s="90"/>
      <c r="AAR388" s="90"/>
      <c r="AAS388" s="90"/>
      <c r="AAT388" s="90"/>
      <c r="AAU388" s="90"/>
      <c r="AAV388" s="90"/>
      <c r="AAW388" s="90"/>
      <c r="AAX388" s="90"/>
      <c r="AAY388" s="90"/>
      <c r="AAZ388" s="90"/>
      <c r="ABA388" s="90"/>
      <c r="ABB388" s="90"/>
      <c r="ABC388" s="90"/>
      <c r="ABD388" s="90"/>
      <c r="ABE388" s="90"/>
      <c r="ABF388" s="90"/>
      <c r="ABG388" s="90"/>
      <c r="ABH388" s="90"/>
      <c r="ABI388" s="90"/>
      <c r="ABJ388" s="90"/>
      <c r="ABK388" s="90"/>
      <c r="ABL388" s="90"/>
      <c r="ABM388" s="90"/>
      <c r="ABN388" s="90"/>
      <c r="ABO388" s="90"/>
      <c r="ABP388" s="90"/>
      <c r="ABQ388" s="90"/>
      <c r="ABR388" s="90"/>
      <c r="ABS388" s="90"/>
      <c r="ABT388" s="90"/>
      <c r="ABU388" s="90"/>
      <c r="ABV388" s="90"/>
      <c r="ABW388" s="90"/>
      <c r="ABX388" s="90"/>
      <c r="ABY388" s="90"/>
      <c r="ABZ388" s="90"/>
      <c r="ACA388" s="90"/>
      <c r="ACB388" s="90"/>
      <c r="ACC388" s="90"/>
      <c r="ACD388" s="90"/>
      <c r="ACE388" s="90"/>
      <c r="ACF388" s="90"/>
      <c r="ACG388" s="90"/>
      <c r="ACH388" s="90"/>
      <c r="ACI388" s="90"/>
      <c r="ACJ388" s="90"/>
      <c r="ACK388" s="90"/>
      <c r="ACL388" s="90"/>
      <c r="ACM388" s="90"/>
      <c r="ACN388" s="90"/>
      <c r="ACO388" s="90"/>
      <c r="ACP388" s="90"/>
      <c r="ACQ388" s="90"/>
      <c r="ACR388" s="90"/>
      <c r="ACS388" s="90"/>
      <c r="ACT388" s="90"/>
      <c r="ACU388" s="90"/>
      <c r="ACV388" s="90"/>
      <c r="ACW388" s="90"/>
      <c r="ACX388" s="90"/>
      <c r="ACY388" s="90"/>
      <c r="ACZ388" s="90"/>
      <c r="ADA388" s="90"/>
      <c r="ADB388" s="90"/>
      <c r="ADC388" s="90"/>
      <c r="ADD388" s="90"/>
      <c r="ADE388" s="90"/>
      <c r="ADF388" s="90"/>
      <c r="ADG388" s="90"/>
      <c r="ADH388" s="90"/>
      <c r="ADI388" s="90"/>
      <c r="ADJ388" s="90"/>
      <c r="ADK388" s="90"/>
      <c r="ADL388" s="90"/>
      <c r="ADM388" s="90"/>
      <c r="ADN388" s="90"/>
      <c r="ADO388" s="90"/>
      <c r="ADP388" s="90"/>
      <c r="ADQ388" s="90"/>
      <c r="ADR388" s="90"/>
      <c r="ADS388" s="90"/>
      <c r="ADT388" s="90"/>
      <c r="ADU388" s="90"/>
      <c r="ADV388" s="90"/>
      <c r="ADW388" s="90"/>
      <c r="ADX388" s="90"/>
      <c r="ADY388" s="90"/>
      <c r="ADZ388" s="90"/>
      <c r="AEA388" s="90"/>
      <c r="AEB388" s="90"/>
      <c r="AEC388" s="90"/>
      <c r="AED388" s="90"/>
      <c r="AEE388" s="90"/>
      <c r="AEF388" s="90"/>
      <c r="AEG388" s="90"/>
      <c r="AEH388" s="90"/>
      <c r="AEI388" s="90"/>
      <c r="AEJ388" s="90"/>
      <c r="AEK388" s="90"/>
      <c r="AEL388" s="90"/>
      <c r="AEM388" s="90"/>
      <c r="AEN388" s="90"/>
      <c r="AEO388" s="90"/>
      <c r="AEP388" s="90"/>
      <c r="AEQ388" s="90"/>
      <c r="AER388" s="90"/>
      <c r="AES388" s="90"/>
      <c r="AET388" s="90"/>
      <c r="AEU388" s="90"/>
      <c r="AEV388" s="90"/>
      <c r="AEW388" s="90"/>
      <c r="AEX388" s="90"/>
      <c r="AEY388" s="90"/>
      <c r="AEZ388" s="90"/>
      <c r="AFA388" s="90"/>
      <c r="AFB388" s="90"/>
      <c r="AFC388" s="90"/>
      <c r="AFD388" s="90"/>
      <c r="AFE388" s="90"/>
      <c r="AFF388" s="90"/>
      <c r="AFG388" s="90"/>
      <c r="AFH388" s="90"/>
      <c r="AFI388" s="90"/>
      <c r="AFJ388" s="90"/>
      <c r="AFK388" s="90"/>
      <c r="AFL388" s="90"/>
      <c r="AFM388" s="90"/>
      <c r="AFN388" s="90"/>
      <c r="AFO388" s="90"/>
      <c r="AFP388" s="90"/>
      <c r="AFQ388" s="90"/>
      <c r="AFR388" s="90"/>
      <c r="AFS388" s="90"/>
      <c r="AFT388" s="90"/>
      <c r="AFU388" s="90"/>
      <c r="AFV388" s="90"/>
      <c r="AFW388" s="90"/>
      <c r="AFX388" s="90"/>
      <c r="AFY388" s="90"/>
      <c r="AFZ388" s="90"/>
      <c r="AGA388" s="90"/>
      <c r="AGB388" s="90"/>
      <c r="AGC388" s="90"/>
      <c r="AGD388" s="90"/>
      <c r="AGE388" s="90"/>
      <c r="AGF388" s="90"/>
      <c r="AGG388" s="90"/>
      <c r="AGH388" s="90"/>
      <c r="AGI388" s="90"/>
      <c r="AGJ388" s="90"/>
      <c r="AGK388" s="90"/>
      <c r="AGL388" s="90"/>
      <c r="AGM388" s="90"/>
      <c r="AGN388" s="90"/>
      <c r="AGO388" s="90"/>
      <c r="AGP388" s="90"/>
      <c r="AGQ388" s="90"/>
      <c r="AGR388" s="90"/>
      <c r="AGS388" s="90"/>
      <c r="AGT388" s="90"/>
      <c r="AGU388" s="90"/>
      <c r="AGV388" s="90"/>
      <c r="AGW388" s="90"/>
      <c r="AGX388" s="90"/>
      <c r="AGY388" s="90"/>
      <c r="AGZ388" s="90"/>
      <c r="AHA388" s="90"/>
      <c r="AHB388" s="90"/>
      <c r="AHC388" s="90"/>
      <c r="AHD388" s="90"/>
      <c r="AHE388" s="90"/>
      <c r="AHF388" s="90"/>
      <c r="AHG388" s="90"/>
      <c r="AHH388" s="90"/>
      <c r="AHI388" s="90"/>
      <c r="AHJ388" s="90"/>
      <c r="AHK388" s="90"/>
      <c r="AHL388" s="90"/>
      <c r="AHM388" s="90"/>
      <c r="AHN388" s="90"/>
      <c r="AHO388" s="90"/>
      <c r="AHP388" s="90"/>
      <c r="AHQ388" s="90"/>
      <c r="AHR388" s="90"/>
      <c r="AHS388" s="90"/>
      <c r="AHT388" s="90"/>
      <c r="AHU388" s="90"/>
      <c r="AHV388" s="90"/>
      <c r="AHW388" s="90"/>
      <c r="AHX388" s="90"/>
      <c r="AHY388" s="90"/>
      <c r="AHZ388" s="90"/>
      <c r="AIA388" s="90"/>
      <c r="AIB388" s="90"/>
      <c r="AIC388" s="90"/>
      <c r="AID388" s="90"/>
      <c r="AIE388" s="90"/>
      <c r="AIF388" s="90"/>
      <c r="AIG388" s="90"/>
      <c r="AIH388" s="90"/>
      <c r="AII388" s="90"/>
      <c r="AIJ388" s="90"/>
      <c r="AIK388" s="90"/>
      <c r="AIL388" s="90"/>
      <c r="AIM388" s="90"/>
      <c r="AIN388" s="90"/>
      <c r="AIO388" s="90"/>
      <c r="AIP388" s="90"/>
      <c r="AIQ388" s="90"/>
      <c r="AIR388" s="90"/>
      <c r="AIS388" s="90"/>
      <c r="AIT388" s="90"/>
      <c r="AIU388" s="90"/>
      <c r="AIV388" s="90"/>
      <c r="AIW388" s="90"/>
      <c r="AIX388" s="90"/>
      <c r="AIY388" s="90"/>
      <c r="AIZ388" s="90"/>
      <c r="AJA388" s="90"/>
      <c r="AJB388" s="90"/>
      <c r="AJC388" s="90"/>
      <c r="AJD388" s="90"/>
      <c r="AJE388" s="90"/>
      <c r="AJF388" s="90"/>
      <c r="AJG388" s="90"/>
      <c r="AJH388" s="90"/>
      <c r="AJI388" s="90"/>
      <c r="AJJ388" s="90"/>
      <c r="AJK388" s="90"/>
      <c r="AJL388" s="90"/>
      <c r="AJM388" s="90"/>
      <c r="AJN388" s="90"/>
      <c r="AJO388" s="90"/>
      <c r="AJP388" s="90"/>
      <c r="AJQ388" s="90"/>
      <c r="AJR388" s="90"/>
      <c r="AJS388" s="90"/>
      <c r="AJT388" s="90"/>
      <c r="AJU388" s="90"/>
      <c r="AJV388" s="90"/>
      <c r="AJW388" s="90"/>
      <c r="AJX388" s="90"/>
      <c r="AJY388" s="90"/>
      <c r="AJZ388" s="90"/>
      <c r="AKA388" s="90"/>
      <c r="AKB388" s="90"/>
      <c r="AKC388" s="90"/>
      <c r="AKD388" s="90"/>
      <c r="AKE388" s="90"/>
      <c r="AKF388" s="90"/>
      <c r="AKG388" s="90"/>
      <c r="AKH388" s="90"/>
      <c r="AKI388" s="90"/>
      <c r="AKJ388" s="90"/>
      <c r="AKK388" s="90"/>
      <c r="AKL388" s="90"/>
      <c r="AKM388" s="90"/>
      <c r="AKN388" s="90"/>
      <c r="AKO388" s="90"/>
      <c r="AKP388" s="90"/>
      <c r="AKQ388" s="90"/>
      <c r="AKR388" s="90"/>
      <c r="AKS388" s="90"/>
      <c r="AKT388" s="90"/>
      <c r="AKU388" s="90"/>
      <c r="AKV388" s="90"/>
      <c r="AKW388" s="90"/>
      <c r="AKX388" s="90"/>
      <c r="AKY388" s="90"/>
      <c r="AKZ388" s="90"/>
      <c r="ALA388" s="90"/>
      <c r="ALB388" s="90"/>
      <c r="ALC388" s="90"/>
      <c r="ALD388" s="90"/>
      <c r="ALE388" s="90"/>
      <c r="ALF388" s="90"/>
      <c r="ALG388" s="90"/>
      <c r="ALH388" s="90"/>
      <c r="ALI388" s="90"/>
      <c r="ALJ388" s="90"/>
      <c r="ALK388" s="90"/>
      <c r="ALL388" s="90"/>
      <c r="ALM388" s="90"/>
      <c r="ALN388" s="90"/>
      <c r="ALO388" s="90"/>
      <c r="ALP388" s="90"/>
      <c r="ALQ388" s="90"/>
      <c r="ALR388" s="90"/>
      <c r="ALS388" s="90"/>
      <c r="ALT388" s="90"/>
      <c r="ALU388" s="90"/>
      <c r="ALV388" s="90"/>
      <c r="ALW388" s="90"/>
      <c r="ALX388" s="90"/>
      <c r="ALY388" s="90"/>
      <c r="ALZ388" s="90"/>
      <c r="AMA388" s="90"/>
      <c r="AMB388" s="90"/>
      <c r="AMC388" s="90"/>
    </row>
    <row r="389" spans="1:1017">
      <c r="A389" s="98" t="s">
        <v>54</v>
      </c>
      <c r="B389" s="90" t="str">
        <f t="shared" si="2065"/>
        <v>Ikan_02 (Tiram)</v>
      </c>
      <c r="Q389" s="91">
        <f t="shared" si="1967"/>
        <v>0</v>
      </c>
      <c r="R389" s="91">
        <f t="shared" si="1968"/>
        <v>0</v>
      </c>
      <c r="S389" s="98">
        <v>1400</v>
      </c>
      <c r="T389" s="98">
        <v>14000</v>
      </c>
      <c r="AG389" s="91">
        <f t="shared" si="1969"/>
        <v>1400</v>
      </c>
      <c r="AH389" s="91">
        <f t="shared" si="1970"/>
        <v>14000</v>
      </c>
      <c r="AW389" s="91">
        <f t="shared" si="1971"/>
        <v>0</v>
      </c>
      <c r="AX389" s="91">
        <f t="shared" si="1972"/>
        <v>0</v>
      </c>
      <c r="BM389" s="91">
        <f t="shared" si="1973"/>
        <v>0</v>
      </c>
      <c r="BN389" s="91">
        <f t="shared" si="1974"/>
        <v>0</v>
      </c>
      <c r="CC389" s="91">
        <f t="shared" si="1975"/>
        <v>0</v>
      </c>
      <c r="CD389" s="91">
        <f t="shared" si="1976"/>
        <v>0</v>
      </c>
      <c r="CS389" s="91">
        <f t="shared" si="1977"/>
        <v>0</v>
      </c>
      <c r="CT389" s="91">
        <f t="shared" si="1978"/>
        <v>0</v>
      </c>
      <c r="DI389" s="91">
        <f t="shared" si="1979"/>
        <v>0</v>
      </c>
      <c r="DJ389" s="91">
        <f t="shared" si="1980"/>
        <v>0</v>
      </c>
      <c r="DY389" s="91">
        <f t="shared" si="1981"/>
        <v>0</v>
      </c>
      <c r="DZ389" s="91">
        <f t="shared" si="1982"/>
        <v>0</v>
      </c>
      <c r="EO389" s="91">
        <f t="shared" si="1983"/>
        <v>0</v>
      </c>
      <c r="EP389" s="91">
        <f t="shared" si="1984"/>
        <v>0</v>
      </c>
      <c r="FE389" s="91">
        <f t="shared" si="1985"/>
        <v>0</v>
      </c>
      <c r="FF389" s="91">
        <f t="shared" si="1986"/>
        <v>0</v>
      </c>
      <c r="FU389" s="91">
        <f t="shared" si="1987"/>
        <v>0</v>
      </c>
      <c r="FV389" s="91">
        <f t="shared" si="1988"/>
        <v>0</v>
      </c>
      <c r="GK389" s="91">
        <f t="shared" si="1989"/>
        <v>0</v>
      </c>
      <c r="GL389" s="91">
        <f t="shared" si="1990"/>
        <v>0</v>
      </c>
      <c r="HA389" s="91">
        <f t="shared" si="1991"/>
        <v>0</v>
      </c>
      <c r="HB389" s="91">
        <f t="shared" si="1992"/>
        <v>0</v>
      </c>
      <c r="HQ389" s="91">
        <f t="shared" si="1993"/>
        <v>0</v>
      </c>
      <c r="HR389" s="91">
        <f t="shared" si="1994"/>
        <v>0</v>
      </c>
      <c r="IG389" s="91">
        <f t="shared" si="1995"/>
        <v>0</v>
      </c>
      <c r="IH389" s="91">
        <f t="shared" si="1996"/>
        <v>0</v>
      </c>
      <c r="IW389" s="91">
        <f t="shared" si="1997"/>
        <v>0</v>
      </c>
      <c r="IX389" s="91">
        <f t="shared" si="1998"/>
        <v>0</v>
      </c>
      <c r="JM389" s="91">
        <f t="shared" si="1999"/>
        <v>0</v>
      </c>
      <c r="JN389" s="91">
        <f t="shared" si="2000"/>
        <v>0</v>
      </c>
      <c r="KC389" s="91">
        <f t="shared" si="2001"/>
        <v>0</v>
      </c>
      <c r="KD389" s="91">
        <f t="shared" si="2002"/>
        <v>0</v>
      </c>
      <c r="KS389" s="91">
        <f t="shared" si="2003"/>
        <v>0</v>
      </c>
      <c r="KT389" s="91">
        <f t="shared" si="2004"/>
        <v>0</v>
      </c>
      <c r="LI389" s="91">
        <f t="shared" si="2005"/>
        <v>0</v>
      </c>
      <c r="LJ389" s="91">
        <f t="shared" si="2006"/>
        <v>0</v>
      </c>
      <c r="LY389" s="91">
        <f t="shared" si="2007"/>
        <v>0</v>
      </c>
      <c r="LZ389" s="91">
        <f t="shared" si="2008"/>
        <v>0</v>
      </c>
      <c r="MO389" s="91">
        <f t="shared" si="2009"/>
        <v>0</v>
      </c>
      <c r="MP389" s="91">
        <f t="shared" si="2010"/>
        <v>0</v>
      </c>
      <c r="NE389" s="91">
        <f t="shared" si="2011"/>
        <v>0</v>
      </c>
      <c r="NF389" s="91">
        <f t="shared" si="2012"/>
        <v>0</v>
      </c>
      <c r="NU389" s="91">
        <f t="shared" si="2013"/>
        <v>0</v>
      </c>
      <c r="NV389" s="91">
        <f t="shared" si="2014"/>
        <v>0</v>
      </c>
      <c r="OK389" s="91">
        <f t="shared" si="2015"/>
        <v>0</v>
      </c>
      <c r="OL389" s="91">
        <f t="shared" si="2016"/>
        <v>0</v>
      </c>
      <c r="PA389" s="91">
        <f t="shared" si="2017"/>
        <v>0</v>
      </c>
      <c r="PB389" s="91">
        <f t="shared" si="2018"/>
        <v>0</v>
      </c>
      <c r="PQ389" s="91">
        <f t="shared" si="2019"/>
        <v>0</v>
      </c>
      <c r="PR389" s="91">
        <f t="shared" si="2020"/>
        <v>0</v>
      </c>
      <c r="QG389" s="91">
        <f t="shared" si="2021"/>
        <v>0</v>
      </c>
      <c r="QH389" s="91">
        <f t="shared" si="2022"/>
        <v>0</v>
      </c>
      <c r="QW389" s="91">
        <f t="shared" si="2023"/>
        <v>0</v>
      </c>
      <c r="QX389" s="91">
        <f t="shared" si="2024"/>
        <v>0</v>
      </c>
      <c r="RM389" s="91">
        <f t="shared" si="2025"/>
        <v>0</v>
      </c>
      <c r="RN389" s="91">
        <f t="shared" si="2026"/>
        <v>0</v>
      </c>
      <c r="SC389" s="91">
        <f t="shared" si="2027"/>
        <v>0</v>
      </c>
      <c r="SD389" s="91">
        <f t="shared" si="2028"/>
        <v>0</v>
      </c>
      <c r="SS389" s="91">
        <f t="shared" si="2029"/>
        <v>0</v>
      </c>
      <c r="ST389" s="91">
        <f t="shared" si="2030"/>
        <v>0</v>
      </c>
      <c r="TI389" s="91">
        <f t="shared" si="2031"/>
        <v>0</v>
      </c>
      <c r="TJ389" s="91">
        <f t="shared" si="2032"/>
        <v>0</v>
      </c>
      <c r="TY389" s="91">
        <f t="shared" si="2033"/>
        <v>0</v>
      </c>
      <c r="TZ389" s="91">
        <f t="shared" si="2034"/>
        <v>0</v>
      </c>
      <c r="UO389" s="91">
        <f t="shared" si="2035"/>
        <v>0</v>
      </c>
      <c r="UP389" s="91">
        <f t="shared" si="2036"/>
        <v>0</v>
      </c>
      <c r="VE389" s="91">
        <f t="shared" si="2037"/>
        <v>0</v>
      </c>
      <c r="VF389" s="91">
        <f t="shared" si="2038"/>
        <v>0</v>
      </c>
      <c r="VU389" s="91">
        <f t="shared" si="2039"/>
        <v>0</v>
      </c>
      <c r="VV389" s="91">
        <f t="shared" si="2040"/>
        <v>0</v>
      </c>
      <c r="WK389" s="91">
        <f t="shared" si="2041"/>
        <v>0</v>
      </c>
      <c r="WL389" s="91">
        <f t="shared" si="2042"/>
        <v>0</v>
      </c>
      <c r="WM389" s="89"/>
      <c r="WN389" s="87">
        <f t="shared" si="2066"/>
        <v>1400</v>
      </c>
      <c r="WO389" s="87">
        <f t="shared" si="2067"/>
        <v>14000</v>
      </c>
      <c r="WP389" s="87">
        <f t="shared" si="2068"/>
        <v>0</v>
      </c>
      <c r="WQ389" s="87">
        <f t="shared" si="2069"/>
        <v>0</v>
      </c>
      <c r="WR389" s="87">
        <f t="shared" si="2070"/>
        <v>0</v>
      </c>
      <c r="WS389" s="87">
        <f t="shared" si="2071"/>
        <v>0</v>
      </c>
      <c r="WT389" s="87">
        <f t="shared" si="2072"/>
        <v>0</v>
      </c>
      <c r="WU389" s="87">
        <f t="shared" si="2073"/>
        <v>0</v>
      </c>
      <c r="WV389" s="87">
        <f t="shared" si="2074"/>
        <v>0</v>
      </c>
      <c r="WW389" s="87">
        <f t="shared" si="2075"/>
        <v>0</v>
      </c>
      <c r="WX389" s="87">
        <f t="shared" si="2076"/>
        <v>0</v>
      </c>
      <c r="WY389" s="87">
        <f t="shared" si="2077"/>
        <v>0</v>
      </c>
      <c r="WZ389" s="87">
        <f t="shared" si="2061"/>
        <v>0</v>
      </c>
      <c r="XA389" s="87">
        <f t="shared" si="2062"/>
        <v>0</v>
      </c>
      <c r="XB389" s="92">
        <f t="shared" si="2063"/>
        <v>1400</v>
      </c>
      <c r="XC389" s="92">
        <f t="shared" si="2064"/>
        <v>14000</v>
      </c>
      <c r="XD389" s="89"/>
      <c r="XE389" s="92"/>
      <c r="XF389" s="92"/>
      <c r="XG389" s="89"/>
      <c r="XH389" s="92"/>
      <c r="XI389" s="92"/>
      <c r="XJ389" s="89"/>
      <c r="XK389" s="87"/>
      <c r="XL389" s="87"/>
      <c r="XM389" s="87"/>
      <c r="XN389" s="87"/>
      <c r="XO389" s="87"/>
      <c r="XP389" s="87"/>
      <c r="XQ389" s="87"/>
      <c r="XR389" s="92">
        <f t="shared" ca="1" si="2059"/>
        <v>0</v>
      </c>
      <c r="XS389" s="89"/>
      <c r="XT389" s="87"/>
      <c r="XU389" s="87"/>
      <c r="XV389" s="87"/>
      <c r="XW389" s="87"/>
      <c r="XX389" s="87"/>
      <c r="XY389" s="87"/>
      <c r="XZ389" s="87"/>
      <c r="YA389" s="92">
        <f t="shared" ca="1" si="2060"/>
        <v>0</v>
      </c>
      <c r="YB389" s="90"/>
      <c r="YC389" s="90"/>
      <c r="YD389" s="90"/>
      <c r="YE389" s="90"/>
      <c r="YF389" s="90"/>
      <c r="YG389" s="90"/>
      <c r="YH389" s="90"/>
      <c r="YI389" s="90"/>
      <c r="YJ389" s="90"/>
      <c r="YK389" s="90"/>
      <c r="YL389" s="90"/>
      <c r="YM389" s="90"/>
      <c r="YN389" s="90"/>
      <c r="YO389" s="90"/>
      <c r="YP389" s="90"/>
      <c r="YQ389" s="90"/>
      <c r="YR389" s="90"/>
      <c r="YS389" s="90"/>
      <c r="YT389" s="90"/>
      <c r="YU389" s="90"/>
      <c r="YV389" s="90"/>
      <c r="YW389" s="90"/>
      <c r="YX389" s="90"/>
      <c r="YY389" s="90"/>
      <c r="YZ389" s="90"/>
      <c r="ZA389" s="90"/>
      <c r="ZB389" s="90"/>
      <c r="ZC389" s="90"/>
      <c r="ZD389" s="90"/>
      <c r="ZE389" s="90"/>
      <c r="ZF389" s="90"/>
      <c r="ZG389" s="90"/>
      <c r="ZH389" s="90"/>
      <c r="ZI389" s="90"/>
      <c r="ZJ389" s="90"/>
      <c r="ZK389" s="90"/>
      <c r="ZL389" s="90"/>
      <c r="ZM389" s="90"/>
      <c r="ZN389" s="90"/>
      <c r="ZO389" s="90"/>
      <c r="ZP389" s="90"/>
      <c r="ZQ389" s="90"/>
      <c r="ZR389" s="90"/>
      <c r="ZS389" s="90"/>
      <c r="ZT389" s="90"/>
      <c r="ZU389" s="90"/>
      <c r="ZV389" s="90"/>
      <c r="ZW389" s="90"/>
      <c r="ZX389" s="90"/>
      <c r="ZY389" s="90"/>
      <c r="ZZ389" s="90"/>
      <c r="AAA389" s="90"/>
      <c r="AAB389" s="90"/>
      <c r="AAC389" s="90"/>
      <c r="AAD389" s="90"/>
      <c r="AAE389" s="90"/>
      <c r="AAF389" s="90"/>
      <c r="AAG389" s="90"/>
      <c r="AAH389" s="90"/>
      <c r="AAI389" s="90"/>
      <c r="AAJ389" s="90"/>
      <c r="AAK389" s="90"/>
      <c r="AAL389" s="90"/>
      <c r="AAM389" s="90"/>
      <c r="AAN389" s="90"/>
      <c r="AAO389" s="90"/>
      <c r="AAP389" s="90"/>
      <c r="AAQ389" s="90"/>
      <c r="AAR389" s="90"/>
      <c r="AAS389" s="90"/>
      <c r="AAT389" s="90"/>
      <c r="AAU389" s="90"/>
      <c r="AAV389" s="90"/>
      <c r="AAW389" s="90"/>
      <c r="AAX389" s="90"/>
      <c r="AAY389" s="90"/>
      <c r="AAZ389" s="90"/>
      <c r="ABA389" s="90"/>
      <c r="ABB389" s="90"/>
      <c r="ABC389" s="90"/>
      <c r="ABD389" s="90"/>
      <c r="ABE389" s="90"/>
      <c r="ABF389" s="90"/>
      <c r="ABG389" s="90"/>
      <c r="ABH389" s="90"/>
      <c r="ABI389" s="90"/>
      <c r="ABJ389" s="90"/>
      <c r="ABK389" s="90"/>
      <c r="ABL389" s="90"/>
      <c r="ABM389" s="90"/>
      <c r="ABN389" s="90"/>
      <c r="ABO389" s="90"/>
      <c r="ABP389" s="90"/>
      <c r="ABQ389" s="90"/>
      <c r="ABR389" s="90"/>
      <c r="ABS389" s="90"/>
      <c r="ABT389" s="90"/>
      <c r="ABU389" s="90"/>
      <c r="ABV389" s="90"/>
      <c r="ABW389" s="90"/>
      <c r="ABX389" s="90"/>
      <c r="ABY389" s="90"/>
      <c r="ABZ389" s="90"/>
      <c r="ACA389" s="90"/>
      <c r="ACB389" s="90"/>
      <c r="ACC389" s="90"/>
      <c r="ACD389" s="90"/>
      <c r="ACE389" s="90"/>
      <c r="ACF389" s="90"/>
      <c r="ACG389" s="90"/>
      <c r="ACH389" s="90"/>
      <c r="ACI389" s="90"/>
      <c r="ACJ389" s="90"/>
      <c r="ACK389" s="90"/>
      <c r="ACL389" s="90"/>
      <c r="ACM389" s="90"/>
      <c r="ACN389" s="90"/>
      <c r="ACO389" s="90"/>
      <c r="ACP389" s="90"/>
      <c r="ACQ389" s="90"/>
      <c r="ACR389" s="90"/>
      <c r="ACS389" s="90"/>
      <c r="ACT389" s="90"/>
      <c r="ACU389" s="90"/>
      <c r="ACV389" s="90"/>
      <c r="ACW389" s="90"/>
      <c r="ACX389" s="90"/>
      <c r="ACY389" s="90"/>
      <c r="ACZ389" s="90"/>
      <c r="ADA389" s="90"/>
      <c r="ADB389" s="90"/>
      <c r="ADC389" s="90"/>
      <c r="ADD389" s="90"/>
      <c r="ADE389" s="90"/>
      <c r="ADF389" s="90"/>
      <c r="ADG389" s="90"/>
      <c r="ADH389" s="90"/>
      <c r="ADI389" s="90"/>
      <c r="ADJ389" s="90"/>
      <c r="ADK389" s="90"/>
      <c r="ADL389" s="90"/>
      <c r="ADM389" s="90"/>
      <c r="ADN389" s="90"/>
      <c r="ADO389" s="90"/>
      <c r="ADP389" s="90"/>
      <c r="ADQ389" s="90"/>
      <c r="ADR389" s="90"/>
      <c r="ADS389" s="90"/>
      <c r="ADT389" s="90"/>
      <c r="ADU389" s="90"/>
      <c r="ADV389" s="90"/>
      <c r="ADW389" s="90"/>
      <c r="ADX389" s="90"/>
      <c r="ADY389" s="90"/>
      <c r="ADZ389" s="90"/>
      <c r="AEA389" s="90"/>
      <c r="AEB389" s="90"/>
      <c r="AEC389" s="90"/>
      <c r="AED389" s="90"/>
      <c r="AEE389" s="90"/>
      <c r="AEF389" s="90"/>
      <c r="AEG389" s="90"/>
      <c r="AEH389" s="90"/>
      <c r="AEI389" s="90"/>
      <c r="AEJ389" s="90"/>
      <c r="AEK389" s="90"/>
      <c r="AEL389" s="90"/>
      <c r="AEM389" s="90"/>
      <c r="AEN389" s="90"/>
      <c r="AEO389" s="90"/>
      <c r="AEP389" s="90"/>
      <c r="AEQ389" s="90"/>
      <c r="AER389" s="90"/>
      <c r="AES389" s="90"/>
      <c r="AET389" s="90"/>
      <c r="AEU389" s="90"/>
      <c r="AEV389" s="90"/>
      <c r="AEW389" s="90"/>
      <c r="AEX389" s="90"/>
      <c r="AEY389" s="90"/>
      <c r="AEZ389" s="90"/>
      <c r="AFA389" s="90"/>
      <c r="AFB389" s="90"/>
      <c r="AFC389" s="90"/>
      <c r="AFD389" s="90"/>
      <c r="AFE389" s="90"/>
      <c r="AFF389" s="90"/>
      <c r="AFG389" s="90"/>
      <c r="AFH389" s="90"/>
      <c r="AFI389" s="90"/>
      <c r="AFJ389" s="90"/>
      <c r="AFK389" s="90"/>
      <c r="AFL389" s="90"/>
      <c r="AFM389" s="90"/>
      <c r="AFN389" s="90"/>
      <c r="AFO389" s="90"/>
      <c r="AFP389" s="90"/>
      <c r="AFQ389" s="90"/>
      <c r="AFR389" s="90"/>
      <c r="AFS389" s="90"/>
      <c r="AFT389" s="90"/>
      <c r="AFU389" s="90"/>
      <c r="AFV389" s="90"/>
      <c r="AFW389" s="90"/>
      <c r="AFX389" s="90"/>
      <c r="AFY389" s="90"/>
      <c r="AFZ389" s="90"/>
      <c r="AGA389" s="90"/>
      <c r="AGB389" s="90"/>
      <c r="AGC389" s="90"/>
      <c r="AGD389" s="90"/>
      <c r="AGE389" s="90"/>
      <c r="AGF389" s="90"/>
      <c r="AGG389" s="90"/>
      <c r="AGH389" s="90"/>
      <c r="AGI389" s="90"/>
      <c r="AGJ389" s="90"/>
      <c r="AGK389" s="90"/>
      <c r="AGL389" s="90"/>
      <c r="AGM389" s="90"/>
      <c r="AGN389" s="90"/>
      <c r="AGO389" s="90"/>
      <c r="AGP389" s="90"/>
      <c r="AGQ389" s="90"/>
      <c r="AGR389" s="90"/>
      <c r="AGS389" s="90"/>
      <c r="AGT389" s="90"/>
      <c r="AGU389" s="90"/>
      <c r="AGV389" s="90"/>
      <c r="AGW389" s="90"/>
      <c r="AGX389" s="90"/>
      <c r="AGY389" s="90"/>
      <c r="AGZ389" s="90"/>
      <c r="AHA389" s="90"/>
      <c r="AHB389" s="90"/>
      <c r="AHC389" s="90"/>
      <c r="AHD389" s="90"/>
      <c r="AHE389" s="90"/>
      <c r="AHF389" s="90"/>
      <c r="AHG389" s="90"/>
      <c r="AHH389" s="90"/>
      <c r="AHI389" s="90"/>
      <c r="AHJ389" s="90"/>
      <c r="AHK389" s="90"/>
      <c r="AHL389" s="90"/>
      <c r="AHM389" s="90"/>
      <c r="AHN389" s="90"/>
      <c r="AHO389" s="90"/>
      <c r="AHP389" s="90"/>
      <c r="AHQ389" s="90"/>
      <c r="AHR389" s="90"/>
      <c r="AHS389" s="90"/>
      <c r="AHT389" s="90"/>
      <c r="AHU389" s="90"/>
      <c r="AHV389" s="90"/>
      <c r="AHW389" s="90"/>
      <c r="AHX389" s="90"/>
      <c r="AHY389" s="90"/>
      <c r="AHZ389" s="90"/>
      <c r="AIA389" s="90"/>
      <c r="AIB389" s="90"/>
      <c r="AIC389" s="90"/>
      <c r="AID389" s="90"/>
      <c r="AIE389" s="90"/>
      <c r="AIF389" s="90"/>
      <c r="AIG389" s="90"/>
      <c r="AIH389" s="90"/>
      <c r="AII389" s="90"/>
      <c r="AIJ389" s="90"/>
      <c r="AIK389" s="90"/>
      <c r="AIL389" s="90"/>
      <c r="AIM389" s="90"/>
      <c r="AIN389" s="90"/>
      <c r="AIO389" s="90"/>
      <c r="AIP389" s="90"/>
      <c r="AIQ389" s="90"/>
      <c r="AIR389" s="90"/>
      <c r="AIS389" s="90"/>
      <c r="AIT389" s="90"/>
      <c r="AIU389" s="90"/>
      <c r="AIV389" s="90"/>
      <c r="AIW389" s="90"/>
      <c r="AIX389" s="90"/>
      <c r="AIY389" s="90"/>
      <c r="AIZ389" s="90"/>
      <c r="AJA389" s="90"/>
      <c r="AJB389" s="90"/>
      <c r="AJC389" s="90"/>
      <c r="AJD389" s="90"/>
      <c r="AJE389" s="90"/>
      <c r="AJF389" s="90"/>
      <c r="AJG389" s="90"/>
      <c r="AJH389" s="90"/>
      <c r="AJI389" s="90"/>
      <c r="AJJ389" s="90"/>
      <c r="AJK389" s="90"/>
      <c r="AJL389" s="90"/>
      <c r="AJM389" s="90"/>
      <c r="AJN389" s="90"/>
      <c r="AJO389" s="90"/>
      <c r="AJP389" s="90"/>
      <c r="AJQ389" s="90"/>
      <c r="AJR389" s="90"/>
      <c r="AJS389" s="90"/>
      <c r="AJT389" s="90"/>
      <c r="AJU389" s="90"/>
      <c r="AJV389" s="90"/>
      <c r="AJW389" s="90"/>
      <c r="AJX389" s="90"/>
      <c r="AJY389" s="90"/>
      <c r="AJZ389" s="90"/>
      <c r="AKA389" s="90"/>
      <c r="AKB389" s="90"/>
      <c r="AKC389" s="90"/>
      <c r="AKD389" s="90"/>
      <c r="AKE389" s="90"/>
      <c r="AKF389" s="90"/>
      <c r="AKG389" s="90"/>
      <c r="AKH389" s="90"/>
      <c r="AKI389" s="90"/>
      <c r="AKJ389" s="90"/>
      <c r="AKK389" s="90"/>
      <c r="AKL389" s="90"/>
      <c r="AKM389" s="90"/>
      <c r="AKN389" s="90"/>
      <c r="AKO389" s="90"/>
      <c r="AKP389" s="90"/>
      <c r="AKQ389" s="90"/>
      <c r="AKR389" s="90"/>
      <c r="AKS389" s="90"/>
      <c r="AKT389" s="90"/>
      <c r="AKU389" s="90"/>
      <c r="AKV389" s="90"/>
      <c r="AKW389" s="90"/>
      <c r="AKX389" s="90"/>
      <c r="AKY389" s="90"/>
      <c r="AKZ389" s="90"/>
      <c r="ALA389" s="90"/>
      <c r="ALB389" s="90"/>
      <c r="ALC389" s="90"/>
      <c r="ALD389" s="90"/>
      <c r="ALE389" s="90"/>
      <c r="ALF389" s="90"/>
      <c r="ALG389" s="90"/>
      <c r="ALH389" s="90"/>
      <c r="ALI389" s="90"/>
      <c r="ALJ389" s="90"/>
      <c r="ALK389" s="90"/>
      <c r="ALL389" s="90"/>
      <c r="ALM389" s="90"/>
      <c r="ALN389" s="90"/>
      <c r="ALO389" s="90"/>
      <c r="ALP389" s="90"/>
      <c r="ALQ389" s="90"/>
      <c r="ALR389" s="90"/>
      <c r="ALS389" s="90"/>
      <c r="ALT389" s="90"/>
      <c r="ALU389" s="90"/>
      <c r="ALV389" s="90"/>
      <c r="ALW389" s="90"/>
      <c r="ALX389" s="90"/>
      <c r="ALY389" s="90"/>
      <c r="ALZ389" s="90"/>
      <c r="AMA389" s="90"/>
      <c r="AMB389" s="90"/>
      <c r="AMC389" s="90"/>
    </row>
    <row r="390" spans="1:1017">
      <c r="A390" s="98" t="s">
        <v>54</v>
      </c>
      <c r="B390" s="90" t="str">
        <f t="shared" si="2065"/>
        <v>Ikan_03 (Kerang Darah)</v>
      </c>
      <c r="Q390" s="91">
        <f t="shared" si="1967"/>
        <v>0</v>
      </c>
      <c r="R390" s="91">
        <f t="shared" si="1968"/>
        <v>0</v>
      </c>
      <c r="AG390" s="91">
        <f t="shared" si="1969"/>
        <v>0</v>
      </c>
      <c r="AH390" s="91">
        <f t="shared" si="1970"/>
        <v>0</v>
      </c>
      <c r="AW390" s="91">
        <f t="shared" si="1971"/>
        <v>0</v>
      </c>
      <c r="AX390" s="91">
        <f t="shared" si="1972"/>
        <v>0</v>
      </c>
      <c r="BM390" s="91">
        <f t="shared" si="1973"/>
        <v>0</v>
      </c>
      <c r="BN390" s="91">
        <f t="shared" si="1974"/>
        <v>0</v>
      </c>
      <c r="CC390" s="91">
        <f t="shared" si="1975"/>
        <v>0</v>
      </c>
      <c r="CD390" s="91">
        <f t="shared" si="1976"/>
        <v>0</v>
      </c>
      <c r="CS390" s="91">
        <f t="shared" si="1977"/>
        <v>0</v>
      </c>
      <c r="CT390" s="91">
        <f t="shared" si="1978"/>
        <v>0</v>
      </c>
      <c r="DI390" s="91">
        <f t="shared" si="1979"/>
        <v>0</v>
      </c>
      <c r="DJ390" s="91">
        <f t="shared" si="1980"/>
        <v>0</v>
      </c>
      <c r="DY390" s="91">
        <f t="shared" si="1981"/>
        <v>0</v>
      </c>
      <c r="DZ390" s="91">
        <f t="shared" si="1982"/>
        <v>0</v>
      </c>
      <c r="EO390" s="91">
        <f t="shared" si="1983"/>
        <v>0</v>
      </c>
      <c r="EP390" s="91">
        <f t="shared" si="1984"/>
        <v>0</v>
      </c>
      <c r="FE390" s="91">
        <f t="shared" si="1985"/>
        <v>0</v>
      </c>
      <c r="FF390" s="91">
        <f t="shared" si="1986"/>
        <v>0</v>
      </c>
      <c r="FU390" s="91">
        <f t="shared" si="1987"/>
        <v>0</v>
      </c>
      <c r="FV390" s="91">
        <f t="shared" si="1988"/>
        <v>0</v>
      </c>
      <c r="GK390" s="91">
        <f t="shared" si="1989"/>
        <v>0</v>
      </c>
      <c r="GL390" s="91">
        <f t="shared" si="1990"/>
        <v>0</v>
      </c>
      <c r="HA390" s="91">
        <f t="shared" si="1991"/>
        <v>0</v>
      </c>
      <c r="HB390" s="91">
        <f t="shared" si="1992"/>
        <v>0</v>
      </c>
      <c r="HQ390" s="91">
        <f t="shared" si="1993"/>
        <v>0</v>
      </c>
      <c r="HR390" s="91">
        <f t="shared" si="1994"/>
        <v>0</v>
      </c>
      <c r="IG390" s="91">
        <f t="shared" si="1995"/>
        <v>0</v>
      </c>
      <c r="IH390" s="91">
        <f t="shared" si="1996"/>
        <v>0</v>
      </c>
      <c r="IW390" s="91">
        <f t="shared" si="1997"/>
        <v>0</v>
      </c>
      <c r="IX390" s="91">
        <f t="shared" si="1998"/>
        <v>0</v>
      </c>
      <c r="JM390" s="91">
        <f t="shared" si="1999"/>
        <v>0</v>
      </c>
      <c r="JN390" s="91">
        <f t="shared" si="2000"/>
        <v>0</v>
      </c>
      <c r="KC390" s="91">
        <f t="shared" si="2001"/>
        <v>0</v>
      </c>
      <c r="KD390" s="91">
        <f t="shared" si="2002"/>
        <v>0</v>
      </c>
      <c r="KS390" s="91">
        <f t="shared" si="2003"/>
        <v>0</v>
      </c>
      <c r="KT390" s="91">
        <f t="shared" si="2004"/>
        <v>0</v>
      </c>
      <c r="LI390" s="91">
        <f t="shared" si="2005"/>
        <v>0</v>
      </c>
      <c r="LJ390" s="91">
        <f t="shared" si="2006"/>
        <v>0</v>
      </c>
      <c r="LY390" s="91">
        <f t="shared" si="2007"/>
        <v>0</v>
      </c>
      <c r="LZ390" s="91">
        <f t="shared" si="2008"/>
        <v>0</v>
      </c>
      <c r="MO390" s="91">
        <f t="shared" si="2009"/>
        <v>0</v>
      </c>
      <c r="MP390" s="91">
        <f t="shared" si="2010"/>
        <v>0</v>
      </c>
      <c r="NE390" s="91">
        <f t="shared" si="2011"/>
        <v>0</v>
      </c>
      <c r="NF390" s="91">
        <f t="shared" si="2012"/>
        <v>0</v>
      </c>
      <c r="NU390" s="91">
        <f t="shared" si="2013"/>
        <v>0</v>
      </c>
      <c r="NV390" s="91">
        <f t="shared" si="2014"/>
        <v>0</v>
      </c>
      <c r="OK390" s="91">
        <f t="shared" si="2015"/>
        <v>0</v>
      </c>
      <c r="OL390" s="91">
        <f t="shared" si="2016"/>
        <v>0</v>
      </c>
      <c r="PA390" s="91">
        <f t="shared" si="2017"/>
        <v>0</v>
      </c>
      <c r="PB390" s="91">
        <f t="shared" si="2018"/>
        <v>0</v>
      </c>
      <c r="PQ390" s="91">
        <f t="shared" si="2019"/>
        <v>0</v>
      </c>
      <c r="PR390" s="91">
        <f t="shared" si="2020"/>
        <v>0</v>
      </c>
      <c r="QG390" s="91">
        <f t="shared" si="2021"/>
        <v>0</v>
      </c>
      <c r="QH390" s="91">
        <f t="shared" si="2022"/>
        <v>0</v>
      </c>
      <c r="QW390" s="91">
        <f t="shared" si="2023"/>
        <v>0</v>
      </c>
      <c r="QX390" s="91">
        <f t="shared" si="2024"/>
        <v>0</v>
      </c>
      <c r="RM390" s="91">
        <f t="shared" si="2025"/>
        <v>0</v>
      </c>
      <c r="RN390" s="91">
        <f t="shared" si="2026"/>
        <v>0</v>
      </c>
      <c r="SC390" s="91">
        <f t="shared" si="2027"/>
        <v>0</v>
      </c>
      <c r="SD390" s="91">
        <f t="shared" si="2028"/>
        <v>0</v>
      </c>
      <c r="SS390" s="91">
        <f t="shared" si="2029"/>
        <v>0</v>
      </c>
      <c r="ST390" s="91">
        <f t="shared" si="2030"/>
        <v>0</v>
      </c>
      <c r="TI390" s="91">
        <f t="shared" si="2031"/>
        <v>0</v>
      </c>
      <c r="TJ390" s="91">
        <f t="shared" si="2032"/>
        <v>0</v>
      </c>
      <c r="TY390" s="91">
        <f t="shared" si="2033"/>
        <v>0</v>
      </c>
      <c r="TZ390" s="91">
        <f t="shared" si="2034"/>
        <v>0</v>
      </c>
      <c r="UO390" s="91">
        <f t="shared" si="2035"/>
        <v>0</v>
      </c>
      <c r="UP390" s="91">
        <f t="shared" si="2036"/>
        <v>0</v>
      </c>
      <c r="VE390" s="91">
        <f t="shared" si="2037"/>
        <v>0</v>
      </c>
      <c r="VF390" s="91">
        <f t="shared" si="2038"/>
        <v>0</v>
      </c>
      <c r="VU390" s="91">
        <f t="shared" si="2039"/>
        <v>0</v>
      </c>
      <c r="VV390" s="91">
        <f t="shared" si="2040"/>
        <v>0</v>
      </c>
      <c r="WK390" s="91">
        <f t="shared" si="2041"/>
        <v>0</v>
      </c>
      <c r="WL390" s="91">
        <f t="shared" si="2042"/>
        <v>0</v>
      </c>
      <c r="WM390" s="89"/>
      <c r="WN390" s="87">
        <f t="shared" si="2066"/>
        <v>0</v>
      </c>
      <c r="WO390" s="87">
        <f t="shared" si="2067"/>
        <v>0</v>
      </c>
      <c r="WP390" s="87">
        <f t="shared" si="2068"/>
        <v>0</v>
      </c>
      <c r="WQ390" s="87">
        <f t="shared" si="2069"/>
        <v>0</v>
      </c>
      <c r="WR390" s="87">
        <f t="shared" si="2070"/>
        <v>0</v>
      </c>
      <c r="WS390" s="87">
        <f t="shared" si="2071"/>
        <v>0</v>
      </c>
      <c r="WT390" s="87">
        <f t="shared" si="2072"/>
        <v>0</v>
      </c>
      <c r="WU390" s="87">
        <f t="shared" si="2073"/>
        <v>0</v>
      </c>
      <c r="WV390" s="87">
        <f t="shared" si="2074"/>
        <v>0</v>
      </c>
      <c r="WW390" s="87">
        <f t="shared" si="2075"/>
        <v>0</v>
      </c>
      <c r="WX390" s="87">
        <f t="shared" si="2076"/>
        <v>0</v>
      </c>
      <c r="WY390" s="87">
        <f t="shared" si="2077"/>
        <v>0</v>
      </c>
      <c r="WZ390" s="87">
        <f t="shared" si="2061"/>
        <v>0</v>
      </c>
      <c r="XA390" s="87">
        <f t="shared" si="2062"/>
        <v>0</v>
      </c>
      <c r="XB390" s="92">
        <f t="shared" si="2063"/>
        <v>0</v>
      </c>
      <c r="XC390" s="92">
        <f t="shared" si="2064"/>
        <v>0</v>
      </c>
      <c r="XD390" s="89"/>
      <c r="XE390" s="92"/>
      <c r="XF390" s="92"/>
      <c r="XG390" s="89"/>
      <c r="XH390" s="92"/>
      <c r="XI390" s="92"/>
      <c r="XJ390" s="89"/>
      <c r="XK390" s="87"/>
      <c r="XL390" s="87"/>
      <c r="XM390" s="87"/>
      <c r="XN390" s="87"/>
      <c r="XO390" s="87"/>
      <c r="XP390" s="87"/>
      <c r="XQ390" s="87"/>
      <c r="XR390" s="92">
        <f t="shared" ca="1" si="2059"/>
        <v>0</v>
      </c>
      <c r="XS390" s="89"/>
      <c r="XT390" s="87"/>
      <c r="XU390" s="87"/>
      <c r="XV390" s="87"/>
      <c r="XW390" s="87"/>
      <c r="XX390" s="87"/>
      <c r="XY390" s="87"/>
      <c r="XZ390" s="87"/>
      <c r="YA390" s="92">
        <f t="shared" ca="1" si="2060"/>
        <v>0</v>
      </c>
      <c r="YB390" s="90"/>
      <c r="YC390" s="90"/>
      <c r="YD390" s="90"/>
      <c r="YE390" s="90"/>
      <c r="YF390" s="90"/>
      <c r="YG390" s="90"/>
      <c r="YH390" s="90"/>
      <c r="YI390" s="90"/>
      <c r="YJ390" s="90"/>
      <c r="YK390" s="90"/>
      <c r="YL390" s="90"/>
      <c r="YM390" s="90"/>
      <c r="YN390" s="90"/>
      <c r="YO390" s="90"/>
      <c r="YP390" s="90"/>
      <c r="YQ390" s="90"/>
      <c r="YR390" s="90"/>
      <c r="YS390" s="90"/>
      <c r="YT390" s="90"/>
      <c r="YU390" s="90"/>
      <c r="YV390" s="90"/>
      <c r="YW390" s="90"/>
      <c r="YX390" s="90"/>
      <c r="YY390" s="90"/>
      <c r="YZ390" s="90"/>
      <c r="ZA390" s="90"/>
      <c r="ZB390" s="90"/>
      <c r="ZC390" s="90"/>
      <c r="ZD390" s="90"/>
      <c r="ZE390" s="90"/>
      <c r="ZF390" s="90"/>
      <c r="ZG390" s="90"/>
      <c r="ZH390" s="90"/>
      <c r="ZI390" s="90"/>
      <c r="ZJ390" s="90"/>
      <c r="ZK390" s="90"/>
      <c r="ZL390" s="90"/>
      <c r="ZM390" s="90"/>
      <c r="ZN390" s="90"/>
      <c r="ZO390" s="90"/>
      <c r="ZP390" s="90"/>
      <c r="ZQ390" s="90"/>
      <c r="ZR390" s="90"/>
      <c r="ZS390" s="90"/>
      <c r="ZT390" s="90"/>
      <c r="ZU390" s="90"/>
      <c r="ZV390" s="90"/>
      <c r="ZW390" s="90"/>
      <c r="ZX390" s="90"/>
      <c r="ZY390" s="90"/>
      <c r="ZZ390" s="90"/>
      <c r="AAA390" s="90"/>
      <c r="AAB390" s="90"/>
      <c r="AAC390" s="90"/>
      <c r="AAD390" s="90"/>
      <c r="AAE390" s="90"/>
      <c r="AAF390" s="90"/>
      <c r="AAG390" s="90"/>
      <c r="AAH390" s="90"/>
      <c r="AAI390" s="90"/>
      <c r="AAJ390" s="90"/>
      <c r="AAK390" s="90"/>
      <c r="AAL390" s="90"/>
      <c r="AAM390" s="90"/>
      <c r="AAN390" s="90"/>
      <c r="AAO390" s="90"/>
      <c r="AAP390" s="90"/>
      <c r="AAQ390" s="90"/>
      <c r="AAR390" s="90"/>
      <c r="AAS390" s="90"/>
      <c r="AAT390" s="90"/>
      <c r="AAU390" s="90"/>
      <c r="AAV390" s="90"/>
      <c r="AAW390" s="90"/>
      <c r="AAX390" s="90"/>
      <c r="AAY390" s="90"/>
      <c r="AAZ390" s="90"/>
      <c r="ABA390" s="90"/>
      <c r="ABB390" s="90"/>
      <c r="ABC390" s="90"/>
      <c r="ABD390" s="90"/>
      <c r="ABE390" s="90"/>
      <c r="ABF390" s="90"/>
      <c r="ABG390" s="90"/>
      <c r="ABH390" s="90"/>
      <c r="ABI390" s="90"/>
      <c r="ABJ390" s="90"/>
      <c r="ABK390" s="90"/>
      <c r="ABL390" s="90"/>
      <c r="ABM390" s="90"/>
      <c r="ABN390" s="90"/>
      <c r="ABO390" s="90"/>
      <c r="ABP390" s="90"/>
      <c r="ABQ390" s="90"/>
      <c r="ABR390" s="90"/>
      <c r="ABS390" s="90"/>
      <c r="ABT390" s="90"/>
      <c r="ABU390" s="90"/>
      <c r="ABV390" s="90"/>
      <c r="ABW390" s="90"/>
      <c r="ABX390" s="90"/>
      <c r="ABY390" s="90"/>
      <c r="ABZ390" s="90"/>
      <c r="ACA390" s="90"/>
      <c r="ACB390" s="90"/>
      <c r="ACC390" s="90"/>
      <c r="ACD390" s="90"/>
      <c r="ACE390" s="90"/>
      <c r="ACF390" s="90"/>
      <c r="ACG390" s="90"/>
      <c r="ACH390" s="90"/>
      <c r="ACI390" s="90"/>
      <c r="ACJ390" s="90"/>
      <c r="ACK390" s="90"/>
      <c r="ACL390" s="90"/>
      <c r="ACM390" s="90"/>
      <c r="ACN390" s="90"/>
      <c r="ACO390" s="90"/>
      <c r="ACP390" s="90"/>
      <c r="ACQ390" s="90"/>
      <c r="ACR390" s="90"/>
      <c r="ACS390" s="90"/>
      <c r="ACT390" s="90"/>
      <c r="ACU390" s="90"/>
      <c r="ACV390" s="90"/>
      <c r="ACW390" s="90"/>
      <c r="ACX390" s="90"/>
      <c r="ACY390" s="90"/>
      <c r="ACZ390" s="90"/>
      <c r="ADA390" s="90"/>
      <c r="ADB390" s="90"/>
      <c r="ADC390" s="90"/>
      <c r="ADD390" s="90"/>
      <c r="ADE390" s="90"/>
      <c r="ADF390" s="90"/>
      <c r="ADG390" s="90"/>
      <c r="ADH390" s="90"/>
      <c r="ADI390" s="90"/>
      <c r="ADJ390" s="90"/>
      <c r="ADK390" s="90"/>
      <c r="ADL390" s="90"/>
      <c r="ADM390" s="90"/>
      <c r="ADN390" s="90"/>
      <c r="ADO390" s="90"/>
      <c r="ADP390" s="90"/>
      <c r="ADQ390" s="90"/>
      <c r="ADR390" s="90"/>
      <c r="ADS390" s="90"/>
      <c r="ADT390" s="90"/>
      <c r="ADU390" s="90"/>
      <c r="ADV390" s="90"/>
      <c r="ADW390" s="90"/>
      <c r="ADX390" s="90"/>
      <c r="ADY390" s="90"/>
      <c r="ADZ390" s="90"/>
      <c r="AEA390" s="90"/>
      <c r="AEB390" s="90"/>
      <c r="AEC390" s="90"/>
      <c r="AED390" s="90"/>
      <c r="AEE390" s="90"/>
      <c r="AEF390" s="90"/>
      <c r="AEG390" s="90"/>
      <c r="AEH390" s="90"/>
      <c r="AEI390" s="90"/>
      <c r="AEJ390" s="90"/>
      <c r="AEK390" s="90"/>
      <c r="AEL390" s="90"/>
      <c r="AEM390" s="90"/>
      <c r="AEN390" s="90"/>
      <c r="AEO390" s="90"/>
      <c r="AEP390" s="90"/>
      <c r="AEQ390" s="90"/>
      <c r="AER390" s="90"/>
      <c r="AES390" s="90"/>
      <c r="AET390" s="90"/>
      <c r="AEU390" s="90"/>
      <c r="AEV390" s="90"/>
      <c r="AEW390" s="90"/>
      <c r="AEX390" s="90"/>
      <c r="AEY390" s="90"/>
      <c r="AEZ390" s="90"/>
      <c r="AFA390" s="90"/>
      <c r="AFB390" s="90"/>
      <c r="AFC390" s="90"/>
      <c r="AFD390" s="90"/>
      <c r="AFE390" s="90"/>
      <c r="AFF390" s="90"/>
      <c r="AFG390" s="90"/>
      <c r="AFH390" s="90"/>
      <c r="AFI390" s="90"/>
      <c r="AFJ390" s="90"/>
      <c r="AFK390" s="90"/>
      <c r="AFL390" s="90"/>
      <c r="AFM390" s="90"/>
      <c r="AFN390" s="90"/>
      <c r="AFO390" s="90"/>
      <c r="AFP390" s="90"/>
      <c r="AFQ390" s="90"/>
      <c r="AFR390" s="90"/>
      <c r="AFS390" s="90"/>
      <c r="AFT390" s="90"/>
      <c r="AFU390" s="90"/>
      <c r="AFV390" s="90"/>
      <c r="AFW390" s="90"/>
      <c r="AFX390" s="90"/>
      <c r="AFY390" s="90"/>
      <c r="AFZ390" s="90"/>
      <c r="AGA390" s="90"/>
      <c r="AGB390" s="90"/>
      <c r="AGC390" s="90"/>
      <c r="AGD390" s="90"/>
      <c r="AGE390" s="90"/>
      <c r="AGF390" s="90"/>
      <c r="AGG390" s="90"/>
      <c r="AGH390" s="90"/>
      <c r="AGI390" s="90"/>
      <c r="AGJ390" s="90"/>
      <c r="AGK390" s="90"/>
      <c r="AGL390" s="90"/>
      <c r="AGM390" s="90"/>
      <c r="AGN390" s="90"/>
      <c r="AGO390" s="90"/>
      <c r="AGP390" s="90"/>
      <c r="AGQ390" s="90"/>
      <c r="AGR390" s="90"/>
      <c r="AGS390" s="90"/>
      <c r="AGT390" s="90"/>
      <c r="AGU390" s="90"/>
      <c r="AGV390" s="90"/>
      <c r="AGW390" s="90"/>
      <c r="AGX390" s="90"/>
      <c r="AGY390" s="90"/>
      <c r="AGZ390" s="90"/>
      <c r="AHA390" s="90"/>
      <c r="AHB390" s="90"/>
      <c r="AHC390" s="90"/>
      <c r="AHD390" s="90"/>
      <c r="AHE390" s="90"/>
      <c r="AHF390" s="90"/>
      <c r="AHG390" s="90"/>
      <c r="AHH390" s="90"/>
      <c r="AHI390" s="90"/>
      <c r="AHJ390" s="90"/>
      <c r="AHK390" s="90"/>
      <c r="AHL390" s="90"/>
      <c r="AHM390" s="90"/>
      <c r="AHN390" s="90"/>
      <c r="AHO390" s="90"/>
      <c r="AHP390" s="90"/>
      <c r="AHQ390" s="90"/>
      <c r="AHR390" s="90"/>
      <c r="AHS390" s="90"/>
      <c r="AHT390" s="90"/>
      <c r="AHU390" s="90"/>
      <c r="AHV390" s="90"/>
      <c r="AHW390" s="90"/>
      <c r="AHX390" s="90"/>
      <c r="AHY390" s="90"/>
      <c r="AHZ390" s="90"/>
      <c r="AIA390" s="90"/>
      <c r="AIB390" s="90"/>
      <c r="AIC390" s="90"/>
      <c r="AID390" s="90"/>
      <c r="AIE390" s="90"/>
      <c r="AIF390" s="90"/>
      <c r="AIG390" s="90"/>
      <c r="AIH390" s="90"/>
      <c r="AII390" s="90"/>
      <c r="AIJ390" s="90"/>
      <c r="AIK390" s="90"/>
      <c r="AIL390" s="90"/>
      <c r="AIM390" s="90"/>
      <c r="AIN390" s="90"/>
      <c r="AIO390" s="90"/>
      <c r="AIP390" s="90"/>
      <c r="AIQ390" s="90"/>
      <c r="AIR390" s="90"/>
      <c r="AIS390" s="90"/>
      <c r="AIT390" s="90"/>
      <c r="AIU390" s="90"/>
      <c r="AIV390" s="90"/>
      <c r="AIW390" s="90"/>
      <c r="AIX390" s="90"/>
      <c r="AIY390" s="90"/>
      <c r="AIZ390" s="90"/>
      <c r="AJA390" s="90"/>
      <c r="AJB390" s="90"/>
      <c r="AJC390" s="90"/>
      <c r="AJD390" s="90"/>
      <c r="AJE390" s="90"/>
      <c r="AJF390" s="90"/>
      <c r="AJG390" s="90"/>
      <c r="AJH390" s="90"/>
      <c r="AJI390" s="90"/>
      <c r="AJJ390" s="90"/>
      <c r="AJK390" s="90"/>
      <c r="AJL390" s="90"/>
      <c r="AJM390" s="90"/>
      <c r="AJN390" s="90"/>
      <c r="AJO390" s="90"/>
      <c r="AJP390" s="90"/>
      <c r="AJQ390" s="90"/>
      <c r="AJR390" s="90"/>
      <c r="AJS390" s="90"/>
      <c r="AJT390" s="90"/>
      <c r="AJU390" s="90"/>
      <c r="AJV390" s="90"/>
      <c r="AJW390" s="90"/>
      <c r="AJX390" s="90"/>
      <c r="AJY390" s="90"/>
      <c r="AJZ390" s="90"/>
      <c r="AKA390" s="90"/>
      <c r="AKB390" s="90"/>
      <c r="AKC390" s="90"/>
      <c r="AKD390" s="90"/>
      <c r="AKE390" s="90"/>
      <c r="AKF390" s="90"/>
      <c r="AKG390" s="90"/>
      <c r="AKH390" s="90"/>
      <c r="AKI390" s="90"/>
      <c r="AKJ390" s="90"/>
      <c r="AKK390" s="90"/>
      <c r="AKL390" s="90"/>
      <c r="AKM390" s="90"/>
      <c r="AKN390" s="90"/>
      <c r="AKO390" s="90"/>
      <c r="AKP390" s="90"/>
      <c r="AKQ390" s="90"/>
      <c r="AKR390" s="90"/>
      <c r="AKS390" s="90"/>
      <c r="AKT390" s="90"/>
      <c r="AKU390" s="90"/>
      <c r="AKV390" s="90"/>
      <c r="AKW390" s="90"/>
      <c r="AKX390" s="90"/>
      <c r="AKY390" s="90"/>
      <c r="AKZ390" s="90"/>
      <c r="ALA390" s="90"/>
      <c r="ALB390" s="90"/>
      <c r="ALC390" s="90"/>
      <c r="ALD390" s="90"/>
      <c r="ALE390" s="90"/>
      <c r="ALF390" s="90"/>
      <c r="ALG390" s="90"/>
      <c r="ALH390" s="90"/>
      <c r="ALI390" s="90"/>
      <c r="ALJ390" s="90"/>
      <c r="ALK390" s="90"/>
      <c r="ALL390" s="90"/>
      <c r="ALM390" s="90"/>
      <c r="ALN390" s="90"/>
      <c r="ALO390" s="90"/>
      <c r="ALP390" s="90"/>
      <c r="ALQ390" s="90"/>
      <c r="ALR390" s="90"/>
      <c r="ALS390" s="90"/>
      <c r="ALT390" s="90"/>
      <c r="ALU390" s="90"/>
      <c r="ALV390" s="90"/>
      <c r="ALW390" s="90"/>
      <c r="ALX390" s="90"/>
      <c r="ALY390" s="90"/>
      <c r="ALZ390" s="90"/>
      <c r="AMA390" s="90"/>
      <c r="AMB390" s="90"/>
      <c r="AMC390" s="90"/>
    </row>
    <row r="391" spans="1:1017">
      <c r="A391" s="98" t="s">
        <v>54</v>
      </c>
      <c r="B391" s="90" t="str">
        <f t="shared" si="2065"/>
        <v>Ikan_04 (Ikan Keting)</v>
      </c>
      <c r="Q391" s="91">
        <f t="shared" si="1967"/>
        <v>0</v>
      </c>
      <c r="R391" s="91">
        <f t="shared" si="1968"/>
        <v>0</v>
      </c>
      <c r="AG391" s="91">
        <f t="shared" si="1969"/>
        <v>0</v>
      </c>
      <c r="AH391" s="91">
        <f t="shared" si="1970"/>
        <v>0</v>
      </c>
      <c r="AW391" s="91">
        <f t="shared" si="1971"/>
        <v>0</v>
      </c>
      <c r="AX391" s="91">
        <f t="shared" si="1972"/>
        <v>0</v>
      </c>
      <c r="BM391" s="91">
        <f t="shared" si="1973"/>
        <v>0</v>
      </c>
      <c r="BN391" s="91">
        <f t="shared" si="1974"/>
        <v>0</v>
      </c>
      <c r="CC391" s="91">
        <f t="shared" si="1975"/>
        <v>0</v>
      </c>
      <c r="CD391" s="91">
        <f t="shared" si="1976"/>
        <v>0</v>
      </c>
      <c r="CS391" s="91">
        <f t="shared" si="1977"/>
        <v>0</v>
      </c>
      <c r="CT391" s="91">
        <f t="shared" si="1978"/>
        <v>0</v>
      </c>
      <c r="DI391" s="91">
        <f t="shared" si="1979"/>
        <v>0</v>
      </c>
      <c r="DJ391" s="91">
        <f t="shared" si="1980"/>
        <v>0</v>
      </c>
      <c r="DY391" s="91">
        <f t="shared" si="1981"/>
        <v>0</v>
      </c>
      <c r="DZ391" s="91">
        <f t="shared" si="1982"/>
        <v>0</v>
      </c>
      <c r="EO391" s="91">
        <f t="shared" si="1983"/>
        <v>0</v>
      </c>
      <c r="EP391" s="91">
        <f t="shared" si="1984"/>
        <v>0</v>
      </c>
      <c r="FE391" s="91">
        <f t="shared" si="1985"/>
        <v>0</v>
      </c>
      <c r="FF391" s="91">
        <f t="shared" si="1986"/>
        <v>0</v>
      </c>
      <c r="FU391" s="91">
        <f t="shared" si="1987"/>
        <v>0</v>
      </c>
      <c r="FV391" s="91">
        <f t="shared" si="1988"/>
        <v>0</v>
      </c>
      <c r="GK391" s="91">
        <f t="shared" si="1989"/>
        <v>0</v>
      </c>
      <c r="GL391" s="91">
        <f t="shared" si="1990"/>
        <v>0</v>
      </c>
      <c r="HA391" s="91">
        <f t="shared" si="1991"/>
        <v>0</v>
      </c>
      <c r="HB391" s="91">
        <f t="shared" si="1992"/>
        <v>0</v>
      </c>
      <c r="HQ391" s="91">
        <f t="shared" si="1993"/>
        <v>0</v>
      </c>
      <c r="HR391" s="91">
        <f t="shared" si="1994"/>
        <v>0</v>
      </c>
      <c r="IG391" s="91">
        <f t="shared" si="1995"/>
        <v>0</v>
      </c>
      <c r="IH391" s="91">
        <f t="shared" si="1996"/>
        <v>0</v>
      </c>
      <c r="IW391" s="91">
        <f t="shared" si="1997"/>
        <v>0</v>
      </c>
      <c r="IX391" s="91">
        <f t="shared" si="1998"/>
        <v>0</v>
      </c>
      <c r="JM391" s="91">
        <f t="shared" si="1999"/>
        <v>0</v>
      </c>
      <c r="JN391" s="91">
        <f t="shared" si="2000"/>
        <v>0</v>
      </c>
      <c r="KC391" s="91">
        <f t="shared" si="2001"/>
        <v>0</v>
      </c>
      <c r="KD391" s="91">
        <f t="shared" si="2002"/>
        <v>0</v>
      </c>
      <c r="KS391" s="91">
        <f t="shared" si="2003"/>
        <v>0</v>
      </c>
      <c r="KT391" s="91">
        <f t="shared" si="2004"/>
        <v>0</v>
      </c>
      <c r="LI391" s="91">
        <f t="shared" si="2005"/>
        <v>0</v>
      </c>
      <c r="LJ391" s="91">
        <f t="shared" si="2006"/>
        <v>0</v>
      </c>
      <c r="LY391" s="91">
        <f t="shared" si="2007"/>
        <v>0</v>
      </c>
      <c r="LZ391" s="91">
        <f t="shared" si="2008"/>
        <v>0</v>
      </c>
      <c r="MO391" s="91">
        <f t="shared" si="2009"/>
        <v>0</v>
      </c>
      <c r="MP391" s="91">
        <f t="shared" si="2010"/>
        <v>0</v>
      </c>
      <c r="NE391" s="91">
        <f t="shared" si="2011"/>
        <v>0</v>
      </c>
      <c r="NF391" s="91">
        <f t="shared" si="2012"/>
        <v>0</v>
      </c>
      <c r="NI391" s="98">
        <v>71400</v>
      </c>
      <c r="NJ391" s="98">
        <v>856800</v>
      </c>
      <c r="NU391" s="91">
        <f t="shared" si="2013"/>
        <v>71400</v>
      </c>
      <c r="NV391" s="91">
        <f t="shared" si="2014"/>
        <v>856800</v>
      </c>
      <c r="OK391" s="91">
        <f t="shared" si="2015"/>
        <v>0</v>
      </c>
      <c r="OL391" s="91">
        <f t="shared" si="2016"/>
        <v>0</v>
      </c>
      <c r="PA391" s="91">
        <f t="shared" si="2017"/>
        <v>0</v>
      </c>
      <c r="PB391" s="91">
        <f t="shared" si="2018"/>
        <v>0</v>
      </c>
      <c r="PQ391" s="91">
        <f t="shared" si="2019"/>
        <v>0</v>
      </c>
      <c r="PR391" s="91">
        <f t="shared" si="2020"/>
        <v>0</v>
      </c>
      <c r="QG391" s="91">
        <f t="shared" si="2021"/>
        <v>0</v>
      </c>
      <c r="QH391" s="91">
        <f t="shared" si="2022"/>
        <v>0</v>
      </c>
      <c r="QW391" s="91">
        <f t="shared" si="2023"/>
        <v>0</v>
      </c>
      <c r="QX391" s="91">
        <f t="shared" si="2024"/>
        <v>0</v>
      </c>
      <c r="RM391" s="91">
        <f t="shared" si="2025"/>
        <v>0</v>
      </c>
      <c r="RN391" s="91">
        <f t="shared" si="2026"/>
        <v>0</v>
      </c>
      <c r="SC391" s="91">
        <f t="shared" si="2027"/>
        <v>0</v>
      </c>
      <c r="SD391" s="91">
        <f t="shared" si="2028"/>
        <v>0</v>
      </c>
      <c r="SS391" s="91">
        <f t="shared" si="2029"/>
        <v>0</v>
      </c>
      <c r="ST391" s="91">
        <f t="shared" si="2030"/>
        <v>0</v>
      </c>
      <c r="TI391" s="91">
        <f t="shared" si="2031"/>
        <v>0</v>
      </c>
      <c r="TJ391" s="91">
        <f t="shared" si="2032"/>
        <v>0</v>
      </c>
      <c r="TY391" s="91">
        <f t="shared" si="2033"/>
        <v>0</v>
      </c>
      <c r="TZ391" s="91">
        <f t="shared" si="2034"/>
        <v>0</v>
      </c>
      <c r="UO391" s="91">
        <f t="shared" si="2035"/>
        <v>0</v>
      </c>
      <c r="UP391" s="91">
        <f t="shared" ref="UP391:UP392" si="2078">SUMIF($C$12:$P$12,$A$1,UB391:UO391)</f>
        <v>0</v>
      </c>
      <c r="VE391" s="91">
        <f t="shared" si="2037"/>
        <v>0</v>
      </c>
      <c r="VF391" s="91">
        <f t="shared" si="2038"/>
        <v>0</v>
      </c>
      <c r="VU391" s="91">
        <f t="shared" si="2039"/>
        <v>0</v>
      </c>
      <c r="VV391" s="91">
        <f t="shared" si="2040"/>
        <v>0</v>
      </c>
      <c r="WK391" s="91">
        <f t="shared" si="2041"/>
        <v>0</v>
      </c>
      <c r="WL391" s="91">
        <f t="shared" si="2042"/>
        <v>0</v>
      </c>
      <c r="WM391" s="89"/>
      <c r="WN391" s="87">
        <f t="shared" si="2066"/>
        <v>0</v>
      </c>
      <c r="WO391" s="87">
        <f t="shared" si="2067"/>
        <v>0</v>
      </c>
      <c r="WP391" s="87">
        <f t="shared" si="2068"/>
        <v>71400</v>
      </c>
      <c r="WQ391" s="87">
        <f t="shared" si="2069"/>
        <v>856800</v>
      </c>
      <c r="WR391" s="87">
        <f t="shared" si="2070"/>
        <v>0</v>
      </c>
      <c r="WS391" s="87">
        <f t="shared" si="2071"/>
        <v>0</v>
      </c>
      <c r="WT391" s="87">
        <f t="shared" si="2072"/>
        <v>0</v>
      </c>
      <c r="WU391" s="87">
        <f t="shared" si="2073"/>
        <v>0</v>
      </c>
      <c r="WV391" s="87">
        <f t="shared" si="2074"/>
        <v>0</v>
      </c>
      <c r="WW391" s="87">
        <f t="shared" si="2075"/>
        <v>0</v>
      </c>
      <c r="WX391" s="87">
        <f t="shared" si="2076"/>
        <v>0</v>
      </c>
      <c r="WY391" s="87">
        <f t="shared" si="2077"/>
        <v>0</v>
      </c>
      <c r="WZ391" s="87">
        <f t="shared" si="2061"/>
        <v>0</v>
      </c>
      <c r="XA391" s="87">
        <f t="shared" si="2062"/>
        <v>0</v>
      </c>
      <c r="XB391" s="92">
        <f t="shared" si="2063"/>
        <v>71400</v>
      </c>
      <c r="XC391" s="92">
        <f t="shared" si="2064"/>
        <v>856800</v>
      </c>
      <c r="XD391" s="89"/>
      <c r="XE391" s="92"/>
      <c r="XF391" s="92"/>
      <c r="XG391" s="89"/>
      <c r="XH391" s="92"/>
      <c r="XI391" s="92"/>
      <c r="XJ391" s="89"/>
      <c r="XK391" s="87"/>
      <c r="XL391" s="87"/>
      <c r="XM391" s="87"/>
      <c r="XN391" s="87"/>
      <c r="XO391" s="87"/>
      <c r="XP391" s="87"/>
      <c r="XQ391" s="87"/>
      <c r="XR391" s="92">
        <f t="shared" ca="1" si="2059"/>
        <v>0</v>
      </c>
      <c r="XS391" s="89"/>
      <c r="XT391" s="87"/>
      <c r="XU391" s="87"/>
      <c r="XV391" s="87"/>
      <c r="XW391" s="87"/>
      <c r="XX391" s="87"/>
      <c r="XY391" s="87"/>
      <c r="XZ391" s="87"/>
      <c r="YA391" s="92">
        <f t="shared" ca="1" si="2060"/>
        <v>0</v>
      </c>
      <c r="YB391" s="90"/>
      <c r="YC391" s="90"/>
      <c r="YD391" s="90"/>
      <c r="YE391" s="90"/>
      <c r="YF391" s="90"/>
      <c r="YG391" s="90"/>
      <c r="YH391" s="90"/>
      <c r="YI391" s="90"/>
      <c r="YJ391" s="90"/>
      <c r="YK391" s="90"/>
      <c r="YL391" s="90"/>
      <c r="YM391" s="90"/>
      <c r="YN391" s="90"/>
      <c r="YO391" s="90"/>
      <c r="YP391" s="90"/>
      <c r="YQ391" s="90"/>
      <c r="YR391" s="90"/>
      <c r="YS391" s="90"/>
      <c r="YT391" s="90"/>
      <c r="YU391" s="90"/>
      <c r="YV391" s="90"/>
      <c r="YW391" s="90"/>
      <c r="YX391" s="90"/>
      <c r="YY391" s="90"/>
      <c r="YZ391" s="90"/>
      <c r="ZA391" s="90"/>
      <c r="ZB391" s="90"/>
      <c r="ZC391" s="90"/>
      <c r="ZD391" s="90"/>
      <c r="ZE391" s="90"/>
      <c r="ZF391" s="90"/>
      <c r="ZG391" s="90"/>
      <c r="ZH391" s="90"/>
      <c r="ZI391" s="90"/>
      <c r="ZJ391" s="90"/>
      <c r="ZK391" s="90"/>
      <c r="ZL391" s="90"/>
      <c r="ZM391" s="90"/>
      <c r="ZN391" s="90"/>
      <c r="ZO391" s="90"/>
      <c r="ZP391" s="90"/>
      <c r="ZQ391" s="90"/>
      <c r="ZR391" s="90"/>
      <c r="ZS391" s="90"/>
      <c r="ZT391" s="90"/>
      <c r="ZU391" s="90"/>
      <c r="ZV391" s="90"/>
      <c r="ZW391" s="90"/>
      <c r="ZX391" s="90"/>
      <c r="ZY391" s="90"/>
      <c r="ZZ391" s="90"/>
      <c r="AAA391" s="90"/>
      <c r="AAB391" s="90"/>
      <c r="AAC391" s="90"/>
      <c r="AAD391" s="90"/>
      <c r="AAE391" s="90"/>
      <c r="AAF391" s="90"/>
      <c r="AAG391" s="90"/>
      <c r="AAH391" s="90"/>
      <c r="AAI391" s="90"/>
      <c r="AAJ391" s="90"/>
      <c r="AAK391" s="90"/>
      <c r="AAL391" s="90"/>
      <c r="AAM391" s="90"/>
      <c r="AAN391" s="90"/>
      <c r="AAO391" s="90"/>
      <c r="AAP391" s="90"/>
      <c r="AAQ391" s="90"/>
      <c r="AAR391" s="90"/>
      <c r="AAS391" s="90"/>
      <c r="AAT391" s="90"/>
      <c r="AAU391" s="90"/>
      <c r="AAV391" s="90"/>
      <c r="AAW391" s="90"/>
      <c r="AAX391" s="90"/>
      <c r="AAY391" s="90"/>
      <c r="AAZ391" s="90"/>
      <c r="ABA391" s="90"/>
      <c r="ABB391" s="90"/>
      <c r="ABC391" s="90"/>
      <c r="ABD391" s="90"/>
      <c r="ABE391" s="90"/>
      <c r="ABF391" s="90"/>
      <c r="ABG391" s="90"/>
      <c r="ABH391" s="90"/>
      <c r="ABI391" s="90"/>
      <c r="ABJ391" s="90"/>
      <c r="ABK391" s="90"/>
      <c r="ABL391" s="90"/>
      <c r="ABM391" s="90"/>
      <c r="ABN391" s="90"/>
      <c r="ABO391" s="90"/>
      <c r="ABP391" s="90"/>
      <c r="ABQ391" s="90"/>
      <c r="ABR391" s="90"/>
      <c r="ABS391" s="90"/>
      <c r="ABT391" s="90"/>
      <c r="ABU391" s="90"/>
      <c r="ABV391" s="90"/>
      <c r="ABW391" s="90"/>
      <c r="ABX391" s="90"/>
      <c r="ABY391" s="90"/>
      <c r="ABZ391" s="90"/>
      <c r="ACA391" s="90"/>
      <c r="ACB391" s="90"/>
      <c r="ACC391" s="90"/>
      <c r="ACD391" s="90"/>
      <c r="ACE391" s="90"/>
      <c r="ACF391" s="90"/>
      <c r="ACG391" s="90"/>
      <c r="ACH391" s="90"/>
      <c r="ACI391" s="90"/>
      <c r="ACJ391" s="90"/>
      <c r="ACK391" s="90"/>
      <c r="ACL391" s="90"/>
      <c r="ACM391" s="90"/>
      <c r="ACN391" s="90"/>
      <c r="ACO391" s="90"/>
      <c r="ACP391" s="90"/>
      <c r="ACQ391" s="90"/>
      <c r="ACR391" s="90"/>
      <c r="ACS391" s="90"/>
      <c r="ACT391" s="90"/>
      <c r="ACU391" s="90"/>
      <c r="ACV391" s="90"/>
      <c r="ACW391" s="90"/>
      <c r="ACX391" s="90"/>
      <c r="ACY391" s="90"/>
      <c r="ACZ391" s="90"/>
      <c r="ADA391" s="90"/>
      <c r="ADB391" s="90"/>
      <c r="ADC391" s="90"/>
      <c r="ADD391" s="90"/>
      <c r="ADE391" s="90"/>
      <c r="ADF391" s="90"/>
      <c r="ADG391" s="90"/>
      <c r="ADH391" s="90"/>
      <c r="ADI391" s="90"/>
      <c r="ADJ391" s="90"/>
      <c r="ADK391" s="90"/>
      <c r="ADL391" s="90"/>
      <c r="ADM391" s="90"/>
      <c r="ADN391" s="90"/>
      <c r="ADO391" s="90"/>
      <c r="ADP391" s="90"/>
      <c r="ADQ391" s="90"/>
      <c r="ADR391" s="90"/>
      <c r="ADS391" s="90"/>
      <c r="ADT391" s="90"/>
      <c r="ADU391" s="90"/>
      <c r="ADV391" s="90"/>
      <c r="ADW391" s="90"/>
      <c r="ADX391" s="90"/>
      <c r="ADY391" s="90"/>
      <c r="ADZ391" s="90"/>
      <c r="AEA391" s="90"/>
      <c r="AEB391" s="90"/>
      <c r="AEC391" s="90"/>
      <c r="AED391" s="90"/>
      <c r="AEE391" s="90"/>
      <c r="AEF391" s="90"/>
      <c r="AEG391" s="90"/>
      <c r="AEH391" s="90"/>
      <c r="AEI391" s="90"/>
      <c r="AEJ391" s="90"/>
      <c r="AEK391" s="90"/>
      <c r="AEL391" s="90"/>
      <c r="AEM391" s="90"/>
      <c r="AEN391" s="90"/>
      <c r="AEO391" s="90"/>
      <c r="AEP391" s="90"/>
      <c r="AEQ391" s="90"/>
      <c r="AER391" s="90"/>
      <c r="AES391" s="90"/>
      <c r="AET391" s="90"/>
      <c r="AEU391" s="90"/>
      <c r="AEV391" s="90"/>
      <c r="AEW391" s="90"/>
      <c r="AEX391" s="90"/>
      <c r="AEY391" s="90"/>
      <c r="AEZ391" s="90"/>
      <c r="AFA391" s="90"/>
      <c r="AFB391" s="90"/>
      <c r="AFC391" s="90"/>
      <c r="AFD391" s="90"/>
      <c r="AFE391" s="90"/>
      <c r="AFF391" s="90"/>
      <c r="AFG391" s="90"/>
      <c r="AFH391" s="90"/>
      <c r="AFI391" s="90"/>
      <c r="AFJ391" s="90"/>
      <c r="AFK391" s="90"/>
      <c r="AFL391" s="90"/>
      <c r="AFM391" s="90"/>
      <c r="AFN391" s="90"/>
      <c r="AFO391" s="90"/>
      <c r="AFP391" s="90"/>
      <c r="AFQ391" s="90"/>
      <c r="AFR391" s="90"/>
      <c r="AFS391" s="90"/>
      <c r="AFT391" s="90"/>
      <c r="AFU391" s="90"/>
      <c r="AFV391" s="90"/>
      <c r="AFW391" s="90"/>
      <c r="AFX391" s="90"/>
      <c r="AFY391" s="90"/>
      <c r="AFZ391" s="90"/>
      <c r="AGA391" s="90"/>
      <c r="AGB391" s="90"/>
      <c r="AGC391" s="90"/>
      <c r="AGD391" s="90"/>
      <c r="AGE391" s="90"/>
      <c r="AGF391" s="90"/>
      <c r="AGG391" s="90"/>
      <c r="AGH391" s="90"/>
      <c r="AGI391" s="90"/>
      <c r="AGJ391" s="90"/>
      <c r="AGK391" s="90"/>
      <c r="AGL391" s="90"/>
      <c r="AGM391" s="90"/>
      <c r="AGN391" s="90"/>
      <c r="AGO391" s="90"/>
      <c r="AGP391" s="90"/>
      <c r="AGQ391" s="90"/>
      <c r="AGR391" s="90"/>
      <c r="AGS391" s="90"/>
      <c r="AGT391" s="90"/>
      <c r="AGU391" s="90"/>
      <c r="AGV391" s="90"/>
      <c r="AGW391" s="90"/>
      <c r="AGX391" s="90"/>
      <c r="AGY391" s="90"/>
      <c r="AGZ391" s="90"/>
      <c r="AHA391" s="90"/>
      <c r="AHB391" s="90"/>
      <c r="AHC391" s="90"/>
      <c r="AHD391" s="90"/>
      <c r="AHE391" s="90"/>
      <c r="AHF391" s="90"/>
      <c r="AHG391" s="90"/>
      <c r="AHH391" s="90"/>
      <c r="AHI391" s="90"/>
      <c r="AHJ391" s="90"/>
      <c r="AHK391" s="90"/>
      <c r="AHL391" s="90"/>
      <c r="AHM391" s="90"/>
      <c r="AHN391" s="90"/>
      <c r="AHO391" s="90"/>
      <c r="AHP391" s="90"/>
      <c r="AHQ391" s="90"/>
      <c r="AHR391" s="90"/>
      <c r="AHS391" s="90"/>
      <c r="AHT391" s="90"/>
      <c r="AHU391" s="90"/>
      <c r="AHV391" s="90"/>
      <c r="AHW391" s="90"/>
      <c r="AHX391" s="90"/>
      <c r="AHY391" s="90"/>
      <c r="AHZ391" s="90"/>
      <c r="AIA391" s="90"/>
      <c r="AIB391" s="90"/>
      <c r="AIC391" s="90"/>
      <c r="AID391" s="90"/>
      <c r="AIE391" s="90"/>
      <c r="AIF391" s="90"/>
      <c r="AIG391" s="90"/>
      <c r="AIH391" s="90"/>
      <c r="AII391" s="90"/>
      <c r="AIJ391" s="90"/>
      <c r="AIK391" s="90"/>
      <c r="AIL391" s="90"/>
      <c r="AIM391" s="90"/>
      <c r="AIN391" s="90"/>
      <c r="AIO391" s="90"/>
      <c r="AIP391" s="90"/>
      <c r="AIQ391" s="90"/>
      <c r="AIR391" s="90"/>
      <c r="AIS391" s="90"/>
      <c r="AIT391" s="90"/>
      <c r="AIU391" s="90"/>
      <c r="AIV391" s="90"/>
      <c r="AIW391" s="90"/>
      <c r="AIX391" s="90"/>
      <c r="AIY391" s="90"/>
      <c r="AIZ391" s="90"/>
      <c r="AJA391" s="90"/>
      <c r="AJB391" s="90"/>
      <c r="AJC391" s="90"/>
      <c r="AJD391" s="90"/>
      <c r="AJE391" s="90"/>
      <c r="AJF391" s="90"/>
      <c r="AJG391" s="90"/>
      <c r="AJH391" s="90"/>
      <c r="AJI391" s="90"/>
      <c r="AJJ391" s="90"/>
      <c r="AJK391" s="90"/>
      <c r="AJL391" s="90"/>
      <c r="AJM391" s="90"/>
      <c r="AJN391" s="90"/>
      <c r="AJO391" s="90"/>
      <c r="AJP391" s="90"/>
      <c r="AJQ391" s="90"/>
      <c r="AJR391" s="90"/>
      <c r="AJS391" s="90"/>
      <c r="AJT391" s="90"/>
      <c r="AJU391" s="90"/>
      <c r="AJV391" s="90"/>
      <c r="AJW391" s="90"/>
      <c r="AJX391" s="90"/>
      <c r="AJY391" s="90"/>
      <c r="AJZ391" s="90"/>
      <c r="AKA391" s="90"/>
      <c r="AKB391" s="90"/>
      <c r="AKC391" s="90"/>
      <c r="AKD391" s="90"/>
      <c r="AKE391" s="90"/>
      <c r="AKF391" s="90"/>
      <c r="AKG391" s="90"/>
      <c r="AKH391" s="90"/>
      <c r="AKI391" s="90"/>
      <c r="AKJ391" s="90"/>
      <c r="AKK391" s="90"/>
      <c r="AKL391" s="90"/>
      <c r="AKM391" s="90"/>
      <c r="AKN391" s="90"/>
      <c r="AKO391" s="90"/>
      <c r="AKP391" s="90"/>
      <c r="AKQ391" s="90"/>
      <c r="AKR391" s="90"/>
      <c r="AKS391" s="90"/>
      <c r="AKT391" s="90"/>
      <c r="AKU391" s="90"/>
      <c r="AKV391" s="90"/>
      <c r="AKW391" s="90"/>
      <c r="AKX391" s="90"/>
      <c r="AKY391" s="90"/>
      <c r="AKZ391" s="90"/>
      <c r="ALA391" s="90"/>
      <c r="ALB391" s="90"/>
      <c r="ALC391" s="90"/>
      <c r="ALD391" s="90"/>
      <c r="ALE391" s="90"/>
      <c r="ALF391" s="90"/>
      <c r="ALG391" s="90"/>
      <c r="ALH391" s="90"/>
      <c r="ALI391" s="90"/>
      <c r="ALJ391" s="90"/>
      <c r="ALK391" s="90"/>
      <c r="ALL391" s="90"/>
      <c r="ALM391" s="90"/>
      <c r="ALN391" s="90"/>
      <c r="ALO391" s="90"/>
      <c r="ALP391" s="90"/>
      <c r="ALQ391" s="90"/>
      <c r="ALR391" s="90"/>
      <c r="ALS391" s="90"/>
      <c r="ALT391" s="90"/>
      <c r="ALU391" s="90"/>
      <c r="ALV391" s="90"/>
      <c r="ALW391" s="90"/>
      <c r="ALX391" s="90"/>
      <c r="ALY391" s="90"/>
      <c r="ALZ391" s="90"/>
      <c r="AMA391" s="90"/>
      <c r="AMB391" s="90"/>
      <c r="AMC391" s="90"/>
    </row>
    <row r="392" spans="1:1017">
      <c r="A392" s="98" t="s">
        <v>54</v>
      </c>
      <c r="B392" s="90" t="str">
        <f t="shared" si="2065"/>
        <v>Ikan_05 (Ikan betutu)</v>
      </c>
      <c r="Q392" s="91">
        <f t="shared" si="1967"/>
        <v>0</v>
      </c>
      <c r="R392" s="91">
        <f t="shared" si="1968"/>
        <v>0</v>
      </c>
      <c r="AG392" s="91">
        <f t="shared" si="1969"/>
        <v>0</v>
      </c>
      <c r="AH392" s="91">
        <f t="shared" si="1970"/>
        <v>0</v>
      </c>
      <c r="AW392" s="91">
        <f t="shared" si="1971"/>
        <v>0</v>
      </c>
      <c r="AX392" s="91">
        <f t="shared" si="1972"/>
        <v>0</v>
      </c>
      <c r="BM392" s="91">
        <f t="shared" si="1973"/>
        <v>0</v>
      </c>
      <c r="BN392" s="91">
        <f t="shared" si="1974"/>
        <v>0</v>
      </c>
      <c r="CC392" s="91">
        <f t="shared" si="1975"/>
        <v>0</v>
      </c>
      <c r="CD392" s="91">
        <f t="shared" si="1976"/>
        <v>0</v>
      </c>
      <c r="CS392" s="91">
        <f t="shared" si="1977"/>
        <v>0</v>
      </c>
      <c r="CT392" s="91">
        <f t="shared" si="1978"/>
        <v>0</v>
      </c>
      <c r="DI392" s="91">
        <f t="shared" si="1979"/>
        <v>0</v>
      </c>
      <c r="DJ392" s="91">
        <f t="shared" si="1980"/>
        <v>0</v>
      </c>
      <c r="DY392" s="91">
        <f t="shared" si="1981"/>
        <v>0</v>
      </c>
      <c r="DZ392" s="91">
        <f t="shared" si="1982"/>
        <v>0</v>
      </c>
      <c r="EO392" s="91">
        <f t="shared" si="1983"/>
        <v>0</v>
      </c>
      <c r="EP392" s="91">
        <f t="shared" si="1984"/>
        <v>0</v>
      </c>
      <c r="FE392" s="91">
        <f t="shared" si="1985"/>
        <v>0</v>
      </c>
      <c r="FF392" s="91">
        <f t="shared" si="1986"/>
        <v>0</v>
      </c>
      <c r="FU392" s="91">
        <f t="shared" si="1987"/>
        <v>0</v>
      </c>
      <c r="FV392" s="91">
        <f t="shared" si="1988"/>
        <v>0</v>
      </c>
      <c r="GK392" s="91">
        <f t="shared" si="1989"/>
        <v>0</v>
      </c>
      <c r="GL392" s="91">
        <f t="shared" si="1990"/>
        <v>0</v>
      </c>
      <c r="HA392" s="91">
        <f t="shared" si="1991"/>
        <v>0</v>
      </c>
      <c r="HB392" s="91">
        <f t="shared" si="1992"/>
        <v>0</v>
      </c>
      <c r="HQ392" s="91">
        <f t="shared" si="1993"/>
        <v>0</v>
      </c>
      <c r="HR392" s="91">
        <f t="shared" si="1994"/>
        <v>0</v>
      </c>
      <c r="IG392" s="91">
        <f t="shared" si="1995"/>
        <v>0</v>
      </c>
      <c r="IH392" s="91">
        <f t="shared" si="1996"/>
        <v>0</v>
      </c>
      <c r="IW392" s="91">
        <f t="shared" si="1997"/>
        <v>0</v>
      </c>
      <c r="IX392" s="91">
        <f t="shared" si="1998"/>
        <v>0</v>
      </c>
      <c r="JM392" s="91">
        <f t="shared" si="1999"/>
        <v>0</v>
      </c>
      <c r="JN392" s="91">
        <f t="shared" si="2000"/>
        <v>0</v>
      </c>
      <c r="KC392" s="91">
        <f t="shared" si="2001"/>
        <v>0</v>
      </c>
      <c r="KD392" s="91">
        <f t="shared" si="2002"/>
        <v>0</v>
      </c>
      <c r="KS392" s="91">
        <f t="shared" si="2003"/>
        <v>0</v>
      </c>
      <c r="KT392" s="91">
        <f t="shared" si="2004"/>
        <v>0</v>
      </c>
      <c r="LI392" s="91">
        <f t="shared" si="2005"/>
        <v>0</v>
      </c>
      <c r="LJ392" s="91">
        <f t="shared" si="2006"/>
        <v>0</v>
      </c>
      <c r="LY392" s="91">
        <f t="shared" si="2007"/>
        <v>0</v>
      </c>
      <c r="LZ392" s="91">
        <f t="shared" si="2008"/>
        <v>0</v>
      </c>
      <c r="MO392" s="91">
        <f t="shared" si="2009"/>
        <v>0</v>
      </c>
      <c r="MP392" s="91">
        <f t="shared" si="2010"/>
        <v>0</v>
      </c>
      <c r="NE392" s="91">
        <f t="shared" si="2011"/>
        <v>0</v>
      </c>
      <c r="NF392" s="91">
        <f t="shared" si="2012"/>
        <v>0</v>
      </c>
      <c r="NU392" s="91">
        <f t="shared" si="2013"/>
        <v>0</v>
      </c>
      <c r="NV392" s="91">
        <f t="shared" si="2014"/>
        <v>0</v>
      </c>
      <c r="OK392" s="91">
        <f t="shared" si="2015"/>
        <v>0</v>
      </c>
      <c r="OL392" s="91">
        <f t="shared" si="2016"/>
        <v>0</v>
      </c>
      <c r="PA392" s="91">
        <f t="shared" si="2017"/>
        <v>0</v>
      </c>
      <c r="PB392" s="91">
        <f t="shared" si="2018"/>
        <v>0</v>
      </c>
      <c r="PQ392" s="91">
        <f t="shared" si="2019"/>
        <v>0</v>
      </c>
      <c r="PR392" s="91">
        <f t="shared" si="2020"/>
        <v>0</v>
      </c>
      <c r="QG392" s="91">
        <f t="shared" si="2021"/>
        <v>0</v>
      </c>
      <c r="QH392" s="91">
        <f t="shared" si="2022"/>
        <v>0</v>
      </c>
      <c r="QW392" s="91">
        <f t="shared" si="2023"/>
        <v>0</v>
      </c>
      <c r="QX392" s="91">
        <f t="shared" si="2024"/>
        <v>0</v>
      </c>
      <c r="RM392" s="91">
        <f t="shared" si="2025"/>
        <v>0</v>
      </c>
      <c r="RN392" s="91">
        <f t="shared" si="2026"/>
        <v>0</v>
      </c>
      <c r="SC392" s="91">
        <f t="shared" si="2027"/>
        <v>0</v>
      </c>
      <c r="SD392" s="91">
        <f t="shared" si="2028"/>
        <v>0</v>
      </c>
      <c r="SS392" s="91">
        <f t="shared" si="2029"/>
        <v>0</v>
      </c>
      <c r="ST392" s="91">
        <f t="shared" si="2030"/>
        <v>0</v>
      </c>
      <c r="TI392" s="91">
        <f t="shared" si="2031"/>
        <v>0</v>
      </c>
      <c r="TJ392" s="91">
        <f t="shared" si="2032"/>
        <v>0</v>
      </c>
      <c r="TY392" s="91">
        <f t="shared" si="2033"/>
        <v>0</v>
      </c>
      <c r="TZ392" s="91">
        <f t="shared" si="2034"/>
        <v>0</v>
      </c>
      <c r="UO392" s="91">
        <f t="shared" si="2035"/>
        <v>0</v>
      </c>
      <c r="UP392" s="91">
        <f t="shared" si="2078"/>
        <v>0</v>
      </c>
      <c r="VE392" s="91">
        <f t="shared" si="2037"/>
        <v>0</v>
      </c>
      <c r="VF392" s="91">
        <f t="shared" si="2038"/>
        <v>0</v>
      </c>
      <c r="VU392" s="91">
        <f t="shared" si="2039"/>
        <v>0</v>
      </c>
      <c r="VV392" s="91">
        <f t="shared" si="2040"/>
        <v>0</v>
      </c>
      <c r="WK392" s="91">
        <f t="shared" si="2041"/>
        <v>0</v>
      </c>
      <c r="WL392" s="91">
        <f t="shared" si="2042"/>
        <v>0</v>
      </c>
      <c r="WM392" s="89"/>
      <c r="WN392" s="87">
        <f t="shared" si="2066"/>
        <v>0</v>
      </c>
      <c r="WO392" s="87">
        <f t="shared" si="2067"/>
        <v>0</v>
      </c>
      <c r="WP392" s="87">
        <f t="shared" si="2068"/>
        <v>0</v>
      </c>
      <c r="WQ392" s="87">
        <f t="shared" si="2069"/>
        <v>0</v>
      </c>
      <c r="WR392" s="87">
        <f t="shared" si="2070"/>
        <v>0</v>
      </c>
      <c r="WS392" s="87">
        <f t="shared" si="2071"/>
        <v>0</v>
      </c>
      <c r="WT392" s="87">
        <f t="shared" si="2072"/>
        <v>0</v>
      </c>
      <c r="WU392" s="87">
        <f t="shared" si="2073"/>
        <v>0</v>
      </c>
      <c r="WV392" s="87">
        <f t="shared" si="2074"/>
        <v>0</v>
      </c>
      <c r="WW392" s="87">
        <f t="shared" si="2075"/>
        <v>0</v>
      </c>
      <c r="WX392" s="87">
        <f t="shared" si="2076"/>
        <v>0</v>
      </c>
      <c r="WY392" s="87">
        <f t="shared" si="2077"/>
        <v>0</v>
      </c>
      <c r="WZ392" s="87">
        <f t="shared" si="2061"/>
        <v>0</v>
      </c>
      <c r="XA392" s="87">
        <f t="shared" si="2062"/>
        <v>0</v>
      </c>
      <c r="XB392" s="92">
        <f t="shared" si="2063"/>
        <v>0</v>
      </c>
      <c r="XC392" s="92">
        <f t="shared" si="2064"/>
        <v>0</v>
      </c>
      <c r="XD392" s="89"/>
      <c r="XE392" s="92"/>
      <c r="XF392" s="92"/>
      <c r="XG392" s="89"/>
      <c r="XH392" s="92"/>
      <c r="XI392" s="92"/>
      <c r="XJ392" s="89"/>
      <c r="XK392" s="87"/>
      <c r="XL392" s="87"/>
      <c r="XM392" s="87"/>
      <c r="XN392" s="87"/>
      <c r="XO392" s="87"/>
      <c r="XP392" s="87"/>
      <c r="XQ392" s="87"/>
      <c r="XR392" s="92">
        <f t="shared" ca="1" si="2059"/>
        <v>0</v>
      </c>
      <c r="XS392" s="89"/>
      <c r="XT392" s="87"/>
      <c r="XU392" s="87"/>
      <c r="XV392" s="87"/>
      <c r="XW392" s="87"/>
      <c r="XX392" s="87"/>
      <c r="XY392" s="87"/>
      <c r="XZ392" s="87"/>
      <c r="YA392" s="92">
        <f t="shared" ca="1" si="2060"/>
        <v>0</v>
      </c>
      <c r="YB392" s="90"/>
      <c r="YC392" s="90"/>
      <c r="YD392" s="90"/>
      <c r="YE392" s="90"/>
      <c r="YF392" s="90"/>
      <c r="YG392" s="90"/>
      <c r="YH392" s="90"/>
      <c r="YI392" s="90"/>
      <c r="YJ392" s="90"/>
      <c r="YK392" s="90"/>
      <c r="YL392" s="90"/>
      <c r="YM392" s="90"/>
      <c r="YN392" s="90"/>
      <c r="YO392" s="90"/>
      <c r="YP392" s="90"/>
      <c r="YQ392" s="90"/>
      <c r="YR392" s="90"/>
      <c r="YS392" s="90"/>
      <c r="YT392" s="90"/>
      <c r="YU392" s="90"/>
      <c r="YV392" s="90"/>
      <c r="YW392" s="90"/>
      <c r="YX392" s="90"/>
      <c r="YY392" s="90"/>
      <c r="YZ392" s="90"/>
      <c r="ZA392" s="90"/>
      <c r="ZB392" s="90"/>
      <c r="ZC392" s="90"/>
      <c r="ZD392" s="90"/>
      <c r="ZE392" s="90"/>
      <c r="ZF392" s="90"/>
      <c r="ZG392" s="90"/>
      <c r="ZH392" s="90"/>
      <c r="ZI392" s="90"/>
      <c r="ZJ392" s="90"/>
      <c r="ZK392" s="90"/>
      <c r="ZL392" s="90"/>
      <c r="ZM392" s="90"/>
      <c r="ZN392" s="90"/>
      <c r="ZO392" s="90"/>
      <c r="ZP392" s="90"/>
      <c r="ZQ392" s="90"/>
      <c r="ZR392" s="90"/>
      <c r="ZS392" s="90"/>
      <c r="ZT392" s="90"/>
      <c r="ZU392" s="90"/>
      <c r="ZV392" s="90"/>
      <c r="ZW392" s="90"/>
      <c r="ZX392" s="90"/>
      <c r="ZY392" s="90"/>
      <c r="ZZ392" s="90"/>
      <c r="AAA392" s="90"/>
      <c r="AAB392" s="90"/>
      <c r="AAC392" s="90"/>
      <c r="AAD392" s="90"/>
      <c r="AAE392" s="90"/>
      <c r="AAF392" s="90"/>
      <c r="AAG392" s="90"/>
      <c r="AAH392" s="90"/>
      <c r="AAI392" s="90"/>
      <c r="AAJ392" s="90"/>
      <c r="AAK392" s="90"/>
      <c r="AAL392" s="90"/>
      <c r="AAM392" s="90"/>
      <c r="AAN392" s="90"/>
      <c r="AAO392" s="90"/>
      <c r="AAP392" s="90"/>
      <c r="AAQ392" s="90"/>
      <c r="AAR392" s="90"/>
      <c r="AAS392" s="90"/>
      <c r="AAT392" s="90"/>
      <c r="AAU392" s="90"/>
      <c r="AAV392" s="90"/>
      <c r="AAW392" s="90"/>
      <c r="AAX392" s="90"/>
      <c r="AAY392" s="90"/>
      <c r="AAZ392" s="90"/>
      <c r="ABA392" s="90"/>
      <c r="ABB392" s="90"/>
      <c r="ABC392" s="90"/>
      <c r="ABD392" s="90"/>
      <c r="ABE392" s="90"/>
      <c r="ABF392" s="90"/>
      <c r="ABG392" s="90"/>
      <c r="ABH392" s="90"/>
      <c r="ABI392" s="90"/>
      <c r="ABJ392" s="90"/>
      <c r="ABK392" s="90"/>
      <c r="ABL392" s="90"/>
      <c r="ABM392" s="90"/>
      <c r="ABN392" s="90"/>
      <c r="ABO392" s="90"/>
      <c r="ABP392" s="90"/>
      <c r="ABQ392" s="90"/>
      <c r="ABR392" s="90"/>
      <c r="ABS392" s="90"/>
      <c r="ABT392" s="90"/>
      <c r="ABU392" s="90"/>
      <c r="ABV392" s="90"/>
      <c r="ABW392" s="90"/>
      <c r="ABX392" s="90"/>
      <c r="ABY392" s="90"/>
      <c r="ABZ392" s="90"/>
      <c r="ACA392" s="90"/>
      <c r="ACB392" s="90"/>
      <c r="ACC392" s="90"/>
      <c r="ACD392" s="90"/>
      <c r="ACE392" s="90"/>
      <c r="ACF392" s="90"/>
      <c r="ACG392" s="90"/>
      <c r="ACH392" s="90"/>
      <c r="ACI392" s="90"/>
      <c r="ACJ392" s="90"/>
      <c r="ACK392" s="90"/>
      <c r="ACL392" s="90"/>
      <c r="ACM392" s="90"/>
      <c r="ACN392" s="90"/>
      <c r="ACO392" s="90"/>
      <c r="ACP392" s="90"/>
      <c r="ACQ392" s="90"/>
      <c r="ACR392" s="90"/>
      <c r="ACS392" s="90"/>
      <c r="ACT392" s="90"/>
      <c r="ACU392" s="90"/>
      <c r="ACV392" s="90"/>
      <c r="ACW392" s="90"/>
      <c r="ACX392" s="90"/>
      <c r="ACY392" s="90"/>
      <c r="ACZ392" s="90"/>
      <c r="ADA392" s="90"/>
      <c r="ADB392" s="90"/>
      <c r="ADC392" s="90"/>
      <c r="ADD392" s="90"/>
      <c r="ADE392" s="90"/>
      <c r="ADF392" s="90"/>
      <c r="ADG392" s="90"/>
      <c r="ADH392" s="90"/>
      <c r="ADI392" s="90"/>
      <c r="ADJ392" s="90"/>
      <c r="ADK392" s="90"/>
      <c r="ADL392" s="90"/>
      <c r="ADM392" s="90"/>
      <c r="ADN392" s="90"/>
      <c r="ADO392" s="90"/>
      <c r="ADP392" s="90"/>
      <c r="ADQ392" s="90"/>
      <c r="ADR392" s="90"/>
      <c r="ADS392" s="90"/>
      <c r="ADT392" s="90"/>
      <c r="ADU392" s="90"/>
      <c r="ADV392" s="90"/>
      <c r="ADW392" s="90"/>
      <c r="ADX392" s="90"/>
      <c r="ADY392" s="90"/>
      <c r="ADZ392" s="90"/>
      <c r="AEA392" s="90"/>
      <c r="AEB392" s="90"/>
      <c r="AEC392" s="90"/>
      <c r="AED392" s="90"/>
      <c r="AEE392" s="90"/>
      <c r="AEF392" s="90"/>
      <c r="AEG392" s="90"/>
      <c r="AEH392" s="90"/>
      <c r="AEI392" s="90"/>
      <c r="AEJ392" s="90"/>
      <c r="AEK392" s="90"/>
      <c r="AEL392" s="90"/>
      <c r="AEM392" s="90"/>
      <c r="AEN392" s="90"/>
      <c r="AEO392" s="90"/>
      <c r="AEP392" s="90"/>
      <c r="AEQ392" s="90"/>
      <c r="AER392" s="90"/>
      <c r="AES392" s="90"/>
      <c r="AET392" s="90"/>
      <c r="AEU392" s="90"/>
      <c r="AEV392" s="90"/>
      <c r="AEW392" s="90"/>
      <c r="AEX392" s="90"/>
      <c r="AEY392" s="90"/>
      <c r="AEZ392" s="90"/>
      <c r="AFA392" s="90"/>
      <c r="AFB392" s="90"/>
      <c r="AFC392" s="90"/>
      <c r="AFD392" s="90"/>
      <c r="AFE392" s="90"/>
      <c r="AFF392" s="90"/>
      <c r="AFG392" s="90"/>
      <c r="AFH392" s="90"/>
      <c r="AFI392" s="90"/>
      <c r="AFJ392" s="90"/>
      <c r="AFK392" s="90"/>
      <c r="AFL392" s="90"/>
      <c r="AFM392" s="90"/>
      <c r="AFN392" s="90"/>
      <c r="AFO392" s="90"/>
      <c r="AFP392" s="90"/>
      <c r="AFQ392" s="90"/>
      <c r="AFR392" s="90"/>
      <c r="AFS392" s="90"/>
      <c r="AFT392" s="90"/>
      <c r="AFU392" s="90"/>
      <c r="AFV392" s="90"/>
      <c r="AFW392" s="90"/>
      <c r="AFX392" s="90"/>
      <c r="AFY392" s="90"/>
      <c r="AFZ392" s="90"/>
      <c r="AGA392" s="90"/>
      <c r="AGB392" s="90"/>
      <c r="AGC392" s="90"/>
      <c r="AGD392" s="90"/>
      <c r="AGE392" s="90"/>
      <c r="AGF392" s="90"/>
      <c r="AGG392" s="90"/>
      <c r="AGH392" s="90"/>
      <c r="AGI392" s="90"/>
      <c r="AGJ392" s="90"/>
      <c r="AGK392" s="90"/>
      <c r="AGL392" s="90"/>
      <c r="AGM392" s="90"/>
      <c r="AGN392" s="90"/>
      <c r="AGO392" s="90"/>
      <c r="AGP392" s="90"/>
      <c r="AGQ392" s="90"/>
      <c r="AGR392" s="90"/>
      <c r="AGS392" s="90"/>
      <c r="AGT392" s="90"/>
      <c r="AGU392" s="90"/>
      <c r="AGV392" s="90"/>
      <c r="AGW392" s="90"/>
      <c r="AGX392" s="90"/>
      <c r="AGY392" s="90"/>
      <c r="AGZ392" s="90"/>
      <c r="AHA392" s="90"/>
      <c r="AHB392" s="90"/>
      <c r="AHC392" s="90"/>
      <c r="AHD392" s="90"/>
      <c r="AHE392" s="90"/>
      <c r="AHF392" s="90"/>
      <c r="AHG392" s="90"/>
      <c r="AHH392" s="90"/>
      <c r="AHI392" s="90"/>
      <c r="AHJ392" s="90"/>
      <c r="AHK392" s="90"/>
      <c r="AHL392" s="90"/>
      <c r="AHM392" s="90"/>
      <c r="AHN392" s="90"/>
      <c r="AHO392" s="90"/>
      <c r="AHP392" s="90"/>
      <c r="AHQ392" s="90"/>
      <c r="AHR392" s="90"/>
      <c r="AHS392" s="90"/>
      <c r="AHT392" s="90"/>
      <c r="AHU392" s="90"/>
      <c r="AHV392" s="90"/>
      <c r="AHW392" s="90"/>
      <c r="AHX392" s="90"/>
      <c r="AHY392" s="90"/>
      <c r="AHZ392" s="90"/>
      <c r="AIA392" s="90"/>
      <c r="AIB392" s="90"/>
      <c r="AIC392" s="90"/>
      <c r="AID392" s="90"/>
      <c r="AIE392" s="90"/>
      <c r="AIF392" s="90"/>
      <c r="AIG392" s="90"/>
      <c r="AIH392" s="90"/>
      <c r="AII392" s="90"/>
      <c r="AIJ392" s="90"/>
      <c r="AIK392" s="90"/>
      <c r="AIL392" s="90"/>
      <c r="AIM392" s="90"/>
      <c r="AIN392" s="90"/>
      <c r="AIO392" s="90"/>
      <c r="AIP392" s="90"/>
      <c r="AIQ392" s="90"/>
      <c r="AIR392" s="90"/>
      <c r="AIS392" s="90"/>
      <c r="AIT392" s="90"/>
      <c r="AIU392" s="90"/>
      <c r="AIV392" s="90"/>
      <c r="AIW392" s="90"/>
      <c r="AIX392" s="90"/>
      <c r="AIY392" s="90"/>
      <c r="AIZ392" s="90"/>
      <c r="AJA392" s="90"/>
      <c r="AJB392" s="90"/>
      <c r="AJC392" s="90"/>
      <c r="AJD392" s="90"/>
      <c r="AJE392" s="90"/>
      <c r="AJF392" s="90"/>
      <c r="AJG392" s="90"/>
      <c r="AJH392" s="90"/>
      <c r="AJI392" s="90"/>
      <c r="AJJ392" s="90"/>
      <c r="AJK392" s="90"/>
      <c r="AJL392" s="90"/>
      <c r="AJM392" s="90"/>
      <c r="AJN392" s="90"/>
      <c r="AJO392" s="90"/>
      <c r="AJP392" s="90"/>
      <c r="AJQ392" s="90"/>
      <c r="AJR392" s="90"/>
      <c r="AJS392" s="90"/>
      <c r="AJT392" s="90"/>
      <c r="AJU392" s="90"/>
      <c r="AJV392" s="90"/>
      <c r="AJW392" s="90"/>
      <c r="AJX392" s="90"/>
      <c r="AJY392" s="90"/>
      <c r="AJZ392" s="90"/>
      <c r="AKA392" s="90"/>
      <c r="AKB392" s="90"/>
      <c r="AKC392" s="90"/>
      <c r="AKD392" s="90"/>
      <c r="AKE392" s="90"/>
      <c r="AKF392" s="90"/>
      <c r="AKG392" s="90"/>
      <c r="AKH392" s="90"/>
      <c r="AKI392" s="90"/>
      <c r="AKJ392" s="90"/>
      <c r="AKK392" s="90"/>
      <c r="AKL392" s="90"/>
      <c r="AKM392" s="90"/>
      <c r="AKN392" s="90"/>
      <c r="AKO392" s="90"/>
      <c r="AKP392" s="90"/>
      <c r="AKQ392" s="90"/>
      <c r="AKR392" s="90"/>
      <c r="AKS392" s="90"/>
      <c r="AKT392" s="90"/>
      <c r="AKU392" s="90"/>
      <c r="AKV392" s="90"/>
      <c r="AKW392" s="90"/>
      <c r="AKX392" s="90"/>
      <c r="AKY392" s="90"/>
      <c r="AKZ392" s="90"/>
      <c r="ALA392" s="90"/>
      <c r="ALB392" s="90"/>
      <c r="ALC392" s="90"/>
      <c r="ALD392" s="90"/>
      <c r="ALE392" s="90"/>
      <c r="ALF392" s="90"/>
      <c r="ALG392" s="90"/>
      <c r="ALH392" s="90"/>
      <c r="ALI392" s="90"/>
      <c r="ALJ392" s="90"/>
      <c r="ALK392" s="90"/>
      <c r="ALL392" s="90"/>
      <c r="ALM392" s="90"/>
      <c r="ALN392" s="90"/>
      <c r="ALO392" s="90"/>
      <c r="ALP392" s="90"/>
      <c r="ALQ392" s="90"/>
      <c r="ALR392" s="90"/>
      <c r="ALS392" s="90"/>
      <c r="ALT392" s="90"/>
      <c r="ALU392" s="90"/>
      <c r="ALV392" s="90"/>
      <c r="ALW392" s="90"/>
      <c r="ALX392" s="90"/>
      <c r="ALY392" s="90"/>
      <c r="ALZ392" s="90"/>
      <c r="AMA392" s="90"/>
      <c r="AMB392" s="90"/>
      <c r="AMC392" s="90"/>
    </row>
    <row r="393" spans="1:1017" s="100" customFormat="1">
      <c r="A393" s="100">
        <v>11</v>
      </c>
      <c r="B393" s="100" t="s">
        <v>63</v>
      </c>
      <c r="C393" s="100">
        <f t="shared" ref="C393:R393" si="2079">SUM(C394:C430)</f>
        <v>0</v>
      </c>
      <c r="D393" s="100">
        <f t="shared" si="2079"/>
        <v>0</v>
      </c>
      <c r="E393" s="100">
        <f t="shared" si="2079"/>
        <v>1870400</v>
      </c>
      <c r="F393" s="100">
        <f t="shared" si="2079"/>
        <v>77566000</v>
      </c>
      <c r="G393" s="100">
        <f t="shared" si="2079"/>
        <v>0</v>
      </c>
      <c r="H393" s="100">
        <f t="shared" si="2079"/>
        <v>0</v>
      </c>
      <c r="I393" s="100">
        <f t="shared" si="2079"/>
        <v>67700</v>
      </c>
      <c r="J393" s="100">
        <f t="shared" si="2079"/>
        <v>1521500</v>
      </c>
      <c r="K393" s="100">
        <f t="shared" si="2079"/>
        <v>0</v>
      </c>
      <c r="L393" s="100">
        <f t="shared" si="2079"/>
        <v>0</v>
      </c>
      <c r="M393" s="100">
        <f t="shared" si="2079"/>
        <v>600</v>
      </c>
      <c r="N393" s="100">
        <f t="shared" si="2079"/>
        <v>12000</v>
      </c>
      <c r="O393" s="100">
        <f t="shared" si="2079"/>
        <v>0</v>
      </c>
      <c r="P393" s="100">
        <f t="shared" si="2079"/>
        <v>0</v>
      </c>
      <c r="Q393" s="728">
        <f t="shared" si="2079"/>
        <v>1938700</v>
      </c>
      <c r="R393" s="728">
        <f t="shared" si="2079"/>
        <v>79099500</v>
      </c>
      <c r="S393" s="100">
        <f t="shared" ref="S393:CD393" si="2080">SUM(S394:S430)</f>
        <v>2975</v>
      </c>
      <c r="T393" s="100">
        <f t="shared" si="2080"/>
        <v>351775</v>
      </c>
      <c r="U393" s="100">
        <f t="shared" si="2080"/>
        <v>1755495</v>
      </c>
      <c r="V393" s="100">
        <f t="shared" si="2080"/>
        <v>87403750</v>
      </c>
      <c r="W393" s="100">
        <f t="shared" si="2080"/>
        <v>0</v>
      </c>
      <c r="X393" s="100">
        <f t="shared" si="2080"/>
        <v>0</v>
      </c>
      <c r="Y393" s="100">
        <f t="shared" si="2080"/>
        <v>959326</v>
      </c>
      <c r="Z393" s="100">
        <f t="shared" si="2080"/>
        <v>19575475</v>
      </c>
      <c r="AA393" s="100">
        <f t="shared" si="2080"/>
        <v>5405</v>
      </c>
      <c r="AB393" s="100">
        <f t="shared" si="2080"/>
        <v>150100</v>
      </c>
      <c r="AC393" s="100">
        <f t="shared" si="2080"/>
        <v>4875</v>
      </c>
      <c r="AD393" s="100">
        <f t="shared" si="2080"/>
        <v>134700</v>
      </c>
      <c r="AE393" s="100">
        <f t="shared" si="2080"/>
        <v>1975</v>
      </c>
      <c r="AF393" s="100">
        <f t="shared" si="2080"/>
        <v>42500</v>
      </c>
      <c r="AG393" s="728">
        <f t="shared" si="2080"/>
        <v>2730051</v>
      </c>
      <c r="AH393" s="728">
        <f t="shared" si="2080"/>
        <v>107658300</v>
      </c>
      <c r="AI393" s="100">
        <f t="shared" si="2080"/>
        <v>0</v>
      </c>
      <c r="AJ393" s="100">
        <f t="shared" si="2080"/>
        <v>0</v>
      </c>
      <c r="AK393" s="100">
        <f t="shared" si="2080"/>
        <v>36300</v>
      </c>
      <c r="AL393" s="100">
        <f t="shared" si="2080"/>
        <v>2359500</v>
      </c>
      <c r="AM393" s="100">
        <f t="shared" si="2080"/>
        <v>0</v>
      </c>
      <c r="AN393" s="100">
        <f t="shared" si="2080"/>
        <v>0</v>
      </c>
      <c r="AO393" s="100">
        <f t="shared" si="2080"/>
        <v>1603100</v>
      </c>
      <c r="AP393" s="100">
        <f t="shared" si="2080"/>
        <v>36565200</v>
      </c>
      <c r="AQ393" s="100">
        <f t="shared" si="2080"/>
        <v>150</v>
      </c>
      <c r="AR393" s="100">
        <f t="shared" si="2080"/>
        <v>3600</v>
      </c>
      <c r="AS393" s="100">
        <f t="shared" si="2080"/>
        <v>0</v>
      </c>
      <c r="AT393" s="100">
        <f t="shared" si="2080"/>
        <v>0</v>
      </c>
      <c r="AU393" s="100">
        <f t="shared" si="2080"/>
        <v>1910</v>
      </c>
      <c r="AV393" s="100">
        <f t="shared" si="2080"/>
        <v>45840</v>
      </c>
      <c r="AW393" s="728">
        <f t="shared" si="2080"/>
        <v>1641460</v>
      </c>
      <c r="AX393" s="728">
        <f t="shared" si="2080"/>
        <v>38974140</v>
      </c>
      <c r="AY393" s="100">
        <f t="shared" si="2080"/>
        <v>0</v>
      </c>
      <c r="AZ393" s="100">
        <f t="shared" si="2080"/>
        <v>0</v>
      </c>
      <c r="BA393" s="100">
        <f t="shared" si="2080"/>
        <v>0</v>
      </c>
      <c r="BB393" s="100">
        <f t="shared" si="2080"/>
        <v>0</v>
      </c>
      <c r="BC393" s="100">
        <f t="shared" si="2080"/>
        <v>0</v>
      </c>
      <c r="BD393" s="100">
        <f t="shared" si="2080"/>
        <v>0</v>
      </c>
      <c r="BE393" s="100">
        <f t="shared" si="2080"/>
        <v>500677</v>
      </c>
      <c r="BF393" s="100">
        <f t="shared" si="2080"/>
        <v>9860077</v>
      </c>
      <c r="BG393" s="100">
        <f t="shared" si="2080"/>
        <v>1129</v>
      </c>
      <c r="BH393" s="100">
        <f t="shared" si="2080"/>
        <v>26080</v>
      </c>
      <c r="BI393" s="100">
        <f t="shared" si="2080"/>
        <v>0</v>
      </c>
      <c r="BJ393" s="100">
        <f t="shared" si="2080"/>
        <v>0</v>
      </c>
      <c r="BK393" s="100">
        <f t="shared" si="2080"/>
        <v>3811</v>
      </c>
      <c r="BL393" s="100">
        <f t="shared" si="2080"/>
        <v>61485</v>
      </c>
      <c r="BM393" s="728">
        <f t="shared" si="2080"/>
        <v>505617</v>
      </c>
      <c r="BN393" s="728">
        <f t="shared" si="2080"/>
        <v>9947642</v>
      </c>
      <c r="BO393" s="100">
        <f t="shared" si="2080"/>
        <v>0</v>
      </c>
      <c r="BP393" s="100">
        <f t="shared" si="2080"/>
        <v>0</v>
      </c>
      <c r="BQ393" s="100">
        <f t="shared" si="2080"/>
        <v>0</v>
      </c>
      <c r="BR393" s="100">
        <f t="shared" si="2080"/>
        <v>0</v>
      </c>
      <c r="BS393" s="100">
        <f t="shared" si="2080"/>
        <v>0</v>
      </c>
      <c r="BT393" s="100">
        <f t="shared" si="2080"/>
        <v>0</v>
      </c>
      <c r="BU393" s="100">
        <f t="shared" si="2080"/>
        <v>67907</v>
      </c>
      <c r="BV393" s="100">
        <f t="shared" si="2080"/>
        <v>1458717</v>
      </c>
      <c r="BW393" s="100">
        <f t="shared" si="2080"/>
        <v>0</v>
      </c>
      <c r="BX393" s="100">
        <f t="shared" si="2080"/>
        <v>0</v>
      </c>
      <c r="BY393" s="100">
        <f t="shared" si="2080"/>
        <v>0</v>
      </c>
      <c r="BZ393" s="100">
        <f t="shared" si="2080"/>
        <v>0</v>
      </c>
      <c r="CA393" s="100">
        <f t="shared" si="2080"/>
        <v>0</v>
      </c>
      <c r="CB393" s="100">
        <f t="shared" si="2080"/>
        <v>0</v>
      </c>
      <c r="CC393" s="728">
        <f t="shared" si="2080"/>
        <v>67907</v>
      </c>
      <c r="CD393" s="728">
        <f t="shared" si="2080"/>
        <v>1458717</v>
      </c>
      <c r="CE393" s="100">
        <f t="shared" ref="CE393:EP393" si="2081">SUM(CE394:CE430)</f>
        <v>1767741.0263840999</v>
      </c>
      <c r="CF393" s="100">
        <f t="shared" si="2081"/>
        <v>7070964.1055363994</v>
      </c>
      <c r="CG393" s="100">
        <f t="shared" si="2081"/>
        <v>6075891.924249148</v>
      </c>
      <c r="CH393" s="100">
        <f t="shared" si="2081"/>
        <v>167121532.93344417</v>
      </c>
      <c r="CI393" s="100">
        <f t="shared" si="2081"/>
        <v>0</v>
      </c>
      <c r="CJ393" s="100">
        <f t="shared" si="2081"/>
        <v>0</v>
      </c>
      <c r="CK393" s="100">
        <f t="shared" si="2081"/>
        <v>4200087.1096507302</v>
      </c>
      <c r="CL393" s="100">
        <f t="shared" si="2081"/>
        <v>84889666.46502924</v>
      </c>
      <c r="CM393" s="100">
        <f t="shared" si="2081"/>
        <v>0</v>
      </c>
      <c r="CN393" s="100">
        <f t="shared" si="2081"/>
        <v>0</v>
      </c>
      <c r="CO393" s="100">
        <f t="shared" si="2081"/>
        <v>0</v>
      </c>
      <c r="CP393" s="100">
        <f t="shared" si="2081"/>
        <v>0</v>
      </c>
      <c r="CQ393" s="100">
        <f t="shared" si="2081"/>
        <v>0</v>
      </c>
      <c r="CR393" s="100">
        <f t="shared" si="2081"/>
        <v>0</v>
      </c>
      <c r="CS393" s="728">
        <f t="shared" si="2081"/>
        <v>12043720.060283979</v>
      </c>
      <c r="CT393" s="728">
        <f t="shared" si="2081"/>
        <v>259082163.50400975</v>
      </c>
      <c r="CU393" s="100">
        <f t="shared" si="2081"/>
        <v>0</v>
      </c>
      <c r="CV393" s="100">
        <f t="shared" si="2081"/>
        <v>0</v>
      </c>
      <c r="CW393" s="100">
        <f t="shared" si="2081"/>
        <v>427304.99981215235</v>
      </c>
      <c r="CX393" s="100">
        <f t="shared" si="2081"/>
        <v>25439494.48</v>
      </c>
      <c r="CY393" s="100">
        <f t="shared" si="2081"/>
        <v>0</v>
      </c>
      <c r="CZ393" s="100">
        <f t="shared" si="2081"/>
        <v>0</v>
      </c>
      <c r="DA393" s="100">
        <f t="shared" si="2081"/>
        <v>906660.00001222198</v>
      </c>
      <c r="DB393" s="100">
        <f t="shared" si="2081"/>
        <v>19804745.000999998</v>
      </c>
      <c r="DC393" s="100">
        <f t="shared" si="2081"/>
        <v>1470</v>
      </c>
      <c r="DD393" s="100">
        <f t="shared" si="2081"/>
        <v>36750</v>
      </c>
      <c r="DE393" s="100">
        <f t="shared" si="2081"/>
        <v>0</v>
      </c>
      <c r="DF393" s="100">
        <f t="shared" si="2081"/>
        <v>0</v>
      </c>
      <c r="DG393" s="100">
        <f t="shared" si="2081"/>
        <v>0</v>
      </c>
      <c r="DH393" s="100">
        <f t="shared" si="2081"/>
        <v>0</v>
      </c>
      <c r="DI393" s="728">
        <f t="shared" si="2081"/>
        <v>1335434.9998243744</v>
      </c>
      <c r="DJ393" s="728">
        <f t="shared" si="2081"/>
        <v>45280989.480999999</v>
      </c>
      <c r="DK393" s="100">
        <f t="shared" si="2081"/>
        <v>0</v>
      </c>
      <c r="DL393" s="100">
        <f t="shared" si="2081"/>
        <v>0</v>
      </c>
      <c r="DM393" s="100">
        <f t="shared" si="2081"/>
        <v>0</v>
      </c>
      <c r="DN393" s="100">
        <f t="shared" si="2081"/>
        <v>0</v>
      </c>
      <c r="DO393" s="100">
        <f t="shared" si="2081"/>
        <v>0</v>
      </c>
      <c r="DP393" s="100">
        <f t="shared" si="2081"/>
        <v>0</v>
      </c>
      <c r="DQ393" s="100">
        <f t="shared" si="2081"/>
        <v>1185100</v>
      </c>
      <c r="DR393" s="100">
        <f t="shared" si="2081"/>
        <v>23052450</v>
      </c>
      <c r="DS393" s="100">
        <f t="shared" si="2081"/>
        <v>0</v>
      </c>
      <c r="DT393" s="100">
        <f t="shared" si="2081"/>
        <v>0</v>
      </c>
      <c r="DU393" s="100">
        <f t="shared" si="2081"/>
        <v>0</v>
      </c>
      <c r="DV393" s="100">
        <f t="shared" si="2081"/>
        <v>0</v>
      </c>
      <c r="DW393" s="100">
        <f t="shared" si="2081"/>
        <v>0</v>
      </c>
      <c r="DX393" s="100">
        <f t="shared" si="2081"/>
        <v>0</v>
      </c>
      <c r="DY393" s="728">
        <f t="shared" si="2081"/>
        <v>1185100</v>
      </c>
      <c r="DZ393" s="728">
        <f t="shared" si="2081"/>
        <v>23052450</v>
      </c>
      <c r="EA393" s="100">
        <f t="shared" si="2081"/>
        <v>0</v>
      </c>
      <c r="EB393" s="100">
        <f t="shared" si="2081"/>
        <v>0</v>
      </c>
      <c r="EC393" s="100">
        <f t="shared" si="2081"/>
        <v>0</v>
      </c>
      <c r="ED393" s="100">
        <f t="shared" si="2081"/>
        <v>0</v>
      </c>
      <c r="EE393" s="100">
        <f t="shared" si="2081"/>
        <v>0</v>
      </c>
      <c r="EF393" s="100">
        <f t="shared" si="2081"/>
        <v>0</v>
      </c>
      <c r="EG393" s="100">
        <f t="shared" si="2081"/>
        <v>2044945</v>
      </c>
      <c r="EH393" s="100">
        <f t="shared" si="2081"/>
        <v>39656375</v>
      </c>
      <c r="EI393" s="100">
        <f t="shared" si="2081"/>
        <v>0</v>
      </c>
      <c r="EJ393" s="100">
        <f t="shared" si="2081"/>
        <v>0</v>
      </c>
      <c r="EK393" s="100">
        <f t="shared" si="2081"/>
        <v>0</v>
      </c>
      <c r="EL393" s="100">
        <f t="shared" si="2081"/>
        <v>0</v>
      </c>
      <c r="EM393" s="100">
        <f t="shared" si="2081"/>
        <v>0</v>
      </c>
      <c r="EN393" s="100">
        <f t="shared" si="2081"/>
        <v>0</v>
      </c>
      <c r="EO393" s="728">
        <f t="shared" si="2081"/>
        <v>2044945</v>
      </c>
      <c r="EP393" s="728">
        <f t="shared" si="2081"/>
        <v>39656375</v>
      </c>
      <c r="EQ393" s="100">
        <f t="shared" ref="EQ393:HB393" si="2082">SUM(EQ394:EQ430)</f>
        <v>0</v>
      </c>
      <c r="ER393" s="100">
        <f t="shared" si="2082"/>
        <v>0</v>
      </c>
      <c r="ES393" s="100">
        <f t="shared" si="2082"/>
        <v>341275</v>
      </c>
      <c r="ET393" s="100">
        <f t="shared" si="2082"/>
        <v>20245310</v>
      </c>
      <c r="EU393" s="100">
        <f t="shared" si="2082"/>
        <v>0</v>
      </c>
      <c r="EV393" s="100">
        <f t="shared" si="2082"/>
        <v>0</v>
      </c>
      <c r="EW393" s="100">
        <f t="shared" si="2082"/>
        <v>201618</v>
      </c>
      <c r="EX393" s="100">
        <f t="shared" si="2082"/>
        <v>4955249</v>
      </c>
      <c r="EY393" s="100">
        <f t="shared" si="2082"/>
        <v>0</v>
      </c>
      <c r="EZ393" s="100">
        <f t="shared" si="2082"/>
        <v>0</v>
      </c>
      <c r="FA393" s="100">
        <f t="shared" si="2082"/>
        <v>2374</v>
      </c>
      <c r="FB393" s="100">
        <f t="shared" si="2082"/>
        <v>42732</v>
      </c>
      <c r="FC393" s="100">
        <f t="shared" si="2082"/>
        <v>170</v>
      </c>
      <c r="FD393" s="100">
        <f t="shared" si="2082"/>
        <v>3400</v>
      </c>
      <c r="FE393" s="728">
        <f t="shared" si="2082"/>
        <v>545437</v>
      </c>
      <c r="FF393" s="728">
        <f t="shared" si="2082"/>
        <v>25246691</v>
      </c>
      <c r="FG393" s="100">
        <f t="shared" si="2082"/>
        <v>0</v>
      </c>
      <c r="FH393" s="100">
        <f t="shared" si="2082"/>
        <v>0</v>
      </c>
      <c r="FI393" s="100">
        <f t="shared" si="2082"/>
        <v>115000</v>
      </c>
      <c r="FJ393" s="100">
        <f t="shared" si="2082"/>
        <v>6900000</v>
      </c>
      <c r="FK393" s="100">
        <f t="shared" si="2082"/>
        <v>0</v>
      </c>
      <c r="FL393" s="100">
        <f t="shared" si="2082"/>
        <v>0</v>
      </c>
      <c r="FM393" s="100">
        <f t="shared" si="2082"/>
        <v>206067</v>
      </c>
      <c r="FN393" s="100">
        <f t="shared" si="2082"/>
        <v>5143275</v>
      </c>
      <c r="FO393" s="100">
        <f t="shared" si="2082"/>
        <v>0</v>
      </c>
      <c r="FP393" s="100">
        <f t="shared" si="2082"/>
        <v>0</v>
      </c>
      <c r="FQ393" s="100">
        <f t="shared" si="2082"/>
        <v>0</v>
      </c>
      <c r="FR393" s="100">
        <f t="shared" si="2082"/>
        <v>0</v>
      </c>
      <c r="FS393" s="100">
        <f t="shared" si="2082"/>
        <v>68386</v>
      </c>
      <c r="FT393" s="100">
        <f t="shared" si="2082"/>
        <v>1914808</v>
      </c>
      <c r="FU393" s="728">
        <f t="shared" si="2082"/>
        <v>389453</v>
      </c>
      <c r="FV393" s="728">
        <f t="shared" si="2082"/>
        <v>13958083</v>
      </c>
      <c r="FW393" s="100">
        <f t="shared" si="2082"/>
        <v>0</v>
      </c>
      <c r="FX393" s="100">
        <f t="shared" si="2082"/>
        <v>0</v>
      </c>
      <c r="FY393" s="100">
        <f t="shared" si="2082"/>
        <v>0</v>
      </c>
      <c r="FZ393" s="100">
        <f t="shared" si="2082"/>
        <v>0</v>
      </c>
      <c r="GA393" s="100">
        <f t="shared" si="2082"/>
        <v>0</v>
      </c>
      <c r="GB393" s="100">
        <f t="shared" si="2082"/>
        <v>0</v>
      </c>
      <c r="GC393" s="100">
        <f t="shared" si="2082"/>
        <v>328750</v>
      </c>
      <c r="GD393" s="100">
        <f t="shared" si="2082"/>
        <v>6860000</v>
      </c>
      <c r="GE393" s="100">
        <f t="shared" si="2082"/>
        <v>0</v>
      </c>
      <c r="GF393" s="100">
        <f t="shared" si="2082"/>
        <v>0</v>
      </c>
      <c r="GG393" s="100">
        <f t="shared" si="2082"/>
        <v>0</v>
      </c>
      <c r="GH393" s="100">
        <f t="shared" si="2082"/>
        <v>0</v>
      </c>
      <c r="GI393" s="100">
        <f t="shared" si="2082"/>
        <v>0</v>
      </c>
      <c r="GJ393" s="100">
        <f t="shared" si="2082"/>
        <v>0</v>
      </c>
      <c r="GK393" s="728">
        <f t="shared" si="2082"/>
        <v>328750</v>
      </c>
      <c r="GL393" s="728">
        <f t="shared" si="2082"/>
        <v>6860000</v>
      </c>
      <c r="GM393" s="100">
        <f t="shared" si="2082"/>
        <v>0</v>
      </c>
      <c r="GN393" s="100">
        <f t="shared" si="2082"/>
        <v>0</v>
      </c>
      <c r="GO393" s="100">
        <f t="shared" si="2082"/>
        <v>0</v>
      </c>
      <c r="GP393" s="100">
        <f t="shared" si="2082"/>
        <v>0</v>
      </c>
      <c r="GQ393" s="100">
        <f t="shared" si="2082"/>
        <v>0</v>
      </c>
      <c r="GR393" s="100">
        <f t="shared" si="2082"/>
        <v>0</v>
      </c>
      <c r="GS393" s="100">
        <f t="shared" si="2082"/>
        <v>155500</v>
      </c>
      <c r="GT393" s="100">
        <f t="shared" si="2082"/>
        <v>2991000</v>
      </c>
      <c r="GU393" s="100">
        <f t="shared" si="2082"/>
        <v>0</v>
      </c>
      <c r="GV393" s="100">
        <f t="shared" si="2082"/>
        <v>0</v>
      </c>
      <c r="GW393" s="100">
        <f t="shared" si="2082"/>
        <v>0</v>
      </c>
      <c r="GX393" s="100">
        <f t="shared" si="2082"/>
        <v>0</v>
      </c>
      <c r="GY393" s="100">
        <f t="shared" si="2082"/>
        <v>150</v>
      </c>
      <c r="GZ393" s="100">
        <f t="shared" si="2082"/>
        <v>4150</v>
      </c>
      <c r="HA393" s="728">
        <f t="shared" si="2082"/>
        <v>155650</v>
      </c>
      <c r="HB393" s="728">
        <f t="shared" si="2082"/>
        <v>2995150</v>
      </c>
      <c r="HC393" s="100">
        <f t="shared" ref="HC393:JN393" si="2083">SUM(HC394:HC430)</f>
        <v>0</v>
      </c>
      <c r="HD393" s="100">
        <f t="shared" si="2083"/>
        <v>0</v>
      </c>
      <c r="HE393" s="100">
        <f t="shared" si="2083"/>
        <v>180000</v>
      </c>
      <c r="HF393" s="100">
        <f t="shared" si="2083"/>
        <v>13320000</v>
      </c>
      <c r="HG393" s="100">
        <f t="shared" si="2083"/>
        <v>0</v>
      </c>
      <c r="HH393" s="100">
        <f t="shared" si="2083"/>
        <v>0</v>
      </c>
      <c r="HI393" s="100">
        <f t="shared" si="2083"/>
        <v>664000</v>
      </c>
      <c r="HJ393" s="100">
        <f t="shared" si="2083"/>
        <v>12471000</v>
      </c>
      <c r="HK393" s="100">
        <f t="shared" si="2083"/>
        <v>0</v>
      </c>
      <c r="HL393" s="100">
        <f t="shared" si="2083"/>
        <v>0</v>
      </c>
      <c r="HM393" s="100">
        <f t="shared" si="2083"/>
        <v>0</v>
      </c>
      <c r="HN393" s="100">
        <f t="shared" si="2083"/>
        <v>0</v>
      </c>
      <c r="HO393" s="100">
        <f t="shared" si="2083"/>
        <v>300000</v>
      </c>
      <c r="HP393" s="100">
        <f t="shared" si="2083"/>
        <v>6900000</v>
      </c>
      <c r="HQ393" s="728">
        <f t="shared" si="2083"/>
        <v>1144000</v>
      </c>
      <c r="HR393" s="728">
        <f t="shared" si="2083"/>
        <v>32691000</v>
      </c>
      <c r="HS393" s="100">
        <f t="shared" si="2083"/>
        <v>0</v>
      </c>
      <c r="HT393" s="100">
        <f t="shared" si="2083"/>
        <v>0</v>
      </c>
      <c r="HU393" s="100">
        <f t="shared" si="2083"/>
        <v>0</v>
      </c>
      <c r="HV393" s="100">
        <f t="shared" si="2083"/>
        <v>0</v>
      </c>
      <c r="HW393" s="100">
        <f t="shared" si="2083"/>
        <v>0</v>
      </c>
      <c r="HX393" s="100">
        <f t="shared" si="2083"/>
        <v>0</v>
      </c>
      <c r="HY393" s="100">
        <f t="shared" si="2083"/>
        <v>156200</v>
      </c>
      <c r="HZ393" s="100">
        <f t="shared" si="2083"/>
        <v>2877300</v>
      </c>
      <c r="IA393" s="100">
        <f t="shared" si="2083"/>
        <v>0</v>
      </c>
      <c r="IB393" s="100">
        <f t="shared" si="2083"/>
        <v>0</v>
      </c>
      <c r="IC393" s="100">
        <f t="shared" si="2083"/>
        <v>0</v>
      </c>
      <c r="ID393" s="100">
        <f t="shared" si="2083"/>
        <v>0</v>
      </c>
      <c r="IE393" s="100">
        <f t="shared" si="2083"/>
        <v>500</v>
      </c>
      <c r="IF393" s="100">
        <f t="shared" si="2083"/>
        <v>12500</v>
      </c>
      <c r="IG393" s="728">
        <f t="shared" si="2083"/>
        <v>156700</v>
      </c>
      <c r="IH393" s="728">
        <f t="shared" si="2083"/>
        <v>2889800</v>
      </c>
      <c r="II393" s="100">
        <f t="shared" si="2083"/>
        <v>0</v>
      </c>
      <c r="IJ393" s="100">
        <f t="shared" si="2083"/>
        <v>0</v>
      </c>
      <c r="IK393" s="100">
        <f t="shared" si="2083"/>
        <v>0</v>
      </c>
      <c r="IL393" s="100">
        <f t="shared" si="2083"/>
        <v>0</v>
      </c>
      <c r="IM393" s="100">
        <f t="shared" si="2083"/>
        <v>0</v>
      </c>
      <c r="IN393" s="100">
        <f t="shared" si="2083"/>
        <v>0</v>
      </c>
      <c r="IO393" s="96">
        <f t="shared" si="2083"/>
        <v>867600</v>
      </c>
      <c r="IP393" s="96">
        <f t="shared" si="2083"/>
        <v>17536910</v>
      </c>
      <c r="IQ393" s="100">
        <f t="shared" si="2083"/>
        <v>0</v>
      </c>
      <c r="IR393" s="100">
        <f t="shared" si="2083"/>
        <v>0</v>
      </c>
      <c r="IS393" s="100">
        <f t="shared" si="2083"/>
        <v>0</v>
      </c>
      <c r="IT393" s="100">
        <f t="shared" si="2083"/>
        <v>0</v>
      </c>
      <c r="IU393" s="100">
        <f t="shared" si="2083"/>
        <v>0</v>
      </c>
      <c r="IV393" s="100">
        <f t="shared" si="2083"/>
        <v>0</v>
      </c>
      <c r="IW393" s="728">
        <f t="shared" si="2083"/>
        <v>867600</v>
      </c>
      <c r="IX393" s="728">
        <f t="shared" si="2083"/>
        <v>17536910</v>
      </c>
      <c r="IY393" s="100">
        <f t="shared" si="2083"/>
        <v>0</v>
      </c>
      <c r="IZ393" s="100">
        <f t="shared" si="2083"/>
        <v>0</v>
      </c>
      <c r="JA393" s="100">
        <f t="shared" si="2083"/>
        <v>0</v>
      </c>
      <c r="JB393" s="100">
        <f t="shared" si="2083"/>
        <v>0</v>
      </c>
      <c r="JC393" s="100">
        <f t="shared" si="2083"/>
        <v>0</v>
      </c>
      <c r="JD393" s="100">
        <f t="shared" si="2083"/>
        <v>0</v>
      </c>
      <c r="JE393" s="100">
        <f t="shared" si="2083"/>
        <v>359041</v>
      </c>
      <c r="JF393" s="100">
        <f t="shared" si="2083"/>
        <v>6820976</v>
      </c>
      <c r="JG393" s="100">
        <f t="shared" si="2083"/>
        <v>0</v>
      </c>
      <c r="JH393" s="100">
        <f t="shared" si="2083"/>
        <v>0</v>
      </c>
      <c r="JI393" s="100">
        <f t="shared" si="2083"/>
        <v>0</v>
      </c>
      <c r="JJ393" s="100">
        <f t="shared" si="2083"/>
        <v>0</v>
      </c>
      <c r="JK393" s="100">
        <f t="shared" si="2083"/>
        <v>6430</v>
      </c>
      <c r="JL393" s="100">
        <f t="shared" si="2083"/>
        <v>119710</v>
      </c>
      <c r="JM393" s="728">
        <f t="shared" si="2083"/>
        <v>365471</v>
      </c>
      <c r="JN393" s="728">
        <f t="shared" si="2083"/>
        <v>6940686</v>
      </c>
      <c r="JO393" s="100">
        <f t="shared" ref="JO393:LZ393" si="2084">SUM(JO394:JO430)</f>
        <v>0</v>
      </c>
      <c r="JP393" s="100">
        <f t="shared" si="2084"/>
        <v>0</v>
      </c>
      <c r="JQ393" s="100">
        <f t="shared" si="2084"/>
        <v>173447</v>
      </c>
      <c r="JR393" s="100">
        <f t="shared" si="2084"/>
        <v>13882160</v>
      </c>
      <c r="JS393" s="100">
        <f t="shared" si="2084"/>
        <v>0</v>
      </c>
      <c r="JT393" s="100">
        <f t="shared" si="2084"/>
        <v>0</v>
      </c>
      <c r="JU393" s="100">
        <f t="shared" si="2084"/>
        <v>78002</v>
      </c>
      <c r="JV393" s="100">
        <f t="shared" si="2084"/>
        <v>2001361</v>
      </c>
      <c r="JW393" s="100">
        <f t="shared" si="2084"/>
        <v>0</v>
      </c>
      <c r="JX393" s="100">
        <f t="shared" si="2084"/>
        <v>0</v>
      </c>
      <c r="JY393" s="100">
        <f t="shared" si="2084"/>
        <v>0</v>
      </c>
      <c r="JZ393" s="100">
        <f t="shared" si="2084"/>
        <v>0</v>
      </c>
      <c r="KA393" s="100">
        <f t="shared" si="2084"/>
        <v>0</v>
      </c>
      <c r="KB393" s="100">
        <f t="shared" si="2084"/>
        <v>0</v>
      </c>
      <c r="KC393" s="728">
        <f t="shared" si="2084"/>
        <v>251449</v>
      </c>
      <c r="KD393" s="728">
        <f t="shared" si="2084"/>
        <v>15883521</v>
      </c>
      <c r="KE393" s="100">
        <f t="shared" si="2084"/>
        <v>0</v>
      </c>
      <c r="KF393" s="100">
        <f t="shared" si="2084"/>
        <v>0</v>
      </c>
      <c r="KG393" s="100">
        <f t="shared" si="2084"/>
        <v>55360</v>
      </c>
      <c r="KH393" s="100">
        <f t="shared" si="2084"/>
        <v>3314400</v>
      </c>
      <c r="KI393" s="100">
        <f t="shared" si="2084"/>
        <v>0</v>
      </c>
      <c r="KJ393" s="100">
        <f t="shared" si="2084"/>
        <v>0</v>
      </c>
      <c r="KK393" s="100">
        <f t="shared" si="2084"/>
        <v>88720</v>
      </c>
      <c r="KL393" s="100">
        <f t="shared" si="2084"/>
        <v>1782700</v>
      </c>
      <c r="KM393" s="100">
        <f t="shared" si="2084"/>
        <v>0</v>
      </c>
      <c r="KN393" s="100">
        <f t="shared" si="2084"/>
        <v>0</v>
      </c>
      <c r="KO393" s="100">
        <f t="shared" si="2084"/>
        <v>0</v>
      </c>
      <c r="KP393" s="100">
        <f t="shared" si="2084"/>
        <v>0</v>
      </c>
      <c r="KQ393" s="100">
        <f t="shared" si="2084"/>
        <v>0</v>
      </c>
      <c r="KR393" s="100">
        <f t="shared" si="2084"/>
        <v>0</v>
      </c>
      <c r="KS393" s="728">
        <f t="shared" si="2084"/>
        <v>144080</v>
      </c>
      <c r="KT393" s="728">
        <f t="shared" si="2084"/>
        <v>5097100</v>
      </c>
      <c r="KU393" s="100">
        <f t="shared" si="2084"/>
        <v>0</v>
      </c>
      <c r="KV393" s="100">
        <f t="shared" si="2084"/>
        <v>0</v>
      </c>
      <c r="KW393" s="100">
        <f t="shared" si="2084"/>
        <v>690152.37</v>
      </c>
      <c r="KX393" s="100">
        <f t="shared" si="2084"/>
        <v>10607516</v>
      </c>
      <c r="KY393" s="100">
        <f t="shared" si="2084"/>
        <v>0</v>
      </c>
      <c r="KZ393" s="100">
        <f t="shared" si="2084"/>
        <v>0</v>
      </c>
      <c r="LA393" s="100">
        <f t="shared" si="2084"/>
        <v>1023943.2899999999</v>
      </c>
      <c r="LB393" s="100">
        <f t="shared" si="2084"/>
        <v>18576795</v>
      </c>
      <c r="LC393" s="100">
        <f t="shared" si="2084"/>
        <v>0</v>
      </c>
      <c r="LD393" s="100">
        <f t="shared" si="2084"/>
        <v>0</v>
      </c>
      <c r="LE393" s="100">
        <f t="shared" si="2084"/>
        <v>0</v>
      </c>
      <c r="LF393" s="100">
        <f t="shared" si="2084"/>
        <v>0</v>
      </c>
      <c r="LG393" s="100">
        <f t="shared" si="2084"/>
        <v>13892.84</v>
      </c>
      <c r="LH393" s="100">
        <f t="shared" si="2084"/>
        <v>361213</v>
      </c>
      <c r="LI393" s="728">
        <f t="shared" si="2084"/>
        <v>1727988.5</v>
      </c>
      <c r="LJ393" s="728">
        <f t="shared" si="2084"/>
        <v>29545524</v>
      </c>
      <c r="LK393" s="100">
        <f t="shared" si="2084"/>
        <v>0</v>
      </c>
      <c r="LL393" s="100">
        <f t="shared" si="2084"/>
        <v>0</v>
      </c>
      <c r="LM393" s="100">
        <f t="shared" si="2084"/>
        <v>0</v>
      </c>
      <c r="LN393" s="100">
        <f t="shared" si="2084"/>
        <v>0</v>
      </c>
      <c r="LO393" s="100">
        <f t="shared" si="2084"/>
        <v>0</v>
      </c>
      <c r="LP393" s="100">
        <f t="shared" si="2084"/>
        <v>0</v>
      </c>
      <c r="LQ393" s="100">
        <f t="shared" si="2084"/>
        <v>174604</v>
      </c>
      <c r="LR393" s="100">
        <f t="shared" si="2084"/>
        <v>3560621</v>
      </c>
      <c r="LS393" s="100">
        <f t="shared" si="2084"/>
        <v>0</v>
      </c>
      <c r="LT393" s="100">
        <f t="shared" si="2084"/>
        <v>0</v>
      </c>
      <c r="LU393" s="100">
        <f t="shared" si="2084"/>
        <v>0</v>
      </c>
      <c r="LV393" s="100">
        <f t="shared" si="2084"/>
        <v>0</v>
      </c>
      <c r="LW393" s="100">
        <f t="shared" si="2084"/>
        <v>1190</v>
      </c>
      <c r="LX393" s="100">
        <f t="shared" si="2084"/>
        <v>35700</v>
      </c>
      <c r="LY393" s="728">
        <f t="shared" si="2084"/>
        <v>175794</v>
      </c>
      <c r="LZ393" s="728">
        <f t="shared" si="2084"/>
        <v>3596321</v>
      </c>
      <c r="MA393" s="100">
        <f t="shared" ref="MA393:MN393" si="2085">SUM(MA394:MA430)</f>
        <v>52600</v>
      </c>
      <c r="MB393" s="100">
        <f t="shared" si="2085"/>
        <v>4471000</v>
      </c>
      <c r="MC393" s="100">
        <f t="shared" si="2085"/>
        <v>627220</v>
      </c>
      <c r="MD393" s="100">
        <f t="shared" si="2085"/>
        <v>28833800</v>
      </c>
      <c r="ME393" s="100">
        <f t="shared" si="2085"/>
        <v>0</v>
      </c>
      <c r="MF393" s="100">
        <f t="shared" si="2085"/>
        <v>0</v>
      </c>
      <c r="MG393" s="100">
        <f t="shared" si="2085"/>
        <v>54360</v>
      </c>
      <c r="MH393" s="100">
        <f t="shared" si="2085"/>
        <v>1006545</v>
      </c>
      <c r="MI393" s="100">
        <f t="shared" si="2085"/>
        <v>0</v>
      </c>
      <c r="MJ393" s="100">
        <f t="shared" si="2085"/>
        <v>0</v>
      </c>
      <c r="MK393" s="100">
        <f t="shared" si="2085"/>
        <v>0</v>
      </c>
      <c r="ML393" s="100">
        <f t="shared" si="2085"/>
        <v>0</v>
      </c>
      <c r="MM393" s="100">
        <f t="shared" si="2085"/>
        <v>2210</v>
      </c>
      <c r="MN393" s="100">
        <f t="shared" si="2085"/>
        <v>39780</v>
      </c>
      <c r="MO393" s="728">
        <f t="shared" ref="MO393:OL393" si="2086">SUM(MO394:MO430)</f>
        <v>736390</v>
      </c>
      <c r="MP393" s="728">
        <f t="shared" si="2086"/>
        <v>34351125</v>
      </c>
      <c r="MQ393" s="100">
        <f t="shared" si="2086"/>
        <v>0</v>
      </c>
      <c r="MR393" s="100">
        <f t="shared" si="2086"/>
        <v>0</v>
      </c>
      <c r="MS393" s="100">
        <f t="shared" si="2086"/>
        <v>56693</v>
      </c>
      <c r="MT393" s="100">
        <f t="shared" si="2086"/>
        <v>1673806</v>
      </c>
      <c r="MU393" s="100">
        <f t="shared" si="2086"/>
        <v>0</v>
      </c>
      <c r="MV393" s="100">
        <f t="shared" si="2086"/>
        <v>0</v>
      </c>
      <c r="MW393" s="100">
        <f t="shared" si="2086"/>
        <v>19920</v>
      </c>
      <c r="MX393" s="100">
        <f t="shared" si="2086"/>
        <v>458300</v>
      </c>
      <c r="MY393" s="100">
        <f t="shared" si="2086"/>
        <v>0</v>
      </c>
      <c r="MZ393" s="100">
        <f t="shared" si="2086"/>
        <v>0</v>
      </c>
      <c r="NA393" s="100">
        <f t="shared" si="2086"/>
        <v>0</v>
      </c>
      <c r="NB393" s="100">
        <f t="shared" si="2086"/>
        <v>0</v>
      </c>
      <c r="NC393" s="100">
        <f t="shared" si="2086"/>
        <v>0</v>
      </c>
      <c r="ND393" s="100">
        <f t="shared" si="2086"/>
        <v>0</v>
      </c>
      <c r="NE393" s="728">
        <f t="shared" si="2086"/>
        <v>76613</v>
      </c>
      <c r="NF393" s="728">
        <f t="shared" si="2086"/>
        <v>2132106</v>
      </c>
      <c r="NG393" s="100">
        <f t="shared" si="2086"/>
        <v>0</v>
      </c>
      <c r="NH393" s="100">
        <f t="shared" si="2086"/>
        <v>0</v>
      </c>
      <c r="NI393" s="100">
        <f t="shared" si="2086"/>
        <v>5538128</v>
      </c>
      <c r="NJ393" s="100">
        <f t="shared" si="2086"/>
        <v>145358460</v>
      </c>
      <c r="NK393" s="100">
        <f t="shared" si="2086"/>
        <v>0</v>
      </c>
      <c r="NL393" s="100">
        <f t="shared" si="2086"/>
        <v>0</v>
      </c>
      <c r="NM393" s="100">
        <f t="shared" si="2086"/>
        <v>2458500</v>
      </c>
      <c r="NN393" s="100">
        <f t="shared" si="2086"/>
        <v>39813000</v>
      </c>
      <c r="NO393" s="100">
        <f t="shared" si="2086"/>
        <v>0</v>
      </c>
      <c r="NP393" s="100">
        <f t="shared" si="2086"/>
        <v>0</v>
      </c>
      <c r="NQ393" s="100">
        <f t="shared" si="2086"/>
        <v>28629</v>
      </c>
      <c r="NR393" s="100">
        <f t="shared" si="2086"/>
        <v>523484</v>
      </c>
      <c r="NS393" s="100">
        <f t="shared" si="2086"/>
        <v>0</v>
      </c>
      <c r="NT393" s="100">
        <f t="shared" si="2086"/>
        <v>0</v>
      </c>
      <c r="NU393" s="728">
        <f t="shared" si="2086"/>
        <v>8025257</v>
      </c>
      <c r="NV393" s="728">
        <f t="shared" si="2086"/>
        <v>185694944</v>
      </c>
      <c r="NW393" s="100">
        <f t="shared" si="2086"/>
        <v>8130</v>
      </c>
      <c r="NX393" s="100">
        <f t="shared" si="2086"/>
        <v>166200</v>
      </c>
      <c r="NY393" s="100">
        <f t="shared" si="2086"/>
        <v>850490</v>
      </c>
      <c r="NZ393" s="100">
        <f t="shared" si="2086"/>
        <v>33691815</v>
      </c>
      <c r="OA393" s="100">
        <f t="shared" si="2086"/>
        <v>0</v>
      </c>
      <c r="OB393" s="100">
        <f t="shared" si="2086"/>
        <v>0</v>
      </c>
      <c r="OC393" s="100">
        <f t="shared" si="2086"/>
        <v>60884</v>
      </c>
      <c r="OD393" s="100">
        <f t="shared" si="2086"/>
        <v>1159421</v>
      </c>
      <c r="OE393" s="100">
        <f t="shared" si="2086"/>
        <v>0</v>
      </c>
      <c r="OF393" s="100">
        <f t="shared" si="2086"/>
        <v>0</v>
      </c>
      <c r="OG393" s="100">
        <f t="shared" si="2086"/>
        <v>0</v>
      </c>
      <c r="OH393" s="100">
        <f t="shared" si="2086"/>
        <v>0</v>
      </c>
      <c r="OI393" s="100">
        <f t="shared" si="2086"/>
        <v>0</v>
      </c>
      <c r="OJ393" s="100">
        <f t="shared" si="2086"/>
        <v>0</v>
      </c>
      <c r="OK393" s="728">
        <f t="shared" si="2086"/>
        <v>919504</v>
      </c>
      <c r="OL393" s="728">
        <f t="shared" si="2086"/>
        <v>35017436</v>
      </c>
      <c r="OM393" s="100">
        <f t="shared" ref="OM393:QX393" si="2087">SUM(OM394:OM430)</f>
        <v>70484650</v>
      </c>
      <c r="ON393" s="100">
        <f t="shared" si="2087"/>
        <v>357643400</v>
      </c>
      <c r="OO393" s="100">
        <f t="shared" si="2087"/>
        <v>516103</v>
      </c>
      <c r="OP393" s="100">
        <f t="shared" si="2087"/>
        <v>32108221</v>
      </c>
      <c r="OQ393" s="100">
        <f t="shared" si="2087"/>
        <v>0</v>
      </c>
      <c r="OR393" s="100">
        <f t="shared" si="2087"/>
        <v>0</v>
      </c>
      <c r="OS393" s="100">
        <f t="shared" si="2087"/>
        <v>39597</v>
      </c>
      <c r="OT393" s="100">
        <f t="shared" si="2087"/>
        <v>871137</v>
      </c>
      <c r="OU393" s="100">
        <f t="shared" si="2087"/>
        <v>0</v>
      </c>
      <c r="OV393" s="100">
        <f t="shared" si="2087"/>
        <v>0</v>
      </c>
      <c r="OW393" s="100">
        <f t="shared" si="2087"/>
        <v>0</v>
      </c>
      <c r="OX393" s="100">
        <f t="shared" si="2087"/>
        <v>0</v>
      </c>
      <c r="OY393" s="100">
        <f t="shared" si="2087"/>
        <v>0</v>
      </c>
      <c r="OZ393" s="100">
        <f t="shared" si="2087"/>
        <v>0</v>
      </c>
      <c r="PA393" s="728">
        <f t="shared" si="2087"/>
        <v>71040350</v>
      </c>
      <c r="PB393" s="728">
        <f t="shared" si="2087"/>
        <v>390622758</v>
      </c>
      <c r="PC393" s="100">
        <f t="shared" si="2087"/>
        <v>55</v>
      </c>
      <c r="PD393" s="100">
        <f t="shared" si="2087"/>
        <v>3025</v>
      </c>
      <c r="PE393" s="100">
        <f t="shared" si="2087"/>
        <v>13154</v>
      </c>
      <c r="PF393" s="100">
        <f t="shared" si="2087"/>
        <v>855010</v>
      </c>
      <c r="PG393" s="100">
        <f t="shared" si="2087"/>
        <v>0</v>
      </c>
      <c r="PH393" s="100">
        <f t="shared" si="2087"/>
        <v>0</v>
      </c>
      <c r="PI393" s="100">
        <f t="shared" si="2087"/>
        <v>363234</v>
      </c>
      <c r="PJ393" s="100">
        <f t="shared" si="2087"/>
        <v>6695541</v>
      </c>
      <c r="PK393" s="100">
        <f t="shared" si="2087"/>
        <v>0</v>
      </c>
      <c r="PL393" s="100">
        <f t="shared" si="2087"/>
        <v>0</v>
      </c>
      <c r="PM393" s="100">
        <f t="shared" si="2087"/>
        <v>0</v>
      </c>
      <c r="PN393" s="100">
        <f t="shared" si="2087"/>
        <v>0</v>
      </c>
      <c r="PO393" s="100">
        <f t="shared" si="2087"/>
        <v>0</v>
      </c>
      <c r="PP393" s="100">
        <f t="shared" si="2087"/>
        <v>0</v>
      </c>
      <c r="PQ393" s="728">
        <f t="shared" si="2087"/>
        <v>376443</v>
      </c>
      <c r="PR393" s="728">
        <f t="shared" si="2087"/>
        <v>7553576</v>
      </c>
      <c r="PS393" s="100">
        <f t="shared" si="2087"/>
        <v>600</v>
      </c>
      <c r="PT393" s="100">
        <f t="shared" si="2087"/>
        <v>63000</v>
      </c>
      <c r="PU393" s="100">
        <f t="shared" si="2087"/>
        <v>1967570</v>
      </c>
      <c r="PV393" s="100">
        <f t="shared" si="2087"/>
        <v>66548000</v>
      </c>
      <c r="PW393" s="100">
        <f t="shared" si="2087"/>
        <v>0</v>
      </c>
      <c r="PX393" s="100">
        <f t="shared" si="2087"/>
        <v>0</v>
      </c>
      <c r="PY393" s="100">
        <f t="shared" si="2087"/>
        <v>1687000</v>
      </c>
      <c r="PZ393" s="100">
        <f t="shared" si="2087"/>
        <v>30609000</v>
      </c>
      <c r="QA393" s="100">
        <f t="shared" si="2087"/>
        <v>1124670</v>
      </c>
      <c r="QB393" s="100">
        <f t="shared" si="2087"/>
        <v>33426450</v>
      </c>
      <c r="QC393" s="100">
        <f t="shared" si="2087"/>
        <v>843500</v>
      </c>
      <c r="QD393" s="100">
        <f t="shared" si="2087"/>
        <v>15353130</v>
      </c>
      <c r="QE393" s="100">
        <f t="shared" si="2087"/>
        <v>0</v>
      </c>
      <c r="QF393" s="100">
        <f t="shared" si="2087"/>
        <v>0</v>
      </c>
      <c r="QG393" s="728">
        <f t="shared" si="2087"/>
        <v>5623340</v>
      </c>
      <c r="QH393" s="728">
        <f t="shared" si="2087"/>
        <v>145999580</v>
      </c>
      <c r="QI393" s="100">
        <f t="shared" si="2087"/>
        <v>0</v>
      </c>
      <c r="QJ393" s="100">
        <f t="shared" si="2087"/>
        <v>0</v>
      </c>
      <c r="QK393" s="100">
        <f t="shared" si="2087"/>
        <v>0</v>
      </c>
      <c r="QL393" s="100">
        <f t="shared" si="2087"/>
        <v>0</v>
      </c>
      <c r="QM393" s="100">
        <f t="shared" si="2087"/>
        <v>0</v>
      </c>
      <c r="QN393" s="100">
        <f t="shared" si="2087"/>
        <v>0</v>
      </c>
      <c r="QO393" s="100">
        <f t="shared" si="2087"/>
        <v>4935000</v>
      </c>
      <c r="QP393" s="100">
        <f t="shared" si="2087"/>
        <v>118825000</v>
      </c>
      <c r="QQ393" s="100">
        <f t="shared" si="2087"/>
        <v>0</v>
      </c>
      <c r="QR393" s="100">
        <f t="shared" si="2087"/>
        <v>0</v>
      </c>
      <c r="QS393" s="100">
        <f t="shared" si="2087"/>
        <v>0</v>
      </c>
      <c r="QT393" s="100">
        <f t="shared" si="2087"/>
        <v>0</v>
      </c>
      <c r="QU393" s="100">
        <f t="shared" si="2087"/>
        <v>0</v>
      </c>
      <c r="QV393" s="100">
        <f t="shared" si="2087"/>
        <v>0</v>
      </c>
      <c r="QW393" s="728">
        <f t="shared" si="2087"/>
        <v>4935000</v>
      </c>
      <c r="QX393" s="728">
        <f t="shared" si="2087"/>
        <v>118825000</v>
      </c>
      <c r="QY393" s="100">
        <f t="shared" ref="QY393:TJ393" si="2088">SUM(QY394:QY430)</f>
        <v>0</v>
      </c>
      <c r="QZ393" s="100">
        <f t="shared" si="2088"/>
        <v>0</v>
      </c>
      <c r="RA393" s="100">
        <f t="shared" si="2088"/>
        <v>0</v>
      </c>
      <c r="RB393" s="100">
        <f t="shared" si="2088"/>
        <v>0</v>
      </c>
      <c r="RC393" s="100">
        <f t="shared" si="2088"/>
        <v>0</v>
      </c>
      <c r="RD393" s="100">
        <f t="shared" si="2088"/>
        <v>0</v>
      </c>
      <c r="RE393" s="100">
        <f t="shared" si="2088"/>
        <v>5863</v>
      </c>
      <c r="RF393" s="100">
        <f t="shared" si="2088"/>
        <v>141931</v>
      </c>
      <c r="RG393" s="100">
        <f t="shared" si="2088"/>
        <v>0</v>
      </c>
      <c r="RH393" s="100">
        <f t="shared" si="2088"/>
        <v>0</v>
      </c>
      <c r="RI393" s="100">
        <f t="shared" si="2088"/>
        <v>0</v>
      </c>
      <c r="RJ393" s="100">
        <f t="shared" si="2088"/>
        <v>0</v>
      </c>
      <c r="RK393" s="100">
        <f t="shared" si="2088"/>
        <v>0</v>
      </c>
      <c r="RL393" s="100">
        <f t="shared" si="2088"/>
        <v>0</v>
      </c>
      <c r="RM393" s="728">
        <f t="shared" si="2088"/>
        <v>5863</v>
      </c>
      <c r="RN393" s="728">
        <f t="shared" si="2088"/>
        <v>141931</v>
      </c>
      <c r="RO393" s="100">
        <f t="shared" si="2088"/>
        <v>0</v>
      </c>
      <c r="RP393" s="100">
        <f t="shared" si="2088"/>
        <v>0</v>
      </c>
      <c r="RQ393" s="100">
        <f t="shared" si="2088"/>
        <v>0</v>
      </c>
      <c r="RR393" s="100">
        <f t="shared" si="2088"/>
        <v>0</v>
      </c>
      <c r="RS393" s="100">
        <f t="shared" si="2088"/>
        <v>0</v>
      </c>
      <c r="RT393" s="100">
        <f t="shared" si="2088"/>
        <v>0</v>
      </c>
      <c r="RU393" s="100">
        <f t="shared" si="2088"/>
        <v>17500</v>
      </c>
      <c r="RV393" s="100">
        <f t="shared" si="2088"/>
        <v>361490</v>
      </c>
      <c r="RW393" s="100">
        <f t="shared" si="2088"/>
        <v>0</v>
      </c>
      <c r="RX393" s="100">
        <f t="shared" si="2088"/>
        <v>0</v>
      </c>
      <c r="RY393" s="100">
        <f t="shared" si="2088"/>
        <v>0</v>
      </c>
      <c r="RZ393" s="100">
        <f t="shared" si="2088"/>
        <v>0</v>
      </c>
      <c r="SA393" s="100">
        <f t="shared" si="2088"/>
        <v>0</v>
      </c>
      <c r="SB393" s="100">
        <f t="shared" si="2088"/>
        <v>0</v>
      </c>
      <c r="SC393" s="728">
        <f t="shared" si="2088"/>
        <v>17500</v>
      </c>
      <c r="SD393" s="728">
        <f t="shared" si="2088"/>
        <v>361490</v>
      </c>
      <c r="SE393" s="100">
        <f t="shared" si="2088"/>
        <v>0</v>
      </c>
      <c r="SF393" s="100">
        <f t="shared" si="2088"/>
        <v>0</v>
      </c>
      <c r="SG393" s="100">
        <f t="shared" si="2088"/>
        <v>0</v>
      </c>
      <c r="SH393" s="100">
        <f t="shared" si="2088"/>
        <v>0</v>
      </c>
      <c r="SI393" s="100">
        <f t="shared" si="2088"/>
        <v>0</v>
      </c>
      <c r="SJ393" s="100">
        <f t="shared" si="2088"/>
        <v>0</v>
      </c>
      <c r="SK393" s="100">
        <f t="shared" si="2088"/>
        <v>17100</v>
      </c>
      <c r="SL393" s="100">
        <f t="shared" si="2088"/>
        <v>321550</v>
      </c>
      <c r="SM393" s="100">
        <f t="shared" si="2088"/>
        <v>0</v>
      </c>
      <c r="SN393" s="100">
        <f t="shared" si="2088"/>
        <v>0</v>
      </c>
      <c r="SO393" s="100">
        <f t="shared" si="2088"/>
        <v>0</v>
      </c>
      <c r="SP393" s="100">
        <f t="shared" si="2088"/>
        <v>0</v>
      </c>
      <c r="SQ393" s="100">
        <f t="shared" si="2088"/>
        <v>0</v>
      </c>
      <c r="SR393" s="100">
        <f t="shared" si="2088"/>
        <v>0</v>
      </c>
      <c r="SS393" s="728">
        <f t="shared" si="2088"/>
        <v>17100</v>
      </c>
      <c r="ST393" s="728">
        <f t="shared" si="2088"/>
        <v>321550</v>
      </c>
      <c r="SU393" s="100">
        <f t="shared" si="2088"/>
        <v>0</v>
      </c>
      <c r="SV393" s="100">
        <f t="shared" si="2088"/>
        <v>0</v>
      </c>
      <c r="SW393" s="100">
        <f t="shared" si="2088"/>
        <v>0</v>
      </c>
      <c r="SX393" s="100">
        <f t="shared" si="2088"/>
        <v>0</v>
      </c>
      <c r="SY393" s="100">
        <f t="shared" si="2088"/>
        <v>0</v>
      </c>
      <c r="SZ393" s="100">
        <f t="shared" si="2088"/>
        <v>0</v>
      </c>
      <c r="TA393" s="100">
        <f t="shared" si="2088"/>
        <v>19865</v>
      </c>
      <c r="TB393" s="100">
        <f t="shared" si="2088"/>
        <v>421980</v>
      </c>
      <c r="TC393" s="100">
        <f t="shared" si="2088"/>
        <v>0</v>
      </c>
      <c r="TD393" s="100">
        <f t="shared" si="2088"/>
        <v>0</v>
      </c>
      <c r="TE393" s="100">
        <f t="shared" si="2088"/>
        <v>0</v>
      </c>
      <c r="TF393" s="100">
        <f t="shared" si="2088"/>
        <v>0</v>
      </c>
      <c r="TG393" s="100">
        <f t="shared" si="2088"/>
        <v>0</v>
      </c>
      <c r="TH393" s="100">
        <f t="shared" si="2088"/>
        <v>0</v>
      </c>
      <c r="TI393" s="728">
        <f t="shared" si="2088"/>
        <v>19865</v>
      </c>
      <c r="TJ393" s="728">
        <f t="shared" si="2088"/>
        <v>421980</v>
      </c>
      <c r="TK393" s="100">
        <f t="shared" ref="TK393:VV393" si="2089">SUM(TK394:TK430)</f>
        <v>0</v>
      </c>
      <c r="TL393" s="100">
        <f t="shared" si="2089"/>
        <v>0</v>
      </c>
      <c r="TM393" s="100">
        <f t="shared" si="2089"/>
        <v>0</v>
      </c>
      <c r="TN393" s="100">
        <f t="shared" si="2089"/>
        <v>0</v>
      </c>
      <c r="TO393" s="100">
        <f t="shared" si="2089"/>
        <v>0</v>
      </c>
      <c r="TP393" s="100">
        <f t="shared" si="2089"/>
        <v>0</v>
      </c>
      <c r="TQ393" s="100">
        <f t="shared" si="2089"/>
        <v>15500</v>
      </c>
      <c r="TR393" s="100">
        <f t="shared" si="2089"/>
        <v>314300</v>
      </c>
      <c r="TS393" s="100">
        <f t="shared" si="2089"/>
        <v>0</v>
      </c>
      <c r="TT393" s="100">
        <f t="shared" si="2089"/>
        <v>0</v>
      </c>
      <c r="TU393" s="100">
        <f t="shared" si="2089"/>
        <v>3000</v>
      </c>
      <c r="TV393" s="100">
        <f t="shared" si="2089"/>
        <v>95000</v>
      </c>
      <c r="TW393" s="100">
        <f t="shared" si="2089"/>
        <v>0</v>
      </c>
      <c r="TX393" s="100">
        <f t="shared" si="2089"/>
        <v>0</v>
      </c>
      <c r="TY393" s="728">
        <f t="shared" si="2089"/>
        <v>18500</v>
      </c>
      <c r="TZ393" s="728">
        <f t="shared" si="2089"/>
        <v>409300</v>
      </c>
      <c r="UA393" s="100">
        <f t="shared" si="2089"/>
        <v>0</v>
      </c>
      <c r="UB393" s="100">
        <f t="shared" si="2089"/>
        <v>0</v>
      </c>
      <c r="UC393" s="100">
        <f t="shared" si="2089"/>
        <v>0</v>
      </c>
      <c r="UD393" s="100">
        <f t="shared" si="2089"/>
        <v>0</v>
      </c>
      <c r="UE393" s="100">
        <f t="shared" si="2089"/>
        <v>0</v>
      </c>
      <c r="UF393" s="100">
        <f t="shared" si="2089"/>
        <v>0</v>
      </c>
      <c r="UG393" s="100">
        <f t="shared" si="2089"/>
        <v>19200</v>
      </c>
      <c r="UH393" s="100">
        <f t="shared" si="2089"/>
        <v>351750</v>
      </c>
      <c r="UI393" s="100">
        <f t="shared" si="2089"/>
        <v>0</v>
      </c>
      <c r="UJ393" s="100">
        <f t="shared" si="2089"/>
        <v>0</v>
      </c>
      <c r="UK393" s="100">
        <f t="shared" si="2089"/>
        <v>0</v>
      </c>
      <c r="UL393" s="100">
        <f t="shared" si="2089"/>
        <v>0</v>
      </c>
      <c r="UM393" s="100">
        <f t="shared" si="2089"/>
        <v>0</v>
      </c>
      <c r="UN393" s="100">
        <f t="shared" si="2089"/>
        <v>0</v>
      </c>
      <c r="UO393" s="728">
        <f t="shared" si="2089"/>
        <v>19200</v>
      </c>
      <c r="UP393" s="728">
        <f t="shared" si="2089"/>
        <v>351750</v>
      </c>
      <c r="UQ393" s="100">
        <f t="shared" si="2089"/>
        <v>0</v>
      </c>
      <c r="UR393" s="100">
        <f t="shared" si="2089"/>
        <v>0</v>
      </c>
      <c r="US393" s="100">
        <f t="shared" si="2089"/>
        <v>178650</v>
      </c>
      <c r="UT393" s="100">
        <f t="shared" si="2089"/>
        <v>1404820</v>
      </c>
      <c r="UU393" s="100">
        <f t="shared" si="2089"/>
        <v>0</v>
      </c>
      <c r="UV393" s="100">
        <f t="shared" si="2089"/>
        <v>0</v>
      </c>
      <c r="UW393" s="100">
        <f t="shared" si="2089"/>
        <v>2562</v>
      </c>
      <c r="UX393" s="100">
        <f t="shared" si="2089"/>
        <v>48678</v>
      </c>
      <c r="UY393" s="100">
        <f t="shared" si="2089"/>
        <v>0</v>
      </c>
      <c r="UZ393" s="100">
        <f t="shared" si="2089"/>
        <v>0</v>
      </c>
      <c r="VA393" s="100">
        <f t="shared" si="2089"/>
        <v>0</v>
      </c>
      <c r="VB393" s="100">
        <f t="shared" si="2089"/>
        <v>0</v>
      </c>
      <c r="VC393" s="100">
        <f t="shared" si="2089"/>
        <v>0</v>
      </c>
      <c r="VD393" s="100">
        <f t="shared" si="2089"/>
        <v>0</v>
      </c>
      <c r="VE393" s="728">
        <f t="shared" si="2089"/>
        <v>181212</v>
      </c>
      <c r="VF393" s="728">
        <f t="shared" si="2089"/>
        <v>1453498</v>
      </c>
      <c r="VG393" s="100">
        <f t="shared" si="2089"/>
        <v>0</v>
      </c>
      <c r="VH393" s="100">
        <f t="shared" si="2089"/>
        <v>0</v>
      </c>
      <c r="VI393" s="100">
        <f t="shared" si="2089"/>
        <v>50614</v>
      </c>
      <c r="VJ393" s="100">
        <f t="shared" si="2089"/>
        <v>2451988</v>
      </c>
      <c r="VK393" s="100">
        <f t="shared" si="2089"/>
        <v>0</v>
      </c>
      <c r="VL393" s="100">
        <f t="shared" si="2089"/>
        <v>0</v>
      </c>
      <c r="VM393" s="100">
        <f t="shared" si="2089"/>
        <v>20487</v>
      </c>
      <c r="VN393" s="100">
        <f t="shared" si="2089"/>
        <v>427819</v>
      </c>
      <c r="VO393" s="100">
        <f t="shared" si="2089"/>
        <v>0</v>
      </c>
      <c r="VP393" s="100">
        <f t="shared" si="2089"/>
        <v>0</v>
      </c>
      <c r="VQ393" s="100">
        <f t="shared" si="2089"/>
        <v>0</v>
      </c>
      <c r="VR393" s="100">
        <f t="shared" si="2089"/>
        <v>0</v>
      </c>
      <c r="VS393" s="100">
        <f t="shared" si="2089"/>
        <v>0</v>
      </c>
      <c r="VT393" s="100">
        <f t="shared" si="2089"/>
        <v>0</v>
      </c>
      <c r="VU393" s="728">
        <f t="shared" si="2089"/>
        <v>71101</v>
      </c>
      <c r="VV393" s="728">
        <f t="shared" si="2089"/>
        <v>2879807</v>
      </c>
      <c r="VW393" s="100">
        <f t="shared" ref="VW393:WJ393" si="2090">SUM(VW394:VW430)</f>
        <v>0</v>
      </c>
      <c r="VX393" s="100">
        <f t="shared" si="2090"/>
        <v>0</v>
      </c>
      <c r="VY393" s="100">
        <f t="shared" si="2090"/>
        <v>413820</v>
      </c>
      <c r="VZ393" s="100">
        <f t="shared" si="2090"/>
        <v>13847480</v>
      </c>
      <c r="WA393" s="100">
        <f t="shared" si="2090"/>
        <v>0</v>
      </c>
      <c r="WB393" s="100">
        <f t="shared" si="2090"/>
        <v>0</v>
      </c>
      <c r="WC393" s="100">
        <f t="shared" si="2090"/>
        <v>443660</v>
      </c>
      <c r="WD393" s="100">
        <f t="shared" si="2090"/>
        <v>10650150</v>
      </c>
      <c r="WE393" s="100">
        <f t="shared" si="2090"/>
        <v>0</v>
      </c>
      <c r="WF393" s="100">
        <f t="shared" si="2090"/>
        <v>0</v>
      </c>
      <c r="WG393" s="100">
        <f t="shared" si="2090"/>
        <v>0</v>
      </c>
      <c r="WH393" s="100">
        <f t="shared" si="2090"/>
        <v>0</v>
      </c>
      <c r="WI393" s="100">
        <f t="shared" si="2090"/>
        <v>5260</v>
      </c>
      <c r="WJ393" s="100">
        <f t="shared" si="2090"/>
        <v>110460</v>
      </c>
      <c r="WK393" s="728">
        <f t="shared" ref="WK393:WL393" si="2091">SUM(WK394:WK430)</f>
        <v>862740</v>
      </c>
      <c r="WL393" s="728">
        <f t="shared" si="2091"/>
        <v>24608090</v>
      </c>
      <c r="WM393" s="89"/>
      <c r="WN393" s="96">
        <f t="shared" ref="WN393:XC393" si="2092">SUM(WN394:WN430)</f>
        <v>72316751.0263841</v>
      </c>
      <c r="WO393" s="96">
        <f t="shared" si="2092"/>
        <v>369769364.1055364</v>
      </c>
      <c r="WP393" s="96">
        <f t="shared" si="2092"/>
        <v>21933068.294061299</v>
      </c>
      <c r="WQ393" s="96">
        <f t="shared" si="2092"/>
        <v>754933063.41344416</v>
      </c>
      <c r="WR393" s="96">
        <f t="shared" si="2092"/>
        <v>0</v>
      </c>
      <c r="WS393" s="96">
        <f t="shared" si="2092"/>
        <v>0</v>
      </c>
      <c r="WT393" s="96">
        <f t="shared" si="2092"/>
        <v>26019779.399662953</v>
      </c>
      <c r="WU393" s="96">
        <f t="shared" si="2092"/>
        <v>534438984.46602923</v>
      </c>
      <c r="WV393" s="96">
        <f t="shared" si="2092"/>
        <v>1132824</v>
      </c>
      <c r="WW393" s="96">
        <f t="shared" si="2092"/>
        <v>33642980</v>
      </c>
      <c r="WX393" s="96">
        <f t="shared" si="2092"/>
        <v>882978</v>
      </c>
      <c r="WY393" s="96">
        <f t="shared" si="2092"/>
        <v>16161046</v>
      </c>
      <c r="WZ393" s="96">
        <f t="shared" si="2092"/>
        <v>405884.84</v>
      </c>
      <c r="XA393" s="96">
        <f t="shared" si="2092"/>
        <v>9651546</v>
      </c>
      <c r="XB393" s="96">
        <f t="shared" si="2092"/>
        <v>122691285.56010838</v>
      </c>
      <c r="XC393" s="96">
        <f t="shared" si="2092"/>
        <v>1718596983.9850097</v>
      </c>
      <c r="XD393" s="89"/>
      <c r="XE393" s="94"/>
      <c r="XF393" s="94"/>
      <c r="XG393" s="89"/>
      <c r="XH393" s="96"/>
      <c r="XI393" s="96"/>
      <c r="XJ393" s="89"/>
      <c r="XK393" s="96"/>
      <c r="XL393" s="96"/>
      <c r="XM393" s="96"/>
      <c r="XN393" s="96"/>
      <c r="XO393" s="96"/>
      <c r="XP393" s="96"/>
      <c r="XQ393" s="96"/>
      <c r="XR393" s="96">
        <f t="shared" ref="XR393" ca="1" si="2093">SUM(XR394:XR430)</f>
        <v>0</v>
      </c>
      <c r="XS393" s="89"/>
      <c r="XT393" s="96"/>
      <c r="XU393" s="96"/>
      <c r="XV393" s="96"/>
      <c r="XW393" s="96"/>
      <c r="XX393" s="96"/>
      <c r="XY393" s="96"/>
      <c r="XZ393" s="96"/>
      <c r="YA393" s="96">
        <f t="shared" ref="YA393" ca="1" si="2094">SUM(YA394:YA430)</f>
        <v>0</v>
      </c>
    </row>
    <row r="394" spans="1:1017">
      <c r="A394" s="98" t="s">
        <v>55</v>
      </c>
      <c r="B394" s="90" t="str">
        <f t="shared" ref="B394:B420" si="2095">B356</f>
        <v xml:space="preserve">Bandeng </v>
      </c>
      <c r="E394" s="98">
        <v>429000</v>
      </c>
      <c r="F394" s="98">
        <v>12870000</v>
      </c>
      <c r="I394" s="98">
        <v>21000</v>
      </c>
      <c r="J394" s="98">
        <v>525000</v>
      </c>
      <c r="Q394" s="91">
        <f t="shared" ref="Q394:Q430" si="2096">SUMIF($C$12:$P$12,$A$1,C394:P394)</f>
        <v>450000</v>
      </c>
      <c r="R394" s="91">
        <f t="shared" ref="R394:R430" si="2097">SUMIF($C$12:$P$12,$A$3,C394:P394)</f>
        <v>13395000</v>
      </c>
      <c r="U394" s="98">
        <v>3340</v>
      </c>
      <c r="V394" s="98">
        <v>66800</v>
      </c>
      <c r="AG394" s="91">
        <f t="shared" ref="AG394:AG430" si="2098">SUMIF($C$12:$P$12,$A$1,S394:AF394)</f>
        <v>3340</v>
      </c>
      <c r="AH394" s="91">
        <f t="shared" ref="AH394:AH430" si="2099">SUMIF($C$12:$P$12,$A$3,S394:AF394)</f>
        <v>66800</v>
      </c>
      <c r="AW394" s="91">
        <f t="shared" ref="AW394:AW430" si="2100">SUMIF($C$12:$P$12,$A$1,AI394:AV394)</f>
        <v>0</v>
      </c>
      <c r="AX394" s="91">
        <f t="shared" ref="AX394:AX430" si="2101">SUMIF($C$12:$P$12,$A$3,AI394:AV394)</f>
        <v>0</v>
      </c>
      <c r="BE394" s="98">
        <v>4327</v>
      </c>
      <c r="BF394" s="98">
        <v>73559</v>
      </c>
      <c r="BM394" s="91">
        <f t="shared" ref="BM394:BM430" si="2102">SUMIF($C$12:$P$12,$A$1,AY394:BL394)</f>
        <v>4327</v>
      </c>
      <c r="BN394" s="91">
        <f t="shared" ref="BN394:BN430" si="2103">SUMIF($C$12:$P$12,$A$3,AY394:BL394)</f>
        <v>73559</v>
      </c>
      <c r="CC394" s="91">
        <f t="shared" ref="CC394:CC430" si="2104">SUMIF($C$12:$P$12,$A$1,BO394:CB394)</f>
        <v>0</v>
      </c>
      <c r="CD394" s="91">
        <f t="shared" ref="CD394:CD430" si="2105">SUMIF($C$12:$P$12,$A$3,BO394:CB394)</f>
        <v>0</v>
      </c>
      <c r="CG394" s="98">
        <v>3750628.2464629412</v>
      </c>
      <c r="CH394" s="98">
        <v>86264449.668647647</v>
      </c>
      <c r="CK394" s="98">
        <v>3305485.3029983896</v>
      </c>
      <c r="CL394" s="98">
        <v>76026161.968962967</v>
      </c>
      <c r="CS394" s="91">
        <f t="shared" ref="CS394:CS430" si="2106">SUMIF($C$12:$P$12,$A$1,CE394:CR394)</f>
        <v>7056113.5494613312</v>
      </c>
      <c r="CT394" s="91">
        <f t="shared" ref="CT394:CT430" si="2107">SUMIF($C$12:$P$12,$A$3,CE394:CR394)</f>
        <v>162290611.63761061</v>
      </c>
      <c r="CW394" s="98">
        <v>4733.4645680337271</v>
      </c>
      <c r="CX394" s="98">
        <v>85202.364000000001</v>
      </c>
      <c r="DI394" s="91">
        <f t="shared" ref="DI394:DI430" si="2108">SUMIF($C$12:$P$12,$A$1,CU394:DH394)</f>
        <v>4733.4645680337271</v>
      </c>
      <c r="DJ394" s="91">
        <f t="shared" ref="DJ394:DJ430" si="2109">SUMIF($C$12:$P$12,$A$3,CU394:DH394)</f>
        <v>85202.364000000001</v>
      </c>
      <c r="DY394" s="91">
        <f t="shared" ref="DY394:DY430" si="2110">SUMIF($C$12:$P$12,$A$1,DK394:DX394)</f>
        <v>0</v>
      </c>
      <c r="DZ394" s="91">
        <f t="shared" ref="DZ394:DZ430" si="2111">SUMIF($C$12:$P$12,$A$3,DK394:DX394)</f>
        <v>0</v>
      </c>
      <c r="EO394" s="91">
        <f t="shared" ref="EO394:EO430" si="2112">SUMIF($C$12:$P$12,$A$1,EA394:EN394)</f>
        <v>0</v>
      </c>
      <c r="EP394" s="91">
        <f t="shared" ref="EP394:EP430" si="2113">SUMIF($C$12:$P$12,$A$3,EA394:EN394)</f>
        <v>0</v>
      </c>
      <c r="ES394" s="98">
        <v>33193</v>
      </c>
      <c r="ET394" s="98">
        <v>829825</v>
      </c>
      <c r="EW394" s="98">
        <v>27762</v>
      </c>
      <c r="EX394" s="98">
        <v>694050</v>
      </c>
      <c r="FE394" s="91">
        <f t="shared" ref="FE394:FE430" si="2114">SUMIF($C$12:$P$12,$A$1,EQ394:FD394)</f>
        <v>60955</v>
      </c>
      <c r="FF394" s="91">
        <f t="shared" ref="FF394:FF430" si="2115">SUMIF($C$12:$P$12,$A$3,EQ394:FD394)</f>
        <v>1523875</v>
      </c>
      <c r="FU394" s="91">
        <f t="shared" ref="FU394:FU430" si="2116">SUMIF($C$12:$P$12,$A$1,FG394:FT394)</f>
        <v>0</v>
      </c>
      <c r="FV394" s="91">
        <f t="shared" ref="FV394:FV430" si="2117">SUMIF($C$12:$P$12,$A$3,FG394:FT394)</f>
        <v>0</v>
      </c>
      <c r="GK394" s="91">
        <f t="shared" ref="GK394:GK430" si="2118">SUMIF($C$12:$P$12,$A$1,FW394:GJ394)</f>
        <v>0</v>
      </c>
      <c r="GL394" s="91">
        <f t="shared" ref="GL394:GL430" si="2119">SUMIF($C$12:$P$12,$A$3,FW394:GJ394)</f>
        <v>0</v>
      </c>
      <c r="HA394" s="91">
        <f t="shared" ref="HA394:HA430" si="2120">SUMIF($C$12:$P$12,$A$1,GM394:GZ394)</f>
        <v>0</v>
      </c>
      <c r="HB394" s="91">
        <f t="shared" ref="HB394:HB430" si="2121">SUMIF($C$12:$P$12,$A$3,GM394:GZ394)</f>
        <v>0</v>
      </c>
      <c r="HQ394" s="91">
        <f t="shared" ref="HQ394:HQ430" si="2122">SUMIF($C$12:$P$12,$A$1,HC394:HP394)</f>
        <v>0</v>
      </c>
      <c r="HR394" s="91">
        <f t="shared" ref="HR394:HR430" si="2123">SUMIF($C$12:$P$12,$A$3,HC394:HP394)</f>
        <v>0</v>
      </c>
      <c r="IG394" s="91">
        <f t="shared" ref="IG394:IG430" si="2124">SUMIF($C$12:$P$12,$A$1,HS394:IF394)</f>
        <v>0</v>
      </c>
      <c r="IH394" s="91">
        <f t="shared" ref="IH394:IH430" si="2125">SUMIF($C$12:$P$12,$A$3,HS394:IF394)</f>
        <v>0</v>
      </c>
      <c r="IW394" s="91">
        <f t="shared" ref="IW394:IW430" si="2126">SUMIF($C$12:$P$12,$A$1,II394:IV394)</f>
        <v>0</v>
      </c>
      <c r="IX394" s="91">
        <f t="shared" ref="IX394:IX430" si="2127">SUMIF($C$12:$P$12,$A$3,II394:IV394)</f>
        <v>0</v>
      </c>
      <c r="JM394" s="91">
        <f t="shared" ref="JM394:JM430" si="2128">SUMIF($C$12:$P$12,$A$1,IY394:JL394)</f>
        <v>0</v>
      </c>
      <c r="JN394" s="91">
        <f t="shared" ref="JN394:JN430" si="2129">SUMIF($C$12:$P$12,$A$3,IY394:JL394)</f>
        <v>0</v>
      </c>
      <c r="KC394" s="91">
        <f t="shared" ref="KC394:KC430" si="2130">SUMIF($C$12:$P$12,$A$1,JO394:KB394)</f>
        <v>0</v>
      </c>
      <c r="KD394" s="91">
        <f t="shared" ref="KD394:KD430" si="2131">SUMIF($C$12:$P$12,$A$3,JO394:KB394)</f>
        <v>0</v>
      </c>
      <c r="KG394" s="98">
        <v>240</v>
      </c>
      <c r="KH394" s="98">
        <v>7200</v>
      </c>
      <c r="KS394" s="91">
        <f t="shared" ref="KS394:KS430" si="2132">SUMIF($C$12:$P$12,$A$1,KE394:KR394)</f>
        <v>240</v>
      </c>
      <c r="KT394" s="91">
        <f t="shared" ref="KT394:KT430" si="2133">SUMIF($C$12:$P$12,$A$3,KE394:KR394)</f>
        <v>7200</v>
      </c>
      <c r="KW394" s="98">
        <v>284381.52</v>
      </c>
      <c r="KX394" s="98">
        <v>4834485</v>
      </c>
      <c r="LI394" s="91">
        <f t="shared" ref="LI394:LI430" si="2134">SUMIF($C$12:$P$12,$A$1,KU394:LH394)</f>
        <v>284381.52</v>
      </c>
      <c r="LJ394" s="91">
        <f t="shared" ref="LJ394:LJ430" si="2135">SUMIF($C$12:$P$12,$A$3,KU394:LH394)</f>
        <v>4834485</v>
      </c>
      <c r="LY394" s="91">
        <f t="shared" ref="LY394:LY430" si="2136">SUMIF($C$12:$P$12,$A$1,LK394:LX394)</f>
        <v>0</v>
      </c>
      <c r="LZ394" s="91">
        <f t="shared" ref="LZ394:LZ430" si="2137">SUMIF($C$12:$P$12,$A$3,LK394:LX394)</f>
        <v>0</v>
      </c>
      <c r="MC394" s="98">
        <v>71860</v>
      </c>
      <c r="MD394" s="98">
        <v>1077900</v>
      </c>
      <c r="MO394" s="91">
        <f t="shared" ref="MO394:MO430" si="2138">SUMIF($C$12:$P$12,$A$1,MA394:MN394)</f>
        <v>71860</v>
      </c>
      <c r="MP394" s="91">
        <f t="shared" ref="MP394:MP430" si="2139">SUMIF($C$12:$P$12,$A$3,MA394:MN394)</f>
        <v>1077900</v>
      </c>
      <c r="MS394" s="98">
        <v>52300</v>
      </c>
      <c r="MT394" s="98">
        <f>MS394*28</f>
        <v>1464400</v>
      </c>
      <c r="NE394" s="91">
        <f t="shared" ref="NE394:NE430" si="2140">SUMIF($C$12:$P$12,$A$1,MQ394:ND394)</f>
        <v>52300</v>
      </c>
      <c r="NF394" s="91">
        <f t="shared" ref="NF394:NF430" si="2141">SUMIF($C$12:$P$12,$A$3,MQ394:ND394)</f>
        <v>1464400</v>
      </c>
      <c r="NI394" s="98">
        <v>2407500</v>
      </c>
      <c r="NJ394" s="98">
        <v>52965000</v>
      </c>
      <c r="NU394" s="91">
        <f t="shared" ref="NU394:NU430" si="2142">SUMIF($C$12:$P$12,$A$1,NG394:NT394)</f>
        <v>2407500</v>
      </c>
      <c r="NV394" s="91">
        <f t="shared" ref="NV394:NV430" si="2143">SUMIF($C$12:$P$12,$A$3,NG394:NT394)</f>
        <v>52965000</v>
      </c>
      <c r="NW394" s="98">
        <v>150</v>
      </c>
      <c r="NX394" s="98">
        <v>10500</v>
      </c>
      <c r="NY394" s="98">
        <v>150</v>
      </c>
      <c r="NZ394" s="98">
        <v>2700</v>
      </c>
      <c r="OK394" s="91">
        <f t="shared" ref="OK394:OK430" si="2144">SUMIF($C$12:$P$12,$A$1,NW394:OJ394)</f>
        <v>300</v>
      </c>
      <c r="OL394" s="91">
        <f t="shared" ref="OL394:OL430" si="2145">SUMIF($C$12:$P$12,$A$3,NW394:OJ394)</f>
        <v>13200</v>
      </c>
      <c r="OO394" s="98">
        <v>8980</v>
      </c>
      <c r="OP394" s="98">
        <v>269400</v>
      </c>
      <c r="PA394" s="91">
        <f t="shared" ref="PA394:PA430" si="2146">SUMIF($C$12:$P$12,$A$1,OM394:OZ394)</f>
        <v>8980</v>
      </c>
      <c r="PB394" s="91">
        <f t="shared" ref="PB394:PB430" si="2147">SUMIF($C$12:$P$12,$A$3,OM394:OZ394)</f>
        <v>269400</v>
      </c>
      <c r="PQ394" s="91">
        <f t="shared" ref="PQ394:PQ430" si="2148">SUMIF($C$12:$P$12,$A$1,PC394:PP394)</f>
        <v>0</v>
      </c>
      <c r="PR394" s="91">
        <f t="shared" ref="PR394:PR430" si="2149">SUMIF($C$12:$P$12,$A$3,PC394:PP394)</f>
        <v>0</v>
      </c>
      <c r="PU394" s="98">
        <v>665350</v>
      </c>
      <c r="PV394" s="98">
        <v>11976300</v>
      </c>
      <c r="QA394" s="98">
        <v>317280</v>
      </c>
      <c r="QB394" s="98">
        <v>5393760</v>
      </c>
      <c r="QG394" s="91">
        <f t="shared" ref="QG394:QG430" si="2150">SUMIF($C$12:$P$12,$A$1,PS394:QF394)</f>
        <v>982630</v>
      </c>
      <c r="QH394" s="91">
        <f t="shared" ref="QH394:QH430" si="2151">SUMIF($C$12:$P$12,$A$3,PS394:QF394)</f>
        <v>17370060</v>
      </c>
      <c r="QW394" s="91">
        <f t="shared" ref="QW394:QW430" si="2152">SUMIF($C$12:$P$12,$A$1,QI394:QV394)</f>
        <v>0</v>
      </c>
      <c r="QX394" s="91">
        <f t="shared" ref="QX394:QX430" si="2153">SUMIF($C$12:$P$12,$A$3,QI394:QV394)</f>
        <v>0</v>
      </c>
      <c r="RM394" s="91">
        <f t="shared" ref="RM394:RM430" si="2154">SUMIF($C$12:$P$12,$A$1,QY394:RL394)</f>
        <v>0</v>
      </c>
      <c r="RN394" s="91">
        <f t="shared" ref="RN394:RN430" si="2155">SUMIF($C$12:$P$12,$A$3,QY394:RL394)</f>
        <v>0</v>
      </c>
      <c r="SC394" s="91">
        <f t="shared" ref="SC394:SC430" si="2156">SUMIF($C$12:$P$12,$A$1,RO394:SB394)</f>
        <v>0</v>
      </c>
      <c r="SD394" s="91">
        <f t="shared" ref="SD394:SD430" si="2157">SUMIF($C$12:$P$12,$A$3,RO394:SB394)</f>
        <v>0</v>
      </c>
      <c r="SS394" s="91">
        <f t="shared" ref="SS394:SS430" si="2158">SUMIF($C$12:$P$12,$A$1,SE394:SR394)</f>
        <v>0</v>
      </c>
      <c r="ST394" s="91">
        <f t="shared" ref="ST394:ST430" si="2159">SUMIF($C$12:$P$12,$A$3,SE394:SR394)</f>
        <v>0</v>
      </c>
      <c r="TI394" s="91">
        <f t="shared" ref="TI394:TI430" si="2160">SUMIF($C$12:$P$12,$A$1,SU394:TH394)</f>
        <v>0</v>
      </c>
      <c r="TJ394" s="91">
        <f t="shared" ref="TJ394:TJ430" si="2161">SUMIF($C$12:$P$12,$A$3,SU394:TH394)</f>
        <v>0</v>
      </c>
      <c r="TY394" s="91">
        <f t="shared" ref="TY394:TY430" si="2162">SUMIF($C$12:$P$12,$A$1,TK394:TX394)</f>
        <v>0</v>
      </c>
      <c r="TZ394" s="91">
        <f t="shared" ref="TZ394:TZ430" si="2163">SUMIF($C$12:$P$12,$A$3,TK394:TX394)</f>
        <v>0</v>
      </c>
      <c r="UO394" s="91">
        <f t="shared" ref="UO394:UO430" si="2164">SUMIF($C$12:$P$12,$A$1,UA394:UN394)</f>
        <v>0</v>
      </c>
      <c r="UP394" s="91">
        <f t="shared" ref="UP394:UP428" si="2165">SUMIF($C$12:$P$12,$A$3,UA394:UN394)</f>
        <v>0</v>
      </c>
      <c r="US394" s="98">
        <v>79670</v>
      </c>
      <c r="UT394" s="98">
        <v>1274720</v>
      </c>
      <c r="VE394" s="91">
        <f t="shared" ref="VE394:VE430" si="2166">SUMIF($C$12:$P$12,$A$1,UQ394:VD394)</f>
        <v>79670</v>
      </c>
      <c r="VF394" s="91">
        <f t="shared" ref="VF394:VF430" si="2167">SUMIF($C$12:$P$12,$A$3,UQ394:VD394)</f>
        <v>1274720</v>
      </c>
      <c r="VI394" s="98">
        <v>7460</v>
      </c>
      <c r="VJ394" s="98">
        <v>119360</v>
      </c>
      <c r="VU394" s="91">
        <f t="shared" ref="VU394:VU430" si="2168">SUMIF($C$12:$P$12,$A$1,VG394:VT394)</f>
        <v>7460</v>
      </c>
      <c r="VV394" s="91">
        <f t="shared" ref="VV394:VV430" si="2169">SUMIF($C$12:$P$12,$A$3,VG394:VT394)</f>
        <v>119360</v>
      </c>
      <c r="VY394" s="98">
        <v>356200</v>
      </c>
      <c r="VZ394" s="98">
        <v>11754600</v>
      </c>
      <c r="WC394" s="98">
        <v>39200</v>
      </c>
      <c r="WD394" s="98">
        <v>1176000</v>
      </c>
      <c r="WK394" s="91">
        <f t="shared" ref="WK394:WK430" si="2170">SUMIF($C$12:$P$12,$A$1,VW394:WJ394)</f>
        <v>395400</v>
      </c>
      <c r="WL394" s="91">
        <f t="shared" ref="WL394:WL430" si="2171">SUMIF($C$12:$P$12,$A$3,VW394:WJ394)</f>
        <v>12930600</v>
      </c>
      <c r="WM394" s="89"/>
      <c r="WN394" s="87">
        <f t="shared" ref="WN394:WN421" si="2172">SUMIF($C$5:$WL$5,$WN$5,C394:WL394)</f>
        <v>150</v>
      </c>
      <c r="WO394" s="87">
        <f t="shared" ref="WO394:WO421" si="2173">SUMIF($C$5:$WL$5,$WO$5,C394:WL394)</f>
        <v>10500</v>
      </c>
      <c r="WP394" s="87">
        <f t="shared" ref="WP394:WP421" si="2174">SUMIF($C$5:$WL$5,$WP$5,C394:WL394)</f>
        <v>8154986.2310309745</v>
      </c>
      <c r="WQ394" s="87">
        <f t="shared" ref="WQ394:WQ421" si="2175">SUMIF($C$5:$WL$5,$WQ$5,C394:WL394)</f>
        <v>185862342.03264764</v>
      </c>
      <c r="WR394" s="87">
        <f t="shared" ref="WR394:WR421" si="2176">SUMIF($C$5:$WL$5,$WR$5,C394:WL394)</f>
        <v>0</v>
      </c>
      <c r="WS394" s="87">
        <f t="shared" ref="WS394:WS421" si="2177">SUMIF($C$5:$WL$5,$WS$5,C394:WL394)</f>
        <v>0</v>
      </c>
      <c r="WT394" s="87">
        <f t="shared" ref="WT394:WT421" si="2178">SUMIF($C$5:$WL$5,$WT$5,C394:WL394)</f>
        <v>3397774.3029983896</v>
      </c>
      <c r="WU394" s="87">
        <f t="shared" ref="WU394:WU421" si="2179">SUMIF($C$5:$WL$5,$WU$5,C394:WL394)</f>
        <v>78494770.968962967</v>
      </c>
      <c r="WV394" s="87">
        <f t="shared" ref="WV394:WV421" si="2180">SUMIF($C$5:$WL$5,$WV$5,C394:WL394)</f>
        <v>317280</v>
      </c>
      <c r="WW394" s="87">
        <f t="shared" ref="WW394:WW421" si="2181">SUMIF($C$5:$WL$5,$WW$5,C394:WL394)</f>
        <v>5393760</v>
      </c>
      <c r="WX394" s="87">
        <f t="shared" ref="WX394:WX421" si="2182">SUMIF($C$5:$WL$5,$WX$5,C394:WL394)</f>
        <v>0</v>
      </c>
      <c r="WY394" s="87">
        <f t="shared" ref="WY394:WY421" si="2183">SUMIF($C$5:$WL$5,$WY$5,C394:WL394)</f>
        <v>0</v>
      </c>
      <c r="WZ394" s="87">
        <f t="shared" ref="WZ394:WZ416" si="2184">SUMIF($C$5:$WL$5,$WZ$5,C394:WL394)</f>
        <v>0</v>
      </c>
      <c r="XA394" s="87">
        <f t="shared" ref="XA394:XA416" si="2185">SUMIF($C$5:$WL$5,$XA$5,C394:WL394)</f>
        <v>0</v>
      </c>
      <c r="XB394" s="92">
        <f t="shared" ref="XB394:XB416" si="2186">SUMIF($WN$12:$XA$12,$XB$12,WN394:XA394)</f>
        <v>11870190.534029365</v>
      </c>
      <c r="XC394" s="92">
        <f t="shared" ref="XC394:XC416" si="2187">SUMIF($WN$12:$XA$12,$XC$12,WN394:XA394)</f>
        <v>269761373.00161064</v>
      </c>
      <c r="XD394" s="89"/>
      <c r="XE394" s="92"/>
      <c r="XF394" s="92"/>
      <c r="XG394" s="89"/>
      <c r="XH394" s="92"/>
      <c r="XI394" s="92"/>
      <c r="XJ394" s="89"/>
      <c r="XK394" s="87"/>
      <c r="XL394" s="87"/>
      <c r="XM394" s="87"/>
      <c r="XN394" s="87"/>
      <c r="XO394" s="87"/>
      <c r="XP394" s="87"/>
      <c r="XQ394" s="87"/>
      <c r="XR394" s="92">
        <f t="shared" ref="XR394:XR430" ca="1" si="2188">SUMIF($WN$12:$XA$12,$XB$12,XK394:XQ394)</f>
        <v>0</v>
      </c>
      <c r="XS394" s="89"/>
      <c r="XT394" s="87"/>
      <c r="XU394" s="87"/>
      <c r="XV394" s="87"/>
      <c r="XW394" s="87"/>
      <c r="XX394" s="87"/>
      <c r="XY394" s="87"/>
      <c r="XZ394" s="87"/>
      <c r="YA394" s="92">
        <f t="shared" ref="YA394:YA430" ca="1" si="2189">SUMIF($WN$12:$XA$12,$XB$12,XT394:XZ394)</f>
        <v>0</v>
      </c>
      <c r="YB394" s="90"/>
      <c r="YC394" s="90"/>
      <c r="YD394" s="90"/>
      <c r="YE394" s="90"/>
      <c r="YF394" s="90"/>
      <c r="YG394" s="90"/>
      <c r="YH394" s="90"/>
      <c r="YI394" s="90"/>
      <c r="YJ394" s="90"/>
      <c r="YK394" s="90"/>
      <c r="YL394" s="90"/>
      <c r="YM394" s="90"/>
      <c r="YN394" s="90"/>
      <c r="YO394" s="90"/>
      <c r="YP394" s="90"/>
      <c r="YQ394" s="90"/>
      <c r="YR394" s="90"/>
      <c r="YS394" s="90"/>
      <c r="YT394" s="90"/>
      <c r="YU394" s="90"/>
      <c r="YV394" s="90"/>
      <c r="YW394" s="90"/>
      <c r="YX394" s="90"/>
      <c r="YY394" s="90"/>
      <c r="YZ394" s="90"/>
      <c r="ZA394" s="90"/>
      <c r="ZB394" s="90"/>
      <c r="ZC394" s="90"/>
      <c r="ZD394" s="90"/>
      <c r="ZE394" s="90"/>
      <c r="ZF394" s="90"/>
      <c r="ZG394" s="90"/>
      <c r="ZH394" s="90"/>
      <c r="ZI394" s="90"/>
      <c r="ZJ394" s="90"/>
      <c r="ZK394" s="90"/>
      <c r="ZL394" s="90"/>
      <c r="ZM394" s="90"/>
      <c r="ZN394" s="90"/>
      <c r="ZO394" s="90"/>
      <c r="ZP394" s="90"/>
      <c r="ZQ394" s="90"/>
      <c r="ZR394" s="90"/>
      <c r="ZS394" s="90"/>
      <c r="ZT394" s="90"/>
      <c r="ZU394" s="90"/>
      <c r="ZV394" s="90"/>
      <c r="ZW394" s="90"/>
      <c r="ZX394" s="90"/>
      <c r="ZY394" s="90"/>
      <c r="ZZ394" s="90"/>
      <c r="AAA394" s="90"/>
      <c r="AAB394" s="90"/>
      <c r="AAC394" s="90"/>
      <c r="AAD394" s="90"/>
      <c r="AAE394" s="90"/>
      <c r="AAF394" s="90"/>
      <c r="AAG394" s="90"/>
      <c r="AAH394" s="90"/>
      <c r="AAI394" s="90"/>
      <c r="AAJ394" s="90"/>
      <c r="AAK394" s="90"/>
      <c r="AAL394" s="90"/>
      <c r="AAM394" s="90"/>
      <c r="AAN394" s="90"/>
      <c r="AAO394" s="90"/>
      <c r="AAP394" s="90"/>
      <c r="AAQ394" s="90"/>
      <c r="AAR394" s="90"/>
      <c r="AAS394" s="90"/>
      <c r="AAT394" s="90"/>
      <c r="AAU394" s="90"/>
      <c r="AAV394" s="90"/>
      <c r="AAW394" s="90"/>
      <c r="AAX394" s="90"/>
      <c r="AAY394" s="90"/>
      <c r="AAZ394" s="90"/>
      <c r="ABA394" s="90"/>
      <c r="ABB394" s="90"/>
      <c r="ABC394" s="90"/>
      <c r="ABD394" s="90"/>
      <c r="ABE394" s="90"/>
      <c r="ABF394" s="90"/>
      <c r="ABG394" s="90"/>
      <c r="ABH394" s="90"/>
      <c r="ABI394" s="90"/>
      <c r="ABJ394" s="90"/>
      <c r="ABK394" s="90"/>
      <c r="ABL394" s="90"/>
      <c r="ABM394" s="90"/>
      <c r="ABN394" s="90"/>
      <c r="ABO394" s="90"/>
      <c r="ABP394" s="90"/>
      <c r="ABQ394" s="90"/>
      <c r="ABR394" s="90"/>
      <c r="ABS394" s="90"/>
      <c r="ABT394" s="90"/>
      <c r="ABU394" s="90"/>
      <c r="ABV394" s="90"/>
      <c r="ABW394" s="90"/>
      <c r="ABX394" s="90"/>
      <c r="ABY394" s="90"/>
      <c r="ABZ394" s="90"/>
      <c r="ACA394" s="90"/>
      <c r="ACB394" s="90"/>
      <c r="ACC394" s="90"/>
      <c r="ACD394" s="90"/>
      <c r="ACE394" s="90"/>
      <c r="ACF394" s="90"/>
      <c r="ACG394" s="90"/>
      <c r="ACH394" s="90"/>
      <c r="ACI394" s="90"/>
      <c r="ACJ394" s="90"/>
      <c r="ACK394" s="90"/>
      <c r="ACL394" s="90"/>
      <c r="ACM394" s="90"/>
      <c r="ACN394" s="90"/>
      <c r="ACO394" s="90"/>
      <c r="ACP394" s="90"/>
      <c r="ACQ394" s="90"/>
      <c r="ACR394" s="90"/>
      <c r="ACS394" s="90"/>
      <c r="ACT394" s="90"/>
      <c r="ACU394" s="90"/>
      <c r="ACV394" s="90"/>
      <c r="ACW394" s="90"/>
      <c r="ACX394" s="90"/>
      <c r="ACY394" s="90"/>
      <c r="ACZ394" s="90"/>
      <c r="ADA394" s="90"/>
      <c r="ADB394" s="90"/>
      <c r="ADC394" s="90"/>
      <c r="ADD394" s="90"/>
      <c r="ADE394" s="90"/>
      <c r="ADF394" s="90"/>
      <c r="ADG394" s="90"/>
      <c r="ADH394" s="90"/>
      <c r="ADI394" s="90"/>
      <c r="ADJ394" s="90"/>
      <c r="ADK394" s="90"/>
      <c r="ADL394" s="90"/>
      <c r="ADM394" s="90"/>
      <c r="ADN394" s="90"/>
      <c r="ADO394" s="90"/>
      <c r="ADP394" s="90"/>
      <c r="ADQ394" s="90"/>
      <c r="ADR394" s="90"/>
      <c r="ADS394" s="90"/>
      <c r="ADT394" s="90"/>
      <c r="ADU394" s="90"/>
      <c r="ADV394" s="90"/>
      <c r="ADW394" s="90"/>
      <c r="ADX394" s="90"/>
      <c r="ADY394" s="90"/>
      <c r="ADZ394" s="90"/>
      <c r="AEA394" s="90"/>
      <c r="AEB394" s="90"/>
      <c r="AEC394" s="90"/>
      <c r="AED394" s="90"/>
      <c r="AEE394" s="90"/>
      <c r="AEF394" s="90"/>
      <c r="AEG394" s="90"/>
      <c r="AEH394" s="90"/>
      <c r="AEI394" s="90"/>
      <c r="AEJ394" s="90"/>
      <c r="AEK394" s="90"/>
      <c r="AEL394" s="90"/>
      <c r="AEM394" s="90"/>
      <c r="AEN394" s="90"/>
      <c r="AEO394" s="90"/>
      <c r="AEP394" s="90"/>
      <c r="AEQ394" s="90"/>
      <c r="AER394" s="90"/>
      <c r="AES394" s="90"/>
      <c r="AET394" s="90"/>
      <c r="AEU394" s="90"/>
      <c r="AEV394" s="90"/>
      <c r="AEW394" s="90"/>
      <c r="AEX394" s="90"/>
      <c r="AEY394" s="90"/>
      <c r="AEZ394" s="90"/>
      <c r="AFA394" s="90"/>
      <c r="AFB394" s="90"/>
      <c r="AFC394" s="90"/>
      <c r="AFD394" s="90"/>
      <c r="AFE394" s="90"/>
      <c r="AFF394" s="90"/>
      <c r="AFG394" s="90"/>
      <c r="AFH394" s="90"/>
      <c r="AFI394" s="90"/>
      <c r="AFJ394" s="90"/>
      <c r="AFK394" s="90"/>
      <c r="AFL394" s="90"/>
      <c r="AFM394" s="90"/>
      <c r="AFN394" s="90"/>
      <c r="AFO394" s="90"/>
      <c r="AFP394" s="90"/>
      <c r="AFQ394" s="90"/>
      <c r="AFR394" s="90"/>
      <c r="AFS394" s="90"/>
      <c r="AFT394" s="90"/>
      <c r="AFU394" s="90"/>
      <c r="AFV394" s="90"/>
      <c r="AFW394" s="90"/>
      <c r="AFX394" s="90"/>
      <c r="AFY394" s="90"/>
      <c r="AFZ394" s="90"/>
      <c r="AGA394" s="90"/>
      <c r="AGB394" s="90"/>
      <c r="AGC394" s="90"/>
      <c r="AGD394" s="90"/>
      <c r="AGE394" s="90"/>
      <c r="AGF394" s="90"/>
      <c r="AGG394" s="90"/>
      <c r="AGH394" s="90"/>
      <c r="AGI394" s="90"/>
      <c r="AGJ394" s="90"/>
      <c r="AGK394" s="90"/>
      <c r="AGL394" s="90"/>
      <c r="AGM394" s="90"/>
      <c r="AGN394" s="90"/>
      <c r="AGO394" s="90"/>
      <c r="AGP394" s="90"/>
      <c r="AGQ394" s="90"/>
      <c r="AGR394" s="90"/>
      <c r="AGS394" s="90"/>
      <c r="AGT394" s="90"/>
      <c r="AGU394" s="90"/>
      <c r="AGV394" s="90"/>
      <c r="AGW394" s="90"/>
      <c r="AGX394" s="90"/>
      <c r="AGY394" s="90"/>
      <c r="AGZ394" s="90"/>
      <c r="AHA394" s="90"/>
      <c r="AHB394" s="90"/>
      <c r="AHC394" s="90"/>
      <c r="AHD394" s="90"/>
      <c r="AHE394" s="90"/>
      <c r="AHF394" s="90"/>
      <c r="AHG394" s="90"/>
      <c r="AHH394" s="90"/>
      <c r="AHI394" s="90"/>
      <c r="AHJ394" s="90"/>
      <c r="AHK394" s="90"/>
      <c r="AHL394" s="90"/>
      <c r="AHM394" s="90"/>
      <c r="AHN394" s="90"/>
      <c r="AHO394" s="90"/>
      <c r="AHP394" s="90"/>
      <c r="AHQ394" s="90"/>
      <c r="AHR394" s="90"/>
      <c r="AHS394" s="90"/>
      <c r="AHT394" s="90"/>
      <c r="AHU394" s="90"/>
      <c r="AHV394" s="90"/>
      <c r="AHW394" s="90"/>
      <c r="AHX394" s="90"/>
      <c r="AHY394" s="90"/>
      <c r="AHZ394" s="90"/>
      <c r="AIA394" s="90"/>
      <c r="AIB394" s="90"/>
      <c r="AIC394" s="90"/>
      <c r="AID394" s="90"/>
      <c r="AIE394" s="90"/>
      <c r="AIF394" s="90"/>
      <c r="AIG394" s="90"/>
      <c r="AIH394" s="90"/>
      <c r="AII394" s="90"/>
      <c r="AIJ394" s="90"/>
      <c r="AIK394" s="90"/>
      <c r="AIL394" s="90"/>
      <c r="AIM394" s="90"/>
      <c r="AIN394" s="90"/>
      <c r="AIO394" s="90"/>
      <c r="AIP394" s="90"/>
      <c r="AIQ394" s="90"/>
      <c r="AIR394" s="90"/>
      <c r="AIS394" s="90"/>
      <c r="AIT394" s="90"/>
      <c r="AIU394" s="90"/>
      <c r="AIV394" s="90"/>
      <c r="AIW394" s="90"/>
      <c r="AIX394" s="90"/>
      <c r="AIY394" s="90"/>
      <c r="AIZ394" s="90"/>
      <c r="AJA394" s="90"/>
      <c r="AJB394" s="90"/>
      <c r="AJC394" s="90"/>
      <c r="AJD394" s="90"/>
      <c r="AJE394" s="90"/>
      <c r="AJF394" s="90"/>
      <c r="AJG394" s="90"/>
      <c r="AJH394" s="90"/>
      <c r="AJI394" s="90"/>
      <c r="AJJ394" s="90"/>
      <c r="AJK394" s="90"/>
      <c r="AJL394" s="90"/>
      <c r="AJM394" s="90"/>
      <c r="AJN394" s="90"/>
      <c r="AJO394" s="90"/>
      <c r="AJP394" s="90"/>
      <c r="AJQ394" s="90"/>
      <c r="AJR394" s="90"/>
      <c r="AJS394" s="90"/>
      <c r="AJT394" s="90"/>
      <c r="AJU394" s="90"/>
      <c r="AJV394" s="90"/>
      <c r="AJW394" s="90"/>
      <c r="AJX394" s="90"/>
      <c r="AJY394" s="90"/>
      <c r="AJZ394" s="90"/>
      <c r="AKA394" s="90"/>
      <c r="AKB394" s="90"/>
      <c r="AKC394" s="90"/>
      <c r="AKD394" s="90"/>
      <c r="AKE394" s="90"/>
      <c r="AKF394" s="90"/>
      <c r="AKG394" s="90"/>
      <c r="AKH394" s="90"/>
      <c r="AKI394" s="90"/>
      <c r="AKJ394" s="90"/>
      <c r="AKK394" s="90"/>
      <c r="AKL394" s="90"/>
      <c r="AKM394" s="90"/>
      <c r="AKN394" s="90"/>
      <c r="AKO394" s="90"/>
      <c r="AKP394" s="90"/>
      <c r="AKQ394" s="90"/>
      <c r="AKR394" s="90"/>
      <c r="AKS394" s="90"/>
      <c r="AKT394" s="90"/>
      <c r="AKU394" s="90"/>
      <c r="AKV394" s="90"/>
      <c r="AKW394" s="90"/>
      <c r="AKX394" s="90"/>
      <c r="AKY394" s="90"/>
      <c r="AKZ394" s="90"/>
      <c r="ALA394" s="90"/>
      <c r="ALB394" s="90"/>
      <c r="ALC394" s="90"/>
      <c r="ALD394" s="90"/>
      <c r="ALE394" s="90"/>
      <c r="ALF394" s="90"/>
      <c r="ALG394" s="90"/>
      <c r="ALH394" s="90"/>
      <c r="ALI394" s="90"/>
      <c r="ALJ394" s="90"/>
      <c r="ALK394" s="90"/>
      <c r="ALL394" s="90"/>
      <c r="ALM394" s="90"/>
      <c r="ALN394" s="90"/>
      <c r="ALO394" s="90"/>
      <c r="ALP394" s="90"/>
      <c r="ALQ394" s="90"/>
      <c r="ALR394" s="90"/>
      <c r="ALS394" s="90"/>
      <c r="ALT394" s="90"/>
      <c r="ALU394" s="90"/>
      <c r="ALV394" s="90"/>
      <c r="ALW394" s="90"/>
      <c r="ALX394" s="90"/>
      <c r="ALY394" s="90"/>
      <c r="ALZ394" s="90"/>
      <c r="AMA394" s="90"/>
      <c r="AMB394" s="90"/>
      <c r="AMC394" s="90"/>
    </row>
    <row r="395" spans="1:1017">
      <c r="A395" s="98" t="s">
        <v>55</v>
      </c>
      <c r="B395" s="90" t="str">
        <f t="shared" si="2095"/>
        <v xml:space="preserve">Bawal </v>
      </c>
      <c r="Q395" s="91">
        <f t="shared" si="2096"/>
        <v>0</v>
      </c>
      <c r="R395" s="91">
        <f t="shared" si="2097"/>
        <v>0</v>
      </c>
      <c r="Y395" s="98">
        <v>2955</v>
      </c>
      <c r="Z395" s="98">
        <v>59100</v>
      </c>
      <c r="AG395" s="91">
        <f t="shared" si="2098"/>
        <v>2955</v>
      </c>
      <c r="AH395" s="91">
        <f t="shared" si="2099"/>
        <v>59100</v>
      </c>
      <c r="AW395" s="91">
        <f t="shared" si="2100"/>
        <v>0</v>
      </c>
      <c r="AX395" s="91">
        <f t="shared" si="2101"/>
        <v>0</v>
      </c>
      <c r="BM395" s="91">
        <f t="shared" si="2102"/>
        <v>0</v>
      </c>
      <c r="BN395" s="91">
        <f t="shared" si="2103"/>
        <v>0</v>
      </c>
      <c r="CC395" s="91">
        <f t="shared" si="2104"/>
        <v>0</v>
      </c>
      <c r="CD395" s="91">
        <f t="shared" si="2105"/>
        <v>0</v>
      </c>
      <c r="CS395" s="91">
        <f t="shared" si="2106"/>
        <v>0</v>
      </c>
      <c r="CT395" s="91">
        <f t="shared" si="2107"/>
        <v>0</v>
      </c>
      <c r="DI395" s="91">
        <f t="shared" si="2108"/>
        <v>0</v>
      </c>
      <c r="DJ395" s="91">
        <f t="shared" si="2109"/>
        <v>0</v>
      </c>
      <c r="DQ395" s="98">
        <v>308100</v>
      </c>
      <c r="DR395" s="98">
        <v>5237700</v>
      </c>
      <c r="DY395" s="91">
        <f t="shared" si="2110"/>
        <v>308100</v>
      </c>
      <c r="DZ395" s="91">
        <f t="shared" si="2111"/>
        <v>5237700</v>
      </c>
      <c r="EG395" s="98">
        <v>65100</v>
      </c>
      <c r="EH395" s="98">
        <v>716100</v>
      </c>
      <c r="EO395" s="91">
        <f t="shared" si="2112"/>
        <v>65100</v>
      </c>
      <c r="EP395" s="91">
        <f t="shared" si="2113"/>
        <v>716100</v>
      </c>
      <c r="FE395" s="91">
        <f t="shared" si="2114"/>
        <v>0</v>
      </c>
      <c r="FF395" s="91">
        <f t="shared" si="2115"/>
        <v>0</v>
      </c>
      <c r="FU395" s="91">
        <f t="shared" si="2116"/>
        <v>0</v>
      </c>
      <c r="FV395" s="91">
        <f t="shared" si="2117"/>
        <v>0</v>
      </c>
      <c r="GK395" s="91">
        <f t="shared" si="2118"/>
        <v>0</v>
      </c>
      <c r="GL395" s="91">
        <f t="shared" si="2119"/>
        <v>0</v>
      </c>
      <c r="HA395" s="91">
        <f t="shared" si="2120"/>
        <v>0</v>
      </c>
      <c r="HB395" s="91">
        <f t="shared" si="2121"/>
        <v>0</v>
      </c>
      <c r="HQ395" s="91">
        <f t="shared" si="2122"/>
        <v>0</v>
      </c>
      <c r="HR395" s="91">
        <f t="shared" si="2123"/>
        <v>0</v>
      </c>
      <c r="IG395" s="91">
        <f t="shared" si="2124"/>
        <v>0</v>
      </c>
      <c r="IH395" s="91">
        <f t="shared" si="2125"/>
        <v>0</v>
      </c>
      <c r="IO395" s="98">
        <v>2530</v>
      </c>
      <c r="IP395" s="98">
        <v>63250</v>
      </c>
      <c r="IW395" s="91">
        <f t="shared" si="2126"/>
        <v>2530</v>
      </c>
      <c r="IX395" s="91">
        <f t="shared" si="2127"/>
        <v>63250</v>
      </c>
      <c r="JM395" s="91">
        <f t="shared" si="2128"/>
        <v>0</v>
      </c>
      <c r="JN395" s="91">
        <f t="shared" si="2129"/>
        <v>0</v>
      </c>
      <c r="KC395" s="91">
        <f t="shared" si="2130"/>
        <v>0</v>
      </c>
      <c r="KD395" s="91">
        <f t="shared" si="2131"/>
        <v>0</v>
      </c>
      <c r="KS395" s="91">
        <f t="shared" si="2132"/>
        <v>0</v>
      </c>
      <c r="KT395" s="91">
        <f t="shared" si="2133"/>
        <v>0</v>
      </c>
      <c r="LI395" s="91">
        <f t="shared" si="2134"/>
        <v>0</v>
      </c>
      <c r="LJ395" s="91">
        <f t="shared" si="2135"/>
        <v>0</v>
      </c>
      <c r="LY395" s="91">
        <f t="shared" si="2136"/>
        <v>0</v>
      </c>
      <c r="LZ395" s="91">
        <f t="shared" si="2137"/>
        <v>0</v>
      </c>
      <c r="MO395" s="91">
        <f t="shared" si="2138"/>
        <v>0</v>
      </c>
      <c r="MP395" s="91">
        <f t="shared" si="2139"/>
        <v>0</v>
      </c>
      <c r="NE395" s="91">
        <f t="shared" si="2140"/>
        <v>0</v>
      </c>
      <c r="NF395" s="91">
        <f t="shared" si="2141"/>
        <v>0</v>
      </c>
      <c r="NQ395" s="98">
        <v>110</v>
      </c>
      <c r="NR395" s="98">
        <v>1980</v>
      </c>
      <c r="NU395" s="91">
        <f t="shared" si="2142"/>
        <v>110</v>
      </c>
      <c r="NV395" s="91">
        <f t="shared" si="2143"/>
        <v>1980</v>
      </c>
      <c r="OK395" s="91">
        <f t="shared" si="2144"/>
        <v>0</v>
      </c>
      <c r="OL395" s="91">
        <f t="shared" si="2145"/>
        <v>0</v>
      </c>
      <c r="PA395" s="91">
        <f t="shared" si="2146"/>
        <v>0</v>
      </c>
      <c r="PB395" s="91">
        <f t="shared" si="2147"/>
        <v>0</v>
      </c>
      <c r="PQ395" s="91">
        <f t="shared" si="2148"/>
        <v>0</v>
      </c>
      <c r="PR395" s="91">
        <f t="shared" si="2149"/>
        <v>0</v>
      </c>
      <c r="PY395" s="98">
        <v>54900</v>
      </c>
      <c r="PZ395" s="98">
        <v>823500</v>
      </c>
      <c r="QC395" s="98">
        <v>14170</v>
      </c>
      <c r="QD395" s="98">
        <v>212550</v>
      </c>
      <c r="QG395" s="91">
        <f t="shared" si="2150"/>
        <v>69070</v>
      </c>
      <c r="QH395" s="91">
        <f t="shared" si="2151"/>
        <v>1036050</v>
      </c>
      <c r="QW395" s="91">
        <f t="shared" si="2152"/>
        <v>0</v>
      </c>
      <c r="QX395" s="91">
        <f t="shared" si="2153"/>
        <v>0</v>
      </c>
      <c r="RM395" s="91">
        <f t="shared" si="2154"/>
        <v>0</v>
      </c>
      <c r="RN395" s="91">
        <f t="shared" si="2155"/>
        <v>0</v>
      </c>
      <c r="SC395" s="91">
        <f t="shared" si="2156"/>
        <v>0</v>
      </c>
      <c r="SD395" s="91">
        <f t="shared" si="2157"/>
        <v>0</v>
      </c>
      <c r="SS395" s="91">
        <f t="shared" si="2158"/>
        <v>0</v>
      </c>
      <c r="ST395" s="91">
        <f t="shared" si="2159"/>
        <v>0</v>
      </c>
      <c r="TI395" s="91">
        <f t="shared" si="2160"/>
        <v>0</v>
      </c>
      <c r="TJ395" s="91">
        <f t="shared" si="2161"/>
        <v>0</v>
      </c>
      <c r="TY395" s="91">
        <f t="shared" si="2162"/>
        <v>0</v>
      </c>
      <c r="TZ395" s="91">
        <f t="shared" si="2163"/>
        <v>0</v>
      </c>
      <c r="UO395" s="91">
        <f t="shared" si="2164"/>
        <v>0</v>
      </c>
      <c r="UP395" s="91">
        <f t="shared" si="2165"/>
        <v>0</v>
      </c>
      <c r="VE395" s="91">
        <f t="shared" si="2166"/>
        <v>0</v>
      </c>
      <c r="VF395" s="91">
        <f t="shared" si="2167"/>
        <v>0</v>
      </c>
      <c r="VU395" s="91">
        <f t="shared" si="2168"/>
        <v>0</v>
      </c>
      <c r="VV395" s="91">
        <f t="shared" si="2169"/>
        <v>0</v>
      </c>
      <c r="WK395" s="91">
        <f t="shared" si="2170"/>
        <v>0</v>
      </c>
      <c r="WL395" s="91">
        <f t="shared" si="2171"/>
        <v>0</v>
      </c>
      <c r="WM395" s="89"/>
      <c r="WN395" s="87">
        <f t="shared" si="2172"/>
        <v>0</v>
      </c>
      <c r="WO395" s="87">
        <f t="shared" si="2173"/>
        <v>0</v>
      </c>
      <c r="WP395" s="87">
        <f t="shared" si="2174"/>
        <v>0</v>
      </c>
      <c r="WQ395" s="87">
        <f t="shared" si="2175"/>
        <v>0</v>
      </c>
      <c r="WR395" s="87">
        <f t="shared" si="2176"/>
        <v>0</v>
      </c>
      <c r="WS395" s="87">
        <f t="shared" si="2177"/>
        <v>0</v>
      </c>
      <c r="WT395" s="87">
        <f t="shared" si="2178"/>
        <v>433585</v>
      </c>
      <c r="WU395" s="87">
        <f t="shared" si="2179"/>
        <v>6899650</v>
      </c>
      <c r="WV395" s="87">
        <f t="shared" si="2180"/>
        <v>0</v>
      </c>
      <c r="WW395" s="87">
        <f t="shared" si="2181"/>
        <v>0</v>
      </c>
      <c r="WX395" s="87">
        <f t="shared" si="2182"/>
        <v>14280</v>
      </c>
      <c r="WY395" s="87">
        <f t="shared" si="2183"/>
        <v>214530</v>
      </c>
      <c r="WZ395" s="87">
        <f t="shared" si="2184"/>
        <v>0</v>
      </c>
      <c r="XA395" s="87">
        <f t="shared" si="2185"/>
        <v>0</v>
      </c>
      <c r="XB395" s="92">
        <f t="shared" si="2186"/>
        <v>447865</v>
      </c>
      <c r="XC395" s="92">
        <f t="shared" si="2187"/>
        <v>7114180</v>
      </c>
      <c r="XD395" s="89"/>
      <c r="XE395" s="92"/>
      <c r="XF395" s="92"/>
      <c r="XG395" s="89"/>
      <c r="XH395" s="92"/>
      <c r="XI395" s="92"/>
      <c r="XJ395" s="89"/>
      <c r="XK395" s="87"/>
      <c r="XL395" s="87"/>
      <c r="XM395" s="87"/>
      <c r="XN395" s="87"/>
      <c r="XO395" s="87"/>
      <c r="XP395" s="87"/>
      <c r="XQ395" s="87"/>
      <c r="XR395" s="92">
        <f t="shared" ca="1" si="2188"/>
        <v>0</v>
      </c>
      <c r="XS395" s="89"/>
      <c r="XT395" s="87"/>
      <c r="XU395" s="87"/>
      <c r="XV395" s="87"/>
      <c r="XW395" s="87"/>
      <c r="XX395" s="87"/>
      <c r="XY395" s="87"/>
      <c r="XZ395" s="87"/>
      <c r="YA395" s="92">
        <f t="shared" ca="1" si="2189"/>
        <v>0</v>
      </c>
      <c r="YB395" s="90"/>
      <c r="YC395" s="90"/>
      <c r="YD395" s="90"/>
      <c r="YE395" s="90"/>
      <c r="YF395" s="90"/>
      <c r="YG395" s="90"/>
      <c r="YH395" s="90"/>
      <c r="YI395" s="90"/>
      <c r="YJ395" s="90"/>
      <c r="YK395" s="90"/>
      <c r="YL395" s="90"/>
      <c r="YM395" s="90"/>
      <c r="YN395" s="90"/>
      <c r="YO395" s="90"/>
      <c r="YP395" s="90"/>
      <c r="YQ395" s="90"/>
      <c r="YR395" s="90"/>
      <c r="YS395" s="90"/>
      <c r="YT395" s="90"/>
      <c r="YU395" s="90"/>
      <c r="YV395" s="90"/>
      <c r="YW395" s="90"/>
      <c r="YX395" s="90"/>
      <c r="YY395" s="90"/>
      <c r="YZ395" s="90"/>
      <c r="ZA395" s="90"/>
      <c r="ZB395" s="90"/>
      <c r="ZC395" s="90"/>
      <c r="ZD395" s="90"/>
      <c r="ZE395" s="90"/>
      <c r="ZF395" s="90"/>
      <c r="ZG395" s="90"/>
      <c r="ZH395" s="90"/>
      <c r="ZI395" s="90"/>
      <c r="ZJ395" s="90"/>
      <c r="ZK395" s="90"/>
      <c r="ZL395" s="90"/>
      <c r="ZM395" s="90"/>
      <c r="ZN395" s="90"/>
      <c r="ZO395" s="90"/>
      <c r="ZP395" s="90"/>
      <c r="ZQ395" s="90"/>
      <c r="ZR395" s="90"/>
      <c r="ZS395" s="90"/>
      <c r="ZT395" s="90"/>
      <c r="ZU395" s="90"/>
      <c r="ZV395" s="90"/>
      <c r="ZW395" s="90"/>
      <c r="ZX395" s="90"/>
      <c r="ZY395" s="90"/>
      <c r="ZZ395" s="90"/>
      <c r="AAA395" s="90"/>
      <c r="AAB395" s="90"/>
      <c r="AAC395" s="90"/>
      <c r="AAD395" s="90"/>
      <c r="AAE395" s="90"/>
      <c r="AAF395" s="90"/>
      <c r="AAG395" s="90"/>
      <c r="AAH395" s="90"/>
      <c r="AAI395" s="90"/>
      <c r="AAJ395" s="90"/>
      <c r="AAK395" s="90"/>
      <c r="AAL395" s="90"/>
      <c r="AAM395" s="90"/>
      <c r="AAN395" s="90"/>
      <c r="AAO395" s="90"/>
      <c r="AAP395" s="90"/>
      <c r="AAQ395" s="90"/>
      <c r="AAR395" s="90"/>
      <c r="AAS395" s="90"/>
      <c r="AAT395" s="90"/>
      <c r="AAU395" s="90"/>
      <c r="AAV395" s="90"/>
      <c r="AAW395" s="90"/>
      <c r="AAX395" s="90"/>
      <c r="AAY395" s="90"/>
      <c r="AAZ395" s="90"/>
      <c r="ABA395" s="90"/>
      <c r="ABB395" s="90"/>
      <c r="ABC395" s="90"/>
      <c r="ABD395" s="90"/>
      <c r="ABE395" s="90"/>
      <c r="ABF395" s="90"/>
      <c r="ABG395" s="90"/>
      <c r="ABH395" s="90"/>
      <c r="ABI395" s="90"/>
      <c r="ABJ395" s="90"/>
      <c r="ABK395" s="90"/>
      <c r="ABL395" s="90"/>
      <c r="ABM395" s="90"/>
      <c r="ABN395" s="90"/>
      <c r="ABO395" s="90"/>
      <c r="ABP395" s="90"/>
      <c r="ABQ395" s="90"/>
      <c r="ABR395" s="90"/>
      <c r="ABS395" s="90"/>
      <c r="ABT395" s="90"/>
      <c r="ABU395" s="90"/>
      <c r="ABV395" s="90"/>
      <c r="ABW395" s="90"/>
      <c r="ABX395" s="90"/>
      <c r="ABY395" s="90"/>
      <c r="ABZ395" s="90"/>
      <c r="ACA395" s="90"/>
      <c r="ACB395" s="90"/>
      <c r="ACC395" s="90"/>
      <c r="ACD395" s="90"/>
      <c r="ACE395" s="90"/>
      <c r="ACF395" s="90"/>
      <c r="ACG395" s="90"/>
      <c r="ACH395" s="90"/>
      <c r="ACI395" s="90"/>
      <c r="ACJ395" s="90"/>
      <c r="ACK395" s="90"/>
      <c r="ACL395" s="90"/>
      <c r="ACM395" s="90"/>
      <c r="ACN395" s="90"/>
      <c r="ACO395" s="90"/>
      <c r="ACP395" s="90"/>
      <c r="ACQ395" s="90"/>
      <c r="ACR395" s="90"/>
      <c r="ACS395" s="90"/>
      <c r="ACT395" s="90"/>
      <c r="ACU395" s="90"/>
      <c r="ACV395" s="90"/>
      <c r="ACW395" s="90"/>
      <c r="ACX395" s="90"/>
      <c r="ACY395" s="90"/>
      <c r="ACZ395" s="90"/>
      <c r="ADA395" s="90"/>
      <c r="ADB395" s="90"/>
      <c r="ADC395" s="90"/>
      <c r="ADD395" s="90"/>
      <c r="ADE395" s="90"/>
      <c r="ADF395" s="90"/>
      <c r="ADG395" s="90"/>
      <c r="ADH395" s="90"/>
      <c r="ADI395" s="90"/>
      <c r="ADJ395" s="90"/>
      <c r="ADK395" s="90"/>
      <c r="ADL395" s="90"/>
      <c r="ADM395" s="90"/>
      <c r="ADN395" s="90"/>
      <c r="ADO395" s="90"/>
      <c r="ADP395" s="90"/>
      <c r="ADQ395" s="90"/>
      <c r="ADR395" s="90"/>
      <c r="ADS395" s="90"/>
      <c r="ADT395" s="90"/>
      <c r="ADU395" s="90"/>
      <c r="ADV395" s="90"/>
      <c r="ADW395" s="90"/>
      <c r="ADX395" s="90"/>
      <c r="ADY395" s="90"/>
      <c r="ADZ395" s="90"/>
      <c r="AEA395" s="90"/>
      <c r="AEB395" s="90"/>
      <c r="AEC395" s="90"/>
      <c r="AED395" s="90"/>
      <c r="AEE395" s="90"/>
      <c r="AEF395" s="90"/>
      <c r="AEG395" s="90"/>
      <c r="AEH395" s="90"/>
      <c r="AEI395" s="90"/>
      <c r="AEJ395" s="90"/>
      <c r="AEK395" s="90"/>
      <c r="AEL395" s="90"/>
      <c r="AEM395" s="90"/>
      <c r="AEN395" s="90"/>
      <c r="AEO395" s="90"/>
      <c r="AEP395" s="90"/>
      <c r="AEQ395" s="90"/>
      <c r="AER395" s="90"/>
      <c r="AES395" s="90"/>
      <c r="AET395" s="90"/>
      <c r="AEU395" s="90"/>
      <c r="AEV395" s="90"/>
      <c r="AEW395" s="90"/>
      <c r="AEX395" s="90"/>
      <c r="AEY395" s="90"/>
      <c r="AEZ395" s="90"/>
      <c r="AFA395" s="90"/>
      <c r="AFB395" s="90"/>
      <c r="AFC395" s="90"/>
      <c r="AFD395" s="90"/>
      <c r="AFE395" s="90"/>
      <c r="AFF395" s="90"/>
      <c r="AFG395" s="90"/>
      <c r="AFH395" s="90"/>
      <c r="AFI395" s="90"/>
      <c r="AFJ395" s="90"/>
      <c r="AFK395" s="90"/>
      <c r="AFL395" s="90"/>
      <c r="AFM395" s="90"/>
      <c r="AFN395" s="90"/>
      <c r="AFO395" s="90"/>
      <c r="AFP395" s="90"/>
      <c r="AFQ395" s="90"/>
      <c r="AFR395" s="90"/>
      <c r="AFS395" s="90"/>
      <c r="AFT395" s="90"/>
      <c r="AFU395" s="90"/>
      <c r="AFV395" s="90"/>
      <c r="AFW395" s="90"/>
      <c r="AFX395" s="90"/>
      <c r="AFY395" s="90"/>
      <c r="AFZ395" s="90"/>
      <c r="AGA395" s="90"/>
      <c r="AGB395" s="90"/>
      <c r="AGC395" s="90"/>
      <c r="AGD395" s="90"/>
      <c r="AGE395" s="90"/>
      <c r="AGF395" s="90"/>
      <c r="AGG395" s="90"/>
      <c r="AGH395" s="90"/>
      <c r="AGI395" s="90"/>
      <c r="AGJ395" s="90"/>
      <c r="AGK395" s="90"/>
      <c r="AGL395" s="90"/>
      <c r="AGM395" s="90"/>
      <c r="AGN395" s="90"/>
      <c r="AGO395" s="90"/>
      <c r="AGP395" s="90"/>
      <c r="AGQ395" s="90"/>
      <c r="AGR395" s="90"/>
      <c r="AGS395" s="90"/>
      <c r="AGT395" s="90"/>
      <c r="AGU395" s="90"/>
      <c r="AGV395" s="90"/>
      <c r="AGW395" s="90"/>
      <c r="AGX395" s="90"/>
      <c r="AGY395" s="90"/>
      <c r="AGZ395" s="90"/>
      <c r="AHA395" s="90"/>
      <c r="AHB395" s="90"/>
      <c r="AHC395" s="90"/>
      <c r="AHD395" s="90"/>
      <c r="AHE395" s="90"/>
      <c r="AHF395" s="90"/>
      <c r="AHG395" s="90"/>
      <c r="AHH395" s="90"/>
      <c r="AHI395" s="90"/>
      <c r="AHJ395" s="90"/>
      <c r="AHK395" s="90"/>
      <c r="AHL395" s="90"/>
      <c r="AHM395" s="90"/>
      <c r="AHN395" s="90"/>
      <c r="AHO395" s="90"/>
      <c r="AHP395" s="90"/>
      <c r="AHQ395" s="90"/>
      <c r="AHR395" s="90"/>
      <c r="AHS395" s="90"/>
      <c r="AHT395" s="90"/>
      <c r="AHU395" s="90"/>
      <c r="AHV395" s="90"/>
      <c r="AHW395" s="90"/>
      <c r="AHX395" s="90"/>
      <c r="AHY395" s="90"/>
      <c r="AHZ395" s="90"/>
      <c r="AIA395" s="90"/>
      <c r="AIB395" s="90"/>
      <c r="AIC395" s="90"/>
      <c r="AID395" s="90"/>
      <c r="AIE395" s="90"/>
      <c r="AIF395" s="90"/>
      <c r="AIG395" s="90"/>
      <c r="AIH395" s="90"/>
      <c r="AII395" s="90"/>
      <c r="AIJ395" s="90"/>
      <c r="AIK395" s="90"/>
      <c r="AIL395" s="90"/>
      <c r="AIM395" s="90"/>
      <c r="AIN395" s="90"/>
      <c r="AIO395" s="90"/>
      <c r="AIP395" s="90"/>
      <c r="AIQ395" s="90"/>
      <c r="AIR395" s="90"/>
      <c r="AIS395" s="90"/>
      <c r="AIT395" s="90"/>
      <c r="AIU395" s="90"/>
      <c r="AIV395" s="90"/>
      <c r="AIW395" s="90"/>
      <c r="AIX395" s="90"/>
      <c r="AIY395" s="90"/>
      <c r="AIZ395" s="90"/>
      <c r="AJA395" s="90"/>
      <c r="AJB395" s="90"/>
      <c r="AJC395" s="90"/>
      <c r="AJD395" s="90"/>
      <c r="AJE395" s="90"/>
      <c r="AJF395" s="90"/>
      <c r="AJG395" s="90"/>
      <c r="AJH395" s="90"/>
      <c r="AJI395" s="90"/>
      <c r="AJJ395" s="90"/>
      <c r="AJK395" s="90"/>
      <c r="AJL395" s="90"/>
      <c r="AJM395" s="90"/>
      <c r="AJN395" s="90"/>
      <c r="AJO395" s="90"/>
      <c r="AJP395" s="90"/>
      <c r="AJQ395" s="90"/>
      <c r="AJR395" s="90"/>
      <c r="AJS395" s="90"/>
      <c r="AJT395" s="90"/>
      <c r="AJU395" s="90"/>
      <c r="AJV395" s="90"/>
      <c r="AJW395" s="90"/>
      <c r="AJX395" s="90"/>
      <c r="AJY395" s="90"/>
      <c r="AJZ395" s="90"/>
      <c r="AKA395" s="90"/>
      <c r="AKB395" s="90"/>
      <c r="AKC395" s="90"/>
      <c r="AKD395" s="90"/>
      <c r="AKE395" s="90"/>
      <c r="AKF395" s="90"/>
      <c r="AKG395" s="90"/>
      <c r="AKH395" s="90"/>
      <c r="AKI395" s="90"/>
      <c r="AKJ395" s="90"/>
      <c r="AKK395" s="90"/>
      <c r="AKL395" s="90"/>
      <c r="AKM395" s="90"/>
      <c r="AKN395" s="90"/>
      <c r="AKO395" s="90"/>
      <c r="AKP395" s="90"/>
      <c r="AKQ395" s="90"/>
      <c r="AKR395" s="90"/>
      <c r="AKS395" s="90"/>
      <c r="AKT395" s="90"/>
      <c r="AKU395" s="90"/>
      <c r="AKV395" s="90"/>
      <c r="AKW395" s="90"/>
      <c r="AKX395" s="90"/>
      <c r="AKY395" s="90"/>
      <c r="AKZ395" s="90"/>
      <c r="ALA395" s="90"/>
      <c r="ALB395" s="90"/>
      <c r="ALC395" s="90"/>
      <c r="ALD395" s="90"/>
      <c r="ALE395" s="90"/>
      <c r="ALF395" s="90"/>
      <c r="ALG395" s="90"/>
      <c r="ALH395" s="90"/>
      <c r="ALI395" s="90"/>
      <c r="ALJ395" s="90"/>
      <c r="ALK395" s="90"/>
      <c r="ALL395" s="90"/>
      <c r="ALM395" s="90"/>
      <c r="ALN395" s="90"/>
      <c r="ALO395" s="90"/>
      <c r="ALP395" s="90"/>
      <c r="ALQ395" s="90"/>
      <c r="ALR395" s="90"/>
      <c r="ALS395" s="90"/>
      <c r="ALT395" s="90"/>
      <c r="ALU395" s="90"/>
      <c r="ALV395" s="90"/>
      <c r="ALW395" s="90"/>
      <c r="ALX395" s="90"/>
      <c r="ALY395" s="90"/>
      <c r="ALZ395" s="90"/>
      <c r="AMA395" s="90"/>
      <c r="AMB395" s="90"/>
      <c r="AMC395" s="90"/>
    </row>
    <row r="396" spans="1:1017">
      <c r="A396" s="98" t="s">
        <v>55</v>
      </c>
      <c r="B396" s="90" t="str">
        <f t="shared" si="2095"/>
        <v xml:space="preserve">Belanak </v>
      </c>
      <c r="E396" s="98">
        <v>122600</v>
      </c>
      <c r="F396" s="98">
        <v>3678000</v>
      </c>
      <c r="Q396" s="91">
        <f t="shared" si="2096"/>
        <v>122600</v>
      </c>
      <c r="R396" s="91">
        <f t="shared" si="2097"/>
        <v>3678000</v>
      </c>
      <c r="AG396" s="91">
        <f t="shared" si="2098"/>
        <v>0</v>
      </c>
      <c r="AH396" s="91">
        <f t="shared" si="2099"/>
        <v>0</v>
      </c>
      <c r="AW396" s="91">
        <f t="shared" si="2100"/>
        <v>0</v>
      </c>
      <c r="AX396" s="91">
        <f t="shared" si="2101"/>
        <v>0</v>
      </c>
      <c r="BM396" s="91">
        <f t="shared" si="2102"/>
        <v>0</v>
      </c>
      <c r="BN396" s="91">
        <f t="shared" si="2103"/>
        <v>0</v>
      </c>
      <c r="CC396" s="91">
        <f t="shared" si="2104"/>
        <v>0</v>
      </c>
      <c r="CD396" s="91">
        <f t="shared" si="2105"/>
        <v>0</v>
      </c>
      <c r="CS396" s="91">
        <f t="shared" si="2106"/>
        <v>0</v>
      </c>
      <c r="CT396" s="91">
        <f t="shared" si="2107"/>
        <v>0</v>
      </c>
      <c r="DI396" s="91">
        <f t="shared" si="2108"/>
        <v>0</v>
      </c>
      <c r="DJ396" s="91">
        <f t="shared" si="2109"/>
        <v>0</v>
      </c>
      <c r="DY396" s="91">
        <f t="shared" si="2110"/>
        <v>0</v>
      </c>
      <c r="DZ396" s="91">
        <f t="shared" si="2111"/>
        <v>0</v>
      </c>
      <c r="EO396" s="91">
        <f t="shared" si="2112"/>
        <v>0</v>
      </c>
      <c r="EP396" s="91">
        <f t="shared" si="2113"/>
        <v>0</v>
      </c>
      <c r="FE396" s="91">
        <f t="shared" si="2114"/>
        <v>0</v>
      </c>
      <c r="FF396" s="91">
        <f t="shared" si="2115"/>
        <v>0</v>
      </c>
      <c r="FU396" s="91">
        <f t="shared" si="2116"/>
        <v>0</v>
      </c>
      <c r="FV396" s="91">
        <f t="shared" si="2117"/>
        <v>0</v>
      </c>
      <c r="GK396" s="91">
        <f t="shared" si="2118"/>
        <v>0</v>
      </c>
      <c r="GL396" s="91">
        <f t="shared" si="2119"/>
        <v>0</v>
      </c>
      <c r="HA396" s="91">
        <f t="shared" si="2120"/>
        <v>0</v>
      </c>
      <c r="HB396" s="91">
        <f t="shared" si="2121"/>
        <v>0</v>
      </c>
      <c r="HQ396" s="91">
        <f t="shared" si="2122"/>
        <v>0</v>
      </c>
      <c r="HR396" s="91">
        <f t="shared" si="2123"/>
        <v>0</v>
      </c>
      <c r="IG396" s="91">
        <f t="shared" si="2124"/>
        <v>0</v>
      </c>
      <c r="IH396" s="91">
        <f t="shared" si="2125"/>
        <v>0</v>
      </c>
      <c r="IW396" s="91">
        <f t="shared" si="2126"/>
        <v>0</v>
      </c>
      <c r="IX396" s="91">
        <f t="shared" si="2127"/>
        <v>0</v>
      </c>
      <c r="JM396" s="91">
        <f t="shared" si="2128"/>
        <v>0</v>
      </c>
      <c r="JN396" s="91">
        <f t="shared" si="2129"/>
        <v>0</v>
      </c>
      <c r="KC396" s="91">
        <f t="shared" si="2130"/>
        <v>0</v>
      </c>
      <c r="KD396" s="91">
        <f t="shared" si="2131"/>
        <v>0</v>
      </c>
      <c r="KS396" s="91">
        <f t="shared" si="2132"/>
        <v>0</v>
      </c>
      <c r="KT396" s="91">
        <f t="shared" si="2133"/>
        <v>0</v>
      </c>
      <c r="LI396" s="91">
        <f t="shared" si="2134"/>
        <v>0</v>
      </c>
      <c r="LJ396" s="91">
        <f t="shared" si="2135"/>
        <v>0</v>
      </c>
      <c r="LY396" s="91">
        <f t="shared" si="2136"/>
        <v>0</v>
      </c>
      <c r="LZ396" s="91">
        <f t="shared" si="2137"/>
        <v>0</v>
      </c>
      <c r="MO396" s="91">
        <f t="shared" si="2138"/>
        <v>0</v>
      </c>
      <c r="MP396" s="91">
        <f t="shared" si="2139"/>
        <v>0</v>
      </c>
      <c r="MS396" s="98">
        <v>423</v>
      </c>
      <c r="MT396" s="98">
        <v>9306</v>
      </c>
      <c r="NE396" s="91">
        <f t="shared" si="2140"/>
        <v>423</v>
      </c>
      <c r="NF396" s="91">
        <f t="shared" si="2141"/>
        <v>9306</v>
      </c>
      <c r="NU396" s="91">
        <f t="shared" si="2142"/>
        <v>0</v>
      </c>
      <c r="NV396" s="91">
        <f t="shared" si="2143"/>
        <v>0</v>
      </c>
      <c r="OK396" s="91">
        <f t="shared" si="2144"/>
        <v>0</v>
      </c>
      <c r="OL396" s="91">
        <f t="shared" si="2145"/>
        <v>0</v>
      </c>
      <c r="PA396" s="91">
        <f t="shared" si="2146"/>
        <v>0</v>
      </c>
      <c r="PB396" s="91">
        <f t="shared" si="2147"/>
        <v>0</v>
      </c>
      <c r="PQ396" s="91">
        <f t="shared" si="2148"/>
        <v>0</v>
      </c>
      <c r="PR396" s="91">
        <f t="shared" si="2149"/>
        <v>0</v>
      </c>
      <c r="QG396" s="91">
        <f t="shared" si="2150"/>
        <v>0</v>
      </c>
      <c r="QH396" s="91">
        <f t="shared" si="2151"/>
        <v>0</v>
      </c>
      <c r="QW396" s="91">
        <f t="shared" si="2152"/>
        <v>0</v>
      </c>
      <c r="QX396" s="91">
        <f t="shared" si="2153"/>
        <v>0</v>
      </c>
      <c r="RM396" s="91">
        <f t="shared" si="2154"/>
        <v>0</v>
      </c>
      <c r="RN396" s="91">
        <f t="shared" si="2155"/>
        <v>0</v>
      </c>
      <c r="SC396" s="91">
        <f t="shared" si="2156"/>
        <v>0</v>
      </c>
      <c r="SD396" s="91">
        <f t="shared" si="2157"/>
        <v>0</v>
      </c>
      <c r="SS396" s="91">
        <f t="shared" si="2158"/>
        <v>0</v>
      </c>
      <c r="ST396" s="91">
        <f t="shared" si="2159"/>
        <v>0</v>
      </c>
      <c r="TI396" s="91">
        <f t="shared" si="2160"/>
        <v>0</v>
      </c>
      <c r="TJ396" s="91">
        <f t="shared" si="2161"/>
        <v>0</v>
      </c>
      <c r="TY396" s="91">
        <f t="shared" si="2162"/>
        <v>0</v>
      </c>
      <c r="TZ396" s="91">
        <f t="shared" si="2163"/>
        <v>0</v>
      </c>
      <c r="UO396" s="91">
        <f t="shared" si="2164"/>
        <v>0</v>
      </c>
      <c r="UP396" s="91">
        <f t="shared" si="2165"/>
        <v>0</v>
      </c>
      <c r="VE396" s="91">
        <f t="shared" si="2166"/>
        <v>0</v>
      </c>
      <c r="VF396" s="91">
        <f t="shared" si="2167"/>
        <v>0</v>
      </c>
      <c r="VU396" s="91">
        <f t="shared" si="2168"/>
        <v>0</v>
      </c>
      <c r="VV396" s="91">
        <f t="shared" si="2169"/>
        <v>0</v>
      </c>
      <c r="WK396" s="91">
        <f t="shared" si="2170"/>
        <v>0</v>
      </c>
      <c r="WL396" s="91">
        <f t="shared" si="2171"/>
        <v>0</v>
      </c>
      <c r="WM396" s="89"/>
      <c r="WN396" s="87">
        <f t="shared" si="2172"/>
        <v>0</v>
      </c>
      <c r="WO396" s="87">
        <f t="shared" si="2173"/>
        <v>0</v>
      </c>
      <c r="WP396" s="87">
        <f t="shared" si="2174"/>
        <v>123023</v>
      </c>
      <c r="WQ396" s="87">
        <f t="shared" si="2175"/>
        <v>3687306</v>
      </c>
      <c r="WR396" s="87">
        <f t="shared" si="2176"/>
        <v>0</v>
      </c>
      <c r="WS396" s="87">
        <f t="shared" si="2177"/>
        <v>0</v>
      </c>
      <c r="WT396" s="87">
        <f t="shared" si="2178"/>
        <v>0</v>
      </c>
      <c r="WU396" s="87">
        <f t="shared" si="2179"/>
        <v>0</v>
      </c>
      <c r="WV396" s="87">
        <f t="shared" si="2180"/>
        <v>0</v>
      </c>
      <c r="WW396" s="87">
        <f t="shared" si="2181"/>
        <v>0</v>
      </c>
      <c r="WX396" s="87">
        <f t="shared" si="2182"/>
        <v>0</v>
      </c>
      <c r="WY396" s="87">
        <f t="shared" si="2183"/>
        <v>0</v>
      </c>
      <c r="WZ396" s="87">
        <f t="shared" si="2184"/>
        <v>0</v>
      </c>
      <c r="XA396" s="87">
        <f t="shared" si="2185"/>
        <v>0</v>
      </c>
      <c r="XB396" s="92">
        <f t="shared" si="2186"/>
        <v>123023</v>
      </c>
      <c r="XC396" s="92">
        <f t="shared" si="2187"/>
        <v>3687306</v>
      </c>
      <c r="XD396" s="89"/>
      <c r="XE396" s="92"/>
      <c r="XF396" s="92"/>
      <c r="XG396" s="89"/>
      <c r="XH396" s="92"/>
      <c r="XI396" s="92"/>
      <c r="XJ396" s="89"/>
      <c r="XK396" s="87"/>
      <c r="XL396" s="87"/>
      <c r="XM396" s="87"/>
      <c r="XN396" s="87"/>
      <c r="XO396" s="87"/>
      <c r="XP396" s="87"/>
      <c r="XQ396" s="87"/>
      <c r="XR396" s="92">
        <f t="shared" ca="1" si="2188"/>
        <v>0</v>
      </c>
      <c r="XS396" s="89"/>
      <c r="XT396" s="87"/>
      <c r="XU396" s="87"/>
      <c r="XV396" s="87"/>
      <c r="XW396" s="87"/>
      <c r="XX396" s="87"/>
      <c r="XY396" s="87"/>
      <c r="XZ396" s="87"/>
      <c r="YA396" s="92">
        <f t="shared" ca="1" si="2189"/>
        <v>0</v>
      </c>
      <c r="YB396" s="90"/>
      <c r="YC396" s="90"/>
      <c r="YD396" s="90"/>
      <c r="YE396" s="90"/>
      <c r="YF396" s="90"/>
      <c r="YG396" s="90"/>
      <c r="YH396" s="90"/>
      <c r="YI396" s="90"/>
      <c r="YJ396" s="90"/>
      <c r="YK396" s="90"/>
      <c r="YL396" s="90"/>
      <c r="YM396" s="90"/>
      <c r="YN396" s="90"/>
      <c r="YO396" s="90"/>
      <c r="YP396" s="90"/>
      <c r="YQ396" s="90"/>
      <c r="YR396" s="90"/>
      <c r="YS396" s="90"/>
      <c r="YT396" s="90"/>
      <c r="YU396" s="90"/>
      <c r="YV396" s="90"/>
      <c r="YW396" s="90"/>
      <c r="YX396" s="90"/>
      <c r="YY396" s="90"/>
      <c r="YZ396" s="90"/>
      <c r="ZA396" s="90"/>
      <c r="ZB396" s="90"/>
      <c r="ZC396" s="90"/>
      <c r="ZD396" s="90"/>
      <c r="ZE396" s="90"/>
      <c r="ZF396" s="90"/>
      <c r="ZG396" s="90"/>
      <c r="ZH396" s="90"/>
      <c r="ZI396" s="90"/>
      <c r="ZJ396" s="90"/>
      <c r="ZK396" s="90"/>
      <c r="ZL396" s="90"/>
      <c r="ZM396" s="90"/>
      <c r="ZN396" s="90"/>
      <c r="ZO396" s="90"/>
      <c r="ZP396" s="90"/>
      <c r="ZQ396" s="90"/>
      <c r="ZR396" s="90"/>
      <c r="ZS396" s="90"/>
      <c r="ZT396" s="90"/>
      <c r="ZU396" s="90"/>
      <c r="ZV396" s="90"/>
      <c r="ZW396" s="90"/>
      <c r="ZX396" s="90"/>
      <c r="ZY396" s="90"/>
      <c r="ZZ396" s="90"/>
      <c r="AAA396" s="90"/>
      <c r="AAB396" s="90"/>
      <c r="AAC396" s="90"/>
      <c r="AAD396" s="90"/>
      <c r="AAE396" s="90"/>
      <c r="AAF396" s="90"/>
      <c r="AAG396" s="90"/>
      <c r="AAH396" s="90"/>
      <c r="AAI396" s="90"/>
      <c r="AAJ396" s="90"/>
      <c r="AAK396" s="90"/>
      <c r="AAL396" s="90"/>
      <c r="AAM396" s="90"/>
      <c r="AAN396" s="90"/>
      <c r="AAO396" s="90"/>
      <c r="AAP396" s="90"/>
      <c r="AAQ396" s="90"/>
      <c r="AAR396" s="90"/>
      <c r="AAS396" s="90"/>
      <c r="AAT396" s="90"/>
      <c r="AAU396" s="90"/>
      <c r="AAV396" s="90"/>
      <c r="AAW396" s="90"/>
      <c r="AAX396" s="90"/>
      <c r="AAY396" s="90"/>
      <c r="AAZ396" s="90"/>
      <c r="ABA396" s="90"/>
      <c r="ABB396" s="90"/>
      <c r="ABC396" s="90"/>
      <c r="ABD396" s="90"/>
      <c r="ABE396" s="90"/>
      <c r="ABF396" s="90"/>
      <c r="ABG396" s="90"/>
      <c r="ABH396" s="90"/>
      <c r="ABI396" s="90"/>
      <c r="ABJ396" s="90"/>
      <c r="ABK396" s="90"/>
      <c r="ABL396" s="90"/>
      <c r="ABM396" s="90"/>
      <c r="ABN396" s="90"/>
      <c r="ABO396" s="90"/>
      <c r="ABP396" s="90"/>
      <c r="ABQ396" s="90"/>
      <c r="ABR396" s="90"/>
      <c r="ABS396" s="90"/>
      <c r="ABT396" s="90"/>
      <c r="ABU396" s="90"/>
      <c r="ABV396" s="90"/>
      <c r="ABW396" s="90"/>
      <c r="ABX396" s="90"/>
      <c r="ABY396" s="90"/>
      <c r="ABZ396" s="90"/>
      <c r="ACA396" s="90"/>
      <c r="ACB396" s="90"/>
      <c r="ACC396" s="90"/>
      <c r="ACD396" s="90"/>
      <c r="ACE396" s="90"/>
      <c r="ACF396" s="90"/>
      <c r="ACG396" s="90"/>
      <c r="ACH396" s="90"/>
      <c r="ACI396" s="90"/>
      <c r="ACJ396" s="90"/>
      <c r="ACK396" s="90"/>
      <c r="ACL396" s="90"/>
      <c r="ACM396" s="90"/>
      <c r="ACN396" s="90"/>
      <c r="ACO396" s="90"/>
      <c r="ACP396" s="90"/>
      <c r="ACQ396" s="90"/>
      <c r="ACR396" s="90"/>
      <c r="ACS396" s="90"/>
      <c r="ACT396" s="90"/>
      <c r="ACU396" s="90"/>
      <c r="ACV396" s="90"/>
      <c r="ACW396" s="90"/>
      <c r="ACX396" s="90"/>
      <c r="ACY396" s="90"/>
      <c r="ACZ396" s="90"/>
      <c r="ADA396" s="90"/>
      <c r="ADB396" s="90"/>
      <c r="ADC396" s="90"/>
      <c r="ADD396" s="90"/>
      <c r="ADE396" s="90"/>
      <c r="ADF396" s="90"/>
      <c r="ADG396" s="90"/>
      <c r="ADH396" s="90"/>
      <c r="ADI396" s="90"/>
      <c r="ADJ396" s="90"/>
      <c r="ADK396" s="90"/>
      <c r="ADL396" s="90"/>
      <c r="ADM396" s="90"/>
      <c r="ADN396" s="90"/>
      <c r="ADO396" s="90"/>
      <c r="ADP396" s="90"/>
      <c r="ADQ396" s="90"/>
      <c r="ADR396" s="90"/>
      <c r="ADS396" s="90"/>
      <c r="ADT396" s="90"/>
      <c r="ADU396" s="90"/>
      <c r="ADV396" s="90"/>
      <c r="ADW396" s="90"/>
      <c r="ADX396" s="90"/>
      <c r="ADY396" s="90"/>
      <c r="ADZ396" s="90"/>
      <c r="AEA396" s="90"/>
      <c r="AEB396" s="90"/>
      <c r="AEC396" s="90"/>
      <c r="AED396" s="90"/>
      <c r="AEE396" s="90"/>
      <c r="AEF396" s="90"/>
      <c r="AEG396" s="90"/>
      <c r="AEH396" s="90"/>
      <c r="AEI396" s="90"/>
      <c r="AEJ396" s="90"/>
      <c r="AEK396" s="90"/>
      <c r="AEL396" s="90"/>
      <c r="AEM396" s="90"/>
      <c r="AEN396" s="90"/>
      <c r="AEO396" s="90"/>
      <c r="AEP396" s="90"/>
      <c r="AEQ396" s="90"/>
      <c r="AER396" s="90"/>
      <c r="AES396" s="90"/>
      <c r="AET396" s="90"/>
      <c r="AEU396" s="90"/>
      <c r="AEV396" s="90"/>
      <c r="AEW396" s="90"/>
      <c r="AEX396" s="90"/>
      <c r="AEY396" s="90"/>
      <c r="AEZ396" s="90"/>
      <c r="AFA396" s="90"/>
      <c r="AFB396" s="90"/>
      <c r="AFC396" s="90"/>
      <c r="AFD396" s="90"/>
      <c r="AFE396" s="90"/>
      <c r="AFF396" s="90"/>
      <c r="AFG396" s="90"/>
      <c r="AFH396" s="90"/>
      <c r="AFI396" s="90"/>
      <c r="AFJ396" s="90"/>
      <c r="AFK396" s="90"/>
      <c r="AFL396" s="90"/>
      <c r="AFM396" s="90"/>
      <c r="AFN396" s="90"/>
      <c r="AFO396" s="90"/>
      <c r="AFP396" s="90"/>
      <c r="AFQ396" s="90"/>
      <c r="AFR396" s="90"/>
      <c r="AFS396" s="90"/>
      <c r="AFT396" s="90"/>
      <c r="AFU396" s="90"/>
      <c r="AFV396" s="90"/>
      <c r="AFW396" s="90"/>
      <c r="AFX396" s="90"/>
      <c r="AFY396" s="90"/>
      <c r="AFZ396" s="90"/>
      <c r="AGA396" s="90"/>
      <c r="AGB396" s="90"/>
      <c r="AGC396" s="90"/>
      <c r="AGD396" s="90"/>
      <c r="AGE396" s="90"/>
      <c r="AGF396" s="90"/>
      <c r="AGG396" s="90"/>
      <c r="AGH396" s="90"/>
      <c r="AGI396" s="90"/>
      <c r="AGJ396" s="90"/>
      <c r="AGK396" s="90"/>
      <c r="AGL396" s="90"/>
      <c r="AGM396" s="90"/>
      <c r="AGN396" s="90"/>
      <c r="AGO396" s="90"/>
      <c r="AGP396" s="90"/>
      <c r="AGQ396" s="90"/>
      <c r="AGR396" s="90"/>
      <c r="AGS396" s="90"/>
      <c r="AGT396" s="90"/>
      <c r="AGU396" s="90"/>
      <c r="AGV396" s="90"/>
      <c r="AGW396" s="90"/>
      <c r="AGX396" s="90"/>
      <c r="AGY396" s="90"/>
      <c r="AGZ396" s="90"/>
      <c r="AHA396" s="90"/>
      <c r="AHB396" s="90"/>
      <c r="AHC396" s="90"/>
      <c r="AHD396" s="90"/>
      <c r="AHE396" s="90"/>
      <c r="AHF396" s="90"/>
      <c r="AHG396" s="90"/>
      <c r="AHH396" s="90"/>
      <c r="AHI396" s="90"/>
      <c r="AHJ396" s="90"/>
      <c r="AHK396" s="90"/>
      <c r="AHL396" s="90"/>
      <c r="AHM396" s="90"/>
      <c r="AHN396" s="90"/>
      <c r="AHO396" s="90"/>
      <c r="AHP396" s="90"/>
      <c r="AHQ396" s="90"/>
      <c r="AHR396" s="90"/>
      <c r="AHS396" s="90"/>
      <c r="AHT396" s="90"/>
      <c r="AHU396" s="90"/>
      <c r="AHV396" s="90"/>
      <c r="AHW396" s="90"/>
      <c r="AHX396" s="90"/>
      <c r="AHY396" s="90"/>
      <c r="AHZ396" s="90"/>
      <c r="AIA396" s="90"/>
      <c r="AIB396" s="90"/>
      <c r="AIC396" s="90"/>
      <c r="AID396" s="90"/>
      <c r="AIE396" s="90"/>
      <c r="AIF396" s="90"/>
      <c r="AIG396" s="90"/>
      <c r="AIH396" s="90"/>
      <c r="AII396" s="90"/>
      <c r="AIJ396" s="90"/>
      <c r="AIK396" s="90"/>
      <c r="AIL396" s="90"/>
      <c r="AIM396" s="90"/>
      <c r="AIN396" s="90"/>
      <c r="AIO396" s="90"/>
      <c r="AIP396" s="90"/>
      <c r="AIQ396" s="90"/>
      <c r="AIR396" s="90"/>
      <c r="AIS396" s="90"/>
      <c r="AIT396" s="90"/>
      <c r="AIU396" s="90"/>
      <c r="AIV396" s="90"/>
      <c r="AIW396" s="90"/>
      <c r="AIX396" s="90"/>
      <c r="AIY396" s="90"/>
      <c r="AIZ396" s="90"/>
      <c r="AJA396" s="90"/>
      <c r="AJB396" s="90"/>
      <c r="AJC396" s="90"/>
      <c r="AJD396" s="90"/>
      <c r="AJE396" s="90"/>
      <c r="AJF396" s="90"/>
      <c r="AJG396" s="90"/>
      <c r="AJH396" s="90"/>
      <c r="AJI396" s="90"/>
      <c r="AJJ396" s="90"/>
      <c r="AJK396" s="90"/>
      <c r="AJL396" s="90"/>
      <c r="AJM396" s="90"/>
      <c r="AJN396" s="90"/>
      <c r="AJO396" s="90"/>
      <c r="AJP396" s="90"/>
      <c r="AJQ396" s="90"/>
      <c r="AJR396" s="90"/>
      <c r="AJS396" s="90"/>
      <c r="AJT396" s="90"/>
      <c r="AJU396" s="90"/>
      <c r="AJV396" s="90"/>
      <c r="AJW396" s="90"/>
      <c r="AJX396" s="90"/>
      <c r="AJY396" s="90"/>
      <c r="AJZ396" s="90"/>
      <c r="AKA396" s="90"/>
      <c r="AKB396" s="90"/>
      <c r="AKC396" s="90"/>
      <c r="AKD396" s="90"/>
      <c r="AKE396" s="90"/>
      <c r="AKF396" s="90"/>
      <c r="AKG396" s="90"/>
      <c r="AKH396" s="90"/>
      <c r="AKI396" s="90"/>
      <c r="AKJ396" s="90"/>
      <c r="AKK396" s="90"/>
      <c r="AKL396" s="90"/>
      <c r="AKM396" s="90"/>
      <c r="AKN396" s="90"/>
      <c r="AKO396" s="90"/>
      <c r="AKP396" s="90"/>
      <c r="AKQ396" s="90"/>
      <c r="AKR396" s="90"/>
      <c r="AKS396" s="90"/>
      <c r="AKT396" s="90"/>
      <c r="AKU396" s="90"/>
      <c r="AKV396" s="90"/>
      <c r="AKW396" s="90"/>
      <c r="AKX396" s="90"/>
      <c r="AKY396" s="90"/>
      <c r="AKZ396" s="90"/>
      <c r="ALA396" s="90"/>
      <c r="ALB396" s="90"/>
      <c r="ALC396" s="90"/>
      <c r="ALD396" s="90"/>
      <c r="ALE396" s="90"/>
      <c r="ALF396" s="90"/>
      <c r="ALG396" s="90"/>
      <c r="ALH396" s="90"/>
      <c r="ALI396" s="90"/>
      <c r="ALJ396" s="90"/>
      <c r="ALK396" s="90"/>
      <c r="ALL396" s="90"/>
      <c r="ALM396" s="90"/>
      <c r="ALN396" s="90"/>
      <c r="ALO396" s="90"/>
      <c r="ALP396" s="90"/>
      <c r="ALQ396" s="90"/>
      <c r="ALR396" s="90"/>
      <c r="ALS396" s="90"/>
      <c r="ALT396" s="90"/>
      <c r="ALU396" s="90"/>
      <c r="ALV396" s="90"/>
      <c r="ALW396" s="90"/>
      <c r="ALX396" s="90"/>
      <c r="ALY396" s="90"/>
      <c r="ALZ396" s="90"/>
      <c r="AMA396" s="90"/>
      <c r="AMB396" s="90"/>
      <c r="AMC396" s="90"/>
    </row>
    <row r="397" spans="1:1017">
      <c r="A397" s="98" t="s">
        <v>55</v>
      </c>
      <c r="B397" s="90" t="str">
        <f t="shared" si="2095"/>
        <v xml:space="preserve">Eucheuma cottonii </v>
      </c>
      <c r="Q397" s="91">
        <f t="shared" si="2096"/>
        <v>0</v>
      </c>
      <c r="R397" s="91">
        <f t="shared" si="2097"/>
        <v>0</v>
      </c>
      <c r="AG397" s="91">
        <f t="shared" si="2098"/>
        <v>0</v>
      </c>
      <c r="AH397" s="91">
        <f t="shared" si="2099"/>
        <v>0</v>
      </c>
      <c r="AW397" s="91">
        <f t="shared" si="2100"/>
        <v>0</v>
      </c>
      <c r="AX397" s="91">
        <f t="shared" si="2101"/>
        <v>0</v>
      </c>
      <c r="BM397" s="91">
        <f t="shared" si="2102"/>
        <v>0</v>
      </c>
      <c r="BN397" s="91">
        <f t="shared" si="2103"/>
        <v>0</v>
      </c>
      <c r="CC397" s="91">
        <f t="shared" si="2104"/>
        <v>0</v>
      </c>
      <c r="CD397" s="91">
        <f t="shared" si="2105"/>
        <v>0</v>
      </c>
      <c r="CS397" s="91">
        <f t="shared" si="2106"/>
        <v>0</v>
      </c>
      <c r="CT397" s="91">
        <f t="shared" si="2107"/>
        <v>0</v>
      </c>
      <c r="DI397" s="91">
        <f t="shared" si="2108"/>
        <v>0</v>
      </c>
      <c r="DJ397" s="91">
        <f t="shared" si="2109"/>
        <v>0</v>
      </c>
      <c r="DY397" s="91">
        <f t="shared" si="2110"/>
        <v>0</v>
      </c>
      <c r="DZ397" s="91">
        <f t="shared" si="2111"/>
        <v>0</v>
      </c>
      <c r="EO397" s="91">
        <f t="shared" si="2112"/>
        <v>0</v>
      </c>
      <c r="EP397" s="91">
        <f t="shared" si="2113"/>
        <v>0</v>
      </c>
      <c r="FE397" s="91">
        <f t="shared" si="2114"/>
        <v>0</v>
      </c>
      <c r="FF397" s="91">
        <f t="shared" si="2115"/>
        <v>0</v>
      </c>
      <c r="FU397" s="91">
        <f t="shared" si="2116"/>
        <v>0</v>
      </c>
      <c r="FV397" s="91">
        <f t="shared" si="2117"/>
        <v>0</v>
      </c>
      <c r="GK397" s="91">
        <f t="shared" si="2118"/>
        <v>0</v>
      </c>
      <c r="GL397" s="91">
        <f t="shared" si="2119"/>
        <v>0</v>
      </c>
      <c r="HA397" s="91">
        <f t="shared" si="2120"/>
        <v>0</v>
      </c>
      <c r="HB397" s="91">
        <f t="shared" si="2121"/>
        <v>0</v>
      </c>
      <c r="HQ397" s="91">
        <f t="shared" si="2122"/>
        <v>0</v>
      </c>
      <c r="HR397" s="91">
        <f t="shared" si="2123"/>
        <v>0</v>
      </c>
      <c r="IG397" s="91">
        <f t="shared" si="2124"/>
        <v>0</v>
      </c>
      <c r="IH397" s="91">
        <f t="shared" si="2125"/>
        <v>0</v>
      </c>
      <c r="IW397" s="91">
        <f t="shared" si="2126"/>
        <v>0</v>
      </c>
      <c r="IX397" s="91">
        <f t="shared" si="2127"/>
        <v>0</v>
      </c>
      <c r="JM397" s="91">
        <f t="shared" si="2128"/>
        <v>0</v>
      </c>
      <c r="JN397" s="91">
        <f t="shared" si="2129"/>
        <v>0</v>
      </c>
      <c r="KC397" s="91">
        <f t="shared" si="2130"/>
        <v>0</v>
      </c>
      <c r="KD397" s="91">
        <f t="shared" si="2131"/>
        <v>0</v>
      </c>
      <c r="KS397" s="91">
        <f t="shared" si="2132"/>
        <v>0</v>
      </c>
      <c r="KT397" s="91">
        <f t="shared" si="2133"/>
        <v>0</v>
      </c>
      <c r="LI397" s="91">
        <f t="shared" si="2134"/>
        <v>0</v>
      </c>
      <c r="LJ397" s="91">
        <f t="shared" si="2135"/>
        <v>0</v>
      </c>
      <c r="LY397" s="91">
        <f t="shared" si="2136"/>
        <v>0</v>
      </c>
      <c r="LZ397" s="91">
        <f t="shared" si="2137"/>
        <v>0</v>
      </c>
      <c r="MO397" s="91">
        <f t="shared" si="2138"/>
        <v>0</v>
      </c>
      <c r="MP397" s="91">
        <f t="shared" si="2139"/>
        <v>0</v>
      </c>
      <c r="NE397" s="91">
        <f t="shared" si="2140"/>
        <v>0</v>
      </c>
      <c r="NF397" s="91">
        <f t="shared" si="2141"/>
        <v>0</v>
      </c>
      <c r="NU397" s="91">
        <f t="shared" si="2142"/>
        <v>0</v>
      </c>
      <c r="NV397" s="91">
        <f t="shared" si="2143"/>
        <v>0</v>
      </c>
      <c r="NW397" s="98">
        <v>7140</v>
      </c>
      <c r="NX397" s="98">
        <v>35700</v>
      </c>
      <c r="OK397" s="91">
        <f t="shared" si="2144"/>
        <v>7140</v>
      </c>
      <c r="OL397" s="91">
        <f t="shared" si="2145"/>
        <v>35700</v>
      </c>
      <c r="OM397" s="98">
        <v>70457880</v>
      </c>
      <c r="ON397" s="98">
        <v>352289400</v>
      </c>
      <c r="PA397" s="91">
        <f t="shared" si="2146"/>
        <v>70457880</v>
      </c>
      <c r="PB397" s="91">
        <f t="shared" si="2147"/>
        <v>352289400</v>
      </c>
      <c r="PQ397" s="91">
        <f t="shared" si="2148"/>
        <v>0</v>
      </c>
      <c r="PR397" s="91">
        <f t="shared" si="2149"/>
        <v>0</v>
      </c>
      <c r="QG397" s="91">
        <f t="shared" si="2150"/>
        <v>0</v>
      </c>
      <c r="QH397" s="91">
        <f t="shared" si="2151"/>
        <v>0</v>
      </c>
      <c r="QW397" s="91">
        <f t="shared" si="2152"/>
        <v>0</v>
      </c>
      <c r="QX397" s="91">
        <f t="shared" si="2153"/>
        <v>0</v>
      </c>
      <c r="RM397" s="91">
        <f t="shared" si="2154"/>
        <v>0</v>
      </c>
      <c r="RN397" s="91">
        <f t="shared" si="2155"/>
        <v>0</v>
      </c>
      <c r="SC397" s="91">
        <f t="shared" si="2156"/>
        <v>0</v>
      </c>
      <c r="SD397" s="91">
        <f t="shared" si="2157"/>
        <v>0</v>
      </c>
      <c r="SS397" s="91">
        <f t="shared" si="2158"/>
        <v>0</v>
      </c>
      <c r="ST397" s="91">
        <f t="shared" si="2159"/>
        <v>0</v>
      </c>
      <c r="TI397" s="91">
        <f t="shared" si="2160"/>
        <v>0</v>
      </c>
      <c r="TJ397" s="91">
        <f t="shared" si="2161"/>
        <v>0</v>
      </c>
      <c r="TY397" s="91">
        <f t="shared" si="2162"/>
        <v>0</v>
      </c>
      <c r="TZ397" s="91">
        <f t="shared" si="2163"/>
        <v>0</v>
      </c>
      <c r="UO397" s="91">
        <f t="shared" si="2164"/>
        <v>0</v>
      </c>
      <c r="UP397" s="91">
        <f t="shared" si="2165"/>
        <v>0</v>
      </c>
      <c r="VE397" s="91">
        <f t="shared" si="2166"/>
        <v>0</v>
      </c>
      <c r="VF397" s="91">
        <f t="shared" si="2167"/>
        <v>0</v>
      </c>
      <c r="VU397" s="91">
        <f t="shared" si="2168"/>
        <v>0</v>
      </c>
      <c r="VV397" s="91">
        <f t="shared" si="2169"/>
        <v>0</v>
      </c>
      <c r="WK397" s="91">
        <f t="shared" si="2170"/>
        <v>0</v>
      </c>
      <c r="WL397" s="91">
        <f t="shared" si="2171"/>
        <v>0</v>
      </c>
      <c r="WM397" s="89"/>
      <c r="WN397" s="87">
        <f t="shared" si="2172"/>
        <v>70465020</v>
      </c>
      <c r="WO397" s="87">
        <f t="shared" si="2173"/>
        <v>352325100</v>
      </c>
      <c r="WP397" s="87">
        <f t="shared" si="2174"/>
        <v>0</v>
      </c>
      <c r="WQ397" s="87">
        <f t="shared" si="2175"/>
        <v>0</v>
      </c>
      <c r="WR397" s="87">
        <f t="shared" si="2176"/>
        <v>0</v>
      </c>
      <c r="WS397" s="87">
        <f t="shared" si="2177"/>
        <v>0</v>
      </c>
      <c r="WT397" s="87">
        <f t="shared" si="2178"/>
        <v>0</v>
      </c>
      <c r="WU397" s="87">
        <f t="shared" si="2179"/>
        <v>0</v>
      </c>
      <c r="WV397" s="87">
        <f t="shared" si="2180"/>
        <v>0</v>
      </c>
      <c r="WW397" s="87">
        <f t="shared" si="2181"/>
        <v>0</v>
      </c>
      <c r="WX397" s="87">
        <f t="shared" si="2182"/>
        <v>0</v>
      </c>
      <c r="WY397" s="87">
        <f t="shared" si="2183"/>
        <v>0</v>
      </c>
      <c r="WZ397" s="87">
        <f t="shared" si="2184"/>
        <v>0</v>
      </c>
      <c r="XA397" s="87">
        <f t="shared" si="2185"/>
        <v>0</v>
      </c>
      <c r="XB397" s="92">
        <f t="shared" si="2186"/>
        <v>70465020</v>
      </c>
      <c r="XC397" s="92">
        <f t="shared" si="2187"/>
        <v>352325100</v>
      </c>
      <c r="XD397" s="89"/>
      <c r="XE397" s="92"/>
      <c r="XF397" s="92"/>
      <c r="XG397" s="89"/>
      <c r="XH397" s="92"/>
      <c r="XI397" s="92"/>
      <c r="XJ397" s="89"/>
      <c r="XK397" s="87"/>
      <c r="XL397" s="87"/>
      <c r="XM397" s="87"/>
      <c r="XN397" s="87"/>
      <c r="XO397" s="87"/>
      <c r="XP397" s="87"/>
      <c r="XQ397" s="87"/>
      <c r="XR397" s="92">
        <f t="shared" ca="1" si="2188"/>
        <v>0</v>
      </c>
      <c r="XS397" s="89"/>
      <c r="XT397" s="87"/>
      <c r="XU397" s="87"/>
      <c r="XV397" s="87"/>
      <c r="XW397" s="87"/>
      <c r="XX397" s="87"/>
      <c r="XY397" s="87"/>
      <c r="XZ397" s="87"/>
      <c r="YA397" s="92">
        <f t="shared" ca="1" si="2189"/>
        <v>0</v>
      </c>
      <c r="YB397" s="90"/>
      <c r="YC397" s="90"/>
      <c r="YD397" s="90"/>
      <c r="YE397" s="90"/>
      <c r="YF397" s="90"/>
      <c r="YG397" s="90"/>
      <c r="YH397" s="90"/>
      <c r="YI397" s="90"/>
      <c r="YJ397" s="90"/>
      <c r="YK397" s="90"/>
      <c r="YL397" s="90"/>
      <c r="YM397" s="90"/>
      <c r="YN397" s="90"/>
      <c r="YO397" s="90"/>
      <c r="YP397" s="90"/>
      <c r="YQ397" s="90"/>
      <c r="YR397" s="90"/>
      <c r="YS397" s="90"/>
      <c r="YT397" s="90"/>
      <c r="YU397" s="90"/>
      <c r="YV397" s="90"/>
      <c r="YW397" s="90"/>
      <c r="YX397" s="90"/>
      <c r="YY397" s="90"/>
      <c r="YZ397" s="90"/>
      <c r="ZA397" s="90"/>
      <c r="ZB397" s="90"/>
      <c r="ZC397" s="90"/>
      <c r="ZD397" s="90"/>
      <c r="ZE397" s="90"/>
      <c r="ZF397" s="90"/>
      <c r="ZG397" s="90"/>
      <c r="ZH397" s="90"/>
      <c r="ZI397" s="90"/>
      <c r="ZJ397" s="90"/>
      <c r="ZK397" s="90"/>
      <c r="ZL397" s="90"/>
      <c r="ZM397" s="90"/>
      <c r="ZN397" s="90"/>
      <c r="ZO397" s="90"/>
      <c r="ZP397" s="90"/>
      <c r="ZQ397" s="90"/>
      <c r="ZR397" s="90"/>
      <c r="ZS397" s="90"/>
      <c r="ZT397" s="90"/>
      <c r="ZU397" s="90"/>
      <c r="ZV397" s="90"/>
      <c r="ZW397" s="90"/>
      <c r="ZX397" s="90"/>
      <c r="ZY397" s="90"/>
      <c r="ZZ397" s="90"/>
      <c r="AAA397" s="90"/>
      <c r="AAB397" s="90"/>
      <c r="AAC397" s="90"/>
      <c r="AAD397" s="90"/>
      <c r="AAE397" s="90"/>
      <c r="AAF397" s="90"/>
      <c r="AAG397" s="90"/>
      <c r="AAH397" s="90"/>
      <c r="AAI397" s="90"/>
      <c r="AAJ397" s="90"/>
      <c r="AAK397" s="90"/>
      <c r="AAL397" s="90"/>
      <c r="AAM397" s="90"/>
      <c r="AAN397" s="90"/>
      <c r="AAO397" s="90"/>
      <c r="AAP397" s="90"/>
      <c r="AAQ397" s="90"/>
      <c r="AAR397" s="90"/>
      <c r="AAS397" s="90"/>
      <c r="AAT397" s="90"/>
      <c r="AAU397" s="90"/>
      <c r="AAV397" s="90"/>
      <c r="AAW397" s="90"/>
      <c r="AAX397" s="90"/>
      <c r="AAY397" s="90"/>
      <c r="AAZ397" s="90"/>
      <c r="ABA397" s="90"/>
      <c r="ABB397" s="90"/>
      <c r="ABC397" s="90"/>
      <c r="ABD397" s="90"/>
      <c r="ABE397" s="90"/>
      <c r="ABF397" s="90"/>
      <c r="ABG397" s="90"/>
      <c r="ABH397" s="90"/>
      <c r="ABI397" s="90"/>
      <c r="ABJ397" s="90"/>
      <c r="ABK397" s="90"/>
      <c r="ABL397" s="90"/>
      <c r="ABM397" s="90"/>
      <c r="ABN397" s="90"/>
      <c r="ABO397" s="90"/>
      <c r="ABP397" s="90"/>
      <c r="ABQ397" s="90"/>
      <c r="ABR397" s="90"/>
      <c r="ABS397" s="90"/>
      <c r="ABT397" s="90"/>
      <c r="ABU397" s="90"/>
      <c r="ABV397" s="90"/>
      <c r="ABW397" s="90"/>
      <c r="ABX397" s="90"/>
      <c r="ABY397" s="90"/>
      <c r="ABZ397" s="90"/>
      <c r="ACA397" s="90"/>
      <c r="ACB397" s="90"/>
      <c r="ACC397" s="90"/>
      <c r="ACD397" s="90"/>
      <c r="ACE397" s="90"/>
      <c r="ACF397" s="90"/>
      <c r="ACG397" s="90"/>
      <c r="ACH397" s="90"/>
      <c r="ACI397" s="90"/>
      <c r="ACJ397" s="90"/>
      <c r="ACK397" s="90"/>
      <c r="ACL397" s="90"/>
      <c r="ACM397" s="90"/>
      <c r="ACN397" s="90"/>
      <c r="ACO397" s="90"/>
      <c r="ACP397" s="90"/>
      <c r="ACQ397" s="90"/>
      <c r="ACR397" s="90"/>
      <c r="ACS397" s="90"/>
      <c r="ACT397" s="90"/>
      <c r="ACU397" s="90"/>
      <c r="ACV397" s="90"/>
      <c r="ACW397" s="90"/>
      <c r="ACX397" s="90"/>
      <c r="ACY397" s="90"/>
      <c r="ACZ397" s="90"/>
      <c r="ADA397" s="90"/>
      <c r="ADB397" s="90"/>
      <c r="ADC397" s="90"/>
      <c r="ADD397" s="90"/>
      <c r="ADE397" s="90"/>
      <c r="ADF397" s="90"/>
      <c r="ADG397" s="90"/>
      <c r="ADH397" s="90"/>
      <c r="ADI397" s="90"/>
      <c r="ADJ397" s="90"/>
      <c r="ADK397" s="90"/>
      <c r="ADL397" s="90"/>
      <c r="ADM397" s="90"/>
      <c r="ADN397" s="90"/>
      <c r="ADO397" s="90"/>
      <c r="ADP397" s="90"/>
      <c r="ADQ397" s="90"/>
      <c r="ADR397" s="90"/>
      <c r="ADS397" s="90"/>
      <c r="ADT397" s="90"/>
      <c r="ADU397" s="90"/>
      <c r="ADV397" s="90"/>
      <c r="ADW397" s="90"/>
      <c r="ADX397" s="90"/>
      <c r="ADY397" s="90"/>
      <c r="ADZ397" s="90"/>
      <c r="AEA397" s="90"/>
      <c r="AEB397" s="90"/>
      <c r="AEC397" s="90"/>
      <c r="AED397" s="90"/>
      <c r="AEE397" s="90"/>
      <c r="AEF397" s="90"/>
      <c r="AEG397" s="90"/>
      <c r="AEH397" s="90"/>
      <c r="AEI397" s="90"/>
      <c r="AEJ397" s="90"/>
      <c r="AEK397" s="90"/>
      <c r="AEL397" s="90"/>
      <c r="AEM397" s="90"/>
      <c r="AEN397" s="90"/>
      <c r="AEO397" s="90"/>
      <c r="AEP397" s="90"/>
      <c r="AEQ397" s="90"/>
      <c r="AER397" s="90"/>
      <c r="AES397" s="90"/>
      <c r="AET397" s="90"/>
      <c r="AEU397" s="90"/>
      <c r="AEV397" s="90"/>
      <c r="AEW397" s="90"/>
      <c r="AEX397" s="90"/>
      <c r="AEY397" s="90"/>
      <c r="AEZ397" s="90"/>
      <c r="AFA397" s="90"/>
      <c r="AFB397" s="90"/>
      <c r="AFC397" s="90"/>
      <c r="AFD397" s="90"/>
      <c r="AFE397" s="90"/>
      <c r="AFF397" s="90"/>
      <c r="AFG397" s="90"/>
      <c r="AFH397" s="90"/>
      <c r="AFI397" s="90"/>
      <c r="AFJ397" s="90"/>
      <c r="AFK397" s="90"/>
      <c r="AFL397" s="90"/>
      <c r="AFM397" s="90"/>
      <c r="AFN397" s="90"/>
      <c r="AFO397" s="90"/>
      <c r="AFP397" s="90"/>
      <c r="AFQ397" s="90"/>
      <c r="AFR397" s="90"/>
      <c r="AFS397" s="90"/>
      <c r="AFT397" s="90"/>
      <c r="AFU397" s="90"/>
      <c r="AFV397" s="90"/>
      <c r="AFW397" s="90"/>
      <c r="AFX397" s="90"/>
      <c r="AFY397" s="90"/>
      <c r="AFZ397" s="90"/>
      <c r="AGA397" s="90"/>
      <c r="AGB397" s="90"/>
      <c r="AGC397" s="90"/>
      <c r="AGD397" s="90"/>
      <c r="AGE397" s="90"/>
      <c r="AGF397" s="90"/>
      <c r="AGG397" s="90"/>
      <c r="AGH397" s="90"/>
      <c r="AGI397" s="90"/>
      <c r="AGJ397" s="90"/>
      <c r="AGK397" s="90"/>
      <c r="AGL397" s="90"/>
      <c r="AGM397" s="90"/>
      <c r="AGN397" s="90"/>
      <c r="AGO397" s="90"/>
      <c r="AGP397" s="90"/>
      <c r="AGQ397" s="90"/>
      <c r="AGR397" s="90"/>
      <c r="AGS397" s="90"/>
      <c r="AGT397" s="90"/>
      <c r="AGU397" s="90"/>
      <c r="AGV397" s="90"/>
      <c r="AGW397" s="90"/>
      <c r="AGX397" s="90"/>
      <c r="AGY397" s="90"/>
      <c r="AGZ397" s="90"/>
      <c r="AHA397" s="90"/>
      <c r="AHB397" s="90"/>
      <c r="AHC397" s="90"/>
      <c r="AHD397" s="90"/>
      <c r="AHE397" s="90"/>
      <c r="AHF397" s="90"/>
      <c r="AHG397" s="90"/>
      <c r="AHH397" s="90"/>
      <c r="AHI397" s="90"/>
      <c r="AHJ397" s="90"/>
      <c r="AHK397" s="90"/>
      <c r="AHL397" s="90"/>
      <c r="AHM397" s="90"/>
      <c r="AHN397" s="90"/>
      <c r="AHO397" s="90"/>
      <c r="AHP397" s="90"/>
      <c r="AHQ397" s="90"/>
      <c r="AHR397" s="90"/>
      <c r="AHS397" s="90"/>
      <c r="AHT397" s="90"/>
      <c r="AHU397" s="90"/>
      <c r="AHV397" s="90"/>
      <c r="AHW397" s="90"/>
      <c r="AHX397" s="90"/>
      <c r="AHY397" s="90"/>
      <c r="AHZ397" s="90"/>
      <c r="AIA397" s="90"/>
      <c r="AIB397" s="90"/>
      <c r="AIC397" s="90"/>
      <c r="AID397" s="90"/>
      <c r="AIE397" s="90"/>
      <c r="AIF397" s="90"/>
      <c r="AIG397" s="90"/>
      <c r="AIH397" s="90"/>
      <c r="AII397" s="90"/>
      <c r="AIJ397" s="90"/>
      <c r="AIK397" s="90"/>
      <c r="AIL397" s="90"/>
      <c r="AIM397" s="90"/>
      <c r="AIN397" s="90"/>
      <c r="AIO397" s="90"/>
      <c r="AIP397" s="90"/>
      <c r="AIQ397" s="90"/>
      <c r="AIR397" s="90"/>
      <c r="AIS397" s="90"/>
      <c r="AIT397" s="90"/>
      <c r="AIU397" s="90"/>
      <c r="AIV397" s="90"/>
      <c r="AIW397" s="90"/>
      <c r="AIX397" s="90"/>
      <c r="AIY397" s="90"/>
      <c r="AIZ397" s="90"/>
      <c r="AJA397" s="90"/>
      <c r="AJB397" s="90"/>
      <c r="AJC397" s="90"/>
      <c r="AJD397" s="90"/>
      <c r="AJE397" s="90"/>
      <c r="AJF397" s="90"/>
      <c r="AJG397" s="90"/>
      <c r="AJH397" s="90"/>
      <c r="AJI397" s="90"/>
      <c r="AJJ397" s="90"/>
      <c r="AJK397" s="90"/>
      <c r="AJL397" s="90"/>
      <c r="AJM397" s="90"/>
      <c r="AJN397" s="90"/>
      <c r="AJO397" s="90"/>
      <c r="AJP397" s="90"/>
      <c r="AJQ397" s="90"/>
      <c r="AJR397" s="90"/>
      <c r="AJS397" s="90"/>
      <c r="AJT397" s="90"/>
      <c r="AJU397" s="90"/>
      <c r="AJV397" s="90"/>
      <c r="AJW397" s="90"/>
      <c r="AJX397" s="90"/>
      <c r="AJY397" s="90"/>
      <c r="AJZ397" s="90"/>
      <c r="AKA397" s="90"/>
      <c r="AKB397" s="90"/>
      <c r="AKC397" s="90"/>
      <c r="AKD397" s="90"/>
      <c r="AKE397" s="90"/>
      <c r="AKF397" s="90"/>
      <c r="AKG397" s="90"/>
      <c r="AKH397" s="90"/>
      <c r="AKI397" s="90"/>
      <c r="AKJ397" s="90"/>
      <c r="AKK397" s="90"/>
      <c r="AKL397" s="90"/>
      <c r="AKM397" s="90"/>
      <c r="AKN397" s="90"/>
      <c r="AKO397" s="90"/>
      <c r="AKP397" s="90"/>
      <c r="AKQ397" s="90"/>
      <c r="AKR397" s="90"/>
      <c r="AKS397" s="90"/>
      <c r="AKT397" s="90"/>
      <c r="AKU397" s="90"/>
      <c r="AKV397" s="90"/>
      <c r="AKW397" s="90"/>
      <c r="AKX397" s="90"/>
      <c r="AKY397" s="90"/>
      <c r="AKZ397" s="90"/>
      <c r="ALA397" s="90"/>
      <c r="ALB397" s="90"/>
      <c r="ALC397" s="90"/>
      <c r="ALD397" s="90"/>
      <c r="ALE397" s="90"/>
      <c r="ALF397" s="90"/>
      <c r="ALG397" s="90"/>
      <c r="ALH397" s="90"/>
      <c r="ALI397" s="90"/>
      <c r="ALJ397" s="90"/>
      <c r="ALK397" s="90"/>
      <c r="ALL397" s="90"/>
      <c r="ALM397" s="90"/>
      <c r="ALN397" s="90"/>
      <c r="ALO397" s="90"/>
      <c r="ALP397" s="90"/>
      <c r="ALQ397" s="90"/>
      <c r="ALR397" s="90"/>
      <c r="ALS397" s="90"/>
      <c r="ALT397" s="90"/>
      <c r="ALU397" s="90"/>
      <c r="ALV397" s="90"/>
      <c r="ALW397" s="90"/>
      <c r="ALX397" s="90"/>
      <c r="ALY397" s="90"/>
      <c r="ALZ397" s="90"/>
      <c r="AMA397" s="90"/>
      <c r="AMB397" s="90"/>
      <c r="AMC397" s="90"/>
    </row>
    <row r="398" spans="1:1017">
      <c r="A398" s="98" t="s">
        <v>55</v>
      </c>
      <c r="B398" s="90" t="str">
        <f t="shared" si="2095"/>
        <v xml:space="preserve">Gabus </v>
      </c>
      <c r="Q398" s="91">
        <f t="shared" si="2096"/>
        <v>0</v>
      </c>
      <c r="R398" s="91">
        <f t="shared" si="2097"/>
        <v>0</v>
      </c>
      <c r="Y398" s="98">
        <v>260</v>
      </c>
      <c r="Z398" s="98">
        <v>10400</v>
      </c>
      <c r="AG398" s="91">
        <f t="shared" si="2098"/>
        <v>260</v>
      </c>
      <c r="AH398" s="91">
        <f t="shared" si="2099"/>
        <v>10400</v>
      </c>
      <c r="AW398" s="91">
        <f t="shared" si="2100"/>
        <v>0</v>
      </c>
      <c r="AX398" s="91">
        <f t="shared" si="2101"/>
        <v>0</v>
      </c>
      <c r="BM398" s="91">
        <f t="shared" si="2102"/>
        <v>0</v>
      </c>
      <c r="BN398" s="91">
        <f t="shared" si="2103"/>
        <v>0</v>
      </c>
      <c r="CC398" s="91">
        <f t="shared" si="2104"/>
        <v>0</v>
      </c>
      <c r="CD398" s="91">
        <f t="shared" si="2105"/>
        <v>0</v>
      </c>
      <c r="CS398" s="91">
        <f t="shared" si="2106"/>
        <v>0</v>
      </c>
      <c r="CT398" s="91">
        <f t="shared" si="2107"/>
        <v>0</v>
      </c>
      <c r="DI398" s="91">
        <f t="shared" si="2108"/>
        <v>0</v>
      </c>
      <c r="DJ398" s="91">
        <f t="shared" si="2109"/>
        <v>0</v>
      </c>
      <c r="DY398" s="91">
        <f t="shared" si="2110"/>
        <v>0</v>
      </c>
      <c r="DZ398" s="91">
        <f t="shared" si="2111"/>
        <v>0</v>
      </c>
      <c r="EO398" s="91">
        <f t="shared" si="2112"/>
        <v>0</v>
      </c>
      <c r="EP398" s="91">
        <f t="shared" si="2113"/>
        <v>0</v>
      </c>
      <c r="EW398" s="98">
        <v>51</v>
      </c>
      <c r="EX398" s="98">
        <v>1785</v>
      </c>
      <c r="FE398" s="91">
        <f t="shared" si="2114"/>
        <v>51</v>
      </c>
      <c r="FF398" s="91">
        <f t="shared" si="2115"/>
        <v>1785</v>
      </c>
      <c r="FM398" s="98">
        <v>300</v>
      </c>
      <c r="FN398" s="98">
        <v>12000</v>
      </c>
      <c r="FU398" s="91">
        <f t="shared" si="2116"/>
        <v>300</v>
      </c>
      <c r="FV398" s="91">
        <f t="shared" si="2117"/>
        <v>12000</v>
      </c>
      <c r="GK398" s="91">
        <f t="shared" si="2118"/>
        <v>0</v>
      </c>
      <c r="GL398" s="91">
        <f t="shared" si="2119"/>
        <v>0</v>
      </c>
      <c r="HA398" s="91">
        <f t="shared" si="2120"/>
        <v>0</v>
      </c>
      <c r="HB398" s="91">
        <f t="shared" si="2121"/>
        <v>0</v>
      </c>
      <c r="HQ398" s="91">
        <f t="shared" si="2122"/>
        <v>0</v>
      </c>
      <c r="HR398" s="91">
        <f t="shared" si="2123"/>
        <v>0</v>
      </c>
      <c r="IG398" s="91">
        <f t="shared" si="2124"/>
        <v>0</v>
      </c>
      <c r="IH398" s="91">
        <f t="shared" si="2125"/>
        <v>0</v>
      </c>
      <c r="IW398" s="91">
        <f t="shared" si="2126"/>
        <v>0</v>
      </c>
      <c r="IX398" s="91">
        <f t="shared" si="2127"/>
        <v>0</v>
      </c>
      <c r="JM398" s="91">
        <f t="shared" si="2128"/>
        <v>0</v>
      </c>
      <c r="JN398" s="91">
        <f t="shared" si="2129"/>
        <v>0</v>
      </c>
      <c r="KC398" s="91">
        <f t="shared" si="2130"/>
        <v>0</v>
      </c>
      <c r="KD398" s="91">
        <f t="shared" si="2131"/>
        <v>0</v>
      </c>
      <c r="KS398" s="91">
        <f t="shared" si="2132"/>
        <v>0</v>
      </c>
      <c r="KT398" s="91">
        <f t="shared" si="2133"/>
        <v>0</v>
      </c>
      <c r="LI398" s="91">
        <f t="shared" si="2134"/>
        <v>0</v>
      </c>
      <c r="LJ398" s="91">
        <f t="shared" si="2135"/>
        <v>0</v>
      </c>
      <c r="LQ398" s="98">
        <v>118</v>
      </c>
      <c r="LR398" s="98">
        <v>7080</v>
      </c>
      <c r="LY398" s="91">
        <f t="shared" si="2136"/>
        <v>118</v>
      </c>
      <c r="LZ398" s="91">
        <f t="shared" si="2137"/>
        <v>7080</v>
      </c>
      <c r="MO398" s="91">
        <f t="shared" si="2138"/>
        <v>0</v>
      </c>
      <c r="MP398" s="91">
        <f t="shared" si="2139"/>
        <v>0</v>
      </c>
      <c r="NE398" s="91">
        <f t="shared" si="2140"/>
        <v>0</v>
      </c>
      <c r="NF398" s="91">
        <f t="shared" si="2141"/>
        <v>0</v>
      </c>
      <c r="NU398" s="91">
        <f t="shared" si="2142"/>
        <v>0</v>
      </c>
      <c r="NV398" s="91">
        <f t="shared" si="2143"/>
        <v>0</v>
      </c>
      <c r="OK398" s="91">
        <f t="shared" si="2144"/>
        <v>0</v>
      </c>
      <c r="OL398" s="91">
        <f t="shared" si="2145"/>
        <v>0</v>
      </c>
      <c r="PA398" s="91">
        <f t="shared" si="2146"/>
        <v>0</v>
      </c>
      <c r="PB398" s="91">
        <f t="shared" si="2147"/>
        <v>0</v>
      </c>
      <c r="PQ398" s="91">
        <f t="shared" si="2148"/>
        <v>0</v>
      </c>
      <c r="PR398" s="91">
        <f t="shared" si="2149"/>
        <v>0</v>
      </c>
      <c r="PY398" s="98">
        <v>490</v>
      </c>
      <c r="PZ398" s="98">
        <v>24500</v>
      </c>
      <c r="QG398" s="91">
        <f t="shared" si="2150"/>
        <v>490</v>
      </c>
      <c r="QH398" s="91">
        <f t="shared" si="2151"/>
        <v>24500</v>
      </c>
      <c r="QO398" s="98">
        <v>5000</v>
      </c>
      <c r="QP398" s="98">
        <v>175000</v>
      </c>
      <c r="QW398" s="91">
        <f t="shared" si="2152"/>
        <v>5000</v>
      </c>
      <c r="QX398" s="91">
        <f t="shared" si="2153"/>
        <v>175000</v>
      </c>
      <c r="RM398" s="91">
        <f t="shared" si="2154"/>
        <v>0</v>
      </c>
      <c r="RN398" s="91">
        <f t="shared" si="2155"/>
        <v>0</v>
      </c>
      <c r="SC398" s="91">
        <f t="shared" si="2156"/>
        <v>0</v>
      </c>
      <c r="SD398" s="91">
        <f t="shared" si="2157"/>
        <v>0</v>
      </c>
      <c r="SS398" s="91">
        <f t="shared" si="2158"/>
        <v>0</v>
      </c>
      <c r="ST398" s="91">
        <f t="shared" si="2159"/>
        <v>0</v>
      </c>
      <c r="TI398" s="91">
        <f t="shared" si="2160"/>
        <v>0</v>
      </c>
      <c r="TJ398" s="91">
        <f t="shared" si="2161"/>
        <v>0</v>
      </c>
      <c r="TY398" s="91">
        <f t="shared" si="2162"/>
        <v>0</v>
      </c>
      <c r="TZ398" s="91">
        <f t="shared" si="2163"/>
        <v>0</v>
      </c>
      <c r="UO398" s="91">
        <f t="shared" si="2164"/>
        <v>0</v>
      </c>
      <c r="UP398" s="91">
        <f t="shared" si="2165"/>
        <v>0</v>
      </c>
      <c r="VE398" s="91">
        <f t="shared" si="2166"/>
        <v>0</v>
      </c>
      <c r="VF398" s="91">
        <f t="shared" si="2167"/>
        <v>0</v>
      </c>
      <c r="VU398" s="91">
        <f t="shared" si="2168"/>
        <v>0</v>
      </c>
      <c r="VV398" s="91">
        <f t="shared" si="2169"/>
        <v>0</v>
      </c>
      <c r="WK398" s="91">
        <f t="shared" si="2170"/>
        <v>0</v>
      </c>
      <c r="WL398" s="91">
        <f t="shared" si="2171"/>
        <v>0</v>
      </c>
      <c r="WM398" s="89"/>
      <c r="WN398" s="87">
        <f t="shared" si="2172"/>
        <v>0</v>
      </c>
      <c r="WO398" s="87">
        <f t="shared" si="2173"/>
        <v>0</v>
      </c>
      <c r="WP398" s="87">
        <f t="shared" si="2174"/>
        <v>0</v>
      </c>
      <c r="WQ398" s="87">
        <f t="shared" si="2175"/>
        <v>0</v>
      </c>
      <c r="WR398" s="87">
        <f t="shared" si="2176"/>
        <v>0</v>
      </c>
      <c r="WS398" s="87">
        <f t="shared" si="2177"/>
        <v>0</v>
      </c>
      <c r="WT398" s="87">
        <f t="shared" si="2178"/>
        <v>6219</v>
      </c>
      <c r="WU398" s="87">
        <f t="shared" si="2179"/>
        <v>230765</v>
      </c>
      <c r="WV398" s="87">
        <f t="shared" si="2180"/>
        <v>0</v>
      </c>
      <c r="WW398" s="87">
        <f t="shared" si="2181"/>
        <v>0</v>
      </c>
      <c r="WX398" s="87">
        <f t="shared" si="2182"/>
        <v>0</v>
      </c>
      <c r="WY398" s="87">
        <f t="shared" si="2183"/>
        <v>0</v>
      </c>
      <c r="WZ398" s="87">
        <f t="shared" si="2184"/>
        <v>0</v>
      </c>
      <c r="XA398" s="87">
        <f t="shared" si="2185"/>
        <v>0</v>
      </c>
      <c r="XB398" s="92">
        <f t="shared" si="2186"/>
        <v>6219</v>
      </c>
      <c r="XC398" s="92">
        <f t="shared" si="2187"/>
        <v>230765</v>
      </c>
      <c r="XD398" s="89"/>
      <c r="XE398" s="92"/>
      <c r="XF398" s="92"/>
      <c r="XG398" s="89"/>
      <c r="XH398" s="92"/>
      <c r="XI398" s="92"/>
      <c r="XJ398" s="89"/>
      <c r="XK398" s="87"/>
      <c r="XL398" s="87"/>
      <c r="XM398" s="87"/>
      <c r="XN398" s="87"/>
      <c r="XO398" s="87"/>
      <c r="XP398" s="87"/>
      <c r="XQ398" s="87"/>
      <c r="XR398" s="92">
        <f t="shared" ca="1" si="2188"/>
        <v>0</v>
      </c>
      <c r="XS398" s="89"/>
      <c r="XT398" s="87"/>
      <c r="XU398" s="87"/>
      <c r="XV398" s="87"/>
      <c r="XW398" s="87"/>
      <c r="XX398" s="87"/>
      <c r="XY398" s="87"/>
      <c r="XZ398" s="87"/>
      <c r="YA398" s="92">
        <f t="shared" ca="1" si="2189"/>
        <v>0</v>
      </c>
      <c r="YB398" s="90"/>
      <c r="YC398" s="90"/>
      <c r="YD398" s="90"/>
      <c r="YE398" s="90"/>
      <c r="YF398" s="90"/>
      <c r="YG398" s="90"/>
      <c r="YH398" s="90"/>
      <c r="YI398" s="90"/>
      <c r="YJ398" s="90"/>
      <c r="YK398" s="90"/>
      <c r="YL398" s="90"/>
      <c r="YM398" s="90"/>
      <c r="YN398" s="90"/>
      <c r="YO398" s="90"/>
      <c r="YP398" s="90"/>
      <c r="YQ398" s="90"/>
      <c r="YR398" s="90"/>
      <c r="YS398" s="90"/>
      <c r="YT398" s="90"/>
      <c r="YU398" s="90"/>
      <c r="YV398" s="90"/>
      <c r="YW398" s="90"/>
      <c r="YX398" s="90"/>
      <c r="YY398" s="90"/>
      <c r="YZ398" s="90"/>
      <c r="ZA398" s="90"/>
      <c r="ZB398" s="90"/>
      <c r="ZC398" s="90"/>
      <c r="ZD398" s="90"/>
      <c r="ZE398" s="90"/>
      <c r="ZF398" s="90"/>
      <c r="ZG398" s="90"/>
      <c r="ZH398" s="90"/>
      <c r="ZI398" s="90"/>
      <c r="ZJ398" s="90"/>
      <c r="ZK398" s="90"/>
      <c r="ZL398" s="90"/>
      <c r="ZM398" s="90"/>
      <c r="ZN398" s="90"/>
      <c r="ZO398" s="90"/>
      <c r="ZP398" s="90"/>
      <c r="ZQ398" s="90"/>
      <c r="ZR398" s="90"/>
      <c r="ZS398" s="90"/>
      <c r="ZT398" s="90"/>
      <c r="ZU398" s="90"/>
      <c r="ZV398" s="90"/>
      <c r="ZW398" s="90"/>
      <c r="ZX398" s="90"/>
      <c r="ZY398" s="90"/>
      <c r="ZZ398" s="90"/>
      <c r="AAA398" s="90"/>
      <c r="AAB398" s="90"/>
      <c r="AAC398" s="90"/>
      <c r="AAD398" s="90"/>
      <c r="AAE398" s="90"/>
      <c r="AAF398" s="90"/>
      <c r="AAG398" s="90"/>
      <c r="AAH398" s="90"/>
      <c r="AAI398" s="90"/>
      <c r="AAJ398" s="90"/>
      <c r="AAK398" s="90"/>
      <c r="AAL398" s="90"/>
      <c r="AAM398" s="90"/>
      <c r="AAN398" s="90"/>
      <c r="AAO398" s="90"/>
      <c r="AAP398" s="90"/>
      <c r="AAQ398" s="90"/>
      <c r="AAR398" s="90"/>
      <c r="AAS398" s="90"/>
      <c r="AAT398" s="90"/>
      <c r="AAU398" s="90"/>
      <c r="AAV398" s="90"/>
      <c r="AAW398" s="90"/>
      <c r="AAX398" s="90"/>
      <c r="AAY398" s="90"/>
      <c r="AAZ398" s="90"/>
      <c r="ABA398" s="90"/>
      <c r="ABB398" s="90"/>
      <c r="ABC398" s="90"/>
      <c r="ABD398" s="90"/>
      <c r="ABE398" s="90"/>
      <c r="ABF398" s="90"/>
      <c r="ABG398" s="90"/>
      <c r="ABH398" s="90"/>
      <c r="ABI398" s="90"/>
      <c r="ABJ398" s="90"/>
      <c r="ABK398" s="90"/>
      <c r="ABL398" s="90"/>
      <c r="ABM398" s="90"/>
      <c r="ABN398" s="90"/>
      <c r="ABO398" s="90"/>
      <c r="ABP398" s="90"/>
      <c r="ABQ398" s="90"/>
      <c r="ABR398" s="90"/>
      <c r="ABS398" s="90"/>
      <c r="ABT398" s="90"/>
      <c r="ABU398" s="90"/>
      <c r="ABV398" s="90"/>
      <c r="ABW398" s="90"/>
      <c r="ABX398" s="90"/>
      <c r="ABY398" s="90"/>
      <c r="ABZ398" s="90"/>
      <c r="ACA398" s="90"/>
      <c r="ACB398" s="90"/>
      <c r="ACC398" s="90"/>
      <c r="ACD398" s="90"/>
      <c r="ACE398" s="90"/>
      <c r="ACF398" s="90"/>
      <c r="ACG398" s="90"/>
      <c r="ACH398" s="90"/>
      <c r="ACI398" s="90"/>
      <c r="ACJ398" s="90"/>
      <c r="ACK398" s="90"/>
      <c r="ACL398" s="90"/>
      <c r="ACM398" s="90"/>
      <c r="ACN398" s="90"/>
      <c r="ACO398" s="90"/>
      <c r="ACP398" s="90"/>
      <c r="ACQ398" s="90"/>
      <c r="ACR398" s="90"/>
      <c r="ACS398" s="90"/>
      <c r="ACT398" s="90"/>
      <c r="ACU398" s="90"/>
      <c r="ACV398" s="90"/>
      <c r="ACW398" s="90"/>
      <c r="ACX398" s="90"/>
      <c r="ACY398" s="90"/>
      <c r="ACZ398" s="90"/>
      <c r="ADA398" s="90"/>
      <c r="ADB398" s="90"/>
      <c r="ADC398" s="90"/>
      <c r="ADD398" s="90"/>
      <c r="ADE398" s="90"/>
      <c r="ADF398" s="90"/>
      <c r="ADG398" s="90"/>
      <c r="ADH398" s="90"/>
      <c r="ADI398" s="90"/>
      <c r="ADJ398" s="90"/>
      <c r="ADK398" s="90"/>
      <c r="ADL398" s="90"/>
      <c r="ADM398" s="90"/>
      <c r="ADN398" s="90"/>
      <c r="ADO398" s="90"/>
      <c r="ADP398" s="90"/>
      <c r="ADQ398" s="90"/>
      <c r="ADR398" s="90"/>
      <c r="ADS398" s="90"/>
      <c r="ADT398" s="90"/>
      <c r="ADU398" s="90"/>
      <c r="ADV398" s="90"/>
      <c r="ADW398" s="90"/>
      <c r="ADX398" s="90"/>
      <c r="ADY398" s="90"/>
      <c r="ADZ398" s="90"/>
      <c r="AEA398" s="90"/>
      <c r="AEB398" s="90"/>
      <c r="AEC398" s="90"/>
      <c r="AED398" s="90"/>
      <c r="AEE398" s="90"/>
      <c r="AEF398" s="90"/>
      <c r="AEG398" s="90"/>
      <c r="AEH398" s="90"/>
      <c r="AEI398" s="90"/>
      <c r="AEJ398" s="90"/>
      <c r="AEK398" s="90"/>
      <c r="AEL398" s="90"/>
      <c r="AEM398" s="90"/>
      <c r="AEN398" s="90"/>
      <c r="AEO398" s="90"/>
      <c r="AEP398" s="90"/>
      <c r="AEQ398" s="90"/>
      <c r="AER398" s="90"/>
      <c r="AES398" s="90"/>
      <c r="AET398" s="90"/>
      <c r="AEU398" s="90"/>
      <c r="AEV398" s="90"/>
      <c r="AEW398" s="90"/>
      <c r="AEX398" s="90"/>
      <c r="AEY398" s="90"/>
      <c r="AEZ398" s="90"/>
      <c r="AFA398" s="90"/>
      <c r="AFB398" s="90"/>
      <c r="AFC398" s="90"/>
      <c r="AFD398" s="90"/>
      <c r="AFE398" s="90"/>
      <c r="AFF398" s="90"/>
      <c r="AFG398" s="90"/>
      <c r="AFH398" s="90"/>
      <c r="AFI398" s="90"/>
      <c r="AFJ398" s="90"/>
      <c r="AFK398" s="90"/>
      <c r="AFL398" s="90"/>
      <c r="AFM398" s="90"/>
      <c r="AFN398" s="90"/>
      <c r="AFO398" s="90"/>
      <c r="AFP398" s="90"/>
      <c r="AFQ398" s="90"/>
      <c r="AFR398" s="90"/>
      <c r="AFS398" s="90"/>
      <c r="AFT398" s="90"/>
      <c r="AFU398" s="90"/>
      <c r="AFV398" s="90"/>
      <c r="AFW398" s="90"/>
      <c r="AFX398" s="90"/>
      <c r="AFY398" s="90"/>
      <c r="AFZ398" s="90"/>
      <c r="AGA398" s="90"/>
      <c r="AGB398" s="90"/>
      <c r="AGC398" s="90"/>
      <c r="AGD398" s="90"/>
      <c r="AGE398" s="90"/>
      <c r="AGF398" s="90"/>
      <c r="AGG398" s="90"/>
      <c r="AGH398" s="90"/>
      <c r="AGI398" s="90"/>
      <c r="AGJ398" s="90"/>
      <c r="AGK398" s="90"/>
      <c r="AGL398" s="90"/>
      <c r="AGM398" s="90"/>
      <c r="AGN398" s="90"/>
      <c r="AGO398" s="90"/>
      <c r="AGP398" s="90"/>
      <c r="AGQ398" s="90"/>
      <c r="AGR398" s="90"/>
      <c r="AGS398" s="90"/>
      <c r="AGT398" s="90"/>
      <c r="AGU398" s="90"/>
      <c r="AGV398" s="90"/>
      <c r="AGW398" s="90"/>
      <c r="AGX398" s="90"/>
      <c r="AGY398" s="90"/>
      <c r="AGZ398" s="90"/>
      <c r="AHA398" s="90"/>
      <c r="AHB398" s="90"/>
      <c r="AHC398" s="90"/>
      <c r="AHD398" s="90"/>
      <c r="AHE398" s="90"/>
      <c r="AHF398" s="90"/>
      <c r="AHG398" s="90"/>
      <c r="AHH398" s="90"/>
      <c r="AHI398" s="90"/>
      <c r="AHJ398" s="90"/>
      <c r="AHK398" s="90"/>
      <c r="AHL398" s="90"/>
      <c r="AHM398" s="90"/>
      <c r="AHN398" s="90"/>
      <c r="AHO398" s="90"/>
      <c r="AHP398" s="90"/>
      <c r="AHQ398" s="90"/>
      <c r="AHR398" s="90"/>
      <c r="AHS398" s="90"/>
      <c r="AHT398" s="90"/>
      <c r="AHU398" s="90"/>
      <c r="AHV398" s="90"/>
      <c r="AHW398" s="90"/>
      <c r="AHX398" s="90"/>
      <c r="AHY398" s="90"/>
      <c r="AHZ398" s="90"/>
      <c r="AIA398" s="90"/>
      <c r="AIB398" s="90"/>
      <c r="AIC398" s="90"/>
      <c r="AID398" s="90"/>
      <c r="AIE398" s="90"/>
      <c r="AIF398" s="90"/>
      <c r="AIG398" s="90"/>
      <c r="AIH398" s="90"/>
      <c r="AII398" s="90"/>
      <c r="AIJ398" s="90"/>
      <c r="AIK398" s="90"/>
      <c r="AIL398" s="90"/>
      <c r="AIM398" s="90"/>
      <c r="AIN398" s="90"/>
      <c r="AIO398" s="90"/>
      <c r="AIP398" s="90"/>
      <c r="AIQ398" s="90"/>
      <c r="AIR398" s="90"/>
      <c r="AIS398" s="90"/>
      <c r="AIT398" s="90"/>
      <c r="AIU398" s="90"/>
      <c r="AIV398" s="90"/>
      <c r="AIW398" s="90"/>
      <c r="AIX398" s="90"/>
      <c r="AIY398" s="90"/>
      <c r="AIZ398" s="90"/>
      <c r="AJA398" s="90"/>
      <c r="AJB398" s="90"/>
      <c r="AJC398" s="90"/>
      <c r="AJD398" s="90"/>
      <c r="AJE398" s="90"/>
      <c r="AJF398" s="90"/>
      <c r="AJG398" s="90"/>
      <c r="AJH398" s="90"/>
      <c r="AJI398" s="90"/>
      <c r="AJJ398" s="90"/>
      <c r="AJK398" s="90"/>
      <c r="AJL398" s="90"/>
      <c r="AJM398" s="90"/>
      <c r="AJN398" s="90"/>
      <c r="AJO398" s="90"/>
      <c r="AJP398" s="90"/>
      <c r="AJQ398" s="90"/>
      <c r="AJR398" s="90"/>
      <c r="AJS398" s="90"/>
      <c r="AJT398" s="90"/>
      <c r="AJU398" s="90"/>
      <c r="AJV398" s="90"/>
      <c r="AJW398" s="90"/>
      <c r="AJX398" s="90"/>
      <c r="AJY398" s="90"/>
      <c r="AJZ398" s="90"/>
      <c r="AKA398" s="90"/>
      <c r="AKB398" s="90"/>
      <c r="AKC398" s="90"/>
      <c r="AKD398" s="90"/>
      <c r="AKE398" s="90"/>
      <c r="AKF398" s="90"/>
      <c r="AKG398" s="90"/>
      <c r="AKH398" s="90"/>
      <c r="AKI398" s="90"/>
      <c r="AKJ398" s="90"/>
      <c r="AKK398" s="90"/>
      <c r="AKL398" s="90"/>
      <c r="AKM398" s="90"/>
      <c r="AKN398" s="90"/>
      <c r="AKO398" s="90"/>
      <c r="AKP398" s="90"/>
      <c r="AKQ398" s="90"/>
      <c r="AKR398" s="90"/>
      <c r="AKS398" s="90"/>
      <c r="AKT398" s="90"/>
      <c r="AKU398" s="90"/>
      <c r="AKV398" s="90"/>
      <c r="AKW398" s="90"/>
      <c r="AKX398" s="90"/>
      <c r="AKY398" s="90"/>
      <c r="AKZ398" s="90"/>
      <c r="ALA398" s="90"/>
      <c r="ALB398" s="90"/>
      <c r="ALC398" s="90"/>
      <c r="ALD398" s="90"/>
      <c r="ALE398" s="90"/>
      <c r="ALF398" s="90"/>
      <c r="ALG398" s="90"/>
      <c r="ALH398" s="90"/>
      <c r="ALI398" s="90"/>
      <c r="ALJ398" s="90"/>
      <c r="ALK398" s="90"/>
      <c r="ALL398" s="90"/>
      <c r="ALM398" s="90"/>
      <c r="ALN398" s="90"/>
      <c r="ALO398" s="90"/>
      <c r="ALP398" s="90"/>
      <c r="ALQ398" s="90"/>
      <c r="ALR398" s="90"/>
      <c r="ALS398" s="90"/>
      <c r="ALT398" s="90"/>
      <c r="ALU398" s="90"/>
      <c r="ALV398" s="90"/>
      <c r="ALW398" s="90"/>
      <c r="ALX398" s="90"/>
      <c r="ALY398" s="90"/>
      <c r="ALZ398" s="90"/>
      <c r="AMA398" s="90"/>
      <c r="AMB398" s="90"/>
      <c r="AMC398" s="90"/>
    </row>
    <row r="399" spans="1:1017">
      <c r="A399" s="98" t="s">
        <v>55</v>
      </c>
      <c r="B399" s="90" t="str">
        <f t="shared" si="2095"/>
        <v xml:space="preserve">Gracilaria verrucosa </v>
      </c>
      <c r="Q399" s="91">
        <f t="shared" si="2096"/>
        <v>0</v>
      </c>
      <c r="R399" s="91">
        <f t="shared" si="2097"/>
        <v>0</v>
      </c>
      <c r="AG399" s="91">
        <f t="shared" si="2098"/>
        <v>0</v>
      </c>
      <c r="AH399" s="91">
        <f t="shared" si="2099"/>
        <v>0</v>
      </c>
      <c r="AW399" s="91">
        <f t="shared" si="2100"/>
        <v>0</v>
      </c>
      <c r="AX399" s="91">
        <f t="shared" si="2101"/>
        <v>0</v>
      </c>
      <c r="BM399" s="91">
        <f t="shared" si="2102"/>
        <v>0</v>
      </c>
      <c r="BN399" s="91">
        <f t="shared" si="2103"/>
        <v>0</v>
      </c>
      <c r="CC399" s="91">
        <f t="shared" si="2104"/>
        <v>0</v>
      </c>
      <c r="CD399" s="91">
        <f t="shared" si="2105"/>
        <v>0</v>
      </c>
      <c r="CG399" s="98">
        <v>495817.21919999999</v>
      </c>
      <c r="CH399" s="98">
        <v>1487451.6575999998</v>
      </c>
      <c r="CS399" s="91">
        <f t="shared" si="2106"/>
        <v>495817.21919999999</v>
      </c>
      <c r="CT399" s="91">
        <f t="shared" si="2107"/>
        <v>1487451.6575999998</v>
      </c>
      <c r="DI399" s="91">
        <f t="shared" si="2108"/>
        <v>0</v>
      </c>
      <c r="DJ399" s="91">
        <f t="shared" si="2109"/>
        <v>0</v>
      </c>
      <c r="DY399" s="91">
        <f t="shared" si="2110"/>
        <v>0</v>
      </c>
      <c r="DZ399" s="91">
        <f t="shared" si="2111"/>
        <v>0</v>
      </c>
      <c r="EO399" s="91">
        <f t="shared" si="2112"/>
        <v>0</v>
      </c>
      <c r="EP399" s="91">
        <f t="shared" si="2113"/>
        <v>0</v>
      </c>
      <c r="FE399" s="91">
        <f t="shared" si="2114"/>
        <v>0</v>
      </c>
      <c r="FF399" s="91">
        <f t="shared" si="2115"/>
        <v>0</v>
      </c>
      <c r="FU399" s="91">
        <f t="shared" si="2116"/>
        <v>0</v>
      </c>
      <c r="FV399" s="91">
        <f t="shared" si="2117"/>
        <v>0</v>
      </c>
      <c r="GK399" s="91">
        <f t="shared" si="2118"/>
        <v>0</v>
      </c>
      <c r="GL399" s="91">
        <f t="shared" si="2119"/>
        <v>0</v>
      </c>
      <c r="HA399" s="91">
        <f t="shared" si="2120"/>
        <v>0</v>
      </c>
      <c r="HB399" s="91">
        <f t="shared" si="2121"/>
        <v>0</v>
      </c>
      <c r="HQ399" s="91">
        <f t="shared" si="2122"/>
        <v>0</v>
      </c>
      <c r="HR399" s="91">
        <f t="shared" si="2123"/>
        <v>0</v>
      </c>
      <c r="IG399" s="91">
        <f t="shared" si="2124"/>
        <v>0</v>
      </c>
      <c r="IH399" s="91">
        <f t="shared" si="2125"/>
        <v>0</v>
      </c>
      <c r="IW399" s="91">
        <f t="shared" si="2126"/>
        <v>0</v>
      </c>
      <c r="IX399" s="91">
        <f t="shared" si="2127"/>
        <v>0</v>
      </c>
      <c r="JM399" s="91">
        <f t="shared" si="2128"/>
        <v>0</v>
      </c>
      <c r="JN399" s="91">
        <f t="shared" si="2129"/>
        <v>0</v>
      </c>
      <c r="KC399" s="91">
        <f t="shared" si="2130"/>
        <v>0</v>
      </c>
      <c r="KD399" s="91">
        <f t="shared" si="2131"/>
        <v>0</v>
      </c>
      <c r="KS399" s="91">
        <f t="shared" si="2132"/>
        <v>0</v>
      </c>
      <c r="KT399" s="91">
        <f t="shared" si="2133"/>
        <v>0</v>
      </c>
      <c r="KW399" s="98">
        <v>279243.92</v>
      </c>
      <c r="KX399" s="98">
        <v>418865</v>
      </c>
      <c r="LI399" s="91">
        <f t="shared" si="2134"/>
        <v>279243.92</v>
      </c>
      <c r="LJ399" s="91">
        <f t="shared" si="2135"/>
        <v>418865</v>
      </c>
      <c r="LY399" s="91">
        <f t="shared" si="2136"/>
        <v>0</v>
      </c>
      <c r="LZ399" s="91">
        <f t="shared" si="2137"/>
        <v>0</v>
      </c>
      <c r="MO399" s="91">
        <f t="shared" si="2138"/>
        <v>0</v>
      </c>
      <c r="MP399" s="91">
        <f t="shared" si="2139"/>
        <v>0</v>
      </c>
      <c r="NE399" s="91">
        <f t="shared" si="2140"/>
        <v>0</v>
      </c>
      <c r="NF399" s="91">
        <f t="shared" si="2141"/>
        <v>0</v>
      </c>
      <c r="NI399" s="98">
        <v>918900</v>
      </c>
      <c r="NJ399" s="98">
        <v>2113470</v>
      </c>
      <c r="NU399" s="91">
        <f t="shared" si="2142"/>
        <v>918900</v>
      </c>
      <c r="NV399" s="91">
        <f t="shared" si="2143"/>
        <v>2113470</v>
      </c>
      <c r="NY399" s="98">
        <v>10110</v>
      </c>
      <c r="NZ399" s="98">
        <v>30330</v>
      </c>
      <c r="OK399" s="91">
        <f t="shared" si="2144"/>
        <v>10110</v>
      </c>
      <c r="OL399" s="91">
        <f t="shared" si="2145"/>
        <v>30330</v>
      </c>
      <c r="PA399" s="91">
        <f t="shared" si="2146"/>
        <v>0</v>
      </c>
      <c r="PB399" s="91">
        <f t="shared" si="2147"/>
        <v>0</v>
      </c>
      <c r="PQ399" s="91">
        <f t="shared" si="2148"/>
        <v>0</v>
      </c>
      <c r="PR399" s="91">
        <f t="shared" si="2149"/>
        <v>0</v>
      </c>
      <c r="QG399" s="91">
        <f t="shared" si="2150"/>
        <v>0</v>
      </c>
      <c r="QH399" s="91">
        <f t="shared" si="2151"/>
        <v>0</v>
      </c>
      <c r="QW399" s="91">
        <f t="shared" si="2152"/>
        <v>0</v>
      </c>
      <c r="QX399" s="91">
        <f t="shared" si="2153"/>
        <v>0</v>
      </c>
      <c r="RM399" s="91">
        <f t="shared" si="2154"/>
        <v>0</v>
      </c>
      <c r="RN399" s="91">
        <f t="shared" si="2155"/>
        <v>0</v>
      </c>
      <c r="SC399" s="91">
        <f t="shared" si="2156"/>
        <v>0</v>
      </c>
      <c r="SD399" s="91">
        <f t="shared" si="2157"/>
        <v>0</v>
      </c>
      <c r="SS399" s="91">
        <f t="shared" si="2158"/>
        <v>0</v>
      </c>
      <c r="ST399" s="91">
        <f t="shared" si="2159"/>
        <v>0</v>
      </c>
      <c r="TI399" s="91">
        <f t="shared" si="2160"/>
        <v>0</v>
      </c>
      <c r="TJ399" s="91">
        <f t="shared" si="2161"/>
        <v>0</v>
      </c>
      <c r="TY399" s="91">
        <f t="shared" si="2162"/>
        <v>0</v>
      </c>
      <c r="TZ399" s="91">
        <f t="shared" si="2163"/>
        <v>0</v>
      </c>
      <c r="UO399" s="91">
        <f t="shared" si="2164"/>
        <v>0</v>
      </c>
      <c r="UP399" s="91">
        <f t="shared" si="2165"/>
        <v>0</v>
      </c>
      <c r="US399" s="98">
        <v>98000</v>
      </c>
      <c r="UT399" s="98">
        <v>78400</v>
      </c>
      <c r="VE399" s="91">
        <f t="shared" si="2166"/>
        <v>98000</v>
      </c>
      <c r="VF399" s="91">
        <f t="shared" si="2167"/>
        <v>78400</v>
      </c>
      <c r="VU399" s="91">
        <f t="shared" si="2168"/>
        <v>0</v>
      </c>
      <c r="VV399" s="91">
        <f t="shared" si="2169"/>
        <v>0</v>
      </c>
      <c r="WK399" s="91">
        <f t="shared" si="2170"/>
        <v>0</v>
      </c>
      <c r="WL399" s="91">
        <f t="shared" si="2171"/>
        <v>0</v>
      </c>
      <c r="WM399" s="89"/>
      <c r="WN399" s="87">
        <f t="shared" si="2172"/>
        <v>0</v>
      </c>
      <c r="WO399" s="87">
        <f t="shared" si="2173"/>
        <v>0</v>
      </c>
      <c r="WP399" s="87">
        <f t="shared" si="2174"/>
        <v>1802071.1392000001</v>
      </c>
      <c r="WQ399" s="87">
        <f t="shared" si="2175"/>
        <v>4128516.6575999996</v>
      </c>
      <c r="WR399" s="87">
        <f t="shared" si="2176"/>
        <v>0</v>
      </c>
      <c r="WS399" s="87">
        <f t="shared" si="2177"/>
        <v>0</v>
      </c>
      <c r="WT399" s="87">
        <f t="shared" si="2178"/>
        <v>0</v>
      </c>
      <c r="WU399" s="87">
        <f t="shared" si="2179"/>
        <v>0</v>
      </c>
      <c r="WV399" s="87">
        <f t="shared" si="2180"/>
        <v>0</v>
      </c>
      <c r="WW399" s="87">
        <f t="shared" si="2181"/>
        <v>0</v>
      </c>
      <c r="WX399" s="87">
        <f t="shared" si="2182"/>
        <v>0</v>
      </c>
      <c r="WY399" s="87">
        <f t="shared" si="2183"/>
        <v>0</v>
      </c>
      <c r="WZ399" s="87">
        <f t="shared" si="2184"/>
        <v>0</v>
      </c>
      <c r="XA399" s="87">
        <f t="shared" si="2185"/>
        <v>0</v>
      </c>
      <c r="XB399" s="92">
        <f t="shared" si="2186"/>
        <v>1802071.1392000001</v>
      </c>
      <c r="XC399" s="92">
        <f t="shared" si="2187"/>
        <v>4128516.6575999996</v>
      </c>
      <c r="XD399" s="89"/>
      <c r="XE399" s="92"/>
      <c r="XF399" s="92"/>
      <c r="XG399" s="89"/>
      <c r="XH399" s="92"/>
      <c r="XI399" s="92"/>
      <c r="XJ399" s="89"/>
      <c r="XK399" s="87"/>
      <c r="XL399" s="87"/>
      <c r="XM399" s="87"/>
      <c r="XN399" s="87"/>
      <c r="XO399" s="87"/>
      <c r="XP399" s="87"/>
      <c r="XQ399" s="87"/>
      <c r="XR399" s="92">
        <f t="shared" ca="1" si="2188"/>
        <v>0</v>
      </c>
      <c r="XS399" s="89"/>
      <c r="XT399" s="87"/>
      <c r="XU399" s="87"/>
      <c r="XV399" s="87"/>
      <c r="XW399" s="87"/>
      <c r="XX399" s="87"/>
      <c r="XY399" s="87"/>
      <c r="XZ399" s="87"/>
      <c r="YA399" s="92">
        <f t="shared" ca="1" si="2189"/>
        <v>0</v>
      </c>
      <c r="YB399" s="90"/>
      <c r="YC399" s="90"/>
      <c r="YD399" s="90"/>
      <c r="YE399" s="90"/>
      <c r="YF399" s="90"/>
      <c r="YG399" s="90"/>
      <c r="YH399" s="90"/>
      <c r="YI399" s="90"/>
      <c r="YJ399" s="90"/>
      <c r="YK399" s="90"/>
      <c r="YL399" s="90"/>
      <c r="YM399" s="90"/>
      <c r="YN399" s="90"/>
      <c r="YO399" s="90"/>
      <c r="YP399" s="90"/>
      <c r="YQ399" s="90"/>
      <c r="YR399" s="90"/>
      <c r="YS399" s="90"/>
      <c r="YT399" s="90"/>
      <c r="YU399" s="90"/>
      <c r="YV399" s="90"/>
      <c r="YW399" s="90"/>
      <c r="YX399" s="90"/>
      <c r="YY399" s="90"/>
      <c r="YZ399" s="90"/>
      <c r="ZA399" s="90"/>
      <c r="ZB399" s="90"/>
      <c r="ZC399" s="90"/>
      <c r="ZD399" s="90"/>
      <c r="ZE399" s="90"/>
      <c r="ZF399" s="90"/>
      <c r="ZG399" s="90"/>
      <c r="ZH399" s="90"/>
      <c r="ZI399" s="90"/>
      <c r="ZJ399" s="90"/>
      <c r="ZK399" s="90"/>
      <c r="ZL399" s="90"/>
      <c r="ZM399" s="90"/>
      <c r="ZN399" s="90"/>
      <c r="ZO399" s="90"/>
      <c r="ZP399" s="90"/>
      <c r="ZQ399" s="90"/>
      <c r="ZR399" s="90"/>
      <c r="ZS399" s="90"/>
      <c r="ZT399" s="90"/>
      <c r="ZU399" s="90"/>
      <c r="ZV399" s="90"/>
      <c r="ZW399" s="90"/>
      <c r="ZX399" s="90"/>
      <c r="ZY399" s="90"/>
      <c r="ZZ399" s="90"/>
      <c r="AAA399" s="90"/>
      <c r="AAB399" s="90"/>
      <c r="AAC399" s="90"/>
      <c r="AAD399" s="90"/>
      <c r="AAE399" s="90"/>
      <c r="AAF399" s="90"/>
      <c r="AAG399" s="90"/>
      <c r="AAH399" s="90"/>
      <c r="AAI399" s="90"/>
      <c r="AAJ399" s="90"/>
      <c r="AAK399" s="90"/>
      <c r="AAL399" s="90"/>
      <c r="AAM399" s="90"/>
      <c r="AAN399" s="90"/>
      <c r="AAO399" s="90"/>
      <c r="AAP399" s="90"/>
      <c r="AAQ399" s="90"/>
      <c r="AAR399" s="90"/>
      <c r="AAS399" s="90"/>
      <c r="AAT399" s="90"/>
      <c r="AAU399" s="90"/>
      <c r="AAV399" s="90"/>
      <c r="AAW399" s="90"/>
      <c r="AAX399" s="90"/>
      <c r="AAY399" s="90"/>
      <c r="AAZ399" s="90"/>
      <c r="ABA399" s="90"/>
      <c r="ABB399" s="90"/>
      <c r="ABC399" s="90"/>
      <c r="ABD399" s="90"/>
      <c r="ABE399" s="90"/>
      <c r="ABF399" s="90"/>
      <c r="ABG399" s="90"/>
      <c r="ABH399" s="90"/>
      <c r="ABI399" s="90"/>
      <c r="ABJ399" s="90"/>
      <c r="ABK399" s="90"/>
      <c r="ABL399" s="90"/>
      <c r="ABM399" s="90"/>
      <c r="ABN399" s="90"/>
      <c r="ABO399" s="90"/>
      <c r="ABP399" s="90"/>
      <c r="ABQ399" s="90"/>
      <c r="ABR399" s="90"/>
      <c r="ABS399" s="90"/>
      <c r="ABT399" s="90"/>
      <c r="ABU399" s="90"/>
      <c r="ABV399" s="90"/>
      <c r="ABW399" s="90"/>
      <c r="ABX399" s="90"/>
      <c r="ABY399" s="90"/>
      <c r="ABZ399" s="90"/>
      <c r="ACA399" s="90"/>
      <c r="ACB399" s="90"/>
      <c r="ACC399" s="90"/>
      <c r="ACD399" s="90"/>
      <c r="ACE399" s="90"/>
      <c r="ACF399" s="90"/>
      <c r="ACG399" s="90"/>
      <c r="ACH399" s="90"/>
      <c r="ACI399" s="90"/>
      <c r="ACJ399" s="90"/>
      <c r="ACK399" s="90"/>
      <c r="ACL399" s="90"/>
      <c r="ACM399" s="90"/>
      <c r="ACN399" s="90"/>
      <c r="ACO399" s="90"/>
      <c r="ACP399" s="90"/>
      <c r="ACQ399" s="90"/>
      <c r="ACR399" s="90"/>
      <c r="ACS399" s="90"/>
      <c r="ACT399" s="90"/>
      <c r="ACU399" s="90"/>
      <c r="ACV399" s="90"/>
      <c r="ACW399" s="90"/>
      <c r="ACX399" s="90"/>
      <c r="ACY399" s="90"/>
      <c r="ACZ399" s="90"/>
      <c r="ADA399" s="90"/>
      <c r="ADB399" s="90"/>
      <c r="ADC399" s="90"/>
      <c r="ADD399" s="90"/>
      <c r="ADE399" s="90"/>
      <c r="ADF399" s="90"/>
      <c r="ADG399" s="90"/>
      <c r="ADH399" s="90"/>
      <c r="ADI399" s="90"/>
      <c r="ADJ399" s="90"/>
      <c r="ADK399" s="90"/>
      <c r="ADL399" s="90"/>
      <c r="ADM399" s="90"/>
      <c r="ADN399" s="90"/>
      <c r="ADO399" s="90"/>
      <c r="ADP399" s="90"/>
      <c r="ADQ399" s="90"/>
      <c r="ADR399" s="90"/>
      <c r="ADS399" s="90"/>
      <c r="ADT399" s="90"/>
      <c r="ADU399" s="90"/>
      <c r="ADV399" s="90"/>
      <c r="ADW399" s="90"/>
      <c r="ADX399" s="90"/>
      <c r="ADY399" s="90"/>
      <c r="ADZ399" s="90"/>
      <c r="AEA399" s="90"/>
      <c r="AEB399" s="90"/>
      <c r="AEC399" s="90"/>
      <c r="AED399" s="90"/>
      <c r="AEE399" s="90"/>
      <c r="AEF399" s="90"/>
      <c r="AEG399" s="90"/>
      <c r="AEH399" s="90"/>
      <c r="AEI399" s="90"/>
      <c r="AEJ399" s="90"/>
      <c r="AEK399" s="90"/>
      <c r="AEL399" s="90"/>
      <c r="AEM399" s="90"/>
      <c r="AEN399" s="90"/>
      <c r="AEO399" s="90"/>
      <c r="AEP399" s="90"/>
      <c r="AEQ399" s="90"/>
      <c r="AER399" s="90"/>
      <c r="AES399" s="90"/>
      <c r="AET399" s="90"/>
      <c r="AEU399" s="90"/>
      <c r="AEV399" s="90"/>
      <c r="AEW399" s="90"/>
      <c r="AEX399" s="90"/>
      <c r="AEY399" s="90"/>
      <c r="AEZ399" s="90"/>
      <c r="AFA399" s="90"/>
      <c r="AFB399" s="90"/>
      <c r="AFC399" s="90"/>
      <c r="AFD399" s="90"/>
      <c r="AFE399" s="90"/>
      <c r="AFF399" s="90"/>
      <c r="AFG399" s="90"/>
      <c r="AFH399" s="90"/>
      <c r="AFI399" s="90"/>
      <c r="AFJ399" s="90"/>
      <c r="AFK399" s="90"/>
      <c r="AFL399" s="90"/>
      <c r="AFM399" s="90"/>
      <c r="AFN399" s="90"/>
      <c r="AFO399" s="90"/>
      <c r="AFP399" s="90"/>
      <c r="AFQ399" s="90"/>
      <c r="AFR399" s="90"/>
      <c r="AFS399" s="90"/>
      <c r="AFT399" s="90"/>
      <c r="AFU399" s="90"/>
      <c r="AFV399" s="90"/>
      <c r="AFW399" s="90"/>
      <c r="AFX399" s="90"/>
      <c r="AFY399" s="90"/>
      <c r="AFZ399" s="90"/>
      <c r="AGA399" s="90"/>
      <c r="AGB399" s="90"/>
      <c r="AGC399" s="90"/>
      <c r="AGD399" s="90"/>
      <c r="AGE399" s="90"/>
      <c r="AGF399" s="90"/>
      <c r="AGG399" s="90"/>
      <c r="AGH399" s="90"/>
      <c r="AGI399" s="90"/>
      <c r="AGJ399" s="90"/>
      <c r="AGK399" s="90"/>
      <c r="AGL399" s="90"/>
      <c r="AGM399" s="90"/>
      <c r="AGN399" s="90"/>
      <c r="AGO399" s="90"/>
      <c r="AGP399" s="90"/>
      <c r="AGQ399" s="90"/>
      <c r="AGR399" s="90"/>
      <c r="AGS399" s="90"/>
      <c r="AGT399" s="90"/>
      <c r="AGU399" s="90"/>
      <c r="AGV399" s="90"/>
      <c r="AGW399" s="90"/>
      <c r="AGX399" s="90"/>
      <c r="AGY399" s="90"/>
      <c r="AGZ399" s="90"/>
      <c r="AHA399" s="90"/>
      <c r="AHB399" s="90"/>
      <c r="AHC399" s="90"/>
      <c r="AHD399" s="90"/>
      <c r="AHE399" s="90"/>
      <c r="AHF399" s="90"/>
      <c r="AHG399" s="90"/>
      <c r="AHH399" s="90"/>
      <c r="AHI399" s="90"/>
      <c r="AHJ399" s="90"/>
      <c r="AHK399" s="90"/>
      <c r="AHL399" s="90"/>
      <c r="AHM399" s="90"/>
      <c r="AHN399" s="90"/>
      <c r="AHO399" s="90"/>
      <c r="AHP399" s="90"/>
      <c r="AHQ399" s="90"/>
      <c r="AHR399" s="90"/>
      <c r="AHS399" s="90"/>
      <c r="AHT399" s="90"/>
      <c r="AHU399" s="90"/>
      <c r="AHV399" s="90"/>
      <c r="AHW399" s="90"/>
      <c r="AHX399" s="90"/>
      <c r="AHY399" s="90"/>
      <c r="AHZ399" s="90"/>
      <c r="AIA399" s="90"/>
      <c r="AIB399" s="90"/>
      <c r="AIC399" s="90"/>
      <c r="AID399" s="90"/>
      <c r="AIE399" s="90"/>
      <c r="AIF399" s="90"/>
      <c r="AIG399" s="90"/>
      <c r="AIH399" s="90"/>
      <c r="AII399" s="90"/>
      <c r="AIJ399" s="90"/>
      <c r="AIK399" s="90"/>
      <c r="AIL399" s="90"/>
      <c r="AIM399" s="90"/>
      <c r="AIN399" s="90"/>
      <c r="AIO399" s="90"/>
      <c r="AIP399" s="90"/>
      <c r="AIQ399" s="90"/>
      <c r="AIR399" s="90"/>
      <c r="AIS399" s="90"/>
      <c r="AIT399" s="90"/>
      <c r="AIU399" s="90"/>
      <c r="AIV399" s="90"/>
      <c r="AIW399" s="90"/>
      <c r="AIX399" s="90"/>
      <c r="AIY399" s="90"/>
      <c r="AIZ399" s="90"/>
      <c r="AJA399" s="90"/>
      <c r="AJB399" s="90"/>
      <c r="AJC399" s="90"/>
      <c r="AJD399" s="90"/>
      <c r="AJE399" s="90"/>
      <c r="AJF399" s="90"/>
      <c r="AJG399" s="90"/>
      <c r="AJH399" s="90"/>
      <c r="AJI399" s="90"/>
      <c r="AJJ399" s="90"/>
      <c r="AJK399" s="90"/>
      <c r="AJL399" s="90"/>
      <c r="AJM399" s="90"/>
      <c r="AJN399" s="90"/>
      <c r="AJO399" s="90"/>
      <c r="AJP399" s="90"/>
      <c r="AJQ399" s="90"/>
      <c r="AJR399" s="90"/>
      <c r="AJS399" s="90"/>
      <c r="AJT399" s="90"/>
      <c r="AJU399" s="90"/>
      <c r="AJV399" s="90"/>
      <c r="AJW399" s="90"/>
      <c r="AJX399" s="90"/>
      <c r="AJY399" s="90"/>
      <c r="AJZ399" s="90"/>
      <c r="AKA399" s="90"/>
      <c r="AKB399" s="90"/>
      <c r="AKC399" s="90"/>
      <c r="AKD399" s="90"/>
      <c r="AKE399" s="90"/>
      <c r="AKF399" s="90"/>
      <c r="AKG399" s="90"/>
      <c r="AKH399" s="90"/>
      <c r="AKI399" s="90"/>
      <c r="AKJ399" s="90"/>
      <c r="AKK399" s="90"/>
      <c r="AKL399" s="90"/>
      <c r="AKM399" s="90"/>
      <c r="AKN399" s="90"/>
      <c r="AKO399" s="90"/>
      <c r="AKP399" s="90"/>
      <c r="AKQ399" s="90"/>
      <c r="AKR399" s="90"/>
      <c r="AKS399" s="90"/>
      <c r="AKT399" s="90"/>
      <c r="AKU399" s="90"/>
      <c r="AKV399" s="90"/>
      <c r="AKW399" s="90"/>
      <c r="AKX399" s="90"/>
      <c r="AKY399" s="90"/>
      <c r="AKZ399" s="90"/>
      <c r="ALA399" s="90"/>
      <c r="ALB399" s="90"/>
      <c r="ALC399" s="90"/>
      <c r="ALD399" s="90"/>
      <c r="ALE399" s="90"/>
      <c r="ALF399" s="90"/>
      <c r="ALG399" s="90"/>
      <c r="ALH399" s="90"/>
      <c r="ALI399" s="90"/>
      <c r="ALJ399" s="90"/>
      <c r="ALK399" s="90"/>
      <c r="ALL399" s="90"/>
      <c r="ALM399" s="90"/>
      <c r="ALN399" s="90"/>
      <c r="ALO399" s="90"/>
      <c r="ALP399" s="90"/>
      <c r="ALQ399" s="90"/>
      <c r="ALR399" s="90"/>
      <c r="ALS399" s="90"/>
      <c r="ALT399" s="90"/>
      <c r="ALU399" s="90"/>
      <c r="ALV399" s="90"/>
      <c r="ALW399" s="90"/>
      <c r="ALX399" s="90"/>
      <c r="ALY399" s="90"/>
      <c r="ALZ399" s="90"/>
      <c r="AMA399" s="90"/>
      <c r="AMB399" s="90"/>
      <c r="AMC399" s="90"/>
    </row>
    <row r="400" spans="1:1017">
      <c r="A400" s="98" t="s">
        <v>55</v>
      </c>
      <c r="B400" s="90" t="str">
        <f t="shared" si="2095"/>
        <v xml:space="preserve">Gurame, Gurami </v>
      </c>
      <c r="Q400" s="91">
        <f t="shared" si="2096"/>
        <v>0</v>
      </c>
      <c r="R400" s="91">
        <f t="shared" si="2097"/>
        <v>0</v>
      </c>
      <c r="Y400" s="98">
        <v>18365</v>
      </c>
      <c r="Z400" s="98">
        <v>642775</v>
      </c>
      <c r="AG400" s="91">
        <f t="shared" si="2098"/>
        <v>18365</v>
      </c>
      <c r="AH400" s="91">
        <f t="shared" si="2099"/>
        <v>642775</v>
      </c>
      <c r="AO400" s="98">
        <v>673200</v>
      </c>
      <c r="AP400" s="98">
        <v>20196000</v>
      </c>
      <c r="AW400" s="91">
        <f t="shared" si="2100"/>
        <v>673200</v>
      </c>
      <c r="AX400" s="91">
        <f t="shared" si="2101"/>
        <v>20196000</v>
      </c>
      <c r="BE400" s="98">
        <v>6682</v>
      </c>
      <c r="BF400" s="98">
        <v>200460</v>
      </c>
      <c r="BM400" s="91">
        <f t="shared" si="2102"/>
        <v>6682</v>
      </c>
      <c r="BN400" s="91">
        <f t="shared" si="2103"/>
        <v>200460</v>
      </c>
      <c r="BU400" s="98">
        <v>3180</v>
      </c>
      <c r="BV400" s="98">
        <v>120840</v>
      </c>
      <c r="CC400" s="91">
        <f t="shared" si="2104"/>
        <v>3180</v>
      </c>
      <c r="CD400" s="91">
        <f t="shared" si="2105"/>
        <v>120840</v>
      </c>
      <c r="CK400" s="98">
        <v>577.04773707360778</v>
      </c>
      <c r="CL400" s="98">
        <v>17311.432112208233</v>
      </c>
      <c r="CS400" s="91">
        <f t="shared" si="2106"/>
        <v>577.04773707360778</v>
      </c>
      <c r="CT400" s="91">
        <f t="shared" si="2107"/>
        <v>17311.432112208233</v>
      </c>
      <c r="DA400" s="98">
        <v>225780</v>
      </c>
      <c r="DB400" s="98">
        <v>6773400</v>
      </c>
      <c r="DI400" s="91">
        <f t="shared" si="2108"/>
        <v>225780</v>
      </c>
      <c r="DJ400" s="91">
        <f t="shared" si="2109"/>
        <v>6773400</v>
      </c>
      <c r="DQ400" s="98">
        <v>42500</v>
      </c>
      <c r="DR400" s="98">
        <v>1360000</v>
      </c>
      <c r="DY400" s="91">
        <f t="shared" si="2110"/>
        <v>42500</v>
      </c>
      <c r="DZ400" s="91">
        <f t="shared" si="2111"/>
        <v>1360000</v>
      </c>
      <c r="EG400" s="98">
        <v>256100</v>
      </c>
      <c r="EH400" s="98">
        <v>7170800</v>
      </c>
      <c r="EO400" s="91">
        <f t="shared" si="2112"/>
        <v>256100</v>
      </c>
      <c r="EP400" s="91">
        <f t="shared" si="2113"/>
        <v>7170800</v>
      </c>
      <c r="FE400" s="91">
        <f t="shared" si="2114"/>
        <v>0</v>
      </c>
      <c r="FF400" s="91">
        <f t="shared" si="2115"/>
        <v>0</v>
      </c>
      <c r="FM400" s="98">
        <v>58027</v>
      </c>
      <c r="FN400" s="98">
        <v>2030945</v>
      </c>
      <c r="FU400" s="91">
        <f t="shared" si="2116"/>
        <v>58027</v>
      </c>
      <c r="FV400" s="91">
        <f t="shared" si="2117"/>
        <v>2030945</v>
      </c>
      <c r="GC400" s="98">
        <v>38500</v>
      </c>
      <c r="GD400" s="98">
        <v>1078000</v>
      </c>
      <c r="GK400" s="91">
        <f t="shared" si="2118"/>
        <v>38500</v>
      </c>
      <c r="GL400" s="91">
        <f t="shared" si="2119"/>
        <v>1078000</v>
      </c>
      <c r="GS400" s="98">
        <v>7000</v>
      </c>
      <c r="GT400" s="98">
        <v>199500</v>
      </c>
      <c r="HA400" s="91">
        <f t="shared" si="2120"/>
        <v>7000</v>
      </c>
      <c r="HB400" s="91">
        <f t="shared" si="2121"/>
        <v>199500</v>
      </c>
      <c r="HI400" s="98">
        <v>6000</v>
      </c>
      <c r="HJ400" s="98">
        <v>180000</v>
      </c>
      <c r="HQ400" s="91">
        <f t="shared" si="2122"/>
        <v>6000</v>
      </c>
      <c r="HR400" s="91">
        <f t="shared" si="2123"/>
        <v>180000</v>
      </c>
      <c r="HY400" s="98">
        <v>2000</v>
      </c>
      <c r="HZ400" s="98">
        <v>64000</v>
      </c>
      <c r="IG400" s="91">
        <f t="shared" si="2124"/>
        <v>2000</v>
      </c>
      <c r="IH400" s="91">
        <f t="shared" si="2125"/>
        <v>64000</v>
      </c>
      <c r="IO400" s="98">
        <v>101800</v>
      </c>
      <c r="IP400" s="98">
        <v>3257600</v>
      </c>
      <c r="IW400" s="91">
        <f t="shared" si="2126"/>
        <v>101800</v>
      </c>
      <c r="IX400" s="91">
        <f t="shared" si="2127"/>
        <v>3257600</v>
      </c>
      <c r="JE400" s="98">
        <v>14700</v>
      </c>
      <c r="JF400" s="98">
        <v>441000</v>
      </c>
      <c r="JM400" s="91">
        <f t="shared" si="2128"/>
        <v>14700</v>
      </c>
      <c r="JN400" s="91">
        <f t="shared" si="2129"/>
        <v>441000</v>
      </c>
      <c r="KC400" s="91">
        <f t="shared" si="2130"/>
        <v>0</v>
      </c>
      <c r="KD400" s="91">
        <f t="shared" si="2131"/>
        <v>0</v>
      </c>
      <c r="KK400" s="98">
        <v>230</v>
      </c>
      <c r="KL400" s="98">
        <v>11500</v>
      </c>
      <c r="KS400" s="91">
        <f t="shared" si="2132"/>
        <v>230</v>
      </c>
      <c r="KT400" s="91">
        <f t="shared" si="2133"/>
        <v>11500</v>
      </c>
      <c r="LA400" s="98">
        <v>7803.47</v>
      </c>
      <c r="LB400" s="98">
        <v>273121</v>
      </c>
      <c r="LI400" s="91">
        <f t="shared" si="2134"/>
        <v>7803.47</v>
      </c>
      <c r="LJ400" s="91">
        <f t="shared" si="2135"/>
        <v>273121</v>
      </c>
      <c r="LQ400" s="98">
        <v>24975</v>
      </c>
      <c r="LR400" s="98">
        <v>749250</v>
      </c>
      <c r="LY400" s="91">
        <f t="shared" si="2136"/>
        <v>24975</v>
      </c>
      <c r="LZ400" s="91">
        <f t="shared" si="2137"/>
        <v>749250</v>
      </c>
      <c r="MG400" s="98">
        <v>250</v>
      </c>
      <c r="MH400" s="98">
        <v>6750</v>
      </c>
      <c r="MO400" s="91">
        <f t="shared" si="2138"/>
        <v>250</v>
      </c>
      <c r="MP400" s="91">
        <f t="shared" si="2139"/>
        <v>6750</v>
      </c>
      <c r="NE400" s="91">
        <f t="shared" si="2140"/>
        <v>0</v>
      </c>
      <c r="NF400" s="91">
        <f t="shared" si="2141"/>
        <v>0</v>
      </c>
      <c r="NM400" s="98">
        <v>26000</v>
      </c>
      <c r="NN400" s="98">
        <v>728000</v>
      </c>
      <c r="NQ400" s="98">
        <v>1000</v>
      </c>
      <c r="NR400" s="98">
        <v>28000</v>
      </c>
      <c r="NU400" s="91">
        <f t="shared" si="2142"/>
        <v>27000</v>
      </c>
      <c r="NV400" s="91">
        <f t="shared" si="2143"/>
        <v>756000</v>
      </c>
      <c r="OC400" s="98">
        <v>125</v>
      </c>
      <c r="OD400" s="98">
        <v>5000</v>
      </c>
      <c r="OK400" s="91">
        <f t="shared" si="2144"/>
        <v>125</v>
      </c>
      <c r="OL400" s="91">
        <f t="shared" si="2145"/>
        <v>5000</v>
      </c>
      <c r="OS400" s="98">
        <v>1319.9999999999998</v>
      </c>
      <c r="OT400" s="98">
        <v>67319.999999999985</v>
      </c>
      <c r="PA400" s="91">
        <f t="shared" si="2146"/>
        <v>1319.9999999999998</v>
      </c>
      <c r="PB400" s="91">
        <f t="shared" si="2147"/>
        <v>67319.999999999985</v>
      </c>
      <c r="PI400" s="98">
        <v>21620</v>
      </c>
      <c r="PJ400" s="98">
        <v>518880</v>
      </c>
      <c r="PQ400" s="91">
        <f t="shared" si="2148"/>
        <v>21620</v>
      </c>
      <c r="PR400" s="91">
        <f t="shared" si="2149"/>
        <v>518880</v>
      </c>
      <c r="PY400" s="794">
        <v>390</v>
      </c>
      <c r="PZ400" s="98">
        <v>11700</v>
      </c>
      <c r="QG400" s="91">
        <f t="shared" si="2150"/>
        <v>390</v>
      </c>
      <c r="QH400" s="91">
        <f t="shared" si="2151"/>
        <v>11700</v>
      </c>
      <c r="QO400" s="611">
        <v>1860000</v>
      </c>
      <c r="QP400" s="611">
        <v>51150000</v>
      </c>
      <c r="QW400" s="91">
        <f t="shared" si="2152"/>
        <v>1860000</v>
      </c>
      <c r="QX400" s="91">
        <f t="shared" si="2153"/>
        <v>51150000</v>
      </c>
      <c r="RM400" s="91">
        <f t="shared" si="2154"/>
        <v>0</v>
      </c>
      <c r="RN400" s="91">
        <f t="shared" si="2155"/>
        <v>0</v>
      </c>
      <c r="RU400" s="98">
        <v>3220</v>
      </c>
      <c r="RV400" s="98">
        <v>86940</v>
      </c>
      <c r="SC400" s="91">
        <f t="shared" si="2156"/>
        <v>3220</v>
      </c>
      <c r="SD400" s="91">
        <f t="shared" si="2157"/>
        <v>86940</v>
      </c>
      <c r="SS400" s="91">
        <f t="shared" si="2158"/>
        <v>0</v>
      </c>
      <c r="ST400" s="91">
        <f t="shared" si="2159"/>
        <v>0</v>
      </c>
      <c r="TA400" s="98">
        <v>2470</v>
      </c>
      <c r="TB400" s="98">
        <v>81510</v>
      </c>
      <c r="TI400" s="91">
        <f t="shared" si="2160"/>
        <v>2470</v>
      </c>
      <c r="TJ400" s="91">
        <f t="shared" si="2161"/>
        <v>81510</v>
      </c>
      <c r="TY400" s="91">
        <f t="shared" si="2162"/>
        <v>0</v>
      </c>
      <c r="TZ400" s="91">
        <f t="shared" si="2163"/>
        <v>0</v>
      </c>
      <c r="UG400" s="98">
        <v>285</v>
      </c>
      <c r="UH400" s="98">
        <v>8550</v>
      </c>
      <c r="UO400" s="91">
        <f t="shared" si="2164"/>
        <v>285</v>
      </c>
      <c r="UP400" s="91">
        <f t="shared" si="2165"/>
        <v>8550</v>
      </c>
      <c r="VE400" s="91">
        <f t="shared" si="2166"/>
        <v>0</v>
      </c>
      <c r="VF400" s="91">
        <f t="shared" si="2167"/>
        <v>0</v>
      </c>
      <c r="VM400" s="98">
        <v>1367</v>
      </c>
      <c r="VN400" s="98">
        <v>50579</v>
      </c>
      <c r="VU400" s="91">
        <f t="shared" si="2168"/>
        <v>1367</v>
      </c>
      <c r="VV400" s="91">
        <f t="shared" si="2169"/>
        <v>50579</v>
      </c>
      <c r="WK400" s="91">
        <f t="shared" si="2170"/>
        <v>0</v>
      </c>
      <c r="WL400" s="91">
        <f t="shared" si="2171"/>
        <v>0</v>
      </c>
      <c r="WM400" s="89"/>
      <c r="WN400" s="87">
        <f t="shared" si="2172"/>
        <v>0</v>
      </c>
      <c r="WO400" s="87">
        <f t="shared" si="2173"/>
        <v>0</v>
      </c>
      <c r="WP400" s="87">
        <f t="shared" si="2174"/>
        <v>0</v>
      </c>
      <c r="WQ400" s="87">
        <f t="shared" si="2175"/>
        <v>0</v>
      </c>
      <c r="WR400" s="87">
        <f t="shared" si="2176"/>
        <v>0</v>
      </c>
      <c r="WS400" s="87">
        <f t="shared" si="2177"/>
        <v>0</v>
      </c>
      <c r="WT400" s="87">
        <f t="shared" si="2178"/>
        <v>3404466.5177370738</v>
      </c>
      <c r="WU400" s="87">
        <f t="shared" si="2179"/>
        <v>97481731.432112217</v>
      </c>
      <c r="WV400" s="87">
        <f t="shared" si="2180"/>
        <v>0</v>
      </c>
      <c r="WW400" s="87">
        <f t="shared" si="2181"/>
        <v>0</v>
      </c>
      <c r="WX400" s="87">
        <f t="shared" si="2182"/>
        <v>1000</v>
      </c>
      <c r="WY400" s="87">
        <f t="shared" si="2183"/>
        <v>28000</v>
      </c>
      <c r="WZ400" s="87">
        <f t="shared" si="2184"/>
        <v>0</v>
      </c>
      <c r="XA400" s="87">
        <f t="shared" si="2185"/>
        <v>0</v>
      </c>
      <c r="XB400" s="92">
        <f t="shared" si="2186"/>
        <v>3405466.5177370738</v>
      </c>
      <c r="XC400" s="92">
        <f t="shared" si="2187"/>
        <v>97509731.432112217</v>
      </c>
      <c r="XD400" s="89"/>
      <c r="XE400" s="92"/>
      <c r="XF400" s="92"/>
      <c r="XG400" s="89"/>
      <c r="XH400" s="92"/>
      <c r="XI400" s="92"/>
      <c r="XJ400" s="89"/>
      <c r="XK400" s="87"/>
      <c r="XL400" s="87"/>
      <c r="XM400" s="87"/>
      <c r="XN400" s="87"/>
      <c r="XO400" s="87"/>
      <c r="XP400" s="87"/>
      <c r="XQ400" s="87"/>
      <c r="XR400" s="92">
        <f t="shared" ca="1" si="2188"/>
        <v>0</v>
      </c>
      <c r="XS400" s="89"/>
      <c r="XT400" s="87"/>
      <c r="XU400" s="87"/>
      <c r="XV400" s="87"/>
      <c r="XW400" s="87"/>
      <c r="XX400" s="87"/>
      <c r="XY400" s="87"/>
      <c r="XZ400" s="87"/>
      <c r="YA400" s="92">
        <f t="shared" ca="1" si="2189"/>
        <v>0</v>
      </c>
      <c r="YB400" s="90"/>
      <c r="YC400" s="90"/>
      <c r="YD400" s="90"/>
      <c r="YE400" s="90"/>
      <c r="YF400" s="90"/>
      <c r="YG400" s="90"/>
      <c r="YH400" s="90"/>
      <c r="YI400" s="90"/>
      <c r="YJ400" s="90"/>
      <c r="YK400" s="90"/>
      <c r="YL400" s="90"/>
      <c r="YM400" s="90"/>
      <c r="YN400" s="90"/>
      <c r="YO400" s="90"/>
      <c r="YP400" s="90"/>
      <c r="YQ400" s="90"/>
      <c r="YR400" s="90"/>
      <c r="YS400" s="90"/>
      <c r="YT400" s="90"/>
      <c r="YU400" s="90"/>
      <c r="YV400" s="90"/>
      <c r="YW400" s="90"/>
      <c r="YX400" s="90"/>
      <c r="YY400" s="90"/>
      <c r="YZ400" s="90"/>
      <c r="ZA400" s="90"/>
      <c r="ZB400" s="90"/>
      <c r="ZC400" s="90"/>
      <c r="ZD400" s="90"/>
      <c r="ZE400" s="90"/>
      <c r="ZF400" s="90"/>
      <c r="ZG400" s="90"/>
      <c r="ZH400" s="90"/>
      <c r="ZI400" s="90"/>
      <c r="ZJ400" s="90"/>
      <c r="ZK400" s="90"/>
      <c r="ZL400" s="90"/>
      <c r="ZM400" s="90"/>
      <c r="ZN400" s="90"/>
      <c r="ZO400" s="90"/>
      <c r="ZP400" s="90"/>
      <c r="ZQ400" s="90"/>
      <c r="ZR400" s="90"/>
      <c r="ZS400" s="90"/>
      <c r="ZT400" s="90"/>
      <c r="ZU400" s="90"/>
      <c r="ZV400" s="90"/>
      <c r="ZW400" s="90"/>
      <c r="ZX400" s="90"/>
      <c r="ZY400" s="90"/>
      <c r="ZZ400" s="90"/>
      <c r="AAA400" s="90"/>
      <c r="AAB400" s="90"/>
      <c r="AAC400" s="90"/>
      <c r="AAD400" s="90"/>
      <c r="AAE400" s="90"/>
      <c r="AAF400" s="90"/>
      <c r="AAG400" s="90"/>
      <c r="AAH400" s="90"/>
      <c r="AAI400" s="90"/>
      <c r="AAJ400" s="90"/>
      <c r="AAK400" s="90"/>
      <c r="AAL400" s="90"/>
      <c r="AAM400" s="90"/>
      <c r="AAN400" s="90"/>
      <c r="AAO400" s="90"/>
      <c r="AAP400" s="90"/>
      <c r="AAQ400" s="90"/>
      <c r="AAR400" s="90"/>
      <c r="AAS400" s="90"/>
      <c r="AAT400" s="90"/>
      <c r="AAU400" s="90"/>
      <c r="AAV400" s="90"/>
      <c r="AAW400" s="90"/>
      <c r="AAX400" s="90"/>
      <c r="AAY400" s="90"/>
      <c r="AAZ400" s="90"/>
      <c r="ABA400" s="90"/>
      <c r="ABB400" s="90"/>
      <c r="ABC400" s="90"/>
      <c r="ABD400" s="90"/>
      <c r="ABE400" s="90"/>
      <c r="ABF400" s="90"/>
      <c r="ABG400" s="90"/>
      <c r="ABH400" s="90"/>
      <c r="ABI400" s="90"/>
      <c r="ABJ400" s="90"/>
      <c r="ABK400" s="90"/>
      <c r="ABL400" s="90"/>
      <c r="ABM400" s="90"/>
      <c r="ABN400" s="90"/>
      <c r="ABO400" s="90"/>
      <c r="ABP400" s="90"/>
      <c r="ABQ400" s="90"/>
      <c r="ABR400" s="90"/>
      <c r="ABS400" s="90"/>
      <c r="ABT400" s="90"/>
      <c r="ABU400" s="90"/>
      <c r="ABV400" s="90"/>
      <c r="ABW400" s="90"/>
      <c r="ABX400" s="90"/>
      <c r="ABY400" s="90"/>
      <c r="ABZ400" s="90"/>
      <c r="ACA400" s="90"/>
      <c r="ACB400" s="90"/>
      <c r="ACC400" s="90"/>
      <c r="ACD400" s="90"/>
      <c r="ACE400" s="90"/>
      <c r="ACF400" s="90"/>
      <c r="ACG400" s="90"/>
      <c r="ACH400" s="90"/>
      <c r="ACI400" s="90"/>
      <c r="ACJ400" s="90"/>
      <c r="ACK400" s="90"/>
      <c r="ACL400" s="90"/>
      <c r="ACM400" s="90"/>
      <c r="ACN400" s="90"/>
      <c r="ACO400" s="90"/>
      <c r="ACP400" s="90"/>
      <c r="ACQ400" s="90"/>
      <c r="ACR400" s="90"/>
      <c r="ACS400" s="90"/>
      <c r="ACT400" s="90"/>
      <c r="ACU400" s="90"/>
      <c r="ACV400" s="90"/>
      <c r="ACW400" s="90"/>
      <c r="ACX400" s="90"/>
      <c r="ACY400" s="90"/>
      <c r="ACZ400" s="90"/>
      <c r="ADA400" s="90"/>
      <c r="ADB400" s="90"/>
      <c r="ADC400" s="90"/>
      <c r="ADD400" s="90"/>
      <c r="ADE400" s="90"/>
      <c r="ADF400" s="90"/>
      <c r="ADG400" s="90"/>
      <c r="ADH400" s="90"/>
      <c r="ADI400" s="90"/>
      <c r="ADJ400" s="90"/>
      <c r="ADK400" s="90"/>
      <c r="ADL400" s="90"/>
      <c r="ADM400" s="90"/>
      <c r="ADN400" s="90"/>
      <c r="ADO400" s="90"/>
      <c r="ADP400" s="90"/>
      <c r="ADQ400" s="90"/>
      <c r="ADR400" s="90"/>
      <c r="ADS400" s="90"/>
      <c r="ADT400" s="90"/>
      <c r="ADU400" s="90"/>
      <c r="ADV400" s="90"/>
      <c r="ADW400" s="90"/>
      <c r="ADX400" s="90"/>
      <c r="ADY400" s="90"/>
      <c r="ADZ400" s="90"/>
      <c r="AEA400" s="90"/>
      <c r="AEB400" s="90"/>
      <c r="AEC400" s="90"/>
      <c r="AED400" s="90"/>
      <c r="AEE400" s="90"/>
      <c r="AEF400" s="90"/>
      <c r="AEG400" s="90"/>
      <c r="AEH400" s="90"/>
      <c r="AEI400" s="90"/>
      <c r="AEJ400" s="90"/>
      <c r="AEK400" s="90"/>
      <c r="AEL400" s="90"/>
      <c r="AEM400" s="90"/>
      <c r="AEN400" s="90"/>
      <c r="AEO400" s="90"/>
      <c r="AEP400" s="90"/>
      <c r="AEQ400" s="90"/>
      <c r="AER400" s="90"/>
      <c r="AES400" s="90"/>
      <c r="AET400" s="90"/>
      <c r="AEU400" s="90"/>
      <c r="AEV400" s="90"/>
      <c r="AEW400" s="90"/>
      <c r="AEX400" s="90"/>
      <c r="AEY400" s="90"/>
      <c r="AEZ400" s="90"/>
      <c r="AFA400" s="90"/>
      <c r="AFB400" s="90"/>
      <c r="AFC400" s="90"/>
      <c r="AFD400" s="90"/>
      <c r="AFE400" s="90"/>
      <c r="AFF400" s="90"/>
      <c r="AFG400" s="90"/>
      <c r="AFH400" s="90"/>
      <c r="AFI400" s="90"/>
      <c r="AFJ400" s="90"/>
      <c r="AFK400" s="90"/>
      <c r="AFL400" s="90"/>
      <c r="AFM400" s="90"/>
      <c r="AFN400" s="90"/>
      <c r="AFO400" s="90"/>
      <c r="AFP400" s="90"/>
      <c r="AFQ400" s="90"/>
      <c r="AFR400" s="90"/>
      <c r="AFS400" s="90"/>
      <c r="AFT400" s="90"/>
      <c r="AFU400" s="90"/>
      <c r="AFV400" s="90"/>
      <c r="AFW400" s="90"/>
      <c r="AFX400" s="90"/>
      <c r="AFY400" s="90"/>
      <c r="AFZ400" s="90"/>
      <c r="AGA400" s="90"/>
      <c r="AGB400" s="90"/>
      <c r="AGC400" s="90"/>
      <c r="AGD400" s="90"/>
      <c r="AGE400" s="90"/>
      <c r="AGF400" s="90"/>
      <c r="AGG400" s="90"/>
      <c r="AGH400" s="90"/>
      <c r="AGI400" s="90"/>
      <c r="AGJ400" s="90"/>
      <c r="AGK400" s="90"/>
      <c r="AGL400" s="90"/>
      <c r="AGM400" s="90"/>
      <c r="AGN400" s="90"/>
      <c r="AGO400" s="90"/>
      <c r="AGP400" s="90"/>
      <c r="AGQ400" s="90"/>
      <c r="AGR400" s="90"/>
      <c r="AGS400" s="90"/>
      <c r="AGT400" s="90"/>
      <c r="AGU400" s="90"/>
      <c r="AGV400" s="90"/>
      <c r="AGW400" s="90"/>
      <c r="AGX400" s="90"/>
      <c r="AGY400" s="90"/>
      <c r="AGZ400" s="90"/>
      <c r="AHA400" s="90"/>
      <c r="AHB400" s="90"/>
      <c r="AHC400" s="90"/>
      <c r="AHD400" s="90"/>
      <c r="AHE400" s="90"/>
      <c r="AHF400" s="90"/>
      <c r="AHG400" s="90"/>
      <c r="AHH400" s="90"/>
      <c r="AHI400" s="90"/>
      <c r="AHJ400" s="90"/>
      <c r="AHK400" s="90"/>
      <c r="AHL400" s="90"/>
      <c r="AHM400" s="90"/>
      <c r="AHN400" s="90"/>
      <c r="AHO400" s="90"/>
      <c r="AHP400" s="90"/>
      <c r="AHQ400" s="90"/>
      <c r="AHR400" s="90"/>
      <c r="AHS400" s="90"/>
      <c r="AHT400" s="90"/>
      <c r="AHU400" s="90"/>
      <c r="AHV400" s="90"/>
      <c r="AHW400" s="90"/>
      <c r="AHX400" s="90"/>
      <c r="AHY400" s="90"/>
      <c r="AHZ400" s="90"/>
      <c r="AIA400" s="90"/>
      <c r="AIB400" s="90"/>
      <c r="AIC400" s="90"/>
      <c r="AID400" s="90"/>
      <c r="AIE400" s="90"/>
      <c r="AIF400" s="90"/>
      <c r="AIG400" s="90"/>
      <c r="AIH400" s="90"/>
      <c r="AII400" s="90"/>
      <c r="AIJ400" s="90"/>
      <c r="AIK400" s="90"/>
      <c r="AIL400" s="90"/>
      <c r="AIM400" s="90"/>
      <c r="AIN400" s="90"/>
      <c r="AIO400" s="90"/>
      <c r="AIP400" s="90"/>
      <c r="AIQ400" s="90"/>
      <c r="AIR400" s="90"/>
      <c r="AIS400" s="90"/>
      <c r="AIT400" s="90"/>
      <c r="AIU400" s="90"/>
      <c r="AIV400" s="90"/>
      <c r="AIW400" s="90"/>
      <c r="AIX400" s="90"/>
      <c r="AIY400" s="90"/>
      <c r="AIZ400" s="90"/>
      <c r="AJA400" s="90"/>
      <c r="AJB400" s="90"/>
      <c r="AJC400" s="90"/>
      <c r="AJD400" s="90"/>
      <c r="AJE400" s="90"/>
      <c r="AJF400" s="90"/>
      <c r="AJG400" s="90"/>
      <c r="AJH400" s="90"/>
      <c r="AJI400" s="90"/>
      <c r="AJJ400" s="90"/>
      <c r="AJK400" s="90"/>
      <c r="AJL400" s="90"/>
      <c r="AJM400" s="90"/>
      <c r="AJN400" s="90"/>
      <c r="AJO400" s="90"/>
      <c r="AJP400" s="90"/>
      <c r="AJQ400" s="90"/>
      <c r="AJR400" s="90"/>
      <c r="AJS400" s="90"/>
      <c r="AJT400" s="90"/>
      <c r="AJU400" s="90"/>
      <c r="AJV400" s="90"/>
      <c r="AJW400" s="90"/>
      <c r="AJX400" s="90"/>
      <c r="AJY400" s="90"/>
      <c r="AJZ400" s="90"/>
      <c r="AKA400" s="90"/>
      <c r="AKB400" s="90"/>
      <c r="AKC400" s="90"/>
      <c r="AKD400" s="90"/>
      <c r="AKE400" s="90"/>
      <c r="AKF400" s="90"/>
      <c r="AKG400" s="90"/>
      <c r="AKH400" s="90"/>
      <c r="AKI400" s="90"/>
      <c r="AKJ400" s="90"/>
      <c r="AKK400" s="90"/>
      <c r="AKL400" s="90"/>
      <c r="AKM400" s="90"/>
      <c r="AKN400" s="90"/>
      <c r="AKO400" s="90"/>
      <c r="AKP400" s="90"/>
      <c r="AKQ400" s="90"/>
      <c r="AKR400" s="90"/>
      <c r="AKS400" s="90"/>
      <c r="AKT400" s="90"/>
      <c r="AKU400" s="90"/>
      <c r="AKV400" s="90"/>
      <c r="AKW400" s="90"/>
      <c r="AKX400" s="90"/>
      <c r="AKY400" s="90"/>
      <c r="AKZ400" s="90"/>
      <c r="ALA400" s="90"/>
      <c r="ALB400" s="90"/>
      <c r="ALC400" s="90"/>
      <c r="ALD400" s="90"/>
      <c r="ALE400" s="90"/>
      <c r="ALF400" s="90"/>
      <c r="ALG400" s="90"/>
      <c r="ALH400" s="90"/>
      <c r="ALI400" s="90"/>
      <c r="ALJ400" s="90"/>
      <c r="ALK400" s="90"/>
      <c r="ALL400" s="90"/>
      <c r="ALM400" s="90"/>
      <c r="ALN400" s="90"/>
      <c r="ALO400" s="90"/>
      <c r="ALP400" s="90"/>
      <c r="ALQ400" s="90"/>
      <c r="ALR400" s="90"/>
      <c r="ALS400" s="90"/>
      <c r="ALT400" s="90"/>
      <c r="ALU400" s="90"/>
      <c r="ALV400" s="90"/>
      <c r="ALW400" s="90"/>
      <c r="ALX400" s="90"/>
      <c r="ALY400" s="90"/>
      <c r="ALZ400" s="90"/>
      <c r="AMA400" s="90"/>
      <c r="AMB400" s="90"/>
      <c r="AMC400" s="90"/>
    </row>
    <row r="401" spans="1:1017">
      <c r="A401" s="98" t="s">
        <v>55</v>
      </c>
      <c r="B401" s="90" t="str">
        <f t="shared" si="2095"/>
        <v>Kakap Putih</v>
      </c>
      <c r="E401" s="98">
        <v>134800</v>
      </c>
      <c r="F401" s="98">
        <v>8088000</v>
      </c>
      <c r="Q401" s="91">
        <f t="shared" si="2096"/>
        <v>134800</v>
      </c>
      <c r="R401" s="91">
        <f t="shared" si="2097"/>
        <v>8088000</v>
      </c>
      <c r="S401" s="98">
        <v>150</v>
      </c>
      <c r="T401" s="98">
        <v>9750</v>
      </c>
      <c r="U401" s="98">
        <v>11045</v>
      </c>
      <c r="V401" s="98">
        <v>717925</v>
      </c>
      <c r="AG401" s="91">
        <f t="shared" si="2098"/>
        <v>11195</v>
      </c>
      <c r="AH401" s="91">
        <f t="shared" si="2099"/>
        <v>727675</v>
      </c>
      <c r="AW401" s="91">
        <f t="shared" si="2100"/>
        <v>0</v>
      </c>
      <c r="AX401" s="91">
        <f t="shared" si="2101"/>
        <v>0</v>
      </c>
      <c r="BM401" s="91">
        <f t="shared" si="2102"/>
        <v>0</v>
      </c>
      <c r="BN401" s="91">
        <f t="shared" si="2103"/>
        <v>0</v>
      </c>
      <c r="CC401" s="91">
        <f t="shared" si="2104"/>
        <v>0</v>
      </c>
      <c r="CD401" s="91">
        <f t="shared" si="2105"/>
        <v>0</v>
      </c>
      <c r="CG401" s="98">
        <v>1402.2487685606402</v>
      </c>
      <c r="CH401" s="98">
        <v>49078.706899622412</v>
      </c>
      <c r="CS401" s="91">
        <f t="shared" si="2106"/>
        <v>1402.2487685606402</v>
      </c>
      <c r="CT401" s="91">
        <f t="shared" si="2107"/>
        <v>49078.706899622412</v>
      </c>
      <c r="DI401" s="91">
        <f t="shared" si="2108"/>
        <v>0</v>
      </c>
      <c r="DJ401" s="91">
        <f t="shared" si="2109"/>
        <v>0</v>
      </c>
      <c r="DY401" s="91">
        <f t="shared" si="2110"/>
        <v>0</v>
      </c>
      <c r="DZ401" s="91">
        <f t="shared" si="2111"/>
        <v>0</v>
      </c>
      <c r="EO401" s="91">
        <f t="shared" si="2112"/>
        <v>0</v>
      </c>
      <c r="EP401" s="91">
        <f t="shared" si="2113"/>
        <v>0</v>
      </c>
      <c r="FE401" s="91">
        <f t="shared" si="2114"/>
        <v>0</v>
      </c>
      <c r="FF401" s="91">
        <f t="shared" si="2115"/>
        <v>0</v>
      </c>
      <c r="FU401" s="91">
        <f t="shared" si="2116"/>
        <v>0</v>
      </c>
      <c r="FV401" s="91">
        <f t="shared" si="2117"/>
        <v>0</v>
      </c>
      <c r="GK401" s="91">
        <f t="shared" si="2118"/>
        <v>0</v>
      </c>
      <c r="GL401" s="91">
        <f t="shared" si="2119"/>
        <v>0</v>
      </c>
      <c r="HA401" s="91">
        <f t="shared" si="2120"/>
        <v>0</v>
      </c>
      <c r="HB401" s="91">
        <f t="shared" si="2121"/>
        <v>0</v>
      </c>
      <c r="HQ401" s="91">
        <f t="shared" si="2122"/>
        <v>0</v>
      </c>
      <c r="HR401" s="91">
        <f t="shared" si="2123"/>
        <v>0</v>
      </c>
      <c r="IG401" s="91">
        <f t="shared" si="2124"/>
        <v>0</v>
      </c>
      <c r="IH401" s="91">
        <f t="shared" si="2125"/>
        <v>0</v>
      </c>
      <c r="IW401" s="91">
        <f t="shared" si="2126"/>
        <v>0</v>
      </c>
      <c r="IX401" s="91">
        <f t="shared" si="2127"/>
        <v>0</v>
      </c>
      <c r="JM401" s="91">
        <f t="shared" si="2128"/>
        <v>0</v>
      </c>
      <c r="JN401" s="91">
        <f t="shared" si="2129"/>
        <v>0</v>
      </c>
      <c r="KC401" s="91">
        <f t="shared" si="2130"/>
        <v>0</v>
      </c>
      <c r="KD401" s="91">
        <f t="shared" si="2131"/>
        <v>0</v>
      </c>
      <c r="KS401" s="91">
        <f t="shared" si="2132"/>
        <v>0</v>
      </c>
      <c r="KT401" s="91">
        <f t="shared" si="2133"/>
        <v>0</v>
      </c>
      <c r="LI401" s="91">
        <f t="shared" si="2134"/>
        <v>0</v>
      </c>
      <c r="LJ401" s="91">
        <f t="shared" si="2135"/>
        <v>0</v>
      </c>
      <c r="LY401" s="91">
        <f t="shared" si="2136"/>
        <v>0</v>
      </c>
      <c r="LZ401" s="91">
        <f t="shared" si="2137"/>
        <v>0</v>
      </c>
      <c r="MO401" s="91">
        <f t="shared" si="2138"/>
        <v>0</v>
      </c>
      <c r="MP401" s="91">
        <f t="shared" si="2139"/>
        <v>0</v>
      </c>
      <c r="MS401" s="98">
        <v>100</v>
      </c>
      <c r="MT401" s="98">
        <v>3000</v>
      </c>
      <c r="NE401" s="91">
        <f t="shared" si="2140"/>
        <v>100</v>
      </c>
      <c r="NF401" s="91">
        <f t="shared" si="2141"/>
        <v>3000</v>
      </c>
      <c r="NI401" s="98">
        <v>4055</v>
      </c>
      <c r="NJ401" s="98">
        <v>141925</v>
      </c>
      <c r="NU401" s="91">
        <f t="shared" si="2142"/>
        <v>4055</v>
      </c>
      <c r="NV401" s="91">
        <f t="shared" si="2143"/>
        <v>141925</v>
      </c>
      <c r="NW401" s="98">
        <v>200</v>
      </c>
      <c r="NX401" s="98">
        <v>16000</v>
      </c>
      <c r="NY401" s="98">
        <v>8795</v>
      </c>
      <c r="NZ401" s="98">
        <v>395775</v>
      </c>
      <c r="OK401" s="91">
        <f t="shared" si="2144"/>
        <v>8995</v>
      </c>
      <c r="OL401" s="91">
        <f t="shared" si="2145"/>
        <v>411775</v>
      </c>
      <c r="PA401" s="91">
        <f t="shared" si="2146"/>
        <v>0</v>
      </c>
      <c r="PB401" s="91">
        <f t="shared" si="2147"/>
        <v>0</v>
      </c>
      <c r="PQ401" s="91">
        <f t="shared" si="2148"/>
        <v>0</v>
      </c>
      <c r="PR401" s="91">
        <f t="shared" si="2149"/>
        <v>0</v>
      </c>
      <c r="PU401" s="98">
        <v>2570</v>
      </c>
      <c r="PV401" s="98">
        <v>102800</v>
      </c>
      <c r="QG401" s="91">
        <f t="shared" si="2150"/>
        <v>2570</v>
      </c>
      <c r="QH401" s="91">
        <f t="shared" si="2151"/>
        <v>102800</v>
      </c>
      <c r="QW401" s="91">
        <f t="shared" si="2152"/>
        <v>0</v>
      </c>
      <c r="QX401" s="91">
        <f t="shared" si="2153"/>
        <v>0</v>
      </c>
      <c r="RM401" s="91">
        <f t="shared" si="2154"/>
        <v>0</v>
      </c>
      <c r="RN401" s="91">
        <f t="shared" si="2155"/>
        <v>0</v>
      </c>
      <c r="SC401" s="91">
        <f t="shared" si="2156"/>
        <v>0</v>
      </c>
      <c r="SD401" s="91">
        <f t="shared" si="2157"/>
        <v>0</v>
      </c>
      <c r="SS401" s="91">
        <f t="shared" si="2158"/>
        <v>0</v>
      </c>
      <c r="ST401" s="91">
        <f t="shared" si="2159"/>
        <v>0</v>
      </c>
      <c r="TI401" s="91">
        <f t="shared" si="2160"/>
        <v>0</v>
      </c>
      <c r="TJ401" s="91">
        <f t="shared" si="2161"/>
        <v>0</v>
      </c>
      <c r="TY401" s="91">
        <f t="shared" si="2162"/>
        <v>0</v>
      </c>
      <c r="TZ401" s="91">
        <f t="shared" si="2163"/>
        <v>0</v>
      </c>
      <c r="UO401" s="91">
        <f t="shared" si="2164"/>
        <v>0</v>
      </c>
      <c r="UP401" s="91">
        <f t="shared" si="2165"/>
        <v>0</v>
      </c>
      <c r="VE401" s="91">
        <f t="shared" si="2166"/>
        <v>0</v>
      </c>
      <c r="VF401" s="91">
        <f t="shared" si="2167"/>
        <v>0</v>
      </c>
      <c r="VI401" s="98">
        <v>17</v>
      </c>
      <c r="VJ401" s="98">
        <v>680</v>
      </c>
      <c r="VU401" s="91">
        <f t="shared" si="2168"/>
        <v>17</v>
      </c>
      <c r="VV401" s="91">
        <f t="shared" si="2169"/>
        <v>680</v>
      </c>
      <c r="WK401" s="91">
        <f t="shared" si="2170"/>
        <v>0</v>
      </c>
      <c r="WL401" s="91">
        <f t="shared" si="2171"/>
        <v>0</v>
      </c>
      <c r="WM401" s="89"/>
      <c r="WN401" s="87">
        <f t="shared" si="2172"/>
        <v>350</v>
      </c>
      <c r="WO401" s="87">
        <f t="shared" si="2173"/>
        <v>25750</v>
      </c>
      <c r="WP401" s="87">
        <f t="shared" si="2174"/>
        <v>162784.24876856065</v>
      </c>
      <c r="WQ401" s="87">
        <f t="shared" si="2175"/>
        <v>9499183.7068996225</v>
      </c>
      <c r="WR401" s="87">
        <f t="shared" si="2176"/>
        <v>0</v>
      </c>
      <c r="WS401" s="87">
        <f t="shared" si="2177"/>
        <v>0</v>
      </c>
      <c r="WT401" s="87">
        <f t="shared" si="2178"/>
        <v>0</v>
      </c>
      <c r="WU401" s="87">
        <f t="shared" si="2179"/>
        <v>0</v>
      </c>
      <c r="WV401" s="87">
        <f t="shared" si="2180"/>
        <v>0</v>
      </c>
      <c r="WW401" s="87">
        <f t="shared" si="2181"/>
        <v>0</v>
      </c>
      <c r="WX401" s="87">
        <f t="shared" si="2182"/>
        <v>0</v>
      </c>
      <c r="WY401" s="87">
        <f t="shared" si="2183"/>
        <v>0</v>
      </c>
      <c r="WZ401" s="87">
        <f t="shared" si="2184"/>
        <v>0</v>
      </c>
      <c r="XA401" s="87">
        <f t="shared" si="2185"/>
        <v>0</v>
      </c>
      <c r="XB401" s="92">
        <f t="shared" si="2186"/>
        <v>163134.24876856065</v>
      </c>
      <c r="XC401" s="92">
        <f t="shared" si="2187"/>
        <v>9524933.7068996225</v>
      </c>
      <c r="XD401" s="89"/>
      <c r="XE401" s="92"/>
      <c r="XF401" s="92"/>
      <c r="XG401" s="89"/>
      <c r="XH401" s="92"/>
      <c r="XI401" s="92"/>
      <c r="XJ401" s="89"/>
      <c r="XK401" s="87"/>
      <c r="XL401" s="87"/>
      <c r="XM401" s="87"/>
      <c r="XN401" s="87"/>
      <c r="XO401" s="87"/>
      <c r="XP401" s="87"/>
      <c r="XQ401" s="87"/>
      <c r="XR401" s="92">
        <f t="shared" ca="1" si="2188"/>
        <v>0</v>
      </c>
      <c r="XS401" s="89"/>
      <c r="XT401" s="87"/>
      <c r="XU401" s="87"/>
      <c r="XV401" s="87"/>
      <c r="XW401" s="87"/>
      <c r="XX401" s="87"/>
      <c r="XY401" s="87"/>
      <c r="XZ401" s="87"/>
      <c r="YA401" s="92">
        <f t="shared" ca="1" si="2189"/>
        <v>0</v>
      </c>
      <c r="YB401" s="90"/>
      <c r="YC401" s="90"/>
      <c r="YD401" s="90"/>
      <c r="YE401" s="90"/>
      <c r="YF401" s="90"/>
      <c r="YG401" s="90"/>
      <c r="YH401" s="90"/>
      <c r="YI401" s="90"/>
      <c r="YJ401" s="90"/>
      <c r="YK401" s="90"/>
      <c r="YL401" s="90"/>
      <c r="YM401" s="90"/>
      <c r="YN401" s="90"/>
      <c r="YO401" s="90"/>
      <c r="YP401" s="90"/>
      <c r="YQ401" s="90"/>
      <c r="YR401" s="90"/>
      <c r="YS401" s="90"/>
      <c r="YT401" s="90"/>
      <c r="YU401" s="90"/>
      <c r="YV401" s="90"/>
      <c r="YW401" s="90"/>
      <c r="YX401" s="90"/>
      <c r="YY401" s="90"/>
      <c r="YZ401" s="90"/>
      <c r="ZA401" s="90"/>
      <c r="ZB401" s="90"/>
      <c r="ZC401" s="90"/>
      <c r="ZD401" s="90"/>
      <c r="ZE401" s="90"/>
      <c r="ZF401" s="90"/>
      <c r="ZG401" s="90"/>
      <c r="ZH401" s="90"/>
      <c r="ZI401" s="90"/>
      <c r="ZJ401" s="90"/>
      <c r="ZK401" s="90"/>
      <c r="ZL401" s="90"/>
      <c r="ZM401" s="90"/>
      <c r="ZN401" s="90"/>
      <c r="ZO401" s="90"/>
      <c r="ZP401" s="90"/>
      <c r="ZQ401" s="90"/>
      <c r="ZR401" s="90"/>
      <c r="ZS401" s="90"/>
      <c r="ZT401" s="90"/>
      <c r="ZU401" s="90"/>
      <c r="ZV401" s="90"/>
      <c r="ZW401" s="90"/>
      <c r="ZX401" s="90"/>
      <c r="ZY401" s="90"/>
      <c r="ZZ401" s="90"/>
      <c r="AAA401" s="90"/>
      <c r="AAB401" s="90"/>
      <c r="AAC401" s="90"/>
      <c r="AAD401" s="90"/>
      <c r="AAE401" s="90"/>
      <c r="AAF401" s="90"/>
      <c r="AAG401" s="90"/>
      <c r="AAH401" s="90"/>
      <c r="AAI401" s="90"/>
      <c r="AAJ401" s="90"/>
      <c r="AAK401" s="90"/>
      <c r="AAL401" s="90"/>
      <c r="AAM401" s="90"/>
      <c r="AAN401" s="90"/>
      <c r="AAO401" s="90"/>
      <c r="AAP401" s="90"/>
      <c r="AAQ401" s="90"/>
      <c r="AAR401" s="90"/>
      <c r="AAS401" s="90"/>
      <c r="AAT401" s="90"/>
      <c r="AAU401" s="90"/>
      <c r="AAV401" s="90"/>
      <c r="AAW401" s="90"/>
      <c r="AAX401" s="90"/>
      <c r="AAY401" s="90"/>
      <c r="AAZ401" s="90"/>
      <c r="ABA401" s="90"/>
      <c r="ABB401" s="90"/>
      <c r="ABC401" s="90"/>
      <c r="ABD401" s="90"/>
      <c r="ABE401" s="90"/>
      <c r="ABF401" s="90"/>
      <c r="ABG401" s="90"/>
      <c r="ABH401" s="90"/>
      <c r="ABI401" s="90"/>
      <c r="ABJ401" s="90"/>
      <c r="ABK401" s="90"/>
      <c r="ABL401" s="90"/>
      <c r="ABM401" s="90"/>
      <c r="ABN401" s="90"/>
      <c r="ABO401" s="90"/>
      <c r="ABP401" s="90"/>
      <c r="ABQ401" s="90"/>
      <c r="ABR401" s="90"/>
      <c r="ABS401" s="90"/>
      <c r="ABT401" s="90"/>
      <c r="ABU401" s="90"/>
      <c r="ABV401" s="90"/>
      <c r="ABW401" s="90"/>
      <c r="ABX401" s="90"/>
      <c r="ABY401" s="90"/>
      <c r="ABZ401" s="90"/>
      <c r="ACA401" s="90"/>
      <c r="ACB401" s="90"/>
      <c r="ACC401" s="90"/>
      <c r="ACD401" s="90"/>
      <c r="ACE401" s="90"/>
      <c r="ACF401" s="90"/>
      <c r="ACG401" s="90"/>
      <c r="ACH401" s="90"/>
      <c r="ACI401" s="90"/>
      <c r="ACJ401" s="90"/>
      <c r="ACK401" s="90"/>
      <c r="ACL401" s="90"/>
      <c r="ACM401" s="90"/>
      <c r="ACN401" s="90"/>
      <c r="ACO401" s="90"/>
      <c r="ACP401" s="90"/>
      <c r="ACQ401" s="90"/>
      <c r="ACR401" s="90"/>
      <c r="ACS401" s="90"/>
      <c r="ACT401" s="90"/>
      <c r="ACU401" s="90"/>
      <c r="ACV401" s="90"/>
      <c r="ACW401" s="90"/>
      <c r="ACX401" s="90"/>
      <c r="ACY401" s="90"/>
      <c r="ACZ401" s="90"/>
      <c r="ADA401" s="90"/>
      <c r="ADB401" s="90"/>
      <c r="ADC401" s="90"/>
      <c r="ADD401" s="90"/>
      <c r="ADE401" s="90"/>
      <c r="ADF401" s="90"/>
      <c r="ADG401" s="90"/>
      <c r="ADH401" s="90"/>
      <c r="ADI401" s="90"/>
      <c r="ADJ401" s="90"/>
      <c r="ADK401" s="90"/>
      <c r="ADL401" s="90"/>
      <c r="ADM401" s="90"/>
      <c r="ADN401" s="90"/>
      <c r="ADO401" s="90"/>
      <c r="ADP401" s="90"/>
      <c r="ADQ401" s="90"/>
      <c r="ADR401" s="90"/>
      <c r="ADS401" s="90"/>
      <c r="ADT401" s="90"/>
      <c r="ADU401" s="90"/>
      <c r="ADV401" s="90"/>
      <c r="ADW401" s="90"/>
      <c r="ADX401" s="90"/>
      <c r="ADY401" s="90"/>
      <c r="ADZ401" s="90"/>
      <c r="AEA401" s="90"/>
      <c r="AEB401" s="90"/>
      <c r="AEC401" s="90"/>
      <c r="AED401" s="90"/>
      <c r="AEE401" s="90"/>
      <c r="AEF401" s="90"/>
      <c r="AEG401" s="90"/>
      <c r="AEH401" s="90"/>
      <c r="AEI401" s="90"/>
      <c r="AEJ401" s="90"/>
      <c r="AEK401" s="90"/>
      <c r="AEL401" s="90"/>
      <c r="AEM401" s="90"/>
      <c r="AEN401" s="90"/>
      <c r="AEO401" s="90"/>
      <c r="AEP401" s="90"/>
      <c r="AEQ401" s="90"/>
      <c r="AER401" s="90"/>
      <c r="AES401" s="90"/>
      <c r="AET401" s="90"/>
      <c r="AEU401" s="90"/>
      <c r="AEV401" s="90"/>
      <c r="AEW401" s="90"/>
      <c r="AEX401" s="90"/>
      <c r="AEY401" s="90"/>
      <c r="AEZ401" s="90"/>
      <c r="AFA401" s="90"/>
      <c r="AFB401" s="90"/>
      <c r="AFC401" s="90"/>
      <c r="AFD401" s="90"/>
      <c r="AFE401" s="90"/>
      <c r="AFF401" s="90"/>
      <c r="AFG401" s="90"/>
      <c r="AFH401" s="90"/>
      <c r="AFI401" s="90"/>
      <c r="AFJ401" s="90"/>
      <c r="AFK401" s="90"/>
      <c r="AFL401" s="90"/>
      <c r="AFM401" s="90"/>
      <c r="AFN401" s="90"/>
      <c r="AFO401" s="90"/>
      <c r="AFP401" s="90"/>
      <c r="AFQ401" s="90"/>
      <c r="AFR401" s="90"/>
      <c r="AFS401" s="90"/>
      <c r="AFT401" s="90"/>
      <c r="AFU401" s="90"/>
      <c r="AFV401" s="90"/>
      <c r="AFW401" s="90"/>
      <c r="AFX401" s="90"/>
      <c r="AFY401" s="90"/>
      <c r="AFZ401" s="90"/>
      <c r="AGA401" s="90"/>
      <c r="AGB401" s="90"/>
      <c r="AGC401" s="90"/>
      <c r="AGD401" s="90"/>
      <c r="AGE401" s="90"/>
      <c r="AGF401" s="90"/>
      <c r="AGG401" s="90"/>
      <c r="AGH401" s="90"/>
      <c r="AGI401" s="90"/>
      <c r="AGJ401" s="90"/>
      <c r="AGK401" s="90"/>
      <c r="AGL401" s="90"/>
      <c r="AGM401" s="90"/>
      <c r="AGN401" s="90"/>
      <c r="AGO401" s="90"/>
      <c r="AGP401" s="90"/>
      <c r="AGQ401" s="90"/>
      <c r="AGR401" s="90"/>
      <c r="AGS401" s="90"/>
      <c r="AGT401" s="90"/>
      <c r="AGU401" s="90"/>
      <c r="AGV401" s="90"/>
      <c r="AGW401" s="90"/>
      <c r="AGX401" s="90"/>
      <c r="AGY401" s="90"/>
      <c r="AGZ401" s="90"/>
      <c r="AHA401" s="90"/>
      <c r="AHB401" s="90"/>
      <c r="AHC401" s="90"/>
      <c r="AHD401" s="90"/>
      <c r="AHE401" s="90"/>
      <c r="AHF401" s="90"/>
      <c r="AHG401" s="90"/>
      <c r="AHH401" s="90"/>
      <c r="AHI401" s="90"/>
      <c r="AHJ401" s="90"/>
      <c r="AHK401" s="90"/>
      <c r="AHL401" s="90"/>
      <c r="AHM401" s="90"/>
      <c r="AHN401" s="90"/>
      <c r="AHO401" s="90"/>
      <c r="AHP401" s="90"/>
      <c r="AHQ401" s="90"/>
      <c r="AHR401" s="90"/>
      <c r="AHS401" s="90"/>
      <c r="AHT401" s="90"/>
      <c r="AHU401" s="90"/>
      <c r="AHV401" s="90"/>
      <c r="AHW401" s="90"/>
      <c r="AHX401" s="90"/>
      <c r="AHY401" s="90"/>
      <c r="AHZ401" s="90"/>
      <c r="AIA401" s="90"/>
      <c r="AIB401" s="90"/>
      <c r="AIC401" s="90"/>
      <c r="AID401" s="90"/>
      <c r="AIE401" s="90"/>
      <c r="AIF401" s="90"/>
      <c r="AIG401" s="90"/>
      <c r="AIH401" s="90"/>
      <c r="AII401" s="90"/>
      <c r="AIJ401" s="90"/>
      <c r="AIK401" s="90"/>
      <c r="AIL401" s="90"/>
      <c r="AIM401" s="90"/>
      <c r="AIN401" s="90"/>
      <c r="AIO401" s="90"/>
      <c r="AIP401" s="90"/>
      <c r="AIQ401" s="90"/>
      <c r="AIR401" s="90"/>
      <c r="AIS401" s="90"/>
      <c r="AIT401" s="90"/>
      <c r="AIU401" s="90"/>
      <c r="AIV401" s="90"/>
      <c r="AIW401" s="90"/>
      <c r="AIX401" s="90"/>
      <c r="AIY401" s="90"/>
      <c r="AIZ401" s="90"/>
      <c r="AJA401" s="90"/>
      <c r="AJB401" s="90"/>
      <c r="AJC401" s="90"/>
      <c r="AJD401" s="90"/>
      <c r="AJE401" s="90"/>
      <c r="AJF401" s="90"/>
      <c r="AJG401" s="90"/>
      <c r="AJH401" s="90"/>
      <c r="AJI401" s="90"/>
      <c r="AJJ401" s="90"/>
      <c r="AJK401" s="90"/>
      <c r="AJL401" s="90"/>
      <c r="AJM401" s="90"/>
      <c r="AJN401" s="90"/>
      <c r="AJO401" s="90"/>
      <c r="AJP401" s="90"/>
      <c r="AJQ401" s="90"/>
      <c r="AJR401" s="90"/>
      <c r="AJS401" s="90"/>
      <c r="AJT401" s="90"/>
      <c r="AJU401" s="90"/>
      <c r="AJV401" s="90"/>
      <c r="AJW401" s="90"/>
      <c r="AJX401" s="90"/>
      <c r="AJY401" s="90"/>
      <c r="AJZ401" s="90"/>
      <c r="AKA401" s="90"/>
      <c r="AKB401" s="90"/>
      <c r="AKC401" s="90"/>
      <c r="AKD401" s="90"/>
      <c r="AKE401" s="90"/>
      <c r="AKF401" s="90"/>
      <c r="AKG401" s="90"/>
      <c r="AKH401" s="90"/>
      <c r="AKI401" s="90"/>
      <c r="AKJ401" s="90"/>
      <c r="AKK401" s="90"/>
      <c r="AKL401" s="90"/>
      <c r="AKM401" s="90"/>
      <c r="AKN401" s="90"/>
      <c r="AKO401" s="90"/>
      <c r="AKP401" s="90"/>
      <c r="AKQ401" s="90"/>
      <c r="AKR401" s="90"/>
      <c r="AKS401" s="90"/>
      <c r="AKT401" s="90"/>
      <c r="AKU401" s="90"/>
      <c r="AKV401" s="90"/>
      <c r="AKW401" s="90"/>
      <c r="AKX401" s="90"/>
      <c r="AKY401" s="90"/>
      <c r="AKZ401" s="90"/>
      <c r="ALA401" s="90"/>
      <c r="ALB401" s="90"/>
      <c r="ALC401" s="90"/>
      <c r="ALD401" s="90"/>
      <c r="ALE401" s="90"/>
      <c r="ALF401" s="90"/>
      <c r="ALG401" s="90"/>
      <c r="ALH401" s="90"/>
      <c r="ALI401" s="90"/>
      <c r="ALJ401" s="90"/>
      <c r="ALK401" s="90"/>
      <c r="ALL401" s="90"/>
      <c r="ALM401" s="90"/>
      <c r="ALN401" s="90"/>
      <c r="ALO401" s="90"/>
      <c r="ALP401" s="90"/>
      <c r="ALQ401" s="90"/>
      <c r="ALR401" s="90"/>
      <c r="ALS401" s="90"/>
      <c r="ALT401" s="90"/>
      <c r="ALU401" s="90"/>
      <c r="ALV401" s="90"/>
      <c r="ALW401" s="90"/>
      <c r="ALX401" s="90"/>
      <c r="ALY401" s="90"/>
      <c r="ALZ401" s="90"/>
      <c r="AMA401" s="90"/>
      <c r="AMB401" s="90"/>
      <c r="AMC401" s="90"/>
    </row>
    <row r="402" spans="1:1017">
      <c r="A402" s="98" t="s">
        <v>55</v>
      </c>
      <c r="B402" s="90" t="str">
        <f t="shared" si="2095"/>
        <v>Kepiting  Bakau</v>
      </c>
      <c r="E402" s="98">
        <v>600</v>
      </c>
      <c r="F402" s="98">
        <v>60000</v>
      </c>
      <c r="Q402" s="91">
        <f t="shared" si="2096"/>
        <v>600</v>
      </c>
      <c r="R402" s="91">
        <f t="shared" si="2097"/>
        <v>60000</v>
      </c>
      <c r="U402" s="98">
        <v>3805</v>
      </c>
      <c r="V402" s="98">
        <v>247325</v>
      </c>
      <c r="AG402" s="91">
        <f t="shared" si="2098"/>
        <v>3805</v>
      </c>
      <c r="AH402" s="91">
        <f t="shared" si="2099"/>
        <v>247325</v>
      </c>
      <c r="AW402" s="91">
        <f t="shared" si="2100"/>
        <v>0</v>
      </c>
      <c r="AX402" s="91">
        <f t="shared" si="2101"/>
        <v>0</v>
      </c>
      <c r="BM402" s="91">
        <f t="shared" si="2102"/>
        <v>0</v>
      </c>
      <c r="BN402" s="91">
        <f t="shared" si="2103"/>
        <v>0</v>
      </c>
      <c r="CC402" s="91">
        <f t="shared" si="2104"/>
        <v>0</v>
      </c>
      <c r="CD402" s="91">
        <f t="shared" si="2105"/>
        <v>0</v>
      </c>
      <c r="CG402" s="98">
        <v>21309.917906168892</v>
      </c>
      <c r="CH402" s="98">
        <v>1278595.0743701335</v>
      </c>
      <c r="CS402" s="91">
        <f t="shared" si="2106"/>
        <v>21309.917906168892</v>
      </c>
      <c r="CT402" s="91">
        <f t="shared" si="2107"/>
        <v>1278595.0743701335</v>
      </c>
      <c r="DI402" s="91">
        <f t="shared" si="2108"/>
        <v>0</v>
      </c>
      <c r="DJ402" s="91">
        <f t="shared" si="2109"/>
        <v>0</v>
      </c>
      <c r="DY402" s="91">
        <f t="shared" si="2110"/>
        <v>0</v>
      </c>
      <c r="DZ402" s="91">
        <f t="shared" si="2111"/>
        <v>0</v>
      </c>
      <c r="EO402" s="91">
        <f t="shared" si="2112"/>
        <v>0</v>
      </c>
      <c r="EP402" s="91">
        <f t="shared" si="2113"/>
        <v>0</v>
      </c>
      <c r="FE402" s="91">
        <f t="shared" si="2114"/>
        <v>0</v>
      </c>
      <c r="FF402" s="91">
        <f t="shared" si="2115"/>
        <v>0</v>
      </c>
      <c r="FU402" s="91">
        <f t="shared" si="2116"/>
        <v>0</v>
      </c>
      <c r="FV402" s="91">
        <f t="shared" si="2117"/>
        <v>0</v>
      </c>
      <c r="GK402" s="91">
        <f t="shared" si="2118"/>
        <v>0</v>
      </c>
      <c r="GL402" s="91">
        <f t="shared" si="2119"/>
        <v>0</v>
      </c>
      <c r="HA402" s="91">
        <f t="shared" si="2120"/>
        <v>0</v>
      </c>
      <c r="HB402" s="91">
        <f t="shared" si="2121"/>
        <v>0</v>
      </c>
      <c r="HQ402" s="91">
        <f t="shared" si="2122"/>
        <v>0</v>
      </c>
      <c r="HR402" s="91">
        <f t="shared" si="2123"/>
        <v>0</v>
      </c>
      <c r="IG402" s="91">
        <f t="shared" si="2124"/>
        <v>0</v>
      </c>
      <c r="IH402" s="91">
        <f t="shared" si="2125"/>
        <v>0</v>
      </c>
      <c r="IW402" s="91">
        <f t="shared" si="2126"/>
        <v>0</v>
      </c>
      <c r="IX402" s="91">
        <f t="shared" si="2127"/>
        <v>0</v>
      </c>
      <c r="JM402" s="91">
        <f t="shared" si="2128"/>
        <v>0</v>
      </c>
      <c r="JN402" s="91">
        <f t="shared" si="2129"/>
        <v>0</v>
      </c>
      <c r="JQ402" s="98">
        <v>64</v>
      </c>
      <c r="JR402" s="98">
        <v>11520</v>
      </c>
      <c r="KC402" s="91">
        <f t="shared" si="2130"/>
        <v>64</v>
      </c>
      <c r="KD402" s="91">
        <f t="shared" si="2131"/>
        <v>11520</v>
      </c>
      <c r="KS402" s="91">
        <f t="shared" si="2132"/>
        <v>0</v>
      </c>
      <c r="KT402" s="91">
        <f t="shared" si="2133"/>
        <v>0</v>
      </c>
      <c r="LI402" s="91">
        <f t="shared" si="2134"/>
        <v>0</v>
      </c>
      <c r="LJ402" s="91">
        <f t="shared" si="2135"/>
        <v>0</v>
      </c>
      <c r="LY402" s="91">
        <f t="shared" si="2136"/>
        <v>0</v>
      </c>
      <c r="LZ402" s="91">
        <f t="shared" si="2137"/>
        <v>0</v>
      </c>
      <c r="MC402" s="98">
        <v>2830</v>
      </c>
      <c r="MD402" s="98">
        <v>283000</v>
      </c>
      <c r="MO402" s="91">
        <f t="shared" si="2138"/>
        <v>2830</v>
      </c>
      <c r="MP402" s="91">
        <f t="shared" si="2139"/>
        <v>283000</v>
      </c>
      <c r="MS402" s="98">
        <v>50</v>
      </c>
      <c r="MT402" s="98">
        <v>5000</v>
      </c>
      <c r="NE402" s="91">
        <f t="shared" si="2140"/>
        <v>50</v>
      </c>
      <c r="NF402" s="91">
        <f t="shared" si="2141"/>
        <v>5000</v>
      </c>
      <c r="NI402" s="98">
        <v>24100</v>
      </c>
      <c r="NJ402" s="98">
        <v>964000</v>
      </c>
      <c r="NU402" s="91">
        <f t="shared" si="2142"/>
        <v>24100</v>
      </c>
      <c r="NV402" s="91">
        <f t="shared" si="2143"/>
        <v>964000</v>
      </c>
      <c r="OK402" s="91">
        <f t="shared" si="2144"/>
        <v>0</v>
      </c>
      <c r="OL402" s="91">
        <f t="shared" si="2145"/>
        <v>0</v>
      </c>
      <c r="PA402" s="91">
        <f t="shared" si="2146"/>
        <v>0</v>
      </c>
      <c r="PB402" s="91">
        <f t="shared" si="2147"/>
        <v>0</v>
      </c>
      <c r="PQ402" s="91">
        <f t="shared" si="2148"/>
        <v>0</v>
      </c>
      <c r="PR402" s="91">
        <f t="shared" si="2149"/>
        <v>0</v>
      </c>
      <c r="QG402" s="91">
        <f t="shared" si="2150"/>
        <v>0</v>
      </c>
      <c r="QH402" s="91">
        <f t="shared" si="2151"/>
        <v>0</v>
      </c>
      <c r="QW402" s="91">
        <f t="shared" si="2152"/>
        <v>0</v>
      </c>
      <c r="QX402" s="91">
        <f t="shared" si="2153"/>
        <v>0</v>
      </c>
      <c r="RM402" s="91">
        <f t="shared" si="2154"/>
        <v>0</v>
      </c>
      <c r="RN402" s="91">
        <f t="shared" si="2155"/>
        <v>0</v>
      </c>
      <c r="SC402" s="91">
        <f t="shared" si="2156"/>
        <v>0</v>
      </c>
      <c r="SD402" s="91">
        <f t="shared" si="2157"/>
        <v>0</v>
      </c>
      <c r="SS402" s="91">
        <f t="shared" si="2158"/>
        <v>0</v>
      </c>
      <c r="ST402" s="91">
        <f t="shared" si="2159"/>
        <v>0</v>
      </c>
      <c r="TI402" s="91">
        <f t="shared" si="2160"/>
        <v>0</v>
      </c>
      <c r="TJ402" s="91">
        <f t="shared" si="2161"/>
        <v>0</v>
      </c>
      <c r="TY402" s="91">
        <f t="shared" si="2162"/>
        <v>0</v>
      </c>
      <c r="TZ402" s="91">
        <f t="shared" si="2163"/>
        <v>0</v>
      </c>
      <c r="UO402" s="91">
        <f t="shared" si="2164"/>
        <v>0</v>
      </c>
      <c r="UP402" s="91">
        <f t="shared" si="2165"/>
        <v>0</v>
      </c>
      <c r="VE402" s="91">
        <f t="shared" si="2166"/>
        <v>0</v>
      </c>
      <c r="VF402" s="91">
        <f t="shared" si="2167"/>
        <v>0</v>
      </c>
      <c r="VI402" s="98">
        <v>103</v>
      </c>
      <c r="VJ402" s="98">
        <v>6180</v>
      </c>
      <c r="VU402" s="91">
        <f t="shared" si="2168"/>
        <v>103</v>
      </c>
      <c r="VV402" s="91">
        <f t="shared" si="2169"/>
        <v>6180</v>
      </c>
      <c r="WK402" s="91">
        <f t="shared" si="2170"/>
        <v>0</v>
      </c>
      <c r="WL402" s="91">
        <f t="shared" si="2171"/>
        <v>0</v>
      </c>
      <c r="WM402" s="89"/>
      <c r="WN402" s="87">
        <f t="shared" si="2172"/>
        <v>0</v>
      </c>
      <c r="WO402" s="87">
        <f t="shared" si="2173"/>
        <v>0</v>
      </c>
      <c r="WP402" s="87">
        <f t="shared" si="2174"/>
        <v>52861.917906168892</v>
      </c>
      <c r="WQ402" s="87">
        <f t="shared" si="2175"/>
        <v>2855620.0743701337</v>
      </c>
      <c r="WR402" s="87">
        <f t="shared" si="2176"/>
        <v>0</v>
      </c>
      <c r="WS402" s="87">
        <f t="shared" si="2177"/>
        <v>0</v>
      </c>
      <c r="WT402" s="87">
        <f t="shared" si="2178"/>
        <v>0</v>
      </c>
      <c r="WU402" s="87">
        <f t="shared" si="2179"/>
        <v>0</v>
      </c>
      <c r="WV402" s="87">
        <f t="shared" si="2180"/>
        <v>0</v>
      </c>
      <c r="WW402" s="87">
        <f t="shared" si="2181"/>
        <v>0</v>
      </c>
      <c r="WX402" s="87">
        <f t="shared" si="2182"/>
        <v>0</v>
      </c>
      <c r="WY402" s="87">
        <f t="shared" si="2183"/>
        <v>0</v>
      </c>
      <c r="WZ402" s="87">
        <f t="shared" si="2184"/>
        <v>0</v>
      </c>
      <c r="XA402" s="87">
        <f t="shared" si="2185"/>
        <v>0</v>
      </c>
      <c r="XB402" s="92">
        <f t="shared" si="2186"/>
        <v>52861.917906168892</v>
      </c>
      <c r="XC402" s="92">
        <f t="shared" si="2187"/>
        <v>2855620.0743701337</v>
      </c>
      <c r="XD402" s="89"/>
      <c r="XE402" s="92"/>
      <c r="XF402" s="92"/>
      <c r="XG402" s="89"/>
      <c r="XH402" s="92"/>
      <c r="XI402" s="92"/>
      <c r="XJ402" s="89"/>
      <c r="XK402" s="87"/>
      <c r="XL402" s="87"/>
      <c r="XM402" s="87"/>
      <c r="XN402" s="87"/>
      <c r="XO402" s="87"/>
      <c r="XP402" s="87"/>
      <c r="XQ402" s="87"/>
      <c r="XR402" s="92">
        <f t="shared" ca="1" si="2188"/>
        <v>0</v>
      </c>
      <c r="XS402" s="89"/>
      <c r="XT402" s="87"/>
      <c r="XU402" s="87"/>
      <c r="XV402" s="87"/>
      <c r="XW402" s="87"/>
      <c r="XX402" s="87"/>
      <c r="XY402" s="87"/>
      <c r="XZ402" s="87"/>
      <c r="YA402" s="92">
        <f t="shared" ca="1" si="2189"/>
        <v>0</v>
      </c>
      <c r="YB402" s="90"/>
      <c r="YC402" s="90"/>
      <c r="YD402" s="90"/>
      <c r="YE402" s="90"/>
      <c r="YF402" s="90"/>
      <c r="YG402" s="90"/>
      <c r="YH402" s="90"/>
      <c r="YI402" s="90"/>
      <c r="YJ402" s="90"/>
      <c r="YK402" s="90"/>
      <c r="YL402" s="90"/>
      <c r="YM402" s="90"/>
      <c r="YN402" s="90"/>
      <c r="YO402" s="90"/>
      <c r="YP402" s="90"/>
      <c r="YQ402" s="90"/>
      <c r="YR402" s="90"/>
      <c r="YS402" s="90"/>
      <c r="YT402" s="90"/>
      <c r="YU402" s="90"/>
      <c r="YV402" s="90"/>
      <c r="YW402" s="90"/>
      <c r="YX402" s="90"/>
      <c r="YY402" s="90"/>
      <c r="YZ402" s="90"/>
      <c r="ZA402" s="90"/>
      <c r="ZB402" s="90"/>
      <c r="ZC402" s="90"/>
      <c r="ZD402" s="90"/>
      <c r="ZE402" s="90"/>
      <c r="ZF402" s="90"/>
      <c r="ZG402" s="90"/>
      <c r="ZH402" s="90"/>
      <c r="ZI402" s="90"/>
      <c r="ZJ402" s="90"/>
      <c r="ZK402" s="90"/>
      <c r="ZL402" s="90"/>
      <c r="ZM402" s="90"/>
      <c r="ZN402" s="90"/>
      <c r="ZO402" s="90"/>
      <c r="ZP402" s="90"/>
      <c r="ZQ402" s="90"/>
      <c r="ZR402" s="90"/>
      <c r="ZS402" s="90"/>
      <c r="ZT402" s="90"/>
      <c r="ZU402" s="90"/>
      <c r="ZV402" s="90"/>
      <c r="ZW402" s="90"/>
      <c r="ZX402" s="90"/>
      <c r="ZY402" s="90"/>
      <c r="ZZ402" s="90"/>
      <c r="AAA402" s="90"/>
      <c r="AAB402" s="90"/>
      <c r="AAC402" s="90"/>
      <c r="AAD402" s="90"/>
      <c r="AAE402" s="90"/>
      <c r="AAF402" s="90"/>
      <c r="AAG402" s="90"/>
      <c r="AAH402" s="90"/>
      <c r="AAI402" s="90"/>
      <c r="AAJ402" s="90"/>
      <c r="AAK402" s="90"/>
      <c r="AAL402" s="90"/>
      <c r="AAM402" s="90"/>
      <c r="AAN402" s="90"/>
      <c r="AAO402" s="90"/>
      <c r="AAP402" s="90"/>
      <c r="AAQ402" s="90"/>
      <c r="AAR402" s="90"/>
      <c r="AAS402" s="90"/>
      <c r="AAT402" s="90"/>
      <c r="AAU402" s="90"/>
      <c r="AAV402" s="90"/>
      <c r="AAW402" s="90"/>
      <c r="AAX402" s="90"/>
      <c r="AAY402" s="90"/>
      <c r="AAZ402" s="90"/>
      <c r="ABA402" s="90"/>
      <c r="ABB402" s="90"/>
      <c r="ABC402" s="90"/>
      <c r="ABD402" s="90"/>
      <c r="ABE402" s="90"/>
      <c r="ABF402" s="90"/>
      <c r="ABG402" s="90"/>
      <c r="ABH402" s="90"/>
      <c r="ABI402" s="90"/>
      <c r="ABJ402" s="90"/>
      <c r="ABK402" s="90"/>
      <c r="ABL402" s="90"/>
      <c r="ABM402" s="90"/>
      <c r="ABN402" s="90"/>
      <c r="ABO402" s="90"/>
      <c r="ABP402" s="90"/>
      <c r="ABQ402" s="90"/>
      <c r="ABR402" s="90"/>
      <c r="ABS402" s="90"/>
      <c r="ABT402" s="90"/>
      <c r="ABU402" s="90"/>
      <c r="ABV402" s="90"/>
      <c r="ABW402" s="90"/>
      <c r="ABX402" s="90"/>
      <c r="ABY402" s="90"/>
      <c r="ABZ402" s="90"/>
      <c r="ACA402" s="90"/>
      <c r="ACB402" s="90"/>
      <c r="ACC402" s="90"/>
      <c r="ACD402" s="90"/>
      <c r="ACE402" s="90"/>
      <c r="ACF402" s="90"/>
      <c r="ACG402" s="90"/>
      <c r="ACH402" s="90"/>
      <c r="ACI402" s="90"/>
      <c r="ACJ402" s="90"/>
      <c r="ACK402" s="90"/>
      <c r="ACL402" s="90"/>
      <c r="ACM402" s="90"/>
      <c r="ACN402" s="90"/>
      <c r="ACO402" s="90"/>
      <c r="ACP402" s="90"/>
      <c r="ACQ402" s="90"/>
      <c r="ACR402" s="90"/>
      <c r="ACS402" s="90"/>
      <c r="ACT402" s="90"/>
      <c r="ACU402" s="90"/>
      <c r="ACV402" s="90"/>
      <c r="ACW402" s="90"/>
      <c r="ACX402" s="90"/>
      <c r="ACY402" s="90"/>
      <c r="ACZ402" s="90"/>
      <c r="ADA402" s="90"/>
      <c r="ADB402" s="90"/>
      <c r="ADC402" s="90"/>
      <c r="ADD402" s="90"/>
      <c r="ADE402" s="90"/>
      <c r="ADF402" s="90"/>
      <c r="ADG402" s="90"/>
      <c r="ADH402" s="90"/>
      <c r="ADI402" s="90"/>
      <c r="ADJ402" s="90"/>
      <c r="ADK402" s="90"/>
      <c r="ADL402" s="90"/>
      <c r="ADM402" s="90"/>
      <c r="ADN402" s="90"/>
      <c r="ADO402" s="90"/>
      <c r="ADP402" s="90"/>
      <c r="ADQ402" s="90"/>
      <c r="ADR402" s="90"/>
      <c r="ADS402" s="90"/>
      <c r="ADT402" s="90"/>
      <c r="ADU402" s="90"/>
      <c r="ADV402" s="90"/>
      <c r="ADW402" s="90"/>
      <c r="ADX402" s="90"/>
      <c r="ADY402" s="90"/>
      <c r="ADZ402" s="90"/>
      <c r="AEA402" s="90"/>
      <c r="AEB402" s="90"/>
      <c r="AEC402" s="90"/>
      <c r="AED402" s="90"/>
      <c r="AEE402" s="90"/>
      <c r="AEF402" s="90"/>
      <c r="AEG402" s="90"/>
      <c r="AEH402" s="90"/>
      <c r="AEI402" s="90"/>
      <c r="AEJ402" s="90"/>
      <c r="AEK402" s="90"/>
      <c r="AEL402" s="90"/>
      <c r="AEM402" s="90"/>
      <c r="AEN402" s="90"/>
      <c r="AEO402" s="90"/>
      <c r="AEP402" s="90"/>
      <c r="AEQ402" s="90"/>
      <c r="AER402" s="90"/>
      <c r="AES402" s="90"/>
      <c r="AET402" s="90"/>
      <c r="AEU402" s="90"/>
      <c r="AEV402" s="90"/>
      <c r="AEW402" s="90"/>
      <c r="AEX402" s="90"/>
      <c r="AEY402" s="90"/>
      <c r="AEZ402" s="90"/>
      <c r="AFA402" s="90"/>
      <c r="AFB402" s="90"/>
      <c r="AFC402" s="90"/>
      <c r="AFD402" s="90"/>
      <c r="AFE402" s="90"/>
      <c r="AFF402" s="90"/>
      <c r="AFG402" s="90"/>
      <c r="AFH402" s="90"/>
      <c r="AFI402" s="90"/>
      <c r="AFJ402" s="90"/>
      <c r="AFK402" s="90"/>
      <c r="AFL402" s="90"/>
      <c r="AFM402" s="90"/>
      <c r="AFN402" s="90"/>
      <c r="AFO402" s="90"/>
      <c r="AFP402" s="90"/>
      <c r="AFQ402" s="90"/>
      <c r="AFR402" s="90"/>
      <c r="AFS402" s="90"/>
      <c r="AFT402" s="90"/>
      <c r="AFU402" s="90"/>
      <c r="AFV402" s="90"/>
      <c r="AFW402" s="90"/>
      <c r="AFX402" s="90"/>
      <c r="AFY402" s="90"/>
      <c r="AFZ402" s="90"/>
      <c r="AGA402" s="90"/>
      <c r="AGB402" s="90"/>
      <c r="AGC402" s="90"/>
      <c r="AGD402" s="90"/>
      <c r="AGE402" s="90"/>
      <c r="AGF402" s="90"/>
      <c r="AGG402" s="90"/>
      <c r="AGH402" s="90"/>
      <c r="AGI402" s="90"/>
      <c r="AGJ402" s="90"/>
      <c r="AGK402" s="90"/>
      <c r="AGL402" s="90"/>
      <c r="AGM402" s="90"/>
      <c r="AGN402" s="90"/>
      <c r="AGO402" s="90"/>
      <c r="AGP402" s="90"/>
      <c r="AGQ402" s="90"/>
      <c r="AGR402" s="90"/>
      <c r="AGS402" s="90"/>
      <c r="AGT402" s="90"/>
      <c r="AGU402" s="90"/>
      <c r="AGV402" s="90"/>
      <c r="AGW402" s="90"/>
      <c r="AGX402" s="90"/>
      <c r="AGY402" s="90"/>
      <c r="AGZ402" s="90"/>
      <c r="AHA402" s="90"/>
      <c r="AHB402" s="90"/>
      <c r="AHC402" s="90"/>
      <c r="AHD402" s="90"/>
      <c r="AHE402" s="90"/>
      <c r="AHF402" s="90"/>
      <c r="AHG402" s="90"/>
      <c r="AHH402" s="90"/>
      <c r="AHI402" s="90"/>
      <c r="AHJ402" s="90"/>
      <c r="AHK402" s="90"/>
      <c r="AHL402" s="90"/>
      <c r="AHM402" s="90"/>
      <c r="AHN402" s="90"/>
      <c r="AHO402" s="90"/>
      <c r="AHP402" s="90"/>
      <c r="AHQ402" s="90"/>
      <c r="AHR402" s="90"/>
      <c r="AHS402" s="90"/>
      <c r="AHT402" s="90"/>
      <c r="AHU402" s="90"/>
      <c r="AHV402" s="90"/>
      <c r="AHW402" s="90"/>
      <c r="AHX402" s="90"/>
      <c r="AHY402" s="90"/>
      <c r="AHZ402" s="90"/>
      <c r="AIA402" s="90"/>
      <c r="AIB402" s="90"/>
      <c r="AIC402" s="90"/>
      <c r="AID402" s="90"/>
      <c r="AIE402" s="90"/>
      <c r="AIF402" s="90"/>
      <c r="AIG402" s="90"/>
      <c r="AIH402" s="90"/>
      <c r="AII402" s="90"/>
      <c r="AIJ402" s="90"/>
      <c r="AIK402" s="90"/>
      <c r="AIL402" s="90"/>
      <c r="AIM402" s="90"/>
      <c r="AIN402" s="90"/>
      <c r="AIO402" s="90"/>
      <c r="AIP402" s="90"/>
      <c r="AIQ402" s="90"/>
      <c r="AIR402" s="90"/>
      <c r="AIS402" s="90"/>
      <c r="AIT402" s="90"/>
      <c r="AIU402" s="90"/>
      <c r="AIV402" s="90"/>
      <c r="AIW402" s="90"/>
      <c r="AIX402" s="90"/>
      <c r="AIY402" s="90"/>
      <c r="AIZ402" s="90"/>
      <c r="AJA402" s="90"/>
      <c r="AJB402" s="90"/>
      <c r="AJC402" s="90"/>
      <c r="AJD402" s="90"/>
      <c r="AJE402" s="90"/>
      <c r="AJF402" s="90"/>
      <c r="AJG402" s="90"/>
      <c r="AJH402" s="90"/>
      <c r="AJI402" s="90"/>
      <c r="AJJ402" s="90"/>
      <c r="AJK402" s="90"/>
      <c r="AJL402" s="90"/>
      <c r="AJM402" s="90"/>
      <c r="AJN402" s="90"/>
      <c r="AJO402" s="90"/>
      <c r="AJP402" s="90"/>
      <c r="AJQ402" s="90"/>
      <c r="AJR402" s="90"/>
      <c r="AJS402" s="90"/>
      <c r="AJT402" s="90"/>
      <c r="AJU402" s="90"/>
      <c r="AJV402" s="90"/>
      <c r="AJW402" s="90"/>
      <c r="AJX402" s="90"/>
      <c r="AJY402" s="90"/>
      <c r="AJZ402" s="90"/>
      <c r="AKA402" s="90"/>
      <c r="AKB402" s="90"/>
      <c r="AKC402" s="90"/>
      <c r="AKD402" s="90"/>
      <c r="AKE402" s="90"/>
      <c r="AKF402" s="90"/>
      <c r="AKG402" s="90"/>
      <c r="AKH402" s="90"/>
      <c r="AKI402" s="90"/>
      <c r="AKJ402" s="90"/>
      <c r="AKK402" s="90"/>
      <c r="AKL402" s="90"/>
      <c r="AKM402" s="90"/>
      <c r="AKN402" s="90"/>
      <c r="AKO402" s="90"/>
      <c r="AKP402" s="90"/>
      <c r="AKQ402" s="90"/>
      <c r="AKR402" s="90"/>
      <c r="AKS402" s="90"/>
      <c r="AKT402" s="90"/>
      <c r="AKU402" s="90"/>
      <c r="AKV402" s="90"/>
      <c r="AKW402" s="90"/>
      <c r="AKX402" s="90"/>
      <c r="AKY402" s="90"/>
      <c r="AKZ402" s="90"/>
      <c r="ALA402" s="90"/>
      <c r="ALB402" s="90"/>
      <c r="ALC402" s="90"/>
      <c r="ALD402" s="90"/>
      <c r="ALE402" s="90"/>
      <c r="ALF402" s="90"/>
      <c r="ALG402" s="90"/>
      <c r="ALH402" s="90"/>
      <c r="ALI402" s="90"/>
      <c r="ALJ402" s="90"/>
      <c r="ALK402" s="90"/>
      <c r="ALL402" s="90"/>
      <c r="ALM402" s="90"/>
      <c r="ALN402" s="90"/>
      <c r="ALO402" s="90"/>
      <c r="ALP402" s="90"/>
      <c r="ALQ402" s="90"/>
      <c r="ALR402" s="90"/>
      <c r="ALS402" s="90"/>
      <c r="ALT402" s="90"/>
      <c r="ALU402" s="90"/>
      <c r="ALV402" s="90"/>
      <c r="ALW402" s="90"/>
      <c r="ALX402" s="90"/>
      <c r="ALY402" s="90"/>
      <c r="ALZ402" s="90"/>
      <c r="AMA402" s="90"/>
      <c r="AMB402" s="90"/>
      <c r="AMC402" s="90"/>
    </row>
    <row r="403" spans="1:1017">
      <c r="A403" s="98" t="s">
        <v>55</v>
      </c>
      <c r="B403" s="90" t="str">
        <f t="shared" si="2095"/>
        <v xml:space="preserve">Kerang Hijau </v>
      </c>
      <c r="Q403" s="91">
        <f t="shared" si="2096"/>
        <v>0</v>
      </c>
      <c r="R403" s="91">
        <f t="shared" si="2097"/>
        <v>0</v>
      </c>
      <c r="AG403" s="91">
        <f t="shared" si="2098"/>
        <v>0</v>
      </c>
      <c r="AH403" s="91">
        <f t="shared" si="2099"/>
        <v>0</v>
      </c>
      <c r="AW403" s="91">
        <f t="shared" si="2100"/>
        <v>0</v>
      </c>
      <c r="AX403" s="91">
        <f t="shared" si="2101"/>
        <v>0</v>
      </c>
      <c r="BM403" s="91">
        <f t="shared" si="2102"/>
        <v>0</v>
      </c>
      <c r="BN403" s="91">
        <f t="shared" si="2103"/>
        <v>0</v>
      </c>
      <c r="CC403" s="91">
        <f t="shared" si="2104"/>
        <v>0</v>
      </c>
      <c r="CD403" s="91">
        <f t="shared" si="2105"/>
        <v>0</v>
      </c>
      <c r="CE403" s="98">
        <v>1767741.0263840999</v>
      </c>
      <c r="CF403" s="98">
        <v>7070964.1055363994</v>
      </c>
      <c r="CS403" s="91">
        <f t="shared" si="2106"/>
        <v>1767741.0263840999</v>
      </c>
      <c r="CT403" s="91">
        <f t="shared" si="2107"/>
        <v>7070964.1055363994</v>
      </c>
      <c r="DI403" s="91">
        <f t="shared" si="2108"/>
        <v>0</v>
      </c>
      <c r="DJ403" s="91">
        <f t="shared" si="2109"/>
        <v>0</v>
      </c>
      <c r="DY403" s="91">
        <f t="shared" si="2110"/>
        <v>0</v>
      </c>
      <c r="DZ403" s="91">
        <f t="shared" si="2111"/>
        <v>0</v>
      </c>
      <c r="EO403" s="91">
        <f t="shared" si="2112"/>
        <v>0</v>
      </c>
      <c r="EP403" s="91">
        <f t="shared" si="2113"/>
        <v>0</v>
      </c>
      <c r="FE403" s="91">
        <f t="shared" si="2114"/>
        <v>0</v>
      </c>
      <c r="FF403" s="91">
        <f t="shared" si="2115"/>
        <v>0</v>
      </c>
      <c r="FU403" s="91">
        <f t="shared" si="2116"/>
        <v>0</v>
      </c>
      <c r="FV403" s="91">
        <f t="shared" si="2117"/>
        <v>0</v>
      </c>
      <c r="GK403" s="91">
        <f t="shared" si="2118"/>
        <v>0</v>
      </c>
      <c r="GL403" s="91">
        <f t="shared" si="2119"/>
        <v>0</v>
      </c>
      <c r="HA403" s="91">
        <f t="shared" si="2120"/>
        <v>0</v>
      </c>
      <c r="HB403" s="91">
        <f t="shared" si="2121"/>
        <v>0</v>
      </c>
      <c r="HQ403" s="91">
        <f t="shared" si="2122"/>
        <v>0</v>
      </c>
      <c r="HR403" s="91">
        <f t="shared" si="2123"/>
        <v>0</v>
      </c>
      <c r="IG403" s="91">
        <f t="shared" si="2124"/>
        <v>0</v>
      </c>
      <c r="IH403" s="91">
        <f t="shared" si="2125"/>
        <v>0</v>
      </c>
      <c r="IW403" s="91">
        <f t="shared" si="2126"/>
        <v>0</v>
      </c>
      <c r="IX403" s="91">
        <f t="shared" si="2127"/>
        <v>0</v>
      </c>
      <c r="JM403" s="91">
        <f t="shared" si="2128"/>
        <v>0</v>
      </c>
      <c r="JN403" s="91">
        <f t="shared" si="2129"/>
        <v>0</v>
      </c>
      <c r="KC403" s="91">
        <f t="shared" si="2130"/>
        <v>0</v>
      </c>
      <c r="KD403" s="91">
        <f t="shared" si="2131"/>
        <v>0</v>
      </c>
      <c r="KS403" s="91">
        <f t="shared" si="2132"/>
        <v>0</v>
      </c>
      <c r="KT403" s="91">
        <f t="shared" si="2133"/>
        <v>0</v>
      </c>
      <c r="LI403" s="91">
        <f t="shared" si="2134"/>
        <v>0</v>
      </c>
      <c r="LJ403" s="91">
        <f t="shared" si="2135"/>
        <v>0</v>
      </c>
      <c r="LY403" s="91">
        <f t="shared" si="2136"/>
        <v>0</v>
      </c>
      <c r="LZ403" s="91">
        <f t="shared" si="2137"/>
        <v>0</v>
      </c>
      <c r="MO403" s="91">
        <f t="shared" si="2138"/>
        <v>0</v>
      </c>
      <c r="MP403" s="91">
        <f t="shared" si="2139"/>
        <v>0</v>
      </c>
      <c r="NE403" s="91">
        <f t="shared" si="2140"/>
        <v>0</v>
      </c>
      <c r="NF403" s="91">
        <f t="shared" si="2141"/>
        <v>0</v>
      </c>
      <c r="NU403" s="91">
        <f t="shared" si="2142"/>
        <v>0</v>
      </c>
      <c r="NV403" s="91">
        <f t="shared" si="2143"/>
        <v>0</v>
      </c>
      <c r="OK403" s="91">
        <f t="shared" si="2144"/>
        <v>0</v>
      </c>
      <c r="OL403" s="91">
        <f t="shared" si="2145"/>
        <v>0</v>
      </c>
      <c r="PA403" s="91">
        <f t="shared" si="2146"/>
        <v>0</v>
      </c>
      <c r="PB403" s="91">
        <f t="shared" si="2147"/>
        <v>0</v>
      </c>
      <c r="PQ403" s="91">
        <f t="shared" si="2148"/>
        <v>0</v>
      </c>
      <c r="PR403" s="91">
        <f t="shared" si="2149"/>
        <v>0</v>
      </c>
      <c r="QG403" s="91">
        <f t="shared" si="2150"/>
        <v>0</v>
      </c>
      <c r="QH403" s="91">
        <f t="shared" si="2151"/>
        <v>0</v>
      </c>
      <c r="QW403" s="91">
        <f t="shared" si="2152"/>
        <v>0</v>
      </c>
      <c r="QX403" s="91">
        <f t="shared" si="2153"/>
        <v>0</v>
      </c>
      <c r="RM403" s="91">
        <f t="shared" si="2154"/>
        <v>0</v>
      </c>
      <c r="RN403" s="91">
        <f t="shared" si="2155"/>
        <v>0</v>
      </c>
      <c r="SC403" s="91">
        <f t="shared" si="2156"/>
        <v>0</v>
      </c>
      <c r="SD403" s="91">
        <f t="shared" si="2157"/>
        <v>0</v>
      </c>
      <c r="SS403" s="91">
        <f t="shared" si="2158"/>
        <v>0</v>
      </c>
      <c r="ST403" s="91">
        <f t="shared" si="2159"/>
        <v>0</v>
      </c>
      <c r="TI403" s="91">
        <f t="shared" si="2160"/>
        <v>0</v>
      </c>
      <c r="TJ403" s="91">
        <f t="shared" si="2161"/>
        <v>0</v>
      </c>
      <c r="TY403" s="91">
        <f t="shared" si="2162"/>
        <v>0</v>
      </c>
      <c r="TZ403" s="91">
        <f t="shared" si="2163"/>
        <v>0</v>
      </c>
      <c r="UO403" s="91">
        <f t="shared" si="2164"/>
        <v>0</v>
      </c>
      <c r="UP403" s="91">
        <f t="shared" si="2165"/>
        <v>0</v>
      </c>
      <c r="VE403" s="91">
        <f t="shared" si="2166"/>
        <v>0</v>
      </c>
      <c r="VF403" s="91">
        <f t="shared" si="2167"/>
        <v>0</v>
      </c>
      <c r="VU403" s="91">
        <f t="shared" si="2168"/>
        <v>0</v>
      </c>
      <c r="VV403" s="91">
        <f t="shared" si="2169"/>
        <v>0</v>
      </c>
      <c r="WK403" s="91">
        <f t="shared" si="2170"/>
        <v>0</v>
      </c>
      <c r="WL403" s="91">
        <f t="shared" si="2171"/>
        <v>0</v>
      </c>
      <c r="WM403" s="89"/>
      <c r="WN403" s="87">
        <f t="shared" si="2172"/>
        <v>1767741.0263840999</v>
      </c>
      <c r="WO403" s="87">
        <f t="shared" si="2173"/>
        <v>7070964.1055363994</v>
      </c>
      <c r="WP403" s="87">
        <f t="shared" si="2174"/>
        <v>0</v>
      </c>
      <c r="WQ403" s="87">
        <f t="shared" si="2175"/>
        <v>0</v>
      </c>
      <c r="WR403" s="87">
        <f t="shared" si="2176"/>
        <v>0</v>
      </c>
      <c r="WS403" s="87">
        <f t="shared" si="2177"/>
        <v>0</v>
      </c>
      <c r="WT403" s="87">
        <f t="shared" si="2178"/>
        <v>0</v>
      </c>
      <c r="WU403" s="87">
        <f t="shared" si="2179"/>
        <v>0</v>
      </c>
      <c r="WV403" s="87">
        <f t="shared" si="2180"/>
        <v>0</v>
      </c>
      <c r="WW403" s="87">
        <f t="shared" si="2181"/>
        <v>0</v>
      </c>
      <c r="WX403" s="87">
        <f t="shared" si="2182"/>
        <v>0</v>
      </c>
      <c r="WY403" s="87">
        <f t="shared" si="2183"/>
        <v>0</v>
      </c>
      <c r="WZ403" s="87">
        <f t="shared" si="2184"/>
        <v>0</v>
      </c>
      <c r="XA403" s="87">
        <f t="shared" si="2185"/>
        <v>0</v>
      </c>
      <c r="XB403" s="92">
        <f t="shared" si="2186"/>
        <v>1767741.0263840999</v>
      </c>
      <c r="XC403" s="92">
        <f t="shared" si="2187"/>
        <v>7070964.1055363994</v>
      </c>
      <c r="XD403" s="89"/>
      <c r="XE403" s="92"/>
      <c r="XF403" s="92"/>
      <c r="XG403" s="89"/>
      <c r="XH403" s="92"/>
      <c r="XI403" s="92"/>
      <c r="XJ403" s="89"/>
      <c r="XK403" s="87"/>
      <c r="XL403" s="87"/>
      <c r="XM403" s="87"/>
      <c r="XN403" s="87"/>
      <c r="XO403" s="87"/>
      <c r="XP403" s="87"/>
      <c r="XQ403" s="87"/>
      <c r="XR403" s="92">
        <f t="shared" ca="1" si="2188"/>
        <v>0</v>
      </c>
      <c r="XS403" s="89"/>
      <c r="XT403" s="87"/>
      <c r="XU403" s="87"/>
      <c r="XV403" s="87"/>
      <c r="XW403" s="87"/>
      <c r="XX403" s="87"/>
      <c r="XY403" s="87"/>
      <c r="XZ403" s="87"/>
      <c r="YA403" s="92">
        <f t="shared" ca="1" si="2189"/>
        <v>0</v>
      </c>
      <c r="YB403" s="90"/>
      <c r="YC403" s="90"/>
      <c r="YD403" s="90"/>
      <c r="YE403" s="90"/>
      <c r="YF403" s="90"/>
      <c r="YG403" s="90"/>
      <c r="YH403" s="90"/>
      <c r="YI403" s="90"/>
      <c r="YJ403" s="90"/>
      <c r="YK403" s="90"/>
      <c r="YL403" s="90"/>
      <c r="YM403" s="90"/>
      <c r="YN403" s="90"/>
      <c r="YO403" s="90"/>
      <c r="YP403" s="90"/>
      <c r="YQ403" s="90"/>
      <c r="YR403" s="90"/>
      <c r="YS403" s="90"/>
      <c r="YT403" s="90"/>
      <c r="YU403" s="90"/>
      <c r="YV403" s="90"/>
      <c r="YW403" s="90"/>
      <c r="YX403" s="90"/>
      <c r="YY403" s="90"/>
      <c r="YZ403" s="90"/>
      <c r="ZA403" s="90"/>
      <c r="ZB403" s="90"/>
      <c r="ZC403" s="90"/>
      <c r="ZD403" s="90"/>
      <c r="ZE403" s="90"/>
      <c r="ZF403" s="90"/>
      <c r="ZG403" s="90"/>
      <c r="ZH403" s="90"/>
      <c r="ZI403" s="90"/>
      <c r="ZJ403" s="90"/>
      <c r="ZK403" s="90"/>
      <c r="ZL403" s="90"/>
      <c r="ZM403" s="90"/>
      <c r="ZN403" s="90"/>
      <c r="ZO403" s="90"/>
      <c r="ZP403" s="90"/>
      <c r="ZQ403" s="90"/>
      <c r="ZR403" s="90"/>
      <c r="ZS403" s="90"/>
      <c r="ZT403" s="90"/>
      <c r="ZU403" s="90"/>
      <c r="ZV403" s="90"/>
      <c r="ZW403" s="90"/>
      <c r="ZX403" s="90"/>
      <c r="ZY403" s="90"/>
      <c r="ZZ403" s="90"/>
      <c r="AAA403" s="90"/>
      <c r="AAB403" s="90"/>
      <c r="AAC403" s="90"/>
      <c r="AAD403" s="90"/>
      <c r="AAE403" s="90"/>
      <c r="AAF403" s="90"/>
      <c r="AAG403" s="90"/>
      <c r="AAH403" s="90"/>
      <c r="AAI403" s="90"/>
      <c r="AAJ403" s="90"/>
      <c r="AAK403" s="90"/>
      <c r="AAL403" s="90"/>
      <c r="AAM403" s="90"/>
      <c r="AAN403" s="90"/>
      <c r="AAO403" s="90"/>
      <c r="AAP403" s="90"/>
      <c r="AAQ403" s="90"/>
      <c r="AAR403" s="90"/>
      <c r="AAS403" s="90"/>
      <c r="AAT403" s="90"/>
      <c r="AAU403" s="90"/>
      <c r="AAV403" s="90"/>
      <c r="AAW403" s="90"/>
      <c r="AAX403" s="90"/>
      <c r="AAY403" s="90"/>
      <c r="AAZ403" s="90"/>
      <c r="ABA403" s="90"/>
      <c r="ABB403" s="90"/>
      <c r="ABC403" s="90"/>
      <c r="ABD403" s="90"/>
      <c r="ABE403" s="90"/>
      <c r="ABF403" s="90"/>
      <c r="ABG403" s="90"/>
      <c r="ABH403" s="90"/>
      <c r="ABI403" s="90"/>
      <c r="ABJ403" s="90"/>
      <c r="ABK403" s="90"/>
      <c r="ABL403" s="90"/>
      <c r="ABM403" s="90"/>
      <c r="ABN403" s="90"/>
      <c r="ABO403" s="90"/>
      <c r="ABP403" s="90"/>
      <c r="ABQ403" s="90"/>
      <c r="ABR403" s="90"/>
      <c r="ABS403" s="90"/>
      <c r="ABT403" s="90"/>
      <c r="ABU403" s="90"/>
      <c r="ABV403" s="90"/>
      <c r="ABW403" s="90"/>
      <c r="ABX403" s="90"/>
      <c r="ABY403" s="90"/>
      <c r="ABZ403" s="90"/>
      <c r="ACA403" s="90"/>
      <c r="ACB403" s="90"/>
      <c r="ACC403" s="90"/>
      <c r="ACD403" s="90"/>
      <c r="ACE403" s="90"/>
      <c r="ACF403" s="90"/>
      <c r="ACG403" s="90"/>
      <c r="ACH403" s="90"/>
      <c r="ACI403" s="90"/>
      <c r="ACJ403" s="90"/>
      <c r="ACK403" s="90"/>
      <c r="ACL403" s="90"/>
      <c r="ACM403" s="90"/>
      <c r="ACN403" s="90"/>
      <c r="ACO403" s="90"/>
      <c r="ACP403" s="90"/>
      <c r="ACQ403" s="90"/>
      <c r="ACR403" s="90"/>
      <c r="ACS403" s="90"/>
      <c r="ACT403" s="90"/>
      <c r="ACU403" s="90"/>
      <c r="ACV403" s="90"/>
      <c r="ACW403" s="90"/>
      <c r="ACX403" s="90"/>
      <c r="ACY403" s="90"/>
      <c r="ACZ403" s="90"/>
      <c r="ADA403" s="90"/>
      <c r="ADB403" s="90"/>
      <c r="ADC403" s="90"/>
      <c r="ADD403" s="90"/>
      <c r="ADE403" s="90"/>
      <c r="ADF403" s="90"/>
      <c r="ADG403" s="90"/>
      <c r="ADH403" s="90"/>
      <c r="ADI403" s="90"/>
      <c r="ADJ403" s="90"/>
      <c r="ADK403" s="90"/>
      <c r="ADL403" s="90"/>
      <c r="ADM403" s="90"/>
      <c r="ADN403" s="90"/>
      <c r="ADO403" s="90"/>
      <c r="ADP403" s="90"/>
      <c r="ADQ403" s="90"/>
      <c r="ADR403" s="90"/>
      <c r="ADS403" s="90"/>
      <c r="ADT403" s="90"/>
      <c r="ADU403" s="90"/>
      <c r="ADV403" s="90"/>
      <c r="ADW403" s="90"/>
      <c r="ADX403" s="90"/>
      <c r="ADY403" s="90"/>
      <c r="ADZ403" s="90"/>
      <c r="AEA403" s="90"/>
      <c r="AEB403" s="90"/>
      <c r="AEC403" s="90"/>
      <c r="AED403" s="90"/>
      <c r="AEE403" s="90"/>
      <c r="AEF403" s="90"/>
      <c r="AEG403" s="90"/>
      <c r="AEH403" s="90"/>
      <c r="AEI403" s="90"/>
      <c r="AEJ403" s="90"/>
      <c r="AEK403" s="90"/>
      <c r="AEL403" s="90"/>
      <c r="AEM403" s="90"/>
      <c r="AEN403" s="90"/>
      <c r="AEO403" s="90"/>
      <c r="AEP403" s="90"/>
      <c r="AEQ403" s="90"/>
      <c r="AER403" s="90"/>
      <c r="AES403" s="90"/>
      <c r="AET403" s="90"/>
      <c r="AEU403" s="90"/>
      <c r="AEV403" s="90"/>
      <c r="AEW403" s="90"/>
      <c r="AEX403" s="90"/>
      <c r="AEY403" s="90"/>
      <c r="AEZ403" s="90"/>
      <c r="AFA403" s="90"/>
      <c r="AFB403" s="90"/>
      <c r="AFC403" s="90"/>
      <c r="AFD403" s="90"/>
      <c r="AFE403" s="90"/>
      <c r="AFF403" s="90"/>
      <c r="AFG403" s="90"/>
      <c r="AFH403" s="90"/>
      <c r="AFI403" s="90"/>
      <c r="AFJ403" s="90"/>
      <c r="AFK403" s="90"/>
      <c r="AFL403" s="90"/>
      <c r="AFM403" s="90"/>
      <c r="AFN403" s="90"/>
      <c r="AFO403" s="90"/>
      <c r="AFP403" s="90"/>
      <c r="AFQ403" s="90"/>
      <c r="AFR403" s="90"/>
      <c r="AFS403" s="90"/>
      <c r="AFT403" s="90"/>
      <c r="AFU403" s="90"/>
      <c r="AFV403" s="90"/>
      <c r="AFW403" s="90"/>
      <c r="AFX403" s="90"/>
      <c r="AFY403" s="90"/>
      <c r="AFZ403" s="90"/>
      <c r="AGA403" s="90"/>
      <c r="AGB403" s="90"/>
      <c r="AGC403" s="90"/>
      <c r="AGD403" s="90"/>
      <c r="AGE403" s="90"/>
      <c r="AGF403" s="90"/>
      <c r="AGG403" s="90"/>
      <c r="AGH403" s="90"/>
      <c r="AGI403" s="90"/>
      <c r="AGJ403" s="90"/>
      <c r="AGK403" s="90"/>
      <c r="AGL403" s="90"/>
      <c r="AGM403" s="90"/>
      <c r="AGN403" s="90"/>
      <c r="AGO403" s="90"/>
      <c r="AGP403" s="90"/>
      <c r="AGQ403" s="90"/>
      <c r="AGR403" s="90"/>
      <c r="AGS403" s="90"/>
      <c r="AGT403" s="90"/>
      <c r="AGU403" s="90"/>
      <c r="AGV403" s="90"/>
      <c r="AGW403" s="90"/>
      <c r="AGX403" s="90"/>
      <c r="AGY403" s="90"/>
      <c r="AGZ403" s="90"/>
      <c r="AHA403" s="90"/>
      <c r="AHB403" s="90"/>
      <c r="AHC403" s="90"/>
      <c r="AHD403" s="90"/>
      <c r="AHE403" s="90"/>
      <c r="AHF403" s="90"/>
      <c r="AHG403" s="90"/>
      <c r="AHH403" s="90"/>
      <c r="AHI403" s="90"/>
      <c r="AHJ403" s="90"/>
      <c r="AHK403" s="90"/>
      <c r="AHL403" s="90"/>
      <c r="AHM403" s="90"/>
      <c r="AHN403" s="90"/>
      <c r="AHO403" s="90"/>
      <c r="AHP403" s="90"/>
      <c r="AHQ403" s="90"/>
      <c r="AHR403" s="90"/>
      <c r="AHS403" s="90"/>
      <c r="AHT403" s="90"/>
      <c r="AHU403" s="90"/>
      <c r="AHV403" s="90"/>
      <c r="AHW403" s="90"/>
      <c r="AHX403" s="90"/>
      <c r="AHY403" s="90"/>
      <c r="AHZ403" s="90"/>
      <c r="AIA403" s="90"/>
      <c r="AIB403" s="90"/>
      <c r="AIC403" s="90"/>
      <c r="AID403" s="90"/>
      <c r="AIE403" s="90"/>
      <c r="AIF403" s="90"/>
      <c r="AIG403" s="90"/>
      <c r="AIH403" s="90"/>
      <c r="AII403" s="90"/>
      <c r="AIJ403" s="90"/>
      <c r="AIK403" s="90"/>
      <c r="AIL403" s="90"/>
      <c r="AIM403" s="90"/>
      <c r="AIN403" s="90"/>
      <c r="AIO403" s="90"/>
      <c r="AIP403" s="90"/>
      <c r="AIQ403" s="90"/>
      <c r="AIR403" s="90"/>
      <c r="AIS403" s="90"/>
      <c r="AIT403" s="90"/>
      <c r="AIU403" s="90"/>
      <c r="AIV403" s="90"/>
      <c r="AIW403" s="90"/>
      <c r="AIX403" s="90"/>
      <c r="AIY403" s="90"/>
      <c r="AIZ403" s="90"/>
      <c r="AJA403" s="90"/>
      <c r="AJB403" s="90"/>
      <c r="AJC403" s="90"/>
      <c r="AJD403" s="90"/>
      <c r="AJE403" s="90"/>
      <c r="AJF403" s="90"/>
      <c r="AJG403" s="90"/>
      <c r="AJH403" s="90"/>
      <c r="AJI403" s="90"/>
      <c r="AJJ403" s="90"/>
      <c r="AJK403" s="90"/>
      <c r="AJL403" s="90"/>
      <c r="AJM403" s="90"/>
      <c r="AJN403" s="90"/>
      <c r="AJO403" s="90"/>
      <c r="AJP403" s="90"/>
      <c r="AJQ403" s="90"/>
      <c r="AJR403" s="90"/>
      <c r="AJS403" s="90"/>
      <c r="AJT403" s="90"/>
      <c r="AJU403" s="90"/>
      <c r="AJV403" s="90"/>
      <c r="AJW403" s="90"/>
      <c r="AJX403" s="90"/>
      <c r="AJY403" s="90"/>
      <c r="AJZ403" s="90"/>
      <c r="AKA403" s="90"/>
      <c r="AKB403" s="90"/>
      <c r="AKC403" s="90"/>
      <c r="AKD403" s="90"/>
      <c r="AKE403" s="90"/>
      <c r="AKF403" s="90"/>
      <c r="AKG403" s="90"/>
      <c r="AKH403" s="90"/>
      <c r="AKI403" s="90"/>
      <c r="AKJ403" s="90"/>
      <c r="AKK403" s="90"/>
      <c r="AKL403" s="90"/>
      <c r="AKM403" s="90"/>
      <c r="AKN403" s="90"/>
      <c r="AKO403" s="90"/>
      <c r="AKP403" s="90"/>
      <c r="AKQ403" s="90"/>
      <c r="AKR403" s="90"/>
      <c r="AKS403" s="90"/>
      <c r="AKT403" s="90"/>
      <c r="AKU403" s="90"/>
      <c r="AKV403" s="90"/>
      <c r="AKW403" s="90"/>
      <c r="AKX403" s="90"/>
      <c r="AKY403" s="90"/>
      <c r="AKZ403" s="90"/>
      <c r="ALA403" s="90"/>
      <c r="ALB403" s="90"/>
      <c r="ALC403" s="90"/>
      <c r="ALD403" s="90"/>
      <c r="ALE403" s="90"/>
      <c r="ALF403" s="90"/>
      <c r="ALG403" s="90"/>
      <c r="ALH403" s="90"/>
      <c r="ALI403" s="90"/>
      <c r="ALJ403" s="90"/>
      <c r="ALK403" s="90"/>
      <c r="ALL403" s="90"/>
      <c r="ALM403" s="90"/>
      <c r="ALN403" s="90"/>
      <c r="ALO403" s="90"/>
      <c r="ALP403" s="90"/>
      <c r="ALQ403" s="90"/>
      <c r="ALR403" s="90"/>
      <c r="ALS403" s="90"/>
      <c r="ALT403" s="90"/>
      <c r="ALU403" s="90"/>
      <c r="ALV403" s="90"/>
      <c r="ALW403" s="90"/>
      <c r="ALX403" s="90"/>
      <c r="ALY403" s="90"/>
      <c r="ALZ403" s="90"/>
      <c r="AMA403" s="90"/>
      <c r="AMB403" s="90"/>
      <c r="AMC403" s="90"/>
    </row>
    <row r="404" spans="1:1017">
      <c r="A404" s="98" t="s">
        <v>55</v>
      </c>
      <c r="B404" s="90" t="str">
        <f t="shared" si="2095"/>
        <v>Kerapu Cantang</v>
      </c>
      <c r="C404" s="610"/>
      <c r="D404" s="610"/>
      <c r="Q404" s="91">
        <f t="shared" si="2096"/>
        <v>0</v>
      </c>
      <c r="R404" s="91">
        <f t="shared" si="2097"/>
        <v>0</v>
      </c>
      <c r="S404" s="610">
        <v>625</v>
      </c>
      <c r="T404" s="610">
        <v>53125</v>
      </c>
      <c r="U404" s="98">
        <v>2940</v>
      </c>
      <c r="V404" s="98">
        <v>249900</v>
      </c>
      <c r="AG404" s="91">
        <f t="shared" si="2098"/>
        <v>3565</v>
      </c>
      <c r="AH404" s="91">
        <f t="shared" si="2099"/>
        <v>303025</v>
      </c>
      <c r="AI404" s="610"/>
      <c r="AJ404" s="610"/>
      <c r="AW404" s="91">
        <f t="shared" si="2100"/>
        <v>0</v>
      </c>
      <c r="AX404" s="91">
        <f t="shared" si="2101"/>
        <v>0</v>
      </c>
      <c r="AY404" s="610"/>
      <c r="AZ404" s="610"/>
      <c r="BM404" s="91">
        <f t="shared" si="2102"/>
        <v>0</v>
      </c>
      <c r="BN404" s="91">
        <f t="shared" si="2103"/>
        <v>0</v>
      </c>
      <c r="BO404" s="610"/>
      <c r="BP404" s="610"/>
      <c r="CC404" s="91">
        <f t="shared" si="2104"/>
        <v>0</v>
      </c>
      <c r="CD404" s="91">
        <f t="shared" si="2105"/>
        <v>0</v>
      </c>
      <c r="CE404" s="610"/>
      <c r="CF404" s="797"/>
      <c r="CG404" s="98">
        <v>12748.591018321216</v>
      </c>
      <c r="CH404" s="98">
        <v>1466087.9671069398</v>
      </c>
      <c r="CS404" s="91">
        <f t="shared" si="2106"/>
        <v>12748.591018321216</v>
      </c>
      <c r="CT404" s="91">
        <f t="shared" si="2107"/>
        <v>1466087.9671069398</v>
      </c>
      <c r="CU404" s="610"/>
      <c r="CV404" s="610"/>
      <c r="DI404" s="91">
        <f t="shared" si="2108"/>
        <v>0</v>
      </c>
      <c r="DJ404" s="91">
        <f t="shared" si="2109"/>
        <v>0</v>
      </c>
      <c r="DK404" s="610"/>
      <c r="DL404" s="610"/>
      <c r="DY404" s="91">
        <f t="shared" si="2110"/>
        <v>0</v>
      </c>
      <c r="DZ404" s="91">
        <f t="shared" si="2111"/>
        <v>0</v>
      </c>
      <c r="EA404" s="610"/>
      <c r="EB404" s="610"/>
      <c r="EO404" s="91">
        <f t="shared" si="2112"/>
        <v>0</v>
      </c>
      <c r="EP404" s="91">
        <f t="shared" si="2113"/>
        <v>0</v>
      </c>
      <c r="EQ404" s="610"/>
      <c r="ER404" s="610"/>
      <c r="ES404" s="98">
        <v>117160</v>
      </c>
      <c r="ET404" s="98">
        <v>11130200</v>
      </c>
      <c r="FE404" s="91">
        <f t="shared" si="2114"/>
        <v>117160</v>
      </c>
      <c r="FF404" s="91">
        <f t="shared" si="2115"/>
        <v>11130200</v>
      </c>
      <c r="FG404" s="791"/>
      <c r="FH404" s="791"/>
      <c r="FU404" s="91">
        <f t="shared" si="2116"/>
        <v>0</v>
      </c>
      <c r="FV404" s="91">
        <f t="shared" si="2117"/>
        <v>0</v>
      </c>
      <c r="FW404" s="610"/>
      <c r="FX404" s="610"/>
      <c r="GK404" s="91">
        <f t="shared" si="2118"/>
        <v>0</v>
      </c>
      <c r="GL404" s="91">
        <f t="shared" si="2119"/>
        <v>0</v>
      </c>
      <c r="GM404" s="610"/>
      <c r="GN404" s="610"/>
      <c r="HA404" s="91">
        <f t="shared" si="2120"/>
        <v>0</v>
      </c>
      <c r="HB404" s="91">
        <f t="shared" si="2121"/>
        <v>0</v>
      </c>
      <c r="HC404" s="610"/>
      <c r="HD404" s="610"/>
      <c r="HQ404" s="91">
        <f t="shared" si="2122"/>
        <v>0</v>
      </c>
      <c r="HR404" s="91">
        <f t="shared" si="2123"/>
        <v>0</v>
      </c>
      <c r="HS404" s="610"/>
      <c r="HT404" s="610"/>
      <c r="IG404" s="91">
        <f t="shared" si="2124"/>
        <v>0</v>
      </c>
      <c r="IH404" s="91">
        <f t="shared" si="2125"/>
        <v>0</v>
      </c>
      <c r="II404" s="610"/>
      <c r="IJ404" s="610"/>
      <c r="IW404" s="91">
        <f t="shared" si="2126"/>
        <v>0</v>
      </c>
      <c r="IX404" s="91">
        <f t="shared" si="2127"/>
        <v>0</v>
      </c>
      <c r="IY404" s="610"/>
      <c r="IZ404" s="610"/>
      <c r="JM404" s="91">
        <f t="shared" si="2128"/>
        <v>0</v>
      </c>
      <c r="JN404" s="91">
        <f t="shared" si="2129"/>
        <v>0</v>
      </c>
      <c r="JO404" s="610"/>
      <c r="JP404" s="610"/>
      <c r="KC404" s="91">
        <f t="shared" si="2130"/>
        <v>0</v>
      </c>
      <c r="KD404" s="91">
        <f t="shared" si="2131"/>
        <v>0</v>
      </c>
      <c r="KE404" s="610"/>
      <c r="KF404" s="610"/>
      <c r="KS404" s="91">
        <f t="shared" si="2132"/>
        <v>0</v>
      </c>
      <c r="KT404" s="91">
        <f t="shared" si="2133"/>
        <v>0</v>
      </c>
      <c r="KU404" s="610"/>
      <c r="KV404" s="610"/>
      <c r="LI404" s="91">
        <f t="shared" si="2134"/>
        <v>0</v>
      </c>
      <c r="LJ404" s="91">
        <f t="shared" si="2135"/>
        <v>0</v>
      </c>
      <c r="LK404" s="610"/>
      <c r="LL404" s="610"/>
      <c r="LY404" s="91">
        <f t="shared" si="2136"/>
        <v>0</v>
      </c>
      <c r="LZ404" s="91">
        <f t="shared" si="2137"/>
        <v>0</v>
      </c>
      <c r="MA404" s="798">
        <v>52600</v>
      </c>
      <c r="MB404" s="610">
        <v>4471000</v>
      </c>
      <c r="MO404" s="91">
        <f t="shared" si="2138"/>
        <v>52600</v>
      </c>
      <c r="MP404" s="91">
        <f t="shared" si="2139"/>
        <v>4471000</v>
      </c>
      <c r="MQ404" s="610"/>
      <c r="MR404" s="610"/>
      <c r="NE404" s="91">
        <f t="shared" si="2140"/>
        <v>0</v>
      </c>
      <c r="NF404" s="91">
        <f t="shared" si="2141"/>
        <v>0</v>
      </c>
      <c r="NG404" s="610"/>
      <c r="NH404" s="610"/>
      <c r="NU404" s="91">
        <f t="shared" si="2142"/>
        <v>0</v>
      </c>
      <c r="NV404" s="91">
        <f t="shared" si="2143"/>
        <v>0</v>
      </c>
      <c r="NW404" s="610">
        <v>480</v>
      </c>
      <c r="NX404" s="610">
        <v>48000</v>
      </c>
      <c r="OK404" s="91">
        <f t="shared" si="2144"/>
        <v>480</v>
      </c>
      <c r="OL404" s="91">
        <f t="shared" si="2145"/>
        <v>48000</v>
      </c>
      <c r="PA404" s="91">
        <f t="shared" si="2146"/>
        <v>0</v>
      </c>
      <c r="PB404" s="91">
        <f t="shared" si="2147"/>
        <v>0</v>
      </c>
      <c r="PC404" s="610">
        <v>55</v>
      </c>
      <c r="PD404" s="610">
        <v>3025</v>
      </c>
      <c r="PQ404" s="91">
        <f t="shared" si="2148"/>
        <v>55</v>
      </c>
      <c r="PR404" s="91">
        <f t="shared" si="2149"/>
        <v>3025</v>
      </c>
      <c r="PS404" s="793">
        <v>600</v>
      </c>
      <c r="PT404" s="793">
        <v>63000</v>
      </c>
      <c r="PU404" s="98">
        <v>3790</v>
      </c>
      <c r="PV404" s="98">
        <v>189500</v>
      </c>
      <c r="QG404" s="91">
        <f t="shared" si="2150"/>
        <v>4390</v>
      </c>
      <c r="QH404" s="91">
        <f t="shared" si="2151"/>
        <v>252500</v>
      </c>
      <c r="QI404" s="610"/>
      <c r="QJ404" s="610"/>
      <c r="QW404" s="91">
        <f t="shared" si="2152"/>
        <v>0</v>
      </c>
      <c r="QX404" s="91">
        <f t="shared" si="2153"/>
        <v>0</v>
      </c>
      <c r="QY404" s="610"/>
      <c r="QZ404" s="610"/>
      <c r="RM404" s="91">
        <f t="shared" si="2154"/>
        <v>0</v>
      </c>
      <c r="RN404" s="91">
        <f t="shared" si="2155"/>
        <v>0</v>
      </c>
      <c r="RO404" s="610"/>
      <c r="RP404" s="610"/>
      <c r="SC404" s="91">
        <f t="shared" si="2156"/>
        <v>0</v>
      </c>
      <c r="SD404" s="91">
        <f t="shared" si="2157"/>
        <v>0</v>
      </c>
      <c r="SE404" s="610"/>
      <c r="SF404" s="610"/>
      <c r="SS404" s="91">
        <f t="shared" si="2158"/>
        <v>0</v>
      </c>
      <c r="ST404" s="91">
        <f t="shared" si="2159"/>
        <v>0</v>
      </c>
      <c r="SU404" s="610"/>
      <c r="SV404" s="610"/>
      <c r="TI404" s="91">
        <f t="shared" si="2160"/>
        <v>0</v>
      </c>
      <c r="TJ404" s="91">
        <f t="shared" si="2161"/>
        <v>0</v>
      </c>
      <c r="TK404" s="610"/>
      <c r="TL404" s="610"/>
      <c r="TY404" s="91">
        <f t="shared" si="2162"/>
        <v>0</v>
      </c>
      <c r="TZ404" s="91">
        <f t="shared" si="2163"/>
        <v>0</v>
      </c>
      <c r="UA404" s="610"/>
      <c r="UB404" s="610"/>
      <c r="UO404" s="91">
        <f t="shared" si="2164"/>
        <v>0</v>
      </c>
      <c r="UP404" s="91">
        <f t="shared" si="2165"/>
        <v>0</v>
      </c>
      <c r="UQ404" s="610"/>
      <c r="UR404" s="610"/>
      <c r="VE404" s="91">
        <f t="shared" si="2166"/>
        <v>0</v>
      </c>
      <c r="VF404" s="91">
        <f t="shared" si="2167"/>
        <v>0</v>
      </c>
      <c r="VG404" s="610"/>
      <c r="VH404" s="610"/>
      <c r="VU404" s="91">
        <f t="shared" si="2168"/>
        <v>0</v>
      </c>
      <c r="VV404" s="91">
        <f t="shared" si="2169"/>
        <v>0</v>
      </c>
      <c r="VW404" s="791"/>
      <c r="VX404" s="791"/>
      <c r="WK404" s="91">
        <f t="shared" si="2170"/>
        <v>0</v>
      </c>
      <c r="WL404" s="91">
        <f t="shared" si="2171"/>
        <v>0</v>
      </c>
      <c r="WM404" s="89"/>
      <c r="WN404" s="87">
        <f t="shared" si="2172"/>
        <v>54360</v>
      </c>
      <c r="WO404" s="87">
        <f t="shared" si="2173"/>
        <v>4638150</v>
      </c>
      <c r="WP404" s="87">
        <f t="shared" si="2174"/>
        <v>136638.59101832123</v>
      </c>
      <c r="WQ404" s="87">
        <f t="shared" si="2175"/>
        <v>13035687.96710694</v>
      </c>
      <c r="WR404" s="87">
        <f t="shared" si="2176"/>
        <v>0</v>
      </c>
      <c r="WS404" s="87">
        <f t="shared" si="2177"/>
        <v>0</v>
      </c>
      <c r="WT404" s="87">
        <f t="shared" si="2178"/>
        <v>0</v>
      </c>
      <c r="WU404" s="87">
        <f t="shared" si="2179"/>
        <v>0</v>
      </c>
      <c r="WV404" s="87">
        <f t="shared" si="2180"/>
        <v>0</v>
      </c>
      <c r="WW404" s="87">
        <f t="shared" si="2181"/>
        <v>0</v>
      </c>
      <c r="WX404" s="87">
        <f t="shared" si="2182"/>
        <v>0</v>
      </c>
      <c r="WY404" s="87">
        <f t="shared" si="2183"/>
        <v>0</v>
      </c>
      <c r="WZ404" s="87">
        <f t="shared" si="2184"/>
        <v>0</v>
      </c>
      <c r="XA404" s="87">
        <f t="shared" si="2185"/>
        <v>0</v>
      </c>
      <c r="XB404" s="92">
        <f t="shared" si="2186"/>
        <v>190998.59101832123</v>
      </c>
      <c r="XC404" s="92">
        <f t="shared" si="2187"/>
        <v>17673837.967106938</v>
      </c>
      <c r="XD404" s="89"/>
      <c r="XE404" s="92"/>
      <c r="XF404" s="92"/>
      <c r="XG404" s="89"/>
      <c r="XH404" s="92"/>
      <c r="XI404" s="92"/>
      <c r="XJ404" s="89"/>
      <c r="XK404" s="87"/>
      <c r="XL404" s="87"/>
      <c r="XM404" s="87"/>
      <c r="XN404" s="87"/>
      <c r="XO404" s="87"/>
      <c r="XP404" s="87"/>
      <c r="XQ404" s="87"/>
      <c r="XR404" s="92">
        <f t="shared" ca="1" si="2188"/>
        <v>0</v>
      </c>
      <c r="XS404" s="89"/>
      <c r="XT404" s="87"/>
      <c r="XU404" s="87"/>
      <c r="XV404" s="87"/>
      <c r="XW404" s="87"/>
      <c r="XX404" s="87"/>
      <c r="XY404" s="87"/>
      <c r="XZ404" s="87"/>
      <c r="YA404" s="92">
        <f t="shared" ca="1" si="2189"/>
        <v>0</v>
      </c>
      <c r="YB404" s="90"/>
      <c r="YC404" s="90"/>
      <c r="YD404" s="90"/>
      <c r="YE404" s="90"/>
      <c r="YF404" s="90"/>
      <c r="YG404" s="90"/>
      <c r="YH404" s="90"/>
      <c r="YI404" s="90"/>
      <c r="YJ404" s="90"/>
      <c r="YK404" s="90"/>
      <c r="YL404" s="90"/>
      <c r="YM404" s="90"/>
      <c r="YN404" s="90"/>
      <c r="YO404" s="90"/>
      <c r="YP404" s="90"/>
      <c r="YQ404" s="90"/>
      <c r="YR404" s="90"/>
      <c r="YS404" s="90"/>
      <c r="YT404" s="90"/>
      <c r="YU404" s="90"/>
      <c r="YV404" s="90"/>
      <c r="YW404" s="90"/>
      <c r="YX404" s="90"/>
      <c r="YY404" s="90"/>
      <c r="YZ404" s="90"/>
      <c r="ZA404" s="90"/>
      <c r="ZB404" s="90"/>
      <c r="ZC404" s="90"/>
      <c r="ZD404" s="90"/>
      <c r="ZE404" s="90"/>
      <c r="ZF404" s="90"/>
      <c r="ZG404" s="90"/>
      <c r="ZH404" s="90"/>
      <c r="ZI404" s="90"/>
      <c r="ZJ404" s="90"/>
      <c r="ZK404" s="90"/>
      <c r="ZL404" s="90"/>
      <c r="ZM404" s="90"/>
      <c r="ZN404" s="90"/>
      <c r="ZO404" s="90"/>
      <c r="ZP404" s="90"/>
      <c r="ZQ404" s="90"/>
      <c r="ZR404" s="90"/>
      <c r="ZS404" s="90"/>
      <c r="ZT404" s="90"/>
      <c r="ZU404" s="90"/>
      <c r="ZV404" s="90"/>
      <c r="ZW404" s="90"/>
      <c r="ZX404" s="90"/>
      <c r="ZY404" s="90"/>
      <c r="ZZ404" s="90"/>
      <c r="AAA404" s="90"/>
      <c r="AAB404" s="90"/>
      <c r="AAC404" s="90"/>
      <c r="AAD404" s="90"/>
      <c r="AAE404" s="90"/>
      <c r="AAF404" s="90"/>
      <c r="AAG404" s="90"/>
      <c r="AAH404" s="90"/>
      <c r="AAI404" s="90"/>
      <c r="AAJ404" s="90"/>
      <c r="AAK404" s="90"/>
      <c r="AAL404" s="90"/>
      <c r="AAM404" s="90"/>
      <c r="AAN404" s="90"/>
      <c r="AAO404" s="90"/>
      <c r="AAP404" s="90"/>
      <c r="AAQ404" s="90"/>
      <c r="AAR404" s="90"/>
      <c r="AAS404" s="90"/>
      <c r="AAT404" s="90"/>
      <c r="AAU404" s="90"/>
      <c r="AAV404" s="90"/>
      <c r="AAW404" s="90"/>
      <c r="AAX404" s="90"/>
      <c r="AAY404" s="90"/>
      <c r="AAZ404" s="90"/>
      <c r="ABA404" s="90"/>
      <c r="ABB404" s="90"/>
      <c r="ABC404" s="90"/>
      <c r="ABD404" s="90"/>
      <c r="ABE404" s="90"/>
      <c r="ABF404" s="90"/>
      <c r="ABG404" s="90"/>
      <c r="ABH404" s="90"/>
      <c r="ABI404" s="90"/>
      <c r="ABJ404" s="90"/>
      <c r="ABK404" s="90"/>
      <c r="ABL404" s="90"/>
      <c r="ABM404" s="90"/>
      <c r="ABN404" s="90"/>
      <c r="ABO404" s="90"/>
      <c r="ABP404" s="90"/>
      <c r="ABQ404" s="90"/>
      <c r="ABR404" s="90"/>
      <c r="ABS404" s="90"/>
      <c r="ABT404" s="90"/>
      <c r="ABU404" s="90"/>
      <c r="ABV404" s="90"/>
      <c r="ABW404" s="90"/>
      <c r="ABX404" s="90"/>
      <c r="ABY404" s="90"/>
      <c r="ABZ404" s="90"/>
      <c r="ACA404" s="90"/>
      <c r="ACB404" s="90"/>
      <c r="ACC404" s="90"/>
      <c r="ACD404" s="90"/>
      <c r="ACE404" s="90"/>
      <c r="ACF404" s="90"/>
      <c r="ACG404" s="90"/>
      <c r="ACH404" s="90"/>
      <c r="ACI404" s="90"/>
      <c r="ACJ404" s="90"/>
      <c r="ACK404" s="90"/>
      <c r="ACL404" s="90"/>
      <c r="ACM404" s="90"/>
      <c r="ACN404" s="90"/>
      <c r="ACO404" s="90"/>
      <c r="ACP404" s="90"/>
      <c r="ACQ404" s="90"/>
      <c r="ACR404" s="90"/>
      <c r="ACS404" s="90"/>
      <c r="ACT404" s="90"/>
      <c r="ACU404" s="90"/>
      <c r="ACV404" s="90"/>
      <c r="ACW404" s="90"/>
      <c r="ACX404" s="90"/>
      <c r="ACY404" s="90"/>
      <c r="ACZ404" s="90"/>
      <c r="ADA404" s="90"/>
      <c r="ADB404" s="90"/>
      <c r="ADC404" s="90"/>
      <c r="ADD404" s="90"/>
      <c r="ADE404" s="90"/>
      <c r="ADF404" s="90"/>
      <c r="ADG404" s="90"/>
      <c r="ADH404" s="90"/>
      <c r="ADI404" s="90"/>
      <c r="ADJ404" s="90"/>
      <c r="ADK404" s="90"/>
      <c r="ADL404" s="90"/>
      <c r="ADM404" s="90"/>
      <c r="ADN404" s="90"/>
      <c r="ADO404" s="90"/>
      <c r="ADP404" s="90"/>
      <c r="ADQ404" s="90"/>
      <c r="ADR404" s="90"/>
      <c r="ADS404" s="90"/>
      <c r="ADT404" s="90"/>
      <c r="ADU404" s="90"/>
      <c r="ADV404" s="90"/>
      <c r="ADW404" s="90"/>
      <c r="ADX404" s="90"/>
      <c r="ADY404" s="90"/>
      <c r="ADZ404" s="90"/>
      <c r="AEA404" s="90"/>
      <c r="AEB404" s="90"/>
      <c r="AEC404" s="90"/>
      <c r="AED404" s="90"/>
      <c r="AEE404" s="90"/>
      <c r="AEF404" s="90"/>
      <c r="AEG404" s="90"/>
      <c r="AEH404" s="90"/>
      <c r="AEI404" s="90"/>
      <c r="AEJ404" s="90"/>
      <c r="AEK404" s="90"/>
      <c r="AEL404" s="90"/>
      <c r="AEM404" s="90"/>
      <c r="AEN404" s="90"/>
      <c r="AEO404" s="90"/>
      <c r="AEP404" s="90"/>
      <c r="AEQ404" s="90"/>
      <c r="AER404" s="90"/>
      <c r="AES404" s="90"/>
      <c r="AET404" s="90"/>
      <c r="AEU404" s="90"/>
      <c r="AEV404" s="90"/>
      <c r="AEW404" s="90"/>
      <c r="AEX404" s="90"/>
      <c r="AEY404" s="90"/>
      <c r="AEZ404" s="90"/>
      <c r="AFA404" s="90"/>
      <c r="AFB404" s="90"/>
      <c r="AFC404" s="90"/>
      <c r="AFD404" s="90"/>
      <c r="AFE404" s="90"/>
      <c r="AFF404" s="90"/>
      <c r="AFG404" s="90"/>
      <c r="AFH404" s="90"/>
      <c r="AFI404" s="90"/>
      <c r="AFJ404" s="90"/>
      <c r="AFK404" s="90"/>
      <c r="AFL404" s="90"/>
      <c r="AFM404" s="90"/>
      <c r="AFN404" s="90"/>
      <c r="AFO404" s="90"/>
      <c r="AFP404" s="90"/>
      <c r="AFQ404" s="90"/>
      <c r="AFR404" s="90"/>
      <c r="AFS404" s="90"/>
      <c r="AFT404" s="90"/>
      <c r="AFU404" s="90"/>
      <c r="AFV404" s="90"/>
      <c r="AFW404" s="90"/>
      <c r="AFX404" s="90"/>
      <c r="AFY404" s="90"/>
      <c r="AFZ404" s="90"/>
      <c r="AGA404" s="90"/>
      <c r="AGB404" s="90"/>
      <c r="AGC404" s="90"/>
      <c r="AGD404" s="90"/>
      <c r="AGE404" s="90"/>
      <c r="AGF404" s="90"/>
      <c r="AGG404" s="90"/>
      <c r="AGH404" s="90"/>
      <c r="AGI404" s="90"/>
      <c r="AGJ404" s="90"/>
      <c r="AGK404" s="90"/>
      <c r="AGL404" s="90"/>
      <c r="AGM404" s="90"/>
      <c r="AGN404" s="90"/>
      <c r="AGO404" s="90"/>
      <c r="AGP404" s="90"/>
      <c r="AGQ404" s="90"/>
      <c r="AGR404" s="90"/>
      <c r="AGS404" s="90"/>
      <c r="AGT404" s="90"/>
      <c r="AGU404" s="90"/>
      <c r="AGV404" s="90"/>
      <c r="AGW404" s="90"/>
      <c r="AGX404" s="90"/>
      <c r="AGY404" s="90"/>
      <c r="AGZ404" s="90"/>
      <c r="AHA404" s="90"/>
      <c r="AHB404" s="90"/>
      <c r="AHC404" s="90"/>
      <c r="AHD404" s="90"/>
      <c r="AHE404" s="90"/>
      <c r="AHF404" s="90"/>
      <c r="AHG404" s="90"/>
      <c r="AHH404" s="90"/>
      <c r="AHI404" s="90"/>
      <c r="AHJ404" s="90"/>
      <c r="AHK404" s="90"/>
      <c r="AHL404" s="90"/>
      <c r="AHM404" s="90"/>
      <c r="AHN404" s="90"/>
      <c r="AHO404" s="90"/>
      <c r="AHP404" s="90"/>
      <c r="AHQ404" s="90"/>
      <c r="AHR404" s="90"/>
      <c r="AHS404" s="90"/>
      <c r="AHT404" s="90"/>
      <c r="AHU404" s="90"/>
      <c r="AHV404" s="90"/>
      <c r="AHW404" s="90"/>
      <c r="AHX404" s="90"/>
      <c r="AHY404" s="90"/>
      <c r="AHZ404" s="90"/>
      <c r="AIA404" s="90"/>
      <c r="AIB404" s="90"/>
      <c r="AIC404" s="90"/>
      <c r="AID404" s="90"/>
      <c r="AIE404" s="90"/>
      <c r="AIF404" s="90"/>
      <c r="AIG404" s="90"/>
      <c r="AIH404" s="90"/>
      <c r="AII404" s="90"/>
      <c r="AIJ404" s="90"/>
      <c r="AIK404" s="90"/>
      <c r="AIL404" s="90"/>
      <c r="AIM404" s="90"/>
      <c r="AIN404" s="90"/>
      <c r="AIO404" s="90"/>
      <c r="AIP404" s="90"/>
      <c r="AIQ404" s="90"/>
      <c r="AIR404" s="90"/>
      <c r="AIS404" s="90"/>
      <c r="AIT404" s="90"/>
      <c r="AIU404" s="90"/>
      <c r="AIV404" s="90"/>
      <c r="AIW404" s="90"/>
      <c r="AIX404" s="90"/>
      <c r="AIY404" s="90"/>
      <c r="AIZ404" s="90"/>
      <c r="AJA404" s="90"/>
      <c r="AJB404" s="90"/>
      <c r="AJC404" s="90"/>
      <c r="AJD404" s="90"/>
      <c r="AJE404" s="90"/>
      <c r="AJF404" s="90"/>
      <c r="AJG404" s="90"/>
      <c r="AJH404" s="90"/>
      <c r="AJI404" s="90"/>
      <c r="AJJ404" s="90"/>
      <c r="AJK404" s="90"/>
      <c r="AJL404" s="90"/>
      <c r="AJM404" s="90"/>
      <c r="AJN404" s="90"/>
      <c r="AJO404" s="90"/>
      <c r="AJP404" s="90"/>
      <c r="AJQ404" s="90"/>
      <c r="AJR404" s="90"/>
      <c r="AJS404" s="90"/>
      <c r="AJT404" s="90"/>
      <c r="AJU404" s="90"/>
      <c r="AJV404" s="90"/>
      <c r="AJW404" s="90"/>
      <c r="AJX404" s="90"/>
      <c r="AJY404" s="90"/>
      <c r="AJZ404" s="90"/>
      <c r="AKA404" s="90"/>
      <c r="AKB404" s="90"/>
      <c r="AKC404" s="90"/>
      <c r="AKD404" s="90"/>
      <c r="AKE404" s="90"/>
      <c r="AKF404" s="90"/>
      <c r="AKG404" s="90"/>
      <c r="AKH404" s="90"/>
      <c r="AKI404" s="90"/>
      <c r="AKJ404" s="90"/>
      <c r="AKK404" s="90"/>
      <c r="AKL404" s="90"/>
      <c r="AKM404" s="90"/>
      <c r="AKN404" s="90"/>
      <c r="AKO404" s="90"/>
      <c r="AKP404" s="90"/>
      <c r="AKQ404" s="90"/>
      <c r="AKR404" s="90"/>
      <c r="AKS404" s="90"/>
      <c r="AKT404" s="90"/>
      <c r="AKU404" s="90"/>
      <c r="AKV404" s="90"/>
      <c r="AKW404" s="90"/>
      <c r="AKX404" s="90"/>
      <c r="AKY404" s="90"/>
      <c r="AKZ404" s="90"/>
      <c r="ALA404" s="90"/>
      <c r="ALB404" s="90"/>
      <c r="ALC404" s="90"/>
      <c r="ALD404" s="90"/>
      <c r="ALE404" s="90"/>
      <c r="ALF404" s="90"/>
      <c r="ALG404" s="90"/>
      <c r="ALH404" s="90"/>
      <c r="ALI404" s="90"/>
      <c r="ALJ404" s="90"/>
      <c r="ALK404" s="90"/>
      <c r="ALL404" s="90"/>
      <c r="ALM404" s="90"/>
      <c r="ALN404" s="90"/>
      <c r="ALO404" s="90"/>
      <c r="ALP404" s="90"/>
      <c r="ALQ404" s="90"/>
      <c r="ALR404" s="90"/>
      <c r="ALS404" s="90"/>
      <c r="ALT404" s="90"/>
      <c r="ALU404" s="90"/>
      <c r="ALV404" s="90"/>
      <c r="ALW404" s="90"/>
      <c r="ALX404" s="90"/>
      <c r="ALY404" s="90"/>
      <c r="ALZ404" s="90"/>
      <c r="AMA404" s="90"/>
      <c r="AMB404" s="90"/>
      <c r="AMC404" s="90"/>
    </row>
    <row r="405" spans="1:1017">
      <c r="A405" s="98" t="s">
        <v>55</v>
      </c>
      <c r="B405" s="90" t="str">
        <f t="shared" si="2095"/>
        <v>Kerapu Macan</v>
      </c>
      <c r="C405" s="610"/>
      <c r="D405" s="610"/>
      <c r="Q405" s="91">
        <f t="shared" si="2096"/>
        <v>0</v>
      </c>
      <c r="R405" s="91">
        <f t="shared" si="2097"/>
        <v>0</v>
      </c>
      <c r="S405" s="610"/>
      <c r="T405" s="610"/>
      <c r="AG405" s="91">
        <f t="shared" si="2098"/>
        <v>0</v>
      </c>
      <c r="AH405" s="91">
        <f t="shared" si="2099"/>
        <v>0</v>
      </c>
      <c r="AI405" s="610"/>
      <c r="AJ405" s="610"/>
      <c r="AW405" s="91">
        <f t="shared" si="2100"/>
        <v>0</v>
      </c>
      <c r="AX405" s="91">
        <f t="shared" si="2101"/>
        <v>0</v>
      </c>
      <c r="AY405" s="610"/>
      <c r="AZ405" s="610"/>
      <c r="BM405" s="91">
        <f t="shared" si="2102"/>
        <v>0</v>
      </c>
      <c r="BN405" s="91">
        <f t="shared" si="2103"/>
        <v>0</v>
      </c>
      <c r="BO405" s="610"/>
      <c r="BP405" s="610"/>
      <c r="CC405" s="91">
        <f t="shared" si="2104"/>
        <v>0</v>
      </c>
      <c r="CD405" s="91">
        <f t="shared" si="2105"/>
        <v>0</v>
      </c>
      <c r="CE405" s="610"/>
      <c r="CF405" s="797"/>
      <c r="CS405" s="91">
        <f t="shared" si="2106"/>
        <v>0</v>
      </c>
      <c r="CT405" s="91">
        <f t="shared" si="2107"/>
        <v>0</v>
      </c>
      <c r="CU405" s="610"/>
      <c r="CV405" s="610"/>
      <c r="DI405" s="91">
        <f t="shared" si="2108"/>
        <v>0</v>
      </c>
      <c r="DJ405" s="91">
        <f t="shared" si="2109"/>
        <v>0</v>
      </c>
      <c r="DK405" s="610"/>
      <c r="DL405" s="610"/>
      <c r="DY405" s="91">
        <f t="shared" si="2110"/>
        <v>0</v>
      </c>
      <c r="DZ405" s="91">
        <f t="shared" si="2111"/>
        <v>0</v>
      </c>
      <c r="EA405" s="610"/>
      <c r="EB405" s="610"/>
      <c r="EO405" s="91">
        <f t="shared" si="2112"/>
        <v>0</v>
      </c>
      <c r="EP405" s="91">
        <f t="shared" si="2113"/>
        <v>0</v>
      </c>
      <c r="EQ405" s="610"/>
      <c r="ER405" s="610"/>
      <c r="FE405" s="91">
        <f t="shared" si="2114"/>
        <v>0</v>
      </c>
      <c r="FF405" s="91">
        <f t="shared" si="2115"/>
        <v>0</v>
      </c>
      <c r="FG405" s="791"/>
      <c r="FH405" s="791"/>
      <c r="FU405" s="91">
        <f t="shared" si="2116"/>
        <v>0</v>
      </c>
      <c r="FV405" s="91">
        <f t="shared" si="2117"/>
        <v>0</v>
      </c>
      <c r="FW405" s="610"/>
      <c r="FX405" s="610"/>
      <c r="GK405" s="91">
        <f t="shared" si="2118"/>
        <v>0</v>
      </c>
      <c r="GL405" s="91">
        <f t="shared" si="2119"/>
        <v>0</v>
      </c>
      <c r="GM405" s="610"/>
      <c r="GN405" s="610"/>
      <c r="HA405" s="91">
        <f t="shared" si="2120"/>
        <v>0</v>
      </c>
      <c r="HB405" s="91">
        <f t="shared" si="2121"/>
        <v>0</v>
      </c>
      <c r="HC405" s="610"/>
      <c r="HD405" s="610"/>
      <c r="HQ405" s="91">
        <f t="shared" si="2122"/>
        <v>0</v>
      </c>
      <c r="HR405" s="91">
        <f t="shared" si="2123"/>
        <v>0</v>
      </c>
      <c r="HS405" s="610"/>
      <c r="HT405" s="610"/>
      <c r="IG405" s="91">
        <f t="shared" si="2124"/>
        <v>0</v>
      </c>
      <c r="IH405" s="91">
        <f t="shared" si="2125"/>
        <v>0</v>
      </c>
      <c r="II405" s="610"/>
      <c r="IJ405" s="610"/>
      <c r="IW405" s="91">
        <f t="shared" si="2126"/>
        <v>0</v>
      </c>
      <c r="IX405" s="91">
        <f t="shared" si="2127"/>
        <v>0</v>
      </c>
      <c r="IY405" s="610"/>
      <c r="IZ405" s="610"/>
      <c r="JM405" s="91">
        <f t="shared" si="2128"/>
        <v>0</v>
      </c>
      <c r="JN405" s="91">
        <f t="shared" si="2129"/>
        <v>0</v>
      </c>
      <c r="JO405" s="610"/>
      <c r="JP405" s="610"/>
      <c r="KC405" s="91">
        <f t="shared" si="2130"/>
        <v>0</v>
      </c>
      <c r="KD405" s="91">
        <f t="shared" si="2131"/>
        <v>0</v>
      </c>
      <c r="KE405" s="610"/>
      <c r="KF405" s="610"/>
      <c r="KS405" s="91">
        <f t="shared" si="2132"/>
        <v>0</v>
      </c>
      <c r="KT405" s="91">
        <f t="shared" si="2133"/>
        <v>0</v>
      </c>
      <c r="KU405" s="610"/>
      <c r="KV405" s="610"/>
      <c r="LI405" s="91">
        <f t="shared" si="2134"/>
        <v>0</v>
      </c>
      <c r="LJ405" s="91">
        <f t="shared" si="2135"/>
        <v>0</v>
      </c>
      <c r="LK405" s="610"/>
      <c r="LL405" s="610"/>
      <c r="LY405" s="91">
        <f t="shared" si="2136"/>
        <v>0</v>
      </c>
      <c r="LZ405" s="91">
        <f t="shared" si="2137"/>
        <v>0</v>
      </c>
      <c r="MA405" s="610"/>
      <c r="MB405" s="610"/>
      <c r="MO405" s="91">
        <f t="shared" si="2138"/>
        <v>0</v>
      </c>
      <c r="MP405" s="91">
        <f t="shared" si="2139"/>
        <v>0</v>
      </c>
      <c r="MQ405" s="610"/>
      <c r="MR405" s="610"/>
      <c r="NE405" s="91">
        <f t="shared" si="2140"/>
        <v>0</v>
      </c>
      <c r="NF405" s="91">
        <f t="shared" si="2141"/>
        <v>0</v>
      </c>
      <c r="NG405" s="610"/>
      <c r="NH405" s="610"/>
      <c r="NU405" s="91">
        <f t="shared" si="2142"/>
        <v>0</v>
      </c>
      <c r="NV405" s="91">
        <f t="shared" si="2143"/>
        <v>0</v>
      </c>
      <c r="NW405" s="610"/>
      <c r="NX405" s="610"/>
      <c r="OK405" s="91">
        <f t="shared" si="2144"/>
        <v>0</v>
      </c>
      <c r="OL405" s="91">
        <f t="shared" si="2145"/>
        <v>0</v>
      </c>
      <c r="OM405" s="610">
        <v>26770</v>
      </c>
      <c r="ON405" s="610">
        <v>5354000</v>
      </c>
      <c r="PA405" s="91">
        <f>SUMIF($C$12:$P$12,$A$1,OM405:OZ405)</f>
        <v>26770</v>
      </c>
      <c r="PB405" s="91">
        <f>SUMIF($C$12:$P$12,$A$3,OM405:OZ405)</f>
        <v>5354000</v>
      </c>
      <c r="PC405" s="610"/>
      <c r="PD405" s="610"/>
      <c r="PQ405" s="91">
        <f t="shared" si="2148"/>
        <v>0</v>
      </c>
      <c r="PR405" s="91">
        <f t="shared" si="2149"/>
        <v>0</v>
      </c>
      <c r="PS405" s="793"/>
      <c r="PT405" s="793"/>
      <c r="QG405" s="91">
        <f t="shared" si="2150"/>
        <v>0</v>
      </c>
      <c r="QH405" s="91">
        <f t="shared" si="2151"/>
        <v>0</v>
      </c>
      <c r="QI405" s="610"/>
      <c r="QJ405" s="610"/>
      <c r="QW405" s="91">
        <f t="shared" si="2152"/>
        <v>0</v>
      </c>
      <c r="QX405" s="91">
        <f t="shared" si="2153"/>
        <v>0</v>
      </c>
      <c r="QY405" s="610"/>
      <c r="QZ405" s="610"/>
      <c r="RM405" s="91">
        <f t="shared" si="2154"/>
        <v>0</v>
      </c>
      <c r="RN405" s="91">
        <f t="shared" si="2155"/>
        <v>0</v>
      </c>
      <c r="RO405" s="610"/>
      <c r="RP405" s="610"/>
      <c r="SC405" s="91">
        <f t="shared" si="2156"/>
        <v>0</v>
      </c>
      <c r="SD405" s="91">
        <f t="shared" si="2157"/>
        <v>0</v>
      </c>
      <c r="SE405" s="610"/>
      <c r="SF405" s="610"/>
      <c r="SS405" s="91">
        <f t="shared" si="2158"/>
        <v>0</v>
      </c>
      <c r="ST405" s="91">
        <f t="shared" si="2159"/>
        <v>0</v>
      </c>
      <c r="SU405" s="610"/>
      <c r="SV405" s="610"/>
      <c r="TI405" s="91">
        <f t="shared" si="2160"/>
        <v>0</v>
      </c>
      <c r="TJ405" s="91">
        <f t="shared" si="2161"/>
        <v>0</v>
      </c>
      <c r="TK405" s="610"/>
      <c r="TL405" s="610"/>
      <c r="TY405" s="91">
        <f t="shared" si="2162"/>
        <v>0</v>
      </c>
      <c r="TZ405" s="91">
        <f t="shared" si="2163"/>
        <v>0</v>
      </c>
      <c r="UA405" s="610"/>
      <c r="UB405" s="610"/>
      <c r="UO405" s="91">
        <f t="shared" si="2164"/>
        <v>0</v>
      </c>
      <c r="UP405" s="91">
        <f t="shared" si="2165"/>
        <v>0</v>
      </c>
      <c r="UQ405" s="610"/>
      <c r="UR405" s="610"/>
      <c r="VE405" s="91">
        <f t="shared" si="2166"/>
        <v>0</v>
      </c>
      <c r="VF405" s="91">
        <f t="shared" si="2167"/>
        <v>0</v>
      </c>
      <c r="VG405" s="610"/>
      <c r="VH405" s="610"/>
      <c r="VU405" s="91">
        <f t="shared" si="2168"/>
        <v>0</v>
      </c>
      <c r="VV405" s="91">
        <f t="shared" si="2169"/>
        <v>0</v>
      </c>
      <c r="VW405" s="791"/>
      <c r="VX405" s="791"/>
      <c r="WK405" s="91">
        <f t="shared" si="2170"/>
        <v>0</v>
      </c>
      <c r="WL405" s="91">
        <f t="shared" si="2171"/>
        <v>0</v>
      </c>
      <c r="WM405" s="89"/>
      <c r="WN405" s="87">
        <f t="shared" si="2172"/>
        <v>26770</v>
      </c>
      <c r="WO405" s="87">
        <f t="shared" si="2173"/>
        <v>5354000</v>
      </c>
      <c r="WP405" s="87">
        <f t="shared" si="2174"/>
        <v>0</v>
      </c>
      <c r="WQ405" s="87">
        <f t="shared" si="2175"/>
        <v>0</v>
      </c>
      <c r="WR405" s="87">
        <f t="shared" si="2176"/>
        <v>0</v>
      </c>
      <c r="WS405" s="87">
        <f t="shared" si="2177"/>
        <v>0</v>
      </c>
      <c r="WT405" s="87">
        <f t="shared" si="2178"/>
        <v>0</v>
      </c>
      <c r="WU405" s="87">
        <f t="shared" si="2179"/>
        <v>0</v>
      </c>
      <c r="WV405" s="87">
        <f t="shared" si="2180"/>
        <v>0</v>
      </c>
      <c r="WW405" s="87">
        <f t="shared" si="2181"/>
        <v>0</v>
      </c>
      <c r="WX405" s="87">
        <f t="shared" si="2182"/>
        <v>0</v>
      </c>
      <c r="WY405" s="87">
        <f t="shared" si="2183"/>
        <v>0</v>
      </c>
      <c r="WZ405" s="87">
        <f t="shared" si="2184"/>
        <v>0</v>
      </c>
      <c r="XA405" s="87">
        <f t="shared" si="2185"/>
        <v>0</v>
      </c>
      <c r="XB405" s="92">
        <f t="shared" si="2186"/>
        <v>26770</v>
      </c>
      <c r="XC405" s="92">
        <f t="shared" si="2187"/>
        <v>5354000</v>
      </c>
      <c r="XD405" s="89"/>
      <c r="XE405" s="92"/>
      <c r="XF405" s="92"/>
      <c r="XG405" s="89"/>
      <c r="XH405" s="92"/>
      <c r="XI405" s="92"/>
      <c r="XJ405" s="89"/>
      <c r="XK405" s="87"/>
      <c r="XL405" s="87"/>
      <c r="XM405" s="87"/>
      <c r="XN405" s="87"/>
      <c r="XO405" s="87"/>
      <c r="XP405" s="87"/>
      <c r="XQ405" s="87"/>
      <c r="XR405" s="92">
        <f t="shared" ca="1" si="2188"/>
        <v>0</v>
      </c>
      <c r="XS405" s="89"/>
      <c r="XT405" s="87"/>
      <c r="XU405" s="87"/>
      <c r="XV405" s="87"/>
      <c r="XW405" s="87"/>
      <c r="XX405" s="87"/>
      <c r="XY405" s="87"/>
      <c r="XZ405" s="87"/>
      <c r="YA405" s="92">
        <f t="shared" ca="1" si="2189"/>
        <v>0</v>
      </c>
      <c r="YB405" s="90"/>
      <c r="YC405" s="90"/>
      <c r="YD405" s="90"/>
      <c r="YE405" s="90"/>
      <c r="YF405" s="90"/>
      <c r="YG405" s="90"/>
      <c r="YH405" s="90"/>
      <c r="YI405" s="90"/>
      <c r="YJ405" s="90"/>
      <c r="YK405" s="90"/>
      <c r="YL405" s="90"/>
      <c r="YM405" s="90"/>
      <c r="YN405" s="90"/>
      <c r="YO405" s="90"/>
      <c r="YP405" s="90"/>
      <c r="YQ405" s="90"/>
      <c r="YR405" s="90"/>
      <c r="YS405" s="90"/>
      <c r="YT405" s="90"/>
      <c r="YU405" s="90"/>
      <c r="YV405" s="90"/>
      <c r="YW405" s="90"/>
      <c r="YX405" s="90"/>
      <c r="YY405" s="90"/>
      <c r="YZ405" s="90"/>
      <c r="ZA405" s="90"/>
      <c r="ZB405" s="90"/>
      <c r="ZC405" s="90"/>
      <c r="ZD405" s="90"/>
      <c r="ZE405" s="90"/>
      <c r="ZF405" s="90"/>
      <c r="ZG405" s="90"/>
      <c r="ZH405" s="90"/>
      <c r="ZI405" s="90"/>
      <c r="ZJ405" s="90"/>
      <c r="ZK405" s="90"/>
      <c r="ZL405" s="90"/>
      <c r="ZM405" s="90"/>
      <c r="ZN405" s="90"/>
      <c r="ZO405" s="90"/>
      <c r="ZP405" s="90"/>
      <c r="ZQ405" s="90"/>
      <c r="ZR405" s="90"/>
      <c r="ZS405" s="90"/>
      <c r="ZT405" s="90"/>
      <c r="ZU405" s="90"/>
      <c r="ZV405" s="90"/>
      <c r="ZW405" s="90"/>
      <c r="ZX405" s="90"/>
      <c r="ZY405" s="90"/>
      <c r="ZZ405" s="90"/>
      <c r="AAA405" s="90"/>
      <c r="AAB405" s="90"/>
      <c r="AAC405" s="90"/>
      <c r="AAD405" s="90"/>
      <c r="AAE405" s="90"/>
      <c r="AAF405" s="90"/>
      <c r="AAG405" s="90"/>
      <c r="AAH405" s="90"/>
      <c r="AAI405" s="90"/>
      <c r="AAJ405" s="90"/>
      <c r="AAK405" s="90"/>
      <c r="AAL405" s="90"/>
      <c r="AAM405" s="90"/>
      <c r="AAN405" s="90"/>
      <c r="AAO405" s="90"/>
      <c r="AAP405" s="90"/>
      <c r="AAQ405" s="90"/>
      <c r="AAR405" s="90"/>
      <c r="AAS405" s="90"/>
      <c r="AAT405" s="90"/>
      <c r="AAU405" s="90"/>
      <c r="AAV405" s="90"/>
      <c r="AAW405" s="90"/>
      <c r="AAX405" s="90"/>
      <c r="AAY405" s="90"/>
      <c r="AAZ405" s="90"/>
      <c r="ABA405" s="90"/>
      <c r="ABB405" s="90"/>
      <c r="ABC405" s="90"/>
      <c r="ABD405" s="90"/>
      <c r="ABE405" s="90"/>
      <c r="ABF405" s="90"/>
      <c r="ABG405" s="90"/>
      <c r="ABH405" s="90"/>
      <c r="ABI405" s="90"/>
      <c r="ABJ405" s="90"/>
      <c r="ABK405" s="90"/>
      <c r="ABL405" s="90"/>
      <c r="ABM405" s="90"/>
      <c r="ABN405" s="90"/>
      <c r="ABO405" s="90"/>
      <c r="ABP405" s="90"/>
      <c r="ABQ405" s="90"/>
      <c r="ABR405" s="90"/>
      <c r="ABS405" s="90"/>
      <c r="ABT405" s="90"/>
      <c r="ABU405" s="90"/>
      <c r="ABV405" s="90"/>
      <c r="ABW405" s="90"/>
      <c r="ABX405" s="90"/>
      <c r="ABY405" s="90"/>
      <c r="ABZ405" s="90"/>
      <c r="ACA405" s="90"/>
      <c r="ACB405" s="90"/>
      <c r="ACC405" s="90"/>
      <c r="ACD405" s="90"/>
      <c r="ACE405" s="90"/>
      <c r="ACF405" s="90"/>
      <c r="ACG405" s="90"/>
      <c r="ACH405" s="90"/>
      <c r="ACI405" s="90"/>
      <c r="ACJ405" s="90"/>
      <c r="ACK405" s="90"/>
      <c r="ACL405" s="90"/>
      <c r="ACM405" s="90"/>
      <c r="ACN405" s="90"/>
      <c r="ACO405" s="90"/>
      <c r="ACP405" s="90"/>
      <c r="ACQ405" s="90"/>
      <c r="ACR405" s="90"/>
      <c r="ACS405" s="90"/>
      <c r="ACT405" s="90"/>
      <c r="ACU405" s="90"/>
      <c r="ACV405" s="90"/>
      <c r="ACW405" s="90"/>
      <c r="ACX405" s="90"/>
      <c r="ACY405" s="90"/>
      <c r="ACZ405" s="90"/>
      <c r="ADA405" s="90"/>
      <c r="ADB405" s="90"/>
      <c r="ADC405" s="90"/>
      <c r="ADD405" s="90"/>
      <c r="ADE405" s="90"/>
      <c r="ADF405" s="90"/>
      <c r="ADG405" s="90"/>
      <c r="ADH405" s="90"/>
      <c r="ADI405" s="90"/>
      <c r="ADJ405" s="90"/>
      <c r="ADK405" s="90"/>
      <c r="ADL405" s="90"/>
      <c r="ADM405" s="90"/>
      <c r="ADN405" s="90"/>
      <c r="ADO405" s="90"/>
      <c r="ADP405" s="90"/>
      <c r="ADQ405" s="90"/>
      <c r="ADR405" s="90"/>
      <c r="ADS405" s="90"/>
      <c r="ADT405" s="90"/>
      <c r="ADU405" s="90"/>
      <c r="ADV405" s="90"/>
      <c r="ADW405" s="90"/>
      <c r="ADX405" s="90"/>
      <c r="ADY405" s="90"/>
      <c r="ADZ405" s="90"/>
      <c r="AEA405" s="90"/>
      <c r="AEB405" s="90"/>
      <c r="AEC405" s="90"/>
      <c r="AED405" s="90"/>
      <c r="AEE405" s="90"/>
      <c r="AEF405" s="90"/>
      <c r="AEG405" s="90"/>
      <c r="AEH405" s="90"/>
      <c r="AEI405" s="90"/>
      <c r="AEJ405" s="90"/>
      <c r="AEK405" s="90"/>
      <c r="AEL405" s="90"/>
      <c r="AEM405" s="90"/>
      <c r="AEN405" s="90"/>
      <c r="AEO405" s="90"/>
      <c r="AEP405" s="90"/>
      <c r="AEQ405" s="90"/>
      <c r="AER405" s="90"/>
      <c r="AES405" s="90"/>
      <c r="AET405" s="90"/>
      <c r="AEU405" s="90"/>
      <c r="AEV405" s="90"/>
      <c r="AEW405" s="90"/>
      <c r="AEX405" s="90"/>
      <c r="AEY405" s="90"/>
      <c r="AEZ405" s="90"/>
      <c r="AFA405" s="90"/>
      <c r="AFB405" s="90"/>
      <c r="AFC405" s="90"/>
      <c r="AFD405" s="90"/>
      <c r="AFE405" s="90"/>
      <c r="AFF405" s="90"/>
      <c r="AFG405" s="90"/>
      <c r="AFH405" s="90"/>
      <c r="AFI405" s="90"/>
      <c r="AFJ405" s="90"/>
      <c r="AFK405" s="90"/>
      <c r="AFL405" s="90"/>
      <c r="AFM405" s="90"/>
      <c r="AFN405" s="90"/>
      <c r="AFO405" s="90"/>
      <c r="AFP405" s="90"/>
      <c r="AFQ405" s="90"/>
      <c r="AFR405" s="90"/>
      <c r="AFS405" s="90"/>
      <c r="AFT405" s="90"/>
      <c r="AFU405" s="90"/>
      <c r="AFV405" s="90"/>
      <c r="AFW405" s="90"/>
      <c r="AFX405" s="90"/>
      <c r="AFY405" s="90"/>
      <c r="AFZ405" s="90"/>
      <c r="AGA405" s="90"/>
      <c r="AGB405" s="90"/>
      <c r="AGC405" s="90"/>
      <c r="AGD405" s="90"/>
      <c r="AGE405" s="90"/>
      <c r="AGF405" s="90"/>
      <c r="AGG405" s="90"/>
      <c r="AGH405" s="90"/>
      <c r="AGI405" s="90"/>
      <c r="AGJ405" s="90"/>
      <c r="AGK405" s="90"/>
      <c r="AGL405" s="90"/>
      <c r="AGM405" s="90"/>
      <c r="AGN405" s="90"/>
      <c r="AGO405" s="90"/>
      <c r="AGP405" s="90"/>
      <c r="AGQ405" s="90"/>
      <c r="AGR405" s="90"/>
      <c r="AGS405" s="90"/>
      <c r="AGT405" s="90"/>
      <c r="AGU405" s="90"/>
      <c r="AGV405" s="90"/>
      <c r="AGW405" s="90"/>
      <c r="AGX405" s="90"/>
      <c r="AGY405" s="90"/>
      <c r="AGZ405" s="90"/>
      <c r="AHA405" s="90"/>
      <c r="AHB405" s="90"/>
      <c r="AHC405" s="90"/>
      <c r="AHD405" s="90"/>
      <c r="AHE405" s="90"/>
      <c r="AHF405" s="90"/>
      <c r="AHG405" s="90"/>
      <c r="AHH405" s="90"/>
      <c r="AHI405" s="90"/>
      <c r="AHJ405" s="90"/>
      <c r="AHK405" s="90"/>
      <c r="AHL405" s="90"/>
      <c r="AHM405" s="90"/>
      <c r="AHN405" s="90"/>
      <c r="AHO405" s="90"/>
      <c r="AHP405" s="90"/>
      <c r="AHQ405" s="90"/>
      <c r="AHR405" s="90"/>
      <c r="AHS405" s="90"/>
      <c r="AHT405" s="90"/>
      <c r="AHU405" s="90"/>
      <c r="AHV405" s="90"/>
      <c r="AHW405" s="90"/>
      <c r="AHX405" s="90"/>
      <c r="AHY405" s="90"/>
      <c r="AHZ405" s="90"/>
      <c r="AIA405" s="90"/>
      <c r="AIB405" s="90"/>
      <c r="AIC405" s="90"/>
      <c r="AID405" s="90"/>
      <c r="AIE405" s="90"/>
      <c r="AIF405" s="90"/>
      <c r="AIG405" s="90"/>
      <c r="AIH405" s="90"/>
      <c r="AII405" s="90"/>
      <c r="AIJ405" s="90"/>
      <c r="AIK405" s="90"/>
      <c r="AIL405" s="90"/>
      <c r="AIM405" s="90"/>
      <c r="AIN405" s="90"/>
      <c r="AIO405" s="90"/>
      <c r="AIP405" s="90"/>
      <c r="AIQ405" s="90"/>
      <c r="AIR405" s="90"/>
      <c r="AIS405" s="90"/>
      <c r="AIT405" s="90"/>
      <c r="AIU405" s="90"/>
      <c r="AIV405" s="90"/>
      <c r="AIW405" s="90"/>
      <c r="AIX405" s="90"/>
      <c r="AIY405" s="90"/>
      <c r="AIZ405" s="90"/>
      <c r="AJA405" s="90"/>
      <c r="AJB405" s="90"/>
      <c r="AJC405" s="90"/>
      <c r="AJD405" s="90"/>
      <c r="AJE405" s="90"/>
      <c r="AJF405" s="90"/>
      <c r="AJG405" s="90"/>
      <c r="AJH405" s="90"/>
      <c r="AJI405" s="90"/>
      <c r="AJJ405" s="90"/>
      <c r="AJK405" s="90"/>
      <c r="AJL405" s="90"/>
      <c r="AJM405" s="90"/>
      <c r="AJN405" s="90"/>
      <c r="AJO405" s="90"/>
      <c r="AJP405" s="90"/>
      <c r="AJQ405" s="90"/>
      <c r="AJR405" s="90"/>
      <c r="AJS405" s="90"/>
      <c r="AJT405" s="90"/>
      <c r="AJU405" s="90"/>
      <c r="AJV405" s="90"/>
      <c r="AJW405" s="90"/>
      <c r="AJX405" s="90"/>
      <c r="AJY405" s="90"/>
      <c r="AJZ405" s="90"/>
      <c r="AKA405" s="90"/>
      <c r="AKB405" s="90"/>
      <c r="AKC405" s="90"/>
      <c r="AKD405" s="90"/>
      <c r="AKE405" s="90"/>
      <c r="AKF405" s="90"/>
      <c r="AKG405" s="90"/>
      <c r="AKH405" s="90"/>
      <c r="AKI405" s="90"/>
      <c r="AKJ405" s="90"/>
      <c r="AKK405" s="90"/>
      <c r="AKL405" s="90"/>
      <c r="AKM405" s="90"/>
      <c r="AKN405" s="90"/>
      <c r="AKO405" s="90"/>
      <c r="AKP405" s="90"/>
      <c r="AKQ405" s="90"/>
      <c r="AKR405" s="90"/>
      <c r="AKS405" s="90"/>
      <c r="AKT405" s="90"/>
      <c r="AKU405" s="90"/>
      <c r="AKV405" s="90"/>
      <c r="AKW405" s="90"/>
      <c r="AKX405" s="90"/>
      <c r="AKY405" s="90"/>
      <c r="AKZ405" s="90"/>
      <c r="ALA405" s="90"/>
      <c r="ALB405" s="90"/>
      <c r="ALC405" s="90"/>
      <c r="ALD405" s="90"/>
      <c r="ALE405" s="90"/>
      <c r="ALF405" s="90"/>
      <c r="ALG405" s="90"/>
      <c r="ALH405" s="90"/>
      <c r="ALI405" s="90"/>
      <c r="ALJ405" s="90"/>
      <c r="ALK405" s="90"/>
      <c r="ALL405" s="90"/>
      <c r="ALM405" s="90"/>
      <c r="ALN405" s="90"/>
      <c r="ALO405" s="90"/>
      <c r="ALP405" s="90"/>
      <c r="ALQ405" s="90"/>
      <c r="ALR405" s="90"/>
      <c r="ALS405" s="90"/>
      <c r="ALT405" s="90"/>
      <c r="ALU405" s="90"/>
      <c r="ALV405" s="90"/>
      <c r="ALW405" s="90"/>
      <c r="ALX405" s="90"/>
      <c r="ALY405" s="90"/>
      <c r="ALZ405" s="90"/>
      <c r="AMA405" s="90"/>
      <c r="AMB405" s="90"/>
      <c r="AMC405" s="90"/>
    </row>
    <row r="406" spans="1:1017">
      <c r="A406" s="98" t="s">
        <v>55</v>
      </c>
      <c r="B406" s="90" t="str">
        <f t="shared" si="2095"/>
        <v>Kerong Kerong</v>
      </c>
      <c r="J406" s="611"/>
      <c r="Q406" s="91">
        <f t="shared" si="2096"/>
        <v>0</v>
      </c>
      <c r="R406" s="91">
        <f t="shared" si="2097"/>
        <v>0</v>
      </c>
      <c r="Z406" s="611"/>
      <c r="AG406" s="91">
        <f t="shared" si="2098"/>
        <v>0</v>
      </c>
      <c r="AH406" s="91">
        <f t="shared" si="2099"/>
        <v>0</v>
      </c>
      <c r="AP406" s="611"/>
      <c r="AW406" s="91">
        <f t="shared" si="2100"/>
        <v>0</v>
      </c>
      <c r="AX406" s="91">
        <f t="shared" si="2101"/>
        <v>0</v>
      </c>
      <c r="BF406" s="611"/>
      <c r="BM406" s="91">
        <f t="shared" si="2102"/>
        <v>0</v>
      </c>
      <c r="BN406" s="91">
        <f t="shared" si="2103"/>
        <v>0</v>
      </c>
      <c r="BV406" s="611"/>
      <c r="CC406" s="91">
        <f t="shared" si="2104"/>
        <v>0</v>
      </c>
      <c r="CD406" s="91">
        <f t="shared" si="2105"/>
        <v>0</v>
      </c>
      <c r="CL406" s="611"/>
      <c r="CS406" s="91">
        <f t="shared" si="2106"/>
        <v>0</v>
      </c>
      <c r="CT406" s="91">
        <f t="shared" si="2107"/>
        <v>0</v>
      </c>
      <c r="DB406" s="611"/>
      <c r="DI406" s="91">
        <f t="shared" si="2108"/>
        <v>0</v>
      </c>
      <c r="DJ406" s="91">
        <f t="shared" si="2109"/>
        <v>0</v>
      </c>
      <c r="DR406" s="611"/>
      <c r="DY406" s="91">
        <f t="shared" si="2110"/>
        <v>0</v>
      </c>
      <c r="DZ406" s="91">
        <f t="shared" si="2111"/>
        <v>0</v>
      </c>
      <c r="EH406" s="611"/>
      <c r="EO406" s="91">
        <f t="shared" si="2112"/>
        <v>0</v>
      </c>
      <c r="EP406" s="91">
        <f t="shared" si="2113"/>
        <v>0</v>
      </c>
      <c r="EX406" s="611"/>
      <c r="FE406" s="91">
        <f t="shared" si="2114"/>
        <v>0</v>
      </c>
      <c r="FF406" s="91">
        <f t="shared" si="2115"/>
        <v>0</v>
      </c>
      <c r="FN406" s="611"/>
      <c r="FU406" s="91">
        <f t="shared" si="2116"/>
        <v>0</v>
      </c>
      <c r="FV406" s="91">
        <f t="shared" si="2117"/>
        <v>0</v>
      </c>
      <c r="GD406" s="611"/>
      <c r="GK406" s="91">
        <f t="shared" si="2118"/>
        <v>0</v>
      </c>
      <c r="GL406" s="91">
        <f t="shared" si="2119"/>
        <v>0</v>
      </c>
      <c r="GT406" s="611"/>
      <c r="HA406" s="91">
        <f t="shared" si="2120"/>
        <v>0</v>
      </c>
      <c r="HB406" s="91">
        <f t="shared" si="2121"/>
        <v>0</v>
      </c>
      <c r="HJ406" s="611"/>
      <c r="HQ406" s="91">
        <f t="shared" si="2122"/>
        <v>0</v>
      </c>
      <c r="HR406" s="91">
        <f t="shared" si="2123"/>
        <v>0</v>
      </c>
      <c r="HZ406" s="611"/>
      <c r="IG406" s="91">
        <f t="shared" si="2124"/>
        <v>0</v>
      </c>
      <c r="IH406" s="91">
        <f t="shared" si="2125"/>
        <v>0</v>
      </c>
      <c r="IP406" s="611"/>
      <c r="IW406" s="91">
        <f t="shared" si="2126"/>
        <v>0</v>
      </c>
      <c r="IX406" s="91">
        <f t="shared" si="2127"/>
        <v>0</v>
      </c>
      <c r="JF406" s="611"/>
      <c r="JM406" s="91">
        <f t="shared" si="2128"/>
        <v>0</v>
      </c>
      <c r="JN406" s="91">
        <f t="shared" si="2129"/>
        <v>0</v>
      </c>
      <c r="JV406" s="611"/>
      <c r="KC406" s="91">
        <f t="shared" si="2130"/>
        <v>0</v>
      </c>
      <c r="KD406" s="91">
        <f t="shared" si="2131"/>
        <v>0</v>
      </c>
      <c r="KL406" s="611"/>
      <c r="KS406" s="91">
        <f t="shared" si="2132"/>
        <v>0</v>
      </c>
      <c r="KT406" s="91">
        <f t="shared" si="2133"/>
        <v>0</v>
      </c>
      <c r="LB406" s="611"/>
      <c r="LI406" s="91">
        <f t="shared" si="2134"/>
        <v>0</v>
      </c>
      <c r="LJ406" s="91">
        <f t="shared" si="2135"/>
        <v>0</v>
      </c>
      <c r="LR406" s="611"/>
      <c r="LY406" s="91">
        <f t="shared" si="2136"/>
        <v>0</v>
      </c>
      <c r="LZ406" s="91">
        <f t="shared" si="2137"/>
        <v>0</v>
      </c>
      <c r="MH406" s="611"/>
      <c r="MO406" s="91">
        <f t="shared" si="2138"/>
        <v>0</v>
      </c>
      <c r="MP406" s="91">
        <f t="shared" si="2139"/>
        <v>0</v>
      </c>
      <c r="MX406" s="611"/>
      <c r="NE406" s="91">
        <f t="shared" si="2140"/>
        <v>0</v>
      </c>
      <c r="NF406" s="91">
        <f t="shared" si="2141"/>
        <v>0</v>
      </c>
      <c r="NN406" s="611"/>
      <c r="NU406" s="91">
        <f t="shared" si="2142"/>
        <v>0</v>
      </c>
      <c r="NV406" s="91">
        <f t="shared" si="2143"/>
        <v>0</v>
      </c>
      <c r="OD406" s="611"/>
      <c r="OK406" s="91">
        <f t="shared" si="2144"/>
        <v>0</v>
      </c>
      <c r="OL406" s="91">
        <f t="shared" si="2145"/>
        <v>0</v>
      </c>
      <c r="OT406" s="611"/>
      <c r="PA406" s="91">
        <f t="shared" si="2146"/>
        <v>0</v>
      </c>
      <c r="PB406" s="91">
        <f t="shared" si="2147"/>
        <v>0</v>
      </c>
      <c r="PJ406" s="611"/>
      <c r="PQ406" s="91">
        <f t="shared" si="2148"/>
        <v>0</v>
      </c>
      <c r="PR406" s="91">
        <f t="shared" si="2149"/>
        <v>0</v>
      </c>
      <c r="PZ406" s="611"/>
      <c r="QG406" s="91">
        <f t="shared" si="2150"/>
        <v>0</v>
      </c>
      <c r="QH406" s="91">
        <f t="shared" si="2151"/>
        <v>0</v>
      </c>
      <c r="QP406" s="611"/>
      <c r="QW406" s="91">
        <f t="shared" si="2152"/>
        <v>0</v>
      </c>
      <c r="QX406" s="91">
        <f t="shared" si="2153"/>
        <v>0</v>
      </c>
      <c r="RF406" s="611"/>
      <c r="RM406" s="91">
        <f t="shared" si="2154"/>
        <v>0</v>
      </c>
      <c r="RN406" s="91">
        <f t="shared" si="2155"/>
        <v>0</v>
      </c>
      <c r="RV406" s="611"/>
      <c r="SC406" s="91">
        <f t="shared" si="2156"/>
        <v>0</v>
      </c>
      <c r="SD406" s="91">
        <f t="shared" si="2157"/>
        <v>0</v>
      </c>
      <c r="SL406" s="611"/>
      <c r="SS406" s="91">
        <f t="shared" si="2158"/>
        <v>0</v>
      </c>
      <c r="ST406" s="91">
        <f t="shared" si="2159"/>
        <v>0</v>
      </c>
      <c r="TB406" s="611"/>
      <c r="TI406" s="91">
        <f t="shared" si="2160"/>
        <v>0</v>
      </c>
      <c r="TJ406" s="91">
        <f t="shared" si="2161"/>
        <v>0</v>
      </c>
      <c r="TR406" s="611"/>
      <c r="TY406" s="91">
        <f t="shared" si="2162"/>
        <v>0</v>
      </c>
      <c r="TZ406" s="91">
        <f t="shared" si="2163"/>
        <v>0</v>
      </c>
      <c r="UH406" s="611"/>
      <c r="UO406" s="91">
        <f t="shared" si="2164"/>
        <v>0</v>
      </c>
      <c r="UP406" s="91">
        <f t="shared" si="2165"/>
        <v>0</v>
      </c>
      <c r="UX406" s="611"/>
      <c r="VE406" s="91">
        <f t="shared" si="2166"/>
        <v>0</v>
      </c>
      <c r="VF406" s="91">
        <f t="shared" si="2167"/>
        <v>0</v>
      </c>
      <c r="VU406" s="91">
        <f t="shared" si="2168"/>
        <v>0</v>
      </c>
      <c r="VV406" s="91">
        <f t="shared" si="2169"/>
        <v>0</v>
      </c>
      <c r="WD406" s="611"/>
      <c r="WK406" s="91">
        <f t="shared" si="2170"/>
        <v>0</v>
      </c>
      <c r="WL406" s="91">
        <f t="shared" si="2171"/>
        <v>0</v>
      </c>
      <c r="WM406" s="89"/>
      <c r="WN406" s="87">
        <f t="shared" si="2172"/>
        <v>0</v>
      </c>
      <c r="WO406" s="87">
        <f t="shared" si="2173"/>
        <v>0</v>
      </c>
      <c r="WP406" s="87">
        <f t="shared" si="2174"/>
        <v>0</v>
      </c>
      <c r="WQ406" s="87">
        <f t="shared" si="2175"/>
        <v>0</v>
      </c>
      <c r="WR406" s="87">
        <f t="shared" si="2176"/>
        <v>0</v>
      </c>
      <c r="WS406" s="87">
        <f t="shared" si="2177"/>
        <v>0</v>
      </c>
      <c r="WT406" s="87">
        <f t="shared" si="2178"/>
        <v>0</v>
      </c>
      <c r="WU406" s="87">
        <f t="shared" si="2179"/>
        <v>0</v>
      </c>
      <c r="WV406" s="87">
        <f t="shared" si="2180"/>
        <v>0</v>
      </c>
      <c r="WW406" s="87">
        <f t="shared" si="2181"/>
        <v>0</v>
      </c>
      <c r="WX406" s="87">
        <f t="shared" si="2182"/>
        <v>0</v>
      </c>
      <c r="WY406" s="87">
        <f t="shared" si="2183"/>
        <v>0</v>
      </c>
      <c r="WZ406" s="87">
        <f t="shared" si="2184"/>
        <v>0</v>
      </c>
      <c r="XA406" s="87">
        <f t="shared" si="2185"/>
        <v>0</v>
      </c>
      <c r="XB406" s="92">
        <f t="shared" si="2186"/>
        <v>0</v>
      </c>
      <c r="XC406" s="92">
        <f t="shared" si="2187"/>
        <v>0</v>
      </c>
      <c r="XD406" s="89"/>
      <c r="XE406" s="92"/>
      <c r="XF406" s="92"/>
      <c r="XG406" s="89"/>
      <c r="XH406" s="92"/>
      <c r="XI406" s="92"/>
      <c r="XJ406" s="89"/>
      <c r="XK406" s="87"/>
      <c r="XL406" s="87"/>
      <c r="XM406" s="87"/>
      <c r="XN406" s="87"/>
      <c r="XO406" s="87"/>
      <c r="XP406" s="87"/>
      <c r="XQ406" s="87"/>
      <c r="XR406" s="92">
        <f t="shared" ca="1" si="2188"/>
        <v>0</v>
      </c>
      <c r="XS406" s="89"/>
      <c r="XT406" s="87"/>
      <c r="XU406" s="87"/>
      <c r="XV406" s="87"/>
      <c r="XW406" s="87"/>
      <c r="XX406" s="87"/>
      <c r="XY406" s="87"/>
      <c r="XZ406" s="87"/>
      <c r="YA406" s="92">
        <f t="shared" ca="1" si="2189"/>
        <v>0</v>
      </c>
      <c r="YB406" s="90"/>
      <c r="YC406" s="90"/>
      <c r="YD406" s="90"/>
      <c r="YE406" s="90"/>
      <c r="YF406" s="90"/>
      <c r="YG406" s="90"/>
      <c r="YH406" s="90"/>
      <c r="YI406" s="90"/>
      <c r="YJ406" s="90"/>
      <c r="YK406" s="90"/>
      <c r="YL406" s="90"/>
      <c r="YM406" s="90"/>
      <c r="YN406" s="90"/>
      <c r="YO406" s="90"/>
      <c r="YP406" s="90"/>
      <c r="YQ406" s="90"/>
      <c r="YR406" s="90"/>
      <c r="YS406" s="90"/>
      <c r="YT406" s="90"/>
      <c r="YU406" s="90"/>
      <c r="YV406" s="90"/>
      <c r="YW406" s="90"/>
      <c r="YX406" s="90"/>
      <c r="YY406" s="90"/>
      <c r="YZ406" s="90"/>
      <c r="ZA406" s="90"/>
      <c r="ZB406" s="90"/>
      <c r="ZC406" s="90"/>
      <c r="ZD406" s="90"/>
      <c r="ZE406" s="90"/>
      <c r="ZF406" s="90"/>
      <c r="ZG406" s="90"/>
      <c r="ZH406" s="90"/>
      <c r="ZI406" s="90"/>
      <c r="ZJ406" s="90"/>
      <c r="ZK406" s="90"/>
      <c r="ZL406" s="90"/>
      <c r="ZM406" s="90"/>
      <c r="ZN406" s="90"/>
      <c r="ZO406" s="90"/>
      <c r="ZP406" s="90"/>
      <c r="ZQ406" s="90"/>
      <c r="ZR406" s="90"/>
      <c r="ZS406" s="90"/>
      <c r="ZT406" s="90"/>
      <c r="ZU406" s="90"/>
      <c r="ZV406" s="90"/>
      <c r="ZW406" s="90"/>
      <c r="ZX406" s="90"/>
      <c r="ZY406" s="90"/>
      <c r="ZZ406" s="90"/>
      <c r="AAA406" s="90"/>
      <c r="AAB406" s="90"/>
      <c r="AAC406" s="90"/>
      <c r="AAD406" s="90"/>
      <c r="AAE406" s="90"/>
      <c r="AAF406" s="90"/>
      <c r="AAG406" s="90"/>
      <c r="AAH406" s="90"/>
      <c r="AAI406" s="90"/>
      <c r="AAJ406" s="90"/>
      <c r="AAK406" s="90"/>
      <c r="AAL406" s="90"/>
      <c r="AAM406" s="90"/>
      <c r="AAN406" s="90"/>
      <c r="AAO406" s="90"/>
      <c r="AAP406" s="90"/>
      <c r="AAQ406" s="90"/>
      <c r="AAR406" s="90"/>
      <c r="AAS406" s="90"/>
      <c r="AAT406" s="90"/>
      <c r="AAU406" s="90"/>
      <c r="AAV406" s="90"/>
      <c r="AAW406" s="90"/>
      <c r="AAX406" s="90"/>
      <c r="AAY406" s="90"/>
      <c r="AAZ406" s="90"/>
      <c r="ABA406" s="90"/>
      <c r="ABB406" s="90"/>
      <c r="ABC406" s="90"/>
      <c r="ABD406" s="90"/>
      <c r="ABE406" s="90"/>
      <c r="ABF406" s="90"/>
      <c r="ABG406" s="90"/>
      <c r="ABH406" s="90"/>
      <c r="ABI406" s="90"/>
      <c r="ABJ406" s="90"/>
      <c r="ABK406" s="90"/>
      <c r="ABL406" s="90"/>
      <c r="ABM406" s="90"/>
      <c r="ABN406" s="90"/>
      <c r="ABO406" s="90"/>
      <c r="ABP406" s="90"/>
      <c r="ABQ406" s="90"/>
      <c r="ABR406" s="90"/>
      <c r="ABS406" s="90"/>
      <c r="ABT406" s="90"/>
      <c r="ABU406" s="90"/>
      <c r="ABV406" s="90"/>
      <c r="ABW406" s="90"/>
      <c r="ABX406" s="90"/>
      <c r="ABY406" s="90"/>
      <c r="ABZ406" s="90"/>
      <c r="ACA406" s="90"/>
      <c r="ACB406" s="90"/>
      <c r="ACC406" s="90"/>
      <c r="ACD406" s="90"/>
      <c r="ACE406" s="90"/>
      <c r="ACF406" s="90"/>
      <c r="ACG406" s="90"/>
      <c r="ACH406" s="90"/>
      <c r="ACI406" s="90"/>
      <c r="ACJ406" s="90"/>
      <c r="ACK406" s="90"/>
      <c r="ACL406" s="90"/>
      <c r="ACM406" s="90"/>
      <c r="ACN406" s="90"/>
      <c r="ACO406" s="90"/>
      <c r="ACP406" s="90"/>
      <c r="ACQ406" s="90"/>
      <c r="ACR406" s="90"/>
      <c r="ACS406" s="90"/>
      <c r="ACT406" s="90"/>
      <c r="ACU406" s="90"/>
      <c r="ACV406" s="90"/>
      <c r="ACW406" s="90"/>
      <c r="ACX406" s="90"/>
      <c r="ACY406" s="90"/>
      <c r="ACZ406" s="90"/>
      <c r="ADA406" s="90"/>
      <c r="ADB406" s="90"/>
      <c r="ADC406" s="90"/>
      <c r="ADD406" s="90"/>
      <c r="ADE406" s="90"/>
      <c r="ADF406" s="90"/>
      <c r="ADG406" s="90"/>
      <c r="ADH406" s="90"/>
      <c r="ADI406" s="90"/>
      <c r="ADJ406" s="90"/>
      <c r="ADK406" s="90"/>
      <c r="ADL406" s="90"/>
      <c r="ADM406" s="90"/>
      <c r="ADN406" s="90"/>
      <c r="ADO406" s="90"/>
      <c r="ADP406" s="90"/>
      <c r="ADQ406" s="90"/>
      <c r="ADR406" s="90"/>
      <c r="ADS406" s="90"/>
      <c r="ADT406" s="90"/>
      <c r="ADU406" s="90"/>
      <c r="ADV406" s="90"/>
      <c r="ADW406" s="90"/>
      <c r="ADX406" s="90"/>
      <c r="ADY406" s="90"/>
      <c r="ADZ406" s="90"/>
      <c r="AEA406" s="90"/>
      <c r="AEB406" s="90"/>
      <c r="AEC406" s="90"/>
      <c r="AED406" s="90"/>
      <c r="AEE406" s="90"/>
      <c r="AEF406" s="90"/>
      <c r="AEG406" s="90"/>
      <c r="AEH406" s="90"/>
      <c r="AEI406" s="90"/>
      <c r="AEJ406" s="90"/>
      <c r="AEK406" s="90"/>
      <c r="AEL406" s="90"/>
      <c r="AEM406" s="90"/>
      <c r="AEN406" s="90"/>
      <c r="AEO406" s="90"/>
      <c r="AEP406" s="90"/>
      <c r="AEQ406" s="90"/>
      <c r="AER406" s="90"/>
      <c r="AES406" s="90"/>
      <c r="AET406" s="90"/>
      <c r="AEU406" s="90"/>
      <c r="AEV406" s="90"/>
      <c r="AEW406" s="90"/>
      <c r="AEX406" s="90"/>
      <c r="AEY406" s="90"/>
      <c r="AEZ406" s="90"/>
      <c r="AFA406" s="90"/>
      <c r="AFB406" s="90"/>
      <c r="AFC406" s="90"/>
      <c r="AFD406" s="90"/>
      <c r="AFE406" s="90"/>
      <c r="AFF406" s="90"/>
      <c r="AFG406" s="90"/>
      <c r="AFH406" s="90"/>
      <c r="AFI406" s="90"/>
      <c r="AFJ406" s="90"/>
      <c r="AFK406" s="90"/>
      <c r="AFL406" s="90"/>
      <c r="AFM406" s="90"/>
      <c r="AFN406" s="90"/>
      <c r="AFO406" s="90"/>
      <c r="AFP406" s="90"/>
      <c r="AFQ406" s="90"/>
      <c r="AFR406" s="90"/>
      <c r="AFS406" s="90"/>
      <c r="AFT406" s="90"/>
      <c r="AFU406" s="90"/>
      <c r="AFV406" s="90"/>
      <c r="AFW406" s="90"/>
      <c r="AFX406" s="90"/>
      <c r="AFY406" s="90"/>
      <c r="AFZ406" s="90"/>
      <c r="AGA406" s="90"/>
      <c r="AGB406" s="90"/>
      <c r="AGC406" s="90"/>
      <c r="AGD406" s="90"/>
      <c r="AGE406" s="90"/>
      <c r="AGF406" s="90"/>
      <c r="AGG406" s="90"/>
      <c r="AGH406" s="90"/>
      <c r="AGI406" s="90"/>
      <c r="AGJ406" s="90"/>
      <c r="AGK406" s="90"/>
      <c r="AGL406" s="90"/>
      <c r="AGM406" s="90"/>
      <c r="AGN406" s="90"/>
      <c r="AGO406" s="90"/>
      <c r="AGP406" s="90"/>
      <c r="AGQ406" s="90"/>
      <c r="AGR406" s="90"/>
      <c r="AGS406" s="90"/>
      <c r="AGT406" s="90"/>
      <c r="AGU406" s="90"/>
      <c r="AGV406" s="90"/>
      <c r="AGW406" s="90"/>
      <c r="AGX406" s="90"/>
      <c r="AGY406" s="90"/>
      <c r="AGZ406" s="90"/>
      <c r="AHA406" s="90"/>
      <c r="AHB406" s="90"/>
      <c r="AHC406" s="90"/>
      <c r="AHD406" s="90"/>
      <c r="AHE406" s="90"/>
      <c r="AHF406" s="90"/>
      <c r="AHG406" s="90"/>
      <c r="AHH406" s="90"/>
      <c r="AHI406" s="90"/>
      <c r="AHJ406" s="90"/>
      <c r="AHK406" s="90"/>
      <c r="AHL406" s="90"/>
      <c r="AHM406" s="90"/>
      <c r="AHN406" s="90"/>
      <c r="AHO406" s="90"/>
      <c r="AHP406" s="90"/>
      <c r="AHQ406" s="90"/>
      <c r="AHR406" s="90"/>
      <c r="AHS406" s="90"/>
      <c r="AHT406" s="90"/>
      <c r="AHU406" s="90"/>
      <c r="AHV406" s="90"/>
      <c r="AHW406" s="90"/>
      <c r="AHX406" s="90"/>
      <c r="AHY406" s="90"/>
      <c r="AHZ406" s="90"/>
      <c r="AIA406" s="90"/>
      <c r="AIB406" s="90"/>
      <c r="AIC406" s="90"/>
      <c r="AID406" s="90"/>
      <c r="AIE406" s="90"/>
      <c r="AIF406" s="90"/>
      <c r="AIG406" s="90"/>
      <c r="AIH406" s="90"/>
      <c r="AII406" s="90"/>
      <c r="AIJ406" s="90"/>
      <c r="AIK406" s="90"/>
      <c r="AIL406" s="90"/>
      <c r="AIM406" s="90"/>
      <c r="AIN406" s="90"/>
      <c r="AIO406" s="90"/>
      <c r="AIP406" s="90"/>
      <c r="AIQ406" s="90"/>
      <c r="AIR406" s="90"/>
      <c r="AIS406" s="90"/>
      <c r="AIT406" s="90"/>
      <c r="AIU406" s="90"/>
      <c r="AIV406" s="90"/>
      <c r="AIW406" s="90"/>
      <c r="AIX406" s="90"/>
      <c r="AIY406" s="90"/>
      <c r="AIZ406" s="90"/>
      <c r="AJA406" s="90"/>
      <c r="AJB406" s="90"/>
      <c r="AJC406" s="90"/>
      <c r="AJD406" s="90"/>
      <c r="AJE406" s="90"/>
      <c r="AJF406" s="90"/>
      <c r="AJG406" s="90"/>
      <c r="AJH406" s="90"/>
      <c r="AJI406" s="90"/>
      <c r="AJJ406" s="90"/>
      <c r="AJK406" s="90"/>
      <c r="AJL406" s="90"/>
      <c r="AJM406" s="90"/>
      <c r="AJN406" s="90"/>
      <c r="AJO406" s="90"/>
      <c r="AJP406" s="90"/>
      <c r="AJQ406" s="90"/>
      <c r="AJR406" s="90"/>
      <c r="AJS406" s="90"/>
      <c r="AJT406" s="90"/>
      <c r="AJU406" s="90"/>
      <c r="AJV406" s="90"/>
      <c r="AJW406" s="90"/>
      <c r="AJX406" s="90"/>
      <c r="AJY406" s="90"/>
      <c r="AJZ406" s="90"/>
      <c r="AKA406" s="90"/>
      <c r="AKB406" s="90"/>
      <c r="AKC406" s="90"/>
      <c r="AKD406" s="90"/>
      <c r="AKE406" s="90"/>
      <c r="AKF406" s="90"/>
      <c r="AKG406" s="90"/>
      <c r="AKH406" s="90"/>
      <c r="AKI406" s="90"/>
      <c r="AKJ406" s="90"/>
      <c r="AKK406" s="90"/>
      <c r="AKL406" s="90"/>
      <c r="AKM406" s="90"/>
      <c r="AKN406" s="90"/>
      <c r="AKO406" s="90"/>
      <c r="AKP406" s="90"/>
      <c r="AKQ406" s="90"/>
      <c r="AKR406" s="90"/>
      <c r="AKS406" s="90"/>
      <c r="AKT406" s="90"/>
      <c r="AKU406" s="90"/>
      <c r="AKV406" s="90"/>
      <c r="AKW406" s="90"/>
      <c r="AKX406" s="90"/>
      <c r="AKY406" s="90"/>
      <c r="AKZ406" s="90"/>
      <c r="ALA406" s="90"/>
      <c r="ALB406" s="90"/>
      <c r="ALC406" s="90"/>
      <c r="ALD406" s="90"/>
      <c r="ALE406" s="90"/>
      <c r="ALF406" s="90"/>
      <c r="ALG406" s="90"/>
      <c r="ALH406" s="90"/>
      <c r="ALI406" s="90"/>
      <c r="ALJ406" s="90"/>
      <c r="ALK406" s="90"/>
      <c r="ALL406" s="90"/>
      <c r="ALM406" s="90"/>
      <c r="ALN406" s="90"/>
      <c r="ALO406" s="90"/>
      <c r="ALP406" s="90"/>
      <c r="ALQ406" s="90"/>
      <c r="ALR406" s="90"/>
      <c r="ALS406" s="90"/>
      <c r="ALT406" s="90"/>
      <c r="ALU406" s="90"/>
      <c r="ALV406" s="90"/>
      <c r="ALW406" s="90"/>
      <c r="ALX406" s="90"/>
      <c r="ALY406" s="90"/>
      <c r="ALZ406" s="90"/>
      <c r="AMA406" s="90"/>
      <c r="AMB406" s="90"/>
      <c r="AMC406" s="90"/>
    </row>
    <row r="407" spans="1:1017">
      <c r="A407" s="98" t="s">
        <v>55</v>
      </c>
      <c r="B407" s="90" t="str">
        <f t="shared" si="2095"/>
        <v xml:space="preserve">Lele </v>
      </c>
      <c r="I407" s="98">
        <v>34500</v>
      </c>
      <c r="J407" s="98">
        <v>690000</v>
      </c>
      <c r="M407" s="98">
        <v>600</v>
      </c>
      <c r="N407" s="98">
        <v>12000</v>
      </c>
      <c r="Q407" s="91">
        <f t="shared" si="2096"/>
        <v>35100</v>
      </c>
      <c r="R407" s="91">
        <f t="shared" si="2097"/>
        <v>702000</v>
      </c>
      <c r="Y407" s="98">
        <v>724850</v>
      </c>
      <c r="Z407" s="98">
        <v>14497000</v>
      </c>
      <c r="AE407" s="98">
        <v>570</v>
      </c>
      <c r="AF407" s="98">
        <v>11400</v>
      </c>
      <c r="AG407" s="91">
        <f t="shared" si="2098"/>
        <v>725420</v>
      </c>
      <c r="AH407" s="91">
        <f t="shared" si="2099"/>
        <v>14508400</v>
      </c>
      <c r="AO407" s="98">
        <v>844500</v>
      </c>
      <c r="AP407" s="98">
        <v>14356500</v>
      </c>
      <c r="AW407" s="91">
        <f t="shared" si="2100"/>
        <v>844500</v>
      </c>
      <c r="AX407" s="91">
        <f t="shared" si="2101"/>
        <v>14356500</v>
      </c>
      <c r="BE407" s="98">
        <v>369208</v>
      </c>
      <c r="BF407" s="98">
        <v>6830348</v>
      </c>
      <c r="BM407" s="91">
        <f t="shared" si="2102"/>
        <v>369208</v>
      </c>
      <c r="BN407" s="91">
        <f t="shared" si="2103"/>
        <v>6830348</v>
      </c>
      <c r="BU407" s="98">
        <v>58451</v>
      </c>
      <c r="BV407" s="98">
        <v>1169020</v>
      </c>
      <c r="CC407" s="91">
        <f t="shared" si="2104"/>
        <v>58451</v>
      </c>
      <c r="CD407" s="91">
        <f t="shared" si="2105"/>
        <v>1169020</v>
      </c>
      <c r="CK407" s="98">
        <v>129808.80525194938</v>
      </c>
      <c r="CL407" s="98">
        <v>2076940.8840311901</v>
      </c>
      <c r="CS407" s="91">
        <f t="shared" si="2106"/>
        <v>129808.80525194938</v>
      </c>
      <c r="CT407" s="91">
        <f t="shared" si="2107"/>
        <v>2076940.8840311901</v>
      </c>
      <c r="DA407" s="98">
        <v>611610</v>
      </c>
      <c r="DB407" s="98">
        <v>11314785</v>
      </c>
      <c r="DI407" s="91">
        <f t="shared" si="2108"/>
        <v>611610</v>
      </c>
      <c r="DJ407" s="91">
        <f t="shared" si="2109"/>
        <v>11314785</v>
      </c>
      <c r="DQ407" s="98">
        <v>617100</v>
      </c>
      <c r="DR407" s="98">
        <v>11416350</v>
      </c>
      <c r="DY407" s="91">
        <f t="shared" si="2110"/>
        <v>617100</v>
      </c>
      <c r="DZ407" s="91">
        <f t="shared" si="2111"/>
        <v>11416350</v>
      </c>
      <c r="EG407" s="98">
        <v>1255000</v>
      </c>
      <c r="EH407" s="98">
        <v>22590000</v>
      </c>
      <c r="EO407" s="91">
        <f t="shared" si="2112"/>
        <v>1255000</v>
      </c>
      <c r="EP407" s="91">
        <f t="shared" si="2113"/>
        <v>22590000</v>
      </c>
      <c r="EW407" s="98">
        <v>89481</v>
      </c>
      <c r="EX407" s="98">
        <v>1610658</v>
      </c>
      <c r="FA407" s="98">
        <v>2374</v>
      </c>
      <c r="FB407" s="98">
        <v>42732</v>
      </c>
      <c r="FE407" s="91">
        <f t="shared" si="2114"/>
        <v>91855</v>
      </c>
      <c r="FF407" s="91">
        <f t="shared" si="2115"/>
        <v>1653390</v>
      </c>
      <c r="FM407" s="98">
        <v>90800</v>
      </c>
      <c r="FN407" s="98">
        <v>1679800</v>
      </c>
      <c r="FU407" s="91">
        <f t="shared" si="2116"/>
        <v>90800</v>
      </c>
      <c r="FV407" s="91">
        <f t="shared" si="2117"/>
        <v>1679800</v>
      </c>
      <c r="GC407" s="98">
        <v>214500</v>
      </c>
      <c r="GD407" s="98">
        <v>3968250</v>
      </c>
      <c r="GK407" s="91">
        <f t="shared" si="2118"/>
        <v>214500</v>
      </c>
      <c r="GL407" s="91">
        <f t="shared" si="2119"/>
        <v>3968250</v>
      </c>
      <c r="GS407" s="98">
        <v>134000</v>
      </c>
      <c r="GT407" s="98">
        <v>2412000</v>
      </c>
      <c r="HA407" s="91">
        <f t="shared" si="2120"/>
        <v>134000</v>
      </c>
      <c r="HB407" s="91">
        <f t="shared" si="2121"/>
        <v>2412000</v>
      </c>
      <c r="HI407" s="98">
        <v>570000</v>
      </c>
      <c r="HJ407" s="98">
        <v>10260000</v>
      </c>
      <c r="HQ407" s="91">
        <f t="shared" si="2122"/>
        <v>570000</v>
      </c>
      <c r="HR407" s="91">
        <f t="shared" si="2123"/>
        <v>10260000</v>
      </c>
      <c r="HY407" s="98">
        <v>142600</v>
      </c>
      <c r="HZ407" s="98">
        <v>2495500</v>
      </c>
      <c r="IG407" s="91">
        <f t="shared" si="2124"/>
        <v>142600</v>
      </c>
      <c r="IH407" s="91">
        <f t="shared" si="2125"/>
        <v>2495500</v>
      </c>
      <c r="IO407" s="98">
        <v>745200</v>
      </c>
      <c r="IP407" s="98">
        <v>13786200</v>
      </c>
      <c r="IW407" s="91">
        <f t="shared" si="2126"/>
        <v>745200</v>
      </c>
      <c r="IX407" s="91">
        <f t="shared" si="2127"/>
        <v>13786200</v>
      </c>
      <c r="JE407" s="98">
        <v>320200</v>
      </c>
      <c r="JF407" s="98">
        <v>5923700</v>
      </c>
      <c r="JM407" s="91">
        <f t="shared" si="2128"/>
        <v>320200</v>
      </c>
      <c r="JN407" s="91">
        <f t="shared" si="2129"/>
        <v>5923700</v>
      </c>
      <c r="JU407" s="98">
        <v>66519</v>
      </c>
      <c r="JV407" s="98">
        <v>1596456</v>
      </c>
      <c r="KC407" s="91">
        <f t="shared" si="2130"/>
        <v>66519</v>
      </c>
      <c r="KD407" s="91">
        <f t="shared" si="2131"/>
        <v>1596456</v>
      </c>
      <c r="KK407" s="98">
        <v>88210</v>
      </c>
      <c r="KL407" s="98">
        <v>1764200</v>
      </c>
      <c r="KS407" s="91">
        <f t="shared" si="2132"/>
        <v>88210</v>
      </c>
      <c r="KT407" s="91">
        <f t="shared" si="2133"/>
        <v>1764200</v>
      </c>
      <c r="LA407" s="98">
        <v>1002981.57</v>
      </c>
      <c r="LB407" s="98">
        <v>18053668</v>
      </c>
      <c r="LI407" s="91">
        <f t="shared" si="2134"/>
        <v>1002981.57</v>
      </c>
      <c r="LJ407" s="91">
        <f t="shared" si="2135"/>
        <v>18053668</v>
      </c>
      <c r="LQ407" s="98">
        <v>143896</v>
      </c>
      <c r="LR407" s="98">
        <v>2662076</v>
      </c>
      <c r="LY407" s="91">
        <f t="shared" si="2136"/>
        <v>143896</v>
      </c>
      <c r="LZ407" s="91">
        <f t="shared" si="2137"/>
        <v>2662076</v>
      </c>
      <c r="MG407" s="98">
        <v>51630</v>
      </c>
      <c r="MH407" s="98">
        <v>955155</v>
      </c>
      <c r="MO407" s="91">
        <f t="shared" si="2138"/>
        <v>51630</v>
      </c>
      <c r="MP407" s="91">
        <f t="shared" si="2139"/>
        <v>955155</v>
      </c>
      <c r="MW407" s="98">
        <v>19900</v>
      </c>
      <c r="MX407" s="98">
        <v>457700</v>
      </c>
      <c r="NE407" s="91">
        <f t="shared" si="2140"/>
        <v>19900</v>
      </c>
      <c r="NF407" s="91">
        <f t="shared" si="2141"/>
        <v>457700</v>
      </c>
      <c r="NM407" s="98">
        <v>2350000</v>
      </c>
      <c r="NN407" s="98">
        <v>37600000</v>
      </c>
      <c r="NQ407" s="98">
        <v>670</v>
      </c>
      <c r="NR407" s="98">
        <v>10720</v>
      </c>
      <c r="NU407" s="91">
        <f t="shared" si="2142"/>
        <v>2350670</v>
      </c>
      <c r="NV407" s="91">
        <f t="shared" si="2143"/>
        <v>37610720</v>
      </c>
      <c r="OC407" s="98">
        <v>60759</v>
      </c>
      <c r="OD407" s="98">
        <v>1154421</v>
      </c>
      <c r="OK407" s="91">
        <f t="shared" si="2144"/>
        <v>60759</v>
      </c>
      <c r="OL407" s="91">
        <f t="shared" si="2145"/>
        <v>1154421</v>
      </c>
      <c r="OS407" s="98">
        <v>38277</v>
      </c>
      <c r="OT407" s="98">
        <v>803817</v>
      </c>
      <c r="PA407" s="91">
        <f t="shared" si="2146"/>
        <v>38277</v>
      </c>
      <c r="PB407" s="91">
        <f t="shared" si="2147"/>
        <v>803817</v>
      </c>
      <c r="PI407" s="98">
        <v>278736</v>
      </c>
      <c r="PJ407" s="98">
        <v>4905754</v>
      </c>
      <c r="PQ407" s="91">
        <f t="shared" si="2148"/>
        <v>278736</v>
      </c>
      <c r="PR407" s="91">
        <f t="shared" si="2149"/>
        <v>4905754</v>
      </c>
      <c r="PY407" s="98">
        <v>955000</v>
      </c>
      <c r="PZ407" s="98">
        <v>18145000</v>
      </c>
      <c r="QC407" s="98">
        <v>431500</v>
      </c>
      <c r="QD407" s="98">
        <v>7982750</v>
      </c>
      <c r="QG407" s="91">
        <f t="shared" si="2150"/>
        <v>1386500</v>
      </c>
      <c r="QH407" s="91">
        <f t="shared" si="2151"/>
        <v>26127750</v>
      </c>
      <c r="QO407" s="98">
        <v>1020000</v>
      </c>
      <c r="QP407" s="98">
        <v>18360000</v>
      </c>
      <c r="QW407" s="91">
        <f t="shared" si="2152"/>
        <v>1020000</v>
      </c>
      <c r="QX407" s="91">
        <f t="shared" si="2153"/>
        <v>18360000</v>
      </c>
      <c r="RE407" s="98">
        <v>2660</v>
      </c>
      <c r="RF407" s="98">
        <f>RE407*20</f>
        <v>53200</v>
      </c>
      <c r="RM407" s="91">
        <f t="shared" si="2154"/>
        <v>2660</v>
      </c>
      <c r="RN407" s="91">
        <f t="shared" si="2155"/>
        <v>53200</v>
      </c>
      <c r="RU407" s="98">
        <v>8640</v>
      </c>
      <c r="RV407" s="98">
        <v>151200</v>
      </c>
      <c r="SC407" s="91">
        <f t="shared" si="2156"/>
        <v>8640</v>
      </c>
      <c r="SD407" s="91">
        <f t="shared" si="2157"/>
        <v>151200</v>
      </c>
      <c r="SK407" s="98">
        <v>16300</v>
      </c>
      <c r="SL407" s="98">
        <v>301550</v>
      </c>
      <c r="SS407" s="91">
        <f t="shared" si="2158"/>
        <v>16300</v>
      </c>
      <c r="ST407" s="91">
        <f t="shared" si="2159"/>
        <v>301550</v>
      </c>
      <c r="TA407" s="98">
        <v>14850</v>
      </c>
      <c r="TB407" s="98">
        <v>271755</v>
      </c>
      <c r="TI407" s="91">
        <f t="shared" si="2160"/>
        <v>14850</v>
      </c>
      <c r="TJ407" s="91">
        <f t="shared" si="2161"/>
        <v>271755</v>
      </c>
      <c r="TQ407" s="98">
        <v>12200</v>
      </c>
      <c r="TR407" s="98">
        <v>231800</v>
      </c>
      <c r="TY407" s="91">
        <f t="shared" si="2162"/>
        <v>12200</v>
      </c>
      <c r="TZ407" s="91">
        <f t="shared" si="2163"/>
        <v>231800</v>
      </c>
      <c r="UG407" s="98">
        <v>18225</v>
      </c>
      <c r="UH407" s="98">
        <v>328050</v>
      </c>
      <c r="UO407" s="91">
        <f t="shared" si="2164"/>
        <v>18225</v>
      </c>
      <c r="UP407" s="91">
        <f t="shared" si="2165"/>
        <v>328050</v>
      </c>
      <c r="UW407" s="98">
        <v>2562</v>
      </c>
      <c r="UX407" s="98">
        <v>48678</v>
      </c>
      <c r="VE407" s="91">
        <f t="shared" si="2166"/>
        <v>2562</v>
      </c>
      <c r="VF407" s="91">
        <f t="shared" si="2167"/>
        <v>48678</v>
      </c>
      <c r="VM407" s="98">
        <v>17375</v>
      </c>
      <c r="VN407" s="98">
        <v>330125</v>
      </c>
      <c r="VU407" s="91">
        <f t="shared" si="2168"/>
        <v>17375</v>
      </c>
      <c r="VV407" s="91">
        <f t="shared" si="2169"/>
        <v>330125</v>
      </c>
      <c r="WC407" s="98">
        <v>264240</v>
      </c>
      <c r="WD407" s="98">
        <v>5549040</v>
      </c>
      <c r="WI407" s="98">
        <v>5260</v>
      </c>
      <c r="WJ407" s="98">
        <v>110460</v>
      </c>
      <c r="WK407" s="91">
        <f t="shared" si="2170"/>
        <v>269500</v>
      </c>
      <c r="WL407" s="91">
        <f t="shared" si="2171"/>
        <v>5659500</v>
      </c>
      <c r="WM407" s="89"/>
      <c r="WN407" s="87">
        <f t="shared" si="2172"/>
        <v>0</v>
      </c>
      <c r="WO407" s="87">
        <f t="shared" si="2173"/>
        <v>0</v>
      </c>
      <c r="WP407" s="87">
        <f t="shared" si="2174"/>
        <v>0</v>
      </c>
      <c r="WQ407" s="87">
        <f t="shared" si="2175"/>
        <v>0</v>
      </c>
      <c r="WR407" s="87">
        <f t="shared" si="2176"/>
        <v>0</v>
      </c>
      <c r="WS407" s="87">
        <f t="shared" si="2177"/>
        <v>0</v>
      </c>
      <c r="WT407" s="87">
        <f t="shared" si="2178"/>
        <v>13384769.375251949</v>
      </c>
      <c r="WU407" s="87">
        <f t="shared" si="2179"/>
        <v>240800696.88403118</v>
      </c>
      <c r="WV407" s="87">
        <f t="shared" si="2180"/>
        <v>0</v>
      </c>
      <c r="WW407" s="87">
        <f t="shared" si="2181"/>
        <v>0</v>
      </c>
      <c r="WX407" s="87">
        <f t="shared" si="2182"/>
        <v>435144</v>
      </c>
      <c r="WY407" s="87">
        <f t="shared" si="2183"/>
        <v>8048202</v>
      </c>
      <c r="WZ407" s="87">
        <f t="shared" si="2184"/>
        <v>5830</v>
      </c>
      <c r="XA407" s="87">
        <f t="shared" si="2185"/>
        <v>121860</v>
      </c>
      <c r="XB407" s="92">
        <f t="shared" si="2186"/>
        <v>13825743.375251949</v>
      </c>
      <c r="XC407" s="92">
        <f t="shared" si="2187"/>
        <v>248970758.88403118</v>
      </c>
      <c r="XD407" s="89"/>
      <c r="XE407" s="92"/>
      <c r="XF407" s="92"/>
      <c r="XG407" s="89"/>
      <c r="XH407" s="92"/>
      <c r="XI407" s="92"/>
      <c r="XJ407" s="89"/>
      <c r="XK407" s="87"/>
      <c r="XL407" s="87"/>
      <c r="XM407" s="87"/>
      <c r="XN407" s="87"/>
      <c r="XO407" s="87"/>
      <c r="XP407" s="87"/>
      <c r="XQ407" s="87"/>
      <c r="XR407" s="92">
        <f t="shared" ca="1" si="2188"/>
        <v>0</v>
      </c>
      <c r="XS407" s="89"/>
      <c r="XT407" s="87"/>
      <c r="XU407" s="87"/>
      <c r="XV407" s="87"/>
      <c r="XW407" s="87"/>
      <c r="XX407" s="87"/>
      <c r="XY407" s="87"/>
      <c r="XZ407" s="87"/>
      <c r="YA407" s="92">
        <f t="shared" ca="1" si="2189"/>
        <v>0</v>
      </c>
      <c r="YB407" s="90"/>
      <c r="YC407" s="90"/>
      <c r="YD407" s="90"/>
      <c r="YE407" s="90"/>
      <c r="YF407" s="90"/>
      <c r="YG407" s="90"/>
      <c r="YH407" s="90"/>
      <c r="YI407" s="90"/>
      <c r="YJ407" s="90"/>
      <c r="YK407" s="90"/>
      <c r="YL407" s="90"/>
      <c r="YM407" s="90"/>
      <c r="YN407" s="90"/>
      <c r="YO407" s="90"/>
      <c r="YP407" s="90"/>
      <c r="YQ407" s="90"/>
      <c r="YR407" s="90"/>
      <c r="YS407" s="90"/>
      <c r="YT407" s="90"/>
      <c r="YU407" s="90"/>
      <c r="YV407" s="90"/>
      <c r="YW407" s="90"/>
      <c r="YX407" s="90"/>
      <c r="YY407" s="90"/>
      <c r="YZ407" s="90"/>
      <c r="ZA407" s="90"/>
      <c r="ZB407" s="90"/>
      <c r="ZC407" s="90"/>
      <c r="ZD407" s="90"/>
      <c r="ZE407" s="90"/>
      <c r="ZF407" s="90"/>
      <c r="ZG407" s="90"/>
      <c r="ZH407" s="90"/>
      <c r="ZI407" s="90"/>
      <c r="ZJ407" s="90"/>
      <c r="ZK407" s="90"/>
      <c r="ZL407" s="90"/>
      <c r="ZM407" s="90"/>
      <c r="ZN407" s="90"/>
      <c r="ZO407" s="90"/>
      <c r="ZP407" s="90"/>
      <c r="ZQ407" s="90"/>
      <c r="ZR407" s="90"/>
      <c r="ZS407" s="90"/>
      <c r="ZT407" s="90"/>
      <c r="ZU407" s="90"/>
      <c r="ZV407" s="90"/>
      <c r="ZW407" s="90"/>
      <c r="ZX407" s="90"/>
      <c r="ZY407" s="90"/>
      <c r="ZZ407" s="90"/>
      <c r="AAA407" s="90"/>
      <c r="AAB407" s="90"/>
      <c r="AAC407" s="90"/>
      <c r="AAD407" s="90"/>
      <c r="AAE407" s="90"/>
      <c r="AAF407" s="90"/>
      <c r="AAG407" s="90"/>
      <c r="AAH407" s="90"/>
      <c r="AAI407" s="90"/>
      <c r="AAJ407" s="90"/>
      <c r="AAK407" s="90"/>
      <c r="AAL407" s="90"/>
      <c r="AAM407" s="90"/>
      <c r="AAN407" s="90"/>
      <c r="AAO407" s="90"/>
      <c r="AAP407" s="90"/>
      <c r="AAQ407" s="90"/>
      <c r="AAR407" s="90"/>
      <c r="AAS407" s="90"/>
      <c r="AAT407" s="90"/>
      <c r="AAU407" s="90"/>
      <c r="AAV407" s="90"/>
      <c r="AAW407" s="90"/>
      <c r="AAX407" s="90"/>
      <c r="AAY407" s="90"/>
      <c r="AAZ407" s="90"/>
      <c r="ABA407" s="90"/>
      <c r="ABB407" s="90"/>
      <c r="ABC407" s="90"/>
      <c r="ABD407" s="90"/>
      <c r="ABE407" s="90"/>
      <c r="ABF407" s="90"/>
      <c r="ABG407" s="90"/>
      <c r="ABH407" s="90"/>
      <c r="ABI407" s="90"/>
      <c r="ABJ407" s="90"/>
      <c r="ABK407" s="90"/>
      <c r="ABL407" s="90"/>
      <c r="ABM407" s="90"/>
      <c r="ABN407" s="90"/>
      <c r="ABO407" s="90"/>
      <c r="ABP407" s="90"/>
      <c r="ABQ407" s="90"/>
      <c r="ABR407" s="90"/>
      <c r="ABS407" s="90"/>
      <c r="ABT407" s="90"/>
      <c r="ABU407" s="90"/>
      <c r="ABV407" s="90"/>
      <c r="ABW407" s="90"/>
      <c r="ABX407" s="90"/>
      <c r="ABY407" s="90"/>
      <c r="ABZ407" s="90"/>
      <c r="ACA407" s="90"/>
      <c r="ACB407" s="90"/>
      <c r="ACC407" s="90"/>
      <c r="ACD407" s="90"/>
      <c r="ACE407" s="90"/>
      <c r="ACF407" s="90"/>
      <c r="ACG407" s="90"/>
      <c r="ACH407" s="90"/>
      <c r="ACI407" s="90"/>
      <c r="ACJ407" s="90"/>
      <c r="ACK407" s="90"/>
      <c r="ACL407" s="90"/>
      <c r="ACM407" s="90"/>
      <c r="ACN407" s="90"/>
      <c r="ACO407" s="90"/>
      <c r="ACP407" s="90"/>
      <c r="ACQ407" s="90"/>
      <c r="ACR407" s="90"/>
      <c r="ACS407" s="90"/>
      <c r="ACT407" s="90"/>
      <c r="ACU407" s="90"/>
      <c r="ACV407" s="90"/>
      <c r="ACW407" s="90"/>
      <c r="ACX407" s="90"/>
      <c r="ACY407" s="90"/>
      <c r="ACZ407" s="90"/>
      <c r="ADA407" s="90"/>
      <c r="ADB407" s="90"/>
      <c r="ADC407" s="90"/>
      <c r="ADD407" s="90"/>
      <c r="ADE407" s="90"/>
      <c r="ADF407" s="90"/>
      <c r="ADG407" s="90"/>
      <c r="ADH407" s="90"/>
      <c r="ADI407" s="90"/>
      <c r="ADJ407" s="90"/>
      <c r="ADK407" s="90"/>
      <c r="ADL407" s="90"/>
      <c r="ADM407" s="90"/>
      <c r="ADN407" s="90"/>
      <c r="ADO407" s="90"/>
      <c r="ADP407" s="90"/>
      <c r="ADQ407" s="90"/>
      <c r="ADR407" s="90"/>
      <c r="ADS407" s="90"/>
      <c r="ADT407" s="90"/>
      <c r="ADU407" s="90"/>
      <c r="ADV407" s="90"/>
      <c r="ADW407" s="90"/>
      <c r="ADX407" s="90"/>
      <c r="ADY407" s="90"/>
      <c r="ADZ407" s="90"/>
      <c r="AEA407" s="90"/>
      <c r="AEB407" s="90"/>
      <c r="AEC407" s="90"/>
      <c r="AED407" s="90"/>
      <c r="AEE407" s="90"/>
      <c r="AEF407" s="90"/>
      <c r="AEG407" s="90"/>
      <c r="AEH407" s="90"/>
      <c r="AEI407" s="90"/>
      <c r="AEJ407" s="90"/>
      <c r="AEK407" s="90"/>
      <c r="AEL407" s="90"/>
      <c r="AEM407" s="90"/>
      <c r="AEN407" s="90"/>
      <c r="AEO407" s="90"/>
      <c r="AEP407" s="90"/>
      <c r="AEQ407" s="90"/>
      <c r="AER407" s="90"/>
      <c r="AES407" s="90"/>
      <c r="AET407" s="90"/>
      <c r="AEU407" s="90"/>
      <c r="AEV407" s="90"/>
      <c r="AEW407" s="90"/>
      <c r="AEX407" s="90"/>
      <c r="AEY407" s="90"/>
      <c r="AEZ407" s="90"/>
      <c r="AFA407" s="90"/>
      <c r="AFB407" s="90"/>
      <c r="AFC407" s="90"/>
      <c r="AFD407" s="90"/>
      <c r="AFE407" s="90"/>
      <c r="AFF407" s="90"/>
      <c r="AFG407" s="90"/>
      <c r="AFH407" s="90"/>
      <c r="AFI407" s="90"/>
      <c r="AFJ407" s="90"/>
      <c r="AFK407" s="90"/>
      <c r="AFL407" s="90"/>
      <c r="AFM407" s="90"/>
      <c r="AFN407" s="90"/>
      <c r="AFO407" s="90"/>
      <c r="AFP407" s="90"/>
      <c r="AFQ407" s="90"/>
      <c r="AFR407" s="90"/>
      <c r="AFS407" s="90"/>
      <c r="AFT407" s="90"/>
      <c r="AFU407" s="90"/>
      <c r="AFV407" s="90"/>
      <c r="AFW407" s="90"/>
      <c r="AFX407" s="90"/>
      <c r="AFY407" s="90"/>
      <c r="AFZ407" s="90"/>
      <c r="AGA407" s="90"/>
      <c r="AGB407" s="90"/>
      <c r="AGC407" s="90"/>
      <c r="AGD407" s="90"/>
      <c r="AGE407" s="90"/>
      <c r="AGF407" s="90"/>
      <c r="AGG407" s="90"/>
      <c r="AGH407" s="90"/>
      <c r="AGI407" s="90"/>
      <c r="AGJ407" s="90"/>
      <c r="AGK407" s="90"/>
      <c r="AGL407" s="90"/>
      <c r="AGM407" s="90"/>
      <c r="AGN407" s="90"/>
      <c r="AGO407" s="90"/>
      <c r="AGP407" s="90"/>
      <c r="AGQ407" s="90"/>
      <c r="AGR407" s="90"/>
      <c r="AGS407" s="90"/>
      <c r="AGT407" s="90"/>
      <c r="AGU407" s="90"/>
      <c r="AGV407" s="90"/>
      <c r="AGW407" s="90"/>
      <c r="AGX407" s="90"/>
      <c r="AGY407" s="90"/>
      <c r="AGZ407" s="90"/>
      <c r="AHA407" s="90"/>
      <c r="AHB407" s="90"/>
      <c r="AHC407" s="90"/>
      <c r="AHD407" s="90"/>
      <c r="AHE407" s="90"/>
      <c r="AHF407" s="90"/>
      <c r="AHG407" s="90"/>
      <c r="AHH407" s="90"/>
      <c r="AHI407" s="90"/>
      <c r="AHJ407" s="90"/>
      <c r="AHK407" s="90"/>
      <c r="AHL407" s="90"/>
      <c r="AHM407" s="90"/>
      <c r="AHN407" s="90"/>
      <c r="AHO407" s="90"/>
      <c r="AHP407" s="90"/>
      <c r="AHQ407" s="90"/>
      <c r="AHR407" s="90"/>
      <c r="AHS407" s="90"/>
      <c r="AHT407" s="90"/>
      <c r="AHU407" s="90"/>
      <c r="AHV407" s="90"/>
      <c r="AHW407" s="90"/>
      <c r="AHX407" s="90"/>
      <c r="AHY407" s="90"/>
      <c r="AHZ407" s="90"/>
      <c r="AIA407" s="90"/>
      <c r="AIB407" s="90"/>
      <c r="AIC407" s="90"/>
      <c r="AID407" s="90"/>
      <c r="AIE407" s="90"/>
      <c r="AIF407" s="90"/>
      <c r="AIG407" s="90"/>
      <c r="AIH407" s="90"/>
      <c r="AII407" s="90"/>
      <c r="AIJ407" s="90"/>
      <c r="AIK407" s="90"/>
      <c r="AIL407" s="90"/>
      <c r="AIM407" s="90"/>
      <c r="AIN407" s="90"/>
      <c r="AIO407" s="90"/>
      <c r="AIP407" s="90"/>
      <c r="AIQ407" s="90"/>
      <c r="AIR407" s="90"/>
      <c r="AIS407" s="90"/>
      <c r="AIT407" s="90"/>
      <c r="AIU407" s="90"/>
      <c r="AIV407" s="90"/>
      <c r="AIW407" s="90"/>
      <c r="AIX407" s="90"/>
      <c r="AIY407" s="90"/>
      <c r="AIZ407" s="90"/>
      <c r="AJA407" s="90"/>
      <c r="AJB407" s="90"/>
      <c r="AJC407" s="90"/>
      <c r="AJD407" s="90"/>
      <c r="AJE407" s="90"/>
      <c r="AJF407" s="90"/>
      <c r="AJG407" s="90"/>
      <c r="AJH407" s="90"/>
      <c r="AJI407" s="90"/>
      <c r="AJJ407" s="90"/>
      <c r="AJK407" s="90"/>
      <c r="AJL407" s="90"/>
      <c r="AJM407" s="90"/>
      <c r="AJN407" s="90"/>
      <c r="AJO407" s="90"/>
      <c r="AJP407" s="90"/>
      <c r="AJQ407" s="90"/>
      <c r="AJR407" s="90"/>
      <c r="AJS407" s="90"/>
      <c r="AJT407" s="90"/>
      <c r="AJU407" s="90"/>
      <c r="AJV407" s="90"/>
      <c r="AJW407" s="90"/>
      <c r="AJX407" s="90"/>
      <c r="AJY407" s="90"/>
      <c r="AJZ407" s="90"/>
      <c r="AKA407" s="90"/>
      <c r="AKB407" s="90"/>
      <c r="AKC407" s="90"/>
      <c r="AKD407" s="90"/>
      <c r="AKE407" s="90"/>
      <c r="AKF407" s="90"/>
      <c r="AKG407" s="90"/>
      <c r="AKH407" s="90"/>
      <c r="AKI407" s="90"/>
      <c r="AKJ407" s="90"/>
      <c r="AKK407" s="90"/>
      <c r="AKL407" s="90"/>
      <c r="AKM407" s="90"/>
      <c r="AKN407" s="90"/>
      <c r="AKO407" s="90"/>
      <c r="AKP407" s="90"/>
      <c r="AKQ407" s="90"/>
      <c r="AKR407" s="90"/>
      <c r="AKS407" s="90"/>
      <c r="AKT407" s="90"/>
      <c r="AKU407" s="90"/>
      <c r="AKV407" s="90"/>
      <c r="AKW407" s="90"/>
      <c r="AKX407" s="90"/>
      <c r="AKY407" s="90"/>
      <c r="AKZ407" s="90"/>
      <c r="ALA407" s="90"/>
      <c r="ALB407" s="90"/>
      <c r="ALC407" s="90"/>
      <c r="ALD407" s="90"/>
      <c r="ALE407" s="90"/>
      <c r="ALF407" s="90"/>
      <c r="ALG407" s="90"/>
      <c r="ALH407" s="90"/>
      <c r="ALI407" s="90"/>
      <c r="ALJ407" s="90"/>
      <c r="ALK407" s="90"/>
      <c r="ALL407" s="90"/>
      <c r="ALM407" s="90"/>
      <c r="ALN407" s="90"/>
      <c r="ALO407" s="90"/>
      <c r="ALP407" s="90"/>
      <c r="ALQ407" s="90"/>
      <c r="ALR407" s="90"/>
      <c r="ALS407" s="90"/>
      <c r="ALT407" s="90"/>
      <c r="ALU407" s="90"/>
      <c r="ALV407" s="90"/>
      <c r="ALW407" s="90"/>
      <c r="ALX407" s="90"/>
      <c r="ALY407" s="90"/>
      <c r="ALZ407" s="90"/>
      <c r="AMA407" s="90"/>
      <c r="AMB407" s="90"/>
      <c r="AMC407" s="90"/>
    </row>
    <row r="408" spans="1:1017">
      <c r="A408" s="98" t="s">
        <v>55</v>
      </c>
      <c r="B408" s="90" t="str">
        <f t="shared" si="2095"/>
        <v xml:space="preserve">Lobster Air Laut </v>
      </c>
      <c r="J408" s="611"/>
      <c r="Q408" s="91">
        <f t="shared" si="2096"/>
        <v>0</v>
      </c>
      <c r="R408" s="91">
        <f t="shared" si="2097"/>
        <v>0</v>
      </c>
      <c r="S408" s="98">
        <v>785</v>
      </c>
      <c r="T408" s="98">
        <v>274750</v>
      </c>
      <c r="Z408" s="611"/>
      <c r="AG408" s="91">
        <f t="shared" si="2098"/>
        <v>785</v>
      </c>
      <c r="AH408" s="91">
        <f t="shared" si="2099"/>
        <v>274750</v>
      </c>
      <c r="AP408" s="611"/>
      <c r="AW408" s="91">
        <f t="shared" si="2100"/>
        <v>0</v>
      </c>
      <c r="AX408" s="91">
        <f t="shared" si="2101"/>
        <v>0</v>
      </c>
      <c r="BF408" s="611"/>
      <c r="BM408" s="91">
        <f t="shared" si="2102"/>
        <v>0</v>
      </c>
      <c r="BN408" s="91">
        <f t="shared" si="2103"/>
        <v>0</v>
      </c>
      <c r="BV408" s="611"/>
      <c r="CC408" s="91">
        <f t="shared" si="2104"/>
        <v>0</v>
      </c>
      <c r="CD408" s="91">
        <f t="shared" si="2105"/>
        <v>0</v>
      </c>
      <c r="CL408" s="611"/>
      <c r="CS408" s="91">
        <f t="shared" si="2106"/>
        <v>0</v>
      </c>
      <c r="CT408" s="91">
        <f t="shared" si="2107"/>
        <v>0</v>
      </c>
      <c r="DB408" s="611"/>
      <c r="DI408" s="91">
        <f t="shared" si="2108"/>
        <v>0</v>
      </c>
      <c r="DJ408" s="91">
        <f t="shared" si="2109"/>
        <v>0</v>
      </c>
      <c r="DR408" s="611"/>
      <c r="DY408" s="91">
        <f t="shared" si="2110"/>
        <v>0</v>
      </c>
      <c r="DZ408" s="91">
        <f t="shared" si="2111"/>
        <v>0</v>
      </c>
      <c r="EH408" s="611"/>
      <c r="EO408" s="91">
        <f t="shared" si="2112"/>
        <v>0</v>
      </c>
      <c r="EP408" s="91">
        <f t="shared" si="2113"/>
        <v>0</v>
      </c>
      <c r="EX408" s="611"/>
      <c r="FE408" s="91">
        <f t="shared" si="2114"/>
        <v>0</v>
      </c>
      <c r="FF408" s="91">
        <f t="shared" si="2115"/>
        <v>0</v>
      </c>
      <c r="FN408" s="611"/>
      <c r="FU408" s="91">
        <f t="shared" si="2116"/>
        <v>0</v>
      </c>
      <c r="FV408" s="91">
        <f t="shared" si="2117"/>
        <v>0</v>
      </c>
      <c r="GD408" s="611"/>
      <c r="GK408" s="91">
        <f t="shared" si="2118"/>
        <v>0</v>
      </c>
      <c r="GL408" s="91">
        <f t="shared" si="2119"/>
        <v>0</v>
      </c>
      <c r="GT408" s="611"/>
      <c r="HA408" s="91">
        <f t="shared" si="2120"/>
        <v>0</v>
      </c>
      <c r="HB408" s="91">
        <f t="shared" si="2121"/>
        <v>0</v>
      </c>
      <c r="HJ408" s="611"/>
      <c r="HQ408" s="91">
        <f t="shared" si="2122"/>
        <v>0</v>
      </c>
      <c r="HR408" s="91">
        <f t="shared" si="2123"/>
        <v>0</v>
      </c>
      <c r="HZ408" s="611"/>
      <c r="IG408" s="91">
        <f t="shared" si="2124"/>
        <v>0</v>
      </c>
      <c r="IH408" s="91">
        <f t="shared" si="2125"/>
        <v>0</v>
      </c>
      <c r="IP408" s="611"/>
      <c r="IW408" s="91">
        <f t="shared" si="2126"/>
        <v>0</v>
      </c>
      <c r="IX408" s="91">
        <f t="shared" si="2127"/>
        <v>0</v>
      </c>
      <c r="JM408" s="91">
        <f t="shared" si="2128"/>
        <v>0</v>
      </c>
      <c r="JN408" s="91">
        <f t="shared" si="2129"/>
        <v>0</v>
      </c>
      <c r="JV408" s="611"/>
      <c r="KC408" s="91">
        <f t="shared" si="2130"/>
        <v>0</v>
      </c>
      <c r="KD408" s="91">
        <f t="shared" si="2131"/>
        <v>0</v>
      </c>
      <c r="KL408" s="611"/>
      <c r="KS408" s="91">
        <f t="shared" si="2132"/>
        <v>0</v>
      </c>
      <c r="KT408" s="91">
        <f t="shared" si="2133"/>
        <v>0</v>
      </c>
      <c r="LB408" s="611"/>
      <c r="LI408" s="91">
        <f t="shared" si="2134"/>
        <v>0</v>
      </c>
      <c r="LJ408" s="91">
        <f t="shared" si="2135"/>
        <v>0</v>
      </c>
      <c r="LR408" s="611"/>
      <c r="LY408" s="91">
        <f t="shared" si="2136"/>
        <v>0</v>
      </c>
      <c r="LZ408" s="91">
        <f t="shared" si="2137"/>
        <v>0</v>
      </c>
      <c r="MH408" s="611"/>
      <c r="MO408" s="91">
        <f t="shared" si="2138"/>
        <v>0</v>
      </c>
      <c r="MP408" s="91">
        <f t="shared" si="2139"/>
        <v>0</v>
      </c>
      <c r="MX408" s="611"/>
      <c r="NE408" s="91">
        <f t="shared" si="2140"/>
        <v>0</v>
      </c>
      <c r="NF408" s="91">
        <f t="shared" si="2141"/>
        <v>0</v>
      </c>
      <c r="NN408" s="611"/>
      <c r="NU408" s="91">
        <f t="shared" si="2142"/>
        <v>0</v>
      </c>
      <c r="NV408" s="91">
        <f t="shared" si="2143"/>
        <v>0</v>
      </c>
      <c r="NW408" s="98">
        <v>160</v>
      </c>
      <c r="NX408" s="98">
        <v>56000</v>
      </c>
      <c r="OD408" s="611"/>
      <c r="OK408" s="91">
        <f t="shared" si="2144"/>
        <v>160</v>
      </c>
      <c r="OL408" s="91">
        <f t="shared" si="2145"/>
        <v>56000</v>
      </c>
      <c r="OT408" s="611"/>
      <c r="PA408" s="91">
        <f t="shared" si="2146"/>
        <v>0</v>
      </c>
      <c r="PB408" s="91">
        <f t="shared" si="2147"/>
        <v>0</v>
      </c>
      <c r="PJ408" s="611"/>
      <c r="PQ408" s="91">
        <f t="shared" si="2148"/>
        <v>0</v>
      </c>
      <c r="PR408" s="91">
        <f t="shared" si="2149"/>
        <v>0</v>
      </c>
      <c r="PZ408" s="611"/>
      <c r="QG408" s="91">
        <f t="shared" si="2150"/>
        <v>0</v>
      </c>
      <c r="QH408" s="91">
        <f t="shared" si="2151"/>
        <v>0</v>
      </c>
      <c r="QP408" s="611"/>
      <c r="QW408" s="91">
        <f t="shared" si="2152"/>
        <v>0</v>
      </c>
      <c r="QX408" s="91">
        <f t="shared" si="2153"/>
        <v>0</v>
      </c>
      <c r="RF408" s="611"/>
      <c r="RM408" s="91">
        <f t="shared" si="2154"/>
        <v>0</v>
      </c>
      <c r="RN408" s="91">
        <f t="shared" si="2155"/>
        <v>0</v>
      </c>
      <c r="RV408" s="611"/>
      <c r="SC408" s="91">
        <f t="shared" si="2156"/>
        <v>0</v>
      </c>
      <c r="SD408" s="91">
        <f t="shared" si="2157"/>
        <v>0</v>
      </c>
      <c r="SL408" s="611"/>
      <c r="SS408" s="91">
        <f t="shared" si="2158"/>
        <v>0</v>
      </c>
      <c r="ST408" s="91">
        <f t="shared" si="2159"/>
        <v>0</v>
      </c>
      <c r="TB408" s="611"/>
      <c r="TI408" s="91">
        <f t="shared" si="2160"/>
        <v>0</v>
      </c>
      <c r="TJ408" s="91">
        <f t="shared" si="2161"/>
        <v>0</v>
      </c>
      <c r="TR408" s="611"/>
      <c r="TY408" s="91">
        <f t="shared" si="2162"/>
        <v>0</v>
      </c>
      <c r="TZ408" s="91">
        <f t="shared" si="2163"/>
        <v>0</v>
      </c>
      <c r="UH408" s="611"/>
      <c r="UO408" s="91">
        <f t="shared" si="2164"/>
        <v>0</v>
      </c>
      <c r="UP408" s="91">
        <f t="shared" si="2165"/>
        <v>0</v>
      </c>
      <c r="UX408" s="611"/>
      <c r="VE408" s="91">
        <f t="shared" si="2166"/>
        <v>0</v>
      </c>
      <c r="VF408" s="91">
        <f t="shared" si="2167"/>
        <v>0</v>
      </c>
      <c r="VU408" s="91">
        <f t="shared" si="2168"/>
        <v>0</v>
      </c>
      <c r="VV408" s="91">
        <f t="shared" si="2169"/>
        <v>0</v>
      </c>
      <c r="WD408" s="611"/>
      <c r="WK408" s="91">
        <f t="shared" si="2170"/>
        <v>0</v>
      </c>
      <c r="WL408" s="91">
        <f t="shared" si="2171"/>
        <v>0</v>
      </c>
      <c r="WM408" s="89"/>
      <c r="WN408" s="87">
        <f t="shared" si="2172"/>
        <v>945</v>
      </c>
      <c r="WO408" s="87">
        <f t="shared" si="2173"/>
        <v>330750</v>
      </c>
      <c r="WP408" s="87">
        <f t="shared" si="2174"/>
        <v>0</v>
      </c>
      <c r="WQ408" s="87">
        <f t="shared" si="2175"/>
        <v>0</v>
      </c>
      <c r="WR408" s="87">
        <f t="shared" si="2176"/>
        <v>0</v>
      </c>
      <c r="WS408" s="87">
        <f t="shared" si="2177"/>
        <v>0</v>
      </c>
      <c r="WT408" s="87">
        <f t="shared" si="2178"/>
        <v>0</v>
      </c>
      <c r="WU408" s="87">
        <f t="shared" si="2179"/>
        <v>0</v>
      </c>
      <c r="WV408" s="87">
        <f t="shared" si="2180"/>
        <v>0</v>
      </c>
      <c r="WW408" s="87">
        <f t="shared" si="2181"/>
        <v>0</v>
      </c>
      <c r="WX408" s="87">
        <f t="shared" si="2182"/>
        <v>0</v>
      </c>
      <c r="WY408" s="87">
        <f t="shared" si="2183"/>
        <v>0</v>
      </c>
      <c r="WZ408" s="87">
        <f t="shared" si="2184"/>
        <v>0</v>
      </c>
      <c r="XA408" s="87">
        <f t="shared" si="2185"/>
        <v>0</v>
      </c>
      <c r="XB408" s="92">
        <f t="shared" si="2186"/>
        <v>945</v>
      </c>
      <c r="XC408" s="92">
        <f t="shared" si="2187"/>
        <v>330750</v>
      </c>
      <c r="XD408" s="89"/>
      <c r="XE408" s="92"/>
      <c r="XF408" s="92"/>
      <c r="XG408" s="89"/>
      <c r="XH408" s="92"/>
      <c r="XI408" s="92"/>
      <c r="XJ408" s="89"/>
      <c r="XK408" s="87"/>
      <c r="XL408" s="87"/>
      <c r="XM408" s="87"/>
      <c r="XN408" s="87"/>
      <c r="XO408" s="87"/>
      <c r="XP408" s="87"/>
      <c r="XQ408" s="87"/>
      <c r="XR408" s="92">
        <f t="shared" ca="1" si="2188"/>
        <v>0</v>
      </c>
      <c r="XS408" s="89"/>
      <c r="XT408" s="87"/>
      <c r="XU408" s="87"/>
      <c r="XV408" s="87"/>
      <c r="XW408" s="87"/>
      <c r="XX408" s="87"/>
      <c r="XY408" s="87"/>
      <c r="XZ408" s="87"/>
      <c r="YA408" s="92">
        <f t="shared" ca="1" si="2189"/>
        <v>0</v>
      </c>
      <c r="YB408" s="90"/>
      <c r="YC408" s="90"/>
      <c r="YD408" s="90"/>
      <c r="YE408" s="90"/>
      <c r="YF408" s="90"/>
      <c r="YG408" s="90"/>
      <c r="YH408" s="90"/>
      <c r="YI408" s="90"/>
      <c r="YJ408" s="90"/>
      <c r="YK408" s="90"/>
      <c r="YL408" s="90"/>
      <c r="YM408" s="90"/>
      <c r="YN408" s="90"/>
      <c r="YO408" s="90"/>
      <c r="YP408" s="90"/>
      <c r="YQ408" s="90"/>
      <c r="YR408" s="90"/>
      <c r="YS408" s="90"/>
      <c r="YT408" s="90"/>
      <c r="YU408" s="90"/>
      <c r="YV408" s="90"/>
      <c r="YW408" s="90"/>
      <c r="YX408" s="90"/>
      <c r="YY408" s="90"/>
      <c r="YZ408" s="90"/>
      <c r="ZA408" s="90"/>
      <c r="ZB408" s="90"/>
      <c r="ZC408" s="90"/>
      <c r="ZD408" s="90"/>
      <c r="ZE408" s="90"/>
      <c r="ZF408" s="90"/>
      <c r="ZG408" s="90"/>
      <c r="ZH408" s="90"/>
      <c r="ZI408" s="90"/>
      <c r="ZJ408" s="90"/>
      <c r="ZK408" s="90"/>
      <c r="ZL408" s="90"/>
      <c r="ZM408" s="90"/>
      <c r="ZN408" s="90"/>
      <c r="ZO408" s="90"/>
      <c r="ZP408" s="90"/>
      <c r="ZQ408" s="90"/>
      <c r="ZR408" s="90"/>
      <c r="ZS408" s="90"/>
      <c r="ZT408" s="90"/>
      <c r="ZU408" s="90"/>
      <c r="ZV408" s="90"/>
      <c r="ZW408" s="90"/>
      <c r="ZX408" s="90"/>
      <c r="ZY408" s="90"/>
      <c r="ZZ408" s="90"/>
      <c r="AAA408" s="90"/>
      <c r="AAB408" s="90"/>
      <c r="AAC408" s="90"/>
      <c r="AAD408" s="90"/>
      <c r="AAE408" s="90"/>
      <c r="AAF408" s="90"/>
      <c r="AAG408" s="90"/>
      <c r="AAH408" s="90"/>
      <c r="AAI408" s="90"/>
      <c r="AAJ408" s="90"/>
      <c r="AAK408" s="90"/>
      <c r="AAL408" s="90"/>
      <c r="AAM408" s="90"/>
      <c r="AAN408" s="90"/>
      <c r="AAO408" s="90"/>
      <c r="AAP408" s="90"/>
      <c r="AAQ408" s="90"/>
      <c r="AAR408" s="90"/>
      <c r="AAS408" s="90"/>
      <c r="AAT408" s="90"/>
      <c r="AAU408" s="90"/>
      <c r="AAV408" s="90"/>
      <c r="AAW408" s="90"/>
      <c r="AAX408" s="90"/>
      <c r="AAY408" s="90"/>
      <c r="AAZ408" s="90"/>
      <c r="ABA408" s="90"/>
      <c r="ABB408" s="90"/>
      <c r="ABC408" s="90"/>
      <c r="ABD408" s="90"/>
      <c r="ABE408" s="90"/>
      <c r="ABF408" s="90"/>
      <c r="ABG408" s="90"/>
      <c r="ABH408" s="90"/>
      <c r="ABI408" s="90"/>
      <c r="ABJ408" s="90"/>
      <c r="ABK408" s="90"/>
      <c r="ABL408" s="90"/>
      <c r="ABM408" s="90"/>
      <c r="ABN408" s="90"/>
      <c r="ABO408" s="90"/>
      <c r="ABP408" s="90"/>
      <c r="ABQ408" s="90"/>
      <c r="ABR408" s="90"/>
      <c r="ABS408" s="90"/>
      <c r="ABT408" s="90"/>
      <c r="ABU408" s="90"/>
      <c r="ABV408" s="90"/>
      <c r="ABW408" s="90"/>
      <c r="ABX408" s="90"/>
      <c r="ABY408" s="90"/>
      <c r="ABZ408" s="90"/>
      <c r="ACA408" s="90"/>
      <c r="ACB408" s="90"/>
      <c r="ACC408" s="90"/>
      <c r="ACD408" s="90"/>
      <c r="ACE408" s="90"/>
      <c r="ACF408" s="90"/>
      <c r="ACG408" s="90"/>
      <c r="ACH408" s="90"/>
      <c r="ACI408" s="90"/>
      <c r="ACJ408" s="90"/>
      <c r="ACK408" s="90"/>
      <c r="ACL408" s="90"/>
      <c r="ACM408" s="90"/>
      <c r="ACN408" s="90"/>
      <c r="ACO408" s="90"/>
      <c r="ACP408" s="90"/>
      <c r="ACQ408" s="90"/>
      <c r="ACR408" s="90"/>
      <c r="ACS408" s="90"/>
      <c r="ACT408" s="90"/>
      <c r="ACU408" s="90"/>
      <c r="ACV408" s="90"/>
      <c r="ACW408" s="90"/>
      <c r="ACX408" s="90"/>
      <c r="ACY408" s="90"/>
      <c r="ACZ408" s="90"/>
      <c r="ADA408" s="90"/>
      <c r="ADB408" s="90"/>
      <c r="ADC408" s="90"/>
      <c r="ADD408" s="90"/>
      <c r="ADE408" s="90"/>
      <c r="ADF408" s="90"/>
      <c r="ADG408" s="90"/>
      <c r="ADH408" s="90"/>
      <c r="ADI408" s="90"/>
      <c r="ADJ408" s="90"/>
      <c r="ADK408" s="90"/>
      <c r="ADL408" s="90"/>
      <c r="ADM408" s="90"/>
      <c r="ADN408" s="90"/>
      <c r="ADO408" s="90"/>
      <c r="ADP408" s="90"/>
      <c r="ADQ408" s="90"/>
      <c r="ADR408" s="90"/>
      <c r="ADS408" s="90"/>
      <c r="ADT408" s="90"/>
      <c r="ADU408" s="90"/>
      <c r="ADV408" s="90"/>
      <c r="ADW408" s="90"/>
      <c r="ADX408" s="90"/>
      <c r="ADY408" s="90"/>
      <c r="ADZ408" s="90"/>
      <c r="AEA408" s="90"/>
      <c r="AEB408" s="90"/>
      <c r="AEC408" s="90"/>
      <c r="AED408" s="90"/>
      <c r="AEE408" s="90"/>
      <c r="AEF408" s="90"/>
      <c r="AEG408" s="90"/>
      <c r="AEH408" s="90"/>
      <c r="AEI408" s="90"/>
      <c r="AEJ408" s="90"/>
      <c r="AEK408" s="90"/>
      <c r="AEL408" s="90"/>
      <c r="AEM408" s="90"/>
      <c r="AEN408" s="90"/>
      <c r="AEO408" s="90"/>
      <c r="AEP408" s="90"/>
      <c r="AEQ408" s="90"/>
      <c r="AER408" s="90"/>
      <c r="AES408" s="90"/>
      <c r="AET408" s="90"/>
      <c r="AEU408" s="90"/>
      <c r="AEV408" s="90"/>
      <c r="AEW408" s="90"/>
      <c r="AEX408" s="90"/>
      <c r="AEY408" s="90"/>
      <c r="AEZ408" s="90"/>
      <c r="AFA408" s="90"/>
      <c r="AFB408" s="90"/>
      <c r="AFC408" s="90"/>
      <c r="AFD408" s="90"/>
      <c r="AFE408" s="90"/>
      <c r="AFF408" s="90"/>
      <c r="AFG408" s="90"/>
      <c r="AFH408" s="90"/>
      <c r="AFI408" s="90"/>
      <c r="AFJ408" s="90"/>
      <c r="AFK408" s="90"/>
      <c r="AFL408" s="90"/>
      <c r="AFM408" s="90"/>
      <c r="AFN408" s="90"/>
      <c r="AFO408" s="90"/>
      <c r="AFP408" s="90"/>
      <c r="AFQ408" s="90"/>
      <c r="AFR408" s="90"/>
      <c r="AFS408" s="90"/>
      <c r="AFT408" s="90"/>
      <c r="AFU408" s="90"/>
      <c r="AFV408" s="90"/>
      <c r="AFW408" s="90"/>
      <c r="AFX408" s="90"/>
      <c r="AFY408" s="90"/>
      <c r="AFZ408" s="90"/>
      <c r="AGA408" s="90"/>
      <c r="AGB408" s="90"/>
      <c r="AGC408" s="90"/>
      <c r="AGD408" s="90"/>
      <c r="AGE408" s="90"/>
      <c r="AGF408" s="90"/>
      <c r="AGG408" s="90"/>
      <c r="AGH408" s="90"/>
      <c r="AGI408" s="90"/>
      <c r="AGJ408" s="90"/>
      <c r="AGK408" s="90"/>
      <c r="AGL408" s="90"/>
      <c r="AGM408" s="90"/>
      <c r="AGN408" s="90"/>
      <c r="AGO408" s="90"/>
      <c r="AGP408" s="90"/>
      <c r="AGQ408" s="90"/>
      <c r="AGR408" s="90"/>
      <c r="AGS408" s="90"/>
      <c r="AGT408" s="90"/>
      <c r="AGU408" s="90"/>
      <c r="AGV408" s="90"/>
      <c r="AGW408" s="90"/>
      <c r="AGX408" s="90"/>
      <c r="AGY408" s="90"/>
      <c r="AGZ408" s="90"/>
      <c r="AHA408" s="90"/>
      <c r="AHB408" s="90"/>
      <c r="AHC408" s="90"/>
      <c r="AHD408" s="90"/>
      <c r="AHE408" s="90"/>
      <c r="AHF408" s="90"/>
      <c r="AHG408" s="90"/>
      <c r="AHH408" s="90"/>
      <c r="AHI408" s="90"/>
      <c r="AHJ408" s="90"/>
      <c r="AHK408" s="90"/>
      <c r="AHL408" s="90"/>
      <c r="AHM408" s="90"/>
      <c r="AHN408" s="90"/>
      <c r="AHO408" s="90"/>
      <c r="AHP408" s="90"/>
      <c r="AHQ408" s="90"/>
      <c r="AHR408" s="90"/>
      <c r="AHS408" s="90"/>
      <c r="AHT408" s="90"/>
      <c r="AHU408" s="90"/>
      <c r="AHV408" s="90"/>
      <c r="AHW408" s="90"/>
      <c r="AHX408" s="90"/>
      <c r="AHY408" s="90"/>
      <c r="AHZ408" s="90"/>
      <c r="AIA408" s="90"/>
      <c r="AIB408" s="90"/>
      <c r="AIC408" s="90"/>
      <c r="AID408" s="90"/>
      <c r="AIE408" s="90"/>
      <c r="AIF408" s="90"/>
      <c r="AIG408" s="90"/>
      <c r="AIH408" s="90"/>
      <c r="AII408" s="90"/>
      <c r="AIJ408" s="90"/>
      <c r="AIK408" s="90"/>
      <c r="AIL408" s="90"/>
      <c r="AIM408" s="90"/>
      <c r="AIN408" s="90"/>
      <c r="AIO408" s="90"/>
      <c r="AIP408" s="90"/>
      <c r="AIQ408" s="90"/>
      <c r="AIR408" s="90"/>
      <c r="AIS408" s="90"/>
      <c r="AIT408" s="90"/>
      <c r="AIU408" s="90"/>
      <c r="AIV408" s="90"/>
      <c r="AIW408" s="90"/>
      <c r="AIX408" s="90"/>
      <c r="AIY408" s="90"/>
      <c r="AIZ408" s="90"/>
      <c r="AJA408" s="90"/>
      <c r="AJB408" s="90"/>
      <c r="AJC408" s="90"/>
      <c r="AJD408" s="90"/>
      <c r="AJE408" s="90"/>
      <c r="AJF408" s="90"/>
      <c r="AJG408" s="90"/>
      <c r="AJH408" s="90"/>
      <c r="AJI408" s="90"/>
      <c r="AJJ408" s="90"/>
      <c r="AJK408" s="90"/>
      <c r="AJL408" s="90"/>
      <c r="AJM408" s="90"/>
      <c r="AJN408" s="90"/>
      <c r="AJO408" s="90"/>
      <c r="AJP408" s="90"/>
      <c r="AJQ408" s="90"/>
      <c r="AJR408" s="90"/>
      <c r="AJS408" s="90"/>
      <c r="AJT408" s="90"/>
      <c r="AJU408" s="90"/>
      <c r="AJV408" s="90"/>
      <c r="AJW408" s="90"/>
      <c r="AJX408" s="90"/>
      <c r="AJY408" s="90"/>
      <c r="AJZ408" s="90"/>
      <c r="AKA408" s="90"/>
      <c r="AKB408" s="90"/>
      <c r="AKC408" s="90"/>
      <c r="AKD408" s="90"/>
      <c r="AKE408" s="90"/>
      <c r="AKF408" s="90"/>
      <c r="AKG408" s="90"/>
      <c r="AKH408" s="90"/>
      <c r="AKI408" s="90"/>
      <c r="AKJ408" s="90"/>
      <c r="AKK408" s="90"/>
      <c r="AKL408" s="90"/>
      <c r="AKM408" s="90"/>
      <c r="AKN408" s="90"/>
      <c r="AKO408" s="90"/>
      <c r="AKP408" s="90"/>
      <c r="AKQ408" s="90"/>
      <c r="AKR408" s="90"/>
      <c r="AKS408" s="90"/>
      <c r="AKT408" s="90"/>
      <c r="AKU408" s="90"/>
      <c r="AKV408" s="90"/>
      <c r="AKW408" s="90"/>
      <c r="AKX408" s="90"/>
      <c r="AKY408" s="90"/>
      <c r="AKZ408" s="90"/>
      <c r="ALA408" s="90"/>
      <c r="ALB408" s="90"/>
      <c r="ALC408" s="90"/>
      <c r="ALD408" s="90"/>
      <c r="ALE408" s="90"/>
      <c r="ALF408" s="90"/>
      <c r="ALG408" s="90"/>
      <c r="ALH408" s="90"/>
      <c r="ALI408" s="90"/>
      <c r="ALJ408" s="90"/>
      <c r="ALK408" s="90"/>
      <c r="ALL408" s="90"/>
      <c r="ALM408" s="90"/>
      <c r="ALN408" s="90"/>
      <c r="ALO408" s="90"/>
      <c r="ALP408" s="90"/>
      <c r="ALQ408" s="90"/>
      <c r="ALR408" s="90"/>
      <c r="ALS408" s="90"/>
      <c r="ALT408" s="90"/>
      <c r="ALU408" s="90"/>
      <c r="ALV408" s="90"/>
      <c r="ALW408" s="90"/>
      <c r="ALX408" s="90"/>
      <c r="ALY408" s="90"/>
      <c r="ALZ408" s="90"/>
      <c r="AMA408" s="90"/>
      <c r="AMB408" s="90"/>
      <c r="AMC408" s="90"/>
    </row>
    <row r="409" spans="1:1017">
      <c r="A409" s="98" t="s">
        <v>55</v>
      </c>
      <c r="B409" s="90" t="str">
        <f t="shared" si="2095"/>
        <v xml:space="preserve">Lobster Air Tawar, Cherax </v>
      </c>
      <c r="Q409" s="91">
        <f t="shared" si="2096"/>
        <v>0</v>
      </c>
      <c r="R409" s="91">
        <f t="shared" si="2097"/>
        <v>0</v>
      </c>
      <c r="AG409" s="91">
        <f t="shared" si="2098"/>
        <v>0</v>
      </c>
      <c r="AH409" s="91">
        <f t="shared" si="2099"/>
        <v>0</v>
      </c>
      <c r="AW409" s="91">
        <f t="shared" si="2100"/>
        <v>0</v>
      </c>
      <c r="AX409" s="91">
        <f t="shared" si="2101"/>
        <v>0</v>
      </c>
      <c r="BM409" s="91">
        <f t="shared" si="2102"/>
        <v>0</v>
      </c>
      <c r="BN409" s="91">
        <f t="shared" si="2103"/>
        <v>0</v>
      </c>
      <c r="CC409" s="91">
        <f t="shared" si="2104"/>
        <v>0</v>
      </c>
      <c r="CD409" s="91">
        <f t="shared" si="2105"/>
        <v>0</v>
      </c>
      <c r="CS409" s="91">
        <f t="shared" si="2106"/>
        <v>0</v>
      </c>
      <c r="CT409" s="91">
        <f t="shared" si="2107"/>
        <v>0</v>
      </c>
      <c r="DI409" s="91">
        <f t="shared" si="2108"/>
        <v>0</v>
      </c>
      <c r="DJ409" s="91">
        <f t="shared" si="2109"/>
        <v>0</v>
      </c>
      <c r="DY409" s="91">
        <f t="shared" si="2110"/>
        <v>0</v>
      </c>
      <c r="DZ409" s="91">
        <f t="shared" si="2111"/>
        <v>0</v>
      </c>
      <c r="EO409" s="91">
        <f t="shared" si="2112"/>
        <v>0</v>
      </c>
      <c r="EP409" s="91">
        <f t="shared" si="2113"/>
        <v>0</v>
      </c>
      <c r="FE409" s="91">
        <f t="shared" si="2114"/>
        <v>0</v>
      </c>
      <c r="FF409" s="91">
        <f t="shared" si="2115"/>
        <v>0</v>
      </c>
      <c r="FU409" s="91">
        <f t="shared" si="2116"/>
        <v>0</v>
      </c>
      <c r="FV409" s="91">
        <f t="shared" si="2117"/>
        <v>0</v>
      </c>
      <c r="GK409" s="91">
        <f t="shared" si="2118"/>
        <v>0</v>
      </c>
      <c r="GL409" s="91">
        <f t="shared" si="2119"/>
        <v>0</v>
      </c>
      <c r="HA409" s="91">
        <f t="shared" si="2120"/>
        <v>0</v>
      </c>
      <c r="HB409" s="91">
        <f t="shared" si="2121"/>
        <v>0</v>
      </c>
      <c r="HQ409" s="91">
        <f t="shared" si="2122"/>
        <v>0</v>
      </c>
      <c r="HR409" s="91">
        <f t="shared" si="2123"/>
        <v>0</v>
      </c>
      <c r="IG409" s="91">
        <f t="shared" si="2124"/>
        <v>0</v>
      </c>
      <c r="IH409" s="91">
        <f t="shared" si="2125"/>
        <v>0</v>
      </c>
      <c r="IO409" s="98">
        <v>250</v>
      </c>
      <c r="IP409" s="98">
        <v>27500</v>
      </c>
      <c r="IW409" s="91">
        <f t="shared" si="2126"/>
        <v>250</v>
      </c>
      <c r="IX409" s="91">
        <f t="shared" si="2127"/>
        <v>27500</v>
      </c>
      <c r="JM409" s="91">
        <f t="shared" si="2128"/>
        <v>0</v>
      </c>
      <c r="JN409" s="91">
        <f t="shared" si="2129"/>
        <v>0</v>
      </c>
      <c r="KC409" s="91">
        <f t="shared" si="2130"/>
        <v>0</v>
      </c>
      <c r="KD409" s="91">
        <f t="shared" si="2131"/>
        <v>0</v>
      </c>
      <c r="KS409" s="91">
        <f t="shared" si="2132"/>
        <v>0</v>
      </c>
      <c r="KT409" s="91">
        <f t="shared" si="2133"/>
        <v>0</v>
      </c>
      <c r="LI409" s="91">
        <f t="shared" si="2134"/>
        <v>0</v>
      </c>
      <c r="LJ409" s="91">
        <f t="shared" si="2135"/>
        <v>0</v>
      </c>
      <c r="LY409" s="91">
        <f t="shared" si="2136"/>
        <v>0</v>
      </c>
      <c r="LZ409" s="91">
        <f t="shared" si="2137"/>
        <v>0</v>
      </c>
      <c r="MO409" s="91">
        <f t="shared" si="2138"/>
        <v>0</v>
      </c>
      <c r="MP409" s="91">
        <f t="shared" si="2139"/>
        <v>0</v>
      </c>
      <c r="NE409" s="91">
        <f t="shared" si="2140"/>
        <v>0</v>
      </c>
      <c r="NF409" s="91">
        <f t="shared" si="2141"/>
        <v>0</v>
      </c>
      <c r="NU409" s="91">
        <f t="shared" si="2142"/>
        <v>0</v>
      </c>
      <c r="NV409" s="91">
        <f t="shared" si="2143"/>
        <v>0</v>
      </c>
      <c r="OK409" s="91">
        <f t="shared" si="2144"/>
        <v>0</v>
      </c>
      <c r="OL409" s="91">
        <f t="shared" si="2145"/>
        <v>0</v>
      </c>
      <c r="PA409" s="91">
        <f t="shared" si="2146"/>
        <v>0</v>
      </c>
      <c r="PB409" s="91">
        <f t="shared" si="2147"/>
        <v>0</v>
      </c>
      <c r="PQ409" s="91">
        <f t="shared" si="2148"/>
        <v>0</v>
      </c>
      <c r="PR409" s="91">
        <f t="shared" si="2149"/>
        <v>0</v>
      </c>
      <c r="QG409" s="91">
        <f t="shared" si="2150"/>
        <v>0</v>
      </c>
      <c r="QH409" s="91">
        <f t="shared" si="2151"/>
        <v>0</v>
      </c>
      <c r="QW409" s="91">
        <f t="shared" si="2152"/>
        <v>0</v>
      </c>
      <c r="QX409" s="91">
        <f t="shared" si="2153"/>
        <v>0</v>
      </c>
      <c r="RM409" s="91">
        <f t="shared" si="2154"/>
        <v>0</v>
      </c>
      <c r="RN409" s="91">
        <f t="shared" si="2155"/>
        <v>0</v>
      </c>
      <c r="SC409" s="91">
        <f t="shared" si="2156"/>
        <v>0</v>
      </c>
      <c r="SD409" s="91">
        <f t="shared" si="2157"/>
        <v>0</v>
      </c>
      <c r="SS409" s="91">
        <f t="shared" si="2158"/>
        <v>0</v>
      </c>
      <c r="ST409" s="91">
        <f t="shared" si="2159"/>
        <v>0</v>
      </c>
      <c r="TI409" s="91">
        <f t="shared" si="2160"/>
        <v>0</v>
      </c>
      <c r="TJ409" s="91">
        <f t="shared" si="2161"/>
        <v>0</v>
      </c>
      <c r="TY409" s="91">
        <f t="shared" si="2162"/>
        <v>0</v>
      </c>
      <c r="TZ409" s="91">
        <f t="shared" si="2163"/>
        <v>0</v>
      </c>
      <c r="UO409" s="91">
        <f t="shared" si="2164"/>
        <v>0</v>
      </c>
      <c r="UP409" s="91">
        <f t="shared" si="2165"/>
        <v>0</v>
      </c>
      <c r="VE409" s="91">
        <f t="shared" si="2166"/>
        <v>0</v>
      </c>
      <c r="VF409" s="91">
        <f t="shared" si="2167"/>
        <v>0</v>
      </c>
      <c r="VU409" s="91">
        <f t="shared" si="2168"/>
        <v>0</v>
      </c>
      <c r="VV409" s="91">
        <f t="shared" si="2169"/>
        <v>0</v>
      </c>
      <c r="WK409" s="91">
        <f t="shared" si="2170"/>
        <v>0</v>
      </c>
      <c r="WL409" s="91">
        <f t="shared" si="2171"/>
        <v>0</v>
      </c>
      <c r="WM409" s="89"/>
      <c r="WN409" s="87">
        <f t="shared" si="2172"/>
        <v>0</v>
      </c>
      <c r="WO409" s="87">
        <f t="shared" si="2173"/>
        <v>0</v>
      </c>
      <c r="WP409" s="87">
        <f t="shared" si="2174"/>
        <v>0</v>
      </c>
      <c r="WQ409" s="87">
        <f t="shared" si="2175"/>
        <v>0</v>
      </c>
      <c r="WR409" s="87">
        <f t="shared" si="2176"/>
        <v>0</v>
      </c>
      <c r="WS409" s="87">
        <f t="shared" si="2177"/>
        <v>0</v>
      </c>
      <c r="WT409" s="87">
        <f t="shared" si="2178"/>
        <v>250</v>
      </c>
      <c r="WU409" s="87">
        <f t="shared" si="2179"/>
        <v>27500</v>
      </c>
      <c r="WV409" s="87">
        <f t="shared" si="2180"/>
        <v>0</v>
      </c>
      <c r="WW409" s="87">
        <f t="shared" si="2181"/>
        <v>0</v>
      </c>
      <c r="WX409" s="87">
        <f t="shared" si="2182"/>
        <v>0</v>
      </c>
      <c r="WY409" s="87">
        <f t="shared" si="2183"/>
        <v>0</v>
      </c>
      <c r="WZ409" s="87">
        <f t="shared" si="2184"/>
        <v>0</v>
      </c>
      <c r="XA409" s="87">
        <f t="shared" si="2185"/>
        <v>0</v>
      </c>
      <c r="XB409" s="92">
        <f t="shared" si="2186"/>
        <v>250</v>
      </c>
      <c r="XC409" s="92">
        <f t="shared" si="2187"/>
        <v>27500</v>
      </c>
      <c r="XD409" s="89"/>
      <c r="XE409" s="92"/>
      <c r="XF409" s="92"/>
      <c r="XG409" s="89"/>
      <c r="XH409" s="92"/>
      <c r="XI409" s="92"/>
      <c r="XJ409" s="89"/>
      <c r="XK409" s="87"/>
      <c r="XL409" s="87"/>
      <c r="XM409" s="87"/>
      <c r="XN409" s="87"/>
      <c r="XO409" s="87"/>
      <c r="XP409" s="87"/>
      <c r="XQ409" s="87"/>
      <c r="XR409" s="92">
        <f t="shared" ca="1" si="2188"/>
        <v>0</v>
      </c>
      <c r="XS409" s="89"/>
      <c r="XT409" s="87"/>
      <c r="XU409" s="87"/>
      <c r="XV409" s="87"/>
      <c r="XW409" s="87"/>
      <c r="XX409" s="87"/>
      <c r="XY409" s="87"/>
      <c r="XZ409" s="87"/>
      <c r="YA409" s="92">
        <f t="shared" ca="1" si="2189"/>
        <v>0</v>
      </c>
      <c r="YB409" s="90"/>
      <c r="YC409" s="90"/>
      <c r="YD409" s="90"/>
      <c r="YE409" s="90"/>
      <c r="YF409" s="90"/>
      <c r="YG409" s="90"/>
      <c r="YH409" s="90"/>
      <c r="YI409" s="90"/>
      <c r="YJ409" s="90"/>
      <c r="YK409" s="90"/>
      <c r="YL409" s="90"/>
      <c r="YM409" s="90"/>
      <c r="YN409" s="90"/>
      <c r="YO409" s="90"/>
      <c r="YP409" s="90"/>
      <c r="YQ409" s="90"/>
      <c r="YR409" s="90"/>
      <c r="YS409" s="90"/>
      <c r="YT409" s="90"/>
      <c r="YU409" s="90"/>
      <c r="YV409" s="90"/>
      <c r="YW409" s="90"/>
      <c r="YX409" s="90"/>
      <c r="YY409" s="90"/>
      <c r="YZ409" s="90"/>
      <c r="ZA409" s="90"/>
      <c r="ZB409" s="90"/>
      <c r="ZC409" s="90"/>
      <c r="ZD409" s="90"/>
      <c r="ZE409" s="90"/>
      <c r="ZF409" s="90"/>
      <c r="ZG409" s="90"/>
      <c r="ZH409" s="90"/>
      <c r="ZI409" s="90"/>
      <c r="ZJ409" s="90"/>
      <c r="ZK409" s="90"/>
      <c r="ZL409" s="90"/>
      <c r="ZM409" s="90"/>
      <c r="ZN409" s="90"/>
      <c r="ZO409" s="90"/>
      <c r="ZP409" s="90"/>
      <c r="ZQ409" s="90"/>
      <c r="ZR409" s="90"/>
      <c r="ZS409" s="90"/>
      <c r="ZT409" s="90"/>
      <c r="ZU409" s="90"/>
      <c r="ZV409" s="90"/>
      <c r="ZW409" s="90"/>
      <c r="ZX409" s="90"/>
      <c r="ZY409" s="90"/>
      <c r="ZZ409" s="90"/>
      <c r="AAA409" s="90"/>
      <c r="AAB409" s="90"/>
      <c r="AAC409" s="90"/>
      <c r="AAD409" s="90"/>
      <c r="AAE409" s="90"/>
      <c r="AAF409" s="90"/>
      <c r="AAG409" s="90"/>
      <c r="AAH409" s="90"/>
      <c r="AAI409" s="90"/>
      <c r="AAJ409" s="90"/>
      <c r="AAK409" s="90"/>
      <c r="AAL409" s="90"/>
      <c r="AAM409" s="90"/>
      <c r="AAN409" s="90"/>
      <c r="AAO409" s="90"/>
      <c r="AAP409" s="90"/>
      <c r="AAQ409" s="90"/>
      <c r="AAR409" s="90"/>
      <c r="AAS409" s="90"/>
      <c r="AAT409" s="90"/>
      <c r="AAU409" s="90"/>
      <c r="AAV409" s="90"/>
      <c r="AAW409" s="90"/>
      <c r="AAX409" s="90"/>
      <c r="AAY409" s="90"/>
      <c r="AAZ409" s="90"/>
      <c r="ABA409" s="90"/>
      <c r="ABB409" s="90"/>
      <c r="ABC409" s="90"/>
      <c r="ABD409" s="90"/>
      <c r="ABE409" s="90"/>
      <c r="ABF409" s="90"/>
      <c r="ABG409" s="90"/>
      <c r="ABH409" s="90"/>
      <c r="ABI409" s="90"/>
      <c r="ABJ409" s="90"/>
      <c r="ABK409" s="90"/>
      <c r="ABL409" s="90"/>
      <c r="ABM409" s="90"/>
      <c r="ABN409" s="90"/>
      <c r="ABO409" s="90"/>
      <c r="ABP409" s="90"/>
      <c r="ABQ409" s="90"/>
      <c r="ABR409" s="90"/>
      <c r="ABS409" s="90"/>
      <c r="ABT409" s="90"/>
      <c r="ABU409" s="90"/>
      <c r="ABV409" s="90"/>
      <c r="ABW409" s="90"/>
      <c r="ABX409" s="90"/>
      <c r="ABY409" s="90"/>
      <c r="ABZ409" s="90"/>
      <c r="ACA409" s="90"/>
      <c r="ACB409" s="90"/>
      <c r="ACC409" s="90"/>
      <c r="ACD409" s="90"/>
      <c r="ACE409" s="90"/>
      <c r="ACF409" s="90"/>
      <c r="ACG409" s="90"/>
      <c r="ACH409" s="90"/>
      <c r="ACI409" s="90"/>
      <c r="ACJ409" s="90"/>
      <c r="ACK409" s="90"/>
      <c r="ACL409" s="90"/>
      <c r="ACM409" s="90"/>
      <c r="ACN409" s="90"/>
      <c r="ACO409" s="90"/>
      <c r="ACP409" s="90"/>
      <c r="ACQ409" s="90"/>
      <c r="ACR409" s="90"/>
      <c r="ACS409" s="90"/>
      <c r="ACT409" s="90"/>
      <c r="ACU409" s="90"/>
      <c r="ACV409" s="90"/>
      <c r="ACW409" s="90"/>
      <c r="ACX409" s="90"/>
      <c r="ACY409" s="90"/>
      <c r="ACZ409" s="90"/>
      <c r="ADA409" s="90"/>
      <c r="ADB409" s="90"/>
      <c r="ADC409" s="90"/>
      <c r="ADD409" s="90"/>
      <c r="ADE409" s="90"/>
      <c r="ADF409" s="90"/>
      <c r="ADG409" s="90"/>
      <c r="ADH409" s="90"/>
      <c r="ADI409" s="90"/>
      <c r="ADJ409" s="90"/>
      <c r="ADK409" s="90"/>
      <c r="ADL409" s="90"/>
      <c r="ADM409" s="90"/>
      <c r="ADN409" s="90"/>
      <c r="ADO409" s="90"/>
      <c r="ADP409" s="90"/>
      <c r="ADQ409" s="90"/>
      <c r="ADR409" s="90"/>
      <c r="ADS409" s="90"/>
      <c r="ADT409" s="90"/>
      <c r="ADU409" s="90"/>
      <c r="ADV409" s="90"/>
      <c r="ADW409" s="90"/>
      <c r="ADX409" s="90"/>
      <c r="ADY409" s="90"/>
      <c r="ADZ409" s="90"/>
      <c r="AEA409" s="90"/>
      <c r="AEB409" s="90"/>
      <c r="AEC409" s="90"/>
      <c r="AED409" s="90"/>
      <c r="AEE409" s="90"/>
      <c r="AEF409" s="90"/>
      <c r="AEG409" s="90"/>
      <c r="AEH409" s="90"/>
      <c r="AEI409" s="90"/>
      <c r="AEJ409" s="90"/>
      <c r="AEK409" s="90"/>
      <c r="AEL409" s="90"/>
      <c r="AEM409" s="90"/>
      <c r="AEN409" s="90"/>
      <c r="AEO409" s="90"/>
      <c r="AEP409" s="90"/>
      <c r="AEQ409" s="90"/>
      <c r="AER409" s="90"/>
      <c r="AES409" s="90"/>
      <c r="AET409" s="90"/>
      <c r="AEU409" s="90"/>
      <c r="AEV409" s="90"/>
      <c r="AEW409" s="90"/>
      <c r="AEX409" s="90"/>
      <c r="AEY409" s="90"/>
      <c r="AEZ409" s="90"/>
      <c r="AFA409" s="90"/>
      <c r="AFB409" s="90"/>
      <c r="AFC409" s="90"/>
      <c r="AFD409" s="90"/>
      <c r="AFE409" s="90"/>
      <c r="AFF409" s="90"/>
      <c r="AFG409" s="90"/>
      <c r="AFH409" s="90"/>
      <c r="AFI409" s="90"/>
      <c r="AFJ409" s="90"/>
      <c r="AFK409" s="90"/>
      <c r="AFL409" s="90"/>
      <c r="AFM409" s="90"/>
      <c r="AFN409" s="90"/>
      <c r="AFO409" s="90"/>
      <c r="AFP409" s="90"/>
      <c r="AFQ409" s="90"/>
      <c r="AFR409" s="90"/>
      <c r="AFS409" s="90"/>
      <c r="AFT409" s="90"/>
      <c r="AFU409" s="90"/>
      <c r="AFV409" s="90"/>
      <c r="AFW409" s="90"/>
      <c r="AFX409" s="90"/>
      <c r="AFY409" s="90"/>
      <c r="AFZ409" s="90"/>
      <c r="AGA409" s="90"/>
      <c r="AGB409" s="90"/>
      <c r="AGC409" s="90"/>
      <c r="AGD409" s="90"/>
      <c r="AGE409" s="90"/>
      <c r="AGF409" s="90"/>
      <c r="AGG409" s="90"/>
      <c r="AGH409" s="90"/>
      <c r="AGI409" s="90"/>
      <c r="AGJ409" s="90"/>
      <c r="AGK409" s="90"/>
      <c r="AGL409" s="90"/>
      <c r="AGM409" s="90"/>
      <c r="AGN409" s="90"/>
      <c r="AGO409" s="90"/>
      <c r="AGP409" s="90"/>
      <c r="AGQ409" s="90"/>
      <c r="AGR409" s="90"/>
      <c r="AGS409" s="90"/>
      <c r="AGT409" s="90"/>
      <c r="AGU409" s="90"/>
      <c r="AGV409" s="90"/>
      <c r="AGW409" s="90"/>
      <c r="AGX409" s="90"/>
      <c r="AGY409" s="90"/>
      <c r="AGZ409" s="90"/>
      <c r="AHA409" s="90"/>
      <c r="AHB409" s="90"/>
      <c r="AHC409" s="90"/>
      <c r="AHD409" s="90"/>
      <c r="AHE409" s="90"/>
      <c r="AHF409" s="90"/>
      <c r="AHG409" s="90"/>
      <c r="AHH409" s="90"/>
      <c r="AHI409" s="90"/>
      <c r="AHJ409" s="90"/>
      <c r="AHK409" s="90"/>
      <c r="AHL409" s="90"/>
      <c r="AHM409" s="90"/>
      <c r="AHN409" s="90"/>
      <c r="AHO409" s="90"/>
      <c r="AHP409" s="90"/>
      <c r="AHQ409" s="90"/>
      <c r="AHR409" s="90"/>
      <c r="AHS409" s="90"/>
      <c r="AHT409" s="90"/>
      <c r="AHU409" s="90"/>
      <c r="AHV409" s="90"/>
      <c r="AHW409" s="90"/>
      <c r="AHX409" s="90"/>
      <c r="AHY409" s="90"/>
      <c r="AHZ409" s="90"/>
      <c r="AIA409" s="90"/>
      <c r="AIB409" s="90"/>
      <c r="AIC409" s="90"/>
      <c r="AID409" s="90"/>
      <c r="AIE409" s="90"/>
      <c r="AIF409" s="90"/>
      <c r="AIG409" s="90"/>
      <c r="AIH409" s="90"/>
      <c r="AII409" s="90"/>
      <c r="AIJ409" s="90"/>
      <c r="AIK409" s="90"/>
      <c r="AIL409" s="90"/>
      <c r="AIM409" s="90"/>
      <c r="AIN409" s="90"/>
      <c r="AIO409" s="90"/>
      <c r="AIP409" s="90"/>
      <c r="AIQ409" s="90"/>
      <c r="AIR409" s="90"/>
      <c r="AIS409" s="90"/>
      <c r="AIT409" s="90"/>
      <c r="AIU409" s="90"/>
      <c r="AIV409" s="90"/>
      <c r="AIW409" s="90"/>
      <c r="AIX409" s="90"/>
      <c r="AIY409" s="90"/>
      <c r="AIZ409" s="90"/>
      <c r="AJA409" s="90"/>
      <c r="AJB409" s="90"/>
      <c r="AJC409" s="90"/>
      <c r="AJD409" s="90"/>
      <c r="AJE409" s="90"/>
      <c r="AJF409" s="90"/>
      <c r="AJG409" s="90"/>
      <c r="AJH409" s="90"/>
      <c r="AJI409" s="90"/>
      <c r="AJJ409" s="90"/>
      <c r="AJK409" s="90"/>
      <c r="AJL409" s="90"/>
      <c r="AJM409" s="90"/>
      <c r="AJN409" s="90"/>
      <c r="AJO409" s="90"/>
      <c r="AJP409" s="90"/>
      <c r="AJQ409" s="90"/>
      <c r="AJR409" s="90"/>
      <c r="AJS409" s="90"/>
      <c r="AJT409" s="90"/>
      <c r="AJU409" s="90"/>
      <c r="AJV409" s="90"/>
      <c r="AJW409" s="90"/>
      <c r="AJX409" s="90"/>
      <c r="AJY409" s="90"/>
      <c r="AJZ409" s="90"/>
      <c r="AKA409" s="90"/>
      <c r="AKB409" s="90"/>
      <c r="AKC409" s="90"/>
      <c r="AKD409" s="90"/>
      <c r="AKE409" s="90"/>
      <c r="AKF409" s="90"/>
      <c r="AKG409" s="90"/>
      <c r="AKH409" s="90"/>
      <c r="AKI409" s="90"/>
      <c r="AKJ409" s="90"/>
      <c r="AKK409" s="90"/>
      <c r="AKL409" s="90"/>
      <c r="AKM409" s="90"/>
      <c r="AKN409" s="90"/>
      <c r="AKO409" s="90"/>
      <c r="AKP409" s="90"/>
      <c r="AKQ409" s="90"/>
      <c r="AKR409" s="90"/>
      <c r="AKS409" s="90"/>
      <c r="AKT409" s="90"/>
      <c r="AKU409" s="90"/>
      <c r="AKV409" s="90"/>
      <c r="AKW409" s="90"/>
      <c r="AKX409" s="90"/>
      <c r="AKY409" s="90"/>
      <c r="AKZ409" s="90"/>
      <c r="ALA409" s="90"/>
      <c r="ALB409" s="90"/>
      <c r="ALC409" s="90"/>
      <c r="ALD409" s="90"/>
      <c r="ALE409" s="90"/>
      <c r="ALF409" s="90"/>
      <c r="ALG409" s="90"/>
      <c r="ALH409" s="90"/>
      <c r="ALI409" s="90"/>
      <c r="ALJ409" s="90"/>
      <c r="ALK409" s="90"/>
      <c r="ALL409" s="90"/>
      <c r="ALM409" s="90"/>
      <c r="ALN409" s="90"/>
      <c r="ALO409" s="90"/>
      <c r="ALP409" s="90"/>
      <c r="ALQ409" s="90"/>
      <c r="ALR409" s="90"/>
      <c r="ALS409" s="90"/>
      <c r="ALT409" s="90"/>
      <c r="ALU409" s="90"/>
      <c r="ALV409" s="90"/>
      <c r="ALW409" s="90"/>
      <c r="ALX409" s="90"/>
      <c r="ALY409" s="90"/>
      <c r="ALZ409" s="90"/>
      <c r="AMA409" s="90"/>
      <c r="AMB409" s="90"/>
      <c r="AMC409" s="90"/>
    </row>
    <row r="410" spans="1:1017">
      <c r="A410" s="98" t="s">
        <v>55</v>
      </c>
      <c r="B410" s="90" t="str">
        <f t="shared" si="2095"/>
        <v xml:space="preserve">Mas, Ikan Mas, Karper </v>
      </c>
      <c r="Q410" s="91">
        <f t="shared" si="2096"/>
        <v>0</v>
      </c>
      <c r="R410" s="91">
        <f t="shared" si="2097"/>
        <v>0</v>
      </c>
      <c r="Y410" s="98">
        <v>9750</v>
      </c>
      <c r="Z410" s="98">
        <v>341250</v>
      </c>
      <c r="AA410" s="98">
        <v>2800</v>
      </c>
      <c r="AB410" s="98">
        <v>98000</v>
      </c>
      <c r="AC410" s="98">
        <v>2480</v>
      </c>
      <c r="AD410" s="98">
        <v>86800</v>
      </c>
      <c r="AE410" s="98">
        <v>200</v>
      </c>
      <c r="AF410" s="98">
        <v>7000</v>
      </c>
      <c r="AG410" s="91">
        <f t="shared" si="2098"/>
        <v>15230</v>
      </c>
      <c r="AH410" s="91">
        <f t="shared" si="2099"/>
        <v>533050</v>
      </c>
      <c r="AW410" s="91">
        <f t="shared" si="2100"/>
        <v>0</v>
      </c>
      <c r="AX410" s="91">
        <f t="shared" si="2101"/>
        <v>0</v>
      </c>
      <c r="BE410" s="98">
        <v>2535</v>
      </c>
      <c r="BF410" s="98">
        <v>38025</v>
      </c>
      <c r="BM410" s="91">
        <f t="shared" si="2102"/>
        <v>2535</v>
      </c>
      <c r="BN410" s="91">
        <f t="shared" si="2103"/>
        <v>38025</v>
      </c>
      <c r="BU410" s="98">
        <v>205</v>
      </c>
      <c r="BV410" s="98">
        <v>5535</v>
      </c>
      <c r="CC410" s="91">
        <f t="shared" si="2104"/>
        <v>205</v>
      </c>
      <c r="CD410" s="91">
        <f t="shared" si="2105"/>
        <v>5535</v>
      </c>
      <c r="CK410" s="98">
        <v>80005.871861885957</v>
      </c>
      <c r="CL410" s="98">
        <v>1120082.2060664033</v>
      </c>
      <c r="CS410" s="91">
        <f t="shared" si="2106"/>
        <v>80005.871861885957</v>
      </c>
      <c r="CT410" s="91">
        <f t="shared" si="2107"/>
        <v>1120082.2060664033</v>
      </c>
      <c r="DA410" s="98">
        <v>2170.0000122219999</v>
      </c>
      <c r="DB410" s="98">
        <v>39060.000999999997</v>
      </c>
      <c r="DI410" s="91">
        <f t="shared" si="2108"/>
        <v>2170.0000122219999</v>
      </c>
      <c r="DJ410" s="91">
        <f t="shared" si="2109"/>
        <v>39060.000999999997</v>
      </c>
      <c r="DQ410" s="98">
        <v>20800</v>
      </c>
      <c r="DR410" s="98">
        <v>499200</v>
      </c>
      <c r="DY410" s="91">
        <f t="shared" si="2110"/>
        <v>20800</v>
      </c>
      <c r="DZ410" s="91">
        <f t="shared" si="2111"/>
        <v>499200</v>
      </c>
      <c r="EG410" s="98">
        <v>570</v>
      </c>
      <c r="EH410" s="98">
        <v>8550</v>
      </c>
      <c r="EO410" s="91">
        <f t="shared" si="2112"/>
        <v>570</v>
      </c>
      <c r="EP410" s="91">
        <f t="shared" si="2113"/>
        <v>8550</v>
      </c>
      <c r="EW410" s="98">
        <v>5092</v>
      </c>
      <c r="EX410" s="98">
        <v>91656</v>
      </c>
      <c r="FE410" s="91">
        <f t="shared" si="2114"/>
        <v>5092</v>
      </c>
      <c r="FF410" s="91">
        <f t="shared" si="2115"/>
        <v>91656</v>
      </c>
      <c r="FM410" s="98">
        <v>273</v>
      </c>
      <c r="FN410" s="98">
        <v>8190</v>
      </c>
      <c r="FU410" s="91">
        <f t="shared" si="2116"/>
        <v>273</v>
      </c>
      <c r="FV410" s="91">
        <f t="shared" si="2117"/>
        <v>8190</v>
      </c>
      <c r="GC410" s="98">
        <v>250</v>
      </c>
      <c r="GD410" s="98">
        <v>6250</v>
      </c>
      <c r="GK410" s="91">
        <f t="shared" si="2118"/>
        <v>250</v>
      </c>
      <c r="GL410" s="91">
        <f t="shared" si="2119"/>
        <v>6250</v>
      </c>
      <c r="GS410" s="98">
        <v>1500</v>
      </c>
      <c r="GT410" s="98">
        <v>42000</v>
      </c>
      <c r="GY410" s="98">
        <v>50</v>
      </c>
      <c r="GZ410" s="98">
        <v>1400</v>
      </c>
      <c r="HA410" s="91">
        <f t="shared" si="2120"/>
        <v>1550</v>
      </c>
      <c r="HB410" s="91">
        <f t="shared" si="2121"/>
        <v>43400</v>
      </c>
      <c r="HI410" s="98">
        <v>1000</v>
      </c>
      <c r="HJ410" s="98">
        <v>30000</v>
      </c>
      <c r="HQ410" s="91">
        <f t="shared" si="2122"/>
        <v>1000</v>
      </c>
      <c r="HR410" s="91">
        <f t="shared" si="2123"/>
        <v>30000</v>
      </c>
      <c r="IG410" s="91">
        <f t="shared" si="2124"/>
        <v>0</v>
      </c>
      <c r="IH410" s="91">
        <f t="shared" si="2125"/>
        <v>0</v>
      </c>
      <c r="IW410" s="91">
        <f t="shared" si="2126"/>
        <v>0</v>
      </c>
      <c r="IX410" s="91">
        <f t="shared" si="2127"/>
        <v>0</v>
      </c>
      <c r="JE410" s="98">
        <v>73</v>
      </c>
      <c r="JF410" s="98">
        <v>1606</v>
      </c>
      <c r="JM410" s="91">
        <f t="shared" si="2128"/>
        <v>73</v>
      </c>
      <c r="JN410" s="91">
        <f t="shared" si="2129"/>
        <v>1606</v>
      </c>
      <c r="KC410" s="91">
        <f t="shared" si="2130"/>
        <v>0</v>
      </c>
      <c r="KD410" s="91">
        <f t="shared" si="2131"/>
        <v>0</v>
      </c>
      <c r="KS410" s="91">
        <f t="shared" si="2132"/>
        <v>0</v>
      </c>
      <c r="KT410" s="91">
        <f t="shared" si="2133"/>
        <v>0</v>
      </c>
      <c r="LI410" s="91">
        <f t="shared" si="2134"/>
        <v>0</v>
      </c>
      <c r="LJ410" s="91">
        <f t="shared" si="2135"/>
        <v>0</v>
      </c>
      <c r="LY410" s="91">
        <f t="shared" si="2136"/>
        <v>0</v>
      </c>
      <c r="LZ410" s="91">
        <f t="shared" si="2137"/>
        <v>0</v>
      </c>
      <c r="MO410" s="91">
        <f t="shared" si="2138"/>
        <v>0</v>
      </c>
      <c r="MP410" s="91">
        <f t="shared" si="2139"/>
        <v>0</v>
      </c>
      <c r="NE410" s="91">
        <f t="shared" si="2140"/>
        <v>0</v>
      </c>
      <c r="NF410" s="91">
        <f t="shared" si="2141"/>
        <v>0</v>
      </c>
      <c r="NU410" s="91">
        <f t="shared" si="2142"/>
        <v>0</v>
      </c>
      <c r="NV410" s="91">
        <f t="shared" si="2143"/>
        <v>0</v>
      </c>
      <c r="OK410" s="91">
        <f t="shared" si="2144"/>
        <v>0</v>
      </c>
      <c r="OL410" s="91">
        <f t="shared" si="2145"/>
        <v>0</v>
      </c>
      <c r="PA410" s="91">
        <f t="shared" si="2146"/>
        <v>0</v>
      </c>
      <c r="PB410" s="91">
        <f t="shared" si="2147"/>
        <v>0</v>
      </c>
      <c r="PQ410" s="91">
        <f t="shared" si="2148"/>
        <v>0</v>
      </c>
      <c r="PR410" s="91">
        <f t="shared" si="2149"/>
        <v>0</v>
      </c>
      <c r="PY410" s="98">
        <v>221000</v>
      </c>
      <c r="PZ410" s="98">
        <v>3978000</v>
      </c>
      <c r="QA410" s="98">
        <v>123360</v>
      </c>
      <c r="QB410" s="98">
        <v>2220480</v>
      </c>
      <c r="QC410" s="98">
        <v>153500</v>
      </c>
      <c r="QD410" s="98">
        <v>2763000</v>
      </c>
      <c r="QG410" s="91">
        <f t="shared" si="2150"/>
        <v>497860</v>
      </c>
      <c r="QH410" s="91">
        <f t="shared" si="2151"/>
        <v>8961480</v>
      </c>
      <c r="QW410" s="91">
        <f t="shared" si="2152"/>
        <v>0</v>
      </c>
      <c r="QX410" s="91">
        <f t="shared" si="2153"/>
        <v>0</v>
      </c>
      <c r="RE410" s="98">
        <v>225</v>
      </c>
      <c r="RF410" s="98">
        <v>8325</v>
      </c>
      <c r="RM410" s="91">
        <f t="shared" si="2154"/>
        <v>225</v>
      </c>
      <c r="RN410" s="91">
        <f t="shared" si="2155"/>
        <v>8325</v>
      </c>
      <c r="SC410" s="91">
        <f t="shared" si="2156"/>
        <v>0</v>
      </c>
      <c r="SD410" s="91">
        <f t="shared" si="2157"/>
        <v>0</v>
      </c>
      <c r="SS410" s="91">
        <f t="shared" si="2158"/>
        <v>0</v>
      </c>
      <c r="ST410" s="91">
        <f t="shared" si="2159"/>
        <v>0</v>
      </c>
      <c r="TI410" s="91">
        <f t="shared" si="2160"/>
        <v>0</v>
      </c>
      <c r="TJ410" s="91">
        <f t="shared" si="2161"/>
        <v>0</v>
      </c>
      <c r="TU410" s="98">
        <v>1000</v>
      </c>
      <c r="TV410" s="98">
        <v>35000</v>
      </c>
      <c r="TY410" s="91">
        <f t="shared" si="2162"/>
        <v>1000</v>
      </c>
      <c r="TZ410" s="91">
        <f t="shared" si="2163"/>
        <v>35000</v>
      </c>
      <c r="UO410" s="91">
        <f t="shared" si="2164"/>
        <v>0</v>
      </c>
      <c r="UP410" s="91">
        <f t="shared" si="2165"/>
        <v>0</v>
      </c>
      <c r="VE410" s="91">
        <f t="shared" si="2166"/>
        <v>0</v>
      </c>
      <c r="VF410" s="91">
        <f t="shared" si="2167"/>
        <v>0</v>
      </c>
      <c r="VU410" s="91">
        <f t="shared" si="2168"/>
        <v>0</v>
      </c>
      <c r="VV410" s="91">
        <f t="shared" si="2169"/>
        <v>0</v>
      </c>
      <c r="WK410" s="91">
        <f t="shared" si="2170"/>
        <v>0</v>
      </c>
      <c r="WL410" s="91">
        <f t="shared" si="2171"/>
        <v>0</v>
      </c>
      <c r="WM410" s="89"/>
      <c r="WN410" s="87">
        <f t="shared" si="2172"/>
        <v>0</v>
      </c>
      <c r="WO410" s="87">
        <f t="shared" si="2173"/>
        <v>0</v>
      </c>
      <c r="WP410" s="87">
        <f t="shared" si="2174"/>
        <v>0</v>
      </c>
      <c r="WQ410" s="87">
        <f t="shared" si="2175"/>
        <v>0</v>
      </c>
      <c r="WR410" s="87">
        <f t="shared" si="2176"/>
        <v>0</v>
      </c>
      <c r="WS410" s="87">
        <f t="shared" si="2177"/>
        <v>0</v>
      </c>
      <c r="WT410" s="87">
        <f t="shared" si="2178"/>
        <v>345448.87187410798</v>
      </c>
      <c r="WU410" s="87">
        <f t="shared" si="2179"/>
        <v>6217729.2070664037</v>
      </c>
      <c r="WV410" s="87">
        <f t="shared" si="2180"/>
        <v>126160</v>
      </c>
      <c r="WW410" s="87">
        <f t="shared" si="2181"/>
        <v>2318480</v>
      </c>
      <c r="WX410" s="87">
        <f t="shared" si="2182"/>
        <v>156980</v>
      </c>
      <c r="WY410" s="87">
        <f t="shared" si="2183"/>
        <v>2884800</v>
      </c>
      <c r="WZ410" s="87">
        <f t="shared" si="2184"/>
        <v>250</v>
      </c>
      <c r="XA410" s="87">
        <f t="shared" si="2185"/>
        <v>8400</v>
      </c>
      <c r="XB410" s="92">
        <f t="shared" si="2186"/>
        <v>628838.87187410798</v>
      </c>
      <c r="XC410" s="92">
        <f t="shared" si="2187"/>
        <v>11429409.207066404</v>
      </c>
      <c r="XD410" s="89"/>
      <c r="XE410" s="92"/>
      <c r="XF410" s="92"/>
      <c r="XG410" s="89"/>
      <c r="XH410" s="92"/>
      <c r="XI410" s="92"/>
      <c r="XJ410" s="89"/>
      <c r="XK410" s="87"/>
      <c r="XL410" s="87"/>
      <c r="XM410" s="87"/>
      <c r="XN410" s="87"/>
      <c r="XO410" s="87"/>
      <c r="XP410" s="87"/>
      <c r="XQ410" s="87"/>
      <c r="XR410" s="92">
        <f t="shared" ca="1" si="2188"/>
        <v>0</v>
      </c>
      <c r="XS410" s="89"/>
      <c r="XT410" s="87"/>
      <c r="XU410" s="87"/>
      <c r="XV410" s="87"/>
      <c r="XW410" s="87"/>
      <c r="XX410" s="87"/>
      <c r="XY410" s="87"/>
      <c r="XZ410" s="87"/>
      <c r="YA410" s="92">
        <f t="shared" ca="1" si="2189"/>
        <v>0</v>
      </c>
      <c r="YB410" s="90"/>
      <c r="YC410" s="90"/>
      <c r="YD410" s="90"/>
      <c r="YE410" s="90"/>
      <c r="YF410" s="90"/>
      <c r="YG410" s="90"/>
      <c r="YH410" s="90"/>
      <c r="YI410" s="90"/>
      <c r="YJ410" s="90"/>
      <c r="YK410" s="90"/>
      <c r="YL410" s="90"/>
      <c r="YM410" s="90"/>
      <c r="YN410" s="90"/>
      <c r="YO410" s="90"/>
      <c r="YP410" s="90"/>
      <c r="YQ410" s="90"/>
      <c r="YR410" s="90"/>
      <c r="YS410" s="90"/>
      <c r="YT410" s="90"/>
      <c r="YU410" s="90"/>
      <c r="YV410" s="90"/>
      <c r="YW410" s="90"/>
      <c r="YX410" s="90"/>
      <c r="YY410" s="90"/>
      <c r="YZ410" s="90"/>
      <c r="ZA410" s="90"/>
      <c r="ZB410" s="90"/>
      <c r="ZC410" s="90"/>
      <c r="ZD410" s="90"/>
      <c r="ZE410" s="90"/>
      <c r="ZF410" s="90"/>
      <c r="ZG410" s="90"/>
      <c r="ZH410" s="90"/>
      <c r="ZI410" s="90"/>
      <c r="ZJ410" s="90"/>
      <c r="ZK410" s="90"/>
      <c r="ZL410" s="90"/>
      <c r="ZM410" s="90"/>
      <c r="ZN410" s="90"/>
      <c r="ZO410" s="90"/>
      <c r="ZP410" s="90"/>
      <c r="ZQ410" s="90"/>
      <c r="ZR410" s="90"/>
      <c r="ZS410" s="90"/>
      <c r="ZT410" s="90"/>
      <c r="ZU410" s="90"/>
      <c r="ZV410" s="90"/>
      <c r="ZW410" s="90"/>
      <c r="ZX410" s="90"/>
      <c r="ZY410" s="90"/>
      <c r="ZZ410" s="90"/>
      <c r="AAA410" s="90"/>
      <c r="AAB410" s="90"/>
      <c r="AAC410" s="90"/>
      <c r="AAD410" s="90"/>
      <c r="AAE410" s="90"/>
      <c r="AAF410" s="90"/>
      <c r="AAG410" s="90"/>
      <c r="AAH410" s="90"/>
      <c r="AAI410" s="90"/>
      <c r="AAJ410" s="90"/>
      <c r="AAK410" s="90"/>
      <c r="AAL410" s="90"/>
      <c r="AAM410" s="90"/>
      <c r="AAN410" s="90"/>
      <c r="AAO410" s="90"/>
      <c r="AAP410" s="90"/>
      <c r="AAQ410" s="90"/>
      <c r="AAR410" s="90"/>
      <c r="AAS410" s="90"/>
      <c r="AAT410" s="90"/>
      <c r="AAU410" s="90"/>
      <c r="AAV410" s="90"/>
      <c r="AAW410" s="90"/>
      <c r="AAX410" s="90"/>
      <c r="AAY410" s="90"/>
      <c r="AAZ410" s="90"/>
      <c r="ABA410" s="90"/>
      <c r="ABB410" s="90"/>
      <c r="ABC410" s="90"/>
      <c r="ABD410" s="90"/>
      <c r="ABE410" s="90"/>
      <c r="ABF410" s="90"/>
      <c r="ABG410" s="90"/>
      <c r="ABH410" s="90"/>
      <c r="ABI410" s="90"/>
      <c r="ABJ410" s="90"/>
      <c r="ABK410" s="90"/>
      <c r="ABL410" s="90"/>
      <c r="ABM410" s="90"/>
      <c r="ABN410" s="90"/>
      <c r="ABO410" s="90"/>
      <c r="ABP410" s="90"/>
      <c r="ABQ410" s="90"/>
      <c r="ABR410" s="90"/>
      <c r="ABS410" s="90"/>
      <c r="ABT410" s="90"/>
      <c r="ABU410" s="90"/>
      <c r="ABV410" s="90"/>
      <c r="ABW410" s="90"/>
      <c r="ABX410" s="90"/>
      <c r="ABY410" s="90"/>
      <c r="ABZ410" s="90"/>
      <c r="ACA410" s="90"/>
      <c r="ACB410" s="90"/>
      <c r="ACC410" s="90"/>
      <c r="ACD410" s="90"/>
      <c r="ACE410" s="90"/>
      <c r="ACF410" s="90"/>
      <c r="ACG410" s="90"/>
      <c r="ACH410" s="90"/>
      <c r="ACI410" s="90"/>
      <c r="ACJ410" s="90"/>
      <c r="ACK410" s="90"/>
      <c r="ACL410" s="90"/>
      <c r="ACM410" s="90"/>
      <c r="ACN410" s="90"/>
      <c r="ACO410" s="90"/>
      <c r="ACP410" s="90"/>
      <c r="ACQ410" s="90"/>
      <c r="ACR410" s="90"/>
      <c r="ACS410" s="90"/>
      <c r="ACT410" s="90"/>
      <c r="ACU410" s="90"/>
      <c r="ACV410" s="90"/>
      <c r="ACW410" s="90"/>
      <c r="ACX410" s="90"/>
      <c r="ACY410" s="90"/>
      <c r="ACZ410" s="90"/>
      <c r="ADA410" s="90"/>
      <c r="ADB410" s="90"/>
      <c r="ADC410" s="90"/>
      <c r="ADD410" s="90"/>
      <c r="ADE410" s="90"/>
      <c r="ADF410" s="90"/>
      <c r="ADG410" s="90"/>
      <c r="ADH410" s="90"/>
      <c r="ADI410" s="90"/>
      <c r="ADJ410" s="90"/>
      <c r="ADK410" s="90"/>
      <c r="ADL410" s="90"/>
      <c r="ADM410" s="90"/>
      <c r="ADN410" s="90"/>
      <c r="ADO410" s="90"/>
      <c r="ADP410" s="90"/>
      <c r="ADQ410" s="90"/>
      <c r="ADR410" s="90"/>
      <c r="ADS410" s="90"/>
      <c r="ADT410" s="90"/>
      <c r="ADU410" s="90"/>
      <c r="ADV410" s="90"/>
      <c r="ADW410" s="90"/>
      <c r="ADX410" s="90"/>
      <c r="ADY410" s="90"/>
      <c r="ADZ410" s="90"/>
      <c r="AEA410" s="90"/>
      <c r="AEB410" s="90"/>
      <c r="AEC410" s="90"/>
      <c r="AED410" s="90"/>
      <c r="AEE410" s="90"/>
      <c r="AEF410" s="90"/>
      <c r="AEG410" s="90"/>
      <c r="AEH410" s="90"/>
      <c r="AEI410" s="90"/>
      <c r="AEJ410" s="90"/>
      <c r="AEK410" s="90"/>
      <c r="AEL410" s="90"/>
      <c r="AEM410" s="90"/>
      <c r="AEN410" s="90"/>
      <c r="AEO410" s="90"/>
      <c r="AEP410" s="90"/>
      <c r="AEQ410" s="90"/>
      <c r="AER410" s="90"/>
      <c r="AES410" s="90"/>
      <c r="AET410" s="90"/>
      <c r="AEU410" s="90"/>
      <c r="AEV410" s="90"/>
      <c r="AEW410" s="90"/>
      <c r="AEX410" s="90"/>
      <c r="AEY410" s="90"/>
      <c r="AEZ410" s="90"/>
      <c r="AFA410" s="90"/>
      <c r="AFB410" s="90"/>
      <c r="AFC410" s="90"/>
      <c r="AFD410" s="90"/>
      <c r="AFE410" s="90"/>
      <c r="AFF410" s="90"/>
      <c r="AFG410" s="90"/>
      <c r="AFH410" s="90"/>
      <c r="AFI410" s="90"/>
      <c r="AFJ410" s="90"/>
      <c r="AFK410" s="90"/>
      <c r="AFL410" s="90"/>
      <c r="AFM410" s="90"/>
      <c r="AFN410" s="90"/>
      <c r="AFO410" s="90"/>
      <c r="AFP410" s="90"/>
      <c r="AFQ410" s="90"/>
      <c r="AFR410" s="90"/>
      <c r="AFS410" s="90"/>
      <c r="AFT410" s="90"/>
      <c r="AFU410" s="90"/>
      <c r="AFV410" s="90"/>
      <c r="AFW410" s="90"/>
      <c r="AFX410" s="90"/>
      <c r="AFY410" s="90"/>
      <c r="AFZ410" s="90"/>
      <c r="AGA410" s="90"/>
      <c r="AGB410" s="90"/>
      <c r="AGC410" s="90"/>
      <c r="AGD410" s="90"/>
      <c r="AGE410" s="90"/>
      <c r="AGF410" s="90"/>
      <c r="AGG410" s="90"/>
      <c r="AGH410" s="90"/>
      <c r="AGI410" s="90"/>
      <c r="AGJ410" s="90"/>
      <c r="AGK410" s="90"/>
      <c r="AGL410" s="90"/>
      <c r="AGM410" s="90"/>
      <c r="AGN410" s="90"/>
      <c r="AGO410" s="90"/>
      <c r="AGP410" s="90"/>
      <c r="AGQ410" s="90"/>
      <c r="AGR410" s="90"/>
      <c r="AGS410" s="90"/>
      <c r="AGT410" s="90"/>
      <c r="AGU410" s="90"/>
      <c r="AGV410" s="90"/>
      <c r="AGW410" s="90"/>
      <c r="AGX410" s="90"/>
      <c r="AGY410" s="90"/>
      <c r="AGZ410" s="90"/>
      <c r="AHA410" s="90"/>
      <c r="AHB410" s="90"/>
      <c r="AHC410" s="90"/>
      <c r="AHD410" s="90"/>
      <c r="AHE410" s="90"/>
      <c r="AHF410" s="90"/>
      <c r="AHG410" s="90"/>
      <c r="AHH410" s="90"/>
      <c r="AHI410" s="90"/>
      <c r="AHJ410" s="90"/>
      <c r="AHK410" s="90"/>
      <c r="AHL410" s="90"/>
      <c r="AHM410" s="90"/>
      <c r="AHN410" s="90"/>
      <c r="AHO410" s="90"/>
      <c r="AHP410" s="90"/>
      <c r="AHQ410" s="90"/>
      <c r="AHR410" s="90"/>
      <c r="AHS410" s="90"/>
      <c r="AHT410" s="90"/>
      <c r="AHU410" s="90"/>
      <c r="AHV410" s="90"/>
      <c r="AHW410" s="90"/>
      <c r="AHX410" s="90"/>
      <c r="AHY410" s="90"/>
      <c r="AHZ410" s="90"/>
      <c r="AIA410" s="90"/>
      <c r="AIB410" s="90"/>
      <c r="AIC410" s="90"/>
      <c r="AID410" s="90"/>
      <c r="AIE410" s="90"/>
      <c r="AIF410" s="90"/>
      <c r="AIG410" s="90"/>
      <c r="AIH410" s="90"/>
      <c r="AII410" s="90"/>
      <c r="AIJ410" s="90"/>
      <c r="AIK410" s="90"/>
      <c r="AIL410" s="90"/>
      <c r="AIM410" s="90"/>
      <c r="AIN410" s="90"/>
      <c r="AIO410" s="90"/>
      <c r="AIP410" s="90"/>
      <c r="AIQ410" s="90"/>
      <c r="AIR410" s="90"/>
      <c r="AIS410" s="90"/>
      <c r="AIT410" s="90"/>
      <c r="AIU410" s="90"/>
      <c r="AIV410" s="90"/>
      <c r="AIW410" s="90"/>
      <c r="AIX410" s="90"/>
      <c r="AIY410" s="90"/>
      <c r="AIZ410" s="90"/>
      <c r="AJA410" s="90"/>
      <c r="AJB410" s="90"/>
      <c r="AJC410" s="90"/>
      <c r="AJD410" s="90"/>
      <c r="AJE410" s="90"/>
      <c r="AJF410" s="90"/>
      <c r="AJG410" s="90"/>
      <c r="AJH410" s="90"/>
      <c r="AJI410" s="90"/>
      <c r="AJJ410" s="90"/>
      <c r="AJK410" s="90"/>
      <c r="AJL410" s="90"/>
      <c r="AJM410" s="90"/>
      <c r="AJN410" s="90"/>
      <c r="AJO410" s="90"/>
      <c r="AJP410" s="90"/>
      <c r="AJQ410" s="90"/>
      <c r="AJR410" s="90"/>
      <c r="AJS410" s="90"/>
      <c r="AJT410" s="90"/>
      <c r="AJU410" s="90"/>
      <c r="AJV410" s="90"/>
      <c r="AJW410" s="90"/>
      <c r="AJX410" s="90"/>
      <c r="AJY410" s="90"/>
      <c r="AJZ410" s="90"/>
      <c r="AKA410" s="90"/>
      <c r="AKB410" s="90"/>
      <c r="AKC410" s="90"/>
      <c r="AKD410" s="90"/>
      <c r="AKE410" s="90"/>
      <c r="AKF410" s="90"/>
      <c r="AKG410" s="90"/>
      <c r="AKH410" s="90"/>
      <c r="AKI410" s="90"/>
      <c r="AKJ410" s="90"/>
      <c r="AKK410" s="90"/>
      <c r="AKL410" s="90"/>
      <c r="AKM410" s="90"/>
      <c r="AKN410" s="90"/>
      <c r="AKO410" s="90"/>
      <c r="AKP410" s="90"/>
      <c r="AKQ410" s="90"/>
      <c r="AKR410" s="90"/>
      <c r="AKS410" s="90"/>
      <c r="AKT410" s="90"/>
      <c r="AKU410" s="90"/>
      <c r="AKV410" s="90"/>
      <c r="AKW410" s="90"/>
      <c r="AKX410" s="90"/>
      <c r="AKY410" s="90"/>
      <c r="AKZ410" s="90"/>
      <c r="ALA410" s="90"/>
      <c r="ALB410" s="90"/>
      <c r="ALC410" s="90"/>
      <c r="ALD410" s="90"/>
      <c r="ALE410" s="90"/>
      <c r="ALF410" s="90"/>
      <c r="ALG410" s="90"/>
      <c r="ALH410" s="90"/>
      <c r="ALI410" s="90"/>
      <c r="ALJ410" s="90"/>
      <c r="ALK410" s="90"/>
      <c r="ALL410" s="90"/>
      <c r="ALM410" s="90"/>
      <c r="ALN410" s="90"/>
      <c r="ALO410" s="90"/>
      <c r="ALP410" s="90"/>
      <c r="ALQ410" s="90"/>
      <c r="ALR410" s="90"/>
      <c r="ALS410" s="90"/>
      <c r="ALT410" s="90"/>
      <c r="ALU410" s="90"/>
      <c r="ALV410" s="90"/>
      <c r="ALW410" s="90"/>
      <c r="ALX410" s="90"/>
      <c r="ALY410" s="90"/>
      <c r="ALZ410" s="90"/>
      <c r="AMA410" s="90"/>
      <c r="AMB410" s="90"/>
      <c r="AMC410" s="90"/>
    </row>
    <row r="411" spans="1:1017">
      <c r="A411" s="98" t="s">
        <v>55</v>
      </c>
      <c r="B411" s="90" t="str">
        <f t="shared" si="2095"/>
        <v xml:space="preserve">Mujair </v>
      </c>
      <c r="E411" s="98">
        <v>208400</v>
      </c>
      <c r="F411" s="98">
        <v>3126000</v>
      </c>
      <c r="I411" s="98">
        <v>2700</v>
      </c>
      <c r="J411" s="98">
        <v>40500</v>
      </c>
      <c r="Q411" s="91">
        <f t="shared" si="2096"/>
        <v>211100</v>
      </c>
      <c r="R411" s="91">
        <f t="shared" si="2097"/>
        <v>3166500</v>
      </c>
      <c r="U411" s="98">
        <v>9100</v>
      </c>
      <c r="V411" s="98">
        <v>136500</v>
      </c>
      <c r="Y411" s="98">
        <v>6505</v>
      </c>
      <c r="Z411" s="98">
        <v>97575</v>
      </c>
      <c r="AG411" s="91">
        <f t="shared" si="2098"/>
        <v>15605</v>
      </c>
      <c r="AH411" s="91">
        <f t="shared" si="2099"/>
        <v>234075</v>
      </c>
      <c r="AW411" s="91">
        <f t="shared" si="2100"/>
        <v>0</v>
      </c>
      <c r="AX411" s="91">
        <f t="shared" si="2101"/>
        <v>0</v>
      </c>
      <c r="BM411" s="91">
        <f t="shared" si="2102"/>
        <v>0</v>
      </c>
      <c r="BN411" s="91">
        <f t="shared" si="2103"/>
        <v>0</v>
      </c>
      <c r="CC411" s="91">
        <f t="shared" si="2104"/>
        <v>0</v>
      </c>
      <c r="CD411" s="91">
        <f t="shared" si="2105"/>
        <v>0</v>
      </c>
      <c r="CG411" s="98">
        <v>136040.4647998093</v>
      </c>
      <c r="CH411" s="98">
        <v>1224364.1831982837</v>
      </c>
      <c r="CK411" s="98">
        <v>187864.3404489852</v>
      </c>
      <c r="CL411" s="98">
        <v>1690779.0640408669</v>
      </c>
      <c r="CS411" s="91">
        <f t="shared" si="2106"/>
        <v>323904.8052487945</v>
      </c>
      <c r="CT411" s="91">
        <f t="shared" si="2107"/>
        <v>2915143.2472391506</v>
      </c>
      <c r="DI411" s="91">
        <f t="shared" si="2108"/>
        <v>0</v>
      </c>
      <c r="DJ411" s="91">
        <f t="shared" si="2109"/>
        <v>0</v>
      </c>
      <c r="DY411" s="91">
        <f t="shared" si="2110"/>
        <v>0</v>
      </c>
      <c r="DZ411" s="91">
        <f t="shared" si="2111"/>
        <v>0</v>
      </c>
      <c r="EO411" s="91">
        <f t="shared" si="2112"/>
        <v>0</v>
      </c>
      <c r="EP411" s="91">
        <f t="shared" si="2113"/>
        <v>0</v>
      </c>
      <c r="ES411" s="98">
        <v>792</v>
      </c>
      <c r="ET411" s="98">
        <v>3960</v>
      </c>
      <c r="EW411" s="98">
        <v>336</v>
      </c>
      <c r="EX411" s="98">
        <v>1680</v>
      </c>
      <c r="FE411" s="91">
        <f t="shared" si="2114"/>
        <v>1128</v>
      </c>
      <c r="FF411" s="91">
        <f t="shared" si="2115"/>
        <v>5640</v>
      </c>
      <c r="FU411" s="91">
        <f t="shared" si="2116"/>
        <v>0</v>
      </c>
      <c r="FV411" s="91">
        <f t="shared" si="2117"/>
        <v>0</v>
      </c>
      <c r="GK411" s="91">
        <f t="shared" si="2118"/>
        <v>0</v>
      </c>
      <c r="GL411" s="91">
        <f t="shared" si="2119"/>
        <v>0</v>
      </c>
      <c r="HA411" s="91">
        <f t="shared" si="2120"/>
        <v>0</v>
      </c>
      <c r="HB411" s="91">
        <f t="shared" si="2121"/>
        <v>0</v>
      </c>
      <c r="HQ411" s="91">
        <f t="shared" si="2122"/>
        <v>0</v>
      </c>
      <c r="HR411" s="91">
        <f t="shared" si="2123"/>
        <v>0</v>
      </c>
      <c r="IG411" s="91">
        <f t="shared" si="2124"/>
        <v>0</v>
      </c>
      <c r="IH411" s="91">
        <f t="shared" si="2125"/>
        <v>0</v>
      </c>
      <c r="IW411" s="91">
        <f t="shared" si="2126"/>
        <v>0</v>
      </c>
      <c r="IX411" s="91">
        <f t="shared" si="2127"/>
        <v>0</v>
      </c>
      <c r="JM411" s="91">
        <f t="shared" si="2128"/>
        <v>0</v>
      </c>
      <c r="JN411" s="91">
        <f t="shared" si="2129"/>
        <v>0</v>
      </c>
      <c r="KC411" s="91">
        <f t="shared" si="2130"/>
        <v>0</v>
      </c>
      <c r="KD411" s="91">
        <f t="shared" si="2131"/>
        <v>0</v>
      </c>
      <c r="KS411" s="91">
        <f t="shared" si="2132"/>
        <v>0</v>
      </c>
      <c r="KT411" s="91">
        <f t="shared" si="2133"/>
        <v>0</v>
      </c>
      <c r="LI411" s="91">
        <f t="shared" si="2134"/>
        <v>0</v>
      </c>
      <c r="LJ411" s="91">
        <f t="shared" si="2135"/>
        <v>0</v>
      </c>
      <c r="LY411" s="91">
        <f t="shared" si="2136"/>
        <v>0</v>
      </c>
      <c r="LZ411" s="91">
        <f t="shared" si="2137"/>
        <v>0</v>
      </c>
      <c r="MO411" s="91">
        <f t="shared" si="2138"/>
        <v>0</v>
      </c>
      <c r="MP411" s="91">
        <f t="shared" si="2139"/>
        <v>0</v>
      </c>
      <c r="MS411" s="98">
        <v>1500</v>
      </c>
      <c r="MT411" s="98">
        <v>37500</v>
      </c>
      <c r="NE411" s="91">
        <f t="shared" si="2140"/>
        <v>1500</v>
      </c>
      <c r="NF411" s="91">
        <f t="shared" si="2141"/>
        <v>37500</v>
      </c>
      <c r="NI411" s="98">
        <v>189000</v>
      </c>
      <c r="NJ411" s="98">
        <v>3024000</v>
      </c>
      <c r="NU411" s="91">
        <f t="shared" si="2142"/>
        <v>189000</v>
      </c>
      <c r="NV411" s="91">
        <f t="shared" si="2143"/>
        <v>3024000</v>
      </c>
      <c r="OK411" s="91">
        <f t="shared" si="2144"/>
        <v>0</v>
      </c>
      <c r="OL411" s="91">
        <f t="shared" si="2145"/>
        <v>0</v>
      </c>
      <c r="PA411" s="91">
        <f t="shared" si="2146"/>
        <v>0</v>
      </c>
      <c r="PB411" s="91">
        <f t="shared" si="2147"/>
        <v>0</v>
      </c>
      <c r="PQ411" s="91">
        <f t="shared" si="2148"/>
        <v>0</v>
      </c>
      <c r="PR411" s="91">
        <f t="shared" si="2149"/>
        <v>0</v>
      </c>
      <c r="PU411" s="98">
        <v>3560</v>
      </c>
      <c r="PV411" s="98">
        <v>35600</v>
      </c>
      <c r="QG411" s="91">
        <f t="shared" si="2150"/>
        <v>3560</v>
      </c>
      <c r="QH411" s="91">
        <f t="shared" si="2151"/>
        <v>35600</v>
      </c>
      <c r="QW411" s="91">
        <f t="shared" si="2152"/>
        <v>0</v>
      </c>
      <c r="QX411" s="91">
        <f t="shared" si="2153"/>
        <v>0</v>
      </c>
      <c r="RM411" s="91">
        <f t="shared" si="2154"/>
        <v>0</v>
      </c>
      <c r="RN411" s="91">
        <f t="shared" si="2155"/>
        <v>0</v>
      </c>
      <c r="SC411" s="91">
        <f t="shared" si="2156"/>
        <v>0</v>
      </c>
      <c r="SD411" s="91">
        <f t="shared" si="2157"/>
        <v>0</v>
      </c>
      <c r="SS411" s="91">
        <f t="shared" si="2158"/>
        <v>0</v>
      </c>
      <c r="ST411" s="91">
        <f t="shared" si="2159"/>
        <v>0</v>
      </c>
      <c r="TI411" s="91">
        <f t="shared" si="2160"/>
        <v>0</v>
      </c>
      <c r="TJ411" s="91">
        <f t="shared" si="2161"/>
        <v>0</v>
      </c>
      <c r="TY411" s="91">
        <f t="shared" si="2162"/>
        <v>0</v>
      </c>
      <c r="TZ411" s="91">
        <f t="shared" si="2163"/>
        <v>0</v>
      </c>
      <c r="UO411" s="91">
        <f t="shared" si="2164"/>
        <v>0</v>
      </c>
      <c r="UP411" s="91">
        <f t="shared" si="2165"/>
        <v>0</v>
      </c>
      <c r="VE411" s="91">
        <f t="shared" si="2166"/>
        <v>0</v>
      </c>
      <c r="VF411" s="91">
        <f t="shared" si="2167"/>
        <v>0</v>
      </c>
      <c r="VI411" s="98">
        <v>57</v>
      </c>
      <c r="VJ411" s="98">
        <v>513</v>
      </c>
      <c r="VU411" s="91">
        <f t="shared" si="2168"/>
        <v>57</v>
      </c>
      <c r="VV411" s="91">
        <f t="shared" si="2169"/>
        <v>513</v>
      </c>
      <c r="WK411" s="91">
        <f t="shared" si="2170"/>
        <v>0</v>
      </c>
      <c r="WL411" s="91">
        <f t="shared" si="2171"/>
        <v>0</v>
      </c>
      <c r="WM411" s="89"/>
      <c r="WN411" s="87">
        <f t="shared" si="2172"/>
        <v>0</v>
      </c>
      <c r="WO411" s="87">
        <f t="shared" si="2173"/>
        <v>0</v>
      </c>
      <c r="WP411" s="87">
        <f t="shared" si="2174"/>
        <v>548449.46479980927</v>
      </c>
      <c r="WQ411" s="87">
        <f t="shared" si="2175"/>
        <v>7588437.1831982834</v>
      </c>
      <c r="WR411" s="87">
        <f t="shared" si="2176"/>
        <v>0</v>
      </c>
      <c r="WS411" s="87">
        <f t="shared" si="2177"/>
        <v>0</v>
      </c>
      <c r="WT411" s="87">
        <f t="shared" si="2178"/>
        <v>197405.3404489852</v>
      </c>
      <c r="WU411" s="87">
        <f t="shared" si="2179"/>
        <v>1830534.0640408669</v>
      </c>
      <c r="WV411" s="87">
        <f t="shared" si="2180"/>
        <v>0</v>
      </c>
      <c r="WW411" s="87">
        <f t="shared" si="2181"/>
        <v>0</v>
      </c>
      <c r="WX411" s="87">
        <f t="shared" si="2182"/>
        <v>0</v>
      </c>
      <c r="WY411" s="87">
        <f t="shared" si="2183"/>
        <v>0</v>
      </c>
      <c r="WZ411" s="87">
        <f t="shared" si="2184"/>
        <v>0</v>
      </c>
      <c r="XA411" s="87">
        <f t="shared" si="2185"/>
        <v>0</v>
      </c>
      <c r="XB411" s="92">
        <f t="shared" si="2186"/>
        <v>745854.8052487945</v>
      </c>
      <c r="XC411" s="92">
        <f t="shared" si="2187"/>
        <v>9418971.2472391501</v>
      </c>
      <c r="XD411" s="89"/>
      <c r="XE411" s="92"/>
      <c r="XF411" s="92"/>
      <c r="XG411" s="89"/>
      <c r="XH411" s="92"/>
      <c r="XI411" s="92"/>
      <c r="XJ411" s="89"/>
      <c r="XK411" s="87"/>
      <c r="XL411" s="87"/>
      <c r="XM411" s="87"/>
      <c r="XN411" s="87"/>
      <c r="XO411" s="87"/>
      <c r="XP411" s="87"/>
      <c r="XQ411" s="87"/>
      <c r="XR411" s="92">
        <f t="shared" ca="1" si="2188"/>
        <v>0</v>
      </c>
      <c r="XS411" s="89"/>
      <c r="XT411" s="87"/>
      <c r="XU411" s="87"/>
      <c r="XV411" s="87"/>
      <c r="XW411" s="87"/>
      <c r="XX411" s="87"/>
      <c r="XY411" s="87"/>
      <c r="XZ411" s="87"/>
      <c r="YA411" s="92">
        <f t="shared" ca="1" si="2189"/>
        <v>0</v>
      </c>
      <c r="YB411" s="90"/>
      <c r="YC411" s="90"/>
      <c r="YD411" s="90"/>
      <c r="YE411" s="90"/>
      <c r="YF411" s="90"/>
      <c r="YG411" s="90"/>
      <c r="YH411" s="90"/>
      <c r="YI411" s="90"/>
      <c r="YJ411" s="90"/>
      <c r="YK411" s="90"/>
      <c r="YL411" s="90"/>
      <c r="YM411" s="90"/>
      <c r="YN411" s="90"/>
      <c r="YO411" s="90"/>
      <c r="YP411" s="90"/>
      <c r="YQ411" s="90"/>
      <c r="YR411" s="90"/>
      <c r="YS411" s="90"/>
      <c r="YT411" s="90"/>
      <c r="YU411" s="90"/>
      <c r="YV411" s="90"/>
      <c r="YW411" s="90"/>
      <c r="YX411" s="90"/>
      <c r="YY411" s="90"/>
      <c r="YZ411" s="90"/>
      <c r="ZA411" s="90"/>
      <c r="ZB411" s="90"/>
      <c r="ZC411" s="90"/>
      <c r="ZD411" s="90"/>
      <c r="ZE411" s="90"/>
      <c r="ZF411" s="90"/>
      <c r="ZG411" s="90"/>
      <c r="ZH411" s="90"/>
      <c r="ZI411" s="90"/>
      <c r="ZJ411" s="90"/>
      <c r="ZK411" s="90"/>
      <c r="ZL411" s="90"/>
      <c r="ZM411" s="90"/>
      <c r="ZN411" s="90"/>
      <c r="ZO411" s="90"/>
      <c r="ZP411" s="90"/>
      <c r="ZQ411" s="90"/>
      <c r="ZR411" s="90"/>
      <c r="ZS411" s="90"/>
      <c r="ZT411" s="90"/>
      <c r="ZU411" s="90"/>
      <c r="ZV411" s="90"/>
      <c r="ZW411" s="90"/>
      <c r="ZX411" s="90"/>
      <c r="ZY411" s="90"/>
      <c r="ZZ411" s="90"/>
      <c r="AAA411" s="90"/>
      <c r="AAB411" s="90"/>
      <c r="AAC411" s="90"/>
      <c r="AAD411" s="90"/>
      <c r="AAE411" s="90"/>
      <c r="AAF411" s="90"/>
      <c r="AAG411" s="90"/>
      <c r="AAH411" s="90"/>
      <c r="AAI411" s="90"/>
      <c r="AAJ411" s="90"/>
      <c r="AAK411" s="90"/>
      <c r="AAL411" s="90"/>
      <c r="AAM411" s="90"/>
      <c r="AAN411" s="90"/>
      <c r="AAO411" s="90"/>
      <c r="AAP411" s="90"/>
      <c r="AAQ411" s="90"/>
      <c r="AAR411" s="90"/>
      <c r="AAS411" s="90"/>
      <c r="AAT411" s="90"/>
      <c r="AAU411" s="90"/>
      <c r="AAV411" s="90"/>
      <c r="AAW411" s="90"/>
      <c r="AAX411" s="90"/>
      <c r="AAY411" s="90"/>
      <c r="AAZ411" s="90"/>
      <c r="ABA411" s="90"/>
      <c r="ABB411" s="90"/>
      <c r="ABC411" s="90"/>
      <c r="ABD411" s="90"/>
      <c r="ABE411" s="90"/>
      <c r="ABF411" s="90"/>
      <c r="ABG411" s="90"/>
      <c r="ABH411" s="90"/>
      <c r="ABI411" s="90"/>
      <c r="ABJ411" s="90"/>
      <c r="ABK411" s="90"/>
      <c r="ABL411" s="90"/>
      <c r="ABM411" s="90"/>
      <c r="ABN411" s="90"/>
      <c r="ABO411" s="90"/>
      <c r="ABP411" s="90"/>
      <c r="ABQ411" s="90"/>
      <c r="ABR411" s="90"/>
      <c r="ABS411" s="90"/>
      <c r="ABT411" s="90"/>
      <c r="ABU411" s="90"/>
      <c r="ABV411" s="90"/>
      <c r="ABW411" s="90"/>
      <c r="ABX411" s="90"/>
      <c r="ABY411" s="90"/>
      <c r="ABZ411" s="90"/>
      <c r="ACA411" s="90"/>
      <c r="ACB411" s="90"/>
      <c r="ACC411" s="90"/>
      <c r="ACD411" s="90"/>
      <c r="ACE411" s="90"/>
      <c r="ACF411" s="90"/>
      <c r="ACG411" s="90"/>
      <c r="ACH411" s="90"/>
      <c r="ACI411" s="90"/>
      <c r="ACJ411" s="90"/>
      <c r="ACK411" s="90"/>
      <c r="ACL411" s="90"/>
      <c r="ACM411" s="90"/>
      <c r="ACN411" s="90"/>
      <c r="ACO411" s="90"/>
      <c r="ACP411" s="90"/>
      <c r="ACQ411" s="90"/>
      <c r="ACR411" s="90"/>
      <c r="ACS411" s="90"/>
      <c r="ACT411" s="90"/>
      <c r="ACU411" s="90"/>
      <c r="ACV411" s="90"/>
      <c r="ACW411" s="90"/>
      <c r="ACX411" s="90"/>
      <c r="ACY411" s="90"/>
      <c r="ACZ411" s="90"/>
      <c r="ADA411" s="90"/>
      <c r="ADB411" s="90"/>
      <c r="ADC411" s="90"/>
      <c r="ADD411" s="90"/>
      <c r="ADE411" s="90"/>
      <c r="ADF411" s="90"/>
      <c r="ADG411" s="90"/>
      <c r="ADH411" s="90"/>
      <c r="ADI411" s="90"/>
      <c r="ADJ411" s="90"/>
      <c r="ADK411" s="90"/>
      <c r="ADL411" s="90"/>
      <c r="ADM411" s="90"/>
      <c r="ADN411" s="90"/>
      <c r="ADO411" s="90"/>
      <c r="ADP411" s="90"/>
      <c r="ADQ411" s="90"/>
      <c r="ADR411" s="90"/>
      <c r="ADS411" s="90"/>
      <c r="ADT411" s="90"/>
      <c r="ADU411" s="90"/>
      <c r="ADV411" s="90"/>
      <c r="ADW411" s="90"/>
      <c r="ADX411" s="90"/>
      <c r="ADY411" s="90"/>
      <c r="ADZ411" s="90"/>
      <c r="AEA411" s="90"/>
      <c r="AEB411" s="90"/>
      <c r="AEC411" s="90"/>
      <c r="AED411" s="90"/>
      <c r="AEE411" s="90"/>
      <c r="AEF411" s="90"/>
      <c r="AEG411" s="90"/>
      <c r="AEH411" s="90"/>
      <c r="AEI411" s="90"/>
      <c r="AEJ411" s="90"/>
      <c r="AEK411" s="90"/>
      <c r="AEL411" s="90"/>
      <c r="AEM411" s="90"/>
      <c r="AEN411" s="90"/>
      <c r="AEO411" s="90"/>
      <c r="AEP411" s="90"/>
      <c r="AEQ411" s="90"/>
      <c r="AER411" s="90"/>
      <c r="AES411" s="90"/>
      <c r="AET411" s="90"/>
      <c r="AEU411" s="90"/>
      <c r="AEV411" s="90"/>
      <c r="AEW411" s="90"/>
      <c r="AEX411" s="90"/>
      <c r="AEY411" s="90"/>
      <c r="AEZ411" s="90"/>
      <c r="AFA411" s="90"/>
      <c r="AFB411" s="90"/>
      <c r="AFC411" s="90"/>
      <c r="AFD411" s="90"/>
      <c r="AFE411" s="90"/>
      <c r="AFF411" s="90"/>
      <c r="AFG411" s="90"/>
      <c r="AFH411" s="90"/>
      <c r="AFI411" s="90"/>
      <c r="AFJ411" s="90"/>
      <c r="AFK411" s="90"/>
      <c r="AFL411" s="90"/>
      <c r="AFM411" s="90"/>
      <c r="AFN411" s="90"/>
      <c r="AFO411" s="90"/>
      <c r="AFP411" s="90"/>
      <c r="AFQ411" s="90"/>
      <c r="AFR411" s="90"/>
      <c r="AFS411" s="90"/>
      <c r="AFT411" s="90"/>
      <c r="AFU411" s="90"/>
      <c r="AFV411" s="90"/>
      <c r="AFW411" s="90"/>
      <c r="AFX411" s="90"/>
      <c r="AFY411" s="90"/>
      <c r="AFZ411" s="90"/>
      <c r="AGA411" s="90"/>
      <c r="AGB411" s="90"/>
      <c r="AGC411" s="90"/>
      <c r="AGD411" s="90"/>
      <c r="AGE411" s="90"/>
      <c r="AGF411" s="90"/>
      <c r="AGG411" s="90"/>
      <c r="AGH411" s="90"/>
      <c r="AGI411" s="90"/>
      <c r="AGJ411" s="90"/>
      <c r="AGK411" s="90"/>
      <c r="AGL411" s="90"/>
      <c r="AGM411" s="90"/>
      <c r="AGN411" s="90"/>
      <c r="AGO411" s="90"/>
      <c r="AGP411" s="90"/>
      <c r="AGQ411" s="90"/>
      <c r="AGR411" s="90"/>
      <c r="AGS411" s="90"/>
      <c r="AGT411" s="90"/>
      <c r="AGU411" s="90"/>
      <c r="AGV411" s="90"/>
      <c r="AGW411" s="90"/>
      <c r="AGX411" s="90"/>
      <c r="AGY411" s="90"/>
      <c r="AGZ411" s="90"/>
      <c r="AHA411" s="90"/>
      <c r="AHB411" s="90"/>
      <c r="AHC411" s="90"/>
      <c r="AHD411" s="90"/>
      <c r="AHE411" s="90"/>
      <c r="AHF411" s="90"/>
      <c r="AHG411" s="90"/>
      <c r="AHH411" s="90"/>
      <c r="AHI411" s="90"/>
      <c r="AHJ411" s="90"/>
      <c r="AHK411" s="90"/>
      <c r="AHL411" s="90"/>
      <c r="AHM411" s="90"/>
      <c r="AHN411" s="90"/>
      <c r="AHO411" s="90"/>
      <c r="AHP411" s="90"/>
      <c r="AHQ411" s="90"/>
      <c r="AHR411" s="90"/>
      <c r="AHS411" s="90"/>
      <c r="AHT411" s="90"/>
      <c r="AHU411" s="90"/>
      <c r="AHV411" s="90"/>
      <c r="AHW411" s="90"/>
      <c r="AHX411" s="90"/>
      <c r="AHY411" s="90"/>
      <c r="AHZ411" s="90"/>
      <c r="AIA411" s="90"/>
      <c r="AIB411" s="90"/>
      <c r="AIC411" s="90"/>
      <c r="AID411" s="90"/>
      <c r="AIE411" s="90"/>
      <c r="AIF411" s="90"/>
      <c r="AIG411" s="90"/>
      <c r="AIH411" s="90"/>
      <c r="AII411" s="90"/>
      <c r="AIJ411" s="90"/>
      <c r="AIK411" s="90"/>
      <c r="AIL411" s="90"/>
      <c r="AIM411" s="90"/>
      <c r="AIN411" s="90"/>
      <c r="AIO411" s="90"/>
      <c r="AIP411" s="90"/>
      <c r="AIQ411" s="90"/>
      <c r="AIR411" s="90"/>
      <c r="AIS411" s="90"/>
      <c r="AIT411" s="90"/>
      <c r="AIU411" s="90"/>
      <c r="AIV411" s="90"/>
      <c r="AIW411" s="90"/>
      <c r="AIX411" s="90"/>
      <c r="AIY411" s="90"/>
      <c r="AIZ411" s="90"/>
      <c r="AJA411" s="90"/>
      <c r="AJB411" s="90"/>
      <c r="AJC411" s="90"/>
      <c r="AJD411" s="90"/>
      <c r="AJE411" s="90"/>
      <c r="AJF411" s="90"/>
      <c r="AJG411" s="90"/>
      <c r="AJH411" s="90"/>
      <c r="AJI411" s="90"/>
      <c r="AJJ411" s="90"/>
      <c r="AJK411" s="90"/>
      <c r="AJL411" s="90"/>
      <c r="AJM411" s="90"/>
      <c r="AJN411" s="90"/>
      <c r="AJO411" s="90"/>
      <c r="AJP411" s="90"/>
      <c r="AJQ411" s="90"/>
      <c r="AJR411" s="90"/>
      <c r="AJS411" s="90"/>
      <c r="AJT411" s="90"/>
      <c r="AJU411" s="90"/>
      <c r="AJV411" s="90"/>
      <c r="AJW411" s="90"/>
      <c r="AJX411" s="90"/>
      <c r="AJY411" s="90"/>
      <c r="AJZ411" s="90"/>
      <c r="AKA411" s="90"/>
      <c r="AKB411" s="90"/>
      <c r="AKC411" s="90"/>
      <c r="AKD411" s="90"/>
      <c r="AKE411" s="90"/>
      <c r="AKF411" s="90"/>
      <c r="AKG411" s="90"/>
      <c r="AKH411" s="90"/>
      <c r="AKI411" s="90"/>
      <c r="AKJ411" s="90"/>
      <c r="AKK411" s="90"/>
      <c r="AKL411" s="90"/>
      <c r="AKM411" s="90"/>
      <c r="AKN411" s="90"/>
      <c r="AKO411" s="90"/>
      <c r="AKP411" s="90"/>
      <c r="AKQ411" s="90"/>
      <c r="AKR411" s="90"/>
      <c r="AKS411" s="90"/>
      <c r="AKT411" s="90"/>
      <c r="AKU411" s="90"/>
      <c r="AKV411" s="90"/>
      <c r="AKW411" s="90"/>
      <c r="AKX411" s="90"/>
      <c r="AKY411" s="90"/>
      <c r="AKZ411" s="90"/>
      <c r="ALA411" s="90"/>
      <c r="ALB411" s="90"/>
      <c r="ALC411" s="90"/>
      <c r="ALD411" s="90"/>
      <c r="ALE411" s="90"/>
      <c r="ALF411" s="90"/>
      <c r="ALG411" s="90"/>
      <c r="ALH411" s="90"/>
      <c r="ALI411" s="90"/>
      <c r="ALJ411" s="90"/>
      <c r="ALK411" s="90"/>
      <c r="ALL411" s="90"/>
      <c r="ALM411" s="90"/>
      <c r="ALN411" s="90"/>
      <c r="ALO411" s="90"/>
      <c r="ALP411" s="90"/>
      <c r="ALQ411" s="90"/>
      <c r="ALR411" s="90"/>
      <c r="ALS411" s="90"/>
      <c r="ALT411" s="90"/>
      <c r="ALU411" s="90"/>
      <c r="ALV411" s="90"/>
      <c r="ALW411" s="90"/>
      <c r="ALX411" s="90"/>
      <c r="ALY411" s="90"/>
      <c r="ALZ411" s="90"/>
      <c r="AMA411" s="90"/>
      <c r="AMB411" s="90"/>
      <c r="AMC411" s="90"/>
    </row>
    <row r="412" spans="1:1017">
      <c r="A412" s="98" t="s">
        <v>55</v>
      </c>
      <c r="B412" s="90" t="str">
        <f t="shared" si="2095"/>
        <v xml:space="preserve">Nila </v>
      </c>
      <c r="I412" s="98">
        <v>9500</v>
      </c>
      <c r="J412" s="98">
        <v>266000</v>
      </c>
      <c r="Q412" s="91">
        <f t="shared" si="2096"/>
        <v>9500</v>
      </c>
      <c r="R412" s="91">
        <f t="shared" si="2097"/>
        <v>266000</v>
      </c>
      <c r="U412" s="98">
        <v>9265</v>
      </c>
      <c r="V412" s="98">
        <v>185300</v>
      </c>
      <c r="Y412" s="98">
        <v>12936</v>
      </c>
      <c r="Z412" s="98">
        <v>258720</v>
      </c>
      <c r="AA412" s="98">
        <v>2605</v>
      </c>
      <c r="AB412" s="98">
        <v>52100</v>
      </c>
      <c r="AC412" s="98">
        <v>2395</v>
      </c>
      <c r="AD412" s="98">
        <v>47900</v>
      </c>
      <c r="AE412" s="98">
        <v>1205</v>
      </c>
      <c r="AF412" s="98">
        <v>24100</v>
      </c>
      <c r="AG412" s="91">
        <f t="shared" si="2098"/>
        <v>28406</v>
      </c>
      <c r="AH412" s="91">
        <f t="shared" si="2099"/>
        <v>568120</v>
      </c>
      <c r="AO412" s="98">
        <v>73100</v>
      </c>
      <c r="AP412" s="98">
        <v>1754400</v>
      </c>
      <c r="AQ412" s="98">
        <v>150</v>
      </c>
      <c r="AR412" s="98">
        <v>3600</v>
      </c>
      <c r="AU412" s="98">
        <v>1910</v>
      </c>
      <c r="AV412" s="98">
        <v>45840</v>
      </c>
      <c r="AW412" s="91">
        <f t="shared" si="2100"/>
        <v>75160</v>
      </c>
      <c r="AX412" s="91">
        <f t="shared" si="2101"/>
        <v>1803840</v>
      </c>
      <c r="BE412" s="98">
        <v>88637</v>
      </c>
      <c r="BF412" s="98">
        <v>2215925</v>
      </c>
      <c r="BG412" s="98">
        <v>986</v>
      </c>
      <c r="BH412" s="98">
        <v>24650</v>
      </c>
      <c r="BK412" s="98">
        <v>977</v>
      </c>
      <c r="BL412" s="98">
        <v>24425</v>
      </c>
      <c r="BM412" s="91">
        <f t="shared" si="2102"/>
        <v>90600</v>
      </c>
      <c r="BN412" s="91">
        <f t="shared" si="2103"/>
        <v>2265000</v>
      </c>
      <c r="BU412" s="98">
        <v>5971</v>
      </c>
      <c r="BV412" s="98">
        <v>161217</v>
      </c>
      <c r="CC412" s="91">
        <f t="shared" si="2104"/>
        <v>5971</v>
      </c>
      <c r="CD412" s="91">
        <f t="shared" si="2105"/>
        <v>161217</v>
      </c>
      <c r="CG412" s="98">
        <v>57995.226478186814</v>
      </c>
      <c r="CH412" s="98">
        <v>1043914.0766073626</v>
      </c>
      <c r="CK412" s="98">
        <v>71042.731581147251</v>
      </c>
      <c r="CL412" s="98">
        <v>1278769.1684606504</v>
      </c>
      <c r="CS412" s="91">
        <f t="shared" si="2106"/>
        <v>129037.95805933407</v>
      </c>
      <c r="CT412" s="91">
        <f t="shared" si="2107"/>
        <v>2322683.2450680127</v>
      </c>
      <c r="DA412" s="98">
        <v>67100</v>
      </c>
      <c r="DB412" s="98">
        <v>1677500</v>
      </c>
      <c r="DC412" s="98">
        <v>1470</v>
      </c>
      <c r="DD412" s="98">
        <v>36750</v>
      </c>
      <c r="DI412" s="91">
        <f t="shared" si="2108"/>
        <v>68570</v>
      </c>
      <c r="DJ412" s="91">
        <f t="shared" si="2109"/>
        <v>1714250</v>
      </c>
      <c r="DQ412" s="98">
        <v>17400</v>
      </c>
      <c r="DR412" s="98">
        <v>417600</v>
      </c>
      <c r="DY412" s="91">
        <f t="shared" si="2110"/>
        <v>17400</v>
      </c>
      <c r="DZ412" s="91">
        <f t="shared" si="2111"/>
        <v>417600</v>
      </c>
      <c r="EG412" s="98">
        <v>358100</v>
      </c>
      <c r="EH412" s="98">
        <v>7520100</v>
      </c>
      <c r="EO412" s="91">
        <f t="shared" si="2112"/>
        <v>358100</v>
      </c>
      <c r="EP412" s="91">
        <f t="shared" si="2113"/>
        <v>7520100</v>
      </c>
      <c r="ES412" s="98">
        <v>10981</v>
      </c>
      <c r="ET412" s="98">
        <v>219620</v>
      </c>
      <c r="EW412" s="98">
        <v>30182</v>
      </c>
      <c r="EX412" s="98">
        <v>603640</v>
      </c>
      <c r="FC412" s="98">
        <v>170</v>
      </c>
      <c r="FD412" s="98">
        <v>3400</v>
      </c>
      <c r="FE412" s="91">
        <f t="shared" si="2114"/>
        <v>41333</v>
      </c>
      <c r="FF412" s="91">
        <f t="shared" si="2115"/>
        <v>826660</v>
      </c>
      <c r="FM412" s="98">
        <v>55800</v>
      </c>
      <c r="FN412" s="98">
        <v>1395000</v>
      </c>
      <c r="FS412" s="98">
        <v>68386</v>
      </c>
      <c r="FT412" s="98">
        <v>1914808</v>
      </c>
      <c r="FU412" s="91">
        <f t="shared" si="2116"/>
        <v>124186</v>
      </c>
      <c r="FV412" s="91">
        <f t="shared" si="2117"/>
        <v>3309808</v>
      </c>
      <c r="GC412" s="98">
        <v>37000</v>
      </c>
      <c r="GD412" s="98">
        <v>999000</v>
      </c>
      <c r="GK412" s="91">
        <f t="shared" si="2118"/>
        <v>37000</v>
      </c>
      <c r="GL412" s="91">
        <f t="shared" si="2119"/>
        <v>999000</v>
      </c>
      <c r="GS412" s="98">
        <v>11000</v>
      </c>
      <c r="GT412" s="98">
        <v>302500</v>
      </c>
      <c r="GY412" s="98">
        <v>100</v>
      </c>
      <c r="GZ412" s="98">
        <v>2750</v>
      </c>
      <c r="HA412" s="91">
        <f t="shared" si="2120"/>
        <v>11100</v>
      </c>
      <c r="HB412" s="91">
        <f t="shared" si="2121"/>
        <v>305250</v>
      </c>
      <c r="HI412" s="98">
        <v>87000</v>
      </c>
      <c r="HJ412" s="98">
        <v>2001000</v>
      </c>
      <c r="HO412" s="98">
        <v>300000</v>
      </c>
      <c r="HP412" s="98">
        <v>6900000</v>
      </c>
      <c r="HQ412" s="91">
        <f t="shared" si="2122"/>
        <v>387000</v>
      </c>
      <c r="HR412" s="91">
        <f t="shared" si="2123"/>
        <v>8901000</v>
      </c>
      <c r="HY412" s="98">
        <v>10200</v>
      </c>
      <c r="HZ412" s="98">
        <v>285600</v>
      </c>
      <c r="IE412" s="98">
        <v>500</v>
      </c>
      <c r="IF412" s="98">
        <v>12500</v>
      </c>
      <c r="IG412" s="91">
        <f t="shared" si="2124"/>
        <v>10700</v>
      </c>
      <c r="IH412" s="91">
        <f t="shared" si="2125"/>
        <v>298100</v>
      </c>
      <c r="IO412" s="98">
        <v>10200</v>
      </c>
      <c r="IP412" s="98">
        <v>265200</v>
      </c>
      <c r="IW412" s="91">
        <f t="shared" si="2126"/>
        <v>10200</v>
      </c>
      <c r="IX412" s="91">
        <f t="shared" si="2127"/>
        <v>265200</v>
      </c>
      <c r="JE412" s="98">
        <v>7440</v>
      </c>
      <c r="JF412" s="98">
        <v>163680</v>
      </c>
      <c r="JK412" s="98">
        <v>2080</v>
      </c>
      <c r="JL412" s="98">
        <v>45760</v>
      </c>
      <c r="JM412" s="91">
        <f t="shared" si="2128"/>
        <v>9520</v>
      </c>
      <c r="JN412" s="91">
        <f t="shared" si="2129"/>
        <v>209440</v>
      </c>
      <c r="JU412" s="98">
        <v>11408</v>
      </c>
      <c r="JV412" s="98">
        <v>399280</v>
      </c>
      <c r="KC412" s="91">
        <f t="shared" si="2130"/>
        <v>11408</v>
      </c>
      <c r="KD412" s="91">
        <f t="shared" si="2131"/>
        <v>399280</v>
      </c>
      <c r="KK412" s="98">
        <v>280</v>
      </c>
      <c r="KL412" s="98">
        <v>7000</v>
      </c>
      <c r="KS412" s="91">
        <f t="shared" si="2132"/>
        <v>280</v>
      </c>
      <c r="KT412" s="91">
        <f t="shared" si="2133"/>
        <v>7000</v>
      </c>
      <c r="KW412" s="98">
        <v>29480.28</v>
      </c>
      <c r="KX412" s="98">
        <v>471684</v>
      </c>
      <c r="LA412" s="98">
        <v>13158.25</v>
      </c>
      <c r="LB412" s="98">
        <v>250006</v>
      </c>
      <c r="LG412" s="98">
        <v>13892.84</v>
      </c>
      <c r="LH412" s="98">
        <v>361213</v>
      </c>
      <c r="LI412" s="91">
        <f t="shared" si="2134"/>
        <v>56531.369999999995</v>
      </c>
      <c r="LJ412" s="91">
        <f t="shared" si="2135"/>
        <v>1082903</v>
      </c>
      <c r="LQ412" s="98">
        <v>4050</v>
      </c>
      <c r="LR412" s="98">
        <v>109350</v>
      </c>
      <c r="LW412" s="98">
        <v>1190</v>
      </c>
      <c r="LX412" s="98">
        <v>35700</v>
      </c>
      <c r="LY412" s="91">
        <f t="shared" si="2136"/>
        <v>5240</v>
      </c>
      <c r="LZ412" s="91">
        <f t="shared" si="2137"/>
        <v>145050</v>
      </c>
      <c r="MC412" s="98">
        <v>2100</v>
      </c>
      <c r="MD412" s="98">
        <v>37800</v>
      </c>
      <c r="MG412" s="98">
        <v>2480</v>
      </c>
      <c r="MH412" s="98">
        <v>44640</v>
      </c>
      <c r="MM412" s="98">
        <v>2210</v>
      </c>
      <c r="MN412" s="98">
        <v>39780</v>
      </c>
      <c r="MO412" s="91">
        <f t="shared" si="2138"/>
        <v>6790</v>
      </c>
      <c r="MP412" s="91">
        <f t="shared" si="2139"/>
        <v>122220</v>
      </c>
      <c r="MW412" s="98">
        <v>20</v>
      </c>
      <c r="MX412" s="98">
        <f>MW412*30</f>
        <v>600</v>
      </c>
      <c r="NE412" s="91">
        <f t="shared" si="2140"/>
        <v>20</v>
      </c>
      <c r="NF412" s="91">
        <f t="shared" si="2141"/>
        <v>600</v>
      </c>
      <c r="NI412" s="98">
        <v>904700</v>
      </c>
      <c r="NJ412" s="98">
        <v>16284600</v>
      </c>
      <c r="NM412" s="98">
        <v>52000</v>
      </c>
      <c r="NN412" s="98">
        <v>936000</v>
      </c>
      <c r="NQ412" s="98">
        <v>5800</v>
      </c>
      <c r="NR412" s="98">
        <v>104400</v>
      </c>
      <c r="NU412" s="91">
        <f t="shared" si="2142"/>
        <v>962500</v>
      </c>
      <c r="NV412" s="91">
        <f t="shared" si="2143"/>
        <v>17325000</v>
      </c>
      <c r="OK412" s="91">
        <f t="shared" si="2144"/>
        <v>0</v>
      </c>
      <c r="OL412" s="91">
        <f t="shared" si="2145"/>
        <v>0</v>
      </c>
      <c r="OO412" s="98">
        <v>3926</v>
      </c>
      <c r="OP412" s="98">
        <v>137410</v>
      </c>
      <c r="PA412" s="91">
        <f t="shared" si="2146"/>
        <v>3926</v>
      </c>
      <c r="PB412" s="91">
        <f t="shared" si="2147"/>
        <v>137410</v>
      </c>
      <c r="PI412" s="98">
        <v>13347</v>
      </c>
      <c r="PJ412" s="98">
        <v>280287</v>
      </c>
      <c r="PQ412" s="91">
        <f t="shared" si="2148"/>
        <v>13347</v>
      </c>
      <c r="PR412" s="91">
        <f t="shared" si="2149"/>
        <v>280287</v>
      </c>
      <c r="PU412" s="98">
        <v>324100</v>
      </c>
      <c r="PV412" s="98">
        <v>5833800</v>
      </c>
      <c r="PY412" s="98">
        <v>264000</v>
      </c>
      <c r="PZ412" s="98">
        <v>4752000</v>
      </c>
      <c r="QA412" s="98">
        <v>138370</v>
      </c>
      <c r="QB412" s="98">
        <v>2490660</v>
      </c>
      <c r="QC412" s="98">
        <v>241220</v>
      </c>
      <c r="QD412" s="98">
        <v>4341960</v>
      </c>
      <c r="QG412" s="91">
        <f t="shared" si="2150"/>
        <v>967690</v>
      </c>
      <c r="QH412" s="91">
        <f t="shared" si="2151"/>
        <v>17418420</v>
      </c>
      <c r="QO412" s="98">
        <v>10000</v>
      </c>
      <c r="QP412" s="98">
        <v>180000</v>
      </c>
      <c r="QW412" s="91">
        <f t="shared" si="2152"/>
        <v>10000</v>
      </c>
      <c r="QX412" s="91">
        <f t="shared" si="2153"/>
        <v>180000</v>
      </c>
      <c r="RE412" s="98">
        <v>2978</v>
      </c>
      <c r="RF412" s="98">
        <f>RE412*27</f>
        <v>80406</v>
      </c>
      <c r="RM412" s="91">
        <f t="shared" si="2154"/>
        <v>2978</v>
      </c>
      <c r="RN412" s="91">
        <f t="shared" si="2155"/>
        <v>80406</v>
      </c>
      <c r="RU412" s="98">
        <v>4730</v>
      </c>
      <c r="RV412" s="98">
        <v>108790</v>
      </c>
      <c r="SC412" s="91">
        <f t="shared" si="2156"/>
        <v>4730</v>
      </c>
      <c r="SD412" s="91">
        <f t="shared" si="2157"/>
        <v>108790</v>
      </c>
      <c r="SK412" s="98">
        <v>800</v>
      </c>
      <c r="SL412" s="98">
        <v>20000</v>
      </c>
      <c r="SS412" s="91">
        <f t="shared" si="2158"/>
        <v>800</v>
      </c>
      <c r="ST412" s="91">
        <f t="shared" si="2159"/>
        <v>20000</v>
      </c>
      <c r="TA412" s="98">
        <v>2545</v>
      </c>
      <c r="TB412" s="98">
        <v>68715</v>
      </c>
      <c r="TI412" s="91">
        <f t="shared" si="2160"/>
        <v>2545</v>
      </c>
      <c r="TJ412" s="91">
        <f t="shared" si="2161"/>
        <v>68715</v>
      </c>
      <c r="TQ412" s="98">
        <v>3300</v>
      </c>
      <c r="TR412" s="98">
        <v>82500</v>
      </c>
      <c r="TU412" s="98">
        <v>2000</v>
      </c>
      <c r="TV412" s="98">
        <v>60000</v>
      </c>
      <c r="TY412" s="91">
        <f t="shared" si="2162"/>
        <v>5300</v>
      </c>
      <c r="TZ412" s="91">
        <f t="shared" si="2163"/>
        <v>142500</v>
      </c>
      <c r="UG412" s="98">
        <v>450</v>
      </c>
      <c r="UH412" s="98">
        <v>10350</v>
      </c>
      <c r="UO412" s="91">
        <f t="shared" si="2164"/>
        <v>450</v>
      </c>
      <c r="UP412" s="91">
        <f t="shared" si="2165"/>
        <v>10350</v>
      </c>
      <c r="US412" s="98">
        <v>300</v>
      </c>
      <c r="UT412" s="98">
        <v>7500</v>
      </c>
      <c r="VE412" s="91">
        <f t="shared" si="2166"/>
        <v>300</v>
      </c>
      <c r="VF412" s="91">
        <f t="shared" si="2167"/>
        <v>7500</v>
      </c>
      <c r="VI412" s="98">
        <v>1280</v>
      </c>
      <c r="VJ412" s="98">
        <v>32000</v>
      </c>
      <c r="VM412" s="98">
        <v>1745</v>
      </c>
      <c r="VN412" s="98">
        <v>47115</v>
      </c>
      <c r="VU412" s="91">
        <f t="shared" si="2168"/>
        <v>3025</v>
      </c>
      <c r="VV412" s="91">
        <f t="shared" si="2169"/>
        <v>79115</v>
      </c>
      <c r="VY412" s="98">
        <v>39860</v>
      </c>
      <c r="VZ412" s="98">
        <v>1116080</v>
      </c>
      <c r="WC412" s="98">
        <v>139870</v>
      </c>
      <c r="WD412" s="98">
        <v>3916360</v>
      </c>
      <c r="WK412" s="91">
        <f t="shared" si="2170"/>
        <v>179730</v>
      </c>
      <c r="WL412" s="91">
        <f t="shared" si="2171"/>
        <v>5032440</v>
      </c>
      <c r="WM412" s="89"/>
      <c r="WN412" s="87">
        <f t="shared" si="2172"/>
        <v>0</v>
      </c>
      <c r="WO412" s="87">
        <f t="shared" si="2173"/>
        <v>0</v>
      </c>
      <c r="WP412" s="87">
        <f t="shared" si="2174"/>
        <v>1383987.5064781867</v>
      </c>
      <c r="WQ412" s="87">
        <f t="shared" si="2175"/>
        <v>25369708.076607361</v>
      </c>
      <c r="WR412" s="87">
        <f t="shared" si="2176"/>
        <v>0</v>
      </c>
      <c r="WS412" s="87">
        <f t="shared" si="2177"/>
        <v>0</v>
      </c>
      <c r="WT412" s="87">
        <f t="shared" si="2178"/>
        <v>1479769.9815811473</v>
      </c>
      <c r="WU412" s="87">
        <f t="shared" si="2179"/>
        <v>32859250.168460652</v>
      </c>
      <c r="WV412" s="87">
        <f t="shared" si="2180"/>
        <v>143581</v>
      </c>
      <c r="WW412" s="87">
        <f t="shared" si="2181"/>
        <v>2607760</v>
      </c>
      <c r="WX412" s="87">
        <f t="shared" si="2182"/>
        <v>251415</v>
      </c>
      <c r="WY412" s="87">
        <f t="shared" si="2183"/>
        <v>4554260</v>
      </c>
      <c r="WZ412" s="87">
        <f t="shared" si="2184"/>
        <v>392620.84</v>
      </c>
      <c r="XA412" s="87">
        <f t="shared" si="2185"/>
        <v>9410276</v>
      </c>
      <c r="XB412" s="92">
        <f t="shared" si="2186"/>
        <v>3651374.3280593338</v>
      </c>
      <c r="XC412" s="92">
        <f t="shared" si="2187"/>
        <v>74801254.245068014</v>
      </c>
      <c r="XD412" s="89"/>
      <c r="XE412" s="92"/>
      <c r="XF412" s="92"/>
      <c r="XG412" s="89"/>
      <c r="XH412" s="92"/>
      <c r="XI412" s="92"/>
      <c r="XJ412" s="89"/>
      <c r="XK412" s="87"/>
      <c r="XL412" s="87"/>
      <c r="XM412" s="87"/>
      <c r="XN412" s="87"/>
      <c r="XO412" s="87"/>
      <c r="XP412" s="87"/>
      <c r="XQ412" s="87"/>
      <c r="XR412" s="92">
        <f t="shared" ca="1" si="2188"/>
        <v>0</v>
      </c>
      <c r="XS412" s="89"/>
      <c r="XT412" s="87"/>
      <c r="XU412" s="87"/>
      <c r="XV412" s="87"/>
      <c r="XW412" s="87"/>
      <c r="XX412" s="87"/>
      <c r="XY412" s="87"/>
      <c r="XZ412" s="87"/>
      <c r="YA412" s="92">
        <f t="shared" ca="1" si="2189"/>
        <v>0</v>
      </c>
      <c r="YB412" s="90"/>
      <c r="YC412" s="90"/>
      <c r="YD412" s="90"/>
      <c r="YE412" s="90"/>
      <c r="YF412" s="90"/>
      <c r="YG412" s="90"/>
      <c r="YH412" s="90"/>
      <c r="YI412" s="90"/>
      <c r="YJ412" s="90"/>
      <c r="YK412" s="90"/>
      <c r="YL412" s="90"/>
      <c r="YM412" s="90"/>
      <c r="YN412" s="90"/>
      <c r="YO412" s="90"/>
      <c r="YP412" s="90"/>
      <c r="YQ412" s="90"/>
      <c r="YR412" s="90"/>
      <c r="YS412" s="90"/>
      <c r="YT412" s="90"/>
      <c r="YU412" s="90"/>
      <c r="YV412" s="90"/>
      <c r="YW412" s="90"/>
      <c r="YX412" s="90"/>
      <c r="YY412" s="90"/>
      <c r="YZ412" s="90"/>
      <c r="ZA412" s="90"/>
      <c r="ZB412" s="90"/>
      <c r="ZC412" s="90"/>
      <c r="ZD412" s="90"/>
      <c r="ZE412" s="90"/>
      <c r="ZF412" s="90"/>
      <c r="ZG412" s="90"/>
      <c r="ZH412" s="90"/>
      <c r="ZI412" s="90"/>
      <c r="ZJ412" s="90"/>
      <c r="ZK412" s="90"/>
      <c r="ZL412" s="90"/>
      <c r="ZM412" s="90"/>
      <c r="ZN412" s="90"/>
      <c r="ZO412" s="90"/>
      <c r="ZP412" s="90"/>
      <c r="ZQ412" s="90"/>
      <c r="ZR412" s="90"/>
      <c r="ZS412" s="90"/>
      <c r="ZT412" s="90"/>
      <c r="ZU412" s="90"/>
      <c r="ZV412" s="90"/>
      <c r="ZW412" s="90"/>
      <c r="ZX412" s="90"/>
      <c r="ZY412" s="90"/>
      <c r="ZZ412" s="90"/>
      <c r="AAA412" s="90"/>
      <c r="AAB412" s="90"/>
      <c r="AAC412" s="90"/>
      <c r="AAD412" s="90"/>
      <c r="AAE412" s="90"/>
      <c r="AAF412" s="90"/>
      <c r="AAG412" s="90"/>
      <c r="AAH412" s="90"/>
      <c r="AAI412" s="90"/>
      <c r="AAJ412" s="90"/>
      <c r="AAK412" s="90"/>
      <c r="AAL412" s="90"/>
      <c r="AAM412" s="90"/>
      <c r="AAN412" s="90"/>
      <c r="AAO412" s="90"/>
      <c r="AAP412" s="90"/>
      <c r="AAQ412" s="90"/>
      <c r="AAR412" s="90"/>
      <c r="AAS412" s="90"/>
      <c r="AAT412" s="90"/>
      <c r="AAU412" s="90"/>
      <c r="AAV412" s="90"/>
      <c r="AAW412" s="90"/>
      <c r="AAX412" s="90"/>
      <c r="AAY412" s="90"/>
      <c r="AAZ412" s="90"/>
      <c r="ABA412" s="90"/>
      <c r="ABB412" s="90"/>
      <c r="ABC412" s="90"/>
      <c r="ABD412" s="90"/>
      <c r="ABE412" s="90"/>
      <c r="ABF412" s="90"/>
      <c r="ABG412" s="90"/>
      <c r="ABH412" s="90"/>
      <c r="ABI412" s="90"/>
      <c r="ABJ412" s="90"/>
      <c r="ABK412" s="90"/>
      <c r="ABL412" s="90"/>
      <c r="ABM412" s="90"/>
      <c r="ABN412" s="90"/>
      <c r="ABO412" s="90"/>
      <c r="ABP412" s="90"/>
      <c r="ABQ412" s="90"/>
      <c r="ABR412" s="90"/>
      <c r="ABS412" s="90"/>
      <c r="ABT412" s="90"/>
      <c r="ABU412" s="90"/>
      <c r="ABV412" s="90"/>
      <c r="ABW412" s="90"/>
      <c r="ABX412" s="90"/>
      <c r="ABY412" s="90"/>
      <c r="ABZ412" s="90"/>
      <c r="ACA412" s="90"/>
      <c r="ACB412" s="90"/>
      <c r="ACC412" s="90"/>
      <c r="ACD412" s="90"/>
      <c r="ACE412" s="90"/>
      <c r="ACF412" s="90"/>
      <c r="ACG412" s="90"/>
      <c r="ACH412" s="90"/>
      <c r="ACI412" s="90"/>
      <c r="ACJ412" s="90"/>
      <c r="ACK412" s="90"/>
      <c r="ACL412" s="90"/>
      <c r="ACM412" s="90"/>
      <c r="ACN412" s="90"/>
      <c r="ACO412" s="90"/>
      <c r="ACP412" s="90"/>
      <c r="ACQ412" s="90"/>
      <c r="ACR412" s="90"/>
      <c r="ACS412" s="90"/>
      <c r="ACT412" s="90"/>
      <c r="ACU412" s="90"/>
      <c r="ACV412" s="90"/>
      <c r="ACW412" s="90"/>
      <c r="ACX412" s="90"/>
      <c r="ACY412" s="90"/>
      <c r="ACZ412" s="90"/>
      <c r="ADA412" s="90"/>
      <c r="ADB412" s="90"/>
      <c r="ADC412" s="90"/>
      <c r="ADD412" s="90"/>
      <c r="ADE412" s="90"/>
      <c r="ADF412" s="90"/>
      <c r="ADG412" s="90"/>
      <c r="ADH412" s="90"/>
      <c r="ADI412" s="90"/>
      <c r="ADJ412" s="90"/>
      <c r="ADK412" s="90"/>
      <c r="ADL412" s="90"/>
      <c r="ADM412" s="90"/>
      <c r="ADN412" s="90"/>
      <c r="ADO412" s="90"/>
      <c r="ADP412" s="90"/>
      <c r="ADQ412" s="90"/>
      <c r="ADR412" s="90"/>
      <c r="ADS412" s="90"/>
      <c r="ADT412" s="90"/>
      <c r="ADU412" s="90"/>
      <c r="ADV412" s="90"/>
      <c r="ADW412" s="90"/>
      <c r="ADX412" s="90"/>
      <c r="ADY412" s="90"/>
      <c r="ADZ412" s="90"/>
      <c r="AEA412" s="90"/>
      <c r="AEB412" s="90"/>
      <c r="AEC412" s="90"/>
      <c r="AED412" s="90"/>
      <c r="AEE412" s="90"/>
      <c r="AEF412" s="90"/>
      <c r="AEG412" s="90"/>
      <c r="AEH412" s="90"/>
      <c r="AEI412" s="90"/>
      <c r="AEJ412" s="90"/>
      <c r="AEK412" s="90"/>
      <c r="AEL412" s="90"/>
      <c r="AEM412" s="90"/>
      <c r="AEN412" s="90"/>
      <c r="AEO412" s="90"/>
      <c r="AEP412" s="90"/>
      <c r="AEQ412" s="90"/>
      <c r="AER412" s="90"/>
      <c r="AES412" s="90"/>
      <c r="AET412" s="90"/>
      <c r="AEU412" s="90"/>
      <c r="AEV412" s="90"/>
      <c r="AEW412" s="90"/>
      <c r="AEX412" s="90"/>
      <c r="AEY412" s="90"/>
      <c r="AEZ412" s="90"/>
      <c r="AFA412" s="90"/>
      <c r="AFB412" s="90"/>
      <c r="AFC412" s="90"/>
      <c r="AFD412" s="90"/>
      <c r="AFE412" s="90"/>
      <c r="AFF412" s="90"/>
      <c r="AFG412" s="90"/>
      <c r="AFH412" s="90"/>
      <c r="AFI412" s="90"/>
      <c r="AFJ412" s="90"/>
      <c r="AFK412" s="90"/>
      <c r="AFL412" s="90"/>
      <c r="AFM412" s="90"/>
      <c r="AFN412" s="90"/>
      <c r="AFO412" s="90"/>
      <c r="AFP412" s="90"/>
      <c r="AFQ412" s="90"/>
      <c r="AFR412" s="90"/>
      <c r="AFS412" s="90"/>
      <c r="AFT412" s="90"/>
      <c r="AFU412" s="90"/>
      <c r="AFV412" s="90"/>
      <c r="AFW412" s="90"/>
      <c r="AFX412" s="90"/>
      <c r="AFY412" s="90"/>
      <c r="AFZ412" s="90"/>
      <c r="AGA412" s="90"/>
      <c r="AGB412" s="90"/>
      <c r="AGC412" s="90"/>
      <c r="AGD412" s="90"/>
      <c r="AGE412" s="90"/>
      <c r="AGF412" s="90"/>
      <c r="AGG412" s="90"/>
      <c r="AGH412" s="90"/>
      <c r="AGI412" s="90"/>
      <c r="AGJ412" s="90"/>
      <c r="AGK412" s="90"/>
      <c r="AGL412" s="90"/>
      <c r="AGM412" s="90"/>
      <c r="AGN412" s="90"/>
      <c r="AGO412" s="90"/>
      <c r="AGP412" s="90"/>
      <c r="AGQ412" s="90"/>
      <c r="AGR412" s="90"/>
      <c r="AGS412" s="90"/>
      <c r="AGT412" s="90"/>
      <c r="AGU412" s="90"/>
      <c r="AGV412" s="90"/>
      <c r="AGW412" s="90"/>
      <c r="AGX412" s="90"/>
      <c r="AGY412" s="90"/>
      <c r="AGZ412" s="90"/>
      <c r="AHA412" s="90"/>
      <c r="AHB412" s="90"/>
      <c r="AHC412" s="90"/>
      <c r="AHD412" s="90"/>
      <c r="AHE412" s="90"/>
      <c r="AHF412" s="90"/>
      <c r="AHG412" s="90"/>
      <c r="AHH412" s="90"/>
      <c r="AHI412" s="90"/>
      <c r="AHJ412" s="90"/>
      <c r="AHK412" s="90"/>
      <c r="AHL412" s="90"/>
      <c r="AHM412" s="90"/>
      <c r="AHN412" s="90"/>
      <c r="AHO412" s="90"/>
      <c r="AHP412" s="90"/>
      <c r="AHQ412" s="90"/>
      <c r="AHR412" s="90"/>
      <c r="AHS412" s="90"/>
      <c r="AHT412" s="90"/>
      <c r="AHU412" s="90"/>
      <c r="AHV412" s="90"/>
      <c r="AHW412" s="90"/>
      <c r="AHX412" s="90"/>
      <c r="AHY412" s="90"/>
      <c r="AHZ412" s="90"/>
      <c r="AIA412" s="90"/>
      <c r="AIB412" s="90"/>
      <c r="AIC412" s="90"/>
      <c r="AID412" s="90"/>
      <c r="AIE412" s="90"/>
      <c r="AIF412" s="90"/>
      <c r="AIG412" s="90"/>
      <c r="AIH412" s="90"/>
      <c r="AII412" s="90"/>
      <c r="AIJ412" s="90"/>
      <c r="AIK412" s="90"/>
      <c r="AIL412" s="90"/>
      <c r="AIM412" s="90"/>
      <c r="AIN412" s="90"/>
      <c r="AIO412" s="90"/>
      <c r="AIP412" s="90"/>
      <c r="AIQ412" s="90"/>
      <c r="AIR412" s="90"/>
      <c r="AIS412" s="90"/>
      <c r="AIT412" s="90"/>
      <c r="AIU412" s="90"/>
      <c r="AIV412" s="90"/>
      <c r="AIW412" s="90"/>
      <c r="AIX412" s="90"/>
      <c r="AIY412" s="90"/>
      <c r="AIZ412" s="90"/>
      <c r="AJA412" s="90"/>
      <c r="AJB412" s="90"/>
      <c r="AJC412" s="90"/>
      <c r="AJD412" s="90"/>
      <c r="AJE412" s="90"/>
      <c r="AJF412" s="90"/>
      <c r="AJG412" s="90"/>
      <c r="AJH412" s="90"/>
      <c r="AJI412" s="90"/>
      <c r="AJJ412" s="90"/>
      <c r="AJK412" s="90"/>
      <c r="AJL412" s="90"/>
      <c r="AJM412" s="90"/>
      <c r="AJN412" s="90"/>
      <c r="AJO412" s="90"/>
      <c r="AJP412" s="90"/>
      <c r="AJQ412" s="90"/>
      <c r="AJR412" s="90"/>
      <c r="AJS412" s="90"/>
      <c r="AJT412" s="90"/>
      <c r="AJU412" s="90"/>
      <c r="AJV412" s="90"/>
      <c r="AJW412" s="90"/>
      <c r="AJX412" s="90"/>
      <c r="AJY412" s="90"/>
      <c r="AJZ412" s="90"/>
      <c r="AKA412" s="90"/>
      <c r="AKB412" s="90"/>
      <c r="AKC412" s="90"/>
      <c r="AKD412" s="90"/>
      <c r="AKE412" s="90"/>
      <c r="AKF412" s="90"/>
      <c r="AKG412" s="90"/>
      <c r="AKH412" s="90"/>
      <c r="AKI412" s="90"/>
      <c r="AKJ412" s="90"/>
      <c r="AKK412" s="90"/>
      <c r="AKL412" s="90"/>
      <c r="AKM412" s="90"/>
      <c r="AKN412" s="90"/>
      <c r="AKO412" s="90"/>
      <c r="AKP412" s="90"/>
      <c r="AKQ412" s="90"/>
      <c r="AKR412" s="90"/>
      <c r="AKS412" s="90"/>
      <c r="AKT412" s="90"/>
      <c r="AKU412" s="90"/>
      <c r="AKV412" s="90"/>
      <c r="AKW412" s="90"/>
      <c r="AKX412" s="90"/>
      <c r="AKY412" s="90"/>
      <c r="AKZ412" s="90"/>
      <c r="ALA412" s="90"/>
      <c r="ALB412" s="90"/>
      <c r="ALC412" s="90"/>
      <c r="ALD412" s="90"/>
      <c r="ALE412" s="90"/>
      <c r="ALF412" s="90"/>
      <c r="ALG412" s="90"/>
      <c r="ALH412" s="90"/>
      <c r="ALI412" s="90"/>
      <c r="ALJ412" s="90"/>
      <c r="ALK412" s="90"/>
      <c r="ALL412" s="90"/>
      <c r="ALM412" s="90"/>
      <c r="ALN412" s="90"/>
      <c r="ALO412" s="90"/>
      <c r="ALP412" s="90"/>
      <c r="ALQ412" s="90"/>
      <c r="ALR412" s="90"/>
      <c r="ALS412" s="90"/>
      <c r="ALT412" s="90"/>
      <c r="ALU412" s="90"/>
      <c r="ALV412" s="90"/>
      <c r="ALW412" s="90"/>
      <c r="ALX412" s="90"/>
      <c r="ALY412" s="90"/>
      <c r="ALZ412" s="90"/>
      <c r="AMA412" s="90"/>
      <c r="AMB412" s="90"/>
      <c r="AMC412" s="90"/>
    </row>
    <row r="413" spans="1:1017">
      <c r="A413" s="98" t="s">
        <v>55</v>
      </c>
      <c r="B413" s="90" t="str">
        <f t="shared" si="2095"/>
        <v xml:space="preserve">Patin </v>
      </c>
      <c r="Q413" s="91">
        <f t="shared" si="2096"/>
        <v>0</v>
      </c>
      <c r="R413" s="91">
        <f t="shared" si="2097"/>
        <v>0</v>
      </c>
      <c r="Y413" s="98">
        <v>181890</v>
      </c>
      <c r="Z413" s="98">
        <v>3637800</v>
      </c>
      <c r="AG413" s="91">
        <f t="shared" si="2098"/>
        <v>181890</v>
      </c>
      <c r="AH413" s="91">
        <f t="shared" si="2099"/>
        <v>3637800</v>
      </c>
      <c r="AO413" s="98">
        <v>12300</v>
      </c>
      <c r="AP413" s="98">
        <v>258300</v>
      </c>
      <c r="AW413" s="91">
        <f t="shared" si="2100"/>
        <v>12300</v>
      </c>
      <c r="AX413" s="91">
        <f t="shared" si="2101"/>
        <v>258300</v>
      </c>
      <c r="BE413" s="98">
        <v>26110</v>
      </c>
      <c r="BF413" s="98">
        <v>469980</v>
      </c>
      <c r="BK413" s="98">
        <v>1090</v>
      </c>
      <c r="BL413" s="98">
        <v>19620</v>
      </c>
      <c r="BM413" s="91">
        <f t="shared" si="2102"/>
        <v>27200</v>
      </c>
      <c r="BN413" s="91">
        <f t="shared" si="2103"/>
        <v>489600</v>
      </c>
      <c r="BU413" s="98">
        <v>15</v>
      </c>
      <c r="BV413" s="98">
        <v>405</v>
      </c>
      <c r="CC413" s="91">
        <f t="shared" si="2104"/>
        <v>15</v>
      </c>
      <c r="CD413" s="91">
        <f t="shared" si="2105"/>
        <v>405</v>
      </c>
      <c r="CK413" s="98">
        <v>1500.9157430467201</v>
      </c>
      <c r="CL413" s="98">
        <v>27016.483374840958</v>
      </c>
      <c r="CS413" s="91">
        <f t="shared" si="2106"/>
        <v>1500.9157430467201</v>
      </c>
      <c r="CT413" s="91">
        <f t="shared" si="2107"/>
        <v>27016.483374840958</v>
      </c>
      <c r="DI413" s="91">
        <f t="shared" si="2108"/>
        <v>0</v>
      </c>
      <c r="DJ413" s="91">
        <f t="shared" si="2109"/>
        <v>0</v>
      </c>
      <c r="DQ413" s="98">
        <v>179200</v>
      </c>
      <c r="DR413" s="98">
        <v>4121600</v>
      </c>
      <c r="DY413" s="91">
        <f t="shared" si="2110"/>
        <v>179200</v>
      </c>
      <c r="DZ413" s="91">
        <f t="shared" si="2111"/>
        <v>4121600</v>
      </c>
      <c r="EG413" s="98">
        <v>110000</v>
      </c>
      <c r="EH413" s="98">
        <v>1650000</v>
      </c>
      <c r="EO413" s="91">
        <f t="shared" si="2112"/>
        <v>110000</v>
      </c>
      <c r="EP413" s="91">
        <f t="shared" si="2113"/>
        <v>1650000</v>
      </c>
      <c r="FE413" s="91">
        <f t="shared" si="2114"/>
        <v>0</v>
      </c>
      <c r="FF413" s="91">
        <f t="shared" si="2115"/>
        <v>0</v>
      </c>
      <c r="FM413" s="98">
        <v>800</v>
      </c>
      <c r="FN413" s="98">
        <v>16000</v>
      </c>
      <c r="FU413" s="91">
        <f t="shared" si="2116"/>
        <v>800</v>
      </c>
      <c r="FV413" s="91">
        <f t="shared" si="2117"/>
        <v>16000</v>
      </c>
      <c r="GC413" s="98">
        <v>38500</v>
      </c>
      <c r="GD413" s="98">
        <v>808500</v>
      </c>
      <c r="GK413" s="91">
        <f t="shared" si="2118"/>
        <v>38500</v>
      </c>
      <c r="GL413" s="91">
        <f t="shared" si="2119"/>
        <v>808500</v>
      </c>
      <c r="GS413" s="98">
        <v>2000</v>
      </c>
      <c r="GT413" s="98">
        <v>35000</v>
      </c>
      <c r="HA413" s="91">
        <f t="shared" si="2120"/>
        <v>2000</v>
      </c>
      <c r="HB413" s="91">
        <f t="shared" si="2121"/>
        <v>35000</v>
      </c>
      <c r="HQ413" s="91">
        <f t="shared" si="2122"/>
        <v>0</v>
      </c>
      <c r="HR413" s="91">
        <f t="shared" si="2123"/>
        <v>0</v>
      </c>
      <c r="HY413" s="98">
        <v>1400</v>
      </c>
      <c r="HZ413" s="98">
        <v>32200</v>
      </c>
      <c r="IG413" s="91">
        <f t="shared" si="2124"/>
        <v>1400</v>
      </c>
      <c r="IH413" s="91">
        <f t="shared" si="2125"/>
        <v>32200</v>
      </c>
      <c r="IO413" s="98">
        <v>7620</v>
      </c>
      <c r="IP413" s="98">
        <v>137160</v>
      </c>
      <c r="IW413" s="91">
        <f t="shared" si="2126"/>
        <v>7620</v>
      </c>
      <c r="IX413" s="91">
        <f t="shared" si="2127"/>
        <v>137160</v>
      </c>
      <c r="JE413" s="98">
        <v>16628</v>
      </c>
      <c r="JF413" s="98">
        <v>290990</v>
      </c>
      <c r="JK413" s="98">
        <v>4350</v>
      </c>
      <c r="JL413" s="98">
        <v>73950</v>
      </c>
      <c r="JM413" s="91">
        <f t="shared" si="2128"/>
        <v>20978</v>
      </c>
      <c r="JN413" s="91">
        <f t="shared" si="2129"/>
        <v>364940</v>
      </c>
      <c r="KC413" s="91">
        <f t="shared" si="2130"/>
        <v>0</v>
      </c>
      <c r="KD413" s="91">
        <f t="shared" si="2131"/>
        <v>0</v>
      </c>
      <c r="KS413" s="91">
        <f t="shared" si="2132"/>
        <v>0</v>
      </c>
      <c r="KT413" s="91">
        <f t="shared" si="2133"/>
        <v>0</v>
      </c>
      <c r="LI413" s="91">
        <f t="shared" si="2134"/>
        <v>0</v>
      </c>
      <c r="LJ413" s="91">
        <f t="shared" si="2135"/>
        <v>0</v>
      </c>
      <c r="LQ413" s="98">
        <v>1565</v>
      </c>
      <c r="LR413" s="98">
        <v>32865</v>
      </c>
      <c r="LY413" s="91">
        <f t="shared" si="2136"/>
        <v>1565</v>
      </c>
      <c r="LZ413" s="91">
        <f t="shared" si="2137"/>
        <v>32865</v>
      </c>
      <c r="MO413" s="91">
        <f t="shared" si="2138"/>
        <v>0</v>
      </c>
      <c r="MP413" s="91">
        <f t="shared" si="2139"/>
        <v>0</v>
      </c>
      <c r="NE413" s="91">
        <f t="shared" si="2140"/>
        <v>0</v>
      </c>
      <c r="NF413" s="91">
        <f t="shared" si="2141"/>
        <v>0</v>
      </c>
      <c r="NM413" s="98">
        <v>30500</v>
      </c>
      <c r="NN413" s="98">
        <v>549000</v>
      </c>
      <c r="NQ413" s="98">
        <v>20800</v>
      </c>
      <c r="NR413" s="98">
        <v>374400</v>
      </c>
      <c r="NU413" s="91">
        <f t="shared" si="2142"/>
        <v>51300</v>
      </c>
      <c r="NV413" s="91">
        <f t="shared" si="2143"/>
        <v>923400</v>
      </c>
      <c r="OK413" s="91">
        <f t="shared" si="2144"/>
        <v>0</v>
      </c>
      <c r="OL413" s="91">
        <f t="shared" si="2145"/>
        <v>0</v>
      </c>
      <c r="PA413" s="91">
        <f t="shared" si="2146"/>
        <v>0</v>
      </c>
      <c r="PB413" s="91">
        <f t="shared" si="2147"/>
        <v>0</v>
      </c>
      <c r="PI413" s="98">
        <v>49531</v>
      </c>
      <c r="PJ413" s="98">
        <v>990620</v>
      </c>
      <c r="PQ413" s="91">
        <f t="shared" si="2148"/>
        <v>49531</v>
      </c>
      <c r="PR413" s="91">
        <f t="shared" si="2149"/>
        <v>990620</v>
      </c>
      <c r="PY413" s="98">
        <v>3000</v>
      </c>
      <c r="PZ413" s="98">
        <v>51000</v>
      </c>
      <c r="QC413" s="98">
        <v>3110</v>
      </c>
      <c r="QD413" s="98">
        <v>52870</v>
      </c>
      <c r="QG413" s="91">
        <f t="shared" si="2150"/>
        <v>6110</v>
      </c>
      <c r="QH413" s="91">
        <f t="shared" si="2151"/>
        <v>103870</v>
      </c>
      <c r="QO413" s="98">
        <v>2040000</v>
      </c>
      <c r="QP413" s="98">
        <v>48960000</v>
      </c>
      <c r="QW413" s="91">
        <f t="shared" si="2152"/>
        <v>2040000</v>
      </c>
      <c r="QX413" s="91">
        <f t="shared" si="2153"/>
        <v>48960000</v>
      </c>
      <c r="RM413" s="91">
        <f t="shared" si="2154"/>
        <v>0</v>
      </c>
      <c r="RN413" s="91">
        <f t="shared" si="2155"/>
        <v>0</v>
      </c>
      <c r="RU413" s="98">
        <v>910</v>
      </c>
      <c r="RV413" s="98">
        <v>14560</v>
      </c>
      <c r="SC413" s="91">
        <f t="shared" si="2156"/>
        <v>910</v>
      </c>
      <c r="SD413" s="91">
        <f t="shared" si="2157"/>
        <v>14560</v>
      </c>
      <c r="SS413" s="91">
        <f t="shared" si="2158"/>
        <v>0</v>
      </c>
      <c r="ST413" s="91">
        <f t="shared" si="2159"/>
        <v>0</v>
      </c>
      <c r="TI413" s="91">
        <f t="shared" si="2160"/>
        <v>0</v>
      </c>
      <c r="TJ413" s="91">
        <f t="shared" si="2161"/>
        <v>0</v>
      </c>
      <c r="TY413" s="91">
        <f t="shared" si="2162"/>
        <v>0</v>
      </c>
      <c r="TZ413" s="91">
        <f t="shared" si="2163"/>
        <v>0</v>
      </c>
      <c r="UG413" s="98">
        <v>240</v>
      </c>
      <c r="UH413" s="98">
        <v>4800</v>
      </c>
      <c r="UO413" s="91">
        <f t="shared" si="2164"/>
        <v>240</v>
      </c>
      <c r="UP413" s="91">
        <f t="shared" si="2165"/>
        <v>4800</v>
      </c>
      <c r="VE413" s="91">
        <f t="shared" si="2166"/>
        <v>0</v>
      </c>
      <c r="VF413" s="91">
        <f t="shared" si="2167"/>
        <v>0</v>
      </c>
      <c r="VU413" s="91">
        <f t="shared" si="2168"/>
        <v>0</v>
      </c>
      <c r="VV413" s="91">
        <f t="shared" si="2169"/>
        <v>0</v>
      </c>
      <c r="WC413" s="98">
        <v>350</v>
      </c>
      <c r="WD413" s="98">
        <v>8750</v>
      </c>
      <c r="WK413" s="91">
        <f t="shared" si="2170"/>
        <v>350</v>
      </c>
      <c r="WL413" s="91">
        <f t="shared" si="2171"/>
        <v>8750</v>
      </c>
      <c r="WM413" s="89"/>
      <c r="WN413" s="87">
        <f t="shared" si="2172"/>
        <v>0</v>
      </c>
      <c r="WO413" s="87">
        <f t="shared" si="2173"/>
        <v>0</v>
      </c>
      <c r="WP413" s="87">
        <f t="shared" si="2174"/>
        <v>0</v>
      </c>
      <c r="WQ413" s="87">
        <f t="shared" si="2175"/>
        <v>0</v>
      </c>
      <c r="WR413" s="87">
        <f t="shared" si="2176"/>
        <v>0</v>
      </c>
      <c r="WS413" s="87">
        <f t="shared" si="2177"/>
        <v>0</v>
      </c>
      <c r="WT413" s="87">
        <f t="shared" si="2178"/>
        <v>2704059.9157430464</v>
      </c>
      <c r="WU413" s="87">
        <f t="shared" si="2179"/>
        <v>62096546.483374842</v>
      </c>
      <c r="WV413" s="87">
        <f t="shared" si="2180"/>
        <v>0</v>
      </c>
      <c r="WW413" s="87">
        <f t="shared" si="2181"/>
        <v>0</v>
      </c>
      <c r="WX413" s="87">
        <f t="shared" si="2182"/>
        <v>23910</v>
      </c>
      <c r="WY413" s="87">
        <f t="shared" si="2183"/>
        <v>427270</v>
      </c>
      <c r="WZ413" s="87">
        <f t="shared" si="2184"/>
        <v>5440</v>
      </c>
      <c r="XA413" s="87">
        <f t="shared" si="2185"/>
        <v>93570</v>
      </c>
      <c r="XB413" s="92">
        <f t="shared" si="2186"/>
        <v>2733409.9157430464</v>
      </c>
      <c r="XC413" s="92">
        <f t="shared" si="2187"/>
        <v>62617386.483374842</v>
      </c>
      <c r="XD413" s="89"/>
      <c r="XE413" s="92"/>
      <c r="XF413" s="92"/>
      <c r="XG413" s="89"/>
      <c r="XH413" s="92"/>
      <c r="XI413" s="92"/>
      <c r="XJ413" s="89"/>
      <c r="XK413" s="87"/>
      <c r="XL413" s="87"/>
      <c r="XM413" s="87"/>
      <c r="XN413" s="87"/>
      <c r="XO413" s="87"/>
      <c r="XP413" s="87"/>
      <c r="XQ413" s="87"/>
      <c r="XR413" s="92">
        <f t="shared" ca="1" si="2188"/>
        <v>0</v>
      </c>
      <c r="XS413" s="89"/>
      <c r="XT413" s="87"/>
      <c r="XU413" s="87"/>
      <c r="XV413" s="87"/>
      <c r="XW413" s="87"/>
      <c r="XX413" s="87"/>
      <c r="XY413" s="87"/>
      <c r="XZ413" s="87"/>
      <c r="YA413" s="92">
        <f t="shared" ca="1" si="2189"/>
        <v>0</v>
      </c>
      <c r="YB413" s="90"/>
      <c r="YC413" s="90"/>
      <c r="YD413" s="90"/>
      <c r="YE413" s="90"/>
      <c r="YF413" s="90"/>
      <c r="YG413" s="90"/>
      <c r="YH413" s="90"/>
      <c r="YI413" s="90"/>
      <c r="YJ413" s="90"/>
      <c r="YK413" s="90"/>
      <c r="YL413" s="90"/>
      <c r="YM413" s="90"/>
      <c r="YN413" s="90"/>
      <c r="YO413" s="90"/>
      <c r="YP413" s="90"/>
      <c r="YQ413" s="90"/>
      <c r="YR413" s="90"/>
      <c r="YS413" s="90"/>
      <c r="YT413" s="90"/>
      <c r="YU413" s="90"/>
      <c r="YV413" s="90"/>
      <c r="YW413" s="90"/>
      <c r="YX413" s="90"/>
      <c r="YY413" s="90"/>
      <c r="YZ413" s="90"/>
      <c r="ZA413" s="90"/>
      <c r="ZB413" s="90"/>
      <c r="ZC413" s="90"/>
      <c r="ZD413" s="90"/>
      <c r="ZE413" s="90"/>
      <c r="ZF413" s="90"/>
      <c r="ZG413" s="90"/>
      <c r="ZH413" s="90"/>
      <c r="ZI413" s="90"/>
      <c r="ZJ413" s="90"/>
      <c r="ZK413" s="90"/>
      <c r="ZL413" s="90"/>
      <c r="ZM413" s="90"/>
      <c r="ZN413" s="90"/>
      <c r="ZO413" s="90"/>
      <c r="ZP413" s="90"/>
      <c r="ZQ413" s="90"/>
      <c r="ZR413" s="90"/>
      <c r="ZS413" s="90"/>
      <c r="ZT413" s="90"/>
      <c r="ZU413" s="90"/>
      <c r="ZV413" s="90"/>
      <c r="ZW413" s="90"/>
      <c r="ZX413" s="90"/>
      <c r="ZY413" s="90"/>
      <c r="ZZ413" s="90"/>
      <c r="AAA413" s="90"/>
      <c r="AAB413" s="90"/>
      <c r="AAC413" s="90"/>
      <c r="AAD413" s="90"/>
      <c r="AAE413" s="90"/>
      <c r="AAF413" s="90"/>
      <c r="AAG413" s="90"/>
      <c r="AAH413" s="90"/>
      <c r="AAI413" s="90"/>
      <c r="AAJ413" s="90"/>
      <c r="AAK413" s="90"/>
      <c r="AAL413" s="90"/>
      <c r="AAM413" s="90"/>
      <c r="AAN413" s="90"/>
      <c r="AAO413" s="90"/>
      <c r="AAP413" s="90"/>
      <c r="AAQ413" s="90"/>
      <c r="AAR413" s="90"/>
      <c r="AAS413" s="90"/>
      <c r="AAT413" s="90"/>
      <c r="AAU413" s="90"/>
      <c r="AAV413" s="90"/>
      <c r="AAW413" s="90"/>
      <c r="AAX413" s="90"/>
      <c r="AAY413" s="90"/>
      <c r="AAZ413" s="90"/>
      <c r="ABA413" s="90"/>
      <c r="ABB413" s="90"/>
      <c r="ABC413" s="90"/>
      <c r="ABD413" s="90"/>
      <c r="ABE413" s="90"/>
      <c r="ABF413" s="90"/>
      <c r="ABG413" s="90"/>
      <c r="ABH413" s="90"/>
      <c r="ABI413" s="90"/>
      <c r="ABJ413" s="90"/>
      <c r="ABK413" s="90"/>
      <c r="ABL413" s="90"/>
      <c r="ABM413" s="90"/>
      <c r="ABN413" s="90"/>
      <c r="ABO413" s="90"/>
      <c r="ABP413" s="90"/>
      <c r="ABQ413" s="90"/>
      <c r="ABR413" s="90"/>
      <c r="ABS413" s="90"/>
      <c r="ABT413" s="90"/>
      <c r="ABU413" s="90"/>
      <c r="ABV413" s="90"/>
      <c r="ABW413" s="90"/>
      <c r="ABX413" s="90"/>
      <c r="ABY413" s="90"/>
      <c r="ABZ413" s="90"/>
      <c r="ACA413" s="90"/>
      <c r="ACB413" s="90"/>
      <c r="ACC413" s="90"/>
      <c r="ACD413" s="90"/>
      <c r="ACE413" s="90"/>
      <c r="ACF413" s="90"/>
      <c r="ACG413" s="90"/>
      <c r="ACH413" s="90"/>
      <c r="ACI413" s="90"/>
      <c r="ACJ413" s="90"/>
      <c r="ACK413" s="90"/>
      <c r="ACL413" s="90"/>
      <c r="ACM413" s="90"/>
      <c r="ACN413" s="90"/>
      <c r="ACO413" s="90"/>
      <c r="ACP413" s="90"/>
      <c r="ACQ413" s="90"/>
      <c r="ACR413" s="90"/>
      <c r="ACS413" s="90"/>
      <c r="ACT413" s="90"/>
      <c r="ACU413" s="90"/>
      <c r="ACV413" s="90"/>
      <c r="ACW413" s="90"/>
      <c r="ACX413" s="90"/>
      <c r="ACY413" s="90"/>
      <c r="ACZ413" s="90"/>
      <c r="ADA413" s="90"/>
      <c r="ADB413" s="90"/>
      <c r="ADC413" s="90"/>
      <c r="ADD413" s="90"/>
      <c r="ADE413" s="90"/>
      <c r="ADF413" s="90"/>
      <c r="ADG413" s="90"/>
      <c r="ADH413" s="90"/>
      <c r="ADI413" s="90"/>
      <c r="ADJ413" s="90"/>
      <c r="ADK413" s="90"/>
      <c r="ADL413" s="90"/>
      <c r="ADM413" s="90"/>
      <c r="ADN413" s="90"/>
      <c r="ADO413" s="90"/>
      <c r="ADP413" s="90"/>
      <c r="ADQ413" s="90"/>
      <c r="ADR413" s="90"/>
      <c r="ADS413" s="90"/>
      <c r="ADT413" s="90"/>
      <c r="ADU413" s="90"/>
      <c r="ADV413" s="90"/>
      <c r="ADW413" s="90"/>
      <c r="ADX413" s="90"/>
      <c r="ADY413" s="90"/>
      <c r="ADZ413" s="90"/>
      <c r="AEA413" s="90"/>
      <c r="AEB413" s="90"/>
      <c r="AEC413" s="90"/>
      <c r="AED413" s="90"/>
      <c r="AEE413" s="90"/>
      <c r="AEF413" s="90"/>
      <c r="AEG413" s="90"/>
      <c r="AEH413" s="90"/>
      <c r="AEI413" s="90"/>
      <c r="AEJ413" s="90"/>
      <c r="AEK413" s="90"/>
      <c r="AEL413" s="90"/>
      <c r="AEM413" s="90"/>
      <c r="AEN413" s="90"/>
      <c r="AEO413" s="90"/>
      <c r="AEP413" s="90"/>
      <c r="AEQ413" s="90"/>
      <c r="AER413" s="90"/>
      <c r="AES413" s="90"/>
      <c r="AET413" s="90"/>
      <c r="AEU413" s="90"/>
      <c r="AEV413" s="90"/>
      <c r="AEW413" s="90"/>
      <c r="AEX413" s="90"/>
      <c r="AEY413" s="90"/>
      <c r="AEZ413" s="90"/>
      <c r="AFA413" s="90"/>
      <c r="AFB413" s="90"/>
      <c r="AFC413" s="90"/>
      <c r="AFD413" s="90"/>
      <c r="AFE413" s="90"/>
      <c r="AFF413" s="90"/>
      <c r="AFG413" s="90"/>
      <c r="AFH413" s="90"/>
      <c r="AFI413" s="90"/>
      <c r="AFJ413" s="90"/>
      <c r="AFK413" s="90"/>
      <c r="AFL413" s="90"/>
      <c r="AFM413" s="90"/>
      <c r="AFN413" s="90"/>
      <c r="AFO413" s="90"/>
      <c r="AFP413" s="90"/>
      <c r="AFQ413" s="90"/>
      <c r="AFR413" s="90"/>
      <c r="AFS413" s="90"/>
      <c r="AFT413" s="90"/>
      <c r="AFU413" s="90"/>
      <c r="AFV413" s="90"/>
      <c r="AFW413" s="90"/>
      <c r="AFX413" s="90"/>
      <c r="AFY413" s="90"/>
      <c r="AFZ413" s="90"/>
      <c r="AGA413" s="90"/>
      <c r="AGB413" s="90"/>
      <c r="AGC413" s="90"/>
      <c r="AGD413" s="90"/>
      <c r="AGE413" s="90"/>
      <c r="AGF413" s="90"/>
      <c r="AGG413" s="90"/>
      <c r="AGH413" s="90"/>
      <c r="AGI413" s="90"/>
      <c r="AGJ413" s="90"/>
      <c r="AGK413" s="90"/>
      <c r="AGL413" s="90"/>
      <c r="AGM413" s="90"/>
      <c r="AGN413" s="90"/>
      <c r="AGO413" s="90"/>
      <c r="AGP413" s="90"/>
      <c r="AGQ413" s="90"/>
      <c r="AGR413" s="90"/>
      <c r="AGS413" s="90"/>
      <c r="AGT413" s="90"/>
      <c r="AGU413" s="90"/>
      <c r="AGV413" s="90"/>
      <c r="AGW413" s="90"/>
      <c r="AGX413" s="90"/>
      <c r="AGY413" s="90"/>
      <c r="AGZ413" s="90"/>
      <c r="AHA413" s="90"/>
      <c r="AHB413" s="90"/>
      <c r="AHC413" s="90"/>
      <c r="AHD413" s="90"/>
      <c r="AHE413" s="90"/>
      <c r="AHF413" s="90"/>
      <c r="AHG413" s="90"/>
      <c r="AHH413" s="90"/>
      <c r="AHI413" s="90"/>
      <c r="AHJ413" s="90"/>
      <c r="AHK413" s="90"/>
      <c r="AHL413" s="90"/>
      <c r="AHM413" s="90"/>
      <c r="AHN413" s="90"/>
      <c r="AHO413" s="90"/>
      <c r="AHP413" s="90"/>
      <c r="AHQ413" s="90"/>
      <c r="AHR413" s="90"/>
      <c r="AHS413" s="90"/>
      <c r="AHT413" s="90"/>
      <c r="AHU413" s="90"/>
      <c r="AHV413" s="90"/>
      <c r="AHW413" s="90"/>
      <c r="AHX413" s="90"/>
      <c r="AHY413" s="90"/>
      <c r="AHZ413" s="90"/>
      <c r="AIA413" s="90"/>
      <c r="AIB413" s="90"/>
      <c r="AIC413" s="90"/>
      <c r="AID413" s="90"/>
      <c r="AIE413" s="90"/>
      <c r="AIF413" s="90"/>
      <c r="AIG413" s="90"/>
      <c r="AIH413" s="90"/>
      <c r="AII413" s="90"/>
      <c r="AIJ413" s="90"/>
      <c r="AIK413" s="90"/>
      <c r="AIL413" s="90"/>
      <c r="AIM413" s="90"/>
      <c r="AIN413" s="90"/>
      <c r="AIO413" s="90"/>
      <c r="AIP413" s="90"/>
      <c r="AIQ413" s="90"/>
      <c r="AIR413" s="90"/>
      <c r="AIS413" s="90"/>
      <c r="AIT413" s="90"/>
      <c r="AIU413" s="90"/>
      <c r="AIV413" s="90"/>
      <c r="AIW413" s="90"/>
      <c r="AIX413" s="90"/>
      <c r="AIY413" s="90"/>
      <c r="AIZ413" s="90"/>
      <c r="AJA413" s="90"/>
      <c r="AJB413" s="90"/>
      <c r="AJC413" s="90"/>
      <c r="AJD413" s="90"/>
      <c r="AJE413" s="90"/>
      <c r="AJF413" s="90"/>
      <c r="AJG413" s="90"/>
      <c r="AJH413" s="90"/>
      <c r="AJI413" s="90"/>
      <c r="AJJ413" s="90"/>
      <c r="AJK413" s="90"/>
      <c r="AJL413" s="90"/>
      <c r="AJM413" s="90"/>
      <c r="AJN413" s="90"/>
      <c r="AJO413" s="90"/>
      <c r="AJP413" s="90"/>
      <c r="AJQ413" s="90"/>
      <c r="AJR413" s="90"/>
      <c r="AJS413" s="90"/>
      <c r="AJT413" s="90"/>
      <c r="AJU413" s="90"/>
      <c r="AJV413" s="90"/>
      <c r="AJW413" s="90"/>
      <c r="AJX413" s="90"/>
      <c r="AJY413" s="90"/>
      <c r="AJZ413" s="90"/>
      <c r="AKA413" s="90"/>
      <c r="AKB413" s="90"/>
      <c r="AKC413" s="90"/>
      <c r="AKD413" s="90"/>
      <c r="AKE413" s="90"/>
      <c r="AKF413" s="90"/>
      <c r="AKG413" s="90"/>
      <c r="AKH413" s="90"/>
      <c r="AKI413" s="90"/>
      <c r="AKJ413" s="90"/>
      <c r="AKK413" s="90"/>
      <c r="AKL413" s="90"/>
      <c r="AKM413" s="90"/>
      <c r="AKN413" s="90"/>
      <c r="AKO413" s="90"/>
      <c r="AKP413" s="90"/>
      <c r="AKQ413" s="90"/>
      <c r="AKR413" s="90"/>
      <c r="AKS413" s="90"/>
      <c r="AKT413" s="90"/>
      <c r="AKU413" s="90"/>
      <c r="AKV413" s="90"/>
      <c r="AKW413" s="90"/>
      <c r="AKX413" s="90"/>
      <c r="AKY413" s="90"/>
      <c r="AKZ413" s="90"/>
      <c r="ALA413" s="90"/>
      <c r="ALB413" s="90"/>
      <c r="ALC413" s="90"/>
      <c r="ALD413" s="90"/>
      <c r="ALE413" s="90"/>
      <c r="ALF413" s="90"/>
      <c r="ALG413" s="90"/>
      <c r="ALH413" s="90"/>
      <c r="ALI413" s="90"/>
      <c r="ALJ413" s="90"/>
      <c r="ALK413" s="90"/>
      <c r="ALL413" s="90"/>
      <c r="ALM413" s="90"/>
      <c r="ALN413" s="90"/>
      <c r="ALO413" s="90"/>
      <c r="ALP413" s="90"/>
      <c r="ALQ413" s="90"/>
      <c r="ALR413" s="90"/>
      <c r="ALS413" s="90"/>
      <c r="ALT413" s="90"/>
      <c r="ALU413" s="90"/>
      <c r="ALV413" s="90"/>
      <c r="ALW413" s="90"/>
      <c r="ALX413" s="90"/>
      <c r="ALY413" s="90"/>
      <c r="ALZ413" s="90"/>
      <c r="AMA413" s="90"/>
      <c r="AMB413" s="90"/>
      <c r="AMC413" s="90"/>
    </row>
    <row r="414" spans="1:1017">
      <c r="A414" s="98" t="s">
        <v>55</v>
      </c>
      <c r="B414" s="90" t="str">
        <f t="shared" si="2095"/>
        <v xml:space="preserve">Rajungan </v>
      </c>
      <c r="Q414" s="91">
        <f t="shared" si="2096"/>
        <v>0</v>
      </c>
      <c r="R414" s="91">
        <f t="shared" si="2097"/>
        <v>0</v>
      </c>
      <c r="AG414" s="91">
        <f t="shared" si="2098"/>
        <v>0</v>
      </c>
      <c r="AH414" s="91">
        <f t="shared" si="2099"/>
        <v>0</v>
      </c>
      <c r="AW414" s="91">
        <f t="shared" si="2100"/>
        <v>0</v>
      </c>
      <c r="AX414" s="91">
        <f t="shared" si="2101"/>
        <v>0</v>
      </c>
      <c r="BM414" s="91">
        <f t="shared" si="2102"/>
        <v>0</v>
      </c>
      <c r="BN414" s="91">
        <f t="shared" si="2103"/>
        <v>0</v>
      </c>
      <c r="CC414" s="91">
        <f t="shared" si="2104"/>
        <v>0</v>
      </c>
      <c r="CD414" s="91">
        <f t="shared" si="2105"/>
        <v>0</v>
      </c>
      <c r="CS414" s="91">
        <f t="shared" si="2106"/>
        <v>0</v>
      </c>
      <c r="CT414" s="91">
        <f t="shared" si="2107"/>
        <v>0</v>
      </c>
      <c r="DI414" s="91">
        <f t="shared" si="2108"/>
        <v>0</v>
      </c>
      <c r="DJ414" s="91">
        <f t="shared" si="2109"/>
        <v>0</v>
      </c>
      <c r="DY414" s="91">
        <f t="shared" si="2110"/>
        <v>0</v>
      </c>
      <c r="DZ414" s="91">
        <f t="shared" si="2111"/>
        <v>0</v>
      </c>
      <c r="EO414" s="91">
        <f t="shared" si="2112"/>
        <v>0</v>
      </c>
      <c r="EP414" s="91">
        <f t="shared" si="2113"/>
        <v>0</v>
      </c>
      <c r="FE414" s="91">
        <f t="shared" si="2114"/>
        <v>0</v>
      </c>
      <c r="FF414" s="91">
        <f t="shared" si="2115"/>
        <v>0</v>
      </c>
      <c r="FU414" s="91">
        <f t="shared" si="2116"/>
        <v>0</v>
      </c>
      <c r="FV414" s="91">
        <f t="shared" si="2117"/>
        <v>0</v>
      </c>
      <c r="GK414" s="91">
        <f t="shared" si="2118"/>
        <v>0</v>
      </c>
      <c r="GL414" s="91">
        <f t="shared" si="2119"/>
        <v>0</v>
      </c>
      <c r="HA414" s="91">
        <f t="shared" si="2120"/>
        <v>0</v>
      </c>
      <c r="HB414" s="91">
        <f t="shared" si="2121"/>
        <v>0</v>
      </c>
      <c r="HQ414" s="91">
        <f t="shared" si="2122"/>
        <v>0</v>
      </c>
      <c r="HR414" s="91">
        <f t="shared" si="2123"/>
        <v>0</v>
      </c>
      <c r="IG414" s="91">
        <f t="shared" si="2124"/>
        <v>0</v>
      </c>
      <c r="IH414" s="91">
        <f t="shared" si="2125"/>
        <v>0</v>
      </c>
      <c r="IW414" s="91">
        <f t="shared" si="2126"/>
        <v>0</v>
      </c>
      <c r="IX414" s="91">
        <f t="shared" si="2127"/>
        <v>0</v>
      </c>
      <c r="JM414" s="91">
        <f t="shared" si="2128"/>
        <v>0</v>
      </c>
      <c r="JN414" s="91">
        <f t="shared" si="2129"/>
        <v>0</v>
      </c>
      <c r="KC414" s="91">
        <f t="shared" si="2130"/>
        <v>0</v>
      </c>
      <c r="KD414" s="91">
        <f t="shared" si="2131"/>
        <v>0</v>
      </c>
      <c r="KS414" s="91">
        <f t="shared" si="2132"/>
        <v>0</v>
      </c>
      <c r="KT414" s="91">
        <f t="shared" si="2133"/>
        <v>0</v>
      </c>
      <c r="LI414" s="91">
        <f t="shared" si="2134"/>
        <v>0</v>
      </c>
      <c r="LJ414" s="91">
        <f t="shared" si="2135"/>
        <v>0</v>
      </c>
      <c r="LY414" s="91">
        <f t="shared" si="2136"/>
        <v>0</v>
      </c>
      <c r="LZ414" s="91">
        <f t="shared" si="2137"/>
        <v>0</v>
      </c>
      <c r="MO414" s="91">
        <f t="shared" si="2138"/>
        <v>0</v>
      </c>
      <c r="MP414" s="91">
        <f t="shared" si="2139"/>
        <v>0</v>
      </c>
      <c r="NE414" s="91">
        <f t="shared" si="2140"/>
        <v>0</v>
      </c>
      <c r="NF414" s="91">
        <f t="shared" si="2141"/>
        <v>0</v>
      </c>
      <c r="NU414" s="91">
        <f t="shared" si="2142"/>
        <v>0</v>
      </c>
      <c r="NV414" s="91">
        <f t="shared" si="2143"/>
        <v>0</v>
      </c>
      <c r="OK414" s="91">
        <f t="shared" si="2144"/>
        <v>0</v>
      </c>
      <c r="OL414" s="91">
        <f t="shared" si="2145"/>
        <v>0</v>
      </c>
      <c r="PA414" s="91">
        <f t="shared" si="2146"/>
        <v>0</v>
      </c>
      <c r="PB414" s="91">
        <f t="shared" si="2147"/>
        <v>0</v>
      </c>
      <c r="PQ414" s="91">
        <f t="shared" si="2148"/>
        <v>0</v>
      </c>
      <c r="PR414" s="91">
        <f t="shared" si="2149"/>
        <v>0</v>
      </c>
      <c r="QG414" s="91">
        <f t="shared" si="2150"/>
        <v>0</v>
      </c>
      <c r="QH414" s="91">
        <f t="shared" si="2151"/>
        <v>0</v>
      </c>
      <c r="QW414" s="91">
        <f t="shared" si="2152"/>
        <v>0</v>
      </c>
      <c r="QX414" s="91">
        <f t="shared" si="2153"/>
        <v>0</v>
      </c>
      <c r="RM414" s="91">
        <f t="shared" si="2154"/>
        <v>0</v>
      </c>
      <c r="RN414" s="91">
        <f t="shared" si="2155"/>
        <v>0</v>
      </c>
      <c r="SC414" s="91">
        <f t="shared" si="2156"/>
        <v>0</v>
      </c>
      <c r="SD414" s="91">
        <f t="shared" si="2157"/>
        <v>0</v>
      </c>
      <c r="SS414" s="91">
        <f t="shared" si="2158"/>
        <v>0</v>
      </c>
      <c r="ST414" s="91">
        <f t="shared" si="2159"/>
        <v>0</v>
      </c>
      <c r="TI414" s="91">
        <f t="shared" si="2160"/>
        <v>0</v>
      </c>
      <c r="TJ414" s="91">
        <f t="shared" si="2161"/>
        <v>0</v>
      </c>
      <c r="TY414" s="91">
        <f t="shared" si="2162"/>
        <v>0</v>
      </c>
      <c r="TZ414" s="91">
        <f t="shared" si="2163"/>
        <v>0</v>
      </c>
      <c r="UO414" s="91">
        <f t="shared" si="2164"/>
        <v>0</v>
      </c>
      <c r="UP414" s="91">
        <f t="shared" si="2165"/>
        <v>0</v>
      </c>
      <c r="VE414" s="91">
        <f t="shared" si="2166"/>
        <v>0</v>
      </c>
      <c r="VF414" s="91">
        <f t="shared" si="2167"/>
        <v>0</v>
      </c>
      <c r="VU414" s="91">
        <f t="shared" si="2168"/>
        <v>0</v>
      </c>
      <c r="VV414" s="91">
        <f t="shared" si="2169"/>
        <v>0</v>
      </c>
      <c r="WK414" s="91">
        <f t="shared" si="2170"/>
        <v>0</v>
      </c>
      <c r="WL414" s="91">
        <f t="shared" si="2171"/>
        <v>0</v>
      </c>
      <c r="WM414" s="89"/>
      <c r="WN414" s="87">
        <f t="shared" si="2172"/>
        <v>0</v>
      </c>
      <c r="WO414" s="87">
        <f t="shared" si="2173"/>
        <v>0</v>
      </c>
      <c r="WP414" s="87">
        <f t="shared" si="2174"/>
        <v>0</v>
      </c>
      <c r="WQ414" s="87">
        <f t="shared" si="2175"/>
        <v>0</v>
      </c>
      <c r="WR414" s="87">
        <f t="shared" si="2176"/>
        <v>0</v>
      </c>
      <c r="WS414" s="87">
        <f t="shared" si="2177"/>
        <v>0</v>
      </c>
      <c r="WT414" s="87">
        <f t="shared" si="2178"/>
        <v>0</v>
      </c>
      <c r="WU414" s="87">
        <f t="shared" si="2179"/>
        <v>0</v>
      </c>
      <c r="WV414" s="87">
        <f t="shared" si="2180"/>
        <v>0</v>
      </c>
      <c r="WW414" s="87">
        <f t="shared" si="2181"/>
        <v>0</v>
      </c>
      <c r="WX414" s="87">
        <f t="shared" si="2182"/>
        <v>0</v>
      </c>
      <c r="WY414" s="87">
        <f t="shared" si="2183"/>
        <v>0</v>
      </c>
      <c r="WZ414" s="87">
        <f t="shared" si="2184"/>
        <v>0</v>
      </c>
      <c r="XA414" s="87">
        <f t="shared" si="2185"/>
        <v>0</v>
      </c>
      <c r="XB414" s="92">
        <f t="shared" si="2186"/>
        <v>0</v>
      </c>
      <c r="XC414" s="92">
        <f t="shared" si="2187"/>
        <v>0</v>
      </c>
      <c r="XD414" s="89"/>
      <c r="XE414" s="92"/>
      <c r="XF414" s="92"/>
      <c r="XG414" s="89"/>
      <c r="XH414" s="92"/>
      <c r="XI414" s="92"/>
      <c r="XJ414" s="89"/>
      <c r="XK414" s="87"/>
      <c r="XL414" s="87"/>
      <c r="XM414" s="87"/>
      <c r="XN414" s="87"/>
      <c r="XO414" s="87"/>
      <c r="XP414" s="87"/>
      <c r="XQ414" s="87"/>
      <c r="XR414" s="92">
        <f t="shared" ca="1" si="2188"/>
        <v>0</v>
      </c>
      <c r="XS414" s="89"/>
      <c r="XT414" s="87"/>
      <c r="XU414" s="87"/>
      <c r="XV414" s="87"/>
      <c r="XW414" s="87"/>
      <c r="XX414" s="87"/>
      <c r="XY414" s="87"/>
      <c r="XZ414" s="87"/>
      <c r="YA414" s="92">
        <f t="shared" ca="1" si="2189"/>
        <v>0</v>
      </c>
      <c r="YB414" s="90"/>
      <c r="YC414" s="90"/>
      <c r="YD414" s="90"/>
      <c r="YE414" s="90"/>
      <c r="YF414" s="90"/>
      <c r="YG414" s="90"/>
      <c r="YH414" s="90"/>
      <c r="YI414" s="90"/>
      <c r="YJ414" s="90"/>
      <c r="YK414" s="90"/>
      <c r="YL414" s="90"/>
      <c r="YM414" s="90"/>
      <c r="YN414" s="90"/>
      <c r="YO414" s="90"/>
      <c r="YP414" s="90"/>
      <c r="YQ414" s="90"/>
      <c r="YR414" s="90"/>
      <c r="YS414" s="90"/>
      <c r="YT414" s="90"/>
      <c r="YU414" s="90"/>
      <c r="YV414" s="90"/>
      <c r="YW414" s="90"/>
      <c r="YX414" s="90"/>
      <c r="YY414" s="90"/>
      <c r="YZ414" s="90"/>
      <c r="ZA414" s="90"/>
      <c r="ZB414" s="90"/>
      <c r="ZC414" s="90"/>
      <c r="ZD414" s="90"/>
      <c r="ZE414" s="90"/>
      <c r="ZF414" s="90"/>
      <c r="ZG414" s="90"/>
      <c r="ZH414" s="90"/>
      <c r="ZI414" s="90"/>
      <c r="ZJ414" s="90"/>
      <c r="ZK414" s="90"/>
      <c r="ZL414" s="90"/>
      <c r="ZM414" s="90"/>
      <c r="ZN414" s="90"/>
      <c r="ZO414" s="90"/>
      <c r="ZP414" s="90"/>
      <c r="ZQ414" s="90"/>
      <c r="ZR414" s="90"/>
      <c r="ZS414" s="90"/>
      <c r="ZT414" s="90"/>
      <c r="ZU414" s="90"/>
      <c r="ZV414" s="90"/>
      <c r="ZW414" s="90"/>
      <c r="ZX414" s="90"/>
      <c r="ZY414" s="90"/>
      <c r="ZZ414" s="90"/>
      <c r="AAA414" s="90"/>
      <c r="AAB414" s="90"/>
      <c r="AAC414" s="90"/>
      <c r="AAD414" s="90"/>
      <c r="AAE414" s="90"/>
      <c r="AAF414" s="90"/>
      <c r="AAG414" s="90"/>
      <c r="AAH414" s="90"/>
      <c r="AAI414" s="90"/>
      <c r="AAJ414" s="90"/>
      <c r="AAK414" s="90"/>
      <c r="AAL414" s="90"/>
      <c r="AAM414" s="90"/>
      <c r="AAN414" s="90"/>
      <c r="AAO414" s="90"/>
      <c r="AAP414" s="90"/>
      <c r="AAQ414" s="90"/>
      <c r="AAR414" s="90"/>
      <c r="AAS414" s="90"/>
      <c r="AAT414" s="90"/>
      <c r="AAU414" s="90"/>
      <c r="AAV414" s="90"/>
      <c r="AAW414" s="90"/>
      <c r="AAX414" s="90"/>
      <c r="AAY414" s="90"/>
      <c r="AAZ414" s="90"/>
      <c r="ABA414" s="90"/>
      <c r="ABB414" s="90"/>
      <c r="ABC414" s="90"/>
      <c r="ABD414" s="90"/>
      <c r="ABE414" s="90"/>
      <c r="ABF414" s="90"/>
      <c r="ABG414" s="90"/>
      <c r="ABH414" s="90"/>
      <c r="ABI414" s="90"/>
      <c r="ABJ414" s="90"/>
      <c r="ABK414" s="90"/>
      <c r="ABL414" s="90"/>
      <c r="ABM414" s="90"/>
      <c r="ABN414" s="90"/>
      <c r="ABO414" s="90"/>
      <c r="ABP414" s="90"/>
      <c r="ABQ414" s="90"/>
      <c r="ABR414" s="90"/>
      <c r="ABS414" s="90"/>
      <c r="ABT414" s="90"/>
      <c r="ABU414" s="90"/>
      <c r="ABV414" s="90"/>
      <c r="ABW414" s="90"/>
      <c r="ABX414" s="90"/>
      <c r="ABY414" s="90"/>
      <c r="ABZ414" s="90"/>
      <c r="ACA414" s="90"/>
      <c r="ACB414" s="90"/>
      <c r="ACC414" s="90"/>
      <c r="ACD414" s="90"/>
      <c r="ACE414" s="90"/>
      <c r="ACF414" s="90"/>
      <c r="ACG414" s="90"/>
      <c r="ACH414" s="90"/>
      <c r="ACI414" s="90"/>
      <c r="ACJ414" s="90"/>
      <c r="ACK414" s="90"/>
      <c r="ACL414" s="90"/>
      <c r="ACM414" s="90"/>
      <c r="ACN414" s="90"/>
      <c r="ACO414" s="90"/>
      <c r="ACP414" s="90"/>
      <c r="ACQ414" s="90"/>
      <c r="ACR414" s="90"/>
      <c r="ACS414" s="90"/>
      <c r="ACT414" s="90"/>
      <c r="ACU414" s="90"/>
      <c r="ACV414" s="90"/>
      <c r="ACW414" s="90"/>
      <c r="ACX414" s="90"/>
      <c r="ACY414" s="90"/>
      <c r="ACZ414" s="90"/>
      <c r="ADA414" s="90"/>
      <c r="ADB414" s="90"/>
      <c r="ADC414" s="90"/>
      <c r="ADD414" s="90"/>
      <c r="ADE414" s="90"/>
      <c r="ADF414" s="90"/>
      <c r="ADG414" s="90"/>
      <c r="ADH414" s="90"/>
      <c r="ADI414" s="90"/>
      <c r="ADJ414" s="90"/>
      <c r="ADK414" s="90"/>
      <c r="ADL414" s="90"/>
      <c r="ADM414" s="90"/>
      <c r="ADN414" s="90"/>
      <c r="ADO414" s="90"/>
      <c r="ADP414" s="90"/>
      <c r="ADQ414" s="90"/>
      <c r="ADR414" s="90"/>
      <c r="ADS414" s="90"/>
      <c r="ADT414" s="90"/>
      <c r="ADU414" s="90"/>
      <c r="ADV414" s="90"/>
      <c r="ADW414" s="90"/>
      <c r="ADX414" s="90"/>
      <c r="ADY414" s="90"/>
      <c r="ADZ414" s="90"/>
      <c r="AEA414" s="90"/>
      <c r="AEB414" s="90"/>
      <c r="AEC414" s="90"/>
      <c r="AED414" s="90"/>
      <c r="AEE414" s="90"/>
      <c r="AEF414" s="90"/>
      <c r="AEG414" s="90"/>
      <c r="AEH414" s="90"/>
      <c r="AEI414" s="90"/>
      <c r="AEJ414" s="90"/>
      <c r="AEK414" s="90"/>
      <c r="AEL414" s="90"/>
      <c r="AEM414" s="90"/>
      <c r="AEN414" s="90"/>
      <c r="AEO414" s="90"/>
      <c r="AEP414" s="90"/>
      <c r="AEQ414" s="90"/>
      <c r="AER414" s="90"/>
      <c r="AES414" s="90"/>
      <c r="AET414" s="90"/>
      <c r="AEU414" s="90"/>
      <c r="AEV414" s="90"/>
      <c r="AEW414" s="90"/>
      <c r="AEX414" s="90"/>
      <c r="AEY414" s="90"/>
      <c r="AEZ414" s="90"/>
      <c r="AFA414" s="90"/>
      <c r="AFB414" s="90"/>
      <c r="AFC414" s="90"/>
      <c r="AFD414" s="90"/>
      <c r="AFE414" s="90"/>
      <c r="AFF414" s="90"/>
      <c r="AFG414" s="90"/>
      <c r="AFH414" s="90"/>
      <c r="AFI414" s="90"/>
      <c r="AFJ414" s="90"/>
      <c r="AFK414" s="90"/>
      <c r="AFL414" s="90"/>
      <c r="AFM414" s="90"/>
      <c r="AFN414" s="90"/>
      <c r="AFO414" s="90"/>
      <c r="AFP414" s="90"/>
      <c r="AFQ414" s="90"/>
      <c r="AFR414" s="90"/>
      <c r="AFS414" s="90"/>
      <c r="AFT414" s="90"/>
      <c r="AFU414" s="90"/>
      <c r="AFV414" s="90"/>
      <c r="AFW414" s="90"/>
      <c r="AFX414" s="90"/>
      <c r="AFY414" s="90"/>
      <c r="AFZ414" s="90"/>
      <c r="AGA414" s="90"/>
      <c r="AGB414" s="90"/>
      <c r="AGC414" s="90"/>
      <c r="AGD414" s="90"/>
      <c r="AGE414" s="90"/>
      <c r="AGF414" s="90"/>
      <c r="AGG414" s="90"/>
      <c r="AGH414" s="90"/>
      <c r="AGI414" s="90"/>
      <c r="AGJ414" s="90"/>
      <c r="AGK414" s="90"/>
      <c r="AGL414" s="90"/>
      <c r="AGM414" s="90"/>
      <c r="AGN414" s="90"/>
      <c r="AGO414" s="90"/>
      <c r="AGP414" s="90"/>
      <c r="AGQ414" s="90"/>
      <c r="AGR414" s="90"/>
      <c r="AGS414" s="90"/>
      <c r="AGT414" s="90"/>
      <c r="AGU414" s="90"/>
      <c r="AGV414" s="90"/>
      <c r="AGW414" s="90"/>
      <c r="AGX414" s="90"/>
      <c r="AGY414" s="90"/>
      <c r="AGZ414" s="90"/>
      <c r="AHA414" s="90"/>
      <c r="AHB414" s="90"/>
      <c r="AHC414" s="90"/>
      <c r="AHD414" s="90"/>
      <c r="AHE414" s="90"/>
      <c r="AHF414" s="90"/>
      <c r="AHG414" s="90"/>
      <c r="AHH414" s="90"/>
      <c r="AHI414" s="90"/>
      <c r="AHJ414" s="90"/>
      <c r="AHK414" s="90"/>
      <c r="AHL414" s="90"/>
      <c r="AHM414" s="90"/>
      <c r="AHN414" s="90"/>
      <c r="AHO414" s="90"/>
      <c r="AHP414" s="90"/>
      <c r="AHQ414" s="90"/>
      <c r="AHR414" s="90"/>
      <c r="AHS414" s="90"/>
      <c r="AHT414" s="90"/>
      <c r="AHU414" s="90"/>
      <c r="AHV414" s="90"/>
      <c r="AHW414" s="90"/>
      <c r="AHX414" s="90"/>
      <c r="AHY414" s="90"/>
      <c r="AHZ414" s="90"/>
      <c r="AIA414" s="90"/>
      <c r="AIB414" s="90"/>
      <c r="AIC414" s="90"/>
      <c r="AID414" s="90"/>
      <c r="AIE414" s="90"/>
      <c r="AIF414" s="90"/>
      <c r="AIG414" s="90"/>
      <c r="AIH414" s="90"/>
      <c r="AII414" s="90"/>
      <c r="AIJ414" s="90"/>
      <c r="AIK414" s="90"/>
      <c r="AIL414" s="90"/>
      <c r="AIM414" s="90"/>
      <c r="AIN414" s="90"/>
      <c r="AIO414" s="90"/>
      <c r="AIP414" s="90"/>
      <c r="AIQ414" s="90"/>
      <c r="AIR414" s="90"/>
      <c r="AIS414" s="90"/>
      <c r="AIT414" s="90"/>
      <c r="AIU414" s="90"/>
      <c r="AIV414" s="90"/>
      <c r="AIW414" s="90"/>
      <c r="AIX414" s="90"/>
      <c r="AIY414" s="90"/>
      <c r="AIZ414" s="90"/>
      <c r="AJA414" s="90"/>
      <c r="AJB414" s="90"/>
      <c r="AJC414" s="90"/>
      <c r="AJD414" s="90"/>
      <c r="AJE414" s="90"/>
      <c r="AJF414" s="90"/>
      <c r="AJG414" s="90"/>
      <c r="AJH414" s="90"/>
      <c r="AJI414" s="90"/>
      <c r="AJJ414" s="90"/>
      <c r="AJK414" s="90"/>
      <c r="AJL414" s="90"/>
      <c r="AJM414" s="90"/>
      <c r="AJN414" s="90"/>
      <c r="AJO414" s="90"/>
      <c r="AJP414" s="90"/>
      <c r="AJQ414" s="90"/>
      <c r="AJR414" s="90"/>
      <c r="AJS414" s="90"/>
      <c r="AJT414" s="90"/>
      <c r="AJU414" s="90"/>
      <c r="AJV414" s="90"/>
      <c r="AJW414" s="90"/>
      <c r="AJX414" s="90"/>
      <c r="AJY414" s="90"/>
      <c r="AJZ414" s="90"/>
      <c r="AKA414" s="90"/>
      <c r="AKB414" s="90"/>
      <c r="AKC414" s="90"/>
      <c r="AKD414" s="90"/>
      <c r="AKE414" s="90"/>
      <c r="AKF414" s="90"/>
      <c r="AKG414" s="90"/>
      <c r="AKH414" s="90"/>
      <c r="AKI414" s="90"/>
      <c r="AKJ414" s="90"/>
      <c r="AKK414" s="90"/>
      <c r="AKL414" s="90"/>
      <c r="AKM414" s="90"/>
      <c r="AKN414" s="90"/>
      <c r="AKO414" s="90"/>
      <c r="AKP414" s="90"/>
      <c r="AKQ414" s="90"/>
      <c r="AKR414" s="90"/>
      <c r="AKS414" s="90"/>
      <c r="AKT414" s="90"/>
      <c r="AKU414" s="90"/>
      <c r="AKV414" s="90"/>
      <c r="AKW414" s="90"/>
      <c r="AKX414" s="90"/>
      <c r="AKY414" s="90"/>
      <c r="AKZ414" s="90"/>
      <c r="ALA414" s="90"/>
      <c r="ALB414" s="90"/>
      <c r="ALC414" s="90"/>
      <c r="ALD414" s="90"/>
      <c r="ALE414" s="90"/>
      <c r="ALF414" s="90"/>
      <c r="ALG414" s="90"/>
      <c r="ALH414" s="90"/>
      <c r="ALI414" s="90"/>
      <c r="ALJ414" s="90"/>
      <c r="ALK414" s="90"/>
      <c r="ALL414" s="90"/>
      <c r="ALM414" s="90"/>
      <c r="ALN414" s="90"/>
      <c r="ALO414" s="90"/>
      <c r="ALP414" s="90"/>
      <c r="ALQ414" s="90"/>
      <c r="ALR414" s="90"/>
      <c r="ALS414" s="90"/>
      <c r="ALT414" s="90"/>
      <c r="ALU414" s="90"/>
      <c r="ALV414" s="90"/>
      <c r="ALW414" s="90"/>
      <c r="ALX414" s="90"/>
      <c r="ALY414" s="90"/>
      <c r="ALZ414" s="90"/>
      <c r="AMA414" s="90"/>
      <c r="AMB414" s="90"/>
      <c r="AMC414" s="90"/>
    </row>
    <row r="415" spans="1:1017">
      <c r="A415" s="98" t="s">
        <v>55</v>
      </c>
      <c r="B415" s="90" t="str">
        <f t="shared" si="2095"/>
        <v>Tawes</v>
      </c>
      <c r="Q415" s="91">
        <f t="shared" si="2096"/>
        <v>0</v>
      </c>
      <c r="R415" s="91">
        <f t="shared" si="2097"/>
        <v>0</v>
      </c>
      <c r="Y415" s="98">
        <v>1815</v>
      </c>
      <c r="Z415" s="98">
        <v>30855</v>
      </c>
      <c r="AG415" s="91">
        <f t="shared" si="2098"/>
        <v>1815</v>
      </c>
      <c r="AH415" s="91">
        <f t="shared" si="2099"/>
        <v>30855</v>
      </c>
      <c r="AW415" s="91">
        <f t="shared" si="2100"/>
        <v>0</v>
      </c>
      <c r="AX415" s="91">
        <f t="shared" si="2101"/>
        <v>0</v>
      </c>
      <c r="BE415" s="98">
        <v>3178</v>
      </c>
      <c r="BF415" s="98">
        <v>31780</v>
      </c>
      <c r="BG415" s="98">
        <v>143</v>
      </c>
      <c r="BH415" s="98">
        <v>1430</v>
      </c>
      <c r="BK415" s="98">
        <v>1744</v>
      </c>
      <c r="BL415" s="98">
        <v>17440</v>
      </c>
      <c r="BM415" s="91">
        <f t="shared" si="2102"/>
        <v>5065</v>
      </c>
      <c r="BN415" s="91">
        <f t="shared" si="2103"/>
        <v>50650</v>
      </c>
      <c r="BU415" s="98">
        <v>85</v>
      </c>
      <c r="BV415" s="98">
        <v>1700</v>
      </c>
      <c r="CC415" s="91">
        <f t="shared" si="2104"/>
        <v>85</v>
      </c>
      <c r="CD415" s="91">
        <f t="shared" si="2105"/>
        <v>1700</v>
      </c>
      <c r="CK415" s="98">
        <v>115099.91465794716</v>
      </c>
      <c r="CL415" s="98">
        <v>1726498.7198692074</v>
      </c>
      <c r="CS415" s="91">
        <f t="shared" si="2106"/>
        <v>115099.91465794716</v>
      </c>
      <c r="CT415" s="91">
        <f t="shared" si="2107"/>
        <v>1726498.7198692074</v>
      </c>
      <c r="DI415" s="91">
        <f t="shared" si="2108"/>
        <v>0</v>
      </c>
      <c r="DJ415" s="91">
        <f t="shared" si="2109"/>
        <v>0</v>
      </c>
      <c r="DY415" s="91">
        <f t="shared" si="2110"/>
        <v>0</v>
      </c>
      <c r="DZ415" s="91">
        <f t="shared" si="2111"/>
        <v>0</v>
      </c>
      <c r="EG415" s="98">
        <v>75</v>
      </c>
      <c r="EH415" s="98">
        <v>825</v>
      </c>
      <c r="EO415" s="91">
        <f t="shared" si="2112"/>
        <v>75</v>
      </c>
      <c r="EP415" s="91">
        <f t="shared" si="2113"/>
        <v>825</v>
      </c>
      <c r="EW415" s="98">
        <v>9614</v>
      </c>
      <c r="EX415" s="98">
        <v>192280</v>
      </c>
      <c r="FE415" s="91">
        <f t="shared" si="2114"/>
        <v>9614</v>
      </c>
      <c r="FF415" s="91">
        <f t="shared" si="2115"/>
        <v>192280</v>
      </c>
      <c r="FM415" s="98">
        <v>67</v>
      </c>
      <c r="FN415" s="98">
        <v>1340</v>
      </c>
      <c r="FU415" s="91">
        <f t="shared" si="2116"/>
        <v>67</v>
      </c>
      <c r="FV415" s="91">
        <f t="shared" si="2117"/>
        <v>1340</v>
      </c>
      <c r="GK415" s="91">
        <f t="shared" si="2118"/>
        <v>0</v>
      </c>
      <c r="GL415" s="91">
        <f t="shared" si="2119"/>
        <v>0</v>
      </c>
      <c r="HA415" s="91">
        <f t="shared" si="2120"/>
        <v>0</v>
      </c>
      <c r="HB415" s="91">
        <f t="shared" si="2121"/>
        <v>0</v>
      </c>
      <c r="HQ415" s="91">
        <f t="shared" si="2122"/>
        <v>0</v>
      </c>
      <c r="HR415" s="91">
        <f t="shared" si="2123"/>
        <v>0</v>
      </c>
      <c r="IG415" s="91">
        <f t="shared" si="2124"/>
        <v>0</v>
      </c>
      <c r="IH415" s="91">
        <f t="shared" si="2125"/>
        <v>0</v>
      </c>
      <c r="IW415" s="91">
        <f t="shared" si="2126"/>
        <v>0</v>
      </c>
      <c r="IX415" s="91">
        <f t="shared" si="2127"/>
        <v>0</v>
      </c>
      <c r="JM415" s="91">
        <f t="shared" si="2128"/>
        <v>0</v>
      </c>
      <c r="JN415" s="91">
        <f t="shared" si="2129"/>
        <v>0</v>
      </c>
      <c r="KC415" s="91">
        <f t="shared" si="2130"/>
        <v>0</v>
      </c>
      <c r="KD415" s="91">
        <f t="shared" si="2131"/>
        <v>0</v>
      </c>
      <c r="KS415" s="91">
        <f t="shared" si="2132"/>
        <v>0</v>
      </c>
      <c r="KT415" s="91">
        <f t="shared" si="2133"/>
        <v>0</v>
      </c>
      <c r="LI415" s="91">
        <f t="shared" si="2134"/>
        <v>0</v>
      </c>
      <c r="LJ415" s="91">
        <f t="shared" si="2135"/>
        <v>0</v>
      </c>
      <c r="LY415" s="91">
        <f t="shared" si="2136"/>
        <v>0</v>
      </c>
      <c r="LZ415" s="91">
        <f t="shared" si="2137"/>
        <v>0</v>
      </c>
      <c r="MO415" s="91">
        <f t="shared" si="2138"/>
        <v>0</v>
      </c>
      <c r="MP415" s="91">
        <f t="shared" si="2139"/>
        <v>0</v>
      </c>
      <c r="NE415" s="91">
        <f t="shared" si="2140"/>
        <v>0</v>
      </c>
      <c r="NF415" s="91">
        <f t="shared" si="2141"/>
        <v>0</v>
      </c>
      <c r="NQ415" s="98">
        <v>249</v>
      </c>
      <c r="NR415" s="98">
        <v>3984</v>
      </c>
      <c r="NU415" s="91">
        <f t="shared" si="2142"/>
        <v>249</v>
      </c>
      <c r="NV415" s="91">
        <f t="shared" si="2143"/>
        <v>3984</v>
      </c>
      <c r="OK415" s="91">
        <f t="shared" si="2144"/>
        <v>0</v>
      </c>
      <c r="OL415" s="91">
        <f t="shared" si="2145"/>
        <v>0</v>
      </c>
      <c r="PA415" s="91">
        <f t="shared" si="2146"/>
        <v>0</v>
      </c>
      <c r="PB415" s="91">
        <f t="shared" si="2147"/>
        <v>0</v>
      </c>
      <c r="PQ415" s="91">
        <f t="shared" si="2148"/>
        <v>0</v>
      </c>
      <c r="PR415" s="91">
        <f t="shared" si="2149"/>
        <v>0</v>
      </c>
      <c r="PY415" s="98">
        <v>188220</v>
      </c>
      <c r="PZ415" s="98">
        <v>2823300</v>
      </c>
      <c r="QA415" s="98">
        <v>209290</v>
      </c>
      <c r="QB415" s="98">
        <v>3139350</v>
      </c>
      <c r="QG415" s="91">
        <f t="shared" si="2150"/>
        <v>397510</v>
      </c>
      <c r="QH415" s="91">
        <f t="shared" si="2151"/>
        <v>5962650</v>
      </c>
      <c r="QW415" s="91">
        <f t="shared" si="2152"/>
        <v>0</v>
      </c>
      <c r="QX415" s="91">
        <f t="shared" si="2153"/>
        <v>0</v>
      </c>
      <c r="RM415" s="91">
        <f t="shared" si="2154"/>
        <v>0</v>
      </c>
      <c r="RN415" s="91">
        <f t="shared" si="2155"/>
        <v>0</v>
      </c>
      <c r="SC415" s="91">
        <f t="shared" si="2156"/>
        <v>0</v>
      </c>
      <c r="SD415" s="91">
        <f t="shared" si="2157"/>
        <v>0</v>
      </c>
      <c r="SS415" s="91">
        <f t="shared" si="2158"/>
        <v>0</v>
      </c>
      <c r="ST415" s="91">
        <f t="shared" si="2159"/>
        <v>0</v>
      </c>
      <c r="TI415" s="91">
        <f t="shared" si="2160"/>
        <v>0</v>
      </c>
      <c r="TJ415" s="91">
        <f t="shared" si="2161"/>
        <v>0</v>
      </c>
      <c r="TY415" s="91">
        <f t="shared" si="2162"/>
        <v>0</v>
      </c>
      <c r="TZ415" s="91">
        <f t="shared" si="2163"/>
        <v>0</v>
      </c>
      <c r="UO415" s="91">
        <f t="shared" si="2164"/>
        <v>0</v>
      </c>
      <c r="UP415" s="91">
        <f t="shared" si="2165"/>
        <v>0</v>
      </c>
      <c r="VE415" s="91">
        <f t="shared" si="2166"/>
        <v>0</v>
      </c>
      <c r="VF415" s="91">
        <f t="shared" si="2167"/>
        <v>0</v>
      </c>
      <c r="VU415" s="91">
        <f t="shared" si="2168"/>
        <v>0</v>
      </c>
      <c r="VV415" s="91">
        <f t="shared" si="2169"/>
        <v>0</v>
      </c>
      <c r="WK415" s="91">
        <f t="shared" si="2170"/>
        <v>0</v>
      </c>
      <c r="WL415" s="91">
        <f t="shared" si="2171"/>
        <v>0</v>
      </c>
      <c r="WM415" s="89"/>
      <c r="WN415" s="87">
        <f t="shared" si="2172"/>
        <v>0</v>
      </c>
      <c r="WO415" s="87">
        <f t="shared" si="2173"/>
        <v>0</v>
      </c>
      <c r="WP415" s="87">
        <f t="shared" si="2174"/>
        <v>0</v>
      </c>
      <c r="WQ415" s="87">
        <f t="shared" si="2175"/>
        <v>0</v>
      </c>
      <c r="WR415" s="87">
        <f t="shared" si="2176"/>
        <v>0</v>
      </c>
      <c r="WS415" s="87">
        <f t="shared" si="2177"/>
        <v>0</v>
      </c>
      <c r="WT415" s="87">
        <f t="shared" si="2178"/>
        <v>318153.91465794714</v>
      </c>
      <c r="WU415" s="87">
        <f t="shared" si="2179"/>
        <v>4808578.7198692076</v>
      </c>
      <c r="WV415" s="87">
        <f t="shared" si="2180"/>
        <v>209433</v>
      </c>
      <c r="WW415" s="87">
        <f t="shared" si="2181"/>
        <v>3140780</v>
      </c>
      <c r="WX415" s="87">
        <f t="shared" si="2182"/>
        <v>249</v>
      </c>
      <c r="WY415" s="87">
        <f t="shared" si="2183"/>
        <v>3984</v>
      </c>
      <c r="WZ415" s="87">
        <f t="shared" si="2184"/>
        <v>1744</v>
      </c>
      <c r="XA415" s="87">
        <f t="shared" si="2185"/>
        <v>17440</v>
      </c>
      <c r="XB415" s="92">
        <f t="shared" si="2186"/>
        <v>529579.91465794714</v>
      </c>
      <c r="XC415" s="92">
        <f t="shared" si="2187"/>
        <v>7970782.7198692076</v>
      </c>
      <c r="XD415" s="89"/>
      <c r="XE415" s="92"/>
      <c r="XF415" s="92"/>
      <c r="XG415" s="89"/>
      <c r="XH415" s="92"/>
      <c r="XI415" s="92"/>
      <c r="XJ415" s="89"/>
      <c r="XK415" s="87"/>
      <c r="XL415" s="87"/>
      <c r="XM415" s="87"/>
      <c r="XN415" s="87"/>
      <c r="XO415" s="87"/>
      <c r="XP415" s="87"/>
      <c r="XQ415" s="87"/>
      <c r="XR415" s="92">
        <f t="shared" ca="1" si="2188"/>
        <v>0</v>
      </c>
      <c r="XS415" s="89"/>
      <c r="XT415" s="87"/>
      <c r="XU415" s="87"/>
      <c r="XV415" s="87"/>
      <c r="XW415" s="87"/>
      <c r="XX415" s="87"/>
      <c r="XY415" s="87"/>
      <c r="XZ415" s="87"/>
      <c r="YA415" s="92">
        <f t="shared" ca="1" si="2189"/>
        <v>0</v>
      </c>
      <c r="YB415" s="90"/>
      <c r="YC415" s="90"/>
      <c r="YD415" s="90"/>
      <c r="YE415" s="90"/>
      <c r="YF415" s="90"/>
      <c r="YG415" s="90"/>
      <c r="YH415" s="90"/>
      <c r="YI415" s="90"/>
      <c r="YJ415" s="90"/>
      <c r="YK415" s="90"/>
      <c r="YL415" s="90"/>
      <c r="YM415" s="90"/>
      <c r="YN415" s="90"/>
      <c r="YO415" s="90"/>
      <c r="YP415" s="90"/>
      <c r="YQ415" s="90"/>
      <c r="YR415" s="90"/>
      <c r="YS415" s="90"/>
      <c r="YT415" s="90"/>
      <c r="YU415" s="90"/>
      <c r="YV415" s="90"/>
      <c r="YW415" s="90"/>
      <c r="YX415" s="90"/>
      <c r="YY415" s="90"/>
      <c r="YZ415" s="90"/>
      <c r="ZA415" s="90"/>
      <c r="ZB415" s="90"/>
      <c r="ZC415" s="90"/>
      <c r="ZD415" s="90"/>
      <c r="ZE415" s="90"/>
      <c r="ZF415" s="90"/>
      <c r="ZG415" s="90"/>
      <c r="ZH415" s="90"/>
      <c r="ZI415" s="90"/>
      <c r="ZJ415" s="90"/>
      <c r="ZK415" s="90"/>
      <c r="ZL415" s="90"/>
      <c r="ZM415" s="90"/>
      <c r="ZN415" s="90"/>
      <c r="ZO415" s="90"/>
      <c r="ZP415" s="90"/>
      <c r="ZQ415" s="90"/>
      <c r="ZR415" s="90"/>
      <c r="ZS415" s="90"/>
      <c r="ZT415" s="90"/>
      <c r="ZU415" s="90"/>
      <c r="ZV415" s="90"/>
      <c r="ZW415" s="90"/>
      <c r="ZX415" s="90"/>
      <c r="ZY415" s="90"/>
      <c r="ZZ415" s="90"/>
      <c r="AAA415" s="90"/>
      <c r="AAB415" s="90"/>
      <c r="AAC415" s="90"/>
      <c r="AAD415" s="90"/>
      <c r="AAE415" s="90"/>
      <c r="AAF415" s="90"/>
      <c r="AAG415" s="90"/>
      <c r="AAH415" s="90"/>
      <c r="AAI415" s="90"/>
      <c r="AAJ415" s="90"/>
      <c r="AAK415" s="90"/>
      <c r="AAL415" s="90"/>
      <c r="AAM415" s="90"/>
      <c r="AAN415" s="90"/>
      <c r="AAO415" s="90"/>
      <c r="AAP415" s="90"/>
      <c r="AAQ415" s="90"/>
      <c r="AAR415" s="90"/>
      <c r="AAS415" s="90"/>
      <c r="AAT415" s="90"/>
      <c r="AAU415" s="90"/>
      <c r="AAV415" s="90"/>
      <c r="AAW415" s="90"/>
      <c r="AAX415" s="90"/>
      <c r="AAY415" s="90"/>
      <c r="AAZ415" s="90"/>
      <c r="ABA415" s="90"/>
      <c r="ABB415" s="90"/>
      <c r="ABC415" s="90"/>
      <c r="ABD415" s="90"/>
      <c r="ABE415" s="90"/>
      <c r="ABF415" s="90"/>
      <c r="ABG415" s="90"/>
      <c r="ABH415" s="90"/>
      <c r="ABI415" s="90"/>
      <c r="ABJ415" s="90"/>
      <c r="ABK415" s="90"/>
      <c r="ABL415" s="90"/>
      <c r="ABM415" s="90"/>
      <c r="ABN415" s="90"/>
      <c r="ABO415" s="90"/>
      <c r="ABP415" s="90"/>
      <c r="ABQ415" s="90"/>
      <c r="ABR415" s="90"/>
      <c r="ABS415" s="90"/>
      <c r="ABT415" s="90"/>
      <c r="ABU415" s="90"/>
      <c r="ABV415" s="90"/>
      <c r="ABW415" s="90"/>
      <c r="ABX415" s="90"/>
      <c r="ABY415" s="90"/>
      <c r="ABZ415" s="90"/>
      <c r="ACA415" s="90"/>
      <c r="ACB415" s="90"/>
      <c r="ACC415" s="90"/>
      <c r="ACD415" s="90"/>
      <c r="ACE415" s="90"/>
      <c r="ACF415" s="90"/>
      <c r="ACG415" s="90"/>
      <c r="ACH415" s="90"/>
      <c r="ACI415" s="90"/>
      <c r="ACJ415" s="90"/>
      <c r="ACK415" s="90"/>
      <c r="ACL415" s="90"/>
      <c r="ACM415" s="90"/>
      <c r="ACN415" s="90"/>
      <c r="ACO415" s="90"/>
      <c r="ACP415" s="90"/>
      <c r="ACQ415" s="90"/>
      <c r="ACR415" s="90"/>
      <c r="ACS415" s="90"/>
      <c r="ACT415" s="90"/>
      <c r="ACU415" s="90"/>
      <c r="ACV415" s="90"/>
      <c r="ACW415" s="90"/>
      <c r="ACX415" s="90"/>
      <c r="ACY415" s="90"/>
      <c r="ACZ415" s="90"/>
      <c r="ADA415" s="90"/>
      <c r="ADB415" s="90"/>
      <c r="ADC415" s="90"/>
      <c r="ADD415" s="90"/>
      <c r="ADE415" s="90"/>
      <c r="ADF415" s="90"/>
      <c r="ADG415" s="90"/>
      <c r="ADH415" s="90"/>
      <c r="ADI415" s="90"/>
      <c r="ADJ415" s="90"/>
      <c r="ADK415" s="90"/>
      <c r="ADL415" s="90"/>
      <c r="ADM415" s="90"/>
      <c r="ADN415" s="90"/>
      <c r="ADO415" s="90"/>
      <c r="ADP415" s="90"/>
      <c r="ADQ415" s="90"/>
      <c r="ADR415" s="90"/>
      <c r="ADS415" s="90"/>
      <c r="ADT415" s="90"/>
      <c r="ADU415" s="90"/>
      <c r="ADV415" s="90"/>
      <c r="ADW415" s="90"/>
      <c r="ADX415" s="90"/>
      <c r="ADY415" s="90"/>
      <c r="ADZ415" s="90"/>
      <c r="AEA415" s="90"/>
      <c r="AEB415" s="90"/>
      <c r="AEC415" s="90"/>
      <c r="AED415" s="90"/>
      <c r="AEE415" s="90"/>
      <c r="AEF415" s="90"/>
      <c r="AEG415" s="90"/>
      <c r="AEH415" s="90"/>
      <c r="AEI415" s="90"/>
      <c r="AEJ415" s="90"/>
      <c r="AEK415" s="90"/>
      <c r="AEL415" s="90"/>
      <c r="AEM415" s="90"/>
      <c r="AEN415" s="90"/>
      <c r="AEO415" s="90"/>
      <c r="AEP415" s="90"/>
      <c r="AEQ415" s="90"/>
      <c r="AER415" s="90"/>
      <c r="AES415" s="90"/>
      <c r="AET415" s="90"/>
      <c r="AEU415" s="90"/>
      <c r="AEV415" s="90"/>
      <c r="AEW415" s="90"/>
      <c r="AEX415" s="90"/>
      <c r="AEY415" s="90"/>
      <c r="AEZ415" s="90"/>
      <c r="AFA415" s="90"/>
      <c r="AFB415" s="90"/>
      <c r="AFC415" s="90"/>
      <c r="AFD415" s="90"/>
      <c r="AFE415" s="90"/>
      <c r="AFF415" s="90"/>
      <c r="AFG415" s="90"/>
      <c r="AFH415" s="90"/>
      <c r="AFI415" s="90"/>
      <c r="AFJ415" s="90"/>
      <c r="AFK415" s="90"/>
      <c r="AFL415" s="90"/>
      <c r="AFM415" s="90"/>
      <c r="AFN415" s="90"/>
      <c r="AFO415" s="90"/>
      <c r="AFP415" s="90"/>
      <c r="AFQ415" s="90"/>
      <c r="AFR415" s="90"/>
      <c r="AFS415" s="90"/>
      <c r="AFT415" s="90"/>
      <c r="AFU415" s="90"/>
      <c r="AFV415" s="90"/>
      <c r="AFW415" s="90"/>
      <c r="AFX415" s="90"/>
      <c r="AFY415" s="90"/>
      <c r="AFZ415" s="90"/>
      <c r="AGA415" s="90"/>
      <c r="AGB415" s="90"/>
      <c r="AGC415" s="90"/>
      <c r="AGD415" s="90"/>
      <c r="AGE415" s="90"/>
      <c r="AGF415" s="90"/>
      <c r="AGG415" s="90"/>
      <c r="AGH415" s="90"/>
      <c r="AGI415" s="90"/>
      <c r="AGJ415" s="90"/>
      <c r="AGK415" s="90"/>
      <c r="AGL415" s="90"/>
      <c r="AGM415" s="90"/>
      <c r="AGN415" s="90"/>
      <c r="AGO415" s="90"/>
      <c r="AGP415" s="90"/>
      <c r="AGQ415" s="90"/>
      <c r="AGR415" s="90"/>
      <c r="AGS415" s="90"/>
      <c r="AGT415" s="90"/>
      <c r="AGU415" s="90"/>
      <c r="AGV415" s="90"/>
      <c r="AGW415" s="90"/>
      <c r="AGX415" s="90"/>
      <c r="AGY415" s="90"/>
      <c r="AGZ415" s="90"/>
      <c r="AHA415" s="90"/>
      <c r="AHB415" s="90"/>
      <c r="AHC415" s="90"/>
      <c r="AHD415" s="90"/>
      <c r="AHE415" s="90"/>
      <c r="AHF415" s="90"/>
      <c r="AHG415" s="90"/>
      <c r="AHH415" s="90"/>
      <c r="AHI415" s="90"/>
      <c r="AHJ415" s="90"/>
      <c r="AHK415" s="90"/>
      <c r="AHL415" s="90"/>
      <c r="AHM415" s="90"/>
      <c r="AHN415" s="90"/>
      <c r="AHO415" s="90"/>
      <c r="AHP415" s="90"/>
      <c r="AHQ415" s="90"/>
      <c r="AHR415" s="90"/>
      <c r="AHS415" s="90"/>
      <c r="AHT415" s="90"/>
      <c r="AHU415" s="90"/>
      <c r="AHV415" s="90"/>
      <c r="AHW415" s="90"/>
      <c r="AHX415" s="90"/>
      <c r="AHY415" s="90"/>
      <c r="AHZ415" s="90"/>
      <c r="AIA415" s="90"/>
      <c r="AIB415" s="90"/>
      <c r="AIC415" s="90"/>
      <c r="AID415" s="90"/>
      <c r="AIE415" s="90"/>
      <c r="AIF415" s="90"/>
      <c r="AIG415" s="90"/>
      <c r="AIH415" s="90"/>
      <c r="AII415" s="90"/>
      <c r="AIJ415" s="90"/>
      <c r="AIK415" s="90"/>
      <c r="AIL415" s="90"/>
      <c r="AIM415" s="90"/>
      <c r="AIN415" s="90"/>
      <c r="AIO415" s="90"/>
      <c r="AIP415" s="90"/>
      <c r="AIQ415" s="90"/>
      <c r="AIR415" s="90"/>
      <c r="AIS415" s="90"/>
      <c r="AIT415" s="90"/>
      <c r="AIU415" s="90"/>
      <c r="AIV415" s="90"/>
      <c r="AIW415" s="90"/>
      <c r="AIX415" s="90"/>
      <c r="AIY415" s="90"/>
      <c r="AIZ415" s="90"/>
      <c r="AJA415" s="90"/>
      <c r="AJB415" s="90"/>
      <c r="AJC415" s="90"/>
      <c r="AJD415" s="90"/>
      <c r="AJE415" s="90"/>
      <c r="AJF415" s="90"/>
      <c r="AJG415" s="90"/>
      <c r="AJH415" s="90"/>
      <c r="AJI415" s="90"/>
      <c r="AJJ415" s="90"/>
      <c r="AJK415" s="90"/>
      <c r="AJL415" s="90"/>
      <c r="AJM415" s="90"/>
      <c r="AJN415" s="90"/>
      <c r="AJO415" s="90"/>
      <c r="AJP415" s="90"/>
      <c r="AJQ415" s="90"/>
      <c r="AJR415" s="90"/>
      <c r="AJS415" s="90"/>
      <c r="AJT415" s="90"/>
      <c r="AJU415" s="90"/>
      <c r="AJV415" s="90"/>
      <c r="AJW415" s="90"/>
      <c r="AJX415" s="90"/>
      <c r="AJY415" s="90"/>
      <c r="AJZ415" s="90"/>
      <c r="AKA415" s="90"/>
      <c r="AKB415" s="90"/>
      <c r="AKC415" s="90"/>
      <c r="AKD415" s="90"/>
      <c r="AKE415" s="90"/>
      <c r="AKF415" s="90"/>
      <c r="AKG415" s="90"/>
      <c r="AKH415" s="90"/>
      <c r="AKI415" s="90"/>
      <c r="AKJ415" s="90"/>
      <c r="AKK415" s="90"/>
      <c r="AKL415" s="90"/>
      <c r="AKM415" s="90"/>
      <c r="AKN415" s="90"/>
      <c r="AKO415" s="90"/>
      <c r="AKP415" s="90"/>
      <c r="AKQ415" s="90"/>
      <c r="AKR415" s="90"/>
      <c r="AKS415" s="90"/>
      <c r="AKT415" s="90"/>
      <c r="AKU415" s="90"/>
      <c r="AKV415" s="90"/>
      <c r="AKW415" s="90"/>
      <c r="AKX415" s="90"/>
      <c r="AKY415" s="90"/>
      <c r="AKZ415" s="90"/>
      <c r="ALA415" s="90"/>
      <c r="ALB415" s="90"/>
      <c r="ALC415" s="90"/>
      <c r="ALD415" s="90"/>
      <c r="ALE415" s="90"/>
      <c r="ALF415" s="90"/>
      <c r="ALG415" s="90"/>
      <c r="ALH415" s="90"/>
      <c r="ALI415" s="90"/>
      <c r="ALJ415" s="90"/>
      <c r="ALK415" s="90"/>
      <c r="ALL415" s="90"/>
      <c r="ALM415" s="90"/>
      <c r="ALN415" s="90"/>
      <c r="ALO415" s="90"/>
      <c r="ALP415" s="90"/>
      <c r="ALQ415" s="90"/>
      <c r="ALR415" s="90"/>
      <c r="ALS415" s="90"/>
      <c r="ALT415" s="90"/>
      <c r="ALU415" s="90"/>
      <c r="ALV415" s="90"/>
      <c r="ALW415" s="90"/>
      <c r="ALX415" s="90"/>
      <c r="ALY415" s="90"/>
      <c r="ALZ415" s="90"/>
      <c r="AMA415" s="90"/>
      <c r="AMB415" s="90"/>
      <c r="AMC415" s="90"/>
    </row>
    <row r="416" spans="1:1017">
      <c r="A416" s="98" t="s">
        <v>55</v>
      </c>
      <c r="B416" s="90" t="str">
        <f t="shared" si="2095"/>
        <v>Teri</v>
      </c>
      <c r="Q416" s="91">
        <f t="shared" si="2096"/>
        <v>0</v>
      </c>
      <c r="R416" s="91">
        <f t="shared" si="2097"/>
        <v>0</v>
      </c>
      <c r="AG416" s="91">
        <f t="shared" si="2098"/>
        <v>0</v>
      </c>
      <c r="AH416" s="91">
        <f t="shared" si="2099"/>
        <v>0</v>
      </c>
      <c r="AW416" s="91">
        <f t="shared" si="2100"/>
        <v>0</v>
      </c>
      <c r="AX416" s="91">
        <f t="shared" si="2101"/>
        <v>0</v>
      </c>
      <c r="BM416" s="91">
        <f t="shared" si="2102"/>
        <v>0</v>
      </c>
      <c r="BN416" s="91">
        <f t="shared" si="2103"/>
        <v>0</v>
      </c>
      <c r="CC416" s="91">
        <f t="shared" si="2104"/>
        <v>0</v>
      </c>
      <c r="CD416" s="91">
        <f t="shared" si="2105"/>
        <v>0</v>
      </c>
      <c r="CS416" s="91">
        <f t="shared" si="2106"/>
        <v>0</v>
      </c>
      <c r="CT416" s="91">
        <f t="shared" si="2107"/>
        <v>0</v>
      </c>
      <c r="DI416" s="91">
        <f t="shared" si="2108"/>
        <v>0</v>
      </c>
      <c r="DJ416" s="91">
        <f t="shared" si="2109"/>
        <v>0</v>
      </c>
      <c r="DY416" s="91">
        <f t="shared" si="2110"/>
        <v>0</v>
      </c>
      <c r="DZ416" s="91">
        <f t="shared" si="2111"/>
        <v>0</v>
      </c>
      <c r="EO416" s="91">
        <f t="shared" si="2112"/>
        <v>0</v>
      </c>
      <c r="EP416" s="91">
        <f t="shared" si="2113"/>
        <v>0</v>
      </c>
      <c r="FE416" s="91">
        <f t="shared" si="2114"/>
        <v>0</v>
      </c>
      <c r="FF416" s="91">
        <f t="shared" si="2115"/>
        <v>0</v>
      </c>
      <c r="FU416" s="91">
        <f t="shared" si="2116"/>
        <v>0</v>
      </c>
      <c r="FV416" s="91">
        <f t="shared" si="2117"/>
        <v>0</v>
      </c>
      <c r="GK416" s="91">
        <f t="shared" si="2118"/>
        <v>0</v>
      </c>
      <c r="GL416" s="91">
        <f t="shared" si="2119"/>
        <v>0</v>
      </c>
      <c r="HA416" s="91">
        <f t="shared" si="2120"/>
        <v>0</v>
      </c>
      <c r="HB416" s="91">
        <f t="shared" si="2121"/>
        <v>0</v>
      </c>
      <c r="HQ416" s="91">
        <f t="shared" si="2122"/>
        <v>0</v>
      </c>
      <c r="HR416" s="91">
        <f t="shared" si="2123"/>
        <v>0</v>
      </c>
      <c r="IG416" s="91">
        <f t="shared" si="2124"/>
        <v>0</v>
      </c>
      <c r="IH416" s="91">
        <f t="shared" si="2125"/>
        <v>0</v>
      </c>
      <c r="IW416" s="91">
        <f t="shared" si="2126"/>
        <v>0</v>
      </c>
      <c r="IX416" s="91">
        <f t="shared" si="2127"/>
        <v>0</v>
      </c>
      <c r="JM416" s="91">
        <f t="shared" si="2128"/>
        <v>0</v>
      </c>
      <c r="JN416" s="91">
        <f t="shared" si="2129"/>
        <v>0</v>
      </c>
      <c r="KC416" s="91">
        <f t="shared" si="2130"/>
        <v>0</v>
      </c>
      <c r="KD416" s="91">
        <f t="shared" si="2131"/>
        <v>0</v>
      </c>
      <c r="KS416" s="91">
        <f t="shared" si="2132"/>
        <v>0</v>
      </c>
      <c r="KT416" s="91">
        <f t="shared" si="2133"/>
        <v>0</v>
      </c>
      <c r="LI416" s="91">
        <f t="shared" si="2134"/>
        <v>0</v>
      </c>
      <c r="LJ416" s="91">
        <f t="shared" si="2135"/>
        <v>0</v>
      </c>
      <c r="LY416" s="91">
        <f t="shared" si="2136"/>
        <v>0</v>
      </c>
      <c r="LZ416" s="91">
        <f t="shared" si="2137"/>
        <v>0</v>
      </c>
      <c r="MO416" s="91">
        <f t="shared" si="2138"/>
        <v>0</v>
      </c>
      <c r="MP416" s="91">
        <f t="shared" si="2139"/>
        <v>0</v>
      </c>
      <c r="NE416" s="91">
        <f t="shared" si="2140"/>
        <v>0</v>
      </c>
      <c r="NF416" s="91">
        <f t="shared" si="2141"/>
        <v>0</v>
      </c>
      <c r="NU416" s="91">
        <f t="shared" si="2142"/>
        <v>0</v>
      </c>
      <c r="NV416" s="91">
        <f t="shared" si="2143"/>
        <v>0</v>
      </c>
      <c r="OK416" s="91">
        <f t="shared" si="2144"/>
        <v>0</v>
      </c>
      <c r="OL416" s="91">
        <f t="shared" si="2145"/>
        <v>0</v>
      </c>
      <c r="PA416" s="91">
        <f t="shared" si="2146"/>
        <v>0</v>
      </c>
      <c r="PB416" s="91">
        <f t="shared" si="2147"/>
        <v>0</v>
      </c>
      <c r="PQ416" s="91">
        <f t="shared" si="2148"/>
        <v>0</v>
      </c>
      <c r="PR416" s="91">
        <f t="shared" si="2149"/>
        <v>0</v>
      </c>
      <c r="QG416" s="91">
        <f t="shared" si="2150"/>
        <v>0</v>
      </c>
      <c r="QH416" s="91">
        <f t="shared" si="2151"/>
        <v>0</v>
      </c>
      <c r="QW416" s="91">
        <f t="shared" si="2152"/>
        <v>0</v>
      </c>
      <c r="QX416" s="91">
        <f t="shared" si="2153"/>
        <v>0</v>
      </c>
      <c r="RM416" s="91">
        <f t="shared" si="2154"/>
        <v>0</v>
      </c>
      <c r="RN416" s="91">
        <f t="shared" si="2155"/>
        <v>0</v>
      </c>
      <c r="SC416" s="91">
        <f t="shared" si="2156"/>
        <v>0</v>
      </c>
      <c r="SD416" s="91">
        <f t="shared" si="2157"/>
        <v>0</v>
      </c>
      <c r="SS416" s="91">
        <f t="shared" si="2158"/>
        <v>0</v>
      </c>
      <c r="ST416" s="91">
        <f t="shared" si="2159"/>
        <v>0</v>
      </c>
      <c r="TI416" s="91">
        <f t="shared" si="2160"/>
        <v>0</v>
      </c>
      <c r="TJ416" s="91">
        <f t="shared" si="2161"/>
        <v>0</v>
      </c>
      <c r="TY416" s="91">
        <f t="shared" si="2162"/>
        <v>0</v>
      </c>
      <c r="TZ416" s="91">
        <f t="shared" si="2163"/>
        <v>0</v>
      </c>
      <c r="UO416" s="91">
        <f t="shared" si="2164"/>
        <v>0</v>
      </c>
      <c r="UP416" s="91">
        <f t="shared" si="2165"/>
        <v>0</v>
      </c>
      <c r="VE416" s="91">
        <f t="shared" si="2166"/>
        <v>0</v>
      </c>
      <c r="VF416" s="91">
        <f t="shared" si="2167"/>
        <v>0</v>
      </c>
      <c r="VM416" s="90"/>
      <c r="VU416" s="91">
        <f t="shared" si="2168"/>
        <v>0</v>
      </c>
      <c r="VV416" s="91">
        <f t="shared" si="2169"/>
        <v>0</v>
      </c>
      <c r="WK416" s="91">
        <f t="shared" si="2170"/>
        <v>0</v>
      </c>
      <c r="WL416" s="91">
        <f t="shared" si="2171"/>
        <v>0</v>
      </c>
      <c r="WM416" s="89"/>
      <c r="WN416" s="87">
        <f t="shared" si="2172"/>
        <v>0</v>
      </c>
      <c r="WO416" s="87">
        <f t="shared" si="2173"/>
        <v>0</v>
      </c>
      <c r="WP416" s="87">
        <f t="shared" si="2174"/>
        <v>0</v>
      </c>
      <c r="WQ416" s="87">
        <f t="shared" si="2175"/>
        <v>0</v>
      </c>
      <c r="WR416" s="87">
        <f t="shared" si="2176"/>
        <v>0</v>
      </c>
      <c r="WS416" s="87">
        <f t="shared" si="2177"/>
        <v>0</v>
      </c>
      <c r="WT416" s="87">
        <f t="shared" si="2178"/>
        <v>0</v>
      </c>
      <c r="WU416" s="87">
        <f t="shared" si="2179"/>
        <v>0</v>
      </c>
      <c r="WV416" s="87">
        <f t="shared" si="2180"/>
        <v>0</v>
      </c>
      <c r="WW416" s="87">
        <f t="shared" si="2181"/>
        <v>0</v>
      </c>
      <c r="WX416" s="87">
        <f t="shared" si="2182"/>
        <v>0</v>
      </c>
      <c r="WY416" s="87">
        <f t="shared" si="2183"/>
        <v>0</v>
      </c>
      <c r="WZ416" s="87">
        <f t="shared" si="2184"/>
        <v>0</v>
      </c>
      <c r="XA416" s="87">
        <f t="shared" si="2185"/>
        <v>0</v>
      </c>
      <c r="XB416" s="92">
        <f t="shared" si="2186"/>
        <v>0</v>
      </c>
      <c r="XC416" s="92">
        <f t="shared" si="2187"/>
        <v>0</v>
      </c>
      <c r="XD416" s="89"/>
      <c r="XE416" s="92"/>
      <c r="XF416" s="92"/>
      <c r="XG416" s="89"/>
      <c r="XH416" s="92"/>
      <c r="XI416" s="92"/>
      <c r="XJ416" s="89"/>
      <c r="XK416" s="87"/>
      <c r="XL416" s="87"/>
      <c r="XM416" s="87"/>
      <c r="XN416" s="87"/>
      <c r="XO416" s="87"/>
      <c r="XP416" s="87"/>
      <c r="XQ416" s="87"/>
      <c r="XR416" s="92">
        <f t="shared" ca="1" si="2188"/>
        <v>0</v>
      </c>
      <c r="XS416" s="89"/>
      <c r="XT416" s="87"/>
      <c r="XU416" s="87"/>
      <c r="XV416" s="87"/>
      <c r="XW416" s="87"/>
      <c r="XX416" s="87"/>
      <c r="XY416" s="87"/>
      <c r="XZ416" s="87"/>
      <c r="YA416" s="92">
        <f t="shared" ca="1" si="2189"/>
        <v>0</v>
      </c>
      <c r="YB416" s="90"/>
      <c r="YC416" s="90"/>
      <c r="YD416" s="90"/>
      <c r="YE416" s="90"/>
      <c r="YF416" s="90"/>
      <c r="YG416" s="90"/>
      <c r="YH416" s="90"/>
      <c r="YI416" s="90"/>
      <c r="YJ416" s="90"/>
      <c r="YK416" s="90"/>
      <c r="YL416" s="90"/>
      <c r="YM416" s="90"/>
      <c r="YN416" s="90"/>
      <c r="YO416" s="90"/>
      <c r="YP416" s="90"/>
      <c r="YQ416" s="90"/>
      <c r="YR416" s="90"/>
      <c r="YS416" s="90"/>
      <c r="YT416" s="90"/>
      <c r="YU416" s="90"/>
      <c r="YV416" s="90"/>
      <c r="YW416" s="90"/>
      <c r="YX416" s="90"/>
      <c r="YY416" s="90"/>
      <c r="YZ416" s="90"/>
      <c r="ZA416" s="90"/>
      <c r="ZB416" s="90"/>
      <c r="ZC416" s="90"/>
      <c r="ZD416" s="90"/>
      <c r="ZE416" s="90"/>
      <c r="ZF416" s="90"/>
      <c r="ZG416" s="90"/>
      <c r="ZH416" s="90"/>
      <c r="ZI416" s="90"/>
      <c r="ZJ416" s="90"/>
      <c r="ZK416" s="90"/>
      <c r="ZL416" s="90"/>
      <c r="ZM416" s="90"/>
      <c r="ZN416" s="90"/>
      <c r="ZO416" s="90"/>
      <c r="ZP416" s="90"/>
      <c r="ZQ416" s="90"/>
      <c r="ZR416" s="90"/>
      <c r="ZS416" s="90"/>
      <c r="ZT416" s="90"/>
      <c r="ZU416" s="90"/>
      <c r="ZV416" s="90"/>
      <c r="ZW416" s="90"/>
      <c r="ZX416" s="90"/>
      <c r="ZY416" s="90"/>
      <c r="ZZ416" s="90"/>
      <c r="AAA416" s="90"/>
      <c r="AAB416" s="90"/>
      <c r="AAC416" s="90"/>
      <c r="AAD416" s="90"/>
      <c r="AAE416" s="90"/>
      <c r="AAF416" s="90"/>
      <c r="AAG416" s="90"/>
      <c r="AAH416" s="90"/>
      <c r="AAI416" s="90"/>
      <c r="AAJ416" s="90"/>
      <c r="AAK416" s="90"/>
      <c r="AAL416" s="90"/>
      <c r="AAM416" s="90"/>
      <c r="AAN416" s="90"/>
      <c r="AAO416" s="90"/>
      <c r="AAP416" s="90"/>
      <c r="AAQ416" s="90"/>
      <c r="AAR416" s="90"/>
      <c r="AAS416" s="90"/>
      <c r="AAT416" s="90"/>
      <c r="AAU416" s="90"/>
      <c r="AAV416" s="90"/>
      <c r="AAW416" s="90"/>
      <c r="AAX416" s="90"/>
      <c r="AAY416" s="90"/>
      <c r="AAZ416" s="90"/>
      <c r="ABA416" s="90"/>
      <c r="ABB416" s="90"/>
      <c r="ABC416" s="90"/>
      <c r="ABD416" s="90"/>
      <c r="ABE416" s="90"/>
      <c r="ABF416" s="90"/>
      <c r="ABG416" s="90"/>
      <c r="ABH416" s="90"/>
      <c r="ABI416" s="90"/>
      <c r="ABJ416" s="90"/>
      <c r="ABK416" s="90"/>
      <c r="ABL416" s="90"/>
      <c r="ABM416" s="90"/>
      <c r="ABN416" s="90"/>
      <c r="ABO416" s="90"/>
      <c r="ABP416" s="90"/>
      <c r="ABQ416" s="90"/>
      <c r="ABR416" s="90"/>
      <c r="ABS416" s="90"/>
      <c r="ABT416" s="90"/>
      <c r="ABU416" s="90"/>
      <c r="ABV416" s="90"/>
      <c r="ABW416" s="90"/>
      <c r="ABX416" s="90"/>
      <c r="ABY416" s="90"/>
      <c r="ABZ416" s="90"/>
      <c r="ACA416" s="90"/>
      <c r="ACB416" s="90"/>
      <c r="ACC416" s="90"/>
      <c r="ACD416" s="90"/>
      <c r="ACE416" s="90"/>
      <c r="ACF416" s="90"/>
      <c r="ACG416" s="90"/>
      <c r="ACH416" s="90"/>
      <c r="ACI416" s="90"/>
      <c r="ACJ416" s="90"/>
      <c r="ACK416" s="90"/>
      <c r="ACL416" s="90"/>
      <c r="ACM416" s="90"/>
      <c r="ACN416" s="90"/>
      <c r="ACO416" s="90"/>
      <c r="ACP416" s="90"/>
      <c r="ACQ416" s="90"/>
      <c r="ACR416" s="90"/>
      <c r="ACS416" s="90"/>
      <c r="ACT416" s="90"/>
      <c r="ACU416" s="90"/>
      <c r="ACV416" s="90"/>
      <c r="ACW416" s="90"/>
      <c r="ACX416" s="90"/>
      <c r="ACY416" s="90"/>
      <c r="ACZ416" s="90"/>
      <c r="ADA416" s="90"/>
      <c r="ADB416" s="90"/>
      <c r="ADC416" s="90"/>
      <c r="ADD416" s="90"/>
      <c r="ADE416" s="90"/>
      <c r="ADF416" s="90"/>
      <c r="ADG416" s="90"/>
      <c r="ADH416" s="90"/>
      <c r="ADI416" s="90"/>
      <c r="ADJ416" s="90"/>
      <c r="ADK416" s="90"/>
      <c r="ADL416" s="90"/>
      <c r="ADM416" s="90"/>
      <c r="ADN416" s="90"/>
      <c r="ADO416" s="90"/>
      <c r="ADP416" s="90"/>
      <c r="ADQ416" s="90"/>
      <c r="ADR416" s="90"/>
      <c r="ADS416" s="90"/>
      <c r="ADT416" s="90"/>
      <c r="ADU416" s="90"/>
      <c r="ADV416" s="90"/>
      <c r="ADW416" s="90"/>
      <c r="ADX416" s="90"/>
      <c r="ADY416" s="90"/>
      <c r="ADZ416" s="90"/>
      <c r="AEA416" s="90"/>
      <c r="AEB416" s="90"/>
      <c r="AEC416" s="90"/>
      <c r="AED416" s="90"/>
      <c r="AEE416" s="90"/>
      <c r="AEF416" s="90"/>
      <c r="AEG416" s="90"/>
      <c r="AEH416" s="90"/>
      <c r="AEI416" s="90"/>
      <c r="AEJ416" s="90"/>
      <c r="AEK416" s="90"/>
      <c r="AEL416" s="90"/>
      <c r="AEM416" s="90"/>
      <c r="AEN416" s="90"/>
      <c r="AEO416" s="90"/>
      <c r="AEP416" s="90"/>
      <c r="AEQ416" s="90"/>
      <c r="AER416" s="90"/>
      <c r="AES416" s="90"/>
      <c r="AET416" s="90"/>
      <c r="AEU416" s="90"/>
      <c r="AEV416" s="90"/>
      <c r="AEW416" s="90"/>
      <c r="AEX416" s="90"/>
      <c r="AEY416" s="90"/>
      <c r="AEZ416" s="90"/>
      <c r="AFA416" s="90"/>
      <c r="AFB416" s="90"/>
      <c r="AFC416" s="90"/>
      <c r="AFD416" s="90"/>
      <c r="AFE416" s="90"/>
      <c r="AFF416" s="90"/>
      <c r="AFG416" s="90"/>
      <c r="AFH416" s="90"/>
      <c r="AFI416" s="90"/>
      <c r="AFJ416" s="90"/>
      <c r="AFK416" s="90"/>
      <c r="AFL416" s="90"/>
      <c r="AFM416" s="90"/>
      <c r="AFN416" s="90"/>
      <c r="AFO416" s="90"/>
      <c r="AFP416" s="90"/>
      <c r="AFQ416" s="90"/>
      <c r="AFR416" s="90"/>
      <c r="AFS416" s="90"/>
      <c r="AFT416" s="90"/>
      <c r="AFU416" s="90"/>
      <c r="AFV416" s="90"/>
      <c r="AFW416" s="90"/>
      <c r="AFX416" s="90"/>
      <c r="AFY416" s="90"/>
      <c r="AFZ416" s="90"/>
      <c r="AGA416" s="90"/>
      <c r="AGB416" s="90"/>
      <c r="AGC416" s="90"/>
      <c r="AGD416" s="90"/>
      <c r="AGE416" s="90"/>
      <c r="AGF416" s="90"/>
      <c r="AGG416" s="90"/>
      <c r="AGH416" s="90"/>
      <c r="AGI416" s="90"/>
      <c r="AGJ416" s="90"/>
      <c r="AGK416" s="90"/>
      <c r="AGL416" s="90"/>
      <c r="AGM416" s="90"/>
      <c r="AGN416" s="90"/>
      <c r="AGO416" s="90"/>
      <c r="AGP416" s="90"/>
      <c r="AGQ416" s="90"/>
      <c r="AGR416" s="90"/>
      <c r="AGS416" s="90"/>
      <c r="AGT416" s="90"/>
      <c r="AGU416" s="90"/>
      <c r="AGV416" s="90"/>
      <c r="AGW416" s="90"/>
      <c r="AGX416" s="90"/>
      <c r="AGY416" s="90"/>
      <c r="AGZ416" s="90"/>
      <c r="AHA416" s="90"/>
      <c r="AHB416" s="90"/>
      <c r="AHC416" s="90"/>
      <c r="AHD416" s="90"/>
      <c r="AHE416" s="90"/>
      <c r="AHF416" s="90"/>
      <c r="AHG416" s="90"/>
      <c r="AHH416" s="90"/>
      <c r="AHI416" s="90"/>
      <c r="AHJ416" s="90"/>
      <c r="AHK416" s="90"/>
      <c r="AHL416" s="90"/>
      <c r="AHM416" s="90"/>
      <c r="AHN416" s="90"/>
      <c r="AHO416" s="90"/>
      <c r="AHP416" s="90"/>
      <c r="AHQ416" s="90"/>
      <c r="AHR416" s="90"/>
      <c r="AHS416" s="90"/>
      <c r="AHT416" s="90"/>
      <c r="AHU416" s="90"/>
      <c r="AHV416" s="90"/>
      <c r="AHW416" s="90"/>
      <c r="AHX416" s="90"/>
      <c r="AHY416" s="90"/>
      <c r="AHZ416" s="90"/>
      <c r="AIA416" s="90"/>
      <c r="AIB416" s="90"/>
      <c r="AIC416" s="90"/>
      <c r="AID416" s="90"/>
      <c r="AIE416" s="90"/>
      <c r="AIF416" s="90"/>
      <c r="AIG416" s="90"/>
      <c r="AIH416" s="90"/>
      <c r="AII416" s="90"/>
      <c r="AIJ416" s="90"/>
      <c r="AIK416" s="90"/>
      <c r="AIL416" s="90"/>
      <c r="AIM416" s="90"/>
      <c r="AIN416" s="90"/>
      <c r="AIO416" s="90"/>
      <c r="AIP416" s="90"/>
      <c r="AIQ416" s="90"/>
      <c r="AIR416" s="90"/>
      <c r="AIS416" s="90"/>
      <c r="AIT416" s="90"/>
      <c r="AIU416" s="90"/>
      <c r="AIV416" s="90"/>
      <c r="AIW416" s="90"/>
      <c r="AIX416" s="90"/>
      <c r="AIY416" s="90"/>
      <c r="AIZ416" s="90"/>
      <c r="AJA416" s="90"/>
      <c r="AJB416" s="90"/>
      <c r="AJC416" s="90"/>
      <c r="AJD416" s="90"/>
      <c r="AJE416" s="90"/>
      <c r="AJF416" s="90"/>
      <c r="AJG416" s="90"/>
      <c r="AJH416" s="90"/>
      <c r="AJI416" s="90"/>
      <c r="AJJ416" s="90"/>
      <c r="AJK416" s="90"/>
      <c r="AJL416" s="90"/>
      <c r="AJM416" s="90"/>
      <c r="AJN416" s="90"/>
      <c r="AJO416" s="90"/>
      <c r="AJP416" s="90"/>
      <c r="AJQ416" s="90"/>
      <c r="AJR416" s="90"/>
      <c r="AJS416" s="90"/>
      <c r="AJT416" s="90"/>
      <c r="AJU416" s="90"/>
      <c r="AJV416" s="90"/>
      <c r="AJW416" s="90"/>
      <c r="AJX416" s="90"/>
      <c r="AJY416" s="90"/>
      <c r="AJZ416" s="90"/>
      <c r="AKA416" s="90"/>
      <c r="AKB416" s="90"/>
      <c r="AKC416" s="90"/>
      <c r="AKD416" s="90"/>
      <c r="AKE416" s="90"/>
      <c r="AKF416" s="90"/>
      <c r="AKG416" s="90"/>
      <c r="AKH416" s="90"/>
      <c r="AKI416" s="90"/>
      <c r="AKJ416" s="90"/>
      <c r="AKK416" s="90"/>
      <c r="AKL416" s="90"/>
      <c r="AKM416" s="90"/>
      <c r="AKN416" s="90"/>
      <c r="AKO416" s="90"/>
      <c r="AKP416" s="90"/>
      <c r="AKQ416" s="90"/>
      <c r="AKR416" s="90"/>
      <c r="AKS416" s="90"/>
      <c r="AKT416" s="90"/>
      <c r="AKU416" s="90"/>
      <c r="AKV416" s="90"/>
      <c r="AKW416" s="90"/>
      <c r="AKX416" s="90"/>
      <c r="AKY416" s="90"/>
      <c r="AKZ416" s="90"/>
      <c r="ALA416" s="90"/>
      <c r="ALB416" s="90"/>
      <c r="ALC416" s="90"/>
      <c r="ALD416" s="90"/>
      <c r="ALE416" s="90"/>
      <c r="ALF416" s="90"/>
      <c r="ALG416" s="90"/>
      <c r="ALH416" s="90"/>
      <c r="ALI416" s="90"/>
      <c r="ALJ416" s="90"/>
      <c r="ALK416" s="90"/>
      <c r="ALL416" s="90"/>
      <c r="ALM416" s="90"/>
      <c r="ALN416" s="90"/>
      <c r="ALO416" s="90"/>
      <c r="ALP416" s="90"/>
      <c r="ALQ416" s="90"/>
      <c r="ALR416" s="90"/>
      <c r="ALS416" s="90"/>
      <c r="ALT416" s="90"/>
      <c r="ALU416" s="90"/>
      <c r="ALV416" s="90"/>
      <c r="ALW416" s="90"/>
      <c r="ALX416" s="90"/>
      <c r="ALY416" s="90"/>
      <c r="ALZ416" s="90"/>
      <c r="AMA416" s="90"/>
      <c r="AMB416" s="90"/>
      <c r="AMC416" s="90"/>
    </row>
    <row r="417" spans="1:1017">
      <c r="A417" s="98" t="s">
        <v>55</v>
      </c>
      <c r="B417" s="90" t="str">
        <f t="shared" si="2095"/>
        <v xml:space="preserve">Udang Galah </v>
      </c>
      <c r="Q417" s="91">
        <f t="shared" si="2096"/>
        <v>0</v>
      </c>
      <c r="R417" s="91">
        <f t="shared" si="2097"/>
        <v>0</v>
      </c>
      <c r="AG417" s="91">
        <f t="shared" si="2098"/>
        <v>0</v>
      </c>
      <c r="AH417" s="91">
        <f t="shared" si="2099"/>
        <v>0</v>
      </c>
      <c r="AW417" s="91">
        <f t="shared" si="2100"/>
        <v>0</v>
      </c>
      <c r="AX417" s="91">
        <f t="shared" si="2101"/>
        <v>0</v>
      </c>
      <c r="BM417" s="91">
        <f t="shared" si="2102"/>
        <v>0</v>
      </c>
      <c r="BN417" s="91">
        <f t="shared" si="2103"/>
        <v>0</v>
      </c>
      <c r="CC417" s="91">
        <f t="shared" si="2104"/>
        <v>0</v>
      </c>
      <c r="CD417" s="91">
        <f t="shared" si="2105"/>
        <v>0</v>
      </c>
      <c r="CS417" s="91">
        <f t="shared" si="2106"/>
        <v>0</v>
      </c>
      <c r="CT417" s="91">
        <f t="shared" si="2107"/>
        <v>0</v>
      </c>
      <c r="DI417" s="91">
        <f t="shared" si="2108"/>
        <v>0</v>
      </c>
      <c r="DJ417" s="91">
        <f t="shared" si="2109"/>
        <v>0</v>
      </c>
      <c r="DY417" s="91">
        <f t="shared" si="2110"/>
        <v>0</v>
      </c>
      <c r="DZ417" s="91">
        <f t="shared" si="2111"/>
        <v>0</v>
      </c>
      <c r="EO417" s="91">
        <f t="shared" si="2112"/>
        <v>0</v>
      </c>
      <c r="EP417" s="91">
        <f t="shared" si="2113"/>
        <v>0</v>
      </c>
      <c r="FE417" s="91">
        <f t="shared" si="2114"/>
        <v>0</v>
      </c>
      <c r="FF417" s="91">
        <f t="shared" si="2115"/>
        <v>0</v>
      </c>
      <c r="FU417" s="91">
        <f t="shared" si="2116"/>
        <v>0</v>
      </c>
      <c r="FV417" s="91">
        <f t="shared" si="2117"/>
        <v>0</v>
      </c>
      <c r="GK417" s="91">
        <f t="shared" si="2118"/>
        <v>0</v>
      </c>
      <c r="GL417" s="91">
        <f t="shared" si="2119"/>
        <v>0</v>
      </c>
      <c r="HA417" s="91">
        <f t="shared" si="2120"/>
        <v>0</v>
      </c>
      <c r="HB417" s="91">
        <f t="shared" si="2121"/>
        <v>0</v>
      </c>
      <c r="HQ417" s="91">
        <f t="shared" si="2122"/>
        <v>0</v>
      </c>
      <c r="HR417" s="91">
        <f t="shared" si="2123"/>
        <v>0</v>
      </c>
      <c r="IG417" s="91">
        <f t="shared" si="2124"/>
        <v>0</v>
      </c>
      <c r="IH417" s="91">
        <f t="shared" si="2125"/>
        <v>0</v>
      </c>
      <c r="IW417" s="91">
        <f t="shared" si="2126"/>
        <v>0</v>
      </c>
      <c r="IX417" s="91">
        <f t="shared" si="2127"/>
        <v>0</v>
      </c>
      <c r="JM417" s="91">
        <f t="shared" si="2128"/>
        <v>0</v>
      </c>
      <c r="JN417" s="91">
        <f t="shared" si="2129"/>
        <v>0</v>
      </c>
      <c r="KC417" s="91">
        <f t="shared" si="2130"/>
        <v>0</v>
      </c>
      <c r="KD417" s="91">
        <f t="shared" si="2131"/>
        <v>0</v>
      </c>
      <c r="KS417" s="91">
        <f t="shared" si="2132"/>
        <v>0</v>
      </c>
      <c r="KT417" s="91">
        <f t="shared" si="2133"/>
        <v>0</v>
      </c>
      <c r="LI417" s="91">
        <f t="shared" si="2134"/>
        <v>0</v>
      </c>
      <c r="LJ417" s="91">
        <f t="shared" si="2135"/>
        <v>0</v>
      </c>
      <c r="LY417" s="91">
        <f t="shared" si="2136"/>
        <v>0</v>
      </c>
      <c r="LZ417" s="91">
        <f t="shared" si="2137"/>
        <v>0</v>
      </c>
      <c r="MO417" s="91">
        <f t="shared" si="2138"/>
        <v>0</v>
      </c>
      <c r="MP417" s="91">
        <f t="shared" si="2139"/>
        <v>0</v>
      </c>
      <c r="NE417" s="91">
        <f t="shared" si="2140"/>
        <v>0</v>
      </c>
      <c r="NF417" s="91">
        <f t="shared" si="2141"/>
        <v>0</v>
      </c>
      <c r="NU417" s="91">
        <f t="shared" si="2142"/>
        <v>0</v>
      </c>
      <c r="NV417" s="91">
        <f t="shared" si="2143"/>
        <v>0</v>
      </c>
      <c r="OK417" s="91">
        <f t="shared" si="2144"/>
        <v>0</v>
      </c>
      <c r="OL417" s="91">
        <f t="shared" si="2145"/>
        <v>0</v>
      </c>
      <c r="PA417" s="91">
        <f t="shared" si="2146"/>
        <v>0</v>
      </c>
      <c r="PB417" s="91">
        <f t="shared" si="2147"/>
        <v>0</v>
      </c>
      <c r="PQ417" s="91">
        <f t="shared" si="2148"/>
        <v>0</v>
      </c>
      <c r="PR417" s="91">
        <f t="shared" si="2149"/>
        <v>0</v>
      </c>
      <c r="QG417" s="91">
        <f t="shared" si="2150"/>
        <v>0</v>
      </c>
      <c r="QH417" s="91">
        <f t="shared" si="2151"/>
        <v>0</v>
      </c>
      <c r="QW417" s="91">
        <f t="shared" si="2152"/>
        <v>0</v>
      </c>
      <c r="QX417" s="91">
        <f t="shared" si="2153"/>
        <v>0</v>
      </c>
      <c r="RM417" s="91">
        <f t="shared" si="2154"/>
        <v>0</v>
      </c>
      <c r="RN417" s="91">
        <f t="shared" si="2155"/>
        <v>0</v>
      </c>
      <c r="SC417" s="91">
        <f t="shared" si="2156"/>
        <v>0</v>
      </c>
      <c r="SD417" s="91">
        <f t="shared" si="2157"/>
        <v>0</v>
      </c>
      <c r="SS417" s="91">
        <f t="shared" si="2158"/>
        <v>0</v>
      </c>
      <c r="ST417" s="91">
        <f t="shared" si="2159"/>
        <v>0</v>
      </c>
      <c r="TI417" s="91">
        <f t="shared" si="2160"/>
        <v>0</v>
      </c>
      <c r="TJ417" s="91">
        <f t="shared" si="2161"/>
        <v>0</v>
      </c>
      <c r="TY417" s="91">
        <f t="shared" si="2162"/>
        <v>0</v>
      </c>
      <c r="TZ417" s="91">
        <f t="shared" si="2163"/>
        <v>0</v>
      </c>
      <c r="UO417" s="91">
        <f t="shared" si="2164"/>
        <v>0</v>
      </c>
      <c r="UP417" s="91">
        <f t="shared" si="2165"/>
        <v>0</v>
      </c>
      <c r="VE417" s="91">
        <f t="shared" si="2166"/>
        <v>0</v>
      </c>
      <c r="VF417" s="91">
        <f t="shared" si="2167"/>
        <v>0</v>
      </c>
      <c r="VU417" s="91">
        <f t="shared" si="2168"/>
        <v>0</v>
      </c>
      <c r="VV417" s="91">
        <f t="shared" si="2169"/>
        <v>0</v>
      </c>
      <c r="WK417" s="91">
        <f t="shared" si="2170"/>
        <v>0</v>
      </c>
      <c r="WL417" s="91">
        <f t="shared" si="2171"/>
        <v>0</v>
      </c>
      <c r="WM417" s="89"/>
      <c r="WN417" s="87">
        <f t="shared" si="2172"/>
        <v>0</v>
      </c>
      <c r="WO417" s="87">
        <f t="shared" si="2173"/>
        <v>0</v>
      </c>
      <c r="WP417" s="87">
        <f t="shared" si="2174"/>
        <v>0</v>
      </c>
      <c r="WQ417" s="87">
        <f t="shared" si="2175"/>
        <v>0</v>
      </c>
      <c r="WR417" s="87">
        <f t="shared" si="2176"/>
        <v>0</v>
      </c>
      <c r="WS417" s="87">
        <f t="shared" si="2177"/>
        <v>0</v>
      </c>
      <c r="WT417" s="87">
        <f t="shared" si="2178"/>
        <v>0</v>
      </c>
      <c r="WU417" s="87">
        <f t="shared" si="2179"/>
        <v>0</v>
      </c>
      <c r="WV417" s="87">
        <f t="shared" si="2180"/>
        <v>0</v>
      </c>
      <c r="WW417" s="87">
        <f t="shared" si="2181"/>
        <v>0</v>
      </c>
      <c r="WX417" s="87">
        <f t="shared" si="2182"/>
        <v>0</v>
      </c>
      <c r="WY417" s="87">
        <f t="shared" si="2183"/>
        <v>0</v>
      </c>
      <c r="WZ417" s="87">
        <f t="shared" ref="WZ417:WZ430" si="2190">SUMIF($C$5:$WL$5,$WZ$5,C417:WL417)</f>
        <v>0</v>
      </c>
      <c r="XA417" s="87">
        <f t="shared" ref="XA417:XA430" si="2191">SUMIF($C$5:$WL$5,$XA$5,C417:WL417)</f>
        <v>0</v>
      </c>
      <c r="XB417" s="92">
        <f t="shared" ref="XB417:XB430" si="2192">SUMIF($WN$12:$XA$12,$XB$12,WN417:XA417)</f>
        <v>0</v>
      </c>
      <c r="XC417" s="92">
        <f t="shared" ref="XC417:XC430" si="2193">SUMIF($WN$12:$XA$12,$XC$12,WN417:XA417)</f>
        <v>0</v>
      </c>
      <c r="XD417" s="89"/>
      <c r="XE417" s="92"/>
      <c r="XF417" s="92"/>
      <c r="XG417" s="89"/>
      <c r="XH417" s="92"/>
      <c r="XI417" s="92"/>
      <c r="XJ417" s="89"/>
      <c r="XK417" s="87"/>
      <c r="XL417" s="87"/>
      <c r="XM417" s="87"/>
      <c r="XN417" s="87"/>
      <c r="XO417" s="87"/>
      <c r="XP417" s="87"/>
      <c r="XQ417" s="87"/>
      <c r="XR417" s="92">
        <f t="shared" ca="1" si="2188"/>
        <v>0</v>
      </c>
      <c r="XS417" s="89"/>
      <c r="XT417" s="87"/>
      <c r="XU417" s="87"/>
      <c r="XV417" s="87"/>
      <c r="XW417" s="87"/>
      <c r="XX417" s="87"/>
      <c r="XY417" s="87"/>
      <c r="XZ417" s="87"/>
      <c r="YA417" s="92">
        <f t="shared" ca="1" si="2189"/>
        <v>0</v>
      </c>
      <c r="YB417" s="90"/>
      <c r="YC417" s="90"/>
      <c r="YD417" s="90"/>
      <c r="YE417" s="90"/>
      <c r="YF417" s="90"/>
      <c r="YG417" s="90"/>
      <c r="YH417" s="90"/>
      <c r="YI417" s="90"/>
      <c r="YJ417" s="90"/>
      <c r="YK417" s="90"/>
      <c r="YL417" s="90"/>
      <c r="YM417" s="90"/>
      <c r="YN417" s="90"/>
      <c r="YO417" s="90"/>
      <c r="YP417" s="90"/>
      <c r="YQ417" s="90"/>
      <c r="YR417" s="90"/>
      <c r="YS417" s="90"/>
      <c r="YT417" s="90"/>
      <c r="YU417" s="90"/>
      <c r="YV417" s="90"/>
      <c r="YW417" s="90"/>
      <c r="YX417" s="90"/>
      <c r="YY417" s="90"/>
      <c r="YZ417" s="90"/>
      <c r="ZA417" s="90"/>
      <c r="ZB417" s="90"/>
      <c r="ZC417" s="90"/>
      <c r="ZD417" s="90"/>
      <c r="ZE417" s="90"/>
      <c r="ZF417" s="90"/>
      <c r="ZG417" s="90"/>
      <c r="ZH417" s="90"/>
      <c r="ZI417" s="90"/>
      <c r="ZJ417" s="90"/>
      <c r="ZK417" s="90"/>
      <c r="ZL417" s="90"/>
      <c r="ZM417" s="90"/>
      <c r="ZN417" s="90"/>
      <c r="ZO417" s="90"/>
      <c r="ZP417" s="90"/>
      <c r="ZQ417" s="90"/>
      <c r="ZR417" s="90"/>
      <c r="ZS417" s="90"/>
      <c r="ZT417" s="90"/>
      <c r="ZU417" s="90"/>
      <c r="ZV417" s="90"/>
      <c r="ZW417" s="90"/>
      <c r="ZX417" s="90"/>
      <c r="ZY417" s="90"/>
      <c r="ZZ417" s="90"/>
      <c r="AAA417" s="90"/>
      <c r="AAB417" s="90"/>
      <c r="AAC417" s="90"/>
      <c r="AAD417" s="90"/>
      <c r="AAE417" s="90"/>
      <c r="AAF417" s="90"/>
      <c r="AAG417" s="90"/>
      <c r="AAH417" s="90"/>
      <c r="AAI417" s="90"/>
      <c r="AAJ417" s="90"/>
      <c r="AAK417" s="90"/>
      <c r="AAL417" s="90"/>
      <c r="AAM417" s="90"/>
      <c r="AAN417" s="90"/>
      <c r="AAO417" s="90"/>
      <c r="AAP417" s="90"/>
      <c r="AAQ417" s="90"/>
      <c r="AAR417" s="90"/>
      <c r="AAS417" s="90"/>
      <c r="AAT417" s="90"/>
      <c r="AAU417" s="90"/>
      <c r="AAV417" s="90"/>
      <c r="AAW417" s="90"/>
      <c r="AAX417" s="90"/>
      <c r="AAY417" s="90"/>
      <c r="AAZ417" s="90"/>
      <c r="ABA417" s="90"/>
      <c r="ABB417" s="90"/>
      <c r="ABC417" s="90"/>
      <c r="ABD417" s="90"/>
      <c r="ABE417" s="90"/>
      <c r="ABF417" s="90"/>
      <c r="ABG417" s="90"/>
      <c r="ABH417" s="90"/>
      <c r="ABI417" s="90"/>
      <c r="ABJ417" s="90"/>
      <c r="ABK417" s="90"/>
      <c r="ABL417" s="90"/>
      <c r="ABM417" s="90"/>
      <c r="ABN417" s="90"/>
      <c r="ABO417" s="90"/>
      <c r="ABP417" s="90"/>
      <c r="ABQ417" s="90"/>
      <c r="ABR417" s="90"/>
      <c r="ABS417" s="90"/>
      <c r="ABT417" s="90"/>
      <c r="ABU417" s="90"/>
      <c r="ABV417" s="90"/>
      <c r="ABW417" s="90"/>
      <c r="ABX417" s="90"/>
      <c r="ABY417" s="90"/>
      <c r="ABZ417" s="90"/>
      <c r="ACA417" s="90"/>
      <c r="ACB417" s="90"/>
      <c r="ACC417" s="90"/>
      <c r="ACD417" s="90"/>
      <c r="ACE417" s="90"/>
      <c r="ACF417" s="90"/>
      <c r="ACG417" s="90"/>
      <c r="ACH417" s="90"/>
      <c r="ACI417" s="90"/>
      <c r="ACJ417" s="90"/>
      <c r="ACK417" s="90"/>
      <c r="ACL417" s="90"/>
      <c r="ACM417" s="90"/>
      <c r="ACN417" s="90"/>
      <c r="ACO417" s="90"/>
      <c r="ACP417" s="90"/>
      <c r="ACQ417" s="90"/>
      <c r="ACR417" s="90"/>
      <c r="ACS417" s="90"/>
      <c r="ACT417" s="90"/>
      <c r="ACU417" s="90"/>
      <c r="ACV417" s="90"/>
      <c r="ACW417" s="90"/>
      <c r="ACX417" s="90"/>
      <c r="ACY417" s="90"/>
      <c r="ACZ417" s="90"/>
      <c r="ADA417" s="90"/>
      <c r="ADB417" s="90"/>
      <c r="ADC417" s="90"/>
      <c r="ADD417" s="90"/>
      <c r="ADE417" s="90"/>
      <c r="ADF417" s="90"/>
      <c r="ADG417" s="90"/>
      <c r="ADH417" s="90"/>
      <c r="ADI417" s="90"/>
      <c r="ADJ417" s="90"/>
      <c r="ADK417" s="90"/>
      <c r="ADL417" s="90"/>
      <c r="ADM417" s="90"/>
      <c r="ADN417" s="90"/>
      <c r="ADO417" s="90"/>
      <c r="ADP417" s="90"/>
      <c r="ADQ417" s="90"/>
      <c r="ADR417" s="90"/>
      <c r="ADS417" s="90"/>
      <c r="ADT417" s="90"/>
      <c r="ADU417" s="90"/>
      <c r="ADV417" s="90"/>
      <c r="ADW417" s="90"/>
      <c r="ADX417" s="90"/>
      <c r="ADY417" s="90"/>
      <c r="ADZ417" s="90"/>
      <c r="AEA417" s="90"/>
      <c r="AEB417" s="90"/>
      <c r="AEC417" s="90"/>
      <c r="AED417" s="90"/>
      <c r="AEE417" s="90"/>
      <c r="AEF417" s="90"/>
      <c r="AEG417" s="90"/>
      <c r="AEH417" s="90"/>
      <c r="AEI417" s="90"/>
      <c r="AEJ417" s="90"/>
      <c r="AEK417" s="90"/>
      <c r="AEL417" s="90"/>
      <c r="AEM417" s="90"/>
      <c r="AEN417" s="90"/>
      <c r="AEO417" s="90"/>
      <c r="AEP417" s="90"/>
      <c r="AEQ417" s="90"/>
      <c r="AER417" s="90"/>
      <c r="AES417" s="90"/>
      <c r="AET417" s="90"/>
      <c r="AEU417" s="90"/>
      <c r="AEV417" s="90"/>
      <c r="AEW417" s="90"/>
      <c r="AEX417" s="90"/>
      <c r="AEY417" s="90"/>
      <c r="AEZ417" s="90"/>
      <c r="AFA417" s="90"/>
      <c r="AFB417" s="90"/>
      <c r="AFC417" s="90"/>
      <c r="AFD417" s="90"/>
      <c r="AFE417" s="90"/>
      <c r="AFF417" s="90"/>
      <c r="AFG417" s="90"/>
      <c r="AFH417" s="90"/>
      <c r="AFI417" s="90"/>
      <c r="AFJ417" s="90"/>
      <c r="AFK417" s="90"/>
      <c r="AFL417" s="90"/>
      <c r="AFM417" s="90"/>
      <c r="AFN417" s="90"/>
      <c r="AFO417" s="90"/>
      <c r="AFP417" s="90"/>
      <c r="AFQ417" s="90"/>
      <c r="AFR417" s="90"/>
      <c r="AFS417" s="90"/>
      <c r="AFT417" s="90"/>
      <c r="AFU417" s="90"/>
      <c r="AFV417" s="90"/>
      <c r="AFW417" s="90"/>
      <c r="AFX417" s="90"/>
      <c r="AFY417" s="90"/>
      <c r="AFZ417" s="90"/>
      <c r="AGA417" s="90"/>
      <c r="AGB417" s="90"/>
      <c r="AGC417" s="90"/>
      <c r="AGD417" s="90"/>
      <c r="AGE417" s="90"/>
      <c r="AGF417" s="90"/>
      <c r="AGG417" s="90"/>
      <c r="AGH417" s="90"/>
      <c r="AGI417" s="90"/>
      <c r="AGJ417" s="90"/>
      <c r="AGK417" s="90"/>
      <c r="AGL417" s="90"/>
      <c r="AGM417" s="90"/>
      <c r="AGN417" s="90"/>
      <c r="AGO417" s="90"/>
      <c r="AGP417" s="90"/>
      <c r="AGQ417" s="90"/>
      <c r="AGR417" s="90"/>
      <c r="AGS417" s="90"/>
      <c r="AGT417" s="90"/>
      <c r="AGU417" s="90"/>
      <c r="AGV417" s="90"/>
      <c r="AGW417" s="90"/>
      <c r="AGX417" s="90"/>
      <c r="AGY417" s="90"/>
      <c r="AGZ417" s="90"/>
      <c r="AHA417" s="90"/>
      <c r="AHB417" s="90"/>
      <c r="AHC417" s="90"/>
      <c r="AHD417" s="90"/>
      <c r="AHE417" s="90"/>
      <c r="AHF417" s="90"/>
      <c r="AHG417" s="90"/>
      <c r="AHH417" s="90"/>
      <c r="AHI417" s="90"/>
      <c r="AHJ417" s="90"/>
      <c r="AHK417" s="90"/>
      <c r="AHL417" s="90"/>
      <c r="AHM417" s="90"/>
      <c r="AHN417" s="90"/>
      <c r="AHO417" s="90"/>
      <c r="AHP417" s="90"/>
      <c r="AHQ417" s="90"/>
      <c r="AHR417" s="90"/>
      <c r="AHS417" s="90"/>
      <c r="AHT417" s="90"/>
      <c r="AHU417" s="90"/>
      <c r="AHV417" s="90"/>
      <c r="AHW417" s="90"/>
      <c r="AHX417" s="90"/>
      <c r="AHY417" s="90"/>
      <c r="AHZ417" s="90"/>
      <c r="AIA417" s="90"/>
      <c r="AIB417" s="90"/>
      <c r="AIC417" s="90"/>
      <c r="AID417" s="90"/>
      <c r="AIE417" s="90"/>
      <c r="AIF417" s="90"/>
      <c r="AIG417" s="90"/>
      <c r="AIH417" s="90"/>
      <c r="AII417" s="90"/>
      <c r="AIJ417" s="90"/>
      <c r="AIK417" s="90"/>
      <c r="AIL417" s="90"/>
      <c r="AIM417" s="90"/>
      <c r="AIN417" s="90"/>
      <c r="AIO417" s="90"/>
      <c r="AIP417" s="90"/>
      <c r="AIQ417" s="90"/>
      <c r="AIR417" s="90"/>
      <c r="AIS417" s="90"/>
      <c r="AIT417" s="90"/>
      <c r="AIU417" s="90"/>
      <c r="AIV417" s="90"/>
      <c r="AIW417" s="90"/>
      <c r="AIX417" s="90"/>
      <c r="AIY417" s="90"/>
      <c r="AIZ417" s="90"/>
      <c r="AJA417" s="90"/>
      <c r="AJB417" s="90"/>
      <c r="AJC417" s="90"/>
      <c r="AJD417" s="90"/>
      <c r="AJE417" s="90"/>
      <c r="AJF417" s="90"/>
      <c r="AJG417" s="90"/>
      <c r="AJH417" s="90"/>
      <c r="AJI417" s="90"/>
      <c r="AJJ417" s="90"/>
      <c r="AJK417" s="90"/>
      <c r="AJL417" s="90"/>
      <c r="AJM417" s="90"/>
      <c r="AJN417" s="90"/>
      <c r="AJO417" s="90"/>
      <c r="AJP417" s="90"/>
      <c r="AJQ417" s="90"/>
      <c r="AJR417" s="90"/>
      <c r="AJS417" s="90"/>
      <c r="AJT417" s="90"/>
      <c r="AJU417" s="90"/>
      <c r="AJV417" s="90"/>
      <c r="AJW417" s="90"/>
      <c r="AJX417" s="90"/>
      <c r="AJY417" s="90"/>
      <c r="AJZ417" s="90"/>
      <c r="AKA417" s="90"/>
      <c r="AKB417" s="90"/>
      <c r="AKC417" s="90"/>
      <c r="AKD417" s="90"/>
      <c r="AKE417" s="90"/>
      <c r="AKF417" s="90"/>
      <c r="AKG417" s="90"/>
      <c r="AKH417" s="90"/>
      <c r="AKI417" s="90"/>
      <c r="AKJ417" s="90"/>
      <c r="AKK417" s="90"/>
      <c r="AKL417" s="90"/>
      <c r="AKM417" s="90"/>
      <c r="AKN417" s="90"/>
      <c r="AKO417" s="90"/>
      <c r="AKP417" s="90"/>
      <c r="AKQ417" s="90"/>
      <c r="AKR417" s="90"/>
      <c r="AKS417" s="90"/>
      <c r="AKT417" s="90"/>
      <c r="AKU417" s="90"/>
      <c r="AKV417" s="90"/>
      <c r="AKW417" s="90"/>
      <c r="AKX417" s="90"/>
      <c r="AKY417" s="90"/>
      <c r="AKZ417" s="90"/>
      <c r="ALA417" s="90"/>
      <c r="ALB417" s="90"/>
      <c r="ALC417" s="90"/>
      <c r="ALD417" s="90"/>
      <c r="ALE417" s="90"/>
      <c r="ALF417" s="90"/>
      <c r="ALG417" s="90"/>
      <c r="ALH417" s="90"/>
      <c r="ALI417" s="90"/>
      <c r="ALJ417" s="90"/>
      <c r="ALK417" s="90"/>
      <c r="ALL417" s="90"/>
      <c r="ALM417" s="90"/>
      <c r="ALN417" s="90"/>
      <c r="ALO417" s="90"/>
      <c r="ALP417" s="90"/>
      <c r="ALQ417" s="90"/>
      <c r="ALR417" s="90"/>
      <c r="ALS417" s="90"/>
      <c r="ALT417" s="90"/>
      <c r="ALU417" s="90"/>
      <c r="ALV417" s="90"/>
      <c r="ALW417" s="90"/>
      <c r="ALX417" s="90"/>
      <c r="ALY417" s="90"/>
      <c r="ALZ417" s="90"/>
      <c r="AMA417" s="90"/>
      <c r="AMB417" s="90"/>
      <c r="AMC417" s="90"/>
    </row>
    <row r="418" spans="1:1017">
      <c r="A418" s="98" t="s">
        <v>55</v>
      </c>
      <c r="B418" s="90" t="str">
        <f t="shared" si="2095"/>
        <v>Udang Putih</v>
      </c>
      <c r="E418" s="98">
        <v>202300</v>
      </c>
      <c r="F418" s="98">
        <v>8092000</v>
      </c>
      <c r="Q418" s="91">
        <f t="shared" si="2096"/>
        <v>202300</v>
      </c>
      <c r="R418" s="91">
        <f t="shared" si="2097"/>
        <v>8092000</v>
      </c>
      <c r="AG418" s="91">
        <f t="shared" si="2098"/>
        <v>0</v>
      </c>
      <c r="AH418" s="91">
        <f t="shared" si="2099"/>
        <v>0</v>
      </c>
      <c r="AW418" s="91">
        <f t="shared" si="2100"/>
        <v>0</v>
      </c>
      <c r="AX418" s="91">
        <f t="shared" si="2101"/>
        <v>0</v>
      </c>
      <c r="BM418" s="91">
        <f t="shared" si="2102"/>
        <v>0</v>
      </c>
      <c r="BN418" s="91">
        <f t="shared" si="2103"/>
        <v>0</v>
      </c>
      <c r="CC418" s="91">
        <f t="shared" si="2104"/>
        <v>0</v>
      </c>
      <c r="CD418" s="91">
        <f t="shared" si="2105"/>
        <v>0</v>
      </c>
      <c r="CS418" s="91">
        <f t="shared" si="2106"/>
        <v>0</v>
      </c>
      <c r="CT418" s="91">
        <f t="shared" si="2107"/>
        <v>0</v>
      </c>
      <c r="DI418" s="91">
        <f t="shared" si="2108"/>
        <v>0</v>
      </c>
      <c r="DJ418" s="91">
        <f t="shared" si="2109"/>
        <v>0</v>
      </c>
      <c r="DY418" s="91">
        <f t="shared" si="2110"/>
        <v>0</v>
      </c>
      <c r="DZ418" s="91">
        <f t="shared" si="2111"/>
        <v>0</v>
      </c>
      <c r="EO418" s="91">
        <f t="shared" si="2112"/>
        <v>0</v>
      </c>
      <c r="EP418" s="91">
        <f t="shared" si="2113"/>
        <v>0</v>
      </c>
      <c r="FE418" s="91">
        <f t="shared" si="2114"/>
        <v>0</v>
      </c>
      <c r="FF418" s="91">
        <f t="shared" si="2115"/>
        <v>0</v>
      </c>
      <c r="FU418" s="91">
        <f t="shared" si="2116"/>
        <v>0</v>
      </c>
      <c r="FV418" s="91">
        <f t="shared" si="2117"/>
        <v>0</v>
      </c>
      <c r="GK418" s="91">
        <f t="shared" si="2118"/>
        <v>0</v>
      </c>
      <c r="GL418" s="91">
        <f t="shared" si="2119"/>
        <v>0</v>
      </c>
      <c r="HA418" s="91">
        <f t="shared" si="2120"/>
        <v>0</v>
      </c>
      <c r="HB418" s="91">
        <f t="shared" si="2121"/>
        <v>0</v>
      </c>
      <c r="HQ418" s="91">
        <f t="shared" si="2122"/>
        <v>0</v>
      </c>
      <c r="HR418" s="91">
        <f t="shared" si="2123"/>
        <v>0</v>
      </c>
      <c r="IG418" s="91">
        <f t="shared" si="2124"/>
        <v>0</v>
      </c>
      <c r="IH418" s="91">
        <f t="shared" si="2125"/>
        <v>0</v>
      </c>
      <c r="IW418" s="91">
        <f t="shared" si="2126"/>
        <v>0</v>
      </c>
      <c r="IX418" s="91">
        <f t="shared" si="2127"/>
        <v>0</v>
      </c>
      <c r="JM418" s="91">
        <f t="shared" si="2128"/>
        <v>0</v>
      </c>
      <c r="JN418" s="91">
        <f t="shared" si="2129"/>
        <v>0</v>
      </c>
      <c r="KC418" s="91">
        <f t="shared" si="2130"/>
        <v>0</v>
      </c>
      <c r="KD418" s="91">
        <f t="shared" si="2131"/>
        <v>0</v>
      </c>
      <c r="KS418" s="91">
        <f t="shared" si="2132"/>
        <v>0</v>
      </c>
      <c r="KT418" s="91">
        <f t="shared" si="2133"/>
        <v>0</v>
      </c>
      <c r="LI418" s="91">
        <f t="shared" si="2134"/>
        <v>0</v>
      </c>
      <c r="LJ418" s="91">
        <f t="shared" si="2135"/>
        <v>0</v>
      </c>
      <c r="LY418" s="91">
        <f t="shared" si="2136"/>
        <v>0</v>
      </c>
      <c r="LZ418" s="91">
        <f t="shared" si="2137"/>
        <v>0</v>
      </c>
      <c r="MC418" s="98">
        <v>5510</v>
      </c>
      <c r="MD418" s="98">
        <v>220400</v>
      </c>
      <c r="MO418" s="91">
        <f t="shared" si="2138"/>
        <v>5510</v>
      </c>
      <c r="MP418" s="91">
        <f t="shared" si="2139"/>
        <v>220400</v>
      </c>
      <c r="NE418" s="91">
        <f t="shared" si="2140"/>
        <v>0</v>
      </c>
      <c r="NF418" s="91">
        <f t="shared" si="2141"/>
        <v>0</v>
      </c>
      <c r="NI418" s="98">
        <v>52250</v>
      </c>
      <c r="NJ418" s="98">
        <v>2351250</v>
      </c>
      <c r="NU418" s="91">
        <f t="shared" si="2142"/>
        <v>52250</v>
      </c>
      <c r="NV418" s="91">
        <f t="shared" si="2143"/>
        <v>2351250</v>
      </c>
      <c r="OK418" s="91">
        <f t="shared" si="2144"/>
        <v>0</v>
      </c>
      <c r="OL418" s="91">
        <f t="shared" si="2145"/>
        <v>0</v>
      </c>
      <c r="PA418" s="91">
        <f t="shared" si="2146"/>
        <v>0</v>
      </c>
      <c r="PB418" s="91">
        <f t="shared" si="2147"/>
        <v>0</v>
      </c>
      <c r="PQ418" s="91">
        <f t="shared" si="2148"/>
        <v>0</v>
      </c>
      <c r="PR418" s="91">
        <f t="shared" si="2149"/>
        <v>0</v>
      </c>
      <c r="QG418" s="91">
        <f t="shared" si="2150"/>
        <v>0</v>
      </c>
      <c r="QH418" s="91">
        <f t="shared" si="2151"/>
        <v>0</v>
      </c>
      <c r="QW418" s="91">
        <f t="shared" si="2152"/>
        <v>0</v>
      </c>
      <c r="QX418" s="91">
        <f t="shared" si="2153"/>
        <v>0</v>
      </c>
      <c r="RM418" s="91">
        <f t="shared" si="2154"/>
        <v>0</v>
      </c>
      <c r="RN418" s="91">
        <f t="shared" si="2155"/>
        <v>0</v>
      </c>
      <c r="SC418" s="91">
        <f t="shared" si="2156"/>
        <v>0</v>
      </c>
      <c r="SD418" s="91">
        <f t="shared" si="2157"/>
        <v>0</v>
      </c>
      <c r="SS418" s="91">
        <f t="shared" si="2158"/>
        <v>0</v>
      </c>
      <c r="ST418" s="91">
        <f t="shared" si="2159"/>
        <v>0</v>
      </c>
      <c r="TI418" s="91">
        <f t="shared" si="2160"/>
        <v>0</v>
      </c>
      <c r="TJ418" s="91">
        <f t="shared" si="2161"/>
        <v>0</v>
      </c>
      <c r="TY418" s="91">
        <f t="shared" si="2162"/>
        <v>0</v>
      </c>
      <c r="TZ418" s="91">
        <f t="shared" si="2163"/>
        <v>0</v>
      </c>
      <c r="UO418" s="91">
        <f t="shared" si="2164"/>
        <v>0</v>
      </c>
      <c r="UP418" s="91">
        <f t="shared" si="2165"/>
        <v>0</v>
      </c>
      <c r="VE418" s="91">
        <f t="shared" si="2166"/>
        <v>0</v>
      </c>
      <c r="VF418" s="91">
        <f t="shared" si="2167"/>
        <v>0</v>
      </c>
      <c r="VI418" s="98">
        <v>66</v>
      </c>
      <c r="VJ418" s="98">
        <v>3300</v>
      </c>
      <c r="VU418" s="91">
        <f t="shared" si="2168"/>
        <v>66</v>
      </c>
      <c r="VV418" s="91">
        <f t="shared" si="2169"/>
        <v>3300</v>
      </c>
      <c r="WK418" s="91">
        <f t="shared" si="2170"/>
        <v>0</v>
      </c>
      <c r="WL418" s="91">
        <f t="shared" si="2171"/>
        <v>0</v>
      </c>
      <c r="WM418" s="89"/>
      <c r="WN418" s="87">
        <f t="shared" si="2172"/>
        <v>0</v>
      </c>
      <c r="WO418" s="87">
        <f t="shared" si="2173"/>
        <v>0</v>
      </c>
      <c r="WP418" s="87">
        <f t="shared" si="2174"/>
        <v>260126</v>
      </c>
      <c r="WQ418" s="87">
        <f t="shared" si="2175"/>
        <v>10666950</v>
      </c>
      <c r="WR418" s="87">
        <f t="shared" si="2176"/>
        <v>0</v>
      </c>
      <c r="WS418" s="87">
        <f t="shared" si="2177"/>
        <v>0</v>
      </c>
      <c r="WT418" s="87">
        <f t="shared" si="2178"/>
        <v>0</v>
      </c>
      <c r="WU418" s="87">
        <f t="shared" si="2179"/>
        <v>0</v>
      </c>
      <c r="WV418" s="87">
        <f t="shared" si="2180"/>
        <v>0</v>
      </c>
      <c r="WW418" s="87">
        <f t="shared" si="2181"/>
        <v>0</v>
      </c>
      <c r="WX418" s="87">
        <f t="shared" si="2182"/>
        <v>0</v>
      </c>
      <c r="WY418" s="87">
        <f t="shared" si="2183"/>
        <v>0</v>
      </c>
      <c r="WZ418" s="87">
        <f t="shared" si="2190"/>
        <v>0</v>
      </c>
      <c r="XA418" s="87">
        <f t="shared" si="2191"/>
        <v>0</v>
      </c>
      <c r="XB418" s="92">
        <f t="shared" si="2192"/>
        <v>260126</v>
      </c>
      <c r="XC418" s="92">
        <f t="shared" si="2193"/>
        <v>10666950</v>
      </c>
      <c r="XD418" s="89"/>
      <c r="XE418" s="92"/>
      <c r="XF418" s="92"/>
      <c r="XG418" s="89"/>
      <c r="XH418" s="92"/>
      <c r="XI418" s="92"/>
      <c r="XJ418" s="89"/>
      <c r="XK418" s="87"/>
      <c r="XL418" s="87"/>
      <c r="XM418" s="87"/>
      <c r="XN418" s="87"/>
      <c r="XO418" s="87"/>
      <c r="XP418" s="87"/>
      <c r="XQ418" s="87"/>
      <c r="XR418" s="92">
        <f t="shared" ca="1" si="2188"/>
        <v>0</v>
      </c>
      <c r="XS418" s="89"/>
      <c r="XT418" s="87"/>
      <c r="XU418" s="87"/>
      <c r="XV418" s="87"/>
      <c r="XW418" s="87"/>
      <c r="XX418" s="87"/>
      <c r="XY418" s="87"/>
      <c r="XZ418" s="87"/>
      <c r="YA418" s="92">
        <f t="shared" ca="1" si="2189"/>
        <v>0</v>
      </c>
      <c r="YB418" s="90"/>
      <c r="YC418" s="90"/>
      <c r="YD418" s="90"/>
      <c r="YE418" s="90"/>
      <c r="YF418" s="90"/>
      <c r="YG418" s="90"/>
      <c r="YH418" s="90"/>
      <c r="YI418" s="90"/>
      <c r="YJ418" s="90"/>
      <c r="YK418" s="90"/>
      <c r="YL418" s="90"/>
      <c r="YM418" s="90"/>
      <c r="YN418" s="90"/>
      <c r="YO418" s="90"/>
      <c r="YP418" s="90"/>
      <c r="YQ418" s="90"/>
      <c r="YR418" s="90"/>
      <c r="YS418" s="90"/>
      <c r="YT418" s="90"/>
      <c r="YU418" s="90"/>
      <c r="YV418" s="90"/>
      <c r="YW418" s="90"/>
      <c r="YX418" s="90"/>
      <c r="YY418" s="90"/>
      <c r="YZ418" s="90"/>
      <c r="ZA418" s="90"/>
      <c r="ZB418" s="90"/>
      <c r="ZC418" s="90"/>
      <c r="ZD418" s="90"/>
      <c r="ZE418" s="90"/>
      <c r="ZF418" s="90"/>
      <c r="ZG418" s="90"/>
      <c r="ZH418" s="90"/>
      <c r="ZI418" s="90"/>
      <c r="ZJ418" s="90"/>
      <c r="ZK418" s="90"/>
      <c r="ZL418" s="90"/>
      <c r="ZM418" s="90"/>
      <c r="ZN418" s="90"/>
      <c r="ZO418" s="90"/>
      <c r="ZP418" s="90"/>
      <c r="ZQ418" s="90"/>
      <c r="ZR418" s="90"/>
      <c r="ZS418" s="90"/>
      <c r="ZT418" s="90"/>
      <c r="ZU418" s="90"/>
      <c r="ZV418" s="90"/>
      <c r="ZW418" s="90"/>
      <c r="ZX418" s="90"/>
      <c r="ZY418" s="90"/>
      <c r="ZZ418" s="90"/>
      <c r="AAA418" s="90"/>
      <c r="AAB418" s="90"/>
      <c r="AAC418" s="90"/>
      <c r="AAD418" s="90"/>
      <c r="AAE418" s="90"/>
      <c r="AAF418" s="90"/>
      <c r="AAG418" s="90"/>
      <c r="AAH418" s="90"/>
      <c r="AAI418" s="90"/>
      <c r="AAJ418" s="90"/>
      <c r="AAK418" s="90"/>
      <c r="AAL418" s="90"/>
      <c r="AAM418" s="90"/>
      <c r="AAN418" s="90"/>
      <c r="AAO418" s="90"/>
      <c r="AAP418" s="90"/>
      <c r="AAQ418" s="90"/>
      <c r="AAR418" s="90"/>
      <c r="AAS418" s="90"/>
      <c r="AAT418" s="90"/>
      <c r="AAU418" s="90"/>
      <c r="AAV418" s="90"/>
      <c r="AAW418" s="90"/>
      <c r="AAX418" s="90"/>
      <c r="AAY418" s="90"/>
      <c r="AAZ418" s="90"/>
      <c r="ABA418" s="90"/>
      <c r="ABB418" s="90"/>
      <c r="ABC418" s="90"/>
      <c r="ABD418" s="90"/>
      <c r="ABE418" s="90"/>
      <c r="ABF418" s="90"/>
      <c r="ABG418" s="90"/>
      <c r="ABH418" s="90"/>
      <c r="ABI418" s="90"/>
      <c r="ABJ418" s="90"/>
      <c r="ABK418" s="90"/>
      <c r="ABL418" s="90"/>
      <c r="ABM418" s="90"/>
      <c r="ABN418" s="90"/>
      <c r="ABO418" s="90"/>
      <c r="ABP418" s="90"/>
      <c r="ABQ418" s="90"/>
      <c r="ABR418" s="90"/>
      <c r="ABS418" s="90"/>
      <c r="ABT418" s="90"/>
      <c r="ABU418" s="90"/>
      <c r="ABV418" s="90"/>
      <c r="ABW418" s="90"/>
      <c r="ABX418" s="90"/>
      <c r="ABY418" s="90"/>
      <c r="ABZ418" s="90"/>
      <c r="ACA418" s="90"/>
      <c r="ACB418" s="90"/>
      <c r="ACC418" s="90"/>
      <c r="ACD418" s="90"/>
      <c r="ACE418" s="90"/>
      <c r="ACF418" s="90"/>
      <c r="ACG418" s="90"/>
      <c r="ACH418" s="90"/>
      <c r="ACI418" s="90"/>
      <c r="ACJ418" s="90"/>
      <c r="ACK418" s="90"/>
      <c r="ACL418" s="90"/>
      <c r="ACM418" s="90"/>
      <c r="ACN418" s="90"/>
      <c r="ACO418" s="90"/>
      <c r="ACP418" s="90"/>
      <c r="ACQ418" s="90"/>
      <c r="ACR418" s="90"/>
      <c r="ACS418" s="90"/>
      <c r="ACT418" s="90"/>
      <c r="ACU418" s="90"/>
      <c r="ACV418" s="90"/>
      <c r="ACW418" s="90"/>
      <c r="ACX418" s="90"/>
      <c r="ACY418" s="90"/>
      <c r="ACZ418" s="90"/>
      <c r="ADA418" s="90"/>
      <c r="ADB418" s="90"/>
      <c r="ADC418" s="90"/>
      <c r="ADD418" s="90"/>
      <c r="ADE418" s="90"/>
      <c r="ADF418" s="90"/>
      <c r="ADG418" s="90"/>
      <c r="ADH418" s="90"/>
      <c r="ADI418" s="90"/>
      <c r="ADJ418" s="90"/>
      <c r="ADK418" s="90"/>
      <c r="ADL418" s="90"/>
      <c r="ADM418" s="90"/>
      <c r="ADN418" s="90"/>
      <c r="ADO418" s="90"/>
      <c r="ADP418" s="90"/>
      <c r="ADQ418" s="90"/>
      <c r="ADR418" s="90"/>
      <c r="ADS418" s="90"/>
      <c r="ADT418" s="90"/>
      <c r="ADU418" s="90"/>
      <c r="ADV418" s="90"/>
      <c r="ADW418" s="90"/>
      <c r="ADX418" s="90"/>
      <c r="ADY418" s="90"/>
      <c r="ADZ418" s="90"/>
      <c r="AEA418" s="90"/>
      <c r="AEB418" s="90"/>
      <c r="AEC418" s="90"/>
      <c r="AED418" s="90"/>
      <c r="AEE418" s="90"/>
      <c r="AEF418" s="90"/>
      <c r="AEG418" s="90"/>
      <c r="AEH418" s="90"/>
      <c r="AEI418" s="90"/>
      <c r="AEJ418" s="90"/>
      <c r="AEK418" s="90"/>
      <c r="AEL418" s="90"/>
      <c r="AEM418" s="90"/>
      <c r="AEN418" s="90"/>
      <c r="AEO418" s="90"/>
      <c r="AEP418" s="90"/>
      <c r="AEQ418" s="90"/>
      <c r="AER418" s="90"/>
      <c r="AES418" s="90"/>
      <c r="AET418" s="90"/>
      <c r="AEU418" s="90"/>
      <c r="AEV418" s="90"/>
      <c r="AEW418" s="90"/>
      <c r="AEX418" s="90"/>
      <c r="AEY418" s="90"/>
      <c r="AEZ418" s="90"/>
      <c r="AFA418" s="90"/>
      <c r="AFB418" s="90"/>
      <c r="AFC418" s="90"/>
      <c r="AFD418" s="90"/>
      <c r="AFE418" s="90"/>
      <c r="AFF418" s="90"/>
      <c r="AFG418" s="90"/>
      <c r="AFH418" s="90"/>
      <c r="AFI418" s="90"/>
      <c r="AFJ418" s="90"/>
      <c r="AFK418" s="90"/>
      <c r="AFL418" s="90"/>
      <c r="AFM418" s="90"/>
      <c r="AFN418" s="90"/>
      <c r="AFO418" s="90"/>
      <c r="AFP418" s="90"/>
      <c r="AFQ418" s="90"/>
      <c r="AFR418" s="90"/>
      <c r="AFS418" s="90"/>
      <c r="AFT418" s="90"/>
      <c r="AFU418" s="90"/>
      <c r="AFV418" s="90"/>
      <c r="AFW418" s="90"/>
      <c r="AFX418" s="90"/>
      <c r="AFY418" s="90"/>
      <c r="AFZ418" s="90"/>
      <c r="AGA418" s="90"/>
      <c r="AGB418" s="90"/>
      <c r="AGC418" s="90"/>
      <c r="AGD418" s="90"/>
      <c r="AGE418" s="90"/>
      <c r="AGF418" s="90"/>
      <c r="AGG418" s="90"/>
      <c r="AGH418" s="90"/>
      <c r="AGI418" s="90"/>
      <c r="AGJ418" s="90"/>
      <c r="AGK418" s="90"/>
      <c r="AGL418" s="90"/>
      <c r="AGM418" s="90"/>
      <c r="AGN418" s="90"/>
      <c r="AGO418" s="90"/>
      <c r="AGP418" s="90"/>
      <c r="AGQ418" s="90"/>
      <c r="AGR418" s="90"/>
      <c r="AGS418" s="90"/>
      <c r="AGT418" s="90"/>
      <c r="AGU418" s="90"/>
      <c r="AGV418" s="90"/>
      <c r="AGW418" s="90"/>
      <c r="AGX418" s="90"/>
      <c r="AGY418" s="90"/>
      <c r="AGZ418" s="90"/>
      <c r="AHA418" s="90"/>
      <c r="AHB418" s="90"/>
      <c r="AHC418" s="90"/>
      <c r="AHD418" s="90"/>
      <c r="AHE418" s="90"/>
      <c r="AHF418" s="90"/>
      <c r="AHG418" s="90"/>
      <c r="AHH418" s="90"/>
      <c r="AHI418" s="90"/>
      <c r="AHJ418" s="90"/>
      <c r="AHK418" s="90"/>
      <c r="AHL418" s="90"/>
      <c r="AHM418" s="90"/>
      <c r="AHN418" s="90"/>
      <c r="AHO418" s="90"/>
      <c r="AHP418" s="90"/>
      <c r="AHQ418" s="90"/>
      <c r="AHR418" s="90"/>
      <c r="AHS418" s="90"/>
      <c r="AHT418" s="90"/>
      <c r="AHU418" s="90"/>
      <c r="AHV418" s="90"/>
      <c r="AHW418" s="90"/>
      <c r="AHX418" s="90"/>
      <c r="AHY418" s="90"/>
      <c r="AHZ418" s="90"/>
      <c r="AIA418" s="90"/>
      <c r="AIB418" s="90"/>
      <c r="AIC418" s="90"/>
      <c r="AID418" s="90"/>
      <c r="AIE418" s="90"/>
      <c r="AIF418" s="90"/>
      <c r="AIG418" s="90"/>
      <c r="AIH418" s="90"/>
      <c r="AII418" s="90"/>
      <c r="AIJ418" s="90"/>
      <c r="AIK418" s="90"/>
      <c r="AIL418" s="90"/>
      <c r="AIM418" s="90"/>
      <c r="AIN418" s="90"/>
      <c r="AIO418" s="90"/>
      <c r="AIP418" s="90"/>
      <c r="AIQ418" s="90"/>
      <c r="AIR418" s="90"/>
      <c r="AIS418" s="90"/>
      <c r="AIT418" s="90"/>
      <c r="AIU418" s="90"/>
      <c r="AIV418" s="90"/>
      <c r="AIW418" s="90"/>
      <c r="AIX418" s="90"/>
      <c r="AIY418" s="90"/>
      <c r="AIZ418" s="90"/>
      <c r="AJA418" s="90"/>
      <c r="AJB418" s="90"/>
      <c r="AJC418" s="90"/>
      <c r="AJD418" s="90"/>
      <c r="AJE418" s="90"/>
      <c r="AJF418" s="90"/>
      <c r="AJG418" s="90"/>
      <c r="AJH418" s="90"/>
      <c r="AJI418" s="90"/>
      <c r="AJJ418" s="90"/>
      <c r="AJK418" s="90"/>
      <c r="AJL418" s="90"/>
      <c r="AJM418" s="90"/>
      <c r="AJN418" s="90"/>
      <c r="AJO418" s="90"/>
      <c r="AJP418" s="90"/>
      <c r="AJQ418" s="90"/>
      <c r="AJR418" s="90"/>
      <c r="AJS418" s="90"/>
      <c r="AJT418" s="90"/>
      <c r="AJU418" s="90"/>
      <c r="AJV418" s="90"/>
      <c r="AJW418" s="90"/>
      <c r="AJX418" s="90"/>
      <c r="AJY418" s="90"/>
      <c r="AJZ418" s="90"/>
      <c r="AKA418" s="90"/>
      <c r="AKB418" s="90"/>
      <c r="AKC418" s="90"/>
      <c r="AKD418" s="90"/>
      <c r="AKE418" s="90"/>
      <c r="AKF418" s="90"/>
      <c r="AKG418" s="90"/>
      <c r="AKH418" s="90"/>
      <c r="AKI418" s="90"/>
      <c r="AKJ418" s="90"/>
      <c r="AKK418" s="90"/>
      <c r="AKL418" s="90"/>
      <c r="AKM418" s="90"/>
      <c r="AKN418" s="90"/>
      <c r="AKO418" s="90"/>
      <c r="AKP418" s="90"/>
      <c r="AKQ418" s="90"/>
      <c r="AKR418" s="90"/>
      <c r="AKS418" s="90"/>
      <c r="AKT418" s="90"/>
      <c r="AKU418" s="90"/>
      <c r="AKV418" s="90"/>
      <c r="AKW418" s="90"/>
      <c r="AKX418" s="90"/>
      <c r="AKY418" s="90"/>
      <c r="AKZ418" s="90"/>
      <c r="ALA418" s="90"/>
      <c r="ALB418" s="90"/>
      <c r="ALC418" s="90"/>
      <c r="ALD418" s="90"/>
      <c r="ALE418" s="90"/>
      <c r="ALF418" s="90"/>
      <c r="ALG418" s="90"/>
      <c r="ALH418" s="90"/>
      <c r="ALI418" s="90"/>
      <c r="ALJ418" s="90"/>
      <c r="ALK418" s="90"/>
      <c r="ALL418" s="90"/>
      <c r="ALM418" s="90"/>
      <c r="ALN418" s="90"/>
      <c r="ALO418" s="90"/>
      <c r="ALP418" s="90"/>
      <c r="ALQ418" s="90"/>
      <c r="ALR418" s="90"/>
      <c r="ALS418" s="90"/>
      <c r="ALT418" s="90"/>
      <c r="ALU418" s="90"/>
      <c r="ALV418" s="90"/>
      <c r="ALW418" s="90"/>
      <c r="ALX418" s="90"/>
      <c r="ALY418" s="90"/>
      <c r="ALZ418" s="90"/>
      <c r="AMA418" s="90"/>
      <c r="AMB418" s="90"/>
      <c r="AMC418" s="90"/>
    </row>
    <row r="419" spans="1:1017">
      <c r="A419" s="98" t="s">
        <v>55</v>
      </c>
      <c r="B419" s="90" t="str">
        <f t="shared" si="2095"/>
        <v xml:space="preserve">Udang Vaname </v>
      </c>
      <c r="E419" s="98">
        <v>755000</v>
      </c>
      <c r="F419" s="98">
        <v>40395000</v>
      </c>
      <c r="Q419" s="91">
        <f t="shared" si="2096"/>
        <v>755000</v>
      </c>
      <c r="R419" s="91">
        <f t="shared" si="2097"/>
        <v>40395000</v>
      </c>
      <c r="U419" s="98">
        <v>1716000</v>
      </c>
      <c r="V419" s="98">
        <v>85800000</v>
      </c>
      <c r="AG419" s="91">
        <f t="shared" si="2098"/>
        <v>1716000</v>
      </c>
      <c r="AH419" s="91">
        <f t="shared" si="2099"/>
        <v>85800000</v>
      </c>
      <c r="AK419" s="98">
        <v>36300</v>
      </c>
      <c r="AL419" s="98">
        <v>2359500</v>
      </c>
      <c r="AW419" s="91">
        <f t="shared" si="2100"/>
        <v>36300</v>
      </c>
      <c r="AX419" s="91">
        <f t="shared" si="2101"/>
        <v>2359500</v>
      </c>
      <c r="BM419" s="91">
        <f t="shared" si="2102"/>
        <v>0</v>
      </c>
      <c r="BN419" s="91">
        <f t="shared" si="2103"/>
        <v>0</v>
      </c>
      <c r="CC419" s="91">
        <f t="shared" si="2104"/>
        <v>0</v>
      </c>
      <c r="CD419" s="91">
        <f t="shared" si="2105"/>
        <v>0</v>
      </c>
      <c r="CG419" s="98">
        <v>1243747.9016700657</v>
      </c>
      <c r="CH419" s="98">
        <v>62187395.083503291</v>
      </c>
      <c r="CS419" s="91">
        <f t="shared" si="2106"/>
        <v>1243747.9016700657</v>
      </c>
      <c r="CT419" s="91">
        <f t="shared" si="2107"/>
        <v>62187395.083503291</v>
      </c>
      <c r="CW419" s="98">
        <v>422571.53524411866</v>
      </c>
      <c r="CX419" s="98">
        <v>25354292.116</v>
      </c>
      <c r="DI419" s="91">
        <f t="shared" si="2108"/>
        <v>422571.53524411866</v>
      </c>
      <c r="DJ419" s="91">
        <f t="shared" si="2109"/>
        <v>25354292.116</v>
      </c>
      <c r="DY419" s="91">
        <f t="shared" si="2110"/>
        <v>0</v>
      </c>
      <c r="DZ419" s="91">
        <f t="shared" si="2111"/>
        <v>0</v>
      </c>
      <c r="EO419" s="91">
        <f t="shared" si="2112"/>
        <v>0</v>
      </c>
      <c r="EP419" s="91">
        <f t="shared" si="2113"/>
        <v>0</v>
      </c>
      <c r="ES419" s="98">
        <v>179149</v>
      </c>
      <c r="ET419" s="98">
        <v>8061705</v>
      </c>
      <c r="EW419" s="98">
        <v>39100</v>
      </c>
      <c r="EX419" s="98">
        <v>1759500</v>
      </c>
      <c r="FE419" s="91">
        <f t="shared" si="2114"/>
        <v>218249</v>
      </c>
      <c r="FF419" s="91">
        <f t="shared" si="2115"/>
        <v>9821205</v>
      </c>
      <c r="FI419" s="98">
        <v>115000</v>
      </c>
      <c r="FJ419" s="98">
        <v>6900000</v>
      </c>
      <c r="FU419" s="91">
        <f t="shared" si="2116"/>
        <v>115000</v>
      </c>
      <c r="FV419" s="91">
        <f t="shared" si="2117"/>
        <v>6900000</v>
      </c>
      <c r="GK419" s="91">
        <f t="shared" si="2118"/>
        <v>0</v>
      </c>
      <c r="GL419" s="91">
        <f t="shared" si="2119"/>
        <v>0</v>
      </c>
      <c r="HA419" s="91">
        <f t="shared" si="2120"/>
        <v>0</v>
      </c>
      <c r="HB419" s="91">
        <f t="shared" si="2121"/>
        <v>0</v>
      </c>
      <c r="HE419" s="98">
        <v>180000</v>
      </c>
      <c r="HF419" s="98">
        <v>13320000</v>
      </c>
      <c r="HQ419" s="91">
        <f t="shared" si="2122"/>
        <v>180000</v>
      </c>
      <c r="HR419" s="91">
        <f t="shared" si="2123"/>
        <v>13320000</v>
      </c>
      <c r="IG419" s="91">
        <f t="shared" si="2124"/>
        <v>0</v>
      </c>
      <c r="IH419" s="91">
        <f t="shared" si="2125"/>
        <v>0</v>
      </c>
      <c r="IW419" s="91">
        <f t="shared" si="2126"/>
        <v>0</v>
      </c>
      <c r="IX419" s="91">
        <f t="shared" si="2127"/>
        <v>0</v>
      </c>
      <c r="JM419" s="91">
        <f t="shared" si="2128"/>
        <v>0</v>
      </c>
      <c r="JN419" s="91">
        <f t="shared" si="2129"/>
        <v>0</v>
      </c>
      <c r="JQ419" s="98">
        <v>173383</v>
      </c>
      <c r="JR419" s="98">
        <v>13870640</v>
      </c>
      <c r="KC419" s="91">
        <f t="shared" si="2130"/>
        <v>173383</v>
      </c>
      <c r="KD419" s="91">
        <f t="shared" si="2131"/>
        <v>13870640</v>
      </c>
      <c r="KG419" s="98">
        <v>55120</v>
      </c>
      <c r="KH419" s="98">
        <v>3307200</v>
      </c>
      <c r="KS419" s="91">
        <f t="shared" si="2132"/>
        <v>55120</v>
      </c>
      <c r="KT419" s="91">
        <f t="shared" si="2133"/>
        <v>3307200</v>
      </c>
      <c r="KW419" s="98">
        <v>96376.639999999999</v>
      </c>
      <c r="KX419" s="98">
        <v>4818832</v>
      </c>
      <c r="LI419" s="91">
        <f t="shared" si="2134"/>
        <v>96376.639999999999</v>
      </c>
      <c r="LJ419" s="91">
        <f t="shared" si="2135"/>
        <v>4818832</v>
      </c>
      <c r="LY419" s="91">
        <f t="shared" si="2136"/>
        <v>0</v>
      </c>
      <c r="LZ419" s="91">
        <f t="shared" si="2137"/>
        <v>0</v>
      </c>
      <c r="MC419" s="98">
        <v>541790</v>
      </c>
      <c r="MD419" s="98">
        <v>27089500</v>
      </c>
      <c r="MO419" s="91">
        <f t="shared" si="2138"/>
        <v>541790</v>
      </c>
      <c r="MP419" s="91">
        <f t="shared" si="2139"/>
        <v>27089500</v>
      </c>
      <c r="MS419" s="98">
        <v>2000</v>
      </c>
      <c r="MT419" s="98">
        <v>130000</v>
      </c>
      <c r="NE419" s="91">
        <f t="shared" si="2140"/>
        <v>2000</v>
      </c>
      <c r="NF419" s="91">
        <f t="shared" si="2141"/>
        <v>130000</v>
      </c>
      <c r="NI419" s="98">
        <v>487800</v>
      </c>
      <c r="NJ419" s="98">
        <v>29268000</v>
      </c>
      <c r="NU419" s="91">
        <f t="shared" si="2142"/>
        <v>487800</v>
      </c>
      <c r="NV419" s="91">
        <f t="shared" si="2143"/>
        <v>29268000</v>
      </c>
      <c r="NY419" s="98">
        <v>831384</v>
      </c>
      <c r="NZ419" s="98">
        <v>33255360</v>
      </c>
      <c r="OK419" s="91">
        <f t="shared" si="2144"/>
        <v>831384</v>
      </c>
      <c r="OL419" s="91">
        <f t="shared" si="2145"/>
        <v>33255360</v>
      </c>
      <c r="OO419" s="98">
        <v>503197</v>
      </c>
      <c r="OP419" s="98">
        <v>31701411</v>
      </c>
      <c r="PA419" s="91">
        <f t="shared" si="2146"/>
        <v>503197</v>
      </c>
      <c r="PB419" s="91">
        <f t="shared" si="2147"/>
        <v>31701411</v>
      </c>
      <c r="PE419" s="98">
        <v>13154</v>
      </c>
      <c r="PF419" s="98">
        <v>855010</v>
      </c>
      <c r="PQ419" s="91">
        <f t="shared" si="2148"/>
        <v>13154</v>
      </c>
      <c r="PR419" s="91">
        <f t="shared" si="2149"/>
        <v>855010</v>
      </c>
      <c r="PU419" s="98">
        <v>968200</v>
      </c>
      <c r="PV419" s="98">
        <v>48410000</v>
      </c>
      <c r="QA419" s="98">
        <v>336370</v>
      </c>
      <c r="QB419" s="98">
        <v>20182200</v>
      </c>
      <c r="QG419" s="91">
        <f t="shared" si="2150"/>
        <v>1304570</v>
      </c>
      <c r="QH419" s="91">
        <f t="shared" si="2151"/>
        <v>68592200</v>
      </c>
      <c r="QW419" s="91">
        <f t="shared" si="2152"/>
        <v>0</v>
      </c>
      <c r="QX419" s="91">
        <f t="shared" si="2153"/>
        <v>0</v>
      </c>
      <c r="RM419" s="91">
        <f t="shared" si="2154"/>
        <v>0</v>
      </c>
      <c r="RN419" s="91">
        <f t="shared" si="2155"/>
        <v>0</v>
      </c>
      <c r="SC419" s="91">
        <f t="shared" si="2156"/>
        <v>0</v>
      </c>
      <c r="SD419" s="91">
        <f t="shared" si="2157"/>
        <v>0</v>
      </c>
      <c r="SS419" s="91">
        <f t="shared" si="2158"/>
        <v>0</v>
      </c>
      <c r="ST419" s="91">
        <f t="shared" si="2159"/>
        <v>0</v>
      </c>
      <c r="TI419" s="91">
        <f t="shared" si="2160"/>
        <v>0</v>
      </c>
      <c r="TJ419" s="91">
        <f t="shared" si="2161"/>
        <v>0</v>
      </c>
      <c r="TY419" s="91">
        <f t="shared" si="2162"/>
        <v>0</v>
      </c>
      <c r="TZ419" s="91">
        <f t="shared" si="2163"/>
        <v>0</v>
      </c>
      <c r="UO419" s="91">
        <f t="shared" si="2164"/>
        <v>0</v>
      </c>
      <c r="UP419" s="91">
        <f t="shared" si="2165"/>
        <v>0</v>
      </c>
      <c r="US419" s="98">
        <v>680</v>
      </c>
      <c r="UT419" s="98">
        <v>44200</v>
      </c>
      <c r="VE419" s="91">
        <f t="shared" si="2166"/>
        <v>680</v>
      </c>
      <c r="VF419" s="91">
        <f t="shared" si="2167"/>
        <v>44200</v>
      </c>
      <c r="VI419" s="98">
        <v>41606</v>
      </c>
      <c r="VJ419" s="98">
        <v>2288330</v>
      </c>
      <c r="VU419" s="91">
        <f t="shared" si="2168"/>
        <v>41606</v>
      </c>
      <c r="VV419" s="91">
        <f t="shared" si="2169"/>
        <v>2288330</v>
      </c>
      <c r="VY419" s="98">
        <f>7140+10620</f>
        <v>17760</v>
      </c>
      <c r="VZ419" s="98">
        <f>392700+584100</f>
        <v>976800</v>
      </c>
      <c r="WK419" s="91">
        <f t="shared" si="2170"/>
        <v>17760</v>
      </c>
      <c r="WL419" s="91">
        <f t="shared" si="2171"/>
        <v>976800</v>
      </c>
      <c r="WM419" s="89"/>
      <c r="WN419" s="87">
        <f t="shared" si="2172"/>
        <v>0</v>
      </c>
      <c r="WO419" s="87">
        <f t="shared" si="2173"/>
        <v>0</v>
      </c>
      <c r="WP419" s="87">
        <f t="shared" si="2174"/>
        <v>8380219.0769141838</v>
      </c>
      <c r="WQ419" s="87">
        <f t="shared" si="2175"/>
        <v>440393175.1995033</v>
      </c>
      <c r="WR419" s="87">
        <f t="shared" si="2176"/>
        <v>0</v>
      </c>
      <c r="WS419" s="87">
        <f t="shared" si="2177"/>
        <v>0</v>
      </c>
      <c r="WT419" s="87">
        <f t="shared" si="2178"/>
        <v>39100</v>
      </c>
      <c r="WU419" s="87">
        <f t="shared" si="2179"/>
        <v>1759500</v>
      </c>
      <c r="WV419" s="87">
        <f t="shared" si="2180"/>
        <v>336370</v>
      </c>
      <c r="WW419" s="87">
        <f t="shared" si="2181"/>
        <v>20182200</v>
      </c>
      <c r="WX419" s="87">
        <f t="shared" si="2182"/>
        <v>0</v>
      </c>
      <c r="WY419" s="87">
        <f t="shared" si="2183"/>
        <v>0</v>
      </c>
      <c r="WZ419" s="87">
        <f t="shared" si="2190"/>
        <v>0</v>
      </c>
      <c r="XA419" s="87">
        <f t="shared" si="2191"/>
        <v>0</v>
      </c>
      <c r="XB419" s="92">
        <f t="shared" si="2192"/>
        <v>8755689.0769141838</v>
      </c>
      <c r="XC419" s="92">
        <f t="shared" si="2193"/>
        <v>462334875.1995033</v>
      </c>
      <c r="XD419" s="89"/>
      <c r="XE419" s="92"/>
      <c r="XF419" s="92"/>
      <c r="XG419" s="89"/>
      <c r="XH419" s="92"/>
      <c r="XI419" s="92"/>
      <c r="XJ419" s="89"/>
      <c r="XK419" s="87"/>
      <c r="XL419" s="87"/>
      <c r="XM419" s="87"/>
      <c r="XN419" s="87"/>
      <c r="XO419" s="87"/>
      <c r="XP419" s="87"/>
      <c r="XQ419" s="87"/>
      <c r="XR419" s="92">
        <f t="shared" ca="1" si="2188"/>
        <v>0</v>
      </c>
      <c r="XS419" s="89"/>
      <c r="XT419" s="87"/>
      <c r="XU419" s="87"/>
      <c r="XV419" s="87"/>
      <c r="XW419" s="87"/>
      <c r="XX419" s="87"/>
      <c r="XY419" s="87"/>
      <c r="XZ419" s="87"/>
      <c r="YA419" s="92">
        <f t="shared" ca="1" si="2189"/>
        <v>0</v>
      </c>
      <c r="YB419" s="90"/>
      <c r="YC419" s="90"/>
      <c r="YD419" s="90"/>
      <c r="YE419" s="90"/>
      <c r="YF419" s="90"/>
      <c r="YG419" s="90"/>
      <c r="YH419" s="90"/>
      <c r="YI419" s="90"/>
      <c r="YJ419" s="90"/>
      <c r="YK419" s="90"/>
      <c r="YL419" s="90"/>
      <c r="YM419" s="90"/>
      <c r="YN419" s="90"/>
      <c r="YO419" s="90"/>
      <c r="YP419" s="90"/>
      <c r="YQ419" s="90"/>
      <c r="YR419" s="90"/>
      <c r="YS419" s="90"/>
      <c r="YT419" s="90"/>
      <c r="YU419" s="90"/>
      <c r="YV419" s="90"/>
      <c r="YW419" s="90"/>
      <c r="YX419" s="90"/>
      <c r="YY419" s="90"/>
      <c r="YZ419" s="90"/>
      <c r="ZA419" s="90"/>
      <c r="ZB419" s="90"/>
      <c r="ZC419" s="90"/>
      <c r="ZD419" s="90"/>
      <c r="ZE419" s="90"/>
      <c r="ZF419" s="90"/>
      <c r="ZG419" s="90"/>
      <c r="ZH419" s="90"/>
      <c r="ZI419" s="90"/>
      <c r="ZJ419" s="90"/>
      <c r="ZK419" s="90"/>
      <c r="ZL419" s="90"/>
      <c r="ZM419" s="90"/>
      <c r="ZN419" s="90"/>
      <c r="ZO419" s="90"/>
      <c r="ZP419" s="90"/>
      <c r="ZQ419" s="90"/>
      <c r="ZR419" s="90"/>
      <c r="ZS419" s="90"/>
      <c r="ZT419" s="90"/>
      <c r="ZU419" s="90"/>
      <c r="ZV419" s="90"/>
      <c r="ZW419" s="90"/>
      <c r="ZX419" s="90"/>
      <c r="ZY419" s="90"/>
      <c r="ZZ419" s="90"/>
      <c r="AAA419" s="90"/>
      <c r="AAB419" s="90"/>
      <c r="AAC419" s="90"/>
      <c r="AAD419" s="90"/>
      <c r="AAE419" s="90"/>
      <c r="AAF419" s="90"/>
      <c r="AAG419" s="90"/>
      <c r="AAH419" s="90"/>
      <c r="AAI419" s="90"/>
      <c r="AAJ419" s="90"/>
      <c r="AAK419" s="90"/>
      <c r="AAL419" s="90"/>
      <c r="AAM419" s="90"/>
      <c r="AAN419" s="90"/>
      <c r="AAO419" s="90"/>
      <c r="AAP419" s="90"/>
      <c r="AAQ419" s="90"/>
      <c r="AAR419" s="90"/>
      <c r="AAS419" s="90"/>
      <c r="AAT419" s="90"/>
      <c r="AAU419" s="90"/>
      <c r="AAV419" s="90"/>
      <c r="AAW419" s="90"/>
      <c r="AAX419" s="90"/>
      <c r="AAY419" s="90"/>
      <c r="AAZ419" s="90"/>
      <c r="ABA419" s="90"/>
      <c r="ABB419" s="90"/>
      <c r="ABC419" s="90"/>
      <c r="ABD419" s="90"/>
      <c r="ABE419" s="90"/>
      <c r="ABF419" s="90"/>
      <c r="ABG419" s="90"/>
      <c r="ABH419" s="90"/>
      <c r="ABI419" s="90"/>
      <c r="ABJ419" s="90"/>
      <c r="ABK419" s="90"/>
      <c r="ABL419" s="90"/>
      <c r="ABM419" s="90"/>
      <c r="ABN419" s="90"/>
      <c r="ABO419" s="90"/>
      <c r="ABP419" s="90"/>
      <c r="ABQ419" s="90"/>
      <c r="ABR419" s="90"/>
      <c r="ABS419" s="90"/>
      <c r="ABT419" s="90"/>
      <c r="ABU419" s="90"/>
      <c r="ABV419" s="90"/>
      <c r="ABW419" s="90"/>
      <c r="ABX419" s="90"/>
      <c r="ABY419" s="90"/>
      <c r="ABZ419" s="90"/>
      <c r="ACA419" s="90"/>
      <c r="ACB419" s="90"/>
      <c r="ACC419" s="90"/>
      <c r="ACD419" s="90"/>
      <c r="ACE419" s="90"/>
      <c r="ACF419" s="90"/>
      <c r="ACG419" s="90"/>
      <c r="ACH419" s="90"/>
      <c r="ACI419" s="90"/>
      <c r="ACJ419" s="90"/>
      <c r="ACK419" s="90"/>
      <c r="ACL419" s="90"/>
      <c r="ACM419" s="90"/>
      <c r="ACN419" s="90"/>
      <c r="ACO419" s="90"/>
      <c r="ACP419" s="90"/>
      <c r="ACQ419" s="90"/>
      <c r="ACR419" s="90"/>
      <c r="ACS419" s="90"/>
      <c r="ACT419" s="90"/>
      <c r="ACU419" s="90"/>
      <c r="ACV419" s="90"/>
      <c r="ACW419" s="90"/>
      <c r="ACX419" s="90"/>
      <c r="ACY419" s="90"/>
      <c r="ACZ419" s="90"/>
      <c r="ADA419" s="90"/>
      <c r="ADB419" s="90"/>
      <c r="ADC419" s="90"/>
      <c r="ADD419" s="90"/>
      <c r="ADE419" s="90"/>
      <c r="ADF419" s="90"/>
      <c r="ADG419" s="90"/>
      <c r="ADH419" s="90"/>
      <c r="ADI419" s="90"/>
      <c r="ADJ419" s="90"/>
      <c r="ADK419" s="90"/>
      <c r="ADL419" s="90"/>
      <c r="ADM419" s="90"/>
      <c r="ADN419" s="90"/>
      <c r="ADO419" s="90"/>
      <c r="ADP419" s="90"/>
      <c r="ADQ419" s="90"/>
      <c r="ADR419" s="90"/>
      <c r="ADS419" s="90"/>
      <c r="ADT419" s="90"/>
      <c r="ADU419" s="90"/>
      <c r="ADV419" s="90"/>
      <c r="ADW419" s="90"/>
      <c r="ADX419" s="90"/>
      <c r="ADY419" s="90"/>
      <c r="ADZ419" s="90"/>
      <c r="AEA419" s="90"/>
      <c r="AEB419" s="90"/>
      <c r="AEC419" s="90"/>
      <c r="AED419" s="90"/>
      <c r="AEE419" s="90"/>
      <c r="AEF419" s="90"/>
      <c r="AEG419" s="90"/>
      <c r="AEH419" s="90"/>
      <c r="AEI419" s="90"/>
      <c r="AEJ419" s="90"/>
      <c r="AEK419" s="90"/>
      <c r="AEL419" s="90"/>
      <c r="AEM419" s="90"/>
      <c r="AEN419" s="90"/>
      <c r="AEO419" s="90"/>
      <c r="AEP419" s="90"/>
      <c r="AEQ419" s="90"/>
      <c r="AER419" s="90"/>
      <c r="AES419" s="90"/>
      <c r="AET419" s="90"/>
      <c r="AEU419" s="90"/>
      <c r="AEV419" s="90"/>
      <c r="AEW419" s="90"/>
      <c r="AEX419" s="90"/>
      <c r="AEY419" s="90"/>
      <c r="AEZ419" s="90"/>
      <c r="AFA419" s="90"/>
      <c r="AFB419" s="90"/>
      <c r="AFC419" s="90"/>
      <c r="AFD419" s="90"/>
      <c r="AFE419" s="90"/>
      <c r="AFF419" s="90"/>
      <c r="AFG419" s="90"/>
      <c r="AFH419" s="90"/>
      <c r="AFI419" s="90"/>
      <c r="AFJ419" s="90"/>
      <c r="AFK419" s="90"/>
      <c r="AFL419" s="90"/>
      <c r="AFM419" s="90"/>
      <c r="AFN419" s="90"/>
      <c r="AFO419" s="90"/>
      <c r="AFP419" s="90"/>
      <c r="AFQ419" s="90"/>
      <c r="AFR419" s="90"/>
      <c r="AFS419" s="90"/>
      <c r="AFT419" s="90"/>
      <c r="AFU419" s="90"/>
      <c r="AFV419" s="90"/>
      <c r="AFW419" s="90"/>
      <c r="AFX419" s="90"/>
      <c r="AFY419" s="90"/>
      <c r="AFZ419" s="90"/>
      <c r="AGA419" s="90"/>
      <c r="AGB419" s="90"/>
      <c r="AGC419" s="90"/>
      <c r="AGD419" s="90"/>
      <c r="AGE419" s="90"/>
      <c r="AGF419" s="90"/>
      <c r="AGG419" s="90"/>
      <c r="AGH419" s="90"/>
      <c r="AGI419" s="90"/>
      <c r="AGJ419" s="90"/>
      <c r="AGK419" s="90"/>
      <c r="AGL419" s="90"/>
      <c r="AGM419" s="90"/>
      <c r="AGN419" s="90"/>
      <c r="AGO419" s="90"/>
      <c r="AGP419" s="90"/>
      <c r="AGQ419" s="90"/>
      <c r="AGR419" s="90"/>
      <c r="AGS419" s="90"/>
      <c r="AGT419" s="90"/>
      <c r="AGU419" s="90"/>
      <c r="AGV419" s="90"/>
      <c r="AGW419" s="90"/>
      <c r="AGX419" s="90"/>
      <c r="AGY419" s="90"/>
      <c r="AGZ419" s="90"/>
      <c r="AHA419" s="90"/>
      <c r="AHB419" s="90"/>
      <c r="AHC419" s="90"/>
      <c r="AHD419" s="90"/>
      <c r="AHE419" s="90"/>
      <c r="AHF419" s="90"/>
      <c r="AHG419" s="90"/>
      <c r="AHH419" s="90"/>
      <c r="AHI419" s="90"/>
      <c r="AHJ419" s="90"/>
      <c r="AHK419" s="90"/>
      <c r="AHL419" s="90"/>
      <c r="AHM419" s="90"/>
      <c r="AHN419" s="90"/>
      <c r="AHO419" s="90"/>
      <c r="AHP419" s="90"/>
      <c r="AHQ419" s="90"/>
      <c r="AHR419" s="90"/>
      <c r="AHS419" s="90"/>
      <c r="AHT419" s="90"/>
      <c r="AHU419" s="90"/>
      <c r="AHV419" s="90"/>
      <c r="AHW419" s="90"/>
      <c r="AHX419" s="90"/>
      <c r="AHY419" s="90"/>
      <c r="AHZ419" s="90"/>
      <c r="AIA419" s="90"/>
      <c r="AIB419" s="90"/>
      <c r="AIC419" s="90"/>
      <c r="AID419" s="90"/>
      <c r="AIE419" s="90"/>
      <c r="AIF419" s="90"/>
      <c r="AIG419" s="90"/>
      <c r="AIH419" s="90"/>
      <c r="AII419" s="90"/>
      <c r="AIJ419" s="90"/>
      <c r="AIK419" s="90"/>
      <c r="AIL419" s="90"/>
      <c r="AIM419" s="90"/>
      <c r="AIN419" s="90"/>
      <c r="AIO419" s="90"/>
      <c r="AIP419" s="90"/>
      <c r="AIQ419" s="90"/>
      <c r="AIR419" s="90"/>
      <c r="AIS419" s="90"/>
      <c r="AIT419" s="90"/>
      <c r="AIU419" s="90"/>
      <c r="AIV419" s="90"/>
      <c r="AIW419" s="90"/>
      <c r="AIX419" s="90"/>
      <c r="AIY419" s="90"/>
      <c r="AIZ419" s="90"/>
      <c r="AJA419" s="90"/>
      <c r="AJB419" s="90"/>
      <c r="AJC419" s="90"/>
      <c r="AJD419" s="90"/>
      <c r="AJE419" s="90"/>
      <c r="AJF419" s="90"/>
      <c r="AJG419" s="90"/>
      <c r="AJH419" s="90"/>
      <c r="AJI419" s="90"/>
      <c r="AJJ419" s="90"/>
      <c r="AJK419" s="90"/>
      <c r="AJL419" s="90"/>
      <c r="AJM419" s="90"/>
      <c r="AJN419" s="90"/>
      <c r="AJO419" s="90"/>
      <c r="AJP419" s="90"/>
      <c r="AJQ419" s="90"/>
      <c r="AJR419" s="90"/>
      <c r="AJS419" s="90"/>
      <c r="AJT419" s="90"/>
      <c r="AJU419" s="90"/>
      <c r="AJV419" s="90"/>
      <c r="AJW419" s="90"/>
      <c r="AJX419" s="90"/>
      <c r="AJY419" s="90"/>
      <c r="AJZ419" s="90"/>
      <c r="AKA419" s="90"/>
      <c r="AKB419" s="90"/>
      <c r="AKC419" s="90"/>
      <c r="AKD419" s="90"/>
      <c r="AKE419" s="90"/>
      <c r="AKF419" s="90"/>
      <c r="AKG419" s="90"/>
      <c r="AKH419" s="90"/>
      <c r="AKI419" s="90"/>
      <c r="AKJ419" s="90"/>
      <c r="AKK419" s="90"/>
      <c r="AKL419" s="90"/>
      <c r="AKM419" s="90"/>
      <c r="AKN419" s="90"/>
      <c r="AKO419" s="90"/>
      <c r="AKP419" s="90"/>
      <c r="AKQ419" s="90"/>
      <c r="AKR419" s="90"/>
      <c r="AKS419" s="90"/>
      <c r="AKT419" s="90"/>
      <c r="AKU419" s="90"/>
      <c r="AKV419" s="90"/>
      <c r="AKW419" s="90"/>
      <c r="AKX419" s="90"/>
      <c r="AKY419" s="90"/>
      <c r="AKZ419" s="90"/>
      <c r="ALA419" s="90"/>
      <c r="ALB419" s="90"/>
      <c r="ALC419" s="90"/>
      <c r="ALD419" s="90"/>
      <c r="ALE419" s="90"/>
      <c r="ALF419" s="90"/>
      <c r="ALG419" s="90"/>
      <c r="ALH419" s="90"/>
      <c r="ALI419" s="90"/>
      <c r="ALJ419" s="90"/>
      <c r="ALK419" s="90"/>
      <c r="ALL419" s="90"/>
      <c r="ALM419" s="90"/>
      <c r="ALN419" s="90"/>
      <c r="ALO419" s="90"/>
      <c r="ALP419" s="90"/>
      <c r="ALQ419" s="90"/>
      <c r="ALR419" s="90"/>
      <c r="ALS419" s="90"/>
      <c r="ALT419" s="90"/>
      <c r="ALU419" s="90"/>
      <c r="ALV419" s="90"/>
      <c r="ALW419" s="90"/>
      <c r="ALX419" s="90"/>
      <c r="ALY419" s="90"/>
      <c r="ALZ419" s="90"/>
      <c r="AMA419" s="90"/>
      <c r="AMB419" s="90"/>
      <c r="AMC419" s="90"/>
    </row>
    <row r="420" spans="1:1017">
      <c r="A420" s="98" t="s">
        <v>55</v>
      </c>
      <c r="B420" s="90" t="str">
        <f t="shared" si="2095"/>
        <v xml:space="preserve">Udang Windu </v>
      </c>
      <c r="E420" s="98">
        <v>6100</v>
      </c>
      <c r="F420" s="98">
        <v>793000</v>
      </c>
      <c r="Q420" s="91">
        <f t="shared" si="2096"/>
        <v>6100</v>
      </c>
      <c r="R420" s="91">
        <f t="shared" si="2097"/>
        <v>793000</v>
      </c>
      <c r="AG420" s="91">
        <f t="shared" si="2098"/>
        <v>0</v>
      </c>
      <c r="AH420" s="91">
        <f t="shared" si="2099"/>
        <v>0</v>
      </c>
      <c r="AW420" s="91">
        <f t="shared" si="2100"/>
        <v>0</v>
      </c>
      <c r="AX420" s="91">
        <f t="shared" si="2101"/>
        <v>0</v>
      </c>
      <c r="BM420" s="91">
        <f t="shared" si="2102"/>
        <v>0</v>
      </c>
      <c r="BN420" s="91">
        <f t="shared" si="2103"/>
        <v>0</v>
      </c>
      <c r="CC420" s="91">
        <f t="shared" si="2104"/>
        <v>0</v>
      </c>
      <c r="CD420" s="91">
        <f t="shared" si="2105"/>
        <v>0</v>
      </c>
      <c r="CG420" s="98">
        <v>137855.81301047187</v>
      </c>
      <c r="CH420" s="98">
        <v>11028465.04083775</v>
      </c>
      <c r="CS420" s="91">
        <f t="shared" si="2106"/>
        <v>137855.81301047187</v>
      </c>
      <c r="CT420" s="91">
        <f t="shared" si="2107"/>
        <v>11028465.04083775</v>
      </c>
      <c r="DI420" s="91">
        <f t="shared" si="2108"/>
        <v>0</v>
      </c>
      <c r="DJ420" s="91">
        <f t="shared" si="2109"/>
        <v>0</v>
      </c>
      <c r="DY420" s="91">
        <f t="shared" si="2110"/>
        <v>0</v>
      </c>
      <c r="DZ420" s="91">
        <f t="shared" si="2111"/>
        <v>0</v>
      </c>
      <c r="EO420" s="91">
        <f t="shared" si="2112"/>
        <v>0</v>
      </c>
      <c r="EP420" s="91">
        <f t="shared" si="2113"/>
        <v>0</v>
      </c>
      <c r="FE420" s="91">
        <f t="shared" si="2114"/>
        <v>0</v>
      </c>
      <c r="FF420" s="91">
        <f t="shared" si="2115"/>
        <v>0</v>
      </c>
      <c r="FU420" s="91">
        <f t="shared" si="2116"/>
        <v>0</v>
      </c>
      <c r="FV420" s="91">
        <f t="shared" si="2117"/>
        <v>0</v>
      </c>
      <c r="GK420" s="91">
        <f t="shared" si="2118"/>
        <v>0</v>
      </c>
      <c r="GL420" s="91">
        <f t="shared" si="2119"/>
        <v>0</v>
      </c>
      <c r="HA420" s="91">
        <f t="shared" si="2120"/>
        <v>0</v>
      </c>
      <c r="HB420" s="91">
        <f t="shared" si="2121"/>
        <v>0</v>
      </c>
      <c r="HQ420" s="91">
        <f t="shared" si="2122"/>
        <v>0</v>
      </c>
      <c r="HR420" s="91">
        <f t="shared" si="2123"/>
        <v>0</v>
      </c>
      <c r="IG420" s="91">
        <f t="shared" si="2124"/>
        <v>0</v>
      </c>
      <c r="IH420" s="91">
        <f t="shared" si="2125"/>
        <v>0</v>
      </c>
      <c r="IW420" s="91">
        <f t="shared" si="2126"/>
        <v>0</v>
      </c>
      <c r="IX420" s="91">
        <f t="shared" si="2127"/>
        <v>0</v>
      </c>
      <c r="JM420" s="91">
        <f t="shared" si="2128"/>
        <v>0</v>
      </c>
      <c r="JN420" s="91">
        <f t="shared" si="2129"/>
        <v>0</v>
      </c>
      <c r="KC420" s="91">
        <f t="shared" si="2130"/>
        <v>0</v>
      </c>
      <c r="KD420" s="91">
        <f t="shared" si="2131"/>
        <v>0</v>
      </c>
      <c r="KS420" s="91">
        <f t="shared" si="2132"/>
        <v>0</v>
      </c>
      <c r="KT420" s="91">
        <f t="shared" si="2133"/>
        <v>0</v>
      </c>
      <c r="KW420" s="98">
        <v>670.01</v>
      </c>
      <c r="KX420" s="98">
        <v>63650</v>
      </c>
      <c r="LI420" s="91">
        <f t="shared" si="2134"/>
        <v>670.01</v>
      </c>
      <c r="LJ420" s="91">
        <f t="shared" si="2135"/>
        <v>63650</v>
      </c>
      <c r="LY420" s="91">
        <f t="shared" si="2136"/>
        <v>0</v>
      </c>
      <c r="LZ420" s="91">
        <f t="shared" si="2137"/>
        <v>0</v>
      </c>
      <c r="MO420" s="91">
        <f t="shared" si="2138"/>
        <v>0</v>
      </c>
      <c r="MP420" s="91">
        <f t="shared" si="2139"/>
        <v>0</v>
      </c>
      <c r="MS420" s="98">
        <v>300</v>
      </c>
      <c r="MT420" s="98">
        <f>MS420*80</f>
        <v>24000</v>
      </c>
      <c r="NE420" s="91">
        <f t="shared" si="2140"/>
        <v>300</v>
      </c>
      <c r="NF420" s="91">
        <f t="shared" si="2141"/>
        <v>24000</v>
      </c>
      <c r="NI420" s="98">
        <v>360267</v>
      </c>
      <c r="NJ420" s="98">
        <v>32424030</v>
      </c>
      <c r="NU420" s="91">
        <f t="shared" si="2142"/>
        <v>360267</v>
      </c>
      <c r="NV420" s="91">
        <f t="shared" si="2143"/>
        <v>32424030</v>
      </c>
      <c r="NY420" s="98">
        <v>51</v>
      </c>
      <c r="NZ420" s="98">
        <v>7650</v>
      </c>
      <c r="OK420" s="91">
        <f t="shared" si="2144"/>
        <v>51</v>
      </c>
      <c r="OL420" s="91">
        <f t="shared" si="2145"/>
        <v>7650</v>
      </c>
      <c r="PA420" s="91">
        <f t="shared" si="2146"/>
        <v>0</v>
      </c>
      <c r="PB420" s="91">
        <f t="shared" si="2147"/>
        <v>0</v>
      </c>
      <c r="PQ420" s="91">
        <f t="shared" si="2148"/>
        <v>0</v>
      </c>
      <c r="PR420" s="91">
        <f t="shared" si="2149"/>
        <v>0</v>
      </c>
      <c r="QG420" s="91">
        <f t="shared" si="2150"/>
        <v>0</v>
      </c>
      <c r="QH420" s="91">
        <f t="shared" si="2151"/>
        <v>0</v>
      </c>
      <c r="QW420" s="91">
        <f t="shared" si="2152"/>
        <v>0</v>
      </c>
      <c r="QX420" s="91">
        <f t="shared" si="2153"/>
        <v>0</v>
      </c>
      <c r="RM420" s="91">
        <f t="shared" si="2154"/>
        <v>0</v>
      </c>
      <c r="RN420" s="91">
        <f t="shared" si="2155"/>
        <v>0</v>
      </c>
      <c r="SC420" s="91">
        <f t="shared" si="2156"/>
        <v>0</v>
      </c>
      <c r="SD420" s="91">
        <f t="shared" si="2157"/>
        <v>0</v>
      </c>
      <c r="SS420" s="91">
        <f t="shared" si="2158"/>
        <v>0</v>
      </c>
      <c r="ST420" s="91">
        <f t="shared" si="2159"/>
        <v>0</v>
      </c>
      <c r="TI420" s="91">
        <f t="shared" si="2160"/>
        <v>0</v>
      </c>
      <c r="TJ420" s="91">
        <f t="shared" si="2161"/>
        <v>0</v>
      </c>
      <c r="TY420" s="91">
        <f t="shared" si="2162"/>
        <v>0</v>
      </c>
      <c r="TZ420" s="91">
        <f t="shared" si="2163"/>
        <v>0</v>
      </c>
      <c r="UO420" s="91">
        <f t="shared" si="2164"/>
        <v>0</v>
      </c>
      <c r="UP420" s="91">
        <f t="shared" si="2165"/>
        <v>0</v>
      </c>
      <c r="VE420" s="91">
        <f t="shared" si="2166"/>
        <v>0</v>
      </c>
      <c r="VF420" s="91">
        <f t="shared" si="2167"/>
        <v>0</v>
      </c>
      <c r="VI420" s="98">
        <v>25</v>
      </c>
      <c r="VJ420" s="98">
        <v>1625</v>
      </c>
      <c r="VU420" s="91">
        <f t="shared" si="2168"/>
        <v>25</v>
      </c>
      <c r="VV420" s="91">
        <f t="shared" si="2169"/>
        <v>1625</v>
      </c>
      <c r="WK420" s="91">
        <f t="shared" si="2170"/>
        <v>0</v>
      </c>
      <c r="WL420" s="91">
        <f t="shared" si="2171"/>
        <v>0</v>
      </c>
      <c r="WM420" s="89"/>
      <c r="WN420" s="87">
        <f t="shared" si="2172"/>
        <v>0</v>
      </c>
      <c r="WO420" s="87">
        <f t="shared" si="2173"/>
        <v>0</v>
      </c>
      <c r="WP420" s="87">
        <f t="shared" si="2174"/>
        <v>505268.82301047188</v>
      </c>
      <c r="WQ420" s="87">
        <f t="shared" si="2175"/>
        <v>44342420.04083775</v>
      </c>
      <c r="WR420" s="87">
        <f t="shared" si="2176"/>
        <v>0</v>
      </c>
      <c r="WS420" s="87">
        <f t="shared" si="2177"/>
        <v>0</v>
      </c>
      <c r="WT420" s="87">
        <f t="shared" si="2178"/>
        <v>0</v>
      </c>
      <c r="WU420" s="87">
        <f t="shared" si="2179"/>
        <v>0</v>
      </c>
      <c r="WV420" s="87">
        <f t="shared" si="2180"/>
        <v>0</v>
      </c>
      <c r="WW420" s="87">
        <f t="shared" si="2181"/>
        <v>0</v>
      </c>
      <c r="WX420" s="87">
        <f t="shared" si="2182"/>
        <v>0</v>
      </c>
      <c r="WY420" s="87">
        <f t="shared" si="2183"/>
        <v>0</v>
      </c>
      <c r="WZ420" s="87">
        <f t="shared" si="2190"/>
        <v>0</v>
      </c>
      <c r="XA420" s="87">
        <f t="shared" si="2191"/>
        <v>0</v>
      </c>
      <c r="XB420" s="92">
        <f t="shared" si="2192"/>
        <v>505268.82301047188</v>
      </c>
      <c r="XC420" s="92">
        <f t="shared" si="2193"/>
        <v>44342420.04083775</v>
      </c>
      <c r="XD420" s="89"/>
      <c r="XE420" s="92"/>
      <c r="XF420" s="92"/>
      <c r="XG420" s="89"/>
      <c r="XH420" s="92"/>
      <c r="XI420" s="92"/>
      <c r="XJ420" s="89"/>
      <c r="XK420" s="87"/>
      <c r="XL420" s="87"/>
      <c r="XM420" s="87"/>
      <c r="XN420" s="87"/>
      <c r="XO420" s="87"/>
      <c r="XP420" s="87"/>
      <c r="XQ420" s="87"/>
      <c r="XR420" s="92">
        <f t="shared" ca="1" si="2188"/>
        <v>0</v>
      </c>
      <c r="XS420" s="89"/>
      <c r="XT420" s="87"/>
      <c r="XU420" s="87"/>
      <c r="XV420" s="87"/>
      <c r="XW420" s="87"/>
      <c r="XX420" s="87"/>
      <c r="XY420" s="87"/>
      <c r="XZ420" s="87"/>
      <c r="YA420" s="92">
        <f t="shared" ca="1" si="2189"/>
        <v>0</v>
      </c>
      <c r="YB420" s="90"/>
      <c r="YC420" s="90"/>
      <c r="YD420" s="90"/>
      <c r="YE420" s="90"/>
      <c r="YF420" s="90"/>
      <c r="YG420" s="90"/>
      <c r="YH420" s="90"/>
      <c r="YI420" s="90"/>
      <c r="YJ420" s="90"/>
      <c r="YK420" s="90"/>
      <c r="YL420" s="90"/>
      <c r="YM420" s="90"/>
      <c r="YN420" s="90"/>
      <c r="YO420" s="90"/>
      <c r="YP420" s="90"/>
      <c r="YQ420" s="90"/>
      <c r="YR420" s="90"/>
      <c r="YS420" s="90"/>
      <c r="YT420" s="90"/>
      <c r="YU420" s="90"/>
      <c r="YV420" s="90"/>
      <c r="YW420" s="90"/>
      <c r="YX420" s="90"/>
      <c r="YY420" s="90"/>
      <c r="YZ420" s="90"/>
      <c r="ZA420" s="90"/>
      <c r="ZB420" s="90"/>
      <c r="ZC420" s="90"/>
      <c r="ZD420" s="90"/>
      <c r="ZE420" s="90"/>
      <c r="ZF420" s="90"/>
      <c r="ZG420" s="90"/>
      <c r="ZH420" s="90"/>
      <c r="ZI420" s="90"/>
      <c r="ZJ420" s="90"/>
      <c r="ZK420" s="90"/>
      <c r="ZL420" s="90"/>
      <c r="ZM420" s="90"/>
      <c r="ZN420" s="90"/>
      <c r="ZO420" s="90"/>
      <c r="ZP420" s="90"/>
      <c r="ZQ420" s="90"/>
      <c r="ZR420" s="90"/>
      <c r="ZS420" s="90"/>
      <c r="ZT420" s="90"/>
      <c r="ZU420" s="90"/>
      <c r="ZV420" s="90"/>
      <c r="ZW420" s="90"/>
      <c r="ZX420" s="90"/>
      <c r="ZY420" s="90"/>
      <c r="ZZ420" s="90"/>
      <c r="AAA420" s="90"/>
      <c r="AAB420" s="90"/>
      <c r="AAC420" s="90"/>
      <c r="AAD420" s="90"/>
      <c r="AAE420" s="90"/>
      <c r="AAF420" s="90"/>
      <c r="AAG420" s="90"/>
      <c r="AAH420" s="90"/>
      <c r="AAI420" s="90"/>
      <c r="AAJ420" s="90"/>
      <c r="AAK420" s="90"/>
      <c r="AAL420" s="90"/>
      <c r="AAM420" s="90"/>
      <c r="AAN420" s="90"/>
      <c r="AAO420" s="90"/>
      <c r="AAP420" s="90"/>
      <c r="AAQ420" s="90"/>
      <c r="AAR420" s="90"/>
      <c r="AAS420" s="90"/>
      <c r="AAT420" s="90"/>
      <c r="AAU420" s="90"/>
      <c r="AAV420" s="90"/>
      <c r="AAW420" s="90"/>
      <c r="AAX420" s="90"/>
      <c r="AAY420" s="90"/>
      <c r="AAZ420" s="90"/>
      <c r="ABA420" s="90"/>
      <c r="ABB420" s="90"/>
      <c r="ABC420" s="90"/>
      <c r="ABD420" s="90"/>
      <c r="ABE420" s="90"/>
      <c r="ABF420" s="90"/>
      <c r="ABG420" s="90"/>
      <c r="ABH420" s="90"/>
      <c r="ABI420" s="90"/>
      <c r="ABJ420" s="90"/>
      <c r="ABK420" s="90"/>
      <c r="ABL420" s="90"/>
      <c r="ABM420" s="90"/>
      <c r="ABN420" s="90"/>
      <c r="ABO420" s="90"/>
      <c r="ABP420" s="90"/>
      <c r="ABQ420" s="90"/>
      <c r="ABR420" s="90"/>
      <c r="ABS420" s="90"/>
      <c r="ABT420" s="90"/>
      <c r="ABU420" s="90"/>
      <c r="ABV420" s="90"/>
      <c r="ABW420" s="90"/>
      <c r="ABX420" s="90"/>
      <c r="ABY420" s="90"/>
      <c r="ABZ420" s="90"/>
      <c r="ACA420" s="90"/>
      <c r="ACB420" s="90"/>
      <c r="ACC420" s="90"/>
      <c r="ACD420" s="90"/>
      <c r="ACE420" s="90"/>
      <c r="ACF420" s="90"/>
      <c r="ACG420" s="90"/>
      <c r="ACH420" s="90"/>
      <c r="ACI420" s="90"/>
      <c r="ACJ420" s="90"/>
      <c r="ACK420" s="90"/>
      <c r="ACL420" s="90"/>
      <c r="ACM420" s="90"/>
      <c r="ACN420" s="90"/>
      <c r="ACO420" s="90"/>
      <c r="ACP420" s="90"/>
      <c r="ACQ420" s="90"/>
      <c r="ACR420" s="90"/>
      <c r="ACS420" s="90"/>
      <c r="ACT420" s="90"/>
      <c r="ACU420" s="90"/>
      <c r="ACV420" s="90"/>
      <c r="ACW420" s="90"/>
      <c r="ACX420" s="90"/>
      <c r="ACY420" s="90"/>
      <c r="ACZ420" s="90"/>
      <c r="ADA420" s="90"/>
      <c r="ADB420" s="90"/>
      <c r="ADC420" s="90"/>
      <c r="ADD420" s="90"/>
      <c r="ADE420" s="90"/>
      <c r="ADF420" s="90"/>
      <c r="ADG420" s="90"/>
      <c r="ADH420" s="90"/>
      <c r="ADI420" s="90"/>
      <c r="ADJ420" s="90"/>
      <c r="ADK420" s="90"/>
      <c r="ADL420" s="90"/>
      <c r="ADM420" s="90"/>
      <c r="ADN420" s="90"/>
      <c r="ADO420" s="90"/>
      <c r="ADP420" s="90"/>
      <c r="ADQ420" s="90"/>
      <c r="ADR420" s="90"/>
      <c r="ADS420" s="90"/>
      <c r="ADT420" s="90"/>
      <c r="ADU420" s="90"/>
      <c r="ADV420" s="90"/>
      <c r="ADW420" s="90"/>
      <c r="ADX420" s="90"/>
      <c r="ADY420" s="90"/>
      <c r="ADZ420" s="90"/>
      <c r="AEA420" s="90"/>
      <c r="AEB420" s="90"/>
      <c r="AEC420" s="90"/>
      <c r="AED420" s="90"/>
      <c r="AEE420" s="90"/>
      <c r="AEF420" s="90"/>
      <c r="AEG420" s="90"/>
      <c r="AEH420" s="90"/>
      <c r="AEI420" s="90"/>
      <c r="AEJ420" s="90"/>
      <c r="AEK420" s="90"/>
      <c r="AEL420" s="90"/>
      <c r="AEM420" s="90"/>
      <c r="AEN420" s="90"/>
      <c r="AEO420" s="90"/>
      <c r="AEP420" s="90"/>
      <c r="AEQ420" s="90"/>
      <c r="AER420" s="90"/>
      <c r="AES420" s="90"/>
      <c r="AET420" s="90"/>
      <c r="AEU420" s="90"/>
      <c r="AEV420" s="90"/>
      <c r="AEW420" s="90"/>
      <c r="AEX420" s="90"/>
      <c r="AEY420" s="90"/>
      <c r="AEZ420" s="90"/>
      <c r="AFA420" s="90"/>
      <c r="AFB420" s="90"/>
      <c r="AFC420" s="90"/>
      <c r="AFD420" s="90"/>
      <c r="AFE420" s="90"/>
      <c r="AFF420" s="90"/>
      <c r="AFG420" s="90"/>
      <c r="AFH420" s="90"/>
      <c r="AFI420" s="90"/>
      <c r="AFJ420" s="90"/>
      <c r="AFK420" s="90"/>
      <c r="AFL420" s="90"/>
      <c r="AFM420" s="90"/>
      <c r="AFN420" s="90"/>
      <c r="AFO420" s="90"/>
      <c r="AFP420" s="90"/>
      <c r="AFQ420" s="90"/>
      <c r="AFR420" s="90"/>
      <c r="AFS420" s="90"/>
      <c r="AFT420" s="90"/>
      <c r="AFU420" s="90"/>
      <c r="AFV420" s="90"/>
      <c r="AFW420" s="90"/>
      <c r="AFX420" s="90"/>
      <c r="AFY420" s="90"/>
      <c r="AFZ420" s="90"/>
      <c r="AGA420" s="90"/>
      <c r="AGB420" s="90"/>
      <c r="AGC420" s="90"/>
      <c r="AGD420" s="90"/>
      <c r="AGE420" s="90"/>
      <c r="AGF420" s="90"/>
      <c r="AGG420" s="90"/>
      <c r="AGH420" s="90"/>
      <c r="AGI420" s="90"/>
      <c r="AGJ420" s="90"/>
      <c r="AGK420" s="90"/>
      <c r="AGL420" s="90"/>
      <c r="AGM420" s="90"/>
      <c r="AGN420" s="90"/>
      <c r="AGO420" s="90"/>
      <c r="AGP420" s="90"/>
      <c r="AGQ420" s="90"/>
      <c r="AGR420" s="90"/>
      <c r="AGS420" s="90"/>
      <c r="AGT420" s="90"/>
      <c r="AGU420" s="90"/>
      <c r="AGV420" s="90"/>
      <c r="AGW420" s="90"/>
      <c r="AGX420" s="90"/>
      <c r="AGY420" s="90"/>
      <c r="AGZ420" s="90"/>
      <c r="AHA420" s="90"/>
      <c r="AHB420" s="90"/>
      <c r="AHC420" s="90"/>
      <c r="AHD420" s="90"/>
      <c r="AHE420" s="90"/>
      <c r="AHF420" s="90"/>
      <c r="AHG420" s="90"/>
      <c r="AHH420" s="90"/>
      <c r="AHI420" s="90"/>
      <c r="AHJ420" s="90"/>
      <c r="AHK420" s="90"/>
      <c r="AHL420" s="90"/>
      <c r="AHM420" s="90"/>
      <c r="AHN420" s="90"/>
      <c r="AHO420" s="90"/>
      <c r="AHP420" s="90"/>
      <c r="AHQ420" s="90"/>
      <c r="AHR420" s="90"/>
      <c r="AHS420" s="90"/>
      <c r="AHT420" s="90"/>
      <c r="AHU420" s="90"/>
      <c r="AHV420" s="90"/>
      <c r="AHW420" s="90"/>
      <c r="AHX420" s="90"/>
      <c r="AHY420" s="90"/>
      <c r="AHZ420" s="90"/>
      <c r="AIA420" s="90"/>
      <c r="AIB420" s="90"/>
      <c r="AIC420" s="90"/>
      <c r="AID420" s="90"/>
      <c r="AIE420" s="90"/>
      <c r="AIF420" s="90"/>
      <c r="AIG420" s="90"/>
      <c r="AIH420" s="90"/>
      <c r="AII420" s="90"/>
      <c r="AIJ420" s="90"/>
      <c r="AIK420" s="90"/>
      <c r="AIL420" s="90"/>
      <c r="AIM420" s="90"/>
      <c r="AIN420" s="90"/>
      <c r="AIO420" s="90"/>
      <c r="AIP420" s="90"/>
      <c r="AIQ420" s="90"/>
      <c r="AIR420" s="90"/>
      <c r="AIS420" s="90"/>
      <c r="AIT420" s="90"/>
      <c r="AIU420" s="90"/>
      <c r="AIV420" s="90"/>
      <c r="AIW420" s="90"/>
      <c r="AIX420" s="90"/>
      <c r="AIY420" s="90"/>
      <c r="AIZ420" s="90"/>
      <c r="AJA420" s="90"/>
      <c r="AJB420" s="90"/>
      <c r="AJC420" s="90"/>
      <c r="AJD420" s="90"/>
      <c r="AJE420" s="90"/>
      <c r="AJF420" s="90"/>
      <c r="AJG420" s="90"/>
      <c r="AJH420" s="90"/>
      <c r="AJI420" s="90"/>
      <c r="AJJ420" s="90"/>
      <c r="AJK420" s="90"/>
      <c r="AJL420" s="90"/>
      <c r="AJM420" s="90"/>
      <c r="AJN420" s="90"/>
      <c r="AJO420" s="90"/>
      <c r="AJP420" s="90"/>
      <c r="AJQ420" s="90"/>
      <c r="AJR420" s="90"/>
      <c r="AJS420" s="90"/>
      <c r="AJT420" s="90"/>
      <c r="AJU420" s="90"/>
      <c r="AJV420" s="90"/>
      <c r="AJW420" s="90"/>
      <c r="AJX420" s="90"/>
      <c r="AJY420" s="90"/>
      <c r="AJZ420" s="90"/>
      <c r="AKA420" s="90"/>
      <c r="AKB420" s="90"/>
      <c r="AKC420" s="90"/>
      <c r="AKD420" s="90"/>
      <c r="AKE420" s="90"/>
      <c r="AKF420" s="90"/>
      <c r="AKG420" s="90"/>
      <c r="AKH420" s="90"/>
      <c r="AKI420" s="90"/>
      <c r="AKJ420" s="90"/>
      <c r="AKK420" s="90"/>
      <c r="AKL420" s="90"/>
      <c r="AKM420" s="90"/>
      <c r="AKN420" s="90"/>
      <c r="AKO420" s="90"/>
      <c r="AKP420" s="90"/>
      <c r="AKQ420" s="90"/>
      <c r="AKR420" s="90"/>
      <c r="AKS420" s="90"/>
      <c r="AKT420" s="90"/>
      <c r="AKU420" s="90"/>
      <c r="AKV420" s="90"/>
      <c r="AKW420" s="90"/>
      <c r="AKX420" s="90"/>
      <c r="AKY420" s="90"/>
      <c r="AKZ420" s="90"/>
      <c r="ALA420" s="90"/>
      <c r="ALB420" s="90"/>
      <c r="ALC420" s="90"/>
      <c r="ALD420" s="90"/>
      <c r="ALE420" s="90"/>
      <c r="ALF420" s="90"/>
      <c r="ALG420" s="90"/>
      <c r="ALH420" s="90"/>
      <c r="ALI420" s="90"/>
      <c r="ALJ420" s="90"/>
      <c r="ALK420" s="90"/>
      <c r="ALL420" s="90"/>
      <c r="ALM420" s="90"/>
      <c r="ALN420" s="90"/>
      <c r="ALO420" s="90"/>
      <c r="ALP420" s="90"/>
      <c r="ALQ420" s="90"/>
      <c r="ALR420" s="90"/>
      <c r="ALS420" s="90"/>
      <c r="ALT420" s="90"/>
      <c r="ALU420" s="90"/>
      <c r="ALV420" s="90"/>
      <c r="ALW420" s="90"/>
      <c r="ALX420" s="90"/>
      <c r="ALY420" s="90"/>
      <c r="ALZ420" s="90"/>
      <c r="AMA420" s="90"/>
      <c r="AMB420" s="90"/>
      <c r="AMC420" s="90"/>
    </row>
    <row r="421" spans="1:1017">
      <c r="A421" s="98" t="s">
        <v>55</v>
      </c>
      <c r="B421" s="90" t="str">
        <f t="shared" ref="B421:B430" si="2194">B383</f>
        <v xml:space="preserve">Udang_01 (Udang Api-Api) </v>
      </c>
      <c r="E421" s="98">
        <v>11600</v>
      </c>
      <c r="F421" s="98">
        <v>464000</v>
      </c>
      <c r="Q421" s="91">
        <f t="shared" si="2096"/>
        <v>11600</v>
      </c>
      <c r="R421" s="91">
        <f t="shared" si="2097"/>
        <v>464000</v>
      </c>
      <c r="AG421" s="91">
        <f t="shared" si="2098"/>
        <v>0</v>
      </c>
      <c r="AH421" s="91">
        <f t="shared" si="2099"/>
        <v>0</v>
      </c>
      <c r="AW421" s="91">
        <f t="shared" si="2100"/>
        <v>0</v>
      </c>
      <c r="AX421" s="91">
        <f t="shared" si="2101"/>
        <v>0</v>
      </c>
      <c r="BM421" s="91">
        <f t="shared" si="2102"/>
        <v>0</v>
      </c>
      <c r="BN421" s="91">
        <f t="shared" si="2103"/>
        <v>0</v>
      </c>
      <c r="CC421" s="91">
        <f t="shared" si="2104"/>
        <v>0</v>
      </c>
      <c r="CD421" s="91">
        <f t="shared" si="2105"/>
        <v>0</v>
      </c>
      <c r="CS421" s="91">
        <f t="shared" si="2106"/>
        <v>0</v>
      </c>
      <c r="CT421" s="91">
        <f t="shared" si="2107"/>
        <v>0</v>
      </c>
      <c r="DI421" s="91">
        <f t="shared" si="2108"/>
        <v>0</v>
      </c>
      <c r="DJ421" s="91">
        <f t="shared" si="2109"/>
        <v>0</v>
      </c>
      <c r="DY421" s="91">
        <f t="shared" si="2110"/>
        <v>0</v>
      </c>
      <c r="DZ421" s="91">
        <f t="shared" si="2111"/>
        <v>0</v>
      </c>
      <c r="EO421" s="91">
        <f t="shared" si="2112"/>
        <v>0</v>
      </c>
      <c r="EP421" s="91">
        <f t="shared" si="2113"/>
        <v>0</v>
      </c>
      <c r="FE421" s="91">
        <f t="shared" si="2114"/>
        <v>0</v>
      </c>
      <c r="FF421" s="91">
        <f t="shared" si="2115"/>
        <v>0</v>
      </c>
      <c r="FU421" s="91">
        <f t="shared" si="2116"/>
        <v>0</v>
      </c>
      <c r="FV421" s="91">
        <f t="shared" si="2117"/>
        <v>0</v>
      </c>
      <c r="GK421" s="91">
        <f t="shared" si="2118"/>
        <v>0</v>
      </c>
      <c r="GL421" s="91">
        <f t="shared" si="2119"/>
        <v>0</v>
      </c>
      <c r="HA421" s="91">
        <f t="shared" si="2120"/>
        <v>0</v>
      </c>
      <c r="HB421" s="91">
        <f t="shared" si="2121"/>
        <v>0</v>
      </c>
      <c r="HQ421" s="91">
        <f t="shared" si="2122"/>
        <v>0</v>
      </c>
      <c r="HR421" s="91">
        <f t="shared" si="2123"/>
        <v>0</v>
      </c>
      <c r="IG421" s="91">
        <f t="shared" si="2124"/>
        <v>0</v>
      </c>
      <c r="IH421" s="91">
        <f t="shared" si="2125"/>
        <v>0</v>
      </c>
      <c r="IW421" s="91">
        <f t="shared" si="2126"/>
        <v>0</v>
      </c>
      <c r="IX421" s="91">
        <f t="shared" si="2127"/>
        <v>0</v>
      </c>
      <c r="JM421" s="91">
        <f t="shared" si="2128"/>
        <v>0</v>
      </c>
      <c r="JN421" s="91">
        <f t="shared" si="2129"/>
        <v>0</v>
      </c>
      <c r="KC421" s="91">
        <f t="shared" si="2130"/>
        <v>0</v>
      </c>
      <c r="KD421" s="91">
        <f t="shared" si="2131"/>
        <v>0</v>
      </c>
      <c r="KS421" s="91">
        <f t="shared" si="2132"/>
        <v>0</v>
      </c>
      <c r="KT421" s="91">
        <f t="shared" si="2133"/>
        <v>0</v>
      </c>
      <c r="LI421" s="91">
        <f t="shared" si="2134"/>
        <v>0</v>
      </c>
      <c r="LJ421" s="91">
        <f t="shared" si="2135"/>
        <v>0</v>
      </c>
      <c r="LY421" s="91">
        <f t="shared" si="2136"/>
        <v>0</v>
      </c>
      <c r="LZ421" s="91">
        <f t="shared" si="2137"/>
        <v>0</v>
      </c>
      <c r="MC421" s="98">
        <v>3130</v>
      </c>
      <c r="MD421" s="98">
        <v>125200</v>
      </c>
      <c r="MO421" s="91">
        <f t="shared" si="2138"/>
        <v>3130</v>
      </c>
      <c r="MP421" s="91">
        <f t="shared" si="2139"/>
        <v>125200</v>
      </c>
      <c r="NE421" s="91">
        <f t="shared" si="2140"/>
        <v>0</v>
      </c>
      <c r="NF421" s="91">
        <f t="shared" si="2141"/>
        <v>0</v>
      </c>
      <c r="NI421" s="98">
        <v>25989</v>
      </c>
      <c r="NJ421" s="98">
        <v>1169505</v>
      </c>
      <c r="NU421" s="91">
        <f t="shared" si="2142"/>
        <v>25989</v>
      </c>
      <c r="NV421" s="91">
        <f t="shared" si="2143"/>
        <v>1169505</v>
      </c>
      <c r="OK421" s="91">
        <f t="shared" si="2144"/>
        <v>0</v>
      </c>
      <c r="OL421" s="91">
        <f t="shared" si="2145"/>
        <v>0</v>
      </c>
      <c r="PA421" s="91">
        <f t="shared" si="2146"/>
        <v>0</v>
      </c>
      <c r="PB421" s="91">
        <f t="shared" si="2147"/>
        <v>0</v>
      </c>
      <c r="PQ421" s="91">
        <f t="shared" si="2148"/>
        <v>0</v>
      </c>
      <c r="PR421" s="91">
        <f t="shared" si="2149"/>
        <v>0</v>
      </c>
      <c r="QG421" s="91">
        <f t="shared" si="2150"/>
        <v>0</v>
      </c>
      <c r="QH421" s="91">
        <f t="shared" si="2151"/>
        <v>0</v>
      </c>
      <c r="QW421" s="91">
        <f t="shared" si="2152"/>
        <v>0</v>
      </c>
      <c r="QX421" s="91">
        <f t="shared" si="2153"/>
        <v>0</v>
      </c>
      <c r="RM421" s="91">
        <f t="shared" si="2154"/>
        <v>0</v>
      </c>
      <c r="RN421" s="91">
        <f t="shared" si="2155"/>
        <v>0</v>
      </c>
      <c r="SC421" s="91">
        <f t="shared" si="2156"/>
        <v>0</v>
      </c>
      <c r="SD421" s="91">
        <f t="shared" si="2157"/>
        <v>0</v>
      </c>
      <c r="SS421" s="91">
        <f t="shared" si="2158"/>
        <v>0</v>
      </c>
      <c r="ST421" s="91">
        <f t="shared" si="2159"/>
        <v>0</v>
      </c>
      <c r="TI421" s="91">
        <f t="shared" si="2160"/>
        <v>0</v>
      </c>
      <c r="TJ421" s="91">
        <f t="shared" si="2161"/>
        <v>0</v>
      </c>
      <c r="TY421" s="91">
        <f t="shared" si="2162"/>
        <v>0</v>
      </c>
      <c r="TZ421" s="91">
        <f t="shared" si="2163"/>
        <v>0</v>
      </c>
      <c r="UO421" s="91">
        <f t="shared" si="2164"/>
        <v>0</v>
      </c>
      <c r="UP421" s="91">
        <f t="shared" si="2165"/>
        <v>0</v>
      </c>
      <c r="VE421" s="91">
        <f t="shared" si="2166"/>
        <v>0</v>
      </c>
      <c r="VF421" s="91">
        <f t="shared" si="2167"/>
        <v>0</v>
      </c>
      <c r="VU421" s="91">
        <f t="shared" si="2168"/>
        <v>0</v>
      </c>
      <c r="VV421" s="91">
        <f t="shared" si="2169"/>
        <v>0</v>
      </c>
      <c r="WK421" s="91">
        <f t="shared" si="2170"/>
        <v>0</v>
      </c>
      <c r="WL421" s="91">
        <f t="shared" si="2171"/>
        <v>0</v>
      </c>
      <c r="WM421" s="89"/>
      <c r="WN421" s="87">
        <f t="shared" si="2172"/>
        <v>0</v>
      </c>
      <c r="WO421" s="87">
        <f t="shared" si="2173"/>
        <v>0</v>
      </c>
      <c r="WP421" s="87">
        <f t="shared" si="2174"/>
        <v>40719</v>
      </c>
      <c r="WQ421" s="87">
        <f t="shared" si="2175"/>
        <v>1758705</v>
      </c>
      <c r="WR421" s="87">
        <f t="shared" si="2176"/>
        <v>0</v>
      </c>
      <c r="WS421" s="87">
        <f t="shared" si="2177"/>
        <v>0</v>
      </c>
      <c r="WT421" s="87">
        <f t="shared" si="2178"/>
        <v>0</v>
      </c>
      <c r="WU421" s="87">
        <f t="shared" si="2179"/>
        <v>0</v>
      </c>
      <c r="WV421" s="87">
        <f t="shared" si="2180"/>
        <v>0</v>
      </c>
      <c r="WW421" s="87">
        <f t="shared" si="2181"/>
        <v>0</v>
      </c>
      <c r="WX421" s="87">
        <f t="shared" si="2182"/>
        <v>0</v>
      </c>
      <c r="WY421" s="87">
        <f t="shared" si="2183"/>
        <v>0</v>
      </c>
      <c r="WZ421" s="87">
        <f t="shared" si="2190"/>
        <v>0</v>
      </c>
      <c r="XA421" s="87">
        <f t="shared" si="2191"/>
        <v>0</v>
      </c>
      <c r="XB421" s="92">
        <f t="shared" si="2192"/>
        <v>40719</v>
      </c>
      <c r="XC421" s="92">
        <f t="shared" si="2193"/>
        <v>1758705</v>
      </c>
      <c r="XD421" s="89"/>
      <c r="XE421" s="92"/>
      <c r="XF421" s="92"/>
      <c r="XG421" s="89"/>
      <c r="XH421" s="92"/>
      <c r="XI421" s="92"/>
      <c r="XJ421" s="89"/>
      <c r="XK421" s="87"/>
      <c r="XL421" s="87"/>
      <c r="XM421" s="87"/>
      <c r="XN421" s="87"/>
      <c r="XO421" s="87"/>
      <c r="XP421" s="87"/>
      <c r="XQ421" s="87"/>
      <c r="XR421" s="92">
        <f t="shared" ca="1" si="2188"/>
        <v>0</v>
      </c>
      <c r="XS421" s="89"/>
      <c r="XT421" s="87"/>
      <c r="XU421" s="87"/>
      <c r="XV421" s="87"/>
      <c r="XW421" s="87"/>
      <c r="XX421" s="87"/>
      <c r="XY421" s="87"/>
      <c r="XZ421" s="87"/>
      <c r="YA421" s="92">
        <f t="shared" ca="1" si="2189"/>
        <v>0</v>
      </c>
      <c r="YB421" s="90"/>
      <c r="YC421" s="90"/>
      <c r="YD421" s="90"/>
      <c r="YE421" s="90"/>
      <c r="YF421" s="90"/>
      <c r="YG421" s="90"/>
      <c r="YH421" s="90"/>
      <c r="YI421" s="90"/>
      <c r="YJ421" s="90"/>
      <c r="YK421" s="90"/>
      <c r="YL421" s="90"/>
      <c r="YM421" s="90"/>
      <c r="YN421" s="90"/>
      <c r="YO421" s="90"/>
      <c r="YP421" s="90"/>
      <c r="YQ421" s="90"/>
      <c r="YR421" s="90"/>
      <c r="YS421" s="90"/>
      <c r="YT421" s="90"/>
      <c r="YU421" s="90"/>
      <c r="YV421" s="90"/>
      <c r="YW421" s="90"/>
      <c r="YX421" s="90"/>
      <c r="YY421" s="90"/>
      <c r="YZ421" s="90"/>
      <c r="ZA421" s="90"/>
      <c r="ZB421" s="90"/>
      <c r="ZC421" s="90"/>
      <c r="ZD421" s="90"/>
      <c r="ZE421" s="90"/>
      <c r="ZF421" s="90"/>
      <c r="ZG421" s="90"/>
      <c r="ZH421" s="90"/>
      <c r="ZI421" s="90"/>
      <c r="ZJ421" s="90"/>
      <c r="ZK421" s="90"/>
      <c r="ZL421" s="90"/>
      <c r="ZM421" s="90"/>
      <c r="ZN421" s="90"/>
      <c r="ZO421" s="90"/>
      <c r="ZP421" s="90"/>
      <c r="ZQ421" s="90"/>
      <c r="ZR421" s="90"/>
      <c r="ZS421" s="90"/>
      <c r="ZT421" s="90"/>
      <c r="ZU421" s="90"/>
      <c r="ZV421" s="90"/>
      <c r="ZW421" s="90"/>
      <c r="ZX421" s="90"/>
      <c r="ZY421" s="90"/>
      <c r="ZZ421" s="90"/>
      <c r="AAA421" s="90"/>
      <c r="AAB421" s="90"/>
      <c r="AAC421" s="90"/>
      <c r="AAD421" s="90"/>
      <c r="AAE421" s="90"/>
      <c r="AAF421" s="90"/>
      <c r="AAG421" s="90"/>
      <c r="AAH421" s="90"/>
      <c r="AAI421" s="90"/>
      <c r="AAJ421" s="90"/>
      <c r="AAK421" s="90"/>
      <c r="AAL421" s="90"/>
      <c r="AAM421" s="90"/>
      <c r="AAN421" s="90"/>
      <c r="AAO421" s="90"/>
      <c r="AAP421" s="90"/>
      <c r="AAQ421" s="90"/>
      <c r="AAR421" s="90"/>
      <c r="AAS421" s="90"/>
      <c r="AAT421" s="90"/>
      <c r="AAU421" s="90"/>
      <c r="AAV421" s="90"/>
      <c r="AAW421" s="90"/>
      <c r="AAX421" s="90"/>
      <c r="AAY421" s="90"/>
      <c r="AAZ421" s="90"/>
      <c r="ABA421" s="90"/>
      <c r="ABB421" s="90"/>
      <c r="ABC421" s="90"/>
      <c r="ABD421" s="90"/>
      <c r="ABE421" s="90"/>
      <c r="ABF421" s="90"/>
      <c r="ABG421" s="90"/>
      <c r="ABH421" s="90"/>
      <c r="ABI421" s="90"/>
      <c r="ABJ421" s="90"/>
      <c r="ABK421" s="90"/>
      <c r="ABL421" s="90"/>
      <c r="ABM421" s="90"/>
      <c r="ABN421" s="90"/>
      <c r="ABO421" s="90"/>
      <c r="ABP421" s="90"/>
      <c r="ABQ421" s="90"/>
      <c r="ABR421" s="90"/>
      <c r="ABS421" s="90"/>
      <c r="ABT421" s="90"/>
      <c r="ABU421" s="90"/>
      <c r="ABV421" s="90"/>
      <c r="ABW421" s="90"/>
      <c r="ABX421" s="90"/>
      <c r="ABY421" s="90"/>
      <c r="ABZ421" s="90"/>
      <c r="ACA421" s="90"/>
      <c r="ACB421" s="90"/>
      <c r="ACC421" s="90"/>
      <c r="ACD421" s="90"/>
      <c r="ACE421" s="90"/>
      <c r="ACF421" s="90"/>
      <c r="ACG421" s="90"/>
      <c r="ACH421" s="90"/>
      <c r="ACI421" s="90"/>
      <c r="ACJ421" s="90"/>
      <c r="ACK421" s="90"/>
      <c r="ACL421" s="90"/>
      <c r="ACM421" s="90"/>
      <c r="ACN421" s="90"/>
      <c r="ACO421" s="90"/>
      <c r="ACP421" s="90"/>
      <c r="ACQ421" s="90"/>
      <c r="ACR421" s="90"/>
      <c r="ACS421" s="90"/>
      <c r="ACT421" s="90"/>
      <c r="ACU421" s="90"/>
      <c r="ACV421" s="90"/>
      <c r="ACW421" s="90"/>
      <c r="ACX421" s="90"/>
      <c r="ACY421" s="90"/>
      <c r="ACZ421" s="90"/>
      <c r="ADA421" s="90"/>
      <c r="ADB421" s="90"/>
      <c r="ADC421" s="90"/>
      <c r="ADD421" s="90"/>
      <c r="ADE421" s="90"/>
      <c r="ADF421" s="90"/>
      <c r="ADG421" s="90"/>
      <c r="ADH421" s="90"/>
      <c r="ADI421" s="90"/>
      <c r="ADJ421" s="90"/>
      <c r="ADK421" s="90"/>
      <c r="ADL421" s="90"/>
      <c r="ADM421" s="90"/>
      <c r="ADN421" s="90"/>
      <c r="ADO421" s="90"/>
      <c r="ADP421" s="90"/>
      <c r="ADQ421" s="90"/>
      <c r="ADR421" s="90"/>
      <c r="ADS421" s="90"/>
      <c r="ADT421" s="90"/>
      <c r="ADU421" s="90"/>
      <c r="ADV421" s="90"/>
      <c r="ADW421" s="90"/>
      <c r="ADX421" s="90"/>
      <c r="ADY421" s="90"/>
      <c r="ADZ421" s="90"/>
      <c r="AEA421" s="90"/>
      <c r="AEB421" s="90"/>
      <c r="AEC421" s="90"/>
      <c r="AED421" s="90"/>
      <c r="AEE421" s="90"/>
      <c r="AEF421" s="90"/>
      <c r="AEG421" s="90"/>
      <c r="AEH421" s="90"/>
      <c r="AEI421" s="90"/>
      <c r="AEJ421" s="90"/>
      <c r="AEK421" s="90"/>
      <c r="AEL421" s="90"/>
      <c r="AEM421" s="90"/>
      <c r="AEN421" s="90"/>
      <c r="AEO421" s="90"/>
      <c r="AEP421" s="90"/>
      <c r="AEQ421" s="90"/>
      <c r="AER421" s="90"/>
      <c r="AES421" s="90"/>
      <c r="AET421" s="90"/>
      <c r="AEU421" s="90"/>
      <c r="AEV421" s="90"/>
      <c r="AEW421" s="90"/>
      <c r="AEX421" s="90"/>
      <c r="AEY421" s="90"/>
      <c r="AEZ421" s="90"/>
      <c r="AFA421" s="90"/>
      <c r="AFB421" s="90"/>
      <c r="AFC421" s="90"/>
      <c r="AFD421" s="90"/>
      <c r="AFE421" s="90"/>
      <c r="AFF421" s="90"/>
      <c r="AFG421" s="90"/>
      <c r="AFH421" s="90"/>
      <c r="AFI421" s="90"/>
      <c r="AFJ421" s="90"/>
      <c r="AFK421" s="90"/>
      <c r="AFL421" s="90"/>
      <c r="AFM421" s="90"/>
      <c r="AFN421" s="90"/>
      <c r="AFO421" s="90"/>
      <c r="AFP421" s="90"/>
      <c r="AFQ421" s="90"/>
      <c r="AFR421" s="90"/>
      <c r="AFS421" s="90"/>
      <c r="AFT421" s="90"/>
      <c r="AFU421" s="90"/>
      <c r="AFV421" s="90"/>
      <c r="AFW421" s="90"/>
      <c r="AFX421" s="90"/>
      <c r="AFY421" s="90"/>
      <c r="AFZ421" s="90"/>
      <c r="AGA421" s="90"/>
      <c r="AGB421" s="90"/>
      <c r="AGC421" s="90"/>
      <c r="AGD421" s="90"/>
      <c r="AGE421" s="90"/>
      <c r="AGF421" s="90"/>
      <c r="AGG421" s="90"/>
      <c r="AGH421" s="90"/>
      <c r="AGI421" s="90"/>
      <c r="AGJ421" s="90"/>
      <c r="AGK421" s="90"/>
      <c r="AGL421" s="90"/>
      <c r="AGM421" s="90"/>
      <c r="AGN421" s="90"/>
      <c r="AGO421" s="90"/>
      <c r="AGP421" s="90"/>
      <c r="AGQ421" s="90"/>
      <c r="AGR421" s="90"/>
      <c r="AGS421" s="90"/>
      <c r="AGT421" s="90"/>
      <c r="AGU421" s="90"/>
      <c r="AGV421" s="90"/>
      <c r="AGW421" s="90"/>
      <c r="AGX421" s="90"/>
      <c r="AGY421" s="90"/>
      <c r="AGZ421" s="90"/>
      <c r="AHA421" s="90"/>
      <c r="AHB421" s="90"/>
      <c r="AHC421" s="90"/>
      <c r="AHD421" s="90"/>
      <c r="AHE421" s="90"/>
      <c r="AHF421" s="90"/>
      <c r="AHG421" s="90"/>
      <c r="AHH421" s="90"/>
      <c r="AHI421" s="90"/>
      <c r="AHJ421" s="90"/>
      <c r="AHK421" s="90"/>
      <c r="AHL421" s="90"/>
      <c r="AHM421" s="90"/>
      <c r="AHN421" s="90"/>
      <c r="AHO421" s="90"/>
      <c r="AHP421" s="90"/>
      <c r="AHQ421" s="90"/>
      <c r="AHR421" s="90"/>
      <c r="AHS421" s="90"/>
      <c r="AHT421" s="90"/>
      <c r="AHU421" s="90"/>
      <c r="AHV421" s="90"/>
      <c r="AHW421" s="90"/>
      <c r="AHX421" s="90"/>
      <c r="AHY421" s="90"/>
      <c r="AHZ421" s="90"/>
      <c r="AIA421" s="90"/>
      <c r="AIB421" s="90"/>
      <c r="AIC421" s="90"/>
      <c r="AID421" s="90"/>
      <c r="AIE421" s="90"/>
      <c r="AIF421" s="90"/>
      <c r="AIG421" s="90"/>
      <c r="AIH421" s="90"/>
      <c r="AII421" s="90"/>
      <c r="AIJ421" s="90"/>
      <c r="AIK421" s="90"/>
      <c r="AIL421" s="90"/>
      <c r="AIM421" s="90"/>
      <c r="AIN421" s="90"/>
      <c r="AIO421" s="90"/>
      <c r="AIP421" s="90"/>
      <c r="AIQ421" s="90"/>
      <c r="AIR421" s="90"/>
      <c r="AIS421" s="90"/>
      <c r="AIT421" s="90"/>
      <c r="AIU421" s="90"/>
      <c r="AIV421" s="90"/>
      <c r="AIW421" s="90"/>
      <c r="AIX421" s="90"/>
      <c r="AIY421" s="90"/>
      <c r="AIZ421" s="90"/>
      <c r="AJA421" s="90"/>
      <c r="AJB421" s="90"/>
      <c r="AJC421" s="90"/>
      <c r="AJD421" s="90"/>
      <c r="AJE421" s="90"/>
      <c r="AJF421" s="90"/>
      <c r="AJG421" s="90"/>
      <c r="AJH421" s="90"/>
      <c r="AJI421" s="90"/>
      <c r="AJJ421" s="90"/>
      <c r="AJK421" s="90"/>
      <c r="AJL421" s="90"/>
      <c r="AJM421" s="90"/>
      <c r="AJN421" s="90"/>
      <c r="AJO421" s="90"/>
      <c r="AJP421" s="90"/>
      <c r="AJQ421" s="90"/>
      <c r="AJR421" s="90"/>
      <c r="AJS421" s="90"/>
      <c r="AJT421" s="90"/>
      <c r="AJU421" s="90"/>
      <c r="AJV421" s="90"/>
      <c r="AJW421" s="90"/>
      <c r="AJX421" s="90"/>
      <c r="AJY421" s="90"/>
      <c r="AJZ421" s="90"/>
      <c r="AKA421" s="90"/>
      <c r="AKB421" s="90"/>
      <c r="AKC421" s="90"/>
      <c r="AKD421" s="90"/>
      <c r="AKE421" s="90"/>
      <c r="AKF421" s="90"/>
      <c r="AKG421" s="90"/>
      <c r="AKH421" s="90"/>
      <c r="AKI421" s="90"/>
      <c r="AKJ421" s="90"/>
      <c r="AKK421" s="90"/>
      <c r="AKL421" s="90"/>
      <c r="AKM421" s="90"/>
      <c r="AKN421" s="90"/>
      <c r="AKO421" s="90"/>
      <c r="AKP421" s="90"/>
      <c r="AKQ421" s="90"/>
      <c r="AKR421" s="90"/>
      <c r="AKS421" s="90"/>
      <c r="AKT421" s="90"/>
      <c r="AKU421" s="90"/>
      <c r="AKV421" s="90"/>
      <c r="AKW421" s="90"/>
      <c r="AKX421" s="90"/>
      <c r="AKY421" s="90"/>
      <c r="AKZ421" s="90"/>
      <c r="ALA421" s="90"/>
      <c r="ALB421" s="90"/>
      <c r="ALC421" s="90"/>
      <c r="ALD421" s="90"/>
      <c r="ALE421" s="90"/>
      <c r="ALF421" s="90"/>
      <c r="ALG421" s="90"/>
      <c r="ALH421" s="90"/>
      <c r="ALI421" s="90"/>
      <c r="ALJ421" s="90"/>
      <c r="ALK421" s="90"/>
      <c r="ALL421" s="90"/>
      <c r="ALM421" s="90"/>
      <c r="ALN421" s="90"/>
      <c r="ALO421" s="90"/>
      <c r="ALP421" s="90"/>
      <c r="ALQ421" s="90"/>
      <c r="ALR421" s="90"/>
      <c r="ALS421" s="90"/>
      <c r="ALT421" s="90"/>
      <c r="ALU421" s="90"/>
      <c r="ALV421" s="90"/>
      <c r="ALW421" s="90"/>
      <c r="ALX421" s="90"/>
      <c r="ALY421" s="90"/>
      <c r="ALZ421" s="90"/>
      <c r="AMA421" s="90"/>
      <c r="AMB421" s="90"/>
      <c r="AMC421" s="90"/>
    </row>
    <row r="422" spans="1:1017">
      <c r="A422" s="98" t="s">
        <v>55</v>
      </c>
      <c r="B422" s="90" t="str">
        <f t="shared" si="2194"/>
        <v xml:space="preserve">Udang_02 (Udang Rebon) </v>
      </c>
      <c r="Q422" s="91">
        <f t="shared" si="2096"/>
        <v>0</v>
      </c>
      <c r="R422" s="91">
        <f t="shared" si="2097"/>
        <v>0</v>
      </c>
      <c r="AG422" s="91">
        <f t="shared" si="2098"/>
        <v>0</v>
      </c>
      <c r="AH422" s="91">
        <f t="shared" si="2099"/>
        <v>0</v>
      </c>
      <c r="AW422" s="91">
        <f t="shared" si="2100"/>
        <v>0</v>
      </c>
      <c r="AX422" s="91">
        <f t="shared" si="2101"/>
        <v>0</v>
      </c>
      <c r="BM422" s="91">
        <f t="shared" si="2102"/>
        <v>0</v>
      </c>
      <c r="BN422" s="91">
        <f t="shared" si="2103"/>
        <v>0</v>
      </c>
      <c r="CC422" s="91">
        <f t="shared" si="2104"/>
        <v>0</v>
      </c>
      <c r="CD422" s="91">
        <f t="shared" si="2105"/>
        <v>0</v>
      </c>
      <c r="CS422" s="91">
        <f t="shared" si="2106"/>
        <v>0</v>
      </c>
      <c r="CT422" s="91">
        <f t="shared" si="2107"/>
        <v>0</v>
      </c>
      <c r="DI422" s="91">
        <f t="shared" si="2108"/>
        <v>0</v>
      </c>
      <c r="DJ422" s="91">
        <f t="shared" si="2109"/>
        <v>0</v>
      </c>
      <c r="DY422" s="91">
        <f t="shared" si="2110"/>
        <v>0</v>
      </c>
      <c r="DZ422" s="91">
        <f t="shared" si="2111"/>
        <v>0</v>
      </c>
      <c r="EO422" s="91">
        <f t="shared" si="2112"/>
        <v>0</v>
      </c>
      <c r="EP422" s="91">
        <f t="shared" si="2113"/>
        <v>0</v>
      </c>
      <c r="FE422" s="91">
        <f t="shared" si="2114"/>
        <v>0</v>
      </c>
      <c r="FF422" s="91">
        <f t="shared" si="2115"/>
        <v>0</v>
      </c>
      <c r="FU422" s="91">
        <f t="shared" si="2116"/>
        <v>0</v>
      </c>
      <c r="FV422" s="91">
        <f t="shared" si="2117"/>
        <v>0</v>
      </c>
      <c r="GK422" s="91">
        <f t="shared" si="2118"/>
        <v>0</v>
      </c>
      <c r="GL422" s="91">
        <f t="shared" si="2119"/>
        <v>0</v>
      </c>
      <c r="HA422" s="91">
        <f t="shared" si="2120"/>
        <v>0</v>
      </c>
      <c r="HB422" s="91">
        <f t="shared" si="2121"/>
        <v>0</v>
      </c>
      <c r="HQ422" s="91">
        <f t="shared" si="2122"/>
        <v>0</v>
      </c>
      <c r="HR422" s="91">
        <f t="shared" si="2123"/>
        <v>0</v>
      </c>
      <c r="IG422" s="91">
        <f t="shared" si="2124"/>
        <v>0</v>
      </c>
      <c r="IH422" s="91">
        <f t="shared" si="2125"/>
        <v>0</v>
      </c>
      <c r="IW422" s="91">
        <f t="shared" si="2126"/>
        <v>0</v>
      </c>
      <c r="IX422" s="91">
        <f t="shared" si="2127"/>
        <v>0</v>
      </c>
      <c r="JM422" s="91">
        <f t="shared" si="2128"/>
        <v>0</v>
      </c>
      <c r="JN422" s="91">
        <f t="shared" si="2129"/>
        <v>0</v>
      </c>
      <c r="KC422" s="91">
        <f t="shared" si="2130"/>
        <v>0</v>
      </c>
      <c r="KD422" s="91">
        <f t="shared" si="2131"/>
        <v>0</v>
      </c>
      <c r="KS422" s="91">
        <f t="shared" si="2132"/>
        <v>0</v>
      </c>
      <c r="KT422" s="91">
        <f t="shared" si="2133"/>
        <v>0</v>
      </c>
      <c r="LI422" s="91">
        <f t="shared" si="2134"/>
        <v>0</v>
      </c>
      <c r="LJ422" s="91">
        <f t="shared" si="2135"/>
        <v>0</v>
      </c>
      <c r="LY422" s="91">
        <f t="shared" si="2136"/>
        <v>0</v>
      </c>
      <c r="LZ422" s="91">
        <f t="shared" si="2137"/>
        <v>0</v>
      </c>
      <c r="MO422" s="91">
        <f t="shared" si="2138"/>
        <v>0</v>
      </c>
      <c r="MP422" s="91">
        <f t="shared" si="2139"/>
        <v>0</v>
      </c>
      <c r="NE422" s="91">
        <f t="shared" si="2140"/>
        <v>0</v>
      </c>
      <c r="NF422" s="91">
        <f t="shared" si="2141"/>
        <v>0</v>
      </c>
      <c r="NI422" s="98">
        <v>96067</v>
      </c>
      <c r="NJ422" s="98">
        <v>3842680</v>
      </c>
      <c r="NU422" s="91">
        <f t="shared" si="2142"/>
        <v>96067</v>
      </c>
      <c r="NV422" s="91">
        <f t="shared" si="2143"/>
        <v>3842680</v>
      </c>
      <c r="OK422" s="91">
        <f t="shared" si="2144"/>
        <v>0</v>
      </c>
      <c r="OL422" s="91">
        <f t="shared" si="2145"/>
        <v>0</v>
      </c>
      <c r="PA422" s="91">
        <f t="shared" si="2146"/>
        <v>0</v>
      </c>
      <c r="PB422" s="91">
        <f t="shared" si="2147"/>
        <v>0</v>
      </c>
      <c r="PQ422" s="91">
        <f t="shared" si="2148"/>
        <v>0</v>
      </c>
      <c r="PR422" s="91">
        <f t="shared" si="2149"/>
        <v>0</v>
      </c>
      <c r="QG422" s="91">
        <f t="shared" si="2150"/>
        <v>0</v>
      </c>
      <c r="QH422" s="91">
        <f t="shared" si="2151"/>
        <v>0</v>
      </c>
      <c r="QW422" s="91">
        <f t="shared" si="2152"/>
        <v>0</v>
      </c>
      <c r="QX422" s="91">
        <f t="shared" si="2153"/>
        <v>0</v>
      </c>
      <c r="RM422" s="91">
        <f t="shared" si="2154"/>
        <v>0</v>
      </c>
      <c r="RN422" s="91">
        <f t="shared" si="2155"/>
        <v>0</v>
      </c>
      <c r="SC422" s="91">
        <f t="shared" si="2156"/>
        <v>0</v>
      </c>
      <c r="SD422" s="91">
        <f t="shared" si="2157"/>
        <v>0</v>
      </c>
      <c r="SS422" s="91">
        <f t="shared" si="2158"/>
        <v>0</v>
      </c>
      <c r="ST422" s="91">
        <f t="shared" si="2159"/>
        <v>0</v>
      </c>
      <c r="TI422" s="91">
        <f t="shared" si="2160"/>
        <v>0</v>
      </c>
      <c r="TJ422" s="91">
        <f t="shared" si="2161"/>
        <v>0</v>
      </c>
      <c r="TY422" s="91">
        <f t="shared" si="2162"/>
        <v>0</v>
      </c>
      <c r="TZ422" s="91">
        <f t="shared" si="2163"/>
        <v>0</v>
      </c>
      <c r="UO422" s="91">
        <f t="shared" si="2164"/>
        <v>0</v>
      </c>
      <c r="UP422" s="91">
        <f t="shared" si="2165"/>
        <v>0</v>
      </c>
      <c r="VE422" s="91">
        <f t="shared" si="2166"/>
        <v>0</v>
      </c>
      <c r="VF422" s="91">
        <f t="shared" si="2167"/>
        <v>0</v>
      </c>
      <c r="VU422" s="91">
        <f t="shared" si="2168"/>
        <v>0</v>
      </c>
      <c r="VV422" s="91">
        <f t="shared" si="2169"/>
        <v>0</v>
      </c>
      <c r="WK422" s="91">
        <f t="shared" si="2170"/>
        <v>0</v>
      </c>
      <c r="WL422" s="91">
        <f t="shared" si="2171"/>
        <v>0</v>
      </c>
      <c r="WM422" s="89"/>
      <c r="WN422" s="87">
        <f t="shared" ref="WN422:WN430" si="2195">SUMIF($C$5:$WL$5,$WN$5,C422:WL422)</f>
        <v>0</v>
      </c>
      <c r="WO422" s="87">
        <f t="shared" ref="WO422:WO430" si="2196">SUMIF($C$5:$WL$5,$WO$5,C422:WL422)</f>
        <v>0</v>
      </c>
      <c r="WP422" s="87">
        <f t="shared" ref="WP422:WP430" si="2197">SUMIF($C$5:$WL$5,$WP$5,C422:WL422)</f>
        <v>96067</v>
      </c>
      <c r="WQ422" s="87">
        <f t="shared" ref="WQ422:WQ430" si="2198">SUMIF($C$5:$WL$5,$WQ$5,C422:WL422)</f>
        <v>3842680</v>
      </c>
      <c r="WR422" s="87">
        <f t="shared" ref="WR422:WR430" si="2199">SUMIF($C$5:$WL$5,$WR$5,C422:WL422)</f>
        <v>0</v>
      </c>
      <c r="WS422" s="87">
        <f t="shared" ref="WS422:WS430" si="2200">SUMIF($C$5:$WL$5,$WS$5,C422:WL422)</f>
        <v>0</v>
      </c>
      <c r="WT422" s="87">
        <f t="shared" ref="WT422:WT430" si="2201">SUMIF($C$5:$WL$5,$WT$5,C422:WL422)</f>
        <v>0</v>
      </c>
      <c r="WU422" s="87">
        <f t="shared" ref="WU422:WU430" si="2202">SUMIF($C$5:$WL$5,$WU$5,C422:WL422)</f>
        <v>0</v>
      </c>
      <c r="WV422" s="87">
        <f t="shared" ref="WV422:WV430" si="2203">SUMIF($C$5:$WL$5,$WV$5,C422:WL422)</f>
        <v>0</v>
      </c>
      <c r="WW422" s="87">
        <f t="shared" ref="WW422:WW430" si="2204">SUMIF($C$5:$WL$5,$WW$5,C422:WL422)</f>
        <v>0</v>
      </c>
      <c r="WX422" s="87">
        <f t="shared" ref="WX422:WX430" si="2205">SUMIF($C$5:$WL$5,$WX$5,C422:WL422)</f>
        <v>0</v>
      </c>
      <c r="WY422" s="87">
        <f t="shared" ref="WY422:WY430" si="2206">SUMIF($C$5:$WL$5,$WY$5,C422:WL422)</f>
        <v>0</v>
      </c>
      <c r="WZ422" s="87">
        <f t="shared" si="2190"/>
        <v>0</v>
      </c>
      <c r="XA422" s="87">
        <f t="shared" si="2191"/>
        <v>0</v>
      </c>
      <c r="XB422" s="92">
        <f t="shared" si="2192"/>
        <v>96067</v>
      </c>
      <c r="XC422" s="92">
        <f t="shared" si="2193"/>
        <v>3842680</v>
      </c>
      <c r="XD422" s="89"/>
      <c r="XE422" s="92"/>
      <c r="XF422" s="92"/>
      <c r="XG422" s="89"/>
      <c r="XH422" s="92"/>
      <c r="XI422" s="92"/>
      <c r="XJ422" s="89"/>
      <c r="XK422" s="87"/>
      <c r="XL422" s="87"/>
      <c r="XM422" s="87"/>
      <c r="XN422" s="87"/>
      <c r="XO422" s="87"/>
      <c r="XP422" s="87"/>
      <c r="XQ422" s="87"/>
      <c r="XR422" s="92">
        <f t="shared" ca="1" si="2188"/>
        <v>0</v>
      </c>
      <c r="XS422" s="89"/>
      <c r="XT422" s="87"/>
      <c r="XU422" s="87"/>
      <c r="XV422" s="87"/>
      <c r="XW422" s="87"/>
      <c r="XX422" s="87"/>
      <c r="XY422" s="87"/>
      <c r="XZ422" s="87"/>
      <c r="YA422" s="92">
        <f t="shared" ca="1" si="2189"/>
        <v>0</v>
      </c>
      <c r="YB422" s="90"/>
      <c r="YC422" s="90"/>
      <c r="YD422" s="90"/>
      <c r="YE422" s="90"/>
      <c r="YF422" s="90"/>
      <c r="YG422" s="90"/>
      <c r="YH422" s="90"/>
      <c r="YI422" s="90"/>
      <c r="YJ422" s="90"/>
      <c r="YK422" s="90"/>
      <c r="YL422" s="90"/>
      <c r="YM422" s="90"/>
      <c r="YN422" s="90"/>
      <c r="YO422" s="90"/>
      <c r="YP422" s="90"/>
      <c r="YQ422" s="90"/>
      <c r="YR422" s="90"/>
      <c r="YS422" s="90"/>
      <c r="YT422" s="90"/>
      <c r="YU422" s="90"/>
      <c r="YV422" s="90"/>
      <c r="YW422" s="90"/>
      <c r="YX422" s="90"/>
      <c r="YY422" s="90"/>
      <c r="YZ422" s="90"/>
      <c r="ZA422" s="90"/>
      <c r="ZB422" s="90"/>
      <c r="ZC422" s="90"/>
      <c r="ZD422" s="90"/>
      <c r="ZE422" s="90"/>
      <c r="ZF422" s="90"/>
      <c r="ZG422" s="90"/>
      <c r="ZH422" s="90"/>
      <c r="ZI422" s="90"/>
      <c r="ZJ422" s="90"/>
      <c r="ZK422" s="90"/>
      <c r="ZL422" s="90"/>
      <c r="ZM422" s="90"/>
      <c r="ZN422" s="90"/>
      <c r="ZO422" s="90"/>
      <c r="ZP422" s="90"/>
      <c r="ZQ422" s="90"/>
      <c r="ZR422" s="90"/>
      <c r="ZS422" s="90"/>
      <c r="ZT422" s="90"/>
      <c r="ZU422" s="90"/>
      <c r="ZV422" s="90"/>
      <c r="ZW422" s="90"/>
      <c r="ZX422" s="90"/>
      <c r="ZY422" s="90"/>
      <c r="ZZ422" s="90"/>
      <c r="AAA422" s="90"/>
      <c r="AAB422" s="90"/>
      <c r="AAC422" s="90"/>
      <c r="AAD422" s="90"/>
      <c r="AAE422" s="90"/>
      <c r="AAF422" s="90"/>
      <c r="AAG422" s="90"/>
      <c r="AAH422" s="90"/>
      <c r="AAI422" s="90"/>
      <c r="AAJ422" s="90"/>
      <c r="AAK422" s="90"/>
      <c r="AAL422" s="90"/>
      <c r="AAM422" s="90"/>
      <c r="AAN422" s="90"/>
      <c r="AAO422" s="90"/>
      <c r="AAP422" s="90"/>
      <c r="AAQ422" s="90"/>
      <c r="AAR422" s="90"/>
      <c r="AAS422" s="90"/>
      <c r="AAT422" s="90"/>
      <c r="AAU422" s="90"/>
      <c r="AAV422" s="90"/>
      <c r="AAW422" s="90"/>
      <c r="AAX422" s="90"/>
      <c r="AAY422" s="90"/>
      <c r="AAZ422" s="90"/>
      <c r="ABA422" s="90"/>
      <c r="ABB422" s="90"/>
      <c r="ABC422" s="90"/>
      <c r="ABD422" s="90"/>
      <c r="ABE422" s="90"/>
      <c r="ABF422" s="90"/>
      <c r="ABG422" s="90"/>
      <c r="ABH422" s="90"/>
      <c r="ABI422" s="90"/>
      <c r="ABJ422" s="90"/>
      <c r="ABK422" s="90"/>
      <c r="ABL422" s="90"/>
      <c r="ABM422" s="90"/>
      <c r="ABN422" s="90"/>
      <c r="ABO422" s="90"/>
      <c r="ABP422" s="90"/>
      <c r="ABQ422" s="90"/>
      <c r="ABR422" s="90"/>
      <c r="ABS422" s="90"/>
      <c r="ABT422" s="90"/>
      <c r="ABU422" s="90"/>
      <c r="ABV422" s="90"/>
      <c r="ABW422" s="90"/>
      <c r="ABX422" s="90"/>
      <c r="ABY422" s="90"/>
      <c r="ABZ422" s="90"/>
      <c r="ACA422" s="90"/>
      <c r="ACB422" s="90"/>
      <c r="ACC422" s="90"/>
      <c r="ACD422" s="90"/>
      <c r="ACE422" s="90"/>
      <c r="ACF422" s="90"/>
      <c r="ACG422" s="90"/>
      <c r="ACH422" s="90"/>
      <c r="ACI422" s="90"/>
      <c r="ACJ422" s="90"/>
      <c r="ACK422" s="90"/>
      <c r="ACL422" s="90"/>
      <c r="ACM422" s="90"/>
      <c r="ACN422" s="90"/>
      <c r="ACO422" s="90"/>
      <c r="ACP422" s="90"/>
      <c r="ACQ422" s="90"/>
      <c r="ACR422" s="90"/>
      <c r="ACS422" s="90"/>
      <c r="ACT422" s="90"/>
      <c r="ACU422" s="90"/>
      <c r="ACV422" s="90"/>
      <c r="ACW422" s="90"/>
      <c r="ACX422" s="90"/>
      <c r="ACY422" s="90"/>
      <c r="ACZ422" s="90"/>
      <c r="ADA422" s="90"/>
      <c r="ADB422" s="90"/>
      <c r="ADC422" s="90"/>
      <c r="ADD422" s="90"/>
      <c r="ADE422" s="90"/>
      <c r="ADF422" s="90"/>
      <c r="ADG422" s="90"/>
      <c r="ADH422" s="90"/>
      <c r="ADI422" s="90"/>
      <c r="ADJ422" s="90"/>
      <c r="ADK422" s="90"/>
      <c r="ADL422" s="90"/>
      <c r="ADM422" s="90"/>
      <c r="ADN422" s="90"/>
      <c r="ADO422" s="90"/>
      <c r="ADP422" s="90"/>
      <c r="ADQ422" s="90"/>
      <c r="ADR422" s="90"/>
      <c r="ADS422" s="90"/>
      <c r="ADT422" s="90"/>
      <c r="ADU422" s="90"/>
      <c r="ADV422" s="90"/>
      <c r="ADW422" s="90"/>
      <c r="ADX422" s="90"/>
      <c r="ADY422" s="90"/>
      <c r="ADZ422" s="90"/>
      <c r="AEA422" s="90"/>
      <c r="AEB422" s="90"/>
      <c r="AEC422" s="90"/>
      <c r="AED422" s="90"/>
      <c r="AEE422" s="90"/>
      <c r="AEF422" s="90"/>
      <c r="AEG422" s="90"/>
      <c r="AEH422" s="90"/>
      <c r="AEI422" s="90"/>
      <c r="AEJ422" s="90"/>
      <c r="AEK422" s="90"/>
      <c r="AEL422" s="90"/>
      <c r="AEM422" s="90"/>
      <c r="AEN422" s="90"/>
      <c r="AEO422" s="90"/>
      <c r="AEP422" s="90"/>
      <c r="AEQ422" s="90"/>
      <c r="AER422" s="90"/>
      <c r="AES422" s="90"/>
      <c r="AET422" s="90"/>
      <c r="AEU422" s="90"/>
      <c r="AEV422" s="90"/>
      <c r="AEW422" s="90"/>
      <c r="AEX422" s="90"/>
      <c r="AEY422" s="90"/>
      <c r="AEZ422" s="90"/>
      <c r="AFA422" s="90"/>
      <c r="AFB422" s="90"/>
      <c r="AFC422" s="90"/>
      <c r="AFD422" s="90"/>
      <c r="AFE422" s="90"/>
      <c r="AFF422" s="90"/>
      <c r="AFG422" s="90"/>
      <c r="AFH422" s="90"/>
      <c r="AFI422" s="90"/>
      <c r="AFJ422" s="90"/>
      <c r="AFK422" s="90"/>
      <c r="AFL422" s="90"/>
      <c r="AFM422" s="90"/>
      <c r="AFN422" s="90"/>
      <c r="AFO422" s="90"/>
      <c r="AFP422" s="90"/>
      <c r="AFQ422" s="90"/>
      <c r="AFR422" s="90"/>
      <c r="AFS422" s="90"/>
      <c r="AFT422" s="90"/>
      <c r="AFU422" s="90"/>
      <c r="AFV422" s="90"/>
      <c r="AFW422" s="90"/>
      <c r="AFX422" s="90"/>
      <c r="AFY422" s="90"/>
      <c r="AFZ422" s="90"/>
      <c r="AGA422" s="90"/>
      <c r="AGB422" s="90"/>
      <c r="AGC422" s="90"/>
      <c r="AGD422" s="90"/>
      <c r="AGE422" s="90"/>
      <c r="AGF422" s="90"/>
      <c r="AGG422" s="90"/>
      <c r="AGH422" s="90"/>
      <c r="AGI422" s="90"/>
      <c r="AGJ422" s="90"/>
      <c r="AGK422" s="90"/>
      <c r="AGL422" s="90"/>
      <c r="AGM422" s="90"/>
      <c r="AGN422" s="90"/>
      <c r="AGO422" s="90"/>
      <c r="AGP422" s="90"/>
      <c r="AGQ422" s="90"/>
      <c r="AGR422" s="90"/>
      <c r="AGS422" s="90"/>
      <c r="AGT422" s="90"/>
      <c r="AGU422" s="90"/>
      <c r="AGV422" s="90"/>
      <c r="AGW422" s="90"/>
      <c r="AGX422" s="90"/>
      <c r="AGY422" s="90"/>
      <c r="AGZ422" s="90"/>
      <c r="AHA422" s="90"/>
      <c r="AHB422" s="90"/>
      <c r="AHC422" s="90"/>
      <c r="AHD422" s="90"/>
      <c r="AHE422" s="90"/>
      <c r="AHF422" s="90"/>
      <c r="AHG422" s="90"/>
      <c r="AHH422" s="90"/>
      <c r="AHI422" s="90"/>
      <c r="AHJ422" s="90"/>
      <c r="AHK422" s="90"/>
      <c r="AHL422" s="90"/>
      <c r="AHM422" s="90"/>
      <c r="AHN422" s="90"/>
      <c r="AHO422" s="90"/>
      <c r="AHP422" s="90"/>
      <c r="AHQ422" s="90"/>
      <c r="AHR422" s="90"/>
      <c r="AHS422" s="90"/>
      <c r="AHT422" s="90"/>
      <c r="AHU422" s="90"/>
      <c r="AHV422" s="90"/>
      <c r="AHW422" s="90"/>
      <c r="AHX422" s="90"/>
      <c r="AHY422" s="90"/>
      <c r="AHZ422" s="90"/>
      <c r="AIA422" s="90"/>
      <c r="AIB422" s="90"/>
      <c r="AIC422" s="90"/>
      <c r="AID422" s="90"/>
      <c r="AIE422" s="90"/>
      <c r="AIF422" s="90"/>
      <c r="AIG422" s="90"/>
      <c r="AIH422" s="90"/>
      <c r="AII422" s="90"/>
      <c r="AIJ422" s="90"/>
      <c r="AIK422" s="90"/>
      <c r="AIL422" s="90"/>
      <c r="AIM422" s="90"/>
      <c r="AIN422" s="90"/>
      <c r="AIO422" s="90"/>
      <c r="AIP422" s="90"/>
      <c r="AIQ422" s="90"/>
      <c r="AIR422" s="90"/>
      <c r="AIS422" s="90"/>
      <c r="AIT422" s="90"/>
      <c r="AIU422" s="90"/>
      <c r="AIV422" s="90"/>
      <c r="AIW422" s="90"/>
      <c r="AIX422" s="90"/>
      <c r="AIY422" s="90"/>
      <c r="AIZ422" s="90"/>
      <c r="AJA422" s="90"/>
      <c r="AJB422" s="90"/>
      <c r="AJC422" s="90"/>
      <c r="AJD422" s="90"/>
      <c r="AJE422" s="90"/>
      <c r="AJF422" s="90"/>
      <c r="AJG422" s="90"/>
      <c r="AJH422" s="90"/>
      <c r="AJI422" s="90"/>
      <c r="AJJ422" s="90"/>
      <c r="AJK422" s="90"/>
      <c r="AJL422" s="90"/>
      <c r="AJM422" s="90"/>
      <c r="AJN422" s="90"/>
      <c r="AJO422" s="90"/>
      <c r="AJP422" s="90"/>
      <c r="AJQ422" s="90"/>
      <c r="AJR422" s="90"/>
      <c r="AJS422" s="90"/>
      <c r="AJT422" s="90"/>
      <c r="AJU422" s="90"/>
      <c r="AJV422" s="90"/>
      <c r="AJW422" s="90"/>
      <c r="AJX422" s="90"/>
      <c r="AJY422" s="90"/>
      <c r="AJZ422" s="90"/>
      <c r="AKA422" s="90"/>
      <c r="AKB422" s="90"/>
      <c r="AKC422" s="90"/>
      <c r="AKD422" s="90"/>
      <c r="AKE422" s="90"/>
      <c r="AKF422" s="90"/>
      <c r="AKG422" s="90"/>
      <c r="AKH422" s="90"/>
      <c r="AKI422" s="90"/>
      <c r="AKJ422" s="90"/>
      <c r="AKK422" s="90"/>
      <c r="AKL422" s="90"/>
      <c r="AKM422" s="90"/>
      <c r="AKN422" s="90"/>
      <c r="AKO422" s="90"/>
      <c r="AKP422" s="90"/>
      <c r="AKQ422" s="90"/>
      <c r="AKR422" s="90"/>
      <c r="AKS422" s="90"/>
      <c r="AKT422" s="90"/>
      <c r="AKU422" s="90"/>
      <c r="AKV422" s="90"/>
      <c r="AKW422" s="90"/>
      <c r="AKX422" s="90"/>
      <c r="AKY422" s="90"/>
      <c r="AKZ422" s="90"/>
      <c r="ALA422" s="90"/>
      <c r="ALB422" s="90"/>
      <c r="ALC422" s="90"/>
      <c r="ALD422" s="90"/>
      <c r="ALE422" s="90"/>
      <c r="ALF422" s="90"/>
      <c r="ALG422" s="90"/>
      <c r="ALH422" s="90"/>
      <c r="ALI422" s="90"/>
      <c r="ALJ422" s="90"/>
      <c r="ALK422" s="90"/>
      <c r="ALL422" s="90"/>
      <c r="ALM422" s="90"/>
      <c r="ALN422" s="90"/>
      <c r="ALO422" s="90"/>
      <c r="ALP422" s="90"/>
      <c r="ALQ422" s="90"/>
      <c r="ALR422" s="90"/>
      <c r="ALS422" s="90"/>
      <c r="ALT422" s="90"/>
      <c r="ALU422" s="90"/>
      <c r="ALV422" s="90"/>
      <c r="ALW422" s="90"/>
      <c r="ALX422" s="90"/>
      <c r="ALY422" s="90"/>
      <c r="ALZ422" s="90"/>
      <c r="AMA422" s="90"/>
      <c r="AMB422" s="90"/>
      <c r="AMC422" s="90"/>
    </row>
    <row r="423" spans="1:1017">
      <c r="A423" s="98" t="s">
        <v>55</v>
      </c>
      <c r="B423" s="90" t="str">
        <f t="shared" si="2194"/>
        <v xml:space="preserve">Belut Sawah </v>
      </c>
      <c r="Q423" s="91">
        <f t="shared" si="2096"/>
        <v>0</v>
      </c>
      <c r="R423" s="91">
        <f t="shared" si="2097"/>
        <v>0</v>
      </c>
      <c r="AG423" s="91">
        <f t="shared" si="2098"/>
        <v>0</v>
      </c>
      <c r="AH423" s="91">
        <f t="shared" si="2099"/>
        <v>0</v>
      </c>
      <c r="AW423" s="91">
        <f t="shared" si="2100"/>
        <v>0</v>
      </c>
      <c r="AX423" s="91">
        <f t="shared" si="2101"/>
        <v>0</v>
      </c>
      <c r="BM423" s="91">
        <f t="shared" si="2102"/>
        <v>0</v>
      </c>
      <c r="BN423" s="91">
        <f t="shared" si="2103"/>
        <v>0</v>
      </c>
      <c r="CC423" s="91">
        <f t="shared" si="2104"/>
        <v>0</v>
      </c>
      <c r="CD423" s="91">
        <f t="shared" si="2105"/>
        <v>0</v>
      </c>
      <c r="CS423" s="91">
        <f t="shared" si="2106"/>
        <v>0</v>
      </c>
      <c r="CT423" s="91">
        <f t="shared" si="2107"/>
        <v>0</v>
      </c>
      <c r="DI423" s="91">
        <f t="shared" si="2108"/>
        <v>0</v>
      </c>
      <c r="DJ423" s="91">
        <f t="shared" si="2109"/>
        <v>0</v>
      </c>
      <c r="DY423" s="91">
        <f t="shared" si="2110"/>
        <v>0</v>
      </c>
      <c r="DZ423" s="91">
        <f t="shared" si="2111"/>
        <v>0</v>
      </c>
      <c r="EO423" s="91">
        <f t="shared" si="2112"/>
        <v>0</v>
      </c>
      <c r="EP423" s="91">
        <f t="shared" si="2113"/>
        <v>0</v>
      </c>
      <c r="FE423" s="91">
        <f t="shared" si="2114"/>
        <v>0</v>
      </c>
      <c r="FF423" s="91">
        <f t="shared" si="2115"/>
        <v>0</v>
      </c>
      <c r="FU423" s="91">
        <f t="shared" si="2116"/>
        <v>0</v>
      </c>
      <c r="FV423" s="91">
        <f t="shared" si="2117"/>
        <v>0</v>
      </c>
      <c r="GK423" s="91">
        <f t="shared" si="2118"/>
        <v>0</v>
      </c>
      <c r="GL423" s="91">
        <f t="shared" si="2119"/>
        <v>0</v>
      </c>
      <c r="HA423" s="91">
        <f t="shared" si="2120"/>
        <v>0</v>
      </c>
      <c r="HB423" s="91">
        <f t="shared" si="2121"/>
        <v>0</v>
      </c>
      <c r="HQ423" s="91">
        <f t="shared" si="2122"/>
        <v>0</v>
      </c>
      <c r="HR423" s="91">
        <f t="shared" si="2123"/>
        <v>0</v>
      </c>
      <c r="IG423" s="91">
        <f t="shared" si="2124"/>
        <v>0</v>
      </c>
      <c r="IH423" s="91">
        <f t="shared" si="2125"/>
        <v>0</v>
      </c>
      <c r="IW423" s="91">
        <f t="shared" si="2126"/>
        <v>0</v>
      </c>
      <c r="IX423" s="91">
        <f t="shared" si="2127"/>
        <v>0</v>
      </c>
      <c r="JM423" s="91">
        <f t="shared" si="2128"/>
        <v>0</v>
      </c>
      <c r="JN423" s="91">
        <f t="shared" si="2129"/>
        <v>0</v>
      </c>
      <c r="JU423" s="98">
        <v>75</v>
      </c>
      <c r="JV423" s="98">
        <v>5625</v>
      </c>
      <c r="KC423" s="91">
        <f t="shared" si="2130"/>
        <v>75</v>
      </c>
      <c r="KD423" s="91">
        <f t="shared" si="2131"/>
        <v>5625</v>
      </c>
      <c r="KS423" s="91">
        <f t="shared" si="2132"/>
        <v>0</v>
      </c>
      <c r="KT423" s="91">
        <f t="shared" si="2133"/>
        <v>0</v>
      </c>
      <c r="LI423" s="91">
        <f t="shared" si="2134"/>
        <v>0</v>
      </c>
      <c r="LJ423" s="91">
        <f t="shared" si="2135"/>
        <v>0</v>
      </c>
      <c r="LY423" s="91">
        <f t="shared" si="2136"/>
        <v>0</v>
      </c>
      <c r="LZ423" s="91">
        <f t="shared" si="2137"/>
        <v>0</v>
      </c>
      <c r="MO423" s="91">
        <f t="shared" si="2138"/>
        <v>0</v>
      </c>
      <c r="MP423" s="91">
        <f t="shared" si="2139"/>
        <v>0</v>
      </c>
      <c r="NE423" s="91">
        <f t="shared" si="2140"/>
        <v>0</v>
      </c>
      <c r="NF423" s="91">
        <f t="shared" si="2141"/>
        <v>0</v>
      </c>
      <c r="NU423" s="91">
        <f t="shared" si="2142"/>
        <v>0</v>
      </c>
      <c r="NV423" s="91">
        <f t="shared" si="2143"/>
        <v>0</v>
      </c>
      <c r="OK423" s="91">
        <f t="shared" si="2144"/>
        <v>0</v>
      </c>
      <c r="OL423" s="91">
        <f t="shared" si="2145"/>
        <v>0</v>
      </c>
      <c r="PA423" s="91">
        <f t="shared" si="2146"/>
        <v>0</v>
      </c>
      <c r="PB423" s="91">
        <f t="shared" si="2147"/>
        <v>0</v>
      </c>
      <c r="PQ423" s="91">
        <f t="shared" si="2148"/>
        <v>0</v>
      </c>
      <c r="PR423" s="91">
        <f t="shared" si="2149"/>
        <v>0</v>
      </c>
      <c r="QG423" s="91">
        <f t="shared" si="2150"/>
        <v>0</v>
      </c>
      <c r="QH423" s="91">
        <f t="shared" si="2151"/>
        <v>0</v>
      </c>
      <c r="QW423" s="91">
        <f t="shared" si="2152"/>
        <v>0</v>
      </c>
      <c r="QX423" s="91">
        <f t="shared" si="2153"/>
        <v>0</v>
      </c>
      <c r="RM423" s="91">
        <f t="shared" si="2154"/>
        <v>0</v>
      </c>
      <c r="RN423" s="91">
        <f t="shared" si="2155"/>
        <v>0</v>
      </c>
      <c r="SC423" s="91">
        <f t="shared" si="2156"/>
        <v>0</v>
      </c>
      <c r="SD423" s="91">
        <f t="shared" si="2157"/>
        <v>0</v>
      </c>
      <c r="SS423" s="91">
        <f t="shared" si="2158"/>
        <v>0</v>
      </c>
      <c r="ST423" s="91">
        <f t="shared" si="2159"/>
        <v>0</v>
      </c>
      <c r="TI423" s="91">
        <f t="shared" si="2160"/>
        <v>0</v>
      </c>
      <c r="TJ423" s="91">
        <f t="shared" si="2161"/>
        <v>0</v>
      </c>
      <c r="TY423" s="91">
        <f t="shared" si="2162"/>
        <v>0</v>
      </c>
      <c r="TZ423" s="91">
        <f t="shared" si="2163"/>
        <v>0</v>
      </c>
      <c r="UO423" s="91">
        <f t="shared" si="2164"/>
        <v>0</v>
      </c>
      <c r="UP423" s="91">
        <f t="shared" si="2165"/>
        <v>0</v>
      </c>
      <c r="VE423" s="91">
        <f t="shared" si="2166"/>
        <v>0</v>
      </c>
      <c r="VF423" s="91">
        <f t="shared" si="2167"/>
        <v>0</v>
      </c>
      <c r="VU423" s="91">
        <f t="shared" si="2168"/>
        <v>0</v>
      </c>
      <c r="VV423" s="91">
        <f t="shared" si="2169"/>
        <v>0</v>
      </c>
      <c r="WK423" s="91">
        <f t="shared" si="2170"/>
        <v>0</v>
      </c>
      <c r="WL423" s="91">
        <f t="shared" si="2171"/>
        <v>0</v>
      </c>
      <c r="WM423" s="89"/>
      <c r="WN423" s="87">
        <f t="shared" si="2195"/>
        <v>0</v>
      </c>
      <c r="WO423" s="87">
        <f t="shared" si="2196"/>
        <v>0</v>
      </c>
      <c r="WP423" s="87">
        <f t="shared" si="2197"/>
        <v>0</v>
      </c>
      <c r="WQ423" s="87">
        <f t="shared" si="2198"/>
        <v>0</v>
      </c>
      <c r="WR423" s="87">
        <f t="shared" si="2199"/>
        <v>0</v>
      </c>
      <c r="WS423" s="87">
        <f t="shared" si="2200"/>
        <v>0</v>
      </c>
      <c r="WT423" s="87">
        <f t="shared" si="2201"/>
        <v>75</v>
      </c>
      <c r="WU423" s="87">
        <f t="shared" si="2202"/>
        <v>5625</v>
      </c>
      <c r="WV423" s="87">
        <f t="shared" si="2203"/>
        <v>0</v>
      </c>
      <c r="WW423" s="87">
        <f t="shared" si="2204"/>
        <v>0</v>
      </c>
      <c r="WX423" s="87">
        <f t="shared" si="2205"/>
        <v>0</v>
      </c>
      <c r="WY423" s="87">
        <f t="shared" si="2206"/>
        <v>0</v>
      </c>
      <c r="WZ423" s="87">
        <f t="shared" si="2190"/>
        <v>0</v>
      </c>
      <c r="XA423" s="87">
        <f t="shared" si="2191"/>
        <v>0</v>
      </c>
      <c r="XB423" s="92">
        <f t="shared" si="2192"/>
        <v>75</v>
      </c>
      <c r="XC423" s="92">
        <f t="shared" si="2193"/>
        <v>5625</v>
      </c>
      <c r="XD423" s="89"/>
      <c r="XE423" s="92"/>
      <c r="XF423" s="92"/>
      <c r="XG423" s="89"/>
      <c r="XH423" s="92"/>
      <c r="XI423" s="92"/>
      <c r="XJ423" s="89"/>
      <c r="XK423" s="87"/>
      <c r="XL423" s="87"/>
      <c r="XM423" s="87"/>
      <c r="XN423" s="87"/>
      <c r="XO423" s="87"/>
      <c r="XP423" s="87"/>
      <c r="XQ423" s="87"/>
      <c r="XR423" s="92">
        <f t="shared" ca="1" si="2188"/>
        <v>0</v>
      </c>
      <c r="XS423" s="89"/>
      <c r="XT423" s="87"/>
      <c r="XU423" s="87"/>
      <c r="XV423" s="87"/>
      <c r="XW423" s="87"/>
      <c r="XX423" s="87"/>
      <c r="XY423" s="87"/>
      <c r="XZ423" s="87"/>
      <c r="YA423" s="92">
        <f t="shared" ca="1" si="2189"/>
        <v>0</v>
      </c>
      <c r="YB423" s="90"/>
      <c r="YC423" s="90"/>
      <c r="YD423" s="90"/>
      <c r="YE423" s="90"/>
      <c r="YF423" s="90"/>
      <c r="YG423" s="90"/>
      <c r="YH423" s="90"/>
      <c r="YI423" s="90"/>
      <c r="YJ423" s="90"/>
      <c r="YK423" s="90"/>
      <c r="YL423" s="90"/>
      <c r="YM423" s="90"/>
      <c r="YN423" s="90"/>
      <c r="YO423" s="90"/>
      <c r="YP423" s="90"/>
      <c r="YQ423" s="90"/>
      <c r="YR423" s="90"/>
      <c r="YS423" s="90"/>
      <c r="YT423" s="90"/>
      <c r="YU423" s="90"/>
      <c r="YV423" s="90"/>
      <c r="YW423" s="90"/>
      <c r="YX423" s="90"/>
      <c r="YY423" s="90"/>
      <c r="YZ423" s="90"/>
      <c r="ZA423" s="90"/>
      <c r="ZB423" s="90"/>
      <c r="ZC423" s="90"/>
      <c r="ZD423" s="90"/>
      <c r="ZE423" s="90"/>
      <c r="ZF423" s="90"/>
      <c r="ZG423" s="90"/>
      <c r="ZH423" s="90"/>
      <c r="ZI423" s="90"/>
      <c r="ZJ423" s="90"/>
      <c r="ZK423" s="90"/>
      <c r="ZL423" s="90"/>
      <c r="ZM423" s="90"/>
      <c r="ZN423" s="90"/>
      <c r="ZO423" s="90"/>
      <c r="ZP423" s="90"/>
      <c r="ZQ423" s="90"/>
      <c r="ZR423" s="90"/>
      <c r="ZS423" s="90"/>
      <c r="ZT423" s="90"/>
      <c r="ZU423" s="90"/>
      <c r="ZV423" s="90"/>
      <c r="ZW423" s="90"/>
      <c r="ZX423" s="90"/>
      <c r="ZY423" s="90"/>
      <c r="ZZ423" s="90"/>
      <c r="AAA423" s="90"/>
      <c r="AAB423" s="90"/>
      <c r="AAC423" s="90"/>
      <c r="AAD423" s="90"/>
      <c r="AAE423" s="90"/>
      <c r="AAF423" s="90"/>
      <c r="AAG423" s="90"/>
      <c r="AAH423" s="90"/>
      <c r="AAI423" s="90"/>
      <c r="AAJ423" s="90"/>
      <c r="AAK423" s="90"/>
      <c r="AAL423" s="90"/>
      <c r="AAM423" s="90"/>
      <c r="AAN423" s="90"/>
      <c r="AAO423" s="90"/>
      <c r="AAP423" s="90"/>
      <c r="AAQ423" s="90"/>
      <c r="AAR423" s="90"/>
      <c r="AAS423" s="90"/>
      <c r="AAT423" s="90"/>
      <c r="AAU423" s="90"/>
      <c r="AAV423" s="90"/>
      <c r="AAW423" s="90"/>
      <c r="AAX423" s="90"/>
      <c r="AAY423" s="90"/>
      <c r="AAZ423" s="90"/>
      <c r="ABA423" s="90"/>
      <c r="ABB423" s="90"/>
      <c r="ABC423" s="90"/>
      <c r="ABD423" s="90"/>
      <c r="ABE423" s="90"/>
      <c r="ABF423" s="90"/>
      <c r="ABG423" s="90"/>
      <c r="ABH423" s="90"/>
      <c r="ABI423" s="90"/>
      <c r="ABJ423" s="90"/>
      <c r="ABK423" s="90"/>
      <c r="ABL423" s="90"/>
      <c r="ABM423" s="90"/>
      <c r="ABN423" s="90"/>
      <c r="ABO423" s="90"/>
      <c r="ABP423" s="90"/>
      <c r="ABQ423" s="90"/>
      <c r="ABR423" s="90"/>
      <c r="ABS423" s="90"/>
      <c r="ABT423" s="90"/>
      <c r="ABU423" s="90"/>
      <c r="ABV423" s="90"/>
      <c r="ABW423" s="90"/>
      <c r="ABX423" s="90"/>
      <c r="ABY423" s="90"/>
      <c r="ABZ423" s="90"/>
      <c r="ACA423" s="90"/>
      <c r="ACB423" s="90"/>
      <c r="ACC423" s="90"/>
      <c r="ACD423" s="90"/>
      <c r="ACE423" s="90"/>
      <c r="ACF423" s="90"/>
      <c r="ACG423" s="90"/>
      <c r="ACH423" s="90"/>
      <c r="ACI423" s="90"/>
      <c r="ACJ423" s="90"/>
      <c r="ACK423" s="90"/>
      <c r="ACL423" s="90"/>
      <c r="ACM423" s="90"/>
      <c r="ACN423" s="90"/>
      <c r="ACO423" s="90"/>
      <c r="ACP423" s="90"/>
      <c r="ACQ423" s="90"/>
      <c r="ACR423" s="90"/>
      <c r="ACS423" s="90"/>
      <c r="ACT423" s="90"/>
      <c r="ACU423" s="90"/>
      <c r="ACV423" s="90"/>
      <c r="ACW423" s="90"/>
      <c r="ACX423" s="90"/>
      <c r="ACY423" s="90"/>
      <c r="ACZ423" s="90"/>
      <c r="ADA423" s="90"/>
      <c r="ADB423" s="90"/>
      <c r="ADC423" s="90"/>
      <c r="ADD423" s="90"/>
      <c r="ADE423" s="90"/>
      <c r="ADF423" s="90"/>
      <c r="ADG423" s="90"/>
      <c r="ADH423" s="90"/>
      <c r="ADI423" s="90"/>
      <c r="ADJ423" s="90"/>
      <c r="ADK423" s="90"/>
      <c r="ADL423" s="90"/>
      <c r="ADM423" s="90"/>
      <c r="ADN423" s="90"/>
      <c r="ADO423" s="90"/>
      <c r="ADP423" s="90"/>
      <c r="ADQ423" s="90"/>
      <c r="ADR423" s="90"/>
      <c r="ADS423" s="90"/>
      <c r="ADT423" s="90"/>
      <c r="ADU423" s="90"/>
      <c r="ADV423" s="90"/>
      <c r="ADW423" s="90"/>
      <c r="ADX423" s="90"/>
      <c r="ADY423" s="90"/>
      <c r="ADZ423" s="90"/>
      <c r="AEA423" s="90"/>
      <c r="AEB423" s="90"/>
      <c r="AEC423" s="90"/>
      <c r="AED423" s="90"/>
      <c r="AEE423" s="90"/>
      <c r="AEF423" s="90"/>
      <c r="AEG423" s="90"/>
      <c r="AEH423" s="90"/>
      <c r="AEI423" s="90"/>
      <c r="AEJ423" s="90"/>
      <c r="AEK423" s="90"/>
      <c r="AEL423" s="90"/>
      <c r="AEM423" s="90"/>
      <c r="AEN423" s="90"/>
      <c r="AEO423" s="90"/>
      <c r="AEP423" s="90"/>
      <c r="AEQ423" s="90"/>
      <c r="AER423" s="90"/>
      <c r="AES423" s="90"/>
      <c r="AET423" s="90"/>
      <c r="AEU423" s="90"/>
      <c r="AEV423" s="90"/>
      <c r="AEW423" s="90"/>
      <c r="AEX423" s="90"/>
      <c r="AEY423" s="90"/>
      <c r="AEZ423" s="90"/>
      <c r="AFA423" s="90"/>
      <c r="AFB423" s="90"/>
      <c r="AFC423" s="90"/>
      <c r="AFD423" s="90"/>
      <c r="AFE423" s="90"/>
      <c r="AFF423" s="90"/>
      <c r="AFG423" s="90"/>
      <c r="AFH423" s="90"/>
      <c r="AFI423" s="90"/>
      <c r="AFJ423" s="90"/>
      <c r="AFK423" s="90"/>
      <c r="AFL423" s="90"/>
      <c r="AFM423" s="90"/>
      <c r="AFN423" s="90"/>
      <c r="AFO423" s="90"/>
      <c r="AFP423" s="90"/>
      <c r="AFQ423" s="90"/>
      <c r="AFR423" s="90"/>
      <c r="AFS423" s="90"/>
      <c r="AFT423" s="90"/>
      <c r="AFU423" s="90"/>
      <c r="AFV423" s="90"/>
      <c r="AFW423" s="90"/>
      <c r="AFX423" s="90"/>
      <c r="AFY423" s="90"/>
      <c r="AFZ423" s="90"/>
      <c r="AGA423" s="90"/>
      <c r="AGB423" s="90"/>
      <c r="AGC423" s="90"/>
      <c r="AGD423" s="90"/>
      <c r="AGE423" s="90"/>
      <c r="AGF423" s="90"/>
      <c r="AGG423" s="90"/>
      <c r="AGH423" s="90"/>
      <c r="AGI423" s="90"/>
      <c r="AGJ423" s="90"/>
      <c r="AGK423" s="90"/>
      <c r="AGL423" s="90"/>
      <c r="AGM423" s="90"/>
      <c r="AGN423" s="90"/>
      <c r="AGO423" s="90"/>
      <c r="AGP423" s="90"/>
      <c r="AGQ423" s="90"/>
      <c r="AGR423" s="90"/>
      <c r="AGS423" s="90"/>
      <c r="AGT423" s="90"/>
      <c r="AGU423" s="90"/>
      <c r="AGV423" s="90"/>
      <c r="AGW423" s="90"/>
      <c r="AGX423" s="90"/>
      <c r="AGY423" s="90"/>
      <c r="AGZ423" s="90"/>
      <c r="AHA423" s="90"/>
      <c r="AHB423" s="90"/>
      <c r="AHC423" s="90"/>
      <c r="AHD423" s="90"/>
      <c r="AHE423" s="90"/>
      <c r="AHF423" s="90"/>
      <c r="AHG423" s="90"/>
      <c r="AHH423" s="90"/>
      <c r="AHI423" s="90"/>
      <c r="AHJ423" s="90"/>
      <c r="AHK423" s="90"/>
      <c r="AHL423" s="90"/>
      <c r="AHM423" s="90"/>
      <c r="AHN423" s="90"/>
      <c r="AHO423" s="90"/>
      <c r="AHP423" s="90"/>
      <c r="AHQ423" s="90"/>
      <c r="AHR423" s="90"/>
      <c r="AHS423" s="90"/>
      <c r="AHT423" s="90"/>
      <c r="AHU423" s="90"/>
      <c r="AHV423" s="90"/>
      <c r="AHW423" s="90"/>
      <c r="AHX423" s="90"/>
      <c r="AHY423" s="90"/>
      <c r="AHZ423" s="90"/>
      <c r="AIA423" s="90"/>
      <c r="AIB423" s="90"/>
      <c r="AIC423" s="90"/>
      <c r="AID423" s="90"/>
      <c r="AIE423" s="90"/>
      <c r="AIF423" s="90"/>
      <c r="AIG423" s="90"/>
      <c r="AIH423" s="90"/>
      <c r="AII423" s="90"/>
      <c r="AIJ423" s="90"/>
      <c r="AIK423" s="90"/>
      <c r="AIL423" s="90"/>
      <c r="AIM423" s="90"/>
      <c r="AIN423" s="90"/>
      <c r="AIO423" s="90"/>
      <c r="AIP423" s="90"/>
      <c r="AIQ423" s="90"/>
      <c r="AIR423" s="90"/>
      <c r="AIS423" s="90"/>
      <c r="AIT423" s="90"/>
      <c r="AIU423" s="90"/>
      <c r="AIV423" s="90"/>
      <c r="AIW423" s="90"/>
      <c r="AIX423" s="90"/>
      <c r="AIY423" s="90"/>
      <c r="AIZ423" s="90"/>
      <c r="AJA423" s="90"/>
      <c r="AJB423" s="90"/>
      <c r="AJC423" s="90"/>
      <c r="AJD423" s="90"/>
      <c r="AJE423" s="90"/>
      <c r="AJF423" s="90"/>
      <c r="AJG423" s="90"/>
      <c r="AJH423" s="90"/>
      <c r="AJI423" s="90"/>
      <c r="AJJ423" s="90"/>
      <c r="AJK423" s="90"/>
      <c r="AJL423" s="90"/>
      <c r="AJM423" s="90"/>
      <c r="AJN423" s="90"/>
      <c r="AJO423" s="90"/>
      <c r="AJP423" s="90"/>
      <c r="AJQ423" s="90"/>
      <c r="AJR423" s="90"/>
      <c r="AJS423" s="90"/>
      <c r="AJT423" s="90"/>
      <c r="AJU423" s="90"/>
      <c r="AJV423" s="90"/>
      <c r="AJW423" s="90"/>
      <c r="AJX423" s="90"/>
      <c r="AJY423" s="90"/>
      <c r="AJZ423" s="90"/>
      <c r="AKA423" s="90"/>
      <c r="AKB423" s="90"/>
      <c r="AKC423" s="90"/>
      <c r="AKD423" s="90"/>
      <c r="AKE423" s="90"/>
      <c r="AKF423" s="90"/>
      <c r="AKG423" s="90"/>
      <c r="AKH423" s="90"/>
      <c r="AKI423" s="90"/>
      <c r="AKJ423" s="90"/>
      <c r="AKK423" s="90"/>
      <c r="AKL423" s="90"/>
      <c r="AKM423" s="90"/>
      <c r="AKN423" s="90"/>
      <c r="AKO423" s="90"/>
      <c r="AKP423" s="90"/>
      <c r="AKQ423" s="90"/>
      <c r="AKR423" s="90"/>
      <c r="AKS423" s="90"/>
      <c r="AKT423" s="90"/>
      <c r="AKU423" s="90"/>
      <c r="AKV423" s="90"/>
      <c r="AKW423" s="90"/>
      <c r="AKX423" s="90"/>
      <c r="AKY423" s="90"/>
      <c r="AKZ423" s="90"/>
      <c r="ALA423" s="90"/>
      <c r="ALB423" s="90"/>
      <c r="ALC423" s="90"/>
      <c r="ALD423" s="90"/>
      <c r="ALE423" s="90"/>
      <c r="ALF423" s="90"/>
      <c r="ALG423" s="90"/>
      <c r="ALH423" s="90"/>
      <c r="ALI423" s="90"/>
      <c r="ALJ423" s="90"/>
      <c r="ALK423" s="90"/>
      <c r="ALL423" s="90"/>
      <c r="ALM423" s="90"/>
      <c r="ALN423" s="90"/>
      <c r="ALO423" s="90"/>
      <c r="ALP423" s="90"/>
      <c r="ALQ423" s="90"/>
      <c r="ALR423" s="90"/>
      <c r="ALS423" s="90"/>
      <c r="ALT423" s="90"/>
      <c r="ALU423" s="90"/>
      <c r="ALV423" s="90"/>
      <c r="ALW423" s="90"/>
      <c r="ALX423" s="90"/>
      <c r="ALY423" s="90"/>
      <c r="ALZ423" s="90"/>
      <c r="AMA423" s="90"/>
      <c r="AMB423" s="90"/>
      <c r="AMC423" s="90"/>
    </row>
    <row r="424" spans="1:1017">
      <c r="A424" s="98" t="s">
        <v>55</v>
      </c>
      <c r="B424" s="90" t="str">
        <f t="shared" si="2194"/>
        <v xml:space="preserve">Udang_04 (Udang Lainnya) </v>
      </c>
      <c r="Q424" s="91">
        <f t="shared" si="2096"/>
        <v>0</v>
      </c>
      <c r="R424" s="91">
        <f t="shared" si="2097"/>
        <v>0</v>
      </c>
      <c r="AG424" s="91">
        <f t="shared" si="2098"/>
        <v>0</v>
      </c>
      <c r="AH424" s="91">
        <f t="shared" si="2099"/>
        <v>0</v>
      </c>
      <c r="AW424" s="91">
        <f t="shared" si="2100"/>
        <v>0</v>
      </c>
      <c r="AX424" s="91">
        <f t="shared" si="2101"/>
        <v>0</v>
      </c>
      <c r="BM424" s="91">
        <f t="shared" si="2102"/>
        <v>0</v>
      </c>
      <c r="BN424" s="91">
        <f t="shared" si="2103"/>
        <v>0</v>
      </c>
      <c r="CC424" s="91">
        <f t="shared" si="2104"/>
        <v>0</v>
      </c>
      <c r="CD424" s="91">
        <f t="shared" si="2105"/>
        <v>0</v>
      </c>
      <c r="CS424" s="91">
        <f t="shared" si="2106"/>
        <v>0</v>
      </c>
      <c r="CT424" s="91">
        <f t="shared" si="2107"/>
        <v>0</v>
      </c>
      <c r="DI424" s="91">
        <f t="shared" si="2108"/>
        <v>0</v>
      </c>
      <c r="DJ424" s="91">
        <f t="shared" si="2109"/>
        <v>0</v>
      </c>
      <c r="DY424" s="91">
        <f t="shared" si="2110"/>
        <v>0</v>
      </c>
      <c r="DZ424" s="91">
        <f t="shared" si="2111"/>
        <v>0</v>
      </c>
      <c r="EO424" s="91">
        <f t="shared" si="2112"/>
        <v>0</v>
      </c>
      <c r="EP424" s="91">
        <f t="shared" si="2113"/>
        <v>0</v>
      </c>
      <c r="FE424" s="91">
        <f t="shared" si="2114"/>
        <v>0</v>
      </c>
      <c r="FF424" s="91">
        <f t="shared" si="2115"/>
        <v>0</v>
      </c>
      <c r="FU424" s="91">
        <f t="shared" si="2116"/>
        <v>0</v>
      </c>
      <c r="FV424" s="91">
        <f t="shared" si="2117"/>
        <v>0</v>
      </c>
      <c r="GK424" s="91">
        <f t="shared" si="2118"/>
        <v>0</v>
      </c>
      <c r="GL424" s="91">
        <f t="shared" si="2119"/>
        <v>0</v>
      </c>
      <c r="HA424" s="91">
        <f t="shared" si="2120"/>
        <v>0</v>
      </c>
      <c r="HB424" s="91">
        <f t="shared" si="2121"/>
        <v>0</v>
      </c>
      <c r="HQ424" s="91">
        <f t="shared" si="2122"/>
        <v>0</v>
      </c>
      <c r="HR424" s="91">
        <f t="shared" si="2123"/>
        <v>0</v>
      </c>
      <c r="IG424" s="91">
        <f t="shared" si="2124"/>
        <v>0</v>
      </c>
      <c r="IH424" s="91">
        <f t="shared" si="2125"/>
        <v>0</v>
      </c>
      <c r="IW424" s="91">
        <f t="shared" si="2126"/>
        <v>0</v>
      </c>
      <c r="IX424" s="91">
        <f t="shared" si="2127"/>
        <v>0</v>
      </c>
      <c r="JM424" s="91">
        <f t="shared" si="2128"/>
        <v>0</v>
      </c>
      <c r="JN424" s="91">
        <f t="shared" si="2129"/>
        <v>0</v>
      </c>
      <c r="KC424" s="91">
        <f t="shared" si="2130"/>
        <v>0</v>
      </c>
      <c r="KD424" s="91">
        <f t="shared" si="2131"/>
        <v>0</v>
      </c>
      <c r="KS424" s="91">
        <f t="shared" si="2132"/>
        <v>0</v>
      </c>
      <c r="KT424" s="91">
        <f t="shared" si="2133"/>
        <v>0</v>
      </c>
      <c r="LI424" s="91">
        <f t="shared" si="2134"/>
        <v>0</v>
      </c>
      <c r="LJ424" s="91">
        <f t="shared" si="2135"/>
        <v>0</v>
      </c>
      <c r="LY424" s="91">
        <f t="shared" si="2136"/>
        <v>0</v>
      </c>
      <c r="LZ424" s="91">
        <f t="shared" si="2137"/>
        <v>0</v>
      </c>
      <c r="MO424" s="91">
        <f t="shared" si="2138"/>
        <v>0</v>
      </c>
      <c r="MP424" s="91">
        <f t="shared" si="2139"/>
        <v>0</v>
      </c>
      <c r="NE424" s="91">
        <f t="shared" si="2140"/>
        <v>0</v>
      </c>
      <c r="NF424" s="91">
        <f t="shared" si="2141"/>
        <v>0</v>
      </c>
      <c r="NU424" s="91">
        <f t="shared" si="2142"/>
        <v>0</v>
      </c>
      <c r="NV424" s="91">
        <f t="shared" si="2143"/>
        <v>0</v>
      </c>
      <c r="OK424" s="91">
        <f t="shared" si="2144"/>
        <v>0</v>
      </c>
      <c r="OL424" s="91">
        <f t="shared" si="2145"/>
        <v>0</v>
      </c>
      <c r="PA424" s="91">
        <f t="shared" si="2146"/>
        <v>0</v>
      </c>
      <c r="PB424" s="91">
        <f t="shared" si="2147"/>
        <v>0</v>
      </c>
      <c r="PQ424" s="91">
        <f t="shared" si="2148"/>
        <v>0</v>
      </c>
      <c r="PR424" s="91">
        <f t="shared" si="2149"/>
        <v>0</v>
      </c>
      <c r="QG424" s="91">
        <f t="shared" si="2150"/>
        <v>0</v>
      </c>
      <c r="QH424" s="91">
        <f t="shared" si="2151"/>
        <v>0</v>
      </c>
      <c r="QW424" s="91">
        <f t="shared" si="2152"/>
        <v>0</v>
      </c>
      <c r="QX424" s="91">
        <f t="shared" si="2153"/>
        <v>0</v>
      </c>
      <c r="RM424" s="91">
        <f t="shared" si="2154"/>
        <v>0</v>
      </c>
      <c r="RN424" s="91">
        <f t="shared" si="2155"/>
        <v>0</v>
      </c>
      <c r="SC424" s="91">
        <f t="shared" si="2156"/>
        <v>0</v>
      </c>
      <c r="SD424" s="91">
        <f t="shared" si="2157"/>
        <v>0</v>
      </c>
      <c r="SS424" s="91">
        <f t="shared" si="2158"/>
        <v>0</v>
      </c>
      <c r="ST424" s="91">
        <f t="shared" si="2159"/>
        <v>0</v>
      </c>
      <c r="TI424" s="91">
        <f t="shared" si="2160"/>
        <v>0</v>
      </c>
      <c r="TJ424" s="91">
        <f t="shared" si="2161"/>
        <v>0</v>
      </c>
      <c r="TY424" s="91">
        <f t="shared" si="2162"/>
        <v>0</v>
      </c>
      <c r="TZ424" s="91">
        <f t="shared" si="2163"/>
        <v>0</v>
      </c>
      <c r="UO424" s="91">
        <f t="shared" si="2164"/>
        <v>0</v>
      </c>
      <c r="UP424" s="91">
        <f t="shared" si="2165"/>
        <v>0</v>
      </c>
      <c r="VE424" s="91">
        <f t="shared" si="2166"/>
        <v>0</v>
      </c>
      <c r="VF424" s="91">
        <f t="shared" si="2167"/>
        <v>0</v>
      </c>
      <c r="VU424" s="91">
        <f t="shared" si="2168"/>
        <v>0</v>
      </c>
      <c r="VV424" s="91">
        <f t="shared" si="2169"/>
        <v>0</v>
      </c>
      <c r="WK424" s="91">
        <f t="shared" si="2170"/>
        <v>0</v>
      </c>
      <c r="WL424" s="91">
        <f t="shared" si="2171"/>
        <v>0</v>
      </c>
      <c r="WM424" s="89"/>
      <c r="WN424" s="87">
        <f t="shared" si="2195"/>
        <v>0</v>
      </c>
      <c r="WO424" s="87">
        <f t="shared" si="2196"/>
        <v>0</v>
      </c>
      <c r="WP424" s="87">
        <f t="shared" si="2197"/>
        <v>0</v>
      </c>
      <c r="WQ424" s="87">
        <f t="shared" si="2198"/>
        <v>0</v>
      </c>
      <c r="WR424" s="87">
        <f t="shared" si="2199"/>
        <v>0</v>
      </c>
      <c r="WS424" s="87">
        <f t="shared" si="2200"/>
        <v>0</v>
      </c>
      <c r="WT424" s="87">
        <f t="shared" si="2201"/>
        <v>0</v>
      </c>
      <c r="WU424" s="87">
        <f t="shared" si="2202"/>
        <v>0</v>
      </c>
      <c r="WV424" s="87">
        <f t="shared" si="2203"/>
        <v>0</v>
      </c>
      <c r="WW424" s="87">
        <f t="shared" si="2204"/>
        <v>0</v>
      </c>
      <c r="WX424" s="87">
        <f t="shared" si="2205"/>
        <v>0</v>
      </c>
      <c r="WY424" s="87">
        <f t="shared" si="2206"/>
        <v>0</v>
      </c>
      <c r="WZ424" s="87">
        <f t="shared" si="2190"/>
        <v>0</v>
      </c>
      <c r="XA424" s="87">
        <f t="shared" si="2191"/>
        <v>0</v>
      </c>
      <c r="XB424" s="92">
        <f t="shared" si="2192"/>
        <v>0</v>
      </c>
      <c r="XC424" s="92">
        <f t="shared" si="2193"/>
        <v>0</v>
      </c>
      <c r="XD424" s="89"/>
      <c r="XE424" s="92"/>
      <c r="XF424" s="92"/>
      <c r="XG424" s="89"/>
      <c r="XH424" s="92"/>
      <c r="XI424" s="92"/>
      <c r="XJ424" s="89"/>
      <c r="XK424" s="87"/>
      <c r="XL424" s="87"/>
      <c r="XM424" s="87"/>
      <c r="XN424" s="87"/>
      <c r="XO424" s="87"/>
      <c r="XP424" s="87"/>
      <c r="XQ424" s="87"/>
      <c r="XR424" s="92">
        <f t="shared" ca="1" si="2188"/>
        <v>0</v>
      </c>
      <c r="XS424" s="89"/>
      <c r="XT424" s="87"/>
      <c r="XU424" s="87"/>
      <c r="XV424" s="87"/>
      <c r="XW424" s="87"/>
      <c r="XX424" s="87"/>
      <c r="XY424" s="87"/>
      <c r="XZ424" s="87"/>
      <c r="YA424" s="92">
        <f t="shared" ca="1" si="2189"/>
        <v>0</v>
      </c>
      <c r="YB424" s="90"/>
      <c r="YC424" s="90"/>
      <c r="YD424" s="90"/>
      <c r="YE424" s="90"/>
      <c r="YF424" s="90"/>
      <c r="YG424" s="90"/>
      <c r="YH424" s="90"/>
      <c r="YI424" s="90"/>
      <c r="YJ424" s="90"/>
      <c r="YK424" s="90"/>
      <c r="YL424" s="90"/>
      <c r="YM424" s="90"/>
      <c r="YN424" s="90"/>
      <c r="YO424" s="90"/>
      <c r="YP424" s="90"/>
      <c r="YQ424" s="90"/>
      <c r="YR424" s="90"/>
      <c r="YS424" s="90"/>
      <c r="YT424" s="90"/>
      <c r="YU424" s="90"/>
      <c r="YV424" s="90"/>
      <c r="YW424" s="90"/>
      <c r="YX424" s="90"/>
      <c r="YY424" s="90"/>
      <c r="YZ424" s="90"/>
      <c r="ZA424" s="90"/>
      <c r="ZB424" s="90"/>
      <c r="ZC424" s="90"/>
      <c r="ZD424" s="90"/>
      <c r="ZE424" s="90"/>
      <c r="ZF424" s="90"/>
      <c r="ZG424" s="90"/>
      <c r="ZH424" s="90"/>
      <c r="ZI424" s="90"/>
      <c r="ZJ424" s="90"/>
      <c r="ZK424" s="90"/>
      <c r="ZL424" s="90"/>
      <c r="ZM424" s="90"/>
      <c r="ZN424" s="90"/>
      <c r="ZO424" s="90"/>
      <c r="ZP424" s="90"/>
      <c r="ZQ424" s="90"/>
      <c r="ZR424" s="90"/>
      <c r="ZS424" s="90"/>
      <c r="ZT424" s="90"/>
      <c r="ZU424" s="90"/>
      <c r="ZV424" s="90"/>
      <c r="ZW424" s="90"/>
      <c r="ZX424" s="90"/>
      <c r="ZY424" s="90"/>
      <c r="ZZ424" s="90"/>
      <c r="AAA424" s="90"/>
      <c r="AAB424" s="90"/>
      <c r="AAC424" s="90"/>
      <c r="AAD424" s="90"/>
      <c r="AAE424" s="90"/>
      <c r="AAF424" s="90"/>
      <c r="AAG424" s="90"/>
      <c r="AAH424" s="90"/>
      <c r="AAI424" s="90"/>
      <c r="AAJ424" s="90"/>
      <c r="AAK424" s="90"/>
      <c r="AAL424" s="90"/>
      <c r="AAM424" s="90"/>
      <c r="AAN424" s="90"/>
      <c r="AAO424" s="90"/>
      <c r="AAP424" s="90"/>
      <c r="AAQ424" s="90"/>
      <c r="AAR424" s="90"/>
      <c r="AAS424" s="90"/>
      <c r="AAT424" s="90"/>
      <c r="AAU424" s="90"/>
      <c r="AAV424" s="90"/>
      <c r="AAW424" s="90"/>
      <c r="AAX424" s="90"/>
      <c r="AAY424" s="90"/>
      <c r="AAZ424" s="90"/>
      <c r="ABA424" s="90"/>
      <c r="ABB424" s="90"/>
      <c r="ABC424" s="90"/>
      <c r="ABD424" s="90"/>
      <c r="ABE424" s="90"/>
      <c r="ABF424" s="90"/>
      <c r="ABG424" s="90"/>
      <c r="ABH424" s="90"/>
      <c r="ABI424" s="90"/>
      <c r="ABJ424" s="90"/>
      <c r="ABK424" s="90"/>
      <c r="ABL424" s="90"/>
      <c r="ABM424" s="90"/>
      <c r="ABN424" s="90"/>
      <c r="ABO424" s="90"/>
      <c r="ABP424" s="90"/>
      <c r="ABQ424" s="90"/>
      <c r="ABR424" s="90"/>
      <c r="ABS424" s="90"/>
      <c r="ABT424" s="90"/>
      <c r="ABU424" s="90"/>
      <c r="ABV424" s="90"/>
      <c r="ABW424" s="90"/>
      <c r="ABX424" s="90"/>
      <c r="ABY424" s="90"/>
      <c r="ABZ424" s="90"/>
      <c r="ACA424" s="90"/>
      <c r="ACB424" s="90"/>
      <c r="ACC424" s="90"/>
      <c r="ACD424" s="90"/>
      <c r="ACE424" s="90"/>
      <c r="ACF424" s="90"/>
      <c r="ACG424" s="90"/>
      <c r="ACH424" s="90"/>
      <c r="ACI424" s="90"/>
      <c r="ACJ424" s="90"/>
      <c r="ACK424" s="90"/>
      <c r="ACL424" s="90"/>
      <c r="ACM424" s="90"/>
      <c r="ACN424" s="90"/>
      <c r="ACO424" s="90"/>
      <c r="ACP424" s="90"/>
      <c r="ACQ424" s="90"/>
      <c r="ACR424" s="90"/>
      <c r="ACS424" s="90"/>
      <c r="ACT424" s="90"/>
      <c r="ACU424" s="90"/>
      <c r="ACV424" s="90"/>
      <c r="ACW424" s="90"/>
      <c r="ACX424" s="90"/>
      <c r="ACY424" s="90"/>
      <c r="ACZ424" s="90"/>
      <c r="ADA424" s="90"/>
      <c r="ADB424" s="90"/>
      <c r="ADC424" s="90"/>
      <c r="ADD424" s="90"/>
      <c r="ADE424" s="90"/>
      <c r="ADF424" s="90"/>
      <c r="ADG424" s="90"/>
      <c r="ADH424" s="90"/>
      <c r="ADI424" s="90"/>
      <c r="ADJ424" s="90"/>
      <c r="ADK424" s="90"/>
      <c r="ADL424" s="90"/>
      <c r="ADM424" s="90"/>
      <c r="ADN424" s="90"/>
      <c r="ADO424" s="90"/>
      <c r="ADP424" s="90"/>
      <c r="ADQ424" s="90"/>
      <c r="ADR424" s="90"/>
      <c r="ADS424" s="90"/>
      <c r="ADT424" s="90"/>
      <c r="ADU424" s="90"/>
      <c r="ADV424" s="90"/>
      <c r="ADW424" s="90"/>
      <c r="ADX424" s="90"/>
      <c r="ADY424" s="90"/>
      <c r="ADZ424" s="90"/>
      <c r="AEA424" s="90"/>
      <c r="AEB424" s="90"/>
      <c r="AEC424" s="90"/>
      <c r="AED424" s="90"/>
      <c r="AEE424" s="90"/>
      <c r="AEF424" s="90"/>
      <c r="AEG424" s="90"/>
      <c r="AEH424" s="90"/>
      <c r="AEI424" s="90"/>
      <c r="AEJ424" s="90"/>
      <c r="AEK424" s="90"/>
      <c r="AEL424" s="90"/>
      <c r="AEM424" s="90"/>
      <c r="AEN424" s="90"/>
      <c r="AEO424" s="90"/>
      <c r="AEP424" s="90"/>
      <c r="AEQ424" s="90"/>
      <c r="AER424" s="90"/>
      <c r="AES424" s="90"/>
      <c r="AET424" s="90"/>
      <c r="AEU424" s="90"/>
      <c r="AEV424" s="90"/>
      <c r="AEW424" s="90"/>
      <c r="AEX424" s="90"/>
      <c r="AEY424" s="90"/>
      <c r="AEZ424" s="90"/>
      <c r="AFA424" s="90"/>
      <c r="AFB424" s="90"/>
      <c r="AFC424" s="90"/>
      <c r="AFD424" s="90"/>
      <c r="AFE424" s="90"/>
      <c r="AFF424" s="90"/>
      <c r="AFG424" s="90"/>
      <c r="AFH424" s="90"/>
      <c r="AFI424" s="90"/>
      <c r="AFJ424" s="90"/>
      <c r="AFK424" s="90"/>
      <c r="AFL424" s="90"/>
      <c r="AFM424" s="90"/>
      <c r="AFN424" s="90"/>
      <c r="AFO424" s="90"/>
      <c r="AFP424" s="90"/>
      <c r="AFQ424" s="90"/>
      <c r="AFR424" s="90"/>
      <c r="AFS424" s="90"/>
      <c r="AFT424" s="90"/>
      <c r="AFU424" s="90"/>
      <c r="AFV424" s="90"/>
      <c r="AFW424" s="90"/>
      <c r="AFX424" s="90"/>
      <c r="AFY424" s="90"/>
      <c r="AFZ424" s="90"/>
      <c r="AGA424" s="90"/>
      <c r="AGB424" s="90"/>
      <c r="AGC424" s="90"/>
      <c r="AGD424" s="90"/>
      <c r="AGE424" s="90"/>
      <c r="AGF424" s="90"/>
      <c r="AGG424" s="90"/>
      <c r="AGH424" s="90"/>
      <c r="AGI424" s="90"/>
      <c r="AGJ424" s="90"/>
      <c r="AGK424" s="90"/>
      <c r="AGL424" s="90"/>
      <c r="AGM424" s="90"/>
      <c r="AGN424" s="90"/>
      <c r="AGO424" s="90"/>
      <c r="AGP424" s="90"/>
      <c r="AGQ424" s="90"/>
      <c r="AGR424" s="90"/>
      <c r="AGS424" s="90"/>
      <c r="AGT424" s="90"/>
      <c r="AGU424" s="90"/>
      <c r="AGV424" s="90"/>
      <c r="AGW424" s="90"/>
      <c r="AGX424" s="90"/>
      <c r="AGY424" s="90"/>
      <c r="AGZ424" s="90"/>
      <c r="AHA424" s="90"/>
      <c r="AHB424" s="90"/>
      <c r="AHC424" s="90"/>
      <c r="AHD424" s="90"/>
      <c r="AHE424" s="90"/>
      <c r="AHF424" s="90"/>
      <c r="AHG424" s="90"/>
      <c r="AHH424" s="90"/>
      <c r="AHI424" s="90"/>
      <c r="AHJ424" s="90"/>
      <c r="AHK424" s="90"/>
      <c r="AHL424" s="90"/>
      <c r="AHM424" s="90"/>
      <c r="AHN424" s="90"/>
      <c r="AHO424" s="90"/>
      <c r="AHP424" s="90"/>
      <c r="AHQ424" s="90"/>
      <c r="AHR424" s="90"/>
      <c r="AHS424" s="90"/>
      <c r="AHT424" s="90"/>
      <c r="AHU424" s="90"/>
      <c r="AHV424" s="90"/>
      <c r="AHW424" s="90"/>
      <c r="AHX424" s="90"/>
      <c r="AHY424" s="90"/>
      <c r="AHZ424" s="90"/>
      <c r="AIA424" s="90"/>
      <c r="AIB424" s="90"/>
      <c r="AIC424" s="90"/>
      <c r="AID424" s="90"/>
      <c r="AIE424" s="90"/>
      <c r="AIF424" s="90"/>
      <c r="AIG424" s="90"/>
      <c r="AIH424" s="90"/>
      <c r="AII424" s="90"/>
      <c r="AIJ424" s="90"/>
      <c r="AIK424" s="90"/>
      <c r="AIL424" s="90"/>
      <c r="AIM424" s="90"/>
      <c r="AIN424" s="90"/>
      <c r="AIO424" s="90"/>
      <c r="AIP424" s="90"/>
      <c r="AIQ424" s="90"/>
      <c r="AIR424" s="90"/>
      <c r="AIS424" s="90"/>
      <c r="AIT424" s="90"/>
      <c r="AIU424" s="90"/>
      <c r="AIV424" s="90"/>
      <c r="AIW424" s="90"/>
      <c r="AIX424" s="90"/>
      <c r="AIY424" s="90"/>
      <c r="AIZ424" s="90"/>
      <c r="AJA424" s="90"/>
      <c r="AJB424" s="90"/>
      <c r="AJC424" s="90"/>
      <c r="AJD424" s="90"/>
      <c r="AJE424" s="90"/>
      <c r="AJF424" s="90"/>
      <c r="AJG424" s="90"/>
      <c r="AJH424" s="90"/>
      <c r="AJI424" s="90"/>
      <c r="AJJ424" s="90"/>
      <c r="AJK424" s="90"/>
      <c r="AJL424" s="90"/>
      <c r="AJM424" s="90"/>
      <c r="AJN424" s="90"/>
      <c r="AJO424" s="90"/>
      <c r="AJP424" s="90"/>
      <c r="AJQ424" s="90"/>
      <c r="AJR424" s="90"/>
      <c r="AJS424" s="90"/>
      <c r="AJT424" s="90"/>
      <c r="AJU424" s="90"/>
      <c r="AJV424" s="90"/>
      <c r="AJW424" s="90"/>
      <c r="AJX424" s="90"/>
      <c r="AJY424" s="90"/>
      <c r="AJZ424" s="90"/>
      <c r="AKA424" s="90"/>
      <c r="AKB424" s="90"/>
      <c r="AKC424" s="90"/>
      <c r="AKD424" s="90"/>
      <c r="AKE424" s="90"/>
      <c r="AKF424" s="90"/>
      <c r="AKG424" s="90"/>
      <c r="AKH424" s="90"/>
      <c r="AKI424" s="90"/>
      <c r="AKJ424" s="90"/>
      <c r="AKK424" s="90"/>
      <c r="AKL424" s="90"/>
      <c r="AKM424" s="90"/>
      <c r="AKN424" s="90"/>
      <c r="AKO424" s="90"/>
      <c r="AKP424" s="90"/>
      <c r="AKQ424" s="90"/>
      <c r="AKR424" s="90"/>
      <c r="AKS424" s="90"/>
      <c r="AKT424" s="90"/>
      <c r="AKU424" s="90"/>
      <c r="AKV424" s="90"/>
      <c r="AKW424" s="90"/>
      <c r="AKX424" s="90"/>
      <c r="AKY424" s="90"/>
      <c r="AKZ424" s="90"/>
      <c r="ALA424" s="90"/>
      <c r="ALB424" s="90"/>
      <c r="ALC424" s="90"/>
      <c r="ALD424" s="90"/>
      <c r="ALE424" s="90"/>
      <c r="ALF424" s="90"/>
      <c r="ALG424" s="90"/>
      <c r="ALH424" s="90"/>
      <c r="ALI424" s="90"/>
      <c r="ALJ424" s="90"/>
      <c r="ALK424" s="90"/>
      <c r="ALL424" s="90"/>
      <c r="ALM424" s="90"/>
      <c r="ALN424" s="90"/>
      <c r="ALO424" s="90"/>
      <c r="ALP424" s="90"/>
      <c r="ALQ424" s="90"/>
      <c r="ALR424" s="90"/>
      <c r="ALS424" s="90"/>
      <c r="ALT424" s="90"/>
      <c r="ALU424" s="90"/>
      <c r="ALV424" s="90"/>
      <c r="ALW424" s="90"/>
      <c r="ALX424" s="90"/>
      <c r="ALY424" s="90"/>
      <c r="ALZ424" s="90"/>
      <c r="AMA424" s="90"/>
      <c r="AMB424" s="90"/>
      <c r="AMC424" s="90"/>
    </row>
    <row r="425" spans="1:1017">
      <c r="A425" s="98" t="s">
        <v>55</v>
      </c>
      <c r="B425" s="90" t="str">
        <f t="shared" si="2194"/>
        <v xml:space="preserve">Udang_05 (Udang Lainnya) </v>
      </c>
      <c r="Q425" s="91">
        <f t="shared" si="2096"/>
        <v>0</v>
      </c>
      <c r="R425" s="91">
        <f t="shared" si="2097"/>
        <v>0</v>
      </c>
      <c r="AG425" s="91">
        <f t="shared" si="2098"/>
        <v>0</v>
      </c>
      <c r="AH425" s="91">
        <f t="shared" si="2099"/>
        <v>0</v>
      </c>
      <c r="AW425" s="91">
        <f t="shared" si="2100"/>
        <v>0</v>
      </c>
      <c r="AX425" s="91">
        <f t="shared" si="2101"/>
        <v>0</v>
      </c>
      <c r="BM425" s="91">
        <f t="shared" si="2102"/>
        <v>0</v>
      </c>
      <c r="BN425" s="91">
        <f t="shared" si="2103"/>
        <v>0</v>
      </c>
      <c r="CC425" s="91">
        <f t="shared" si="2104"/>
        <v>0</v>
      </c>
      <c r="CD425" s="91">
        <f t="shared" si="2105"/>
        <v>0</v>
      </c>
      <c r="CS425" s="91">
        <f t="shared" si="2106"/>
        <v>0</v>
      </c>
      <c r="CT425" s="91">
        <f t="shared" si="2107"/>
        <v>0</v>
      </c>
      <c r="DI425" s="91">
        <f t="shared" si="2108"/>
        <v>0</v>
      </c>
      <c r="DJ425" s="91">
        <f t="shared" si="2109"/>
        <v>0</v>
      </c>
      <c r="DY425" s="91">
        <f t="shared" si="2110"/>
        <v>0</v>
      </c>
      <c r="DZ425" s="91">
        <f t="shared" si="2111"/>
        <v>0</v>
      </c>
      <c r="EO425" s="91">
        <f t="shared" si="2112"/>
        <v>0</v>
      </c>
      <c r="EP425" s="91">
        <f t="shared" si="2113"/>
        <v>0</v>
      </c>
      <c r="FE425" s="91">
        <f t="shared" si="2114"/>
        <v>0</v>
      </c>
      <c r="FF425" s="91">
        <f t="shared" si="2115"/>
        <v>0</v>
      </c>
      <c r="FU425" s="91">
        <f t="shared" si="2116"/>
        <v>0</v>
      </c>
      <c r="FV425" s="91">
        <f t="shared" si="2117"/>
        <v>0</v>
      </c>
      <c r="GK425" s="91">
        <f t="shared" si="2118"/>
        <v>0</v>
      </c>
      <c r="GL425" s="91">
        <f t="shared" si="2119"/>
        <v>0</v>
      </c>
      <c r="HA425" s="91">
        <f t="shared" si="2120"/>
        <v>0</v>
      </c>
      <c r="HB425" s="91">
        <f t="shared" si="2121"/>
        <v>0</v>
      </c>
      <c r="HQ425" s="91">
        <f t="shared" si="2122"/>
        <v>0</v>
      </c>
      <c r="HR425" s="91">
        <f t="shared" si="2123"/>
        <v>0</v>
      </c>
      <c r="IG425" s="91">
        <f t="shared" si="2124"/>
        <v>0</v>
      </c>
      <c r="IH425" s="91">
        <f t="shared" si="2125"/>
        <v>0</v>
      </c>
      <c r="IW425" s="91">
        <f t="shared" si="2126"/>
        <v>0</v>
      </c>
      <c r="IX425" s="91">
        <f t="shared" si="2127"/>
        <v>0</v>
      </c>
      <c r="JM425" s="91">
        <f t="shared" si="2128"/>
        <v>0</v>
      </c>
      <c r="JN425" s="91">
        <f t="shared" si="2129"/>
        <v>0</v>
      </c>
      <c r="KC425" s="91">
        <f t="shared" si="2130"/>
        <v>0</v>
      </c>
      <c r="KD425" s="91">
        <f t="shared" si="2131"/>
        <v>0</v>
      </c>
      <c r="KS425" s="91">
        <f t="shared" si="2132"/>
        <v>0</v>
      </c>
      <c r="KT425" s="91">
        <f t="shared" si="2133"/>
        <v>0</v>
      </c>
      <c r="LI425" s="91">
        <f t="shared" si="2134"/>
        <v>0</v>
      </c>
      <c r="LJ425" s="91">
        <f t="shared" si="2135"/>
        <v>0</v>
      </c>
      <c r="LY425" s="91">
        <f t="shared" si="2136"/>
        <v>0</v>
      </c>
      <c r="LZ425" s="91">
        <f t="shared" si="2137"/>
        <v>0</v>
      </c>
      <c r="MO425" s="91">
        <f t="shared" si="2138"/>
        <v>0</v>
      </c>
      <c r="MP425" s="91">
        <f t="shared" si="2139"/>
        <v>0</v>
      </c>
      <c r="NE425" s="91">
        <f t="shared" si="2140"/>
        <v>0</v>
      </c>
      <c r="NF425" s="91">
        <f t="shared" si="2141"/>
        <v>0</v>
      </c>
      <c r="NU425" s="91">
        <f t="shared" si="2142"/>
        <v>0</v>
      </c>
      <c r="NV425" s="91">
        <f t="shared" si="2143"/>
        <v>0</v>
      </c>
      <c r="OK425" s="91">
        <f t="shared" si="2144"/>
        <v>0</v>
      </c>
      <c r="OL425" s="91">
        <f t="shared" si="2145"/>
        <v>0</v>
      </c>
      <c r="PA425" s="91">
        <f t="shared" si="2146"/>
        <v>0</v>
      </c>
      <c r="PB425" s="91">
        <f t="shared" si="2147"/>
        <v>0</v>
      </c>
      <c r="PQ425" s="91">
        <f t="shared" si="2148"/>
        <v>0</v>
      </c>
      <c r="PR425" s="91">
        <f t="shared" si="2149"/>
        <v>0</v>
      </c>
      <c r="QG425" s="91">
        <f t="shared" si="2150"/>
        <v>0</v>
      </c>
      <c r="QH425" s="91">
        <f t="shared" si="2151"/>
        <v>0</v>
      </c>
      <c r="QW425" s="91">
        <f t="shared" si="2152"/>
        <v>0</v>
      </c>
      <c r="QX425" s="91">
        <f t="shared" si="2153"/>
        <v>0</v>
      </c>
      <c r="RM425" s="91">
        <f t="shared" si="2154"/>
        <v>0</v>
      </c>
      <c r="RN425" s="91">
        <f t="shared" si="2155"/>
        <v>0</v>
      </c>
      <c r="SC425" s="91">
        <f t="shared" si="2156"/>
        <v>0</v>
      </c>
      <c r="SD425" s="91">
        <f t="shared" si="2157"/>
        <v>0</v>
      </c>
      <c r="SS425" s="91">
        <f t="shared" si="2158"/>
        <v>0</v>
      </c>
      <c r="ST425" s="91">
        <f t="shared" si="2159"/>
        <v>0</v>
      </c>
      <c r="TI425" s="91">
        <f t="shared" si="2160"/>
        <v>0</v>
      </c>
      <c r="TJ425" s="91">
        <f t="shared" si="2161"/>
        <v>0</v>
      </c>
      <c r="TY425" s="91">
        <f t="shared" si="2162"/>
        <v>0</v>
      </c>
      <c r="TZ425" s="91">
        <f t="shared" si="2163"/>
        <v>0</v>
      </c>
      <c r="UO425" s="91">
        <f t="shared" si="2164"/>
        <v>0</v>
      </c>
      <c r="UP425" s="91">
        <f t="shared" si="2165"/>
        <v>0</v>
      </c>
      <c r="VE425" s="91">
        <f t="shared" si="2166"/>
        <v>0</v>
      </c>
      <c r="VF425" s="91">
        <f t="shared" si="2167"/>
        <v>0</v>
      </c>
      <c r="VU425" s="91">
        <f t="shared" si="2168"/>
        <v>0</v>
      </c>
      <c r="VV425" s="91">
        <f t="shared" si="2169"/>
        <v>0</v>
      </c>
      <c r="WK425" s="91">
        <f t="shared" si="2170"/>
        <v>0</v>
      </c>
      <c r="WL425" s="91">
        <f t="shared" si="2171"/>
        <v>0</v>
      </c>
      <c r="WM425" s="89"/>
      <c r="WN425" s="87">
        <f t="shared" si="2195"/>
        <v>0</v>
      </c>
      <c r="WO425" s="87">
        <f t="shared" si="2196"/>
        <v>0</v>
      </c>
      <c r="WP425" s="87">
        <f t="shared" si="2197"/>
        <v>0</v>
      </c>
      <c r="WQ425" s="87">
        <f t="shared" si="2198"/>
        <v>0</v>
      </c>
      <c r="WR425" s="87">
        <f t="shared" si="2199"/>
        <v>0</v>
      </c>
      <c r="WS425" s="87">
        <f t="shared" si="2200"/>
        <v>0</v>
      </c>
      <c r="WT425" s="87">
        <f t="shared" si="2201"/>
        <v>0</v>
      </c>
      <c r="WU425" s="87">
        <f t="shared" si="2202"/>
        <v>0</v>
      </c>
      <c r="WV425" s="87">
        <f t="shared" si="2203"/>
        <v>0</v>
      </c>
      <c r="WW425" s="87">
        <f t="shared" si="2204"/>
        <v>0</v>
      </c>
      <c r="WX425" s="87">
        <f t="shared" si="2205"/>
        <v>0</v>
      </c>
      <c r="WY425" s="87">
        <f t="shared" si="2206"/>
        <v>0</v>
      </c>
      <c r="WZ425" s="87">
        <f t="shared" si="2190"/>
        <v>0</v>
      </c>
      <c r="XA425" s="87">
        <f t="shared" si="2191"/>
        <v>0</v>
      </c>
      <c r="XB425" s="92">
        <f t="shared" si="2192"/>
        <v>0</v>
      </c>
      <c r="XC425" s="92">
        <f t="shared" si="2193"/>
        <v>0</v>
      </c>
      <c r="XD425" s="89"/>
      <c r="XE425" s="92"/>
      <c r="XF425" s="92"/>
      <c r="XG425" s="89"/>
      <c r="XH425" s="92"/>
      <c r="XI425" s="92"/>
      <c r="XJ425" s="89"/>
      <c r="XK425" s="87"/>
      <c r="XL425" s="87"/>
      <c r="XM425" s="87"/>
      <c r="XN425" s="87"/>
      <c r="XO425" s="87"/>
      <c r="XP425" s="87"/>
      <c r="XQ425" s="87"/>
      <c r="XR425" s="92">
        <f t="shared" ca="1" si="2188"/>
        <v>0</v>
      </c>
      <c r="XS425" s="89"/>
      <c r="XT425" s="87"/>
      <c r="XU425" s="87"/>
      <c r="XV425" s="87"/>
      <c r="XW425" s="87"/>
      <c r="XX425" s="87"/>
      <c r="XY425" s="87"/>
      <c r="XZ425" s="87"/>
      <c r="YA425" s="92">
        <f t="shared" ca="1" si="2189"/>
        <v>0</v>
      </c>
      <c r="YB425" s="90"/>
      <c r="YC425" s="90"/>
      <c r="YD425" s="90"/>
      <c r="YE425" s="90"/>
      <c r="YF425" s="90"/>
      <c r="YG425" s="90"/>
      <c r="YH425" s="90"/>
      <c r="YI425" s="90"/>
      <c r="YJ425" s="90"/>
      <c r="YK425" s="90"/>
      <c r="YL425" s="90"/>
      <c r="YM425" s="90"/>
      <c r="YN425" s="90"/>
      <c r="YO425" s="90"/>
      <c r="YP425" s="90"/>
      <c r="YQ425" s="90"/>
      <c r="YR425" s="90"/>
      <c r="YS425" s="90"/>
      <c r="YT425" s="90"/>
      <c r="YU425" s="90"/>
      <c r="YV425" s="90"/>
      <c r="YW425" s="90"/>
      <c r="YX425" s="90"/>
      <c r="YY425" s="90"/>
      <c r="YZ425" s="90"/>
      <c r="ZA425" s="90"/>
      <c r="ZB425" s="90"/>
      <c r="ZC425" s="90"/>
      <c r="ZD425" s="90"/>
      <c r="ZE425" s="90"/>
      <c r="ZF425" s="90"/>
      <c r="ZG425" s="90"/>
      <c r="ZH425" s="90"/>
      <c r="ZI425" s="90"/>
      <c r="ZJ425" s="90"/>
      <c r="ZK425" s="90"/>
      <c r="ZL425" s="90"/>
      <c r="ZM425" s="90"/>
      <c r="ZN425" s="90"/>
      <c r="ZO425" s="90"/>
      <c r="ZP425" s="90"/>
      <c r="ZQ425" s="90"/>
      <c r="ZR425" s="90"/>
      <c r="ZS425" s="90"/>
      <c r="ZT425" s="90"/>
      <c r="ZU425" s="90"/>
      <c r="ZV425" s="90"/>
      <c r="ZW425" s="90"/>
      <c r="ZX425" s="90"/>
      <c r="ZY425" s="90"/>
      <c r="ZZ425" s="90"/>
      <c r="AAA425" s="90"/>
      <c r="AAB425" s="90"/>
      <c r="AAC425" s="90"/>
      <c r="AAD425" s="90"/>
      <c r="AAE425" s="90"/>
      <c r="AAF425" s="90"/>
      <c r="AAG425" s="90"/>
      <c r="AAH425" s="90"/>
      <c r="AAI425" s="90"/>
      <c r="AAJ425" s="90"/>
      <c r="AAK425" s="90"/>
      <c r="AAL425" s="90"/>
      <c r="AAM425" s="90"/>
      <c r="AAN425" s="90"/>
      <c r="AAO425" s="90"/>
      <c r="AAP425" s="90"/>
      <c r="AAQ425" s="90"/>
      <c r="AAR425" s="90"/>
      <c r="AAS425" s="90"/>
      <c r="AAT425" s="90"/>
      <c r="AAU425" s="90"/>
      <c r="AAV425" s="90"/>
      <c r="AAW425" s="90"/>
      <c r="AAX425" s="90"/>
      <c r="AAY425" s="90"/>
      <c r="AAZ425" s="90"/>
      <c r="ABA425" s="90"/>
      <c r="ABB425" s="90"/>
      <c r="ABC425" s="90"/>
      <c r="ABD425" s="90"/>
      <c r="ABE425" s="90"/>
      <c r="ABF425" s="90"/>
      <c r="ABG425" s="90"/>
      <c r="ABH425" s="90"/>
      <c r="ABI425" s="90"/>
      <c r="ABJ425" s="90"/>
      <c r="ABK425" s="90"/>
      <c r="ABL425" s="90"/>
      <c r="ABM425" s="90"/>
      <c r="ABN425" s="90"/>
      <c r="ABO425" s="90"/>
      <c r="ABP425" s="90"/>
      <c r="ABQ425" s="90"/>
      <c r="ABR425" s="90"/>
      <c r="ABS425" s="90"/>
      <c r="ABT425" s="90"/>
      <c r="ABU425" s="90"/>
      <c r="ABV425" s="90"/>
      <c r="ABW425" s="90"/>
      <c r="ABX425" s="90"/>
      <c r="ABY425" s="90"/>
      <c r="ABZ425" s="90"/>
      <c r="ACA425" s="90"/>
      <c r="ACB425" s="90"/>
      <c r="ACC425" s="90"/>
      <c r="ACD425" s="90"/>
      <c r="ACE425" s="90"/>
      <c r="ACF425" s="90"/>
      <c r="ACG425" s="90"/>
      <c r="ACH425" s="90"/>
      <c r="ACI425" s="90"/>
      <c r="ACJ425" s="90"/>
      <c r="ACK425" s="90"/>
      <c r="ACL425" s="90"/>
      <c r="ACM425" s="90"/>
      <c r="ACN425" s="90"/>
      <c r="ACO425" s="90"/>
      <c r="ACP425" s="90"/>
      <c r="ACQ425" s="90"/>
      <c r="ACR425" s="90"/>
      <c r="ACS425" s="90"/>
      <c r="ACT425" s="90"/>
      <c r="ACU425" s="90"/>
      <c r="ACV425" s="90"/>
      <c r="ACW425" s="90"/>
      <c r="ACX425" s="90"/>
      <c r="ACY425" s="90"/>
      <c r="ACZ425" s="90"/>
      <c r="ADA425" s="90"/>
      <c r="ADB425" s="90"/>
      <c r="ADC425" s="90"/>
      <c r="ADD425" s="90"/>
      <c r="ADE425" s="90"/>
      <c r="ADF425" s="90"/>
      <c r="ADG425" s="90"/>
      <c r="ADH425" s="90"/>
      <c r="ADI425" s="90"/>
      <c r="ADJ425" s="90"/>
      <c r="ADK425" s="90"/>
      <c r="ADL425" s="90"/>
      <c r="ADM425" s="90"/>
      <c r="ADN425" s="90"/>
      <c r="ADO425" s="90"/>
      <c r="ADP425" s="90"/>
      <c r="ADQ425" s="90"/>
      <c r="ADR425" s="90"/>
      <c r="ADS425" s="90"/>
      <c r="ADT425" s="90"/>
      <c r="ADU425" s="90"/>
      <c r="ADV425" s="90"/>
      <c r="ADW425" s="90"/>
      <c r="ADX425" s="90"/>
      <c r="ADY425" s="90"/>
      <c r="ADZ425" s="90"/>
      <c r="AEA425" s="90"/>
      <c r="AEB425" s="90"/>
      <c r="AEC425" s="90"/>
      <c r="AED425" s="90"/>
      <c r="AEE425" s="90"/>
      <c r="AEF425" s="90"/>
      <c r="AEG425" s="90"/>
      <c r="AEH425" s="90"/>
      <c r="AEI425" s="90"/>
      <c r="AEJ425" s="90"/>
      <c r="AEK425" s="90"/>
      <c r="AEL425" s="90"/>
      <c r="AEM425" s="90"/>
      <c r="AEN425" s="90"/>
      <c r="AEO425" s="90"/>
      <c r="AEP425" s="90"/>
      <c r="AEQ425" s="90"/>
      <c r="AER425" s="90"/>
      <c r="AES425" s="90"/>
      <c r="AET425" s="90"/>
      <c r="AEU425" s="90"/>
      <c r="AEV425" s="90"/>
      <c r="AEW425" s="90"/>
      <c r="AEX425" s="90"/>
      <c r="AEY425" s="90"/>
      <c r="AEZ425" s="90"/>
      <c r="AFA425" s="90"/>
      <c r="AFB425" s="90"/>
      <c r="AFC425" s="90"/>
      <c r="AFD425" s="90"/>
      <c r="AFE425" s="90"/>
      <c r="AFF425" s="90"/>
      <c r="AFG425" s="90"/>
      <c r="AFH425" s="90"/>
      <c r="AFI425" s="90"/>
      <c r="AFJ425" s="90"/>
      <c r="AFK425" s="90"/>
      <c r="AFL425" s="90"/>
      <c r="AFM425" s="90"/>
      <c r="AFN425" s="90"/>
      <c r="AFO425" s="90"/>
      <c r="AFP425" s="90"/>
      <c r="AFQ425" s="90"/>
      <c r="AFR425" s="90"/>
      <c r="AFS425" s="90"/>
      <c r="AFT425" s="90"/>
      <c r="AFU425" s="90"/>
      <c r="AFV425" s="90"/>
      <c r="AFW425" s="90"/>
      <c r="AFX425" s="90"/>
      <c r="AFY425" s="90"/>
      <c r="AFZ425" s="90"/>
      <c r="AGA425" s="90"/>
      <c r="AGB425" s="90"/>
      <c r="AGC425" s="90"/>
      <c r="AGD425" s="90"/>
      <c r="AGE425" s="90"/>
      <c r="AGF425" s="90"/>
      <c r="AGG425" s="90"/>
      <c r="AGH425" s="90"/>
      <c r="AGI425" s="90"/>
      <c r="AGJ425" s="90"/>
      <c r="AGK425" s="90"/>
      <c r="AGL425" s="90"/>
      <c r="AGM425" s="90"/>
      <c r="AGN425" s="90"/>
      <c r="AGO425" s="90"/>
      <c r="AGP425" s="90"/>
      <c r="AGQ425" s="90"/>
      <c r="AGR425" s="90"/>
      <c r="AGS425" s="90"/>
      <c r="AGT425" s="90"/>
      <c r="AGU425" s="90"/>
      <c r="AGV425" s="90"/>
      <c r="AGW425" s="90"/>
      <c r="AGX425" s="90"/>
      <c r="AGY425" s="90"/>
      <c r="AGZ425" s="90"/>
      <c r="AHA425" s="90"/>
      <c r="AHB425" s="90"/>
      <c r="AHC425" s="90"/>
      <c r="AHD425" s="90"/>
      <c r="AHE425" s="90"/>
      <c r="AHF425" s="90"/>
      <c r="AHG425" s="90"/>
      <c r="AHH425" s="90"/>
      <c r="AHI425" s="90"/>
      <c r="AHJ425" s="90"/>
      <c r="AHK425" s="90"/>
      <c r="AHL425" s="90"/>
      <c r="AHM425" s="90"/>
      <c r="AHN425" s="90"/>
      <c r="AHO425" s="90"/>
      <c r="AHP425" s="90"/>
      <c r="AHQ425" s="90"/>
      <c r="AHR425" s="90"/>
      <c r="AHS425" s="90"/>
      <c r="AHT425" s="90"/>
      <c r="AHU425" s="90"/>
      <c r="AHV425" s="90"/>
      <c r="AHW425" s="90"/>
      <c r="AHX425" s="90"/>
      <c r="AHY425" s="90"/>
      <c r="AHZ425" s="90"/>
      <c r="AIA425" s="90"/>
      <c r="AIB425" s="90"/>
      <c r="AIC425" s="90"/>
      <c r="AID425" s="90"/>
      <c r="AIE425" s="90"/>
      <c r="AIF425" s="90"/>
      <c r="AIG425" s="90"/>
      <c r="AIH425" s="90"/>
      <c r="AII425" s="90"/>
      <c r="AIJ425" s="90"/>
      <c r="AIK425" s="90"/>
      <c r="AIL425" s="90"/>
      <c r="AIM425" s="90"/>
      <c r="AIN425" s="90"/>
      <c r="AIO425" s="90"/>
      <c r="AIP425" s="90"/>
      <c r="AIQ425" s="90"/>
      <c r="AIR425" s="90"/>
      <c r="AIS425" s="90"/>
      <c r="AIT425" s="90"/>
      <c r="AIU425" s="90"/>
      <c r="AIV425" s="90"/>
      <c r="AIW425" s="90"/>
      <c r="AIX425" s="90"/>
      <c r="AIY425" s="90"/>
      <c r="AIZ425" s="90"/>
      <c r="AJA425" s="90"/>
      <c r="AJB425" s="90"/>
      <c r="AJC425" s="90"/>
      <c r="AJD425" s="90"/>
      <c r="AJE425" s="90"/>
      <c r="AJF425" s="90"/>
      <c r="AJG425" s="90"/>
      <c r="AJH425" s="90"/>
      <c r="AJI425" s="90"/>
      <c r="AJJ425" s="90"/>
      <c r="AJK425" s="90"/>
      <c r="AJL425" s="90"/>
      <c r="AJM425" s="90"/>
      <c r="AJN425" s="90"/>
      <c r="AJO425" s="90"/>
      <c r="AJP425" s="90"/>
      <c r="AJQ425" s="90"/>
      <c r="AJR425" s="90"/>
      <c r="AJS425" s="90"/>
      <c r="AJT425" s="90"/>
      <c r="AJU425" s="90"/>
      <c r="AJV425" s="90"/>
      <c r="AJW425" s="90"/>
      <c r="AJX425" s="90"/>
      <c r="AJY425" s="90"/>
      <c r="AJZ425" s="90"/>
      <c r="AKA425" s="90"/>
      <c r="AKB425" s="90"/>
      <c r="AKC425" s="90"/>
      <c r="AKD425" s="90"/>
      <c r="AKE425" s="90"/>
      <c r="AKF425" s="90"/>
      <c r="AKG425" s="90"/>
      <c r="AKH425" s="90"/>
      <c r="AKI425" s="90"/>
      <c r="AKJ425" s="90"/>
      <c r="AKK425" s="90"/>
      <c r="AKL425" s="90"/>
      <c r="AKM425" s="90"/>
      <c r="AKN425" s="90"/>
      <c r="AKO425" s="90"/>
      <c r="AKP425" s="90"/>
      <c r="AKQ425" s="90"/>
      <c r="AKR425" s="90"/>
      <c r="AKS425" s="90"/>
      <c r="AKT425" s="90"/>
      <c r="AKU425" s="90"/>
      <c r="AKV425" s="90"/>
      <c r="AKW425" s="90"/>
      <c r="AKX425" s="90"/>
      <c r="AKY425" s="90"/>
      <c r="AKZ425" s="90"/>
      <c r="ALA425" s="90"/>
      <c r="ALB425" s="90"/>
      <c r="ALC425" s="90"/>
      <c r="ALD425" s="90"/>
      <c r="ALE425" s="90"/>
      <c r="ALF425" s="90"/>
      <c r="ALG425" s="90"/>
      <c r="ALH425" s="90"/>
      <c r="ALI425" s="90"/>
      <c r="ALJ425" s="90"/>
      <c r="ALK425" s="90"/>
      <c r="ALL425" s="90"/>
      <c r="ALM425" s="90"/>
      <c r="ALN425" s="90"/>
      <c r="ALO425" s="90"/>
      <c r="ALP425" s="90"/>
      <c r="ALQ425" s="90"/>
      <c r="ALR425" s="90"/>
      <c r="ALS425" s="90"/>
      <c r="ALT425" s="90"/>
      <c r="ALU425" s="90"/>
      <c r="ALV425" s="90"/>
      <c r="ALW425" s="90"/>
      <c r="ALX425" s="90"/>
      <c r="ALY425" s="90"/>
      <c r="ALZ425" s="90"/>
      <c r="AMA425" s="90"/>
      <c r="AMB425" s="90"/>
      <c r="AMC425" s="90"/>
    </row>
    <row r="426" spans="1:1017">
      <c r="A426" s="98" t="s">
        <v>55</v>
      </c>
      <c r="B426" s="90" t="str">
        <f t="shared" si="2194"/>
        <v>Ikan_01 (Ikan Lainnya)</v>
      </c>
      <c r="Q426" s="91">
        <f t="shared" si="2096"/>
        <v>0</v>
      </c>
      <c r="R426" s="91">
        <f t="shared" si="2097"/>
        <v>0</v>
      </c>
      <c r="AG426" s="91">
        <f t="shared" si="2098"/>
        <v>0</v>
      </c>
      <c r="AH426" s="91">
        <f t="shared" si="2099"/>
        <v>0</v>
      </c>
      <c r="AW426" s="91">
        <f t="shared" si="2100"/>
        <v>0</v>
      </c>
      <c r="AX426" s="91">
        <f t="shared" si="2101"/>
        <v>0</v>
      </c>
      <c r="BM426" s="91">
        <f t="shared" si="2102"/>
        <v>0</v>
      </c>
      <c r="BN426" s="91">
        <f t="shared" si="2103"/>
        <v>0</v>
      </c>
      <c r="CC426" s="91">
        <f t="shared" si="2104"/>
        <v>0</v>
      </c>
      <c r="CD426" s="91">
        <f t="shared" si="2105"/>
        <v>0</v>
      </c>
      <c r="CG426" s="98">
        <v>218346.294934623</v>
      </c>
      <c r="CH426" s="98">
        <v>1091731.4746731145</v>
      </c>
      <c r="CK426" s="98">
        <v>308702.17937030474</v>
      </c>
      <c r="CL426" s="98">
        <v>926106.53811091417</v>
      </c>
      <c r="CS426" s="91">
        <f t="shared" si="2106"/>
        <v>527048.47430492775</v>
      </c>
      <c r="CT426" s="91">
        <f t="shared" si="2107"/>
        <v>2017838.0127840287</v>
      </c>
      <c r="DI426" s="91">
        <f t="shared" si="2108"/>
        <v>0</v>
      </c>
      <c r="DJ426" s="91">
        <f t="shared" si="2109"/>
        <v>0</v>
      </c>
      <c r="DY426" s="91">
        <f t="shared" si="2110"/>
        <v>0</v>
      </c>
      <c r="DZ426" s="91">
        <f t="shared" si="2111"/>
        <v>0</v>
      </c>
      <c r="EO426" s="91">
        <f t="shared" si="2112"/>
        <v>0</v>
      </c>
      <c r="EP426" s="91">
        <f t="shared" si="2113"/>
        <v>0</v>
      </c>
      <c r="FE426" s="91">
        <f t="shared" si="2114"/>
        <v>0</v>
      </c>
      <c r="FF426" s="91">
        <f t="shared" si="2115"/>
        <v>0</v>
      </c>
      <c r="FU426" s="91">
        <f t="shared" si="2116"/>
        <v>0</v>
      </c>
      <c r="FV426" s="91">
        <f t="shared" si="2117"/>
        <v>0</v>
      </c>
      <c r="GK426" s="91">
        <f t="shared" si="2118"/>
        <v>0</v>
      </c>
      <c r="GL426" s="91">
        <f t="shared" si="2119"/>
        <v>0</v>
      </c>
      <c r="HA426" s="91">
        <f t="shared" si="2120"/>
        <v>0</v>
      </c>
      <c r="HB426" s="91">
        <f t="shared" si="2121"/>
        <v>0</v>
      </c>
      <c r="HQ426" s="91">
        <f t="shared" si="2122"/>
        <v>0</v>
      </c>
      <c r="HR426" s="91">
        <f t="shared" si="2123"/>
        <v>0</v>
      </c>
      <c r="IG426" s="91">
        <f t="shared" si="2124"/>
        <v>0</v>
      </c>
      <c r="IH426" s="91">
        <f t="shared" si="2125"/>
        <v>0</v>
      </c>
      <c r="IW426" s="91">
        <f t="shared" si="2126"/>
        <v>0</v>
      </c>
      <c r="IX426" s="91">
        <f t="shared" si="2127"/>
        <v>0</v>
      </c>
      <c r="JM426" s="91">
        <f t="shared" si="2128"/>
        <v>0</v>
      </c>
      <c r="JN426" s="91">
        <f t="shared" si="2129"/>
        <v>0</v>
      </c>
      <c r="KC426" s="91">
        <f t="shared" si="2130"/>
        <v>0</v>
      </c>
      <c r="KD426" s="91">
        <f t="shared" si="2131"/>
        <v>0</v>
      </c>
      <c r="KS426" s="91">
        <f t="shared" si="2132"/>
        <v>0</v>
      </c>
      <c r="KT426" s="91">
        <f t="shared" si="2133"/>
        <v>0</v>
      </c>
      <c r="LI426" s="91">
        <f t="shared" si="2134"/>
        <v>0</v>
      </c>
      <c r="LJ426" s="91">
        <f t="shared" si="2135"/>
        <v>0</v>
      </c>
      <c r="LY426" s="91">
        <f t="shared" si="2136"/>
        <v>0</v>
      </c>
      <c r="LZ426" s="91">
        <f t="shared" si="2137"/>
        <v>0</v>
      </c>
      <c r="MO426" s="91">
        <f t="shared" si="2138"/>
        <v>0</v>
      </c>
      <c r="MP426" s="91">
        <f t="shared" si="2139"/>
        <v>0</v>
      </c>
      <c r="MS426" s="98">
        <v>20</v>
      </c>
      <c r="MT426" s="98">
        <f>MS426*30</f>
        <v>600</v>
      </c>
      <c r="NE426" s="91">
        <f t="shared" si="2140"/>
        <v>20</v>
      </c>
      <c r="NF426" s="91">
        <f t="shared" si="2141"/>
        <v>600</v>
      </c>
      <c r="NU426" s="91">
        <f t="shared" si="2142"/>
        <v>0</v>
      </c>
      <c r="NV426" s="91">
        <f t="shared" si="2143"/>
        <v>0</v>
      </c>
      <c r="OK426" s="91">
        <f t="shared" si="2144"/>
        <v>0</v>
      </c>
      <c r="OL426" s="91">
        <f t="shared" si="2145"/>
        <v>0</v>
      </c>
      <c r="PA426" s="91">
        <f t="shared" si="2146"/>
        <v>0</v>
      </c>
      <c r="PB426" s="91">
        <f t="shared" si="2147"/>
        <v>0</v>
      </c>
      <c r="PQ426" s="91">
        <f t="shared" si="2148"/>
        <v>0</v>
      </c>
      <c r="PR426" s="91">
        <f t="shared" si="2149"/>
        <v>0</v>
      </c>
      <c r="QG426" s="91">
        <f t="shared" si="2150"/>
        <v>0</v>
      </c>
      <c r="QH426" s="91">
        <f t="shared" si="2151"/>
        <v>0</v>
      </c>
      <c r="QW426" s="91">
        <f t="shared" si="2152"/>
        <v>0</v>
      </c>
      <c r="QX426" s="91">
        <f t="shared" si="2153"/>
        <v>0</v>
      </c>
      <c r="RM426" s="91">
        <f t="shared" si="2154"/>
        <v>0</v>
      </c>
      <c r="RN426" s="91">
        <f t="shared" si="2155"/>
        <v>0</v>
      </c>
      <c r="SC426" s="91">
        <f t="shared" si="2156"/>
        <v>0</v>
      </c>
      <c r="SD426" s="91">
        <f t="shared" si="2157"/>
        <v>0</v>
      </c>
      <c r="SS426" s="91">
        <f t="shared" si="2158"/>
        <v>0</v>
      </c>
      <c r="ST426" s="91">
        <f t="shared" si="2159"/>
        <v>0</v>
      </c>
      <c r="TI426" s="91">
        <f t="shared" si="2160"/>
        <v>0</v>
      </c>
      <c r="TJ426" s="91">
        <f t="shared" si="2161"/>
        <v>0</v>
      </c>
      <c r="TY426" s="91">
        <f t="shared" si="2162"/>
        <v>0</v>
      </c>
      <c r="TZ426" s="91">
        <f t="shared" si="2163"/>
        <v>0</v>
      </c>
      <c r="UO426" s="91">
        <f t="shared" si="2164"/>
        <v>0</v>
      </c>
      <c r="UP426" s="91">
        <f t="shared" si="2165"/>
        <v>0</v>
      </c>
      <c r="VE426" s="91">
        <f t="shared" si="2166"/>
        <v>0</v>
      </c>
      <c r="VF426" s="91">
        <f t="shared" si="2167"/>
        <v>0</v>
      </c>
      <c r="VU426" s="91">
        <f t="shared" si="2168"/>
        <v>0</v>
      </c>
      <c r="VV426" s="91">
        <f t="shared" si="2169"/>
        <v>0</v>
      </c>
      <c r="WK426" s="91">
        <f t="shared" si="2170"/>
        <v>0</v>
      </c>
      <c r="WL426" s="91">
        <f t="shared" si="2171"/>
        <v>0</v>
      </c>
      <c r="WM426" s="89"/>
      <c r="WN426" s="87">
        <f t="shared" si="2195"/>
        <v>0</v>
      </c>
      <c r="WO426" s="87">
        <f t="shared" si="2196"/>
        <v>0</v>
      </c>
      <c r="WP426" s="87">
        <f t="shared" si="2197"/>
        <v>218366.294934623</v>
      </c>
      <c r="WQ426" s="87">
        <f t="shared" si="2198"/>
        <v>1092331.4746731145</v>
      </c>
      <c r="WR426" s="87">
        <f t="shared" si="2199"/>
        <v>0</v>
      </c>
      <c r="WS426" s="87">
        <f t="shared" si="2200"/>
        <v>0</v>
      </c>
      <c r="WT426" s="87">
        <f t="shared" si="2201"/>
        <v>308702.17937030474</v>
      </c>
      <c r="WU426" s="87">
        <f t="shared" si="2202"/>
        <v>926106.53811091417</v>
      </c>
      <c r="WV426" s="87">
        <f t="shared" si="2203"/>
        <v>0</v>
      </c>
      <c r="WW426" s="87">
        <f t="shared" si="2204"/>
        <v>0</v>
      </c>
      <c r="WX426" s="87">
        <f t="shared" si="2205"/>
        <v>0</v>
      </c>
      <c r="WY426" s="87">
        <f t="shared" si="2206"/>
        <v>0</v>
      </c>
      <c r="WZ426" s="87">
        <f t="shared" si="2190"/>
        <v>0</v>
      </c>
      <c r="XA426" s="87">
        <f t="shared" si="2191"/>
        <v>0</v>
      </c>
      <c r="XB426" s="92">
        <f t="shared" si="2192"/>
        <v>527068.47430492775</v>
      </c>
      <c r="XC426" s="92">
        <f t="shared" si="2193"/>
        <v>2018438.0127840287</v>
      </c>
      <c r="XD426" s="89"/>
      <c r="XE426" s="92"/>
      <c r="XF426" s="92"/>
      <c r="XG426" s="89"/>
      <c r="XH426" s="92"/>
      <c r="XI426" s="92"/>
      <c r="XJ426" s="89"/>
      <c r="XK426" s="87"/>
      <c r="XL426" s="87"/>
      <c r="XM426" s="87"/>
      <c r="XN426" s="87"/>
      <c r="XO426" s="87"/>
      <c r="XP426" s="87"/>
      <c r="XQ426" s="87"/>
      <c r="XR426" s="92">
        <f t="shared" ca="1" si="2188"/>
        <v>0</v>
      </c>
      <c r="XS426" s="89"/>
      <c r="XT426" s="87"/>
      <c r="XU426" s="87"/>
      <c r="XV426" s="87"/>
      <c r="XW426" s="87"/>
      <c r="XX426" s="87"/>
      <c r="XY426" s="87"/>
      <c r="XZ426" s="87"/>
      <c r="YA426" s="92">
        <f t="shared" ca="1" si="2189"/>
        <v>0</v>
      </c>
      <c r="YB426" s="90"/>
      <c r="YC426" s="90"/>
      <c r="YD426" s="90"/>
      <c r="YE426" s="90"/>
      <c r="YF426" s="90"/>
      <c r="YG426" s="90"/>
      <c r="YH426" s="90"/>
      <c r="YI426" s="90"/>
      <c r="YJ426" s="90"/>
      <c r="YK426" s="90"/>
      <c r="YL426" s="90"/>
      <c r="YM426" s="90"/>
      <c r="YN426" s="90"/>
      <c r="YO426" s="90"/>
      <c r="YP426" s="90"/>
      <c r="YQ426" s="90"/>
      <c r="YR426" s="90"/>
      <c r="YS426" s="90"/>
      <c r="YT426" s="90"/>
      <c r="YU426" s="90"/>
      <c r="YV426" s="90"/>
      <c r="YW426" s="90"/>
      <c r="YX426" s="90"/>
      <c r="YY426" s="90"/>
      <c r="YZ426" s="90"/>
      <c r="ZA426" s="90"/>
      <c r="ZB426" s="90"/>
      <c r="ZC426" s="90"/>
      <c r="ZD426" s="90"/>
      <c r="ZE426" s="90"/>
      <c r="ZF426" s="90"/>
      <c r="ZG426" s="90"/>
      <c r="ZH426" s="90"/>
      <c r="ZI426" s="90"/>
      <c r="ZJ426" s="90"/>
      <c r="ZK426" s="90"/>
      <c r="ZL426" s="90"/>
      <c r="ZM426" s="90"/>
      <c r="ZN426" s="90"/>
      <c r="ZO426" s="90"/>
      <c r="ZP426" s="90"/>
      <c r="ZQ426" s="90"/>
      <c r="ZR426" s="90"/>
      <c r="ZS426" s="90"/>
      <c r="ZT426" s="90"/>
      <c r="ZU426" s="90"/>
      <c r="ZV426" s="90"/>
      <c r="ZW426" s="90"/>
      <c r="ZX426" s="90"/>
      <c r="ZY426" s="90"/>
      <c r="ZZ426" s="90"/>
      <c r="AAA426" s="90"/>
      <c r="AAB426" s="90"/>
      <c r="AAC426" s="90"/>
      <c r="AAD426" s="90"/>
      <c r="AAE426" s="90"/>
      <c r="AAF426" s="90"/>
      <c r="AAG426" s="90"/>
      <c r="AAH426" s="90"/>
      <c r="AAI426" s="90"/>
      <c r="AAJ426" s="90"/>
      <c r="AAK426" s="90"/>
      <c r="AAL426" s="90"/>
      <c r="AAM426" s="90"/>
      <c r="AAN426" s="90"/>
      <c r="AAO426" s="90"/>
      <c r="AAP426" s="90"/>
      <c r="AAQ426" s="90"/>
      <c r="AAR426" s="90"/>
      <c r="AAS426" s="90"/>
      <c r="AAT426" s="90"/>
      <c r="AAU426" s="90"/>
      <c r="AAV426" s="90"/>
      <c r="AAW426" s="90"/>
      <c r="AAX426" s="90"/>
      <c r="AAY426" s="90"/>
      <c r="AAZ426" s="90"/>
      <c r="ABA426" s="90"/>
      <c r="ABB426" s="90"/>
      <c r="ABC426" s="90"/>
      <c r="ABD426" s="90"/>
      <c r="ABE426" s="90"/>
      <c r="ABF426" s="90"/>
      <c r="ABG426" s="90"/>
      <c r="ABH426" s="90"/>
      <c r="ABI426" s="90"/>
      <c r="ABJ426" s="90"/>
      <c r="ABK426" s="90"/>
      <c r="ABL426" s="90"/>
      <c r="ABM426" s="90"/>
      <c r="ABN426" s="90"/>
      <c r="ABO426" s="90"/>
      <c r="ABP426" s="90"/>
      <c r="ABQ426" s="90"/>
      <c r="ABR426" s="90"/>
      <c r="ABS426" s="90"/>
      <c r="ABT426" s="90"/>
      <c r="ABU426" s="90"/>
      <c r="ABV426" s="90"/>
      <c r="ABW426" s="90"/>
      <c r="ABX426" s="90"/>
      <c r="ABY426" s="90"/>
      <c r="ABZ426" s="90"/>
      <c r="ACA426" s="90"/>
      <c r="ACB426" s="90"/>
      <c r="ACC426" s="90"/>
      <c r="ACD426" s="90"/>
      <c r="ACE426" s="90"/>
      <c r="ACF426" s="90"/>
      <c r="ACG426" s="90"/>
      <c r="ACH426" s="90"/>
      <c r="ACI426" s="90"/>
      <c r="ACJ426" s="90"/>
      <c r="ACK426" s="90"/>
      <c r="ACL426" s="90"/>
      <c r="ACM426" s="90"/>
      <c r="ACN426" s="90"/>
      <c r="ACO426" s="90"/>
      <c r="ACP426" s="90"/>
      <c r="ACQ426" s="90"/>
      <c r="ACR426" s="90"/>
      <c r="ACS426" s="90"/>
      <c r="ACT426" s="90"/>
      <c r="ACU426" s="90"/>
      <c r="ACV426" s="90"/>
      <c r="ACW426" s="90"/>
      <c r="ACX426" s="90"/>
      <c r="ACY426" s="90"/>
      <c r="ACZ426" s="90"/>
      <c r="ADA426" s="90"/>
      <c r="ADB426" s="90"/>
      <c r="ADC426" s="90"/>
      <c r="ADD426" s="90"/>
      <c r="ADE426" s="90"/>
      <c r="ADF426" s="90"/>
      <c r="ADG426" s="90"/>
      <c r="ADH426" s="90"/>
      <c r="ADI426" s="90"/>
      <c r="ADJ426" s="90"/>
      <c r="ADK426" s="90"/>
      <c r="ADL426" s="90"/>
      <c r="ADM426" s="90"/>
      <c r="ADN426" s="90"/>
      <c r="ADO426" s="90"/>
      <c r="ADP426" s="90"/>
      <c r="ADQ426" s="90"/>
      <c r="ADR426" s="90"/>
      <c r="ADS426" s="90"/>
      <c r="ADT426" s="90"/>
      <c r="ADU426" s="90"/>
      <c r="ADV426" s="90"/>
      <c r="ADW426" s="90"/>
      <c r="ADX426" s="90"/>
      <c r="ADY426" s="90"/>
      <c r="ADZ426" s="90"/>
      <c r="AEA426" s="90"/>
      <c r="AEB426" s="90"/>
      <c r="AEC426" s="90"/>
      <c r="AED426" s="90"/>
      <c r="AEE426" s="90"/>
      <c r="AEF426" s="90"/>
      <c r="AEG426" s="90"/>
      <c r="AEH426" s="90"/>
      <c r="AEI426" s="90"/>
      <c r="AEJ426" s="90"/>
      <c r="AEK426" s="90"/>
      <c r="AEL426" s="90"/>
      <c r="AEM426" s="90"/>
      <c r="AEN426" s="90"/>
      <c r="AEO426" s="90"/>
      <c r="AEP426" s="90"/>
      <c r="AEQ426" s="90"/>
      <c r="AER426" s="90"/>
      <c r="AES426" s="90"/>
      <c r="AET426" s="90"/>
      <c r="AEU426" s="90"/>
      <c r="AEV426" s="90"/>
      <c r="AEW426" s="90"/>
      <c r="AEX426" s="90"/>
      <c r="AEY426" s="90"/>
      <c r="AEZ426" s="90"/>
      <c r="AFA426" s="90"/>
      <c r="AFB426" s="90"/>
      <c r="AFC426" s="90"/>
      <c r="AFD426" s="90"/>
      <c r="AFE426" s="90"/>
      <c r="AFF426" s="90"/>
      <c r="AFG426" s="90"/>
      <c r="AFH426" s="90"/>
      <c r="AFI426" s="90"/>
      <c r="AFJ426" s="90"/>
      <c r="AFK426" s="90"/>
      <c r="AFL426" s="90"/>
      <c r="AFM426" s="90"/>
      <c r="AFN426" s="90"/>
      <c r="AFO426" s="90"/>
      <c r="AFP426" s="90"/>
      <c r="AFQ426" s="90"/>
      <c r="AFR426" s="90"/>
      <c r="AFS426" s="90"/>
      <c r="AFT426" s="90"/>
      <c r="AFU426" s="90"/>
      <c r="AFV426" s="90"/>
      <c r="AFW426" s="90"/>
      <c r="AFX426" s="90"/>
      <c r="AFY426" s="90"/>
      <c r="AFZ426" s="90"/>
      <c r="AGA426" s="90"/>
      <c r="AGB426" s="90"/>
      <c r="AGC426" s="90"/>
      <c r="AGD426" s="90"/>
      <c r="AGE426" s="90"/>
      <c r="AGF426" s="90"/>
      <c r="AGG426" s="90"/>
      <c r="AGH426" s="90"/>
      <c r="AGI426" s="90"/>
      <c r="AGJ426" s="90"/>
      <c r="AGK426" s="90"/>
      <c r="AGL426" s="90"/>
      <c r="AGM426" s="90"/>
      <c r="AGN426" s="90"/>
      <c r="AGO426" s="90"/>
      <c r="AGP426" s="90"/>
      <c r="AGQ426" s="90"/>
      <c r="AGR426" s="90"/>
      <c r="AGS426" s="90"/>
      <c r="AGT426" s="90"/>
      <c r="AGU426" s="90"/>
      <c r="AGV426" s="90"/>
      <c r="AGW426" s="90"/>
      <c r="AGX426" s="90"/>
      <c r="AGY426" s="90"/>
      <c r="AGZ426" s="90"/>
      <c r="AHA426" s="90"/>
      <c r="AHB426" s="90"/>
      <c r="AHC426" s="90"/>
      <c r="AHD426" s="90"/>
      <c r="AHE426" s="90"/>
      <c r="AHF426" s="90"/>
      <c r="AHG426" s="90"/>
      <c r="AHH426" s="90"/>
      <c r="AHI426" s="90"/>
      <c r="AHJ426" s="90"/>
      <c r="AHK426" s="90"/>
      <c r="AHL426" s="90"/>
      <c r="AHM426" s="90"/>
      <c r="AHN426" s="90"/>
      <c r="AHO426" s="90"/>
      <c r="AHP426" s="90"/>
      <c r="AHQ426" s="90"/>
      <c r="AHR426" s="90"/>
      <c r="AHS426" s="90"/>
      <c r="AHT426" s="90"/>
      <c r="AHU426" s="90"/>
      <c r="AHV426" s="90"/>
      <c r="AHW426" s="90"/>
      <c r="AHX426" s="90"/>
      <c r="AHY426" s="90"/>
      <c r="AHZ426" s="90"/>
      <c r="AIA426" s="90"/>
      <c r="AIB426" s="90"/>
      <c r="AIC426" s="90"/>
      <c r="AID426" s="90"/>
      <c r="AIE426" s="90"/>
      <c r="AIF426" s="90"/>
      <c r="AIG426" s="90"/>
      <c r="AIH426" s="90"/>
      <c r="AII426" s="90"/>
      <c r="AIJ426" s="90"/>
      <c r="AIK426" s="90"/>
      <c r="AIL426" s="90"/>
      <c r="AIM426" s="90"/>
      <c r="AIN426" s="90"/>
      <c r="AIO426" s="90"/>
      <c r="AIP426" s="90"/>
      <c r="AIQ426" s="90"/>
      <c r="AIR426" s="90"/>
      <c r="AIS426" s="90"/>
      <c r="AIT426" s="90"/>
      <c r="AIU426" s="90"/>
      <c r="AIV426" s="90"/>
      <c r="AIW426" s="90"/>
      <c r="AIX426" s="90"/>
      <c r="AIY426" s="90"/>
      <c r="AIZ426" s="90"/>
      <c r="AJA426" s="90"/>
      <c r="AJB426" s="90"/>
      <c r="AJC426" s="90"/>
      <c r="AJD426" s="90"/>
      <c r="AJE426" s="90"/>
      <c r="AJF426" s="90"/>
      <c r="AJG426" s="90"/>
      <c r="AJH426" s="90"/>
      <c r="AJI426" s="90"/>
      <c r="AJJ426" s="90"/>
      <c r="AJK426" s="90"/>
      <c r="AJL426" s="90"/>
      <c r="AJM426" s="90"/>
      <c r="AJN426" s="90"/>
      <c r="AJO426" s="90"/>
      <c r="AJP426" s="90"/>
      <c r="AJQ426" s="90"/>
      <c r="AJR426" s="90"/>
      <c r="AJS426" s="90"/>
      <c r="AJT426" s="90"/>
      <c r="AJU426" s="90"/>
      <c r="AJV426" s="90"/>
      <c r="AJW426" s="90"/>
      <c r="AJX426" s="90"/>
      <c r="AJY426" s="90"/>
      <c r="AJZ426" s="90"/>
      <c r="AKA426" s="90"/>
      <c r="AKB426" s="90"/>
      <c r="AKC426" s="90"/>
      <c r="AKD426" s="90"/>
      <c r="AKE426" s="90"/>
      <c r="AKF426" s="90"/>
      <c r="AKG426" s="90"/>
      <c r="AKH426" s="90"/>
      <c r="AKI426" s="90"/>
      <c r="AKJ426" s="90"/>
      <c r="AKK426" s="90"/>
      <c r="AKL426" s="90"/>
      <c r="AKM426" s="90"/>
      <c r="AKN426" s="90"/>
      <c r="AKO426" s="90"/>
      <c r="AKP426" s="90"/>
      <c r="AKQ426" s="90"/>
      <c r="AKR426" s="90"/>
      <c r="AKS426" s="90"/>
      <c r="AKT426" s="90"/>
      <c r="AKU426" s="90"/>
      <c r="AKV426" s="90"/>
      <c r="AKW426" s="90"/>
      <c r="AKX426" s="90"/>
      <c r="AKY426" s="90"/>
      <c r="AKZ426" s="90"/>
      <c r="ALA426" s="90"/>
      <c r="ALB426" s="90"/>
      <c r="ALC426" s="90"/>
      <c r="ALD426" s="90"/>
      <c r="ALE426" s="90"/>
      <c r="ALF426" s="90"/>
      <c r="ALG426" s="90"/>
      <c r="ALH426" s="90"/>
      <c r="ALI426" s="90"/>
      <c r="ALJ426" s="90"/>
      <c r="ALK426" s="90"/>
      <c r="ALL426" s="90"/>
      <c r="ALM426" s="90"/>
      <c r="ALN426" s="90"/>
      <c r="ALO426" s="90"/>
      <c r="ALP426" s="90"/>
      <c r="ALQ426" s="90"/>
      <c r="ALR426" s="90"/>
      <c r="ALS426" s="90"/>
      <c r="ALT426" s="90"/>
      <c r="ALU426" s="90"/>
      <c r="ALV426" s="90"/>
      <c r="ALW426" s="90"/>
      <c r="ALX426" s="90"/>
      <c r="ALY426" s="90"/>
      <c r="ALZ426" s="90"/>
      <c r="AMA426" s="90"/>
      <c r="AMB426" s="90"/>
      <c r="AMC426" s="90"/>
    </row>
    <row r="427" spans="1:1017">
      <c r="A427" s="98" t="s">
        <v>55</v>
      </c>
      <c r="B427" s="90" t="str">
        <f t="shared" si="2194"/>
        <v>Ikan_02 (Tiram)</v>
      </c>
      <c r="Q427" s="91">
        <f t="shared" si="2096"/>
        <v>0</v>
      </c>
      <c r="R427" s="91">
        <f t="shared" si="2097"/>
        <v>0</v>
      </c>
      <c r="S427" s="98">
        <v>1415</v>
      </c>
      <c r="T427" s="98">
        <v>14150</v>
      </c>
      <c r="AG427" s="91">
        <f t="shared" si="2098"/>
        <v>1415</v>
      </c>
      <c r="AH427" s="91">
        <f t="shared" si="2099"/>
        <v>14150</v>
      </c>
      <c r="AW427" s="91">
        <f t="shared" si="2100"/>
        <v>0</v>
      </c>
      <c r="AX427" s="91">
        <f t="shared" si="2101"/>
        <v>0</v>
      </c>
      <c r="BM427" s="91">
        <f t="shared" si="2102"/>
        <v>0</v>
      </c>
      <c r="BN427" s="91">
        <f t="shared" si="2103"/>
        <v>0</v>
      </c>
      <c r="CC427" s="91">
        <f t="shared" si="2104"/>
        <v>0</v>
      </c>
      <c r="CD427" s="91">
        <f t="shared" si="2105"/>
        <v>0</v>
      </c>
      <c r="CS427" s="91">
        <f t="shared" si="2106"/>
        <v>0</v>
      </c>
      <c r="CT427" s="91">
        <f t="shared" si="2107"/>
        <v>0</v>
      </c>
      <c r="DI427" s="91">
        <f t="shared" si="2108"/>
        <v>0</v>
      </c>
      <c r="DJ427" s="91">
        <f t="shared" si="2109"/>
        <v>0</v>
      </c>
      <c r="DY427" s="91">
        <f t="shared" si="2110"/>
        <v>0</v>
      </c>
      <c r="DZ427" s="91">
        <f t="shared" si="2111"/>
        <v>0</v>
      </c>
      <c r="EO427" s="91">
        <f t="shared" si="2112"/>
        <v>0</v>
      </c>
      <c r="EP427" s="91">
        <f t="shared" si="2113"/>
        <v>0</v>
      </c>
      <c r="FE427" s="91">
        <f t="shared" si="2114"/>
        <v>0</v>
      </c>
      <c r="FF427" s="91">
        <f t="shared" si="2115"/>
        <v>0</v>
      </c>
      <c r="FU427" s="91">
        <f t="shared" si="2116"/>
        <v>0</v>
      </c>
      <c r="FV427" s="91">
        <f t="shared" si="2117"/>
        <v>0</v>
      </c>
      <c r="GK427" s="91">
        <f t="shared" si="2118"/>
        <v>0</v>
      </c>
      <c r="GL427" s="91">
        <f t="shared" si="2119"/>
        <v>0</v>
      </c>
      <c r="HA427" s="91">
        <f t="shared" si="2120"/>
        <v>0</v>
      </c>
      <c r="HB427" s="91">
        <f t="shared" si="2121"/>
        <v>0</v>
      </c>
      <c r="HQ427" s="91">
        <f t="shared" si="2122"/>
        <v>0</v>
      </c>
      <c r="HR427" s="91">
        <f t="shared" si="2123"/>
        <v>0</v>
      </c>
      <c r="IG427" s="91">
        <f t="shared" si="2124"/>
        <v>0</v>
      </c>
      <c r="IH427" s="91">
        <f t="shared" si="2125"/>
        <v>0</v>
      </c>
      <c r="IW427" s="91">
        <f t="shared" si="2126"/>
        <v>0</v>
      </c>
      <c r="IX427" s="91">
        <f t="shared" si="2127"/>
        <v>0</v>
      </c>
      <c r="JM427" s="91">
        <f t="shared" si="2128"/>
        <v>0</v>
      </c>
      <c r="JN427" s="91">
        <f t="shared" si="2129"/>
        <v>0</v>
      </c>
      <c r="KC427" s="91">
        <f t="shared" si="2130"/>
        <v>0</v>
      </c>
      <c r="KD427" s="91">
        <f t="shared" si="2131"/>
        <v>0</v>
      </c>
      <c r="KS427" s="91">
        <f t="shared" si="2132"/>
        <v>0</v>
      </c>
      <c r="KT427" s="91">
        <f t="shared" si="2133"/>
        <v>0</v>
      </c>
      <c r="LI427" s="91">
        <f t="shared" si="2134"/>
        <v>0</v>
      </c>
      <c r="LJ427" s="91">
        <f t="shared" si="2135"/>
        <v>0</v>
      </c>
      <c r="LY427" s="91">
        <f t="shared" si="2136"/>
        <v>0</v>
      </c>
      <c r="LZ427" s="91">
        <f t="shared" si="2137"/>
        <v>0</v>
      </c>
      <c r="MO427" s="91">
        <f t="shared" si="2138"/>
        <v>0</v>
      </c>
      <c r="MP427" s="91">
        <f t="shared" si="2139"/>
        <v>0</v>
      </c>
      <c r="NE427" s="91">
        <f t="shared" si="2140"/>
        <v>0</v>
      </c>
      <c r="NF427" s="91">
        <f t="shared" si="2141"/>
        <v>0</v>
      </c>
      <c r="NU427" s="91">
        <f t="shared" si="2142"/>
        <v>0</v>
      </c>
      <c r="NV427" s="91">
        <f t="shared" si="2143"/>
        <v>0</v>
      </c>
      <c r="OK427" s="91">
        <f t="shared" si="2144"/>
        <v>0</v>
      </c>
      <c r="OL427" s="91">
        <f t="shared" si="2145"/>
        <v>0</v>
      </c>
      <c r="PA427" s="91">
        <f t="shared" si="2146"/>
        <v>0</v>
      </c>
      <c r="PB427" s="91">
        <f t="shared" si="2147"/>
        <v>0</v>
      </c>
      <c r="PQ427" s="91">
        <f t="shared" si="2148"/>
        <v>0</v>
      </c>
      <c r="PR427" s="91">
        <f t="shared" si="2149"/>
        <v>0</v>
      </c>
      <c r="QG427" s="91">
        <f t="shared" si="2150"/>
        <v>0</v>
      </c>
      <c r="QH427" s="91">
        <f t="shared" si="2151"/>
        <v>0</v>
      </c>
      <c r="QW427" s="91">
        <f t="shared" si="2152"/>
        <v>0</v>
      </c>
      <c r="QX427" s="91">
        <f t="shared" si="2153"/>
        <v>0</v>
      </c>
      <c r="RM427" s="91">
        <f t="shared" si="2154"/>
        <v>0</v>
      </c>
      <c r="RN427" s="91">
        <f t="shared" si="2155"/>
        <v>0</v>
      </c>
      <c r="SC427" s="91">
        <f t="shared" si="2156"/>
        <v>0</v>
      </c>
      <c r="SD427" s="91">
        <f t="shared" si="2157"/>
        <v>0</v>
      </c>
      <c r="SS427" s="91">
        <f t="shared" si="2158"/>
        <v>0</v>
      </c>
      <c r="ST427" s="91">
        <f t="shared" si="2159"/>
        <v>0</v>
      </c>
      <c r="TI427" s="91">
        <f t="shared" si="2160"/>
        <v>0</v>
      </c>
      <c r="TJ427" s="91">
        <f t="shared" si="2161"/>
        <v>0</v>
      </c>
      <c r="TY427" s="91">
        <f t="shared" si="2162"/>
        <v>0</v>
      </c>
      <c r="TZ427" s="91">
        <f t="shared" si="2163"/>
        <v>0</v>
      </c>
      <c r="UO427" s="91">
        <f t="shared" si="2164"/>
        <v>0</v>
      </c>
      <c r="UP427" s="91">
        <f t="shared" si="2165"/>
        <v>0</v>
      </c>
      <c r="VE427" s="91">
        <f t="shared" si="2166"/>
        <v>0</v>
      </c>
      <c r="VF427" s="91">
        <f t="shared" si="2167"/>
        <v>0</v>
      </c>
      <c r="VU427" s="91">
        <f t="shared" si="2168"/>
        <v>0</v>
      </c>
      <c r="VV427" s="91">
        <f t="shared" si="2169"/>
        <v>0</v>
      </c>
      <c r="WK427" s="91">
        <f t="shared" si="2170"/>
        <v>0</v>
      </c>
      <c r="WL427" s="91">
        <f t="shared" si="2171"/>
        <v>0</v>
      </c>
      <c r="WM427" s="89"/>
      <c r="WN427" s="87">
        <f t="shared" si="2195"/>
        <v>1415</v>
      </c>
      <c r="WO427" s="87">
        <f t="shared" si="2196"/>
        <v>14150</v>
      </c>
      <c r="WP427" s="87">
        <f t="shared" si="2197"/>
        <v>0</v>
      </c>
      <c r="WQ427" s="87">
        <f t="shared" si="2198"/>
        <v>0</v>
      </c>
      <c r="WR427" s="87">
        <f t="shared" si="2199"/>
        <v>0</v>
      </c>
      <c r="WS427" s="87">
        <f t="shared" si="2200"/>
        <v>0</v>
      </c>
      <c r="WT427" s="87">
        <f t="shared" si="2201"/>
        <v>0</v>
      </c>
      <c r="WU427" s="87">
        <f t="shared" si="2202"/>
        <v>0</v>
      </c>
      <c r="WV427" s="87">
        <f t="shared" si="2203"/>
        <v>0</v>
      </c>
      <c r="WW427" s="87">
        <f t="shared" si="2204"/>
        <v>0</v>
      </c>
      <c r="WX427" s="87">
        <f t="shared" si="2205"/>
        <v>0</v>
      </c>
      <c r="WY427" s="87">
        <f t="shared" si="2206"/>
        <v>0</v>
      </c>
      <c r="WZ427" s="87">
        <f t="shared" si="2190"/>
        <v>0</v>
      </c>
      <c r="XA427" s="87">
        <f t="shared" si="2191"/>
        <v>0</v>
      </c>
      <c r="XB427" s="92">
        <f t="shared" si="2192"/>
        <v>1415</v>
      </c>
      <c r="XC427" s="92">
        <f t="shared" si="2193"/>
        <v>14150</v>
      </c>
      <c r="XD427" s="89"/>
      <c r="XE427" s="92"/>
      <c r="XF427" s="92"/>
      <c r="XG427" s="89"/>
      <c r="XH427" s="92"/>
      <c r="XI427" s="92"/>
      <c r="XJ427" s="89"/>
      <c r="XK427" s="87"/>
      <c r="XL427" s="87"/>
      <c r="XM427" s="87"/>
      <c r="XN427" s="87"/>
      <c r="XO427" s="87"/>
      <c r="XP427" s="87"/>
      <c r="XQ427" s="87"/>
      <c r="XR427" s="92">
        <f t="shared" ca="1" si="2188"/>
        <v>0</v>
      </c>
      <c r="XS427" s="89"/>
      <c r="XT427" s="87"/>
      <c r="XU427" s="87"/>
      <c r="XV427" s="87"/>
      <c r="XW427" s="87"/>
      <c r="XX427" s="87"/>
      <c r="XY427" s="87"/>
      <c r="XZ427" s="87"/>
      <c r="YA427" s="92">
        <f t="shared" ca="1" si="2189"/>
        <v>0</v>
      </c>
      <c r="YB427" s="90"/>
      <c r="YC427" s="90"/>
      <c r="YD427" s="90"/>
      <c r="YE427" s="90"/>
      <c r="YF427" s="90"/>
      <c r="YG427" s="90"/>
      <c r="YH427" s="90"/>
      <c r="YI427" s="90"/>
      <c r="YJ427" s="90"/>
      <c r="YK427" s="90"/>
      <c r="YL427" s="90"/>
      <c r="YM427" s="90"/>
      <c r="YN427" s="90"/>
      <c r="YO427" s="90"/>
      <c r="YP427" s="90"/>
      <c r="YQ427" s="90"/>
      <c r="YR427" s="90"/>
      <c r="YS427" s="90"/>
      <c r="YT427" s="90"/>
      <c r="YU427" s="90"/>
      <c r="YV427" s="90"/>
      <c r="YW427" s="90"/>
      <c r="YX427" s="90"/>
      <c r="YY427" s="90"/>
      <c r="YZ427" s="90"/>
      <c r="ZA427" s="90"/>
      <c r="ZB427" s="90"/>
      <c r="ZC427" s="90"/>
      <c r="ZD427" s="90"/>
      <c r="ZE427" s="90"/>
      <c r="ZF427" s="90"/>
      <c r="ZG427" s="90"/>
      <c r="ZH427" s="90"/>
      <c r="ZI427" s="90"/>
      <c r="ZJ427" s="90"/>
      <c r="ZK427" s="90"/>
      <c r="ZL427" s="90"/>
      <c r="ZM427" s="90"/>
      <c r="ZN427" s="90"/>
      <c r="ZO427" s="90"/>
      <c r="ZP427" s="90"/>
      <c r="ZQ427" s="90"/>
      <c r="ZR427" s="90"/>
      <c r="ZS427" s="90"/>
      <c r="ZT427" s="90"/>
      <c r="ZU427" s="90"/>
      <c r="ZV427" s="90"/>
      <c r="ZW427" s="90"/>
      <c r="ZX427" s="90"/>
      <c r="ZY427" s="90"/>
      <c r="ZZ427" s="90"/>
      <c r="AAA427" s="90"/>
      <c r="AAB427" s="90"/>
      <c r="AAC427" s="90"/>
      <c r="AAD427" s="90"/>
      <c r="AAE427" s="90"/>
      <c r="AAF427" s="90"/>
      <c r="AAG427" s="90"/>
      <c r="AAH427" s="90"/>
      <c r="AAI427" s="90"/>
      <c r="AAJ427" s="90"/>
      <c r="AAK427" s="90"/>
      <c r="AAL427" s="90"/>
      <c r="AAM427" s="90"/>
      <c r="AAN427" s="90"/>
      <c r="AAO427" s="90"/>
      <c r="AAP427" s="90"/>
      <c r="AAQ427" s="90"/>
      <c r="AAR427" s="90"/>
      <c r="AAS427" s="90"/>
      <c r="AAT427" s="90"/>
      <c r="AAU427" s="90"/>
      <c r="AAV427" s="90"/>
      <c r="AAW427" s="90"/>
      <c r="AAX427" s="90"/>
      <c r="AAY427" s="90"/>
      <c r="AAZ427" s="90"/>
      <c r="ABA427" s="90"/>
      <c r="ABB427" s="90"/>
      <c r="ABC427" s="90"/>
      <c r="ABD427" s="90"/>
      <c r="ABE427" s="90"/>
      <c r="ABF427" s="90"/>
      <c r="ABG427" s="90"/>
      <c r="ABH427" s="90"/>
      <c r="ABI427" s="90"/>
      <c r="ABJ427" s="90"/>
      <c r="ABK427" s="90"/>
      <c r="ABL427" s="90"/>
      <c r="ABM427" s="90"/>
      <c r="ABN427" s="90"/>
      <c r="ABO427" s="90"/>
      <c r="ABP427" s="90"/>
      <c r="ABQ427" s="90"/>
      <c r="ABR427" s="90"/>
      <c r="ABS427" s="90"/>
      <c r="ABT427" s="90"/>
      <c r="ABU427" s="90"/>
      <c r="ABV427" s="90"/>
      <c r="ABW427" s="90"/>
      <c r="ABX427" s="90"/>
      <c r="ABY427" s="90"/>
      <c r="ABZ427" s="90"/>
      <c r="ACA427" s="90"/>
      <c r="ACB427" s="90"/>
      <c r="ACC427" s="90"/>
      <c r="ACD427" s="90"/>
      <c r="ACE427" s="90"/>
      <c r="ACF427" s="90"/>
      <c r="ACG427" s="90"/>
      <c r="ACH427" s="90"/>
      <c r="ACI427" s="90"/>
      <c r="ACJ427" s="90"/>
      <c r="ACK427" s="90"/>
      <c r="ACL427" s="90"/>
      <c r="ACM427" s="90"/>
      <c r="ACN427" s="90"/>
      <c r="ACO427" s="90"/>
      <c r="ACP427" s="90"/>
      <c r="ACQ427" s="90"/>
      <c r="ACR427" s="90"/>
      <c r="ACS427" s="90"/>
      <c r="ACT427" s="90"/>
      <c r="ACU427" s="90"/>
      <c r="ACV427" s="90"/>
      <c r="ACW427" s="90"/>
      <c r="ACX427" s="90"/>
      <c r="ACY427" s="90"/>
      <c r="ACZ427" s="90"/>
      <c r="ADA427" s="90"/>
      <c r="ADB427" s="90"/>
      <c r="ADC427" s="90"/>
      <c r="ADD427" s="90"/>
      <c r="ADE427" s="90"/>
      <c r="ADF427" s="90"/>
      <c r="ADG427" s="90"/>
      <c r="ADH427" s="90"/>
      <c r="ADI427" s="90"/>
      <c r="ADJ427" s="90"/>
      <c r="ADK427" s="90"/>
      <c r="ADL427" s="90"/>
      <c r="ADM427" s="90"/>
      <c r="ADN427" s="90"/>
      <c r="ADO427" s="90"/>
      <c r="ADP427" s="90"/>
      <c r="ADQ427" s="90"/>
      <c r="ADR427" s="90"/>
      <c r="ADS427" s="90"/>
      <c r="ADT427" s="90"/>
      <c r="ADU427" s="90"/>
      <c r="ADV427" s="90"/>
      <c r="ADW427" s="90"/>
      <c r="ADX427" s="90"/>
      <c r="ADY427" s="90"/>
      <c r="ADZ427" s="90"/>
      <c r="AEA427" s="90"/>
      <c r="AEB427" s="90"/>
      <c r="AEC427" s="90"/>
      <c r="AED427" s="90"/>
      <c r="AEE427" s="90"/>
      <c r="AEF427" s="90"/>
      <c r="AEG427" s="90"/>
      <c r="AEH427" s="90"/>
      <c r="AEI427" s="90"/>
      <c r="AEJ427" s="90"/>
      <c r="AEK427" s="90"/>
      <c r="AEL427" s="90"/>
      <c r="AEM427" s="90"/>
      <c r="AEN427" s="90"/>
      <c r="AEO427" s="90"/>
      <c r="AEP427" s="90"/>
      <c r="AEQ427" s="90"/>
      <c r="AER427" s="90"/>
      <c r="AES427" s="90"/>
      <c r="AET427" s="90"/>
      <c r="AEU427" s="90"/>
      <c r="AEV427" s="90"/>
      <c r="AEW427" s="90"/>
      <c r="AEX427" s="90"/>
      <c r="AEY427" s="90"/>
      <c r="AEZ427" s="90"/>
      <c r="AFA427" s="90"/>
      <c r="AFB427" s="90"/>
      <c r="AFC427" s="90"/>
      <c r="AFD427" s="90"/>
      <c r="AFE427" s="90"/>
      <c r="AFF427" s="90"/>
      <c r="AFG427" s="90"/>
      <c r="AFH427" s="90"/>
      <c r="AFI427" s="90"/>
      <c r="AFJ427" s="90"/>
      <c r="AFK427" s="90"/>
      <c r="AFL427" s="90"/>
      <c r="AFM427" s="90"/>
      <c r="AFN427" s="90"/>
      <c r="AFO427" s="90"/>
      <c r="AFP427" s="90"/>
      <c r="AFQ427" s="90"/>
      <c r="AFR427" s="90"/>
      <c r="AFS427" s="90"/>
      <c r="AFT427" s="90"/>
      <c r="AFU427" s="90"/>
      <c r="AFV427" s="90"/>
      <c r="AFW427" s="90"/>
      <c r="AFX427" s="90"/>
      <c r="AFY427" s="90"/>
      <c r="AFZ427" s="90"/>
      <c r="AGA427" s="90"/>
      <c r="AGB427" s="90"/>
      <c r="AGC427" s="90"/>
      <c r="AGD427" s="90"/>
      <c r="AGE427" s="90"/>
      <c r="AGF427" s="90"/>
      <c r="AGG427" s="90"/>
      <c r="AGH427" s="90"/>
      <c r="AGI427" s="90"/>
      <c r="AGJ427" s="90"/>
      <c r="AGK427" s="90"/>
      <c r="AGL427" s="90"/>
      <c r="AGM427" s="90"/>
      <c r="AGN427" s="90"/>
      <c r="AGO427" s="90"/>
      <c r="AGP427" s="90"/>
      <c r="AGQ427" s="90"/>
      <c r="AGR427" s="90"/>
      <c r="AGS427" s="90"/>
      <c r="AGT427" s="90"/>
      <c r="AGU427" s="90"/>
      <c r="AGV427" s="90"/>
      <c r="AGW427" s="90"/>
      <c r="AGX427" s="90"/>
      <c r="AGY427" s="90"/>
      <c r="AGZ427" s="90"/>
      <c r="AHA427" s="90"/>
      <c r="AHB427" s="90"/>
      <c r="AHC427" s="90"/>
      <c r="AHD427" s="90"/>
      <c r="AHE427" s="90"/>
      <c r="AHF427" s="90"/>
      <c r="AHG427" s="90"/>
      <c r="AHH427" s="90"/>
      <c r="AHI427" s="90"/>
      <c r="AHJ427" s="90"/>
      <c r="AHK427" s="90"/>
      <c r="AHL427" s="90"/>
      <c r="AHM427" s="90"/>
      <c r="AHN427" s="90"/>
      <c r="AHO427" s="90"/>
      <c r="AHP427" s="90"/>
      <c r="AHQ427" s="90"/>
      <c r="AHR427" s="90"/>
      <c r="AHS427" s="90"/>
      <c r="AHT427" s="90"/>
      <c r="AHU427" s="90"/>
      <c r="AHV427" s="90"/>
      <c r="AHW427" s="90"/>
      <c r="AHX427" s="90"/>
      <c r="AHY427" s="90"/>
      <c r="AHZ427" s="90"/>
      <c r="AIA427" s="90"/>
      <c r="AIB427" s="90"/>
      <c r="AIC427" s="90"/>
      <c r="AID427" s="90"/>
      <c r="AIE427" s="90"/>
      <c r="AIF427" s="90"/>
      <c r="AIG427" s="90"/>
      <c r="AIH427" s="90"/>
      <c r="AII427" s="90"/>
      <c r="AIJ427" s="90"/>
      <c r="AIK427" s="90"/>
      <c r="AIL427" s="90"/>
      <c r="AIM427" s="90"/>
      <c r="AIN427" s="90"/>
      <c r="AIO427" s="90"/>
      <c r="AIP427" s="90"/>
      <c r="AIQ427" s="90"/>
      <c r="AIR427" s="90"/>
      <c r="AIS427" s="90"/>
      <c r="AIT427" s="90"/>
      <c r="AIU427" s="90"/>
      <c r="AIV427" s="90"/>
      <c r="AIW427" s="90"/>
      <c r="AIX427" s="90"/>
      <c r="AIY427" s="90"/>
      <c r="AIZ427" s="90"/>
      <c r="AJA427" s="90"/>
      <c r="AJB427" s="90"/>
      <c r="AJC427" s="90"/>
      <c r="AJD427" s="90"/>
      <c r="AJE427" s="90"/>
      <c r="AJF427" s="90"/>
      <c r="AJG427" s="90"/>
      <c r="AJH427" s="90"/>
      <c r="AJI427" s="90"/>
      <c r="AJJ427" s="90"/>
      <c r="AJK427" s="90"/>
      <c r="AJL427" s="90"/>
      <c r="AJM427" s="90"/>
      <c r="AJN427" s="90"/>
      <c r="AJO427" s="90"/>
      <c r="AJP427" s="90"/>
      <c r="AJQ427" s="90"/>
      <c r="AJR427" s="90"/>
      <c r="AJS427" s="90"/>
      <c r="AJT427" s="90"/>
      <c r="AJU427" s="90"/>
      <c r="AJV427" s="90"/>
      <c r="AJW427" s="90"/>
      <c r="AJX427" s="90"/>
      <c r="AJY427" s="90"/>
      <c r="AJZ427" s="90"/>
      <c r="AKA427" s="90"/>
      <c r="AKB427" s="90"/>
      <c r="AKC427" s="90"/>
      <c r="AKD427" s="90"/>
      <c r="AKE427" s="90"/>
      <c r="AKF427" s="90"/>
      <c r="AKG427" s="90"/>
      <c r="AKH427" s="90"/>
      <c r="AKI427" s="90"/>
      <c r="AKJ427" s="90"/>
      <c r="AKK427" s="90"/>
      <c r="AKL427" s="90"/>
      <c r="AKM427" s="90"/>
      <c r="AKN427" s="90"/>
      <c r="AKO427" s="90"/>
      <c r="AKP427" s="90"/>
      <c r="AKQ427" s="90"/>
      <c r="AKR427" s="90"/>
      <c r="AKS427" s="90"/>
      <c r="AKT427" s="90"/>
      <c r="AKU427" s="90"/>
      <c r="AKV427" s="90"/>
      <c r="AKW427" s="90"/>
      <c r="AKX427" s="90"/>
      <c r="AKY427" s="90"/>
      <c r="AKZ427" s="90"/>
      <c r="ALA427" s="90"/>
      <c r="ALB427" s="90"/>
      <c r="ALC427" s="90"/>
      <c r="ALD427" s="90"/>
      <c r="ALE427" s="90"/>
      <c r="ALF427" s="90"/>
      <c r="ALG427" s="90"/>
      <c r="ALH427" s="90"/>
      <c r="ALI427" s="90"/>
      <c r="ALJ427" s="90"/>
      <c r="ALK427" s="90"/>
      <c r="ALL427" s="90"/>
      <c r="ALM427" s="90"/>
      <c r="ALN427" s="90"/>
      <c r="ALO427" s="90"/>
      <c r="ALP427" s="90"/>
      <c r="ALQ427" s="90"/>
      <c r="ALR427" s="90"/>
      <c r="ALS427" s="90"/>
      <c r="ALT427" s="90"/>
      <c r="ALU427" s="90"/>
      <c r="ALV427" s="90"/>
      <c r="ALW427" s="90"/>
      <c r="ALX427" s="90"/>
      <c r="ALY427" s="90"/>
      <c r="ALZ427" s="90"/>
      <c r="AMA427" s="90"/>
      <c r="AMB427" s="90"/>
      <c r="AMC427" s="90"/>
    </row>
    <row r="428" spans="1:1017">
      <c r="A428" s="98" t="s">
        <v>55</v>
      </c>
      <c r="B428" s="90" t="str">
        <f t="shared" si="2194"/>
        <v>Ikan_03 (Kerang Darah)</v>
      </c>
      <c r="Q428" s="91">
        <f t="shared" si="2096"/>
        <v>0</v>
      </c>
      <c r="R428" s="91">
        <f t="shared" si="2097"/>
        <v>0</v>
      </c>
      <c r="AG428" s="91">
        <f t="shared" si="2098"/>
        <v>0</v>
      </c>
      <c r="AH428" s="91">
        <f t="shared" si="2099"/>
        <v>0</v>
      </c>
      <c r="AW428" s="91">
        <f t="shared" si="2100"/>
        <v>0</v>
      </c>
      <c r="AX428" s="91">
        <f t="shared" si="2101"/>
        <v>0</v>
      </c>
      <c r="BM428" s="91">
        <f t="shared" si="2102"/>
        <v>0</v>
      </c>
      <c r="BN428" s="91">
        <f t="shared" si="2103"/>
        <v>0</v>
      </c>
      <c r="CC428" s="91">
        <f t="shared" si="2104"/>
        <v>0</v>
      </c>
      <c r="CD428" s="91">
        <f t="shared" si="2105"/>
        <v>0</v>
      </c>
      <c r="CS428" s="91">
        <f t="shared" si="2106"/>
        <v>0</v>
      </c>
      <c r="CT428" s="91">
        <f t="shared" si="2107"/>
        <v>0</v>
      </c>
      <c r="DI428" s="91">
        <f t="shared" si="2108"/>
        <v>0</v>
      </c>
      <c r="DJ428" s="91">
        <f t="shared" si="2109"/>
        <v>0</v>
      </c>
      <c r="DY428" s="91">
        <f t="shared" si="2110"/>
        <v>0</v>
      </c>
      <c r="DZ428" s="91">
        <f t="shared" si="2111"/>
        <v>0</v>
      </c>
      <c r="EO428" s="91">
        <f t="shared" si="2112"/>
        <v>0</v>
      </c>
      <c r="EP428" s="91">
        <f t="shared" si="2113"/>
        <v>0</v>
      </c>
      <c r="FE428" s="91">
        <f t="shared" si="2114"/>
        <v>0</v>
      </c>
      <c r="FF428" s="91">
        <f t="shared" si="2115"/>
        <v>0</v>
      </c>
      <c r="FU428" s="91">
        <f t="shared" si="2116"/>
        <v>0</v>
      </c>
      <c r="FV428" s="91">
        <f t="shared" si="2117"/>
        <v>0</v>
      </c>
      <c r="GK428" s="91">
        <f t="shared" si="2118"/>
        <v>0</v>
      </c>
      <c r="GL428" s="91">
        <f t="shared" si="2119"/>
        <v>0</v>
      </c>
      <c r="HA428" s="91">
        <f t="shared" si="2120"/>
        <v>0</v>
      </c>
      <c r="HB428" s="91">
        <f t="shared" si="2121"/>
        <v>0</v>
      </c>
      <c r="HQ428" s="91">
        <f t="shared" si="2122"/>
        <v>0</v>
      </c>
      <c r="HR428" s="91">
        <f t="shared" si="2123"/>
        <v>0</v>
      </c>
      <c r="IG428" s="91">
        <f t="shared" si="2124"/>
        <v>0</v>
      </c>
      <c r="IH428" s="91">
        <f t="shared" si="2125"/>
        <v>0</v>
      </c>
      <c r="IW428" s="91">
        <f t="shared" si="2126"/>
        <v>0</v>
      </c>
      <c r="IX428" s="91">
        <f t="shared" si="2127"/>
        <v>0</v>
      </c>
      <c r="JM428" s="91">
        <f t="shared" si="2128"/>
        <v>0</v>
      </c>
      <c r="JN428" s="91">
        <f t="shared" si="2129"/>
        <v>0</v>
      </c>
      <c r="KC428" s="91">
        <f t="shared" si="2130"/>
        <v>0</v>
      </c>
      <c r="KD428" s="91">
        <f t="shared" si="2131"/>
        <v>0</v>
      </c>
      <c r="KS428" s="91">
        <f t="shared" si="2132"/>
        <v>0</v>
      </c>
      <c r="KT428" s="91">
        <f t="shared" si="2133"/>
        <v>0</v>
      </c>
      <c r="LI428" s="91">
        <f t="shared" si="2134"/>
        <v>0</v>
      </c>
      <c r="LJ428" s="91">
        <f t="shared" si="2135"/>
        <v>0</v>
      </c>
      <c r="LY428" s="91">
        <f t="shared" si="2136"/>
        <v>0</v>
      </c>
      <c r="LZ428" s="91">
        <f t="shared" si="2137"/>
        <v>0</v>
      </c>
      <c r="MO428" s="91">
        <f t="shared" si="2138"/>
        <v>0</v>
      </c>
      <c r="MP428" s="91">
        <f t="shared" si="2139"/>
        <v>0</v>
      </c>
      <c r="NE428" s="91">
        <f t="shared" si="2140"/>
        <v>0</v>
      </c>
      <c r="NF428" s="91">
        <f t="shared" si="2141"/>
        <v>0</v>
      </c>
      <c r="NU428" s="91">
        <f t="shared" si="2142"/>
        <v>0</v>
      </c>
      <c r="NV428" s="91">
        <f t="shared" si="2143"/>
        <v>0</v>
      </c>
      <c r="OK428" s="91">
        <f t="shared" si="2144"/>
        <v>0</v>
      </c>
      <c r="OL428" s="91">
        <f t="shared" si="2145"/>
        <v>0</v>
      </c>
      <c r="PA428" s="91">
        <f t="shared" si="2146"/>
        <v>0</v>
      </c>
      <c r="PB428" s="91">
        <f t="shared" si="2147"/>
        <v>0</v>
      </c>
      <c r="PQ428" s="91">
        <f t="shared" si="2148"/>
        <v>0</v>
      </c>
      <c r="PR428" s="91">
        <f t="shared" si="2149"/>
        <v>0</v>
      </c>
      <c r="QG428" s="91">
        <f t="shared" si="2150"/>
        <v>0</v>
      </c>
      <c r="QH428" s="91">
        <f t="shared" si="2151"/>
        <v>0</v>
      </c>
      <c r="QW428" s="91">
        <f t="shared" si="2152"/>
        <v>0</v>
      </c>
      <c r="QX428" s="91">
        <f t="shared" si="2153"/>
        <v>0</v>
      </c>
      <c r="RM428" s="91">
        <f t="shared" si="2154"/>
        <v>0</v>
      </c>
      <c r="RN428" s="91">
        <f t="shared" si="2155"/>
        <v>0</v>
      </c>
      <c r="SC428" s="91">
        <f t="shared" si="2156"/>
        <v>0</v>
      </c>
      <c r="SD428" s="91">
        <f t="shared" si="2157"/>
        <v>0</v>
      </c>
      <c r="SS428" s="91">
        <f t="shared" si="2158"/>
        <v>0</v>
      </c>
      <c r="ST428" s="91">
        <f t="shared" si="2159"/>
        <v>0</v>
      </c>
      <c r="TI428" s="91">
        <f t="shared" si="2160"/>
        <v>0</v>
      </c>
      <c r="TJ428" s="91">
        <f t="shared" si="2161"/>
        <v>0</v>
      </c>
      <c r="TY428" s="91">
        <f t="shared" si="2162"/>
        <v>0</v>
      </c>
      <c r="TZ428" s="91">
        <f t="shared" si="2163"/>
        <v>0</v>
      </c>
      <c r="UO428" s="91">
        <f t="shared" si="2164"/>
        <v>0</v>
      </c>
      <c r="UP428" s="91">
        <f t="shared" si="2165"/>
        <v>0</v>
      </c>
      <c r="VE428" s="91">
        <f t="shared" si="2166"/>
        <v>0</v>
      </c>
      <c r="VF428" s="91">
        <f t="shared" si="2167"/>
        <v>0</v>
      </c>
      <c r="VU428" s="91">
        <f t="shared" si="2168"/>
        <v>0</v>
      </c>
      <c r="VV428" s="91">
        <f t="shared" si="2169"/>
        <v>0</v>
      </c>
      <c r="WK428" s="91">
        <f t="shared" si="2170"/>
        <v>0</v>
      </c>
      <c r="WL428" s="91">
        <f t="shared" si="2171"/>
        <v>0</v>
      </c>
      <c r="WM428" s="89"/>
      <c r="WN428" s="87">
        <f t="shared" si="2195"/>
        <v>0</v>
      </c>
      <c r="WO428" s="87">
        <f t="shared" si="2196"/>
        <v>0</v>
      </c>
      <c r="WP428" s="87">
        <f t="shared" si="2197"/>
        <v>0</v>
      </c>
      <c r="WQ428" s="87">
        <f t="shared" si="2198"/>
        <v>0</v>
      </c>
      <c r="WR428" s="87">
        <f t="shared" si="2199"/>
        <v>0</v>
      </c>
      <c r="WS428" s="87">
        <f t="shared" si="2200"/>
        <v>0</v>
      </c>
      <c r="WT428" s="87">
        <f t="shared" si="2201"/>
        <v>0</v>
      </c>
      <c r="WU428" s="87">
        <f t="shared" si="2202"/>
        <v>0</v>
      </c>
      <c r="WV428" s="87">
        <f t="shared" si="2203"/>
        <v>0</v>
      </c>
      <c r="WW428" s="87">
        <f t="shared" si="2204"/>
        <v>0</v>
      </c>
      <c r="WX428" s="87">
        <f t="shared" si="2205"/>
        <v>0</v>
      </c>
      <c r="WY428" s="87">
        <f t="shared" si="2206"/>
        <v>0</v>
      </c>
      <c r="WZ428" s="87">
        <f t="shared" si="2190"/>
        <v>0</v>
      </c>
      <c r="XA428" s="87">
        <f t="shared" si="2191"/>
        <v>0</v>
      </c>
      <c r="XB428" s="92">
        <f t="shared" si="2192"/>
        <v>0</v>
      </c>
      <c r="XC428" s="92">
        <f t="shared" si="2193"/>
        <v>0</v>
      </c>
      <c r="XD428" s="89"/>
      <c r="XE428" s="92"/>
      <c r="XF428" s="92"/>
      <c r="XG428" s="89"/>
      <c r="XH428" s="92"/>
      <c r="XI428" s="92"/>
      <c r="XJ428" s="89"/>
      <c r="XK428" s="87"/>
      <c r="XL428" s="87"/>
      <c r="XM428" s="87"/>
      <c r="XN428" s="87"/>
      <c r="XO428" s="87"/>
      <c r="XP428" s="87"/>
      <c r="XQ428" s="87"/>
      <c r="XR428" s="92">
        <f t="shared" ca="1" si="2188"/>
        <v>0</v>
      </c>
      <c r="XS428" s="89"/>
      <c r="XT428" s="87"/>
      <c r="XU428" s="87"/>
      <c r="XV428" s="87"/>
      <c r="XW428" s="87"/>
      <c r="XX428" s="87"/>
      <c r="XY428" s="87"/>
      <c r="XZ428" s="87"/>
      <c r="YA428" s="92">
        <f t="shared" ca="1" si="2189"/>
        <v>0</v>
      </c>
      <c r="YB428" s="90"/>
      <c r="YC428" s="90"/>
      <c r="YD428" s="90"/>
      <c r="YE428" s="90"/>
      <c r="YF428" s="90"/>
      <c r="YG428" s="90"/>
      <c r="YH428" s="90"/>
      <c r="YI428" s="90"/>
      <c r="YJ428" s="90"/>
      <c r="YK428" s="90"/>
      <c r="YL428" s="90"/>
      <c r="YM428" s="90"/>
      <c r="YN428" s="90"/>
      <c r="YO428" s="90"/>
      <c r="YP428" s="90"/>
      <c r="YQ428" s="90"/>
      <c r="YR428" s="90"/>
      <c r="YS428" s="90"/>
      <c r="YT428" s="90"/>
      <c r="YU428" s="90"/>
      <c r="YV428" s="90"/>
      <c r="YW428" s="90"/>
      <c r="YX428" s="90"/>
      <c r="YY428" s="90"/>
      <c r="YZ428" s="90"/>
      <c r="ZA428" s="90"/>
      <c r="ZB428" s="90"/>
      <c r="ZC428" s="90"/>
      <c r="ZD428" s="90"/>
      <c r="ZE428" s="90"/>
      <c r="ZF428" s="90"/>
      <c r="ZG428" s="90"/>
      <c r="ZH428" s="90"/>
      <c r="ZI428" s="90"/>
      <c r="ZJ428" s="90"/>
      <c r="ZK428" s="90"/>
      <c r="ZL428" s="90"/>
      <c r="ZM428" s="90"/>
      <c r="ZN428" s="90"/>
      <c r="ZO428" s="90"/>
      <c r="ZP428" s="90"/>
      <c r="ZQ428" s="90"/>
      <c r="ZR428" s="90"/>
      <c r="ZS428" s="90"/>
      <c r="ZT428" s="90"/>
      <c r="ZU428" s="90"/>
      <c r="ZV428" s="90"/>
      <c r="ZW428" s="90"/>
      <c r="ZX428" s="90"/>
      <c r="ZY428" s="90"/>
      <c r="ZZ428" s="90"/>
      <c r="AAA428" s="90"/>
      <c r="AAB428" s="90"/>
      <c r="AAC428" s="90"/>
      <c r="AAD428" s="90"/>
      <c r="AAE428" s="90"/>
      <c r="AAF428" s="90"/>
      <c r="AAG428" s="90"/>
      <c r="AAH428" s="90"/>
      <c r="AAI428" s="90"/>
      <c r="AAJ428" s="90"/>
      <c r="AAK428" s="90"/>
      <c r="AAL428" s="90"/>
      <c r="AAM428" s="90"/>
      <c r="AAN428" s="90"/>
      <c r="AAO428" s="90"/>
      <c r="AAP428" s="90"/>
      <c r="AAQ428" s="90"/>
      <c r="AAR428" s="90"/>
      <c r="AAS428" s="90"/>
      <c r="AAT428" s="90"/>
      <c r="AAU428" s="90"/>
      <c r="AAV428" s="90"/>
      <c r="AAW428" s="90"/>
      <c r="AAX428" s="90"/>
      <c r="AAY428" s="90"/>
      <c r="AAZ428" s="90"/>
      <c r="ABA428" s="90"/>
      <c r="ABB428" s="90"/>
      <c r="ABC428" s="90"/>
      <c r="ABD428" s="90"/>
      <c r="ABE428" s="90"/>
      <c r="ABF428" s="90"/>
      <c r="ABG428" s="90"/>
      <c r="ABH428" s="90"/>
      <c r="ABI428" s="90"/>
      <c r="ABJ428" s="90"/>
      <c r="ABK428" s="90"/>
      <c r="ABL428" s="90"/>
      <c r="ABM428" s="90"/>
      <c r="ABN428" s="90"/>
      <c r="ABO428" s="90"/>
      <c r="ABP428" s="90"/>
      <c r="ABQ428" s="90"/>
      <c r="ABR428" s="90"/>
      <c r="ABS428" s="90"/>
      <c r="ABT428" s="90"/>
      <c r="ABU428" s="90"/>
      <c r="ABV428" s="90"/>
      <c r="ABW428" s="90"/>
      <c r="ABX428" s="90"/>
      <c r="ABY428" s="90"/>
      <c r="ABZ428" s="90"/>
      <c r="ACA428" s="90"/>
      <c r="ACB428" s="90"/>
      <c r="ACC428" s="90"/>
      <c r="ACD428" s="90"/>
      <c r="ACE428" s="90"/>
      <c r="ACF428" s="90"/>
      <c r="ACG428" s="90"/>
      <c r="ACH428" s="90"/>
      <c r="ACI428" s="90"/>
      <c r="ACJ428" s="90"/>
      <c r="ACK428" s="90"/>
      <c r="ACL428" s="90"/>
      <c r="ACM428" s="90"/>
      <c r="ACN428" s="90"/>
      <c r="ACO428" s="90"/>
      <c r="ACP428" s="90"/>
      <c r="ACQ428" s="90"/>
      <c r="ACR428" s="90"/>
      <c r="ACS428" s="90"/>
      <c r="ACT428" s="90"/>
      <c r="ACU428" s="90"/>
      <c r="ACV428" s="90"/>
      <c r="ACW428" s="90"/>
      <c r="ACX428" s="90"/>
      <c r="ACY428" s="90"/>
      <c r="ACZ428" s="90"/>
      <c r="ADA428" s="90"/>
      <c r="ADB428" s="90"/>
      <c r="ADC428" s="90"/>
      <c r="ADD428" s="90"/>
      <c r="ADE428" s="90"/>
      <c r="ADF428" s="90"/>
      <c r="ADG428" s="90"/>
      <c r="ADH428" s="90"/>
      <c r="ADI428" s="90"/>
      <c r="ADJ428" s="90"/>
      <c r="ADK428" s="90"/>
      <c r="ADL428" s="90"/>
      <c r="ADM428" s="90"/>
      <c r="ADN428" s="90"/>
      <c r="ADO428" s="90"/>
      <c r="ADP428" s="90"/>
      <c r="ADQ428" s="90"/>
      <c r="ADR428" s="90"/>
      <c r="ADS428" s="90"/>
      <c r="ADT428" s="90"/>
      <c r="ADU428" s="90"/>
      <c r="ADV428" s="90"/>
      <c r="ADW428" s="90"/>
      <c r="ADX428" s="90"/>
      <c r="ADY428" s="90"/>
      <c r="ADZ428" s="90"/>
      <c r="AEA428" s="90"/>
      <c r="AEB428" s="90"/>
      <c r="AEC428" s="90"/>
      <c r="AED428" s="90"/>
      <c r="AEE428" s="90"/>
      <c r="AEF428" s="90"/>
      <c r="AEG428" s="90"/>
      <c r="AEH428" s="90"/>
      <c r="AEI428" s="90"/>
      <c r="AEJ428" s="90"/>
      <c r="AEK428" s="90"/>
      <c r="AEL428" s="90"/>
      <c r="AEM428" s="90"/>
      <c r="AEN428" s="90"/>
      <c r="AEO428" s="90"/>
      <c r="AEP428" s="90"/>
      <c r="AEQ428" s="90"/>
      <c r="AER428" s="90"/>
      <c r="AES428" s="90"/>
      <c r="AET428" s="90"/>
      <c r="AEU428" s="90"/>
      <c r="AEV428" s="90"/>
      <c r="AEW428" s="90"/>
      <c r="AEX428" s="90"/>
      <c r="AEY428" s="90"/>
      <c r="AEZ428" s="90"/>
      <c r="AFA428" s="90"/>
      <c r="AFB428" s="90"/>
      <c r="AFC428" s="90"/>
      <c r="AFD428" s="90"/>
      <c r="AFE428" s="90"/>
      <c r="AFF428" s="90"/>
      <c r="AFG428" s="90"/>
      <c r="AFH428" s="90"/>
      <c r="AFI428" s="90"/>
      <c r="AFJ428" s="90"/>
      <c r="AFK428" s="90"/>
      <c r="AFL428" s="90"/>
      <c r="AFM428" s="90"/>
      <c r="AFN428" s="90"/>
      <c r="AFO428" s="90"/>
      <c r="AFP428" s="90"/>
      <c r="AFQ428" s="90"/>
      <c r="AFR428" s="90"/>
      <c r="AFS428" s="90"/>
      <c r="AFT428" s="90"/>
      <c r="AFU428" s="90"/>
      <c r="AFV428" s="90"/>
      <c r="AFW428" s="90"/>
      <c r="AFX428" s="90"/>
      <c r="AFY428" s="90"/>
      <c r="AFZ428" s="90"/>
      <c r="AGA428" s="90"/>
      <c r="AGB428" s="90"/>
      <c r="AGC428" s="90"/>
      <c r="AGD428" s="90"/>
      <c r="AGE428" s="90"/>
      <c r="AGF428" s="90"/>
      <c r="AGG428" s="90"/>
      <c r="AGH428" s="90"/>
      <c r="AGI428" s="90"/>
      <c r="AGJ428" s="90"/>
      <c r="AGK428" s="90"/>
      <c r="AGL428" s="90"/>
      <c r="AGM428" s="90"/>
      <c r="AGN428" s="90"/>
      <c r="AGO428" s="90"/>
      <c r="AGP428" s="90"/>
      <c r="AGQ428" s="90"/>
      <c r="AGR428" s="90"/>
      <c r="AGS428" s="90"/>
      <c r="AGT428" s="90"/>
      <c r="AGU428" s="90"/>
      <c r="AGV428" s="90"/>
      <c r="AGW428" s="90"/>
      <c r="AGX428" s="90"/>
      <c r="AGY428" s="90"/>
      <c r="AGZ428" s="90"/>
      <c r="AHA428" s="90"/>
      <c r="AHB428" s="90"/>
      <c r="AHC428" s="90"/>
      <c r="AHD428" s="90"/>
      <c r="AHE428" s="90"/>
      <c r="AHF428" s="90"/>
      <c r="AHG428" s="90"/>
      <c r="AHH428" s="90"/>
      <c r="AHI428" s="90"/>
      <c r="AHJ428" s="90"/>
      <c r="AHK428" s="90"/>
      <c r="AHL428" s="90"/>
      <c r="AHM428" s="90"/>
      <c r="AHN428" s="90"/>
      <c r="AHO428" s="90"/>
      <c r="AHP428" s="90"/>
      <c r="AHQ428" s="90"/>
      <c r="AHR428" s="90"/>
      <c r="AHS428" s="90"/>
      <c r="AHT428" s="90"/>
      <c r="AHU428" s="90"/>
      <c r="AHV428" s="90"/>
      <c r="AHW428" s="90"/>
      <c r="AHX428" s="90"/>
      <c r="AHY428" s="90"/>
      <c r="AHZ428" s="90"/>
      <c r="AIA428" s="90"/>
      <c r="AIB428" s="90"/>
      <c r="AIC428" s="90"/>
      <c r="AID428" s="90"/>
      <c r="AIE428" s="90"/>
      <c r="AIF428" s="90"/>
      <c r="AIG428" s="90"/>
      <c r="AIH428" s="90"/>
      <c r="AII428" s="90"/>
      <c r="AIJ428" s="90"/>
      <c r="AIK428" s="90"/>
      <c r="AIL428" s="90"/>
      <c r="AIM428" s="90"/>
      <c r="AIN428" s="90"/>
      <c r="AIO428" s="90"/>
      <c r="AIP428" s="90"/>
      <c r="AIQ428" s="90"/>
      <c r="AIR428" s="90"/>
      <c r="AIS428" s="90"/>
      <c r="AIT428" s="90"/>
      <c r="AIU428" s="90"/>
      <c r="AIV428" s="90"/>
      <c r="AIW428" s="90"/>
      <c r="AIX428" s="90"/>
      <c r="AIY428" s="90"/>
      <c r="AIZ428" s="90"/>
      <c r="AJA428" s="90"/>
      <c r="AJB428" s="90"/>
      <c r="AJC428" s="90"/>
      <c r="AJD428" s="90"/>
      <c r="AJE428" s="90"/>
      <c r="AJF428" s="90"/>
      <c r="AJG428" s="90"/>
      <c r="AJH428" s="90"/>
      <c r="AJI428" s="90"/>
      <c r="AJJ428" s="90"/>
      <c r="AJK428" s="90"/>
      <c r="AJL428" s="90"/>
      <c r="AJM428" s="90"/>
      <c r="AJN428" s="90"/>
      <c r="AJO428" s="90"/>
      <c r="AJP428" s="90"/>
      <c r="AJQ428" s="90"/>
      <c r="AJR428" s="90"/>
      <c r="AJS428" s="90"/>
      <c r="AJT428" s="90"/>
      <c r="AJU428" s="90"/>
      <c r="AJV428" s="90"/>
      <c r="AJW428" s="90"/>
      <c r="AJX428" s="90"/>
      <c r="AJY428" s="90"/>
      <c r="AJZ428" s="90"/>
      <c r="AKA428" s="90"/>
      <c r="AKB428" s="90"/>
      <c r="AKC428" s="90"/>
      <c r="AKD428" s="90"/>
      <c r="AKE428" s="90"/>
      <c r="AKF428" s="90"/>
      <c r="AKG428" s="90"/>
      <c r="AKH428" s="90"/>
      <c r="AKI428" s="90"/>
      <c r="AKJ428" s="90"/>
      <c r="AKK428" s="90"/>
      <c r="AKL428" s="90"/>
      <c r="AKM428" s="90"/>
      <c r="AKN428" s="90"/>
      <c r="AKO428" s="90"/>
      <c r="AKP428" s="90"/>
      <c r="AKQ428" s="90"/>
      <c r="AKR428" s="90"/>
      <c r="AKS428" s="90"/>
      <c r="AKT428" s="90"/>
      <c r="AKU428" s="90"/>
      <c r="AKV428" s="90"/>
      <c r="AKW428" s="90"/>
      <c r="AKX428" s="90"/>
      <c r="AKY428" s="90"/>
      <c r="AKZ428" s="90"/>
      <c r="ALA428" s="90"/>
      <c r="ALB428" s="90"/>
      <c r="ALC428" s="90"/>
      <c r="ALD428" s="90"/>
      <c r="ALE428" s="90"/>
      <c r="ALF428" s="90"/>
      <c r="ALG428" s="90"/>
      <c r="ALH428" s="90"/>
      <c r="ALI428" s="90"/>
      <c r="ALJ428" s="90"/>
      <c r="ALK428" s="90"/>
      <c r="ALL428" s="90"/>
      <c r="ALM428" s="90"/>
      <c r="ALN428" s="90"/>
      <c r="ALO428" s="90"/>
      <c r="ALP428" s="90"/>
      <c r="ALQ428" s="90"/>
      <c r="ALR428" s="90"/>
      <c r="ALS428" s="90"/>
      <c r="ALT428" s="90"/>
      <c r="ALU428" s="90"/>
      <c r="ALV428" s="90"/>
      <c r="ALW428" s="90"/>
      <c r="ALX428" s="90"/>
      <c r="ALY428" s="90"/>
      <c r="ALZ428" s="90"/>
      <c r="AMA428" s="90"/>
      <c r="AMB428" s="90"/>
      <c r="AMC428" s="90"/>
    </row>
    <row r="429" spans="1:1017">
      <c r="A429" s="98" t="s">
        <v>55</v>
      </c>
      <c r="B429" s="90" t="str">
        <f t="shared" si="2194"/>
        <v>Ikan_04 (Ikan Keting)</v>
      </c>
      <c r="Q429" s="91">
        <f t="shared" si="2096"/>
        <v>0</v>
      </c>
      <c r="R429" s="91">
        <f t="shared" si="2097"/>
        <v>0</v>
      </c>
      <c r="AG429" s="91">
        <f t="shared" si="2098"/>
        <v>0</v>
      </c>
      <c r="AH429" s="91">
        <f t="shared" si="2099"/>
        <v>0</v>
      </c>
      <c r="AW429" s="91">
        <f t="shared" si="2100"/>
        <v>0</v>
      </c>
      <c r="AX429" s="91">
        <f t="shared" si="2101"/>
        <v>0</v>
      </c>
      <c r="BM429" s="91">
        <f t="shared" si="2102"/>
        <v>0</v>
      </c>
      <c r="BN429" s="91">
        <f t="shared" si="2103"/>
        <v>0</v>
      </c>
      <c r="CC429" s="91">
        <f t="shared" si="2104"/>
        <v>0</v>
      </c>
      <c r="CD429" s="91">
        <f t="shared" si="2105"/>
        <v>0</v>
      </c>
      <c r="CS429" s="91">
        <f t="shared" si="2106"/>
        <v>0</v>
      </c>
      <c r="CT429" s="91">
        <f t="shared" si="2107"/>
        <v>0</v>
      </c>
      <c r="DI429" s="91">
        <f t="shared" si="2108"/>
        <v>0</v>
      </c>
      <c r="DJ429" s="91">
        <f t="shared" si="2109"/>
        <v>0</v>
      </c>
      <c r="DY429" s="91">
        <f t="shared" si="2110"/>
        <v>0</v>
      </c>
      <c r="DZ429" s="91">
        <f t="shared" si="2111"/>
        <v>0</v>
      </c>
      <c r="EO429" s="91">
        <f t="shared" si="2112"/>
        <v>0</v>
      </c>
      <c r="EP429" s="91">
        <f t="shared" si="2113"/>
        <v>0</v>
      </c>
      <c r="FE429" s="91">
        <f t="shared" si="2114"/>
        <v>0</v>
      </c>
      <c r="FF429" s="91">
        <f t="shared" si="2115"/>
        <v>0</v>
      </c>
      <c r="FU429" s="91">
        <f t="shared" si="2116"/>
        <v>0</v>
      </c>
      <c r="FV429" s="91">
        <f t="shared" si="2117"/>
        <v>0</v>
      </c>
      <c r="GK429" s="91">
        <f t="shared" si="2118"/>
        <v>0</v>
      </c>
      <c r="GL429" s="91">
        <f t="shared" si="2119"/>
        <v>0</v>
      </c>
      <c r="HA429" s="91">
        <f t="shared" si="2120"/>
        <v>0</v>
      </c>
      <c r="HB429" s="91">
        <f t="shared" si="2121"/>
        <v>0</v>
      </c>
      <c r="HQ429" s="91">
        <f t="shared" si="2122"/>
        <v>0</v>
      </c>
      <c r="HR429" s="91">
        <f t="shared" si="2123"/>
        <v>0</v>
      </c>
      <c r="IG429" s="91">
        <f t="shared" si="2124"/>
        <v>0</v>
      </c>
      <c r="IH429" s="91">
        <f t="shared" si="2125"/>
        <v>0</v>
      </c>
      <c r="IW429" s="91">
        <f t="shared" si="2126"/>
        <v>0</v>
      </c>
      <c r="IX429" s="91">
        <f t="shared" si="2127"/>
        <v>0</v>
      </c>
      <c r="JM429" s="91">
        <f t="shared" si="2128"/>
        <v>0</v>
      </c>
      <c r="JN429" s="91">
        <f t="shared" si="2129"/>
        <v>0</v>
      </c>
      <c r="KC429" s="91">
        <f t="shared" si="2130"/>
        <v>0</v>
      </c>
      <c r="KD429" s="91">
        <f t="shared" si="2131"/>
        <v>0</v>
      </c>
      <c r="KS429" s="91">
        <f t="shared" si="2132"/>
        <v>0</v>
      </c>
      <c r="KT429" s="91">
        <f t="shared" si="2133"/>
        <v>0</v>
      </c>
      <c r="LI429" s="91">
        <f t="shared" si="2134"/>
        <v>0</v>
      </c>
      <c r="LJ429" s="91">
        <f t="shared" si="2135"/>
        <v>0</v>
      </c>
      <c r="LY429" s="91">
        <f t="shared" si="2136"/>
        <v>0</v>
      </c>
      <c r="LZ429" s="91">
        <f t="shared" si="2137"/>
        <v>0</v>
      </c>
      <c r="MO429" s="91">
        <f t="shared" si="2138"/>
        <v>0</v>
      </c>
      <c r="MP429" s="91">
        <f t="shared" si="2139"/>
        <v>0</v>
      </c>
      <c r="NE429" s="91">
        <f t="shared" si="2140"/>
        <v>0</v>
      </c>
      <c r="NF429" s="91">
        <f t="shared" si="2141"/>
        <v>0</v>
      </c>
      <c r="NI429" s="98">
        <v>67500</v>
      </c>
      <c r="NJ429" s="98">
        <v>810000</v>
      </c>
      <c r="NU429" s="91">
        <f t="shared" si="2142"/>
        <v>67500</v>
      </c>
      <c r="NV429" s="91">
        <f t="shared" si="2143"/>
        <v>810000</v>
      </c>
      <c r="OK429" s="91">
        <f t="shared" si="2144"/>
        <v>0</v>
      </c>
      <c r="OL429" s="91">
        <f t="shared" si="2145"/>
        <v>0</v>
      </c>
      <c r="PA429" s="91">
        <f t="shared" si="2146"/>
        <v>0</v>
      </c>
      <c r="PB429" s="91">
        <f t="shared" si="2147"/>
        <v>0</v>
      </c>
      <c r="PQ429" s="91">
        <f t="shared" si="2148"/>
        <v>0</v>
      </c>
      <c r="PR429" s="91">
        <f t="shared" si="2149"/>
        <v>0</v>
      </c>
      <c r="QG429" s="91">
        <f t="shared" si="2150"/>
        <v>0</v>
      </c>
      <c r="QH429" s="91">
        <f t="shared" si="2151"/>
        <v>0</v>
      </c>
      <c r="QW429" s="91">
        <f t="shared" si="2152"/>
        <v>0</v>
      </c>
      <c r="QX429" s="91">
        <f t="shared" si="2153"/>
        <v>0</v>
      </c>
      <c r="RM429" s="91">
        <f t="shared" si="2154"/>
        <v>0</v>
      </c>
      <c r="RN429" s="91">
        <f t="shared" si="2155"/>
        <v>0</v>
      </c>
      <c r="SC429" s="91">
        <f t="shared" si="2156"/>
        <v>0</v>
      </c>
      <c r="SD429" s="91">
        <f t="shared" si="2157"/>
        <v>0</v>
      </c>
      <c r="SS429" s="91">
        <f t="shared" si="2158"/>
        <v>0</v>
      </c>
      <c r="ST429" s="91">
        <f t="shared" si="2159"/>
        <v>0</v>
      </c>
      <c r="TI429" s="91">
        <f t="shared" si="2160"/>
        <v>0</v>
      </c>
      <c r="TJ429" s="91">
        <f t="shared" si="2161"/>
        <v>0</v>
      </c>
      <c r="TY429" s="91">
        <f t="shared" si="2162"/>
        <v>0</v>
      </c>
      <c r="TZ429" s="91">
        <f t="shared" si="2163"/>
        <v>0</v>
      </c>
      <c r="UO429" s="91">
        <f t="shared" si="2164"/>
        <v>0</v>
      </c>
      <c r="UP429" s="91">
        <f t="shared" ref="UP429:UP430" si="2207">SUMIF($C$12:$P$12,$A$1,UB429:UO429)</f>
        <v>0</v>
      </c>
      <c r="VE429" s="91">
        <f t="shared" si="2166"/>
        <v>0</v>
      </c>
      <c r="VF429" s="91">
        <f t="shared" si="2167"/>
        <v>0</v>
      </c>
      <c r="VU429" s="91">
        <f t="shared" si="2168"/>
        <v>0</v>
      </c>
      <c r="VV429" s="91">
        <f t="shared" si="2169"/>
        <v>0</v>
      </c>
      <c r="WK429" s="91">
        <f t="shared" si="2170"/>
        <v>0</v>
      </c>
      <c r="WL429" s="91">
        <f t="shared" si="2171"/>
        <v>0</v>
      </c>
      <c r="WM429" s="89"/>
      <c r="WN429" s="87">
        <f t="shared" si="2195"/>
        <v>0</v>
      </c>
      <c r="WO429" s="87">
        <f t="shared" si="2196"/>
        <v>0</v>
      </c>
      <c r="WP429" s="87">
        <f t="shared" si="2197"/>
        <v>67500</v>
      </c>
      <c r="WQ429" s="87">
        <f t="shared" si="2198"/>
        <v>810000</v>
      </c>
      <c r="WR429" s="87">
        <f t="shared" si="2199"/>
        <v>0</v>
      </c>
      <c r="WS429" s="87">
        <f t="shared" si="2200"/>
        <v>0</v>
      </c>
      <c r="WT429" s="87">
        <f t="shared" si="2201"/>
        <v>0</v>
      </c>
      <c r="WU429" s="87">
        <f t="shared" si="2202"/>
        <v>0</v>
      </c>
      <c r="WV429" s="87">
        <f t="shared" si="2203"/>
        <v>0</v>
      </c>
      <c r="WW429" s="87">
        <f t="shared" si="2204"/>
        <v>0</v>
      </c>
      <c r="WX429" s="87">
        <f t="shared" si="2205"/>
        <v>0</v>
      </c>
      <c r="WY429" s="87">
        <f t="shared" si="2206"/>
        <v>0</v>
      </c>
      <c r="WZ429" s="87">
        <f t="shared" si="2190"/>
        <v>0</v>
      </c>
      <c r="XA429" s="87">
        <f t="shared" si="2191"/>
        <v>0</v>
      </c>
      <c r="XB429" s="92">
        <f t="shared" si="2192"/>
        <v>67500</v>
      </c>
      <c r="XC429" s="92">
        <f t="shared" si="2193"/>
        <v>810000</v>
      </c>
      <c r="XD429" s="89"/>
      <c r="XE429" s="92"/>
      <c r="XF429" s="92"/>
      <c r="XG429" s="89"/>
      <c r="XH429" s="92"/>
      <c r="XI429" s="92"/>
      <c r="XJ429" s="89"/>
      <c r="XK429" s="87"/>
      <c r="XL429" s="87"/>
      <c r="XM429" s="87"/>
      <c r="XN429" s="87"/>
      <c r="XO429" s="87"/>
      <c r="XP429" s="87"/>
      <c r="XQ429" s="87"/>
      <c r="XR429" s="92">
        <f t="shared" ca="1" si="2188"/>
        <v>0</v>
      </c>
      <c r="XS429" s="89"/>
      <c r="XT429" s="87"/>
      <c r="XU429" s="87"/>
      <c r="XV429" s="87"/>
      <c r="XW429" s="87"/>
      <c r="XX429" s="87"/>
      <c r="XY429" s="87"/>
      <c r="XZ429" s="87"/>
      <c r="YA429" s="92">
        <f t="shared" ca="1" si="2189"/>
        <v>0</v>
      </c>
      <c r="YB429" s="90"/>
      <c r="YC429" s="90"/>
      <c r="YD429" s="90"/>
      <c r="YE429" s="90"/>
      <c r="YF429" s="90"/>
      <c r="YG429" s="90"/>
      <c r="YH429" s="90"/>
      <c r="YI429" s="90"/>
      <c r="YJ429" s="90"/>
      <c r="YK429" s="90"/>
      <c r="YL429" s="90"/>
      <c r="YM429" s="90"/>
      <c r="YN429" s="90"/>
      <c r="YO429" s="90"/>
      <c r="YP429" s="90"/>
      <c r="YQ429" s="90"/>
      <c r="YR429" s="90"/>
      <c r="YS429" s="90"/>
      <c r="YT429" s="90"/>
      <c r="YU429" s="90"/>
      <c r="YV429" s="90"/>
      <c r="YW429" s="90"/>
      <c r="YX429" s="90"/>
      <c r="YY429" s="90"/>
      <c r="YZ429" s="90"/>
      <c r="ZA429" s="90"/>
      <c r="ZB429" s="90"/>
      <c r="ZC429" s="90"/>
      <c r="ZD429" s="90"/>
      <c r="ZE429" s="90"/>
      <c r="ZF429" s="90"/>
      <c r="ZG429" s="90"/>
      <c r="ZH429" s="90"/>
      <c r="ZI429" s="90"/>
      <c r="ZJ429" s="90"/>
      <c r="ZK429" s="90"/>
      <c r="ZL429" s="90"/>
      <c r="ZM429" s="90"/>
      <c r="ZN429" s="90"/>
      <c r="ZO429" s="90"/>
      <c r="ZP429" s="90"/>
      <c r="ZQ429" s="90"/>
      <c r="ZR429" s="90"/>
      <c r="ZS429" s="90"/>
      <c r="ZT429" s="90"/>
      <c r="ZU429" s="90"/>
      <c r="ZV429" s="90"/>
      <c r="ZW429" s="90"/>
      <c r="ZX429" s="90"/>
      <c r="ZY429" s="90"/>
      <c r="ZZ429" s="90"/>
      <c r="AAA429" s="90"/>
      <c r="AAB429" s="90"/>
      <c r="AAC429" s="90"/>
      <c r="AAD429" s="90"/>
      <c r="AAE429" s="90"/>
      <c r="AAF429" s="90"/>
      <c r="AAG429" s="90"/>
      <c r="AAH429" s="90"/>
      <c r="AAI429" s="90"/>
      <c r="AAJ429" s="90"/>
      <c r="AAK429" s="90"/>
      <c r="AAL429" s="90"/>
      <c r="AAM429" s="90"/>
      <c r="AAN429" s="90"/>
      <c r="AAO429" s="90"/>
      <c r="AAP429" s="90"/>
      <c r="AAQ429" s="90"/>
      <c r="AAR429" s="90"/>
      <c r="AAS429" s="90"/>
      <c r="AAT429" s="90"/>
      <c r="AAU429" s="90"/>
      <c r="AAV429" s="90"/>
      <c r="AAW429" s="90"/>
      <c r="AAX429" s="90"/>
      <c r="AAY429" s="90"/>
      <c r="AAZ429" s="90"/>
      <c r="ABA429" s="90"/>
      <c r="ABB429" s="90"/>
      <c r="ABC429" s="90"/>
      <c r="ABD429" s="90"/>
      <c r="ABE429" s="90"/>
      <c r="ABF429" s="90"/>
      <c r="ABG429" s="90"/>
      <c r="ABH429" s="90"/>
      <c r="ABI429" s="90"/>
      <c r="ABJ429" s="90"/>
      <c r="ABK429" s="90"/>
      <c r="ABL429" s="90"/>
      <c r="ABM429" s="90"/>
      <c r="ABN429" s="90"/>
      <c r="ABO429" s="90"/>
      <c r="ABP429" s="90"/>
      <c r="ABQ429" s="90"/>
      <c r="ABR429" s="90"/>
      <c r="ABS429" s="90"/>
      <c r="ABT429" s="90"/>
      <c r="ABU429" s="90"/>
      <c r="ABV429" s="90"/>
      <c r="ABW429" s="90"/>
      <c r="ABX429" s="90"/>
      <c r="ABY429" s="90"/>
      <c r="ABZ429" s="90"/>
      <c r="ACA429" s="90"/>
      <c r="ACB429" s="90"/>
      <c r="ACC429" s="90"/>
      <c r="ACD429" s="90"/>
      <c r="ACE429" s="90"/>
      <c r="ACF429" s="90"/>
      <c r="ACG429" s="90"/>
      <c r="ACH429" s="90"/>
      <c r="ACI429" s="90"/>
      <c r="ACJ429" s="90"/>
      <c r="ACK429" s="90"/>
      <c r="ACL429" s="90"/>
      <c r="ACM429" s="90"/>
      <c r="ACN429" s="90"/>
      <c r="ACO429" s="90"/>
      <c r="ACP429" s="90"/>
      <c r="ACQ429" s="90"/>
      <c r="ACR429" s="90"/>
      <c r="ACS429" s="90"/>
      <c r="ACT429" s="90"/>
      <c r="ACU429" s="90"/>
      <c r="ACV429" s="90"/>
      <c r="ACW429" s="90"/>
      <c r="ACX429" s="90"/>
      <c r="ACY429" s="90"/>
      <c r="ACZ429" s="90"/>
      <c r="ADA429" s="90"/>
      <c r="ADB429" s="90"/>
      <c r="ADC429" s="90"/>
      <c r="ADD429" s="90"/>
      <c r="ADE429" s="90"/>
      <c r="ADF429" s="90"/>
      <c r="ADG429" s="90"/>
      <c r="ADH429" s="90"/>
      <c r="ADI429" s="90"/>
      <c r="ADJ429" s="90"/>
      <c r="ADK429" s="90"/>
      <c r="ADL429" s="90"/>
      <c r="ADM429" s="90"/>
      <c r="ADN429" s="90"/>
      <c r="ADO429" s="90"/>
      <c r="ADP429" s="90"/>
      <c r="ADQ429" s="90"/>
      <c r="ADR429" s="90"/>
      <c r="ADS429" s="90"/>
      <c r="ADT429" s="90"/>
      <c r="ADU429" s="90"/>
      <c r="ADV429" s="90"/>
      <c r="ADW429" s="90"/>
      <c r="ADX429" s="90"/>
      <c r="ADY429" s="90"/>
      <c r="ADZ429" s="90"/>
      <c r="AEA429" s="90"/>
      <c r="AEB429" s="90"/>
      <c r="AEC429" s="90"/>
      <c r="AED429" s="90"/>
      <c r="AEE429" s="90"/>
      <c r="AEF429" s="90"/>
      <c r="AEG429" s="90"/>
      <c r="AEH429" s="90"/>
      <c r="AEI429" s="90"/>
      <c r="AEJ429" s="90"/>
      <c r="AEK429" s="90"/>
      <c r="AEL429" s="90"/>
      <c r="AEM429" s="90"/>
      <c r="AEN429" s="90"/>
      <c r="AEO429" s="90"/>
      <c r="AEP429" s="90"/>
      <c r="AEQ429" s="90"/>
      <c r="AER429" s="90"/>
      <c r="AES429" s="90"/>
      <c r="AET429" s="90"/>
      <c r="AEU429" s="90"/>
      <c r="AEV429" s="90"/>
      <c r="AEW429" s="90"/>
      <c r="AEX429" s="90"/>
      <c r="AEY429" s="90"/>
      <c r="AEZ429" s="90"/>
      <c r="AFA429" s="90"/>
      <c r="AFB429" s="90"/>
      <c r="AFC429" s="90"/>
      <c r="AFD429" s="90"/>
      <c r="AFE429" s="90"/>
      <c r="AFF429" s="90"/>
      <c r="AFG429" s="90"/>
      <c r="AFH429" s="90"/>
      <c r="AFI429" s="90"/>
      <c r="AFJ429" s="90"/>
      <c r="AFK429" s="90"/>
      <c r="AFL429" s="90"/>
      <c r="AFM429" s="90"/>
      <c r="AFN429" s="90"/>
      <c r="AFO429" s="90"/>
      <c r="AFP429" s="90"/>
      <c r="AFQ429" s="90"/>
      <c r="AFR429" s="90"/>
      <c r="AFS429" s="90"/>
      <c r="AFT429" s="90"/>
      <c r="AFU429" s="90"/>
      <c r="AFV429" s="90"/>
      <c r="AFW429" s="90"/>
      <c r="AFX429" s="90"/>
      <c r="AFY429" s="90"/>
      <c r="AFZ429" s="90"/>
      <c r="AGA429" s="90"/>
      <c r="AGB429" s="90"/>
      <c r="AGC429" s="90"/>
      <c r="AGD429" s="90"/>
      <c r="AGE429" s="90"/>
      <c r="AGF429" s="90"/>
      <c r="AGG429" s="90"/>
      <c r="AGH429" s="90"/>
      <c r="AGI429" s="90"/>
      <c r="AGJ429" s="90"/>
      <c r="AGK429" s="90"/>
      <c r="AGL429" s="90"/>
      <c r="AGM429" s="90"/>
      <c r="AGN429" s="90"/>
      <c r="AGO429" s="90"/>
      <c r="AGP429" s="90"/>
      <c r="AGQ429" s="90"/>
      <c r="AGR429" s="90"/>
      <c r="AGS429" s="90"/>
      <c r="AGT429" s="90"/>
      <c r="AGU429" s="90"/>
      <c r="AGV429" s="90"/>
      <c r="AGW429" s="90"/>
      <c r="AGX429" s="90"/>
      <c r="AGY429" s="90"/>
      <c r="AGZ429" s="90"/>
      <c r="AHA429" s="90"/>
      <c r="AHB429" s="90"/>
      <c r="AHC429" s="90"/>
      <c r="AHD429" s="90"/>
      <c r="AHE429" s="90"/>
      <c r="AHF429" s="90"/>
      <c r="AHG429" s="90"/>
      <c r="AHH429" s="90"/>
      <c r="AHI429" s="90"/>
      <c r="AHJ429" s="90"/>
      <c r="AHK429" s="90"/>
      <c r="AHL429" s="90"/>
      <c r="AHM429" s="90"/>
      <c r="AHN429" s="90"/>
      <c r="AHO429" s="90"/>
      <c r="AHP429" s="90"/>
      <c r="AHQ429" s="90"/>
      <c r="AHR429" s="90"/>
      <c r="AHS429" s="90"/>
      <c r="AHT429" s="90"/>
      <c r="AHU429" s="90"/>
      <c r="AHV429" s="90"/>
      <c r="AHW429" s="90"/>
      <c r="AHX429" s="90"/>
      <c r="AHY429" s="90"/>
      <c r="AHZ429" s="90"/>
      <c r="AIA429" s="90"/>
      <c r="AIB429" s="90"/>
      <c r="AIC429" s="90"/>
      <c r="AID429" s="90"/>
      <c r="AIE429" s="90"/>
      <c r="AIF429" s="90"/>
      <c r="AIG429" s="90"/>
      <c r="AIH429" s="90"/>
      <c r="AII429" s="90"/>
      <c r="AIJ429" s="90"/>
      <c r="AIK429" s="90"/>
      <c r="AIL429" s="90"/>
      <c r="AIM429" s="90"/>
      <c r="AIN429" s="90"/>
      <c r="AIO429" s="90"/>
      <c r="AIP429" s="90"/>
      <c r="AIQ429" s="90"/>
      <c r="AIR429" s="90"/>
      <c r="AIS429" s="90"/>
      <c r="AIT429" s="90"/>
      <c r="AIU429" s="90"/>
      <c r="AIV429" s="90"/>
      <c r="AIW429" s="90"/>
      <c r="AIX429" s="90"/>
      <c r="AIY429" s="90"/>
      <c r="AIZ429" s="90"/>
      <c r="AJA429" s="90"/>
      <c r="AJB429" s="90"/>
      <c r="AJC429" s="90"/>
      <c r="AJD429" s="90"/>
      <c r="AJE429" s="90"/>
      <c r="AJF429" s="90"/>
      <c r="AJG429" s="90"/>
      <c r="AJH429" s="90"/>
      <c r="AJI429" s="90"/>
      <c r="AJJ429" s="90"/>
      <c r="AJK429" s="90"/>
      <c r="AJL429" s="90"/>
      <c r="AJM429" s="90"/>
      <c r="AJN429" s="90"/>
      <c r="AJO429" s="90"/>
      <c r="AJP429" s="90"/>
      <c r="AJQ429" s="90"/>
      <c r="AJR429" s="90"/>
      <c r="AJS429" s="90"/>
      <c r="AJT429" s="90"/>
      <c r="AJU429" s="90"/>
      <c r="AJV429" s="90"/>
      <c r="AJW429" s="90"/>
      <c r="AJX429" s="90"/>
      <c r="AJY429" s="90"/>
      <c r="AJZ429" s="90"/>
      <c r="AKA429" s="90"/>
      <c r="AKB429" s="90"/>
      <c r="AKC429" s="90"/>
      <c r="AKD429" s="90"/>
      <c r="AKE429" s="90"/>
      <c r="AKF429" s="90"/>
      <c r="AKG429" s="90"/>
      <c r="AKH429" s="90"/>
      <c r="AKI429" s="90"/>
      <c r="AKJ429" s="90"/>
      <c r="AKK429" s="90"/>
      <c r="AKL429" s="90"/>
      <c r="AKM429" s="90"/>
      <c r="AKN429" s="90"/>
      <c r="AKO429" s="90"/>
      <c r="AKP429" s="90"/>
      <c r="AKQ429" s="90"/>
      <c r="AKR429" s="90"/>
      <c r="AKS429" s="90"/>
      <c r="AKT429" s="90"/>
      <c r="AKU429" s="90"/>
      <c r="AKV429" s="90"/>
      <c r="AKW429" s="90"/>
      <c r="AKX429" s="90"/>
      <c r="AKY429" s="90"/>
      <c r="AKZ429" s="90"/>
      <c r="ALA429" s="90"/>
      <c r="ALB429" s="90"/>
      <c r="ALC429" s="90"/>
      <c r="ALD429" s="90"/>
      <c r="ALE429" s="90"/>
      <c r="ALF429" s="90"/>
      <c r="ALG429" s="90"/>
      <c r="ALH429" s="90"/>
      <c r="ALI429" s="90"/>
      <c r="ALJ429" s="90"/>
      <c r="ALK429" s="90"/>
      <c r="ALL429" s="90"/>
      <c r="ALM429" s="90"/>
      <c r="ALN429" s="90"/>
      <c r="ALO429" s="90"/>
      <c r="ALP429" s="90"/>
      <c r="ALQ429" s="90"/>
      <c r="ALR429" s="90"/>
      <c r="ALS429" s="90"/>
      <c r="ALT429" s="90"/>
      <c r="ALU429" s="90"/>
      <c r="ALV429" s="90"/>
      <c r="ALW429" s="90"/>
      <c r="ALX429" s="90"/>
      <c r="ALY429" s="90"/>
      <c r="ALZ429" s="90"/>
      <c r="AMA429" s="90"/>
      <c r="AMB429" s="90"/>
      <c r="AMC429" s="90"/>
    </row>
    <row r="430" spans="1:1017">
      <c r="A430" s="98" t="s">
        <v>55</v>
      </c>
      <c r="B430" s="90" t="str">
        <f t="shared" si="2194"/>
        <v>Ikan_05 (Ikan betutu)</v>
      </c>
      <c r="Q430" s="91">
        <f t="shared" si="2096"/>
        <v>0</v>
      </c>
      <c r="R430" s="91">
        <f t="shared" si="2097"/>
        <v>0</v>
      </c>
      <c r="AG430" s="91">
        <f t="shared" si="2098"/>
        <v>0</v>
      </c>
      <c r="AH430" s="91">
        <f t="shared" si="2099"/>
        <v>0</v>
      </c>
      <c r="AW430" s="91">
        <f t="shared" si="2100"/>
        <v>0</v>
      </c>
      <c r="AX430" s="91">
        <f t="shared" si="2101"/>
        <v>0</v>
      </c>
      <c r="BM430" s="91">
        <f t="shared" si="2102"/>
        <v>0</v>
      </c>
      <c r="BN430" s="91">
        <f t="shared" si="2103"/>
        <v>0</v>
      </c>
      <c r="CC430" s="91">
        <f t="shared" si="2104"/>
        <v>0</v>
      </c>
      <c r="CD430" s="91">
        <f t="shared" si="2105"/>
        <v>0</v>
      </c>
      <c r="CS430" s="91">
        <f t="shared" si="2106"/>
        <v>0</v>
      </c>
      <c r="CT430" s="91">
        <f t="shared" si="2107"/>
        <v>0</v>
      </c>
      <c r="DI430" s="91">
        <f t="shared" si="2108"/>
        <v>0</v>
      </c>
      <c r="DJ430" s="91">
        <f t="shared" si="2109"/>
        <v>0</v>
      </c>
      <c r="DY430" s="91">
        <f t="shared" si="2110"/>
        <v>0</v>
      </c>
      <c r="DZ430" s="91">
        <f t="shared" si="2111"/>
        <v>0</v>
      </c>
      <c r="EO430" s="91">
        <f t="shared" si="2112"/>
        <v>0</v>
      </c>
      <c r="EP430" s="91">
        <f t="shared" si="2113"/>
        <v>0</v>
      </c>
      <c r="FE430" s="91">
        <f t="shared" si="2114"/>
        <v>0</v>
      </c>
      <c r="FF430" s="91">
        <f t="shared" si="2115"/>
        <v>0</v>
      </c>
      <c r="FU430" s="91">
        <f t="shared" si="2116"/>
        <v>0</v>
      </c>
      <c r="FV430" s="91">
        <f t="shared" si="2117"/>
        <v>0</v>
      </c>
      <c r="GK430" s="91">
        <f t="shared" si="2118"/>
        <v>0</v>
      </c>
      <c r="GL430" s="91">
        <f t="shared" si="2119"/>
        <v>0</v>
      </c>
      <c r="HA430" s="91">
        <f t="shared" si="2120"/>
        <v>0</v>
      </c>
      <c r="HB430" s="91">
        <f t="shared" si="2121"/>
        <v>0</v>
      </c>
      <c r="HQ430" s="91">
        <f t="shared" si="2122"/>
        <v>0</v>
      </c>
      <c r="HR430" s="91">
        <f t="shared" si="2123"/>
        <v>0</v>
      </c>
      <c r="IG430" s="91">
        <f t="shared" si="2124"/>
        <v>0</v>
      </c>
      <c r="IH430" s="91">
        <f t="shared" si="2125"/>
        <v>0</v>
      </c>
      <c r="IW430" s="91">
        <f t="shared" si="2126"/>
        <v>0</v>
      </c>
      <c r="IX430" s="91">
        <f t="shared" si="2127"/>
        <v>0</v>
      </c>
      <c r="JM430" s="91">
        <f t="shared" si="2128"/>
        <v>0</v>
      </c>
      <c r="JN430" s="91">
        <f t="shared" si="2129"/>
        <v>0</v>
      </c>
      <c r="KC430" s="91">
        <f t="shared" si="2130"/>
        <v>0</v>
      </c>
      <c r="KD430" s="91">
        <f t="shared" si="2131"/>
        <v>0</v>
      </c>
      <c r="KS430" s="91">
        <f t="shared" si="2132"/>
        <v>0</v>
      </c>
      <c r="KT430" s="91">
        <f t="shared" si="2133"/>
        <v>0</v>
      </c>
      <c r="LI430" s="91">
        <f t="shared" si="2134"/>
        <v>0</v>
      </c>
      <c r="LJ430" s="91">
        <f t="shared" si="2135"/>
        <v>0</v>
      </c>
      <c r="LY430" s="91">
        <f t="shared" si="2136"/>
        <v>0</v>
      </c>
      <c r="LZ430" s="91">
        <f t="shared" si="2137"/>
        <v>0</v>
      </c>
      <c r="MO430" s="91">
        <f t="shared" si="2138"/>
        <v>0</v>
      </c>
      <c r="MP430" s="91">
        <f t="shared" si="2139"/>
        <v>0</v>
      </c>
      <c r="NE430" s="91">
        <f t="shared" si="2140"/>
        <v>0</v>
      </c>
      <c r="NF430" s="91">
        <f t="shared" si="2141"/>
        <v>0</v>
      </c>
      <c r="NU430" s="91">
        <f t="shared" si="2142"/>
        <v>0</v>
      </c>
      <c r="NV430" s="91">
        <f t="shared" si="2143"/>
        <v>0</v>
      </c>
      <c r="OK430" s="91">
        <f t="shared" si="2144"/>
        <v>0</v>
      </c>
      <c r="OL430" s="91">
        <f t="shared" si="2145"/>
        <v>0</v>
      </c>
      <c r="PA430" s="91">
        <f t="shared" si="2146"/>
        <v>0</v>
      </c>
      <c r="PB430" s="91">
        <f t="shared" si="2147"/>
        <v>0</v>
      </c>
      <c r="PQ430" s="91">
        <f t="shared" si="2148"/>
        <v>0</v>
      </c>
      <c r="PR430" s="91">
        <f t="shared" si="2149"/>
        <v>0</v>
      </c>
      <c r="QG430" s="91">
        <f t="shared" si="2150"/>
        <v>0</v>
      </c>
      <c r="QH430" s="91">
        <f t="shared" si="2151"/>
        <v>0</v>
      </c>
      <c r="QW430" s="91">
        <f t="shared" si="2152"/>
        <v>0</v>
      </c>
      <c r="QX430" s="91">
        <f t="shared" si="2153"/>
        <v>0</v>
      </c>
      <c r="RM430" s="91">
        <f t="shared" si="2154"/>
        <v>0</v>
      </c>
      <c r="RN430" s="91">
        <f t="shared" si="2155"/>
        <v>0</v>
      </c>
      <c r="SC430" s="91">
        <f t="shared" si="2156"/>
        <v>0</v>
      </c>
      <c r="SD430" s="91">
        <f t="shared" si="2157"/>
        <v>0</v>
      </c>
      <c r="SS430" s="91">
        <f t="shared" si="2158"/>
        <v>0</v>
      </c>
      <c r="ST430" s="91">
        <f t="shared" si="2159"/>
        <v>0</v>
      </c>
      <c r="TI430" s="91">
        <f t="shared" si="2160"/>
        <v>0</v>
      </c>
      <c r="TJ430" s="91">
        <f t="shared" si="2161"/>
        <v>0</v>
      </c>
      <c r="TY430" s="91">
        <f t="shared" si="2162"/>
        <v>0</v>
      </c>
      <c r="TZ430" s="91">
        <f t="shared" si="2163"/>
        <v>0</v>
      </c>
      <c r="UO430" s="91">
        <f t="shared" si="2164"/>
        <v>0</v>
      </c>
      <c r="UP430" s="91">
        <f t="shared" si="2207"/>
        <v>0</v>
      </c>
      <c r="VE430" s="91">
        <f t="shared" si="2166"/>
        <v>0</v>
      </c>
      <c r="VF430" s="91">
        <f t="shared" si="2167"/>
        <v>0</v>
      </c>
      <c r="VU430" s="91">
        <f t="shared" si="2168"/>
        <v>0</v>
      </c>
      <c r="VV430" s="91">
        <f t="shared" si="2169"/>
        <v>0</v>
      </c>
      <c r="WK430" s="91">
        <f t="shared" si="2170"/>
        <v>0</v>
      </c>
      <c r="WL430" s="91">
        <f t="shared" si="2171"/>
        <v>0</v>
      </c>
      <c r="WM430" s="89"/>
      <c r="WN430" s="87">
        <f t="shared" si="2195"/>
        <v>0</v>
      </c>
      <c r="WO430" s="87">
        <f t="shared" si="2196"/>
        <v>0</v>
      </c>
      <c r="WP430" s="87">
        <f t="shared" si="2197"/>
        <v>0</v>
      </c>
      <c r="WQ430" s="87">
        <f t="shared" si="2198"/>
        <v>0</v>
      </c>
      <c r="WR430" s="87">
        <f t="shared" si="2199"/>
        <v>0</v>
      </c>
      <c r="WS430" s="87">
        <f t="shared" si="2200"/>
        <v>0</v>
      </c>
      <c r="WT430" s="87">
        <f t="shared" si="2201"/>
        <v>0</v>
      </c>
      <c r="WU430" s="87">
        <f t="shared" si="2202"/>
        <v>0</v>
      </c>
      <c r="WV430" s="87">
        <f t="shared" si="2203"/>
        <v>0</v>
      </c>
      <c r="WW430" s="87">
        <f t="shared" si="2204"/>
        <v>0</v>
      </c>
      <c r="WX430" s="87">
        <f t="shared" si="2205"/>
        <v>0</v>
      </c>
      <c r="WY430" s="87">
        <f t="shared" si="2206"/>
        <v>0</v>
      </c>
      <c r="WZ430" s="87">
        <f t="shared" si="2190"/>
        <v>0</v>
      </c>
      <c r="XA430" s="87">
        <f t="shared" si="2191"/>
        <v>0</v>
      </c>
      <c r="XB430" s="92">
        <f t="shared" si="2192"/>
        <v>0</v>
      </c>
      <c r="XC430" s="92">
        <f t="shared" si="2193"/>
        <v>0</v>
      </c>
      <c r="XD430" s="89"/>
      <c r="XE430" s="92"/>
      <c r="XF430" s="92"/>
      <c r="XG430" s="89"/>
      <c r="XH430" s="92"/>
      <c r="XI430" s="92"/>
      <c r="XJ430" s="89"/>
      <c r="XK430" s="87"/>
      <c r="XL430" s="87"/>
      <c r="XM430" s="87"/>
      <c r="XN430" s="87"/>
      <c r="XO430" s="87"/>
      <c r="XP430" s="87"/>
      <c r="XQ430" s="87"/>
      <c r="XR430" s="92">
        <f t="shared" ca="1" si="2188"/>
        <v>0</v>
      </c>
      <c r="XS430" s="89"/>
      <c r="XT430" s="87"/>
      <c r="XU430" s="87"/>
      <c r="XV430" s="87"/>
      <c r="XW430" s="87"/>
      <c r="XX430" s="87"/>
      <c r="XY430" s="87"/>
      <c r="XZ430" s="87"/>
      <c r="YA430" s="92">
        <f t="shared" ca="1" si="2189"/>
        <v>0</v>
      </c>
      <c r="YB430" s="90"/>
      <c r="YC430" s="90"/>
      <c r="YD430" s="90"/>
      <c r="YE430" s="90"/>
      <c r="YF430" s="90"/>
      <c r="YG430" s="90"/>
      <c r="YH430" s="90"/>
      <c r="YI430" s="90"/>
      <c r="YJ430" s="90"/>
      <c r="YK430" s="90"/>
      <c r="YL430" s="90"/>
      <c r="YM430" s="90"/>
      <c r="YN430" s="90"/>
      <c r="YO430" s="90"/>
      <c r="YP430" s="90"/>
      <c r="YQ430" s="90"/>
      <c r="YR430" s="90"/>
      <c r="YS430" s="90"/>
      <c r="YT430" s="90"/>
      <c r="YU430" s="90"/>
      <c r="YV430" s="90"/>
      <c r="YW430" s="90"/>
      <c r="YX430" s="90"/>
      <c r="YY430" s="90"/>
      <c r="YZ430" s="90"/>
      <c r="ZA430" s="90"/>
      <c r="ZB430" s="90"/>
      <c r="ZC430" s="90"/>
      <c r="ZD430" s="90"/>
      <c r="ZE430" s="90"/>
      <c r="ZF430" s="90"/>
      <c r="ZG430" s="90"/>
      <c r="ZH430" s="90"/>
      <c r="ZI430" s="90"/>
      <c r="ZJ430" s="90"/>
      <c r="ZK430" s="90"/>
      <c r="ZL430" s="90"/>
      <c r="ZM430" s="90"/>
      <c r="ZN430" s="90"/>
      <c r="ZO430" s="90"/>
      <c r="ZP430" s="90"/>
      <c r="ZQ430" s="90"/>
      <c r="ZR430" s="90"/>
      <c r="ZS430" s="90"/>
      <c r="ZT430" s="90"/>
      <c r="ZU430" s="90"/>
      <c r="ZV430" s="90"/>
      <c r="ZW430" s="90"/>
      <c r="ZX430" s="90"/>
      <c r="ZY430" s="90"/>
      <c r="ZZ430" s="90"/>
      <c r="AAA430" s="90"/>
      <c r="AAB430" s="90"/>
      <c r="AAC430" s="90"/>
      <c r="AAD430" s="90"/>
      <c r="AAE430" s="90"/>
      <c r="AAF430" s="90"/>
      <c r="AAG430" s="90"/>
      <c r="AAH430" s="90"/>
      <c r="AAI430" s="90"/>
      <c r="AAJ430" s="90"/>
      <c r="AAK430" s="90"/>
      <c r="AAL430" s="90"/>
      <c r="AAM430" s="90"/>
      <c r="AAN430" s="90"/>
      <c r="AAO430" s="90"/>
      <c r="AAP430" s="90"/>
      <c r="AAQ430" s="90"/>
      <c r="AAR430" s="90"/>
      <c r="AAS430" s="90"/>
      <c r="AAT430" s="90"/>
      <c r="AAU430" s="90"/>
      <c r="AAV430" s="90"/>
      <c r="AAW430" s="90"/>
      <c r="AAX430" s="90"/>
      <c r="AAY430" s="90"/>
      <c r="AAZ430" s="90"/>
      <c r="ABA430" s="90"/>
      <c r="ABB430" s="90"/>
      <c r="ABC430" s="90"/>
      <c r="ABD430" s="90"/>
      <c r="ABE430" s="90"/>
      <c r="ABF430" s="90"/>
      <c r="ABG430" s="90"/>
      <c r="ABH430" s="90"/>
      <c r="ABI430" s="90"/>
      <c r="ABJ430" s="90"/>
      <c r="ABK430" s="90"/>
      <c r="ABL430" s="90"/>
      <c r="ABM430" s="90"/>
      <c r="ABN430" s="90"/>
      <c r="ABO430" s="90"/>
      <c r="ABP430" s="90"/>
      <c r="ABQ430" s="90"/>
      <c r="ABR430" s="90"/>
      <c r="ABS430" s="90"/>
      <c r="ABT430" s="90"/>
      <c r="ABU430" s="90"/>
      <c r="ABV430" s="90"/>
      <c r="ABW430" s="90"/>
      <c r="ABX430" s="90"/>
      <c r="ABY430" s="90"/>
      <c r="ABZ430" s="90"/>
      <c r="ACA430" s="90"/>
      <c r="ACB430" s="90"/>
      <c r="ACC430" s="90"/>
      <c r="ACD430" s="90"/>
      <c r="ACE430" s="90"/>
      <c r="ACF430" s="90"/>
      <c r="ACG430" s="90"/>
      <c r="ACH430" s="90"/>
      <c r="ACI430" s="90"/>
      <c r="ACJ430" s="90"/>
      <c r="ACK430" s="90"/>
      <c r="ACL430" s="90"/>
      <c r="ACM430" s="90"/>
      <c r="ACN430" s="90"/>
      <c r="ACO430" s="90"/>
      <c r="ACP430" s="90"/>
      <c r="ACQ430" s="90"/>
      <c r="ACR430" s="90"/>
      <c r="ACS430" s="90"/>
      <c r="ACT430" s="90"/>
      <c r="ACU430" s="90"/>
      <c r="ACV430" s="90"/>
      <c r="ACW430" s="90"/>
      <c r="ACX430" s="90"/>
      <c r="ACY430" s="90"/>
      <c r="ACZ430" s="90"/>
      <c r="ADA430" s="90"/>
      <c r="ADB430" s="90"/>
      <c r="ADC430" s="90"/>
      <c r="ADD430" s="90"/>
      <c r="ADE430" s="90"/>
      <c r="ADF430" s="90"/>
      <c r="ADG430" s="90"/>
      <c r="ADH430" s="90"/>
      <c r="ADI430" s="90"/>
      <c r="ADJ430" s="90"/>
      <c r="ADK430" s="90"/>
      <c r="ADL430" s="90"/>
      <c r="ADM430" s="90"/>
      <c r="ADN430" s="90"/>
      <c r="ADO430" s="90"/>
      <c r="ADP430" s="90"/>
      <c r="ADQ430" s="90"/>
      <c r="ADR430" s="90"/>
      <c r="ADS430" s="90"/>
      <c r="ADT430" s="90"/>
      <c r="ADU430" s="90"/>
      <c r="ADV430" s="90"/>
      <c r="ADW430" s="90"/>
      <c r="ADX430" s="90"/>
      <c r="ADY430" s="90"/>
      <c r="ADZ430" s="90"/>
      <c r="AEA430" s="90"/>
      <c r="AEB430" s="90"/>
      <c r="AEC430" s="90"/>
      <c r="AED430" s="90"/>
      <c r="AEE430" s="90"/>
      <c r="AEF430" s="90"/>
      <c r="AEG430" s="90"/>
      <c r="AEH430" s="90"/>
      <c r="AEI430" s="90"/>
      <c r="AEJ430" s="90"/>
      <c r="AEK430" s="90"/>
      <c r="AEL430" s="90"/>
      <c r="AEM430" s="90"/>
      <c r="AEN430" s="90"/>
      <c r="AEO430" s="90"/>
      <c r="AEP430" s="90"/>
      <c r="AEQ430" s="90"/>
      <c r="AER430" s="90"/>
      <c r="AES430" s="90"/>
      <c r="AET430" s="90"/>
      <c r="AEU430" s="90"/>
      <c r="AEV430" s="90"/>
      <c r="AEW430" s="90"/>
      <c r="AEX430" s="90"/>
      <c r="AEY430" s="90"/>
      <c r="AEZ430" s="90"/>
      <c r="AFA430" s="90"/>
      <c r="AFB430" s="90"/>
      <c r="AFC430" s="90"/>
      <c r="AFD430" s="90"/>
      <c r="AFE430" s="90"/>
      <c r="AFF430" s="90"/>
      <c r="AFG430" s="90"/>
      <c r="AFH430" s="90"/>
      <c r="AFI430" s="90"/>
      <c r="AFJ430" s="90"/>
      <c r="AFK430" s="90"/>
      <c r="AFL430" s="90"/>
      <c r="AFM430" s="90"/>
      <c r="AFN430" s="90"/>
      <c r="AFO430" s="90"/>
      <c r="AFP430" s="90"/>
      <c r="AFQ430" s="90"/>
      <c r="AFR430" s="90"/>
      <c r="AFS430" s="90"/>
      <c r="AFT430" s="90"/>
      <c r="AFU430" s="90"/>
      <c r="AFV430" s="90"/>
      <c r="AFW430" s="90"/>
      <c r="AFX430" s="90"/>
      <c r="AFY430" s="90"/>
      <c r="AFZ430" s="90"/>
      <c r="AGA430" s="90"/>
      <c r="AGB430" s="90"/>
      <c r="AGC430" s="90"/>
      <c r="AGD430" s="90"/>
      <c r="AGE430" s="90"/>
      <c r="AGF430" s="90"/>
      <c r="AGG430" s="90"/>
      <c r="AGH430" s="90"/>
      <c r="AGI430" s="90"/>
      <c r="AGJ430" s="90"/>
      <c r="AGK430" s="90"/>
      <c r="AGL430" s="90"/>
      <c r="AGM430" s="90"/>
      <c r="AGN430" s="90"/>
      <c r="AGO430" s="90"/>
      <c r="AGP430" s="90"/>
      <c r="AGQ430" s="90"/>
      <c r="AGR430" s="90"/>
      <c r="AGS430" s="90"/>
      <c r="AGT430" s="90"/>
      <c r="AGU430" s="90"/>
      <c r="AGV430" s="90"/>
      <c r="AGW430" s="90"/>
      <c r="AGX430" s="90"/>
      <c r="AGY430" s="90"/>
      <c r="AGZ430" s="90"/>
      <c r="AHA430" s="90"/>
      <c r="AHB430" s="90"/>
      <c r="AHC430" s="90"/>
      <c r="AHD430" s="90"/>
      <c r="AHE430" s="90"/>
      <c r="AHF430" s="90"/>
      <c r="AHG430" s="90"/>
      <c r="AHH430" s="90"/>
      <c r="AHI430" s="90"/>
      <c r="AHJ430" s="90"/>
      <c r="AHK430" s="90"/>
      <c r="AHL430" s="90"/>
      <c r="AHM430" s="90"/>
      <c r="AHN430" s="90"/>
      <c r="AHO430" s="90"/>
      <c r="AHP430" s="90"/>
      <c r="AHQ430" s="90"/>
      <c r="AHR430" s="90"/>
      <c r="AHS430" s="90"/>
      <c r="AHT430" s="90"/>
      <c r="AHU430" s="90"/>
      <c r="AHV430" s="90"/>
      <c r="AHW430" s="90"/>
      <c r="AHX430" s="90"/>
      <c r="AHY430" s="90"/>
      <c r="AHZ430" s="90"/>
      <c r="AIA430" s="90"/>
      <c r="AIB430" s="90"/>
      <c r="AIC430" s="90"/>
      <c r="AID430" s="90"/>
      <c r="AIE430" s="90"/>
      <c r="AIF430" s="90"/>
      <c r="AIG430" s="90"/>
      <c r="AIH430" s="90"/>
      <c r="AII430" s="90"/>
      <c r="AIJ430" s="90"/>
      <c r="AIK430" s="90"/>
      <c r="AIL430" s="90"/>
      <c r="AIM430" s="90"/>
      <c r="AIN430" s="90"/>
      <c r="AIO430" s="90"/>
      <c r="AIP430" s="90"/>
      <c r="AIQ430" s="90"/>
      <c r="AIR430" s="90"/>
      <c r="AIS430" s="90"/>
      <c r="AIT430" s="90"/>
      <c r="AIU430" s="90"/>
      <c r="AIV430" s="90"/>
      <c r="AIW430" s="90"/>
      <c r="AIX430" s="90"/>
      <c r="AIY430" s="90"/>
      <c r="AIZ430" s="90"/>
      <c r="AJA430" s="90"/>
      <c r="AJB430" s="90"/>
      <c r="AJC430" s="90"/>
      <c r="AJD430" s="90"/>
      <c r="AJE430" s="90"/>
      <c r="AJF430" s="90"/>
      <c r="AJG430" s="90"/>
      <c r="AJH430" s="90"/>
      <c r="AJI430" s="90"/>
      <c r="AJJ430" s="90"/>
      <c r="AJK430" s="90"/>
      <c r="AJL430" s="90"/>
      <c r="AJM430" s="90"/>
      <c r="AJN430" s="90"/>
      <c r="AJO430" s="90"/>
      <c r="AJP430" s="90"/>
      <c r="AJQ430" s="90"/>
      <c r="AJR430" s="90"/>
      <c r="AJS430" s="90"/>
      <c r="AJT430" s="90"/>
      <c r="AJU430" s="90"/>
      <c r="AJV430" s="90"/>
      <c r="AJW430" s="90"/>
      <c r="AJX430" s="90"/>
      <c r="AJY430" s="90"/>
      <c r="AJZ430" s="90"/>
      <c r="AKA430" s="90"/>
      <c r="AKB430" s="90"/>
      <c r="AKC430" s="90"/>
      <c r="AKD430" s="90"/>
      <c r="AKE430" s="90"/>
      <c r="AKF430" s="90"/>
      <c r="AKG430" s="90"/>
      <c r="AKH430" s="90"/>
      <c r="AKI430" s="90"/>
      <c r="AKJ430" s="90"/>
      <c r="AKK430" s="90"/>
      <c r="AKL430" s="90"/>
      <c r="AKM430" s="90"/>
      <c r="AKN430" s="90"/>
      <c r="AKO430" s="90"/>
      <c r="AKP430" s="90"/>
      <c r="AKQ430" s="90"/>
      <c r="AKR430" s="90"/>
      <c r="AKS430" s="90"/>
      <c r="AKT430" s="90"/>
      <c r="AKU430" s="90"/>
      <c r="AKV430" s="90"/>
      <c r="AKW430" s="90"/>
      <c r="AKX430" s="90"/>
      <c r="AKY430" s="90"/>
      <c r="AKZ430" s="90"/>
      <c r="ALA430" s="90"/>
      <c r="ALB430" s="90"/>
      <c r="ALC430" s="90"/>
      <c r="ALD430" s="90"/>
      <c r="ALE430" s="90"/>
      <c r="ALF430" s="90"/>
      <c r="ALG430" s="90"/>
      <c r="ALH430" s="90"/>
      <c r="ALI430" s="90"/>
      <c r="ALJ430" s="90"/>
      <c r="ALK430" s="90"/>
      <c r="ALL430" s="90"/>
      <c r="ALM430" s="90"/>
      <c r="ALN430" s="90"/>
      <c r="ALO430" s="90"/>
      <c r="ALP430" s="90"/>
      <c r="ALQ430" s="90"/>
      <c r="ALR430" s="90"/>
      <c r="ALS430" s="90"/>
      <c r="ALT430" s="90"/>
      <c r="ALU430" s="90"/>
      <c r="ALV430" s="90"/>
      <c r="ALW430" s="90"/>
      <c r="ALX430" s="90"/>
      <c r="ALY430" s="90"/>
      <c r="ALZ430" s="90"/>
      <c r="AMA430" s="90"/>
      <c r="AMB430" s="90"/>
      <c r="AMC430" s="90"/>
    </row>
    <row r="431" spans="1:1017" s="100" customFormat="1">
      <c r="A431" s="100">
        <v>12</v>
      </c>
      <c r="B431" s="100" t="s">
        <v>64</v>
      </c>
      <c r="C431" s="100">
        <f t="shared" ref="C431:R431" si="2208">SUM(C432:C468)</f>
        <v>0</v>
      </c>
      <c r="D431" s="100">
        <f t="shared" si="2208"/>
        <v>0</v>
      </c>
      <c r="E431" s="100">
        <f t="shared" si="2208"/>
        <v>2886000</v>
      </c>
      <c r="F431" s="100">
        <f t="shared" si="2208"/>
        <v>135059540</v>
      </c>
      <c r="G431" s="100">
        <f t="shared" si="2208"/>
        <v>0</v>
      </c>
      <c r="H431" s="100">
        <f t="shared" si="2208"/>
        <v>0</v>
      </c>
      <c r="I431" s="100">
        <f t="shared" si="2208"/>
        <v>93100</v>
      </c>
      <c r="J431" s="100">
        <f t="shared" si="2208"/>
        <v>2092000</v>
      </c>
      <c r="K431" s="100">
        <f t="shared" si="2208"/>
        <v>0</v>
      </c>
      <c r="L431" s="100">
        <f t="shared" si="2208"/>
        <v>0</v>
      </c>
      <c r="M431" s="100">
        <f t="shared" si="2208"/>
        <v>800</v>
      </c>
      <c r="N431" s="100">
        <f t="shared" si="2208"/>
        <v>16000</v>
      </c>
      <c r="O431" s="100">
        <f t="shared" si="2208"/>
        <v>0</v>
      </c>
      <c r="P431" s="100">
        <f t="shared" si="2208"/>
        <v>0</v>
      </c>
      <c r="Q431" s="728">
        <f t="shared" si="2208"/>
        <v>2979900</v>
      </c>
      <c r="R431" s="728">
        <f t="shared" si="2208"/>
        <v>137167540</v>
      </c>
      <c r="S431" s="100">
        <f t="shared" ref="S431:CD431" si="2209">SUM(S432:S468)</f>
        <v>3140</v>
      </c>
      <c r="T431" s="100">
        <f t="shared" si="2209"/>
        <v>395350</v>
      </c>
      <c r="U431" s="100">
        <f t="shared" si="2209"/>
        <v>1717675</v>
      </c>
      <c r="V431" s="100">
        <f t="shared" si="2209"/>
        <v>85767450</v>
      </c>
      <c r="W431" s="100">
        <f t="shared" si="2209"/>
        <v>0</v>
      </c>
      <c r="X431" s="100">
        <f t="shared" si="2209"/>
        <v>0</v>
      </c>
      <c r="Y431" s="100">
        <f t="shared" si="2209"/>
        <v>940215</v>
      </c>
      <c r="Z431" s="100">
        <f t="shared" si="2209"/>
        <v>19211795</v>
      </c>
      <c r="AA431" s="100">
        <f t="shared" si="2209"/>
        <v>5415</v>
      </c>
      <c r="AB431" s="100">
        <f t="shared" si="2209"/>
        <v>149475</v>
      </c>
      <c r="AC431" s="100">
        <f t="shared" si="2209"/>
        <v>4900</v>
      </c>
      <c r="AD431" s="100">
        <f t="shared" si="2209"/>
        <v>136175</v>
      </c>
      <c r="AE431" s="100">
        <f t="shared" si="2209"/>
        <v>2035</v>
      </c>
      <c r="AF431" s="100">
        <f t="shared" si="2209"/>
        <v>42875</v>
      </c>
      <c r="AG431" s="728">
        <f t="shared" si="2209"/>
        <v>2673380</v>
      </c>
      <c r="AH431" s="728">
        <f t="shared" si="2209"/>
        <v>105703120</v>
      </c>
      <c r="AI431" s="100">
        <f t="shared" si="2209"/>
        <v>0</v>
      </c>
      <c r="AJ431" s="100">
        <f t="shared" si="2209"/>
        <v>0</v>
      </c>
      <c r="AK431" s="100">
        <f t="shared" si="2209"/>
        <v>36600</v>
      </c>
      <c r="AL431" s="100">
        <f t="shared" si="2209"/>
        <v>2379000</v>
      </c>
      <c r="AM431" s="100">
        <f t="shared" si="2209"/>
        <v>0</v>
      </c>
      <c r="AN431" s="100">
        <f t="shared" si="2209"/>
        <v>0</v>
      </c>
      <c r="AO431" s="100">
        <f t="shared" si="2209"/>
        <v>1621800</v>
      </c>
      <c r="AP431" s="100">
        <f t="shared" si="2209"/>
        <v>37079400</v>
      </c>
      <c r="AQ431" s="100">
        <f t="shared" si="2209"/>
        <v>100</v>
      </c>
      <c r="AR431" s="100">
        <f t="shared" si="2209"/>
        <v>2400</v>
      </c>
      <c r="AS431" s="100">
        <f t="shared" si="2209"/>
        <v>0</v>
      </c>
      <c r="AT431" s="100">
        <f t="shared" si="2209"/>
        <v>0</v>
      </c>
      <c r="AU431" s="100">
        <f t="shared" si="2209"/>
        <v>1770</v>
      </c>
      <c r="AV431" s="100">
        <f t="shared" si="2209"/>
        <v>42480</v>
      </c>
      <c r="AW431" s="728">
        <f t="shared" si="2209"/>
        <v>1660270</v>
      </c>
      <c r="AX431" s="728">
        <f t="shared" si="2209"/>
        <v>39503280</v>
      </c>
      <c r="AY431" s="100">
        <f t="shared" si="2209"/>
        <v>0</v>
      </c>
      <c r="AZ431" s="100">
        <f t="shared" si="2209"/>
        <v>0</v>
      </c>
      <c r="BA431" s="100">
        <f t="shared" si="2209"/>
        <v>0</v>
      </c>
      <c r="BB431" s="100">
        <f t="shared" si="2209"/>
        <v>0</v>
      </c>
      <c r="BC431" s="100">
        <f t="shared" si="2209"/>
        <v>0</v>
      </c>
      <c r="BD431" s="100">
        <f t="shared" si="2209"/>
        <v>0</v>
      </c>
      <c r="BE431" s="100">
        <f t="shared" si="2209"/>
        <v>508669</v>
      </c>
      <c r="BF431" s="100">
        <f t="shared" si="2209"/>
        <v>10011381</v>
      </c>
      <c r="BG431" s="100">
        <f t="shared" si="2209"/>
        <v>1117</v>
      </c>
      <c r="BH431" s="100">
        <f t="shared" si="2209"/>
        <v>25495</v>
      </c>
      <c r="BI431" s="100">
        <f t="shared" si="2209"/>
        <v>0</v>
      </c>
      <c r="BJ431" s="100">
        <f t="shared" si="2209"/>
        <v>0</v>
      </c>
      <c r="BK431" s="100">
        <f t="shared" si="2209"/>
        <v>4566</v>
      </c>
      <c r="BL431" s="100">
        <f t="shared" si="2209"/>
        <v>73024</v>
      </c>
      <c r="BM431" s="728">
        <f t="shared" si="2209"/>
        <v>514352</v>
      </c>
      <c r="BN431" s="728">
        <f t="shared" si="2209"/>
        <v>10109900</v>
      </c>
      <c r="BO431" s="100">
        <f t="shared" si="2209"/>
        <v>0</v>
      </c>
      <c r="BP431" s="100">
        <f t="shared" si="2209"/>
        <v>0</v>
      </c>
      <c r="BQ431" s="100">
        <f t="shared" si="2209"/>
        <v>0</v>
      </c>
      <c r="BR431" s="100">
        <f t="shared" si="2209"/>
        <v>0</v>
      </c>
      <c r="BS431" s="100">
        <f t="shared" si="2209"/>
        <v>0</v>
      </c>
      <c r="BT431" s="100">
        <f t="shared" si="2209"/>
        <v>0</v>
      </c>
      <c r="BU431" s="100">
        <f t="shared" si="2209"/>
        <v>78508</v>
      </c>
      <c r="BV431" s="100">
        <f t="shared" si="2209"/>
        <v>1699344</v>
      </c>
      <c r="BW431" s="100">
        <f t="shared" si="2209"/>
        <v>0</v>
      </c>
      <c r="BX431" s="100">
        <f t="shared" si="2209"/>
        <v>0</v>
      </c>
      <c r="BY431" s="100">
        <f t="shared" si="2209"/>
        <v>0</v>
      </c>
      <c r="BZ431" s="100">
        <f t="shared" si="2209"/>
        <v>0</v>
      </c>
      <c r="CA431" s="100">
        <f t="shared" si="2209"/>
        <v>0</v>
      </c>
      <c r="CB431" s="100">
        <f t="shared" si="2209"/>
        <v>0</v>
      </c>
      <c r="CC431" s="728">
        <f t="shared" si="2209"/>
        <v>78508</v>
      </c>
      <c r="CD431" s="728">
        <f t="shared" si="2209"/>
        <v>1699344</v>
      </c>
      <c r="CE431" s="100">
        <f t="shared" ref="CE431:EP431" si="2210">SUM(CE432:CE468)</f>
        <v>1591252.5868800001</v>
      </c>
      <c r="CF431" s="100">
        <f t="shared" si="2210"/>
        <v>6365010</v>
      </c>
      <c r="CG431" s="100">
        <f t="shared" si="2210"/>
        <v>6258431.5559419347</v>
      </c>
      <c r="CH431" s="100">
        <f t="shared" si="2210"/>
        <v>175700609</v>
      </c>
      <c r="CI431" s="100">
        <f t="shared" si="2210"/>
        <v>0</v>
      </c>
      <c r="CJ431" s="100">
        <f t="shared" si="2210"/>
        <v>0</v>
      </c>
      <c r="CK431" s="100">
        <f t="shared" si="2210"/>
        <v>4194035.6333208461</v>
      </c>
      <c r="CL431" s="100">
        <f t="shared" si="2210"/>
        <v>83423824.505646244</v>
      </c>
      <c r="CM431" s="100">
        <f t="shared" si="2210"/>
        <v>0</v>
      </c>
      <c r="CN431" s="100">
        <f t="shared" si="2210"/>
        <v>0</v>
      </c>
      <c r="CO431" s="100">
        <f t="shared" si="2210"/>
        <v>0</v>
      </c>
      <c r="CP431" s="100">
        <f t="shared" si="2210"/>
        <v>0</v>
      </c>
      <c r="CQ431" s="100">
        <f t="shared" si="2210"/>
        <v>0</v>
      </c>
      <c r="CR431" s="100">
        <f t="shared" si="2210"/>
        <v>0</v>
      </c>
      <c r="CS431" s="728">
        <f t="shared" si="2210"/>
        <v>12043719.77614278</v>
      </c>
      <c r="CT431" s="728">
        <f t="shared" si="2210"/>
        <v>265489443.50564623</v>
      </c>
      <c r="CU431" s="100">
        <f t="shared" si="2210"/>
        <v>0</v>
      </c>
      <c r="CV431" s="100">
        <f t="shared" si="2210"/>
        <v>0</v>
      </c>
      <c r="CW431" s="100">
        <f t="shared" si="2210"/>
        <v>458254.99956095772</v>
      </c>
      <c r="CX431" s="100">
        <f t="shared" si="2210"/>
        <v>25030425.137000002</v>
      </c>
      <c r="CY431" s="100">
        <f t="shared" si="2210"/>
        <v>0</v>
      </c>
      <c r="CZ431" s="100">
        <f t="shared" si="2210"/>
        <v>0</v>
      </c>
      <c r="DA431" s="100">
        <f t="shared" si="2210"/>
        <v>1300540</v>
      </c>
      <c r="DB431" s="100">
        <f t="shared" si="2210"/>
        <v>28090647.5</v>
      </c>
      <c r="DC431" s="100">
        <f t="shared" si="2210"/>
        <v>4408</v>
      </c>
      <c r="DD431" s="100">
        <f t="shared" si="2210"/>
        <v>110200</v>
      </c>
      <c r="DE431" s="100">
        <f t="shared" si="2210"/>
        <v>0</v>
      </c>
      <c r="DF431" s="100">
        <f t="shared" si="2210"/>
        <v>0</v>
      </c>
      <c r="DG431" s="100">
        <f t="shared" si="2210"/>
        <v>0</v>
      </c>
      <c r="DH431" s="100">
        <f t="shared" si="2210"/>
        <v>0</v>
      </c>
      <c r="DI431" s="728">
        <f t="shared" si="2210"/>
        <v>1763202.9995609578</v>
      </c>
      <c r="DJ431" s="728">
        <f t="shared" si="2210"/>
        <v>53231272.637000002</v>
      </c>
      <c r="DK431" s="100">
        <f t="shared" si="2210"/>
        <v>0</v>
      </c>
      <c r="DL431" s="100">
        <f t="shared" si="2210"/>
        <v>0</v>
      </c>
      <c r="DM431" s="100">
        <f t="shared" si="2210"/>
        <v>0</v>
      </c>
      <c r="DN431" s="100">
        <f t="shared" si="2210"/>
        <v>0</v>
      </c>
      <c r="DO431" s="100">
        <f t="shared" si="2210"/>
        <v>0</v>
      </c>
      <c r="DP431" s="100">
        <f t="shared" si="2210"/>
        <v>0</v>
      </c>
      <c r="DQ431" s="100">
        <f t="shared" si="2210"/>
        <v>1292700</v>
      </c>
      <c r="DR431" s="100">
        <f t="shared" si="2210"/>
        <v>25059950</v>
      </c>
      <c r="DS431" s="100">
        <f t="shared" si="2210"/>
        <v>0</v>
      </c>
      <c r="DT431" s="100">
        <f t="shared" si="2210"/>
        <v>0</v>
      </c>
      <c r="DU431" s="100">
        <f t="shared" si="2210"/>
        <v>0</v>
      </c>
      <c r="DV431" s="100">
        <f t="shared" si="2210"/>
        <v>0</v>
      </c>
      <c r="DW431" s="100">
        <f t="shared" si="2210"/>
        <v>0</v>
      </c>
      <c r="DX431" s="100">
        <f t="shared" si="2210"/>
        <v>0</v>
      </c>
      <c r="DY431" s="728">
        <f t="shared" si="2210"/>
        <v>1292700</v>
      </c>
      <c r="DZ431" s="728">
        <f t="shared" si="2210"/>
        <v>25059950</v>
      </c>
      <c r="EA431" s="100">
        <f t="shared" si="2210"/>
        <v>0</v>
      </c>
      <c r="EB431" s="100">
        <f t="shared" si="2210"/>
        <v>0</v>
      </c>
      <c r="EC431" s="100">
        <f t="shared" si="2210"/>
        <v>0</v>
      </c>
      <c r="ED431" s="100">
        <f t="shared" si="2210"/>
        <v>0</v>
      </c>
      <c r="EE431" s="100">
        <f t="shared" si="2210"/>
        <v>0</v>
      </c>
      <c r="EF431" s="100">
        <f t="shared" si="2210"/>
        <v>0</v>
      </c>
      <c r="EG431" s="100">
        <f t="shared" si="2210"/>
        <v>2118580</v>
      </c>
      <c r="EH431" s="100">
        <f t="shared" si="2210"/>
        <v>41253080</v>
      </c>
      <c r="EI431" s="100">
        <f t="shared" si="2210"/>
        <v>0</v>
      </c>
      <c r="EJ431" s="100">
        <f t="shared" si="2210"/>
        <v>0</v>
      </c>
      <c r="EK431" s="100">
        <f t="shared" si="2210"/>
        <v>0</v>
      </c>
      <c r="EL431" s="100">
        <f t="shared" si="2210"/>
        <v>0</v>
      </c>
      <c r="EM431" s="100">
        <f t="shared" si="2210"/>
        <v>0</v>
      </c>
      <c r="EN431" s="100">
        <f t="shared" si="2210"/>
        <v>0</v>
      </c>
      <c r="EO431" s="728">
        <f t="shared" si="2210"/>
        <v>2118580</v>
      </c>
      <c r="EP431" s="728">
        <f t="shared" si="2210"/>
        <v>41253080</v>
      </c>
      <c r="EQ431" s="100">
        <f t="shared" ref="EQ431:HB431" si="2211">SUM(EQ432:EQ468)</f>
        <v>0</v>
      </c>
      <c r="ER431" s="100">
        <f t="shared" si="2211"/>
        <v>0</v>
      </c>
      <c r="ES431" s="100">
        <f t="shared" si="2211"/>
        <v>362582</v>
      </c>
      <c r="ET431" s="100">
        <f t="shared" si="2211"/>
        <v>21723000</v>
      </c>
      <c r="EU431" s="100">
        <f t="shared" si="2211"/>
        <v>0</v>
      </c>
      <c r="EV431" s="100">
        <f t="shared" si="2211"/>
        <v>0</v>
      </c>
      <c r="EW431" s="100">
        <f t="shared" si="2211"/>
        <v>334283</v>
      </c>
      <c r="EX431" s="100">
        <f t="shared" si="2211"/>
        <v>8934520</v>
      </c>
      <c r="EY431" s="100">
        <f t="shared" si="2211"/>
        <v>0</v>
      </c>
      <c r="EZ431" s="100">
        <f t="shared" si="2211"/>
        <v>0</v>
      </c>
      <c r="FA431" s="100">
        <f t="shared" si="2211"/>
        <v>2817</v>
      </c>
      <c r="FB431" s="100">
        <f t="shared" si="2211"/>
        <v>50706</v>
      </c>
      <c r="FC431" s="100">
        <f t="shared" si="2211"/>
        <v>202</v>
      </c>
      <c r="FD431" s="100">
        <f t="shared" si="2211"/>
        <v>4040</v>
      </c>
      <c r="FE431" s="728">
        <f t="shared" si="2211"/>
        <v>699884</v>
      </c>
      <c r="FF431" s="728">
        <f t="shared" si="2211"/>
        <v>30712266</v>
      </c>
      <c r="FG431" s="100">
        <f t="shared" si="2211"/>
        <v>0</v>
      </c>
      <c r="FH431" s="100">
        <f t="shared" si="2211"/>
        <v>0</v>
      </c>
      <c r="FI431" s="100">
        <f t="shared" si="2211"/>
        <v>140000</v>
      </c>
      <c r="FJ431" s="100">
        <f t="shared" si="2211"/>
        <v>8400000</v>
      </c>
      <c r="FK431" s="100">
        <f t="shared" si="2211"/>
        <v>0</v>
      </c>
      <c r="FL431" s="100">
        <f t="shared" si="2211"/>
        <v>0</v>
      </c>
      <c r="FM431" s="100">
        <f t="shared" si="2211"/>
        <v>254520</v>
      </c>
      <c r="FN431" s="100">
        <f t="shared" si="2211"/>
        <v>6529962.5</v>
      </c>
      <c r="FO431" s="100">
        <f t="shared" si="2211"/>
        <v>0</v>
      </c>
      <c r="FP431" s="100">
        <f t="shared" si="2211"/>
        <v>0</v>
      </c>
      <c r="FQ431" s="100">
        <f t="shared" si="2211"/>
        <v>0</v>
      </c>
      <c r="FR431" s="100">
        <f t="shared" si="2211"/>
        <v>0</v>
      </c>
      <c r="FS431" s="100">
        <f t="shared" si="2211"/>
        <v>85000</v>
      </c>
      <c r="FT431" s="100">
        <f t="shared" si="2211"/>
        <v>2550000</v>
      </c>
      <c r="FU431" s="728">
        <f t="shared" si="2211"/>
        <v>479520</v>
      </c>
      <c r="FV431" s="728">
        <f t="shared" si="2211"/>
        <v>17479962.5</v>
      </c>
      <c r="FW431" s="100">
        <f t="shared" si="2211"/>
        <v>0</v>
      </c>
      <c r="FX431" s="100">
        <f t="shared" si="2211"/>
        <v>0</v>
      </c>
      <c r="FY431" s="100">
        <f t="shared" si="2211"/>
        <v>0</v>
      </c>
      <c r="FZ431" s="100">
        <f t="shared" si="2211"/>
        <v>0</v>
      </c>
      <c r="GA431" s="100">
        <f t="shared" si="2211"/>
        <v>0</v>
      </c>
      <c r="GB431" s="100">
        <f t="shared" si="2211"/>
        <v>0</v>
      </c>
      <c r="GC431" s="100">
        <f t="shared" si="2211"/>
        <v>339250</v>
      </c>
      <c r="GD431" s="100">
        <f t="shared" si="2211"/>
        <v>7186000</v>
      </c>
      <c r="GE431" s="100">
        <f t="shared" si="2211"/>
        <v>0</v>
      </c>
      <c r="GF431" s="100">
        <f t="shared" si="2211"/>
        <v>0</v>
      </c>
      <c r="GG431" s="100">
        <f t="shared" si="2211"/>
        <v>0</v>
      </c>
      <c r="GH431" s="100">
        <f t="shared" si="2211"/>
        <v>0</v>
      </c>
      <c r="GI431" s="100">
        <f t="shared" si="2211"/>
        <v>0</v>
      </c>
      <c r="GJ431" s="100">
        <f t="shared" si="2211"/>
        <v>0</v>
      </c>
      <c r="GK431" s="728">
        <f t="shared" si="2211"/>
        <v>339250</v>
      </c>
      <c r="GL431" s="728">
        <f t="shared" si="2211"/>
        <v>7186000</v>
      </c>
      <c r="GM431" s="100">
        <f t="shared" si="2211"/>
        <v>0</v>
      </c>
      <c r="GN431" s="100">
        <f t="shared" si="2211"/>
        <v>0</v>
      </c>
      <c r="GO431" s="100">
        <f t="shared" si="2211"/>
        <v>0</v>
      </c>
      <c r="GP431" s="100">
        <f t="shared" si="2211"/>
        <v>0</v>
      </c>
      <c r="GQ431" s="100">
        <f t="shared" si="2211"/>
        <v>0</v>
      </c>
      <c r="GR431" s="100">
        <f t="shared" si="2211"/>
        <v>0</v>
      </c>
      <c r="GS431" s="100">
        <f t="shared" si="2211"/>
        <v>156900</v>
      </c>
      <c r="GT431" s="100">
        <f t="shared" si="2211"/>
        <v>3026750</v>
      </c>
      <c r="GU431" s="100">
        <f t="shared" si="2211"/>
        <v>0</v>
      </c>
      <c r="GV431" s="100">
        <f t="shared" si="2211"/>
        <v>0</v>
      </c>
      <c r="GW431" s="100">
        <f t="shared" si="2211"/>
        <v>0</v>
      </c>
      <c r="GX431" s="100">
        <f t="shared" si="2211"/>
        <v>0</v>
      </c>
      <c r="GY431" s="100">
        <f t="shared" si="2211"/>
        <v>150</v>
      </c>
      <c r="GZ431" s="100">
        <f t="shared" si="2211"/>
        <v>4200</v>
      </c>
      <c r="HA431" s="728">
        <f t="shared" si="2211"/>
        <v>157050</v>
      </c>
      <c r="HB431" s="728">
        <f t="shared" si="2211"/>
        <v>3030950</v>
      </c>
      <c r="HC431" s="100">
        <f t="shared" ref="HC431:JN431" si="2212">SUM(HC432:HC468)</f>
        <v>0</v>
      </c>
      <c r="HD431" s="100">
        <f t="shared" si="2212"/>
        <v>0</v>
      </c>
      <c r="HE431" s="100">
        <f t="shared" si="2212"/>
        <v>200000</v>
      </c>
      <c r="HF431" s="100">
        <f t="shared" si="2212"/>
        <v>12000000</v>
      </c>
      <c r="HG431" s="100">
        <f t="shared" si="2212"/>
        <v>0</v>
      </c>
      <c r="HH431" s="100">
        <f t="shared" si="2212"/>
        <v>0</v>
      </c>
      <c r="HI431" s="100">
        <f t="shared" si="2212"/>
        <v>698500</v>
      </c>
      <c r="HJ431" s="100">
        <f t="shared" si="2212"/>
        <v>13270000</v>
      </c>
      <c r="HK431" s="100">
        <f t="shared" si="2212"/>
        <v>0</v>
      </c>
      <c r="HL431" s="100">
        <f t="shared" si="2212"/>
        <v>0</v>
      </c>
      <c r="HM431" s="100">
        <f t="shared" si="2212"/>
        <v>0</v>
      </c>
      <c r="HN431" s="100">
        <f t="shared" si="2212"/>
        <v>0</v>
      </c>
      <c r="HO431" s="100">
        <f t="shared" si="2212"/>
        <v>650000</v>
      </c>
      <c r="HP431" s="100">
        <f t="shared" si="2212"/>
        <v>14950000</v>
      </c>
      <c r="HQ431" s="728">
        <f t="shared" si="2212"/>
        <v>1548500</v>
      </c>
      <c r="HR431" s="728">
        <f t="shared" si="2212"/>
        <v>40220000</v>
      </c>
      <c r="HS431" s="100">
        <f t="shared" si="2212"/>
        <v>0</v>
      </c>
      <c r="HT431" s="100">
        <f t="shared" si="2212"/>
        <v>0</v>
      </c>
      <c r="HU431" s="100">
        <f t="shared" si="2212"/>
        <v>0</v>
      </c>
      <c r="HV431" s="100">
        <f t="shared" si="2212"/>
        <v>0</v>
      </c>
      <c r="HW431" s="100">
        <f t="shared" si="2212"/>
        <v>0</v>
      </c>
      <c r="HX431" s="100">
        <f t="shared" si="2212"/>
        <v>0</v>
      </c>
      <c r="HY431" s="100">
        <f t="shared" si="2212"/>
        <v>156500</v>
      </c>
      <c r="HZ431" s="100">
        <f t="shared" si="2212"/>
        <v>2980000</v>
      </c>
      <c r="IA431" s="100">
        <f t="shared" si="2212"/>
        <v>0</v>
      </c>
      <c r="IB431" s="100">
        <f t="shared" si="2212"/>
        <v>0</v>
      </c>
      <c r="IC431" s="100">
        <f t="shared" si="2212"/>
        <v>0</v>
      </c>
      <c r="ID431" s="100">
        <f t="shared" si="2212"/>
        <v>0</v>
      </c>
      <c r="IE431" s="100">
        <f t="shared" si="2212"/>
        <v>0</v>
      </c>
      <c r="IF431" s="100">
        <f t="shared" si="2212"/>
        <v>0</v>
      </c>
      <c r="IG431" s="728">
        <f t="shared" si="2212"/>
        <v>156500</v>
      </c>
      <c r="IH431" s="728">
        <f t="shared" si="2212"/>
        <v>2980000</v>
      </c>
      <c r="II431" s="100">
        <f t="shared" si="2212"/>
        <v>0</v>
      </c>
      <c r="IJ431" s="100">
        <f t="shared" si="2212"/>
        <v>0</v>
      </c>
      <c r="IK431" s="100">
        <f t="shared" si="2212"/>
        <v>0</v>
      </c>
      <c r="IL431" s="100">
        <f t="shared" si="2212"/>
        <v>0</v>
      </c>
      <c r="IM431" s="100">
        <f t="shared" si="2212"/>
        <v>0</v>
      </c>
      <c r="IN431" s="100">
        <f t="shared" si="2212"/>
        <v>0</v>
      </c>
      <c r="IO431" s="96">
        <f t="shared" si="2212"/>
        <v>881600</v>
      </c>
      <c r="IP431" s="96">
        <f t="shared" si="2212"/>
        <v>18227100</v>
      </c>
      <c r="IQ431" s="100">
        <f t="shared" si="2212"/>
        <v>0</v>
      </c>
      <c r="IR431" s="100">
        <f t="shared" si="2212"/>
        <v>0</v>
      </c>
      <c r="IS431" s="100">
        <f t="shared" si="2212"/>
        <v>0</v>
      </c>
      <c r="IT431" s="100">
        <f t="shared" si="2212"/>
        <v>0</v>
      </c>
      <c r="IU431" s="100">
        <f t="shared" si="2212"/>
        <v>0</v>
      </c>
      <c r="IV431" s="100">
        <f t="shared" si="2212"/>
        <v>0</v>
      </c>
      <c r="IW431" s="728">
        <f t="shared" si="2212"/>
        <v>881600</v>
      </c>
      <c r="IX431" s="728">
        <f t="shared" si="2212"/>
        <v>18227100</v>
      </c>
      <c r="IY431" s="100">
        <f t="shared" si="2212"/>
        <v>0</v>
      </c>
      <c r="IZ431" s="100">
        <f t="shared" si="2212"/>
        <v>0</v>
      </c>
      <c r="JA431" s="100">
        <f t="shared" si="2212"/>
        <v>0</v>
      </c>
      <c r="JB431" s="100">
        <f t="shared" si="2212"/>
        <v>0</v>
      </c>
      <c r="JC431" s="100">
        <f t="shared" si="2212"/>
        <v>0</v>
      </c>
      <c r="JD431" s="100">
        <f t="shared" si="2212"/>
        <v>0</v>
      </c>
      <c r="JE431" s="100">
        <f t="shared" si="2212"/>
        <v>361863</v>
      </c>
      <c r="JF431" s="100">
        <f t="shared" si="2212"/>
        <v>6885580</v>
      </c>
      <c r="JG431" s="100">
        <f t="shared" si="2212"/>
        <v>0</v>
      </c>
      <c r="JH431" s="100">
        <f t="shared" si="2212"/>
        <v>0</v>
      </c>
      <c r="JI431" s="100">
        <f t="shared" si="2212"/>
        <v>0</v>
      </c>
      <c r="JJ431" s="100">
        <f t="shared" si="2212"/>
        <v>0</v>
      </c>
      <c r="JK431" s="100">
        <f t="shared" si="2212"/>
        <v>6010</v>
      </c>
      <c r="JL431" s="100">
        <f t="shared" si="2212"/>
        <v>113950</v>
      </c>
      <c r="JM431" s="728">
        <f t="shared" si="2212"/>
        <v>367873</v>
      </c>
      <c r="JN431" s="728">
        <f t="shared" si="2212"/>
        <v>6999530</v>
      </c>
      <c r="JO431" s="100">
        <f t="shared" ref="JO431:LZ431" si="2213">SUM(JO432:JO468)</f>
        <v>0</v>
      </c>
      <c r="JP431" s="100">
        <f t="shared" si="2213"/>
        <v>0</v>
      </c>
      <c r="JQ431" s="100">
        <f t="shared" si="2213"/>
        <v>153185</v>
      </c>
      <c r="JR431" s="100">
        <f t="shared" si="2213"/>
        <v>12256300</v>
      </c>
      <c r="JS431" s="100">
        <f t="shared" si="2213"/>
        <v>0</v>
      </c>
      <c r="JT431" s="100">
        <f t="shared" si="2213"/>
        <v>0</v>
      </c>
      <c r="JU431" s="100">
        <f t="shared" si="2213"/>
        <v>134598</v>
      </c>
      <c r="JV431" s="100">
        <f t="shared" si="2213"/>
        <v>3706834</v>
      </c>
      <c r="JW431" s="100">
        <f t="shared" si="2213"/>
        <v>0</v>
      </c>
      <c r="JX431" s="100">
        <f t="shared" si="2213"/>
        <v>0</v>
      </c>
      <c r="JY431" s="100">
        <f t="shared" si="2213"/>
        <v>0</v>
      </c>
      <c r="JZ431" s="100">
        <f t="shared" si="2213"/>
        <v>0</v>
      </c>
      <c r="KA431" s="100">
        <f t="shared" si="2213"/>
        <v>0</v>
      </c>
      <c r="KB431" s="100">
        <f t="shared" si="2213"/>
        <v>0</v>
      </c>
      <c r="KC431" s="728">
        <f t="shared" si="2213"/>
        <v>287783</v>
      </c>
      <c r="KD431" s="728">
        <f t="shared" si="2213"/>
        <v>15963134</v>
      </c>
      <c r="KE431" s="100">
        <f t="shared" si="2213"/>
        <v>0</v>
      </c>
      <c r="KF431" s="100">
        <f t="shared" si="2213"/>
        <v>0</v>
      </c>
      <c r="KG431" s="100">
        <f t="shared" si="2213"/>
        <v>59450</v>
      </c>
      <c r="KH431" s="100">
        <f t="shared" si="2213"/>
        <v>4033100</v>
      </c>
      <c r="KI431" s="100">
        <f t="shared" si="2213"/>
        <v>0</v>
      </c>
      <c r="KJ431" s="100">
        <f t="shared" si="2213"/>
        <v>0</v>
      </c>
      <c r="KK431" s="100">
        <f t="shared" si="2213"/>
        <v>91052</v>
      </c>
      <c r="KL431" s="100">
        <f t="shared" si="2213"/>
        <v>1830390</v>
      </c>
      <c r="KM431" s="100">
        <f t="shared" si="2213"/>
        <v>0</v>
      </c>
      <c r="KN431" s="100">
        <f t="shared" si="2213"/>
        <v>0</v>
      </c>
      <c r="KO431" s="100">
        <f t="shared" si="2213"/>
        <v>0</v>
      </c>
      <c r="KP431" s="100">
        <f t="shared" si="2213"/>
        <v>0</v>
      </c>
      <c r="KQ431" s="100">
        <f t="shared" si="2213"/>
        <v>0</v>
      </c>
      <c r="KR431" s="100">
        <f t="shared" si="2213"/>
        <v>0</v>
      </c>
      <c r="KS431" s="728">
        <f t="shared" si="2213"/>
        <v>150502</v>
      </c>
      <c r="KT431" s="728">
        <f t="shared" si="2213"/>
        <v>5863490</v>
      </c>
      <c r="KU431" s="100">
        <f t="shared" si="2213"/>
        <v>0</v>
      </c>
      <c r="KV431" s="100">
        <f t="shared" si="2213"/>
        <v>0</v>
      </c>
      <c r="KW431" s="100">
        <f t="shared" si="2213"/>
        <v>1130517.9700000002</v>
      </c>
      <c r="KX431" s="100">
        <f t="shared" si="2213"/>
        <v>17393280</v>
      </c>
      <c r="KY431" s="100">
        <f t="shared" si="2213"/>
        <v>0</v>
      </c>
      <c r="KZ431" s="100">
        <f t="shared" si="2213"/>
        <v>0</v>
      </c>
      <c r="LA431" s="100">
        <f t="shared" si="2213"/>
        <v>1212114.58</v>
      </c>
      <c r="LB431" s="100">
        <f t="shared" si="2213"/>
        <v>21978375</v>
      </c>
      <c r="LC431" s="100">
        <f t="shared" si="2213"/>
        <v>0</v>
      </c>
      <c r="LD431" s="100">
        <f t="shared" si="2213"/>
        <v>0</v>
      </c>
      <c r="LE431" s="100">
        <f t="shared" si="2213"/>
        <v>0</v>
      </c>
      <c r="LF431" s="100">
        <f t="shared" si="2213"/>
        <v>0</v>
      </c>
      <c r="LG431" s="100">
        <f t="shared" si="2213"/>
        <v>7989.88</v>
      </c>
      <c r="LH431" s="100">
        <f t="shared" si="2213"/>
        <v>207736</v>
      </c>
      <c r="LI431" s="728">
        <f t="shared" si="2213"/>
        <v>2350622.4300000002</v>
      </c>
      <c r="LJ431" s="728">
        <f t="shared" si="2213"/>
        <v>39579391</v>
      </c>
      <c r="LK431" s="100">
        <f t="shared" si="2213"/>
        <v>0</v>
      </c>
      <c r="LL431" s="100">
        <f t="shared" si="2213"/>
        <v>0</v>
      </c>
      <c r="LM431" s="100">
        <f t="shared" si="2213"/>
        <v>0</v>
      </c>
      <c r="LN431" s="100">
        <f t="shared" si="2213"/>
        <v>0</v>
      </c>
      <c r="LO431" s="100">
        <f t="shared" si="2213"/>
        <v>0</v>
      </c>
      <c r="LP431" s="100">
        <f t="shared" si="2213"/>
        <v>0</v>
      </c>
      <c r="LQ431" s="100">
        <f t="shared" si="2213"/>
        <v>180762</v>
      </c>
      <c r="LR431" s="100">
        <f t="shared" si="2213"/>
        <v>3809586</v>
      </c>
      <c r="LS431" s="100">
        <f t="shared" si="2213"/>
        <v>0</v>
      </c>
      <c r="LT431" s="100">
        <f t="shared" si="2213"/>
        <v>0</v>
      </c>
      <c r="LU431" s="100">
        <f t="shared" si="2213"/>
        <v>0</v>
      </c>
      <c r="LV431" s="100">
        <f t="shared" si="2213"/>
        <v>0</v>
      </c>
      <c r="LW431" s="100">
        <f t="shared" si="2213"/>
        <v>1490</v>
      </c>
      <c r="LX431" s="100">
        <f t="shared" si="2213"/>
        <v>47680</v>
      </c>
      <c r="LY431" s="728">
        <f t="shared" si="2213"/>
        <v>182252</v>
      </c>
      <c r="LZ431" s="728">
        <f t="shared" si="2213"/>
        <v>3857266</v>
      </c>
      <c r="MA431" s="100">
        <f t="shared" ref="MA431:MN431" si="2214">SUM(MA432:MA468)</f>
        <v>28300</v>
      </c>
      <c r="MB431" s="100">
        <f t="shared" si="2214"/>
        <v>2405500</v>
      </c>
      <c r="MC431" s="100">
        <f t="shared" si="2214"/>
        <v>918800</v>
      </c>
      <c r="MD431" s="100">
        <f t="shared" si="2214"/>
        <v>45732060</v>
      </c>
      <c r="ME431" s="100">
        <f t="shared" si="2214"/>
        <v>0</v>
      </c>
      <c r="MF431" s="100">
        <f t="shared" si="2214"/>
        <v>0</v>
      </c>
      <c r="MG431" s="100">
        <f t="shared" si="2214"/>
        <v>100490</v>
      </c>
      <c r="MH431" s="100">
        <f t="shared" si="2214"/>
        <v>1859840</v>
      </c>
      <c r="MI431" s="100">
        <f t="shared" si="2214"/>
        <v>0</v>
      </c>
      <c r="MJ431" s="100">
        <f t="shared" si="2214"/>
        <v>0</v>
      </c>
      <c r="MK431" s="100">
        <f t="shared" si="2214"/>
        <v>0</v>
      </c>
      <c r="ML431" s="100">
        <f t="shared" si="2214"/>
        <v>0</v>
      </c>
      <c r="MM431" s="100">
        <f t="shared" si="2214"/>
        <v>7920</v>
      </c>
      <c r="MN431" s="100">
        <f t="shared" si="2214"/>
        <v>142560</v>
      </c>
      <c r="MO431" s="728">
        <f t="shared" ref="MO431:OL431" si="2215">SUM(MO432:MO468)</f>
        <v>1055510</v>
      </c>
      <c r="MP431" s="728">
        <f t="shared" si="2215"/>
        <v>50139960</v>
      </c>
      <c r="MQ431" s="100">
        <f t="shared" si="2215"/>
        <v>0</v>
      </c>
      <c r="MR431" s="100">
        <f t="shared" si="2215"/>
        <v>0</v>
      </c>
      <c r="MS431" s="100">
        <f t="shared" si="2215"/>
        <v>99320</v>
      </c>
      <c r="MT431" s="100">
        <f t="shared" si="2215"/>
        <v>2423500</v>
      </c>
      <c r="MU431" s="100">
        <f t="shared" si="2215"/>
        <v>0</v>
      </c>
      <c r="MV431" s="100">
        <f t="shared" si="2215"/>
        <v>0</v>
      </c>
      <c r="MW431" s="100">
        <f t="shared" si="2215"/>
        <v>24320</v>
      </c>
      <c r="MX431" s="100">
        <f t="shared" si="2215"/>
        <v>559500</v>
      </c>
      <c r="MY431" s="100">
        <f t="shared" si="2215"/>
        <v>0</v>
      </c>
      <c r="MZ431" s="100">
        <f t="shared" si="2215"/>
        <v>0</v>
      </c>
      <c r="NA431" s="100">
        <f t="shared" si="2215"/>
        <v>0</v>
      </c>
      <c r="NB431" s="100">
        <f t="shared" si="2215"/>
        <v>0</v>
      </c>
      <c r="NC431" s="100">
        <f t="shared" si="2215"/>
        <v>0</v>
      </c>
      <c r="ND431" s="100">
        <f t="shared" si="2215"/>
        <v>0</v>
      </c>
      <c r="NE431" s="728">
        <f t="shared" si="2215"/>
        <v>123640</v>
      </c>
      <c r="NF431" s="728">
        <f t="shared" si="2215"/>
        <v>2983000</v>
      </c>
      <c r="NG431" s="100">
        <f t="shared" si="2215"/>
        <v>0</v>
      </c>
      <c r="NH431" s="100">
        <f t="shared" si="2215"/>
        <v>0</v>
      </c>
      <c r="NI431" s="100">
        <f t="shared" si="2215"/>
        <v>5822238</v>
      </c>
      <c r="NJ431" s="100">
        <f t="shared" si="2215"/>
        <v>157240938</v>
      </c>
      <c r="NK431" s="100">
        <f t="shared" si="2215"/>
        <v>0</v>
      </c>
      <c r="NL431" s="100">
        <f t="shared" si="2215"/>
        <v>0</v>
      </c>
      <c r="NM431" s="100">
        <f t="shared" si="2215"/>
        <v>2544400</v>
      </c>
      <c r="NN431" s="100">
        <f t="shared" si="2215"/>
        <v>41257400</v>
      </c>
      <c r="NO431" s="100">
        <f t="shared" si="2215"/>
        <v>502700</v>
      </c>
      <c r="NP431" s="100">
        <f t="shared" si="2215"/>
        <v>10724400</v>
      </c>
      <c r="NQ431" s="100">
        <f t="shared" si="2215"/>
        <v>29346</v>
      </c>
      <c r="NR431" s="100">
        <f t="shared" si="2215"/>
        <v>538562</v>
      </c>
      <c r="NS431" s="100">
        <f t="shared" si="2215"/>
        <v>0</v>
      </c>
      <c r="NT431" s="100">
        <f t="shared" si="2215"/>
        <v>0</v>
      </c>
      <c r="NU431" s="728">
        <f t="shared" si="2215"/>
        <v>8898684</v>
      </c>
      <c r="NV431" s="728">
        <f t="shared" si="2215"/>
        <v>209761300</v>
      </c>
      <c r="NW431" s="100">
        <f t="shared" si="2215"/>
        <v>7710</v>
      </c>
      <c r="NX431" s="100">
        <f t="shared" si="2215"/>
        <v>171400</v>
      </c>
      <c r="NY431" s="100">
        <f t="shared" si="2215"/>
        <v>703746</v>
      </c>
      <c r="NZ431" s="100">
        <f t="shared" si="2215"/>
        <v>27825180</v>
      </c>
      <c r="OA431" s="100">
        <f t="shared" si="2215"/>
        <v>0</v>
      </c>
      <c r="OB431" s="100">
        <f t="shared" si="2215"/>
        <v>0</v>
      </c>
      <c r="OC431" s="100">
        <f t="shared" si="2215"/>
        <v>59026</v>
      </c>
      <c r="OD431" s="100">
        <f t="shared" si="2215"/>
        <v>1124434</v>
      </c>
      <c r="OE431" s="100">
        <f t="shared" si="2215"/>
        <v>0</v>
      </c>
      <c r="OF431" s="100">
        <f t="shared" si="2215"/>
        <v>0</v>
      </c>
      <c r="OG431" s="100">
        <f t="shared" si="2215"/>
        <v>0</v>
      </c>
      <c r="OH431" s="100">
        <f t="shared" si="2215"/>
        <v>0</v>
      </c>
      <c r="OI431" s="100">
        <f t="shared" si="2215"/>
        <v>0</v>
      </c>
      <c r="OJ431" s="100">
        <f t="shared" si="2215"/>
        <v>0</v>
      </c>
      <c r="OK431" s="728">
        <f t="shared" si="2215"/>
        <v>770482</v>
      </c>
      <c r="OL431" s="728">
        <f t="shared" si="2215"/>
        <v>29121014</v>
      </c>
      <c r="OM431" s="100">
        <f t="shared" ref="OM431:QX431" si="2216">SUM(OM432:OM468)</f>
        <v>76699080</v>
      </c>
      <c r="ON431" s="100">
        <f t="shared" si="2216"/>
        <v>388805250</v>
      </c>
      <c r="OO431" s="100">
        <f t="shared" si="2216"/>
        <v>541885.00000000012</v>
      </c>
      <c r="OP431" s="100">
        <f t="shared" si="2216"/>
        <v>33681503</v>
      </c>
      <c r="OQ431" s="100">
        <f t="shared" si="2216"/>
        <v>0</v>
      </c>
      <c r="OR431" s="100">
        <f t="shared" si="2216"/>
        <v>0</v>
      </c>
      <c r="OS431" s="100">
        <f t="shared" si="2216"/>
        <v>39884</v>
      </c>
      <c r="OT431" s="100">
        <f t="shared" si="2216"/>
        <v>878364</v>
      </c>
      <c r="OU431" s="100">
        <f t="shared" si="2216"/>
        <v>0</v>
      </c>
      <c r="OV431" s="100">
        <f t="shared" si="2216"/>
        <v>0</v>
      </c>
      <c r="OW431" s="100">
        <f t="shared" si="2216"/>
        <v>0</v>
      </c>
      <c r="OX431" s="100">
        <f t="shared" si="2216"/>
        <v>0</v>
      </c>
      <c r="OY431" s="100">
        <f t="shared" si="2216"/>
        <v>0</v>
      </c>
      <c r="OZ431" s="100">
        <f t="shared" si="2216"/>
        <v>0</v>
      </c>
      <c r="PA431" s="728">
        <f t="shared" si="2216"/>
        <v>77280849</v>
      </c>
      <c r="PB431" s="728">
        <f t="shared" si="2216"/>
        <v>423365117</v>
      </c>
      <c r="PC431" s="100">
        <f t="shared" si="2216"/>
        <v>62</v>
      </c>
      <c r="PD431" s="100">
        <f t="shared" si="2216"/>
        <v>3410</v>
      </c>
      <c r="PE431" s="100">
        <f t="shared" si="2216"/>
        <v>14320</v>
      </c>
      <c r="PF431" s="100">
        <f t="shared" si="2216"/>
        <v>930800</v>
      </c>
      <c r="PG431" s="100">
        <f t="shared" si="2216"/>
        <v>0</v>
      </c>
      <c r="PH431" s="100">
        <f t="shared" si="2216"/>
        <v>0</v>
      </c>
      <c r="PI431" s="100">
        <f t="shared" si="2216"/>
        <v>346987</v>
      </c>
      <c r="PJ431" s="100">
        <f t="shared" si="2216"/>
        <v>6422524</v>
      </c>
      <c r="PK431" s="100">
        <f t="shared" si="2216"/>
        <v>0</v>
      </c>
      <c r="PL431" s="100">
        <f t="shared" si="2216"/>
        <v>0</v>
      </c>
      <c r="PM431" s="100">
        <f t="shared" si="2216"/>
        <v>0</v>
      </c>
      <c r="PN431" s="100">
        <f t="shared" si="2216"/>
        <v>0</v>
      </c>
      <c r="PO431" s="100">
        <f t="shared" si="2216"/>
        <v>0</v>
      </c>
      <c r="PP431" s="100">
        <f t="shared" si="2216"/>
        <v>0</v>
      </c>
      <c r="PQ431" s="728">
        <f t="shared" si="2216"/>
        <v>361369</v>
      </c>
      <c r="PR431" s="728">
        <f t="shared" si="2216"/>
        <v>7356734</v>
      </c>
      <c r="PS431" s="100">
        <f t="shared" si="2216"/>
        <v>650</v>
      </c>
      <c r="PT431" s="100">
        <f t="shared" si="2216"/>
        <v>68250</v>
      </c>
      <c r="PU431" s="100">
        <f t="shared" si="2216"/>
        <v>2208360</v>
      </c>
      <c r="PV431" s="100">
        <f t="shared" si="2216"/>
        <v>62929670</v>
      </c>
      <c r="PW431" s="100">
        <f t="shared" si="2216"/>
        <v>0</v>
      </c>
      <c r="PX431" s="100">
        <f t="shared" si="2216"/>
        <v>0</v>
      </c>
      <c r="PY431" s="100">
        <f t="shared" si="2216"/>
        <v>2008210</v>
      </c>
      <c r="PZ431" s="100">
        <f t="shared" si="2216"/>
        <v>36855900</v>
      </c>
      <c r="QA431" s="100">
        <f t="shared" si="2216"/>
        <v>1472680</v>
      </c>
      <c r="QB431" s="100">
        <f t="shared" si="2216"/>
        <v>44289780</v>
      </c>
      <c r="QC431" s="100">
        <f t="shared" si="2216"/>
        <v>1004100</v>
      </c>
      <c r="QD431" s="100">
        <f t="shared" si="2216"/>
        <v>18030090</v>
      </c>
      <c r="QE431" s="100">
        <f t="shared" si="2216"/>
        <v>0</v>
      </c>
      <c r="QF431" s="100">
        <f t="shared" si="2216"/>
        <v>0</v>
      </c>
      <c r="QG431" s="728">
        <f t="shared" si="2216"/>
        <v>6694000</v>
      </c>
      <c r="QH431" s="728">
        <f t="shared" si="2216"/>
        <v>162173690</v>
      </c>
      <c r="QI431" s="100">
        <f t="shared" si="2216"/>
        <v>0</v>
      </c>
      <c r="QJ431" s="100">
        <f t="shared" si="2216"/>
        <v>0</v>
      </c>
      <c r="QK431" s="100">
        <f t="shared" si="2216"/>
        <v>175000</v>
      </c>
      <c r="QL431" s="100">
        <f t="shared" si="2216"/>
        <v>10500000</v>
      </c>
      <c r="QM431" s="100">
        <f t="shared" si="2216"/>
        <v>0</v>
      </c>
      <c r="QN431" s="100">
        <f t="shared" si="2216"/>
        <v>0</v>
      </c>
      <c r="QO431" s="100">
        <f t="shared" si="2216"/>
        <v>4907000</v>
      </c>
      <c r="QP431" s="100">
        <f t="shared" si="2216"/>
        <v>118805000</v>
      </c>
      <c r="QQ431" s="100">
        <f t="shared" si="2216"/>
        <v>0</v>
      </c>
      <c r="QR431" s="100">
        <f t="shared" si="2216"/>
        <v>0</v>
      </c>
      <c r="QS431" s="100">
        <f t="shared" si="2216"/>
        <v>0</v>
      </c>
      <c r="QT431" s="100">
        <f t="shared" si="2216"/>
        <v>0</v>
      </c>
      <c r="QU431" s="100">
        <f t="shared" si="2216"/>
        <v>0</v>
      </c>
      <c r="QV431" s="100">
        <f t="shared" si="2216"/>
        <v>0</v>
      </c>
      <c r="QW431" s="728">
        <f t="shared" si="2216"/>
        <v>5082000</v>
      </c>
      <c r="QX431" s="728">
        <f t="shared" si="2216"/>
        <v>129305000</v>
      </c>
      <c r="QY431" s="100">
        <f t="shared" ref="QY431:TJ431" si="2217">SUM(QY432:QY468)</f>
        <v>0</v>
      </c>
      <c r="QZ431" s="100">
        <f t="shared" si="2217"/>
        <v>0</v>
      </c>
      <c r="RA431" s="100">
        <f t="shared" si="2217"/>
        <v>0</v>
      </c>
      <c r="RB431" s="100">
        <f t="shared" si="2217"/>
        <v>0</v>
      </c>
      <c r="RC431" s="100">
        <f t="shared" si="2217"/>
        <v>0</v>
      </c>
      <c r="RD431" s="100">
        <f t="shared" si="2217"/>
        <v>0</v>
      </c>
      <c r="RE431" s="100">
        <f t="shared" si="2217"/>
        <v>5757</v>
      </c>
      <c r="RF431" s="100">
        <f t="shared" si="2217"/>
        <v>137189</v>
      </c>
      <c r="RG431" s="100">
        <f t="shared" si="2217"/>
        <v>0</v>
      </c>
      <c r="RH431" s="100">
        <f t="shared" si="2217"/>
        <v>0</v>
      </c>
      <c r="RI431" s="100">
        <f t="shared" si="2217"/>
        <v>0</v>
      </c>
      <c r="RJ431" s="100">
        <f t="shared" si="2217"/>
        <v>0</v>
      </c>
      <c r="RK431" s="100">
        <f t="shared" si="2217"/>
        <v>0</v>
      </c>
      <c r="RL431" s="100">
        <f t="shared" si="2217"/>
        <v>0</v>
      </c>
      <c r="RM431" s="728">
        <f t="shared" si="2217"/>
        <v>5757</v>
      </c>
      <c r="RN431" s="728">
        <f t="shared" si="2217"/>
        <v>137189</v>
      </c>
      <c r="RO431" s="100">
        <f t="shared" si="2217"/>
        <v>0</v>
      </c>
      <c r="RP431" s="100">
        <f t="shared" si="2217"/>
        <v>0</v>
      </c>
      <c r="RQ431" s="100">
        <f t="shared" si="2217"/>
        <v>0</v>
      </c>
      <c r="RR431" s="100">
        <f t="shared" si="2217"/>
        <v>0</v>
      </c>
      <c r="RS431" s="100">
        <f t="shared" si="2217"/>
        <v>0</v>
      </c>
      <c r="RT431" s="100">
        <f t="shared" si="2217"/>
        <v>0</v>
      </c>
      <c r="RU431" s="100">
        <f t="shared" si="2217"/>
        <v>17690</v>
      </c>
      <c r="RV431" s="100">
        <f t="shared" si="2217"/>
        <v>400960</v>
      </c>
      <c r="RW431" s="100">
        <f t="shared" si="2217"/>
        <v>0</v>
      </c>
      <c r="RX431" s="100">
        <f t="shared" si="2217"/>
        <v>0</v>
      </c>
      <c r="RY431" s="100">
        <f t="shared" si="2217"/>
        <v>0</v>
      </c>
      <c r="RZ431" s="100">
        <f t="shared" si="2217"/>
        <v>0</v>
      </c>
      <c r="SA431" s="100">
        <f t="shared" si="2217"/>
        <v>0</v>
      </c>
      <c r="SB431" s="100">
        <f t="shared" si="2217"/>
        <v>0</v>
      </c>
      <c r="SC431" s="728">
        <f t="shared" si="2217"/>
        <v>17690</v>
      </c>
      <c r="SD431" s="728">
        <f t="shared" si="2217"/>
        <v>400960</v>
      </c>
      <c r="SE431" s="100">
        <f t="shared" si="2217"/>
        <v>0</v>
      </c>
      <c r="SF431" s="100">
        <f t="shared" si="2217"/>
        <v>0</v>
      </c>
      <c r="SG431" s="100">
        <f t="shared" si="2217"/>
        <v>0</v>
      </c>
      <c r="SH431" s="100">
        <f t="shared" si="2217"/>
        <v>0</v>
      </c>
      <c r="SI431" s="100">
        <f t="shared" si="2217"/>
        <v>0</v>
      </c>
      <c r="SJ431" s="100">
        <f t="shared" si="2217"/>
        <v>0</v>
      </c>
      <c r="SK431" s="100">
        <f t="shared" si="2217"/>
        <v>15100</v>
      </c>
      <c r="SL431" s="100">
        <f t="shared" si="2217"/>
        <v>279350</v>
      </c>
      <c r="SM431" s="100">
        <f t="shared" si="2217"/>
        <v>0</v>
      </c>
      <c r="SN431" s="100">
        <f t="shared" si="2217"/>
        <v>0</v>
      </c>
      <c r="SO431" s="100">
        <f t="shared" si="2217"/>
        <v>0</v>
      </c>
      <c r="SP431" s="100">
        <f t="shared" si="2217"/>
        <v>0</v>
      </c>
      <c r="SQ431" s="100">
        <f t="shared" si="2217"/>
        <v>0</v>
      </c>
      <c r="SR431" s="100">
        <f t="shared" si="2217"/>
        <v>0</v>
      </c>
      <c r="SS431" s="728">
        <f t="shared" si="2217"/>
        <v>15100</v>
      </c>
      <c r="ST431" s="728">
        <f t="shared" si="2217"/>
        <v>279350</v>
      </c>
      <c r="SU431" s="100">
        <f t="shared" si="2217"/>
        <v>0</v>
      </c>
      <c r="SV431" s="100">
        <f t="shared" si="2217"/>
        <v>0</v>
      </c>
      <c r="SW431" s="100">
        <f t="shared" si="2217"/>
        <v>0</v>
      </c>
      <c r="SX431" s="100">
        <f t="shared" si="2217"/>
        <v>0</v>
      </c>
      <c r="SY431" s="100">
        <f t="shared" si="2217"/>
        <v>0</v>
      </c>
      <c r="SZ431" s="100">
        <f t="shared" si="2217"/>
        <v>0</v>
      </c>
      <c r="TA431" s="100">
        <f t="shared" si="2217"/>
        <v>21855</v>
      </c>
      <c r="TB431" s="100">
        <f t="shared" si="2217"/>
        <v>478983</v>
      </c>
      <c r="TC431" s="100">
        <f t="shared" si="2217"/>
        <v>0</v>
      </c>
      <c r="TD431" s="100">
        <f t="shared" si="2217"/>
        <v>0</v>
      </c>
      <c r="TE431" s="100">
        <f t="shared" si="2217"/>
        <v>0</v>
      </c>
      <c r="TF431" s="100">
        <f t="shared" si="2217"/>
        <v>0</v>
      </c>
      <c r="TG431" s="100">
        <f t="shared" si="2217"/>
        <v>0</v>
      </c>
      <c r="TH431" s="100">
        <f t="shared" si="2217"/>
        <v>0</v>
      </c>
      <c r="TI431" s="728">
        <f t="shared" si="2217"/>
        <v>21855</v>
      </c>
      <c r="TJ431" s="728">
        <f t="shared" si="2217"/>
        <v>478983</v>
      </c>
      <c r="TK431" s="100">
        <f t="shared" ref="TK431:VV431" si="2218">SUM(TK432:TK468)</f>
        <v>0</v>
      </c>
      <c r="TL431" s="100">
        <f t="shared" si="2218"/>
        <v>0</v>
      </c>
      <c r="TM431" s="100">
        <f t="shared" si="2218"/>
        <v>0</v>
      </c>
      <c r="TN431" s="100">
        <f t="shared" si="2218"/>
        <v>0</v>
      </c>
      <c r="TO431" s="100">
        <f t="shared" si="2218"/>
        <v>0</v>
      </c>
      <c r="TP431" s="100">
        <f t="shared" si="2218"/>
        <v>0</v>
      </c>
      <c r="TQ431" s="100">
        <f t="shared" si="2218"/>
        <v>23200</v>
      </c>
      <c r="TR431" s="100">
        <f t="shared" si="2218"/>
        <v>474700</v>
      </c>
      <c r="TS431" s="100">
        <f t="shared" si="2218"/>
        <v>0</v>
      </c>
      <c r="TT431" s="100">
        <f t="shared" si="2218"/>
        <v>0</v>
      </c>
      <c r="TU431" s="100">
        <f t="shared" si="2218"/>
        <v>5000</v>
      </c>
      <c r="TV431" s="100">
        <f t="shared" si="2218"/>
        <v>157500</v>
      </c>
      <c r="TW431" s="100">
        <f t="shared" si="2218"/>
        <v>0</v>
      </c>
      <c r="TX431" s="100">
        <f t="shared" si="2218"/>
        <v>0</v>
      </c>
      <c r="TY431" s="728">
        <f t="shared" si="2218"/>
        <v>28200</v>
      </c>
      <c r="TZ431" s="728">
        <f t="shared" si="2218"/>
        <v>632200</v>
      </c>
      <c r="UA431" s="100">
        <f t="shared" si="2218"/>
        <v>0</v>
      </c>
      <c r="UB431" s="100">
        <f t="shared" si="2218"/>
        <v>0</v>
      </c>
      <c r="UC431" s="100">
        <f t="shared" si="2218"/>
        <v>0</v>
      </c>
      <c r="UD431" s="100">
        <f t="shared" si="2218"/>
        <v>0</v>
      </c>
      <c r="UE431" s="100">
        <f t="shared" si="2218"/>
        <v>0</v>
      </c>
      <c r="UF431" s="100">
        <f t="shared" si="2218"/>
        <v>0</v>
      </c>
      <c r="UG431" s="100">
        <f t="shared" si="2218"/>
        <v>19519</v>
      </c>
      <c r="UH431" s="100">
        <f t="shared" si="2218"/>
        <v>358768</v>
      </c>
      <c r="UI431" s="100">
        <f t="shared" si="2218"/>
        <v>0</v>
      </c>
      <c r="UJ431" s="100">
        <f t="shared" si="2218"/>
        <v>0</v>
      </c>
      <c r="UK431" s="100">
        <f t="shared" si="2218"/>
        <v>0</v>
      </c>
      <c r="UL431" s="100">
        <f t="shared" si="2218"/>
        <v>0</v>
      </c>
      <c r="UM431" s="100">
        <f t="shared" si="2218"/>
        <v>0</v>
      </c>
      <c r="UN431" s="100">
        <f t="shared" si="2218"/>
        <v>0</v>
      </c>
      <c r="UO431" s="728">
        <f t="shared" si="2218"/>
        <v>19519</v>
      </c>
      <c r="UP431" s="728">
        <f t="shared" si="2218"/>
        <v>358768</v>
      </c>
      <c r="UQ431" s="100">
        <f t="shared" si="2218"/>
        <v>0</v>
      </c>
      <c r="UR431" s="100">
        <f t="shared" si="2218"/>
        <v>0</v>
      </c>
      <c r="US431" s="100">
        <f t="shared" si="2218"/>
        <v>182350</v>
      </c>
      <c r="UT431" s="100">
        <f t="shared" si="2218"/>
        <v>2411200</v>
      </c>
      <c r="UU431" s="100">
        <f t="shared" si="2218"/>
        <v>0</v>
      </c>
      <c r="UV431" s="100">
        <f t="shared" si="2218"/>
        <v>0</v>
      </c>
      <c r="UW431" s="100">
        <f t="shared" si="2218"/>
        <v>2900</v>
      </c>
      <c r="UX431" s="100">
        <f t="shared" si="2218"/>
        <v>55100</v>
      </c>
      <c r="UY431" s="100">
        <f t="shared" si="2218"/>
        <v>0</v>
      </c>
      <c r="UZ431" s="100">
        <f t="shared" si="2218"/>
        <v>0</v>
      </c>
      <c r="VA431" s="100">
        <f t="shared" si="2218"/>
        <v>0</v>
      </c>
      <c r="VB431" s="100">
        <f t="shared" si="2218"/>
        <v>0</v>
      </c>
      <c r="VC431" s="100">
        <f t="shared" si="2218"/>
        <v>0</v>
      </c>
      <c r="VD431" s="100">
        <f t="shared" si="2218"/>
        <v>0</v>
      </c>
      <c r="VE431" s="728">
        <f t="shared" si="2218"/>
        <v>185250</v>
      </c>
      <c r="VF431" s="728">
        <f t="shared" si="2218"/>
        <v>2466300</v>
      </c>
      <c r="VG431" s="100">
        <f t="shared" si="2218"/>
        <v>0</v>
      </c>
      <c r="VH431" s="100">
        <f t="shared" si="2218"/>
        <v>0</v>
      </c>
      <c r="VI431" s="100">
        <f t="shared" si="2218"/>
        <v>81206</v>
      </c>
      <c r="VJ431" s="100">
        <f t="shared" si="2218"/>
        <v>3141041</v>
      </c>
      <c r="VK431" s="100">
        <f t="shared" si="2218"/>
        <v>0</v>
      </c>
      <c r="VL431" s="100">
        <f t="shared" si="2218"/>
        <v>0</v>
      </c>
      <c r="VM431" s="100">
        <f t="shared" si="2218"/>
        <v>25854</v>
      </c>
      <c r="VN431" s="100">
        <f t="shared" si="2218"/>
        <v>557450</v>
      </c>
      <c r="VO431" s="100">
        <f t="shared" si="2218"/>
        <v>0</v>
      </c>
      <c r="VP431" s="100">
        <f t="shared" si="2218"/>
        <v>0</v>
      </c>
      <c r="VQ431" s="100">
        <f t="shared" si="2218"/>
        <v>0</v>
      </c>
      <c r="VR431" s="100">
        <f t="shared" si="2218"/>
        <v>0</v>
      </c>
      <c r="VS431" s="100">
        <f t="shared" si="2218"/>
        <v>0</v>
      </c>
      <c r="VT431" s="100">
        <f t="shared" si="2218"/>
        <v>0</v>
      </c>
      <c r="VU431" s="728">
        <f t="shared" si="2218"/>
        <v>107060</v>
      </c>
      <c r="VV431" s="728">
        <f t="shared" si="2218"/>
        <v>3698491</v>
      </c>
      <c r="VW431" s="100">
        <f t="shared" ref="VW431:WJ431" si="2219">SUM(VW432:VW468)</f>
        <v>0</v>
      </c>
      <c r="VX431" s="100">
        <f t="shared" si="2219"/>
        <v>0</v>
      </c>
      <c r="VY431" s="100">
        <f t="shared" si="2219"/>
        <v>380260</v>
      </c>
      <c r="VZ431" s="100">
        <f t="shared" si="2219"/>
        <v>12373080</v>
      </c>
      <c r="WA431" s="100">
        <f t="shared" si="2219"/>
        <v>0</v>
      </c>
      <c r="WB431" s="100">
        <f t="shared" si="2219"/>
        <v>0</v>
      </c>
      <c r="WC431" s="100">
        <f t="shared" si="2219"/>
        <v>401870</v>
      </c>
      <c r="WD431" s="100">
        <f t="shared" si="2219"/>
        <v>6962750</v>
      </c>
      <c r="WE431" s="100">
        <f t="shared" si="2219"/>
        <v>0</v>
      </c>
      <c r="WF431" s="100">
        <f t="shared" si="2219"/>
        <v>0</v>
      </c>
      <c r="WG431" s="100">
        <f t="shared" si="2219"/>
        <v>0</v>
      </c>
      <c r="WH431" s="100">
        <f t="shared" si="2219"/>
        <v>0</v>
      </c>
      <c r="WI431" s="100">
        <f t="shared" si="2219"/>
        <v>4300</v>
      </c>
      <c r="WJ431" s="100">
        <f t="shared" si="2219"/>
        <v>103200</v>
      </c>
      <c r="WK431" s="728">
        <f t="shared" ref="WK431:WL431" si="2220">SUM(WK432:WK468)</f>
        <v>786430</v>
      </c>
      <c r="WL431" s="728">
        <f t="shared" si="2220"/>
        <v>19439030</v>
      </c>
      <c r="WM431" s="89"/>
      <c r="WN431" s="96">
        <f t="shared" ref="WN431:XC431" si="2221">SUM(WN432:WN468)</f>
        <v>78330194.586879998</v>
      </c>
      <c r="WO431" s="96">
        <f t="shared" si="2221"/>
        <v>398214170</v>
      </c>
      <c r="WP431" s="96">
        <f t="shared" si="2221"/>
        <v>24530181.525502894</v>
      </c>
      <c r="WQ431" s="96">
        <f t="shared" si="2221"/>
        <v>858931676.13699996</v>
      </c>
      <c r="WR431" s="96">
        <f t="shared" si="2221"/>
        <v>0</v>
      </c>
      <c r="WS431" s="96">
        <f t="shared" si="2221"/>
        <v>0</v>
      </c>
      <c r="WT431" s="96">
        <f t="shared" si="2221"/>
        <v>27514152.213320844</v>
      </c>
      <c r="WU431" s="96">
        <f t="shared" si="2221"/>
        <v>563754731.50564623</v>
      </c>
      <c r="WV431" s="96">
        <f t="shared" si="2221"/>
        <v>1986420</v>
      </c>
      <c r="WW431" s="96">
        <f t="shared" si="2221"/>
        <v>55301750</v>
      </c>
      <c r="WX431" s="96">
        <f t="shared" si="2221"/>
        <v>1046963</v>
      </c>
      <c r="WY431" s="96">
        <f t="shared" si="2221"/>
        <v>18929033</v>
      </c>
      <c r="WZ431" s="96">
        <f t="shared" si="2221"/>
        <v>771432.88</v>
      </c>
      <c r="XA431" s="96">
        <f t="shared" si="2221"/>
        <v>18281745</v>
      </c>
      <c r="XB431" s="96">
        <f t="shared" si="2221"/>
        <v>134179344.20570372</v>
      </c>
      <c r="XC431" s="96">
        <f t="shared" si="2221"/>
        <v>1913413105.6426463</v>
      </c>
      <c r="XD431" s="89"/>
      <c r="XE431" s="94"/>
      <c r="XF431" s="94"/>
      <c r="XG431" s="89"/>
      <c r="XH431" s="96"/>
      <c r="XI431" s="96"/>
      <c r="XJ431" s="89"/>
      <c r="XK431" s="96"/>
      <c r="XL431" s="96"/>
      <c r="XM431" s="96"/>
      <c r="XN431" s="96"/>
      <c r="XO431" s="96"/>
      <c r="XP431" s="96"/>
      <c r="XQ431" s="96"/>
      <c r="XR431" s="96">
        <f t="shared" ref="XR431" ca="1" si="2222">SUM(XR432:XR468)</f>
        <v>0</v>
      </c>
      <c r="XS431" s="89"/>
      <c r="XT431" s="96"/>
      <c r="XU431" s="96"/>
      <c r="XV431" s="96"/>
      <c r="XW431" s="96"/>
      <c r="XX431" s="96"/>
      <c r="XY431" s="96"/>
      <c r="XZ431" s="96"/>
      <c r="YA431" s="96">
        <f t="shared" ref="YA431" ca="1" si="2223">SUM(YA432:YA468)</f>
        <v>0</v>
      </c>
    </row>
    <row r="432" spans="1:1017">
      <c r="A432" s="98" t="s">
        <v>56</v>
      </c>
      <c r="B432" s="90" t="str">
        <f t="shared" ref="B432:B458" si="2224">B394</f>
        <v xml:space="preserve">Bandeng </v>
      </c>
      <c r="E432" s="98">
        <v>569100</v>
      </c>
      <c r="F432" s="98">
        <v>17073000</v>
      </c>
      <c r="I432" s="98">
        <v>28900</v>
      </c>
      <c r="J432" s="98">
        <v>722500</v>
      </c>
      <c r="Q432" s="91">
        <f t="shared" ref="Q432:Q468" si="2225">SUMIF($C$12:$P$12,$A$1,C432:P432)</f>
        <v>598000</v>
      </c>
      <c r="R432" s="91">
        <f t="shared" ref="R432:R468" si="2226">SUMIF($C$12:$P$12,$A$3,C432:P432)</f>
        <v>17795500</v>
      </c>
      <c r="U432" s="98">
        <v>4725</v>
      </c>
      <c r="V432" s="98">
        <v>94500</v>
      </c>
      <c r="AG432" s="91">
        <f t="shared" ref="AG432:AG468" si="2227">SUMIF($C$12:$P$12,$A$1,S432:AF432)</f>
        <v>4725</v>
      </c>
      <c r="AH432" s="91">
        <f t="shared" ref="AH432:AH468" si="2228">SUMIF($C$12:$P$12,$A$3,S432:AF432)</f>
        <v>94500</v>
      </c>
      <c r="AW432" s="91">
        <f t="shared" ref="AW432:AW468" si="2229">SUMIF($C$12:$P$12,$A$1,AI432:AV432)</f>
        <v>0</v>
      </c>
      <c r="AX432" s="91">
        <f t="shared" ref="AX432:AX468" si="2230">SUMIF($C$12:$P$12,$A$3,AI432:AV432)</f>
        <v>0</v>
      </c>
      <c r="BE432" s="98">
        <v>4354</v>
      </c>
      <c r="BF432" s="98">
        <v>74018</v>
      </c>
      <c r="BM432" s="91">
        <f t="shared" ref="BM432:BM468" si="2231">SUMIF($C$12:$P$12,$A$1,AY432:BL432)</f>
        <v>4354</v>
      </c>
      <c r="BN432" s="91">
        <f t="shared" ref="BN432:BN468" si="2232">SUMIF($C$12:$P$12,$A$3,AY432:BL432)</f>
        <v>74018</v>
      </c>
      <c r="CC432" s="91">
        <f t="shared" ref="CC432:CC468" si="2233">SUMIF($C$12:$P$12,$A$1,BO432:CB432)</f>
        <v>0</v>
      </c>
      <c r="CD432" s="91">
        <f t="shared" ref="CD432:CD468" si="2234">SUMIF($C$12:$P$12,$A$3,BO432:CB432)</f>
        <v>0</v>
      </c>
      <c r="CG432" s="98">
        <v>3727163.6463799332</v>
      </c>
      <c r="CH432" s="98">
        <v>85724764</v>
      </c>
      <c r="CK432" s="98">
        <v>3228388.456767228</v>
      </c>
      <c r="CL432" s="98">
        <v>74252934.505646244</v>
      </c>
      <c r="CS432" s="91">
        <f t="shared" ref="CS432:CS468" si="2235">SUMIF($C$12:$P$12,$A$1,CE432:CR432)</f>
        <v>6955552.1031471612</v>
      </c>
      <c r="CT432" s="91">
        <f t="shared" ref="CT432:CT468" si="2236">SUMIF($C$12:$P$12,$A$3,CE432:CR432)</f>
        <v>159977698.50564623</v>
      </c>
      <c r="CW432" s="98">
        <v>4959.9954648000003</v>
      </c>
      <c r="CX432" s="98">
        <v>99199.91</v>
      </c>
      <c r="DI432" s="91">
        <f t="shared" ref="DI432:DI468" si="2237">SUMIF($C$12:$P$12,$A$1,CU432:DH432)</f>
        <v>4959.9954648000003</v>
      </c>
      <c r="DJ432" s="91">
        <f t="shared" ref="DJ432:DJ468" si="2238">SUMIF($C$12:$P$12,$A$3,CU432:DH432)</f>
        <v>99199.91</v>
      </c>
      <c r="DY432" s="91">
        <f t="shared" ref="DY432:DY468" si="2239">SUMIF($C$12:$P$12,$A$1,DK432:DX432)</f>
        <v>0</v>
      </c>
      <c r="DZ432" s="91">
        <f t="shared" ref="DZ432:DZ468" si="2240">SUMIF($C$12:$P$12,$A$3,DK432:DX432)</f>
        <v>0</v>
      </c>
      <c r="EO432" s="91">
        <f t="shared" ref="EO432:EO468" si="2241">SUMIF($C$12:$P$12,$A$1,EA432:EN432)</f>
        <v>0</v>
      </c>
      <c r="EP432" s="91">
        <f t="shared" ref="EP432:EP468" si="2242">SUMIF($C$12:$P$12,$A$3,EA432:EN432)</f>
        <v>0</v>
      </c>
      <c r="ES432" s="98">
        <v>34220</v>
      </c>
      <c r="ET432" s="98">
        <v>855500</v>
      </c>
      <c r="EW432" s="98">
        <v>61078</v>
      </c>
      <c r="EX432" s="98">
        <v>1526950</v>
      </c>
      <c r="FE432" s="91">
        <f t="shared" ref="FE432:FE468" si="2243">SUMIF($C$12:$P$12,$A$1,EQ432:FD432)</f>
        <v>95298</v>
      </c>
      <c r="FF432" s="91">
        <f t="shared" ref="FF432:FF468" si="2244">SUMIF($C$12:$P$12,$A$3,EQ432:FD432)</f>
        <v>2382450</v>
      </c>
      <c r="FU432" s="91">
        <f t="shared" ref="FU432:FU468" si="2245">SUMIF($C$12:$P$12,$A$1,FG432:FT432)</f>
        <v>0</v>
      </c>
      <c r="FV432" s="91">
        <f t="shared" ref="FV432:FV468" si="2246">SUMIF($C$12:$P$12,$A$3,FG432:FT432)</f>
        <v>0</v>
      </c>
      <c r="GK432" s="91">
        <f t="shared" ref="GK432:GK468" si="2247">SUMIF($C$12:$P$12,$A$1,FW432:GJ432)</f>
        <v>0</v>
      </c>
      <c r="GL432" s="91">
        <f t="shared" ref="GL432:GL468" si="2248">SUMIF($C$12:$P$12,$A$3,FW432:GJ432)</f>
        <v>0</v>
      </c>
      <c r="HA432" s="91">
        <f t="shared" ref="HA432:HA468" si="2249">SUMIF($C$12:$P$12,$A$1,GM432:GZ432)</f>
        <v>0</v>
      </c>
      <c r="HB432" s="91">
        <f t="shared" ref="HB432:HB468" si="2250">SUMIF($C$12:$P$12,$A$3,GM432:GZ432)</f>
        <v>0</v>
      </c>
      <c r="HQ432" s="91">
        <f t="shared" ref="HQ432:HQ468" si="2251">SUMIF($C$12:$P$12,$A$1,HC432:HP432)</f>
        <v>0</v>
      </c>
      <c r="HR432" s="91">
        <f t="shared" ref="HR432:HR468" si="2252">SUMIF($C$12:$P$12,$A$3,HC432:HP432)</f>
        <v>0</v>
      </c>
      <c r="IG432" s="91">
        <f t="shared" ref="IG432:IG468" si="2253">SUMIF($C$12:$P$12,$A$1,HS432:IF432)</f>
        <v>0</v>
      </c>
      <c r="IH432" s="91">
        <f t="shared" ref="IH432:IH468" si="2254">SUMIF($C$12:$P$12,$A$3,HS432:IF432)</f>
        <v>0</v>
      </c>
      <c r="IW432" s="91">
        <f t="shared" ref="IW432:IW468" si="2255">SUMIF($C$12:$P$12,$A$1,II432:IV432)</f>
        <v>0</v>
      </c>
      <c r="IX432" s="91">
        <f t="shared" ref="IX432:IX468" si="2256">SUMIF($C$12:$P$12,$A$3,II432:IV432)</f>
        <v>0</v>
      </c>
      <c r="JM432" s="91">
        <f t="shared" ref="JM432:JM468" si="2257">SUMIF($C$12:$P$12,$A$1,IY432:JL432)</f>
        <v>0</v>
      </c>
      <c r="JN432" s="91">
        <f t="shared" ref="JN432:JN468" si="2258">SUMIF($C$12:$P$12,$A$3,IY432:JL432)</f>
        <v>0</v>
      </c>
      <c r="KC432" s="91">
        <f t="shared" ref="KC432:KC468" si="2259">SUMIF($C$12:$P$12,$A$1,JO432:KB432)</f>
        <v>0</v>
      </c>
      <c r="KD432" s="91">
        <f t="shared" ref="KD432:KD468" si="2260">SUMIF($C$12:$P$12,$A$3,JO432:KB432)</f>
        <v>0</v>
      </c>
      <c r="KG432" s="98">
        <v>250</v>
      </c>
      <c r="KH432" s="98">
        <v>7500</v>
      </c>
      <c r="KS432" s="91">
        <f t="shared" ref="KS432:KS468" si="2261">SUMIF($C$12:$P$12,$A$1,KE432:KR432)</f>
        <v>250</v>
      </c>
      <c r="KT432" s="91">
        <f t="shared" ref="KT432:KT468" si="2262">SUMIF($C$12:$P$12,$A$3,KE432:KR432)</f>
        <v>7500</v>
      </c>
      <c r="KW432" s="98">
        <v>546182.51</v>
      </c>
      <c r="KX432" s="98">
        <v>9285102</v>
      </c>
      <c r="LI432" s="91">
        <f t="shared" ref="LI432:LI468" si="2263">SUMIF($C$12:$P$12,$A$1,KU432:LH432)</f>
        <v>546182.51</v>
      </c>
      <c r="LJ432" s="91">
        <f t="shared" ref="LJ432:LJ468" si="2264">SUMIF($C$12:$P$12,$A$3,KU432:LH432)</f>
        <v>9285102</v>
      </c>
      <c r="LY432" s="91">
        <f t="shared" ref="LY432:LY468" si="2265">SUMIF($C$12:$P$12,$A$1,LK432:LX432)</f>
        <v>0</v>
      </c>
      <c r="LZ432" s="91">
        <f t="shared" ref="LZ432:LZ468" si="2266">SUMIF($C$12:$P$12,$A$3,LK432:LX432)</f>
        <v>0</v>
      </c>
      <c r="MC432" s="98">
        <v>4140</v>
      </c>
      <c r="MD432" s="98">
        <v>62100</v>
      </c>
      <c r="MO432" s="91">
        <f t="shared" ref="MO432:MO468" si="2267">SUMIF($C$12:$P$12,$A$1,MA432:MN432)</f>
        <v>4140</v>
      </c>
      <c r="MP432" s="91">
        <f t="shared" ref="MP432:MP468" si="2268">SUMIF($C$12:$P$12,$A$3,MA432:MN432)</f>
        <v>62100</v>
      </c>
      <c r="MS432" s="98">
        <v>73450</v>
      </c>
      <c r="MT432" s="98">
        <v>2056600</v>
      </c>
      <c r="NE432" s="91">
        <f t="shared" ref="NE432:NE468" si="2269">SUMIF($C$12:$P$12,$A$1,MQ432:ND432)</f>
        <v>73450</v>
      </c>
      <c r="NF432" s="91">
        <f t="shared" ref="NF432:NF468" si="2270">SUMIF($C$12:$P$12,$A$3,MQ432:ND432)</f>
        <v>2056600</v>
      </c>
      <c r="NI432" s="98">
        <v>2578300</v>
      </c>
      <c r="NJ432" s="98">
        <v>56722600</v>
      </c>
      <c r="NU432" s="91">
        <f t="shared" ref="NU432:NU468" si="2271">SUMIF($C$12:$P$12,$A$1,NG432:NT432)</f>
        <v>2578300</v>
      </c>
      <c r="NV432" s="91">
        <f t="shared" ref="NV432:NV468" si="2272">SUMIF($C$12:$P$12,$A$3,NG432:NT432)</f>
        <v>56722600</v>
      </c>
      <c r="NW432" s="98">
        <v>150</v>
      </c>
      <c r="NX432" s="98">
        <v>10500</v>
      </c>
      <c r="NY432" s="98">
        <v>120</v>
      </c>
      <c r="NZ432" s="98">
        <v>2160</v>
      </c>
      <c r="OK432" s="91">
        <f t="shared" ref="OK432:OK468" si="2273">SUMIF($C$12:$P$12,$A$1,NW432:OJ432)</f>
        <v>270</v>
      </c>
      <c r="OL432" s="91">
        <f t="shared" ref="OL432:OL468" si="2274">SUMIF($C$12:$P$12,$A$3,NW432:OJ432)</f>
        <v>12660</v>
      </c>
      <c r="OO432" s="98">
        <v>9640</v>
      </c>
      <c r="OP432" s="98">
        <v>289200</v>
      </c>
      <c r="PA432" s="91">
        <f t="shared" ref="PA432:PA468" si="2275">SUMIF($C$12:$P$12,$A$1,OM432:OZ432)</f>
        <v>9640</v>
      </c>
      <c r="PB432" s="91">
        <f t="shared" ref="PB432:PB468" si="2276">SUMIF($C$12:$P$12,$A$3,OM432:OZ432)</f>
        <v>289200</v>
      </c>
      <c r="PQ432" s="91">
        <f t="shared" ref="PQ432:PQ468" si="2277">SUMIF($C$12:$P$12,$A$1,PC432:PP432)</f>
        <v>0</v>
      </c>
      <c r="PR432" s="91">
        <f t="shared" ref="PR432:PR468" si="2278">SUMIF($C$12:$P$12,$A$3,PC432:PP432)</f>
        <v>0</v>
      </c>
      <c r="PU432" s="98">
        <v>895100</v>
      </c>
      <c r="PV432" s="98">
        <v>16111800</v>
      </c>
      <c r="QA432" s="98">
        <v>431780</v>
      </c>
      <c r="QB432" s="98">
        <v>7772040</v>
      </c>
      <c r="QG432" s="91">
        <f t="shared" ref="QG432:QG468" si="2279">SUMIF($C$12:$P$12,$A$1,PS432:QF432)</f>
        <v>1326880</v>
      </c>
      <c r="QH432" s="91">
        <f t="shared" ref="QH432:QH468" si="2280">SUMIF($C$12:$P$12,$A$3,PS432:QF432)</f>
        <v>23883840</v>
      </c>
      <c r="QW432" s="91">
        <f t="shared" ref="QW432:QW468" si="2281">SUMIF($C$12:$P$12,$A$1,QI432:QV432)</f>
        <v>0</v>
      </c>
      <c r="QX432" s="91">
        <f t="shared" ref="QX432:QX468" si="2282">SUMIF($C$12:$P$12,$A$3,QI432:QV432)</f>
        <v>0</v>
      </c>
      <c r="RM432" s="91">
        <f t="shared" ref="RM432:RM468" si="2283">SUMIF($C$12:$P$12,$A$1,QY432:RL432)</f>
        <v>0</v>
      </c>
      <c r="RN432" s="91">
        <f t="shared" ref="RN432:RN468" si="2284">SUMIF($C$12:$P$12,$A$3,QY432:RL432)</f>
        <v>0</v>
      </c>
      <c r="SC432" s="91">
        <f t="shared" ref="SC432:SC468" si="2285">SUMIF($C$12:$P$12,$A$1,RO432:SB432)</f>
        <v>0</v>
      </c>
      <c r="SD432" s="91">
        <f t="shared" ref="SD432:SD468" si="2286">SUMIF($C$12:$P$12,$A$3,RO432:SB432)</f>
        <v>0</v>
      </c>
      <c r="SS432" s="91">
        <f t="shared" ref="SS432:SS468" si="2287">SUMIF($C$12:$P$12,$A$1,SE432:SR432)</f>
        <v>0</v>
      </c>
      <c r="ST432" s="91">
        <f t="shared" ref="ST432:ST468" si="2288">SUMIF($C$12:$P$12,$A$3,SE432:SR432)</f>
        <v>0</v>
      </c>
      <c r="TI432" s="91">
        <f t="shared" ref="TI432:TI468" si="2289">SUMIF($C$12:$P$12,$A$1,SU432:TH432)</f>
        <v>0</v>
      </c>
      <c r="TJ432" s="91">
        <f t="shared" ref="TJ432:TJ468" si="2290">SUMIF($C$12:$P$12,$A$3,SU432:TH432)</f>
        <v>0</v>
      </c>
      <c r="TY432" s="91">
        <f t="shared" ref="TY432:TY468" si="2291">SUMIF($C$12:$P$12,$A$1,TK432:TX432)</f>
        <v>0</v>
      </c>
      <c r="TZ432" s="91">
        <f t="shared" ref="TZ432:TZ468" si="2292">SUMIF($C$12:$P$12,$A$3,TK432:TX432)</f>
        <v>0</v>
      </c>
      <c r="UO432" s="91">
        <f t="shared" ref="UO432:UO468" si="2293">SUMIF($C$12:$P$12,$A$1,UA432:UN432)</f>
        <v>0</v>
      </c>
      <c r="UP432" s="91">
        <f t="shared" ref="UP432:UP466" si="2294">SUMIF($C$12:$P$12,$A$3,UA432:UN432)</f>
        <v>0</v>
      </c>
      <c r="US432" s="98">
        <v>72700</v>
      </c>
      <c r="UT432" s="98">
        <v>1163200</v>
      </c>
      <c r="VE432" s="91">
        <f t="shared" ref="VE432:VE468" si="2295">SUMIF($C$12:$P$12,$A$1,UQ432:VD432)</f>
        <v>72700</v>
      </c>
      <c r="VF432" s="91">
        <f t="shared" ref="VF432:VF468" si="2296">SUMIF($C$12:$P$12,$A$3,UQ432:VD432)</f>
        <v>1163200</v>
      </c>
      <c r="VI432" s="98">
        <v>30665</v>
      </c>
      <c r="VJ432" s="98">
        <v>490640</v>
      </c>
      <c r="VU432" s="91">
        <f t="shared" ref="VU432:VU468" si="2297">SUMIF($C$12:$P$12,$A$1,VG432:VT432)</f>
        <v>30665</v>
      </c>
      <c r="VV432" s="91">
        <f t="shared" ref="VV432:VV468" si="2298">SUMIF($C$12:$P$12,$A$3,VG432:VT432)</f>
        <v>490640</v>
      </c>
      <c r="VY432" s="98">
        <v>315540</v>
      </c>
      <c r="VZ432" s="98">
        <v>10097280</v>
      </c>
      <c r="WC432" s="98">
        <v>23200</v>
      </c>
      <c r="WD432" s="98">
        <v>742400</v>
      </c>
      <c r="WK432" s="91">
        <f t="shared" ref="WK432:WK468" si="2299">SUMIF($C$12:$P$12,$A$1,VW432:WJ432)</f>
        <v>338740</v>
      </c>
      <c r="WL432" s="91">
        <f t="shared" ref="WL432:WL468" si="2300">SUMIF($C$12:$P$12,$A$3,VW432:WJ432)</f>
        <v>10839680</v>
      </c>
      <c r="WM432" s="89"/>
      <c r="WN432" s="87">
        <f t="shared" ref="WN432:WN459" si="2301">SUMIF($C$5:$WL$5,$WN$5,C432:WL432)</f>
        <v>150</v>
      </c>
      <c r="WO432" s="87">
        <f t="shared" ref="WO432:WO459" si="2302">SUMIF($C$5:$WL$5,$WO$5,C432:WL432)</f>
        <v>10500</v>
      </c>
      <c r="WP432" s="87">
        <f t="shared" ref="WP432:WP459" si="2303">SUMIF($C$5:$WL$5,$WP$5,C432:WL432)</f>
        <v>8866256.1518447325</v>
      </c>
      <c r="WQ432" s="87">
        <f t="shared" ref="WQ432:WQ459" si="2304">SUMIF($C$5:$WL$5,$WQ$5,C432:WL432)</f>
        <v>200135145.91</v>
      </c>
      <c r="WR432" s="87">
        <f t="shared" ref="WR432:WR459" si="2305">SUMIF($C$5:$WL$5,$WR$5,C432:WL432)</f>
        <v>0</v>
      </c>
      <c r="WS432" s="87">
        <f t="shared" ref="WS432:WS459" si="2306">SUMIF($C$5:$WL$5,$WS$5,C432:WL432)</f>
        <v>0</v>
      </c>
      <c r="WT432" s="87">
        <f t="shared" ref="WT432:WT459" si="2307">SUMIF($C$5:$WL$5,$WT$5,C432:WL432)</f>
        <v>3345920.456767228</v>
      </c>
      <c r="WU432" s="87">
        <f t="shared" ref="WU432:WU459" si="2308">SUMIF($C$5:$WL$5,$WU$5,C432:WL432)</f>
        <v>77318802.505646244</v>
      </c>
      <c r="WV432" s="87">
        <f t="shared" ref="WV432:WV459" si="2309">SUMIF($C$5:$WL$5,$WV$5,C432:WL432)</f>
        <v>431780</v>
      </c>
      <c r="WW432" s="87">
        <f t="shared" ref="WW432:WW459" si="2310">SUMIF($C$5:$WL$5,$WW$5,C432:WL432)</f>
        <v>7772040</v>
      </c>
      <c r="WX432" s="87">
        <f t="shared" ref="WX432:WX459" si="2311">SUMIF($C$5:$WL$5,$WX$5,C432:WL432)</f>
        <v>0</v>
      </c>
      <c r="WY432" s="87">
        <f t="shared" ref="WY432:WY459" si="2312">SUMIF($C$5:$WL$5,$WY$5,C432:WL432)</f>
        <v>0</v>
      </c>
      <c r="WZ432" s="87">
        <f t="shared" ref="WZ432:WZ454" si="2313">SUMIF($C$5:$WL$5,$WZ$5,C432:WL432)</f>
        <v>0</v>
      </c>
      <c r="XA432" s="87">
        <f t="shared" ref="XA432:XA454" si="2314">SUMIF($C$5:$WL$5,$XA$5,C432:WL432)</f>
        <v>0</v>
      </c>
      <c r="XB432" s="92">
        <f t="shared" ref="XB432:XB454" si="2315">SUMIF($WN$12:$XA$12,$XB$12,WN432:XA432)</f>
        <v>12644106.60861196</v>
      </c>
      <c r="XC432" s="92">
        <f t="shared" ref="XC432:XC454" si="2316">SUMIF($WN$12:$XA$12,$XC$12,WN432:XA432)</f>
        <v>285236488.41564626</v>
      </c>
      <c r="XD432" s="89"/>
      <c r="XE432" s="92"/>
      <c r="XF432" s="92"/>
      <c r="XG432" s="89"/>
      <c r="XH432" s="92"/>
      <c r="XI432" s="92"/>
      <c r="XJ432" s="89"/>
      <c r="XK432" s="87"/>
      <c r="XL432" s="87"/>
      <c r="XM432" s="87"/>
      <c r="XN432" s="87"/>
      <c r="XO432" s="87"/>
      <c r="XP432" s="87"/>
      <c r="XQ432" s="87"/>
      <c r="XR432" s="92">
        <f t="shared" ref="XR432:XR468" ca="1" si="2317">SUMIF($WN$12:$XA$12,$XB$12,XK432:XQ432)</f>
        <v>0</v>
      </c>
      <c r="XS432" s="89"/>
      <c r="XT432" s="87"/>
      <c r="XU432" s="87"/>
      <c r="XV432" s="87"/>
      <c r="XW432" s="87"/>
      <c r="XX432" s="87"/>
      <c r="XY432" s="87"/>
      <c r="XZ432" s="87"/>
      <c r="YA432" s="92">
        <f t="shared" ref="YA432:YA468" ca="1" si="2318">SUMIF($WN$12:$XA$12,$XB$12,XT432:XZ432)</f>
        <v>0</v>
      </c>
      <c r="YB432" s="90"/>
      <c r="YC432" s="90"/>
      <c r="YD432" s="90"/>
      <c r="YE432" s="90"/>
      <c r="YF432" s="90"/>
      <c r="YG432" s="90"/>
      <c r="YH432" s="90"/>
      <c r="YI432" s="90"/>
      <c r="YJ432" s="90"/>
      <c r="YK432" s="90"/>
      <c r="YL432" s="90"/>
      <c r="YM432" s="90"/>
      <c r="YN432" s="90"/>
      <c r="YO432" s="90"/>
      <c r="YP432" s="90"/>
      <c r="YQ432" s="90"/>
      <c r="YR432" s="90"/>
      <c r="YS432" s="90"/>
      <c r="YT432" s="90"/>
      <c r="YU432" s="90"/>
      <c r="YV432" s="90"/>
      <c r="YW432" s="90"/>
      <c r="YX432" s="90"/>
      <c r="YY432" s="90"/>
      <c r="YZ432" s="90"/>
      <c r="ZA432" s="90"/>
      <c r="ZB432" s="90"/>
      <c r="ZC432" s="90"/>
      <c r="ZD432" s="90"/>
      <c r="ZE432" s="90"/>
      <c r="ZF432" s="90"/>
      <c r="ZG432" s="90"/>
      <c r="ZH432" s="90"/>
      <c r="ZI432" s="90"/>
      <c r="ZJ432" s="90"/>
      <c r="ZK432" s="90"/>
      <c r="ZL432" s="90"/>
      <c r="ZM432" s="90"/>
      <c r="ZN432" s="90"/>
      <c r="ZO432" s="90"/>
      <c r="ZP432" s="90"/>
      <c r="ZQ432" s="90"/>
      <c r="ZR432" s="90"/>
      <c r="ZS432" s="90"/>
      <c r="ZT432" s="90"/>
      <c r="ZU432" s="90"/>
      <c r="ZV432" s="90"/>
      <c r="ZW432" s="90"/>
      <c r="ZX432" s="90"/>
      <c r="ZY432" s="90"/>
      <c r="ZZ432" s="90"/>
      <c r="AAA432" s="90"/>
      <c r="AAB432" s="90"/>
      <c r="AAC432" s="90"/>
      <c r="AAD432" s="90"/>
      <c r="AAE432" s="90"/>
      <c r="AAF432" s="90"/>
      <c r="AAG432" s="90"/>
      <c r="AAH432" s="90"/>
      <c r="AAI432" s="90"/>
      <c r="AAJ432" s="90"/>
      <c r="AAK432" s="90"/>
      <c r="AAL432" s="90"/>
      <c r="AAM432" s="90"/>
      <c r="AAN432" s="90"/>
      <c r="AAO432" s="90"/>
      <c r="AAP432" s="90"/>
      <c r="AAQ432" s="90"/>
      <c r="AAR432" s="90"/>
      <c r="AAS432" s="90"/>
      <c r="AAT432" s="90"/>
      <c r="AAU432" s="90"/>
      <c r="AAV432" s="90"/>
      <c r="AAW432" s="90"/>
      <c r="AAX432" s="90"/>
      <c r="AAY432" s="90"/>
      <c r="AAZ432" s="90"/>
      <c r="ABA432" s="90"/>
      <c r="ABB432" s="90"/>
      <c r="ABC432" s="90"/>
      <c r="ABD432" s="90"/>
      <c r="ABE432" s="90"/>
      <c r="ABF432" s="90"/>
      <c r="ABG432" s="90"/>
      <c r="ABH432" s="90"/>
      <c r="ABI432" s="90"/>
      <c r="ABJ432" s="90"/>
      <c r="ABK432" s="90"/>
      <c r="ABL432" s="90"/>
      <c r="ABM432" s="90"/>
      <c r="ABN432" s="90"/>
      <c r="ABO432" s="90"/>
      <c r="ABP432" s="90"/>
      <c r="ABQ432" s="90"/>
      <c r="ABR432" s="90"/>
      <c r="ABS432" s="90"/>
      <c r="ABT432" s="90"/>
      <c r="ABU432" s="90"/>
      <c r="ABV432" s="90"/>
      <c r="ABW432" s="90"/>
      <c r="ABX432" s="90"/>
      <c r="ABY432" s="90"/>
      <c r="ABZ432" s="90"/>
      <c r="ACA432" s="90"/>
      <c r="ACB432" s="90"/>
      <c r="ACC432" s="90"/>
      <c r="ACD432" s="90"/>
      <c r="ACE432" s="90"/>
      <c r="ACF432" s="90"/>
      <c r="ACG432" s="90"/>
      <c r="ACH432" s="90"/>
      <c r="ACI432" s="90"/>
      <c r="ACJ432" s="90"/>
      <c r="ACK432" s="90"/>
      <c r="ACL432" s="90"/>
      <c r="ACM432" s="90"/>
      <c r="ACN432" s="90"/>
      <c r="ACO432" s="90"/>
      <c r="ACP432" s="90"/>
      <c r="ACQ432" s="90"/>
      <c r="ACR432" s="90"/>
      <c r="ACS432" s="90"/>
      <c r="ACT432" s="90"/>
      <c r="ACU432" s="90"/>
      <c r="ACV432" s="90"/>
      <c r="ACW432" s="90"/>
      <c r="ACX432" s="90"/>
      <c r="ACY432" s="90"/>
      <c r="ACZ432" s="90"/>
      <c r="ADA432" s="90"/>
      <c r="ADB432" s="90"/>
      <c r="ADC432" s="90"/>
      <c r="ADD432" s="90"/>
      <c r="ADE432" s="90"/>
      <c r="ADF432" s="90"/>
      <c r="ADG432" s="90"/>
      <c r="ADH432" s="90"/>
      <c r="ADI432" s="90"/>
      <c r="ADJ432" s="90"/>
      <c r="ADK432" s="90"/>
      <c r="ADL432" s="90"/>
      <c r="ADM432" s="90"/>
      <c r="ADN432" s="90"/>
      <c r="ADO432" s="90"/>
      <c r="ADP432" s="90"/>
      <c r="ADQ432" s="90"/>
      <c r="ADR432" s="90"/>
      <c r="ADS432" s="90"/>
      <c r="ADT432" s="90"/>
      <c r="ADU432" s="90"/>
      <c r="ADV432" s="90"/>
      <c r="ADW432" s="90"/>
      <c r="ADX432" s="90"/>
      <c r="ADY432" s="90"/>
      <c r="ADZ432" s="90"/>
      <c r="AEA432" s="90"/>
      <c r="AEB432" s="90"/>
      <c r="AEC432" s="90"/>
      <c r="AED432" s="90"/>
      <c r="AEE432" s="90"/>
      <c r="AEF432" s="90"/>
      <c r="AEG432" s="90"/>
      <c r="AEH432" s="90"/>
      <c r="AEI432" s="90"/>
      <c r="AEJ432" s="90"/>
      <c r="AEK432" s="90"/>
      <c r="AEL432" s="90"/>
      <c r="AEM432" s="90"/>
      <c r="AEN432" s="90"/>
      <c r="AEO432" s="90"/>
      <c r="AEP432" s="90"/>
      <c r="AEQ432" s="90"/>
      <c r="AER432" s="90"/>
      <c r="AES432" s="90"/>
      <c r="AET432" s="90"/>
      <c r="AEU432" s="90"/>
      <c r="AEV432" s="90"/>
      <c r="AEW432" s="90"/>
      <c r="AEX432" s="90"/>
      <c r="AEY432" s="90"/>
      <c r="AEZ432" s="90"/>
      <c r="AFA432" s="90"/>
      <c r="AFB432" s="90"/>
      <c r="AFC432" s="90"/>
      <c r="AFD432" s="90"/>
      <c r="AFE432" s="90"/>
      <c r="AFF432" s="90"/>
      <c r="AFG432" s="90"/>
      <c r="AFH432" s="90"/>
      <c r="AFI432" s="90"/>
      <c r="AFJ432" s="90"/>
      <c r="AFK432" s="90"/>
      <c r="AFL432" s="90"/>
      <c r="AFM432" s="90"/>
      <c r="AFN432" s="90"/>
      <c r="AFO432" s="90"/>
      <c r="AFP432" s="90"/>
      <c r="AFQ432" s="90"/>
      <c r="AFR432" s="90"/>
      <c r="AFS432" s="90"/>
      <c r="AFT432" s="90"/>
      <c r="AFU432" s="90"/>
      <c r="AFV432" s="90"/>
      <c r="AFW432" s="90"/>
      <c r="AFX432" s="90"/>
      <c r="AFY432" s="90"/>
      <c r="AFZ432" s="90"/>
      <c r="AGA432" s="90"/>
      <c r="AGB432" s="90"/>
      <c r="AGC432" s="90"/>
      <c r="AGD432" s="90"/>
      <c r="AGE432" s="90"/>
      <c r="AGF432" s="90"/>
      <c r="AGG432" s="90"/>
      <c r="AGH432" s="90"/>
      <c r="AGI432" s="90"/>
      <c r="AGJ432" s="90"/>
      <c r="AGK432" s="90"/>
      <c r="AGL432" s="90"/>
      <c r="AGM432" s="90"/>
      <c r="AGN432" s="90"/>
      <c r="AGO432" s="90"/>
      <c r="AGP432" s="90"/>
      <c r="AGQ432" s="90"/>
      <c r="AGR432" s="90"/>
      <c r="AGS432" s="90"/>
      <c r="AGT432" s="90"/>
      <c r="AGU432" s="90"/>
      <c r="AGV432" s="90"/>
      <c r="AGW432" s="90"/>
      <c r="AGX432" s="90"/>
      <c r="AGY432" s="90"/>
      <c r="AGZ432" s="90"/>
      <c r="AHA432" s="90"/>
      <c r="AHB432" s="90"/>
      <c r="AHC432" s="90"/>
      <c r="AHD432" s="90"/>
      <c r="AHE432" s="90"/>
      <c r="AHF432" s="90"/>
      <c r="AHG432" s="90"/>
      <c r="AHH432" s="90"/>
      <c r="AHI432" s="90"/>
      <c r="AHJ432" s="90"/>
      <c r="AHK432" s="90"/>
      <c r="AHL432" s="90"/>
      <c r="AHM432" s="90"/>
      <c r="AHN432" s="90"/>
      <c r="AHO432" s="90"/>
      <c r="AHP432" s="90"/>
      <c r="AHQ432" s="90"/>
      <c r="AHR432" s="90"/>
      <c r="AHS432" s="90"/>
      <c r="AHT432" s="90"/>
      <c r="AHU432" s="90"/>
      <c r="AHV432" s="90"/>
      <c r="AHW432" s="90"/>
      <c r="AHX432" s="90"/>
      <c r="AHY432" s="90"/>
      <c r="AHZ432" s="90"/>
      <c r="AIA432" s="90"/>
      <c r="AIB432" s="90"/>
      <c r="AIC432" s="90"/>
      <c r="AID432" s="90"/>
      <c r="AIE432" s="90"/>
      <c r="AIF432" s="90"/>
      <c r="AIG432" s="90"/>
      <c r="AIH432" s="90"/>
      <c r="AII432" s="90"/>
      <c r="AIJ432" s="90"/>
      <c r="AIK432" s="90"/>
      <c r="AIL432" s="90"/>
      <c r="AIM432" s="90"/>
      <c r="AIN432" s="90"/>
      <c r="AIO432" s="90"/>
      <c r="AIP432" s="90"/>
      <c r="AIQ432" s="90"/>
      <c r="AIR432" s="90"/>
      <c r="AIS432" s="90"/>
      <c r="AIT432" s="90"/>
      <c r="AIU432" s="90"/>
      <c r="AIV432" s="90"/>
      <c r="AIW432" s="90"/>
      <c r="AIX432" s="90"/>
      <c r="AIY432" s="90"/>
      <c r="AIZ432" s="90"/>
      <c r="AJA432" s="90"/>
      <c r="AJB432" s="90"/>
      <c r="AJC432" s="90"/>
      <c r="AJD432" s="90"/>
      <c r="AJE432" s="90"/>
      <c r="AJF432" s="90"/>
      <c r="AJG432" s="90"/>
      <c r="AJH432" s="90"/>
      <c r="AJI432" s="90"/>
      <c r="AJJ432" s="90"/>
      <c r="AJK432" s="90"/>
      <c r="AJL432" s="90"/>
      <c r="AJM432" s="90"/>
      <c r="AJN432" s="90"/>
      <c r="AJO432" s="90"/>
      <c r="AJP432" s="90"/>
      <c r="AJQ432" s="90"/>
      <c r="AJR432" s="90"/>
      <c r="AJS432" s="90"/>
      <c r="AJT432" s="90"/>
      <c r="AJU432" s="90"/>
      <c r="AJV432" s="90"/>
      <c r="AJW432" s="90"/>
      <c r="AJX432" s="90"/>
      <c r="AJY432" s="90"/>
      <c r="AJZ432" s="90"/>
      <c r="AKA432" s="90"/>
      <c r="AKB432" s="90"/>
      <c r="AKC432" s="90"/>
      <c r="AKD432" s="90"/>
      <c r="AKE432" s="90"/>
      <c r="AKF432" s="90"/>
      <c r="AKG432" s="90"/>
      <c r="AKH432" s="90"/>
      <c r="AKI432" s="90"/>
      <c r="AKJ432" s="90"/>
      <c r="AKK432" s="90"/>
      <c r="AKL432" s="90"/>
      <c r="AKM432" s="90"/>
      <c r="AKN432" s="90"/>
      <c r="AKO432" s="90"/>
      <c r="AKP432" s="90"/>
      <c r="AKQ432" s="90"/>
      <c r="AKR432" s="90"/>
      <c r="AKS432" s="90"/>
      <c r="AKT432" s="90"/>
      <c r="AKU432" s="90"/>
      <c r="AKV432" s="90"/>
      <c r="AKW432" s="90"/>
      <c r="AKX432" s="90"/>
      <c r="AKY432" s="90"/>
      <c r="AKZ432" s="90"/>
      <c r="ALA432" s="90"/>
      <c r="ALB432" s="90"/>
      <c r="ALC432" s="90"/>
      <c r="ALD432" s="90"/>
      <c r="ALE432" s="90"/>
      <c r="ALF432" s="90"/>
      <c r="ALG432" s="90"/>
      <c r="ALH432" s="90"/>
      <c r="ALI432" s="90"/>
      <c r="ALJ432" s="90"/>
      <c r="ALK432" s="90"/>
      <c r="ALL432" s="90"/>
      <c r="ALM432" s="90"/>
      <c r="ALN432" s="90"/>
      <c r="ALO432" s="90"/>
      <c r="ALP432" s="90"/>
      <c r="ALQ432" s="90"/>
      <c r="ALR432" s="90"/>
      <c r="ALS432" s="90"/>
      <c r="ALT432" s="90"/>
      <c r="ALU432" s="90"/>
      <c r="ALV432" s="90"/>
      <c r="ALW432" s="90"/>
      <c r="ALX432" s="90"/>
      <c r="ALY432" s="90"/>
      <c r="ALZ432" s="90"/>
      <c r="AMA432" s="90"/>
      <c r="AMB432" s="90"/>
      <c r="AMC432" s="90"/>
    </row>
    <row r="433" spans="1:1017">
      <c r="A433" s="98" t="s">
        <v>56</v>
      </c>
      <c r="B433" s="90" t="str">
        <f t="shared" si="2224"/>
        <v xml:space="preserve">Bawal </v>
      </c>
      <c r="Q433" s="91">
        <f t="shared" si="2225"/>
        <v>0</v>
      </c>
      <c r="R433" s="91">
        <f t="shared" si="2226"/>
        <v>0</v>
      </c>
      <c r="Y433" s="98">
        <v>2845</v>
      </c>
      <c r="Z433" s="98">
        <v>56900</v>
      </c>
      <c r="AG433" s="91">
        <f t="shared" si="2227"/>
        <v>2845</v>
      </c>
      <c r="AH433" s="91">
        <f t="shared" si="2228"/>
        <v>56900</v>
      </c>
      <c r="AW433" s="91">
        <f t="shared" si="2229"/>
        <v>0</v>
      </c>
      <c r="AX433" s="91">
        <f t="shared" si="2230"/>
        <v>0</v>
      </c>
      <c r="BM433" s="91">
        <f t="shared" si="2231"/>
        <v>0</v>
      </c>
      <c r="BN433" s="91">
        <f t="shared" si="2232"/>
        <v>0</v>
      </c>
      <c r="CC433" s="91">
        <f t="shared" si="2233"/>
        <v>0</v>
      </c>
      <c r="CD433" s="91">
        <f t="shared" si="2234"/>
        <v>0</v>
      </c>
      <c r="CS433" s="91">
        <f t="shared" si="2235"/>
        <v>0</v>
      </c>
      <c r="CT433" s="91">
        <f t="shared" si="2236"/>
        <v>0</v>
      </c>
      <c r="DI433" s="91">
        <f t="shared" si="2237"/>
        <v>0</v>
      </c>
      <c r="DJ433" s="91">
        <f t="shared" si="2238"/>
        <v>0</v>
      </c>
      <c r="DQ433" s="98">
        <v>390300</v>
      </c>
      <c r="DR433" s="98">
        <v>6635100</v>
      </c>
      <c r="DY433" s="91">
        <f t="shared" si="2239"/>
        <v>390300</v>
      </c>
      <c r="DZ433" s="91">
        <f t="shared" si="2240"/>
        <v>6635100</v>
      </c>
      <c r="EG433" s="98">
        <v>75800</v>
      </c>
      <c r="EH433" s="98">
        <v>833800</v>
      </c>
      <c r="EO433" s="91">
        <f t="shared" si="2241"/>
        <v>75800</v>
      </c>
      <c r="EP433" s="91">
        <f t="shared" si="2242"/>
        <v>833800</v>
      </c>
      <c r="FE433" s="91">
        <f t="shared" si="2243"/>
        <v>0</v>
      </c>
      <c r="FF433" s="91">
        <f t="shared" si="2244"/>
        <v>0</v>
      </c>
      <c r="FU433" s="91">
        <f t="shared" si="2245"/>
        <v>0</v>
      </c>
      <c r="FV433" s="91">
        <f t="shared" si="2246"/>
        <v>0</v>
      </c>
      <c r="GK433" s="91">
        <f t="shared" si="2247"/>
        <v>0</v>
      </c>
      <c r="GL433" s="91">
        <f t="shared" si="2248"/>
        <v>0</v>
      </c>
      <c r="HA433" s="91">
        <f t="shared" si="2249"/>
        <v>0</v>
      </c>
      <c r="HB433" s="91">
        <f t="shared" si="2250"/>
        <v>0</v>
      </c>
      <c r="HQ433" s="91">
        <f t="shared" si="2251"/>
        <v>0</v>
      </c>
      <c r="HR433" s="91">
        <f t="shared" si="2252"/>
        <v>0</v>
      </c>
      <c r="IG433" s="91">
        <f t="shared" si="2253"/>
        <v>0</v>
      </c>
      <c r="IH433" s="91">
        <f t="shared" si="2254"/>
        <v>0</v>
      </c>
      <c r="IO433" s="98">
        <v>2800</v>
      </c>
      <c r="IP433" s="98">
        <v>70000</v>
      </c>
      <c r="IW433" s="91">
        <f t="shared" si="2255"/>
        <v>2800</v>
      </c>
      <c r="IX433" s="91">
        <f t="shared" si="2256"/>
        <v>70000</v>
      </c>
      <c r="JM433" s="91">
        <f t="shared" si="2257"/>
        <v>0</v>
      </c>
      <c r="JN433" s="91">
        <f t="shared" si="2258"/>
        <v>0</v>
      </c>
      <c r="KC433" s="91">
        <f t="shared" si="2259"/>
        <v>0</v>
      </c>
      <c r="KD433" s="91">
        <f t="shared" si="2260"/>
        <v>0</v>
      </c>
      <c r="KS433" s="91">
        <f t="shared" si="2261"/>
        <v>0</v>
      </c>
      <c r="KT433" s="91">
        <f t="shared" si="2262"/>
        <v>0</v>
      </c>
      <c r="LI433" s="91">
        <f t="shared" si="2263"/>
        <v>0</v>
      </c>
      <c r="LJ433" s="91">
        <f t="shared" si="2264"/>
        <v>0</v>
      </c>
      <c r="LY433" s="91">
        <f t="shared" si="2265"/>
        <v>0</v>
      </c>
      <c r="LZ433" s="91">
        <f t="shared" si="2266"/>
        <v>0</v>
      </c>
      <c r="MO433" s="91">
        <f t="shared" si="2267"/>
        <v>0</v>
      </c>
      <c r="MP433" s="91">
        <f t="shared" si="2268"/>
        <v>0</v>
      </c>
      <c r="NE433" s="91">
        <f t="shared" si="2269"/>
        <v>0</v>
      </c>
      <c r="NF433" s="91">
        <f t="shared" si="2270"/>
        <v>0</v>
      </c>
      <c r="NQ433" s="98">
        <v>113</v>
      </c>
      <c r="NR433" s="98">
        <v>2034</v>
      </c>
      <c r="NU433" s="91">
        <f t="shared" si="2271"/>
        <v>113</v>
      </c>
      <c r="NV433" s="91">
        <f t="shared" si="2272"/>
        <v>2034</v>
      </c>
      <c r="OK433" s="91">
        <f t="shared" si="2273"/>
        <v>0</v>
      </c>
      <c r="OL433" s="91">
        <f t="shared" si="2274"/>
        <v>0</v>
      </c>
      <c r="PA433" s="91">
        <f t="shared" si="2275"/>
        <v>0</v>
      </c>
      <c r="PB433" s="91">
        <f t="shared" si="2276"/>
        <v>0</v>
      </c>
      <c r="PQ433" s="91">
        <f t="shared" si="2277"/>
        <v>0</v>
      </c>
      <c r="PR433" s="91">
        <f t="shared" si="2278"/>
        <v>0</v>
      </c>
      <c r="PY433" s="98">
        <v>21540</v>
      </c>
      <c r="PZ433" s="98">
        <v>430800</v>
      </c>
      <c r="QC433" s="98">
        <v>12050</v>
      </c>
      <c r="QD433" s="98">
        <v>180750</v>
      </c>
      <c r="QG433" s="91">
        <f t="shared" si="2279"/>
        <v>33590</v>
      </c>
      <c r="QH433" s="91">
        <f t="shared" si="2280"/>
        <v>611550</v>
      </c>
      <c r="QW433" s="91">
        <f t="shared" si="2281"/>
        <v>0</v>
      </c>
      <c r="QX433" s="91">
        <f t="shared" si="2282"/>
        <v>0</v>
      </c>
      <c r="RM433" s="91">
        <f t="shared" si="2283"/>
        <v>0</v>
      </c>
      <c r="RN433" s="91">
        <f t="shared" si="2284"/>
        <v>0</v>
      </c>
      <c r="SC433" s="91">
        <f t="shared" si="2285"/>
        <v>0</v>
      </c>
      <c r="SD433" s="91">
        <f t="shared" si="2286"/>
        <v>0</v>
      </c>
      <c r="SS433" s="91">
        <f t="shared" si="2287"/>
        <v>0</v>
      </c>
      <c r="ST433" s="91">
        <f t="shared" si="2288"/>
        <v>0</v>
      </c>
      <c r="TI433" s="91">
        <f t="shared" si="2289"/>
        <v>0</v>
      </c>
      <c r="TJ433" s="91">
        <f t="shared" si="2290"/>
        <v>0</v>
      </c>
      <c r="TY433" s="91">
        <f t="shared" si="2291"/>
        <v>0</v>
      </c>
      <c r="TZ433" s="91">
        <f t="shared" si="2292"/>
        <v>0</v>
      </c>
      <c r="UO433" s="91">
        <f t="shared" si="2293"/>
        <v>0</v>
      </c>
      <c r="UP433" s="91">
        <f t="shared" si="2294"/>
        <v>0</v>
      </c>
      <c r="VE433" s="91">
        <f t="shared" si="2295"/>
        <v>0</v>
      </c>
      <c r="VF433" s="91">
        <f t="shared" si="2296"/>
        <v>0</v>
      </c>
      <c r="VU433" s="91">
        <f t="shared" si="2297"/>
        <v>0</v>
      </c>
      <c r="VV433" s="91">
        <f t="shared" si="2298"/>
        <v>0</v>
      </c>
      <c r="WK433" s="91">
        <f t="shared" si="2299"/>
        <v>0</v>
      </c>
      <c r="WL433" s="91">
        <f t="shared" si="2300"/>
        <v>0</v>
      </c>
      <c r="WM433" s="89"/>
      <c r="WN433" s="87">
        <f t="shared" si="2301"/>
        <v>0</v>
      </c>
      <c r="WO433" s="87">
        <f t="shared" si="2302"/>
        <v>0</v>
      </c>
      <c r="WP433" s="87">
        <f t="shared" si="2303"/>
        <v>0</v>
      </c>
      <c r="WQ433" s="87">
        <f t="shared" si="2304"/>
        <v>0</v>
      </c>
      <c r="WR433" s="87">
        <f t="shared" si="2305"/>
        <v>0</v>
      </c>
      <c r="WS433" s="87">
        <f t="shared" si="2306"/>
        <v>0</v>
      </c>
      <c r="WT433" s="87">
        <f t="shared" si="2307"/>
        <v>493285</v>
      </c>
      <c r="WU433" s="87">
        <f t="shared" si="2308"/>
        <v>8026600</v>
      </c>
      <c r="WV433" s="87">
        <f t="shared" si="2309"/>
        <v>0</v>
      </c>
      <c r="WW433" s="87">
        <f t="shared" si="2310"/>
        <v>0</v>
      </c>
      <c r="WX433" s="87">
        <f t="shared" si="2311"/>
        <v>12163</v>
      </c>
      <c r="WY433" s="87">
        <f t="shared" si="2312"/>
        <v>182784</v>
      </c>
      <c r="WZ433" s="87">
        <f t="shared" si="2313"/>
        <v>0</v>
      </c>
      <c r="XA433" s="87">
        <f t="shared" si="2314"/>
        <v>0</v>
      </c>
      <c r="XB433" s="92">
        <f t="shared" si="2315"/>
        <v>505448</v>
      </c>
      <c r="XC433" s="92">
        <f t="shared" si="2316"/>
        <v>8209384</v>
      </c>
      <c r="XD433" s="89"/>
      <c r="XE433" s="92"/>
      <c r="XF433" s="92"/>
      <c r="XG433" s="89"/>
      <c r="XH433" s="92"/>
      <c r="XI433" s="92"/>
      <c r="XJ433" s="89"/>
      <c r="XK433" s="87"/>
      <c r="XL433" s="87"/>
      <c r="XM433" s="87"/>
      <c r="XN433" s="87"/>
      <c r="XO433" s="87"/>
      <c r="XP433" s="87"/>
      <c r="XQ433" s="87"/>
      <c r="XR433" s="92">
        <f t="shared" ca="1" si="2317"/>
        <v>0</v>
      </c>
      <c r="XS433" s="89"/>
      <c r="XT433" s="87"/>
      <c r="XU433" s="87"/>
      <c r="XV433" s="87"/>
      <c r="XW433" s="87"/>
      <c r="XX433" s="87"/>
      <c r="XY433" s="87"/>
      <c r="XZ433" s="87"/>
      <c r="YA433" s="92">
        <f t="shared" ca="1" si="2318"/>
        <v>0</v>
      </c>
      <c r="YB433" s="90"/>
      <c r="YC433" s="90"/>
      <c r="YD433" s="90"/>
      <c r="YE433" s="90"/>
      <c r="YF433" s="90"/>
      <c r="YG433" s="90"/>
      <c r="YH433" s="90"/>
      <c r="YI433" s="90"/>
      <c r="YJ433" s="90"/>
      <c r="YK433" s="90"/>
      <c r="YL433" s="90"/>
      <c r="YM433" s="90"/>
      <c r="YN433" s="90"/>
      <c r="YO433" s="90"/>
      <c r="YP433" s="90"/>
      <c r="YQ433" s="90"/>
      <c r="YR433" s="90"/>
      <c r="YS433" s="90"/>
      <c r="YT433" s="90"/>
      <c r="YU433" s="90"/>
      <c r="YV433" s="90"/>
      <c r="YW433" s="90"/>
      <c r="YX433" s="90"/>
      <c r="YY433" s="90"/>
      <c r="YZ433" s="90"/>
      <c r="ZA433" s="90"/>
      <c r="ZB433" s="90"/>
      <c r="ZC433" s="90"/>
      <c r="ZD433" s="90"/>
      <c r="ZE433" s="90"/>
      <c r="ZF433" s="90"/>
      <c r="ZG433" s="90"/>
      <c r="ZH433" s="90"/>
      <c r="ZI433" s="90"/>
      <c r="ZJ433" s="90"/>
      <c r="ZK433" s="90"/>
      <c r="ZL433" s="90"/>
      <c r="ZM433" s="90"/>
      <c r="ZN433" s="90"/>
      <c r="ZO433" s="90"/>
      <c r="ZP433" s="90"/>
      <c r="ZQ433" s="90"/>
      <c r="ZR433" s="90"/>
      <c r="ZS433" s="90"/>
      <c r="ZT433" s="90"/>
      <c r="ZU433" s="90"/>
      <c r="ZV433" s="90"/>
      <c r="ZW433" s="90"/>
      <c r="ZX433" s="90"/>
      <c r="ZY433" s="90"/>
      <c r="ZZ433" s="90"/>
      <c r="AAA433" s="90"/>
      <c r="AAB433" s="90"/>
      <c r="AAC433" s="90"/>
      <c r="AAD433" s="90"/>
      <c r="AAE433" s="90"/>
      <c r="AAF433" s="90"/>
      <c r="AAG433" s="90"/>
      <c r="AAH433" s="90"/>
      <c r="AAI433" s="90"/>
      <c r="AAJ433" s="90"/>
      <c r="AAK433" s="90"/>
      <c r="AAL433" s="90"/>
      <c r="AAM433" s="90"/>
      <c r="AAN433" s="90"/>
      <c r="AAO433" s="90"/>
      <c r="AAP433" s="90"/>
      <c r="AAQ433" s="90"/>
      <c r="AAR433" s="90"/>
      <c r="AAS433" s="90"/>
      <c r="AAT433" s="90"/>
      <c r="AAU433" s="90"/>
      <c r="AAV433" s="90"/>
      <c r="AAW433" s="90"/>
      <c r="AAX433" s="90"/>
      <c r="AAY433" s="90"/>
      <c r="AAZ433" s="90"/>
      <c r="ABA433" s="90"/>
      <c r="ABB433" s="90"/>
      <c r="ABC433" s="90"/>
      <c r="ABD433" s="90"/>
      <c r="ABE433" s="90"/>
      <c r="ABF433" s="90"/>
      <c r="ABG433" s="90"/>
      <c r="ABH433" s="90"/>
      <c r="ABI433" s="90"/>
      <c r="ABJ433" s="90"/>
      <c r="ABK433" s="90"/>
      <c r="ABL433" s="90"/>
      <c r="ABM433" s="90"/>
      <c r="ABN433" s="90"/>
      <c r="ABO433" s="90"/>
      <c r="ABP433" s="90"/>
      <c r="ABQ433" s="90"/>
      <c r="ABR433" s="90"/>
      <c r="ABS433" s="90"/>
      <c r="ABT433" s="90"/>
      <c r="ABU433" s="90"/>
      <c r="ABV433" s="90"/>
      <c r="ABW433" s="90"/>
      <c r="ABX433" s="90"/>
      <c r="ABY433" s="90"/>
      <c r="ABZ433" s="90"/>
      <c r="ACA433" s="90"/>
      <c r="ACB433" s="90"/>
      <c r="ACC433" s="90"/>
      <c r="ACD433" s="90"/>
      <c r="ACE433" s="90"/>
      <c r="ACF433" s="90"/>
      <c r="ACG433" s="90"/>
      <c r="ACH433" s="90"/>
      <c r="ACI433" s="90"/>
      <c r="ACJ433" s="90"/>
      <c r="ACK433" s="90"/>
      <c r="ACL433" s="90"/>
      <c r="ACM433" s="90"/>
      <c r="ACN433" s="90"/>
      <c r="ACO433" s="90"/>
      <c r="ACP433" s="90"/>
      <c r="ACQ433" s="90"/>
      <c r="ACR433" s="90"/>
      <c r="ACS433" s="90"/>
      <c r="ACT433" s="90"/>
      <c r="ACU433" s="90"/>
      <c r="ACV433" s="90"/>
      <c r="ACW433" s="90"/>
      <c r="ACX433" s="90"/>
      <c r="ACY433" s="90"/>
      <c r="ACZ433" s="90"/>
      <c r="ADA433" s="90"/>
      <c r="ADB433" s="90"/>
      <c r="ADC433" s="90"/>
      <c r="ADD433" s="90"/>
      <c r="ADE433" s="90"/>
      <c r="ADF433" s="90"/>
      <c r="ADG433" s="90"/>
      <c r="ADH433" s="90"/>
      <c r="ADI433" s="90"/>
      <c r="ADJ433" s="90"/>
      <c r="ADK433" s="90"/>
      <c r="ADL433" s="90"/>
      <c r="ADM433" s="90"/>
      <c r="ADN433" s="90"/>
      <c r="ADO433" s="90"/>
      <c r="ADP433" s="90"/>
      <c r="ADQ433" s="90"/>
      <c r="ADR433" s="90"/>
      <c r="ADS433" s="90"/>
      <c r="ADT433" s="90"/>
      <c r="ADU433" s="90"/>
      <c r="ADV433" s="90"/>
      <c r="ADW433" s="90"/>
      <c r="ADX433" s="90"/>
      <c r="ADY433" s="90"/>
      <c r="ADZ433" s="90"/>
      <c r="AEA433" s="90"/>
      <c r="AEB433" s="90"/>
      <c r="AEC433" s="90"/>
      <c r="AED433" s="90"/>
      <c r="AEE433" s="90"/>
      <c r="AEF433" s="90"/>
      <c r="AEG433" s="90"/>
      <c r="AEH433" s="90"/>
      <c r="AEI433" s="90"/>
      <c r="AEJ433" s="90"/>
      <c r="AEK433" s="90"/>
      <c r="AEL433" s="90"/>
      <c r="AEM433" s="90"/>
      <c r="AEN433" s="90"/>
      <c r="AEO433" s="90"/>
      <c r="AEP433" s="90"/>
      <c r="AEQ433" s="90"/>
      <c r="AER433" s="90"/>
      <c r="AES433" s="90"/>
      <c r="AET433" s="90"/>
      <c r="AEU433" s="90"/>
      <c r="AEV433" s="90"/>
      <c r="AEW433" s="90"/>
      <c r="AEX433" s="90"/>
      <c r="AEY433" s="90"/>
      <c r="AEZ433" s="90"/>
      <c r="AFA433" s="90"/>
      <c r="AFB433" s="90"/>
      <c r="AFC433" s="90"/>
      <c r="AFD433" s="90"/>
      <c r="AFE433" s="90"/>
      <c r="AFF433" s="90"/>
      <c r="AFG433" s="90"/>
      <c r="AFH433" s="90"/>
      <c r="AFI433" s="90"/>
      <c r="AFJ433" s="90"/>
      <c r="AFK433" s="90"/>
      <c r="AFL433" s="90"/>
      <c r="AFM433" s="90"/>
      <c r="AFN433" s="90"/>
      <c r="AFO433" s="90"/>
      <c r="AFP433" s="90"/>
      <c r="AFQ433" s="90"/>
      <c r="AFR433" s="90"/>
      <c r="AFS433" s="90"/>
      <c r="AFT433" s="90"/>
      <c r="AFU433" s="90"/>
      <c r="AFV433" s="90"/>
      <c r="AFW433" s="90"/>
      <c r="AFX433" s="90"/>
      <c r="AFY433" s="90"/>
      <c r="AFZ433" s="90"/>
      <c r="AGA433" s="90"/>
      <c r="AGB433" s="90"/>
      <c r="AGC433" s="90"/>
      <c r="AGD433" s="90"/>
      <c r="AGE433" s="90"/>
      <c r="AGF433" s="90"/>
      <c r="AGG433" s="90"/>
      <c r="AGH433" s="90"/>
      <c r="AGI433" s="90"/>
      <c r="AGJ433" s="90"/>
      <c r="AGK433" s="90"/>
      <c r="AGL433" s="90"/>
      <c r="AGM433" s="90"/>
      <c r="AGN433" s="90"/>
      <c r="AGO433" s="90"/>
      <c r="AGP433" s="90"/>
      <c r="AGQ433" s="90"/>
      <c r="AGR433" s="90"/>
      <c r="AGS433" s="90"/>
      <c r="AGT433" s="90"/>
      <c r="AGU433" s="90"/>
      <c r="AGV433" s="90"/>
      <c r="AGW433" s="90"/>
      <c r="AGX433" s="90"/>
      <c r="AGY433" s="90"/>
      <c r="AGZ433" s="90"/>
      <c r="AHA433" s="90"/>
      <c r="AHB433" s="90"/>
      <c r="AHC433" s="90"/>
      <c r="AHD433" s="90"/>
      <c r="AHE433" s="90"/>
      <c r="AHF433" s="90"/>
      <c r="AHG433" s="90"/>
      <c r="AHH433" s="90"/>
      <c r="AHI433" s="90"/>
      <c r="AHJ433" s="90"/>
      <c r="AHK433" s="90"/>
      <c r="AHL433" s="90"/>
      <c r="AHM433" s="90"/>
      <c r="AHN433" s="90"/>
      <c r="AHO433" s="90"/>
      <c r="AHP433" s="90"/>
      <c r="AHQ433" s="90"/>
      <c r="AHR433" s="90"/>
      <c r="AHS433" s="90"/>
      <c r="AHT433" s="90"/>
      <c r="AHU433" s="90"/>
      <c r="AHV433" s="90"/>
      <c r="AHW433" s="90"/>
      <c r="AHX433" s="90"/>
      <c r="AHY433" s="90"/>
      <c r="AHZ433" s="90"/>
      <c r="AIA433" s="90"/>
      <c r="AIB433" s="90"/>
      <c r="AIC433" s="90"/>
      <c r="AID433" s="90"/>
      <c r="AIE433" s="90"/>
      <c r="AIF433" s="90"/>
      <c r="AIG433" s="90"/>
      <c r="AIH433" s="90"/>
      <c r="AII433" s="90"/>
      <c r="AIJ433" s="90"/>
      <c r="AIK433" s="90"/>
      <c r="AIL433" s="90"/>
      <c r="AIM433" s="90"/>
      <c r="AIN433" s="90"/>
      <c r="AIO433" s="90"/>
      <c r="AIP433" s="90"/>
      <c r="AIQ433" s="90"/>
      <c r="AIR433" s="90"/>
      <c r="AIS433" s="90"/>
      <c r="AIT433" s="90"/>
      <c r="AIU433" s="90"/>
      <c r="AIV433" s="90"/>
      <c r="AIW433" s="90"/>
      <c r="AIX433" s="90"/>
      <c r="AIY433" s="90"/>
      <c r="AIZ433" s="90"/>
      <c r="AJA433" s="90"/>
      <c r="AJB433" s="90"/>
      <c r="AJC433" s="90"/>
      <c r="AJD433" s="90"/>
      <c r="AJE433" s="90"/>
      <c r="AJF433" s="90"/>
      <c r="AJG433" s="90"/>
      <c r="AJH433" s="90"/>
      <c r="AJI433" s="90"/>
      <c r="AJJ433" s="90"/>
      <c r="AJK433" s="90"/>
      <c r="AJL433" s="90"/>
      <c r="AJM433" s="90"/>
      <c r="AJN433" s="90"/>
      <c r="AJO433" s="90"/>
      <c r="AJP433" s="90"/>
      <c r="AJQ433" s="90"/>
      <c r="AJR433" s="90"/>
      <c r="AJS433" s="90"/>
      <c r="AJT433" s="90"/>
      <c r="AJU433" s="90"/>
      <c r="AJV433" s="90"/>
      <c r="AJW433" s="90"/>
      <c r="AJX433" s="90"/>
      <c r="AJY433" s="90"/>
      <c r="AJZ433" s="90"/>
      <c r="AKA433" s="90"/>
      <c r="AKB433" s="90"/>
      <c r="AKC433" s="90"/>
      <c r="AKD433" s="90"/>
      <c r="AKE433" s="90"/>
      <c r="AKF433" s="90"/>
      <c r="AKG433" s="90"/>
      <c r="AKH433" s="90"/>
      <c r="AKI433" s="90"/>
      <c r="AKJ433" s="90"/>
      <c r="AKK433" s="90"/>
      <c r="AKL433" s="90"/>
      <c r="AKM433" s="90"/>
      <c r="AKN433" s="90"/>
      <c r="AKO433" s="90"/>
      <c r="AKP433" s="90"/>
      <c r="AKQ433" s="90"/>
      <c r="AKR433" s="90"/>
      <c r="AKS433" s="90"/>
      <c r="AKT433" s="90"/>
      <c r="AKU433" s="90"/>
      <c r="AKV433" s="90"/>
      <c r="AKW433" s="90"/>
      <c r="AKX433" s="90"/>
      <c r="AKY433" s="90"/>
      <c r="AKZ433" s="90"/>
      <c r="ALA433" s="90"/>
      <c r="ALB433" s="90"/>
      <c r="ALC433" s="90"/>
      <c r="ALD433" s="90"/>
      <c r="ALE433" s="90"/>
      <c r="ALF433" s="90"/>
      <c r="ALG433" s="90"/>
      <c r="ALH433" s="90"/>
      <c r="ALI433" s="90"/>
      <c r="ALJ433" s="90"/>
      <c r="ALK433" s="90"/>
      <c r="ALL433" s="90"/>
      <c r="ALM433" s="90"/>
      <c r="ALN433" s="90"/>
      <c r="ALO433" s="90"/>
      <c r="ALP433" s="90"/>
      <c r="ALQ433" s="90"/>
      <c r="ALR433" s="90"/>
      <c r="ALS433" s="90"/>
      <c r="ALT433" s="90"/>
      <c r="ALU433" s="90"/>
      <c r="ALV433" s="90"/>
      <c r="ALW433" s="90"/>
      <c r="ALX433" s="90"/>
      <c r="ALY433" s="90"/>
      <c r="ALZ433" s="90"/>
      <c r="AMA433" s="90"/>
      <c r="AMB433" s="90"/>
      <c r="AMC433" s="90"/>
    </row>
    <row r="434" spans="1:1017">
      <c r="A434" s="98" t="s">
        <v>56</v>
      </c>
      <c r="B434" s="90" t="str">
        <f t="shared" si="2224"/>
        <v xml:space="preserve">Belanak </v>
      </c>
      <c r="E434" s="98">
        <v>162600</v>
      </c>
      <c r="F434" s="98">
        <v>4878000</v>
      </c>
      <c r="Q434" s="91">
        <f t="shared" si="2225"/>
        <v>162600</v>
      </c>
      <c r="R434" s="91">
        <f t="shared" si="2226"/>
        <v>4878000</v>
      </c>
      <c r="AG434" s="91">
        <f t="shared" si="2227"/>
        <v>0</v>
      </c>
      <c r="AH434" s="91">
        <f t="shared" si="2228"/>
        <v>0</v>
      </c>
      <c r="AW434" s="91">
        <f t="shared" si="2229"/>
        <v>0</v>
      </c>
      <c r="AX434" s="91">
        <f t="shared" si="2230"/>
        <v>0</v>
      </c>
      <c r="BM434" s="91">
        <f t="shared" si="2231"/>
        <v>0</v>
      </c>
      <c r="BN434" s="91">
        <f t="shared" si="2232"/>
        <v>0</v>
      </c>
      <c r="CC434" s="91">
        <f t="shared" si="2233"/>
        <v>0</v>
      </c>
      <c r="CD434" s="91">
        <f t="shared" si="2234"/>
        <v>0</v>
      </c>
      <c r="CS434" s="91">
        <f t="shared" si="2235"/>
        <v>0</v>
      </c>
      <c r="CT434" s="91">
        <f t="shared" si="2236"/>
        <v>0</v>
      </c>
      <c r="DI434" s="91">
        <f t="shared" si="2237"/>
        <v>0</v>
      </c>
      <c r="DJ434" s="91">
        <f t="shared" si="2238"/>
        <v>0</v>
      </c>
      <c r="DY434" s="91">
        <f t="shared" si="2239"/>
        <v>0</v>
      </c>
      <c r="DZ434" s="91">
        <f t="shared" si="2240"/>
        <v>0</v>
      </c>
      <c r="EO434" s="91">
        <f t="shared" si="2241"/>
        <v>0</v>
      </c>
      <c r="EP434" s="91">
        <f t="shared" si="2242"/>
        <v>0</v>
      </c>
      <c r="FE434" s="91">
        <f t="shared" si="2243"/>
        <v>0</v>
      </c>
      <c r="FF434" s="91">
        <f t="shared" si="2244"/>
        <v>0</v>
      </c>
      <c r="FU434" s="91">
        <f t="shared" si="2245"/>
        <v>0</v>
      </c>
      <c r="FV434" s="91">
        <f t="shared" si="2246"/>
        <v>0</v>
      </c>
      <c r="GK434" s="91">
        <f t="shared" si="2247"/>
        <v>0</v>
      </c>
      <c r="GL434" s="91">
        <f t="shared" si="2248"/>
        <v>0</v>
      </c>
      <c r="HA434" s="91">
        <f t="shared" si="2249"/>
        <v>0</v>
      </c>
      <c r="HB434" s="91">
        <f t="shared" si="2250"/>
        <v>0</v>
      </c>
      <c r="HQ434" s="91">
        <f t="shared" si="2251"/>
        <v>0</v>
      </c>
      <c r="HR434" s="91">
        <f t="shared" si="2252"/>
        <v>0</v>
      </c>
      <c r="IG434" s="91">
        <f t="shared" si="2253"/>
        <v>0</v>
      </c>
      <c r="IH434" s="91">
        <f t="shared" si="2254"/>
        <v>0</v>
      </c>
      <c r="IW434" s="91">
        <f t="shared" si="2255"/>
        <v>0</v>
      </c>
      <c r="IX434" s="91">
        <f t="shared" si="2256"/>
        <v>0</v>
      </c>
      <c r="JM434" s="91">
        <f t="shared" si="2257"/>
        <v>0</v>
      </c>
      <c r="JN434" s="91">
        <f t="shared" si="2258"/>
        <v>0</v>
      </c>
      <c r="KC434" s="91">
        <f t="shared" si="2259"/>
        <v>0</v>
      </c>
      <c r="KD434" s="91">
        <f t="shared" si="2260"/>
        <v>0</v>
      </c>
      <c r="KS434" s="91">
        <f t="shared" si="2261"/>
        <v>0</v>
      </c>
      <c r="KT434" s="91">
        <f t="shared" si="2262"/>
        <v>0</v>
      </c>
      <c r="LI434" s="91">
        <f t="shared" si="2263"/>
        <v>0</v>
      </c>
      <c r="LJ434" s="91">
        <f t="shared" si="2264"/>
        <v>0</v>
      </c>
      <c r="LY434" s="91">
        <f t="shared" si="2265"/>
        <v>0</v>
      </c>
      <c r="LZ434" s="91">
        <f t="shared" si="2266"/>
        <v>0</v>
      </c>
      <c r="MO434" s="91">
        <f t="shared" si="2267"/>
        <v>0</v>
      </c>
      <c r="MP434" s="91">
        <f t="shared" si="2268"/>
        <v>0</v>
      </c>
      <c r="MS434" s="98">
        <v>525</v>
      </c>
      <c r="MT434" s="98">
        <v>11550</v>
      </c>
      <c r="NE434" s="91">
        <f t="shared" si="2269"/>
        <v>525</v>
      </c>
      <c r="NF434" s="91">
        <f t="shared" si="2270"/>
        <v>11550</v>
      </c>
      <c r="NU434" s="91">
        <f t="shared" si="2271"/>
        <v>0</v>
      </c>
      <c r="NV434" s="91">
        <f t="shared" si="2272"/>
        <v>0</v>
      </c>
      <c r="OK434" s="91">
        <f t="shared" si="2273"/>
        <v>0</v>
      </c>
      <c r="OL434" s="91">
        <f t="shared" si="2274"/>
        <v>0</v>
      </c>
      <c r="PA434" s="91">
        <f t="shared" si="2275"/>
        <v>0</v>
      </c>
      <c r="PB434" s="91">
        <f t="shared" si="2276"/>
        <v>0</v>
      </c>
      <c r="PQ434" s="91">
        <f t="shared" si="2277"/>
        <v>0</v>
      </c>
      <c r="PR434" s="91">
        <f t="shared" si="2278"/>
        <v>0</v>
      </c>
      <c r="QG434" s="91">
        <f t="shared" si="2279"/>
        <v>0</v>
      </c>
      <c r="QH434" s="91">
        <f t="shared" si="2280"/>
        <v>0</v>
      </c>
      <c r="QW434" s="91">
        <f t="shared" si="2281"/>
        <v>0</v>
      </c>
      <c r="QX434" s="91">
        <f t="shared" si="2282"/>
        <v>0</v>
      </c>
      <c r="RM434" s="91">
        <f t="shared" si="2283"/>
        <v>0</v>
      </c>
      <c r="RN434" s="91">
        <f t="shared" si="2284"/>
        <v>0</v>
      </c>
      <c r="SC434" s="91">
        <f t="shared" si="2285"/>
        <v>0</v>
      </c>
      <c r="SD434" s="91">
        <f t="shared" si="2286"/>
        <v>0</v>
      </c>
      <c r="SS434" s="91">
        <f t="shared" si="2287"/>
        <v>0</v>
      </c>
      <c r="ST434" s="91">
        <f t="shared" si="2288"/>
        <v>0</v>
      </c>
      <c r="TI434" s="91">
        <f t="shared" si="2289"/>
        <v>0</v>
      </c>
      <c r="TJ434" s="91">
        <f t="shared" si="2290"/>
        <v>0</v>
      </c>
      <c r="TY434" s="91">
        <f t="shared" si="2291"/>
        <v>0</v>
      </c>
      <c r="TZ434" s="91">
        <f t="shared" si="2292"/>
        <v>0</v>
      </c>
      <c r="UO434" s="91">
        <f t="shared" si="2293"/>
        <v>0</v>
      </c>
      <c r="UP434" s="91">
        <f t="shared" si="2294"/>
        <v>0</v>
      </c>
      <c r="VE434" s="91">
        <f t="shared" si="2295"/>
        <v>0</v>
      </c>
      <c r="VF434" s="91">
        <f t="shared" si="2296"/>
        <v>0</v>
      </c>
      <c r="VU434" s="91">
        <f t="shared" si="2297"/>
        <v>0</v>
      </c>
      <c r="VV434" s="91">
        <f t="shared" si="2298"/>
        <v>0</v>
      </c>
      <c r="WK434" s="91">
        <f t="shared" si="2299"/>
        <v>0</v>
      </c>
      <c r="WL434" s="91">
        <f t="shared" si="2300"/>
        <v>0</v>
      </c>
      <c r="WM434" s="89"/>
      <c r="WN434" s="87">
        <f t="shared" si="2301"/>
        <v>0</v>
      </c>
      <c r="WO434" s="87">
        <f t="shared" si="2302"/>
        <v>0</v>
      </c>
      <c r="WP434" s="87">
        <f t="shared" si="2303"/>
        <v>163125</v>
      </c>
      <c r="WQ434" s="87">
        <f t="shared" si="2304"/>
        <v>4889550</v>
      </c>
      <c r="WR434" s="87">
        <f t="shared" si="2305"/>
        <v>0</v>
      </c>
      <c r="WS434" s="87">
        <f t="shared" si="2306"/>
        <v>0</v>
      </c>
      <c r="WT434" s="87">
        <f t="shared" si="2307"/>
        <v>0</v>
      </c>
      <c r="WU434" s="87">
        <f t="shared" si="2308"/>
        <v>0</v>
      </c>
      <c r="WV434" s="87">
        <f t="shared" si="2309"/>
        <v>0</v>
      </c>
      <c r="WW434" s="87">
        <f t="shared" si="2310"/>
        <v>0</v>
      </c>
      <c r="WX434" s="87">
        <f t="shared" si="2311"/>
        <v>0</v>
      </c>
      <c r="WY434" s="87">
        <f t="shared" si="2312"/>
        <v>0</v>
      </c>
      <c r="WZ434" s="87">
        <f t="shared" si="2313"/>
        <v>0</v>
      </c>
      <c r="XA434" s="87">
        <f t="shared" si="2314"/>
        <v>0</v>
      </c>
      <c r="XB434" s="92">
        <f t="shared" si="2315"/>
        <v>163125</v>
      </c>
      <c r="XC434" s="92">
        <f t="shared" si="2316"/>
        <v>4889550</v>
      </c>
      <c r="XD434" s="89"/>
      <c r="XE434" s="92"/>
      <c r="XF434" s="92"/>
      <c r="XG434" s="89"/>
      <c r="XH434" s="92"/>
      <c r="XI434" s="92"/>
      <c r="XJ434" s="89"/>
      <c r="XK434" s="87"/>
      <c r="XL434" s="87"/>
      <c r="XM434" s="87"/>
      <c r="XN434" s="87"/>
      <c r="XO434" s="87"/>
      <c r="XP434" s="87"/>
      <c r="XQ434" s="87"/>
      <c r="XR434" s="92">
        <f t="shared" ca="1" si="2317"/>
        <v>0</v>
      </c>
      <c r="XS434" s="89"/>
      <c r="XT434" s="87"/>
      <c r="XU434" s="87"/>
      <c r="XV434" s="87"/>
      <c r="XW434" s="87"/>
      <c r="XX434" s="87"/>
      <c r="XY434" s="87"/>
      <c r="XZ434" s="87"/>
      <c r="YA434" s="92">
        <f t="shared" ca="1" si="2318"/>
        <v>0</v>
      </c>
      <c r="YB434" s="90"/>
      <c r="YC434" s="90"/>
      <c r="YD434" s="90"/>
      <c r="YE434" s="90"/>
      <c r="YF434" s="90"/>
      <c r="YG434" s="90"/>
      <c r="YH434" s="90"/>
      <c r="YI434" s="90"/>
      <c r="YJ434" s="90"/>
      <c r="YK434" s="90"/>
      <c r="YL434" s="90"/>
      <c r="YM434" s="90"/>
      <c r="YN434" s="90"/>
      <c r="YO434" s="90"/>
      <c r="YP434" s="90"/>
      <c r="YQ434" s="90"/>
      <c r="YR434" s="90"/>
      <c r="YS434" s="90"/>
      <c r="YT434" s="90"/>
      <c r="YU434" s="90"/>
      <c r="YV434" s="90"/>
      <c r="YW434" s="90"/>
      <c r="YX434" s="90"/>
      <c r="YY434" s="90"/>
      <c r="YZ434" s="90"/>
      <c r="ZA434" s="90"/>
      <c r="ZB434" s="90"/>
      <c r="ZC434" s="90"/>
      <c r="ZD434" s="90"/>
      <c r="ZE434" s="90"/>
      <c r="ZF434" s="90"/>
      <c r="ZG434" s="90"/>
      <c r="ZH434" s="90"/>
      <c r="ZI434" s="90"/>
      <c r="ZJ434" s="90"/>
      <c r="ZK434" s="90"/>
      <c r="ZL434" s="90"/>
      <c r="ZM434" s="90"/>
      <c r="ZN434" s="90"/>
      <c r="ZO434" s="90"/>
      <c r="ZP434" s="90"/>
      <c r="ZQ434" s="90"/>
      <c r="ZR434" s="90"/>
      <c r="ZS434" s="90"/>
      <c r="ZT434" s="90"/>
      <c r="ZU434" s="90"/>
      <c r="ZV434" s="90"/>
      <c r="ZW434" s="90"/>
      <c r="ZX434" s="90"/>
      <c r="ZY434" s="90"/>
      <c r="ZZ434" s="90"/>
      <c r="AAA434" s="90"/>
      <c r="AAB434" s="90"/>
      <c r="AAC434" s="90"/>
      <c r="AAD434" s="90"/>
      <c r="AAE434" s="90"/>
      <c r="AAF434" s="90"/>
      <c r="AAG434" s="90"/>
      <c r="AAH434" s="90"/>
      <c r="AAI434" s="90"/>
      <c r="AAJ434" s="90"/>
      <c r="AAK434" s="90"/>
      <c r="AAL434" s="90"/>
      <c r="AAM434" s="90"/>
      <c r="AAN434" s="90"/>
      <c r="AAO434" s="90"/>
      <c r="AAP434" s="90"/>
      <c r="AAQ434" s="90"/>
      <c r="AAR434" s="90"/>
      <c r="AAS434" s="90"/>
      <c r="AAT434" s="90"/>
      <c r="AAU434" s="90"/>
      <c r="AAV434" s="90"/>
      <c r="AAW434" s="90"/>
      <c r="AAX434" s="90"/>
      <c r="AAY434" s="90"/>
      <c r="AAZ434" s="90"/>
      <c r="ABA434" s="90"/>
      <c r="ABB434" s="90"/>
      <c r="ABC434" s="90"/>
      <c r="ABD434" s="90"/>
      <c r="ABE434" s="90"/>
      <c r="ABF434" s="90"/>
      <c r="ABG434" s="90"/>
      <c r="ABH434" s="90"/>
      <c r="ABI434" s="90"/>
      <c r="ABJ434" s="90"/>
      <c r="ABK434" s="90"/>
      <c r="ABL434" s="90"/>
      <c r="ABM434" s="90"/>
      <c r="ABN434" s="90"/>
      <c r="ABO434" s="90"/>
      <c r="ABP434" s="90"/>
      <c r="ABQ434" s="90"/>
      <c r="ABR434" s="90"/>
      <c r="ABS434" s="90"/>
      <c r="ABT434" s="90"/>
      <c r="ABU434" s="90"/>
      <c r="ABV434" s="90"/>
      <c r="ABW434" s="90"/>
      <c r="ABX434" s="90"/>
      <c r="ABY434" s="90"/>
      <c r="ABZ434" s="90"/>
      <c r="ACA434" s="90"/>
      <c r="ACB434" s="90"/>
      <c r="ACC434" s="90"/>
      <c r="ACD434" s="90"/>
      <c r="ACE434" s="90"/>
      <c r="ACF434" s="90"/>
      <c r="ACG434" s="90"/>
      <c r="ACH434" s="90"/>
      <c r="ACI434" s="90"/>
      <c r="ACJ434" s="90"/>
      <c r="ACK434" s="90"/>
      <c r="ACL434" s="90"/>
      <c r="ACM434" s="90"/>
      <c r="ACN434" s="90"/>
      <c r="ACO434" s="90"/>
      <c r="ACP434" s="90"/>
      <c r="ACQ434" s="90"/>
      <c r="ACR434" s="90"/>
      <c r="ACS434" s="90"/>
      <c r="ACT434" s="90"/>
      <c r="ACU434" s="90"/>
      <c r="ACV434" s="90"/>
      <c r="ACW434" s="90"/>
      <c r="ACX434" s="90"/>
      <c r="ACY434" s="90"/>
      <c r="ACZ434" s="90"/>
      <c r="ADA434" s="90"/>
      <c r="ADB434" s="90"/>
      <c r="ADC434" s="90"/>
      <c r="ADD434" s="90"/>
      <c r="ADE434" s="90"/>
      <c r="ADF434" s="90"/>
      <c r="ADG434" s="90"/>
      <c r="ADH434" s="90"/>
      <c r="ADI434" s="90"/>
      <c r="ADJ434" s="90"/>
      <c r="ADK434" s="90"/>
      <c r="ADL434" s="90"/>
      <c r="ADM434" s="90"/>
      <c r="ADN434" s="90"/>
      <c r="ADO434" s="90"/>
      <c r="ADP434" s="90"/>
      <c r="ADQ434" s="90"/>
      <c r="ADR434" s="90"/>
      <c r="ADS434" s="90"/>
      <c r="ADT434" s="90"/>
      <c r="ADU434" s="90"/>
      <c r="ADV434" s="90"/>
      <c r="ADW434" s="90"/>
      <c r="ADX434" s="90"/>
      <c r="ADY434" s="90"/>
      <c r="ADZ434" s="90"/>
      <c r="AEA434" s="90"/>
      <c r="AEB434" s="90"/>
      <c r="AEC434" s="90"/>
      <c r="AED434" s="90"/>
      <c r="AEE434" s="90"/>
      <c r="AEF434" s="90"/>
      <c r="AEG434" s="90"/>
      <c r="AEH434" s="90"/>
      <c r="AEI434" s="90"/>
      <c r="AEJ434" s="90"/>
      <c r="AEK434" s="90"/>
      <c r="AEL434" s="90"/>
      <c r="AEM434" s="90"/>
      <c r="AEN434" s="90"/>
      <c r="AEO434" s="90"/>
      <c r="AEP434" s="90"/>
      <c r="AEQ434" s="90"/>
      <c r="AER434" s="90"/>
      <c r="AES434" s="90"/>
      <c r="AET434" s="90"/>
      <c r="AEU434" s="90"/>
      <c r="AEV434" s="90"/>
      <c r="AEW434" s="90"/>
      <c r="AEX434" s="90"/>
      <c r="AEY434" s="90"/>
      <c r="AEZ434" s="90"/>
      <c r="AFA434" s="90"/>
      <c r="AFB434" s="90"/>
      <c r="AFC434" s="90"/>
      <c r="AFD434" s="90"/>
      <c r="AFE434" s="90"/>
      <c r="AFF434" s="90"/>
      <c r="AFG434" s="90"/>
      <c r="AFH434" s="90"/>
      <c r="AFI434" s="90"/>
      <c r="AFJ434" s="90"/>
      <c r="AFK434" s="90"/>
      <c r="AFL434" s="90"/>
      <c r="AFM434" s="90"/>
      <c r="AFN434" s="90"/>
      <c r="AFO434" s="90"/>
      <c r="AFP434" s="90"/>
      <c r="AFQ434" s="90"/>
      <c r="AFR434" s="90"/>
      <c r="AFS434" s="90"/>
      <c r="AFT434" s="90"/>
      <c r="AFU434" s="90"/>
      <c r="AFV434" s="90"/>
      <c r="AFW434" s="90"/>
      <c r="AFX434" s="90"/>
      <c r="AFY434" s="90"/>
      <c r="AFZ434" s="90"/>
      <c r="AGA434" s="90"/>
      <c r="AGB434" s="90"/>
      <c r="AGC434" s="90"/>
      <c r="AGD434" s="90"/>
      <c r="AGE434" s="90"/>
      <c r="AGF434" s="90"/>
      <c r="AGG434" s="90"/>
      <c r="AGH434" s="90"/>
      <c r="AGI434" s="90"/>
      <c r="AGJ434" s="90"/>
      <c r="AGK434" s="90"/>
      <c r="AGL434" s="90"/>
      <c r="AGM434" s="90"/>
      <c r="AGN434" s="90"/>
      <c r="AGO434" s="90"/>
      <c r="AGP434" s="90"/>
      <c r="AGQ434" s="90"/>
      <c r="AGR434" s="90"/>
      <c r="AGS434" s="90"/>
      <c r="AGT434" s="90"/>
      <c r="AGU434" s="90"/>
      <c r="AGV434" s="90"/>
      <c r="AGW434" s="90"/>
      <c r="AGX434" s="90"/>
      <c r="AGY434" s="90"/>
      <c r="AGZ434" s="90"/>
      <c r="AHA434" s="90"/>
      <c r="AHB434" s="90"/>
      <c r="AHC434" s="90"/>
      <c r="AHD434" s="90"/>
      <c r="AHE434" s="90"/>
      <c r="AHF434" s="90"/>
      <c r="AHG434" s="90"/>
      <c r="AHH434" s="90"/>
      <c r="AHI434" s="90"/>
      <c r="AHJ434" s="90"/>
      <c r="AHK434" s="90"/>
      <c r="AHL434" s="90"/>
      <c r="AHM434" s="90"/>
      <c r="AHN434" s="90"/>
      <c r="AHO434" s="90"/>
      <c r="AHP434" s="90"/>
      <c r="AHQ434" s="90"/>
      <c r="AHR434" s="90"/>
      <c r="AHS434" s="90"/>
      <c r="AHT434" s="90"/>
      <c r="AHU434" s="90"/>
      <c r="AHV434" s="90"/>
      <c r="AHW434" s="90"/>
      <c r="AHX434" s="90"/>
      <c r="AHY434" s="90"/>
      <c r="AHZ434" s="90"/>
      <c r="AIA434" s="90"/>
      <c r="AIB434" s="90"/>
      <c r="AIC434" s="90"/>
      <c r="AID434" s="90"/>
      <c r="AIE434" s="90"/>
      <c r="AIF434" s="90"/>
      <c r="AIG434" s="90"/>
      <c r="AIH434" s="90"/>
      <c r="AII434" s="90"/>
      <c r="AIJ434" s="90"/>
      <c r="AIK434" s="90"/>
      <c r="AIL434" s="90"/>
      <c r="AIM434" s="90"/>
      <c r="AIN434" s="90"/>
      <c r="AIO434" s="90"/>
      <c r="AIP434" s="90"/>
      <c r="AIQ434" s="90"/>
      <c r="AIR434" s="90"/>
      <c r="AIS434" s="90"/>
      <c r="AIT434" s="90"/>
      <c r="AIU434" s="90"/>
      <c r="AIV434" s="90"/>
      <c r="AIW434" s="90"/>
      <c r="AIX434" s="90"/>
      <c r="AIY434" s="90"/>
      <c r="AIZ434" s="90"/>
      <c r="AJA434" s="90"/>
      <c r="AJB434" s="90"/>
      <c r="AJC434" s="90"/>
      <c r="AJD434" s="90"/>
      <c r="AJE434" s="90"/>
      <c r="AJF434" s="90"/>
      <c r="AJG434" s="90"/>
      <c r="AJH434" s="90"/>
      <c r="AJI434" s="90"/>
      <c r="AJJ434" s="90"/>
      <c r="AJK434" s="90"/>
      <c r="AJL434" s="90"/>
      <c r="AJM434" s="90"/>
      <c r="AJN434" s="90"/>
      <c r="AJO434" s="90"/>
      <c r="AJP434" s="90"/>
      <c r="AJQ434" s="90"/>
      <c r="AJR434" s="90"/>
      <c r="AJS434" s="90"/>
      <c r="AJT434" s="90"/>
      <c r="AJU434" s="90"/>
      <c r="AJV434" s="90"/>
      <c r="AJW434" s="90"/>
      <c r="AJX434" s="90"/>
      <c r="AJY434" s="90"/>
      <c r="AJZ434" s="90"/>
      <c r="AKA434" s="90"/>
      <c r="AKB434" s="90"/>
      <c r="AKC434" s="90"/>
      <c r="AKD434" s="90"/>
      <c r="AKE434" s="90"/>
      <c r="AKF434" s="90"/>
      <c r="AKG434" s="90"/>
      <c r="AKH434" s="90"/>
      <c r="AKI434" s="90"/>
      <c r="AKJ434" s="90"/>
      <c r="AKK434" s="90"/>
      <c r="AKL434" s="90"/>
      <c r="AKM434" s="90"/>
      <c r="AKN434" s="90"/>
      <c r="AKO434" s="90"/>
      <c r="AKP434" s="90"/>
      <c r="AKQ434" s="90"/>
      <c r="AKR434" s="90"/>
      <c r="AKS434" s="90"/>
      <c r="AKT434" s="90"/>
      <c r="AKU434" s="90"/>
      <c r="AKV434" s="90"/>
      <c r="AKW434" s="90"/>
      <c r="AKX434" s="90"/>
      <c r="AKY434" s="90"/>
      <c r="AKZ434" s="90"/>
      <c r="ALA434" s="90"/>
      <c r="ALB434" s="90"/>
      <c r="ALC434" s="90"/>
      <c r="ALD434" s="90"/>
      <c r="ALE434" s="90"/>
      <c r="ALF434" s="90"/>
      <c r="ALG434" s="90"/>
      <c r="ALH434" s="90"/>
      <c r="ALI434" s="90"/>
      <c r="ALJ434" s="90"/>
      <c r="ALK434" s="90"/>
      <c r="ALL434" s="90"/>
      <c r="ALM434" s="90"/>
      <c r="ALN434" s="90"/>
      <c r="ALO434" s="90"/>
      <c r="ALP434" s="90"/>
      <c r="ALQ434" s="90"/>
      <c r="ALR434" s="90"/>
      <c r="ALS434" s="90"/>
      <c r="ALT434" s="90"/>
      <c r="ALU434" s="90"/>
      <c r="ALV434" s="90"/>
      <c r="ALW434" s="90"/>
      <c r="ALX434" s="90"/>
      <c r="ALY434" s="90"/>
      <c r="ALZ434" s="90"/>
      <c r="AMA434" s="90"/>
      <c r="AMB434" s="90"/>
      <c r="AMC434" s="90"/>
    </row>
    <row r="435" spans="1:1017">
      <c r="A435" s="98" t="s">
        <v>56</v>
      </c>
      <c r="B435" s="90" t="str">
        <f t="shared" si="2224"/>
        <v xml:space="preserve">Eucheuma cottonii </v>
      </c>
      <c r="Q435" s="91">
        <f t="shared" si="2225"/>
        <v>0</v>
      </c>
      <c r="R435" s="91">
        <f t="shared" si="2226"/>
        <v>0</v>
      </c>
      <c r="AG435" s="91">
        <f t="shared" si="2227"/>
        <v>0</v>
      </c>
      <c r="AH435" s="91">
        <f t="shared" si="2228"/>
        <v>0</v>
      </c>
      <c r="AW435" s="91">
        <f t="shared" si="2229"/>
        <v>0</v>
      </c>
      <c r="AX435" s="91">
        <f t="shared" si="2230"/>
        <v>0</v>
      </c>
      <c r="BM435" s="91">
        <f t="shared" si="2231"/>
        <v>0</v>
      </c>
      <c r="BN435" s="91">
        <f t="shared" si="2232"/>
        <v>0</v>
      </c>
      <c r="CC435" s="91">
        <f t="shared" si="2233"/>
        <v>0</v>
      </c>
      <c r="CD435" s="91">
        <f t="shared" si="2234"/>
        <v>0</v>
      </c>
      <c r="CS435" s="91">
        <f t="shared" si="2235"/>
        <v>0</v>
      </c>
      <c r="CT435" s="91">
        <f t="shared" si="2236"/>
        <v>0</v>
      </c>
      <c r="DI435" s="91">
        <f t="shared" si="2237"/>
        <v>0</v>
      </c>
      <c r="DJ435" s="91">
        <f t="shared" si="2238"/>
        <v>0</v>
      </c>
      <c r="DY435" s="91">
        <f t="shared" si="2239"/>
        <v>0</v>
      </c>
      <c r="DZ435" s="91">
        <f t="shared" si="2240"/>
        <v>0</v>
      </c>
      <c r="EO435" s="91">
        <f t="shared" si="2241"/>
        <v>0</v>
      </c>
      <c r="EP435" s="91">
        <f t="shared" si="2242"/>
        <v>0</v>
      </c>
      <c r="FE435" s="91">
        <f t="shared" si="2243"/>
        <v>0</v>
      </c>
      <c r="FF435" s="91">
        <f t="shared" si="2244"/>
        <v>0</v>
      </c>
      <c r="FU435" s="91">
        <f t="shared" si="2245"/>
        <v>0</v>
      </c>
      <c r="FV435" s="91">
        <f t="shared" si="2246"/>
        <v>0</v>
      </c>
      <c r="GK435" s="91">
        <f t="shared" si="2247"/>
        <v>0</v>
      </c>
      <c r="GL435" s="91">
        <f t="shared" si="2248"/>
        <v>0</v>
      </c>
      <c r="HA435" s="91">
        <f t="shared" si="2249"/>
        <v>0</v>
      </c>
      <c r="HB435" s="91">
        <f t="shared" si="2250"/>
        <v>0</v>
      </c>
      <c r="HQ435" s="91">
        <f t="shared" si="2251"/>
        <v>0</v>
      </c>
      <c r="HR435" s="91">
        <f t="shared" si="2252"/>
        <v>0</v>
      </c>
      <c r="IG435" s="91">
        <f t="shared" si="2253"/>
        <v>0</v>
      </c>
      <c r="IH435" s="91">
        <f t="shared" si="2254"/>
        <v>0</v>
      </c>
      <c r="IW435" s="91">
        <f t="shared" si="2255"/>
        <v>0</v>
      </c>
      <c r="IX435" s="91">
        <f t="shared" si="2256"/>
        <v>0</v>
      </c>
      <c r="JM435" s="91">
        <f t="shared" si="2257"/>
        <v>0</v>
      </c>
      <c r="JN435" s="91">
        <f t="shared" si="2258"/>
        <v>0</v>
      </c>
      <c r="KC435" s="91">
        <f t="shared" si="2259"/>
        <v>0</v>
      </c>
      <c r="KD435" s="91">
        <f t="shared" si="2260"/>
        <v>0</v>
      </c>
      <c r="KS435" s="91">
        <f t="shared" si="2261"/>
        <v>0</v>
      </c>
      <c r="KT435" s="91">
        <f t="shared" si="2262"/>
        <v>0</v>
      </c>
      <c r="LI435" s="91">
        <f t="shared" si="2263"/>
        <v>0</v>
      </c>
      <c r="LJ435" s="91">
        <f t="shared" si="2264"/>
        <v>0</v>
      </c>
      <c r="LY435" s="91">
        <f t="shared" si="2265"/>
        <v>0</v>
      </c>
      <c r="LZ435" s="91">
        <f t="shared" si="2266"/>
        <v>0</v>
      </c>
      <c r="MO435" s="91">
        <f t="shared" si="2267"/>
        <v>0</v>
      </c>
      <c r="MP435" s="91">
        <f t="shared" si="2268"/>
        <v>0</v>
      </c>
      <c r="NE435" s="91">
        <f t="shared" si="2269"/>
        <v>0</v>
      </c>
      <c r="NF435" s="91">
        <f t="shared" si="2270"/>
        <v>0</v>
      </c>
      <c r="NU435" s="91">
        <f t="shared" si="2271"/>
        <v>0</v>
      </c>
      <c r="NV435" s="91">
        <f t="shared" si="2272"/>
        <v>0</v>
      </c>
      <c r="NW435" s="98">
        <v>6700</v>
      </c>
      <c r="NX435" s="98">
        <v>33500</v>
      </c>
      <c r="OK435" s="91">
        <f t="shared" si="2273"/>
        <v>6700</v>
      </c>
      <c r="OL435" s="91">
        <f t="shared" si="2274"/>
        <v>33500</v>
      </c>
      <c r="OM435" s="98">
        <v>76671850</v>
      </c>
      <c r="ON435" s="98">
        <v>383359250</v>
      </c>
      <c r="PA435" s="91">
        <f t="shared" si="2275"/>
        <v>76671850</v>
      </c>
      <c r="PB435" s="91">
        <f t="shared" si="2276"/>
        <v>383359250</v>
      </c>
      <c r="PQ435" s="91">
        <f t="shared" si="2277"/>
        <v>0</v>
      </c>
      <c r="PR435" s="91">
        <f t="shared" si="2278"/>
        <v>0</v>
      </c>
      <c r="QG435" s="91">
        <f t="shared" si="2279"/>
        <v>0</v>
      </c>
      <c r="QH435" s="91">
        <f t="shared" si="2280"/>
        <v>0</v>
      </c>
      <c r="QW435" s="91">
        <f t="shared" si="2281"/>
        <v>0</v>
      </c>
      <c r="QX435" s="91">
        <f t="shared" si="2282"/>
        <v>0</v>
      </c>
      <c r="RM435" s="91">
        <f t="shared" si="2283"/>
        <v>0</v>
      </c>
      <c r="RN435" s="91">
        <f t="shared" si="2284"/>
        <v>0</v>
      </c>
      <c r="SC435" s="91">
        <f t="shared" si="2285"/>
        <v>0</v>
      </c>
      <c r="SD435" s="91">
        <f t="shared" si="2286"/>
        <v>0</v>
      </c>
      <c r="SS435" s="91">
        <f t="shared" si="2287"/>
        <v>0</v>
      </c>
      <c r="ST435" s="91">
        <f t="shared" si="2288"/>
        <v>0</v>
      </c>
      <c r="TI435" s="91">
        <f t="shared" si="2289"/>
        <v>0</v>
      </c>
      <c r="TJ435" s="91">
        <f t="shared" si="2290"/>
        <v>0</v>
      </c>
      <c r="TY435" s="91">
        <f t="shared" si="2291"/>
        <v>0</v>
      </c>
      <c r="TZ435" s="91">
        <f t="shared" si="2292"/>
        <v>0</v>
      </c>
      <c r="UO435" s="91">
        <f t="shared" si="2293"/>
        <v>0</v>
      </c>
      <c r="UP435" s="91">
        <f t="shared" si="2294"/>
        <v>0</v>
      </c>
      <c r="VE435" s="91">
        <f t="shared" si="2295"/>
        <v>0</v>
      </c>
      <c r="VF435" s="91">
        <f t="shared" si="2296"/>
        <v>0</v>
      </c>
      <c r="VU435" s="91">
        <f t="shared" si="2297"/>
        <v>0</v>
      </c>
      <c r="VV435" s="91">
        <f t="shared" si="2298"/>
        <v>0</v>
      </c>
      <c r="WK435" s="91">
        <f t="shared" si="2299"/>
        <v>0</v>
      </c>
      <c r="WL435" s="91">
        <f t="shared" si="2300"/>
        <v>0</v>
      </c>
      <c r="WM435" s="89"/>
      <c r="WN435" s="87">
        <f t="shared" si="2301"/>
        <v>76678550</v>
      </c>
      <c r="WO435" s="87">
        <f t="shared" si="2302"/>
        <v>383392750</v>
      </c>
      <c r="WP435" s="87">
        <f t="shared" si="2303"/>
        <v>0</v>
      </c>
      <c r="WQ435" s="87">
        <f t="shared" si="2304"/>
        <v>0</v>
      </c>
      <c r="WR435" s="87">
        <f t="shared" si="2305"/>
        <v>0</v>
      </c>
      <c r="WS435" s="87">
        <f t="shared" si="2306"/>
        <v>0</v>
      </c>
      <c r="WT435" s="87">
        <f t="shared" si="2307"/>
        <v>0</v>
      </c>
      <c r="WU435" s="87">
        <f t="shared" si="2308"/>
        <v>0</v>
      </c>
      <c r="WV435" s="87">
        <f t="shared" si="2309"/>
        <v>0</v>
      </c>
      <c r="WW435" s="87">
        <f t="shared" si="2310"/>
        <v>0</v>
      </c>
      <c r="WX435" s="87">
        <f t="shared" si="2311"/>
        <v>0</v>
      </c>
      <c r="WY435" s="87">
        <f t="shared" si="2312"/>
        <v>0</v>
      </c>
      <c r="WZ435" s="87">
        <f t="shared" si="2313"/>
        <v>0</v>
      </c>
      <c r="XA435" s="87">
        <f t="shared" si="2314"/>
        <v>0</v>
      </c>
      <c r="XB435" s="92">
        <f t="shared" si="2315"/>
        <v>76678550</v>
      </c>
      <c r="XC435" s="92">
        <f t="shared" si="2316"/>
        <v>383392750</v>
      </c>
      <c r="XD435" s="89"/>
      <c r="XE435" s="92"/>
      <c r="XF435" s="92"/>
      <c r="XG435" s="89"/>
      <c r="XH435" s="92"/>
      <c r="XI435" s="92"/>
      <c r="XJ435" s="89"/>
      <c r="XK435" s="87"/>
      <c r="XL435" s="87"/>
      <c r="XM435" s="87"/>
      <c r="XN435" s="87"/>
      <c r="XO435" s="87"/>
      <c r="XP435" s="87"/>
      <c r="XQ435" s="87"/>
      <c r="XR435" s="92">
        <f t="shared" ca="1" si="2317"/>
        <v>0</v>
      </c>
      <c r="XS435" s="89"/>
      <c r="XT435" s="87"/>
      <c r="XU435" s="87"/>
      <c r="XV435" s="87"/>
      <c r="XW435" s="87"/>
      <c r="XX435" s="87"/>
      <c r="XY435" s="87"/>
      <c r="XZ435" s="87"/>
      <c r="YA435" s="92">
        <f t="shared" ca="1" si="2318"/>
        <v>0</v>
      </c>
      <c r="YB435" s="90"/>
      <c r="YC435" s="90"/>
      <c r="YD435" s="90"/>
      <c r="YE435" s="90"/>
      <c r="YF435" s="90"/>
      <c r="YG435" s="90"/>
      <c r="YH435" s="90"/>
      <c r="YI435" s="90"/>
      <c r="YJ435" s="90"/>
      <c r="YK435" s="90"/>
      <c r="YL435" s="90"/>
      <c r="YM435" s="90"/>
      <c r="YN435" s="90"/>
      <c r="YO435" s="90"/>
      <c r="YP435" s="90"/>
      <c r="YQ435" s="90"/>
      <c r="YR435" s="90"/>
      <c r="YS435" s="90"/>
      <c r="YT435" s="90"/>
      <c r="YU435" s="90"/>
      <c r="YV435" s="90"/>
      <c r="YW435" s="90"/>
      <c r="YX435" s="90"/>
      <c r="YY435" s="90"/>
      <c r="YZ435" s="90"/>
      <c r="ZA435" s="90"/>
      <c r="ZB435" s="90"/>
      <c r="ZC435" s="90"/>
      <c r="ZD435" s="90"/>
      <c r="ZE435" s="90"/>
      <c r="ZF435" s="90"/>
      <c r="ZG435" s="90"/>
      <c r="ZH435" s="90"/>
      <c r="ZI435" s="90"/>
      <c r="ZJ435" s="90"/>
      <c r="ZK435" s="90"/>
      <c r="ZL435" s="90"/>
      <c r="ZM435" s="90"/>
      <c r="ZN435" s="90"/>
      <c r="ZO435" s="90"/>
      <c r="ZP435" s="90"/>
      <c r="ZQ435" s="90"/>
      <c r="ZR435" s="90"/>
      <c r="ZS435" s="90"/>
      <c r="ZT435" s="90"/>
      <c r="ZU435" s="90"/>
      <c r="ZV435" s="90"/>
      <c r="ZW435" s="90"/>
      <c r="ZX435" s="90"/>
      <c r="ZY435" s="90"/>
      <c r="ZZ435" s="90"/>
      <c r="AAA435" s="90"/>
      <c r="AAB435" s="90"/>
      <c r="AAC435" s="90"/>
      <c r="AAD435" s="90"/>
      <c r="AAE435" s="90"/>
      <c r="AAF435" s="90"/>
      <c r="AAG435" s="90"/>
      <c r="AAH435" s="90"/>
      <c r="AAI435" s="90"/>
      <c r="AAJ435" s="90"/>
      <c r="AAK435" s="90"/>
      <c r="AAL435" s="90"/>
      <c r="AAM435" s="90"/>
      <c r="AAN435" s="90"/>
      <c r="AAO435" s="90"/>
      <c r="AAP435" s="90"/>
      <c r="AAQ435" s="90"/>
      <c r="AAR435" s="90"/>
      <c r="AAS435" s="90"/>
      <c r="AAT435" s="90"/>
      <c r="AAU435" s="90"/>
      <c r="AAV435" s="90"/>
      <c r="AAW435" s="90"/>
      <c r="AAX435" s="90"/>
      <c r="AAY435" s="90"/>
      <c r="AAZ435" s="90"/>
      <c r="ABA435" s="90"/>
      <c r="ABB435" s="90"/>
      <c r="ABC435" s="90"/>
      <c r="ABD435" s="90"/>
      <c r="ABE435" s="90"/>
      <c r="ABF435" s="90"/>
      <c r="ABG435" s="90"/>
      <c r="ABH435" s="90"/>
      <c r="ABI435" s="90"/>
      <c r="ABJ435" s="90"/>
      <c r="ABK435" s="90"/>
      <c r="ABL435" s="90"/>
      <c r="ABM435" s="90"/>
      <c r="ABN435" s="90"/>
      <c r="ABO435" s="90"/>
      <c r="ABP435" s="90"/>
      <c r="ABQ435" s="90"/>
      <c r="ABR435" s="90"/>
      <c r="ABS435" s="90"/>
      <c r="ABT435" s="90"/>
      <c r="ABU435" s="90"/>
      <c r="ABV435" s="90"/>
      <c r="ABW435" s="90"/>
      <c r="ABX435" s="90"/>
      <c r="ABY435" s="90"/>
      <c r="ABZ435" s="90"/>
      <c r="ACA435" s="90"/>
      <c r="ACB435" s="90"/>
      <c r="ACC435" s="90"/>
      <c r="ACD435" s="90"/>
      <c r="ACE435" s="90"/>
      <c r="ACF435" s="90"/>
      <c r="ACG435" s="90"/>
      <c r="ACH435" s="90"/>
      <c r="ACI435" s="90"/>
      <c r="ACJ435" s="90"/>
      <c r="ACK435" s="90"/>
      <c r="ACL435" s="90"/>
      <c r="ACM435" s="90"/>
      <c r="ACN435" s="90"/>
      <c r="ACO435" s="90"/>
      <c r="ACP435" s="90"/>
      <c r="ACQ435" s="90"/>
      <c r="ACR435" s="90"/>
      <c r="ACS435" s="90"/>
      <c r="ACT435" s="90"/>
      <c r="ACU435" s="90"/>
      <c r="ACV435" s="90"/>
      <c r="ACW435" s="90"/>
      <c r="ACX435" s="90"/>
      <c r="ACY435" s="90"/>
      <c r="ACZ435" s="90"/>
      <c r="ADA435" s="90"/>
      <c r="ADB435" s="90"/>
      <c r="ADC435" s="90"/>
      <c r="ADD435" s="90"/>
      <c r="ADE435" s="90"/>
      <c r="ADF435" s="90"/>
      <c r="ADG435" s="90"/>
      <c r="ADH435" s="90"/>
      <c r="ADI435" s="90"/>
      <c r="ADJ435" s="90"/>
      <c r="ADK435" s="90"/>
      <c r="ADL435" s="90"/>
      <c r="ADM435" s="90"/>
      <c r="ADN435" s="90"/>
      <c r="ADO435" s="90"/>
      <c r="ADP435" s="90"/>
      <c r="ADQ435" s="90"/>
      <c r="ADR435" s="90"/>
      <c r="ADS435" s="90"/>
      <c r="ADT435" s="90"/>
      <c r="ADU435" s="90"/>
      <c r="ADV435" s="90"/>
      <c r="ADW435" s="90"/>
      <c r="ADX435" s="90"/>
      <c r="ADY435" s="90"/>
      <c r="ADZ435" s="90"/>
      <c r="AEA435" s="90"/>
      <c r="AEB435" s="90"/>
      <c r="AEC435" s="90"/>
      <c r="AED435" s="90"/>
      <c r="AEE435" s="90"/>
      <c r="AEF435" s="90"/>
      <c r="AEG435" s="90"/>
      <c r="AEH435" s="90"/>
      <c r="AEI435" s="90"/>
      <c r="AEJ435" s="90"/>
      <c r="AEK435" s="90"/>
      <c r="AEL435" s="90"/>
      <c r="AEM435" s="90"/>
      <c r="AEN435" s="90"/>
      <c r="AEO435" s="90"/>
      <c r="AEP435" s="90"/>
      <c r="AEQ435" s="90"/>
      <c r="AER435" s="90"/>
      <c r="AES435" s="90"/>
      <c r="AET435" s="90"/>
      <c r="AEU435" s="90"/>
      <c r="AEV435" s="90"/>
      <c r="AEW435" s="90"/>
      <c r="AEX435" s="90"/>
      <c r="AEY435" s="90"/>
      <c r="AEZ435" s="90"/>
      <c r="AFA435" s="90"/>
      <c r="AFB435" s="90"/>
      <c r="AFC435" s="90"/>
      <c r="AFD435" s="90"/>
      <c r="AFE435" s="90"/>
      <c r="AFF435" s="90"/>
      <c r="AFG435" s="90"/>
      <c r="AFH435" s="90"/>
      <c r="AFI435" s="90"/>
      <c r="AFJ435" s="90"/>
      <c r="AFK435" s="90"/>
      <c r="AFL435" s="90"/>
      <c r="AFM435" s="90"/>
      <c r="AFN435" s="90"/>
      <c r="AFO435" s="90"/>
      <c r="AFP435" s="90"/>
      <c r="AFQ435" s="90"/>
      <c r="AFR435" s="90"/>
      <c r="AFS435" s="90"/>
      <c r="AFT435" s="90"/>
      <c r="AFU435" s="90"/>
      <c r="AFV435" s="90"/>
      <c r="AFW435" s="90"/>
      <c r="AFX435" s="90"/>
      <c r="AFY435" s="90"/>
      <c r="AFZ435" s="90"/>
      <c r="AGA435" s="90"/>
      <c r="AGB435" s="90"/>
      <c r="AGC435" s="90"/>
      <c r="AGD435" s="90"/>
      <c r="AGE435" s="90"/>
      <c r="AGF435" s="90"/>
      <c r="AGG435" s="90"/>
      <c r="AGH435" s="90"/>
      <c r="AGI435" s="90"/>
      <c r="AGJ435" s="90"/>
      <c r="AGK435" s="90"/>
      <c r="AGL435" s="90"/>
      <c r="AGM435" s="90"/>
      <c r="AGN435" s="90"/>
      <c r="AGO435" s="90"/>
      <c r="AGP435" s="90"/>
      <c r="AGQ435" s="90"/>
      <c r="AGR435" s="90"/>
      <c r="AGS435" s="90"/>
      <c r="AGT435" s="90"/>
      <c r="AGU435" s="90"/>
      <c r="AGV435" s="90"/>
      <c r="AGW435" s="90"/>
      <c r="AGX435" s="90"/>
      <c r="AGY435" s="90"/>
      <c r="AGZ435" s="90"/>
      <c r="AHA435" s="90"/>
      <c r="AHB435" s="90"/>
      <c r="AHC435" s="90"/>
      <c r="AHD435" s="90"/>
      <c r="AHE435" s="90"/>
      <c r="AHF435" s="90"/>
      <c r="AHG435" s="90"/>
      <c r="AHH435" s="90"/>
      <c r="AHI435" s="90"/>
      <c r="AHJ435" s="90"/>
      <c r="AHK435" s="90"/>
      <c r="AHL435" s="90"/>
      <c r="AHM435" s="90"/>
      <c r="AHN435" s="90"/>
      <c r="AHO435" s="90"/>
      <c r="AHP435" s="90"/>
      <c r="AHQ435" s="90"/>
      <c r="AHR435" s="90"/>
      <c r="AHS435" s="90"/>
      <c r="AHT435" s="90"/>
      <c r="AHU435" s="90"/>
      <c r="AHV435" s="90"/>
      <c r="AHW435" s="90"/>
      <c r="AHX435" s="90"/>
      <c r="AHY435" s="90"/>
      <c r="AHZ435" s="90"/>
      <c r="AIA435" s="90"/>
      <c r="AIB435" s="90"/>
      <c r="AIC435" s="90"/>
      <c r="AID435" s="90"/>
      <c r="AIE435" s="90"/>
      <c r="AIF435" s="90"/>
      <c r="AIG435" s="90"/>
      <c r="AIH435" s="90"/>
      <c r="AII435" s="90"/>
      <c r="AIJ435" s="90"/>
      <c r="AIK435" s="90"/>
      <c r="AIL435" s="90"/>
      <c r="AIM435" s="90"/>
      <c r="AIN435" s="90"/>
      <c r="AIO435" s="90"/>
      <c r="AIP435" s="90"/>
      <c r="AIQ435" s="90"/>
      <c r="AIR435" s="90"/>
      <c r="AIS435" s="90"/>
      <c r="AIT435" s="90"/>
      <c r="AIU435" s="90"/>
      <c r="AIV435" s="90"/>
      <c r="AIW435" s="90"/>
      <c r="AIX435" s="90"/>
      <c r="AIY435" s="90"/>
      <c r="AIZ435" s="90"/>
      <c r="AJA435" s="90"/>
      <c r="AJB435" s="90"/>
      <c r="AJC435" s="90"/>
      <c r="AJD435" s="90"/>
      <c r="AJE435" s="90"/>
      <c r="AJF435" s="90"/>
      <c r="AJG435" s="90"/>
      <c r="AJH435" s="90"/>
      <c r="AJI435" s="90"/>
      <c r="AJJ435" s="90"/>
      <c r="AJK435" s="90"/>
      <c r="AJL435" s="90"/>
      <c r="AJM435" s="90"/>
      <c r="AJN435" s="90"/>
      <c r="AJO435" s="90"/>
      <c r="AJP435" s="90"/>
      <c r="AJQ435" s="90"/>
      <c r="AJR435" s="90"/>
      <c r="AJS435" s="90"/>
      <c r="AJT435" s="90"/>
      <c r="AJU435" s="90"/>
      <c r="AJV435" s="90"/>
      <c r="AJW435" s="90"/>
      <c r="AJX435" s="90"/>
      <c r="AJY435" s="90"/>
      <c r="AJZ435" s="90"/>
      <c r="AKA435" s="90"/>
      <c r="AKB435" s="90"/>
      <c r="AKC435" s="90"/>
      <c r="AKD435" s="90"/>
      <c r="AKE435" s="90"/>
      <c r="AKF435" s="90"/>
      <c r="AKG435" s="90"/>
      <c r="AKH435" s="90"/>
      <c r="AKI435" s="90"/>
      <c r="AKJ435" s="90"/>
      <c r="AKK435" s="90"/>
      <c r="AKL435" s="90"/>
      <c r="AKM435" s="90"/>
      <c r="AKN435" s="90"/>
      <c r="AKO435" s="90"/>
      <c r="AKP435" s="90"/>
      <c r="AKQ435" s="90"/>
      <c r="AKR435" s="90"/>
      <c r="AKS435" s="90"/>
      <c r="AKT435" s="90"/>
      <c r="AKU435" s="90"/>
      <c r="AKV435" s="90"/>
      <c r="AKW435" s="90"/>
      <c r="AKX435" s="90"/>
      <c r="AKY435" s="90"/>
      <c r="AKZ435" s="90"/>
      <c r="ALA435" s="90"/>
      <c r="ALB435" s="90"/>
      <c r="ALC435" s="90"/>
      <c r="ALD435" s="90"/>
      <c r="ALE435" s="90"/>
      <c r="ALF435" s="90"/>
      <c r="ALG435" s="90"/>
      <c r="ALH435" s="90"/>
      <c r="ALI435" s="90"/>
      <c r="ALJ435" s="90"/>
      <c r="ALK435" s="90"/>
      <c r="ALL435" s="90"/>
      <c r="ALM435" s="90"/>
      <c r="ALN435" s="90"/>
      <c r="ALO435" s="90"/>
      <c r="ALP435" s="90"/>
      <c r="ALQ435" s="90"/>
      <c r="ALR435" s="90"/>
      <c r="ALS435" s="90"/>
      <c r="ALT435" s="90"/>
      <c r="ALU435" s="90"/>
      <c r="ALV435" s="90"/>
      <c r="ALW435" s="90"/>
      <c r="ALX435" s="90"/>
      <c r="ALY435" s="90"/>
      <c r="ALZ435" s="90"/>
      <c r="AMA435" s="90"/>
      <c r="AMB435" s="90"/>
      <c r="AMC435" s="90"/>
    </row>
    <row r="436" spans="1:1017">
      <c r="A436" s="98" t="s">
        <v>56</v>
      </c>
      <c r="B436" s="90" t="str">
        <f t="shared" si="2224"/>
        <v xml:space="preserve">Gabus </v>
      </c>
      <c r="Q436" s="91">
        <f t="shared" si="2225"/>
        <v>0</v>
      </c>
      <c r="R436" s="91">
        <f t="shared" si="2226"/>
        <v>0</v>
      </c>
      <c r="Y436" s="98">
        <v>430</v>
      </c>
      <c r="Z436" s="98">
        <v>17200</v>
      </c>
      <c r="AG436" s="91">
        <f t="shared" si="2227"/>
        <v>430</v>
      </c>
      <c r="AH436" s="91">
        <f t="shared" si="2228"/>
        <v>17200</v>
      </c>
      <c r="AW436" s="91">
        <f t="shared" si="2229"/>
        <v>0</v>
      </c>
      <c r="AX436" s="91">
        <f t="shared" si="2230"/>
        <v>0</v>
      </c>
      <c r="BM436" s="91">
        <f t="shared" si="2231"/>
        <v>0</v>
      </c>
      <c r="BN436" s="91">
        <f t="shared" si="2232"/>
        <v>0</v>
      </c>
      <c r="CC436" s="91">
        <f t="shared" si="2233"/>
        <v>0</v>
      </c>
      <c r="CD436" s="91">
        <f t="shared" si="2234"/>
        <v>0</v>
      </c>
      <c r="CS436" s="91">
        <f t="shared" si="2235"/>
        <v>0</v>
      </c>
      <c r="CT436" s="91">
        <f t="shared" si="2236"/>
        <v>0</v>
      </c>
      <c r="DI436" s="91">
        <f t="shared" si="2237"/>
        <v>0</v>
      </c>
      <c r="DJ436" s="91">
        <f t="shared" si="2238"/>
        <v>0</v>
      </c>
      <c r="DY436" s="91">
        <f t="shared" si="2239"/>
        <v>0</v>
      </c>
      <c r="DZ436" s="91">
        <f t="shared" si="2240"/>
        <v>0</v>
      </c>
      <c r="EO436" s="91">
        <f t="shared" si="2241"/>
        <v>0</v>
      </c>
      <c r="EP436" s="91">
        <f t="shared" si="2242"/>
        <v>0</v>
      </c>
      <c r="EW436" s="98">
        <v>109</v>
      </c>
      <c r="EX436" s="98">
        <v>3815</v>
      </c>
      <c r="FE436" s="91">
        <f t="shared" si="2243"/>
        <v>109</v>
      </c>
      <c r="FF436" s="91">
        <f t="shared" si="2244"/>
        <v>3815</v>
      </c>
      <c r="FM436" s="98">
        <v>340</v>
      </c>
      <c r="FN436" s="98">
        <v>13600</v>
      </c>
      <c r="FU436" s="91">
        <f t="shared" si="2245"/>
        <v>340</v>
      </c>
      <c r="FV436" s="91">
        <f t="shared" si="2246"/>
        <v>13600</v>
      </c>
      <c r="GK436" s="91">
        <f t="shared" si="2247"/>
        <v>0</v>
      </c>
      <c r="GL436" s="91">
        <f t="shared" si="2248"/>
        <v>0</v>
      </c>
      <c r="HA436" s="91">
        <f t="shared" si="2249"/>
        <v>0</v>
      </c>
      <c r="HB436" s="91">
        <f t="shared" si="2250"/>
        <v>0</v>
      </c>
      <c r="HQ436" s="91">
        <f t="shared" si="2251"/>
        <v>0</v>
      </c>
      <c r="HR436" s="91">
        <f t="shared" si="2252"/>
        <v>0</v>
      </c>
      <c r="IG436" s="91">
        <f t="shared" si="2253"/>
        <v>0</v>
      </c>
      <c r="IH436" s="91">
        <f t="shared" si="2254"/>
        <v>0</v>
      </c>
      <c r="IW436" s="91">
        <f t="shared" si="2255"/>
        <v>0</v>
      </c>
      <c r="IX436" s="91">
        <f t="shared" si="2256"/>
        <v>0</v>
      </c>
      <c r="JM436" s="91">
        <f t="shared" si="2257"/>
        <v>0</v>
      </c>
      <c r="JN436" s="91">
        <f t="shared" si="2258"/>
        <v>0</v>
      </c>
      <c r="KC436" s="91">
        <f t="shared" si="2259"/>
        <v>0</v>
      </c>
      <c r="KD436" s="91">
        <f t="shared" si="2260"/>
        <v>0</v>
      </c>
      <c r="KS436" s="91">
        <f t="shared" si="2261"/>
        <v>0</v>
      </c>
      <c r="KT436" s="91">
        <f t="shared" si="2262"/>
        <v>0</v>
      </c>
      <c r="LI436" s="91">
        <f t="shared" si="2263"/>
        <v>0</v>
      </c>
      <c r="LJ436" s="91">
        <f t="shared" si="2264"/>
        <v>0</v>
      </c>
      <c r="LQ436" s="98">
        <v>106</v>
      </c>
      <c r="LR436" s="98">
        <v>6890</v>
      </c>
      <c r="LY436" s="91">
        <f t="shared" si="2265"/>
        <v>106</v>
      </c>
      <c r="LZ436" s="91">
        <f t="shared" si="2266"/>
        <v>6890</v>
      </c>
      <c r="MO436" s="91">
        <f t="shared" si="2267"/>
        <v>0</v>
      </c>
      <c r="MP436" s="91">
        <f t="shared" si="2268"/>
        <v>0</v>
      </c>
      <c r="NE436" s="91">
        <f t="shared" si="2269"/>
        <v>0</v>
      </c>
      <c r="NF436" s="91">
        <f t="shared" si="2270"/>
        <v>0</v>
      </c>
      <c r="NU436" s="91">
        <f t="shared" si="2271"/>
        <v>0</v>
      </c>
      <c r="NV436" s="91">
        <f t="shared" si="2272"/>
        <v>0</v>
      </c>
      <c r="OK436" s="91">
        <f t="shared" si="2273"/>
        <v>0</v>
      </c>
      <c r="OL436" s="91">
        <f t="shared" si="2274"/>
        <v>0</v>
      </c>
      <c r="PA436" s="91">
        <f t="shared" si="2275"/>
        <v>0</v>
      </c>
      <c r="PB436" s="91">
        <f t="shared" si="2276"/>
        <v>0</v>
      </c>
      <c r="PQ436" s="91">
        <f t="shared" si="2277"/>
        <v>0</v>
      </c>
      <c r="PR436" s="91">
        <f t="shared" si="2278"/>
        <v>0</v>
      </c>
      <c r="QG436" s="91">
        <f t="shared" si="2279"/>
        <v>0</v>
      </c>
      <c r="QH436" s="91">
        <f t="shared" si="2280"/>
        <v>0</v>
      </c>
      <c r="QO436" s="98">
        <v>7000</v>
      </c>
      <c r="QP436" s="98">
        <v>245000</v>
      </c>
      <c r="QW436" s="91">
        <f t="shared" si="2281"/>
        <v>7000</v>
      </c>
      <c r="QX436" s="91">
        <f t="shared" si="2282"/>
        <v>245000</v>
      </c>
      <c r="RM436" s="91">
        <f t="shared" si="2283"/>
        <v>0</v>
      </c>
      <c r="RN436" s="91">
        <f t="shared" si="2284"/>
        <v>0</v>
      </c>
      <c r="SC436" s="91">
        <f t="shared" si="2285"/>
        <v>0</v>
      </c>
      <c r="SD436" s="91">
        <f t="shared" si="2286"/>
        <v>0</v>
      </c>
      <c r="SS436" s="91">
        <f t="shared" si="2287"/>
        <v>0</v>
      </c>
      <c r="ST436" s="91">
        <f t="shared" si="2288"/>
        <v>0</v>
      </c>
      <c r="TI436" s="91">
        <f t="shared" si="2289"/>
        <v>0</v>
      </c>
      <c r="TJ436" s="91">
        <f t="shared" si="2290"/>
        <v>0</v>
      </c>
      <c r="TY436" s="91">
        <f t="shared" si="2291"/>
        <v>0</v>
      </c>
      <c r="TZ436" s="91">
        <f t="shared" si="2292"/>
        <v>0</v>
      </c>
      <c r="UO436" s="91">
        <f t="shared" si="2293"/>
        <v>0</v>
      </c>
      <c r="UP436" s="91">
        <f t="shared" si="2294"/>
        <v>0</v>
      </c>
      <c r="VE436" s="91">
        <f t="shared" si="2295"/>
        <v>0</v>
      </c>
      <c r="VF436" s="91">
        <f t="shared" si="2296"/>
        <v>0</v>
      </c>
      <c r="VU436" s="91">
        <f t="shared" si="2297"/>
        <v>0</v>
      </c>
      <c r="VV436" s="91">
        <f t="shared" si="2298"/>
        <v>0</v>
      </c>
      <c r="WK436" s="91">
        <f t="shared" si="2299"/>
        <v>0</v>
      </c>
      <c r="WL436" s="91">
        <f t="shared" si="2300"/>
        <v>0</v>
      </c>
      <c r="WM436" s="89"/>
      <c r="WN436" s="87">
        <f t="shared" si="2301"/>
        <v>0</v>
      </c>
      <c r="WO436" s="87">
        <f t="shared" si="2302"/>
        <v>0</v>
      </c>
      <c r="WP436" s="87">
        <f t="shared" si="2303"/>
        <v>0</v>
      </c>
      <c r="WQ436" s="87">
        <f t="shared" si="2304"/>
        <v>0</v>
      </c>
      <c r="WR436" s="87">
        <f t="shared" si="2305"/>
        <v>0</v>
      </c>
      <c r="WS436" s="87">
        <f t="shared" si="2306"/>
        <v>0</v>
      </c>
      <c r="WT436" s="87">
        <f t="shared" si="2307"/>
        <v>7985</v>
      </c>
      <c r="WU436" s="87">
        <f t="shared" si="2308"/>
        <v>286505</v>
      </c>
      <c r="WV436" s="87">
        <f t="shared" si="2309"/>
        <v>0</v>
      </c>
      <c r="WW436" s="87">
        <f t="shared" si="2310"/>
        <v>0</v>
      </c>
      <c r="WX436" s="87">
        <f t="shared" si="2311"/>
        <v>0</v>
      </c>
      <c r="WY436" s="87">
        <f t="shared" si="2312"/>
        <v>0</v>
      </c>
      <c r="WZ436" s="87">
        <f t="shared" si="2313"/>
        <v>0</v>
      </c>
      <c r="XA436" s="87">
        <f t="shared" si="2314"/>
        <v>0</v>
      </c>
      <c r="XB436" s="92">
        <f t="shared" si="2315"/>
        <v>7985</v>
      </c>
      <c r="XC436" s="92">
        <f t="shared" si="2316"/>
        <v>286505</v>
      </c>
      <c r="XD436" s="89"/>
      <c r="XE436" s="92"/>
      <c r="XF436" s="92"/>
      <c r="XG436" s="89"/>
      <c r="XH436" s="92"/>
      <c r="XI436" s="92"/>
      <c r="XJ436" s="89"/>
      <c r="XK436" s="87"/>
      <c r="XL436" s="87"/>
      <c r="XM436" s="87"/>
      <c r="XN436" s="87"/>
      <c r="XO436" s="87"/>
      <c r="XP436" s="87"/>
      <c r="XQ436" s="87"/>
      <c r="XR436" s="92">
        <f t="shared" ca="1" si="2317"/>
        <v>0</v>
      </c>
      <c r="XS436" s="89"/>
      <c r="XT436" s="87"/>
      <c r="XU436" s="87"/>
      <c r="XV436" s="87"/>
      <c r="XW436" s="87"/>
      <c r="XX436" s="87"/>
      <c r="XY436" s="87"/>
      <c r="XZ436" s="87"/>
      <c r="YA436" s="92">
        <f t="shared" ca="1" si="2318"/>
        <v>0</v>
      </c>
      <c r="YB436" s="90"/>
      <c r="YC436" s="90"/>
      <c r="YD436" s="90"/>
      <c r="YE436" s="90"/>
      <c r="YF436" s="90"/>
      <c r="YG436" s="90"/>
      <c r="YH436" s="90"/>
      <c r="YI436" s="90"/>
      <c r="YJ436" s="90"/>
      <c r="YK436" s="90"/>
      <c r="YL436" s="90"/>
      <c r="YM436" s="90"/>
      <c r="YN436" s="90"/>
      <c r="YO436" s="90"/>
      <c r="YP436" s="90"/>
      <c r="YQ436" s="90"/>
      <c r="YR436" s="90"/>
      <c r="YS436" s="90"/>
      <c r="YT436" s="90"/>
      <c r="YU436" s="90"/>
      <c r="YV436" s="90"/>
      <c r="YW436" s="90"/>
      <c r="YX436" s="90"/>
      <c r="YY436" s="90"/>
      <c r="YZ436" s="90"/>
      <c r="ZA436" s="90"/>
      <c r="ZB436" s="90"/>
      <c r="ZC436" s="90"/>
      <c r="ZD436" s="90"/>
      <c r="ZE436" s="90"/>
      <c r="ZF436" s="90"/>
      <c r="ZG436" s="90"/>
      <c r="ZH436" s="90"/>
      <c r="ZI436" s="90"/>
      <c r="ZJ436" s="90"/>
      <c r="ZK436" s="90"/>
      <c r="ZL436" s="90"/>
      <c r="ZM436" s="90"/>
      <c r="ZN436" s="90"/>
      <c r="ZO436" s="90"/>
      <c r="ZP436" s="90"/>
      <c r="ZQ436" s="90"/>
      <c r="ZR436" s="90"/>
      <c r="ZS436" s="90"/>
      <c r="ZT436" s="90"/>
      <c r="ZU436" s="90"/>
      <c r="ZV436" s="90"/>
      <c r="ZW436" s="90"/>
      <c r="ZX436" s="90"/>
      <c r="ZY436" s="90"/>
      <c r="ZZ436" s="90"/>
      <c r="AAA436" s="90"/>
      <c r="AAB436" s="90"/>
      <c r="AAC436" s="90"/>
      <c r="AAD436" s="90"/>
      <c r="AAE436" s="90"/>
      <c r="AAF436" s="90"/>
      <c r="AAG436" s="90"/>
      <c r="AAH436" s="90"/>
      <c r="AAI436" s="90"/>
      <c r="AAJ436" s="90"/>
      <c r="AAK436" s="90"/>
      <c r="AAL436" s="90"/>
      <c r="AAM436" s="90"/>
      <c r="AAN436" s="90"/>
      <c r="AAO436" s="90"/>
      <c r="AAP436" s="90"/>
      <c r="AAQ436" s="90"/>
      <c r="AAR436" s="90"/>
      <c r="AAS436" s="90"/>
      <c r="AAT436" s="90"/>
      <c r="AAU436" s="90"/>
      <c r="AAV436" s="90"/>
      <c r="AAW436" s="90"/>
      <c r="AAX436" s="90"/>
      <c r="AAY436" s="90"/>
      <c r="AAZ436" s="90"/>
      <c r="ABA436" s="90"/>
      <c r="ABB436" s="90"/>
      <c r="ABC436" s="90"/>
      <c r="ABD436" s="90"/>
      <c r="ABE436" s="90"/>
      <c r="ABF436" s="90"/>
      <c r="ABG436" s="90"/>
      <c r="ABH436" s="90"/>
      <c r="ABI436" s="90"/>
      <c r="ABJ436" s="90"/>
      <c r="ABK436" s="90"/>
      <c r="ABL436" s="90"/>
      <c r="ABM436" s="90"/>
      <c r="ABN436" s="90"/>
      <c r="ABO436" s="90"/>
      <c r="ABP436" s="90"/>
      <c r="ABQ436" s="90"/>
      <c r="ABR436" s="90"/>
      <c r="ABS436" s="90"/>
      <c r="ABT436" s="90"/>
      <c r="ABU436" s="90"/>
      <c r="ABV436" s="90"/>
      <c r="ABW436" s="90"/>
      <c r="ABX436" s="90"/>
      <c r="ABY436" s="90"/>
      <c r="ABZ436" s="90"/>
      <c r="ACA436" s="90"/>
      <c r="ACB436" s="90"/>
      <c r="ACC436" s="90"/>
      <c r="ACD436" s="90"/>
      <c r="ACE436" s="90"/>
      <c r="ACF436" s="90"/>
      <c r="ACG436" s="90"/>
      <c r="ACH436" s="90"/>
      <c r="ACI436" s="90"/>
      <c r="ACJ436" s="90"/>
      <c r="ACK436" s="90"/>
      <c r="ACL436" s="90"/>
      <c r="ACM436" s="90"/>
      <c r="ACN436" s="90"/>
      <c r="ACO436" s="90"/>
      <c r="ACP436" s="90"/>
      <c r="ACQ436" s="90"/>
      <c r="ACR436" s="90"/>
      <c r="ACS436" s="90"/>
      <c r="ACT436" s="90"/>
      <c r="ACU436" s="90"/>
      <c r="ACV436" s="90"/>
      <c r="ACW436" s="90"/>
      <c r="ACX436" s="90"/>
      <c r="ACY436" s="90"/>
      <c r="ACZ436" s="90"/>
      <c r="ADA436" s="90"/>
      <c r="ADB436" s="90"/>
      <c r="ADC436" s="90"/>
      <c r="ADD436" s="90"/>
      <c r="ADE436" s="90"/>
      <c r="ADF436" s="90"/>
      <c r="ADG436" s="90"/>
      <c r="ADH436" s="90"/>
      <c r="ADI436" s="90"/>
      <c r="ADJ436" s="90"/>
      <c r="ADK436" s="90"/>
      <c r="ADL436" s="90"/>
      <c r="ADM436" s="90"/>
      <c r="ADN436" s="90"/>
      <c r="ADO436" s="90"/>
      <c r="ADP436" s="90"/>
      <c r="ADQ436" s="90"/>
      <c r="ADR436" s="90"/>
      <c r="ADS436" s="90"/>
      <c r="ADT436" s="90"/>
      <c r="ADU436" s="90"/>
      <c r="ADV436" s="90"/>
      <c r="ADW436" s="90"/>
      <c r="ADX436" s="90"/>
      <c r="ADY436" s="90"/>
      <c r="ADZ436" s="90"/>
      <c r="AEA436" s="90"/>
      <c r="AEB436" s="90"/>
      <c r="AEC436" s="90"/>
      <c r="AED436" s="90"/>
      <c r="AEE436" s="90"/>
      <c r="AEF436" s="90"/>
      <c r="AEG436" s="90"/>
      <c r="AEH436" s="90"/>
      <c r="AEI436" s="90"/>
      <c r="AEJ436" s="90"/>
      <c r="AEK436" s="90"/>
      <c r="AEL436" s="90"/>
      <c r="AEM436" s="90"/>
      <c r="AEN436" s="90"/>
      <c r="AEO436" s="90"/>
      <c r="AEP436" s="90"/>
      <c r="AEQ436" s="90"/>
      <c r="AER436" s="90"/>
      <c r="AES436" s="90"/>
      <c r="AET436" s="90"/>
      <c r="AEU436" s="90"/>
      <c r="AEV436" s="90"/>
      <c r="AEW436" s="90"/>
      <c r="AEX436" s="90"/>
      <c r="AEY436" s="90"/>
      <c r="AEZ436" s="90"/>
      <c r="AFA436" s="90"/>
      <c r="AFB436" s="90"/>
      <c r="AFC436" s="90"/>
      <c r="AFD436" s="90"/>
      <c r="AFE436" s="90"/>
      <c r="AFF436" s="90"/>
      <c r="AFG436" s="90"/>
      <c r="AFH436" s="90"/>
      <c r="AFI436" s="90"/>
      <c r="AFJ436" s="90"/>
      <c r="AFK436" s="90"/>
      <c r="AFL436" s="90"/>
      <c r="AFM436" s="90"/>
      <c r="AFN436" s="90"/>
      <c r="AFO436" s="90"/>
      <c r="AFP436" s="90"/>
      <c r="AFQ436" s="90"/>
      <c r="AFR436" s="90"/>
      <c r="AFS436" s="90"/>
      <c r="AFT436" s="90"/>
      <c r="AFU436" s="90"/>
      <c r="AFV436" s="90"/>
      <c r="AFW436" s="90"/>
      <c r="AFX436" s="90"/>
      <c r="AFY436" s="90"/>
      <c r="AFZ436" s="90"/>
      <c r="AGA436" s="90"/>
      <c r="AGB436" s="90"/>
      <c r="AGC436" s="90"/>
      <c r="AGD436" s="90"/>
      <c r="AGE436" s="90"/>
      <c r="AGF436" s="90"/>
      <c r="AGG436" s="90"/>
      <c r="AGH436" s="90"/>
      <c r="AGI436" s="90"/>
      <c r="AGJ436" s="90"/>
      <c r="AGK436" s="90"/>
      <c r="AGL436" s="90"/>
      <c r="AGM436" s="90"/>
      <c r="AGN436" s="90"/>
      <c r="AGO436" s="90"/>
      <c r="AGP436" s="90"/>
      <c r="AGQ436" s="90"/>
      <c r="AGR436" s="90"/>
      <c r="AGS436" s="90"/>
      <c r="AGT436" s="90"/>
      <c r="AGU436" s="90"/>
      <c r="AGV436" s="90"/>
      <c r="AGW436" s="90"/>
      <c r="AGX436" s="90"/>
      <c r="AGY436" s="90"/>
      <c r="AGZ436" s="90"/>
      <c r="AHA436" s="90"/>
      <c r="AHB436" s="90"/>
      <c r="AHC436" s="90"/>
      <c r="AHD436" s="90"/>
      <c r="AHE436" s="90"/>
      <c r="AHF436" s="90"/>
      <c r="AHG436" s="90"/>
      <c r="AHH436" s="90"/>
      <c r="AHI436" s="90"/>
      <c r="AHJ436" s="90"/>
      <c r="AHK436" s="90"/>
      <c r="AHL436" s="90"/>
      <c r="AHM436" s="90"/>
      <c r="AHN436" s="90"/>
      <c r="AHO436" s="90"/>
      <c r="AHP436" s="90"/>
      <c r="AHQ436" s="90"/>
      <c r="AHR436" s="90"/>
      <c r="AHS436" s="90"/>
      <c r="AHT436" s="90"/>
      <c r="AHU436" s="90"/>
      <c r="AHV436" s="90"/>
      <c r="AHW436" s="90"/>
      <c r="AHX436" s="90"/>
      <c r="AHY436" s="90"/>
      <c r="AHZ436" s="90"/>
      <c r="AIA436" s="90"/>
      <c r="AIB436" s="90"/>
      <c r="AIC436" s="90"/>
      <c r="AID436" s="90"/>
      <c r="AIE436" s="90"/>
      <c r="AIF436" s="90"/>
      <c r="AIG436" s="90"/>
      <c r="AIH436" s="90"/>
      <c r="AII436" s="90"/>
      <c r="AIJ436" s="90"/>
      <c r="AIK436" s="90"/>
      <c r="AIL436" s="90"/>
      <c r="AIM436" s="90"/>
      <c r="AIN436" s="90"/>
      <c r="AIO436" s="90"/>
      <c r="AIP436" s="90"/>
      <c r="AIQ436" s="90"/>
      <c r="AIR436" s="90"/>
      <c r="AIS436" s="90"/>
      <c r="AIT436" s="90"/>
      <c r="AIU436" s="90"/>
      <c r="AIV436" s="90"/>
      <c r="AIW436" s="90"/>
      <c r="AIX436" s="90"/>
      <c r="AIY436" s="90"/>
      <c r="AIZ436" s="90"/>
      <c r="AJA436" s="90"/>
      <c r="AJB436" s="90"/>
      <c r="AJC436" s="90"/>
      <c r="AJD436" s="90"/>
      <c r="AJE436" s="90"/>
      <c r="AJF436" s="90"/>
      <c r="AJG436" s="90"/>
      <c r="AJH436" s="90"/>
      <c r="AJI436" s="90"/>
      <c r="AJJ436" s="90"/>
      <c r="AJK436" s="90"/>
      <c r="AJL436" s="90"/>
      <c r="AJM436" s="90"/>
      <c r="AJN436" s="90"/>
      <c r="AJO436" s="90"/>
      <c r="AJP436" s="90"/>
      <c r="AJQ436" s="90"/>
      <c r="AJR436" s="90"/>
      <c r="AJS436" s="90"/>
      <c r="AJT436" s="90"/>
      <c r="AJU436" s="90"/>
      <c r="AJV436" s="90"/>
      <c r="AJW436" s="90"/>
      <c r="AJX436" s="90"/>
      <c r="AJY436" s="90"/>
      <c r="AJZ436" s="90"/>
      <c r="AKA436" s="90"/>
      <c r="AKB436" s="90"/>
      <c r="AKC436" s="90"/>
      <c r="AKD436" s="90"/>
      <c r="AKE436" s="90"/>
      <c r="AKF436" s="90"/>
      <c r="AKG436" s="90"/>
      <c r="AKH436" s="90"/>
      <c r="AKI436" s="90"/>
      <c r="AKJ436" s="90"/>
      <c r="AKK436" s="90"/>
      <c r="AKL436" s="90"/>
      <c r="AKM436" s="90"/>
      <c r="AKN436" s="90"/>
      <c r="AKO436" s="90"/>
      <c r="AKP436" s="90"/>
      <c r="AKQ436" s="90"/>
      <c r="AKR436" s="90"/>
      <c r="AKS436" s="90"/>
      <c r="AKT436" s="90"/>
      <c r="AKU436" s="90"/>
      <c r="AKV436" s="90"/>
      <c r="AKW436" s="90"/>
      <c r="AKX436" s="90"/>
      <c r="AKY436" s="90"/>
      <c r="AKZ436" s="90"/>
      <c r="ALA436" s="90"/>
      <c r="ALB436" s="90"/>
      <c r="ALC436" s="90"/>
      <c r="ALD436" s="90"/>
      <c r="ALE436" s="90"/>
      <c r="ALF436" s="90"/>
      <c r="ALG436" s="90"/>
      <c r="ALH436" s="90"/>
      <c r="ALI436" s="90"/>
      <c r="ALJ436" s="90"/>
      <c r="ALK436" s="90"/>
      <c r="ALL436" s="90"/>
      <c r="ALM436" s="90"/>
      <c r="ALN436" s="90"/>
      <c r="ALO436" s="90"/>
      <c r="ALP436" s="90"/>
      <c r="ALQ436" s="90"/>
      <c r="ALR436" s="90"/>
      <c r="ALS436" s="90"/>
      <c r="ALT436" s="90"/>
      <c r="ALU436" s="90"/>
      <c r="ALV436" s="90"/>
      <c r="ALW436" s="90"/>
      <c r="ALX436" s="90"/>
      <c r="ALY436" s="90"/>
      <c r="ALZ436" s="90"/>
      <c r="AMA436" s="90"/>
      <c r="AMB436" s="90"/>
      <c r="AMC436" s="90"/>
    </row>
    <row r="437" spans="1:1017">
      <c r="A437" s="98" t="s">
        <v>56</v>
      </c>
      <c r="B437" s="90" t="str">
        <f t="shared" si="2224"/>
        <v xml:space="preserve">Gracilaria verrucosa </v>
      </c>
      <c r="Q437" s="91">
        <f t="shared" si="2225"/>
        <v>0</v>
      </c>
      <c r="R437" s="91">
        <f t="shared" si="2226"/>
        <v>0</v>
      </c>
      <c r="AG437" s="91">
        <f t="shared" si="2227"/>
        <v>0</v>
      </c>
      <c r="AH437" s="91">
        <f t="shared" si="2228"/>
        <v>0</v>
      </c>
      <c r="AW437" s="91">
        <f t="shared" si="2229"/>
        <v>0</v>
      </c>
      <c r="AX437" s="91">
        <f t="shared" si="2230"/>
        <v>0</v>
      </c>
      <c r="BM437" s="91">
        <f t="shared" si="2231"/>
        <v>0</v>
      </c>
      <c r="BN437" s="91">
        <f t="shared" si="2232"/>
        <v>0</v>
      </c>
      <c r="CC437" s="91">
        <f t="shared" si="2233"/>
        <v>0</v>
      </c>
      <c r="CD437" s="91">
        <f t="shared" si="2234"/>
        <v>0</v>
      </c>
      <c r="CG437" s="98">
        <v>520378.32000000007</v>
      </c>
      <c r="CH437" s="98">
        <v>1561135</v>
      </c>
      <c r="CS437" s="91">
        <f t="shared" si="2235"/>
        <v>520378.32000000007</v>
      </c>
      <c r="CT437" s="91">
        <f t="shared" si="2236"/>
        <v>1561135</v>
      </c>
      <c r="DI437" s="91">
        <f t="shared" si="2237"/>
        <v>0</v>
      </c>
      <c r="DJ437" s="91">
        <f t="shared" si="2238"/>
        <v>0</v>
      </c>
      <c r="DY437" s="91">
        <f t="shared" si="2239"/>
        <v>0</v>
      </c>
      <c r="DZ437" s="91">
        <f t="shared" si="2240"/>
        <v>0</v>
      </c>
      <c r="EO437" s="91">
        <f t="shared" si="2241"/>
        <v>0</v>
      </c>
      <c r="EP437" s="91">
        <f t="shared" si="2242"/>
        <v>0</v>
      </c>
      <c r="FE437" s="91">
        <f t="shared" si="2243"/>
        <v>0</v>
      </c>
      <c r="FF437" s="91">
        <f t="shared" si="2244"/>
        <v>0</v>
      </c>
      <c r="FU437" s="91">
        <f t="shared" si="2245"/>
        <v>0</v>
      </c>
      <c r="FV437" s="91">
        <f t="shared" si="2246"/>
        <v>0</v>
      </c>
      <c r="GK437" s="91">
        <f t="shared" si="2247"/>
        <v>0</v>
      </c>
      <c r="GL437" s="91">
        <f t="shared" si="2248"/>
        <v>0</v>
      </c>
      <c r="HA437" s="91">
        <f t="shared" si="2249"/>
        <v>0</v>
      </c>
      <c r="HB437" s="91">
        <f t="shared" si="2250"/>
        <v>0</v>
      </c>
      <c r="HQ437" s="91">
        <f t="shared" si="2251"/>
        <v>0</v>
      </c>
      <c r="HR437" s="91">
        <f t="shared" si="2252"/>
        <v>0</v>
      </c>
      <c r="IG437" s="91">
        <f t="shared" si="2253"/>
        <v>0</v>
      </c>
      <c r="IH437" s="91">
        <f t="shared" si="2254"/>
        <v>0</v>
      </c>
      <c r="IW437" s="91">
        <f t="shared" si="2255"/>
        <v>0</v>
      </c>
      <c r="IX437" s="91">
        <f t="shared" si="2256"/>
        <v>0</v>
      </c>
      <c r="JM437" s="91">
        <f t="shared" si="2257"/>
        <v>0</v>
      </c>
      <c r="JN437" s="91">
        <f t="shared" si="2258"/>
        <v>0</v>
      </c>
      <c r="KC437" s="91">
        <f t="shared" si="2259"/>
        <v>0</v>
      </c>
      <c r="KD437" s="91">
        <f t="shared" si="2260"/>
        <v>0</v>
      </c>
      <c r="KS437" s="91">
        <f t="shared" si="2261"/>
        <v>0</v>
      </c>
      <c r="KT437" s="91">
        <f t="shared" si="2262"/>
        <v>0</v>
      </c>
      <c r="KW437" s="98">
        <v>435558.54</v>
      </c>
      <c r="KX437" s="98">
        <v>653337</v>
      </c>
      <c r="LI437" s="91">
        <f t="shared" si="2263"/>
        <v>435558.54</v>
      </c>
      <c r="LJ437" s="91">
        <f t="shared" si="2264"/>
        <v>653337</v>
      </c>
      <c r="LY437" s="91">
        <f t="shared" si="2265"/>
        <v>0</v>
      </c>
      <c r="LZ437" s="91">
        <f t="shared" si="2266"/>
        <v>0</v>
      </c>
      <c r="MO437" s="91">
        <f t="shared" si="2267"/>
        <v>0</v>
      </c>
      <c r="MP437" s="91">
        <f t="shared" si="2268"/>
        <v>0</v>
      </c>
      <c r="MS437" s="98">
        <v>20000</v>
      </c>
      <c r="MT437" s="98">
        <f>MS437*3.5</f>
        <v>70000</v>
      </c>
      <c r="NE437" s="91">
        <f t="shared" si="2269"/>
        <v>20000</v>
      </c>
      <c r="NF437" s="91">
        <f t="shared" si="2270"/>
        <v>70000</v>
      </c>
      <c r="NI437" s="98">
        <v>667800</v>
      </c>
      <c r="NJ437" s="98">
        <v>1535940</v>
      </c>
      <c r="NU437" s="91">
        <f t="shared" si="2271"/>
        <v>667800</v>
      </c>
      <c r="NV437" s="91">
        <f t="shared" si="2272"/>
        <v>1535940</v>
      </c>
      <c r="NY437" s="98">
        <v>10170</v>
      </c>
      <c r="NZ437" s="98">
        <v>30510</v>
      </c>
      <c r="OK437" s="91">
        <f t="shared" si="2273"/>
        <v>10170</v>
      </c>
      <c r="OL437" s="91">
        <f t="shared" si="2274"/>
        <v>30510</v>
      </c>
      <c r="PA437" s="91">
        <f t="shared" si="2275"/>
        <v>0</v>
      </c>
      <c r="PB437" s="91">
        <f t="shared" si="2276"/>
        <v>0</v>
      </c>
      <c r="PQ437" s="91">
        <f t="shared" si="2277"/>
        <v>0</v>
      </c>
      <c r="PR437" s="91">
        <f t="shared" si="2278"/>
        <v>0</v>
      </c>
      <c r="QG437" s="91">
        <f t="shared" si="2279"/>
        <v>0</v>
      </c>
      <c r="QH437" s="91">
        <f t="shared" si="2280"/>
        <v>0</v>
      </c>
      <c r="QW437" s="91">
        <f t="shared" si="2281"/>
        <v>0</v>
      </c>
      <c r="QX437" s="91">
        <f t="shared" si="2282"/>
        <v>0</v>
      </c>
      <c r="RM437" s="91">
        <f t="shared" si="2283"/>
        <v>0</v>
      </c>
      <c r="RN437" s="91">
        <f t="shared" si="2284"/>
        <v>0</v>
      </c>
      <c r="SC437" s="91">
        <f t="shared" si="2285"/>
        <v>0</v>
      </c>
      <c r="SD437" s="91">
        <f t="shared" si="2286"/>
        <v>0</v>
      </c>
      <c r="SS437" s="91">
        <f t="shared" si="2287"/>
        <v>0</v>
      </c>
      <c r="ST437" s="91">
        <f t="shared" si="2288"/>
        <v>0</v>
      </c>
      <c r="TI437" s="91">
        <f t="shared" si="2289"/>
        <v>0</v>
      </c>
      <c r="TJ437" s="91">
        <f t="shared" si="2290"/>
        <v>0</v>
      </c>
      <c r="TY437" s="91">
        <f t="shared" si="2291"/>
        <v>0</v>
      </c>
      <c r="TZ437" s="91">
        <f t="shared" si="2292"/>
        <v>0</v>
      </c>
      <c r="UO437" s="91">
        <f t="shared" si="2293"/>
        <v>0</v>
      </c>
      <c r="UP437" s="91">
        <f t="shared" si="2294"/>
        <v>0</v>
      </c>
      <c r="US437" s="98">
        <v>95000</v>
      </c>
      <c r="UT437" s="98">
        <v>76000</v>
      </c>
      <c r="VE437" s="91">
        <f t="shared" si="2295"/>
        <v>95000</v>
      </c>
      <c r="VF437" s="91">
        <f t="shared" si="2296"/>
        <v>76000</v>
      </c>
      <c r="VU437" s="91">
        <f t="shared" si="2297"/>
        <v>0</v>
      </c>
      <c r="VV437" s="91">
        <f t="shared" si="2298"/>
        <v>0</v>
      </c>
      <c r="WK437" s="91">
        <f t="shared" si="2299"/>
        <v>0</v>
      </c>
      <c r="WL437" s="91">
        <f t="shared" si="2300"/>
        <v>0</v>
      </c>
      <c r="WM437" s="89"/>
      <c r="WN437" s="87">
        <f t="shared" si="2301"/>
        <v>0</v>
      </c>
      <c r="WO437" s="87">
        <f t="shared" si="2302"/>
        <v>0</v>
      </c>
      <c r="WP437" s="87">
        <f t="shared" si="2303"/>
        <v>1748906.86</v>
      </c>
      <c r="WQ437" s="87">
        <f t="shared" si="2304"/>
        <v>3926922</v>
      </c>
      <c r="WR437" s="87">
        <f t="shared" si="2305"/>
        <v>0</v>
      </c>
      <c r="WS437" s="87">
        <f t="shared" si="2306"/>
        <v>0</v>
      </c>
      <c r="WT437" s="87">
        <f t="shared" si="2307"/>
        <v>0</v>
      </c>
      <c r="WU437" s="87">
        <f t="shared" si="2308"/>
        <v>0</v>
      </c>
      <c r="WV437" s="87">
        <f t="shared" si="2309"/>
        <v>0</v>
      </c>
      <c r="WW437" s="87">
        <f t="shared" si="2310"/>
        <v>0</v>
      </c>
      <c r="WX437" s="87">
        <f t="shared" si="2311"/>
        <v>0</v>
      </c>
      <c r="WY437" s="87">
        <f t="shared" si="2312"/>
        <v>0</v>
      </c>
      <c r="WZ437" s="87">
        <f t="shared" si="2313"/>
        <v>0</v>
      </c>
      <c r="XA437" s="87">
        <f t="shared" si="2314"/>
        <v>0</v>
      </c>
      <c r="XB437" s="92">
        <f t="shared" si="2315"/>
        <v>1748906.86</v>
      </c>
      <c r="XC437" s="92">
        <f t="shared" si="2316"/>
        <v>3926922</v>
      </c>
      <c r="XD437" s="89"/>
      <c r="XE437" s="92"/>
      <c r="XF437" s="92"/>
      <c r="XG437" s="89"/>
      <c r="XH437" s="92"/>
      <c r="XI437" s="92"/>
      <c r="XJ437" s="89"/>
      <c r="XK437" s="87"/>
      <c r="XL437" s="87"/>
      <c r="XM437" s="87"/>
      <c r="XN437" s="87"/>
      <c r="XO437" s="87"/>
      <c r="XP437" s="87"/>
      <c r="XQ437" s="87"/>
      <c r="XR437" s="92">
        <f t="shared" ca="1" si="2317"/>
        <v>0</v>
      </c>
      <c r="XS437" s="89"/>
      <c r="XT437" s="87"/>
      <c r="XU437" s="87"/>
      <c r="XV437" s="87"/>
      <c r="XW437" s="87"/>
      <c r="XX437" s="87"/>
      <c r="XY437" s="87"/>
      <c r="XZ437" s="87"/>
      <c r="YA437" s="92">
        <f t="shared" ca="1" si="2318"/>
        <v>0</v>
      </c>
      <c r="YB437" s="90"/>
      <c r="YC437" s="90"/>
      <c r="YD437" s="90"/>
      <c r="YE437" s="90"/>
      <c r="YF437" s="90"/>
      <c r="YG437" s="90"/>
      <c r="YH437" s="90"/>
      <c r="YI437" s="90"/>
      <c r="YJ437" s="90"/>
      <c r="YK437" s="90"/>
      <c r="YL437" s="90"/>
      <c r="YM437" s="90"/>
      <c r="YN437" s="90"/>
      <c r="YO437" s="90"/>
      <c r="YP437" s="90"/>
      <c r="YQ437" s="90"/>
      <c r="YR437" s="90"/>
      <c r="YS437" s="90"/>
      <c r="YT437" s="90"/>
      <c r="YU437" s="90"/>
      <c r="YV437" s="90"/>
      <c r="YW437" s="90"/>
      <c r="YX437" s="90"/>
      <c r="YY437" s="90"/>
      <c r="YZ437" s="90"/>
      <c r="ZA437" s="90"/>
      <c r="ZB437" s="90"/>
      <c r="ZC437" s="90"/>
      <c r="ZD437" s="90"/>
      <c r="ZE437" s="90"/>
      <c r="ZF437" s="90"/>
      <c r="ZG437" s="90"/>
      <c r="ZH437" s="90"/>
      <c r="ZI437" s="90"/>
      <c r="ZJ437" s="90"/>
      <c r="ZK437" s="90"/>
      <c r="ZL437" s="90"/>
      <c r="ZM437" s="90"/>
      <c r="ZN437" s="90"/>
      <c r="ZO437" s="90"/>
      <c r="ZP437" s="90"/>
      <c r="ZQ437" s="90"/>
      <c r="ZR437" s="90"/>
      <c r="ZS437" s="90"/>
      <c r="ZT437" s="90"/>
      <c r="ZU437" s="90"/>
      <c r="ZV437" s="90"/>
      <c r="ZW437" s="90"/>
      <c r="ZX437" s="90"/>
      <c r="ZY437" s="90"/>
      <c r="ZZ437" s="90"/>
      <c r="AAA437" s="90"/>
      <c r="AAB437" s="90"/>
      <c r="AAC437" s="90"/>
      <c r="AAD437" s="90"/>
      <c r="AAE437" s="90"/>
      <c r="AAF437" s="90"/>
      <c r="AAG437" s="90"/>
      <c r="AAH437" s="90"/>
      <c r="AAI437" s="90"/>
      <c r="AAJ437" s="90"/>
      <c r="AAK437" s="90"/>
      <c r="AAL437" s="90"/>
      <c r="AAM437" s="90"/>
      <c r="AAN437" s="90"/>
      <c r="AAO437" s="90"/>
      <c r="AAP437" s="90"/>
      <c r="AAQ437" s="90"/>
      <c r="AAR437" s="90"/>
      <c r="AAS437" s="90"/>
      <c r="AAT437" s="90"/>
      <c r="AAU437" s="90"/>
      <c r="AAV437" s="90"/>
      <c r="AAW437" s="90"/>
      <c r="AAX437" s="90"/>
      <c r="AAY437" s="90"/>
      <c r="AAZ437" s="90"/>
      <c r="ABA437" s="90"/>
      <c r="ABB437" s="90"/>
      <c r="ABC437" s="90"/>
      <c r="ABD437" s="90"/>
      <c r="ABE437" s="90"/>
      <c r="ABF437" s="90"/>
      <c r="ABG437" s="90"/>
      <c r="ABH437" s="90"/>
      <c r="ABI437" s="90"/>
      <c r="ABJ437" s="90"/>
      <c r="ABK437" s="90"/>
      <c r="ABL437" s="90"/>
      <c r="ABM437" s="90"/>
      <c r="ABN437" s="90"/>
      <c r="ABO437" s="90"/>
      <c r="ABP437" s="90"/>
      <c r="ABQ437" s="90"/>
      <c r="ABR437" s="90"/>
      <c r="ABS437" s="90"/>
      <c r="ABT437" s="90"/>
      <c r="ABU437" s="90"/>
      <c r="ABV437" s="90"/>
      <c r="ABW437" s="90"/>
      <c r="ABX437" s="90"/>
      <c r="ABY437" s="90"/>
      <c r="ABZ437" s="90"/>
      <c r="ACA437" s="90"/>
      <c r="ACB437" s="90"/>
      <c r="ACC437" s="90"/>
      <c r="ACD437" s="90"/>
      <c r="ACE437" s="90"/>
      <c r="ACF437" s="90"/>
      <c r="ACG437" s="90"/>
      <c r="ACH437" s="90"/>
      <c r="ACI437" s="90"/>
      <c r="ACJ437" s="90"/>
      <c r="ACK437" s="90"/>
      <c r="ACL437" s="90"/>
      <c r="ACM437" s="90"/>
      <c r="ACN437" s="90"/>
      <c r="ACO437" s="90"/>
      <c r="ACP437" s="90"/>
      <c r="ACQ437" s="90"/>
      <c r="ACR437" s="90"/>
      <c r="ACS437" s="90"/>
      <c r="ACT437" s="90"/>
      <c r="ACU437" s="90"/>
      <c r="ACV437" s="90"/>
      <c r="ACW437" s="90"/>
      <c r="ACX437" s="90"/>
      <c r="ACY437" s="90"/>
      <c r="ACZ437" s="90"/>
      <c r="ADA437" s="90"/>
      <c r="ADB437" s="90"/>
      <c r="ADC437" s="90"/>
      <c r="ADD437" s="90"/>
      <c r="ADE437" s="90"/>
      <c r="ADF437" s="90"/>
      <c r="ADG437" s="90"/>
      <c r="ADH437" s="90"/>
      <c r="ADI437" s="90"/>
      <c r="ADJ437" s="90"/>
      <c r="ADK437" s="90"/>
      <c r="ADL437" s="90"/>
      <c r="ADM437" s="90"/>
      <c r="ADN437" s="90"/>
      <c r="ADO437" s="90"/>
      <c r="ADP437" s="90"/>
      <c r="ADQ437" s="90"/>
      <c r="ADR437" s="90"/>
      <c r="ADS437" s="90"/>
      <c r="ADT437" s="90"/>
      <c r="ADU437" s="90"/>
      <c r="ADV437" s="90"/>
      <c r="ADW437" s="90"/>
      <c r="ADX437" s="90"/>
      <c r="ADY437" s="90"/>
      <c r="ADZ437" s="90"/>
      <c r="AEA437" s="90"/>
      <c r="AEB437" s="90"/>
      <c r="AEC437" s="90"/>
      <c r="AED437" s="90"/>
      <c r="AEE437" s="90"/>
      <c r="AEF437" s="90"/>
      <c r="AEG437" s="90"/>
      <c r="AEH437" s="90"/>
      <c r="AEI437" s="90"/>
      <c r="AEJ437" s="90"/>
      <c r="AEK437" s="90"/>
      <c r="AEL437" s="90"/>
      <c r="AEM437" s="90"/>
      <c r="AEN437" s="90"/>
      <c r="AEO437" s="90"/>
      <c r="AEP437" s="90"/>
      <c r="AEQ437" s="90"/>
      <c r="AER437" s="90"/>
      <c r="AES437" s="90"/>
      <c r="AET437" s="90"/>
      <c r="AEU437" s="90"/>
      <c r="AEV437" s="90"/>
      <c r="AEW437" s="90"/>
      <c r="AEX437" s="90"/>
      <c r="AEY437" s="90"/>
      <c r="AEZ437" s="90"/>
      <c r="AFA437" s="90"/>
      <c r="AFB437" s="90"/>
      <c r="AFC437" s="90"/>
      <c r="AFD437" s="90"/>
      <c r="AFE437" s="90"/>
      <c r="AFF437" s="90"/>
      <c r="AFG437" s="90"/>
      <c r="AFH437" s="90"/>
      <c r="AFI437" s="90"/>
      <c r="AFJ437" s="90"/>
      <c r="AFK437" s="90"/>
      <c r="AFL437" s="90"/>
      <c r="AFM437" s="90"/>
      <c r="AFN437" s="90"/>
      <c r="AFO437" s="90"/>
      <c r="AFP437" s="90"/>
      <c r="AFQ437" s="90"/>
      <c r="AFR437" s="90"/>
      <c r="AFS437" s="90"/>
      <c r="AFT437" s="90"/>
      <c r="AFU437" s="90"/>
      <c r="AFV437" s="90"/>
      <c r="AFW437" s="90"/>
      <c r="AFX437" s="90"/>
      <c r="AFY437" s="90"/>
      <c r="AFZ437" s="90"/>
      <c r="AGA437" s="90"/>
      <c r="AGB437" s="90"/>
      <c r="AGC437" s="90"/>
      <c r="AGD437" s="90"/>
      <c r="AGE437" s="90"/>
      <c r="AGF437" s="90"/>
      <c r="AGG437" s="90"/>
      <c r="AGH437" s="90"/>
      <c r="AGI437" s="90"/>
      <c r="AGJ437" s="90"/>
      <c r="AGK437" s="90"/>
      <c r="AGL437" s="90"/>
      <c r="AGM437" s="90"/>
      <c r="AGN437" s="90"/>
      <c r="AGO437" s="90"/>
      <c r="AGP437" s="90"/>
      <c r="AGQ437" s="90"/>
      <c r="AGR437" s="90"/>
      <c r="AGS437" s="90"/>
      <c r="AGT437" s="90"/>
      <c r="AGU437" s="90"/>
      <c r="AGV437" s="90"/>
      <c r="AGW437" s="90"/>
      <c r="AGX437" s="90"/>
      <c r="AGY437" s="90"/>
      <c r="AGZ437" s="90"/>
      <c r="AHA437" s="90"/>
      <c r="AHB437" s="90"/>
      <c r="AHC437" s="90"/>
      <c r="AHD437" s="90"/>
      <c r="AHE437" s="90"/>
      <c r="AHF437" s="90"/>
      <c r="AHG437" s="90"/>
      <c r="AHH437" s="90"/>
      <c r="AHI437" s="90"/>
      <c r="AHJ437" s="90"/>
      <c r="AHK437" s="90"/>
      <c r="AHL437" s="90"/>
      <c r="AHM437" s="90"/>
      <c r="AHN437" s="90"/>
      <c r="AHO437" s="90"/>
      <c r="AHP437" s="90"/>
      <c r="AHQ437" s="90"/>
      <c r="AHR437" s="90"/>
      <c r="AHS437" s="90"/>
      <c r="AHT437" s="90"/>
      <c r="AHU437" s="90"/>
      <c r="AHV437" s="90"/>
      <c r="AHW437" s="90"/>
      <c r="AHX437" s="90"/>
      <c r="AHY437" s="90"/>
      <c r="AHZ437" s="90"/>
      <c r="AIA437" s="90"/>
      <c r="AIB437" s="90"/>
      <c r="AIC437" s="90"/>
      <c r="AID437" s="90"/>
      <c r="AIE437" s="90"/>
      <c r="AIF437" s="90"/>
      <c r="AIG437" s="90"/>
      <c r="AIH437" s="90"/>
      <c r="AII437" s="90"/>
      <c r="AIJ437" s="90"/>
      <c r="AIK437" s="90"/>
      <c r="AIL437" s="90"/>
      <c r="AIM437" s="90"/>
      <c r="AIN437" s="90"/>
      <c r="AIO437" s="90"/>
      <c r="AIP437" s="90"/>
      <c r="AIQ437" s="90"/>
      <c r="AIR437" s="90"/>
      <c r="AIS437" s="90"/>
      <c r="AIT437" s="90"/>
      <c r="AIU437" s="90"/>
      <c r="AIV437" s="90"/>
      <c r="AIW437" s="90"/>
      <c r="AIX437" s="90"/>
      <c r="AIY437" s="90"/>
      <c r="AIZ437" s="90"/>
      <c r="AJA437" s="90"/>
      <c r="AJB437" s="90"/>
      <c r="AJC437" s="90"/>
      <c r="AJD437" s="90"/>
      <c r="AJE437" s="90"/>
      <c r="AJF437" s="90"/>
      <c r="AJG437" s="90"/>
      <c r="AJH437" s="90"/>
      <c r="AJI437" s="90"/>
      <c r="AJJ437" s="90"/>
      <c r="AJK437" s="90"/>
      <c r="AJL437" s="90"/>
      <c r="AJM437" s="90"/>
      <c r="AJN437" s="90"/>
      <c r="AJO437" s="90"/>
      <c r="AJP437" s="90"/>
      <c r="AJQ437" s="90"/>
      <c r="AJR437" s="90"/>
      <c r="AJS437" s="90"/>
      <c r="AJT437" s="90"/>
      <c r="AJU437" s="90"/>
      <c r="AJV437" s="90"/>
      <c r="AJW437" s="90"/>
      <c r="AJX437" s="90"/>
      <c r="AJY437" s="90"/>
      <c r="AJZ437" s="90"/>
      <c r="AKA437" s="90"/>
      <c r="AKB437" s="90"/>
      <c r="AKC437" s="90"/>
      <c r="AKD437" s="90"/>
      <c r="AKE437" s="90"/>
      <c r="AKF437" s="90"/>
      <c r="AKG437" s="90"/>
      <c r="AKH437" s="90"/>
      <c r="AKI437" s="90"/>
      <c r="AKJ437" s="90"/>
      <c r="AKK437" s="90"/>
      <c r="AKL437" s="90"/>
      <c r="AKM437" s="90"/>
      <c r="AKN437" s="90"/>
      <c r="AKO437" s="90"/>
      <c r="AKP437" s="90"/>
      <c r="AKQ437" s="90"/>
      <c r="AKR437" s="90"/>
      <c r="AKS437" s="90"/>
      <c r="AKT437" s="90"/>
      <c r="AKU437" s="90"/>
      <c r="AKV437" s="90"/>
      <c r="AKW437" s="90"/>
      <c r="AKX437" s="90"/>
      <c r="AKY437" s="90"/>
      <c r="AKZ437" s="90"/>
      <c r="ALA437" s="90"/>
      <c r="ALB437" s="90"/>
      <c r="ALC437" s="90"/>
      <c r="ALD437" s="90"/>
      <c r="ALE437" s="90"/>
      <c r="ALF437" s="90"/>
      <c r="ALG437" s="90"/>
      <c r="ALH437" s="90"/>
      <c r="ALI437" s="90"/>
      <c r="ALJ437" s="90"/>
      <c r="ALK437" s="90"/>
      <c r="ALL437" s="90"/>
      <c r="ALM437" s="90"/>
      <c r="ALN437" s="90"/>
      <c r="ALO437" s="90"/>
      <c r="ALP437" s="90"/>
      <c r="ALQ437" s="90"/>
      <c r="ALR437" s="90"/>
      <c r="ALS437" s="90"/>
      <c r="ALT437" s="90"/>
      <c r="ALU437" s="90"/>
      <c r="ALV437" s="90"/>
      <c r="ALW437" s="90"/>
      <c r="ALX437" s="90"/>
      <c r="ALY437" s="90"/>
      <c r="ALZ437" s="90"/>
      <c r="AMA437" s="90"/>
      <c r="AMB437" s="90"/>
      <c r="AMC437" s="90"/>
    </row>
    <row r="438" spans="1:1017">
      <c r="A438" s="98" t="s">
        <v>56</v>
      </c>
      <c r="B438" s="90" t="str">
        <f t="shared" si="2224"/>
        <v xml:space="preserve">Gurame, Gurami </v>
      </c>
      <c r="Q438" s="91">
        <f t="shared" si="2225"/>
        <v>0</v>
      </c>
      <c r="R438" s="91">
        <f t="shared" si="2226"/>
        <v>0</v>
      </c>
      <c r="Y438" s="98">
        <v>19330</v>
      </c>
      <c r="Z438" s="98">
        <v>676550</v>
      </c>
      <c r="AG438" s="91">
        <f t="shared" si="2227"/>
        <v>19330</v>
      </c>
      <c r="AH438" s="91">
        <f t="shared" si="2228"/>
        <v>676550</v>
      </c>
      <c r="AO438" s="98">
        <v>687300</v>
      </c>
      <c r="AP438" s="98">
        <v>20619000</v>
      </c>
      <c r="AW438" s="91">
        <f t="shared" si="2229"/>
        <v>687300</v>
      </c>
      <c r="AX438" s="91">
        <f t="shared" si="2230"/>
        <v>20619000</v>
      </c>
      <c r="BE438" s="98">
        <v>7114</v>
      </c>
      <c r="BF438" s="98">
        <v>213420</v>
      </c>
      <c r="BM438" s="91">
        <f t="shared" si="2231"/>
        <v>7114</v>
      </c>
      <c r="BN438" s="91">
        <f t="shared" si="2232"/>
        <v>213420</v>
      </c>
      <c r="BU438" s="98">
        <v>3981</v>
      </c>
      <c r="BV438" s="98">
        <v>151278</v>
      </c>
      <c r="CC438" s="91">
        <f t="shared" si="2233"/>
        <v>3981</v>
      </c>
      <c r="CD438" s="91">
        <f t="shared" si="2234"/>
        <v>151278</v>
      </c>
      <c r="CK438" s="98">
        <v>437.29402729359003</v>
      </c>
      <c r="CL438" s="98">
        <v>13119</v>
      </c>
      <c r="CS438" s="91">
        <f t="shared" si="2235"/>
        <v>437.29402729359003</v>
      </c>
      <c r="CT438" s="91">
        <f t="shared" si="2236"/>
        <v>13119</v>
      </c>
      <c r="DA438" s="98">
        <v>323830</v>
      </c>
      <c r="DB438" s="98">
        <v>9391070</v>
      </c>
      <c r="DI438" s="91">
        <f t="shared" si="2237"/>
        <v>323830</v>
      </c>
      <c r="DJ438" s="91">
        <f t="shared" si="2238"/>
        <v>9391070</v>
      </c>
      <c r="DQ438" s="98">
        <v>45800</v>
      </c>
      <c r="DR438" s="98">
        <v>1465600</v>
      </c>
      <c r="DY438" s="91">
        <f t="shared" si="2239"/>
        <v>45800</v>
      </c>
      <c r="DZ438" s="91">
        <f t="shared" si="2240"/>
        <v>1465600</v>
      </c>
      <c r="EG438" s="98">
        <v>285900</v>
      </c>
      <c r="EH438" s="98">
        <v>8005200</v>
      </c>
      <c r="EO438" s="91">
        <f t="shared" si="2241"/>
        <v>285900</v>
      </c>
      <c r="EP438" s="91">
        <f t="shared" si="2242"/>
        <v>8005200</v>
      </c>
      <c r="FE438" s="91">
        <f t="shared" si="2243"/>
        <v>0</v>
      </c>
      <c r="FF438" s="91">
        <f t="shared" si="2244"/>
        <v>0</v>
      </c>
      <c r="FM438" s="98">
        <v>77800</v>
      </c>
      <c r="FN438" s="98">
        <v>2723000</v>
      </c>
      <c r="FU438" s="91">
        <f t="shared" si="2245"/>
        <v>77800</v>
      </c>
      <c r="FV438" s="91">
        <f t="shared" si="2246"/>
        <v>2723000</v>
      </c>
      <c r="GC438" s="98">
        <v>38500</v>
      </c>
      <c r="GD438" s="98">
        <v>1116500</v>
      </c>
      <c r="GK438" s="91">
        <f t="shared" si="2247"/>
        <v>38500</v>
      </c>
      <c r="GL438" s="91">
        <f t="shared" si="2248"/>
        <v>1116500</v>
      </c>
      <c r="GS438" s="98">
        <v>7000</v>
      </c>
      <c r="GT438" s="98">
        <v>199500</v>
      </c>
      <c r="HA438" s="91">
        <f t="shared" si="2249"/>
        <v>7000</v>
      </c>
      <c r="HB438" s="91">
        <f t="shared" si="2250"/>
        <v>199500</v>
      </c>
      <c r="HI438" s="98">
        <v>12000</v>
      </c>
      <c r="HJ438" s="98">
        <v>420000</v>
      </c>
      <c r="HQ438" s="91">
        <f t="shared" si="2251"/>
        <v>12000</v>
      </c>
      <c r="HR438" s="91">
        <f t="shared" si="2252"/>
        <v>420000</v>
      </c>
      <c r="HY438" s="98">
        <v>4000</v>
      </c>
      <c r="HZ438" s="98">
        <v>140000</v>
      </c>
      <c r="IG438" s="91">
        <f t="shared" si="2253"/>
        <v>4000</v>
      </c>
      <c r="IH438" s="91">
        <f t="shared" si="2254"/>
        <v>140000</v>
      </c>
      <c r="IO438" s="98">
        <v>107600</v>
      </c>
      <c r="IP438" s="98">
        <v>3766000</v>
      </c>
      <c r="IW438" s="91">
        <f t="shared" si="2255"/>
        <v>107600</v>
      </c>
      <c r="IX438" s="91">
        <f t="shared" si="2256"/>
        <v>3766000</v>
      </c>
      <c r="JE438" s="98">
        <v>15650</v>
      </c>
      <c r="JF438" s="98">
        <v>469500</v>
      </c>
      <c r="JM438" s="91">
        <f t="shared" si="2257"/>
        <v>15650</v>
      </c>
      <c r="JN438" s="91">
        <f t="shared" si="2258"/>
        <v>469500</v>
      </c>
      <c r="KC438" s="91">
        <f t="shared" si="2259"/>
        <v>0</v>
      </c>
      <c r="KD438" s="91">
        <f t="shared" si="2260"/>
        <v>0</v>
      </c>
      <c r="KK438" s="98">
        <v>260</v>
      </c>
      <c r="KL438" s="98">
        <v>13000</v>
      </c>
      <c r="KS438" s="91">
        <f t="shared" si="2261"/>
        <v>260</v>
      </c>
      <c r="KT438" s="91">
        <f t="shared" si="2262"/>
        <v>13000</v>
      </c>
      <c r="LA438" s="98">
        <v>9104.0499999999993</v>
      </c>
      <c r="LB438" s="98">
        <v>318641</v>
      </c>
      <c r="LI438" s="91">
        <f t="shared" si="2263"/>
        <v>9104.0499999999993</v>
      </c>
      <c r="LJ438" s="91">
        <f t="shared" si="2264"/>
        <v>318641</v>
      </c>
      <c r="LQ438" s="98">
        <v>27278</v>
      </c>
      <c r="LR438" s="98">
        <v>845618</v>
      </c>
      <c r="LY438" s="91">
        <f t="shared" si="2265"/>
        <v>27278</v>
      </c>
      <c r="LZ438" s="91">
        <f t="shared" si="2266"/>
        <v>845618</v>
      </c>
      <c r="MG438" s="98">
        <v>190</v>
      </c>
      <c r="MH438" s="98">
        <v>5130</v>
      </c>
      <c r="MO438" s="91">
        <f t="shared" si="2267"/>
        <v>190</v>
      </c>
      <c r="MP438" s="91">
        <f t="shared" si="2268"/>
        <v>5130</v>
      </c>
      <c r="NE438" s="91">
        <f t="shared" si="2269"/>
        <v>0</v>
      </c>
      <c r="NF438" s="91">
        <f t="shared" si="2270"/>
        <v>0</v>
      </c>
      <c r="NM438" s="98">
        <v>30000</v>
      </c>
      <c r="NN438" s="98">
        <v>840000</v>
      </c>
      <c r="NQ438" s="98">
        <v>1200</v>
      </c>
      <c r="NR438" s="98">
        <v>33600</v>
      </c>
      <c r="NU438" s="91">
        <f t="shared" si="2271"/>
        <v>31200</v>
      </c>
      <c r="NV438" s="91">
        <f t="shared" si="2272"/>
        <v>873600</v>
      </c>
      <c r="OC438" s="98">
        <v>140</v>
      </c>
      <c r="OD438" s="98">
        <v>5600</v>
      </c>
      <c r="OK438" s="91">
        <f t="shared" si="2273"/>
        <v>140</v>
      </c>
      <c r="OL438" s="91">
        <f t="shared" si="2274"/>
        <v>5600</v>
      </c>
      <c r="OS438" s="98">
        <v>1359.9999999999998</v>
      </c>
      <c r="OT438" s="98">
        <v>69360</v>
      </c>
      <c r="PA438" s="91">
        <f t="shared" si="2275"/>
        <v>1359.9999999999998</v>
      </c>
      <c r="PB438" s="91">
        <f t="shared" si="2276"/>
        <v>69360</v>
      </c>
      <c r="PI438" s="98">
        <v>22432</v>
      </c>
      <c r="PJ438" s="98">
        <v>538368</v>
      </c>
      <c r="PQ438" s="91">
        <f t="shared" si="2277"/>
        <v>22432</v>
      </c>
      <c r="PR438" s="91">
        <f t="shared" si="2278"/>
        <v>538368</v>
      </c>
      <c r="PY438" s="98">
        <v>790</v>
      </c>
      <c r="PZ438" s="98">
        <v>23700</v>
      </c>
      <c r="QG438" s="91">
        <f t="shared" si="2279"/>
        <v>790</v>
      </c>
      <c r="QH438" s="91">
        <f t="shared" si="2280"/>
        <v>23700</v>
      </c>
      <c r="QO438" s="98">
        <v>1830000</v>
      </c>
      <c r="QP438" s="98">
        <v>51240000</v>
      </c>
      <c r="QW438" s="91">
        <f t="shared" si="2281"/>
        <v>1830000</v>
      </c>
      <c r="QX438" s="91">
        <f t="shared" si="2282"/>
        <v>51240000</v>
      </c>
      <c r="RM438" s="91">
        <f t="shared" si="2283"/>
        <v>0</v>
      </c>
      <c r="RN438" s="91">
        <f t="shared" si="2284"/>
        <v>0</v>
      </c>
      <c r="RU438" s="98">
        <v>3050</v>
      </c>
      <c r="RV438" s="98">
        <v>91500</v>
      </c>
      <c r="SC438" s="91">
        <f t="shared" si="2285"/>
        <v>3050</v>
      </c>
      <c r="SD438" s="91">
        <f t="shared" si="2286"/>
        <v>91500</v>
      </c>
      <c r="SS438" s="91">
        <f t="shared" si="2287"/>
        <v>0</v>
      </c>
      <c r="ST438" s="91">
        <f t="shared" si="2288"/>
        <v>0</v>
      </c>
      <c r="TA438" s="98">
        <v>2750</v>
      </c>
      <c r="TB438" s="98">
        <v>96250</v>
      </c>
      <c r="TI438" s="91">
        <f t="shared" si="2289"/>
        <v>2750</v>
      </c>
      <c r="TJ438" s="91">
        <f t="shared" si="2290"/>
        <v>96250</v>
      </c>
      <c r="TY438" s="91">
        <f t="shared" si="2291"/>
        <v>0</v>
      </c>
      <c r="TZ438" s="91">
        <f t="shared" si="2292"/>
        <v>0</v>
      </c>
      <c r="UG438" s="98">
        <v>348</v>
      </c>
      <c r="UH438" s="98">
        <v>10440</v>
      </c>
      <c r="UO438" s="91">
        <f t="shared" si="2293"/>
        <v>348</v>
      </c>
      <c r="UP438" s="91">
        <f t="shared" si="2294"/>
        <v>10440</v>
      </c>
      <c r="VE438" s="91">
        <f t="shared" si="2295"/>
        <v>0</v>
      </c>
      <c r="VF438" s="91">
        <f t="shared" si="2296"/>
        <v>0</v>
      </c>
      <c r="VM438" s="98">
        <v>2396</v>
      </c>
      <c r="VN438" s="98">
        <v>88652</v>
      </c>
      <c r="VU438" s="91">
        <f t="shared" si="2297"/>
        <v>2396</v>
      </c>
      <c r="VV438" s="91">
        <f t="shared" si="2298"/>
        <v>88652</v>
      </c>
      <c r="WK438" s="91">
        <f t="shared" si="2299"/>
        <v>0</v>
      </c>
      <c r="WL438" s="91">
        <f t="shared" si="2300"/>
        <v>0</v>
      </c>
      <c r="WM438" s="89"/>
      <c r="WN438" s="87">
        <f t="shared" si="2301"/>
        <v>0</v>
      </c>
      <c r="WO438" s="87">
        <f t="shared" si="2302"/>
        <v>0</v>
      </c>
      <c r="WP438" s="87">
        <f t="shared" si="2303"/>
        <v>0</v>
      </c>
      <c r="WQ438" s="87">
        <f t="shared" si="2304"/>
        <v>0</v>
      </c>
      <c r="WR438" s="87">
        <f t="shared" si="2305"/>
        <v>0</v>
      </c>
      <c r="WS438" s="87">
        <f t="shared" si="2306"/>
        <v>0</v>
      </c>
      <c r="WT438" s="87">
        <f t="shared" si="2307"/>
        <v>3566340.3440272938</v>
      </c>
      <c r="WU438" s="87">
        <f t="shared" si="2308"/>
        <v>103555996</v>
      </c>
      <c r="WV438" s="87">
        <f t="shared" si="2309"/>
        <v>0</v>
      </c>
      <c r="WW438" s="87">
        <f t="shared" si="2310"/>
        <v>0</v>
      </c>
      <c r="WX438" s="87">
        <f t="shared" si="2311"/>
        <v>1200</v>
      </c>
      <c r="WY438" s="87">
        <f t="shared" si="2312"/>
        <v>33600</v>
      </c>
      <c r="WZ438" s="87">
        <f t="shared" si="2313"/>
        <v>0</v>
      </c>
      <c r="XA438" s="87">
        <f t="shared" si="2314"/>
        <v>0</v>
      </c>
      <c r="XB438" s="92">
        <f t="shared" si="2315"/>
        <v>3567540.3440272938</v>
      </c>
      <c r="XC438" s="92">
        <f t="shared" si="2316"/>
        <v>103589596</v>
      </c>
      <c r="XD438" s="89"/>
      <c r="XE438" s="92"/>
      <c r="XF438" s="92"/>
      <c r="XG438" s="89"/>
      <c r="XH438" s="92"/>
      <c r="XI438" s="92"/>
      <c r="XJ438" s="89"/>
      <c r="XK438" s="87"/>
      <c r="XL438" s="87"/>
      <c r="XM438" s="87"/>
      <c r="XN438" s="87"/>
      <c r="XO438" s="87"/>
      <c r="XP438" s="87"/>
      <c r="XQ438" s="87"/>
      <c r="XR438" s="92">
        <f t="shared" ca="1" si="2317"/>
        <v>0</v>
      </c>
      <c r="XS438" s="89"/>
      <c r="XT438" s="87"/>
      <c r="XU438" s="87"/>
      <c r="XV438" s="87"/>
      <c r="XW438" s="87"/>
      <c r="XX438" s="87"/>
      <c r="XY438" s="87"/>
      <c r="XZ438" s="87"/>
      <c r="YA438" s="92">
        <f t="shared" ca="1" si="2318"/>
        <v>0</v>
      </c>
      <c r="YB438" s="90"/>
      <c r="YC438" s="90"/>
      <c r="YD438" s="90"/>
      <c r="YE438" s="90"/>
      <c r="YF438" s="90"/>
      <c r="YG438" s="90"/>
      <c r="YH438" s="90"/>
      <c r="YI438" s="90"/>
      <c r="YJ438" s="90"/>
      <c r="YK438" s="90"/>
      <c r="YL438" s="90"/>
      <c r="YM438" s="90"/>
      <c r="YN438" s="90"/>
      <c r="YO438" s="90"/>
      <c r="YP438" s="90"/>
      <c r="YQ438" s="90"/>
      <c r="YR438" s="90"/>
      <c r="YS438" s="90"/>
      <c r="YT438" s="90"/>
      <c r="YU438" s="90"/>
      <c r="YV438" s="90"/>
      <c r="YW438" s="90"/>
      <c r="YX438" s="90"/>
      <c r="YY438" s="90"/>
      <c r="YZ438" s="90"/>
      <c r="ZA438" s="90"/>
      <c r="ZB438" s="90"/>
      <c r="ZC438" s="90"/>
      <c r="ZD438" s="90"/>
      <c r="ZE438" s="90"/>
      <c r="ZF438" s="90"/>
      <c r="ZG438" s="90"/>
      <c r="ZH438" s="90"/>
      <c r="ZI438" s="90"/>
      <c r="ZJ438" s="90"/>
      <c r="ZK438" s="90"/>
      <c r="ZL438" s="90"/>
      <c r="ZM438" s="90"/>
      <c r="ZN438" s="90"/>
      <c r="ZO438" s="90"/>
      <c r="ZP438" s="90"/>
      <c r="ZQ438" s="90"/>
      <c r="ZR438" s="90"/>
      <c r="ZS438" s="90"/>
      <c r="ZT438" s="90"/>
      <c r="ZU438" s="90"/>
      <c r="ZV438" s="90"/>
      <c r="ZW438" s="90"/>
      <c r="ZX438" s="90"/>
      <c r="ZY438" s="90"/>
      <c r="ZZ438" s="90"/>
      <c r="AAA438" s="90"/>
      <c r="AAB438" s="90"/>
      <c r="AAC438" s="90"/>
      <c r="AAD438" s="90"/>
      <c r="AAE438" s="90"/>
      <c r="AAF438" s="90"/>
      <c r="AAG438" s="90"/>
      <c r="AAH438" s="90"/>
      <c r="AAI438" s="90"/>
      <c r="AAJ438" s="90"/>
      <c r="AAK438" s="90"/>
      <c r="AAL438" s="90"/>
      <c r="AAM438" s="90"/>
      <c r="AAN438" s="90"/>
      <c r="AAO438" s="90"/>
      <c r="AAP438" s="90"/>
      <c r="AAQ438" s="90"/>
      <c r="AAR438" s="90"/>
      <c r="AAS438" s="90"/>
      <c r="AAT438" s="90"/>
      <c r="AAU438" s="90"/>
      <c r="AAV438" s="90"/>
      <c r="AAW438" s="90"/>
      <c r="AAX438" s="90"/>
      <c r="AAY438" s="90"/>
      <c r="AAZ438" s="90"/>
      <c r="ABA438" s="90"/>
      <c r="ABB438" s="90"/>
      <c r="ABC438" s="90"/>
      <c r="ABD438" s="90"/>
      <c r="ABE438" s="90"/>
      <c r="ABF438" s="90"/>
      <c r="ABG438" s="90"/>
      <c r="ABH438" s="90"/>
      <c r="ABI438" s="90"/>
      <c r="ABJ438" s="90"/>
      <c r="ABK438" s="90"/>
      <c r="ABL438" s="90"/>
      <c r="ABM438" s="90"/>
      <c r="ABN438" s="90"/>
      <c r="ABO438" s="90"/>
      <c r="ABP438" s="90"/>
      <c r="ABQ438" s="90"/>
      <c r="ABR438" s="90"/>
      <c r="ABS438" s="90"/>
      <c r="ABT438" s="90"/>
      <c r="ABU438" s="90"/>
      <c r="ABV438" s="90"/>
      <c r="ABW438" s="90"/>
      <c r="ABX438" s="90"/>
      <c r="ABY438" s="90"/>
      <c r="ABZ438" s="90"/>
      <c r="ACA438" s="90"/>
      <c r="ACB438" s="90"/>
      <c r="ACC438" s="90"/>
      <c r="ACD438" s="90"/>
      <c r="ACE438" s="90"/>
      <c r="ACF438" s="90"/>
      <c r="ACG438" s="90"/>
      <c r="ACH438" s="90"/>
      <c r="ACI438" s="90"/>
      <c r="ACJ438" s="90"/>
      <c r="ACK438" s="90"/>
      <c r="ACL438" s="90"/>
      <c r="ACM438" s="90"/>
      <c r="ACN438" s="90"/>
      <c r="ACO438" s="90"/>
      <c r="ACP438" s="90"/>
      <c r="ACQ438" s="90"/>
      <c r="ACR438" s="90"/>
      <c r="ACS438" s="90"/>
      <c r="ACT438" s="90"/>
      <c r="ACU438" s="90"/>
      <c r="ACV438" s="90"/>
      <c r="ACW438" s="90"/>
      <c r="ACX438" s="90"/>
      <c r="ACY438" s="90"/>
      <c r="ACZ438" s="90"/>
      <c r="ADA438" s="90"/>
      <c r="ADB438" s="90"/>
      <c r="ADC438" s="90"/>
      <c r="ADD438" s="90"/>
      <c r="ADE438" s="90"/>
      <c r="ADF438" s="90"/>
      <c r="ADG438" s="90"/>
      <c r="ADH438" s="90"/>
      <c r="ADI438" s="90"/>
      <c r="ADJ438" s="90"/>
      <c r="ADK438" s="90"/>
      <c r="ADL438" s="90"/>
      <c r="ADM438" s="90"/>
      <c r="ADN438" s="90"/>
      <c r="ADO438" s="90"/>
      <c r="ADP438" s="90"/>
      <c r="ADQ438" s="90"/>
      <c r="ADR438" s="90"/>
      <c r="ADS438" s="90"/>
      <c r="ADT438" s="90"/>
      <c r="ADU438" s="90"/>
      <c r="ADV438" s="90"/>
      <c r="ADW438" s="90"/>
      <c r="ADX438" s="90"/>
      <c r="ADY438" s="90"/>
      <c r="ADZ438" s="90"/>
      <c r="AEA438" s="90"/>
      <c r="AEB438" s="90"/>
      <c r="AEC438" s="90"/>
      <c r="AED438" s="90"/>
      <c r="AEE438" s="90"/>
      <c r="AEF438" s="90"/>
      <c r="AEG438" s="90"/>
      <c r="AEH438" s="90"/>
      <c r="AEI438" s="90"/>
      <c r="AEJ438" s="90"/>
      <c r="AEK438" s="90"/>
      <c r="AEL438" s="90"/>
      <c r="AEM438" s="90"/>
      <c r="AEN438" s="90"/>
      <c r="AEO438" s="90"/>
      <c r="AEP438" s="90"/>
      <c r="AEQ438" s="90"/>
      <c r="AER438" s="90"/>
      <c r="AES438" s="90"/>
      <c r="AET438" s="90"/>
      <c r="AEU438" s="90"/>
      <c r="AEV438" s="90"/>
      <c r="AEW438" s="90"/>
      <c r="AEX438" s="90"/>
      <c r="AEY438" s="90"/>
      <c r="AEZ438" s="90"/>
      <c r="AFA438" s="90"/>
      <c r="AFB438" s="90"/>
      <c r="AFC438" s="90"/>
      <c r="AFD438" s="90"/>
      <c r="AFE438" s="90"/>
      <c r="AFF438" s="90"/>
      <c r="AFG438" s="90"/>
      <c r="AFH438" s="90"/>
      <c r="AFI438" s="90"/>
      <c r="AFJ438" s="90"/>
      <c r="AFK438" s="90"/>
      <c r="AFL438" s="90"/>
      <c r="AFM438" s="90"/>
      <c r="AFN438" s="90"/>
      <c r="AFO438" s="90"/>
      <c r="AFP438" s="90"/>
      <c r="AFQ438" s="90"/>
      <c r="AFR438" s="90"/>
      <c r="AFS438" s="90"/>
      <c r="AFT438" s="90"/>
      <c r="AFU438" s="90"/>
      <c r="AFV438" s="90"/>
      <c r="AFW438" s="90"/>
      <c r="AFX438" s="90"/>
      <c r="AFY438" s="90"/>
      <c r="AFZ438" s="90"/>
      <c r="AGA438" s="90"/>
      <c r="AGB438" s="90"/>
      <c r="AGC438" s="90"/>
      <c r="AGD438" s="90"/>
      <c r="AGE438" s="90"/>
      <c r="AGF438" s="90"/>
      <c r="AGG438" s="90"/>
      <c r="AGH438" s="90"/>
      <c r="AGI438" s="90"/>
      <c r="AGJ438" s="90"/>
      <c r="AGK438" s="90"/>
      <c r="AGL438" s="90"/>
      <c r="AGM438" s="90"/>
      <c r="AGN438" s="90"/>
      <c r="AGO438" s="90"/>
      <c r="AGP438" s="90"/>
      <c r="AGQ438" s="90"/>
      <c r="AGR438" s="90"/>
      <c r="AGS438" s="90"/>
      <c r="AGT438" s="90"/>
      <c r="AGU438" s="90"/>
      <c r="AGV438" s="90"/>
      <c r="AGW438" s="90"/>
      <c r="AGX438" s="90"/>
      <c r="AGY438" s="90"/>
      <c r="AGZ438" s="90"/>
      <c r="AHA438" s="90"/>
      <c r="AHB438" s="90"/>
      <c r="AHC438" s="90"/>
      <c r="AHD438" s="90"/>
      <c r="AHE438" s="90"/>
      <c r="AHF438" s="90"/>
      <c r="AHG438" s="90"/>
      <c r="AHH438" s="90"/>
      <c r="AHI438" s="90"/>
      <c r="AHJ438" s="90"/>
      <c r="AHK438" s="90"/>
      <c r="AHL438" s="90"/>
      <c r="AHM438" s="90"/>
      <c r="AHN438" s="90"/>
      <c r="AHO438" s="90"/>
      <c r="AHP438" s="90"/>
      <c r="AHQ438" s="90"/>
      <c r="AHR438" s="90"/>
      <c r="AHS438" s="90"/>
      <c r="AHT438" s="90"/>
      <c r="AHU438" s="90"/>
      <c r="AHV438" s="90"/>
      <c r="AHW438" s="90"/>
      <c r="AHX438" s="90"/>
      <c r="AHY438" s="90"/>
      <c r="AHZ438" s="90"/>
      <c r="AIA438" s="90"/>
      <c r="AIB438" s="90"/>
      <c r="AIC438" s="90"/>
      <c r="AID438" s="90"/>
      <c r="AIE438" s="90"/>
      <c r="AIF438" s="90"/>
      <c r="AIG438" s="90"/>
      <c r="AIH438" s="90"/>
      <c r="AII438" s="90"/>
      <c r="AIJ438" s="90"/>
      <c r="AIK438" s="90"/>
      <c r="AIL438" s="90"/>
      <c r="AIM438" s="90"/>
      <c r="AIN438" s="90"/>
      <c r="AIO438" s="90"/>
      <c r="AIP438" s="90"/>
      <c r="AIQ438" s="90"/>
      <c r="AIR438" s="90"/>
      <c r="AIS438" s="90"/>
      <c r="AIT438" s="90"/>
      <c r="AIU438" s="90"/>
      <c r="AIV438" s="90"/>
      <c r="AIW438" s="90"/>
      <c r="AIX438" s="90"/>
      <c r="AIY438" s="90"/>
      <c r="AIZ438" s="90"/>
      <c r="AJA438" s="90"/>
      <c r="AJB438" s="90"/>
      <c r="AJC438" s="90"/>
      <c r="AJD438" s="90"/>
      <c r="AJE438" s="90"/>
      <c r="AJF438" s="90"/>
      <c r="AJG438" s="90"/>
      <c r="AJH438" s="90"/>
      <c r="AJI438" s="90"/>
      <c r="AJJ438" s="90"/>
      <c r="AJK438" s="90"/>
      <c r="AJL438" s="90"/>
      <c r="AJM438" s="90"/>
      <c r="AJN438" s="90"/>
      <c r="AJO438" s="90"/>
      <c r="AJP438" s="90"/>
      <c r="AJQ438" s="90"/>
      <c r="AJR438" s="90"/>
      <c r="AJS438" s="90"/>
      <c r="AJT438" s="90"/>
      <c r="AJU438" s="90"/>
      <c r="AJV438" s="90"/>
      <c r="AJW438" s="90"/>
      <c r="AJX438" s="90"/>
      <c r="AJY438" s="90"/>
      <c r="AJZ438" s="90"/>
      <c r="AKA438" s="90"/>
      <c r="AKB438" s="90"/>
      <c r="AKC438" s="90"/>
      <c r="AKD438" s="90"/>
      <c r="AKE438" s="90"/>
      <c r="AKF438" s="90"/>
      <c r="AKG438" s="90"/>
      <c r="AKH438" s="90"/>
      <c r="AKI438" s="90"/>
      <c r="AKJ438" s="90"/>
      <c r="AKK438" s="90"/>
      <c r="AKL438" s="90"/>
      <c r="AKM438" s="90"/>
      <c r="AKN438" s="90"/>
      <c r="AKO438" s="90"/>
      <c r="AKP438" s="90"/>
      <c r="AKQ438" s="90"/>
      <c r="AKR438" s="90"/>
      <c r="AKS438" s="90"/>
      <c r="AKT438" s="90"/>
      <c r="AKU438" s="90"/>
      <c r="AKV438" s="90"/>
      <c r="AKW438" s="90"/>
      <c r="AKX438" s="90"/>
      <c r="AKY438" s="90"/>
      <c r="AKZ438" s="90"/>
      <c r="ALA438" s="90"/>
      <c r="ALB438" s="90"/>
      <c r="ALC438" s="90"/>
      <c r="ALD438" s="90"/>
      <c r="ALE438" s="90"/>
      <c r="ALF438" s="90"/>
      <c r="ALG438" s="90"/>
      <c r="ALH438" s="90"/>
      <c r="ALI438" s="90"/>
      <c r="ALJ438" s="90"/>
      <c r="ALK438" s="90"/>
      <c r="ALL438" s="90"/>
      <c r="ALM438" s="90"/>
      <c r="ALN438" s="90"/>
      <c r="ALO438" s="90"/>
      <c r="ALP438" s="90"/>
      <c r="ALQ438" s="90"/>
      <c r="ALR438" s="90"/>
      <c r="ALS438" s="90"/>
      <c r="ALT438" s="90"/>
      <c r="ALU438" s="90"/>
      <c r="ALV438" s="90"/>
      <c r="ALW438" s="90"/>
      <c r="ALX438" s="90"/>
      <c r="ALY438" s="90"/>
      <c r="ALZ438" s="90"/>
      <c r="AMA438" s="90"/>
      <c r="AMB438" s="90"/>
      <c r="AMC438" s="90"/>
    </row>
    <row r="439" spans="1:1017">
      <c r="A439" s="98" t="s">
        <v>56</v>
      </c>
      <c r="B439" s="90" t="str">
        <f t="shared" si="2224"/>
        <v>Kakap Putih</v>
      </c>
      <c r="E439" s="98">
        <v>178900</v>
      </c>
      <c r="F439" s="98">
        <v>10734000</v>
      </c>
      <c r="Q439" s="91">
        <f t="shared" si="2225"/>
        <v>178900</v>
      </c>
      <c r="R439" s="91">
        <f t="shared" si="2226"/>
        <v>10734000</v>
      </c>
      <c r="S439" s="98">
        <v>140</v>
      </c>
      <c r="T439" s="98">
        <v>9100</v>
      </c>
      <c r="U439" s="98">
        <v>31490</v>
      </c>
      <c r="V439" s="98">
        <v>2046850</v>
      </c>
      <c r="AG439" s="91">
        <f t="shared" si="2227"/>
        <v>31630</v>
      </c>
      <c r="AH439" s="91">
        <f t="shared" si="2228"/>
        <v>2055950</v>
      </c>
      <c r="AW439" s="91">
        <f t="shared" si="2229"/>
        <v>0</v>
      </c>
      <c r="AX439" s="91">
        <f t="shared" si="2230"/>
        <v>0</v>
      </c>
      <c r="BM439" s="91">
        <f t="shared" si="2231"/>
        <v>0</v>
      </c>
      <c r="BN439" s="91">
        <f t="shared" si="2232"/>
        <v>0</v>
      </c>
      <c r="CC439" s="91">
        <f t="shared" si="2233"/>
        <v>0</v>
      </c>
      <c r="CD439" s="91">
        <f t="shared" si="2234"/>
        <v>0</v>
      </c>
      <c r="CG439" s="98">
        <v>2081.25</v>
      </c>
      <c r="CH439" s="98">
        <v>72844</v>
      </c>
      <c r="CS439" s="91">
        <f t="shared" si="2235"/>
        <v>2081.25</v>
      </c>
      <c r="CT439" s="91">
        <f t="shared" si="2236"/>
        <v>72844</v>
      </c>
      <c r="DI439" s="91">
        <f t="shared" si="2237"/>
        <v>0</v>
      </c>
      <c r="DJ439" s="91">
        <f t="shared" si="2238"/>
        <v>0</v>
      </c>
      <c r="DY439" s="91">
        <f t="shared" si="2239"/>
        <v>0</v>
      </c>
      <c r="DZ439" s="91">
        <f t="shared" si="2240"/>
        <v>0</v>
      </c>
      <c r="EO439" s="91">
        <f t="shared" si="2241"/>
        <v>0</v>
      </c>
      <c r="EP439" s="91">
        <f t="shared" si="2242"/>
        <v>0</v>
      </c>
      <c r="FE439" s="91">
        <f t="shared" si="2243"/>
        <v>0</v>
      </c>
      <c r="FF439" s="91">
        <f t="shared" si="2244"/>
        <v>0</v>
      </c>
      <c r="FU439" s="91">
        <f t="shared" si="2245"/>
        <v>0</v>
      </c>
      <c r="FV439" s="91">
        <f t="shared" si="2246"/>
        <v>0</v>
      </c>
      <c r="GK439" s="91">
        <f t="shared" si="2247"/>
        <v>0</v>
      </c>
      <c r="GL439" s="91">
        <f t="shared" si="2248"/>
        <v>0</v>
      </c>
      <c r="HA439" s="91">
        <f t="shared" si="2249"/>
        <v>0</v>
      </c>
      <c r="HB439" s="91">
        <f t="shared" si="2250"/>
        <v>0</v>
      </c>
      <c r="HQ439" s="91">
        <f t="shared" si="2251"/>
        <v>0</v>
      </c>
      <c r="HR439" s="91">
        <f t="shared" si="2252"/>
        <v>0</v>
      </c>
      <c r="IG439" s="91">
        <f t="shared" si="2253"/>
        <v>0</v>
      </c>
      <c r="IH439" s="91">
        <f t="shared" si="2254"/>
        <v>0</v>
      </c>
      <c r="IW439" s="91">
        <f t="shared" si="2255"/>
        <v>0</v>
      </c>
      <c r="IX439" s="91">
        <f t="shared" si="2256"/>
        <v>0</v>
      </c>
      <c r="JM439" s="91">
        <f t="shared" si="2257"/>
        <v>0</v>
      </c>
      <c r="JN439" s="91">
        <f t="shared" si="2258"/>
        <v>0</v>
      </c>
      <c r="KC439" s="91">
        <f t="shared" si="2259"/>
        <v>0</v>
      </c>
      <c r="KD439" s="91">
        <f t="shared" si="2260"/>
        <v>0</v>
      </c>
      <c r="KS439" s="91">
        <f t="shared" si="2261"/>
        <v>0</v>
      </c>
      <c r="KT439" s="91">
        <f t="shared" si="2262"/>
        <v>0</v>
      </c>
      <c r="LI439" s="91">
        <f t="shared" si="2263"/>
        <v>0</v>
      </c>
      <c r="LJ439" s="91">
        <f t="shared" si="2264"/>
        <v>0</v>
      </c>
      <c r="LY439" s="91">
        <f t="shared" si="2265"/>
        <v>0</v>
      </c>
      <c r="LZ439" s="91">
        <f t="shared" si="2266"/>
        <v>0</v>
      </c>
      <c r="MO439" s="91">
        <f t="shared" si="2267"/>
        <v>0</v>
      </c>
      <c r="MP439" s="91">
        <f t="shared" si="2268"/>
        <v>0</v>
      </c>
      <c r="MS439" s="98">
        <v>70</v>
      </c>
      <c r="MT439" s="98">
        <f>MS439*30</f>
        <v>2100</v>
      </c>
      <c r="NE439" s="91">
        <f t="shared" si="2269"/>
        <v>70</v>
      </c>
      <c r="NF439" s="91">
        <f t="shared" si="2270"/>
        <v>2100</v>
      </c>
      <c r="NI439" s="98">
        <v>6455</v>
      </c>
      <c r="NJ439" s="98">
        <v>225925</v>
      </c>
      <c r="NU439" s="91">
        <f t="shared" si="2271"/>
        <v>6455</v>
      </c>
      <c r="NV439" s="91">
        <f t="shared" si="2272"/>
        <v>225925</v>
      </c>
      <c r="NW439" s="98">
        <v>180</v>
      </c>
      <c r="NX439" s="98">
        <v>14400</v>
      </c>
      <c r="NY439" s="98">
        <v>9798</v>
      </c>
      <c r="NZ439" s="98">
        <v>440910</v>
      </c>
      <c r="OK439" s="91">
        <f t="shared" si="2273"/>
        <v>9978</v>
      </c>
      <c r="OL439" s="91">
        <f t="shared" si="2274"/>
        <v>455310</v>
      </c>
      <c r="PA439" s="91">
        <f t="shared" si="2275"/>
        <v>0</v>
      </c>
      <c r="PB439" s="91">
        <f t="shared" si="2276"/>
        <v>0</v>
      </c>
      <c r="PQ439" s="91">
        <f t="shared" si="2277"/>
        <v>0</v>
      </c>
      <c r="PR439" s="91">
        <f t="shared" si="2278"/>
        <v>0</v>
      </c>
      <c r="PU439" s="98">
        <v>7770</v>
      </c>
      <c r="PV439" s="98">
        <v>365190</v>
      </c>
      <c r="QG439" s="91">
        <f t="shared" si="2279"/>
        <v>7770</v>
      </c>
      <c r="QH439" s="91">
        <f t="shared" si="2280"/>
        <v>365190</v>
      </c>
      <c r="QW439" s="91">
        <f t="shared" si="2281"/>
        <v>0</v>
      </c>
      <c r="QX439" s="91">
        <f t="shared" si="2282"/>
        <v>0</v>
      </c>
      <c r="RM439" s="91">
        <f t="shared" si="2283"/>
        <v>0</v>
      </c>
      <c r="RN439" s="91">
        <f t="shared" si="2284"/>
        <v>0</v>
      </c>
      <c r="SC439" s="91">
        <f t="shared" si="2285"/>
        <v>0</v>
      </c>
      <c r="SD439" s="91">
        <f t="shared" si="2286"/>
        <v>0</v>
      </c>
      <c r="SS439" s="91">
        <f t="shared" si="2287"/>
        <v>0</v>
      </c>
      <c r="ST439" s="91">
        <f t="shared" si="2288"/>
        <v>0</v>
      </c>
      <c r="TI439" s="91">
        <f t="shared" si="2289"/>
        <v>0</v>
      </c>
      <c r="TJ439" s="91">
        <f t="shared" si="2290"/>
        <v>0</v>
      </c>
      <c r="TY439" s="91">
        <f t="shared" si="2291"/>
        <v>0</v>
      </c>
      <c r="TZ439" s="91">
        <f t="shared" si="2292"/>
        <v>0</v>
      </c>
      <c r="UO439" s="91">
        <f t="shared" si="2293"/>
        <v>0</v>
      </c>
      <c r="UP439" s="91">
        <f t="shared" si="2294"/>
        <v>0</v>
      </c>
      <c r="VE439" s="91">
        <f t="shared" si="2295"/>
        <v>0</v>
      </c>
      <c r="VF439" s="91">
        <f t="shared" si="2296"/>
        <v>0</v>
      </c>
      <c r="VI439" s="98">
        <v>37</v>
      </c>
      <c r="VJ439" s="98">
        <v>1480</v>
      </c>
      <c r="VU439" s="91">
        <f t="shared" si="2297"/>
        <v>37</v>
      </c>
      <c r="VV439" s="91">
        <f t="shared" si="2298"/>
        <v>1480</v>
      </c>
      <c r="WK439" s="91">
        <f t="shared" si="2299"/>
        <v>0</v>
      </c>
      <c r="WL439" s="91">
        <f t="shared" si="2300"/>
        <v>0</v>
      </c>
      <c r="WM439" s="89"/>
      <c r="WN439" s="87">
        <f t="shared" si="2301"/>
        <v>320</v>
      </c>
      <c r="WO439" s="87">
        <f t="shared" si="2302"/>
        <v>23500</v>
      </c>
      <c r="WP439" s="87">
        <f t="shared" si="2303"/>
        <v>236601.25</v>
      </c>
      <c r="WQ439" s="87">
        <f t="shared" si="2304"/>
        <v>13889299</v>
      </c>
      <c r="WR439" s="87">
        <f t="shared" si="2305"/>
        <v>0</v>
      </c>
      <c r="WS439" s="87">
        <f t="shared" si="2306"/>
        <v>0</v>
      </c>
      <c r="WT439" s="87">
        <f t="shared" si="2307"/>
        <v>0</v>
      </c>
      <c r="WU439" s="87">
        <f t="shared" si="2308"/>
        <v>0</v>
      </c>
      <c r="WV439" s="87">
        <f t="shared" si="2309"/>
        <v>0</v>
      </c>
      <c r="WW439" s="87">
        <f t="shared" si="2310"/>
        <v>0</v>
      </c>
      <c r="WX439" s="87">
        <f t="shared" si="2311"/>
        <v>0</v>
      </c>
      <c r="WY439" s="87">
        <f t="shared" si="2312"/>
        <v>0</v>
      </c>
      <c r="WZ439" s="87">
        <f t="shared" si="2313"/>
        <v>0</v>
      </c>
      <c r="XA439" s="87">
        <f t="shared" si="2314"/>
        <v>0</v>
      </c>
      <c r="XB439" s="92">
        <f t="shared" si="2315"/>
        <v>236921.25</v>
      </c>
      <c r="XC439" s="92">
        <f t="shared" si="2316"/>
        <v>13912799</v>
      </c>
      <c r="XD439" s="89"/>
      <c r="XE439" s="92"/>
      <c r="XF439" s="92"/>
      <c r="XG439" s="89"/>
      <c r="XH439" s="92"/>
      <c r="XI439" s="92"/>
      <c r="XJ439" s="89"/>
      <c r="XK439" s="87"/>
      <c r="XL439" s="87"/>
      <c r="XM439" s="87"/>
      <c r="XN439" s="87"/>
      <c r="XO439" s="87"/>
      <c r="XP439" s="87"/>
      <c r="XQ439" s="87"/>
      <c r="XR439" s="92">
        <f t="shared" ca="1" si="2317"/>
        <v>0</v>
      </c>
      <c r="XS439" s="89"/>
      <c r="XT439" s="87"/>
      <c r="XU439" s="87"/>
      <c r="XV439" s="87"/>
      <c r="XW439" s="87"/>
      <c r="XX439" s="87"/>
      <c r="XY439" s="87"/>
      <c r="XZ439" s="87"/>
      <c r="YA439" s="92">
        <f t="shared" ca="1" si="2318"/>
        <v>0</v>
      </c>
      <c r="YB439" s="90"/>
      <c r="YC439" s="90"/>
      <c r="YD439" s="90"/>
      <c r="YE439" s="90"/>
      <c r="YF439" s="90"/>
      <c r="YG439" s="90"/>
      <c r="YH439" s="90"/>
      <c r="YI439" s="90"/>
      <c r="YJ439" s="90"/>
      <c r="YK439" s="90"/>
      <c r="YL439" s="90"/>
      <c r="YM439" s="90"/>
      <c r="YN439" s="90"/>
      <c r="YO439" s="90"/>
      <c r="YP439" s="90"/>
      <c r="YQ439" s="90"/>
      <c r="YR439" s="90"/>
      <c r="YS439" s="90"/>
      <c r="YT439" s="90"/>
      <c r="YU439" s="90"/>
      <c r="YV439" s="90"/>
      <c r="YW439" s="90"/>
      <c r="YX439" s="90"/>
      <c r="YY439" s="90"/>
      <c r="YZ439" s="90"/>
      <c r="ZA439" s="90"/>
      <c r="ZB439" s="90"/>
      <c r="ZC439" s="90"/>
      <c r="ZD439" s="90"/>
      <c r="ZE439" s="90"/>
      <c r="ZF439" s="90"/>
      <c r="ZG439" s="90"/>
      <c r="ZH439" s="90"/>
      <c r="ZI439" s="90"/>
      <c r="ZJ439" s="90"/>
      <c r="ZK439" s="90"/>
      <c r="ZL439" s="90"/>
      <c r="ZM439" s="90"/>
      <c r="ZN439" s="90"/>
      <c r="ZO439" s="90"/>
      <c r="ZP439" s="90"/>
      <c r="ZQ439" s="90"/>
      <c r="ZR439" s="90"/>
      <c r="ZS439" s="90"/>
      <c r="ZT439" s="90"/>
      <c r="ZU439" s="90"/>
      <c r="ZV439" s="90"/>
      <c r="ZW439" s="90"/>
      <c r="ZX439" s="90"/>
      <c r="ZY439" s="90"/>
      <c r="ZZ439" s="90"/>
      <c r="AAA439" s="90"/>
      <c r="AAB439" s="90"/>
      <c r="AAC439" s="90"/>
      <c r="AAD439" s="90"/>
      <c r="AAE439" s="90"/>
      <c r="AAF439" s="90"/>
      <c r="AAG439" s="90"/>
      <c r="AAH439" s="90"/>
      <c r="AAI439" s="90"/>
      <c r="AAJ439" s="90"/>
      <c r="AAK439" s="90"/>
      <c r="AAL439" s="90"/>
      <c r="AAM439" s="90"/>
      <c r="AAN439" s="90"/>
      <c r="AAO439" s="90"/>
      <c r="AAP439" s="90"/>
      <c r="AAQ439" s="90"/>
      <c r="AAR439" s="90"/>
      <c r="AAS439" s="90"/>
      <c r="AAT439" s="90"/>
      <c r="AAU439" s="90"/>
      <c r="AAV439" s="90"/>
      <c r="AAW439" s="90"/>
      <c r="AAX439" s="90"/>
      <c r="AAY439" s="90"/>
      <c r="AAZ439" s="90"/>
      <c r="ABA439" s="90"/>
      <c r="ABB439" s="90"/>
      <c r="ABC439" s="90"/>
      <c r="ABD439" s="90"/>
      <c r="ABE439" s="90"/>
      <c r="ABF439" s="90"/>
      <c r="ABG439" s="90"/>
      <c r="ABH439" s="90"/>
      <c r="ABI439" s="90"/>
      <c r="ABJ439" s="90"/>
      <c r="ABK439" s="90"/>
      <c r="ABL439" s="90"/>
      <c r="ABM439" s="90"/>
      <c r="ABN439" s="90"/>
      <c r="ABO439" s="90"/>
      <c r="ABP439" s="90"/>
      <c r="ABQ439" s="90"/>
      <c r="ABR439" s="90"/>
      <c r="ABS439" s="90"/>
      <c r="ABT439" s="90"/>
      <c r="ABU439" s="90"/>
      <c r="ABV439" s="90"/>
      <c r="ABW439" s="90"/>
      <c r="ABX439" s="90"/>
      <c r="ABY439" s="90"/>
      <c r="ABZ439" s="90"/>
      <c r="ACA439" s="90"/>
      <c r="ACB439" s="90"/>
      <c r="ACC439" s="90"/>
      <c r="ACD439" s="90"/>
      <c r="ACE439" s="90"/>
      <c r="ACF439" s="90"/>
      <c r="ACG439" s="90"/>
      <c r="ACH439" s="90"/>
      <c r="ACI439" s="90"/>
      <c r="ACJ439" s="90"/>
      <c r="ACK439" s="90"/>
      <c r="ACL439" s="90"/>
      <c r="ACM439" s="90"/>
      <c r="ACN439" s="90"/>
      <c r="ACO439" s="90"/>
      <c r="ACP439" s="90"/>
      <c r="ACQ439" s="90"/>
      <c r="ACR439" s="90"/>
      <c r="ACS439" s="90"/>
      <c r="ACT439" s="90"/>
      <c r="ACU439" s="90"/>
      <c r="ACV439" s="90"/>
      <c r="ACW439" s="90"/>
      <c r="ACX439" s="90"/>
      <c r="ACY439" s="90"/>
      <c r="ACZ439" s="90"/>
      <c r="ADA439" s="90"/>
      <c r="ADB439" s="90"/>
      <c r="ADC439" s="90"/>
      <c r="ADD439" s="90"/>
      <c r="ADE439" s="90"/>
      <c r="ADF439" s="90"/>
      <c r="ADG439" s="90"/>
      <c r="ADH439" s="90"/>
      <c r="ADI439" s="90"/>
      <c r="ADJ439" s="90"/>
      <c r="ADK439" s="90"/>
      <c r="ADL439" s="90"/>
      <c r="ADM439" s="90"/>
      <c r="ADN439" s="90"/>
      <c r="ADO439" s="90"/>
      <c r="ADP439" s="90"/>
      <c r="ADQ439" s="90"/>
      <c r="ADR439" s="90"/>
      <c r="ADS439" s="90"/>
      <c r="ADT439" s="90"/>
      <c r="ADU439" s="90"/>
      <c r="ADV439" s="90"/>
      <c r="ADW439" s="90"/>
      <c r="ADX439" s="90"/>
      <c r="ADY439" s="90"/>
      <c r="ADZ439" s="90"/>
      <c r="AEA439" s="90"/>
      <c r="AEB439" s="90"/>
      <c r="AEC439" s="90"/>
      <c r="AED439" s="90"/>
      <c r="AEE439" s="90"/>
      <c r="AEF439" s="90"/>
      <c r="AEG439" s="90"/>
      <c r="AEH439" s="90"/>
      <c r="AEI439" s="90"/>
      <c r="AEJ439" s="90"/>
      <c r="AEK439" s="90"/>
      <c r="AEL439" s="90"/>
      <c r="AEM439" s="90"/>
      <c r="AEN439" s="90"/>
      <c r="AEO439" s="90"/>
      <c r="AEP439" s="90"/>
      <c r="AEQ439" s="90"/>
      <c r="AER439" s="90"/>
      <c r="AES439" s="90"/>
      <c r="AET439" s="90"/>
      <c r="AEU439" s="90"/>
      <c r="AEV439" s="90"/>
      <c r="AEW439" s="90"/>
      <c r="AEX439" s="90"/>
      <c r="AEY439" s="90"/>
      <c r="AEZ439" s="90"/>
      <c r="AFA439" s="90"/>
      <c r="AFB439" s="90"/>
      <c r="AFC439" s="90"/>
      <c r="AFD439" s="90"/>
      <c r="AFE439" s="90"/>
      <c r="AFF439" s="90"/>
      <c r="AFG439" s="90"/>
      <c r="AFH439" s="90"/>
      <c r="AFI439" s="90"/>
      <c r="AFJ439" s="90"/>
      <c r="AFK439" s="90"/>
      <c r="AFL439" s="90"/>
      <c r="AFM439" s="90"/>
      <c r="AFN439" s="90"/>
      <c r="AFO439" s="90"/>
      <c r="AFP439" s="90"/>
      <c r="AFQ439" s="90"/>
      <c r="AFR439" s="90"/>
      <c r="AFS439" s="90"/>
      <c r="AFT439" s="90"/>
      <c r="AFU439" s="90"/>
      <c r="AFV439" s="90"/>
      <c r="AFW439" s="90"/>
      <c r="AFX439" s="90"/>
      <c r="AFY439" s="90"/>
      <c r="AFZ439" s="90"/>
      <c r="AGA439" s="90"/>
      <c r="AGB439" s="90"/>
      <c r="AGC439" s="90"/>
      <c r="AGD439" s="90"/>
      <c r="AGE439" s="90"/>
      <c r="AGF439" s="90"/>
      <c r="AGG439" s="90"/>
      <c r="AGH439" s="90"/>
      <c r="AGI439" s="90"/>
      <c r="AGJ439" s="90"/>
      <c r="AGK439" s="90"/>
      <c r="AGL439" s="90"/>
      <c r="AGM439" s="90"/>
      <c r="AGN439" s="90"/>
      <c r="AGO439" s="90"/>
      <c r="AGP439" s="90"/>
      <c r="AGQ439" s="90"/>
      <c r="AGR439" s="90"/>
      <c r="AGS439" s="90"/>
      <c r="AGT439" s="90"/>
      <c r="AGU439" s="90"/>
      <c r="AGV439" s="90"/>
      <c r="AGW439" s="90"/>
      <c r="AGX439" s="90"/>
      <c r="AGY439" s="90"/>
      <c r="AGZ439" s="90"/>
      <c r="AHA439" s="90"/>
      <c r="AHB439" s="90"/>
      <c r="AHC439" s="90"/>
      <c r="AHD439" s="90"/>
      <c r="AHE439" s="90"/>
      <c r="AHF439" s="90"/>
      <c r="AHG439" s="90"/>
      <c r="AHH439" s="90"/>
      <c r="AHI439" s="90"/>
      <c r="AHJ439" s="90"/>
      <c r="AHK439" s="90"/>
      <c r="AHL439" s="90"/>
      <c r="AHM439" s="90"/>
      <c r="AHN439" s="90"/>
      <c r="AHO439" s="90"/>
      <c r="AHP439" s="90"/>
      <c r="AHQ439" s="90"/>
      <c r="AHR439" s="90"/>
      <c r="AHS439" s="90"/>
      <c r="AHT439" s="90"/>
      <c r="AHU439" s="90"/>
      <c r="AHV439" s="90"/>
      <c r="AHW439" s="90"/>
      <c r="AHX439" s="90"/>
      <c r="AHY439" s="90"/>
      <c r="AHZ439" s="90"/>
      <c r="AIA439" s="90"/>
      <c r="AIB439" s="90"/>
      <c r="AIC439" s="90"/>
      <c r="AID439" s="90"/>
      <c r="AIE439" s="90"/>
      <c r="AIF439" s="90"/>
      <c r="AIG439" s="90"/>
      <c r="AIH439" s="90"/>
      <c r="AII439" s="90"/>
      <c r="AIJ439" s="90"/>
      <c r="AIK439" s="90"/>
      <c r="AIL439" s="90"/>
      <c r="AIM439" s="90"/>
      <c r="AIN439" s="90"/>
      <c r="AIO439" s="90"/>
      <c r="AIP439" s="90"/>
      <c r="AIQ439" s="90"/>
      <c r="AIR439" s="90"/>
      <c r="AIS439" s="90"/>
      <c r="AIT439" s="90"/>
      <c r="AIU439" s="90"/>
      <c r="AIV439" s="90"/>
      <c r="AIW439" s="90"/>
      <c r="AIX439" s="90"/>
      <c r="AIY439" s="90"/>
      <c r="AIZ439" s="90"/>
      <c r="AJA439" s="90"/>
      <c r="AJB439" s="90"/>
      <c r="AJC439" s="90"/>
      <c r="AJD439" s="90"/>
      <c r="AJE439" s="90"/>
      <c r="AJF439" s="90"/>
      <c r="AJG439" s="90"/>
      <c r="AJH439" s="90"/>
      <c r="AJI439" s="90"/>
      <c r="AJJ439" s="90"/>
      <c r="AJK439" s="90"/>
      <c r="AJL439" s="90"/>
      <c r="AJM439" s="90"/>
      <c r="AJN439" s="90"/>
      <c r="AJO439" s="90"/>
      <c r="AJP439" s="90"/>
      <c r="AJQ439" s="90"/>
      <c r="AJR439" s="90"/>
      <c r="AJS439" s="90"/>
      <c r="AJT439" s="90"/>
      <c r="AJU439" s="90"/>
      <c r="AJV439" s="90"/>
      <c r="AJW439" s="90"/>
      <c r="AJX439" s="90"/>
      <c r="AJY439" s="90"/>
      <c r="AJZ439" s="90"/>
      <c r="AKA439" s="90"/>
      <c r="AKB439" s="90"/>
      <c r="AKC439" s="90"/>
      <c r="AKD439" s="90"/>
      <c r="AKE439" s="90"/>
      <c r="AKF439" s="90"/>
      <c r="AKG439" s="90"/>
      <c r="AKH439" s="90"/>
      <c r="AKI439" s="90"/>
      <c r="AKJ439" s="90"/>
      <c r="AKK439" s="90"/>
      <c r="AKL439" s="90"/>
      <c r="AKM439" s="90"/>
      <c r="AKN439" s="90"/>
      <c r="AKO439" s="90"/>
      <c r="AKP439" s="90"/>
      <c r="AKQ439" s="90"/>
      <c r="AKR439" s="90"/>
      <c r="AKS439" s="90"/>
      <c r="AKT439" s="90"/>
      <c r="AKU439" s="90"/>
      <c r="AKV439" s="90"/>
      <c r="AKW439" s="90"/>
      <c r="AKX439" s="90"/>
      <c r="AKY439" s="90"/>
      <c r="AKZ439" s="90"/>
      <c r="ALA439" s="90"/>
      <c r="ALB439" s="90"/>
      <c r="ALC439" s="90"/>
      <c r="ALD439" s="90"/>
      <c r="ALE439" s="90"/>
      <c r="ALF439" s="90"/>
      <c r="ALG439" s="90"/>
      <c r="ALH439" s="90"/>
      <c r="ALI439" s="90"/>
      <c r="ALJ439" s="90"/>
      <c r="ALK439" s="90"/>
      <c r="ALL439" s="90"/>
      <c r="ALM439" s="90"/>
      <c r="ALN439" s="90"/>
      <c r="ALO439" s="90"/>
      <c r="ALP439" s="90"/>
      <c r="ALQ439" s="90"/>
      <c r="ALR439" s="90"/>
      <c r="ALS439" s="90"/>
      <c r="ALT439" s="90"/>
      <c r="ALU439" s="90"/>
      <c r="ALV439" s="90"/>
      <c r="ALW439" s="90"/>
      <c r="ALX439" s="90"/>
      <c r="ALY439" s="90"/>
      <c r="ALZ439" s="90"/>
      <c r="AMA439" s="90"/>
      <c r="AMB439" s="90"/>
      <c r="AMC439" s="90"/>
    </row>
    <row r="440" spans="1:1017">
      <c r="A440" s="98" t="s">
        <v>56</v>
      </c>
      <c r="B440" s="90" t="str">
        <f t="shared" si="2224"/>
        <v>Kepiting  Bakau</v>
      </c>
      <c r="E440" s="98">
        <v>800</v>
      </c>
      <c r="F440" s="98">
        <v>80000</v>
      </c>
      <c r="Q440" s="91">
        <f t="shared" si="2225"/>
        <v>800</v>
      </c>
      <c r="R440" s="91">
        <f t="shared" si="2226"/>
        <v>80000</v>
      </c>
      <c r="U440" s="98">
        <v>5030</v>
      </c>
      <c r="V440" s="98">
        <v>326950</v>
      </c>
      <c r="AG440" s="91">
        <f t="shared" si="2227"/>
        <v>5030</v>
      </c>
      <c r="AH440" s="91">
        <f t="shared" si="2228"/>
        <v>326950</v>
      </c>
      <c r="AW440" s="91">
        <f t="shared" si="2229"/>
        <v>0</v>
      </c>
      <c r="AX440" s="91">
        <f t="shared" si="2230"/>
        <v>0</v>
      </c>
      <c r="BM440" s="91">
        <f t="shared" si="2231"/>
        <v>0</v>
      </c>
      <c r="BN440" s="91">
        <f t="shared" si="2232"/>
        <v>0</v>
      </c>
      <c r="CC440" s="91">
        <f t="shared" si="2233"/>
        <v>0</v>
      </c>
      <c r="CD440" s="91">
        <f t="shared" si="2234"/>
        <v>0</v>
      </c>
      <c r="CG440" s="98">
        <v>21704.32</v>
      </c>
      <c r="CH440" s="98">
        <v>1302259</v>
      </c>
      <c r="CS440" s="91">
        <f t="shared" si="2235"/>
        <v>21704.32</v>
      </c>
      <c r="CT440" s="91">
        <f t="shared" si="2236"/>
        <v>1302259</v>
      </c>
      <c r="DI440" s="91">
        <f t="shared" si="2237"/>
        <v>0</v>
      </c>
      <c r="DJ440" s="91">
        <f t="shared" si="2238"/>
        <v>0</v>
      </c>
      <c r="DY440" s="91">
        <f t="shared" si="2239"/>
        <v>0</v>
      </c>
      <c r="DZ440" s="91">
        <f t="shared" si="2240"/>
        <v>0</v>
      </c>
      <c r="EO440" s="91">
        <f t="shared" si="2241"/>
        <v>0</v>
      </c>
      <c r="EP440" s="91">
        <f t="shared" si="2242"/>
        <v>0</v>
      </c>
      <c r="FE440" s="91">
        <f t="shared" si="2243"/>
        <v>0</v>
      </c>
      <c r="FF440" s="91">
        <f t="shared" si="2244"/>
        <v>0</v>
      </c>
      <c r="FU440" s="91">
        <f t="shared" si="2245"/>
        <v>0</v>
      </c>
      <c r="FV440" s="91">
        <f t="shared" si="2246"/>
        <v>0</v>
      </c>
      <c r="GK440" s="91">
        <f t="shared" si="2247"/>
        <v>0</v>
      </c>
      <c r="GL440" s="91">
        <f t="shared" si="2248"/>
        <v>0</v>
      </c>
      <c r="HA440" s="91">
        <f t="shared" si="2249"/>
        <v>0</v>
      </c>
      <c r="HB440" s="91">
        <f t="shared" si="2250"/>
        <v>0</v>
      </c>
      <c r="HQ440" s="91">
        <f t="shared" si="2251"/>
        <v>0</v>
      </c>
      <c r="HR440" s="91">
        <f t="shared" si="2252"/>
        <v>0</v>
      </c>
      <c r="IG440" s="91">
        <f t="shared" si="2253"/>
        <v>0</v>
      </c>
      <c r="IH440" s="91">
        <f t="shared" si="2254"/>
        <v>0</v>
      </c>
      <c r="IW440" s="91">
        <f t="shared" si="2255"/>
        <v>0</v>
      </c>
      <c r="IX440" s="91">
        <f t="shared" si="2256"/>
        <v>0</v>
      </c>
      <c r="JM440" s="91">
        <f t="shared" si="2257"/>
        <v>0</v>
      </c>
      <c r="JN440" s="91">
        <f t="shared" si="2258"/>
        <v>0</v>
      </c>
      <c r="JQ440" s="98">
        <v>15</v>
      </c>
      <c r="JR440" s="98">
        <v>2700</v>
      </c>
      <c r="KC440" s="91">
        <f t="shared" si="2259"/>
        <v>15</v>
      </c>
      <c r="KD440" s="91">
        <f t="shared" si="2260"/>
        <v>2700</v>
      </c>
      <c r="KS440" s="91">
        <f t="shared" si="2261"/>
        <v>0</v>
      </c>
      <c r="KT440" s="91">
        <f t="shared" si="2262"/>
        <v>0</v>
      </c>
      <c r="LI440" s="91">
        <f t="shared" si="2263"/>
        <v>0</v>
      </c>
      <c r="LJ440" s="91">
        <f t="shared" si="2264"/>
        <v>0</v>
      </c>
      <c r="LY440" s="91">
        <f t="shared" si="2265"/>
        <v>0</v>
      </c>
      <c r="LZ440" s="91">
        <f t="shared" si="2266"/>
        <v>0</v>
      </c>
      <c r="MC440" s="98">
        <v>5780</v>
      </c>
      <c r="MD440" s="98">
        <v>578000</v>
      </c>
      <c r="MO440" s="91">
        <f t="shared" si="2267"/>
        <v>5780</v>
      </c>
      <c r="MP440" s="91">
        <f t="shared" si="2268"/>
        <v>578000</v>
      </c>
      <c r="MS440" s="98">
        <v>50</v>
      </c>
      <c r="MT440" s="98">
        <f>MS440*100</f>
        <v>5000</v>
      </c>
      <c r="NE440" s="91">
        <f t="shared" si="2269"/>
        <v>50</v>
      </c>
      <c r="NF440" s="91">
        <f t="shared" si="2270"/>
        <v>5000</v>
      </c>
      <c r="NI440" s="98">
        <v>20400</v>
      </c>
      <c r="NJ440" s="98">
        <v>816000</v>
      </c>
      <c r="NU440" s="91">
        <f t="shared" si="2271"/>
        <v>20400</v>
      </c>
      <c r="NV440" s="91">
        <f t="shared" si="2272"/>
        <v>816000</v>
      </c>
      <c r="OK440" s="91">
        <f t="shared" si="2273"/>
        <v>0</v>
      </c>
      <c r="OL440" s="91">
        <f t="shared" si="2274"/>
        <v>0</v>
      </c>
      <c r="PA440" s="91">
        <f t="shared" si="2275"/>
        <v>0</v>
      </c>
      <c r="PB440" s="91">
        <f t="shared" si="2276"/>
        <v>0</v>
      </c>
      <c r="PQ440" s="91">
        <f t="shared" si="2277"/>
        <v>0</v>
      </c>
      <c r="PR440" s="91">
        <f t="shared" si="2278"/>
        <v>0</v>
      </c>
      <c r="QG440" s="91">
        <f t="shared" si="2279"/>
        <v>0</v>
      </c>
      <c r="QH440" s="91">
        <f t="shared" si="2280"/>
        <v>0</v>
      </c>
      <c r="QW440" s="91">
        <f t="shared" si="2281"/>
        <v>0</v>
      </c>
      <c r="QX440" s="91">
        <f t="shared" si="2282"/>
        <v>0</v>
      </c>
      <c r="RM440" s="91">
        <f t="shared" si="2283"/>
        <v>0</v>
      </c>
      <c r="RN440" s="91">
        <f t="shared" si="2284"/>
        <v>0</v>
      </c>
      <c r="SC440" s="91">
        <f t="shared" si="2285"/>
        <v>0</v>
      </c>
      <c r="SD440" s="91">
        <f t="shared" si="2286"/>
        <v>0</v>
      </c>
      <c r="SS440" s="91">
        <f t="shared" si="2287"/>
        <v>0</v>
      </c>
      <c r="ST440" s="91">
        <f t="shared" si="2288"/>
        <v>0</v>
      </c>
      <c r="TI440" s="91">
        <f t="shared" si="2289"/>
        <v>0</v>
      </c>
      <c r="TJ440" s="91">
        <f t="shared" si="2290"/>
        <v>0</v>
      </c>
      <c r="TY440" s="91">
        <f t="shared" si="2291"/>
        <v>0</v>
      </c>
      <c r="TZ440" s="91">
        <f t="shared" si="2292"/>
        <v>0</v>
      </c>
      <c r="UO440" s="91">
        <f t="shared" si="2293"/>
        <v>0</v>
      </c>
      <c r="UP440" s="91">
        <f t="shared" si="2294"/>
        <v>0</v>
      </c>
      <c r="VE440" s="91">
        <f t="shared" si="2295"/>
        <v>0</v>
      </c>
      <c r="VF440" s="91">
        <f t="shared" si="2296"/>
        <v>0</v>
      </c>
      <c r="VI440" s="98">
        <v>151</v>
      </c>
      <c r="VJ440" s="98">
        <v>9060</v>
      </c>
      <c r="VU440" s="91">
        <f t="shared" si="2297"/>
        <v>151</v>
      </c>
      <c r="VV440" s="91">
        <f t="shared" si="2298"/>
        <v>9060</v>
      </c>
      <c r="WK440" s="91">
        <f t="shared" si="2299"/>
        <v>0</v>
      </c>
      <c r="WL440" s="91">
        <f t="shared" si="2300"/>
        <v>0</v>
      </c>
      <c r="WM440" s="89"/>
      <c r="WN440" s="87">
        <f t="shared" si="2301"/>
        <v>0</v>
      </c>
      <c r="WO440" s="87">
        <f t="shared" si="2302"/>
        <v>0</v>
      </c>
      <c r="WP440" s="87">
        <f t="shared" si="2303"/>
        <v>53930.32</v>
      </c>
      <c r="WQ440" s="87">
        <f t="shared" si="2304"/>
        <v>3119969</v>
      </c>
      <c r="WR440" s="87">
        <f t="shared" si="2305"/>
        <v>0</v>
      </c>
      <c r="WS440" s="87">
        <f t="shared" si="2306"/>
        <v>0</v>
      </c>
      <c r="WT440" s="87">
        <f t="shared" si="2307"/>
        <v>0</v>
      </c>
      <c r="WU440" s="87">
        <f t="shared" si="2308"/>
        <v>0</v>
      </c>
      <c r="WV440" s="87">
        <f t="shared" si="2309"/>
        <v>0</v>
      </c>
      <c r="WW440" s="87">
        <f t="shared" si="2310"/>
        <v>0</v>
      </c>
      <c r="WX440" s="87">
        <f t="shared" si="2311"/>
        <v>0</v>
      </c>
      <c r="WY440" s="87">
        <f t="shared" si="2312"/>
        <v>0</v>
      </c>
      <c r="WZ440" s="87">
        <f t="shared" si="2313"/>
        <v>0</v>
      </c>
      <c r="XA440" s="87">
        <f t="shared" si="2314"/>
        <v>0</v>
      </c>
      <c r="XB440" s="92">
        <f t="shared" si="2315"/>
        <v>53930.32</v>
      </c>
      <c r="XC440" s="92">
        <f t="shared" si="2316"/>
        <v>3119969</v>
      </c>
      <c r="XD440" s="89"/>
      <c r="XE440" s="92"/>
      <c r="XF440" s="92"/>
      <c r="XG440" s="89"/>
      <c r="XH440" s="92"/>
      <c r="XI440" s="92"/>
      <c r="XJ440" s="89"/>
      <c r="XK440" s="87"/>
      <c r="XL440" s="87"/>
      <c r="XM440" s="87"/>
      <c r="XN440" s="87"/>
      <c r="XO440" s="87"/>
      <c r="XP440" s="87"/>
      <c r="XQ440" s="87"/>
      <c r="XR440" s="92">
        <f t="shared" ca="1" si="2317"/>
        <v>0</v>
      </c>
      <c r="XS440" s="89"/>
      <c r="XT440" s="87"/>
      <c r="XU440" s="87"/>
      <c r="XV440" s="87"/>
      <c r="XW440" s="87"/>
      <c r="XX440" s="87"/>
      <c r="XY440" s="87"/>
      <c r="XZ440" s="87"/>
      <c r="YA440" s="92">
        <f t="shared" ca="1" si="2318"/>
        <v>0</v>
      </c>
      <c r="YB440" s="90"/>
      <c r="YC440" s="90"/>
      <c r="YD440" s="90"/>
      <c r="YE440" s="90"/>
      <c r="YF440" s="90"/>
      <c r="YG440" s="90"/>
      <c r="YH440" s="90"/>
      <c r="YI440" s="90"/>
      <c r="YJ440" s="90"/>
      <c r="YK440" s="90"/>
      <c r="YL440" s="90"/>
      <c r="YM440" s="90"/>
      <c r="YN440" s="90"/>
      <c r="YO440" s="90"/>
      <c r="YP440" s="90"/>
      <c r="YQ440" s="90"/>
      <c r="YR440" s="90"/>
      <c r="YS440" s="90"/>
      <c r="YT440" s="90"/>
      <c r="YU440" s="90"/>
      <c r="YV440" s="90"/>
      <c r="YW440" s="90"/>
      <c r="YX440" s="90"/>
      <c r="YY440" s="90"/>
      <c r="YZ440" s="90"/>
      <c r="ZA440" s="90"/>
      <c r="ZB440" s="90"/>
      <c r="ZC440" s="90"/>
      <c r="ZD440" s="90"/>
      <c r="ZE440" s="90"/>
      <c r="ZF440" s="90"/>
      <c r="ZG440" s="90"/>
      <c r="ZH440" s="90"/>
      <c r="ZI440" s="90"/>
      <c r="ZJ440" s="90"/>
      <c r="ZK440" s="90"/>
      <c r="ZL440" s="90"/>
      <c r="ZM440" s="90"/>
      <c r="ZN440" s="90"/>
      <c r="ZO440" s="90"/>
      <c r="ZP440" s="90"/>
      <c r="ZQ440" s="90"/>
      <c r="ZR440" s="90"/>
      <c r="ZS440" s="90"/>
      <c r="ZT440" s="90"/>
      <c r="ZU440" s="90"/>
      <c r="ZV440" s="90"/>
      <c r="ZW440" s="90"/>
      <c r="ZX440" s="90"/>
      <c r="ZY440" s="90"/>
      <c r="ZZ440" s="90"/>
      <c r="AAA440" s="90"/>
      <c r="AAB440" s="90"/>
      <c r="AAC440" s="90"/>
      <c r="AAD440" s="90"/>
      <c r="AAE440" s="90"/>
      <c r="AAF440" s="90"/>
      <c r="AAG440" s="90"/>
      <c r="AAH440" s="90"/>
      <c r="AAI440" s="90"/>
      <c r="AAJ440" s="90"/>
      <c r="AAK440" s="90"/>
      <c r="AAL440" s="90"/>
      <c r="AAM440" s="90"/>
      <c r="AAN440" s="90"/>
      <c r="AAO440" s="90"/>
      <c r="AAP440" s="90"/>
      <c r="AAQ440" s="90"/>
      <c r="AAR440" s="90"/>
      <c r="AAS440" s="90"/>
      <c r="AAT440" s="90"/>
      <c r="AAU440" s="90"/>
      <c r="AAV440" s="90"/>
      <c r="AAW440" s="90"/>
      <c r="AAX440" s="90"/>
      <c r="AAY440" s="90"/>
      <c r="AAZ440" s="90"/>
      <c r="ABA440" s="90"/>
      <c r="ABB440" s="90"/>
      <c r="ABC440" s="90"/>
      <c r="ABD440" s="90"/>
      <c r="ABE440" s="90"/>
      <c r="ABF440" s="90"/>
      <c r="ABG440" s="90"/>
      <c r="ABH440" s="90"/>
      <c r="ABI440" s="90"/>
      <c r="ABJ440" s="90"/>
      <c r="ABK440" s="90"/>
      <c r="ABL440" s="90"/>
      <c r="ABM440" s="90"/>
      <c r="ABN440" s="90"/>
      <c r="ABO440" s="90"/>
      <c r="ABP440" s="90"/>
      <c r="ABQ440" s="90"/>
      <c r="ABR440" s="90"/>
      <c r="ABS440" s="90"/>
      <c r="ABT440" s="90"/>
      <c r="ABU440" s="90"/>
      <c r="ABV440" s="90"/>
      <c r="ABW440" s="90"/>
      <c r="ABX440" s="90"/>
      <c r="ABY440" s="90"/>
      <c r="ABZ440" s="90"/>
      <c r="ACA440" s="90"/>
      <c r="ACB440" s="90"/>
      <c r="ACC440" s="90"/>
      <c r="ACD440" s="90"/>
      <c r="ACE440" s="90"/>
      <c r="ACF440" s="90"/>
      <c r="ACG440" s="90"/>
      <c r="ACH440" s="90"/>
      <c r="ACI440" s="90"/>
      <c r="ACJ440" s="90"/>
      <c r="ACK440" s="90"/>
      <c r="ACL440" s="90"/>
      <c r="ACM440" s="90"/>
      <c r="ACN440" s="90"/>
      <c r="ACO440" s="90"/>
      <c r="ACP440" s="90"/>
      <c r="ACQ440" s="90"/>
      <c r="ACR440" s="90"/>
      <c r="ACS440" s="90"/>
      <c r="ACT440" s="90"/>
      <c r="ACU440" s="90"/>
      <c r="ACV440" s="90"/>
      <c r="ACW440" s="90"/>
      <c r="ACX440" s="90"/>
      <c r="ACY440" s="90"/>
      <c r="ACZ440" s="90"/>
      <c r="ADA440" s="90"/>
      <c r="ADB440" s="90"/>
      <c r="ADC440" s="90"/>
      <c r="ADD440" s="90"/>
      <c r="ADE440" s="90"/>
      <c r="ADF440" s="90"/>
      <c r="ADG440" s="90"/>
      <c r="ADH440" s="90"/>
      <c r="ADI440" s="90"/>
      <c r="ADJ440" s="90"/>
      <c r="ADK440" s="90"/>
      <c r="ADL440" s="90"/>
      <c r="ADM440" s="90"/>
      <c r="ADN440" s="90"/>
      <c r="ADO440" s="90"/>
      <c r="ADP440" s="90"/>
      <c r="ADQ440" s="90"/>
      <c r="ADR440" s="90"/>
      <c r="ADS440" s="90"/>
      <c r="ADT440" s="90"/>
      <c r="ADU440" s="90"/>
      <c r="ADV440" s="90"/>
      <c r="ADW440" s="90"/>
      <c r="ADX440" s="90"/>
      <c r="ADY440" s="90"/>
      <c r="ADZ440" s="90"/>
      <c r="AEA440" s="90"/>
      <c r="AEB440" s="90"/>
      <c r="AEC440" s="90"/>
      <c r="AED440" s="90"/>
      <c r="AEE440" s="90"/>
      <c r="AEF440" s="90"/>
      <c r="AEG440" s="90"/>
      <c r="AEH440" s="90"/>
      <c r="AEI440" s="90"/>
      <c r="AEJ440" s="90"/>
      <c r="AEK440" s="90"/>
      <c r="AEL440" s="90"/>
      <c r="AEM440" s="90"/>
      <c r="AEN440" s="90"/>
      <c r="AEO440" s="90"/>
      <c r="AEP440" s="90"/>
      <c r="AEQ440" s="90"/>
      <c r="AER440" s="90"/>
      <c r="AES440" s="90"/>
      <c r="AET440" s="90"/>
      <c r="AEU440" s="90"/>
      <c r="AEV440" s="90"/>
      <c r="AEW440" s="90"/>
      <c r="AEX440" s="90"/>
      <c r="AEY440" s="90"/>
      <c r="AEZ440" s="90"/>
      <c r="AFA440" s="90"/>
      <c r="AFB440" s="90"/>
      <c r="AFC440" s="90"/>
      <c r="AFD440" s="90"/>
      <c r="AFE440" s="90"/>
      <c r="AFF440" s="90"/>
      <c r="AFG440" s="90"/>
      <c r="AFH440" s="90"/>
      <c r="AFI440" s="90"/>
      <c r="AFJ440" s="90"/>
      <c r="AFK440" s="90"/>
      <c r="AFL440" s="90"/>
      <c r="AFM440" s="90"/>
      <c r="AFN440" s="90"/>
      <c r="AFO440" s="90"/>
      <c r="AFP440" s="90"/>
      <c r="AFQ440" s="90"/>
      <c r="AFR440" s="90"/>
      <c r="AFS440" s="90"/>
      <c r="AFT440" s="90"/>
      <c r="AFU440" s="90"/>
      <c r="AFV440" s="90"/>
      <c r="AFW440" s="90"/>
      <c r="AFX440" s="90"/>
      <c r="AFY440" s="90"/>
      <c r="AFZ440" s="90"/>
      <c r="AGA440" s="90"/>
      <c r="AGB440" s="90"/>
      <c r="AGC440" s="90"/>
      <c r="AGD440" s="90"/>
      <c r="AGE440" s="90"/>
      <c r="AGF440" s="90"/>
      <c r="AGG440" s="90"/>
      <c r="AGH440" s="90"/>
      <c r="AGI440" s="90"/>
      <c r="AGJ440" s="90"/>
      <c r="AGK440" s="90"/>
      <c r="AGL440" s="90"/>
      <c r="AGM440" s="90"/>
      <c r="AGN440" s="90"/>
      <c r="AGO440" s="90"/>
      <c r="AGP440" s="90"/>
      <c r="AGQ440" s="90"/>
      <c r="AGR440" s="90"/>
      <c r="AGS440" s="90"/>
      <c r="AGT440" s="90"/>
      <c r="AGU440" s="90"/>
      <c r="AGV440" s="90"/>
      <c r="AGW440" s="90"/>
      <c r="AGX440" s="90"/>
      <c r="AGY440" s="90"/>
      <c r="AGZ440" s="90"/>
      <c r="AHA440" s="90"/>
      <c r="AHB440" s="90"/>
      <c r="AHC440" s="90"/>
      <c r="AHD440" s="90"/>
      <c r="AHE440" s="90"/>
      <c r="AHF440" s="90"/>
      <c r="AHG440" s="90"/>
      <c r="AHH440" s="90"/>
      <c r="AHI440" s="90"/>
      <c r="AHJ440" s="90"/>
      <c r="AHK440" s="90"/>
      <c r="AHL440" s="90"/>
      <c r="AHM440" s="90"/>
      <c r="AHN440" s="90"/>
      <c r="AHO440" s="90"/>
      <c r="AHP440" s="90"/>
      <c r="AHQ440" s="90"/>
      <c r="AHR440" s="90"/>
      <c r="AHS440" s="90"/>
      <c r="AHT440" s="90"/>
      <c r="AHU440" s="90"/>
      <c r="AHV440" s="90"/>
      <c r="AHW440" s="90"/>
      <c r="AHX440" s="90"/>
      <c r="AHY440" s="90"/>
      <c r="AHZ440" s="90"/>
      <c r="AIA440" s="90"/>
      <c r="AIB440" s="90"/>
      <c r="AIC440" s="90"/>
      <c r="AID440" s="90"/>
      <c r="AIE440" s="90"/>
      <c r="AIF440" s="90"/>
      <c r="AIG440" s="90"/>
      <c r="AIH440" s="90"/>
      <c r="AII440" s="90"/>
      <c r="AIJ440" s="90"/>
      <c r="AIK440" s="90"/>
      <c r="AIL440" s="90"/>
      <c r="AIM440" s="90"/>
      <c r="AIN440" s="90"/>
      <c r="AIO440" s="90"/>
      <c r="AIP440" s="90"/>
      <c r="AIQ440" s="90"/>
      <c r="AIR440" s="90"/>
      <c r="AIS440" s="90"/>
      <c r="AIT440" s="90"/>
      <c r="AIU440" s="90"/>
      <c r="AIV440" s="90"/>
      <c r="AIW440" s="90"/>
      <c r="AIX440" s="90"/>
      <c r="AIY440" s="90"/>
      <c r="AIZ440" s="90"/>
      <c r="AJA440" s="90"/>
      <c r="AJB440" s="90"/>
      <c r="AJC440" s="90"/>
      <c r="AJD440" s="90"/>
      <c r="AJE440" s="90"/>
      <c r="AJF440" s="90"/>
      <c r="AJG440" s="90"/>
      <c r="AJH440" s="90"/>
      <c r="AJI440" s="90"/>
      <c r="AJJ440" s="90"/>
      <c r="AJK440" s="90"/>
      <c r="AJL440" s="90"/>
      <c r="AJM440" s="90"/>
      <c r="AJN440" s="90"/>
      <c r="AJO440" s="90"/>
      <c r="AJP440" s="90"/>
      <c r="AJQ440" s="90"/>
      <c r="AJR440" s="90"/>
      <c r="AJS440" s="90"/>
      <c r="AJT440" s="90"/>
      <c r="AJU440" s="90"/>
      <c r="AJV440" s="90"/>
      <c r="AJW440" s="90"/>
      <c r="AJX440" s="90"/>
      <c r="AJY440" s="90"/>
      <c r="AJZ440" s="90"/>
      <c r="AKA440" s="90"/>
      <c r="AKB440" s="90"/>
      <c r="AKC440" s="90"/>
      <c r="AKD440" s="90"/>
      <c r="AKE440" s="90"/>
      <c r="AKF440" s="90"/>
      <c r="AKG440" s="90"/>
      <c r="AKH440" s="90"/>
      <c r="AKI440" s="90"/>
      <c r="AKJ440" s="90"/>
      <c r="AKK440" s="90"/>
      <c r="AKL440" s="90"/>
      <c r="AKM440" s="90"/>
      <c r="AKN440" s="90"/>
      <c r="AKO440" s="90"/>
      <c r="AKP440" s="90"/>
      <c r="AKQ440" s="90"/>
      <c r="AKR440" s="90"/>
      <c r="AKS440" s="90"/>
      <c r="AKT440" s="90"/>
      <c r="AKU440" s="90"/>
      <c r="AKV440" s="90"/>
      <c r="AKW440" s="90"/>
      <c r="AKX440" s="90"/>
      <c r="AKY440" s="90"/>
      <c r="AKZ440" s="90"/>
      <c r="ALA440" s="90"/>
      <c r="ALB440" s="90"/>
      <c r="ALC440" s="90"/>
      <c r="ALD440" s="90"/>
      <c r="ALE440" s="90"/>
      <c r="ALF440" s="90"/>
      <c r="ALG440" s="90"/>
      <c r="ALH440" s="90"/>
      <c r="ALI440" s="90"/>
      <c r="ALJ440" s="90"/>
      <c r="ALK440" s="90"/>
      <c r="ALL440" s="90"/>
      <c r="ALM440" s="90"/>
      <c r="ALN440" s="90"/>
      <c r="ALO440" s="90"/>
      <c r="ALP440" s="90"/>
      <c r="ALQ440" s="90"/>
      <c r="ALR440" s="90"/>
      <c r="ALS440" s="90"/>
      <c r="ALT440" s="90"/>
      <c r="ALU440" s="90"/>
      <c r="ALV440" s="90"/>
      <c r="ALW440" s="90"/>
      <c r="ALX440" s="90"/>
      <c r="ALY440" s="90"/>
      <c r="ALZ440" s="90"/>
      <c r="AMA440" s="90"/>
      <c r="AMB440" s="90"/>
      <c r="AMC440" s="90"/>
    </row>
    <row r="441" spans="1:1017">
      <c r="A441" s="98" t="s">
        <v>56</v>
      </c>
      <c r="B441" s="90" t="str">
        <f t="shared" si="2224"/>
        <v xml:space="preserve">Kerang Hijau </v>
      </c>
      <c r="Q441" s="91">
        <f t="shared" si="2225"/>
        <v>0</v>
      </c>
      <c r="R441" s="91">
        <f t="shared" si="2226"/>
        <v>0</v>
      </c>
      <c r="AG441" s="91">
        <f t="shared" si="2227"/>
        <v>0</v>
      </c>
      <c r="AH441" s="91">
        <f t="shared" si="2228"/>
        <v>0</v>
      </c>
      <c r="AW441" s="91">
        <f t="shared" si="2229"/>
        <v>0</v>
      </c>
      <c r="AX441" s="91">
        <f t="shared" si="2230"/>
        <v>0</v>
      </c>
      <c r="BM441" s="91">
        <f t="shared" si="2231"/>
        <v>0</v>
      </c>
      <c r="BN441" s="91">
        <f t="shared" si="2232"/>
        <v>0</v>
      </c>
      <c r="CC441" s="91">
        <f t="shared" si="2233"/>
        <v>0</v>
      </c>
      <c r="CD441" s="91">
        <f t="shared" si="2234"/>
        <v>0</v>
      </c>
      <c r="CE441" s="98">
        <v>1591252.5868800001</v>
      </c>
      <c r="CF441" s="98">
        <v>6365010</v>
      </c>
      <c r="CS441" s="91">
        <f t="shared" si="2235"/>
        <v>1591252.5868800001</v>
      </c>
      <c r="CT441" s="91">
        <f t="shared" si="2236"/>
        <v>6365010</v>
      </c>
      <c r="DI441" s="91">
        <f t="shared" si="2237"/>
        <v>0</v>
      </c>
      <c r="DJ441" s="91">
        <f t="shared" si="2238"/>
        <v>0</v>
      </c>
      <c r="DY441" s="91">
        <f t="shared" si="2239"/>
        <v>0</v>
      </c>
      <c r="DZ441" s="91">
        <f t="shared" si="2240"/>
        <v>0</v>
      </c>
      <c r="EO441" s="91">
        <f t="shared" si="2241"/>
        <v>0</v>
      </c>
      <c r="EP441" s="91">
        <f t="shared" si="2242"/>
        <v>0</v>
      </c>
      <c r="FE441" s="91">
        <f t="shared" si="2243"/>
        <v>0</v>
      </c>
      <c r="FF441" s="91">
        <f t="shared" si="2244"/>
        <v>0</v>
      </c>
      <c r="FU441" s="91">
        <f t="shared" si="2245"/>
        <v>0</v>
      </c>
      <c r="FV441" s="91">
        <f t="shared" si="2246"/>
        <v>0</v>
      </c>
      <c r="GK441" s="91">
        <f t="shared" si="2247"/>
        <v>0</v>
      </c>
      <c r="GL441" s="91">
        <f t="shared" si="2248"/>
        <v>0</v>
      </c>
      <c r="HA441" s="91">
        <f t="shared" si="2249"/>
        <v>0</v>
      </c>
      <c r="HB441" s="91">
        <f t="shared" si="2250"/>
        <v>0</v>
      </c>
      <c r="HQ441" s="91">
        <f t="shared" si="2251"/>
        <v>0</v>
      </c>
      <c r="HR441" s="91">
        <f t="shared" si="2252"/>
        <v>0</v>
      </c>
      <c r="IG441" s="91">
        <f t="shared" si="2253"/>
        <v>0</v>
      </c>
      <c r="IH441" s="91">
        <f t="shared" si="2254"/>
        <v>0</v>
      </c>
      <c r="IW441" s="91">
        <f t="shared" si="2255"/>
        <v>0</v>
      </c>
      <c r="IX441" s="91">
        <f t="shared" si="2256"/>
        <v>0</v>
      </c>
      <c r="JM441" s="91">
        <f t="shared" si="2257"/>
        <v>0</v>
      </c>
      <c r="JN441" s="91">
        <f t="shared" si="2258"/>
        <v>0</v>
      </c>
      <c r="KC441" s="91">
        <f t="shared" si="2259"/>
        <v>0</v>
      </c>
      <c r="KD441" s="91">
        <f t="shared" si="2260"/>
        <v>0</v>
      </c>
      <c r="KS441" s="91">
        <f t="shared" si="2261"/>
        <v>0</v>
      </c>
      <c r="KT441" s="91">
        <f t="shared" si="2262"/>
        <v>0</v>
      </c>
      <c r="LI441" s="91">
        <f t="shared" si="2263"/>
        <v>0</v>
      </c>
      <c r="LJ441" s="91">
        <f t="shared" si="2264"/>
        <v>0</v>
      </c>
      <c r="LY441" s="91">
        <f t="shared" si="2265"/>
        <v>0</v>
      </c>
      <c r="LZ441" s="91">
        <f t="shared" si="2266"/>
        <v>0</v>
      </c>
      <c r="MO441" s="91">
        <f t="shared" si="2267"/>
        <v>0</v>
      </c>
      <c r="MP441" s="91">
        <f t="shared" si="2268"/>
        <v>0</v>
      </c>
      <c r="NE441" s="91">
        <f t="shared" si="2269"/>
        <v>0</v>
      </c>
      <c r="NF441" s="91">
        <f t="shared" si="2270"/>
        <v>0</v>
      </c>
      <c r="NU441" s="91">
        <f t="shared" si="2271"/>
        <v>0</v>
      </c>
      <c r="NV441" s="91">
        <f t="shared" si="2272"/>
        <v>0</v>
      </c>
      <c r="OK441" s="91">
        <f t="shared" si="2273"/>
        <v>0</v>
      </c>
      <c r="OL441" s="91">
        <f t="shared" si="2274"/>
        <v>0</v>
      </c>
      <c r="PA441" s="91">
        <f t="shared" si="2275"/>
        <v>0</v>
      </c>
      <c r="PB441" s="91">
        <f t="shared" si="2276"/>
        <v>0</v>
      </c>
      <c r="PQ441" s="91">
        <f t="shared" si="2277"/>
        <v>0</v>
      </c>
      <c r="PR441" s="91">
        <f t="shared" si="2278"/>
        <v>0</v>
      </c>
      <c r="QG441" s="91">
        <f t="shared" si="2279"/>
        <v>0</v>
      </c>
      <c r="QH441" s="91">
        <f t="shared" si="2280"/>
        <v>0</v>
      </c>
      <c r="QW441" s="91">
        <f t="shared" si="2281"/>
        <v>0</v>
      </c>
      <c r="QX441" s="91">
        <f t="shared" si="2282"/>
        <v>0</v>
      </c>
      <c r="RM441" s="91">
        <f t="shared" si="2283"/>
        <v>0</v>
      </c>
      <c r="RN441" s="91">
        <f t="shared" si="2284"/>
        <v>0</v>
      </c>
      <c r="SC441" s="91">
        <f t="shared" si="2285"/>
        <v>0</v>
      </c>
      <c r="SD441" s="91">
        <f t="shared" si="2286"/>
        <v>0</v>
      </c>
      <c r="SS441" s="91">
        <f t="shared" si="2287"/>
        <v>0</v>
      </c>
      <c r="ST441" s="91">
        <f t="shared" si="2288"/>
        <v>0</v>
      </c>
      <c r="TI441" s="91">
        <f t="shared" si="2289"/>
        <v>0</v>
      </c>
      <c r="TJ441" s="91">
        <f t="shared" si="2290"/>
        <v>0</v>
      </c>
      <c r="TY441" s="91">
        <f t="shared" si="2291"/>
        <v>0</v>
      </c>
      <c r="TZ441" s="91">
        <f t="shared" si="2292"/>
        <v>0</v>
      </c>
      <c r="UO441" s="91">
        <f t="shared" si="2293"/>
        <v>0</v>
      </c>
      <c r="UP441" s="91">
        <f t="shared" si="2294"/>
        <v>0</v>
      </c>
      <c r="VE441" s="91">
        <f t="shared" si="2295"/>
        <v>0</v>
      </c>
      <c r="VF441" s="91">
        <f t="shared" si="2296"/>
        <v>0</v>
      </c>
      <c r="VU441" s="91">
        <f t="shared" si="2297"/>
        <v>0</v>
      </c>
      <c r="VV441" s="91">
        <f t="shared" si="2298"/>
        <v>0</v>
      </c>
      <c r="WK441" s="91">
        <f t="shared" si="2299"/>
        <v>0</v>
      </c>
      <c r="WL441" s="91">
        <f t="shared" si="2300"/>
        <v>0</v>
      </c>
      <c r="WM441" s="89"/>
      <c r="WN441" s="87">
        <f t="shared" si="2301"/>
        <v>1591252.5868800001</v>
      </c>
      <c r="WO441" s="87">
        <f t="shared" si="2302"/>
        <v>6365010</v>
      </c>
      <c r="WP441" s="87">
        <f t="shared" si="2303"/>
        <v>0</v>
      </c>
      <c r="WQ441" s="87">
        <f t="shared" si="2304"/>
        <v>0</v>
      </c>
      <c r="WR441" s="87">
        <f t="shared" si="2305"/>
        <v>0</v>
      </c>
      <c r="WS441" s="87">
        <f t="shared" si="2306"/>
        <v>0</v>
      </c>
      <c r="WT441" s="87">
        <f t="shared" si="2307"/>
        <v>0</v>
      </c>
      <c r="WU441" s="87">
        <f t="shared" si="2308"/>
        <v>0</v>
      </c>
      <c r="WV441" s="87">
        <f t="shared" si="2309"/>
        <v>0</v>
      </c>
      <c r="WW441" s="87">
        <f t="shared" si="2310"/>
        <v>0</v>
      </c>
      <c r="WX441" s="87">
        <f t="shared" si="2311"/>
        <v>0</v>
      </c>
      <c r="WY441" s="87">
        <f t="shared" si="2312"/>
        <v>0</v>
      </c>
      <c r="WZ441" s="87">
        <f t="shared" si="2313"/>
        <v>0</v>
      </c>
      <c r="XA441" s="87">
        <f t="shared" si="2314"/>
        <v>0</v>
      </c>
      <c r="XB441" s="92">
        <f t="shared" si="2315"/>
        <v>1591252.5868800001</v>
      </c>
      <c r="XC441" s="92">
        <f t="shared" si="2316"/>
        <v>6365010</v>
      </c>
      <c r="XD441" s="89"/>
      <c r="XE441" s="92"/>
      <c r="XF441" s="92"/>
      <c r="XG441" s="89"/>
      <c r="XH441" s="92"/>
      <c r="XI441" s="92"/>
      <c r="XJ441" s="89"/>
      <c r="XK441" s="87"/>
      <c r="XL441" s="87"/>
      <c r="XM441" s="87"/>
      <c r="XN441" s="87"/>
      <c r="XO441" s="87"/>
      <c r="XP441" s="87"/>
      <c r="XQ441" s="87"/>
      <c r="XR441" s="92">
        <f t="shared" ca="1" si="2317"/>
        <v>0</v>
      </c>
      <c r="XS441" s="89"/>
      <c r="XT441" s="87"/>
      <c r="XU441" s="87"/>
      <c r="XV441" s="87"/>
      <c r="XW441" s="87"/>
      <c r="XX441" s="87"/>
      <c r="XY441" s="87"/>
      <c r="XZ441" s="87"/>
      <c r="YA441" s="92">
        <f t="shared" ca="1" si="2318"/>
        <v>0</v>
      </c>
      <c r="YB441" s="90"/>
      <c r="YC441" s="90"/>
      <c r="YD441" s="90"/>
      <c r="YE441" s="90"/>
      <c r="YF441" s="90"/>
      <c r="YG441" s="90"/>
      <c r="YH441" s="90"/>
      <c r="YI441" s="90"/>
      <c r="YJ441" s="90"/>
      <c r="YK441" s="90"/>
      <c r="YL441" s="90"/>
      <c r="YM441" s="90"/>
      <c r="YN441" s="90"/>
      <c r="YO441" s="90"/>
      <c r="YP441" s="90"/>
      <c r="YQ441" s="90"/>
      <c r="YR441" s="90"/>
      <c r="YS441" s="90"/>
      <c r="YT441" s="90"/>
      <c r="YU441" s="90"/>
      <c r="YV441" s="90"/>
      <c r="YW441" s="90"/>
      <c r="YX441" s="90"/>
      <c r="YY441" s="90"/>
      <c r="YZ441" s="90"/>
      <c r="ZA441" s="90"/>
      <c r="ZB441" s="90"/>
      <c r="ZC441" s="90"/>
      <c r="ZD441" s="90"/>
      <c r="ZE441" s="90"/>
      <c r="ZF441" s="90"/>
      <c r="ZG441" s="90"/>
      <c r="ZH441" s="90"/>
      <c r="ZI441" s="90"/>
      <c r="ZJ441" s="90"/>
      <c r="ZK441" s="90"/>
      <c r="ZL441" s="90"/>
      <c r="ZM441" s="90"/>
      <c r="ZN441" s="90"/>
      <c r="ZO441" s="90"/>
      <c r="ZP441" s="90"/>
      <c r="ZQ441" s="90"/>
      <c r="ZR441" s="90"/>
      <c r="ZS441" s="90"/>
      <c r="ZT441" s="90"/>
      <c r="ZU441" s="90"/>
      <c r="ZV441" s="90"/>
      <c r="ZW441" s="90"/>
      <c r="ZX441" s="90"/>
      <c r="ZY441" s="90"/>
      <c r="ZZ441" s="90"/>
      <c r="AAA441" s="90"/>
      <c r="AAB441" s="90"/>
      <c r="AAC441" s="90"/>
      <c r="AAD441" s="90"/>
      <c r="AAE441" s="90"/>
      <c r="AAF441" s="90"/>
      <c r="AAG441" s="90"/>
      <c r="AAH441" s="90"/>
      <c r="AAI441" s="90"/>
      <c r="AAJ441" s="90"/>
      <c r="AAK441" s="90"/>
      <c r="AAL441" s="90"/>
      <c r="AAM441" s="90"/>
      <c r="AAN441" s="90"/>
      <c r="AAO441" s="90"/>
      <c r="AAP441" s="90"/>
      <c r="AAQ441" s="90"/>
      <c r="AAR441" s="90"/>
      <c r="AAS441" s="90"/>
      <c r="AAT441" s="90"/>
      <c r="AAU441" s="90"/>
      <c r="AAV441" s="90"/>
      <c r="AAW441" s="90"/>
      <c r="AAX441" s="90"/>
      <c r="AAY441" s="90"/>
      <c r="AAZ441" s="90"/>
      <c r="ABA441" s="90"/>
      <c r="ABB441" s="90"/>
      <c r="ABC441" s="90"/>
      <c r="ABD441" s="90"/>
      <c r="ABE441" s="90"/>
      <c r="ABF441" s="90"/>
      <c r="ABG441" s="90"/>
      <c r="ABH441" s="90"/>
      <c r="ABI441" s="90"/>
      <c r="ABJ441" s="90"/>
      <c r="ABK441" s="90"/>
      <c r="ABL441" s="90"/>
      <c r="ABM441" s="90"/>
      <c r="ABN441" s="90"/>
      <c r="ABO441" s="90"/>
      <c r="ABP441" s="90"/>
      <c r="ABQ441" s="90"/>
      <c r="ABR441" s="90"/>
      <c r="ABS441" s="90"/>
      <c r="ABT441" s="90"/>
      <c r="ABU441" s="90"/>
      <c r="ABV441" s="90"/>
      <c r="ABW441" s="90"/>
      <c r="ABX441" s="90"/>
      <c r="ABY441" s="90"/>
      <c r="ABZ441" s="90"/>
      <c r="ACA441" s="90"/>
      <c r="ACB441" s="90"/>
      <c r="ACC441" s="90"/>
      <c r="ACD441" s="90"/>
      <c r="ACE441" s="90"/>
      <c r="ACF441" s="90"/>
      <c r="ACG441" s="90"/>
      <c r="ACH441" s="90"/>
      <c r="ACI441" s="90"/>
      <c r="ACJ441" s="90"/>
      <c r="ACK441" s="90"/>
      <c r="ACL441" s="90"/>
      <c r="ACM441" s="90"/>
      <c r="ACN441" s="90"/>
      <c r="ACO441" s="90"/>
      <c r="ACP441" s="90"/>
      <c r="ACQ441" s="90"/>
      <c r="ACR441" s="90"/>
      <c r="ACS441" s="90"/>
      <c r="ACT441" s="90"/>
      <c r="ACU441" s="90"/>
      <c r="ACV441" s="90"/>
      <c r="ACW441" s="90"/>
      <c r="ACX441" s="90"/>
      <c r="ACY441" s="90"/>
      <c r="ACZ441" s="90"/>
      <c r="ADA441" s="90"/>
      <c r="ADB441" s="90"/>
      <c r="ADC441" s="90"/>
      <c r="ADD441" s="90"/>
      <c r="ADE441" s="90"/>
      <c r="ADF441" s="90"/>
      <c r="ADG441" s="90"/>
      <c r="ADH441" s="90"/>
      <c r="ADI441" s="90"/>
      <c r="ADJ441" s="90"/>
      <c r="ADK441" s="90"/>
      <c r="ADL441" s="90"/>
      <c r="ADM441" s="90"/>
      <c r="ADN441" s="90"/>
      <c r="ADO441" s="90"/>
      <c r="ADP441" s="90"/>
      <c r="ADQ441" s="90"/>
      <c r="ADR441" s="90"/>
      <c r="ADS441" s="90"/>
      <c r="ADT441" s="90"/>
      <c r="ADU441" s="90"/>
      <c r="ADV441" s="90"/>
      <c r="ADW441" s="90"/>
      <c r="ADX441" s="90"/>
      <c r="ADY441" s="90"/>
      <c r="ADZ441" s="90"/>
      <c r="AEA441" s="90"/>
      <c r="AEB441" s="90"/>
      <c r="AEC441" s="90"/>
      <c r="AED441" s="90"/>
      <c r="AEE441" s="90"/>
      <c r="AEF441" s="90"/>
      <c r="AEG441" s="90"/>
      <c r="AEH441" s="90"/>
      <c r="AEI441" s="90"/>
      <c r="AEJ441" s="90"/>
      <c r="AEK441" s="90"/>
      <c r="AEL441" s="90"/>
      <c r="AEM441" s="90"/>
      <c r="AEN441" s="90"/>
      <c r="AEO441" s="90"/>
      <c r="AEP441" s="90"/>
      <c r="AEQ441" s="90"/>
      <c r="AER441" s="90"/>
      <c r="AES441" s="90"/>
      <c r="AET441" s="90"/>
      <c r="AEU441" s="90"/>
      <c r="AEV441" s="90"/>
      <c r="AEW441" s="90"/>
      <c r="AEX441" s="90"/>
      <c r="AEY441" s="90"/>
      <c r="AEZ441" s="90"/>
      <c r="AFA441" s="90"/>
      <c r="AFB441" s="90"/>
      <c r="AFC441" s="90"/>
      <c r="AFD441" s="90"/>
      <c r="AFE441" s="90"/>
      <c r="AFF441" s="90"/>
      <c r="AFG441" s="90"/>
      <c r="AFH441" s="90"/>
      <c r="AFI441" s="90"/>
      <c r="AFJ441" s="90"/>
      <c r="AFK441" s="90"/>
      <c r="AFL441" s="90"/>
      <c r="AFM441" s="90"/>
      <c r="AFN441" s="90"/>
      <c r="AFO441" s="90"/>
      <c r="AFP441" s="90"/>
      <c r="AFQ441" s="90"/>
      <c r="AFR441" s="90"/>
      <c r="AFS441" s="90"/>
      <c r="AFT441" s="90"/>
      <c r="AFU441" s="90"/>
      <c r="AFV441" s="90"/>
      <c r="AFW441" s="90"/>
      <c r="AFX441" s="90"/>
      <c r="AFY441" s="90"/>
      <c r="AFZ441" s="90"/>
      <c r="AGA441" s="90"/>
      <c r="AGB441" s="90"/>
      <c r="AGC441" s="90"/>
      <c r="AGD441" s="90"/>
      <c r="AGE441" s="90"/>
      <c r="AGF441" s="90"/>
      <c r="AGG441" s="90"/>
      <c r="AGH441" s="90"/>
      <c r="AGI441" s="90"/>
      <c r="AGJ441" s="90"/>
      <c r="AGK441" s="90"/>
      <c r="AGL441" s="90"/>
      <c r="AGM441" s="90"/>
      <c r="AGN441" s="90"/>
      <c r="AGO441" s="90"/>
      <c r="AGP441" s="90"/>
      <c r="AGQ441" s="90"/>
      <c r="AGR441" s="90"/>
      <c r="AGS441" s="90"/>
      <c r="AGT441" s="90"/>
      <c r="AGU441" s="90"/>
      <c r="AGV441" s="90"/>
      <c r="AGW441" s="90"/>
      <c r="AGX441" s="90"/>
      <c r="AGY441" s="90"/>
      <c r="AGZ441" s="90"/>
      <c r="AHA441" s="90"/>
      <c r="AHB441" s="90"/>
      <c r="AHC441" s="90"/>
      <c r="AHD441" s="90"/>
      <c r="AHE441" s="90"/>
      <c r="AHF441" s="90"/>
      <c r="AHG441" s="90"/>
      <c r="AHH441" s="90"/>
      <c r="AHI441" s="90"/>
      <c r="AHJ441" s="90"/>
      <c r="AHK441" s="90"/>
      <c r="AHL441" s="90"/>
      <c r="AHM441" s="90"/>
      <c r="AHN441" s="90"/>
      <c r="AHO441" s="90"/>
      <c r="AHP441" s="90"/>
      <c r="AHQ441" s="90"/>
      <c r="AHR441" s="90"/>
      <c r="AHS441" s="90"/>
      <c r="AHT441" s="90"/>
      <c r="AHU441" s="90"/>
      <c r="AHV441" s="90"/>
      <c r="AHW441" s="90"/>
      <c r="AHX441" s="90"/>
      <c r="AHY441" s="90"/>
      <c r="AHZ441" s="90"/>
      <c r="AIA441" s="90"/>
      <c r="AIB441" s="90"/>
      <c r="AIC441" s="90"/>
      <c r="AID441" s="90"/>
      <c r="AIE441" s="90"/>
      <c r="AIF441" s="90"/>
      <c r="AIG441" s="90"/>
      <c r="AIH441" s="90"/>
      <c r="AII441" s="90"/>
      <c r="AIJ441" s="90"/>
      <c r="AIK441" s="90"/>
      <c r="AIL441" s="90"/>
      <c r="AIM441" s="90"/>
      <c r="AIN441" s="90"/>
      <c r="AIO441" s="90"/>
      <c r="AIP441" s="90"/>
      <c r="AIQ441" s="90"/>
      <c r="AIR441" s="90"/>
      <c r="AIS441" s="90"/>
      <c r="AIT441" s="90"/>
      <c r="AIU441" s="90"/>
      <c r="AIV441" s="90"/>
      <c r="AIW441" s="90"/>
      <c r="AIX441" s="90"/>
      <c r="AIY441" s="90"/>
      <c r="AIZ441" s="90"/>
      <c r="AJA441" s="90"/>
      <c r="AJB441" s="90"/>
      <c r="AJC441" s="90"/>
      <c r="AJD441" s="90"/>
      <c r="AJE441" s="90"/>
      <c r="AJF441" s="90"/>
      <c r="AJG441" s="90"/>
      <c r="AJH441" s="90"/>
      <c r="AJI441" s="90"/>
      <c r="AJJ441" s="90"/>
      <c r="AJK441" s="90"/>
      <c r="AJL441" s="90"/>
      <c r="AJM441" s="90"/>
      <c r="AJN441" s="90"/>
      <c r="AJO441" s="90"/>
      <c r="AJP441" s="90"/>
      <c r="AJQ441" s="90"/>
      <c r="AJR441" s="90"/>
      <c r="AJS441" s="90"/>
      <c r="AJT441" s="90"/>
      <c r="AJU441" s="90"/>
      <c r="AJV441" s="90"/>
      <c r="AJW441" s="90"/>
      <c r="AJX441" s="90"/>
      <c r="AJY441" s="90"/>
      <c r="AJZ441" s="90"/>
      <c r="AKA441" s="90"/>
      <c r="AKB441" s="90"/>
      <c r="AKC441" s="90"/>
      <c r="AKD441" s="90"/>
      <c r="AKE441" s="90"/>
      <c r="AKF441" s="90"/>
      <c r="AKG441" s="90"/>
      <c r="AKH441" s="90"/>
      <c r="AKI441" s="90"/>
      <c r="AKJ441" s="90"/>
      <c r="AKK441" s="90"/>
      <c r="AKL441" s="90"/>
      <c r="AKM441" s="90"/>
      <c r="AKN441" s="90"/>
      <c r="AKO441" s="90"/>
      <c r="AKP441" s="90"/>
      <c r="AKQ441" s="90"/>
      <c r="AKR441" s="90"/>
      <c r="AKS441" s="90"/>
      <c r="AKT441" s="90"/>
      <c r="AKU441" s="90"/>
      <c r="AKV441" s="90"/>
      <c r="AKW441" s="90"/>
      <c r="AKX441" s="90"/>
      <c r="AKY441" s="90"/>
      <c r="AKZ441" s="90"/>
      <c r="ALA441" s="90"/>
      <c r="ALB441" s="90"/>
      <c r="ALC441" s="90"/>
      <c r="ALD441" s="90"/>
      <c r="ALE441" s="90"/>
      <c r="ALF441" s="90"/>
      <c r="ALG441" s="90"/>
      <c r="ALH441" s="90"/>
      <c r="ALI441" s="90"/>
      <c r="ALJ441" s="90"/>
      <c r="ALK441" s="90"/>
      <c r="ALL441" s="90"/>
      <c r="ALM441" s="90"/>
      <c r="ALN441" s="90"/>
      <c r="ALO441" s="90"/>
      <c r="ALP441" s="90"/>
      <c r="ALQ441" s="90"/>
      <c r="ALR441" s="90"/>
      <c r="ALS441" s="90"/>
      <c r="ALT441" s="90"/>
      <c r="ALU441" s="90"/>
      <c r="ALV441" s="90"/>
      <c r="ALW441" s="90"/>
      <c r="ALX441" s="90"/>
      <c r="ALY441" s="90"/>
      <c r="ALZ441" s="90"/>
      <c r="AMA441" s="90"/>
      <c r="AMB441" s="90"/>
      <c r="AMC441" s="90"/>
    </row>
    <row r="442" spans="1:1017">
      <c r="A442" s="98" t="s">
        <v>56</v>
      </c>
      <c r="B442" s="90" t="str">
        <f t="shared" si="2224"/>
        <v>Kerapu Cantang</v>
      </c>
      <c r="C442" s="610"/>
      <c r="D442" s="610"/>
      <c r="Q442" s="91">
        <f t="shared" si="2225"/>
        <v>0</v>
      </c>
      <c r="R442" s="91">
        <f t="shared" si="2226"/>
        <v>0</v>
      </c>
      <c r="S442" s="610">
        <v>670</v>
      </c>
      <c r="T442" s="610">
        <v>56950</v>
      </c>
      <c r="U442" s="98">
        <v>3000</v>
      </c>
      <c r="V442" s="98">
        <v>255000</v>
      </c>
      <c r="AG442" s="91">
        <f t="shared" si="2227"/>
        <v>3670</v>
      </c>
      <c r="AH442" s="91">
        <f t="shared" si="2228"/>
        <v>311950</v>
      </c>
      <c r="AI442" s="610"/>
      <c r="AJ442" s="610"/>
      <c r="AW442" s="91">
        <f t="shared" si="2229"/>
        <v>0</v>
      </c>
      <c r="AX442" s="91">
        <f t="shared" si="2230"/>
        <v>0</v>
      </c>
      <c r="AY442" s="610"/>
      <c r="AZ442" s="610"/>
      <c r="BM442" s="91">
        <f t="shared" si="2231"/>
        <v>0</v>
      </c>
      <c r="BN442" s="91">
        <f t="shared" si="2232"/>
        <v>0</v>
      </c>
      <c r="BO442" s="610"/>
      <c r="BP442" s="610"/>
      <c r="CC442" s="91">
        <f t="shared" si="2233"/>
        <v>0</v>
      </c>
      <c r="CD442" s="91">
        <f t="shared" si="2234"/>
        <v>0</v>
      </c>
      <c r="CE442" s="610"/>
      <c r="CF442" s="797"/>
      <c r="CG442" s="98">
        <v>11334</v>
      </c>
      <c r="CH442" s="98">
        <v>1303436</v>
      </c>
      <c r="CS442" s="91">
        <f t="shared" si="2235"/>
        <v>11334</v>
      </c>
      <c r="CT442" s="91">
        <f t="shared" si="2236"/>
        <v>1303436</v>
      </c>
      <c r="CU442" s="610"/>
      <c r="CV442" s="610"/>
      <c r="DI442" s="91">
        <f t="shared" si="2237"/>
        <v>0</v>
      </c>
      <c r="DJ442" s="91">
        <f t="shared" si="2238"/>
        <v>0</v>
      </c>
      <c r="DK442" s="610"/>
      <c r="DL442" s="610"/>
      <c r="DY442" s="91">
        <f t="shared" si="2239"/>
        <v>0</v>
      </c>
      <c r="DZ442" s="91">
        <f t="shared" si="2240"/>
        <v>0</v>
      </c>
      <c r="EA442" s="610"/>
      <c r="EB442" s="610"/>
      <c r="EO442" s="91">
        <f t="shared" si="2241"/>
        <v>0</v>
      </c>
      <c r="EP442" s="91">
        <f t="shared" si="2242"/>
        <v>0</v>
      </c>
      <c r="EQ442" s="610"/>
      <c r="ER442" s="610"/>
      <c r="ES442" s="98">
        <v>128143</v>
      </c>
      <c r="ET442" s="98">
        <v>12173585</v>
      </c>
      <c r="FE442" s="91">
        <f t="shared" si="2243"/>
        <v>128143</v>
      </c>
      <c r="FF442" s="91">
        <f t="shared" si="2244"/>
        <v>12173585</v>
      </c>
      <c r="FG442" s="791"/>
      <c r="FH442" s="791"/>
      <c r="FU442" s="91">
        <f t="shared" si="2245"/>
        <v>0</v>
      </c>
      <c r="FV442" s="91">
        <f t="shared" si="2246"/>
        <v>0</v>
      </c>
      <c r="FW442" s="610"/>
      <c r="FX442" s="610"/>
      <c r="GK442" s="91">
        <f t="shared" si="2247"/>
        <v>0</v>
      </c>
      <c r="GL442" s="91">
        <f t="shared" si="2248"/>
        <v>0</v>
      </c>
      <c r="GM442" s="610"/>
      <c r="GN442" s="610"/>
      <c r="HA442" s="91">
        <f t="shared" si="2249"/>
        <v>0</v>
      </c>
      <c r="HB442" s="91">
        <f t="shared" si="2250"/>
        <v>0</v>
      </c>
      <c r="HC442" s="610"/>
      <c r="HD442" s="610"/>
      <c r="HQ442" s="91">
        <f t="shared" si="2251"/>
        <v>0</v>
      </c>
      <c r="HR442" s="91">
        <f t="shared" si="2252"/>
        <v>0</v>
      </c>
      <c r="HS442" s="610"/>
      <c r="HT442" s="610"/>
      <c r="IG442" s="91">
        <f t="shared" si="2253"/>
        <v>0</v>
      </c>
      <c r="IH442" s="91">
        <f t="shared" si="2254"/>
        <v>0</v>
      </c>
      <c r="II442" s="610"/>
      <c r="IJ442" s="610"/>
      <c r="IW442" s="91">
        <f t="shared" si="2255"/>
        <v>0</v>
      </c>
      <c r="IX442" s="91">
        <f t="shared" si="2256"/>
        <v>0</v>
      </c>
      <c r="IY442" s="610"/>
      <c r="IZ442" s="610"/>
      <c r="JM442" s="91">
        <f t="shared" si="2257"/>
        <v>0</v>
      </c>
      <c r="JN442" s="91">
        <f t="shared" si="2258"/>
        <v>0</v>
      </c>
      <c r="JO442" s="610"/>
      <c r="JP442" s="610"/>
      <c r="KC442" s="91">
        <f t="shared" si="2259"/>
        <v>0</v>
      </c>
      <c r="KD442" s="91">
        <f t="shared" si="2260"/>
        <v>0</v>
      </c>
      <c r="KE442" s="610"/>
      <c r="KF442" s="610"/>
      <c r="KS442" s="91">
        <f t="shared" si="2261"/>
        <v>0</v>
      </c>
      <c r="KT442" s="91">
        <f t="shared" si="2262"/>
        <v>0</v>
      </c>
      <c r="KU442" s="610"/>
      <c r="KV442" s="610"/>
      <c r="LI442" s="91">
        <f t="shared" si="2263"/>
        <v>0</v>
      </c>
      <c r="LJ442" s="91">
        <f t="shared" si="2264"/>
        <v>0</v>
      </c>
      <c r="LK442" s="610"/>
      <c r="LL442" s="610"/>
      <c r="LY442" s="91">
        <f t="shared" si="2265"/>
        <v>0</v>
      </c>
      <c r="LZ442" s="91">
        <f t="shared" si="2266"/>
        <v>0</v>
      </c>
      <c r="MA442" s="610">
        <v>28300</v>
      </c>
      <c r="MB442" s="610">
        <v>2405500</v>
      </c>
      <c r="MO442" s="91">
        <f t="shared" si="2267"/>
        <v>28300</v>
      </c>
      <c r="MP442" s="91">
        <f t="shared" si="2268"/>
        <v>2405500</v>
      </c>
      <c r="MQ442" s="610"/>
      <c r="MR442" s="610"/>
      <c r="NE442" s="91">
        <f t="shared" si="2269"/>
        <v>0</v>
      </c>
      <c r="NF442" s="91">
        <f t="shared" si="2270"/>
        <v>0</v>
      </c>
      <c r="NG442" s="610"/>
      <c r="NH442" s="610"/>
      <c r="NU442" s="91">
        <f t="shared" si="2271"/>
        <v>0</v>
      </c>
      <c r="NV442" s="91">
        <f t="shared" si="2272"/>
        <v>0</v>
      </c>
      <c r="NW442" s="610">
        <v>500</v>
      </c>
      <c r="NX442" s="610">
        <v>50000</v>
      </c>
      <c r="OK442" s="91">
        <f t="shared" si="2273"/>
        <v>500</v>
      </c>
      <c r="OL442" s="91">
        <f t="shared" si="2274"/>
        <v>50000</v>
      </c>
      <c r="PA442" s="91">
        <f t="shared" si="2275"/>
        <v>0</v>
      </c>
      <c r="PB442" s="91">
        <f t="shared" si="2276"/>
        <v>0</v>
      </c>
      <c r="PC442" s="610">
        <v>62</v>
      </c>
      <c r="PD442" s="610">
        <v>3410</v>
      </c>
      <c r="PQ442" s="91">
        <f t="shared" si="2277"/>
        <v>62</v>
      </c>
      <c r="PR442" s="91">
        <f t="shared" si="2278"/>
        <v>3410</v>
      </c>
      <c r="PS442" s="794">
        <v>650</v>
      </c>
      <c r="PT442" s="793">
        <v>68250</v>
      </c>
      <c r="PU442" s="98">
        <v>4340</v>
      </c>
      <c r="PV442" s="98">
        <v>455700</v>
      </c>
      <c r="QG442" s="91">
        <f t="shared" si="2279"/>
        <v>4990</v>
      </c>
      <c r="QH442" s="91">
        <f t="shared" si="2280"/>
        <v>523950</v>
      </c>
      <c r="QI442" s="610"/>
      <c r="QJ442" s="610"/>
      <c r="QW442" s="91">
        <f t="shared" si="2281"/>
        <v>0</v>
      </c>
      <c r="QX442" s="91">
        <f t="shared" si="2282"/>
        <v>0</v>
      </c>
      <c r="QY442" s="610"/>
      <c r="QZ442" s="610"/>
      <c r="RM442" s="91">
        <f t="shared" si="2283"/>
        <v>0</v>
      </c>
      <c r="RN442" s="91">
        <f t="shared" si="2284"/>
        <v>0</v>
      </c>
      <c r="RO442" s="610"/>
      <c r="RP442" s="610"/>
      <c r="SC442" s="91">
        <f t="shared" si="2285"/>
        <v>0</v>
      </c>
      <c r="SD442" s="91">
        <f t="shared" si="2286"/>
        <v>0</v>
      </c>
      <c r="SE442" s="610"/>
      <c r="SF442" s="610"/>
      <c r="SS442" s="91">
        <f t="shared" si="2287"/>
        <v>0</v>
      </c>
      <c r="ST442" s="91">
        <f t="shared" si="2288"/>
        <v>0</v>
      </c>
      <c r="SU442" s="610"/>
      <c r="SV442" s="610"/>
      <c r="TI442" s="91">
        <f t="shared" si="2289"/>
        <v>0</v>
      </c>
      <c r="TJ442" s="91">
        <f t="shared" si="2290"/>
        <v>0</v>
      </c>
      <c r="TK442" s="610"/>
      <c r="TL442" s="610"/>
      <c r="TY442" s="91">
        <f t="shared" si="2291"/>
        <v>0</v>
      </c>
      <c r="TZ442" s="91">
        <f t="shared" si="2292"/>
        <v>0</v>
      </c>
      <c r="UA442" s="610"/>
      <c r="UB442" s="610"/>
      <c r="UO442" s="91">
        <f t="shared" si="2293"/>
        <v>0</v>
      </c>
      <c r="UP442" s="91">
        <f t="shared" si="2294"/>
        <v>0</v>
      </c>
      <c r="UQ442" s="610"/>
      <c r="UR442" s="610"/>
      <c r="VE442" s="91">
        <f t="shared" si="2295"/>
        <v>0</v>
      </c>
      <c r="VF442" s="91">
        <f t="shared" si="2296"/>
        <v>0</v>
      </c>
      <c r="VG442" s="610"/>
      <c r="VH442" s="610"/>
      <c r="VU442" s="91">
        <f t="shared" si="2297"/>
        <v>0</v>
      </c>
      <c r="VV442" s="91">
        <f t="shared" si="2298"/>
        <v>0</v>
      </c>
      <c r="VW442" s="791"/>
      <c r="VX442" s="791"/>
      <c r="WK442" s="91">
        <f t="shared" si="2299"/>
        <v>0</v>
      </c>
      <c r="WL442" s="91">
        <f t="shared" si="2300"/>
        <v>0</v>
      </c>
      <c r="WM442" s="89"/>
      <c r="WN442" s="87">
        <f t="shared" si="2301"/>
        <v>30182</v>
      </c>
      <c r="WO442" s="87">
        <f t="shared" si="2302"/>
        <v>2584110</v>
      </c>
      <c r="WP442" s="87">
        <f t="shared" si="2303"/>
        <v>146817</v>
      </c>
      <c r="WQ442" s="87">
        <f t="shared" si="2304"/>
        <v>14187721</v>
      </c>
      <c r="WR442" s="87">
        <f t="shared" si="2305"/>
        <v>0</v>
      </c>
      <c r="WS442" s="87">
        <f t="shared" si="2306"/>
        <v>0</v>
      </c>
      <c r="WT442" s="87">
        <f t="shared" si="2307"/>
        <v>0</v>
      </c>
      <c r="WU442" s="87">
        <f t="shared" si="2308"/>
        <v>0</v>
      </c>
      <c r="WV442" s="87">
        <f t="shared" si="2309"/>
        <v>0</v>
      </c>
      <c r="WW442" s="87">
        <f t="shared" si="2310"/>
        <v>0</v>
      </c>
      <c r="WX442" s="87">
        <f t="shared" si="2311"/>
        <v>0</v>
      </c>
      <c r="WY442" s="87">
        <f t="shared" si="2312"/>
        <v>0</v>
      </c>
      <c r="WZ442" s="87">
        <f t="shared" si="2313"/>
        <v>0</v>
      </c>
      <c r="XA442" s="87">
        <f t="shared" si="2314"/>
        <v>0</v>
      </c>
      <c r="XB442" s="92">
        <f t="shared" si="2315"/>
        <v>176999</v>
      </c>
      <c r="XC442" s="92">
        <f t="shared" si="2316"/>
        <v>16771831</v>
      </c>
      <c r="XD442" s="89"/>
      <c r="XE442" s="92"/>
      <c r="XF442" s="92"/>
      <c r="XG442" s="89"/>
      <c r="XH442" s="92"/>
      <c r="XI442" s="92"/>
      <c r="XJ442" s="89"/>
      <c r="XK442" s="87"/>
      <c r="XL442" s="87"/>
      <c r="XM442" s="87"/>
      <c r="XN442" s="87"/>
      <c r="XO442" s="87"/>
      <c r="XP442" s="87"/>
      <c r="XQ442" s="87"/>
      <c r="XR442" s="92">
        <f t="shared" ca="1" si="2317"/>
        <v>0</v>
      </c>
      <c r="XS442" s="89"/>
      <c r="XT442" s="87"/>
      <c r="XU442" s="87"/>
      <c r="XV442" s="87"/>
      <c r="XW442" s="87"/>
      <c r="XX442" s="87"/>
      <c r="XY442" s="87"/>
      <c r="XZ442" s="87"/>
      <c r="YA442" s="92">
        <f t="shared" ca="1" si="2318"/>
        <v>0</v>
      </c>
      <c r="YB442" s="90"/>
      <c r="YC442" s="90"/>
      <c r="YD442" s="90"/>
      <c r="YE442" s="90"/>
      <c r="YF442" s="90"/>
      <c r="YG442" s="90"/>
      <c r="YH442" s="90"/>
      <c r="YI442" s="90"/>
      <c r="YJ442" s="90"/>
      <c r="YK442" s="90"/>
      <c r="YL442" s="90"/>
      <c r="YM442" s="90"/>
      <c r="YN442" s="90"/>
      <c r="YO442" s="90"/>
      <c r="YP442" s="90"/>
      <c r="YQ442" s="90"/>
      <c r="YR442" s="90"/>
      <c r="YS442" s="90"/>
      <c r="YT442" s="90"/>
      <c r="YU442" s="90"/>
      <c r="YV442" s="90"/>
      <c r="YW442" s="90"/>
      <c r="YX442" s="90"/>
      <c r="YY442" s="90"/>
      <c r="YZ442" s="90"/>
      <c r="ZA442" s="90"/>
      <c r="ZB442" s="90"/>
      <c r="ZC442" s="90"/>
      <c r="ZD442" s="90"/>
      <c r="ZE442" s="90"/>
      <c r="ZF442" s="90"/>
      <c r="ZG442" s="90"/>
      <c r="ZH442" s="90"/>
      <c r="ZI442" s="90"/>
      <c r="ZJ442" s="90"/>
      <c r="ZK442" s="90"/>
      <c r="ZL442" s="90"/>
      <c r="ZM442" s="90"/>
      <c r="ZN442" s="90"/>
      <c r="ZO442" s="90"/>
      <c r="ZP442" s="90"/>
      <c r="ZQ442" s="90"/>
      <c r="ZR442" s="90"/>
      <c r="ZS442" s="90"/>
      <c r="ZT442" s="90"/>
      <c r="ZU442" s="90"/>
      <c r="ZV442" s="90"/>
      <c r="ZW442" s="90"/>
      <c r="ZX442" s="90"/>
      <c r="ZY442" s="90"/>
      <c r="ZZ442" s="90"/>
      <c r="AAA442" s="90"/>
      <c r="AAB442" s="90"/>
      <c r="AAC442" s="90"/>
      <c r="AAD442" s="90"/>
      <c r="AAE442" s="90"/>
      <c r="AAF442" s="90"/>
      <c r="AAG442" s="90"/>
      <c r="AAH442" s="90"/>
      <c r="AAI442" s="90"/>
      <c r="AAJ442" s="90"/>
      <c r="AAK442" s="90"/>
      <c r="AAL442" s="90"/>
      <c r="AAM442" s="90"/>
      <c r="AAN442" s="90"/>
      <c r="AAO442" s="90"/>
      <c r="AAP442" s="90"/>
      <c r="AAQ442" s="90"/>
      <c r="AAR442" s="90"/>
      <c r="AAS442" s="90"/>
      <c r="AAT442" s="90"/>
      <c r="AAU442" s="90"/>
      <c r="AAV442" s="90"/>
      <c r="AAW442" s="90"/>
      <c r="AAX442" s="90"/>
      <c r="AAY442" s="90"/>
      <c r="AAZ442" s="90"/>
      <c r="ABA442" s="90"/>
      <c r="ABB442" s="90"/>
      <c r="ABC442" s="90"/>
      <c r="ABD442" s="90"/>
      <c r="ABE442" s="90"/>
      <c r="ABF442" s="90"/>
      <c r="ABG442" s="90"/>
      <c r="ABH442" s="90"/>
      <c r="ABI442" s="90"/>
      <c r="ABJ442" s="90"/>
      <c r="ABK442" s="90"/>
      <c r="ABL442" s="90"/>
      <c r="ABM442" s="90"/>
      <c r="ABN442" s="90"/>
      <c r="ABO442" s="90"/>
      <c r="ABP442" s="90"/>
      <c r="ABQ442" s="90"/>
      <c r="ABR442" s="90"/>
      <c r="ABS442" s="90"/>
      <c r="ABT442" s="90"/>
      <c r="ABU442" s="90"/>
      <c r="ABV442" s="90"/>
      <c r="ABW442" s="90"/>
      <c r="ABX442" s="90"/>
      <c r="ABY442" s="90"/>
      <c r="ABZ442" s="90"/>
      <c r="ACA442" s="90"/>
      <c r="ACB442" s="90"/>
      <c r="ACC442" s="90"/>
      <c r="ACD442" s="90"/>
      <c r="ACE442" s="90"/>
      <c r="ACF442" s="90"/>
      <c r="ACG442" s="90"/>
      <c r="ACH442" s="90"/>
      <c r="ACI442" s="90"/>
      <c r="ACJ442" s="90"/>
      <c r="ACK442" s="90"/>
      <c r="ACL442" s="90"/>
      <c r="ACM442" s="90"/>
      <c r="ACN442" s="90"/>
      <c r="ACO442" s="90"/>
      <c r="ACP442" s="90"/>
      <c r="ACQ442" s="90"/>
      <c r="ACR442" s="90"/>
      <c r="ACS442" s="90"/>
      <c r="ACT442" s="90"/>
      <c r="ACU442" s="90"/>
      <c r="ACV442" s="90"/>
      <c r="ACW442" s="90"/>
      <c r="ACX442" s="90"/>
      <c r="ACY442" s="90"/>
      <c r="ACZ442" s="90"/>
      <c r="ADA442" s="90"/>
      <c r="ADB442" s="90"/>
      <c r="ADC442" s="90"/>
      <c r="ADD442" s="90"/>
      <c r="ADE442" s="90"/>
      <c r="ADF442" s="90"/>
      <c r="ADG442" s="90"/>
      <c r="ADH442" s="90"/>
      <c r="ADI442" s="90"/>
      <c r="ADJ442" s="90"/>
      <c r="ADK442" s="90"/>
      <c r="ADL442" s="90"/>
      <c r="ADM442" s="90"/>
      <c r="ADN442" s="90"/>
      <c r="ADO442" s="90"/>
      <c r="ADP442" s="90"/>
      <c r="ADQ442" s="90"/>
      <c r="ADR442" s="90"/>
      <c r="ADS442" s="90"/>
      <c r="ADT442" s="90"/>
      <c r="ADU442" s="90"/>
      <c r="ADV442" s="90"/>
      <c r="ADW442" s="90"/>
      <c r="ADX442" s="90"/>
      <c r="ADY442" s="90"/>
      <c r="ADZ442" s="90"/>
      <c r="AEA442" s="90"/>
      <c r="AEB442" s="90"/>
      <c r="AEC442" s="90"/>
      <c r="AED442" s="90"/>
      <c r="AEE442" s="90"/>
      <c r="AEF442" s="90"/>
      <c r="AEG442" s="90"/>
      <c r="AEH442" s="90"/>
      <c r="AEI442" s="90"/>
      <c r="AEJ442" s="90"/>
      <c r="AEK442" s="90"/>
      <c r="AEL442" s="90"/>
      <c r="AEM442" s="90"/>
      <c r="AEN442" s="90"/>
      <c r="AEO442" s="90"/>
      <c r="AEP442" s="90"/>
      <c r="AEQ442" s="90"/>
      <c r="AER442" s="90"/>
      <c r="AES442" s="90"/>
      <c r="AET442" s="90"/>
      <c r="AEU442" s="90"/>
      <c r="AEV442" s="90"/>
      <c r="AEW442" s="90"/>
      <c r="AEX442" s="90"/>
      <c r="AEY442" s="90"/>
      <c r="AEZ442" s="90"/>
      <c r="AFA442" s="90"/>
      <c r="AFB442" s="90"/>
      <c r="AFC442" s="90"/>
      <c r="AFD442" s="90"/>
      <c r="AFE442" s="90"/>
      <c r="AFF442" s="90"/>
      <c r="AFG442" s="90"/>
      <c r="AFH442" s="90"/>
      <c r="AFI442" s="90"/>
      <c r="AFJ442" s="90"/>
      <c r="AFK442" s="90"/>
      <c r="AFL442" s="90"/>
      <c r="AFM442" s="90"/>
      <c r="AFN442" s="90"/>
      <c r="AFO442" s="90"/>
      <c r="AFP442" s="90"/>
      <c r="AFQ442" s="90"/>
      <c r="AFR442" s="90"/>
      <c r="AFS442" s="90"/>
      <c r="AFT442" s="90"/>
      <c r="AFU442" s="90"/>
      <c r="AFV442" s="90"/>
      <c r="AFW442" s="90"/>
      <c r="AFX442" s="90"/>
      <c r="AFY442" s="90"/>
      <c r="AFZ442" s="90"/>
      <c r="AGA442" s="90"/>
      <c r="AGB442" s="90"/>
      <c r="AGC442" s="90"/>
      <c r="AGD442" s="90"/>
      <c r="AGE442" s="90"/>
      <c r="AGF442" s="90"/>
      <c r="AGG442" s="90"/>
      <c r="AGH442" s="90"/>
      <c r="AGI442" s="90"/>
      <c r="AGJ442" s="90"/>
      <c r="AGK442" s="90"/>
      <c r="AGL442" s="90"/>
      <c r="AGM442" s="90"/>
      <c r="AGN442" s="90"/>
      <c r="AGO442" s="90"/>
      <c r="AGP442" s="90"/>
      <c r="AGQ442" s="90"/>
      <c r="AGR442" s="90"/>
      <c r="AGS442" s="90"/>
      <c r="AGT442" s="90"/>
      <c r="AGU442" s="90"/>
      <c r="AGV442" s="90"/>
      <c r="AGW442" s="90"/>
      <c r="AGX442" s="90"/>
      <c r="AGY442" s="90"/>
      <c r="AGZ442" s="90"/>
      <c r="AHA442" s="90"/>
      <c r="AHB442" s="90"/>
      <c r="AHC442" s="90"/>
      <c r="AHD442" s="90"/>
      <c r="AHE442" s="90"/>
      <c r="AHF442" s="90"/>
      <c r="AHG442" s="90"/>
      <c r="AHH442" s="90"/>
      <c r="AHI442" s="90"/>
      <c r="AHJ442" s="90"/>
      <c r="AHK442" s="90"/>
      <c r="AHL442" s="90"/>
      <c r="AHM442" s="90"/>
      <c r="AHN442" s="90"/>
      <c r="AHO442" s="90"/>
      <c r="AHP442" s="90"/>
      <c r="AHQ442" s="90"/>
      <c r="AHR442" s="90"/>
      <c r="AHS442" s="90"/>
      <c r="AHT442" s="90"/>
      <c r="AHU442" s="90"/>
      <c r="AHV442" s="90"/>
      <c r="AHW442" s="90"/>
      <c r="AHX442" s="90"/>
      <c r="AHY442" s="90"/>
      <c r="AHZ442" s="90"/>
      <c r="AIA442" s="90"/>
      <c r="AIB442" s="90"/>
      <c r="AIC442" s="90"/>
      <c r="AID442" s="90"/>
      <c r="AIE442" s="90"/>
      <c r="AIF442" s="90"/>
      <c r="AIG442" s="90"/>
      <c r="AIH442" s="90"/>
      <c r="AII442" s="90"/>
      <c r="AIJ442" s="90"/>
      <c r="AIK442" s="90"/>
      <c r="AIL442" s="90"/>
      <c r="AIM442" s="90"/>
      <c r="AIN442" s="90"/>
      <c r="AIO442" s="90"/>
      <c r="AIP442" s="90"/>
      <c r="AIQ442" s="90"/>
      <c r="AIR442" s="90"/>
      <c r="AIS442" s="90"/>
      <c r="AIT442" s="90"/>
      <c r="AIU442" s="90"/>
      <c r="AIV442" s="90"/>
      <c r="AIW442" s="90"/>
      <c r="AIX442" s="90"/>
      <c r="AIY442" s="90"/>
      <c r="AIZ442" s="90"/>
      <c r="AJA442" s="90"/>
      <c r="AJB442" s="90"/>
      <c r="AJC442" s="90"/>
      <c r="AJD442" s="90"/>
      <c r="AJE442" s="90"/>
      <c r="AJF442" s="90"/>
      <c r="AJG442" s="90"/>
      <c r="AJH442" s="90"/>
      <c r="AJI442" s="90"/>
      <c r="AJJ442" s="90"/>
      <c r="AJK442" s="90"/>
      <c r="AJL442" s="90"/>
      <c r="AJM442" s="90"/>
      <c r="AJN442" s="90"/>
      <c r="AJO442" s="90"/>
      <c r="AJP442" s="90"/>
      <c r="AJQ442" s="90"/>
      <c r="AJR442" s="90"/>
      <c r="AJS442" s="90"/>
      <c r="AJT442" s="90"/>
      <c r="AJU442" s="90"/>
      <c r="AJV442" s="90"/>
      <c r="AJW442" s="90"/>
      <c r="AJX442" s="90"/>
      <c r="AJY442" s="90"/>
      <c r="AJZ442" s="90"/>
      <c r="AKA442" s="90"/>
      <c r="AKB442" s="90"/>
      <c r="AKC442" s="90"/>
      <c r="AKD442" s="90"/>
      <c r="AKE442" s="90"/>
      <c r="AKF442" s="90"/>
      <c r="AKG442" s="90"/>
      <c r="AKH442" s="90"/>
      <c r="AKI442" s="90"/>
      <c r="AKJ442" s="90"/>
      <c r="AKK442" s="90"/>
      <c r="AKL442" s="90"/>
      <c r="AKM442" s="90"/>
      <c r="AKN442" s="90"/>
      <c r="AKO442" s="90"/>
      <c r="AKP442" s="90"/>
      <c r="AKQ442" s="90"/>
      <c r="AKR442" s="90"/>
      <c r="AKS442" s="90"/>
      <c r="AKT442" s="90"/>
      <c r="AKU442" s="90"/>
      <c r="AKV442" s="90"/>
      <c r="AKW442" s="90"/>
      <c r="AKX442" s="90"/>
      <c r="AKY442" s="90"/>
      <c r="AKZ442" s="90"/>
      <c r="ALA442" s="90"/>
      <c r="ALB442" s="90"/>
      <c r="ALC442" s="90"/>
      <c r="ALD442" s="90"/>
      <c r="ALE442" s="90"/>
      <c r="ALF442" s="90"/>
      <c r="ALG442" s="90"/>
      <c r="ALH442" s="90"/>
      <c r="ALI442" s="90"/>
      <c r="ALJ442" s="90"/>
      <c r="ALK442" s="90"/>
      <c r="ALL442" s="90"/>
      <c r="ALM442" s="90"/>
      <c r="ALN442" s="90"/>
      <c r="ALO442" s="90"/>
      <c r="ALP442" s="90"/>
      <c r="ALQ442" s="90"/>
      <c r="ALR442" s="90"/>
      <c r="ALS442" s="90"/>
      <c r="ALT442" s="90"/>
      <c r="ALU442" s="90"/>
      <c r="ALV442" s="90"/>
      <c r="ALW442" s="90"/>
      <c r="ALX442" s="90"/>
      <c r="ALY442" s="90"/>
      <c r="ALZ442" s="90"/>
      <c r="AMA442" s="90"/>
      <c r="AMB442" s="90"/>
      <c r="AMC442" s="90"/>
    </row>
    <row r="443" spans="1:1017">
      <c r="A443" s="98" t="s">
        <v>56</v>
      </c>
      <c r="B443" s="90" t="str">
        <f t="shared" si="2224"/>
        <v>Kerapu Macan</v>
      </c>
      <c r="C443" s="610"/>
      <c r="D443" s="610"/>
      <c r="Q443" s="91">
        <f t="shared" si="2225"/>
        <v>0</v>
      </c>
      <c r="R443" s="91">
        <f t="shared" si="2226"/>
        <v>0</v>
      </c>
      <c r="S443" s="610"/>
      <c r="T443" s="610"/>
      <c r="AG443" s="91">
        <f t="shared" si="2227"/>
        <v>0</v>
      </c>
      <c r="AH443" s="91">
        <f t="shared" si="2228"/>
        <v>0</v>
      </c>
      <c r="AI443" s="610"/>
      <c r="AJ443" s="610"/>
      <c r="AW443" s="91">
        <f t="shared" si="2229"/>
        <v>0</v>
      </c>
      <c r="AX443" s="91">
        <f t="shared" si="2230"/>
        <v>0</v>
      </c>
      <c r="AY443" s="610"/>
      <c r="AZ443" s="610"/>
      <c r="BM443" s="91">
        <f t="shared" si="2231"/>
        <v>0</v>
      </c>
      <c r="BN443" s="91">
        <f t="shared" si="2232"/>
        <v>0</v>
      </c>
      <c r="BO443" s="610"/>
      <c r="BP443" s="610"/>
      <c r="CC443" s="91">
        <f t="shared" si="2233"/>
        <v>0</v>
      </c>
      <c r="CD443" s="91">
        <f t="shared" si="2234"/>
        <v>0</v>
      </c>
      <c r="CE443" s="610"/>
      <c r="CF443" s="797"/>
      <c r="CS443" s="91">
        <f t="shared" si="2235"/>
        <v>0</v>
      </c>
      <c r="CT443" s="91">
        <f t="shared" si="2236"/>
        <v>0</v>
      </c>
      <c r="CU443" s="610"/>
      <c r="CV443" s="610"/>
      <c r="DI443" s="91">
        <f t="shared" si="2237"/>
        <v>0</v>
      </c>
      <c r="DJ443" s="91">
        <f t="shared" si="2238"/>
        <v>0</v>
      </c>
      <c r="DK443" s="610"/>
      <c r="DL443" s="610"/>
      <c r="DY443" s="91">
        <f t="shared" si="2239"/>
        <v>0</v>
      </c>
      <c r="DZ443" s="91">
        <f t="shared" si="2240"/>
        <v>0</v>
      </c>
      <c r="EA443" s="610"/>
      <c r="EB443" s="610"/>
      <c r="EO443" s="91">
        <f t="shared" si="2241"/>
        <v>0</v>
      </c>
      <c r="EP443" s="91">
        <f t="shared" si="2242"/>
        <v>0</v>
      </c>
      <c r="EQ443" s="610"/>
      <c r="ER443" s="610"/>
      <c r="FE443" s="91">
        <f t="shared" si="2243"/>
        <v>0</v>
      </c>
      <c r="FF443" s="91">
        <f t="shared" si="2244"/>
        <v>0</v>
      </c>
      <c r="FG443" s="791"/>
      <c r="FH443" s="791"/>
      <c r="FU443" s="91">
        <f t="shared" si="2245"/>
        <v>0</v>
      </c>
      <c r="FV443" s="91">
        <f t="shared" si="2246"/>
        <v>0</v>
      </c>
      <c r="FW443" s="610"/>
      <c r="FX443" s="610"/>
      <c r="GK443" s="91">
        <f t="shared" si="2247"/>
        <v>0</v>
      </c>
      <c r="GL443" s="91">
        <f t="shared" si="2248"/>
        <v>0</v>
      </c>
      <c r="GM443" s="610"/>
      <c r="GN443" s="610"/>
      <c r="HA443" s="91">
        <f t="shared" si="2249"/>
        <v>0</v>
      </c>
      <c r="HB443" s="91">
        <f t="shared" si="2250"/>
        <v>0</v>
      </c>
      <c r="HC443" s="610"/>
      <c r="HD443" s="610"/>
      <c r="HQ443" s="91">
        <f t="shared" si="2251"/>
        <v>0</v>
      </c>
      <c r="HR443" s="91">
        <f t="shared" si="2252"/>
        <v>0</v>
      </c>
      <c r="HS443" s="610"/>
      <c r="HT443" s="610"/>
      <c r="IG443" s="91">
        <f t="shared" si="2253"/>
        <v>0</v>
      </c>
      <c r="IH443" s="91">
        <f t="shared" si="2254"/>
        <v>0</v>
      </c>
      <c r="II443" s="610"/>
      <c r="IJ443" s="610"/>
      <c r="IW443" s="91">
        <f t="shared" si="2255"/>
        <v>0</v>
      </c>
      <c r="IX443" s="91">
        <f t="shared" si="2256"/>
        <v>0</v>
      </c>
      <c r="IY443" s="610"/>
      <c r="IZ443" s="610"/>
      <c r="JM443" s="91">
        <f t="shared" si="2257"/>
        <v>0</v>
      </c>
      <c r="JN443" s="91">
        <f t="shared" si="2258"/>
        <v>0</v>
      </c>
      <c r="JO443" s="610"/>
      <c r="JP443" s="610"/>
      <c r="KC443" s="91">
        <f t="shared" si="2259"/>
        <v>0</v>
      </c>
      <c r="KD443" s="91">
        <f t="shared" si="2260"/>
        <v>0</v>
      </c>
      <c r="KE443" s="610"/>
      <c r="KF443" s="610"/>
      <c r="KS443" s="91">
        <f t="shared" si="2261"/>
        <v>0</v>
      </c>
      <c r="KT443" s="91">
        <f t="shared" si="2262"/>
        <v>0</v>
      </c>
      <c r="KU443" s="610"/>
      <c r="KV443" s="610"/>
      <c r="LI443" s="91">
        <f t="shared" si="2263"/>
        <v>0</v>
      </c>
      <c r="LJ443" s="91">
        <f t="shared" si="2264"/>
        <v>0</v>
      </c>
      <c r="LK443" s="610"/>
      <c r="LL443" s="610"/>
      <c r="LY443" s="91">
        <f t="shared" si="2265"/>
        <v>0</v>
      </c>
      <c r="LZ443" s="91">
        <f t="shared" si="2266"/>
        <v>0</v>
      </c>
      <c r="MA443" s="610"/>
      <c r="MB443" s="610"/>
      <c r="MO443" s="91">
        <f t="shared" si="2267"/>
        <v>0</v>
      </c>
      <c r="MP443" s="91">
        <f t="shared" si="2268"/>
        <v>0</v>
      </c>
      <c r="MQ443" s="610"/>
      <c r="MR443" s="610"/>
      <c r="NE443" s="91">
        <f t="shared" si="2269"/>
        <v>0</v>
      </c>
      <c r="NF443" s="91">
        <f t="shared" si="2270"/>
        <v>0</v>
      </c>
      <c r="NG443" s="610"/>
      <c r="NH443" s="610"/>
      <c r="NU443" s="91">
        <f t="shared" si="2271"/>
        <v>0</v>
      </c>
      <c r="NV443" s="91">
        <f t="shared" si="2272"/>
        <v>0</v>
      </c>
      <c r="NW443" s="610"/>
      <c r="NX443" s="610"/>
      <c r="OK443" s="91">
        <f t="shared" si="2273"/>
        <v>0</v>
      </c>
      <c r="OL443" s="91">
        <f t="shared" si="2274"/>
        <v>0</v>
      </c>
      <c r="OM443" s="610">
        <v>27230</v>
      </c>
      <c r="ON443" s="610">
        <v>5446000</v>
      </c>
      <c r="PA443" s="91">
        <f>SUMIF($C$12:$P$12,$A$1,OM443:OZ443)</f>
        <v>27230</v>
      </c>
      <c r="PB443" s="91">
        <f>SUMIF($C$12:$P$12,$A$3,OM443:OZ443)</f>
        <v>5446000</v>
      </c>
      <c r="PC443" s="610"/>
      <c r="PD443" s="610"/>
      <c r="PQ443" s="91">
        <f t="shared" si="2277"/>
        <v>0</v>
      </c>
      <c r="PR443" s="91">
        <f t="shared" si="2278"/>
        <v>0</v>
      </c>
      <c r="PS443" s="793"/>
      <c r="PT443" s="793"/>
      <c r="QG443" s="91">
        <f t="shared" si="2279"/>
        <v>0</v>
      </c>
      <c r="QH443" s="91">
        <f t="shared" si="2280"/>
        <v>0</v>
      </c>
      <c r="QI443" s="610"/>
      <c r="QJ443" s="610"/>
      <c r="QW443" s="91">
        <f t="shared" si="2281"/>
        <v>0</v>
      </c>
      <c r="QX443" s="91">
        <f t="shared" si="2282"/>
        <v>0</v>
      </c>
      <c r="QY443" s="610"/>
      <c r="QZ443" s="610"/>
      <c r="RM443" s="91">
        <f t="shared" si="2283"/>
        <v>0</v>
      </c>
      <c r="RN443" s="91">
        <f t="shared" si="2284"/>
        <v>0</v>
      </c>
      <c r="RO443" s="610"/>
      <c r="RP443" s="610"/>
      <c r="SC443" s="91">
        <f t="shared" si="2285"/>
        <v>0</v>
      </c>
      <c r="SD443" s="91">
        <f t="shared" si="2286"/>
        <v>0</v>
      </c>
      <c r="SE443" s="610"/>
      <c r="SF443" s="610"/>
      <c r="SS443" s="91">
        <f t="shared" si="2287"/>
        <v>0</v>
      </c>
      <c r="ST443" s="91">
        <f t="shared" si="2288"/>
        <v>0</v>
      </c>
      <c r="SU443" s="610"/>
      <c r="SV443" s="610"/>
      <c r="TI443" s="91">
        <f t="shared" si="2289"/>
        <v>0</v>
      </c>
      <c r="TJ443" s="91">
        <f t="shared" si="2290"/>
        <v>0</v>
      </c>
      <c r="TK443" s="610"/>
      <c r="TL443" s="610"/>
      <c r="TY443" s="91">
        <f t="shared" si="2291"/>
        <v>0</v>
      </c>
      <c r="TZ443" s="91">
        <f t="shared" si="2292"/>
        <v>0</v>
      </c>
      <c r="UA443" s="610"/>
      <c r="UB443" s="610"/>
      <c r="UO443" s="91">
        <f t="shared" si="2293"/>
        <v>0</v>
      </c>
      <c r="UP443" s="91">
        <f t="shared" si="2294"/>
        <v>0</v>
      </c>
      <c r="UQ443" s="610"/>
      <c r="UR443" s="610"/>
      <c r="VE443" s="91">
        <f t="shared" si="2295"/>
        <v>0</v>
      </c>
      <c r="VF443" s="91">
        <f t="shared" si="2296"/>
        <v>0</v>
      </c>
      <c r="VG443" s="610"/>
      <c r="VH443" s="610"/>
      <c r="VU443" s="91">
        <f t="shared" si="2297"/>
        <v>0</v>
      </c>
      <c r="VV443" s="91">
        <f t="shared" si="2298"/>
        <v>0</v>
      </c>
      <c r="VW443" s="791"/>
      <c r="VX443" s="791"/>
      <c r="WK443" s="91">
        <f t="shared" si="2299"/>
        <v>0</v>
      </c>
      <c r="WL443" s="91">
        <f t="shared" si="2300"/>
        <v>0</v>
      </c>
      <c r="WM443" s="89"/>
      <c r="WN443" s="87">
        <f t="shared" si="2301"/>
        <v>27230</v>
      </c>
      <c r="WO443" s="87">
        <f t="shared" si="2302"/>
        <v>5446000</v>
      </c>
      <c r="WP443" s="87">
        <f t="shared" si="2303"/>
        <v>0</v>
      </c>
      <c r="WQ443" s="87">
        <f t="shared" si="2304"/>
        <v>0</v>
      </c>
      <c r="WR443" s="87">
        <f t="shared" si="2305"/>
        <v>0</v>
      </c>
      <c r="WS443" s="87">
        <f t="shared" si="2306"/>
        <v>0</v>
      </c>
      <c r="WT443" s="87">
        <f t="shared" si="2307"/>
        <v>0</v>
      </c>
      <c r="WU443" s="87">
        <f t="shared" si="2308"/>
        <v>0</v>
      </c>
      <c r="WV443" s="87">
        <f t="shared" si="2309"/>
        <v>0</v>
      </c>
      <c r="WW443" s="87">
        <f t="shared" si="2310"/>
        <v>0</v>
      </c>
      <c r="WX443" s="87">
        <f t="shared" si="2311"/>
        <v>0</v>
      </c>
      <c r="WY443" s="87">
        <f t="shared" si="2312"/>
        <v>0</v>
      </c>
      <c r="WZ443" s="87">
        <f t="shared" si="2313"/>
        <v>0</v>
      </c>
      <c r="XA443" s="87">
        <f t="shared" si="2314"/>
        <v>0</v>
      </c>
      <c r="XB443" s="92">
        <f t="shared" si="2315"/>
        <v>27230</v>
      </c>
      <c r="XC443" s="92">
        <f t="shared" si="2316"/>
        <v>5446000</v>
      </c>
      <c r="XD443" s="89"/>
      <c r="XE443" s="92"/>
      <c r="XF443" s="92"/>
      <c r="XG443" s="89"/>
      <c r="XH443" s="92"/>
      <c r="XI443" s="92"/>
      <c r="XJ443" s="89"/>
      <c r="XK443" s="87"/>
      <c r="XL443" s="87"/>
      <c r="XM443" s="87"/>
      <c r="XN443" s="87"/>
      <c r="XO443" s="87"/>
      <c r="XP443" s="87"/>
      <c r="XQ443" s="87"/>
      <c r="XR443" s="92">
        <f t="shared" ca="1" si="2317"/>
        <v>0</v>
      </c>
      <c r="XS443" s="89"/>
      <c r="XT443" s="87"/>
      <c r="XU443" s="87"/>
      <c r="XV443" s="87"/>
      <c r="XW443" s="87"/>
      <c r="XX443" s="87"/>
      <c r="XY443" s="87"/>
      <c r="XZ443" s="87"/>
      <c r="YA443" s="92">
        <f t="shared" ca="1" si="2318"/>
        <v>0</v>
      </c>
      <c r="YB443" s="90"/>
      <c r="YC443" s="90"/>
      <c r="YD443" s="90"/>
      <c r="YE443" s="90"/>
      <c r="YF443" s="90"/>
      <c r="YG443" s="90"/>
      <c r="YH443" s="90"/>
      <c r="YI443" s="90"/>
      <c r="YJ443" s="90"/>
      <c r="YK443" s="90"/>
      <c r="YL443" s="90"/>
      <c r="YM443" s="90"/>
      <c r="YN443" s="90"/>
      <c r="YO443" s="90"/>
      <c r="YP443" s="90"/>
      <c r="YQ443" s="90"/>
      <c r="YR443" s="90"/>
      <c r="YS443" s="90"/>
      <c r="YT443" s="90"/>
      <c r="YU443" s="90"/>
      <c r="YV443" s="90"/>
      <c r="YW443" s="90"/>
      <c r="YX443" s="90"/>
      <c r="YY443" s="90"/>
      <c r="YZ443" s="90"/>
      <c r="ZA443" s="90"/>
      <c r="ZB443" s="90"/>
      <c r="ZC443" s="90"/>
      <c r="ZD443" s="90"/>
      <c r="ZE443" s="90"/>
      <c r="ZF443" s="90"/>
      <c r="ZG443" s="90"/>
      <c r="ZH443" s="90"/>
      <c r="ZI443" s="90"/>
      <c r="ZJ443" s="90"/>
      <c r="ZK443" s="90"/>
      <c r="ZL443" s="90"/>
      <c r="ZM443" s="90"/>
      <c r="ZN443" s="90"/>
      <c r="ZO443" s="90"/>
      <c r="ZP443" s="90"/>
      <c r="ZQ443" s="90"/>
      <c r="ZR443" s="90"/>
      <c r="ZS443" s="90"/>
      <c r="ZT443" s="90"/>
      <c r="ZU443" s="90"/>
      <c r="ZV443" s="90"/>
      <c r="ZW443" s="90"/>
      <c r="ZX443" s="90"/>
      <c r="ZY443" s="90"/>
      <c r="ZZ443" s="90"/>
      <c r="AAA443" s="90"/>
      <c r="AAB443" s="90"/>
      <c r="AAC443" s="90"/>
      <c r="AAD443" s="90"/>
      <c r="AAE443" s="90"/>
      <c r="AAF443" s="90"/>
      <c r="AAG443" s="90"/>
      <c r="AAH443" s="90"/>
      <c r="AAI443" s="90"/>
      <c r="AAJ443" s="90"/>
      <c r="AAK443" s="90"/>
      <c r="AAL443" s="90"/>
      <c r="AAM443" s="90"/>
      <c r="AAN443" s="90"/>
      <c r="AAO443" s="90"/>
      <c r="AAP443" s="90"/>
      <c r="AAQ443" s="90"/>
      <c r="AAR443" s="90"/>
      <c r="AAS443" s="90"/>
      <c r="AAT443" s="90"/>
      <c r="AAU443" s="90"/>
      <c r="AAV443" s="90"/>
      <c r="AAW443" s="90"/>
      <c r="AAX443" s="90"/>
      <c r="AAY443" s="90"/>
      <c r="AAZ443" s="90"/>
      <c r="ABA443" s="90"/>
      <c r="ABB443" s="90"/>
      <c r="ABC443" s="90"/>
      <c r="ABD443" s="90"/>
      <c r="ABE443" s="90"/>
      <c r="ABF443" s="90"/>
      <c r="ABG443" s="90"/>
      <c r="ABH443" s="90"/>
      <c r="ABI443" s="90"/>
      <c r="ABJ443" s="90"/>
      <c r="ABK443" s="90"/>
      <c r="ABL443" s="90"/>
      <c r="ABM443" s="90"/>
      <c r="ABN443" s="90"/>
      <c r="ABO443" s="90"/>
      <c r="ABP443" s="90"/>
      <c r="ABQ443" s="90"/>
      <c r="ABR443" s="90"/>
      <c r="ABS443" s="90"/>
      <c r="ABT443" s="90"/>
      <c r="ABU443" s="90"/>
      <c r="ABV443" s="90"/>
      <c r="ABW443" s="90"/>
      <c r="ABX443" s="90"/>
      <c r="ABY443" s="90"/>
      <c r="ABZ443" s="90"/>
      <c r="ACA443" s="90"/>
      <c r="ACB443" s="90"/>
      <c r="ACC443" s="90"/>
      <c r="ACD443" s="90"/>
      <c r="ACE443" s="90"/>
      <c r="ACF443" s="90"/>
      <c r="ACG443" s="90"/>
      <c r="ACH443" s="90"/>
      <c r="ACI443" s="90"/>
      <c r="ACJ443" s="90"/>
      <c r="ACK443" s="90"/>
      <c r="ACL443" s="90"/>
      <c r="ACM443" s="90"/>
      <c r="ACN443" s="90"/>
      <c r="ACO443" s="90"/>
      <c r="ACP443" s="90"/>
      <c r="ACQ443" s="90"/>
      <c r="ACR443" s="90"/>
      <c r="ACS443" s="90"/>
      <c r="ACT443" s="90"/>
      <c r="ACU443" s="90"/>
      <c r="ACV443" s="90"/>
      <c r="ACW443" s="90"/>
      <c r="ACX443" s="90"/>
      <c r="ACY443" s="90"/>
      <c r="ACZ443" s="90"/>
      <c r="ADA443" s="90"/>
      <c r="ADB443" s="90"/>
      <c r="ADC443" s="90"/>
      <c r="ADD443" s="90"/>
      <c r="ADE443" s="90"/>
      <c r="ADF443" s="90"/>
      <c r="ADG443" s="90"/>
      <c r="ADH443" s="90"/>
      <c r="ADI443" s="90"/>
      <c r="ADJ443" s="90"/>
      <c r="ADK443" s="90"/>
      <c r="ADL443" s="90"/>
      <c r="ADM443" s="90"/>
      <c r="ADN443" s="90"/>
      <c r="ADO443" s="90"/>
      <c r="ADP443" s="90"/>
      <c r="ADQ443" s="90"/>
      <c r="ADR443" s="90"/>
      <c r="ADS443" s="90"/>
      <c r="ADT443" s="90"/>
      <c r="ADU443" s="90"/>
      <c r="ADV443" s="90"/>
      <c r="ADW443" s="90"/>
      <c r="ADX443" s="90"/>
      <c r="ADY443" s="90"/>
      <c r="ADZ443" s="90"/>
      <c r="AEA443" s="90"/>
      <c r="AEB443" s="90"/>
      <c r="AEC443" s="90"/>
      <c r="AED443" s="90"/>
      <c r="AEE443" s="90"/>
      <c r="AEF443" s="90"/>
      <c r="AEG443" s="90"/>
      <c r="AEH443" s="90"/>
      <c r="AEI443" s="90"/>
      <c r="AEJ443" s="90"/>
      <c r="AEK443" s="90"/>
      <c r="AEL443" s="90"/>
      <c r="AEM443" s="90"/>
      <c r="AEN443" s="90"/>
      <c r="AEO443" s="90"/>
      <c r="AEP443" s="90"/>
      <c r="AEQ443" s="90"/>
      <c r="AER443" s="90"/>
      <c r="AES443" s="90"/>
      <c r="AET443" s="90"/>
      <c r="AEU443" s="90"/>
      <c r="AEV443" s="90"/>
      <c r="AEW443" s="90"/>
      <c r="AEX443" s="90"/>
      <c r="AEY443" s="90"/>
      <c r="AEZ443" s="90"/>
      <c r="AFA443" s="90"/>
      <c r="AFB443" s="90"/>
      <c r="AFC443" s="90"/>
      <c r="AFD443" s="90"/>
      <c r="AFE443" s="90"/>
      <c r="AFF443" s="90"/>
      <c r="AFG443" s="90"/>
      <c r="AFH443" s="90"/>
      <c r="AFI443" s="90"/>
      <c r="AFJ443" s="90"/>
      <c r="AFK443" s="90"/>
      <c r="AFL443" s="90"/>
      <c r="AFM443" s="90"/>
      <c r="AFN443" s="90"/>
      <c r="AFO443" s="90"/>
      <c r="AFP443" s="90"/>
      <c r="AFQ443" s="90"/>
      <c r="AFR443" s="90"/>
      <c r="AFS443" s="90"/>
      <c r="AFT443" s="90"/>
      <c r="AFU443" s="90"/>
      <c r="AFV443" s="90"/>
      <c r="AFW443" s="90"/>
      <c r="AFX443" s="90"/>
      <c r="AFY443" s="90"/>
      <c r="AFZ443" s="90"/>
      <c r="AGA443" s="90"/>
      <c r="AGB443" s="90"/>
      <c r="AGC443" s="90"/>
      <c r="AGD443" s="90"/>
      <c r="AGE443" s="90"/>
      <c r="AGF443" s="90"/>
      <c r="AGG443" s="90"/>
      <c r="AGH443" s="90"/>
      <c r="AGI443" s="90"/>
      <c r="AGJ443" s="90"/>
      <c r="AGK443" s="90"/>
      <c r="AGL443" s="90"/>
      <c r="AGM443" s="90"/>
      <c r="AGN443" s="90"/>
      <c r="AGO443" s="90"/>
      <c r="AGP443" s="90"/>
      <c r="AGQ443" s="90"/>
      <c r="AGR443" s="90"/>
      <c r="AGS443" s="90"/>
      <c r="AGT443" s="90"/>
      <c r="AGU443" s="90"/>
      <c r="AGV443" s="90"/>
      <c r="AGW443" s="90"/>
      <c r="AGX443" s="90"/>
      <c r="AGY443" s="90"/>
      <c r="AGZ443" s="90"/>
      <c r="AHA443" s="90"/>
      <c r="AHB443" s="90"/>
      <c r="AHC443" s="90"/>
      <c r="AHD443" s="90"/>
      <c r="AHE443" s="90"/>
      <c r="AHF443" s="90"/>
      <c r="AHG443" s="90"/>
      <c r="AHH443" s="90"/>
      <c r="AHI443" s="90"/>
      <c r="AHJ443" s="90"/>
      <c r="AHK443" s="90"/>
      <c r="AHL443" s="90"/>
      <c r="AHM443" s="90"/>
      <c r="AHN443" s="90"/>
      <c r="AHO443" s="90"/>
      <c r="AHP443" s="90"/>
      <c r="AHQ443" s="90"/>
      <c r="AHR443" s="90"/>
      <c r="AHS443" s="90"/>
      <c r="AHT443" s="90"/>
      <c r="AHU443" s="90"/>
      <c r="AHV443" s="90"/>
      <c r="AHW443" s="90"/>
      <c r="AHX443" s="90"/>
      <c r="AHY443" s="90"/>
      <c r="AHZ443" s="90"/>
      <c r="AIA443" s="90"/>
      <c r="AIB443" s="90"/>
      <c r="AIC443" s="90"/>
      <c r="AID443" s="90"/>
      <c r="AIE443" s="90"/>
      <c r="AIF443" s="90"/>
      <c r="AIG443" s="90"/>
      <c r="AIH443" s="90"/>
      <c r="AII443" s="90"/>
      <c r="AIJ443" s="90"/>
      <c r="AIK443" s="90"/>
      <c r="AIL443" s="90"/>
      <c r="AIM443" s="90"/>
      <c r="AIN443" s="90"/>
      <c r="AIO443" s="90"/>
      <c r="AIP443" s="90"/>
      <c r="AIQ443" s="90"/>
      <c r="AIR443" s="90"/>
      <c r="AIS443" s="90"/>
      <c r="AIT443" s="90"/>
      <c r="AIU443" s="90"/>
      <c r="AIV443" s="90"/>
      <c r="AIW443" s="90"/>
      <c r="AIX443" s="90"/>
      <c r="AIY443" s="90"/>
      <c r="AIZ443" s="90"/>
      <c r="AJA443" s="90"/>
      <c r="AJB443" s="90"/>
      <c r="AJC443" s="90"/>
      <c r="AJD443" s="90"/>
      <c r="AJE443" s="90"/>
      <c r="AJF443" s="90"/>
      <c r="AJG443" s="90"/>
      <c r="AJH443" s="90"/>
      <c r="AJI443" s="90"/>
      <c r="AJJ443" s="90"/>
      <c r="AJK443" s="90"/>
      <c r="AJL443" s="90"/>
      <c r="AJM443" s="90"/>
      <c r="AJN443" s="90"/>
      <c r="AJO443" s="90"/>
      <c r="AJP443" s="90"/>
      <c r="AJQ443" s="90"/>
      <c r="AJR443" s="90"/>
      <c r="AJS443" s="90"/>
      <c r="AJT443" s="90"/>
      <c r="AJU443" s="90"/>
      <c r="AJV443" s="90"/>
      <c r="AJW443" s="90"/>
      <c r="AJX443" s="90"/>
      <c r="AJY443" s="90"/>
      <c r="AJZ443" s="90"/>
      <c r="AKA443" s="90"/>
      <c r="AKB443" s="90"/>
      <c r="AKC443" s="90"/>
      <c r="AKD443" s="90"/>
      <c r="AKE443" s="90"/>
      <c r="AKF443" s="90"/>
      <c r="AKG443" s="90"/>
      <c r="AKH443" s="90"/>
      <c r="AKI443" s="90"/>
      <c r="AKJ443" s="90"/>
      <c r="AKK443" s="90"/>
      <c r="AKL443" s="90"/>
      <c r="AKM443" s="90"/>
      <c r="AKN443" s="90"/>
      <c r="AKO443" s="90"/>
      <c r="AKP443" s="90"/>
      <c r="AKQ443" s="90"/>
      <c r="AKR443" s="90"/>
      <c r="AKS443" s="90"/>
      <c r="AKT443" s="90"/>
      <c r="AKU443" s="90"/>
      <c r="AKV443" s="90"/>
      <c r="AKW443" s="90"/>
      <c r="AKX443" s="90"/>
      <c r="AKY443" s="90"/>
      <c r="AKZ443" s="90"/>
      <c r="ALA443" s="90"/>
      <c r="ALB443" s="90"/>
      <c r="ALC443" s="90"/>
      <c r="ALD443" s="90"/>
      <c r="ALE443" s="90"/>
      <c r="ALF443" s="90"/>
      <c r="ALG443" s="90"/>
      <c r="ALH443" s="90"/>
      <c r="ALI443" s="90"/>
      <c r="ALJ443" s="90"/>
      <c r="ALK443" s="90"/>
      <c r="ALL443" s="90"/>
      <c r="ALM443" s="90"/>
      <c r="ALN443" s="90"/>
      <c r="ALO443" s="90"/>
      <c r="ALP443" s="90"/>
      <c r="ALQ443" s="90"/>
      <c r="ALR443" s="90"/>
      <c r="ALS443" s="90"/>
      <c r="ALT443" s="90"/>
      <c r="ALU443" s="90"/>
      <c r="ALV443" s="90"/>
      <c r="ALW443" s="90"/>
      <c r="ALX443" s="90"/>
      <c r="ALY443" s="90"/>
      <c r="ALZ443" s="90"/>
      <c r="AMA443" s="90"/>
      <c r="AMB443" s="90"/>
      <c r="AMC443" s="90"/>
    </row>
    <row r="444" spans="1:1017">
      <c r="A444" s="98" t="s">
        <v>56</v>
      </c>
      <c r="B444" s="90" t="str">
        <f t="shared" si="2224"/>
        <v>Kerong Kerong</v>
      </c>
      <c r="J444" s="611"/>
      <c r="Q444" s="91">
        <f t="shared" si="2225"/>
        <v>0</v>
      </c>
      <c r="R444" s="91">
        <f t="shared" si="2226"/>
        <v>0</v>
      </c>
      <c r="Z444" s="611"/>
      <c r="AG444" s="91">
        <f t="shared" si="2227"/>
        <v>0</v>
      </c>
      <c r="AH444" s="91">
        <f t="shared" si="2228"/>
        <v>0</v>
      </c>
      <c r="AP444" s="611"/>
      <c r="AW444" s="91">
        <f t="shared" si="2229"/>
        <v>0</v>
      </c>
      <c r="AX444" s="91">
        <f t="shared" si="2230"/>
        <v>0</v>
      </c>
      <c r="BF444" s="611"/>
      <c r="BM444" s="91">
        <f t="shared" si="2231"/>
        <v>0</v>
      </c>
      <c r="BN444" s="91">
        <f t="shared" si="2232"/>
        <v>0</v>
      </c>
      <c r="BV444" s="611"/>
      <c r="CC444" s="91">
        <f t="shared" si="2233"/>
        <v>0</v>
      </c>
      <c r="CD444" s="91">
        <f t="shared" si="2234"/>
        <v>0</v>
      </c>
      <c r="CL444" s="611"/>
      <c r="CS444" s="91">
        <f t="shared" si="2235"/>
        <v>0</v>
      </c>
      <c r="CT444" s="91">
        <f t="shared" si="2236"/>
        <v>0</v>
      </c>
      <c r="DB444" s="611"/>
      <c r="DI444" s="91">
        <f t="shared" si="2237"/>
        <v>0</v>
      </c>
      <c r="DJ444" s="91">
        <f t="shared" si="2238"/>
        <v>0</v>
      </c>
      <c r="DR444" s="611"/>
      <c r="DY444" s="91">
        <f t="shared" si="2239"/>
        <v>0</v>
      </c>
      <c r="DZ444" s="91">
        <f t="shared" si="2240"/>
        <v>0</v>
      </c>
      <c r="EH444" s="611"/>
      <c r="EO444" s="91">
        <f t="shared" si="2241"/>
        <v>0</v>
      </c>
      <c r="EP444" s="91">
        <f t="shared" si="2242"/>
        <v>0</v>
      </c>
      <c r="EX444" s="611"/>
      <c r="FE444" s="91">
        <f t="shared" si="2243"/>
        <v>0</v>
      </c>
      <c r="FF444" s="91">
        <f t="shared" si="2244"/>
        <v>0</v>
      </c>
      <c r="FN444" s="611"/>
      <c r="FU444" s="91">
        <f t="shared" si="2245"/>
        <v>0</v>
      </c>
      <c r="FV444" s="91">
        <f t="shared" si="2246"/>
        <v>0</v>
      </c>
      <c r="GD444" s="611"/>
      <c r="GK444" s="91">
        <f t="shared" si="2247"/>
        <v>0</v>
      </c>
      <c r="GL444" s="91">
        <f t="shared" si="2248"/>
        <v>0</v>
      </c>
      <c r="GT444" s="611"/>
      <c r="HA444" s="91">
        <f t="shared" si="2249"/>
        <v>0</v>
      </c>
      <c r="HB444" s="91">
        <f t="shared" si="2250"/>
        <v>0</v>
      </c>
      <c r="HJ444" s="611"/>
      <c r="HQ444" s="91">
        <f t="shared" si="2251"/>
        <v>0</v>
      </c>
      <c r="HR444" s="91">
        <f t="shared" si="2252"/>
        <v>0</v>
      </c>
      <c r="HZ444" s="611"/>
      <c r="IG444" s="91">
        <f t="shared" si="2253"/>
        <v>0</v>
      </c>
      <c r="IH444" s="91">
        <f t="shared" si="2254"/>
        <v>0</v>
      </c>
      <c r="IP444" s="611"/>
      <c r="IW444" s="91">
        <f t="shared" si="2255"/>
        <v>0</v>
      </c>
      <c r="IX444" s="91">
        <f t="shared" si="2256"/>
        <v>0</v>
      </c>
      <c r="JF444" s="611"/>
      <c r="JM444" s="91">
        <f t="shared" si="2257"/>
        <v>0</v>
      </c>
      <c r="JN444" s="91">
        <f t="shared" si="2258"/>
        <v>0</v>
      </c>
      <c r="JV444" s="611"/>
      <c r="KC444" s="91">
        <f t="shared" si="2259"/>
        <v>0</v>
      </c>
      <c r="KD444" s="91">
        <f t="shared" si="2260"/>
        <v>0</v>
      </c>
      <c r="KL444" s="611"/>
      <c r="KS444" s="91">
        <f t="shared" si="2261"/>
        <v>0</v>
      </c>
      <c r="KT444" s="91">
        <f t="shared" si="2262"/>
        <v>0</v>
      </c>
      <c r="LB444" s="611"/>
      <c r="LI444" s="91">
        <f t="shared" si="2263"/>
        <v>0</v>
      </c>
      <c r="LJ444" s="91">
        <f t="shared" si="2264"/>
        <v>0</v>
      </c>
      <c r="LR444" s="611"/>
      <c r="LY444" s="91">
        <f t="shared" si="2265"/>
        <v>0</v>
      </c>
      <c r="LZ444" s="91">
        <f t="shared" si="2266"/>
        <v>0</v>
      </c>
      <c r="MH444" s="611"/>
      <c r="MO444" s="91">
        <f t="shared" si="2267"/>
        <v>0</v>
      </c>
      <c r="MP444" s="91">
        <f t="shared" si="2268"/>
        <v>0</v>
      </c>
      <c r="MX444" s="611"/>
      <c r="NE444" s="91">
        <f t="shared" si="2269"/>
        <v>0</v>
      </c>
      <c r="NF444" s="91">
        <f t="shared" si="2270"/>
        <v>0</v>
      </c>
      <c r="NN444" s="611"/>
      <c r="NU444" s="91">
        <f t="shared" si="2271"/>
        <v>0</v>
      </c>
      <c r="NV444" s="91">
        <f t="shared" si="2272"/>
        <v>0</v>
      </c>
      <c r="OD444" s="611"/>
      <c r="OK444" s="91">
        <f t="shared" si="2273"/>
        <v>0</v>
      </c>
      <c r="OL444" s="91">
        <f t="shared" si="2274"/>
        <v>0</v>
      </c>
      <c r="OT444" s="611"/>
      <c r="PA444" s="91">
        <f t="shared" si="2275"/>
        <v>0</v>
      </c>
      <c r="PB444" s="91">
        <f t="shared" si="2276"/>
        <v>0</v>
      </c>
      <c r="PJ444" s="611"/>
      <c r="PQ444" s="91">
        <f t="shared" si="2277"/>
        <v>0</v>
      </c>
      <c r="PR444" s="91">
        <f t="shared" si="2278"/>
        <v>0</v>
      </c>
      <c r="PZ444" s="611"/>
      <c r="QG444" s="91">
        <f t="shared" si="2279"/>
        <v>0</v>
      </c>
      <c r="QH444" s="91">
        <f t="shared" si="2280"/>
        <v>0</v>
      </c>
      <c r="QP444" s="611"/>
      <c r="QW444" s="91">
        <f t="shared" si="2281"/>
        <v>0</v>
      </c>
      <c r="QX444" s="91">
        <f t="shared" si="2282"/>
        <v>0</v>
      </c>
      <c r="RF444" s="611"/>
      <c r="RM444" s="91">
        <f t="shared" si="2283"/>
        <v>0</v>
      </c>
      <c r="RN444" s="91">
        <f t="shared" si="2284"/>
        <v>0</v>
      </c>
      <c r="RV444" s="611"/>
      <c r="SC444" s="91">
        <f t="shared" si="2285"/>
        <v>0</v>
      </c>
      <c r="SD444" s="91">
        <f t="shared" si="2286"/>
        <v>0</v>
      </c>
      <c r="SL444" s="611"/>
      <c r="SS444" s="91">
        <f t="shared" si="2287"/>
        <v>0</v>
      </c>
      <c r="ST444" s="91">
        <f t="shared" si="2288"/>
        <v>0</v>
      </c>
      <c r="TB444" s="611"/>
      <c r="TI444" s="91">
        <f t="shared" si="2289"/>
        <v>0</v>
      </c>
      <c r="TJ444" s="91">
        <f t="shared" si="2290"/>
        <v>0</v>
      </c>
      <c r="TR444" s="611"/>
      <c r="TY444" s="91">
        <f t="shared" si="2291"/>
        <v>0</v>
      </c>
      <c r="TZ444" s="91">
        <f t="shared" si="2292"/>
        <v>0</v>
      </c>
      <c r="UH444" s="611"/>
      <c r="UO444" s="91">
        <f t="shared" si="2293"/>
        <v>0</v>
      </c>
      <c r="UP444" s="91">
        <f t="shared" si="2294"/>
        <v>0</v>
      </c>
      <c r="UX444" s="611"/>
      <c r="VE444" s="91">
        <f t="shared" si="2295"/>
        <v>0</v>
      </c>
      <c r="VF444" s="91">
        <f t="shared" si="2296"/>
        <v>0</v>
      </c>
      <c r="VU444" s="91">
        <f t="shared" si="2297"/>
        <v>0</v>
      </c>
      <c r="VV444" s="91">
        <f t="shared" si="2298"/>
        <v>0</v>
      </c>
      <c r="WD444" s="611"/>
      <c r="WK444" s="91">
        <f t="shared" si="2299"/>
        <v>0</v>
      </c>
      <c r="WL444" s="91">
        <f t="shared" si="2300"/>
        <v>0</v>
      </c>
      <c r="WM444" s="89"/>
      <c r="WN444" s="87">
        <f t="shared" si="2301"/>
        <v>0</v>
      </c>
      <c r="WO444" s="87">
        <f t="shared" si="2302"/>
        <v>0</v>
      </c>
      <c r="WP444" s="87">
        <f t="shared" si="2303"/>
        <v>0</v>
      </c>
      <c r="WQ444" s="87">
        <f t="shared" si="2304"/>
        <v>0</v>
      </c>
      <c r="WR444" s="87">
        <f t="shared" si="2305"/>
        <v>0</v>
      </c>
      <c r="WS444" s="87">
        <f t="shared" si="2306"/>
        <v>0</v>
      </c>
      <c r="WT444" s="87">
        <f t="shared" si="2307"/>
        <v>0</v>
      </c>
      <c r="WU444" s="87">
        <f t="shared" si="2308"/>
        <v>0</v>
      </c>
      <c r="WV444" s="87">
        <f t="shared" si="2309"/>
        <v>0</v>
      </c>
      <c r="WW444" s="87">
        <f t="shared" si="2310"/>
        <v>0</v>
      </c>
      <c r="WX444" s="87">
        <f t="shared" si="2311"/>
        <v>0</v>
      </c>
      <c r="WY444" s="87">
        <f t="shared" si="2312"/>
        <v>0</v>
      </c>
      <c r="WZ444" s="87">
        <f t="shared" si="2313"/>
        <v>0</v>
      </c>
      <c r="XA444" s="87">
        <f t="shared" si="2314"/>
        <v>0</v>
      </c>
      <c r="XB444" s="92">
        <f t="shared" si="2315"/>
        <v>0</v>
      </c>
      <c r="XC444" s="92">
        <f t="shared" si="2316"/>
        <v>0</v>
      </c>
      <c r="XD444" s="89"/>
      <c r="XE444" s="92"/>
      <c r="XF444" s="92"/>
      <c r="XG444" s="89"/>
      <c r="XH444" s="92"/>
      <c r="XI444" s="92"/>
      <c r="XJ444" s="89"/>
      <c r="XK444" s="87"/>
      <c r="XL444" s="87"/>
      <c r="XM444" s="87"/>
      <c r="XN444" s="87"/>
      <c r="XO444" s="87"/>
      <c r="XP444" s="87"/>
      <c r="XQ444" s="87"/>
      <c r="XR444" s="92">
        <f t="shared" ca="1" si="2317"/>
        <v>0</v>
      </c>
      <c r="XS444" s="89"/>
      <c r="XT444" s="87"/>
      <c r="XU444" s="87"/>
      <c r="XV444" s="87"/>
      <c r="XW444" s="87"/>
      <c r="XX444" s="87"/>
      <c r="XY444" s="87"/>
      <c r="XZ444" s="87"/>
      <c r="YA444" s="92">
        <f t="shared" ca="1" si="2318"/>
        <v>0</v>
      </c>
      <c r="YB444" s="90"/>
      <c r="YC444" s="90"/>
      <c r="YD444" s="90"/>
      <c r="YE444" s="90"/>
      <c r="YF444" s="90"/>
      <c r="YG444" s="90"/>
      <c r="YH444" s="90"/>
      <c r="YI444" s="90"/>
      <c r="YJ444" s="90"/>
      <c r="YK444" s="90"/>
      <c r="YL444" s="90"/>
      <c r="YM444" s="90"/>
      <c r="YN444" s="90"/>
      <c r="YO444" s="90"/>
      <c r="YP444" s="90"/>
      <c r="YQ444" s="90"/>
      <c r="YR444" s="90"/>
      <c r="YS444" s="90"/>
      <c r="YT444" s="90"/>
      <c r="YU444" s="90"/>
      <c r="YV444" s="90"/>
      <c r="YW444" s="90"/>
      <c r="YX444" s="90"/>
      <c r="YY444" s="90"/>
      <c r="YZ444" s="90"/>
      <c r="ZA444" s="90"/>
      <c r="ZB444" s="90"/>
      <c r="ZC444" s="90"/>
      <c r="ZD444" s="90"/>
      <c r="ZE444" s="90"/>
      <c r="ZF444" s="90"/>
      <c r="ZG444" s="90"/>
      <c r="ZH444" s="90"/>
      <c r="ZI444" s="90"/>
      <c r="ZJ444" s="90"/>
      <c r="ZK444" s="90"/>
      <c r="ZL444" s="90"/>
      <c r="ZM444" s="90"/>
      <c r="ZN444" s="90"/>
      <c r="ZO444" s="90"/>
      <c r="ZP444" s="90"/>
      <c r="ZQ444" s="90"/>
      <c r="ZR444" s="90"/>
      <c r="ZS444" s="90"/>
      <c r="ZT444" s="90"/>
      <c r="ZU444" s="90"/>
      <c r="ZV444" s="90"/>
      <c r="ZW444" s="90"/>
      <c r="ZX444" s="90"/>
      <c r="ZY444" s="90"/>
      <c r="ZZ444" s="90"/>
      <c r="AAA444" s="90"/>
      <c r="AAB444" s="90"/>
      <c r="AAC444" s="90"/>
      <c r="AAD444" s="90"/>
      <c r="AAE444" s="90"/>
      <c r="AAF444" s="90"/>
      <c r="AAG444" s="90"/>
      <c r="AAH444" s="90"/>
      <c r="AAI444" s="90"/>
      <c r="AAJ444" s="90"/>
      <c r="AAK444" s="90"/>
      <c r="AAL444" s="90"/>
      <c r="AAM444" s="90"/>
      <c r="AAN444" s="90"/>
      <c r="AAO444" s="90"/>
      <c r="AAP444" s="90"/>
      <c r="AAQ444" s="90"/>
      <c r="AAR444" s="90"/>
      <c r="AAS444" s="90"/>
      <c r="AAT444" s="90"/>
      <c r="AAU444" s="90"/>
      <c r="AAV444" s="90"/>
      <c r="AAW444" s="90"/>
      <c r="AAX444" s="90"/>
      <c r="AAY444" s="90"/>
      <c r="AAZ444" s="90"/>
      <c r="ABA444" s="90"/>
      <c r="ABB444" s="90"/>
      <c r="ABC444" s="90"/>
      <c r="ABD444" s="90"/>
      <c r="ABE444" s="90"/>
      <c r="ABF444" s="90"/>
      <c r="ABG444" s="90"/>
      <c r="ABH444" s="90"/>
      <c r="ABI444" s="90"/>
      <c r="ABJ444" s="90"/>
      <c r="ABK444" s="90"/>
      <c r="ABL444" s="90"/>
      <c r="ABM444" s="90"/>
      <c r="ABN444" s="90"/>
      <c r="ABO444" s="90"/>
      <c r="ABP444" s="90"/>
      <c r="ABQ444" s="90"/>
      <c r="ABR444" s="90"/>
      <c r="ABS444" s="90"/>
      <c r="ABT444" s="90"/>
      <c r="ABU444" s="90"/>
      <c r="ABV444" s="90"/>
      <c r="ABW444" s="90"/>
      <c r="ABX444" s="90"/>
      <c r="ABY444" s="90"/>
      <c r="ABZ444" s="90"/>
      <c r="ACA444" s="90"/>
      <c r="ACB444" s="90"/>
      <c r="ACC444" s="90"/>
      <c r="ACD444" s="90"/>
      <c r="ACE444" s="90"/>
      <c r="ACF444" s="90"/>
      <c r="ACG444" s="90"/>
      <c r="ACH444" s="90"/>
      <c r="ACI444" s="90"/>
      <c r="ACJ444" s="90"/>
      <c r="ACK444" s="90"/>
      <c r="ACL444" s="90"/>
      <c r="ACM444" s="90"/>
      <c r="ACN444" s="90"/>
      <c r="ACO444" s="90"/>
      <c r="ACP444" s="90"/>
      <c r="ACQ444" s="90"/>
      <c r="ACR444" s="90"/>
      <c r="ACS444" s="90"/>
      <c r="ACT444" s="90"/>
      <c r="ACU444" s="90"/>
      <c r="ACV444" s="90"/>
      <c r="ACW444" s="90"/>
      <c r="ACX444" s="90"/>
      <c r="ACY444" s="90"/>
      <c r="ACZ444" s="90"/>
      <c r="ADA444" s="90"/>
      <c r="ADB444" s="90"/>
      <c r="ADC444" s="90"/>
      <c r="ADD444" s="90"/>
      <c r="ADE444" s="90"/>
      <c r="ADF444" s="90"/>
      <c r="ADG444" s="90"/>
      <c r="ADH444" s="90"/>
      <c r="ADI444" s="90"/>
      <c r="ADJ444" s="90"/>
      <c r="ADK444" s="90"/>
      <c r="ADL444" s="90"/>
      <c r="ADM444" s="90"/>
      <c r="ADN444" s="90"/>
      <c r="ADO444" s="90"/>
      <c r="ADP444" s="90"/>
      <c r="ADQ444" s="90"/>
      <c r="ADR444" s="90"/>
      <c r="ADS444" s="90"/>
      <c r="ADT444" s="90"/>
      <c r="ADU444" s="90"/>
      <c r="ADV444" s="90"/>
      <c r="ADW444" s="90"/>
      <c r="ADX444" s="90"/>
      <c r="ADY444" s="90"/>
      <c r="ADZ444" s="90"/>
      <c r="AEA444" s="90"/>
      <c r="AEB444" s="90"/>
      <c r="AEC444" s="90"/>
      <c r="AED444" s="90"/>
      <c r="AEE444" s="90"/>
      <c r="AEF444" s="90"/>
      <c r="AEG444" s="90"/>
      <c r="AEH444" s="90"/>
      <c r="AEI444" s="90"/>
      <c r="AEJ444" s="90"/>
      <c r="AEK444" s="90"/>
      <c r="AEL444" s="90"/>
      <c r="AEM444" s="90"/>
      <c r="AEN444" s="90"/>
      <c r="AEO444" s="90"/>
      <c r="AEP444" s="90"/>
      <c r="AEQ444" s="90"/>
      <c r="AER444" s="90"/>
      <c r="AES444" s="90"/>
      <c r="AET444" s="90"/>
      <c r="AEU444" s="90"/>
      <c r="AEV444" s="90"/>
      <c r="AEW444" s="90"/>
      <c r="AEX444" s="90"/>
      <c r="AEY444" s="90"/>
      <c r="AEZ444" s="90"/>
      <c r="AFA444" s="90"/>
      <c r="AFB444" s="90"/>
      <c r="AFC444" s="90"/>
      <c r="AFD444" s="90"/>
      <c r="AFE444" s="90"/>
      <c r="AFF444" s="90"/>
      <c r="AFG444" s="90"/>
      <c r="AFH444" s="90"/>
      <c r="AFI444" s="90"/>
      <c r="AFJ444" s="90"/>
      <c r="AFK444" s="90"/>
      <c r="AFL444" s="90"/>
      <c r="AFM444" s="90"/>
      <c r="AFN444" s="90"/>
      <c r="AFO444" s="90"/>
      <c r="AFP444" s="90"/>
      <c r="AFQ444" s="90"/>
      <c r="AFR444" s="90"/>
      <c r="AFS444" s="90"/>
      <c r="AFT444" s="90"/>
      <c r="AFU444" s="90"/>
      <c r="AFV444" s="90"/>
      <c r="AFW444" s="90"/>
      <c r="AFX444" s="90"/>
      <c r="AFY444" s="90"/>
      <c r="AFZ444" s="90"/>
      <c r="AGA444" s="90"/>
      <c r="AGB444" s="90"/>
      <c r="AGC444" s="90"/>
      <c r="AGD444" s="90"/>
      <c r="AGE444" s="90"/>
      <c r="AGF444" s="90"/>
      <c r="AGG444" s="90"/>
      <c r="AGH444" s="90"/>
      <c r="AGI444" s="90"/>
      <c r="AGJ444" s="90"/>
      <c r="AGK444" s="90"/>
      <c r="AGL444" s="90"/>
      <c r="AGM444" s="90"/>
      <c r="AGN444" s="90"/>
      <c r="AGO444" s="90"/>
      <c r="AGP444" s="90"/>
      <c r="AGQ444" s="90"/>
      <c r="AGR444" s="90"/>
      <c r="AGS444" s="90"/>
      <c r="AGT444" s="90"/>
      <c r="AGU444" s="90"/>
      <c r="AGV444" s="90"/>
      <c r="AGW444" s="90"/>
      <c r="AGX444" s="90"/>
      <c r="AGY444" s="90"/>
      <c r="AGZ444" s="90"/>
      <c r="AHA444" s="90"/>
      <c r="AHB444" s="90"/>
      <c r="AHC444" s="90"/>
      <c r="AHD444" s="90"/>
      <c r="AHE444" s="90"/>
      <c r="AHF444" s="90"/>
      <c r="AHG444" s="90"/>
      <c r="AHH444" s="90"/>
      <c r="AHI444" s="90"/>
      <c r="AHJ444" s="90"/>
      <c r="AHK444" s="90"/>
      <c r="AHL444" s="90"/>
      <c r="AHM444" s="90"/>
      <c r="AHN444" s="90"/>
      <c r="AHO444" s="90"/>
      <c r="AHP444" s="90"/>
      <c r="AHQ444" s="90"/>
      <c r="AHR444" s="90"/>
      <c r="AHS444" s="90"/>
      <c r="AHT444" s="90"/>
      <c r="AHU444" s="90"/>
      <c r="AHV444" s="90"/>
      <c r="AHW444" s="90"/>
      <c r="AHX444" s="90"/>
      <c r="AHY444" s="90"/>
      <c r="AHZ444" s="90"/>
      <c r="AIA444" s="90"/>
      <c r="AIB444" s="90"/>
      <c r="AIC444" s="90"/>
      <c r="AID444" s="90"/>
      <c r="AIE444" s="90"/>
      <c r="AIF444" s="90"/>
      <c r="AIG444" s="90"/>
      <c r="AIH444" s="90"/>
      <c r="AII444" s="90"/>
      <c r="AIJ444" s="90"/>
      <c r="AIK444" s="90"/>
      <c r="AIL444" s="90"/>
      <c r="AIM444" s="90"/>
      <c r="AIN444" s="90"/>
      <c r="AIO444" s="90"/>
      <c r="AIP444" s="90"/>
      <c r="AIQ444" s="90"/>
      <c r="AIR444" s="90"/>
      <c r="AIS444" s="90"/>
      <c r="AIT444" s="90"/>
      <c r="AIU444" s="90"/>
      <c r="AIV444" s="90"/>
      <c r="AIW444" s="90"/>
      <c r="AIX444" s="90"/>
      <c r="AIY444" s="90"/>
      <c r="AIZ444" s="90"/>
      <c r="AJA444" s="90"/>
      <c r="AJB444" s="90"/>
      <c r="AJC444" s="90"/>
      <c r="AJD444" s="90"/>
      <c r="AJE444" s="90"/>
      <c r="AJF444" s="90"/>
      <c r="AJG444" s="90"/>
      <c r="AJH444" s="90"/>
      <c r="AJI444" s="90"/>
      <c r="AJJ444" s="90"/>
      <c r="AJK444" s="90"/>
      <c r="AJL444" s="90"/>
      <c r="AJM444" s="90"/>
      <c r="AJN444" s="90"/>
      <c r="AJO444" s="90"/>
      <c r="AJP444" s="90"/>
      <c r="AJQ444" s="90"/>
      <c r="AJR444" s="90"/>
      <c r="AJS444" s="90"/>
      <c r="AJT444" s="90"/>
      <c r="AJU444" s="90"/>
      <c r="AJV444" s="90"/>
      <c r="AJW444" s="90"/>
      <c r="AJX444" s="90"/>
      <c r="AJY444" s="90"/>
      <c r="AJZ444" s="90"/>
      <c r="AKA444" s="90"/>
      <c r="AKB444" s="90"/>
      <c r="AKC444" s="90"/>
      <c r="AKD444" s="90"/>
      <c r="AKE444" s="90"/>
      <c r="AKF444" s="90"/>
      <c r="AKG444" s="90"/>
      <c r="AKH444" s="90"/>
      <c r="AKI444" s="90"/>
      <c r="AKJ444" s="90"/>
      <c r="AKK444" s="90"/>
      <c r="AKL444" s="90"/>
      <c r="AKM444" s="90"/>
      <c r="AKN444" s="90"/>
      <c r="AKO444" s="90"/>
      <c r="AKP444" s="90"/>
      <c r="AKQ444" s="90"/>
      <c r="AKR444" s="90"/>
      <c r="AKS444" s="90"/>
      <c r="AKT444" s="90"/>
      <c r="AKU444" s="90"/>
      <c r="AKV444" s="90"/>
      <c r="AKW444" s="90"/>
      <c r="AKX444" s="90"/>
      <c r="AKY444" s="90"/>
      <c r="AKZ444" s="90"/>
      <c r="ALA444" s="90"/>
      <c r="ALB444" s="90"/>
      <c r="ALC444" s="90"/>
      <c r="ALD444" s="90"/>
      <c r="ALE444" s="90"/>
      <c r="ALF444" s="90"/>
      <c r="ALG444" s="90"/>
      <c r="ALH444" s="90"/>
      <c r="ALI444" s="90"/>
      <c r="ALJ444" s="90"/>
      <c r="ALK444" s="90"/>
      <c r="ALL444" s="90"/>
      <c r="ALM444" s="90"/>
      <c r="ALN444" s="90"/>
      <c r="ALO444" s="90"/>
      <c r="ALP444" s="90"/>
      <c r="ALQ444" s="90"/>
      <c r="ALR444" s="90"/>
      <c r="ALS444" s="90"/>
      <c r="ALT444" s="90"/>
      <c r="ALU444" s="90"/>
      <c r="ALV444" s="90"/>
      <c r="ALW444" s="90"/>
      <c r="ALX444" s="90"/>
      <c r="ALY444" s="90"/>
      <c r="ALZ444" s="90"/>
      <c r="AMA444" s="90"/>
      <c r="AMB444" s="90"/>
      <c r="AMC444" s="90"/>
    </row>
    <row r="445" spans="1:1017">
      <c r="A445" s="98" t="s">
        <v>56</v>
      </c>
      <c r="B445" s="90" t="str">
        <f t="shared" si="2224"/>
        <v xml:space="preserve">Lele </v>
      </c>
      <c r="I445" s="98">
        <v>47500</v>
      </c>
      <c r="J445" s="98">
        <v>950000</v>
      </c>
      <c r="M445" s="98">
        <v>800</v>
      </c>
      <c r="N445" s="98">
        <v>16000</v>
      </c>
      <c r="Q445" s="91">
        <f t="shared" si="2225"/>
        <v>48300</v>
      </c>
      <c r="R445" s="91">
        <f t="shared" si="2226"/>
        <v>966000</v>
      </c>
      <c r="Y445" s="98">
        <v>683200</v>
      </c>
      <c r="Z445" s="98">
        <v>13664000</v>
      </c>
      <c r="AE445" s="98">
        <v>680</v>
      </c>
      <c r="AF445" s="98">
        <v>13600</v>
      </c>
      <c r="AG445" s="91">
        <f t="shared" si="2227"/>
        <v>683880</v>
      </c>
      <c r="AH445" s="91">
        <f t="shared" si="2228"/>
        <v>13677600</v>
      </c>
      <c r="AO445" s="98">
        <v>847500</v>
      </c>
      <c r="AP445" s="98">
        <v>14407500</v>
      </c>
      <c r="AW445" s="91">
        <f t="shared" si="2229"/>
        <v>847500</v>
      </c>
      <c r="AX445" s="91">
        <f t="shared" si="2230"/>
        <v>14407500</v>
      </c>
      <c r="BE445" s="98">
        <v>368848</v>
      </c>
      <c r="BF445" s="98">
        <v>6823688</v>
      </c>
      <c r="BM445" s="91">
        <f t="shared" si="2231"/>
        <v>368848</v>
      </c>
      <c r="BN445" s="91">
        <f t="shared" si="2232"/>
        <v>6823688</v>
      </c>
      <c r="BU445" s="98">
        <v>66215</v>
      </c>
      <c r="BV445" s="98">
        <v>1324300</v>
      </c>
      <c r="CC445" s="91">
        <f t="shared" si="2233"/>
        <v>66215</v>
      </c>
      <c r="CD445" s="91">
        <f t="shared" si="2234"/>
        <v>1324300</v>
      </c>
      <c r="CK445" s="98">
        <v>123853.76703829</v>
      </c>
      <c r="CL445" s="98">
        <v>1981660</v>
      </c>
      <c r="CS445" s="91">
        <f t="shared" si="2235"/>
        <v>123853.76703829</v>
      </c>
      <c r="CT445" s="91">
        <f t="shared" si="2236"/>
        <v>1981660</v>
      </c>
      <c r="DA445" s="98">
        <v>877215</v>
      </c>
      <c r="DB445" s="98">
        <v>16228477.5</v>
      </c>
      <c r="DI445" s="91">
        <f t="shared" si="2237"/>
        <v>877215</v>
      </c>
      <c r="DJ445" s="91">
        <f t="shared" si="2238"/>
        <v>16228477.5</v>
      </c>
      <c r="DQ445" s="98">
        <v>619500</v>
      </c>
      <c r="DR445" s="98">
        <v>11460750</v>
      </c>
      <c r="DY445" s="91">
        <f t="shared" si="2239"/>
        <v>619500</v>
      </c>
      <c r="DZ445" s="91">
        <f t="shared" si="2240"/>
        <v>11460750</v>
      </c>
      <c r="EG445" s="98">
        <v>1270000</v>
      </c>
      <c r="EH445" s="98">
        <v>22860000</v>
      </c>
      <c r="EO445" s="91">
        <f t="shared" si="2241"/>
        <v>1270000</v>
      </c>
      <c r="EP445" s="91">
        <f t="shared" si="2242"/>
        <v>22860000</v>
      </c>
      <c r="EW445" s="98">
        <v>87573</v>
      </c>
      <c r="EX445" s="98">
        <v>1576314</v>
      </c>
      <c r="FA445" s="98">
        <v>2817</v>
      </c>
      <c r="FB445" s="98">
        <v>50706</v>
      </c>
      <c r="FE445" s="91">
        <f t="shared" si="2243"/>
        <v>90390</v>
      </c>
      <c r="FF445" s="91">
        <f t="shared" si="2244"/>
        <v>1627020</v>
      </c>
      <c r="FM445" s="98">
        <v>105045</v>
      </c>
      <c r="FN445" s="98">
        <v>1943332.5</v>
      </c>
      <c r="FU445" s="91">
        <f t="shared" si="2245"/>
        <v>105045</v>
      </c>
      <c r="FV445" s="91">
        <f t="shared" si="2246"/>
        <v>1943332.5</v>
      </c>
      <c r="GC445" s="98">
        <v>221500</v>
      </c>
      <c r="GD445" s="98">
        <v>4097750</v>
      </c>
      <c r="GK445" s="91">
        <f t="shared" si="2247"/>
        <v>221500</v>
      </c>
      <c r="GL445" s="91">
        <f t="shared" si="2248"/>
        <v>4097750</v>
      </c>
      <c r="GS445" s="98">
        <v>135000</v>
      </c>
      <c r="GT445" s="98">
        <v>2430000</v>
      </c>
      <c r="HA445" s="91">
        <f t="shared" si="2249"/>
        <v>135000</v>
      </c>
      <c r="HB445" s="91">
        <f t="shared" si="2250"/>
        <v>2430000</v>
      </c>
      <c r="HI445" s="98">
        <v>590000</v>
      </c>
      <c r="HJ445" s="98">
        <v>10620000</v>
      </c>
      <c r="HQ445" s="91">
        <f t="shared" si="2251"/>
        <v>590000</v>
      </c>
      <c r="HR445" s="91">
        <f t="shared" si="2252"/>
        <v>10620000</v>
      </c>
      <c r="HY445" s="98">
        <v>141500</v>
      </c>
      <c r="HZ445" s="98">
        <v>2547000</v>
      </c>
      <c r="IG445" s="91">
        <f t="shared" si="2253"/>
        <v>141500</v>
      </c>
      <c r="IH445" s="91">
        <f t="shared" si="2254"/>
        <v>2547000</v>
      </c>
      <c r="IO445" s="98">
        <v>751400</v>
      </c>
      <c r="IP445" s="98">
        <v>13900900</v>
      </c>
      <c r="IW445" s="91">
        <f t="shared" si="2255"/>
        <v>751400</v>
      </c>
      <c r="IX445" s="91">
        <f t="shared" si="2256"/>
        <v>13900900</v>
      </c>
      <c r="JE445" s="98">
        <v>322680</v>
      </c>
      <c r="JF445" s="98">
        <v>5969580</v>
      </c>
      <c r="JM445" s="91">
        <f t="shared" si="2257"/>
        <v>322680</v>
      </c>
      <c r="JN445" s="91">
        <f t="shared" si="2258"/>
        <v>5969580</v>
      </c>
      <c r="JU445" s="98">
        <v>91736</v>
      </c>
      <c r="JV445" s="98">
        <v>2201664</v>
      </c>
      <c r="KC445" s="91">
        <f t="shared" si="2259"/>
        <v>91736</v>
      </c>
      <c r="KD445" s="91">
        <f t="shared" si="2260"/>
        <v>2201664</v>
      </c>
      <c r="KK445" s="98">
        <v>90482</v>
      </c>
      <c r="KL445" s="98">
        <v>1809640</v>
      </c>
      <c r="KS445" s="91">
        <f t="shared" si="2261"/>
        <v>90482</v>
      </c>
      <c r="KT445" s="91">
        <f t="shared" si="2262"/>
        <v>1809640</v>
      </c>
      <c r="LA445" s="98">
        <v>1197465.31</v>
      </c>
      <c r="LB445" s="98">
        <v>21554375</v>
      </c>
      <c r="LI445" s="91">
        <f t="shared" si="2263"/>
        <v>1197465.31</v>
      </c>
      <c r="LJ445" s="91">
        <f t="shared" si="2264"/>
        <v>21554375</v>
      </c>
      <c r="LQ445" s="98">
        <v>147380</v>
      </c>
      <c r="LR445" s="98">
        <v>2800220</v>
      </c>
      <c r="LY445" s="91">
        <f t="shared" si="2265"/>
        <v>147380</v>
      </c>
      <c r="LZ445" s="91">
        <f t="shared" si="2266"/>
        <v>2800220</v>
      </c>
      <c r="MG445" s="98">
        <v>98620</v>
      </c>
      <c r="MH445" s="98">
        <v>1824470</v>
      </c>
      <c r="MO445" s="91">
        <f t="shared" si="2267"/>
        <v>98620</v>
      </c>
      <c r="MP445" s="91">
        <f t="shared" si="2268"/>
        <v>1824470</v>
      </c>
      <c r="MW445" s="98">
        <v>24300</v>
      </c>
      <c r="MX445" s="98">
        <v>558900</v>
      </c>
      <c r="NE445" s="91">
        <f t="shared" si="2269"/>
        <v>24300</v>
      </c>
      <c r="NF445" s="91">
        <f t="shared" si="2270"/>
        <v>558900</v>
      </c>
      <c r="NM445" s="98">
        <v>2420900</v>
      </c>
      <c r="NN445" s="98">
        <v>38734400</v>
      </c>
      <c r="NQ445" s="98">
        <v>680</v>
      </c>
      <c r="NR445" s="98">
        <v>10880</v>
      </c>
      <c r="NU445" s="91">
        <f t="shared" si="2271"/>
        <v>2421580</v>
      </c>
      <c r="NV445" s="91">
        <f t="shared" si="2272"/>
        <v>38745280</v>
      </c>
      <c r="OC445" s="98">
        <v>58886</v>
      </c>
      <c r="OD445" s="98">
        <v>1118834</v>
      </c>
      <c r="OK445" s="91">
        <f t="shared" si="2273"/>
        <v>58886</v>
      </c>
      <c r="OL445" s="91">
        <f t="shared" si="2274"/>
        <v>1118834</v>
      </c>
      <c r="OS445" s="98">
        <v>38524</v>
      </c>
      <c r="OT445" s="98">
        <v>809004</v>
      </c>
      <c r="PA445" s="91">
        <f t="shared" si="2275"/>
        <v>38524</v>
      </c>
      <c r="PB445" s="91">
        <f t="shared" si="2276"/>
        <v>809004</v>
      </c>
      <c r="PI445" s="98">
        <v>258213</v>
      </c>
      <c r="PJ445" s="98">
        <v>4544549</v>
      </c>
      <c r="PQ445" s="91">
        <f t="shared" si="2277"/>
        <v>258213</v>
      </c>
      <c r="PR445" s="91">
        <f t="shared" si="2278"/>
        <v>4544549</v>
      </c>
      <c r="PY445" s="98">
        <v>1096200</v>
      </c>
      <c r="PZ445" s="98">
        <v>20827800</v>
      </c>
      <c r="QC445" s="98">
        <v>301020</v>
      </c>
      <c r="QD445" s="98">
        <v>5418360</v>
      </c>
      <c r="QG445" s="91">
        <f t="shared" si="2279"/>
        <v>1397220</v>
      </c>
      <c r="QH445" s="91">
        <f t="shared" si="2280"/>
        <v>26246160</v>
      </c>
      <c r="QO445" s="98">
        <v>1050000</v>
      </c>
      <c r="QP445" s="98">
        <v>18900000</v>
      </c>
      <c r="QW445" s="91">
        <f t="shared" si="2281"/>
        <v>1050000</v>
      </c>
      <c r="QX445" s="91">
        <f t="shared" si="2282"/>
        <v>18900000</v>
      </c>
      <c r="RE445" s="98">
        <v>2750</v>
      </c>
      <c r="RF445" s="98">
        <f>RE445*20</f>
        <v>55000</v>
      </c>
      <c r="RM445" s="91">
        <f t="shared" si="2283"/>
        <v>2750</v>
      </c>
      <c r="RN445" s="91">
        <f t="shared" si="2284"/>
        <v>55000</v>
      </c>
      <c r="RU445" s="98">
        <v>9210</v>
      </c>
      <c r="RV445" s="98">
        <v>165780</v>
      </c>
      <c r="SC445" s="91">
        <f t="shared" si="2285"/>
        <v>9210</v>
      </c>
      <c r="SD445" s="91">
        <f t="shared" si="2286"/>
        <v>165780</v>
      </c>
      <c r="SK445" s="98">
        <v>15100</v>
      </c>
      <c r="SL445" s="98">
        <v>279350</v>
      </c>
      <c r="SS445" s="91">
        <f t="shared" si="2287"/>
        <v>15100</v>
      </c>
      <c r="ST445" s="91">
        <f t="shared" si="2288"/>
        <v>279350</v>
      </c>
      <c r="TA445" s="98">
        <v>16275</v>
      </c>
      <c r="TB445" s="98">
        <v>297833</v>
      </c>
      <c r="TI445" s="91">
        <f t="shared" si="2289"/>
        <v>16275</v>
      </c>
      <c r="TJ445" s="91">
        <f t="shared" si="2290"/>
        <v>297833</v>
      </c>
      <c r="TQ445" s="98">
        <v>17550</v>
      </c>
      <c r="TR445" s="98">
        <v>333450</v>
      </c>
      <c r="TY445" s="91">
        <f t="shared" si="2291"/>
        <v>17550</v>
      </c>
      <c r="TZ445" s="91">
        <f t="shared" si="2292"/>
        <v>333450</v>
      </c>
      <c r="UG445" s="98">
        <v>18371</v>
      </c>
      <c r="UH445" s="98">
        <v>330678</v>
      </c>
      <c r="UO445" s="91">
        <f t="shared" si="2293"/>
        <v>18371</v>
      </c>
      <c r="UP445" s="91">
        <f t="shared" si="2294"/>
        <v>330678</v>
      </c>
      <c r="UW445" s="98">
        <v>2900</v>
      </c>
      <c r="UX445" s="98">
        <v>55100</v>
      </c>
      <c r="VE445" s="91">
        <f t="shared" si="2295"/>
        <v>2900</v>
      </c>
      <c r="VF445" s="91">
        <f t="shared" si="2296"/>
        <v>55100</v>
      </c>
      <c r="VM445" s="98">
        <v>20571</v>
      </c>
      <c r="VN445" s="98">
        <v>390849</v>
      </c>
      <c r="VU445" s="91">
        <f t="shared" si="2297"/>
        <v>20571</v>
      </c>
      <c r="VV445" s="91">
        <f t="shared" si="2298"/>
        <v>390849</v>
      </c>
      <c r="WC445" s="98">
        <v>227550</v>
      </c>
      <c r="WD445" s="98">
        <v>5461200</v>
      </c>
      <c r="WI445" s="98">
        <v>4300</v>
      </c>
      <c r="WJ445" s="98">
        <v>103200</v>
      </c>
      <c r="WK445" s="91">
        <f t="shared" si="2299"/>
        <v>231850</v>
      </c>
      <c r="WL445" s="91">
        <f t="shared" si="2300"/>
        <v>5564400</v>
      </c>
      <c r="WM445" s="89"/>
      <c r="WN445" s="87">
        <f t="shared" si="2301"/>
        <v>0</v>
      </c>
      <c r="WO445" s="87">
        <f t="shared" si="2302"/>
        <v>0</v>
      </c>
      <c r="WP445" s="87">
        <f t="shared" si="2303"/>
        <v>0</v>
      </c>
      <c r="WQ445" s="87">
        <f t="shared" si="2304"/>
        <v>0</v>
      </c>
      <c r="WR445" s="87">
        <f t="shared" si="2305"/>
        <v>0</v>
      </c>
      <c r="WS445" s="87">
        <f t="shared" si="2306"/>
        <v>0</v>
      </c>
      <c r="WT445" s="87">
        <f t="shared" si="2307"/>
        <v>14161513.07703829</v>
      </c>
      <c r="WU445" s="87">
        <f t="shared" si="2308"/>
        <v>255838348</v>
      </c>
      <c r="WV445" s="87">
        <f t="shared" si="2309"/>
        <v>0</v>
      </c>
      <c r="WW445" s="87">
        <f t="shared" si="2310"/>
        <v>0</v>
      </c>
      <c r="WX445" s="87">
        <f t="shared" si="2311"/>
        <v>305317</v>
      </c>
      <c r="WY445" s="87">
        <f t="shared" si="2312"/>
        <v>5495946</v>
      </c>
      <c r="WZ445" s="87">
        <f t="shared" si="2313"/>
        <v>4980</v>
      </c>
      <c r="XA445" s="87">
        <f t="shared" si="2314"/>
        <v>116800</v>
      </c>
      <c r="XB445" s="92">
        <f t="shared" si="2315"/>
        <v>14471810.07703829</v>
      </c>
      <c r="XC445" s="92">
        <f t="shared" si="2316"/>
        <v>261451094</v>
      </c>
      <c r="XD445" s="89"/>
      <c r="XE445" s="92"/>
      <c r="XF445" s="92"/>
      <c r="XG445" s="89"/>
      <c r="XH445" s="92"/>
      <c r="XI445" s="92"/>
      <c r="XJ445" s="89"/>
      <c r="XK445" s="87"/>
      <c r="XL445" s="87"/>
      <c r="XM445" s="87"/>
      <c r="XN445" s="87"/>
      <c r="XO445" s="87"/>
      <c r="XP445" s="87"/>
      <c r="XQ445" s="87"/>
      <c r="XR445" s="92">
        <f t="shared" ca="1" si="2317"/>
        <v>0</v>
      </c>
      <c r="XS445" s="89"/>
      <c r="XT445" s="87"/>
      <c r="XU445" s="87"/>
      <c r="XV445" s="87"/>
      <c r="XW445" s="87"/>
      <c r="XX445" s="87"/>
      <c r="XY445" s="87"/>
      <c r="XZ445" s="87"/>
      <c r="YA445" s="92">
        <f t="shared" ca="1" si="2318"/>
        <v>0</v>
      </c>
      <c r="YB445" s="90"/>
      <c r="YC445" s="90"/>
      <c r="YD445" s="90"/>
      <c r="YE445" s="90"/>
      <c r="YF445" s="90"/>
      <c r="YG445" s="90"/>
      <c r="YH445" s="90"/>
      <c r="YI445" s="90"/>
      <c r="YJ445" s="90"/>
      <c r="YK445" s="90"/>
      <c r="YL445" s="90"/>
      <c r="YM445" s="90"/>
      <c r="YN445" s="90"/>
      <c r="YO445" s="90"/>
      <c r="YP445" s="90"/>
      <c r="YQ445" s="90"/>
      <c r="YR445" s="90"/>
      <c r="YS445" s="90"/>
      <c r="YT445" s="90"/>
      <c r="YU445" s="90"/>
      <c r="YV445" s="90"/>
      <c r="YW445" s="90"/>
      <c r="YX445" s="90"/>
      <c r="YY445" s="90"/>
      <c r="YZ445" s="90"/>
      <c r="ZA445" s="90"/>
      <c r="ZB445" s="90"/>
      <c r="ZC445" s="90"/>
      <c r="ZD445" s="90"/>
      <c r="ZE445" s="90"/>
      <c r="ZF445" s="90"/>
      <c r="ZG445" s="90"/>
      <c r="ZH445" s="90"/>
      <c r="ZI445" s="90"/>
      <c r="ZJ445" s="90"/>
      <c r="ZK445" s="90"/>
      <c r="ZL445" s="90"/>
      <c r="ZM445" s="90"/>
      <c r="ZN445" s="90"/>
      <c r="ZO445" s="90"/>
      <c r="ZP445" s="90"/>
      <c r="ZQ445" s="90"/>
      <c r="ZR445" s="90"/>
      <c r="ZS445" s="90"/>
      <c r="ZT445" s="90"/>
      <c r="ZU445" s="90"/>
      <c r="ZV445" s="90"/>
      <c r="ZW445" s="90"/>
      <c r="ZX445" s="90"/>
      <c r="ZY445" s="90"/>
      <c r="ZZ445" s="90"/>
      <c r="AAA445" s="90"/>
      <c r="AAB445" s="90"/>
      <c r="AAC445" s="90"/>
      <c r="AAD445" s="90"/>
      <c r="AAE445" s="90"/>
      <c r="AAF445" s="90"/>
      <c r="AAG445" s="90"/>
      <c r="AAH445" s="90"/>
      <c r="AAI445" s="90"/>
      <c r="AAJ445" s="90"/>
      <c r="AAK445" s="90"/>
      <c r="AAL445" s="90"/>
      <c r="AAM445" s="90"/>
      <c r="AAN445" s="90"/>
      <c r="AAO445" s="90"/>
      <c r="AAP445" s="90"/>
      <c r="AAQ445" s="90"/>
      <c r="AAR445" s="90"/>
      <c r="AAS445" s="90"/>
      <c r="AAT445" s="90"/>
      <c r="AAU445" s="90"/>
      <c r="AAV445" s="90"/>
      <c r="AAW445" s="90"/>
      <c r="AAX445" s="90"/>
      <c r="AAY445" s="90"/>
      <c r="AAZ445" s="90"/>
      <c r="ABA445" s="90"/>
      <c r="ABB445" s="90"/>
      <c r="ABC445" s="90"/>
      <c r="ABD445" s="90"/>
      <c r="ABE445" s="90"/>
      <c r="ABF445" s="90"/>
      <c r="ABG445" s="90"/>
      <c r="ABH445" s="90"/>
      <c r="ABI445" s="90"/>
      <c r="ABJ445" s="90"/>
      <c r="ABK445" s="90"/>
      <c r="ABL445" s="90"/>
      <c r="ABM445" s="90"/>
      <c r="ABN445" s="90"/>
      <c r="ABO445" s="90"/>
      <c r="ABP445" s="90"/>
      <c r="ABQ445" s="90"/>
      <c r="ABR445" s="90"/>
      <c r="ABS445" s="90"/>
      <c r="ABT445" s="90"/>
      <c r="ABU445" s="90"/>
      <c r="ABV445" s="90"/>
      <c r="ABW445" s="90"/>
      <c r="ABX445" s="90"/>
      <c r="ABY445" s="90"/>
      <c r="ABZ445" s="90"/>
      <c r="ACA445" s="90"/>
      <c r="ACB445" s="90"/>
      <c r="ACC445" s="90"/>
      <c r="ACD445" s="90"/>
      <c r="ACE445" s="90"/>
      <c r="ACF445" s="90"/>
      <c r="ACG445" s="90"/>
      <c r="ACH445" s="90"/>
      <c r="ACI445" s="90"/>
      <c r="ACJ445" s="90"/>
      <c r="ACK445" s="90"/>
      <c r="ACL445" s="90"/>
      <c r="ACM445" s="90"/>
      <c r="ACN445" s="90"/>
      <c r="ACO445" s="90"/>
      <c r="ACP445" s="90"/>
      <c r="ACQ445" s="90"/>
      <c r="ACR445" s="90"/>
      <c r="ACS445" s="90"/>
      <c r="ACT445" s="90"/>
      <c r="ACU445" s="90"/>
      <c r="ACV445" s="90"/>
      <c r="ACW445" s="90"/>
      <c r="ACX445" s="90"/>
      <c r="ACY445" s="90"/>
      <c r="ACZ445" s="90"/>
      <c r="ADA445" s="90"/>
      <c r="ADB445" s="90"/>
      <c r="ADC445" s="90"/>
      <c r="ADD445" s="90"/>
      <c r="ADE445" s="90"/>
      <c r="ADF445" s="90"/>
      <c r="ADG445" s="90"/>
      <c r="ADH445" s="90"/>
      <c r="ADI445" s="90"/>
      <c r="ADJ445" s="90"/>
      <c r="ADK445" s="90"/>
      <c r="ADL445" s="90"/>
      <c r="ADM445" s="90"/>
      <c r="ADN445" s="90"/>
      <c r="ADO445" s="90"/>
      <c r="ADP445" s="90"/>
      <c r="ADQ445" s="90"/>
      <c r="ADR445" s="90"/>
      <c r="ADS445" s="90"/>
      <c r="ADT445" s="90"/>
      <c r="ADU445" s="90"/>
      <c r="ADV445" s="90"/>
      <c r="ADW445" s="90"/>
      <c r="ADX445" s="90"/>
      <c r="ADY445" s="90"/>
      <c r="ADZ445" s="90"/>
      <c r="AEA445" s="90"/>
      <c r="AEB445" s="90"/>
      <c r="AEC445" s="90"/>
      <c r="AED445" s="90"/>
      <c r="AEE445" s="90"/>
      <c r="AEF445" s="90"/>
      <c r="AEG445" s="90"/>
      <c r="AEH445" s="90"/>
      <c r="AEI445" s="90"/>
      <c r="AEJ445" s="90"/>
      <c r="AEK445" s="90"/>
      <c r="AEL445" s="90"/>
      <c r="AEM445" s="90"/>
      <c r="AEN445" s="90"/>
      <c r="AEO445" s="90"/>
      <c r="AEP445" s="90"/>
      <c r="AEQ445" s="90"/>
      <c r="AER445" s="90"/>
      <c r="AES445" s="90"/>
      <c r="AET445" s="90"/>
      <c r="AEU445" s="90"/>
      <c r="AEV445" s="90"/>
      <c r="AEW445" s="90"/>
      <c r="AEX445" s="90"/>
      <c r="AEY445" s="90"/>
      <c r="AEZ445" s="90"/>
      <c r="AFA445" s="90"/>
      <c r="AFB445" s="90"/>
      <c r="AFC445" s="90"/>
      <c r="AFD445" s="90"/>
      <c r="AFE445" s="90"/>
      <c r="AFF445" s="90"/>
      <c r="AFG445" s="90"/>
      <c r="AFH445" s="90"/>
      <c r="AFI445" s="90"/>
      <c r="AFJ445" s="90"/>
      <c r="AFK445" s="90"/>
      <c r="AFL445" s="90"/>
      <c r="AFM445" s="90"/>
      <c r="AFN445" s="90"/>
      <c r="AFO445" s="90"/>
      <c r="AFP445" s="90"/>
      <c r="AFQ445" s="90"/>
      <c r="AFR445" s="90"/>
      <c r="AFS445" s="90"/>
      <c r="AFT445" s="90"/>
      <c r="AFU445" s="90"/>
      <c r="AFV445" s="90"/>
      <c r="AFW445" s="90"/>
      <c r="AFX445" s="90"/>
      <c r="AFY445" s="90"/>
      <c r="AFZ445" s="90"/>
      <c r="AGA445" s="90"/>
      <c r="AGB445" s="90"/>
      <c r="AGC445" s="90"/>
      <c r="AGD445" s="90"/>
      <c r="AGE445" s="90"/>
      <c r="AGF445" s="90"/>
      <c r="AGG445" s="90"/>
      <c r="AGH445" s="90"/>
      <c r="AGI445" s="90"/>
      <c r="AGJ445" s="90"/>
      <c r="AGK445" s="90"/>
      <c r="AGL445" s="90"/>
      <c r="AGM445" s="90"/>
      <c r="AGN445" s="90"/>
      <c r="AGO445" s="90"/>
      <c r="AGP445" s="90"/>
      <c r="AGQ445" s="90"/>
      <c r="AGR445" s="90"/>
      <c r="AGS445" s="90"/>
      <c r="AGT445" s="90"/>
      <c r="AGU445" s="90"/>
      <c r="AGV445" s="90"/>
      <c r="AGW445" s="90"/>
      <c r="AGX445" s="90"/>
      <c r="AGY445" s="90"/>
      <c r="AGZ445" s="90"/>
      <c r="AHA445" s="90"/>
      <c r="AHB445" s="90"/>
      <c r="AHC445" s="90"/>
      <c r="AHD445" s="90"/>
      <c r="AHE445" s="90"/>
      <c r="AHF445" s="90"/>
      <c r="AHG445" s="90"/>
      <c r="AHH445" s="90"/>
      <c r="AHI445" s="90"/>
      <c r="AHJ445" s="90"/>
      <c r="AHK445" s="90"/>
      <c r="AHL445" s="90"/>
      <c r="AHM445" s="90"/>
      <c r="AHN445" s="90"/>
      <c r="AHO445" s="90"/>
      <c r="AHP445" s="90"/>
      <c r="AHQ445" s="90"/>
      <c r="AHR445" s="90"/>
      <c r="AHS445" s="90"/>
      <c r="AHT445" s="90"/>
      <c r="AHU445" s="90"/>
      <c r="AHV445" s="90"/>
      <c r="AHW445" s="90"/>
      <c r="AHX445" s="90"/>
      <c r="AHY445" s="90"/>
      <c r="AHZ445" s="90"/>
      <c r="AIA445" s="90"/>
      <c r="AIB445" s="90"/>
      <c r="AIC445" s="90"/>
      <c r="AID445" s="90"/>
      <c r="AIE445" s="90"/>
      <c r="AIF445" s="90"/>
      <c r="AIG445" s="90"/>
      <c r="AIH445" s="90"/>
      <c r="AII445" s="90"/>
      <c r="AIJ445" s="90"/>
      <c r="AIK445" s="90"/>
      <c r="AIL445" s="90"/>
      <c r="AIM445" s="90"/>
      <c r="AIN445" s="90"/>
      <c r="AIO445" s="90"/>
      <c r="AIP445" s="90"/>
      <c r="AIQ445" s="90"/>
      <c r="AIR445" s="90"/>
      <c r="AIS445" s="90"/>
      <c r="AIT445" s="90"/>
      <c r="AIU445" s="90"/>
      <c r="AIV445" s="90"/>
      <c r="AIW445" s="90"/>
      <c r="AIX445" s="90"/>
      <c r="AIY445" s="90"/>
      <c r="AIZ445" s="90"/>
      <c r="AJA445" s="90"/>
      <c r="AJB445" s="90"/>
      <c r="AJC445" s="90"/>
      <c r="AJD445" s="90"/>
      <c r="AJE445" s="90"/>
      <c r="AJF445" s="90"/>
      <c r="AJG445" s="90"/>
      <c r="AJH445" s="90"/>
      <c r="AJI445" s="90"/>
      <c r="AJJ445" s="90"/>
      <c r="AJK445" s="90"/>
      <c r="AJL445" s="90"/>
      <c r="AJM445" s="90"/>
      <c r="AJN445" s="90"/>
      <c r="AJO445" s="90"/>
      <c r="AJP445" s="90"/>
      <c r="AJQ445" s="90"/>
      <c r="AJR445" s="90"/>
      <c r="AJS445" s="90"/>
      <c r="AJT445" s="90"/>
      <c r="AJU445" s="90"/>
      <c r="AJV445" s="90"/>
      <c r="AJW445" s="90"/>
      <c r="AJX445" s="90"/>
      <c r="AJY445" s="90"/>
      <c r="AJZ445" s="90"/>
      <c r="AKA445" s="90"/>
      <c r="AKB445" s="90"/>
      <c r="AKC445" s="90"/>
      <c r="AKD445" s="90"/>
      <c r="AKE445" s="90"/>
      <c r="AKF445" s="90"/>
      <c r="AKG445" s="90"/>
      <c r="AKH445" s="90"/>
      <c r="AKI445" s="90"/>
      <c r="AKJ445" s="90"/>
      <c r="AKK445" s="90"/>
      <c r="AKL445" s="90"/>
      <c r="AKM445" s="90"/>
      <c r="AKN445" s="90"/>
      <c r="AKO445" s="90"/>
      <c r="AKP445" s="90"/>
      <c r="AKQ445" s="90"/>
      <c r="AKR445" s="90"/>
      <c r="AKS445" s="90"/>
      <c r="AKT445" s="90"/>
      <c r="AKU445" s="90"/>
      <c r="AKV445" s="90"/>
      <c r="AKW445" s="90"/>
      <c r="AKX445" s="90"/>
      <c r="AKY445" s="90"/>
      <c r="AKZ445" s="90"/>
      <c r="ALA445" s="90"/>
      <c r="ALB445" s="90"/>
      <c r="ALC445" s="90"/>
      <c r="ALD445" s="90"/>
      <c r="ALE445" s="90"/>
      <c r="ALF445" s="90"/>
      <c r="ALG445" s="90"/>
      <c r="ALH445" s="90"/>
      <c r="ALI445" s="90"/>
      <c r="ALJ445" s="90"/>
      <c r="ALK445" s="90"/>
      <c r="ALL445" s="90"/>
      <c r="ALM445" s="90"/>
      <c r="ALN445" s="90"/>
      <c r="ALO445" s="90"/>
      <c r="ALP445" s="90"/>
      <c r="ALQ445" s="90"/>
      <c r="ALR445" s="90"/>
      <c r="ALS445" s="90"/>
      <c r="ALT445" s="90"/>
      <c r="ALU445" s="90"/>
      <c r="ALV445" s="90"/>
      <c r="ALW445" s="90"/>
      <c r="ALX445" s="90"/>
      <c r="ALY445" s="90"/>
      <c r="ALZ445" s="90"/>
      <c r="AMA445" s="90"/>
      <c r="AMB445" s="90"/>
      <c r="AMC445" s="90"/>
    </row>
    <row r="446" spans="1:1017">
      <c r="A446" s="98" t="s">
        <v>56</v>
      </c>
      <c r="B446" s="90" t="str">
        <f t="shared" si="2224"/>
        <v xml:space="preserve">Lobster Air Laut </v>
      </c>
      <c r="J446" s="611"/>
      <c r="Q446" s="91">
        <f t="shared" si="2225"/>
        <v>0</v>
      </c>
      <c r="R446" s="91">
        <f t="shared" si="2226"/>
        <v>0</v>
      </c>
      <c r="S446" s="98">
        <v>900</v>
      </c>
      <c r="T446" s="98">
        <v>315000</v>
      </c>
      <c r="Z446" s="611"/>
      <c r="AG446" s="91">
        <f t="shared" si="2227"/>
        <v>900</v>
      </c>
      <c r="AH446" s="91">
        <f t="shared" si="2228"/>
        <v>315000</v>
      </c>
      <c r="AP446" s="611"/>
      <c r="AW446" s="91">
        <f t="shared" si="2229"/>
        <v>0</v>
      </c>
      <c r="AX446" s="91">
        <f t="shared" si="2230"/>
        <v>0</v>
      </c>
      <c r="BF446" s="611"/>
      <c r="BM446" s="91">
        <f t="shared" si="2231"/>
        <v>0</v>
      </c>
      <c r="BN446" s="91">
        <f t="shared" si="2232"/>
        <v>0</v>
      </c>
      <c r="BV446" s="611"/>
      <c r="CC446" s="91">
        <f t="shared" si="2233"/>
        <v>0</v>
      </c>
      <c r="CD446" s="91">
        <f t="shared" si="2234"/>
        <v>0</v>
      </c>
      <c r="CL446" s="611"/>
      <c r="CS446" s="91">
        <f t="shared" si="2235"/>
        <v>0</v>
      </c>
      <c r="CT446" s="91">
        <f t="shared" si="2236"/>
        <v>0</v>
      </c>
      <c r="DB446" s="611"/>
      <c r="DI446" s="91">
        <f t="shared" si="2237"/>
        <v>0</v>
      </c>
      <c r="DJ446" s="91">
        <f t="shared" si="2238"/>
        <v>0</v>
      </c>
      <c r="DR446" s="611"/>
      <c r="DY446" s="91">
        <f t="shared" si="2239"/>
        <v>0</v>
      </c>
      <c r="DZ446" s="91">
        <f t="shared" si="2240"/>
        <v>0</v>
      </c>
      <c r="EH446" s="611"/>
      <c r="EO446" s="91">
        <f t="shared" si="2241"/>
        <v>0</v>
      </c>
      <c r="EP446" s="91">
        <f t="shared" si="2242"/>
        <v>0</v>
      </c>
      <c r="EX446" s="611"/>
      <c r="FE446" s="91">
        <f t="shared" si="2243"/>
        <v>0</v>
      </c>
      <c r="FF446" s="91">
        <f t="shared" si="2244"/>
        <v>0</v>
      </c>
      <c r="FN446" s="611"/>
      <c r="FU446" s="91">
        <f t="shared" si="2245"/>
        <v>0</v>
      </c>
      <c r="FV446" s="91">
        <f t="shared" si="2246"/>
        <v>0</v>
      </c>
      <c r="GD446" s="611"/>
      <c r="GK446" s="91">
        <f t="shared" si="2247"/>
        <v>0</v>
      </c>
      <c r="GL446" s="91">
        <f t="shared" si="2248"/>
        <v>0</v>
      </c>
      <c r="GT446" s="611"/>
      <c r="HA446" s="91">
        <f t="shared" si="2249"/>
        <v>0</v>
      </c>
      <c r="HB446" s="91">
        <f t="shared" si="2250"/>
        <v>0</v>
      </c>
      <c r="HJ446" s="611"/>
      <c r="HQ446" s="91">
        <f t="shared" si="2251"/>
        <v>0</v>
      </c>
      <c r="HR446" s="91">
        <f t="shared" si="2252"/>
        <v>0</v>
      </c>
      <c r="HZ446" s="611"/>
      <c r="IG446" s="91">
        <f t="shared" si="2253"/>
        <v>0</v>
      </c>
      <c r="IH446" s="91">
        <f t="shared" si="2254"/>
        <v>0</v>
      </c>
      <c r="IP446" s="611"/>
      <c r="IW446" s="91">
        <f t="shared" si="2255"/>
        <v>0</v>
      </c>
      <c r="IX446" s="91">
        <f t="shared" si="2256"/>
        <v>0</v>
      </c>
      <c r="JM446" s="91">
        <f t="shared" si="2257"/>
        <v>0</v>
      </c>
      <c r="JN446" s="91">
        <f t="shared" si="2258"/>
        <v>0</v>
      </c>
      <c r="JV446" s="611"/>
      <c r="KC446" s="91">
        <f t="shared" si="2259"/>
        <v>0</v>
      </c>
      <c r="KD446" s="91">
        <f t="shared" si="2260"/>
        <v>0</v>
      </c>
      <c r="KL446" s="611"/>
      <c r="KS446" s="91">
        <f t="shared" si="2261"/>
        <v>0</v>
      </c>
      <c r="KT446" s="91">
        <f t="shared" si="2262"/>
        <v>0</v>
      </c>
      <c r="LB446" s="611"/>
      <c r="LI446" s="91">
        <f t="shared" si="2263"/>
        <v>0</v>
      </c>
      <c r="LJ446" s="91">
        <f t="shared" si="2264"/>
        <v>0</v>
      </c>
      <c r="LR446" s="611"/>
      <c r="LY446" s="91">
        <f t="shared" si="2265"/>
        <v>0</v>
      </c>
      <c r="LZ446" s="91">
        <f t="shared" si="2266"/>
        <v>0</v>
      </c>
      <c r="MH446" s="611"/>
      <c r="MO446" s="91">
        <f t="shared" si="2267"/>
        <v>0</v>
      </c>
      <c r="MP446" s="91">
        <f t="shared" si="2268"/>
        <v>0</v>
      </c>
      <c r="MX446" s="611"/>
      <c r="NE446" s="91">
        <f t="shared" si="2269"/>
        <v>0</v>
      </c>
      <c r="NF446" s="91">
        <f t="shared" si="2270"/>
        <v>0</v>
      </c>
      <c r="NN446" s="611"/>
      <c r="NU446" s="91">
        <f t="shared" si="2271"/>
        <v>0</v>
      </c>
      <c r="NV446" s="91">
        <f t="shared" si="2272"/>
        <v>0</v>
      </c>
      <c r="NW446" s="98">
        <v>180</v>
      </c>
      <c r="NX446" s="98">
        <v>63000</v>
      </c>
      <c r="OD446" s="611"/>
      <c r="OK446" s="91">
        <f t="shared" si="2273"/>
        <v>180</v>
      </c>
      <c r="OL446" s="91">
        <f t="shared" si="2274"/>
        <v>63000</v>
      </c>
      <c r="OT446" s="611"/>
      <c r="PA446" s="91">
        <f t="shared" si="2275"/>
        <v>0</v>
      </c>
      <c r="PB446" s="91">
        <f t="shared" si="2276"/>
        <v>0</v>
      </c>
      <c r="PJ446" s="611"/>
      <c r="PQ446" s="91">
        <f t="shared" si="2277"/>
        <v>0</v>
      </c>
      <c r="PR446" s="91">
        <f t="shared" si="2278"/>
        <v>0</v>
      </c>
      <c r="PZ446" s="611"/>
      <c r="QG446" s="91">
        <f t="shared" si="2279"/>
        <v>0</v>
      </c>
      <c r="QH446" s="91">
        <f t="shared" si="2280"/>
        <v>0</v>
      </c>
      <c r="QP446" s="611"/>
      <c r="QW446" s="91">
        <f t="shared" si="2281"/>
        <v>0</v>
      </c>
      <c r="QX446" s="91">
        <f t="shared" si="2282"/>
        <v>0</v>
      </c>
      <c r="RF446" s="611"/>
      <c r="RM446" s="91">
        <f t="shared" si="2283"/>
        <v>0</v>
      </c>
      <c r="RN446" s="91">
        <f t="shared" si="2284"/>
        <v>0</v>
      </c>
      <c r="RV446" s="611"/>
      <c r="SC446" s="91">
        <f t="shared" si="2285"/>
        <v>0</v>
      </c>
      <c r="SD446" s="91">
        <f t="shared" si="2286"/>
        <v>0</v>
      </c>
      <c r="SL446" s="611"/>
      <c r="SS446" s="91">
        <f t="shared" si="2287"/>
        <v>0</v>
      </c>
      <c r="ST446" s="91">
        <f t="shared" si="2288"/>
        <v>0</v>
      </c>
      <c r="TB446" s="611"/>
      <c r="TI446" s="91">
        <f t="shared" si="2289"/>
        <v>0</v>
      </c>
      <c r="TJ446" s="91">
        <f t="shared" si="2290"/>
        <v>0</v>
      </c>
      <c r="TR446" s="611"/>
      <c r="TY446" s="91">
        <f t="shared" si="2291"/>
        <v>0</v>
      </c>
      <c r="TZ446" s="91">
        <f t="shared" si="2292"/>
        <v>0</v>
      </c>
      <c r="UH446" s="611"/>
      <c r="UO446" s="91">
        <f t="shared" si="2293"/>
        <v>0</v>
      </c>
      <c r="UP446" s="91">
        <f t="shared" si="2294"/>
        <v>0</v>
      </c>
      <c r="UX446" s="611"/>
      <c r="VE446" s="91">
        <f t="shared" si="2295"/>
        <v>0</v>
      </c>
      <c r="VF446" s="91">
        <f t="shared" si="2296"/>
        <v>0</v>
      </c>
      <c r="VU446" s="91">
        <f t="shared" si="2297"/>
        <v>0</v>
      </c>
      <c r="VV446" s="91">
        <f t="shared" si="2298"/>
        <v>0</v>
      </c>
      <c r="WD446" s="611"/>
      <c r="WK446" s="91">
        <f t="shared" si="2299"/>
        <v>0</v>
      </c>
      <c r="WL446" s="91">
        <f t="shared" si="2300"/>
        <v>0</v>
      </c>
      <c r="WM446" s="89"/>
      <c r="WN446" s="87">
        <f t="shared" si="2301"/>
        <v>1080</v>
      </c>
      <c r="WO446" s="87">
        <f t="shared" si="2302"/>
        <v>378000</v>
      </c>
      <c r="WP446" s="87">
        <f t="shared" si="2303"/>
        <v>0</v>
      </c>
      <c r="WQ446" s="87">
        <f t="shared" si="2304"/>
        <v>0</v>
      </c>
      <c r="WR446" s="87">
        <f t="shared" si="2305"/>
        <v>0</v>
      </c>
      <c r="WS446" s="87">
        <f t="shared" si="2306"/>
        <v>0</v>
      </c>
      <c r="WT446" s="87">
        <f t="shared" si="2307"/>
        <v>0</v>
      </c>
      <c r="WU446" s="87">
        <f t="shared" si="2308"/>
        <v>0</v>
      </c>
      <c r="WV446" s="87">
        <f t="shared" si="2309"/>
        <v>0</v>
      </c>
      <c r="WW446" s="87">
        <f t="shared" si="2310"/>
        <v>0</v>
      </c>
      <c r="WX446" s="87">
        <f t="shared" si="2311"/>
        <v>0</v>
      </c>
      <c r="WY446" s="87">
        <f t="shared" si="2312"/>
        <v>0</v>
      </c>
      <c r="WZ446" s="87">
        <f t="shared" si="2313"/>
        <v>0</v>
      </c>
      <c r="XA446" s="87">
        <f t="shared" si="2314"/>
        <v>0</v>
      </c>
      <c r="XB446" s="92">
        <f t="shared" si="2315"/>
        <v>1080</v>
      </c>
      <c r="XC446" s="92">
        <f t="shared" si="2316"/>
        <v>378000</v>
      </c>
      <c r="XD446" s="89"/>
      <c r="XE446" s="92"/>
      <c r="XF446" s="92"/>
      <c r="XG446" s="89"/>
      <c r="XH446" s="92"/>
      <c r="XI446" s="92"/>
      <c r="XJ446" s="89"/>
      <c r="XK446" s="87"/>
      <c r="XL446" s="87"/>
      <c r="XM446" s="87"/>
      <c r="XN446" s="87"/>
      <c r="XO446" s="87"/>
      <c r="XP446" s="87"/>
      <c r="XQ446" s="87"/>
      <c r="XR446" s="92">
        <f t="shared" ca="1" si="2317"/>
        <v>0</v>
      </c>
      <c r="XS446" s="89"/>
      <c r="XT446" s="87"/>
      <c r="XU446" s="87"/>
      <c r="XV446" s="87"/>
      <c r="XW446" s="87"/>
      <c r="XX446" s="87"/>
      <c r="XY446" s="87"/>
      <c r="XZ446" s="87"/>
      <c r="YA446" s="92">
        <f t="shared" ca="1" si="2318"/>
        <v>0</v>
      </c>
      <c r="YB446" s="90"/>
      <c r="YC446" s="90"/>
      <c r="YD446" s="90"/>
      <c r="YE446" s="90"/>
      <c r="YF446" s="90"/>
      <c r="YG446" s="90"/>
      <c r="YH446" s="90"/>
      <c r="YI446" s="90"/>
      <c r="YJ446" s="90"/>
      <c r="YK446" s="90"/>
      <c r="YL446" s="90"/>
      <c r="YM446" s="90"/>
      <c r="YN446" s="90"/>
      <c r="YO446" s="90"/>
      <c r="YP446" s="90"/>
      <c r="YQ446" s="90"/>
      <c r="YR446" s="90"/>
      <c r="YS446" s="90"/>
      <c r="YT446" s="90"/>
      <c r="YU446" s="90"/>
      <c r="YV446" s="90"/>
      <c r="YW446" s="90"/>
      <c r="YX446" s="90"/>
      <c r="YY446" s="90"/>
      <c r="YZ446" s="90"/>
      <c r="ZA446" s="90"/>
      <c r="ZB446" s="90"/>
      <c r="ZC446" s="90"/>
      <c r="ZD446" s="90"/>
      <c r="ZE446" s="90"/>
      <c r="ZF446" s="90"/>
      <c r="ZG446" s="90"/>
      <c r="ZH446" s="90"/>
      <c r="ZI446" s="90"/>
      <c r="ZJ446" s="90"/>
      <c r="ZK446" s="90"/>
      <c r="ZL446" s="90"/>
      <c r="ZM446" s="90"/>
      <c r="ZN446" s="90"/>
      <c r="ZO446" s="90"/>
      <c r="ZP446" s="90"/>
      <c r="ZQ446" s="90"/>
      <c r="ZR446" s="90"/>
      <c r="ZS446" s="90"/>
      <c r="ZT446" s="90"/>
      <c r="ZU446" s="90"/>
      <c r="ZV446" s="90"/>
      <c r="ZW446" s="90"/>
      <c r="ZX446" s="90"/>
      <c r="ZY446" s="90"/>
      <c r="ZZ446" s="90"/>
      <c r="AAA446" s="90"/>
      <c r="AAB446" s="90"/>
      <c r="AAC446" s="90"/>
      <c r="AAD446" s="90"/>
      <c r="AAE446" s="90"/>
      <c r="AAF446" s="90"/>
      <c r="AAG446" s="90"/>
      <c r="AAH446" s="90"/>
      <c r="AAI446" s="90"/>
      <c r="AAJ446" s="90"/>
      <c r="AAK446" s="90"/>
      <c r="AAL446" s="90"/>
      <c r="AAM446" s="90"/>
      <c r="AAN446" s="90"/>
      <c r="AAO446" s="90"/>
      <c r="AAP446" s="90"/>
      <c r="AAQ446" s="90"/>
      <c r="AAR446" s="90"/>
      <c r="AAS446" s="90"/>
      <c r="AAT446" s="90"/>
      <c r="AAU446" s="90"/>
      <c r="AAV446" s="90"/>
      <c r="AAW446" s="90"/>
      <c r="AAX446" s="90"/>
      <c r="AAY446" s="90"/>
      <c r="AAZ446" s="90"/>
      <c r="ABA446" s="90"/>
      <c r="ABB446" s="90"/>
      <c r="ABC446" s="90"/>
      <c r="ABD446" s="90"/>
      <c r="ABE446" s="90"/>
      <c r="ABF446" s="90"/>
      <c r="ABG446" s="90"/>
      <c r="ABH446" s="90"/>
      <c r="ABI446" s="90"/>
      <c r="ABJ446" s="90"/>
      <c r="ABK446" s="90"/>
      <c r="ABL446" s="90"/>
      <c r="ABM446" s="90"/>
      <c r="ABN446" s="90"/>
      <c r="ABO446" s="90"/>
      <c r="ABP446" s="90"/>
      <c r="ABQ446" s="90"/>
      <c r="ABR446" s="90"/>
      <c r="ABS446" s="90"/>
      <c r="ABT446" s="90"/>
      <c r="ABU446" s="90"/>
      <c r="ABV446" s="90"/>
      <c r="ABW446" s="90"/>
      <c r="ABX446" s="90"/>
      <c r="ABY446" s="90"/>
      <c r="ABZ446" s="90"/>
      <c r="ACA446" s="90"/>
      <c r="ACB446" s="90"/>
      <c r="ACC446" s="90"/>
      <c r="ACD446" s="90"/>
      <c r="ACE446" s="90"/>
      <c r="ACF446" s="90"/>
      <c r="ACG446" s="90"/>
      <c r="ACH446" s="90"/>
      <c r="ACI446" s="90"/>
      <c r="ACJ446" s="90"/>
      <c r="ACK446" s="90"/>
      <c r="ACL446" s="90"/>
      <c r="ACM446" s="90"/>
      <c r="ACN446" s="90"/>
      <c r="ACO446" s="90"/>
      <c r="ACP446" s="90"/>
      <c r="ACQ446" s="90"/>
      <c r="ACR446" s="90"/>
      <c r="ACS446" s="90"/>
      <c r="ACT446" s="90"/>
      <c r="ACU446" s="90"/>
      <c r="ACV446" s="90"/>
      <c r="ACW446" s="90"/>
      <c r="ACX446" s="90"/>
      <c r="ACY446" s="90"/>
      <c r="ACZ446" s="90"/>
      <c r="ADA446" s="90"/>
      <c r="ADB446" s="90"/>
      <c r="ADC446" s="90"/>
      <c r="ADD446" s="90"/>
      <c r="ADE446" s="90"/>
      <c r="ADF446" s="90"/>
      <c r="ADG446" s="90"/>
      <c r="ADH446" s="90"/>
      <c r="ADI446" s="90"/>
      <c r="ADJ446" s="90"/>
      <c r="ADK446" s="90"/>
      <c r="ADL446" s="90"/>
      <c r="ADM446" s="90"/>
      <c r="ADN446" s="90"/>
      <c r="ADO446" s="90"/>
      <c r="ADP446" s="90"/>
      <c r="ADQ446" s="90"/>
      <c r="ADR446" s="90"/>
      <c r="ADS446" s="90"/>
      <c r="ADT446" s="90"/>
      <c r="ADU446" s="90"/>
      <c r="ADV446" s="90"/>
      <c r="ADW446" s="90"/>
      <c r="ADX446" s="90"/>
      <c r="ADY446" s="90"/>
      <c r="ADZ446" s="90"/>
      <c r="AEA446" s="90"/>
      <c r="AEB446" s="90"/>
      <c r="AEC446" s="90"/>
      <c r="AED446" s="90"/>
      <c r="AEE446" s="90"/>
      <c r="AEF446" s="90"/>
      <c r="AEG446" s="90"/>
      <c r="AEH446" s="90"/>
      <c r="AEI446" s="90"/>
      <c r="AEJ446" s="90"/>
      <c r="AEK446" s="90"/>
      <c r="AEL446" s="90"/>
      <c r="AEM446" s="90"/>
      <c r="AEN446" s="90"/>
      <c r="AEO446" s="90"/>
      <c r="AEP446" s="90"/>
      <c r="AEQ446" s="90"/>
      <c r="AER446" s="90"/>
      <c r="AES446" s="90"/>
      <c r="AET446" s="90"/>
      <c r="AEU446" s="90"/>
      <c r="AEV446" s="90"/>
      <c r="AEW446" s="90"/>
      <c r="AEX446" s="90"/>
      <c r="AEY446" s="90"/>
      <c r="AEZ446" s="90"/>
      <c r="AFA446" s="90"/>
      <c r="AFB446" s="90"/>
      <c r="AFC446" s="90"/>
      <c r="AFD446" s="90"/>
      <c r="AFE446" s="90"/>
      <c r="AFF446" s="90"/>
      <c r="AFG446" s="90"/>
      <c r="AFH446" s="90"/>
      <c r="AFI446" s="90"/>
      <c r="AFJ446" s="90"/>
      <c r="AFK446" s="90"/>
      <c r="AFL446" s="90"/>
      <c r="AFM446" s="90"/>
      <c r="AFN446" s="90"/>
      <c r="AFO446" s="90"/>
      <c r="AFP446" s="90"/>
      <c r="AFQ446" s="90"/>
      <c r="AFR446" s="90"/>
      <c r="AFS446" s="90"/>
      <c r="AFT446" s="90"/>
      <c r="AFU446" s="90"/>
      <c r="AFV446" s="90"/>
      <c r="AFW446" s="90"/>
      <c r="AFX446" s="90"/>
      <c r="AFY446" s="90"/>
      <c r="AFZ446" s="90"/>
      <c r="AGA446" s="90"/>
      <c r="AGB446" s="90"/>
      <c r="AGC446" s="90"/>
      <c r="AGD446" s="90"/>
      <c r="AGE446" s="90"/>
      <c r="AGF446" s="90"/>
      <c r="AGG446" s="90"/>
      <c r="AGH446" s="90"/>
      <c r="AGI446" s="90"/>
      <c r="AGJ446" s="90"/>
      <c r="AGK446" s="90"/>
      <c r="AGL446" s="90"/>
      <c r="AGM446" s="90"/>
      <c r="AGN446" s="90"/>
      <c r="AGO446" s="90"/>
      <c r="AGP446" s="90"/>
      <c r="AGQ446" s="90"/>
      <c r="AGR446" s="90"/>
      <c r="AGS446" s="90"/>
      <c r="AGT446" s="90"/>
      <c r="AGU446" s="90"/>
      <c r="AGV446" s="90"/>
      <c r="AGW446" s="90"/>
      <c r="AGX446" s="90"/>
      <c r="AGY446" s="90"/>
      <c r="AGZ446" s="90"/>
      <c r="AHA446" s="90"/>
      <c r="AHB446" s="90"/>
      <c r="AHC446" s="90"/>
      <c r="AHD446" s="90"/>
      <c r="AHE446" s="90"/>
      <c r="AHF446" s="90"/>
      <c r="AHG446" s="90"/>
      <c r="AHH446" s="90"/>
      <c r="AHI446" s="90"/>
      <c r="AHJ446" s="90"/>
      <c r="AHK446" s="90"/>
      <c r="AHL446" s="90"/>
      <c r="AHM446" s="90"/>
      <c r="AHN446" s="90"/>
      <c r="AHO446" s="90"/>
      <c r="AHP446" s="90"/>
      <c r="AHQ446" s="90"/>
      <c r="AHR446" s="90"/>
      <c r="AHS446" s="90"/>
      <c r="AHT446" s="90"/>
      <c r="AHU446" s="90"/>
      <c r="AHV446" s="90"/>
      <c r="AHW446" s="90"/>
      <c r="AHX446" s="90"/>
      <c r="AHY446" s="90"/>
      <c r="AHZ446" s="90"/>
      <c r="AIA446" s="90"/>
      <c r="AIB446" s="90"/>
      <c r="AIC446" s="90"/>
      <c r="AID446" s="90"/>
      <c r="AIE446" s="90"/>
      <c r="AIF446" s="90"/>
      <c r="AIG446" s="90"/>
      <c r="AIH446" s="90"/>
      <c r="AII446" s="90"/>
      <c r="AIJ446" s="90"/>
      <c r="AIK446" s="90"/>
      <c r="AIL446" s="90"/>
      <c r="AIM446" s="90"/>
      <c r="AIN446" s="90"/>
      <c r="AIO446" s="90"/>
      <c r="AIP446" s="90"/>
      <c r="AIQ446" s="90"/>
      <c r="AIR446" s="90"/>
      <c r="AIS446" s="90"/>
      <c r="AIT446" s="90"/>
      <c r="AIU446" s="90"/>
      <c r="AIV446" s="90"/>
      <c r="AIW446" s="90"/>
      <c r="AIX446" s="90"/>
      <c r="AIY446" s="90"/>
      <c r="AIZ446" s="90"/>
      <c r="AJA446" s="90"/>
      <c r="AJB446" s="90"/>
      <c r="AJC446" s="90"/>
      <c r="AJD446" s="90"/>
      <c r="AJE446" s="90"/>
      <c r="AJF446" s="90"/>
      <c r="AJG446" s="90"/>
      <c r="AJH446" s="90"/>
      <c r="AJI446" s="90"/>
      <c r="AJJ446" s="90"/>
      <c r="AJK446" s="90"/>
      <c r="AJL446" s="90"/>
      <c r="AJM446" s="90"/>
      <c r="AJN446" s="90"/>
      <c r="AJO446" s="90"/>
      <c r="AJP446" s="90"/>
      <c r="AJQ446" s="90"/>
      <c r="AJR446" s="90"/>
      <c r="AJS446" s="90"/>
      <c r="AJT446" s="90"/>
      <c r="AJU446" s="90"/>
      <c r="AJV446" s="90"/>
      <c r="AJW446" s="90"/>
      <c r="AJX446" s="90"/>
      <c r="AJY446" s="90"/>
      <c r="AJZ446" s="90"/>
      <c r="AKA446" s="90"/>
      <c r="AKB446" s="90"/>
      <c r="AKC446" s="90"/>
      <c r="AKD446" s="90"/>
      <c r="AKE446" s="90"/>
      <c r="AKF446" s="90"/>
      <c r="AKG446" s="90"/>
      <c r="AKH446" s="90"/>
      <c r="AKI446" s="90"/>
      <c r="AKJ446" s="90"/>
      <c r="AKK446" s="90"/>
      <c r="AKL446" s="90"/>
      <c r="AKM446" s="90"/>
      <c r="AKN446" s="90"/>
      <c r="AKO446" s="90"/>
      <c r="AKP446" s="90"/>
      <c r="AKQ446" s="90"/>
      <c r="AKR446" s="90"/>
      <c r="AKS446" s="90"/>
      <c r="AKT446" s="90"/>
      <c r="AKU446" s="90"/>
      <c r="AKV446" s="90"/>
      <c r="AKW446" s="90"/>
      <c r="AKX446" s="90"/>
      <c r="AKY446" s="90"/>
      <c r="AKZ446" s="90"/>
      <c r="ALA446" s="90"/>
      <c r="ALB446" s="90"/>
      <c r="ALC446" s="90"/>
      <c r="ALD446" s="90"/>
      <c r="ALE446" s="90"/>
      <c r="ALF446" s="90"/>
      <c r="ALG446" s="90"/>
      <c r="ALH446" s="90"/>
      <c r="ALI446" s="90"/>
      <c r="ALJ446" s="90"/>
      <c r="ALK446" s="90"/>
      <c r="ALL446" s="90"/>
      <c r="ALM446" s="90"/>
      <c r="ALN446" s="90"/>
      <c r="ALO446" s="90"/>
      <c r="ALP446" s="90"/>
      <c r="ALQ446" s="90"/>
      <c r="ALR446" s="90"/>
      <c r="ALS446" s="90"/>
      <c r="ALT446" s="90"/>
      <c r="ALU446" s="90"/>
      <c r="ALV446" s="90"/>
      <c r="ALW446" s="90"/>
      <c r="ALX446" s="90"/>
      <c r="ALY446" s="90"/>
      <c r="ALZ446" s="90"/>
      <c r="AMA446" s="90"/>
      <c r="AMB446" s="90"/>
      <c r="AMC446" s="90"/>
    </row>
    <row r="447" spans="1:1017">
      <c r="A447" s="98" t="s">
        <v>56</v>
      </c>
      <c r="B447" s="90" t="str">
        <f t="shared" si="2224"/>
        <v xml:space="preserve">Lobster Air Tawar, Cherax </v>
      </c>
      <c r="Q447" s="91">
        <f t="shared" si="2225"/>
        <v>0</v>
      </c>
      <c r="R447" s="91">
        <f t="shared" si="2226"/>
        <v>0</v>
      </c>
      <c r="AG447" s="91">
        <f t="shared" si="2227"/>
        <v>0</v>
      </c>
      <c r="AH447" s="91">
        <f t="shared" si="2228"/>
        <v>0</v>
      </c>
      <c r="AW447" s="91">
        <f t="shared" si="2229"/>
        <v>0</v>
      </c>
      <c r="AX447" s="91">
        <f t="shared" si="2230"/>
        <v>0</v>
      </c>
      <c r="BM447" s="91">
        <f t="shared" si="2231"/>
        <v>0</v>
      </c>
      <c r="BN447" s="91">
        <f t="shared" si="2232"/>
        <v>0</v>
      </c>
      <c r="CC447" s="91">
        <f t="shared" si="2233"/>
        <v>0</v>
      </c>
      <c r="CD447" s="91">
        <f t="shared" si="2234"/>
        <v>0</v>
      </c>
      <c r="CS447" s="91">
        <f t="shared" si="2235"/>
        <v>0</v>
      </c>
      <c r="CT447" s="91">
        <f t="shared" si="2236"/>
        <v>0</v>
      </c>
      <c r="DI447" s="91">
        <f t="shared" si="2237"/>
        <v>0</v>
      </c>
      <c r="DJ447" s="91">
        <f t="shared" si="2238"/>
        <v>0</v>
      </c>
      <c r="DY447" s="91">
        <f t="shared" si="2239"/>
        <v>0</v>
      </c>
      <c r="DZ447" s="91">
        <f t="shared" si="2240"/>
        <v>0</v>
      </c>
      <c r="EO447" s="91">
        <f t="shared" si="2241"/>
        <v>0</v>
      </c>
      <c r="EP447" s="91">
        <f t="shared" si="2242"/>
        <v>0</v>
      </c>
      <c r="FE447" s="91">
        <f t="shared" si="2243"/>
        <v>0</v>
      </c>
      <c r="FF447" s="91">
        <f t="shared" si="2244"/>
        <v>0</v>
      </c>
      <c r="FU447" s="91">
        <f t="shared" si="2245"/>
        <v>0</v>
      </c>
      <c r="FV447" s="91">
        <f t="shared" si="2246"/>
        <v>0</v>
      </c>
      <c r="GK447" s="91">
        <f t="shared" si="2247"/>
        <v>0</v>
      </c>
      <c r="GL447" s="91">
        <f t="shared" si="2248"/>
        <v>0</v>
      </c>
      <c r="HA447" s="91">
        <f t="shared" si="2249"/>
        <v>0</v>
      </c>
      <c r="HB447" s="91">
        <f t="shared" si="2250"/>
        <v>0</v>
      </c>
      <c r="HQ447" s="91">
        <f t="shared" si="2251"/>
        <v>0</v>
      </c>
      <c r="HR447" s="91">
        <f t="shared" si="2252"/>
        <v>0</v>
      </c>
      <c r="IG447" s="91">
        <f t="shared" si="2253"/>
        <v>0</v>
      </c>
      <c r="IH447" s="91">
        <f t="shared" si="2254"/>
        <v>0</v>
      </c>
      <c r="IO447" s="98">
        <v>300</v>
      </c>
      <c r="IP447" s="98">
        <v>33000</v>
      </c>
      <c r="IW447" s="91">
        <f t="shared" si="2255"/>
        <v>300</v>
      </c>
      <c r="IX447" s="91">
        <f t="shared" si="2256"/>
        <v>33000</v>
      </c>
      <c r="JM447" s="91">
        <f t="shared" si="2257"/>
        <v>0</v>
      </c>
      <c r="JN447" s="91">
        <f t="shared" si="2258"/>
        <v>0</v>
      </c>
      <c r="KC447" s="91">
        <f t="shared" si="2259"/>
        <v>0</v>
      </c>
      <c r="KD447" s="91">
        <f t="shared" si="2260"/>
        <v>0</v>
      </c>
      <c r="KS447" s="91">
        <f t="shared" si="2261"/>
        <v>0</v>
      </c>
      <c r="KT447" s="91">
        <f t="shared" si="2262"/>
        <v>0</v>
      </c>
      <c r="LI447" s="91">
        <f t="shared" si="2263"/>
        <v>0</v>
      </c>
      <c r="LJ447" s="91">
        <f t="shared" si="2264"/>
        <v>0</v>
      </c>
      <c r="LY447" s="91">
        <f t="shared" si="2265"/>
        <v>0</v>
      </c>
      <c r="LZ447" s="91">
        <f t="shared" si="2266"/>
        <v>0</v>
      </c>
      <c r="MO447" s="91">
        <f t="shared" si="2267"/>
        <v>0</v>
      </c>
      <c r="MP447" s="91">
        <f t="shared" si="2268"/>
        <v>0</v>
      </c>
      <c r="NE447" s="91">
        <f t="shared" si="2269"/>
        <v>0</v>
      </c>
      <c r="NF447" s="91">
        <f t="shared" si="2270"/>
        <v>0</v>
      </c>
      <c r="NU447" s="91">
        <f t="shared" si="2271"/>
        <v>0</v>
      </c>
      <c r="NV447" s="91">
        <f t="shared" si="2272"/>
        <v>0</v>
      </c>
      <c r="OK447" s="91">
        <f t="shared" si="2273"/>
        <v>0</v>
      </c>
      <c r="OL447" s="91">
        <f t="shared" si="2274"/>
        <v>0</v>
      </c>
      <c r="PA447" s="91">
        <f t="shared" si="2275"/>
        <v>0</v>
      </c>
      <c r="PB447" s="91">
        <f t="shared" si="2276"/>
        <v>0</v>
      </c>
      <c r="PQ447" s="91">
        <f t="shared" si="2277"/>
        <v>0</v>
      </c>
      <c r="PR447" s="91">
        <f t="shared" si="2278"/>
        <v>0</v>
      </c>
      <c r="QG447" s="91">
        <f t="shared" si="2279"/>
        <v>0</v>
      </c>
      <c r="QH447" s="91">
        <f t="shared" si="2280"/>
        <v>0</v>
      </c>
      <c r="QW447" s="91">
        <f t="shared" si="2281"/>
        <v>0</v>
      </c>
      <c r="QX447" s="91">
        <f t="shared" si="2282"/>
        <v>0</v>
      </c>
      <c r="RM447" s="91">
        <f t="shared" si="2283"/>
        <v>0</v>
      </c>
      <c r="RN447" s="91">
        <f t="shared" si="2284"/>
        <v>0</v>
      </c>
      <c r="SC447" s="91">
        <f t="shared" si="2285"/>
        <v>0</v>
      </c>
      <c r="SD447" s="91">
        <f t="shared" si="2286"/>
        <v>0</v>
      </c>
      <c r="SS447" s="91">
        <f t="shared" si="2287"/>
        <v>0</v>
      </c>
      <c r="ST447" s="91">
        <f t="shared" si="2288"/>
        <v>0</v>
      </c>
      <c r="TI447" s="91">
        <f t="shared" si="2289"/>
        <v>0</v>
      </c>
      <c r="TJ447" s="91">
        <f t="shared" si="2290"/>
        <v>0</v>
      </c>
      <c r="TY447" s="91">
        <f t="shared" si="2291"/>
        <v>0</v>
      </c>
      <c r="TZ447" s="91">
        <f t="shared" si="2292"/>
        <v>0</v>
      </c>
      <c r="UO447" s="91">
        <f t="shared" si="2293"/>
        <v>0</v>
      </c>
      <c r="UP447" s="91">
        <f t="shared" si="2294"/>
        <v>0</v>
      </c>
      <c r="VE447" s="91">
        <f t="shared" si="2295"/>
        <v>0</v>
      </c>
      <c r="VF447" s="91">
        <f t="shared" si="2296"/>
        <v>0</v>
      </c>
      <c r="VU447" s="91">
        <f t="shared" si="2297"/>
        <v>0</v>
      </c>
      <c r="VV447" s="91">
        <f t="shared" si="2298"/>
        <v>0</v>
      </c>
      <c r="WK447" s="91">
        <f t="shared" si="2299"/>
        <v>0</v>
      </c>
      <c r="WL447" s="91">
        <f t="shared" si="2300"/>
        <v>0</v>
      </c>
      <c r="WM447" s="89"/>
      <c r="WN447" s="87">
        <f t="shared" si="2301"/>
        <v>0</v>
      </c>
      <c r="WO447" s="87">
        <f t="shared" si="2302"/>
        <v>0</v>
      </c>
      <c r="WP447" s="87">
        <f t="shared" si="2303"/>
        <v>0</v>
      </c>
      <c r="WQ447" s="87">
        <f t="shared" si="2304"/>
        <v>0</v>
      </c>
      <c r="WR447" s="87">
        <f t="shared" si="2305"/>
        <v>0</v>
      </c>
      <c r="WS447" s="87">
        <f t="shared" si="2306"/>
        <v>0</v>
      </c>
      <c r="WT447" s="87">
        <f t="shared" si="2307"/>
        <v>300</v>
      </c>
      <c r="WU447" s="87">
        <f t="shared" si="2308"/>
        <v>33000</v>
      </c>
      <c r="WV447" s="87">
        <f t="shared" si="2309"/>
        <v>0</v>
      </c>
      <c r="WW447" s="87">
        <f t="shared" si="2310"/>
        <v>0</v>
      </c>
      <c r="WX447" s="87">
        <f t="shared" si="2311"/>
        <v>0</v>
      </c>
      <c r="WY447" s="87">
        <f t="shared" si="2312"/>
        <v>0</v>
      </c>
      <c r="WZ447" s="87">
        <f t="shared" si="2313"/>
        <v>0</v>
      </c>
      <c r="XA447" s="87">
        <f t="shared" si="2314"/>
        <v>0</v>
      </c>
      <c r="XB447" s="92">
        <f t="shared" si="2315"/>
        <v>300</v>
      </c>
      <c r="XC447" s="92">
        <f t="shared" si="2316"/>
        <v>33000</v>
      </c>
      <c r="XD447" s="89"/>
      <c r="XE447" s="92"/>
      <c r="XF447" s="92"/>
      <c r="XG447" s="89"/>
      <c r="XH447" s="92"/>
      <c r="XI447" s="92"/>
      <c r="XJ447" s="89"/>
      <c r="XK447" s="87"/>
      <c r="XL447" s="87"/>
      <c r="XM447" s="87"/>
      <c r="XN447" s="87"/>
      <c r="XO447" s="87"/>
      <c r="XP447" s="87"/>
      <c r="XQ447" s="87"/>
      <c r="XR447" s="92">
        <f t="shared" ca="1" si="2317"/>
        <v>0</v>
      </c>
      <c r="XS447" s="89"/>
      <c r="XT447" s="87"/>
      <c r="XU447" s="87"/>
      <c r="XV447" s="87"/>
      <c r="XW447" s="87"/>
      <c r="XX447" s="87"/>
      <c r="XY447" s="87"/>
      <c r="XZ447" s="87"/>
      <c r="YA447" s="92">
        <f t="shared" ca="1" si="2318"/>
        <v>0</v>
      </c>
      <c r="YB447" s="90"/>
      <c r="YC447" s="90"/>
      <c r="YD447" s="90"/>
      <c r="YE447" s="90"/>
      <c r="YF447" s="90"/>
      <c r="YG447" s="90"/>
      <c r="YH447" s="90"/>
      <c r="YI447" s="90"/>
      <c r="YJ447" s="90"/>
      <c r="YK447" s="90"/>
      <c r="YL447" s="90"/>
      <c r="YM447" s="90"/>
      <c r="YN447" s="90"/>
      <c r="YO447" s="90"/>
      <c r="YP447" s="90"/>
      <c r="YQ447" s="90"/>
      <c r="YR447" s="90"/>
      <c r="YS447" s="90"/>
      <c r="YT447" s="90"/>
      <c r="YU447" s="90"/>
      <c r="YV447" s="90"/>
      <c r="YW447" s="90"/>
      <c r="YX447" s="90"/>
      <c r="YY447" s="90"/>
      <c r="YZ447" s="90"/>
      <c r="ZA447" s="90"/>
      <c r="ZB447" s="90"/>
      <c r="ZC447" s="90"/>
      <c r="ZD447" s="90"/>
      <c r="ZE447" s="90"/>
      <c r="ZF447" s="90"/>
      <c r="ZG447" s="90"/>
      <c r="ZH447" s="90"/>
      <c r="ZI447" s="90"/>
      <c r="ZJ447" s="90"/>
      <c r="ZK447" s="90"/>
      <c r="ZL447" s="90"/>
      <c r="ZM447" s="90"/>
      <c r="ZN447" s="90"/>
      <c r="ZO447" s="90"/>
      <c r="ZP447" s="90"/>
      <c r="ZQ447" s="90"/>
      <c r="ZR447" s="90"/>
      <c r="ZS447" s="90"/>
      <c r="ZT447" s="90"/>
      <c r="ZU447" s="90"/>
      <c r="ZV447" s="90"/>
      <c r="ZW447" s="90"/>
      <c r="ZX447" s="90"/>
      <c r="ZY447" s="90"/>
      <c r="ZZ447" s="90"/>
      <c r="AAA447" s="90"/>
      <c r="AAB447" s="90"/>
      <c r="AAC447" s="90"/>
      <c r="AAD447" s="90"/>
      <c r="AAE447" s="90"/>
      <c r="AAF447" s="90"/>
      <c r="AAG447" s="90"/>
      <c r="AAH447" s="90"/>
      <c r="AAI447" s="90"/>
      <c r="AAJ447" s="90"/>
      <c r="AAK447" s="90"/>
      <c r="AAL447" s="90"/>
      <c r="AAM447" s="90"/>
      <c r="AAN447" s="90"/>
      <c r="AAO447" s="90"/>
      <c r="AAP447" s="90"/>
      <c r="AAQ447" s="90"/>
      <c r="AAR447" s="90"/>
      <c r="AAS447" s="90"/>
      <c r="AAT447" s="90"/>
      <c r="AAU447" s="90"/>
      <c r="AAV447" s="90"/>
      <c r="AAW447" s="90"/>
      <c r="AAX447" s="90"/>
      <c r="AAY447" s="90"/>
      <c r="AAZ447" s="90"/>
      <c r="ABA447" s="90"/>
      <c r="ABB447" s="90"/>
      <c r="ABC447" s="90"/>
      <c r="ABD447" s="90"/>
      <c r="ABE447" s="90"/>
      <c r="ABF447" s="90"/>
      <c r="ABG447" s="90"/>
      <c r="ABH447" s="90"/>
      <c r="ABI447" s="90"/>
      <c r="ABJ447" s="90"/>
      <c r="ABK447" s="90"/>
      <c r="ABL447" s="90"/>
      <c r="ABM447" s="90"/>
      <c r="ABN447" s="90"/>
      <c r="ABO447" s="90"/>
      <c r="ABP447" s="90"/>
      <c r="ABQ447" s="90"/>
      <c r="ABR447" s="90"/>
      <c r="ABS447" s="90"/>
      <c r="ABT447" s="90"/>
      <c r="ABU447" s="90"/>
      <c r="ABV447" s="90"/>
      <c r="ABW447" s="90"/>
      <c r="ABX447" s="90"/>
      <c r="ABY447" s="90"/>
      <c r="ABZ447" s="90"/>
      <c r="ACA447" s="90"/>
      <c r="ACB447" s="90"/>
      <c r="ACC447" s="90"/>
      <c r="ACD447" s="90"/>
      <c r="ACE447" s="90"/>
      <c r="ACF447" s="90"/>
      <c r="ACG447" s="90"/>
      <c r="ACH447" s="90"/>
      <c r="ACI447" s="90"/>
      <c r="ACJ447" s="90"/>
      <c r="ACK447" s="90"/>
      <c r="ACL447" s="90"/>
      <c r="ACM447" s="90"/>
      <c r="ACN447" s="90"/>
      <c r="ACO447" s="90"/>
      <c r="ACP447" s="90"/>
      <c r="ACQ447" s="90"/>
      <c r="ACR447" s="90"/>
      <c r="ACS447" s="90"/>
      <c r="ACT447" s="90"/>
      <c r="ACU447" s="90"/>
      <c r="ACV447" s="90"/>
      <c r="ACW447" s="90"/>
      <c r="ACX447" s="90"/>
      <c r="ACY447" s="90"/>
      <c r="ACZ447" s="90"/>
      <c r="ADA447" s="90"/>
      <c r="ADB447" s="90"/>
      <c r="ADC447" s="90"/>
      <c r="ADD447" s="90"/>
      <c r="ADE447" s="90"/>
      <c r="ADF447" s="90"/>
      <c r="ADG447" s="90"/>
      <c r="ADH447" s="90"/>
      <c r="ADI447" s="90"/>
      <c r="ADJ447" s="90"/>
      <c r="ADK447" s="90"/>
      <c r="ADL447" s="90"/>
      <c r="ADM447" s="90"/>
      <c r="ADN447" s="90"/>
      <c r="ADO447" s="90"/>
      <c r="ADP447" s="90"/>
      <c r="ADQ447" s="90"/>
      <c r="ADR447" s="90"/>
      <c r="ADS447" s="90"/>
      <c r="ADT447" s="90"/>
      <c r="ADU447" s="90"/>
      <c r="ADV447" s="90"/>
      <c r="ADW447" s="90"/>
      <c r="ADX447" s="90"/>
      <c r="ADY447" s="90"/>
      <c r="ADZ447" s="90"/>
      <c r="AEA447" s="90"/>
      <c r="AEB447" s="90"/>
      <c r="AEC447" s="90"/>
      <c r="AED447" s="90"/>
      <c r="AEE447" s="90"/>
      <c r="AEF447" s="90"/>
      <c r="AEG447" s="90"/>
      <c r="AEH447" s="90"/>
      <c r="AEI447" s="90"/>
      <c r="AEJ447" s="90"/>
      <c r="AEK447" s="90"/>
      <c r="AEL447" s="90"/>
      <c r="AEM447" s="90"/>
      <c r="AEN447" s="90"/>
      <c r="AEO447" s="90"/>
      <c r="AEP447" s="90"/>
      <c r="AEQ447" s="90"/>
      <c r="AER447" s="90"/>
      <c r="AES447" s="90"/>
      <c r="AET447" s="90"/>
      <c r="AEU447" s="90"/>
      <c r="AEV447" s="90"/>
      <c r="AEW447" s="90"/>
      <c r="AEX447" s="90"/>
      <c r="AEY447" s="90"/>
      <c r="AEZ447" s="90"/>
      <c r="AFA447" s="90"/>
      <c r="AFB447" s="90"/>
      <c r="AFC447" s="90"/>
      <c r="AFD447" s="90"/>
      <c r="AFE447" s="90"/>
      <c r="AFF447" s="90"/>
      <c r="AFG447" s="90"/>
      <c r="AFH447" s="90"/>
      <c r="AFI447" s="90"/>
      <c r="AFJ447" s="90"/>
      <c r="AFK447" s="90"/>
      <c r="AFL447" s="90"/>
      <c r="AFM447" s="90"/>
      <c r="AFN447" s="90"/>
      <c r="AFO447" s="90"/>
      <c r="AFP447" s="90"/>
      <c r="AFQ447" s="90"/>
      <c r="AFR447" s="90"/>
      <c r="AFS447" s="90"/>
      <c r="AFT447" s="90"/>
      <c r="AFU447" s="90"/>
      <c r="AFV447" s="90"/>
      <c r="AFW447" s="90"/>
      <c r="AFX447" s="90"/>
      <c r="AFY447" s="90"/>
      <c r="AFZ447" s="90"/>
      <c r="AGA447" s="90"/>
      <c r="AGB447" s="90"/>
      <c r="AGC447" s="90"/>
      <c r="AGD447" s="90"/>
      <c r="AGE447" s="90"/>
      <c r="AGF447" s="90"/>
      <c r="AGG447" s="90"/>
      <c r="AGH447" s="90"/>
      <c r="AGI447" s="90"/>
      <c r="AGJ447" s="90"/>
      <c r="AGK447" s="90"/>
      <c r="AGL447" s="90"/>
      <c r="AGM447" s="90"/>
      <c r="AGN447" s="90"/>
      <c r="AGO447" s="90"/>
      <c r="AGP447" s="90"/>
      <c r="AGQ447" s="90"/>
      <c r="AGR447" s="90"/>
      <c r="AGS447" s="90"/>
      <c r="AGT447" s="90"/>
      <c r="AGU447" s="90"/>
      <c r="AGV447" s="90"/>
      <c r="AGW447" s="90"/>
      <c r="AGX447" s="90"/>
      <c r="AGY447" s="90"/>
      <c r="AGZ447" s="90"/>
      <c r="AHA447" s="90"/>
      <c r="AHB447" s="90"/>
      <c r="AHC447" s="90"/>
      <c r="AHD447" s="90"/>
      <c r="AHE447" s="90"/>
      <c r="AHF447" s="90"/>
      <c r="AHG447" s="90"/>
      <c r="AHH447" s="90"/>
      <c r="AHI447" s="90"/>
      <c r="AHJ447" s="90"/>
      <c r="AHK447" s="90"/>
      <c r="AHL447" s="90"/>
      <c r="AHM447" s="90"/>
      <c r="AHN447" s="90"/>
      <c r="AHO447" s="90"/>
      <c r="AHP447" s="90"/>
      <c r="AHQ447" s="90"/>
      <c r="AHR447" s="90"/>
      <c r="AHS447" s="90"/>
      <c r="AHT447" s="90"/>
      <c r="AHU447" s="90"/>
      <c r="AHV447" s="90"/>
      <c r="AHW447" s="90"/>
      <c r="AHX447" s="90"/>
      <c r="AHY447" s="90"/>
      <c r="AHZ447" s="90"/>
      <c r="AIA447" s="90"/>
      <c r="AIB447" s="90"/>
      <c r="AIC447" s="90"/>
      <c r="AID447" s="90"/>
      <c r="AIE447" s="90"/>
      <c r="AIF447" s="90"/>
      <c r="AIG447" s="90"/>
      <c r="AIH447" s="90"/>
      <c r="AII447" s="90"/>
      <c r="AIJ447" s="90"/>
      <c r="AIK447" s="90"/>
      <c r="AIL447" s="90"/>
      <c r="AIM447" s="90"/>
      <c r="AIN447" s="90"/>
      <c r="AIO447" s="90"/>
      <c r="AIP447" s="90"/>
      <c r="AIQ447" s="90"/>
      <c r="AIR447" s="90"/>
      <c r="AIS447" s="90"/>
      <c r="AIT447" s="90"/>
      <c r="AIU447" s="90"/>
      <c r="AIV447" s="90"/>
      <c r="AIW447" s="90"/>
      <c r="AIX447" s="90"/>
      <c r="AIY447" s="90"/>
      <c r="AIZ447" s="90"/>
      <c r="AJA447" s="90"/>
      <c r="AJB447" s="90"/>
      <c r="AJC447" s="90"/>
      <c r="AJD447" s="90"/>
      <c r="AJE447" s="90"/>
      <c r="AJF447" s="90"/>
      <c r="AJG447" s="90"/>
      <c r="AJH447" s="90"/>
      <c r="AJI447" s="90"/>
      <c r="AJJ447" s="90"/>
      <c r="AJK447" s="90"/>
      <c r="AJL447" s="90"/>
      <c r="AJM447" s="90"/>
      <c r="AJN447" s="90"/>
      <c r="AJO447" s="90"/>
      <c r="AJP447" s="90"/>
      <c r="AJQ447" s="90"/>
      <c r="AJR447" s="90"/>
      <c r="AJS447" s="90"/>
      <c r="AJT447" s="90"/>
      <c r="AJU447" s="90"/>
      <c r="AJV447" s="90"/>
      <c r="AJW447" s="90"/>
      <c r="AJX447" s="90"/>
      <c r="AJY447" s="90"/>
      <c r="AJZ447" s="90"/>
      <c r="AKA447" s="90"/>
      <c r="AKB447" s="90"/>
      <c r="AKC447" s="90"/>
      <c r="AKD447" s="90"/>
      <c r="AKE447" s="90"/>
      <c r="AKF447" s="90"/>
      <c r="AKG447" s="90"/>
      <c r="AKH447" s="90"/>
      <c r="AKI447" s="90"/>
      <c r="AKJ447" s="90"/>
      <c r="AKK447" s="90"/>
      <c r="AKL447" s="90"/>
      <c r="AKM447" s="90"/>
      <c r="AKN447" s="90"/>
      <c r="AKO447" s="90"/>
      <c r="AKP447" s="90"/>
      <c r="AKQ447" s="90"/>
      <c r="AKR447" s="90"/>
      <c r="AKS447" s="90"/>
      <c r="AKT447" s="90"/>
      <c r="AKU447" s="90"/>
      <c r="AKV447" s="90"/>
      <c r="AKW447" s="90"/>
      <c r="AKX447" s="90"/>
      <c r="AKY447" s="90"/>
      <c r="AKZ447" s="90"/>
      <c r="ALA447" s="90"/>
      <c r="ALB447" s="90"/>
      <c r="ALC447" s="90"/>
      <c r="ALD447" s="90"/>
      <c r="ALE447" s="90"/>
      <c r="ALF447" s="90"/>
      <c r="ALG447" s="90"/>
      <c r="ALH447" s="90"/>
      <c r="ALI447" s="90"/>
      <c r="ALJ447" s="90"/>
      <c r="ALK447" s="90"/>
      <c r="ALL447" s="90"/>
      <c r="ALM447" s="90"/>
      <c r="ALN447" s="90"/>
      <c r="ALO447" s="90"/>
      <c r="ALP447" s="90"/>
      <c r="ALQ447" s="90"/>
      <c r="ALR447" s="90"/>
      <c r="ALS447" s="90"/>
      <c r="ALT447" s="90"/>
      <c r="ALU447" s="90"/>
      <c r="ALV447" s="90"/>
      <c r="ALW447" s="90"/>
      <c r="ALX447" s="90"/>
      <c r="ALY447" s="90"/>
      <c r="ALZ447" s="90"/>
      <c r="AMA447" s="90"/>
      <c r="AMB447" s="90"/>
      <c r="AMC447" s="90"/>
    </row>
    <row r="448" spans="1:1017">
      <c r="A448" s="98" t="s">
        <v>56</v>
      </c>
      <c r="B448" s="90" t="str">
        <f t="shared" si="2224"/>
        <v xml:space="preserve">Mas, Ikan Mas, Karper </v>
      </c>
      <c r="Q448" s="91">
        <f t="shared" si="2225"/>
        <v>0</v>
      </c>
      <c r="R448" s="91">
        <f t="shared" si="2226"/>
        <v>0</v>
      </c>
      <c r="Y448" s="98">
        <v>9650</v>
      </c>
      <c r="Z448" s="98">
        <v>337750</v>
      </c>
      <c r="AA448" s="98">
        <v>2745</v>
      </c>
      <c r="AB448" s="98">
        <v>96075</v>
      </c>
      <c r="AC448" s="98">
        <v>2545</v>
      </c>
      <c r="AD448" s="98">
        <v>89075</v>
      </c>
      <c r="AE448" s="98">
        <v>145</v>
      </c>
      <c r="AF448" s="98">
        <v>5075</v>
      </c>
      <c r="AG448" s="91">
        <f t="shared" si="2227"/>
        <v>15085</v>
      </c>
      <c r="AH448" s="91">
        <f t="shared" si="2228"/>
        <v>527975</v>
      </c>
      <c r="AW448" s="91">
        <f t="shared" si="2229"/>
        <v>0</v>
      </c>
      <c r="AX448" s="91">
        <f t="shared" si="2230"/>
        <v>0</v>
      </c>
      <c r="BE448" s="98">
        <v>4089</v>
      </c>
      <c r="BF448" s="98">
        <v>61335</v>
      </c>
      <c r="BM448" s="91">
        <f t="shared" si="2231"/>
        <v>4089</v>
      </c>
      <c r="BN448" s="91">
        <f t="shared" si="2232"/>
        <v>61335</v>
      </c>
      <c r="BU448" s="98">
        <v>250</v>
      </c>
      <c r="BV448" s="98">
        <v>6750</v>
      </c>
      <c r="CC448" s="91">
        <f t="shared" si="2233"/>
        <v>250</v>
      </c>
      <c r="CD448" s="91">
        <f t="shared" si="2234"/>
        <v>6750</v>
      </c>
      <c r="CK448" s="98">
        <v>90512.190512100002</v>
      </c>
      <c r="CL448" s="98">
        <v>1267171</v>
      </c>
      <c r="CS448" s="91">
        <f t="shared" si="2235"/>
        <v>90512.190512100002</v>
      </c>
      <c r="CT448" s="91">
        <f t="shared" si="2236"/>
        <v>1267171</v>
      </c>
      <c r="DA448" s="98">
        <v>3255</v>
      </c>
      <c r="DB448" s="98">
        <v>65100</v>
      </c>
      <c r="DI448" s="91">
        <f t="shared" si="2237"/>
        <v>3255</v>
      </c>
      <c r="DJ448" s="91">
        <f t="shared" si="2238"/>
        <v>65100</v>
      </c>
      <c r="DQ448" s="98">
        <v>24200</v>
      </c>
      <c r="DR448" s="98">
        <v>580800</v>
      </c>
      <c r="DY448" s="91">
        <f t="shared" si="2239"/>
        <v>24200</v>
      </c>
      <c r="DZ448" s="91">
        <f t="shared" si="2240"/>
        <v>580800</v>
      </c>
      <c r="EG448" s="98">
        <v>600</v>
      </c>
      <c r="EH448" s="98">
        <v>9000</v>
      </c>
      <c r="EO448" s="91">
        <f t="shared" si="2241"/>
        <v>600</v>
      </c>
      <c r="EP448" s="91">
        <f t="shared" si="2242"/>
        <v>9000</v>
      </c>
      <c r="EW448" s="98">
        <v>11207</v>
      </c>
      <c r="EX448" s="98">
        <v>201726</v>
      </c>
      <c r="FE448" s="91">
        <f t="shared" si="2243"/>
        <v>11207</v>
      </c>
      <c r="FF448" s="91">
        <f t="shared" si="2244"/>
        <v>201726</v>
      </c>
      <c r="FM448" s="98">
        <v>350</v>
      </c>
      <c r="FN448" s="98">
        <v>10500</v>
      </c>
      <c r="FU448" s="91">
        <f t="shared" si="2245"/>
        <v>350</v>
      </c>
      <c r="FV448" s="91">
        <f t="shared" si="2246"/>
        <v>10500</v>
      </c>
      <c r="GC448" s="98">
        <v>250</v>
      </c>
      <c r="GD448" s="98">
        <v>6250</v>
      </c>
      <c r="GK448" s="91">
        <f t="shared" si="2247"/>
        <v>250</v>
      </c>
      <c r="GL448" s="91">
        <f t="shared" si="2248"/>
        <v>6250</v>
      </c>
      <c r="GS448" s="98">
        <v>1500</v>
      </c>
      <c r="GT448" s="98">
        <v>42000</v>
      </c>
      <c r="GY448" s="98">
        <v>50</v>
      </c>
      <c r="GZ448" s="98">
        <v>1400</v>
      </c>
      <c r="HA448" s="91">
        <f t="shared" si="2249"/>
        <v>1550</v>
      </c>
      <c r="HB448" s="91">
        <f t="shared" si="2250"/>
        <v>43400</v>
      </c>
      <c r="HI448" s="98">
        <v>1500</v>
      </c>
      <c r="HJ448" s="98">
        <v>45000</v>
      </c>
      <c r="HQ448" s="91">
        <f t="shared" si="2251"/>
        <v>1500</v>
      </c>
      <c r="HR448" s="91">
        <f t="shared" si="2252"/>
        <v>45000</v>
      </c>
      <c r="IG448" s="91">
        <f t="shared" si="2253"/>
        <v>0</v>
      </c>
      <c r="IH448" s="91">
        <f t="shared" si="2254"/>
        <v>0</v>
      </c>
      <c r="IW448" s="91">
        <f t="shared" si="2255"/>
        <v>0</v>
      </c>
      <c r="IX448" s="91">
        <f t="shared" si="2256"/>
        <v>0</v>
      </c>
      <c r="JE448" s="98">
        <v>65</v>
      </c>
      <c r="JF448" s="98">
        <v>1430</v>
      </c>
      <c r="JM448" s="91">
        <f t="shared" si="2257"/>
        <v>65</v>
      </c>
      <c r="JN448" s="91">
        <f t="shared" si="2258"/>
        <v>1430</v>
      </c>
      <c r="KC448" s="91">
        <f t="shared" si="2259"/>
        <v>0</v>
      </c>
      <c r="KD448" s="91">
        <f t="shared" si="2260"/>
        <v>0</v>
      </c>
      <c r="KS448" s="91">
        <f t="shared" si="2261"/>
        <v>0</v>
      </c>
      <c r="KT448" s="91">
        <f t="shared" si="2262"/>
        <v>0</v>
      </c>
      <c r="LI448" s="91">
        <f t="shared" si="2263"/>
        <v>0</v>
      </c>
      <c r="LJ448" s="91">
        <f t="shared" si="2264"/>
        <v>0</v>
      </c>
      <c r="LY448" s="91">
        <f t="shared" si="2265"/>
        <v>0</v>
      </c>
      <c r="LZ448" s="91">
        <f t="shared" si="2266"/>
        <v>0</v>
      </c>
      <c r="MO448" s="91">
        <f t="shared" si="2267"/>
        <v>0</v>
      </c>
      <c r="MP448" s="91">
        <f t="shared" si="2268"/>
        <v>0</v>
      </c>
      <c r="NE448" s="91">
        <f t="shared" si="2269"/>
        <v>0</v>
      </c>
      <c r="NF448" s="91">
        <f t="shared" si="2270"/>
        <v>0</v>
      </c>
      <c r="NU448" s="91">
        <f t="shared" si="2271"/>
        <v>0</v>
      </c>
      <c r="NV448" s="91">
        <f t="shared" si="2272"/>
        <v>0</v>
      </c>
      <c r="OK448" s="91">
        <f t="shared" si="2273"/>
        <v>0</v>
      </c>
      <c r="OL448" s="91">
        <f t="shared" si="2274"/>
        <v>0</v>
      </c>
      <c r="PA448" s="91">
        <f t="shared" si="2275"/>
        <v>0</v>
      </c>
      <c r="PB448" s="91">
        <f t="shared" si="2276"/>
        <v>0</v>
      </c>
      <c r="PQ448" s="91">
        <f t="shared" si="2277"/>
        <v>0</v>
      </c>
      <c r="PR448" s="91">
        <f t="shared" si="2278"/>
        <v>0</v>
      </c>
      <c r="PY448" s="98">
        <v>307500</v>
      </c>
      <c r="PZ448" s="98">
        <v>5535000</v>
      </c>
      <c r="QA448" s="98">
        <v>115070</v>
      </c>
      <c r="QB448" s="98">
        <v>2071260</v>
      </c>
      <c r="QC448" s="98">
        <v>348100</v>
      </c>
      <c r="QD448" s="98">
        <v>6265800</v>
      </c>
      <c r="QG448" s="91">
        <f t="shared" si="2279"/>
        <v>770670</v>
      </c>
      <c r="QH448" s="91">
        <f t="shared" si="2280"/>
        <v>13872060</v>
      </c>
      <c r="QW448" s="91">
        <f t="shared" si="2281"/>
        <v>0</v>
      </c>
      <c r="QX448" s="91">
        <f t="shared" si="2282"/>
        <v>0</v>
      </c>
      <c r="RE448" s="98">
        <v>100</v>
      </c>
      <c r="RF448" s="98">
        <v>3700</v>
      </c>
      <c r="RM448" s="91">
        <f t="shared" si="2283"/>
        <v>100</v>
      </c>
      <c r="RN448" s="91">
        <f t="shared" si="2284"/>
        <v>3700</v>
      </c>
      <c r="SC448" s="91">
        <f t="shared" si="2285"/>
        <v>0</v>
      </c>
      <c r="SD448" s="91">
        <f t="shared" si="2286"/>
        <v>0</v>
      </c>
      <c r="SS448" s="91">
        <f t="shared" si="2287"/>
        <v>0</v>
      </c>
      <c r="ST448" s="91">
        <f t="shared" si="2288"/>
        <v>0</v>
      </c>
      <c r="TI448" s="91">
        <f t="shared" si="2289"/>
        <v>0</v>
      </c>
      <c r="TJ448" s="91">
        <f t="shared" si="2290"/>
        <v>0</v>
      </c>
      <c r="TU448" s="98">
        <v>1500</v>
      </c>
      <c r="TV448" s="98">
        <v>52500</v>
      </c>
      <c r="TY448" s="91">
        <f t="shared" si="2291"/>
        <v>1500</v>
      </c>
      <c r="TZ448" s="91">
        <f t="shared" si="2292"/>
        <v>52500</v>
      </c>
      <c r="UO448" s="91">
        <f t="shared" si="2293"/>
        <v>0</v>
      </c>
      <c r="UP448" s="91">
        <f t="shared" si="2294"/>
        <v>0</v>
      </c>
      <c r="VE448" s="91">
        <f t="shared" si="2295"/>
        <v>0</v>
      </c>
      <c r="VF448" s="91">
        <f t="shared" si="2296"/>
        <v>0</v>
      </c>
      <c r="VU448" s="91">
        <f t="shared" si="2297"/>
        <v>0</v>
      </c>
      <c r="VV448" s="91">
        <f t="shared" si="2298"/>
        <v>0</v>
      </c>
      <c r="WK448" s="91">
        <f t="shared" si="2299"/>
        <v>0</v>
      </c>
      <c r="WL448" s="91">
        <f t="shared" si="2300"/>
        <v>0</v>
      </c>
      <c r="WM448" s="89"/>
      <c r="WN448" s="87">
        <f t="shared" si="2301"/>
        <v>0</v>
      </c>
      <c r="WO448" s="87">
        <f t="shared" si="2302"/>
        <v>0</v>
      </c>
      <c r="WP448" s="87">
        <f t="shared" si="2303"/>
        <v>0</v>
      </c>
      <c r="WQ448" s="87">
        <f t="shared" si="2304"/>
        <v>0</v>
      </c>
      <c r="WR448" s="87">
        <f t="shared" si="2305"/>
        <v>0</v>
      </c>
      <c r="WS448" s="87">
        <f t="shared" si="2306"/>
        <v>0</v>
      </c>
      <c r="WT448" s="87">
        <f t="shared" si="2307"/>
        <v>455028.1905121</v>
      </c>
      <c r="WU448" s="87">
        <f t="shared" si="2308"/>
        <v>8173512</v>
      </c>
      <c r="WV448" s="87">
        <f t="shared" si="2309"/>
        <v>117815</v>
      </c>
      <c r="WW448" s="87">
        <f t="shared" si="2310"/>
        <v>2167335</v>
      </c>
      <c r="WX448" s="87">
        <f t="shared" si="2311"/>
        <v>352145</v>
      </c>
      <c r="WY448" s="87">
        <f t="shared" si="2312"/>
        <v>6407375</v>
      </c>
      <c r="WZ448" s="87">
        <f t="shared" si="2313"/>
        <v>195</v>
      </c>
      <c r="XA448" s="87">
        <f t="shared" si="2314"/>
        <v>6475</v>
      </c>
      <c r="XB448" s="92">
        <f t="shared" si="2315"/>
        <v>925183.1905121</v>
      </c>
      <c r="XC448" s="92">
        <f t="shared" si="2316"/>
        <v>16754697</v>
      </c>
      <c r="XD448" s="89"/>
      <c r="XE448" s="92"/>
      <c r="XF448" s="92"/>
      <c r="XG448" s="89"/>
      <c r="XH448" s="92"/>
      <c r="XI448" s="92"/>
      <c r="XJ448" s="89"/>
      <c r="XK448" s="87"/>
      <c r="XL448" s="87"/>
      <c r="XM448" s="87"/>
      <c r="XN448" s="87"/>
      <c r="XO448" s="87"/>
      <c r="XP448" s="87"/>
      <c r="XQ448" s="87"/>
      <c r="XR448" s="92">
        <f t="shared" ca="1" si="2317"/>
        <v>0</v>
      </c>
      <c r="XS448" s="89"/>
      <c r="XT448" s="87"/>
      <c r="XU448" s="87"/>
      <c r="XV448" s="87"/>
      <c r="XW448" s="87"/>
      <c r="XX448" s="87"/>
      <c r="XY448" s="87"/>
      <c r="XZ448" s="87"/>
      <c r="YA448" s="92">
        <f t="shared" ca="1" si="2318"/>
        <v>0</v>
      </c>
      <c r="YB448" s="90"/>
      <c r="YC448" s="90"/>
      <c r="YD448" s="90"/>
      <c r="YE448" s="90"/>
      <c r="YF448" s="90"/>
      <c r="YG448" s="90"/>
      <c r="YH448" s="90"/>
      <c r="YI448" s="90"/>
      <c r="YJ448" s="90"/>
      <c r="YK448" s="90"/>
      <c r="YL448" s="90"/>
      <c r="YM448" s="90"/>
      <c r="YN448" s="90"/>
      <c r="YO448" s="90"/>
      <c r="YP448" s="90"/>
      <c r="YQ448" s="90"/>
      <c r="YR448" s="90"/>
      <c r="YS448" s="90"/>
      <c r="YT448" s="90"/>
      <c r="YU448" s="90"/>
      <c r="YV448" s="90"/>
      <c r="YW448" s="90"/>
      <c r="YX448" s="90"/>
      <c r="YY448" s="90"/>
      <c r="YZ448" s="90"/>
      <c r="ZA448" s="90"/>
      <c r="ZB448" s="90"/>
      <c r="ZC448" s="90"/>
      <c r="ZD448" s="90"/>
      <c r="ZE448" s="90"/>
      <c r="ZF448" s="90"/>
      <c r="ZG448" s="90"/>
      <c r="ZH448" s="90"/>
      <c r="ZI448" s="90"/>
      <c r="ZJ448" s="90"/>
      <c r="ZK448" s="90"/>
      <c r="ZL448" s="90"/>
      <c r="ZM448" s="90"/>
      <c r="ZN448" s="90"/>
      <c r="ZO448" s="90"/>
      <c r="ZP448" s="90"/>
      <c r="ZQ448" s="90"/>
      <c r="ZR448" s="90"/>
      <c r="ZS448" s="90"/>
      <c r="ZT448" s="90"/>
      <c r="ZU448" s="90"/>
      <c r="ZV448" s="90"/>
      <c r="ZW448" s="90"/>
      <c r="ZX448" s="90"/>
      <c r="ZY448" s="90"/>
      <c r="ZZ448" s="90"/>
      <c r="AAA448" s="90"/>
      <c r="AAB448" s="90"/>
      <c r="AAC448" s="90"/>
      <c r="AAD448" s="90"/>
      <c r="AAE448" s="90"/>
      <c r="AAF448" s="90"/>
      <c r="AAG448" s="90"/>
      <c r="AAH448" s="90"/>
      <c r="AAI448" s="90"/>
      <c r="AAJ448" s="90"/>
      <c r="AAK448" s="90"/>
      <c r="AAL448" s="90"/>
      <c r="AAM448" s="90"/>
      <c r="AAN448" s="90"/>
      <c r="AAO448" s="90"/>
      <c r="AAP448" s="90"/>
      <c r="AAQ448" s="90"/>
      <c r="AAR448" s="90"/>
      <c r="AAS448" s="90"/>
      <c r="AAT448" s="90"/>
      <c r="AAU448" s="90"/>
      <c r="AAV448" s="90"/>
      <c r="AAW448" s="90"/>
      <c r="AAX448" s="90"/>
      <c r="AAY448" s="90"/>
      <c r="AAZ448" s="90"/>
      <c r="ABA448" s="90"/>
      <c r="ABB448" s="90"/>
      <c r="ABC448" s="90"/>
      <c r="ABD448" s="90"/>
      <c r="ABE448" s="90"/>
      <c r="ABF448" s="90"/>
      <c r="ABG448" s="90"/>
      <c r="ABH448" s="90"/>
      <c r="ABI448" s="90"/>
      <c r="ABJ448" s="90"/>
      <c r="ABK448" s="90"/>
      <c r="ABL448" s="90"/>
      <c r="ABM448" s="90"/>
      <c r="ABN448" s="90"/>
      <c r="ABO448" s="90"/>
      <c r="ABP448" s="90"/>
      <c r="ABQ448" s="90"/>
      <c r="ABR448" s="90"/>
      <c r="ABS448" s="90"/>
      <c r="ABT448" s="90"/>
      <c r="ABU448" s="90"/>
      <c r="ABV448" s="90"/>
      <c r="ABW448" s="90"/>
      <c r="ABX448" s="90"/>
      <c r="ABY448" s="90"/>
      <c r="ABZ448" s="90"/>
      <c r="ACA448" s="90"/>
      <c r="ACB448" s="90"/>
      <c r="ACC448" s="90"/>
      <c r="ACD448" s="90"/>
      <c r="ACE448" s="90"/>
      <c r="ACF448" s="90"/>
      <c r="ACG448" s="90"/>
      <c r="ACH448" s="90"/>
      <c r="ACI448" s="90"/>
      <c r="ACJ448" s="90"/>
      <c r="ACK448" s="90"/>
      <c r="ACL448" s="90"/>
      <c r="ACM448" s="90"/>
      <c r="ACN448" s="90"/>
      <c r="ACO448" s="90"/>
      <c r="ACP448" s="90"/>
      <c r="ACQ448" s="90"/>
      <c r="ACR448" s="90"/>
      <c r="ACS448" s="90"/>
      <c r="ACT448" s="90"/>
      <c r="ACU448" s="90"/>
      <c r="ACV448" s="90"/>
      <c r="ACW448" s="90"/>
      <c r="ACX448" s="90"/>
      <c r="ACY448" s="90"/>
      <c r="ACZ448" s="90"/>
      <c r="ADA448" s="90"/>
      <c r="ADB448" s="90"/>
      <c r="ADC448" s="90"/>
      <c r="ADD448" s="90"/>
      <c r="ADE448" s="90"/>
      <c r="ADF448" s="90"/>
      <c r="ADG448" s="90"/>
      <c r="ADH448" s="90"/>
      <c r="ADI448" s="90"/>
      <c r="ADJ448" s="90"/>
      <c r="ADK448" s="90"/>
      <c r="ADL448" s="90"/>
      <c r="ADM448" s="90"/>
      <c r="ADN448" s="90"/>
      <c r="ADO448" s="90"/>
      <c r="ADP448" s="90"/>
      <c r="ADQ448" s="90"/>
      <c r="ADR448" s="90"/>
      <c r="ADS448" s="90"/>
      <c r="ADT448" s="90"/>
      <c r="ADU448" s="90"/>
      <c r="ADV448" s="90"/>
      <c r="ADW448" s="90"/>
      <c r="ADX448" s="90"/>
      <c r="ADY448" s="90"/>
      <c r="ADZ448" s="90"/>
      <c r="AEA448" s="90"/>
      <c r="AEB448" s="90"/>
      <c r="AEC448" s="90"/>
      <c r="AED448" s="90"/>
      <c r="AEE448" s="90"/>
      <c r="AEF448" s="90"/>
      <c r="AEG448" s="90"/>
      <c r="AEH448" s="90"/>
      <c r="AEI448" s="90"/>
      <c r="AEJ448" s="90"/>
      <c r="AEK448" s="90"/>
      <c r="AEL448" s="90"/>
      <c r="AEM448" s="90"/>
      <c r="AEN448" s="90"/>
      <c r="AEO448" s="90"/>
      <c r="AEP448" s="90"/>
      <c r="AEQ448" s="90"/>
      <c r="AER448" s="90"/>
      <c r="AES448" s="90"/>
      <c r="AET448" s="90"/>
      <c r="AEU448" s="90"/>
      <c r="AEV448" s="90"/>
      <c r="AEW448" s="90"/>
      <c r="AEX448" s="90"/>
      <c r="AEY448" s="90"/>
      <c r="AEZ448" s="90"/>
      <c r="AFA448" s="90"/>
      <c r="AFB448" s="90"/>
      <c r="AFC448" s="90"/>
      <c r="AFD448" s="90"/>
      <c r="AFE448" s="90"/>
      <c r="AFF448" s="90"/>
      <c r="AFG448" s="90"/>
      <c r="AFH448" s="90"/>
      <c r="AFI448" s="90"/>
      <c r="AFJ448" s="90"/>
      <c r="AFK448" s="90"/>
      <c r="AFL448" s="90"/>
      <c r="AFM448" s="90"/>
      <c r="AFN448" s="90"/>
      <c r="AFO448" s="90"/>
      <c r="AFP448" s="90"/>
      <c r="AFQ448" s="90"/>
      <c r="AFR448" s="90"/>
      <c r="AFS448" s="90"/>
      <c r="AFT448" s="90"/>
      <c r="AFU448" s="90"/>
      <c r="AFV448" s="90"/>
      <c r="AFW448" s="90"/>
      <c r="AFX448" s="90"/>
      <c r="AFY448" s="90"/>
      <c r="AFZ448" s="90"/>
      <c r="AGA448" s="90"/>
      <c r="AGB448" s="90"/>
      <c r="AGC448" s="90"/>
      <c r="AGD448" s="90"/>
      <c r="AGE448" s="90"/>
      <c r="AGF448" s="90"/>
      <c r="AGG448" s="90"/>
      <c r="AGH448" s="90"/>
      <c r="AGI448" s="90"/>
      <c r="AGJ448" s="90"/>
      <c r="AGK448" s="90"/>
      <c r="AGL448" s="90"/>
      <c r="AGM448" s="90"/>
      <c r="AGN448" s="90"/>
      <c r="AGO448" s="90"/>
      <c r="AGP448" s="90"/>
      <c r="AGQ448" s="90"/>
      <c r="AGR448" s="90"/>
      <c r="AGS448" s="90"/>
      <c r="AGT448" s="90"/>
      <c r="AGU448" s="90"/>
      <c r="AGV448" s="90"/>
      <c r="AGW448" s="90"/>
      <c r="AGX448" s="90"/>
      <c r="AGY448" s="90"/>
      <c r="AGZ448" s="90"/>
      <c r="AHA448" s="90"/>
      <c r="AHB448" s="90"/>
      <c r="AHC448" s="90"/>
      <c r="AHD448" s="90"/>
      <c r="AHE448" s="90"/>
      <c r="AHF448" s="90"/>
      <c r="AHG448" s="90"/>
      <c r="AHH448" s="90"/>
      <c r="AHI448" s="90"/>
      <c r="AHJ448" s="90"/>
      <c r="AHK448" s="90"/>
      <c r="AHL448" s="90"/>
      <c r="AHM448" s="90"/>
      <c r="AHN448" s="90"/>
      <c r="AHO448" s="90"/>
      <c r="AHP448" s="90"/>
      <c r="AHQ448" s="90"/>
      <c r="AHR448" s="90"/>
      <c r="AHS448" s="90"/>
      <c r="AHT448" s="90"/>
      <c r="AHU448" s="90"/>
      <c r="AHV448" s="90"/>
      <c r="AHW448" s="90"/>
      <c r="AHX448" s="90"/>
      <c r="AHY448" s="90"/>
      <c r="AHZ448" s="90"/>
      <c r="AIA448" s="90"/>
      <c r="AIB448" s="90"/>
      <c r="AIC448" s="90"/>
      <c r="AID448" s="90"/>
      <c r="AIE448" s="90"/>
      <c r="AIF448" s="90"/>
      <c r="AIG448" s="90"/>
      <c r="AIH448" s="90"/>
      <c r="AII448" s="90"/>
      <c r="AIJ448" s="90"/>
      <c r="AIK448" s="90"/>
      <c r="AIL448" s="90"/>
      <c r="AIM448" s="90"/>
      <c r="AIN448" s="90"/>
      <c r="AIO448" s="90"/>
      <c r="AIP448" s="90"/>
      <c r="AIQ448" s="90"/>
      <c r="AIR448" s="90"/>
      <c r="AIS448" s="90"/>
      <c r="AIT448" s="90"/>
      <c r="AIU448" s="90"/>
      <c r="AIV448" s="90"/>
      <c r="AIW448" s="90"/>
      <c r="AIX448" s="90"/>
      <c r="AIY448" s="90"/>
      <c r="AIZ448" s="90"/>
      <c r="AJA448" s="90"/>
      <c r="AJB448" s="90"/>
      <c r="AJC448" s="90"/>
      <c r="AJD448" s="90"/>
      <c r="AJE448" s="90"/>
      <c r="AJF448" s="90"/>
      <c r="AJG448" s="90"/>
      <c r="AJH448" s="90"/>
      <c r="AJI448" s="90"/>
      <c r="AJJ448" s="90"/>
      <c r="AJK448" s="90"/>
      <c r="AJL448" s="90"/>
      <c r="AJM448" s="90"/>
      <c r="AJN448" s="90"/>
      <c r="AJO448" s="90"/>
      <c r="AJP448" s="90"/>
      <c r="AJQ448" s="90"/>
      <c r="AJR448" s="90"/>
      <c r="AJS448" s="90"/>
      <c r="AJT448" s="90"/>
      <c r="AJU448" s="90"/>
      <c r="AJV448" s="90"/>
      <c r="AJW448" s="90"/>
      <c r="AJX448" s="90"/>
      <c r="AJY448" s="90"/>
      <c r="AJZ448" s="90"/>
      <c r="AKA448" s="90"/>
      <c r="AKB448" s="90"/>
      <c r="AKC448" s="90"/>
      <c r="AKD448" s="90"/>
      <c r="AKE448" s="90"/>
      <c r="AKF448" s="90"/>
      <c r="AKG448" s="90"/>
      <c r="AKH448" s="90"/>
      <c r="AKI448" s="90"/>
      <c r="AKJ448" s="90"/>
      <c r="AKK448" s="90"/>
      <c r="AKL448" s="90"/>
      <c r="AKM448" s="90"/>
      <c r="AKN448" s="90"/>
      <c r="AKO448" s="90"/>
      <c r="AKP448" s="90"/>
      <c r="AKQ448" s="90"/>
      <c r="AKR448" s="90"/>
      <c r="AKS448" s="90"/>
      <c r="AKT448" s="90"/>
      <c r="AKU448" s="90"/>
      <c r="AKV448" s="90"/>
      <c r="AKW448" s="90"/>
      <c r="AKX448" s="90"/>
      <c r="AKY448" s="90"/>
      <c r="AKZ448" s="90"/>
      <c r="ALA448" s="90"/>
      <c r="ALB448" s="90"/>
      <c r="ALC448" s="90"/>
      <c r="ALD448" s="90"/>
      <c r="ALE448" s="90"/>
      <c r="ALF448" s="90"/>
      <c r="ALG448" s="90"/>
      <c r="ALH448" s="90"/>
      <c r="ALI448" s="90"/>
      <c r="ALJ448" s="90"/>
      <c r="ALK448" s="90"/>
      <c r="ALL448" s="90"/>
      <c r="ALM448" s="90"/>
      <c r="ALN448" s="90"/>
      <c r="ALO448" s="90"/>
      <c r="ALP448" s="90"/>
      <c r="ALQ448" s="90"/>
      <c r="ALR448" s="90"/>
      <c r="ALS448" s="90"/>
      <c r="ALT448" s="90"/>
      <c r="ALU448" s="90"/>
      <c r="ALV448" s="90"/>
      <c r="ALW448" s="90"/>
      <c r="ALX448" s="90"/>
      <c r="ALY448" s="90"/>
      <c r="ALZ448" s="90"/>
      <c r="AMA448" s="90"/>
      <c r="AMB448" s="90"/>
      <c r="AMC448" s="90"/>
    </row>
    <row r="449" spans="1:1017">
      <c r="A449" s="98" t="s">
        <v>56</v>
      </c>
      <c r="B449" s="90" t="str">
        <f t="shared" si="2224"/>
        <v xml:space="preserve">Mujair </v>
      </c>
      <c r="E449" s="98">
        <v>276400</v>
      </c>
      <c r="F449" s="98">
        <v>4146000</v>
      </c>
      <c r="I449" s="98">
        <v>3700</v>
      </c>
      <c r="J449" s="98">
        <v>55500</v>
      </c>
      <c r="Q449" s="91">
        <f t="shared" si="2225"/>
        <v>280100</v>
      </c>
      <c r="R449" s="91">
        <f t="shared" si="2226"/>
        <v>4201500</v>
      </c>
      <c r="U449" s="98">
        <v>9430</v>
      </c>
      <c r="V449" s="98">
        <v>141450</v>
      </c>
      <c r="Y449" s="98">
        <v>5985</v>
      </c>
      <c r="Z449" s="98">
        <v>89775</v>
      </c>
      <c r="AG449" s="91">
        <f t="shared" si="2227"/>
        <v>15415</v>
      </c>
      <c r="AH449" s="91">
        <f t="shared" si="2228"/>
        <v>231225</v>
      </c>
      <c r="AW449" s="91">
        <f t="shared" si="2229"/>
        <v>0</v>
      </c>
      <c r="AX449" s="91">
        <f t="shared" si="2230"/>
        <v>0</v>
      </c>
      <c r="BM449" s="91">
        <f t="shared" si="2231"/>
        <v>0</v>
      </c>
      <c r="BN449" s="91">
        <f t="shared" si="2232"/>
        <v>0</v>
      </c>
      <c r="CC449" s="91">
        <f t="shared" si="2233"/>
        <v>0</v>
      </c>
      <c r="CD449" s="91">
        <f t="shared" si="2234"/>
        <v>0</v>
      </c>
      <c r="CG449" s="98">
        <v>137414.39999999999</v>
      </c>
      <c r="CH449" s="98">
        <v>1236730</v>
      </c>
      <c r="CK449" s="98">
        <v>168901.33780216888</v>
      </c>
      <c r="CL449" s="98">
        <v>1520112</v>
      </c>
      <c r="CS449" s="91">
        <f t="shared" si="2235"/>
        <v>306315.73780216888</v>
      </c>
      <c r="CT449" s="91">
        <f t="shared" si="2236"/>
        <v>2756842</v>
      </c>
      <c r="DI449" s="91">
        <f t="shared" si="2237"/>
        <v>0</v>
      </c>
      <c r="DJ449" s="91">
        <f t="shared" si="2238"/>
        <v>0</v>
      </c>
      <c r="DY449" s="91">
        <f t="shared" si="2239"/>
        <v>0</v>
      </c>
      <c r="DZ449" s="91">
        <f t="shared" si="2240"/>
        <v>0</v>
      </c>
      <c r="EO449" s="91">
        <f t="shared" si="2241"/>
        <v>0</v>
      </c>
      <c r="EP449" s="91">
        <f t="shared" si="2242"/>
        <v>0</v>
      </c>
      <c r="ES449" s="98">
        <v>821</v>
      </c>
      <c r="ET449" s="98">
        <v>4105</v>
      </c>
      <c r="EW449" s="98">
        <v>742</v>
      </c>
      <c r="EX449" s="98">
        <v>3710</v>
      </c>
      <c r="FE449" s="91">
        <f t="shared" si="2243"/>
        <v>1563</v>
      </c>
      <c r="FF449" s="91">
        <f t="shared" si="2244"/>
        <v>7815</v>
      </c>
      <c r="FU449" s="91">
        <f t="shared" si="2245"/>
        <v>0</v>
      </c>
      <c r="FV449" s="91">
        <f t="shared" si="2246"/>
        <v>0</v>
      </c>
      <c r="GK449" s="91">
        <f t="shared" si="2247"/>
        <v>0</v>
      </c>
      <c r="GL449" s="91">
        <f t="shared" si="2248"/>
        <v>0</v>
      </c>
      <c r="HA449" s="91">
        <f t="shared" si="2249"/>
        <v>0</v>
      </c>
      <c r="HB449" s="91">
        <f t="shared" si="2250"/>
        <v>0</v>
      </c>
      <c r="HQ449" s="91">
        <f t="shared" si="2251"/>
        <v>0</v>
      </c>
      <c r="HR449" s="91">
        <f t="shared" si="2252"/>
        <v>0</v>
      </c>
      <c r="IG449" s="91">
        <f t="shared" si="2253"/>
        <v>0</v>
      </c>
      <c r="IH449" s="91">
        <f t="shared" si="2254"/>
        <v>0</v>
      </c>
      <c r="IW449" s="91">
        <f t="shared" si="2255"/>
        <v>0</v>
      </c>
      <c r="IX449" s="91">
        <f t="shared" si="2256"/>
        <v>0</v>
      </c>
      <c r="JM449" s="91">
        <f t="shared" si="2257"/>
        <v>0</v>
      </c>
      <c r="JN449" s="91">
        <f t="shared" si="2258"/>
        <v>0</v>
      </c>
      <c r="KC449" s="91">
        <f t="shared" si="2259"/>
        <v>0</v>
      </c>
      <c r="KD449" s="91">
        <f t="shared" si="2260"/>
        <v>0</v>
      </c>
      <c r="KS449" s="91">
        <f t="shared" si="2261"/>
        <v>0</v>
      </c>
      <c r="KT449" s="91">
        <f t="shared" si="2262"/>
        <v>0</v>
      </c>
      <c r="LI449" s="91">
        <f t="shared" si="2263"/>
        <v>0</v>
      </c>
      <c r="LJ449" s="91">
        <f t="shared" si="2264"/>
        <v>0</v>
      </c>
      <c r="LY449" s="91">
        <f t="shared" si="2265"/>
        <v>0</v>
      </c>
      <c r="LZ449" s="91">
        <f t="shared" si="2266"/>
        <v>0</v>
      </c>
      <c r="MO449" s="91">
        <f t="shared" si="2267"/>
        <v>0</v>
      </c>
      <c r="MP449" s="91">
        <f t="shared" si="2268"/>
        <v>0</v>
      </c>
      <c r="MS449" s="98">
        <v>1700</v>
      </c>
      <c r="MT449" s="98">
        <v>42500</v>
      </c>
      <c r="NE449" s="91">
        <f t="shared" si="2269"/>
        <v>1700</v>
      </c>
      <c r="NF449" s="91">
        <f t="shared" si="2270"/>
        <v>42500</v>
      </c>
      <c r="NI449" s="98">
        <v>306400</v>
      </c>
      <c r="NJ449" s="98">
        <v>4902400</v>
      </c>
      <c r="NU449" s="91">
        <f t="shared" si="2271"/>
        <v>306400</v>
      </c>
      <c r="NV449" s="91">
        <f t="shared" si="2272"/>
        <v>4902400</v>
      </c>
      <c r="OK449" s="91">
        <f t="shared" si="2273"/>
        <v>0</v>
      </c>
      <c r="OL449" s="91">
        <f t="shared" si="2274"/>
        <v>0</v>
      </c>
      <c r="PA449" s="91">
        <f t="shared" si="2275"/>
        <v>0</v>
      </c>
      <c r="PB449" s="91">
        <f t="shared" si="2276"/>
        <v>0</v>
      </c>
      <c r="PQ449" s="91">
        <f t="shared" si="2277"/>
        <v>0</v>
      </c>
      <c r="PR449" s="91">
        <f t="shared" si="2278"/>
        <v>0</v>
      </c>
      <c r="PU449" s="98">
        <v>266430</v>
      </c>
      <c r="PV449" s="98">
        <v>2664500</v>
      </c>
      <c r="QG449" s="91">
        <f t="shared" si="2279"/>
        <v>266430</v>
      </c>
      <c r="QH449" s="91">
        <f t="shared" si="2280"/>
        <v>2664500</v>
      </c>
      <c r="QW449" s="91">
        <f t="shared" si="2281"/>
        <v>0</v>
      </c>
      <c r="QX449" s="91">
        <f t="shared" si="2282"/>
        <v>0</v>
      </c>
      <c r="RM449" s="91">
        <f t="shared" si="2283"/>
        <v>0</v>
      </c>
      <c r="RN449" s="91">
        <f t="shared" si="2284"/>
        <v>0</v>
      </c>
      <c r="SC449" s="91">
        <f t="shared" si="2285"/>
        <v>0</v>
      </c>
      <c r="SD449" s="91">
        <f t="shared" si="2286"/>
        <v>0</v>
      </c>
      <c r="SS449" s="91">
        <f t="shared" si="2287"/>
        <v>0</v>
      </c>
      <c r="ST449" s="91">
        <f t="shared" si="2288"/>
        <v>0</v>
      </c>
      <c r="TI449" s="91">
        <f t="shared" si="2289"/>
        <v>0</v>
      </c>
      <c r="TJ449" s="91">
        <f t="shared" si="2290"/>
        <v>0</v>
      </c>
      <c r="TY449" s="91">
        <f t="shared" si="2291"/>
        <v>0</v>
      </c>
      <c r="TZ449" s="91">
        <f t="shared" si="2292"/>
        <v>0</v>
      </c>
      <c r="UO449" s="91">
        <f t="shared" si="2293"/>
        <v>0</v>
      </c>
      <c r="UP449" s="91">
        <f t="shared" si="2294"/>
        <v>0</v>
      </c>
      <c r="VE449" s="91">
        <f t="shared" si="2295"/>
        <v>0</v>
      </c>
      <c r="VF449" s="91">
        <f t="shared" si="2296"/>
        <v>0</v>
      </c>
      <c r="VI449" s="98">
        <v>69</v>
      </c>
      <c r="VJ449" s="98">
        <v>621</v>
      </c>
      <c r="VU449" s="91">
        <f t="shared" si="2297"/>
        <v>69</v>
      </c>
      <c r="VV449" s="91">
        <f t="shared" si="2298"/>
        <v>621</v>
      </c>
      <c r="WK449" s="91">
        <f t="shared" si="2299"/>
        <v>0</v>
      </c>
      <c r="WL449" s="91">
        <f t="shared" si="2300"/>
        <v>0</v>
      </c>
      <c r="WM449" s="89"/>
      <c r="WN449" s="87">
        <f t="shared" si="2301"/>
        <v>0</v>
      </c>
      <c r="WO449" s="87">
        <f t="shared" si="2302"/>
        <v>0</v>
      </c>
      <c r="WP449" s="87">
        <f t="shared" si="2303"/>
        <v>998664.4</v>
      </c>
      <c r="WQ449" s="87">
        <f t="shared" si="2304"/>
        <v>13138306</v>
      </c>
      <c r="WR449" s="87">
        <f t="shared" si="2305"/>
        <v>0</v>
      </c>
      <c r="WS449" s="87">
        <f t="shared" si="2306"/>
        <v>0</v>
      </c>
      <c r="WT449" s="87">
        <f t="shared" si="2307"/>
        <v>179328.33780216888</v>
      </c>
      <c r="WU449" s="87">
        <f t="shared" si="2308"/>
        <v>1669097</v>
      </c>
      <c r="WV449" s="87">
        <f t="shared" si="2309"/>
        <v>0</v>
      </c>
      <c r="WW449" s="87">
        <f t="shared" si="2310"/>
        <v>0</v>
      </c>
      <c r="WX449" s="87">
        <f t="shared" si="2311"/>
        <v>0</v>
      </c>
      <c r="WY449" s="87">
        <f t="shared" si="2312"/>
        <v>0</v>
      </c>
      <c r="WZ449" s="87">
        <f t="shared" si="2313"/>
        <v>0</v>
      </c>
      <c r="XA449" s="87">
        <f t="shared" si="2314"/>
        <v>0</v>
      </c>
      <c r="XB449" s="92">
        <f t="shared" si="2315"/>
        <v>1177992.7378021688</v>
      </c>
      <c r="XC449" s="92">
        <f t="shared" si="2316"/>
        <v>14807403</v>
      </c>
      <c r="XD449" s="89"/>
      <c r="XE449" s="92"/>
      <c r="XF449" s="92"/>
      <c r="XG449" s="89"/>
      <c r="XH449" s="92"/>
      <c r="XI449" s="92"/>
      <c r="XJ449" s="89"/>
      <c r="XK449" s="87"/>
      <c r="XL449" s="87"/>
      <c r="XM449" s="87"/>
      <c r="XN449" s="87"/>
      <c r="XO449" s="87"/>
      <c r="XP449" s="87"/>
      <c r="XQ449" s="87"/>
      <c r="XR449" s="92">
        <f t="shared" ca="1" si="2317"/>
        <v>0</v>
      </c>
      <c r="XS449" s="89"/>
      <c r="XT449" s="87"/>
      <c r="XU449" s="87"/>
      <c r="XV449" s="87"/>
      <c r="XW449" s="87"/>
      <c r="XX449" s="87"/>
      <c r="XY449" s="87"/>
      <c r="XZ449" s="87"/>
      <c r="YA449" s="92">
        <f t="shared" ca="1" si="2318"/>
        <v>0</v>
      </c>
      <c r="YB449" s="90"/>
      <c r="YC449" s="90"/>
      <c r="YD449" s="90"/>
      <c r="YE449" s="90"/>
      <c r="YF449" s="90"/>
      <c r="YG449" s="90"/>
      <c r="YH449" s="90"/>
      <c r="YI449" s="90"/>
      <c r="YJ449" s="90"/>
      <c r="YK449" s="90"/>
      <c r="YL449" s="90"/>
      <c r="YM449" s="90"/>
      <c r="YN449" s="90"/>
      <c r="YO449" s="90"/>
      <c r="YP449" s="90"/>
      <c r="YQ449" s="90"/>
      <c r="YR449" s="90"/>
      <c r="YS449" s="90"/>
      <c r="YT449" s="90"/>
      <c r="YU449" s="90"/>
      <c r="YV449" s="90"/>
      <c r="YW449" s="90"/>
      <c r="YX449" s="90"/>
      <c r="YY449" s="90"/>
      <c r="YZ449" s="90"/>
      <c r="ZA449" s="90"/>
      <c r="ZB449" s="90"/>
      <c r="ZC449" s="90"/>
      <c r="ZD449" s="90"/>
      <c r="ZE449" s="90"/>
      <c r="ZF449" s="90"/>
      <c r="ZG449" s="90"/>
      <c r="ZH449" s="90"/>
      <c r="ZI449" s="90"/>
      <c r="ZJ449" s="90"/>
      <c r="ZK449" s="90"/>
      <c r="ZL449" s="90"/>
      <c r="ZM449" s="90"/>
      <c r="ZN449" s="90"/>
      <c r="ZO449" s="90"/>
      <c r="ZP449" s="90"/>
      <c r="ZQ449" s="90"/>
      <c r="ZR449" s="90"/>
      <c r="ZS449" s="90"/>
      <c r="ZT449" s="90"/>
      <c r="ZU449" s="90"/>
      <c r="ZV449" s="90"/>
      <c r="ZW449" s="90"/>
      <c r="ZX449" s="90"/>
      <c r="ZY449" s="90"/>
      <c r="ZZ449" s="90"/>
      <c r="AAA449" s="90"/>
      <c r="AAB449" s="90"/>
      <c r="AAC449" s="90"/>
      <c r="AAD449" s="90"/>
      <c r="AAE449" s="90"/>
      <c r="AAF449" s="90"/>
      <c r="AAG449" s="90"/>
      <c r="AAH449" s="90"/>
      <c r="AAI449" s="90"/>
      <c r="AAJ449" s="90"/>
      <c r="AAK449" s="90"/>
      <c r="AAL449" s="90"/>
      <c r="AAM449" s="90"/>
      <c r="AAN449" s="90"/>
      <c r="AAO449" s="90"/>
      <c r="AAP449" s="90"/>
      <c r="AAQ449" s="90"/>
      <c r="AAR449" s="90"/>
      <c r="AAS449" s="90"/>
      <c r="AAT449" s="90"/>
      <c r="AAU449" s="90"/>
      <c r="AAV449" s="90"/>
      <c r="AAW449" s="90"/>
      <c r="AAX449" s="90"/>
      <c r="AAY449" s="90"/>
      <c r="AAZ449" s="90"/>
      <c r="ABA449" s="90"/>
      <c r="ABB449" s="90"/>
      <c r="ABC449" s="90"/>
      <c r="ABD449" s="90"/>
      <c r="ABE449" s="90"/>
      <c r="ABF449" s="90"/>
      <c r="ABG449" s="90"/>
      <c r="ABH449" s="90"/>
      <c r="ABI449" s="90"/>
      <c r="ABJ449" s="90"/>
      <c r="ABK449" s="90"/>
      <c r="ABL449" s="90"/>
      <c r="ABM449" s="90"/>
      <c r="ABN449" s="90"/>
      <c r="ABO449" s="90"/>
      <c r="ABP449" s="90"/>
      <c r="ABQ449" s="90"/>
      <c r="ABR449" s="90"/>
      <c r="ABS449" s="90"/>
      <c r="ABT449" s="90"/>
      <c r="ABU449" s="90"/>
      <c r="ABV449" s="90"/>
      <c r="ABW449" s="90"/>
      <c r="ABX449" s="90"/>
      <c r="ABY449" s="90"/>
      <c r="ABZ449" s="90"/>
      <c r="ACA449" s="90"/>
      <c r="ACB449" s="90"/>
      <c r="ACC449" s="90"/>
      <c r="ACD449" s="90"/>
      <c r="ACE449" s="90"/>
      <c r="ACF449" s="90"/>
      <c r="ACG449" s="90"/>
      <c r="ACH449" s="90"/>
      <c r="ACI449" s="90"/>
      <c r="ACJ449" s="90"/>
      <c r="ACK449" s="90"/>
      <c r="ACL449" s="90"/>
      <c r="ACM449" s="90"/>
      <c r="ACN449" s="90"/>
      <c r="ACO449" s="90"/>
      <c r="ACP449" s="90"/>
      <c r="ACQ449" s="90"/>
      <c r="ACR449" s="90"/>
      <c r="ACS449" s="90"/>
      <c r="ACT449" s="90"/>
      <c r="ACU449" s="90"/>
      <c r="ACV449" s="90"/>
      <c r="ACW449" s="90"/>
      <c r="ACX449" s="90"/>
      <c r="ACY449" s="90"/>
      <c r="ACZ449" s="90"/>
      <c r="ADA449" s="90"/>
      <c r="ADB449" s="90"/>
      <c r="ADC449" s="90"/>
      <c r="ADD449" s="90"/>
      <c r="ADE449" s="90"/>
      <c r="ADF449" s="90"/>
      <c r="ADG449" s="90"/>
      <c r="ADH449" s="90"/>
      <c r="ADI449" s="90"/>
      <c r="ADJ449" s="90"/>
      <c r="ADK449" s="90"/>
      <c r="ADL449" s="90"/>
      <c r="ADM449" s="90"/>
      <c r="ADN449" s="90"/>
      <c r="ADO449" s="90"/>
      <c r="ADP449" s="90"/>
      <c r="ADQ449" s="90"/>
      <c r="ADR449" s="90"/>
      <c r="ADS449" s="90"/>
      <c r="ADT449" s="90"/>
      <c r="ADU449" s="90"/>
      <c r="ADV449" s="90"/>
      <c r="ADW449" s="90"/>
      <c r="ADX449" s="90"/>
      <c r="ADY449" s="90"/>
      <c r="ADZ449" s="90"/>
      <c r="AEA449" s="90"/>
      <c r="AEB449" s="90"/>
      <c r="AEC449" s="90"/>
      <c r="AED449" s="90"/>
      <c r="AEE449" s="90"/>
      <c r="AEF449" s="90"/>
      <c r="AEG449" s="90"/>
      <c r="AEH449" s="90"/>
      <c r="AEI449" s="90"/>
      <c r="AEJ449" s="90"/>
      <c r="AEK449" s="90"/>
      <c r="AEL449" s="90"/>
      <c r="AEM449" s="90"/>
      <c r="AEN449" s="90"/>
      <c r="AEO449" s="90"/>
      <c r="AEP449" s="90"/>
      <c r="AEQ449" s="90"/>
      <c r="AER449" s="90"/>
      <c r="AES449" s="90"/>
      <c r="AET449" s="90"/>
      <c r="AEU449" s="90"/>
      <c r="AEV449" s="90"/>
      <c r="AEW449" s="90"/>
      <c r="AEX449" s="90"/>
      <c r="AEY449" s="90"/>
      <c r="AEZ449" s="90"/>
      <c r="AFA449" s="90"/>
      <c r="AFB449" s="90"/>
      <c r="AFC449" s="90"/>
      <c r="AFD449" s="90"/>
      <c r="AFE449" s="90"/>
      <c r="AFF449" s="90"/>
      <c r="AFG449" s="90"/>
      <c r="AFH449" s="90"/>
      <c r="AFI449" s="90"/>
      <c r="AFJ449" s="90"/>
      <c r="AFK449" s="90"/>
      <c r="AFL449" s="90"/>
      <c r="AFM449" s="90"/>
      <c r="AFN449" s="90"/>
      <c r="AFO449" s="90"/>
      <c r="AFP449" s="90"/>
      <c r="AFQ449" s="90"/>
      <c r="AFR449" s="90"/>
      <c r="AFS449" s="90"/>
      <c r="AFT449" s="90"/>
      <c r="AFU449" s="90"/>
      <c r="AFV449" s="90"/>
      <c r="AFW449" s="90"/>
      <c r="AFX449" s="90"/>
      <c r="AFY449" s="90"/>
      <c r="AFZ449" s="90"/>
      <c r="AGA449" s="90"/>
      <c r="AGB449" s="90"/>
      <c r="AGC449" s="90"/>
      <c r="AGD449" s="90"/>
      <c r="AGE449" s="90"/>
      <c r="AGF449" s="90"/>
      <c r="AGG449" s="90"/>
      <c r="AGH449" s="90"/>
      <c r="AGI449" s="90"/>
      <c r="AGJ449" s="90"/>
      <c r="AGK449" s="90"/>
      <c r="AGL449" s="90"/>
      <c r="AGM449" s="90"/>
      <c r="AGN449" s="90"/>
      <c r="AGO449" s="90"/>
      <c r="AGP449" s="90"/>
      <c r="AGQ449" s="90"/>
      <c r="AGR449" s="90"/>
      <c r="AGS449" s="90"/>
      <c r="AGT449" s="90"/>
      <c r="AGU449" s="90"/>
      <c r="AGV449" s="90"/>
      <c r="AGW449" s="90"/>
      <c r="AGX449" s="90"/>
      <c r="AGY449" s="90"/>
      <c r="AGZ449" s="90"/>
      <c r="AHA449" s="90"/>
      <c r="AHB449" s="90"/>
      <c r="AHC449" s="90"/>
      <c r="AHD449" s="90"/>
      <c r="AHE449" s="90"/>
      <c r="AHF449" s="90"/>
      <c r="AHG449" s="90"/>
      <c r="AHH449" s="90"/>
      <c r="AHI449" s="90"/>
      <c r="AHJ449" s="90"/>
      <c r="AHK449" s="90"/>
      <c r="AHL449" s="90"/>
      <c r="AHM449" s="90"/>
      <c r="AHN449" s="90"/>
      <c r="AHO449" s="90"/>
      <c r="AHP449" s="90"/>
      <c r="AHQ449" s="90"/>
      <c r="AHR449" s="90"/>
      <c r="AHS449" s="90"/>
      <c r="AHT449" s="90"/>
      <c r="AHU449" s="90"/>
      <c r="AHV449" s="90"/>
      <c r="AHW449" s="90"/>
      <c r="AHX449" s="90"/>
      <c r="AHY449" s="90"/>
      <c r="AHZ449" s="90"/>
      <c r="AIA449" s="90"/>
      <c r="AIB449" s="90"/>
      <c r="AIC449" s="90"/>
      <c r="AID449" s="90"/>
      <c r="AIE449" s="90"/>
      <c r="AIF449" s="90"/>
      <c r="AIG449" s="90"/>
      <c r="AIH449" s="90"/>
      <c r="AII449" s="90"/>
      <c r="AIJ449" s="90"/>
      <c r="AIK449" s="90"/>
      <c r="AIL449" s="90"/>
      <c r="AIM449" s="90"/>
      <c r="AIN449" s="90"/>
      <c r="AIO449" s="90"/>
      <c r="AIP449" s="90"/>
      <c r="AIQ449" s="90"/>
      <c r="AIR449" s="90"/>
      <c r="AIS449" s="90"/>
      <c r="AIT449" s="90"/>
      <c r="AIU449" s="90"/>
      <c r="AIV449" s="90"/>
      <c r="AIW449" s="90"/>
      <c r="AIX449" s="90"/>
      <c r="AIY449" s="90"/>
      <c r="AIZ449" s="90"/>
      <c r="AJA449" s="90"/>
      <c r="AJB449" s="90"/>
      <c r="AJC449" s="90"/>
      <c r="AJD449" s="90"/>
      <c r="AJE449" s="90"/>
      <c r="AJF449" s="90"/>
      <c r="AJG449" s="90"/>
      <c r="AJH449" s="90"/>
      <c r="AJI449" s="90"/>
      <c r="AJJ449" s="90"/>
      <c r="AJK449" s="90"/>
      <c r="AJL449" s="90"/>
      <c r="AJM449" s="90"/>
      <c r="AJN449" s="90"/>
      <c r="AJO449" s="90"/>
      <c r="AJP449" s="90"/>
      <c r="AJQ449" s="90"/>
      <c r="AJR449" s="90"/>
      <c r="AJS449" s="90"/>
      <c r="AJT449" s="90"/>
      <c r="AJU449" s="90"/>
      <c r="AJV449" s="90"/>
      <c r="AJW449" s="90"/>
      <c r="AJX449" s="90"/>
      <c r="AJY449" s="90"/>
      <c r="AJZ449" s="90"/>
      <c r="AKA449" s="90"/>
      <c r="AKB449" s="90"/>
      <c r="AKC449" s="90"/>
      <c r="AKD449" s="90"/>
      <c r="AKE449" s="90"/>
      <c r="AKF449" s="90"/>
      <c r="AKG449" s="90"/>
      <c r="AKH449" s="90"/>
      <c r="AKI449" s="90"/>
      <c r="AKJ449" s="90"/>
      <c r="AKK449" s="90"/>
      <c r="AKL449" s="90"/>
      <c r="AKM449" s="90"/>
      <c r="AKN449" s="90"/>
      <c r="AKO449" s="90"/>
      <c r="AKP449" s="90"/>
      <c r="AKQ449" s="90"/>
      <c r="AKR449" s="90"/>
      <c r="AKS449" s="90"/>
      <c r="AKT449" s="90"/>
      <c r="AKU449" s="90"/>
      <c r="AKV449" s="90"/>
      <c r="AKW449" s="90"/>
      <c r="AKX449" s="90"/>
      <c r="AKY449" s="90"/>
      <c r="AKZ449" s="90"/>
      <c r="ALA449" s="90"/>
      <c r="ALB449" s="90"/>
      <c r="ALC449" s="90"/>
      <c r="ALD449" s="90"/>
      <c r="ALE449" s="90"/>
      <c r="ALF449" s="90"/>
      <c r="ALG449" s="90"/>
      <c r="ALH449" s="90"/>
      <c r="ALI449" s="90"/>
      <c r="ALJ449" s="90"/>
      <c r="ALK449" s="90"/>
      <c r="ALL449" s="90"/>
      <c r="ALM449" s="90"/>
      <c r="ALN449" s="90"/>
      <c r="ALO449" s="90"/>
      <c r="ALP449" s="90"/>
      <c r="ALQ449" s="90"/>
      <c r="ALR449" s="90"/>
      <c r="ALS449" s="90"/>
      <c r="ALT449" s="90"/>
      <c r="ALU449" s="90"/>
      <c r="ALV449" s="90"/>
      <c r="ALW449" s="90"/>
      <c r="ALX449" s="90"/>
      <c r="ALY449" s="90"/>
      <c r="ALZ449" s="90"/>
      <c r="AMA449" s="90"/>
      <c r="AMB449" s="90"/>
      <c r="AMC449" s="90"/>
    </row>
    <row r="450" spans="1:1017">
      <c r="A450" s="98" t="s">
        <v>56</v>
      </c>
      <c r="B450" s="90" t="str">
        <f t="shared" si="2224"/>
        <v xml:space="preserve">Nila </v>
      </c>
      <c r="I450" s="98">
        <v>13000</v>
      </c>
      <c r="J450" s="98">
        <v>364000</v>
      </c>
      <c r="Q450" s="91">
        <f t="shared" si="2225"/>
        <v>13000</v>
      </c>
      <c r="R450" s="91">
        <f t="shared" si="2226"/>
        <v>364000</v>
      </c>
      <c r="U450" s="98">
        <v>9910</v>
      </c>
      <c r="V450" s="98">
        <v>198200</v>
      </c>
      <c r="Y450" s="98">
        <v>15335</v>
      </c>
      <c r="Z450" s="98">
        <v>306700</v>
      </c>
      <c r="AA450" s="98">
        <v>2670</v>
      </c>
      <c r="AB450" s="98">
        <v>53400</v>
      </c>
      <c r="AC450" s="98">
        <v>2355</v>
      </c>
      <c r="AD450" s="98">
        <v>47100</v>
      </c>
      <c r="AE450" s="98">
        <v>1210</v>
      </c>
      <c r="AF450" s="98">
        <v>24200</v>
      </c>
      <c r="AG450" s="91">
        <f t="shared" si="2227"/>
        <v>31480</v>
      </c>
      <c r="AH450" s="91">
        <f t="shared" si="2228"/>
        <v>629600</v>
      </c>
      <c r="AO450" s="98">
        <v>75300</v>
      </c>
      <c r="AP450" s="98">
        <v>1807200</v>
      </c>
      <c r="AQ450" s="98">
        <v>100</v>
      </c>
      <c r="AR450" s="98">
        <v>2400</v>
      </c>
      <c r="AU450" s="98">
        <v>1770</v>
      </c>
      <c r="AV450" s="98">
        <v>42480</v>
      </c>
      <c r="AW450" s="91">
        <f t="shared" si="2229"/>
        <v>77170</v>
      </c>
      <c r="AX450" s="91">
        <f t="shared" si="2230"/>
        <v>1852080</v>
      </c>
      <c r="BE450" s="98">
        <v>92112</v>
      </c>
      <c r="BF450" s="98">
        <v>2302800</v>
      </c>
      <c r="BG450" s="98">
        <v>955</v>
      </c>
      <c r="BH450" s="98">
        <v>23875</v>
      </c>
      <c r="BK450" s="98">
        <v>1132</v>
      </c>
      <c r="BL450" s="98">
        <v>28300</v>
      </c>
      <c r="BM450" s="91">
        <f t="shared" si="2231"/>
        <v>94199</v>
      </c>
      <c r="BN450" s="91">
        <f t="shared" si="2232"/>
        <v>2354975</v>
      </c>
      <c r="BU450" s="98">
        <v>7958</v>
      </c>
      <c r="BV450" s="98">
        <v>214866</v>
      </c>
      <c r="CC450" s="91">
        <f t="shared" si="2233"/>
        <v>7958</v>
      </c>
      <c r="CD450" s="91">
        <f t="shared" si="2234"/>
        <v>214866</v>
      </c>
      <c r="CG450" s="98">
        <v>46788.767883</v>
      </c>
      <c r="CH450" s="98">
        <v>748620</v>
      </c>
      <c r="CK450" s="98">
        <v>89370.489999999991</v>
      </c>
      <c r="CL450" s="98">
        <v>1429928</v>
      </c>
      <c r="CS450" s="91">
        <f t="shared" si="2235"/>
        <v>136159.25788299998</v>
      </c>
      <c r="CT450" s="91">
        <f t="shared" si="2236"/>
        <v>2178548</v>
      </c>
      <c r="DA450" s="98">
        <v>96240</v>
      </c>
      <c r="DB450" s="98">
        <v>2406000</v>
      </c>
      <c r="DC450" s="98">
        <v>4408</v>
      </c>
      <c r="DD450" s="98">
        <v>110200</v>
      </c>
      <c r="DI450" s="91">
        <f t="shared" si="2237"/>
        <v>100648</v>
      </c>
      <c r="DJ450" s="91">
        <f t="shared" si="2238"/>
        <v>2516200</v>
      </c>
      <c r="DQ450" s="98">
        <v>21000</v>
      </c>
      <c r="DR450" s="98">
        <v>504000</v>
      </c>
      <c r="DY450" s="91">
        <f t="shared" si="2239"/>
        <v>21000</v>
      </c>
      <c r="DZ450" s="91">
        <f t="shared" si="2240"/>
        <v>504000</v>
      </c>
      <c r="EG450" s="98">
        <v>375200</v>
      </c>
      <c r="EH450" s="98">
        <v>7879200</v>
      </c>
      <c r="EO450" s="91">
        <f t="shared" si="2241"/>
        <v>375200</v>
      </c>
      <c r="EP450" s="91">
        <f t="shared" si="2242"/>
        <v>7879200</v>
      </c>
      <c r="ES450" s="98">
        <v>11324</v>
      </c>
      <c r="ET450" s="98">
        <v>226480</v>
      </c>
      <c r="EW450" s="98">
        <v>66401</v>
      </c>
      <c r="EX450" s="98">
        <v>1328020</v>
      </c>
      <c r="FC450" s="98">
        <v>202</v>
      </c>
      <c r="FD450" s="98">
        <v>4040</v>
      </c>
      <c r="FE450" s="91">
        <f t="shared" si="2243"/>
        <v>77927</v>
      </c>
      <c r="FF450" s="91">
        <f t="shared" si="2244"/>
        <v>1558540</v>
      </c>
      <c r="FM450" s="98">
        <v>70000</v>
      </c>
      <c r="FN450" s="98">
        <v>1820000</v>
      </c>
      <c r="FS450" s="98">
        <v>85000</v>
      </c>
      <c r="FT450" s="98">
        <v>2550000</v>
      </c>
      <c r="FU450" s="91">
        <f t="shared" si="2245"/>
        <v>155000</v>
      </c>
      <c r="FV450" s="91">
        <f t="shared" si="2246"/>
        <v>4370000</v>
      </c>
      <c r="GC450" s="98">
        <v>45500</v>
      </c>
      <c r="GD450" s="98">
        <v>1228500</v>
      </c>
      <c r="GK450" s="91">
        <f t="shared" si="2247"/>
        <v>45500</v>
      </c>
      <c r="GL450" s="91">
        <f t="shared" si="2248"/>
        <v>1228500</v>
      </c>
      <c r="GS450" s="98">
        <v>11500</v>
      </c>
      <c r="GT450" s="98">
        <v>322000</v>
      </c>
      <c r="GY450" s="98">
        <v>100</v>
      </c>
      <c r="GZ450" s="98">
        <v>2800</v>
      </c>
      <c r="HA450" s="91">
        <f t="shared" si="2249"/>
        <v>11600</v>
      </c>
      <c r="HB450" s="91">
        <f t="shared" si="2250"/>
        <v>324800</v>
      </c>
      <c r="HI450" s="98">
        <v>95000</v>
      </c>
      <c r="HJ450" s="98">
        <v>2185000</v>
      </c>
      <c r="HO450" s="98">
        <v>650000</v>
      </c>
      <c r="HP450" s="98">
        <v>14950000</v>
      </c>
      <c r="HQ450" s="91">
        <f t="shared" si="2251"/>
        <v>745000</v>
      </c>
      <c r="HR450" s="91">
        <f t="shared" si="2252"/>
        <v>17135000</v>
      </c>
      <c r="HY450" s="98">
        <v>8000</v>
      </c>
      <c r="HZ450" s="98">
        <v>224000</v>
      </c>
      <c r="IG450" s="91">
        <f t="shared" si="2253"/>
        <v>8000</v>
      </c>
      <c r="IH450" s="91">
        <f t="shared" si="2254"/>
        <v>224000</v>
      </c>
      <c r="IO450" s="98">
        <v>11200</v>
      </c>
      <c r="IP450" s="98">
        <v>291200</v>
      </c>
      <c r="IW450" s="91">
        <f t="shared" si="2255"/>
        <v>11200</v>
      </c>
      <c r="IX450" s="91">
        <f t="shared" si="2256"/>
        <v>291200</v>
      </c>
      <c r="JE450" s="98">
        <v>7640</v>
      </c>
      <c r="JF450" s="98">
        <v>168080</v>
      </c>
      <c r="JK450" s="98">
        <v>1950</v>
      </c>
      <c r="JL450" s="98">
        <v>42900</v>
      </c>
      <c r="JM450" s="91">
        <f t="shared" si="2257"/>
        <v>9590</v>
      </c>
      <c r="JN450" s="91">
        <f t="shared" si="2258"/>
        <v>210980</v>
      </c>
      <c r="JU450" s="98">
        <v>42737</v>
      </c>
      <c r="JV450" s="98">
        <v>1495795</v>
      </c>
      <c r="KC450" s="91">
        <f t="shared" si="2259"/>
        <v>42737</v>
      </c>
      <c r="KD450" s="91">
        <f t="shared" si="2260"/>
        <v>1495795</v>
      </c>
      <c r="KK450" s="98">
        <v>310</v>
      </c>
      <c r="KL450" s="98">
        <v>7750</v>
      </c>
      <c r="KS450" s="91">
        <f t="shared" si="2261"/>
        <v>310</v>
      </c>
      <c r="KT450" s="91">
        <f t="shared" si="2262"/>
        <v>7750</v>
      </c>
      <c r="KW450" s="98">
        <v>2970.18</v>
      </c>
      <c r="KX450" s="98">
        <v>47522</v>
      </c>
      <c r="LA450" s="98">
        <v>5545.22</v>
      </c>
      <c r="LB450" s="98">
        <v>105359</v>
      </c>
      <c r="LG450" s="98">
        <v>7989.88</v>
      </c>
      <c r="LH450" s="98">
        <v>207736</v>
      </c>
      <c r="LI450" s="91">
        <f t="shared" si="2263"/>
        <v>16505.28</v>
      </c>
      <c r="LJ450" s="91">
        <f t="shared" si="2264"/>
        <v>360617</v>
      </c>
      <c r="LQ450" s="98">
        <v>4302</v>
      </c>
      <c r="LR450" s="98">
        <v>116154</v>
      </c>
      <c r="LW450" s="98">
        <v>1490</v>
      </c>
      <c r="LX450" s="98">
        <v>47680</v>
      </c>
      <c r="LY450" s="91">
        <f t="shared" si="2265"/>
        <v>5792</v>
      </c>
      <c r="LZ450" s="91">
        <f t="shared" si="2266"/>
        <v>163834</v>
      </c>
      <c r="MC450" s="98">
        <v>4470</v>
      </c>
      <c r="MD450" s="98">
        <v>80460</v>
      </c>
      <c r="MG450" s="98">
        <v>1680</v>
      </c>
      <c r="MH450" s="98">
        <v>30240</v>
      </c>
      <c r="MM450" s="98">
        <v>7920</v>
      </c>
      <c r="MN450" s="98">
        <v>142560</v>
      </c>
      <c r="MO450" s="91">
        <f t="shared" si="2267"/>
        <v>14070</v>
      </c>
      <c r="MP450" s="91">
        <f t="shared" si="2268"/>
        <v>253260</v>
      </c>
      <c r="MW450" s="98">
        <v>20</v>
      </c>
      <c r="MX450" s="98">
        <f>MW450*30</f>
        <v>600</v>
      </c>
      <c r="NE450" s="91">
        <f t="shared" si="2269"/>
        <v>20</v>
      </c>
      <c r="NF450" s="91">
        <f t="shared" si="2270"/>
        <v>600</v>
      </c>
      <c r="NI450" s="98">
        <v>1003411</v>
      </c>
      <c r="NJ450" s="98">
        <v>18061398</v>
      </c>
      <c r="NM450" s="98">
        <v>62000</v>
      </c>
      <c r="NN450" s="98">
        <v>1116000</v>
      </c>
      <c r="NO450" s="98">
        <v>462800</v>
      </c>
      <c r="NP450" s="98">
        <v>8330400</v>
      </c>
      <c r="NQ450" s="98">
        <v>7100</v>
      </c>
      <c r="NR450" s="98">
        <v>127800</v>
      </c>
      <c r="NU450" s="91">
        <f t="shared" si="2271"/>
        <v>1535311</v>
      </c>
      <c r="NV450" s="91">
        <f t="shared" si="2272"/>
        <v>27635598</v>
      </c>
      <c r="OK450" s="91">
        <f t="shared" si="2273"/>
        <v>0</v>
      </c>
      <c r="OL450" s="91">
        <f t="shared" si="2274"/>
        <v>0</v>
      </c>
      <c r="OO450" s="98">
        <v>4969</v>
      </c>
      <c r="OP450" s="98">
        <v>173915</v>
      </c>
      <c r="PA450" s="91">
        <f t="shared" si="2275"/>
        <v>4969</v>
      </c>
      <c r="PB450" s="91">
        <f t="shared" si="2276"/>
        <v>173915</v>
      </c>
      <c r="PI450" s="98">
        <v>12767</v>
      </c>
      <c r="PJ450" s="98">
        <v>268107</v>
      </c>
      <c r="PQ450" s="91">
        <f t="shared" si="2277"/>
        <v>12767</v>
      </c>
      <c r="PR450" s="91">
        <f t="shared" si="2278"/>
        <v>268107</v>
      </c>
      <c r="PU450" s="98">
        <v>262610</v>
      </c>
      <c r="PV450" s="98">
        <v>4726980</v>
      </c>
      <c r="PY450" s="98">
        <v>435300</v>
      </c>
      <c r="PZ450" s="98">
        <v>7835400</v>
      </c>
      <c r="QA450" s="98">
        <v>146010</v>
      </c>
      <c r="QB450" s="98">
        <v>2628180</v>
      </c>
      <c r="QC450" s="98">
        <v>340410</v>
      </c>
      <c r="QD450" s="98">
        <v>6127380</v>
      </c>
      <c r="QG450" s="91">
        <f t="shared" si="2279"/>
        <v>1184330</v>
      </c>
      <c r="QH450" s="91">
        <f t="shared" si="2280"/>
        <v>21317940</v>
      </c>
      <c r="QO450" s="98">
        <v>10000</v>
      </c>
      <c r="QP450" s="98">
        <v>180000</v>
      </c>
      <c r="QW450" s="91">
        <f t="shared" si="2281"/>
        <v>10000</v>
      </c>
      <c r="QX450" s="91">
        <f t="shared" si="2282"/>
        <v>180000</v>
      </c>
      <c r="RE450" s="98">
        <v>2907</v>
      </c>
      <c r="RF450" s="98">
        <f>RE450*27</f>
        <v>78489</v>
      </c>
      <c r="RM450" s="91">
        <f t="shared" si="2283"/>
        <v>2907</v>
      </c>
      <c r="RN450" s="91">
        <f t="shared" si="2284"/>
        <v>78489</v>
      </c>
      <c r="RU450" s="98">
        <v>4670</v>
      </c>
      <c r="RV450" s="98">
        <v>130760</v>
      </c>
      <c r="SC450" s="91">
        <f t="shared" si="2285"/>
        <v>4670</v>
      </c>
      <c r="SD450" s="91">
        <f t="shared" si="2286"/>
        <v>130760</v>
      </c>
      <c r="SS450" s="91">
        <f t="shared" si="2287"/>
        <v>0</v>
      </c>
      <c r="ST450" s="91">
        <f t="shared" si="2288"/>
        <v>0</v>
      </c>
      <c r="TA450" s="98">
        <v>2830</v>
      </c>
      <c r="TB450" s="98">
        <v>84900</v>
      </c>
      <c r="TI450" s="91">
        <f t="shared" si="2289"/>
        <v>2830</v>
      </c>
      <c r="TJ450" s="91">
        <f t="shared" si="2290"/>
        <v>84900</v>
      </c>
      <c r="TQ450" s="98">
        <v>5650</v>
      </c>
      <c r="TR450" s="98">
        <v>141250</v>
      </c>
      <c r="TU450" s="98">
        <v>3500</v>
      </c>
      <c r="TV450" s="98">
        <v>105000</v>
      </c>
      <c r="TY450" s="91">
        <f t="shared" si="2291"/>
        <v>9150</v>
      </c>
      <c r="TZ450" s="91">
        <f t="shared" si="2292"/>
        <v>246250</v>
      </c>
      <c r="UG450" s="98">
        <v>550</v>
      </c>
      <c r="UH450" s="98">
        <v>12650</v>
      </c>
      <c r="UO450" s="91">
        <f t="shared" si="2293"/>
        <v>550</v>
      </c>
      <c r="UP450" s="91">
        <f t="shared" si="2294"/>
        <v>12650</v>
      </c>
      <c r="VE450" s="91">
        <f t="shared" si="2295"/>
        <v>0</v>
      </c>
      <c r="VF450" s="91">
        <f t="shared" si="2296"/>
        <v>0</v>
      </c>
      <c r="VI450" s="98">
        <v>4210</v>
      </c>
      <c r="VJ450" s="98">
        <v>105250</v>
      </c>
      <c r="VM450" s="98">
        <v>2887</v>
      </c>
      <c r="VN450" s="98">
        <v>77949</v>
      </c>
      <c r="VU450" s="91">
        <f t="shared" si="2297"/>
        <v>7097</v>
      </c>
      <c r="VV450" s="91">
        <f t="shared" si="2298"/>
        <v>183199</v>
      </c>
      <c r="VY450" s="98">
        <v>53580</v>
      </c>
      <c r="VZ450" s="98">
        <v>1607400</v>
      </c>
      <c r="WC450" s="98">
        <v>150450</v>
      </c>
      <c r="WD450" s="98">
        <v>742400</v>
      </c>
      <c r="WK450" s="91">
        <f t="shared" si="2299"/>
        <v>204030</v>
      </c>
      <c r="WL450" s="91">
        <f t="shared" si="2300"/>
        <v>2349800</v>
      </c>
      <c r="WM450" s="89"/>
      <c r="WN450" s="87">
        <f t="shared" si="2301"/>
        <v>0</v>
      </c>
      <c r="WO450" s="87">
        <f t="shared" si="2302"/>
        <v>0</v>
      </c>
      <c r="WP450" s="87">
        <f t="shared" si="2303"/>
        <v>1404242.9478829999</v>
      </c>
      <c r="WQ450" s="87">
        <f t="shared" si="2304"/>
        <v>25976225</v>
      </c>
      <c r="WR450" s="87">
        <f t="shared" si="2305"/>
        <v>0</v>
      </c>
      <c r="WS450" s="87">
        <f t="shared" si="2306"/>
        <v>0</v>
      </c>
      <c r="WT450" s="87">
        <f t="shared" si="2307"/>
        <v>1845361.71</v>
      </c>
      <c r="WU450" s="87">
        <f t="shared" si="2308"/>
        <v>37205297</v>
      </c>
      <c r="WV450" s="87">
        <f t="shared" si="2309"/>
        <v>616943</v>
      </c>
      <c r="WW450" s="87">
        <f t="shared" si="2310"/>
        <v>11148455</v>
      </c>
      <c r="WX450" s="87">
        <f t="shared" si="2311"/>
        <v>353365</v>
      </c>
      <c r="WY450" s="87">
        <f t="shared" si="2312"/>
        <v>6407280</v>
      </c>
      <c r="WZ450" s="87">
        <f t="shared" si="2313"/>
        <v>758763.88</v>
      </c>
      <c r="XA450" s="87">
        <f t="shared" si="2314"/>
        <v>18042696</v>
      </c>
      <c r="XB450" s="92">
        <f t="shared" si="2315"/>
        <v>4978676.5378829995</v>
      </c>
      <c r="XC450" s="92">
        <f t="shared" si="2316"/>
        <v>98779953</v>
      </c>
      <c r="XD450" s="89"/>
      <c r="XE450" s="92"/>
      <c r="XF450" s="92"/>
      <c r="XG450" s="89"/>
      <c r="XH450" s="92"/>
      <c r="XI450" s="92"/>
      <c r="XJ450" s="89"/>
      <c r="XK450" s="87"/>
      <c r="XL450" s="87"/>
      <c r="XM450" s="87"/>
      <c r="XN450" s="87"/>
      <c r="XO450" s="87"/>
      <c r="XP450" s="87"/>
      <c r="XQ450" s="87"/>
      <c r="XR450" s="92">
        <f t="shared" ca="1" si="2317"/>
        <v>0</v>
      </c>
      <c r="XS450" s="89"/>
      <c r="XT450" s="87"/>
      <c r="XU450" s="87"/>
      <c r="XV450" s="87"/>
      <c r="XW450" s="87"/>
      <c r="XX450" s="87"/>
      <c r="XY450" s="87"/>
      <c r="XZ450" s="87"/>
      <c r="YA450" s="92">
        <f t="shared" ca="1" si="2318"/>
        <v>0</v>
      </c>
      <c r="YB450" s="90"/>
      <c r="YC450" s="90"/>
      <c r="YD450" s="90"/>
      <c r="YE450" s="90"/>
      <c r="YF450" s="90"/>
      <c r="YG450" s="90"/>
      <c r="YH450" s="90"/>
      <c r="YI450" s="90"/>
      <c r="YJ450" s="90"/>
      <c r="YK450" s="90"/>
      <c r="YL450" s="90"/>
      <c r="YM450" s="90"/>
      <c r="YN450" s="90"/>
      <c r="YO450" s="90"/>
      <c r="YP450" s="90"/>
      <c r="YQ450" s="90"/>
      <c r="YR450" s="90"/>
      <c r="YS450" s="90"/>
      <c r="YT450" s="90"/>
      <c r="YU450" s="90"/>
      <c r="YV450" s="90"/>
      <c r="YW450" s="90"/>
      <c r="YX450" s="90"/>
      <c r="YY450" s="90"/>
      <c r="YZ450" s="90"/>
      <c r="ZA450" s="90"/>
      <c r="ZB450" s="90"/>
      <c r="ZC450" s="90"/>
      <c r="ZD450" s="90"/>
      <c r="ZE450" s="90"/>
      <c r="ZF450" s="90"/>
      <c r="ZG450" s="90"/>
      <c r="ZH450" s="90"/>
      <c r="ZI450" s="90"/>
      <c r="ZJ450" s="90"/>
      <c r="ZK450" s="90"/>
      <c r="ZL450" s="90"/>
      <c r="ZM450" s="90"/>
      <c r="ZN450" s="90"/>
      <c r="ZO450" s="90"/>
      <c r="ZP450" s="90"/>
      <c r="ZQ450" s="90"/>
      <c r="ZR450" s="90"/>
      <c r="ZS450" s="90"/>
      <c r="ZT450" s="90"/>
      <c r="ZU450" s="90"/>
      <c r="ZV450" s="90"/>
      <c r="ZW450" s="90"/>
      <c r="ZX450" s="90"/>
      <c r="ZY450" s="90"/>
      <c r="ZZ450" s="90"/>
      <c r="AAA450" s="90"/>
      <c r="AAB450" s="90"/>
      <c r="AAC450" s="90"/>
      <c r="AAD450" s="90"/>
      <c r="AAE450" s="90"/>
      <c r="AAF450" s="90"/>
      <c r="AAG450" s="90"/>
      <c r="AAH450" s="90"/>
      <c r="AAI450" s="90"/>
      <c r="AAJ450" s="90"/>
      <c r="AAK450" s="90"/>
      <c r="AAL450" s="90"/>
      <c r="AAM450" s="90"/>
      <c r="AAN450" s="90"/>
      <c r="AAO450" s="90"/>
      <c r="AAP450" s="90"/>
      <c r="AAQ450" s="90"/>
      <c r="AAR450" s="90"/>
      <c r="AAS450" s="90"/>
      <c r="AAT450" s="90"/>
      <c r="AAU450" s="90"/>
      <c r="AAV450" s="90"/>
      <c r="AAW450" s="90"/>
      <c r="AAX450" s="90"/>
      <c r="AAY450" s="90"/>
      <c r="AAZ450" s="90"/>
      <c r="ABA450" s="90"/>
      <c r="ABB450" s="90"/>
      <c r="ABC450" s="90"/>
      <c r="ABD450" s="90"/>
      <c r="ABE450" s="90"/>
      <c r="ABF450" s="90"/>
      <c r="ABG450" s="90"/>
      <c r="ABH450" s="90"/>
      <c r="ABI450" s="90"/>
      <c r="ABJ450" s="90"/>
      <c r="ABK450" s="90"/>
      <c r="ABL450" s="90"/>
      <c r="ABM450" s="90"/>
      <c r="ABN450" s="90"/>
      <c r="ABO450" s="90"/>
      <c r="ABP450" s="90"/>
      <c r="ABQ450" s="90"/>
      <c r="ABR450" s="90"/>
      <c r="ABS450" s="90"/>
      <c r="ABT450" s="90"/>
      <c r="ABU450" s="90"/>
      <c r="ABV450" s="90"/>
      <c r="ABW450" s="90"/>
      <c r="ABX450" s="90"/>
      <c r="ABY450" s="90"/>
      <c r="ABZ450" s="90"/>
      <c r="ACA450" s="90"/>
      <c r="ACB450" s="90"/>
      <c r="ACC450" s="90"/>
      <c r="ACD450" s="90"/>
      <c r="ACE450" s="90"/>
      <c r="ACF450" s="90"/>
      <c r="ACG450" s="90"/>
      <c r="ACH450" s="90"/>
      <c r="ACI450" s="90"/>
      <c r="ACJ450" s="90"/>
      <c r="ACK450" s="90"/>
      <c r="ACL450" s="90"/>
      <c r="ACM450" s="90"/>
      <c r="ACN450" s="90"/>
      <c r="ACO450" s="90"/>
      <c r="ACP450" s="90"/>
      <c r="ACQ450" s="90"/>
      <c r="ACR450" s="90"/>
      <c r="ACS450" s="90"/>
      <c r="ACT450" s="90"/>
      <c r="ACU450" s="90"/>
      <c r="ACV450" s="90"/>
      <c r="ACW450" s="90"/>
      <c r="ACX450" s="90"/>
      <c r="ACY450" s="90"/>
      <c r="ACZ450" s="90"/>
      <c r="ADA450" s="90"/>
      <c r="ADB450" s="90"/>
      <c r="ADC450" s="90"/>
      <c r="ADD450" s="90"/>
      <c r="ADE450" s="90"/>
      <c r="ADF450" s="90"/>
      <c r="ADG450" s="90"/>
      <c r="ADH450" s="90"/>
      <c r="ADI450" s="90"/>
      <c r="ADJ450" s="90"/>
      <c r="ADK450" s="90"/>
      <c r="ADL450" s="90"/>
      <c r="ADM450" s="90"/>
      <c r="ADN450" s="90"/>
      <c r="ADO450" s="90"/>
      <c r="ADP450" s="90"/>
      <c r="ADQ450" s="90"/>
      <c r="ADR450" s="90"/>
      <c r="ADS450" s="90"/>
      <c r="ADT450" s="90"/>
      <c r="ADU450" s="90"/>
      <c r="ADV450" s="90"/>
      <c r="ADW450" s="90"/>
      <c r="ADX450" s="90"/>
      <c r="ADY450" s="90"/>
      <c r="ADZ450" s="90"/>
      <c r="AEA450" s="90"/>
      <c r="AEB450" s="90"/>
      <c r="AEC450" s="90"/>
      <c r="AED450" s="90"/>
      <c r="AEE450" s="90"/>
      <c r="AEF450" s="90"/>
      <c r="AEG450" s="90"/>
      <c r="AEH450" s="90"/>
      <c r="AEI450" s="90"/>
      <c r="AEJ450" s="90"/>
      <c r="AEK450" s="90"/>
      <c r="AEL450" s="90"/>
      <c r="AEM450" s="90"/>
      <c r="AEN450" s="90"/>
      <c r="AEO450" s="90"/>
      <c r="AEP450" s="90"/>
      <c r="AEQ450" s="90"/>
      <c r="AER450" s="90"/>
      <c r="AES450" s="90"/>
      <c r="AET450" s="90"/>
      <c r="AEU450" s="90"/>
      <c r="AEV450" s="90"/>
      <c r="AEW450" s="90"/>
      <c r="AEX450" s="90"/>
      <c r="AEY450" s="90"/>
      <c r="AEZ450" s="90"/>
      <c r="AFA450" s="90"/>
      <c r="AFB450" s="90"/>
      <c r="AFC450" s="90"/>
      <c r="AFD450" s="90"/>
      <c r="AFE450" s="90"/>
      <c r="AFF450" s="90"/>
      <c r="AFG450" s="90"/>
      <c r="AFH450" s="90"/>
      <c r="AFI450" s="90"/>
      <c r="AFJ450" s="90"/>
      <c r="AFK450" s="90"/>
      <c r="AFL450" s="90"/>
      <c r="AFM450" s="90"/>
      <c r="AFN450" s="90"/>
      <c r="AFO450" s="90"/>
      <c r="AFP450" s="90"/>
      <c r="AFQ450" s="90"/>
      <c r="AFR450" s="90"/>
      <c r="AFS450" s="90"/>
      <c r="AFT450" s="90"/>
      <c r="AFU450" s="90"/>
      <c r="AFV450" s="90"/>
      <c r="AFW450" s="90"/>
      <c r="AFX450" s="90"/>
      <c r="AFY450" s="90"/>
      <c r="AFZ450" s="90"/>
      <c r="AGA450" s="90"/>
      <c r="AGB450" s="90"/>
      <c r="AGC450" s="90"/>
      <c r="AGD450" s="90"/>
      <c r="AGE450" s="90"/>
      <c r="AGF450" s="90"/>
      <c r="AGG450" s="90"/>
      <c r="AGH450" s="90"/>
      <c r="AGI450" s="90"/>
      <c r="AGJ450" s="90"/>
      <c r="AGK450" s="90"/>
      <c r="AGL450" s="90"/>
      <c r="AGM450" s="90"/>
      <c r="AGN450" s="90"/>
      <c r="AGO450" s="90"/>
      <c r="AGP450" s="90"/>
      <c r="AGQ450" s="90"/>
      <c r="AGR450" s="90"/>
      <c r="AGS450" s="90"/>
      <c r="AGT450" s="90"/>
      <c r="AGU450" s="90"/>
      <c r="AGV450" s="90"/>
      <c r="AGW450" s="90"/>
      <c r="AGX450" s="90"/>
      <c r="AGY450" s="90"/>
      <c r="AGZ450" s="90"/>
      <c r="AHA450" s="90"/>
      <c r="AHB450" s="90"/>
      <c r="AHC450" s="90"/>
      <c r="AHD450" s="90"/>
      <c r="AHE450" s="90"/>
      <c r="AHF450" s="90"/>
      <c r="AHG450" s="90"/>
      <c r="AHH450" s="90"/>
      <c r="AHI450" s="90"/>
      <c r="AHJ450" s="90"/>
      <c r="AHK450" s="90"/>
      <c r="AHL450" s="90"/>
      <c r="AHM450" s="90"/>
      <c r="AHN450" s="90"/>
      <c r="AHO450" s="90"/>
      <c r="AHP450" s="90"/>
      <c r="AHQ450" s="90"/>
      <c r="AHR450" s="90"/>
      <c r="AHS450" s="90"/>
      <c r="AHT450" s="90"/>
      <c r="AHU450" s="90"/>
      <c r="AHV450" s="90"/>
      <c r="AHW450" s="90"/>
      <c r="AHX450" s="90"/>
      <c r="AHY450" s="90"/>
      <c r="AHZ450" s="90"/>
      <c r="AIA450" s="90"/>
      <c r="AIB450" s="90"/>
      <c r="AIC450" s="90"/>
      <c r="AID450" s="90"/>
      <c r="AIE450" s="90"/>
      <c r="AIF450" s="90"/>
      <c r="AIG450" s="90"/>
      <c r="AIH450" s="90"/>
      <c r="AII450" s="90"/>
      <c r="AIJ450" s="90"/>
      <c r="AIK450" s="90"/>
      <c r="AIL450" s="90"/>
      <c r="AIM450" s="90"/>
      <c r="AIN450" s="90"/>
      <c r="AIO450" s="90"/>
      <c r="AIP450" s="90"/>
      <c r="AIQ450" s="90"/>
      <c r="AIR450" s="90"/>
      <c r="AIS450" s="90"/>
      <c r="AIT450" s="90"/>
      <c r="AIU450" s="90"/>
      <c r="AIV450" s="90"/>
      <c r="AIW450" s="90"/>
      <c r="AIX450" s="90"/>
      <c r="AIY450" s="90"/>
      <c r="AIZ450" s="90"/>
      <c r="AJA450" s="90"/>
      <c r="AJB450" s="90"/>
      <c r="AJC450" s="90"/>
      <c r="AJD450" s="90"/>
      <c r="AJE450" s="90"/>
      <c r="AJF450" s="90"/>
      <c r="AJG450" s="90"/>
      <c r="AJH450" s="90"/>
      <c r="AJI450" s="90"/>
      <c r="AJJ450" s="90"/>
      <c r="AJK450" s="90"/>
      <c r="AJL450" s="90"/>
      <c r="AJM450" s="90"/>
      <c r="AJN450" s="90"/>
      <c r="AJO450" s="90"/>
      <c r="AJP450" s="90"/>
      <c r="AJQ450" s="90"/>
      <c r="AJR450" s="90"/>
      <c r="AJS450" s="90"/>
      <c r="AJT450" s="90"/>
      <c r="AJU450" s="90"/>
      <c r="AJV450" s="90"/>
      <c r="AJW450" s="90"/>
      <c r="AJX450" s="90"/>
      <c r="AJY450" s="90"/>
      <c r="AJZ450" s="90"/>
      <c r="AKA450" s="90"/>
      <c r="AKB450" s="90"/>
      <c r="AKC450" s="90"/>
      <c r="AKD450" s="90"/>
      <c r="AKE450" s="90"/>
      <c r="AKF450" s="90"/>
      <c r="AKG450" s="90"/>
      <c r="AKH450" s="90"/>
      <c r="AKI450" s="90"/>
      <c r="AKJ450" s="90"/>
      <c r="AKK450" s="90"/>
      <c r="AKL450" s="90"/>
      <c r="AKM450" s="90"/>
      <c r="AKN450" s="90"/>
      <c r="AKO450" s="90"/>
      <c r="AKP450" s="90"/>
      <c r="AKQ450" s="90"/>
      <c r="AKR450" s="90"/>
      <c r="AKS450" s="90"/>
      <c r="AKT450" s="90"/>
      <c r="AKU450" s="90"/>
      <c r="AKV450" s="90"/>
      <c r="AKW450" s="90"/>
      <c r="AKX450" s="90"/>
      <c r="AKY450" s="90"/>
      <c r="AKZ450" s="90"/>
      <c r="ALA450" s="90"/>
      <c r="ALB450" s="90"/>
      <c r="ALC450" s="90"/>
      <c r="ALD450" s="90"/>
      <c r="ALE450" s="90"/>
      <c r="ALF450" s="90"/>
      <c r="ALG450" s="90"/>
      <c r="ALH450" s="90"/>
      <c r="ALI450" s="90"/>
      <c r="ALJ450" s="90"/>
      <c r="ALK450" s="90"/>
      <c r="ALL450" s="90"/>
      <c r="ALM450" s="90"/>
      <c r="ALN450" s="90"/>
      <c r="ALO450" s="90"/>
      <c r="ALP450" s="90"/>
      <c r="ALQ450" s="90"/>
      <c r="ALR450" s="90"/>
      <c r="ALS450" s="90"/>
      <c r="ALT450" s="90"/>
      <c r="ALU450" s="90"/>
      <c r="ALV450" s="90"/>
      <c r="ALW450" s="90"/>
      <c r="ALX450" s="90"/>
      <c r="ALY450" s="90"/>
      <c r="ALZ450" s="90"/>
      <c r="AMA450" s="90"/>
      <c r="AMB450" s="90"/>
      <c r="AMC450" s="90"/>
    </row>
    <row r="451" spans="1:1017">
      <c r="A451" s="98" t="s">
        <v>56</v>
      </c>
      <c r="B451" s="90" t="str">
        <f t="shared" si="2224"/>
        <v xml:space="preserve">Patin </v>
      </c>
      <c r="Q451" s="91">
        <f t="shared" si="2225"/>
        <v>0</v>
      </c>
      <c r="R451" s="91">
        <f t="shared" si="2226"/>
        <v>0</v>
      </c>
      <c r="Y451" s="98">
        <v>201480</v>
      </c>
      <c r="Z451" s="98">
        <v>4029600</v>
      </c>
      <c r="AG451" s="91">
        <f t="shared" si="2227"/>
        <v>201480</v>
      </c>
      <c r="AH451" s="91">
        <f t="shared" si="2228"/>
        <v>4029600</v>
      </c>
      <c r="AO451" s="98">
        <v>11700</v>
      </c>
      <c r="AP451" s="98">
        <v>245700</v>
      </c>
      <c r="AW451" s="91">
        <f t="shared" si="2229"/>
        <v>11700</v>
      </c>
      <c r="AX451" s="91">
        <f t="shared" si="2230"/>
        <v>245700</v>
      </c>
      <c r="BE451" s="98">
        <v>26825</v>
      </c>
      <c r="BF451" s="98">
        <v>482850</v>
      </c>
      <c r="BK451" s="98">
        <v>1298</v>
      </c>
      <c r="BL451" s="98">
        <v>23364</v>
      </c>
      <c r="BM451" s="91">
        <f t="shared" si="2231"/>
        <v>28123</v>
      </c>
      <c r="BN451" s="91">
        <f t="shared" si="2232"/>
        <v>506214</v>
      </c>
      <c r="BU451" s="98">
        <v>10</v>
      </c>
      <c r="BV451" s="98">
        <v>270</v>
      </c>
      <c r="CC451" s="91">
        <f t="shared" si="2233"/>
        <v>10</v>
      </c>
      <c r="CD451" s="91">
        <f t="shared" si="2234"/>
        <v>270</v>
      </c>
      <c r="CK451" s="98">
        <v>1929.4019293999997</v>
      </c>
      <c r="CL451" s="98">
        <v>34729</v>
      </c>
      <c r="CS451" s="91">
        <f t="shared" si="2235"/>
        <v>1929.4019293999997</v>
      </c>
      <c r="CT451" s="91">
        <f t="shared" si="2236"/>
        <v>34729</v>
      </c>
      <c r="DI451" s="91">
        <f t="shared" si="2237"/>
        <v>0</v>
      </c>
      <c r="DJ451" s="91">
        <f t="shared" si="2238"/>
        <v>0</v>
      </c>
      <c r="DQ451" s="98">
        <v>191900</v>
      </c>
      <c r="DR451" s="98">
        <v>4413700</v>
      </c>
      <c r="DY451" s="91">
        <f t="shared" si="2239"/>
        <v>191900</v>
      </c>
      <c r="DZ451" s="91">
        <f t="shared" si="2240"/>
        <v>4413700</v>
      </c>
      <c r="EG451" s="98">
        <v>111000</v>
      </c>
      <c r="EH451" s="98">
        <v>1665000</v>
      </c>
      <c r="EO451" s="91">
        <f t="shared" si="2241"/>
        <v>111000</v>
      </c>
      <c r="EP451" s="91">
        <f t="shared" si="2242"/>
        <v>1665000</v>
      </c>
      <c r="FE451" s="91">
        <f t="shared" si="2243"/>
        <v>0</v>
      </c>
      <c r="FF451" s="91">
        <f t="shared" si="2244"/>
        <v>0</v>
      </c>
      <c r="FM451" s="98">
        <v>900</v>
      </c>
      <c r="FN451" s="98">
        <v>18000</v>
      </c>
      <c r="FU451" s="91">
        <f t="shared" si="2245"/>
        <v>900</v>
      </c>
      <c r="FV451" s="91">
        <f t="shared" si="2246"/>
        <v>18000</v>
      </c>
      <c r="GC451" s="98">
        <v>33500</v>
      </c>
      <c r="GD451" s="98">
        <v>737000</v>
      </c>
      <c r="GK451" s="91">
        <f t="shared" si="2247"/>
        <v>33500</v>
      </c>
      <c r="GL451" s="91">
        <f t="shared" si="2248"/>
        <v>737000</v>
      </c>
      <c r="GS451" s="98">
        <v>1900</v>
      </c>
      <c r="GT451" s="98">
        <v>33250</v>
      </c>
      <c r="HA451" s="91">
        <f t="shared" si="2249"/>
        <v>1900</v>
      </c>
      <c r="HB451" s="91">
        <f t="shared" si="2250"/>
        <v>33250</v>
      </c>
      <c r="HQ451" s="91">
        <f t="shared" si="2251"/>
        <v>0</v>
      </c>
      <c r="HR451" s="91">
        <f t="shared" si="2252"/>
        <v>0</v>
      </c>
      <c r="HY451" s="98">
        <v>3000</v>
      </c>
      <c r="HZ451" s="98">
        <v>69000</v>
      </c>
      <c r="IG451" s="91">
        <f t="shared" si="2253"/>
        <v>3000</v>
      </c>
      <c r="IH451" s="91">
        <f t="shared" si="2254"/>
        <v>69000</v>
      </c>
      <c r="IO451" s="98">
        <v>8300</v>
      </c>
      <c r="IP451" s="98">
        <v>166000</v>
      </c>
      <c r="IW451" s="91">
        <f t="shared" si="2255"/>
        <v>8300</v>
      </c>
      <c r="IX451" s="91">
        <f t="shared" si="2256"/>
        <v>166000</v>
      </c>
      <c r="JE451" s="98">
        <v>15828</v>
      </c>
      <c r="JF451" s="98">
        <v>276990</v>
      </c>
      <c r="JK451" s="98">
        <v>4060</v>
      </c>
      <c r="JL451" s="98">
        <v>71050</v>
      </c>
      <c r="JM451" s="91">
        <f t="shared" si="2257"/>
        <v>19888</v>
      </c>
      <c r="JN451" s="91">
        <f t="shared" si="2258"/>
        <v>348040</v>
      </c>
      <c r="KC451" s="91">
        <f t="shared" si="2259"/>
        <v>0</v>
      </c>
      <c r="KD451" s="91">
        <f t="shared" si="2260"/>
        <v>0</v>
      </c>
      <c r="KS451" s="91">
        <f t="shared" si="2261"/>
        <v>0</v>
      </c>
      <c r="KT451" s="91">
        <f t="shared" si="2262"/>
        <v>0</v>
      </c>
      <c r="LI451" s="91">
        <f t="shared" si="2263"/>
        <v>0</v>
      </c>
      <c r="LJ451" s="91">
        <f t="shared" si="2264"/>
        <v>0</v>
      </c>
      <c r="LQ451" s="98">
        <v>1696</v>
      </c>
      <c r="LR451" s="98">
        <v>40704</v>
      </c>
      <c r="LY451" s="91">
        <f t="shared" si="2265"/>
        <v>1696</v>
      </c>
      <c r="LZ451" s="91">
        <f t="shared" si="2266"/>
        <v>40704</v>
      </c>
      <c r="MO451" s="91">
        <f t="shared" si="2267"/>
        <v>0</v>
      </c>
      <c r="MP451" s="91">
        <f t="shared" si="2268"/>
        <v>0</v>
      </c>
      <c r="NE451" s="91">
        <f t="shared" si="2269"/>
        <v>0</v>
      </c>
      <c r="NF451" s="91">
        <f t="shared" si="2270"/>
        <v>0</v>
      </c>
      <c r="NM451" s="98">
        <v>31500</v>
      </c>
      <c r="NN451" s="98">
        <v>567000</v>
      </c>
      <c r="NQ451" s="98">
        <v>20100</v>
      </c>
      <c r="NR451" s="98">
        <v>361800</v>
      </c>
      <c r="NU451" s="91">
        <f t="shared" si="2271"/>
        <v>51600</v>
      </c>
      <c r="NV451" s="91">
        <f t="shared" si="2272"/>
        <v>928800</v>
      </c>
      <c r="OK451" s="91">
        <f t="shared" si="2273"/>
        <v>0</v>
      </c>
      <c r="OL451" s="91">
        <f t="shared" si="2274"/>
        <v>0</v>
      </c>
      <c r="PA451" s="91">
        <f t="shared" si="2275"/>
        <v>0</v>
      </c>
      <c r="PB451" s="91">
        <f t="shared" si="2276"/>
        <v>0</v>
      </c>
      <c r="PI451" s="98">
        <v>53575</v>
      </c>
      <c r="PJ451" s="98">
        <v>1071500</v>
      </c>
      <c r="PQ451" s="91">
        <f t="shared" si="2277"/>
        <v>53575</v>
      </c>
      <c r="PR451" s="91">
        <f t="shared" si="2278"/>
        <v>1071500</v>
      </c>
      <c r="PY451" s="98">
        <v>3950</v>
      </c>
      <c r="PZ451" s="98">
        <v>59250</v>
      </c>
      <c r="QC451" s="98">
        <v>2520</v>
      </c>
      <c r="QD451" s="98">
        <v>37800</v>
      </c>
      <c r="QG451" s="91">
        <f t="shared" si="2279"/>
        <v>6470</v>
      </c>
      <c r="QH451" s="91">
        <f t="shared" si="2280"/>
        <v>97050</v>
      </c>
      <c r="QO451" s="98">
        <v>2010000</v>
      </c>
      <c r="QP451" s="98">
        <v>48240000</v>
      </c>
      <c r="QW451" s="91">
        <f t="shared" si="2281"/>
        <v>2010000</v>
      </c>
      <c r="QX451" s="91">
        <f t="shared" si="2282"/>
        <v>48240000</v>
      </c>
      <c r="RM451" s="91">
        <f t="shared" si="2283"/>
        <v>0</v>
      </c>
      <c r="RN451" s="91">
        <f t="shared" si="2284"/>
        <v>0</v>
      </c>
      <c r="RU451" s="98">
        <v>760</v>
      </c>
      <c r="RV451" s="98">
        <v>12920</v>
      </c>
      <c r="SC451" s="91">
        <f t="shared" si="2285"/>
        <v>760</v>
      </c>
      <c r="SD451" s="91">
        <f t="shared" si="2286"/>
        <v>12920</v>
      </c>
      <c r="SS451" s="91">
        <f t="shared" si="2287"/>
        <v>0</v>
      </c>
      <c r="ST451" s="91">
        <f t="shared" si="2288"/>
        <v>0</v>
      </c>
      <c r="TI451" s="91">
        <f t="shared" si="2289"/>
        <v>0</v>
      </c>
      <c r="TJ451" s="91">
        <f t="shared" si="2290"/>
        <v>0</v>
      </c>
      <c r="TY451" s="91">
        <f t="shared" si="2291"/>
        <v>0</v>
      </c>
      <c r="TZ451" s="91">
        <f t="shared" si="2292"/>
        <v>0</v>
      </c>
      <c r="UG451" s="98">
        <v>250</v>
      </c>
      <c r="UH451" s="98">
        <v>5000</v>
      </c>
      <c r="UO451" s="91">
        <f t="shared" si="2293"/>
        <v>250</v>
      </c>
      <c r="UP451" s="91">
        <f t="shared" si="2294"/>
        <v>5000</v>
      </c>
      <c r="VE451" s="91">
        <f t="shared" si="2295"/>
        <v>0</v>
      </c>
      <c r="VF451" s="91">
        <f t="shared" si="2296"/>
        <v>0</v>
      </c>
      <c r="VU451" s="91">
        <f t="shared" si="2297"/>
        <v>0</v>
      </c>
      <c r="VV451" s="91">
        <f t="shared" si="2298"/>
        <v>0</v>
      </c>
      <c r="WC451" s="98">
        <v>670</v>
      </c>
      <c r="WD451" s="98">
        <v>16750</v>
      </c>
      <c r="WK451" s="91">
        <f t="shared" si="2299"/>
        <v>670</v>
      </c>
      <c r="WL451" s="91">
        <f t="shared" si="2300"/>
        <v>16750</v>
      </c>
      <c r="WM451" s="89"/>
      <c r="WN451" s="87">
        <f t="shared" si="2301"/>
        <v>0</v>
      </c>
      <c r="WO451" s="87">
        <f t="shared" si="2302"/>
        <v>0</v>
      </c>
      <c r="WP451" s="87">
        <f t="shared" si="2303"/>
        <v>0</v>
      </c>
      <c r="WQ451" s="87">
        <f t="shared" si="2304"/>
        <v>0</v>
      </c>
      <c r="WR451" s="87">
        <f t="shared" si="2305"/>
        <v>0</v>
      </c>
      <c r="WS451" s="87">
        <f t="shared" si="2306"/>
        <v>0</v>
      </c>
      <c r="WT451" s="87">
        <f t="shared" si="2307"/>
        <v>2710673.4019293999</v>
      </c>
      <c r="WU451" s="87">
        <f t="shared" si="2308"/>
        <v>62185213</v>
      </c>
      <c r="WV451" s="87">
        <f t="shared" si="2309"/>
        <v>0</v>
      </c>
      <c r="WW451" s="87">
        <f t="shared" si="2310"/>
        <v>0</v>
      </c>
      <c r="WX451" s="87">
        <f t="shared" si="2311"/>
        <v>22620</v>
      </c>
      <c r="WY451" s="87">
        <f t="shared" si="2312"/>
        <v>399600</v>
      </c>
      <c r="WZ451" s="87">
        <f t="shared" si="2313"/>
        <v>5358</v>
      </c>
      <c r="XA451" s="87">
        <f t="shared" si="2314"/>
        <v>94414</v>
      </c>
      <c r="XB451" s="92">
        <f t="shared" si="2315"/>
        <v>2738651.4019293999</v>
      </c>
      <c r="XC451" s="92">
        <f t="shared" si="2316"/>
        <v>62679227</v>
      </c>
      <c r="XD451" s="89"/>
      <c r="XE451" s="92"/>
      <c r="XF451" s="92"/>
      <c r="XG451" s="89"/>
      <c r="XH451" s="92"/>
      <c r="XI451" s="92"/>
      <c r="XJ451" s="89"/>
      <c r="XK451" s="87"/>
      <c r="XL451" s="87"/>
      <c r="XM451" s="87"/>
      <c r="XN451" s="87"/>
      <c r="XO451" s="87"/>
      <c r="XP451" s="87"/>
      <c r="XQ451" s="87"/>
      <c r="XR451" s="92">
        <f t="shared" ca="1" si="2317"/>
        <v>0</v>
      </c>
      <c r="XS451" s="89"/>
      <c r="XT451" s="87"/>
      <c r="XU451" s="87"/>
      <c r="XV451" s="87"/>
      <c r="XW451" s="87"/>
      <c r="XX451" s="87"/>
      <c r="XY451" s="87"/>
      <c r="XZ451" s="87"/>
      <c r="YA451" s="92">
        <f t="shared" ca="1" si="2318"/>
        <v>0</v>
      </c>
      <c r="YB451" s="90"/>
      <c r="YC451" s="90"/>
      <c r="YD451" s="90"/>
      <c r="YE451" s="90"/>
      <c r="YF451" s="90"/>
      <c r="YG451" s="90"/>
      <c r="YH451" s="90"/>
      <c r="YI451" s="90"/>
      <c r="YJ451" s="90"/>
      <c r="YK451" s="90"/>
      <c r="YL451" s="90"/>
      <c r="YM451" s="90"/>
      <c r="YN451" s="90"/>
      <c r="YO451" s="90"/>
      <c r="YP451" s="90"/>
      <c r="YQ451" s="90"/>
      <c r="YR451" s="90"/>
      <c r="YS451" s="90"/>
      <c r="YT451" s="90"/>
      <c r="YU451" s="90"/>
      <c r="YV451" s="90"/>
      <c r="YW451" s="90"/>
      <c r="YX451" s="90"/>
      <c r="YY451" s="90"/>
      <c r="YZ451" s="90"/>
      <c r="ZA451" s="90"/>
      <c r="ZB451" s="90"/>
      <c r="ZC451" s="90"/>
      <c r="ZD451" s="90"/>
      <c r="ZE451" s="90"/>
      <c r="ZF451" s="90"/>
      <c r="ZG451" s="90"/>
      <c r="ZH451" s="90"/>
      <c r="ZI451" s="90"/>
      <c r="ZJ451" s="90"/>
      <c r="ZK451" s="90"/>
      <c r="ZL451" s="90"/>
      <c r="ZM451" s="90"/>
      <c r="ZN451" s="90"/>
      <c r="ZO451" s="90"/>
      <c r="ZP451" s="90"/>
      <c r="ZQ451" s="90"/>
      <c r="ZR451" s="90"/>
      <c r="ZS451" s="90"/>
      <c r="ZT451" s="90"/>
      <c r="ZU451" s="90"/>
      <c r="ZV451" s="90"/>
      <c r="ZW451" s="90"/>
      <c r="ZX451" s="90"/>
      <c r="ZY451" s="90"/>
      <c r="ZZ451" s="90"/>
      <c r="AAA451" s="90"/>
      <c r="AAB451" s="90"/>
      <c r="AAC451" s="90"/>
      <c r="AAD451" s="90"/>
      <c r="AAE451" s="90"/>
      <c r="AAF451" s="90"/>
      <c r="AAG451" s="90"/>
      <c r="AAH451" s="90"/>
      <c r="AAI451" s="90"/>
      <c r="AAJ451" s="90"/>
      <c r="AAK451" s="90"/>
      <c r="AAL451" s="90"/>
      <c r="AAM451" s="90"/>
      <c r="AAN451" s="90"/>
      <c r="AAO451" s="90"/>
      <c r="AAP451" s="90"/>
      <c r="AAQ451" s="90"/>
      <c r="AAR451" s="90"/>
      <c r="AAS451" s="90"/>
      <c r="AAT451" s="90"/>
      <c r="AAU451" s="90"/>
      <c r="AAV451" s="90"/>
      <c r="AAW451" s="90"/>
      <c r="AAX451" s="90"/>
      <c r="AAY451" s="90"/>
      <c r="AAZ451" s="90"/>
      <c r="ABA451" s="90"/>
      <c r="ABB451" s="90"/>
      <c r="ABC451" s="90"/>
      <c r="ABD451" s="90"/>
      <c r="ABE451" s="90"/>
      <c r="ABF451" s="90"/>
      <c r="ABG451" s="90"/>
      <c r="ABH451" s="90"/>
      <c r="ABI451" s="90"/>
      <c r="ABJ451" s="90"/>
      <c r="ABK451" s="90"/>
      <c r="ABL451" s="90"/>
      <c r="ABM451" s="90"/>
      <c r="ABN451" s="90"/>
      <c r="ABO451" s="90"/>
      <c r="ABP451" s="90"/>
      <c r="ABQ451" s="90"/>
      <c r="ABR451" s="90"/>
      <c r="ABS451" s="90"/>
      <c r="ABT451" s="90"/>
      <c r="ABU451" s="90"/>
      <c r="ABV451" s="90"/>
      <c r="ABW451" s="90"/>
      <c r="ABX451" s="90"/>
      <c r="ABY451" s="90"/>
      <c r="ABZ451" s="90"/>
      <c r="ACA451" s="90"/>
      <c r="ACB451" s="90"/>
      <c r="ACC451" s="90"/>
      <c r="ACD451" s="90"/>
      <c r="ACE451" s="90"/>
      <c r="ACF451" s="90"/>
      <c r="ACG451" s="90"/>
      <c r="ACH451" s="90"/>
      <c r="ACI451" s="90"/>
      <c r="ACJ451" s="90"/>
      <c r="ACK451" s="90"/>
      <c r="ACL451" s="90"/>
      <c r="ACM451" s="90"/>
      <c r="ACN451" s="90"/>
      <c r="ACO451" s="90"/>
      <c r="ACP451" s="90"/>
      <c r="ACQ451" s="90"/>
      <c r="ACR451" s="90"/>
      <c r="ACS451" s="90"/>
      <c r="ACT451" s="90"/>
      <c r="ACU451" s="90"/>
      <c r="ACV451" s="90"/>
      <c r="ACW451" s="90"/>
      <c r="ACX451" s="90"/>
      <c r="ACY451" s="90"/>
      <c r="ACZ451" s="90"/>
      <c r="ADA451" s="90"/>
      <c r="ADB451" s="90"/>
      <c r="ADC451" s="90"/>
      <c r="ADD451" s="90"/>
      <c r="ADE451" s="90"/>
      <c r="ADF451" s="90"/>
      <c r="ADG451" s="90"/>
      <c r="ADH451" s="90"/>
      <c r="ADI451" s="90"/>
      <c r="ADJ451" s="90"/>
      <c r="ADK451" s="90"/>
      <c r="ADL451" s="90"/>
      <c r="ADM451" s="90"/>
      <c r="ADN451" s="90"/>
      <c r="ADO451" s="90"/>
      <c r="ADP451" s="90"/>
      <c r="ADQ451" s="90"/>
      <c r="ADR451" s="90"/>
      <c r="ADS451" s="90"/>
      <c r="ADT451" s="90"/>
      <c r="ADU451" s="90"/>
      <c r="ADV451" s="90"/>
      <c r="ADW451" s="90"/>
      <c r="ADX451" s="90"/>
      <c r="ADY451" s="90"/>
      <c r="ADZ451" s="90"/>
      <c r="AEA451" s="90"/>
      <c r="AEB451" s="90"/>
      <c r="AEC451" s="90"/>
      <c r="AED451" s="90"/>
      <c r="AEE451" s="90"/>
      <c r="AEF451" s="90"/>
      <c r="AEG451" s="90"/>
      <c r="AEH451" s="90"/>
      <c r="AEI451" s="90"/>
      <c r="AEJ451" s="90"/>
      <c r="AEK451" s="90"/>
      <c r="AEL451" s="90"/>
      <c r="AEM451" s="90"/>
      <c r="AEN451" s="90"/>
      <c r="AEO451" s="90"/>
      <c r="AEP451" s="90"/>
      <c r="AEQ451" s="90"/>
      <c r="AER451" s="90"/>
      <c r="AES451" s="90"/>
      <c r="AET451" s="90"/>
      <c r="AEU451" s="90"/>
      <c r="AEV451" s="90"/>
      <c r="AEW451" s="90"/>
      <c r="AEX451" s="90"/>
      <c r="AEY451" s="90"/>
      <c r="AEZ451" s="90"/>
      <c r="AFA451" s="90"/>
      <c r="AFB451" s="90"/>
      <c r="AFC451" s="90"/>
      <c r="AFD451" s="90"/>
      <c r="AFE451" s="90"/>
      <c r="AFF451" s="90"/>
      <c r="AFG451" s="90"/>
      <c r="AFH451" s="90"/>
      <c r="AFI451" s="90"/>
      <c r="AFJ451" s="90"/>
      <c r="AFK451" s="90"/>
      <c r="AFL451" s="90"/>
      <c r="AFM451" s="90"/>
      <c r="AFN451" s="90"/>
      <c r="AFO451" s="90"/>
      <c r="AFP451" s="90"/>
      <c r="AFQ451" s="90"/>
      <c r="AFR451" s="90"/>
      <c r="AFS451" s="90"/>
      <c r="AFT451" s="90"/>
      <c r="AFU451" s="90"/>
      <c r="AFV451" s="90"/>
      <c r="AFW451" s="90"/>
      <c r="AFX451" s="90"/>
      <c r="AFY451" s="90"/>
      <c r="AFZ451" s="90"/>
      <c r="AGA451" s="90"/>
      <c r="AGB451" s="90"/>
      <c r="AGC451" s="90"/>
      <c r="AGD451" s="90"/>
      <c r="AGE451" s="90"/>
      <c r="AGF451" s="90"/>
      <c r="AGG451" s="90"/>
      <c r="AGH451" s="90"/>
      <c r="AGI451" s="90"/>
      <c r="AGJ451" s="90"/>
      <c r="AGK451" s="90"/>
      <c r="AGL451" s="90"/>
      <c r="AGM451" s="90"/>
      <c r="AGN451" s="90"/>
      <c r="AGO451" s="90"/>
      <c r="AGP451" s="90"/>
      <c r="AGQ451" s="90"/>
      <c r="AGR451" s="90"/>
      <c r="AGS451" s="90"/>
      <c r="AGT451" s="90"/>
      <c r="AGU451" s="90"/>
      <c r="AGV451" s="90"/>
      <c r="AGW451" s="90"/>
      <c r="AGX451" s="90"/>
      <c r="AGY451" s="90"/>
      <c r="AGZ451" s="90"/>
      <c r="AHA451" s="90"/>
      <c r="AHB451" s="90"/>
      <c r="AHC451" s="90"/>
      <c r="AHD451" s="90"/>
      <c r="AHE451" s="90"/>
      <c r="AHF451" s="90"/>
      <c r="AHG451" s="90"/>
      <c r="AHH451" s="90"/>
      <c r="AHI451" s="90"/>
      <c r="AHJ451" s="90"/>
      <c r="AHK451" s="90"/>
      <c r="AHL451" s="90"/>
      <c r="AHM451" s="90"/>
      <c r="AHN451" s="90"/>
      <c r="AHO451" s="90"/>
      <c r="AHP451" s="90"/>
      <c r="AHQ451" s="90"/>
      <c r="AHR451" s="90"/>
      <c r="AHS451" s="90"/>
      <c r="AHT451" s="90"/>
      <c r="AHU451" s="90"/>
      <c r="AHV451" s="90"/>
      <c r="AHW451" s="90"/>
      <c r="AHX451" s="90"/>
      <c r="AHY451" s="90"/>
      <c r="AHZ451" s="90"/>
      <c r="AIA451" s="90"/>
      <c r="AIB451" s="90"/>
      <c r="AIC451" s="90"/>
      <c r="AID451" s="90"/>
      <c r="AIE451" s="90"/>
      <c r="AIF451" s="90"/>
      <c r="AIG451" s="90"/>
      <c r="AIH451" s="90"/>
      <c r="AII451" s="90"/>
      <c r="AIJ451" s="90"/>
      <c r="AIK451" s="90"/>
      <c r="AIL451" s="90"/>
      <c r="AIM451" s="90"/>
      <c r="AIN451" s="90"/>
      <c r="AIO451" s="90"/>
      <c r="AIP451" s="90"/>
      <c r="AIQ451" s="90"/>
      <c r="AIR451" s="90"/>
      <c r="AIS451" s="90"/>
      <c r="AIT451" s="90"/>
      <c r="AIU451" s="90"/>
      <c r="AIV451" s="90"/>
      <c r="AIW451" s="90"/>
      <c r="AIX451" s="90"/>
      <c r="AIY451" s="90"/>
      <c r="AIZ451" s="90"/>
      <c r="AJA451" s="90"/>
      <c r="AJB451" s="90"/>
      <c r="AJC451" s="90"/>
      <c r="AJD451" s="90"/>
      <c r="AJE451" s="90"/>
      <c r="AJF451" s="90"/>
      <c r="AJG451" s="90"/>
      <c r="AJH451" s="90"/>
      <c r="AJI451" s="90"/>
      <c r="AJJ451" s="90"/>
      <c r="AJK451" s="90"/>
      <c r="AJL451" s="90"/>
      <c r="AJM451" s="90"/>
      <c r="AJN451" s="90"/>
      <c r="AJO451" s="90"/>
      <c r="AJP451" s="90"/>
      <c r="AJQ451" s="90"/>
      <c r="AJR451" s="90"/>
      <c r="AJS451" s="90"/>
      <c r="AJT451" s="90"/>
      <c r="AJU451" s="90"/>
      <c r="AJV451" s="90"/>
      <c r="AJW451" s="90"/>
      <c r="AJX451" s="90"/>
      <c r="AJY451" s="90"/>
      <c r="AJZ451" s="90"/>
      <c r="AKA451" s="90"/>
      <c r="AKB451" s="90"/>
      <c r="AKC451" s="90"/>
      <c r="AKD451" s="90"/>
      <c r="AKE451" s="90"/>
      <c r="AKF451" s="90"/>
      <c r="AKG451" s="90"/>
      <c r="AKH451" s="90"/>
      <c r="AKI451" s="90"/>
      <c r="AKJ451" s="90"/>
      <c r="AKK451" s="90"/>
      <c r="AKL451" s="90"/>
      <c r="AKM451" s="90"/>
      <c r="AKN451" s="90"/>
      <c r="AKO451" s="90"/>
      <c r="AKP451" s="90"/>
      <c r="AKQ451" s="90"/>
      <c r="AKR451" s="90"/>
      <c r="AKS451" s="90"/>
      <c r="AKT451" s="90"/>
      <c r="AKU451" s="90"/>
      <c r="AKV451" s="90"/>
      <c r="AKW451" s="90"/>
      <c r="AKX451" s="90"/>
      <c r="AKY451" s="90"/>
      <c r="AKZ451" s="90"/>
      <c r="ALA451" s="90"/>
      <c r="ALB451" s="90"/>
      <c r="ALC451" s="90"/>
      <c r="ALD451" s="90"/>
      <c r="ALE451" s="90"/>
      <c r="ALF451" s="90"/>
      <c r="ALG451" s="90"/>
      <c r="ALH451" s="90"/>
      <c r="ALI451" s="90"/>
      <c r="ALJ451" s="90"/>
      <c r="ALK451" s="90"/>
      <c r="ALL451" s="90"/>
      <c r="ALM451" s="90"/>
      <c r="ALN451" s="90"/>
      <c r="ALO451" s="90"/>
      <c r="ALP451" s="90"/>
      <c r="ALQ451" s="90"/>
      <c r="ALR451" s="90"/>
      <c r="ALS451" s="90"/>
      <c r="ALT451" s="90"/>
      <c r="ALU451" s="90"/>
      <c r="ALV451" s="90"/>
      <c r="ALW451" s="90"/>
      <c r="ALX451" s="90"/>
      <c r="ALY451" s="90"/>
      <c r="ALZ451" s="90"/>
      <c r="AMA451" s="90"/>
      <c r="AMB451" s="90"/>
      <c r="AMC451" s="90"/>
    </row>
    <row r="452" spans="1:1017">
      <c r="A452" s="98" t="s">
        <v>56</v>
      </c>
      <c r="B452" s="90" t="str">
        <f t="shared" si="2224"/>
        <v xml:space="preserve">Rajungan </v>
      </c>
      <c r="Q452" s="91">
        <f t="shared" si="2225"/>
        <v>0</v>
      </c>
      <c r="R452" s="91">
        <f t="shared" si="2226"/>
        <v>0</v>
      </c>
      <c r="AG452" s="91">
        <f t="shared" si="2227"/>
        <v>0</v>
      </c>
      <c r="AH452" s="91">
        <f t="shared" si="2228"/>
        <v>0</v>
      </c>
      <c r="AW452" s="91">
        <f t="shared" si="2229"/>
        <v>0</v>
      </c>
      <c r="AX452" s="91">
        <f t="shared" si="2230"/>
        <v>0</v>
      </c>
      <c r="BM452" s="91">
        <f t="shared" si="2231"/>
        <v>0</v>
      </c>
      <c r="BN452" s="91">
        <f t="shared" si="2232"/>
        <v>0</v>
      </c>
      <c r="CC452" s="91">
        <f t="shared" si="2233"/>
        <v>0</v>
      </c>
      <c r="CD452" s="91">
        <f t="shared" si="2234"/>
        <v>0</v>
      </c>
      <c r="CS452" s="91">
        <f t="shared" si="2235"/>
        <v>0</v>
      </c>
      <c r="CT452" s="91">
        <f t="shared" si="2236"/>
        <v>0</v>
      </c>
      <c r="DI452" s="91">
        <f t="shared" si="2237"/>
        <v>0</v>
      </c>
      <c r="DJ452" s="91">
        <f t="shared" si="2238"/>
        <v>0</v>
      </c>
      <c r="DY452" s="91">
        <f t="shared" si="2239"/>
        <v>0</v>
      </c>
      <c r="DZ452" s="91">
        <f t="shared" si="2240"/>
        <v>0</v>
      </c>
      <c r="EO452" s="91">
        <f t="shared" si="2241"/>
        <v>0</v>
      </c>
      <c r="EP452" s="91">
        <f t="shared" si="2242"/>
        <v>0</v>
      </c>
      <c r="FE452" s="91">
        <f t="shared" si="2243"/>
        <v>0</v>
      </c>
      <c r="FF452" s="91">
        <f t="shared" si="2244"/>
        <v>0</v>
      </c>
      <c r="FU452" s="91">
        <f t="shared" si="2245"/>
        <v>0</v>
      </c>
      <c r="FV452" s="91">
        <f t="shared" si="2246"/>
        <v>0</v>
      </c>
      <c r="GK452" s="91">
        <f t="shared" si="2247"/>
        <v>0</v>
      </c>
      <c r="GL452" s="91">
        <f t="shared" si="2248"/>
        <v>0</v>
      </c>
      <c r="HA452" s="91">
        <f t="shared" si="2249"/>
        <v>0</v>
      </c>
      <c r="HB452" s="91">
        <f t="shared" si="2250"/>
        <v>0</v>
      </c>
      <c r="HQ452" s="91">
        <f t="shared" si="2251"/>
        <v>0</v>
      </c>
      <c r="HR452" s="91">
        <f t="shared" si="2252"/>
        <v>0</v>
      </c>
      <c r="IG452" s="91">
        <f t="shared" si="2253"/>
        <v>0</v>
      </c>
      <c r="IH452" s="91">
        <f t="shared" si="2254"/>
        <v>0</v>
      </c>
      <c r="IW452" s="91">
        <f t="shared" si="2255"/>
        <v>0</v>
      </c>
      <c r="IX452" s="91">
        <f t="shared" si="2256"/>
        <v>0</v>
      </c>
      <c r="JM452" s="91">
        <f t="shared" si="2257"/>
        <v>0</v>
      </c>
      <c r="JN452" s="91">
        <f t="shared" si="2258"/>
        <v>0</v>
      </c>
      <c r="KC452" s="91">
        <f t="shared" si="2259"/>
        <v>0</v>
      </c>
      <c r="KD452" s="91">
        <f t="shared" si="2260"/>
        <v>0</v>
      </c>
      <c r="KS452" s="91">
        <f t="shared" si="2261"/>
        <v>0</v>
      </c>
      <c r="KT452" s="91">
        <f t="shared" si="2262"/>
        <v>0</v>
      </c>
      <c r="LI452" s="91">
        <f t="shared" si="2263"/>
        <v>0</v>
      </c>
      <c r="LJ452" s="91">
        <f t="shared" si="2264"/>
        <v>0</v>
      </c>
      <c r="LY452" s="91">
        <f t="shared" si="2265"/>
        <v>0</v>
      </c>
      <c r="LZ452" s="91">
        <f t="shared" si="2266"/>
        <v>0</v>
      </c>
      <c r="MO452" s="91">
        <f t="shared" si="2267"/>
        <v>0</v>
      </c>
      <c r="MP452" s="91">
        <f t="shared" si="2268"/>
        <v>0</v>
      </c>
      <c r="NE452" s="91">
        <f t="shared" si="2269"/>
        <v>0</v>
      </c>
      <c r="NF452" s="91">
        <f t="shared" si="2270"/>
        <v>0</v>
      </c>
      <c r="NU452" s="91">
        <f t="shared" si="2271"/>
        <v>0</v>
      </c>
      <c r="NV452" s="91">
        <f t="shared" si="2272"/>
        <v>0</v>
      </c>
      <c r="OK452" s="91">
        <f t="shared" si="2273"/>
        <v>0</v>
      </c>
      <c r="OL452" s="91">
        <f t="shared" si="2274"/>
        <v>0</v>
      </c>
      <c r="PA452" s="91">
        <f t="shared" si="2275"/>
        <v>0</v>
      </c>
      <c r="PB452" s="91">
        <f t="shared" si="2276"/>
        <v>0</v>
      </c>
      <c r="PQ452" s="91">
        <f t="shared" si="2277"/>
        <v>0</v>
      </c>
      <c r="PR452" s="91">
        <f t="shared" si="2278"/>
        <v>0</v>
      </c>
      <c r="QG452" s="91">
        <f t="shared" si="2279"/>
        <v>0</v>
      </c>
      <c r="QH452" s="91">
        <f t="shared" si="2280"/>
        <v>0</v>
      </c>
      <c r="QW452" s="91">
        <f t="shared" si="2281"/>
        <v>0</v>
      </c>
      <c r="QX452" s="91">
        <f t="shared" si="2282"/>
        <v>0</v>
      </c>
      <c r="RM452" s="91">
        <f t="shared" si="2283"/>
        <v>0</v>
      </c>
      <c r="RN452" s="91">
        <f t="shared" si="2284"/>
        <v>0</v>
      </c>
      <c r="SC452" s="91">
        <f t="shared" si="2285"/>
        <v>0</v>
      </c>
      <c r="SD452" s="91">
        <f t="shared" si="2286"/>
        <v>0</v>
      </c>
      <c r="SS452" s="91">
        <f t="shared" si="2287"/>
        <v>0</v>
      </c>
      <c r="ST452" s="91">
        <f t="shared" si="2288"/>
        <v>0</v>
      </c>
      <c r="TI452" s="91">
        <f t="shared" si="2289"/>
        <v>0</v>
      </c>
      <c r="TJ452" s="91">
        <f t="shared" si="2290"/>
        <v>0</v>
      </c>
      <c r="TY452" s="91">
        <f t="shared" si="2291"/>
        <v>0</v>
      </c>
      <c r="TZ452" s="91">
        <f t="shared" si="2292"/>
        <v>0</v>
      </c>
      <c r="UO452" s="91">
        <f t="shared" si="2293"/>
        <v>0</v>
      </c>
      <c r="UP452" s="91">
        <f t="shared" si="2294"/>
        <v>0</v>
      </c>
      <c r="VE452" s="91">
        <f t="shared" si="2295"/>
        <v>0</v>
      </c>
      <c r="VF452" s="91">
        <f t="shared" si="2296"/>
        <v>0</v>
      </c>
      <c r="VU452" s="91">
        <f t="shared" si="2297"/>
        <v>0</v>
      </c>
      <c r="VV452" s="91">
        <f t="shared" si="2298"/>
        <v>0</v>
      </c>
      <c r="WK452" s="91">
        <f t="shared" si="2299"/>
        <v>0</v>
      </c>
      <c r="WL452" s="91">
        <f t="shared" si="2300"/>
        <v>0</v>
      </c>
      <c r="WM452" s="89"/>
      <c r="WN452" s="87">
        <f t="shared" si="2301"/>
        <v>0</v>
      </c>
      <c r="WO452" s="87">
        <f t="shared" si="2302"/>
        <v>0</v>
      </c>
      <c r="WP452" s="87">
        <f t="shared" si="2303"/>
        <v>0</v>
      </c>
      <c r="WQ452" s="87">
        <f t="shared" si="2304"/>
        <v>0</v>
      </c>
      <c r="WR452" s="87">
        <f t="shared" si="2305"/>
        <v>0</v>
      </c>
      <c r="WS452" s="87">
        <f t="shared" si="2306"/>
        <v>0</v>
      </c>
      <c r="WT452" s="87">
        <f t="shared" si="2307"/>
        <v>0</v>
      </c>
      <c r="WU452" s="87">
        <f t="shared" si="2308"/>
        <v>0</v>
      </c>
      <c r="WV452" s="87">
        <f t="shared" si="2309"/>
        <v>0</v>
      </c>
      <c r="WW452" s="87">
        <f t="shared" si="2310"/>
        <v>0</v>
      </c>
      <c r="WX452" s="87">
        <f t="shared" si="2311"/>
        <v>0</v>
      </c>
      <c r="WY452" s="87">
        <f t="shared" si="2312"/>
        <v>0</v>
      </c>
      <c r="WZ452" s="87">
        <f t="shared" si="2313"/>
        <v>0</v>
      </c>
      <c r="XA452" s="87">
        <f t="shared" si="2314"/>
        <v>0</v>
      </c>
      <c r="XB452" s="92">
        <f t="shared" si="2315"/>
        <v>0</v>
      </c>
      <c r="XC452" s="92">
        <f t="shared" si="2316"/>
        <v>0</v>
      </c>
      <c r="XD452" s="89"/>
      <c r="XE452" s="92"/>
      <c r="XF452" s="92"/>
      <c r="XG452" s="89"/>
      <c r="XH452" s="92"/>
      <c r="XI452" s="92"/>
      <c r="XJ452" s="89"/>
      <c r="XK452" s="87"/>
      <c r="XL452" s="87"/>
      <c r="XM452" s="87"/>
      <c r="XN452" s="87"/>
      <c r="XO452" s="87"/>
      <c r="XP452" s="87"/>
      <c r="XQ452" s="87"/>
      <c r="XR452" s="92">
        <f t="shared" ca="1" si="2317"/>
        <v>0</v>
      </c>
      <c r="XS452" s="89"/>
      <c r="XT452" s="87"/>
      <c r="XU452" s="87"/>
      <c r="XV452" s="87"/>
      <c r="XW452" s="87"/>
      <c r="XX452" s="87"/>
      <c r="XY452" s="87"/>
      <c r="XZ452" s="87"/>
      <c r="YA452" s="92">
        <f t="shared" ca="1" si="2318"/>
        <v>0</v>
      </c>
      <c r="YB452" s="90"/>
      <c r="YC452" s="90"/>
      <c r="YD452" s="90"/>
      <c r="YE452" s="90"/>
      <c r="YF452" s="90"/>
      <c r="YG452" s="90"/>
      <c r="YH452" s="90"/>
      <c r="YI452" s="90"/>
      <c r="YJ452" s="90"/>
      <c r="YK452" s="90"/>
      <c r="YL452" s="90"/>
      <c r="YM452" s="90"/>
      <c r="YN452" s="90"/>
      <c r="YO452" s="90"/>
      <c r="YP452" s="90"/>
      <c r="YQ452" s="90"/>
      <c r="YR452" s="90"/>
      <c r="YS452" s="90"/>
      <c r="YT452" s="90"/>
      <c r="YU452" s="90"/>
      <c r="YV452" s="90"/>
      <c r="YW452" s="90"/>
      <c r="YX452" s="90"/>
      <c r="YY452" s="90"/>
      <c r="YZ452" s="90"/>
      <c r="ZA452" s="90"/>
      <c r="ZB452" s="90"/>
      <c r="ZC452" s="90"/>
      <c r="ZD452" s="90"/>
      <c r="ZE452" s="90"/>
      <c r="ZF452" s="90"/>
      <c r="ZG452" s="90"/>
      <c r="ZH452" s="90"/>
      <c r="ZI452" s="90"/>
      <c r="ZJ452" s="90"/>
      <c r="ZK452" s="90"/>
      <c r="ZL452" s="90"/>
      <c r="ZM452" s="90"/>
      <c r="ZN452" s="90"/>
      <c r="ZO452" s="90"/>
      <c r="ZP452" s="90"/>
      <c r="ZQ452" s="90"/>
      <c r="ZR452" s="90"/>
      <c r="ZS452" s="90"/>
      <c r="ZT452" s="90"/>
      <c r="ZU452" s="90"/>
      <c r="ZV452" s="90"/>
      <c r="ZW452" s="90"/>
      <c r="ZX452" s="90"/>
      <c r="ZY452" s="90"/>
      <c r="ZZ452" s="90"/>
      <c r="AAA452" s="90"/>
      <c r="AAB452" s="90"/>
      <c r="AAC452" s="90"/>
      <c r="AAD452" s="90"/>
      <c r="AAE452" s="90"/>
      <c r="AAF452" s="90"/>
      <c r="AAG452" s="90"/>
      <c r="AAH452" s="90"/>
      <c r="AAI452" s="90"/>
      <c r="AAJ452" s="90"/>
      <c r="AAK452" s="90"/>
      <c r="AAL452" s="90"/>
      <c r="AAM452" s="90"/>
      <c r="AAN452" s="90"/>
      <c r="AAO452" s="90"/>
      <c r="AAP452" s="90"/>
      <c r="AAQ452" s="90"/>
      <c r="AAR452" s="90"/>
      <c r="AAS452" s="90"/>
      <c r="AAT452" s="90"/>
      <c r="AAU452" s="90"/>
      <c r="AAV452" s="90"/>
      <c r="AAW452" s="90"/>
      <c r="AAX452" s="90"/>
      <c r="AAY452" s="90"/>
      <c r="AAZ452" s="90"/>
      <c r="ABA452" s="90"/>
      <c r="ABB452" s="90"/>
      <c r="ABC452" s="90"/>
      <c r="ABD452" s="90"/>
      <c r="ABE452" s="90"/>
      <c r="ABF452" s="90"/>
      <c r="ABG452" s="90"/>
      <c r="ABH452" s="90"/>
      <c r="ABI452" s="90"/>
      <c r="ABJ452" s="90"/>
      <c r="ABK452" s="90"/>
      <c r="ABL452" s="90"/>
      <c r="ABM452" s="90"/>
      <c r="ABN452" s="90"/>
      <c r="ABO452" s="90"/>
      <c r="ABP452" s="90"/>
      <c r="ABQ452" s="90"/>
      <c r="ABR452" s="90"/>
      <c r="ABS452" s="90"/>
      <c r="ABT452" s="90"/>
      <c r="ABU452" s="90"/>
      <c r="ABV452" s="90"/>
      <c r="ABW452" s="90"/>
      <c r="ABX452" s="90"/>
      <c r="ABY452" s="90"/>
      <c r="ABZ452" s="90"/>
      <c r="ACA452" s="90"/>
      <c r="ACB452" s="90"/>
      <c r="ACC452" s="90"/>
      <c r="ACD452" s="90"/>
      <c r="ACE452" s="90"/>
      <c r="ACF452" s="90"/>
      <c r="ACG452" s="90"/>
      <c r="ACH452" s="90"/>
      <c r="ACI452" s="90"/>
      <c r="ACJ452" s="90"/>
      <c r="ACK452" s="90"/>
      <c r="ACL452" s="90"/>
      <c r="ACM452" s="90"/>
      <c r="ACN452" s="90"/>
      <c r="ACO452" s="90"/>
      <c r="ACP452" s="90"/>
      <c r="ACQ452" s="90"/>
      <c r="ACR452" s="90"/>
      <c r="ACS452" s="90"/>
      <c r="ACT452" s="90"/>
      <c r="ACU452" s="90"/>
      <c r="ACV452" s="90"/>
      <c r="ACW452" s="90"/>
      <c r="ACX452" s="90"/>
      <c r="ACY452" s="90"/>
      <c r="ACZ452" s="90"/>
      <c r="ADA452" s="90"/>
      <c r="ADB452" s="90"/>
      <c r="ADC452" s="90"/>
      <c r="ADD452" s="90"/>
      <c r="ADE452" s="90"/>
      <c r="ADF452" s="90"/>
      <c r="ADG452" s="90"/>
      <c r="ADH452" s="90"/>
      <c r="ADI452" s="90"/>
      <c r="ADJ452" s="90"/>
      <c r="ADK452" s="90"/>
      <c r="ADL452" s="90"/>
      <c r="ADM452" s="90"/>
      <c r="ADN452" s="90"/>
      <c r="ADO452" s="90"/>
      <c r="ADP452" s="90"/>
      <c r="ADQ452" s="90"/>
      <c r="ADR452" s="90"/>
      <c r="ADS452" s="90"/>
      <c r="ADT452" s="90"/>
      <c r="ADU452" s="90"/>
      <c r="ADV452" s="90"/>
      <c r="ADW452" s="90"/>
      <c r="ADX452" s="90"/>
      <c r="ADY452" s="90"/>
      <c r="ADZ452" s="90"/>
      <c r="AEA452" s="90"/>
      <c r="AEB452" s="90"/>
      <c r="AEC452" s="90"/>
      <c r="AED452" s="90"/>
      <c r="AEE452" s="90"/>
      <c r="AEF452" s="90"/>
      <c r="AEG452" s="90"/>
      <c r="AEH452" s="90"/>
      <c r="AEI452" s="90"/>
      <c r="AEJ452" s="90"/>
      <c r="AEK452" s="90"/>
      <c r="AEL452" s="90"/>
      <c r="AEM452" s="90"/>
      <c r="AEN452" s="90"/>
      <c r="AEO452" s="90"/>
      <c r="AEP452" s="90"/>
      <c r="AEQ452" s="90"/>
      <c r="AER452" s="90"/>
      <c r="AES452" s="90"/>
      <c r="AET452" s="90"/>
      <c r="AEU452" s="90"/>
      <c r="AEV452" s="90"/>
      <c r="AEW452" s="90"/>
      <c r="AEX452" s="90"/>
      <c r="AEY452" s="90"/>
      <c r="AEZ452" s="90"/>
      <c r="AFA452" s="90"/>
      <c r="AFB452" s="90"/>
      <c r="AFC452" s="90"/>
      <c r="AFD452" s="90"/>
      <c r="AFE452" s="90"/>
      <c r="AFF452" s="90"/>
      <c r="AFG452" s="90"/>
      <c r="AFH452" s="90"/>
      <c r="AFI452" s="90"/>
      <c r="AFJ452" s="90"/>
      <c r="AFK452" s="90"/>
      <c r="AFL452" s="90"/>
      <c r="AFM452" s="90"/>
      <c r="AFN452" s="90"/>
      <c r="AFO452" s="90"/>
      <c r="AFP452" s="90"/>
      <c r="AFQ452" s="90"/>
      <c r="AFR452" s="90"/>
      <c r="AFS452" s="90"/>
      <c r="AFT452" s="90"/>
      <c r="AFU452" s="90"/>
      <c r="AFV452" s="90"/>
      <c r="AFW452" s="90"/>
      <c r="AFX452" s="90"/>
      <c r="AFY452" s="90"/>
      <c r="AFZ452" s="90"/>
      <c r="AGA452" s="90"/>
      <c r="AGB452" s="90"/>
      <c r="AGC452" s="90"/>
      <c r="AGD452" s="90"/>
      <c r="AGE452" s="90"/>
      <c r="AGF452" s="90"/>
      <c r="AGG452" s="90"/>
      <c r="AGH452" s="90"/>
      <c r="AGI452" s="90"/>
      <c r="AGJ452" s="90"/>
      <c r="AGK452" s="90"/>
      <c r="AGL452" s="90"/>
      <c r="AGM452" s="90"/>
      <c r="AGN452" s="90"/>
      <c r="AGO452" s="90"/>
      <c r="AGP452" s="90"/>
      <c r="AGQ452" s="90"/>
      <c r="AGR452" s="90"/>
      <c r="AGS452" s="90"/>
      <c r="AGT452" s="90"/>
      <c r="AGU452" s="90"/>
      <c r="AGV452" s="90"/>
      <c r="AGW452" s="90"/>
      <c r="AGX452" s="90"/>
      <c r="AGY452" s="90"/>
      <c r="AGZ452" s="90"/>
      <c r="AHA452" s="90"/>
      <c r="AHB452" s="90"/>
      <c r="AHC452" s="90"/>
      <c r="AHD452" s="90"/>
      <c r="AHE452" s="90"/>
      <c r="AHF452" s="90"/>
      <c r="AHG452" s="90"/>
      <c r="AHH452" s="90"/>
      <c r="AHI452" s="90"/>
      <c r="AHJ452" s="90"/>
      <c r="AHK452" s="90"/>
      <c r="AHL452" s="90"/>
      <c r="AHM452" s="90"/>
      <c r="AHN452" s="90"/>
      <c r="AHO452" s="90"/>
      <c r="AHP452" s="90"/>
      <c r="AHQ452" s="90"/>
      <c r="AHR452" s="90"/>
      <c r="AHS452" s="90"/>
      <c r="AHT452" s="90"/>
      <c r="AHU452" s="90"/>
      <c r="AHV452" s="90"/>
      <c r="AHW452" s="90"/>
      <c r="AHX452" s="90"/>
      <c r="AHY452" s="90"/>
      <c r="AHZ452" s="90"/>
      <c r="AIA452" s="90"/>
      <c r="AIB452" s="90"/>
      <c r="AIC452" s="90"/>
      <c r="AID452" s="90"/>
      <c r="AIE452" s="90"/>
      <c r="AIF452" s="90"/>
      <c r="AIG452" s="90"/>
      <c r="AIH452" s="90"/>
      <c r="AII452" s="90"/>
      <c r="AIJ452" s="90"/>
      <c r="AIK452" s="90"/>
      <c r="AIL452" s="90"/>
      <c r="AIM452" s="90"/>
      <c r="AIN452" s="90"/>
      <c r="AIO452" s="90"/>
      <c r="AIP452" s="90"/>
      <c r="AIQ452" s="90"/>
      <c r="AIR452" s="90"/>
      <c r="AIS452" s="90"/>
      <c r="AIT452" s="90"/>
      <c r="AIU452" s="90"/>
      <c r="AIV452" s="90"/>
      <c r="AIW452" s="90"/>
      <c r="AIX452" s="90"/>
      <c r="AIY452" s="90"/>
      <c r="AIZ452" s="90"/>
      <c r="AJA452" s="90"/>
      <c r="AJB452" s="90"/>
      <c r="AJC452" s="90"/>
      <c r="AJD452" s="90"/>
      <c r="AJE452" s="90"/>
      <c r="AJF452" s="90"/>
      <c r="AJG452" s="90"/>
      <c r="AJH452" s="90"/>
      <c r="AJI452" s="90"/>
      <c r="AJJ452" s="90"/>
      <c r="AJK452" s="90"/>
      <c r="AJL452" s="90"/>
      <c r="AJM452" s="90"/>
      <c r="AJN452" s="90"/>
      <c r="AJO452" s="90"/>
      <c r="AJP452" s="90"/>
      <c r="AJQ452" s="90"/>
      <c r="AJR452" s="90"/>
      <c r="AJS452" s="90"/>
      <c r="AJT452" s="90"/>
      <c r="AJU452" s="90"/>
      <c r="AJV452" s="90"/>
      <c r="AJW452" s="90"/>
      <c r="AJX452" s="90"/>
      <c r="AJY452" s="90"/>
      <c r="AJZ452" s="90"/>
      <c r="AKA452" s="90"/>
      <c r="AKB452" s="90"/>
      <c r="AKC452" s="90"/>
      <c r="AKD452" s="90"/>
      <c r="AKE452" s="90"/>
      <c r="AKF452" s="90"/>
      <c r="AKG452" s="90"/>
      <c r="AKH452" s="90"/>
      <c r="AKI452" s="90"/>
      <c r="AKJ452" s="90"/>
      <c r="AKK452" s="90"/>
      <c r="AKL452" s="90"/>
      <c r="AKM452" s="90"/>
      <c r="AKN452" s="90"/>
      <c r="AKO452" s="90"/>
      <c r="AKP452" s="90"/>
      <c r="AKQ452" s="90"/>
      <c r="AKR452" s="90"/>
      <c r="AKS452" s="90"/>
      <c r="AKT452" s="90"/>
      <c r="AKU452" s="90"/>
      <c r="AKV452" s="90"/>
      <c r="AKW452" s="90"/>
      <c r="AKX452" s="90"/>
      <c r="AKY452" s="90"/>
      <c r="AKZ452" s="90"/>
      <c r="ALA452" s="90"/>
      <c r="ALB452" s="90"/>
      <c r="ALC452" s="90"/>
      <c r="ALD452" s="90"/>
      <c r="ALE452" s="90"/>
      <c r="ALF452" s="90"/>
      <c r="ALG452" s="90"/>
      <c r="ALH452" s="90"/>
      <c r="ALI452" s="90"/>
      <c r="ALJ452" s="90"/>
      <c r="ALK452" s="90"/>
      <c r="ALL452" s="90"/>
      <c r="ALM452" s="90"/>
      <c r="ALN452" s="90"/>
      <c r="ALO452" s="90"/>
      <c r="ALP452" s="90"/>
      <c r="ALQ452" s="90"/>
      <c r="ALR452" s="90"/>
      <c r="ALS452" s="90"/>
      <c r="ALT452" s="90"/>
      <c r="ALU452" s="90"/>
      <c r="ALV452" s="90"/>
      <c r="ALW452" s="90"/>
      <c r="ALX452" s="90"/>
      <c r="ALY452" s="90"/>
      <c r="ALZ452" s="90"/>
      <c r="AMA452" s="90"/>
      <c r="AMB452" s="90"/>
      <c r="AMC452" s="90"/>
    </row>
    <row r="453" spans="1:1017">
      <c r="A453" s="98" t="s">
        <v>56</v>
      </c>
      <c r="B453" s="90" t="str">
        <f t="shared" si="2224"/>
        <v>Tawes</v>
      </c>
      <c r="Q453" s="91">
        <f t="shared" si="2225"/>
        <v>0</v>
      </c>
      <c r="R453" s="91">
        <f t="shared" si="2226"/>
        <v>0</v>
      </c>
      <c r="Y453" s="98">
        <v>1960</v>
      </c>
      <c r="Z453" s="98">
        <v>33320</v>
      </c>
      <c r="AG453" s="91">
        <f t="shared" si="2227"/>
        <v>1960</v>
      </c>
      <c r="AH453" s="91">
        <f t="shared" si="2228"/>
        <v>33320</v>
      </c>
      <c r="AW453" s="91">
        <f t="shared" si="2229"/>
        <v>0</v>
      </c>
      <c r="AX453" s="91">
        <f t="shared" si="2230"/>
        <v>0</v>
      </c>
      <c r="BE453" s="98">
        <v>5327</v>
      </c>
      <c r="BF453" s="98">
        <v>53270</v>
      </c>
      <c r="BG453" s="98">
        <v>162</v>
      </c>
      <c r="BH453" s="98">
        <v>1620</v>
      </c>
      <c r="BK453" s="98">
        <v>2136</v>
      </c>
      <c r="BL453" s="98">
        <v>21360</v>
      </c>
      <c r="BM453" s="91">
        <f t="shared" si="2231"/>
        <v>7625</v>
      </c>
      <c r="BN453" s="91">
        <f t="shared" si="2232"/>
        <v>76250</v>
      </c>
      <c r="BU453" s="98">
        <v>94</v>
      </c>
      <c r="BV453" s="98">
        <v>1880</v>
      </c>
      <c r="CC453" s="91">
        <f t="shared" si="2233"/>
        <v>94</v>
      </c>
      <c r="CD453" s="91">
        <f t="shared" si="2234"/>
        <v>1880</v>
      </c>
      <c r="CK453" s="98">
        <v>120200.08</v>
      </c>
      <c r="CL453" s="98">
        <v>1442401</v>
      </c>
      <c r="CS453" s="91">
        <f t="shared" si="2235"/>
        <v>120200.08</v>
      </c>
      <c r="CT453" s="91">
        <f t="shared" si="2236"/>
        <v>1442401</v>
      </c>
      <c r="DI453" s="91">
        <f t="shared" si="2237"/>
        <v>0</v>
      </c>
      <c r="DJ453" s="91">
        <f t="shared" si="2238"/>
        <v>0</v>
      </c>
      <c r="DY453" s="91">
        <f t="shared" si="2239"/>
        <v>0</v>
      </c>
      <c r="DZ453" s="91">
        <f t="shared" si="2240"/>
        <v>0</v>
      </c>
      <c r="EG453" s="98">
        <v>80</v>
      </c>
      <c r="EH453" s="98">
        <v>880</v>
      </c>
      <c r="EO453" s="91">
        <f t="shared" si="2241"/>
        <v>80</v>
      </c>
      <c r="EP453" s="91">
        <f t="shared" si="2242"/>
        <v>880</v>
      </c>
      <c r="EW453" s="98">
        <v>21152</v>
      </c>
      <c r="EX453" s="98">
        <v>423040</v>
      </c>
      <c r="FE453" s="91">
        <f t="shared" si="2243"/>
        <v>21152</v>
      </c>
      <c r="FF453" s="91">
        <f t="shared" si="2244"/>
        <v>423040</v>
      </c>
      <c r="FM453" s="98">
        <v>85</v>
      </c>
      <c r="FN453" s="98">
        <v>1530</v>
      </c>
      <c r="FU453" s="91">
        <f t="shared" si="2245"/>
        <v>85</v>
      </c>
      <c r="FV453" s="91">
        <f t="shared" si="2246"/>
        <v>1530</v>
      </c>
      <c r="GK453" s="91">
        <f t="shared" si="2247"/>
        <v>0</v>
      </c>
      <c r="GL453" s="91">
        <f t="shared" si="2248"/>
        <v>0</v>
      </c>
      <c r="HA453" s="91">
        <f t="shared" si="2249"/>
        <v>0</v>
      </c>
      <c r="HB453" s="91">
        <f t="shared" si="2250"/>
        <v>0</v>
      </c>
      <c r="HQ453" s="91">
        <f t="shared" si="2251"/>
        <v>0</v>
      </c>
      <c r="HR453" s="91">
        <f t="shared" si="2252"/>
        <v>0</v>
      </c>
      <c r="IG453" s="91">
        <f t="shared" si="2253"/>
        <v>0</v>
      </c>
      <c r="IH453" s="91">
        <f t="shared" si="2254"/>
        <v>0</v>
      </c>
      <c r="IW453" s="91">
        <f t="shared" si="2255"/>
        <v>0</v>
      </c>
      <c r="IX453" s="91">
        <f t="shared" si="2256"/>
        <v>0</v>
      </c>
      <c r="JM453" s="91">
        <f t="shared" si="2257"/>
        <v>0</v>
      </c>
      <c r="JN453" s="91">
        <f t="shared" si="2258"/>
        <v>0</v>
      </c>
      <c r="KC453" s="91">
        <f t="shared" si="2259"/>
        <v>0</v>
      </c>
      <c r="KD453" s="91">
        <f t="shared" si="2260"/>
        <v>0</v>
      </c>
      <c r="KS453" s="91">
        <f t="shared" si="2261"/>
        <v>0</v>
      </c>
      <c r="KT453" s="91">
        <f t="shared" si="2262"/>
        <v>0</v>
      </c>
      <c r="LI453" s="91">
        <f t="shared" si="2263"/>
        <v>0</v>
      </c>
      <c r="LJ453" s="91">
        <f t="shared" si="2264"/>
        <v>0</v>
      </c>
      <c r="LY453" s="91">
        <f t="shared" si="2265"/>
        <v>0</v>
      </c>
      <c r="LZ453" s="91">
        <f t="shared" si="2266"/>
        <v>0</v>
      </c>
      <c r="MO453" s="91">
        <f t="shared" si="2267"/>
        <v>0</v>
      </c>
      <c r="MP453" s="91">
        <f t="shared" si="2268"/>
        <v>0</v>
      </c>
      <c r="NE453" s="91">
        <f t="shared" si="2269"/>
        <v>0</v>
      </c>
      <c r="NF453" s="91">
        <f t="shared" si="2270"/>
        <v>0</v>
      </c>
      <c r="NQ453" s="98">
        <v>153</v>
      </c>
      <c r="NR453" s="98">
        <v>2448</v>
      </c>
      <c r="NU453" s="91">
        <f t="shared" si="2271"/>
        <v>153</v>
      </c>
      <c r="NV453" s="91">
        <f t="shared" si="2272"/>
        <v>2448</v>
      </c>
      <c r="OK453" s="91">
        <f t="shared" si="2273"/>
        <v>0</v>
      </c>
      <c r="OL453" s="91">
        <f t="shared" si="2274"/>
        <v>0</v>
      </c>
      <c r="PA453" s="91">
        <f t="shared" si="2275"/>
        <v>0</v>
      </c>
      <c r="PB453" s="91">
        <f t="shared" si="2276"/>
        <v>0</v>
      </c>
      <c r="PQ453" s="91">
        <f t="shared" si="2277"/>
        <v>0</v>
      </c>
      <c r="PR453" s="91">
        <f t="shared" si="2278"/>
        <v>0</v>
      </c>
      <c r="PY453" s="98">
        <v>142930</v>
      </c>
      <c r="PZ453" s="98">
        <v>2143950</v>
      </c>
      <c r="QA453" s="98">
        <v>109120</v>
      </c>
      <c r="QB453" s="98">
        <v>1636800</v>
      </c>
      <c r="QG453" s="91">
        <f t="shared" si="2279"/>
        <v>252050</v>
      </c>
      <c r="QH453" s="91">
        <f t="shared" si="2280"/>
        <v>3780750</v>
      </c>
      <c r="QW453" s="91">
        <f t="shared" si="2281"/>
        <v>0</v>
      </c>
      <c r="QX453" s="91">
        <f t="shared" si="2282"/>
        <v>0</v>
      </c>
      <c r="RM453" s="91">
        <f t="shared" si="2283"/>
        <v>0</v>
      </c>
      <c r="RN453" s="91">
        <f t="shared" si="2284"/>
        <v>0</v>
      </c>
      <c r="SC453" s="91">
        <f t="shared" si="2285"/>
        <v>0</v>
      </c>
      <c r="SD453" s="91">
        <f t="shared" si="2286"/>
        <v>0</v>
      </c>
      <c r="SS453" s="91">
        <f t="shared" si="2287"/>
        <v>0</v>
      </c>
      <c r="ST453" s="91">
        <f t="shared" si="2288"/>
        <v>0</v>
      </c>
      <c r="TI453" s="91">
        <f t="shared" si="2289"/>
        <v>0</v>
      </c>
      <c r="TJ453" s="91">
        <f t="shared" si="2290"/>
        <v>0</v>
      </c>
      <c r="TY453" s="91">
        <f t="shared" si="2291"/>
        <v>0</v>
      </c>
      <c r="TZ453" s="91">
        <f t="shared" si="2292"/>
        <v>0</v>
      </c>
      <c r="UO453" s="91">
        <f t="shared" si="2293"/>
        <v>0</v>
      </c>
      <c r="UP453" s="91">
        <f t="shared" si="2294"/>
        <v>0</v>
      </c>
      <c r="VE453" s="91">
        <f t="shared" si="2295"/>
        <v>0</v>
      </c>
      <c r="VF453" s="91">
        <f t="shared" si="2296"/>
        <v>0</v>
      </c>
      <c r="VU453" s="91">
        <f t="shared" si="2297"/>
        <v>0</v>
      </c>
      <c r="VV453" s="91">
        <f t="shared" si="2298"/>
        <v>0</v>
      </c>
      <c r="WK453" s="91">
        <f t="shared" si="2299"/>
        <v>0</v>
      </c>
      <c r="WL453" s="91">
        <f t="shared" si="2300"/>
        <v>0</v>
      </c>
      <c r="WM453" s="89"/>
      <c r="WN453" s="87">
        <f t="shared" si="2301"/>
        <v>0</v>
      </c>
      <c r="WO453" s="87">
        <f t="shared" si="2302"/>
        <v>0</v>
      </c>
      <c r="WP453" s="87">
        <f t="shared" si="2303"/>
        <v>0</v>
      </c>
      <c r="WQ453" s="87">
        <f t="shared" si="2304"/>
        <v>0</v>
      </c>
      <c r="WR453" s="87">
        <f t="shared" si="2305"/>
        <v>0</v>
      </c>
      <c r="WS453" s="87">
        <f t="shared" si="2306"/>
        <v>0</v>
      </c>
      <c r="WT453" s="87">
        <f t="shared" si="2307"/>
        <v>291828.08</v>
      </c>
      <c r="WU453" s="87">
        <f t="shared" si="2308"/>
        <v>4100271</v>
      </c>
      <c r="WV453" s="87">
        <f t="shared" si="2309"/>
        <v>109282</v>
      </c>
      <c r="WW453" s="87">
        <f t="shared" si="2310"/>
        <v>1638420</v>
      </c>
      <c r="WX453" s="87">
        <f t="shared" si="2311"/>
        <v>153</v>
      </c>
      <c r="WY453" s="87">
        <f t="shared" si="2312"/>
        <v>2448</v>
      </c>
      <c r="WZ453" s="87">
        <f t="shared" si="2313"/>
        <v>2136</v>
      </c>
      <c r="XA453" s="87">
        <f t="shared" si="2314"/>
        <v>21360</v>
      </c>
      <c r="XB453" s="92">
        <f t="shared" si="2315"/>
        <v>403399.08</v>
      </c>
      <c r="XC453" s="92">
        <f t="shared" si="2316"/>
        <v>5762499</v>
      </c>
      <c r="XD453" s="89"/>
      <c r="XE453" s="92"/>
      <c r="XF453" s="92"/>
      <c r="XG453" s="89"/>
      <c r="XH453" s="92"/>
      <c r="XI453" s="92"/>
      <c r="XJ453" s="89"/>
      <c r="XK453" s="87"/>
      <c r="XL453" s="87"/>
      <c r="XM453" s="87"/>
      <c r="XN453" s="87"/>
      <c r="XO453" s="87"/>
      <c r="XP453" s="87"/>
      <c r="XQ453" s="87"/>
      <c r="XR453" s="92">
        <f t="shared" ca="1" si="2317"/>
        <v>0</v>
      </c>
      <c r="XS453" s="89"/>
      <c r="XT453" s="87"/>
      <c r="XU453" s="87"/>
      <c r="XV453" s="87"/>
      <c r="XW453" s="87"/>
      <c r="XX453" s="87"/>
      <c r="XY453" s="87"/>
      <c r="XZ453" s="87"/>
      <c r="YA453" s="92">
        <f t="shared" ca="1" si="2318"/>
        <v>0</v>
      </c>
      <c r="YB453" s="90"/>
      <c r="YC453" s="90"/>
      <c r="YD453" s="90"/>
      <c r="YE453" s="90"/>
      <c r="YF453" s="90"/>
      <c r="YG453" s="90"/>
      <c r="YH453" s="90"/>
      <c r="YI453" s="90"/>
      <c r="YJ453" s="90"/>
      <c r="YK453" s="90"/>
      <c r="YL453" s="90"/>
      <c r="YM453" s="90"/>
      <c r="YN453" s="90"/>
      <c r="YO453" s="90"/>
      <c r="YP453" s="90"/>
      <c r="YQ453" s="90"/>
      <c r="YR453" s="90"/>
      <c r="YS453" s="90"/>
      <c r="YT453" s="90"/>
      <c r="YU453" s="90"/>
      <c r="YV453" s="90"/>
      <c r="YW453" s="90"/>
      <c r="YX453" s="90"/>
      <c r="YY453" s="90"/>
      <c r="YZ453" s="90"/>
      <c r="ZA453" s="90"/>
      <c r="ZB453" s="90"/>
      <c r="ZC453" s="90"/>
      <c r="ZD453" s="90"/>
      <c r="ZE453" s="90"/>
      <c r="ZF453" s="90"/>
      <c r="ZG453" s="90"/>
      <c r="ZH453" s="90"/>
      <c r="ZI453" s="90"/>
      <c r="ZJ453" s="90"/>
      <c r="ZK453" s="90"/>
      <c r="ZL453" s="90"/>
      <c r="ZM453" s="90"/>
      <c r="ZN453" s="90"/>
      <c r="ZO453" s="90"/>
      <c r="ZP453" s="90"/>
      <c r="ZQ453" s="90"/>
      <c r="ZR453" s="90"/>
      <c r="ZS453" s="90"/>
      <c r="ZT453" s="90"/>
      <c r="ZU453" s="90"/>
      <c r="ZV453" s="90"/>
      <c r="ZW453" s="90"/>
      <c r="ZX453" s="90"/>
      <c r="ZY453" s="90"/>
      <c r="ZZ453" s="90"/>
      <c r="AAA453" s="90"/>
      <c r="AAB453" s="90"/>
      <c r="AAC453" s="90"/>
      <c r="AAD453" s="90"/>
      <c r="AAE453" s="90"/>
      <c r="AAF453" s="90"/>
      <c r="AAG453" s="90"/>
      <c r="AAH453" s="90"/>
      <c r="AAI453" s="90"/>
      <c r="AAJ453" s="90"/>
      <c r="AAK453" s="90"/>
      <c r="AAL453" s="90"/>
      <c r="AAM453" s="90"/>
      <c r="AAN453" s="90"/>
      <c r="AAO453" s="90"/>
      <c r="AAP453" s="90"/>
      <c r="AAQ453" s="90"/>
      <c r="AAR453" s="90"/>
      <c r="AAS453" s="90"/>
      <c r="AAT453" s="90"/>
      <c r="AAU453" s="90"/>
      <c r="AAV453" s="90"/>
      <c r="AAW453" s="90"/>
      <c r="AAX453" s="90"/>
      <c r="AAY453" s="90"/>
      <c r="AAZ453" s="90"/>
      <c r="ABA453" s="90"/>
      <c r="ABB453" s="90"/>
      <c r="ABC453" s="90"/>
      <c r="ABD453" s="90"/>
      <c r="ABE453" s="90"/>
      <c r="ABF453" s="90"/>
      <c r="ABG453" s="90"/>
      <c r="ABH453" s="90"/>
      <c r="ABI453" s="90"/>
      <c r="ABJ453" s="90"/>
      <c r="ABK453" s="90"/>
      <c r="ABL453" s="90"/>
      <c r="ABM453" s="90"/>
      <c r="ABN453" s="90"/>
      <c r="ABO453" s="90"/>
      <c r="ABP453" s="90"/>
      <c r="ABQ453" s="90"/>
      <c r="ABR453" s="90"/>
      <c r="ABS453" s="90"/>
      <c r="ABT453" s="90"/>
      <c r="ABU453" s="90"/>
      <c r="ABV453" s="90"/>
      <c r="ABW453" s="90"/>
      <c r="ABX453" s="90"/>
      <c r="ABY453" s="90"/>
      <c r="ABZ453" s="90"/>
      <c r="ACA453" s="90"/>
      <c r="ACB453" s="90"/>
      <c r="ACC453" s="90"/>
      <c r="ACD453" s="90"/>
      <c r="ACE453" s="90"/>
      <c r="ACF453" s="90"/>
      <c r="ACG453" s="90"/>
      <c r="ACH453" s="90"/>
      <c r="ACI453" s="90"/>
      <c r="ACJ453" s="90"/>
      <c r="ACK453" s="90"/>
      <c r="ACL453" s="90"/>
      <c r="ACM453" s="90"/>
      <c r="ACN453" s="90"/>
      <c r="ACO453" s="90"/>
      <c r="ACP453" s="90"/>
      <c r="ACQ453" s="90"/>
      <c r="ACR453" s="90"/>
      <c r="ACS453" s="90"/>
      <c r="ACT453" s="90"/>
      <c r="ACU453" s="90"/>
      <c r="ACV453" s="90"/>
      <c r="ACW453" s="90"/>
      <c r="ACX453" s="90"/>
      <c r="ACY453" s="90"/>
      <c r="ACZ453" s="90"/>
      <c r="ADA453" s="90"/>
      <c r="ADB453" s="90"/>
      <c r="ADC453" s="90"/>
      <c r="ADD453" s="90"/>
      <c r="ADE453" s="90"/>
      <c r="ADF453" s="90"/>
      <c r="ADG453" s="90"/>
      <c r="ADH453" s="90"/>
      <c r="ADI453" s="90"/>
      <c r="ADJ453" s="90"/>
      <c r="ADK453" s="90"/>
      <c r="ADL453" s="90"/>
      <c r="ADM453" s="90"/>
      <c r="ADN453" s="90"/>
      <c r="ADO453" s="90"/>
      <c r="ADP453" s="90"/>
      <c r="ADQ453" s="90"/>
      <c r="ADR453" s="90"/>
      <c r="ADS453" s="90"/>
      <c r="ADT453" s="90"/>
      <c r="ADU453" s="90"/>
      <c r="ADV453" s="90"/>
      <c r="ADW453" s="90"/>
      <c r="ADX453" s="90"/>
      <c r="ADY453" s="90"/>
      <c r="ADZ453" s="90"/>
      <c r="AEA453" s="90"/>
      <c r="AEB453" s="90"/>
      <c r="AEC453" s="90"/>
      <c r="AED453" s="90"/>
      <c r="AEE453" s="90"/>
      <c r="AEF453" s="90"/>
      <c r="AEG453" s="90"/>
      <c r="AEH453" s="90"/>
      <c r="AEI453" s="90"/>
      <c r="AEJ453" s="90"/>
      <c r="AEK453" s="90"/>
      <c r="AEL453" s="90"/>
      <c r="AEM453" s="90"/>
      <c r="AEN453" s="90"/>
      <c r="AEO453" s="90"/>
      <c r="AEP453" s="90"/>
      <c r="AEQ453" s="90"/>
      <c r="AER453" s="90"/>
      <c r="AES453" s="90"/>
      <c r="AET453" s="90"/>
      <c r="AEU453" s="90"/>
      <c r="AEV453" s="90"/>
      <c r="AEW453" s="90"/>
      <c r="AEX453" s="90"/>
      <c r="AEY453" s="90"/>
      <c r="AEZ453" s="90"/>
      <c r="AFA453" s="90"/>
      <c r="AFB453" s="90"/>
      <c r="AFC453" s="90"/>
      <c r="AFD453" s="90"/>
      <c r="AFE453" s="90"/>
      <c r="AFF453" s="90"/>
      <c r="AFG453" s="90"/>
      <c r="AFH453" s="90"/>
      <c r="AFI453" s="90"/>
      <c r="AFJ453" s="90"/>
      <c r="AFK453" s="90"/>
      <c r="AFL453" s="90"/>
      <c r="AFM453" s="90"/>
      <c r="AFN453" s="90"/>
      <c r="AFO453" s="90"/>
      <c r="AFP453" s="90"/>
      <c r="AFQ453" s="90"/>
      <c r="AFR453" s="90"/>
      <c r="AFS453" s="90"/>
      <c r="AFT453" s="90"/>
      <c r="AFU453" s="90"/>
      <c r="AFV453" s="90"/>
      <c r="AFW453" s="90"/>
      <c r="AFX453" s="90"/>
      <c r="AFY453" s="90"/>
      <c r="AFZ453" s="90"/>
      <c r="AGA453" s="90"/>
      <c r="AGB453" s="90"/>
      <c r="AGC453" s="90"/>
      <c r="AGD453" s="90"/>
      <c r="AGE453" s="90"/>
      <c r="AGF453" s="90"/>
      <c r="AGG453" s="90"/>
      <c r="AGH453" s="90"/>
      <c r="AGI453" s="90"/>
      <c r="AGJ453" s="90"/>
      <c r="AGK453" s="90"/>
      <c r="AGL453" s="90"/>
      <c r="AGM453" s="90"/>
      <c r="AGN453" s="90"/>
      <c r="AGO453" s="90"/>
      <c r="AGP453" s="90"/>
      <c r="AGQ453" s="90"/>
      <c r="AGR453" s="90"/>
      <c r="AGS453" s="90"/>
      <c r="AGT453" s="90"/>
      <c r="AGU453" s="90"/>
      <c r="AGV453" s="90"/>
      <c r="AGW453" s="90"/>
      <c r="AGX453" s="90"/>
      <c r="AGY453" s="90"/>
      <c r="AGZ453" s="90"/>
      <c r="AHA453" s="90"/>
      <c r="AHB453" s="90"/>
      <c r="AHC453" s="90"/>
      <c r="AHD453" s="90"/>
      <c r="AHE453" s="90"/>
      <c r="AHF453" s="90"/>
      <c r="AHG453" s="90"/>
      <c r="AHH453" s="90"/>
      <c r="AHI453" s="90"/>
      <c r="AHJ453" s="90"/>
      <c r="AHK453" s="90"/>
      <c r="AHL453" s="90"/>
      <c r="AHM453" s="90"/>
      <c r="AHN453" s="90"/>
      <c r="AHO453" s="90"/>
      <c r="AHP453" s="90"/>
      <c r="AHQ453" s="90"/>
      <c r="AHR453" s="90"/>
      <c r="AHS453" s="90"/>
      <c r="AHT453" s="90"/>
      <c r="AHU453" s="90"/>
      <c r="AHV453" s="90"/>
      <c r="AHW453" s="90"/>
      <c r="AHX453" s="90"/>
      <c r="AHY453" s="90"/>
      <c r="AHZ453" s="90"/>
      <c r="AIA453" s="90"/>
      <c r="AIB453" s="90"/>
      <c r="AIC453" s="90"/>
      <c r="AID453" s="90"/>
      <c r="AIE453" s="90"/>
      <c r="AIF453" s="90"/>
      <c r="AIG453" s="90"/>
      <c r="AIH453" s="90"/>
      <c r="AII453" s="90"/>
      <c r="AIJ453" s="90"/>
      <c r="AIK453" s="90"/>
      <c r="AIL453" s="90"/>
      <c r="AIM453" s="90"/>
      <c r="AIN453" s="90"/>
      <c r="AIO453" s="90"/>
      <c r="AIP453" s="90"/>
      <c r="AIQ453" s="90"/>
      <c r="AIR453" s="90"/>
      <c r="AIS453" s="90"/>
      <c r="AIT453" s="90"/>
      <c r="AIU453" s="90"/>
      <c r="AIV453" s="90"/>
      <c r="AIW453" s="90"/>
      <c r="AIX453" s="90"/>
      <c r="AIY453" s="90"/>
      <c r="AIZ453" s="90"/>
      <c r="AJA453" s="90"/>
      <c r="AJB453" s="90"/>
      <c r="AJC453" s="90"/>
      <c r="AJD453" s="90"/>
      <c r="AJE453" s="90"/>
      <c r="AJF453" s="90"/>
      <c r="AJG453" s="90"/>
      <c r="AJH453" s="90"/>
      <c r="AJI453" s="90"/>
      <c r="AJJ453" s="90"/>
      <c r="AJK453" s="90"/>
      <c r="AJL453" s="90"/>
      <c r="AJM453" s="90"/>
      <c r="AJN453" s="90"/>
      <c r="AJO453" s="90"/>
      <c r="AJP453" s="90"/>
      <c r="AJQ453" s="90"/>
      <c r="AJR453" s="90"/>
      <c r="AJS453" s="90"/>
      <c r="AJT453" s="90"/>
      <c r="AJU453" s="90"/>
      <c r="AJV453" s="90"/>
      <c r="AJW453" s="90"/>
      <c r="AJX453" s="90"/>
      <c r="AJY453" s="90"/>
      <c r="AJZ453" s="90"/>
      <c r="AKA453" s="90"/>
      <c r="AKB453" s="90"/>
      <c r="AKC453" s="90"/>
      <c r="AKD453" s="90"/>
      <c r="AKE453" s="90"/>
      <c r="AKF453" s="90"/>
      <c r="AKG453" s="90"/>
      <c r="AKH453" s="90"/>
      <c r="AKI453" s="90"/>
      <c r="AKJ453" s="90"/>
      <c r="AKK453" s="90"/>
      <c r="AKL453" s="90"/>
      <c r="AKM453" s="90"/>
      <c r="AKN453" s="90"/>
      <c r="AKO453" s="90"/>
      <c r="AKP453" s="90"/>
      <c r="AKQ453" s="90"/>
      <c r="AKR453" s="90"/>
      <c r="AKS453" s="90"/>
      <c r="AKT453" s="90"/>
      <c r="AKU453" s="90"/>
      <c r="AKV453" s="90"/>
      <c r="AKW453" s="90"/>
      <c r="AKX453" s="90"/>
      <c r="AKY453" s="90"/>
      <c r="AKZ453" s="90"/>
      <c r="ALA453" s="90"/>
      <c r="ALB453" s="90"/>
      <c r="ALC453" s="90"/>
      <c r="ALD453" s="90"/>
      <c r="ALE453" s="90"/>
      <c r="ALF453" s="90"/>
      <c r="ALG453" s="90"/>
      <c r="ALH453" s="90"/>
      <c r="ALI453" s="90"/>
      <c r="ALJ453" s="90"/>
      <c r="ALK453" s="90"/>
      <c r="ALL453" s="90"/>
      <c r="ALM453" s="90"/>
      <c r="ALN453" s="90"/>
      <c r="ALO453" s="90"/>
      <c r="ALP453" s="90"/>
      <c r="ALQ453" s="90"/>
      <c r="ALR453" s="90"/>
      <c r="ALS453" s="90"/>
      <c r="ALT453" s="90"/>
      <c r="ALU453" s="90"/>
      <c r="ALV453" s="90"/>
      <c r="ALW453" s="90"/>
      <c r="ALX453" s="90"/>
      <c r="ALY453" s="90"/>
      <c r="ALZ453" s="90"/>
      <c r="AMA453" s="90"/>
      <c r="AMB453" s="90"/>
      <c r="AMC453" s="90"/>
    </row>
    <row r="454" spans="1:1017">
      <c r="A454" s="98" t="s">
        <v>56</v>
      </c>
      <c r="B454" s="90" t="str">
        <f t="shared" si="2224"/>
        <v>Teri</v>
      </c>
      <c r="Q454" s="91">
        <f t="shared" si="2225"/>
        <v>0</v>
      </c>
      <c r="R454" s="91">
        <f t="shared" si="2226"/>
        <v>0</v>
      </c>
      <c r="AG454" s="91">
        <f t="shared" si="2227"/>
        <v>0</v>
      </c>
      <c r="AH454" s="91">
        <f t="shared" si="2228"/>
        <v>0</v>
      </c>
      <c r="AW454" s="91">
        <f t="shared" si="2229"/>
        <v>0</v>
      </c>
      <c r="AX454" s="91">
        <f t="shared" si="2230"/>
        <v>0</v>
      </c>
      <c r="BM454" s="91">
        <f t="shared" si="2231"/>
        <v>0</v>
      </c>
      <c r="BN454" s="91">
        <f t="shared" si="2232"/>
        <v>0</v>
      </c>
      <c r="CC454" s="91">
        <f t="shared" si="2233"/>
        <v>0</v>
      </c>
      <c r="CD454" s="91">
        <f t="shared" si="2234"/>
        <v>0</v>
      </c>
      <c r="CS454" s="91">
        <f t="shared" si="2235"/>
        <v>0</v>
      </c>
      <c r="CT454" s="91">
        <f t="shared" si="2236"/>
        <v>0</v>
      </c>
      <c r="DI454" s="91">
        <f t="shared" si="2237"/>
        <v>0</v>
      </c>
      <c r="DJ454" s="91">
        <f t="shared" si="2238"/>
        <v>0</v>
      </c>
      <c r="DY454" s="91">
        <f t="shared" si="2239"/>
        <v>0</v>
      </c>
      <c r="DZ454" s="91">
        <f t="shared" si="2240"/>
        <v>0</v>
      </c>
      <c r="EO454" s="91">
        <f t="shared" si="2241"/>
        <v>0</v>
      </c>
      <c r="EP454" s="91">
        <f t="shared" si="2242"/>
        <v>0</v>
      </c>
      <c r="FE454" s="91">
        <f t="shared" si="2243"/>
        <v>0</v>
      </c>
      <c r="FF454" s="91">
        <f t="shared" si="2244"/>
        <v>0</v>
      </c>
      <c r="FU454" s="91">
        <f t="shared" si="2245"/>
        <v>0</v>
      </c>
      <c r="FV454" s="91">
        <f t="shared" si="2246"/>
        <v>0</v>
      </c>
      <c r="GK454" s="91">
        <f t="shared" si="2247"/>
        <v>0</v>
      </c>
      <c r="GL454" s="91">
        <f t="shared" si="2248"/>
        <v>0</v>
      </c>
      <c r="HA454" s="91">
        <f t="shared" si="2249"/>
        <v>0</v>
      </c>
      <c r="HB454" s="91">
        <f t="shared" si="2250"/>
        <v>0</v>
      </c>
      <c r="HQ454" s="91">
        <f t="shared" si="2251"/>
        <v>0</v>
      </c>
      <c r="HR454" s="91">
        <f t="shared" si="2252"/>
        <v>0</v>
      </c>
      <c r="IG454" s="91">
        <f t="shared" si="2253"/>
        <v>0</v>
      </c>
      <c r="IH454" s="91">
        <f t="shared" si="2254"/>
        <v>0</v>
      </c>
      <c r="IW454" s="91">
        <f t="shared" si="2255"/>
        <v>0</v>
      </c>
      <c r="IX454" s="91">
        <f t="shared" si="2256"/>
        <v>0</v>
      </c>
      <c r="JM454" s="91">
        <f t="shared" si="2257"/>
        <v>0</v>
      </c>
      <c r="JN454" s="91">
        <f t="shared" si="2258"/>
        <v>0</v>
      </c>
      <c r="KC454" s="91">
        <f t="shared" si="2259"/>
        <v>0</v>
      </c>
      <c r="KD454" s="91">
        <f t="shared" si="2260"/>
        <v>0</v>
      </c>
      <c r="KS454" s="91">
        <f t="shared" si="2261"/>
        <v>0</v>
      </c>
      <c r="KT454" s="91">
        <f t="shared" si="2262"/>
        <v>0</v>
      </c>
      <c r="LI454" s="91">
        <f t="shared" si="2263"/>
        <v>0</v>
      </c>
      <c r="LJ454" s="91">
        <f t="shared" si="2264"/>
        <v>0</v>
      </c>
      <c r="LY454" s="91">
        <f t="shared" si="2265"/>
        <v>0</v>
      </c>
      <c r="LZ454" s="91">
        <f t="shared" si="2266"/>
        <v>0</v>
      </c>
      <c r="MO454" s="91">
        <f t="shared" si="2267"/>
        <v>0</v>
      </c>
      <c r="MP454" s="91">
        <f t="shared" si="2268"/>
        <v>0</v>
      </c>
      <c r="NE454" s="91">
        <f t="shared" si="2269"/>
        <v>0</v>
      </c>
      <c r="NF454" s="91">
        <f t="shared" si="2270"/>
        <v>0</v>
      </c>
      <c r="NU454" s="91">
        <f t="shared" si="2271"/>
        <v>0</v>
      </c>
      <c r="NV454" s="91">
        <f t="shared" si="2272"/>
        <v>0</v>
      </c>
      <c r="OK454" s="91">
        <f t="shared" si="2273"/>
        <v>0</v>
      </c>
      <c r="OL454" s="91">
        <f t="shared" si="2274"/>
        <v>0</v>
      </c>
      <c r="PA454" s="91">
        <f t="shared" si="2275"/>
        <v>0</v>
      </c>
      <c r="PB454" s="91">
        <f t="shared" si="2276"/>
        <v>0</v>
      </c>
      <c r="PQ454" s="91">
        <f t="shared" si="2277"/>
        <v>0</v>
      </c>
      <c r="PR454" s="91">
        <f t="shared" si="2278"/>
        <v>0</v>
      </c>
      <c r="QG454" s="91">
        <f t="shared" si="2279"/>
        <v>0</v>
      </c>
      <c r="QH454" s="91">
        <f t="shared" si="2280"/>
        <v>0</v>
      </c>
      <c r="QW454" s="91">
        <f t="shared" si="2281"/>
        <v>0</v>
      </c>
      <c r="QX454" s="91">
        <f t="shared" si="2282"/>
        <v>0</v>
      </c>
      <c r="RM454" s="91">
        <f t="shared" si="2283"/>
        <v>0</v>
      </c>
      <c r="RN454" s="91">
        <f t="shared" si="2284"/>
        <v>0</v>
      </c>
      <c r="SC454" s="91">
        <f t="shared" si="2285"/>
        <v>0</v>
      </c>
      <c r="SD454" s="91">
        <f t="shared" si="2286"/>
        <v>0</v>
      </c>
      <c r="SS454" s="91">
        <f t="shared" si="2287"/>
        <v>0</v>
      </c>
      <c r="ST454" s="91">
        <f t="shared" si="2288"/>
        <v>0</v>
      </c>
      <c r="TI454" s="91">
        <f t="shared" si="2289"/>
        <v>0</v>
      </c>
      <c r="TJ454" s="91">
        <f t="shared" si="2290"/>
        <v>0</v>
      </c>
      <c r="TY454" s="91">
        <f t="shared" si="2291"/>
        <v>0</v>
      </c>
      <c r="TZ454" s="91">
        <f t="shared" si="2292"/>
        <v>0</v>
      </c>
      <c r="UO454" s="91">
        <f t="shared" si="2293"/>
        <v>0</v>
      </c>
      <c r="UP454" s="91">
        <f t="shared" si="2294"/>
        <v>0</v>
      </c>
      <c r="VE454" s="91">
        <f t="shared" si="2295"/>
        <v>0</v>
      </c>
      <c r="VF454" s="91">
        <f t="shared" si="2296"/>
        <v>0</v>
      </c>
      <c r="VU454" s="91">
        <f t="shared" si="2297"/>
        <v>0</v>
      </c>
      <c r="VV454" s="91">
        <f t="shared" si="2298"/>
        <v>0</v>
      </c>
      <c r="WK454" s="91">
        <f t="shared" si="2299"/>
        <v>0</v>
      </c>
      <c r="WL454" s="91">
        <f t="shared" si="2300"/>
        <v>0</v>
      </c>
      <c r="WM454" s="89"/>
      <c r="WN454" s="87">
        <f t="shared" si="2301"/>
        <v>0</v>
      </c>
      <c r="WO454" s="87">
        <f t="shared" si="2302"/>
        <v>0</v>
      </c>
      <c r="WP454" s="87">
        <f t="shared" si="2303"/>
        <v>0</v>
      </c>
      <c r="WQ454" s="87">
        <f t="shared" si="2304"/>
        <v>0</v>
      </c>
      <c r="WR454" s="87">
        <f t="shared" si="2305"/>
        <v>0</v>
      </c>
      <c r="WS454" s="87">
        <f t="shared" si="2306"/>
        <v>0</v>
      </c>
      <c r="WT454" s="87">
        <f t="shared" si="2307"/>
        <v>0</v>
      </c>
      <c r="WU454" s="87">
        <f t="shared" si="2308"/>
        <v>0</v>
      </c>
      <c r="WV454" s="87">
        <f t="shared" si="2309"/>
        <v>0</v>
      </c>
      <c r="WW454" s="87">
        <f t="shared" si="2310"/>
        <v>0</v>
      </c>
      <c r="WX454" s="87">
        <f t="shared" si="2311"/>
        <v>0</v>
      </c>
      <c r="WY454" s="87">
        <f t="shared" si="2312"/>
        <v>0</v>
      </c>
      <c r="WZ454" s="87">
        <f t="shared" si="2313"/>
        <v>0</v>
      </c>
      <c r="XA454" s="87">
        <f t="shared" si="2314"/>
        <v>0</v>
      </c>
      <c r="XB454" s="92">
        <f t="shared" si="2315"/>
        <v>0</v>
      </c>
      <c r="XC454" s="92">
        <f t="shared" si="2316"/>
        <v>0</v>
      </c>
      <c r="XD454" s="89"/>
      <c r="XE454" s="92"/>
      <c r="XF454" s="92"/>
      <c r="XG454" s="89"/>
      <c r="XH454" s="92"/>
      <c r="XI454" s="92"/>
      <c r="XJ454" s="89"/>
      <c r="XK454" s="87"/>
      <c r="XL454" s="87"/>
      <c r="XM454" s="87"/>
      <c r="XN454" s="87"/>
      <c r="XO454" s="87"/>
      <c r="XP454" s="87"/>
      <c r="XQ454" s="87"/>
      <c r="XR454" s="92">
        <f t="shared" ca="1" si="2317"/>
        <v>0</v>
      </c>
      <c r="XS454" s="89"/>
      <c r="XT454" s="87"/>
      <c r="XU454" s="87"/>
      <c r="XV454" s="87"/>
      <c r="XW454" s="87"/>
      <c r="XX454" s="87"/>
      <c r="XY454" s="87"/>
      <c r="XZ454" s="87"/>
      <c r="YA454" s="92">
        <f t="shared" ca="1" si="2318"/>
        <v>0</v>
      </c>
      <c r="YB454" s="90"/>
      <c r="YC454" s="90"/>
      <c r="YD454" s="90"/>
      <c r="YE454" s="90"/>
      <c r="YF454" s="90"/>
      <c r="YG454" s="90"/>
      <c r="YH454" s="90"/>
      <c r="YI454" s="90"/>
      <c r="YJ454" s="90"/>
      <c r="YK454" s="90"/>
      <c r="YL454" s="90"/>
      <c r="YM454" s="90"/>
      <c r="YN454" s="90"/>
      <c r="YO454" s="90"/>
      <c r="YP454" s="90"/>
      <c r="YQ454" s="90"/>
      <c r="YR454" s="90"/>
      <c r="YS454" s="90"/>
      <c r="YT454" s="90"/>
      <c r="YU454" s="90"/>
      <c r="YV454" s="90"/>
      <c r="YW454" s="90"/>
      <c r="YX454" s="90"/>
      <c r="YY454" s="90"/>
      <c r="YZ454" s="90"/>
      <c r="ZA454" s="90"/>
      <c r="ZB454" s="90"/>
      <c r="ZC454" s="90"/>
      <c r="ZD454" s="90"/>
      <c r="ZE454" s="90"/>
      <c r="ZF454" s="90"/>
      <c r="ZG454" s="90"/>
      <c r="ZH454" s="90"/>
      <c r="ZI454" s="90"/>
      <c r="ZJ454" s="90"/>
      <c r="ZK454" s="90"/>
      <c r="ZL454" s="90"/>
      <c r="ZM454" s="90"/>
      <c r="ZN454" s="90"/>
      <c r="ZO454" s="90"/>
      <c r="ZP454" s="90"/>
      <c r="ZQ454" s="90"/>
      <c r="ZR454" s="90"/>
      <c r="ZS454" s="90"/>
      <c r="ZT454" s="90"/>
      <c r="ZU454" s="90"/>
      <c r="ZV454" s="90"/>
      <c r="ZW454" s="90"/>
      <c r="ZX454" s="90"/>
      <c r="ZY454" s="90"/>
      <c r="ZZ454" s="90"/>
      <c r="AAA454" s="90"/>
      <c r="AAB454" s="90"/>
      <c r="AAC454" s="90"/>
      <c r="AAD454" s="90"/>
      <c r="AAE454" s="90"/>
      <c r="AAF454" s="90"/>
      <c r="AAG454" s="90"/>
      <c r="AAH454" s="90"/>
      <c r="AAI454" s="90"/>
      <c r="AAJ454" s="90"/>
      <c r="AAK454" s="90"/>
      <c r="AAL454" s="90"/>
      <c r="AAM454" s="90"/>
      <c r="AAN454" s="90"/>
      <c r="AAO454" s="90"/>
      <c r="AAP454" s="90"/>
      <c r="AAQ454" s="90"/>
      <c r="AAR454" s="90"/>
      <c r="AAS454" s="90"/>
      <c r="AAT454" s="90"/>
      <c r="AAU454" s="90"/>
      <c r="AAV454" s="90"/>
      <c r="AAW454" s="90"/>
      <c r="AAX454" s="90"/>
      <c r="AAY454" s="90"/>
      <c r="AAZ454" s="90"/>
      <c r="ABA454" s="90"/>
      <c r="ABB454" s="90"/>
      <c r="ABC454" s="90"/>
      <c r="ABD454" s="90"/>
      <c r="ABE454" s="90"/>
      <c r="ABF454" s="90"/>
      <c r="ABG454" s="90"/>
      <c r="ABH454" s="90"/>
      <c r="ABI454" s="90"/>
      <c r="ABJ454" s="90"/>
      <c r="ABK454" s="90"/>
      <c r="ABL454" s="90"/>
      <c r="ABM454" s="90"/>
      <c r="ABN454" s="90"/>
      <c r="ABO454" s="90"/>
      <c r="ABP454" s="90"/>
      <c r="ABQ454" s="90"/>
      <c r="ABR454" s="90"/>
      <c r="ABS454" s="90"/>
      <c r="ABT454" s="90"/>
      <c r="ABU454" s="90"/>
      <c r="ABV454" s="90"/>
      <c r="ABW454" s="90"/>
      <c r="ABX454" s="90"/>
      <c r="ABY454" s="90"/>
      <c r="ABZ454" s="90"/>
      <c r="ACA454" s="90"/>
      <c r="ACB454" s="90"/>
      <c r="ACC454" s="90"/>
      <c r="ACD454" s="90"/>
      <c r="ACE454" s="90"/>
      <c r="ACF454" s="90"/>
      <c r="ACG454" s="90"/>
      <c r="ACH454" s="90"/>
      <c r="ACI454" s="90"/>
      <c r="ACJ454" s="90"/>
      <c r="ACK454" s="90"/>
      <c r="ACL454" s="90"/>
      <c r="ACM454" s="90"/>
      <c r="ACN454" s="90"/>
      <c r="ACO454" s="90"/>
      <c r="ACP454" s="90"/>
      <c r="ACQ454" s="90"/>
      <c r="ACR454" s="90"/>
      <c r="ACS454" s="90"/>
      <c r="ACT454" s="90"/>
      <c r="ACU454" s="90"/>
      <c r="ACV454" s="90"/>
      <c r="ACW454" s="90"/>
      <c r="ACX454" s="90"/>
      <c r="ACY454" s="90"/>
      <c r="ACZ454" s="90"/>
      <c r="ADA454" s="90"/>
      <c r="ADB454" s="90"/>
      <c r="ADC454" s="90"/>
      <c r="ADD454" s="90"/>
      <c r="ADE454" s="90"/>
      <c r="ADF454" s="90"/>
      <c r="ADG454" s="90"/>
      <c r="ADH454" s="90"/>
      <c r="ADI454" s="90"/>
      <c r="ADJ454" s="90"/>
      <c r="ADK454" s="90"/>
      <c r="ADL454" s="90"/>
      <c r="ADM454" s="90"/>
      <c r="ADN454" s="90"/>
      <c r="ADO454" s="90"/>
      <c r="ADP454" s="90"/>
      <c r="ADQ454" s="90"/>
      <c r="ADR454" s="90"/>
      <c r="ADS454" s="90"/>
      <c r="ADT454" s="90"/>
      <c r="ADU454" s="90"/>
      <c r="ADV454" s="90"/>
      <c r="ADW454" s="90"/>
      <c r="ADX454" s="90"/>
      <c r="ADY454" s="90"/>
      <c r="ADZ454" s="90"/>
      <c r="AEA454" s="90"/>
      <c r="AEB454" s="90"/>
      <c r="AEC454" s="90"/>
      <c r="AED454" s="90"/>
      <c r="AEE454" s="90"/>
      <c r="AEF454" s="90"/>
      <c r="AEG454" s="90"/>
      <c r="AEH454" s="90"/>
      <c r="AEI454" s="90"/>
      <c r="AEJ454" s="90"/>
      <c r="AEK454" s="90"/>
      <c r="AEL454" s="90"/>
      <c r="AEM454" s="90"/>
      <c r="AEN454" s="90"/>
      <c r="AEO454" s="90"/>
      <c r="AEP454" s="90"/>
      <c r="AEQ454" s="90"/>
      <c r="AER454" s="90"/>
      <c r="AES454" s="90"/>
      <c r="AET454" s="90"/>
      <c r="AEU454" s="90"/>
      <c r="AEV454" s="90"/>
      <c r="AEW454" s="90"/>
      <c r="AEX454" s="90"/>
      <c r="AEY454" s="90"/>
      <c r="AEZ454" s="90"/>
      <c r="AFA454" s="90"/>
      <c r="AFB454" s="90"/>
      <c r="AFC454" s="90"/>
      <c r="AFD454" s="90"/>
      <c r="AFE454" s="90"/>
      <c r="AFF454" s="90"/>
      <c r="AFG454" s="90"/>
      <c r="AFH454" s="90"/>
      <c r="AFI454" s="90"/>
      <c r="AFJ454" s="90"/>
      <c r="AFK454" s="90"/>
      <c r="AFL454" s="90"/>
      <c r="AFM454" s="90"/>
      <c r="AFN454" s="90"/>
      <c r="AFO454" s="90"/>
      <c r="AFP454" s="90"/>
      <c r="AFQ454" s="90"/>
      <c r="AFR454" s="90"/>
      <c r="AFS454" s="90"/>
      <c r="AFT454" s="90"/>
      <c r="AFU454" s="90"/>
      <c r="AFV454" s="90"/>
      <c r="AFW454" s="90"/>
      <c r="AFX454" s="90"/>
      <c r="AFY454" s="90"/>
      <c r="AFZ454" s="90"/>
      <c r="AGA454" s="90"/>
      <c r="AGB454" s="90"/>
      <c r="AGC454" s="90"/>
      <c r="AGD454" s="90"/>
      <c r="AGE454" s="90"/>
      <c r="AGF454" s="90"/>
      <c r="AGG454" s="90"/>
      <c r="AGH454" s="90"/>
      <c r="AGI454" s="90"/>
      <c r="AGJ454" s="90"/>
      <c r="AGK454" s="90"/>
      <c r="AGL454" s="90"/>
      <c r="AGM454" s="90"/>
      <c r="AGN454" s="90"/>
      <c r="AGO454" s="90"/>
      <c r="AGP454" s="90"/>
      <c r="AGQ454" s="90"/>
      <c r="AGR454" s="90"/>
      <c r="AGS454" s="90"/>
      <c r="AGT454" s="90"/>
      <c r="AGU454" s="90"/>
      <c r="AGV454" s="90"/>
      <c r="AGW454" s="90"/>
      <c r="AGX454" s="90"/>
      <c r="AGY454" s="90"/>
      <c r="AGZ454" s="90"/>
      <c r="AHA454" s="90"/>
      <c r="AHB454" s="90"/>
      <c r="AHC454" s="90"/>
      <c r="AHD454" s="90"/>
      <c r="AHE454" s="90"/>
      <c r="AHF454" s="90"/>
      <c r="AHG454" s="90"/>
      <c r="AHH454" s="90"/>
      <c r="AHI454" s="90"/>
      <c r="AHJ454" s="90"/>
      <c r="AHK454" s="90"/>
      <c r="AHL454" s="90"/>
      <c r="AHM454" s="90"/>
      <c r="AHN454" s="90"/>
      <c r="AHO454" s="90"/>
      <c r="AHP454" s="90"/>
      <c r="AHQ454" s="90"/>
      <c r="AHR454" s="90"/>
      <c r="AHS454" s="90"/>
      <c r="AHT454" s="90"/>
      <c r="AHU454" s="90"/>
      <c r="AHV454" s="90"/>
      <c r="AHW454" s="90"/>
      <c r="AHX454" s="90"/>
      <c r="AHY454" s="90"/>
      <c r="AHZ454" s="90"/>
      <c r="AIA454" s="90"/>
      <c r="AIB454" s="90"/>
      <c r="AIC454" s="90"/>
      <c r="AID454" s="90"/>
      <c r="AIE454" s="90"/>
      <c r="AIF454" s="90"/>
      <c r="AIG454" s="90"/>
      <c r="AIH454" s="90"/>
      <c r="AII454" s="90"/>
      <c r="AIJ454" s="90"/>
      <c r="AIK454" s="90"/>
      <c r="AIL454" s="90"/>
      <c r="AIM454" s="90"/>
      <c r="AIN454" s="90"/>
      <c r="AIO454" s="90"/>
      <c r="AIP454" s="90"/>
      <c r="AIQ454" s="90"/>
      <c r="AIR454" s="90"/>
      <c r="AIS454" s="90"/>
      <c r="AIT454" s="90"/>
      <c r="AIU454" s="90"/>
      <c r="AIV454" s="90"/>
      <c r="AIW454" s="90"/>
      <c r="AIX454" s="90"/>
      <c r="AIY454" s="90"/>
      <c r="AIZ454" s="90"/>
      <c r="AJA454" s="90"/>
      <c r="AJB454" s="90"/>
      <c r="AJC454" s="90"/>
      <c r="AJD454" s="90"/>
      <c r="AJE454" s="90"/>
      <c r="AJF454" s="90"/>
      <c r="AJG454" s="90"/>
      <c r="AJH454" s="90"/>
      <c r="AJI454" s="90"/>
      <c r="AJJ454" s="90"/>
      <c r="AJK454" s="90"/>
      <c r="AJL454" s="90"/>
      <c r="AJM454" s="90"/>
      <c r="AJN454" s="90"/>
      <c r="AJO454" s="90"/>
      <c r="AJP454" s="90"/>
      <c r="AJQ454" s="90"/>
      <c r="AJR454" s="90"/>
      <c r="AJS454" s="90"/>
      <c r="AJT454" s="90"/>
      <c r="AJU454" s="90"/>
      <c r="AJV454" s="90"/>
      <c r="AJW454" s="90"/>
      <c r="AJX454" s="90"/>
      <c r="AJY454" s="90"/>
      <c r="AJZ454" s="90"/>
      <c r="AKA454" s="90"/>
      <c r="AKB454" s="90"/>
      <c r="AKC454" s="90"/>
      <c r="AKD454" s="90"/>
      <c r="AKE454" s="90"/>
      <c r="AKF454" s="90"/>
      <c r="AKG454" s="90"/>
      <c r="AKH454" s="90"/>
      <c r="AKI454" s="90"/>
      <c r="AKJ454" s="90"/>
      <c r="AKK454" s="90"/>
      <c r="AKL454" s="90"/>
      <c r="AKM454" s="90"/>
      <c r="AKN454" s="90"/>
      <c r="AKO454" s="90"/>
      <c r="AKP454" s="90"/>
      <c r="AKQ454" s="90"/>
      <c r="AKR454" s="90"/>
      <c r="AKS454" s="90"/>
      <c r="AKT454" s="90"/>
      <c r="AKU454" s="90"/>
      <c r="AKV454" s="90"/>
      <c r="AKW454" s="90"/>
      <c r="AKX454" s="90"/>
      <c r="AKY454" s="90"/>
      <c r="AKZ454" s="90"/>
      <c r="ALA454" s="90"/>
      <c r="ALB454" s="90"/>
      <c r="ALC454" s="90"/>
      <c r="ALD454" s="90"/>
      <c r="ALE454" s="90"/>
      <c r="ALF454" s="90"/>
      <c r="ALG454" s="90"/>
      <c r="ALH454" s="90"/>
      <c r="ALI454" s="90"/>
      <c r="ALJ454" s="90"/>
      <c r="ALK454" s="90"/>
      <c r="ALL454" s="90"/>
      <c r="ALM454" s="90"/>
      <c r="ALN454" s="90"/>
      <c r="ALO454" s="90"/>
      <c r="ALP454" s="90"/>
      <c r="ALQ454" s="90"/>
      <c r="ALR454" s="90"/>
      <c r="ALS454" s="90"/>
      <c r="ALT454" s="90"/>
      <c r="ALU454" s="90"/>
      <c r="ALV454" s="90"/>
      <c r="ALW454" s="90"/>
      <c r="ALX454" s="90"/>
      <c r="ALY454" s="90"/>
      <c r="ALZ454" s="90"/>
      <c r="AMA454" s="90"/>
      <c r="AMB454" s="90"/>
      <c r="AMC454" s="90"/>
    </row>
    <row r="455" spans="1:1017">
      <c r="A455" s="98" t="s">
        <v>56</v>
      </c>
      <c r="B455" s="90" t="str">
        <f t="shared" si="2224"/>
        <v xml:space="preserve">Udang Galah </v>
      </c>
      <c r="Q455" s="91">
        <f t="shared" si="2225"/>
        <v>0</v>
      </c>
      <c r="R455" s="91">
        <f t="shared" si="2226"/>
        <v>0</v>
      </c>
      <c r="AG455" s="91">
        <f t="shared" si="2227"/>
        <v>0</v>
      </c>
      <c r="AH455" s="91">
        <f t="shared" si="2228"/>
        <v>0</v>
      </c>
      <c r="AW455" s="91">
        <f t="shared" si="2229"/>
        <v>0</v>
      </c>
      <c r="AX455" s="91">
        <f t="shared" si="2230"/>
        <v>0</v>
      </c>
      <c r="BM455" s="91">
        <f t="shared" si="2231"/>
        <v>0</v>
      </c>
      <c r="BN455" s="91">
        <f t="shared" si="2232"/>
        <v>0</v>
      </c>
      <c r="CC455" s="91">
        <f t="shared" si="2233"/>
        <v>0</v>
      </c>
      <c r="CD455" s="91">
        <f t="shared" si="2234"/>
        <v>0</v>
      </c>
      <c r="CS455" s="91">
        <f t="shared" si="2235"/>
        <v>0</v>
      </c>
      <c r="CT455" s="91">
        <f t="shared" si="2236"/>
        <v>0</v>
      </c>
      <c r="DI455" s="91">
        <f t="shared" si="2237"/>
        <v>0</v>
      </c>
      <c r="DJ455" s="91">
        <f t="shared" si="2238"/>
        <v>0</v>
      </c>
      <c r="DY455" s="91">
        <f t="shared" si="2239"/>
        <v>0</v>
      </c>
      <c r="DZ455" s="91">
        <f t="shared" si="2240"/>
        <v>0</v>
      </c>
      <c r="EO455" s="91">
        <f t="shared" si="2241"/>
        <v>0</v>
      </c>
      <c r="EP455" s="91">
        <f t="shared" si="2242"/>
        <v>0</v>
      </c>
      <c r="FE455" s="91">
        <f t="shared" si="2243"/>
        <v>0</v>
      </c>
      <c r="FF455" s="91">
        <f t="shared" si="2244"/>
        <v>0</v>
      </c>
      <c r="FU455" s="91">
        <f t="shared" si="2245"/>
        <v>0</v>
      </c>
      <c r="FV455" s="91">
        <f t="shared" si="2246"/>
        <v>0</v>
      </c>
      <c r="GK455" s="91">
        <f t="shared" si="2247"/>
        <v>0</v>
      </c>
      <c r="GL455" s="91">
        <f t="shared" si="2248"/>
        <v>0</v>
      </c>
      <c r="HA455" s="91">
        <f t="shared" si="2249"/>
        <v>0</v>
      </c>
      <c r="HB455" s="91">
        <f t="shared" si="2250"/>
        <v>0</v>
      </c>
      <c r="HQ455" s="91">
        <f t="shared" si="2251"/>
        <v>0</v>
      </c>
      <c r="HR455" s="91">
        <f t="shared" si="2252"/>
        <v>0</v>
      </c>
      <c r="IG455" s="91">
        <f t="shared" si="2253"/>
        <v>0</v>
      </c>
      <c r="IH455" s="91">
        <f t="shared" si="2254"/>
        <v>0</v>
      </c>
      <c r="IW455" s="91">
        <f t="shared" si="2255"/>
        <v>0</v>
      </c>
      <c r="IX455" s="91">
        <f t="shared" si="2256"/>
        <v>0</v>
      </c>
      <c r="JM455" s="91">
        <f t="shared" si="2257"/>
        <v>0</v>
      </c>
      <c r="JN455" s="91">
        <f t="shared" si="2258"/>
        <v>0</v>
      </c>
      <c r="KC455" s="91">
        <f t="shared" si="2259"/>
        <v>0</v>
      </c>
      <c r="KD455" s="91">
        <f t="shared" si="2260"/>
        <v>0</v>
      </c>
      <c r="KS455" s="91">
        <f t="shared" si="2261"/>
        <v>0</v>
      </c>
      <c r="KT455" s="91">
        <f t="shared" si="2262"/>
        <v>0</v>
      </c>
      <c r="LI455" s="91">
        <f t="shared" si="2263"/>
        <v>0</v>
      </c>
      <c r="LJ455" s="91">
        <f t="shared" si="2264"/>
        <v>0</v>
      </c>
      <c r="LY455" s="91">
        <f t="shared" si="2265"/>
        <v>0</v>
      </c>
      <c r="LZ455" s="91">
        <f t="shared" si="2266"/>
        <v>0</v>
      </c>
      <c r="MO455" s="91">
        <f t="shared" si="2267"/>
        <v>0</v>
      </c>
      <c r="MP455" s="91">
        <f t="shared" si="2268"/>
        <v>0</v>
      </c>
      <c r="NE455" s="91">
        <f t="shared" si="2269"/>
        <v>0</v>
      </c>
      <c r="NF455" s="91">
        <f t="shared" si="2270"/>
        <v>0</v>
      </c>
      <c r="NU455" s="91">
        <f t="shared" si="2271"/>
        <v>0</v>
      </c>
      <c r="NV455" s="91">
        <f t="shared" si="2272"/>
        <v>0</v>
      </c>
      <c r="OK455" s="91">
        <f t="shared" si="2273"/>
        <v>0</v>
      </c>
      <c r="OL455" s="91">
        <f t="shared" si="2274"/>
        <v>0</v>
      </c>
      <c r="PA455" s="91">
        <f t="shared" si="2275"/>
        <v>0</v>
      </c>
      <c r="PB455" s="91">
        <f t="shared" si="2276"/>
        <v>0</v>
      </c>
      <c r="PQ455" s="91">
        <f t="shared" si="2277"/>
        <v>0</v>
      </c>
      <c r="PR455" s="91">
        <f t="shared" si="2278"/>
        <v>0</v>
      </c>
      <c r="QG455" s="91">
        <f t="shared" si="2279"/>
        <v>0</v>
      </c>
      <c r="QH455" s="91">
        <f t="shared" si="2280"/>
        <v>0</v>
      </c>
      <c r="QW455" s="91">
        <f t="shared" si="2281"/>
        <v>0</v>
      </c>
      <c r="QX455" s="91">
        <f t="shared" si="2282"/>
        <v>0</v>
      </c>
      <c r="RM455" s="91">
        <f t="shared" si="2283"/>
        <v>0</v>
      </c>
      <c r="RN455" s="91">
        <f t="shared" si="2284"/>
        <v>0</v>
      </c>
      <c r="SC455" s="91">
        <f t="shared" si="2285"/>
        <v>0</v>
      </c>
      <c r="SD455" s="91">
        <f t="shared" si="2286"/>
        <v>0</v>
      </c>
      <c r="SS455" s="91">
        <f t="shared" si="2287"/>
        <v>0</v>
      </c>
      <c r="ST455" s="91">
        <f t="shared" si="2288"/>
        <v>0</v>
      </c>
      <c r="TI455" s="91">
        <f t="shared" si="2289"/>
        <v>0</v>
      </c>
      <c r="TJ455" s="91">
        <f t="shared" si="2290"/>
        <v>0</v>
      </c>
      <c r="TY455" s="91">
        <f t="shared" si="2291"/>
        <v>0</v>
      </c>
      <c r="TZ455" s="91">
        <f t="shared" si="2292"/>
        <v>0</v>
      </c>
      <c r="UO455" s="91">
        <f t="shared" si="2293"/>
        <v>0</v>
      </c>
      <c r="UP455" s="91">
        <f t="shared" si="2294"/>
        <v>0</v>
      </c>
      <c r="VE455" s="91">
        <f t="shared" si="2295"/>
        <v>0</v>
      </c>
      <c r="VF455" s="91">
        <f t="shared" si="2296"/>
        <v>0</v>
      </c>
      <c r="VU455" s="91">
        <f t="shared" si="2297"/>
        <v>0</v>
      </c>
      <c r="VV455" s="91">
        <f t="shared" si="2298"/>
        <v>0</v>
      </c>
      <c r="WK455" s="91">
        <f t="shared" si="2299"/>
        <v>0</v>
      </c>
      <c r="WL455" s="91">
        <f t="shared" si="2300"/>
        <v>0</v>
      </c>
      <c r="WM455" s="89"/>
      <c r="WN455" s="87">
        <f t="shared" si="2301"/>
        <v>0</v>
      </c>
      <c r="WO455" s="87">
        <f t="shared" si="2302"/>
        <v>0</v>
      </c>
      <c r="WP455" s="87">
        <f t="shared" si="2303"/>
        <v>0</v>
      </c>
      <c r="WQ455" s="87">
        <f t="shared" si="2304"/>
        <v>0</v>
      </c>
      <c r="WR455" s="87">
        <f t="shared" si="2305"/>
        <v>0</v>
      </c>
      <c r="WS455" s="87">
        <f t="shared" si="2306"/>
        <v>0</v>
      </c>
      <c r="WT455" s="87">
        <f t="shared" si="2307"/>
        <v>0</v>
      </c>
      <c r="WU455" s="87">
        <f t="shared" si="2308"/>
        <v>0</v>
      </c>
      <c r="WV455" s="87">
        <f t="shared" si="2309"/>
        <v>0</v>
      </c>
      <c r="WW455" s="87">
        <f t="shared" si="2310"/>
        <v>0</v>
      </c>
      <c r="WX455" s="87">
        <f t="shared" si="2311"/>
        <v>0</v>
      </c>
      <c r="WY455" s="87">
        <f t="shared" si="2312"/>
        <v>0</v>
      </c>
      <c r="WZ455" s="87">
        <f t="shared" ref="WZ455:WZ468" si="2319">SUMIF($C$5:$WL$5,$WZ$5,C455:WL455)</f>
        <v>0</v>
      </c>
      <c r="XA455" s="87">
        <f t="shared" ref="XA455:XA468" si="2320">SUMIF($C$5:$WL$5,$XA$5,C455:WL455)</f>
        <v>0</v>
      </c>
      <c r="XB455" s="92">
        <f t="shared" ref="XB455:XB468" si="2321">SUMIF($WN$12:$XA$12,$XB$12,WN455:XA455)</f>
        <v>0</v>
      </c>
      <c r="XC455" s="92">
        <f t="shared" ref="XC455:XC468" si="2322">SUMIF($WN$12:$XA$12,$XC$12,WN455:XA455)</f>
        <v>0</v>
      </c>
      <c r="XD455" s="89"/>
      <c r="XE455" s="92"/>
      <c r="XF455" s="92"/>
      <c r="XG455" s="89"/>
      <c r="XH455" s="92"/>
      <c r="XI455" s="92"/>
      <c r="XJ455" s="89"/>
      <c r="XK455" s="87"/>
      <c r="XL455" s="87"/>
      <c r="XM455" s="87"/>
      <c r="XN455" s="87"/>
      <c r="XO455" s="87"/>
      <c r="XP455" s="87"/>
      <c r="XQ455" s="87"/>
      <c r="XR455" s="92">
        <f t="shared" ca="1" si="2317"/>
        <v>0</v>
      </c>
      <c r="XS455" s="89"/>
      <c r="XT455" s="87"/>
      <c r="XU455" s="87"/>
      <c r="XV455" s="87"/>
      <c r="XW455" s="87"/>
      <c r="XX455" s="87"/>
      <c r="XY455" s="87"/>
      <c r="XZ455" s="87"/>
      <c r="YA455" s="92">
        <f t="shared" ca="1" si="2318"/>
        <v>0</v>
      </c>
      <c r="YB455" s="90"/>
      <c r="YC455" s="90"/>
      <c r="YD455" s="90"/>
      <c r="YE455" s="90"/>
      <c r="YF455" s="90"/>
      <c r="YG455" s="90"/>
      <c r="YH455" s="90"/>
      <c r="YI455" s="90"/>
      <c r="YJ455" s="90"/>
      <c r="YK455" s="90"/>
      <c r="YL455" s="90"/>
      <c r="YM455" s="90"/>
      <c r="YN455" s="90"/>
      <c r="YO455" s="90"/>
      <c r="YP455" s="90"/>
      <c r="YQ455" s="90"/>
      <c r="YR455" s="90"/>
      <c r="YS455" s="90"/>
      <c r="YT455" s="90"/>
      <c r="YU455" s="90"/>
      <c r="YV455" s="90"/>
      <c r="YW455" s="90"/>
      <c r="YX455" s="90"/>
      <c r="YY455" s="90"/>
      <c r="YZ455" s="90"/>
      <c r="ZA455" s="90"/>
      <c r="ZB455" s="90"/>
      <c r="ZC455" s="90"/>
      <c r="ZD455" s="90"/>
      <c r="ZE455" s="90"/>
      <c r="ZF455" s="90"/>
      <c r="ZG455" s="90"/>
      <c r="ZH455" s="90"/>
      <c r="ZI455" s="90"/>
      <c r="ZJ455" s="90"/>
      <c r="ZK455" s="90"/>
      <c r="ZL455" s="90"/>
      <c r="ZM455" s="90"/>
      <c r="ZN455" s="90"/>
      <c r="ZO455" s="90"/>
      <c r="ZP455" s="90"/>
      <c r="ZQ455" s="90"/>
      <c r="ZR455" s="90"/>
      <c r="ZS455" s="90"/>
      <c r="ZT455" s="90"/>
      <c r="ZU455" s="90"/>
      <c r="ZV455" s="90"/>
      <c r="ZW455" s="90"/>
      <c r="ZX455" s="90"/>
      <c r="ZY455" s="90"/>
      <c r="ZZ455" s="90"/>
      <c r="AAA455" s="90"/>
      <c r="AAB455" s="90"/>
      <c r="AAC455" s="90"/>
      <c r="AAD455" s="90"/>
      <c r="AAE455" s="90"/>
      <c r="AAF455" s="90"/>
      <c r="AAG455" s="90"/>
      <c r="AAH455" s="90"/>
      <c r="AAI455" s="90"/>
      <c r="AAJ455" s="90"/>
      <c r="AAK455" s="90"/>
      <c r="AAL455" s="90"/>
      <c r="AAM455" s="90"/>
      <c r="AAN455" s="90"/>
      <c r="AAO455" s="90"/>
      <c r="AAP455" s="90"/>
      <c r="AAQ455" s="90"/>
      <c r="AAR455" s="90"/>
      <c r="AAS455" s="90"/>
      <c r="AAT455" s="90"/>
      <c r="AAU455" s="90"/>
      <c r="AAV455" s="90"/>
      <c r="AAW455" s="90"/>
      <c r="AAX455" s="90"/>
      <c r="AAY455" s="90"/>
      <c r="AAZ455" s="90"/>
      <c r="ABA455" s="90"/>
      <c r="ABB455" s="90"/>
      <c r="ABC455" s="90"/>
      <c r="ABD455" s="90"/>
      <c r="ABE455" s="90"/>
      <c r="ABF455" s="90"/>
      <c r="ABG455" s="90"/>
      <c r="ABH455" s="90"/>
      <c r="ABI455" s="90"/>
      <c r="ABJ455" s="90"/>
      <c r="ABK455" s="90"/>
      <c r="ABL455" s="90"/>
      <c r="ABM455" s="90"/>
      <c r="ABN455" s="90"/>
      <c r="ABO455" s="90"/>
      <c r="ABP455" s="90"/>
      <c r="ABQ455" s="90"/>
      <c r="ABR455" s="90"/>
      <c r="ABS455" s="90"/>
      <c r="ABT455" s="90"/>
      <c r="ABU455" s="90"/>
      <c r="ABV455" s="90"/>
      <c r="ABW455" s="90"/>
      <c r="ABX455" s="90"/>
      <c r="ABY455" s="90"/>
      <c r="ABZ455" s="90"/>
      <c r="ACA455" s="90"/>
      <c r="ACB455" s="90"/>
      <c r="ACC455" s="90"/>
      <c r="ACD455" s="90"/>
      <c r="ACE455" s="90"/>
      <c r="ACF455" s="90"/>
      <c r="ACG455" s="90"/>
      <c r="ACH455" s="90"/>
      <c r="ACI455" s="90"/>
      <c r="ACJ455" s="90"/>
      <c r="ACK455" s="90"/>
      <c r="ACL455" s="90"/>
      <c r="ACM455" s="90"/>
      <c r="ACN455" s="90"/>
      <c r="ACO455" s="90"/>
      <c r="ACP455" s="90"/>
      <c r="ACQ455" s="90"/>
      <c r="ACR455" s="90"/>
      <c r="ACS455" s="90"/>
      <c r="ACT455" s="90"/>
      <c r="ACU455" s="90"/>
      <c r="ACV455" s="90"/>
      <c r="ACW455" s="90"/>
      <c r="ACX455" s="90"/>
      <c r="ACY455" s="90"/>
      <c r="ACZ455" s="90"/>
      <c r="ADA455" s="90"/>
      <c r="ADB455" s="90"/>
      <c r="ADC455" s="90"/>
      <c r="ADD455" s="90"/>
      <c r="ADE455" s="90"/>
      <c r="ADF455" s="90"/>
      <c r="ADG455" s="90"/>
      <c r="ADH455" s="90"/>
      <c r="ADI455" s="90"/>
      <c r="ADJ455" s="90"/>
      <c r="ADK455" s="90"/>
      <c r="ADL455" s="90"/>
      <c r="ADM455" s="90"/>
      <c r="ADN455" s="90"/>
      <c r="ADO455" s="90"/>
      <c r="ADP455" s="90"/>
      <c r="ADQ455" s="90"/>
      <c r="ADR455" s="90"/>
      <c r="ADS455" s="90"/>
      <c r="ADT455" s="90"/>
      <c r="ADU455" s="90"/>
      <c r="ADV455" s="90"/>
      <c r="ADW455" s="90"/>
      <c r="ADX455" s="90"/>
      <c r="ADY455" s="90"/>
      <c r="ADZ455" s="90"/>
      <c r="AEA455" s="90"/>
      <c r="AEB455" s="90"/>
      <c r="AEC455" s="90"/>
      <c r="AED455" s="90"/>
      <c r="AEE455" s="90"/>
      <c r="AEF455" s="90"/>
      <c r="AEG455" s="90"/>
      <c r="AEH455" s="90"/>
      <c r="AEI455" s="90"/>
      <c r="AEJ455" s="90"/>
      <c r="AEK455" s="90"/>
      <c r="AEL455" s="90"/>
      <c r="AEM455" s="90"/>
      <c r="AEN455" s="90"/>
      <c r="AEO455" s="90"/>
      <c r="AEP455" s="90"/>
      <c r="AEQ455" s="90"/>
      <c r="AER455" s="90"/>
      <c r="AES455" s="90"/>
      <c r="AET455" s="90"/>
      <c r="AEU455" s="90"/>
      <c r="AEV455" s="90"/>
      <c r="AEW455" s="90"/>
      <c r="AEX455" s="90"/>
      <c r="AEY455" s="90"/>
      <c r="AEZ455" s="90"/>
      <c r="AFA455" s="90"/>
      <c r="AFB455" s="90"/>
      <c r="AFC455" s="90"/>
      <c r="AFD455" s="90"/>
      <c r="AFE455" s="90"/>
      <c r="AFF455" s="90"/>
      <c r="AFG455" s="90"/>
      <c r="AFH455" s="90"/>
      <c r="AFI455" s="90"/>
      <c r="AFJ455" s="90"/>
      <c r="AFK455" s="90"/>
      <c r="AFL455" s="90"/>
      <c r="AFM455" s="90"/>
      <c r="AFN455" s="90"/>
      <c r="AFO455" s="90"/>
      <c r="AFP455" s="90"/>
      <c r="AFQ455" s="90"/>
      <c r="AFR455" s="90"/>
      <c r="AFS455" s="90"/>
      <c r="AFT455" s="90"/>
      <c r="AFU455" s="90"/>
      <c r="AFV455" s="90"/>
      <c r="AFW455" s="90"/>
      <c r="AFX455" s="90"/>
      <c r="AFY455" s="90"/>
      <c r="AFZ455" s="90"/>
      <c r="AGA455" s="90"/>
      <c r="AGB455" s="90"/>
      <c r="AGC455" s="90"/>
      <c r="AGD455" s="90"/>
      <c r="AGE455" s="90"/>
      <c r="AGF455" s="90"/>
      <c r="AGG455" s="90"/>
      <c r="AGH455" s="90"/>
      <c r="AGI455" s="90"/>
      <c r="AGJ455" s="90"/>
      <c r="AGK455" s="90"/>
      <c r="AGL455" s="90"/>
      <c r="AGM455" s="90"/>
      <c r="AGN455" s="90"/>
      <c r="AGO455" s="90"/>
      <c r="AGP455" s="90"/>
      <c r="AGQ455" s="90"/>
      <c r="AGR455" s="90"/>
      <c r="AGS455" s="90"/>
      <c r="AGT455" s="90"/>
      <c r="AGU455" s="90"/>
      <c r="AGV455" s="90"/>
      <c r="AGW455" s="90"/>
      <c r="AGX455" s="90"/>
      <c r="AGY455" s="90"/>
      <c r="AGZ455" s="90"/>
      <c r="AHA455" s="90"/>
      <c r="AHB455" s="90"/>
      <c r="AHC455" s="90"/>
      <c r="AHD455" s="90"/>
      <c r="AHE455" s="90"/>
      <c r="AHF455" s="90"/>
      <c r="AHG455" s="90"/>
      <c r="AHH455" s="90"/>
      <c r="AHI455" s="90"/>
      <c r="AHJ455" s="90"/>
      <c r="AHK455" s="90"/>
      <c r="AHL455" s="90"/>
      <c r="AHM455" s="90"/>
      <c r="AHN455" s="90"/>
      <c r="AHO455" s="90"/>
      <c r="AHP455" s="90"/>
      <c r="AHQ455" s="90"/>
      <c r="AHR455" s="90"/>
      <c r="AHS455" s="90"/>
      <c r="AHT455" s="90"/>
      <c r="AHU455" s="90"/>
      <c r="AHV455" s="90"/>
      <c r="AHW455" s="90"/>
      <c r="AHX455" s="90"/>
      <c r="AHY455" s="90"/>
      <c r="AHZ455" s="90"/>
      <c r="AIA455" s="90"/>
      <c r="AIB455" s="90"/>
      <c r="AIC455" s="90"/>
      <c r="AID455" s="90"/>
      <c r="AIE455" s="90"/>
      <c r="AIF455" s="90"/>
      <c r="AIG455" s="90"/>
      <c r="AIH455" s="90"/>
      <c r="AII455" s="90"/>
      <c r="AIJ455" s="90"/>
      <c r="AIK455" s="90"/>
      <c r="AIL455" s="90"/>
      <c r="AIM455" s="90"/>
      <c r="AIN455" s="90"/>
      <c r="AIO455" s="90"/>
      <c r="AIP455" s="90"/>
      <c r="AIQ455" s="90"/>
      <c r="AIR455" s="90"/>
      <c r="AIS455" s="90"/>
      <c r="AIT455" s="90"/>
      <c r="AIU455" s="90"/>
      <c r="AIV455" s="90"/>
      <c r="AIW455" s="90"/>
      <c r="AIX455" s="90"/>
      <c r="AIY455" s="90"/>
      <c r="AIZ455" s="90"/>
      <c r="AJA455" s="90"/>
      <c r="AJB455" s="90"/>
      <c r="AJC455" s="90"/>
      <c r="AJD455" s="90"/>
      <c r="AJE455" s="90"/>
      <c r="AJF455" s="90"/>
      <c r="AJG455" s="90"/>
      <c r="AJH455" s="90"/>
      <c r="AJI455" s="90"/>
      <c r="AJJ455" s="90"/>
      <c r="AJK455" s="90"/>
      <c r="AJL455" s="90"/>
      <c r="AJM455" s="90"/>
      <c r="AJN455" s="90"/>
      <c r="AJO455" s="90"/>
      <c r="AJP455" s="90"/>
      <c r="AJQ455" s="90"/>
      <c r="AJR455" s="90"/>
      <c r="AJS455" s="90"/>
      <c r="AJT455" s="90"/>
      <c r="AJU455" s="90"/>
      <c r="AJV455" s="90"/>
      <c r="AJW455" s="90"/>
      <c r="AJX455" s="90"/>
      <c r="AJY455" s="90"/>
      <c r="AJZ455" s="90"/>
      <c r="AKA455" s="90"/>
      <c r="AKB455" s="90"/>
      <c r="AKC455" s="90"/>
      <c r="AKD455" s="90"/>
      <c r="AKE455" s="90"/>
      <c r="AKF455" s="90"/>
      <c r="AKG455" s="90"/>
      <c r="AKH455" s="90"/>
      <c r="AKI455" s="90"/>
      <c r="AKJ455" s="90"/>
      <c r="AKK455" s="90"/>
      <c r="AKL455" s="90"/>
      <c r="AKM455" s="90"/>
      <c r="AKN455" s="90"/>
      <c r="AKO455" s="90"/>
      <c r="AKP455" s="90"/>
      <c r="AKQ455" s="90"/>
      <c r="AKR455" s="90"/>
      <c r="AKS455" s="90"/>
      <c r="AKT455" s="90"/>
      <c r="AKU455" s="90"/>
      <c r="AKV455" s="90"/>
      <c r="AKW455" s="90"/>
      <c r="AKX455" s="90"/>
      <c r="AKY455" s="90"/>
      <c r="AKZ455" s="90"/>
      <c r="ALA455" s="90"/>
      <c r="ALB455" s="90"/>
      <c r="ALC455" s="90"/>
      <c r="ALD455" s="90"/>
      <c r="ALE455" s="90"/>
      <c r="ALF455" s="90"/>
      <c r="ALG455" s="90"/>
      <c r="ALH455" s="90"/>
      <c r="ALI455" s="90"/>
      <c r="ALJ455" s="90"/>
      <c r="ALK455" s="90"/>
      <c r="ALL455" s="90"/>
      <c r="ALM455" s="90"/>
      <c r="ALN455" s="90"/>
      <c r="ALO455" s="90"/>
      <c r="ALP455" s="90"/>
      <c r="ALQ455" s="90"/>
      <c r="ALR455" s="90"/>
      <c r="ALS455" s="90"/>
      <c r="ALT455" s="90"/>
      <c r="ALU455" s="90"/>
      <c r="ALV455" s="90"/>
      <c r="ALW455" s="90"/>
      <c r="ALX455" s="90"/>
      <c r="ALY455" s="90"/>
      <c r="ALZ455" s="90"/>
      <c r="AMA455" s="90"/>
      <c r="AMB455" s="90"/>
      <c r="AMC455" s="90"/>
    </row>
    <row r="456" spans="1:1017">
      <c r="A456" s="98" t="s">
        <v>56</v>
      </c>
      <c r="B456" s="90" t="str">
        <f t="shared" si="2224"/>
        <v>Udang Putih</v>
      </c>
      <c r="E456" s="98">
        <v>268300</v>
      </c>
      <c r="F456" s="98">
        <v>10732000</v>
      </c>
      <c r="Q456" s="91">
        <f t="shared" si="2225"/>
        <v>268300</v>
      </c>
      <c r="R456" s="91">
        <f t="shared" si="2226"/>
        <v>10732000</v>
      </c>
      <c r="AG456" s="91">
        <f t="shared" si="2227"/>
        <v>0</v>
      </c>
      <c r="AH456" s="91">
        <f t="shared" si="2228"/>
        <v>0</v>
      </c>
      <c r="AW456" s="91">
        <f t="shared" si="2229"/>
        <v>0</v>
      </c>
      <c r="AX456" s="91">
        <f t="shared" si="2230"/>
        <v>0</v>
      </c>
      <c r="BM456" s="91">
        <f t="shared" si="2231"/>
        <v>0</v>
      </c>
      <c r="BN456" s="91">
        <f t="shared" si="2232"/>
        <v>0</v>
      </c>
      <c r="CC456" s="91">
        <f t="shared" si="2233"/>
        <v>0</v>
      </c>
      <c r="CD456" s="91">
        <f t="shared" si="2234"/>
        <v>0</v>
      </c>
      <c r="CS456" s="91">
        <f t="shared" si="2235"/>
        <v>0</v>
      </c>
      <c r="CT456" s="91">
        <f t="shared" si="2236"/>
        <v>0</v>
      </c>
      <c r="DI456" s="91">
        <f t="shared" si="2237"/>
        <v>0</v>
      </c>
      <c r="DJ456" s="91">
        <f t="shared" si="2238"/>
        <v>0</v>
      </c>
      <c r="DY456" s="91">
        <f t="shared" si="2239"/>
        <v>0</v>
      </c>
      <c r="DZ456" s="91">
        <f t="shared" si="2240"/>
        <v>0</v>
      </c>
      <c r="EO456" s="91">
        <f t="shared" si="2241"/>
        <v>0</v>
      </c>
      <c r="EP456" s="91">
        <f t="shared" si="2242"/>
        <v>0</v>
      </c>
      <c r="FE456" s="91">
        <f t="shared" si="2243"/>
        <v>0</v>
      </c>
      <c r="FF456" s="91">
        <f t="shared" si="2244"/>
        <v>0</v>
      </c>
      <c r="FU456" s="91">
        <f t="shared" si="2245"/>
        <v>0</v>
      </c>
      <c r="FV456" s="91">
        <f t="shared" si="2246"/>
        <v>0</v>
      </c>
      <c r="GK456" s="91">
        <f t="shared" si="2247"/>
        <v>0</v>
      </c>
      <c r="GL456" s="91">
        <f t="shared" si="2248"/>
        <v>0</v>
      </c>
      <c r="HA456" s="91">
        <f t="shared" si="2249"/>
        <v>0</v>
      </c>
      <c r="HB456" s="91">
        <f t="shared" si="2250"/>
        <v>0</v>
      </c>
      <c r="HQ456" s="91">
        <f t="shared" si="2251"/>
        <v>0</v>
      </c>
      <c r="HR456" s="91">
        <f t="shared" si="2252"/>
        <v>0</v>
      </c>
      <c r="IG456" s="91">
        <f t="shared" si="2253"/>
        <v>0</v>
      </c>
      <c r="IH456" s="91">
        <f t="shared" si="2254"/>
        <v>0</v>
      </c>
      <c r="IW456" s="91">
        <f t="shared" si="2255"/>
        <v>0</v>
      </c>
      <c r="IX456" s="91">
        <f t="shared" si="2256"/>
        <v>0</v>
      </c>
      <c r="JM456" s="91">
        <f t="shared" si="2257"/>
        <v>0</v>
      </c>
      <c r="JN456" s="91">
        <f t="shared" si="2258"/>
        <v>0</v>
      </c>
      <c r="KC456" s="91">
        <f t="shared" si="2259"/>
        <v>0</v>
      </c>
      <c r="KD456" s="91">
        <f t="shared" si="2260"/>
        <v>0</v>
      </c>
      <c r="KS456" s="91">
        <f t="shared" si="2261"/>
        <v>0</v>
      </c>
      <c r="KT456" s="91">
        <f t="shared" si="2262"/>
        <v>0</v>
      </c>
      <c r="LI456" s="91">
        <f t="shared" si="2263"/>
        <v>0</v>
      </c>
      <c r="LJ456" s="91">
        <f t="shared" si="2264"/>
        <v>0</v>
      </c>
      <c r="LY456" s="91">
        <f t="shared" si="2265"/>
        <v>0</v>
      </c>
      <c r="LZ456" s="91">
        <f t="shared" si="2266"/>
        <v>0</v>
      </c>
      <c r="MC456" s="98">
        <v>5760</v>
      </c>
      <c r="MD456" s="98">
        <v>230400</v>
      </c>
      <c r="MO456" s="91">
        <f t="shared" si="2267"/>
        <v>5760</v>
      </c>
      <c r="MP456" s="91">
        <f t="shared" si="2268"/>
        <v>230400</v>
      </c>
      <c r="NE456" s="91">
        <f t="shared" si="2269"/>
        <v>0</v>
      </c>
      <c r="NF456" s="91">
        <f t="shared" si="2270"/>
        <v>0</v>
      </c>
      <c r="NI456" s="98">
        <v>84150</v>
      </c>
      <c r="NJ456" s="98">
        <v>3786750</v>
      </c>
      <c r="NU456" s="91">
        <f t="shared" si="2271"/>
        <v>84150</v>
      </c>
      <c r="NV456" s="91">
        <f t="shared" si="2272"/>
        <v>3786750</v>
      </c>
      <c r="OK456" s="91">
        <f t="shared" si="2273"/>
        <v>0</v>
      </c>
      <c r="OL456" s="91">
        <f t="shared" si="2274"/>
        <v>0</v>
      </c>
      <c r="PA456" s="91">
        <f t="shared" si="2275"/>
        <v>0</v>
      </c>
      <c r="PB456" s="91">
        <f t="shared" si="2276"/>
        <v>0</v>
      </c>
      <c r="PQ456" s="91">
        <f t="shared" si="2277"/>
        <v>0</v>
      </c>
      <c r="PR456" s="91">
        <f t="shared" si="2278"/>
        <v>0</v>
      </c>
      <c r="QG456" s="91">
        <f t="shared" si="2279"/>
        <v>0</v>
      </c>
      <c r="QH456" s="91">
        <f t="shared" si="2280"/>
        <v>0</v>
      </c>
      <c r="QW456" s="91">
        <f t="shared" si="2281"/>
        <v>0</v>
      </c>
      <c r="QX456" s="91">
        <f t="shared" si="2282"/>
        <v>0</v>
      </c>
      <c r="RM456" s="91">
        <f t="shared" si="2283"/>
        <v>0</v>
      </c>
      <c r="RN456" s="91">
        <f t="shared" si="2284"/>
        <v>0</v>
      </c>
      <c r="SC456" s="91">
        <f t="shared" si="2285"/>
        <v>0</v>
      </c>
      <c r="SD456" s="91">
        <f t="shared" si="2286"/>
        <v>0</v>
      </c>
      <c r="SS456" s="91">
        <f t="shared" si="2287"/>
        <v>0</v>
      </c>
      <c r="ST456" s="91">
        <f t="shared" si="2288"/>
        <v>0</v>
      </c>
      <c r="TI456" s="91">
        <f t="shared" si="2289"/>
        <v>0</v>
      </c>
      <c r="TJ456" s="91">
        <f t="shared" si="2290"/>
        <v>0</v>
      </c>
      <c r="TY456" s="91">
        <f t="shared" si="2291"/>
        <v>0</v>
      </c>
      <c r="TZ456" s="91">
        <f t="shared" si="2292"/>
        <v>0</v>
      </c>
      <c r="UO456" s="91">
        <f t="shared" si="2293"/>
        <v>0</v>
      </c>
      <c r="UP456" s="91">
        <f t="shared" si="2294"/>
        <v>0</v>
      </c>
      <c r="VE456" s="91">
        <f t="shared" si="2295"/>
        <v>0</v>
      </c>
      <c r="VF456" s="91">
        <f t="shared" si="2296"/>
        <v>0</v>
      </c>
      <c r="VI456" s="98">
        <v>132</v>
      </c>
      <c r="VJ456" s="98">
        <v>6600</v>
      </c>
      <c r="VU456" s="91">
        <f t="shared" si="2297"/>
        <v>132</v>
      </c>
      <c r="VV456" s="91">
        <f t="shared" si="2298"/>
        <v>6600</v>
      </c>
      <c r="WK456" s="91">
        <f t="shared" si="2299"/>
        <v>0</v>
      </c>
      <c r="WL456" s="91">
        <f t="shared" si="2300"/>
        <v>0</v>
      </c>
      <c r="WM456" s="89"/>
      <c r="WN456" s="87">
        <f t="shared" si="2301"/>
        <v>0</v>
      </c>
      <c r="WO456" s="87">
        <f t="shared" si="2302"/>
        <v>0</v>
      </c>
      <c r="WP456" s="87">
        <f t="shared" si="2303"/>
        <v>358342</v>
      </c>
      <c r="WQ456" s="87">
        <f t="shared" si="2304"/>
        <v>14755750</v>
      </c>
      <c r="WR456" s="87">
        <f t="shared" si="2305"/>
        <v>0</v>
      </c>
      <c r="WS456" s="87">
        <f t="shared" si="2306"/>
        <v>0</v>
      </c>
      <c r="WT456" s="87">
        <f t="shared" si="2307"/>
        <v>0</v>
      </c>
      <c r="WU456" s="87">
        <f t="shared" si="2308"/>
        <v>0</v>
      </c>
      <c r="WV456" s="87">
        <f t="shared" si="2309"/>
        <v>0</v>
      </c>
      <c r="WW456" s="87">
        <f t="shared" si="2310"/>
        <v>0</v>
      </c>
      <c r="WX456" s="87">
        <f t="shared" si="2311"/>
        <v>0</v>
      </c>
      <c r="WY456" s="87">
        <f t="shared" si="2312"/>
        <v>0</v>
      </c>
      <c r="WZ456" s="87">
        <f t="shared" si="2319"/>
        <v>0</v>
      </c>
      <c r="XA456" s="87">
        <f t="shared" si="2320"/>
        <v>0</v>
      </c>
      <c r="XB456" s="92">
        <f t="shared" si="2321"/>
        <v>358342</v>
      </c>
      <c r="XC456" s="92">
        <f t="shared" si="2322"/>
        <v>14755750</v>
      </c>
      <c r="XD456" s="89"/>
      <c r="XE456" s="92"/>
      <c r="XF456" s="92"/>
      <c r="XG456" s="89"/>
      <c r="XH456" s="92"/>
      <c r="XI456" s="92"/>
      <c r="XJ456" s="89"/>
      <c r="XK456" s="87"/>
      <c r="XL456" s="87"/>
      <c r="XM456" s="87"/>
      <c r="XN456" s="87"/>
      <c r="XO456" s="87"/>
      <c r="XP456" s="87"/>
      <c r="XQ456" s="87"/>
      <c r="XR456" s="92">
        <f t="shared" ca="1" si="2317"/>
        <v>0</v>
      </c>
      <c r="XS456" s="89"/>
      <c r="XT456" s="87"/>
      <c r="XU456" s="87"/>
      <c r="XV456" s="87"/>
      <c r="XW456" s="87"/>
      <c r="XX456" s="87"/>
      <c r="XY456" s="87"/>
      <c r="XZ456" s="87"/>
      <c r="YA456" s="92">
        <f t="shared" ca="1" si="2318"/>
        <v>0</v>
      </c>
      <c r="YB456" s="90"/>
      <c r="YC456" s="90"/>
      <c r="YD456" s="90"/>
      <c r="YE456" s="90"/>
      <c r="YF456" s="90"/>
      <c r="YG456" s="90"/>
      <c r="YH456" s="90"/>
      <c r="YI456" s="90"/>
      <c r="YJ456" s="90"/>
      <c r="YK456" s="90"/>
      <c r="YL456" s="90"/>
      <c r="YM456" s="90"/>
      <c r="YN456" s="90"/>
      <c r="YO456" s="90"/>
      <c r="YP456" s="90"/>
      <c r="YQ456" s="90"/>
      <c r="YR456" s="90"/>
      <c r="YS456" s="90"/>
      <c r="YT456" s="90"/>
      <c r="YU456" s="90"/>
      <c r="YV456" s="90"/>
      <c r="YW456" s="90"/>
      <c r="YX456" s="90"/>
      <c r="YY456" s="90"/>
      <c r="YZ456" s="90"/>
      <c r="ZA456" s="90"/>
      <c r="ZB456" s="90"/>
      <c r="ZC456" s="90"/>
      <c r="ZD456" s="90"/>
      <c r="ZE456" s="90"/>
      <c r="ZF456" s="90"/>
      <c r="ZG456" s="90"/>
      <c r="ZH456" s="90"/>
      <c r="ZI456" s="90"/>
      <c r="ZJ456" s="90"/>
      <c r="ZK456" s="90"/>
      <c r="ZL456" s="90"/>
      <c r="ZM456" s="90"/>
      <c r="ZN456" s="90"/>
      <c r="ZO456" s="90"/>
      <c r="ZP456" s="90"/>
      <c r="ZQ456" s="90"/>
      <c r="ZR456" s="90"/>
      <c r="ZS456" s="90"/>
      <c r="ZT456" s="90"/>
      <c r="ZU456" s="90"/>
      <c r="ZV456" s="90"/>
      <c r="ZW456" s="90"/>
      <c r="ZX456" s="90"/>
      <c r="ZY456" s="90"/>
      <c r="ZZ456" s="90"/>
      <c r="AAA456" s="90"/>
      <c r="AAB456" s="90"/>
      <c r="AAC456" s="90"/>
      <c r="AAD456" s="90"/>
      <c r="AAE456" s="90"/>
      <c r="AAF456" s="90"/>
      <c r="AAG456" s="90"/>
      <c r="AAH456" s="90"/>
      <c r="AAI456" s="90"/>
      <c r="AAJ456" s="90"/>
      <c r="AAK456" s="90"/>
      <c r="AAL456" s="90"/>
      <c r="AAM456" s="90"/>
      <c r="AAN456" s="90"/>
      <c r="AAO456" s="90"/>
      <c r="AAP456" s="90"/>
      <c r="AAQ456" s="90"/>
      <c r="AAR456" s="90"/>
      <c r="AAS456" s="90"/>
      <c r="AAT456" s="90"/>
      <c r="AAU456" s="90"/>
      <c r="AAV456" s="90"/>
      <c r="AAW456" s="90"/>
      <c r="AAX456" s="90"/>
      <c r="AAY456" s="90"/>
      <c r="AAZ456" s="90"/>
      <c r="ABA456" s="90"/>
      <c r="ABB456" s="90"/>
      <c r="ABC456" s="90"/>
      <c r="ABD456" s="90"/>
      <c r="ABE456" s="90"/>
      <c r="ABF456" s="90"/>
      <c r="ABG456" s="90"/>
      <c r="ABH456" s="90"/>
      <c r="ABI456" s="90"/>
      <c r="ABJ456" s="90"/>
      <c r="ABK456" s="90"/>
      <c r="ABL456" s="90"/>
      <c r="ABM456" s="90"/>
      <c r="ABN456" s="90"/>
      <c r="ABO456" s="90"/>
      <c r="ABP456" s="90"/>
      <c r="ABQ456" s="90"/>
      <c r="ABR456" s="90"/>
      <c r="ABS456" s="90"/>
      <c r="ABT456" s="90"/>
      <c r="ABU456" s="90"/>
      <c r="ABV456" s="90"/>
      <c r="ABW456" s="90"/>
      <c r="ABX456" s="90"/>
      <c r="ABY456" s="90"/>
      <c r="ABZ456" s="90"/>
      <c r="ACA456" s="90"/>
      <c r="ACB456" s="90"/>
      <c r="ACC456" s="90"/>
      <c r="ACD456" s="90"/>
      <c r="ACE456" s="90"/>
      <c r="ACF456" s="90"/>
      <c r="ACG456" s="90"/>
      <c r="ACH456" s="90"/>
      <c r="ACI456" s="90"/>
      <c r="ACJ456" s="90"/>
      <c r="ACK456" s="90"/>
      <c r="ACL456" s="90"/>
      <c r="ACM456" s="90"/>
      <c r="ACN456" s="90"/>
      <c r="ACO456" s="90"/>
      <c r="ACP456" s="90"/>
      <c r="ACQ456" s="90"/>
      <c r="ACR456" s="90"/>
      <c r="ACS456" s="90"/>
      <c r="ACT456" s="90"/>
      <c r="ACU456" s="90"/>
      <c r="ACV456" s="90"/>
      <c r="ACW456" s="90"/>
      <c r="ACX456" s="90"/>
      <c r="ACY456" s="90"/>
      <c r="ACZ456" s="90"/>
      <c r="ADA456" s="90"/>
      <c r="ADB456" s="90"/>
      <c r="ADC456" s="90"/>
      <c r="ADD456" s="90"/>
      <c r="ADE456" s="90"/>
      <c r="ADF456" s="90"/>
      <c r="ADG456" s="90"/>
      <c r="ADH456" s="90"/>
      <c r="ADI456" s="90"/>
      <c r="ADJ456" s="90"/>
      <c r="ADK456" s="90"/>
      <c r="ADL456" s="90"/>
      <c r="ADM456" s="90"/>
      <c r="ADN456" s="90"/>
      <c r="ADO456" s="90"/>
      <c r="ADP456" s="90"/>
      <c r="ADQ456" s="90"/>
      <c r="ADR456" s="90"/>
      <c r="ADS456" s="90"/>
      <c r="ADT456" s="90"/>
      <c r="ADU456" s="90"/>
      <c r="ADV456" s="90"/>
      <c r="ADW456" s="90"/>
      <c r="ADX456" s="90"/>
      <c r="ADY456" s="90"/>
      <c r="ADZ456" s="90"/>
      <c r="AEA456" s="90"/>
      <c r="AEB456" s="90"/>
      <c r="AEC456" s="90"/>
      <c r="AED456" s="90"/>
      <c r="AEE456" s="90"/>
      <c r="AEF456" s="90"/>
      <c r="AEG456" s="90"/>
      <c r="AEH456" s="90"/>
      <c r="AEI456" s="90"/>
      <c r="AEJ456" s="90"/>
      <c r="AEK456" s="90"/>
      <c r="AEL456" s="90"/>
      <c r="AEM456" s="90"/>
      <c r="AEN456" s="90"/>
      <c r="AEO456" s="90"/>
      <c r="AEP456" s="90"/>
      <c r="AEQ456" s="90"/>
      <c r="AER456" s="90"/>
      <c r="AES456" s="90"/>
      <c r="AET456" s="90"/>
      <c r="AEU456" s="90"/>
      <c r="AEV456" s="90"/>
      <c r="AEW456" s="90"/>
      <c r="AEX456" s="90"/>
      <c r="AEY456" s="90"/>
      <c r="AEZ456" s="90"/>
      <c r="AFA456" s="90"/>
      <c r="AFB456" s="90"/>
      <c r="AFC456" s="90"/>
      <c r="AFD456" s="90"/>
      <c r="AFE456" s="90"/>
      <c r="AFF456" s="90"/>
      <c r="AFG456" s="90"/>
      <c r="AFH456" s="90"/>
      <c r="AFI456" s="90"/>
      <c r="AFJ456" s="90"/>
      <c r="AFK456" s="90"/>
      <c r="AFL456" s="90"/>
      <c r="AFM456" s="90"/>
      <c r="AFN456" s="90"/>
      <c r="AFO456" s="90"/>
      <c r="AFP456" s="90"/>
      <c r="AFQ456" s="90"/>
      <c r="AFR456" s="90"/>
      <c r="AFS456" s="90"/>
      <c r="AFT456" s="90"/>
      <c r="AFU456" s="90"/>
      <c r="AFV456" s="90"/>
      <c r="AFW456" s="90"/>
      <c r="AFX456" s="90"/>
      <c r="AFY456" s="90"/>
      <c r="AFZ456" s="90"/>
      <c r="AGA456" s="90"/>
      <c r="AGB456" s="90"/>
      <c r="AGC456" s="90"/>
      <c r="AGD456" s="90"/>
      <c r="AGE456" s="90"/>
      <c r="AGF456" s="90"/>
      <c r="AGG456" s="90"/>
      <c r="AGH456" s="90"/>
      <c r="AGI456" s="90"/>
      <c r="AGJ456" s="90"/>
      <c r="AGK456" s="90"/>
      <c r="AGL456" s="90"/>
      <c r="AGM456" s="90"/>
      <c r="AGN456" s="90"/>
      <c r="AGO456" s="90"/>
      <c r="AGP456" s="90"/>
      <c r="AGQ456" s="90"/>
      <c r="AGR456" s="90"/>
      <c r="AGS456" s="90"/>
      <c r="AGT456" s="90"/>
      <c r="AGU456" s="90"/>
      <c r="AGV456" s="90"/>
      <c r="AGW456" s="90"/>
      <c r="AGX456" s="90"/>
      <c r="AGY456" s="90"/>
      <c r="AGZ456" s="90"/>
      <c r="AHA456" s="90"/>
      <c r="AHB456" s="90"/>
      <c r="AHC456" s="90"/>
      <c r="AHD456" s="90"/>
      <c r="AHE456" s="90"/>
      <c r="AHF456" s="90"/>
      <c r="AHG456" s="90"/>
      <c r="AHH456" s="90"/>
      <c r="AHI456" s="90"/>
      <c r="AHJ456" s="90"/>
      <c r="AHK456" s="90"/>
      <c r="AHL456" s="90"/>
      <c r="AHM456" s="90"/>
      <c r="AHN456" s="90"/>
      <c r="AHO456" s="90"/>
      <c r="AHP456" s="90"/>
      <c r="AHQ456" s="90"/>
      <c r="AHR456" s="90"/>
      <c r="AHS456" s="90"/>
      <c r="AHT456" s="90"/>
      <c r="AHU456" s="90"/>
      <c r="AHV456" s="90"/>
      <c r="AHW456" s="90"/>
      <c r="AHX456" s="90"/>
      <c r="AHY456" s="90"/>
      <c r="AHZ456" s="90"/>
      <c r="AIA456" s="90"/>
      <c r="AIB456" s="90"/>
      <c r="AIC456" s="90"/>
      <c r="AID456" s="90"/>
      <c r="AIE456" s="90"/>
      <c r="AIF456" s="90"/>
      <c r="AIG456" s="90"/>
      <c r="AIH456" s="90"/>
      <c r="AII456" s="90"/>
      <c r="AIJ456" s="90"/>
      <c r="AIK456" s="90"/>
      <c r="AIL456" s="90"/>
      <c r="AIM456" s="90"/>
      <c r="AIN456" s="90"/>
      <c r="AIO456" s="90"/>
      <c r="AIP456" s="90"/>
      <c r="AIQ456" s="90"/>
      <c r="AIR456" s="90"/>
      <c r="AIS456" s="90"/>
      <c r="AIT456" s="90"/>
      <c r="AIU456" s="90"/>
      <c r="AIV456" s="90"/>
      <c r="AIW456" s="90"/>
      <c r="AIX456" s="90"/>
      <c r="AIY456" s="90"/>
      <c r="AIZ456" s="90"/>
      <c r="AJA456" s="90"/>
      <c r="AJB456" s="90"/>
      <c r="AJC456" s="90"/>
      <c r="AJD456" s="90"/>
      <c r="AJE456" s="90"/>
      <c r="AJF456" s="90"/>
      <c r="AJG456" s="90"/>
      <c r="AJH456" s="90"/>
      <c r="AJI456" s="90"/>
      <c r="AJJ456" s="90"/>
      <c r="AJK456" s="90"/>
      <c r="AJL456" s="90"/>
      <c r="AJM456" s="90"/>
      <c r="AJN456" s="90"/>
      <c r="AJO456" s="90"/>
      <c r="AJP456" s="90"/>
      <c r="AJQ456" s="90"/>
      <c r="AJR456" s="90"/>
      <c r="AJS456" s="90"/>
      <c r="AJT456" s="90"/>
      <c r="AJU456" s="90"/>
      <c r="AJV456" s="90"/>
      <c r="AJW456" s="90"/>
      <c r="AJX456" s="90"/>
      <c r="AJY456" s="90"/>
      <c r="AJZ456" s="90"/>
      <c r="AKA456" s="90"/>
      <c r="AKB456" s="90"/>
      <c r="AKC456" s="90"/>
      <c r="AKD456" s="90"/>
      <c r="AKE456" s="90"/>
      <c r="AKF456" s="90"/>
      <c r="AKG456" s="90"/>
      <c r="AKH456" s="90"/>
      <c r="AKI456" s="90"/>
      <c r="AKJ456" s="90"/>
      <c r="AKK456" s="90"/>
      <c r="AKL456" s="90"/>
      <c r="AKM456" s="90"/>
      <c r="AKN456" s="90"/>
      <c r="AKO456" s="90"/>
      <c r="AKP456" s="90"/>
      <c r="AKQ456" s="90"/>
      <c r="AKR456" s="90"/>
      <c r="AKS456" s="90"/>
      <c r="AKT456" s="90"/>
      <c r="AKU456" s="90"/>
      <c r="AKV456" s="90"/>
      <c r="AKW456" s="90"/>
      <c r="AKX456" s="90"/>
      <c r="AKY456" s="90"/>
      <c r="AKZ456" s="90"/>
      <c r="ALA456" s="90"/>
      <c r="ALB456" s="90"/>
      <c r="ALC456" s="90"/>
      <c r="ALD456" s="90"/>
      <c r="ALE456" s="90"/>
      <c r="ALF456" s="90"/>
      <c r="ALG456" s="90"/>
      <c r="ALH456" s="90"/>
      <c r="ALI456" s="90"/>
      <c r="ALJ456" s="90"/>
      <c r="ALK456" s="90"/>
      <c r="ALL456" s="90"/>
      <c r="ALM456" s="90"/>
      <c r="ALN456" s="90"/>
      <c r="ALO456" s="90"/>
      <c r="ALP456" s="90"/>
      <c r="ALQ456" s="90"/>
      <c r="ALR456" s="90"/>
      <c r="ALS456" s="90"/>
      <c r="ALT456" s="90"/>
      <c r="ALU456" s="90"/>
      <c r="ALV456" s="90"/>
      <c r="ALW456" s="90"/>
      <c r="ALX456" s="90"/>
      <c r="ALY456" s="90"/>
      <c r="ALZ456" s="90"/>
      <c r="AMA456" s="90"/>
      <c r="AMB456" s="90"/>
      <c r="AMC456" s="90"/>
    </row>
    <row r="457" spans="1:1017">
      <c r="A457" s="98" t="s">
        <v>56</v>
      </c>
      <c r="B457" s="90" t="str">
        <f t="shared" si="2224"/>
        <v xml:space="preserve">Udang Vaname </v>
      </c>
      <c r="E457" s="98">
        <v>1406300</v>
      </c>
      <c r="F457" s="98">
        <v>85743540</v>
      </c>
      <c r="Q457" s="91">
        <f t="shared" si="2225"/>
        <v>1406300</v>
      </c>
      <c r="R457" s="91">
        <f t="shared" si="2226"/>
        <v>85743540</v>
      </c>
      <c r="U457" s="98">
        <v>1654090</v>
      </c>
      <c r="V457" s="98">
        <v>82704500</v>
      </c>
      <c r="AG457" s="91">
        <f t="shared" si="2227"/>
        <v>1654090</v>
      </c>
      <c r="AH457" s="91">
        <f t="shared" si="2228"/>
        <v>82704500</v>
      </c>
      <c r="AK457" s="98">
        <v>36600</v>
      </c>
      <c r="AL457" s="98">
        <v>2379000</v>
      </c>
      <c r="AW457" s="91">
        <f t="shared" si="2229"/>
        <v>36600</v>
      </c>
      <c r="AX457" s="91">
        <f t="shared" si="2230"/>
        <v>2379000</v>
      </c>
      <c r="BM457" s="91">
        <f t="shared" si="2231"/>
        <v>0</v>
      </c>
      <c r="BN457" s="91">
        <f t="shared" si="2232"/>
        <v>0</v>
      </c>
      <c r="CC457" s="91">
        <f t="shared" si="2233"/>
        <v>0</v>
      </c>
      <c r="CD457" s="91">
        <f t="shared" si="2234"/>
        <v>0</v>
      </c>
      <c r="CG457" s="98">
        <v>1402982.6265</v>
      </c>
      <c r="CH457" s="98">
        <v>70149131</v>
      </c>
      <c r="CS457" s="91">
        <f t="shared" si="2235"/>
        <v>1402982.6265</v>
      </c>
      <c r="CT457" s="91">
        <f t="shared" si="2236"/>
        <v>70149131</v>
      </c>
      <c r="CW457" s="98">
        <v>453295.00409615773</v>
      </c>
      <c r="CX457" s="98">
        <v>24931225.227000002</v>
      </c>
      <c r="DI457" s="91">
        <f t="shared" si="2237"/>
        <v>453295.00409615773</v>
      </c>
      <c r="DJ457" s="91">
        <f t="shared" si="2238"/>
        <v>24931225.227000002</v>
      </c>
      <c r="DY457" s="91">
        <f t="shared" si="2239"/>
        <v>0</v>
      </c>
      <c r="DZ457" s="91">
        <f t="shared" si="2240"/>
        <v>0</v>
      </c>
      <c r="EO457" s="91">
        <f t="shared" si="2241"/>
        <v>0</v>
      </c>
      <c r="EP457" s="91">
        <f t="shared" si="2242"/>
        <v>0</v>
      </c>
      <c r="ES457" s="98">
        <v>188074</v>
      </c>
      <c r="ET457" s="98">
        <v>8463330</v>
      </c>
      <c r="EW457" s="98">
        <v>86021</v>
      </c>
      <c r="EX457" s="98">
        <v>3870945</v>
      </c>
      <c r="FE457" s="91">
        <f t="shared" si="2243"/>
        <v>274095</v>
      </c>
      <c r="FF457" s="91">
        <f t="shared" si="2244"/>
        <v>12334275</v>
      </c>
      <c r="FI457" s="98">
        <v>140000</v>
      </c>
      <c r="FJ457" s="98">
        <v>8400000</v>
      </c>
      <c r="FU457" s="91">
        <f t="shared" si="2245"/>
        <v>140000</v>
      </c>
      <c r="FV457" s="91">
        <f t="shared" si="2246"/>
        <v>8400000</v>
      </c>
      <c r="GK457" s="91">
        <f t="shared" si="2247"/>
        <v>0</v>
      </c>
      <c r="GL457" s="91">
        <f t="shared" si="2248"/>
        <v>0</v>
      </c>
      <c r="HA457" s="91">
        <f t="shared" si="2249"/>
        <v>0</v>
      </c>
      <c r="HB457" s="91">
        <f t="shared" si="2250"/>
        <v>0</v>
      </c>
      <c r="HE457" s="98">
        <v>200000</v>
      </c>
      <c r="HF457" s="98">
        <v>12000000</v>
      </c>
      <c r="HQ457" s="91">
        <f t="shared" si="2251"/>
        <v>200000</v>
      </c>
      <c r="HR457" s="91">
        <f t="shared" si="2252"/>
        <v>12000000</v>
      </c>
      <c r="IG457" s="91">
        <f t="shared" si="2253"/>
        <v>0</v>
      </c>
      <c r="IH457" s="91">
        <f t="shared" si="2254"/>
        <v>0</v>
      </c>
      <c r="IW457" s="91">
        <f t="shared" si="2255"/>
        <v>0</v>
      </c>
      <c r="IX457" s="91">
        <f t="shared" si="2256"/>
        <v>0</v>
      </c>
      <c r="JM457" s="91">
        <f t="shared" si="2257"/>
        <v>0</v>
      </c>
      <c r="JN457" s="91">
        <f t="shared" si="2258"/>
        <v>0</v>
      </c>
      <c r="JQ457" s="98">
        <v>153170</v>
      </c>
      <c r="JR457" s="98">
        <v>12253600</v>
      </c>
      <c r="KC457" s="91">
        <f t="shared" si="2259"/>
        <v>153170</v>
      </c>
      <c r="KD457" s="91">
        <f t="shared" si="2260"/>
        <v>12253600</v>
      </c>
      <c r="KG457" s="98">
        <v>59200</v>
      </c>
      <c r="KH457" s="98">
        <v>4025600</v>
      </c>
      <c r="KS457" s="91">
        <f t="shared" si="2261"/>
        <v>59200</v>
      </c>
      <c r="KT457" s="91">
        <f t="shared" si="2262"/>
        <v>4025600</v>
      </c>
      <c r="KW457" s="98">
        <v>143207.12</v>
      </c>
      <c r="KX457" s="98">
        <v>7160355</v>
      </c>
      <c r="LI457" s="91">
        <f t="shared" si="2263"/>
        <v>143207.12</v>
      </c>
      <c r="LJ457" s="91">
        <f t="shared" si="2264"/>
        <v>7160355</v>
      </c>
      <c r="LY457" s="91">
        <f t="shared" si="2265"/>
        <v>0</v>
      </c>
      <c r="LZ457" s="91">
        <f t="shared" si="2266"/>
        <v>0</v>
      </c>
      <c r="MC457" s="98">
        <v>883510</v>
      </c>
      <c r="MD457" s="98">
        <v>44175500</v>
      </c>
      <c r="MO457" s="91">
        <f t="shared" si="2267"/>
        <v>883510</v>
      </c>
      <c r="MP457" s="91">
        <f t="shared" si="2268"/>
        <v>44175500</v>
      </c>
      <c r="MS457" s="98">
        <v>3000</v>
      </c>
      <c r="MT457" s="98">
        <v>195000</v>
      </c>
      <c r="NE457" s="91">
        <f t="shared" si="2269"/>
        <v>3000</v>
      </c>
      <c r="NF457" s="91">
        <f t="shared" si="2270"/>
        <v>195000</v>
      </c>
      <c r="NI457" s="98">
        <v>493300</v>
      </c>
      <c r="NJ457" s="98">
        <v>29598000</v>
      </c>
      <c r="NO457" s="98">
        <v>39900</v>
      </c>
      <c r="NP457" s="98">
        <v>2394000</v>
      </c>
      <c r="NU457" s="91">
        <f t="shared" si="2271"/>
        <v>533200</v>
      </c>
      <c r="NV457" s="91">
        <f t="shared" si="2272"/>
        <v>31992000</v>
      </c>
      <c r="NY457" s="98">
        <v>683610</v>
      </c>
      <c r="NZ457" s="98">
        <v>27344400</v>
      </c>
      <c r="OK457" s="91">
        <f t="shared" si="2273"/>
        <v>683610</v>
      </c>
      <c r="OL457" s="91">
        <f t="shared" si="2274"/>
        <v>27344400</v>
      </c>
      <c r="OO457" s="98">
        <v>527276.00000000012</v>
      </c>
      <c r="OP457" s="98">
        <v>33218388.000000004</v>
      </c>
      <c r="PA457" s="91">
        <f t="shared" si="2275"/>
        <v>527276.00000000012</v>
      </c>
      <c r="PB457" s="91">
        <f t="shared" si="2276"/>
        <v>33218388.000000004</v>
      </c>
      <c r="PE457" s="98">
        <v>14320</v>
      </c>
      <c r="PF457" s="98">
        <v>930800</v>
      </c>
      <c r="PQ457" s="91">
        <f t="shared" si="2277"/>
        <v>14320</v>
      </c>
      <c r="PR457" s="91">
        <f t="shared" si="2278"/>
        <v>930800</v>
      </c>
      <c r="PU457" s="98">
        <v>772110</v>
      </c>
      <c r="PV457" s="98">
        <v>38605500</v>
      </c>
      <c r="QA457" s="98">
        <v>670700</v>
      </c>
      <c r="QB457" s="98">
        <v>30181500</v>
      </c>
      <c r="QG457" s="91">
        <f t="shared" si="2279"/>
        <v>1442810</v>
      </c>
      <c r="QH457" s="91">
        <f t="shared" si="2280"/>
        <v>68787000</v>
      </c>
      <c r="QK457" s="98">
        <v>175000</v>
      </c>
      <c r="QL457" s="98">
        <v>10500000</v>
      </c>
      <c r="QW457" s="91">
        <f t="shared" si="2281"/>
        <v>175000</v>
      </c>
      <c r="QX457" s="91">
        <f t="shared" si="2282"/>
        <v>10500000</v>
      </c>
      <c r="RM457" s="91">
        <f t="shared" si="2283"/>
        <v>0</v>
      </c>
      <c r="RN457" s="91">
        <f t="shared" si="2284"/>
        <v>0</v>
      </c>
      <c r="SC457" s="91">
        <f t="shared" si="2285"/>
        <v>0</v>
      </c>
      <c r="SD457" s="91">
        <f t="shared" si="2286"/>
        <v>0</v>
      </c>
      <c r="SS457" s="91">
        <f t="shared" si="2287"/>
        <v>0</v>
      </c>
      <c r="ST457" s="91">
        <f t="shared" si="2288"/>
        <v>0</v>
      </c>
      <c r="TI457" s="91">
        <f t="shared" si="2289"/>
        <v>0</v>
      </c>
      <c r="TJ457" s="91">
        <f t="shared" si="2290"/>
        <v>0</v>
      </c>
      <c r="TY457" s="91">
        <f t="shared" si="2291"/>
        <v>0</v>
      </c>
      <c r="TZ457" s="91">
        <f t="shared" si="2292"/>
        <v>0</v>
      </c>
      <c r="UO457" s="91">
        <f t="shared" si="2293"/>
        <v>0</v>
      </c>
      <c r="UP457" s="91">
        <f t="shared" si="2294"/>
        <v>0</v>
      </c>
      <c r="US457" s="98">
        <v>14650</v>
      </c>
      <c r="UT457" s="98">
        <v>1172000</v>
      </c>
      <c r="VE457" s="91">
        <f t="shared" si="2295"/>
        <v>14650</v>
      </c>
      <c r="VF457" s="91">
        <f t="shared" si="2296"/>
        <v>1172000</v>
      </c>
      <c r="VI457" s="98">
        <v>45884</v>
      </c>
      <c r="VJ457" s="98">
        <v>2523620</v>
      </c>
      <c r="VU457" s="91">
        <f t="shared" si="2297"/>
        <v>45884</v>
      </c>
      <c r="VV457" s="91">
        <f t="shared" si="2298"/>
        <v>2523620</v>
      </c>
      <c r="VY457" s="98">
        <v>11140</v>
      </c>
      <c r="VZ457" s="98">
        <v>668400</v>
      </c>
      <c r="WK457" s="91">
        <f t="shared" si="2299"/>
        <v>11140</v>
      </c>
      <c r="WL457" s="91">
        <f t="shared" si="2300"/>
        <v>668400</v>
      </c>
      <c r="WM457" s="89"/>
      <c r="WN457" s="87">
        <f t="shared" si="2301"/>
        <v>0</v>
      </c>
      <c r="WO457" s="87">
        <f t="shared" si="2302"/>
        <v>0</v>
      </c>
      <c r="WP457" s="87">
        <f t="shared" si="2303"/>
        <v>9460718.7505961582</v>
      </c>
      <c r="WQ457" s="87">
        <f t="shared" si="2304"/>
        <v>507141889.227</v>
      </c>
      <c r="WR457" s="87">
        <f t="shared" si="2305"/>
        <v>0</v>
      </c>
      <c r="WS457" s="87">
        <f t="shared" si="2306"/>
        <v>0</v>
      </c>
      <c r="WT457" s="87">
        <f t="shared" si="2307"/>
        <v>86021</v>
      </c>
      <c r="WU457" s="87">
        <f t="shared" si="2308"/>
        <v>3870945</v>
      </c>
      <c r="WV457" s="87">
        <f t="shared" si="2309"/>
        <v>710600</v>
      </c>
      <c r="WW457" s="87">
        <f t="shared" si="2310"/>
        <v>32575500</v>
      </c>
      <c r="WX457" s="87">
        <f t="shared" si="2311"/>
        <v>0</v>
      </c>
      <c r="WY457" s="87">
        <f t="shared" si="2312"/>
        <v>0</v>
      </c>
      <c r="WZ457" s="87">
        <f t="shared" si="2319"/>
        <v>0</v>
      </c>
      <c r="XA457" s="87">
        <f t="shared" si="2320"/>
        <v>0</v>
      </c>
      <c r="XB457" s="92">
        <f t="shared" si="2321"/>
        <v>10257339.750596158</v>
      </c>
      <c r="XC457" s="92">
        <f t="shared" si="2322"/>
        <v>543588334.227</v>
      </c>
      <c r="XD457" s="89"/>
      <c r="XE457" s="92"/>
      <c r="XF457" s="92"/>
      <c r="XG457" s="89"/>
      <c r="XH457" s="92"/>
      <c r="XI457" s="92"/>
      <c r="XJ457" s="89"/>
      <c r="XK457" s="87"/>
      <c r="XL457" s="87"/>
      <c r="XM457" s="87"/>
      <c r="XN457" s="87"/>
      <c r="XO457" s="87"/>
      <c r="XP457" s="87"/>
      <c r="XQ457" s="87"/>
      <c r="XR457" s="92">
        <f t="shared" ca="1" si="2317"/>
        <v>0</v>
      </c>
      <c r="XS457" s="89"/>
      <c r="XT457" s="87"/>
      <c r="XU457" s="87"/>
      <c r="XV457" s="87"/>
      <c r="XW457" s="87"/>
      <c r="XX457" s="87"/>
      <c r="XY457" s="87"/>
      <c r="XZ457" s="87"/>
      <c r="YA457" s="92">
        <f t="shared" ca="1" si="2318"/>
        <v>0</v>
      </c>
      <c r="YB457" s="90"/>
      <c r="YC457" s="90"/>
      <c r="YD457" s="90"/>
      <c r="YE457" s="90"/>
      <c r="YF457" s="90"/>
      <c r="YG457" s="90"/>
      <c r="YH457" s="90"/>
      <c r="YI457" s="90"/>
      <c r="YJ457" s="90"/>
      <c r="YK457" s="90"/>
      <c r="YL457" s="90"/>
      <c r="YM457" s="90"/>
      <c r="YN457" s="90"/>
      <c r="YO457" s="90"/>
      <c r="YP457" s="90"/>
      <c r="YQ457" s="90"/>
      <c r="YR457" s="90"/>
      <c r="YS457" s="90"/>
      <c r="YT457" s="90"/>
      <c r="YU457" s="90"/>
      <c r="YV457" s="90"/>
      <c r="YW457" s="90"/>
      <c r="YX457" s="90"/>
      <c r="YY457" s="90"/>
      <c r="YZ457" s="90"/>
      <c r="ZA457" s="90"/>
      <c r="ZB457" s="90"/>
      <c r="ZC457" s="90"/>
      <c r="ZD457" s="90"/>
      <c r="ZE457" s="90"/>
      <c r="ZF457" s="90"/>
      <c r="ZG457" s="90"/>
      <c r="ZH457" s="90"/>
      <c r="ZI457" s="90"/>
      <c r="ZJ457" s="90"/>
      <c r="ZK457" s="90"/>
      <c r="ZL457" s="90"/>
      <c r="ZM457" s="90"/>
      <c r="ZN457" s="90"/>
      <c r="ZO457" s="90"/>
      <c r="ZP457" s="90"/>
      <c r="ZQ457" s="90"/>
      <c r="ZR457" s="90"/>
      <c r="ZS457" s="90"/>
      <c r="ZT457" s="90"/>
      <c r="ZU457" s="90"/>
      <c r="ZV457" s="90"/>
      <c r="ZW457" s="90"/>
      <c r="ZX457" s="90"/>
      <c r="ZY457" s="90"/>
      <c r="ZZ457" s="90"/>
      <c r="AAA457" s="90"/>
      <c r="AAB457" s="90"/>
      <c r="AAC457" s="90"/>
      <c r="AAD457" s="90"/>
      <c r="AAE457" s="90"/>
      <c r="AAF457" s="90"/>
      <c r="AAG457" s="90"/>
      <c r="AAH457" s="90"/>
      <c r="AAI457" s="90"/>
      <c r="AAJ457" s="90"/>
      <c r="AAK457" s="90"/>
      <c r="AAL457" s="90"/>
      <c r="AAM457" s="90"/>
      <c r="AAN457" s="90"/>
      <c r="AAO457" s="90"/>
      <c r="AAP457" s="90"/>
      <c r="AAQ457" s="90"/>
      <c r="AAR457" s="90"/>
      <c r="AAS457" s="90"/>
      <c r="AAT457" s="90"/>
      <c r="AAU457" s="90"/>
      <c r="AAV457" s="90"/>
      <c r="AAW457" s="90"/>
      <c r="AAX457" s="90"/>
      <c r="AAY457" s="90"/>
      <c r="AAZ457" s="90"/>
      <c r="ABA457" s="90"/>
      <c r="ABB457" s="90"/>
      <c r="ABC457" s="90"/>
      <c r="ABD457" s="90"/>
      <c r="ABE457" s="90"/>
      <c r="ABF457" s="90"/>
      <c r="ABG457" s="90"/>
      <c r="ABH457" s="90"/>
      <c r="ABI457" s="90"/>
      <c r="ABJ457" s="90"/>
      <c r="ABK457" s="90"/>
      <c r="ABL457" s="90"/>
      <c r="ABM457" s="90"/>
      <c r="ABN457" s="90"/>
      <c r="ABO457" s="90"/>
      <c r="ABP457" s="90"/>
      <c r="ABQ457" s="90"/>
      <c r="ABR457" s="90"/>
      <c r="ABS457" s="90"/>
      <c r="ABT457" s="90"/>
      <c r="ABU457" s="90"/>
      <c r="ABV457" s="90"/>
      <c r="ABW457" s="90"/>
      <c r="ABX457" s="90"/>
      <c r="ABY457" s="90"/>
      <c r="ABZ457" s="90"/>
      <c r="ACA457" s="90"/>
      <c r="ACB457" s="90"/>
      <c r="ACC457" s="90"/>
      <c r="ACD457" s="90"/>
      <c r="ACE457" s="90"/>
      <c r="ACF457" s="90"/>
      <c r="ACG457" s="90"/>
      <c r="ACH457" s="90"/>
      <c r="ACI457" s="90"/>
      <c r="ACJ457" s="90"/>
      <c r="ACK457" s="90"/>
      <c r="ACL457" s="90"/>
      <c r="ACM457" s="90"/>
      <c r="ACN457" s="90"/>
      <c r="ACO457" s="90"/>
      <c r="ACP457" s="90"/>
      <c r="ACQ457" s="90"/>
      <c r="ACR457" s="90"/>
      <c r="ACS457" s="90"/>
      <c r="ACT457" s="90"/>
      <c r="ACU457" s="90"/>
      <c r="ACV457" s="90"/>
      <c r="ACW457" s="90"/>
      <c r="ACX457" s="90"/>
      <c r="ACY457" s="90"/>
      <c r="ACZ457" s="90"/>
      <c r="ADA457" s="90"/>
      <c r="ADB457" s="90"/>
      <c r="ADC457" s="90"/>
      <c r="ADD457" s="90"/>
      <c r="ADE457" s="90"/>
      <c r="ADF457" s="90"/>
      <c r="ADG457" s="90"/>
      <c r="ADH457" s="90"/>
      <c r="ADI457" s="90"/>
      <c r="ADJ457" s="90"/>
      <c r="ADK457" s="90"/>
      <c r="ADL457" s="90"/>
      <c r="ADM457" s="90"/>
      <c r="ADN457" s="90"/>
      <c r="ADO457" s="90"/>
      <c r="ADP457" s="90"/>
      <c r="ADQ457" s="90"/>
      <c r="ADR457" s="90"/>
      <c r="ADS457" s="90"/>
      <c r="ADT457" s="90"/>
      <c r="ADU457" s="90"/>
      <c r="ADV457" s="90"/>
      <c r="ADW457" s="90"/>
      <c r="ADX457" s="90"/>
      <c r="ADY457" s="90"/>
      <c r="ADZ457" s="90"/>
      <c r="AEA457" s="90"/>
      <c r="AEB457" s="90"/>
      <c r="AEC457" s="90"/>
      <c r="AED457" s="90"/>
      <c r="AEE457" s="90"/>
      <c r="AEF457" s="90"/>
      <c r="AEG457" s="90"/>
      <c r="AEH457" s="90"/>
      <c r="AEI457" s="90"/>
      <c r="AEJ457" s="90"/>
      <c r="AEK457" s="90"/>
      <c r="AEL457" s="90"/>
      <c r="AEM457" s="90"/>
      <c r="AEN457" s="90"/>
      <c r="AEO457" s="90"/>
      <c r="AEP457" s="90"/>
      <c r="AEQ457" s="90"/>
      <c r="AER457" s="90"/>
      <c r="AES457" s="90"/>
      <c r="AET457" s="90"/>
      <c r="AEU457" s="90"/>
      <c r="AEV457" s="90"/>
      <c r="AEW457" s="90"/>
      <c r="AEX457" s="90"/>
      <c r="AEY457" s="90"/>
      <c r="AEZ457" s="90"/>
      <c r="AFA457" s="90"/>
      <c r="AFB457" s="90"/>
      <c r="AFC457" s="90"/>
      <c r="AFD457" s="90"/>
      <c r="AFE457" s="90"/>
      <c r="AFF457" s="90"/>
      <c r="AFG457" s="90"/>
      <c r="AFH457" s="90"/>
      <c r="AFI457" s="90"/>
      <c r="AFJ457" s="90"/>
      <c r="AFK457" s="90"/>
      <c r="AFL457" s="90"/>
      <c r="AFM457" s="90"/>
      <c r="AFN457" s="90"/>
      <c r="AFO457" s="90"/>
      <c r="AFP457" s="90"/>
      <c r="AFQ457" s="90"/>
      <c r="AFR457" s="90"/>
      <c r="AFS457" s="90"/>
      <c r="AFT457" s="90"/>
      <c r="AFU457" s="90"/>
      <c r="AFV457" s="90"/>
      <c r="AFW457" s="90"/>
      <c r="AFX457" s="90"/>
      <c r="AFY457" s="90"/>
      <c r="AFZ457" s="90"/>
      <c r="AGA457" s="90"/>
      <c r="AGB457" s="90"/>
      <c r="AGC457" s="90"/>
      <c r="AGD457" s="90"/>
      <c r="AGE457" s="90"/>
      <c r="AGF457" s="90"/>
      <c r="AGG457" s="90"/>
      <c r="AGH457" s="90"/>
      <c r="AGI457" s="90"/>
      <c r="AGJ457" s="90"/>
      <c r="AGK457" s="90"/>
      <c r="AGL457" s="90"/>
      <c r="AGM457" s="90"/>
      <c r="AGN457" s="90"/>
      <c r="AGO457" s="90"/>
      <c r="AGP457" s="90"/>
      <c r="AGQ457" s="90"/>
      <c r="AGR457" s="90"/>
      <c r="AGS457" s="90"/>
      <c r="AGT457" s="90"/>
      <c r="AGU457" s="90"/>
      <c r="AGV457" s="90"/>
      <c r="AGW457" s="90"/>
      <c r="AGX457" s="90"/>
      <c r="AGY457" s="90"/>
      <c r="AGZ457" s="90"/>
      <c r="AHA457" s="90"/>
      <c r="AHB457" s="90"/>
      <c r="AHC457" s="90"/>
      <c r="AHD457" s="90"/>
      <c r="AHE457" s="90"/>
      <c r="AHF457" s="90"/>
      <c r="AHG457" s="90"/>
      <c r="AHH457" s="90"/>
      <c r="AHI457" s="90"/>
      <c r="AHJ457" s="90"/>
      <c r="AHK457" s="90"/>
      <c r="AHL457" s="90"/>
      <c r="AHM457" s="90"/>
      <c r="AHN457" s="90"/>
      <c r="AHO457" s="90"/>
      <c r="AHP457" s="90"/>
      <c r="AHQ457" s="90"/>
      <c r="AHR457" s="90"/>
      <c r="AHS457" s="90"/>
      <c r="AHT457" s="90"/>
      <c r="AHU457" s="90"/>
      <c r="AHV457" s="90"/>
      <c r="AHW457" s="90"/>
      <c r="AHX457" s="90"/>
      <c r="AHY457" s="90"/>
      <c r="AHZ457" s="90"/>
      <c r="AIA457" s="90"/>
      <c r="AIB457" s="90"/>
      <c r="AIC457" s="90"/>
      <c r="AID457" s="90"/>
      <c r="AIE457" s="90"/>
      <c r="AIF457" s="90"/>
      <c r="AIG457" s="90"/>
      <c r="AIH457" s="90"/>
      <c r="AII457" s="90"/>
      <c r="AIJ457" s="90"/>
      <c r="AIK457" s="90"/>
      <c r="AIL457" s="90"/>
      <c r="AIM457" s="90"/>
      <c r="AIN457" s="90"/>
      <c r="AIO457" s="90"/>
      <c r="AIP457" s="90"/>
      <c r="AIQ457" s="90"/>
      <c r="AIR457" s="90"/>
      <c r="AIS457" s="90"/>
      <c r="AIT457" s="90"/>
      <c r="AIU457" s="90"/>
      <c r="AIV457" s="90"/>
      <c r="AIW457" s="90"/>
      <c r="AIX457" s="90"/>
      <c r="AIY457" s="90"/>
      <c r="AIZ457" s="90"/>
      <c r="AJA457" s="90"/>
      <c r="AJB457" s="90"/>
      <c r="AJC457" s="90"/>
      <c r="AJD457" s="90"/>
      <c r="AJE457" s="90"/>
      <c r="AJF457" s="90"/>
      <c r="AJG457" s="90"/>
      <c r="AJH457" s="90"/>
      <c r="AJI457" s="90"/>
      <c r="AJJ457" s="90"/>
      <c r="AJK457" s="90"/>
      <c r="AJL457" s="90"/>
      <c r="AJM457" s="90"/>
      <c r="AJN457" s="90"/>
      <c r="AJO457" s="90"/>
      <c r="AJP457" s="90"/>
      <c r="AJQ457" s="90"/>
      <c r="AJR457" s="90"/>
      <c r="AJS457" s="90"/>
      <c r="AJT457" s="90"/>
      <c r="AJU457" s="90"/>
      <c r="AJV457" s="90"/>
      <c r="AJW457" s="90"/>
      <c r="AJX457" s="90"/>
      <c r="AJY457" s="90"/>
      <c r="AJZ457" s="90"/>
      <c r="AKA457" s="90"/>
      <c r="AKB457" s="90"/>
      <c r="AKC457" s="90"/>
      <c r="AKD457" s="90"/>
      <c r="AKE457" s="90"/>
      <c r="AKF457" s="90"/>
      <c r="AKG457" s="90"/>
      <c r="AKH457" s="90"/>
      <c r="AKI457" s="90"/>
      <c r="AKJ457" s="90"/>
      <c r="AKK457" s="90"/>
      <c r="AKL457" s="90"/>
      <c r="AKM457" s="90"/>
      <c r="AKN457" s="90"/>
      <c r="AKO457" s="90"/>
      <c r="AKP457" s="90"/>
      <c r="AKQ457" s="90"/>
      <c r="AKR457" s="90"/>
      <c r="AKS457" s="90"/>
      <c r="AKT457" s="90"/>
      <c r="AKU457" s="90"/>
      <c r="AKV457" s="90"/>
      <c r="AKW457" s="90"/>
      <c r="AKX457" s="90"/>
      <c r="AKY457" s="90"/>
      <c r="AKZ457" s="90"/>
      <c r="ALA457" s="90"/>
      <c r="ALB457" s="90"/>
      <c r="ALC457" s="90"/>
      <c r="ALD457" s="90"/>
      <c r="ALE457" s="90"/>
      <c r="ALF457" s="90"/>
      <c r="ALG457" s="90"/>
      <c r="ALH457" s="90"/>
      <c r="ALI457" s="90"/>
      <c r="ALJ457" s="90"/>
      <c r="ALK457" s="90"/>
      <c r="ALL457" s="90"/>
      <c r="ALM457" s="90"/>
      <c r="ALN457" s="90"/>
      <c r="ALO457" s="90"/>
      <c r="ALP457" s="90"/>
      <c r="ALQ457" s="90"/>
      <c r="ALR457" s="90"/>
      <c r="ALS457" s="90"/>
      <c r="ALT457" s="90"/>
      <c r="ALU457" s="90"/>
      <c r="ALV457" s="90"/>
      <c r="ALW457" s="90"/>
      <c r="ALX457" s="90"/>
      <c r="ALY457" s="90"/>
      <c r="ALZ457" s="90"/>
      <c r="AMA457" s="90"/>
      <c r="AMB457" s="90"/>
      <c r="AMC457" s="90"/>
    </row>
    <row r="458" spans="1:1017">
      <c r="A458" s="98" t="s">
        <v>56</v>
      </c>
      <c r="B458" s="90" t="str">
        <f t="shared" si="2224"/>
        <v xml:space="preserve">Udang Windu </v>
      </c>
      <c r="E458" s="98">
        <v>8100</v>
      </c>
      <c r="F458" s="98">
        <v>1053000</v>
      </c>
      <c r="Q458" s="91">
        <f t="shared" si="2225"/>
        <v>8100</v>
      </c>
      <c r="R458" s="91">
        <f t="shared" si="2226"/>
        <v>1053000</v>
      </c>
      <c r="AG458" s="91">
        <f t="shared" si="2227"/>
        <v>0</v>
      </c>
      <c r="AH458" s="91">
        <f t="shared" si="2228"/>
        <v>0</v>
      </c>
      <c r="AW458" s="91">
        <f t="shared" si="2229"/>
        <v>0</v>
      </c>
      <c r="AX458" s="91">
        <f t="shared" si="2230"/>
        <v>0</v>
      </c>
      <c r="BM458" s="91">
        <f t="shared" si="2231"/>
        <v>0</v>
      </c>
      <c r="BN458" s="91">
        <f t="shared" si="2232"/>
        <v>0</v>
      </c>
      <c r="CC458" s="91">
        <f t="shared" si="2233"/>
        <v>0</v>
      </c>
      <c r="CD458" s="91">
        <f t="shared" si="2234"/>
        <v>0</v>
      </c>
      <c r="CG458" s="98">
        <v>155450.25448700003</v>
      </c>
      <c r="CH458" s="98">
        <v>12436020</v>
      </c>
      <c r="CS458" s="91">
        <f t="shared" si="2235"/>
        <v>155450.25448700003</v>
      </c>
      <c r="CT458" s="91">
        <f t="shared" si="2236"/>
        <v>12436020</v>
      </c>
      <c r="DI458" s="91">
        <f t="shared" si="2237"/>
        <v>0</v>
      </c>
      <c r="DJ458" s="91">
        <f t="shared" si="2238"/>
        <v>0</v>
      </c>
      <c r="DY458" s="91">
        <f t="shared" si="2239"/>
        <v>0</v>
      </c>
      <c r="DZ458" s="91">
        <f t="shared" si="2240"/>
        <v>0</v>
      </c>
      <c r="EO458" s="91">
        <f t="shared" si="2241"/>
        <v>0</v>
      </c>
      <c r="EP458" s="91">
        <f t="shared" si="2242"/>
        <v>0</v>
      </c>
      <c r="FE458" s="91">
        <f t="shared" si="2243"/>
        <v>0</v>
      </c>
      <c r="FF458" s="91">
        <f t="shared" si="2244"/>
        <v>0</v>
      </c>
      <c r="FU458" s="91">
        <f t="shared" si="2245"/>
        <v>0</v>
      </c>
      <c r="FV458" s="91">
        <f t="shared" si="2246"/>
        <v>0</v>
      </c>
      <c r="GK458" s="91">
        <f t="shared" si="2247"/>
        <v>0</v>
      </c>
      <c r="GL458" s="91">
        <f t="shared" si="2248"/>
        <v>0</v>
      </c>
      <c r="HA458" s="91">
        <f t="shared" si="2249"/>
        <v>0</v>
      </c>
      <c r="HB458" s="91">
        <f t="shared" si="2250"/>
        <v>0</v>
      </c>
      <c r="HQ458" s="91">
        <f t="shared" si="2251"/>
        <v>0</v>
      </c>
      <c r="HR458" s="91">
        <f t="shared" si="2252"/>
        <v>0</v>
      </c>
      <c r="IG458" s="91">
        <f t="shared" si="2253"/>
        <v>0</v>
      </c>
      <c r="IH458" s="91">
        <f t="shared" si="2254"/>
        <v>0</v>
      </c>
      <c r="IW458" s="91">
        <f t="shared" si="2255"/>
        <v>0</v>
      </c>
      <c r="IX458" s="91">
        <f t="shared" si="2256"/>
        <v>0</v>
      </c>
      <c r="JM458" s="91">
        <f t="shared" si="2257"/>
        <v>0</v>
      </c>
      <c r="JN458" s="91">
        <f t="shared" si="2258"/>
        <v>0</v>
      </c>
      <c r="KC458" s="91">
        <f t="shared" si="2259"/>
        <v>0</v>
      </c>
      <c r="KD458" s="91">
        <f t="shared" si="2260"/>
        <v>0</v>
      </c>
      <c r="KS458" s="91">
        <f t="shared" si="2261"/>
        <v>0</v>
      </c>
      <c r="KT458" s="91">
        <f t="shared" si="2262"/>
        <v>0</v>
      </c>
      <c r="KW458" s="98">
        <v>2599.62</v>
      </c>
      <c r="KX458" s="98">
        <v>246964</v>
      </c>
      <c r="LI458" s="91">
        <f t="shared" si="2263"/>
        <v>2599.62</v>
      </c>
      <c r="LJ458" s="91">
        <f t="shared" si="2264"/>
        <v>246964</v>
      </c>
      <c r="LY458" s="91">
        <f t="shared" si="2265"/>
        <v>0</v>
      </c>
      <c r="LZ458" s="91">
        <f t="shared" si="2266"/>
        <v>0</v>
      </c>
      <c r="MO458" s="91">
        <f t="shared" si="2267"/>
        <v>0</v>
      </c>
      <c r="MP458" s="91">
        <f t="shared" si="2268"/>
        <v>0</v>
      </c>
      <c r="MS458" s="98">
        <v>500</v>
      </c>
      <c r="MT458" s="98">
        <f>MS458*80</f>
        <v>40000</v>
      </c>
      <c r="NE458" s="91">
        <f t="shared" si="2269"/>
        <v>500</v>
      </c>
      <c r="NF458" s="91">
        <f t="shared" si="2270"/>
        <v>40000</v>
      </c>
      <c r="NI458" s="98">
        <v>358166</v>
      </c>
      <c r="NJ458" s="98">
        <v>32234940</v>
      </c>
      <c r="NU458" s="91">
        <f t="shared" si="2271"/>
        <v>358166</v>
      </c>
      <c r="NV458" s="91">
        <f t="shared" si="2272"/>
        <v>32234940</v>
      </c>
      <c r="NY458" s="98">
        <v>48</v>
      </c>
      <c r="NZ458" s="98">
        <v>7200</v>
      </c>
      <c r="OK458" s="91">
        <f t="shared" si="2273"/>
        <v>48</v>
      </c>
      <c r="OL458" s="91">
        <f t="shared" si="2274"/>
        <v>7200</v>
      </c>
      <c r="PA458" s="91">
        <f t="shared" si="2275"/>
        <v>0</v>
      </c>
      <c r="PB458" s="91">
        <f t="shared" si="2276"/>
        <v>0</v>
      </c>
      <c r="PQ458" s="91">
        <f t="shared" si="2277"/>
        <v>0</v>
      </c>
      <c r="PR458" s="91">
        <f t="shared" si="2278"/>
        <v>0</v>
      </c>
      <c r="QG458" s="91">
        <f t="shared" si="2279"/>
        <v>0</v>
      </c>
      <c r="QH458" s="91">
        <f t="shared" si="2280"/>
        <v>0</v>
      </c>
      <c r="QW458" s="91">
        <f t="shared" si="2281"/>
        <v>0</v>
      </c>
      <c r="QX458" s="91">
        <f t="shared" si="2282"/>
        <v>0</v>
      </c>
      <c r="RM458" s="91">
        <f t="shared" si="2283"/>
        <v>0</v>
      </c>
      <c r="RN458" s="91">
        <f t="shared" si="2284"/>
        <v>0</v>
      </c>
      <c r="SC458" s="91">
        <f t="shared" si="2285"/>
        <v>0</v>
      </c>
      <c r="SD458" s="91">
        <f t="shared" si="2286"/>
        <v>0</v>
      </c>
      <c r="SS458" s="91">
        <f t="shared" si="2287"/>
        <v>0</v>
      </c>
      <c r="ST458" s="91">
        <f t="shared" si="2288"/>
        <v>0</v>
      </c>
      <c r="TI458" s="91">
        <f t="shared" si="2289"/>
        <v>0</v>
      </c>
      <c r="TJ458" s="91">
        <f t="shared" si="2290"/>
        <v>0</v>
      </c>
      <c r="TY458" s="91">
        <f t="shared" si="2291"/>
        <v>0</v>
      </c>
      <c r="TZ458" s="91">
        <f t="shared" si="2292"/>
        <v>0</v>
      </c>
      <c r="UO458" s="91">
        <f t="shared" si="2293"/>
        <v>0</v>
      </c>
      <c r="UP458" s="91">
        <f t="shared" si="2294"/>
        <v>0</v>
      </c>
      <c r="VE458" s="91">
        <f t="shared" si="2295"/>
        <v>0</v>
      </c>
      <c r="VF458" s="91">
        <f t="shared" si="2296"/>
        <v>0</v>
      </c>
      <c r="VI458" s="98">
        <v>58</v>
      </c>
      <c r="VJ458" s="98">
        <v>3770</v>
      </c>
      <c r="VU458" s="91">
        <f t="shared" si="2297"/>
        <v>58</v>
      </c>
      <c r="VV458" s="91">
        <f t="shared" si="2298"/>
        <v>3770</v>
      </c>
      <c r="WK458" s="91">
        <f t="shared" si="2299"/>
        <v>0</v>
      </c>
      <c r="WL458" s="91">
        <f t="shared" si="2300"/>
        <v>0</v>
      </c>
      <c r="WM458" s="89"/>
      <c r="WN458" s="87">
        <f t="shared" si="2301"/>
        <v>0</v>
      </c>
      <c r="WO458" s="87">
        <f t="shared" si="2302"/>
        <v>0</v>
      </c>
      <c r="WP458" s="87">
        <f t="shared" si="2303"/>
        <v>524921.87448700005</v>
      </c>
      <c r="WQ458" s="87">
        <f t="shared" si="2304"/>
        <v>46021894</v>
      </c>
      <c r="WR458" s="87">
        <f t="shared" si="2305"/>
        <v>0</v>
      </c>
      <c r="WS458" s="87">
        <f t="shared" si="2306"/>
        <v>0</v>
      </c>
      <c r="WT458" s="87">
        <f t="shared" si="2307"/>
        <v>0</v>
      </c>
      <c r="WU458" s="87">
        <f t="shared" si="2308"/>
        <v>0</v>
      </c>
      <c r="WV458" s="87">
        <f t="shared" si="2309"/>
        <v>0</v>
      </c>
      <c r="WW458" s="87">
        <f t="shared" si="2310"/>
        <v>0</v>
      </c>
      <c r="WX458" s="87">
        <f t="shared" si="2311"/>
        <v>0</v>
      </c>
      <c r="WY458" s="87">
        <f t="shared" si="2312"/>
        <v>0</v>
      </c>
      <c r="WZ458" s="87">
        <f t="shared" si="2319"/>
        <v>0</v>
      </c>
      <c r="XA458" s="87">
        <f t="shared" si="2320"/>
        <v>0</v>
      </c>
      <c r="XB458" s="92">
        <f t="shared" si="2321"/>
        <v>524921.87448700005</v>
      </c>
      <c r="XC458" s="92">
        <f t="shared" si="2322"/>
        <v>46021894</v>
      </c>
      <c r="XD458" s="89"/>
      <c r="XE458" s="92"/>
      <c r="XF458" s="92"/>
      <c r="XG458" s="89"/>
      <c r="XH458" s="92"/>
      <c r="XI458" s="92"/>
      <c r="XJ458" s="89"/>
      <c r="XK458" s="87"/>
      <c r="XL458" s="87"/>
      <c r="XM458" s="87"/>
      <c r="XN458" s="87"/>
      <c r="XO458" s="87"/>
      <c r="XP458" s="87"/>
      <c r="XQ458" s="87"/>
      <c r="XR458" s="92">
        <f t="shared" ca="1" si="2317"/>
        <v>0</v>
      </c>
      <c r="XS458" s="89"/>
      <c r="XT458" s="87"/>
      <c r="XU458" s="87"/>
      <c r="XV458" s="87"/>
      <c r="XW458" s="87"/>
      <c r="XX458" s="87"/>
      <c r="XY458" s="87"/>
      <c r="XZ458" s="87"/>
      <c r="YA458" s="92">
        <f t="shared" ca="1" si="2318"/>
        <v>0</v>
      </c>
      <c r="YB458" s="90"/>
      <c r="YC458" s="90"/>
      <c r="YD458" s="90"/>
      <c r="YE458" s="90"/>
      <c r="YF458" s="90"/>
      <c r="YG458" s="90"/>
      <c r="YH458" s="90"/>
      <c r="YI458" s="90"/>
      <c r="YJ458" s="90"/>
      <c r="YK458" s="90"/>
      <c r="YL458" s="90"/>
      <c r="YM458" s="90"/>
      <c r="YN458" s="90"/>
      <c r="YO458" s="90"/>
      <c r="YP458" s="90"/>
      <c r="YQ458" s="90"/>
      <c r="YR458" s="90"/>
      <c r="YS458" s="90"/>
      <c r="YT458" s="90"/>
      <c r="YU458" s="90"/>
      <c r="YV458" s="90"/>
      <c r="YW458" s="90"/>
      <c r="YX458" s="90"/>
      <c r="YY458" s="90"/>
      <c r="YZ458" s="90"/>
      <c r="ZA458" s="90"/>
      <c r="ZB458" s="90"/>
      <c r="ZC458" s="90"/>
      <c r="ZD458" s="90"/>
      <c r="ZE458" s="90"/>
      <c r="ZF458" s="90"/>
      <c r="ZG458" s="90"/>
      <c r="ZH458" s="90"/>
      <c r="ZI458" s="90"/>
      <c r="ZJ458" s="90"/>
      <c r="ZK458" s="90"/>
      <c r="ZL458" s="90"/>
      <c r="ZM458" s="90"/>
      <c r="ZN458" s="90"/>
      <c r="ZO458" s="90"/>
      <c r="ZP458" s="90"/>
      <c r="ZQ458" s="90"/>
      <c r="ZR458" s="90"/>
      <c r="ZS458" s="90"/>
      <c r="ZT458" s="90"/>
      <c r="ZU458" s="90"/>
      <c r="ZV458" s="90"/>
      <c r="ZW458" s="90"/>
      <c r="ZX458" s="90"/>
      <c r="ZY458" s="90"/>
      <c r="ZZ458" s="90"/>
      <c r="AAA458" s="90"/>
      <c r="AAB458" s="90"/>
      <c r="AAC458" s="90"/>
      <c r="AAD458" s="90"/>
      <c r="AAE458" s="90"/>
      <c r="AAF458" s="90"/>
      <c r="AAG458" s="90"/>
      <c r="AAH458" s="90"/>
      <c r="AAI458" s="90"/>
      <c r="AAJ458" s="90"/>
      <c r="AAK458" s="90"/>
      <c r="AAL458" s="90"/>
      <c r="AAM458" s="90"/>
      <c r="AAN458" s="90"/>
      <c r="AAO458" s="90"/>
      <c r="AAP458" s="90"/>
      <c r="AAQ458" s="90"/>
      <c r="AAR458" s="90"/>
      <c r="AAS458" s="90"/>
      <c r="AAT458" s="90"/>
      <c r="AAU458" s="90"/>
      <c r="AAV458" s="90"/>
      <c r="AAW458" s="90"/>
      <c r="AAX458" s="90"/>
      <c r="AAY458" s="90"/>
      <c r="AAZ458" s="90"/>
      <c r="ABA458" s="90"/>
      <c r="ABB458" s="90"/>
      <c r="ABC458" s="90"/>
      <c r="ABD458" s="90"/>
      <c r="ABE458" s="90"/>
      <c r="ABF458" s="90"/>
      <c r="ABG458" s="90"/>
      <c r="ABH458" s="90"/>
      <c r="ABI458" s="90"/>
      <c r="ABJ458" s="90"/>
      <c r="ABK458" s="90"/>
      <c r="ABL458" s="90"/>
      <c r="ABM458" s="90"/>
      <c r="ABN458" s="90"/>
      <c r="ABO458" s="90"/>
      <c r="ABP458" s="90"/>
      <c r="ABQ458" s="90"/>
      <c r="ABR458" s="90"/>
      <c r="ABS458" s="90"/>
      <c r="ABT458" s="90"/>
      <c r="ABU458" s="90"/>
      <c r="ABV458" s="90"/>
      <c r="ABW458" s="90"/>
      <c r="ABX458" s="90"/>
      <c r="ABY458" s="90"/>
      <c r="ABZ458" s="90"/>
      <c r="ACA458" s="90"/>
      <c r="ACB458" s="90"/>
      <c r="ACC458" s="90"/>
      <c r="ACD458" s="90"/>
      <c r="ACE458" s="90"/>
      <c r="ACF458" s="90"/>
      <c r="ACG458" s="90"/>
      <c r="ACH458" s="90"/>
      <c r="ACI458" s="90"/>
      <c r="ACJ458" s="90"/>
      <c r="ACK458" s="90"/>
      <c r="ACL458" s="90"/>
      <c r="ACM458" s="90"/>
      <c r="ACN458" s="90"/>
      <c r="ACO458" s="90"/>
      <c r="ACP458" s="90"/>
      <c r="ACQ458" s="90"/>
      <c r="ACR458" s="90"/>
      <c r="ACS458" s="90"/>
      <c r="ACT458" s="90"/>
      <c r="ACU458" s="90"/>
      <c r="ACV458" s="90"/>
      <c r="ACW458" s="90"/>
      <c r="ACX458" s="90"/>
      <c r="ACY458" s="90"/>
      <c r="ACZ458" s="90"/>
      <c r="ADA458" s="90"/>
      <c r="ADB458" s="90"/>
      <c r="ADC458" s="90"/>
      <c r="ADD458" s="90"/>
      <c r="ADE458" s="90"/>
      <c r="ADF458" s="90"/>
      <c r="ADG458" s="90"/>
      <c r="ADH458" s="90"/>
      <c r="ADI458" s="90"/>
      <c r="ADJ458" s="90"/>
      <c r="ADK458" s="90"/>
      <c r="ADL458" s="90"/>
      <c r="ADM458" s="90"/>
      <c r="ADN458" s="90"/>
      <c r="ADO458" s="90"/>
      <c r="ADP458" s="90"/>
      <c r="ADQ458" s="90"/>
      <c r="ADR458" s="90"/>
      <c r="ADS458" s="90"/>
      <c r="ADT458" s="90"/>
      <c r="ADU458" s="90"/>
      <c r="ADV458" s="90"/>
      <c r="ADW458" s="90"/>
      <c r="ADX458" s="90"/>
      <c r="ADY458" s="90"/>
      <c r="ADZ458" s="90"/>
      <c r="AEA458" s="90"/>
      <c r="AEB458" s="90"/>
      <c r="AEC458" s="90"/>
      <c r="AED458" s="90"/>
      <c r="AEE458" s="90"/>
      <c r="AEF458" s="90"/>
      <c r="AEG458" s="90"/>
      <c r="AEH458" s="90"/>
      <c r="AEI458" s="90"/>
      <c r="AEJ458" s="90"/>
      <c r="AEK458" s="90"/>
      <c r="AEL458" s="90"/>
      <c r="AEM458" s="90"/>
      <c r="AEN458" s="90"/>
      <c r="AEO458" s="90"/>
      <c r="AEP458" s="90"/>
      <c r="AEQ458" s="90"/>
      <c r="AER458" s="90"/>
      <c r="AES458" s="90"/>
      <c r="AET458" s="90"/>
      <c r="AEU458" s="90"/>
      <c r="AEV458" s="90"/>
      <c r="AEW458" s="90"/>
      <c r="AEX458" s="90"/>
      <c r="AEY458" s="90"/>
      <c r="AEZ458" s="90"/>
      <c r="AFA458" s="90"/>
      <c r="AFB458" s="90"/>
      <c r="AFC458" s="90"/>
      <c r="AFD458" s="90"/>
      <c r="AFE458" s="90"/>
      <c r="AFF458" s="90"/>
      <c r="AFG458" s="90"/>
      <c r="AFH458" s="90"/>
      <c r="AFI458" s="90"/>
      <c r="AFJ458" s="90"/>
      <c r="AFK458" s="90"/>
      <c r="AFL458" s="90"/>
      <c r="AFM458" s="90"/>
      <c r="AFN458" s="90"/>
      <c r="AFO458" s="90"/>
      <c r="AFP458" s="90"/>
      <c r="AFQ458" s="90"/>
      <c r="AFR458" s="90"/>
      <c r="AFS458" s="90"/>
      <c r="AFT458" s="90"/>
      <c r="AFU458" s="90"/>
      <c r="AFV458" s="90"/>
      <c r="AFW458" s="90"/>
      <c r="AFX458" s="90"/>
      <c r="AFY458" s="90"/>
      <c r="AFZ458" s="90"/>
      <c r="AGA458" s="90"/>
      <c r="AGB458" s="90"/>
      <c r="AGC458" s="90"/>
      <c r="AGD458" s="90"/>
      <c r="AGE458" s="90"/>
      <c r="AGF458" s="90"/>
      <c r="AGG458" s="90"/>
      <c r="AGH458" s="90"/>
      <c r="AGI458" s="90"/>
      <c r="AGJ458" s="90"/>
      <c r="AGK458" s="90"/>
      <c r="AGL458" s="90"/>
      <c r="AGM458" s="90"/>
      <c r="AGN458" s="90"/>
      <c r="AGO458" s="90"/>
      <c r="AGP458" s="90"/>
      <c r="AGQ458" s="90"/>
      <c r="AGR458" s="90"/>
      <c r="AGS458" s="90"/>
      <c r="AGT458" s="90"/>
      <c r="AGU458" s="90"/>
      <c r="AGV458" s="90"/>
      <c r="AGW458" s="90"/>
      <c r="AGX458" s="90"/>
      <c r="AGY458" s="90"/>
      <c r="AGZ458" s="90"/>
      <c r="AHA458" s="90"/>
      <c r="AHB458" s="90"/>
      <c r="AHC458" s="90"/>
      <c r="AHD458" s="90"/>
      <c r="AHE458" s="90"/>
      <c r="AHF458" s="90"/>
      <c r="AHG458" s="90"/>
      <c r="AHH458" s="90"/>
      <c r="AHI458" s="90"/>
      <c r="AHJ458" s="90"/>
      <c r="AHK458" s="90"/>
      <c r="AHL458" s="90"/>
      <c r="AHM458" s="90"/>
      <c r="AHN458" s="90"/>
      <c r="AHO458" s="90"/>
      <c r="AHP458" s="90"/>
      <c r="AHQ458" s="90"/>
      <c r="AHR458" s="90"/>
      <c r="AHS458" s="90"/>
      <c r="AHT458" s="90"/>
      <c r="AHU458" s="90"/>
      <c r="AHV458" s="90"/>
      <c r="AHW458" s="90"/>
      <c r="AHX458" s="90"/>
      <c r="AHY458" s="90"/>
      <c r="AHZ458" s="90"/>
      <c r="AIA458" s="90"/>
      <c r="AIB458" s="90"/>
      <c r="AIC458" s="90"/>
      <c r="AID458" s="90"/>
      <c r="AIE458" s="90"/>
      <c r="AIF458" s="90"/>
      <c r="AIG458" s="90"/>
      <c r="AIH458" s="90"/>
      <c r="AII458" s="90"/>
      <c r="AIJ458" s="90"/>
      <c r="AIK458" s="90"/>
      <c r="AIL458" s="90"/>
      <c r="AIM458" s="90"/>
      <c r="AIN458" s="90"/>
      <c r="AIO458" s="90"/>
      <c r="AIP458" s="90"/>
      <c r="AIQ458" s="90"/>
      <c r="AIR458" s="90"/>
      <c r="AIS458" s="90"/>
      <c r="AIT458" s="90"/>
      <c r="AIU458" s="90"/>
      <c r="AIV458" s="90"/>
      <c r="AIW458" s="90"/>
      <c r="AIX458" s="90"/>
      <c r="AIY458" s="90"/>
      <c r="AIZ458" s="90"/>
      <c r="AJA458" s="90"/>
      <c r="AJB458" s="90"/>
      <c r="AJC458" s="90"/>
      <c r="AJD458" s="90"/>
      <c r="AJE458" s="90"/>
      <c r="AJF458" s="90"/>
      <c r="AJG458" s="90"/>
      <c r="AJH458" s="90"/>
      <c r="AJI458" s="90"/>
      <c r="AJJ458" s="90"/>
      <c r="AJK458" s="90"/>
      <c r="AJL458" s="90"/>
      <c r="AJM458" s="90"/>
      <c r="AJN458" s="90"/>
      <c r="AJO458" s="90"/>
      <c r="AJP458" s="90"/>
      <c r="AJQ458" s="90"/>
      <c r="AJR458" s="90"/>
      <c r="AJS458" s="90"/>
      <c r="AJT458" s="90"/>
      <c r="AJU458" s="90"/>
      <c r="AJV458" s="90"/>
      <c r="AJW458" s="90"/>
      <c r="AJX458" s="90"/>
      <c r="AJY458" s="90"/>
      <c r="AJZ458" s="90"/>
      <c r="AKA458" s="90"/>
      <c r="AKB458" s="90"/>
      <c r="AKC458" s="90"/>
      <c r="AKD458" s="90"/>
      <c r="AKE458" s="90"/>
      <c r="AKF458" s="90"/>
      <c r="AKG458" s="90"/>
      <c r="AKH458" s="90"/>
      <c r="AKI458" s="90"/>
      <c r="AKJ458" s="90"/>
      <c r="AKK458" s="90"/>
      <c r="AKL458" s="90"/>
      <c r="AKM458" s="90"/>
      <c r="AKN458" s="90"/>
      <c r="AKO458" s="90"/>
      <c r="AKP458" s="90"/>
      <c r="AKQ458" s="90"/>
      <c r="AKR458" s="90"/>
      <c r="AKS458" s="90"/>
      <c r="AKT458" s="90"/>
      <c r="AKU458" s="90"/>
      <c r="AKV458" s="90"/>
      <c r="AKW458" s="90"/>
      <c r="AKX458" s="90"/>
      <c r="AKY458" s="90"/>
      <c r="AKZ458" s="90"/>
      <c r="ALA458" s="90"/>
      <c r="ALB458" s="90"/>
      <c r="ALC458" s="90"/>
      <c r="ALD458" s="90"/>
      <c r="ALE458" s="90"/>
      <c r="ALF458" s="90"/>
      <c r="ALG458" s="90"/>
      <c r="ALH458" s="90"/>
      <c r="ALI458" s="90"/>
      <c r="ALJ458" s="90"/>
      <c r="ALK458" s="90"/>
      <c r="ALL458" s="90"/>
      <c r="ALM458" s="90"/>
      <c r="ALN458" s="90"/>
      <c r="ALO458" s="90"/>
      <c r="ALP458" s="90"/>
      <c r="ALQ458" s="90"/>
      <c r="ALR458" s="90"/>
      <c r="ALS458" s="90"/>
      <c r="ALT458" s="90"/>
      <c r="ALU458" s="90"/>
      <c r="ALV458" s="90"/>
      <c r="ALW458" s="90"/>
      <c r="ALX458" s="90"/>
      <c r="ALY458" s="90"/>
      <c r="ALZ458" s="90"/>
      <c r="AMA458" s="90"/>
      <c r="AMB458" s="90"/>
      <c r="AMC458" s="90"/>
    </row>
    <row r="459" spans="1:1017">
      <c r="A459" s="98" t="s">
        <v>56</v>
      </c>
      <c r="B459" s="90" t="str">
        <f t="shared" ref="B459:B468" si="2323">B421</f>
        <v xml:space="preserve">Udang_01 (Udang Api-Api) </v>
      </c>
      <c r="E459" s="98">
        <v>15500</v>
      </c>
      <c r="F459" s="98">
        <v>620000</v>
      </c>
      <c r="Q459" s="91">
        <f t="shared" si="2225"/>
        <v>15500</v>
      </c>
      <c r="R459" s="91">
        <f t="shared" si="2226"/>
        <v>620000</v>
      </c>
      <c r="AG459" s="91">
        <f t="shared" si="2227"/>
        <v>0</v>
      </c>
      <c r="AH459" s="91">
        <f t="shared" si="2228"/>
        <v>0</v>
      </c>
      <c r="AW459" s="91">
        <f t="shared" si="2229"/>
        <v>0</v>
      </c>
      <c r="AX459" s="91">
        <f t="shared" si="2230"/>
        <v>0</v>
      </c>
      <c r="BM459" s="91">
        <f t="shared" si="2231"/>
        <v>0</v>
      </c>
      <c r="BN459" s="91">
        <f t="shared" si="2232"/>
        <v>0</v>
      </c>
      <c r="CC459" s="91">
        <f t="shared" si="2233"/>
        <v>0</v>
      </c>
      <c r="CD459" s="91">
        <f t="shared" si="2234"/>
        <v>0</v>
      </c>
      <c r="CS459" s="91">
        <f t="shared" si="2235"/>
        <v>0</v>
      </c>
      <c r="CT459" s="91">
        <f t="shared" si="2236"/>
        <v>0</v>
      </c>
      <c r="DI459" s="91">
        <f t="shared" si="2237"/>
        <v>0</v>
      </c>
      <c r="DJ459" s="91">
        <f t="shared" si="2238"/>
        <v>0</v>
      </c>
      <c r="DY459" s="91">
        <f t="shared" si="2239"/>
        <v>0</v>
      </c>
      <c r="DZ459" s="91">
        <f t="shared" si="2240"/>
        <v>0</v>
      </c>
      <c r="EO459" s="91">
        <f t="shared" si="2241"/>
        <v>0</v>
      </c>
      <c r="EP459" s="91">
        <f t="shared" si="2242"/>
        <v>0</v>
      </c>
      <c r="FE459" s="91">
        <f t="shared" si="2243"/>
        <v>0</v>
      </c>
      <c r="FF459" s="91">
        <f t="shared" si="2244"/>
        <v>0</v>
      </c>
      <c r="FU459" s="91">
        <f t="shared" si="2245"/>
        <v>0</v>
      </c>
      <c r="FV459" s="91">
        <f t="shared" si="2246"/>
        <v>0</v>
      </c>
      <c r="GK459" s="91">
        <f t="shared" si="2247"/>
        <v>0</v>
      </c>
      <c r="GL459" s="91">
        <f t="shared" si="2248"/>
        <v>0</v>
      </c>
      <c r="HA459" s="91">
        <f t="shared" si="2249"/>
        <v>0</v>
      </c>
      <c r="HB459" s="91">
        <f t="shared" si="2250"/>
        <v>0</v>
      </c>
      <c r="HQ459" s="91">
        <f t="shared" si="2251"/>
        <v>0</v>
      </c>
      <c r="HR459" s="91">
        <f t="shared" si="2252"/>
        <v>0</v>
      </c>
      <c r="IG459" s="91">
        <f t="shared" si="2253"/>
        <v>0</v>
      </c>
      <c r="IH459" s="91">
        <f t="shared" si="2254"/>
        <v>0</v>
      </c>
      <c r="IW459" s="91">
        <f t="shared" si="2255"/>
        <v>0</v>
      </c>
      <c r="IX459" s="91">
        <f t="shared" si="2256"/>
        <v>0</v>
      </c>
      <c r="JM459" s="91">
        <f t="shared" si="2257"/>
        <v>0</v>
      </c>
      <c r="JN459" s="91">
        <f t="shared" si="2258"/>
        <v>0</v>
      </c>
      <c r="KC459" s="91">
        <f t="shared" si="2259"/>
        <v>0</v>
      </c>
      <c r="KD459" s="91">
        <f t="shared" si="2260"/>
        <v>0</v>
      </c>
      <c r="KS459" s="91">
        <f t="shared" si="2261"/>
        <v>0</v>
      </c>
      <c r="KT459" s="91">
        <f t="shared" si="2262"/>
        <v>0</v>
      </c>
      <c r="LI459" s="91">
        <f t="shared" si="2263"/>
        <v>0</v>
      </c>
      <c r="LJ459" s="91">
        <f t="shared" si="2264"/>
        <v>0</v>
      </c>
      <c r="LY459" s="91">
        <f t="shared" si="2265"/>
        <v>0</v>
      </c>
      <c r="LZ459" s="91">
        <f t="shared" si="2266"/>
        <v>0</v>
      </c>
      <c r="MC459" s="98">
        <v>15140</v>
      </c>
      <c r="MD459" s="98">
        <v>605600</v>
      </c>
      <c r="MO459" s="91">
        <f t="shared" si="2267"/>
        <v>15140</v>
      </c>
      <c r="MP459" s="91">
        <f t="shared" si="2268"/>
        <v>605600</v>
      </c>
      <c r="NE459" s="91">
        <f t="shared" si="2269"/>
        <v>0</v>
      </c>
      <c r="NF459" s="91">
        <f t="shared" si="2270"/>
        <v>0</v>
      </c>
      <c r="NI459" s="98">
        <v>41989</v>
      </c>
      <c r="NJ459" s="98">
        <v>1889505</v>
      </c>
      <c r="NU459" s="91">
        <f t="shared" si="2271"/>
        <v>41989</v>
      </c>
      <c r="NV459" s="91">
        <f t="shared" si="2272"/>
        <v>1889505</v>
      </c>
      <c r="OK459" s="91">
        <f t="shared" si="2273"/>
        <v>0</v>
      </c>
      <c r="OL459" s="91">
        <f t="shared" si="2274"/>
        <v>0</v>
      </c>
      <c r="PA459" s="91">
        <f t="shared" si="2275"/>
        <v>0</v>
      </c>
      <c r="PB459" s="91">
        <f t="shared" si="2276"/>
        <v>0</v>
      </c>
      <c r="PQ459" s="91">
        <f t="shared" si="2277"/>
        <v>0</v>
      </c>
      <c r="PR459" s="91">
        <f t="shared" si="2278"/>
        <v>0</v>
      </c>
      <c r="QG459" s="91">
        <f t="shared" si="2279"/>
        <v>0</v>
      </c>
      <c r="QH459" s="91">
        <f t="shared" si="2280"/>
        <v>0</v>
      </c>
      <c r="QW459" s="91">
        <f t="shared" si="2281"/>
        <v>0</v>
      </c>
      <c r="QX459" s="91">
        <f t="shared" si="2282"/>
        <v>0</v>
      </c>
      <c r="RM459" s="91">
        <f t="shared" si="2283"/>
        <v>0</v>
      </c>
      <c r="RN459" s="91">
        <f t="shared" si="2284"/>
        <v>0</v>
      </c>
      <c r="SC459" s="91">
        <f t="shared" si="2285"/>
        <v>0</v>
      </c>
      <c r="SD459" s="91">
        <f t="shared" si="2286"/>
        <v>0</v>
      </c>
      <c r="SS459" s="91">
        <f t="shared" si="2287"/>
        <v>0</v>
      </c>
      <c r="ST459" s="91">
        <f t="shared" si="2288"/>
        <v>0</v>
      </c>
      <c r="TI459" s="91">
        <f t="shared" si="2289"/>
        <v>0</v>
      </c>
      <c r="TJ459" s="91">
        <f t="shared" si="2290"/>
        <v>0</v>
      </c>
      <c r="TY459" s="91">
        <f t="shared" si="2291"/>
        <v>0</v>
      </c>
      <c r="TZ459" s="91">
        <f t="shared" si="2292"/>
        <v>0</v>
      </c>
      <c r="UO459" s="91">
        <f t="shared" si="2293"/>
        <v>0</v>
      </c>
      <c r="UP459" s="91">
        <f t="shared" si="2294"/>
        <v>0</v>
      </c>
      <c r="VE459" s="91">
        <f t="shared" si="2295"/>
        <v>0</v>
      </c>
      <c r="VF459" s="91">
        <f t="shared" si="2296"/>
        <v>0</v>
      </c>
      <c r="VU459" s="91">
        <f t="shared" si="2297"/>
        <v>0</v>
      </c>
      <c r="VV459" s="91">
        <f t="shared" si="2298"/>
        <v>0</v>
      </c>
      <c r="WK459" s="91">
        <f t="shared" si="2299"/>
        <v>0</v>
      </c>
      <c r="WL459" s="91">
        <f t="shared" si="2300"/>
        <v>0</v>
      </c>
      <c r="WM459" s="89"/>
      <c r="WN459" s="87">
        <f t="shared" si="2301"/>
        <v>0</v>
      </c>
      <c r="WO459" s="87">
        <f t="shared" si="2302"/>
        <v>0</v>
      </c>
      <c r="WP459" s="87">
        <f t="shared" si="2303"/>
        <v>72629</v>
      </c>
      <c r="WQ459" s="87">
        <f t="shared" si="2304"/>
        <v>3115105</v>
      </c>
      <c r="WR459" s="87">
        <f t="shared" si="2305"/>
        <v>0</v>
      </c>
      <c r="WS459" s="87">
        <f t="shared" si="2306"/>
        <v>0</v>
      </c>
      <c r="WT459" s="87">
        <f t="shared" si="2307"/>
        <v>0</v>
      </c>
      <c r="WU459" s="87">
        <f t="shared" si="2308"/>
        <v>0</v>
      </c>
      <c r="WV459" s="87">
        <f t="shared" si="2309"/>
        <v>0</v>
      </c>
      <c r="WW459" s="87">
        <f t="shared" si="2310"/>
        <v>0</v>
      </c>
      <c r="WX459" s="87">
        <f t="shared" si="2311"/>
        <v>0</v>
      </c>
      <c r="WY459" s="87">
        <f t="shared" si="2312"/>
        <v>0</v>
      </c>
      <c r="WZ459" s="87">
        <f t="shared" si="2319"/>
        <v>0</v>
      </c>
      <c r="XA459" s="87">
        <f t="shared" si="2320"/>
        <v>0</v>
      </c>
      <c r="XB459" s="92">
        <f t="shared" si="2321"/>
        <v>72629</v>
      </c>
      <c r="XC459" s="92">
        <f t="shared" si="2322"/>
        <v>3115105</v>
      </c>
      <c r="XD459" s="89"/>
      <c r="XE459" s="92"/>
      <c r="XF459" s="92"/>
      <c r="XG459" s="89"/>
      <c r="XH459" s="92"/>
      <c r="XI459" s="92"/>
      <c r="XJ459" s="89"/>
      <c r="XK459" s="87"/>
      <c r="XL459" s="87"/>
      <c r="XM459" s="87"/>
      <c r="XN459" s="87"/>
      <c r="XO459" s="87"/>
      <c r="XP459" s="87"/>
      <c r="XQ459" s="87"/>
      <c r="XR459" s="92">
        <f t="shared" ca="1" si="2317"/>
        <v>0</v>
      </c>
      <c r="XS459" s="89"/>
      <c r="XT459" s="87"/>
      <c r="XU459" s="87"/>
      <c r="XV459" s="87"/>
      <c r="XW459" s="87"/>
      <c r="XX459" s="87"/>
      <c r="XY459" s="87"/>
      <c r="XZ459" s="87"/>
      <c r="YA459" s="92">
        <f t="shared" ca="1" si="2318"/>
        <v>0</v>
      </c>
      <c r="YB459" s="90"/>
      <c r="YC459" s="90"/>
      <c r="YD459" s="90"/>
      <c r="YE459" s="90"/>
      <c r="YF459" s="90"/>
      <c r="YG459" s="90"/>
      <c r="YH459" s="90"/>
      <c r="YI459" s="90"/>
      <c r="YJ459" s="90"/>
      <c r="YK459" s="90"/>
      <c r="YL459" s="90"/>
      <c r="YM459" s="90"/>
      <c r="YN459" s="90"/>
      <c r="YO459" s="90"/>
      <c r="YP459" s="90"/>
      <c r="YQ459" s="90"/>
      <c r="YR459" s="90"/>
      <c r="YS459" s="90"/>
      <c r="YT459" s="90"/>
      <c r="YU459" s="90"/>
      <c r="YV459" s="90"/>
      <c r="YW459" s="90"/>
      <c r="YX459" s="90"/>
      <c r="YY459" s="90"/>
      <c r="YZ459" s="90"/>
      <c r="ZA459" s="90"/>
      <c r="ZB459" s="90"/>
      <c r="ZC459" s="90"/>
      <c r="ZD459" s="90"/>
      <c r="ZE459" s="90"/>
      <c r="ZF459" s="90"/>
      <c r="ZG459" s="90"/>
      <c r="ZH459" s="90"/>
      <c r="ZI459" s="90"/>
      <c r="ZJ459" s="90"/>
      <c r="ZK459" s="90"/>
      <c r="ZL459" s="90"/>
      <c r="ZM459" s="90"/>
      <c r="ZN459" s="90"/>
      <c r="ZO459" s="90"/>
      <c r="ZP459" s="90"/>
      <c r="ZQ459" s="90"/>
      <c r="ZR459" s="90"/>
      <c r="ZS459" s="90"/>
      <c r="ZT459" s="90"/>
      <c r="ZU459" s="90"/>
      <c r="ZV459" s="90"/>
      <c r="ZW459" s="90"/>
      <c r="ZX459" s="90"/>
      <c r="ZY459" s="90"/>
      <c r="ZZ459" s="90"/>
      <c r="AAA459" s="90"/>
      <c r="AAB459" s="90"/>
      <c r="AAC459" s="90"/>
      <c r="AAD459" s="90"/>
      <c r="AAE459" s="90"/>
      <c r="AAF459" s="90"/>
      <c r="AAG459" s="90"/>
      <c r="AAH459" s="90"/>
      <c r="AAI459" s="90"/>
      <c r="AAJ459" s="90"/>
      <c r="AAK459" s="90"/>
      <c r="AAL459" s="90"/>
      <c r="AAM459" s="90"/>
      <c r="AAN459" s="90"/>
      <c r="AAO459" s="90"/>
      <c r="AAP459" s="90"/>
      <c r="AAQ459" s="90"/>
      <c r="AAR459" s="90"/>
      <c r="AAS459" s="90"/>
      <c r="AAT459" s="90"/>
      <c r="AAU459" s="90"/>
      <c r="AAV459" s="90"/>
      <c r="AAW459" s="90"/>
      <c r="AAX459" s="90"/>
      <c r="AAY459" s="90"/>
      <c r="AAZ459" s="90"/>
      <c r="ABA459" s="90"/>
      <c r="ABB459" s="90"/>
      <c r="ABC459" s="90"/>
      <c r="ABD459" s="90"/>
      <c r="ABE459" s="90"/>
      <c r="ABF459" s="90"/>
      <c r="ABG459" s="90"/>
      <c r="ABH459" s="90"/>
      <c r="ABI459" s="90"/>
      <c r="ABJ459" s="90"/>
      <c r="ABK459" s="90"/>
      <c r="ABL459" s="90"/>
      <c r="ABM459" s="90"/>
      <c r="ABN459" s="90"/>
      <c r="ABO459" s="90"/>
      <c r="ABP459" s="90"/>
      <c r="ABQ459" s="90"/>
      <c r="ABR459" s="90"/>
      <c r="ABS459" s="90"/>
      <c r="ABT459" s="90"/>
      <c r="ABU459" s="90"/>
      <c r="ABV459" s="90"/>
      <c r="ABW459" s="90"/>
      <c r="ABX459" s="90"/>
      <c r="ABY459" s="90"/>
      <c r="ABZ459" s="90"/>
      <c r="ACA459" s="90"/>
      <c r="ACB459" s="90"/>
      <c r="ACC459" s="90"/>
      <c r="ACD459" s="90"/>
      <c r="ACE459" s="90"/>
      <c r="ACF459" s="90"/>
      <c r="ACG459" s="90"/>
      <c r="ACH459" s="90"/>
      <c r="ACI459" s="90"/>
      <c r="ACJ459" s="90"/>
      <c r="ACK459" s="90"/>
      <c r="ACL459" s="90"/>
      <c r="ACM459" s="90"/>
      <c r="ACN459" s="90"/>
      <c r="ACO459" s="90"/>
      <c r="ACP459" s="90"/>
      <c r="ACQ459" s="90"/>
      <c r="ACR459" s="90"/>
      <c r="ACS459" s="90"/>
      <c r="ACT459" s="90"/>
      <c r="ACU459" s="90"/>
      <c r="ACV459" s="90"/>
      <c r="ACW459" s="90"/>
      <c r="ACX459" s="90"/>
      <c r="ACY459" s="90"/>
      <c r="ACZ459" s="90"/>
      <c r="ADA459" s="90"/>
      <c r="ADB459" s="90"/>
      <c r="ADC459" s="90"/>
      <c r="ADD459" s="90"/>
      <c r="ADE459" s="90"/>
      <c r="ADF459" s="90"/>
      <c r="ADG459" s="90"/>
      <c r="ADH459" s="90"/>
      <c r="ADI459" s="90"/>
      <c r="ADJ459" s="90"/>
      <c r="ADK459" s="90"/>
      <c r="ADL459" s="90"/>
      <c r="ADM459" s="90"/>
      <c r="ADN459" s="90"/>
      <c r="ADO459" s="90"/>
      <c r="ADP459" s="90"/>
      <c r="ADQ459" s="90"/>
      <c r="ADR459" s="90"/>
      <c r="ADS459" s="90"/>
      <c r="ADT459" s="90"/>
      <c r="ADU459" s="90"/>
      <c r="ADV459" s="90"/>
      <c r="ADW459" s="90"/>
      <c r="ADX459" s="90"/>
      <c r="ADY459" s="90"/>
      <c r="ADZ459" s="90"/>
      <c r="AEA459" s="90"/>
      <c r="AEB459" s="90"/>
      <c r="AEC459" s="90"/>
      <c r="AED459" s="90"/>
      <c r="AEE459" s="90"/>
      <c r="AEF459" s="90"/>
      <c r="AEG459" s="90"/>
      <c r="AEH459" s="90"/>
      <c r="AEI459" s="90"/>
      <c r="AEJ459" s="90"/>
      <c r="AEK459" s="90"/>
      <c r="AEL459" s="90"/>
      <c r="AEM459" s="90"/>
      <c r="AEN459" s="90"/>
      <c r="AEO459" s="90"/>
      <c r="AEP459" s="90"/>
      <c r="AEQ459" s="90"/>
      <c r="AER459" s="90"/>
      <c r="AES459" s="90"/>
      <c r="AET459" s="90"/>
      <c r="AEU459" s="90"/>
      <c r="AEV459" s="90"/>
      <c r="AEW459" s="90"/>
      <c r="AEX459" s="90"/>
      <c r="AEY459" s="90"/>
      <c r="AEZ459" s="90"/>
      <c r="AFA459" s="90"/>
      <c r="AFB459" s="90"/>
      <c r="AFC459" s="90"/>
      <c r="AFD459" s="90"/>
      <c r="AFE459" s="90"/>
      <c r="AFF459" s="90"/>
      <c r="AFG459" s="90"/>
      <c r="AFH459" s="90"/>
      <c r="AFI459" s="90"/>
      <c r="AFJ459" s="90"/>
      <c r="AFK459" s="90"/>
      <c r="AFL459" s="90"/>
      <c r="AFM459" s="90"/>
      <c r="AFN459" s="90"/>
      <c r="AFO459" s="90"/>
      <c r="AFP459" s="90"/>
      <c r="AFQ459" s="90"/>
      <c r="AFR459" s="90"/>
      <c r="AFS459" s="90"/>
      <c r="AFT459" s="90"/>
      <c r="AFU459" s="90"/>
      <c r="AFV459" s="90"/>
      <c r="AFW459" s="90"/>
      <c r="AFX459" s="90"/>
      <c r="AFY459" s="90"/>
      <c r="AFZ459" s="90"/>
      <c r="AGA459" s="90"/>
      <c r="AGB459" s="90"/>
      <c r="AGC459" s="90"/>
      <c r="AGD459" s="90"/>
      <c r="AGE459" s="90"/>
      <c r="AGF459" s="90"/>
      <c r="AGG459" s="90"/>
      <c r="AGH459" s="90"/>
      <c r="AGI459" s="90"/>
      <c r="AGJ459" s="90"/>
      <c r="AGK459" s="90"/>
      <c r="AGL459" s="90"/>
      <c r="AGM459" s="90"/>
      <c r="AGN459" s="90"/>
      <c r="AGO459" s="90"/>
      <c r="AGP459" s="90"/>
      <c r="AGQ459" s="90"/>
      <c r="AGR459" s="90"/>
      <c r="AGS459" s="90"/>
      <c r="AGT459" s="90"/>
      <c r="AGU459" s="90"/>
      <c r="AGV459" s="90"/>
      <c r="AGW459" s="90"/>
      <c r="AGX459" s="90"/>
      <c r="AGY459" s="90"/>
      <c r="AGZ459" s="90"/>
      <c r="AHA459" s="90"/>
      <c r="AHB459" s="90"/>
      <c r="AHC459" s="90"/>
      <c r="AHD459" s="90"/>
      <c r="AHE459" s="90"/>
      <c r="AHF459" s="90"/>
      <c r="AHG459" s="90"/>
      <c r="AHH459" s="90"/>
      <c r="AHI459" s="90"/>
      <c r="AHJ459" s="90"/>
      <c r="AHK459" s="90"/>
      <c r="AHL459" s="90"/>
      <c r="AHM459" s="90"/>
      <c r="AHN459" s="90"/>
      <c r="AHO459" s="90"/>
      <c r="AHP459" s="90"/>
      <c r="AHQ459" s="90"/>
      <c r="AHR459" s="90"/>
      <c r="AHS459" s="90"/>
      <c r="AHT459" s="90"/>
      <c r="AHU459" s="90"/>
      <c r="AHV459" s="90"/>
      <c r="AHW459" s="90"/>
      <c r="AHX459" s="90"/>
      <c r="AHY459" s="90"/>
      <c r="AHZ459" s="90"/>
      <c r="AIA459" s="90"/>
      <c r="AIB459" s="90"/>
      <c r="AIC459" s="90"/>
      <c r="AID459" s="90"/>
      <c r="AIE459" s="90"/>
      <c r="AIF459" s="90"/>
      <c r="AIG459" s="90"/>
      <c r="AIH459" s="90"/>
      <c r="AII459" s="90"/>
      <c r="AIJ459" s="90"/>
      <c r="AIK459" s="90"/>
      <c r="AIL459" s="90"/>
      <c r="AIM459" s="90"/>
      <c r="AIN459" s="90"/>
      <c r="AIO459" s="90"/>
      <c r="AIP459" s="90"/>
      <c r="AIQ459" s="90"/>
      <c r="AIR459" s="90"/>
      <c r="AIS459" s="90"/>
      <c r="AIT459" s="90"/>
      <c r="AIU459" s="90"/>
      <c r="AIV459" s="90"/>
      <c r="AIW459" s="90"/>
      <c r="AIX459" s="90"/>
      <c r="AIY459" s="90"/>
      <c r="AIZ459" s="90"/>
      <c r="AJA459" s="90"/>
      <c r="AJB459" s="90"/>
      <c r="AJC459" s="90"/>
      <c r="AJD459" s="90"/>
      <c r="AJE459" s="90"/>
      <c r="AJF459" s="90"/>
      <c r="AJG459" s="90"/>
      <c r="AJH459" s="90"/>
      <c r="AJI459" s="90"/>
      <c r="AJJ459" s="90"/>
      <c r="AJK459" s="90"/>
      <c r="AJL459" s="90"/>
      <c r="AJM459" s="90"/>
      <c r="AJN459" s="90"/>
      <c r="AJO459" s="90"/>
      <c r="AJP459" s="90"/>
      <c r="AJQ459" s="90"/>
      <c r="AJR459" s="90"/>
      <c r="AJS459" s="90"/>
      <c r="AJT459" s="90"/>
      <c r="AJU459" s="90"/>
      <c r="AJV459" s="90"/>
      <c r="AJW459" s="90"/>
      <c r="AJX459" s="90"/>
      <c r="AJY459" s="90"/>
      <c r="AJZ459" s="90"/>
      <c r="AKA459" s="90"/>
      <c r="AKB459" s="90"/>
      <c r="AKC459" s="90"/>
      <c r="AKD459" s="90"/>
      <c r="AKE459" s="90"/>
      <c r="AKF459" s="90"/>
      <c r="AKG459" s="90"/>
      <c r="AKH459" s="90"/>
      <c r="AKI459" s="90"/>
      <c r="AKJ459" s="90"/>
      <c r="AKK459" s="90"/>
      <c r="AKL459" s="90"/>
      <c r="AKM459" s="90"/>
      <c r="AKN459" s="90"/>
      <c r="AKO459" s="90"/>
      <c r="AKP459" s="90"/>
      <c r="AKQ459" s="90"/>
      <c r="AKR459" s="90"/>
      <c r="AKS459" s="90"/>
      <c r="AKT459" s="90"/>
      <c r="AKU459" s="90"/>
      <c r="AKV459" s="90"/>
      <c r="AKW459" s="90"/>
      <c r="AKX459" s="90"/>
      <c r="AKY459" s="90"/>
      <c r="AKZ459" s="90"/>
      <c r="ALA459" s="90"/>
      <c r="ALB459" s="90"/>
      <c r="ALC459" s="90"/>
      <c r="ALD459" s="90"/>
      <c r="ALE459" s="90"/>
      <c r="ALF459" s="90"/>
      <c r="ALG459" s="90"/>
      <c r="ALH459" s="90"/>
      <c r="ALI459" s="90"/>
      <c r="ALJ459" s="90"/>
      <c r="ALK459" s="90"/>
      <c r="ALL459" s="90"/>
      <c r="ALM459" s="90"/>
      <c r="ALN459" s="90"/>
      <c r="ALO459" s="90"/>
      <c r="ALP459" s="90"/>
      <c r="ALQ459" s="90"/>
      <c r="ALR459" s="90"/>
      <c r="ALS459" s="90"/>
      <c r="ALT459" s="90"/>
      <c r="ALU459" s="90"/>
      <c r="ALV459" s="90"/>
      <c r="ALW459" s="90"/>
      <c r="ALX459" s="90"/>
      <c r="ALY459" s="90"/>
      <c r="ALZ459" s="90"/>
      <c r="AMA459" s="90"/>
      <c r="AMB459" s="90"/>
      <c r="AMC459" s="90"/>
    </row>
    <row r="460" spans="1:1017">
      <c r="A460" s="98" t="s">
        <v>56</v>
      </c>
      <c r="B460" s="90" t="str">
        <f t="shared" si="2323"/>
        <v xml:space="preserve">Udang_02 (Udang Rebon) </v>
      </c>
      <c r="Q460" s="91">
        <f t="shared" si="2225"/>
        <v>0</v>
      </c>
      <c r="R460" s="91">
        <f t="shared" si="2226"/>
        <v>0</v>
      </c>
      <c r="AG460" s="91">
        <f t="shared" si="2227"/>
        <v>0</v>
      </c>
      <c r="AH460" s="91">
        <f t="shared" si="2228"/>
        <v>0</v>
      </c>
      <c r="AW460" s="91">
        <f t="shared" si="2229"/>
        <v>0</v>
      </c>
      <c r="AX460" s="91">
        <f t="shared" si="2230"/>
        <v>0</v>
      </c>
      <c r="BM460" s="91">
        <f t="shared" si="2231"/>
        <v>0</v>
      </c>
      <c r="BN460" s="91">
        <f t="shared" si="2232"/>
        <v>0</v>
      </c>
      <c r="CC460" s="91">
        <f t="shared" si="2233"/>
        <v>0</v>
      </c>
      <c r="CD460" s="91">
        <f t="shared" si="2234"/>
        <v>0</v>
      </c>
      <c r="CS460" s="91">
        <f t="shared" si="2235"/>
        <v>0</v>
      </c>
      <c r="CT460" s="91">
        <f t="shared" si="2236"/>
        <v>0</v>
      </c>
      <c r="DI460" s="91">
        <f t="shared" si="2237"/>
        <v>0</v>
      </c>
      <c r="DJ460" s="91">
        <f t="shared" si="2238"/>
        <v>0</v>
      </c>
      <c r="DY460" s="91">
        <f t="shared" si="2239"/>
        <v>0</v>
      </c>
      <c r="DZ460" s="91">
        <f t="shared" si="2240"/>
        <v>0</v>
      </c>
      <c r="EO460" s="91">
        <f t="shared" si="2241"/>
        <v>0</v>
      </c>
      <c r="EP460" s="91">
        <f t="shared" si="2242"/>
        <v>0</v>
      </c>
      <c r="FE460" s="91">
        <f t="shared" si="2243"/>
        <v>0</v>
      </c>
      <c r="FF460" s="91">
        <f t="shared" si="2244"/>
        <v>0</v>
      </c>
      <c r="FU460" s="91">
        <f t="shared" si="2245"/>
        <v>0</v>
      </c>
      <c r="FV460" s="91">
        <f t="shared" si="2246"/>
        <v>0</v>
      </c>
      <c r="GK460" s="91">
        <f t="shared" si="2247"/>
        <v>0</v>
      </c>
      <c r="GL460" s="91">
        <f t="shared" si="2248"/>
        <v>0</v>
      </c>
      <c r="HA460" s="91">
        <f t="shared" si="2249"/>
        <v>0</v>
      </c>
      <c r="HB460" s="91">
        <f t="shared" si="2250"/>
        <v>0</v>
      </c>
      <c r="HQ460" s="91">
        <f t="shared" si="2251"/>
        <v>0</v>
      </c>
      <c r="HR460" s="91">
        <f t="shared" si="2252"/>
        <v>0</v>
      </c>
      <c r="IG460" s="91">
        <f t="shared" si="2253"/>
        <v>0</v>
      </c>
      <c r="IH460" s="91">
        <f t="shared" si="2254"/>
        <v>0</v>
      </c>
      <c r="IW460" s="91">
        <f t="shared" si="2255"/>
        <v>0</v>
      </c>
      <c r="IX460" s="91">
        <f t="shared" si="2256"/>
        <v>0</v>
      </c>
      <c r="JM460" s="91">
        <f t="shared" si="2257"/>
        <v>0</v>
      </c>
      <c r="JN460" s="91">
        <f t="shared" si="2258"/>
        <v>0</v>
      </c>
      <c r="KC460" s="91">
        <f t="shared" si="2259"/>
        <v>0</v>
      </c>
      <c r="KD460" s="91">
        <f t="shared" si="2260"/>
        <v>0</v>
      </c>
      <c r="KS460" s="91">
        <f t="shared" si="2261"/>
        <v>0</v>
      </c>
      <c r="KT460" s="91">
        <f t="shared" si="2262"/>
        <v>0</v>
      </c>
      <c r="LI460" s="91">
        <f t="shared" si="2263"/>
        <v>0</v>
      </c>
      <c r="LJ460" s="91">
        <f t="shared" si="2264"/>
        <v>0</v>
      </c>
      <c r="LY460" s="91">
        <f t="shared" si="2265"/>
        <v>0</v>
      </c>
      <c r="LZ460" s="91">
        <f t="shared" si="2266"/>
        <v>0</v>
      </c>
      <c r="MO460" s="91">
        <f t="shared" si="2267"/>
        <v>0</v>
      </c>
      <c r="MP460" s="91">
        <f t="shared" si="2268"/>
        <v>0</v>
      </c>
      <c r="NE460" s="91">
        <f t="shared" si="2269"/>
        <v>0</v>
      </c>
      <c r="NF460" s="91">
        <f t="shared" si="2270"/>
        <v>0</v>
      </c>
      <c r="NI460" s="98">
        <v>154467</v>
      </c>
      <c r="NJ460" s="98">
        <v>6178680</v>
      </c>
      <c r="NU460" s="91">
        <f t="shared" si="2271"/>
        <v>154467</v>
      </c>
      <c r="NV460" s="91">
        <f t="shared" si="2272"/>
        <v>6178680</v>
      </c>
      <c r="OK460" s="91">
        <f t="shared" si="2273"/>
        <v>0</v>
      </c>
      <c r="OL460" s="91">
        <f t="shared" si="2274"/>
        <v>0</v>
      </c>
      <c r="PA460" s="91">
        <f t="shared" si="2275"/>
        <v>0</v>
      </c>
      <c r="PB460" s="91">
        <f t="shared" si="2276"/>
        <v>0</v>
      </c>
      <c r="PQ460" s="91">
        <f t="shared" si="2277"/>
        <v>0</v>
      </c>
      <c r="PR460" s="91">
        <f t="shared" si="2278"/>
        <v>0</v>
      </c>
      <c r="QG460" s="91">
        <f t="shared" si="2279"/>
        <v>0</v>
      </c>
      <c r="QH460" s="91">
        <f t="shared" si="2280"/>
        <v>0</v>
      </c>
      <c r="QW460" s="91">
        <f t="shared" si="2281"/>
        <v>0</v>
      </c>
      <c r="QX460" s="91">
        <f t="shared" si="2282"/>
        <v>0</v>
      </c>
      <c r="RM460" s="91">
        <f t="shared" si="2283"/>
        <v>0</v>
      </c>
      <c r="RN460" s="91">
        <f t="shared" si="2284"/>
        <v>0</v>
      </c>
      <c r="SC460" s="91">
        <f t="shared" si="2285"/>
        <v>0</v>
      </c>
      <c r="SD460" s="91">
        <f t="shared" si="2286"/>
        <v>0</v>
      </c>
      <c r="SS460" s="91">
        <f t="shared" si="2287"/>
        <v>0</v>
      </c>
      <c r="ST460" s="91">
        <f t="shared" si="2288"/>
        <v>0</v>
      </c>
      <c r="TI460" s="91">
        <f t="shared" si="2289"/>
        <v>0</v>
      </c>
      <c r="TJ460" s="91">
        <f t="shared" si="2290"/>
        <v>0</v>
      </c>
      <c r="TY460" s="91">
        <f t="shared" si="2291"/>
        <v>0</v>
      </c>
      <c r="TZ460" s="91">
        <f t="shared" si="2292"/>
        <v>0</v>
      </c>
      <c r="UO460" s="91">
        <f t="shared" si="2293"/>
        <v>0</v>
      </c>
      <c r="UP460" s="91">
        <f t="shared" si="2294"/>
        <v>0</v>
      </c>
      <c r="VE460" s="91">
        <f t="shared" si="2295"/>
        <v>0</v>
      </c>
      <c r="VF460" s="91">
        <f t="shared" si="2296"/>
        <v>0</v>
      </c>
      <c r="VU460" s="91">
        <f t="shared" si="2297"/>
        <v>0</v>
      </c>
      <c r="VV460" s="91">
        <f t="shared" si="2298"/>
        <v>0</v>
      </c>
      <c r="WK460" s="91">
        <f t="shared" si="2299"/>
        <v>0</v>
      </c>
      <c r="WL460" s="91">
        <f t="shared" si="2300"/>
        <v>0</v>
      </c>
      <c r="WM460" s="89"/>
      <c r="WN460" s="87">
        <f t="shared" ref="WN460:WN468" si="2324">SUMIF($C$5:$WL$5,$WN$5,C460:WL460)</f>
        <v>0</v>
      </c>
      <c r="WO460" s="87">
        <f t="shared" ref="WO460:WO468" si="2325">SUMIF($C$5:$WL$5,$WO$5,C460:WL460)</f>
        <v>0</v>
      </c>
      <c r="WP460" s="87">
        <f t="shared" ref="WP460:WP468" si="2326">SUMIF($C$5:$WL$5,$WP$5,C460:WL460)</f>
        <v>154467</v>
      </c>
      <c r="WQ460" s="87">
        <f t="shared" ref="WQ460:WQ468" si="2327">SUMIF($C$5:$WL$5,$WQ$5,C460:WL460)</f>
        <v>6178680</v>
      </c>
      <c r="WR460" s="87">
        <f t="shared" ref="WR460:WR468" si="2328">SUMIF($C$5:$WL$5,$WR$5,C460:WL460)</f>
        <v>0</v>
      </c>
      <c r="WS460" s="87">
        <f t="shared" ref="WS460:WS468" si="2329">SUMIF($C$5:$WL$5,$WS$5,C460:WL460)</f>
        <v>0</v>
      </c>
      <c r="WT460" s="87">
        <f t="shared" ref="WT460:WT468" si="2330">SUMIF($C$5:$WL$5,$WT$5,C460:WL460)</f>
        <v>0</v>
      </c>
      <c r="WU460" s="87">
        <f t="shared" ref="WU460:WU468" si="2331">SUMIF($C$5:$WL$5,$WU$5,C460:WL460)</f>
        <v>0</v>
      </c>
      <c r="WV460" s="87">
        <f t="shared" ref="WV460:WV468" si="2332">SUMIF($C$5:$WL$5,$WV$5,C460:WL460)</f>
        <v>0</v>
      </c>
      <c r="WW460" s="87">
        <f t="shared" ref="WW460:WW468" si="2333">SUMIF($C$5:$WL$5,$WW$5,C460:WL460)</f>
        <v>0</v>
      </c>
      <c r="WX460" s="87">
        <f t="shared" ref="WX460:WX468" si="2334">SUMIF($C$5:$WL$5,$WX$5,C460:WL460)</f>
        <v>0</v>
      </c>
      <c r="WY460" s="87">
        <f t="shared" ref="WY460:WY468" si="2335">SUMIF($C$5:$WL$5,$WY$5,C460:WL460)</f>
        <v>0</v>
      </c>
      <c r="WZ460" s="87">
        <f t="shared" si="2319"/>
        <v>0</v>
      </c>
      <c r="XA460" s="87">
        <f t="shared" si="2320"/>
        <v>0</v>
      </c>
      <c r="XB460" s="92">
        <f t="shared" si="2321"/>
        <v>154467</v>
      </c>
      <c r="XC460" s="92">
        <f t="shared" si="2322"/>
        <v>6178680</v>
      </c>
      <c r="XD460" s="89"/>
      <c r="XE460" s="92"/>
      <c r="XF460" s="92"/>
      <c r="XG460" s="89"/>
      <c r="XH460" s="92"/>
      <c r="XI460" s="92"/>
      <c r="XJ460" s="89"/>
      <c r="XK460" s="87"/>
      <c r="XL460" s="87"/>
      <c r="XM460" s="87"/>
      <c r="XN460" s="87"/>
      <c r="XO460" s="87"/>
      <c r="XP460" s="87"/>
      <c r="XQ460" s="87"/>
      <c r="XR460" s="92">
        <f t="shared" ca="1" si="2317"/>
        <v>0</v>
      </c>
      <c r="XS460" s="89"/>
      <c r="XT460" s="87"/>
      <c r="XU460" s="87"/>
      <c r="XV460" s="87"/>
      <c r="XW460" s="87"/>
      <c r="XX460" s="87"/>
      <c r="XY460" s="87"/>
      <c r="XZ460" s="87"/>
      <c r="YA460" s="92">
        <f t="shared" ca="1" si="2318"/>
        <v>0</v>
      </c>
      <c r="YB460" s="90"/>
      <c r="YC460" s="90"/>
      <c r="YD460" s="90"/>
      <c r="YE460" s="90"/>
      <c r="YF460" s="90"/>
      <c r="YG460" s="90"/>
      <c r="YH460" s="90"/>
      <c r="YI460" s="90"/>
      <c r="YJ460" s="90"/>
      <c r="YK460" s="90"/>
      <c r="YL460" s="90"/>
      <c r="YM460" s="90"/>
      <c r="YN460" s="90"/>
      <c r="YO460" s="90"/>
      <c r="YP460" s="90"/>
      <c r="YQ460" s="90"/>
      <c r="YR460" s="90"/>
      <c r="YS460" s="90"/>
      <c r="YT460" s="90"/>
      <c r="YU460" s="90"/>
      <c r="YV460" s="90"/>
      <c r="YW460" s="90"/>
      <c r="YX460" s="90"/>
      <c r="YY460" s="90"/>
      <c r="YZ460" s="90"/>
      <c r="ZA460" s="90"/>
      <c r="ZB460" s="90"/>
      <c r="ZC460" s="90"/>
      <c r="ZD460" s="90"/>
      <c r="ZE460" s="90"/>
      <c r="ZF460" s="90"/>
      <c r="ZG460" s="90"/>
      <c r="ZH460" s="90"/>
      <c r="ZI460" s="90"/>
      <c r="ZJ460" s="90"/>
      <c r="ZK460" s="90"/>
      <c r="ZL460" s="90"/>
      <c r="ZM460" s="90"/>
      <c r="ZN460" s="90"/>
      <c r="ZO460" s="90"/>
      <c r="ZP460" s="90"/>
      <c r="ZQ460" s="90"/>
      <c r="ZR460" s="90"/>
      <c r="ZS460" s="90"/>
      <c r="ZT460" s="90"/>
      <c r="ZU460" s="90"/>
      <c r="ZV460" s="90"/>
      <c r="ZW460" s="90"/>
      <c r="ZX460" s="90"/>
      <c r="ZY460" s="90"/>
      <c r="ZZ460" s="90"/>
      <c r="AAA460" s="90"/>
      <c r="AAB460" s="90"/>
      <c r="AAC460" s="90"/>
      <c r="AAD460" s="90"/>
      <c r="AAE460" s="90"/>
      <c r="AAF460" s="90"/>
      <c r="AAG460" s="90"/>
      <c r="AAH460" s="90"/>
      <c r="AAI460" s="90"/>
      <c r="AAJ460" s="90"/>
      <c r="AAK460" s="90"/>
      <c r="AAL460" s="90"/>
      <c r="AAM460" s="90"/>
      <c r="AAN460" s="90"/>
      <c r="AAO460" s="90"/>
      <c r="AAP460" s="90"/>
      <c r="AAQ460" s="90"/>
      <c r="AAR460" s="90"/>
      <c r="AAS460" s="90"/>
      <c r="AAT460" s="90"/>
      <c r="AAU460" s="90"/>
      <c r="AAV460" s="90"/>
      <c r="AAW460" s="90"/>
      <c r="AAX460" s="90"/>
      <c r="AAY460" s="90"/>
      <c r="AAZ460" s="90"/>
      <c r="ABA460" s="90"/>
      <c r="ABB460" s="90"/>
      <c r="ABC460" s="90"/>
      <c r="ABD460" s="90"/>
      <c r="ABE460" s="90"/>
      <c r="ABF460" s="90"/>
      <c r="ABG460" s="90"/>
      <c r="ABH460" s="90"/>
      <c r="ABI460" s="90"/>
      <c r="ABJ460" s="90"/>
      <c r="ABK460" s="90"/>
      <c r="ABL460" s="90"/>
      <c r="ABM460" s="90"/>
      <c r="ABN460" s="90"/>
      <c r="ABO460" s="90"/>
      <c r="ABP460" s="90"/>
      <c r="ABQ460" s="90"/>
      <c r="ABR460" s="90"/>
      <c r="ABS460" s="90"/>
      <c r="ABT460" s="90"/>
      <c r="ABU460" s="90"/>
      <c r="ABV460" s="90"/>
      <c r="ABW460" s="90"/>
      <c r="ABX460" s="90"/>
      <c r="ABY460" s="90"/>
      <c r="ABZ460" s="90"/>
      <c r="ACA460" s="90"/>
      <c r="ACB460" s="90"/>
      <c r="ACC460" s="90"/>
      <c r="ACD460" s="90"/>
      <c r="ACE460" s="90"/>
      <c r="ACF460" s="90"/>
      <c r="ACG460" s="90"/>
      <c r="ACH460" s="90"/>
      <c r="ACI460" s="90"/>
      <c r="ACJ460" s="90"/>
      <c r="ACK460" s="90"/>
      <c r="ACL460" s="90"/>
      <c r="ACM460" s="90"/>
      <c r="ACN460" s="90"/>
      <c r="ACO460" s="90"/>
      <c r="ACP460" s="90"/>
      <c r="ACQ460" s="90"/>
      <c r="ACR460" s="90"/>
      <c r="ACS460" s="90"/>
      <c r="ACT460" s="90"/>
      <c r="ACU460" s="90"/>
      <c r="ACV460" s="90"/>
      <c r="ACW460" s="90"/>
      <c r="ACX460" s="90"/>
      <c r="ACY460" s="90"/>
      <c r="ACZ460" s="90"/>
      <c r="ADA460" s="90"/>
      <c r="ADB460" s="90"/>
      <c r="ADC460" s="90"/>
      <c r="ADD460" s="90"/>
      <c r="ADE460" s="90"/>
      <c r="ADF460" s="90"/>
      <c r="ADG460" s="90"/>
      <c r="ADH460" s="90"/>
      <c r="ADI460" s="90"/>
      <c r="ADJ460" s="90"/>
      <c r="ADK460" s="90"/>
      <c r="ADL460" s="90"/>
      <c r="ADM460" s="90"/>
      <c r="ADN460" s="90"/>
      <c r="ADO460" s="90"/>
      <c r="ADP460" s="90"/>
      <c r="ADQ460" s="90"/>
      <c r="ADR460" s="90"/>
      <c r="ADS460" s="90"/>
      <c r="ADT460" s="90"/>
      <c r="ADU460" s="90"/>
      <c r="ADV460" s="90"/>
      <c r="ADW460" s="90"/>
      <c r="ADX460" s="90"/>
      <c r="ADY460" s="90"/>
      <c r="ADZ460" s="90"/>
      <c r="AEA460" s="90"/>
      <c r="AEB460" s="90"/>
      <c r="AEC460" s="90"/>
      <c r="AED460" s="90"/>
      <c r="AEE460" s="90"/>
      <c r="AEF460" s="90"/>
      <c r="AEG460" s="90"/>
      <c r="AEH460" s="90"/>
      <c r="AEI460" s="90"/>
      <c r="AEJ460" s="90"/>
      <c r="AEK460" s="90"/>
      <c r="AEL460" s="90"/>
      <c r="AEM460" s="90"/>
      <c r="AEN460" s="90"/>
      <c r="AEO460" s="90"/>
      <c r="AEP460" s="90"/>
      <c r="AEQ460" s="90"/>
      <c r="AER460" s="90"/>
      <c r="AES460" s="90"/>
      <c r="AET460" s="90"/>
      <c r="AEU460" s="90"/>
      <c r="AEV460" s="90"/>
      <c r="AEW460" s="90"/>
      <c r="AEX460" s="90"/>
      <c r="AEY460" s="90"/>
      <c r="AEZ460" s="90"/>
      <c r="AFA460" s="90"/>
      <c r="AFB460" s="90"/>
      <c r="AFC460" s="90"/>
      <c r="AFD460" s="90"/>
      <c r="AFE460" s="90"/>
      <c r="AFF460" s="90"/>
      <c r="AFG460" s="90"/>
      <c r="AFH460" s="90"/>
      <c r="AFI460" s="90"/>
      <c r="AFJ460" s="90"/>
      <c r="AFK460" s="90"/>
      <c r="AFL460" s="90"/>
      <c r="AFM460" s="90"/>
      <c r="AFN460" s="90"/>
      <c r="AFO460" s="90"/>
      <c r="AFP460" s="90"/>
      <c r="AFQ460" s="90"/>
      <c r="AFR460" s="90"/>
      <c r="AFS460" s="90"/>
      <c r="AFT460" s="90"/>
      <c r="AFU460" s="90"/>
      <c r="AFV460" s="90"/>
      <c r="AFW460" s="90"/>
      <c r="AFX460" s="90"/>
      <c r="AFY460" s="90"/>
      <c r="AFZ460" s="90"/>
      <c r="AGA460" s="90"/>
      <c r="AGB460" s="90"/>
      <c r="AGC460" s="90"/>
      <c r="AGD460" s="90"/>
      <c r="AGE460" s="90"/>
      <c r="AGF460" s="90"/>
      <c r="AGG460" s="90"/>
      <c r="AGH460" s="90"/>
      <c r="AGI460" s="90"/>
      <c r="AGJ460" s="90"/>
      <c r="AGK460" s="90"/>
      <c r="AGL460" s="90"/>
      <c r="AGM460" s="90"/>
      <c r="AGN460" s="90"/>
      <c r="AGO460" s="90"/>
      <c r="AGP460" s="90"/>
      <c r="AGQ460" s="90"/>
      <c r="AGR460" s="90"/>
      <c r="AGS460" s="90"/>
      <c r="AGT460" s="90"/>
      <c r="AGU460" s="90"/>
      <c r="AGV460" s="90"/>
      <c r="AGW460" s="90"/>
      <c r="AGX460" s="90"/>
      <c r="AGY460" s="90"/>
      <c r="AGZ460" s="90"/>
      <c r="AHA460" s="90"/>
      <c r="AHB460" s="90"/>
      <c r="AHC460" s="90"/>
      <c r="AHD460" s="90"/>
      <c r="AHE460" s="90"/>
      <c r="AHF460" s="90"/>
      <c r="AHG460" s="90"/>
      <c r="AHH460" s="90"/>
      <c r="AHI460" s="90"/>
      <c r="AHJ460" s="90"/>
      <c r="AHK460" s="90"/>
      <c r="AHL460" s="90"/>
      <c r="AHM460" s="90"/>
      <c r="AHN460" s="90"/>
      <c r="AHO460" s="90"/>
      <c r="AHP460" s="90"/>
      <c r="AHQ460" s="90"/>
      <c r="AHR460" s="90"/>
      <c r="AHS460" s="90"/>
      <c r="AHT460" s="90"/>
      <c r="AHU460" s="90"/>
      <c r="AHV460" s="90"/>
      <c r="AHW460" s="90"/>
      <c r="AHX460" s="90"/>
      <c r="AHY460" s="90"/>
      <c r="AHZ460" s="90"/>
      <c r="AIA460" s="90"/>
      <c r="AIB460" s="90"/>
      <c r="AIC460" s="90"/>
      <c r="AID460" s="90"/>
      <c r="AIE460" s="90"/>
      <c r="AIF460" s="90"/>
      <c r="AIG460" s="90"/>
      <c r="AIH460" s="90"/>
      <c r="AII460" s="90"/>
      <c r="AIJ460" s="90"/>
      <c r="AIK460" s="90"/>
      <c r="AIL460" s="90"/>
      <c r="AIM460" s="90"/>
      <c r="AIN460" s="90"/>
      <c r="AIO460" s="90"/>
      <c r="AIP460" s="90"/>
      <c r="AIQ460" s="90"/>
      <c r="AIR460" s="90"/>
      <c r="AIS460" s="90"/>
      <c r="AIT460" s="90"/>
      <c r="AIU460" s="90"/>
      <c r="AIV460" s="90"/>
      <c r="AIW460" s="90"/>
      <c r="AIX460" s="90"/>
      <c r="AIY460" s="90"/>
      <c r="AIZ460" s="90"/>
      <c r="AJA460" s="90"/>
      <c r="AJB460" s="90"/>
      <c r="AJC460" s="90"/>
      <c r="AJD460" s="90"/>
      <c r="AJE460" s="90"/>
      <c r="AJF460" s="90"/>
      <c r="AJG460" s="90"/>
      <c r="AJH460" s="90"/>
      <c r="AJI460" s="90"/>
      <c r="AJJ460" s="90"/>
      <c r="AJK460" s="90"/>
      <c r="AJL460" s="90"/>
      <c r="AJM460" s="90"/>
      <c r="AJN460" s="90"/>
      <c r="AJO460" s="90"/>
      <c r="AJP460" s="90"/>
      <c r="AJQ460" s="90"/>
      <c r="AJR460" s="90"/>
      <c r="AJS460" s="90"/>
      <c r="AJT460" s="90"/>
      <c r="AJU460" s="90"/>
      <c r="AJV460" s="90"/>
      <c r="AJW460" s="90"/>
      <c r="AJX460" s="90"/>
      <c r="AJY460" s="90"/>
      <c r="AJZ460" s="90"/>
      <c r="AKA460" s="90"/>
      <c r="AKB460" s="90"/>
      <c r="AKC460" s="90"/>
      <c r="AKD460" s="90"/>
      <c r="AKE460" s="90"/>
      <c r="AKF460" s="90"/>
      <c r="AKG460" s="90"/>
      <c r="AKH460" s="90"/>
      <c r="AKI460" s="90"/>
      <c r="AKJ460" s="90"/>
      <c r="AKK460" s="90"/>
      <c r="AKL460" s="90"/>
      <c r="AKM460" s="90"/>
      <c r="AKN460" s="90"/>
      <c r="AKO460" s="90"/>
      <c r="AKP460" s="90"/>
      <c r="AKQ460" s="90"/>
      <c r="AKR460" s="90"/>
      <c r="AKS460" s="90"/>
      <c r="AKT460" s="90"/>
      <c r="AKU460" s="90"/>
      <c r="AKV460" s="90"/>
      <c r="AKW460" s="90"/>
      <c r="AKX460" s="90"/>
      <c r="AKY460" s="90"/>
      <c r="AKZ460" s="90"/>
      <c r="ALA460" s="90"/>
      <c r="ALB460" s="90"/>
      <c r="ALC460" s="90"/>
      <c r="ALD460" s="90"/>
      <c r="ALE460" s="90"/>
      <c r="ALF460" s="90"/>
      <c r="ALG460" s="90"/>
      <c r="ALH460" s="90"/>
      <c r="ALI460" s="90"/>
      <c r="ALJ460" s="90"/>
      <c r="ALK460" s="90"/>
      <c r="ALL460" s="90"/>
      <c r="ALM460" s="90"/>
      <c r="ALN460" s="90"/>
      <c r="ALO460" s="90"/>
      <c r="ALP460" s="90"/>
      <c r="ALQ460" s="90"/>
      <c r="ALR460" s="90"/>
      <c r="ALS460" s="90"/>
      <c r="ALT460" s="90"/>
      <c r="ALU460" s="90"/>
      <c r="ALV460" s="90"/>
      <c r="ALW460" s="90"/>
      <c r="ALX460" s="90"/>
      <c r="ALY460" s="90"/>
      <c r="ALZ460" s="90"/>
      <c r="AMA460" s="90"/>
      <c r="AMB460" s="90"/>
      <c r="AMC460" s="90"/>
    </row>
    <row r="461" spans="1:1017">
      <c r="A461" s="98" t="s">
        <v>56</v>
      </c>
      <c r="B461" s="90" t="str">
        <f t="shared" si="2323"/>
        <v xml:space="preserve">Belut Sawah </v>
      </c>
      <c r="Q461" s="91">
        <f t="shared" si="2225"/>
        <v>0</v>
      </c>
      <c r="R461" s="91">
        <f t="shared" si="2226"/>
        <v>0</v>
      </c>
      <c r="AG461" s="91">
        <f t="shared" si="2227"/>
        <v>0</v>
      </c>
      <c r="AH461" s="91">
        <f t="shared" si="2228"/>
        <v>0</v>
      </c>
      <c r="AW461" s="91">
        <f t="shared" si="2229"/>
        <v>0</v>
      </c>
      <c r="AX461" s="91">
        <f t="shared" si="2230"/>
        <v>0</v>
      </c>
      <c r="BM461" s="91">
        <f t="shared" si="2231"/>
        <v>0</v>
      </c>
      <c r="BN461" s="91">
        <f t="shared" si="2232"/>
        <v>0</v>
      </c>
      <c r="CC461" s="91">
        <f t="shared" si="2233"/>
        <v>0</v>
      </c>
      <c r="CD461" s="91">
        <f t="shared" si="2234"/>
        <v>0</v>
      </c>
      <c r="CS461" s="91">
        <f t="shared" si="2235"/>
        <v>0</v>
      </c>
      <c r="CT461" s="91">
        <f t="shared" si="2236"/>
        <v>0</v>
      </c>
      <c r="DI461" s="91">
        <f t="shared" si="2237"/>
        <v>0</v>
      </c>
      <c r="DJ461" s="91">
        <f t="shared" si="2238"/>
        <v>0</v>
      </c>
      <c r="DY461" s="91">
        <f t="shared" si="2239"/>
        <v>0</v>
      </c>
      <c r="DZ461" s="91">
        <f t="shared" si="2240"/>
        <v>0</v>
      </c>
      <c r="EO461" s="91">
        <f t="shared" si="2241"/>
        <v>0</v>
      </c>
      <c r="EP461" s="91">
        <f t="shared" si="2242"/>
        <v>0</v>
      </c>
      <c r="FE461" s="91">
        <f t="shared" si="2243"/>
        <v>0</v>
      </c>
      <c r="FF461" s="91">
        <f t="shared" si="2244"/>
        <v>0</v>
      </c>
      <c r="FU461" s="91">
        <f t="shared" si="2245"/>
        <v>0</v>
      </c>
      <c r="FV461" s="91">
        <f t="shared" si="2246"/>
        <v>0</v>
      </c>
      <c r="GK461" s="91">
        <f t="shared" si="2247"/>
        <v>0</v>
      </c>
      <c r="GL461" s="91">
        <f t="shared" si="2248"/>
        <v>0</v>
      </c>
      <c r="HA461" s="91">
        <f t="shared" si="2249"/>
        <v>0</v>
      </c>
      <c r="HB461" s="91">
        <f t="shared" si="2250"/>
        <v>0</v>
      </c>
      <c r="HQ461" s="91">
        <f t="shared" si="2251"/>
        <v>0</v>
      </c>
      <c r="HR461" s="91">
        <f t="shared" si="2252"/>
        <v>0</v>
      </c>
      <c r="IG461" s="91">
        <f t="shared" si="2253"/>
        <v>0</v>
      </c>
      <c r="IH461" s="91">
        <f t="shared" si="2254"/>
        <v>0</v>
      </c>
      <c r="IW461" s="91">
        <f t="shared" si="2255"/>
        <v>0</v>
      </c>
      <c r="IX461" s="91">
        <f t="shared" si="2256"/>
        <v>0</v>
      </c>
      <c r="JM461" s="91">
        <f t="shared" si="2257"/>
        <v>0</v>
      </c>
      <c r="JN461" s="91">
        <f t="shared" si="2258"/>
        <v>0</v>
      </c>
      <c r="JU461" s="98">
        <v>125</v>
      </c>
      <c r="JV461" s="98">
        <v>9375</v>
      </c>
      <c r="KC461" s="91">
        <f t="shared" si="2259"/>
        <v>125</v>
      </c>
      <c r="KD461" s="91">
        <f t="shared" si="2260"/>
        <v>9375</v>
      </c>
      <c r="KS461" s="91">
        <f t="shared" si="2261"/>
        <v>0</v>
      </c>
      <c r="KT461" s="91">
        <f t="shared" si="2262"/>
        <v>0</v>
      </c>
      <c r="LI461" s="91">
        <f t="shared" si="2263"/>
        <v>0</v>
      </c>
      <c r="LJ461" s="91">
        <f t="shared" si="2264"/>
        <v>0</v>
      </c>
      <c r="LY461" s="91">
        <f t="shared" si="2265"/>
        <v>0</v>
      </c>
      <c r="LZ461" s="91">
        <f t="shared" si="2266"/>
        <v>0</v>
      </c>
      <c r="MO461" s="91">
        <f t="shared" si="2267"/>
        <v>0</v>
      </c>
      <c r="MP461" s="91">
        <f t="shared" si="2268"/>
        <v>0</v>
      </c>
      <c r="NE461" s="91">
        <f t="shared" si="2269"/>
        <v>0</v>
      </c>
      <c r="NF461" s="91">
        <f t="shared" si="2270"/>
        <v>0</v>
      </c>
      <c r="NU461" s="91">
        <f t="shared" si="2271"/>
        <v>0</v>
      </c>
      <c r="NV461" s="91">
        <f t="shared" si="2272"/>
        <v>0</v>
      </c>
      <c r="OK461" s="91">
        <f t="shared" si="2273"/>
        <v>0</v>
      </c>
      <c r="OL461" s="91">
        <f t="shared" si="2274"/>
        <v>0</v>
      </c>
      <c r="PA461" s="91">
        <f t="shared" si="2275"/>
        <v>0</v>
      </c>
      <c r="PB461" s="91">
        <f t="shared" si="2276"/>
        <v>0</v>
      </c>
      <c r="PQ461" s="91">
        <f t="shared" si="2277"/>
        <v>0</v>
      </c>
      <c r="PR461" s="91">
        <f t="shared" si="2278"/>
        <v>0</v>
      </c>
      <c r="QG461" s="91">
        <f t="shared" si="2279"/>
        <v>0</v>
      </c>
      <c r="QH461" s="91">
        <f t="shared" si="2280"/>
        <v>0</v>
      </c>
      <c r="QW461" s="91">
        <f t="shared" si="2281"/>
        <v>0</v>
      </c>
      <c r="QX461" s="91">
        <f t="shared" si="2282"/>
        <v>0</v>
      </c>
      <c r="RM461" s="91">
        <f t="shared" si="2283"/>
        <v>0</v>
      </c>
      <c r="RN461" s="91">
        <f t="shared" si="2284"/>
        <v>0</v>
      </c>
      <c r="SC461" s="91">
        <f t="shared" si="2285"/>
        <v>0</v>
      </c>
      <c r="SD461" s="91">
        <f t="shared" si="2286"/>
        <v>0</v>
      </c>
      <c r="SS461" s="91">
        <f t="shared" si="2287"/>
        <v>0</v>
      </c>
      <c r="ST461" s="91">
        <f t="shared" si="2288"/>
        <v>0</v>
      </c>
      <c r="TI461" s="91">
        <f t="shared" si="2289"/>
        <v>0</v>
      </c>
      <c r="TJ461" s="91">
        <f t="shared" si="2290"/>
        <v>0</v>
      </c>
      <c r="TY461" s="91">
        <f t="shared" si="2291"/>
        <v>0</v>
      </c>
      <c r="TZ461" s="91">
        <f t="shared" si="2292"/>
        <v>0</v>
      </c>
      <c r="UO461" s="91">
        <f t="shared" si="2293"/>
        <v>0</v>
      </c>
      <c r="UP461" s="91">
        <f t="shared" si="2294"/>
        <v>0</v>
      </c>
      <c r="VE461" s="91">
        <f t="shared" si="2295"/>
        <v>0</v>
      </c>
      <c r="VF461" s="91">
        <f t="shared" si="2296"/>
        <v>0</v>
      </c>
      <c r="VU461" s="91">
        <f t="shared" si="2297"/>
        <v>0</v>
      </c>
      <c r="VV461" s="91">
        <f t="shared" si="2298"/>
        <v>0</v>
      </c>
      <c r="WK461" s="91">
        <f t="shared" si="2299"/>
        <v>0</v>
      </c>
      <c r="WL461" s="91">
        <f t="shared" si="2300"/>
        <v>0</v>
      </c>
      <c r="WM461" s="89"/>
      <c r="WN461" s="87">
        <f t="shared" si="2324"/>
        <v>0</v>
      </c>
      <c r="WO461" s="87">
        <f t="shared" si="2325"/>
        <v>0</v>
      </c>
      <c r="WP461" s="87">
        <f t="shared" si="2326"/>
        <v>0</v>
      </c>
      <c r="WQ461" s="87">
        <f t="shared" si="2327"/>
        <v>0</v>
      </c>
      <c r="WR461" s="87">
        <f t="shared" si="2328"/>
        <v>0</v>
      </c>
      <c r="WS461" s="87">
        <f t="shared" si="2329"/>
        <v>0</v>
      </c>
      <c r="WT461" s="87">
        <f t="shared" si="2330"/>
        <v>125</v>
      </c>
      <c r="WU461" s="87">
        <f t="shared" si="2331"/>
        <v>9375</v>
      </c>
      <c r="WV461" s="87">
        <f t="shared" si="2332"/>
        <v>0</v>
      </c>
      <c r="WW461" s="87">
        <f t="shared" si="2333"/>
        <v>0</v>
      </c>
      <c r="WX461" s="87">
        <f t="shared" si="2334"/>
        <v>0</v>
      </c>
      <c r="WY461" s="87">
        <f t="shared" si="2335"/>
        <v>0</v>
      </c>
      <c r="WZ461" s="87">
        <f t="shared" si="2319"/>
        <v>0</v>
      </c>
      <c r="XA461" s="87">
        <f t="shared" si="2320"/>
        <v>0</v>
      </c>
      <c r="XB461" s="92">
        <f t="shared" si="2321"/>
        <v>125</v>
      </c>
      <c r="XC461" s="92">
        <f t="shared" si="2322"/>
        <v>9375</v>
      </c>
      <c r="XD461" s="89"/>
      <c r="XE461" s="92"/>
      <c r="XF461" s="92"/>
      <c r="XG461" s="89"/>
      <c r="XH461" s="92"/>
      <c r="XI461" s="92"/>
      <c r="XJ461" s="89"/>
      <c r="XK461" s="87"/>
      <c r="XL461" s="87"/>
      <c r="XM461" s="87"/>
      <c r="XN461" s="87"/>
      <c r="XO461" s="87"/>
      <c r="XP461" s="87"/>
      <c r="XQ461" s="87"/>
      <c r="XR461" s="92">
        <f t="shared" ca="1" si="2317"/>
        <v>0</v>
      </c>
      <c r="XS461" s="89"/>
      <c r="XT461" s="87"/>
      <c r="XU461" s="87"/>
      <c r="XV461" s="87"/>
      <c r="XW461" s="87"/>
      <c r="XX461" s="87"/>
      <c r="XY461" s="87"/>
      <c r="XZ461" s="87"/>
      <c r="YA461" s="92">
        <f t="shared" ca="1" si="2318"/>
        <v>0</v>
      </c>
      <c r="YB461" s="90"/>
      <c r="YC461" s="90"/>
      <c r="YD461" s="90"/>
      <c r="YE461" s="90"/>
      <c r="YF461" s="90"/>
      <c r="YG461" s="90"/>
      <c r="YH461" s="90"/>
      <c r="YI461" s="90"/>
      <c r="YJ461" s="90"/>
      <c r="YK461" s="90"/>
      <c r="YL461" s="90"/>
      <c r="YM461" s="90"/>
      <c r="YN461" s="90"/>
      <c r="YO461" s="90"/>
      <c r="YP461" s="90"/>
      <c r="YQ461" s="90"/>
      <c r="YR461" s="90"/>
      <c r="YS461" s="90"/>
      <c r="YT461" s="90"/>
      <c r="YU461" s="90"/>
      <c r="YV461" s="90"/>
      <c r="YW461" s="90"/>
      <c r="YX461" s="90"/>
      <c r="YY461" s="90"/>
      <c r="YZ461" s="90"/>
      <c r="ZA461" s="90"/>
      <c r="ZB461" s="90"/>
      <c r="ZC461" s="90"/>
      <c r="ZD461" s="90"/>
      <c r="ZE461" s="90"/>
      <c r="ZF461" s="90"/>
      <c r="ZG461" s="90"/>
      <c r="ZH461" s="90"/>
      <c r="ZI461" s="90"/>
      <c r="ZJ461" s="90"/>
      <c r="ZK461" s="90"/>
      <c r="ZL461" s="90"/>
      <c r="ZM461" s="90"/>
      <c r="ZN461" s="90"/>
      <c r="ZO461" s="90"/>
      <c r="ZP461" s="90"/>
      <c r="ZQ461" s="90"/>
      <c r="ZR461" s="90"/>
      <c r="ZS461" s="90"/>
      <c r="ZT461" s="90"/>
      <c r="ZU461" s="90"/>
      <c r="ZV461" s="90"/>
      <c r="ZW461" s="90"/>
      <c r="ZX461" s="90"/>
      <c r="ZY461" s="90"/>
      <c r="ZZ461" s="90"/>
      <c r="AAA461" s="90"/>
      <c r="AAB461" s="90"/>
      <c r="AAC461" s="90"/>
      <c r="AAD461" s="90"/>
      <c r="AAE461" s="90"/>
      <c r="AAF461" s="90"/>
      <c r="AAG461" s="90"/>
      <c r="AAH461" s="90"/>
      <c r="AAI461" s="90"/>
      <c r="AAJ461" s="90"/>
      <c r="AAK461" s="90"/>
      <c r="AAL461" s="90"/>
      <c r="AAM461" s="90"/>
      <c r="AAN461" s="90"/>
      <c r="AAO461" s="90"/>
      <c r="AAP461" s="90"/>
      <c r="AAQ461" s="90"/>
      <c r="AAR461" s="90"/>
      <c r="AAS461" s="90"/>
      <c r="AAT461" s="90"/>
      <c r="AAU461" s="90"/>
      <c r="AAV461" s="90"/>
      <c r="AAW461" s="90"/>
      <c r="AAX461" s="90"/>
      <c r="AAY461" s="90"/>
      <c r="AAZ461" s="90"/>
      <c r="ABA461" s="90"/>
      <c r="ABB461" s="90"/>
      <c r="ABC461" s="90"/>
      <c r="ABD461" s="90"/>
      <c r="ABE461" s="90"/>
      <c r="ABF461" s="90"/>
      <c r="ABG461" s="90"/>
      <c r="ABH461" s="90"/>
      <c r="ABI461" s="90"/>
      <c r="ABJ461" s="90"/>
      <c r="ABK461" s="90"/>
      <c r="ABL461" s="90"/>
      <c r="ABM461" s="90"/>
      <c r="ABN461" s="90"/>
      <c r="ABO461" s="90"/>
      <c r="ABP461" s="90"/>
      <c r="ABQ461" s="90"/>
      <c r="ABR461" s="90"/>
      <c r="ABS461" s="90"/>
      <c r="ABT461" s="90"/>
      <c r="ABU461" s="90"/>
      <c r="ABV461" s="90"/>
      <c r="ABW461" s="90"/>
      <c r="ABX461" s="90"/>
      <c r="ABY461" s="90"/>
      <c r="ABZ461" s="90"/>
      <c r="ACA461" s="90"/>
      <c r="ACB461" s="90"/>
      <c r="ACC461" s="90"/>
      <c r="ACD461" s="90"/>
      <c r="ACE461" s="90"/>
      <c r="ACF461" s="90"/>
      <c r="ACG461" s="90"/>
      <c r="ACH461" s="90"/>
      <c r="ACI461" s="90"/>
      <c r="ACJ461" s="90"/>
      <c r="ACK461" s="90"/>
      <c r="ACL461" s="90"/>
      <c r="ACM461" s="90"/>
      <c r="ACN461" s="90"/>
      <c r="ACO461" s="90"/>
      <c r="ACP461" s="90"/>
      <c r="ACQ461" s="90"/>
      <c r="ACR461" s="90"/>
      <c r="ACS461" s="90"/>
      <c r="ACT461" s="90"/>
      <c r="ACU461" s="90"/>
      <c r="ACV461" s="90"/>
      <c r="ACW461" s="90"/>
      <c r="ACX461" s="90"/>
      <c r="ACY461" s="90"/>
      <c r="ACZ461" s="90"/>
      <c r="ADA461" s="90"/>
      <c r="ADB461" s="90"/>
      <c r="ADC461" s="90"/>
      <c r="ADD461" s="90"/>
      <c r="ADE461" s="90"/>
      <c r="ADF461" s="90"/>
      <c r="ADG461" s="90"/>
      <c r="ADH461" s="90"/>
      <c r="ADI461" s="90"/>
      <c r="ADJ461" s="90"/>
      <c r="ADK461" s="90"/>
      <c r="ADL461" s="90"/>
      <c r="ADM461" s="90"/>
      <c r="ADN461" s="90"/>
      <c r="ADO461" s="90"/>
      <c r="ADP461" s="90"/>
      <c r="ADQ461" s="90"/>
      <c r="ADR461" s="90"/>
      <c r="ADS461" s="90"/>
      <c r="ADT461" s="90"/>
      <c r="ADU461" s="90"/>
      <c r="ADV461" s="90"/>
      <c r="ADW461" s="90"/>
      <c r="ADX461" s="90"/>
      <c r="ADY461" s="90"/>
      <c r="ADZ461" s="90"/>
      <c r="AEA461" s="90"/>
      <c r="AEB461" s="90"/>
      <c r="AEC461" s="90"/>
      <c r="AED461" s="90"/>
      <c r="AEE461" s="90"/>
      <c r="AEF461" s="90"/>
      <c r="AEG461" s="90"/>
      <c r="AEH461" s="90"/>
      <c r="AEI461" s="90"/>
      <c r="AEJ461" s="90"/>
      <c r="AEK461" s="90"/>
      <c r="AEL461" s="90"/>
      <c r="AEM461" s="90"/>
      <c r="AEN461" s="90"/>
      <c r="AEO461" s="90"/>
      <c r="AEP461" s="90"/>
      <c r="AEQ461" s="90"/>
      <c r="AER461" s="90"/>
      <c r="AES461" s="90"/>
      <c r="AET461" s="90"/>
      <c r="AEU461" s="90"/>
      <c r="AEV461" s="90"/>
      <c r="AEW461" s="90"/>
      <c r="AEX461" s="90"/>
      <c r="AEY461" s="90"/>
      <c r="AEZ461" s="90"/>
      <c r="AFA461" s="90"/>
      <c r="AFB461" s="90"/>
      <c r="AFC461" s="90"/>
      <c r="AFD461" s="90"/>
      <c r="AFE461" s="90"/>
      <c r="AFF461" s="90"/>
      <c r="AFG461" s="90"/>
      <c r="AFH461" s="90"/>
      <c r="AFI461" s="90"/>
      <c r="AFJ461" s="90"/>
      <c r="AFK461" s="90"/>
      <c r="AFL461" s="90"/>
      <c r="AFM461" s="90"/>
      <c r="AFN461" s="90"/>
      <c r="AFO461" s="90"/>
      <c r="AFP461" s="90"/>
      <c r="AFQ461" s="90"/>
      <c r="AFR461" s="90"/>
      <c r="AFS461" s="90"/>
      <c r="AFT461" s="90"/>
      <c r="AFU461" s="90"/>
      <c r="AFV461" s="90"/>
      <c r="AFW461" s="90"/>
      <c r="AFX461" s="90"/>
      <c r="AFY461" s="90"/>
      <c r="AFZ461" s="90"/>
      <c r="AGA461" s="90"/>
      <c r="AGB461" s="90"/>
      <c r="AGC461" s="90"/>
      <c r="AGD461" s="90"/>
      <c r="AGE461" s="90"/>
      <c r="AGF461" s="90"/>
      <c r="AGG461" s="90"/>
      <c r="AGH461" s="90"/>
      <c r="AGI461" s="90"/>
      <c r="AGJ461" s="90"/>
      <c r="AGK461" s="90"/>
      <c r="AGL461" s="90"/>
      <c r="AGM461" s="90"/>
      <c r="AGN461" s="90"/>
      <c r="AGO461" s="90"/>
      <c r="AGP461" s="90"/>
      <c r="AGQ461" s="90"/>
      <c r="AGR461" s="90"/>
      <c r="AGS461" s="90"/>
      <c r="AGT461" s="90"/>
      <c r="AGU461" s="90"/>
      <c r="AGV461" s="90"/>
      <c r="AGW461" s="90"/>
      <c r="AGX461" s="90"/>
      <c r="AGY461" s="90"/>
      <c r="AGZ461" s="90"/>
      <c r="AHA461" s="90"/>
      <c r="AHB461" s="90"/>
      <c r="AHC461" s="90"/>
      <c r="AHD461" s="90"/>
      <c r="AHE461" s="90"/>
      <c r="AHF461" s="90"/>
      <c r="AHG461" s="90"/>
      <c r="AHH461" s="90"/>
      <c r="AHI461" s="90"/>
      <c r="AHJ461" s="90"/>
      <c r="AHK461" s="90"/>
      <c r="AHL461" s="90"/>
      <c r="AHM461" s="90"/>
      <c r="AHN461" s="90"/>
      <c r="AHO461" s="90"/>
      <c r="AHP461" s="90"/>
      <c r="AHQ461" s="90"/>
      <c r="AHR461" s="90"/>
      <c r="AHS461" s="90"/>
      <c r="AHT461" s="90"/>
      <c r="AHU461" s="90"/>
      <c r="AHV461" s="90"/>
      <c r="AHW461" s="90"/>
      <c r="AHX461" s="90"/>
      <c r="AHY461" s="90"/>
      <c r="AHZ461" s="90"/>
      <c r="AIA461" s="90"/>
      <c r="AIB461" s="90"/>
      <c r="AIC461" s="90"/>
      <c r="AID461" s="90"/>
      <c r="AIE461" s="90"/>
      <c r="AIF461" s="90"/>
      <c r="AIG461" s="90"/>
      <c r="AIH461" s="90"/>
      <c r="AII461" s="90"/>
      <c r="AIJ461" s="90"/>
      <c r="AIK461" s="90"/>
      <c r="AIL461" s="90"/>
      <c r="AIM461" s="90"/>
      <c r="AIN461" s="90"/>
      <c r="AIO461" s="90"/>
      <c r="AIP461" s="90"/>
      <c r="AIQ461" s="90"/>
      <c r="AIR461" s="90"/>
      <c r="AIS461" s="90"/>
      <c r="AIT461" s="90"/>
      <c r="AIU461" s="90"/>
      <c r="AIV461" s="90"/>
      <c r="AIW461" s="90"/>
      <c r="AIX461" s="90"/>
      <c r="AIY461" s="90"/>
      <c r="AIZ461" s="90"/>
      <c r="AJA461" s="90"/>
      <c r="AJB461" s="90"/>
      <c r="AJC461" s="90"/>
      <c r="AJD461" s="90"/>
      <c r="AJE461" s="90"/>
      <c r="AJF461" s="90"/>
      <c r="AJG461" s="90"/>
      <c r="AJH461" s="90"/>
      <c r="AJI461" s="90"/>
      <c r="AJJ461" s="90"/>
      <c r="AJK461" s="90"/>
      <c r="AJL461" s="90"/>
      <c r="AJM461" s="90"/>
      <c r="AJN461" s="90"/>
      <c r="AJO461" s="90"/>
      <c r="AJP461" s="90"/>
      <c r="AJQ461" s="90"/>
      <c r="AJR461" s="90"/>
      <c r="AJS461" s="90"/>
      <c r="AJT461" s="90"/>
      <c r="AJU461" s="90"/>
      <c r="AJV461" s="90"/>
      <c r="AJW461" s="90"/>
      <c r="AJX461" s="90"/>
      <c r="AJY461" s="90"/>
      <c r="AJZ461" s="90"/>
      <c r="AKA461" s="90"/>
      <c r="AKB461" s="90"/>
      <c r="AKC461" s="90"/>
      <c r="AKD461" s="90"/>
      <c r="AKE461" s="90"/>
      <c r="AKF461" s="90"/>
      <c r="AKG461" s="90"/>
      <c r="AKH461" s="90"/>
      <c r="AKI461" s="90"/>
      <c r="AKJ461" s="90"/>
      <c r="AKK461" s="90"/>
      <c r="AKL461" s="90"/>
      <c r="AKM461" s="90"/>
      <c r="AKN461" s="90"/>
      <c r="AKO461" s="90"/>
      <c r="AKP461" s="90"/>
      <c r="AKQ461" s="90"/>
      <c r="AKR461" s="90"/>
      <c r="AKS461" s="90"/>
      <c r="AKT461" s="90"/>
      <c r="AKU461" s="90"/>
      <c r="AKV461" s="90"/>
      <c r="AKW461" s="90"/>
      <c r="AKX461" s="90"/>
      <c r="AKY461" s="90"/>
      <c r="AKZ461" s="90"/>
      <c r="ALA461" s="90"/>
      <c r="ALB461" s="90"/>
      <c r="ALC461" s="90"/>
      <c r="ALD461" s="90"/>
      <c r="ALE461" s="90"/>
      <c r="ALF461" s="90"/>
      <c r="ALG461" s="90"/>
      <c r="ALH461" s="90"/>
      <c r="ALI461" s="90"/>
      <c r="ALJ461" s="90"/>
      <c r="ALK461" s="90"/>
      <c r="ALL461" s="90"/>
      <c r="ALM461" s="90"/>
      <c r="ALN461" s="90"/>
      <c r="ALO461" s="90"/>
      <c r="ALP461" s="90"/>
      <c r="ALQ461" s="90"/>
      <c r="ALR461" s="90"/>
      <c r="ALS461" s="90"/>
      <c r="ALT461" s="90"/>
      <c r="ALU461" s="90"/>
      <c r="ALV461" s="90"/>
      <c r="ALW461" s="90"/>
      <c r="ALX461" s="90"/>
      <c r="ALY461" s="90"/>
      <c r="ALZ461" s="90"/>
      <c r="AMA461" s="90"/>
      <c r="AMB461" s="90"/>
      <c r="AMC461" s="90"/>
    </row>
    <row r="462" spans="1:1017">
      <c r="A462" s="98" t="s">
        <v>56</v>
      </c>
      <c r="B462" s="90" t="str">
        <f t="shared" si="2323"/>
        <v xml:space="preserve">Udang_04 (Udang Lainnya) </v>
      </c>
      <c r="Q462" s="91">
        <f t="shared" si="2225"/>
        <v>0</v>
      </c>
      <c r="R462" s="91">
        <f t="shared" si="2226"/>
        <v>0</v>
      </c>
      <c r="AG462" s="91">
        <f t="shared" si="2227"/>
        <v>0</v>
      </c>
      <c r="AH462" s="91">
        <f t="shared" si="2228"/>
        <v>0</v>
      </c>
      <c r="AW462" s="91">
        <f t="shared" si="2229"/>
        <v>0</v>
      </c>
      <c r="AX462" s="91">
        <f t="shared" si="2230"/>
        <v>0</v>
      </c>
      <c r="BM462" s="91">
        <f t="shared" si="2231"/>
        <v>0</v>
      </c>
      <c r="BN462" s="91">
        <f t="shared" si="2232"/>
        <v>0</v>
      </c>
      <c r="CC462" s="91">
        <f t="shared" si="2233"/>
        <v>0</v>
      </c>
      <c r="CD462" s="91">
        <f t="shared" si="2234"/>
        <v>0</v>
      </c>
      <c r="CS462" s="91">
        <f t="shared" si="2235"/>
        <v>0</v>
      </c>
      <c r="CT462" s="91">
        <f t="shared" si="2236"/>
        <v>0</v>
      </c>
      <c r="DI462" s="91">
        <f t="shared" si="2237"/>
        <v>0</v>
      </c>
      <c r="DJ462" s="91">
        <f t="shared" si="2238"/>
        <v>0</v>
      </c>
      <c r="DY462" s="91">
        <f t="shared" si="2239"/>
        <v>0</v>
      </c>
      <c r="DZ462" s="91">
        <f t="shared" si="2240"/>
        <v>0</v>
      </c>
      <c r="EO462" s="91">
        <f t="shared" si="2241"/>
        <v>0</v>
      </c>
      <c r="EP462" s="91">
        <f t="shared" si="2242"/>
        <v>0</v>
      </c>
      <c r="FE462" s="91">
        <f t="shared" si="2243"/>
        <v>0</v>
      </c>
      <c r="FF462" s="91">
        <f t="shared" si="2244"/>
        <v>0</v>
      </c>
      <c r="FU462" s="91">
        <f t="shared" si="2245"/>
        <v>0</v>
      </c>
      <c r="FV462" s="91">
        <f t="shared" si="2246"/>
        <v>0</v>
      </c>
      <c r="GK462" s="91">
        <f t="shared" si="2247"/>
        <v>0</v>
      </c>
      <c r="GL462" s="91">
        <f t="shared" si="2248"/>
        <v>0</v>
      </c>
      <c r="HA462" s="91">
        <f t="shared" si="2249"/>
        <v>0</v>
      </c>
      <c r="HB462" s="91">
        <f t="shared" si="2250"/>
        <v>0</v>
      </c>
      <c r="HQ462" s="91">
        <f t="shared" si="2251"/>
        <v>0</v>
      </c>
      <c r="HR462" s="91">
        <f t="shared" si="2252"/>
        <v>0</v>
      </c>
      <c r="IG462" s="91">
        <f t="shared" si="2253"/>
        <v>0</v>
      </c>
      <c r="IH462" s="91">
        <f t="shared" si="2254"/>
        <v>0</v>
      </c>
      <c r="IW462" s="91">
        <f t="shared" si="2255"/>
        <v>0</v>
      </c>
      <c r="IX462" s="91">
        <f t="shared" si="2256"/>
        <v>0</v>
      </c>
      <c r="JM462" s="91">
        <f t="shared" si="2257"/>
        <v>0</v>
      </c>
      <c r="JN462" s="91">
        <f t="shared" si="2258"/>
        <v>0</v>
      </c>
      <c r="KC462" s="91">
        <f t="shared" si="2259"/>
        <v>0</v>
      </c>
      <c r="KD462" s="91">
        <f t="shared" si="2260"/>
        <v>0</v>
      </c>
      <c r="KS462" s="91">
        <f t="shared" si="2261"/>
        <v>0</v>
      </c>
      <c r="KT462" s="91">
        <f t="shared" si="2262"/>
        <v>0</v>
      </c>
      <c r="LI462" s="91">
        <f t="shared" si="2263"/>
        <v>0</v>
      </c>
      <c r="LJ462" s="91">
        <f t="shared" si="2264"/>
        <v>0</v>
      </c>
      <c r="LY462" s="91">
        <f t="shared" si="2265"/>
        <v>0</v>
      </c>
      <c r="LZ462" s="91">
        <f t="shared" si="2266"/>
        <v>0</v>
      </c>
      <c r="MO462" s="91">
        <f t="shared" si="2267"/>
        <v>0</v>
      </c>
      <c r="MP462" s="91">
        <f t="shared" si="2268"/>
        <v>0</v>
      </c>
      <c r="NE462" s="91">
        <f t="shared" si="2269"/>
        <v>0</v>
      </c>
      <c r="NF462" s="91">
        <f t="shared" si="2270"/>
        <v>0</v>
      </c>
      <c r="NU462" s="91">
        <f t="shared" si="2271"/>
        <v>0</v>
      </c>
      <c r="NV462" s="91">
        <f t="shared" si="2272"/>
        <v>0</v>
      </c>
      <c r="OK462" s="91">
        <f t="shared" si="2273"/>
        <v>0</v>
      </c>
      <c r="OL462" s="91">
        <f t="shared" si="2274"/>
        <v>0</v>
      </c>
      <c r="PA462" s="91">
        <f t="shared" si="2275"/>
        <v>0</v>
      </c>
      <c r="PB462" s="91">
        <f t="shared" si="2276"/>
        <v>0</v>
      </c>
      <c r="PQ462" s="91">
        <f t="shared" si="2277"/>
        <v>0</v>
      </c>
      <c r="PR462" s="91">
        <f t="shared" si="2278"/>
        <v>0</v>
      </c>
      <c r="QG462" s="91">
        <f t="shared" si="2279"/>
        <v>0</v>
      </c>
      <c r="QH462" s="91">
        <f t="shared" si="2280"/>
        <v>0</v>
      </c>
      <c r="QW462" s="91">
        <f t="shared" si="2281"/>
        <v>0</v>
      </c>
      <c r="QX462" s="91">
        <f t="shared" si="2282"/>
        <v>0</v>
      </c>
      <c r="RM462" s="91">
        <f t="shared" si="2283"/>
        <v>0</v>
      </c>
      <c r="RN462" s="91">
        <f t="shared" si="2284"/>
        <v>0</v>
      </c>
      <c r="SC462" s="91">
        <f t="shared" si="2285"/>
        <v>0</v>
      </c>
      <c r="SD462" s="91">
        <f t="shared" si="2286"/>
        <v>0</v>
      </c>
      <c r="SS462" s="91">
        <f t="shared" si="2287"/>
        <v>0</v>
      </c>
      <c r="ST462" s="91">
        <f t="shared" si="2288"/>
        <v>0</v>
      </c>
      <c r="TI462" s="91">
        <f t="shared" si="2289"/>
        <v>0</v>
      </c>
      <c r="TJ462" s="91">
        <f t="shared" si="2290"/>
        <v>0</v>
      </c>
      <c r="TY462" s="91">
        <f t="shared" si="2291"/>
        <v>0</v>
      </c>
      <c r="TZ462" s="91">
        <f t="shared" si="2292"/>
        <v>0</v>
      </c>
      <c r="UO462" s="91">
        <f t="shared" si="2293"/>
        <v>0</v>
      </c>
      <c r="UP462" s="91">
        <f t="shared" si="2294"/>
        <v>0</v>
      </c>
      <c r="VE462" s="91">
        <f t="shared" si="2295"/>
        <v>0</v>
      </c>
      <c r="VF462" s="91">
        <f t="shared" si="2296"/>
        <v>0</v>
      </c>
      <c r="VU462" s="91">
        <f t="shared" si="2297"/>
        <v>0</v>
      </c>
      <c r="VV462" s="91">
        <f t="shared" si="2298"/>
        <v>0</v>
      </c>
      <c r="WK462" s="91">
        <f t="shared" si="2299"/>
        <v>0</v>
      </c>
      <c r="WL462" s="91">
        <f t="shared" si="2300"/>
        <v>0</v>
      </c>
      <c r="WM462" s="89"/>
      <c r="WN462" s="87">
        <f t="shared" si="2324"/>
        <v>0</v>
      </c>
      <c r="WO462" s="87">
        <f t="shared" si="2325"/>
        <v>0</v>
      </c>
      <c r="WP462" s="87">
        <f t="shared" si="2326"/>
        <v>0</v>
      </c>
      <c r="WQ462" s="87">
        <f t="shared" si="2327"/>
        <v>0</v>
      </c>
      <c r="WR462" s="87">
        <f t="shared" si="2328"/>
        <v>0</v>
      </c>
      <c r="WS462" s="87">
        <f t="shared" si="2329"/>
        <v>0</v>
      </c>
      <c r="WT462" s="87">
        <f t="shared" si="2330"/>
        <v>0</v>
      </c>
      <c r="WU462" s="87">
        <f t="shared" si="2331"/>
        <v>0</v>
      </c>
      <c r="WV462" s="87">
        <f t="shared" si="2332"/>
        <v>0</v>
      </c>
      <c r="WW462" s="87">
        <f t="shared" si="2333"/>
        <v>0</v>
      </c>
      <c r="WX462" s="87">
        <f t="shared" si="2334"/>
        <v>0</v>
      </c>
      <c r="WY462" s="87">
        <f t="shared" si="2335"/>
        <v>0</v>
      </c>
      <c r="WZ462" s="87">
        <f t="shared" si="2319"/>
        <v>0</v>
      </c>
      <c r="XA462" s="87">
        <f t="shared" si="2320"/>
        <v>0</v>
      </c>
      <c r="XB462" s="92">
        <f t="shared" si="2321"/>
        <v>0</v>
      </c>
      <c r="XC462" s="92">
        <f t="shared" si="2322"/>
        <v>0</v>
      </c>
      <c r="XD462" s="89"/>
      <c r="XE462" s="92"/>
      <c r="XF462" s="92"/>
      <c r="XG462" s="89"/>
      <c r="XH462" s="92"/>
      <c r="XI462" s="92"/>
      <c r="XJ462" s="89"/>
      <c r="XK462" s="87"/>
      <c r="XL462" s="87"/>
      <c r="XM462" s="87"/>
      <c r="XN462" s="87"/>
      <c r="XO462" s="87"/>
      <c r="XP462" s="87"/>
      <c r="XQ462" s="87"/>
      <c r="XR462" s="92">
        <f t="shared" ca="1" si="2317"/>
        <v>0</v>
      </c>
      <c r="XS462" s="89"/>
      <c r="XT462" s="87"/>
      <c r="XU462" s="87"/>
      <c r="XV462" s="87"/>
      <c r="XW462" s="87"/>
      <c r="XX462" s="87"/>
      <c r="XY462" s="87"/>
      <c r="XZ462" s="87"/>
      <c r="YA462" s="92">
        <f t="shared" ca="1" si="2318"/>
        <v>0</v>
      </c>
      <c r="YB462" s="90"/>
      <c r="YC462" s="90"/>
      <c r="YD462" s="90"/>
      <c r="YE462" s="90"/>
      <c r="YF462" s="90"/>
      <c r="YG462" s="90"/>
      <c r="YH462" s="90"/>
      <c r="YI462" s="90"/>
      <c r="YJ462" s="90"/>
      <c r="YK462" s="90"/>
      <c r="YL462" s="90"/>
      <c r="YM462" s="90"/>
      <c r="YN462" s="90"/>
      <c r="YO462" s="90"/>
      <c r="YP462" s="90"/>
      <c r="YQ462" s="90"/>
      <c r="YR462" s="90"/>
      <c r="YS462" s="90"/>
      <c r="YT462" s="90"/>
      <c r="YU462" s="90"/>
      <c r="YV462" s="90"/>
      <c r="YW462" s="90"/>
      <c r="YX462" s="90"/>
      <c r="YY462" s="90"/>
      <c r="YZ462" s="90"/>
      <c r="ZA462" s="90"/>
      <c r="ZB462" s="90"/>
      <c r="ZC462" s="90"/>
      <c r="ZD462" s="90"/>
      <c r="ZE462" s="90"/>
      <c r="ZF462" s="90"/>
      <c r="ZG462" s="90"/>
      <c r="ZH462" s="90"/>
      <c r="ZI462" s="90"/>
      <c r="ZJ462" s="90"/>
      <c r="ZK462" s="90"/>
      <c r="ZL462" s="90"/>
      <c r="ZM462" s="90"/>
      <c r="ZN462" s="90"/>
      <c r="ZO462" s="90"/>
      <c r="ZP462" s="90"/>
      <c r="ZQ462" s="90"/>
      <c r="ZR462" s="90"/>
      <c r="ZS462" s="90"/>
      <c r="ZT462" s="90"/>
      <c r="ZU462" s="90"/>
      <c r="ZV462" s="90"/>
      <c r="ZW462" s="90"/>
      <c r="ZX462" s="90"/>
      <c r="ZY462" s="90"/>
      <c r="ZZ462" s="90"/>
      <c r="AAA462" s="90"/>
      <c r="AAB462" s="90"/>
      <c r="AAC462" s="90"/>
      <c r="AAD462" s="90"/>
      <c r="AAE462" s="90"/>
      <c r="AAF462" s="90"/>
      <c r="AAG462" s="90"/>
      <c r="AAH462" s="90"/>
      <c r="AAI462" s="90"/>
      <c r="AAJ462" s="90"/>
      <c r="AAK462" s="90"/>
      <c r="AAL462" s="90"/>
      <c r="AAM462" s="90"/>
      <c r="AAN462" s="90"/>
      <c r="AAO462" s="90"/>
      <c r="AAP462" s="90"/>
      <c r="AAQ462" s="90"/>
      <c r="AAR462" s="90"/>
      <c r="AAS462" s="90"/>
      <c r="AAT462" s="90"/>
      <c r="AAU462" s="90"/>
      <c r="AAV462" s="90"/>
      <c r="AAW462" s="90"/>
      <c r="AAX462" s="90"/>
      <c r="AAY462" s="90"/>
      <c r="AAZ462" s="90"/>
      <c r="ABA462" s="90"/>
      <c r="ABB462" s="90"/>
      <c r="ABC462" s="90"/>
      <c r="ABD462" s="90"/>
      <c r="ABE462" s="90"/>
      <c r="ABF462" s="90"/>
      <c r="ABG462" s="90"/>
      <c r="ABH462" s="90"/>
      <c r="ABI462" s="90"/>
      <c r="ABJ462" s="90"/>
      <c r="ABK462" s="90"/>
      <c r="ABL462" s="90"/>
      <c r="ABM462" s="90"/>
      <c r="ABN462" s="90"/>
      <c r="ABO462" s="90"/>
      <c r="ABP462" s="90"/>
      <c r="ABQ462" s="90"/>
      <c r="ABR462" s="90"/>
      <c r="ABS462" s="90"/>
      <c r="ABT462" s="90"/>
      <c r="ABU462" s="90"/>
      <c r="ABV462" s="90"/>
      <c r="ABW462" s="90"/>
      <c r="ABX462" s="90"/>
      <c r="ABY462" s="90"/>
      <c r="ABZ462" s="90"/>
      <c r="ACA462" s="90"/>
      <c r="ACB462" s="90"/>
      <c r="ACC462" s="90"/>
      <c r="ACD462" s="90"/>
      <c r="ACE462" s="90"/>
      <c r="ACF462" s="90"/>
      <c r="ACG462" s="90"/>
      <c r="ACH462" s="90"/>
      <c r="ACI462" s="90"/>
      <c r="ACJ462" s="90"/>
      <c r="ACK462" s="90"/>
      <c r="ACL462" s="90"/>
      <c r="ACM462" s="90"/>
      <c r="ACN462" s="90"/>
      <c r="ACO462" s="90"/>
      <c r="ACP462" s="90"/>
      <c r="ACQ462" s="90"/>
      <c r="ACR462" s="90"/>
      <c r="ACS462" s="90"/>
      <c r="ACT462" s="90"/>
      <c r="ACU462" s="90"/>
      <c r="ACV462" s="90"/>
      <c r="ACW462" s="90"/>
      <c r="ACX462" s="90"/>
      <c r="ACY462" s="90"/>
      <c r="ACZ462" s="90"/>
      <c r="ADA462" s="90"/>
      <c r="ADB462" s="90"/>
      <c r="ADC462" s="90"/>
      <c r="ADD462" s="90"/>
      <c r="ADE462" s="90"/>
      <c r="ADF462" s="90"/>
      <c r="ADG462" s="90"/>
      <c r="ADH462" s="90"/>
      <c r="ADI462" s="90"/>
      <c r="ADJ462" s="90"/>
      <c r="ADK462" s="90"/>
      <c r="ADL462" s="90"/>
      <c r="ADM462" s="90"/>
      <c r="ADN462" s="90"/>
      <c r="ADO462" s="90"/>
      <c r="ADP462" s="90"/>
      <c r="ADQ462" s="90"/>
      <c r="ADR462" s="90"/>
      <c r="ADS462" s="90"/>
      <c r="ADT462" s="90"/>
      <c r="ADU462" s="90"/>
      <c r="ADV462" s="90"/>
      <c r="ADW462" s="90"/>
      <c r="ADX462" s="90"/>
      <c r="ADY462" s="90"/>
      <c r="ADZ462" s="90"/>
      <c r="AEA462" s="90"/>
      <c r="AEB462" s="90"/>
      <c r="AEC462" s="90"/>
      <c r="AED462" s="90"/>
      <c r="AEE462" s="90"/>
      <c r="AEF462" s="90"/>
      <c r="AEG462" s="90"/>
      <c r="AEH462" s="90"/>
      <c r="AEI462" s="90"/>
      <c r="AEJ462" s="90"/>
      <c r="AEK462" s="90"/>
      <c r="AEL462" s="90"/>
      <c r="AEM462" s="90"/>
      <c r="AEN462" s="90"/>
      <c r="AEO462" s="90"/>
      <c r="AEP462" s="90"/>
      <c r="AEQ462" s="90"/>
      <c r="AER462" s="90"/>
      <c r="AES462" s="90"/>
      <c r="AET462" s="90"/>
      <c r="AEU462" s="90"/>
      <c r="AEV462" s="90"/>
      <c r="AEW462" s="90"/>
      <c r="AEX462" s="90"/>
      <c r="AEY462" s="90"/>
      <c r="AEZ462" s="90"/>
      <c r="AFA462" s="90"/>
      <c r="AFB462" s="90"/>
      <c r="AFC462" s="90"/>
      <c r="AFD462" s="90"/>
      <c r="AFE462" s="90"/>
      <c r="AFF462" s="90"/>
      <c r="AFG462" s="90"/>
      <c r="AFH462" s="90"/>
      <c r="AFI462" s="90"/>
      <c r="AFJ462" s="90"/>
      <c r="AFK462" s="90"/>
      <c r="AFL462" s="90"/>
      <c r="AFM462" s="90"/>
      <c r="AFN462" s="90"/>
      <c r="AFO462" s="90"/>
      <c r="AFP462" s="90"/>
      <c r="AFQ462" s="90"/>
      <c r="AFR462" s="90"/>
      <c r="AFS462" s="90"/>
      <c r="AFT462" s="90"/>
      <c r="AFU462" s="90"/>
      <c r="AFV462" s="90"/>
      <c r="AFW462" s="90"/>
      <c r="AFX462" s="90"/>
      <c r="AFY462" s="90"/>
      <c r="AFZ462" s="90"/>
      <c r="AGA462" s="90"/>
      <c r="AGB462" s="90"/>
      <c r="AGC462" s="90"/>
      <c r="AGD462" s="90"/>
      <c r="AGE462" s="90"/>
      <c r="AGF462" s="90"/>
      <c r="AGG462" s="90"/>
      <c r="AGH462" s="90"/>
      <c r="AGI462" s="90"/>
      <c r="AGJ462" s="90"/>
      <c r="AGK462" s="90"/>
      <c r="AGL462" s="90"/>
      <c r="AGM462" s="90"/>
      <c r="AGN462" s="90"/>
      <c r="AGO462" s="90"/>
      <c r="AGP462" s="90"/>
      <c r="AGQ462" s="90"/>
      <c r="AGR462" s="90"/>
      <c r="AGS462" s="90"/>
      <c r="AGT462" s="90"/>
      <c r="AGU462" s="90"/>
      <c r="AGV462" s="90"/>
      <c r="AGW462" s="90"/>
      <c r="AGX462" s="90"/>
      <c r="AGY462" s="90"/>
      <c r="AGZ462" s="90"/>
      <c r="AHA462" s="90"/>
      <c r="AHB462" s="90"/>
      <c r="AHC462" s="90"/>
      <c r="AHD462" s="90"/>
      <c r="AHE462" s="90"/>
      <c r="AHF462" s="90"/>
      <c r="AHG462" s="90"/>
      <c r="AHH462" s="90"/>
      <c r="AHI462" s="90"/>
      <c r="AHJ462" s="90"/>
      <c r="AHK462" s="90"/>
      <c r="AHL462" s="90"/>
      <c r="AHM462" s="90"/>
      <c r="AHN462" s="90"/>
      <c r="AHO462" s="90"/>
      <c r="AHP462" s="90"/>
      <c r="AHQ462" s="90"/>
      <c r="AHR462" s="90"/>
      <c r="AHS462" s="90"/>
      <c r="AHT462" s="90"/>
      <c r="AHU462" s="90"/>
      <c r="AHV462" s="90"/>
      <c r="AHW462" s="90"/>
      <c r="AHX462" s="90"/>
      <c r="AHY462" s="90"/>
      <c r="AHZ462" s="90"/>
      <c r="AIA462" s="90"/>
      <c r="AIB462" s="90"/>
      <c r="AIC462" s="90"/>
      <c r="AID462" s="90"/>
      <c r="AIE462" s="90"/>
      <c r="AIF462" s="90"/>
      <c r="AIG462" s="90"/>
      <c r="AIH462" s="90"/>
      <c r="AII462" s="90"/>
      <c r="AIJ462" s="90"/>
      <c r="AIK462" s="90"/>
      <c r="AIL462" s="90"/>
      <c r="AIM462" s="90"/>
      <c r="AIN462" s="90"/>
      <c r="AIO462" s="90"/>
      <c r="AIP462" s="90"/>
      <c r="AIQ462" s="90"/>
      <c r="AIR462" s="90"/>
      <c r="AIS462" s="90"/>
      <c r="AIT462" s="90"/>
      <c r="AIU462" s="90"/>
      <c r="AIV462" s="90"/>
      <c r="AIW462" s="90"/>
      <c r="AIX462" s="90"/>
      <c r="AIY462" s="90"/>
      <c r="AIZ462" s="90"/>
      <c r="AJA462" s="90"/>
      <c r="AJB462" s="90"/>
      <c r="AJC462" s="90"/>
      <c r="AJD462" s="90"/>
      <c r="AJE462" s="90"/>
      <c r="AJF462" s="90"/>
      <c r="AJG462" s="90"/>
      <c r="AJH462" s="90"/>
      <c r="AJI462" s="90"/>
      <c r="AJJ462" s="90"/>
      <c r="AJK462" s="90"/>
      <c r="AJL462" s="90"/>
      <c r="AJM462" s="90"/>
      <c r="AJN462" s="90"/>
      <c r="AJO462" s="90"/>
      <c r="AJP462" s="90"/>
      <c r="AJQ462" s="90"/>
      <c r="AJR462" s="90"/>
      <c r="AJS462" s="90"/>
      <c r="AJT462" s="90"/>
      <c r="AJU462" s="90"/>
      <c r="AJV462" s="90"/>
      <c r="AJW462" s="90"/>
      <c r="AJX462" s="90"/>
      <c r="AJY462" s="90"/>
      <c r="AJZ462" s="90"/>
      <c r="AKA462" s="90"/>
      <c r="AKB462" s="90"/>
      <c r="AKC462" s="90"/>
      <c r="AKD462" s="90"/>
      <c r="AKE462" s="90"/>
      <c r="AKF462" s="90"/>
      <c r="AKG462" s="90"/>
      <c r="AKH462" s="90"/>
      <c r="AKI462" s="90"/>
      <c r="AKJ462" s="90"/>
      <c r="AKK462" s="90"/>
      <c r="AKL462" s="90"/>
      <c r="AKM462" s="90"/>
      <c r="AKN462" s="90"/>
      <c r="AKO462" s="90"/>
      <c r="AKP462" s="90"/>
      <c r="AKQ462" s="90"/>
      <c r="AKR462" s="90"/>
      <c r="AKS462" s="90"/>
      <c r="AKT462" s="90"/>
      <c r="AKU462" s="90"/>
      <c r="AKV462" s="90"/>
      <c r="AKW462" s="90"/>
      <c r="AKX462" s="90"/>
      <c r="AKY462" s="90"/>
      <c r="AKZ462" s="90"/>
      <c r="ALA462" s="90"/>
      <c r="ALB462" s="90"/>
      <c r="ALC462" s="90"/>
      <c r="ALD462" s="90"/>
      <c r="ALE462" s="90"/>
      <c r="ALF462" s="90"/>
      <c r="ALG462" s="90"/>
      <c r="ALH462" s="90"/>
      <c r="ALI462" s="90"/>
      <c r="ALJ462" s="90"/>
      <c r="ALK462" s="90"/>
      <c r="ALL462" s="90"/>
      <c r="ALM462" s="90"/>
      <c r="ALN462" s="90"/>
      <c r="ALO462" s="90"/>
      <c r="ALP462" s="90"/>
      <c r="ALQ462" s="90"/>
      <c r="ALR462" s="90"/>
      <c r="ALS462" s="90"/>
      <c r="ALT462" s="90"/>
      <c r="ALU462" s="90"/>
      <c r="ALV462" s="90"/>
      <c r="ALW462" s="90"/>
      <c r="ALX462" s="90"/>
      <c r="ALY462" s="90"/>
      <c r="ALZ462" s="90"/>
      <c r="AMA462" s="90"/>
      <c r="AMB462" s="90"/>
      <c r="AMC462" s="90"/>
    </row>
    <row r="463" spans="1:1017">
      <c r="A463" s="98" t="s">
        <v>56</v>
      </c>
      <c r="B463" s="90" t="str">
        <f t="shared" si="2323"/>
        <v xml:space="preserve">Udang_05 (Udang Lainnya) </v>
      </c>
      <c r="Q463" s="91">
        <f t="shared" si="2225"/>
        <v>0</v>
      </c>
      <c r="R463" s="91">
        <f t="shared" si="2226"/>
        <v>0</v>
      </c>
      <c r="AG463" s="91">
        <f t="shared" si="2227"/>
        <v>0</v>
      </c>
      <c r="AH463" s="91">
        <f t="shared" si="2228"/>
        <v>0</v>
      </c>
      <c r="AW463" s="91">
        <f t="shared" si="2229"/>
        <v>0</v>
      </c>
      <c r="AX463" s="91">
        <f t="shared" si="2230"/>
        <v>0</v>
      </c>
      <c r="BM463" s="91">
        <f t="shared" si="2231"/>
        <v>0</v>
      </c>
      <c r="BN463" s="91">
        <f t="shared" si="2232"/>
        <v>0</v>
      </c>
      <c r="CC463" s="91">
        <f t="shared" si="2233"/>
        <v>0</v>
      </c>
      <c r="CD463" s="91">
        <f t="shared" si="2234"/>
        <v>0</v>
      </c>
      <c r="CS463" s="91">
        <f t="shared" si="2235"/>
        <v>0</v>
      </c>
      <c r="CT463" s="91">
        <f t="shared" si="2236"/>
        <v>0</v>
      </c>
      <c r="DI463" s="91">
        <f t="shared" si="2237"/>
        <v>0</v>
      </c>
      <c r="DJ463" s="91">
        <f t="shared" si="2238"/>
        <v>0</v>
      </c>
      <c r="DY463" s="91">
        <f t="shared" si="2239"/>
        <v>0</v>
      </c>
      <c r="DZ463" s="91">
        <f t="shared" si="2240"/>
        <v>0</v>
      </c>
      <c r="EO463" s="91">
        <f t="shared" si="2241"/>
        <v>0</v>
      </c>
      <c r="EP463" s="91">
        <f t="shared" si="2242"/>
        <v>0</v>
      </c>
      <c r="FE463" s="91">
        <f t="shared" si="2243"/>
        <v>0</v>
      </c>
      <c r="FF463" s="91">
        <f t="shared" si="2244"/>
        <v>0</v>
      </c>
      <c r="FU463" s="91">
        <f t="shared" si="2245"/>
        <v>0</v>
      </c>
      <c r="FV463" s="91">
        <f t="shared" si="2246"/>
        <v>0</v>
      </c>
      <c r="GK463" s="91">
        <f t="shared" si="2247"/>
        <v>0</v>
      </c>
      <c r="GL463" s="91">
        <f t="shared" si="2248"/>
        <v>0</v>
      </c>
      <c r="HA463" s="91">
        <f t="shared" si="2249"/>
        <v>0</v>
      </c>
      <c r="HB463" s="91">
        <f t="shared" si="2250"/>
        <v>0</v>
      </c>
      <c r="HQ463" s="91">
        <f t="shared" si="2251"/>
        <v>0</v>
      </c>
      <c r="HR463" s="91">
        <f t="shared" si="2252"/>
        <v>0</v>
      </c>
      <c r="IG463" s="91">
        <f t="shared" si="2253"/>
        <v>0</v>
      </c>
      <c r="IH463" s="91">
        <f t="shared" si="2254"/>
        <v>0</v>
      </c>
      <c r="IW463" s="91">
        <f t="shared" si="2255"/>
        <v>0</v>
      </c>
      <c r="IX463" s="91">
        <f t="shared" si="2256"/>
        <v>0</v>
      </c>
      <c r="JM463" s="91">
        <f t="shared" si="2257"/>
        <v>0</v>
      </c>
      <c r="JN463" s="91">
        <f t="shared" si="2258"/>
        <v>0</v>
      </c>
      <c r="KC463" s="91">
        <f t="shared" si="2259"/>
        <v>0</v>
      </c>
      <c r="KD463" s="91">
        <f t="shared" si="2260"/>
        <v>0</v>
      </c>
      <c r="KS463" s="91">
        <f t="shared" si="2261"/>
        <v>0</v>
      </c>
      <c r="KT463" s="91">
        <f t="shared" si="2262"/>
        <v>0</v>
      </c>
      <c r="LI463" s="91">
        <f t="shared" si="2263"/>
        <v>0</v>
      </c>
      <c r="LJ463" s="91">
        <f t="shared" si="2264"/>
        <v>0</v>
      </c>
      <c r="LY463" s="91">
        <f t="shared" si="2265"/>
        <v>0</v>
      </c>
      <c r="LZ463" s="91">
        <f t="shared" si="2266"/>
        <v>0</v>
      </c>
      <c r="MO463" s="91">
        <f t="shared" si="2267"/>
        <v>0</v>
      </c>
      <c r="MP463" s="91">
        <f t="shared" si="2268"/>
        <v>0</v>
      </c>
      <c r="NE463" s="91">
        <f t="shared" si="2269"/>
        <v>0</v>
      </c>
      <c r="NF463" s="91">
        <f t="shared" si="2270"/>
        <v>0</v>
      </c>
      <c r="NU463" s="91">
        <f t="shared" si="2271"/>
        <v>0</v>
      </c>
      <c r="NV463" s="91">
        <f t="shared" si="2272"/>
        <v>0</v>
      </c>
      <c r="OK463" s="91">
        <f t="shared" si="2273"/>
        <v>0</v>
      </c>
      <c r="OL463" s="91">
        <f t="shared" si="2274"/>
        <v>0</v>
      </c>
      <c r="PA463" s="91">
        <f t="shared" si="2275"/>
        <v>0</v>
      </c>
      <c r="PB463" s="91">
        <f t="shared" si="2276"/>
        <v>0</v>
      </c>
      <c r="PQ463" s="91">
        <f t="shared" si="2277"/>
        <v>0</v>
      </c>
      <c r="PR463" s="91">
        <f t="shared" si="2278"/>
        <v>0</v>
      </c>
      <c r="QG463" s="91">
        <f t="shared" si="2279"/>
        <v>0</v>
      </c>
      <c r="QH463" s="91">
        <f t="shared" si="2280"/>
        <v>0</v>
      </c>
      <c r="QW463" s="91">
        <f t="shared" si="2281"/>
        <v>0</v>
      </c>
      <c r="QX463" s="91">
        <f t="shared" si="2282"/>
        <v>0</v>
      </c>
      <c r="RM463" s="91">
        <f t="shared" si="2283"/>
        <v>0</v>
      </c>
      <c r="RN463" s="91">
        <f t="shared" si="2284"/>
        <v>0</v>
      </c>
      <c r="SC463" s="91">
        <f t="shared" si="2285"/>
        <v>0</v>
      </c>
      <c r="SD463" s="91">
        <f t="shared" si="2286"/>
        <v>0</v>
      </c>
      <c r="SS463" s="91">
        <f t="shared" si="2287"/>
        <v>0</v>
      </c>
      <c r="ST463" s="91">
        <f t="shared" si="2288"/>
        <v>0</v>
      </c>
      <c r="TI463" s="91">
        <f t="shared" si="2289"/>
        <v>0</v>
      </c>
      <c r="TJ463" s="91">
        <f t="shared" si="2290"/>
        <v>0</v>
      </c>
      <c r="TY463" s="91">
        <f t="shared" si="2291"/>
        <v>0</v>
      </c>
      <c r="TZ463" s="91">
        <f t="shared" si="2292"/>
        <v>0</v>
      </c>
      <c r="UO463" s="91">
        <f t="shared" si="2293"/>
        <v>0</v>
      </c>
      <c r="UP463" s="91">
        <f t="shared" si="2294"/>
        <v>0</v>
      </c>
      <c r="VE463" s="91">
        <f t="shared" si="2295"/>
        <v>0</v>
      </c>
      <c r="VF463" s="91">
        <f t="shared" si="2296"/>
        <v>0</v>
      </c>
      <c r="VU463" s="91">
        <f t="shared" si="2297"/>
        <v>0</v>
      </c>
      <c r="VV463" s="91">
        <f t="shared" si="2298"/>
        <v>0</v>
      </c>
      <c r="WK463" s="91">
        <f t="shared" si="2299"/>
        <v>0</v>
      </c>
      <c r="WL463" s="91">
        <f t="shared" si="2300"/>
        <v>0</v>
      </c>
      <c r="WM463" s="89"/>
      <c r="WN463" s="87">
        <f t="shared" si="2324"/>
        <v>0</v>
      </c>
      <c r="WO463" s="87">
        <f t="shared" si="2325"/>
        <v>0</v>
      </c>
      <c r="WP463" s="87">
        <f t="shared" si="2326"/>
        <v>0</v>
      </c>
      <c r="WQ463" s="87">
        <f t="shared" si="2327"/>
        <v>0</v>
      </c>
      <c r="WR463" s="87">
        <f t="shared" si="2328"/>
        <v>0</v>
      </c>
      <c r="WS463" s="87">
        <f t="shared" si="2329"/>
        <v>0</v>
      </c>
      <c r="WT463" s="87">
        <f t="shared" si="2330"/>
        <v>0</v>
      </c>
      <c r="WU463" s="87">
        <f t="shared" si="2331"/>
        <v>0</v>
      </c>
      <c r="WV463" s="87">
        <f t="shared" si="2332"/>
        <v>0</v>
      </c>
      <c r="WW463" s="87">
        <f t="shared" si="2333"/>
        <v>0</v>
      </c>
      <c r="WX463" s="87">
        <f t="shared" si="2334"/>
        <v>0</v>
      </c>
      <c r="WY463" s="87">
        <f t="shared" si="2335"/>
        <v>0</v>
      </c>
      <c r="WZ463" s="87">
        <f t="shared" si="2319"/>
        <v>0</v>
      </c>
      <c r="XA463" s="87">
        <f t="shared" si="2320"/>
        <v>0</v>
      </c>
      <c r="XB463" s="92">
        <f t="shared" si="2321"/>
        <v>0</v>
      </c>
      <c r="XC463" s="92">
        <f t="shared" si="2322"/>
        <v>0</v>
      </c>
      <c r="XD463" s="89"/>
      <c r="XE463" s="92"/>
      <c r="XF463" s="92"/>
      <c r="XG463" s="89"/>
      <c r="XH463" s="92"/>
      <c r="XI463" s="92"/>
      <c r="XJ463" s="89"/>
      <c r="XK463" s="87"/>
      <c r="XL463" s="87"/>
      <c r="XM463" s="87"/>
      <c r="XN463" s="87"/>
      <c r="XO463" s="87"/>
      <c r="XP463" s="87"/>
      <c r="XQ463" s="87"/>
      <c r="XR463" s="92">
        <f t="shared" ca="1" si="2317"/>
        <v>0</v>
      </c>
      <c r="XS463" s="89"/>
      <c r="XT463" s="87"/>
      <c r="XU463" s="87"/>
      <c r="XV463" s="87"/>
      <c r="XW463" s="87"/>
      <c r="XX463" s="87"/>
      <c r="XY463" s="87"/>
      <c r="XZ463" s="87"/>
      <c r="YA463" s="92">
        <f t="shared" ca="1" si="2318"/>
        <v>0</v>
      </c>
      <c r="YB463" s="90"/>
      <c r="YC463" s="90"/>
      <c r="YD463" s="90"/>
      <c r="YE463" s="90"/>
      <c r="YF463" s="90"/>
      <c r="YG463" s="90"/>
      <c r="YH463" s="90"/>
      <c r="YI463" s="90"/>
      <c r="YJ463" s="90"/>
      <c r="YK463" s="90"/>
      <c r="YL463" s="90"/>
      <c r="YM463" s="90"/>
      <c r="YN463" s="90"/>
      <c r="YO463" s="90"/>
      <c r="YP463" s="90"/>
      <c r="YQ463" s="90"/>
      <c r="YR463" s="90"/>
      <c r="YS463" s="90"/>
      <c r="YT463" s="90"/>
      <c r="YU463" s="90"/>
      <c r="YV463" s="90"/>
      <c r="YW463" s="90"/>
      <c r="YX463" s="90"/>
      <c r="YY463" s="90"/>
      <c r="YZ463" s="90"/>
      <c r="ZA463" s="90"/>
      <c r="ZB463" s="90"/>
      <c r="ZC463" s="90"/>
      <c r="ZD463" s="90"/>
      <c r="ZE463" s="90"/>
      <c r="ZF463" s="90"/>
      <c r="ZG463" s="90"/>
      <c r="ZH463" s="90"/>
      <c r="ZI463" s="90"/>
      <c r="ZJ463" s="90"/>
      <c r="ZK463" s="90"/>
      <c r="ZL463" s="90"/>
      <c r="ZM463" s="90"/>
      <c r="ZN463" s="90"/>
      <c r="ZO463" s="90"/>
      <c r="ZP463" s="90"/>
      <c r="ZQ463" s="90"/>
      <c r="ZR463" s="90"/>
      <c r="ZS463" s="90"/>
      <c r="ZT463" s="90"/>
      <c r="ZU463" s="90"/>
      <c r="ZV463" s="90"/>
      <c r="ZW463" s="90"/>
      <c r="ZX463" s="90"/>
      <c r="ZY463" s="90"/>
      <c r="ZZ463" s="90"/>
      <c r="AAA463" s="90"/>
      <c r="AAB463" s="90"/>
      <c r="AAC463" s="90"/>
      <c r="AAD463" s="90"/>
      <c r="AAE463" s="90"/>
      <c r="AAF463" s="90"/>
      <c r="AAG463" s="90"/>
      <c r="AAH463" s="90"/>
      <c r="AAI463" s="90"/>
      <c r="AAJ463" s="90"/>
      <c r="AAK463" s="90"/>
      <c r="AAL463" s="90"/>
      <c r="AAM463" s="90"/>
      <c r="AAN463" s="90"/>
      <c r="AAO463" s="90"/>
      <c r="AAP463" s="90"/>
      <c r="AAQ463" s="90"/>
      <c r="AAR463" s="90"/>
      <c r="AAS463" s="90"/>
      <c r="AAT463" s="90"/>
      <c r="AAU463" s="90"/>
      <c r="AAV463" s="90"/>
      <c r="AAW463" s="90"/>
      <c r="AAX463" s="90"/>
      <c r="AAY463" s="90"/>
      <c r="AAZ463" s="90"/>
      <c r="ABA463" s="90"/>
      <c r="ABB463" s="90"/>
      <c r="ABC463" s="90"/>
      <c r="ABD463" s="90"/>
      <c r="ABE463" s="90"/>
      <c r="ABF463" s="90"/>
      <c r="ABG463" s="90"/>
      <c r="ABH463" s="90"/>
      <c r="ABI463" s="90"/>
      <c r="ABJ463" s="90"/>
      <c r="ABK463" s="90"/>
      <c r="ABL463" s="90"/>
      <c r="ABM463" s="90"/>
      <c r="ABN463" s="90"/>
      <c r="ABO463" s="90"/>
      <c r="ABP463" s="90"/>
      <c r="ABQ463" s="90"/>
      <c r="ABR463" s="90"/>
      <c r="ABS463" s="90"/>
      <c r="ABT463" s="90"/>
      <c r="ABU463" s="90"/>
      <c r="ABV463" s="90"/>
      <c r="ABW463" s="90"/>
      <c r="ABX463" s="90"/>
      <c r="ABY463" s="90"/>
      <c r="ABZ463" s="90"/>
      <c r="ACA463" s="90"/>
      <c r="ACB463" s="90"/>
      <c r="ACC463" s="90"/>
      <c r="ACD463" s="90"/>
      <c r="ACE463" s="90"/>
      <c r="ACF463" s="90"/>
      <c r="ACG463" s="90"/>
      <c r="ACH463" s="90"/>
      <c r="ACI463" s="90"/>
      <c r="ACJ463" s="90"/>
      <c r="ACK463" s="90"/>
      <c r="ACL463" s="90"/>
      <c r="ACM463" s="90"/>
      <c r="ACN463" s="90"/>
      <c r="ACO463" s="90"/>
      <c r="ACP463" s="90"/>
      <c r="ACQ463" s="90"/>
      <c r="ACR463" s="90"/>
      <c r="ACS463" s="90"/>
      <c r="ACT463" s="90"/>
      <c r="ACU463" s="90"/>
      <c r="ACV463" s="90"/>
      <c r="ACW463" s="90"/>
      <c r="ACX463" s="90"/>
      <c r="ACY463" s="90"/>
      <c r="ACZ463" s="90"/>
      <c r="ADA463" s="90"/>
      <c r="ADB463" s="90"/>
      <c r="ADC463" s="90"/>
      <c r="ADD463" s="90"/>
      <c r="ADE463" s="90"/>
      <c r="ADF463" s="90"/>
      <c r="ADG463" s="90"/>
      <c r="ADH463" s="90"/>
      <c r="ADI463" s="90"/>
      <c r="ADJ463" s="90"/>
      <c r="ADK463" s="90"/>
      <c r="ADL463" s="90"/>
      <c r="ADM463" s="90"/>
      <c r="ADN463" s="90"/>
      <c r="ADO463" s="90"/>
      <c r="ADP463" s="90"/>
      <c r="ADQ463" s="90"/>
      <c r="ADR463" s="90"/>
      <c r="ADS463" s="90"/>
      <c r="ADT463" s="90"/>
      <c r="ADU463" s="90"/>
      <c r="ADV463" s="90"/>
      <c r="ADW463" s="90"/>
      <c r="ADX463" s="90"/>
      <c r="ADY463" s="90"/>
      <c r="ADZ463" s="90"/>
      <c r="AEA463" s="90"/>
      <c r="AEB463" s="90"/>
      <c r="AEC463" s="90"/>
      <c r="AED463" s="90"/>
      <c r="AEE463" s="90"/>
      <c r="AEF463" s="90"/>
      <c r="AEG463" s="90"/>
      <c r="AEH463" s="90"/>
      <c r="AEI463" s="90"/>
      <c r="AEJ463" s="90"/>
      <c r="AEK463" s="90"/>
      <c r="AEL463" s="90"/>
      <c r="AEM463" s="90"/>
      <c r="AEN463" s="90"/>
      <c r="AEO463" s="90"/>
      <c r="AEP463" s="90"/>
      <c r="AEQ463" s="90"/>
      <c r="AER463" s="90"/>
      <c r="AES463" s="90"/>
      <c r="AET463" s="90"/>
      <c r="AEU463" s="90"/>
      <c r="AEV463" s="90"/>
      <c r="AEW463" s="90"/>
      <c r="AEX463" s="90"/>
      <c r="AEY463" s="90"/>
      <c r="AEZ463" s="90"/>
      <c r="AFA463" s="90"/>
      <c r="AFB463" s="90"/>
      <c r="AFC463" s="90"/>
      <c r="AFD463" s="90"/>
      <c r="AFE463" s="90"/>
      <c r="AFF463" s="90"/>
      <c r="AFG463" s="90"/>
      <c r="AFH463" s="90"/>
      <c r="AFI463" s="90"/>
      <c r="AFJ463" s="90"/>
      <c r="AFK463" s="90"/>
      <c r="AFL463" s="90"/>
      <c r="AFM463" s="90"/>
      <c r="AFN463" s="90"/>
      <c r="AFO463" s="90"/>
      <c r="AFP463" s="90"/>
      <c r="AFQ463" s="90"/>
      <c r="AFR463" s="90"/>
      <c r="AFS463" s="90"/>
      <c r="AFT463" s="90"/>
      <c r="AFU463" s="90"/>
      <c r="AFV463" s="90"/>
      <c r="AFW463" s="90"/>
      <c r="AFX463" s="90"/>
      <c r="AFY463" s="90"/>
      <c r="AFZ463" s="90"/>
      <c r="AGA463" s="90"/>
      <c r="AGB463" s="90"/>
      <c r="AGC463" s="90"/>
      <c r="AGD463" s="90"/>
      <c r="AGE463" s="90"/>
      <c r="AGF463" s="90"/>
      <c r="AGG463" s="90"/>
      <c r="AGH463" s="90"/>
      <c r="AGI463" s="90"/>
      <c r="AGJ463" s="90"/>
      <c r="AGK463" s="90"/>
      <c r="AGL463" s="90"/>
      <c r="AGM463" s="90"/>
      <c r="AGN463" s="90"/>
      <c r="AGO463" s="90"/>
      <c r="AGP463" s="90"/>
      <c r="AGQ463" s="90"/>
      <c r="AGR463" s="90"/>
      <c r="AGS463" s="90"/>
      <c r="AGT463" s="90"/>
      <c r="AGU463" s="90"/>
      <c r="AGV463" s="90"/>
      <c r="AGW463" s="90"/>
      <c r="AGX463" s="90"/>
      <c r="AGY463" s="90"/>
      <c r="AGZ463" s="90"/>
      <c r="AHA463" s="90"/>
      <c r="AHB463" s="90"/>
      <c r="AHC463" s="90"/>
      <c r="AHD463" s="90"/>
      <c r="AHE463" s="90"/>
      <c r="AHF463" s="90"/>
      <c r="AHG463" s="90"/>
      <c r="AHH463" s="90"/>
      <c r="AHI463" s="90"/>
      <c r="AHJ463" s="90"/>
      <c r="AHK463" s="90"/>
      <c r="AHL463" s="90"/>
      <c r="AHM463" s="90"/>
      <c r="AHN463" s="90"/>
      <c r="AHO463" s="90"/>
      <c r="AHP463" s="90"/>
      <c r="AHQ463" s="90"/>
      <c r="AHR463" s="90"/>
      <c r="AHS463" s="90"/>
      <c r="AHT463" s="90"/>
      <c r="AHU463" s="90"/>
      <c r="AHV463" s="90"/>
      <c r="AHW463" s="90"/>
      <c r="AHX463" s="90"/>
      <c r="AHY463" s="90"/>
      <c r="AHZ463" s="90"/>
      <c r="AIA463" s="90"/>
      <c r="AIB463" s="90"/>
      <c r="AIC463" s="90"/>
      <c r="AID463" s="90"/>
      <c r="AIE463" s="90"/>
      <c r="AIF463" s="90"/>
      <c r="AIG463" s="90"/>
      <c r="AIH463" s="90"/>
      <c r="AII463" s="90"/>
      <c r="AIJ463" s="90"/>
      <c r="AIK463" s="90"/>
      <c r="AIL463" s="90"/>
      <c r="AIM463" s="90"/>
      <c r="AIN463" s="90"/>
      <c r="AIO463" s="90"/>
      <c r="AIP463" s="90"/>
      <c r="AIQ463" s="90"/>
      <c r="AIR463" s="90"/>
      <c r="AIS463" s="90"/>
      <c r="AIT463" s="90"/>
      <c r="AIU463" s="90"/>
      <c r="AIV463" s="90"/>
      <c r="AIW463" s="90"/>
      <c r="AIX463" s="90"/>
      <c r="AIY463" s="90"/>
      <c r="AIZ463" s="90"/>
      <c r="AJA463" s="90"/>
      <c r="AJB463" s="90"/>
      <c r="AJC463" s="90"/>
      <c r="AJD463" s="90"/>
      <c r="AJE463" s="90"/>
      <c r="AJF463" s="90"/>
      <c r="AJG463" s="90"/>
      <c r="AJH463" s="90"/>
      <c r="AJI463" s="90"/>
      <c r="AJJ463" s="90"/>
      <c r="AJK463" s="90"/>
      <c r="AJL463" s="90"/>
      <c r="AJM463" s="90"/>
      <c r="AJN463" s="90"/>
      <c r="AJO463" s="90"/>
      <c r="AJP463" s="90"/>
      <c r="AJQ463" s="90"/>
      <c r="AJR463" s="90"/>
      <c r="AJS463" s="90"/>
      <c r="AJT463" s="90"/>
      <c r="AJU463" s="90"/>
      <c r="AJV463" s="90"/>
      <c r="AJW463" s="90"/>
      <c r="AJX463" s="90"/>
      <c r="AJY463" s="90"/>
      <c r="AJZ463" s="90"/>
      <c r="AKA463" s="90"/>
      <c r="AKB463" s="90"/>
      <c r="AKC463" s="90"/>
      <c r="AKD463" s="90"/>
      <c r="AKE463" s="90"/>
      <c r="AKF463" s="90"/>
      <c r="AKG463" s="90"/>
      <c r="AKH463" s="90"/>
      <c r="AKI463" s="90"/>
      <c r="AKJ463" s="90"/>
      <c r="AKK463" s="90"/>
      <c r="AKL463" s="90"/>
      <c r="AKM463" s="90"/>
      <c r="AKN463" s="90"/>
      <c r="AKO463" s="90"/>
      <c r="AKP463" s="90"/>
      <c r="AKQ463" s="90"/>
      <c r="AKR463" s="90"/>
      <c r="AKS463" s="90"/>
      <c r="AKT463" s="90"/>
      <c r="AKU463" s="90"/>
      <c r="AKV463" s="90"/>
      <c r="AKW463" s="90"/>
      <c r="AKX463" s="90"/>
      <c r="AKY463" s="90"/>
      <c r="AKZ463" s="90"/>
      <c r="ALA463" s="90"/>
      <c r="ALB463" s="90"/>
      <c r="ALC463" s="90"/>
      <c r="ALD463" s="90"/>
      <c r="ALE463" s="90"/>
      <c r="ALF463" s="90"/>
      <c r="ALG463" s="90"/>
      <c r="ALH463" s="90"/>
      <c r="ALI463" s="90"/>
      <c r="ALJ463" s="90"/>
      <c r="ALK463" s="90"/>
      <c r="ALL463" s="90"/>
      <c r="ALM463" s="90"/>
      <c r="ALN463" s="90"/>
      <c r="ALO463" s="90"/>
      <c r="ALP463" s="90"/>
      <c r="ALQ463" s="90"/>
      <c r="ALR463" s="90"/>
      <c r="ALS463" s="90"/>
      <c r="ALT463" s="90"/>
      <c r="ALU463" s="90"/>
      <c r="ALV463" s="90"/>
      <c r="ALW463" s="90"/>
      <c r="ALX463" s="90"/>
      <c r="ALY463" s="90"/>
      <c r="ALZ463" s="90"/>
      <c r="AMA463" s="90"/>
      <c r="AMB463" s="90"/>
      <c r="AMC463" s="90"/>
    </row>
    <row r="464" spans="1:1017">
      <c r="A464" s="98" t="s">
        <v>56</v>
      </c>
      <c r="B464" s="90" t="str">
        <f t="shared" si="2323"/>
        <v>Ikan_01 (Ikan Lainnya)</v>
      </c>
      <c r="Q464" s="91">
        <f t="shared" si="2225"/>
        <v>0</v>
      </c>
      <c r="R464" s="91">
        <f t="shared" si="2226"/>
        <v>0</v>
      </c>
      <c r="AG464" s="91">
        <f t="shared" si="2227"/>
        <v>0</v>
      </c>
      <c r="AH464" s="91">
        <f t="shared" si="2228"/>
        <v>0</v>
      </c>
      <c r="AW464" s="91">
        <f t="shared" si="2229"/>
        <v>0</v>
      </c>
      <c r="AX464" s="91">
        <f t="shared" si="2230"/>
        <v>0</v>
      </c>
      <c r="BM464" s="91">
        <f t="shared" si="2231"/>
        <v>0</v>
      </c>
      <c r="BN464" s="91">
        <f t="shared" si="2232"/>
        <v>0</v>
      </c>
      <c r="CC464" s="91">
        <f t="shared" si="2233"/>
        <v>0</v>
      </c>
      <c r="CD464" s="91">
        <f t="shared" si="2234"/>
        <v>0</v>
      </c>
      <c r="CG464" s="98">
        <v>233133.970692</v>
      </c>
      <c r="CH464" s="98">
        <v>1165670</v>
      </c>
      <c r="CK464" s="98">
        <v>370442.6152443657</v>
      </c>
      <c r="CL464" s="98">
        <v>1481770</v>
      </c>
      <c r="CS464" s="91">
        <f t="shared" si="2235"/>
        <v>603576.58593636565</v>
      </c>
      <c r="CT464" s="91">
        <f t="shared" si="2236"/>
        <v>2647440</v>
      </c>
      <c r="DI464" s="91">
        <f t="shared" si="2237"/>
        <v>0</v>
      </c>
      <c r="DJ464" s="91">
        <f t="shared" si="2238"/>
        <v>0</v>
      </c>
      <c r="DY464" s="91">
        <f t="shared" si="2239"/>
        <v>0</v>
      </c>
      <c r="DZ464" s="91">
        <f t="shared" si="2240"/>
        <v>0</v>
      </c>
      <c r="EO464" s="91">
        <f t="shared" si="2241"/>
        <v>0</v>
      </c>
      <c r="EP464" s="91">
        <f t="shared" si="2242"/>
        <v>0</v>
      </c>
      <c r="FE464" s="91">
        <f t="shared" si="2243"/>
        <v>0</v>
      </c>
      <c r="FF464" s="91">
        <f t="shared" si="2244"/>
        <v>0</v>
      </c>
      <c r="FU464" s="91">
        <f t="shared" si="2245"/>
        <v>0</v>
      </c>
      <c r="FV464" s="91">
        <f t="shared" si="2246"/>
        <v>0</v>
      </c>
      <c r="GK464" s="91">
        <f t="shared" si="2247"/>
        <v>0</v>
      </c>
      <c r="GL464" s="91">
        <f t="shared" si="2248"/>
        <v>0</v>
      </c>
      <c r="HA464" s="91">
        <f t="shared" si="2249"/>
        <v>0</v>
      </c>
      <c r="HB464" s="91">
        <f t="shared" si="2250"/>
        <v>0</v>
      </c>
      <c r="HQ464" s="91">
        <f t="shared" si="2251"/>
        <v>0</v>
      </c>
      <c r="HR464" s="91">
        <f t="shared" si="2252"/>
        <v>0</v>
      </c>
      <c r="IG464" s="91">
        <f t="shared" si="2253"/>
        <v>0</v>
      </c>
      <c r="IH464" s="91">
        <f t="shared" si="2254"/>
        <v>0</v>
      </c>
      <c r="IW464" s="91">
        <f t="shared" si="2255"/>
        <v>0</v>
      </c>
      <c r="IX464" s="91">
        <f t="shared" si="2256"/>
        <v>0</v>
      </c>
      <c r="JM464" s="91">
        <f t="shared" si="2257"/>
        <v>0</v>
      </c>
      <c r="JN464" s="91">
        <f t="shared" si="2258"/>
        <v>0</v>
      </c>
      <c r="KC464" s="91">
        <f t="shared" si="2259"/>
        <v>0</v>
      </c>
      <c r="KD464" s="91">
        <f t="shared" si="2260"/>
        <v>0</v>
      </c>
      <c r="KS464" s="91">
        <f t="shared" si="2261"/>
        <v>0</v>
      </c>
      <c r="KT464" s="91">
        <f t="shared" si="2262"/>
        <v>0</v>
      </c>
      <c r="LI464" s="91">
        <f t="shared" si="2263"/>
        <v>0</v>
      </c>
      <c r="LJ464" s="91">
        <f t="shared" si="2264"/>
        <v>0</v>
      </c>
      <c r="LY464" s="91">
        <f t="shared" si="2265"/>
        <v>0</v>
      </c>
      <c r="LZ464" s="91">
        <f t="shared" si="2266"/>
        <v>0</v>
      </c>
      <c r="MO464" s="91">
        <f t="shared" si="2267"/>
        <v>0</v>
      </c>
      <c r="MP464" s="91">
        <f t="shared" si="2268"/>
        <v>0</v>
      </c>
      <c r="MS464" s="98">
        <v>25</v>
      </c>
      <c r="MT464" s="98">
        <f>MS464*30</f>
        <v>750</v>
      </c>
      <c r="NE464" s="91">
        <f t="shared" si="2269"/>
        <v>25</v>
      </c>
      <c r="NF464" s="91">
        <f t="shared" si="2270"/>
        <v>750</v>
      </c>
      <c r="NU464" s="91">
        <f t="shared" si="2271"/>
        <v>0</v>
      </c>
      <c r="NV464" s="91">
        <f t="shared" si="2272"/>
        <v>0</v>
      </c>
      <c r="OK464" s="91">
        <f t="shared" si="2273"/>
        <v>0</v>
      </c>
      <c r="OL464" s="91">
        <f t="shared" si="2274"/>
        <v>0</v>
      </c>
      <c r="PA464" s="91">
        <f t="shared" si="2275"/>
        <v>0</v>
      </c>
      <c r="PB464" s="91">
        <f t="shared" si="2276"/>
        <v>0</v>
      </c>
      <c r="PQ464" s="91">
        <f t="shared" si="2277"/>
        <v>0</v>
      </c>
      <c r="PR464" s="91">
        <f t="shared" si="2278"/>
        <v>0</v>
      </c>
      <c r="QG464" s="91">
        <f t="shared" si="2279"/>
        <v>0</v>
      </c>
      <c r="QH464" s="91">
        <f t="shared" si="2280"/>
        <v>0</v>
      </c>
      <c r="QW464" s="91">
        <f t="shared" si="2281"/>
        <v>0</v>
      </c>
      <c r="QX464" s="91">
        <f t="shared" si="2282"/>
        <v>0</v>
      </c>
      <c r="RM464" s="91">
        <f t="shared" si="2283"/>
        <v>0</v>
      </c>
      <c r="RN464" s="91">
        <f t="shared" si="2284"/>
        <v>0</v>
      </c>
      <c r="SC464" s="91">
        <f t="shared" si="2285"/>
        <v>0</v>
      </c>
      <c r="SD464" s="91">
        <f t="shared" si="2286"/>
        <v>0</v>
      </c>
      <c r="SS464" s="91">
        <f t="shared" si="2287"/>
        <v>0</v>
      </c>
      <c r="ST464" s="91">
        <f t="shared" si="2288"/>
        <v>0</v>
      </c>
      <c r="TI464" s="91">
        <f t="shared" si="2289"/>
        <v>0</v>
      </c>
      <c r="TJ464" s="91">
        <f t="shared" si="2290"/>
        <v>0</v>
      </c>
      <c r="TY464" s="91">
        <f t="shared" si="2291"/>
        <v>0</v>
      </c>
      <c r="TZ464" s="91">
        <f t="shared" si="2292"/>
        <v>0</v>
      </c>
      <c r="UO464" s="91">
        <f t="shared" si="2293"/>
        <v>0</v>
      </c>
      <c r="UP464" s="91">
        <f t="shared" si="2294"/>
        <v>0</v>
      </c>
      <c r="VE464" s="91">
        <f t="shared" si="2295"/>
        <v>0</v>
      </c>
      <c r="VF464" s="91">
        <f t="shared" si="2296"/>
        <v>0</v>
      </c>
      <c r="VU464" s="91">
        <f t="shared" si="2297"/>
        <v>0</v>
      </c>
      <c r="VV464" s="91">
        <f t="shared" si="2298"/>
        <v>0</v>
      </c>
      <c r="WK464" s="91">
        <f t="shared" si="2299"/>
        <v>0</v>
      </c>
      <c r="WL464" s="91">
        <f t="shared" si="2300"/>
        <v>0</v>
      </c>
      <c r="WM464" s="89"/>
      <c r="WN464" s="87">
        <f t="shared" si="2324"/>
        <v>0</v>
      </c>
      <c r="WO464" s="87">
        <f t="shared" si="2325"/>
        <v>0</v>
      </c>
      <c r="WP464" s="87">
        <f t="shared" si="2326"/>
        <v>233158.970692</v>
      </c>
      <c r="WQ464" s="87">
        <f t="shared" si="2327"/>
        <v>1166420</v>
      </c>
      <c r="WR464" s="87">
        <f t="shared" si="2328"/>
        <v>0</v>
      </c>
      <c r="WS464" s="87">
        <f t="shared" si="2329"/>
        <v>0</v>
      </c>
      <c r="WT464" s="87">
        <f t="shared" si="2330"/>
        <v>370442.6152443657</v>
      </c>
      <c r="WU464" s="87">
        <f t="shared" si="2331"/>
        <v>1481770</v>
      </c>
      <c r="WV464" s="87">
        <f t="shared" si="2332"/>
        <v>0</v>
      </c>
      <c r="WW464" s="87">
        <f t="shared" si="2333"/>
        <v>0</v>
      </c>
      <c r="WX464" s="87">
        <f t="shared" si="2334"/>
        <v>0</v>
      </c>
      <c r="WY464" s="87">
        <f t="shared" si="2335"/>
        <v>0</v>
      </c>
      <c r="WZ464" s="87">
        <f t="shared" si="2319"/>
        <v>0</v>
      </c>
      <c r="XA464" s="87">
        <f t="shared" si="2320"/>
        <v>0</v>
      </c>
      <c r="XB464" s="92">
        <f t="shared" si="2321"/>
        <v>603601.58593636565</v>
      </c>
      <c r="XC464" s="92">
        <f t="shared" si="2322"/>
        <v>2648190</v>
      </c>
      <c r="XD464" s="89"/>
      <c r="XE464" s="92"/>
      <c r="XF464" s="92"/>
      <c r="XG464" s="89"/>
      <c r="XH464" s="92"/>
      <c r="XI464" s="92"/>
      <c r="XJ464" s="89"/>
      <c r="XK464" s="87"/>
      <c r="XL464" s="87"/>
      <c r="XM464" s="87"/>
      <c r="XN464" s="87"/>
      <c r="XO464" s="87"/>
      <c r="XP464" s="87"/>
      <c r="XQ464" s="87"/>
      <c r="XR464" s="92">
        <f t="shared" ca="1" si="2317"/>
        <v>0</v>
      </c>
      <c r="XS464" s="89"/>
      <c r="XT464" s="87"/>
      <c r="XU464" s="87"/>
      <c r="XV464" s="87"/>
      <c r="XW464" s="87"/>
      <c r="XX464" s="87"/>
      <c r="XY464" s="87"/>
      <c r="XZ464" s="87"/>
      <c r="YA464" s="92">
        <f t="shared" ca="1" si="2318"/>
        <v>0</v>
      </c>
      <c r="YB464" s="90"/>
      <c r="YC464" s="90"/>
      <c r="YD464" s="90"/>
      <c r="YE464" s="90"/>
      <c r="YF464" s="90"/>
      <c r="YG464" s="90"/>
      <c r="YH464" s="90"/>
      <c r="YI464" s="90"/>
      <c r="YJ464" s="90"/>
      <c r="YK464" s="90"/>
      <c r="YL464" s="90"/>
      <c r="YM464" s="90"/>
      <c r="YN464" s="90"/>
      <c r="YO464" s="90"/>
      <c r="YP464" s="90"/>
      <c r="YQ464" s="90"/>
      <c r="YR464" s="90"/>
      <c r="YS464" s="90"/>
      <c r="YT464" s="90"/>
      <c r="YU464" s="90"/>
      <c r="YV464" s="90"/>
      <c r="YW464" s="90"/>
      <c r="YX464" s="90"/>
      <c r="YY464" s="90"/>
      <c r="YZ464" s="90"/>
      <c r="ZA464" s="90"/>
      <c r="ZB464" s="90"/>
      <c r="ZC464" s="90"/>
      <c r="ZD464" s="90"/>
      <c r="ZE464" s="90"/>
      <c r="ZF464" s="90"/>
      <c r="ZG464" s="90"/>
      <c r="ZH464" s="90"/>
      <c r="ZI464" s="90"/>
      <c r="ZJ464" s="90"/>
      <c r="ZK464" s="90"/>
      <c r="ZL464" s="90"/>
      <c r="ZM464" s="90"/>
      <c r="ZN464" s="90"/>
      <c r="ZO464" s="90"/>
      <c r="ZP464" s="90"/>
      <c r="ZQ464" s="90"/>
      <c r="ZR464" s="90"/>
      <c r="ZS464" s="90"/>
      <c r="ZT464" s="90"/>
      <c r="ZU464" s="90"/>
      <c r="ZV464" s="90"/>
      <c r="ZW464" s="90"/>
      <c r="ZX464" s="90"/>
      <c r="ZY464" s="90"/>
      <c r="ZZ464" s="90"/>
      <c r="AAA464" s="90"/>
      <c r="AAB464" s="90"/>
      <c r="AAC464" s="90"/>
      <c r="AAD464" s="90"/>
      <c r="AAE464" s="90"/>
      <c r="AAF464" s="90"/>
      <c r="AAG464" s="90"/>
      <c r="AAH464" s="90"/>
      <c r="AAI464" s="90"/>
      <c r="AAJ464" s="90"/>
      <c r="AAK464" s="90"/>
      <c r="AAL464" s="90"/>
      <c r="AAM464" s="90"/>
      <c r="AAN464" s="90"/>
      <c r="AAO464" s="90"/>
      <c r="AAP464" s="90"/>
      <c r="AAQ464" s="90"/>
      <c r="AAR464" s="90"/>
      <c r="AAS464" s="90"/>
      <c r="AAT464" s="90"/>
      <c r="AAU464" s="90"/>
      <c r="AAV464" s="90"/>
      <c r="AAW464" s="90"/>
      <c r="AAX464" s="90"/>
      <c r="AAY464" s="90"/>
      <c r="AAZ464" s="90"/>
      <c r="ABA464" s="90"/>
      <c r="ABB464" s="90"/>
      <c r="ABC464" s="90"/>
      <c r="ABD464" s="90"/>
      <c r="ABE464" s="90"/>
      <c r="ABF464" s="90"/>
      <c r="ABG464" s="90"/>
      <c r="ABH464" s="90"/>
      <c r="ABI464" s="90"/>
      <c r="ABJ464" s="90"/>
      <c r="ABK464" s="90"/>
      <c r="ABL464" s="90"/>
      <c r="ABM464" s="90"/>
      <c r="ABN464" s="90"/>
      <c r="ABO464" s="90"/>
      <c r="ABP464" s="90"/>
      <c r="ABQ464" s="90"/>
      <c r="ABR464" s="90"/>
      <c r="ABS464" s="90"/>
      <c r="ABT464" s="90"/>
      <c r="ABU464" s="90"/>
      <c r="ABV464" s="90"/>
      <c r="ABW464" s="90"/>
      <c r="ABX464" s="90"/>
      <c r="ABY464" s="90"/>
      <c r="ABZ464" s="90"/>
      <c r="ACA464" s="90"/>
      <c r="ACB464" s="90"/>
      <c r="ACC464" s="90"/>
      <c r="ACD464" s="90"/>
      <c r="ACE464" s="90"/>
      <c r="ACF464" s="90"/>
      <c r="ACG464" s="90"/>
      <c r="ACH464" s="90"/>
      <c r="ACI464" s="90"/>
      <c r="ACJ464" s="90"/>
      <c r="ACK464" s="90"/>
      <c r="ACL464" s="90"/>
      <c r="ACM464" s="90"/>
      <c r="ACN464" s="90"/>
      <c r="ACO464" s="90"/>
      <c r="ACP464" s="90"/>
      <c r="ACQ464" s="90"/>
      <c r="ACR464" s="90"/>
      <c r="ACS464" s="90"/>
      <c r="ACT464" s="90"/>
      <c r="ACU464" s="90"/>
      <c r="ACV464" s="90"/>
      <c r="ACW464" s="90"/>
      <c r="ACX464" s="90"/>
      <c r="ACY464" s="90"/>
      <c r="ACZ464" s="90"/>
      <c r="ADA464" s="90"/>
      <c r="ADB464" s="90"/>
      <c r="ADC464" s="90"/>
      <c r="ADD464" s="90"/>
      <c r="ADE464" s="90"/>
      <c r="ADF464" s="90"/>
      <c r="ADG464" s="90"/>
      <c r="ADH464" s="90"/>
      <c r="ADI464" s="90"/>
      <c r="ADJ464" s="90"/>
      <c r="ADK464" s="90"/>
      <c r="ADL464" s="90"/>
      <c r="ADM464" s="90"/>
      <c r="ADN464" s="90"/>
      <c r="ADO464" s="90"/>
      <c r="ADP464" s="90"/>
      <c r="ADQ464" s="90"/>
      <c r="ADR464" s="90"/>
      <c r="ADS464" s="90"/>
      <c r="ADT464" s="90"/>
      <c r="ADU464" s="90"/>
      <c r="ADV464" s="90"/>
      <c r="ADW464" s="90"/>
      <c r="ADX464" s="90"/>
      <c r="ADY464" s="90"/>
      <c r="ADZ464" s="90"/>
      <c r="AEA464" s="90"/>
      <c r="AEB464" s="90"/>
      <c r="AEC464" s="90"/>
      <c r="AED464" s="90"/>
      <c r="AEE464" s="90"/>
      <c r="AEF464" s="90"/>
      <c r="AEG464" s="90"/>
      <c r="AEH464" s="90"/>
      <c r="AEI464" s="90"/>
      <c r="AEJ464" s="90"/>
      <c r="AEK464" s="90"/>
      <c r="AEL464" s="90"/>
      <c r="AEM464" s="90"/>
      <c r="AEN464" s="90"/>
      <c r="AEO464" s="90"/>
      <c r="AEP464" s="90"/>
      <c r="AEQ464" s="90"/>
      <c r="AER464" s="90"/>
      <c r="AES464" s="90"/>
      <c r="AET464" s="90"/>
      <c r="AEU464" s="90"/>
      <c r="AEV464" s="90"/>
      <c r="AEW464" s="90"/>
      <c r="AEX464" s="90"/>
      <c r="AEY464" s="90"/>
      <c r="AEZ464" s="90"/>
      <c r="AFA464" s="90"/>
      <c r="AFB464" s="90"/>
      <c r="AFC464" s="90"/>
      <c r="AFD464" s="90"/>
      <c r="AFE464" s="90"/>
      <c r="AFF464" s="90"/>
      <c r="AFG464" s="90"/>
      <c r="AFH464" s="90"/>
      <c r="AFI464" s="90"/>
      <c r="AFJ464" s="90"/>
      <c r="AFK464" s="90"/>
      <c r="AFL464" s="90"/>
      <c r="AFM464" s="90"/>
      <c r="AFN464" s="90"/>
      <c r="AFO464" s="90"/>
      <c r="AFP464" s="90"/>
      <c r="AFQ464" s="90"/>
      <c r="AFR464" s="90"/>
      <c r="AFS464" s="90"/>
      <c r="AFT464" s="90"/>
      <c r="AFU464" s="90"/>
      <c r="AFV464" s="90"/>
      <c r="AFW464" s="90"/>
      <c r="AFX464" s="90"/>
      <c r="AFY464" s="90"/>
      <c r="AFZ464" s="90"/>
      <c r="AGA464" s="90"/>
      <c r="AGB464" s="90"/>
      <c r="AGC464" s="90"/>
      <c r="AGD464" s="90"/>
      <c r="AGE464" s="90"/>
      <c r="AGF464" s="90"/>
      <c r="AGG464" s="90"/>
      <c r="AGH464" s="90"/>
      <c r="AGI464" s="90"/>
      <c r="AGJ464" s="90"/>
      <c r="AGK464" s="90"/>
      <c r="AGL464" s="90"/>
      <c r="AGM464" s="90"/>
      <c r="AGN464" s="90"/>
      <c r="AGO464" s="90"/>
      <c r="AGP464" s="90"/>
      <c r="AGQ464" s="90"/>
      <c r="AGR464" s="90"/>
      <c r="AGS464" s="90"/>
      <c r="AGT464" s="90"/>
      <c r="AGU464" s="90"/>
      <c r="AGV464" s="90"/>
      <c r="AGW464" s="90"/>
      <c r="AGX464" s="90"/>
      <c r="AGY464" s="90"/>
      <c r="AGZ464" s="90"/>
      <c r="AHA464" s="90"/>
      <c r="AHB464" s="90"/>
      <c r="AHC464" s="90"/>
      <c r="AHD464" s="90"/>
      <c r="AHE464" s="90"/>
      <c r="AHF464" s="90"/>
      <c r="AHG464" s="90"/>
      <c r="AHH464" s="90"/>
      <c r="AHI464" s="90"/>
      <c r="AHJ464" s="90"/>
      <c r="AHK464" s="90"/>
      <c r="AHL464" s="90"/>
      <c r="AHM464" s="90"/>
      <c r="AHN464" s="90"/>
      <c r="AHO464" s="90"/>
      <c r="AHP464" s="90"/>
      <c r="AHQ464" s="90"/>
      <c r="AHR464" s="90"/>
      <c r="AHS464" s="90"/>
      <c r="AHT464" s="90"/>
      <c r="AHU464" s="90"/>
      <c r="AHV464" s="90"/>
      <c r="AHW464" s="90"/>
      <c r="AHX464" s="90"/>
      <c r="AHY464" s="90"/>
      <c r="AHZ464" s="90"/>
      <c r="AIA464" s="90"/>
      <c r="AIB464" s="90"/>
      <c r="AIC464" s="90"/>
      <c r="AID464" s="90"/>
      <c r="AIE464" s="90"/>
      <c r="AIF464" s="90"/>
      <c r="AIG464" s="90"/>
      <c r="AIH464" s="90"/>
      <c r="AII464" s="90"/>
      <c r="AIJ464" s="90"/>
      <c r="AIK464" s="90"/>
      <c r="AIL464" s="90"/>
      <c r="AIM464" s="90"/>
      <c r="AIN464" s="90"/>
      <c r="AIO464" s="90"/>
      <c r="AIP464" s="90"/>
      <c r="AIQ464" s="90"/>
      <c r="AIR464" s="90"/>
      <c r="AIS464" s="90"/>
      <c r="AIT464" s="90"/>
      <c r="AIU464" s="90"/>
      <c r="AIV464" s="90"/>
      <c r="AIW464" s="90"/>
      <c r="AIX464" s="90"/>
      <c r="AIY464" s="90"/>
      <c r="AIZ464" s="90"/>
      <c r="AJA464" s="90"/>
      <c r="AJB464" s="90"/>
      <c r="AJC464" s="90"/>
      <c r="AJD464" s="90"/>
      <c r="AJE464" s="90"/>
      <c r="AJF464" s="90"/>
      <c r="AJG464" s="90"/>
      <c r="AJH464" s="90"/>
      <c r="AJI464" s="90"/>
      <c r="AJJ464" s="90"/>
      <c r="AJK464" s="90"/>
      <c r="AJL464" s="90"/>
      <c r="AJM464" s="90"/>
      <c r="AJN464" s="90"/>
      <c r="AJO464" s="90"/>
      <c r="AJP464" s="90"/>
      <c r="AJQ464" s="90"/>
      <c r="AJR464" s="90"/>
      <c r="AJS464" s="90"/>
      <c r="AJT464" s="90"/>
      <c r="AJU464" s="90"/>
      <c r="AJV464" s="90"/>
      <c r="AJW464" s="90"/>
      <c r="AJX464" s="90"/>
      <c r="AJY464" s="90"/>
      <c r="AJZ464" s="90"/>
      <c r="AKA464" s="90"/>
      <c r="AKB464" s="90"/>
      <c r="AKC464" s="90"/>
      <c r="AKD464" s="90"/>
      <c r="AKE464" s="90"/>
      <c r="AKF464" s="90"/>
      <c r="AKG464" s="90"/>
      <c r="AKH464" s="90"/>
      <c r="AKI464" s="90"/>
      <c r="AKJ464" s="90"/>
      <c r="AKK464" s="90"/>
      <c r="AKL464" s="90"/>
      <c r="AKM464" s="90"/>
      <c r="AKN464" s="90"/>
      <c r="AKO464" s="90"/>
      <c r="AKP464" s="90"/>
      <c r="AKQ464" s="90"/>
      <c r="AKR464" s="90"/>
      <c r="AKS464" s="90"/>
      <c r="AKT464" s="90"/>
      <c r="AKU464" s="90"/>
      <c r="AKV464" s="90"/>
      <c r="AKW464" s="90"/>
      <c r="AKX464" s="90"/>
      <c r="AKY464" s="90"/>
      <c r="AKZ464" s="90"/>
      <c r="ALA464" s="90"/>
      <c r="ALB464" s="90"/>
      <c r="ALC464" s="90"/>
      <c r="ALD464" s="90"/>
      <c r="ALE464" s="90"/>
      <c r="ALF464" s="90"/>
      <c r="ALG464" s="90"/>
      <c r="ALH464" s="90"/>
      <c r="ALI464" s="90"/>
      <c r="ALJ464" s="90"/>
      <c r="ALK464" s="90"/>
      <c r="ALL464" s="90"/>
      <c r="ALM464" s="90"/>
      <c r="ALN464" s="90"/>
      <c r="ALO464" s="90"/>
      <c r="ALP464" s="90"/>
      <c r="ALQ464" s="90"/>
      <c r="ALR464" s="90"/>
      <c r="ALS464" s="90"/>
      <c r="ALT464" s="90"/>
      <c r="ALU464" s="90"/>
      <c r="ALV464" s="90"/>
      <c r="ALW464" s="90"/>
      <c r="ALX464" s="90"/>
      <c r="ALY464" s="90"/>
      <c r="ALZ464" s="90"/>
      <c r="AMA464" s="90"/>
      <c r="AMB464" s="90"/>
      <c r="AMC464" s="90"/>
    </row>
    <row r="465" spans="1:1017">
      <c r="A465" s="98" t="s">
        <v>56</v>
      </c>
      <c r="B465" s="90" t="str">
        <f t="shared" si="2323"/>
        <v>Ikan_02 (Tiram)</v>
      </c>
      <c r="Q465" s="91">
        <f t="shared" si="2225"/>
        <v>0</v>
      </c>
      <c r="R465" s="91">
        <f t="shared" si="2226"/>
        <v>0</v>
      </c>
      <c r="S465" s="98">
        <v>1430</v>
      </c>
      <c r="T465" s="98">
        <v>14300</v>
      </c>
      <c r="AG465" s="91">
        <f t="shared" si="2227"/>
        <v>1430</v>
      </c>
      <c r="AH465" s="91">
        <f t="shared" si="2228"/>
        <v>14300</v>
      </c>
      <c r="AW465" s="91">
        <f t="shared" si="2229"/>
        <v>0</v>
      </c>
      <c r="AX465" s="91">
        <f t="shared" si="2230"/>
        <v>0</v>
      </c>
      <c r="BM465" s="91">
        <f t="shared" si="2231"/>
        <v>0</v>
      </c>
      <c r="BN465" s="91">
        <f t="shared" si="2232"/>
        <v>0</v>
      </c>
      <c r="CC465" s="91">
        <f t="shared" si="2233"/>
        <v>0</v>
      </c>
      <c r="CD465" s="91">
        <f t="shared" si="2234"/>
        <v>0</v>
      </c>
      <c r="CS465" s="91">
        <f t="shared" si="2235"/>
        <v>0</v>
      </c>
      <c r="CT465" s="91">
        <f t="shared" si="2236"/>
        <v>0</v>
      </c>
      <c r="DI465" s="91">
        <f t="shared" si="2237"/>
        <v>0</v>
      </c>
      <c r="DJ465" s="91">
        <f t="shared" si="2238"/>
        <v>0</v>
      </c>
      <c r="DY465" s="91">
        <f t="shared" si="2239"/>
        <v>0</v>
      </c>
      <c r="DZ465" s="91">
        <f t="shared" si="2240"/>
        <v>0</v>
      </c>
      <c r="EO465" s="91">
        <f t="shared" si="2241"/>
        <v>0</v>
      </c>
      <c r="EP465" s="91">
        <f t="shared" si="2242"/>
        <v>0</v>
      </c>
      <c r="FE465" s="91">
        <f t="shared" si="2243"/>
        <v>0</v>
      </c>
      <c r="FF465" s="91">
        <f t="shared" si="2244"/>
        <v>0</v>
      </c>
      <c r="FU465" s="91">
        <f t="shared" si="2245"/>
        <v>0</v>
      </c>
      <c r="FV465" s="91">
        <f t="shared" si="2246"/>
        <v>0</v>
      </c>
      <c r="GK465" s="91">
        <f t="shared" si="2247"/>
        <v>0</v>
      </c>
      <c r="GL465" s="91">
        <f t="shared" si="2248"/>
        <v>0</v>
      </c>
      <c r="HA465" s="91">
        <f t="shared" si="2249"/>
        <v>0</v>
      </c>
      <c r="HB465" s="91">
        <f t="shared" si="2250"/>
        <v>0</v>
      </c>
      <c r="HQ465" s="91">
        <f t="shared" si="2251"/>
        <v>0</v>
      </c>
      <c r="HR465" s="91">
        <f t="shared" si="2252"/>
        <v>0</v>
      </c>
      <c r="IG465" s="91">
        <f t="shared" si="2253"/>
        <v>0</v>
      </c>
      <c r="IH465" s="91">
        <f t="shared" si="2254"/>
        <v>0</v>
      </c>
      <c r="IW465" s="91">
        <f t="shared" si="2255"/>
        <v>0</v>
      </c>
      <c r="IX465" s="91">
        <f t="shared" si="2256"/>
        <v>0</v>
      </c>
      <c r="JM465" s="91">
        <f t="shared" si="2257"/>
        <v>0</v>
      </c>
      <c r="JN465" s="91">
        <f t="shared" si="2258"/>
        <v>0</v>
      </c>
      <c r="KC465" s="91">
        <f t="shared" si="2259"/>
        <v>0</v>
      </c>
      <c r="KD465" s="91">
        <f t="shared" si="2260"/>
        <v>0</v>
      </c>
      <c r="KS465" s="91">
        <f t="shared" si="2261"/>
        <v>0</v>
      </c>
      <c r="KT465" s="91">
        <f t="shared" si="2262"/>
        <v>0</v>
      </c>
      <c r="LI465" s="91">
        <f t="shared" si="2263"/>
        <v>0</v>
      </c>
      <c r="LJ465" s="91">
        <f t="shared" si="2264"/>
        <v>0</v>
      </c>
      <c r="LY465" s="91">
        <f t="shared" si="2265"/>
        <v>0</v>
      </c>
      <c r="LZ465" s="91">
        <f t="shared" si="2266"/>
        <v>0</v>
      </c>
      <c r="MO465" s="91">
        <f t="shared" si="2267"/>
        <v>0</v>
      </c>
      <c r="MP465" s="91">
        <f t="shared" si="2268"/>
        <v>0</v>
      </c>
      <c r="NE465" s="91">
        <f t="shared" si="2269"/>
        <v>0</v>
      </c>
      <c r="NF465" s="91">
        <f t="shared" si="2270"/>
        <v>0</v>
      </c>
      <c r="NU465" s="91">
        <f t="shared" si="2271"/>
        <v>0</v>
      </c>
      <c r="NV465" s="91">
        <f t="shared" si="2272"/>
        <v>0</v>
      </c>
      <c r="OK465" s="91">
        <f t="shared" si="2273"/>
        <v>0</v>
      </c>
      <c r="OL465" s="91">
        <f t="shared" si="2274"/>
        <v>0</v>
      </c>
      <c r="PA465" s="91">
        <f t="shared" si="2275"/>
        <v>0</v>
      </c>
      <c r="PB465" s="91">
        <f t="shared" si="2276"/>
        <v>0</v>
      </c>
      <c r="PQ465" s="91">
        <f t="shared" si="2277"/>
        <v>0</v>
      </c>
      <c r="PR465" s="91">
        <f t="shared" si="2278"/>
        <v>0</v>
      </c>
      <c r="QG465" s="91">
        <f t="shared" si="2279"/>
        <v>0</v>
      </c>
      <c r="QH465" s="91">
        <f t="shared" si="2280"/>
        <v>0</v>
      </c>
      <c r="QW465" s="91">
        <f t="shared" si="2281"/>
        <v>0</v>
      </c>
      <c r="QX465" s="91">
        <f t="shared" si="2282"/>
        <v>0</v>
      </c>
      <c r="RM465" s="91">
        <f t="shared" si="2283"/>
        <v>0</v>
      </c>
      <c r="RN465" s="91">
        <f t="shared" si="2284"/>
        <v>0</v>
      </c>
      <c r="SC465" s="91">
        <f t="shared" si="2285"/>
        <v>0</v>
      </c>
      <c r="SD465" s="91">
        <f t="shared" si="2286"/>
        <v>0</v>
      </c>
      <c r="SS465" s="91">
        <f t="shared" si="2287"/>
        <v>0</v>
      </c>
      <c r="ST465" s="91">
        <f t="shared" si="2288"/>
        <v>0</v>
      </c>
      <c r="TI465" s="91">
        <f t="shared" si="2289"/>
        <v>0</v>
      </c>
      <c r="TJ465" s="91">
        <f t="shared" si="2290"/>
        <v>0</v>
      </c>
      <c r="TY465" s="91">
        <f t="shared" si="2291"/>
        <v>0</v>
      </c>
      <c r="TZ465" s="91">
        <f t="shared" si="2292"/>
        <v>0</v>
      </c>
      <c r="UO465" s="91">
        <f t="shared" si="2293"/>
        <v>0</v>
      </c>
      <c r="UP465" s="91">
        <f t="shared" si="2294"/>
        <v>0</v>
      </c>
      <c r="VE465" s="91">
        <f t="shared" si="2295"/>
        <v>0</v>
      </c>
      <c r="VF465" s="91">
        <f t="shared" si="2296"/>
        <v>0</v>
      </c>
      <c r="VU465" s="91">
        <f t="shared" si="2297"/>
        <v>0</v>
      </c>
      <c r="VV465" s="91">
        <f t="shared" si="2298"/>
        <v>0</v>
      </c>
      <c r="WK465" s="91">
        <f t="shared" si="2299"/>
        <v>0</v>
      </c>
      <c r="WL465" s="91">
        <f t="shared" si="2300"/>
        <v>0</v>
      </c>
      <c r="WM465" s="89"/>
      <c r="WN465" s="87">
        <f t="shared" si="2324"/>
        <v>1430</v>
      </c>
      <c r="WO465" s="87">
        <f t="shared" si="2325"/>
        <v>14300</v>
      </c>
      <c r="WP465" s="87">
        <f t="shared" si="2326"/>
        <v>0</v>
      </c>
      <c r="WQ465" s="87">
        <f t="shared" si="2327"/>
        <v>0</v>
      </c>
      <c r="WR465" s="87">
        <f t="shared" si="2328"/>
        <v>0</v>
      </c>
      <c r="WS465" s="87">
        <f t="shared" si="2329"/>
        <v>0</v>
      </c>
      <c r="WT465" s="87">
        <f t="shared" si="2330"/>
        <v>0</v>
      </c>
      <c r="WU465" s="87">
        <f t="shared" si="2331"/>
        <v>0</v>
      </c>
      <c r="WV465" s="87">
        <f t="shared" si="2332"/>
        <v>0</v>
      </c>
      <c r="WW465" s="87">
        <f t="shared" si="2333"/>
        <v>0</v>
      </c>
      <c r="WX465" s="87">
        <f t="shared" si="2334"/>
        <v>0</v>
      </c>
      <c r="WY465" s="87">
        <f t="shared" si="2335"/>
        <v>0</v>
      </c>
      <c r="WZ465" s="87">
        <f t="shared" si="2319"/>
        <v>0</v>
      </c>
      <c r="XA465" s="87">
        <f t="shared" si="2320"/>
        <v>0</v>
      </c>
      <c r="XB465" s="92">
        <f t="shared" si="2321"/>
        <v>1430</v>
      </c>
      <c r="XC465" s="92">
        <f t="shared" si="2322"/>
        <v>14300</v>
      </c>
      <c r="XD465" s="89"/>
      <c r="XE465" s="92"/>
      <c r="XF465" s="92"/>
      <c r="XG465" s="89"/>
      <c r="XH465" s="92"/>
      <c r="XI465" s="92"/>
      <c r="XJ465" s="89"/>
      <c r="XK465" s="87"/>
      <c r="XL465" s="87"/>
      <c r="XM465" s="87"/>
      <c r="XN465" s="87"/>
      <c r="XO465" s="87"/>
      <c r="XP465" s="87"/>
      <c r="XQ465" s="87"/>
      <c r="XR465" s="92">
        <f t="shared" ca="1" si="2317"/>
        <v>0</v>
      </c>
      <c r="XS465" s="89"/>
      <c r="XT465" s="87"/>
      <c r="XU465" s="87"/>
      <c r="XV465" s="87"/>
      <c r="XW465" s="87"/>
      <c r="XX465" s="87"/>
      <c r="XY465" s="87"/>
      <c r="XZ465" s="87"/>
      <c r="YA465" s="92">
        <f t="shared" ca="1" si="2318"/>
        <v>0</v>
      </c>
      <c r="YB465" s="90"/>
      <c r="YC465" s="90"/>
      <c r="YD465" s="90"/>
      <c r="YE465" s="90"/>
      <c r="YF465" s="90"/>
      <c r="YG465" s="90"/>
      <c r="YH465" s="90"/>
      <c r="YI465" s="90"/>
      <c r="YJ465" s="90"/>
      <c r="YK465" s="90"/>
      <c r="YL465" s="90"/>
      <c r="YM465" s="90"/>
      <c r="YN465" s="90"/>
      <c r="YO465" s="90"/>
      <c r="YP465" s="90"/>
      <c r="YQ465" s="90"/>
      <c r="YR465" s="90"/>
      <c r="YS465" s="90"/>
      <c r="YT465" s="90"/>
      <c r="YU465" s="90"/>
      <c r="YV465" s="90"/>
      <c r="YW465" s="90"/>
      <c r="YX465" s="90"/>
      <c r="YY465" s="90"/>
      <c r="YZ465" s="90"/>
      <c r="ZA465" s="90"/>
      <c r="ZB465" s="90"/>
      <c r="ZC465" s="90"/>
      <c r="ZD465" s="90"/>
      <c r="ZE465" s="90"/>
      <c r="ZF465" s="90"/>
      <c r="ZG465" s="90"/>
      <c r="ZH465" s="90"/>
      <c r="ZI465" s="90"/>
      <c r="ZJ465" s="90"/>
      <c r="ZK465" s="90"/>
      <c r="ZL465" s="90"/>
      <c r="ZM465" s="90"/>
      <c r="ZN465" s="90"/>
      <c r="ZO465" s="90"/>
      <c r="ZP465" s="90"/>
      <c r="ZQ465" s="90"/>
      <c r="ZR465" s="90"/>
      <c r="ZS465" s="90"/>
      <c r="ZT465" s="90"/>
      <c r="ZU465" s="90"/>
      <c r="ZV465" s="90"/>
      <c r="ZW465" s="90"/>
      <c r="ZX465" s="90"/>
      <c r="ZY465" s="90"/>
      <c r="ZZ465" s="90"/>
      <c r="AAA465" s="90"/>
      <c r="AAB465" s="90"/>
      <c r="AAC465" s="90"/>
      <c r="AAD465" s="90"/>
      <c r="AAE465" s="90"/>
      <c r="AAF465" s="90"/>
      <c r="AAG465" s="90"/>
      <c r="AAH465" s="90"/>
      <c r="AAI465" s="90"/>
      <c r="AAJ465" s="90"/>
      <c r="AAK465" s="90"/>
      <c r="AAL465" s="90"/>
      <c r="AAM465" s="90"/>
      <c r="AAN465" s="90"/>
      <c r="AAO465" s="90"/>
      <c r="AAP465" s="90"/>
      <c r="AAQ465" s="90"/>
      <c r="AAR465" s="90"/>
      <c r="AAS465" s="90"/>
      <c r="AAT465" s="90"/>
      <c r="AAU465" s="90"/>
      <c r="AAV465" s="90"/>
      <c r="AAW465" s="90"/>
      <c r="AAX465" s="90"/>
      <c r="AAY465" s="90"/>
      <c r="AAZ465" s="90"/>
      <c r="ABA465" s="90"/>
      <c r="ABB465" s="90"/>
      <c r="ABC465" s="90"/>
      <c r="ABD465" s="90"/>
      <c r="ABE465" s="90"/>
      <c r="ABF465" s="90"/>
      <c r="ABG465" s="90"/>
      <c r="ABH465" s="90"/>
      <c r="ABI465" s="90"/>
      <c r="ABJ465" s="90"/>
      <c r="ABK465" s="90"/>
      <c r="ABL465" s="90"/>
      <c r="ABM465" s="90"/>
      <c r="ABN465" s="90"/>
      <c r="ABO465" s="90"/>
      <c r="ABP465" s="90"/>
      <c r="ABQ465" s="90"/>
      <c r="ABR465" s="90"/>
      <c r="ABS465" s="90"/>
      <c r="ABT465" s="90"/>
      <c r="ABU465" s="90"/>
      <c r="ABV465" s="90"/>
      <c r="ABW465" s="90"/>
      <c r="ABX465" s="90"/>
      <c r="ABY465" s="90"/>
      <c r="ABZ465" s="90"/>
      <c r="ACA465" s="90"/>
      <c r="ACB465" s="90"/>
      <c r="ACC465" s="90"/>
      <c r="ACD465" s="90"/>
      <c r="ACE465" s="90"/>
      <c r="ACF465" s="90"/>
      <c r="ACG465" s="90"/>
      <c r="ACH465" s="90"/>
      <c r="ACI465" s="90"/>
      <c r="ACJ465" s="90"/>
      <c r="ACK465" s="90"/>
      <c r="ACL465" s="90"/>
      <c r="ACM465" s="90"/>
      <c r="ACN465" s="90"/>
      <c r="ACO465" s="90"/>
      <c r="ACP465" s="90"/>
      <c r="ACQ465" s="90"/>
      <c r="ACR465" s="90"/>
      <c r="ACS465" s="90"/>
      <c r="ACT465" s="90"/>
      <c r="ACU465" s="90"/>
      <c r="ACV465" s="90"/>
      <c r="ACW465" s="90"/>
      <c r="ACX465" s="90"/>
      <c r="ACY465" s="90"/>
      <c r="ACZ465" s="90"/>
      <c r="ADA465" s="90"/>
      <c r="ADB465" s="90"/>
      <c r="ADC465" s="90"/>
      <c r="ADD465" s="90"/>
      <c r="ADE465" s="90"/>
      <c r="ADF465" s="90"/>
      <c r="ADG465" s="90"/>
      <c r="ADH465" s="90"/>
      <c r="ADI465" s="90"/>
      <c r="ADJ465" s="90"/>
      <c r="ADK465" s="90"/>
      <c r="ADL465" s="90"/>
      <c r="ADM465" s="90"/>
      <c r="ADN465" s="90"/>
      <c r="ADO465" s="90"/>
      <c r="ADP465" s="90"/>
      <c r="ADQ465" s="90"/>
      <c r="ADR465" s="90"/>
      <c r="ADS465" s="90"/>
      <c r="ADT465" s="90"/>
      <c r="ADU465" s="90"/>
      <c r="ADV465" s="90"/>
      <c r="ADW465" s="90"/>
      <c r="ADX465" s="90"/>
      <c r="ADY465" s="90"/>
      <c r="ADZ465" s="90"/>
      <c r="AEA465" s="90"/>
      <c r="AEB465" s="90"/>
      <c r="AEC465" s="90"/>
      <c r="AED465" s="90"/>
      <c r="AEE465" s="90"/>
      <c r="AEF465" s="90"/>
      <c r="AEG465" s="90"/>
      <c r="AEH465" s="90"/>
      <c r="AEI465" s="90"/>
      <c r="AEJ465" s="90"/>
      <c r="AEK465" s="90"/>
      <c r="AEL465" s="90"/>
      <c r="AEM465" s="90"/>
      <c r="AEN465" s="90"/>
      <c r="AEO465" s="90"/>
      <c r="AEP465" s="90"/>
      <c r="AEQ465" s="90"/>
      <c r="AER465" s="90"/>
      <c r="AES465" s="90"/>
      <c r="AET465" s="90"/>
      <c r="AEU465" s="90"/>
      <c r="AEV465" s="90"/>
      <c r="AEW465" s="90"/>
      <c r="AEX465" s="90"/>
      <c r="AEY465" s="90"/>
      <c r="AEZ465" s="90"/>
      <c r="AFA465" s="90"/>
      <c r="AFB465" s="90"/>
      <c r="AFC465" s="90"/>
      <c r="AFD465" s="90"/>
      <c r="AFE465" s="90"/>
      <c r="AFF465" s="90"/>
      <c r="AFG465" s="90"/>
      <c r="AFH465" s="90"/>
      <c r="AFI465" s="90"/>
      <c r="AFJ465" s="90"/>
      <c r="AFK465" s="90"/>
      <c r="AFL465" s="90"/>
      <c r="AFM465" s="90"/>
      <c r="AFN465" s="90"/>
      <c r="AFO465" s="90"/>
      <c r="AFP465" s="90"/>
      <c r="AFQ465" s="90"/>
      <c r="AFR465" s="90"/>
      <c r="AFS465" s="90"/>
      <c r="AFT465" s="90"/>
      <c r="AFU465" s="90"/>
      <c r="AFV465" s="90"/>
      <c r="AFW465" s="90"/>
      <c r="AFX465" s="90"/>
      <c r="AFY465" s="90"/>
      <c r="AFZ465" s="90"/>
      <c r="AGA465" s="90"/>
      <c r="AGB465" s="90"/>
      <c r="AGC465" s="90"/>
      <c r="AGD465" s="90"/>
      <c r="AGE465" s="90"/>
      <c r="AGF465" s="90"/>
      <c r="AGG465" s="90"/>
      <c r="AGH465" s="90"/>
      <c r="AGI465" s="90"/>
      <c r="AGJ465" s="90"/>
      <c r="AGK465" s="90"/>
      <c r="AGL465" s="90"/>
      <c r="AGM465" s="90"/>
      <c r="AGN465" s="90"/>
      <c r="AGO465" s="90"/>
      <c r="AGP465" s="90"/>
      <c r="AGQ465" s="90"/>
      <c r="AGR465" s="90"/>
      <c r="AGS465" s="90"/>
      <c r="AGT465" s="90"/>
      <c r="AGU465" s="90"/>
      <c r="AGV465" s="90"/>
      <c r="AGW465" s="90"/>
      <c r="AGX465" s="90"/>
      <c r="AGY465" s="90"/>
      <c r="AGZ465" s="90"/>
      <c r="AHA465" s="90"/>
      <c r="AHB465" s="90"/>
      <c r="AHC465" s="90"/>
      <c r="AHD465" s="90"/>
      <c r="AHE465" s="90"/>
      <c r="AHF465" s="90"/>
      <c r="AHG465" s="90"/>
      <c r="AHH465" s="90"/>
      <c r="AHI465" s="90"/>
      <c r="AHJ465" s="90"/>
      <c r="AHK465" s="90"/>
      <c r="AHL465" s="90"/>
      <c r="AHM465" s="90"/>
      <c r="AHN465" s="90"/>
      <c r="AHO465" s="90"/>
      <c r="AHP465" s="90"/>
      <c r="AHQ465" s="90"/>
      <c r="AHR465" s="90"/>
      <c r="AHS465" s="90"/>
      <c r="AHT465" s="90"/>
      <c r="AHU465" s="90"/>
      <c r="AHV465" s="90"/>
      <c r="AHW465" s="90"/>
      <c r="AHX465" s="90"/>
      <c r="AHY465" s="90"/>
      <c r="AHZ465" s="90"/>
      <c r="AIA465" s="90"/>
      <c r="AIB465" s="90"/>
      <c r="AIC465" s="90"/>
      <c r="AID465" s="90"/>
      <c r="AIE465" s="90"/>
      <c r="AIF465" s="90"/>
      <c r="AIG465" s="90"/>
      <c r="AIH465" s="90"/>
      <c r="AII465" s="90"/>
      <c r="AIJ465" s="90"/>
      <c r="AIK465" s="90"/>
      <c r="AIL465" s="90"/>
      <c r="AIM465" s="90"/>
      <c r="AIN465" s="90"/>
      <c r="AIO465" s="90"/>
      <c r="AIP465" s="90"/>
      <c r="AIQ465" s="90"/>
      <c r="AIR465" s="90"/>
      <c r="AIS465" s="90"/>
      <c r="AIT465" s="90"/>
      <c r="AIU465" s="90"/>
      <c r="AIV465" s="90"/>
      <c r="AIW465" s="90"/>
      <c r="AIX465" s="90"/>
      <c r="AIY465" s="90"/>
      <c r="AIZ465" s="90"/>
      <c r="AJA465" s="90"/>
      <c r="AJB465" s="90"/>
      <c r="AJC465" s="90"/>
      <c r="AJD465" s="90"/>
      <c r="AJE465" s="90"/>
      <c r="AJF465" s="90"/>
      <c r="AJG465" s="90"/>
      <c r="AJH465" s="90"/>
      <c r="AJI465" s="90"/>
      <c r="AJJ465" s="90"/>
      <c r="AJK465" s="90"/>
      <c r="AJL465" s="90"/>
      <c r="AJM465" s="90"/>
      <c r="AJN465" s="90"/>
      <c r="AJO465" s="90"/>
      <c r="AJP465" s="90"/>
      <c r="AJQ465" s="90"/>
      <c r="AJR465" s="90"/>
      <c r="AJS465" s="90"/>
      <c r="AJT465" s="90"/>
      <c r="AJU465" s="90"/>
      <c r="AJV465" s="90"/>
      <c r="AJW465" s="90"/>
      <c r="AJX465" s="90"/>
      <c r="AJY465" s="90"/>
      <c r="AJZ465" s="90"/>
      <c r="AKA465" s="90"/>
      <c r="AKB465" s="90"/>
      <c r="AKC465" s="90"/>
      <c r="AKD465" s="90"/>
      <c r="AKE465" s="90"/>
      <c r="AKF465" s="90"/>
      <c r="AKG465" s="90"/>
      <c r="AKH465" s="90"/>
      <c r="AKI465" s="90"/>
      <c r="AKJ465" s="90"/>
      <c r="AKK465" s="90"/>
      <c r="AKL465" s="90"/>
      <c r="AKM465" s="90"/>
      <c r="AKN465" s="90"/>
      <c r="AKO465" s="90"/>
      <c r="AKP465" s="90"/>
      <c r="AKQ465" s="90"/>
      <c r="AKR465" s="90"/>
      <c r="AKS465" s="90"/>
      <c r="AKT465" s="90"/>
      <c r="AKU465" s="90"/>
      <c r="AKV465" s="90"/>
      <c r="AKW465" s="90"/>
      <c r="AKX465" s="90"/>
      <c r="AKY465" s="90"/>
      <c r="AKZ465" s="90"/>
      <c r="ALA465" s="90"/>
      <c r="ALB465" s="90"/>
      <c r="ALC465" s="90"/>
      <c r="ALD465" s="90"/>
      <c r="ALE465" s="90"/>
      <c r="ALF465" s="90"/>
      <c r="ALG465" s="90"/>
      <c r="ALH465" s="90"/>
      <c r="ALI465" s="90"/>
      <c r="ALJ465" s="90"/>
      <c r="ALK465" s="90"/>
      <c r="ALL465" s="90"/>
      <c r="ALM465" s="90"/>
      <c r="ALN465" s="90"/>
      <c r="ALO465" s="90"/>
      <c r="ALP465" s="90"/>
      <c r="ALQ465" s="90"/>
      <c r="ALR465" s="90"/>
      <c r="ALS465" s="90"/>
      <c r="ALT465" s="90"/>
      <c r="ALU465" s="90"/>
      <c r="ALV465" s="90"/>
      <c r="ALW465" s="90"/>
      <c r="ALX465" s="90"/>
      <c r="ALY465" s="90"/>
      <c r="ALZ465" s="90"/>
      <c r="AMA465" s="90"/>
      <c r="AMB465" s="90"/>
      <c r="AMC465" s="90"/>
    </row>
    <row r="466" spans="1:1017">
      <c r="A466" s="98" t="s">
        <v>56</v>
      </c>
      <c r="B466" s="90" t="str">
        <f t="shared" si="2323"/>
        <v>Ikan_03 (Kerang Darah)</v>
      </c>
      <c r="Q466" s="91">
        <f t="shared" si="2225"/>
        <v>0</v>
      </c>
      <c r="R466" s="91">
        <f t="shared" si="2226"/>
        <v>0</v>
      </c>
      <c r="AG466" s="91">
        <f t="shared" si="2227"/>
        <v>0</v>
      </c>
      <c r="AH466" s="91">
        <f t="shared" si="2228"/>
        <v>0</v>
      </c>
      <c r="AW466" s="91">
        <f t="shared" si="2229"/>
        <v>0</v>
      </c>
      <c r="AX466" s="91">
        <f t="shared" si="2230"/>
        <v>0</v>
      </c>
      <c r="BM466" s="91">
        <f t="shared" si="2231"/>
        <v>0</v>
      </c>
      <c r="BN466" s="91">
        <f t="shared" si="2232"/>
        <v>0</v>
      </c>
      <c r="CC466" s="91">
        <f t="shared" si="2233"/>
        <v>0</v>
      </c>
      <c r="CD466" s="91">
        <f t="shared" si="2234"/>
        <v>0</v>
      </c>
      <c r="CS466" s="91">
        <f t="shared" si="2235"/>
        <v>0</v>
      </c>
      <c r="CT466" s="91">
        <f t="shared" si="2236"/>
        <v>0</v>
      </c>
      <c r="DI466" s="91">
        <f t="shared" si="2237"/>
        <v>0</v>
      </c>
      <c r="DJ466" s="91">
        <f t="shared" si="2238"/>
        <v>0</v>
      </c>
      <c r="DY466" s="91">
        <f t="shared" si="2239"/>
        <v>0</v>
      </c>
      <c r="DZ466" s="91">
        <f t="shared" si="2240"/>
        <v>0</v>
      </c>
      <c r="EO466" s="91">
        <f t="shared" si="2241"/>
        <v>0</v>
      </c>
      <c r="EP466" s="91">
        <f t="shared" si="2242"/>
        <v>0</v>
      </c>
      <c r="FE466" s="91">
        <f t="shared" si="2243"/>
        <v>0</v>
      </c>
      <c r="FF466" s="91">
        <f t="shared" si="2244"/>
        <v>0</v>
      </c>
      <c r="FU466" s="91">
        <f t="shared" si="2245"/>
        <v>0</v>
      </c>
      <c r="FV466" s="91">
        <f t="shared" si="2246"/>
        <v>0</v>
      </c>
      <c r="GK466" s="91">
        <f t="shared" si="2247"/>
        <v>0</v>
      </c>
      <c r="GL466" s="91">
        <f t="shared" si="2248"/>
        <v>0</v>
      </c>
      <c r="HA466" s="91">
        <f t="shared" si="2249"/>
        <v>0</v>
      </c>
      <c r="HB466" s="91">
        <f t="shared" si="2250"/>
        <v>0</v>
      </c>
      <c r="HQ466" s="91">
        <f t="shared" si="2251"/>
        <v>0</v>
      </c>
      <c r="HR466" s="91">
        <f t="shared" si="2252"/>
        <v>0</v>
      </c>
      <c r="IG466" s="91">
        <f t="shared" si="2253"/>
        <v>0</v>
      </c>
      <c r="IH466" s="91">
        <f t="shared" si="2254"/>
        <v>0</v>
      </c>
      <c r="IW466" s="91">
        <f t="shared" si="2255"/>
        <v>0</v>
      </c>
      <c r="IX466" s="91">
        <f t="shared" si="2256"/>
        <v>0</v>
      </c>
      <c r="JM466" s="91">
        <f t="shared" si="2257"/>
        <v>0</v>
      </c>
      <c r="JN466" s="91">
        <f t="shared" si="2258"/>
        <v>0</v>
      </c>
      <c r="KC466" s="91">
        <f t="shared" si="2259"/>
        <v>0</v>
      </c>
      <c r="KD466" s="91">
        <f t="shared" si="2260"/>
        <v>0</v>
      </c>
      <c r="KS466" s="91">
        <f t="shared" si="2261"/>
        <v>0</v>
      </c>
      <c r="KT466" s="91">
        <f t="shared" si="2262"/>
        <v>0</v>
      </c>
      <c r="LI466" s="91">
        <f t="shared" si="2263"/>
        <v>0</v>
      </c>
      <c r="LJ466" s="91">
        <f t="shared" si="2264"/>
        <v>0</v>
      </c>
      <c r="LY466" s="91">
        <f t="shared" si="2265"/>
        <v>0</v>
      </c>
      <c r="LZ466" s="91">
        <f t="shared" si="2266"/>
        <v>0</v>
      </c>
      <c r="MO466" s="91">
        <f t="shared" si="2267"/>
        <v>0</v>
      </c>
      <c r="MP466" s="91">
        <f t="shared" si="2268"/>
        <v>0</v>
      </c>
      <c r="NE466" s="91">
        <f t="shared" si="2269"/>
        <v>0</v>
      </c>
      <c r="NF466" s="91">
        <f t="shared" si="2270"/>
        <v>0</v>
      </c>
      <c r="NU466" s="91">
        <f t="shared" si="2271"/>
        <v>0</v>
      </c>
      <c r="NV466" s="91">
        <f t="shared" si="2272"/>
        <v>0</v>
      </c>
      <c r="OK466" s="91">
        <f t="shared" si="2273"/>
        <v>0</v>
      </c>
      <c r="OL466" s="91">
        <f t="shared" si="2274"/>
        <v>0</v>
      </c>
      <c r="PA466" s="91">
        <f t="shared" si="2275"/>
        <v>0</v>
      </c>
      <c r="PB466" s="91">
        <f t="shared" si="2276"/>
        <v>0</v>
      </c>
      <c r="PQ466" s="91">
        <f t="shared" si="2277"/>
        <v>0</v>
      </c>
      <c r="PR466" s="91">
        <f t="shared" si="2278"/>
        <v>0</v>
      </c>
      <c r="QG466" s="91">
        <f t="shared" si="2279"/>
        <v>0</v>
      </c>
      <c r="QH466" s="91">
        <f t="shared" si="2280"/>
        <v>0</v>
      </c>
      <c r="QW466" s="91">
        <f t="shared" si="2281"/>
        <v>0</v>
      </c>
      <c r="QX466" s="91">
        <f t="shared" si="2282"/>
        <v>0</v>
      </c>
      <c r="RM466" s="91">
        <f t="shared" si="2283"/>
        <v>0</v>
      </c>
      <c r="RN466" s="91">
        <f t="shared" si="2284"/>
        <v>0</v>
      </c>
      <c r="SC466" s="91">
        <f t="shared" si="2285"/>
        <v>0</v>
      </c>
      <c r="SD466" s="91">
        <f t="shared" si="2286"/>
        <v>0</v>
      </c>
      <c r="SS466" s="91">
        <f t="shared" si="2287"/>
        <v>0</v>
      </c>
      <c r="ST466" s="91">
        <f t="shared" si="2288"/>
        <v>0</v>
      </c>
      <c r="TI466" s="91">
        <f t="shared" si="2289"/>
        <v>0</v>
      </c>
      <c r="TJ466" s="91">
        <f t="shared" si="2290"/>
        <v>0</v>
      </c>
      <c r="TY466" s="91">
        <f t="shared" si="2291"/>
        <v>0</v>
      </c>
      <c r="TZ466" s="91">
        <f t="shared" si="2292"/>
        <v>0</v>
      </c>
      <c r="UO466" s="91">
        <f t="shared" si="2293"/>
        <v>0</v>
      </c>
      <c r="UP466" s="91">
        <f t="shared" si="2294"/>
        <v>0</v>
      </c>
      <c r="VE466" s="91">
        <f t="shared" si="2295"/>
        <v>0</v>
      </c>
      <c r="VF466" s="91">
        <f t="shared" si="2296"/>
        <v>0</v>
      </c>
      <c r="VU466" s="91">
        <f t="shared" si="2297"/>
        <v>0</v>
      </c>
      <c r="VV466" s="91">
        <f t="shared" si="2298"/>
        <v>0</v>
      </c>
      <c r="WK466" s="91">
        <f t="shared" si="2299"/>
        <v>0</v>
      </c>
      <c r="WL466" s="91">
        <f t="shared" si="2300"/>
        <v>0</v>
      </c>
      <c r="WM466" s="89"/>
      <c r="WN466" s="87">
        <f t="shared" si="2324"/>
        <v>0</v>
      </c>
      <c r="WO466" s="87">
        <f t="shared" si="2325"/>
        <v>0</v>
      </c>
      <c r="WP466" s="87">
        <f t="shared" si="2326"/>
        <v>0</v>
      </c>
      <c r="WQ466" s="87">
        <f t="shared" si="2327"/>
        <v>0</v>
      </c>
      <c r="WR466" s="87">
        <f t="shared" si="2328"/>
        <v>0</v>
      </c>
      <c r="WS466" s="87">
        <f t="shared" si="2329"/>
        <v>0</v>
      </c>
      <c r="WT466" s="87">
        <f t="shared" si="2330"/>
        <v>0</v>
      </c>
      <c r="WU466" s="87">
        <f t="shared" si="2331"/>
        <v>0</v>
      </c>
      <c r="WV466" s="87">
        <f t="shared" si="2332"/>
        <v>0</v>
      </c>
      <c r="WW466" s="87">
        <f t="shared" si="2333"/>
        <v>0</v>
      </c>
      <c r="WX466" s="87">
        <f t="shared" si="2334"/>
        <v>0</v>
      </c>
      <c r="WY466" s="87">
        <f t="shared" si="2335"/>
        <v>0</v>
      </c>
      <c r="WZ466" s="87">
        <f t="shared" si="2319"/>
        <v>0</v>
      </c>
      <c r="XA466" s="87">
        <f t="shared" si="2320"/>
        <v>0</v>
      </c>
      <c r="XB466" s="92">
        <f t="shared" si="2321"/>
        <v>0</v>
      </c>
      <c r="XC466" s="92">
        <f t="shared" si="2322"/>
        <v>0</v>
      </c>
      <c r="XD466" s="89"/>
      <c r="XE466" s="92"/>
      <c r="XF466" s="92"/>
      <c r="XG466" s="89"/>
      <c r="XH466" s="92"/>
      <c r="XI466" s="92"/>
      <c r="XJ466" s="89"/>
      <c r="XK466" s="87"/>
      <c r="XL466" s="87"/>
      <c r="XM466" s="87"/>
      <c r="XN466" s="87"/>
      <c r="XO466" s="87"/>
      <c r="XP466" s="87"/>
      <c r="XQ466" s="87"/>
      <c r="XR466" s="92">
        <f t="shared" ca="1" si="2317"/>
        <v>0</v>
      </c>
      <c r="XS466" s="89"/>
      <c r="XT466" s="87"/>
      <c r="XU466" s="87"/>
      <c r="XV466" s="87"/>
      <c r="XW466" s="87"/>
      <c r="XX466" s="87"/>
      <c r="XY466" s="87"/>
      <c r="XZ466" s="87"/>
      <c r="YA466" s="92">
        <f t="shared" ca="1" si="2318"/>
        <v>0</v>
      </c>
      <c r="YB466" s="90"/>
      <c r="YC466" s="90"/>
      <c r="YD466" s="90"/>
      <c r="YE466" s="90"/>
      <c r="YF466" s="90"/>
      <c r="YG466" s="90"/>
      <c r="YH466" s="90"/>
      <c r="YI466" s="90"/>
      <c r="YJ466" s="90"/>
      <c r="YK466" s="90"/>
      <c r="YL466" s="90"/>
      <c r="YM466" s="90"/>
      <c r="YN466" s="90"/>
      <c r="YO466" s="90"/>
      <c r="YP466" s="90"/>
      <c r="YQ466" s="90"/>
      <c r="YR466" s="90"/>
      <c r="YS466" s="90"/>
      <c r="YT466" s="90"/>
      <c r="YU466" s="90"/>
      <c r="YV466" s="90"/>
      <c r="YW466" s="90"/>
      <c r="YX466" s="90"/>
      <c r="YY466" s="90"/>
      <c r="YZ466" s="90"/>
      <c r="ZA466" s="90"/>
      <c r="ZB466" s="90"/>
      <c r="ZC466" s="90"/>
      <c r="ZD466" s="90"/>
      <c r="ZE466" s="90"/>
      <c r="ZF466" s="90"/>
      <c r="ZG466" s="90"/>
      <c r="ZH466" s="90"/>
      <c r="ZI466" s="90"/>
      <c r="ZJ466" s="90"/>
      <c r="ZK466" s="90"/>
      <c r="ZL466" s="90"/>
      <c r="ZM466" s="90"/>
      <c r="ZN466" s="90"/>
      <c r="ZO466" s="90"/>
      <c r="ZP466" s="90"/>
      <c r="ZQ466" s="90"/>
      <c r="ZR466" s="90"/>
      <c r="ZS466" s="90"/>
      <c r="ZT466" s="90"/>
      <c r="ZU466" s="90"/>
      <c r="ZV466" s="90"/>
      <c r="ZW466" s="90"/>
      <c r="ZX466" s="90"/>
      <c r="ZY466" s="90"/>
      <c r="ZZ466" s="90"/>
      <c r="AAA466" s="90"/>
      <c r="AAB466" s="90"/>
      <c r="AAC466" s="90"/>
      <c r="AAD466" s="90"/>
      <c r="AAE466" s="90"/>
      <c r="AAF466" s="90"/>
      <c r="AAG466" s="90"/>
      <c r="AAH466" s="90"/>
      <c r="AAI466" s="90"/>
      <c r="AAJ466" s="90"/>
      <c r="AAK466" s="90"/>
      <c r="AAL466" s="90"/>
      <c r="AAM466" s="90"/>
      <c r="AAN466" s="90"/>
      <c r="AAO466" s="90"/>
      <c r="AAP466" s="90"/>
      <c r="AAQ466" s="90"/>
      <c r="AAR466" s="90"/>
      <c r="AAS466" s="90"/>
      <c r="AAT466" s="90"/>
      <c r="AAU466" s="90"/>
      <c r="AAV466" s="90"/>
      <c r="AAW466" s="90"/>
      <c r="AAX466" s="90"/>
      <c r="AAY466" s="90"/>
      <c r="AAZ466" s="90"/>
      <c r="ABA466" s="90"/>
      <c r="ABB466" s="90"/>
      <c r="ABC466" s="90"/>
      <c r="ABD466" s="90"/>
      <c r="ABE466" s="90"/>
      <c r="ABF466" s="90"/>
      <c r="ABG466" s="90"/>
      <c r="ABH466" s="90"/>
      <c r="ABI466" s="90"/>
      <c r="ABJ466" s="90"/>
      <c r="ABK466" s="90"/>
      <c r="ABL466" s="90"/>
      <c r="ABM466" s="90"/>
      <c r="ABN466" s="90"/>
      <c r="ABO466" s="90"/>
      <c r="ABP466" s="90"/>
      <c r="ABQ466" s="90"/>
      <c r="ABR466" s="90"/>
      <c r="ABS466" s="90"/>
      <c r="ABT466" s="90"/>
      <c r="ABU466" s="90"/>
      <c r="ABV466" s="90"/>
      <c r="ABW466" s="90"/>
      <c r="ABX466" s="90"/>
      <c r="ABY466" s="90"/>
      <c r="ABZ466" s="90"/>
      <c r="ACA466" s="90"/>
      <c r="ACB466" s="90"/>
      <c r="ACC466" s="90"/>
      <c r="ACD466" s="90"/>
      <c r="ACE466" s="90"/>
      <c r="ACF466" s="90"/>
      <c r="ACG466" s="90"/>
      <c r="ACH466" s="90"/>
      <c r="ACI466" s="90"/>
      <c r="ACJ466" s="90"/>
      <c r="ACK466" s="90"/>
      <c r="ACL466" s="90"/>
      <c r="ACM466" s="90"/>
      <c r="ACN466" s="90"/>
      <c r="ACO466" s="90"/>
      <c r="ACP466" s="90"/>
      <c r="ACQ466" s="90"/>
      <c r="ACR466" s="90"/>
      <c r="ACS466" s="90"/>
      <c r="ACT466" s="90"/>
      <c r="ACU466" s="90"/>
      <c r="ACV466" s="90"/>
      <c r="ACW466" s="90"/>
      <c r="ACX466" s="90"/>
      <c r="ACY466" s="90"/>
      <c r="ACZ466" s="90"/>
      <c r="ADA466" s="90"/>
      <c r="ADB466" s="90"/>
      <c r="ADC466" s="90"/>
      <c r="ADD466" s="90"/>
      <c r="ADE466" s="90"/>
      <c r="ADF466" s="90"/>
      <c r="ADG466" s="90"/>
      <c r="ADH466" s="90"/>
      <c r="ADI466" s="90"/>
      <c r="ADJ466" s="90"/>
      <c r="ADK466" s="90"/>
      <c r="ADL466" s="90"/>
      <c r="ADM466" s="90"/>
      <c r="ADN466" s="90"/>
      <c r="ADO466" s="90"/>
      <c r="ADP466" s="90"/>
      <c r="ADQ466" s="90"/>
      <c r="ADR466" s="90"/>
      <c r="ADS466" s="90"/>
      <c r="ADT466" s="90"/>
      <c r="ADU466" s="90"/>
      <c r="ADV466" s="90"/>
      <c r="ADW466" s="90"/>
      <c r="ADX466" s="90"/>
      <c r="ADY466" s="90"/>
      <c r="ADZ466" s="90"/>
      <c r="AEA466" s="90"/>
      <c r="AEB466" s="90"/>
      <c r="AEC466" s="90"/>
      <c r="AED466" s="90"/>
      <c r="AEE466" s="90"/>
      <c r="AEF466" s="90"/>
      <c r="AEG466" s="90"/>
      <c r="AEH466" s="90"/>
      <c r="AEI466" s="90"/>
      <c r="AEJ466" s="90"/>
      <c r="AEK466" s="90"/>
      <c r="AEL466" s="90"/>
      <c r="AEM466" s="90"/>
      <c r="AEN466" s="90"/>
      <c r="AEO466" s="90"/>
      <c r="AEP466" s="90"/>
      <c r="AEQ466" s="90"/>
      <c r="AER466" s="90"/>
      <c r="AES466" s="90"/>
      <c r="AET466" s="90"/>
      <c r="AEU466" s="90"/>
      <c r="AEV466" s="90"/>
      <c r="AEW466" s="90"/>
      <c r="AEX466" s="90"/>
      <c r="AEY466" s="90"/>
      <c r="AEZ466" s="90"/>
      <c r="AFA466" s="90"/>
      <c r="AFB466" s="90"/>
      <c r="AFC466" s="90"/>
      <c r="AFD466" s="90"/>
      <c r="AFE466" s="90"/>
      <c r="AFF466" s="90"/>
      <c r="AFG466" s="90"/>
      <c r="AFH466" s="90"/>
      <c r="AFI466" s="90"/>
      <c r="AFJ466" s="90"/>
      <c r="AFK466" s="90"/>
      <c r="AFL466" s="90"/>
      <c r="AFM466" s="90"/>
      <c r="AFN466" s="90"/>
      <c r="AFO466" s="90"/>
      <c r="AFP466" s="90"/>
      <c r="AFQ466" s="90"/>
      <c r="AFR466" s="90"/>
      <c r="AFS466" s="90"/>
      <c r="AFT466" s="90"/>
      <c r="AFU466" s="90"/>
      <c r="AFV466" s="90"/>
      <c r="AFW466" s="90"/>
      <c r="AFX466" s="90"/>
      <c r="AFY466" s="90"/>
      <c r="AFZ466" s="90"/>
      <c r="AGA466" s="90"/>
      <c r="AGB466" s="90"/>
      <c r="AGC466" s="90"/>
      <c r="AGD466" s="90"/>
      <c r="AGE466" s="90"/>
      <c r="AGF466" s="90"/>
      <c r="AGG466" s="90"/>
      <c r="AGH466" s="90"/>
      <c r="AGI466" s="90"/>
      <c r="AGJ466" s="90"/>
      <c r="AGK466" s="90"/>
      <c r="AGL466" s="90"/>
      <c r="AGM466" s="90"/>
      <c r="AGN466" s="90"/>
      <c r="AGO466" s="90"/>
      <c r="AGP466" s="90"/>
      <c r="AGQ466" s="90"/>
      <c r="AGR466" s="90"/>
      <c r="AGS466" s="90"/>
      <c r="AGT466" s="90"/>
      <c r="AGU466" s="90"/>
      <c r="AGV466" s="90"/>
      <c r="AGW466" s="90"/>
      <c r="AGX466" s="90"/>
      <c r="AGY466" s="90"/>
      <c r="AGZ466" s="90"/>
      <c r="AHA466" s="90"/>
      <c r="AHB466" s="90"/>
      <c r="AHC466" s="90"/>
      <c r="AHD466" s="90"/>
      <c r="AHE466" s="90"/>
      <c r="AHF466" s="90"/>
      <c r="AHG466" s="90"/>
      <c r="AHH466" s="90"/>
      <c r="AHI466" s="90"/>
      <c r="AHJ466" s="90"/>
      <c r="AHK466" s="90"/>
      <c r="AHL466" s="90"/>
      <c r="AHM466" s="90"/>
      <c r="AHN466" s="90"/>
      <c r="AHO466" s="90"/>
      <c r="AHP466" s="90"/>
      <c r="AHQ466" s="90"/>
      <c r="AHR466" s="90"/>
      <c r="AHS466" s="90"/>
      <c r="AHT466" s="90"/>
      <c r="AHU466" s="90"/>
      <c r="AHV466" s="90"/>
      <c r="AHW466" s="90"/>
      <c r="AHX466" s="90"/>
      <c r="AHY466" s="90"/>
      <c r="AHZ466" s="90"/>
      <c r="AIA466" s="90"/>
      <c r="AIB466" s="90"/>
      <c r="AIC466" s="90"/>
      <c r="AID466" s="90"/>
      <c r="AIE466" s="90"/>
      <c r="AIF466" s="90"/>
      <c r="AIG466" s="90"/>
      <c r="AIH466" s="90"/>
      <c r="AII466" s="90"/>
      <c r="AIJ466" s="90"/>
      <c r="AIK466" s="90"/>
      <c r="AIL466" s="90"/>
      <c r="AIM466" s="90"/>
      <c r="AIN466" s="90"/>
      <c r="AIO466" s="90"/>
      <c r="AIP466" s="90"/>
      <c r="AIQ466" s="90"/>
      <c r="AIR466" s="90"/>
      <c r="AIS466" s="90"/>
      <c r="AIT466" s="90"/>
      <c r="AIU466" s="90"/>
      <c r="AIV466" s="90"/>
      <c r="AIW466" s="90"/>
      <c r="AIX466" s="90"/>
      <c r="AIY466" s="90"/>
      <c r="AIZ466" s="90"/>
      <c r="AJA466" s="90"/>
      <c r="AJB466" s="90"/>
      <c r="AJC466" s="90"/>
      <c r="AJD466" s="90"/>
      <c r="AJE466" s="90"/>
      <c r="AJF466" s="90"/>
      <c r="AJG466" s="90"/>
      <c r="AJH466" s="90"/>
      <c r="AJI466" s="90"/>
      <c r="AJJ466" s="90"/>
      <c r="AJK466" s="90"/>
      <c r="AJL466" s="90"/>
      <c r="AJM466" s="90"/>
      <c r="AJN466" s="90"/>
      <c r="AJO466" s="90"/>
      <c r="AJP466" s="90"/>
      <c r="AJQ466" s="90"/>
      <c r="AJR466" s="90"/>
      <c r="AJS466" s="90"/>
      <c r="AJT466" s="90"/>
      <c r="AJU466" s="90"/>
      <c r="AJV466" s="90"/>
      <c r="AJW466" s="90"/>
      <c r="AJX466" s="90"/>
      <c r="AJY466" s="90"/>
      <c r="AJZ466" s="90"/>
      <c r="AKA466" s="90"/>
      <c r="AKB466" s="90"/>
      <c r="AKC466" s="90"/>
      <c r="AKD466" s="90"/>
      <c r="AKE466" s="90"/>
      <c r="AKF466" s="90"/>
      <c r="AKG466" s="90"/>
      <c r="AKH466" s="90"/>
      <c r="AKI466" s="90"/>
      <c r="AKJ466" s="90"/>
      <c r="AKK466" s="90"/>
      <c r="AKL466" s="90"/>
      <c r="AKM466" s="90"/>
      <c r="AKN466" s="90"/>
      <c r="AKO466" s="90"/>
      <c r="AKP466" s="90"/>
      <c r="AKQ466" s="90"/>
      <c r="AKR466" s="90"/>
      <c r="AKS466" s="90"/>
      <c r="AKT466" s="90"/>
      <c r="AKU466" s="90"/>
      <c r="AKV466" s="90"/>
      <c r="AKW466" s="90"/>
      <c r="AKX466" s="90"/>
      <c r="AKY466" s="90"/>
      <c r="AKZ466" s="90"/>
      <c r="ALA466" s="90"/>
      <c r="ALB466" s="90"/>
      <c r="ALC466" s="90"/>
      <c r="ALD466" s="90"/>
      <c r="ALE466" s="90"/>
      <c r="ALF466" s="90"/>
      <c r="ALG466" s="90"/>
      <c r="ALH466" s="90"/>
      <c r="ALI466" s="90"/>
      <c r="ALJ466" s="90"/>
      <c r="ALK466" s="90"/>
      <c r="ALL466" s="90"/>
      <c r="ALM466" s="90"/>
      <c r="ALN466" s="90"/>
      <c r="ALO466" s="90"/>
      <c r="ALP466" s="90"/>
      <c r="ALQ466" s="90"/>
      <c r="ALR466" s="90"/>
      <c r="ALS466" s="90"/>
      <c r="ALT466" s="90"/>
      <c r="ALU466" s="90"/>
      <c r="ALV466" s="90"/>
      <c r="ALW466" s="90"/>
      <c r="ALX466" s="90"/>
      <c r="ALY466" s="90"/>
      <c r="ALZ466" s="90"/>
      <c r="AMA466" s="90"/>
      <c r="AMB466" s="90"/>
      <c r="AMC466" s="90"/>
    </row>
    <row r="467" spans="1:1017">
      <c r="A467" s="98" t="s">
        <v>56</v>
      </c>
      <c r="B467" s="90" t="str">
        <f t="shared" si="2323"/>
        <v>Ikan_04 (Ikan Keting)</v>
      </c>
      <c r="Q467" s="91">
        <f t="shared" si="2225"/>
        <v>0</v>
      </c>
      <c r="R467" s="91">
        <f t="shared" si="2226"/>
        <v>0</v>
      </c>
      <c r="AG467" s="91">
        <f t="shared" si="2227"/>
        <v>0</v>
      </c>
      <c r="AH467" s="91">
        <f t="shared" si="2228"/>
        <v>0</v>
      </c>
      <c r="AW467" s="91">
        <f t="shared" si="2229"/>
        <v>0</v>
      </c>
      <c r="AX467" s="91">
        <f t="shared" si="2230"/>
        <v>0</v>
      </c>
      <c r="BM467" s="91">
        <f t="shared" si="2231"/>
        <v>0</v>
      </c>
      <c r="BN467" s="91">
        <f t="shared" si="2232"/>
        <v>0</v>
      </c>
      <c r="CC467" s="91">
        <f t="shared" si="2233"/>
        <v>0</v>
      </c>
      <c r="CD467" s="91">
        <f t="shared" si="2234"/>
        <v>0</v>
      </c>
      <c r="CS467" s="91">
        <f t="shared" si="2235"/>
        <v>0</v>
      </c>
      <c r="CT467" s="91">
        <f t="shared" si="2236"/>
        <v>0</v>
      </c>
      <c r="DI467" s="91">
        <f t="shared" si="2237"/>
        <v>0</v>
      </c>
      <c r="DJ467" s="91">
        <f t="shared" si="2238"/>
        <v>0</v>
      </c>
      <c r="DY467" s="91">
        <f t="shared" si="2239"/>
        <v>0</v>
      </c>
      <c r="DZ467" s="91">
        <f t="shared" si="2240"/>
        <v>0</v>
      </c>
      <c r="EO467" s="91">
        <f t="shared" si="2241"/>
        <v>0</v>
      </c>
      <c r="EP467" s="91">
        <f t="shared" si="2242"/>
        <v>0</v>
      </c>
      <c r="FE467" s="91">
        <f t="shared" si="2243"/>
        <v>0</v>
      </c>
      <c r="FF467" s="91">
        <f t="shared" si="2244"/>
        <v>0</v>
      </c>
      <c r="FU467" s="91">
        <f t="shared" si="2245"/>
        <v>0</v>
      </c>
      <c r="FV467" s="91">
        <f t="shared" si="2246"/>
        <v>0</v>
      </c>
      <c r="GK467" s="91">
        <f t="shared" si="2247"/>
        <v>0</v>
      </c>
      <c r="GL467" s="91">
        <f t="shared" si="2248"/>
        <v>0</v>
      </c>
      <c r="HA467" s="91">
        <f t="shared" si="2249"/>
        <v>0</v>
      </c>
      <c r="HB467" s="91">
        <f t="shared" si="2250"/>
        <v>0</v>
      </c>
      <c r="HQ467" s="91">
        <f t="shared" si="2251"/>
        <v>0</v>
      </c>
      <c r="HR467" s="91">
        <f t="shared" si="2252"/>
        <v>0</v>
      </c>
      <c r="IG467" s="91">
        <f t="shared" si="2253"/>
        <v>0</v>
      </c>
      <c r="IH467" s="91">
        <f t="shared" si="2254"/>
        <v>0</v>
      </c>
      <c r="IW467" s="91">
        <f t="shared" si="2255"/>
        <v>0</v>
      </c>
      <c r="IX467" s="91">
        <f t="shared" si="2256"/>
        <v>0</v>
      </c>
      <c r="JM467" s="91">
        <f t="shared" si="2257"/>
        <v>0</v>
      </c>
      <c r="JN467" s="91">
        <f t="shared" si="2258"/>
        <v>0</v>
      </c>
      <c r="KC467" s="91">
        <f t="shared" si="2259"/>
        <v>0</v>
      </c>
      <c r="KD467" s="91">
        <f t="shared" si="2260"/>
        <v>0</v>
      </c>
      <c r="KS467" s="91">
        <f t="shared" si="2261"/>
        <v>0</v>
      </c>
      <c r="KT467" s="91">
        <f t="shared" si="2262"/>
        <v>0</v>
      </c>
      <c r="LI467" s="91">
        <f t="shared" si="2263"/>
        <v>0</v>
      </c>
      <c r="LJ467" s="91">
        <f t="shared" si="2264"/>
        <v>0</v>
      </c>
      <c r="LY467" s="91">
        <f t="shared" si="2265"/>
        <v>0</v>
      </c>
      <c r="LZ467" s="91">
        <f t="shared" si="2266"/>
        <v>0</v>
      </c>
      <c r="MO467" s="91">
        <f t="shared" si="2267"/>
        <v>0</v>
      </c>
      <c r="MP467" s="91">
        <f t="shared" si="2268"/>
        <v>0</v>
      </c>
      <c r="NE467" s="91">
        <f t="shared" si="2269"/>
        <v>0</v>
      </c>
      <c r="NF467" s="91">
        <f t="shared" si="2270"/>
        <v>0</v>
      </c>
      <c r="NI467" s="98">
        <v>107400</v>
      </c>
      <c r="NJ467" s="98">
        <v>1288800</v>
      </c>
      <c r="NU467" s="91">
        <f t="shared" si="2271"/>
        <v>107400</v>
      </c>
      <c r="NV467" s="91">
        <f t="shared" si="2272"/>
        <v>1288800</v>
      </c>
      <c r="OK467" s="91">
        <f t="shared" si="2273"/>
        <v>0</v>
      </c>
      <c r="OL467" s="91">
        <f t="shared" si="2274"/>
        <v>0</v>
      </c>
      <c r="PA467" s="91">
        <f t="shared" si="2275"/>
        <v>0</v>
      </c>
      <c r="PB467" s="91">
        <f t="shared" si="2276"/>
        <v>0</v>
      </c>
      <c r="PQ467" s="91">
        <f t="shared" si="2277"/>
        <v>0</v>
      </c>
      <c r="PR467" s="91">
        <f t="shared" si="2278"/>
        <v>0</v>
      </c>
      <c r="QG467" s="91">
        <f t="shared" si="2279"/>
        <v>0</v>
      </c>
      <c r="QH467" s="91">
        <f t="shared" si="2280"/>
        <v>0</v>
      </c>
      <c r="QW467" s="91">
        <f t="shared" si="2281"/>
        <v>0</v>
      </c>
      <c r="QX467" s="91">
        <f t="shared" si="2282"/>
        <v>0</v>
      </c>
      <c r="RM467" s="91">
        <f t="shared" si="2283"/>
        <v>0</v>
      </c>
      <c r="RN467" s="91">
        <f t="shared" si="2284"/>
        <v>0</v>
      </c>
      <c r="SC467" s="91">
        <f t="shared" si="2285"/>
        <v>0</v>
      </c>
      <c r="SD467" s="91">
        <f t="shared" si="2286"/>
        <v>0</v>
      </c>
      <c r="SS467" s="91">
        <f t="shared" si="2287"/>
        <v>0</v>
      </c>
      <c r="ST467" s="91">
        <f t="shared" si="2288"/>
        <v>0</v>
      </c>
      <c r="TI467" s="91">
        <f t="shared" si="2289"/>
        <v>0</v>
      </c>
      <c r="TJ467" s="91">
        <f t="shared" si="2290"/>
        <v>0</v>
      </c>
      <c r="TY467" s="91">
        <f t="shared" si="2291"/>
        <v>0</v>
      </c>
      <c r="TZ467" s="91">
        <f t="shared" si="2292"/>
        <v>0</v>
      </c>
      <c r="UO467" s="91">
        <f t="shared" si="2293"/>
        <v>0</v>
      </c>
      <c r="UP467" s="91">
        <f t="shared" ref="UP467:UP468" si="2336">SUMIF($C$12:$P$12,$A$1,UB467:UO467)</f>
        <v>0</v>
      </c>
      <c r="VE467" s="91">
        <f t="shared" si="2295"/>
        <v>0</v>
      </c>
      <c r="VF467" s="91">
        <f t="shared" si="2296"/>
        <v>0</v>
      </c>
      <c r="VU467" s="91">
        <f t="shared" si="2297"/>
        <v>0</v>
      </c>
      <c r="VV467" s="91">
        <f t="shared" si="2298"/>
        <v>0</v>
      </c>
      <c r="WK467" s="91">
        <f t="shared" si="2299"/>
        <v>0</v>
      </c>
      <c r="WL467" s="91">
        <f t="shared" si="2300"/>
        <v>0</v>
      </c>
      <c r="WM467" s="89"/>
      <c r="WN467" s="87">
        <f t="shared" si="2324"/>
        <v>0</v>
      </c>
      <c r="WO467" s="87">
        <f t="shared" si="2325"/>
        <v>0</v>
      </c>
      <c r="WP467" s="87">
        <f t="shared" si="2326"/>
        <v>107400</v>
      </c>
      <c r="WQ467" s="87">
        <f t="shared" si="2327"/>
        <v>1288800</v>
      </c>
      <c r="WR467" s="87">
        <f t="shared" si="2328"/>
        <v>0</v>
      </c>
      <c r="WS467" s="87">
        <f t="shared" si="2329"/>
        <v>0</v>
      </c>
      <c r="WT467" s="87">
        <f t="shared" si="2330"/>
        <v>0</v>
      </c>
      <c r="WU467" s="87">
        <f t="shared" si="2331"/>
        <v>0</v>
      </c>
      <c r="WV467" s="87">
        <f t="shared" si="2332"/>
        <v>0</v>
      </c>
      <c r="WW467" s="87">
        <f t="shared" si="2333"/>
        <v>0</v>
      </c>
      <c r="WX467" s="87">
        <f t="shared" si="2334"/>
        <v>0</v>
      </c>
      <c r="WY467" s="87">
        <f t="shared" si="2335"/>
        <v>0</v>
      </c>
      <c r="WZ467" s="87">
        <f t="shared" si="2319"/>
        <v>0</v>
      </c>
      <c r="XA467" s="87">
        <f t="shared" si="2320"/>
        <v>0</v>
      </c>
      <c r="XB467" s="92">
        <f t="shared" si="2321"/>
        <v>107400</v>
      </c>
      <c r="XC467" s="92">
        <f t="shared" si="2322"/>
        <v>1288800</v>
      </c>
      <c r="XD467" s="89"/>
      <c r="XE467" s="92"/>
      <c r="XF467" s="92"/>
      <c r="XG467" s="89"/>
      <c r="XH467" s="92"/>
      <c r="XI467" s="92"/>
      <c r="XJ467" s="89"/>
      <c r="XK467" s="87"/>
      <c r="XL467" s="87"/>
      <c r="XM467" s="87"/>
      <c r="XN467" s="87"/>
      <c r="XO467" s="87"/>
      <c r="XP467" s="87"/>
      <c r="XQ467" s="87"/>
      <c r="XR467" s="92">
        <f t="shared" ca="1" si="2317"/>
        <v>0</v>
      </c>
      <c r="XS467" s="89"/>
      <c r="XT467" s="87"/>
      <c r="XU467" s="87"/>
      <c r="XV467" s="87"/>
      <c r="XW467" s="87"/>
      <c r="XX467" s="87"/>
      <c r="XY467" s="87"/>
      <c r="XZ467" s="87"/>
      <c r="YA467" s="92">
        <f t="shared" ca="1" si="2318"/>
        <v>0</v>
      </c>
      <c r="YB467" s="90"/>
      <c r="YC467" s="90"/>
      <c r="YD467" s="90"/>
      <c r="YE467" s="90"/>
      <c r="YF467" s="90"/>
      <c r="YG467" s="90"/>
      <c r="YH467" s="90"/>
      <c r="YI467" s="90"/>
      <c r="YJ467" s="90"/>
      <c r="YK467" s="90"/>
      <c r="YL467" s="90"/>
      <c r="YM467" s="90"/>
      <c r="YN467" s="90"/>
      <c r="YO467" s="90"/>
      <c r="YP467" s="90"/>
      <c r="YQ467" s="90"/>
      <c r="YR467" s="90"/>
      <c r="YS467" s="90"/>
      <c r="YT467" s="90"/>
      <c r="YU467" s="90"/>
      <c r="YV467" s="90"/>
      <c r="YW467" s="90"/>
      <c r="YX467" s="90"/>
      <c r="YY467" s="90"/>
      <c r="YZ467" s="90"/>
      <c r="ZA467" s="90"/>
      <c r="ZB467" s="90"/>
      <c r="ZC467" s="90"/>
      <c r="ZD467" s="90"/>
      <c r="ZE467" s="90"/>
      <c r="ZF467" s="90"/>
      <c r="ZG467" s="90"/>
      <c r="ZH467" s="90"/>
      <c r="ZI467" s="90"/>
      <c r="ZJ467" s="90"/>
      <c r="ZK467" s="90"/>
      <c r="ZL467" s="90"/>
      <c r="ZM467" s="90"/>
      <c r="ZN467" s="90"/>
      <c r="ZO467" s="90"/>
      <c r="ZP467" s="90"/>
      <c r="ZQ467" s="90"/>
      <c r="ZR467" s="90"/>
      <c r="ZS467" s="90"/>
      <c r="ZT467" s="90"/>
      <c r="ZU467" s="90"/>
      <c r="ZV467" s="90"/>
      <c r="ZW467" s="90"/>
      <c r="ZX467" s="90"/>
      <c r="ZY467" s="90"/>
      <c r="ZZ467" s="90"/>
      <c r="AAA467" s="90"/>
      <c r="AAB467" s="90"/>
      <c r="AAC467" s="90"/>
      <c r="AAD467" s="90"/>
      <c r="AAE467" s="90"/>
      <c r="AAF467" s="90"/>
      <c r="AAG467" s="90"/>
      <c r="AAH467" s="90"/>
      <c r="AAI467" s="90"/>
      <c r="AAJ467" s="90"/>
      <c r="AAK467" s="90"/>
      <c r="AAL467" s="90"/>
      <c r="AAM467" s="90"/>
      <c r="AAN467" s="90"/>
      <c r="AAO467" s="90"/>
      <c r="AAP467" s="90"/>
      <c r="AAQ467" s="90"/>
      <c r="AAR467" s="90"/>
      <c r="AAS467" s="90"/>
      <c r="AAT467" s="90"/>
      <c r="AAU467" s="90"/>
      <c r="AAV467" s="90"/>
      <c r="AAW467" s="90"/>
      <c r="AAX467" s="90"/>
      <c r="AAY467" s="90"/>
      <c r="AAZ467" s="90"/>
      <c r="ABA467" s="90"/>
      <c r="ABB467" s="90"/>
      <c r="ABC467" s="90"/>
      <c r="ABD467" s="90"/>
      <c r="ABE467" s="90"/>
      <c r="ABF467" s="90"/>
      <c r="ABG467" s="90"/>
      <c r="ABH467" s="90"/>
      <c r="ABI467" s="90"/>
      <c r="ABJ467" s="90"/>
      <c r="ABK467" s="90"/>
      <c r="ABL467" s="90"/>
      <c r="ABM467" s="90"/>
      <c r="ABN467" s="90"/>
      <c r="ABO467" s="90"/>
      <c r="ABP467" s="90"/>
      <c r="ABQ467" s="90"/>
      <c r="ABR467" s="90"/>
      <c r="ABS467" s="90"/>
      <c r="ABT467" s="90"/>
      <c r="ABU467" s="90"/>
      <c r="ABV467" s="90"/>
      <c r="ABW467" s="90"/>
      <c r="ABX467" s="90"/>
      <c r="ABY467" s="90"/>
      <c r="ABZ467" s="90"/>
      <c r="ACA467" s="90"/>
      <c r="ACB467" s="90"/>
      <c r="ACC467" s="90"/>
      <c r="ACD467" s="90"/>
      <c r="ACE467" s="90"/>
      <c r="ACF467" s="90"/>
      <c r="ACG467" s="90"/>
      <c r="ACH467" s="90"/>
      <c r="ACI467" s="90"/>
      <c r="ACJ467" s="90"/>
      <c r="ACK467" s="90"/>
      <c r="ACL467" s="90"/>
      <c r="ACM467" s="90"/>
      <c r="ACN467" s="90"/>
      <c r="ACO467" s="90"/>
      <c r="ACP467" s="90"/>
      <c r="ACQ467" s="90"/>
      <c r="ACR467" s="90"/>
      <c r="ACS467" s="90"/>
      <c r="ACT467" s="90"/>
      <c r="ACU467" s="90"/>
      <c r="ACV467" s="90"/>
      <c r="ACW467" s="90"/>
      <c r="ACX467" s="90"/>
      <c r="ACY467" s="90"/>
      <c r="ACZ467" s="90"/>
      <c r="ADA467" s="90"/>
      <c r="ADB467" s="90"/>
      <c r="ADC467" s="90"/>
      <c r="ADD467" s="90"/>
      <c r="ADE467" s="90"/>
      <c r="ADF467" s="90"/>
      <c r="ADG467" s="90"/>
      <c r="ADH467" s="90"/>
      <c r="ADI467" s="90"/>
      <c r="ADJ467" s="90"/>
      <c r="ADK467" s="90"/>
      <c r="ADL467" s="90"/>
      <c r="ADM467" s="90"/>
      <c r="ADN467" s="90"/>
      <c r="ADO467" s="90"/>
      <c r="ADP467" s="90"/>
      <c r="ADQ467" s="90"/>
      <c r="ADR467" s="90"/>
      <c r="ADS467" s="90"/>
      <c r="ADT467" s="90"/>
      <c r="ADU467" s="90"/>
      <c r="ADV467" s="90"/>
      <c r="ADW467" s="90"/>
      <c r="ADX467" s="90"/>
      <c r="ADY467" s="90"/>
      <c r="ADZ467" s="90"/>
      <c r="AEA467" s="90"/>
      <c r="AEB467" s="90"/>
      <c r="AEC467" s="90"/>
      <c r="AED467" s="90"/>
      <c r="AEE467" s="90"/>
      <c r="AEF467" s="90"/>
      <c r="AEG467" s="90"/>
      <c r="AEH467" s="90"/>
      <c r="AEI467" s="90"/>
      <c r="AEJ467" s="90"/>
      <c r="AEK467" s="90"/>
      <c r="AEL467" s="90"/>
      <c r="AEM467" s="90"/>
      <c r="AEN467" s="90"/>
      <c r="AEO467" s="90"/>
      <c r="AEP467" s="90"/>
      <c r="AEQ467" s="90"/>
      <c r="AER467" s="90"/>
      <c r="AES467" s="90"/>
      <c r="AET467" s="90"/>
      <c r="AEU467" s="90"/>
      <c r="AEV467" s="90"/>
      <c r="AEW467" s="90"/>
      <c r="AEX467" s="90"/>
      <c r="AEY467" s="90"/>
      <c r="AEZ467" s="90"/>
      <c r="AFA467" s="90"/>
      <c r="AFB467" s="90"/>
      <c r="AFC467" s="90"/>
      <c r="AFD467" s="90"/>
      <c r="AFE467" s="90"/>
      <c r="AFF467" s="90"/>
      <c r="AFG467" s="90"/>
      <c r="AFH467" s="90"/>
      <c r="AFI467" s="90"/>
      <c r="AFJ467" s="90"/>
      <c r="AFK467" s="90"/>
      <c r="AFL467" s="90"/>
      <c r="AFM467" s="90"/>
      <c r="AFN467" s="90"/>
      <c r="AFO467" s="90"/>
      <c r="AFP467" s="90"/>
      <c r="AFQ467" s="90"/>
      <c r="AFR467" s="90"/>
      <c r="AFS467" s="90"/>
      <c r="AFT467" s="90"/>
      <c r="AFU467" s="90"/>
      <c r="AFV467" s="90"/>
      <c r="AFW467" s="90"/>
      <c r="AFX467" s="90"/>
      <c r="AFY467" s="90"/>
      <c r="AFZ467" s="90"/>
      <c r="AGA467" s="90"/>
      <c r="AGB467" s="90"/>
      <c r="AGC467" s="90"/>
      <c r="AGD467" s="90"/>
      <c r="AGE467" s="90"/>
      <c r="AGF467" s="90"/>
      <c r="AGG467" s="90"/>
      <c r="AGH467" s="90"/>
      <c r="AGI467" s="90"/>
      <c r="AGJ467" s="90"/>
      <c r="AGK467" s="90"/>
      <c r="AGL467" s="90"/>
      <c r="AGM467" s="90"/>
      <c r="AGN467" s="90"/>
      <c r="AGO467" s="90"/>
      <c r="AGP467" s="90"/>
      <c r="AGQ467" s="90"/>
      <c r="AGR467" s="90"/>
      <c r="AGS467" s="90"/>
      <c r="AGT467" s="90"/>
      <c r="AGU467" s="90"/>
      <c r="AGV467" s="90"/>
      <c r="AGW467" s="90"/>
      <c r="AGX467" s="90"/>
      <c r="AGY467" s="90"/>
      <c r="AGZ467" s="90"/>
      <c r="AHA467" s="90"/>
      <c r="AHB467" s="90"/>
      <c r="AHC467" s="90"/>
      <c r="AHD467" s="90"/>
      <c r="AHE467" s="90"/>
      <c r="AHF467" s="90"/>
      <c r="AHG467" s="90"/>
      <c r="AHH467" s="90"/>
      <c r="AHI467" s="90"/>
      <c r="AHJ467" s="90"/>
      <c r="AHK467" s="90"/>
      <c r="AHL467" s="90"/>
      <c r="AHM467" s="90"/>
      <c r="AHN467" s="90"/>
      <c r="AHO467" s="90"/>
      <c r="AHP467" s="90"/>
      <c r="AHQ467" s="90"/>
      <c r="AHR467" s="90"/>
      <c r="AHS467" s="90"/>
      <c r="AHT467" s="90"/>
      <c r="AHU467" s="90"/>
      <c r="AHV467" s="90"/>
      <c r="AHW467" s="90"/>
      <c r="AHX467" s="90"/>
      <c r="AHY467" s="90"/>
      <c r="AHZ467" s="90"/>
      <c r="AIA467" s="90"/>
      <c r="AIB467" s="90"/>
      <c r="AIC467" s="90"/>
      <c r="AID467" s="90"/>
      <c r="AIE467" s="90"/>
      <c r="AIF467" s="90"/>
      <c r="AIG467" s="90"/>
      <c r="AIH467" s="90"/>
      <c r="AII467" s="90"/>
      <c r="AIJ467" s="90"/>
      <c r="AIK467" s="90"/>
      <c r="AIL467" s="90"/>
      <c r="AIM467" s="90"/>
      <c r="AIN467" s="90"/>
      <c r="AIO467" s="90"/>
      <c r="AIP467" s="90"/>
      <c r="AIQ467" s="90"/>
      <c r="AIR467" s="90"/>
      <c r="AIS467" s="90"/>
      <c r="AIT467" s="90"/>
      <c r="AIU467" s="90"/>
      <c r="AIV467" s="90"/>
      <c r="AIW467" s="90"/>
      <c r="AIX467" s="90"/>
      <c r="AIY467" s="90"/>
      <c r="AIZ467" s="90"/>
      <c r="AJA467" s="90"/>
      <c r="AJB467" s="90"/>
      <c r="AJC467" s="90"/>
      <c r="AJD467" s="90"/>
      <c r="AJE467" s="90"/>
      <c r="AJF467" s="90"/>
      <c r="AJG467" s="90"/>
      <c r="AJH467" s="90"/>
      <c r="AJI467" s="90"/>
      <c r="AJJ467" s="90"/>
      <c r="AJK467" s="90"/>
      <c r="AJL467" s="90"/>
      <c r="AJM467" s="90"/>
      <c r="AJN467" s="90"/>
      <c r="AJO467" s="90"/>
      <c r="AJP467" s="90"/>
      <c r="AJQ467" s="90"/>
      <c r="AJR467" s="90"/>
      <c r="AJS467" s="90"/>
      <c r="AJT467" s="90"/>
      <c r="AJU467" s="90"/>
      <c r="AJV467" s="90"/>
      <c r="AJW467" s="90"/>
      <c r="AJX467" s="90"/>
      <c r="AJY467" s="90"/>
      <c r="AJZ467" s="90"/>
      <c r="AKA467" s="90"/>
      <c r="AKB467" s="90"/>
      <c r="AKC467" s="90"/>
      <c r="AKD467" s="90"/>
      <c r="AKE467" s="90"/>
      <c r="AKF467" s="90"/>
      <c r="AKG467" s="90"/>
      <c r="AKH467" s="90"/>
      <c r="AKI467" s="90"/>
      <c r="AKJ467" s="90"/>
      <c r="AKK467" s="90"/>
      <c r="AKL467" s="90"/>
      <c r="AKM467" s="90"/>
      <c r="AKN467" s="90"/>
      <c r="AKO467" s="90"/>
      <c r="AKP467" s="90"/>
      <c r="AKQ467" s="90"/>
      <c r="AKR467" s="90"/>
      <c r="AKS467" s="90"/>
      <c r="AKT467" s="90"/>
      <c r="AKU467" s="90"/>
      <c r="AKV467" s="90"/>
      <c r="AKW467" s="90"/>
      <c r="AKX467" s="90"/>
      <c r="AKY467" s="90"/>
      <c r="AKZ467" s="90"/>
      <c r="ALA467" s="90"/>
      <c r="ALB467" s="90"/>
      <c r="ALC467" s="90"/>
      <c r="ALD467" s="90"/>
      <c r="ALE467" s="90"/>
      <c r="ALF467" s="90"/>
      <c r="ALG467" s="90"/>
      <c r="ALH467" s="90"/>
      <c r="ALI467" s="90"/>
      <c r="ALJ467" s="90"/>
      <c r="ALK467" s="90"/>
      <c r="ALL467" s="90"/>
      <c r="ALM467" s="90"/>
      <c r="ALN467" s="90"/>
      <c r="ALO467" s="90"/>
      <c r="ALP467" s="90"/>
      <c r="ALQ467" s="90"/>
      <c r="ALR467" s="90"/>
      <c r="ALS467" s="90"/>
      <c r="ALT467" s="90"/>
      <c r="ALU467" s="90"/>
      <c r="ALV467" s="90"/>
      <c r="ALW467" s="90"/>
      <c r="ALX467" s="90"/>
      <c r="ALY467" s="90"/>
      <c r="ALZ467" s="90"/>
      <c r="AMA467" s="90"/>
      <c r="AMB467" s="90"/>
      <c r="AMC467" s="90"/>
    </row>
    <row r="468" spans="1:1017">
      <c r="A468" s="98" t="s">
        <v>56</v>
      </c>
      <c r="B468" s="90" t="str">
        <f t="shared" si="2323"/>
        <v>Ikan_05 (Ikan betutu)</v>
      </c>
      <c r="Q468" s="91">
        <f t="shared" si="2225"/>
        <v>0</v>
      </c>
      <c r="R468" s="91">
        <f t="shared" si="2226"/>
        <v>0</v>
      </c>
      <c r="AG468" s="91">
        <f t="shared" si="2227"/>
        <v>0</v>
      </c>
      <c r="AH468" s="91">
        <f t="shared" si="2228"/>
        <v>0</v>
      </c>
      <c r="AW468" s="91">
        <f t="shared" si="2229"/>
        <v>0</v>
      </c>
      <c r="AX468" s="91">
        <f t="shared" si="2230"/>
        <v>0</v>
      </c>
      <c r="BM468" s="91">
        <f t="shared" si="2231"/>
        <v>0</v>
      </c>
      <c r="BN468" s="91">
        <f t="shared" si="2232"/>
        <v>0</v>
      </c>
      <c r="CC468" s="91">
        <f t="shared" si="2233"/>
        <v>0</v>
      </c>
      <c r="CD468" s="91">
        <f t="shared" si="2234"/>
        <v>0</v>
      </c>
      <c r="CS468" s="91">
        <f t="shared" si="2235"/>
        <v>0</v>
      </c>
      <c r="CT468" s="91">
        <f t="shared" si="2236"/>
        <v>0</v>
      </c>
      <c r="DI468" s="91">
        <f t="shared" si="2237"/>
        <v>0</v>
      </c>
      <c r="DJ468" s="91">
        <f t="shared" si="2238"/>
        <v>0</v>
      </c>
      <c r="DY468" s="91">
        <f t="shared" si="2239"/>
        <v>0</v>
      </c>
      <c r="DZ468" s="91">
        <f t="shared" si="2240"/>
        <v>0</v>
      </c>
      <c r="EO468" s="91">
        <f t="shared" si="2241"/>
        <v>0</v>
      </c>
      <c r="EP468" s="91">
        <f t="shared" si="2242"/>
        <v>0</v>
      </c>
      <c r="FE468" s="91">
        <f t="shared" si="2243"/>
        <v>0</v>
      </c>
      <c r="FF468" s="91">
        <f t="shared" si="2244"/>
        <v>0</v>
      </c>
      <c r="FU468" s="91">
        <f t="shared" si="2245"/>
        <v>0</v>
      </c>
      <c r="FV468" s="91">
        <f t="shared" si="2246"/>
        <v>0</v>
      </c>
      <c r="GK468" s="91">
        <f t="shared" si="2247"/>
        <v>0</v>
      </c>
      <c r="GL468" s="91">
        <f t="shared" si="2248"/>
        <v>0</v>
      </c>
      <c r="HA468" s="91">
        <f t="shared" si="2249"/>
        <v>0</v>
      </c>
      <c r="HB468" s="91">
        <f t="shared" si="2250"/>
        <v>0</v>
      </c>
      <c r="HQ468" s="91">
        <f t="shared" si="2251"/>
        <v>0</v>
      </c>
      <c r="HR468" s="91">
        <f t="shared" si="2252"/>
        <v>0</v>
      </c>
      <c r="IG468" s="91">
        <f t="shared" si="2253"/>
        <v>0</v>
      </c>
      <c r="IH468" s="91">
        <f t="shared" si="2254"/>
        <v>0</v>
      </c>
      <c r="IW468" s="91">
        <f t="shared" si="2255"/>
        <v>0</v>
      </c>
      <c r="IX468" s="91">
        <f t="shared" si="2256"/>
        <v>0</v>
      </c>
      <c r="JM468" s="91">
        <f t="shared" si="2257"/>
        <v>0</v>
      </c>
      <c r="JN468" s="91">
        <f t="shared" si="2258"/>
        <v>0</v>
      </c>
      <c r="KC468" s="91">
        <f t="shared" si="2259"/>
        <v>0</v>
      </c>
      <c r="KD468" s="91">
        <f t="shared" si="2260"/>
        <v>0</v>
      </c>
      <c r="KS468" s="91">
        <f t="shared" si="2261"/>
        <v>0</v>
      </c>
      <c r="KT468" s="91">
        <f t="shared" si="2262"/>
        <v>0</v>
      </c>
      <c r="LI468" s="91">
        <f t="shared" si="2263"/>
        <v>0</v>
      </c>
      <c r="LJ468" s="91">
        <f t="shared" si="2264"/>
        <v>0</v>
      </c>
      <c r="LY468" s="91">
        <f t="shared" si="2265"/>
        <v>0</v>
      </c>
      <c r="LZ468" s="91">
        <f t="shared" si="2266"/>
        <v>0</v>
      </c>
      <c r="MO468" s="91">
        <f t="shared" si="2267"/>
        <v>0</v>
      </c>
      <c r="MP468" s="91">
        <f t="shared" si="2268"/>
        <v>0</v>
      </c>
      <c r="NE468" s="91">
        <f t="shared" si="2269"/>
        <v>0</v>
      </c>
      <c r="NF468" s="91">
        <f t="shared" si="2270"/>
        <v>0</v>
      </c>
      <c r="NU468" s="91">
        <f t="shared" si="2271"/>
        <v>0</v>
      </c>
      <c r="NV468" s="91">
        <f t="shared" si="2272"/>
        <v>0</v>
      </c>
      <c r="OK468" s="91">
        <f t="shared" si="2273"/>
        <v>0</v>
      </c>
      <c r="OL468" s="91">
        <f t="shared" si="2274"/>
        <v>0</v>
      </c>
      <c r="PA468" s="91">
        <f t="shared" si="2275"/>
        <v>0</v>
      </c>
      <c r="PB468" s="91">
        <f t="shared" si="2276"/>
        <v>0</v>
      </c>
      <c r="PQ468" s="91">
        <f t="shared" si="2277"/>
        <v>0</v>
      </c>
      <c r="PR468" s="91">
        <f t="shared" si="2278"/>
        <v>0</v>
      </c>
      <c r="QG468" s="91">
        <f t="shared" si="2279"/>
        <v>0</v>
      </c>
      <c r="QH468" s="91">
        <f t="shared" si="2280"/>
        <v>0</v>
      </c>
      <c r="QW468" s="91">
        <f t="shared" si="2281"/>
        <v>0</v>
      </c>
      <c r="QX468" s="91">
        <f t="shared" si="2282"/>
        <v>0</v>
      </c>
      <c r="RM468" s="91">
        <f t="shared" si="2283"/>
        <v>0</v>
      </c>
      <c r="RN468" s="91">
        <f t="shared" si="2284"/>
        <v>0</v>
      </c>
      <c r="SC468" s="91">
        <f t="shared" si="2285"/>
        <v>0</v>
      </c>
      <c r="SD468" s="91">
        <f t="shared" si="2286"/>
        <v>0</v>
      </c>
      <c r="SS468" s="91">
        <f t="shared" si="2287"/>
        <v>0</v>
      </c>
      <c r="ST468" s="91">
        <f t="shared" si="2288"/>
        <v>0</v>
      </c>
      <c r="TI468" s="91">
        <f t="shared" si="2289"/>
        <v>0</v>
      </c>
      <c r="TJ468" s="91">
        <f t="shared" si="2290"/>
        <v>0</v>
      </c>
      <c r="TY468" s="91">
        <f t="shared" si="2291"/>
        <v>0</v>
      </c>
      <c r="TZ468" s="91">
        <f t="shared" si="2292"/>
        <v>0</v>
      </c>
      <c r="UO468" s="91">
        <f t="shared" si="2293"/>
        <v>0</v>
      </c>
      <c r="UP468" s="91">
        <f t="shared" si="2336"/>
        <v>0</v>
      </c>
      <c r="VE468" s="91">
        <f t="shared" si="2295"/>
        <v>0</v>
      </c>
      <c r="VF468" s="91">
        <f t="shared" si="2296"/>
        <v>0</v>
      </c>
      <c r="VU468" s="91">
        <f t="shared" si="2297"/>
        <v>0</v>
      </c>
      <c r="VV468" s="91">
        <f t="shared" si="2298"/>
        <v>0</v>
      </c>
      <c r="WK468" s="91">
        <f t="shared" si="2299"/>
        <v>0</v>
      </c>
      <c r="WL468" s="91">
        <f t="shared" si="2300"/>
        <v>0</v>
      </c>
      <c r="WM468" s="89"/>
      <c r="WN468" s="87">
        <f t="shared" si="2324"/>
        <v>0</v>
      </c>
      <c r="WO468" s="87">
        <f t="shared" si="2325"/>
        <v>0</v>
      </c>
      <c r="WP468" s="87">
        <f t="shared" si="2326"/>
        <v>0</v>
      </c>
      <c r="WQ468" s="87">
        <f t="shared" si="2327"/>
        <v>0</v>
      </c>
      <c r="WR468" s="87">
        <f t="shared" si="2328"/>
        <v>0</v>
      </c>
      <c r="WS468" s="87">
        <f t="shared" si="2329"/>
        <v>0</v>
      </c>
      <c r="WT468" s="87">
        <f t="shared" si="2330"/>
        <v>0</v>
      </c>
      <c r="WU468" s="87">
        <f t="shared" si="2331"/>
        <v>0</v>
      </c>
      <c r="WV468" s="87">
        <f t="shared" si="2332"/>
        <v>0</v>
      </c>
      <c r="WW468" s="87">
        <f t="shared" si="2333"/>
        <v>0</v>
      </c>
      <c r="WX468" s="87">
        <f t="shared" si="2334"/>
        <v>0</v>
      </c>
      <c r="WY468" s="87">
        <f t="shared" si="2335"/>
        <v>0</v>
      </c>
      <c r="WZ468" s="87">
        <f t="shared" si="2319"/>
        <v>0</v>
      </c>
      <c r="XA468" s="87">
        <f t="shared" si="2320"/>
        <v>0</v>
      </c>
      <c r="XB468" s="92">
        <f t="shared" si="2321"/>
        <v>0</v>
      </c>
      <c r="XC468" s="92">
        <f t="shared" si="2322"/>
        <v>0</v>
      </c>
      <c r="XD468" s="89"/>
      <c r="XE468" s="92"/>
      <c r="XF468" s="92"/>
      <c r="XG468" s="89"/>
      <c r="XH468" s="92"/>
      <c r="XI468" s="92"/>
      <c r="XJ468" s="89"/>
      <c r="XK468" s="87"/>
      <c r="XL468" s="87"/>
      <c r="XM468" s="87"/>
      <c r="XN468" s="87"/>
      <c r="XO468" s="87"/>
      <c r="XP468" s="87"/>
      <c r="XQ468" s="87"/>
      <c r="XR468" s="92">
        <f t="shared" ca="1" si="2317"/>
        <v>0</v>
      </c>
      <c r="XS468" s="89"/>
      <c r="XT468" s="87"/>
      <c r="XU468" s="87"/>
      <c r="XV468" s="87"/>
      <c r="XW468" s="87"/>
      <c r="XX468" s="87"/>
      <c r="XY468" s="87"/>
      <c r="XZ468" s="87"/>
      <c r="YA468" s="92">
        <f t="shared" ca="1" si="2318"/>
        <v>0</v>
      </c>
      <c r="YB468" s="90"/>
      <c r="YC468" s="90"/>
      <c r="YD468" s="90"/>
      <c r="YE468" s="90"/>
      <c r="YF468" s="90"/>
      <c r="YG468" s="90"/>
      <c r="YH468" s="90"/>
      <c r="YI468" s="90"/>
      <c r="YJ468" s="90"/>
      <c r="YK468" s="90"/>
      <c r="YL468" s="90"/>
      <c r="YM468" s="90"/>
      <c r="YN468" s="90"/>
      <c r="YO468" s="90"/>
      <c r="YP468" s="90"/>
      <c r="YQ468" s="90"/>
      <c r="YR468" s="90"/>
      <c r="YS468" s="90"/>
      <c r="YT468" s="90"/>
      <c r="YU468" s="90"/>
      <c r="YV468" s="90"/>
      <c r="YW468" s="90"/>
      <c r="YX468" s="90"/>
      <c r="YY468" s="90"/>
      <c r="YZ468" s="90"/>
      <c r="ZA468" s="90"/>
      <c r="ZB468" s="90"/>
      <c r="ZC468" s="90"/>
      <c r="ZD468" s="90"/>
      <c r="ZE468" s="90"/>
      <c r="ZF468" s="90"/>
      <c r="ZG468" s="90"/>
      <c r="ZH468" s="90"/>
      <c r="ZI468" s="90"/>
      <c r="ZJ468" s="90"/>
      <c r="ZK468" s="90"/>
      <c r="ZL468" s="90"/>
      <c r="ZM468" s="90"/>
      <c r="ZN468" s="90"/>
      <c r="ZO468" s="90"/>
      <c r="ZP468" s="90"/>
      <c r="ZQ468" s="90"/>
      <c r="ZR468" s="90"/>
      <c r="ZS468" s="90"/>
      <c r="ZT468" s="90"/>
      <c r="ZU468" s="90"/>
      <c r="ZV468" s="90"/>
      <c r="ZW468" s="90"/>
      <c r="ZX468" s="90"/>
      <c r="ZY468" s="90"/>
      <c r="ZZ468" s="90"/>
      <c r="AAA468" s="90"/>
      <c r="AAB468" s="90"/>
      <c r="AAC468" s="90"/>
      <c r="AAD468" s="90"/>
      <c r="AAE468" s="90"/>
      <c r="AAF468" s="90"/>
      <c r="AAG468" s="90"/>
      <c r="AAH468" s="90"/>
      <c r="AAI468" s="90"/>
      <c r="AAJ468" s="90"/>
      <c r="AAK468" s="90"/>
      <c r="AAL468" s="90"/>
      <c r="AAM468" s="90"/>
      <c r="AAN468" s="90"/>
      <c r="AAO468" s="90"/>
      <c r="AAP468" s="90"/>
      <c r="AAQ468" s="90"/>
      <c r="AAR468" s="90"/>
      <c r="AAS468" s="90"/>
      <c r="AAT468" s="90"/>
      <c r="AAU468" s="90"/>
      <c r="AAV468" s="90"/>
      <c r="AAW468" s="90"/>
      <c r="AAX468" s="90"/>
      <c r="AAY468" s="90"/>
      <c r="AAZ468" s="90"/>
      <c r="ABA468" s="90"/>
      <c r="ABB468" s="90"/>
      <c r="ABC468" s="90"/>
      <c r="ABD468" s="90"/>
      <c r="ABE468" s="90"/>
      <c r="ABF468" s="90"/>
      <c r="ABG468" s="90"/>
      <c r="ABH468" s="90"/>
      <c r="ABI468" s="90"/>
      <c r="ABJ468" s="90"/>
      <c r="ABK468" s="90"/>
      <c r="ABL468" s="90"/>
      <c r="ABM468" s="90"/>
      <c r="ABN468" s="90"/>
      <c r="ABO468" s="90"/>
      <c r="ABP468" s="90"/>
      <c r="ABQ468" s="90"/>
      <c r="ABR468" s="90"/>
      <c r="ABS468" s="90"/>
      <c r="ABT468" s="90"/>
      <c r="ABU468" s="90"/>
      <c r="ABV468" s="90"/>
      <c r="ABW468" s="90"/>
      <c r="ABX468" s="90"/>
      <c r="ABY468" s="90"/>
      <c r="ABZ468" s="90"/>
      <c r="ACA468" s="90"/>
      <c r="ACB468" s="90"/>
      <c r="ACC468" s="90"/>
      <c r="ACD468" s="90"/>
      <c r="ACE468" s="90"/>
      <c r="ACF468" s="90"/>
      <c r="ACG468" s="90"/>
      <c r="ACH468" s="90"/>
      <c r="ACI468" s="90"/>
      <c r="ACJ468" s="90"/>
      <c r="ACK468" s="90"/>
      <c r="ACL468" s="90"/>
      <c r="ACM468" s="90"/>
      <c r="ACN468" s="90"/>
      <c r="ACO468" s="90"/>
      <c r="ACP468" s="90"/>
      <c r="ACQ468" s="90"/>
      <c r="ACR468" s="90"/>
      <c r="ACS468" s="90"/>
      <c r="ACT468" s="90"/>
      <c r="ACU468" s="90"/>
      <c r="ACV468" s="90"/>
      <c r="ACW468" s="90"/>
      <c r="ACX468" s="90"/>
      <c r="ACY468" s="90"/>
      <c r="ACZ468" s="90"/>
      <c r="ADA468" s="90"/>
      <c r="ADB468" s="90"/>
      <c r="ADC468" s="90"/>
      <c r="ADD468" s="90"/>
      <c r="ADE468" s="90"/>
      <c r="ADF468" s="90"/>
      <c r="ADG468" s="90"/>
      <c r="ADH468" s="90"/>
      <c r="ADI468" s="90"/>
      <c r="ADJ468" s="90"/>
      <c r="ADK468" s="90"/>
      <c r="ADL468" s="90"/>
      <c r="ADM468" s="90"/>
      <c r="ADN468" s="90"/>
      <c r="ADO468" s="90"/>
      <c r="ADP468" s="90"/>
      <c r="ADQ468" s="90"/>
      <c r="ADR468" s="90"/>
      <c r="ADS468" s="90"/>
      <c r="ADT468" s="90"/>
      <c r="ADU468" s="90"/>
      <c r="ADV468" s="90"/>
      <c r="ADW468" s="90"/>
      <c r="ADX468" s="90"/>
      <c r="ADY468" s="90"/>
      <c r="ADZ468" s="90"/>
      <c r="AEA468" s="90"/>
      <c r="AEB468" s="90"/>
      <c r="AEC468" s="90"/>
      <c r="AED468" s="90"/>
      <c r="AEE468" s="90"/>
      <c r="AEF468" s="90"/>
      <c r="AEG468" s="90"/>
      <c r="AEH468" s="90"/>
      <c r="AEI468" s="90"/>
      <c r="AEJ468" s="90"/>
      <c r="AEK468" s="90"/>
      <c r="AEL468" s="90"/>
      <c r="AEM468" s="90"/>
      <c r="AEN468" s="90"/>
      <c r="AEO468" s="90"/>
      <c r="AEP468" s="90"/>
      <c r="AEQ468" s="90"/>
      <c r="AER468" s="90"/>
      <c r="AES468" s="90"/>
      <c r="AET468" s="90"/>
      <c r="AEU468" s="90"/>
      <c r="AEV468" s="90"/>
      <c r="AEW468" s="90"/>
      <c r="AEX468" s="90"/>
      <c r="AEY468" s="90"/>
      <c r="AEZ468" s="90"/>
      <c r="AFA468" s="90"/>
      <c r="AFB468" s="90"/>
      <c r="AFC468" s="90"/>
      <c r="AFD468" s="90"/>
      <c r="AFE468" s="90"/>
      <c r="AFF468" s="90"/>
      <c r="AFG468" s="90"/>
      <c r="AFH468" s="90"/>
      <c r="AFI468" s="90"/>
      <c r="AFJ468" s="90"/>
      <c r="AFK468" s="90"/>
      <c r="AFL468" s="90"/>
      <c r="AFM468" s="90"/>
      <c r="AFN468" s="90"/>
      <c r="AFO468" s="90"/>
      <c r="AFP468" s="90"/>
      <c r="AFQ468" s="90"/>
      <c r="AFR468" s="90"/>
      <c r="AFS468" s="90"/>
      <c r="AFT468" s="90"/>
      <c r="AFU468" s="90"/>
      <c r="AFV468" s="90"/>
      <c r="AFW468" s="90"/>
      <c r="AFX468" s="90"/>
      <c r="AFY468" s="90"/>
      <c r="AFZ468" s="90"/>
      <c r="AGA468" s="90"/>
      <c r="AGB468" s="90"/>
      <c r="AGC468" s="90"/>
      <c r="AGD468" s="90"/>
      <c r="AGE468" s="90"/>
      <c r="AGF468" s="90"/>
      <c r="AGG468" s="90"/>
      <c r="AGH468" s="90"/>
      <c r="AGI468" s="90"/>
      <c r="AGJ468" s="90"/>
      <c r="AGK468" s="90"/>
      <c r="AGL468" s="90"/>
      <c r="AGM468" s="90"/>
      <c r="AGN468" s="90"/>
      <c r="AGO468" s="90"/>
      <c r="AGP468" s="90"/>
      <c r="AGQ468" s="90"/>
      <c r="AGR468" s="90"/>
      <c r="AGS468" s="90"/>
      <c r="AGT468" s="90"/>
      <c r="AGU468" s="90"/>
      <c r="AGV468" s="90"/>
      <c r="AGW468" s="90"/>
      <c r="AGX468" s="90"/>
      <c r="AGY468" s="90"/>
      <c r="AGZ468" s="90"/>
      <c r="AHA468" s="90"/>
      <c r="AHB468" s="90"/>
      <c r="AHC468" s="90"/>
      <c r="AHD468" s="90"/>
      <c r="AHE468" s="90"/>
      <c r="AHF468" s="90"/>
      <c r="AHG468" s="90"/>
      <c r="AHH468" s="90"/>
      <c r="AHI468" s="90"/>
      <c r="AHJ468" s="90"/>
      <c r="AHK468" s="90"/>
      <c r="AHL468" s="90"/>
      <c r="AHM468" s="90"/>
      <c r="AHN468" s="90"/>
      <c r="AHO468" s="90"/>
      <c r="AHP468" s="90"/>
      <c r="AHQ468" s="90"/>
      <c r="AHR468" s="90"/>
      <c r="AHS468" s="90"/>
      <c r="AHT468" s="90"/>
      <c r="AHU468" s="90"/>
      <c r="AHV468" s="90"/>
      <c r="AHW468" s="90"/>
      <c r="AHX468" s="90"/>
      <c r="AHY468" s="90"/>
      <c r="AHZ468" s="90"/>
      <c r="AIA468" s="90"/>
      <c r="AIB468" s="90"/>
      <c r="AIC468" s="90"/>
      <c r="AID468" s="90"/>
      <c r="AIE468" s="90"/>
      <c r="AIF468" s="90"/>
      <c r="AIG468" s="90"/>
      <c r="AIH468" s="90"/>
      <c r="AII468" s="90"/>
      <c r="AIJ468" s="90"/>
      <c r="AIK468" s="90"/>
      <c r="AIL468" s="90"/>
      <c r="AIM468" s="90"/>
      <c r="AIN468" s="90"/>
      <c r="AIO468" s="90"/>
      <c r="AIP468" s="90"/>
      <c r="AIQ468" s="90"/>
      <c r="AIR468" s="90"/>
      <c r="AIS468" s="90"/>
      <c r="AIT468" s="90"/>
      <c r="AIU468" s="90"/>
      <c r="AIV468" s="90"/>
      <c r="AIW468" s="90"/>
      <c r="AIX468" s="90"/>
      <c r="AIY468" s="90"/>
      <c r="AIZ468" s="90"/>
      <c r="AJA468" s="90"/>
      <c r="AJB468" s="90"/>
      <c r="AJC468" s="90"/>
      <c r="AJD468" s="90"/>
      <c r="AJE468" s="90"/>
      <c r="AJF468" s="90"/>
      <c r="AJG468" s="90"/>
      <c r="AJH468" s="90"/>
      <c r="AJI468" s="90"/>
      <c r="AJJ468" s="90"/>
      <c r="AJK468" s="90"/>
      <c r="AJL468" s="90"/>
      <c r="AJM468" s="90"/>
      <c r="AJN468" s="90"/>
      <c r="AJO468" s="90"/>
      <c r="AJP468" s="90"/>
      <c r="AJQ468" s="90"/>
      <c r="AJR468" s="90"/>
      <c r="AJS468" s="90"/>
      <c r="AJT468" s="90"/>
      <c r="AJU468" s="90"/>
      <c r="AJV468" s="90"/>
      <c r="AJW468" s="90"/>
      <c r="AJX468" s="90"/>
      <c r="AJY468" s="90"/>
      <c r="AJZ468" s="90"/>
      <c r="AKA468" s="90"/>
      <c r="AKB468" s="90"/>
      <c r="AKC468" s="90"/>
      <c r="AKD468" s="90"/>
      <c r="AKE468" s="90"/>
      <c r="AKF468" s="90"/>
      <c r="AKG468" s="90"/>
      <c r="AKH468" s="90"/>
      <c r="AKI468" s="90"/>
      <c r="AKJ468" s="90"/>
      <c r="AKK468" s="90"/>
      <c r="AKL468" s="90"/>
      <c r="AKM468" s="90"/>
      <c r="AKN468" s="90"/>
      <c r="AKO468" s="90"/>
      <c r="AKP468" s="90"/>
      <c r="AKQ468" s="90"/>
      <c r="AKR468" s="90"/>
      <c r="AKS468" s="90"/>
      <c r="AKT468" s="90"/>
      <c r="AKU468" s="90"/>
      <c r="AKV468" s="90"/>
      <c r="AKW468" s="90"/>
      <c r="AKX468" s="90"/>
      <c r="AKY468" s="90"/>
      <c r="AKZ468" s="90"/>
      <c r="ALA468" s="90"/>
      <c r="ALB468" s="90"/>
      <c r="ALC468" s="90"/>
      <c r="ALD468" s="90"/>
      <c r="ALE468" s="90"/>
      <c r="ALF468" s="90"/>
      <c r="ALG468" s="90"/>
      <c r="ALH468" s="90"/>
      <c r="ALI468" s="90"/>
      <c r="ALJ468" s="90"/>
      <c r="ALK468" s="90"/>
      <c r="ALL468" s="90"/>
      <c r="ALM468" s="90"/>
      <c r="ALN468" s="90"/>
      <c r="ALO468" s="90"/>
      <c r="ALP468" s="90"/>
      <c r="ALQ468" s="90"/>
      <c r="ALR468" s="90"/>
      <c r="ALS468" s="90"/>
      <c r="ALT468" s="90"/>
      <c r="ALU468" s="90"/>
      <c r="ALV468" s="90"/>
      <c r="ALW468" s="90"/>
      <c r="ALX468" s="90"/>
      <c r="ALY468" s="90"/>
      <c r="ALZ468" s="90"/>
      <c r="AMA468" s="90"/>
      <c r="AMB468" s="90"/>
      <c r="AMC468" s="90"/>
    </row>
    <row r="469" spans="1:1017" s="102" customFormat="1">
      <c r="A469" s="104"/>
      <c r="C469" s="104"/>
      <c r="D469" s="104"/>
      <c r="E469" s="104"/>
      <c r="F469" s="104"/>
      <c r="G469" s="104"/>
      <c r="H469" s="104"/>
      <c r="I469" s="104"/>
      <c r="J469" s="104"/>
      <c r="K469" s="104"/>
      <c r="L469" s="104"/>
      <c r="M469" s="104"/>
      <c r="N469" s="104"/>
      <c r="O469" s="104"/>
      <c r="P469" s="104"/>
      <c r="Q469" s="524"/>
      <c r="R469" s="105"/>
      <c r="S469" s="104"/>
      <c r="T469" s="104"/>
      <c r="U469" s="104"/>
      <c r="V469" s="104"/>
      <c r="W469" s="104"/>
      <c r="X469" s="104"/>
      <c r="Y469" s="104"/>
      <c r="Z469" s="104"/>
      <c r="AA469" s="104"/>
      <c r="AB469" s="104"/>
      <c r="AC469" s="104"/>
      <c r="AD469" s="104"/>
      <c r="AE469" s="104"/>
      <c r="AF469" s="104"/>
      <c r="AG469" s="524"/>
      <c r="AH469" s="105"/>
      <c r="AI469" s="104"/>
      <c r="AJ469" s="104"/>
      <c r="AK469" s="104"/>
      <c r="AL469" s="104"/>
      <c r="AM469" s="104"/>
      <c r="AN469" s="104"/>
      <c r="AO469" s="104"/>
      <c r="AP469" s="104"/>
      <c r="AQ469" s="104"/>
      <c r="AR469" s="104"/>
      <c r="AS469" s="104"/>
      <c r="AT469" s="104"/>
      <c r="AU469" s="104"/>
      <c r="AV469" s="104"/>
      <c r="AW469" s="524"/>
      <c r="AX469" s="105"/>
      <c r="AY469" s="104"/>
      <c r="AZ469" s="104"/>
      <c r="BA469" s="104"/>
      <c r="BB469" s="104"/>
      <c r="BC469" s="104"/>
      <c r="BD469" s="104"/>
      <c r="BE469" s="104"/>
      <c r="BF469" s="104"/>
      <c r="BG469" s="104"/>
      <c r="BH469" s="104"/>
      <c r="BI469" s="104"/>
      <c r="BJ469" s="104"/>
      <c r="BK469" s="104"/>
      <c r="BL469" s="104"/>
      <c r="BM469" s="524"/>
      <c r="BN469" s="105"/>
      <c r="BO469" s="104"/>
      <c r="BP469" s="104"/>
      <c r="BQ469" s="104"/>
      <c r="BR469" s="104"/>
      <c r="BS469" s="104"/>
      <c r="BT469" s="104"/>
      <c r="BU469" s="104"/>
      <c r="BV469" s="104"/>
      <c r="BW469" s="104"/>
      <c r="BX469" s="104"/>
      <c r="BY469" s="104"/>
      <c r="BZ469" s="104"/>
      <c r="CA469" s="104"/>
      <c r="CB469" s="104"/>
      <c r="CC469" s="524"/>
      <c r="CD469" s="105"/>
      <c r="CE469" s="104"/>
      <c r="CF469" s="104"/>
      <c r="CG469" s="104"/>
      <c r="CH469" s="104"/>
      <c r="CI469" s="104"/>
      <c r="CJ469" s="104"/>
      <c r="CK469" s="104"/>
      <c r="CL469" s="104"/>
      <c r="CM469" s="104"/>
      <c r="CN469" s="104"/>
      <c r="CO469" s="104"/>
      <c r="CP469" s="104"/>
      <c r="CQ469" s="104"/>
      <c r="CR469" s="104"/>
      <c r="CS469" s="105"/>
      <c r="CT469" s="105"/>
      <c r="CU469" s="104"/>
      <c r="CV469" s="104"/>
      <c r="CW469" s="104"/>
      <c r="CX469" s="104"/>
      <c r="CY469" s="104"/>
      <c r="CZ469" s="104"/>
      <c r="DA469" s="104"/>
      <c r="DB469" s="104"/>
      <c r="DC469" s="104"/>
      <c r="DD469" s="104"/>
      <c r="DE469" s="104"/>
      <c r="DF469" s="104"/>
      <c r="DG469" s="104"/>
      <c r="DH469" s="104"/>
      <c r="DI469" s="524"/>
      <c r="DJ469" s="105"/>
      <c r="DK469" s="104"/>
      <c r="DL469" s="104"/>
      <c r="DM469" s="104"/>
      <c r="DN469" s="104"/>
      <c r="DO469" s="104"/>
      <c r="DP469" s="104"/>
      <c r="DQ469" s="104"/>
      <c r="DR469" s="104"/>
      <c r="DS469" s="104"/>
      <c r="DT469" s="104"/>
      <c r="DU469" s="104"/>
      <c r="DV469" s="104"/>
      <c r="DW469" s="104"/>
      <c r="DX469" s="104"/>
      <c r="DY469" s="524"/>
      <c r="DZ469" s="105"/>
      <c r="EA469" s="104"/>
      <c r="EB469" s="104"/>
      <c r="EC469" s="104"/>
      <c r="ED469" s="104"/>
      <c r="EE469" s="104"/>
      <c r="EF469" s="104"/>
      <c r="EG469" s="104"/>
      <c r="EH469" s="104"/>
      <c r="EI469" s="104"/>
      <c r="EJ469" s="104"/>
      <c r="EK469" s="104"/>
      <c r="EL469" s="104"/>
      <c r="EM469" s="104"/>
      <c r="EN469" s="104"/>
      <c r="EO469" s="524"/>
      <c r="EP469" s="105"/>
      <c r="EQ469" s="104"/>
      <c r="ER469" s="104"/>
      <c r="ES469" s="104"/>
      <c r="ET469" s="104"/>
      <c r="EU469" s="104"/>
      <c r="EV469" s="104"/>
      <c r="EW469" s="104"/>
      <c r="EX469" s="104"/>
      <c r="EY469" s="104"/>
      <c r="EZ469" s="104"/>
      <c r="FA469" s="104"/>
      <c r="FB469" s="104"/>
      <c r="FC469" s="104"/>
      <c r="FD469" s="104"/>
      <c r="FE469" s="524"/>
      <c r="FF469" s="105"/>
      <c r="FG469" s="104"/>
      <c r="FH469" s="104"/>
      <c r="FI469" s="104"/>
      <c r="FJ469" s="104"/>
      <c r="FK469" s="104"/>
      <c r="FL469" s="104"/>
      <c r="FM469" s="104"/>
      <c r="FN469" s="104"/>
      <c r="FO469" s="104"/>
      <c r="FP469" s="104"/>
      <c r="FQ469" s="104"/>
      <c r="FR469" s="104"/>
      <c r="FS469" s="104"/>
      <c r="FT469" s="104"/>
      <c r="FU469" s="524"/>
      <c r="FV469" s="105"/>
      <c r="FW469" s="104"/>
      <c r="FX469" s="104"/>
      <c r="FY469" s="104"/>
      <c r="FZ469" s="104"/>
      <c r="GA469" s="104"/>
      <c r="GB469" s="104"/>
      <c r="GC469" s="104"/>
      <c r="GD469" s="104"/>
      <c r="GE469" s="104"/>
      <c r="GF469" s="104"/>
      <c r="GG469" s="104"/>
      <c r="GH469" s="104"/>
      <c r="GI469" s="104"/>
      <c r="GJ469" s="104"/>
      <c r="GK469" s="524"/>
      <c r="GL469" s="105"/>
      <c r="GM469" s="104"/>
      <c r="GN469" s="104"/>
      <c r="GO469" s="104"/>
      <c r="GP469" s="104"/>
      <c r="GQ469" s="104"/>
      <c r="GR469" s="104"/>
      <c r="GS469" s="104"/>
      <c r="GT469" s="104"/>
      <c r="GU469" s="104"/>
      <c r="GV469" s="104"/>
      <c r="GW469" s="104"/>
      <c r="GX469" s="104"/>
      <c r="GY469" s="104"/>
      <c r="GZ469" s="104"/>
      <c r="HA469" s="524"/>
      <c r="HB469" s="105"/>
      <c r="HC469" s="104"/>
      <c r="HD469" s="104"/>
      <c r="HE469" s="104"/>
      <c r="HF469" s="104"/>
      <c r="HG469" s="104"/>
      <c r="HH469" s="104"/>
      <c r="HI469" s="104"/>
      <c r="HJ469" s="104"/>
      <c r="HK469" s="104"/>
      <c r="HL469" s="104"/>
      <c r="HM469" s="104"/>
      <c r="HN469" s="104"/>
      <c r="HO469" s="104"/>
      <c r="HP469" s="104"/>
      <c r="HQ469" s="524"/>
      <c r="HR469" s="105"/>
      <c r="HS469" s="104"/>
      <c r="HT469" s="104"/>
      <c r="HU469" s="104"/>
      <c r="HV469" s="104"/>
      <c r="HW469" s="104"/>
      <c r="HX469" s="104"/>
      <c r="HY469" s="104"/>
      <c r="HZ469" s="104"/>
      <c r="IA469" s="104"/>
      <c r="IB469" s="104"/>
      <c r="IC469" s="104"/>
      <c r="ID469" s="104"/>
      <c r="IE469" s="104"/>
      <c r="IF469" s="104"/>
      <c r="IG469" s="524"/>
      <c r="IH469" s="105"/>
      <c r="II469" s="104"/>
      <c r="IJ469" s="104"/>
      <c r="IK469" s="104"/>
      <c r="IL469" s="104"/>
      <c r="IM469" s="104"/>
      <c r="IN469" s="104"/>
      <c r="IO469" s="104"/>
      <c r="IP469" s="104"/>
      <c r="IQ469" s="104"/>
      <c r="IR469" s="104"/>
      <c r="IS469" s="104"/>
      <c r="IT469" s="104"/>
      <c r="IU469" s="104"/>
      <c r="IV469" s="104"/>
      <c r="IW469" s="524"/>
      <c r="IX469" s="105"/>
      <c r="IY469" s="104"/>
      <c r="IZ469" s="104"/>
      <c r="JA469" s="104"/>
      <c r="JB469" s="104"/>
      <c r="JC469" s="104"/>
      <c r="JD469" s="104"/>
      <c r="JE469" s="104"/>
      <c r="JF469" s="104"/>
      <c r="JG469" s="104"/>
      <c r="JH469" s="104"/>
      <c r="JI469" s="104"/>
      <c r="JJ469" s="104"/>
      <c r="JK469" s="104"/>
      <c r="JL469" s="104"/>
      <c r="JM469" s="524"/>
      <c r="JN469" s="105"/>
      <c r="JO469" s="104"/>
      <c r="JP469" s="104"/>
      <c r="JQ469" s="104"/>
      <c r="JR469" s="104"/>
      <c r="JS469" s="104"/>
      <c r="JT469" s="104"/>
      <c r="JU469" s="104"/>
      <c r="JV469" s="104"/>
      <c r="JW469" s="104"/>
      <c r="JX469" s="104"/>
      <c r="JY469" s="104"/>
      <c r="JZ469" s="104"/>
      <c r="KA469" s="104"/>
      <c r="KB469" s="104"/>
      <c r="KC469" s="524"/>
      <c r="KD469" s="105"/>
      <c r="KE469" s="104"/>
      <c r="KF469" s="104"/>
      <c r="KG469" s="104"/>
      <c r="KH469" s="104"/>
      <c r="KI469" s="104"/>
      <c r="KJ469" s="104"/>
      <c r="KK469" s="104"/>
      <c r="KL469" s="104"/>
      <c r="KM469" s="104"/>
      <c r="KN469" s="104"/>
      <c r="KO469" s="104"/>
      <c r="KP469" s="104"/>
      <c r="KQ469" s="104"/>
      <c r="KR469" s="104"/>
      <c r="KS469" s="524"/>
      <c r="KT469" s="105"/>
      <c r="KU469" s="104"/>
      <c r="KV469" s="104"/>
      <c r="KW469" s="104"/>
      <c r="KX469" s="104"/>
      <c r="KY469" s="104"/>
      <c r="KZ469" s="104"/>
      <c r="LA469" s="104"/>
      <c r="LB469" s="104"/>
      <c r="LC469" s="104"/>
      <c r="LD469" s="104"/>
      <c r="LE469" s="104"/>
      <c r="LF469" s="104"/>
      <c r="LG469" s="104"/>
      <c r="LH469" s="104"/>
      <c r="LI469" s="524"/>
      <c r="LJ469" s="105"/>
      <c r="LK469" s="104"/>
      <c r="LL469" s="104"/>
      <c r="LM469" s="104"/>
      <c r="LN469" s="104"/>
      <c r="LO469" s="104"/>
      <c r="LP469" s="104"/>
      <c r="LQ469" s="104"/>
      <c r="LR469" s="104"/>
      <c r="LS469" s="104"/>
      <c r="LT469" s="104"/>
      <c r="LU469" s="104"/>
      <c r="LV469" s="104"/>
      <c r="LW469" s="104"/>
      <c r="LX469" s="104"/>
      <c r="LY469" s="524"/>
      <c r="LZ469" s="105"/>
      <c r="MA469" s="104"/>
      <c r="MB469" s="104"/>
      <c r="MC469" s="104"/>
      <c r="MD469" s="104"/>
      <c r="ME469" s="104"/>
      <c r="MF469" s="104"/>
      <c r="MG469" s="104"/>
      <c r="MH469" s="104"/>
      <c r="MI469" s="104"/>
      <c r="MJ469" s="104"/>
      <c r="MK469" s="104"/>
      <c r="ML469" s="104"/>
      <c r="MM469" s="104"/>
      <c r="MN469" s="104"/>
      <c r="MO469" s="524"/>
      <c r="MP469" s="105"/>
      <c r="MQ469" s="104"/>
      <c r="MR469" s="104"/>
      <c r="MS469" s="104"/>
      <c r="MT469" s="104"/>
      <c r="MU469" s="104"/>
      <c r="MV469" s="104"/>
      <c r="MW469" s="104"/>
      <c r="MX469" s="104"/>
      <c r="MY469" s="104"/>
      <c r="MZ469" s="104"/>
      <c r="NA469" s="104"/>
      <c r="NB469" s="104"/>
      <c r="NC469" s="104"/>
      <c r="ND469" s="104"/>
      <c r="NE469" s="524"/>
      <c r="NF469" s="105"/>
      <c r="NG469" s="104"/>
      <c r="NH469" s="104"/>
      <c r="NI469" s="104"/>
      <c r="NJ469" s="104"/>
      <c r="NK469" s="104"/>
      <c r="NL469" s="104"/>
      <c r="NM469" s="104"/>
      <c r="NN469" s="104"/>
      <c r="NO469" s="104"/>
      <c r="NP469" s="104"/>
      <c r="NQ469" s="104"/>
      <c r="NR469" s="104"/>
      <c r="NS469" s="104"/>
      <c r="NT469" s="104"/>
      <c r="NU469" s="524"/>
      <c r="NV469" s="105"/>
      <c r="NW469" s="104"/>
      <c r="NX469" s="104"/>
      <c r="NY469" s="104"/>
      <c r="NZ469" s="104"/>
      <c r="OA469" s="104"/>
      <c r="OB469" s="104"/>
      <c r="OC469" s="104"/>
      <c r="OD469" s="104"/>
      <c r="OE469" s="104"/>
      <c r="OF469" s="104"/>
      <c r="OG469" s="104"/>
      <c r="OH469" s="104"/>
      <c r="OI469" s="104"/>
      <c r="OJ469" s="104"/>
      <c r="OK469" s="524"/>
      <c r="OL469" s="105"/>
      <c r="OM469" s="104"/>
      <c r="ON469" s="104"/>
      <c r="OO469" s="104"/>
      <c r="OP469" s="104"/>
      <c r="OQ469" s="104"/>
      <c r="OR469" s="104"/>
      <c r="OS469" s="104"/>
      <c r="OT469" s="104"/>
      <c r="OU469" s="104"/>
      <c r="OV469" s="104"/>
      <c r="OW469" s="104"/>
      <c r="OX469" s="104"/>
      <c r="OY469" s="104"/>
      <c r="OZ469" s="104"/>
      <c r="PA469" s="524"/>
      <c r="PB469" s="105"/>
      <c r="PC469" s="104"/>
      <c r="PD469" s="104"/>
      <c r="PE469" s="104"/>
      <c r="PF469" s="104"/>
      <c r="PG469" s="104"/>
      <c r="PH469" s="104"/>
      <c r="PI469" s="104"/>
      <c r="PJ469" s="104"/>
      <c r="PK469" s="104"/>
      <c r="PL469" s="104"/>
      <c r="PM469" s="104"/>
      <c r="PN469" s="104"/>
      <c r="PO469" s="104"/>
      <c r="PP469" s="104"/>
      <c r="PQ469" s="524"/>
      <c r="PR469" s="105"/>
      <c r="PS469" s="104"/>
      <c r="PT469" s="104"/>
      <c r="PU469" s="104"/>
      <c r="PV469" s="104"/>
      <c r="PW469" s="104"/>
      <c r="PX469" s="104"/>
      <c r="PY469" s="104"/>
      <c r="PZ469" s="104"/>
      <c r="QA469" s="104"/>
      <c r="QB469" s="104"/>
      <c r="QC469" s="104"/>
      <c r="QD469" s="104"/>
      <c r="QE469" s="104"/>
      <c r="QF469" s="104"/>
      <c r="QG469" s="524"/>
      <c r="QH469" s="105"/>
      <c r="QI469" s="104"/>
      <c r="QJ469" s="104"/>
      <c r="QK469" s="104"/>
      <c r="QL469" s="104"/>
      <c r="QM469" s="104"/>
      <c r="QN469" s="104"/>
      <c r="QO469" s="104"/>
      <c r="QP469" s="104"/>
      <c r="QQ469" s="104"/>
      <c r="QR469" s="104"/>
      <c r="QS469" s="104"/>
      <c r="QT469" s="104"/>
      <c r="QU469" s="104"/>
      <c r="QV469" s="104"/>
      <c r="QW469" s="524"/>
      <c r="QX469" s="105"/>
      <c r="QY469" s="104"/>
      <c r="QZ469" s="104"/>
      <c r="RA469" s="104"/>
      <c r="RB469" s="104"/>
      <c r="RC469" s="104"/>
      <c r="RD469" s="104"/>
      <c r="RE469" s="104"/>
      <c r="RF469" s="104"/>
      <c r="RG469" s="104"/>
      <c r="RH469" s="104"/>
      <c r="RI469" s="104"/>
      <c r="RJ469" s="104"/>
      <c r="RK469" s="104"/>
      <c r="RL469" s="104"/>
      <c r="RM469" s="524"/>
      <c r="RN469" s="105"/>
      <c r="RO469" s="104"/>
      <c r="RP469" s="104"/>
      <c r="RQ469" s="104"/>
      <c r="RR469" s="104"/>
      <c r="RS469" s="104"/>
      <c r="RT469" s="104"/>
      <c r="RU469" s="104"/>
      <c r="RV469" s="104"/>
      <c r="RW469" s="104"/>
      <c r="RX469" s="104"/>
      <c r="RY469" s="104"/>
      <c r="RZ469" s="104"/>
      <c r="SA469" s="104"/>
      <c r="SB469" s="104"/>
      <c r="SC469" s="524"/>
      <c r="SD469" s="105"/>
      <c r="SE469" s="104"/>
      <c r="SF469" s="104"/>
      <c r="SG469" s="104"/>
      <c r="SH469" s="104"/>
      <c r="SI469" s="104"/>
      <c r="SJ469" s="104"/>
      <c r="SK469" s="104"/>
      <c r="SL469" s="104"/>
      <c r="SM469" s="104"/>
      <c r="SN469" s="104"/>
      <c r="SO469" s="104"/>
      <c r="SP469" s="104"/>
      <c r="SQ469" s="104"/>
      <c r="SR469" s="104"/>
      <c r="SS469" s="524"/>
      <c r="ST469" s="105"/>
      <c r="SU469" s="104"/>
      <c r="SV469" s="104"/>
      <c r="SW469" s="104"/>
      <c r="SX469" s="104"/>
      <c r="SY469" s="104"/>
      <c r="SZ469" s="104"/>
      <c r="TA469" s="104"/>
      <c r="TB469" s="104"/>
      <c r="TC469" s="104"/>
      <c r="TD469" s="104"/>
      <c r="TE469" s="104"/>
      <c r="TF469" s="104"/>
      <c r="TG469" s="104"/>
      <c r="TH469" s="104"/>
      <c r="TI469" s="524"/>
      <c r="TJ469" s="105"/>
      <c r="TK469" s="104"/>
      <c r="TL469" s="104"/>
      <c r="TM469" s="104"/>
      <c r="TN469" s="104"/>
      <c r="TO469" s="104"/>
      <c r="TP469" s="104"/>
      <c r="TQ469" s="104"/>
      <c r="TR469" s="104"/>
      <c r="TS469" s="104"/>
      <c r="TT469" s="104"/>
      <c r="TU469" s="104"/>
      <c r="TV469" s="104"/>
      <c r="TW469" s="104"/>
      <c r="TX469" s="104"/>
      <c r="TY469" s="524"/>
      <c r="TZ469" s="105"/>
      <c r="UA469" s="104"/>
      <c r="UB469" s="104"/>
      <c r="UC469" s="104"/>
      <c r="UD469" s="104"/>
      <c r="UE469" s="104"/>
      <c r="UF469" s="104"/>
      <c r="UG469" s="104"/>
      <c r="UH469" s="104"/>
      <c r="UI469" s="104"/>
      <c r="UJ469" s="104"/>
      <c r="UK469" s="104"/>
      <c r="UL469" s="104"/>
      <c r="UM469" s="104"/>
      <c r="UN469" s="104"/>
      <c r="UO469" s="524"/>
      <c r="UP469" s="105"/>
      <c r="UQ469" s="104"/>
      <c r="UR469" s="104"/>
      <c r="US469" s="104"/>
      <c r="UT469" s="104"/>
      <c r="UU469" s="104"/>
      <c r="UV469" s="104"/>
      <c r="UW469" s="104"/>
      <c r="UX469" s="104"/>
      <c r="UY469" s="104"/>
      <c r="UZ469" s="104"/>
      <c r="VA469" s="104"/>
      <c r="VB469" s="104"/>
      <c r="VC469" s="104"/>
      <c r="VD469" s="104"/>
      <c r="VE469" s="524"/>
      <c r="VF469" s="105"/>
      <c r="VG469" s="104"/>
      <c r="VH469" s="104"/>
      <c r="VI469" s="104"/>
      <c r="VJ469" s="104"/>
      <c r="VK469" s="104"/>
      <c r="VL469" s="104"/>
      <c r="VM469" s="104"/>
      <c r="VN469" s="104"/>
      <c r="VO469" s="104"/>
      <c r="VP469" s="104"/>
      <c r="VQ469" s="104"/>
      <c r="VR469" s="104"/>
      <c r="VS469" s="104"/>
      <c r="VT469" s="104"/>
      <c r="VU469" s="524"/>
      <c r="VV469" s="105"/>
      <c r="VW469" s="104"/>
      <c r="VX469" s="104"/>
      <c r="VY469" s="104"/>
      <c r="VZ469" s="104"/>
      <c r="WA469" s="104"/>
      <c r="WB469" s="104"/>
      <c r="WC469" s="104"/>
      <c r="WD469" s="104"/>
      <c r="WE469" s="104"/>
      <c r="WF469" s="104"/>
      <c r="WG469" s="104"/>
      <c r="WH469" s="104"/>
      <c r="WI469" s="104"/>
      <c r="WJ469" s="104"/>
      <c r="WK469" s="524"/>
      <c r="WL469" s="105"/>
      <c r="WM469" s="106"/>
      <c r="WN469" s="96"/>
      <c r="WO469" s="96"/>
      <c r="WP469" s="96"/>
      <c r="WQ469" s="96"/>
      <c r="WR469" s="96"/>
      <c r="WS469" s="96"/>
      <c r="WT469" s="96"/>
      <c r="WU469" s="96"/>
      <c r="WV469" s="96"/>
      <c r="WW469" s="96"/>
      <c r="WX469" s="96"/>
      <c r="WY469" s="96"/>
      <c r="WZ469" s="96"/>
      <c r="XA469" s="96"/>
      <c r="XB469" s="196"/>
      <c r="XC469" s="196"/>
      <c r="XD469" s="106"/>
      <c r="XE469" s="104"/>
      <c r="XF469" s="104"/>
      <c r="XG469" s="106"/>
      <c r="XH469" s="104"/>
      <c r="XI469" s="104"/>
      <c r="XJ469" s="106"/>
      <c r="XK469" s="96"/>
      <c r="XL469" s="96"/>
      <c r="XM469" s="96"/>
      <c r="XN469" s="96"/>
      <c r="XO469" s="96"/>
      <c r="XP469" s="96"/>
      <c r="XQ469" s="96"/>
      <c r="XR469" s="196"/>
      <c r="XS469" s="106"/>
      <c r="XT469" s="96"/>
      <c r="XU469" s="96"/>
      <c r="XV469" s="96"/>
      <c r="XW469" s="96"/>
      <c r="XX469" s="96"/>
      <c r="XY469" s="96"/>
      <c r="XZ469" s="96"/>
      <c r="YA469" s="196"/>
      <c r="YB469" s="104"/>
      <c r="YC469" s="104"/>
      <c r="YD469" s="104"/>
      <c r="YE469" s="104"/>
      <c r="YF469" s="104"/>
      <c r="YG469" s="104"/>
      <c r="YH469" s="104"/>
      <c r="YI469" s="104"/>
      <c r="YJ469" s="104"/>
      <c r="YK469" s="104"/>
      <c r="YL469" s="104"/>
      <c r="YM469" s="104"/>
      <c r="YN469" s="104"/>
      <c r="YO469" s="104"/>
      <c r="YP469" s="104"/>
      <c r="YQ469" s="104"/>
      <c r="YR469" s="104"/>
      <c r="YS469" s="104"/>
      <c r="YT469" s="104"/>
      <c r="YU469" s="104"/>
      <c r="YV469" s="104"/>
      <c r="YW469" s="104"/>
      <c r="YX469" s="104"/>
      <c r="YY469" s="104"/>
      <c r="YZ469" s="104"/>
      <c r="ZA469" s="104"/>
      <c r="ZB469" s="104"/>
      <c r="ZC469" s="104"/>
      <c r="ZD469" s="104"/>
      <c r="ZE469" s="104"/>
      <c r="ZF469" s="104"/>
      <c r="ZG469" s="104"/>
      <c r="ZH469" s="104"/>
      <c r="ZI469" s="104"/>
      <c r="ZJ469" s="104"/>
      <c r="ZK469" s="104"/>
      <c r="ZL469" s="104"/>
      <c r="ZM469" s="104"/>
      <c r="ZN469" s="104"/>
      <c r="ZO469" s="104"/>
      <c r="ZP469" s="104"/>
      <c r="ZQ469" s="104"/>
      <c r="ZR469" s="104"/>
      <c r="ZS469" s="104"/>
      <c r="ZT469" s="104"/>
      <c r="ZU469" s="104"/>
      <c r="ZV469" s="104"/>
      <c r="ZW469" s="104"/>
      <c r="ZX469" s="104"/>
      <c r="ZY469" s="104"/>
      <c r="ZZ469" s="104"/>
      <c r="AAA469" s="104"/>
      <c r="AAB469" s="104"/>
      <c r="AAC469" s="104"/>
      <c r="AAD469" s="104"/>
      <c r="AAE469" s="104"/>
      <c r="AAF469" s="104"/>
      <c r="AAG469" s="104"/>
      <c r="AAH469" s="104"/>
      <c r="AAI469" s="104"/>
      <c r="AAJ469" s="104"/>
      <c r="AAK469" s="104"/>
      <c r="AAL469" s="104"/>
      <c r="AAM469" s="104"/>
      <c r="AAN469" s="104"/>
      <c r="AAO469" s="104"/>
      <c r="AAP469" s="104"/>
      <c r="AAQ469" s="104"/>
      <c r="AAR469" s="104"/>
      <c r="AAS469" s="104"/>
      <c r="AAT469" s="104"/>
      <c r="AAU469" s="104"/>
      <c r="AAV469" s="104"/>
      <c r="AAW469" s="104"/>
      <c r="AAX469" s="104"/>
      <c r="AAY469" s="104"/>
      <c r="AAZ469" s="104"/>
      <c r="ABA469" s="104"/>
      <c r="ABB469" s="104"/>
      <c r="ABC469" s="104"/>
      <c r="ABD469" s="104"/>
      <c r="ABE469" s="104"/>
      <c r="ABF469" s="104"/>
      <c r="ABG469" s="104"/>
      <c r="ABH469" s="104"/>
      <c r="ABI469" s="104"/>
      <c r="ABJ469" s="104"/>
      <c r="ABK469" s="104"/>
      <c r="ABL469" s="104"/>
      <c r="ABM469" s="104"/>
      <c r="ABN469" s="104"/>
      <c r="ABO469" s="104"/>
      <c r="ABP469" s="104"/>
      <c r="ABQ469" s="104"/>
      <c r="ABR469" s="104"/>
      <c r="ABS469" s="104"/>
      <c r="ABT469" s="104"/>
      <c r="ABU469" s="104"/>
      <c r="ABV469" s="104"/>
      <c r="ABW469" s="104"/>
      <c r="ABX469" s="104"/>
      <c r="ABY469" s="104"/>
      <c r="ABZ469" s="104"/>
      <c r="ACA469" s="104"/>
      <c r="ACB469" s="104"/>
      <c r="ACC469" s="104"/>
      <c r="ACD469" s="104"/>
      <c r="ACE469" s="104"/>
      <c r="ACF469" s="104"/>
      <c r="ACG469" s="104"/>
      <c r="ACH469" s="104"/>
      <c r="ACI469" s="104"/>
      <c r="ACJ469" s="104"/>
      <c r="ACK469" s="104"/>
      <c r="ACL469" s="104"/>
      <c r="ACM469" s="104"/>
      <c r="ACN469" s="104"/>
      <c r="ACO469" s="104"/>
      <c r="ACP469" s="104"/>
      <c r="ACQ469" s="104"/>
      <c r="ACR469" s="104"/>
      <c r="ACS469" s="104"/>
      <c r="ACT469" s="104"/>
      <c r="ACU469" s="104"/>
      <c r="ACV469" s="104"/>
      <c r="ACW469" s="104"/>
      <c r="ACX469" s="104"/>
      <c r="ACY469" s="104"/>
      <c r="ACZ469" s="104"/>
      <c r="ADA469" s="104"/>
      <c r="ADB469" s="104"/>
      <c r="ADC469" s="104"/>
      <c r="ADD469" s="104"/>
      <c r="ADE469" s="104"/>
      <c r="ADF469" s="104"/>
      <c r="ADG469" s="104"/>
      <c r="ADH469" s="104"/>
      <c r="ADI469" s="104"/>
      <c r="ADJ469" s="104"/>
      <c r="ADK469" s="104"/>
      <c r="ADL469" s="104"/>
      <c r="ADM469" s="104"/>
      <c r="ADN469" s="104"/>
      <c r="ADO469" s="104"/>
      <c r="ADP469" s="104"/>
      <c r="ADQ469" s="104"/>
      <c r="ADR469" s="104"/>
      <c r="ADS469" s="104"/>
      <c r="ADT469" s="104"/>
      <c r="ADU469" s="104"/>
      <c r="ADV469" s="104"/>
      <c r="ADW469" s="104"/>
      <c r="ADX469" s="104"/>
      <c r="ADY469" s="104"/>
      <c r="ADZ469" s="104"/>
      <c r="AEA469" s="104"/>
      <c r="AEB469" s="104"/>
      <c r="AEC469" s="104"/>
      <c r="AED469" s="104"/>
      <c r="AEE469" s="104"/>
      <c r="AEF469" s="104"/>
      <c r="AEG469" s="104"/>
      <c r="AEH469" s="104"/>
      <c r="AEI469" s="104"/>
      <c r="AEJ469" s="104"/>
      <c r="AEK469" s="104"/>
      <c r="AEL469" s="104"/>
      <c r="AEM469" s="104"/>
      <c r="AEN469" s="104"/>
      <c r="AEO469" s="104"/>
      <c r="AEP469" s="104"/>
      <c r="AEQ469" s="104"/>
      <c r="AER469" s="104"/>
      <c r="AES469" s="104"/>
      <c r="AET469" s="104"/>
      <c r="AEU469" s="104"/>
      <c r="AEV469" s="104"/>
      <c r="AEW469" s="104"/>
      <c r="AEX469" s="104"/>
      <c r="AEY469" s="104"/>
      <c r="AEZ469" s="104"/>
      <c r="AFA469" s="104"/>
      <c r="AFB469" s="104"/>
      <c r="AFC469" s="104"/>
      <c r="AFD469" s="104"/>
      <c r="AFE469" s="104"/>
      <c r="AFF469" s="104"/>
      <c r="AFG469" s="104"/>
      <c r="AFH469" s="104"/>
      <c r="AFI469" s="104"/>
      <c r="AFJ469" s="104"/>
      <c r="AFK469" s="104"/>
      <c r="AFL469" s="104"/>
      <c r="AFM469" s="104"/>
      <c r="AFN469" s="104"/>
      <c r="AFO469" s="104"/>
      <c r="AFP469" s="104"/>
      <c r="AFQ469" s="104"/>
      <c r="AFR469" s="104"/>
      <c r="AFS469" s="104"/>
      <c r="AFT469" s="104"/>
      <c r="AFU469" s="104"/>
      <c r="AFV469" s="104"/>
      <c r="AFW469" s="104"/>
      <c r="AFX469" s="104"/>
      <c r="AFY469" s="104"/>
      <c r="AFZ469" s="104"/>
      <c r="AGA469" s="104"/>
      <c r="AGB469" s="104"/>
      <c r="AGC469" s="104"/>
      <c r="AGD469" s="104"/>
      <c r="AGE469" s="104"/>
      <c r="AGF469" s="104"/>
      <c r="AGG469" s="104"/>
      <c r="AGH469" s="104"/>
      <c r="AGI469" s="104"/>
      <c r="AGJ469" s="104"/>
      <c r="AGK469" s="104"/>
      <c r="AGL469" s="104"/>
      <c r="AGM469" s="104"/>
      <c r="AGN469" s="104"/>
      <c r="AGO469" s="104"/>
      <c r="AGP469" s="104"/>
      <c r="AGQ469" s="104"/>
      <c r="AGR469" s="104"/>
      <c r="AGS469" s="104"/>
      <c r="AGT469" s="104"/>
      <c r="AGU469" s="104"/>
      <c r="AGV469" s="104"/>
      <c r="AGW469" s="104"/>
      <c r="AGX469" s="104"/>
      <c r="AGY469" s="104"/>
      <c r="AGZ469" s="104"/>
      <c r="AHA469" s="104"/>
      <c r="AHB469" s="104"/>
      <c r="AHC469" s="104"/>
      <c r="AHD469" s="104"/>
      <c r="AHE469" s="104"/>
      <c r="AHF469" s="104"/>
      <c r="AHG469" s="104"/>
      <c r="AHH469" s="104"/>
      <c r="AHI469" s="104"/>
      <c r="AHJ469" s="104"/>
      <c r="AHK469" s="104"/>
      <c r="AHL469" s="104"/>
      <c r="AHM469" s="104"/>
      <c r="AHN469" s="104"/>
      <c r="AHO469" s="104"/>
      <c r="AHP469" s="104"/>
      <c r="AHQ469" s="104"/>
      <c r="AHR469" s="104"/>
      <c r="AHS469" s="104"/>
      <c r="AHT469" s="104"/>
      <c r="AHU469" s="104"/>
      <c r="AHV469" s="104"/>
      <c r="AHW469" s="104"/>
      <c r="AHX469" s="104"/>
      <c r="AHY469" s="104"/>
      <c r="AHZ469" s="104"/>
      <c r="AIA469" s="104"/>
      <c r="AIB469" s="104"/>
      <c r="AIC469" s="104"/>
      <c r="AID469" s="104"/>
      <c r="AIE469" s="104"/>
      <c r="AIF469" s="104"/>
      <c r="AIG469" s="104"/>
      <c r="AIH469" s="104"/>
      <c r="AII469" s="104"/>
      <c r="AIJ469" s="104"/>
      <c r="AIK469" s="104"/>
      <c r="AIL469" s="104"/>
      <c r="AIM469" s="104"/>
      <c r="AIN469" s="104"/>
      <c r="AIO469" s="104"/>
      <c r="AIP469" s="104"/>
      <c r="AIQ469" s="104"/>
      <c r="AIR469" s="104"/>
      <c r="AIS469" s="104"/>
      <c r="AIT469" s="104"/>
      <c r="AIU469" s="104"/>
      <c r="AIV469" s="104"/>
      <c r="AIW469" s="104"/>
      <c r="AIX469" s="104"/>
      <c r="AIY469" s="104"/>
      <c r="AIZ469" s="104"/>
      <c r="AJA469" s="104"/>
      <c r="AJB469" s="104"/>
      <c r="AJC469" s="104"/>
      <c r="AJD469" s="104"/>
      <c r="AJE469" s="104"/>
      <c r="AJF469" s="104"/>
      <c r="AJG469" s="104"/>
      <c r="AJH469" s="104"/>
      <c r="AJI469" s="104"/>
      <c r="AJJ469" s="104"/>
      <c r="AJK469" s="104"/>
      <c r="AJL469" s="104"/>
      <c r="AJM469" s="104"/>
      <c r="AJN469" s="104"/>
      <c r="AJO469" s="104"/>
      <c r="AJP469" s="104"/>
      <c r="AJQ469" s="104"/>
      <c r="AJR469" s="104"/>
      <c r="AJS469" s="104"/>
      <c r="AJT469" s="104"/>
      <c r="AJU469" s="104"/>
      <c r="AJV469" s="104"/>
      <c r="AJW469" s="104"/>
      <c r="AJX469" s="104"/>
      <c r="AJY469" s="104"/>
      <c r="AJZ469" s="104"/>
      <c r="AKA469" s="104"/>
      <c r="AKB469" s="104"/>
      <c r="AKC469" s="104"/>
      <c r="AKD469" s="104"/>
      <c r="AKE469" s="104"/>
      <c r="AKF469" s="104"/>
      <c r="AKG469" s="104"/>
      <c r="AKH469" s="104"/>
      <c r="AKI469" s="104"/>
      <c r="AKJ469" s="104"/>
      <c r="AKK469" s="104"/>
      <c r="AKL469" s="104"/>
      <c r="AKM469" s="104"/>
      <c r="AKN469" s="104"/>
      <c r="AKO469" s="104"/>
      <c r="AKP469" s="104"/>
      <c r="AKQ469" s="104"/>
      <c r="AKR469" s="104"/>
      <c r="AKS469" s="104"/>
      <c r="AKT469" s="104"/>
      <c r="AKU469" s="104"/>
      <c r="AKV469" s="104"/>
      <c r="AKW469" s="104"/>
      <c r="AKX469" s="104"/>
      <c r="AKY469" s="104"/>
      <c r="AKZ469" s="104"/>
      <c r="ALA469" s="104"/>
      <c r="ALB469" s="104"/>
      <c r="ALC469" s="104"/>
      <c r="ALD469" s="104"/>
      <c r="ALE469" s="104"/>
      <c r="ALF469" s="104"/>
      <c r="ALG469" s="104"/>
      <c r="ALH469" s="104"/>
      <c r="ALI469" s="104"/>
      <c r="ALJ469" s="104"/>
      <c r="ALK469" s="104"/>
      <c r="ALL469" s="104"/>
      <c r="ALM469" s="104"/>
      <c r="ALN469" s="104"/>
      <c r="ALO469" s="104"/>
      <c r="ALP469" s="104"/>
      <c r="ALQ469" s="104"/>
      <c r="ALR469" s="104"/>
      <c r="ALS469" s="104"/>
      <c r="ALT469" s="104"/>
      <c r="ALU469" s="104"/>
      <c r="ALV469" s="104"/>
      <c r="ALW469" s="104"/>
      <c r="ALX469" s="104"/>
      <c r="ALY469" s="104"/>
      <c r="ALZ469" s="104"/>
      <c r="AMA469" s="104"/>
      <c r="AMB469" s="104"/>
      <c r="AMC469" s="104"/>
    </row>
    <row r="470" spans="1:1017">
      <c r="B470" s="93"/>
      <c r="AG470" s="98"/>
      <c r="AH470" s="98"/>
      <c r="AW470" s="98"/>
      <c r="AX470" s="98"/>
      <c r="CS470" s="98"/>
      <c r="CT470" s="98"/>
      <c r="DY470" s="98"/>
      <c r="DZ470" s="98"/>
      <c r="EO470" s="98"/>
      <c r="EP470" s="98"/>
      <c r="FE470" s="98"/>
      <c r="FF470" s="98"/>
      <c r="FU470" s="98"/>
      <c r="FV470" s="98"/>
      <c r="GK470" s="98"/>
      <c r="GL470" s="98"/>
      <c r="HA470" s="98"/>
      <c r="HB470" s="98"/>
      <c r="HQ470" s="98"/>
      <c r="HR470" s="98"/>
      <c r="IG470" s="98"/>
      <c r="IH470" s="98"/>
      <c r="IW470" s="98"/>
      <c r="IX470" s="98"/>
      <c r="JM470" s="98"/>
      <c r="JN470" s="98"/>
      <c r="KC470" s="98"/>
      <c r="KD470" s="98"/>
      <c r="KS470" s="107"/>
      <c r="KT470" s="107"/>
      <c r="LI470" s="98"/>
      <c r="LJ470" s="98"/>
      <c r="LY470" s="98"/>
      <c r="LZ470" s="98"/>
      <c r="MO470" s="98"/>
      <c r="MP470" s="98"/>
      <c r="NE470" s="98"/>
      <c r="NF470" s="98"/>
      <c r="NU470" s="98"/>
      <c r="NV470" s="98"/>
      <c r="OK470" s="98"/>
      <c r="OL470" s="98"/>
      <c r="PA470" s="98"/>
      <c r="PB470" s="98"/>
      <c r="PQ470" s="98"/>
      <c r="PR470" s="98"/>
      <c r="QG470" s="107"/>
      <c r="QH470" s="107"/>
      <c r="QW470" s="98"/>
      <c r="QX470" s="98"/>
      <c r="RM470" s="98"/>
      <c r="RN470" s="98"/>
      <c r="SC470" s="98"/>
      <c r="SD470" s="98"/>
      <c r="SS470" s="98"/>
      <c r="ST470" s="98"/>
      <c r="TI470" s="98"/>
      <c r="TJ470" s="98"/>
      <c r="TY470" s="98"/>
      <c r="TZ470" s="98"/>
      <c r="UO470" s="98"/>
      <c r="UP470" s="98"/>
      <c r="VE470" s="98"/>
      <c r="VF470" s="98"/>
      <c r="VU470" s="98"/>
      <c r="VV470" s="98"/>
      <c r="WK470" s="98"/>
      <c r="WL470" s="98"/>
    </row>
    <row r="471" spans="1:1017">
      <c r="B471" s="93" t="s">
        <v>41</v>
      </c>
      <c r="C471" s="98">
        <f>SUM(C13,C51,C89)</f>
        <v>0</v>
      </c>
      <c r="D471" s="98">
        <f>SUM(D13,D51,D89)</f>
        <v>0</v>
      </c>
      <c r="E471" s="98">
        <f>SUM(E13,E51,E89)</f>
        <v>4615502</v>
      </c>
      <c r="F471" s="98">
        <f>SUM(F13,F51,F89)</f>
        <v>153546333.579</v>
      </c>
      <c r="I471" s="98">
        <f t="shared" ref="I471:V471" si="2337">SUM(I13,I51,I89)</f>
        <v>338750</v>
      </c>
      <c r="J471" s="98">
        <f t="shared" si="2337"/>
        <v>7611950</v>
      </c>
      <c r="K471" s="98">
        <f t="shared" si="2337"/>
        <v>0</v>
      </c>
      <c r="L471" s="98">
        <f t="shared" si="2337"/>
        <v>0</v>
      </c>
      <c r="M471" s="98">
        <f t="shared" si="2337"/>
        <v>1300</v>
      </c>
      <c r="N471" s="98">
        <f t="shared" si="2337"/>
        <v>26000</v>
      </c>
      <c r="O471" s="98">
        <f t="shared" si="2337"/>
        <v>0</v>
      </c>
      <c r="P471" s="98">
        <f t="shared" si="2337"/>
        <v>0</v>
      </c>
      <c r="Q471" s="99">
        <f t="shared" si="2337"/>
        <v>4955552</v>
      </c>
      <c r="R471" s="99">
        <f t="shared" si="2337"/>
        <v>161184283.579</v>
      </c>
      <c r="S471" s="98">
        <f t="shared" si="2337"/>
        <v>13430</v>
      </c>
      <c r="T471" s="98">
        <f t="shared" si="2337"/>
        <v>1763450</v>
      </c>
      <c r="U471" s="98">
        <f t="shared" si="2337"/>
        <v>4745625</v>
      </c>
      <c r="V471" s="98">
        <f t="shared" si="2337"/>
        <v>236836650</v>
      </c>
      <c r="Y471" s="98">
        <f t="shared" ref="Y471:AL471" si="2338">SUM(Y13,Y51,Y89)</f>
        <v>2508160</v>
      </c>
      <c r="Z471" s="98">
        <f t="shared" si="2338"/>
        <v>50955415</v>
      </c>
      <c r="AA471" s="98">
        <f t="shared" si="2338"/>
        <v>18740</v>
      </c>
      <c r="AB471" s="98">
        <f t="shared" si="2338"/>
        <v>510625</v>
      </c>
      <c r="AC471" s="98">
        <f t="shared" si="2338"/>
        <v>10610</v>
      </c>
      <c r="AD471" s="98">
        <f t="shared" si="2338"/>
        <v>292075</v>
      </c>
      <c r="AE471" s="98">
        <f t="shared" si="2338"/>
        <v>5605</v>
      </c>
      <c r="AF471" s="98">
        <f t="shared" si="2338"/>
        <v>136175</v>
      </c>
      <c r="AG471" s="98">
        <f t="shared" si="2338"/>
        <v>7302170</v>
      </c>
      <c r="AH471" s="98">
        <f t="shared" si="2338"/>
        <v>290494390</v>
      </c>
      <c r="AI471" s="98">
        <f t="shared" si="2338"/>
        <v>0</v>
      </c>
      <c r="AJ471" s="98">
        <f t="shared" si="2338"/>
        <v>0</v>
      </c>
      <c r="AK471" s="98">
        <f t="shared" si="2338"/>
        <v>105000</v>
      </c>
      <c r="AL471" s="98">
        <f t="shared" si="2338"/>
        <v>6825000</v>
      </c>
      <c r="AO471" s="98">
        <f t="shared" ref="AO471:BB471" si="2339">SUM(AO13,AO51,AO89)</f>
        <v>4025700</v>
      </c>
      <c r="AP471" s="98">
        <f t="shared" si="2339"/>
        <v>88022700</v>
      </c>
      <c r="AQ471" s="98">
        <f t="shared" si="2339"/>
        <v>420</v>
      </c>
      <c r="AR471" s="98">
        <f t="shared" si="2339"/>
        <v>10300</v>
      </c>
      <c r="AS471" s="98">
        <f t="shared" si="2339"/>
        <v>0</v>
      </c>
      <c r="AT471" s="98">
        <f t="shared" si="2339"/>
        <v>0</v>
      </c>
      <c r="AU471" s="98">
        <f t="shared" si="2339"/>
        <v>7060</v>
      </c>
      <c r="AV471" s="98">
        <f t="shared" si="2339"/>
        <v>173940</v>
      </c>
      <c r="AW471" s="98">
        <f t="shared" si="2339"/>
        <v>4138180</v>
      </c>
      <c r="AX471" s="98">
        <f t="shared" si="2339"/>
        <v>95031940</v>
      </c>
      <c r="AY471" s="98">
        <f t="shared" si="2339"/>
        <v>0</v>
      </c>
      <c r="AZ471" s="98">
        <f t="shared" si="2339"/>
        <v>0</v>
      </c>
      <c r="BA471" s="98">
        <f t="shared" si="2339"/>
        <v>0</v>
      </c>
      <c r="BB471" s="98">
        <f t="shared" si="2339"/>
        <v>0</v>
      </c>
      <c r="BE471" s="98">
        <f t="shared" ref="BE471:BR471" si="2340">SUM(BE13,BE51,BE89)</f>
        <v>1542739</v>
      </c>
      <c r="BF471" s="98">
        <f t="shared" si="2340"/>
        <v>30910241</v>
      </c>
      <c r="BG471" s="98">
        <f t="shared" si="2340"/>
        <v>56772</v>
      </c>
      <c r="BH471" s="98">
        <f t="shared" si="2340"/>
        <v>1050747</v>
      </c>
      <c r="BI471" s="98">
        <f t="shared" si="2340"/>
        <v>0</v>
      </c>
      <c r="BJ471" s="98">
        <f t="shared" si="2340"/>
        <v>0</v>
      </c>
      <c r="BK471" s="98">
        <f t="shared" si="2340"/>
        <v>11524</v>
      </c>
      <c r="BL471" s="98">
        <f t="shared" si="2340"/>
        <v>193931</v>
      </c>
      <c r="BM471" s="98">
        <f t="shared" si="2340"/>
        <v>1611035</v>
      </c>
      <c r="BN471" s="98">
        <f t="shared" si="2340"/>
        <v>32154919</v>
      </c>
      <c r="BO471" s="98">
        <f t="shared" si="2340"/>
        <v>0</v>
      </c>
      <c r="BP471" s="98">
        <f t="shared" si="2340"/>
        <v>0</v>
      </c>
      <c r="BQ471" s="98">
        <f t="shared" si="2340"/>
        <v>0</v>
      </c>
      <c r="BR471" s="98">
        <f t="shared" si="2340"/>
        <v>0</v>
      </c>
      <c r="BU471" s="98">
        <f t="shared" ref="BU471:CH471" si="2341">SUM(BU13,BU51,BU89)</f>
        <v>226594</v>
      </c>
      <c r="BV471" s="98">
        <f t="shared" si="2341"/>
        <v>4871029</v>
      </c>
      <c r="BW471" s="98">
        <f t="shared" si="2341"/>
        <v>0</v>
      </c>
      <c r="BX471" s="98">
        <f t="shared" si="2341"/>
        <v>0</v>
      </c>
      <c r="BY471" s="98">
        <f t="shared" si="2341"/>
        <v>0</v>
      </c>
      <c r="BZ471" s="98">
        <f t="shared" si="2341"/>
        <v>0</v>
      </c>
      <c r="CA471" s="98">
        <f t="shared" si="2341"/>
        <v>0</v>
      </c>
      <c r="CB471" s="98">
        <f t="shared" si="2341"/>
        <v>0</v>
      </c>
      <c r="CC471" s="107">
        <f t="shared" si="2341"/>
        <v>226594</v>
      </c>
      <c r="CD471" s="107">
        <f t="shared" si="2341"/>
        <v>4871029</v>
      </c>
      <c r="CE471" s="98">
        <f t="shared" si="2341"/>
        <v>1178368</v>
      </c>
      <c r="CF471" s="98">
        <f t="shared" si="2341"/>
        <v>4868226</v>
      </c>
      <c r="CG471" s="98">
        <f t="shared" si="2341"/>
        <v>22615979.346231226</v>
      </c>
      <c r="CH471" s="98">
        <f t="shared" si="2341"/>
        <v>649282857.08653629</v>
      </c>
      <c r="CK471" s="98">
        <f t="shared" ref="CK471:CX471" si="2342">SUM(CK13,CK51,CK89)</f>
        <v>17050061</v>
      </c>
      <c r="CL471" s="98">
        <f t="shared" si="2342"/>
        <v>283692372.50579751</v>
      </c>
      <c r="CM471" s="98">
        <f t="shared" si="2342"/>
        <v>0</v>
      </c>
      <c r="CN471" s="98">
        <f t="shared" si="2342"/>
        <v>0</v>
      </c>
      <c r="CO471" s="98">
        <f t="shared" si="2342"/>
        <v>0</v>
      </c>
      <c r="CP471" s="98">
        <f t="shared" si="2342"/>
        <v>0</v>
      </c>
      <c r="CQ471" s="98">
        <f t="shared" si="2342"/>
        <v>0</v>
      </c>
      <c r="CR471" s="98">
        <f t="shared" si="2342"/>
        <v>0</v>
      </c>
      <c r="CS471" s="98">
        <f t="shared" si="2342"/>
        <v>40844408.346231222</v>
      </c>
      <c r="CT471" s="98">
        <f t="shared" si="2342"/>
        <v>937843455.59233367</v>
      </c>
      <c r="CU471" s="98">
        <f t="shared" si="2342"/>
        <v>0</v>
      </c>
      <c r="CV471" s="98">
        <f t="shared" si="2342"/>
        <v>0</v>
      </c>
      <c r="CW471" s="98">
        <f t="shared" si="2342"/>
        <v>368555.00099170511</v>
      </c>
      <c r="CX471" s="98">
        <f t="shared" si="2342"/>
        <v>25496371.024999999</v>
      </c>
      <c r="DA471" s="98">
        <f t="shared" ref="DA471:DN471" si="2343">SUM(DA13,DA51,DA89)</f>
        <v>3844033</v>
      </c>
      <c r="DB471" s="98">
        <f t="shared" si="2343"/>
        <v>84800377.998999998</v>
      </c>
      <c r="DC471" s="98">
        <f t="shared" si="2343"/>
        <v>16400</v>
      </c>
      <c r="DD471" s="98">
        <f t="shared" si="2343"/>
        <v>429250</v>
      </c>
      <c r="DE471" s="98">
        <f t="shared" si="2343"/>
        <v>0</v>
      </c>
      <c r="DF471" s="98">
        <f t="shared" si="2343"/>
        <v>0</v>
      </c>
      <c r="DG471" s="98">
        <f t="shared" si="2343"/>
        <v>0</v>
      </c>
      <c r="DH471" s="98">
        <f t="shared" si="2343"/>
        <v>0</v>
      </c>
      <c r="DI471" s="107">
        <f t="shared" si="2343"/>
        <v>4228988.0009917049</v>
      </c>
      <c r="DJ471" s="107">
        <f t="shared" si="2343"/>
        <v>110725999.02400002</v>
      </c>
      <c r="DK471" s="98">
        <f t="shared" si="2343"/>
        <v>0</v>
      </c>
      <c r="DL471" s="98">
        <f t="shared" si="2343"/>
        <v>0</v>
      </c>
      <c r="DM471" s="98">
        <f t="shared" si="2343"/>
        <v>0</v>
      </c>
      <c r="DN471" s="98">
        <f t="shared" si="2343"/>
        <v>0</v>
      </c>
      <c r="DQ471" s="98">
        <f t="shared" ref="DQ471:ED471" si="2344">SUM(DQ13,DQ51,DQ89)</f>
        <v>3845700</v>
      </c>
      <c r="DR471" s="98">
        <f t="shared" si="2344"/>
        <v>68454750</v>
      </c>
      <c r="DS471" s="98">
        <f t="shared" si="2344"/>
        <v>0</v>
      </c>
      <c r="DT471" s="98">
        <f t="shared" si="2344"/>
        <v>0</v>
      </c>
      <c r="DU471" s="98">
        <f t="shared" si="2344"/>
        <v>0</v>
      </c>
      <c r="DV471" s="98">
        <f t="shared" si="2344"/>
        <v>0</v>
      </c>
      <c r="DW471" s="98">
        <f t="shared" si="2344"/>
        <v>0</v>
      </c>
      <c r="DX471" s="98">
        <f t="shared" si="2344"/>
        <v>0</v>
      </c>
      <c r="DY471" s="98">
        <f t="shared" si="2344"/>
        <v>3845700</v>
      </c>
      <c r="DZ471" s="98">
        <f t="shared" si="2344"/>
        <v>68454750</v>
      </c>
      <c r="EA471" s="98">
        <f t="shared" si="2344"/>
        <v>0</v>
      </c>
      <c r="EB471" s="98">
        <f t="shared" si="2344"/>
        <v>0</v>
      </c>
      <c r="EC471" s="98">
        <f t="shared" si="2344"/>
        <v>0</v>
      </c>
      <c r="ED471" s="98">
        <f t="shared" si="2344"/>
        <v>0</v>
      </c>
      <c r="EG471" s="98">
        <f t="shared" ref="EG471:ET471" si="2345">SUM(EG13,EG51,EG89)</f>
        <v>6417120</v>
      </c>
      <c r="EH471" s="98">
        <f t="shared" si="2345"/>
        <v>120453120</v>
      </c>
      <c r="EI471" s="98">
        <f t="shared" si="2345"/>
        <v>0</v>
      </c>
      <c r="EJ471" s="98">
        <f t="shared" si="2345"/>
        <v>0</v>
      </c>
      <c r="EK471" s="98">
        <f t="shared" si="2345"/>
        <v>0</v>
      </c>
      <c r="EL471" s="98">
        <f t="shared" si="2345"/>
        <v>0</v>
      </c>
      <c r="EM471" s="98">
        <f t="shared" si="2345"/>
        <v>0</v>
      </c>
      <c r="EN471" s="98">
        <f t="shared" si="2345"/>
        <v>0</v>
      </c>
      <c r="EO471" s="98">
        <f t="shared" si="2345"/>
        <v>6417120</v>
      </c>
      <c r="EP471" s="98">
        <f t="shared" si="2345"/>
        <v>120453120</v>
      </c>
      <c r="EQ471" s="98">
        <f t="shared" si="2345"/>
        <v>0</v>
      </c>
      <c r="ER471" s="98">
        <f t="shared" si="2345"/>
        <v>0</v>
      </c>
      <c r="ES471" s="98">
        <f t="shared" si="2345"/>
        <v>1248695</v>
      </c>
      <c r="ET471" s="98">
        <f t="shared" si="2345"/>
        <v>77754145</v>
      </c>
      <c r="EW471" s="98">
        <f t="shared" ref="EW471:FJ471" si="2346">SUM(EW13,EW51,EW89)</f>
        <v>12692278</v>
      </c>
      <c r="EX471" s="98">
        <f t="shared" si="2346"/>
        <v>391849110</v>
      </c>
      <c r="EY471" s="98">
        <f t="shared" si="2346"/>
        <v>0</v>
      </c>
      <c r="EZ471" s="98">
        <f t="shared" si="2346"/>
        <v>0</v>
      </c>
      <c r="FA471" s="98">
        <f t="shared" si="2346"/>
        <v>18506</v>
      </c>
      <c r="FB471" s="98">
        <f t="shared" si="2346"/>
        <v>407132</v>
      </c>
      <c r="FC471" s="98">
        <f t="shared" si="2346"/>
        <v>1301</v>
      </c>
      <c r="FD471" s="98">
        <f t="shared" si="2346"/>
        <v>32525</v>
      </c>
      <c r="FE471" s="98">
        <f t="shared" si="2346"/>
        <v>13960780</v>
      </c>
      <c r="FF471" s="98">
        <f t="shared" si="2346"/>
        <v>470042912</v>
      </c>
      <c r="FG471" s="98">
        <f t="shared" si="2346"/>
        <v>0</v>
      </c>
      <c r="FH471" s="98">
        <f t="shared" si="2346"/>
        <v>0</v>
      </c>
      <c r="FI471" s="98">
        <f t="shared" si="2346"/>
        <v>385000</v>
      </c>
      <c r="FJ471" s="98">
        <f t="shared" si="2346"/>
        <v>23100000</v>
      </c>
      <c r="FM471" s="98">
        <f t="shared" ref="FM471:FZ471" si="2347">SUM(FM13,FM51,FM89)</f>
        <v>692000.4</v>
      </c>
      <c r="FN471" s="98">
        <f t="shared" si="2347"/>
        <v>17966047</v>
      </c>
      <c r="FO471" s="98">
        <f t="shared" si="2347"/>
        <v>0</v>
      </c>
      <c r="FP471" s="98">
        <f t="shared" si="2347"/>
        <v>0</v>
      </c>
      <c r="FQ471" s="98">
        <f t="shared" si="2347"/>
        <v>0</v>
      </c>
      <c r="FR471" s="98">
        <f t="shared" si="2347"/>
        <v>0</v>
      </c>
      <c r="FS471" s="98">
        <f t="shared" si="2347"/>
        <v>235000</v>
      </c>
      <c r="FT471" s="98">
        <f t="shared" si="2347"/>
        <v>7050000</v>
      </c>
      <c r="FU471" s="98">
        <f t="shared" si="2347"/>
        <v>1312000.3999999999</v>
      </c>
      <c r="FV471" s="98">
        <f t="shared" si="2347"/>
        <v>48116047</v>
      </c>
      <c r="FW471" s="98">
        <f t="shared" si="2347"/>
        <v>0</v>
      </c>
      <c r="FX471" s="98">
        <f t="shared" si="2347"/>
        <v>0</v>
      </c>
      <c r="FY471" s="98">
        <f t="shared" si="2347"/>
        <v>0</v>
      </c>
      <c r="FZ471" s="98">
        <f t="shared" si="2347"/>
        <v>0</v>
      </c>
      <c r="GC471" s="98">
        <f t="shared" ref="GC471:GP471" si="2348">SUM(GC13,GC51,GC89)</f>
        <v>983300</v>
      </c>
      <c r="GD471" s="98">
        <f t="shared" si="2348"/>
        <v>20204450</v>
      </c>
      <c r="GE471" s="98">
        <f t="shared" si="2348"/>
        <v>0</v>
      </c>
      <c r="GF471" s="98">
        <f t="shared" si="2348"/>
        <v>0</v>
      </c>
      <c r="GG471" s="98">
        <f t="shared" si="2348"/>
        <v>0</v>
      </c>
      <c r="GH471" s="98">
        <f t="shared" si="2348"/>
        <v>0</v>
      </c>
      <c r="GI471" s="98">
        <f t="shared" si="2348"/>
        <v>0</v>
      </c>
      <c r="GJ471" s="98">
        <f t="shared" si="2348"/>
        <v>0</v>
      </c>
      <c r="GK471" s="98">
        <f t="shared" si="2348"/>
        <v>983300</v>
      </c>
      <c r="GL471" s="98">
        <f t="shared" si="2348"/>
        <v>20204450</v>
      </c>
      <c r="GM471" s="98">
        <f t="shared" si="2348"/>
        <v>0</v>
      </c>
      <c r="GN471" s="98">
        <f t="shared" si="2348"/>
        <v>0</v>
      </c>
      <c r="GO471" s="98">
        <f t="shared" si="2348"/>
        <v>0</v>
      </c>
      <c r="GP471" s="98">
        <f t="shared" si="2348"/>
        <v>0</v>
      </c>
      <c r="GS471" s="98">
        <f t="shared" ref="GS471:HF471" si="2349">SUM(GS13,GS51,GS89)</f>
        <v>483050</v>
      </c>
      <c r="GT471" s="98">
        <f t="shared" si="2349"/>
        <v>9441975</v>
      </c>
      <c r="GU471" s="98">
        <f t="shared" si="2349"/>
        <v>0</v>
      </c>
      <c r="GV471" s="98">
        <f t="shared" si="2349"/>
        <v>0</v>
      </c>
      <c r="GW471" s="98">
        <f t="shared" si="2349"/>
        <v>0</v>
      </c>
      <c r="GX471" s="98">
        <f t="shared" si="2349"/>
        <v>0</v>
      </c>
      <c r="GY471" s="98">
        <f t="shared" si="2349"/>
        <v>530</v>
      </c>
      <c r="GZ471" s="98">
        <f t="shared" si="2349"/>
        <v>14550</v>
      </c>
      <c r="HA471" s="98">
        <f t="shared" si="2349"/>
        <v>483580</v>
      </c>
      <c r="HB471" s="98">
        <f t="shared" si="2349"/>
        <v>9456525</v>
      </c>
      <c r="HC471" s="98">
        <f t="shared" si="2349"/>
        <v>0</v>
      </c>
      <c r="HD471" s="98">
        <f t="shared" si="2349"/>
        <v>0</v>
      </c>
      <c r="HE471" s="98">
        <f t="shared" si="2349"/>
        <v>310000</v>
      </c>
      <c r="HF471" s="98">
        <f t="shared" si="2349"/>
        <v>16825000</v>
      </c>
      <c r="HI471" s="98">
        <f t="shared" ref="HI471:HV471" si="2350">SUM(HI13,HI51,HI89)</f>
        <v>1861300</v>
      </c>
      <c r="HJ471" s="98">
        <f t="shared" si="2350"/>
        <v>32617500</v>
      </c>
      <c r="HK471" s="98">
        <f t="shared" si="2350"/>
        <v>0</v>
      </c>
      <c r="HL471" s="98">
        <f t="shared" si="2350"/>
        <v>0</v>
      </c>
      <c r="HM471" s="98">
        <f t="shared" si="2350"/>
        <v>0</v>
      </c>
      <c r="HN471" s="98">
        <f t="shared" si="2350"/>
        <v>0</v>
      </c>
      <c r="HO471" s="98">
        <f t="shared" si="2350"/>
        <v>1650000</v>
      </c>
      <c r="HP471" s="98">
        <f t="shared" si="2350"/>
        <v>37950000</v>
      </c>
      <c r="HQ471" s="98">
        <f t="shared" si="2350"/>
        <v>3821300</v>
      </c>
      <c r="HR471" s="98">
        <f t="shared" si="2350"/>
        <v>87392500</v>
      </c>
      <c r="HS471" s="98">
        <f t="shared" si="2350"/>
        <v>0</v>
      </c>
      <c r="HT471" s="98">
        <f t="shared" si="2350"/>
        <v>0</v>
      </c>
      <c r="HU471" s="98">
        <f t="shared" si="2350"/>
        <v>0</v>
      </c>
      <c r="HV471" s="98">
        <f t="shared" si="2350"/>
        <v>0</v>
      </c>
      <c r="HY471" s="98">
        <f t="shared" ref="HY471:IL471" si="2351">SUM(HY13,HY51,HY89)</f>
        <v>459900</v>
      </c>
      <c r="HZ471" s="98">
        <f t="shared" si="2351"/>
        <v>9548430</v>
      </c>
      <c r="IA471" s="98">
        <f t="shared" si="2351"/>
        <v>0</v>
      </c>
      <c r="IB471" s="98">
        <f t="shared" si="2351"/>
        <v>0</v>
      </c>
      <c r="IC471" s="98">
        <f t="shared" si="2351"/>
        <v>600</v>
      </c>
      <c r="ID471" s="98">
        <f t="shared" si="2351"/>
        <v>15000</v>
      </c>
      <c r="IE471" s="98">
        <f t="shared" si="2351"/>
        <v>0</v>
      </c>
      <c r="IF471" s="98">
        <f t="shared" si="2351"/>
        <v>0</v>
      </c>
      <c r="IG471" s="98">
        <f t="shared" si="2351"/>
        <v>460500</v>
      </c>
      <c r="IH471" s="98">
        <f t="shared" si="2351"/>
        <v>9563430</v>
      </c>
      <c r="II471" s="98">
        <f t="shared" si="2351"/>
        <v>0</v>
      </c>
      <c r="IJ471" s="98">
        <f t="shared" si="2351"/>
        <v>0</v>
      </c>
      <c r="IK471" s="98">
        <f t="shared" si="2351"/>
        <v>0</v>
      </c>
      <c r="IL471" s="98">
        <f t="shared" si="2351"/>
        <v>0</v>
      </c>
      <c r="IO471" s="98">
        <f t="shared" ref="IO471:JB471" si="2352">SUM(IO13,IO51,IO89)</f>
        <v>3007000</v>
      </c>
      <c r="IP471" s="98">
        <f t="shared" si="2352"/>
        <v>58594480</v>
      </c>
      <c r="IQ471" s="98">
        <f t="shared" si="2352"/>
        <v>0</v>
      </c>
      <c r="IR471" s="98">
        <f t="shared" si="2352"/>
        <v>0</v>
      </c>
      <c r="IS471" s="98">
        <f t="shared" si="2352"/>
        <v>0</v>
      </c>
      <c r="IT471" s="98">
        <f t="shared" si="2352"/>
        <v>0</v>
      </c>
      <c r="IU471" s="98">
        <f t="shared" si="2352"/>
        <v>0</v>
      </c>
      <c r="IV471" s="98">
        <f t="shared" si="2352"/>
        <v>0</v>
      </c>
      <c r="IW471" s="98">
        <f t="shared" si="2352"/>
        <v>3007000</v>
      </c>
      <c r="IX471" s="98">
        <f t="shared" si="2352"/>
        <v>58594480</v>
      </c>
      <c r="IY471" s="98">
        <f t="shared" si="2352"/>
        <v>0</v>
      </c>
      <c r="IZ471" s="98">
        <f t="shared" si="2352"/>
        <v>0</v>
      </c>
      <c r="JA471" s="98">
        <f t="shared" si="2352"/>
        <v>0</v>
      </c>
      <c r="JB471" s="98">
        <f t="shared" si="2352"/>
        <v>0</v>
      </c>
      <c r="JE471" s="98">
        <f t="shared" ref="JE471:JR471" si="2353">SUM(JE13,JE51,JE89)</f>
        <v>1097544</v>
      </c>
      <c r="JF471" s="98">
        <f t="shared" si="2353"/>
        <v>20878467</v>
      </c>
      <c r="JG471" s="98">
        <f t="shared" si="2353"/>
        <v>0</v>
      </c>
      <c r="JH471" s="98">
        <f t="shared" si="2353"/>
        <v>0</v>
      </c>
      <c r="JI471" s="98">
        <f t="shared" si="2353"/>
        <v>0</v>
      </c>
      <c r="JJ471" s="98">
        <f t="shared" si="2353"/>
        <v>0</v>
      </c>
      <c r="JK471" s="98">
        <f t="shared" si="2353"/>
        <v>31713</v>
      </c>
      <c r="JL471" s="98">
        <f t="shared" si="2353"/>
        <v>624462</v>
      </c>
      <c r="JM471" s="98">
        <f t="shared" si="2353"/>
        <v>1129257</v>
      </c>
      <c r="JN471" s="98">
        <f t="shared" si="2353"/>
        <v>21502929</v>
      </c>
      <c r="JO471" s="98">
        <f t="shared" si="2353"/>
        <v>0</v>
      </c>
      <c r="JP471" s="98">
        <f t="shared" si="2353"/>
        <v>0</v>
      </c>
      <c r="JQ471" s="98">
        <f t="shared" si="2353"/>
        <v>385521</v>
      </c>
      <c r="JR471" s="98">
        <f t="shared" si="2353"/>
        <v>29688188</v>
      </c>
      <c r="JU471" s="98">
        <f t="shared" ref="JU471:KH471" si="2354">SUM(JU13,JU51,JU89)</f>
        <v>161747</v>
      </c>
      <c r="JV471" s="98">
        <f t="shared" si="2354"/>
        <v>4166102</v>
      </c>
      <c r="JW471" s="98">
        <f t="shared" si="2354"/>
        <v>0</v>
      </c>
      <c r="JX471" s="98">
        <f t="shared" si="2354"/>
        <v>0</v>
      </c>
      <c r="JY471" s="98">
        <f t="shared" si="2354"/>
        <v>0</v>
      </c>
      <c r="JZ471" s="98">
        <f t="shared" si="2354"/>
        <v>0</v>
      </c>
      <c r="KA471" s="98">
        <f t="shared" si="2354"/>
        <v>0</v>
      </c>
      <c r="KB471" s="98">
        <f t="shared" si="2354"/>
        <v>0</v>
      </c>
      <c r="KC471" s="98">
        <f t="shared" si="2354"/>
        <v>547268</v>
      </c>
      <c r="KD471" s="98">
        <f t="shared" si="2354"/>
        <v>33854290</v>
      </c>
      <c r="KE471" s="98">
        <f t="shared" si="2354"/>
        <v>0</v>
      </c>
      <c r="KF471" s="98">
        <f t="shared" si="2354"/>
        <v>0</v>
      </c>
      <c r="KG471" s="98">
        <f t="shared" si="2354"/>
        <v>142429</v>
      </c>
      <c r="KH471" s="98">
        <f t="shared" si="2354"/>
        <v>9935474</v>
      </c>
      <c r="KK471" s="98">
        <f t="shared" ref="KK471:KX471" si="2355">SUM(KK13,KK51,KK89)</f>
        <v>172635</v>
      </c>
      <c r="KL471" s="98">
        <f t="shared" si="2355"/>
        <v>3469045</v>
      </c>
      <c r="KM471" s="98">
        <f t="shared" si="2355"/>
        <v>0</v>
      </c>
      <c r="KN471" s="98">
        <f t="shared" si="2355"/>
        <v>0</v>
      </c>
      <c r="KO471" s="98">
        <f t="shared" si="2355"/>
        <v>0</v>
      </c>
      <c r="KP471" s="98">
        <f t="shared" si="2355"/>
        <v>0</v>
      </c>
      <c r="KQ471" s="98">
        <f t="shared" si="2355"/>
        <v>0</v>
      </c>
      <c r="KR471" s="98">
        <f t="shared" si="2355"/>
        <v>0</v>
      </c>
      <c r="KS471" s="107">
        <f t="shared" si="2355"/>
        <v>315064</v>
      </c>
      <c r="KT471" s="107">
        <f t="shared" si="2355"/>
        <v>13404519</v>
      </c>
      <c r="KU471" s="98">
        <f t="shared" si="2355"/>
        <v>0</v>
      </c>
      <c r="KV471" s="98">
        <f t="shared" si="2355"/>
        <v>0</v>
      </c>
      <c r="KW471" s="98">
        <f t="shared" si="2355"/>
        <v>1847043.1599999997</v>
      </c>
      <c r="KX471" s="98">
        <f t="shared" si="2355"/>
        <v>36040176</v>
      </c>
      <c r="LA471" s="98">
        <f t="shared" ref="LA471:LN471" si="2356">SUM(LA13,LA51,LA89)</f>
        <v>4556757.07</v>
      </c>
      <c r="LB471" s="98">
        <f t="shared" si="2356"/>
        <v>85424793</v>
      </c>
      <c r="LC471" s="98">
        <f t="shared" si="2356"/>
        <v>0</v>
      </c>
      <c r="LD471" s="98">
        <f t="shared" si="2356"/>
        <v>0</v>
      </c>
      <c r="LE471" s="98">
        <f t="shared" si="2356"/>
        <v>0</v>
      </c>
      <c r="LF471" s="98">
        <f t="shared" si="2356"/>
        <v>0</v>
      </c>
      <c r="LG471" s="98">
        <f t="shared" si="2356"/>
        <v>34857.33</v>
      </c>
      <c r="LH471" s="98">
        <f t="shared" si="2356"/>
        <v>836573</v>
      </c>
      <c r="LI471" s="98">
        <f t="shared" si="2356"/>
        <v>6438657.5599999996</v>
      </c>
      <c r="LJ471" s="98">
        <f t="shared" si="2356"/>
        <v>122301542</v>
      </c>
      <c r="LK471" s="98">
        <f t="shared" si="2356"/>
        <v>0</v>
      </c>
      <c r="LL471" s="98">
        <f t="shared" si="2356"/>
        <v>0</v>
      </c>
      <c r="LM471" s="98">
        <f t="shared" si="2356"/>
        <v>0</v>
      </c>
      <c r="LN471" s="98">
        <f t="shared" si="2356"/>
        <v>0</v>
      </c>
      <c r="LQ471" s="98">
        <f t="shared" ref="LQ471:MD471" si="2357">SUM(LQ13,LQ51,LQ89)</f>
        <v>567744</v>
      </c>
      <c r="LR471" s="98">
        <f t="shared" si="2357"/>
        <v>11515377.5</v>
      </c>
      <c r="LS471" s="98">
        <f t="shared" si="2357"/>
        <v>0</v>
      </c>
      <c r="LT471" s="98">
        <f t="shared" si="2357"/>
        <v>0</v>
      </c>
      <c r="LU471" s="98">
        <f t="shared" si="2357"/>
        <v>0</v>
      </c>
      <c r="LV471" s="98">
        <f t="shared" si="2357"/>
        <v>0</v>
      </c>
      <c r="LW471" s="98">
        <f t="shared" si="2357"/>
        <v>4729</v>
      </c>
      <c r="LX471" s="98">
        <f t="shared" si="2357"/>
        <v>160786</v>
      </c>
      <c r="LY471" s="98">
        <f t="shared" si="2357"/>
        <v>572473</v>
      </c>
      <c r="LZ471" s="98">
        <f t="shared" si="2357"/>
        <v>11676163.5</v>
      </c>
      <c r="MA471" s="98">
        <f t="shared" si="2357"/>
        <v>97800</v>
      </c>
      <c r="MB471" s="98">
        <f t="shared" si="2357"/>
        <v>8313000</v>
      </c>
      <c r="MC471" s="98">
        <f t="shared" si="2357"/>
        <v>4384100</v>
      </c>
      <c r="MD471" s="98">
        <f t="shared" si="2357"/>
        <v>244950200</v>
      </c>
      <c r="MG471" s="98">
        <f t="shared" ref="MG471:MT471" si="2358">SUM(MG13,MG51,MG89)</f>
        <v>223000</v>
      </c>
      <c r="MH471" s="98">
        <f t="shared" si="2358"/>
        <v>4131050</v>
      </c>
      <c r="MI471" s="98">
        <f t="shared" si="2358"/>
        <v>0</v>
      </c>
      <c r="MJ471" s="98">
        <f t="shared" si="2358"/>
        <v>0</v>
      </c>
      <c r="MK471" s="98">
        <f t="shared" si="2358"/>
        <v>0</v>
      </c>
      <c r="ML471" s="98">
        <f t="shared" si="2358"/>
        <v>0</v>
      </c>
      <c r="MM471" s="98">
        <f t="shared" si="2358"/>
        <v>8000</v>
      </c>
      <c r="MN471" s="98">
        <f t="shared" si="2358"/>
        <v>160000</v>
      </c>
      <c r="MO471" s="98">
        <f t="shared" si="2358"/>
        <v>4712900</v>
      </c>
      <c r="MP471" s="98">
        <f t="shared" si="2358"/>
        <v>257554250</v>
      </c>
      <c r="MQ471" s="98">
        <f t="shared" si="2358"/>
        <v>0</v>
      </c>
      <c r="MR471" s="98">
        <f t="shared" si="2358"/>
        <v>0</v>
      </c>
      <c r="MS471" s="98">
        <f t="shared" si="2358"/>
        <v>257642</v>
      </c>
      <c r="MT471" s="98">
        <f t="shared" si="2358"/>
        <v>12625689</v>
      </c>
      <c r="MW471" s="98">
        <f t="shared" ref="MW471:NJ471" si="2359">SUM(MW13,MW51,MW89)</f>
        <v>57003</v>
      </c>
      <c r="MX471" s="98">
        <f t="shared" si="2359"/>
        <v>1317684</v>
      </c>
      <c r="MY471" s="98">
        <f t="shared" si="2359"/>
        <v>0</v>
      </c>
      <c r="MZ471" s="98">
        <f t="shared" si="2359"/>
        <v>0</v>
      </c>
      <c r="NA471" s="98">
        <f t="shared" si="2359"/>
        <v>0</v>
      </c>
      <c r="NB471" s="98">
        <f t="shared" si="2359"/>
        <v>0</v>
      </c>
      <c r="NC471" s="98">
        <f t="shared" si="2359"/>
        <v>0</v>
      </c>
      <c r="ND471" s="98">
        <f t="shared" si="2359"/>
        <v>0</v>
      </c>
      <c r="NE471" s="98">
        <f t="shared" si="2359"/>
        <v>314645</v>
      </c>
      <c r="NF471" s="98">
        <f t="shared" si="2359"/>
        <v>13943373</v>
      </c>
      <c r="NG471" s="98">
        <f t="shared" si="2359"/>
        <v>0</v>
      </c>
      <c r="NH471" s="98">
        <f t="shared" si="2359"/>
        <v>0</v>
      </c>
      <c r="NI471" s="98">
        <f t="shared" si="2359"/>
        <v>19097191</v>
      </c>
      <c r="NJ471" s="98">
        <f t="shared" si="2359"/>
        <v>529073575</v>
      </c>
      <c r="NM471" s="98">
        <f t="shared" ref="NM471:NZ471" si="2360">SUM(NM13,NM51,NM89)</f>
        <v>7253945</v>
      </c>
      <c r="NN471" s="98">
        <f t="shared" si="2360"/>
        <v>117497520</v>
      </c>
      <c r="NO471" s="98">
        <f t="shared" si="2360"/>
        <v>0</v>
      </c>
      <c r="NP471" s="98">
        <f t="shared" si="2360"/>
        <v>0</v>
      </c>
      <c r="NQ471" s="98">
        <f t="shared" si="2360"/>
        <v>92245</v>
      </c>
      <c r="NR471" s="98">
        <f t="shared" si="2360"/>
        <v>1678570</v>
      </c>
      <c r="NS471" s="98">
        <f t="shared" si="2360"/>
        <v>0</v>
      </c>
      <c r="NT471" s="98">
        <f t="shared" si="2360"/>
        <v>0</v>
      </c>
      <c r="NU471" s="98">
        <f t="shared" si="2360"/>
        <v>26443381</v>
      </c>
      <c r="NV471" s="98">
        <f t="shared" si="2360"/>
        <v>648249665</v>
      </c>
      <c r="NW471" s="98">
        <f t="shared" si="2360"/>
        <v>11275</v>
      </c>
      <c r="NX471" s="98">
        <f t="shared" si="2360"/>
        <v>372250</v>
      </c>
      <c r="NY471" s="98">
        <f t="shared" si="2360"/>
        <v>2802637</v>
      </c>
      <c r="NZ471" s="98">
        <f t="shared" si="2360"/>
        <v>138104299</v>
      </c>
      <c r="OC471" s="98">
        <f t="shared" ref="OC471:OP471" si="2361">SUM(OC13,OC51,OC89)</f>
        <v>169815</v>
      </c>
      <c r="OD471" s="98">
        <f t="shared" si="2361"/>
        <v>3232543</v>
      </c>
      <c r="OE471" s="98">
        <f t="shared" si="2361"/>
        <v>0</v>
      </c>
      <c r="OF471" s="98">
        <f t="shared" si="2361"/>
        <v>0</v>
      </c>
      <c r="OG471" s="98">
        <f t="shared" si="2361"/>
        <v>0</v>
      </c>
      <c r="OH471" s="98">
        <f t="shared" si="2361"/>
        <v>0</v>
      </c>
      <c r="OI471" s="98">
        <f t="shared" si="2361"/>
        <v>0</v>
      </c>
      <c r="OJ471" s="98">
        <f t="shared" si="2361"/>
        <v>0</v>
      </c>
      <c r="OK471" s="98">
        <f t="shared" si="2361"/>
        <v>2983727</v>
      </c>
      <c r="OL471" s="98">
        <f t="shared" si="2361"/>
        <v>141709092</v>
      </c>
      <c r="OM471" s="98">
        <f t="shared" si="2361"/>
        <v>155167300</v>
      </c>
      <c r="ON471" s="98">
        <f t="shared" si="2361"/>
        <v>942970302</v>
      </c>
      <c r="OO471" s="98">
        <f t="shared" si="2361"/>
        <v>1712277</v>
      </c>
      <c r="OP471" s="98">
        <f t="shared" si="2361"/>
        <v>99081975</v>
      </c>
      <c r="OS471" s="98">
        <f t="shared" ref="OS471:PF471" si="2362">SUM(OS13,OS51,OS89)</f>
        <v>93958.2</v>
      </c>
      <c r="OT471" s="98">
        <f t="shared" si="2362"/>
        <v>2131162.2000000002</v>
      </c>
      <c r="OU471" s="98">
        <f t="shared" si="2362"/>
        <v>0</v>
      </c>
      <c r="OV471" s="98">
        <f t="shared" si="2362"/>
        <v>0</v>
      </c>
      <c r="OW471" s="98">
        <f t="shared" si="2362"/>
        <v>0</v>
      </c>
      <c r="OX471" s="98">
        <f t="shared" si="2362"/>
        <v>0</v>
      </c>
      <c r="OY471" s="98">
        <f t="shared" si="2362"/>
        <v>0</v>
      </c>
      <c r="OZ471" s="98">
        <f t="shared" si="2362"/>
        <v>0</v>
      </c>
      <c r="PA471" s="98">
        <f t="shared" si="2362"/>
        <v>156973535.19999999</v>
      </c>
      <c r="PB471" s="98">
        <f t="shared" si="2362"/>
        <v>1044183439.2</v>
      </c>
      <c r="PC471" s="98">
        <f t="shared" si="2362"/>
        <v>678</v>
      </c>
      <c r="PD471" s="98">
        <f t="shared" si="2362"/>
        <v>40680</v>
      </c>
      <c r="PE471" s="98">
        <f t="shared" si="2362"/>
        <v>104712</v>
      </c>
      <c r="PF471" s="98">
        <f t="shared" si="2362"/>
        <v>5272102</v>
      </c>
      <c r="PI471" s="98">
        <f t="shared" ref="PI471:PV471" si="2363">SUM(PI13,PI51,PI89)</f>
        <v>1225424</v>
      </c>
      <c r="PJ471" s="98">
        <f t="shared" si="2363"/>
        <v>21451777</v>
      </c>
      <c r="PK471" s="98">
        <f t="shared" si="2363"/>
        <v>0</v>
      </c>
      <c r="PL471" s="98">
        <f t="shared" si="2363"/>
        <v>0</v>
      </c>
      <c r="PM471" s="98">
        <f t="shared" si="2363"/>
        <v>0</v>
      </c>
      <c r="PN471" s="98">
        <f t="shared" si="2363"/>
        <v>0</v>
      </c>
      <c r="PO471" s="98">
        <f t="shared" si="2363"/>
        <v>0</v>
      </c>
      <c r="PP471" s="98">
        <f t="shared" si="2363"/>
        <v>0</v>
      </c>
      <c r="PQ471" s="98">
        <f t="shared" si="2363"/>
        <v>1330814</v>
      </c>
      <c r="PR471" s="98">
        <f t="shared" si="2363"/>
        <v>26764559</v>
      </c>
      <c r="PS471" s="98">
        <f t="shared" si="2363"/>
        <v>280</v>
      </c>
      <c r="PT471" s="98">
        <f t="shared" si="2363"/>
        <v>28000</v>
      </c>
      <c r="PU471" s="98">
        <f t="shared" si="2363"/>
        <v>3851740</v>
      </c>
      <c r="PV471" s="98">
        <f t="shared" si="2363"/>
        <v>157151810</v>
      </c>
      <c r="PY471" s="98">
        <f t="shared" ref="PY471:QL471" si="2364">SUM(PY13,PY51,PY89)</f>
        <v>3589460</v>
      </c>
      <c r="PZ471" s="98">
        <f t="shared" si="2364"/>
        <v>66951041.410999998</v>
      </c>
      <c r="QA471" s="98">
        <f t="shared" si="2364"/>
        <v>5136730</v>
      </c>
      <c r="QB471" s="98">
        <f t="shared" si="2364"/>
        <v>137177370</v>
      </c>
      <c r="QC471" s="98">
        <f t="shared" si="2364"/>
        <v>1826530</v>
      </c>
      <c r="QD471" s="98">
        <f t="shared" si="2364"/>
        <v>34130134</v>
      </c>
      <c r="QE471" s="98">
        <f t="shared" si="2364"/>
        <v>0</v>
      </c>
      <c r="QF471" s="98">
        <f t="shared" si="2364"/>
        <v>0</v>
      </c>
      <c r="QG471" s="107">
        <f t="shared" si="2364"/>
        <v>14404740</v>
      </c>
      <c r="QH471" s="107">
        <f t="shared" si="2364"/>
        <v>395438355.41100001</v>
      </c>
      <c r="QI471" s="98">
        <f t="shared" si="2364"/>
        <v>0</v>
      </c>
      <c r="QJ471" s="98">
        <f t="shared" si="2364"/>
        <v>0</v>
      </c>
      <c r="QK471" s="98">
        <f t="shared" si="2364"/>
        <v>0</v>
      </c>
      <c r="QL471" s="98">
        <f t="shared" si="2364"/>
        <v>0</v>
      </c>
      <c r="QO471" s="98">
        <f t="shared" ref="QO471:RB471" si="2365">SUM(QO13,QO51,QO89)</f>
        <v>12372000</v>
      </c>
      <c r="QP471" s="98">
        <f t="shared" si="2365"/>
        <v>238251000</v>
      </c>
      <c r="QQ471" s="98">
        <f t="shared" si="2365"/>
        <v>0</v>
      </c>
      <c r="QR471" s="98">
        <f t="shared" si="2365"/>
        <v>0</v>
      </c>
      <c r="QS471" s="98">
        <f t="shared" si="2365"/>
        <v>0</v>
      </c>
      <c r="QT471" s="98">
        <f t="shared" si="2365"/>
        <v>0</v>
      </c>
      <c r="QU471" s="98">
        <f t="shared" si="2365"/>
        <v>0</v>
      </c>
      <c r="QV471" s="98">
        <f t="shared" si="2365"/>
        <v>0</v>
      </c>
      <c r="QW471" s="98">
        <f t="shared" si="2365"/>
        <v>12372000</v>
      </c>
      <c r="QX471" s="98">
        <f t="shared" si="2365"/>
        <v>238251000</v>
      </c>
      <c r="QY471" s="98">
        <f t="shared" si="2365"/>
        <v>0</v>
      </c>
      <c r="QZ471" s="98">
        <f t="shared" si="2365"/>
        <v>0</v>
      </c>
      <c r="RA471" s="98">
        <f t="shared" si="2365"/>
        <v>0</v>
      </c>
      <c r="RB471" s="98">
        <f t="shared" si="2365"/>
        <v>0</v>
      </c>
      <c r="RE471" s="98">
        <f t="shared" ref="RE471:RR471" si="2366">SUM(RE13,RE51,RE89)</f>
        <v>15201</v>
      </c>
      <c r="RF471" s="98">
        <f t="shared" si="2366"/>
        <v>373093</v>
      </c>
      <c r="RG471" s="98">
        <f t="shared" si="2366"/>
        <v>0</v>
      </c>
      <c r="RH471" s="98">
        <f t="shared" si="2366"/>
        <v>0</v>
      </c>
      <c r="RI471" s="98">
        <f t="shared" si="2366"/>
        <v>0</v>
      </c>
      <c r="RJ471" s="98">
        <f t="shared" si="2366"/>
        <v>0</v>
      </c>
      <c r="RK471" s="98">
        <f t="shared" si="2366"/>
        <v>0</v>
      </c>
      <c r="RL471" s="98">
        <f t="shared" si="2366"/>
        <v>0</v>
      </c>
      <c r="RM471" s="98">
        <f t="shared" si="2366"/>
        <v>15201</v>
      </c>
      <c r="RN471" s="98">
        <f t="shared" si="2366"/>
        <v>373093</v>
      </c>
      <c r="RO471" s="98">
        <f t="shared" si="2366"/>
        <v>0</v>
      </c>
      <c r="RP471" s="98">
        <f t="shared" si="2366"/>
        <v>0</v>
      </c>
      <c r="RQ471" s="98">
        <f t="shared" si="2366"/>
        <v>0</v>
      </c>
      <c r="RR471" s="98">
        <f t="shared" si="2366"/>
        <v>0</v>
      </c>
      <c r="RU471" s="98">
        <f t="shared" ref="RU471:SH471" si="2367">SUM(RU13,RU51,RU89)</f>
        <v>68430</v>
      </c>
      <c r="RV471" s="98">
        <f t="shared" si="2367"/>
        <v>1410230</v>
      </c>
      <c r="RW471" s="98">
        <f t="shared" si="2367"/>
        <v>0</v>
      </c>
      <c r="RX471" s="98">
        <f t="shared" si="2367"/>
        <v>0</v>
      </c>
      <c r="RY471" s="98">
        <f t="shared" si="2367"/>
        <v>0</v>
      </c>
      <c r="RZ471" s="98">
        <f t="shared" si="2367"/>
        <v>0</v>
      </c>
      <c r="SA471" s="98">
        <f t="shared" si="2367"/>
        <v>0</v>
      </c>
      <c r="SB471" s="98">
        <f t="shared" si="2367"/>
        <v>0</v>
      </c>
      <c r="SC471" s="98">
        <f t="shared" si="2367"/>
        <v>68430</v>
      </c>
      <c r="SD471" s="98">
        <f t="shared" si="2367"/>
        <v>1410230</v>
      </c>
      <c r="SE471" s="98">
        <f t="shared" si="2367"/>
        <v>0</v>
      </c>
      <c r="SF471" s="98">
        <f t="shared" si="2367"/>
        <v>0</v>
      </c>
      <c r="SG471" s="98">
        <f t="shared" si="2367"/>
        <v>0</v>
      </c>
      <c r="SH471" s="98">
        <f t="shared" si="2367"/>
        <v>0</v>
      </c>
      <c r="SK471" s="98">
        <f t="shared" ref="SK471:SX471" si="2368">SUM(SK13,SK51,SK89)</f>
        <v>50900</v>
      </c>
      <c r="SL471" s="98">
        <f t="shared" si="2368"/>
        <v>974300</v>
      </c>
      <c r="SM471" s="98">
        <f t="shared" si="2368"/>
        <v>0</v>
      </c>
      <c r="SN471" s="98">
        <f t="shared" si="2368"/>
        <v>0</v>
      </c>
      <c r="SO471" s="98">
        <f t="shared" si="2368"/>
        <v>0</v>
      </c>
      <c r="SP471" s="98">
        <f t="shared" si="2368"/>
        <v>0</v>
      </c>
      <c r="SQ471" s="98">
        <f t="shared" si="2368"/>
        <v>0</v>
      </c>
      <c r="SR471" s="98">
        <f t="shared" si="2368"/>
        <v>0</v>
      </c>
      <c r="SS471" s="98">
        <f t="shared" si="2368"/>
        <v>50900</v>
      </c>
      <c r="ST471" s="98">
        <f t="shared" si="2368"/>
        <v>974300</v>
      </c>
      <c r="SU471" s="98">
        <f t="shared" si="2368"/>
        <v>0</v>
      </c>
      <c r="SV471" s="98">
        <f t="shared" si="2368"/>
        <v>0</v>
      </c>
      <c r="SW471" s="98">
        <f t="shared" si="2368"/>
        <v>0</v>
      </c>
      <c r="SX471" s="98">
        <f t="shared" si="2368"/>
        <v>0</v>
      </c>
      <c r="TA471" s="98">
        <f t="shared" ref="TA471:TN471" si="2369">SUM(TA13,TA51,TA89)</f>
        <v>91944.98</v>
      </c>
      <c r="TB471" s="98">
        <f t="shared" si="2369"/>
        <v>2034943.4</v>
      </c>
      <c r="TC471" s="98">
        <f t="shared" si="2369"/>
        <v>0</v>
      </c>
      <c r="TD471" s="98">
        <f t="shared" si="2369"/>
        <v>0</v>
      </c>
      <c r="TE471" s="98">
        <f t="shared" si="2369"/>
        <v>0</v>
      </c>
      <c r="TF471" s="98">
        <f t="shared" si="2369"/>
        <v>0</v>
      </c>
      <c r="TG471" s="98">
        <f t="shared" si="2369"/>
        <v>0</v>
      </c>
      <c r="TH471" s="98">
        <f t="shared" si="2369"/>
        <v>0</v>
      </c>
      <c r="TI471" s="98">
        <f t="shared" si="2369"/>
        <v>91944.98</v>
      </c>
      <c r="TJ471" s="98">
        <f t="shared" si="2369"/>
        <v>2034943.4</v>
      </c>
      <c r="TK471" s="98">
        <f t="shared" si="2369"/>
        <v>0</v>
      </c>
      <c r="TL471" s="98">
        <f t="shared" si="2369"/>
        <v>0</v>
      </c>
      <c r="TM471" s="98">
        <f t="shared" si="2369"/>
        <v>0</v>
      </c>
      <c r="TN471" s="98">
        <f t="shared" si="2369"/>
        <v>0</v>
      </c>
      <c r="TQ471" s="98">
        <f t="shared" ref="TQ471:UD471" si="2370">SUM(TQ13,TQ51,TQ89)</f>
        <v>44500</v>
      </c>
      <c r="TR471" s="98">
        <f t="shared" si="2370"/>
        <v>932500</v>
      </c>
      <c r="TS471" s="98">
        <f t="shared" si="2370"/>
        <v>0</v>
      </c>
      <c r="TT471" s="98">
        <f t="shared" si="2370"/>
        <v>0</v>
      </c>
      <c r="TU471" s="98">
        <f t="shared" si="2370"/>
        <v>2500</v>
      </c>
      <c r="TV471" s="98">
        <f t="shared" si="2370"/>
        <v>80750</v>
      </c>
      <c r="TW471" s="98">
        <f t="shared" si="2370"/>
        <v>0</v>
      </c>
      <c r="TX471" s="98">
        <f t="shared" si="2370"/>
        <v>0</v>
      </c>
      <c r="TY471" s="98">
        <f t="shared" si="2370"/>
        <v>47000</v>
      </c>
      <c r="TZ471" s="98">
        <f t="shared" si="2370"/>
        <v>1013250</v>
      </c>
      <c r="UA471" s="98">
        <f t="shared" si="2370"/>
        <v>0</v>
      </c>
      <c r="UB471" s="98">
        <f t="shared" si="2370"/>
        <v>0</v>
      </c>
      <c r="UC471" s="98">
        <f t="shared" si="2370"/>
        <v>0</v>
      </c>
      <c r="UD471" s="98">
        <f t="shared" si="2370"/>
        <v>0</v>
      </c>
      <c r="UG471" s="98">
        <f t="shared" ref="UG471:UT471" si="2371">SUM(UG13,UG51,UG89)</f>
        <v>57330</v>
      </c>
      <c r="UH471" s="98">
        <f t="shared" si="2371"/>
        <v>1049882.0019999999</v>
      </c>
      <c r="UI471" s="98">
        <f t="shared" si="2371"/>
        <v>0</v>
      </c>
      <c r="UJ471" s="98">
        <f t="shared" si="2371"/>
        <v>0</v>
      </c>
      <c r="UK471" s="98">
        <f t="shared" si="2371"/>
        <v>0</v>
      </c>
      <c r="UL471" s="98">
        <f t="shared" si="2371"/>
        <v>0</v>
      </c>
      <c r="UM471" s="98">
        <f t="shared" si="2371"/>
        <v>0</v>
      </c>
      <c r="UN471" s="98">
        <f t="shared" si="2371"/>
        <v>0</v>
      </c>
      <c r="UO471" s="98">
        <f t="shared" si="2371"/>
        <v>57330</v>
      </c>
      <c r="UP471" s="98">
        <f t="shared" si="2371"/>
        <v>1049882.0019999999</v>
      </c>
      <c r="UQ471" s="98">
        <f t="shared" si="2371"/>
        <v>0</v>
      </c>
      <c r="UR471" s="98">
        <f t="shared" si="2371"/>
        <v>0</v>
      </c>
      <c r="US471" s="98">
        <f t="shared" si="2371"/>
        <v>643783</v>
      </c>
      <c r="UT471" s="98">
        <f t="shared" si="2371"/>
        <v>5615728</v>
      </c>
      <c r="UW471" s="98">
        <f t="shared" ref="UW471:VJ471" si="2372">SUM(UW13,UW51,UW89)</f>
        <v>12483</v>
      </c>
      <c r="UX471" s="98">
        <f t="shared" si="2372"/>
        <v>237267</v>
      </c>
      <c r="UY471" s="98">
        <f t="shared" si="2372"/>
        <v>0</v>
      </c>
      <c r="UZ471" s="98">
        <f t="shared" si="2372"/>
        <v>0</v>
      </c>
      <c r="VA471" s="98">
        <f t="shared" si="2372"/>
        <v>0</v>
      </c>
      <c r="VB471" s="98">
        <f t="shared" si="2372"/>
        <v>0</v>
      </c>
      <c r="VC471" s="98">
        <f t="shared" si="2372"/>
        <v>0</v>
      </c>
      <c r="VD471" s="98">
        <f t="shared" si="2372"/>
        <v>0</v>
      </c>
      <c r="VE471" s="98">
        <f t="shared" si="2372"/>
        <v>656266</v>
      </c>
      <c r="VF471" s="98">
        <f t="shared" si="2372"/>
        <v>5852995</v>
      </c>
      <c r="VG471" s="98">
        <f t="shared" si="2372"/>
        <v>0</v>
      </c>
      <c r="VH471" s="98">
        <f t="shared" si="2372"/>
        <v>0</v>
      </c>
      <c r="VI471" s="98">
        <f t="shared" si="2372"/>
        <v>39428</v>
      </c>
      <c r="VJ471" s="98">
        <f t="shared" si="2372"/>
        <v>1711452.7</v>
      </c>
      <c r="VM471" s="98">
        <f t="shared" ref="VM471:VZ471" si="2373">SUM(VM13,VM51,VM89)</f>
        <v>54587.199999999997</v>
      </c>
      <c r="VN471" s="98">
        <f t="shared" si="2373"/>
        <v>1096417</v>
      </c>
      <c r="VO471" s="98">
        <f t="shared" si="2373"/>
        <v>0</v>
      </c>
      <c r="VP471" s="98">
        <f t="shared" si="2373"/>
        <v>0</v>
      </c>
      <c r="VQ471" s="98">
        <f t="shared" si="2373"/>
        <v>0</v>
      </c>
      <c r="VR471" s="98">
        <f t="shared" si="2373"/>
        <v>0</v>
      </c>
      <c r="VS471" s="98">
        <f t="shared" si="2373"/>
        <v>0</v>
      </c>
      <c r="VT471" s="98">
        <f t="shared" si="2373"/>
        <v>0</v>
      </c>
      <c r="VU471" s="98">
        <f t="shared" si="2373"/>
        <v>94015.2</v>
      </c>
      <c r="VV471" s="98">
        <f t="shared" si="2373"/>
        <v>2807869.7</v>
      </c>
      <c r="VW471" s="98">
        <f t="shared" si="2373"/>
        <v>0</v>
      </c>
      <c r="VX471" s="98">
        <f t="shared" si="2373"/>
        <v>0</v>
      </c>
      <c r="VY471" s="98">
        <f t="shared" si="2373"/>
        <v>1610523</v>
      </c>
      <c r="VZ471" s="98">
        <f t="shared" si="2373"/>
        <v>61228988</v>
      </c>
      <c r="WC471" s="98">
        <f t="shared" ref="WC471:WL471" si="2374">SUM(WC13,WC51,WC89)</f>
        <v>1258714</v>
      </c>
      <c r="WD471" s="98">
        <f t="shared" si="2374"/>
        <v>32574830</v>
      </c>
      <c r="WE471" s="98">
        <f t="shared" si="2374"/>
        <v>0</v>
      </c>
      <c r="WF471" s="98">
        <f t="shared" si="2374"/>
        <v>0</v>
      </c>
      <c r="WG471" s="98">
        <f t="shared" si="2374"/>
        <v>0</v>
      </c>
      <c r="WH471" s="98">
        <f t="shared" si="2374"/>
        <v>0</v>
      </c>
      <c r="WI471" s="98">
        <f t="shared" si="2374"/>
        <v>25463</v>
      </c>
      <c r="WJ471" s="98">
        <f t="shared" si="2374"/>
        <v>526236</v>
      </c>
      <c r="WK471" s="98">
        <f t="shared" si="2374"/>
        <v>2894700</v>
      </c>
      <c r="WL471" s="98">
        <f t="shared" si="2374"/>
        <v>94330054</v>
      </c>
      <c r="WN471" s="98">
        <f t="shared" ref="WN471:XC471" si="2375">SUM(WN13,WN51,WN89)</f>
        <v>156469131</v>
      </c>
      <c r="WO471" s="98">
        <f t="shared" si="2375"/>
        <v>958355908</v>
      </c>
      <c r="WP471" s="98">
        <f t="shared" si="2375"/>
        <v>71273382.507222921</v>
      </c>
      <c r="WQ471" s="98">
        <f t="shared" si="2375"/>
        <v>2520146013.3905363</v>
      </c>
      <c r="WR471" s="98">
        <f t="shared" si="2375"/>
        <v>0</v>
      </c>
      <c r="WS471" s="98">
        <f t="shared" si="2375"/>
        <v>0</v>
      </c>
      <c r="WT471" s="98">
        <f t="shared" si="2375"/>
        <v>93172807.849999994</v>
      </c>
      <c r="WU471" s="98">
        <f t="shared" si="2375"/>
        <v>1901094972.0177975</v>
      </c>
      <c r="WV471" s="98">
        <f t="shared" si="2375"/>
        <v>5229062</v>
      </c>
      <c r="WW471" s="98">
        <f t="shared" si="2375"/>
        <v>139178292</v>
      </c>
      <c r="WX471" s="98">
        <f t="shared" si="2375"/>
        <v>1952291</v>
      </c>
      <c r="WY471" s="98">
        <f t="shared" si="2375"/>
        <v>36629661</v>
      </c>
      <c r="WZ471" s="98">
        <f t="shared" si="2375"/>
        <v>2015782.33</v>
      </c>
      <c r="XA471" s="98">
        <f t="shared" si="2375"/>
        <v>47859178</v>
      </c>
      <c r="XB471" s="107">
        <f t="shared" si="2375"/>
        <v>330112456.6872229</v>
      </c>
      <c r="XC471" s="107">
        <f t="shared" si="2375"/>
        <v>5603264024.4083338</v>
      </c>
      <c r="XK471" s="98">
        <f t="shared" ref="XK471:XR471" si="2376">SUM(XK13,XK51,XK89)</f>
        <v>774415158.92607832</v>
      </c>
      <c r="XL471" s="98">
        <f t="shared" si="2376"/>
        <v>282359631.46421683</v>
      </c>
      <c r="XM471" s="98">
        <f t="shared" si="2376"/>
        <v>0</v>
      </c>
      <c r="XN471" s="98">
        <f t="shared" si="2376"/>
        <v>356728672.96641654</v>
      </c>
      <c r="XO471" s="98">
        <f t="shared" si="2376"/>
        <v>16250959.000366</v>
      </c>
      <c r="XP471" s="98">
        <f t="shared" si="2376"/>
        <v>6969165</v>
      </c>
      <c r="XQ471" s="98">
        <f t="shared" si="2376"/>
        <v>5609405.8600000003</v>
      </c>
      <c r="XR471" s="107">
        <f t="shared" ca="1" si="2376"/>
        <v>1442332993.2170777</v>
      </c>
      <c r="XT471" s="98">
        <f t="shared" ref="XT471:YA471" si="2377">SUM(XT13,XT51,XT89)</f>
        <v>3994041159.9863362</v>
      </c>
      <c r="XU471" s="98">
        <f t="shared" si="2377"/>
        <v>9677403259.5202045</v>
      </c>
      <c r="XV471" s="98">
        <f t="shared" si="2377"/>
        <v>0</v>
      </c>
      <c r="XW471" s="98">
        <f t="shared" si="2377"/>
        <v>7160588868.2689152</v>
      </c>
      <c r="XX471" s="98">
        <f t="shared" si="2377"/>
        <v>389136464.01499999</v>
      </c>
      <c r="XY471" s="98">
        <f t="shared" si="2377"/>
        <v>129078479</v>
      </c>
      <c r="XZ471" s="98">
        <f t="shared" si="2377"/>
        <v>114397825</v>
      </c>
      <c r="YA471" s="107">
        <f t="shared" ca="1" si="2377"/>
        <v>21464646055.790459</v>
      </c>
    </row>
    <row r="472" spans="1:1017">
      <c r="B472" s="93" t="s">
        <v>42</v>
      </c>
      <c r="C472" s="98">
        <f>SUM(C127,C165,C203)</f>
        <v>0</v>
      </c>
      <c r="D472" s="98">
        <f>SUM(D127,D165,D203)</f>
        <v>0</v>
      </c>
      <c r="E472" s="98">
        <f>SUM(E127,E165,E203)</f>
        <v>1895935</v>
      </c>
      <c r="F472" s="98">
        <f>SUM(F127,F165,F203)</f>
        <v>62525054.509000003</v>
      </c>
      <c r="I472" s="98">
        <f t="shared" ref="I472:V472" si="2378">SUM(I127,I165,I203)</f>
        <v>139550</v>
      </c>
      <c r="J472" s="98">
        <f t="shared" si="2378"/>
        <v>3135250</v>
      </c>
      <c r="K472" s="98">
        <f t="shared" si="2378"/>
        <v>0</v>
      </c>
      <c r="L472" s="98">
        <f t="shared" si="2378"/>
        <v>0</v>
      </c>
      <c r="M472" s="98">
        <f t="shared" si="2378"/>
        <v>800</v>
      </c>
      <c r="N472" s="98">
        <f t="shared" si="2378"/>
        <v>16000</v>
      </c>
      <c r="O472" s="98">
        <f t="shared" si="2378"/>
        <v>0</v>
      </c>
      <c r="P472" s="98">
        <f t="shared" si="2378"/>
        <v>0</v>
      </c>
      <c r="Q472" s="99">
        <f t="shared" si="2378"/>
        <v>2036285</v>
      </c>
      <c r="R472" s="99">
        <f t="shared" si="2378"/>
        <v>65676304.509000003</v>
      </c>
      <c r="S472" s="98">
        <f t="shared" si="2378"/>
        <v>18470</v>
      </c>
      <c r="T472" s="98">
        <f t="shared" si="2378"/>
        <v>1961025</v>
      </c>
      <c r="U472" s="98">
        <f t="shared" si="2378"/>
        <v>5146690</v>
      </c>
      <c r="V472" s="98">
        <f t="shared" si="2378"/>
        <v>268176460</v>
      </c>
      <c r="Y472" s="98">
        <f t="shared" ref="Y472:AL472" si="2379">SUM(Y127,Y165,Y203)</f>
        <v>2350479</v>
      </c>
      <c r="Z472" s="98">
        <f t="shared" si="2379"/>
        <v>47920575</v>
      </c>
      <c r="AA472" s="98">
        <f t="shared" si="2379"/>
        <v>15950</v>
      </c>
      <c r="AB472" s="98">
        <f t="shared" si="2379"/>
        <v>436300</v>
      </c>
      <c r="AC472" s="98">
        <f t="shared" si="2379"/>
        <v>9645</v>
      </c>
      <c r="AD472" s="98">
        <f t="shared" si="2379"/>
        <v>266925</v>
      </c>
      <c r="AE472" s="98">
        <f t="shared" si="2379"/>
        <v>7620</v>
      </c>
      <c r="AF472" s="98">
        <f t="shared" si="2379"/>
        <v>175725</v>
      </c>
      <c r="AG472" s="98">
        <f t="shared" si="2379"/>
        <v>7548854</v>
      </c>
      <c r="AH472" s="98">
        <f t="shared" si="2379"/>
        <v>318937010</v>
      </c>
      <c r="AI472" s="98">
        <f t="shared" si="2379"/>
        <v>0</v>
      </c>
      <c r="AJ472" s="98">
        <f t="shared" si="2379"/>
        <v>0</v>
      </c>
      <c r="AK472" s="98">
        <f t="shared" si="2379"/>
        <v>109000</v>
      </c>
      <c r="AL472" s="98">
        <f t="shared" si="2379"/>
        <v>7085000</v>
      </c>
      <c r="AO472" s="98">
        <f t="shared" ref="AO472:BB472" si="2380">SUM(AO127,AO165,AO203)</f>
        <v>4329200</v>
      </c>
      <c r="AP472" s="98">
        <f t="shared" si="2380"/>
        <v>95119800</v>
      </c>
      <c r="AQ472" s="98">
        <f t="shared" si="2380"/>
        <v>550</v>
      </c>
      <c r="AR472" s="98">
        <f t="shared" si="2380"/>
        <v>13200</v>
      </c>
      <c r="AS472" s="98">
        <f t="shared" si="2380"/>
        <v>0</v>
      </c>
      <c r="AT472" s="98">
        <f t="shared" si="2380"/>
        <v>0</v>
      </c>
      <c r="AU472" s="98">
        <f t="shared" si="2380"/>
        <v>8990</v>
      </c>
      <c r="AV472" s="98">
        <f t="shared" si="2380"/>
        <v>215760</v>
      </c>
      <c r="AW472" s="98">
        <f t="shared" si="2380"/>
        <v>4447740</v>
      </c>
      <c r="AX472" s="98">
        <f t="shared" si="2380"/>
        <v>102433760</v>
      </c>
      <c r="AY472" s="98">
        <f t="shared" si="2380"/>
        <v>0</v>
      </c>
      <c r="AZ472" s="98">
        <f t="shared" si="2380"/>
        <v>0</v>
      </c>
      <c r="BA472" s="98">
        <f t="shared" si="2380"/>
        <v>0</v>
      </c>
      <c r="BB472" s="98">
        <f t="shared" si="2380"/>
        <v>0</v>
      </c>
      <c r="BE472" s="98">
        <f t="shared" ref="BE472:BR472" si="2381">SUM(BE127,BE165,BE203)</f>
        <v>1238113</v>
      </c>
      <c r="BF472" s="98">
        <f t="shared" si="2381"/>
        <v>25122915</v>
      </c>
      <c r="BG472" s="98">
        <f t="shared" si="2381"/>
        <v>23055</v>
      </c>
      <c r="BH472" s="98">
        <f t="shared" si="2381"/>
        <v>526427</v>
      </c>
      <c r="BI472" s="98">
        <f t="shared" si="2381"/>
        <v>0</v>
      </c>
      <c r="BJ472" s="98">
        <f t="shared" si="2381"/>
        <v>0</v>
      </c>
      <c r="BK472" s="98">
        <f t="shared" si="2381"/>
        <v>5538</v>
      </c>
      <c r="BL472" s="98">
        <f t="shared" si="2381"/>
        <v>95166</v>
      </c>
      <c r="BM472" s="98">
        <f t="shared" si="2381"/>
        <v>1266706</v>
      </c>
      <c r="BN472" s="98">
        <f t="shared" si="2381"/>
        <v>25744508</v>
      </c>
      <c r="BO472" s="98">
        <f t="shared" si="2381"/>
        <v>0</v>
      </c>
      <c r="BP472" s="98">
        <f t="shared" si="2381"/>
        <v>0</v>
      </c>
      <c r="BQ472" s="98">
        <f t="shared" si="2381"/>
        <v>0</v>
      </c>
      <c r="BR472" s="98">
        <f t="shared" si="2381"/>
        <v>0</v>
      </c>
      <c r="BU472" s="98">
        <f t="shared" ref="BU472:CH472" si="2382">SUM(BU127,BU165,BU203)</f>
        <v>206553</v>
      </c>
      <c r="BV472" s="98">
        <f t="shared" si="2382"/>
        <v>4431970</v>
      </c>
      <c r="BW472" s="98">
        <f t="shared" si="2382"/>
        <v>0</v>
      </c>
      <c r="BX472" s="98">
        <f t="shared" si="2382"/>
        <v>0</v>
      </c>
      <c r="BY472" s="98">
        <f t="shared" si="2382"/>
        <v>0</v>
      </c>
      <c r="BZ472" s="98">
        <f t="shared" si="2382"/>
        <v>0</v>
      </c>
      <c r="CA472" s="98">
        <f t="shared" si="2382"/>
        <v>0</v>
      </c>
      <c r="CB472" s="98">
        <f t="shared" si="2382"/>
        <v>0</v>
      </c>
      <c r="CC472" s="107">
        <f t="shared" si="2382"/>
        <v>206553</v>
      </c>
      <c r="CD472" s="107">
        <f t="shared" si="2382"/>
        <v>4431970</v>
      </c>
      <c r="CE472" s="98">
        <f t="shared" si="2382"/>
        <v>1407506.6906785597</v>
      </c>
      <c r="CF472" s="98">
        <f t="shared" si="2382"/>
        <v>7037534.453392799</v>
      </c>
      <c r="CG472" s="98">
        <f t="shared" si="2382"/>
        <v>20887418.777108952</v>
      </c>
      <c r="CH472" s="98">
        <f t="shared" si="2382"/>
        <v>636253211.06608498</v>
      </c>
      <c r="CK472" s="98">
        <f t="shared" ref="CK472:CX472" si="2383">SUM(CK127,CK165,CK203)</f>
        <v>18549094.52009362</v>
      </c>
      <c r="CL472" s="98">
        <f t="shared" si="2383"/>
        <v>318103575.39284652</v>
      </c>
      <c r="CM472" s="98">
        <f t="shared" si="2383"/>
        <v>0</v>
      </c>
      <c r="CN472" s="98">
        <f t="shared" si="2383"/>
        <v>0</v>
      </c>
      <c r="CO472" s="98">
        <f t="shared" si="2383"/>
        <v>0</v>
      </c>
      <c r="CP472" s="98">
        <f t="shared" si="2383"/>
        <v>0</v>
      </c>
      <c r="CQ472" s="98">
        <f t="shared" si="2383"/>
        <v>0</v>
      </c>
      <c r="CR472" s="98">
        <f t="shared" si="2383"/>
        <v>0</v>
      </c>
      <c r="CS472" s="98">
        <f t="shared" si="2383"/>
        <v>40844019.987881131</v>
      </c>
      <c r="CT472" s="98">
        <f t="shared" si="2383"/>
        <v>961394320.91232419</v>
      </c>
      <c r="CU472" s="98">
        <f t="shared" si="2383"/>
        <v>0</v>
      </c>
      <c r="CV472" s="98">
        <f t="shared" si="2383"/>
        <v>0</v>
      </c>
      <c r="CW472" s="98">
        <f t="shared" si="2383"/>
        <v>899842.99584063143</v>
      </c>
      <c r="CX472" s="98">
        <f t="shared" si="2383"/>
        <v>55274378.995999999</v>
      </c>
      <c r="DA472" s="98">
        <f t="shared" ref="DA472:DN472" si="2384">SUM(DA127,DA165,DA203)</f>
        <v>2424928.0025097998</v>
      </c>
      <c r="DB472" s="98">
        <f t="shared" si="2384"/>
        <v>53354066.046999998</v>
      </c>
      <c r="DC472" s="98">
        <f t="shared" si="2384"/>
        <v>7354</v>
      </c>
      <c r="DD472" s="98">
        <f t="shared" si="2384"/>
        <v>167145.00599999999</v>
      </c>
      <c r="DE472" s="98">
        <f t="shared" si="2384"/>
        <v>0</v>
      </c>
      <c r="DF472" s="98">
        <f t="shared" si="2384"/>
        <v>0</v>
      </c>
      <c r="DG472" s="98">
        <f t="shared" si="2384"/>
        <v>0</v>
      </c>
      <c r="DH472" s="98">
        <f t="shared" si="2384"/>
        <v>0</v>
      </c>
      <c r="DI472" s="107">
        <f t="shared" si="2384"/>
        <v>3332124.9983504312</v>
      </c>
      <c r="DJ472" s="107">
        <f t="shared" si="2384"/>
        <v>108795590.04899999</v>
      </c>
      <c r="DK472" s="98">
        <f t="shared" si="2384"/>
        <v>0</v>
      </c>
      <c r="DL472" s="98">
        <f t="shared" si="2384"/>
        <v>0</v>
      </c>
      <c r="DM472" s="98">
        <f t="shared" si="2384"/>
        <v>0</v>
      </c>
      <c r="DN472" s="98">
        <f t="shared" si="2384"/>
        <v>0</v>
      </c>
      <c r="DQ472" s="98">
        <f t="shared" ref="DQ472:ED472" si="2385">SUM(DQ127,DQ165,DQ203)</f>
        <v>3727800</v>
      </c>
      <c r="DR472" s="98">
        <f t="shared" si="2385"/>
        <v>66539750</v>
      </c>
      <c r="DS472" s="98">
        <f t="shared" si="2385"/>
        <v>0</v>
      </c>
      <c r="DT472" s="98">
        <f t="shared" si="2385"/>
        <v>0</v>
      </c>
      <c r="DU472" s="98">
        <f t="shared" si="2385"/>
        <v>0</v>
      </c>
      <c r="DV472" s="98">
        <f t="shared" si="2385"/>
        <v>0</v>
      </c>
      <c r="DW472" s="98">
        <f t="shared" si="2385"/>
        <v>0</v>
      </c>
      <c r="DX472" s="98">
        <f t="shared" si="2385"/>
        <v>0</v>
      </c>
      <c r="DY472" s="98">
        <f t="shared" si="2385"/>
        <v>3727800</v>
      </c>
      <c r="DZ472" s="98">
        <f t="shared" si="2385"/>
        <v>66539750</v>
      </c>
      <c r="EA472" s="98">
        <f t="shared" si="2385"/>
        <v>0</v>
      </c>
      <c r="EB472" s="98">
        <f t="shared" si="2385"/>
        <v>0</v>
      </c>
      <c r="EC472" s="98">
        <f t="shared" si="2385"/>
        <v>0</v>
      </c>
      <c r="ED472" s="98">
        <f t="shared" si="2385"/>
        <v>0</v>
      </c>
      <c r="EG472" s="98">
        <f t="shared" ref="EG472:ET472" si="2386">SUM(EG127,EG165,EG203)</f>
        <v>6917120</v>
      </c>
      <c r="EH472" s="98">
        <f t="shared" si="2386"/>
        <v>129541360</v>
      </c>
      <c r="EI472" s="98">
        <f t="shared" si="2386"/>
        <v>0</v>
      </c>
      <c r="EJ472" s="98">
        <f t="shared" si="2386"/>
        <v>0</v>
      </c>
      <c r="EK472" s="98">
        <f t="shared" si="2386"/>
        <v>0</v>
      </c>
      <c r="EL472" s="98">
        <f t="shared" si="2386"/>
        <v>0</v>
      </c>
      <c r="EM472" s="98">
        <f t="shared" si="2386"/>
        <v>0</v>
      </c>
      <c r="EN472" s="98">
        <f t="shared" si="2386"/>
        <v>0</v>
      </c>
      <c r="EO472" s="98">
        <f t="shared" si="2386"/>
        <v>6917120</v>
      </c>
      <c r="EP472" s="98">
        <f t="shared" si="2386"/>
        <v>129541360</v>
      </c>
      <c r="EQ472" s="98">
        <f t="shared" si="2386"/>
        <v>0</v>
      </c>
      <c r="ER472" s="98">
        <f t="shared" si="2386"/>
        <v>0</v>
      </c>
      <c r="ES472" s="98">
        <f t="shared" si="2386"/>
        <v>1598331</v>
      </c>
      <c r="ET472" s="98">
        <f t="shared" si="2386"/>
        <v>101722343</v>
      </c>
      <c r="EW472" s="98">
        <f t="shared" ref="EW472:FJ472" si="2387">SUM(EW127,EW165,EW203)</f>
        <v>26542376</v>
      </c>
      <c r="EX472" s="98">
        <f t="shared" si="2387"/>
        <v>669147034</v>
      </c>
      <c r="EY472" s="98">
        <f t="shared" si="2387"/>
        <v>0</v>
      </c>
      <c r="EZ472" s="98">
        <f t="shared" si="2387"/>
        <v>0</v>
      </c>
      <c r="FA472" s="98">
        <f t="shared" si="2387"/>
        <v>37012</v>
      </c>
      <c r="FB472" s="98">
        <f t="shared" si="2387"/>
        <v>629204</v>
      </c>
      <c r="FC472" s="98">
        <f t="shared" si="2387"/>
        <v>2187</v>
      </c>
      <c r="FD472" s="98">
        <f t="shared" si="2387"/>
        <v>28431</v>
      </c>
      <c r="FE472" s="98">
        <f t="shared" si="2387"/>
        <v>28179906</v>
      </c>
      <c r="FF472" s="98">
        <f t="shared" si="2387"/>
        <v>771527012</v>
      </c>
      <c r="FG472" s="98">
        <f t="shared" si="2387"/>
        <v>0</v>
      </c>
      <c r="FH472" s="98">
        <f t="shared" si="2387"/>
        <v>0</v>
      </c>
      <c r="FI472" s="98">
        <f t="shared" si="2387"/>
        <v>370000</v>
      </c>
      <c r="FJ472" s="98">
        <f t="shared" si="2387"/>
        <v>22200000</v>
      </c>
      <c r="FM472" s="98">
        <f t="shared" ref="FM472:FZ472" si="2388">SUM(FM127,FM165,FM203)</f>
        <v>679232</v>
      </c>
      <c r="FN472" s="98">
        <f t="shared" si="2388"/>
        <v>17078612</v>
      </c>
      <c r="FO472" s="98">
        <f t="shared" si="2388"/>
        <v>0</v>
      </c>
      <c r="FP472" s="98">
        <f t="shared" si="2388"/>
        <v>0</v>
      </c>
      <c r="FQ472" s="98">
        <f t="shared" si="2388"/>
        <v>0</v>
      </c>
      <c r="FR472" s="98">
        <f t="shared" si="2388"/>
        <v>0</v>
      </c>
      <c r="FS472" s="98">
        <f t="shared" si="2388"/>
        <v>214085</v>
      </c>
      <c r="FT472" s="98">
        <f t="shared" si="2388"/>
        <v>6422550</v>
      </c>
      <c r="FU472" s="98">
        <f t="shared" si="2388"/>
        <v>1263317</v>
      </c>
      <c r="FV472" s="98">
        <f t="shared" si="2388"/>
        <v>45701162</v>
      </c>
      <c r="FW472" s="98">
        <f t="shared" si="2388"/>
        <v>0</v>
      </c>
      <c r="FX472" s="98">
        <f t="shared" si="2388"/>
        <v>0</v>
      </c>
      <c r="FY472" s="98">
        <f t="shared" si="2388"/>
        <v>0</v>
      </c>
      <c r="FZ472" s="98">
        <f t="shared" si="2388"/>
        <v>0</v>
      </c>
      <c r="GC472" s="98">
        <f t="shared" ref="GC472:GP472" si="2389">SUM(GC127,GC165,GC203)</f>
        <v>990800</v>
      </c>
      <c r="GD472" s="98">
        <f t="shared" si="2389"/>
        <v>20675625</v>
      </c>
      <c r="GE472" s="98">
        <f t="shared" si="2389"/>
        <v>0</v>
      </c>
      <c r="GF472" s="98">
        <f t="shared" si="2389"/>
        <v>0</v>
      </c>
      <c r="GG472" s="98">
        <f t="shared" si="2389"/>
        <v>0</v>
      </c>
      <c r="GH472" s="98">
        <f t="shared" si="2389"/>
        <v>0</v>
      </c>
      <c r="GI472" s="98">
        <f t="shared" si="2389"/>
        <v>0</v>
      </c>
      <c r="GJ472" s="98">
        <f t="shared" si="2389"/>
        <v>0</v>
      </c>
      <c r="GK472" s="98">
        <f t="shared" si="2389"/>
        <v>990800</v>
      </c>
      <c r="GL472" s="98">
        <f t="shared" si="2389"/>
        <v>20675625</v>
      </c>
      <c r="GM472" s="98">
        <f t="shared" si="2389"/>
        <v>0</v>
      </c>
      <c r="GN472" s="98">
        <f t="shared" si="2389"/>
        <v>0</v>
      </c>
      <c r="GO472" s="98">
        <f t="shared" si="2389"/>
        <v>0</v>
      </c>
      <c r="GP472" s="98">
        <f t="shared" si="2389"/>
        <v>0</v>
      </c>
      <c r="GS472" s="98">
        <f t="shared" ref="GS472:HF472" si="2390">SUM(GS127,GS165,GS203)</f>
        <v>483300</v>
      </c>
      <c r="GT472" s="98">
        <f t="shared" si="2390"/>
        <v>9431600</v>
      </c>
      <c r="GU472" s="98">
        <f t="shared" si="2390"/>
        <v>0</v>
      </c>
      <c r="GV472" s="98">
        <f t="shared" si="2390"/>
        <v>0</v>
      </c>
      <c r="GW472" s="98">
        <f t="shared" si="2390"/>
        <v>0</v>
      </c>
      <c r="GX472" s="98">
        <f t="shared" si="2390"/>
        <v>0</v>
      </c>
      <c r="GY472" s="98">
        <f t="shared" si="2390"/>
        <v>400</v>
      </c>
      <c r="GZ472" s="98">
        <f t="shared" si="2390"/>
        <v>10850</v>
      </c>
      <c r="HA472" s="98">
        <f t="shared" si="2390"/>
        <v>483700</v>
      </c>
      <c r="HB472" s="98">
        <f t="shared" si="2390"/>
        <v>9442450</v>
      </c>
      <c r="HC472" s="98">
        <f t="shared" si="2390"/>
        <v>0</v>
      </c>
      <c r="HD472" s="98">
        <f t="shared" si="2390"/>
        <v>0</v>
      </c>
      <c r="HE472" s="98">
        <f t="shared" si="2390"/>
        <v>435000</v>
      </c>
      <c r="HF472" s="98">
        <f t="shared" si="2390"/>
        <v>25580000</v>
      </c>
      <c r="HI472" s="98">
        <f t="shared" ref="HI472:HV472" si="2391">SUM(HI127,HI165,HI203)</f>
        <v>1786500</v>
      </c>
      <c r="HJ472" s="98">
        <f t="shared" si="2391"/>
        <v>33131500</v>
      </c>
      <c r="HK472" s="98">
        <f t="shared" si="2391"/>
        <v>0</v>
      </c>
      <c r="HL472" s="98">
        <f t="shared" si="2391"/>
        <v>0</v>
      </c>
      <c r="HM472" s="98">
        <f t="shared" si="2391"/>
        <v>0</v>
      </c>
      <c r="HN472" s="98">
        <f t="shared" si="2391"/>
        <v>0</v>
      </c>
      <c r="HO472" s="98">
        <f t="shared" si="2391"/>
        <v>1200000</v>
      </c>
      <c r="HP472" s="98">
        <f t="shared" si="2391"/>
        <v>27250000</v>
      </c>
      <c r="HQ472" s="98">
        <f t="shared" si="2391"/>
        <v>3421500</v>
      </c>
      <c r="HR472" s="98">
        <f t="shared" si="2391"/>
        <v>85961500</v>
      </c>
      <c r="HS472" s="98">
        <f t="shared" si="2391"/>
        <v>0</v>
      </c>
      <c r="HT472" s="98">
        <f t="shared" si="2391"/>
        <v>0</v>
      </c>
      <c r="HU472" s="98">
        <f t="shared" si="2391"/>
        <v>0</v>
      </c>
      <c r="HV472" s="98">
        <f t="shared" si="2391"/>
        <v>0</v>
      </c>
      <c r="HY472" s="98">
        <f t="shared" ref="HY472:IL472" si="2392">SUM(HY127,HY165,HY203)</f>
        <v>444160</v>
      </c>
      <c r="HZ472" s="98">
        <f t="shared" si="2392"/>
        <v>8292256</v>
      </c>
      <c r="IA472" s="98">
        <f t="shared" si="2392"/>
        <v>0</v>
      </c>
      <c r="IB472" s="98">
        <f t="shared" si="2392"/>
        <v>0</v>
      </c>
      <c r="IC472" s="98">
        <f t="shared" si="2392"/>
        <v>400</v>
      </c>
      <c r="ID472" s="98">
        <f t="shared" si="2392"/>
        <v>8000</v>
      </c>
      <c r="IE472" s="98">
        <f t="shared" si="2392"/>
        <v>1200</v>
      </c>
      <c r="IF472" s="98">
        <f t="shared" si="2392"/>
        <v>24000</v>
      </c>
      <c r="IG472" s="98">
        <f t="shared" si="2392"/>
        <v>445760</v>
      </c>
      <c r="IH472" s="98">
        <f t="shared" si="2392"/>
        <v>8324256</v>
      </c>
      <c r="II472" s="98">
        <f t="shared" si="2392"/>
        <v>0</v>
      </c>
      <c r="IJ472" s="98">
        <f t="shared" si="2392"/>
        <v>0</v>
      </c>
      <c r="IK472" s="98">
        <f t="shared" si="2392"/>
        <v>0</v>
      </c>
      <c r="IL472" s="98">
        <f t="shared" si="2392"/>
        <v>0</v>
      </c>
      <c r="IO472" s="98">
        <f t="shared" ref="IO472:JB472" si="2393">SUM(IO127,IO165,IO203)</f>
        <v>2898000</v>
      </c>
      <c r="IP472" s="98">
        <f t="shared" si="2393"/>
        <v>58688025</v>
      </c>
      <c r="IQ472" s="98">
        <f t="shared" si="2393"/>
        <v>0</v>
      </c>
      <c r="IR472" s="98">
        <f t="shared" si="2393"/>
        <v>0</v>
      </c>
      <c r="IS472" s="98">
        <f t="shared" si="2393"/>
        <v>0</v>
      </c>
      <c r="IT472" s="98">
        <f t="shared" si="2393"/>
        <v>0</v>
      </c>
      <c r="IU472" s="98">
        <f t="shared" si="2393"/>
        <v>0</v>
      </c>
      <c r="IV472" s="98">
        <f t="shared" si="2393"/>
        <v>0</v>
      </c>
      <c r="IW472" s="98">
        <f t="shared" si="2393"/>
        <v>2898000</v>
      </c>
      <c r="IX472" s="98">
        <f t="shared" si="2393"/>
        <v>58688025</v>
      </c>
      <c r="IY472" s="98">
        <f t="shared" si="2393"/>
        <v>0</v>
      </c>
      <c r="IZ472" s="98">
        <f t="shared" si="2393"/>
        <v>0</v>
      </c>
      <c r="JA472" s="98">
        <f t="shared" si="2393"/>
        <v>0</v>
      </c>
      <c r="JB472" s="98">
        <f t="shared" si="2393"/>
        <v>0</v>
      </c>
      <c r="JE472" s="98">
        <f t="shared" ref="JE472:JR472" si="2394">SUM(JE127,JE165,JE203)</f>
        <v>1117767</v>
      </c>
      <c r="JF472" s="98">
        <f t="shared" si="2394"/>
        <v>21222625</v>
      </c>
      <c r="JG472" s="98">
        <f t="shared" si="2394"/>
        <v>0</v>
      </c>
      <c r="JH472" s="98">
        <f t="shared" si="2394"/>
        <v>0</v>
      </c>
      <c r="JI472" s="98">
        <f t="shared" si="2394"/>
        <v>0</v>
      </c>
      <c r="JJ472" s="98">
        <f t="shared" si="2394"/>
        <v>0</v>
      </c>
      <c r="JK472" s="98">
        <f t="shared" si="2394"/>
        <v>28680</v>
      </c>
      <c r="JL472" s="98">
        <f t="shared" si="2394"/>
        <v>545610</v>
      </c>
      <c r="JM472" s="98">
        <f t="shared" si="2394"/>
        <v>1146447</v>
      </c>
      <c r="JN472" s="98">
        <f t="shared" si="2394"/>
        <v>21768235</v>
      </c>
      <c r="JO472" s="98">
        <f t="shared" si="2394"/>
        <v>0</v>
      </c>
      <c r="JP472" s="98">
        <f t="shared" si="2394"/>
        <v>0</v>
      </c>
      <c r="JQ472" s="98">
        <f t="shared" si="2394"/>
        <v>354589</v>
      </c>
      <c r="JR472" s="98">
        <f t="shared" si="2394"/>
        <v>28378120</v>
      </c>
      <c r="JU472" s="98">
        <f t="shared" ref="JU472:KH472" si="2395">SUM(JU127,JU165,JU203)</f>
        <v>233995</v>
      </c>
      <c r="JV472" s="98">
        <f t="shared" si="2395"/>
        <v>6032362</v>
      </c>
      <c r="JW472" s="98">
        <f t="shared" si="2395"/>
        <v>0</v>
      </c>
      <c r="JX472" s="98">
        <f t="shared" si="2395"/>
        <v>0</v>
      </c>
      <c r="JY472" s="98">
        <f t="shared" si="2395"/>
        <v>0</v>
      </c>
      <c r="JZ472" s="98">
        <f t="shared" si="2395"/>
        <v>0</v>
      </c>
      <c r="KA472" s="98">
        <f t="shared" si="2395"/>
        <v>0</v>
      </c>
      <c r="KB472" s="98">
        <f t="shared" si="2395"/>
        <v>0</v>
      </c>
      <c r="KC472" s="98">
        <f t="shared" si="2395"/>
        <v>588584</v>
      </c>
      <c r="KD472" s="98">
        <f t="shared" si="2395"/>
        <v>34410482</v>
      </c>
      <c r="KE472" s="98">
        <f t="shared" si="2395"/>
        <v>0</v>
      </c>
      <c r="KF472" s="98">
        <f t="shared" si="2395"/>
        <v>0</v>
      </c>
      <c r="KG472" s="98">
        <f t="shared" si="2395"/>
        <v>96109</v>
      </c>
      <c r="KH472" s="98">
        <f t="shared" si="2395"/>
        <v>5913065</v>
      </c>
      <c r="KK472" s="98">
        <f t="shared" ref="KK472:KX472" si="2396">SUM(KK127,KK165,KK203)</f>
        <v>180372</v>
      </c>
      <c r="KL472" s="98">
        <f t="shared" si="2396"/>
        <v>3622735</v>
      </c>
      <c r="KM472" s="98">
        <f t="shared" si="2396"/>
        <v>0</v>
      </c>
      <c r="KN472" s="98">
        <f t="shared" si="2396"/>
        <v>0</v>
      </c>
      <c r="KO472" s="98">
        <f t="shared" si="2396"/>
        <v>0</v>
      </c>
      <c r="KP472" s="98">
        <f t="shared" si="2396"/>
        <v>0</v>
      </c>
      <c r="KQ472" s="98">
        <f t="shared" si="2396"/>
        <v>0</v>
      </c>
      <c r="KR472" s="98">
        <f t="shared" si="2396"/>
        <v>0</v>
      </c>
      <c r="KS472" s="107">
        <f t="shared" si="2396"/>
        <v>276481</v>
      </c>
      <c r="KT472" s="107">
        <f t="shared" si="2396"/>
        <v>9535800</v>
      </c>
      <c r="KU472" s="98">
        <f t="shared" si="2396"/>
        <v>0</v>
      </c>
      <c r="KV472" s="98">
        <f t="shared" si="2396"/>
        <v>0</v>
      </c>
      <c r="KW472" s="98">
        <f t="shared" si="2396"/>
        <v>1811606.2500000002</v>
      </c>
      <c r="KX472" s="98">
        <f t="shared" si="2396"/>
        <v>33031470</v>
      </c>
      <c r="LA472" s="98">
        <f t="shared" ref="LA472:LN472" si="2397">SUM(LA127,LA165,LA203)</f>
        <v>4087087.1400000006</v>
      </c>
      <c r="LB472" s="98">
        <f t="shared" si="2397"/>
        <v>74211786</v>
      </c>
      <c r="LC472" s="98">
        <f t="shared" si="2397"/>
        <v>0</v>
      </c>
      <c r="LD472" s="98">
        <f t="shared" si="2397"/>
        <v>0</v>
      </c>
      <c r="LE472" s="98">
        <f t="shared" si="2397"/>
        <v>0</v>
      </c>
      <c r="LF472" s="98">
        <f t="shared" si="2397"/>
        <v>0</v>
      </c>
      <c r="LG472" s="98">
        <f t="shared" si="2397"/>
        <v>37981.729999999996</v>
      </c>
      <c r="LH472" s="98">
        <f t="shared" si="2397"/>
        <v>888663</v>
      </c>
      <c r="LI472" s="98">
        <f t="shared" si="2397"/>
        <v>5936675.1199999992</v>
      </c>
      <c r="LJ472" s="98">
        <f t="shared" si="2397"/>
        <v>108131919</v>
      </c>
      <c r="LK472" s="98">
        <f t="shared" si="2397"/>
        <v>0</v>
      </c>
      <c r="LL472" s="98">
        <f t="shared" si="2397"/>
        <v>0</v>
      </c>
      <c r="LM472" s="98">
        <f t="shared" si="2397"/>
        <v>0</v>
      </c>
      <c r="LN472" s="98">
        <f t="shared" si="2397"/>
        <v>0</v>
      </c>
      <c r="LQ472" s="98">
        <f t="shared" ref="LQ472:MD472" si="2398">SUM(LQ127,LQ165,LQ203)</f>
        <v>571537</v>
      </c>
      <c r="LR472" s="98">
        <f t="shared" si="2398"/>
        <v>11743820.699999999</v>
      </c>
      <c r="LS472" s="98">
        <f t="shared" si="2398"/>
        <v>0</v>
      </c>
      <c r="LT472" s="98">
        <f t="shared" si="2398"/>
        <v>0</v>
      </c>
      <c r="LU472" s="98">
        <f t="shared" si="2398"/>
        <v>0</v>
      </c>
      <c r="LV472" s="98">
        <f t="shared" si="2398"/>
        <v>0</v>
      </c>
      <c r="LW472" s="98">
        <f t="shared" si="2398"/>
        <v>6378</v>
      </c>
      <c r="LX472" s="98">
        <f t="shared" si="2398"/>
        <v>207966</v>
      </c>
      <c r="LY472" s="98">
        <f t="shared" si="2398"/>
        <v>577915</v>
      </c>
      <c r="LZ472" s="98">
        <f t="shared" si="2398"/>
        <v>11951786.699999999</v>
      </c>
      <c r="MA472" s="98">
        <f t="shared" si="2398"/>
        <v>89600</v>
      </c>
      <c r="MB472" s="98">
        <f t="shared" si="2398"/>
        <v>7616000</v>
      </c>
      <c r="MC472" s="98">
        <f t="shared" si="2398"/>
        <v>3588300</v>
      </c>
      <c r="MD472" s="98">
        <f t="shared" si="2398"/>
        <v>191850100</v>
      </c>
      <c r="MG472" s="98">
        <f t="shared" ref="MG472:MT472" si="2399">SUM(MG127,MG165,MG203)</f>
        <v>204290</v>
      </c>
      <c r="MH472" s="98">
        <f t="shared" si="2399"/>
        <v>3784130</v>
      </c>
      <c r="MI472" s="98">
        <f t="shared" si="2399"/>
        <v>0</v>
      </c>
      <c r="MJ472" s="98">
        <f t="shared" si="2399"/>
        <v>0</v>
      </c>
      <c r="MK472" s="98">
        <f t="shared" si="2399"/>
        <v>0</v>
      </c>
      <c r="ML472" s="98">
        <f t="shared" si="2399"/>
        <v>0</v>
      </c>
      <c r="MM472" s="98">
        <f t="shared" si="2399"/>
        <v>4400</v>
      </c>
      <c r="MN472" s="98">
        <f t="shared" si="2399"/>
        <v>79200</v>
      </c>
      <c r="MO472" s="98">
        <f t="shared" si="2399"/>
        <v>3886590</v>
      </c>
      <c r="MP472" s="98">
        <f t="shared" si="2399"/>
        <v>203329430</v>
      </c>
      <c r="MQ472" s="98">
        <f t="shared" si="2399"/>
        <v>0</v>
      </c>
      <c r="MR472" s="98">
        <f t="shared" si="2399"/>
        <v>0</v>
      </c>
      <c r="MS472" s="98">
        <f t="shared" si="2399"/>
        <v>302971</v>
      </c>
      <c r="MT472" s="98">
        <f t="shared" si="2399"/>
        <v>15788788</v>
      </c>
      <c r="MW472" s="98">
        <f t="shared" ref="MW472:NJ472" si="2400">SUM(MW127,MW165,MW203)</f>
        <v>54396</v>
      </c>
      <c r="MX472" s="98">
        <f t="shared" si="2400"/>
        <v>1251458</v>
      </c>
      <c r="MY472" s="98">
        <f t="shared" si="2400"/>
        <v>0</v>
      </c>
      <c r="MZ472" s="98">
        <f t="shared" si="2400"/>
        <v>0</v>
      </c>
      <c r="NA472" s="98">
        <f t="shared" si="2400"/>
        <v>0</v>
      </c>
      <c r="NB472" s="98">
        <f t="shared" si="2400"/>
        <v>0</v>
      </c>
      <c r="NC472" s="98">
        <f t="shared" si="2400"/>
        <v>0</v>
      </c>
      <c r="ND472" s="98">
        <f t="shared" si="2400"/>
        <v>0</v>
      </c>
      <c r="NE472" s="98">
        <f t="shared" si="2400"/>
        <v>357367</v>
      </c>
      <c r="NF472" s="98">
        <f t="shared" si="2400"/>
        <v>17040246</v>
      </c>
      <c r="NG472" s="98">
        <f t="shared" si="2400"/>
        <v>0</v>
      </c>
      <c r="NH472" s="98">
        <f t="shared" si="2400"/>
        <v>0</v>
      </c>
      <c r="NI472" s="98">
        <f t="shared" si="2400"/>
        <v>20184200</v>
      </c>
      <c r="NJ472" s="98">
        <f t="shared" si="2400"/>
        <v>446802210</v>
      </c>
      <c r="NM472" s="98">
        <f t="shared" ref="NM472:NZ472" si="2401">SUM(NM127,NM165,NM203)</f>
        <v>6053500</v>
      </c>
      <c r="NN472" s="98">
        <f t="shared" si="2401"/>
        <v>97639200</v>
      </c>
      <c r="NO472" s="98">
        <f t="shared" si="2401"/>
        <v>335200</v>
      </c>
      <c r="NP472" s="98">
        <f t="shared" si="2401"/>
        <v>7150800</v>
      </c>
      <c r="NQ472" s="98">
        <f t="shared" si="2401"/>
        <v>66552</v>
      </c>
      <c r="NR472" s="98">
        <f t="shared" si="2401"/>
        <v>1207796</v>
      </c>
      <c r="NS472" s="98">
        <f t="shared" si="2401"/>
        <v>0</v>
      </c>
      <c r="NT472" s="98">
        <f t="shared" si="2401"/>
        <v>0</v>
      </c>
      <c r="NU472" s="98">
        <f t="shared" si="2401"/>
        <v>26639452</v>
      </c>
      <c r="NV472" s="98">
        <f t="shared" si="2401"/>
        <v>552800006</v>
      </c>
      <c r="NW472" s="98">
        <f t="shared" si="2401"/>
        <v>10470</v>
      </c>
      <c r="NX472" s="98">
        <f t="shared" si="2401"/>
        <v>481000</v>
      </c>
      <c r="NY472" s="98">
        <f t="shared" si="2401"/>
        <v>2958002</v>
      </c>
      <c r="NZ472" s="98">
        <f t="shared" si="2401"/>
        <v>146488070</v>
      </c>
      <c r="OC472" s="98">
        <f t="shared" ref="OC472:OP472" si="2402">SUM(OC127,OC165,OC203)</f>
        <v>151683</v>
      </c>
      <c r="OD472" s="98">
        <f t="shared" si="2402"/>
        <v>2892652</v>
      </c>
      <c r="OE472" s="98">
        <f t="shared" si="2402"/>
        <v>0</v>
      </c>
      <c r="OF472" s="98">
        <f t="shared" si="2402"/>
        <v>0</v>
      </c>
      <c r="OG472" s="98">
        <f t="shared" si="2402"/>
        <v>0</v>
      </c>
      <c r="OH472" s="98">
        <f t="shared" si="2402"/>
        <v>0</v>
      </c>
      <c r="OI472" s="98">
        <f t="shared" si="2402"/>
        <v>0</v>
      </c>
      <c r="OJ472" s="98">
        <f t="shared" si="2402"/>
        <v>0</v>
      </c>
      <c r="OK472" s="98">
        <f t="shared" si="2402"/>
        <v>3120155</v>
      </c>
      <c r="OL472" s="98">
        <f t="shared" si="2402"/>
        <v>149861722</v>
      </c>
      <c r="OM472" s="98">
        <f t="shared" si="2402"/>
        <v>168023284</v>
      </c>
      <c r="ON472" s="98">
        <f t="shared" si="2402"/>
        <v>712478770</v>
      </c>
      <c r="OO472" s="98">
        <f t="shared" si="2402"/>
        <v>1400130</v>
      </c>
      <c r="OP472" s="98">
        <f t="shared" si="2402"/>
        <v>80106971</v>
      </c>
      <c r="OS472" s="98">
        <f t="shared" ref="OS472:PF472" si="2403">SUM(OS127,OS165,OS203)</f>
        <v>105639.5</v>
      </c>
      <c r="OT472" s="98">
        <f t="shared" si="2403"/>
        <v>2306270.5</v>
      </c>
      <c r="OU472" s="98">
        <f t="shared" si="2403"/>
        <v>0</v>
      </c>
      <c r="OV472" s="98">
        <f t="shared" si="2403"/>
        <v>0</v>
      </c>
      <c r="OW472" s="98">
        <f t="shared" si="2403"/>
        <v>0</v>
      </c>
      <c r="OX472" s="98">
        <f t="shared" si="2403"/>
        <v>0</v>
      </c>
      <c r="OY472" s="98">
        <f t="shared" si="2403"/>
        <v>0</v>
      </c>
      <c r="OZ472" s="98">
        <f t="shared" si="2403"/>
        <v>0</v>
      </c>
      <c r="PA472" s="98">
        <f t="shared" si="2403"/>
        <v>169529053.5</v>
      </c>
      <c r="PB472" s="98">
        <f t="shared" si="2403"/>
        <v>794892011.5</v>
      </c>
      <c r="PC472" s="98">
        <f t="shared" si="2403"/>
        <v>441</v>
      </c>
      <c r="PD472" s="98">
        <f t="shared" si="2403"/>
        <v>27721.5</v>
      </c>
      <c r="PE472" s="98">
        <f t="shared" si="2403"/>
        <v>76281</v>
      </c>
      <c r="PF472" s="98">
        <f t="shared" si="2403"/>
        <v>5624345</v>
      </c>
      <c r="PI472" s="98">
        <f t="shared" ref="PI472:PV472" si="2404">SUM(PI127,PI165,PI203)</f>
        <v>1319814</v>
      </c>
      <c r="PJ472" s="98">
        <f t="shared" si="2404"/>
        <v>24320910</v>
      </c>
      <c r="PK472" s="98">
        <f t="shared" si="2404"/>
        <v>0</v>
      </c>
      <c r="PL472" s="98">
        <f t="shared" si="2404"/>
        <v>0</v>
      </c>
      <c r="PM472" s="98">
        <f t="shared" si="2404"/>
        <v>0</v>
      </c>
      <c r="PN472" s="98">
        <f t="shared" si="2404"/>
        <v>0</v>
      </c>
      <c r="PO472" s="98">
        <f t="shared" si="2404"/>
        <v>0</v>
      </c>
      <c r="PP472" s="98">
        <f t="shared" si="2404"/>
        <v>0</v>
      </c>
      <c r="PQ472" s="98">
        <f t="shared" si="2404"/>
        <v>1396536</v>
      </c>
      <c r="PR472" s="98">
        <f t="shared" si="2404"/>
        <v>29972976.5</v>
      </c>
      <c r="PS472" s="98">
        <f t="shared" si="2404"/>
        <v>500</v>
      </c>
      <c r="PT472" s="98">
        <f t="shared" si="2404"/>
        <v>55000</v>
      </c>
      <c r="PU472" s="98">
        <f t="shared" si="2404"/>
        <v>3179330</v>
      </c>
      <c r="PV472" s="98">
        <f t="shared" si="2404"/>
        <v>125314760</v>
      </c>
      <c r="PY472" s="98">
        <f t="shared" ref="PY472:QL472" si="2405">SUM(PY127,PY165,PY203)</f>
        <v>3333670</v>
      </c>
      <c r="PZ472" s="98">
        <f t="shared" si="2405"/>
        <v>67631660</v>
      </c>
      <c r="QA472" s="98">
        <f t="shared" si="2405"/>
        <v>4494270</v>
      </c>
      <c r="QB472" s="98">
        <f t="shared" si="2405"/>
        <v>118306240</v>
      </c>
      <c r="QC472" s="98">
        <f t="shared" si="2405"/>
        <v>1339150</v>
      </c>
      <c r="QD472" s="98">
        <f t="shared" si="2405"/>
        <v>25639530</v>
      </c>
      <c r="QE472" s="98">
        <f t="shared" si="2405"/>
        <v>0</v>
      </c>
      <c r="QF472" s="98">
        <f t="shared" si="2405"/>
        <v>0</v>
      </c>
      <c r="QG472" s="107">
        <f t="shared" si="2405"/>
        <v>12346920</v>
      </c>
      <c r="QH472" s="107">
        <f t="shared" si="2405"/>
        <v>336947190</v>
      </c>
      <c r="QI472" s="98">
        <f t="shared" si="2405"/>
        <v>0</v>
      </c>
      <c r="QJ472" s="98">
        <f t="shared" si="2405"/>
        <v>0</v>
      </c>
      <c r="QK472" s="98">
        <f t="shared" si="2405"/>
        <v>175000</v>
      </c>
      <c r="QL472" s="98">
        <f t="shared" si="2405"/>
        <v>10500000</v>
      </c>
      <c r="QO472" s="98">
        <f t="shared" ref="QO472:RB472" si="2406">SUM(QO127,QO165,QO203)</f>
        <v>13644500</v>
      </c>
      <c r="QP472" s="98">
        <f t="shared" si="2406"/>
        <v>289513000</v>
      </c>
      <c r="QQ472" s="98">
        <f t="shared" si="2406"/>
        <v>0</v>
      </c>
      <c r="QR472" s="98">
        <f t="shared" si="2406"/>
        <v>0</v>
      </c>
      <c r="QS472" s="98">
        <f t="shared" si="2406"/>
        <v>0</v>
      </c>
      <c r="QT472" s="98">
        <f t="shared" si="2406"/>
        <v>0</v>
      </c>
      <c r="QU472" s="98">
        <f t="shared" si="2406"/>
        <v>0</v>
      </c>
      <c r="QV472" s="98">
        <f t="shared" si="2406"/>
        <v>0</v>
      </c>
      <c r="QW472" s="98">
        <f t="shared" si="2406"/>
        <v>13819500</v>
      </c>
      <c r="QX472" s="98">
        <f t="shared" si="2406"/>
        <v>300013000</v>
      </c>
      <c r="QY472" s="98">
        <f t="shared" si="2406"/>
        <v>0</v>
      </c>
      <c r="QZ472" s="98">
        <f t="shared" si="2406"/>
        <v>0</v>
      </c>
      <c r="RA472" s="98">
        <f t="shared" si="2406"/>
        <v>0</v>
      </c>
      <c r="RB472" s="98">
        <f t="shared" si="2406"/>
        <v>0</v>
      </c>
      <c r="RE472" s="98">
        <f t="shared" ref="RE472:RR472" si="2407">SUM(RE127,RE165,RE203)</f>
        <v>15830</v>
      </c>
      <c r="RF472" s="98">
        <f t="shared" si="2407"/>
        <v>378610</v>
      </c>
      <c r="RG472" s="98">
        <f t="shared" si="2407"/>
        <v>0</v>
      </c>
      <c r="RH472" s="98">
        <f t="shared" si="2407"/>
        <v>0</v>
      </c>
      <c r="RI472" s="98">
        <f t="shared" si="2407"/>
        <v>0</v>
      </c>
      <c r="RJ472" s="98">
        <f t="shared" si="2407"/>
        <v>0</v>
      </c>
      <c r="RK472" s="98">
        <f t="shared" si="2407"/>
        <v>0</v>
      </c>
      <c r="RL472" s="98">
        <f t="shared" si="2407"/>
        <v>0</v>
      </c>
      <c r="RM472" s="98">
        <f t="shared" si="2407"/>
        <v>15830</v>
      </c>
      <c r="RN472" s="98">
        <f t="shared" si="2407"/>
        <v>378610</v>
      </c>
      <c r="RO472" s="98">
        <f t="shared" si="2407"/>
        <v>0</v>
      </c>
      <c r="RP472" s="98">
        <f t="shared" si="2407"/>
        <v>0</v>
      </c>
      <c r="RQ472" s="98">
        <f t="shared" si="2407"/>
        <v>0</v>
      </c>
      <c r="RR472" s="98">
        <f t="shared" si="2407"/>
        <v>0</v>
      </c>
      <c r="RU472" s="98">
        <f t="shared" ref="RU472:SH472" si="2408">SUM(RU127,RU165,RU203)</f>
        <v>62700</v>
      </c>
      <c r="RV472" s="98">
        <f t="shared" si="2408"/>
        <v>1294500</v>
      </c>
      <c r="RW472" s="98">
        <f t="shared" si="2408"/>
        <v>0</v>
      </c>
      <c r="RX472" s="98">
        <f t="shared" si="2408"/>
        <v>0</v>
      </c>
      <c r="RY472" s="98">
        <f t="shared" si="2408"/>
        <v>0</v>
      </c>
      <c r="RZ472" s="98">
        <f t="shared" si="2408"/>
        <v>0</v>
      </c>
      <c r="SA472" s="98">
        <f t="shared" si="2408"/>
        <v>0</v>
      </c>
      <c r="SB472" s="98">
        <f t="shared" si="2408"/>
        <v>0</v>
      </c>
      <c r="SC472" s="98">
        <f t="shared" si="2408"/>
        <v>62700</v>
      </c>
      <c r="SD472" s="98">
        <f t="shared" si="2408"/>
        <v>1294500</v>
      </c>
      <c r="SE472" s="98">
        <f t="shared" si="2408"/>
        <v>0</v>
      </c>
      <c r="SF472" s="98">
        <f t="shared" si="2408"/>
        <v>0</v>
      </c>
      <c r="SG472" s="98">
        <f t="shared" si="2408"/>
        <v>0</v>
      </c>
      <c r="SH472" s="98">
        <f t="shared" si="2408"/>
        <v>0</v>
      </c>
      <c r="SK472" s="98">
        <f t="shared" ref="SK472:SX472" si="2409">SUM(SK127,SK165,SK203)</f>
        <v>47600</v>
      </c>
      <c r="SL472" s="98">
        <f t="shared" si="2409"/>
        <v>915600</v>
      </c>
      <c r="SM472" s="98">
        <f t="shared" si="2409"/>
        <v>0</v>
      </c>
      <c r="SN472" s="98">
        <f t="shared" si="2409"/>
        <v>0</v>
      </c>
      <c r="SO472" s="98">
        <f t="shared" si="2409"/>
        <v>0</v>
      </c>
      <c r="SP472" s="98">
        <f t="shared" si="2409"/>
        <v>0</v>
      </c>
      <c r="SQ472" s="98">
        <f t="shared" si="2409"/>
        <v>0</v>
      </c>
      <c r="SR472" s="98">
        <f t="shared" si="2409"/>
        <v>0</v>
      </c>
      <c r="SS472" s="98">
        <f t="shared" si="2409"/>
        <v>47600</v>
      </c>
      <c r="ST472" s="98">
        <f t="shared" si="2409"/>
        <v>915600</v>
      </c>
      <c r="SU472" s="98">
        <f t="shared" si="2409"/>
        <v>0</v>
      </c>
      <c r="SV472" s="98">
        <f t="shared" si="2409"/>
        <v>0</v>
      </c>
      <c r="SW472" s="98">
        <f t="shared" si="2409"/>
        <v>0</v>
      </c>
      <c r="SX472" s="98">
        <f t="shared" si="2409"/>
        <v>0</v>
      </c>
      <c r="TA472" s="98">
        <f t="shared" ref="TA472:TN472" si="2410">SUM(TA127,TA165,TA203)</f>
        <v>82789.97</v>
      </c>
      <c r="TB472" s="98">
        <f t="shared" si="2410"/>
        <v>1872530.2220000001</v>
      </c>
      <c r="TC472" s="98">
        <f t="shared" si="2410"/>
        <v>0</v>
      </c>
      <c r="TD472" s="98">
        <f t="shared" si="2410"/>
        <v>0</v>
      </c>
      <c r="TE472" s="98">
        <f t="shared" si="2410"/>
        <v>0</v>
      </c>
      <c r="TF472" s="98">
        <f t="shared" si="2410"/>
        <v>0</v>
      </c>
      <c r="TG472" s="98">
        <f t="shared" si="2410"/>
        <v>0</v>
      </c>
      <c r="TH472" s="98">
        <f t="shared" si="2410"/>
        <v>0</v>
      </c>
      <c r="TI472" s="98">
        <f t="shared" si="2410"/>
        <v>82789.97</v>
      </c>
      <c r="TJ472" s="98">
        <f t="shared" si="2410"/>
        <v>1872530.2220000001</v>
      </c>
      <c r="TK472" s="98">
        <f t="shared" si="2410"/>
        <v>0</v>
      </c>
      <c r="TL472" s="98">
        <f t="shared" si="2410"/>
        <v>0</v>
      </c>
      <c r="TM472" s="98">
        <f t="shared" si="2410"/>
        <v>0</v>
      </c>
      <c r="TN472" s="98">
        <f t="shared" si="2410"/>
        <v>0</v>
      </c>
      <c r="TQ472" s="98">
        <f t="shared" ref="TQ472:UD472" si="2411">SUM(TQ127,TQ165,TQ203)</f>
        <v>30600</v>
      </c>
      <c r="TR472" s="98">
        <f t="shared" si="2411"/>
        <v>631800</v>
      </c>
      <c r="TS472" s="98">
        <f t="shared" si="2411"/>
        <v>0</v>
      </c>
      <c r="TT472" s="98">
        <f t="shared" si="2411"/>
        <v>0</v>
      </c>
      <c r="TU472" s="98">
        <f t="shared" si="2411"/>
        <v>4400</v>
      </c>
      <c r="TV472" s="98">
        <f t="shared" si="2411"/>
        <v>143000</v>
      </c>
      <c r="TW472" s="98">
        <f t="shared" si="2411"/>
        <v>0</v>
      </c>
      <c r="TX472" s="98">
        <f t="shared" si="2411"/>
        <v>0</v>
      </c>
      <c r="TY472" s="98">
        <f t="shared" si="2411"/>
        <v>35000</v>
      </c>
      <c r="TZ472" s="98">
        <f t="shared" si="2411"/>
        <v>774800</v>
      </c>
      <c r="UA472" s="98">
        <f t="shared" si="2411"/>
        <v>0</v>
      </c>
      <c r="UB472" s="98">
        <f t="shared" si="2411"/>
        <v>0</v>
      </c>
      <c r="UC472" s="98">
        <f t="shared" si="2411"/>
        <v>0</v>
      </c>
      <c r="UD472" s="98">
        <f t="shared" si="2411"/>
        <v>0</v>
      </c>
      <c r="UG472" s="98">
        <f t="shared" ref="UG472:UT472" si="2412">SUM(UG127,UG165,UG203)</f>
        <v>56644</v>
      </c>
      <c r="UH472" s="98">
        <f t="shared" si="2412"/>
        <v>1036437.002</v>
      </c>
      <c r="UI472" s="98">
        <f t="shared" si="2412"/>
        <v>0</v>
      </c>
      <c r="UJ472" s="98">
        <f t="shared" si="2412"/>
        <v>0</v>
      </c>
      <c r="UK472" s="98">
        <f t="shared" si="2412"/>
        <v>0</v>
      </c>
      <c r="UL472" s="98">
        <f t="shared" si="2412"/>
        <v>0</v>
      </c>
      <c r="UM472" s="98">
        <f t="shared" si="2412"/>
        <v>0</v>
      </c>
      <c r="UN472" s="98">
        <f t="shared" si="2412"/>
        <v>0</v>
      </c>
      <c r="UO472" s="98">
        <f t="shared" si="2412"/>
        <v>56644</v>
      </c>
      <c r="UP472" s="98">
        <f t="shared" si="2412"/>
        <v>1036437.002</v>
      </c>
      <c r="UQ472" s="98">
        <f t="shared" si="2412"/>
        <v>0</v>
      </c>
      <c r="UR472" s="98">
        <f t="shared" si="2412"/>
        <v>0</v>
      </c>
      <c r="US472" s="98">
        <f t="shared" si="2412"/>
        <v>648319</v>
      </c>
      <c r="UT472" s="98">
        <f t="shared" si="2412"/>
        <v>5826384</v>
      </c>
      <c r="UW472" s="98">
        <f t="shared" ref="UW472:VJ472" si="2413">SUM(UW127,UW165,UW203)</f>
        <v>10423</v>
      </c>
      <c r="UX472" s="98">
        <f t="shared" si="2413"/>
        <v>204960</v>
      </c>
      <c r="UY472" s="98">
        <f t="shared" si="2413"/>
        <v>0</v>
      </c>
      <c r="UZ472" s="98">
        <f t="shared" si="2413"/>
        <v>0</v>
      </c>
      <c r="VA472" s="98">
        <f t="shared" si="2413"/>
        <v>0</v>
      </c>
      <c r="VB472" s="98">
        <f t="shared" si="2413"/>
        <v>0</v>
      </c>
      <c r="VC472" s="98">
        <f t="shared" si="2413"/>
        <v>0</v>
      </c>
      <c r="VD472" s="98">
        <f t="shared" si="2413"/>
        <v>0</v>
      </c>
      <c r="VE472" s="98">
        <f t="shared" si="2413"/>
        <v>658742</v>
      </c>
      <c r="VF472" s="98">
        <f t="shared" si="2413"/>
        <v>6031344</v>
      </c>
      <c r="VG472" s="98">
        <f t="shared" si="2413"/>
        <v>0</v>
      </c>
      <c r="VH472" s="98">
        <f t="shared" si="2413"/>
        <v>0</v>
      </c>
      <c r="VI472" s="98">
        <f t="shared" si="2413"/>
        <v>38153</v>
      </c>
      <c r="VJ472" s="98">
        <f t="shared" si="2413"/>
        <v>1727530</v>
      </c>
      <c r="VM472" s="98">
        <f t="shared" ref="VM472:VZ472" si="2414">SUM(VM127,VM165,VM203)</f>
        <v>44995</v>
      </c>
      <c r="VN472" s="98">
        <f t="shared" si="2414"/>
        <v>903367</v>
      </c>
      <c r="VO472" s="98">
        <f t="shared" si="2414"/>
        <v>0</v>
      </c>
      <c r="VP472" s="98">
        <f t="shared" si="2414"/>
        <v>0</v>
      </c>
      <c r="VQ472" s="98">
        <f t="shared" si="2414"/>
        <v>0</v>
      </c>
      <c r="VR472" s="98">
        <f t="shared" si="2414"/>
        <v>0</v>
      </c>
      <c r="VS472" s="98">
        <f t="shared" si="2414"/>
        <v>0</v>
      </c>
      <c r="VT472" s="98">
        <f t="shared" si="2414"/>
        <v>0</v>
      </c>
      <c r="VU472" s="98">
        <f t="shared" si="2414"/>
        <v>83148</v>
      </c>
      <c r="VV472" s="98">
        <f t="shared" si="2414"/>
        <v>2630897</v>
      </c>
      <c r="VW472" s="98">
        <f t="shared" si="2414"/>
        <v>0</v>
      </c>
      <c r="VX472" s="98">
        <f t="shared" si="2414"/>
        <v>0</v>
      </c>
      <c r="VY472" s="98">
        <f t="shared" si="2414"/>
        <v>1208000</v>
      </c>
      <c r="VZ472" s="98">
        <f t="shared" si="2414"/>
        <v>43446012</v>
      </c>
      <c r="WC472" s="98">
        <f t="shared" ref="WC472:WL472" si="2415">SUM(WC127,WC165,WC203)</f>
        <v>1045094</v>
      </c>
      <c r="WD472" s="98">
        <f t="shared" si="2415"/>
        <v>26724736</v>
      </c>
      <c r="WE472" s="98">
        <f t="shared" si="2415"/>
        <v>0</v>
      </c>
      <c r="WF472" s="98">
        <f t="shared" si="2415"/>
        <v>0</v>
      </c>
      <c r="WG472" s="98">
        <f t="shared" si="2415"/>
        <v>0</v>
      </c>
      <c r="WH472" s="98">
        <f t="shared" si="2415"/>
        <v>0</v>
      </c>
      <c r="WI472" s="98">
        <f t="shared" si="2415"/>
        <v>19536</v>
      </c>
      <c r="WJ472" s="98">
        <f t="shared" si="2415"/>
        <v>429792</v>
      </c>
      <c r="WK472" s="98">
        <f t="shared" si="2415"/>
        <v>2272630</v>
      </c>
      <c r="WL472" s="98">
        <f t="shared" si="2415"/>
        <v>70600540</v>
      </c>
      <c r="WN472" s="98">
        <f t="shared" ref="WN472:XC472" si="2416">SUM(WN127,WN165,WN203)</f>
        <v>169550271.69067857</v>
      </c>
      <c r="WO472" s="98">
        <f t="shared" si="2416"/>
        <v>729657050.95339274</v>
      </c>
      <c r="WP472" s="98">
        <f t="shared" si="2416"/>
        <v>67363208.022949576</v>
      </c>
      <c r="WQ472" s="98">
        <f t="shared" si="2416"/>
        <v>2319614272.571085</v>
      </c>
      <c r="WR472" s="98">
        <f t="shared" si="2416"/>
        <v>0</v>
      </c>
      <c r="WS472" s="98">
        <f t="shared" si="2416"/>
        <v>0</v>
      </c>
      <c r="WT472" s="98">
        <f t="shared" si="2416"/>
        <v>106162132.13260341</v>
      </c>
      <c r="WU472" s="98">
        <f t="shared" si="2416"/>
        <v>2199849062.8638463</v>
      </c>
      <c r="WV472" s="98">
        <f t="shared" si="2416"/>
        <v>4876379</v>
      </c>
      <c r="WW472" s="98">
        <f t="shared" si="2416"/>
        <v>126600112.006</v>
      </c>
      <c r="WX472" s="98">
        <f t="shared" si="2416"/>
        <v>1457959</v>
      </c>
      <c r="WY472" s="98">
        <f t="shared" si="2416"/>
        <v>27910455</v>
      </c>
      <c r="WZ472" s="98">
        <f t="shared" si="2416"/>
        <v>1536995.73</v>
      </c>
      <c r="XA472" s="98">
        <f t="shared" si="2416"/>
        <v>36373713</v>
      </c>
      <c r="XB472" s="107">
        <f t="shared" si="2416"/>
        <v>350946945.5762316</v>
      </c>
      <c r="XC472" s="107">
        <f t="shared" si="2416"/>
        <v>5440004666.3943233</v>
      </c>
      <c r="XK472" s="98">
        <f t="shared" ref="XK472:XR472" si="2417">SUM(XK127,XK165,XK203)</f>
        <v>0</v>
      </c>
      <c r="XL472" s="98">
        <f t="shared" si="2417"/>
        <v>0</v>
      </c>
      <c r="XM472" s="98">
        <f t="shared" si="2417"/>
        <v>0</v>
      </c>
      <c r="XN472" s="98">
        <f t="shared" si="2417"/>
        <v>0</v>
      </c>
      <c r="XO472" s="98">
        <f t="shared" si="2417"/>
        <v>0</v>
      </c>
      <c r="XP472" s="98">
        <f t="shared" si="2417"/>
        <v>0</v>
      </c>
      <c r="XQ472" s="98">
        <f t="shared" si="2417"/>
        <v>0</v>
      </c>
      <c r="XR472" s="107">
        <f t="shared" ca="1" si="2417"/>
        <v>0</v>
      </c>
      <c r="XT472" s="98">
        <f t="shared" ref="XT472:YA472" si="2418">SUM(XT127,XT165,XT203)</f>
        <v>0</v>
      </c>
      <c r="XU472" s="98">
        <f t="shared" si="2418"/>
        <v>0</v>
      </c>
      <c r="XV472" s="98">
        <f t="shared" si="2418"/>
        <v>0</v>
      </c>
      <c r="XW472" s="98">
        <f t="shared" si="2418"/>
        <v>0</v>
      </c>
      <c r="XX472" s="98">
        <f t="shared" si="2418"/>
        <v>0</v>
      </c>
      <c r="XY472" s="98">
        <f t="shared" si="2418"/>
        <v>0</v>
      </c>
      <c r="XZ472" s="98">
        <f t="shared" si="2418"/>
        <v>0</v>
      </c>
      <c r="YA472" s="107">
        <f t="shared" ca="1" si="2418"/>
        <v>0</v>
      </c>
    </row>
    <row r="473" spans="1:1017">
      <c r="B473" s="93" t="s">
        <v>44</v>
      </c>
      <c r="C473" s="98">
        <f>SUM(C241,C279,C317)</f>
        <v>0</v>
      </c>
      <c r="D473" s="98">
        <f>SUM(D241,D279,D317)</f>
        <v>0</v>
      </c>
      <c r="E473" s="98">
        <f>SUM(E241,E279,E317)</f>
        <v>1617720</v>
      </c>
      <c r="F473" s="98">
        <f>SUM(F241,F279,F317)</f>
        <v>56674285.511999995</v>
      </c>
      <c r="I473" s="98">
        <f t="shared" ref="I473:V473" si="2419">SUM(I241,I279,I317)</f>
        <v>138350</v>
      </c>
      <c r="J473" s="98">
        <f t="shared" si="2419"/>
        <v>3128650</v>
      </c>
      <c r="K473" s="98">
        <f t="shared" si="2419"/>
        <v>0</v>
      </c>
      <c r="L473" s="98">
        <f t="shared" si="2419"/>
        <v>0</v>
      </c>
      <c r="M473" s="98">
        <f t="shared" si="2419"/>
        <v>700</v>
      </c>
      <c r="N473" s="98">
        <f t="shared" si="2419"/>
        <v>14000</v>
      </c>
      <c r="O473" s="98">
        <f t="shared" si="2419"/>
        <v>0</v>
      </c>
      <c r="P473" s="98">
        <f t="shared" si="2419"/>
        <v>0</v>
      </c>
      <c r="Q473" s="99">
        <f t="shared" si="2419"/>
        <v>1756770</v>
      </c>
      <c r="R473" s="99">
        <f t="shared" si="2419"/>
        <v>59816935.511999995</v>
      </c>
      <c r="S473" s="98">
        <f t="shared" si="2419"/>
        <v>7080</v>
      </c>
      <c r="T473" s="98">
        <f t="shared" si="2419"/>
        <v>868300</v>
      </c>
      <c r="U473" s="98">
        <f t="shared" si="2419"/>
        <v>5040640</v>
      </c>
      <c r="V473" s="98">
        <f t="shared" si="2419"/>
        <v>275695725</v>
      </c>
      <c r="Y473" s="98">
        <f t="shared" ref="Y473:AL473" si="2420">SUM(Y241,Y279,Y317)</f>
        <v>2639395</v>
      </c>
      <c r="Z473" s="98">
        <f t="shared" si="2420"/>
        <v>53757590</v>
      </c>
      <c r="AA473" s="98">
        <f t="shared" si="2420"/>
        <v>17280</v>
      </c>
      <c r="AB473" s="98">
        <f t="shared" si="2420"/>
        <v>472200</v>
      </c>
      <c r="AC473" s="98">
        <f t="shared" si="2420"/>
        <v>13305</v>
      </c>
      <c r="AD473" s="98">
        <f t="shared" si="2420"/>
        <v>363750</v>
      </c>
      <c r="AE473" s="98">
        <f t="shared" si="2420"/>
        <v>4650</v>
      </c>
      <c r="AF473" s="98">
        <f t="shared" si="2420"/>
        <v>102900</v>
      </c>
      <c r="AG473" s="98">
        <f t="shared" si="2420"/>
        <v>7722350</v>
      </c>
      <c r="AH473" s="98">
        <f t="shared" si="2420"/>
        <v>331260465</v>
      </c>
      <c r="AI473" s="98">
        <f t="shared" si="2420"/>
        <v>0</v>
      </c>
      <c r="AJ473" s="98">
        <f t="shared" si="2420"/>
        <v>0</v>
      </c>
      <c r="AK473" s="98">
        <f t="shared" si="2420"/>
        <v>112800</v>
      </c>
      <c r="AL473" s="98">
        <f t="shared" si="2420"/>
        <v>7332000</v>
      </c>
      <c r="AO473" s="98">
        <f t="shared" ref="AO473:BB473" si="2421">SUM(AO241,AO279,AO317)</f>
        <v>4160200</v>
      </c>
      <c r="AP473" s="98">
        <f t="shared" si="2421"/>
        <v>93506500</v>
      </c>
      <c r="AQ473" s="98">
        <f t="shared" si="2421"/>
        <v>470</v>
      </c>
      <c r="AR473" s="98">
        <f t="shared" si="2421"/>
        <v>11280</v>
      </c>
      <c r="AS473" s="98">
        <f t="shared" si="2421"/>
        <v>0</v>
      </c>
      <c r="AT473" s="98">
        <f t="shared" si="2421"/>
        <v>0</v>
      </c>
      <c r="AU473" s="98">
        <f t="shared" si="2421"/>
        <v>6390</v>
      </c>
      <c r="AV473" s="98">
        <f t="shared" si="2421"/>
        <v>153360</v>
      </c>
      <c r="AW473" s="98">
        <f t="shared" si="2421"/>
        <v>4279860</v>
      </c>
      <c r="AX473" s="98">
        <f t="shared" si="2421"/>
        <v>101003140</v>
      </c>
      <c r="AY473" s="98">
        <f t="shared" si="2421"/>
        <v>0</v>
      </c>
      <c r="AZ473" s="98">
        <f t="shared" si="2421"/>
        <v>0</v>
      </c>
      <c r="BA473" s="98">
        <f t="shared" si="2421"/>
        <v>0</v>
      </c>
      <c r="BB473" s="98">
        <f t="shared" si="2421"/>
        <v>0</v>
      </c>
      <c r="BE473" s="98">
        <f t="shared" ref="BE473:BR473" si="2422">SUM(BE241,BE279,BE317)</f>
        <v>1059256</v>
      </c>
      <c r="BF473" s="98">
        <f t="shared" si="2422"/>
        <v>21421481.5</v>
      </c>
      <c r="BG473" s="98">
        <f t="shared" si="2422"/>
        <v>1303</v>
      </c>
      <c r="BH473" s="98">
        <f t="shared" si="2422"/>
        <v>32575</v>
      </c>
      <c r="BI473" s="98">
        <f t="shared" si="2422"/>
        <v>0</v>
      </c>
      <c r="BJ473" s="98">
        <f t="shared" si="2422"/>
        <v>0</v>
      </c>
      <c r="BK473" s="98">
        <f t="shared" si="2422"/>
        <v>3263</v>
      </c>
      <c r="BL473" s="98">
        <f t="shared" si="2422"/>
        <v>55040</v>
      </c>
      <c r="BM473" s="98">
        <f t="shared" si="2422"/>
        <v>1063822</v>
      </c>
      <c r="BN473" s="98">
        <f t="shared" si="2422"/>
        <v>21509096.5</v>
      </c>
      <c r="BO473" s="98">
        <f t="shared" si="2422"/>
        <v>0</v>
      </c>
      <c r="BP473" s="98">
        <f t="shared" si="2422"/>
        <v>0</v>
      </c>
      <c r="BQ473" s="98">
        <f t="shared" si="2422"/>
        <v>0</v>
      </c>
      <c r="BR473" s="98">
        <f t="shared" si="2422"/>
        <v>0</v>
      </c>
      <c r="BU473" s="98">
        <f t="shared" ref="BU473:CH473" si="2423">SUM(BU241,BU279,BU317)</f>
        <v>202717</v>
      </c>
      <c r="BV473" s="98">
        <f t="shared" si="2423"/>
        <v>4353094</v>
      </c>
      <c r="BW473" s="98">
        <f t="shared" si="2423"/>
        <v>0</v>
      </c>
      <c r="BX473" s="98">
        <f t="shared" si="2423"/>
        <v>0</v>
      </c>
      <c r="BY473" s="98">
        <f t="shared" si="2423"/>
        <v>0</v>
      </c>
      <c r="BZ473" s="98">
        <f t="shared" si="2423"/>
        <v>0</v>
      </c>
      <c r="CA473" s="98">
        <f t="shared" si="2423"/>
        <v>0</v>
      </c>
      <c r="CB473" s="98">
        <f t="shared" si="2423"/>
        <v>0</v>
      </c>
      <c r="CC473" s="107">
        <f t="shared" si="2423"/>
        <v>202717</v>
      </c>
      <c r="CD473" s="107">
        <f t="shared" si="2423"/>
        <v>4353094</v>
      </c>
      <c r="CE473" s="98">
        <f t="shared" si="2423"/>
        <v>4684302</v>
      </c>
      <c r="CF473" s="98">
        <f t="shared" si="2423"/>
        <v>18737206.061000001</v>
      </c>
      <c r="CG473" s="98">
        <f t="shared" si="2423"/>
        <v>20040735.342798188</v>
      </c>
      <c r="CH473" s="98">
        <f t="shared" si="2423"/>
        <v>588780871.63413942</v>
      </c>
      <c r="CK473" s="98">
        <f t="shared" ref="CK473:CX473" si="2424">SUM(CK241,CK279,CK317)</f>
        <v>15276247</v>
      </c>
      <c r="CL473" s="98">
        <f t="shared" si="2424"/>
        <v>248916922.27640975</v>
      </c>
      <c r="CM473" s="98">
        <f t="shared" si="2424"/>
        <v>0</v>
      </c>
      <c r="CN473" s="98">
        <f t="shared" si="2424"/>
        <v>0</v>
      </c>
      <c r="CO473" s="98">
        <f t="shared" si="2424"/>
        <v>0</v>
      </c>
      <c r="CP473" s="98">
        <f t="shared" si="2424"/>
        <v>0</v>
      </c>
      <c r="CQ473" s="98">
        <f t="shared" si="2424"/>
        <v>0</v>
      </c>
      <c r="CR473" s="98">
        <f t="shared" si="2424"/>
        <v>0</v>
      </c>
      <c r="CS473" s="98">
        <f t="shared" si="2424"/>
        <v>40001284.342798188</v>
      </c>
      <c r="CT473" s="98">
        <f t="shared" si="2424"/>
        <v>856434999.97154927</v>
      </c>
      <c r="CU473" s="98">
        <f t="shared" si="2424"/>
        <v>0</v>
      </c>
      <c r="CV473" s="98">
        <f t="shared" si="2424"/>
        <v>0</v>
      </c>
      <c r="CW473" s="98">
        <f t="shared" si="2424"/>
        <v>1361309.9366494976</v>
      </c>
      <c r="CX473" s="98">
        <f t="shared" si="2424"/>
        <v>78790058.811000004</v>
      </c>
      <c r="DA473" s="98">
        <f t="shared" ref="DA473:DN473" si="2425">SUM(DA241,DA279,DA317)</f>
        <v>3021985</v>
      </c>
      <c r="DB473" s="98">
        <f t="shared" si="2425"/>
        <v>66662525.001000002</v>
      </c>
      <c r="DC473" s="98">
        <f t="shared" si="2425"/>
        <v>5545.0003660000002</v>
      </c>
      <c r="DD473" s="98">
        <f t="shared" si="2425"/>
        <v>123910.00899999999</v>
      </c>
      <c r="DE473" s="98">
        <f t="shared" si="2425"/>
        <v>0</v>
      </c>
      <c r="DF473" s="98">
        <f t="shared" si="2425"/>
        <v>0</v>
      </c>
      <c r="DG473" s="98">
        <f t="shared" si="2425"/>
        <v>0</v>
      </c>
      <c r="DH473" s="98">
        <f t="shared" si="2425"/>
        <v>0</v>
      </c>
      <c r="DI473" s="107">
        <f t="shared" si="2425"/>
        <v>4388839.9370154971</v>
      </c>
      <c r="DJ473" s="107">
        <f t="shared" si="2425"/>
        <v>145576493.82099998</v>
      </c>
      <c r="DK473" s="98">
        <f t="shared" si="2425"/>
        <v>0</v>
      </c>
      <c r="DL473" s="98">
        <f t="shared" si="2425"/>
        <v>0</v>
      </c>
      <c r="DM473" s="98">
        <f t="shared" si="2425"/>
        <v>0</v>
      </c>
      <c r="DN473" s="98">
        <f t="shared" si="2425"/>
        <v>0</v>
      </c>
      <c r="DQ473" s="98">
        <f t="shared" ref="DQ473:ED473" si="2426">SUM(DQ241,DQ279,DQ317)</f>
        <v>3551900</v>
      </c>
      <c r="DR473" s="98">
        <f t="shared" si="2426"/>
        <v>63831100</v>
      </c>
      <c r="DS473" s="98">
        <f t="shared" si="2426"/>
        <v>0</v>
      </c>
      <c r="DT473" s="98">
        <f t="shared" si="2426"/>
        <v>0</v>
      </c>
      <c r="DU473" s="98">
        <f t="shared" si="2426"/>
        <v>0</v>
      </c>
      <c r="DV473" s="98">
        <f t="shared" si="2426"/>
        <v>0</v>
      </c>
      <c r="DW473" s="98">
        <f t="shared" si="2426"/>
        <v>0</v>
      </c>
      <c r="DX473" s="98">
        <f t="shared" si="2426"/>
        <v>0</v>
      </c>
      <c r="DY473" s="98">
        <f t="shared" si="2426"/>
        <v>3551900</v>
      </c>
      <c r="DZ473" s="98">
        <f t="shared" si="2426"/>
        <v>63831100</v>
      </c>
      <c r="EA473" s="98">
        <f t="shared" si="2426"/>
        <v>0</v>
      </c>
      <c r="EB473" s="98">
        <f t="shared" si="2426"/>
        <v>0</v>
      </c>
      <c r="EC473" s="98">
        <f t="shared" si="2426"/>
        <v>0</v>
      </c>
      <c r="ED473" s="98">
        <f t="shared" si="2426"/>
        <v>0</v>
      </c>
      <c r="EG473" s="98">
        <f t="shared" ref="EG473:ET473" si="2427">SUM(EG241,EG279,EG317)</f>
        <v>6098785</v>
      </c>
      <c r="EH473" s="98">
        <f t="shared" si="2427"/>
        <v>114743815</v>
      </c>
      <c r="EI473" s="98">
        <f t="shared" si="2427"/>
        <v>0</v>
      </c>
      <c r="EJ473" s="98">
        <f t="shared" si="2427"/>
        <v>0</v>
      </c>
      <c r="EK473" s="98">
        <f t="shared" si="2427"/>
        <v>0</v>
      </c>
      <c r="EL473" s="98">
        <f t="shared" si="2427"/>
        <v>0</v>
      </c>
      <c r="EM473" s="98">
        <f t="shared" si="2427"/>
        <v>0</v>
      </c>
      <c r="EN473" s="98">
        <f t="shared" si="2427"/>
        <v>0</v>
      </c>
      <c r="EO473" s="98">
        <f t="shared" si="2427"/>
        <v>6098785</v>
      </c>
      <c r="EP473" s="98">
        <f t="shared" si="2427"/>
        <v>114743815</v>
      </c>
      <c r="EQ473" s="98">
        <f t="shared" si="2427"/>
        <v>0</v>
      </c>
      <c r="ER473" s="98">
        <f t="shared" si="2427"/>
        <v>0</v>
      </c>
      <c r="ES473" s="98">
        <f t="shared" si="2427"/>
        <v>963980</v>
      </c>
      <c r="ET473" s="98">
        <f t="shared" si="2427"/>
        <v>53607654</v>
      </c>
      <c r="EW473" s="98">
        <f t="shared" ref="EW473:FJ473" si="2428">SUM(EW241,EW279,EW317)</f>
        <v>2039032</v>
      </c>
      <c r="EX473" s="98">
        <f t="shared" si="2428"/>
        <v>52820908</v>
      </c>
      <c r="EY473" s="98">
        <f t="shared" si="2428"/>
        <v>0</v>
      </c>
      <c r="EZ473" s="98">
        <f t="shared" si="2428"/>
        <v>0</v>
      </c>
      <c r="FA473" s="98">
        <f t="shared" si="2428"/>
        <v>11104</v>
      </c>
      <c r="FB473" s="98">
        <f t="shared" si="2428"/>
        <v>205424</v>
      </c>
      <c r="FC473" s="98">
        <f t="shared" si="2428"/>
        <v>1197</v>
      </c>
      <c r="FD473" s="98">
        <f t="shared" si="2428"/>
        <v>25136</v>
      </c>
      <c r="FE473" s="98">
        <f t="shared" si="2428"/>
        <v>3015313</v>
      </c>
      <c r="FF473" s="98">
        <f t="shared" si="2428"/>
        <v>106659122</v>
      </c>
      <c r="FG473" s="98">
        <f t="shared" si="2428"/>
        <v>0</v>
      </c>
      <c r="FH473" s="98">
        <f t="shared" si="2428"/>
        <v>0</v>
      </c>
      <c r="FI473" s="98">
        <f t="shared" si="2428"/>
        <v>360000</v>
      </c>
      <c r="FJ473" s="98">
        <f t="shared" si="2428"/>
        <v>21600000</v>
      </c>
      <c r="FM473" s="98">
        <f t="shared" ref="FM473:FZ473" si="2429">SUM(FM241,FM279,FM317)</f>
        <v>680268</v>
      </c>
      <c r="FN473" s="98">
        <f t="shared" si="2429"/>
        <v>17075895</v>
      </c>
      <c r="FO473" s="98">
        <f t="shared" si="2429"/>
        <v>0</v>
      </c>
      <c r="FP473" s="98">
        <f t="shared" si="2429"/>
        <v>0</v>
      </c>
      <c r="FQ473" s="98">
        <f t="shared" si="2429"/>
        <v>0</v>
      </c>
      <c r="FR473" s="98">
        <f t="shared" si="2429"/>
        <v>0</v>
      </c>
      <c r="FS473" s="98">
        <f t="shared" si="2429"/>
        <v>210625</v>
      </c>
      <c r="FT473" s="98">
        <f t="shared" si="2429"/>
        <v>5897500</v>
      </c>
      <c r="FU473" s="98">
        <f t="shared" si="2429"/>
        <v>1250893</v>
      </c>
      <c r="FV473" s="98">
        <f t="shared" si="2429"/>
        <v>44573395</v>
      </c>
      <c r="FW473" s="98">
        <f t="shared" si="2429"/>
        <v>0</v>
      </c>
      <c r="FX473" s="98">
        <f t="shared" si="2429"/>
        <v>0</v>
      </c>
      <c r="FY473" s="98">
        <f t="shared" si="2429"/>
        <v>0</v>
      </c>
      <c r="FZ473" s="98">
        <f t="shared" si="2429"/>
        <v>0</v>
      </c>
      <c r="GC473" s="98">
        <f t="shared" ref="GC473:GP473" si="2430">SUM(GC241,GC279,GC317)</f>
        <v>881450</v>
      </c>
      <c r="GD473" s="98">
        <f t="shared" si="2430"/>
        <v>17667500</v>
      </c>
      <c r="GE473" s="98">
        <f t="shared" si="2430"/>
        <v>0</v>
      </c>
      <c r="GF473" s="98">
        <f t="shared" si="2430"/>
        <v>0</v>
      </c>
      <c r="GG473" s="98">
        <f t="shared" si="2430"/>
        <v>0</v>
      </c>
      <c r="GH473" s="98">
        <f t="shared" si="2430"/>
        <v>0</v>
      </c>
      <c r="GI473" s="98">
        <f t="shared" si="2430"/>
        <v>0</v>
      </c>
      <c r="GJ473" s="98">
        <f t="shared" si="2430"/>
        <v>0</v>
      </c>
      <c r="GK473" s="98">
        <f t="shared" si="2430"/>
        <v>881450</v>
      </c>
      <c r="GL473" s="98">
        <f t="shared" si="2430"/>
        <v>17667500</v>
      </c>
      <c r="GM473" s="98">
        <f t="shared" si="2430"/>
        <v>0</v>
      </c>
      <c r="GN473" s="98">
        <f t="shared" si="2430"/>
        <v>0</v>
      </c>
      <c r="GO473" s="98">
        <f t="shared" si="2430"/>
        <v>0</v>
      </c>
      <c r="GP473" s="98">
        <f t="shared" si="2430"/>
        <v>0</v>
      </c>
      <c r="GS473" s="98">
        <f t="shared" ref="GS473:HF473" si="2431">SUM(GS241,GS279,GS317)</f>
        <v>430600</v>
      </c>
      <c r="GT473" s="98">
        <f t="shared" si="2431"/>
        <v>8337450</v>
      </c>
      <c r="GU473" s="98">
        <f t="shared" si="2431"/>
        <v>0</v>
      </c>
      <c r="GV473" s="98">
        <f t="shared" si="2431"/>
        <v>0</v>
      </c>
      <c r="GW473" s="98">
        <f t="shared" si="2431"/>
        <v>0</v>
      </c>
      <c r="GX473" s="98">
        <f t="shared" si="2431"/>
        <v>0</v>
      </c>
      <c r="GY473" s="98">
        <f t="shared" si="2431"/>
        <v>390</v>
      </c>
      <c r="GZ473" s="98">
        <f t="shared" si="2431"/>
        <v>11135</v>
      </c>
      <c r="HA473" s="98">
        <f t="shared" si="2431"/>
        <v>430990</v>
      </c>
      <c r="HB473" s="98">
        <f t="shared" si="2431"/>
        <v>8348585</v>
      </c>
      <c r="HC473" s="98">
        <f t="shared" si="2431"/>
        <v>0</v>
      </c>
      <c r="HD473" s="98">
        <f t="shared" si="2431"/>
        <v>0</v>
      </c>
      <c r="HE473" s="98">
        <f t="shared" si="2431"/>
        <v>425000</v>
      </c>
      <c r="HF473" s="98">
        <f t="shared" si="2431"/>
        <v>29750000</v>
      </c>
      <c r="HI473" s="98">
        <f t="shared" ref="HI473:HV473" si="2432">SUM(HI241,HI279,HI317)</f>
        <v>1682000</v>
      </c>
      <c r="HJ473" s="98">
        <f t="shared" si="2432"/>
        <v>30770000</v>
      </c>
      <c r="HK473" s="98">
        <f t="shared" si="2432"/>
        <v>0</v>
      </c>
      <c r="HL473" s="98">
        <f t="shared" si="2432"/>
        <v>0</v>
      </c>
      <c r="HM473" s="98">
        <f t="shared" si="2432"/>
        <v>0</v>
      </c>
      <c r="HN473" s="98">
        <f t="shared" si="2432"/>
        <v>0</v>
      </c>
      <c r="HO473" s="98">
        <f t="shared" si="2432"/>
        <v>310000</v>
      </c>
      <c r="HP473" s="98">
        <f t="shared" si="2432"/>
        <v>6200000</v>
      </c>
      <c r="HQ473" s="98">
        <f t="shared" si="2432"/>
        <v>2417000</v>
      </c>
      <c r="HR473" s="98">
        <f t="shared" si="2432"/>
        <v>66720000</v>
      </c>
      <c r="HS473" s="98">
        <f t="shared" si="2432"/>
        <v>0</v>
      </c>
      <c r="HT473" s="98">
        <f t="shared" si="2432"/>
        <v>0</v>
      </c>
      <c r="HU473" s="98">
        <f t="shared" si="2432"/>
        <v>0</v>
      </c>
      <c r="HV473" s="98">
        <f t="shared" si="2432"/>
        <v>0</v>
      </c>
      <c r="HY473" s="98">
        <f t="shared" ref="HY473:IL473" si="2433">SUM(HY241,HY279,HY317)</f>
        <v>446698</v>
      </c>
      <c r="HZ473" s="98">
        <f t="shared" si="2433"/>
        <v>8461614</v>
      </c>
      <c r="IA473" s="98">
        <f t="shared" si="2433"/>
        <v>0</v>
      </c>
      <c r="IB473" s="98">
        <f t="shared" si="2433"/>
        <v>0</v>
      </c>
      <c r="IC473" s="98">
        <f t="shared" si="2433"/>
        <v>800</v>
      </c>
      <c r="ID473" s="98">
        <f t="shared" si="2433"/>
        <v>22400</v>
      </c>
      <c r="IE473" s="98">
        <f t="shared" si="2433"/>
        <v>0</v>
      </c>
      <c r="IF473" s="98">
        <f t="shared" si="2433"/>
        <v>0</v>
      </c>
      <c r="IG473" s="98">
        <f t="shared" si="2433"/>
        <v>447498</v>
      </c>
      <c r="IH473" s="98">
        <f t="shared" si="2433"/>
        <v>8484014</v>
      </c>
      <c r="II473" s="98">
        <f t="shared" si="2433"/>
        <v>0</v>
      </c>
      <c r="IJ473" s="98">
        <f t="shared" si="2433"/>
        <v>0</v>
      </c>
      <c r="IK473" s="98">
        <f t="shared" si="2433"/>
        <v>0</v>
      </c>
      <c r="IL473" s="98">
        <f t="shared" si="2433"/>
        <v>0</v>
      </c>
      <c r="IO473" s="98">
        <f t="shared" ref="IO473:JB473" si="2434">SUM(IO241,IO279,IO317)</f>
        <v>2520000</v>
      </c>
      <c r="IP473" s="98">
        <f t="shared" si="2434"/>
        <v>48442539</v>
      </c>
      <c r="IQ473" s="98">
        <f t="shared" si="2434"/>
        <v>0</v>
      </c>
      <c r="IR473" s="98">
        <f t="shared" si="2434"/>
        <v>0</v>
      </c>
      <c r="IS473" s="98">
        <f t="shared" si="2434"/>
        <v>0</v>
      </c>
      <c r="IT473" s="98">
        <f t="shared" si="2434"/>
        <v>0</v>
      </c>
      <c r="IU473" s="98">
        <f t="shared" si="2434"/>
        <v>0</v>
      </c>
      <c r="IV473" s="98">
        <f t="shared" si="2434"/>
        <v>0</v>
      </c>
      <c r="IW473" s="98">
        <f t="shared" si="2434"/>
        <v>2520000</v>
      </c>
      <c r="IX473" s="98">
        <f t="shared" si="2434"/>
        <v>48442539</v>
      </c>
      <c r="IY473" s="98">
        <f t="shared" si="2434"/>
        <v>0</v>
      </c>
      <c r="IZ473" s="98">
        <f t="shared" si="2434"/>
        <v>0</v>
      </c>
      <c r="JA473" s="98">
        <f t="shared" si="2434"/>
        <v>0</v>
      </c>
      <c r="JB473" s="98">
        <f t="shared" si="2434"/>
        <v>0</v>
      </c>
      <c r="JE473" s="98">
        <f t="shared" ref="JE473:JR473" si="2435">SUM(JE241,JE279,JE317)</f>
        <v>1113152</v>
      </c>
      <c r="JF473" s="98">
        <f t="shared" si="2435"/>
        <v>21152144</v>
      </c>
      <c r="JG473" s="98">
        <f t="shared" si="2435"/>
        <v>0</v>
      </c>
      <c r="JH473" s="98">
        <f t="shared" si="2435"/>
        <v>0</v>
      </c>
      <c r="JI473" s="98">
        <f t="shared" si="2435"/>
        <v>0</v>
      </c>
      <c r="JJ473" s="98">
        <f t="shared" si="2435"/>
        <v>0</v>
      </c>
      <c r="JK473" s="98">
        <f t="shared" si="2435"/>
        <v>27860</v>
      </c>
      <c r="JL473" s="98">
        <f t="shared" si="2435"/>
        <v>521570</v>
      </c>
      <c r="JM473" s="98">
        <f t="shared" si="2435"/>
        <v>1141012</v>
      </c>
      <c r="JN473" s="98">
        <f t="shared" si="2435"/>
        <v>21673714</v>
      </c>
      <c r="JO473" s="98">
        <f t="shared" si="2435"/>
        <v>0</v>
      </c>
      <c r="JP473" s="98">
        <f t="shared" si="2435"/>
        <v>0</v>
      </c>
      <c r="JQ473" s="98">
        <f t="shared" si="2435"/>
        <v>496821</v>
      </c>
      <c r="JR473" s="98">
        <f t="shared" si="2435"/>
        <v>39770680</v>
      </c>
      <c r="JU473" s="98">
        <f t="shared" ref="JU473:KH473" si="2436">SUM(JU241,JU279,JU317)</f>
        <v>245090</v>
      </c>
      <c r="JV473" s="98">
        <f t="shared" si="2436"/>
        <v>6352654</v>
      </c>
      <c r="JW473" s="98">
        <f t="shared" si="2436"/>
        <v>0</v>
      </c>
      <c r="JX473" s="98">
        <f t="shared" si="2436"/>
        <v>0</v>
      </c>
      <c r="JY473" s="98">
        <f t="shared" si="2436"/>
        <v>0</v>
      </c>
      <c r="JZ473" s="98">
        <f t="shared" si="2436"/>
        <v>0</v>
      </c>
      <c r="KA473" s="98">
        <f t="shared" si="2436"/>
        <v>0</v>
      </c>
      <c r="KB473" s="98">
        <f t="shared" si="2436"/>
        <v>0</v>
      </c>
      <c r="KC473" s="98">
        <f t="shared" si="2436"/>
        <v>741911</v>
      </c>
      <c r="KD473" s="98">
        <f t="shared" si="2436"/>
        <v>46123334</v>
      </c>
      <c r="KE473" s="98">
        <f t="shared" si="2436"/>
        <v>0</v>
      </c>
      <c r="KF473" s="98">
        <f t="shared" si="2436"/>
        <v>0</v>
      </c>
      <c r="KG473" s="98">
        <f t="shared" si="2436"/>
        <v>111994</v>
      </c>
      <c r="KH473" s="98">
        <f t="shared" si="2436"/>
        <v>7175374</v>
      </c>
      <c r="KK473" s="98">
        <f t="shared" ref="KK473:KX473" si="2437">SUM(KK241,KK279,KK317)</f>
        <v>178016</v>
      </c>
      <c r="KL473" s="98">
        <f t="shared" si="2437"/>
        <v>3576265</v>
      </c>
      <c r="KM473" s="98">
        <f t="shared" si="2437"/>
        <v>0</v>
      </c>
      <c r="KN473" s="98">
        <f t="shared" si="2437"/>
        <v>0</v>
      </c>
      <c r="KO473" s="98">
        <f t="shared" si="2437"/>
        <v>0</v>
      </c>
      <c r="KP473" s="98">
        <f t="shared" si="2437"/>
        <v>0</v>
      </c>
      <c r="KQ473" s="98">
        <f t="shared" si="2437"/>
        <v>0</v>
      </c>
      <c r="KR473" s="98">
        <f t="shared" si="2437"/>
        <v>0</v>
      </c>
      <c r="KS473" s="107">
        <f t="shared" si="2437"/>
        <v>290010</v>
      </c>
      <c r="KT473" s="107">
        <f t="shared" si="2437"/>
        <v>10751639</v>
      </c>
      <c r="KU473" s="98">
        <f t="shared" si="2437"/>
        <v>0</v>
      </c>
      <c r="KV473" s="98">
        <f t="shared" si="2437"/>
        <v>0</v>
      </c>
      <c r="KW473" s="98">
        <f t="shared" si="2437"/>
        <v>2969482.66</v>
      </c>
      <c r="KX473" s="98">
        <f t="shared" si="2437"/>
        <v>39055107</v>
      </c>
      <c r="LA473" s="98">
        <f t="shared" ref="LA473:LN473" si="2438">SUM(LA241,LA279,LA317)</f>
        <v>3877398.49</v>
      </c>
      <c r="LB473" s="98">
        <f t="shared" si="2438"/>
        <v>70139968</v>
      </c>
      <c r="LC473" s="98">
        <f t="shared" si="2438"/>
        <v>0</v>
      </c>
      <c r="LD473" s="98">
        <f t="shared" si="2438"/>
        <v>0</v>
      </c>
      <c r="LE473" s="98">
        <f t="shared" si="2438"/>
        <v>0</v>
      </c>
      <c r="LF473" s="98">
        <f t="shared" si="2438"/>
        <v>0</v>
      </c>
      <c r="LG473" s="98">
        <f t="shared" si="2438"/>
        <v>33438.239999999998</v>
      </c>
      <c r="LH473" s="98">
        <f t="shared" si="2438"/>
        <v>785820</v>
      </c>
      <c r="LI473" s="98">
        <f t="shared" si="2438"/>
        <v>6880319.3899999997</v>
      </c>
      <c r="LJ473" s="98">
        <f t="shared" si="2438"/>
        <v>109980895</v>
      </c>
      <c r="LK473" s="98">
        <f t="shared" si="2438"/>
        <v>0</v>
      </c>
      <c r="LL473" s="98">
        <f t="shared" si="2438"/>
        <v>0</v>
      </c>
      <c r="LM473" s="98">
        <f t="shared" si="2438"/>
        <v>0</v>
      </c>
      <c r="LN473" s="98">
        <f t="shared" si="2438"/>
        <v>0</v>
      </c>
      <c r="LQ473" s="98">
        <f t="shared" ref="LQ473:MD473" si="2439">SUM(LQ241,LQ279,LQ317)</f>
        <v>513845</v>
      </c>
      <c r="LR473" s="98">
        <f t="shared" si="2439"/>
        <v>10407826</v>
      </c>
      <c r="LS473" s="98">
        <f t="shared" si="2439"/>
        <v>0</v>
      </c>
      <c r="LT473" s="98">
        <f t="shared" si="2439"/>
        <v>0</v>
      </c>
      <c r="LU473" s="98">
        <f t="shared" si="2439"/>
        <v>0</v>
      </c>
      <c r="LV473" s="98">
        <f t="shared" si="2439"/>
        <v>0</v>
      </c>
      <c r="LW473" s="98">
        <f t="shared" si="2439"/>
        <v>2731</v>
      </c>
      <c r="LX473" s="98">
        <f t="shared" si="2439"/>
        <v>87392</v>
      </c>
      <c r="LY473" s="98">
        <f t="shared" si="2439"/>
        <v>516576</v>
      </c>
      <c r="LZ473" s="98">
        <f t="shared" si="2439"/>
        <v>10495218</v>
      </c>
      <c r="MA473" s="98">
        <f t="shared" si="2439"/>
        <v>88650</v>
      </c>
      <c r="MB473" s="98">
        <f t="shared" si="2439"/>
        <v>7535250</v>
      </c>
      <c r="MC473" s="98">
        <f t="shared" si="2439"/>
        <v>3716888</v>
      </c>
      <c r="MD473" s="98">
        <f t="shared" si="2439"/>
        <v>175824930</v>
      </c>
      <c r="MG473" s="98">
        <f t="shared" ref="MG473:MT473" si="2440">SUM(MG241,MG279,MG317)</f>
        <v>216960</v>
      </c>
      <c r="MH473" s="98">
        <f t="shared" si="2440"/>
        <v>4013945</v>
      </c>
      <c r="MI473" s="98">
        <f t="shared" si="2440"/>
        <v>0</v>
      </c>
      <c r="MJ473" s="98">
        <f t="shared" si="2440"/>
        <v>0</v>
      </c>
      <c r="MK473" s="98">
        <f t="shared" si="2440"/>
        <v>0</v>
      </c>
      <c r="ML473" s="98">
        <f t="shared" si="2440"/>
        <v>0</v>
      </c>
      <c r="MM473" s="98">
        <f t="shared" si="2440"/>
        <v>4710</v>
      </c>
      <c r="MN473" s="98">
        <f t="shared" si="2440"/>
        <v>84780</v>
      </c>
      <c r="MO473" s="98">
        <f t="shared" si="2440"/>
        <v>4027208</v>
      </c>
      <c r="MP473" s="98">
        <f t="shared" si="2440"/>
        <v>187458905</v>
      </c>
      <c r="MQ473" s="98">
        <f t="shared" si="2440"/>
        <v>0</v>
      </c>
      <c r="MR473" s="98">
        <f t="shared" si="2440"/>
        <v>0</v>
      </c>
      <c r="MS473" s="98">
        <f t="shared" si="2440"/>
        <v>96370</v>
      </c>
      <c r="MT473" s="98">
        <f t="shared" si="2440"/>
        <v>4067600</v>
      </c>
      <c r="MW473" s="98">
        <f t="shared" ref="MW473:NJ473" si="2441">SUM(MW241,MW279,MW317)</f>
        <v>51000</v>
      </c>
      <c r="MX473" s="98">
        <f t="shared" si="2441"/>
        <v>1173000</v>
      </c>
      <c r="MY473" s="98">
        <f t="shared" si="2441"/>
        <v>0</v>
      </c>
      <c r="MZ473" s="98">
        <f t="shared" si="2441"/>
        <v>0</v>
      </c>
      <c r="NA473" s="98">
        <f t="shared" si="2441"/>
        <v>0</v>
      </c>
      <c r="NB473" s="98">
        <f t="shared" si="2441"/>
        <v>0</v>
      </c>
      <c r="NC473" s="98">
        <f t="shared" si="2441"/>
        <v>0</v>
      </c>
      <c r="ND473" s="98">
        <f t="shared" si="2441"/>
        <v>0</v>
      </c>
      <c r="NE473" s="98">
        <f t="shared" si="2441"/>
        <v>147370</v>
      </c>
      <c r="NF473" s="98">
        <f t="shared" si="2441"/>
        <v>5240600</v>
      </c>
      <c r="NG473" s="98">
        <f t="shared" si="2441"/>
        <v>0</v>
      </c>
      <c r="NH473" s="98">
        <f t="shared" si="2441"/>
        <v>0</v>
      </c>
      <c r="NI473" s="98">
        <f t="shared" si="2441"/>
        <v>25853300</v>
      </c>
      <c r="NJ473" s="98">
        <f t="shared" si="2441"/>
        <v>592322410</v>
      </c>
      <c r="NM473" s="98">
        <f t="shared" ref="NM473:NZ473" si="2442">SUM(NM241,NM279,NM317)</f>
        <v>6058800</v>
      </c>
      <c r="NN473" s="98">
        <f t="shared" si="2442"/>
        <v>97720600</v>
      </c>
      <c r="NO473" s="98">
        <f t="shared" si="2442"/>
        <v>0</v>
      </c>
      <c r="NP473" s="98">
        <f t="shared" si="2442"/>
        <v>0</v>
      </c>
      <c r="NQ473" s="98">
        <f t="shared" si="2442"/>
        <v>72604</v>
      </c>
      <c r="NR473" s="98">
        <f t="shared" si="2442"/>
        <v>1316992</v>
      </c>
      <c r="NS473" s="98">
        <f t="shared" si="2442"/>
        <v>0</v>
      </c>
      <c r="NT473" s="98">
        <f t="shared" si="2442"/>
        <v>0</v>
      </c>
      <c r="NU473" s="98">
        <f t="shared" si="2442"/>
        <v>31984704</v>
      </c>
      <c r="NV473" s="98">
        <f t="shared" si="2442"/>
        <v>691360002</v>
      </c>
      <c r="NW473" s="98">
        <f t="shared" si="2442"/>
        <v>14580</v>
      </c>
      <c r="NX473" s="98">
        <f t="shared" si="2442"/>
        <v>591500</v>
      </c>
      <c r="NY473" s="98">
        <f t="shared" si="2442"/>
        <v>2947935</v>
      </c>
      <c r="NZ473" s="98">
        <f t="shared" si="2442"/>
        <v>147230579</v>
      </c>
      <c r="OC473" s="98">
        <f t="shared" ref="OC473:OP473" si="2443">SUM(OC241,OC279,OC317)</f>
        <v>133895</v>
      </c>
      <c r="OD473" s="98">
        <f t="shared" si="2443"/>
        <v>2555555</v>
      </c>
      <c r="OE473" s="98">
        <f t="shared" si="2443"/>
        <v>0</v>
      </c>
      <c r="OF473" s="98">
        <f t="shared" si="2443"/>
        <v>0</v>
      </c>
      <c r="OG473" s="98">
        <f t="shared" si="2443"/>
        <v>0</v>
      </c>
      <c r="OH473" s="98">
        <f t="shared" si="2443"/>
        <v>0</v>
      </c>
      <c r="OI473" s="98">
        <f t="shared" si="2443"/>
        <v>0</v>
      </c>
      <c r="OJ473" s="98">
        <f t="shared" si="2443"/>
        <v>0</v>
      </c>
      <c r="OK473" s="98">
        <f t="shared" si="2443"/>
        <v>3096410</v>
      </c>
      <c r="OL473" s="98">
        <f t="shared" si="2443"/>
        <v>150377634</v>
      </c>
      <c r="OM473" s="98">
        <f t="shared" si="2443"/>
        <v>222997002</v>
      </c>
      <c r="ON473" s="98">
        <f t="shared" si="2443"/>
        <v>1154648400</v>
      </c>
      <c r="OO473" s="98">
        <f t="shared" si="2443"/>
        <v>2915240</v>
      </c>
      <c r="OP473" s="98">
        <f t="shared" si="2443"/>
        <v>176128314.99999997</v>
      </c>
      <c r="OS473" s="98">
        <f t="shared" ref="OS473:PF473" si="2444">SUM(OS241,OS279,OS317)</f>
        <v>2230122.7000000002</v>
      </c>
      <c r="OT473" s="98">
        <f t="shared" si="2444"/>
        <v>17082026.200000003</v>
      </c>
      <c r="OU473" s="98">
        <f t="shared" si="2444"/>
        <v>0</v>
      </c>
      <c r="OV473" s="98">
        <f t="shared" si="2444"/>
        <v>0</v>
      </c>
      <c r="OW473" s="98">
        <f t="shared" si="2444"/>
        <v>0</v>
      </c>
      <c r="OX473" s="98">
        <f t="shared" si="2444"/>
        <v>0</v>
      </c>
      <c r="OY473" s="98">
        <f t="shared" si="2444"/>
        <v>0</v>
      </c>
      <c r="OZ473" s="98">
        <f t="shared" si="2444"/>
        <v>0</v>
      </c>
      <c r="PA473" s="98">
        <f t="shared" si="2444"/>
        <v>228142364.69999999</v>
      </c>
      <c r="PB473" s="98">
        <f t="shared" si="2444"/>
        <v>1347858741.1999998</v>
      </c>
      <c r="PC473" s="98">
        <f t="shared" si="2444"/>
        <v>705</v>
      </c>
      <c r="PD473" s="98">
        <f t="shared" si="2444"/>
        <v>72345</v>
      </c>
      <c r="PE473" s="98">
        <f t="shared" si="2444"/>
        <v>49997</v>
      </c>
      <c r="PF473" s="98">
        <f t="shared" si="2444"/>
        <v>3249805</v>
      </c>
      <c r="PI473" s="98">
        <f t="shared" ref="PI473:PV473" si="2445">SUM(PI241,PI279,PI317)</f>
        <v>1185743</v>
      </c>
      <c r="PJ473" s="98">
        <f t="shared" si="2445"/>
        <v>21373000</v>
      </c>
      <c r="PK473" s="98">
        <f t="shared" si="2445"/>
        <v>0</v>
      </c>
      <c r="PL473" s="98">
        <f t="shared" si="2445"/>
        <v>0</v>
      </c>
      <c r="PM473" s="98">
        <f t="shared" si="2445"/>
        <v>0</v>
      </c>
      <c r="PN473" s="98">
        <f t="shared" si="2445"/>
        <v>0</v>
      </c>
      <c r="PO473" s="98">
        <f t="shared" si="2445"/>
        <v>0</v>
      </c>
      <c r="PP473" s="98">
        <f t="shared" si="2445"/>
        <v>0</v>
      </c>
      <c r="PQ473" s="98">
        <f t="shared" si="2445"/>
        <v>1236445</v>
      </c>
      <c r="PR473" s="98">
        <f t="shared" si="2445"/>
        <v>24695150</v>
      </c>
      <c r="PS473" s="98">
        <f t="shared" si="2445"/>
        <v>570</v>
      </c>
      <c r="PT473" s="98">
        <f t="shared" si="2445"/>
        <v>62700</v>
      </c>
      <c r="PU473" s="98">
        <f t="shared" si="2445"/>
        <v>3481160</v>
      </c>
      <c r="PV473" s="98">
        <f t="shared" si="2445"/>
        <v>150191590</v>
      </c>
      <c r="PY473" s="98">
        <f t="shared" ref="PY473:QL473" si="2446">SUM(PY241,PY279,PY317)</f>
        <v>3144510</v>
      </c>
      <c r="PZ473" s="98">
        <f t="shared" si="2446"/>
        <v>56775615</v>
      </c>
      <c r="QA473" s="98">
        <f t="shared" si="2446"/>
        <v>2099590</v>
      </c>
      <c r="QB473" s="98">
        <f t="shared" si="2446"/>
        <v>63263760</v>
      </c>
      <c r="QC473" s="98">
        <f t="shared" si="2446"/>
        <v>1048840</v>
      </c>
      <c r="QD473" s="98">
        <f t="shared" si="2446"/>
        <v>19092130</v>
      </c>
      <c r="QE473" s="98">
        <f t="shared" si="2446"/>
        <v>0</v>
      </c>
      <c r="QF473" s="98">
        <f t="shared" si="2446"/>
        <v>0</v>
      </c>
      <c r="QG473" s="107">
        <f t="shared" si="2446"/>
        <v>9774670</v>
      </c>
      <c r="QH473" s="107">
        <f t="shared" si="2446"/>
        <v>289385795</v>
      </c>
      <c r="QI473" s="98">
        <f t="shared" si="2446"/>
        <v>0</v>
      </c>
      <c r="QJ473" s="98">
        <f t="shared" si="2446"/>
        <v>0</v>
      </c>
      <c r="QK473" s="98">
        <f t="shared" si="2446"/>
        <v>0</v>
      </c>
      <c r="QL473" s="98">
        <f t="shared" si="2446"/>
        <v>0</v>
      </c>
      <c r="QO473" s="98">
        <f t="shared" ref="QO473:RB473" si="2447">SUM(QO241,QO279,QO317)</f>
        <v>13208500</v>
      </c>
      <c r="QP473" s="98">
        <f t="shared" si="2447"/>
        <v>265912500</v>
      </c>
      <c r="QQ473" s="98">
        <f t="shared" si="2447"/>
        <v>0</v>
      </c>
      <c r="QR473" s="98">
        <f t="shared" si="2447"/>
        <v>0</v>
      </c>
      <c r="QS473" s="98">
        <f t="shared" si="2447"/>
        <v>0</v>
      </c>
      <c r="QT473" s="98">
        <f t="shared" si="2447"/>
        <v>0</v>
      </c>
      <c r="QU473" s="98">
        <f t="shared" si="2447"/>
        <v>0</v>
      </c>
      <c r="QV473" s="98">
        <f t="shared" si="2447"/>
        <v>0</v>
      </c>
      <c r="QW473" s="98">
        <f t="shared" si="2447"/>
        <v>13208500</v>
      </c>
      <c r="QX473" s="98">
        <f t="shared" si="2447"/>
        <v>265912500</v>
      </c>
      <c r="QY473" s="98">
        <f t="shared" si="2447"/>
        <v>0</v>
      </c>
      <c r="QZ473" s="98">
        <f t="shared" si="2447"/>
        <v>0</v>
      </c>
      <c r="RA473" s="98">
        <f t="shared" si="2447"/>
        <v>0</v>
      </c>
      <c r="RB473" s="98">
        <f t="shared" si="2447"/>
        <v>0</v>
      </c>
      <c r="RE473" s="98">
        <f t="shared" ref="RE473:RR473" si="2448">SUM(RE241,RE279,RE317)</f>
        <v>16883</v>
      </c>
      <c r="RF473" s="98">
        <f t="shared" si="2448"/>
        <v>405511</v>
      </c>
      <c r="RG473" s="98">
        <f t="shared" si="2448"/>
        <v>0</v>
      </c>
      <c r="RH473" s="98">
        <f t="shared" si="2448"/>
        <v>0</v>
      </c>
      <c r="RI473" s="98">
        <f t="shared" si="2448"/>
        <v>0</v>
      </c>
      <c r="RJ473" s="98">
        <f t="shared" si="2448"/>
        <v>0</v>
      </c>
      <c r="RK473" s="98">
        <f t="shared" si="2448"/>
        <v>0</v>
      </c>
      <c r="RL473" s="98">
        <f t="shared" si="2448"/>
        <v>0</v>
      </c>
      <c r="RM473" s="98">
        <f t="shared" si="2448"/>
        <v>16883</v>
      </c>
      <c r="RN473" s="98">
        <f t="shared" si="2448"/>
        <v>405511</v>
      </c>
      <c r="RO473" s="98">
        <f t="shared" si="2448"/>
        <v>0</v>
      </c>
      <c r="RP473" s="98">
        <f t="shared" si="2448"/>
        <v>0</v>
      </c>
      <c r="RQ473" s="98">
        <f t="shared" si="2448"/>
        <v>0</v>
      </c>
      <c r="RR473" s="98">
        <f t="shared" si="2448"/>
        <v>0</v>
      </c>
      <c r="RU473" s="98">
        <f t="shared" ref="RU473:SH473" si="2449">SUM(RU241,RU279,RU317)</f>
        <v>61140</v>
      </c>
      <c r="RV473" s="98">
        <f t="shared" si="2449"/>
        <v>1339425</v>
      </c>
      <c r="RW473" s="98">
        <f t="shared" si="2449"/>
        <v>0</v>
      </c>
      <c r="RX473" s="98">
        <f t="shared" si="2449"/>
        <v>0</v>
      </c>
      <c r="RY473" s="98">
        <f t="shared" si="2449"/>
        <v>0</v>
      </c>
      <c r="RZ473" s="98">
        <f t="shared" si="2449"/>
        <v>0</v>
      </c>
      <c r="SA473" s="98">
        <f t="shared" si="2449"/>
        <v>0</v>
      </c>
      <c r="SB473" s="98">
        <f t="shared" si="2449"/>
        <v>0</v>
      </c>
      <c r="SC473" s="98">
        <f t="shared" si="2449"/>
        <v>61140</v>
      </c>
      <c r="SD473" s="98">
        <f t="shared" si="2449"/>
        <v>1339425</v>
      </c>
      <c r="SE473" s="98">
        <f t="shared" si="2449"/>
        <v>0</v>
      </c>
      <c r="SF473" s="98">
        <f t="shared" si="2449"/>
        <v>0</v>
      </c>
      <c r="SG473" s="98">
        <f t="shared" si="2449"/>
        <v>0</v>
      </c>
      <c r="SH473" s="98">
        <f t="shared" si="2449"/>
        <v>0</v>
      </c>
      <c r="SK473" s="98">
        <f t="shared" ref="SK473:SX473" si="2450">SUM(SK241,SK279,SK317)</f>
        <v>46300</v>
      </c>
      <c r="SL473" s="98">
        <f t="shared" si="2450"/>
        <v>896950</v>
      </c>
      <c r="SM473" s="98">
        <f t="shared" si="2450"/>
        <v>0</v>
      </c>
      <c r="SN473" s="98">
        <f t="shared" si="2450"/>
        <v>0</v>
      </c>
      <c r="SO473" s="98">
        <f t="shared" si="2450"/>
        <v>0</v>
      </c>
      <c r="SP473" s="98">
        <f t="shared" si="2450"/>
        <v>0</v>
      </c>
      <c r="SQ473" s="98">
        <f t="shared" si="2450"/>
        <v>0</v>
      </c>
      <c r="SR473" s="98">
        <f t="shared" si="2450"/>
        <v>0</v>
      </c>
      <c r="SS473" s="98">
        <f t="shared" si="2450"/>
        <v>46300</v>
      </c>
      <c r="ST473" s="98">
        <f t="shared" si="2450"/>
        <v>896950</v>
      </c>
      <c r="SU473" s="98">
        <f t="shared" si="2450"/>
        <v>0</v>
      </c>
      <c r="SV473" s="98">
        <f t="shared" si="2450"/>
        <v>0</v>
      </c>
      <c r="SW473" s="98">
        <f t="shared" si="2450"/>
        <v>0</v>
      </c>
      <c r="SX473" s="98">
        <f t="shared" si="2450"/>
        <v>0</v>
      </c>
      <c r="TA473" s="98">
        <f t="shared" ref="TA473:TN473" si="2451">SUM(TA241,TA279,TA317)</f>
        <v>55365</v>
      </c>
      <c r="TB473" s="98">
        <f t="shared" si="2451"/>
        <v>1204346</v>
      </c>
      <c r="TC473" s="98">
        <f t="shared" si="2451"/>
        <v>0</v>
      </c>
      <c r="TD473" s="98">
        <f t="shared" si="2451"/>
        <v>0</v>
      </c>
      <c r="TE473" s="98">
        <f t="shared" si="2451"/>
        <v>0</v>
      </c>
      <c r="TF473" s="98">
        <f t="shared" si="2451"/>
        <v>0</v>
      </c>
      <c r="TG473" s="98">
        <f t="shared" si="2451"/>
        <v>0</v>
      </c>
      <c r="TH473" s="98">
        <f t="shared" si="2451"/>
        <v>0</v>
      </c>
      <c r="TI473" s="98">
        <f t="shared" si="2451"/>
        <v>55365</v>
      </c>
      <c r="TJ473" s="98">
        <f t="shared" si="2451"/>
        <v>1204346</v>
      </c>
      <c r="TK473" s="98">
        <f t="shared" si="2451"/>
        <v>0</v>
      </c>
      <c r="TL473" s="98">
        <f t="shared" si="2451"/>
        <v>0</v>
      </c>
      <c r="TM473" s="98">
        <f t="shared" si="2451"/>
        <v>0</v>
      </c>
      <c r="TN473" s="98">
        <f t="shared" si="2451"/>
        <v>0</v>
      </c>
      <c r="TQ473" s="98">
        <f t="shared" ref="TQ473:UD473" si="2452">SUM(TQ241,TQ279,TQ317)</f>
        <v>22800</v>
      </c>
      <c r="TR473" s="98">
        <f t="shared" si="2452"/>
        <v>462000</v>
      </c>
      <c r="TS473" s="98">
        <f t="shared" si="2452"/>
        <v>0</v>
      </c>
      <c r="TT473" s="98">
        <f t="shared" si="2452"/>
        <v>0</v>
      </c>
      <c r="TU473" s="98">
        <f t="shared" si="2452"/>
        <v>2200</v>
      </c>
      <c r="TV473" s="98">
        <f t="shared" si="2452"/>
        <v>72500</v>
      </c>
      <c r="TW473" s="98">
        <f t="shared" si="2452"/>
        <v>0</v>
      </c>
      <c r="TX473" s="98">
        <f t="shared" si="2452"/>
        <v>0</v>
      </c>
      <c r="TY473" s="98">
        <f t="shared" si="2452"/>
        <v>25000</v>
      </c>
      <c r="TZ473" s="98">
        <f t="shared" si="2452"/>
        <v>534500</v>
      </c>
      <c r="UA473" s="98">
        <f t="shared" si="2452"/>
        <v>0</v>
      </c>
      <c r="UB473" s="98">
        <f t="shared" si="2452"/>
        <v>0</v>
      </c>
      <c r="UC473" s="98">
        <f t="shared" si="2452"/>
        <v>0</v>
      </c>
      <c r="UD473" s="98">
        <f t="shared" si="2452"/>
        <v>0</v>
      </c>
      <c r="UG473" s="98">
        <f t="shared" ref="UG473:UT473" si="2453">SUM(UG241,UG279,UG317)</f>
        <v>56868</v>
      </c>
      <c r="UH473" s="98">
        <f t="shared" si="2453"/>
        <v>1040735</v>
      </c>
      <c r="UI473" s="98">
        <f t="shared" si="2453"/>
        <v>0</v>
      </c>
      <c r="UJ473" s="98">
        <f t="shared" si="2453"/>
        <v>0</v>
      </c>
      <c r="UK473" s="98">
        <f t="shared" si="2453"/>
        <v>0</v>
      </c>
      <c r="UL473" s="98">
        <f t="shared" si="2453"/>
        <v>0</v>
      </c>
      <c r="UM473" s="98">
        <f t="shared" si="2453"/>
        <v>0</v>
      </c>
      <c r="UN473" s="98">
        <f t="shared" si="2453"/>
        <v>0</v>
      </c>
      <c r="UO473" s="98">
        <f t="shared" si="2453"/>
        <v>56868</v>
      </c>
      <c r="UP473" s="98">
        <f t="shared" si="2453"/>
        <v>1040735</v>
      </c>
      <c r="UQ473" s="98">
        <f t="shared" si="2453"/>
        <v>0</v>
      </c>
      <c r="UR473" s="98">
        <f t="shared" si="2453"/>
        <v>0</v>
      </c>
      <c r="US473" s="98">
        <f t="shared" si="2453"/>
        <v>730900</v>
      </c>
      <c r="UT473" s="98">
        <f t="shared" si="2453"/>
        <v>5333417</v>
      </c>
      <c r="UW473" s="98">
        <f t="shared" ref="UW473:VJ473" si="2454">SUM(UW241,UW279,UW317)</f>
        <v>5277</v>
      </c>
      <c r="UX473" s="98">
        <f t="shared" si="2454"/>
        <v>101680</v>
      </c>
      <c r="UY473" s="98">
        <f t="shared" si="2454"/>
        <v>0</v>
      </c>
      <c r="UZ473" s="98">
        <f t="shared" si="2454"/>
        <v>0</v>
      </c>
      <c r="VA473" s="98">
        <f t="shared" si="2454"/>
        <v>0</v>
      </c>
      <c r="VB473" s="98">
        <f t="shared" si="2454"/>
        <v>0</v>
      </c>
      <c r="VC473" s="98">
        <f t="shared" si="2454"/>
        <v>0</v>
      </c>
      <c r="VD473" s="98">
        <f t="shared" si="2454"/>
        <v>0</v>
      </c>
      <c r="VE473" s="98">
        <f t="shared" si="2454"/>
        <v>736177</v>
      </c>
      <c r="VF473" s="98">
        <f t="shared" si="2454"/>
        <v>5435097</v>
      </c>
      <c r="VG473" s="98">
        <f t="shared" si="2454"/>
        <v>0</v>
      </c>
      <c r="VH473" s="98">
        <f t="shared" si="2454"/>
        <v>0</v>
      </c>
      <c r="VI473" s="98">
        <f t="shared" si="2454"/>
        <v>18305</v>
      </c>
      <c r="VJ473" s="98">
        <f t="shared" si="2454"/>
        <v>849679</v>
      </c>
      <c r="VM473" s="98">
        <f t="shared" ref="VM473:VZ473" si="2455">SUM(VM241,VM279,VM317)</f>
        <v>41301</v>
      </c>
      <c r="VN473" s="98">
        <f t="shared" si="2455"/>
        <v>835281</v>
      </c>
      <c r="VO473" s="98">
        <f t="shared" si="2455"/>
        <v>0</v>
      </c>
      <c r="VP473" s="98">
        <f t="shared" si="2455"/>
        <v>0</v>
      </c>
      <c r="VQ473" s="98">
        <f t="shared" si="2455"/>
        <v>0</v>
      </c>
      <c r="VR473" s="98">
        <f t="shared" si="2455"/>
        <v>0</v>
      </c>
      <c r="VS473" s="98">
        <f t="shared" si="2455"/>
        <v>0</v>
      </c>
      <c r="VT473" s="98">
        <f t="shared" si="2455"/>
        <v>0</v>
      </c>
      <c r="VU473" s="98">
        <f t="shared" si="2455"/>
        <v>59606</v>
      </c>
      <c r="VV473" s="98">
        <f t="shared" si="2455"/>
        <v>1684960</v>
      </c>
      <c r="VW473" s="98">
        <f t="shared" si="2455"/>
        <v>0</v>
      </c>
      <c r="VX473" s="98">
        <f t="shared" si="2455"/>
        <v>0</v>
      </c>
      <c r="VY473" s="98">
        <f t="shared" si="2455"/>
        <v>1181320</v>
      </c>
      <c r="VZ473" s="98">
        <f t="shared" si="2455"/>
        <v>40065480</v>
      </c>
      <c r="WC473" s="98">
        <f t="shared" ref="WC473:WL473" si="2456">SUM(WC241,WC279,WC317)</f>
        <v>1163310</v>
      </c>
      <c r="WD473" s="98">
        <f t="shared" si="2456"/>
        <v>28112850</v>
      </c>
      <c r="WE473" s="98">
        <f t="shared" si="2456"/>
        <v>0</v>
      </c>
      <c r="WF473" s="98">
        <f t="shared" si="2456"/>
        <v>0</v>
      </c>
      <c r="WG473" s="98">
        <f t="shared" si="2456"/>
        <v>0</v>
      </c>
      <c r="WH473" s="98">
        <f t="shared" si="2456"/>
        <v>0</v>
      </c>
      <c r="WI473" s="98">
        <f t="shared" si="2456"/>
        <v>17610</v>
      </c>
      <c r="WJ473" s="98">
        <f t="shared" si="2456"/>
        <v>365280</v>
      </c>
      <c r="WK473" s="98">
        <f t="shared" si="2456"/>
        <v>2362240</v>
      </c>
      <c r="WL473" s="98">
        <f t="shared" si="2456"/>
        <v>68543610</v>
      </c>
      <c r="WN473" s="98">
        <f t="shared" ref="WN473:XC473" si="2457">SUM(WN241,WN279,WN317)</f>
        <v>227792889</v>
      </c>
      <c r="WO473" s="98">
        <f t="shared" si="2457"/>
        <v>1182515701.0609999</v>
      </c>
      <c r="WP473" s="98">
        <f t="shared" si="2457"/>
        <v>74491897.939447686</v>
      </c>
      <c r="WQ473" s="98">
        <f t="shared" si="2457"/>
        <v>2493495560.957139</v>
      </c>
      <c r="WR473" s="98">
        <f t="shared" si="2457"/>
        <v>0</v>
      </c>
      <c r="WS473" s="98">
        <f t="shared" si="2457"/>
        <v>0</v>
      </c>
      <c r="WT473" s="98">
        <f t="shared" si="2457"/>
        <v>78455159.189999998</v>
      </c>
      <c r="WU473" s="98">
        <f t="shared" si="2457"/>
        <v>1466531459.9774098</v>
      </c>
      <c r="WV473" s="98">
        <f t="shared" si="2457"/>
        <v>2124188.000366</v>
      </c>
      <c r="WW473" s="98">
        <f t="shared" si="2457"/>
        <v>63903725.009000003</v>
      </c>
      <c r="WX473" s="98">
        <f t="shared" si="2457"/>
        <v>1149553</v>
      </c>
      <c r="WY473" s="98">
        <f t="shared" si="2457"/>
        <v>21087196</v>
      </c>
      <c r="WZ473" s="98">
        <f t="shared" si="2457"/>
        <v>622864.24</v>
      </c>
      <c r="XA473" s="98">
        <f t="shared" si="2457"/>
        <v>14289913</v>
      </c>
      <c r="XB473" s="107">
        <f t="shared" si="2457"/>
        <v>384636551.36981368</v>
      </c>
      <c r="XC473" s="107">
        <f t="shared" si="2457"/>
        <v>5241823556.004549</v>
      </c>
      <c r="XK473" s="98">
        <f t="shared" ref="XK473:XR473" si="2458">SUM(XK241,XK279,XK317)</f>
        <v>0</v>
      </c>
      <c r="XL473" s="98">
        <f t="shared" si="2458"/>
        <v>0</v>
      </c>
      <c r="XM473" s="98">
        <f t="shared" si="2458"/>
        <v>0</v>
      </c>
      <c r="XN473" s="98">
        <f t="shared" si="2458"/>
        <v>0</v>
      </c>
      <c r="XO473" s="98">
        <f t="shared" si="2458"/>
        <v>0</v>
      </c>
      <c r="XP473" s="98">
        <f t="shared" si="2458"/>
        <v>0</v>
      </c>
      <c r="XQ473" s="98">
        <f t="shared" si="2458"/>
        <v>0</v>
      </c>
      <c r="XR473" s="107">
        <f t="shared" ca="1" si="2458"/>
        <v>0</v>
      </c>
      <c r="XT473" s="98">
        <f t="shared" ref="XT473:YA473" si="2459">SUM(XT241,XT279,XT317)</f>
        <v>0</v>
      </c>
      <c r="XU473" s="98">
        <f t="shared" si="2459"/>
        <v>0</v>
      </c>
      <c r="XV473" s="98">
        <f t="shared" si="2459"/>
        <v>0</v>
      </c>
      <c r="XW473" s="98">
        <f t="shared" si="2459"/>
        <v>0</v>
      </c>
      <c r="XX473" s="98">
        <f t="shared" si="2459"/>
        <v>0</v>
      </c>
      <c r="XY473" s="98">
        <f t="shared" si="2459"/>
        <v>0</v>
      </c>
      <c r="XZ473" s="98">
        <f t="shared" si="2459"/>
        <v>0</v>
      </c>
      <c r="YA473" s="107">
        <f t="shared" ca="1" si="2459"/>
        <v>0</v>
      </c>
    </row>
    <row r="474" spans="1:1017">
      <c r="B474" s="93" t="s">
        <v>43</v>
      </c>
      <c r="C474" s="98">
        <f>SUM(C355,C393,C431)</f>
        <v>0</v>
      </c>
      <c r="D474" s="98">
        <f>SUM(D355,D393,D431)</f>
        <v>0</v>
      </c>
      <c r="E474" s="98">
        <f>SUM(E355,E393,E431)</f>
        <v>6094100</v>
      </c>
      <c r="F474" s="98">
        <f>SUM(F355,F393,F431)</f>
        <v>257705000</v>
      </c>
      <c r="I474" s="98">
        <f t="shared" ref="I474:V474" si="2460">SUM(I355,I393,I431)</f>
        <v>237100</v>
      </c>
      <c r="J474" s="98">
        <f t="shared" si="2460"/>
        <v>5328900</v>
      </c>
      <c r="K474" s="98">
        <f t="shared" si="2460"/>
        <v>0</v>
      </c>
      <c r="L474" s="98">
        <f t="shared" si="2460"/>
        <v>0</v>
      </c>
      <c r="M474" s="98">
        <f t="shared" si="2460"/>
        <v>1800</v>
      </c>
      <c r="N474" s="98">
        <f t="shared" si="2460"/>
        <v>36000</v>
      </c>
      <c r="O474" s="98">
        <f t="shared" si="2460"/>
        <v>0</v>
      </c>
      <c r="P474" s="98">
        <f t="shared" si="2460"/>
        <v>0</v>
      </c>
      <c r="Q474" s="99">
        <f t="shared" si="2460"/>
        <v>6333000</v>
      </c>
      <c r="R474" s="99">
        <f t="shared" si="2460"/>
        <v>263069900</v>
      </c>
      <c r="S474" s="98">
        <f t="shared" si="2460"/>
        <v>9280</v>
      </c>
      <c r="T474" s="98">
        <f t="shared" si="2460"/>
        <v>1128875</v>
      </c>
      <c r="U474" s="98">
        <f t="shared" si="2460"/>
        <v>5139435</v>
      </c>
      <c r="V474" s="98">
        <f t="shared" si="2460"/>
        <v>255989775</v>
      </c>
      <c r="Y474" s="98">
        <f t="shared" ref="Y474:AL474" si="2461">SUM(Y355,Y393,Y431)</f>
        <v>2887701</v>
      </c>
      <c r="Z474" s="98">
        <f t="shared" si="2461"/>
        <v>58946640</v>
      </c>
      <c r="AA474" s="98">
        <f t="shared" si="2461"/>
        <v>16235</v>
      </c>
      <c r="AB474" s="98">
        <f t="shared" si="2461"/>
        <v>448150</v>
      </c>
      <c r="AC474" s="98">
        <f t="shared" si="2461"/>
        <v>14255</v>
      </c>
      <c r="AD474" s="98">
        <f t="shared" si="2461"/>
        <v>394825</v>
      </c>
      <c r="AE474" s="98">
        <f t="shared" si="2461"/>
        <v>6155</v>
      </c>
      <c r="AF474" s="98">
        <f t="shared" si="2461"/>
        <v>132925</v>
      </c>
      <c r="AG474" s="98">
        <f t="shared" si="2461"/>
        <v>8073061</v>
      </c>
      <c r="AH474" s="98">
        <f t="shared" si="2461"/>
        <v>317041190</v>
      </c>
      <c r="AI474" s="98">
        <f t="shared" si="2461"/>
        <v>0</v>
      </c>
      <c r="AJ474" s="98">
        <f t="shared" si="2461"/>
        <v>0</v>
      </c>
      <c r="AK474" s="98">
        <f t="shared" si="2461"/>
        <v>109300</v>
      </c>
      <c r="AL474" s="98">
        <f t="shared" si="2461"/>
        <v>7104500</v>
      </c>
      <c r="AO474" s="98">
        <f t="shared" ref="AO474:BB474" si="2462">SUM(AO355,AO393,AO431)</f>
        <v>4755200</v>
      </c>
      <c r="AP474" s="98">
        <f t="shared" si="2462"/>
        <v>108463100</v>
      </c>
      <c r="AQ474" s="98">
        <f t="shared" si="2462"/>
        <v>380</v>
      </c>
      <c r="AR474" s="98">
        <f t="shared" si="2462"/>
        <v>9120</v>
      </c>
      <c r="AS474" s="98">
        <f t="shared" si="2462"/>
        <v>0</v>
      </c>
      <c r="AT474" s="98">
        <f t="shared" si="2462"/>
        <v>0</v>
      </c>
      <c r="AU474" s="98">
        <f t="shared" si="2462"/>
        <v>5765</v>
      </c>
      <c r="AV474" s="98">
        <f t="shared" si="2462"/>
        <v>138360</v>
      </c>
      <c r="AW474" s="98">
        <f t="shared" si="2462"/>
        <v>4870645</v>
      </c>
      <c r="AX474" s="98">
        <f t="shared" si="2462"/>
        <v>115715080</v>
      </c>
      <c r="AY474" s="98">
        <f t="shared" si="2462"/>
        <v>0</v>
      </c>
      <c r="AZ474" s="98">
        <f t="shared" si="2462"/>
        <v>0</v>
      </c>
      <c r="BA474" s="98">
        <f t="shared" si="2462"/>
        <v>0</v>
      </c>
      <c r="BB474" s="98">
        <f t="shared" si="2462"/>
        <v>0</v>
      </c>
      <c r="BE474" s="98">
        <f t="shared" ref="BE474:BR474" si="2463">SUM(BE355,BE393,BE431)</f>
        <v>1428297</v>
      </c>
      <c r="BF474" s="98">
        <f t="shared" si="2463"/>
        <v>28201768</v>
      </c>
      <c r="BG474" s="98">
        <f t="shared" si="2463"/>
        <v>3092</v>
      </c>
      <c r="BH474" s="98">
        <f t="shared" si="2463"/>
        <v>70850</v>
      </c>
      <c r="BI474" s="98">
        <f t="shared" si="2463"/>
        <v>0</v>
      </c>
      <c r="BJ474" s="98">
        <f t="shared" si="2463"/>
        <v>0</v>
      </c>
      <c r="BK474" s="98">
        <f t="shared" si="2463"/>
        <v>11176</v>
      </c>
      <c r="BL474" s="98">
        <f t="shared" si="2463"/>
        <v>180086</v>
      </c>
      <c r="BM474" s="98">
        <f t="shared" si="2463"/>
        <v>1442565</v>
      </c>
      <c r="BN474" s="98">
        <f t="shared" si="2463"/>
        <v>28452704</v>
      </c>
      <c r="BO474" s="98">
        <f t="shared" si="2463"/>
        <v>0</v>
      </c>
      <c r="BP474" s="98">
        <f t="shared" si="2463"/>
        <v>0</v>
      </c>
      <c r="BQ474" s="98">
        <f t="shared" si="2463"/>
        <v>0</v>
      </c>
      <c r="BR474" s="98">
        <f t="shared" si="2463"/>
        <v>0</v>
      </c>
      <c r="BU474" s="98">
        <f t="shared" ref="BU474:CH474" si="2464">SUM(BU355,BU393,BU431)</f>
        <v>213452</v>
      </c>
      <c r="BV474" s="98">
        <f t="shared" si="2464"/>
        <v>4595376</v>
      </c>
      <c r="BW474" s="98">
        <f t="shared" si="2464"/>
        <v>0</v>
      </c>
      <c r="BX474" s="98">
        <f t="shared" si="2464"/>
        <v>0</v>
      </c>
      <c r="BY474" s="98">
        <f t="shared" si="2464"/>
        <v>0</v>
      </c>
      <c r="BZ474" s="98">
        <f t="shared" si="2464"/>
        <v>0</v>
      </c>
      <c r="CA474" s="98">
        <f t="shared" si="2464"/>
        <v>0</v>
      </c>
      <c r="CB474" s="98">
        <f t="shared" si="2464"/>
        <v>0</v>
      </c>
      <c r="CC474" s="107">
        <f t="shared" si="2464"/>
        <v>213452</v>
      </c>
      <c r="CD474" s="107">
        <f t="shared" si="2464"/>
        <v>4595376</v>
      </c>
      <c r="CE474" s="98">
        <f t="shared" si="2464"/>
        <v>6470502.2353997882</v>
      </c>
      <c r="CF474" s="98">
        <f t="shared" si="2464"/>
        <v>22770499.971943468</v>
      </c>
      <c r="CG474" s="98">
        <f t="shared" si="2464"/>
        <v>18901827.285221849</v>
      </c>
      <c r="CH474" s="98">
        <f t="shared" si="2464"/>
        <v>510944919.98044419</v>
      </c>
      <c r="CK474" s="98">
        <f t="shared" ref="CK474:CX474" si="2465">SUM(CK355,CK393,CK431)</f>
        <v>13377032.32938445</v>
      </c>
      <c r="CL474" s="98">
        <f t="shared" si="2465"/>
        <v>255567524.87786174</v>
      </c>
      <c r="CM474" s="98">
        <f t="shared" si="2465"/>
        <v>0</v>
      </c>
      <c r="CN474" s="98">
        <f t="shared" si="2465"/>
        <v>0</v>
      </c>
      <c r="CO474" s="98">
        <f t="shared" si="2465"/>
        <v>0</v>
      </c>
      <c r="CP474" s="98">
        <f t="shared" si="2465"/>
        <v>0</v>
      </c>
      <c r="CQ474" s="98">
        <f t="shared" si="2465"/>
        <v>0</v>
      </c>
      <c r="CR474" s="98">
        <f t="shared" si="2465"/>
        <v>0</v>
      </c>
      <c r="CS474" s="98">
        <f t="shared" si="2465"/>
        <v>38749361.850006089</v>
      </c>
      <c r="CT474" s="98">
        <f t="shared" si="2465"/>
        <v>789282944.83024931</v>
      </c>
      <c r="CU474" s="98">
        <f t="shared" si="2465"/>
        <v>0</v>
      </c>
      <c r="CV474" s="98">
        <f t="shared" si="2465"/>
        <v>0</v>
      </c>
      <c r="CW474" s="98">
        <f t="shared" si="2465"/>
        <v>1308359.9993748225</v>
      </c>
      <c r="CX474" s="98">
        <f t="shared" si="2465"/>
        <v>75645055.620999992</v>
      </c>
      <c r="DA474" s="98">
        <f t="shared" ref="DA474:DN474" si="2466">SUM(DA355,DA393,DA431)</f>
        <v>3145979.534428631</v>
      </c>
      <c r="DB474" s="98">
        <f t="shared" si="2466"/>
        <v>68177902.502000004</v>
      </c>
      <c r="DC474" s="98">
        <f t="shared" si="2466"/>
        <v>6423</v>
      </c>
      <c r="DD474" s="98">
        <f t="shared" si="2466"/>
        <v>159575</v>
      </c>
      <c r="DE474" s="98">
        <f t="shared" si="2466"/>
        <v>0</v>
      </c>
      <c r="DF474" s="98">
        <f t="shared" si="2466"/>
        <v>0</v>
      </c>
      <c r="DG474" s="98">
        <f t="shared" si="2466"/>
        <v>0</v>
      </c>
      <c r="DH474" s="98">
        <f t="shared" si="2466"/>
        <v>0</v>
      </c>
      <c r="DI474" s="107">
        <f t="shared" si="2466"/>
        <v>4460762.5338034537</v>
      </c>
      <c r="DJ474" s="107">
        <f t="shared" si="2466"/>
        <v>143982533.123</v>
      </c>
      <c r="DK474" s="98">
        <f t="shared" si="2466"/>
        <v>0</v>
      </c>
      <c r="DL474" s="98">
        <f t="shared" si="2466"/>
        <v>0</v>
      </c>
      <c r="DM474" s="98">
        <f t="shared" si="2466"/>
        <v>0</v>
      </c>
      <c r="DN474" s="98">
        <f t="shared" si="2466"/>
        <v>0</v>
      </c>
      <c r="DQ474" s="98">
        <f t="shared" ref="DQ474:ED474" si="2467">SUM(DQ355,DQ393,DQ431)</f>
        <v>3666600</v>
      </c>
      <c r="DR474" s="98">
        <f t="shared" si="2467"/>
        <v>70797100</v>
      </c>
      <c r="DS474" s="98">
        <f t="shared" si="2467"/>
        <v>0</v>
      </c>
      <c r="DT474" s="98">
        <f t="shared" si="2467"/>
        <v>0</v>
      </c>
      <c r="DU474" s="98">
        <f t="shared" si="2467"/>
        <v>0</v>
      </c>
      <c r="DV474" s="98">
        <f t="shared" si="2467"/>
        <v>0</v>
      </c>
      <c r="DW474" s="98">
        <f t="shared" si="2467"/>
        <v>0</v>
      </c>
      <c r="DX474" s="98">
        <f t="shared" si="2467"/>
        <v>0</v>
      </c>
      <c r="DY474" s="98">
        <f t="shared" si="2467"/>
        <v>3666600</v>
      </c>
      <c r="DZ474" s="98">
        <f t="shared" si="2467"/>
        <v>70797100</v>
      </c>
      <c r="EA474" s="98">
        <f t="shared" si="2467"/>
        <v>0</v>
      </c>
      <c r="EB474" s="98">
        <f t="shared" si="2467"/>
        <v>0</v>
      </c>
      <c r="EC474" s="98">
        <f t="shared" si="2467"/>
        <v>0</v>
      </c>
      <c r="ED474" s="98">
        <f t="shared" si="2467"/>
        <v>0</v>
      </c>
      <c r="EG474" s="98">
        <f t="shared" ref="EG474:ET474" si="2468">SUM(EG355,EG393,EG431)</f>
        <v>6081250</v>
      </c>
      <c r="EH474" s="98">
        <f t="shared" si="2468"/>
        <v>117905070</v>
      </c>
      <c r="EI474" s="98">
        <f t="shared" si="2468"/>
        <v>0</v>
      </c>
      <c r="EJ474" s="98">
        <f t="shared" si="2468"/>
        <v>0</v>
      </c>
      <c r="EK474" s="98">
        <f t="shared" si="2468"/>
        <v>0</v>
      </c>
      <c r="EL474" s="98">
        <f t="shared" si="2468"/>
        <v>0</v>
      </c>
      <c r="EM474" s="98">
        <f t="shared" si="2468"/>
        <v>0</v>
      </c>
      <c r="EN474" s="98">
        <f t="shared" si="2468"/>
        <v>0</v>
      </c>
      <c r="EO474" s="98">
        <f t="shared" si="2468"/>
        <v>6081250</v>
      </c>
      <c r="EP474" s="98">
        <f t="shared" si="2468"/>
        <v>117905070</v>
      </c>
      <c r="EQ474" s="98">
        <f t="shared" si="2468"/>
        <v>0</v>
      </c>
      <c r="ER474" s="98">
        <f t="shared" si="2468"/>
        <v>0</v>
      </c>
      <c r="ES474" s="98">
        <f t="shared" si="2468"/>
        <v>1070271</v>
      </c>
      <c r="ET474" s="98">
        <f t="shared" si="2468"/>
        <v>63435530</v>
      </c>
      <c r="EW474" s="98">
        <f t="shared" ref="EW474:FJ474" si="2469">SUM(EW355,EW393,EW431)</f>
        <v>707638</v>
      </c>
      <c r="EX474" s="98">
        <f t="shared" si="2469"/>
        <v>18044985</v>
      </c>
      <c r="EY474" s="98">
        <f t="shared" si="2469"/>
        <v>0</v>
      </c>
      <c r="EZ474" s="98">
        <f t="shared" si="2469"/>
        <v>0</v>
      </c>
      <c r="FA474" s="98">
        <f t="shared" si="2469"/>
        <v>7408</v>
      </c>
      <c r="FB474" s="98">
        <f t="shared" si="2469"/>
        <v>133344</v>
      </c>
      <c r="FC474" s="98">
        <f t="shared" si="2469"/>
        <v>531</v>
      </c>
      <c r="FD474" s="98">
        <f t="shared" si="2469"/>
        <v>10620</v>
      </c>
      <c r="FE474" s="98">
        <f t="shared" si="2469"/>
        <v>1785848</v>
      </c>
      <c r="FF474" s="98">
        <f t="shared" si="2469"/>
        <v>81624479</v>
      </c>
      <c r="FG474" s="98">
        <f t="shared" si="2469"/>
        <v>0</v>
      </c>
      <c r="FH474" s="98">
        <f t="shared" si="2469"/>
        <v>0</v>
      </c>
      <c r="FI474" s="98">
        <f t="shared" si="2469"/>
        <v>375000</v>
      </c>
      <c r="FJ474" s="98">
        <f t="shared" si="2469"/>
        <v>22500000</v>
      </c>
      <c r="FM474" s="98">
        <f t="shared" ref="FM474:FZ474" si="2470">SUM(FM355,FM393,FM431)</f>
        <v>685000</v>
      </c>
      <c r="FN474" s="98">
        <f t="shared" si="2470"/>
        <v>17300522.5</v>
      </c>
      <c r="FO474" s="98">
        <f t="shared" si="2470"/>
        <v>0</v>
      </c>
      <c r="FP474" s="98">
        <f t="shared" si="2470"/>
        <v>0</v>
      </c>
      <c r="FQ474" s="98">
        <f t="shared" si="2470"/>
        <v>0</v>
      </c>
      <c r="FR474" s="98">
        <f t="shared" si="2470"/>
        <v>0</v>
      </c>
      <c r="FS474" s="98">
        <f t="shared" si="2470"/>
        <v>225386</v>
      </c>
      <c r="FT474" s="98">
        <f t="shared" si="2470"/>
        <v>6480808</v>
      </c>
      <c r="FU474" s="98">
        <f t="shared" si="2470"/>
        <v>1285386</v>
      </c>
      <c r="FV474" s="98">
        <f t="shared" si="2470"/>
        <v>46281330.5</v>
      </c>
      <c r="FW474" s="98">
        <f t="shared" si="2470"/>
        <v>0</v>
      </c>
      <c r="FX474" s="98">
        <f t="shared" si="2470"/>
        <v>0</v>
      </c>
      <c r="FY474" s="98">
        <f t="shared" si="2470"/>
        <v>0</v>
      </c>
      <c r="FZ474" s="98">
        <f t="shared" si="2470"/>
        <v>0</v>
      </c>
      <c r="GC474" s="98">
        <f t="shared" ref="GC474:GP474" si="2471">SUM(GC355,GC393,GC431)</f>
        <v>994550</v>
      </c>
      <c r="GD474" s="98">
        <f t="shared" si="2471"/>
        <v>20816050</v>
      </c>
      <c r="GE474" s="98">
        <f t="shared" si="2471"/>
        <v>0</v>
      </c>
      <c r="GF474" s="98">
        <f t="shared" si="2471"/>
        <v>0</v>
      </c>
      <c r="GG474" s="98">
        <f t="shared" si="2471"/>
        <v>0</v>
      </c>
      <c r="GH474" s="98">
        <f t="shared" si="2471"/>
        <v>0</v>
      </c>
      <c r="GI474" s="98">
        <f t="shared" si="2471"/>
        <v>0</v>
      </c>
      <c r="GJ474" s="98">
        <f t="shared" si="2471"/>
        <v>0</v>
      </c>
      <c r="GK474" s="98">
        <f t="shared" si="2471"/>
        <v>994550</v>
      </c>
      <c r="GL474" s="98">
        <f t="shared" si="2471"/>
        <v>20816050</v>
      </c>
      <c r="GM474" s="98">
        <f t="shared" si="2471"/>
        <v>0</v>
      </c>
      <c r="GN474" s="98">
        <f t="shared" si="2471"/>
        <v>0</v>
      </c>
      <c r="GO474" s="98">
        <f t="shared" si="2471"/>
        <v>0</v>
      </c>
      <c r="GP474" s="98">
        <f t="shared" si="2471"/>
        <v>0</v>
      </c>
      <c r="GS474" s="98">
        <f t="shared" ref="GS474:HF474" si="2472">SUM(GS355,GS393,GS431)</f>
        <v>461600</v>
      </c>
      <c r="GT474" s="98">
        <f t="shared" si="2472"/>
        <v>8880150</v>
      </c>
      <c r="GU474" s="98">
        <f t="shared" si="2472"/>
        <v>0</v>
      </c>
      <c r="GV474" s="98">
        <f t="shared" si="2472"/>
        <v>0</v>
      </c>
      <c r="GW474" s="98">
        <f t="shared" si="2472"/>
        <v>0</v>
      </c>
      <c r="GX474" s="98">
        <f t="shared" si="2472"/>
        <v>0</v>
      </c>
      <c r="GY474" s="98">
        <f t="shared" si="2472"/>
        <v>410</v>
      </c>
      <c r="GZ474" s="98">
        <f t="shared" si="2472"/>
        <v>11445</v>
      </c>
      <c r="HA474" s="98">
        <f t="shared" si="2472"/>
        <v>462010</v>
      </c>
      <c r="HB474" s="98">
        <f t="shared" si="2472"/>
        <v>8891595</v>
      </c>
      <c r="HC474" s="98">
        <f t="shared" si="2472"/>
        <v>0</v>
      </c>
      <c r="HD474" s="98">
        <f t="shared" si="2472"/>
        <v>0</v>
      </c>
      <c r="HE474" s="98">
        <f t="shared" si="2472"/>
        <v>470000</v>
      </c>
      <c r="HF474" s="98">
        <f t="shared" si="2472"/>
        <v>31980000</v>
      </c>
      <c r="HI474" s="98">
        <f t="shared" ref="HI474:HV474" si="2473">SUM(HI355,HI393,HI431)</f>
        <v>2034500</v>
      </c>
      <c r="HJ474" s="98">
        <f t="shared" si="2473"/>
        <v>38289000</v>
      </c>
      <c r="HK474" s="98">
        <f t="shared" si="2473"/>
        <v>0</v>
      </c>
      <c r="HL474" s="98">
        <f t="shared" si="2473"/>
        <v>0</v>
      </c>
      <c r="HM474" s="98">
        <f t="shared" si="2473"/>
        <v>0</v>
      </c>
      <c r="HN474" s="98">
        <f t="shared" si="2473"/>
        <v>0</v>
      </c>
      <c r="HO474" s="98">
        <f t="shared" si="2473"/>
        <v>1100000</v>
      </c>
      <c r="HP474" s="98">
        <f t="shared" si="2473"/>
        <v>25300000</v>
      </c>
      <c r="HQ474" s="98">
        <f t="shared" si="2473"/>
        <v>3604500</v>
      </c>
      <c r="HR474" s="98">
        <f t="shared" si="2473"/>
        <v>95569000</v>
      </c>
      <c r="HS474" s="98">
        <f t="shared" si="2473"/>
        <v>0</v>
      </c>
      <c r="HT474" s="98">
        <f t="shared" si="2473"/>
        <v>0</v>
      </c>
      <c r="HU474" s="98">
        <f t="shared" si="2473"/>
        <v>0</v>
      </c>
      <c r="HV474" s="98">
        <f t="shared" si="2473"/>
        <v>0</v>
      </c>
      <c r="HY474" s="98">
        <f t="shared" ref="HY474:IL474" si="2474">SUM(HY355,HY393,HY431)</f>
        <v>462360</v>
      </c>
      <c r="HZ474" s="98">
        <f t="shared" si="2474"/>
        <v>8603100</v>
      </c>
      <c r="IA474" s="98">
        <f t="shared" si="2474"/>
        <v>0</v>
      </c>
      <c r="IB474" s="98">
        <f t="shared" si="2474"/>
        <v>0</v>
      </c>
      <c r="IC474" s="98">
        <f t="shared" si="2474"/>
        <v>0</v>
      </c>
      <c r="ID474" s="98">
        <f t="shared" si="2474"/>
        <v>0</v>
      </c>
      <c r="IE474" s="98">
        <f t="shared" si="2474"/>
        <v>500</v>
      </c>
      <c r="IF474" s="98">
        <f t="shared" si="2474"/>
        <v>12500</v>
      </c>
      <c r="IG474" s="98">
        <f t="shared" si="2474"/>
        <v>462860</v>
      </c>
      <c r="IH474" s="98">
        <f t="shared" si="2474"/>
        <v>8615600</v>
      </c>
      <c r="II474" s="98">
        <f t="shared" si="2474"/>
        <v>0</v>
      </c>
      <c r="IJ474" s="98">
        <f t="shared" si="2474"/>
        <v>0</v>
      </c>
      <c r="IK474" s="98">
        <f t="shared" si="2474"/>
        <v>0</v>
      </c>
      <c r="IL474" s="98">
        <f t="shared" si="2474"/>
        <v>0</v>
      </c>
      <c r="IO474" s="98">
        <f t="shared" ref="IO474:JB474" si="2475">SUM(IO355,IO393,IO431)</f>
        <v>2605000</v>
      </c>
      <c r="IP474" s="98">
        <f t="shared" si="2475"/>
        <v>52072960</v>
      </c>
      <c r="IQ474" s="98">
        <f t="shared" si="2475"/>
        <v>0</v>
      </c>
      <c r="IR474" s="98">
        <f t="shared" si="2475"/>
        <v>0</v>
      </c>
      <c r="IS474" s="98">
        <f t="shared" si="2475"/>
        <v>0</v>
      </c>
      <c r="IT474" s="98">
        <f t="shared" si="2475"/>
        <v>0</v>
      </c>
      <c r="IU474" s="98">
        <f t="shared" si="2475"/>
        <v>0</v>
      </c>
      <c r="IV474" s="98">
        <f t="shared" si="2475"/>
        <v>0</v>
      </c>
      <c r="IW474" s="98">
        <f t="shared" si="2475"/>
        <v>2605000</v>
      </c>
      <c r="IX474" s="98">
        <f t="shared" si="2475"/>
        <v>52072960</v>
      </c>
      <c r="IY474" s="98">
        <f t="shared" si="2475"/>
        <v>0</v>
      </c>
      <c r="IZ474" s="98">
        <f t="shared" si="2475"/>
        <v>0</v>
      </c>
      <c r="JA474" s="98">
        <f t="shared" si="2475"/>
        <v>0</v>
      </c>
      <c r="JB474" s="98">
        <f t="shared" si="2475"/>
        <v>0</v>
      </c>
      <c r="JE474" s="98">
        <f t="shared" ref="JE474:JR474" si="2476">SUM(JE355,JE393,JE431)</f>
        <v>1078062</v>
      </c>
      <c r="JF474" s="98">
        <f t="shared" si="2476"/>
        <v>20490966</v>
      </c>
      <c r="JG474" s="98">
        <f t="shared" si="2476"/>
        <v>0</v>
      </c>
      <c r="JH474" s="98">
        <f t="shared" si="2476"/>
        <v>0</v>
      </c>
      <c r="JI474" s="98">
        <f t="shared" si="2476"/>
        <v>0</v>
      </c>
      <c r="JJ474" s="98">
        <f t="shared" si="2476"/>
        <v>0</v>
      </c>
      <c r="JK474" s="98">
        <f t="shared" si="2476"/>
        <v>18680</v>
      </c>
      <c r="JL474" s="98">
        <f t="shared" si="2476"/>
        <v>350640</v>
      </c>
      <c r="JM474" s="98">
        <f t="shared" si="2476"/>
        <v>1096742</v>
      </c>
      <c r="JN474" s="98">
        <f t="shared" si="2476"/>
        <v>20841606</v>
      </c>
      <c r="JO474" s="98">
        <f t="shared" si="2476"/>
        <v>0</v>
      </c>
      <c r="JP474" s="98">
        <f t="shared" si="2476"/>
        <v>0</v>
      </c>
      <c r="JQ474" s="98">
        <f t="shared" si="2476"/>
        <v>495644</v>
      </c>
      <c r="JR474" s="98">
        <f t="shared" si="2476"/>
        <v>39665620</v>
      </c>
      <c r="JU474" s="98">
        <f t="shared" ref="JU474:KH474" si="2477">SUM(JU355,JU393,JU431)</f>
        <v>290055</v>
      </c>
      <c r="JV474" s="98">
        <f t="shared" si="2477"/>
        <v>7687664</v>
      </c>
      <c r="JW474" s="98">
        <f t="shared" si="2477"/>
        <v>0</v>
      </c>
      <c r="JX474" s="98">
        <f t="shared" si="2477"/>
        <v>0</v>
      </c>
      <c r="JY474" s="98">
        <f t="shared" si="2477"/>
        <v>0</v>
      </c>
      <c r="JZ474" s="98">
        <f t="shared" si="2477"/>
        <v>0</v>
      </c>
      <c r="KA474" s="98">
        <f t="shared" si="2477"/>
        <v>0</v>
      </c>
      <c r="KB474" s="98">
        <f t="shared" si="2477"/>
        <v>0</v>
      </c>
      <c r="KC474" s="98">
        <f t="shared" si="2477"/>
        <v>785699</v>
      </c>
      <c r="KD474" s="98">
        <f t="shared" si="2477"/>
        <v>47353284</v>
      </c>
      <c r="KE474" s="98">
        <f t="shared" si="2477"/>
        <v>0</v>
      </c>
      <c r="KF474" s="98">
        <f t="shared" si="2477"/>
        <v>0</v>
      </c>
      <c r="KG474" s="98">
        <f t="shared" si="2477"/>
        <v>165111</v>
      </c>
      <c r="KH474" s="98">
        <f t="shared" si="2477"/>
        <v>10207097</v>
      </c>
      <c r="KK474" s="98">
        <f t="shared" ref="KK474:KX474" si="2478">SUM(KK355,KK393,KK431)</f>
        <v>269027</v>
      </c>
      <c r="KL474" s="98">
        <f t="shared" si="2478"/>
        <v>5406965</v>
      </c>
      <c r="KM474" s="98">
        <f t="shared" si="2478"/>
        <v>0</v>
      </c>
      <c r="KN474" s="98">
        <f t="shared" si="2478"/>
        <v>0</v>
      </c>
      <c r="KO474" s="98">
        <f t="shared" si="2478"/>
        <v>0</v>
      </c>
      <c r="KP474" s="98">
        <f t="shared" si="2478"/>
        <v>0</v>
      </c>
      <c r="KQ474" s="98">
        <f t="shared" si="2478"/>
        <v>0</v>
      </c>
      <c r="KR474" s="98">
        <f t="shared" si="2478"/>
        <v>0</v>
      </c>
      <c r="KS474" s="107">
        <f t="shared" si="2478"/>
        <v>434138</v>
      </c>
      <c r="KT474" s="107">
        <f t="shared" si="2478"/>
        <v>15614062</v>
      </c>
      <c r="KU474" s="98">
        <f t="shared" si="2478"/>
        <v>0</v>
      </c>
      <c r="KV474" s="98">
        <f t="shared" si="2478"/>
        <v>0</v>
      </c>
      <c r="KW474" s="98">
        <f t="shared" si="2478"/>
        <v>2582870.71</v>
      </c>
      <c r="KX474" s="98">
        <f t="shared" si="2478"/>
        <v>43600731</v>
      </c>
      <c r="LA474" s="98">
        <f t="shared" ref="LA474:LN474" si="2479">SUM(LA355,LA393,LA431)</f>
        <v>3420875.93</v>
      </c>
      <c r="LB474" s="98">
        <f t="shared" si="2479"/>
        <v>62173357</v>
      </c>
      <c r="LC474" s="98">
        <f t="shared" si="2479"/>
        <v>0</v>
      </c>
      <c r="LD474" s="98">
        <f t="shared" si="2479"/>
        <v>0</v>
      </c>
      <c r="LE474" s="98">
        <f t="shared" si="2479"/>
        <v>0</v>
      </c>
      <c r="LF474" s="98">
        <f t="shared" si="2479"/>
        <v>0</v>
      </c>
      <c r="LG474" s="98">
        <f t="shared" si="2479"/>
        <v>35775.56</v>
      </c>
      <c r="LH474" s="98">
        <f t="shared" si="2479"/>
        <v>930162</v>
      </c>
      <c r="LI474" s="98">
        <f t="shared" si="2479"/>
        <v>6039522.2000000002</v>
      </c>
      <c r="LJ474" s="98">
        <f t="shared" si="2479"/>
        <v>106704250</v>
      </c>
      <c r="LK474" s="98">
        <f t="shared" si="2479"/>
        <v>0</v>
      </c>
      <c r="LL474" s="98">
        <f t="shared" si="2479"/>
        <v>0</v>
      </c>
      <c r="LM474" s="98">
        <f t="shared" si="2479"/>
        <v>0</v>
      </c>
      <c r="LN474" s="98">
        <f t="shared" si="2479"/>
        <v>0</v>
      </c>
      <c r="LQ474" s="98">
        <f t="shared" ref="LQ474:MD474" si="2480">SUM(LQ355,LQ393,LQ431)</f>
        <v>526587</v>
      </c>
      <c r="LR474" s="98">
        <f t="shared" si="2480"/>
        <v>10810906.530000001</v>
      </c>
      <c r="LS474" s="98">
        <f t="shared" si="2480"/>
        <v>0</v>
      </c>
      <c r="LT474" s="98">
        <f t="shared" si="2480"/>
        <v>0</v>
      </c>
      <c r="LU474" s="98">
        <f t="shared" si="2480"/>
        <v>0</v>
      </c>
      <c r="LV474" s="98">
        <f t="shared" si="2480"/>
        <v>0</v>
      </c>
      <c r="LW474" s="98">
        <f t="shared" si="2480"/>
        <v>3765</v>
      </c>
      <c r="LX474" s="98">
        <f t="shared" si="2480"/>
        <v>113760</v>
      </c>
      <c r="LY474" s="98">
        <f t="shared" si="2480"/>
        <v>530352</v>
      </c>
      <c r="LZ474" s="98">
        <f t="shared" si="2480"/>
        <v>10924666.530000001</v>
      </c>
      <c r="MA474" s="98">
        <f t="shared" si="2480"/>
        <v>159100</v>
      </c>
      <c r="MB474" s="98">
        <f t="shared" si="2480"/>
        <v>13523500</v>
      </c>
      <c r="MC474" s="98">
        <f t="shared" si="2480"/>
        <v>2423860</v>
      </c>
      <c r="MD474" s="98">
        <f t="shared" si="2480"/>
        <v>118247490</v>
      </c>
      <c r="MG474" s="98">
        <f t="shared" ref="MG474:MT474" si="2481">SUM(MG355,MG393,MG431)</f>
        <v>212090</v>
      </c>
      <c r="MH474" s="98">
        <f t="shared" si="2481"/>
        <v>3924840</v>
      </c>
      <c r="MI474" s="98">
        <f t="shared" si="2481"/>
        <v>0</v>
      </c>
      <c r="MJ474" s="98">
        <f t="shared" si="2481"/>
        <v>0</v>
      </c>
      <c r="MK474" s="98">
        <f t="shared" si="2481"/>
        <v>0</v>
      </c>
      <c r="ML474" s="98">
        <f t="shared" si="2481"/>
        <v>0</v>
      </c>
      <c r="MM474" s="98">
        <f t="shared" si="2481"/>
        <v>11820</v>
      </c>
      <c r="MN474" s="98">
        <f t="shared" si="2481"/>
        <v>212760</v>
      </c>
      <c r="MO474" s="98">
        <f t="shared" si="2481"/>
        <v>2806870</v>
      </c>
      <c r="MP474" s="98">
        <f t="shared" si="2481"/>
        <v>135908590</v>
      </c>
      <c r="MQ474" s="98">
        <f t="shared" si="2481"/>
        <v>0</v>
      </c>
      <c r="MR474" s="98">
        <f t="shared" si="2481"/>
        <v>0</v>
      </c>
      <c r="MS474" s="98">
        <f t="shared" si="2481"/>
        <v>197096</v>
      </c>
      <c r="MT474" s="98">
        <f t="shared" si="2481"/>
        <v>5393932</v>
      </c>
      <c r="MW474" s="98">
        <f t="shared" ref="MW474:NJ474" si="2482">SUM(MW355,MW393,MW431)</f>
        <v>66550</v>
      </c>
      <c r="MX474" s="98">
        <f t="shared" si="2482"/>
        <v>1531280</v>
      </c>
      <c r="MY474" s="98">
        <f t="shared" si="2482"/>
        <v>0</v>
      </c>
      <c r="MZ474" s="98">
        <f t="shared" si="2482"/>
        <v>0</v>
      </c>
      <c r="NA474" s="98">
        <f t="shared" si="2482"/>
        <v>0</v>
      </c>
      <c r="NB474" s="98">
        <f t="shared" si="2482"/>
        <v>0</v>
      </c>
      <c r="NC474" s="98">
        <f t="shared" si="2482"/>
        <v>0</v>
      </c>
      <c r="ND474" s="98">
        <f t="shared" si="2482"/>
        <v>0</v>
      </c>
      <c r="NE474" s="98">
        <f t="shared" si="2482"/>
        <v>263646</v>
      </c>
      <c r="NF474" s="98">
        <f t="shared" si="2482"/>
        <v>6925212</v>
      </c>
      <c r="NG474" s="98">
        <f t="shared" si="2482"/>
        <v>0</v>
      </c>
      <c r="NH474" s="98">
        <f t="shared" si="2482"/>
        <v>0</v>
      </c>
      <c r="NI474" s="98">
        <f t="shared" si="2482"/>
        <v>17909831</v>
      </c>
      <c r="NJ474" s="98">
        <f t="shared" si="2482"/>
        <v>458002518</v>
      </c>
      <c r="NM474" s="98">
        <f t="shared" ref="NM474:NZ474" si="2483">SUM(NM355,NM393,NM431)</f>
        <v>7178400</v>
      </c>
      <c r="NN474" s="98">
        <f t="shared" si="2483"/>
        <v>116243400</v>
      </c>
      <c r="NO474" s="98">
        <f t="shared" si="2483"/>
        <v>502700</v>
      </c>
      <c r="NP474" s="98">
        <f t="shared" si="2483"/>
        <v>10724400</v>
      </c>
      <c r="NQ474" s="98">
        <f t="shared" si="2483"/>
        <v>81219</v>
      </c>
      <c r="NR474" s="98">
        <f t="shared" si="2483"/>
        <v>1486838</v>
      </c>
      <c r="NS474" s="98">
        <f t="shared" si="2483"/>
        <v>0</v>
      </c>
      <c r="NT474" s="98">
        <f t="shared" si="2483"/>
        <v>0</v>
      </c>
      <c r="NU474" s="98">
        <f t="shared" si="2483"/>
        <v>25672150</v>
      </c>
      <c r="NV474" s="98">
        <f t="shared" si="2483"/>
        <v>586457156</v>
      </c>
      <c r="NW474" s="98">
        <f t="shared" si="2483"/>
        <v>22950</v>
      </c>
      <c r="NX474" s="98">
        <f t="shared" si="2483"/>
        <v>533200</v>
      </c>
      <c r="NY474" s="98">
        <f t="shared" si="2483"/>
        <v>2269650</v>
      </c>
      <c r="NZ474" s="98">
        <f t="shared" si="2483"/>
        <v>89799988</v>
      </c>
      <c r="OC474" s="98">
        <f t="shared" ref="OC474:OP474" si="2484">SUM(OC355,OC393,OC431)</f>
        <v>182436</v>
      </c>
      <c r="OD474" s="98">
        <f t="shared" si="2484"/>
        <v>3494655</v>
      </c>
      <c r="OE474" s="98">
        <f t="shared" si="2484"/>
        <v>0</v>
      </c>
      <c r="OF474" s="98">
        <f t="shared" si="2484"/>
        <v>0</v>
      </c>
      <c r="OG474" s="98">
        <f t="shared" si="2484"/>
        <v>0</v>
      </c>
      <c r="OH474" s="98">
        <f t="shared" si="2484"/>
        <v>0</v>
      </c>
      <c r="OI474" s="98">
        <f t="shared" si="2484"/>
        <v>0</v>
      </c>
      <c r="OJ474" s="98">
        <f t="shared" si="2484"/>
        <v>0</v>
      </c>
      <c r="OK474" s="98">
        <f t="shared" si="2484"/>
        <v>2475036</v>
      </c>
      <c r="OL474" s="98">
        <f t="shared" si="2484"/>
        <v>93827843</v>
      </c>
      <c r="OM474" s="98">
        <f t="shared" si="2484"/>
        <v>213939600</v>
      </c>
      <c r="ON474" s="98">
        <f t="shared" si="2484"/>
        <v>1085415000</v>
      </c>
      <c r="OO474" s="98">
        <f t="shared" si="2484"/>
        <v>1568387</v>
      </c>
      <c r="OP474" s="98">
        <f t="shared" si="2484"/>
        <v>97511821</v>
      </c>
      <c r="OS474" s="98">
        <f t="shared" ref="OS474:PF474" si="2485">SUM(OS355,OS393,OS431)</f>
        <v>119156</v>
      </c>
      <c r="OT474" s="98">
        <f t="shared" si="2485"/>
        <v>2620476</v>
      </c>
      <c r="OU474" s="98">
        <f t="shared" si="2485"/>
        <v>0</v>
      </c>
      <c r="OV474" s="98">
        <f t="shared" si="2485"/>
        <v>0</v>
      </c>
      <c r="OW474" s="98">
        <f t="shared" si="2485"/>
        <v>0</v>
      </c>
      <c r="OX474" s="98">
        <f t="shared" si="2485"/>
        <v>0</v>
      </c>
      <c r="OY474" s="98">
        <f t="shared" si="2485"/>
        <v>0</v>
      </c>
      <c r="OZ474" s="98">
        <f t="shared" si="2485"/>
        <v>0</v>
      </c>
      <c r="PA474" s="98">
        <f t="shared" si="2485"/>
        <v>215627143</v>
      </c>
      <c r="PB474" s="98">
        <f t="shared" si="2485"/>
        <v>1185547297</v>
      </c>
      <c r="PC474" s="98">
        <f t="shared" si="2485"/>
        <v>185</v>
      </c>
      <c r="PD474" s="98">
        <f t="shared" si="2485"/>
        <v>10175</v>
      </c>
      <c r="PE474" s="98">
        <f t="shared" si="2485"/>
        <v>42446</v>
      </c>
      <c r="PF474" s="98">
        <f t="shared" si="2485"/>
        <v>2758990</v>
      </c>
      <c r="PI474" s="98">
        <f t="shared" ref="PI474:PV474" si="2486">SUM(PI355,PI393,PI431)</f>
        <v>1082037</v>
      </c>
      <c r="PJ474" s="98">
        <f t="shared" si="2486"/>
        <v>19811332</v>
      </c>
      <c r="PK474" s="98">
        <f t="shared" si="2486"/>
        <v>0</v>
      </c>
      <c r="PL474" s="98">
        <f t="shared" si="2486"/>
        <v>0</v>
      </c>
      <c r="PM474" s="98">
        <f t="shared" si="2486"/>
        <v>0</v>
      </c>
      <c r="PN474" s="98">
        <f t="shared" si="2486"/>
        <v>0</v>
      </c>
      <c r="PO474" s="98">
        <f t="shared" si="2486"/>
        <v>0</v>
      </c>
      <c r="PP474" s="98">
        <f t="shared" si="2486"/>
        <v>0</v>
      </c>
      <c r="PQ474" s="98">
        <f t="shared" si="2486"/>
        <v>1124668</v>
      </c>
      <c r="PR474" s="98">
        <f t="shared" si="2486"/>
        <v>22580497</v>
      </c>
      <c r="PS474" s="98">
        <f t="shared" si="2486"/>
        <v>1250</v>
      </c>
      <c r="PT474" s="98">
        <f t="shared" si="2486"/>
        <v>131250</v>
      </c>
      <c r="PU474" s="98">
        <f t="shared" si="2486"/>
        <v>5966230</v>
      </c>
      <c r="PV474" s="98">
        <f t="shared" si="2486"/>
        <v>190553350</v>
      </c>
      <c r="PY474" s="98">
        <f t="shared" ref="PY474:QL474" si="2487">SUM(PY355,PY393,PY431)</f>
        <v>5037940</v>
      </c>
      <c r="PZ474" s="98">
        <f t="shared" si="2487"/>
        <v>92276540</v>
      </c>
      <c r="QA474" s="98">
        <f t="shared" si="2487"/>
        <v>3492500</v>
      </c>
      <c r="QB474" s="98">
        <f t="shared" si="2487"/>
        <v>103343990</v>
      </c>
      <c r="QC474" s="98">
        <f t="shared" si="2487"/>
        <v>2295180</v>
      </c>
      <c r="QD474" s="98">
        <f t="shared" si="2487"/>
        <v>41100160</v>
      </c>
      <c r="QE474" s="98">
        <f t="shared" si="2487"/>
        <v>0</v>
      </c>
      <c r="QF474" s="98">
        <f t="shared" si="2487"/>
        <v>0</v>
      </c>
      <c r="QG474" s="107">
        <f t="shared" si="2487"/>
        <v>16793100</v>
      </c>
      <c r="QH474" s="107">
        <f t="shared" si="2487"/>
        <v>427405290</v>
      </c>
      <c r="QI474" s="98">
        <f t="shared" si="2487"/>
        <v>0</v>
      </c>
      <c r="QJ474" s="98">
        <f t="shared" si="2487"/>
        <v>0</v>
      </c>
      <c r="QK474" s="98">
        <f t="shared" si="2487"/>
        <v>175000</v>
      </c>
      <c r="QL474" s="98">
        <f t="shared" si="2487"/>
        <v>10500000</v>
      </c>
      <c r="QO474" s="98">
        <f t="shared" ref="QO474:RB474" si="2488">SUM(QO355,QO393,QO431)</f>
        <v>14176500</v>
      </c>
      <c r="QP474" s="98">
        <f t="shared" si="2488"/>
        <v>330946000</v>
      </c>
      <c r="QQ474" s="98">
        <f t="shared" si="2488"/>
        <v>0</v>
      </c>
      <c r="QR474" s="98">
        <f t="shared" si="2488"/>
        <v>0</v>
      </c>
      <c r="QS474" s="98">
        <f t="shared" si="2488"/>
        <v>0</v>
      </c>
      <c r="QT474" s="98">
        <f t="shared" si="2488"/>
        <v>0</v>
      </c>
      <c r="QU474" s="98">
        <f t="shared" si="2488"/>
        <v>0</v>
      </c>
      <c r="QV474" s="98">
        <f t="shared" si="2488"/>
        <v>0</v>
      </c>
      <c r="QW474" s="98">
        <f t="shared" si="2488"/>
        <v>14351500</v>
      </c>
      <c r="QX474" s="98">
        <f t="shared" si="2488"/>
        <v>341446000</v>
      </c>
      <c r="QY474" s="98">
        <f t="shared" si="2488"/>
        <v>0</v>
      </c>
      <c r="QZ474" s="98">
        <f t="shared" si="2488"/>
        <v>0</v>
      </c>
      <c r="RA474" s="98">
        <f t="shared" si="2488"/>
        <v>0</v>
      </c>
      <c r="RB474" s="98">
        <f t="shared" si="2488"/>
        <v>0</v>
      </c>
      <c r="RE474" s="98">
        <f t="shared" ref="RE474:RR474" si="2489">SUM(RE355,RE393,RE431)</f>
        <v>17425</v>
      </c>
      <c r="RF474" s="98">
        <f t="shared" si="2489"/>
        <v>418645</v>
      </c>
      <c r="RG474" s="98">
        <f t="shared" si="2489"/>
        <v>0</v>
      </c>
      <c r="RH474" s="98">
        <f t="shared" si="2489"/>
        <v>0</v>
      </c>
      <c r="RI474" s="98">
        <f t="shared" si="2489"/>
        <v>0</v>
      </c>
      <c r="RJ474" s="98">
        <f t="shared" si="2489"/>
        <v>0</v>
      </c>
      <c r="RK474" s="98">
        <f t="shared" si="2489"/>
        <v>0</v>
      </c>
      <c r="RL474" s="98">
        <f t="shared" si="2489"/>
        <v>0</v>
      </c>
      <c r="RM474" s="98">
        <f t="shared" si="2489"/>
        <v>17425</v>
      </c>
      <c r="RN474" s="98">
        <f t="shared" si="2489"/>
        <v>418645</v>
      </c>
      <c r="RO474" s="98">
        <f t="shared" si="2489"/>
        <v>0</v>
      </c>
      <c r="RP474" s="98">
        <f t="shared" si="2489"/>
        <v>0</v>
      </c>
      <c r="RQ474" s="98">
        <f t="shared" si="2489"/>
        <v>0</v>
      </c>
      <c r="RR474" s="98">
        <f t="shared" si="2489"/>
        <v>0</v>
      </c>
      <c r="RU474" s="98">
        <f t="shared" ref="RU474:SH474" si="2490">SUM(RU355,RU393,RU431)</f>
        <v>52510</v>
      </c>
      <c r="RV474" s="98">
        <f t="shared" si="2490"/>
        <v>1113680</v>
      </c>
      <c r="RW474" s="98">
        <f t="shared" si="2490"/>
        <v>0</v>
      </c>
      <c r="RX474" s="98">
        <f t="shared" si="2490"/>
        <v>0</v>
      </c>
      <c r="RY474" s="98">
        <f t="shared" si="2490"/>
        <v>0</v>
      </c>
      <c r="RZ474" s="98">
        <f t="shared" si="2490"/>
        <v>0</v>
      </c>
      <c r="SA474" s="98">
        <f t="shared" si="2490"/>
        <v>0</v>
      </c>
      <c r="SB474" s="98">
        <f t="shared" si="2490"/>
        <v>0</v>
      </c>
      <c r="SC474" s="98">
        <f t="shared" si="2490"/>
        <v>52510</v>
      </c>
      <c r="SD474" s="98">
        <f t="shared" si="2490"/>
        <v>1113680</v>
      </c>
      <c r="SE474" s="98">
        <f t="shared" si="2490"/>
        <v>0</v>
      </c>
      <c r="SF474" s="98">
        <f t="shared" si="2490"/>
        <v>0</v>
      </c>
      <c r="SG474" s="98">
        <f t="shared" si="2490"/>
        <v>0</v>
      </c>
      <c r="SH474" s="98">
        <f t="shared" si="2490"/>
        <v>0</v>
      </c>
      <c r="SK474" s="98">
        <f t="shared" ref="SK474:SX474" si="2491">SUM(SK355,SK393,SK431)</f>
        <v>48300</v>
      </c>
      <c r="SL474" s="98">
        <f t="shared" si="2491"/>
        <v>898750</v>
      </c>
      <c r="SM474" s="98">
        <f t="shared" si="2491"/>
        <v>0</v>
      </c>
      <c r="SN474" s="98">
        <f t="shared" si="2491"/>
        <v>0</v>
      </c>
      <c r="SO474" s="98">
        <f t="shared" si="2491"/>
        <v>0</v>
      </c>
      <c r="SP474" s="98">
        <f t="shared" si="2491"/>
        <v>0</v>
      </c>
      <c r="SQ474" s="98">
        <f t="shared" si="2491"/>
        <v>0</v>
      </c>
      <c r="SR474" s="98">
        <f t="shared" si="2491"/>
        <v>0</v>
      </c>
      <c r="SS474" s="98">
        <f t="shared" si="2491"/>
        <v>48300</v>
      </c>
      <c r="ST474" s="98">
        <f t="shared" si="2491"/>
        <v>898750</v>
      </c>
      <c r="SU474" s="98">
        <f t="shared" si="2491"/>
        <v>0</v>
      </c>
      <c r="SV474" s="98">
        <f t="shared" si="2491"/>
        <v>0</v>
      </c>
      <c r="SW474" s="98">
        <f t="shared" si="2491"/>
        <v>0</v>
      </c>
      <c r="SX474" s="98">
        <f t="shared" si="2491"/>
        <v>0</v>
      </c>
      <c r="TA474" s="98">
        <f t="shared" ref="TA474:TN474" si="2492">SUM(TA355,TA393,TA431)</f>
        <v>60525</v>
      </c>
      <c r="TB474" s="98">
        <f t="shared" si="2492"/>
        <v>1295895</v>
      </c>
      <c r="TC474" s="98">
        <f t="shared" si="2492"/>
        <v>0</v>
      </c>
      <c r="TD474" s="98">
        <f t="shared" si="2492"/>
        <v>0</v>
      </c>
      <c r="TE474" s="98">
        <f t="shared" si="2492"/>
        <v>0</v>
      </c>
      <c r="TF474" s="98">
        <f t="shared" si="2492"/>
        <v>0</v>
      </c>
      <c r="TG474" s="98">
        <f t="shared" si="2492"/>
        <v>0</v>
      </c>
      <c r="TH474" s="98">
        <f t="shared" si="2492"/>
        <v>0</v>
      </c>
      <c r="TI474" s="98">
        <f t="shared" si="2492"/>
        <v>60525</v>
      </c>
      <c r="TJ474" s="98">
        <f t="shared" si="2492"/>
        <v>1295895</v>
      </c>
      <c r="TK474" s="98">
        <f t="shared" si="2492"/>
        <v>0</v>
      </c>
      <c r="TL474" s="98">
        <f t="shared" si="2492"/>
        <v>0</v>
      </c>
      <c r="TM474" s="98">
        <f t="shared" si="2492"/>
        <v>0</v>
      </c>
      <c r="TN474" s="98">
        <f t="shared" si="2492"/>
        <v>0</v>
      </c>
      <c r="TQ474" s="98">
        <f t="shared" ref="TQ474:UD474" si="2493">SUM(TQ355,TQ393,TQ431)</f>
        <v>45500</v>
      </c>
      <c r="TR474" s="98">
        <f t="shared" si="2493"/>
        <v>929000</v>
      </c>
      <c r="TS474" s="98">
        <f t="shared" si="2493"/>
        <v>0</v>
      </c>
      <c r="TT474" s="98">
        <f t="shared" si="2493"/>
        <v>0</v>
      </c>
      <c r="TU474" s="98">
        <f t="shared" si="2493"/>
        <v>9500</v>
      </c>
      <c r="TV474" s="98">
        <f t="shared" si="2493"/>
        <v>300000</v>
      </c>
      <c r="TW474" s="98">
        <f t="shared" si="2493"/>
        <v>0</v>
      </c>
      <c r="TX474" s="98">
        <f t="shared" si="2493"/>
        <v>0</v>
      </c>
      <c r="TY474" s="98">
        <f t="shared" si="2493"/>
        <v>55000</v>
      </c>
      <c r="TZ474" s="98">
        <f t="shared" si="2493"/>
        <v>1229000</v>
      </c>
      <c r="UA474" s="98">
        <f t="shared" si="2493"/>
        <v>0</v>
      </c>
      <c r="UB474" s="98">
        <f t="shared" si="2493"/>
        <v>0</v>
      </c>
      <c r="UC474" s="98">
        <f t="shared" si="2493"/>
        <v>0</v>
      </c>
      <c r="UD474" s="98">
        <f t="shared" si="2493"/>
        <v>0</v>
      </c>
      <c r="UG474" s="98">
        <f t="shared" ref="UG474:UT474" si="2494">SUM(UG355,UG393,UG431)</f>
        <v>57869</v>
      </c>
      <c r="UH474" s="98">
        <f t="shared" si="2494"/>
        <v>1061338</v>
      </c>
      <c r="UI474" s="98">
        <f t="shared" si="2494"/>
        <v>0</v>
      </c>
      <c r="UJ474" s="98">
        <f t="shared" si="2494"/>
        <v>0</v>
      </c>
      <c r="UK474" s="98">
        <f t="shared" si="2494"/>
        <v>0</v>
      </c>
      <c r="UL474" s="98">
        <f t="shared" si="2494"/>
        <v>0</v>
      </c>
      <c r="UM474" s="98">
        <f t="shared" si="2494"/>
        <v>0</v>
      </c>
      <c r="UN474" s="98">
        <f t="shared" si="2494"/>
        <v>0</v>
      </c>
      <c r="UO474" s="98">
        <f t="shared" si="2494"/>
        <v>57869</v>
      </c>
      <c r="UP474" s="98">
        <f t="shared" si="2494"/>
        <v>1061338</v>
      </c>
      <c r="UQ474" s="98">
        <f t="shared" si="2494"/>
        <v>0</v>
      </c>
      <c r="UR474" s="98">
        <f t="shared" si="2494"/>
        <v>0</v>
      </c>
      <c r="US474" s="98">
        <f t="shared" si="2494"/>
        <v>604050</v>
      </c>
      <c r="UT474" s="98">
        <f t="shared" si="2494"/>
        <v>6054000</v>
      </c>
      <c r="UW474" s="98">
        <f t="shared" ref="UW474:VC474" si="2495">SUM(UW355,UW393,UW431)</f>
        <v>7680</v>
      </c>
      <c r="UX474" s="98">
        <f t="shared" si="2495"/>
        <v>145920</v>
      </c>
      <c r="UY474" s="98">
        <f t="shared" si="2495"/>
        <v>0</v>
      </c>
      <c r="UZ474" s="98">
        <f t="shared" si="2495"/>
        <v>0</v>
      </c>
      <c r="VA474" s="98">
        <f t="shared" si="2495"/>
        <v>0</v>
      </c>
      <c r="VB474" s="98">
        <f t="shared" si="2495"/>
        <v>0</v>
      </c>
      <c r="VC474" s="98">
        <f t="shared" si="2495"/>
        <v>0</v>
      </c>
      <c r="VD474" s="98">
        <f>SUM(VF355,VD393,VD431)</f>
        <v>2280122</v>
      </c>
      <c r="VE474" s="98">
        <f t="shared" ref="VE474:VJ474" si="2496">SUM(VE355,VE393,VE431)</f>
        <v>611730</v>
      </c>
      <c r="VF474" s="98">
        <f t="shared" si="2496"/>
        <v>6199920</v>
      </c>
      <c r="VG474" s="98">
        <f t="shared" si="2496"/>
        <v>0</v>
      </c>
      <c r="VH474" s="98">
        <f t="shared" si="2496"/>
        <v>0</v>
      </c>
      <c r="VI474" s="98">
        <f t="shared" si="2496"/>
        <v>134084</v>
      </c>
      <c r="VJ474" s="98">
        <f t="shared" si="2496"/>
        <v>5691075</v>
      </c>
      <c r="VM474" s="98">
        <f t="shared" ref="VM474:VZ474" si="2497">SUM(VM355,VM393,VM431)</f>
        <v>58229</v>
      </c>
      <c r="VN474" s="98">
        <f t="shared" si="2497"/>
        <v>1221465</v>
      </c>
      <c r="VO474" s="98">
        <f t="shared" si="2497"/>
        <v>0</v>
      </c>
      <c r="VP474" s="98">
        <f t="shared" si="2497"/>
        <v>0</v>
      </c>
      <c r="VQ474" s="98">
        <f t="shared" si="2497"/>
        <v>0</v>
      </c>
      <c r="VR474" s="98">
        <f t="shared" si="2497"/>
        <v>0</v>
      </c>
      <c r="VS474" s="98">
        <f t="shared" si="2497"/>
        <v>0</v>
      </c>
      <c r="VT474" s="98">
        <f t="shared" si="2497"/>
        <v>0</v>
      </c>
      <c r="VU474" s="98">
        <f t="shared" si="2497"/>
        <v>192313</v>
      </c>
      <c r="VV474" s="98">
        <f t="shared" si="2497"/>
        <v>6912540</v>
      </c>
      <c r="VW474" s="98">
        <f t="shared" si="2497"/>
        <v>0</v>
      </c>
      <c r="VX474" s="98">
        <f t="shared" si="2497"/>
        <v>0</v>
      </c>
      <c r="VY474" s="98">
        <f t="shared" si="2497"/>
        <v>1228590</v>
      </c>
      <c r="VZ474" s="98">
        <f t="shared" si="2497"/>
        <v>40856020</v>
      </c>
      <c r="WC474" s="98">
        <f t="shared" ref="WC474:WL474" si="2498">SUM(WC355,WC393,WC431)</f>
        <v>1207560</v>
      </c>
      <c r="WD474" s="98">
        <f t="shared" si="2498"/>
        <v>26620150</v>
      </c>
      <c r="WE474" s="98">
        <f t="shared" si="2498"/>
        <v>0</v>
      </c>
      <c r="WF474" s="98">
        <f t="shared" si="2498"/>
        <v>0</v>
      </c>
      <c r="WG474" s="98">
        <f t="shared" si="2498"/>
        <v>0</v>
      </c>
      <c r="WH474" s="98">
        <f t="shared" si="2498"/>
        <v>0</v>
      </c>
      <c r="WI474" s="98">
        <f t="shared" si="2498"/>
        <v>13800</v>
      </c>
      <c r="WJ474" s="98">
        <f t="shared" si="2498"/>
        <v>282700</v>
      </c>
      <c r="WK474" s="98">
        <f t="shared" si="2498"/>
        <v>2449950</v>
      </c>
      <c r="WL474" s="98">
        <f t="shared" si="2498"/>
        <v>67758870</v>
      </c>
      <c r="WN474" s="98">
        <f t="shared" ref="WN474:XC474" si="2499">SUM(WN355,WN393,WN431)</f>
        <v>220602867.23539978</v>
      </c>
      <c r="WO474" s="98">
        <f t="shared" si="2499"/>
        <v>1123512499.9719434</v>
      </c>
      <c r="WP474" s="98">
        <f t="shared" si="2499"/>
        <v>69231142.99459666</v>
      </c>
      <c r="WQ474" s="98">
        <f t="shared" si="2499"/>
        <v>2344147412.6014442</v>
      </c>
      <c r="WR474" s="98">
        <f t="shared" si="2499"/>
        <v>0</v>
      </c>
      <c r="WS474" s="98">
        <f t="shared" si="2499"/>
        <v>0</v>
      </c>
      <c r="WT474" s="98">
        <f t="shared" si="2499"/>
        <v>78938573.79381308</v>
      </c>
      <c r="WU474" s="98">
        <f t="shared" si="2499"/>
        <v>1593113373.4098618</v>
      </c>
      <c r="WV474" s="98">
        <f t="shared" si="2499"/>
        <v>4021330</v>
      </c>
      <c r="WW474" s="98">
        <f t="shared" si="2499"/>
        <v>114756085</v>
      </c>
      <c r="WX474" s="98">
        <f t="shared" si="2499"/>
        <v>2409362</v>
      </c>
      <c r="WY474" s="98">
        <f t="shared" si="2499"/>
        <v>43451167</v>
      </c>
      <c r="WZ474" s="98">
        <f t="shared" si="2499"/>
        <v>1433763.56</v>
      </c>
      <c r="XA474" s="98">
        <f t="shared" si="2499"/>
        <v>34156766</v>
      </c>
      <c r="XB474" s="107">
        <f t="shared" si="2499"/>
        <v>376637039.58380955</v>
      </c>
      <c r="XC474" s="107">
        <f t="shared" si="2499"/>
        <v>5253137303.9832497</v>
      </c>
      <c r="XK474" s="98">
        <f t="shared" ref="XK474:XR474" si="2500">SUM(XK355,XK393,XK431)</f>
        <v>0</v>
      </c>
      <c r="XL474" s="98">
        <f t="shared" si="2500"/>
        <v>0</v>
      </c>
      <c r="XM474" s="98">
        <f t="shared" si="2500"/>
        <v>0</v>
      </c>
      <c r="XN474" s="98">
        <f t="shared" si="2500"/>
        <v>0</v>
      </c>
      <c r="XO474" s="98">
        <f t="shared" si="2500"/>
        <v>0</v>
      </c>
      <c r="XP474" s="98">
        <f t="shared" si="2500"/>
        <v>0</v>
      </c>
      <c r="XQ474" s="98">
        <f t="shared" si="2500"/>
        <v>0</v>
      </c>
      <c r="XR474" s="107">
        <f t="shared" ca="1" si="2500"/>
        <v>0</v>
      </c>
      <c r="XT474" s="98">
        <f t="shared" ref="XT474:YA474" si="2501">SUM(XT355,XT393,XT431)</f>
        <v>0</v>
      </c>
      <c r="XU474" s="98">
        <f t="shared" si="2501"/>
        <v>0</v>
      </c>
      <c r="XV474" s="98">
        <f t="shared" si="2501"/>
        <v>0</v>
      </c>
      <c r="XW474" s="98">
        <f t="shared" si="2501"/>
        <v>0</v>
      </c>
      <c r="XX474" s="98">
        <f t="shared" si="2501"/>
        <v>0</v>
      </c>
      <c r="XY474" s="98">
        <f t="shared" si="2501"/>
        <v>0</v>
      </c>
      <c r="XZ474" s="98">
        <f t="shared" si="2501"/>
        <v>0</v>
      </c>
      <c r="YA474" s="107">
        <f t="shared" ca="1" si="2501"/>
        <v>0</v>
      </c>
    </row>
    <row r="475" spans="1:1017">
      <c r="B475" s="93" t="s">
        <v>45</v>
      </c>
      <c r="C475" s="98">
        <f>SUM(C13,C51,C89,C127,C165,C203,C241,C279,C317,C355,C393,C431)</f>
        <v>0</v>
      </c>
      <c r="D475" s="98">
        <f>SUM(D13,D51,D89,D127,D165,D203,D241,D279,D317,D355,D393,D431)</f>
        <v>0</v>
      </c>
      <c r="E475" s="98">
        <f>SUM(E13,E51,E89,E127,E165,E203,E241,E279,E317,E355,E393,E431)</f>
        <v>14223257</v>
      </c>
      <c r="F475" s="98">
        <f>SUM(F13,F51,F89,F127,F165,F203,F241,F279,F317,F355,F393,F431)</f>
        <v>530450673.60000002</v>
      </c>
      <c r="I475" s="98">
        <f t="shared" ref="I475:V475" si="2502">SUM(I13,I51,I89,I127,I165,I203,I241,I279,I317,I355,I393,I431)</f>
        <v>853750</v>
      </c>
      <c r="J475" s="98">
        <f t="shared" si="2502"/>
        <v>19204750</v>
      </c>
      <c r="K475" s="98">
        <f t="shared" si="2502"/>
        <v>0</v>
      </c>
      <c r="L475" s="98">
        <f t="shared" si="2502"/>
        <v>0</v>
      </c>
      <c r="M475" s="98">
        <f t="shared" si="2502"/>
        <v>4600</v>
      </c>
      <c r="N475" s="98">
        <f t="shared" si="2502"/>
        <v>92000</v>
      </c>
      <c r="O475" s="98">
        <f t="shared" si="2502"/>
        <v>0</v>
      </c>
      <c r="P475" s="98">
        <f t="shared" si="2502"/>
        <v>0</v>
      </c>
      <c r="Q475" s="99">
        <f t="shared" si="2502"/>
        <v>15081607</v>
      </c>
      <c r="R475" s="99">
        <f t="shared" si="2502"/>
        <v>549747423.60000002</v>
      </c>
      <c r="S475" s="98">
        <f t="shared" si="2502"/>
        <v>48260</v>
      </c>
      <c r="T475" s="98">
        <f t="shared" si="2502"/>
        <v>5721650</v>
      </c>
      <c r="U475" s="98">
        <f t="shared" si="2502"/>
        <v>20072390</v>
      </c>
      <c r="V475" s="98">
        <f t="shared" si="2502"/>
        <v>1036698610</v>
      </c>
      <c r="Y475" s="98">
        <f t="shared" ref="Y475:AL475" si="2503">SUM(Y13,Y51,Y89,Y127,Y165,Y203,Y241,Y279,Y317,Y355,Y393,Y431)</f>
        <v>10385735</v>
      </c>
      <c r="Z475" s="98">
        <f t="shared" si="2503"/>
        <v>211580220</v>
      </c>
      <c r="AA475" s="98">
        <f t="shared" si="2503"/>
        <v>68205</v>
      </c>
      <c r="AB475" s="98">
        <f t="shared" si="2503"/>
        <v>1867275</v>
      </c>
      <c r="AC475" s="98">
        <f t="shared" si="2503"/>
        <v>47815</v>
      </c>
      <c r="AD475" s="98">
        <f t="shared" si="2503"/>
        <v>1317575</v>
      </c>
      <c r="AE475" s="98">
        <f t="shared" si="2503"/>
        <v>24030</v>
      </c>
      <c r="AF475" s="98">
        <f t="shared" si="2503"/>
        <v>547725</v>
      </c>
      <c r="AG475" s="98">
        <f t="shared" si="2503"/>
        <v>30646435</v>
      </c>
      <c r="AH475" s="98">
        <f t="shared" si="2503"/>
        <v>1257733055</v>
      </c>
      <c r="AI475" s="98">
        <f t="shared" si="2503"/>
        <v>0</v>
      </c>
      <c r="AJ475" s="98">
        <f t="shared" si="2503"/>
        <v>0</v>
      </c>
      <c r="AK475" s="98">
        <f t="shared" si="2503"/>
        <v>436100</v>
      </c>
      <c r="AL475" s="98">
        <f t="shared" si="2503"/>
        <v>28346500</v>
      </c>
      <c r="AO475" s="98">
        <f t="shared" ref="AO475:BB475" si="2504">SUM(AO13,AO51,AO89,AO127,AO165,AO203,AO241,AO279,AO317,AO355,AO393,AO431)</f>
        <v>17270300</v>
      </c>
      <c r="AP475" s="98">
        <f t="shared" si="2504"/>
        <v>385112100</v>
      </c>
      <c r="AQ475" s="98">
        <f t="shared" si="2504"/>
        <v>1820</v>
      </c>
      <c r="AR475" s="98">
        <f t="shared" si="2504"/>
        <v>43900</v>
      </c>
      <c r="AS475" s="98">
        <f t="shared" si="2504"/>
        <v>0</v>
      </c>
      <c r="AT475" s="98">
        <f t="shared" si="2504"/>
        <v>0</v>
      </c>
      <c r="AU475" s="98">
        <f t="shared" si="2504"/>
        <v>28205</v>
      </c>
      <c r="AV475" s="98">
        <f t="shared" si="2504"/>
        <v>681420</v>
      </c>
      <c r="AW475" s="98">
        <f t="shared" si="2504"/>
        <v>17736425</v>
      </c>
      <c r="AX475" s="98">
        <f t="shared" si="2504"/>
        <v>414183920</v>
      </c>
      <c r="AY475" s="98">
        <f t="shared" si="2504"/>
        <v>0</v>
      </c>
      <c r="AZ475" s="98">
        <f t="shared" si="2504"/>
        <v>0</v>
      </c>
      <c r="BA475" s="98">
        <f t="shared" si="2504"/>
        <v>0</v>
      </c>
      <c r="BB475" s="98">
        <f t="shared" si="2504"/>
        <v>0</v>
      </c>
      <c r="BE475" s="98">
        <f t="shared" ref="BE475:BR475" si="2505">SUM(BE13,BE51,BE89,BE127,BE165,BE203,BE241,BE279,BE317,BE355,BE393,BE431)</f>
        <v>5268405</v>
      </c>
      <c r="BF475" s="98">
        <f t="shared" si="2505"/>
        <v>105656405.5</v>
      </c>
      <c r="BG475" s="98">
        <f t="shared" si="2505"/>
        <v>84222</v>
      </c>
      <c r="BH475" s="98">
        <f t="shared" si="2505"/>
        <v>1680599</v>
      </c>
      <c r="BI475" s="98">
        <f t="shared" si="2505"/>
        <v>0</v>
      </c>
      <c r="BJ475" s="98">
        <f t="shared" si="2505"/>
        <v>0</v>
      </c>
      <c r="BK475" s="98">
        <f t="shared" si="2505"/>
        <v>31501</v>
      </c>
      <c r="BL475" s="98">
        <f t="shared" si="2505"/>
        <v>524223</v>
      </c>
      <c r="BM475" s="98">
        <f t="shared" si="2505"/>
        <v>5384128</v>
      </c>
      <c r="BN475" s="98">
        <f t="shared" si="2505"/>
        <v>107861227.5</v>
      </c>
      <c r="BO475" s="98">
        <f t="shared" si="2505"/>
        <v>0</v>
      </c>
      <c r="BP475" s="98">
        <f t="shared" si="2505"/>
        <v>0</v>
      </c>
      <c r="BQ475" s="98">
        <f t="shared" si="2505"/>
        <v>0</v>
      </c>
      <c r="BR475" s="98">
        <f t="shared" si="2505"/>
        <v>0</v>
      </c>
      <c r="BU475" s="98">
        <f t="shared" ref="BU475:CH475" si="2506">SUM(BU13,BU51,BU89,BU127,BU165,BU203,BU241,BU279,BU317,BU355,BU393,BU431)</f>
        <v>849316</v>
      </c>
      <c r="BV475" s="98">
        <f t="shared" si="2506"/>
        <v>18251469</v>
      </c>
      <c r="BW475" s="98">
        <f t="shared" si="2506"/>
        <v>0</v>
      </c>
      <c r="BX475" s="98">
        <f t="shared" si="2506"/>
        <v>0</v>
      </c>
      <c r="BY475" s="98">
        <f t="shared" si="2506"/>
        <v>0</v>
      </c>
      <c r="BZ475" s="98">
        <f t="shared" si="2506"/>
        <v>0</v>
      </c>
      <c r="CA475" s="98">
        <f t="shared" si="2506"/>
        <v>0</v>
      </c>
      <c r="CB475" s="98">
        <f t="shared" si="2506"/>
        <v>0</v>
      </c>
      <c r="CC475" s="98">
        <f t="shared" si="2506"/>
        <v>849316</v>
      </c>
      <c r="CD475" s="98">
        <f t="shared" si="2506"/>
        <v>18251469</v>
      </c>
      <c r="CE475" s="98">
        <f t="shared" si="2506"/>
        <v>13740678.926078347</v>
      </c>
      <c r="CF475" s="98">
        <f t="shared" si="2506"/>
        <v>53413466.486336268</v>
      </c>
      <c r="CG475" s="98">
        <f t="shared" si="2506"/>
        <v>82445960.751360208</v>
      </c>
      <c r="CH475" s="98">
        <f t="shared" si="2506"/>
        <v>2385261859.7672048</v>
      </c>
      <c r="CK475" s="98">
        <f t="shared" ref="CK475:CX475" si="2507">SUM(CK13,CK51,CK89,CK127,CK165,CK203,CK241,CK279,CK317,CK355,CK393,CK431)</f>
        <v>64252434.849478073</v>
      </c>
      <c r="CL475" s="98">
        <f t="shared" si="2507"/>
        <v>1106280395.0529156</v>
      </c>
      <c r="CM475" s="98">
        <f t="shared" si="2507"/>
        <v>0</v>
      </c>
      <c r="CN475" s="98">
        <f t="shared" si="2507"/>
        <v>0</v>
      </c>
      <c r="CO475" s="98">
        <f t="shared" si="2507"/>
        <v>0</v>
      </c>
      <c r="CP475" s="98">
        <f t="shared" si="2507"/>
        <v>0</v>
      </c>
      <c r="CQ475" s="98">
        <f t="shared" si="2507"/>
        <v>0</v>
      </c>
      <c r="CR475" s="98">
        <f t="shared" si="2507"/>
        <v>0</v>
      </c>
      <c r="CS475" s="98">
        <f t="shared" si="2507"/>
        <v>160439074.52691662</v>
      </c>
      <c r="CT475" s="98">
        <f t="shared" si="2507"/>
        <v>3544955721.3064561</v>
      </c>
      <c r="CU475" s="98">
        <f t="shared" si="2507"/>
        <v>0</v>
      </c>
      <c r="CV475" s="98">
        <f t="shared" si="2507"/>
        <v>0</v>
      </c>
      <c r="CW475" s="98">
        <f t="shared" si="2507"/>
        <v>3938067.9328566561</v>
      </c>
      <c r="CX475" s="98">
        <f t="shared" si="2507"/>
        <v>235205864.45300001</v>
      </c>
      <c r="DA475" s="98">
        <f t="shared" ref="DA475:DN475" si="2508">SUM(DA13,DA51,DA89,DA127,DA165,DA203,DA241,DA279,DA317,DA355,DA393,DA431)</f>
        <v>12436925.536938431</v>
      </c>
      <c r="DB475" s="98">
        <f t="shared" si="2508"/>
        <v>272994871.54899997</v>
      </c>
      <c r="DC475" s="98">
        <f t="shared" si="2508"/>
        <v>35722.000366</v>
      </c>
      <c r="DD475" s="98">
        <f t="shared" si="2508"/>
        <v>879880.01500000001</v>
      </c>
      <c r="DE475" s="98">
        <f t="shared" si="2508"/>
        <v>0</v>
      </c>
      <c r="DF475" s="98">
        <f t="shared" si="2508"/>
        <v>0</v>
      </c>
      <c r="DG475" s="98">
        <f t="shared" si="2508"/>
        <v>0</v>
      </c>
      <c r="DH475" s="98">
        <f t="shared" si="2508"/>
        <v>0</v>
      </c>
      <c r="DI475" s="98">
        <f t="shared" si="2508"/>
        <v>16410715.470161088</v>
      </c>
      <c r="DJ475" s="98">
        <f t="shared" si="2508"/>
        <v>509080616.01700002</v>
      </c>
      <c r="DK475" s="98">
        <f t="shared" si="2508"/>
        <v>0</v>
      </c>
      <c r="DL475" s="98">
        <f t="shared" si="2508"/>
        <v>0</v>
      </c>
      <c r="DM475" s="98">
        <f t="shared" si="2508"/>
        <v>0</v>
      </c>
      <c r="DN475" s="98">
        <f t="shared" si="2508"/>
        <v>0</v>
      </c>
      <c r="DQ475" s="98">
        <f t="shared" ref="DQ475:ED475" si="2509">SUM(DQ13,DQ51,DQ89,DQ127,DQ165,DQ203,DQ241,DQ279,DQ317,DQ355,DQ393,DQ431)</f>
        <v>14792000</v>
      </c>
      <c r="DR475" s="98">
        <f t="shared" si="2509"/>
        <v>269622700</v>
      </c>
      <c r="DS475" s="98">
        <f t="shared" si="2509"/>
        <v>0</v>
      </c>
      <c r="DT475" s="98">
        <f t="shared" si="2509"/>
        <v>0</v>
      </c>
      <c r="DU475" s="98">
        <f t="shared" si="2509"/>
        <v>0</v>
      </c>
      <c r="DV475" s="98">
        <f t="shared" si="2509"/>
        <v>0</v>
      </c>
      <c r="DW475" s="98">
        <f t="shared" si="2509"/>
        <v>0</v>
      </c>
      <c r="DX475" s="98">
        <f t="shared" si="2509"/>
        <v>0</v>
      </c>
      <c r="DY475" s="98">
        <f t="shared" si="2509"/>
        <v>14792000</v>
      </c>
      <c r="DZ475" s="98">
        <f t="shared" si="2509"/>
        <v>269622700</v>
      </c>
      <c r="EA475" s="98">
        <f t="shared" si="2509"/>
        <v>0</v>
      </c>
      <c r="EB475" s="98">
        <f t="shared" si="2509"/>
        <v>0</v>
      </c>
      <c r="EC475" s="98">
        <f t="shared" si="2509"/>
        <v>0</v>
      </c>
      <c r="ED475" s="98">
        <f t="shared" si="2509"/>
        <v>0</v>
      </c>
      <c r="EG475" s="98">
        <f t="shared" ref="EG475:ET475" si="2510">SUM(EG13,EG51,EG89,EG127,EG165,EG203,EG241,EG279,EG317,EG355,EG393,EG431)</f>
        <v>25514275</v>
      </c>
      <c r="EH475" s="98">
        <f t="shared" si="2510"/>
        <v>482643365</v>
      </c>
      <c r="EI475" s="98">
        <f t="shared" si="2510"/>
        <v>0</v>
      </c>
      <c r="EJ475" s="98">
        <f t="shared" si="2510"/>
        <v>0</v>
      </c>
      <c r="EK475" s="98">
        <f t="shared" si="2510"/>
        <v>0</v>
      </c>
      <c r="EL475" s="98">
        <f t="shared" si="2510"/>
        <v>0</v>
      </c>
      <c r="EM475" s="98">
        <f t="shared" si="2510"/>
        <v>0</v>
      </c>
      <c r="EN475" s="98">
        <f t="shared" si="2510"/>
        <v>0</v>
      </c>
      <c r="EO475" s="98">
        <f t="shared" si="2510"/>
        <v>25514275</v>
      </c>
      <c r="EP475" s="98">
        <f t="shared" si="2510"/>
        <v>482643365</v>
      </c>
      <c r="EQ475" s="98">
        <f t="shared" si="2510"/>
        <v>0</v>
      </c>
      <c r="ER475" s="98">
        <f t="shared" si="2510"/>
        <v>0</v>
      </c>
      <c r="ES475" s="98">
        <f t="shared" si="2510"/>
        <v>4881277</v>
      </c>
      <c r="ET475" s="98">
        <f t="shared" si="2510"/>
        <v>296519672</v>
      </c>
      <c r="EW475" s="98">
        <f t="shared" ref="EW475:FJ475" si="2511">SUM(EW13,EW51,EW89,EW127,EW165,EW203,EW241,EW279,EW317,EW355,EW393,EW431)</f>
        <v>41981324</v>
      </c>
      <c r="EX475" s="98">
        <f t="shared" si="2511"/>
        <v>1131862037</v>
      </c>
      <c r="EY475" s="98">
        <f t="shared" si="2511"/>
        <v>0</v>
      </c>
      <c r="EZ475" s="98">
        <f t="shared" si="2511"/>
        <v>0</v>
      </c>
      <c r="FA475" s="98">
        <f t="shared" si="2511"/>
        <v>74030</v>
      </c>
      <c r="FB475" s="98">
        <f t="shared" si="2511"/>
        <v>1375104</v>
      </c>
      <c r="FC475" s="98">
        <f t="shared" si="2511"/>
        <v>5216</v>
      </c>
      <c r="FD475" s="98">
        <f t="shared" si="2511"/>
        <v>96712</v>
      </c>
      <c r="FE475" s="98">
        <f t="shared" si="2511"/>
        <v>46941847</v>
      </c>
      <c r="FF475" s="98">
        <f t="shared" si="2511"/>
        <v>1429853525</v>
      </c>
      <c r="FG475" s="98">
        <f t="shared" si="2511"/>
        <v>0</v>
      </c>
      <c r="FH475" s="98">
        <f t="shared" si="2511"/>
        <v>0</v>
      </c>
      <c r="FI475" s="98">
        <f t="shared" si="2511"/>
        <v>1490000</v>
      </c>
      <c r="FJ475" s="98">
        <f t="shared" si="2511"/>
        <v>89400000</v>
      </c>
      <c r="FM475" s="98">
        <f t="shared" ref="FM475:FZ475" si="2512">SUM(FM13,FM51,FM89,FM127,FM165,FM203,FM241,FM279,FM317,FM355,FM393,FM431)</f>
        <v>2736500.4</v>
      </c>
      <c r="FN475" s="98">
        <f t="shared" si="2512"/>
        <v>69421076.5</v>
      </c>
      <c r="FO475" s="98">
        <f t="shared" si="2512"/>
        <v>0</v>
      </c>
      <c r="FP475" s="98">
        <f t="shared" si="2512"/>
        <v>0</v>
      </c>
      <c r="FQ475" s="98">
        <f t="shared" si="2512"/>
        <v>0</v>
      </c>
      <c r="FR475" s="98">
        <f t="shared" si="2512"/>
        <v>0</v>
      </c>
      <c r="FS475" s="98">
        <f t="shared" si="2512"/>
        <v>885096</v>
      </c>
      <c r="FT475" s="98">
        <f t="shared" si="2512"/>
        <v>25850858</v>
      </c>
      <c r="FU475" s="98">
        <f t="shared" si="2512"/>
        <v>5111596.4000000004</v>
      </c>
      <c r="FV475" s="98">
        <f t="shared" si="2512"/>
        <v>184671934.5</v>
      </c>
      <c r="FW475" s="98">
        <f t="shared" si="2512"/>
        <v>0</v>
      </c>
      <c r="FX475" s="98">
        <f t="shared" si="2512"/>
        <v>0</v>
      </c>
      <c r="FY475" s="98">
        <f t="shared" si="2512"/>
        <v>0</v>
      </c>
      <c r="FZ475" s="98">
        <f t="shared" si="2512"/>
        <v>0</v>
      </c>
      <c r="GC475" s="98">
        <f t="shared" ref="GC475:GP475" si="2513">SUM(GC13,GC51,GC89,GC127,GC165,GC203,GC241,GC279,GC317,GC355,GC393,GC431)</f>
        <v>3850100</v>
      </c>
      <c r="GD475" s="98">
        <f t="shared" si="2513"/>
        <v>79363625</v>
      </c>
      <c r="GE475" s="98">
        <f t="shared" si="2513"/>
        <v>0</v>
      </c>
      <c r="GF475" s="98">
        <f t="shared" si="2513"/>
        <v>0</v>
      </c>
      <c r="GG475" s="98">
        <f t="shared" si="2513"/>
        <v>0</v>
      </c>
      <c r="GH475" s="98">
        <f t="shared" si="2513"/>
        <v>0</v>
      </c>
      <c r="GI475" s="98">
        <f t="shared" si="2513"/>
        <v>0</v>
      </c>
      <c r="GJ475" s="98">
        <f t="shared" si="2513"/>
        <v>0</v>
      </c>
      <c r="GK475" s="98">
        <f t="shared" si="2513"/>
        <v>3850100</v>
      </c>
      <c r="GL475" s="98">
        <f t="shared" si="2513"/>
        <v>79363625</v>
      </c>
      <c r="GM475" s="98">
        <f t="shared" si="2513"/>
        <v>0</v>
      </c>
      <c r="GN475" s="98">
        <f t="shared" si="2513"/>
        <v>0</v>
      </c>
      <c r="GO475" s="98">
        <f t="shared" si="2513"/>
        <v>0</v>
      </c>
      <c r="GP475" s="98">
        <f t="shared" si="2513"/>
        <v>0</v>
      </c>
      <c r="GS475" s="98">
        <f t="shared" ref="GS475:HF475" si="2514">SUM(GS13,GS51,GS89,GS127,GS165,GS203,GS241,GS279,GS317,GS355,GS393,GS431)</f>
        <v>1858550</v>
      </c>
      <c r="GT475" s="98">
        <f t="shared" si="2514"/>
        <v>36091175</v>
      </c>
      <c r="GU475" s="98">
        <f t="shared" si="2514"/>
        <v>0</v>
      </c>
      <c r="GV475" s="98">
        <f t="shared" si="2514"/>
        <v>0</v>
      </c>
      <c r="GW475" s="98">
        <f t="shared" si="2514"/>
        <v>0</v>
      </c>
      <c r="GX475" s="98">
        <f t="shared" si="2514"/>
        <v>0</v>
      </c>
      <c r="GY475" s="98">
        <f t="shared" si="2514"/>
        <v>1730</v>
      </c>
      <c r="GZ475" s="98">
        <f t="shared" si="2514"/>
        <v>47980</v>
      </c>
      <c r="HA475" s="98">
        <f t="shared" si="2514"/>
        <v>1860280</v>
      </c>
      <c r="HB475" s="98">
        <f t="shared" si="2514"/>
        <v>36139155</v>
      </c>
      <c r="HC475" s="98">
        <f t="shared" si="2514"/>
        <v>0</v>
      </c>
      <c r="HD475" s="98">
        <f t="shared" si="2514"/>
        <v>0</v>
      </c>
      <c r="HE475" s="98">
        <f t="shared" si="2514"/>
        <v>1640000</v>
      </c>
      <c r="HF475" s="98">
        <f t="shared" si="2514"/>
        <v>104135000</v>
      </c>
      <c r="HI475" s="98">
        <f t="shared" ref="HI475:HV475" si="2515">SUM(HI13,HI51,HI89,HI127,HI165,HI203,HI241,HI279,HI317,HI355,HI393,HI431)</f>
        <v>7364300</v>
      </c>
      <c r="HJ475" s="98">
        <f t="shared" si="2515"/>
        <v>134808000</v>
      </c>
      <c r="HK475" s="98">
        <f t="shared" si="2515"/>
        <v>0</v>
      </c>
      <c r="HL475" s="98">
        <f t="shared" si="2515"/>
        <v>0</v>
      </c>
      <c r="HM475" s="98">
        <f t="shared" si="2515"/>
        <v>0</v>
      </c>
      <c r="HN475" s="98">
        <f t="shared" si="2515"/>
        <v>0</v>
      </c>
      <c r="HO475" s="98">
        <f t="shared" si="2515"/>
        <v>4260000</v>
      </c>
      <c r="HP475" s="98">
        <f t="shared" si="2515"/>
        <v>96700000</v>
      </c>
      <c r="HQ475" s="98">
        <f t="shared" si="2515"/>
        <v>13264300</v>
      </c>
      <c r="HR475" s="98">
        <f t="shared" si="2515"/>
        <v>335643000</v>
      </c>
      <c r="HS475" s="98">
        <f t="shared" si="2515"/>
        <v>0</v>
      </c>
      <c r="HT475" s="98">
        <f t="shared" si="2515"/>
        <v>0</v>
      </c>
      <c r="HU475" s="98">
        <f t="shared" si="2515"/>
        <v>0</v>
      </c>
      <c r="HV475" s="98">
        <f t="shared" si="2515"/>
        <v>0</v>
      </c>
      <c r="HY475" s="98">
        <f t="shared" ref="HY475:IL475" si="2516">SUM(HY13,HY51,HY89,HY127,HY165,HY203,HY241,HY279,HY317,HY355,HY393,HY431)</f>
        <v>1813118</v>
      </c>
      <c r="HZ475" s="98">
        <f t="shared" si="2516"/>
        <v>34905400</v>
      </c>
      <c r="IA475" s="98">
        <f t="shared" si="2516"/>
        <v>0</v>
      </c>
      <c r="IB475" s="98">
        <f t="shared" si="2516"/>
        <v>0</v>
      </c>
      <c r="IC475" s="98">
        <f t="shared" si="2516"/>
        <v>1800</v>
      </c>
      <c r="ID475" s="98">
        <f t="shared" si="2516"/>
        <v>45400</v>
      </c>
      <c r="IE475" s="98">
        <f t="shared" si="2516"/>
        <v>1700</v>
      </c>
      <c r="IF475" s="98">
        <f t="shared" si="2516"/>
        <v>36500</v>
      </c>
      <c r="IG475" s="98">
        <f t="shared" si="2516"/>
        <v>1816618</v>
      </c>
      <c r="IH475" s="98">
        <f t="shared" si="2516"/>
        <v>34987300</v>
      </c>
      <c r="II475" s="98">
        <f t="shared" si="2516"/>
        <v>0</v>
      </c>
      <c r="IJ475" s="98">
        <f t="shared" si="2516"/>
        <v>0</v>
      </c>
      <c r="IK475" s="98">
        <f t="shared" si="2516"/>
        <v>0</v>
      </c>
      <c r="IL475" s="98">
        <f t="shared" si="2516"/>
        <v>0</v>
      </c>
      <c r="IO475" s="98">
        <f t="shared" ref="IO475:JB475" si="2517">SUM(IO13,IO51,IO89,IO127,IO165,IO203,IO241,IO279,IO317,IO355,IO393,IO431)</f>
        <v>11030000</v>
      </c>
      <c r="IP475" s="98">
        <f t="shared" si="2517"/>
        <v>217798004</v>
      </c>
      <c r="IQ475" s="98">
        <f t="shared" si="2517"/>
        <v>0</v>
      </c>
      <c r="IR475" s="98">
        <f t="shared" si="2517"/>
        <v>0</v>
      </c>
      <c r="IS475" s="98">
        <f t="shared" si="2517"/>
        <v>0</v>
      </c>
      <c r="IT475" s="98">
        <f t="shared" si="2517"/>
        <v>0</v>
      </c>
      <c r="IU475" s="98">
        <f t="shared" si="2517"/>
        <v>0</v>
      </c>
      <c r="IV475" s="98">
        <f t="shared" si="2517"/>
        <v>0</v>
      </c>
      <c r="IW475" s="98">
        <f t="shared" si="2517"/>
        <v>11030000</v>
      </c>
      <c r="IX475" s="98">
        <f t="shared" si="2517"/>
        <v>217798004</v>
      </c>
      <c r="IY475" s="98">
        <f t="shared" si="2517"/>
        <v>0</v>
      </c>
      <c r="IZ475" s="98">
        <f t="shared" si="2517"/>
        <v>0</v>
      </c>
      <c r="JA475" s="98">
        <f t="shared" si="2517"/>
        <v>0</v>
      </c>
      <c r="JB475" s="98">
        <f t="shared" si="2517"/>
        <v>0</v>
      </c>
      <c r="JE475" s="98">
        <f t="shared" ref="JE475:JR475" si="2518">SUM(JE13,JE51,JE89,JE127,JE165,JE203,JE241,JE279,JE317,JE355,JE393,JE431)</f>
        <v>4406525</v>
      </c>
      <c r="JF475" s="98">
        <f t="shared" si="2518"/>
        <v>83744202</v>
      </c>
      <c r="JG475" s="98">
        <f t="shared" si="2518"/>
        <v>0</v>
      </c>
      <c r="JH475" s="98">
        <f t="shared" si="2518"/>
        <v>0</v>
      </c>
      <c r="JI475" s="98">
        <f t="shared" si="2518"/>
        <v>0</v>
      </c>
      <c r="JJ475" s="98">
        <f t="shared" si="2518"/>
        <v>0</v>
      </c>
      <c r="JK475" s="98">
        <f t="shared" si="2518"/>
        <v>106933</v>
      </c>
      <c r="JL475" s="98">
        <f t="shared" si="2518"/>
        <v>2042282</v>
      </c>
      <c r="JM475" s="98">
        <f t="shared" si="2518"/>
        <v>4513458</v>
      </c>
      <c r="JN475" s="98">
        <f t="shared" si="2518"/>
        <v>85786484</v>
      </c>
      <c r="JO475" s="98">
        <f t="shared" si="2518"/>
        <v>0</v>
      </c>
      <c r="JP475" s="98">
        <f t="shared" si="2518"/>
        <v>0</v>
      </c>
      <c r="JQ475" s="98">
        <f t="shared" si="2518"/>
        <v>1732575</v>
      </c>
      <c r="JR475" s="98">
        <f t="shared" si="2518"/>
        <v>137502608</v>
      </c>
      <c r="JU475" s="98">
        <f t="shared" ref="JU475:KH475" si="2519">SUM(JU13,JU51,JU89,JU127,JU165,JU203,JU241,JU279,JU317,JU355,JU393,JU431)</f>
        <v>930887</v>
      </c>
      <c r="JV475" s="98">
        <f t="shared" si="2519"/>
        <v>24238782</v>
      </c>
      <c r="JW475" s="98">
        <f t="shared" si="2519"/>
        <v>0</v>
      </c>
      <c r="JX475" s="98">
        <f t="shared" si="2519"/>
        <v>0</v>
      </c>
      <c r="JY475" s="98">
        <f t="shared" si="2519"/>
        <v>0</v>
      </c>
      <c r="JZ475" s="98">
        <f t="shared" si="2519"/>
        <v>0</v>
      </c>
      <c r="KA475" s="98">
        <f t="shared" si="2519"/>
        <v>0</v>
      </c>
      <c r="KB475" s="98">
        <f t="shared" si="2519"/>
        <v>0</v>
      </c>
      <c r="KC475" s="98">
        <f t="shared" si="2519"/>
        <v>2663462</v>
      </c>
      <c r="KD475" s="98">
        <f t="shared" si="2519"/>
        <v>161741390</v>
      </c>
      <c r="KE475" s="98">
        <f t="shared" si="2519"/>
        <v>0</v>
      </c>
      <c r="KF475" s="98">
        <f t="shared" si="2519"/>
        <v>0</v>
      </c>
      <c r="KG475" s="98">
        <f t="shared" si="2519"/>
        <v>515643</v>
      </c>
      <c r="KH475" s="98">
        <f t="shared" si="2519"/>
        <v>33231010</v>
      </c>
      <c r="KK475" s="98">
        <f t="shared" ref="KK475:KX475" si="2520">SUM(KK13,KK51,KK89,KK127,KK165,KK203,KK241,KK279,KK317,KK355,KK393,KK431)</f>
        <v>800050</v>
      </c>
      <c r="KL475" s="98">
        <f t="shared" si="2520"/>
        <v>16075010</v>
      </c>
      <c r="KM475" s="98">
        <f t="shared" si="2520"/>
        <v>0</v>
      </c>
      <c r="KN475" s="98">
        <f t="shared" si="2520"/>
        <v>0</v>
      </c>
      <c r="KO475" s="98">
        <f t="shared" si="2520"/>
        <v>0</v>
      </c>
      <c r="KP475" s="98">
        <f t="shared" si="2520"/>
        <v>0</v>
      </c>
      <c r="KQ475" s="98">
        <f t="shared" si="2520"/>
        <v>0</v>
      </c>
      <c r="KR475" s="98">
        <f t="shared" si="2520"/>
        <v>0</v>
      </c>
      <c r="KS475" s="98">
        <f t="shared" si="2520"/>
        <v>1315693</v>
      </c>
      <c r="KT475" s="98">
        <f t="shared" si="2520"/>
        <v>49306020</v>
      </c>
      <c r="KU475" s="98">
        <f t="shared" si="2520"/>
        <v>0</v>
      </c>
      <c r="KV475" s="98">
        <f t="shared" si="2520"/>
        <v>0</v>
      </c>
      <c r="KW475" s="98">
        <f t="shared" si="2520"/>
        <v>9211002.7799999993</v>
      </c>
      <c r="KX475" s="98">
        <f t="shared" si="2520"/>
        <v>151727484</v>
      </c>
      <c r="LA475" s="98">
        <f t="shared" ref="LA475:LN475" si="2521">SUM(LA13,LA51,LA89,LA127,LA165,LA203,LA241,LA279,LA317,LA355,LA393,LA431)</f>
        <v>15942118.629999999</v>
      </c>
      <c r="LB475" s="98">
        <f t="shared" si="2521"/>
        <v>291949904</v>
      </c>
      <c r="LC475" s="98">
        <f t="shared" si="2521"/>
        <v>0</v>
      </c>
      <c r="LD475" s="98">
        <f t="shared" si="2521"/>
        <v>0</v>
      </c>
      <c r="LE475" s="98">
        <f t="shared" si="2521"/>
        <v>0</v>
      </c>
      <c r="LF475" s="98">
        <f t="shared" si="2521"/>
        <v>0</v>
      </c>
      <c r="LG475" s="98">
        <f t="shared" si="2521"/>
        <v>142052.86000000002</v>
      </c>
      <c r="LH475" s="98">
        <f t="shared" si="2521"/>
        <v>3441218</v>
      </c>
      <c r="LI475" s="98">
        <f t="shared" si="2521"/>
        <v>25295174.27</v>
      </c>
      <c r="LJ475" s="98">
        <f t="shared" si="2521"/>
        <v>447118606</v>
      </c>
      <c r="LK475" s="98">
        <f t="shared" si="2521"/>
        <v>0</v>
      </c>
      <c r="LL475" s="98">
        <f t="shared" si="2521"/>
        <v>0</v>
      </c>
      <c r="LM475" s="98">
        <f t="shared" si="2521"/>
        <v>0</v>
      </c>
      <c r="LN475" s="98">
        <f t="shared" si="2521"/>
        <v>0</v>
      </c>
      <c r="LQ475" s="98">
        <f t="shared" ref="LQ475:MD475" si="2522">SUM(LQ13,LQ51,LQ89,LQ127,LQ165,LQ203,LQ241,LQ279,LQ317,LQ355,LQ393,LQ431)</f>
        <v>2179713</v>
      </c>
      <c r="LR475" s="98">
        <f t="shared" si="2522"/>
        <v>44477930.730000004</v>
      </c>
      <c r="LS475" s="98">
        <f t="shared" si="2522"/>
        <v>0</v>
      </c>
      <c r="LT475" s="98">
        <f t="shared" si="2522"/>
        <v>0</v>
      </c>
      <c r="LU475" s="98">
        <f t="shared" si="2522"/>
        <v>0</v>
      </c>
      <c r="LV475" s="98">
        <f t="shared" si="2522"/>
        <v>0</v>
      </c>
      <c r="LW475" s="98">
        <f t="shared" si="2522"/>
        <v>17603</v>
      </c>
      <c r="LX475" s="98">
        <f t="shared" si="2522"/>
        <v>569904</v>
      </c>
      <c r="LY475" s="98">
        <f t="shared" si="2522"/>
        <v>2197316</v>
      </c>
      <c r="LZ475" s="98">
        <f t="shared" si="2522"/>
        <v>45047834.730000004</v>
      </c>
      <c r="MA475" s="98">
        <f t="shared" si="2522"/>
        <v>435150</v>
      </c>
      <c r="MB475" s="98">
        <f t="shared" si="2522"/>
        <v>36987750</v>
      </c>
      <c r="MC475" s="98">
        <f t="shared" si="2522"/>
        <v>14113148</v>
      </c>
      <c r="MD475" s="98">
        <f t="shared" si="2522"/>
        <v>730872720</v>
      </c>
      <c r="MG475" s="98">
        <f t="shared" ref="MG475:MT475" si="2523">SUM(MG13,MG51,MG89,MG127,MG165,MG203,MG241,MG279,MG317,MG355,MG393,MG431)</f>
        <v>856340</v>
      </c>
      <c r="MH475" s="98">
        <f t="shared" si="2523"/>
        <v>15853965</v>
      </c>
      <c r="MI475" s="98">
        <f t="shared" si="2523"/>
        <v>0</v>
      </c>
      <c r="MJ475" s="98">
        <f t="shared" si="2523"/>
        <v>0</v>
      </c>
      <c r="MK475" s="98">
        <f t="shared" si="2523"/>
        <v>0</v>
      </c>
      <c r="ML475" s="98">
        <f t="shared" si="2523"/>
        <v>0</v>
      </c>
      <c r="MM475" s="98">
        <f t="shared" si="2523"/>
        <v>28930</v>
      </c>
      <c r="MN475" s="98">
        <f t="shared" si="2523"/>
        <v>536740</v>
      </c>
      <c r="MO475" s="98">
        <f t="shared" si="2523"/>
        <v>15433568</v>
      </c>
      <c r="MP475" s="98">
        <f t="shared" si="2523"/>
        <v>784251175</v>
      </c>
      <c r="MQ475" s="98">
        <f t="shared" si="2523"/>
        <v>0</v>
      </c>
      <c r="MR475" s="98">
        <f t="shared" si="2523"/>
        <v>0</v>
      </c>
      <c r="MS475" s="98">
        <f t="shared" si="2523"/>
        <v>854079</v>
      </c>
      <c r="MT475" s="98">
        <f t="shared" si="2523"/>
        <v>37876009</v>
      </c>
      <c r="MW475" s="98">
        <f t="shared" ref="MW475:NJ475" si="2524">SUM(MW13,MW51,MW89,MW127,MW165,MW203,MW241,MW279,MW317,MW355,MW393,MW431)</f>
        <v>228949</v>
      </c>
      <c r="MX475" s="98">
        <f t="shared" si="2524"/>
        <v>5273422</v>
      </c>
      <c r="MY475" s="98">
        <f t="shared" si="2524"/>
        <v>0</v>
      </c>
      <c r="MZ475" s="98">
        <f t="shared" si="2524"/>
        <v>0</v>
      </c>
      <c r="NA475" s="98">
        <f t="shared" si="2524"/>
        <v>0</v>
      </c>
      <c r="NB475" s="98">
        <f t="shared" si="2524"/>
        <v>0</v>
      </c>
      <c r="NC475" s="98">
        <f t="shared" si="2524"/>
        <v>0</v>
      </c>
      <c r="ND475" s="98">
        <f t="shared" si="2524"/>
        <v>0</v>
      </c>
      <c r="NE475" s="98">
        <f t="shared" si="2524"/>
        <v>1083028</v>
      </c>
      <c r="NF475" s="98">
        <f t="shared" si="2524"/>
        <v>43149431</v>
      </c>
      <c r="NG475" s="98">
        <f t="shared" si="2524"/>
        <v>0</v>
      </c>
      <c r="NH475" s="98">
        <f t="shared" si="2524"/>
        <v>0</v>
      </c>
      <c r="NI475" s="98">
        <f t="shared" si="2524"/>
        <v>83044522</v>
      </c>
      <c r="NJ475" s="98">
        <f t="shared" si="2524"/>
        <v>2026200713</v>
      </c>
      <c r="NM475" s="98">
        <f t="shared" ref="NM475:NZ475" si="2525">SUM(NM13,NM51,NM89,NM127,NM165,NM203,NM241,NM279,NM317,NM355,NM393,NM431)</f>
        <v>26544645</v>
      </c>
      <c r="NN475" s="98">
        <f t="shared" si="2525"/>
        <v>429100720</v>
      </c>
      <c r="NO475" s="98">
        <f t="shared" si="2525"/>
        <v>837900</v>
      </c>
      <c r="NP475" s="98">
        <f t="shared" si="2525"/>
        <v>17875200</v>
      </c>
      <c r="NQ475" s="98">
        <f t="shared" si="2525"/>
        <v>312620</v>
      </c>
      <c r="NR475" s="98">
        <f t="shared" si="2525"/>
        <v>5690196</v>
      </c>
      <c r="NS475" s="98">
        <f t="shared" si="2525"/>
        <v>0</v>
      </c>
      <c r="NT475" s="98">
        <f t="shared" si="2525"/>
        <v>0</v>
      </c>
      <c r="NU475" s="98">
        <f t="shared" si="2525"/>
        <v>110739687</v>
      </c>
      <c r="NV475" s="98">
        <f t="shared" si="2525"/>
        <v>2478866829</v>
      </c>
      <c r="NW475" s="98">
        <f t="shared" si="2525"/>
        <v>59275</v>
      </c>
      <c r="NX475" s="98">
        <f t="shared" si="2525"/>
        <v>1977950</v>
      </c>
      <c r="NY475" s="98">
        <f t="shared" si="2525"/>
        <v>10978224</v>
      </c>
      <c r="NZ475" s="98">
        <f t="shared" si="2525"/>
        <v>521622936</v>
      </c>
      <c r="OC475" s="98">
        <f t="shared" ref="OC475:OP475" si="2526">SUM(OC13,OC51,OC89,OC127,OC165,OC203,OC241,OC279,OC317,OC355,OC393,OC431)</f>
        <v>637829</v>
      </c>
      <c r="OD475" s="98">
        <f t="shared" si="2526"/>
        <v>12175405</v>
      </c>
      <c r="OE475" s="98">
        <f t="shared" si="2526"/>
        <v>0</v>
      </c>
      <c r="OF475" s="98">
        <f t="shared" si="2526"/>
        <v>0</v>
      </c>
      <c r="OG475" s="98">
        <f t="shared" si="2526"/>
        <v>0</v>
      </c>
      <c r="OH475" s="98">
        <f t="shared" si="2526"/>
        <v>0</v>
      </c>
      <c r="OI475" s="98">
        <f t="shared" si="2526"/>
        <v>0</v>
      </c>
      <c r="OJ475" s="98">
        <f t="shared" si="2526"/>
        <v>0</v>
      </c>
      <c r="OK475" s="98">
        <f t="shared" si="2526"/>
        <v>11675328</v>
      </c>
      <c r="OL475" s="98">
        <f t="shared" si="2526"/>
        <v>535776291</v>
      </c>
      <c r="OM475" s="98">
        <f t="shared" si="2526"/>
        <v>760127186</v>
      </c>
      <c r="ON475" s="98">
        <f t="shared" si="2526"/>
        <v>3895512472</v>
      </c>
      <c r="OO475" s="98">
        <f t="shared" si="2526"/>
        <v>7596034</v>
      </c>
      <c r="OP475" s="98">
        <f t="shared" si="2526"/>
        <v>452829082</v>
      </c>
      <c r="OS475" s="98">
        <f t="shared" ref="OS475:PF475" si="2527">SUM(OS13,OS51,OS89,OS127,OS165,OS203,OS241,OS279,OS317,OS355,OS393,OS431)</f>
        <v>2548876.4</v>
      </c>
      <c r="OT475" s="98">
        <f t="shared" si="2527"/>
        <v>24139934.899999999</v>
      </c>
      <c r="OU475" s="98">
        <f t="shared" si="2527"/>
        <v>0</v>
      </c>
      <c r="OV475" s="98">
        <f t="shared" si="2527"/>
        <v>0</v>
      </c>
      <c r="OW475" s="98">
        <f t="shared" si="2527"/>
        <v>0</v>
      </c>
      <c r="OX475" s="98">
        <f t="shared" si="2527"/>
        <v>0</v>
      </c>
      <c r="OY475" s="98">
        <f t="shared" si="2527"/>
        <v>0</v>
      </c>
      <c r="OZ475" s="98">
        <f t="shared" si="2527"/>
        <v>0</v>
      </c>
      <c r="PA475" s="98">
        <f t="shared" si="2527"/>
        <v>770272096.39999998</v>
      </c>
      <c r="PB475" s="98">
        <f t="shared" si="2527"/>
        <v>4372481488.8999996</v>
      </c>
      <c r="PC475" s="98">
        <f t="shared" si="2527"/>
        <v>2009</v>
      </c>
      <c r="PD475" s="98">
        <f t="shared" si="2527"/>
        <v>150921.5</v>
      </c>
      <c r="PE475" s="98">
        <f t="shared" si="2527"/>
        <v>273436</v>
      </c>
      <c r="PF475" s="98">
        <f t="shared" si="2527"/>
        <v>16905242</v>
      </c>
      <c r="PI475" s="98">
        <f t="shared" ref="PI475:PV475" si="2528">SUM(PI13,PI51,PI89,PI127,PI165,PI203,PI241,PI279,PI317,PI355,PI393,PI431)</f>
        <v>4813018</v>
      </c>
      <c r="PJ475" s="98">
        <f t="shared" si="2528"/>
        <v>86957019</v>
      </c>
      <c r="PK475" s="98">
        <f t="shared" si="2528"/>
        <v>0</v>
      </c>
      <c r="PL475" s="98">
        <f t="shared" si="2528"/>
        <v>0</v>
      </c>
      <c r="PM475" s="98">
        <f t="shared" si="2528"/>
        <v>0</v>
      </c>
      <c r="PN475" s="98">
        <f t="shared" si="2528"/>
        <v>0</v>
      </c>
      <c r="PO475" s="98">
        <f t="shared" si="2528"/>
        <v>0</v>
      </c>
      <c r="PP475" s="98">
        <f t="shared" si="2528"/>
        <v>0</v>
      </c>
      <c r="PQ475" s="98">
        <f t="shared" si="2528"/>
        <v>5088463</v>
      </c>
      <c r="PR475" s="98">
        <f t="shared" si="2528"/>
        <v>104013182.5</v>
      </c>
      <c r="PS475" s="98">
        <f t="shared" si="2528"/>
        <v>2600</v>
      </c>
      <c r="PT475" s="98">
        <f t="shared" si="2528"/>
        <v>276950</v>
      </c>
      <c r="PU475" s="98">
        <f t="shared" si="2528"/>
        <v>16478460</v>
      </c>
      <c r="PV475" s="98">
        <f t="shared" si="2528"/>
        <v>623211510</v>
      </c>
      <c r="PY475" s="98">
        <f t="shared" ref="PY475:QL475" si="2529">SUM(PY13,PY51,PY89,PY127,PY165,PY203,PY241,PY279,PY317,PY355,PY393,PY431)</f>
        <v>15105580</v>
      </c>
      <c r="PZ475" s="98">
        <f t="shared" si="2529"/>
        <v>283634856.41100001</v>
      </c>
      <c r="QA475" s="98">
        <f t="shared" si="2529"/>
        <v>15223090</v>
      </c>
      <c r="QB475" s="98">
        <f t="shared" si="2529"/>
        <v>422091360</v>
      </c>
      <c r="QC475" s="98">
        <f t="shared" si="2529"/>
        <v>6509700</v>
      </c>
      <c r="QD475" s="98">
        <f t="shared" si="2529"/>
        <v>119961954</v>
      </c>
      <c r="QE475" s="98">
        <f t="shared" si="2529"/>
        <v>0</v>
      </c>
      <c r="QF475" s="98">
        <f t="shared" si="2529"/>
        <v>0</v>
      </c>
      <c r="QG475" s="98">
        <f t="shared" si="2529"/>
        <v>53319430</v>
      </c>
      <c r="QH475" s="98">
        <f t="shared" si="2529"/>
        <v>1449176630.411</v>
      </c>
      <c r="QI475" s="98">
        <f t="shared" si="2529"/>
        <v>0</v>
      </c>
      <c r="QJ475" s="98">
        <f t="shared" si="2529"/>
        <v>0</v>
      </c>
      <c r="QK475" s="98">
        <f t="shared" si="2529"/>
        <v>350000</v>
      </c>
      <c r="QL475" s="98">
        <f t="shared" si="2529"/>
        <v>21000000</v>
      </c>
      <c r="QO475" s="98">
        <f t="shared" ref="QO475:RB475" si="2530">SUM(QO13,QO51,QO89,QO127,QO165,QO203,QO241,QO279,QO317,QO355,QO393,QO431)</f>
        <v>53401500</v>
      </c>
      <c r="QP475" s="98">
        <f t="shared" si="2530"/>
        <v>1124622500</v>
      </c>
      <c r="QQ475" s="98">
        <f t="shared" si="2530"/>
        <v>0</v>
      </c>
      <c r="QR475" s="98">
        <f t="shared" si="2530"/>
        <v>0</v>
      </c>
      <c r="QS475" s="98">
        <f t="shared" si="2530"/>
        <v>0</v>
      </c>
      <c r="QT475" s="98">
        <f t="shared" si="2530"/>
        <v>0</v>
      </c>
      <c r="QU475" s="98">
        <f t="shared" si="2530"/>
        <v>0</v>
      </c>
      <c r="QV475" s="98">
        <f t="shared" si="2530"/>
        <v>0</v>
      </c>
      <c r="QW475" s="98">
        <f t="shared" si="2530"/>
        <v>53751500</v>
      </c>
      <c r="QX475" s="98">
        <f t="shared" si="2530"/>
        <v>1145622500</v>
      </c>
      <c r="QY475" s="98">
        <f t="shared" si="2530"/>
        <v>0</v>
      </c>
      <c r="QZ475" s="98">
        <f t="shared" si="2530"/>
        <v>0</v>
      </c>
      <c r="RA475" s="98">
        <f t="shared" si="2530"/>
        <v>0</v>
      </c>
      <c r="RB475" s="98">
        <f t="shared" si="2530"/>
        <v>0</v>
      </c>
      <c r="RE475" s="98">
        <f t="shared" ref="RE475:RR475" si="2531">SUM(RE13,RE51,RE89,RE127,RE165,RE203,RE241,RE279,RE317,RE355,RE393,RE431)</f>
        <v>65339</v>
      </c>
      <c r="RF475" s="98">
        <f t="shared" si="2531"/>
        <v>1575859</v>
      </c>
      <c r="RG475" s="98">
        <f t="shared" si="2531"/>
        <v>0</v>
      </c>
      <c r="RH475" s="98">
        <f t="shared" si="2531"/>
        <v>0</v>
      </c>
      <c r="RI475" s="98">
        <f t="shared" si="2531"/>
        <v>0</v>
      </c>
      <c r="RJ475" s="98">
        <f t="shared" si="2531"/>
        <v>0</v>
      </c>
      <c r="RK475" s="98">
        <f t="shared" si="2531"/>
        <v>0</v>
      </c>
      <c r="RL475" s="98">
        <f t="shared" si="2531"/>
        <v>0</v>
      </c>
      <c r="RM475" s="98">
        <f t="shared" si="2531"/>
        <v>65339</v>
      </c>
      <c r="RN475" s="98">
        <f t="shared" si="2531"/>
        <v>1575859</v>
      </c>
      <c r="RO475" s="98">
        <f t="shared" si="2531"/>
        <v>0</v>
      </c>
      <c r="RP475" s="98">
        <f t="shared" si="2531"/>
        <v>0</v>
      </c>
      <c r="RQ475" s="98">
        <f t="shared" si="2531"/>
        <v>0</v>
      </c>
      <c r="RR475" s="98">
        <f t="shared" si="2531"/>
        <v>0</v>
      </c>
      <c r="RU475" s="98">
        <f t="shared" ref="RU475:SH475" si="2532">SUM(RU13,RU51,RU89,RU127,RU165,RU203,RU241,RU279,RU317,RU355,RU393,RU431)</f>
        <v>244780</v>
      </c>
      <c r="RV475" s="98">
        <f t="shared" si="2532"/>
        <v>5157835</v>
      </c>
      <c r="RW475" s="98">
        <f t="shared" si="2532"/>
        <v>0</v>
      </c>
      <c r="RX475" s="98">
        <f t="shared" si="2532"/>
        <v>0</v>
      </c>
      <c r="RY475" s="98">
        <f t="shared" si="2532"/>
        <v>0</v>
      </c>
      <c r="RZ475" s="98">
        <f t="shared" si="2532"/>
        <v>0</v>
      </c>
      <c r="SA475" s="98">
        <f t="shared" si="2532"/>
        <v>0</v>
      </c>
      <c r="SB475" s="98">
        <f t="shared" si="2532"/>
        <v>0</v>
      </c>
      <c r="SC475" s="98">
        <f t="shared" si="2532"/>
        <v>244780</v>
      </c>
      <c r="SD475" s="98">
        <f t="shared" si="2532"/>
        <v>5157835</v>
      </c>
      <c r="SE475" s="98">
        <f t="shared" si="2532"/>
        <v>0</v>
      </c>
      <c r="SF475" s="98">
        <f t="shared" si="2532"/>
        <v>0</v>
      </c>
      <c r="SG475" s="98">
        <f t="shared" si="2532"/>
        <v>0</v>
      </c>
      <c r="SH475" s="98">
        <f t="shared" si="2532"/>
        <v>0</v>
      </c>
      <c r="SK475" s="98">
        <f t="shared" ref="SK475:SX475" si="2533">SUM(SK13,SK51,SK89,SK127,SK165,SK203,SK241,SK279,SK317,SK355,SK393,SK431)</f>
        <v>193100</v>
      </c>
      <c r="SL475" s="98">
        <f t="shared" si="2533"/>
        <v>3685600</v>
      </c>
      <c r="SM475" s="98">
        <f t="shared" si="2533"/>
        <v>0</v>
      </c>
      <c r="SN475" s="98">
        <f t="shared" si="2533"/>
        <v>0</v>
      </c>
      <c r="SO475" s="98">
        <f t="shared" si="2533"/>
        <v>0</v>
      </c>
      <c r="SP475" s="98">
        <f t="shared" si="2533"/>
        <v>0</v>
      </c>
      <c r="SQ475" s="98">
        <f t="shared" si="2533"/>
        <v>0</v>
      </c>
      <c r="SR475" s="98">
        <f t="shared" si="2533"/>
        <v>0</v>
      </c>
      <c r="SS475" s="98">
        <f t="shared" si="2533"/>
        <v>193100</v>
      </c>
      <c r="ST475" s="98">
        <f t="shared" si="2533"/>
        <v>3685600</v>
      </c>
      <c r="SU475" s="98">
        <f t="shared" si="2533"/>
        <v>0</v>
      </c>
      <c r="SV475" s="98">
        <f t="shared" si="2533"/>
        <v>0</v>
      </c>
      <c r="SW475" s="98">
        <f t="shared" si="2533"/>
        <v>0</v>
      </c>
      <c r="SX475" s="98">
        <f t="shared" si="2533"/>
        <v>0</v>
      </c>
      <c r="TA475" s="98">
        <f t="shared" ref="TA475:TN475" si="2534">SUM(TA13,TA51,TA89,TA127,TA165,TA203,TA241,TA279,TA317,TA355,TA393,TA431)</f>
        <v>290624.95</v>
      </c>
      <c r="TB475" s="98">
        <f t="shared" si="2534"/>
        <v>6407714.6219999995</v>
      </c>
      <c r="TC475" s="98">
        <f t="shared" si="2534"/>
        <v>0</v>
      </c>
      <c r="TD475" s="98">
        <f t="shared" si="2534"/>
        <v>0</v>
      </c>
      <c r="TE475" s="98">
        <f t="shared" si="2534"/>
        <v>0</v>
      </c>
      <c r="TF475" s="98">
        <f t="shared" si="2534"/>
        <v>0</v>
      </c>
      <c r="TG475" s="98">
        <f t="shared" si="2534"/>
        <v>0</v>
      </c>
      <c r="TH475" s="98">
        <f t="shared" si="2534"/>
        <v>0</v>
      </c>
      <c r="TI475" s="98">
        <f t="shared" si="2534"/>
        <v>290624.95</v>
      </c>
      <c r="TJ475" s="98">
        <f t="shared" si="2534"/>
        <v>6407714.6219999995</v>
      </c>
      <c r="TK475" s="98">
        <f t="shared" si="2534"/>
        <v>0</v>
      </c>
      <c r="TL475" s="98">
        <f t="shared" si="2534"/>
        <v>0</v>
      </c>
      <c r="TM475" s="98">
        <f t="shared" si="2534"/>
        <v>0</v>
      </c>
      <c r="TN475" s="98">
        <f t="shared" si="2534"/>
        <v>0</v>
      </c>
      <c r="TQ475" s="98">
        <f t="shared" ref="TQ475:UD475" si="2535">SUM(TQ13,TQ51,TQ89,TQ127,TQ165,TQ203,TQ241,TQ279,TQ317,TQ355,TQ393,TQ431)</f>
        <v>143400</v>
      </c>
      <c r="TR475" s="98">
        <f t="shared" si="2535"/>
        <v>2955300</v>
      </c>
      <c r="TS475" s="98">
        <f t="shared" si="2535"/>
        <v>0</v>
      </c>
      <c r="TT475" s="98">
        <f t="shared" si="2535"/>
        <v>0</v>
      </c>
      <c r="TU475" s="98">
        <f t="shared" si="2535"/>
        <v>18600</v>
      </c>
      <c r="TV475" s="98">
        <f t="shared" si="2535"/>
        <v>596250</v>
      </c>
      <c r="TW475" s="98">
        <f t="shared" si="2535"/>
        <v>0</v>
      </c>
      <c r="TX475" s="98">
        <f t="shared" si="2535"/>
        <v>0</v>
      </c>
      <c r="TY475" s="98">
        <f t="shared" si="2535"/>
        <v>162000</v>
      </c>
      <c r="TZ475" s="98">
        <f t="shared" si="2535"/>
        <v>3551550</v>
      </c>
      <c r="UA475" s="98">
        <f t="shared" si="2535"/>
        <v>0</v>
      </c>
      <c r="UB475" s="98">
        <f t="shared" si="2535"/>
        <v>0</v>
      </c>
      <c r="UC475" s="98">
        <f t="shared" si="2535"/>
        <v>0</v>
      </c>
      <c r="UD475" s="98">
        <f t="shared" si="2535"/>
        <v>0</v>
      </c>
      <c r="UG475" s="98">
        <f t="shared" ref="UG475:UT475" si="2536">SUM(UG13,UG51,UG89,UG127,UG165,UG203,UG241,UG279,UG317,UG355,UG393,UG431)</f>
        <v>228711</v>
      </c>
      <c r="UH475" s="98">
        <f t="shared" si="2536"/>
        <v>4188392.0039999997</v>
      </c>
      <c r="UI475" s="98">
        <f t="shared" si="2536"/>
        <v>0</v>
      </c>
      <c r="UJ475" s="98">
        <f t="shared" si="2536"/>
        <v>0</v>
      </c>
      <c r="UK475" s="98">
        <f t="shared" si="2536"/>
        <v>0</v>
      </c>
      <c r="UL475" s="98">
        <f t="shared" si="2536"/>
        <v>0</v>
      </c>
      <c r="UM475" s="98">
        <f t="shared" si="2536"/>
        <v>0</v>
      </c>
      <c r="UN475" s="98">
        <f t="shared" si="2536"/>
        <v>0</v>
      </c>
      <c r="UO475" s="98">
        <f t="shared" si="2536"/>
        <v>228711</v>
      </c>
      <c r="UP475" s="98">
        <f t="shared" si="2536"/>
        <v>4188392.0039999997</v>
      </c>
      <c r="UQ475" s="98">
        <f t="shared" si="2536"/>
        <v>0</v>
      </c>
      <c r="UR475" s="98">
        <f t="shared" si="2536"/>
        <v>0</v>
      </c>
      <c r="US475" s="98">
        <f t="shared" si="2536"/>
        <v>2627052</v>
      </c>
      <c r="UT475" s="98">
        <f t="shared" si="2536"/>
        <v>22829529</v>
      </c>
      <c r="UW475" s="98">
        <f t="shared" ref="UW475:VJ475" si="2537">SUM(UW13,UW51,UW89,UW127,UW165,UW203,UW241,UW279,UW317,UW355,UW393,UW431)</f>
        <v>35863</v>
      </c>
      <c r="UX475" s="98">
        <f t="shared" si="2537"/>
        <v>689827</v>
      </c>
      <c r="UY475" s="98">
        <f t="shared" si="2537"/>
        <v>0</v>
      </c>
      <c r="UZ475" s="98">
        <f t="shared" si="2537"/>
        <v>0</v>
      </c>
      <c r="VA475" s="98">
        <f t="shared" si="2537"/>
        <v>0</v>
      </c>
      <c r="VB475" s="98">
        <f t="shared" si="2537"/>
        <v>0</v>
      </c>
      <c r="VC475" s="98">
        <f t="shared" si="2537"/>
        <v>0</v>
      </c>
      <c r="VD475" s="98">
        <f t="shared" si="2537"/>
        <v>0</v>
      </c>
      <c r="VE475" s="98">
        <f t="shared" si="2537"/>
        <v>2662915</v>
      </c>
      <c r="VF475" s="98">
        <f t="shared" si="2537"/>
        <v>23519356</v>
      </c>
      <c r="VG475" s="98">
        <f t="shared" si="2537"/>
        <v>0</v>
      </c>
      <c r="VH475" s="98">
        <f t="shared" si="2537"/>
        <v>0</v>
      </c>
      <c r="VI475" s="98">
        <f t="shared" si="2537"/>
        <v>229970</v>
      </c>
      <c r="VJ475" s="98">
        <f t="shared" si="2537"/>
        <v>9979736.6999999993</v>
      </c>
      <c r="VM475" s="98">
        <f t="shared" ref="VM475:VZ475" si="2538">SUM(VM13,VM51,VM89,VM127,VM165,VM203,VM241,VM279,VM317,VM355,VM393,VM431)</f>
        <v>199112.2</v>
      </c>
      <c r="VN475" s="98">
        <f t="shared" si="2538"/>
        <v>4056530</v>
      </c>
      <c r="VO475" s="98">
        <f t="shared" si="2538"/>
        <v>0</v>
      </c>
      <c r="VP475" s="98">
        <f t="shared" si="2538"/>
        <v>0</v>
      </c>
      <c r="VQ475" s="98">
        <f t="shared" si="2538"/>
        <v>0</v>
      </c>
      <c r="VR475" s="98">
        <f t="shared" si="2538"/>
        <v>0</v>
      </c>
      <c r="VS475" s="98">
        <f t="shared" si="2538"/>
        <v>0</v>
      </c>
      <c r="VT475" s="98">
        <f t="shared" si="2538"/>
        <v>0</v>
      </c>
      <c r="VU475" s="98">
        <f t="shared" si="2538"/>
        <v>429082.2</v>
      </c>
      <c r="VV475" s="98">
        <f t="shared" si="2538"/>
        <v>14036266.699999999</v>
      </c>
      <c r="VW475" s="98">
        <f t="shared" si="2538"/>
        <v>0</v>
      </c>
      <c r="VX475" s="98">
        <f t="shared" si="2538"/>
        <v>0</v>
      </c>
      <c r="VY475" s="98">
        <f t="shared" si="2538"/>
        <v>5228433</v>
      </c>
      <c r="VZ475" s="98">
        <f t="shared" si="2538"/>
        <v>185596500</v>
      </c>
      <c r="WC475" s="98">
        <f t="shared" ref="WC475:WL475" si="2539">SUM(WC13,WC51,WC89,WC127,WC165,WC203,WC241,WC279,WC317,WC355,WC393,WC431)</f>
        <v>4674678</v>
      </c>
      <c r="WD475" s="98">
        <f t="shared" si="2539"/>
        <v>114032566</v>
      </c>
      <c r="WE475" s="98">
        <f t="shared" si="2539"/>
        <v>0</v>
      </c>
      <c r="WF475" s="98">
        <f t="shared" si="2539"/>
        <v>0</v>
      </c>
      <c r="WG475" s="98">
        <f t="shared" si="2539"/>
        <v>0</v>
      </c>
      <c r="WH475" s="98">
        <f t="shared" si="2539"/>
        <v>0</v>
      </c>
      <c r="WI475" s="98">
        <f t="shared" si="2539"/>
        <v>76409</v>
      </c>
      <c r="WJ475" s="98">
        <f t="shared" si="2539"/>
        <v>1604008</v>
      </c>
      <c r="WK475" s="98">
        <f t="shared" si="2539"/>
        <v>9979520</v>
      </c>
      <c r="WL475" s="98">
        <f t="shared" si="2539"/>
        <v>301233074</v>
      </c>
      <c r="WN475" s="98">
        <f>SUM(WN471:WN474)</f>
        <v>774415158.92607832</v>
      </c>
      <c r="WO475" s="98">
        <f t="shared" ref="WO475:XA475" si="2540">SUM(WO471:WO474)</f>
        <v>3994041159.9863362</v>
      </c>
      <c r="WP475" s="98">
        <f t="shared" si="2540"/>
        <v>282359631.46421683</v>
      </c>
      <c r="WQ475" s="98">
        <f t="shared" si="2540"/>
        <v>9677403259.5202045</v>
      </c>
      <c r="WR475" s="98">
        <f t="shared" si="2540"/>
        <v>0</v>
      </c>
      <c r="WS475" s="98">
        <f t="shared" si="2540"/>
        <v>0</v>
      </c>
      <c r="WT475" s="98">
        <f t="shared" si="2540"/>
        <v>356728672.96641648</v>
      </c>
      <c r="WU475" s="98">
        <f t="shared" si="2540"/>
        <v>7160588868.2689152</v>
      </c>
      <c r="WV475" s="98">
        <f t="shared" si="2540"/>
        <v>16250959.000366</v>
      </c>
      <c r="WW475" s="98">
        <f t="shared" si="2540"/>
        <v>444438214.01499999</v>
      </c>
      <c r="WX475" s="98">
        <f t="shared" si="2540"/>
        <v>6969165</v>
      </c>
      <c r="WY475" s="98">
        <f t="shared" si="2540"/>
        <v>129078479</v>
      </c>
      <c r="WZ475" s="98">
        <f t="shared" si="2540"/>
        <v>5609405.8599999994</v>
      </c>
      <c r="XA475" s="98">
        <f t="shared" si="2540"/>
        <v>132679570</v>
      </c>
      <c r="XB475" s="107">
        <f>SUM(XB471:XB471:XB474)</f>
        <v>1442332993.2170777</v>
      </c>
      <c r="XC475" s="107">
        <f>SUM(XC471:XC471:XC474)</f>
        <v>21538229550.790459</v>
      </c>
      <c r="XK475" s="98">
        <f>SUM(XK471:XK474)</f>
        <v>774415158.92607832</v>
      </c>
      <c r="XL475" s="98">
        <f t="shared" ref="XL475:XQ475" si="2541">SUM(XL471:XL474)</f>
        <v>282359631.46421683</v>
      </c>
      <c r="XM475" s="98">
        <f t="shared" si="2541"/>
        <v>0</v>
      </c>
      <c r="XN475" s="98">
        <f t="shared" si="2541"/>
        <v>356728672.96641654</v>
      </c>
      <c r="XO475" s="98">
        <f t="shared" si="2541"/>
        <v>16250959.000366</v>
      </c>
      <c r="XP475" s="98">
        <f t="shared" si="2541"/>
        <v>6969165</v>
      </c>
      <c r="XQ475" s="98">
        <f t="shared" si="2541"/>
        <v>5609405.8600000003</v>
      </c>
      <c r="XR475" s="107">
        <f ca="1">SUM(XR471:XR471:XR474)</f>
        <v>1442332993.2170777</v>
      </c>
      <c r="XT475" s="98">
        <f>SUM(XT471:XT474)</f>
        <v>3994041159.9863362</v>
      </c>
      <c r="XU475" s="98">
        <f t="shared" ref="XU475:XZ475" si="2542">SUM(XU471:XU474)</f>
        <v>9677403259.5202045</v>
      </c>
      <c r="XV475" s="98">
        <f t="shared" si="2542"/>
        <v>0</v>
      </c>
      <c r="XW475" s="98">
        <f t="shared" si="2542"/>
        <v>7160588868.2689152</v>
      </c>
      <c r="XX475" s="98">
        <f t="shared" si="2542"/>
        <v>389136464.01499999</v>
      </c>
      <c r="XY475" s="98">
        <f t="shared" si="2542"/>
        <v>129078479</v>
      </c>
      <c r="XZ475" s="98">
        <f t="shared" si="2542"/>
        <v>114397825</v>
      </c>
      <c r="YA475" s="107">
        <f ca="1">SUM(YA471:YA471:YA474)</f>
        <v>21464646055.790459</v>
      </c>
    </row>
    <row r="476" spans="1:1017">
      <c r="B476" s="93"/>
      <c r="AG476" s="98"/>
      <c r="AH476" s="98"/>
      <c r="AW476" s="98"/>
      <c r="AX476" s="98"/>
      <c r="CS476" s="98"/>
      <c r="CT476" s="98"/>
      <c r="DY476" s="98"/>
      <c r="DZ476" s="98"/>
      <c r="EO476" s="98"/>
      <c r="EP476" s="98"/>
      <c r="FE476" s="98"/>
      <c r="FF476" s="98"/>
      <c r="FU476" s="98"/>
      <c r="FV476" s="98"/>
      <c r="GK476" s="98"/>
      <c r="GL476" s="98"/>
      <c r="HA476" s="98"/>
      <c r="HB476" s="98"/>
      <c r="HQ476" s="98"/>
      <c r="HR476" s="98"/>
      <c r="IG476" s="98"/>
      <c r="IH476" s="98"/>
      <c r="IW476" s="98"/>
      <c r="IX476" s="98"/>
      <c r="JM476" s="98"/>
      <c r="JN476" s="98"/>
      <c r="KC476" s="98"/>
      <c r="KD476" s="98"/>
      <c r="KS476" s="107"/>
      <c r="KT476" s="107"/>
      <c r="LI476" s="98"/>
      <c r="LJ476" s="98"/>
      <c r="LY476" s="98"/>
      <c r="LZ476" s="98"/>
      <c r="MO476" s="98"/>
      <c r="MP476" s="98"/>
      <c r="NE476" s="98"/>
      <c r="NF476" s="98"/>
      <c r="NU476" s="98"/>
      <c r="NV476" s="98"/>
      <c r="OK476" s="98"/>
      <c r="OL476" s="98"/>
      <c r="PA476" s="98"/>
      <c r="PB476" s="98"/>
      <c r="PQ476" s="98"/>
      <c r="PR476" s="98"/>
      <c r="QG476" s="107"/>
      <c r="QH476" s="107"/>
      <c r="QW476" s="98"/>
      <c r="QX476" s="98"/>
      <c r="RM476" s="98"/>
      <c r="RN476" s="98"/>
      <c r="SC476" s="98"/>
      <c r="SD476" s="98"/>
      <c r="SS476" s="98"/>
      <c r="ST476" s="98"/>
      <c r="TI476" s="98"/>
      <c r="TJ476" s="98"/>
      <c r="TY476" s="98"/>
      <c r="TZ476" s="98"/>
      <c r="UO476" s="98"/>
      <c r="UP476" s="98"/>
      <c r="VE476" s="98"/>
      <c r="VF476" s="98"/>
      <c r="VU476" s="98"/>
      <c r="VV476" s="98"/>
      <c r="WK476" s="98"/>
      <c r="WL476" s="98"/>
    </row>
    <row r="477" spans="1:1017" s="102" customFormat="1">
      <c r="A477" s="654"/>
      <c r="B477" s="655"/>
      <c r="C477" s="104"/>
      <c r="D477" s="104"/>
      <c r="E477" s="104"/>
      <c r="F477" s="104"/>
      <c r="G477" s="104"/>
      <c r="H477" s="104"/>
      <c r="I477" s="104"/>
      <c r="J477" s="104"/>
      <c r="K477" s="104"/>
      <c r="L477" s="104"/>
      <c r="M477" s="104"/>
      <c r="N477" s="104"/>
      <c r="O477" s="104"/>
      <c r="P477" s="104"/>
      <c r="Q477" s="105"/>
      <c r="R477" s="105"/>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04"/>
      <c r="BD477" s="104"/>
      <c r="BE477" s="104"/>
      <c r="BF477" s="104"/>
      <c r="BG477" s="104"/>
      <c r="BH477" s="104"/>
      <c r="BI477" s="104"/>
      <c r="BJ477" s="104"/>
      <c r="BK477" s="104"/>
      <c r="BL477" s="104"/>
      <c r="BM477" s="104"/>
      <c r="BN477" s="104"/>
      <c r="BO477" s="104"/>
      <c r="BP477" s="104"/>
      <c r="BQ477" s="104"/>
      <c r="BR477" s="104"/>
      <c r="BS477" s="104"/>
      <c r="BT477" s="104"/>
      <c r="BU477" s="104"/>
      <c r="BV477" s="104"/>
      <c r="BW477" s="104"/>
      <c r="BX477" s="104"/>
      <c r="BY477" s="104"/>
      <c r="BZ477" s="104"/>
      <c r="CA477" s="104"/>
      <c r="CB477" s="104"/>
      <c r="CC477" s="196"/>
      <c r="CD477" s="196"/>
      <c r="CE477" s="104"/>
      <c r="CF477" s="104"/>
      <c r="CG477" s="104"/>
      <c r="CH477" s="104"/>
      <c r="CI477" s="104"/>
      <c r="CJ477" s="104"/>
      <c r="CK477" s="104"/>
      <c r="CL477" s="104"/>
      <c r="CM477" s="104"/>
      <c r="CN477" s="104"/>
      <c r="CO477" s="104"/>
      <c r="CP477" s="104"/>
      <c r="CQ477" s="104"/>
      <c r="CR477" s="104"/>
      <c r="CS477" s="104"/>
      <c r="CT477" s="104"/>
      <c r="CU477" s="104"/>
      <c r="CV477" s="104"/>
      <c r="CW477" s="104"/>
      <c r="CX477" s="104"/>
      <c r="CY477" s="104"/>
      <c r="CZ477" s="104"/>
      <c r="DA477" s="104"/>
      <c r="DB477" s="104"/>
      <c r="DC477" s="104"/>
      <c r="DD477" s="104"/>
      <c r="DE477" s="104"/>
      <c r="DF477" s="104"/>
      <c r="DG477" s="104"/>
      <c r="DH477" s="104"/>
      <c r="DI477" s="196"/>
      <c r="DJ477" s="196"/>
      <c r="DK477" s="104"/>
      <c r="DL477" s="104"/>
      <c r="DM477" s="104"/>
      <c r="DN477" s="104"/>
      <c r="DO477" s="104"/>
      <c r="DP477" s="104"/>
      <c r="DQ477" s="104"/>
      <c r="DR477" s="104"/>
      <c r="DS477" s="104"/>
      <c r="DT477" s="104"/>
      <c r="DU477" s="104"/>
      <c r="DV477" s="104"/>
      <c r="DW477" s="104"/>
      <c r="DX477" s="104"/>
      <c r="DY477" s="104"/>
      <c r="DZ477" s="104"/>
      <c r="EA477" s="104"/>
      <c r="EB477" s="104"/>
      <c r="EC477" s="104"/>
      <c r="ED477" s="104"/>
      <c r="EE477" s="104"/>
      <c r="EF477" s="104"/>
      <c r="EG477" s="104"/>
      <c r="EH477" s="104"/>
      <c r="EI477" s="104"/>
      <c r="EJ477" s="104"/>
      <c r="EK477" s="104"/>
      <c r="EL477" s="104"/>
      <c r="EM477" s="104"/>
      <c r="EN477" s="104"/>
      <c r="EO477" s="104"/>
      <c r="EP477" s="104"/>
      <c r="EQ477" s="104"/>
      <c r="ER477" s="104"/>
      <c r="ES477" s="104"/>
      <c r="ET477" s="104"/>
      <c r="EU477" s="104"/>
      <c r="EV477" s="104"/>
      <c r="EW477" s="104"/>
      <c r="EX477" s="104"/>
      <c r="EY477" s="104"/>
      <c r="EZ477" s="104"/>
      <c r="FA477" s="104"/>
      <c r="FB477" s="104"/>
      <c r="FC477" s="104"/>
      <c r="FD477" s="104"/>
      <c r="FE477" s="104"/>
      <c r="FF477" s="104"/>
      <c r="FG477" s="104"/>
      <c r="FH477" s="104"/>
      <c r="FI477" s="104"/>
      <c r="FJ477" s="104"/>
      <c r="FK477" s="104"/>
      <c r="FL477" s="104"/>
      <c r="FM477" s="104"/>
      <c r="FN477" s="104"/>
      <c r="FO477" s="104"/>
      <c r="FP477" s="104"/>
      <c r="FQ477" s="104"/>
      <c r="FR477" s="104"/>
      <c r="FS477" s="104"/>
      <c r="FT477" s="104"/>
      <c r="FU477" s="104"/>
      <c r="FV477" s="104"/>
      <c r="FW477" s="104"/>
      <c r="FX477" s="104"/>
      <c r="FY477" s="104"/>
      <c r="FZ477" s="104"/>
      <c r="GA477" s="104"/>
      <c r="GB477" s="104"/>
      <c r="GC477" s="104"/>
      <c r="GD477" s="104"/>
      <c r="GE477" s="104"/>
      <c r="GF477" s="104"/>
      <c r="GG477" s="104"/>
      <c r="GH477" s="104"/>
      <c r="GI477" s="104"/>
      <c r="GJ477" s="104"/>
      <c r="GK477" s="104"/>
      <c r="GL477" s="104"/>
      <c r="GM477" s="104"/>
      <c r="GN477" s="104"/>
      <c r="GO477" s="104"/>
      <c r="GP477" s="104"/>
      <c r="GQ477" s="104"/>
      <c r="GR477" s="104"/>
      <c r="GS477" s="104"/>
      <c r="GT477" s="104"/>
      <c r="GU477" s="104"/>
      <c r="GV477" s="104"/>
      <c r="GW477" s="104"/>
      <c r="GX477" s="104"/>
      <c r="GY477" s="104"/>
      <c r="GZ477" s="104"/>
      <c r="HA477" s="104"/>
      <c r="HB477" s="104"/>
      <c r="HC477" s="104"/>
      <c r="HD477" s="104"/>
      <c r="HE477" s="104"/>
      <c r="HF477" s="104"/>
      <c r="HG477" s="104"/>
      <c r="HH477" s="104"/>
      <c r="HI477" s="104"/>
      <c r="HJ477" s="104"/>
      <c r="HK477" s="104"/>
      <c r="HL477" s="104"/>
      <c r="HM477" s="104"/>
      <c r="HN477" s="104"/>
      <c r="HO477" s="104"/>
      <c r="HP477" s="104"/>
      <c r="HQ477" s="104"/>
      <c r="HR477" s="104"/>
      <c r="HS477" s="104"/>
      <c r="HT477" s="104"/>
      <c r="HU477" s="104"/>
      <c r="HV477" s="104"/>
      <c r="HW477" s="104"/>
      <c r="HX477" s="104"/>
      <c r="HY477" s="104"/>
      <c r="HZ477" s="104"/>
      <c r="IA477" s="104"/>
      <c r="IB477" s="104"/>
      <c r="IC477" s="104"/>
      <c r="ID477" s="104"/>
      <c r="IE477" s="104"/>
      <c r="IF477" s="104"/>
      <c r="IG477" s="104"/>
      <c r="IH477" s="104"/>
      <c r="II477" s="104"/>
      <c r="IJ477" s="104"/>
      <c r="IK477" s="104"/>
      <c r="IL477" s="104"/>
      <c r="IM477" s="104"/>
      <c r="IN477" s="104"/>
      <c r="IO477" s="104"/>
      <c r="IP477" s="104"/>
      <c r="IQ477" s="104"/>
      <c r="IR477" s="104"/>
      <c r="IS477" s="104"/>
      <c r="IT477" s="104"/>
      <c r="IU477" s="104"/>
      <c r="IV477" s="104"/>
      <c r="IW477" s="104"/>
      <c r="IX477" s="104"/>
      <c r="IY477" s="104"/>
      <c r="IZ477" s="104"/>
      <c r="JA477" s="104"/>
      <c r="JB477" s="104"/>
      <c r="JC477" s="104"/>
      <c r="JD477" s="104"/>
      <c r="JE477" s="104"/>
      <c r="JF477" s="104"/>
      <c r="JG477" s="104"/>
      <c r="JH477" s="104"/>
      <c r="JI477" s="104"/>
      <c r="JJ477" s="104"/>
      <c r="JK477" s="104"/>
      <c r="JL477" s="104"/>
      <c r="JM477" s="104"/>
      <c r="JN477" s="104"/>
      <c r="JO477" s="104"/>
      <c r="JP477" s="104"/>
      <c r="JQ477" s="104"/>
      <c r="JR477" s="104"/>
      <c r="JS477" s="104"/>
      <c r="JT477" s="104"/>
      <c r="JU477" s="104"/>
      <c r="JV477" s="104"/>
      <c r="JW477" s="104"/>
      <c r="JX477" s="104"/>
      <c r="JY477" s="104"/>
      <c r="JZ477" s="104"/>
      <c r="KA477" s="104"/>
      <c r="KB477" s="104"/>
      <c r="KC477" s="104"/>
      <c r="KD477" s="104"/>
      <c r="KE477" s="104"/>
      <c r="KF477" s="104"/>
      <c r="KG477" s="104"/>
      <c r="KH477" s="104"/>
      <c r="KI477" s="104"/>
      <c r="KJ477" s="104"/>
      <c r="KK477" s="104"/>
      <c r="KL477" s="104"/>
      <c r="KM477" s="104"/>
      <c r="KN477" s="104"/>
      <c r="KO477" s="104"/>
      <c r="KP477" s="104"/>
      <c r="KQ477" s="104"/>
      <c r="KR477" s="104"/>
      <c r="KS477" s="196"/>
      <c r="KT477" s="196"/>
      <c r="KU477" s="104"/>
      <c r="KV477" s="104"/>
      <c r="KW477" s="104"/>
      <c r="KX477" s="104"/>
      <c r="KY477" s="104"/>
      <c r="KZ477" s="104"/>
      <c r="LA477" s="104"/>
      <c r="LB477" s="104"/>
      <c r="LC477" s="104"/>
      <c r="LD477" s="104"/>
      <c r="LE477" s="104"/>
      <c r="LF477" s="104"/>
      <c r="LG477" s="104"/>
      <c r="LH477" s="104"/>
      <c r="LI477" s="104"/>
      <c r="LJ477" s="104"/>
      <c r="LK477" s="104"/>
      <c r="LL477" s="104"/>
      <c r="LM477" s="104"/>
      <c r="LN477" s="104"/>
      <c r="LO477" s="104"/>
      <c r="LP477" s="104"/>
      <c r="LQ477" s="104"/>
      <c r="LR477" s="104"/>
      <c r="LS477" s="104"/>
      <c r="LT477" s="104"/>
      <c r="LU477" s="104"/>
      <c r="LV477" s="104"/>
      <c r="LW477" s="104"/>
      <c r="LX477" s="104"/>
      <c r="LY477" s="104"/>
      <c r="LZ477" s="104"/>
      <c r="MA477" s="104"/>
      <c r="MB477" s="104"/>
      <c r="MC477" s="104"/>
      <c r="MD477" s="104"/>
      <c r="ME477" s="104"/>
      <c r="MF477" s="104"/>
      <c r="MG477" s="104"/>
      <c r="MH477" s="104"/>
      <c r="MI477" s="104"/>
      <c r="MJ477" s="104"/>
      <c r="MK477" s="104"/>
      <c r="ML477" s="104"/>
      <c r="MM477" s="104"/>
      <c r="MN477" s="104"/>
      <c r="MO477" s="104"/>
      <c r="MP477" s="104"/>
      <c r="MQ477" s="104"/>
      <c r="MR477" s="104"/>
      <c r="MS477" s="104"/>
      <c r="MT477" s="104"/>
      <c r="MU477" s="104"/>
      <c r="MV477" s="104"/>
      <c r="MW477" s="104"/>
      <c r="MX477" s="104"/>
      <c r="MY477" s="104"/>
      <c r="MZ477" s="104"/>
      <c r="NA477" s="104"/>
      <c r="NB477" s="104"/>
      <c r="NC477" s="104"/>
      <c r="ND477" s="104"/>
      <c r="NE477" s="104"/>
      <c r="NF477" s="104"/>
      <c r="NG477" s="104"/>
      <c r="NH477" s="104"/>
      <c r="NI477" s="104"/>
      <c r="NJ477" s="104"/>
      <c r="NK477" s="104"/>
      <c r="NL477" s="104"/>
      <c r="NM477" s="104"/>
      <c r="NN477" s="104"/>
      <c r="NO477" s="104"/>
      <c r="NP477" s="104"/>
      <c r="NQ477" s="104"/>
      <c r="NR477" s="104"/>
      <c r="NS477" s="104"/>
      <c r="NT477" s="104"/>
      <c r="NU477" s="104"/>
      <c r="NV477" s="104"/>
      <c r="NW477" s="104"/>
      <c r="NX477" s="104"/>
      <c r="NY477" s="104"/>
      <c r="NZ477" s="104"/>
      <c r="OA477" s="104"/>
      <c r="OB477" s="104"/>
      <c r="OC477" s="104"/>
      <c r="OD477" s="104"/>
      <c r="OE477" s="104"/>
      <c r="OF477" s="104"/>
      <c r="OG477" s="104"/>
      <c r="OH477" s="104"/>
      <c r="OI477" s="104"/>
      <c r="OJ477" s="104"/>
      <c r="OK477" s="104"/>
      <c r="OL477" s="104"/>
      <c r="OM477" s="104"/>
      <c r="ON477" s="104"/>
      <c r="OO477" s="104"/>
      <c r="OP477" s="104"/>
      <c r="OQ477" s="104"/>
      <c r="OR477" s="104"/>
      <c r="OS477" s="104"/>
      <c r="OT477" s="104"/>
      <c r="OU477" s="104"/>
      <c r="OV477" s="104"/>
      <c r="OW477" s="104"/>
      <c r="OX477" s="104"/>
      <c r="OY477" s="104"/>
      <c r="OZ477" s="104"/>
      <c r="PA477" s="104"/>
      <c r="PB477" s="104"/>
      <c r="PC477" s="104"/>
      <c r="PD477" s="104"/>
      <c r="PE477" s="104"/>
      <c r="PF477" s="104"/>
      <c r="PG477" s="104"/>
      <c r="PH477" s="104"/>
      <c r="PI477" s="104"/>
      <c r="PJ477" s="104"/>
      <c r="PK477" s="104"/>
      <c r="PL477" s="104"/>
      <c r="PM477" s="104"/>
      <c r="PN477" s="104"/>
      <c r="PO477" s="104"/>
      <c r="PP477" s="104"/>
      <c r="PQ477" s="104"/>
      <c r="PR477" s="104"/>
      <c r="PS477" s="104"/>
      <c r="PT477" s="104"/>
      <c r="PU477" s="104"/>
      <c r="PV477" s="104"/>
      <c r="PW477" s="104"/>
      <c r="PX477" s="104"/>
      <c r="PY477" s="104"/>
      <c r="PZ477" s="104"/>
      <c r="QA477" s="104"/>
      <c r="QB477" s="104"/>
      <c r="QC477" s="104"/>
      <c r="QD477" s="104"/>
      <c r="QE477" s="104"/>
      <c r="QF477" s="104"/>
      <c r="QG477" s="196"/>
      <c r="QH477" s="196"/>
      <c r="QI477" s="104"/>
      <c r="QJ477" s="104"/>
      <c r="QK477" s="104"/>
      <c r="QL477" s="104"/>
      <c r="QM477" s="104"/>
      <c r="QN477" s="104"/>
      <c r="QO477" s="104"/>
      <c r="QP477" s="104"/>
      <c r="QQ477" s="104"/>
      <c r="QR477" s="104"/>
      <c r="QS477" s="104"/>
      <c r="QT477" s="104"/>
      <c r="QU477" s="104"/>
      <c r="QV477" s="104"/>
      <c r="QW477" s="104"/>
      <c r="QX477" s="104"/>
      <c r="QY477" s="104"/>
      <c r="QZ477" s="104"/>
      <c r="RA477" s="104"/>
      <c r="RB477" s="104"/>
      <c r="RC477" s="104"/>
      <c r="RD477" s="104"/>
      <c r="RE477" s="104"/>
      <c r="RF477" s="104"/>
      <c r="RG477" s="104"/>
      <c r="RH477" s="104"/>
      <c r="RI477" s="104"/>
      <c r="RJ477" s="104"/>
      <c r="RK477" s="104"/>
      <c r="RL477" s="104"/>
      <c r="RM477" s="104"/>
      <c r="RN477" s="104"/>
      <c r="RO477" s="104"/>
      <c r="RP477" s="104"/>
      <c r="RQ477" s="104"/>
      <c r="RR477" s="104"/>
      <c r="RS477" s="104"/>
      <c r="RT477" s="104"/>
      <c r="RU477" s="104"/>
      <c r="RV477" s="104"/>
      <c r="RW477" s="104"/>
      <c r="RX477" s="104"/>
      <c r="RY477" s="104"/>
      <c r="RZ477" s="104"/>
      <c r="SA477" s="104"/>
      <c r="SB477" s="104"/>
      <c r="SC477" s="104"/>
      <c r="SD477" s="104"/>
      <c r="SE477" s="104"/>
      <c r="SF477" s="104"/>
      <c r="SG477" s="104"/>
      <c r="SH477" s="104"/>
      <c r="SI477" s="104"/>
      <c r="SJ477" s="104"/>
      <c r="SK477" s="104"/>
      <c r="SL477" s="104"/>
      <c r="SM477" s="104"/>
      <c r="SN477" s="104"/>
      <c r="SO477" s="104"/>
      <c r="SP477" s="104"/>
      <c r="SQ477" s="104"/>
      <c r="SR477" s="104"/>
      <c r="SS477" s="104"/>
      <c r="ST477" s="104"/>
      <c r="SU477" s="104"/>
      <c r="SV477" s="104"/>
      <c r="SW477" s="104"/>
      <c r="SX477" s="104"/>
      <c r="SY477" s="104"/>
      <c r="SZ477" s="104"/>
      <c r="TA477" s="104"/>
      <c r="TB477" s="104"/>
      <c r="TC477" s="104"/>
      <c r="TD477" s="104"/>
      <c r="TE477" s="104"/>
      <c r="TF477" s="104"/>
      <c r="TG477" s="104"/>
      <c r="TH477" s="104"/>
      <c r="TI477" s="104"/>
      <c r="TJ477" s="104"/>
      <c r="TK477" s="104"/>
      <c r="TL477" s="104"/>
      <c r="TM477" s="104"/>
      <c r="TN477" s="104"/>
      <c r="TO477" s="104"/>
      <c r="TP477" s="104"/>
      <c r="TQ477" s="104"/>
      <c r="TR477" s="104"/>
      <c r="TS477" s="104"/>
      <c r="TT477" s="104"/>
      <c r="TU477" s="104"/>
      <c r="TV477" s="104"/>
      <c r="TW477" s="104"/>
      <c r="TX477" s="104"/>
      <c r="TY477" s="104"/>
      <c r="TZ477" s="104"/>
      <c r="UA477" s="104"/>
      <c r="UB477" s="104"/>
      <c r="UC477" s="104"/>
      <c r="UD477" s="104"/>
      <c r="UE477" s="104"/>
      <c r="UF477" s="104"/>
      <c r="UG477" s="104"/>
      <c r="UH477" s="104"/>
      <c r="UI477" s="104"/>
      <c r="UJ477" s="104"/>
      <c r="UK477" s="104"/>
      <c r="UL477" s="104"/>
      <c r="UM477" s="104"/>
      <c r="UN477" s="104"/>
      <c r="UO477" s="104"/>
      <c r="UP477" s="104"/>
      <c r="UQ477" s="104"/>
      <c r="UR477" s="104"/>
      <c r="US477" s="104"/>
      <c r="UT477" s="104"/>
      <c r="UU477" s="104"/>
      <c r="UV477" s="104"/>
      <c r="UW477" s="104"/>
      <c r="UX477" s="104"/>
      <c r="UY477" s="104"/>
      <c r="UZ477" s="104"/>
      <c r="VA477" s="104"/>
      <c r="VB477" s="104"/>
      <c r="VC477" s="104"/>
      <c r="VD477" s="104"/>
      <c r="VE477" s="104"/>
      <c r="VF477" s="104"/>
      <c r="VG477" s="104"/>
      <c r="VH477" s="104"/>
      <c r="VI477" s="104"/>
      <c r="VJ477" s="104"/>
      <c r="VK477" s="104"/>
      <c r="VL477" s="104"/>
      <c r="VM477" s="104"/>
      <c r="VN477" s="104"/>
      <c r="VO477" s="104"/>
      <c r="VP477" s="104"/>
      <c r="VQ477" s="104"/>
      <c r="VR477" s="104"/>
      <c r="VS477" s="104"/>
      <c r="VT477" s="104"/>
      <c r="VU477" s="104"/>
      <c r="VV477" s="104"/>
      <c r="VW477" s="104"/>
      <c r="VX477" s="104"/>
      <c r="VY477" s="104"/>
      <c r="VZ477" s="104"/>
      <c r="WA477" s="104"/>
      <c r="WB477" s="104"/>
      <c r="WC477" s="104"/>
      <c r="WD477" s="104"/>
      <c r="WE477" s="104"/>
      <c r="WF477" s="104"/>
      <c r="WG477" s="104"/>
      <c r="WH477" s="104"/>
      <c r="WI477" s="104"/>
      <c r="WJ477" s="104"/>
      <c r="WK477" s="104"/>
      <c r="WL477" s="104"/>
      <c r="WM477" s="105"/>
      <c r="WN477" s="104"/>
      <c r="WO477" s="104"/>
      <c r="WP477" s="104"/>
      <c r="WQ477" s="104"/>
      <c r="WR477" s="104"/>
      <c r="WS477" s="104"/>
      <c r="WT477" s="104"/>
      <c r="WU477" s="104"/>
      <c r="WV477" s="104"/>
      <c r="WW477" s="104"/>
      <c r="WX477" s="104"/>
      <c r="WY477" s="104"/>
      <c r="WZ477" s="104"/>
      <c r="XA477" s="104"/>
      <c r="XB477" s="196"/>
      <c r="XC477" s="196"/>
      <c r="XD477" s="105"/>
      <c r="XE477" s="104"/>
      <c r="XF477" s="104"/>
      <c r="XG477" s="105"/>
      <c r="XH477" s="104"/>
      <c r="XI477" s="104"/>
      <c r="XJ477" s="105"/>
      <c r="XK477" s="104"/>
      <c r="XL477" s="104"/>
      <c r="XM477" s="104"/>
      <c r="XN477" s="104"/>
      <c r="XO477" s="104"/>
      <c r="XP477" s="104"/>
      <c r="XQ477" s="104"/>
      <c r="XR477" s="196"/>
      <c r="XS477" s="105"/>
      <c r="XT477" s="104"/>
      <c r="XU477" s="104"/>
      <c r="XV477" s="104"/>
      <c r="XW477" s="104"/>
      <c r="XX477" s="104"/>
      <c r="XY477" s="104"/>
      <c r="XZ477" s="104"/>
      <c r="YA477" s="196"/>
      <c r="YB477" s="104"/>
      <c r="YC477" s="104"/>
      <c r="YD477" s="104"/>
      <c r="YE477" s="104"/>
      <c r="YF477" s="104"/>
      <c r="YG477" s="104"/>
      <c r="YH477" s="104"/>
      <c r="YI477" s="104"/>
      <c r="YJ477" s="104"/>
      <c r="YK477" s="104"/>
      <c r="YL477" s="104"/>
      <c r="YM477" s="104"/>
      <c r="YN477" s="104"/>
      <c r="YO477" s="104"/>
      <c r="YP477" s="104"/>
      <c r="YQ477" s="104"/>
      <c r="YR477" s="104"/>
      <c r="YS477" s="104"/>
      <c r="YT477" s="104"/>
      <c r="YU477" s="104"/>
      <c r="YV477" s="104"/>
      <c r="YW477" s="104"/>
      <c r="YX477" s="104"/>
      <c r="YY477" s="104"/>
      <c r="YZ477" s="104"/>
      <c r="ZA477" s="104"/>
      <c r="ZB477" s="104"/>
      <c r="ZC477" s="104"/>
      <c r="ZD477" s="104"/>
      <c r="ZE477" s="104"/>
      <c r="ZF477" s="104"/>
      <c r="ZG477" s="104"/>
      <c r="ZH477" s="104"/>
      <c r="ZI477" s="104"/>
      <c r="ZJ477" s="104"/>
      <c r="ZK477" s="104"/>
      <c r="ZL477" s="104"/>
      <c r="ZM477" s="104"/>
      <c r="ZN477" s="104"/>
      <c r="ZO477" s="104"/>
      <c r="ZP477" s="104"/>
      <c r="ZQ477" s="104"/>
      <c r="ZR477" s="104"/>
      <c r="ZS477" s="104"/>
      <c r="ZT477" s="104"/>
      <c r="ZU477" s="104"/>
      <c r="ZV477" s="104"/>
      <c r="ZW477" s="104"/>
      <c r="ZX477" s="104"/>
      <c r="ZY477" s="104"/>
      <c r="ZZ477" s="104"/>
      <c r="AAA477" s="104"/>
      <c r="AAB477" s="104"/>
      <c r="AAC477" s="104"/>
      <c r="AAD477" s="104"/>
      <c r="AAE477" s="104"/>
      <c r="AAF477" s="104"/>
      <c r="AAG477" s="104"/>
      <c r="AAH477" s="104"/>
      <c r="AAI477" s="104"/>
      <c r="AAJ477" s="104"/>
      <c r="AAK477" s="104"/>
      <c r="AAL477" s="104"/>
      <c r="AAM477" s="104"/>
      <c r="AAN477" s="104"/>
      <c r="AAO477" s="104"/>
      <c r="AAP477" s="104"/>
      <c r="AAQ477" s="104"/>
      <c r="AAR477" s="104"/>
      <c r="AAS477" s="104"/>
      <c r="AAT477" s="104"/>
      <c r="AAU477" s="104"/>
      <c r="AAV477" s="104"/>
      <c r="AAW477" s="104"/>
      <c r="AAX477" s="104"/>
      <c r="AAY477" s="104"/>
      <c r="AAZ477" s="104"/>
      <c r="ABA477" s="104"/>
      <c r="ABB477" s="104"/>
      <c r="ABC477" s="104"/>
      <c r="ABD477" s="104"/>
      <c r="ABE477" s="104"/>
      <c r="ABF477" s="104"/>
      <c r="ABG477" s="104"/>
      <c r="ABH477" s="104"/>
      <c r="ABI477" s="104"/>
      <c r="ABJ477" s="104"/>
      <c r="ABK477" s="104"/>
      <c r="ABL477" s="104"/>
      <c r="ABM477" s="104"/>
      <c r="ABN477" s="104"/>
      <c r="ABO477" s="104"/>
      <c r="ABP477" s="104"/>
      <c r="ABQ477" s="104"/>
      <c r="ABR477" s="104"/>
      <c r="ABS477" s="104"/>
      <c r="ABT477" s="104"/>
      <c r="ABU477" s="104"/>
      <c r="ABV477" s="104"/>
      <c r="ABW477" s="104"/>
      <c r="ABX477" s="104"/>
      <c r="ABY477" s="104"/>
      <c r="ABZ477" s="104"/>
      <c r="ACA477" s="104"/>
      <c r="ACB477" s="104"/>
      <c r="ACC477" s="104"/>
      <c r="ACD477" s="104"/>
      <c r="ACE477" s="104"/>
      <c r="ACF477" s="104"/>
      <c r="ACG477" s="104"/>
      <c r="ACH477" s="104"/>
      <c r="ACI477" s="104"/>
      <c r="ACJ477" s="104"/>
      <c r="ACK477" s="104"/>
      <c r="ACL477" s="104"/>
      <c r="ACM477" s="104"/>
      <c r="ACN477" s="104"/>
      <c r="ACO477" s="104"/>
      <c r="ACP477" s="104"/>
      <c r="ACQ477" s="104"/>
      <c r="ACR477" s="104"/>
      <c r="ACS477" s="104"/>
      <c r="ACT477" s="104"/>
      <c r="ACU477" s="104"/>
      <c r="ACV477" s="104"/>
      <c r="ACW477" s="104"/>
      <c r="ACX477" s="104"/>
      <c r="ACY477" s="104"/>
      <c r="ACZ477" s="104"/>
      <c r="ADA477" s="104"/>
      <c r="ADB477" s="104"/>
      <c r="ADC477" s="104"/>
      <c r="ADD477" s="104"/>
      <c r="ADE477" s="104"/>
      <c r="ADF477" s="104"/>
      <c r="ADG477" s="104"/>
      <c r="ADH477" s="104"/>
      <c r="ADI477" s="104"/>
      <c r="ADJ477" s="104"/>
      <c r="ADK477" s="104"/>
      <c r="ADL477" s="104"/>
      <c r="ADM477" s="104"/>
      <c r="ADN477" s="104"/>
      <c r="ADO477" s="104"/>
      <c r="ADP477" s="104"/>
      <c r="ADQ477" s="104"/>
      <c r="ADR477" s="104"/>
      <c r="ADS477" s="104"/>
      <c r="ADT477" s="104"/>
      <c r="ADU477" s="104"/>
      <c r="ADV477" s="104"/>
      <c r="ADW477" s="104"/>
      <c r="ADX477" s="104"/>
      <c r="ADY477" s="104"/>
      <c r="ADZ477" s="104"/>
      <c r="AEA477" s="104"/>
      <c r="AEB477" s="104"/>
      <c r="AEC477" s="104"/>
      <c r="AED477" s="104"/>
      <c r="AEE477" s="104"/>
      <c r="AEF477" s="104"/>
      <c r="AEG477" s="104"/>
      <c r="AEH477" s="104"/>
      <c r="AEI477" s="104"/>
      <c r="AEJ477" s="104"/>
      <c r="AEK477" s="104"/>
      <c r="AEL477" s="104"/>
      <c r="AEM477" s="104"/>
      <c r="AEN477" s="104"/>
      <c r="AEO477" s="104"/>
      <c r="AEP477" s="104"/>
      <c r="AEQ477" s="104"/>
      <c r="AER477" s="104"/>
      <c r="AES477" s="104"/>
      <c r="AET477" s="104"/>
      <c r="AEU477" s="104"/>
      <c r="AEV477" s="104"/>
      <c r="AEW477" s="104"/>
      <c r="AEX477" s="104"/>
      <c r="AEY477" s="104"/>
      <c r="AEZ477" s="104"/>
      <c r="AFA477" s="104"/>
      <c r="AFB477" s="104"/>
      <c r="AFC477" s="104"/>
      <c r="AFD477" s="104"/>
      <c r="AFE477" s="104"/>
      <c r="AFF477" s="104"/>
      <c r="AFG477" s="104"/>
      <c r="AFH477" s="104"/>
      <c r="AFI477" s="104"/>
      <c r="AFJ477" s="104"/>
      <c r="AFK477" s="104"/>
      <c r="AFL477" s="104"/>
      <c r="AFM477" s="104"/>
      <c r="AFN477" s="104"/>
      <c r="AFO477" s="104"/>
      <c r="AFP477" s="104"/>
      <c r="AFQ477" s="104"/>
      <c r="AFR477" s="104"/>
      <c r="AFS477" s="104"/>
      <c r="AFT477" s="104"/>
      <c r="AFU477" s="104"/>
      <c r="AFV477" s="104"/>
      <c r="AFW477" s="104"/>
      <c r="AFX477" s="104"/>
      <c r="AFY477" s="104"/>
      <c r="AFZ477" s="104"/>
      <c r="AGA477" s="104"/>
      <c r="AGB477" s="104"/>
      <c r="AGC477" s="104"/>
      <c r="AGD477" s="104"/>
      <c r="AGE477" s="104"/>
      <c r="AGF477" s="104"/>
      <c r="AGG477" s="104"/>
      <c r="AGH477" s="104"/>
      <c r="AGI477" s="104"/>
      <c r="AGJ477" s="104"/>
      <c r="AGK477" s="104"/>
      <c r="AGL477" s="104"/>
      <c r="AGM477" s="104"/>
      <c r="AGN477" s="104"/>
      <c r="AGO477" s="104"/>
      <c r="AGP477" s="104"/>
      <c r="AGQ477" s="104"/>
      <c r="AGR477" s="104"/>
      <c r="AGS477" s="104"/>
      <c r="AGT477" s="104"/>
      <c r="AGU477" s="104"/>
      <c r="AGV477" s="104"/>
      <c r="AGW477" s="104"/>
      <c r="AGX477" s="104"/>
      <c r="AGY477" s="104"/>
      <c r="AGZ477" s="104"/>
      <c r="AHA477" s="104"/>
      <c r="AHB477" s="104"/>
      <c r="AHC477" s="104"/>
      <c r="AHD477" s="104"/>
      <c r="AHE477" s="104"/>
      <c r="AHF477" s="104"/>
      <c r="AHG477" s="104"/>
      <c r="AHH477" s="104"/>
      <c r="AHI477" s="104"/>
      <c r="AHJ477" s="104"/>
      <c r="AHK477" s="104"/>
      <c r="AHL477" s="104"/>
      <c r="AHM477" s="104"/>
      <c r="AHN477" s="104"/>
      <c r="AHO477" s="104"/>
      <c r="AHP477" s="104"/>
      <c r="AHQ477" s="104"/>
      <c r="AHR477" s="104"/>
      <c r="AHS477" s="104"/>
      <c r="AHT477" s="104"/>
      <c r="AHU477" s="104"/>
      <c r="AHV477" s="104"/>
      <c r="AHW477" s="104"/>
      <c r="AHX477" s="104"/>
      <c r="AHY477" s="104"/>
      <c r="AHZ477" s="104"/>
      <c r="AIA477" s="104"/>
      <c r="AIB477" s="104"/>
      <c r="AIC477" s="104"/>
      <c r="AID477" s="104"/>
      <c r="AIE477" s="104"/>
      <c r="AIF477" s="104"/>
      <c r="AIG477" s="104"/>
      <c r="AIH477" s="104"/>
      <c r="AII477" s="104"/>
      <c r="AIJ477" s="104"/>
      <c r="AIK477" s="104"/>
      <c r="AIL477" s="104"/>
      <c r="AIM477" s="104"/>
      <c r="AIN477" s="104"/>
      <c r="AIO477" s="104"/>
      <c r="AIP477" s="104"/>
      <c r="AIQ477" s="104"/>
      <c r="AIR477" s="104"/>
      <c r="AIS477" s="104"/>
      <c r="AIT477" s="104"/>
      <c r="AIU477" s="104"/>
      <c r="AIV477" s="104"/>
      <c r="AIW477" s="104"/>
      <c r="AIX477" s="104"/>
      <c r="AIY477" s="104"/>
      <c r="AIZ477" s="104"/>
      <c r="AJA477" s="104"/>
      <c r="AJB477" s="104"/>
      <c r="AJC477" s="104"/>
      <c r="AJD477" s="104"/>
      <c r="AJE477" s="104"/>
      <c r="AJF477" s="104"/>
      <c r="AJG477" s="104"/>
      <c r="AJH477" s="104"/>
      <c r="AJI477" s="104"/>
      <c r="AJJ477" s="104"/>
      <c r="AJK477" s="104"/>
      <c r="AJL477" s="104"/>
      <c r="AJM477" s="104"/>
      <c r="AJN477" s="104"/>
      <c r="AJO477" s="104"/>
      <c r="AJP477" s="104"/>
      <c r="AJQ477" s="104"/>
      <c r="AJR477" s="104"/>
      <c r="AJS477" s="104"/>
      <c r="AJT477" s="104"/>
      <c r="AJU477" s="104"/>
      <c r="AJV477" s="104"/>
      <c r="AJW477" s="104"/>
      <c r="AJX477" s="104"/>
      <c r="AJY477" s="104"/>
      <c r="AJZ477" s="104"/>
      <c r="AKA477" s="104"/>
      <c r="AKB477" s="104"/>
      <c r="AKC477" s="104"/>
      <c r="AKD477" s="104"/>
      <c r="AKE477" s="104"/>
      <c r="AKF477" s="104"/>
      <c r="AKG477" s="104"/>
      <c r="AKH477" s="104"/>
      <c r="AKI477" s="104"/>
      <c r="AKJ477" s="104"/>
      <c r="AKK477" s="104"/>
      <c r="AKL477" s="104"/>
      <c r="AKM477" s="104"/>
      <c r="AKN477" s="104"/>
      <c r="AKO477" s="104"/>
      <c r="AKP477" s="104"/>
      <c r="AKQ477" s="104"/>
      <c r="AKR477" s="104"/>
      <c r="AKS477" s="104"/>
      <c r="AKT477" s="104"/>
      <c r="AKU477" s="104"/>
      <c r="AKV477" s="104"/>
      <c r="AKW477" s="104"/>
      <c r="AKX477" s="104"/>
      <c r="AKY477" s="104"/>
      <c r="AKZ477" s="104"/>
      <c r="ALA477" s="104"/>
      <c r="ALB477" s="104"/>
      <c r="ALC477" s="104"/>
      <c r="ALD477" s="104"/>
      <c r="ALE477" s="104"/>
      <c r="ALF477" s="104"/>
      <c r="ALG477" s="104"/>
      <c r="ALH477" s="104"/>
      <c r="ALI477" s="104"/>
      <c r="ALJ477" s="104"/>
      <c r="ALK477" s="104"/>
      <c r="ALL477" s="104"/>
      <c r="ALM477" s="104"/>
      <c r="ALN477" s="104"/>
      <c r="ALO477" s="104"/>
      <c r="ALP477" s="104"/>
      <c r="ALQ477" s="104"/>
      <c r="ALR477" s="104"/>
      <c r="ALS477" s="104"/>
      <c r="ALT477" s="104"/>
      <c r="ALU477" s="104"/>
      <c r="ALV477" s="104"/>
      <c r="ALW477" s="104"/>
      <c r="ALX477" s="104"/>
      <c r="ALY477" s="104"/>
      <c r="ALZ477" s="104"/>
      <c r="AMA477" s="104"/>
      <c r="AMB477" s="104"/>
      <c r="AMC477" s="104"/>
    </row>
    <row r="478" spans="1:1017" s="85" customFormat="1" ht="23.5">
      <c r="A478" s="656"/>
      <c r="B478" s="659" t="s">
        <v>562</v>
      </c>
      <c r="C478" s="861">
        <v>1</v>
      </c>
      <c r="D478" s="861"/>
      <c r="E478" s="861"/>
      <c r="F478" s="861"/>
      <c r="G478" s="861"/>
      <c r="H478" s="861"/>
      <c r="I478" s="861"/>
      <c r="J478" s="861"/>
      <c r="K478" s="861"/>
      <c r="L478" s="861"/>
      <c r="M478" s="861"/>
      <c r="N478" s="861"/>
      <c r="O478" s="861"/>
      <c r="P478" s="861"/>
      <c r="Q478" s="861"/>
      <c r="R478" s="861"/>
      <c r="S478" s="861">
        <v>2</v>
      </c>
      <c r="T478" s="861"/>
      <c r="U478" s="861"/>
      <c r="V478" s="861"/>
      <c r="W478" s="861"/>
      <c r="X478" s="861"/>
      <c r="Y478" s="861"/>
      <c r="Z478" s="861"/>
      <c r="AA478" s="861"/>
      <c r="AB478" s="861"/>
      <c r="AC478" s="861"/>
      <c r="AD478" s="861"/>
      <c r="AE478" s="861"/>
      <c r="AF478" s="861"/>
      <c r="AG478" s="861"/>
      <c r="AH478" s="861"/>
      <c r="AI478" s="861">
        <v>3</v>
      </c>
      <c r="AJ478" s="861"/>
      <c r="AK478" s="861"/>
      <c r="AL478" s="861"/>
      <c r="AM478" s="861"/>
      <c r="AN478" s="861"/>
      <c r="AO478" s="861"/>
      <c r="AP478" s="861"/>
      <c r="AQ478" s="861"/>
      <c r="AR478" s="861"/>
      <c r="AS478" s="861"/>
      <c r="AT478" s="861"/>
      <c r="AU478" s="861"/>
      <c r="AV478" s="861"/>
      <c r="AW478" s="861"/>
      <c r="AX478" s="861"/>
      <c r="AY478" s="861">
        <v>4</v>
      </c>
      <c r="AZ478" s="861"/>
      <c r="BA478" s="861"/>
      <c r="BB478" s="861"/>
      <c r="BC478" s="861"/>
      <c r="BD478" s="861"/>
      <c r="BE478" s="861"/>
      <c r="BF478" s="861"/>
      <c r="BG478" s="861"/>
      <c r="BH478" s="861"/>
      <c r="BI478" s="861"/>
      <c r="BJ478" s="861"/>
      <c r="BK478" s="861"/>
      <c r="BL478" s="861"/>
      <c r="BM478" s="861"/>
      <c r="BN478" s="861"/>
      <c r="BO478" s="861">
        <v>5</v>
      </c>
      <c r="BP478" s="861"/>
      <c r="BQ478" s="861"/>
      <c r="BR478" s="861"/>
      <c r="BS478" s="861"/>
      <c r="BT478" s="861"/>
      <c r="BU478" s="861"/>
      <c r="BV478" s="861"/>
      <c r="BW478" s="861"/>
      <c r="BX478" s="861"/>
      <c r="BY478" s="861"/>
      <c r="BZ478" s="861"/>
      <c r="CA478" s="861"/>
      <c r="CB478" s="861"/>
      <c r="CC478" s="861"/>
      <c r="CD478" s="861"/>
      <c r="CE478" s="861">
        <v>6</v>
      </c>
      <c r="CF478" s="861"/>
      <c r="CG478" s="861"/>
      <c r="CH478" s="861"/>
      <c r="CI478" s="861"/>
      <c r="CJ478" s="861"/>
      <c r="CK478" s="861"/>
      <c r="CL478" s="861"/>
      <c r="CM478" s="861"/>
      <c r="CN478" s="861"/>
      <c r="CO478" s="861"/>
      <c r="CP478" s="861"/>
      <c r="CQ478" s="861"/>
      <c r="CR478" s="861"/>
      <c r="CS478" s="861"/>
      <c r="CT478" s="861"/>
      <c r="CU478" s="861">
        <v>7</v>
      </c>
      <c r="CV478" s="861"/>
      <c r="CW478" s="861"/>
      <c r="CX478" s="861"/>
      <c r="CY478" s="861"/>
      <c r="CZ478" s="861"/>
      <c r="DA478" s="861"/>
      <c r="DB478" s="861"/>
      <c r="DC478" s="861"/>
      <c r="DD478" s="861"/>
      <c r="DE478" s="861"/>
      <c r="DF478" s="861"/>
      <c r="DG478" s="861"/>
      <c r="DH478" s="861"/>
      <c r="DI478" s="861"/>
      <c r="DJ478" s="861"/>
      <c r="DK478" s="861">
        <v>8</v>
      </c>
      <c r="DL478" s="861"/>
      <c r="DM478" s="861"/>
      <c r="DN478" s="861"/>
      <c r="DO478" s="861"/>
      <c r="DP478" s="861"/>
      <c r="DQ478" s="861"/>
      <c r="DR478" s="861"/>
      <c r="DS478" s="861"/>
      <c r="DT478" s="861"/>
      <c r="DU478" s="861"/>
      <c r="DV478" s="861"/>
      <c r="DW478" s="861"/>
      <c r="DX478" s="861"/>
      <c r="DY478" s="861"/>
      <c r="DZ478" s="861"/>
      <c r="EA478" s="861">
        <v>9</v>
      </c>
      <c r="EB478" s="861"/>
      <c r="EC478" s="861"/>
      <c r="ED478" s="861"/>
      <c r="EE478" s="861"/>
      <c r="EF478" s="861"/>
      <c r="EG478" s="861"/>
      <c r="EH478" s="861"/>
      <c r="EI478" s="861"/>
      <c r="EJ478" s="861"/>
      <c r="EK478" s="861"/>
      <c r="EL478" s="861"/>
      <c r="EM478" s="861"/>
      <c r="EN478" s="861"/>
      <c r="EO478" s="861"/>
      <c r="EP478" s="861"/>
      <c r="EQ478" s="861">
        <v>10</v>
      </c>
      <c r="ER478" s="861"/>
      <c r="ES478" s="861"/>
      <c r="ET478" s="861"/>
      <c r="EU478" s="861"/>
      <c r="EV478" s="861"/>
      <c r="EW478" s="861"/>
      <c r="EX478" s="861"/>
      <c r="EY478" s="861"/>
      <c r="EZ478" s="861"/>
      <c r="FA478" s="861"/>
      <c r="FB478" s="861"/>
      <c r="FC478" s="861"/>
      <c r="FD478" s="861"/>
      <c r="FE478" s="861"/>
      <c r="FF478" s="861"/>
      <c r="FG478" s="861">
        <v>11</v>
      </c>
      <c r="FH478" s="861"/>
      <c r="FI478" s="861"/>
      <c r="FJ478" s="861"/>
      <c r="FK478" s="861"/>
      <c r="FL478" s="861"/>
      <c r="FM478" s="861"/>
      <c r="FN478" s="861"/>
      <c r="FO478" s="861"/>
      <c r="FP478" s="861"/>
      <c r="FQ478" s="861"/>
      <c r="FR478" s="861"/>
      <c r="FS478" s="861"/>
      <c r="FT478" s="861"/>
      <c r="FU478" s="861"/>
      <c r="FV478" s="861"/>
      <c r="FW478" s="861">
        <v>12</v>
      </c>
      <c r="FX478" s="861"/>
      <c r="FY478" s="861"/>
      <c r="FZ478" s="861"/>
      <c r="GA478" s="861"/>
      <c r="GB478" s="861"/>
      <c r="GC478" s="861"/>
      <c r="GD478" s="861"/>
      <c r="GE478" s="861"/>
      <c r="GF478" s="861"/>
      <c r="GG478" s="861"/>
      <c r="GH478" s="861"/>
      <c r="GI478" s="861"/>
      <c r="GJ478" s="861"/>
      <c r="GK478" s="861"/>
      <c r="GL478" s="861"/>
      <c r="GM478" s="861">
        <v>13</v>
      </c>
      <c r="GN478" s="861"/>
      <c r="GO478" s="861"/>
      <c r="GP478" s="861"/>
      <c r="GQ478" s="861"/>
      <c r="GR478" s="861"/>
      <c r="GS478" s="861"/>
      <c r="GT478" s="861"/>
      <c r="GU478" s="861"/>
      <c r="GV478" s="861"/>
      <c r="GW478" s="861"/>
      <c r="GX478" s="861"/>
      <c r="GY478" s="861"/>
      <c r="GZ478" s="861"/>
      <c r="HA478" s="861"/>
      <c r="HB478" s="861"/>
      <c r="HC478" s="861">
        <v>14</v>
      </c>
      <c r="HD478" s="861"/>
      <c r="HE478" s="861"/>
      <c r="HF478" s="861"/>
      <c r="HG478" s="861"/>
      <c r="HH478" s="861"/>
      <c r="HI478" s="861"/>
      <c r="HJ478" s="861"/>
      <c r="HK478" s="861"/>
      <c r="HL478" s="861"/>
      <c r="HM478" s="861"/>
      <c r="HN478" s="861"/>
      <c r="HO478" s="861"/>
      <c r="HP478" s="861"/>
      <c r="HQ478" s="861"/>
      <c r="HR478" s="861"/>
      <c r="HS478" s="861">
        <v>15</v>
      </c>
      <c r="HT478" s="861"/>
      <c r="HU478" s="861"/>
      <c r="HV478" s="861"/>
      <c r="HW478" s="861"/>
      <c r="HX478" s="861"/>
      <c r="HY478" s="861"/>
      <c r="HZ478" s="861"/>
      <c r="IA478" s="861"/>
      <c r="IB478" s="861"/>
      <c r="IC478" s="861"/>
      <c r="ID478" s="861"/>
      <c r="IE478" s="861"/>
      <c r="IF478" s="861"/>
      <c r="IG478" s="861"/>
      <c r="IH478" s="861"/>
      <c r="II478" s="861">
        <v>16</v>
      </c>
      <c r="IJ478" s="861"/>
      <c r="IK478" s="861"/>
      <c r="IL478" s="861"/>
      <c r="IM478" s="861"/>
      <c r="IN478" s="861"/>
      <c r="IO478" s="861"/>
      <c r="IP478" s="861"/>
      <c r="IQ478" s="861"/>
      <c r="IR478" s="861"/>
      <c r="IS478" s="861"/>
      <c r="IT478" s="861"/>
      <c r="IU478" s="861"/>
      <c r="IV478" s="861"/>
      <c r="IW478" s="861"/>
      <c r="IX478" s="861"/>
      <c r="IY478" s="861">
        <v>17</v>
      </c>
      <c r="IZ478" s="861"/>
      <c r="JA478" s="861"/>
      <c r="JB478" s="861"/>
      <c r="JC478" s="861"/>
      <c r="JD478" s="861"/>
      <c r="JE478" s="861"/>
      <c r="JF478" s="861"/>
      <c r="JG478" s="861"/>
      <c r="JH478" s="861"/>
      <c r="JI478" s="861"/>
      <c r="JJ478" s="861"/>
      <c r="JK478" s="861"/>
      <c r="JL478" s="861"/>
      <c r="JM478" s="861"/>
      <c r="JN478" s="861"/>
      <c r="JO478" s="861">
        <v>18</v>
      </c>
      <c r="JP478" s="861"/>
      <c r="JQ478" s="861"/>
      <c r="JR478" s="861"/>
      <c r="JS478" s="861"/>
      <c r="JT478" s="861"/>
      <c r="JU478" s="861"/>
      <c r="JV478" s="861"/>
      <c r="JW478" s="861"/>
      <c r="JX478" s="861"/>
      <c r="JY478" s="861"/>
      <c r="JZ478" s="861"/>
      <c r="KA478" s="861"/>
      <c r="KB478" s="861"/>
      <c r="KC478" s="861"/>
      <c r="KD478" s="861"/>
      <c r="KE478" s="861">
        <v>19</v>
      </c>
      <c r="KF478" s="861"/>
      <c r="KG478" s="861"/>
      <c r="KH478" s="861"/>
      <c r="KI478" s="861"/>
      <c r="KJ478" s="861"/>
      <c r="KK478" s="861"/>
      <c r="KL478" s="861"/>
      <c r="KM478" s="861"/>
      <c r="KN478" s="861"/>
      <c r="KO478" s="861"/>
      <c r="KP478" s="861"/>
      <c r="KQ478" s="861"/>
      <c r="KR478" s="861"/>
      <c r="KS478" s="861"/>
      <c r="KT478" s="861"/>
      <c r="KU478" s="861">
        <v>20</v>
      </c>
      <c r="KV478" s="861"/>
      <c r="KW478" s="861"/>
      <c r="KX478" s="861"/>
      <c r="KY478" s="861"/>
      <c r="KZ478" s="861"/>
      <c r="LA478" s="861"/>
      <c r="LB478" s="861"/>
      <c r="LC478" s="861"/>
      <c r="LD478" s="861"/>
      <c r="LE478" s="861"/>
      <c r="LF478" s="861"/>
      <c r="LG478" s="861"/>
      <c r="LH478" s="861"/>
      <c r="LI478" s="861"/>
      <c r="LJ478" s="861"/>
      <c r="LK478" s="861">
        <v>21</v>
      </c>
      <c r="LL478" s="861"/>
      <c r="LM478" s="861"/>
      <c r="LN478" s="861"/>
      <c r="LO478" s="861"/>
      <c r="LP478" s="861"/>
      <c r="LQ478" s="861"/>
      <c r="LR478" s="861"/>
      <c r="LS478" s="861"/>
      <c r="LT478" s="861"/>
      <c r="LU478" s="861"/>
      <c r="LV478" s="861"/>
      <c r="LW478" s="861"/>
      <c r="LX478" s="861"/>
      <c r="LY478" s="861"/>
      <c r="LZ478" s="861"/>
      <c r="MA478" s="861">
        <v>22</v>
      </c>
      <c r="MB478" s="861"/>
      <c r="MC478" s="861"/>
      <c r="MD478" s="861"/>
      <c r="ME478" s="861"/>
      <c r="MF478" s="861"/>
      <c r="MG478" s="861"/>
      <c r="MH478" s="861"/>
      <c r="MI478" s="861"/>
      <c r="MJ478" s="861"/>
      <c r="MK478" s="861"/>
      <c r="ML478" s="861"/>
      <c r="MM478" s="861"/>
      <c r="MN478" s="861"/>
      <c r="MO478" s="861"/>
      <c r="MP478" s="861"/>
      <c r="MQ478" s="861">
        <v>23</v>
      </c>
      <c r="MR478" s="861"/>
      <c r="MS478" s="861"/>
      <c r="MT478" s="861"/>
      <c r="MU478" s="861"/>
      <c r="MV478" s="861"/>
      <c r="MW478" s="861"/>
      <c r="MX478" s="861"/>
      <c r="MY478" s="861"/>
      <c r="MZ478" s="861"/>
      <c r="NA478" s="861"/>
      <c r="NB478" s="861"/>
      <c r="NC478" s="861"/>
      <c r="ND478" s="861"/>
      <c r="NE478" s="861"/>
      <c r="NF478" s="861"/>
      <c r="NG478" s="861">
        <v>24</v>
      </c>
      <c r="NH478" s="861"/>
      <c r="NI478" s="861"/>
      <c r="NJ478" s="861"/>
      <c r="NK478" s="861"/>
      <c r="NL478" s="861"/>
      <c r="NM478" s="861"/>
      <c r="NN478" s="861"/>
      <c r="NO478" s="861"/>
      <c r="NP478" s="861"/>
      <c r="NQ478" s="861"/>
      <c r="NR478" s="861"/>
      <c r="NS478" s="861"/>
      <c r="NT478" s="861"/>
      <c r="NU478" s="861"/>
      <c r="NV478" s="861"/>
      <c r="NW478" s="861">
        <v>25</v>
      </c>
      <c r="NX478" s="861"/>
      <c r="NY478" s="861"/>
      <c r="NZ478" s="861"/>
      <c r="OA478" s="861"/>
      <c r="OB478" s="861"/>
      <c r="OC478" s="861"/>
      <c r="OD478" s="861"/>
      <c r="OE478" s="861"/>
      <c r="OF478" s="861"/>
      <c r="OG478" s="861"/>
      <c r="OH478" s="861"/>
      <c r="OI478" s="861"/>
      <c r="OJ478" s="861"/>
      <c r="OK478" s="861"/>
      <c r="OL478" s="861"/>
      <c r="OM478" s="861">
        <v>26</v>
      </c>
      <c r="ON478" s="861"/>
      <c r="OO478" s="861"/>
      <c r="OP478" s="861"/>
      <c r="OQ478" s="861"/>
      <c r="OR478" s="861"/>
      <c r="OS478" s="861"/>
      <c r="OT478" s="861"/>
      <c r="OU478" s="861"/>
      <c r="OV478" s="861"/>
      <c r="OW478" s="861"/>
      <c r="OX478" s="861"/>
      <c r="OY478" s="861"/>
      <c r="OZ478" s="861"/>
      <c r="PA478" s="861"/>
      <c r="PB478" s="861"/>
      <c r="PC478" s="861">
        <v>27</v>
      </c>
      <c r="PD478" s="861"/>
      <c r="PE478" s="861"/>
      <c r="PF478" s="861"/>
      <c r="PG478" s="861"/>
      <c r="PH478" s="861"/>
      <c r="PI478" s="861"/>
      <c r="PJ478" s="861"/>
      <c r="PK478" s="861"/>
      <c r="PL478" s="861"/>
      <c r="PM478" s="861"/>
      <c r="PN478" s="861"/>
      <c r="PO478" s="861"/>
      <c r="PP478" s="861"/>
      <c r="PQ478" s="861"/>
      <c r="PR478" s="861"/>
      <c r="PS478" s="861">
        <v>28</v>
      </c>
      <c r="PT478" s="861"/>
      <c r="PU478" s="861"/>
      <c r="PV478" s="861"/>
      <c r="PW478" s="861"/>
      <c r="PX478" s="861"/>
      <c r="PY478" s="861"/>
      <c r="PZ478" s="861"/>
      <c r="QA478" s="861"/>
      <c r="QB478" s="861"/>
      <c r="QC478" s="861"/>
      <c r="QD478" s="861"/>
      <c r="QE478" s="861"/>
      <c r="QF478" s="861"/>
      <c r="QG478" s="861"/>
      <c r="QH478" s="861"/>
      <c r="QI478" s="861">
        <v>29</v>
      </c>
      <c r="QJ478" s="861"/>
      <c r="QK478" s="861"/>
      <c r="QL478" s="861"/>
      <c r="QM478" s="861"/>
      <c r="QN478" s="861"/>
      <c r="QO478" s="861"/>
      <c r="QP478" s="861"/>
      <c r="QQ478" s="861"/>
      <c r="QR478" s="861"/>
      <c r="QS478" s="861"/>
      <c r="QT478" s="861"/>
      <c r="QU478" s="861"/>
      <c r="QV478" s="861"/>
      <c r="QW478" s="861"/>
      <c r="QX478" s="861"/>
      <c r="QY478" s="861">
        <v>30</v>
      </c>
      <c r="QZ478" s="861"/>
      <c r="RA478" s="861"/>
      <c r="RB478" s="861"/>
      <c r="RC478" s="861"/>
      <c r="RD478" s="861"/>
      <c r="RE478" s="861"/>
      <c r="RF478" s="861"/>
      <c r="RG478" s="861"/>
      <c r="RH478" s="861"/>
      <c r="RI478" s="861"/>
      <c r="RJ478" s="861"/>
      <c r="RK478" s="861"/>
      <c r="RL478" s="861"/>
      <c r="RM478" s="861"/>
      <c r="RN478" s="861"/>
      <c r="RO478" s="861">
        <v>31</v>
      </c>
      <c r="RP478" s="861"/>
      <c r="RQ478" s="861"/>
      <c r="RR478" s="861"/>
      <c r="RS478" s="861"/>
      <c r="RT478" s="861"/>
      <c r="RU478" s="861"/>
      <c r="RV478" s="861"/>
      <c r="RW478" s="861"/>
      <c r="RX478" s="861"/>
      <c r="RY478" s="861"/>
      <c r="RZ478" s="861"/>
      <c r="SA478" s="861"/>
      <c r="SB478" s="861"/>
      <c r="SC478" s="861"/>
      <c r="SD478" s="861"/>
      <c r="SE478" s="861">
        <v>32</v>
      </c>
      <c r="SF478" s="861"/>
      <c r="SG478" s="861"/>
      <c r="SH478" s="861"/>
      <c r="SI478" s="861"/>
      <c r="SJ478" s="861"/>
      <c r="SK478" s="861"/>
      <c r="SL478" s="861"/>
      <c r="SM478" s="861"/>
      <c r="SN478" s="861"/>
      <c r="SO478" s="861"/>
      <c r="SP478" s="861"/>
      <c r="SQ478" s="861"/>
      <c r="SR478" s="861"/>
      <c r="SS478" s="861"/>
      <c r="ST478" s="861"/>
      <c r="SU478" s="861">
        <v>33</v>
      </c>
      <c r="SV478" s="861"/>
      <c r="SW478" s="861"/>
      <c r="SX478" s="861"/>
      <c r="SY478" s="861"/>
      <c r="SZ478" s="861"/>
      <c r="TA478" s="861"/>
      <c r="TB478" s="861"/>
      <c r="TC478" s="861"/>
      <c r="TD478" s="861"/>
      <c r="TE478" s="861"/>
      <c r="TF478" s="861"/>
      <c r="TG478" s="861"/>
      <c r="TH478" s="861"/>
      <c r="TI478" s="861"/>
      <c r="TJ478" s="861"/>
      <c r="TK478" s="861">
        <v>34</v>
      </c>
      <c r="TL478" s="861"/>
      <c r="TM478" s="861"/>
      <c r="TN478" s="861"/>
      <c r="TO478" s="861"/>
      <c r="TP478" s="861"/>
      <c r="TQ478" s="861"/>
      <c r="TR478" s="861"/>
      <c r="TS478" s="861"/>
      <c r="TT478" s="861"/>
      <c r="TU478" s="861"/>
      <c r="TV478" s="861"/>
      <c r="TW478" s="861"/>
      <c r="TX478" s="861"/>
      <c r="TY478" s="861"/>
      <c r="TZ478" s="861"/>
      <c r="UA478" s="861">
        <v>35</v>
      </c>
      <c r="UB478" s="861"/>
      <c r="UC478" s="861"/>
      <c r="UD478" s="861"/>
      <c r="UE478" s="861"/>
      <c r="UF478" s="861"/>
      <c r="UG478" s="861"/>
      <c r="UH478" s="861"/>
      <c r="UI478" s="861"/>
      <c r="UJ478" s="861"/>
      <c r="UK478" s="861"/>
      <c r="UL478" s="861"/>
      <c r="UM478" s="861"/>
      <c r="UN478" s="861"/>
      <c r="UO478" s="861"/>
      <c r="UP478" s="861"/>
      <c r="UQ478" s="861">
        <v>36</v>
      </c>
      <c r="UR478" s="861"/>
      <c r="US478" s="861"/>
      <c r="UT478" s="861"/>
      <c r="UU478" s="861"/>
      <c r="UV478" s="861"/>
      <c r="UW478" s="861"/>
      <c r="UX478" s="861"/>
      <c r="UY478" s="861"/>
      <c r="UZ478" s="861"/>
      <c r="VA478" s="861"/>
      <c r="VB478" s="861"/>
      <c r="VC478" s="861"/>
      <c r="VD478" s="861"/>
      <c r="VE478" s="861"/>
      <c r="VF478" s="861"/>
      <c r="VG478" s="861">
        <v>37</v>
      </c>
      <c r="VH478" s="861"/>
      <c r="VI478" s="861"/>
      <c r="VJ478" s="861"/>
      <c r="VK478" s="861"/>
      <c r="VL478" s="861"/>
      <c r="VM478" s="861"/>
      <c r="VN478" s="861"/>
      <c r="VO478" s="861"/>
      <c r="VP478" s="861"/>
      <c r="VQ478" s="861"/>
      <c r="VR478" s="861"/>
      <c r="VS478" s="861"/>
      <c r="VT478" s="861"/>
      <c r="VU478" s="861"/>
      <c r="VV478" s="861"/>
      <c r="VW478" s="861">
        <v>38</v>
      </c>
      <c r="VX478" s="861"/>
      <c r="VY478" s="861"/>
      <c r="VZ478" s="861"/>
      <c r="WA478" s="861"/>
      <c r="WB478" s="861"/>
      <c r="WC478" s="861"/>
      <c r="WD478" s="861"/>
      <c r="WE478" s="861"/>
      <c r="WF478" s="861"/>
      <c r="WG478" s="861"/>
      <c r="WH478" s="861"/>
      <c r="WI478" s="861"/>
      <c r="WJ478" s="861"/>
      <c r="WK478" s="861"/>
      <c r="WL478" s="861"/>
      <c r="WM478" s="86"/>
      <c r="WN478" s="861" t="s">
        <v>166</v>
      </c>
      <c r="WO478" s="861"/>
      <c r="WP478" s="861"/>
      <c r="WQ478" s="861"/>
      <c r="WR478" s="861"/>
      <c r="WS478" s="861"/>
      <c r="WT478" s="861"/>
      <c r="WU478" s="861"/>
      <c r="WV478" s="861"/>
      <c r="WW478" s="861"/>
      <c r="WX478" s="861"/>
      <c r="WY478" s="861"/>
      <c r="WZ478" s="861"/>
      <c r="XA478" s="861"/>
      <c r="XB478" s="861"/>
      <c r="XC478" s="861"/>
      <c r="XD478" s="86"/>
      <c r="XG478" s="86"/>
      <c r="XJ478" s="86"/>
      <c r="XK478" s="861" t="s">
        <v>166</v>
      </c>
      <c r="XL478" s="861"/>
      <c r="XM478" s="861"/>
      <c r="XN478" s="861"/>
      <c r="XO478" s="861"/>
      <c r="XP478" s="861"/>
      <c r="XQ478" s="861"/>
      <c r="XR478" s="861"/>
      <c r="XS478" s="86"/>
      <c r="XT478" s="861" t="s">
        <v>166</v>
      </c>
      <c r="XU478" s="861"/>
      <c r="XV478" s="861"/>
      <c r="XW478" s="861"/>
      <c r="XX478" s="861"/>
      <c r="XY478" s="861"/>
      <c r="XZ478" s="861"/>
      <c r="YA478" s="861"/>
    </row>
    <row r="479" spans="1:1017" s="88" customFormat="1">
      <c r="A479" s="657" t="s">
        <v>27</v>
      </c>
      <c r="B479" s="658">
        <f>SUMIF($C$483:$WL$483,$C$483,C484:WL484)</f>
        <v>1442332993.2170777</v>
      </c>
      <c r="C479" s="864" t="s">
        <v>89</v>
      </c>
      <c r="D479" s="864"/>
      <c r="E479" s="864" t="s">
        <v>89</v>
      </c>
      <c r="F479" s="864"/>
      <c r="G479" s="864" t="s">
        <v>89</v>
      </c>
      <c r="H479" s="864"/>
      <c r="I479" s="864" t="s">
        <v>89</v>
      </c>
      <c r="J479" s="864"/>
      <c r="K479" s="864" t="s">
        <v>89</v>
      </c>
      <c r="L479" s="864"/>
      <c r="M479" s="864" t="s">
        <v>89</v>
      </c>
      <c r="N479" s="864"/>
      <c r="O479" s="864" t="s">
        <v>89</v>
      </c>
      <c r="P479" s="864"/>
      <c r="Q479" s="863" t="s">
        <v>89</v>
      </c>
      <c r="R479" s="863"/>
      <c r="S479" s="864" t="s">
        <v>73</v>
      </c>
      <c r="T479" s="864"/>
      <c r="U479" s="864" t="s">
        <v>73</v>
      </c>
      <c r="V479" s="864"/>
      <c r="W479" s="864" t="s">
        <v>73</v>
      </c>
      <c r="X479" s="864"/>
      <c r="Y479" s="864" t="s">
        <v>73</v>
      </c>
      <c r="Z479" s="864"/>
      <c r="AA479" s="864" t="s">
        <v>73</v>
      </c>
      <c r="AB479" s="864"/>
      <c r="AC479" s="864" t="s">
        <v>73</v>
      </c>
      <c r="AD479" s="864"/>
      <c r="AE479" s="864" t="s">
        <v>73</v>
      </c>
      <c r="AF479" s="864"/>
      <c r="AG479" s="863" t="s">
        <v>73</v>
      </c>
      <c r="AH479" s="863"/>
      <c r="AI479" s="864" t="s">
        <v>68</v>
      </c>
      <c r="AJ479" s="864"/>
      <c r="AK479" s="864" t="s">
        <v>68</v>
      </c>
      <c r="AL479" s="864"/>
      <c r="AM479" s="864" t="s">
        <v>68</v>
      </c>
      <c r="AN479" s="864"/>
      <c r="AO479" s="864" t="s">
        <v>68</v>
      </c>
      <c r="AP479" s="864"/>
      <c r="AQ479" s="864" t="s">
        <v>68</v>
      </c>
      <c r="AR479" s="864"/>
      <c r="AS479" s="864" t="s">
        <v>68</v>
      </c>
      <c r="AT479" s="864"/>
      <c r="AU479" s="864" t="s">
        <v>68</v>
      </c>
      <c r="AV479" s="864"/>
      <c r="AW479" s="863" t="s">
        <v>68</v>
      </c>
      <c r="AX479" s="863"/>
      <c r="AY479" s="864" t="s">
        <v>85</v>
      </c>
      <c r="AZ479" s="864"/>
      <c r="BA479" s="864" t="s">
        <v>85</v>
      </c>
      <c r="BB479" s="864"/>
      <c r="BC479" s="864" t="s">
        <v>85</v>
      </c>
      <c r="BD479" s="864"/>
      <c r="BE479" s="864" t="s">
        <v>85</v>
      </c>
      <c r="BF479" s="864"/>
      <c r="BG479" s="864" t="s">
        <v>85</v>
      </c>
      <c r="BH479" s="864"/>
      <c r="BI479" s="864" t="s">
        <v>85</v>
      </c>
      <c r="BJ479" s="864"/>
      <c r="BK479" s="864" t="s">
        <v>85</v>
      </c>
      <c r="BL479" s="864"/>
      <c r="BM479" s="863" t="s">
        <v>85</v>
      </c>
      <c r="BN479" s="863"/>
      <c r="BO479" s="864" t="s">
        <v>74</v>
      </c>
      <c r="BP479" s="864"/>
      <c r="BQ479" s="864" t="s">
        <v>74</v>
      </c>
      <c r="BR479" s="864"/>
      <c r="BS479" s="864" t="s">
        <v>74</v>
      </c>
      <c r="BT479" s="864"/>
      <c r="BU479" s="864" t="s">
        <v>74</v>
      </c>
      <c r="BV479" s="864"/>
      <c r="BW479" s="864" t="s">
        <v>74</v>
      </c>
      <c r="BX479" s="864"/>
      <c r="BY479" s="864" t="s">
        <v>74</v>
      </c>
      <c r="BZ479" s="864"/>
      <c r="CA479" s="864" t="s">
        <v>74</v>
      </c>
      <c r="CB479" s="864"/>
      <c r="CC479" s="863" t="s">
        <v>74</v>
      </c>
      <c r="CD479" s="863"/>
      <c r="CE479" s="864" t="s">
        <v>88</v>
      </c>
      <c r="CF479" s="864"/>
      <c r="CG479" s="864" t="s">
        <v>88</v>
      </c>
      <c r="CH479" s="864"/>
      <c r="CI479" s="864" t="s">
        <v>88</v>
      </c>
      <c r="CJ479" s="864"/>
      <c r="CK479" s="864" t="s">
        <v>88</v>
      </c>
      <c r="CL479" s="864"/>
      <c r="CM479" s="864" t="s">
        <v>88</v>
      </c>
      <c r="CN479" s="864"/>
      <c r="CO479" s="864" t="s">
        <v>88</v>
      </c>
      <c r="CP479" s="864"/>
      <c r="CQ479" s="864" t="s">
        <v>88</v>
      </c>
      <c r="CR479" s="864"/>
      <c r="CS479" s="863" t="s">
        <v>88</v>
      </c>
      <c r="CT479" s="863"/>
      <c r="CU479" s="864" t="s">
        <v>72</v>
      </c>
      <c r="CV479" s="864"/>
      <c r="CW479" s="864" t="s">
        <v>72</v>
      </c>
      <c r="CX479" s="864"/>
      <c r="CY479" s="864" t="s">
        <v>72</v>
      </c>
      <c r="CZ479" s="864"/>
      <c r="DA479" s="864" t="s">
        <v>72</v>
      </c>
      <c r="DB479" s="864"/>
      <c r="DC479" s="864" t="s">
        <v>72</v>
      </c>
      <c r="DD479" s="864"/>
      <c r="DE479" s="864" t="s">
        <v>72</v>
      </c>
      <c r="DF479" s="864"/>
      <c r="DG479" s="864" t="s">
        <v>72</v>
      </c>
      <c r="DH479" s="864"/>
      <c r="DI479" s="863" t="s">
        <v>72</v>
      </c>
      <c r="DJ479" s="863"/>
      <c r="DK479" s="864" t="s">
        <v>80</v>
      </c>
      <c r="DL479" s="864"/>
      <c r="DM479" s="864" t="s">
        <v>80</v>
      </c>
      <c r="DN479" s="864"/>
      <c r="DO479" s="864" t="s">
        <v>80</v>
      </c>
      <c r="DP479" s="864"/>
      <c r="DQ479" s="864" t="s">
        <v>80</v>
      </c>
      <c r="DR479" s="864"/>
      <c r="DS479" s="864" t="s">
        <v>80</v>
      </c>
      <c r="DT479" s="864"/>
      <c r="DU479" s="864" t="s">
        <v>80</v>
      </c>
      <c r="DV479" s="864"/>
      <c r="DW479" s="864" t="s">
        <v>80</v>
      </c>
      <c r="DX479" s="864"/>
      <c r="DY479" s="863" t="s">
        <v>80</v>
      </c>
      <c r="DZ479" s="863"/>
      <c r="EA479" s="864" t="s">
        <v>69</v>
      </c>
      <c r="EB479" s="864"/>
      <c r="EC479" s="864" t="s">
        <v>69</v>
      </c>
      <c r="ED479" s="864"/>
      <c r="EE479" s="864" t="s">
        <v>69</v>
      </c>
      <c r="EF479" s="864"/>
      <c r="EG479" s="864" t="s">
        <v>69</v>
      </c>
      <c r="EH479" s="864"/>
      <c r="EI479" s="864" t="s">
        <v>69</v>
      </c>
      <c r="EJ479" s="864"/>
      <c r="EK479" s="864" t="s">
        <v>69</v>
      </c>
      <c r="EL479" s="864"/>
      <c r="EM479" s="864" t="s">
        <v>69</v>
      </c>
      <c r="EN479" s="864"/>
      <c r="EO479" s="863" t="s">
        <v>69</v>
      </c>
      <c r="EP479" s="863"/>
      <c r="EQ479" s="864" t="s">
        <v>87</v>
      </c>
      <c r="ER479" s="864"/>
      <c r="ES479" s="864" t="s">
        <v>87</v>
      </c>
      <c r="ET479" s="864"/>
      <c r="EU479" s="864" t="s">
        <v>87</v>
      </c>
      <c r="EV479" s="864"/>
      <c r="EW479" s="864" t="s">
        <v>87</v>
      </c>
      <c r="EX479" s="864"/>
      <c r="EY479" s="864" t="s">
        <v>87</v>
      </c>
      <c r="EZ479" s="864"/>
      <c r="FA479" s="864" t="s">
        <v>87</v>
      </c>
      <c r="FB479" s="864"/>
      <c r="FC479" s="864" t="s">
        <v>87</v>
      </c>
      <c r="FD479" s="864"/>
      <c r="FE479" s="863" t="s">
        <v>87</v>
      </c>
      <c r="FF479" s="863"/>
      <c r="FG479" s="864" t="s">
        <v>71</v>
      </c>
      <c r="FH479" s="864"/>
      <c r="FI479" s="864" t="s">
        <v>71</v>
      </c>
      <c r="FJ479" s="864"/>
      <c r="FK479" s="864" t="s">
        <v>71</v>
      </c>
      <c r="FL479" s="864"/>
      <c r="FM479" s="864" t="s">
        <v>71</v>
      </c>
      <c r="FN479" s="864"/>
      <c r="FO479" s="864" t="s">
        <v>71</v>
      </c>
      <c r="FP479" s="864"/>
      <c r="FQ479" s="864" t="s">
        <v>71</v>
      </c>
      <c r="FR479" s="864"/>
      <c r="FS479" s="864" t="s">
        <v>71</v>
      </c>
      <c r="FT479" s="864"/>
      <c r="FU479" s="863" t="s">
        <v>71</v>
      </c>
      <c r="FV479" s="863"/>
      <c r="FW479" s="864" t="s">
        <v>82</v>
      </c>
      <c r="FX479" s="864"/>
      <c r="FY479" s="864" t="s">
        <v>82</v>
      </c>
      <c r="FZ479" s="864"/>
      <c r="GA479" s="864" t="s">
        <v>82</v>
      </c>
      <c r="GB479" s="864"/>
      <c r="GC479" s="864" t="s">
        <v>82</v>
      </c>
      <c r="GD479" s="864"/>
      <c r="GE479" s="864" t="s">
        <v>82</v>
      </c>
      <c r="GF479" s="864"/>
      <c r="GG479" s="864" t="s">
        <v>82</v>
      </c>
      <c r="GH479" s="864"/>
      <c r="GI479" s="864" t="s">
        <v>82</v>
      </c>
      <c r="GJ479" s="864"/>
      <c r="GK479" s="863" t="s">
        <v>82</v>
      </c>
      <c r="GL479" s="863"/>
      <c r="GM479" s="864" t="s">
        <v>83</v>
      </c>
      <c r="GN479" s="864"/>
      <c r="GO479" s="864" t="s">
        <v>83</v>
      </c>
      <c r="GP479" s="864"/>
      <c r="GQ479" s="864" t="s">
        <v>83</v>
      </c>
      <c r="GR479" s="864"/>
      <c r="GS479" s="864" t="s">
        <v>83</v>
      </c>
      <c r="GT479" s="864"/>
      <c r="GU479" s="864" t="s">
        <v>83</v>
      </c>
      <c r="GV479" s="864"/>
      <c r="GW479" s="864" t="s">
        <v>83</v>
      </c>
      <c r="GX479" s="864"/>
      <c r="GY479" s="864" t="s">
        <v>83</v>
      </c>
      <c r="GZ479" s="864"/>
      <c r="HA479" s="863" t="s">
        <v>83</v>
      </c>
      <c r="HB479" s="863"/>
      <c r="HC479" s="864" t="s">
        <v>70</v>
      </c>
      <c r="HD479" s="864"/>
      <c r="HE479" s="864" t="s">
        <v>70</v>
      </c>
      <c r="HF479" s="864"/>
      <c r="HG479" s="864" t="s">
        <v>70</v>
      </c>
      <c r="HH479" s="864"/>
      <c r="HI479" s="864" t="s">
        <v>70</v>
      </c>
      <c r="HJ479" s="864"/>
      <c r="HK479" s="864" t="s">
        <v>70</v>
      </c>
      <c r="HL479" s="864"/>
      <c r="HM479" s="864" t="s">
        <v>70</v>
      </c>
      <c r="HN479" s="864"/>
      <c r="HO479" s="864" t="s">
        <v>70</v>
      </c>
      <c r="HP479" s="864"/>
      <c r="HQ479" s="863" t="s">
        <v>70</v>
      </c>
      <c r="HR479" s="863"/>
      <c r="HS479" s="864" t="s">
        <v>79</v>
      </c>
      <c r="HT479" s="864"/>
      <c r="HU479" s="864" t="s">
        <v>79</v>
      </c>
      <c r="HV479" s="864"/>
      <c r="HW479" s="864" t="s">
        <v>79</v>
      </c>
      <c r="HX479" s="864"/>
      <c r="HY479" s="864" t="s">
        <v>79</v>
      </c>
      <c r="HZ479" s="864"/>
      <c r="IA479" s="864" t="s">
        <v>79</v>
      </c>
      <c r="IB479" s="864"/>
      <c r="IC479" s="864" t="s">
        <v>79</v>
      </c>
      <c r="ID479" s="864"/>
      <c r="IE479" s="864" t="s">
        <v>79</v>
      </c>
      <c r="IF479" s="864"/>
      <c r="IG479" s="863" t="s">
        <v>79</v>
      </c>
      <c r="IH479" s="863"/>
      <c r="II479" s="864" t="s">
        <v>81</v>
      </c>
      <c r="IJ479" s="864"/>
      <c r="IK479" s="864" t="s">
        <v>81</v>
      </c>
      <c r="IL479" s="864"/>
      <c r="IM479" s="864" t="s">
        <v>81</v>
      </c>
      <c r="IN479" s="864"/>
      <c r="IO479" s="864" t="s">
        <v>81</v>
      </c>
      <c r="IP479" s="864"/>
      <c r="IQ479" s="864" t="s">
        <v>81</v>
      </c>
      <c r="IR479" s="864"/>
      <c r="IS479" s="864" t="s">
        <v>81</v>
      </c>
      <c r="IT479" s="864"/>
      <c r="IU479" s="864" t="s">
        <v>81</v>
      </c>
      <c r="IV479" s="864"/>
      <c r="IW479" s="863" t="s">
        <v>81</v>
      </c>
      <c r="IX479" s="863"/>
      <c r="IY479" s="864" t="s">
        <v>84</v>
      </c>
      <c r="IZ479" s="864"/>
      <c r="JA479" s="864" t="s">
        <v>84</v>
      </c>
      <c r="JB479" s="864"/>
      <c r="JC479" s="864" t="s">
        <v>84</v>
      </c>
      <c r="JD479" s="864"/>
      <c r="JE479" s="864" t="s">
        <v>84</v>
      </c>
      <c r="JF479" s="864"/>
      <c r="JG479" s="864" t="s">
        <v>84</v>
      </c>
      <c r="JH479" s="864"/>
      <c r="JI479" s="864" t="s">
        <v>84</v>
      </c>
      <c r="JJ479" s="864"/>
      <c r="JK479" s="864" t="s">
        <v>84</v>
      </c>
      <c r="JL479" s="864"/>
      <c r="JM479" s="863" t="s">
        <v>84</v>
      </c>
      <c r="JN479" s="863"/>
      <c r="JO479" s="864" t="s">
        <v>36</v>
      </c>
      <c r="JP479" s="864"/>
      <c r="JQ479" s="864" t="s">
        <v>36</v>
      </c>
      <c r="JR479" s="864"/>
      <c r="JS479" s="864" t="s">
        <v>36</v>
      </c>
      <c r="JT479" s="864"/>
      <c r="JU479" s="864" t="s">
        <v>36</v>
      </c>
      <c r="JV479" s="864"/>
      <c r="JW479" s="864" t="s">
        <v>36</v>
      </c>
      <c r="JX479" s="864"/>
      <c r="JY479" s="864" t="s">
        <v>36</v>
      </c>
      <c r="JZ479" s="864"/>
      <c r="KA479" s="864" t="s">
        <v>36</v>
      </c>
      <c r="KB479" s="864"/>
      <c r="KC479" s="863" t="s">
        <v>36</v>
      </c>
      <c r="KD479" s="863"/>
      <c r="KE479" s="864" t="s">
        <v>91</v>
      </c>
      <c r="KF479" s="864"/>
      <c r="KG479" s="864" t="s">
        <v>91</v>
      </c>
      <c r="KH479" s="864"/>
      <c r="KI479" s="864" t="s">
        <v>91</v>
      </c>
      <c r="KJ479" s="864"/>
      <c r="KK479" s="864" t="s">
        <v>91</v>
      </c>
      <c r="KL479" s="864"/>
      <c r="KM479" s="864" t="s">
        <v>91</v>
      </c>
      <c r="KN479" s="864"/>
      <c r="KO479" s="864" t="s">
        <v>91</v>
      </c>
      <c r="KP479" s="864"/>
      <c r="KQ479" s="864" t="s">
        <v>91</v>
      </c>
      <c r="KR479" s="864"/>
      <c r="KS479" s="863" t="s">
        <v>91</v>
      </c>
      <c r="KT479" s="863"/>
      <c r="KU479" s="864" t="s">
        <v>77</v>
      </c>
      <c r="KV479" s="864"/>
      <c r="KW479" s="864" t="s">
        <v>77</v>
      </c>
      <c r="KX479" s="864"/>
      <c r="KY479" s="864" t="s">
        <v>77</v>
      </c>
      <c r="KZ479" s="864"/>
      <c r="LA479" s="864" t="s">
        <v>77</v>
      </c>
      <c r="LB479" s="864"/>
      <c r="LC479" s="864" t="s">
        <v>77</v>
      </c>
      <c r="LD479" s="864"/>
      <c r="LE479" s="864" t="s">
        <v>77</v>
      </c>
      <c r="LF479" s="864"/>
      <c r="LG479" s="864" t="s">
        <v>77</v>
      </c>
      <c r="LH479" s="864"/>
      <c r="LI479" s="863" t="s">
        <v>77</v>
      </c>
      <c r="LJ479" s="863"/>
      <c r="LK479" s="864" t="s">
        <v>38</v>
      </c>
      <c r="LL479" s="864"/>
      <c r="LM479" s="864" t="s">
        <v>38</v>
      </c>
      <c r="LN479" s="864"/>
      <c r="LO479" s="864" t="s">
        <v>38</v>
      </c>
      <c r="LP479" s="864"/>
      <c r="LQ479" s="864" t="s">
        <v>38</v>
      </c>
      <c r="LR479" s="864"/>
      <c r="LS479" s="864" t="s">
        <v>38</v>
      </c>
      <c r="LT479" s="864"/>
      <c r="LU479" s="864" t="s">
        <v>38</v>
      </c>
      <c r="LV479" s="864"/>
      <c r="LW479" s="864" t="s">
        <v>38</v>
      </c>
      <c r="LX479" s="864"/>
      <c r="LY479" s="863" t="s">
        <v>38</v>
      </c>
      <c r="LZ479" s="863"/>
      <c r="MA479" s="864" t="s">
        <v>76</v>
      </c>
      <c r="MB479" s="864"/>
      <c r="MC479" s="864" t="s">
        <v>76</v>
      </c>
      <c r="MD479" s="864"/>
      <c r="ME479" s="864" t="s">
        <v>76</v>
      </c>
      <c r="MF479" s="864"/>
      <c r="MG479" s="864" t="s">
        <v>76</v>
      </c>
      <c r="MH479" s="864"/>
      <c r="MI479" s="864" t="s">
        <v>76</v>
      </c>
      <c r="MJ479" s="864"/>
      <c r="MK479" s="864" t="s">
        <v>76</v>
      </c>
      <c r="ML479" s="864"/>
      <c r="MM479" s="864" t="s">
        <v>76</v>
      </c>
      <c r="MN479" s="864"/>
      <c r="MO479" s="863" t="s">
        <v>76</v>
      </c>
      <c r="MP479" s="863"/>
      <c r="MQ479" s="864" t="s">
        <v>90</v>
      </c>
      <c r="MR479" s="864"/>
      <c r="MS479" s="864" t="s">
        <v>90</v>
      </c>
      <c r="MT479" s="864"/>
      <c r="MU479" s="864" t="s">
        <v>90</v>
      </c>
      <c r="MV479" s="864"/>
      <c r="MW479" s="864" t="s">
        <v>90</v>
      </c>
      <c r="MX479" s="864"/>
      <c r="MY479" s="864" t="s">
        <v>90</v>
      </c>
      <c r="MZ479" s="864"/>
      <c r="NA479" s="864" t="s">
        <v>90</v>
      </c>
      <c r="NB479" s="864"/>
      <c r="NC479" s="864" t="s">
        <v>90</v>
      </c>
      <c r="ND479" s="864"/>
      <c r="NE479" s="863" t="s">
        <v>90</v>
      </c>
      <c r="NF479" s="863"/>
      <c r="NG479" s="864" t="s">
        <v>78</v>
      </c>
      <c r="NH479" s="864"/>
      <c r="NI479" s="864" t="s">
        <v>78</v>
      </c>
      <c r="NJ479" s="864"/>
      <c r="NK479" s="864" t="s">
        <v>78</v>
      </c>
      <c r="NL479" s="864"/>
      <c r="NM479" s="864" t="s">
        <v>78</v>
      </c>
      <c r="NN479" s="864"/>
      <c r="NO479" s="864" t="s">
        <v>78</v>
      </c>
      <c r="NP479" s="864"/>
      <c r="NQ479" s="864" t="s">
        <v>78</v>
      </c>
      <c r="NR479" s="864"/>
      <c r="NS479" s="864" t="s">
        <v>78</v>
      </c>
      <c r="NT479" s="864"/>
      <c r="NU479" s="863" t="s">
        <v>78</v>
      </c>
      <c r="NV479" s="863"/>
      <c r="NW479" s="864" t="s">
        <v>75</v>
      </c>
      <c r="NX479" s="864"/>
      <c r="NY479" s="864" t="s">
        <v>75</v>
      </c>
      <c r="NZ479" s="864"/>
      <c r="OA479" s="864" t="s">
        <v>75</v>
      </c>
      <c r="OB479" s="864"/>
      <c r="OC479" s="864" t="s">
        <v>75</v>
      </c>
      <c r="OD479" s="864"/>
      <c r="OE479" s="864" t="s">
        <v>75</v>
      </c>
      <c r="OF479" s="864"/>
      <c r="OG479" s="864" t="s">
        <v>75</v>
      </c>
      <c r="OH479" s="864"/>
      <c r="OI479" s="864" t="s">
        <v>75</v>
      </c>
      <c r="OJ479" s="864"/>
      <c r="OK479" s="863" t="s">
        <v>75</v>
      </c>
      <c r="OL479" s="863"/>
      <c r="OM479" s="864" t="s">
        <v>92</v>
      </c>
      <c r="ON479" s="864"/>
      <c r="OO479" s="864" t="s">
        <v>92</v>
      </c>
      <c r="OP479" s="864"/>
      <c r="OQ479" s="864" t="s">
        <v>92</v>
      </c>
      <c r="OR479" s="864"/>
      <c r="OS479" s="864" t="s">
        <v>92</v>
      </c>
      <c r="OT479" s="864"/>
      <c r="OU479" s="864" t="s">
        <v>92</v>
      </c>
      <c r="OV479" s="864"/>
      <c r="OW479" s="864" t="s">
        <v>92</v>
      </c>
      <c r="OX479" s="864"/>
      <c r="OY479" s="864" t="s">
        <v>92</v>
      </c>
      <c r="OZ479" s="864"/>
      <c r="PA479" s="863" t="s">
        <v>92</v>
      </c>
      <c r="PB479" s="863"/>
      <c r="PC479" s="864" t="s">
        <v>39</v>
      </c>
      <c r="PD479" s="864"/>
      <c r="PE479" s="864" t="s">
        <v>39</v>
      </c>
      <c r="PF479" s="864"/>
      <c r="PG479" s="864" t="s">
        <v>39</v>
      </c>
      <c r="PH479" s="864"/>
      <c r="PI479" s="864" t="s">
        <v>39</v>
      </c>
      <c r="PJ479" s="864"/>
      <c r="PK479" s="864" t="s">
        <v>39</v>
      </c>
      <c r="PL479" s="864"/>
      <c r="PM479" s="864" t="s">
        <v>39</v>
      </c>
      <c r="PN479" s="864"/>
      <c r="PO479" s="864" t="s">
        <v>39</v>
      </c>
      <c r="PP479" s="864"/>
      <c r="PQ479" s="863" t="s">
        <v>39</v>
      </c>
      <c r="PR479" s="863"/>
      <c r="PS479" s="864" t="s">
        <v>86</v>
      </c>
      <c r="PT479" s="864"/>
      <c r="PU479" s="864" t="s">
        <v>86</v>
      </c>
      <c r="PV479" s="864"/>
      <c r="PW479" s="864" t="s">
        <v>86</v>
      </c>
      <c r="PX479" s="864"/>
      <c r="PY479" s="864" t="s">
        <v>86</v>
      </c>
      <c r="PZ479" s="864"/>
      <c r="QA479" s="864" t="s">
        <v>86</v>
      </c>
      <c r="QB479" s="864"/>
      <c r="QC479" s="864" t="s">
        <v>86</v>
      </c>
      <c r="QD479" s="864"/>
      <c r="QE479" s="864" t="s">
        <v>86</v>
      </c>
      <c r="QF479" s="864"/>
      <c r="QG479" s="863" t="s">
        <v>86</v>
      </c>
      <c r="QH479" s="863"/>
      <c r="QI479" s="864" t="s">
        <v>40</v>
      </c>
      <c r="QJ479" s="864"/>
      <c r="QK479" s="864" t="s">
        <v>40</v>
      </c>
      <c r="QL479" s="864"/>
      <c r="QM479" s="864" t="s">
        <v>40</v>
      </c>
      <c r="QN479" s="864"/>
      <c r="QO479" s="864" t="s">
        <v>40</v>
      </c>
      <c r="QP479" s="864"/>
      <c r="QQ479" s="864" t="s">
        <v>40</v>
      </c>
      <c r="QR479" s="864"/>
      <c r="QS479" s="864" t="s">
        <v>40</v>
      </c>
      <c r="QT479" s="864"/>
      <c r="QU479" s="864" t="s">
        <v>40</v>
      </c>
      <c r="QV479" s="864"/>
      <c r="QW479" s="863" t="s">
        <v>40</v>
      </c>
      <c r="QX479" s="863"/>
      <c r="QY479" s="864" t="s">
        <v>101</v>
      </c>
      <c r="QZ479" s="864"/>
      <c r="RA479" s="864" t="s">
        <v>101</v>
      </c>
      <c r="RB479" s="864"/>
      <c r="RC479" s="864" t="s">
        <v>101</v>
      </c>
      <c r="RD479" s="864"/>
      <c r="RE479" s="864" t="s">
        <v>101</v>
      </c>
      <c r="RF479" s="864"/>
      <c r="RG479" s="864" t="s">
        <v>101</v>
      </c>
      <c r="RH479" s="864"/>
      <c r="RI479" s="864" t="s">
        <v>101</v>
      </c>
      <c r="RJ479" s="864"/>
      <c r="RK479" s="864" t="s">
        <v>101</v>
      </c>
      <c r="RL479" s="864"/>
      <c r="RM479" s="863" t="s">
        <v>101</v>
      </c>
      <c r="RN479" s="863"/>
      <c r="RO479" s="864" t="s">
        <v>94</v>
      </c>
      <c r="RP479" s="864"/>
      <c r="RQ479" s="864" t="s">
        <v>94</v>
      </c>
      <c r="RR479" s="864"/>
      <c r="RS479" s="864" t="s">
        <v>94</v>
      </c>
      <c r="RT479" s="864"/>
      <c r="RU479" s="864" t="s">
        <v>94</v>
      </c>
      <c r="RV479" s="864"/>
      <c r="RW479" s="864" t="s">
        <v>94</v>
      </c>
      <c r="RX479" s="864"/>
      <c r="RY479" s="864" t="s">
        <v>94</v>
      </c>
      <c r="RZ479" s="864"/>
      <c r="SA479" s="864" t="s">
        <v>94</v>
      </c>
      <c r="SB479" s="864"/>
      <c r="SC479" s="863" t="s">
        <v>94</v>
      </c>
      <c r="SD479" s="863"/>
      <c r="SE479" s="864" t="s">
        <v>93</v>
      </c>
      <c r="SF479" s="864"/>
      <c r="SG479" s="864" t="s">
        <v>93</v>
      </c>
      <c r="SH479" s="864"/>
      <c r="SI479" s="864" t="s">
        <v>80</v>
      </c>
      <c r="SJ479" s="864"/>
      <c r="SK479" s="864" t="s">
        <v>93</v>
      </c>
      <c r="SL479" s="864"/>
      <c r="SM479" s="864" t="s">
        <v>93</v>
      </c>
      <c r="SN479" s="864"/>
      <c r="SO479" s="864" t="s">
        <v>93</v>
      </c>
      <c r="SP479" s="864"/>
      <c r="SQ479" s="864" t="s">
        <v>93</v>
      </c>
      <c r="SR479" s="864"/>
      <c r="SS479" s="863" t="s">
        <v>93</v>
      </c>
      <c r="ST479" s="863"/>
      <c r="SU479" s="864" t="s">
        <v>99</v>
      </c>
      <c r="SV479" s="864"/>
      <c r="SW479" s="864" t="s">
        <v>99</v>
      </c>
      <c r="SX479" s="864"/>
      <c r="SY479" s="864" t="s">
        <v>99</v>
      </c>
      <c r="SZ479" s="864"/>
      <c r="TA479" s="864" t="s">
        <v>99</v>
      </c>
      <c r="TB479" s="864"/>
      <c r="TC479" s="864" t="s">
        <v>99</v>
      </c>
      <c r="TD479" s="864"/>
      <c r="TE479" s="864" t="s">
        <v>99</v>
      </c>
      <c r="TF479" s="864"/>
      <c r="TG479" s="864" t="s">
        <v>99</v>
      </c>
      <c r="TH479" s="864"/>
      <c r="TI479" s="863" t="s">
        <v>99</v>
      </c>
      <c r="TJ479" s="863"/>
      <c r="TK479" s="864" t="s">
        <v>95</v>
      </c>
      <c r="TL479" s="864"/>
      <c r="TM479" s="864" t="s">
        <v>95</v>
      </c>
      <c r="TN479" s="864"/>
      <c r="TO479" s="864" t="s">
        <v>95</v>
      </c>
      <c r="TP479" s="864"/>
      <c r="TQ479" s="864" t="s">
        <v>95</v>
      </c>
      <c r="TR479" s="864"/>
      <c r="TS479" s="864" t="s">
        <v>95</v>
      </c>
      <c r="TT479" s="864"/>
      <c r="TU479" s="864" t="s">
        <v>95</v>
      </c>
      <c r="TV479" s="864"/>
      <c r="TW479" s="864" t="s">
        <v>95</v>
      </c>
      <c r="TX479" s="864"/>
      <c r="TY479" s="863" t="s">
        <v>95</v>
      </c>
      <c r="TZ479" s="863"/>
      <c r="UA479" s="864" t="s">
        <v>98</v>
      </c>
      <c r="UB479" s="864"/>
      <c r="UC479" s="864" t="s">
        <v>98</v>
      </c>
      <c r="UD479" s="864"/>
      <c r="UE479" s="864" t="s">
        <v>98</v>
      </c>
      <c r="UF479" s="864"/>
      <c r="UG479" s="864" t="s">
        <v>98</v>
      </c>
      <c r="UH479" s="864"/>
      <c r="UI479" s="864" t="s">
        <v>98</v>
      </c>
      <c r="UJ479" s="864"/>
      <c r="UK479" s="864" t="s">
        <v>98</v>
      </c>
      <c r="UL479" s="864"/>
      <c r="UM479" s="864" t="s">
        <v>98</v>
      </c>
      <c r="UN479" s="864"/>
      <c r="UO479" s="863" t="s">
        <v>98</v>
      </c>
      <c r="UP479" s="863"/>
      <c r="UQ479" s="864" t="s">
        <v>97</v>
      </c>
      <c r="UR479" s="864"/>
      <c r="US479" s="864" t="s">
        <v>97</v>
      </c>
      <c r="UT479" s="864"/>
      <c r="UU479" s="864" t="s">
        <v>97</v>
      </c>
      <c r="UV479" s="864"/>
      <c r="UW479" s="864" t="s">
        <v>97</v>
      </c>
      <c r="UX479" s="864"/>
      <c r="UY479" s="864" t="s">
        <v>97</v>
      </c>
      <c r="UZ479" s="864"/>
      <c r="VA479" s="864" t="s">
        <v>97</v>
      </c>
      <c r="VB479" s="864"/>
      <c r="VC479" s="864" t="s">
        <v>97</v>
      </c>
      <c r="VD479" s="864"/>
      <c r="VE479" s="863" t="s">
        <v>97</v>
      </c>
      <c r="VF479" s="863"/>
      <c r="VG479" s="864" t="s">
        <v>96</v>
      </c>
      <c r="VH479" s="864"/>
      <c r="VI479" s="864" t="s">
        <v>96</v>
      </c>
      <c r="VJ479" s="864"/>
      <c r="VK479" s="864" t="s">
        <v>96</v>
      </c>
      <c r="VL479" s="864"/>
      <c r="VM479" s="864" t="s">
        <v>96</v>
      </c>
      <c r="VN479" s="864"/>
      <c r="VO479" s="864" t="s">
        <v>96</v>
      </c>
      <c r="VP479" s="864"/>
      <c r="VQ479" s="864" t="s">
        <v>96</v>
      </c>
      <c r="VR479" s="864"/>
      <c r="VS479" s="864" t="s">
        <v>96</v>
      </c>
      <c r="VT479" s="864"/>
      <c r="VU479" s="863" t="s">
        <v>96</v>
      </c>
      <c r="VV479" s="863"/>
      <c r="VW479" s="864" t="s">
        <v>100</v>
      </c>
      <c r="VX479" s="864"/>
      <c r="VY479" s="864" t="s">
        <v>100</v>
      </c>
      <c r="VZ479" s="864"/>
      <c r="WA479" s="864" t="s">
        <v>100</v>
      </c>
      <c r="WB479" s="864"/>
      <c r="WC479" s="864" t="s">
        <v>100</v>
      </c>
      <c r="WD479" s="864"/>
      <c r="WE479" s="864" t="s">
        <v>100</v>
      </c>
      <c r="WF479" s="864"/>
      <c r="WG479" s="864" t="s">
        <v>100</v>
      </c>
      <c r="WH479" s="864"/>
      <c r="WI479" s="864" t="s">
        <v>100</v>
      </c>
      <c r="WJ479" s="864"/>
      <c r="WK479" s="863" t="s">
        <v>100</v>
      </c>
      <c r="WL479" s="863"/>
      <c r="WM479" s="89"/>
      <c r="WN479" s="862"/>
      <c r="WO479" s="862"/>
      <c r="WP479" s="862"/>
      <c r="WQ479" s="862"/>
      <c r="WR479" s="862"/>
      <c r="WS479" s="862"/>
      <c r="WT479" s="862"/>
      <c r="WU479" s="862"/>
      <c r="WV479" s="862"/>
      <c r="WW479" s="862"/>
      <c r="WX479" s="862"/>
      <c r="WY479" s="862"/>
      <c r="WZ479" s="862"/>
      <c r="XA479" s="862"/>
      <c r="XB479" s="863" t="s">
        <v>165</v>
      </c>
      <c r="XC479" s="863"/>
      <c r="XD479" s="89"/>
      <c r="XE479" s="574"/>
      <c r="XF479" s="574"/>
      <c r="XG479" s="89"/>
      <c r="XH479" s="574"/>
      <c r="XI479" s="574"/>
      <c r="XJ479" s="89"/>
      <c r="XK479" s="87"/>
      <c r="XL479" s="87"/>
      <c r="XM479" s="87"/>
      <c r="XN479" s="87"/>
      <c r="XO479" s="87"/>
      <c r="XP479" s="87"/>
      <c r="XQ479" s="87"/>
      <c r="XR479" s="87"/>
      <c r="XS479" s="89"/>
      <c r="XT479" s="87"/>
      <c r="XU479" s="87"/>
      <c r="XV479" s="87"/>
      <c r="XW479" s="87"/>
      <c r="XX479" s="87"/>
      <c r="XY479" s="87"/>
      <c r="XZ479" s="87"/>
      <c r="YA479" s="87"/>
      <c r="YB479" s="862"/>
      <c r="YC479" s="862"/>
      <c r="YD479" s="862"/>
      <c r="YE479" s="862"/>
      <c r="YF479" s="862"/>
      <c r="YG479" s="862"/>
      <c r="YH479" s="862"/>
      <c r="YI479" s="862"/>
      <c r="YJ479" s="862"/>
      <c r="YK479" s="862"/>
      <c r="YL479" s="862"/>
      <c r="YM479" s="862"/>
      <c r="YN479" s="862"/>
      <c r="YO479" s="862"/>
      <c r="YP479" s="862"/>
      <c r="YQ479" s="862"/>
      <c r="YR479" s="862"/>
      <c r="YS479" s="862"/>
      <c r="YT479" s="862"/>
      <c r="YU479" s="862"/>
      <c r="YV479" s="862"/>
      <c r="YW479" s="862"/>
      <c r="YX479" s="862"/>
      <c r="YY479" s="862"/>
      <c r="YZ479" s="862"/>
      <c r="ZA479" s="862"/>
      <c r="ZB479" s="862"/>
      <c r="ZC479" s="862"/>
      <c r="ZD479" s="862"/>
      <c r="ZE479" s="862"/>
      <c r="ZF479" s="862"/>
      <c r="ZG479" s="862"/>
      <c r="ZH479" s="862"/>
      <c r="ZI479" s="862"/>
      <c r="ZJ479" s="862"/>
      <c r="ZK479" s="862"/>
      <c r="ZL479" s="862"/>
      <c r="ZM479" s="862"/>
      <c r="ZN479" s="862"/>
      <c r="ZO479" s="862"/>
      <c r="ZP479" s="862"/>
      <c r="ZQ479" s="862"/>
      <c r="ZR479" s="862"/>
      <c r="ZS479" s="862"/>
      <c r="ZT479" s="862"/>
      <c r="ZU479" s="862"/>
      <c r="ZV479" s="862"/>
      <c r="ZW479" s="862"/>
      <c r="ZX479" s="862"/>
      <c r="ZY479" s="862"/>
      <c r="ZZ479" s="862"/>
      <c r="AAA479" s="862"/>
      <c r="AAB479" s="862"/>
      <c r="AAC479" s="862"/>
      <c r="AAD479" s="862"/>
      <c r="AAE479" s="862"/>
      <c r="AAF479" s="862"/>
      <c r="AAG479" s="862"/>
      <c r="AAH479" s="862"/>
      <c r="AAI479" s="862"/>
      <c r="AAJ479" s="862"/>
      <c r="AAK479" s="862"/>
      <c r="AAL479" s="862"/>
      <c r="AAM479" s="862"/>
      <c r="AAN479" s="862"/>
      <c r="AAO479" s="862"/>
      <c r="AAP479" s="862"/>
      <c r="AAQ479" s="862"/>
      <c r="AAR479" s="862"/>
      <c r="AAS479" s="862"/>
      <c r="AAT479" s="862"/>
      <c r="AAU479" s="862"/>
      <c r="AAV479" s="862"/>
      <c r="AAW479" s="862"/>
      <c r="AAX479" s="862"/>
      <c r="AAY479" s="862"/>
      <c r="AAZ479" s="862"/>
      <c r="ABA479" s="862"/>
      <c r="ABB479" s="862"/>
      <c r="ABC479" s="862"/>
      <c r="ABD479" s="862"/>
      <c r="ABE479" s="862"/>
      <c r="ABF479" s="862"/>
      <c r="ABG479" s="862"/>
      <c r="ABH479" s="862"/>
      <c r="ABI479" s="862"/>
      <c r="ABJ479" s="862"/>
      <c r="ABK479" s="862"/>
      <c r="ABL479" s="862"/>
      <c r="ABM479" s="862"/>
      <c r="ABN479" s="862"/>
      <c r="ABO479" s="862"/>
      <c r="ABP479" s="862"/>
      <c r="ABQ479" s="862"/>
      <c r="ABR479" s="862"/>
      <c r="ABS479" s="862"/>
      <c r="ABT479" s="862"/>
      <c r="ABU479" s="862"/>
      <c r="ABV479" s="862"/>
      <c r="ABW479" s="862"/>
      <c r="ABX479" s="862"/>
      <c r="ABY479" s="862"/>
      <c r="ABZ479" s="862"/>
      <c r="ACA479" s="862"/>
      <c r="ACB479" s="862"/>
      <c r="ACC479" s="862"/>
      <c r="ACD479" s="862"/>
      <c r="ACE479" s="862"/>
      <c r="ACF479" s="862"/>
      <c r="ACG479" s="862"/>
      <c r="ACH479" s="862"/>
      <c r="ACI479" s="862"/>
      <c r="ACJ479" s="862"/>
      <c r="ACK479" s="862"/>
      <c r="ACL479" s="862"/>
      <c r="ACM479" s="862"/>
      <c r="ACN479" s="862"/>
      <c r="ACO479" s="862"/>
      <c r="ACP479" s="862"/>
      <c r="ACQ479" s="862"/>
      <c r="ACR479" s="862"/>
      <c r="ACS479" s="862"/>
      <c r="ACT479" s="862"/>
      <c r="ACU479" s="862"/>
      <c r="ACV479" s="862"/>
      <c r="ACW479" s="862"/>
      <c r="ACX479" s="862"/>
      <c r="ACY479" s="862"/>
      <c r="ACZ479" s="862"/>
      <c r="ADA479" s="862"/>
      <c r="ADB479" s="862"/>
      <c r="ADC479" s="862"/>
      <c r="ADD479" s="862"/>
      <c r="ADE479" s="862"/>
      <c r="ADF479" s="862"/>
      <c r="ADG479" s="862"/>
      <c r="ADH479" s="862"/>
      <c r="ADI479" s="862"/>
      <c r="ADJ479" s="862"/>
      <c r="ADK479" s="862"/>
      <c r="ADL479" s="862"/>
      <c r="ADM479" s="862"/>
      <c r="ADN479" s="862"/>
      <c r="ADO479" s="862"/>
      <c r="ADP479" s="862"/>
      <c r="ADQ479" s="862"/>
      <c r="ADR479" s="862"/>
      <c r="ADS479" s="862"/>
      <c r="ADT479" s="862"/>
      <c r="ADU479" s="862"/>
      <c r="ADV479" s="862"/>
      <c r="ADW479" s="862"/>
      <c r="ADX479" s="862"/>
      <c r="ADY479" s="862"/>
      <c r="ADZ479" s="862"/>
      <c r="AEA479" s="862"/>
      <c r="AEB479" s="862"/>
      <c r="AEC479" s="862"/>
      <c r="AED479" s="862"/>
      <c r="AEE479" s="862"/>
      <c r="AEF479" s="862"/>
      <c r="AEG479" s="862"/>
      <c r="AEH479" s="862"/>
      <c r="AEI479" s="862"/>
      <c r="AEJ479" s="862"/>
      <c r="AEK479" s="862"/>
      <c r="AEL479" s="862"/>
      <c r="AEM479" s="862"/>
      <c r="AEN479" s="862"/>
      <c r="AEO479" s="862"/>
      <c r="AEP479" s="862"/>
      <c r="AEQ479" s="862"/>
      <c r="AER479" s="862"/>
      <c r="AES479" s="862"/>
      <c r="AET479" s="862"/>
      <c r="AEU479" s="862"/>
      <c r="AEV479" s="862"/>
      <c r="AEW479" s="862"/>
      <c r="AEX479" s="862"/>
      <c r="AEY479" s="862"/>
      <c r="AEZ479" s="862"/>
      <c r="AFA479" s="862"/>
      <c r="AFB479" s="862"/>
      <c r="AFC479" s="862"/>
      <c r="AFD479" s="862"/>
      <c r="AFE479" s="862"/>
      <c r="AFF479" s="862"/>
      <c r="AFG479" s="862"/>
      <c r="AFH479" s="862"/>
      <c r="AFI479" s="862"/>
      <c r="AFJ479" s="862"/>
      <c r="AFK479" s="862"/>
      <c r="AFL479" s="862"/>
      <c r="AFM479" s="862"/>
      <c r="AFN479" s="862"/>
      <c r="AFO479" s="862"/>
      <c r="AFP479" s="862"/>
      <c r="AFQ479" s="862"/>
      <c r="AFR479" s="862"/>
      <c r="AFS479" s="862"/>
      <c r="AFT479" s="862"/>
      <c r="AFU479" s="862"/>
      <c r="AFV479" s="862"/>
      <c r="AFW479" s="862"/>
      <c r="AFX479" s="862"/>
      <c r="AFY479" s="862"/>
      <c r="AFZ479" s="862"/>
      <c r="AGA479" s="862"/>
      <c r="AGB479" s="862"/>
      <c r="AGC479" s="862"/>
      <c r="AGD479" s="862"/>
      <c r="AGE479" s="862"/>
      <c r="AGF479" s="862"/>
      <c r="AGG479" s="862"/>
      <c r="AGH479" s="862"/>
      <c r="AGI479" s="862"/>
      <c r="AGJ479" s="862"/>
      <c r="AGK479" s="862"/>
      <c r="AGL479" s="862"/>
      <c r="AGM479" s="862"/>
      <c r="AGN479" s="862"/>
      <c r="AGO479" s="862"/>
      <c r="AGP479" s="862"/>
      <c r="AGQ479" s="862"/>
      <c r="AGR479" s="862"/>
      <c r="AGS479" s="862"/>
      <c r="AGT479" s="862"/>
      <c r="AGU479" s="862"/>
      <c r="AGV479" s="862"/>
      <c r="AGW479" s="862"/>
      <c r="AGX479" s="862"/>
      <c r="AGY479" s="862"/>
      <c r="AGZ479" s="862"/>
      <c r="AHA479" s="862"/>
      <c r="AHB479" s="862"/>
      <c r="AHC479" s="862"/>
      <c r="AHD479" s="862"/>
      <c r="AHE479" s="862"/>
      <c r="AHF479" s="862"/>
      <c r="AHG479" s="862"/>
      <c r="AHH479" s="862"/>
      <c r="AHI479" s="862"/>
      <c r="AHJ479" s="862"/>
      <c r="AHK479" s="862"/>
      <c r="AHL479" s="862"/>
      <c r="AHM479" s="862"/>
      <c r="AHN479" s="862"/>
      <c r="AHO479" s="862"/>
      <c r="AHP479" s="862"/>
      <c r="AHQ479" s="862"/>
      <c r="AHR479" s="862"/>
      <c r="AHS479" s="862"/>
      <c r="AHT479" s="862"/>
      <c r="AHU479" s="862"/>
      <c r="AHV479" s="862"/>
      <c r="AHW479" s="862"/>
      <c r="AHX479" s="862"/>
      <c r="AHY479" s="862"/>
      <c r="AHZ479" s="862"/>
      <c r="AIA479" s="862"/>
      <c r="AIB479" s="862"/>
      <c r="AIC479" s="862"/>
      <c r="AID479" s="862"/>
      <c r="AIE479" s="862"/>
      <c r="AIF479" s="862"/>
      <c r="AIG479" s="862"/>
      <c r="AIH479" s="862"/>
      <c r="AII479" s="862"/>
      <c r="AIJ479" s="862"/>
      <c r="AIK479" s="862"/>
      <c r="AIL479" s="862"/>
      <c r="AIM479" s="862"/>
      <c r="AIN479" s="862"/>
      <c r="AIO479" s="862"/>
      <c r="AIP479" s="862"/>
      <c r="AIQ479" s="862"/>
      <c r="AIR479" s="862"/>
      <c r="AIS479" s="862"/>
      <c r="AIT479" s="862"/>
      <c r="AIU479" s="862"/>
      <c r="AIV479" s="862"/>
      <c r="AIW479" s="862"/>
      <c r="AIX479" s="862"/>
      <c r="AIY479" s="862"/>
      <c r="AIZ479" s="862"/>
      <c r="AJA479" s="862"/>
      <c r="AJB479" s="862"/>
      <c r="AJC479" s="862"/>
      <c r="AJD479" s="862"/>
      <c r="AJE479" s="862"/>
      <c r="AJF479" s="862"/>
      <c r="AJG479" s="862"/>
      <c r="AJH479" s="862"/>
      <c r="AJI479" s="862"/>
      <c r="AJJ479" s="862"/>
      <c r="AJK479" s="862"/>
      <c r="AJL479" s="862"/>
      <c r="AJM479" s="862"/>
      <c r="AJN479" s="862"/>
      <c r="AJO479" s="862"/>
      <c r="AJP479" s="862"/>
      <c r="AJQ479" s="862"/>
      <c r="AJR479" s="862"/>
      <c r="AJS479" s="862"/>
      <c r="AJT479" s="862"/>
      <c r="AJU479" s="862"/>
      <c r="AJV479" s="862"/>
      <c r="AJW479" s="862"/>
      <c r="AJX479" s="862"/>
      <c r="AJY479" s="862"/>
      <c r="AJZ479" s="862"/>
      <c r="AKA479" s="862"/>
      <c r="AKB479" s="862"/>
      <c r="AKC479" s="862"/>
      <c r="AKD479" s="862"/>
      <c r="AKE479" s="862"/>
      <c r="AKF479" s="862"/>
      <c r="AKG479" s="862"/>
      <c r="AKH479" s="862"/>
      <c r="AKI479" s="862"/>
      <c r="AKJ479" s="862"/>
      <c r="AKK479" s="862"/>
      <c r="AKL479" s="862"/>
      <c r="AKM479" s="862"/>
      <c r="AKN479" s="862"/>
      <c r="AKO479" s="862"/>
      <c r="AKP479" s="862"/>
      <c r="AKQ479" s="862"/>
      <c r="AKR479" s="862"/>
      <c r="AKS479" s="862"/>
      <c r="AKT479" s="862"/>
      <c r="AKU479" s="862"/>
      <c r="AKV479" s="862"/>
      <c r="AKW479" s="862"/>
      <c r="AKX479" s="862"/>
      <c r="AKY479" s="862"/>
      <c r="AKZ479" s="862"/>
      <c r="ALA479" s="862"/>
      <c r="ALB479" s="862"/>
      <c r="ALC479" s="862"/>
      <c r="ALD479" s="862"/>
      <c r="ALE479" s="862"/>
      <c r="ALF479" s="862"/>
      <c r="ALG479" s="862"/>
      <c r="ALH479" s="862"/>
      <c r="ALI479" s="862"/>
      <c r="ALJ479" s="862"/>
      <c r="ALK479" s="862"/>
      <c r="ALL479" s="862"/>
      <c r="ALM479" s="862"/>
      <c r="ALN479" s="862"/>
      <c r="ALO479" s="862"/>
      <c r="ALP479" s="862"/>
      <c r="ALQ479" s="862"/>
      <c r="ALR479" s="862"/>
      <c r="ALS479" s="862"/>
      <c r="ALT479" s="862"/>
      <c r="ALU479" s="862"/>
      <c r="ALV479" s="862"/>
      <c r="ALW479" s="862"/>
      <c r="ALX479" s="862"/>
      <c r="ALY479" s="862"/>
      <c r="ALZ479" s="862"/>
      <c r="AMA479" s="862"/>
      <c r="AMB479" s="862"/>
      <c r="AMC479" s="862"/>
    </row>
    <row r="480" spans="1:1017" s="88" customFormat="1" ht="15.75" customHeight="1">
      <c r="A480" s="188" t="s">
        <v>28</v>
      </c>
      <c r="B480" s="658">
        <f>SUMIF($C$483:$WL$483,$D$483,C484:WL484)</f>
        <v>21538229550.790462</v>
      </c>
      <c r="C480" s="862" t="s">
        <v>34</v>
      </c>
      <c r="D480" s="862"/>
      <c r="E480" s="862" t="s">
        <v>31</v>
      </c>
      <c r="F480" s="862"/>
      <c r="G480" s="862" t="s">
        <v>558</v>
      </c>
      <c r="H480" s="862"/>
      <c r="I480" s="862" t="s">
        <v>32</v>
      </c>
      <c r="J480" s="862"/>
      <c r="K480" s="862" t="s">
        <v>561</v>
      </c>
      <c r="L480" s="862"/>
      <c r="M480" s="862" t="s">
        <v>33</v>
      </c>
      <c r="N480" s="862"/>
      <c r="O480" s="862" t="s">
        <v>35</v>
      </c>
      <c r="P480" s="862"/>
      <c r="Q480" s="863" t="s">
        <v>150</v>
      </c>
      <c r="R480" s="863"/>
      <c r="S480" s="862" t="s">
        <v>34</v>
      </c>
      <c r="T480" s="862"/>
      <c r="U480" s="862" t="s">
        <v>31</v>
      </c>
      <c r="V480" s="862"/>
      <c r="W480" s="862" t="s">
        <v>558</v>
      </c>
      <c r="X480" s="862"/>
      <c r="Y480" s="862" t="s">
        <v>32</v>
      </c>
      <c r="Z480" s="862"/>
      <c r="AA480" s="862" t="s">
        <v>561</v>
      </c>
      <c r="AB480" s="862"/>
      <c r="AC480" s="862" t="s">
        <v>33</v>
      </c>
      <c r="AD480" s="862"/>
      <c r="AE480" s="862" t="s">
        <v>35</v>
      </c>
      <c r="AF480" s="862"/>
      <c r="AG480" s="863" t="s">
        <v>150</v>
      </c>
      <c r="AH480" s="863"/>
      <c r="AI480" s="862" t="s">
        <v>34</v>
      </c>
      <c r="AJ480" s="862"/>
      <c r="AK480" s="862" t="s">
        <v>31</v>
      </c>
      <c r="AL480" s="862"/>
      <c r="AM480" s="862" t="s">
        <v>558</v>
      </c>
      <c r="AN480" s="862"/>
      <c r="AO480" s="862" t="s">
        <v>32</v>
      </c>
      <c r="AP480" s="862"/>
      <c r="AQ480" s="862" t="s">
        <v>561</v>
      </c>
      <c r="AR480" s="862"/>
      <c r="AS480" s="862" t="s">
        <v>33</v>
      </c>
      <c r="AT480" s="862"/>
      <c r="AU480" s="862" t="s">
        <v>35</v>
      </c>
      <c r="AV480" s="862"/>
      <c r="AW480" s="863" t="s">
        <v>150</v>
      </c>
      <c r="AX480" s="863"/>
      <c r="AY480" s="862" t="s">
        <v>34</v>
      </c>
      <c r="AZ480" s="862"/>
      <c r="BA480" s="862" t="s">
        <v>31</v>
      </c>
      <c r="BB480" s="862"/>
      <c r="BC480" s="862" t="s">
        <v>558</v>
      </c>
      <c r="BD480" s="862"/>
      <c r="BE480" s="862" t="s">
        <v>32</v>
      </c>
      <c r="BF480" s="862"/>
      <c r="BG480" s="862" t="s">
        <v>561</v>
      </c>
      <c r="BH480" s="862"/>
      <c r="BI480" s="862" t="s">
        <v>33</v>
      </c>
      <c r="BJ480" s="862"/>
      <c r="BK480" s="862" t="s">
        <v>35</v>
      </c>
      <c r="BL480" s="862"/>
      <c r="BM480" s="863" t="s">
        <v>150</v>
      </c>
      <c r="BN480" s="863"/>
      <c r="BO480" s="862" t="s">
        <v>34</v>
      </c>
      <c r="BP480" s="862"/>
      <c r="BQ480" s="862" t="s">
        <v>31</v>
      </c>
      <c r="BR480" s="862"/>
      <c r="BS480" s="862" t="s">
        <v>558</v>
      </c>
      <c r="BT480" s="862"/>
      <c r="BU480" s="862" t="s">
        <v>32</v>
      </c>
      <c r="BV480" s="862"/>
      <c r="BW480" s="862" t="s">
        <v>561</v>
      </c>
      <c r="BX480" s="862"/>
      <c r="BY480" s="862" t="s">
        <v>33</v>
      </c>
      <c r="BZ480" s="862"/>
      <c r="CA480" s="862" t="s">
        <v>35</v>
      </c>
      <c r="CB480" s="862"/>
      <c r="CC480" s="863" t="s">
        <v>150</v>
      </c>
      <c r="CD480" s="863"/>
      <c r="CE480" s="862" t="s">
        <v>34</v>
      </c>
      <c r="CF480" s="862"/>
      <c r="CG480" s="862" t="s">
        <v>31</v>
      </c>
      <c r="CH480" s="862"/>
      <c r="CI480" s="862" t="s">
        <v>558</v>
      </c>
      <c r="CJ480" s="862"/>
      <c r="CK480" s="862" t="s">
        <v>32</v>
      </c>
      <c r="CL480" s="862"/>
      <c r="CM480" s="862" t="s">
        <v>561</v>
      </c>
      <c r="CN480" s="862"/>
      <c r="CO480" s="862" t="s">
        <v>33</v>
      </c>
      <c r="CP480" s="862"/>
      <c r="CQ480" s="862" t="s">
        <v>35</v>
      </c>
      <c r="CR480" s="862"/>
      <c r="CS480" s="863" t="s">
        <v>150</v>
      </c>
      <c r="CT480" s="863"/>
      <c r="CU480" s="862" t="s">
        <v>34</v>
      </c>
      <c r="CV480" s="862"/>
      <c r="CW480" s="862" t="s">
        <v>31</v>
      </c>
      <c r="CX480" s="862"/>
      <c r="CY480" s="862" t="s">
        <v>558</v>
      </c>
      <c r="CZ480" s="862"/>
      <c r="DA480" s="862" t="s">
        <v>32</v>
      </c>
      <c r="DB480" s="862"/>
      <c r="DC480" s="862" t="s">
        <v>561</v>
      </c>
      <c r="DD480" s="862"/>
      <c r="DE480" s="862" t="s">
        <v>33</v>
      </c>
      <c r="DF480" s="862"/>
      <c r="DG480" s="862" t="s">
        <v>35</v>
      </c>
      <c r="DH480" s="862"/>
      <c r="DI480" s="863" t="s">
        <v>150</v>
      </c>
      <c r="DJ480" s="863"/>
      <c r="DK480" s="862" t="s">
        <v>34</v>
      </c>
      <c r="DL480" s="862"/>
      <c r="DM480" s="862" t="s">
        <v>31</v>
      </c>
      <c r="DN480" s="862"/>
      <c r="DO480" s="862" t="s">
        <v>558</v>
      </c>
      <c r="DP480" s="862"/>
      <c r="DQ480" s="862" t="s">
        <v>32</v>
      </c>
      <c r="DR480" s="862"/>
      <c r="DS480" s="862" t="s">
        <v>561</v>
      </c>
      <c r="DT480" s="862"/>
      <c r="DU480" s="862" t="s">
        <v>33</v>
      </c>
      <c r="DV480" s="862"/>
      <c r="DW480" s="862" t="s">
        <v>35</v>
      </c>
      <c r="DX480" s="862"/>
      <c r="DY480" s="863" t="s">
        <v>150</v>
      </c>
      <c r="DZ480" s="863"/>
      <c r="EA480" s="862" t="s">
        <v>34</v>
      </c>
      <c r="EB480" s="862"/>
      <c r="EC480" s="862" t="s">
        <v>31</v>
      </c>
      <c r="ED480" s="862"/>
      <c r="EE480" s="862" t="s">
        <v>558</v>
      </c>
      <c r="EF480" s="862"/>
      <c r="EG480" s="862" t="s">
        <v>32</v>
      </c>
      <c r="EH480" s="862"/>
      <c r="EI480" s="862" t="s">
        <v>561</v>
      </c>
      <c r="EJ480" s="862"/>
      <c r="EK480" s="862" t="s">
        <v>33</v>
      </c>
      <c r="EL480" s="862"/>
      <c r="EM480" s="862" t="s">
        <v>35</v>
      </c>
      <c r="EN480" s="862"/>
      <c r="EO480" s="863" t="s">
        <v>150</v>
      </c>
      <c r="EP480" s="863"/>
      <c r="EQ480" s="862" t="s">
        <v>34</v>
      </c>
      <c r="ER480" s="862"/>
      <c r="ES480" s="862" t="s">
        <v>31</v>
      </c>
      <c r="ET480" s="862"/>
      <c r="EU480" s="862" t="s">
        <v>558</v>
      </c>
      <c r="EV480" s="862"/>
      <c r="EW480" s="862" t="s">
        <v>32</v>
      </c>
      <c r="EX480" s="862"/>
      <c r="EY480" s="862" t="s">
        <v>561</v>
      </c>
      <c r="EZ480" s="862"/>
      <c r="FA480" s="862" t="s">
        <v>33</v>
      </c>
      <c r="FB480" s="862"/>
      <c r="FC480" s="862" t="s">
        <v>35</v>
      </c>
      <c r="FD480" s="862"/>
      <c r="FE480" s="863" t="s">
        <v>150</v>
      </c>
      <c r="FF480" s="863"/>
      <c r="FG480" s="862" t="s">
        <v>34</v>
      </c>
      <c r="FH480" s="862"/>
      <c r="FI480" s="862" t="s">
        <v>31</v>
      </c>
      <c r="FJ480" s="862"/>
      <c r="FK480" s="862" t="s">
        <v>558</v>
      </c>
      <c r="FL480" s="862"/>
      <c r="FM480" s="862" t="s">
        <v>32</v>
      </c>
      <c r="FN480" s="862"/>
      <c r="FO480" s="862" t="s">
        <v>561</v>
      </c>
      <c r="FP480" s="862"/>
      <c r="FQ480" s="862" t="s">
        <v>33</v>
      </c>
      <c r="FR480" s="862"/>
      <c r="FS480" s="862" t="s">
        <v>35</v>
      </c>
      <c r="FT480" s="862"/>
      <c r="FU480" s="863" t="s">
        <v>150</v>
      </c>
      <c r="FV480" s="863"/>
      <c r="FW480" s="862" t="s">
        <v>34</v>
      </c>
      <c r="FX480" s="862"/>
      <c r="FY480" s="862" t="s">
        <v>31</v>
      </c>
      <c r="FZ480" s="862"/>
      <c r="GA480" s="862" t="s">
        <v>558</v>
      </c>
      <c r="GB480" s="862"/>
      <c r="GC480" s="862" t="s">
        <v>32</v>
      </c>
      <c r="GD480" s="862"/>
      <c r="GE480" s="862" t="s">
        <v>561</v>
      </c>
      <c r="GF480" s="862"/>
      <c r="GG480" s="862" t="s">
        <v>33</v>
      </c>
      <c r="GH480" s="862"/>
      <c r="GI480" s="862" t="s">
        <v>35</v>
      </c>
      <c r="GJ480" s="862"/>
      <c r="GK480" s="863" t="s">
        <v>150</v>
      </c>
      <c r="GL480" s="863"/>
      <c r="GM480" s="862" t="s">
        <v>34</v>
      </c>
      <c r="GN480" s="862"/>
      <c r="GO480" s="862" t="s">
        <v>31</v>
      </c>
      <c r="GP480" s="862"/>
      <c r="GQ480" s="862" t="s">
        <v>558</v>
      </c>
      <c r="GR480" s="862"/>
      <c r="GS480" s="862" t="s">
        <v>32</v>
      </c>
      <c r="GT480" s="862"/>
      <c r="GU480" s="862" t="s">
        <v>561</v>
      </c>
      <c r="GV480" s="862"/>
      <c r="GW480" s="862" t="s">
        <v>33</v>
      </c>
      <c r="GX480" s="862"/>
      <c r="GY480" s="862" t="s">
        <v>35</v>
      </c>
      <c r="GZ480" s="862"/>
      <c r="HA480" s="863" t="s">
        <v>150</v>
      </c>
      <c r="HB480" s="863"/>
      <c r="HC480" s="862" t="s">
        <v>34</v>
      </c>
      <c r="HD480" s="862"/>
      <c r="HE480" s="862" t="s">
        <v>31</v>
      </c>
      <c r="HF480" s="862"/>
      <c r="HG480" s="862" t="s">
        <v>558</v>
      </c>
      <c r="HH480" s="862"/>
      <c r="HI480" s="862" t="s">
        <v>32</v>
      </c>
      <c r="HJ480" s="862"/>
      <c r="HK480" s="862" t="s">
        <v>561</v>
      </c>
      <c r="HL480" s="862"/>
      <c r="HM480" s="862" t="s">
        <v>33</v>
      </c>
      <c r="HN480" s="862"/>
      <c r="HO480" s="862" t="s">
        <v>35</v>
      </c>
      <c r="HP480" s="862"/>
      <c r="HQ480" s="863" t="s">
        <v>150</v>
      </c>
      <c r="HR480" s="863"/>
      <c r="HS480" s="862" t="s">
        <v>34</v>
      </c>
      <c r="HT480" s="862"/>
      <c r="HU480" s="862" t="s">
        <v>31</v>
      </c>
      <c r="HV480" s="862"/>
      <c r="HW480" s="862" t="s">
        <v>558</v>
      </c>
      <c r="HX480" s="862"/>
      <c r="HY480" s="862" t="s">
        <v>32</v>
      </c>
      <c r="HZ480" s="862"/>
      <c r="IA480" s="862" t="s">
        <v>561</v>
      </c>
      <c r="IB480" s="862"/>
      <c r="IC480" s="862" t="s">
        <v>33</v>
      </c>
      <c r="ID480" s="862"/>
      <c r="IE480" s="862" t="s">
        <v>35</v>
      </c>
      <c r="IF480" s="862"/>
      <c r="IG480" s="863" t="s">
        <v>150</v>
      </c>
      <c r="IH480" s="863"/>
      <c r="II480" s="862" t="s">
        <v>34</v>
      </c>
      <c r="IJ480" s="862"/>
      <c r="IK480" s="862" t="s">
        <v>31</v>
      </c>
      <c r="IL480" s="862"/>
      <c r="IM480" s="862" t="s">
        <v>558</v>
      </c>
      <c r="IN480" s="862"/>
      <c r="IO480" s="862" t="s">
        <v>32</v>
      </c>
      <c r="IP480" s="862"/>
      <c r="IQ480" s="862" t="s">
        <v>561</v>
      </c>
      <c r="IR480" s="862"/>
      <c r="IS480" s="862" t="s">
        <v>33</v>
      </c>
      <c r="IT480" s="862"/>
      <c r="IU480" s="862" t="s">
        <v>35</v>
      </c>
      <c r="IV480" s="862"/>
      <c r="IW480" s="863" t="s">
        <v>150</v>
      </c>
      <c r="IX480" s="863"/>
      <c r="IY480" s="862" t="s">
        <v>34</v>
      </c>
      <c r="IZ480" s="862"/>
      <c r="JA480" s="862" t="s">
        <v>31</v>
      </c>
      <c r="JB480" s="862"/>
      <c r="JC480" s="862" t="s">
        <v>558</v>
      </c>
      <c r="JD480" s="862"/>
      <c r="JE480" s="862" t="s">
        <v>32</v>
      </c>
      <c r="JF480" s="862"/>
      <c r="JG480" s="862" t="s">
        <v>561</v>
      </c>
      <c r="JH480" s="862"/>
      <c r="JI480" s="862" t="s">
        <v>33</v>
      </c>
      <c r="JJ480" s="862"/>
      <c r="JK480" s="862" t="s">
        <v>35</v>
      </c>
      <c r="JL480" s="862"/>
      <c r="JM480" s="863" t="s">
        <v>150</v>
      </c>
      <c r="JN480" s="863"/>
      <c r="JO480" s="862" t="s">
        <v>34</v>
      </c>
      <c r="JP480" s="862"/>
      <c r="JQ480" s="862" t="s">
        <v>31</v>
      </c>
      <c r="JR480" s="862"/>
      <c r="JS480" s="862" t="s">
        <v>558</v>
      </c>
      <c r="JT480" s="862"/>
      <c r="JU480" s="862" t="s">
        <v>32</v>
      </c>
      <c r="JV480" s="862"/>
      <c r="JW480" s="862" t="s">
        <v>561</v>
      </c>
      <c r="JX480" s="862"/>
      <c r="JY480" s="862" t="s">
        <v>33</v>
      </c>
      <c r="JZ480" s="862"/>
      <c r="KA480" s="862" t="s">
        <v>35</v>
      </c>
      <c r="KB480" s="862"/>
      <c r="KC480" s="863" t="s">
        <v>150</v>
      </c>
      <c r="KD480" s="863"/>
      <c r="KE480" s="862" t="s">
        <v>34</v>
      </c>
      <c r="KF480" s="862"/>
      <c r="KG480" s="862" t="s">
        <v>31</v>
      </c>
      <c r="KH480" s="862"/>
      <c r="KI480" s="862" t="s">
        <v>558</v>
      </c>
      <c r="KJ480" s="862"/>
      <c r="KK480" s="862" t="s">
        <v>32</v>
      </c>
      <c r="KL480" s="862"/>
      <c r="KM480" s="862" t="s">
        <v>561</v>
      </c>
      <c r="KN480" s="862"/>
      <c r="KO480" s="862" t="s">
        <v>33</v>
      </c>
      <c r="KP480" s="862"/>
      <c r="KQ480" s="862" t="s">
        <v>35</v>
      </c>
      <c r="KR480" s="862"/>
      <c r="KS480" s="863" t="s">
        <v>150</v>
      </c>
      <c r="KT480" s="863"/>
      <c r="KU480" s="862" t="s">
        <v>34</v>
      </c>
      <c r="KV480" s="862"/>
      <c r="KW480" s="862" t="s">
        <v>31</v>
      </c>
      <c r="KX480" s="862"/>
      <c r="KY480" s="862" t="s">
        <v>558</v>
      </c>
      <c r="KZ480" s="862"/>
      <c r="LA480" s="862" t="s">
        <v>32</v>
      </c>
      <c r="LB480" s="862"/>
      <c r="LC480" s="862" t="s">
        <v>561</v>
      </c>
      <c r="LD480" s="862"/>
      <c r="LE480" s="862" t="s">
        <v>33</v>
      </c>
      <c r="LF480" s="862"/>
      <c r="LG480" s="862" t="s">
        <v>35</v>
      </c>
      <c r="LH480" s="862"/>
      <c r="LI480" s="863" t="s">
        <v>150</v>
      </c>
      <c r="LJ480" s="863"/>
      <c r="LK480" s="862" t="s">
        <v>34</v>
      </c>
      <c r="LL480" s="862"/>
      <c r="LM480" s="862" t="s">
        <v>31</v>
      </c>
      <c r="LN480" s="862"/>
      <c r="LO480" s="862" t="s">
        <v>558</v>
      </c>
      <c r="LP480" s="862"/>
      <c r="LQ480" s="862" t="s">
        <v>32</v>
      </c>
      <c r="LR480" s="862"/>
      <c r="LS480" s="862" t="s">
        <v>561</v>
      </c>
      <c r="LT480" s="862"/>
      <c r="LU480" s="862" t="s">
        <v>33</v>
      </c>
      <c r="LV480" s="862"/>
      <c r="LW480" s="862" t="s">
        <v>35</v>
      </c>
      <c r="LX480" s="862"/>
      <c r="LY480" s="863" t="s">
        <v>150</v>
      </c>
      <c r="LZ480" s="863"/>
      <c r="MA480" s="862" t="s">
        <v>34</v>
      </c>
      <c r="MB480" s="862"/>
      <c r="MC480" s="862" t="s">
        <v>31</v>
      </c>
      <c r="MD480" s="862"/>
      <c r="ME480" s="862" t="s">
        <v>558</v>
      </c>
      <c r="MF480" s="862"/>
      <c r="MG480" s="862" t="s">
        <v>32</v>
      </c>
      <c r="MH480" s="862"/>
      <c r="MI480" s="862" t="s">
        <v>561</v>
      </c>
      <c r="MJ480" s="862"/>
      <c r="MK480" s="862" t="s">
        <v>33</v>
      </c>
      <c r="ML480" s="862"/>
      <c r="MM480" s="862" t="s">
        <v>35</v>
      </c>
      <c r="MN480" s="862"/>
      <c r="MO480" s="863" t="s">
        <v>150</v>
      </c>
      <c r="MP480" s="863"/>
      <c r="MQ480" s="862" t="s">
        <v>34</v>
      </c>
      <c r="MR480" s="862"/>
      <c r="MS480" s="862" t="s">
        <v>31</v>
      </c>
      <c r="MT480" s="862"/>
      <c r="MU480" s="862" t="s">
        <v>558</v>
      </c>
      <c r="MV480" s="862"/>
      <c r="MW480" s="862" t="s">
        <v>32</v>
      </c>
      <c r="MX480" s="862"/>
      <c r="MY480" s="862" t="s">
        <v>561</v>
      </c>
      <c r="MZ480" s="862"/>
      <c r="NA480" s="862" t="s">
        <v>33</v>
      </c>
      <c r="NB480" s="862"/>
      <c r="NC480" s="862" t="s">
        <v>35</v>
      </c>
      <c r="ND480" s="862"/>
      <c r="NE480" s="863" t="s">
        <v>150</v>
      </c>
      <c r="NF480" s="863"/>
      <c r="NG480" s="862" t="s">
        <v>34</v>
      </c>
      <c r="NH480" s="862"/>
      <c r="NI480" s="862" t="s">
        <v>31</v>
      </c>
      <c r="NJ480" s="862"/>
      <c r="NK480" s="862" t="s">
        <v>558</v>
      </c>
      <c r="NL480" s="862"/>
      <c r="NM480" s="862" t="s">
        <v>32</v>
      </c>
      <c r="NN480" s="862"/>
      <c r="NO480" s="862" t="s">
        <v>561</v>
      </c>
      <c r="NP480" s="862"/>
      <c r="NQ480" s="862" t="s">
        <v>33</v>
      </c>
      <c r="NR480" s="862"/>
      <c r="NS480" s="862" t="s">
        <v>35</v>
      </c>
      <c r="NT480" s="862"/>
      <c r="NU480" s="863" t="s">
        <v>150</v>
      </c>
      <c r="NV480" s="863"/>
      <c r="NW480" s="862" t="s">
        <v>34</v>
      </c>
      <c r="NX480" s="862"/>
      <c r="NY480" s="862" t="s">
        <v>31</v>
      </c>
      <c r="NZ480" s="862"/>
      <c r="OA480" s="862" t="s">
        <v>558</v>
      </c>
      <c r="OB480" s="862"/>
      <c r="OC480" s="862" t="s">
        <v>32</v>
      </c>
      <c r="OD480" s="862"/>
      <c r="OE480" s="862" t="s">
        <v>561</v>
      </c>
      <c r="OF480" s="862"/>
      <c r="OG480" s="862" t="s">
        <v>33</v>
      </c>
      <c r="OH480" s="862"/>
      <c r="OI480" s="862" t="s">
        <v>35</v>
      </c>
      <c r="OJ480" s="862"/>
      <c r="OK480" s="863" t="s">
        <v>150</v>
      </c>
      <c r="OL480" s="863"/>
      <c r="OM480" s="862" t="s">
        <v>34</v>
      </c>
      <c r="ON480" s="862"/>
      <c r="OO480" s="862" t="s">
        <v>31</v>
      </c>
      <c r="OP480" s="862"/>
      <c r="OQ480" s="862" t="s">
        <v>558</v>
      </c>
      <c r="OR480" s="862"/>
      <c r="OS480" s="862" t="s">
        <v>32</v>
      </c>
      <c r="OT480" s="862"/>
      <c r="OU480" s="862" t="s">
        <v>561</v>
      </c>
      <c r="OV480" s="862"/>
      <c r="OW480" s="862" t="s">
        <v>33</v>
      </c>
      <c r="OX480" s="862"/>
      <c r="OY480" s="862" t="s">
        <v>35</v>
      </c>
      <c r="OZ480" s="862"/>
      <c r="PA480" s="863" t="s">
        <v>150</v>
      </c>
      <c r="PB480" s="863"/>
      <c r="PC480" s="862" t="s">
        <v>34</v>
      </c>
      <c r="PD480" s="862"/>
      <c r="PE480" s="862" t="s">
        <v>31</v>
      </c>
      <c r="PF480" s="862"/>
      <c r="PG480" s="862" t="s">
        <v>558</v>
      </c>
      <c r="PH480" s="862"/>
      <c r="PI480" s="862" t="s">
        <v>32</v>
      </c>
      <c r="PJ480" s="862"/>
      <c r="PK480" s="862" t="s">
        <v>561</v>
      </c>
      <c r="PL480" s="862"/>
      <c r="PM480" s="862" t="s">
        <v>33</v>
      </c>
      <c r="PN480" s="862"/>
      <c r="PO480" s="862" t="s">
        <v>35</v>
      </c>
      <c r="PP480" s="862"/>
      <c r="PQ480" s="863" t="s">
        <v>150</v>
      </c>
      <c r="PR480" s="863"/>
      <c r="PS480" s="862" t="s">
        <v>34</v>
      </c>
      <c r="PT480" s="862"/>
      <c r="PU480" s="862" t="s">
        <v>31</v>
      </c>
      <c r="PV480" s="862"/>
      <c r="PW480" s="862" t="s">
        <v>558</v>
      </c>
      <c r="PX480" s="862"/>
      <c r="PY480" s="862" t="s">
        <v>32</v>
      </c>
      <c r="PZ480" s="862"/>
      <c r="QA480" s="862" t="s">
        <v>561</v>
      </c>
      <c r="QB480" s="862"/>
      <c r="QC480" s="862" t="s">
        <v>33</v>
      </c>
      <c r="QD480" s="862"/>
      <c r="QE480" s="862" t="s">
        <v>35</v>
      </c>
      <c r="QF480" s="862"/>
      <c r="QG480" s="863" t="s">
        <v>150</v>
      </c>
      <c r="QH480" s="863"/>
      <c r="QI480" s="862" t="s">
        <v>34</v>
      </c>
      <c r="QJ480" s="862"/>
      <c r="QK480" s="862" t="s">
        <v>31</v>
      </c>
      <c r="QL480" s="862"/>
      <c r="QM480" s="862" t="s">
        <v>558</v>
      </c>
      <c r="QN480" s="862"/>
      <c r="QO480" s="862" t="s">
        <v>32</v>
      </c>
      <c r="QP480" s="862"/>
      <c r="QQ480" s="862" t="s">
        <v>561</v>
      </c>
      <c r="QR480" s="862"/>
      <c r="QS480" s="862" t="s">
        <v>33</v>
      </c>
      <c r="QT480" s="862"/>
      <c r="QU480" s="862" t="s">
        <v>35</v>
      </c>
      <c r="QV480" s="862"/>
      <c r="QW480" s="863" t="s">
        <v>150</v>
      </c>
      <c r="QX480" s="863"/>
      <c r="QY480" s="862" t="s">
        <v>34</v>
      </c>
      <c r="QZ480" s="862"/>
      <c r="RA480" s="862" t="s">
        <v>31</v>
      </c>
      <c r="RB480" s="862"/>
      <c r="RC480" s="862" t="s">
        <v>558</v>
      </c>
      <c r="RD480" s="862"/>
      <c r="RE480" s="862" t="s">
        <v>32</v>
      </c>
      <c r="RF480" s="862"/>
      <c r="RG480" s="862" t="s">
        <v>561</v>
      </c>
      <c r="RH480" s="862"/>
      <c r="RI480" s="862" t="s">
        <v>33</v>
      </c>
      <c r="RJ480" s="862"/>
      <c r="RK480" s="862" t="s">
        <v>35</v>
      </c>
      <c r="RL480" s="862"/>
      <c r="RM480" s="863" t="s">
        <v>150</v>
      </c>
      <c r="RN480" s="863"/>
      <c r="RO480" s="862" t="s">
        <v>34</v>
      </c>
      <c r="RP480" s="862"/>
      <c r="RQ480" s="862" t="s">
        <v>31</v>
      </c>
      <c r="RR480" s="862"/>
      <c r="RS480" s="862" t="s">
        <v>558</v>
      </c>
      <c r="RT480" s="862"/>
      <c r="RU480" s="862" t="s">
        <v>32</v>
      </c>
      <c r="RV480" s="862"/>
      <c r="RW480" s="862" t="s">
        <v>561</v>
      </c>
      <c r="RX480" s="862"/>
      <c r="RY480" s="862" t="s">
        <v>33</v>
      </c>
      <c r="RZ480" s="862"/>
      <c r="SA480" s="862" t="s">
        <v>35</v>
      </c>
      <c r="SB480" s="862"/>
      <c r="SC480" s="863" t="s">
        <v>150</v>
      </c>
      <c r="SD480" s="863"/>
      <c r="SE480" s="862" t="s">
        <v>34</v>
      </c>
      <c r="SF480" s="862"/>
      <c r="SG480" s="862" t="s">
        <v>31</v>
      </c>
      <c r="SH480" s="862"/>
      <c r="SI480" s="862" t="s">
        <v>558</v>
      </c>
      <c r="SJ480" s="862"/>
      <c r="SK480" s="862" t="s">
        <v>32</v>
      </c>
      <c r="SL480" s="862"/>
      <c r="SM480" s="862" t="s">
        <v>561</v>
      </c>
      <c r="SN480" s="862"/>
      <c r="SO480" s="862" t="s">
        <v>33</v>
      </c>
      <c r="SP480" s="862"/>
      <c r="SQ480" s="862" t="s">
        <v>35</v>
      </c>
      <c r="SR480" s="862"/>
      <c r="SS480" s="863" t="s">
        <v>150</v>
      </c>
      <c r="ST480" s="863"/>
      <c r="SU480" s="862" t="s">
        <v>34</v>
      </c>
      <c r="SV480" s="862"/>
      <c r="SW480" s="862" t="s">
        <v>31</v>
      </c>
      <c r="SX480" s="862"/>
      <c r="SY480" s="862" t="s">
        <v>558</v>
      </c>
      <c r="SZ480" s="862"/>
      <c r="TA480" s="862" t="s">
        <v>32</v>
      </c>
      <c r="TB480" s="862"/>
      <c r="TC480" s="862" t="s">
        <v>561</v>
      </c>
      <c r="TD480" s="862"/>
      <c r="TE480" s="862" t="s">
        <v>33</v>
      </c>
      <c r="TF480" s="862"/>
      <c r="TG480" s="862" t="s">
        <v>35</v>
      </c>
      <c r="TH480" s="862"/>
      <c r="TI480" s="863" t="s">
        <v>150</v>
      </c>
      <c r="TJ480" s="863"/>
      <c r="TK480" s="862" t="s">
        <v>34</v>
      </c>
      <c r="TL480" s="862"/>
      <c r="TM480" s="862" t="s">
        <v>31</v>
      </c>
      <c r="TN480" s="862"/>
      <c r="TO480" s="862" t="s">
        <v>558</v>
      </c>
      <c r="TP480" s="862"/>
      <c r="TQ480" s="862" t="s">
        <v>32</v>
      </c>
      <c r="TR480" s="862"/>
      <c r="TS480" s="862" t="s">
        <v>561</v>
      </c>
      <c r="TT480" s="862"/>
      <c r="TU480" s="862" t="s">
        <v>33</v>
      </c>
      <c r="TV480" s="862"/>
      <c r="TW480" s="862" t="s">
        <v>35</v>
      </c>
      <c r="TX480" s="862"/>
      <c r="TY480" s="863" t="s">
        <v>150</v>
      </c>
      <c r="TZ480" s="863"/>
      <c r="UA480" s="862" t="s">
        <v>34</v>
      </c>
      <c r="UB480" s="862"/>
      <c r="UC480" s="862" t="s">
        <v>31</v>
      </c>
      <c r="UD480" s="862"/>
      <c r="UE480" s="862" t="s">
        <v>558</v>
      </c>
      <c r="UF480" s="862"/>
      <c r="UG480" s="862" t="s">
        <v>32</v>
      </c>
      <c r="UH480" s="862"/>
      <c r="UI480" s="862" t="s">
        <v>561</v>
      </c>
      <c r="UJ480" s="862"/>
      <c r="UK480" s="862" t="s">
        <v>33</v>
      </c>
      <c r="UL480" s="862"/>
      <c r="UM480" s="862" t="s">
        <v>35</v>
      </c>
      <c r="UN480" s="862"/>
      <c r="UO480" s="863" t="s">
        <v>150</v>
      </c>
      <c r="UP480" s="863"/>
      <c r="UQ480" s="862" t="s">
        <v>34</v>
      </c>
      <c r="UR480" s="862"/>
      <c r="US480" s="862" t="s">
        <v>31</v>
      </c>
      <c r="UT480" s="862"/>
      <c r="UU480" s="862" t="s">
        <v>558</v>
      </c>
      <c r="UV480" s="862"/>
      <c r="UW480" s="862" t="s">
        <v>32</v>
      </c>
      <c r="UX480" s="862"/>
      <c r="UY480" s="862" t="s">
        <v>561</v>
      </c>
      <c r="UZ480" s="862"/>
      <c r="VA480" s="862" t="s">
        <v>33</v>
      </c>
      <c r="VB480" s="862"/>
      <c r="VC480" s="862" t="s">
        <v>35</v>
      </c>
      <c r="VD480" s="862"/>
      <c r="VE480" s="863" t="s">
        <v>150</v>
      </c>
      <c r="VF480" s="863"/>
      <c r="VG480" s="862" t="s">
        <v>34</v>
      </c>
      <c r="VH480" s="862"/>
      <c r="VI480" s="862" t="s">
        <v>31</v>
      </c>
      <c r="VJ480" s="862"/>
      <c r="VK480" s="862" t="s">
        <v>558</v>
      </c>
      <c r="VL480" s="862"/>
      <c r="VM480" s="862" t="s">
        <v>32</v>
      </c>
      <c r="VN480" s="862"/>
      <c r="VO480" s="862" t="s">
        <v>561</v>
      </c>
      <c r="VP480" s="862"/>
      <c r="VQ480" s="862" t="s">
        <v>33</v>
      </c>
      <c r="VR480" s="862"/>
      <c r="VS480" s="862" t="s">
        <v>35</v>
      </c>
      <c r="VT480" s="862"/>
      <c r="VU480" s="863" t="s">
        <v>150</v>
      </c>
      <c r="VV480" s="863"/>
      <c r="VW480" s="862" t="s">
        <v>34</v>
      </c>
      <c r="VX480" s="862"/>
      <c r="VY480" s="862" t="s">
        <v>31</v>
      </c>
      <c r="VZ480" s="862"/>
      <c r="WA480" s="862" t="s">
        <v>558</v>
      </c>
      <c r="WB480" s="862"/>
      <c r="WC480" s="862" t="s">
        <v>32</v>
      </c>
      <c r="WD480" s="862"/>
      <c r="WE480" s="862" t="s">
        <v>561</v>
      </c>
      <c r="WF480" s="862"/>
      <c r="WG480" s="862" t="s">
        <v>33</v>
      </c>
      <c r="WH480" s="862"/>
      <c r="WI480" s="862" t="s">
        <v>35</v>
      </c>
      <c r="WJ480" s="862"/>
      <c r="WK480" s="863" t="s">
        <v>150</v>
      </c>
      <c r="WL480" s="863"/>
      <c r="WM480" s="89"/>
      <c r="WN480" s="862" t="s">
        <v>34</v>
      </c>
      <c r="WO480" s="862"/>
      <c r="WP480" s="862" t="s">
        <v>31</v>
      </c>
      <c r="WQ480" s="862"/>
      <c r="WR480" s="862" t="s">
        <v>31</v>
      </c>
      <c r="WS480" s="862"/>
      <c r="WT480" s="862" t="s">
        <v>32</v>
      </c>
      <c r="WU480" s="862"/>
      <c r="WV480" s="862" t="s">
        <v>37</v>
      </c>
      <c r="WW480" s="862"/>
      <c r="WX480" s="862" t="s">
        <v>33</v>
      </c>
      <c r="WY480" s="862"/>
      <c r="WZ480" s="862" t="s">
        <v>35</v>
      </c>
      <c r="XA480" s="862"/>
      <c r="XB480" s="863"/>
      <c r="XC480" s="863"/>
      <c r="XD480" s="89"/>
      <c r="XE480" s="574"/>
      <c r="XF480" s="574"/>
      <c r="XG480" s="89"/>
      <c r="XH480" s="574"/>
      <c r="XI480" s="574"/>
      <c r="XJ480" s="89"/>
      <c r="XK480" s="87" t="s">
        <v>34</v>
      </c>
      <c r="XL480" s="87" t="s">
        <v>31</v>
      </c>
      <c r="XM480" s="87" t="s">
        <v>31</v>
      </c>
      <c r="XN480" s="87" t="s">
        <v>32</v>
      </c>
      <c r="XO480" s="87" t="s">
        <v>37</v>
      </c>
      <c r="XP480" s="87" t="s">
        <v>33</v>
      </c>
      <c r="XQ480" s="87" t="s">
        <v>35</v>
      </c>
      <c r="XR480" s="87"/>
      <c r="XS480" s="89"/>
      <c r="XT480" s="87" t="s">
        <v>34</v>
      </c>
      <c r="XU480" s="87" t="s">
        <v>31</v>
      </c>
      <c r="XV480" s="87" t="s">
        <v>31</v>
      </c>
      <c r="XW480" s="87" t="s">
        <v>32</v>
      </c>
      <c r="XX480" s="87" t="s">
        <v>37</v>
      </c>
      <c r="XY480" s="87" t="s">
        <v>33</v>
      </c>
      <c r="XZ480" s="87" t="s">
        <v>35</v>
      </c>
      <c r="YA480" s="87"/>
      <c r="YB480" s="862"/>
      <c r="YC480" s="862"/>
      <c r="YD480" s="862"/>
      <c r="YE480" s="862"/>
      <c r="YF480" s="862"/>
      <c r="YG480" s="862"/>
      <c r="YH480" s="862"/>
      <c r="YI480" s="862"/>
      <c r="YJ480" s="862"/>
      <c r="YK480" s="862"/>
      <c r="YL480" s="862"/>
      <c r="YM480" s="862"/>
      <c r="YN480" s="862"/>
      <c r="YO480" s="862"/>
      <c r="YP480" s="862"/>
      <c r="YQ480" s="862"/>
      <c r="YR480" s="862"/>
      <c r="YS480" s="862"/>
      <c r="YT480" s="862"/>
      <c r="YU480" s="862"/>
      <c r="YV480" s="862"/>
      <c r="YW480" s="862"/>
      <c r="YX480" s="862"/>
      <c r="YY480" s="862"/>
      <c r="YZ480" s="862"/>
      <c r="ZA480" s="862"/>
      <c r="ZB480" s="862"/>
      <c r="ZC480" s="862"/>
      <c r="ZD480" s="862"/>
      <c r="ZE480" s="862"/>
      <c r="ZF480" s="862"/>
      <c r="ZG480" s="862"/>
      <c r="ZH480" s="862"/>
      <c r="ZI480" s="862"/>
      <c r="ZJ480" s="862"/>
      <c r="ZK480" s="862"/>
      <c r="ZL480" s="862"/>
      <c r="ZM480" s="862"/>
      <c r="ZN480" s="862"/>
      <c r="ZO480" s="862"/>
      <c r="ZP480" s="862"/>
      <c r="ZQ480" s="862"/>
      <c r="ZR480" s="862"/>
      <c r="ZS480" s="862"/>
      <c r="ZT480" s="862"/>
      <c r="ZU480" s="862"/>
      <c r="ZV480" s="862"/>
      <c r="ZW480" s="862"/>
      <c r="ZX480" s="862"/>
      <c r="ZY480" s="862"/>
      <c r="ZZ480" s="862"/>
      <c r="AAA480" s="862"/>
      <c r="AAB480" s="862"/>
      <c r="AAC480" s="862"/>
      <c r="AAD480" s="862"/>
      <c r="AAE480" s="862"/>
      <c r="AAF480" s="862"/>
      <c r="AAG480" s="862"/>
      <c r="AAH480" s="862"/>
      <c r="AAI480" s="862"/>
      <c r="AAJ480" s="862"/>
      <c r="AAK480" s="862"/>
      <c r="AAL480" s="862"/>
      <c r="AAM480" s="862"/>
      <c r="AAN480" s="862"/>
      <c r="AAO480" s="862"/>
      <c r="AAP480" s="862"/>
      <c r="AAQ480" s="862"/>
      <c r="AAR480" s="862"/>
      <c r="AAS480" s="862"/>
      <c r="AAT480" s="862"/>
      <c r="AAU480" s="862"/>
      <c r="AAV480" s="862"/>
      <c r="AAW480" s="862"/>
      <c r="AAX480" s="862"/>
      <c r="AAY480" s="862"/>
      <c r="AAZ480" s="862"/>
      <c r="ABA480" s="862"/>
      <c r="ABB480" s="862"/>
      <c r="ABC480" s="862"/>
      <c r="ABD480" s="862"/>
      <c r="ABE480" s="862"/>
      <c r="ABF480" s="862"/>
      <c r="ABG480" s="862"/>
      <c r="ABH480" s="862"/>
      <c r="ABI480" s="862"/>
      <c r="ABJ480" s="862"/>
      <c r="ABK480" s="862"/>
      <c r="ABL480" s="862"/>
      <c r="ABM480" s="862"/>
      <c r="ABN480" s="862"/>
      <c r="ABO480" s="862"/>
      <c r="ABP480" s="862"/>
      <c r="ABQ480" s="862"/>
      <c r="ABR480" s="862"/>
      <c r="ABS480" s="862"/>
      <c r="ABT480" s="862"/>
      <c r="ABU480" s="862"/>
      <c r="ABV480" s="862"/>
      <c r="ABW480" s="862"/>
      <c r="ABX480" s="862"/>
      <c r="ABY480" s="862"/>
      <c r="ABZ480" s="862"/>
      <c r="ACA480" s="862"/>
      <c r="ACB480" s="862"/>
      <c r="ACC480" s="862"/>
      <c r="ACD480" s="862"/>
      <c r="ACE480" s="862"/>
      <c r="ACF480" s="862"/>
      <c r="ACG480" s="862"/>
      <c r="ACH480" s="862"/>
      <c r="ACI480" s="862"/>
      <c r="ACJ480" s="862"/>
      <c r="ACK480" s="862"/>
      <c r="ACL480" s="862"/>
      <c r="ACM480" s="862"/>
      <c r="ACN480" s="862"/>
      <c r="ACO480" s="862"/>
      <c r="ACP480" s="862"/>
      <c r="ACQ480" s="862"/>
      <c r="ACR480" s="862"/>
      <c r="ACS480" s="862"/>
      <c r="ACT480" s="862"/>
      <c r="ACU480" s="862"/>
      <c r="ACV480" s="862"/>
      <c r="ACW480" s="862"/>
      <c r="ACX480" s="862"/>
      <c r="ACY480" s="862"/>
      <c r="ACZ480" s="862"/>
      <c r="ADA480" s="862"/>
      <c r="ADB480" s="862"/>
      <c r="ADC480" s="862"/>
      <c r="ADD480" s="862"/>
      <c r="ADE480" s="862"/>
      <c r="ADF480" s="862"/>
      <c r="ADG480" s="862"/>
      <c r="ADH480" s="862"/>
      <c r="ADI480" s="862"/>
      <c r="ADJ480" s="862"/>
      <c r="ADK480" s="862"/>
      <c r="ADL480" s="862"/>
      <c r="ADM480" s="862"/>
      <c r="ADN480" s="862"/>
      <c r="ADO480" s="862"/>
      <c r="ADP480" s="862"/>
      <c r="ADQ480" s="862"/>
      <c r="ADR480" s="862"/>
      <c r="ADS480" s="862"/>
      <c r="ADT480" s="862"/>
      <c r="ADU480" s="862"/>
      <c r="ADV480" s="862"/>
      <c r="ADW480" s="862"/>
      <c r="ADX480" s="862"/>
      <c r="ADY480" s="862"/>
      <c r="ADZ480" s="862"/>
      <c r="AEA480" s="862"/>
      <c r="AEB480" s="862"/>
      <c r="AEC480" s="862"/>
      <c r="AED480" s="862"/>
      <c r="AEE480" s="862"/>
      <c r="AEF480" s="862"/>
      <c r="AEG480" s="862"/>
      <c r="AEH480" s="862"/>
      <c r="AEI480" s="862"/>
      <c r="AEJ480" s="862"/>
      <c r="AEK480" s="862"/>
      <c r="AEL480" s="862"/>
      <c r="AEM480" s="862"/>
      <c r="AEN480" s="862"/>
      <c r="AEO480" s="862"/>
      <c r="AEP480" s="862"/>
      <c r="AEQ480" s="862"/>
      <c r="AER480" s="862"/>
      <c r="AES480" s="862"/>
      <c r="AET480" s="862"/>
      <c r="AEU480" s="862"/>
      <c r="AEV480" s="862"/>
      <c r="AEW480" s="862"/>
      <c r="AEX480" s="862"/>
      <c r="AEY480" s="862"/>
      <c r="AEZ480" s="862"/>
      <c r="AFA480" s="862"/>
      <c r="AFB480" s="862"/>
      <c r="AFC480" s="862"/>
      <c r="AFD480" s="862"/>
      <c r="AFE480" s="862"/>
      <c r="AFF480" s="862"/>
      <c r="AFG480" s="862"/>
      <c r="AFH480" s="862"/>
      <c r="AFI480" s="862"/>
      <c r="AFJ480" s="862"/>
      <c r="AFK480" s="862"/>
      <c r="AFL480" s="862"/>
      <c r="AFM480" s="862"/>
      <c r="AFN480" s="862"/>
      <c r="AFO480" s="862"/>
      <c r="AFP480" s="862"/>
      <c r="AFQ480" s="862"/>
      <c r="AFR480" s="862"/>
      <c r="AFS480" s="862"/>
      <c r="AFT480" s="862"/>
      <c r="AFU480" s="862"/>
      <c r="AFV480" s="862"/>
      <c r="AFW480" s="862"/>
      <c r="AFX480" s="862"/>
      <c r="AFY480" s="862"/>
      <c r="AFZ480" s="862"/>
      <c r="AGA480" s="862"/>
      <c r="AGB480" s="862"/>
      <c r="AGC480" s="862"/>
      <c r="AGD480" s="862"/>
      <c r="AGE480" s="862"/>
      <c r="AGF480" s="862"/>
      <c r="AGG480" s="862"/>
      <c r="AGH480" s="862"/>
      <c r="AGI480" s="862"/>
      <c r="AGJ480" s="862"/>
      <c r="AGK480" s="862"/>
      <c r="AGL480" s="862"/>
      <c r="AGM480" s="862"/>
      <c r="AGN480" s="862"/>
      <c r="AGO480" s="862"/>
      <c r="AGP480" s="862"/>
      <c r="AGQ480" s="862"/>
      <c r="AGR480" s="862"/>
      <c r="AGS480" s="862"/>
      <c r="AGT480" s="862"/>
      <c r="AGU480" s="862"/>
      <c r="AGV480" s="862"/>
      <c r="AGW480" s="862"/>
      <c r="AGX480" s="862"/>
      <c r="AGY480" s="862"/>
      <c r="AGZ480" s="862"/>
      <c r="AHA480" s="862"/>
      <c r="AHB480" s="862"/>
      <c r="AHC480" s="862"/>
      <c r="AHD480" s="862"/>
      <c r="AHE480" s="862"/>
      <c r="AHF480" s="862"/>
      <c r="AHG480" s="862"/>
      <c r="AHH480" s="862"/>
      <c r="AHI480" s="862"/>
      <c r="AHJ480" s="862"/>
      <c r="AHK480" s="862"/>
      <c r="AHL480" s="862"/>
      <c r="AHM480" s="862"/>
      <c r="AHN480" s="862"/>
      <c r="AHO480" s="862"/>
      <c r="AHP480" s="862"/>
      <c r="AHQ480" s="862"/>
      <c r="AHR480" s="862"/>
      <c r="AHS480" s="862"/>
      <c r="AHT480" s="862"/>
      <c r="AHU480" s="862"/>
      <c r="AHV480" s="862"/>
      <c r="AHW480" s="862"/>
      <c r="AHX480" s="862"/>
      <c r="AHY480" s="862"/>
      <c r="AHZ480" s="862"/>
      <c r="AIA480" s="862"/>
      <c r="AIB480" s="862"/>
      <c r="AIC480" s="862"/>
      <c r="AID480" s="862"/>
      <c r="AIE480" s="862"/>
      <c r="AIF480" s="862"/>
      <c r="AIG480" s="862"/>
      <c r="AIH480" s="862"/>
      <c r="AII480" s="862"/>
      <c r="AIJ480" s="862"/>
      <c r="AIK480" s="862"/>
      <c r="AIL480" s="862"/>
      <c r="AIM480" s="862"/>
      <c r="AIN480" s="862"/>
      <c r="AIO480" s="862"/>
      <c r="AIP480" s="862"/>
      <c r="AIQ480" s="862"/>
      <c r="AIR480" s="862"/>
      <c r="AIS480" s="862"/>
      <c r="AIT480" s="862"/>
      <c r="AIU480" s="862"/>
      <c r="AIV480" s="862"/>
      <c r="AIW480" s="862"/>
      <c r="AIX480" s="862"/>
      <c r="AIY480" s="862"/>
      <c r="AIZ480" s="862"/>
      <c r="AJA480" s="862"/>
      <c r="AJB480" s="862"/>
      <c r="AJC480" s="862"/>
      <c r="AJD480" s="862"/>
      <c r="AJE480" s="862"/>
      <c r="AJF480" s="862"/>
      <c r="AJG480" s="862"/>
      <c r="AJH480" s="862"/>
      <c r="AJI480" s="862"/>
      <c r="AJJ480" s="862"/>
      <c r="AJK480" s="862"/>
      <c r="AJL480" s="862"/>
      <c r="AJM480" s="862"/>
      <c r="AJN480" s="862"/>
      <c r="AJO480" s="862"/>
      <c r="AJP480" s="862"/>
      <c r="AJQ480" s="862"/>
      <c r="AJR480" s="862"/>
      <c r="AJS480" s="862"/>
      <c r="AJT480" s="862"/>
      <c r="AJU480" s="862"/>
      <c r="AJV480" s="862"/>
      <c r="AJW480" s="862"/>
      <c r="AJX480" s="862"/>
      <c r="AJY480" s="862"/>
      <c r="AJZ480" s="862"/>
      <c r="AKA480" s="862"/>
      <c r="AKB480" s="862"/>
      <c r="AKC480" s="862"/>
      <c r="AKD480" s="862"/>
      <c r="AKE480" s="862"/>
      <c r="AKF480" s="862"/>
      <c r="AKG480" s="862"/>
      <c r="AKH480" s="862"/>
      <c r="AKI480" s="862"/>
      <c r="AKJ480" s="862"/>
      <c r="AKK480" s="862"/>
      <c r="AKL480" s="862"/>
      <c r="AKM480" s="862"/>
      <c r="AKN480" s="862"/>
      <c r="AKO480" s="862"/>
      <c r="AKP480" s="862"/>
      <c r="AKQ480" s="862"/>
      <c r="AKR480" s="862"/>
      <c r="AKS480" s="862"/>
      <c r="AKT480" s="862"/>
      <c r="AKU480" s="862"/>
      <c r="AKV480" s="862"/>
      <c r="AKW480" s="862"/>
      <c r="AKX480" s="862"/>
      <c r="AKY480" s="862"/>
      <c r="AKZ480" s="862"/>
      <c r="ALA480" s="862"/>
      <c r="ALB480" s="862"/>
      <c r="ALC480" s="862"/>
      <c r="ALD480" s="862"/>
      <c r="ALE480" s="862"/>
      <c r="ALF480" s="862"/>
      <c r="ALG480" s="862"/>
      <c r="ALH480" s="862"/>
      <c r="ALI480" s="862"/>
      <c r="ALJ480" s="862"/>
      <c r="ALK480" s="862"/>
      <c r="ALL480" s="862"/>
      <c r="ALM480" s="862"/>
      <c r="ALN480" s="862"/>
      <c r="ALO480" s="862"/>
      <c r="ALP480" s="862"/>
      <c r="ALQ480" s="862"/>
      <c r="ALR480" s="862"/>
      <c r="ALS480" s="862"/>
      <c r="ALT480" s="862"/>
      <c r="ALU480" s="862"/>
      <c r="ALV480" s="862"/>
      <c r="ALW480" s="862"/>
      <c r="ALX480" s="862"/>
      <c r="ALY480" s="862"/>
      <c r="ALZ480" s="862"/>
      <c r="AMA480" s="862"/>
      <c r="AMB480" s="862"/>
      <c r="AMC480" s="862"/>
    </row>
    <row r="481" spans="1:1017">
      <c r="A481" s="90"/>
      <c r="C481" s="87" t="s">
        <v>513</v>
      </c>
      <c r="D481" s="87" t="s">
        <v>514</v>
      </c>
      <c r="E481" s="87" t="s">
        <v>515</v>
      </c>
      <c r="F481" s="87" t="s">
        <v>516</v>
      </c>
      <c r="G481" s="87" t="s">
        <v>519</v>
      </c>
      <c r="H481" s="87" t="s">
        <v>520</v>
      </c>
      <c r="I481" s="87" t="s">
        <v>517</v>
      </c>
      <c r="J481" s="87" t="s">
        <v>518</v>
      </c>
      <c r="K481" s="87" t="s">
        <v>521</v>
      </c>
      <c r="L481" s="87" t="s">
        <v>522</v>
      </c>
      <c r="M481" s="87" t="s">
        <v>559</v>
      </c>
      <c r="N481" s="87" t="s">
        <v>560</v>
      </c>
      <c r="O481" s="87" t="s">
        <v>523</v>
      </c>
      <c r="P481" s="87" t="s">
        <v>524</v>
      </c>
      <c r="Q481" s="91" t="s">
        <v>27</v>
      </c>
      <c r="R481" s="91" t="s">
        <v>28</v>
      </c>
      <c r="S481" s="87" t="s">
        <v>513</v>
      </c>
      <c r="T481" s="87" t="s">
        <v>514</v>
      </c>
      <c r="U481" s="87" t="s">
        <v>515</v>
      </c>
      <c r="V481" s="87" t="s">
        <v>516</v>
      </c>
      <c r="W481" s="87" t="s">
        <v>519</v>
      </c>
      <c r="X481" s="87" t="s">
        <v>520</v>
      </c>
      <c r="Y481" s="87" t="s">
        <v>517</v>
      </c>
      <c r="Z481" s="87" t="s">
        <v>518</v>
      </c>
      <c r="AA481" s="87" t="s">
        <v>521</v>
      </c>
      <c r="AB481" s="87" t="s">
        <v>522</v>
      </c>
      <c r="AC481" s="87" t="s">
        <v>559</v>
      </c>
      <c r="AD481" s="87" t="s">
        <v>560</v>
      </c>
      <c r="AE481" s="87" t="s">
        <v>523</v>
      </c>
      <c r="AF481" s="87" t="s">
        <v>524</v>
      </c>
      <c r="AG481" s="91" t="s">
        <v>27</v>
      </c>
      <c r="AH481" s="91" t="s">
        <v>28</v>
      </c>
      <c r="AI481" s="87" t="s">
        <v>513</v>
      </c>
      <c r="AJ481" s="87" t="s">
        <v>514</v>
      </c>
      <c r="AK481" s="87" t="s">
        <v>515</v>
      </c>
      <c r="AL481" s="87" t="s">
        <v>516</v>
      </c>
      <c r="AM481" s="87" t="s">
        <v>519</v>
      </c>
      <c r="AN481" s="87" t="s">
        <v>520</v>
      </c>
      <c r="AO481" s="87" t="s">
        <v>517</v>
      </c>
      <c r="AP481" s="87" t="s">
        <v>518</v>
      </c>
      <c r="AQ481" s="87" t="s">
        <v>521</v>
      </c>
      <c r="AR481" s="87" t="s">
        <v>522</v>
      </c>
      <c r="AS481" s="87" t="s">
        <v>559</v>
      </c>
      <c r="AT481" s="87" t="s">
        <v>560</v>
      </c>
      <c r="AU481" s="87" t="s">
        <v>523</v>
      </c>
      <c r="AV481" s="87" t="s">
        <v>524</v>
      </c>
      <c r="AW481" s="91" t="s">
        <v>27</v>
      </c>
      <c r="AX481" s="91" t="s">
        <v>28</v>
      </c>
      <c r="AY481" s="87" t="s">
        <v>513</v>
      </c>
      <c r="AZ481" s="87" t="s">
        <v>514</v>
      </c>
      <c r="BA481" s="87" t="s">
        <v>515</v>
      </c>
      <c r="BB481" s="87" t="s">
        <v>516</v>
      </c>
      <c r="BC481" s="87" t="s">
        <v>519</v>
      </c>
      <c r="BD481" s="87" t="s">
        <v>520</v>
      </c>
      <c r="BE481" s="87" t="s">
        <v>517</v>
      </c>
      <c r="BF481" s="87" t="s">
        <v>518</v>
      </c>
      <c r="BG481" s="87" t="s">
        <v>521</v>
      </c>
      <c r="BH481" s="87" t="s">
        <v>522</v>
      </c>
      <c r="BI481" s="87" t="s">
        <v>559</v>
      </c>
      <c r="BJ481" s="87" t="s">
        <v>560</v>
      </c>
      <c r="BK481" s="87" t="s">
        <v>523</v>
      </c>
      <c r="BL481" s="87" t="s">
        <v>524</v>
      </c>
      <c r="BM481" s="91" t="s">
        <v>27</v>
      </c>
      <c r="BN481" s="91" t="s">
        <v>28</v>
      </c>
      <c r="BO481" s="87" t="s">
        <v>513</v>
      </c>
      <c r="BP481" s="87" t="s">
        <v>514</v>
      </c>
      <c r="BQ481" s="87" t="s">
        <v>515</v>
      </c>
      <c r="BR481" s="87" t="s">
        <v>516</v>
      </c>
      <c r="BS481" s="87" t="s">
        <v>519</v>
      </c>
      <c r="BT481" s="87" t="s">
        <v>520</v>
      </c>
      <c r="BU481" s="87" t="s">
        <v>517</v>
      </c>
      <c r="BV481" s="87" t="s">
        <v>518</v>
      </c>
      <c r="BW481" s="87" t="s">
        <v>521</v>
      </c>
      <c r="BX481" s="87" t="s">
        <v>522</v>
      </c>
      <c r="BY481" s="87" t="s">
        <v>559</v>
      </c>
      <c r="BZ481" s="87" t="s">
        <v>560</v>
      </c>
      <c r="CA481" s="87" t="s">
        <v>523</v>
      </c>
      <c r="CB481" s="87" t="s">
        <v>524</v>
      </c>
      <c r="CC481" s="91" t="s">
        <v>27</v>
      </c>
      <c r="CD481" s="91" t="s">
        <v>28</v>
      </c>
      <c r="CE481" s="87" t="s">
        <v>513</v>
      </c>
      <c r="CF481" s="87" t="s">
        <v>514</v>
      </c>
      <c r="CG481" s="87" t="s">
        <v>515</v>
      </c>
      <c r="CH481" s="87" t="s">
        <v>516</v>
      </c>
      <c r="CI481" s="87" t="s">
        <v>519</v>
      </c>
      <c r="CJ481" s="87" t="s">
        <v>520</v>
      </c>
      <c r="CK481" s="87" t="s">
        <v>517</v>
      </c>
      <c r="CL481" s="87" t="s">
        <v>518</v>
      </c>
      <c r="CM481" s="87" t="s">
        <v>521</v>
      </c>
      <c r="CN481" s="87" t="s">
        <v>522</v>
      </c>
      <c r="CO481" s="87" t="s">
        <v>559</v>
      </c>
      <c r="CP481" s="87" t="s">
        <v>560</v>
      </c>
      <c r="CQ481" s="87" t="s">
        <v>523</v>
      </c>
      <c r="CR481" s="87" t="s">
        <v>524</v>
      </c>
      <c r="CS481" s="91" t="s">
        <v>27</v>
      </c>
      <c r="CT481" s="91" t="s">
        <v>28</v>
      </c>
      <c r="CU481" s="87" t="s">
        <v>513</v>
      </c>
      <c r="CV481" s="87" t="s">
        <v>514</v>
      </c>
      <c r="CW481" s="87" t="s">
        <v>515</v>
      </c>
      <c r="CX481" s="87" t="s">
        <v>516</v>
      </c>
      <c r="CY481" s="87" t="s">
        <v>519</v>
      </c>
      <c r="CZ481" s="87" t="s">
        <v>520</v>
      </c>
      <c r="DA481" s="87" t="s">
        <v>517</v>
      </c>
      <c r="DB481" s="87" t="s">
        <v>518</v>
      </c>
      <c r="DC481" s="87" t="s">
        <v>521</v>
      </c>
      <c r="DD481" s="87" t="s">
        <v>522</v>
      </c>
      <c r="DE481" s="87" t="s">
        <v>559</v>
      </c>
      <c r="DF481" s="87" t="s">
        <v>560</v>
      </c>
      <c r="DG481" s="87" t="s">
        <v>523</v>
      </c>
      <c r="DH481" s="87" t="s">
        <v>524</v>
      </c>
      <c r="DI481" s="91" t="s">
        <v>27</v>
      </c>
      <c r="DJ481" s="91" t="s">
        <v>28</v>
      </c>
      <c r="DK481" s="87" t="s">
        <v>513</v>
      </c>
      <c r="DL481" s="87" t="s">
        <v>514</v>
      </c>
      <c r="DM481" s="87" t="s">
        <v>515</v>
      </c>
      <c r="DN481" s="87" t="s">
        <v>516</v>
      </c>
      <c r="DO481" s="87" t="s">
        <v>519</v>
      </c>
      <c r="DP481" s="87" t="s">
        <v>520</v>
      </c>
      <c r="DQ481" s="87" t="s">
        <v>517</v>
      </c>
      <c r="DR481" s="87" t="s">
        <v>518</v>
      </c>
      <c r="DS481" s="87" t="s">
        <v>521</v>
      </c>
      <c r="DT481" s="87" t="s">
        <v>522</v>
      </c>
      <c r="DU481" s="87" t="s">
        <v>559</v>
      </c>
      <c r="DV481" s="87" t="s">
        <v>560</v>
      </c>
      <c r="DW481" s="87" t="s">
        <v>523</v>
      </c>
      <c r="DX481" s="87" t="s">
        <v>524</v>
      </c>
      <c r="DY481" s="91" t="s">
        <v>27</v>
      </c>
      <c r="DZ481" s="91" t="s">
        <v>28</v>
      </c>
      <c r="EA481" s="87" t="s">
        <v>513</v>
      </c>
      <c r="EB481" s="87" t="s">
        <v>514</v>
      </c>
      <c r="EC481" s="87" t="s">
        <v>515</v>
      </c>
      <c r="ED481" s="87" t="s">
        <v>516</v>
      </c>
      <c r="EE481" s="87" t="s">
        <v>519</v>
      </c>
      <c r="EF481" s="87" t="s">
        <v>520</v>
      </c>
      <c r="EG481" s="87" t="s">
        <v>517</v>
      </c>
      <c r="EH481" s="87" t="s">
        <v>518</v>
      </c>
      <c r="EI481" s="87" t="s">
        <v>521</v>
      </c>
      <c r="EJ481" s="87" t="s">
        <v>522</v>
      </c>
      <c r="EK481" s="87" t="s">
        <v>559</v>
      </c>
      <c r="EL481" s="87" t="s">
        <v>560</v>
      </c>
      <c r="EM481" s="87" t="s">
        <v>523</v>
      </c>
      <c r="EN481" s="87" t="s">
        <v>524</v>
      </c>
      <c r="EO481" s="91" t="s">
        <v>27</v>
      </c>
      <c r="EP481" s="91" t="s">
        <v>28</v>
      </c>
      <c r="EQ481" s="87" t="s">
        <v>513</v>
      </c>
      <c r="ER481" s="87" t="s">
        <v>514</v>
      </c>
      <c r="ES481" s="87" t="s">
        <v>515</v>
      </c>
      <c r="ET481" s="87" t="s">
        <v>516</v>
      </c>
      <c r="EU481" s="87" t="s">
        <v>519</v>
      </c>
      <c r="EV481" s="87" t="s">
        <v>520</v>
      </c>
      <c r="EW481" s="87" t="s">
        <v>517</v>
      </c>
      <c r="EX481" s="87" t="s">
        <v>518</v>
      </c>
      <c r="EY481" s="87" t="s">
        <v>521</v>
      </c>
      <c r="EZ481" s="87" t="s">
        <v>522</v>
      </c>
      <c r="FA481" s="87" t="s">
        <v>559</v>
      </c>
      <c r="FB481" s="87" t="s">
        <v>560</v>
      </c>
      <c r="FC481" s="87" t="s">
        <v>523</v>
      </c>
      <c r="FD481" s="87" t="s">
        <v>524</v>
      </c>
      <c r="FE481" s="91" t="s">
        <v>27</v>
      </c>
      <c r="FF481" s="91" t="s">
        <v>28</v>
      </c>
      <c r="FG481" s="87" t="s">
        <v>513</v>
      </c>
      <c r="FH481" s="87" t="s">
        <v>514</v>
      </c>
      <c r="FI481" s="87" t="s">
        <v>515</v>
      </c>
      <c r="FJ481" s="87" t="s">
        <v>516</v>
      </c>
      <c r="FK481" s="87" t="s">
        <v>519</v>
      </c>
      <c r="FL481" s="87" t="s">
        <v>520</v>
      </c>
      <c r="FM481" s="87" t="s">
        <v>517</v>
      </c>
      <c r="FN481" s="87" t="s">
        <v>518</v>
      </c>
      <c r="FO481" s="87" t="s">
        <v>521</v>
      </c>
      <c r="FP481" s="87" t="s">
        <v>522</v>
      </c>
      <c r="FQ481" s="87" t="s">
        <v>559</v>
      </c>
      <c r="FR481" s="87" t="s">
        <v>560</v>
      </c>
      <c r="FS481" s="87" t="s">
        <v>523</v>
      </c>
      <c r="FT481" s="87" t="s">
        <v>524</v>
      </c>
      <c r="FU481" s="91" t="s">
        <v>27</v>
      </c>
      <c r="FV481" s="91" t="s">
        <v>28</v>
      </c>
      <c r="FW481" s="87" t="s">
        <v>513</v>
      </c>
      <c r="FX481" s="87" t="s">
        <v>514</v>
      </c>
      <c r="FY481" s="87" t="s">
        <v>515</v>
      </c>
      <c r="FZ481" s="87" t="s">
        <v>516</v>
      </c>
      <c r="GA481" s="87" t="s">
        <v>519</v>
      </c>
      <c r="GB481" s="87" t="s">
        <v>520</v>
      </c>
      <c r="GC481" s="87" t="s">
        <v>517</v>
      </c>
      <c r="GD481" s="87" t="s">
        <v>518</v>
      </c>
      <c r="GE481" s="87" t="s">
        <v>521</v>
      </c>
      <c r="GF481" s="87" t="s">
        <v>522</v>
      </c>
      <c r="GG481" s="87" t="s">
        <v>559</v>
      </c>
      <c r="GH481" s="87" t="s">
        <v>560</v>
      </c>
      <c r="GI481" s="87" t="s">
        <v>523</v>
      </c>
      <c r="GJ481" s="87" t="s">
        <v>524</v>
      </c>
      <c r="GK481" s="91" t="s">
        <v>27</v>
      </c>
      <c r="GL481" s="91" t="s">
        <v>28</v>
      </c>
      <c r="GM481" s="87" t="s">
        <v>513</v>
      </c>
      <c r="GN481" s="87" t="s">
        <v>514</v>
      </c>
      <c r="GO481" s="87" t="s">
        <v>515</v>
      </c>
      <c r="GP481" s="87" t="s">
        <v>516</v>
      </c>
      <c r="GQ481" s="87" t="s">
        <v>519</v>
      </c>
      <c r="GR481" s="87" t="s">
        <v>520</v>
      </c>
      <c r="GS481" s="87" t="s">
        <v>517</v>
      </c>
      <c r="GT481" s="87" t="s">
        <v>518</v>
      </c>
      <c r="GU481" s="87" t="s">
        <v>521</v>
      </c>
      <c r="GV481" s="87" t="s">
        <v>522</v>
      </c>
      <c r="GW481" s="87" t="s">
        <v>559</v>
      </c>
      <c r="GX481" s="87" t="s">
        <v>560</v>
      </c>
      <c r="GY481" s="87" t="s">
        <v>523</v>
      </c>
      <c r="GZ481" s="87" t="s">
        <v>524</v>
      </c>
      <c r="HA481" s="91" t="s">
        <v>27</v>
      </c>
      <c r="HB481" s="91" t="s">
        <v>28</v>
      </c>
      <c r="HC481" s="87" t="s">
        <v>513</v>
      </c>
      <c r="HD481" s="87" t="s">
        <v>514</v>
      </c>
      <c r="HE481" s="87" t="s">
        <v>515</v>
      </c>
      <c r="HF481" s="87" t="s">
        <v>516</v>
      </c>
      <c r="HG481" s="87" t="s">
        <v>519</v>
      </c>
      <c r="HH481" s="87" t="s">
        <v>520</v>
      </c>
      <c r="HI481" s="87" t="s">
        <v>517</v>
      </c>
      <c r="HJ481" s="87" t="s">
        <v>518</v>
      </c>
      <c r="HK481" s="87" t="s">
        <v>521</v>
      </c>
      <c r="HL481" s="87" t="s">
        <v>522</v>
      </c>
      <c r="HM481" s="87" t="s">
        <v>559</v>
      </c>
      <c r="HN481" s="87" t="s">
        <v>560</v>
      </c>
      <c r="HO481" s="87" t="s">
        <v>523</v>
      </c>
      <c r="HP481" s="87" t="s">
        <v>524</v>
      </c>
      <c r="HQ481" s="91" t="s">
        <v>27</v>
      </c>
      <c r="HR481" s="91" t="s">
        <v>28</v>
      </c>
      <c r="HS481" s="87" t="s">
        <v>513</v>
      </c>
      <c r="HT481" s="87" t="s">
        <v>514</v>
      </c>
      <c r="HU481" s="87" t="s">
        <v>515</v>
      </c>
      <c r="HV481" s="87" t="s">
        <v>516</v>
      </c>
      <c r="HW481" s="87" t="s">
        <v>519</v>
      </c>
      <c r="HX481" s="87" t="s">
        <v>520</v>
      </c>
      <c r="HY481" s="87" t="s">
        <v>517</v>
      </c>
      <c r="HZ481" s="87" t="s">
        <v>518</v>
      </c>
      <c r="IA481" s="87" t="s">
        <v>521</v>
      </c>
      <c r="IB481" s="87" t="s">
        <v>522</v>
      </c>
      <c r="IC481" s="87" t="s">
        <v>559</v>
      </c>
      <c r="ID481" s="87" t="s">
        <v>560</v>
      </c>
      <c r="IE481" s="87" t="s">
        <v>523</v>
      </c>
      <c r="IF481" s="87" t="s">
        <v>524</v>
      </c>
      <c r="IG481" s="91" t="s">
        <v>27</v>
      </c>
      <c r="IH481" s="91" t="s">
        <v>28</v>
      </c>
      <c r="II481" s="87" t="s">
        <v>513</v>
      </c>
      <c r="IJ481" s="87" t="s">
        <v>514</v>
      </c>
      <c r="IK481" s="87" t="s">
        <v>515</v>
      </c>
      <c r="IL481" s="87" t="s">
        <v>516</v>
      </c>
      <c r="IM481" s="87" t="s">
        <v>519</v>
      </c>
      <c r="IN481" s="87" t="s">
        <v>520</v>
      </c>
      <c r="IO481" s="87" t="s">
        <v>517</v>
      </c>
      <c r="IP481" s="87" t="s">
        <v>518</v>
      </c>
      <c r="IQ481" s="87" t="s">
        <v>521</v>
      </c>
      <c r="IR481" s="87" t="s">
        <v>522</v>
      </c>
      <c r="IS481" s="87" t="s">
        <v>559</v>
      </c>
      <c r="IT481" s="87" t="s">
        <v>560</v>
      </c>
      <c r="IU481" s="87" t="s">
        <v>523</v>
      </c>
      <c r="IV481" s="87" t="s">
        <v>524</v>
      </c>
      <c r="IW481" s="91" t="s">
        <v>27</v>
      </c>
      <c r="IX481" s="91" t="s">
        <v>28</v>
      </c>
      <c r="IY481" s="87" t="s">
        <v>513</v>
      </c>
      <c r="IZ481" s="87" t="s">
        <v>514</v>
      </c>
      <c r="JA481" s="87" t="s">
        <v>515</v>
      </c>
      <c r="JB481" s="87" t="s">
        <v>516</v>
      </c>
      <c r="JC481" s="87" t="s">
        <v>519</v>
      </c>
      <c r="JD481" s="87" t="s">
        <v>520</v>
      </c>
      <c r="JE481" s="87" t="s">
        <v>517</v>
      </c>
      <c r="JF481" s="87" t="s">
        <v>518</v>
      </c>
      <c r="JG481" s="87" t="s">
        <v>521</v>
      </c>
      <c r="JH481" s="87" t="s">
        <v>522</v>
      </c>
      <c r="JI481" s="87" t="s">
        <v>559</v>
      </c>
      <c r="JJ481" s="87" t="s">
        <v>560</v>
      </c>
      <c r="JK481" s="87" t="s">
        <v>523</v>
      </c>
      <c r="JL481" s="87" t="s">
        <v>524</v>
      </c>
      <c r="JM481" s="91" t="s">
        <v>27</v>
      </c>
      <c r="JN481" s="91" t="s">
        <v>28</v>
      </c>
      <c r="JO481" s="87" t="s">
        <v>513</v>
      </c>
      <c r="JP481" s="87" t="s">
        <v>514</v>
      </c>
      <c r="JQ481" s="87" t="s">
        <v>515</v>
      </c>
      <c r="JR481" s="87" t="s">
        <v>516</v>
      </c>
      <c r="JS481" s="87" t="s">
        <v>519</v>
      </c>
      <c r="JT481" s="87" t="s">
        <v>520</v>
      </c>
      <c r="JU481" s="87" t="s">
        <v>517</v>
      </c>
      <c r="JV481" s="87" t="s">
        <v>518</v>
      </c>
      <c r="JW481" s="87" t="s">
        <v>521</v>
      </c>
      <c r="JX481" s="87" t="s">
        <v>522</v>
      </c>
      <c r="JY481" s="87" t="s">
        <v>559</v>
      </c>
      <c r="JZ481" s="87" t="s">
        <v>560</v>
      </c>
      <c r="KA481" s="87" t="s">
        <v>523</v>
      </c>
      <c r="KB481" s="87" t="s">
        <v>524</v>
      </c>
      <c r="KC481" s="91" t="s">
        <v>27</v>
      </c>
      <c r="KD481" s="91" t="s">
        <v>28</v>
      </c>
      <c r="KE481" s="87" t="s">
        <v>513</v>
      </c>
      <c r="KF481" s="87" t="s">
        <v>514</v>
      </c>
      <c r="KG481" s="87" t="s">
        <v>515</v>
      </c>
      <c r="KH481" s="87" t="s">
        <v>516</v>
      </c>
      <c r="KI481" s="87" t="s">
        <v>519</v>
      </c>
      <c r="KJ481" s="87" t="s">
        <v>520</v>
      </c>
      <c r="KK481" s="87" t="s">
        <v>517</v>
      </c>
      <c r="KL481" s="87" t="s">
        <v>518</v>
      </c>
      <c r="KM481" s="87" t="s">
        <v>521</v>
      </c>
      <c r="KN481" s="87" t="s">
        <v>522</v>
      </c>
      <c r="KO481" s="87" t="s">
        <v>559</v>
      </c>
      <c r="KP481" s="87" t="s">
        <v>560</v>
      </c>
      <c r="KQ481" s="87" t="s">
        <v>523</v>
      </c>
      <c r="KR481" s="87" t="s">
        <v>524</v>
      </c>
      <c r="KS481" s="91" t="s">
        <v>27</v>
      </c>
      <c r="KT481" s="91" t="s">
        <v>28</v>
      </c>
      <c r="KU481" s="87" t="s">
        <v>513</v>
      </c>
      <c r="KV481" s="87" t="s">
        <v>514</v>
      </c>
      <c r="KW481" s="87" t="s">
        <v>515</v>
      </c>
      <c r="KX481" s="87" t="s">
        <v>516</v>
      </c>
      <c r="KY481" s="87" t="s">
        <v>519</v>
      </c>
      <c r="KZ481" s="87" t="s">
        <v>520</v>
      </c>
      <c r="LA481" s="87" t="s">
        <v>517</v>
      </c>
      <c r="LB481" s="87" t="s">
        <v>518</v>
      </c>
      <c r="LC481" s="87" t="s">
        <v>521</v>
      </c>
      <c r="LD481" s="87" t="s">
        <v>522</v>
      </c>
      <c r="LE481" s="87" t="s">
        <v>559</v>
      </c>
      <c r="LF481" s="87" t="s">
        <v>560</v>
      </c>
      <c r="LG481" s="87" t="s">
        <v>523</v>
      </c>
      <c r="LH481" s="87" t="s">
        <v>524</v>
      </c>
      <c r="LI481" s="91" t="s">
        <v>27</v>
      </c>
      <c r="LJ481" s="91" t="s">
        <v>28</v>
      </c>
      <c r="LK481" s="87" t="s">
        <v>513</v>
      </c>
      <c r="LL481" s="87" t="s">
        <v>514</v>
      </c>
      <c r="LM481" s="87" t="s">
        <v>515</v>
      </c>
      <c r="LN481" s="87" t="s">
        <v>516</v>
      </c>
      <c r="LO481" s="87" t="s">
        <v>519</v>
      </c>
      <c r="LP481" s="87" t="s">
        <v>520</v>
      </c>
      <c r="LQ481" s="87" t="s">
        <v>517</v>
      </c>
      <c r="LR481" s="87" t="s">
        <v>518</v>
      </c>
      <c r="LS481" s="87" t="s">
        <v>521</v>
      </c>
      <c r="LT481" s="87" t="s">
        <v>522</v>
      </c>
      <c r="LU481" s="87" t="s">
        <v>559</v>
      </c>
      <c r="LV481" s="87" t="s">
        <v>560</v>
      </c>
      <c r="LW481" s="87" t="s">
        <v>523</v>
      </c>
      <c r="LX481" s="87" t="s">
        <v>524</v>
      </c>
      <c r="LY481" s="91" t="s">
        <v>27</v>
      </c>
      <c r="LZ481" s="91" t="s">
        <v>28</v>
      </c>
      <c r="MA481" s="87" t="s">
        <v>513</v>
      </c>
      <c r="MB481" s="87" t="s">
        <v>514</v>
      </c>
      <c r="MC481" s="87" t="s">
        <v>515</v>
      </c>
      <c r="MD481" s="87" t="s">
        <v>516</v>
      </c>
      <c r="ME481" s="87" t="s">
        <v>519</v>
      </c>
      <c r="MF481" s="87" t="s">
        <v>520</v>
      </c>
      <c r="MG481" s="87" t="s">
        <v>517</v>
      </c>
      <c r="MH481" s="87" t="s">
        <v>518</v>
      </c>
      <c r="MI481" s="87" t="s">
        <v>521</v>
      </c>
      <c r="MJ481" s="87" t="s">
        <v>522</v>
      </c>
      <c r="MK481" s="87" t="s">
        <v>559</v>
      </c>
      <c r="ML481" s="87" t="s">
        <v>560</v>
      </c>
      <c r="MM481" s="87" t="s">
        <v>523</v>
      </c>
      <c r="MN481" s="87" t="s">
        <v>524</v>
      </c>
      <c r="MO481" s="91" t="s">
        <v>27</v>
      </c>
      <c r="MP481" s="91" t="s">
        <v>28</v>
      </c>
      <c r="MQ481" s="87" t="s">
        <v>513</v>
      </c>
      <c r="MR481" s="87" t="s">
        <v>514</v>
      </c>
      <c r="MS481" s="87" t="s">
        <v>515</v>
      </c>
      <c r="MT481" s="87" t="s">
        <v>516</v>
      </c>
      <c r="MU481" s="87" t="s">
        <v>519</v>
      </c>
      <c r="MV481" s="87" t="s">
        <v>520</v>
      </c>
      <c r="MW481" s="87" t="s">
        <v>517</v>
      </c>
      <c r="MX481" s="87" t="s">
        <v>518</v>
      </c>
      <c r="MY481" s="87" t="s">
        <v>521</v>
      </c>
      <c r="MZ481" s="87" t="s">
        <v>522</v>
      </c>
      <c r="NA481" s="87" t="s">
        <v>559</v>
      </c>
      <c r="NB481" s="87" t="s">
        <v>560</v>
      </c>
      <c r="NC481" s="87" t="s">
        <v>523</v>
      </c>
      <c r="ND481" s="87" t="s">
        <v>524</v>
      </c>
      <c r="NE481" s="91" t="s">
        <v>27</v>
      </c>
      <c r="NF481" s="91" t="s">
        <v>28</v>
      </c>
      <c r="NG481" s="87" t="s">
        <v>513</v>
      </c>
      <c r="NH481" s="87" t="s">
        <v>514</v>
      </c>
      <c r="NI481" s="87" t="s">
        <v>515</v>
      </c>
      <c r="NJ481" s="87" t="s">
        <v>516</v>
      </c>
      <c r="NK481" s="87" t="s">
        <v>519</v>
      </c>
      <c r="NL481" s="87" t="s">
        <v>520</v>
      </c>
      <c r="NM481" s="87" t="s">
        <v>517</v>
      </c>
      <c r="NN481" s="87" t="s">
        <v>518</v>
      </c>
      <c r="NO481" s="87" t="s">
        <v>521</v>
      </c>
      <c r="NP481" s="87" t="s">
        <v>522</v>
      </c>
      <c r="NQ481" s="87" t="s">
        <v>559</v>
      </c>
      <c r="NR481" s="87" t="s">
        <v>560</v>
      </c>
      <c r="NS481" s="87" t="s">
        <v>523</v>
      </c>
      <c r="NT481" s="87" t="s">
        <v>524</v>
      </c>
      <c r="NU481" s="91" t="s">
        <v>27</v>
      </c>
      <c r="NV481" s="91" t="s">
        <v>28</v>
      </c>
      <c r="NW481" s="87" t="s">
        <v>513</v>
      </c>
      <c r="NX481" s="87" t="s">
        <v>514</v>
      </c>
      <c r="NY481" s="87" t="s">
        <v>515</v>
      </c>
      <c r="NZ481" s="87" t="s">
        <v>516</v>
      </c>
      <c r="OA481" s="87" t="s">
        <v>519</v>
      </c>
      <c r="OB481" s="87" t="s">
        <v>520</v>
      </c>
      <c r="OC481" s="87" t="s">
        <v>517</v>
      </c>
      <c r="OD481" s="87" t="s">
        <v>518</v>
      </c>
      <c r="OE481" s="87" t="s">
        <v>521</v>
      </c>
      <c r="OF481" s="87" t="s">
        <v>522</v>
      </c>
      <c r="OG481" s="87" t="s">
        <v>559</v>
      </c>
      <c r="OH481" s="87" t="s">
        <v>560</v>
      </c>
      <c r="OI481" s="87" t="s">
        <v>523</v>
      </c>
      <c r="OJ481" s="87" t="s">
        <v>524</v>
      </c>
      <c r="OK481" s="91" t="s">
        <v>27</v>
      </c>
      <c r="OL481" s="91" t="s">
        <v>28</v>
      </c>
      <c r="OM481" s="87" t="s">
        <v>513</v>
      </c>
      <c r="ON481" s="87" t="s">
        <v>514</v>
      </c>
      <c r="OO481" s="87" t="s">
        <v>515</v>
      </c>
      <c r="OP481" s="87" t="s">
        <v>516</v>
      </c>
      <c r="OQ481" s="87" t="s">
        <v>519</v>
      </c>
      <c r="OR481" s="87" t="s">
        <v>520</v>
      </c>
      <c r="OS481" s="87" t="s">
        <v>517</v>
      </c>
      <c r="OT481" s="87" t="s">
        <v>518</v>
      </c>
      <c r="OU481" s="87" t="s">
        <v>521</v>
      </c>
      <c r="OV481" s="87" t="s">
        <v>522</v>
      </c>
      <c r="OW481" s="87" t="s">
        <v>559</v>
      </c>
      <c r="OX481" s="87" t="s">
        <v>560</v>
      </c>
      <c r="OY481" s="87" t="s">
        <v>523</v>
      </c>
      <c r="OZ481" s="87" t="s">
        <v>524</v>
      </c>
      <c r="PA481" s="91" t="s">
        <v>27</v>
      </c>
      <c r="PB481" s="91" t="s">
        <v>28</v>
      </c>
      <c r="PC481" s="87" t="s">
        <v>513</v>
      </c>
      <c r="PD481" s="87" t="s">
        <v>514</v>
      </c>
      <c r="PE481" s="87" t="s">
        <v>515</v>
      </c>
      <c r="PF481" s="87" t="s">
        <v>516</v>
      </c>
      <c r="PG481" s="87" t="s">
        <v>519</v>
      </c>
      <c r="PH481" s="87" t="s">
        <v>520</v>
      </c>
      <c r="PI481" s="87" t="s">
        <v>517</v>
      </c>
      <c r="PJ481" s="87" t="s">
        <v>518</v>
      </c>
      <c r="PK481" s="87" t="s">
        <v>521</v>
      </c>
      <c r="PL481" s="87" t="s">
        <v>522</v>
      </c>
      <c r="PM481" s="87" t="s">
        <v>559</v>
      </c>
      <c r="PN481" s="87" t="s">
        <v>560</v>
      </c>
      <c r="PO481" s="87" t="s">
        <v>523</v>
      </c>
      <c r="PP481" s="87" t="s">
        <v>524</v>
      </c>
      <c r="PQ481" s="91" t="s">
        <v>27</v>
      </c>
      <c r="PR481" s="91" t="s">
        <v>28</v>
      </c>
      <c r="PS481" s="87" t="s">
        <v>513</v>
      </c>
      <c r="PT481" s="87" t="s">
        <v>514</v>
      </c>
      <c r="PU481" s="87" t="s">
        <v>515</v>
      </c>
      <c r="PV481" s="87" t="s">
        <v>516</v>
      </c>
      <c r="PW481" s="87" t="s">
        <v>519</v>
      </c>
      <c r="PX481" s="87" t="s">
        <v>520</v>
      </c>
      <c r="PY481" s="87" t="s">
        <v>517</v>
      </c>
      <c r="PZ481" s="87" t="s">
        <v>518</v>
      </c>
      <c r="QA481" s="87" t="s">
        <v>521</v>
      </c>
      <c r="QB481" s="87" t="s">
        <v>522</v>
      </c>
      <c r="QC481" s="87" t="s">
        <v>559</v>
      </c>
      <c r="QD481" s="87" t="s">
        <v>560</v>
      </c>
      <c r="QE481" s="87" t="s">
        <v>523</v>
      </c>
      <c r="QF481" s="87" t="s">
        <v>524</v>
      </c>
      <c r="QG481" s="91" t="s">
        <v>27</v>
      </c>
      <c r="QH481" s="91" t="s">
        <v>28</v>
      </c>
      <c r="QI481" s="87" t="s">
        <v>513</v>
      </c>
      <c r="QJ481" s="87" t="s">
        <v>514</v>
      </c>
      <c r="QK481" s="87" t="s">
        <v>515</v>
      </c>
      <c r="QL481" s="87" t="s">
        <v>516</v>
      </c>
      <c r="QM481" s="87" t="s">
        <v>519</v>
      </c>
      <c r="QN481" s="87" t="s">
        <v>520</v>
      </c>
      <c r="QO481" s="87" t="s">
        <v>517</v>
      </c>
      <c r="QP481" s="87" t="s">
        <v>518</v>
      </c>
      <c r="QQ481" s="87" t="s">
        <v>521</v>
      </c>
      <c r="QR481" s="87" t="s">
        <v>522</v>
      </c>
      <c r="QS481" s="87" t="s">
        <v>559</v>
      </c>
      <c r="QT481" s="87" t="s">
        <v>560</v>
      </c>
      <c r="QU481" s="87" t="s">
        <v>523</v>
      </c>
      <c r="QV481" s="87" t="s">
        <v>524</v>
      </c>
      <c r="QW481" s="91" t="s">
        <v>27</v>
      </c>
      <c r="QX481" s="91" t="s">
        <v>28</v>
      </c>
      <c r="QY481" s="87" t="s">
        <v>513</v>
      </c>
      <c r="QZ481" s="87" t="s">
        <v>514</v>
      </c>
      <c r="RA481" s="87" t="s">
        <v>515</v>
      </c>
      <c r="RB481" s="87" t="s">
        <v>516</v>
      </c>
      <c r="RC481" s="87" t="s">
        <v>519</v>
      </c>
      <c r="RD481" s="87" t="s">
        <v>520</v>
      </c>
      <c r="RE481" s="87" t="s">
        <v>517</v>
      </c>
      <c r="RF481" s="87" t="s">
        <v>518</v>
      </c>
      <c r="RG481" s="87" t="s">
        <v>521</v>
      </c>
      <c r="RH481" s="87" t="s">
        <v>522</v>
      </c>
      <c r="RI481" s="87" t="s">
        <v>559</v>
      </c>
      <c r="RJ481" s="87" t="s">
        <v>560</v>
      </c>
      <c r="RK481" s="87" t="s">
        <v>523</v>
      </c>
      <c r="RL481" s="87" t="s">
        <v>524</v>
      </c>
      <c r="RM481" s="91" t="s">
        <v>27</v>
      </c>
      <c r="RN481" s="91" t="s">
        <v>28</v>
      </c>
      <c r="RO481" s="87" t="s">
        <v>513</v>
      </c>
      <c r="RP481" s="87" t="s">
        <v>514</v>
      </c>
      <c r="RQ481" s="87" t="s">
        <v>515</v>
      </c>
      <c r="RR481" s="87" t="s">
        <v>516</v>
      </c>
      <c r="RS481" s="87" t="s">
        <v>519</v>
      </c>
      <c r="RT481" s="87" t="s">
        <v>520</v>
      </c>
      <c r="RU481" s="87" t="s">
        <v>517</v>
      </c>
      <c r="RV481" s="87" t="s">
        <v>518</v>
      </c>
      <c r="RW481" s="87" t="s">
        <v>521</v>
      </c>
      <c r="RX481" s="87" t="s">
        <v>522</v>
      </c>
      <c r="RY481" s="87" t="s">
        <v>559</v>
      </c>
      <c r="RZ481" s="87" t="s">
        <v>560</v>
      </c>
      <c r="SA481" s="87" t="s">
        <v>523</v>
      </c>
      <c r="SB481" s="87" t="s">
        <v>524</v>
      </c>
      <c r="SC481" s="91" t="s">
        <v>27</v>
      </c>
      <c r="SD481" s="91" t="s">
        <v>28</v>
      </c>
      <c r="SE481" s="87" t="s">
        <v>513</v>
      </c>
      <c r="SF481" s="87" t="s">
        <v>514</v>
      </c>
      <c r="SG481" s="87" t="s">
        <v>515</v>
      </c>
      <c r="SH481" s="87" t="s">
        <v>516</v>
      </c>
      <c r="SI481" s="87" t="s">
        <v>519</v>
      </c>
      <c r="SJ481" s="87" t="s">
        <v>520</v>
      </c>
      <c r="SK481" s="87" t="s">
        <v>517</v>
      </c>
      <c r="SL481" s="87" t="s">
        <v>518</v>
      </c>
      <c r="SM481" s="87" t="s">
        <v>521</v>
      </c>
      <c r="SN481" s="87" t="s">
        <v>522</v>
      </c>
      <c r="SO481" s="87" t="s">
        <v>559</v>
      </c>
      <c r="SP481" s="87" t="s">
        <v>560</v>
      </c>
      <c r="SQ481" s="87" t="s">
        <v>523</v>
      </c>
      <c r="SR481" s="87" t="s">
        <v>524</v>
      </c>
      <c r="SS481" s="91" t="s">
        <v>27</v>
      </c>
      <c r="ST481" s="91" t="s">
        <v>28</v>
      </c>
      <c r="SU481" s="87" t="s">
        <v>513</v>
      </c>
      <c r="SV481" s="87" t="s">
        <v>514</v>
      </c>
      <c r="SW481" s="87" t="s">
        <v>515</v>
      </c>
      <c r="SX481" s="87" t="s">
        <v>516</v>
      </c>
      <c r="SY481" s="87" t="s">
        <v>519</v>
      </c>
      <c r="SZ481" s="87" t="s">
        <v>520</v>
      </c>
      <c r="TA481" s="87" t="s">
        <v>517</v>
      </c>
      <c r="TB481" s="87" t="s">
        <v>518</v>
      </c>
      <c r="TC481" s="87" t="s">
        <v>521</v>
      </c>
      <c r="TD481" s="87" t="s">
        <v>522</v>
      </c>
      <c r="TE481" s="87" t="s">
        <v>559</v>
      </c>
      <c r="TF481" s="87" t="s">
        <v>560</v>
      </c>
      <c r="TG481" s="87" t="s">
        <v>523</v>
      </c>
      <c r="TH481" s="87" t="s">
        <v>524</v>
      </c>
      <c r="TI481" s="91" t="s">
        <v>27</v>
      </c>
      <c r="TJ481" s="91" t="s">
        <v>28</v>
      </c>
      <c r="TK481" s="87" t="s">
        <v>513</v>
      </c>
      <c r="TL481" s="87" t="s">
        <v>514</v>
      </c>
      <c r="TM481" s="87" t="s">
        <v>515</v>
      </c>
      <c r="TN481" s="87" t="s">
        <v>516</v>
      </c>
      <c r="TO481" s="87" t="s">
        <v>519</v>
      </c>
      <c r="TP481" s="87" t="s">
        <v>520</v>
      </c>
      <c r="TQ481" s="87" t="s">
        <v>517</v>
      </c>
      <c r="TR481" s="87" t="s">
        <v>518</v>
      </c>
      <c r="TS481" s="87" t="s">
        <v>521</v>
      </c>
      <c r="TT481" s="87" t="s">
        <v>522</v>
      </c>
      <c r="TU481" s="87" t="s">
        <v>559</v>
      </c>
      <c r="TV481" s="87" t="s">
        <v>560</v>
      </c>
      <c r="TW481" s="87" t="s">
        <v>523</v>
      </c>
      <c r="TX481" s="87" t="s">
        <v>524</v>
      </c>
      <c r="TY481" s="91" t="s">
        <v>27</v>
      </c>
      <c r="TZ481" s="91" t="s">
        <v>28</v>
      </c>
      <c r="UA481" s="87" t="s">
        <v>513</v>
      </c>
      <c r="UB481" s="87" t="s">
        <v>514</v>
      </c>
      <c r="UC481" s="87" t="s">
        <v>515</v>
      </c>
      <c r="UD481" s="87" t="s">
        <v>516</v>
      </c>
      <c r="UE481" s="87" t="s">
        <v>519</v>
      </c>
      <c r="UF481" s="87" t="s">
        <v>520</v>
      </c>
      <c r="UG481" s="87" t="s">
        <v>517</v>
      </c>
      <c r="UH481" s="87" t="s">
        <v>518</v>
      </c>
      <c r="UI481" s="87" t="s">
        <v>521</v>
      </c>
      <c r="UJ481" s="87" t="s">
        <v>522</v>
      </c>
      <c r="UK481" s="87" t="s">
        <v>559</v>
      </c>
      <c r="UL481" s="87" t="s">
        <v>560</v>
      </c>
      <c r="UM481" s="87" t="s">
        <v>523</v>
      </c>
      <c r="UN481" s="87" t="s">
        <v>524</v>
      </c>
      <c r="UO481" s="91" t="s">
        <v>27</v>
      </c>
      <c r="UP481" s="91" t="s">
        <v>28</v>
      </c>
      <c r="UQ481" s="87" t="s">
        <v>513</v>
      </c>
      <c r="UR481" s="87" t="s">
        <v>514</v>
      </c>
      <c r="US481" s="87" t="s">
        <v>515</v>
      </c>
      <c r="UT481" s="87" t="s">
        <v>516</v>
      </c>
      <c r="UU481" s="87" t="s">
        <v>519</v>
      </c>
      <c r="UV481" s="87" t="s">
        <v>520</v>
      </c>
      <c r="UW481" s="87" t="s">
        <v>517</v>
      </c>
      <c r="UX481" s="87" t="s">
        <v>518</v>
      </c>
      <c r="UY481" s="87" t="s">
        <v>521</v>
      </c>
      <c r="UZ481" s="87" t="s">
        <v>522</v>
      </c>
      <c r="VA481" s="87" t="s">
        <v>559</v>
      </c>
      <c r="VB481" s="87" t="s">
        <v>560</v>
      </c>
      <c r="VC481" s="87" t="s">
        <v>523</v>
      </c>
      <c r="VD481" s="87" t="s">
        <v>524</v>
      </c>
      <c r="VE481" s="91" t="s">
        <v>27</v>
      </c>
      <c r="VF481" s="91" t="s">
        <v>28</v>
      </c>
      <c r="VG481" s="87" t="s">
        <v>513</v>
      </c>
      <c r="VH481" s="87" t="s">
        <v>514</v>
      </c>
      <c r="VI481" s="87" t="s">
        <v>515</v>
      </c>
      <c r="VJ481" s="87" t="s">
        <v>516</v>
      </c>
      <c r="VK481" s="87" t="s">
        <v>519</v>
      </c>
      <c r="VL481" s="87" t="s">
        <v>520</v>
      </c>
      <c r="VM481" s="87" t="s">
        <v>517</v>
      </c>
      <c r="VN481" s="87" t="s">
        <v>518</v>
      </c>
      <c r="VO481" s="87" t="s">
        <v>521</v>
      </c>
      <c r="VP481" s="87" t="s">
        <v>522</v>
      </c>
      <c r="VQ481" s="87" t="s">
        <v>559</v>
      </c>
      <c r="VR481" s="87" t="s">
        <v>560</v>
      </c>
      <c r="VS481" s="87" t="s">
        <v>523</v>
      </c>
      <c r="VT481" s="87" t="s">
        <v>524</v>
      </c>
      <c r="VU481" s="91" t="s">
        <v>27</v>
      </c>
      <c r="VV481" s="91" t="s">
        <v>28</v>
      </c>
      <c r="VW481" s="87" t="s">
        <v>513</v>
      </c>
      <c r="VX481" s="87" t="s">
        <v>514</v>
      </c>
      <c r="VY481" s="87" t="s">
        <v>515</v>
      </c>
      <c r="VZ481" s="87" t="s">
        <v>516</v>
      </c>
      <c r="WA481" s="87" t="s">
        <v>519</v>
      </c>
      <c r="WB481" s="87" t="s">
        <v>520</v>
      </c>
      <c r="WC481" s="87" t="s">
        <v>517</v>
      </c>
      <c r="WD481" s="87" t="s">
        <v>518</v>
      </c>
      <c r="WE481" s="87" t="s">
        <v>521</v>
      </c>
      <c r="WF481" s="87" t="s">
        <v>522</v>
      </c>
      <c r="WG481" s="87" t="s">
        <v>559</v>
      </c>
      <c r="WH481" s="87" t="s">
        <v>560</v>
      </c>
      <c r="WI481" s="87" t="s">
        <v>523</v>
      </c>
      <c r="WJ481" s="87" t="s">
        <v>524</v>
      </c>
      <c r="WK481" s="91" t="s">
        <v>27</v>
      </c>
      <c r="WL481" s="91" t="s">
        <v>28</v>
      </c>
      <c r="WM481" s="89"/>
      <c r="WN481" s="87" t="s">
        <v>513</v>
      </c>
      <c r="WO481" s="87" t="s">
        <v>514</v>
      </c>
      <c r="WP481" s="87" t="s">
        <v>515</v>
      </c>
      <c r="WQ481" s="87" t="s">
        <v>516</v>
      </c>
      <c r="WR481" s="87" t="s">
        <v>519</v>
      </c>
      <c r="WS481" s="87" t="s">
        <v>520</v>
      </c>
      <c r="WT481" s="87" t="s">
        <v>517</v>
      </c>
      <c r="WU481" s="87" t="s">
        <v>518</v>
      </c>
      <c r="WV481" s="87" t="s">
        <v>521</v>
      </c>
      <c r="WW481" s="87" t="s">
        <v>522</v>
      </c>
      <c r="WX481" s="87" t="s">
        <v>559</v>
      </c>
      <c r="WY481" s="87" t="s">
        <v>560</v>
      </c>
      <c r="WZ481" s="87" t="s">
        <v>523</v>
      </c>
      <c r="XA481" s="87" t="s">
        <v>524</v>
      </c>
      <c r="XB481" s="91" t="s">
        <v>27</v>
      </c>
      <c r="XC481" s="91" t="s">
        <v>28</v>
      </c>
      <c r="XD481" s="89"/>
      <c r="XE481" s="87"/>
      <c r="XF481" s="87"/>
      <c r="XG481" s="89"/>
      <c r="XH481" s="87"/>
      <c r="XI481" s="87"/>
      <c r="XJ481" s="89"/>
      <c r="XK481" s="87" t="s">
        <v>513</v>
      </c>
      <c r="XL481" s="87" t="s">
        <v>515</v>
      </c>
      <c r="XM481" s="87" t="s">
        <v>519</v>
      </c>
      <c r="XN481" s="87" t="s">
        <v>517</v>
      </c>
      <c r="XO481" s="87" t="s">
        <v>521</v>
      </c>
      <c r="XP481" s="87" t="s">
        <v>559</v>
      </c>
      <c r="XQ481" s="87" t="s">
        <v>523</v>
      </c>
      <c r="XR481" s="91" t="s">
        <v>27</v>
      </c>
      <c r="XS481" s="89"/>
      <c r="XT481" s="87" t="s">
        <v>513</v>
      </c>
      <c r="XU481" s="87" t="s">
        <v>515</v>
      </c>
      <c r="XV481" s="87" t="s">
        <v>519</v>
      </c>
      <c r="XW481" s="87" t="s">
        <v>517</v>
      </c>
      <c r="XX481" s="87" t="s">
        <v>521</v>
      </c>
      <c r="XY481" s="87" t="s">
        <v>559</v>
      </c>
      <c r="XZ481" s="87" t="s">
        <v>523</v>
      </c>
      <c r="YA481" s="91" t="s">
        <v>27</v>
      </c>
      <c r="YB481" s="87"/>
      <c r="YC481" s="87"/>
      <c r="YD481" s="87"/>
      <c r="YE481" s="87"/>
      <c r="YF481" s="87"/>
      <c r="YG481" s="87"/>
      <c r="YH481" s="87"/>
      <c r="YI481" s="87"/>
      <c r="YJ481" s="87"/>
      <c r="YK481" s="87"/>
      <c r="YL481" s="87"/>
      <c r="YM481" s="87"/>
      <c r="YN481" s="87"/>
      <c r="YO481" s="87"/>
      <c r="YP481" s="87"/>
      <c r="YQ481" s="87"/>
      <c r="YR481" s="87"/>
      <c r="YS481" s="87"/>
      <c r="YT481" s="87"/>
      <c r="YU481" s="87"/>
      <c r="YV481" s="87"/>
      <c r="YW481" s="87"/>
      <c r="YX481" s="87"/>
      <c r="YY481" s="87"/>
      <c r="YZ481" s="87"/>
      <c r="ZA481" s="87"/>
      <c r="ZB481" s="87"/>
      <c r="ZC481" s="87"/>
      <c r="ZD481" s="87"/>
      <c r="ZE481" s="87"/>
      <c r="ZF481" s="87"/>
      <c r="ZG481" s="87"/>
      <c r="ZH481" s="87"/>
      <c r="ZI481" s="87"/>
      <c r="ZJ481" s="87"/>
      <c r="ZK481" s="87"/>
      <c r="ZL481" s="87"/>
      <c r="ZM481" s="87"/>
      <c r="ZN481" s="87"/>
      <c r="ZO481" s="87"/>
      <c r="ZP481" s="87"/>
      <c r="ZQ481" s="87"/>
      <c r="ZR481" s="87"/>
      <c r="ZS481" s="87"/>
      <c r="ZT481" s="87"/>
      <c r="ZU481" s="87"/>
      <c r="ZV481" s="87"/>
      <c r="ZW481" s="87"/>
      <c r="ZX481" s="87"/>
      <c r="ZY481" s="87"/>
      <c r="ZZ481" s="87"/>
      <c r="AAA481" s="87"/>
      <c r="AAB481" s="87"/>
      <c r="AAC481" s="87"/>
      <c r="AAD481" s="87"/>
      <c r="AAE481" s="87"/>
      <c r="AAF481" s="87"/>
      <c r="AAG481" s="87"/>
      <c r="AAH481" s="87"/>
      <c r="AAI481" s="87"/>
      <c r="AAJ481" s="87"/>
      <c r="AAK481" s="87"/>
      <c r="AAL481" s="87"/>
      <c r="AAM481" s="87"/>
      <c r="AAN481" s="87"/>
      <c r="AAO481" s="87"/>
      <c r="AAP481" s="87"/>
      <c r="AAQ481" s="87"/>
      <c r="AAR481" s="87"/>
      <c r="AAS481" s="87"/>
      <c r="AAT481" s="87"/>
      <c r="AAU481" s="87"/>
      <c r="AAV481" s="87"/>
      <c r="AAW481" s="87"/>
      <c r="AAX481" s="87"/>
      <c r="AAY481" s="87"/>
      <c r="AAZ481" s="87"/>
      <c r="ABA481" s="87"/>
      <c r="ABB481" s="87"/>
      <c r="ABC481" s="87"/>
      <c r="ABD481" s="87"/>
      <c r="ABE481" s="87"/>
      <c r="ABF481" s="87"/>
      <c r="ABG481" s="87"/>
      <c r="ABH481" s="87"/>
      <c r="ABI481" s="87"/>
      <c r="ABJ481" s="87"/>
      <c r="ABK481" s="87"/>
      <c r="ABL481" s="87"/>
      <c r="ABM481" s="87"/>
      <c r="ABN481" s="87"/>
      <c r="ABO481" s="87"/>
      <c r="ABP481" s="87"/>
      <c r="ABQ481" s="87"/>
      <c r="ABR481" s="87"/>
      <c r="ABS481" s="87"/>
      <c r="ABT481" s="87"/>
      <c r="ABU481" s="87"/>
      <c r="ABV481" s="87"/>
      <c r="ABW481" s="87"/>
      <c r="ABX481" s="87"/>
      <c r="ABY481" s="87"/>
      <c r="ABZ481" s="87"/>
      <c r="ACA481" s="87"/>
      <c r="ACB481" s="87"/>
      <c r="ACC481" s="87"/>
      <c r="ACD481" s="87"/>
      <c r="ACE481" s="87"/>
      <c r="ACF481" s="87"/>
      <c r="ACG481" s="87"/>
      <c r="ACH481" s="87"/>
      <c r="ACI481" s="87"/>
      <c r="ACJ481" s="87"/>
      <c r="ACK481" s="87"/>
      <c r="ACL481" s="87"/>
      <c r="ACM481" s="87"/>
      <c r="ACN481" s="87"/>
      <c r="ACO481" s="87"/>
      <c r="ACP481" s="87"/>
      <c r="ACQ481" s="87"/>
      <c r="ACR481" s="87"/>
      <c r="ACS481" s="87"/>
      <c r="ACT481" s="87"/>
      <c r="ACU481" s="87"/>
      <c r="ACV481" s="87"/>
      <c r="ACW481" s="87"/>
      <c r="ACX481" s="87"/>
      <c r="ACY481" s="87"/>
      <c r="ACZ481" s="87"/>
      <c r="ADA481" s="87"/>
      <c r="ADB481" s="87"/>
      <c r="ADC481" s="87"/>
      <c r="ADD481" s="87"/>
      <c r="ADE481" s="87"/>
      <c r="ADF481" s="87"/>
      <c r="ADG481" s="87"/>
      <c r="ADH481" s="87"/>
      <c r="ADI481" s="87"/>
      <c r="ADJ481" s="87"/>
      <c r="ADK481" s="87"/>
      <c r="ADL481" s="87"/>
      <c r="ADM481" s="87"/>
      <c r="ADN481" s="87"/>
      <c r="ADO481" s="87"/>
      <c r="ADP481" s="87"/>
      <c r="ADQ481" s="87"/>
      <c r="ADR481" s="87"/>
      <c r="ADS481" s="87"/>
      <c r="ADT481" s="87"/>
      <c r="ADU481" s="87"/>
      <c r="ADV481" s="87"/>
      <c r="ADW481" s="87"/>
      <c r="ADX481" s="87"/>
      <c r="ADY481" s="87"/>
      <c r="ADZ481" s="87"/>
      <c r="AEA481" s="87"/>
      <c r="AEB481" s="87"/>
      <c r="AEC481" s="87"/>
      <c r="AED481" s="87"/>
      <c r="AEE481" s="87"/>
      <c r="AEF481" s="87"/>
      <c r="AEG481" s="87"/>
      <c r="AEH481" s="87"/>
      <c r="AEI481" s="87"/>
      <c r="AEJ481" s="87"/>
      <c r="AEK481" s="87"/>
      <c r="AEL481" s="87"/>
      <c r="AEM481" s="87"/>
      <c r="AEN481" s="87"/>
      <c r="AEO481" s="87"/>
      <c r="AEP481" s="87"/>
      <c r="AEQ481" s="87"/>
      <c r="AER481" s="87"/>
      <c r="AES481" s="87"/>
      <c r="AET481" s="87"/>
      <c r="AEU481" s="87"/>
      <c r="AEV481" s="87"/>
      <c r="AEW481" s="87"/>
      <c r="AEX481" s="87"/>
      <c r="AEY481" s="87"/>
      <c r="AEZ481" s="87"/>
      <c r="AFA481" s="87"/>
      <c r="AFB481" s="87"/>
      <c r="AFC481" s="87"/>
      <c r="AFD481" s="87"/>
      <c r="AFE481" s="87"/>
      <c r="AFF481" s="87"/>
      <c r="AFG481" s="87"/>
      <c r="AFH481" s="87"/>
      <c r="AFI481" s="87"/>
      <c r="AFJ481" s="87"/>
      <c r="AFK481" s="87"/>
      <c r="AFL481" s="87"/>
      <c r="AFM481" s="87"/>
      <c r="AFN481" s="87"/>
      <c r="AFO481" s="87"/>
      <c r="AFP481" s="87"/>
      <c r="AFQ481" s="87"/>
      <c r="AFR481" s="87"/>
      <c r="AFS481" s="87"/>
      <c r="AFT481" s="87"/>
      <c r="AFU481" s="87"/>
      <c r="AFV481" s="87"/>
      <c r="AFW481" s="87"/>
      <c r="AFX481" s="87"/>
      <c r="AFY481" s="87"/>
      <c r="AFZ481" s="87"/>
      <c r="AGA481" s="87"/>
      <c r="AGB481" s="87"/>
      <c r="AGC481" s="87"/>
      <c r="AGD481" s="87"/>
      <c r="AGE481" s="87"/>
      <c r="AGF481" s="87"/>
      <c r="AGG481" s="87"/>
      <c r="AGH481" s="87"/>
      <c r="AGI481" s="87"/>
      <c r="AGJ481" s="87"/>
      <c r="AGK481" s="87"/>
      <c r="AGL481" s="87"/>
      <c r="AGM481" s="87"/>
      <c r="AGN481" s="87"/>
      <c r="AGO481" s="87"/>
      <c r="AGP481" s="87"/>
      <c r="AGQ481" s="87"/>
      <c r="AGR481" s="87"/>
      <c r="AGS481" s="87"/>
      <c r="AGT481" s="87"/>
      <c r="AGU481" s="87"/>
      <c r="AGV481" s="87"/>
      <c r="AGW481" s="87"/>
      <c r="AGX481" s="87"/>
      <c r="AGY481" s="87"/>
      <c r="AGZ481" s="87"/>
      <c r="AHA481" s="87"/>
      <c r="AHB481" s="87"/>
      <c r="AHC481" s="87"/>
      <c r="AHD481" s="87"/>
      <c r="AHE481" s="87"/>
      <c r="AHF481" s="87"/>
      <c r="AHG481" s="87"/>
      <c r="AHH481" s="87"/>
      <c r="AHI481" s="87"/>
      <c r="AHJ481" s="87"/>
      <c r="AHK481" s="87"/>
      <c r="AHL481" s="87"/>
      <c r="AHM481" s="87"/>
      <c r="AHN481" s="87"/>
      <c r="AHO481" s="87"/>
      <c r="AHP481" s="87"/>
      <c r="AHQ481" s="87"/>
      <c r="AHR481" s="87"/>
      <c r="AHS481" s="87"/>
      <c r="AHT481" s="87"/>
      <c r="AHU481" s="87"/>
      <c r="AHV481" s="87"/>
      <c r="AHW481" s="87"/>
      <c r="AHX481" s="87"/>
      <c r="AHY481" s="87"/>
      <c r="AHZ481" s="87"/>
      <c r="AIA481" s="87"/>
      <c r="AIB481" s="87"/>
      <c r="AIC481" s="87"/>
      <c r="AID481" s="87"/>
      <c r="AIE481" s="87"/>
      <c r="AIF481" s="87"/>
      <c r="AIG481" s="87"/>
      <c r="AIH481" s="87"/>
      <c r="AII481" s="87"/>
      <c r="AIJ481" s="87"/>
      <c r="AIK481" s="87"/>
      <c r="AIL481" s="87"/>
      <c r="AIM481" s="87"/>
      <c r="AIN481" s="87"/>
      <c r="AIO481" s="87"/>
      <c r="AIP481" s="87"/>
      <c r="AIQ481" s="87"/>
      <c r="AIR481" s="87"/>
      <c r="AIS481" s="87"/>
      <c r="AIT481" s="87"/>
      <c r="AIU481" s="87"/>
      <c r="AIV481" s="87"/>
      <c r="AIW481" s="87"/>
      <c r="AIX481" s="87"/>
      <c r="AIY481" s="87"/>
      <c r="AIZ481" s="87"/>
      <c r="AJA481" s="87"/>
      <c r="AJB481" s="87"/>
      <c r="AJC481" s="87"/>
      <c r="AJD481" s="87"/>
      <c r="AJE481" s="87"/>
      <c r="AJF481" s="87"/>
      <c r="AJG481" s="87"/>
      <c r="AJH481" s="87"/>
      <c r="AJI481" s="87"/>
      <c r="AJJ481" s="87"/>
      <c r="AJK481" s="87"/>
      <c r="AJL481" s="87"/>
      <c r="AJM481" s="87"/>
      <c r="AJN481" s="87"/>
      <c r="AJO481" s="87"/>
      <c r="AJP481" s="87"/>
      <c r="AJQ481" s="87"/>
      <c r="AJR481" s="87"/>
      <c r="AJS481" s="87"/>
      <c r="AJT481" s="87"/>
      <c r="AJU481" s="87"/>
      <c r="AJV481" s="87"/>
      <c r="AJW481" s="87"/>
      <c r="AJX481" s="87"/>
      <c r="AJY481" s="87"/>
      <c r="AJZ481" s="87"/>
      <c r="AKA481" s="87"/>
      <c r="AKB481" s="87"/>
      <c r="AKC481" s="87"/>
      <c r="AKD481" s="87"/>
      <c r="AKE481" s="87"/>
      <c r="AKF481" s="87"/>
      <c r="AKG481" s="87"/>
      <c r="AKH481" s="87"/>
      <c r="AKI481" s="87"/>
      <c r="AKJ481" s="87"/>
      <c r="AKK481" s="87"/>
      <c r="AKL481" s="87"/>
      <c r="AKM481" s="87"/>
      <c r="AKN481" s="87"/>
      <c r="AKO481" s="87"/>
      <c r="AKP481" s="87"/>
      <c r="AKQ481" s="87"/>
      <c r="AKR481" s="87"/>
      <c r="AKS481" s="87"/>
      <c r="AKT481" s="87"/>
      <c r="AKU481" s="87"/>
      <c r="AKV481" s="87"/>
      <c r="AKW481" s="87"/>
      <c r="AKX481" s="87"/>
      <c r="AKY481" s="87"/>
      <c r="AKZ481" s="87"/>
      <c r="ALA481" s="87"/>
      <c r="ALB481" s="87"/>
      <c r="ALC481" s="87"/>
      <c r="ALD481" s="87"/>
      <c r="ALE481" s="87"/>
      <c r="ALF481" s="87"/>
      <c r="ALG481" s="87"/>
      <c r="ALH481" s="87"/>
      <c r="ALI481" s="87"/>
      <c r="ALJ481" s="87"/>
      <c r="ALK481" s="87"/>
      <c r="ALL481" s="87"/>
      <c r="ALM481" s="87"/>
      <c r="ALN481" s="87"/>
      <c r="ALO481" s="87"/>
      <c r="ALP481" s="87"/>
      <c r="ALQ481" s="87"/>
      <c r="ALR481" s="87"/>
      <c r="ALS481" s="87"/>
      <c r="ALT481" s="87"/>
      <c r="ALU481" s="87"/>
      <c r="ALV481" s="87"/>
      <c r="ALW481" s="87"/>
      <c r="ALX481" s="87"/>
      <c r="ALY481" s="87"/>
      <c r="ALZ481" s="87"/>
      <c r="AMA481" s="87"/>
      <c r="AMB481" s="87"/>
      <c r="AMC481" s="87"/>
    </row>
    <row r="482" spans="1:1017" ht="18.5">
      <c r="A482" s="90"/>
      <c r="B482" s="172"/>
      <c r="C482" s="87" t="s">
        <v>29</v>
      </c>
      <c r="D482" s="87" t="s">
        <v>30</v>
      </c>
      <c r="E482" s="87" t="s">
        <v>29</v>
      </c>
      <c r="F482" s="87" t="s">
        <v>30</v>
      </c>
      <c r="G482" s="87" t="s">
        <v>29</v>
      </c>
      <c r="H482" s="87" t="s">
        <v>30</v>
      </c>
      <c r="I482" s="87" t="s">
        <v>29</v>
      </c>
      <c r="J482" s="87" t="s">
        <v>30</v>
      </c>
      <c r="K482" s="87" t="s">
        <v>29</v>
      </c>
      <c r="L482" s="87" t="s">
        <v>30</v>
      </c>
      <c r="M482" s="87" t="s">
        <v>29</v>
      </c>
      <c r="N482" s="87" t="s">
        <v>30</v>
      </c>
      <c r="O482" s="87" t="s">
        <v>29</v>
      </c>
      <c r="P482" s="87" t="s">
        <v>30</v>
      </c>
      <c r="Q482" s="91" t="s">
        <v>29</v>
      </c>
      <c r="R482" s="91" t="s">
        <v>30</v>
      </c>
      <c r="S482" s="87" t="s">
        <v>29</v>
      </c>
      <c r="T482" s="87" t="s">
        <v>30</v>
      </c>
      <c r="U482" s="87" t="s">
        <v>29</v>
      </c>
      <c r="V482" s="87" t="s">
        <v>30</v>
      </c>
      <c r="W482" s="87" t="s">
        <v>29</v>
      </c>
      <c r="X482" s="87" t="s">
        <v>30</v>
      </c>
      <c r="Y482" s="87" t="s">
        <v>29</v>
      </c>
      <c r="Z482" s="87" t="s">
        <v>30</v>
      </c>
      <c r="AA482" s="87" t="s">
        <v>29</v>
      </c>
      <c r="AB482" s="87" t="s">
        <v>30</v>
      </c>
      <c r="AC482" s="87" t="s">
        <v>29</v>
      </c>
      <c r="AD482" s="87" t="s">
        <v>30</v>
      </c>
      <c r="AE482" s="87" t="s">
        <v>29</v>
      </c>
      <c r="AF482" s="87" t="s">
        <v>30</v>
      </c>
      <c r="AG482" s="91" t="s">
        <v>29</v>
      </c>
      <c r="AH482" s="91" t="s">
        <v>30</v>
      </c>
      <c r="AI482" s="87" t="s">
        <v>29</v>
      </c>
      <c r="AJ482" s="87" t="s">
        <v>30</v>
      </c>
      <c r="AK482" s="87" t="s">
        <v>29</v>
      </c>
      <c r="AL482" s="87" t="s">
        <v>30</v>
      </c>
      <c r="AM482" s="87" t="s">
        <v>29</v>
      </c>
      <c r="AN482" s="87" t="s">
        <v>30</v>
      </c>
      <c r="AO482" s="87" t="s">
        <v>29</v>
      </c>
      <c r="AP482" s="87" t="s">
        <v>30</v>
      </c>
      <c r="AQ482" s="87" t="s">
        <v>29</v>
      </c>
      <c r="AR482" s="87" t="s">
        <v>30</v>
      </c>
      <c r="AS482" s="87" t="s">
        <v>29</v>
      </c>
      <c r="AT482" s="87" t="s">
        <v>30</v>
      </c>
      <c r="AU482" s="87" t="s">
        <v>29</v>
      </c>
      <c r="AV482" s="87" t="s">
        <v>30</v>
      </c>
      <c r="AW482" s="91" t="s">
        <v>29</v>
      </c>
      <c r="AX482" s="91" t="s">
        <v>30</v>
      </c>
      <c r="AY482" s="87" t="s">
        <v>29</v>
      </c>
      <c r="AZ482" s="87" t="s">
        <v>30</v>
      </c>
      <c r="BA482" s="87" t="s">
        <v>29</v>
      </c>
      <c r="BB482" s="87" t="s">
        <v>30</v>
      </c>
      <c r="BC482" s="87" t="s">
        <v>29</v>
      </c>
      <c r="BD482" s="87" t="s">
        <v>30</v>
      </c>
      <c r="BE482" s="87" t="s">
        <v>29</v>
      </c>
      <c r="BF482" s="87" t="s">
        <v>30</v>
      </c>
      <c r="BG482" s="87" t="s">
        <v>29</v>
      </c>
      <c r="BH482" s="87" t="s">
        <v>30</v>
      </c>
      <c r="BI482" s="87" t="s">
        <v>29</v>
      </c>
      <c r="BJ482" s="87" t="s">
        <v>30</v>
      </c>
      <c r="BK482" s="87" t="s">
        <v>29</v>
      </c>
      <c r="BL482" s="87" t="s">
        <v>30</v>
      </c>
      <c r="BM482" s="91" t="s">
        <v>29</v>
      </c>
      <c r="BN482" s="91" t="s">
        <v>30</v>
      </c>
      <c r="BO482" s="87" t="s">
        <v>29</v>
      </c>
      <c r="BP482" s="87" t="s">
        <v>30</v>
      </c>
      <c r="BQ482" s="87" t="s">
        <v>29</v>
      </c>
      <c r="BR482" s="87" t="s">
        <v>30</v>
      </c>
      <c r="BS482" s="87" t="s">
        <v>29</v>
      </c>
      <c r="BT482" s="87" t="s">
        <v>30</v>
      </c>
      <c r="BU482" s="87" t="s">
        <v>29</v>
      </c>
      <c r="BV482" s="87" t="s">
        <v>30</v>
      </c>
      <c r="BW482" s="87" t="s">
        <v>29</v>
      </c>
      <c r="BX482" s="87" t="s">
        <v>30</v>
      </c>
      <c r="BY482" s="87" t="s">
        <v>29</v>
      </c>
      <c r="BZ482" s="87" t="s">
        <v>30</v>
      </c>
      <c r="CA482" s="87" t="s">
        <v>29</v>
      </c>
      <c r="CB482" s="87" t="s">
        <v>30</v>
      </c>
      <c r="CC482" s="91" t="s">
        <v>29</v>
      </c>
      <c r="CD482" s="91" t="s">
        <v>30</v>
      </c>
      <c r="CE482" s="87" t="s">
        <v>29</v>
      </c>
      <c r="CF482" s="87" t="s">
        <v>30</v>
      </c>
      <c r="CG482" s="87" t="s">
        <v>29</v>
      </c>
      <c r="CH482" s="87" t="s">
        <v>30</v>
      </c>
      <c r="CI482" s="87" t="s">
        <v>29</v>
      </c>
      <c r="CJ482" s="87" t="s">
        <v>30</v>
      </c>
      <c r="CK482" s="87" t="s">
        <v>29</v>
      </c>
      <c r="CL482" s="87" t="s">
        <v>30</v>
      </c>
      <c r="CM482" s="87" t="s">
        <v>29</v>
      </c>
      <c r="CN482" s="87" t="s">
        <v>30</v>
      </c>
      <c r="CO482" s="87" t="s">
        <v>29</v>
      </c>
      <c r="CP482" s="87" t="s">
        <v>30</v>
      </c>
      <c r="CQ482" s="87" t="s">
        <v>29</v>
      </c>
      <c r="CR482" s="87" t="s">
        <v>30</v>
      </c>
      <c r="CS482" s="91" t="s">
        <v>29</v>
      </c>
      <c r="CT482" s="91" t="s">
        <v>30</v>
      </c>
      <c r="CU482" s="87" t="s">
        <v>29</v>
      </c>
      <c r="CV482" s="87" t="s">
        <v>30</v>
      </c>
      <c r="CW482" s="87" t="s">
        <v>29</v>
      </c>
      <c r="CX482" s="87" t="s">
        <v>30</v>
      </c>
      <c r="CY482" s="87" t="s">
        <v>29</v>
      </c>
      <c r="CZ482" s="87" t="s">
        <v>30</v>
      </c>
      <c r="DA482" s="87" t="s">
        <v>29</v>
      </c>
      <c r="DB482" s="87" t="s">
        <v>30</v>
      </c>
      <c r="DC482" s="87" t="s">
        <v>29</v>
      </c>
      <c r="DD482" s="87" t="s">
        <v>30</v>
      </c>
      <c r="DE482" s="87" t="s">
        <v>29</v>
      </c>
      <c r="DF482" s="87" t="s">
        <v>30</v>
      </c>
      <c r="DG482" s="87" t="s">
        <v>29</v>
      </c>
      <c r="DH482" s="87" t="s">
        <v>30</v>
      </c>
      <c r="DI482" s="91" t="s">
        <v>29</v>
      </c>
      <c r="DJ482" s="91" t="s">
        <v>30</v>
      </c>
      <c r="DK482" s="87" t="s">
        <v>29</v>
      </c>
      <c r="DL482" s="87" t="s">
        <v>30</v>
      </c>
      <c r="DM482" s="87" t="s">
        <v>29</v>
      </c>
      <c r="DN482" s="87" t="s">
        <v>30</v>
      </c>
      <c r="DO482" s="87" t="s">
        <v>29</v>
      </c>
      <c r="DP482" s="87" t="s">
        <v>30</v>
      </c>
      <c r="DQ482" s="87" t="s">
        <v>29</v>
      </c>
      <c r="DR482" s="87" t="s">
        <v>30</v>
      </c>
      <c r="DS482" s="87" t="s">
        <v>29</v>
      </c>
      <c r="DT482" s="87" t="s">
        <v>30</v>
      </c>
      <c r="DU482" s="87" t="s">
        <v>29</v>
      </c>
      <c r="DV482" s="87" t="s">
        <v>30</v>
      </c>
      <c r="DW482" s="87" t="s">
        <v>29</v>
      </c>
      <c r="DX482" s="87" t="s">
        <v>30</v>
      </c>
      <c r="DY482" s="91" t="s">
        <v>29</v>
      </c>
      <c r="DZ482" s="91" t="s">
        <v>30</v>
      </c>
      <c r="EA482" s="87" t="s">
        <v>29</v>
      </c>
      <c r="EB482" s="87" t="s">
        <v>30</v>
      </c>
      <c r="EC482" s="87" t="s">
        <v>29</v>
      </c>
      <c r="ED482" s="87" t="s">
        <v>30</v>
      </c>
      <c r="EE482" s="87" t="s">
        <v>29</v>
      </c>
      <c r="EF482" s="87" t="s">
        <v>30</v>
      </c>
      <c r="EG482" s="87" t="s">
        <v>29</v>
      </c>
      <c r="EH482" s="87" t="s">
        <v>30</v>
      </c>
      <c r="EI482" s="87" t="s">
        <v>29</v>
      </c>
      <c r="EJ482" s="87" t="s">
        <v>30</v>
      </c>
      <c r="EK482" s="87" t="s">
        <v>29</v>
      </c>
      <c r="EL482" s="87" t="s">
        <v>30</v>
      </c>
      <c r="EM482" s="87" t="s">
        <v>29</v>
      </c>
      <c r="EN482" s="87" t="s">
        <v>30</v>
      </c>
      <c r="EO482" s="91" t="s">
        <v>29</v>
      </c>
      <c r="EP482" s="91" t="s">
        <v>30</v>
      </c>
      <c r="EQ482" s="87" t="s">
        <v>29</v>
      </c>
      <c r="ER482" s="87" t="s">
        <v>30</v>
      </c>
      <c r="ES482" s="87" t="s">
        <v>29</v>
      </c>
      <c r="ET482" s="87" t="s">
        <v>30</v>
      </c>
      <c r="EU482" s="87" t="s">
        <v>29</v>
      </c>
      <c r="EV482" s="87" t="s">
        <v>30</v>
      </c>
      <c r="EW482" s="87" t="s">
        <v>29</v>
      </c>
      <c r="EX482" s="87" t="s">
        <v>30</v>
      </c>
      <c r="EY482" s="87" t="s">
        <v>29</v>
      </c>
      <c r="EZ482" s="87" t="s">
        <v>30</v>
      </c>
      <c r="FA482" s="87" t="s">
        <v>29</v>
      </c>
      <c r="FB482" s="87" t="s">
        <v>30</v>
      </c>
      <c r="FC482" s="87" t="s">
        <v>29</v>
      </c>
      <c r="FD482" s="87" t="s">
        <v>30</v>
      </c>
      <c r="FE482" s="91" t="s">
        <v>29</v>
      </c>
      <c r="FF482" s="91" t="s">
        <v>30</v>
      </c>
      <c r="FG482" s="87" t="s">
        <v>29</v>
      </c>
      <c r="FH482" s="87" t="s">
        <v>30</v>
      </c>
      <c r="FI482" s="87" t="s">
        <v>29</v>
      </c>
      <c r="FJ482" s="87" t="s">
        <v>30</v>
      </c>
      <c r="FK482" s="87" t="s">
        <v>29</v>
      </c>
      <c r="FL482" s="87" t="s">
        <v>30</v>
      </c>
      <c r="FM482" s="87" t="s">
        <v>29</v>
      </c>
      <c r="FN482" s="87" t="s">
        <v>30</v>
      </c>
      <c r="FO482" s="87" t="s">
        <v>29</v>
      </c>
      <c r="FP482" s="87" t="s">
        <v>30</v>
      </c>
      <c r="FQ482" s="87" t="s">
        <v>29</v>
      </c>
      <c r="FR482" s="87" t="s">
        <v>30</v>
      </c>
      <c r="FS482" s="87" t="s">
        <v>29</v>
      </c>
      <c r="FT482" s="87" t="s">
        <v>30</v>
      </c>
      <c r="FU482" s="91" t="s">
        <v>29</v>
      </c>
      <c r="FV482" s="91" t="s">
        <v>30</v>
      </c>
      <c r="FW482" s="87" t="s">
        <v>29</v>
      </c>
      <c r="FX482" s="87" t="s">
        <v>30</v>
      </c>
      <c r="FY482" s="87" t="s">
        <v>29</v>
      </c>
      <c r="FZ482" s="87" t="s">
        <v>30</v>
      </c>
      <c r="GA482" s="87" t="s">
        <v>29</v>
      </c>
      <c r="GB482" s="87" t="s">
        <v>30</v>
      </c>
      <c r="GC482" s="87" t="s">
        <v>29</v>
      </c>
      <c r="GD482" s="87" t="s">
        <v>30</v>
      </c>
      <c r="GE482" s="87" t="s">
        <v>29</v>
      </c>
      <c r="GF482" s="87" t="s">
        <v>30</v>
      </c>
      <c r="GG482" s="87" t="s">
        <v>29</v>
      </c>
      <c r="GH482" s="87" t="s">
        <v>30</v>
      </c>
      <c r="GI482" s="87" t="s">
        <v>29</v>
      </c>
      <c r="GJ482" s="87" t="s">
        <v>30</v>
      </c>
      <c r="GK482" s="91" t="s">
        <v>29</v>
      </c>
      <c r="GL482" s="91" t="s">
        <v>30</v>
      </c>
      <c r="GM482" s="87" t="s">
        <v>29</v>
      </c>
      <c r="GN482" s="87" t="s">
        <v>30</v>
      </c>
      <c r="GO482" s="87" t="s">
        <v>29</v>
      </c>
      <c r="GP482" s="87" t="s">
        <v>30</v>
      </c>
      <c r="GQ482" s="87" t="s">
        <v>29</v>
      </c>
      <c r="GR482" s="87" t="s">
        <v>30</v>
      </c>
      <c r="GS482" s="87" t="s">
        <v>29</v>
      </c>
      <c r="GT482" s="87" t="s">
        <v>30</v>
      </c>
      <c r="GU482" s="87" t="s">
        <v>29</v>
      </c>
      <c r="GV482" s="87" t="s">
        <v>30</v>
      </c>
      <c r="GW482" s="87" t="s">
        <v>29</v>
      </c>
      <c r="GX482" s="87" t="s">
        <v>30</v>
      </c>
      <c r="GY482" s="87" t="s">
        <v>29</v>
      </c>
      <c r="GZ482" s="87" t="s">
        <v>30</v>
      </c>
      <c r="HA482" s="91" t="s">
        <v>29</v>
      </c>
      <c r="HB482" s="91" t="s">
        <v>30</v>
      </c>
      <c r="HC482" s="87" t="s">
        <v>29</v>
      </c>
      <c r="HD482" s="87" t="s">
        <v>30</v>
      </c>
      <c r="HE482" s="87" t="s">
        <v>29</v>
      </c>
      <c r="HF482" s="87" t="s">
        <v>30</v>
      </c>
      <c r="HG482" s="87" t="s">
        <v>29</v>
      </c>
      <c r="HH482" s="87" t="s">
        <v>30</v>
      </c>
      <c r="HI482" s="87" t="s">
        <v>29</v>
      </c>
      <c r="HJ482" s="87" t="s">
        <v>30</v>
      </c>
      <c r="HK482" s="87" t="s">
        <v>29</v>
      </c>
      <c r="HL482" s="87" t="s">
        <v>30</v>
      </c>
      <c r="HM482" s="87" t="s">
        <v>29</v>
      </c>
      <c r="HN482" s="87" t="s">
        <v>30</v>
      </c>
      <c r="HO482" s="87" t="s">
        <v>29</v>
      </c>
      <c r="HP482" s="87" t="s">
        <v>30</v>
      </c>
      <c r="HQ482" s="91" t="s">
        <v>29</v>
      </c>
      <c r="HR482" s="91" t="s">
        <v>30</v>
      </c>
      <c r="HS482" s="87" t="s">
        <v>29</v>
      </c>
      <c r="HT482" s="87" t="s">
        <v>30</v>
      </c>
      <c r="HU482" s="87" t="s">
        <v>29</v>
      </c>
      <c r="HV482" s="87" t="s">
        <v>30</v>
      </c>
      <c r="HW482" s="87" t="s">
        <v>29</v>
      </c>
      <c r="HX482" s="87" t="s">
        <v>30</v>
      </c>
      <c r="HY482" s="87" t="s">
        <v>29</v>
      </c>
      <c r="HZ482" s="87" t="s">
        <v>30</v>
      </c>
      <c r="IA482" s="87" t="s">
        <v>29</v>
      </c>
      <c r="IB482" s="87" t="s">
        <v>30</v>
      </c>
      <c r="IC482" s="87" t="s">
        <v>29</v>
      </c>
      <c r="ID482" s="87" t="s">
        <v>30</v>
      </c>
      <c r="IE482" s="87" t="s">
        <v>29</v>
      </c>
      <c r="IF482" s="87" t="s">
        <v>30</v>
      </c>
      <c r="IG482" s="91" t="s">
        <v>29</v>
      </c>
      <c r="IH482" s="91" t="s">
        <v>30</v>
      </c>
      <c r="II482" s="87" t="s">
        <v>29</v>
      </c>
      <c r="IJ482" s="87" t="s">
        <v>30</v>
      </c>
      <c r="IK482" s="87" t="s">
        <v>29</v>
      </c>
      <c r="IL482" s="87" t="s">
        <v>30</v>
      </c>
      <c r="IM482" s="87" t="s">
        <v>29</v>
      </c>
      <c r="IN482" s="87" t="s">
        <v>30</v>
      </c>
      <c r="IO482" s="87" t="s">
        <v>29</v>
      </c>
      <c r="IP482" s="87" t="s">
        <v>30</v>
      </c>
      <c r="IQ482" s="87" t="s">
        <v>29</v>
      </c>
      <c r="IR482" s="87" t="s">
        <v>30</v>
      </c>
      <c r="IS482" s="87" t="s">
        <v>29</v>
      </c>
      <c r="IT482" s="87" t="s">
        <v>30</v>
      </c>
      <c r="IU482" s="87" t="s">
        <v>29</v>
      </c>
      <c r="IV482" s="87" t="s">
        <v>30</v>
      </c>
      <c r="IW482" s="91" t="s">
        <v>29</v>
      </c>
      <c r="IX482" s="91" t="s">
        <v>30</v>
      </c>
      <c r="IY482" s="87" t="s">
        <v>29</v>
      </c>
      <c r="IZ482" s="87" t="s">
        <v>30</v>
      </c>
      <c r="JA482" s="87" t="s">
        <v>29</v>
      </c>
      <c r="JB482" s="87" t="s">
        <v>30</v>
      </c>
      <c r="JC482" s="87" t="s">
        <v>29</v>
      </c>
      <c r="JD482" s="87" t="s">
        <v>30</v>
      </c>
      <c r="JE482" s="87" t="s">
        <v>29</v>
      </c>
      <c r="JF482" s="87" t="s">
        <v>30</v>
      </c>
      <c r="JG482" s="87" t="s">
        <v>29</v>
      </c>
      <c r="JH482" s="87" t="s">
        <v>30</v>
      </c>
      <c r="JI482" s="87" t="s">
        <v>29</v>
      </c>
      <c r="JJ482" s="87" t="s">
        <v>30</v>
      </c>
      <c r="JK482" s="87" t="s">
        <v>29</v>
      </c>
      <c r="JL482" s="87" t="s">
        <v>30</v>
      </c>
      <c r="JM482" s="91" t="s">
        <v>29</v>
      </c>
      <c r="JN482" s="91" t="s">
        <v>30</v>
      </c>
      <c r="JO482" s="87" t="s">
        <v>29</v>
      </c>
      <c r="JP482" s="87" t="s">
        <v>30</v>
      </c>
      <c r="JQ482" s="87" t="s">
        <v>29</v>
      </c>
      <c r="JR482" s="87" t="s">
        <v>30</v>
      </c>
      <c r="JS482" s="87" t="s">
        <v>29</v>
      </c>
      <c r="JT482" s="87" t="s">
        <v>30</v>
      </c>
      <c r="JU482" s="87" t="s">
        <v>29</v>
      </c>
      <c r="JV482" s="87" t="s">
        <v>30</v>
      </c>
      <c r="JW482" s="87" t="s">
        <v>29</v>
      </c>
      <c r="JX482" s="87" t="s">
        <v>30</v>
      </c>
      <c r="JY482" s="87" t="s">
        <v>29</v>
      </c>
      <c r="JZ482" s="87" t="s">
        <v>30</v>
      </c>
      <c r="KA482" s="87" t="s">
        <v>29</v>
      </c>
      <c r="KB482" s="87" t="s">
        <v>30</v>
      </c>
      <c r="KC482" s="91" t="s">
        <v>29</v>
      </c>
      <c r="KD482" s="91" t="s">
        <v>30</v>
      </c>
      <c r="KE482" s="87" t="s">
        <v>29</v>
      </c>
      <c r="KF482" s="87" t="s">
        <v>30</v>
      </c>
      <c r="KG482" s="87" t="s">
        <v>29</v>
      </c>
      <c r="KH482" s="87" t="s">
        <v>30</v>
      </c>
      <c r="KI482" s="87" t="s">
        <v>29</v>
      </c>
      <c r="KJ482" s="87" t="s">
        <v>30</v>
      </c>
      <c r="KK482" s="87" t="s">
        <v>29</v>
      </c>
      <c r="KL482" s="87" t="s">
        <v>30</v>
      </c>
      <c r="KM482" s="87" t="s">
        <v>29</v>
      </c>
      <c r="KN482" s="87" t="s">
        <v>30</v>
      </c>
      <c r="KO482" s="87" t="s">
        <v>29</v>
      </c>
      <c r="KP482" s="87" t="s">
        <v>30</v>
      </c>
      <c r="KQ482" s="87" t="s">
        <v>29</v>
      </c>
      <c r="KR482" s="87" t="s">
        <v>30</v>
      </c>
      <c r="KS482" s="91" t="s">
        <v>29</v>
      </c>
      <c r="KT482" s="91" t="s">
        <v>30</v>
      </c>
      <c r="KU482" s="87" t="s">
        <v>29</v>
      </c>
      <c r="KV482" s="87" t="s">
        <v>30</v>
      </c>
      <c r="KW482" s="87" t="s">
        <v>29</v>
      </c>
      <c r="KX482" s="87" t="s">
        <v>30</v>
      </c>
      <c r="KY482" s="87" t="s">
        <v>29</v>
      </c>
      <c r="KZ482" s="87" t="s">
        <v>30</v>
      </c>
      <c r="LA482" s="87" t="s">
        <v>29</v>
      </c>
      <c r="LB482" s="87" t="s">
        <v>30</v>
      </c>
      <c r="LC482" s="87" t="s">
        <v>29</v>
      </c>
      <c r="LD482" s="87" t="s">
        <v>30</v>
      </c>
      <c r="LE482" s="87" t="s">
        <v>29</v>
      </c>
      <c r="LF482" s="87" t="s">
        <v>30</v>
      </c>
      <c r="LG482" s="87" t="s">
        <v>29</v>
      </c>
      <c r="LH482" s="87" t="s">
        <v>30</v>
      </c>
      <c r="LI482" s="91" t="s">
        <v>29</v>
      </c>
      <c r="LJ482" s="91" t="s">
        <v>30</v>
      </c>
      <c r="LK482" s="87" t="s">
        <v>29</v>
      </c>
      <c r="LL482" s="87" t="s">
        <v>30</v>
      </c>
      <c r="LM482" s="87" t="s">
        <v>29</v>
      </c>
      <c r="LN482" s="87" t="s">
        <v>30</v>
      </c>
      <c r="LO482" s="87" t="s">
        <v>29</v>
      </c>
      <c r="LP482" s="87" t="s">
        <v>30</v>
      </c>
      <c r="LQ482" s="87" t="s">
        <v>29</v>
      </c>
      <c r="LR482" s="87" t="s">
        <v>30</v>
      </c>
      <c r="LS482" s="87" t="s">
        <v>29</v>
      </c>
      <c r="LT482" s="87" t="s">
        <v>30</v>
      </c>
      <c r="LU482" s="87" t="s">
        <v>29</v>
      </c>
      <c r="LV482" s="87" t="s">
        <v>30</v>
      </c>
      <c r="LW482" s="87" t="s">
        <v>29</v>
      </c>
      <c r="LX482" s="87" t="s">
        <v>30</v>
      </c>
      <c r="LY482" s="91" t="s">
        <v>29</v>
      </c>
      <c r="LZ482" s="91" t="s">
        <v>30</v>
      </c>
      <c r="MA482" s="87" t="s">
        <v>29</v>
      </c>
      <c r="MB482" s="87" t="s">
        <v>30</v>
      </c>
      <c r="MC482" s="87" t="s">
        <v>29</v>
      </c>
      <c r="MD482" s="87" t="s">
        <v>30</v>
      </c>
      <c r="ME482" s="87" t="s">
        <v>29</v>
      </c>
      <c r="MF482" s="87" t="s">
        <v>30</v>
      </c>
      <c r="MG482" s="87" t="s">
        <v>29</v>
      </c>
      <c r="MH482" s="87" t="s">
        <v>30</v>
      </c>
      <c r="MI482" s="87" t="s">
        <v>29</v>
      </c>
      <c r="MJ482" s="87" t="s">
        <v>30</v>
      </c>
      <c r="MK482" s="87" t="s">
        <v>29</v>
      </c>
      <c r="ML482" s="87" t="s">
        <v>30</v>
      </c>
      <c r="MM482" s="87" t="s">
        <v>29</v>
      </c>
      <c r="MN482" s="87" t="s">
        <v>30</v>
      </c>
      <c r="MO482" s="91" t="s">
        <v>29</v>
      </c>
      <c r="MP482" s="91" t="s">
        <v>30</v>
      </c>
      <c r="MQ482" s="87" t="s">
        <v>29</v>
      </c>
      <c r="MR482" s="87" t="s">
        <v>30</v>
      </c>
      <c r="MS482" s="87" t="s">
        <v>29</v>
      </c>
      <c r="MT482" s="87" t="s">
        <v>30</v>
      </c>
      <c r="MU482" s="87" t="s">
        <v>29</v>
      </c>
      <c r="MV482" s="87" t="s">
        <v>30</v>
      </c>
      <c r="MW482" s="87" t="s">
        <v>29</v>
      </c>
      <c r="MX482" s="87" t="s">
        <v>30</v>
      </c>
      <c r="MY482" s="87" t="s">
        <v>29</v>
      </c>
      <c r="MZ482" s="87" t="s">
        <v>30</v>
      </c>
      <c r="NA482" s="87" t="s">
        <v>29</v>
      </c>
      <c r="NB482" s="87" t="s">
        <v>30</v>
      </c>
      <c r="NC482" s="87" t="s">
        <v>29</v>
      </c>
      <c r="ND482" s="87" t="s">
        <v>30</v>
      </c>
      <c r="NE482" s="91" t="s">
        <v>29</v>
      </c>
      <c r="NF482" s="91" t="s">
        <v>30</v>
      </c>
      <c r="NG482" s="87" t="s">
        <v>29</v>
      </c>
      <c r="NH482" s="87" t="s">
        <v>30</v>
      </c>
      <c r="NI482" s="87" t="s">
        <v>29</v>
      </c>
      <c r="NJ482" s="87" t="s">
        <v>30</v>
      </c>
      <c r="NK482" s="87" t="s">
        <v>29</v>
      </c>
      <c r="NL482" s="87" t="s">
        <v>30</v>
      </c>
      <c r="NM482" s="87" t="s">
        <v>29</v>
      </c>
      <c r="NN482" s="87" t="s">
        <v>30</v>
      </c>
      <c r="NO482" s="87" t="s">
        <v>29</v>
      </c>
      <c r="NP482" s="87" t="s">
        <v>30</v>
      </c>
      <c r="NQ482" s="87" t="s">
        <v>29</v>
      </c>
      <c r="NR482" s="87" t="s">
        <v>30</v>
      </c>
      <c r="NS482" s="87" t="s">
        <v>29</v>
      </c>
      <c r="NT482" s="87" t="s">
        <v>30</v>
      </c>
      <c r="NU482" s="91" t="s">
        <v>29</v>
      </c>
      <c r="NV482" s="91" t="s">
        <v>30</v>
      </c>
      <c r="NW482" s="87" t="s">
        <v>29</v>
      </c>
      <c r="NX482" s="87" t="s">
        <v>30</v>
      </c>
      <c r="NY482" s="87" t="s">
        <v>29</v>
      </c>
      <c r="NZ482" s="87" t="s">
        <v>30</v>
      </c>
      <c r="OA482" s="87" t="s">
        <v>29</v>
      </c>
      <c r="OB482" s="87" t="s">
        <v>30</v>
      </c>
      <c r="OC482" s="87" t="s">
        <v>29</v>
      </c>
      <c r="OD482" s="87" t="s">
        <v>30</v>
      </c>
      <c r="OE482" s="87" t="s">
        <v>29</v>
      </c>
      <c r="OF482" s="87" t="s">
        <v>30</v>
      </c>
      <c r="OG482" s="87" t="s">
        <v>29</v>
      </c>
      <c r="OH482" s="87" t="s">
        <v>30</v>
      </c>
      <c r="OI482" s="87" t="s">
        <v>29</v>
      </c>
      <c r="OJ482" s="87" t="s">
        <v>30</v>
      </c>
      <c r="OK482" s="91" t="s">
        <v>29</v>
      </c>
      <c r="OL482" s="91" t="s">
        <v>30</v>
      </c>
      <c r="OM482" s="87" t="s">
        <v>29</v>
      </c>
      <c r="ON482" s="87" t="s">
        <v>30</v>
      </c>
      <c r="OO482" s="87" t="s">
        <v>29</v>
      </c>
      <c r="OP482" s="87" t="s">
        <v>30</v>
      </c>
      <c r="OQ482" s="87" t="s">
        <v>29</v>
      </c>
      <c r="OR482" s="87" t="s">
        <v>30</v>
      </c>
      <c r="OS482" s="87" t="s">
        <v>29</v>
      </c>
      <c r="OT482" s="87" t="s">
        <v>30</v>
      </c>
      <c r="OU482" s="87" t="s">
        <v>29</v>
      </c>
      <c r="OV482" s="87" t="s">
        <v>30</v>
      </c>
      <c r="OW482" s="87" t="s">
        <v>29</v>
      </c>
      <c r="OX482" s="87" t="s">
        <v>30</v>
      </c>
      <c r="OY482" s="87" t="s">
        <v>29</v>
      </c>
      <c r="OZ482" s="87" t="s">
        <v>30</v>
      </c>
      <c r="PA482" s="91" t="s">
        <v>29</v>
      </c>
      <c r="PB482" s="91" t="s">
        <v>30</v>
      </c>
      <c r="PC482" s="87" t="s">
        <v>29</v>
      </c>
      <c r="PD482" s="87" t="s">
        <v>30</v>
      </c>
      <c r="PE482" s="87" t="s">
        <v>29</v>
      </c>
      <c r="PF482" s="87" t="s">
        <v>30</v>
      </c>
      <c r="PG482" s="87" t="s">
        <v>29</v>
      </c>
      <c r="PH482" s="87" t="s">
        <v>30</v>
      </c>
      <c r="PI482" s="87" t="s">
        <v>29</v>
      </c>
      <c r="PJ482" s="87" t="s">
        <v>30</v>
      </c>
      <c r="PK482" s="87" t="s">
        <v>29</v>
      </c>
      <c r="PL482" s="87" t="s">
        <v>30</v>
      </c>
      <c r="PM482" s="87" t="s">
        <v>29</v>
      </c>
      <c r="PN482" s="87" t="s">
        <v>30</v>
      </c>
      <c r="PO482" s="87" t="s">
        <v>29</v>
      </c>
      <c r="PP482" s="87" t="s">
        <v>30</v>
      </c>
      <c r="PQ482" s="91" t="s">
        <v>29</v>
      </c>
      <c r="PR482" s="91" t="s">
        <v>30</v>
      </c>
      <c r="PS482" s="87" t="s">
        <v>29</v>
      </c>
      <c r="PT482" s="87" t="s">
        <v>30</v>
      </c>
      <c r="PU482" s="87" t="s">
        <v>29</v>
      </c>
      <c r="PV482" s="87" t="s">
        <v>30</v>
      </c>
      <c r="PW482" s="87" t="s">
        <v>29</v>
      </c>
      <c r="PX482" s="87" t="s">
        <v>30</v>
      </c>
      <c r="PY482" s="87" t="s">
        <v>29</v>
      </c>
      <c r="PZ482" s="87" t="s">
        <v>30</v>
      </c>
      <c r="QA482" s="87" t="s">
        <v>29</v>
      </c>
      <c r="QB482" s="87" t="s">
        <v>30</v>
      </c>
      <c r="QC482" s="87" t="s">
        <v>29</v>
      </c>
      <c r="QD482" s="87" t="s">
        <v>30</v>
      </c>
      <c r="QE482" s="87" t="s">
        <v>29</v>
      </c>
      <c r="QF482" s="87" t="s">
        <v>30</v>
      </c>
      <c r="QG482" s="91" t="s">
        <v>29</v>
      </c>
      <c r="QH482" s="91" t="s">
        <v>30</v>
      </c>
      <c r="QI482" s="87" t="s">
        <v>29</v>
      </c>
      <c r="QJ482" s="87" t="s">
        <v>30</v>
      </c>
      <c r="QK482" s="87" t="s">
        <v>29</v>
      </c>
      <c r="QL482" s="87" t="s">
        <v>30</v>
      </c>
      <c r="QM482" s="87" t="s">
        <v>29</v>
      </c>
      <c r="QN482" s="87" t="s">
        <v>30</v>
      </c>
      <c r="QO482" s="87" t="s">
        <v>29</v>
      </c>
      <c r="QP482" s="87" t="s">
        <v>30</v>
      </c>
      <c r="QQ482" s="87" t="s">
        <v>29</v>
      </c>
      <c r="QR482" s="87" t="s">
        <v>30</v>
      </c>
      <c r="QS482" s="87" t="s">
        <v>29</v>
      </c>
      <c r="QT482" s="87" t="s">
        <v>30</v>
      </c>
      <c r="QU482" s="87" t="s">
        <v>29</v>
      </c>
      <c r="QV482" s="87" t="s">
        <v>30</v>
      </c>
      <c r="QW482" s="91" t="s">
        <v>29</v>
      </c>
      <c r="QX482" s="91" t="s">
        <v>30</v>
      </c>
      <c r="QY482" s="87" t="s">
        <v>29</v>
      </c>
      <c r="QZ482" s="87" t="s">
        <v>30</v>
      </c>
      <c r="RA482" s="87" t="s">
        <v>29</v>
      </c>
      <c r="RB482" s="87" t="s">
        <v>30</v>
      </c>
      <c r="RC482" s="87" t="s">
        <v>29</v>
      </c>
      <c r="RD482" s="87" t="s">
        <v>30</v>
      </c>
      <c r="RE482" s="87" t="s">
        <v>29</v>
      </c>
      <c r="RF482" s="87" t="s">
        <v>30</v>
      </c>
      <c r="RG482" s="87" t="s">
        <v>29</v>
      </c>
      <c r="RH482" s="87" t="s">
        <v>30</v>
      </c>
      <c r="RI482" s="87" t="s">
        <v>29</v>
      </c>
      <c r="RJ482" s="87" t="s">
        <v>30</v>
      </c>
      <c r="RK482" s="87" t="s">
        <v>29</v>
      </c>
      <c r="RL482" s="87" t="s">
        <v>30</v>
      </c>
      <c r="RM482" s="91" t="s">
        <v>29</v>
      </c>
      <c r="RN482" s="91" t="s">
        <v>30</v>
      </c>
      <c r="RO482" s="87" t="s">
        <v>29</v>
      </c>
      <c r="RP482" s="87" t="s">
        <v>30</v>
      </c>
      <c r="RQ482" s="87" t="s">
        <v>29</v>
      </c>
      <c r="RR482" s="87" t="s">
        <v>30</v>
      </c>
      <c r="RS482" s="87" t="s">
        <v>29</v>
      </c>
      <c r="RT482" s="87" t="s">
        <v>30</v>
      </c>
      <c r="RU482" s="87" t="s">
        <v>29</v>
      </c>
      <c r="RV482" s="87" t="s">
        <v>30</v>
      </c>
      <c r="RW482" s="87" t="s">
        <v>29</v>
      </c>
      <c r="RX482" s="87" t="s">
        <v>30</v>
      </c>
      <c r="RY482" s="87" t="s">
        <v>29</v>
      </c>
      <c r="RZ482" s="87" t="s">
        <v>30</v>
      </c>
      <c r="SA482" s="87" t="s">
        <v>29</v>
      </c>
      <c r="SB482" s="87" t="s">
        <v>30</v>
      </c>
      <c r="SC482" s="91" t="s">
        <v>29</v>
      </c>
      <c r="SD482" s="91" t="s">
        <v>30</v>
      </c>
      <c r="SE482" s="87" t="s">
        <v>29</v>
      </c>
      <c r="SF482" s="87" t="s">
        <v>30</v>
      </c>
      <c r="SG482" s="87" t="s">
        <v>29</v>
      </c>
      <c r="SH482" s="87" t="s">
        <v>30</v>
      </c>
      <c r="SI482" s="87" t="s">
        <v>29</v>
      </c>
      <c r="SJ482" s="87" t="s">
        <v>30</v>
      </c>
      <c r="SK482" s="87" t="s">
        <v>29</v>
      </c>
      <c r="SL482" s="87" t="s">
        <v>30</v>
      </c>
      <c r="SM482" s="87" t="s">
        <v>29</v>
      </c>
      <c r="SN482" s="87" t="s">
        <v>30</v>
      </c>
      <c r="SO482" s="87" t="s">
        <v>29</v>
      </c>
      <c r="SP482" s="87" t="s">
        <v>30</v>
      </c>
      <c r="SQ482" s="87" t="s">
        <v>29</v>
      </c>
      <c r="SR482" s="87" t="s">
        <v>30</v>
      </c>
      <c r="SS482" s="91" t="s">
        <v>29</v>
      </c>
      <c r="ST482" s="91" t="s">
        <v>30</v>
      </c>
      <c r="SU482" s="87" t="s">
        <v>29</v>
      </c>
      <c r="SV482" s="87" t="s">
        <v>30</v>
      </c>
      <c r="SW482" s="87" t="s">
        <v>29</v>
      </c>
      <c r="SX482" s="87" t="s">
        <v>30</v>
      </c>
      <c r="SY482" s="87" t="s">
        <v>29</v>
      </c>
      <c r="SZ482" s="87" t="s">
        <v>30</v>
      </c>
      <c r="TA482" s="87" t="s">
        <v>29</v>
      </c>
      <c r="TB482" s="87" t="s">
        <v>30</v>
      </c>
      <c r="TC482" s="87" t="s">
        <v>29</v>
      </c>
      <c r="TD482" s="87" t="s">
        <v>30</v>
      </c>
      <c r="TE482" s="87" t="s">
        <v>29</v>
      </c>
      <c r="TF482" s="87" t="s">
        <v>30</v>
      </c>
      <c r="TG482" s="87" t="s">
        <v>29</v>
      </c>
      <c r="TH482" s="87" t="s">
        <v>30</v>
      </c>
      <c r="TI482" s="91" t="s">
        <v>29</v>
      </c>
      <c r="TJ482" s="91" t="s">
        <v>30</v>
      </c>
      <c r="TK482" s="87" t="s">
        <v>29</v>
      </c>
      <c r="TL482" s="87" t="s">
        <v>30</v>
      </c>
      <c r="TM482" s="87" t="s">
        <v>29</v>
      </c>
      <c r="TN482" s="87" t="s">
        <v>30</v>
      </c>
      <c r="TO482" s="87" t="s">
        <v>29</v>
      </c>
      <c r="TP482" s="87" t="s">
        <v>30</v>
      </c>
      <c r="TQ482" s="87" t="s">
        <v>29</v>
      </c>
      <c r="TR482" s="87" t="s">
        <v>30</v>
      </c>
      <c r="TS482" s="87" t="s">
        <v>29</v>
      </c>
      <c r="TT482" s="87" t="s">
        <v>30</v>
      </c>
      <c r="TU482" s="87" t="s">
        <v>29</v>
      </c>
      <c r="TV482" s="87" t="s">
        <v>30</v>
      </c>
      <c r="TW482" s="87" t="s">
        <v>29</v>
      </c>
      <c r="TX482" s="87" t="s">
        <v>30</v>
      </c>
      <c r="TY482" s="91" t="s">
        <v>29</v>
      </c>
      <c r="TZ482" s="91" t="s">
        <v>30</v>
      </c>
      <c r="UA482" s="87" t="s">
        <v>29</v>
      </c>
      <c r="UB482" s="87" t="s">
        <v>30</v>
      </c>
      <c r="UC482" s="87" t="s">
        <v>29</v>
      </c>
      <c r="UD482" s="87" t="s">
        <v>30</v>
      </c>
      <c r="UE482" s="87" t="s">
        <v>29</v>
      </c>
      <c r="UF482" s="87" t="s">
        <v>30</v>
      </c>
      <c r="UG482" s="87" t="s">
        <v>29</v>
      </c>
      <c r="UH482" s="87" t="s">
        <v>30</v>
      </c>
      <c r="UI482" s="87" t="s">
        <v>29</v>
      </c>
      <c r="UJ482" s="87" t="s">
        <v>30</v>
      </c>
      <c r="UK482" s="87" t="s">
        <v>29</v>
      </c>
      <c r="UL482" s="87" t="s">
        <v>30</v>
      </c>
      <c r="UM482" s="87" t="s">
        <v>29</v>
      </c>
      <c r="UN482" s="87" t="s">
        <v>30</v>
      </c>
      <c r="UO482" s="91" t="s">
        <v>29</v>
      </c>
      <c r="UP482" s="91" t="s">
        <v>30</v>
      </c>
      <c r="UQ482" s="87" t="s">
        <v>29</v>
      </c>
      <c r="UR482" s="87" t="s">
        <v>30</v>
      </c>
      <c r="US482" s="87" t="s">
        <v>29</v>
      </c>
      <c r="UT482" s="87" t="s">
        <v>30</v>
      </c>
      <c r="UU482" s="87" t="s">
        <v>29</v>
      </c>
      <c r="UV482" s="87" t="s">
        <v>30</v>
      </c>
      <c r="UW482" s="87" t="s">
        <v>29</v>
      </c>
      <c r="UX482" s="87" t="s">
        <v>30</v>
      </c>
      <c r="UY482" s="87" t="s">
        <v>29</v>
      </c>
      <c r="UZ482" s="87" t="s">
        <v>30</v>
      </c>
      <c r="VA482" s="87" t="s">
        <v>29</v>
      </c>
      <c r="VB482" s="87" t="s">
        <v>30</v>
      </c>
      <c r="VC482" s="87" t="s">
        <v>29</v>
      </c>
      <c r="VD482" s="87" t="s">
        <v>30</v>
      </c>
      <c r="VE482" s="91" t="s">
        <v>29</v>
      </c>
      <c r="VF482" s="91" t="s">
        <v>30</v>
      </c>
      <c r="VG482" s="87" t="s">
        <v>29</v>
      </c>
      <c r="VH482" s="87" t="s">
        <v>30</v>
      </c>
      <c r="VI482" s="87" t="s">
        <v>29</v>
      </c>
      <c r="VJ482" s="87" t="s">
        <v>30</v>
      </c>
      <c r="VK482" s="87" t="s">
        <v>29</v>
      </c>
      <c r="VL482" s="87" t="s">
        <v>30</v>
      </c>
      <c r="VM482" s="87" t="s">
        <v>29</v>
      </c>
      <c r="VN482" s="87" t="s">
        <v>30</v>
      </c>
      <c r="VO482" s="87" t="s">
        <v>29</v>
      </c>
      <c r="VP482" s="87" t="s">
        <v>30</v>
      </c>
      <c r="VQ482" s="87" t="s">
        <v>29</v>
      </c>
      <c r="VR482" s="87" t="s">
        <v>30</v>
      </c>
      <c r="VS482" s="87" t="s">
        <v>29</v>
      </c>
      <c r="VT482" s="87" t="s">
        <v>30</v>
      </c>
      <c r="VU482" s="91" t="s">
        <v>29</v>
      </c>
      <c r="VV482" s="91" t="s">
        <v>30</v>
      </c>
      <c r="VW482" s="87" t="s">
        <v>29</v>
      </c>
      <c r="VX482" s="87" t="s">
        <v>30</v>
      </c>
      <c r="VY482" s="87" t="s">
        <v>29</v>
      </c>
      <c r="VZ482" s="87" t="s">
        <v>30</v>
      </c>
      <c r="WA482" s="87" t="s">
        <v>29</v>
      </c>
      <c r="WB482" s="87" t="s">
        <v>30</v>
      </c>
      <c r="WC482" s="87" t="s">
        <v>29</v>
      </c>
      <c r="WD482" s="87" t="s">
        <v>30</v>
      </c>
      <c r="WE482" s="87" t="s">
        <v>29</v>
      </c>
      <c r="WF482" s="87" t="s">
        <v>30</v>
      </c>
      <c r="WG482" s="87" t="s">
        <v>29</v>
      </c>
      <c r="WH482" s="87" t="s">
        <v>30</v>
      </c>
      <c r="WI482" s="87" t="s">
        <v>29</v>
      </c>
      <c r="WJ482" s="87" t="s">
        <v>30</v>
      </c>
      <c r="WK482" s="91" t="s">
        <v>29</v>
      </c>
      <c r="WL482" s="91" t="s">
        <v>30</v>
      </c>
      <c r="WM482" s="89"/>
      <c r="WN482" s="87" t="s">
        <v>29</v>
      </c>
      <c r="WO482" s="87" t="s">
        <v>30</v>
      </c>
      <c r="WP482" s="87" t="s">
        <v>29</v>
      </c>
      <c r="WQ482" s="87" t="s">
        <v>30</v>
      </c>
      <c r="WR482" s="87" t="s">
        <v>29</v>
      </c>
      <c r="WS482" s="87" t="s">
        <v>30</v>
      </c>
      <c r="WT482" s="87" t="s">
        <v>29</v>
      </c>
      <c r="WU482" s="87" t="s">
        <v>30</v>
      </c>
      <c r="WV482" s="87" t="s">
        <v>29</v>
      </c>
      <c r="WW482" s="87" t="s">
        <v>30</v>
      </c>
      <c r="WX482" s="87" t="s">
        <v>29</v>
      </c>
      <c r="WY482" s="87" t="s">
        <v>30</v>
      </c>
      <c r="WZ482" s="87" t="s">
        <v>29</v>
      </c>
      <c r="XA482" s="87" t="s">
        <v>30</v>
      </c>
      <c r="XB482" s="91" t="s">
        <v>29</v>
      </c>
      <c r="XC482" s="91" t="s">
        <v>30</v>
      </c>
      <c r="XD482" s="89"/>
      <c r="XE482" s="87"/>
      <c r="XF482" s="87"/>
      <c r="XG482" s="89"/>
      <c r="XH482" s="87"/>
      <c r="XI482" s="87"/>
      <c r="XJ482" s="89"/>
      <c r="XK482" s="87" t="s">
        <v>29</v>
      </c>
      <c r="XL482" s="87" t="s">
        <v>29</v>
      </c>
      <c r="XM482" s="87" t="s">
        <v>29</v>
      </c>
      <c r="XN482" s="87" t="s">
        <v>29</v>
      </c>
      <c r="XO482" s="87" t="s">
        <v>29</v>
      </c>
      <c r="XP482" s="87" t="s">
        <v>29</v>
      </c>
      <c r="XQ482" s="87" t="s">
        <v>29</v>
      </c>
      <c r="XR482" s="91" t="s">
        <v>29</v>
      </c>
      <c r="XS482" s="89"/>
      <c r="XT482" s="87" t="s">
        <v>29</v>
      </c>
      <c r="XU482" s="87" t="s">
        <v>29</v>
      </c>
      <c r="XV482" s="87" t="s">
        <v>29</v>
      </c>
      <c r="XW482" s="87" t="s">
        <v>29</v>
      </c>
      <c r="XX482" s="87" t="s">
        <v>29</v>
      </c>
      <c r="XY482" s="87" t="s">
        <v>29</v>
      </c>
      <c r="XZ482" s="87" t="s">
        <v>29</v>
      </c>
      <c r="YA482" s="91" t="s">
        <v>29</v>
      </c>
      <c r="YB482" s="87"/>
      <c r="YC482" s="87"/>
      <c r="YD482" s="87"/>
      <c r="YE482" s="87"/>
      <c r="YF482" s="87"/>
      <c r="YG482" s="87"/>
      <c r="YH482" s="87"/>
      <c r="YI482" s="87"/>
      <c r="YJ482" s="87"/>
      <c r="YK482" s="87"/>
      <c r="YL482" s="87"/>
      <c r="YM482" s="87"/>
      <c r="YN482" s="87"/>
      <c r="YO482" s="87"/>
      <c r="YP482" s="87"/>
      <c r="YQ482" s="87"/>
      <c r="YR482" s="87"/>
      <c r="YS482" s="87"/>
      <c r="YT482" s="87"/>
      <c r="YU482" s="87"/>
      <c r="YV482" s="87"/>
      <c r="YW482" s="87"/>
      <c r="YX482" s="87"/>
      <c r="YY482" s="87"/>
      <c r="YZ482" s="87"/>
      <c r="ZA482" s="87"/>
      <c r="ZB482" s="87"/>
      <c r="ZC482" s="87"/>
      <c r="ZD482" s="87"/>
      <c r="ZE482" s="87"/>
      <c r="ZF482" s="87"/>
      <c r="ZG482" s="87"/>
      <c r="ZH482" s="87"/>
      <c r="ZI482" s="87"/>
      <c r="ZJ482" s="87"/>
      <c r="ZK482" s="87"/>
      <c r="ZL482" s="87"/>
      <c r="ZM482" s="87"/>
      <c r="ZN482" s="87"/>
      <c r="ZO482" s="87"/>
      <c r="ZP482" s="87"/>
      <c r="ZQ482" s="87"/>
      <c r="ZR482" s="87"/>
      <c r="ZS482" s="87"/>
      <c r="ZT482" s="87"/>
      <c r="ZU482" s="87"/>
      <c r="ZV482" s="87"/>
      <c r="ZW482" s="87"/>
      <c r="ZX482" s="87"/>
      <c r="ZY482" s="87"/>
      <c r="ZZ482" s="87"/>
      <c r="AAA482" s="87"/>
      <c r="AAB482" s="87"/>
      <c r="AAC482" s="87"/>
      <c r="AAD482" s="87"/>
      <c r="AAE482" s="87"/>
      <c r="AAF482" s="87"/>
      <c r="AAG482" s="87"/>
      <c r="AAH482" s="87"/>
      <c r="AAI482" s="87"/>
      <c r="AAJ482" s="87"/>
      <c r="AAK482" s="87"/>
      <c r="AAL482" s="87"/>
      <c r="AAM482" s="87"/>
      <c r="AAN482" s="87"/>
      <c r="AAO482" s="87"/>
      <c r="AAP482" s="87"/>
      <c r="AAQ482" s="87"/>
      <c r="AAR482" s="87"/>
      <c r="AAS482" s="87"/>
      <c r="AAT482" s="87"/>
      <c r="AAU482" s="87"/>
      <c r="AAV482" s="87"/>
      <c r="AAW482" s="87"/>
      <c r="AAX482" s="87"/>
      <c r="AAY482" s="87"/>
      <c r="AAZ482" s="87"/>
      <c r="ABA482" s="87"/>
      <c r="ABB482" s="87"/>
      <c r="ABC482" s="87"/>
      <c r="ABD482" s="87"/>
      <c r="ABE482" s="87"/>
      <c r="ABF482" s="87"/>
      <c r="ABG482" s="87"/>
      <c r="ABH482" s="87"/>
      <c r="ABI482" s="87"/>
      <c r="ABJ482" s="87"/>
      <c r="ABK482" s="87"/>
      <c r="ABL482" s="87"/>
      <c r="ABM482" s="87"/>
      <c r="ABN482" s="87"/>
      <c r="ABO482" s="87"/>
      <c r="ABP482" s="87"/>
      <c r="ABQ482" s="87"/>
      <c r="ABR482" s="87"/>
      <c r="ABS482" s="87"/>
      <c r="ABT482" s="87"/>
      <c r="ABU482" s="87"/>
      <c r="ABV482" s="87"/>
      <c r="ABW482" s="87"/>
      <c r="ABX482" s="87"/>
      <c r="ABY482" s="87"/>
      <c r="ABZ482" s="87"/>
      <c r="ACA482" s="87"/>
      <c r="ACB482" s="87"/>
      <c r="ACC482" s="87"/>
      <c r="ACD482" s="87"/>
      <c r="ACE482" s="87"/>
      <c r="ACF482" s="87"/>
      <c r="ACG482" s="87"/>
      <c r="ACH482" s="87"/>
      <c r="ACI482" s="87"/>
      <c r="ACJ482" s="87"/>
      <c r="ACK482" s="87"/>
      <c r="ACL482" s="87"/>
      <c r="ACM482" s="87"/>
      <c r="ACN482" s="87"/>
      <c r="ACO482" s="87"/>
      <c r="ACP482" s="87"/>
      <c r="ACQ482" s="87"/>
      <c r="ACR482" s="87"/>
      <c r="ACS482" s="87"/>
      <c r="ACT482" s="87"/>
      <c r="ACU482" s="87"/>
      <c r="ACV482" s="87"/>
      <c r="ACW482" s="87"/>
      <c r="ACX482" s="87"/>
      <c r="ACY482" s="87"/>
      <c r="ACZ482" s="87"/>
      <c r="ADA482" s="87"/>
      <c r="ADB482" s="87"/>
      <c r="ADC482" s="87"/>
      <c r="ADD482" s="87"/>
      <c r="ADE482" s="87"/>
      <c r="ADF482" s="87"/>
      <c r="ADG482" s="87"/>
      <c r="ADH482" s="87"/>
      <c r="ADI482" s="87"/>
      <c r="ADJ482" s="87"/>
      <c r="ADK482" s="87"/>
      <c r="ADL482" s="87"/>
      <c r="ADM482" s="87"/>
      <c r="ADN482" s="87"/>
      <c r="ADO482" s="87"/>
      <c r="ADP482" s="87"/>
      <c r="ADQ482" s="87"/>
      <c r="ADR482" s="87"/>
      <c r="ADS482" s="87"/>
      <c r="ADT482" s="87"/>
      <c r="ADU482" s="87"/>
      <c r="ADV482" s="87"/>
      <c r="ADW482" s="87"/>
      <c r="ADX482" s="87"/>
      <c r="ADY482" s="87"/>
      <c r="ADZ482" s="87"/>
      <c r="AEA482" s="87"/>
      <c r="AEB482" s="87"/>
      <c r="AEC482" s="87"/>
      <c r="AED482" s="87"/>
      <c r="AEE482" s="87"/>
      <c r="AEF482" s="87"/>
      <c r="AEG482" s="87"/>
      <c r="AEH482" s="87"/>
      <c r="AEI482" s="87"/>
      <c r="AEJ482" s="87"/>
      <c r="AEK482" s="87"/>
      <c r="AEL482" s="87"/>
      <c r="AEM482" s="87"/>
      <c r="AEN482" s="87"/>
      <c r="AEO482" s="87"/>
      <c r="AEP482" s="87"/>
      <c r="AEQ482" s="87"/>
      <c r="AER482" s="87"/>
      <c r="AES482" s="87"/>
      <c r="AET482" s="87"/>
      <c r="AEU482" s="87"/>
      <c r="AEV482" s="87"/>
      <c r="AEW482" s="87"/>
      <c r="AEX482" s="87"/>
      <c r="AEY482" s="87"/>
      <c r="AEZ482" s="87"/>
      <c r="AFA482" s="87"/>
      <c r="AFB482" s="87"/>
      <c r="AFC482" s="87"/>
      <c r="AFD482" s="87"/>
      <c r="AFE482" s="87"/>
      <c r="AFF482" s="87"/>
      <c r="AFG482" s="87"/>
      <c r="AFH482" s="87"/>
      <c r="AFI482" s="87"/>
      <c r="AFJ482" s="87"/>
      <c r="AFK482" s="87"/>
      <c r="AFL482" s="87"/>
      <c r="AFM482" s="87"/>
      <c r="AFN482" s="87"/>
      <c r="AFO482" s="87"/>
      <c r="AFP482" s="87"/>
      <c r="AFQ482" s="87"/>
      <c r="AFR482" s="87"/>
      <c r="AFS482" s="87"/>
      <c r="AFT482" s="87"/>
      <c r="AFU482" s="87"/>
      <c r="AFV482" s="87"/>
      <c r="AFW482" s="87"/>
      <c r="AFX482" s="87"/>
      <c r="AFY482" s="87"/>
      <c r="AFZ482" s="87"/>
      <c r="AGA482" s="87"/>
      <c r="AGB482" s="87"/>
      <c r="AGC482" s="87"/>
      <c r="AGD482" s="87"/>
      <c r="AGE482" s="87"/>
      <c r="AGF482" s="87"/>
      <c r="AGG482" s="87"/>
      <c r="AGH482" s="87"/>
      <c r="AGI482" s="87"/>
      <c r="AGJ482" s="87"/>
      <c r="AGK482" s="87"/>
      <c r="AGL482" s="87"/>
      <c r="AGM482" s="87"/>
      <c r="AGN482" s="87"/>
      <c r="AGO482" s="87"/>
      <c r="AGP482" s="87"/>
      <c r="AGQ482" s="87"/>
      <c r="AGR482" s="87"/>
      <c r="AGS482" s="87"/>
      <c r="AGT482" s="87"/>
      <c r="AGU482" s="87"/>
      <c r="AGV482" s="87"/>
      <c r="AGW482" s="87"/>
      <c r="AGX482" s="87"/>
      <c r="AGY482" s="87"/>
      <c r="AGZ482" s="87"/>
      <c r="AHA482" s="87"/>
      <c r="AHB482" s="87"/>
      <c r="AHC482" s="87"/>
      <c r="AHD482" s="87"/>
      <c r="AHE482" s="87"/>
      <c r="AHF482" s="87"/>
      <c r="AHG482" s="87"/>
      <c r="AHH482" s="87"/>
      <c r="AHI482" s="87"/>
      <c r="AHJ482" s="87"/>
      <c r="AHK482" s="87"/>
      <c r="AHL482" s="87"/>
      <c r="AHM482" s="87"/>
      <c r="AHN482" s="87"/>
      <c r="AHO482" s="87"/>
      <c r="AHP482" s="87"/>
      <c r="AHQ482" s="87"/>
      <c r="AHR482" s="87"/>
      <c r="AHS482" s="87"/>
      <c r="AHT482" s="87"/>
      <c r="AHU482" s="87"/>
      <c r="AHV482" s="87"/>
      <c r="AHW482" s="87"/>
      <c r="AHX482" s="87"/>
      <c r="AHY482" s="87"/>
      <c r="AHZ482" s="87"/>
      <c r="AIA482" s="87"/>
      <c r="AIB482" s="87"/>
      <c r="AIC482" s="87"/>
      <c r="AID482" s="87"/>
      <c r="AIE482" s="87"/>
      <c r="AIF482" s="87"/>
      <c r="AIG482" s="87"/>
      <c r="AIH482" s="87"/>
      <c r="AII482" s="87"/>
      <c r="AIJ482" s="87"/>
      <c r="AIK482" s="87"/>
      <c r="AIL482" s="87"/>
      <c r="AIM482" s="87"/>
      <c r="AIN482" s="87"/>
      <c r="AIO482" s="87"/>
      <c r="AIP482" s="87"/>
      <c r="AIQ482" s="87"/>
      <c r="AIR482" s="87"/>
      <c r="AIS482" s="87"/>
      <c r="AIT482" s="87"/>
      <c r="AIU482" s="87"/>
      <c r="AIV482" s="87"/>
      <c r="AIW482" s="87"/>
      <c r="AIX482" s="87"/>
      <c r="AIY482" s="87"/>
      <c r="AIZ482" s="87"/>
      <c r="AJA482" s="87"/>
      <c r="AJB482" s="87"/>
      <c r="AJC482" s="87"/>
      <c r="AJD482" s="87"/>
      <c r="AJE482" s="87"/>
      <c r="AJF482" s="87"/>
      <c r="AJG482" s="87"/>
      <c r="AJH482" s="87"/>
      <c r="AJI482" s="87"/>
      <c r="AJJ482" s="87"/>
      <c r="AJK482" s="87"/>
      <c r="AJL482" s="87"/>
      <c r="AJM482" s="87"/>
      <c r="AJN482" s="87"/>
      <c r="AJO482" s="87"/>
      <c r="AJP482" s="87"/>
      <c r="AJQ482" s="87"/>
      <c r="AJR482" s="87"/>
      <c r="AJS482" s="87"/>
      <c r="AJT482" s="87"/>
      <c r="AJU482" s="87"/>
      <c r="AJV482" s="87"/>
      <c r="AJW482" s="87"/>
      <c r="AJX482" s="87"/>
      <c r="AJY482" s="87"/>
      <c r="AJZ482" s="87"/>
      <c r="AKA482" s="87"/>
      <c r="AKB482" s="87"/>
      <c r="AKC482" s="87"/>
      <c r="AKD482" s="87"/>
      <c r="AKE482" s="87"/>
      <c r="AKF482" s="87"/>
      <c r="AKG482" s="87"/>
      <c r="AKH482" s="87"/>
      <c r="AKI482" s="87"/>
      <c r="AKJ482" s="87"/>
      <c r="AKK482" s="87"/>
      <c r="AKL482" s="87"/>
      <c r="AKM482" s="87"/>
      <c r="AKN482" s="87"/>
      <c r="AKO482" s="87"/>
      <c r="AKP482" s="87"/>
      <c r="AKQ482" s="87"/>
      <c r="AKR482" s="87"/>
      <c r="AKS482" s="87"/>
      <c r="AKT482" s="87"/>
      <c r="AKU482" s="87"/>
      <c r="AKV482" s="87"/>
      <c r="AKW482" s="87"/>
      <c r="AKX482" s="87"/>
      <c r="AKY482" s="87"/>
      <c r="AKZ482" s="87"/>
      <c r="ALA482" s="87"/>
      <c r="ALB482" s="87"/>
      <c r="ALC482" s="87"/>
      <c r="ALD482" s="87"/>
      <c r="ALE482" s="87"/>
      <c r="ALF482" s="87"/>
      <c r="ALG482" s="87"/>
      <c r="ALH482" s="87"/>
      <c r="ALI482" s="87"/>
      <c r="ALJ482" s="87"/>
      <c r="ALK482" s="87"/>
      <c r="ALL482" s="87"/>
      <c r="ALM482" s="87"/>
      <c r="ALN482" s="87"/>
      <c r="ALO482" s="87"/>
      <c r="ALP482" s="87"/>
      <c r="ALQ482" s="87"/>
      <c r="ALR482" s="87"/>
      <c r="ALS482" s="87"/>
      <c r="ALT482" s="87"/>
      <c r="ALU482" s="87"/>
      <c r="ALV482" s="87"/>
      <c r="ALW482" s="87"/>
      <c r="ALX482" s="87"/>
      <c r="ALY482" s="87"/>
      <c r="ALZ482" s="87"/>
      <c r="AMA482" s="87"/>
      <c r="AMB482" s="87"/>
      <c r="AMC482" s="87"/>
    </row>
    <row r="483" spans="1:1017" ht="18.5">
      <c r="A483" s="90"/>
      <c r="B483" s="197" t="s">
        <v>104</v>
      </c>
      <c r="C483" s="87" t="s">
        <v>27</v>
      </c>
      <c r="D483" s="87" t="s">
        <v>28</v>
      </c>
      <c r="E483" s="87" t="s">
        <v>27</v>
      </c>
      <c r="F483" s="87" t="s">
        <v>28</v>
      </c>
      <c r="G483" s="87" t="s">
        <v>27</v>
      </c>
      <c r="H483" s="87" t="s">
        <v>28</v>
      </c>
      <c r="I483" s="87" t="s">
        <v>27</v>
      </c>
      <c r="J483" s="87" t="s">
        <v>28</v>
      </c>
      <c r="K483" s="87" t="s">
        <v>27</v>
      </c>
      <c r="L483" s="87" t="s">
        <v>28</v>
      </c>
      <c r="M483" s="87" t="s">
        <v>27</v>
      </c>
      <c r="N483" s="87" t="s">
        <v>28</v>
      </c>
      <c r="O483" s="87" t="s">
        <v>27</v>
      </c>
      <c r="P483" s="87" t="s">
        <v>28</v>
      </c>
      <c r="Q483" s="91"/>
      <c r="R483" s="91"/>
      <c r="S483" s="87" t="s">
        <v>27</v>
      </c>
      <c r="T483" s="87" t="s">
        <v>28</v>
      </c>
      <c r="U483" s="87" t="s">
        <v>27</v>
      </c>
      <c r="V483" s="87" t="s">
        <v>28</v>
      </c>
      <c r="W483" s="87" t="s">
        <v>27</v>
      </c>
      <c r="X483" s="87" t="s">
        <v>28</v>
      </c>
      <c r="Y483" s="87" t="s">
        <v>27</v>
      </c>
      <c r="Z483" s="87" t="s">
        <v>28</v>
      </c>
      <c r="AA483" s="87" t="s">
        <v>27</v>
      </c>
      <c r="AB483" s="87" t="s">
        <v>28</v>
      </c>
      <c r="AC483" s="87" t="s">
        <v>27</v>
      </c>
      <c r="AD483" s="87" t="s">
        <v>28</v>
      </c>
      <c r="AE483" s="87" t="s">
        <v>27</v>
      </c>
      <c r="AF483" s="87" t="s">
        <v>28</v>
      </c>
      <c r="AG483" s="92"/>
      <c r="AH483" s="92"/>
      <c r="AI483" s="87" t="s">
        <v>27</v>
      </c>
      <c r="AJ483" s="87" t="s">
        <v>28</v>
      </c>
      <c r="AK483" s="87" t="s">
        <v>27</v>
      </c>
      <c r="AL483" s="87" t="s">
        <v>28</v>
      </c>
      <c r="AM483" s="87" t="s">
        <v>27</v>
      </c>
      <c r="AN483" s="87" t="s">
        <v>28</v>
      </c>
      <c r="AO483" s="87" t="s">
        <v>27</v>
      </c>
      <c r="AP483" s="87" t="s">
        <v>28</v>
      </c>
      <c r="AQ483" s="87" t="s">
        <v>27</v>
      </c>
      <c r="AR483" s="87" t="s">
        <v>28</v>
      </c>
      <c r="AS483" s="87" t="s">
        <v>27</v>
      </c>
      <c r="AT483" s="87" t="s">
        <v>28</v>
      </c>
      <c r="AU483" s="87" t="s">
        <v>27</v>
      </c>
      <c r="AV483" s="87" t="s">
        <v>28</v>
      </c>
      <c r="AW483" s="92"/>
      <c r="AX483" s="92"/>
      <c r="AY483" s="87" t="s">
        <v>27</v>
      </c>
      <c r="AZ483" s="87" t="s">
        <v>28</v>
      </c>
      <c r="BA483" s="87" t="s">
        <v>27</v>
      </c>
      <c r="BB483" s="87" t="s">
        <v>28</v>
      </c>
      <c r="BC483" s="87" t="s">
        <v>27</v>
      </c>
      <c r="BD483" s="87" t="s">
        <v>28</v>
      </c>
      <c r="BE483" s="87" t="s">
        <v>27</v>
      </c>
      <c r="BF483" s="87" t="s">
        <v>28</v>
      </c>
      <c r="BG483" s="87" t="s">
        <v>27</v>
      </c>
      <c r="BH483" s="87" t="s">
        <v>28</v>
      </c>
      <c r="BI483" s="87" t="s">
        <v>27</v>
      </c>
      <c r="BJ483" s="87" t="s">
        <v>28</v>
      </c>
      <c r="BK483" s="87" t="s">
        <v>27</v>
      </c>
      <c r="BL483" s="87" t="s">
        <v>28</v>
      </c>
      <c r="BM483" s="92"/>
      <c r="BN483" s="92"/>
      <c r="BO483" s="87" t="s">
        <v>27</v>
      </c>
      <c r="BP483" s="87" t="s">
        <v>28</v>
      </c>
      <c r="BQ483" s="87" t="s">
        <v>27</v>
      </c>
      <c r="BR483" s="87" t="s">
        <v>28</v>
      </c>
      <c r="BS483" s="87" t="s">
        <v>27</v>
      </c>
      <c r="BT483" s="87" t="s">
        <v>28</v>
      </c>
      <c r="BU483" s="87" t="s">
        <v>27</v>
      </c>
      <c r="BV483" s="87" t="s">
        <v>28</v>
      </c>
      <c r="BW483" s="87" t="s">
        <v>27</v>
      </c>
      <c r="BX483" s="87" t="s">
        <v>28</v>
      </c>
      <c r="BY483" s="87" t="s">
        <v>27</v>
      </c>
      <c r="BZ483" s="87" t="s">
        <v>28</v>
      </c>
      <c r="CA483" s="87" t="s">
        <v>27</v>
      </c>
      <c r="CB483" s="87" t="s">
        <v>28</v>
      </c>
      <c r="CC483" s="92"/>
      <c r="CD483" s="92"/>
      <c r="CE483" s="87" t="s">
        <v>27</v>
      </c>
      <c r="CF483" s="87" t="s">
        <v>28</v>
      </c>
      <c r="CG483" s="87" t="s">
        <v>27</v>
      </c>
      <c r="CH483" s="87" t="s">
        <v>28</v>
      </c>
      <c r="CI483" s="87" t="s">
        <v>27</v>
      </c>
      <c r="CJ483" s="87" t="s">
        <v>28</v>
      </c>
      <c r="CK483" s="87" t="s">
        <v>27</v>
      </c>
      <c r="CL483" s="87" t="s">
        <v>28</v>
      </c>
      <c r="CM483" s="87" t="s">
        <v>27</v>
      </c>
      <c r="CN483" s="87" t="s">
        <v>28</v>
      </c>
      <c r="CO483" s="87" t="s">
        <v>27</v>
      </c>
      <c r="CP483" s="87" t="s">
        <v>28</v>
      </c>
      <c r="CQ483" s="87" t="s">
        <v>27</v>
      </c>
      <c r="CR483" s="87" t="s">
        <v>28</v>
      </c>
      <c r="CS483" s="92"/>
      <c r="CT483" s="92"/>
      <c r="CU483" s="87" t="s">
        <v>27</v>
      </c>
      <c r="CV483" s="87" t="s">
        <v>28</v>
      </c>
      <c r="CW483" s="87" t="s">
        <v>27</v>
      </c>
      <c r="CX483" s="87" t="s">
        <v>28</v>
      </c>
      <c r="CY483" s="87" t="s">
        <v>27</v>
      </c>
      <c r="CZ483" s="87" t="s">
        <v>28</v>
      </c>
      <c r="DA483" s="87" t="s">
        <v>27</v>
      </c>
      <c r="DB483" s="87" t="s">
        <v>28</v>
      </c>
      <c r="DC483" s="87" t="s">
        <v>27</v>
      </c>
      <c r="DD483" s="87" t="s">
        <v>28</v>
      </c>
      <c r="DE483" s="87" t="s">
        <v>27</v>
      </c>
      <c r="DF483" s="87" t="s">
        <v>28</v>
      </c>
      <c r="DG483" s="87" t="s">
        <v>27</v>
      </c>
      <c r="DH483" s="87" t="s">
        <v>28</v>
      </c>
      <c r="DI483" s="92"/>
      <c r="DJ483" s="92"/>
      <c r="DK483" s="87" t="s">
        <v>27</v>
      </c>
      <c r="DL483" s="87" t="s">
        <v>28</v>
      </c>
      <c r="DM483" s="87" t="s">
        <v>27</v>
      </c>
      <c r="DN483" s="87" t="s">
        <v>28</v>
      </c>
      <c r="DO483" s="87" t="s">
        <v>27</v>
      </c>
      <c r="DP483" s="87" t="s">
        <v>28</v>
      </c>
      <c r="DQ483" s="87" t="s">
        <v>27</v>
      </c>
      <c r="DR483" s="87" t="s">
        <v>28</v>
      </c>
      <c r="DS483" s="87" t="s">
        <v>27</v>
      </c>
      <c r="DT483" s="87" t="s">
        <v>28</v>
      </c>
      <c r="DU483" s="87" t="s">
        <v>27</v>
      </c>
      <c r="DV483" s="87" t="s">
        <v>28</v>
      </c>
      <c r="DW483" s="87" t="s">
        <v>27</v>
      </c>
      <c r="DX483" s="87" t="s">
        <v>28</v>
      </c>
      <c r="DY483" s="92"/>
      <c r="DZ483" s="92"/>
      <c r="EA483" s="87" t="s">
        <v>27</v>
      </c>
      <c r="EB483" s="87" t="s">
        <v>28</v>
      </c>
      <c r="EC483" s="87" t="s">
        <v>27</v>
      </c>
      <c r="ED483" s="87" t="s">
        <v>28</v>
      </c>
      <c r="EE483" s="87" t="s">
        <v>27</v>
      </c>
      <c r="EF483" s="87" t="s">
        <v>28</v>
      </c>
      <c r="EG483" s="87" t="s">
        <v>27</v>
      </c>
      <c r="EH483" s="87" t="s">
        <v>28</v>
      </c>
      <c r="EI483" s="87" t="s">
        <v>27</v>
      </c>
      <c r="EJ483" s="87" t="s">
        <v>28</v>
      </c>
      <c r="EK483" s="87" t="s">
        <v>27</v>
      </c>
      <c r="EL483" s="87" t="s">
        <v>28</v>
      </c>
      <c r="EM483" s="87" t="s">
        <v>27</v>
      </c>
      <c r="EN483" s="87" t="s">
        <v>28</v>
      </c>
      <c r="EO483" s="92"/>
      <c r="EP483" s="92"/>
      <c r="EQ483" s="87" t="s">
        <v>27</v>
      </c>
      <c r="ER483" s="87" t="s">
        <v>28</v>
      </c>
      <c r="ES483" s="87" t="s">
        <v>27</v>
      </c>
      <c r="ET483" s="87" t="s">
        <v>28</v>
      </c>
      <c r="EU483" s="87" t="s">
        <v>27</v>
      </c>
      <c r="EV483" s="87" t="s">
        <v>28</v>
      </c>
      <c r="EW483" s="87" t="s">
        <v>27</v>
      </c>
      <c r="EX483" s="87" t="s">
        <v>28</v>
      </c>
      <c r="EY483" s="87" t="s">
        <v>27</v>
      </c>
      <c r="EZ483" s="87" t="s">
        <v>28</v>
      </c>
      <c r="FA483" s="87" t="s">
        <v>27</v>
      </c>
      <c r="FB483" s="87" t="s">
        <v>28</v>
      </c>
      <c r="FC483" s="87" t="s">
        <v>27</v>
      </c>
      <c r="FD483" s="87" t="s">
        <v>28</v>
      </c>
      <c r="FE483" s="92"/>
      <c r="FF483" s="92"/>
      <c r="FG483" s="87" t="s">
        <v>27</v>
      </c>
      <c r="FH483" s="87" t="s">
        <v>28</v>
      </c>
      <c r="FI483" s="87" t="s">
        <v>27</v>
      </c>
      <c r="FJ483" s="87" t="s">
        <v>28</v>
      </c>
      <c r="FK483" s="87" t="s">
        <v>27</v>
      </c>
      <c r="FL483" s="87" t="s">
        <v>28</v>
      </c>
      <c r="FM483" s="87" t="s">
        <v>27</v>
      </c>
      <c r="FN483" s="87" t="s">
        <v>28</v>
      </c>
      <c r="FO483" s="87" t="s">
        <v>27</v>
      </c>
      <c r="FP483" s="87" t="s">
        <v>28</v>
      </c>
      <c r="FQ483" s="87" t="s">
        <v>27</v>
      </c>
      <c r="FR483" s="87" t="s">
        <v>28</v>
      </c>
      <c r="FS483" s="87" t="s">
        <v>27</v>
      </c>
      <c r="FT483" s="87" t="s">
        <v>28</v>
      </c>
      <c r="FU483" s="92"/>
      <c r="FV483" s="92"/>
      <c r="FW483" s="87" t="s">
        <v>27</v>
      </c>
      <c r="FX483" s="87" t="s">
        <v>28</v>
      </c>
      <c r="FY483" s="87" t="s">
        <v>27</v>
      </c>
      <c r="FZ483" s="87" t="s">
        <v>28</v>
      </c>
      <c r="GA483" s="87" t="s">
        <v>27</v>
      </c>
      <c r="GB483" s="87" t="s">
        <v>28</v>
      </c>
      <c r="GC483" s="87" t="s">
        <v>27</v>
      </c>
      <c r="GD483" s="87" t="s">
        <v>28</v>
      </c>
      <c r="GE483" s="87" t="s">
        <v>27</v>
      </c>
      <c r="GF483" s="87" t="s">
        <v>28</v>
      </c>
      <c r="GG483" s="87" t="s">
        <v>27</v>
      </c>
      <c r="GH483" s="87" t="s">
        <v>28</v>
      </c>
      <c r="GI483" s="87" t="s">
        <v>27</v>
      </c>
      <c r="GJ483" s="87" t="s">
        <v>28</v>
      </c>
      <c r="GK483" s="92"/>
      <c r="GL483" s="92"/>
      <c r="GM483" s="87" t="s">
        <v>27</v>
      </c>
      <c r="GN483" s="87" t="s">
        <v>28</v>
      </c>
      <c r="GO483" s="87" t="s">
        <v>27</v>
      </c>
      <c r="GP483" s="87" t="s">
        <v>28</v>
      </c>
      <c r="GQ483" s="87" t="s">
        <v>27</v>
      </c>
      <c r="GR483" s="87" t="s">
        <v>28</v>
      </c>
      <c r="GS483" s="87" t="s">
        <v>27</v>
      </c>
      <c r="GT483" s="87" t="s">
        <v>28</v>
      </c>
      <c r="GU483" s="87" t="s">
        <v>27</v>
      </c>
      <c r="GV483" s="87" t="s">
        <v>28</v>
      </c>
      <c r="GW483" s="87" t="s">
        <v>27</v>
      </c>
      <c r="GX483" s="87" t="s">
        <v>28</v>
      </c>
      <c r="GY483" s="87" t="s">
        <v>27</v>
      </c>
      <c r="GZ483" s="87" t="s">
        <v>28</v>
      </c>
      <c r="HA483" s="92"/>
      <c r="HB483" s="92"/>
      <c r="HC483" s="87" t="s">
        <v>27</v>
      </c>
      <c r="HD483" s="87" t="s">
        <v>28</v>
      </c>
      <c r="HE483" s="87" t="s">
        <v>27</v>
      </c>
      <c r="HF483" s="87" t="s">
        <v>28</v>
      </c>
      <c r="HG483" s="87" t="s">
        <v>27</v>
      </c>
      <c r="HH483" s="87" t="s">
        <v>28</v>
      </c>
      <c r="HI483" s="87" t="s">
        <v>27</v>
      </c>
      <c r="HJ483" s="87" t="s">
        <v>28</v>
      </c>
      <c r="HK483" s="87" t="s">
        <v>27</v>
      </c>
      <c r="HL483" s="87" t="s">
        <v>28</v>
      </c>
      <c r="HM483" s="87" t="s">
        <v>27</v>
      </c>
      <c r="HN483" s="87" t="s">
        <v>28</v>
      </c>
      <c r="HO483" s="87" t="s">
        <v>27</v>
      </c>
      <c r="HP483" s="87" t="s">
        <v>28</v>
      </c>
      <c r="HQ483" s="92"/>
      <c r="HR483" s="92"/>
      <c r="HS483" s="87" t="s">
        <v>27</v>
      </c>
      <c r="HT483" s="87" t="s">
        <v>28</v>
      </c>
      <c r="HU483" s="87" t="s">
        <v>27</v>
      </c>
      <c r="HV483" s="87" t="s">
        <v>28</v>
      </c>
      <c r="HW483" s="87" t="s">
        <v>27</v>
      </c>
      <c r="HX483" s="87" t="s">
        <v>28</v>
      </c>
      <c r="HY483" s="87" t="s">
        <v>27</v>
      </c>
      <c r="HZ483" s="87" t="s">
        <v>28</v>
      </c>
      <c r="IA483" s="87" t="s">
        <v>27</v>
      </c>
      <c r="IB483" s="87" t="s">
        <v>28</v>
      </c>
      <c r="IC483" s="87" t="s">
        <v>27</v>
      </c>
      <c r="ID483" s="87" t="s">
        <v>28</v>
      </c>
      <c r="IE483" s="87" t="s">
        <v>27</v>
      </c>
      <c r="IF483" s="87" t="s">
        <v>28</v>
      </c>
      <c r="IG483" s="92"/>
      <c r="IH483" s="92"/>
      <c r="II483" s="87" t="s">
        <v>27</v>
      </c>
      <c r="IJ483" s="87" t="s">
        <v>28</v>
      </c>
      <c r="IK483" s="87" t="s">
        <v>27</v>
      </c>
      <c r="IL483" s="87" t="s">
        <v>28</v>
      </c>
      <c r="IM483" s="87" t="s">
        <v>27</v>
      </c>
      <c r="IN483" s="87" t="s">
        <v>28</v>
      </c>
      <c r="IO483" s="87" t="s">
        <v>27</v>
      </c>
      <c r="IP483" s="87" t="s">
        <v>28</v>
      </c>
      <c r="IQ483" s="87" t="s">
        <v>27</v>
      </c>
      <c r="IR483" s="87" t="s">
        <v>28</v>
      </c>
      <c r="IS483" s="87" t="s">
        <v>27</v>
      </c>
      <c r="IT483" s="87" t="s">
        <v>28</v>
      </c>
      <c r="IU483" s="87" t="s">
        <v>27</v>
      </c>
      <c r="IV483" s="87" t="s">
        <v>28</v>
      </c>
      <c r="IW483" s="92"/>
      <c r="IX483" s="92"/>
      <c r="IY483" s="87" t="s">
        <v>27</v>
      </c>
      <c r="IZ483" s="87" t="s">
        <v>28</v>
      </c>
      <c r="JA483" s="87" t="s">
        <v>27</v>
      </c>
      <c r="JB483" s="87" t="s">
        <v>28</v>
      </c>
      <c r="JC483" s="87" t="s">
        <v>27</v>
      </c>
      <c r="JD483" s="87" t="s">
        <v>28</v>
      </c>
      <c r="JE483" s="87" t="s">
        <v>27</v>
      </c>
      <c r="JF483" s="87" t="s">
        <v>28</v>
      </c>
      <c r="JG483" s="87" t="s">
        <v>27</v>
      </c>
      <c r="JH483" s="87" t="s">
        <v>28</v>
      </c>
      <c r="JI483" s="87" t="s">
        <v>27</v>
      </c>
      <c r="JJ483" s="87" t="s">
        <v>28</v>
      </c>
      <c r="JK483" s="87" t="s">
        <v>27</v>
      </c>
      <c r="JL483" s="87" t="s">
        <v>28</v>
      </c>
      <c r="JM483" s="92"/>
      <c r="JN483" s="92"/>
      <c r="JO483" s="87" t="s">
        <v>27</v>
      </c>
      <c r="JP483" s="87" t="s">
        <v>28</v>
      </c>
      <c r="JQ483" s="87" t="s">
        <v>27</v>
      </c>
      <c r="JR483" s="87" t="s">
        <v>28</v>
      </c>
      <c r="JS483" s="87" t="s">
        <v>27</v>
      </c>
      <c r="JT483" s="87" t="s">
        <v>28</v>
      </c>
      <c r="JU483" s="87" t="s">
        <v>27</v>
      </c>
      <c r="JV483" s="87" t="s">
        <v>28</v>
      </c>
      <c r="JW483" s="87" t="s">
        <v>27</v>
      </c>
      <c r="JX483" s="87" t="s">
        <v>28</v>
      </c>
      <c r="JY483" s="87" t="s">
        <v>27</v>
      </c>
      <c r="JZ483" s="87" t="s">
        <v>28</v>
      </c>
      <c r="KA483" s="87" t="s">
        <v>27</v>
      </c>
      <c r="KB483" s="87" t="s">
        <v>28</v>
      </c>
      <c r="KC483" s="92"/>
      <c r="KD483" s="92"/>
      <c r="KE483" s="87" t="s">
        <v>27</v>
      </c>
      <c r="KF483" s="87" t="s">
        <v>28</v>
      </c>
      <c r="KG483" s="87" t="s">
        <v>27</v>
      </c>
      <c r="KH483" s="87" t="s">
        <v>28</v>
      </c>
      <c r="KI483" s="87" t="s">
        <v>27</v>
      </c>
      <c r="KJ483" s="87" t="s">
        <v>28</v>
      </c>
      <c r="KK483" s="87" t="s">
        <v>27</v>
      </c>
      <c r="KL483" s="87" t="s">
        <v>28</v>
      </c>
      <c r="KM483" s="87" t="s">
        <v>27</v>
      </c>
      <c r="KN483" s="87" t="s">
        <v>28</v>
      </c>
      <c r="KO483" s="87" t="s">
        <v>27</v>
      </c>
      <c r="KP483" s="87" t="s">
        <v>28</v>
      </c>
      <c r="KQ483" s="87" t="s">
        <v>27</v>
      </c>
      <c r="KR483" s="87" t="s">
        <v>28</v>
      </c>
      <c r="KS483" s="92"/>
      <c r="KT483" s="92"/>
      <c r="KU483" s="87" t="s">
        <v>27</v>
      </c>
      <c r="KV483" s="87" t="s">
        <v>28</v>
      </c>
      <c r="KW483" s="87" t="s">
        <v>27</v>
      </c>
      <c r="KX483" s="87" t="s">
        <v>28</v>
      </c>
      <c r="KY483" s="87" t="s">
        <v>27</v>
      </c>
      <c r="KZ483" s="87" t="s">
        <v>28</v>
      </c>
      <c r="LA483" s="87" t="s">
        <v>27</v>
      </c>
      <c r="LB483" s="87" t="s">
        <v>28</v>
      </c>
      <c r="LC483" s="87" t="s">
        <v>27</v>
      </c>
      <c r="LD483" s="87" t="s">
        <v>28</v>
      </c>
      <c r="LE483" s="87" t="s">
        <v>27</v>
      </c>
      <c r="LF483" s="87" t="s">
        <v>28</v>
      </c>
      <c r="LG483" s="87" t="s">
        <v>27</v>
      </c>
      <c r="LH483" s="87" t="s">
        <v>28</v>
      </c>
      <c r="LI483" s="92"/>
      <c r="LJ483" s="92"/>
      <c r="LK483" s="87" t="s">
        <v>27</v>
      </c>
      <c r="LL483" s="87" t="s">
        <v>28</v>
      </c>
      <c r="LM483" s="87" t="s">
        <v>27</v>
      </c>
      <c r="LN483" s="87" t="s">
        <v>28</v>
      </c>
      <c r="LO483" s="87" t="s">
        <v>27</v>
      </c>
      <c r="LP483" s="87" t="s">
        <v>28</v>
      </c>
      <c r="LQ483" s="87" t="s">
        <v>27</v>
      </c>
      <c r="LR483" s="87" t="s">
        <v>28</v>
      </c>
      <c r="LS483" s="87" t="s">
        <v>27</v>
      </c>
      <c r="LT483" s="87" t="s">
        <v>28</v>
      </c>
      <c r="LU483" s="87" t="s">
        <v>27</v>
      </c>
      <c r="LV483" s="87" t="s">
        <v>28</v>
      </c>
      <c r="LW483" s="87" t="s">
        <v>27</v>
      </c>
      <c r="LX483" s="87" t="s">
        <v>28</v>
      </c>
      <c r="LY483" s="92"/>
      <c r="LZ483" s="92"/>
      <c r="MA483" s="87" t="s">
        <v>27</v>
      </c>
      <c r="MB483" s="87" t="s">
        <v>28</v>
      </c>
      <c r="MC483" s="87" t="s">
        <v>27</v>
      </c>
      <c r="MD483" s="87" t="s">
        <v>28</v>
      </c>
      <c r="ME483" s="87" t="s">
        <v>27</v>
      </c>
      <c r="MF483" s="87" t="s">
        <v>28</v>
      </c>
      <c r="MG483" s="87" t="s">
        <v>27</v>
      </c>
      <c r="MH483" s="87" t="s">
        <v>28</v>
      </c>
      <c r="MI483" s="87" t="s">
        <v>27</v>
      </c>
      <c r="MJ483" s="87" t="s">
        <v>28</v>
      </c>
      <c r="MK483" s="87" t="s">
        <v>27</v>
      </c>
      <c r="ML483" s="87" t="s">
        <v>28</v>
      </c>
      <c r="MM483" s="87" t="s">
        <v>27</v>
      </c>
      <c r="MN483" s="87" t="s">
        <v>28</v>
      </c>
      <c r="MO483" s="92"/>
      <c r="MP483" s="92"/>
      <c r="MQ483" s="87" t="s">
        <v>27</v>
      </c>
      <c r="MR483" s="87" t="s">
        <v>28</v>
      </c>
      <c r="MS483" s="87" t="s">
        <v>27</v>
      </c>
      <c r="MT483" s="87" t="s">
        <v>28</v>
      </c>
      <c r="MU483" s="87" t="s">
        <v>27</v>
      </c>
      <c r="MV483" s="87" t="s">
        <v>28</v>
      </c>
      <c r="MW483" s="87" t="s">
        <v>27</v>
      </c>
      <c r="MX483" s="87" t="s">
        <v>28</v>
      </c>
      <c r="MY483" s="87" t="s">
        <v>27</v>
      </c>
      <c r="MZ483" s="87" t="s">
        <v>28</v>
      </c>
      <c r="NA483" s="87" t="s">
        <v>27</v>
      </c>
      <c r="NB483" s="87" t="s">
        <v>28</v>
      </c>
      <c r="NC483" s="87" t="s">
        <v>27</v>
      </c>
      <c r="ND483" s="87" t="s">
        <v>28</v>
      </c>
      <c r="NE483" s="92"/>
      <c r="NF483" s="92"/>
      <c r="NG483" s="87" t="s">
        <v>27</v>
      </c>
      <c r="NH483" s="87" t="s">
        <v>28</v>
      </c>
      <c r="NI483" s="87" t="s">
        <v>27</v>
      </c>
      <c r="NJ483" s="87" t="s">
        <v>28</v>
      </c>
      <c r="NK483" s="87" t="s">
        <v>27</v>
      </c>
      <c r="NL483" s="87" t="s">
        <v>28</v>
      </c>
      <c r="NM483" s="87" t="s">
        <v>27</v>
      </c>
      <c r="NN483" s="87" t="s">
        <v>28</v>
      </c>
      <c r="NO483" s="87" t="s">
        <v>27</v>
      </c>
      <c r="NP483" s="87" t="s">
        <v>28</v>
      </c>
      <c r="NQ483" s="87" t="s">
        <v>27</v>
      </c>
      <c r="NR483" s="87" t="s">
        <v>28</v>
      </c>
      <c r="NS483" s="87" t="s">
        <v>27</v>
      </c>
      <c r="NT483" s="87" t="s">
        <v>28</v>
      </c>
      <c r="NU483" s="92"/>
      <c r="NV483" s="92"/>
      <c r="NW483" s="87" t="s">
        <v>27</v>
      </c>
      <c r="NX483" s="87" t="s">
        <v>28</v>
      </c>
      <c r="NY483" s="87" t="s">
        <v>27</v>
      </c>
      <c r="NZ483" s="87" t="s">
        <v>28</v>
      </c>
      <c r="OA483" s="87" t="s">
        <v>27</v>
      </c>
      <c r="OB483" s="87" t="s">
        <v>28</v>
      </c>
      <c r="OC483" s="87" t="s">
        <v>27</v>
      </c>
      <c r="OD483" s="87" t="s">
        <v>28</v>
      </c>
      <c r="OE483" s="87" t="s">
        <v>27</v>
      </c>
      <c r="OF483" s="87" t="s">
        <v>28</v>
      </c>
      <c r="OG483" s="87" t="s">
        <v>27</v>
      </c>
      <c r="OH483" s="87" t="s">
        <v>28</v>
      </c>
      <c r="OI483" s="87" t="s">
        <v>27</v>
      </c>
      <c r="OJ483" s="87" t="s">
        <v>28</v>
      </c>
      <c r="OK483" s="92"/>
      <c r="OL483" s="92"/>
      <c r="OM483" s="87" t="s">
        <v>27</v>
      </c>
      <c r="ON483" s="87" t="s">
        <v>28</v>
      </c>
      <c r="OO483" s="87" t="s">
        <v>27</v>
      </c>
      <c r="OP483" s="87" t="s">
        <v>28</v>
      </c>
      <c r="OQ483" s="87" t="s">
        <v>27</v>
      </c>
      <c r="OR483" s="87" t="s">
        <v>28</v>
      </c>
      <c r="OS483" s="87" t="s">
        <v>27</v>
      </c>
      <c r="OT483" s="87" t="s">
        <v>28</v>
      </c>
      <c r="OU483" s="87" t="s">
        <v>27</v>
      </c>
      <c r="OV483" s="87" t="s">
        <v>28</v>
      </c>
      <c r="OW483" s="87" t="s">
        <v>27</v>
      </c>
      <c r="OX483" s="87" t="s">
        <v>28</v>
      </c>
      <c r="OY483" s="87" t="s">
        <v>27</v>
      </c>
      <c r="OZ483" s="87" t="s">
        <v>28</v>
      </c>
      <c r="PA483" s="92"/>
      <c r="PB483" s="92"/>
      <c r="PC483" s="87" t="s">
        <v>27</v>
      </c>
      <c r="PD483" s="87" t="s">
        <v>28</v>
      </c>
      <c r="PE483" s="87" t="s">
        <v>27</v>
      </c>
      <c r="PF483" s="87" t="s">
        <v>28</v>
      </c>
      <c r="PG483" s="87" t="s">
        <v>27</v>
      </c>
      <c r="PH483" s="87" t="s">
        <v>28</v>
      </c>
      <c r="PI483" s="87" t="s">
        <v>27</v>
      </c>
      <c r="PJ483" s="87" t="s">
        <v>28</v>
      </c>
      <c r="PK483" s="87" t="s">
        <v>27</v>
      </c>
      <c r="PL483" s="87" t="s">
        <v>28</v>
      </c>
      <c r="PM483" s="87" t="s">
        <v>27</v>
      </c>
      <c r="PN483" s="87" t="s">
        <v>28</v>
      </c>
      <c r="PO483" s="87" t="s">
        <v>27</v>
      </c>
      <c r="PP483" s="87" t="s">
        <v>28</v>
      </c>
      <c r="PQ483" s="92"/>
      <c r="PR483" s="92"/>
      <c r="PS483" s="87" t="s">
        <v>27</v>
      </c>
      <c r="PT483" s="87" t="s">
        <v>28</v>
      </c>
      <c r="PU483" s="87" t="s">
        <v>27</v>
      </c>
      <c r="PV483" s="87" t="s">
        <v>28</v>
      </c>
      <c r="PW483" s="87" t="s">
        <v>27</v>
      </c>
      <c r="PX483" s="87" t="s">
        <v>28</v>
      </c>
      <c r="PY483" s="87" t="s">
        <v>27</v>
      </c>
      <c r="PZ483" s="87" t="s">
        <v>28</v>
      </c>
      <c r="QA483" s="87" t="s">
        <v>27</v>
      </c>
      <c r="QB483" s="87" t="s">
        <v>28</v>
      </c>
      <c r="QC483" s="87" t="s">
        <v>27</v>
      </c>
      <c r="QD483" s="87" t="s">
        <v>28</v>
      </c>
      <c r="QE483" s="87" t="s">
        <v>27</v>
      </c>
      <c r="QF483" s="87" t="s">
        <v>28</v>
      </c>
      <c r="QG483" s="92"/>
      <c r="QH483" s="92"/>
      <c r="QI483" s="87" t="s">
        <v>27</v>
      </c>
      <c r="QJ483" s="87" t="s">
        <v>28</v>
      </c>
      <c r="QK483" s="87" t="s">
        <v>27</v>
      </c>
      <c r="QL483" s="87" t="s">
        <v>28</v>
      </c>
      <c r="QM483" s="87" t="s">
        <v>27</v>
      </c>
      <c r="QN483" s="87" t="s">
        <v>28</v>
      </c>
      <c r="QO483" s="87" t="s">
        <v>27</v>
      </c>
      <c r="QP483" s="87" t="s">
        <v>28</v>
      </c>
      <c r="QQ483" s="87" t="s">
        <v>27</v>
      </c>
      <c r="QR483" s="87" t="s">
        <v>28</v>
      </c>
      <c r="QS483" s="87" t="s">
        <v>27</v>
      </c>
      <c r="QT483" s="87" t="s">
        <v>28</v>
      </c>
      <c r="QU483" s="87" t="s">
        <v>27</v>
      </c>
      <c r="QV483" s="87" t="s">
        <v>28</v>
      </c>
      <c r="QW483" s="92"/>
      <c r="QX483" s="92"/>
      <c r="QY483" s="87" t="s">
        <v>27</v>
      </c>
      <c r="QZ483" s="87" t="s">
        <v>28</v>
      </c>
      <c r="RA483" s="87" t="s">
        <v>27</v>
      </c>
      <c r="RB483" s="87" t="s">
        <v>28</v>
      </c>
      <c r="RC483" s="87" t="s">
        <v>27</v>
      </c>
      <c r="RD483" s="87" t="s">
        <v>28</v>
      </c>
      <c r="RE483" s="87" t="s">
        <v>27</v>
      </c>
      <c r="RF483" s="87" t="s">
        <v>28</v>
      </c>
      <c r="RG483" s="87" t="s">
        <v>27</v>
      </c>
      <c r="RH483" s="87" t="s">
        <v>28</v>
      </c>
      <c r="RI483" s="87" t="s">
        <v>27</v>
      </c>
      <c r="RJ483" s="87" t="s">
        <v>28</v>
      </c>
      <c r="RK483" s="87" t="s">
        <v>27</v>
      </c>
      <c r="RL483" s="87" t="s">
        <v>28</v>
      </c>
      <c r="RM483" s="92"/>
      <c r="RN483" s="92"/>
      <c r="RO483" s="87" t="s">
        <v>27</v>
      </c>
      <c r="RP483" s="87" t="s">
        <v>28</v>
      </c>
      <c r="RQ483" s="87" t="s">
        <v>27</v>
      </c>
      <c r="RR483" s="87" t="s">
        <v>28</v>
      </c>
      <c r="RS483" s="87" t="s">
        <v>27</v>
      </c>
      <c r="RT483" s="87" t="s">
        <v>28</v>
      </c>
      <c r="RU483" s="87" t="s">
        <v>27</v>
      </c>
      <c r="RV483" s="87" t="s">
        <v>28</v>
      </c>
      <c r="RW483" s="87" t="s">
        <v>27</v>
      </c>
      <c r="RX483" s="87" t="s">
        <v>28</v>
      </c>
      <c r="RY483" s="87" t="s">
        <v>27</v>
      </c>
      <c r="RZ483" s="87" t="s">
        <v>28</v>
      </c>
      <c r="SA483" s="87" t="s">
        <v>27</v>
      </c>
      <c r="SB483" s="87" t="s">
        <v>28</v>
      </c>
      <c r="SC483" s="92"/>
      <c r="SD483" s="92"/>
      <c r="SE483" s="87" t="s">
        <v>27</v>
      </c>
      <c r="SF483" s="87" t="s">
        <v>28</v>
      </c>
      <c r="SG483" s="87" t="s">
        <v>27</v>
      </c>
      <c r="SH483" s="87" t="s">
        <v>28</v>
      </c>
      <c r="SI483" s="87" t="s">
        <v>27</v>
      </c>
      <c r="SJ483" s="87" t="s">
        <v>28</v>
      </c>
      <c r="SK483" s="87" t="s">
        <v>27</v>
      </c>
      <c r="SL483" s="87" t="s">
        <v>28</v>
      </c>
      <c r="SM483" s="87" t="s">
        <v>27</v>
      </c>
      <c r="SN483" s="87" t="s">
        <v>28</v>
      </c>
      <c r="SO483" s="87" t="s">
        <v>27</v>
      </c>
      <c r="SP483" s="87" t="s">
        <v>28</v>
      </c>
      <c r="SQ483" s="87" t="s">
        <v>27</v>
      </c>
      <c r="SR483" s="87" t="s">
        <v>28</v>
      </c>
      <c r="SS483" s="92"/>
      <c r="ST483" s="92"/>
      <c r="SU483" s="87" t="s">
        <v>27</v>
      </c>
      <c r="SV483" s="87" t="s">
        <v>28</v>
      </c>
      <c r="SW483" s="87" t="s">
        <v>27</v>
      </c>
      <c r="SX483" s="87" t="s">
        <v>28</v>
      </c>
      <c r="SY483" s="87" t="s">
        <v>27</v>
      </c>
      <c r="SZ483" s="87" t="s">
        <v>28</v>
      </c>
      <c r="TA483" s="87" t="s">
        <v>27</v>
      </c>
      <c r="TB483" s="87" t="s">
        <v>28</v>
      </c>
      <c r="TC483" s="87" t="s">
        <v>27</v>
      </c>
      <c r="TD483" s="87" t="s">
        <v>28</v>
      </c>
      <c r="TE483" s="87" t="s">
        <v>27</v>
      </c>
      <c r="TF483" s="87" t="s">
        <v>28</v>
      </c>
      <c r="TG483" s="87" t="s">
        <v>27</v>
      </c>
      <c r="TH483" s="87" t="s">
        <v>28</v>
      </c>
      <c r="TI483" s="92"/>
      <c r="TJ483" s="92"/>
      <c r="TK483" s="87" t="s">
        <v>27</v>
      </c>
      <c r="TL483" s="87" t="s">
        <v>28</v>
      </c>
      <c r="TM483" s="87" t="s">
        <v>27</v>
      </c>
      <c r="TN483" s="87" t="s">
        <v>28</v>
      </c>
      <c r="TO483" s="87" t="s">
        <v>27</v>
      </c>
      <c r="TP483" s="87" t="s">
        <v>28</v>
      </c>
      <c r="TQ483" s="87" t="s">
        <v>27</v>
      </c>
      <c r="TR483" s="87" t="s">
        <v>28</v>
      </c>
      <c r="TS483" s="87" t="s">
        <v>27</v>
      </c>
      <c r="TT483" s="87" t="s">
        <v>28</v>
      </c>
      <c r="TU483" s="87" t="s">
        <v>27</v>
      </c>
      <c r="TV483" s="87" t="s">
        <v>28</v>
      </c>
      <c r="TW483" s="87" t="s">
        <v>27</v>
      </c>
      <c r="TX483" s="87" t="s">
        <v>28</v>
      </c>
      <c r="TY483" s="92"/>
      <c r="TZ483" s="92"/>
      <c r="UA483" s="87" t="s">
        <v>27</v>
      </c>
      <c r="UB483" s="87" t="s">
        <v>28</v>
      </c>
      <c r="UC483" s="87" t="s">
        <v>27</v>
      </c>
      <c r="UD483" s="87" t="s">
        <v>28</v>
      </c>
      <c r="UE483" s="87" t="s">
        <v>27</v>
      </c>
      <c r="UF483" s="87" t="s">
        <v>28</v>
      </c>
      <c r="UG483" s="87" t="s">
        <v>27</v>
      </c>
      <c r="UH483" s="87" t="s">
        <v>28</v>
      </c>
      <c r="UI483" s="87" t="s">
        <v>27</v>
      </c>
      <c r="UJ483" s="87" t="s">
        <v>28</v>
      </c>
      <c r="UK483" s="87" t="s">
        <v>27</v>
      </c>
      <c r="UL483" s="87" t="s">
        <v>28</v>
      </c>
      <c r="UM483" s="87" t="s">
        <v>27</v>
      </c>
      <c r="UN483" s="87" t="s">
        <v>28</v>
      </c>
      <c r="UO483" s="92"/>
      <c r="UP483" s="92"/>
      <c r="UQ483" s="87" t="s">
        <v>27</v>
      </c>
      <c r="UR483" s="87" t="s">
        <v>28</v>
      </c>
      <c r="US483" s="87" t="s">
        <v>27</v>
      </c>
      <c r="UT483" s="87" t="s">
        <v>28</v>
      </c>
      <c r="UU483" s="87" t="s">
        <v>27</v>
      </c>
      <c r="UV483" s="87" t="s">
        <v>28</v>
      </c>
      <c r="UW483" s="87" t="s">
        <v>27</v>
      </c>
      <c r="UX483" s="87" t="s">
        <v>28</v>
      </c>
      <c r="UY483" s="87" t="s">
        <v>27</v>
      </c>
      <c r="UZ483" s="87" t="s">
        <v>28</v>
      </c>
      <c r="VA483" s="87" t="s">
        <v>27</v>
      </c>
      <c r="VB483" s="87" t="s">
        <v>28</v>
      </c>
      <c r="VC483" s="87" t="s">
        <v>27</v>
      </c>
      <c r="VD483" s="87" t="s">
        <v>28</v>
      </c>
      <c r="VE483" s="92"/>
      <c r="VF483" s="92"/>
      <c r="VG483" s="87" t="s">
        <v>27</v>
      </c>
      <c r="VH483" s="87" t="s">
        <v>28</v>
      </c>
      <c r="VI483" s="87" t="s">
        <v>27</v>
      </c>
      <c r="VJ483" s="87" t="s">
        <v>28</v>
      </c>
      <c r="VK483" s="87" t="s">
        <v>27</v>
      </c>
      <c r="VL483" s="87" t="s">
        <v>28</v>
      </c>
      <c r="VM483" s="87" t="s">
        <v>27</v>
      </c>
      <c r="VN483" s="87" t="s">
        <v>28</v>
      </c>
      <c r="VO483" s="87" t="s">
        <v>27</v>
      </c>
      <c r="VP483" s="87" t="s">
        <v>28</v>
      </c>
      <c r="VQ483" s="87" t="s">
        <v>27</v>
      </c>
      <c r="VR483" s="87" t="s">
        <v>28</v>
      </c>
      <c r="VS483" s="87" t="s">
        <v>27</v>
      </c>
      <c r="VT483" s="87" t="s">
        <v>28</v>
      </c>
      <c r="VU483" s="92"/>
      <c r="VV483" s="92"/>
      <c r="VW483" s="87" t="s">
        <v>27</v>
      </c>
      <c r="VX483" s="87" t="s">
        <v>28</v>
      </c>
      <c r="VY483" s="87" t="s">
        <v>27</v>
      </c>
      <c r="VZ483" s="87" t="s">
        <v>28</v>
      </c>
      <c r="WA483" s="87" t="s">
        <v>27</v>
      </c>
      <c r="WB483" s="87" t="s">
        <v>28</v>
      </c>
      <c r="WC483" s="87" t="s">
        <v>27</v>
      </c>
      <c r="WD483" s="87" t="s">
        <v>28</v>
      </c>
      <c r="WE483" s="87" t="s">
        <v>27</v>
      </c>
      <c r="WF483" s="87" t="s">
        <v>28</v>
      </c>
      <c r="WG483" s="87" t="s">
        <v>27</v>
      </c>
      <c r="WH483" s="87" t="s">
        <v>28</v>
      </c>
      <c r="WI483" s="87" t="s">
        <v>27</v>
      </c>
      <c r="WJ483" s="87" t="s">
        <v>28</v>
      </c>
      <c r="WK483" s="92"/>
      <c r="WL483" s="92"/>
      <c r="WM483" s="89"/>
      <c r="WN483" s="87" t="s">
        <v>27</v>
      </c>
      <c r="WO483" s="87" t="s">
        <v>28</v>
      </c>
      <c r="WP483" s="87" t="s">
        <v>27</v>
      </c>
      <c r="WQ483" s="87" t="s">
        <v>28</v>
      </c>
      <c r="WR483" s="87" t="s">
        <v>27</v>
      </c>
      <c r="WS483" s="87" t="s">
        <v>28</v>
      </c>
      <c r="WT483" s="87" t="s">
        <v>27</v>
      </c>
      <c r="WU483" s="87" t="s">
        <v>28</v>
      </c>
      <c r="WV483" s="87" t="s">
        <v>27</v>
      </c>
      <c r="WW483" s="87" t="s">
        <v>28</v>
      </c>
      <c r="WX483" s="87" t="s">
        <v>27</v>
      </c>
      <c r="WY483" s="87" t="s">
        <v>28</v>
      </c>
      <c r="WZ483" s="87" t="s">
        <v>27</v>
      </c>
      <c r="XA483" s="87" t="s">
        <v>28</v>
      </c>
      <c r="XB483" s="91"/>
      <c r="XC483" s="91"/>
      <c r="XD483" s="89"/>
      <c r="XE483" s="87"/>
      <c r="XF483" s="87"/>
      <c r="XG483" s="89"/>
      <c r="XH483" s="87"/>
      <c r="XI483" s="87"/>
      <c r="XJ483" s="89"/>
      <c r="XK483" s="87" t="s">
        <v>27</v>
      </c>
      <c r="XL483" s="87" t="s">
        <v>27</v>
      </c>
      <c r="XM483" s="87" t="s">
        <v>27</v>
      </c>
      <c r="XN483" s="87" t="s">
        <v>27</v>
      </c>
      <c r="XO483" s="87" t="s">
        <v>27</v>
      </c>
      <c r="XP483" s="87" t="s">
        <v>27</v>
      </c>
      <c r="XQ483" s="87" t="s">
        <v>27</v>
      </c>
      <c r="XR483" s="91"/>
      <c r="XS483" s="89"/>
      <c r="XT483" s="87" t="s">
        <v>27</v>
      </c>
      <c r="XU483" s="87" t="s">
        <v>27</v>
      </c>
      <c r="XV483" s="87" t="s">
        <v>27</v>
      </c>
      <c r="XW483" s="87" t="s">
        <v>27</v>
      </c>
      <c r="XX483" s="87" t="s">
        <v>27</v>
      </c>
      <c r="XY483" s="87" t="s">
        <v>27</v>
      </c>
      <c r="XZ483" s="87" t="s">
        <v>27</v>
      </c>
      <c r="YA483" s="91"/>
      <c r="YB483" s="87"/>
      <c r="YC483" s="87"/>
      <c r="YD483" s="87"/>
      <c r="YE483" s="87"/>
      <c r="YF483" s="87"/>
      <c r="YG483" s="87"/>
      <c r="YH483" s="87"/>
      <c r="YI483" s="87"/>
      <c r="YJ483" s="87"/>
      <c r="YK483" s="87"/>
      <c r="YL483" s="87"/>
      <c r="YM483" s="87"/>
      <c r="YN483" s="87"/>
      <c r="YO483" s="87"/>
      <c r="YP483" s="87"/>
      <c r="YQ483" s="87"/>
      <c r="YR483" s="87"/>
      <c r="YS483" s="87"/>
      <c r="YT483" s="87"/>
      <c r="YU483" s="87"/>
      <c r="YV483" s="87"/>
      <c r="YW483" s="87"/>
      <c r="YX483" s="87"/>
      <c r="YY483" s="87"/>
      <c r="YZ483" s="87"/>
      <c r="ZA483" s="87"/>
      <c r="ZB483" s="87"/>
      <c r="ZC483" s="87"/>
      <c r="ZD483" s="87"/>
      <c r="ZE483" s="87"/>
      <c r="ZF483" s="87"/>
      <c r="ZG483" s="87"/>
      <c r="ZH483" s="87"/>
      <c r="ZI483" s="87"/>
      <c r="ZJ483" s="87"/>
      <c r="ZK483" s="87"/>
      <c r="ZL483" s="87"/>
      <c r="ZM483" s="87"/>
      <c r="ZN483" s="87"/>
      <c r="ZO483" s="87"/>
      <c r="ZP483" s="87"/>
      <c r="ZQ483" s="87"/>
      <c r="ZR483" s="87"/>
      <c r="ZS483" s="87"/>
      <c r="ZT483" s="87"/>
      <c r="ZU483" s="87"/>
      <c r="ZV483" s="87"/>
      <c r="ZW483" s="87"/>
      <c r="ZX483" s="87"/>
      <c r="ZY483" s="87"/>
      <c r="ZZ483" s="87"/>
      <c r="AAA483" s="87"/>
      <c r="AAB483" s="87"/>
      <c r="AAC483" s="87"/>
      <c r="AAD483" s="87"/>
      <c r="AAE483" s="87"/>
      <c r="AAF483" s="87"/>
      <c r="AAG483" s="87"/>
      <c r="AAH483" s="87"/>
      <c r="AAI483" s="87"/>
      <c r="AAJ483" s="87"/>
      <c r="AAK483" s="87"/>
      <c r="AAL483" s="87"/>
      <c r="AAM483" s="87"/>
      <c r="AAN483" s="87"/>
      <c r="AAO483" s="87"/>
      <c r="AAP483" s="87"/>
      <c r="AAQ483" s="87"/>
      <c r="AAR483" s="87"/>
      <c r="AAS483" s="87"/>
      <c r="AAT483" s="87"/>
      <c r="AAU483" s="87"/>
      <c r="AAV483" s="87"/>
      <c r="AAW483" s="87"/>
      <c r="AAX483" s="87"/>
      <c r="AAY483" s="87"/>
      <c r="AAZ483" s="87"/>
      <c r="ABA483" s="87"/>
      <c r="ABB483" s="87"/>
      <c r="ABC483" s="87"/>
      <c r="ABD483" s="87"/>
      <c r="ABE483" s="87"/>
      <c r="ABF483" s="87"/>
      <c r="ABG483" s="87"/>
      <c r="ABH483" s="87"/>
      <c r="ABI483" s="87"/>
      <c r="ABJ483" s="87"/>
      <c r="ABK483" s="87"/>
      <c r="ABL483" s="87"/>
      <c r="ABM483" s="87"/>
      <c r="ABN483" s="87"/>
      <c r="ABO483" s="87"/>
      <c r="ABP483" s="87"/>
      <c r="ABQ483" s="87"/>
      <c r="ABR483" s="87"/>
      <c r="ABS483" s="87"/>
      <c r="ABT483" s="87"/>
      <c r="ABU483" s="87"/>
      <c r="ABV483" s="87"/>
      <c r="ABW483" s="87"/>
      <c r="ABX483" s="87"/>
      <c r="ABY483" s="87"/>
      <c r="ABZ483" s="87"/>
      <c r="ACA483" s="87"/>
      <c r="ACB483" s="87"/>
      <c r="ACC483" s="87"/>
      <c r="ACD483" s="87"/>
      <c r="ACE483" s="87"/>
      <c r="ACF483" s="87"/>
      <c r="ACG483" s="87"/>
      <c r="ACH483" s="87"/>
      <c r="ACI483" s="87"/>
      <c r="ACJ483" s="87"/>
      <c r="ACK483" s="87"/>
      <c r="ACL483" s="87"/>
      <c r="ACM483" s="87"/>
      <c r="ACN483" s="87"/>
      <c r="ACO483" s="87"/>
      <c r="ACP483" s="87"/>
      <c r="ACQ483" s="87"/>
      <c r="ACR483" s="87"/>
      <c r="ACS483" s="87"/>
      <c r="ACT483" s="87"/>
      <c r="ACU483" s="87"/>
      <c r="ACV483" s="87"/>
      <c r="ACW483" s="87"/>
      <c r="ACX483" s="87"/>
      <c r="ACY483" s="87"/>
      <c r="ACZ483" s="87"/>
      <c r="ADA483" s="87"/>
      <c r="ADB483" s="87"/>
      <c r="ADC483" s="87"/>
      <c r="ADD483" s="87"/>
      <c r="ADE483" s="87"/>
      <c r="ADF483" s="87"/>
      <c r="ADG483" s="87"/>
      <c r="ADH483" s="87"/>
      <c r="ADI483" s="87"/>
      <c r="ADJ483" s="87"/>
      <c r="ADK483" s="87"/>
      <c r="ADL483" s="87"/>
      <c r="ADM483" s="87"/>
      <c r="ADN483" s="87"/>
      <c r="ADO483" s="87"/>
      <c r="ADP483" s="87"/>
      <c r="ADQ483" s="87"/>
      <c r="ADR483" s="87"/>
      <c r="ADS483" s="87"/>
      <c r="ADT483" s="87"/>
      <c r="ADU483" s="87"/>
      <c r="ADV483" s="87"/>
      <c r="ADW483" s="87"/>
      <c r="ADX483" s="87"/>
      <c r="ADY483" s="87"/>
      <c r="ADZ483" s="87"/>
      <c r="AEA483" s="87"/>
      <c r="AEB483" s="87"/>
      <c r="AEC483" s="87"/>
      <c r="AED483" s="87"/>
      <c r="AEE483" s="87"/>
      <c r="AEF483" s="87"/>
      <c r="AEG483" s="87"/>
      <c r="AEH483" s="87"/>
      <c r="AEI483" s="87"/>
      <c r="AEJ483" s="87"/>
      <c r="AEK483" s="87"/>
      <c r="AEL483" s="87"/>
      <c r="AEM483" s="87"/>
      <c r="AEN483" s="87"/>
      <c r="AEO483" s="87"/>
      <c r="AEP483" s="87"/>
      <c r="AEQ483" s="87"/>
      <c r="AER483" s="87"/>
      <c r="AES483" s="87"/>
      <c r="AET483" s="87"/>
      <c r="AEU483" s="87"/>
      <c r="AEV483" s="87"/>
      <c r="AEW483" s="87"/>
      <c r="AEX483" s="87"/>
      <c r="AEY483" s="87"/>
      <c r="AEZ483" s="87"/>
      <c r="AFA483" s="87"/>
      <c r="AFB483" s="87"/>
      <c r="AFC483" s="87"/>
      <c r="AFD483" s="87"/>
      <c r="AFE483" s="87"/>
      <c r="AFF483" s="87"/>
      <c r="AFG483" s="87"/>
      <c r="AFH483" s="87"/>
      <c r="AFI483" s="87"/>
      <c r="AFJ483" s="87"/>
      <c r="AFK483" s="87"/>
      <c r="AFL483" s="87"/>
      <c r="AFM483" s="87"/>
      <c r="AFN483" s="87"/>
      <c r="AFO483" s="87"/>
      <c r="AFP483" s="87"/>
      <c r="AFQ483" s="87"/>
      <c r="AFR483" s="87"/>
      <c r="AFS483" s="87"/>
      <c r="AFT483" s="87"/>
      <c r="AFU483" s="87"/>
      <c r="AFV483" s="87"/>
      <c r="AFW483" s="87"/>
      <c r="AFX483" s="87"/>
      <c r="AFY483" s="87"/>
      <c r="AFZ483" s="87"/>
      <c r="AGA483" s="87"/>
      <c r="AGB483" s="87"/>
      <c r="AGC483" s="87"/>
      <c r="AGD483" s="87"/>
      <c r="AGE483" s="87"/>
      <c r="AGF483" s="87"/>
      <c r="AGG483" s="87"/>
      <c r="AGH483" s="87"/>
      <c r="AGI483" s="87"/>
      <c r="AGJ483" s="87"/>
      <c r="AGK483" s="87"/>
      <c r="AGL483" s="87"/>
      <c r="AGM483" s="87"/>
      <c r="AGN483" s="87"/>
      <c r="AGO483" s="87"/>
      <c r="AGP483" s="87"/>
      <c r="AGQ483" s="87"/>
      <c r="AGR483" s="87"/>
      <c r="AGS483" s="87"/>
      <c r="AGT483" s="87"/>
      <c r="AGU483" s="87"/>
      <c r="AGV483" s="87"/>
      <c r="AGW483" s="87"/>
      <c r="AGX483" s="87"/>
      <c r="AGY483" s="87"/>
      <c r="AGZ483" s="87"/>
      <c r="AHA483" s="87"/>
      <c r="AHB483" s="87"/>
      <c r="AHC483" s="87"/>
      <c r="AHD483" s="87"/>
      <c r="AHE483" s="87"/>
      <c r="AHF483" s="87"/>
      <c r="AHG483" s="87"/>
      <c r="AHH483" s="87"/>
      <c r="AHI483" s="87"/>
      <c r="AHJ483" s="87"/>
      <c r="AHK483" s="87"/>
      <c r="AHL483" s="87"/>
      <c r="AHM483" s="87"/>
      <c r="AHN483" s="87"/>
      <c r="AHO483" s="87"/>
      <c r="AHP483" s="87"/>
      <c r="AHQ483" s="87"/>
      <c r="AHR483" s="87"/>
      <c r="AHS483" s="87"/>
      <c r="AHT483" s="87"/>
      <c r="AHU483" s="87"/>
      <c r="AHV483" s="87"/>
      <c r="AHW483" s="87"/>
      <c r="AHX483" s="87"/>
      <c r="AHY483" s="87"/>
      <c r="AHZ483" s="87"/>
      <c r="AIA483" s="87"/>
      <c r="AIB483" s="87"/>
      <c r="AIC483" s="87"/>
      <c r="AID483" s="87"/>
      <c r="AIE483" s="87"/>
      <c r="AIF483" s="87"/>
      <c r="AIG483" s="87"/>
      <c r="AIH483" s="87"/>
      <c r="AII483" s="87"/>
      <c r="AIJ483" s="87"/>
      <c r="AIK483" s="87"/>
      <c r="AIL483" s="87"/>
      <c r="AIM483" s="87"/>
      <c r="AIN483" s="87"/>
      <c r="AIO483" s="87"/>
      <c r="AIP483" s="87"/>
      <c r="AIQ483" s="87"/>
      <c r="AIR483" s="87"/>
      <c r="AIS483" s="87"/>
      <c r="AIT483" s="87"/>
      <c r="AIU483" s="87"/>
      <c r="AIV483" s="87"/>
      <c r="AIW483" s="87"/>
      <c r="AIX483" s="87"/>
      <c r="AIY483" s="87"/>
      <c r="AIZ483" s="87"/>
      <c r="AJA483" s="87"/>
      <c r="AJB483" s="87"/>
      <c r="AJC483" s="87"/>
      <c r="AJD483" s="87"/>
      <c r="AJE483" s="87"/>
      <c r="AJF483" s="87"/>
      <c r="AJG483" s="87"/>
      <c r="AJH483" s="87"/>
      <c r="AJI483" s="87"/>
      <c r="AJJ483" s="87"/>
      <c r="AJK483" s="87"/>
      <c r="AJL483" s="87"/>
      <c r="AJM483" s="87"/>
      <c r="AJN483" s="87"/>
      <c r="AJO483" s="87"/>
      <c r="AJP483" s="87"/>
      <c r="AJQ483" s="87"/>
      <c r="AJR483" s="87"/>
      <c r="AJS483" s="87"/>
      <c r="AJT483" s="87"/>
      <c r="AJU483" s="87"/>
      <c r="AJV483" s="87"/>
      <c r="AJW483" s="87"/>
      <c r="AJX483" s="87"/>
      <c r="AJY483" s="87"/>
      <c r="AJZ483" s="87"/>
      <c r="AKA483" s="87"/>
      <c r="AKB483" s="87"/>
      <c r="AKC483" s="87"/>
      <c r="AKD483" s="87"/>
      <c r="AKE483" s="87"/>
      <c r="AKF483" s="87"/>
      <c r="AKG483" s="87"/>
      <c r="AKH483" s="87"/>
      <c r="AKI483" s="87"/>
      <c r="AKJ483" s="87"/>
      <c r="AKK483" s="87"/>
      <c r="AKL483" s="87"/>
      <c r="AKM483" s="87"/>
      <c r="AKN483" s="87"/>
      <c r="AKO483" s="87"/>
      <c r="AKP483" s="87"/>
      <c r="AKQ483" s="87"/>
      <c r="AKR483" s="87"/>
      <c r="AKS483" s="87"/>
      <c r="AKT483" s="87"/>
      <c r="AKU483" s="87"/>
      <c r="AKV483" s="87"/>
      <c r="AKW483" s="87"/>
      <c r="AKX483" s="87"/>
      <c r="AKY483" s="87"/>
      <c r="AKZ483" s="87"/>
      <c r="ALA483" s="87"/>
      <c r="ALB483" s="87"/>
      <c r="ALC483" s="87"/>
      <c r="ALD483" s="87"/>
      <c r="ALE483" s="87"/>
      <c r="ALF483" s="87"/>
      <c r="ALG483" s="87"/>
      <c r="ALH483" s="87"/>
      <c r="ALI483" s="87"/>
      <c r="ALJ483" s="87"/>
      <c r="ALK483" s="87"/>
      <c r="ALL483" s="87"/>
      <c r="ALM483" s="87"/>
      <c r="ALN483" s="87"/>
      <c r="ALO483" s="87"/>
      <c r="ALP483" s="87"/>
      <c r="ALQ483" s="87"/>
      <c r="ALR483" s="87"/>
      <c r="ALS483" s="87"/>
      <c r="ALT483" s="87"/>
      <c r="ALU483" s="87"/>
      <c r="ALV483" s="87"/>
      <c r="ALW483" s="87"/>
      <c r="ALX483" s="87"/>
      <c r="ALY483" s="87"/>
      <c r="ALZ483" s="87"/>
      <c r="AMA483" s="87"/>
      <c r="AMB483" s="87"/>
      <c r="AMC483" s="87"/>
    </row>
    <row r="484" spans="1:1017" s="201" customFormat="1" ht="15.75" customHeight="1">
      <c r="A484" s="200"/>
      <c r="C484" s="202">
        <f>SUM(C485:C521)</f>
        <v>0</v>
      </c>
      <c r="D484" s="202">
        <f t="shared" ref="D484:BO484" si="2543">SUM(D485:D521)</f>
        <v>0</v>
      </c>
      <c r="E484" s="202">
        <f t="shared" si="2543"/>
        <v>14223257</v>
      </c>
      <c r="F484" s="202">
        <f t="shared" si="2543"/>
        <v>530450673.60000002</v>
      </c>
      <c r="G484" s="202">
        <f t="shared" si="2543"/>
        <v>0</v>
      </c>
      <c r="H484" s="202">
        <f t="shared" si="2543"/>
        <v>0</v>
      </c>
      <c r="I484" s="202">
        <f t="shared" si="2543"/>
        <v>853750</v>
      </c>
      <c r="J484" s="202">
        <f t="shared" si="2543"/>
        <v>19204750</v>
      </c>
      <c r="K484" s="202">
        <f t="shared" si="2543"/>
        <v>0</v>
      </c>
      <c r="L484" s="202">
        <f t="shared" si="2543"/>
        <v>0</v>
      </c>
      <c r="M484" s="202">
        <f t="shared" si="2543"/>
        <v>4600</v>
      </c>
      <c r="N484" s="202">
        <f t="shared" si="2543"/>
        <v>92000</v>
      </c>
      <c r="O484" s="202">
        <f t="shared" si="2543"/>
        <v>0</v>
      </c>
      <c r="P484" s="202">
        <f t="shared" si="2543"/>
        <v>0</v>
      </c>
      <c r="Q484" s="728">
        <f t="shared" si="2543"/>
        <v>15081607</v>
      </c>
      <c r="R484" s="728">
        <f t="shared" si="2543"/>
        <v>549747423.60000002</v>
      </c>
      <c r="S484" s="202">
        <f t="shared" si="2543"/>
        <v>48260</v>
      </c>
      <c r="T484" s="202">
        <f t="shared" si="2543"/>
        <v>5721650</v>
      </c>
      <c r="U484" s="202">
        <f t="shared" si="2543"/>
        <v>20072390</v>
      </c>
      <c r="V484" s="202">
        <f t="shared" si="2543"/>
        <v>1036698610</v>
      </c>
      <c r="W484" s="202">
        <f t="shared" si="2543"/>
        <v>0</v>
      </c>
      <c r="X484" s="202">
        <f t="shared" si="2543"/>
        <v>0</v>
      </c>
      <c r="Y484" s="202">
        <f t="shared" si="2543"/>
        <v>10385735</v>
      </c>
      <c r="Z484" s="202">
        <f t="shared" si="2543"/>
        <v>211580220</v>
      </c>
      <c r="AA484" s="202">
        <f t="shared" si="2543"/>
        <v>68205</v>
      </c>
      <c r="AB484" s="202">
        <f t="shared" si="2543"/>
        <v>1867275</v>
      </c>
      <c r="AC484" s="202">
        <f t="shared" si="2543"/>
        <v>47815</v>
      </c>
      <c r="AD484" s="202">
        <f t="shared" si="2543"/>
        <v>1317575</v>
      </c>
      <c r="AE484" s="202">
        <f t="shared" si="2543"/>
        <v>24030</v>
      </c>
      <c r="AF484" s="202">
        <f t="shared" si="2543"/>
        <v>547725</v>
      </c>
      <c r="AG484" s="203">
        <f t="shared" si="2543"/>
        <v>30646435</v>
      </c>
      <c r="AH484" s="203">
        <f t="shared" si="2543"/>
        <v>1257733055</v>
      </c>
      <c r="AI484" s="202">
        <f t="shared" si="2543"/>
        <v>0</v>
      </c>
      <c r="AJ484" s="202">
        <f t="shared" si="2543"/>
        <v>0</v>
      </c>
      <c r="AK484" s="202">
        <f t="shared" si="2543"/>
        <v>436100</v>
      </c>
      <c r="AL484" s="202">
        <f t="shared" si="2543"/>
        <v>28346500</v>
      </c>
      <c r="AM484" s="202">
        <f t="shared" si="2543"/>
        <v>0</v>
      </c>
      <c r="AN484" s="202">
        <f t="shared" si="2543"/>
        <v>0</v>
      </c>
      <c r="AO484" s="202">
        <f t="shared" si="2543"/>
        <v>17270300</v>
      </c>
      <c r="AP484" s="202">
        <f t="shared" si="2543"/>
        <v>385112100</v>
      </c>
      <c r="AQ484" s="202">
        <f t="shared" si="2543"/>
        <v>1820</v>
      </c>
      <c r="AR484" s="202">
        <f t="shared" si="2543"/>
        <v>43900</v>
      </c>
      <c r="AS484" s="202">
        <f t="shared" si="2543"/>
        <v>0</v>
      </c>
      <c r="AT484" s="202">
        <f t="shared" si="2543"/>
        <v>0</v>
      </c>
      <c r="AU484" s="202">
        <f t="shared" si="2543"/>
        <v>28205</v>
      </c>
      <c r="AV484" s="202">
        <f t="shared" si="2543"/>
        <v>681420</v>
      </c>
      <c r="AW484" s="203">
        <f t="shared" si="2543"/>
        <v>17736425</v>
      </c>
      <c r="AX484" s="203">
        <f t="shared" si="2543"/>
        <v>414183920</v>
      </c>
      <c r="AY484" s="202">
        <f t="shared" si="2543"/>
        <v>0</v>
      </c>
      <c r="AZ484" s="202">
        <f t="shared" si="2543"/>
        <v>0</v>
      </c>
      <c r="BA484" s="202">
        <f t="shared" si="2543"/>
        <v>0</v>
      </c>
      <c r="BB484" s="202">
        <f t="shared" si="2543"/>
        <v>0</v>
      </c>
      <c r="BC484" s="202">
        <f t="shared" si="2543"/>
        <v>0</v>
      </c>
      <c r="BD484" s="202">
        <f t="shared" si="2543"/>
        <v>0</v>
      </c>
      <c r="BE484" s="202">
        <f t="shared" si="2543"/>
        <v>5268405</v>
      </c>
      <c r="BF484" s="202">
        <f t="shared" si="2543"/>
        <v>105656405.5</v>
      </c>
      <c r="BG484" s="202">
        <f t="shared" si="2543"/>
        <v>84222</v>
      </c>
      <c r="BH484" s="202">
        <f t="shared" si="2543"/>
        <v>1680599</v>
      </c>
      <c r="BI484" s="202">
        <f t="shared" si="2543"/>
        <v>0</v>
      </c>
      <c r="BJ484" s="202">
        <f t="shared" si="2543"/>
        <v>0</v>
      </c>
      <c r="BK484" s="202">
        <f t="shared" si="2543"/>
        <v>31501</v>
      </c>
      <c r="BL484" s="202">
        <f t="shared" si="2543"/>
        <v>524223</v>
      </c>
      <c r="BM484" s="203">
        <f t="shared" si="2543"/>
        <v>5384128</v>
      </c>
      <c r="BN484" s="203">
        <f t="shared" si="2543"/>
        <v>107861227.5</v>
      </c>
      <c r="BO484" s="202">
        <f t="shared" si="2543"/>
        <v>0</v>
      </c>
      <c r="BP484" s="202">
        <f t="shared" ref="BP484:EA484" si="2544">SUM(BP485:BP521)</f>
        <v>0</v>
      </c>
      <c r="BQ484" s="202">
        <f t="shared" si="2544"/>
        <v>0</v>
      </c>
      <c r="BR484" s="202">
        <f t="shared" si="2544"/>
        <v>0</v>
      </c>
      <c r="BS484" s="202">
        <f t="shared" si="2544"/>
        <v>0</v>
      </c>
      <c r="BT484" s="202">
        <f t="shared" si="2544"/>
        <v>0</v>
      </c>
      <c r="BU484" s="202">
        <f t="shared" si="2544"/>
        <v>849316</v>
      </c>
      <c r="BV484" s="202">
        <f t="shared" si="2544"/>
        <v>18251469</v>
      </c>
      <c r="BW484" s="202">
        <f t="shared" si="2544"/>
        <v>0</v>
      </c>
      <c r="BX484" s="202">
        <f t="shared" si="2544"/>
        <v>0</v>
      </c>
      <c r="BY484" s="202">
        <f t="shared" si="2544"/>
        <v>0</v>
      </c>
      <c r="BZ484" s="202">
        <f t="shared" si="2544"/>
        <v>0</v>
      </c>
      <c r="CA484" s="202">
        <f t="shared" si="2544"/>
        <v>0</v>
      </c>
      <c r="CB484" s="202">
        <f t="shared" si="2544"/>
        <v>0</v>
      </c>
      <c r="CC484" s="203">
        <f t="shared" si="2544"/>
        <v>849316</v>
      </c>
      <c r="CD484" s="203">
        <f t="shared" si="2544"/>
        <v>18251469</v>
      </c>
      <c r="CE484" s="202">
        <f t="shared" si="2544"/>
        <v>13740678.926078347</v>
      </c>
      <c r="CF484" s="202">
        <f t="shared" si="2544"/>
        <v>53413466.486336268</v>
      </c>
      <c r="CG484" s="202">
        <f t="shared" si="2544"/>
        <v>82445960.751360208</v>
      </c>
      <c r="CH484" s="202">
        <f t="shared" si="2544"/>
        <v>2385261859.7672048</v>
      </c>
      <c r="CI484" s="202">
        <f t="shared" si="2544"/>
        <v>0</v>
      </c>
      <c r="CJ484" s="202">
        <f t="shared" si="2544"/>
        <v>0</v>
      </c>
      <c r="CK484" s="202">
        <f t="shared" si="2544"/>
        <v>64252434.849478073</v>
      </c>
      <c r="CL484" s="202">
        <f t="shared" si="2544"/>
        <v>1106280395.0529156</v>
      </c>
      <c r="CM484" s="202">
        <f t="shared" si="2544"/>
        <v>0</v>
      </c>
      <c r="CN484" s="202">
        <f t="shared" si="2544"/>
        <v>0</v>
      </c>
      <c r="CO484" s="202">
        <f t="shared" si="2544"/>
        <v>0</v>
      </c>
      <c r="CP484" s="202">
        <f t="shared" si="2544"/>
        <v>0</v>
      </c>
      <c r="CQ484" s="202">
        <f t="shared" si="2544"/>
        <v>0</v>
      </c>
      <c r="CR484" s="202">
        <f t="shared" si="2544"/>
        <v>0</v>
      </c>
      <c r="CS484" s="203">
        <f t="shared" si="2544"/>
        <v>160439074.52691659</v>
      </c>
      <c r="CT484" s="203">
        <f t="shared" si="2544"/>
        <v>3544955721.306457</v>
      </c>
      <c r="CU484" s="202">
        <f t="shared" si="2544"/>
        <v>0</v>
      </c>
      <c r="CV484" s="202">
        <f t="shared" si="2544"/>
        <v>0</v>
      </c>
      <c r="CW484" s="202">
        <f t="shared" si="2544"/>
        <v>3938067.9328566571</v>
      </c>
      <c r="CX484" s="202">
        <f t="shared" si="2544"/>
        <v>235205864.45300001</v>
      </c>
      <c r="CY484" s="202">
        <f t="shared" si="2544"/>
        <v>0</v>
      </c>
      <c r="CZ484" s="202">
        <f t="shared" si="2544"/>
        <v>0</v>
      </c>
      <c r="DA484" s="202">
        <f t="shared" si="2544"/>
        <v>12436925.536938433</v>
      </c>
      <c r="DB484" s="202">
        <f t="shared" si="2544"/>
        <v>272994871.54900002</v>
      </c>
      <c r="DC484" s="202">
        <f t="shared" si="2544"/>
        <v>35722.000366</v>
      </c>
      <c r="DD484" s="202">
        <f t="shared" si="2544"/>
        <v>879880.01500000001</v>
      </c>
      <c r="DE484" s="202">
        <f t="shared" si="2544"/>
        <v>0</v>
      </c>
      <c r="DF484" s="202">
        <f t="shared" si="2544"/>
        <v>0</v>
      </c>
      <c r="DG484" s="202">
        <f t="shared" si="2544"/>
        <v>0</v>
      </c>
      <c r="DH484" s="202">
        <f t="shared" si="2544"/>
        <v>0</v>
      </c>
      <c r="DI484" s="203">
        <f t="shared" si="2544"/>
        <v>16410715.47016109</v>
      </c>
      <c r="DJ484" s="203">
        <f t="shared" si="2544"/>
        <v>509080616.01699996</v>
      </c>
      <c r="DK484" s="202">
        <f t="shared" si="2544"/>
        <v>0</v>
      </c>
      <c r="DL484" s="202">
        <f t="shared" si="2544"/>
        <v>0</v>
      </c>
      <c r="DM484" s="202">
        <f t="shared" si="2544"/>
        <v>0</v>
      </c>
      <c r="DN484" s="202">
        <f t="shared" si="2544"/>
        <v>0</v>
      </c>
      <c r="DO484" s="202">
        <f t="shared" si="2544"/>
        <v>0</v>
      </c>
      <c r="DP484" s="202">
        <f t="shared" si="2544"/>
        <v>0</v>
      </c>
      <c r="DQ484" s="202">
        <f t="shared" si="2544"/>
        <v>14792000</v>
      </c>
      <c r="DR484" s="202">
        <f t="shared" si="2544"/>
        <v>269622700</v>
      </c>
      <c r="DS484" s="202">
        <f t="shared" si="2544"/>
        <v>0</v>
      </c>
      <c r="DT484" s="202">
        <f t="shared" si="2544"/>
        <v>0</v>
      </c>
      <c r="DU484" s="202">
        <f t="shared" si="2544"/>
        <v>0</v>
      </c>
      <c r="DV484" s="202">
        <f t="shared" si="2544"/>
        <v>0</v>
      </c>
      <c r="DW484" s="202">
        <f t="shared" si="2544"/>
        <v>0</v>
      </c>
      <c r="DX484" s="202">
        <f t="shared" si="2544"/>
        <v>0</v>
      </c>
      <c r="DY484" s="203">
        <f t="shared" si="2544"/>
        <v>14792000</v>
      </c>
      <c r="DZ484" s="203">
        <f t="shared" si="2544"/>
        <v>269622700</v>
      </c>
      <c r="EA484" s="202">
        <f t="shared" si="2544"/>
        <v>0</v>
      </c>
      <c r="EB484" s="202">
        <f t="shared" ref="EB484:GM484" si="2545">SUM(EB485:EB521)</f>
        <v>0</v>
      </c>
      <c r="EC484" s="202">
        <f t="shared" si="2545"/>
        <v>0</v>
      </c>
      <c r="ED484" s="202">
        <f t="shared" si="2545"/>
        <v>0</v>
      </c>
      <c r="EE484" s="202">
        <f t="shared" si="2545"/>
        <v>0</v>
      </c>
      <c r="EF484" s="202">
        <f t="shared" si="2545"/>
        <v>0</v>
      </c>
      <c r="EG484" s="202">
        <f t="shared" si="2545"/>
        <v>25514275</v>
      </c>
      <c r="EH484" s="202">
        <f t="shared" si="2545"/>
        <v>482643365</v>
      </c>
      <c r="EI484" s="202">
        <f t="shared" si="2545"/>
        <v>0</v>
      </c>
      <c r="EJ484" s="202">
        <f t="shared" si="2545"/>
        <v>0</v>
      </c>
      <c r="EK484" s="202">
        <f t="shared" si="2545"/>
        <v>0</v>
      </c>
      <c r="EL484" s="202">
        <f t="shared" si="2545"/>
        <v>0</v>
      </c>
      <c r="EM484" s="202">
        <f t="shared" si="2545"/>
        <v>0</v>
      </c>
      <c r="EN484" s="202">
        <f t="shared" si="2545"/>
        <v>0</v>
      </c>
      <c r="EO484" s="203">
        <f t="shared" si="2545"/>
        <v>25514275</v>
      </c>
      <c r="EP484" s="203">
        <f t="shared" si="2545"/>
        <v>482643365</v>
      </c>
      <c r="EQ484" s="202">
        <f t="shared" si="2545"/>
        <v>0</v>
      </c>
      <c r="ER484" s="202">
        <f t="shared" si="2545"/>
        <v>0</v>
      </c>
      <c r="ES484" s="202">
        <f t="shared" si="2545"/>
        <v>4881277</v>
      </c>
      <c r="ET484" s="202">
        <f t="shared" si="2545"/>
        <v>296519672</v>
      </c>
      <c r="EU484" s="202">
        <f t="shared" si="2545"/>
        <v>0</v>
      </c>
      <c r="EV484" s="202">
        <f t="shared" si="2545"/>
        <v>0</v>
      </c>
      <c r="EW484" s="202">
        <f t="shared" si="2545"/>
        <v>41981324</v>
      </c>
      <c r="EX484" s="202">
        <f t="shared" si="2545"/>
        <v>1131862037</v>
      </c>
      <c r="EY484" s="202">
        <f t="shared" si="2545"/>
        <v>0</v>
      </c>
      <c r="EZ484" s="202">
        <f t="shared" si="2545"/>
        <v>0</v>
      </c>
      <c r="FA484" s="202">
        <f t="shared" si="2545"/>
        <v>74030</v>
      </c>
      <c r="FB484" s="202">
        <f t="shared" si="2545"/>
        <v>1375104</v>
      </c>
      <c r="FC484" s="202">
        <f t="shared" si="2545"/>
        <v>5216</v>
      </c>
      <c r="FD484" s="202">
        <f t="shared" si="2545"/>
        <v>96712</v>
      </c>
      <c r="FE484" s="203">
        <f t="shared" si="2545"/>
        <v>46941847</v>
      </c>
      <c r="FF484" s="203">
        <f t="shared" si="2545"/>
        <v>1429853525</v>
      </c>
      <c r="FG484" s="202">
        <f t="shared" si="2545"/>
        <v>0</v>
      </c>
      <c r="FH484" s="202">
        <f t="shared" si="2545"/>
        <v>0</v>
      </c>
      <c r="FI484" s="202">
        <f t="shared" si="2545"/>
        <v>1490000</v>
      </c>
      <c r="FJ484" s="202">
        <f t="shared" si="2545"/>
        <v>89400000</v>
      </c>
      <c r="FK484" s="202">
        <f t="shared" si="2545"/>
        <v>0</v>
      </c>
      <c r="FL484" s="202">
        <f t="shared" si="2545"/>
        <v>0</v>
      </c>
      <c r="FM484" s="202">
        <f t="shared" si="2545"/>
        <v>2736500.4</v>
      </c>
      <c r="FN484" s="202">
        <f t="shared" si="2545"/>
        <v>69421076.5</v>
      </c>
      <c r="FO484" s="202">
        <f t="shared" si="2545"/>
        <v>0</v>
      </c>
      <c r="FP484" s="202">
        <f t="shared" si="2545"/>
        <v>0</v>
      </c>
      <c r="FQ484" s="202">
        <f t="shared" si="2545"/>
        <v>0</v>
      </c>
      <c r="FR484" s="202">
        <f t="shared" si="2545"/>
        <v>0</v>
      </c>
      <c r="FS484" s="202">
        <f t="shared" si="2545"/>
        <v>885096</v>
      </c>
      <c r="FT484" s="202">
        <f t="shared" si="2545"/>
        <v>25850858</v>
      </c>
      <c r="FU484" s="203">
        <f t="shared" si="2545"/>
        <v>5111596.4000000004</v>
      </c>
      <c r="FV484" s="203">
        <f t="shared" si="2545"/>
        <v>184671934.5</v>
      </c>
      <c r="FW484" s="202">
        <f t="shared" si="2545"/>
        <v>0</v>
      </c>
      <c r="FX484" s="202">
        <f t="shared" si="2545"/>
        <v>0</v>
      </c>
      <c r="FY484" s="202">
        <f t="shared" si="2545"/>
        <v>0</v>
      </c>
      <c r="FZ484" s="202">
        <f t="shared" si="2545"/>
        <v>0</v>
      </c>
      <c r="GA484" s="202">
        <f t="shared" si="2545"/>
        <v>0</v>
      </c>
      <c r="GB484" s="202">
        <f t="shared" si="2545"/>
        <v>0</v>
      </c>
      <c r="GC484" s="202">
        <f t="shared" si="2545"/>
        <v>3850100</v>
      </c>
      <c r="GD484" s="202">
        <f t="shared" si="2545"/>
        <v>79363625</v>
      </c>
      <c r="GE484" s="202">
        <f t="shared" si="2545"/>
        <v>0</v>
      </c>
      <c r="GF484" s="202">
        <f t="shared" si="2545"/>
        <v>0</v>
      </c>
      <c r="GG484" s="202">
        <f t="shared" si="2545"/>
        <v>0</v>
      </c>
      <c r="GH484" s="202">
        <f t="shared" si="2545"/>
        <v>0</v>
      </c>
      <c r="GI484" s="202">
        <f t="shared" si="2545"/>
        <v>0</v>
      </c>
      <c r="GJ484" s="202">
        <f t="shared" si="2545"/>
        <v>0</v>
      </c>
      <c r="GK484" s="203">
        <f t="shared" si="2545"/>
        <v>3850100</v>
      </c>
      <c r="GL484" s="203">
        <f t="shared" si="2545"/>
        <v>79363625</v>
      </c>
      <c r="GM484" s="202">
        <f t="shared" si="2545"/>
        <v>0</v>
      </c>
      <c r="GN484" s="202">
        <f t="shared" ref="GN484:IY484" si="2546">SUM(GN485:GN521)</f>
        <v>0</v>
      </c>
      <c r="GO484" s="202">
        <f t="shared" si="2546"/>
        <v>0</v>
      </c>
      <c r="GP484" s="202">
        <f t="shared" si="2546"/>
        <v>0</v>
      </c>
      <c r="GQ484" s="202">
        <f t="shared" si="2546"/>
        <v>0</v>
      </c>
      <c r="GR484" s="202">
        <f t="shared" si="2546"/>
        <v>0</v>
      </c>
      <c r="GS484" s="202">
        <f t="shared" si="2546"/>
        <v>1858550</v>
      </c>
      <c r="GT484" s="202">
        <f t="shared" si="2546"/>
        <v>36091175</v>
      </c>
      <c r="GU484" s="202">
        <f t="shared" si="2546"/>
        <v>0</v>
      </c>
      <c r="GV484" s="202">
        <f t="shared" si="2546"/>
        <v>0</v>
      </c>
      <c r="GW484" s="202">
        <f t="shared" si="2546"/>
        <v>0</v>
      </c>
      <c r="GX484" s="202">
        <f t="shared" si="2546"/>
        <v>0</v>
      </c>
      <c r="GY484" s="202">
        <f t="shared" si="2546"/>
        <v>1730</v>
      </c>
      <c r="GZ484" s="202">
        <f t="shared" si="2546"/>
        <v>47980</v>
      </c>
      <c r="HA484" s="203">
        <f t="shared" si="2546"/>
        <v>1860280</v>
      </c>
      <c r="HB484" s="203">
        <f t="shared" si="2546"/>
        <v>36139155</v>
      </c>
      <c r="HC484" s="202">
        <f t="shared" si="2546"/>
        <v>0</v>
      </c>
      <c r="HD484" s="202">
        <f t="shared" si="2546"/>
        <v>0</v>
      </c>
      <c r="HE484" s="202">
        <f t="shared" si="2546"/>
        <v>1640000</v>
      </c>
      <c r="HF484" s="202">
        <f t="shared" si="2546"/>
        <v>104135000</v>
      </c>
      <c r="HG484" s="202">
        <f t="shared" si="2546"/>
        <v>0</v>
      </c>
      <c r="HH484" s="202">
        <f t="shared" si="2546"/>
        <v>0</v>
      </c>
      <c r="HI484" s="202">
        <f t="shared" si="2546"/>
        <v>7364300</v>
      </c>
      <c r="HJ484" s="202">
        <f t="shared" si="2546"/>
        <v>134808000</v>
      </c>
      <c r="HK484" s="202">
        <f t="shared" si="2546"/>
        <v>0</v>
      </c>
      <c r="HL484" s="202">
        <f t="shared" si="2546"/>
        <v>0</v>
      </c>
      <c r="HM484" s="202">
        <f t="shared" si="2546"/>
        <v>0</v>
      </c>
      <c r="HN484" s="202">
        <f t="shared" si="2546"/>
        <v>0</v>
      </c>
      <c r="HO484" s="202">
        <f t="shared" si="2546"/>
        <v>4260000</v>
      </c>
      <c r="HP484" s="202">
        <f t="shared" si="2546"/>
        <v>96700000</v>
      </c>
      <c r="HQ484" s="203">
        <f t="shared" si="2546"/>
        <v>13264300</v>
      </c>
      <c r="HR484" s="203">
        <f t="shared" si="2546"/>
        <v>335643000</v>
      </c>
      <c r="HS484" s="202">
        <f t="shared" si="2546"/>
        <v>0</v>
      </c>
      <c r="HT484" s="202">
        <f t="shared" si="2546"/>
        <v>0</v>
      </c>
      <c r="HU484" s="202">
        <f t="shared" si="2546"/>
        <v>0</v>
      </c>
      <c r="HV484" s="202">
        <f t="shared" si="2546"/>
        <v>0</v>
      </c>
      <c r="HW484" s="202">
        <f t="shared" si="2546"/>
        <v>0</v>
      </c>
      <c r="HX484" s="202">
        <f t="shared" si="2546"/>
        <v>0</v>
      </c>
      <c r="HY484" s="202">
        <f t="shared" si="2546"/>
        <v>1813118</v>
      </c>
      <c r="HZ484" s="202">
        <f t="shared" si="2546"/>
        <v>34905400</v>
      </c>
      <c r="IA484" s="202">
        <f t="shared" si="2546"/>
        <v>0</v>
      </c>
      <c r="IB484" s="202">
        <f t="shared" si="2546"/>
        <v>0</v>
      </c>
      <c r="IC484" s="202">
        <f t="shared" si="2546"/>
        <v>1800</v>
      </c>
      <c r="ID484" s="202">
        <f t="shared" si="2546"/>
        <v>45400</v>
      </c>
      <c r="IE484" s="202">
        <f t="shared" si="2546"/>
        <v>1700</v>
      </c>
      <c r="IF484" s="202">
        <f t="shared" si="2546"/>
        <v>36500</v>
      </c>
      <c r="IG484" s="203">
        <f t="shared" si="2546"/>
        <v>1816618</v>
      </c>
      <c r="IH484" s="203">
        <f t="shared" si="2546"/>
        <v>34987300</v>
      </c>
      <c r="II484" s="202">
        <f t="shared" si="2546"/>
        <v>0</v>
      </c>
      <c r="IJ484" s="202">
        <f t="shared" si="2546"/>
        <v>0</v>
      </c>
      <c r="IK484" s="202">
        <f t="shared" si="2546"/>
        <v>0</v>
      </c>
      <c r="IL484" s="202">
        <f t="shared" si="2546"/>
        <v>0</v>
      </c>
      <c r="IM484" s="202">
        <f t="shared" si="2546"/>
        <v>0</v>
      </c>
      <c r="IN484" s="202">
        <f t="shared" si="2546"/>
        <v>0</v>
      </c>
      <c r="IO484" s="202">
        <f t="shared" si="2546"/>
        <v>11030000</v>
      </c>
      <c r="IP484" s="202">
        <f t="shared" si="2546"/>
        <v>217798004</v>
      </c>
      <c r="IQ484" s="202">
        <f t="shared" si="2546"/>
        <v>0</v>
      </c>
      <c r="IR484" s="202">
        <f t="shared" si="2546"/>
        <v>0</v>
      </c>
      <c r="IS484" s="202">
        <f t="shared" si="2546"/>
        <v>0</v>
      </c>
      <c r="IT484" s="202">
        <f t="shared" si="2546"/>
        <v>0</v>
      </c>
      <c r="IU484" s="202">
        <f t="shared" si="2546"/>
        <v>0</v>
      </c>
      <c r="IV484" s="202">
        <f t="shared" si="2546"/>
        <v>0</v>
      </c>
      <c r="IW484" s="203">
        <f t="shared" si="2546"/>
        <v>11030000</v>
      </c>
      <c r="IX484" s="203">
        <f t="shared" si="2546"/>
        <v>217798004</v>
      </c>
      <c r="IY484" s="202">
        <f t="shared" si="2546"/>
        <v>0</v>
      </c>
      <c r="IZ484" s="202">
        <f t="shared" ref="IZ484:LK484" si="2547">SUM(IZ485:IZ521)</f>
        <v>0</v>
      </c>
      <c r="JA484" s="202">
        <f t="shared" si="2547"/>
        <v>0</v>
      </c>
      <c r="JB484" s="202">
        <f t="shared" si="2547"/>
        <v>0</v>
      </c>
      <c r="JC484" s="202">
        <f t="shared" si="2547"/>
        <v>0</v>
      </c>
      <c r="JD484" s="202">
        <f t="shared" si="2547"/>
        <v>0</v>
      </c>
      <c r="JE484" s="202">
        <f t="shared" si="2547"/>
        <v>4406525</v>
      </c>
      <c r="JF484" s="202">
        <f t="shared" si="2547"/>
        <v>83744202</v>
      </c>
      <c r="JG484" s="202">
        <f t="shared" si="2547"/>
        <v>0</v>
      </c>
      <c r="JH484" s="202">
        <f t="shared" si="2547"/>
        <v>0</v>
      </c>
      <c r="JI484" s="202">
        <f t="shared" si="2547"/>
        <v>0</v>
      </c>
      <c r="JJ484" s="202">
        <f t="shared" si="2547"/>
        <v>0</v>
      </c>
      <c r="JK484" s="202">
        <f t="shared" si="2547"/>
        <v>106933</v>
      </c>
      <c r="JL484" s="202">
        <f t="shared" si="2547"/>
        <v>2042282</v>
      </c>
      <c r="JM484" s="203">
        <f t="shared" si="2547"/>
        <v>4513458</v>
      </c>
      <c r="JN484" s="203">
        <f t="shared" si="2547"/>
        <v>85786484</v>
      </c>
      <c r="JO484" s="202">
        <f t="shared" si="2547"/>
        <v>0</v>
      </c>
      <c r="JP484" s="202">
        <f t="shared" si="2547"/>
        <v>0</v>
      </c>
      <c r="JQ484" s="202">
        <f t="shared" si="2547"/>
        <v>1732575</v>
      </c>
      <c r="JR484" s="202">
        <f t="shared" si="2547"/>
        <v>137502608</v>
      </c>
      <c r="JS484" s="202">
        <f t="shared" si="2547"/>
        <v>0</v>
      </c>
      <c r="JT484" s="202">
        <f t="shared" si="2547"/>
        <v>0</v>
      </c>
      <c r="JU484" s="202">
        <f t="shared" si="2547"/>
        <v>930887</v>
      </c>
      <c r="JV484" s="202">
        <f t="shared" si="2547"/>
        <v>24238782</v>
      </c>
      <c r="JW484" s="202">
        <f t="shared" si="2547"/>
        <v>0</v>
      </c>
      <c r="JX484" s="202">
        <f t="shared" si="2547"/>
        <v>0</v>
      </c>
      <c r="JY484" s="202">
        <f t="shared" si="2547"/>
        <v>0</v>
      </c>
      <c r="JZ484" s="202">
        <f t="shared" si="2547"/>
        <v>0</v>
      </c>
      <c r="KA484" s="202">
        <f t="shared" si="2547"/>
        <v>0</v>
      </c>
      <c r="KB484" s="202">
        <f t="shared" si="2547"/>
        <v>0</v>
      </c>
      <c r="KC484" s="203">
        <f t="shared" si="2547"/>
        <v>2663462</v>
      </c>
      <c r="KD484" s="203">
        <f t="shared" si="2547"/>
        <v>161741390</v>
      </c>
      <c r="KE484" s="202">
        <f t="shared" si="2547"/>
        <v>0</v>
      </c>
      <c r="KF484" s="202">
        <f t="shared" si="2547"/>
        <v>0</v>
      </c>
      <c r="KG484" s="202">
        <f t="shared" si="2547"/>
        <v>515643</v>
      </c>
      <c r="KH484" s="202">
        <f t="shared" si="2547"/>
        <v>33231010</v>
      </c>
      <c r="KI484" s="202">
        <f t="shared" si="2547"/>
        <v>0</v>
      </c>
      <c r="KJ484" s="202">
        <f t="shared" si="2547"/>
        <v>0</v>
      </c>
      <c r="KK484" s="202">
        <f t="shared" si="2547"/>
        <v>800050</v>
      </c>
      <c r="KL484" s="202">
        <f t="shared" si="2547"/>
        <v>16075010</v>
      </c>
      <c r="KM484" s="202">
        <f t="shared" si="2547"/>
        <v>0</v>
      </c>
      <c r="KN484" s="202">
        <f t="shared" si="2547"/>
        <v>0</v>
      </c>
      <c r="KO484" s="202">
        <f t="shared" si="2547"/>
        <v>0</v>
      </c>
      <c r="KP484" s="202">
        <f t="shared" si="2547"/>
        <v>0</v>
      </c>
      <c r="KQ484" s="202">
        <f t="shared" si="2547"/>
        <v>0</v>
      </c>
      <c r="KR484" s="202">
        <f t="shared" si="2547"/>
        <v>0</v>
      </c>
      <c r="KS484" s="203">
        <f t="shared" si="2547"/>
        <v>1315693</v>
      </c>
      <c r="KT484" s="203">
        <f t="shared" si="2547"/>
        <v>49306020</v>
      </c>
      <c r="KU484" s="202">
        <f t="shared" si="2547"/>
        <v>0</v>
      </c>
      <c r="KV484" s="202">
        <f t="shared" si="2547"/>
        <v>0</v>
      </c>
      <c r="KW484" s="202">
        <f t="shared" si="2547"/>
        <v>9211002.7800000012</v>
      </c>
      <c r="KX484" s="202">
        <f t="shared" si="2547"/>
        <v>151727484</v>
      </c>
      <c r="KY484" s="202">
        <f t="shared" si="2547"/>
        <v>0</v>
      </c>
      <c r="KZ484" s="202">
        <f t="shared" si="2547"/>
        <v>0</v>
      </c>
      <c r="LA484" s="202">
        <f t="shared" si="2547"/>
        <v>15942118.630000001</v>
      </c>
      <c r="LB484" s="202">
        <f t="shared" si="2547"/>
        <v>291949904</v>
      </c>
      <c r="LC484" s="202">
        <f t="shared" si="2547"/>
        <v>0</v>
      </c>
      <c r="LD484" s="202">
        <f t="shared" si="2547"/>
        <v>0</v>
      </c>
      <c r="LE484" s="202">
        <f t="shared" si="2547"/>
        <v>0</v>
      </c>
      <c r="LF484" s="202">
        <f t="shared" si="2547"/>
        <v>0</v>
      </c>
      <c r="LG484" s="202">
        <f t="shared" si="2547"/>
        <v>142052.85999999999</v>
      </c>
      <c r="LH484" s="202">
        <f t="shared" si="2547"/>
        <v>3441218</v>
      </c>
      <c r="LI484" s="203">
        <f t="shared" si="2547"/>
        <v>25295174.269999996</v>
      </c>
      <c r="LJ484" s="203">
        <f t="shared" si="2547"/>
        <v>447118606</v>
      </c>
      <c r="LK484" s="202">
        <f t="shared" si="2547"/>
        <v>0</v>
      </c>
      <c r="LL484" s="202">
        <f t="shared" ref="LL484:NW484" si="2548">SUM(LL485:LL521)</f>
        <v>0</v>
      </c>
      <c r="LM484" s="202">
        <f t="shared" si="2548"/>
        <v>0</v>
      </c>
      <c r="LN484" s="202">
        <f t="shared" si="2548"/>
        <v>0</v>
      </c>
      <c r="LO484" s="202">
        <f t="shared" si="2548"/>
        <v>0</v>
      </c>
      <c r="LP484" s="202">
        <f t="shared" si="2548"/>
        <v>0</v>
      </c>
      <c r="LQ484" s="202">
        <f t="shared" si="2548"/>
        <v>2179713</v>
      </c>
      <c r="LR484" s="202">
        <f t="shared" si="2548"/>
        <v>44477930.730000004</v>
      </c>
      <c r="LS484" s="202">
        <f t="shared" si="2548"/>
        <v>0</v>
      </c>
      <c r="LT484" s="202">
        <f t="shared" si="2548"/>
        <v>0</v>
      </c>
      <c r="LU484" s="202">
        <f t="shared" si="2548"/>
        <v>0</v>
      </c>
      <c r="LV484" s="202">
        <f t="shared" si="2548"/>
        <v>0</v>
      </c>
      <c r="LW484" s="202">
        <f t="shared" si="2548"/>
        <v>17603</v>
      </c>
      <c r="LX484" s="202">
        <f t="shared" si="2548"/>
        <v>569904</v>
      </c>
      <c r="LY484" s="203">
        <f t="shared" si="2548"/>
        <v>2197316</v>
      </c>
      <c r="LZ484" s="203">
        <f t="shared" si="2548"/>
        <v>45047834.730000004</v>
      </c>
      <c r="MA484" s="202">
        <f t="shared" si="2548"/>
        <v>435150</v>
      </c>
      <c r="MB484" s="202">
        <f t="shared" si="2548"/>
        <v>36987750</v>
      </c>
      <c r="MC484" s="202">
        <f t="shared" si="2548"/>
        <v>14113148</v>
      </c>
      <c r="MD484" s="202">
        <f t="shared" si="2548"/>
        <v>730872720</v>
      </c>
      <c r="ME484" s="202">
        <f t="shared" si="2548"/>
        <v>0</v>
      </c>
      <c r="MF484" s="202">
        <f t="shared" si="2548"/>
        <v>0</v>
      </c>
      <c r="MG484" s="202">
        <f t="shared" si="2548"/>
        <v>856340</v>
      </c>
      <c r="MH484" s="202">
        <f t="shared" si="2548"/>
        <v>15853965</v>
      </c>
      <c r="MI484" s="202">
        <f t="shared" si="2548"/>
        <v>0</v>
      </c>
      <c r="MJ484" s="202">
        <f t="shared" si="2548"/>
        <v>0</v>
      </c>
      <c r="MK484" s="202">
        <f t="shared" si="2548"/>
        <v>0</v>
      </c>
      <c r="ML484" s="202">
        <f t="shared" si="2548"/>
        <v>0</v>
      </c>
      <c r="MM484" s="202">
        <f t="shared" si="2548"/>
        <v>28930</v>
      </c>
      <c r="MN484" s="202">
        <f t="shared" si="2548"/>
        <v>536740</v>
      </c>
      <c r="MO484" s="203">
        <f t="shared" si="2548"/>
        <v>15433568</v>
      </c>
      <c r="MP484" s="203">
        <f t="shared" si="2548"/>
        <v>784251175</v>
      </c>
      <c r="MQ484" s="202">
        <f t="shared" si="2548"/>
        <v>0</v>
      </c>
      <c r="MR484" s="202">
        <f t="shared" si="2548"/>
        <v>0</v>
      </c>
      <c r="MS484" s="202">
        <f t="shared" si="2548"/>
        <v>854079</v>
      </c>
      <c r="MT484" s="202">
        <f t="shared" si="2548"/>
        <v>37876009</v>
      </c>
      <c r="MU484" s="202">
        <f t="shared" si="2548"/>
        <v>0</v>
      </c>
      <c r="MV484" s="202">
        <f t="shared" si="2548"/>
        <v>0</v>
      </c>
      <c r="MW484" s="202">
        <f t="shared" si="2548"/>
        <v>228949</v>
      </c>
      <c r="MX484" s="202">
        <f t="shared" si="2548"/>
        <v>5273422</v>
      </c>
      <c r="MY484" s="202">
        <f t="shared" si="2548"/>
        <v>0</v>
      </c>
      <c r="MZ484" s="202">
        <f t="shared" si="2548"/>
        <v>0</v>
      </c>
      <c r="NA484" s="202">
        <f t="shared" si="2548"/>
        <v>0</v>
      </c>
      <c r="NB484" s="202">
        <f t="shared" si="2548"/>
        <v>0</v>
      </c>
      <c r="NC484" s="202">
        <f t="shared" si="2548"/>
        <v>0</v>
      </c>
      <c r="ND484" s="202">
        <f t="shared" si="2548"/>
        <v>0</v>
      </c>
      <c r="NE484" s="203">
        <f t="shared" si="2548"/>
        <v>1083028</v>
      </c>
      <c r="NF484" s="203">
        <f t="shared" si="2548"/>
        <v>43149431</v>
      </c>
      <c r="NG484" s="202">
        <f t="shared" si="2548"/>
        <v>0</v>
      </c>
      <c r="NH484" s="202">
        <f t="shared" si="2548"/>
        <v>0</v>
      </c>
      <c r="NI484" s="202">
        <f t="shared" si="2548"/>
        <v>83044522</v>
      </c>
      <c r="NJ484" s="202">
        <f t="shared" si="2548"/>
        <v>2026200713</v>
      </c>
      <c r="NK484" s="202">
        <f t="shared" si="2548"/>
        <v>0</v>
      </c>
      <c r="NL484" s="202">
        <f t="shared" si="2548"/>
        <v>0</v>
      </c>
      <c r="NM484" s="202">
        <f t="shared" si="2548"/>
        <v>26544645</v>
      </c>
      <c r="NN484" s="202">
        <f t="shared" si="2548"/>
        <v>429100720</v>
      </c>
      <c r="NO484" s="202">
        <f t="shared" si="2548"/>
        <v>837900</v>
      </c>
      <c r="NP484" s="202">
        <f t="shared" si="2548"/>
        <v>17875200</v>
      </c>
      <c r="NQ484" s="202">
        <f t="shared" si="2548"/>
        <v>312620</v>
      </c>
      <c r="NR484" s="202">
        <f t="shared" si="2548"/>
        <v>5690196</v>
      </c>
      <c r="NS484" s="202">
        <f t="shared" si="2548"/>
        <v>0</v>
      </c>
      <c r="NT484" s="202">
        <f t="shared" si="2548"/>
        <v>0</v>
      </c>
      <c r="NU484" s="203">
        <f t="shared" si="2548"/>
        <v>110739687</v>
      </c>
      <c r="NV484" s="203">
        <f t="shared" si="2548"/>
        <v>2478866829</v>
      </c>
      <c r="NW484" s="202">
        <f t="shared" si="2548"/>
        <v>59275</v>
      </c>
      <c r="NX484" s="202">
        <f t="shared" ref="NX484:QI484" si="2549">SUM(NX485:NX521)</f>
        <v>1977950</v>
      </c>
      <c r="NY484" s="202">
        <f t="shared" si="2549"/>
        <v>10978224</v>
      </c>
      <c r="NZ484" s="202">
        <f t="shared" si="2549"/>
        <v>521622936</v>
      </c>
      <c r="OA484" s="202">
        <f t="shared" si="2549"/>
        <v>0</v>
      </c>
      <c r="OB484" s="202">
        <f t="shared" si="2549"/>
        <v>0</v>
      </c>
      <c r="OC484" s="202">
        <f t="shared" si="2549"/>
        <v>637829</v>
      </c>
      <c r="OD484" s="202">
        <f t="shared" si="2549"/>
        <v>12175405</v>
      </c>
      <c r="OE484" s="202">
        <f t="shared" si="2549"/>
        <v>0</v>
      </c>
      <c r="OF484" s="202">
        <f t="shared" si="2549"/>
        <v>0</v>
      </c>
      <c r="OG484" s="202">
        <f t="shared" si="2549"/>
        <v>0</v>
      </c>
      <c r="OH484" s="202">
        <f t="shared" si="2549"/>
        <v>0</v>
      </c>
      <c r="OI484" s="202">
        <f t="shared" si="2549"/>
        <v>0</v>
      </c>
      <c r="OJ484" s="202">
        <f t="shared" si="2549"/>
        <v>0</v>
      </c>
      <c r="OK484" s="203">
        <f t="shared" si="2549"/>
        <v>11675328</v>
      </c>
      <c r="OL484" s="203">
        <f t="shared" si="2549"/>
        <v>535776291</v>
      </c>
      <c r="OM484" s="202">
        <f t="shared" si="2549"/>
        <v>760127186</v>
      </c>
      <c r="ON484" s="202">
        <f t="shared" si="2549"/>
        <v>3895512472</v>
      </c>
      <c r="OO484" s="202">
        <f t="shared" si="2549"/>
        <v>7596034</v>
      </c>
      <c r="OP484" s="202">
        <f t="shared" si="2549"/>
        <v>452829082</v>
      </c>
      <c r="OQ484" s="202">
        <f t="shared" si="2549"/>
        <v>0</v>
      </c>
      <c r="OR484" s="202">
        <f t="shared" si="2549"/>
        <v>0</v>
      </c>
      <c r="OS484" s="202">
        <f t="shared" si="2549"/>
        <v>2548876.4</v>
      </c>
      <c r="OT484" s="202">
        <f t="shared" si="2549"/>
        <v>24139934.899999999</v>
      </c>
      <c r="OU484" s="202">
        <f t="shared" si="2549"/>
        <v>0</v>
      </c>
      <c r="OV484" s="202">
        <f t="shared" si="2549"/>
        <v>0</v>
      </c>
      <c r="OW484" s="202">
        <f t="shared" si="2549"/>
        <v>0</v>
      </c>
      <c r="OX484" s="202">
        <f t="shared" si="2549"/>
        <v>0</v>
      </c>
      <c r="OY484" s="202">
        <f t="shared" si="2549"/>
        <v>0</v>
      </c>
      <c r="OZ484" s="202">
        <f t="shared" si="2549"/>
        <v>0</v>
      </c>
      <c r="PA484" s="203">
        <f t="shared" si="2549"/>
        <v>770272096.39999998</v>
      </c>
      <c r="PB484" s="203">
        <f t="shared" si="2549"/>
        <v>4372481488.8999996</v>
      </c>
      <c r="PC484" s="202">
        <f t="shared" si="2549"/>
        <v>2009</v>
      </c>
      <c r="PD484" s="202">
        <f t="shared" si="2549"/>
        <v>150921.5</v>
      </c>
      <c r="PE484" s="202">
        <f t="shared" si="2549"/>
        <v>273436</v>
      </c>
      <c r="PF484" s="202">
        <f t="shared" si="2549"/>
        <v>16905242</v>
      </c>
      <c r="PG484" s="202">
        <f t="shared" si="2549"/>
        <v>0</v>
      </c>
      <c r="PH484" s="202">
        <f t="shared" si="2549"/>
        <v>0</v>
      </c>
      <c r="PI484" s="202">
        <f t="shared" si="2549"/>
        <v>4813018</v>
      </c>
      <c r="PJ484" s="202">
        <f t="shared" si="2549"/>
        <v>86957019</v>
      </c>
      <c r="PK484" s="202">
        <f t="shared" si="2549"/>
        <v>0</v>
      </c>
      <c r="PL484" s="202">
        <f t="shared" si="2549"/>
        <v>0</v>
      </c>
      <c r="PM484" s="202">
        <f t="shared" si="2549"/>
        <v>0</v>
      </c>
      <c r="PN484" s="202">
        <f t="shared" si="2549"/>
        <v>0</v>
      </c>
      <c r="PO484" s="202">
        <f t="shared" si="2549"/>
        <v>0</v>
      </c>
      <c r="PP484" s="202">
        <f t="shared" si="2549"/>
        <v>0</v>
      </c>
      <c r="PQ484" s="203">
        <f t="shared" si="2549"/>
        <v>5088463</v>
      </c>
      <c r="PR484" s="203">
        <f t="shared" si="2549"/>
        <v>104013182.5</v>
      </c>
      <c r="PS484" s="202">
        <f t="shared" si="2549"/>
        <v>2600</v>
      </c>
      <c r="PT484" s="202">
        <f t="shared" si="2549"/>
        <v>276950</v>
      </c>
      <c r="PU484" s="202">
        <f t="shared" si="2549"/>
        <v>16478460</v>
      </c>
      <c r="PV484" s="202">
        <f t="shared" si="2549"/>
        <v>623211510</v>
      </c>
      <c r="PW484" s="202">
        <f t="shared" si="2549"/>
        <v>0</v>
      </c>
      <c r="PX484" s="202">
        <f t="shared" si="2549"/>
        <v>0</v>
      </c>
      <c r="PY484" s="202">
        <f t="shared" si="2549"/>
        <v>15105580</v>
      </c>
      <c r="PZ484" s="202">
        <f t="shared" si="2549"/>
        <v>283634856.41100001</v>
      </c>
      <c r="QA484" s="202">
        <f t="shared" si="2549"/>
        <v>15223090</v>
      </c>
      <c r="QB484" s="202">
        <f t="shared" si="2549"/>
        <v>422091360</v>
      </c>
      <c r="QC484" s="202">
        <f t="shared" si="2549"/>
        <v>6509700</v>
      </c>
      <c r="QD484" s="202">
        <f t="shared" si="2549"/>
        <v>119961954</v>
      </c>
      <c r="QE484" s="202">
        <f t="shared" si="2549"/>
        <v>0</v>
      </c>
      <c r="QF484" s="202">
        <f t="shared" si="2549"/>
        <v>0</v>
      </c>
      <c r="QG484" s="203">
        <f t="shared" si="2549"/>
        <v>53319430</v>
      </c>
      <c r="QH484" s="203">
        <f t="shared" si="2549"/>
        <v>1449176630.411</v>
      </c>
      <c r="QI484" s="202">
        <f t="shared" si="2549"/>
        <v>0</v>
      </c>
      <c r="QJ484" s="202">
        <f t="shared" ref="QJ484:SU484" si="2550">SUM(QJ485:QJ521)</f>
        <v>0</v>
      </c>
      <c r="QK484" s="202">
        <f t="shared" si="2550"/>
        <v>350000</v>
      </c>
      <c r="QL484" s="202">
        <f t="shared" si="2550"/>
        <v>21000000</v>
      </c>
      <c r="QM484" s="202">
        <f t="shared" si="2550"/>
        <v>0</v>
      </c>
      <c r="QN484" s="202">
        <f t="shared" si="2550"/>
        <v>0</v>
      </c>
      <c r="QO484" s="202">
        <f t="shared" si="2550"/>
        <v>53401500</v>
      </c>
      <c r="QP484" s="202">
        <f t="shared" si="2550"/>
        <v>1124622500</v>
      </c>
      <c r="QQ484" s="202">
        <f t="shared" si="2550"/>
        <v>0</v>
      </c>
      <c r="QR484" s="202">
        <f t="shared" si="2550"/>
        <v>0</v>
      </c>
      <c r="QS484" s="202">
        <f t="shared" si="2550"/>
        <v>0</v>
      </c>
      <c r="QT484" s="202">
        <f t="shared" si="2550"/>
        <v>0</v>
      </c>
      <c r="QU484" s="202">
        <f t="shared" si="2550"/>
        <v>0</v>
      </c>
      <c r="QV484" s="202">
        <f t="shared" si="2550"/>
        <v>0</v>
      </c>
      <c r="QW484" s="203">
        <f t="shared" si="2550"/>
        <v>53751500</v>
      </c>
      <c r="QX484" s="203">
        <f t="shared" si="2550"/>
        <v>1145622500</v>
      </c>
      <c r="QY484" s="202">
        <f t="shared" si="2550"/>
        <v>0</v>
      </c>
      <c r="QZ484" s="202">
        <f t="shared" si="2550"/>
        <v>0</v>
      </c>
      <c r="RA484" s="202">
        <f t="shared" si="2550"/>
        <v>0</v>
      </c>
      <c r="RB484" s="202">
        <f t="shared" si="2550"/>
        <v>0</v>
      </c>
      <c r="RC484" s="202">
        <f t="shared" si="2550"/>
        <v>0</v>
      </c>
      <c r="RD484" s="202">
        <f t="shared" si="2550"/>
        <v>0</v>
      </c>
      <c r="RE484" s="202">
        <f t="shared" si="2550"/>
        <v>65339</v>
      </c>
      <c r="RF484" s="202">
        <f t="shared" si="2550"/>
        <v>1575859</v>
      </c>
      <c r="RG484" s="202">
        <f t="shared" si="2550"/>
        <v>0</v>
      </c>
      <c r="RH484" s="202">
        <f t="shared" si="2550"/>
        <v>0</v>
      </c>
      <c r="RI484" s="202">
        <f t="shared" si="2550"/>
        <v>0</v>
      </c>
      <c r="RJ484" s="202">
        <f t="shared" si="2550"/>
        <v>0</v>
      </c>
      <c r="RK484" s="202">
        <f t="shared" si="2550"/>
        <v>0</v>
      </c>
      <c r="RL484" s="202">
        <f t="shared" si="2550"/>
        <v>0</v>
      </c>
      <c r="RM484" s="203">
        <f t="shared" si="2550"/>
        <v>65339</v>
      </c>
      <c r="RN484" s="203">
        <f t="shared" si="2550"/>
        <v>1575859</v>
      </c>
      <c r="RO484" s="202">
        <f t="shared" si="2550"/>
        <v>0</v>
      </c>
      <c r="RP484" s="202">
        <f t="shared" si="2550"/>
        <v>0</v>
      </c>
      <c r="RQ484" s="202">
        <f t="shared" si="2550"/>
        <v>0</v>
      </c>
      <c r="RR484" s="202">
        <f t="shared" si="2550"/>
        <v>0</v>
      </c>
      <c r="RS484" s="202">
        <f t="shared" si="2550"/>
        <v>0</v>
      </c>
      <c r="RT484" s="202">
        <f t="shared" si="2550"/>
        <v>0</v>
      </c>
      <c r="RU484" s="202">
        <f t="shared" si="2550"/>
        <v>244780</v>
      </c>
      <c r="RV484" s="202">
        <f t="shared" si="2550"/>
        <v>5157835</v>
      </c>
      <c r="RW484" s="202">
        <f t="shared" si="2550"/>
        <v>0</v>
      </c>
      <c r="RX484" s="202">
        <f t="shared" si="2550"/>
        <v>0</v>
      </c>
      <c r="RY484" s="202">
        <f t="shared" si="2550"/>
        <v>0</v>
      </c>
      <c r="RZ484" s="202">
        <f t="shared" si="2550"/>
        <v>0</v>
      </c>
      <c r="SA484" s="202">
        <f t="shared" si="2550"/>
        <v>0</v>
      </c>
      <c r="SB484" s="202">
        <f t="shared" si="2550"/>
        <v>0</v>
      </c>
      <c r="SC484" s="203">
        <f t="shared" si="2550"/>
        <v>244780</v>
      </c>
      <c r="SD484" s="203">
        <f t="shared" si="2550"/>
        <v>5157835</v>
      </c>
      <c r="SE484" s="202">
        <f t="shared" si="2550"/>
        <v>0</v>
      </c>
      <c r="SF484" s="202">
        <f t="shared" si="2550"/>
        <v>0</v>
      </c>
      <c r="SG484" s="202">
        <f t="shared" si="2550"/>
        <v>0</v>
      </c>
      <c r="SH484" s="202">
        <f t="shared" si="2550"/>
        <v>0</v>
      </c>
      <c r="SI484" s="202">
        <f t="shared" si="2550"/>
        <v>0</v>
      </c>
      <c r="SJ484" s="202">
        <f t="shared" si="2550"/>
        <v>0</v>
      </c>
      <c r="SK484" s="202">
        <f t="shared" si="2550"/>
        <v>193100</v>
      </c>
      <c r="SL484" s="202">
        <f t="shared" si="2550"/>
        <v>3685600</v>
      </c>
      <c r="SM484" s="202">
        <f t="shared" si="2550"/>
        <v>0</v>
      </c>
      <c r="SN484" s="202">
        <f t="shared" si="2550"/>
        <v>0</v>
      </c>
      <c r="SO484" s="202">
        <f t="shared" si="2550"/>
        <v>0</v>
      </c>
      <c r="SP484" s="202">
        <f t="shared" si="2550"/>
        <v>0</v>
      </c>
      <c r="SQ484" s="202">
        <f t="shared" si="2550"/>
        <v>0</v>
      </c>
      <c r="SR484" s="202">
        <f t="shared" si="2550"/>
        <v>0</v>
      </c>
      <c r="SS484" s="203">
        <f t="shared" si="2550"/>
        <v>193100</v>
      </c>
      <c r="ST484" s="203">
        <f t="shared" si="2550"/>
        <v>3685600</v>
      </c>
      <c r="SU484" s="202">
        <f t="shared" si="2550"/>
        <v>0</v>
      </c>
      <c r="SV484" s="202">
        <f t="shared" ref="SV484:VG484" si="2551">SUM(SV485:SV521)</f>
        <v>0</v>
      </c>
      <c r="SW484" s="202">
        <f t="shared" si="2551"/>
        <v>0</v>
      </c>
      <c r="SX484" s="202">
        <f t="shared" si="2551"/>
        <v>0</v>
      </c>
      <c r="SY484" s="202">
        <f t="shared" si="2551"/>
        <v>0</v>
      </c>
      <c r="SZ484" s="202">
        <f t="shared" si="2551"/>
        <v>0</v>
      </c>
      <c r="TA484" s="202">
        <f t="shared" si="2551"/>
        <v>290624.94999999995</v>
      </c>
      <c r="TB484" s="202">
        <f t="shared" si="2551"/>
        <v>6407714.6219999995</v>
      </c>
      <c r="TC484" s="202">
        <f t="shared" si="2551"/>
        <v>0</v>
      </c>
      <c r="TD484" s="202">
        <f t="shared" si="2551"/>
        <v>0</v>
      </c>
      <c r="TE484" s="202">
        <f t="shared" si="2551"/>
        <v>0</v>
      </c>
      <c r="TF484" s="202">
        <f t="shared" si="2551"/>
        <v>0</v>
      </c>
      <c r="TG484" s="202">
        <f t="shared" si="2551"/>
        <v>0</v>
      </c>
      <c r="TH484" s="202">
        <f t="shared" si="2551"/>
        <v>0</v>
      </c>
      <c r="TI484" s="203">
        <f t="shared" si="2551"/>
        <v>290624.94999999995</v>
      </c>
      <c r="TJ484" s="203">
        <f t="shared" si="2551"/>
        <v>6407714.6219999995</v>
      </c>
      <c r="TK484" s="202">
        <f t="shared" si="2551"/>
        <v>0</v>
      </c>
      <c r="TL484" s="202">
        <f t="shared" si="2551"/>
        <v>0</v>
      </c>
      <c r="TM484" s="202">
        <f t="shared" si="2551"/>
        <v>0</v>
      </c>
      <c r="TN484" s="202">
        <f t="shared" si="2551"/>
        <v>0</v>
      </c>
      <c r="TO484" s="202">
        <f t="shared" si="2551"/>
        <v>0</v>
      </c>
      <c r="TP484" s="202">
        <f t="shared" si="2551"/>
        <v>0</v>
      </c>
      <c r="TQ484" s="202">
        <f t="shared" si="2551"/>
        <v>143400</v>
      </c>
      <c r="TR484" s="202">
        <f t="shared" si="2551"/>
        <v>2955300</v>
      </c>
      <c r="TS484" s="202">
        <f t="shared" si="2551"/>
        <v>0</v>
      </c>
      <c r="TT484" s="202">
        <f t="shared" si="2551"/>
        <v>0</v>
      </c>
      <c r="TU484" s="202">
        <f t="shared" si="2551"/>
        <v>18600</v>
      </c>
      <c r="TV484" s="202">
        <f t="shared" si="2551"/>
        <v>596250</v>
      </c>
      <c r="TW484" s="202">
        <f t="shared" si="2551"/>
        <v>0</v>
      </c>
      <c r="TX484" s="202">
        <f t="shared" si="2551"/>
        <v>0</v>
      </c>
      <c r="TY484" s="203">
        <f t="shared" si="2551"/>
        <v>162000</v>
      </c>
      <c r="TZ484" s="203">
        <f t="shared" si="2551"/>
        <v>3551550</v>
      </c>
      <c r="UA484" s="202">
        <f t="shared" si="2551"/>
        <v>0</v>
      </c>
      <c r="UB484" s="202">
        <f t="shared" si="2551"/>
        <v>0</v>
      </c>
      <c r="UC484" s="202">
        <f t="shared" si="2551"/>
        <v>0</v>
      </c>
      <c r="UD484" s="202">
        <f t="shared" si="2551"/>
        <v>0</v>
      </c>
      <c r="UE484" s="202">
        <f t="shared" si="2551"/>
        <v>0</v>
      </c>
      <c r="UF484" s="202">
        <f t="shared" si="2551"/>
        <v>0</v>
      </c>
      <c r="UG484" s="202">
        <f t="shared" si="2551"/>
        <v>228711</v>
      </c>
      <c r="UH484" s="202">
        <f t="shared" si="2551"/>
        <v>4188392.0039999997</v>
      </c>
      <c r="UI484" s="202">
        <f t="shared" si="2551"/>
        <v>0</v>
      </c>
      <c r="UJ484" s="202">
        <f t="shared" si="2551"/>
        <v>0</v>
      </c>
      <c r="UK484" s="202">
        <f t="shared" si="2551"/>
        <v>0</v>
      </c>
      <c r="UL484" s="202">
        <f t="shared" si="2551"/>
        <v>0</v>
      </c>
      <c r="UM484" s="202">
        <f t="shared" si="2551"/>
        <v>0</v>
      </c>
      <c r="UN484" s="202">
        <f t="shared" si="2551"/>
        <v>0</v>
      </c>
      <c r="UO484" s="203">
        <f t="shared" si="2551"/>
        <v>228711</v>
      </c>
      <c r="UP484" s="203">
        <f t="shared" si="2551"/>
        <v>4188392.0039999997</v>
      </c>
      <c r="UQ484" s="202">
        <f t="shared" si="2551"/>
        <v>0</v>
      </c>
      <c r="UR484" s="202">
        <f t="shared" si="2551"/>
        <v>0</v>
      </c>
      <c r="US484" s="202">
        <f t="shared" si="2551"/>
        <v>2627052</v>
      </c>
      <c r="UT484" s="202">
        <f t="shared" si="2551"/>
        <v>22829529</v>
      </c>
      <c r="UU484" s="202">
        <f t="shared" si="2551"/>
        <v>0</v>
      </c>
      <c r="UV484" s="202">
        <f t="shared" si="2551"/>
        <v>0</v>
      </c>
      <c r="UW484" s="202">
        <f t="shared" si="2551"/>
        <v>35863</v>
      </c>
      <c r="UX484" s="202">
        <f t="shared" si="2551"/>
        <v>689827</v>
      </c>
      <c r="UY484" s="202">
        <f t="shared" si="2551"/>
        <v>0</v>
      </c>
      <c r="UZ484" s="202">
        <f t="shared" si="2551"/>
        <v>0</v>
      </c>
      <c r="VA484" s="202">
        <f t="shared" si="2551"/>
        <v>0</v>
      </c>
      <c r="VB484" s="202">
        <f t="shared" si="2551"/>
        <v>0</v>
      </c>
      <c r="VC484" s="202">
        <f t="shared" si="2551"/>
        <v>0</v>
      </c>
      <c r="VD484" s="202">
        <f t="shared" si="2551"/>
        <v>0</v>
      </c>
      <c r="VE484" s="203">
        <f t="shared" si="2551"/>
        <v>2662915</v>
      </c>
      <c r="VF484" s="203">
        <f t="shared" si="2551"/>
        <v>23519356</v>
      </c>
      <c r="VG484" s="202">
        <f t="shared" si="2551"/>
        <v>0</v>
      </c>
      <c r="VH484" s="202">
        <f t="shared" ref="VH484:WL484" si="2552">SUM(VH485:VH521)</f>
        <v>0</v>
      </c>
      <c r="VI484" s="202">
        <f t="shared" si="2552"/>
        <v>229970</v>
      </c>
      <c r="VJ484" s="202">
        <f t="shared" si="2552"/>
        <v>9979736.6999999993</v>
      </c>
      <c r="VK484" s="202">
        <f t="shared" si="2552"/>
        <v>0</v>
      </c>
      <c r="VL484" s="202">
        <f t="shared" si="2552"/>
        <v>0</v>
      </c>
      <c r="VM484" s="202">
        <f t="shared" si="2552"/>
        <v>199112.2</v>
      </c>
      <c r="VN484" s="202">
        <f t="shared" si="2552"/>
        <v>4056530</v>
      </c>
      <c r="VO484" s="202">
        <f t="shared" si="2552"/>
        <v>0</v>
      </c>
      <c r="VP484" s="202">
        <f t="shared" si="2552"/>
        <v>0</v>
      </c>
      <c r="VQ484" s="202">
        <f t="shared" si="2552"/>
        <v>0</v>
      </c>
      <c r="VR484" s="202">
        <f t="shared" si="2552"/>
        <v>0</v>
      </c>
      <c r="VS484" s="202">
        <f t="shared" si="2552"/>
        <v>0</v>
      </c>
      <c r="VT484" s="202">
        <f t="shared" si="2552"/>
        <v>0</v>
      </c>
      <c r="VU484" s="203">
        <f t="shared" si="2552"/>
        <v>429082.2</v>
      </c>
      <c r="VV484" s="203">
        <f t="shared" si="2552"/>
        <v>14036266.699999999</v>
      </c>
      <c r="VW484" s="202">
        <f t="shared" si="2552"/>
        <v>0</v>
      </c>
      <c r="VX484" s="202">
        <f t="shared" si="2552"/>
        <v>0</v>
      </c>
      <c r="VY484" s="202">
        <f t="shared" si="2552"/>
        <v>5228433</v>
      </c>
      <c r="VZ484" s="202">
        <f t="shared" si="2552"/>
        <v>185596500</v>
      </c>
      <c r="WA484" s="202">
        <f t="shared" si="2552"/>
        <v>0</v>
      </c>
      <c r="WB484" s="202">
        <f t="shared" si="2552"/>
        <v>0</v>
      </c>
      <c r="WC484" s="202">
        <f t="shared" si="2552"/>
        <v>4674678</v>
      </c>
      <c r="WD484" s="202">
        <f t="shared" si="2552"/>
        <v>114032566</v>
      </c>
      <c r="WE484" s="202">
        <f t="shared" si="2552"/>
        <v>0</v>
      </c>
      <c r="WF484" s="202">
        <f t="shared" si="2552"/>
        <v>0</v>
      </c>
      <c r="WG484" s="202">
        <f t="shared" si="2552"/>
        <v>0</v>
      </c>
      <c r="WH484" s="202">
        <f t="shared" si="2552"/>
        <v>0</v>
      </c>
      <c r="WI484" s="202">
        <f t="shared" si="2552"/>
        <v>76409</v>
      </c>
      <c r="WJ484" s="202">
        <f t="shared" si="2552"/>
        <v>1604008</v>
      </c>
      <c r="WK484" s="203">
        <f t="shared" si="2552"/>
        <v>9979520</v>
      </c>
      <c r="WL484" s="203">
        <f t="shared" si="2552"/>
        <v>301233074</v>
      </c>
      <c r="WM484" s="89"/>
      <c r="WN484" s="202">
        <f>SUM(WN485:WN521)</f>
        <v>774415158.92607832</v>
      </c>
      <c r="WO484" s="202">
        <f t="shared" ref="WO484:XA484" si="2553">SUM(WO485:WO521)</f>
        <v>3994041159.9863362</v>
      </c>
      <c r="WP484" s="202">
        <f t="shared" si="2553"/>
        <v>282359631.46421683</v>
      </c>
      <c r="WQ484" s="202">
        <f t="shared" si="2553"/>
        <v>9677403259.5202045</v>
      </c>
      <c r="WR484" s="202">
        <f t="shared" si="2553"/>
        <v>0</v>
      </c>
      <c r="WS484" s="202">
        <f t="shared" si="2553"/>
        <v>0</v>
      </c>
      <c r="WT484" s="202">
        <f t="shared" si="2553"/>
        <v>356728672.96641654</v>
      </c>
      <c r="WU484" s="202">
        <f t="shared" si="2553"/>
        <v>7160588868.2689152</v>
      </c>
      <c r="WV484" s="202">
        <f t="shared" si="2553"/>
        <v>16250959.000366</v>
      </c>
      <c r="WW484" s="202">
        <f t="shared" si="2553"/>
        <v>444438214.01499999</v>
      </c>
      <c r="WX484" s="202">
        <f t="shared" si="2553"/>
        <v>6969165</v>
      </c>
      <c r="WY484" s="202">
        <f t="shared" si="2553"/>
        <v>129078479</v>
      </c>
      <c r="WZ484" s="202">
        <f t="shared" si="2553"/>
        <v>5609405.8600000003</v>
      </c>
      <c r="XA484" s="202">
        <f t="shared" si="2553"/>
        <v>132679570</v>
      </c>
      <c r="XB484" s="728">
        <f t="shared" ref="XB484" si="2554">SUM(XB485:XB521)</f>
        <v>1442332993.2170777</v>
      </c>
      <c r="XC484" s="728">
        <f t="shared" ref="XC484" si="2555">SUM(XC485:XC521)</f>
        <v>21538229550.790459</v>
      </c>
      <c r="XD484" s="203"/>
      <c r="XE484" s="202"/>
      <c r="XF484" s="202"/>
      <c r="XG484" s="203"/>
      <c r="XH484" s="202"/>
      <c r="XI484" s="202"/>
      <c r="XJ484" s="203"/>
      <c r="XK484" s="202">
        <f>SUM(XK485:XK521)</f>
        <v>7498112791.2353306</v>
      </c>
      <c r="XL484" s="202">
        <f t="shared" ref="XL484:XR484" si="2556">SUM(XL485:XL521)</f>
        <v>460689173.01536602</v>
      </c>
      <c r="XM484" s="202">
        <f t="shared" si="2556"/>
        <v>135955644</v>
      </c>
      <c r="XN484" s="202">
        <f t="shared" si="2556"/>
        <v>138288975.85999998</v>
      </c>
      <c r="XO484" s="202">
        <f t="shared" si="2556"/>
        <v>22430815120.407532</v>
      </c>
      <c r="XP484" s="202">
        <f t="shared" si="2556"/>
        <v>4762734668.9124146</v>
      </c>
      <c r="XQ484" s="202">
        <f t="shared" si="2556"/>
        <v>8392613607.3844213</v>
      </c>
      <c r="XR484" s="728">
        <f t="shared" ca="1" si="2556"/>
        <v>43045091495.444252</v>
      </c>
      <c r="XS484" s="203"/>
      <c r="XT484" s="202">
        <f>SUM(XT485:XT521)</f>
        <v>22312596449.716537</v>
      </c>
      <c r="XU484" s="202">
        <f t="shared" ref="XU484:YA484" si="2557">SUM(XU485:XU521)</f>
        <v>4242105144.4505529</v>
      </c>
      <c r="XV484" s="202">
        <f t="shared" si="2557"/>
        <v>9677403259.5202045</v>
      </c>
      <c r="XW484" s="202">
        <f t="shared" si="2557"/>
        <v>345489187.96641654</v>
      </c>
      <c r="XX484" s="202">
        <f t="shared" si="2557"/>
        <v>14674884413.504614</v>
      </c>
      <c r="XY484" s="202">
        <f t="shared" si="2557"/>
        <v>587310608.01499999</v>
      </c>
      <c r="XZ484" s="202">
        <f t="shared" si="2557"/>
        <v>22565478975.267532</v>
      </c>
      <c r="YA484" s="728">
        <f t="shared" ca="1" si="2557"/>
        <v>69230363098.008881</v>
      </c>
      <c r="YB484" s="202"/>
      <c r="YC484" s="202"/>
      <c r="YD484" s="202"/>
      <c r="YE484" s="202"/>
      <c r="YF484" s="202"/>
      <c r="YG484" s="202"/>
      <c r="YH484" s="202"/>
      <c r="YI484" s="202"/>
      <c r="YJ484" s="202"/>
      <c r="YK484" s="202"/>
      <c r="YL484" s="202"/>
      <c r="YM484" s="202"/>
      <c r="YN484" s="202"/>
      <c r="YO484" s="202"/>
      <c r="YP484" s="202"/>
      <c r="YQ484" s="202"/>
      <c r="YR484" s="202"/>
      <c r="YS484" s="202"/>
      <c r="YT484" s="202"/>
      <c r="YU484" s="202"/>
      <c r="YV484" s="202"/>
      <c r="YW484" s="202"/>
      <c r="YX484" s="202"/>
      <c r="YY484" s="202"/>
      <c r="YZ484" s="202"/>
      <c r="ZA484" s="202"/>
      <c r="ZB484" s="202"/>
      <c r="ZC484" s="202"/>
      <c r="ZD484" s="202"/>
      <c r="ZE484" s="202"/>
      <c r="ZF484" s="202"/>
      <c r="ZG484" s="202"/>
      <c r="ZH484" s="202"/>
      <c r="ZI484" s="202"/>
      <c r="ZJ484" s="202"/>
      <c r="ZK484" s="202"/>
      <c r="ZL484" s="202"/>
      <c r="ZM484" s="202"/>
      <c r="ZN484" s="202"/>
      <c r="ZO484" s="202"/>
      <c r="ZP484" s="202"/>
      <c r="ZQ484" s="202"/>
      <c r="ZR484" s="202"/>
      <c r="ZS484" s="202"/>
      <c r="ZT484" s="202"/>
      <c r="ZU484" s="202"/>
      <c r="ZV484" s="202"/>
      <c r="ZW484" s="202"/>
      <c r="ZX484" s="202"/>
      <c r="ZY484" s="202"/>
      <c r="ZZ484" s="202"/>
      <c r="AAA484" s="202"/>
      <c r="AAB484" s="202"/>
      <c r="AAC484" s="202"/>
      <c r="AAD484" s="202"/>
      <c r="AAE484" s="202"/>
      <c r="AAF484" s="202"/>
      <c r="AAG484" s="202"/>
      <c r="AAH484" s="202"/>
      <c r="AAI484" s="202"/>
      <c r="AAJ484" s="202"/>
      <c r="AAK484" s="202"/>
      <c r="AAL484" s="202"/>
      <c r="AAM484" s="202"/>
      <c r="AAN484" s="202"/>
      <c r="AAO484" s="202"/>
      <c r="AAP484" s="202"/>
      <c r="AAQ484" s="202"/>
      <c r="AAR484" s="202"/>
      <c r="AAS484" s="202"/>
      <c r="AAT484" s="202"/>
      <c r="AAU484" s="202"/>
      <c r="AAV484" s="202"/>
      <c r="AAW484" s="202"/>
      <c r="AAX484" s="202"/>
      <c r="AAY484" s="202"/>
      <c r="AAZ484" s="202"/>
      <c r="ABA484" s="202"/>
      <c r="ABB484" s="202"/>
      <c r="ABC484" s="202"/>
      <c r="ABD484" s="202"/>
      <c r="ABE484" s="202"/>
      <c r="ABF484" s="202"/>
      <c r="ABG484" s="202"/>
      <c r="ABH484" s="202"/>
      <c r="ABI484" s="202"/>
      <c r="ABJ484" s="202"/>
      <c r="ABK484" s="202"/>
      <c r="ABL484" s="202"/>
      <c r="ABM484" s="202"/>
      <c r="ABN484" s="202"/>
      <c r="ABO484" s="202"/>
      <c r="ABP484" s="202"/>
      <c r="ABQ484" s="202"/>
      <c r="ABR484" s="202"/>
      <c r="ABS484" s="202"/>
      <c r="ABT484" s="202"/>
      <c r="ABU484" s="202"/>
      <c r="ABV484" s="202"/>
      <c r="ABW484" s="202"/>
      <c r="ABX484" s="202"/>
      <c r="ABY484" s="202"/>
      <c r="ABZ484" s="202"/>
      <c r="ACA484" s="202"/>
      <c r="ACB484" s="202"/>
      <c r="ACC484" s="202"/>
      <c r="ACD484" s="202"/>
      <c r="ACE484" s="202"/>
      <c r="ACF484" s="202"/>
      <c r="ACG484" s="202"/>
      <c r="ACH484" s="202"/>
      <c r="ACI484" s="202"/>
      <c r="ACJ484" s="202"/>
      <c r="ACK484" s="202"/>
      <c r="ACL484" s="202"/>
      <c r="ACM484" s="202"/>
      <c r="ACN484" s="202"/>
      <c r="ACO484" s="202"/>
      <c r="ACP484" s="202"/>
      <c r="ACQ484" s="202"/>
      <c r="ACR484" s="202"/>
      <c r="ACS484" s="202"/>
      <c r="ACT484" s="202"/>
      <c r="ACU484" s="202"/>
      <c r="ACV484" s="202"/>
      <c r="ACW484" s="202"/>
      <c r="ACX484" s="202"/>
      <c r="ACY484" s="202"/>
      <c r="ACZ484" s="202"/>
      <c r="ADA484" s="202"/>
      <c r="ADB484" s="202"/>
      <c r="ADC484" s="202"/>
      <c r="ADD484" s="202"/>
      <c r="ADE484" s="202"/>
      <c r="ADF484" s="202"/>
      <c r="ADG484" s="202"/>
      <c r="ADH484" s="202"/>
      <c r="ADI484" s="202"/>
      <c r="ADJ484" s="202"/>
      <c r="ADK484" s="202"/>
      <c r="ADL484" s="202"/>
      <c r="ADM484" s="202"/>
      <c r="ADN484" s="202"/>
      <c r="ADO484" s="202"/>
      <c r="ADP484" s="202"/>
      <c r="ADQ484" s="202"/>
      <c r="ADR484" s="202"/>
      <c r="ADS484" s="202"/>
      <c r="ADT484" s="202"/>
      <c r="ADU484" s="202"/>
      <c r="ADV484" s="202"/>
      <c r="ADW484" s="202"/>
      <c r="ADX484" s="202"/>
      <c r="ADY484" s="202"/>
      <c r="ADZ484" s="202"/>
      <c r="AEA484" s="202"/>
      <c r="AEB484" s="202"/>
      <c r="AEC484" s="202"/>
      <c r="AED484" s="202"/>
      <c r="AEE484" s="202"/>
      <c r="AEF484" s="202"/>
      <c r="AEG484" s="202"/>
      <c r="AEH484" s="202"/>
      <c r="AEI484" s="202"/>
      <c r="AEJ484" s="202"/>
      <c r="AEK484" s="202"/>
      <c r="AEL484" s="202"/>
      <c r="AEM484" s="202"/>
      <c r="AEN484" s="202"/>
      <c r="AEO484" s="202"/>
      <c r="AEP484" s="202"/>
      <c r="AEQ484" s="202"/>
      <c r="AER484" s="202"/>
      <c r="AES484" s="202"/>
      <c r="AET484" s="202"/>
      <c r="AEU484" s="202"/>
      <c r="AEV484" s="202"/>
      <c r="AEW484" s="202"/>
      <c r="AEX484" s="202"/>
      <c r="AEY484" s="202"/>
      <c r="AEZ484" s="202"/>
      <c r="AFA484" s="202"/>
      <c r="AFB484" s="202"/>
      <c r="AFC484" s="202"/>
      <c r="AFD484" s="202"/>
      <c r="AFE484" s="202"/>
      <c r="AFF484" s="202"/>
      <c r="AFG484" s="202"/>
      <c r="AFH484" s="202"/>
      <c r="AFI484" s="202"/>
      <c r="AFJ484" s="202"/>
      <c r="AFK484" s="202"/>
      <c r="AFL484" s="202"/>
      <c r="AFM484" s="202"/>
      <c r="AFN484" s="202"/>
      <c r="AFO484" s="202"/>
      <c r="AFP484" s="202"/>
      <c r="AFQ484" s="202"/>
      <c r="AFR484" s="202"/>
      <c r="AFS484" s="202"/>
      <c r="AFT484" s="202"/>
      <c r="AFU484" s="202"/>
      <c r="AFV484" s="202"/>
      <c r="AFW484" s="202"/>
      <c r="AFX484" s="202"/>
      <c r="AFY484" s="202"/>
      <c r="AFZ484" s="202"/>
      <c r="AGA484" s="202"/>
      <c r="AGB484" s="202"/>
      <c r="AGC484" s="202"/>
      <c r="AGD484" s="202"/>
      <c r="AGE484" s="202"/>
      <c r="AGF484" s="202"/>
      <c r="AGG484" s="202"/>
      <c r="AGH484" s="202"/>
      <c r="AGI484" s="202"/>
      <c r="AGJ484" s="202"/>
      <c r="AGK484" s="202"/>
      <c r="AGL484" s="202"/>
      <c r="AGM484" s="202"/>
      <c r="AGN484" s="202"/>
      <c r="AGO484" s="202"/>
      <c r="AGP484" s="202"/>
      <c r="AGQ484" s="202"/>
      <c r="AGR484" s="202"/>
      <c r="AGS484" s="202"/>
      <c r="AGT484" s="202"/>
      <c r="AGU484" s="202"/>
      <c r="AGV484" s="202"/>
      <c r="AGW484" s="202"/>
      <c r="AGX484" s="202"/>
      <c r="AGY484" s="202"/>
      <c r="AGZ484" s="202"/>
      <c r="AHA484" s="202"/>
      <c r="AHB484" s="202"/>
      <c r="AHC484" s="202"/>
      <c r="AHD484" s="202"/>
      <c r="AHE484" s="202"/>
      <c r="AHF484" s="202"/>
      <c r="AHG484" s="202"/>
      <c r="AHH484" s="202"/>
      <c r="AHI484" s="202"/>
      <c r="AHJ484" s="202"/>
      <c r="AHK484" s="202"/>
      <c r="AHL484" s="202"/>
      <c r="AHM484" s="202"/>
      <c r="AHN484" s="202"/>
      <c r="AHO484" s="202"/>
      <c r="AHP484" s="202"/>
      <c r="AHQ484" s="202"/>
      <c r="AHR484" s="202"/>
      <c r="AHS484" s="202"/>
      <c r="AHT484" s="202"/>
      <c r="AHU484" s="202"/>
      <c r="AHV484" s="202"/>
      <c r="AHW484" s="202"/>
      <c r="AHX484" s="202"/>
      <c r="AHY484" s="202"/>
      <c r="AHZ484" s="202"/>
      <c r="AIA484" s="202"/>
      <c r="AIB484" s="202"/>
      <c r="AIC484" s="202"/>
      <c r="AID484" s="202"/>
      <c r="AIE484" s="202"/>
      <c r="AIF484" s="202"/>
      <c r="AIG484" s="202"/>
      <c r="AIH484" s="202"/>
      <c r="AII484" s="202"/>
      <c r="AIJ484" s="202"/>
      <c r="AIK484" s="202"/>
      <c r="AIL484" s="202"/>
      <c r="AIM484" s="202"/>
      <c r="AIN484" s="202"/>
      <c r="AIO484" s="202"/>
      <c r="AIP484" s="202"/>
      <c r="AIQ484" s="202"/>
      <c r="AIR484" s="202"/>
      <c r="AIS484" s="202"/>
      <c r="AIT484" s="202"/>
      <c r="AIU484" s="202"/>
      <c r="AIV484" s="202"/>
      <c r="AIW484" s="202"/>
      <c r="AIX484" s="202"/>
      <c r="AIY484" s="202"/>
      <c r="AIZ484" s="202"/>
      <c r="AJA484" s="202"/>
      <c r="AJB484" s="202"/>
      <c r="AJC484" s="202"/>
      <c r="AJD484" s="202"/>
      <c r="AJE484" s="202"/>
      <c r="AJF484" s="202"/>
      <c r="AJG484" s="202"/>
      <c r="AJH484" s="202"/>
      <c r="AJI484" s="202"/>
      <c r="AJJ484" s="202"/>
      <c r="AJK484" s="202"/>
      <c r="AJL484" s="202"/>
      <c r="AJM484" s="202"/>
      <c r="AJN484" s="202"/>
      <c r="AJO484" s="202"/>
      <c r="AJP484" s="202"/>
      <c r="AJQ484" s="202"/>
      <c r="AJR484" s="202"/>
      <c r="AJS484" s="202"/>
      <c r="AJT484" s="202"/>
      <c r="AJU484" s="202"/>
      <c r="AJV484" s="202"/>
      <c r="AJW484" s="202"/>
      <c r="AJX484" s="202"/>
      <c r="AJY484" s="202"/>
      <c r="AJZ484" s="202"/>
      <c r="AKA484" s="202"/>
      <c r="AKB484" s="202"/>
      <c r="AKC484" s="202"/>
      <c r="AKD484" s="202"/>
      <c r="AKE484" s="202"/>
      <c r="AKF484" s="202"/>
      <c r="AKG484" s="202"/>
      <c r="AKH484" s="202"/>
      <c r="AKI484" s="202"/>
      <c r="AKJ484" s="202"/>
      <c r="AKK484" s="202"/>
      <c r="AKL484" s="202"/>
      <c r="AKM484" s="202"/>
      <c r="AKN484" s="202"/>
      <c r="AKO484" s="202"/>
      <c r="AKP484" s="202"/>
      <c r="AKQ484" s="202"/>
      <c r="AKR484" s="202"/>
      <c r="AKS484" s="202"/>
      <c r="AKT484" s="202"/>
      <c r="AKU484" s="202"/>
      <c r="AKV484" s="202"/>
      <c r="AKW484" s="202"/>
      <c r="AKX484" s="202"/>
      <c r="AKY484" s="202"/>
      <c r="AKZ484" s="202"/>
      <c r="ALA484" s="202"/>
      <c r="ALB484" s="202"/>
      <c r="ALC484" s="202"/>
      <c r="ALD484" s="202"/>
      <c r="ALE484" s="202"/>
      <c r="ALF484" s="202"/>
      <c r="ALG484" s="202"/>
      <c r="ALH484" s="202"/>
      <c r="ALI484" s="202"/>
      <c r="ALJ484" s="202"/>
      <c r="ALK484" s="202"/>
      <c r="ALL484" s="202"/>
      <c r="ALM484" s="202"/>
      <c r="ALN484" s="202"/>
      <c r="ALO484" s="202"/>
      <c r="ALP484" s="202"/>
      <c r="ALQ484" s="202"/>
      <c r="ALR484" s="202"/>
      <c r="ALS484" s="202"/>
      <c r="ALT484" s="202"/>
      <c r="ALU484" s="202"/>
      <c r="ALV484" s="202"/>
      <c r="ALW484" s="202"/>
      <c r="ALX484" s="202"/>
      <c r="ALY484" s="202"/>
      <c r="ALZ484" s="202"/>
      <c r="AMA484" s="202"/>
      <c r="AMB484" s="202"/>
      <c r="AMC484" s="202"/>
    </row>
    <row r="485" spans="1:1017">
      <c r="B485" s="90" t="str">
        <f t="shared" ref="B485:B511" si="2558">B14</f>
        <v xml:space="preserve">Bandeng </v>
      </c>
      <c r="C485" s="98">
        <f t="shared" ref="C485:P485" si="2559">SUM(C14,C52,C90,C128,C166,C204,C242,C280,C318,C356,C394,C432)</f>
        <v>0</v>
      </c>
      <c r="D485" s="98">
        <f t="shared" si="2559"/>
        <v>0</v>
      </c>
      <c r="E485" s="98">
        <f t="shared" si="2559"/>
        <v>4561700</v>
      </c>
      <c r="F485" s="98">
        <f t="shared" si="2559"/>
        <v>132359200</v>
      </c>
      <c r="G485" s="98">
        <f t="shared" si="2559"/>
        <v>0</v>
      </c>
      <c r="H485" s="98">
        <f t="shared" si="2559"/>
        <v>0</v>
      </c>
      <c r="I485" s="98">
        <f t="shared" si="2559"/>
        <v>270100</v>
      </c>
      <c r="J485" s="98">
        <f t="shared" si="2559"/>
        <v>6752500</v>
      </c>
      <c r="K485" s="98">
        <f t="shared" si="2559"/>
        <v>0</v>
      </c>
      <c r="L485" s="98">
        <f t="shared" si="2559"/>
        <v>0</v>
      </c>
      <c r="M485" s="98">
        <f t="shared" si="2559"/>
        <v>0</v>
      </c>
      <c r="N485" s="98">
        <f t="shared" si="2559"/>
        <v>0</v>
      </c>
      <c r="O485" s="98">
        <f t="shared" si="2559"/>
        <v>0</v>
      </c>
      <c r="P485" s="98">
        <f t="shared" si="2559"/>
        <v>0</v>
      </c>
      <c r="Q485" s="198">
        <f>SUMIF($C$12:$P$12,$Q$12,C485:P485)</f>
        <v>4831800</v>
      </c>
      <c r="R485" s="198">
        <f>SUMIF($D$12:$Q$12,$R$12,D485:Q485)</f>
        <v>139111700</v>
      </c>
      <c r="S485" s="98">
        <f>SUM(S14,S52,S90,S128,S166,S204,S242,S280,S318,S356,S394,S432)</f>
        <v>0</v>
      </c>
      <c r="T485" s="98">
        <f t="shared" ref="T485:AD485" si="2560">SUM(T14,T52,T90,T128,T166,T204,T242,T280,T318,T356,T394,T432)</f>
        <v>0</v>
      </c>
      <c r="U485" s="98">
        <f t="shared" si="2560"/>
        <v>41675</v>
      </c>
      <c r="V485" s="98">
        <f t="shared" si="2560"/>
        <v>833500</v>
      </c>
      <c r="W485" s="98">
        <f t="shared" si="2560"/>
        <v>0</v>
      </c>
      <c r="X485" s="98">
        <f t="shared" si="2560"/>
        <v>0</v>
      </c>
      <c r="Y485" s="98">
        <f t="shared" si="2560"/>
        <v>0</v>
      </c>
      <c r="Z485" s="98">
        <f t="shared" si="2560"/>
        <v>0</v>
      </c>
      <c r="AA485" s="98">
        <f t="shared" si="2560"/>
        <v>0</v>
      </c>
      <c r="AB485" s="98">
        <f t="shared" si="2560"/>
        <v>0</v>
      </c>
      <c r="AC485" s="98">
        <f t="shared" si="2560"/>
        <v>0</v>
      </c>
      <c r="AD485" s="98">
        <f t="shared" si="2560"/>
        <v>0</v>
      </c>
      <c r="AE485" s="98">
        <f>SUM(AE14,AE52,AE90,AE128,AE166,AE204,AE242,AE280,AE318,AE356,AE394,AE432)</f>
        <v>0</v>
      </c>
      <c r="AF485" s="98">
        <f>SUM(AF14,AF52,AF90,AF128,AF166,AF204,AF242,AF280,AF318,AF356,AF394,AF432)</f>
        <v>0</v>
      </c>
      <c r="AG485" s="198">
        <f>SUMIF($S$12:$AF$12,$AG$12,S485:AF485)</f>
        <v>41675</v>
      </c>
      <c r="AH485" s="198">
        <f>SUMIF($T$12:$AG$12,$AH$12,T485:AG485)</f>
        <v>833500</v>
      </c>
      <c r="AI485" s="98">
        <f>SUM(AI14,AI52,AI90,AI128,AI166,AI204,AI242,AI280,AI318,AI356,AI394,AI432)</f>
        <v>0</v>
      </c>
      <c r="AJ485" s="98">
        <f t="shared" ref="AJ485:AV485" si="2561">SUM(AJ14,AJ52,AJ90,AJ128,AJ166,AJ204,AJ242,AJ280,AJ318,AJ356,AJ394,AJ432)</f>
        <v>0</v>
      </c>
      <c r="AK485" s="98">
        <f t="shared" si="2561"/>
        <v>0</v>
      </c>
      <c r="AL485" s="98">
        <f t="shared" si="2561"/>
        <v>0</v>
      </c>
      <c r="AM485" s="98">
        <f t="shared" si="2561"/>
        <v>0</v>
      </c>
      <c r="AN485" s="98">
        <f t="shared" si="2561"/>
        <v>0</v>
      </c>
      <c r="AO485" s="98">
        <f t="shared" si="2561"/>
        <v>0</v>
      </c>
      <c r="AP485" s="98">
        <f t="shared" si="2561"/>
        <v>0</v>
      </c>
      <c r="AQ485" s="98">
        <f t="shared" si="2561"/>
        <v>0</v>
      </c>
      <c r="AR485" s="98">
        <f t="shared" si="2561"/>
        <v>0</v>
      </c>
      <c r="AS485" s="98">
        <f t="shared" si="2561"/>
        <v>0</v>
      </c>
      <c r="AT485" s="98">
        <f t="shared" si="2561"/>
        <v>0</v>
      </c>
      <c r="AU485" s="98">
        <f t="shared" si="2561"/>
        <v>0</v>
      </c>
      <c r="AV485" s="98">
        <f t="shared" si="2561"/>
        <v>0</v>
      </c>
      <c r="AW485" s="198">
        <f>SUMIF($AI$12:$AV$12,$AW$12,AI485:AV485)</f>
        <v>0</v>
      </c>
      <c r="AX485" s="198">
        <f>SUMIF($AJ$12:$AW$12,$AX$12,AJ485:AW485)</f>
        <v>0</v>
      </c>
      <c r="AY485" s="98">
        <f>SUM(AY14,AY52,AY90,AY128,AY166,AY204,AY242,AY280,AY318,AY356,AY394,AY432)</f>
        <v>0</v>
      </c>
      <c r="AZ485" s="98">
        <f t="shared" ref="AZ485:BL485" si="2562">SUM(AZ14,AZ52,AZ90,AZ128,AZ166,AZ204,AZ242,AZ280,AZ318,AZ356,AZ394,AZ432)</f>
        <v>0</v>
      </c>
      <c r="BA485" s="98">
        <f t="shared" si="2562"/>
        <v>0</v>
      </c>
      <c r="BB485" s="98">
        <f t="shared" si="2562"/>
        <v>0</v>
      </c>
      <c r="BC485" s="98">
        <f t="shared" si="2562"/>
        <v>0</v>
      </c>
      <c r="BD485" s="98">
        <f t="shared" si="2562"/>
        <v>0</v>
      </c>
      <c r="BE485" s="98">
        <f t="shared" si="2562"/>
        <v>15813</v>
      </c>
      <c r="BF485" s="98">
        <f t="shared" si="2562"/>
        <v>268821</v>
      </c>
      <c r="BG485" s="98">
        <f t="shared" si="2562"/>
        <v>17732</v>
      </c>
      <c r="BH485" s="98">
        <f t="shared" si="2562"/>
        <v>301444</v>
      </c>
      <c r="BI485" s="98">
        <f t="shared" si="2562"/>
        <v>0</v>
      </c>
      <c r="BJ485" s="98">
        <f t="shared" si="2562"/>
        <v>0</v>
      </c>
      <c r="BK485" s="98">
        <f t="shared" si="2562"/>
        <v>0</v>
      </c>
      <c r="BL485" s="98">
        <f t="shared" si="2562"/>
        <v>0</v>
      </c>
      <c r="BM485" s="198">
        <f>SUMIF($AY$12:$BL$12,$BM$12,AY485:BL485)</f>
        <v>33545</v>
      </c>
      <c r="BN485" s="198">
        <f>SUMIF($AZ$12:$BM$12,$BN$12,AZ485:BM485)</f>
        <v>570265</v>
      </c>
      <c r="BO485" s="98">
        <f>SUM(BO14,BO52,BO90,BO128,BO166,BO204,BO242,BO280,BO318,BO356,BO394,BO432)</f>
        <v>0</v>
      </c>
      <c r="BP485" s="98">
        <f t="shared" ref="BP485:CB485" si="2563">SUM(BP14,BP52,BP90,BP128,BP166,BP204,BP242,BP280,BP318,BP356,BP394,BP432)</f>
        <v>0</v>
      </c>
      <c r="BQ485" s="98">
        <f t="shared" si="2563"/>
        <v>0</v>
      </c>
      <c r="BR485" s="98">
        <f t="shared" si="2563"/>
        <v>0</v>
      </c>
      <c r="BS485" s="98">
        <f t="shared" si="2563"/>
        <v>0</v>
      </c>
      <c r="BT485" s="98">
        <f t="shared" si="2563"/>
        <v>0</v>
      </c>
      <c r="BU485" s="98">
        <f t="shared" si="2563"/>
        <v>0</v>
      </c>
      <c r="BV485" s="98">
        <f t="shared" si="2563"/>
        <v>0</v>
      </c>
      <c r="BW485" s="98">
        <f t="shared" si="2563"/>
        <v>0</v>
      </c>
      <c r="BX485" s="98">
        <f t="shared" si="2563"/>
        <v>0</v>
      </c>
      <c r="BY485" s="98">
        <f t="shared" si="2563"/>
        <v>0</v>
      </c>
      <c r="BZ485" s="98">
        <f t="shared" si="2563"/>
        <v>0</v>
      </c>
      <c r="CA485" s="98">
        <f t="shared" si="2563"/>
        <v>0</v>
      </c>
      <c r="CB485" s="98">
        <f t="shared" si="2563"/>
        <v>0</v>
      </c>
      <c r="CC485" s="198">
        <f>SUMIF($BO$12:$CB$12,$CC$12,BO485:CB485)</f>
        <v>0</v>
      </c>
      <c r="CD485" s="198">
        <f>SUMIF($BP$12:$CC$12,$CD$12,BP485:CC485)</f>
        <v>0</v>
      </c>
      <c r="CE485" s="98">
        <f>SUM(CE14,CE52,CE90,CE128,CE166,CE204,CE242,CE280,CE318,CE356,CE394,CE432)</f>
        <v>0</v>
      </c>
      <c r="CF485" s="98">
        <f t="shared" ref="CF485:CR485" si="2564">SUM(CF14,CF52,CF90,CF128,CF166,CF204,CF242,CF280,CF318,CF356,CF394,CF432)</f>
        <v>0</v>
      </c>
      <c r="CG485" s="98">
        <f t="shared" si="2564"/>
        <v>49897644.895697385</v>
      </c>
      <c r="CH485" s="98">
        <f t="shared" si="2564"/>
        <v>1115896731.3740089</v>
      </c>
      <c r="CI485" s="98">
        <f t="shared" si="2564"/>
        <v>0</v>
      </c>
      <c r="CJ485" s="98">
        <f t="shared" si="2564"/>
        <v>0</v>
      </c>
      <c r="CK485" s="98">
        <f t="shared" si="2564"/>
        <v>41501212.795808762</v>
      </c>
      <c r="CL485" s="98">
        <f t="shared" si="2564"/>
        <v>863723308.85591936</v>
      </c>
      <c r="CM485" s="98">
        <f t="shared" si="2564"/>
        <v>0</v>
      </c>
      <c r="CN485" s="98">
        <f t="shared" si="2564"/>
        <v>0</v>
      </c>
      <c r="CO485" s="98">
        <f t="shared" si="2564"/>
        <v>0</v>
      </c>
      <c r="CP485" s="98">
        <f t="shared" si="2564"/>
        <v>0</v>
      </c>
      <c r="CQ485" s="98">
        <f t="shared" si="2564"/>
        <v>0</v>
      </c>
      <c r="CR485" s="98">
        <f t="shared" si="2564"/>
        <v>0</v>
      </c>
      <c r="CS485" s="198">
        <f>SUMIF($CE$12:$CR$12,$CS$12,CE485:CR485)</f>
        <v>91398857.691506147</v>
      </c>
      <c r="CT485" s="198">
        <f>SUMIF($CF$12:$CS$12,$CT$12,CF485:CS485)</f>
        <v>1979620040.2299283</v>
      </c>
      <c r="CU485" s="98">
        <f>SUM(CU14,CU52,CU90,CU128,CU166,CU204,CU242,CU280,CU318,CU356,CU394,CU432)</f>
        <v>0</v>
      </c>
      <c r="CV485" s="98">
        <f t="shared" ref="CV485:DH485" si="2565">SUM(CV14,CV52,CV90,CV128,CV166,CV204,CV242,CV280,CV318,CV356,CV394,CV432)</f>
        <v>0</v>
      </c>
      <c r="CW485" s="98">
        <f t="shared" si="2565"/>
        <v>45890.414057510257</v>
      </c>
      <c r="CX485" s="98">
        <f t="shared" si="2565"/>
        <v>898038.451</v>
      </c>
      <c r="CY485" s="98">
        <f t="shared" si="2565"/>
        <v>0</v>
      </c>
      <c r="CZ485" s="98">
        <f t="shared" si="2565"/>
        <v>0</v>
      </c>
      <c r="DA485" s="98">
        <f t="shared" si="2565"/>
        <v>0</v>
      </c>
      <c r="DB485" s="98">
        <f t="shared" si="2565"/>
        <v>0</v>
      </c>
      <c r="DC485" s="98">
        <f t="shared" si="2565"/>
        <v>0</v>
      </c>
      <c r="DD485" s="98">
        <f t="shared" si="2565"/>
        <v>0</v>
      </c>
      <c r="DE485" s="98">
        <f t="shared" si="2565"/>
        <v>0</v>
      </c>
      <c r="DF485" s="98">
        <f t="shared" si="2565"/>
        <v>0</v>
      </c>
      <c r="DG485" s="98">
        <f t="shared" si="2565"/>
        <v>0</v>
      </c>
      <c r="DH485" s="98">
        <f t="shared" si="2565"/>
        <v>0</v>
      </c>
      <c r="DI485" s="198">
        <f>SUMIF($CU$12:$DH$12,$DI$12,CU485:DH485)</f>
        <v>45890.414057510257</v>
      </c>
      <c r="DJ485" s="198">
        <f>SUMIF($CV$12:$DI$12,$DJ$12,CV485:DI485)</f>
        <v>898038.451</v>
      </c>
      <c r="DK485" s="98">
        <f>SUM(DK14,DK52,DK90,DK128,DK166,DK204,DK242,DK280,DK318,DK356,DK394,DK432)</f>
        <v>0</v>
      </c>
      <c r="DL485" s="98">
        <f t="shared" ref="DL485:DX485" si="2566">SUM(DL14,DL52,DL90,DL128,DL166,DL204,DL242,DL280,DL318,DL356,DL394,DL432)</f>
        <v>0</v>
      </c>
      <c r="DM485" s="98">
        <f t="shared" si="2566"/>
        <v>0</v>
      </c>
      <c r="DN485" s="98">
        <f t="shared" si="2566"/>
        <v>0</v>
      </c>
      <c r="DO485" s="98">
        <f t="shared" si="2566"/>
        <v>0</v>
      </c>
      <c r="DP485" s="98">
        <f t="shared" si="2566"/>
        <v>0</v>
      </c>
      <c r="DQ485" s="98">
        <f t="shared" si="2566"/>
        <v>0</v>
      </c>
      <c r="DR485" s="98">
        <f t="shared" si="2566"/>
        <v>0</v>
      </c>
      <c r="DS485" s="98">
        <f t="shared" si="2566"/>
        <v>0</v>
      </c>
      <c r="DT485" s="98">
        <f t="shared" si="2566"/>
        <v>0</v>
      </c>
      <c r="DU485" s="98">
        <f t="shared" si="2566"/>
        <v>0</v>
      </c>
      <c r="DV485" s="98">
        <f t="shared" si="2566"/>
        <v>0</v>
      </c>
      <c r="DW485" s="98">
        <f t="shared" si="2566"/>
        <v>0</v>
      </c>
      <c r="DX485" s="98">
        <f t="shared" si="2566"/>
        <v>0</v>
      </c>
      <c r="DY485" s="198">
        <f>SUMIF($DK$12:$DX$12,$DY$12,DK485:DX485)</f>
        <v>0</v>
      </c>
      <c r="DZ485" s="198">
        <f>SUMIF($DL$12:$DY$12,$DZ$12,DL485:DY485)</f>
        <v>0</v>
      </c>
      <c r="EA485" s="98">
        <f>SUM(EA14,EA52,EA90,EA128,EA166,EA204,EA242,EA280,EA318,EA356,EA394,EA432)</f>
        <v>0</v>
      </c>
      <c r="EB485" s="98">
        <f t="shared" ref="EB485:EN485" si="2567">SUM(EB14,EB52,EB90,EB128,EB166,EB204,EB242,EB280,EB318,EB356,EB394,EB432)</f>
        <v>0</v>
      </c>
      <c r="EC485" s="98">
        <f t="shared" si="2567"/>
        <v>0</v>
      </c>
      <c r="ED485" s="98">
        <f t="shared" si="2567"/>
        <v>0</v>
      </c>
      <c r="EE485" s="98">
        <f t="shared" si="2567"/>
        <v>0</v>
      </c>
      <c r="EF485" s="98">
        <f t="shared" si="2567"/>
        <v>0</v>
      </c>
      <c r="EG485" s="98">
        <f t="shared" si="2567"/>
        <v>0</v>
      </c>
      <c r="EH485" s="98">
        <f t="shared" si="2567"/>
        <v>0</v>
      </c>
      <c r="EI485" s="98">
        <f t="shared" si="2567"/>
        <v>0</v>
      </c>
      <c r="EJ485" s="98">
        <f t="shared" si="2567"/>
        <v>0</v>
      </c>
      <c r="EK485" s="98">
        <f t="shared" si="2567"/>
        <v>0</v>
      </c>
      <c r="EL485" s="98">
        <f t="shared" si="2567"/>
        <v>0</v>
      </c>
      <c r="EM485" s="98">
        <f t="shared" si="2567"/>
        <v>0</v>
      </c>
      <c r="EN485" s="98">
        <f t="shared" si="2567"/>
        <v>0</v>
      </c>
      <c r="EO485" s="198">
        <f>SUMIF($EA$12:$EN$12,$EO$12,EA485:EN485)</f>
        <v>0</v>
      </c>
      <c r="EP485" s="198">
        <f>SUMIF($EB$12:$EO$12,$EP$12,EB485:EO485)</f>
        <v>0</v>
      </c>
      <c r="EQ485" s="98">
        <f>SUM(EQ14,EQ52,EQ90,EQ128,EQ166,EQ204,EQ242,EQ280,EQ318,EQ356,EQ394,EQ432)</f>
        <v>0</v>
      </c>
      <c r="ER485" s="98">
        <f t="shared" ref="ER485:FD485" si="2568">SUM(ER14,ER52,ER90,ER128,ER166,ER204,ER242,ER280,ER318,ER356,ER394,ER432)</f>
        <v>0</v>
      </c>
      <c r="ES485" s="98">
        <f t="shared" si="2568"/>
        <v>518236</v>
      </c>
      <c r="ET485" s="98">
        <f t="shared" si="2568"/>
        <v>10872286</v>
      </c>
      <c r="EU485" s="98">
        <f t="shared" si="2568"/>
        <v>0</v>
      </c>
      <c r="EV485" s="98">
        <f t="shared" si="2568"/>
        <v>0</v>
      </c>
      <c r="EW485" s="98">
        <f t="shared" si="2568"/>
        <v>11794804</v>
      </c>
      <c r="EX485" s="98">
        <f t="shared" si="2568"/>
        <v>224744595</v>
      </c>
      <c r="EY485" s="98">
        <f t="shared" si="2568"/>
        <v>0</v>
      </c>
      <c r="EZ485" s="98">
        <f t="shared" si="2568"/>
        <v>0</v>
      </c>
      <c r="FA485" s="98">
        <f t="shared" si="2568"/>
        <v>0</v>
      </c>
      <c r="FB485" s="98">
        <f t="shared" si="2568"/>
        <v>0</v>
      </c>
      <c r="FC485" s="98">
        <f t="shared" si="2568"/>
        <v>0</v>
      </c>
      <c r="FD485" s="98">
        <f t="shared" si="2568"/>
        <v>0</v>
      </c>
      <c r="FE485" s="198">
        <f>SUMIF($EQ$12:$FD$12,$FE$12,EQ485:FD485)</f>
        <v>12313040</v>
      </c>
      <c r="FF485" s="198">
        <f>SUMIF($ER$12:$FE$12,$FF$12,ER485:FE485)</f>
        <v>235616881</v>
      </c>
      <c r="FG485" s="98">
        <f>SUM(FG14,FG52,FG90,FG128,FG166,FG204,FG242,FG280,FG318,FG356,FG394,FG432)</f>
        <v>0</v>
      </c>
      <c r="FH485" s="98">
        <f t="shared" ref="FH485:FT485" si="2569">SUM(FH14,FH52,FH90,FH128,FH166,FH204,FH242,FH280,FH318,FH356,FH394,FH432)</f>
        <v>0</v>
      </c>
      <c r="FI485" s="98">
        <f t="shared" si="2569"/>
        <v>0</v>
      </c>
      <c r="FJ485" s="98">
        <f t="shared" si="2569"/>
        <v>0</v>
      </c>
      <c r="FK485" s="98">
        <f t="shared" si="2569"/>
        <v>0</v>
      </c>
      <c r="FL485" s="98">
        <f t="shared" si="2569"/>
        <v>0</v>
      </c>
      <c r="FM485" s="98">
        <f t="shared" si="2569"/>
        <v>0</v>
      </c>
      <c r="FN485" s="98">
        <f t="shared" si="2569"/>
        <v>0</v>
      </c>
      <c r="FO485" s="98">
        <f t="shared" si="2569"/>
        <v>0</v>
      </c>
      <c r="FP485" s="98">
        <f t="shared" si="2569"/>
        <v>0</v>
      </c>
      <c r="FQ485" s="98">
        <f t="shared" si="2569"/>
        <v>0</v>
      </c>
      <c r="FR485" s="98">
        <f t="shared" si="2569"/>
        <v>0</v>
      </c>
      <c r="FS485" s="98">
        <f t="shared" si="2569"/>
        <v>0</v>
      </c>
      <c r="FT485" s="98">
        <f t="shared" si="2569"/>
        <v>0</v>
      </c>
      <c r="FU485" s="198">
        <f>SUMIF($FG$12:$FT$12,$FU$12,FG485:FT485)</f>
        <v>0</v>
      </c>
      <c r="FV485" s="198">
        <f>SUMIF($FH$12:$FU$12,$FV$12,FH485:FU485)</f>
        <v>0</v>
      </c>
      <c r="FW485" s="98">
        <f>SUM(FW14,FW52,FW90,FW128,FW166,FW204,FW242,FW280,FW318,FW356,FW394,FW432)</f>
        <v>0</v>
      </c>
      <c r="FX485" s="98">
        <f t="shared" ref="FX485:GJ485" si="2570">SUM(FX14,FX52,FX90,FX128,FX166,FX204,FX242,FX280,FX318,FX356,FX394,FX432)</f>
        <v>0</v>
      </c>
      <c r="FY485" s="98">
        <f t="shared" si="2570"/>
        <v>0</v>
      </c>
      <c r="FZ485" s="98">
        <f t="shared" si="2570"/>
        <v>0</v>
      </c>
      <c r="GA485" s="98">
        <f t="shared" si="2570"/>
        <v>0</v>
      </c>
      <c r="GB485" s="98">
        <f t="shared" si="2570"/>
        <v>0</v>
      </c>
      <c r="GC485" s="98">
        <f t="shared" si="2570"/>
        <v>0</v>
      </c>
      <c r="GD485" s="98">
        <f t="shared" si="2570"/>
        <v>0</v>
      </c>
      <c r="GE485" s="98">
        <f t="shared" si="2570"/>
        <v>0</v>
      </c>
      <c r="GF485" s="98">
        <f t="shared" si="2570"/>
        <v>0</v>
      </c>
      <c r="GG485" s="98">
        <f t="shared" si="2570"/>
        <v>0</v>
      </c>
      <c r="GH485" s="98">
        <f t="shared" si="2570"/>
        <v>0</v>
      </c>
      <c r="GI485" s="98">
        <f t="shared" si="2570"/>
        <v>0</v>
      </c>
      <c r="GJ485" s="98">
        <f t="shared" si="2570"/>
        <v>0</v>
      </c>
      <c r="GK485" s="198">
        <f>SUMIF($FW$12:$GJ$12,$GK$12,FW485:GJ485)</f>
        <v>0</v>
      </c>
      <c r="GL485" s="198">
        <f>SUMIF($FX$12:$GK$12,$GL$12,FX485:GK485)</f>
        <v>0</v>
      </c>
      <c r="GM485" s="98">
        <f>SUM(GM14,GM52,GM90,GM128,GM166,GM204,GM242,GM280,GM318,GM356,GM394,GM432)</f>
        <v>0</v>
      </c>
      <c r="GN485" s="98">
        <f t="shared" ref="GN485:GZ485" si="2571">SUM(GN14,GN52,GN90,GN128,GN166,GN204,GN242,GN280,GN318,GN356,GN394,GN432)</f>
        <v>0</v>
      </c>
      <c r="GO485" s="98">
        <f t="shared" si="2571"/>
        <v>0</v>
      </c>
      <c r="GP485" s="98">
        <f t="shared" si="2571"/>
        <v>0</v>
      </c>
      <c r="GQ485" s="98">
        <f t="shared" si="2571"/>
        <v>0</v>
      </c>
      <c r="GR485" s="98">
        <f t="shared" si="2571"/>
        <v>0</v>
      </c>
      <c r="GS485" s="98">
        <f t="shared" si="2571"/>
        <v>0</v>
      </c>
      <c r="GT485" s="98">
        <f t="shared" si="2571"/>
        <v>0</v>
      </c>
      <c r="GU485" s="98">
        <f t="shared" si="2571"/>
        <v>0</v>
      </c>
      <c r="GV485" s="98">
        <f t="shared" si="2571"/>
        <v>0</v>
      </c>
      <c r="GW485" s="98">
        <f t="shared" si="2571"/>
        <v>0</v>
      </c>
      <c r="GX485" s="98">
        <f t="shared" si="2571"/>
        <v>0</v>
      </c>
      <c r="GY485" s="98">
        <f t="shared" si="2571"/>
        <v>0</v>
      </c>
      <c r="GZ485" s="98">
        <f t="shared" si="2571"/>
        <v>0</v>
      </c>
      <c r="HA485" s="198">
        <f>SUMIF($GM$12:$GZ$12,$HA$12,$GM485:$GZ485)</f>
        <v>0</v>
      </c>
      <c r="HB485" s="198">
        <f>SUMIF($GM$12:$GZ$12,$HB$12,$GM485:$GZ485)</f>
        <v>0</v>
      </c>
      <c r="HC485" s="98">
        <f>SUM(HC14,HC52,HC90,HC128,HC166,HC204,HC242,HC280,HC318,HC356,HC394,HC432)</f>
        <v>0</v>
      </c>
      <c r="HD485" s="98">
        <f t="shared" ref="HD485:HP485" si="2572">SUM(HD14,HD52,HD90,HD128,HD166,HD204,HD242,HD280,HD318,HD356,HD394,HD432)</f>
        <v>0</v>
      </c>
      <c r="HE485" s="98">
        <f t="shared" si="2572"/>
        <v>0</v>
      </c>
      <c r="HF485" s="98">
        <f t="shared" si="2572"/>
        <v>0</v>
      </c>
      <c r="HG485" s="98">
        <f t="shared" si="2572"/>
        <v>0</v>
      </c>
      <c r="HH485" s="98">
        <f t="shared" si="2572"/>
        <v>0</v>
      </c>
      <c r="HI485" s="98">
        <f t="shared" si="2572"/>
        <v>0</v>
      </c>
      <c r="HJ485" s="98">
        <f t="shared" si="2572"/>
        <v>0</v>
      </c>
      <c r="HK485" s="98">
        <f t="shared" si="2572"/>
        <v>0</v>
      </c>
      <c r="HL485" s="98">
        <f t="shared" si="2572"/>
        <v>0</v>
      </c>
      <c r="HM485" s="98">
        <f t="shared" si="2572"/>
        <v>0</v>
      </c>
      <c r="HN485" s="98">
        <f t="shared" si="2572"/>
        <v>0</v>
      </c>
      <c r="HO485" s="98">
        <f t="shared" si="2572"/>
        <v>0</v>
      </c>
      <c r="HP485" s="98">
        <f t="shared" si="2572"/>
        <v>0</v>
      </c>
      <c r="HQ485" s="198">
        <f>SUMIF($HC$12:$HP$12,$HQ$12,HC485:HP485)</f>
        <v>0</v>
      </c>
      <c r="HR485" s="198">
        <f>SUMIF($HD$12:$HQ$12,$HR$12,HD485:HQ485)</f>
        <v>0</v>
      </c>
      <c r="HS485" s="98">
        <f>SUM(HS14,HS52,HS90,HS128,HS166,HS204,HS242,HS280,HS318,HS356,HS394,HS432)</f>
        <v>0</v>
      </c>
      <c r="HT485" s="98">
        <f t="shared" ref="HT485:IF485" si="2573">SUM(HT14,HT52,HT90,HT128,HT166,HT204,HT242,HT280,HT318,HT356,HT394,HT432)</f>
        <v>0</v>
      </c>
      <c r="HU485" s="98">
        <f t="shared" si="2573"/>
        <v>0</v>
      </c>
      <c r="HV485" s="98">
        <f t="shared" si="2573"/>
        <v>0</v>
      </c>
      <c r="HW485" s="98">
        <f t="shared" si="2573"/>
        <v>0</v>
      </c>
      <c r="HX485" s="98">
        <f t="shared" si="2573"/>
        <v>0</v>
      </c>
      <c r="HY485" s="98">
        <f t="shared" si="2573"/>
        <v>0</v>
      </c>
      <c r="HZ485" s="98">
        <f t="shared" si="2573"/>
        <v>0</v>
      </c>
      <c r="IA485" s="98">
        <f t="shared" si="2573"/>
        <v>0</v>
      </c>
      <c r="IB485" s="98">
        <f t="shared" si="2573"/>
        <v>0</v>
      </c>
      <c r="IC485" s="98">
        <f t="shared" si="2573"/>
        <v>0</v>
      </c>
      <c r="ID485" s="98">
        <f t="shared" si="2573"/>
        <v>0</v>
      </c>
      <c r="IE485" s="98">
        <f t="shared" si="2573"/>
        <v>0</v>
      </c>
      <c r="IF485" s="98">
        <f t="shared" si="2573"/>
        <v>0</v>
      </c>
      <c r="IG485" s="198">
        <f>SUMIF($HS$12:$IF$12,$IG$12,HS485:IF485)</f>
        <v>0</v>
      </c>
      <c r="IH485" s="198">
        <f>SUMIF($HT$12:$IG$12,$IH$12,HT485:IG485)</f>
        <v>0</v>
      </c>
      <c r="II485" s="98">
        <f>SUM(II14,II52,II90,II128,II166,II204,II242,II280,II318,II356,II394,II432)</f>
        <v>0</v>
      </c>
      <c r="IJ485" s="98">
        <f t="shared" ref="IJ485:IV485" si="2574">SUM(IJ14,IJ52,IJ90,IJ128,IJ166,IJ204,IJ242,IJ280,IJ318,IJ356,IJ394,IJ432)</f>
        <v>0</v>
      </c>
      <c r="IK485" s="98">
        <f t="shared" si="2574"/>
        <v>0</v>
      </c>
      <c r="IL485" s="98">
        <f t="shared" si="2574"/>
        <v>0</v>
      </c>
      <c r="IM485" s="98">
        <f t="shared" si="2574"/>
        <v>0</v>
      </c>
      <c r="IN485" s="98">
        <f t="shared" si="2574"/>
        <v>0</v>
      </c>
      <c r="IO485" s="98">
        <f t="shared" si="2574"/>
        <v>0</v>
      </c>
      <c r="IP485" s="98">
        <f t="shared" si="2574"/>
        <v>0</v>
      </c>
      <c r="IQ485" s="98">
        <f t="shared" si="2574"/>
        <v>0</v>
      </c>
      <c r="IR485" s="98">
        <f t="shared" si="2574"/>
        <v>0</v>
      </c>
      <c r="IS485" s="98">
        <f t="shared" si="2574"/>
        <v>0</v>
      </c>
      <c r="IT485" s="98">
        <f t="shared" si="2574"/>
        <v>0</v>
      </c>
      <c r="IU485" s="98">
        <f t="shared" si="2574"/>
        <v>0</v>
      </c>
      <c r="IV485" s="98">
        <f t="shared" si="2574"/>
        <v>0</v>
      </c>
      <c r="IW485" s="198">
        <f>SUMIF($II$12:$IV$12,$IW$12,II485:IV485)</f>
        <v>0</v>
      </c>
      <c r="IX485" s="198">
        <f>SUMIF($IJ$12:$IW$12,$IX$12,IJ485:IW485)</f>
        <v>0</v>
      </c>
      <c r="IY485" s="98">
        <f>SUM(IY14,IY52,IY90,IY128,IY166,IY204,IY242,IY280,IY318,IY356,IY394,IY432)</f>
        <v>0</v>
      </c>
      <c r="IZ485" s="98">
        <f t="shared" ref="IZ485:JL485" si="2575">SUM(IZ14,IZ52,IZ90,IZ128,IZ166,IZ204,IZ242,IZ280,IZ318,IZ356,IZ394,IZ432)</f>
        <v>0</v>
      </c>
      <c r="JA485" s="98">
        <f t="shared" si="2575"/>
        <v>0</v>
      </c>
      <c r="JB485" s="98">
        <f t="shared" si="2575"/>
        <v>0</v>
      </c>
      <c r="JC485" s="98">
        <f t="shared" si="2575"/>
        <v>0</v>
      </c>
      <c r="JD485" s="98">
        <f t="shared" si="2575"/>
        <v>0</v>
      </c>
      <c r="JE485" s="98">
        <f t="shared" si="2575"/>
        <v>0</v>
      </c>
      <c r="JF485" s="98">
        <f t="shared" si="2575"/>
        <v>0</v>
      </c>
      <c r="JG485" s="98">
        <f t="shared" si="2575"/>
        <v>0</v>
      </c>
      <c r="JH485" s="98">
        <f t="shared" si="2575"/>
        <v>0</v>
      </c>
      <c r="JI485" s="98">
        <f t="shared" si="2575"/>
        <v>0</v>
      </c>
      <c r="JJ485" s="98">
        <f t="shared" si="2575"/>
        <v>0</v>
      </c>
      <c r="JK485" s="98">
        <f t="shared" si="2575"/>
        <v>0</v>
      </c>
      <c r="JL485" s="98">
        <f t="shared" si="2575"/>
        <v>0</v>
      </c>
      <c r="JM485" s="198">
        <f>SUMIF($IY$12:$JL$12,$JM$12,IY485:JL485)</f>
        <v>0</v>
      </c>
      <c r="JN485" s="198">
        <f>SUMIF($IZ$12:$JM$12,$JN$12,IZ485:JM485)</f>
        <v>0</v>
      </c>
      <c r="JO485" s="98">
        <f>SUM(JO14,JO52,JO90,JO128,JO166,JO204,JO242,JO280,JO318,JO356,JO394,JO432)</f>
        <v>0</v>
      </c>
      <c r="JP485" s="98">
        <f t="shared" ref="JP485:KB485" si="2576">SUM(JP14,JP52,JP90,JP128,JP166,JP204,JP242,JP280,JP318,JP356,JP394,JP432)</f>
        <v>0</v>
      </c>
      <c r="JQ485" s="98">
        <f t="shared" si="2576"/>
        <v>0</v>
      </c>
      <c r="JR485" s="98">
        <f t="shared" si="2576"/>
        <v>0</v>
      </c>
      <c r="JS485" s="98">
        <f t="shared" si="2576"/>
        <v>0</v>
      </c>
      <c r="JT485" s="98">
        <f t="shared" si="2576"/>
        <v>0</v>
      </c>
      <c r="JU485" s="98">
        <f t="shared" si="2576"/>
        <v>0</v>
      </c>
      <c r="JV485" s="98">
        <f t="shared" si="2576"/>
        <v>0</v>
      </c>
      <c r="JW485" s="98">
        <f t="shared" si="2576"/>
        <v>0</v>
      </c>
      <c r="JX485" s="98">
        <f t="shared" si="2576"/>
        <v>0</v>
      </c>
      <c r="JY485" s="98">
        <f t="shared" si="2576"/>
        <v>0</v>
      </c>
      <c r="JZ485" s="98">
        <f t="shared" si="2576"/>
        <v>0</v>
      </c>
      <c r="KA485" s="98">
        <f t="shared" si="2576"/>
        <v>0</v>
      </c>
      <c r="KB485" s="98">
        <f t="shared" si="2576"/>
        <v>0</v>
      </c>
      <c r="KC485" s="198">
        <f>SUMIF($JO$12:$KB$12,$KC$12,JO485:KB485)</f>
        <v>0</v>
      </c>
      <c r="KD485" s="198">
        <f>SUMIF($JP$12:$KC$12,$KD$12,JP485:KC485)</f>
        <v>0</v>
      </c>
      <c r="KE485" s="98">
        <f>SUM(KE14,KE52,KE90,KE128,KE166,KE204,KE242,KE280,KE318,KE356,KE394,KE432)</f>
        <v>0</v>
      </c>
      <c r="KF485" s="98">
        <f t="shared" ref="KF485:KR485" si="2577">SUM(KF14,KF52,KF90,KF128,KF166,KF204,KF242,KF280,KF318,KF356,KF394,KF432)</f>
        <v>0</v>
      </c>
      <c r="KG485" s="98">
        <f t="shared" si="2577"/>
        <v>3243</v>
      </c>
      <c r="KH485" s="98">
        <f t="shared" si="2577"/>
        <v>97290</v>
      </c>
      <c r="KI485" s="98">
        <f t="shared" si="2577"/>
        <v>0</v>
      </c>
      <c r="KJ485" s="98">
        <f t="shared" si="2577"/>
        <v>0</v>
      </c>
      <c r="KK485" s="98">
        <f t="shared" si="2577"/>
        <v>0</v>
      </c>
      <c r="KL485" s="98">
        <f t="shared" si="2577"/>
        <v>0</v>
      </c>
      <c r="KM485" s="98">
        <f t="shared" si="2577"/>
        <v>0</v>
      </c>
      <c r="KN485" s="98">
        <f t="shared" si="2577"/>
        <v>0</v>
      </c>
      <c r="KO485" s="98">
        <f t="shared" si="2577"/>
        <v>0</v>
      </c>
      <c r="KP485" s="98">
        <f t="shared" si="2577"/>
        <v>0</v>
      </c>
      <c r="KQ485" s="98">
        <f t="shared" si="2577"/>
        <v>0</v>
      </c>
      <c r="KR485" s="98">
        <f t="shared" si="2577"/>
        <v>0</v>
      </c>
      <c r="KS485" s="198">
        <f>SUMIF($KE$12:$KR$12,$KS$12,KE485:KR485)</f>
        <v>3243</v>
      </c>
      <c r="KT485" s="198">
        <f>SUMIF($KF$12:$KS$12,$KT$12,KF485:KS485)</f>
        <v>97290</v>
      </c>
      <c r="KU485" s="98">
        <f>SUM(KU14,KU52,KU90,KU128,KU166,KU204,KU242,KU280,KU318,KU356,KU394,KU432)</f>
        <v>0</v>
      </c>
      <c r="KV485" s="98">
        <f t="shared" ref="KV485:LH485" si="2578">SUM(KV14,KV52,KV90,KV128,KV166,KV204,KV242,KV280,KV318,KV356,KV394,KV432)</f>
        <v>0</v>
      </c>
      <c r="KW485" s="98">
        <f t="shared" si="2578"/>
        <v>4701852.6500000004</v>
      </c>
      <c r="KX485" s="98">
        <f t="shared" si="2578"/>
        <v>83738548</v>
      </c>
      <c r="KY485" s="98">
        <f t="shared" si="2578"/>
        <v>0</v>
      </c>
      <c r="KZ485" s="98">
        <f t="shared" si="2578"/>
        <v>0</v>
      </c>
      <c r="LA485" s="98">
        <f t="shared" si="2578"/>
        <v>0</v>
      </c>
      <c r="LB485" s="98">
        <f t="shared" si="2578"/>
        <v>0</v>
      </c>
      <c r="LC485" s="98">
        <f t="shared" si="2578"/>
        <v>0</v>
      </c>
      <c r="LD485" s="98">
        <f t="shared" si="2578"/>
        <v>0</v>
      </c>
      <c r="LE485" s="98">
        <f t="shared" si="2578"/>
        <v>0</v>
      </c>
      <c r="LF485" s="98">
        <f t="shared" si="2578"/>
        <v>0</v>
      </c>
      <c r="LG485" s="98">
        <f t="shared" si="2578"/>
        <v>0</v>
      </c>
      <c r="LH485" s="98">
        <f t="shared" si="2578"/>
        <v>0</v>
      </c>
      <c r="LI485" s="198">
        <f>SUMIF($KU$12:$LH$12,$LI$12,KU485:LH485)</f>
        <v>4701852.6500000004</v>
      </c>
      <c r="LJ485" s="198">
        <f>SUMIF($KV$12:$LI$12,$LJ$12,KV485:LI485)</f>
        <v>83738548</v>
      </c>
      <c r="LK485" s="98">
        <f>SUM(LK14,LK52,LK90,LK128,LK166,LK204,LK242,LK280,LK318,LK356,LK394,LK432)</f>
        <v>0</v>
      </c>
      <c r="LL485" s="98">
        <f t="shared" ref="LL485:LX485" si="2579">SUM(LL14,LL52,LL90,LL128,LL166,LL204,LL242,LL280,LL318,LL356,LL394,LL432)</f>
        <v>0</v>
      </c>
      <c r="LM485" s="98">
        <f t="shared" si="2579"/>
        <v>0</v>
      </c>
      <c r="LN485" s="98">
        <f t="shared" si="2579"/>
        <v>0</v>
      </c>
      <c r="LO485" s="98">
        <f t="shared" si="2579"/>
        <v>0</v>
      </c>
      <c r="LP485" s="98">
        <f t="shared" si="2579"/>
        <v>0</v>
      </c>
      <c r="LQ485" s="98">
        <f t="shared" si="2579"/>
        <v>0</v>
      </c>
      <c r="LR485" s="98">
        <f t="shared" si="2579"/>
        <v>0</v>
      </c>
      <c r="LS485" s="98">
        <f t="shared" si="2579"/>
        <v>0</v>
      </c>
      <c r="LT485" s="98">
        <f t="shared" si="2579"/>
        <v>0</v>
      </c>
      <c r="LU485" s="98">
        <f t="shared" si="2579"/>
        <v>0</v>
      </c>
      <c r="LV485" s="98">
        <f t="shared" si="2579"/>
        <v>0</v>
      </c>
      <c r="LW485" s="98">
        <f t="shared" si="2579"/>
        <v>0</v>
      </c>
      <c r="LX485" s="98">
        <f t="shared" si="2579"/>
        <v>0</v>
      </c>
      <c r="LY485" s="198">
        <f>SUMIF($LK$12:$LX$12,$LY$12,LK485:LX485)</f>
        <v>0</v>
      </c>
      <c r="LZ485" s="198">
        <f>SUMIF($LL$12:$LY$12,$LZ$12,LL485:LY485)</f>
        <v>0</v>
      </c>
      <c r="MA485" s="98">
        <f>SUM(MA14,MA52,MA90,MA128,MA166,MA204,MA242,MA280,MA318,MA356,MA394,MA432)</f>
        <v>0</v>
      </c>
      <c r="MB485" s="98">
        <f t="shared" ref="MB485:MN485" si="2580">SUM(MB14,MB52,MB90,MB128,MB166,MB204,MB242,MB280,MB318,MB356,MB394,MB432)</f>
        <v>0</v>
      </c>
      <c r="MC485" s="98">
        <f t="shared" si="2580"/>
        <v>1020400</v>
      </c>
      <c r="MD485" s="98">
        <f t="shared" si="2580"/>
        <v>15306000</v>
      </c>
      <c r="ME485" s="98">
        <f t="shared" si="2580"/>
        <v>0</v>
      </c>
      <c r="MF485" s="98">
        <f t="shared" si="2580"/>
        <v>0</v>
      </c>
      <c r="MG485" s="98">
        <f t="shared" si="2580"/>
        <v>0</v>
      </c>
      <c r="MH485" s="98">
        <f t="shared" si="2580"/>
        <v>0</v>
      </c>
      <c r="MI485" s="98">
        <f t="shared" si="2580"/>
        <v>0</v>
      </c>
      <c r="MJ485" s="98">
        <f t="shared" si="2580"/>
        <v>0</v>
      </c>
      <c r="MK485" s="98">
        <f t="shared" si="2580"/>
        <v>0</v>
      </c>
      <c r="ML485" s="98">
        <f t="shared" si="2580"/>
        <v>0</v>
      </c>
      <c r="MM485" s="98">
        <f t="shared" si="2580"/>
        <v>0</v>
      </c>
      <c r="MN485" s="98">
        <f t="shared" si="2580"/>
        <v>0</v>
      </c>
      <c r="MO485" s="198">
        <f>SUMIF($MA$12:$MN$12,$MO$12,$MA485:$MN485)</f>
        <v>1020400</v>
      </c>
      <c r="MP485" s="198">
        <f>SUMIF($MA$12:$MN$12,$MP$12,$MA485:$MN485)</f>
        <v>15306000</v>
      </c>
      <c r="MQ485" s="98">
        <f>SUM(MQ14,MQ52,MQ90,MQ128,MQ166,MQ204,MQ242,MQ280,MQ318,MQ356,MQ394,MQ432)</f>
        <v>0</v>
      </c>
      <c r="MR485" s="98">
        <f t="shared" ref="MR485:ND485" si="2581">SUM(MR14,MR52,MR90,MR128,MR166,MR204,MR242,MR280,MR318,MR356,MR394,MR432)</f>
        <v>0</v>
      </c>
      <c r="MS485" s="98">
        <f t="shared" si="2581"/>
        <v>421876</v>
      </c>
      <c r="MT485" s="98">
        <f t="shared" si="2581"/>
        <v>11812528</v>
      </c>
      <c r="MU485" s="98">
        <f t="shared" si="2581"/>
        <v>0</v>
      </c>
      <c r="MV485" s="98">
        <f t="shared" si="2581"/>
        <v>0</v>
      </c>
      <c r="MW485" s="98">
        <f t="shared" si="2581"/>
        <v>0</v>
      </c>
      <c r="MX485" s="98">
        <f t="shared" si="2581"/>
        <v>0</v>
      </c>
      <c r="MY485" s="98">
        <f t="shared" si="2581"/>
        <v>0</v>
      </c>
      <c r="MZ485" s="98">
        <f t="shared" si="2581"/>
        <v>0</v>
      </c>
      <c r="NA485" s="98">
        <f t="shared" si="2581"/>
        <v>0</v>
      </c>
      <c r="NB485" s="98">
        <f t="shared" si="2581"/>
        <v>0</v>
      </c>
      <c r="NC485" s="98">
        <f t="shared" si="2581"/>
        <v>0</v>
      </c>
      <c r="ND485" s="98">
        <f t="shared" si="2581"/>
        <v>0</v>
      </c>
      <c r="NE485" s="198">
        <f>SUMIF($MQ$12:$ND$12,$NE$12,MQ485:ND485)</f>
        <v>421876</v>
      </c>
      <c r="NF485" s="198">
        <f>SUMIF($MR$12:$NE$12,$NF$12,MR485:NE485)</f>
        <v>11812528</v>
      </c>
      <c r="NG485" s="98">
        <f>SUM(NG14,NG52,NG90,NG128,NG166,NG204,NG242,NG280,NG318,NG356,NG394,NG432)</f>
        <v>0</v>
      </c>
      <c r="NH485" s="98">
        <f t="shared" ref="NH485:NT485" si="2582">SUM(NH14,NH52,NH90,NH128,NH166,NH204,NH242,NH280,NH318,NH356,NH394,NH432)</f>
        <v>0</v>
      </c>
      <c r="NI485" s="98">
        <f t="shared" si="2582"/>
        <v>35358000</v>
      </c>
      <c r="NJ485" s="98">
        <f t="shared" si="2582"/>
        <v>777876000</v>
      </c>
      <c r="NK485" s="98">
        <f t="shared" si="2582"/>
        <v>0</v>
      </c>
      <c r="NL485" s="98">
        <f t="shared" si="2582"/>
        <v>0</v>
      </c>
      <c r="NM485" s="98">
        <f t="shared" si="2582"/>
        <v>0</v>
      </c>
      <c r="NN485" s="98">
        <f t="shared" si="2582"/>
        <v>0</v>
      </c>
      <c r="NO485" s="98">
        <f t="shared" si="2582"/>
        <v>0</v>
      </c>
      <c r="NP485" s="98">
        <f t="shared" si="2582"/>
        <v>0</v>
      </c>
      <c r="NQ485" s="98">
        <f t="shared" si="2582"/>
        <v>0</v>
      </c>
      <c r="NR485" s="98">
        <f t="shared" si="2582"/>
        <v>0</v>
      </c>
      <c r="NS485" s="98">
        <f t="shared" si="2582"/>
        <v>0</v>
      </c>
      <c r="NT485" s="98">
        <f t="shared" si="2582"/>
        <v>0</v>
      </c>
      <c r="NU485" s="198">
        <f>SUMIF($NG$12:$NT$12,$NU$12,NG485:NT485)</f>
        <v>35358000</v>
      </c>
      <c r="NV485" s="198">
        <f>SUMIF($NH$12:$NU$12,$NV$12,NH485:NU485)</f>
        <v>777876000</v>
      </c>
      <c r="NW485" s="98">
        <f>SUM(NW14,NW52,NW90,NW128,NW166,NW204,NW242,NW280,NW318,NW356,NW394,NW432)</f>
        <v>1310</v>
      </c>
      <c r="NX485" s="98">
        <f t="shared" ref="NX485:OJ485" si="2583">SUM(NX14,NX52,NX90,NX128,NX166,NX204,NX242,NX280,NX318,NX356,NX394,NX432)</f>
        <v>82950</v>
      </c>
      <c r="NY485" s="98">
        <f t="shared" si="2583"/>
        <v>1910</v>
      </c>
      <c r="NZ485" s="98">
        <f t="shared" si="2583"/>
        <v>34380</v>
      </c>
      <c r="OA485" s="98">
        <f t="shared" si="2583"/>
        <v>0</v>
      </c>
      <c r="OB485" s="98">
        <f t="shared" si="2583"/>
        <v>0</v>
      </c>
      <c r="OC485" s="98">
        <f t="shared" si="2583"/>
        <v>0</v>
      </c>
      <c r="OD485" s="98">
        <f t="shared" si="2583"/>
        <v>0</v>
      </c>
      <c r="OE485" s="98">
        <f t="shared" si="2583"/>
        <v>0</v>
      </c>
      <c r="OF485" s="98">
        <f t="shared" si="2583"/>
        <v>0</v>
      </c>
      <c r="OG485" s="98">
        <f t="shared" si="2583"/>
        <v>0</v>
      </c>
      <c r="OH485" s="98">
        <f t="shared" si="2583"/>
        <v>0</v>
      </c>
      <c r="OI485" s="98">
        <f t="shared" si="2583"/>
        <v>0</v>
      </c>
      <c r="OJ485" s="98">
        <f t="shared" si="2583"/>
        <v>0</v>
      </c>
      <c r="OK485" s="198">
        <f>SUMIF($NW$12:$OJ$12,$OK$12,NW485:OJ485)</f>
        <v>3220</v>
      </c>
      <c r="OL485" s="198">
        <f>SUMIF($NX$12:$OK$12,$OL$12,NX485:OK485)</f>
        <v>117330</v>
      </c>
      <c r="OM485" s="98">
        <f>SUM(OM14,OM52,OM90,OM128,OM166,OM204,OM242,OM280,OM318,OM356,OM394,OM432)</f>
        <v>0</v>
      </c>
      <c r="ON485" s="98">
        <f t="shared" ref="ON485:OZ485" si="2584">SUM(ON14,ON52,ON90,ON128,ON166,ON204,ON242,ON280,ON318,ON356,ON394,ON432)</f>
        <v>0</v>
      </c>
      <c r="OO485" s="98">
        <f t="shared" si="2584"/>
        <v>513763</v>
      </c>
      <c r="OP485" s="98">
        <f t="shared" si="2584"/>
        <v>14293740</v>
      </c>
      <c r="OQ485" s="98">
        <f t="shared" si="2584"/>
        <v>0</v>
      </c>
      <c r="OR485" s="98">
        <f t="shared" si="2584"/>
        <v>0</v>
      </c>
      <c r="OS485" s="98">
        <f t="shared" si="2584"/>
        <v>0</v>
      </c>
      <c r="OT485" s="98">
        <f t="shared" si="2584"/>
        <v>0</v>
      </c>
      <c r="OU485" s="98">
        <f t="shared" si="2584"/>
        <v>0</v>
      </c>
      <c r="OV485" s="98">
        <f t="shared" si="2584"/>
        <v>0</v>
      </c>
      <c r="OW485" s="98">
        <f t="shared" si="2584"/>
        <v>0</v>
      </c>
      <c r="OX485" s="98">
        <f t="shared" si="2584"/>
        <v>0</v>
      </c>
      <c r="OY485" s="98">
        <f t="shared" si="2584"/>
        <v>0</v>
      </c>
      <c r="OZ485" s="98">
        <f t="shared" si="2584"/>
        <v>0</v>
      </c>
      <c r="PA485" s="198">
        <f>SUMIF($OM$12:$OZ$12,$PA$12,OM485:OZ485)</f>
        <v>513763</v>
      </c>
      <c r="PB485" s="198">
        <f>SUMIF($ON$12:$PA$12,$PB$12,ON485:PA485)</f>
        <v>14293740</v>
      </c>
      <c r="PC485" s="98">
        <f>SUM(PC14,PC52,PC90,PC128,PC166,PC204,PC242,PC280,PC318,PC356,PC394,PC432)</f>
        <v>0</v>
      </c>
      <c r="PD485" s="98">
        <f t="shared" ref="PD485:PP485" si="2585">SUM(PD14,PD52,PD90,PD128,PD166,PD204,PD242,PD280,PD318,PD356,PD394,PD432)</f>
        <v>0</v>
      </c>
      <c r="PE485" s="98">
        <f t="shared" si="2585"/>
        <v>0</v>
      </c>
      <c r="PF485" s="98">
        <f t="shared" si="2585"/>
        <v>0</v>
      </c>
      <c r="PG485" s="98">
        <f t="shared" si="2585"/>
        <v>0</v>
      </c>
      <c r="PH485" s="98">
        <f t="shared" si="2585"/>
        <v>0</v>
      </c>
      <c r="PI485" s="98">
        <f t="shared" si="2585"/>
        <v>0</v>
      </c>
      <c r="PJ485" s="98">
        <f t="shared" si="2585"/>
        <v>0</v>
      </c>
      <c r="PK485" s="98">
        <f t="shared" si="2585"/>
        <v>0</v>
      </c>
      <c r="PL485" s="98">
        <f t="shared" si="2585"/>
        <v>0</v>
      </c>
      <c r="PM485" s="98">
        <f t="shared" si="2585"/>
        <v>0</v>
      </c>
      <c r="PN485" s="98">
        <f t="shared" si="2585"/>
        <v>0</v>
      </c>
      <c r="PO485" s="98">
        <f t="shared" si="2585"/>
        <v>0</v>
      </c>
      <c r="PP485" s="98">
        <f t="shared" si="2585"/>
        <v>0</v>
      </c>
      <c r="PQ485" s="198">
        <f>SUMIF($PC$12:$PP$12,$PQ$12,PC485:PP485)</f>
        <v>0</v>
      </c>
      <c r="PR485" s="198">
        <f>SUMIF($PD$12:$PQ$12,$PR$12,PD485:PQ485)</f>
        <v>0</v>
      </c>
      <c r="PS485" s="98">
        <f>SUM(PS14,PS52,PS90,PS128,PS166,PS204,PS242,PS280,PS318,PS356,PS394,PS432)</f>
        <v>0</v>
      </c>
      <c r="PT485" s="98">
        <f t="shared" ref="PT485:QF485" si="2586">SUM(PT14,PT52,PT90,PT128,PT166,PT204,PT242,PT280,PT318,PT356,PT394,PT432)</f>
        <v>0</v>
      </c>
      <c r="PU485" s="98">
        <f t="shared" si="2586"/>
        <v>6012420</v>
      </c>
      <c r="PV485" s="98">
        <f t="shared" si="2586"/>
        <v>115564700</v>
      </c>
      <c r="PW485" s="98">
        <f t="shared" si="2586"/>
        <v>0</v>
      </c>
      <c r="PX485" s="98">
        <f t="shared" si="2586"/>
        <v>0</v>
      </c>
      <c r="PY485" s="98">
        <f t="shared" si="2586"/>
        <v>0</v>
      </c>
      <c r="PZ485" s="98">
        <f t="shared" si="2586"/>
        <v>0</v>
      </c>
      <c r="QA485" s="98">
        <f t="shared" si="2586"/>
        <v>5012570</v>
      </c>
      <c r="QB485" s="98">
        <f t="shared" si="2586"/>
        <v>99016440</v>
      </c>
      <c r="QC485" s="98">
        <f t="shared" si="2586"/>
        <v>0</v>
      </c>
      <c r="QD485" s="98">
        <f t="shared" si="2586"/>
        <v>0</v>
      </c>
      <c r="QE485" s="98">
        <f t="shared" si="2586"/>
        <v>0</v>
      </c>
      <c r="QF485" s="98">
        <f t="shared" si="2586"/>
        <v>0</v>
      </c>
      <c r="QG485" s="198">
        <f>SUMIF($PS$12:$QF$12,$QG$12,PS485:QF485)</f>
        <v>11024990</v>
      </c>
      <c r="QH485" s="198">
        <f>SUMIF($PT$12:$QG$12,$QH$12,PT485:QG485)</f>
        <v>214581140</v>
      </c>
      <c r="QI485" s="98">
        <f>SUM(QI14,QI52,QI90,QI128,QI166,QI204,QI242,QI280,QI318,QI356,QI394,QI432)</f>
        <v>0</v>
      </c>
      <c r="QJ485" s="98">
        <f t="shared" ref="QJ485:QV485" si="2587">SUM(QJ14,QJ52,QJ90,QJ128,QJ166,QJ204,QJ242,QJ280,QJ318,QJ356,QJ394,QJ432)</f>
        <v>0</v>
      </c>
      <c r="QK485" s="98">
        <f t="shared" si="2587"/>
        <v>0</v>
      </c>
      <c r="QL485" s="98">
        <f t="shared" si="2587"/>
        <v>0</v>
      </c>
      <c r="QM485" s="98">
        <f t="shared" si="2587"/>
        <v>0</v>
      </c>
      <c r="QN485" s="98">
        <f t="shared" si="2587"/>
        <v>0</v>
      </c>
      <c r="QO485" s="98">
        <f t="shared" si="2587"/>
        <v>0</v>
      </c>
      <c r="QP485" s="98">
        <f t="shared" si="2587"/>
        <v>0</v>
      </c>
      <c r="QQ485" s="98">
        <f t="shared" si="2587"/>
        <v>0</v>
      </c>
      <c r="QR485" s="98">
        <f t="shared" si="2587"/>
        <v>0</v>
      </c>
      <c r="QS485" s="98">
        <f t="shared" si="2587"/>
        <v>0</v>
      </c>
      <c r="QT485" s="98">
        <f t="shared" si="2587"/>
        <v>0</v>
      </c>
      <c r="QU485" s="98">
        <f t="shared" si="2587"/>
        <v>0</v>
      </c>
      <c r="QV485" s="98">
        <f t="shared" si="2587"/>
        <v>0</v>
      </c>
      <c r="QW485" s="198">
        <f>SUMIF($QI$12:$QV$12,$QW$12,QI485:QV485)</f>
        <v>0</v>
      </c>
      <c r="QX485" s="198">
        <f>SUMIF($QJ$12:$QW$12,$QX$12,QJ485:QW485)</f>
        <v>0</v>
      </c>
      <c r="QY485" s="98">
        <f>SUM(QY14,QY52,QY90,QY128,QY166,QY204,QY242,QY280,QY318,QY356,QY394,QY432)</f>
        <v>0</v>
      </c>
      <c r="QZ485" s="98">
        <f t="shared" ref="QZ485:RL485" si="2588">SUM(QZ14,QZ52,QZ90,QZ128,QZ166,QZ204,QZ242,QZ280,QZ318,QZ356,QZ394,QZ432)</f>
        <v>0</v>
      </c>
      <c r="RA485" s="98">
        <f t="shared" si="2588"/>
        <v>0</v>
      </c>
      <c r="RB485" s="98">
        <f t="shared" si="2588"/>
        <v>0</v>
      </c>
      <c r="RC485" s="98">
        <f t="shared" si="2588"/>
        <v>0</v>
      </c>
      <c r="RD485" s="98">
        <f t="shared" si="2588"/>
        <v>0</v>
      </c>
      <c r="RE485" s="98">
        <f t="shared" si="2588"/>
        <v>0</v>
      </c>
      <c r="RF485" s="98">
        <f t="shared" si="2588"/>
        <v>0</v>
      </c>
      <c r="RG485" s="98">
        <f t="shared" si="2588"/>
        <v>0</v>
      </c>
      <c r="RH485" s="98">
        <f t="shared" si="2588"/>
        <v>0</v>
      </c>
      <c r="RI485" s="98">
        <f t="shared" si="2588"/>
        <v>0</v>
      </c>
      <c r="RJ485" s="98">
        <f t="shared" si="2588"/>
        <v>0</v>
      </c>
      <c r="RK485" s="98">
        <f t="shared" si="2588"/>
        <v>0</v>
      </c>
      <c r="RL485" s="98">
        <f t="shared" si="2588"/>
        <v>0</v>
      </c>
      <c r="RM485" s="198">
        <f>SUMIF($QY$12:$RL$12,$RM$12,QY485:RL485)</f>
        <v>0</v>
      </c>
      <c r="RN485" s="198">
        <f>SUMIF($QZ$12:$RM$12,$RN$12,QZ485:RM485)</f>
        <v>0</v>
      </c>
      <c r="RO485" s="98">
        <f>SUM(RO14,RO52,RO90,RO128,RO166,RO204,RO242,RO280,RO318,RO356,RO394,RO432)</f>
        <v>0</v>
      </c>
      <c r="RP485" s="98">
        <f t="shared" ref="RP485:SB485" si="2589">SUM(RP14,RP52,RP90,RP128,RP166,RP204,RP242,RP280,RP318,RP356,RP394,RP432)</f>
        <v>0</v>
      </c>
      <c r="RQ485" s="98">
        <f t="shared" si="2589"/>
        <v>0</v>
      </c>
      <c r="RR485" s="98">
        <f t="shared" si="2589"/>
        <v>0</v>
      </c>
      <c r="RS485" s="98">
        <f t="shared" si="2589"/>
        <v>0</v>
      </c>
      <c r="RT485" s="98">
        <f t="shared" si="2589"/>
        <v>0</v>
      </c>
      <c r="RU485" s="98">
        <f t="shared" si="2589"/>
        <v>0</v>
      </c>
      <c r="RV485" s="98">
        <f t="shared" si="2589"/>
        <v>0</v>
      </c>
      <c r="RW485" s="98">
        <f t="shared" si="2589"/>
        <v>0</v>
      </c>
      <c r="RX485" s="98">
        <f t="shared" si="2589"/>
        <v>0</v>
      </c>
      <c r="RY485" s="98">
        <f t="shared" si="2589"/>
        <v>0</v>
      </c>
      <c r="RZ485" s="98">
        <f t="shared" si="2589"/>
        <v>0</v>
      </c>
      <c r="SA485" s="98">
        <f t="shared" si="2589"/>
        <v>0</v>
      </c>
      <c r="SB485" s="98">
        <f t="shared" si="2589"/>
        <v>0</v>
      </c>
      <c r="SC485" s="198">
        <f>SUMIF($RO$12:$SB$12,$SC$12,RO485:SB485)</f>
        <v>0</v>
      </c>
      <c r="SD485" s="198">
        <f>SUMIF($RP$12:$SC$12,$SD$12,RP485:SC485)</f>
        <v>0</v>
      </c>
      <c r="SE485" s="98">
        <f>SUM(SE14,SE52,SE90,SE128,SE166,SE204,SE242,SE280,SE318,SE356,SE394,SE432)</f>
        <v>0</v>
      </c>
      <c r="SF485" s="98">
        <f t="shared" ref="SF485:SR485" si="2590">SUM(SF14,SF52,SF90,SF128,SF166,SF204,SF242,SF280,SF318,SF356,SF394,SF432)</f>
        <v>0</v>
      </c>
      <c r="SG485" s="98">
        <f t="shared" si="2590"/>
        <v>0</v>
      </c>
      <c r="SH485" s="98">
        <f t="shared" si="2590"/>
        <v>0</v>
      </c>
      <c r="SI485" s="98">
        <f t="shared" si="2590"/>
        <v>0</v>
      </c>
      <c r="SJ485" s="98">
        <f t="shared" si="2590"/>
        <v>0</v>
      </c>
      <c r="SK485" s="98">
        <f t="shared" si="2590"/>
        <v>0</v>
      </c>
      <c r="SL485" s="98">
        <f t="shared" si="2590"/>
        <v>0</v>
      </c>
      <c r="SM485" s="98">
        <f t="shared" si="2590"/>
        <v>0</v>
      </c>
      <c r="SN485" s="98">
        <f t="shared" si="2590"/>
        <v>0</v>
      </c>
      <c r="SO485" s="98">
        <f t="shared" si="2590"/>
        <v>0</v>
      </c>
      <c r="SP485" s="98">
        <f t="shared" si="2590"/>
        <v>0</v>
      </c>
      <c r="SQ485" s="98">
        <f t="shared" si="2590"/>
        <v>0</v>
      </c>
      <c r="SR485" s="98">
        <f t="shared" si="2590"/>
        <v>0</v>
      </c>
      <c r="SS485" s="198">
        <f>SUMIF($SE$12:$SR$12,$SS$12,SE485:SR485)</f>
        <v>0</v>
      </c>
      <c r="ST485" s="198">
        <f>SUMIF($SF$12:$SS$12,$ST$12,SF485:SS485)</f>
        <v>0</v>
      </c>
      <c r="SU485" s="98">
        <f>SUM(SU14,SU52,SU90,SU128,SU166,SU204,SU242,SU280,SU318,SU356,SU394,SU432)</f>
        <v>0</v>
      </c>
      <c r="SV485" s="98">
        <f t="shared" ref="SV485:TH485" si="2591">SUM(SV14,SV52,SV90,SV128,SV166,SV204,SV242,SV280,SV318,SV356,SV394,SV432)</f>
        <v>0</v>
      </c>
      <c r="SW485" s="98">
        <f t="shared" si="2591"/>
        <v>0</v>
      </c>
      <c r="SX485" s="98">
        <f t="shared" si="2591"/>
        <v>0</v>
      </c>
      <c r="SY485" s="98">
        <f t="shared" si="2591"/>
        <v>0</v>
      </c>
      <c r="SZ485" s="98">
        <f t="shared" si="2591"/>
        <v>0</v>
      </c>
      <c r="TA485" s="98">
        <f t="shared" si="2591"/>
        <v>0</v>
      </c>
      <c r="TB485" s="98">
        <f t="shared" si="2591"/>
        <v>0</v>
      </c>
      <c r="TC485" s="98">
        <f t="shared" si="2591"/>
        <v>0</v>
      </c>
      <c r="TD485" s="98">
        <f t="shared" si="2591"/>
        <v>0</v>
      </c>
      <c r="TE485" s="98">
        <f t="shared" si="2591"/>
        <v>0</v>
      </c>
      <c r="TF485" s="98">
        <f t="shared" si="2591"/>
        <v>0</v>
      </c>
      <c r="TG485" s="98">
        <f t="shared" si="2591"/>
        <v>0</v>
      </c>
      <c r="TH485" s="98">
        <f t="shared" si="2591"/>
        <v>0</v>
      </c>
      <c r="TI485" s="198">
        <f>SUMIF($SU$12:$TH$12,$TI$12,SU485:TH485)</f>
        <v>0</v>
      </c>
      <c r="TJ485" s="198">
        <f>SUMIF($SV$12:$TI$12,$TJ$12,SV485:TI485)</f>
        <v>0</v>
      </c>
      <c r="TK485" s="98">
        <f>SUM(TK14,TK52,TK90,TK128,TK166,TK204,TK242,TK280,TK318,TK356,TK394,TK432)</f>
        <v>0</v>
      </c>
      <c r="TL485" s="98">
        <f t="shared" ref="TL485:TX485" si="2592">SUM(TL14,TL52,TL90,TL128,TL166,TL204,TL242,TL280,TL318,TL356,TL394,TL432)</f>
        <v>0</v>
      </c>
      <c r="TM485" s="98">
        <f t="shared" si="2592"/>
        <v>0</v>
      </c>
      <c r="TN485" s="98">
        <f t="shared" si="2592"/>
        <v>0</v>
      </c>
      <c r="TO485" s="98">
        <f t="shared" si="2592"/>
        <v>0</v>
      </c>
      <c r="TP485" s="98">
        <f t="shared" si="2592"/>
        <v>0</v>
      </c>
      <c r="TQ485" s="98">
        <f t="shared" si="2592"/>
        <v>0</v>
      </c>
      <c r="TR485" s="98">
        <f t="shared" si="2592"/>
        <v>0</v>
      </c>
      <c r="TS485" s="98">
        <f t="shared" si="2592"/>
        <v>0</v>
      </c>
      <c r="TT485" s="98">
        <f t="shared" si="2592"/>
        <v>0</v>
      </c>
      <c r="TU485" s="98">
        <f t="shared" si="2592"/>
        <v>0</v>
      </c>
      <c r="TV485" s="98">
        <f t="shared" si="2592"/>
        <v>0</v>
      </c>
      <c r="TW485" s="98">
        <f t="shared" si="2592"/>
        <v>0</v>
      </c>
      <c r="TX485" s="98">
        <f t="shared" si="2592"/>
        <v>0</v>
      </c>
      <c r="TY485" s="198">
        <f>SUMIF($TK$12:$TX$12,$TY$12,TK485:TX485)</f>
        <v>0</v>
      </c>
      <c r="TZ485" s="198">
        <f>SUMIF($TL$12:$TY$12,$TZ$12,TL485:TY485)</f>
        <v>0</v>
      </c>
      <c r="UA485" s="98">
        <f>SUM(UA14,UA52,UA90,UA128,UA166,UA204,UA242,UA280,UA318,UA356,UA394,UA432)</f>
        <v>0</v>
      </c>
      <c r="UB485" s="98">
        <f t="shared" ref="UB485:UN485" si="2593">SUM(UB14,UB52,UB90,UB128,UB166,UB204,UB242,UB280,UB318,UB356,UB394,UB432)</f>
        <v>0</v>
      </c>
      <c r="UC485" s="98">
        <f t="shared" si="2593"/>
        <v>0</v>
      </c>
      <c r="UD485" s="98">
        <f t="shared" si="2593"/>
        <v>0</v>
      </c>
      <c r="UE485" s="98">
        <f t="shared" si="2593"/>
        <v>0</v>
      </c>
      <c r="UF485" s="98">
        <f t="shared" si="2593"/>
        <v>0</v>
      </c>
      <c r="UG485" s="98">
        <f t="shared" si="2593"/>
        <v>0</v>
      </c>
      <c r="UH485" s="98">
        <f t="shared" si="2593"/>
        <v>0</v>
      </c>
      <c r="UI485" s="98">
        <f t="shared" si="2593"/>
        <v>0</v>
      </c>
      <c r="UJ485" s="98">
        <f t="shared" si="2593"/>
        <v>0</v>
      </c>
      <c r="UK485" s="98">
        <f t="shared" si="2593"/>
        <v>0</v>
      </c>
      <c r="UL485" s="98">
        <f t="shared" si="2593"/>
        <v>0</v>
      </c>
      <c r="UM485" s="98">
        <f t="shared" si="2593"/>
        <v>0</v>
      </c>
      <c r="UN485" s="98">
        <f t="shared" si="2593"/>
        <v>0</v>
      </c>
      <c r="UO485" s="198">
        <f>SUMIF($UA$12:$UN$12,$UO$12,UA485:UN485)</f>
        <v>0</v>
      </c>
      <c r="UP485" s="198">
        <f>SUMIF($UB$12:$UO$12,$UP$12,UB485:UO485)</f>
        <v>0</v>
      </c>
      <c r="UQ485" s="98">
        <f>SUM(UQ14,UQ52,UQ90,UQ128,UQ166,UQ204,UQ242,UQ280,UQ318,UQ356,UQ394,UQ432)</f>
        <v>0</v>
      </c>
      <c r="UR485" s="98">
        <f t="shared" ref="UR485:VD485" si="2594">SUM(UR14,UR52,UR90,UR128,UR166,UR204,UR242,UR280,UR318,UR356,UR394,UR432)</f>
        <v>0</v>
      </c>
      <c r="US485" s="98">
        <f t="shared" si="2594"/>
        <v>1133090</v>
      </c>
      <c r="UT485" s="98">
        <f t="shared" si="2594"/>
        <v>18816404</v>
      </c>
      <c r="UU485" s="98">
        <f t="shared" si="2594"/>
        <v>0</v>
      </c>
      <c r="UV485" s="98">
        <f t="shared" si="2594"/>
        <v>0</v>
      </c>
      <c r="UW485" s="98">
        <f t="shared" si="2594"/>
        <v>0</v>
      </c>
      <c r="UX485" s="98">
        <f t="shared" si="2594"/>
        <v>0</v>
      </c>
      <c r="UY485" s="98">
        <f t="shared" si="2594"/>
        <v>0</v>
      </c>
      <c r="UZ485" s="98">
        <f t="shared" si="2594"/>
        <v>0</v>
      </c>
      <c r="VA485" s="98">
        <f t="shared" si="2594"/>
        <v>0</v>
      </c>
      <c r="VB485" s="98">
        <f t="shared" si="2594"/>
        <v>0</v>
      </c>
      <c r="VC485" s="98">
        <f t="shared" si="2594"/>
        <v>0</v>
      </c>
      <c r="VD485" s="98">
        <f t="shared" si="2594"/>
        <v>0</v>
      </c>
      <c r="VE485" s="198">
        <f>SUMIF($UQ$12:$VD$12,$VE$12,UQ485:VD485)</f>
        <v>1133090</v>
      </c>
      <c r="VF485" s="198">
        <f>SUMIF($UR$12:$VE$12,$VF$12,UR485:VE485)</f>
        <v>18816404</v>
      </c>
      <c r="VG485" s="98">
        <f>SUM(VG14,VG52,VG90,VG128,VG166,VG204,VG242,VG280,VG318,VG356,VG394,VG432)</f>
        <v>0</v>
      </c>
      <c r="VH485" s="98">
        <f t="shared" ref="VH485:VT485" si="2595">SUM(VH14,VH52,VH90,VH128,VH166,VH204,VH242,VH280,VH318,VH356,VH394,VH432)</f>
        <v>0</v>
      </c>
      <c r="VI485" s="98">
        <f t="shared" si="2595"/>
        <v>60320.7</v>
      </c>
      <c r="VJ485" s="98">
        <f t="shared" si="2595"/>
        <v>965131.2</v>
      </c>
      <c r="VK485" s="98">
        <f t="shared" si="2595"/>
        <v>0</v>
      </c>
      <c r="VL485" s="98">
        <f t="shared" si="2595"/>
        <v>0</v>
      </c>
      <c r="VM485" s="98">
        <f t="shared" si="2595"/>
        <v>0</v>
      </c>
      <c r="VN485" s="98">
        <f t="shared" si="2595"/>
        <v>0</v>
      </c>
      <c r="VO485" s="98">
        <f t="shared" si="2595"/>
        <v>0</v>
      </c>
      <c r="VP485" s="98">
        <f t="shared" si="2595"/>
        <v>0</v>
      </c>
      <c r="VQ485" s="98">
        <f t="shared" si="2595"/>
        <v>0</v>
      </c>
      <c r="VR485" s="98">
        <f t="shared" si="2595"/>
        <v>0</v>
      </c>
      <c r="VS485" s="98">
        <f t="shared" si="2595"/>
        <v>0</v>
      </c>
      <c r="VT485" s="98">
        <f t="shared" si="2595"/>
        <v>0</v>
      </c>
      <c r="VU485" s="198">
        <f>SUMIF($VG$12:$VT$12,$VU$12,VG485:VT485)</f>
        <v>60320.7</v>
      </c>
      <c r="VV485" s="198">
        <f>SUMIF($VH$12:$VU$12,$VV$12,VH485:VU485)</f>
        <v>965131.2</v>
      </c>
      <c r="VW485" s="98">
        <f>SUM(VW14,VW52,VW90,VW128,VW166,VW204,VW242,VW280,VW318,VW356,VW394,VW432)</f>
        <v>0</v>
      </c>
      <c r="VX485" s="98">
        <f t="shared" ref="VX485:WJ485" si="2596">SUM(VX14,VX52,VX90,VX128,VX166,VX204,VX242,VX280,VX318,VX356,VX394,VX432)</f>
        <v>0</v>
      </c>
      <c r="VY485" s="98">
        <f t="shared" si="2596"/>
        <v>3599669</v>
      </c>
      <c r="VZ485" s="98">
        <f t="shared" si="2596"/>
        <v>118713245</v>
      </c>
      <c r="WA485" s="98">
        <f t="shared" si="2596"/>
        <v>0</v>
      </c>
      <c r="WB485" s="98">
        <f t="shared" si="2596"/>
        <v>0</v>
      </c>
      <c r="WC485" s="98">
        <f t="shared" si="2596"/>
        <v>1071728</v>
      </c>
      <c r="WD485" s="98">
        <f t="shared" si="2596"/>
        <v>32126690</v>
      </c>
      <c r="WE485" s="98">
        <f t="shared" si="2596"/>
        <v>0</v>
      </c>
      <c r="WF485" s="98">
        <f t="shared" si="2596"/>
        <v>0</v>
      </c>
      <c r="WG485" s="98">
        <f t="shared" si="2596"/>
        <v>0</v>
      </c>
      <c r="WH485" s="98">
        <f t="shared" si="2596"/>
        <v>0</v>
      </c>
      <c r="WI485" s="98">
        <f t="shared" si="2596"/>
        <v>0</v>
      </c>
      <c r="WJ485" s="98">
        <f t="shared" si="2596"/>
        <v>0</v>
      </c>
      <c r="WK485" s="198">
        <f>SUMIF($VW$12:$WJ$12,$WK$12,VW485:WJ485)</f>
        <v>4671397</v>
      </c>
      <c r="WL485" s="198">
        <f>SUMIF($VX$12:$WK$12,$WL$12,VX485:WK485)</f>
        <v>150839935</v>
      </c>
      <c r="WN485" s="98">
        <f>SUMIF($C$481:$WL$481,$WN$481,C485:WL485)</f>
        <v>1310</v>
      </c>
      <c r="WO485" s="98">
        <f>SUMIF($C$481:$WL$481,$WO$481,C485:WL485)</f>
        <v>82950</v>
      </c>
      <c r="WP485" s="98">
        <f>SUMIF($C$481:$WL$481,$WP$481,C485:WL485)</f>
        <v>107891690.65975489</v>
      </c>
      <c r="WQ485" s="98">
        <f>SUMIF($C$481:$WL$481,$WQ$481,C485:WL485)</f>
        <v>2418077722.0250087</v>
      </c>
      <c r="WR485" s="98">
        <f>SUMIF($C$481:$WL$481,$WR$481,C485:WL485)</f>
        <v>0</v>
      </c>
      <c r="WS485" s="98">
        <f>SUMIF($C$481:$WL$481,$WS$481,C485:WL485)</f>
        <v>0</v>
      </c>
      <c r="WT485" s="98">
        <f>SUMIF($C$481:$WL$481,$WT$481,C485:WL485)</f>
        <v>54653657.795808762</v>
      </c>
      <c r="WU485" s="98">
        <f>SUMIF($C$481:$WL$481,$WU$481,C485:WL485)</f>
        <v>1127615914.8559194</v>
      </c>
      <c r="WV485" s="98">
        <f>SUMIF($C$481:$WL$481,$WV$481,C485:WL485)</f>
        <v>5030302</v>
      </c>
      <c r="WW485" s="98">
        <f>SUMIF($C$481:$WL$481,$WW$481,C485:WL485)</f>
        <v>99317884</v>
      </c>
      <c r="WX485" s="98">
        <f>SUMIF($C$481:$WL$481,$WX$481,C485:WL485)</f>
        <v>0</v>
      </c>
      <c r="WY485" s="98">
        <f>SUMIF($C$481:$WL$481,$WY$481,C485:WL485)</f>
        <v>0</v>
      </c>
      <c r="WZ485" s="98">
        <f>SUMIF($C$481:$WL$481,$WZ$481,C485:WL485)</f>
        <v>0</v>
      </c>
      <c r="XA485" s="98">
        <f>SUMIF($C$481:$WL$481,$XA$481,C485:WL485)</f>
        <v>0</v>
      </c>
      <c r="XB485" s="107">
        <f>SUMIF($WN$483:$XA$483,$XB$481,WN485:XA485)</f>
        <v>167576960.45556366</v>
      </c>
      <c r="XC485" s="107">
        <f>SUMIF($WN$483:$XA$483,$XC$481,WN485:XA485)</f>
        <v>3645094470.880928</v>
      </c>
      <c r="XK485" s="98">
        <f>SUMIF($C$481:$WL$481,$WN$481,Z485:XI485)</f>
        <v>1175517072.6517282</v>
      </c>
      <c r="XL485" s="98">
        <f>SUMIF($C$481:$WL$481,$WP$481,Z485:XI485)</f>
        <v>104348186</v>
      </c>
      <c r="XM485" s="98">
        <f>SUMIF($C$481:$WL$481,$WR$481,Z485:XI485)</f>
        <v>0</v>
      </c>
      <c r="XN485" s="98">
        <f>SUMIF($C$481:$WL$481,$WT$481,Z485:XI485)</f>
        <v>0</v>
      </c>
      <c r="XO485" s="98">
        <f>SUMIF($C$481:$WL$481,$WV$481,Z485:XI485)</f>
        <v>3673559731.3364916</v>
      </c>
      <c r="XP485" s="98">
        <f>SUMIF($C$481:$WL$481,$WX$481,Z485:XI485)</f>
        <v>84260</v>
      </c>
      <c r="XQ485" s="98">
        <f>SUMIF($C$481:$WL$481,$WZ$481,Z485:XI485)</f>
        <v>2392776712.6847634</v>
      </c>
      <c r="XR485" s="107">
        <f t="shared" ref="XR485:XR521" ca="1" si="2597">SUMIF($WN$483:$XA$483,$XB$481,XK485:XQ485)</f>
        <v>7399608340.1285467</v>
      </c>
      <c r="XT485" s="98">
        <f>SUMIF($C$481:$WL$481,$WN$481,AI485:XR485)</f>
        <v>3645095780.880928</v>
      </c>
      <c r="XU485" s="98">
        <f>SUMIF($C$481:$WL$481,$WP$481,AI485:XR485)</f>
        <v>103371265.65975489</v>
      </c>
      <c r="XV485" s="98">
        <f>SUMIF($C$481:$WL$481,$WR$481,AI485:XR485)</f>
        <v>2418077722.0250087</v>
      </c>
      <c r="XW485" s="98">
        <f>SUMIF($C$481:$WL$481,$WT$481,AI485:XR485)</f>
        <v>54383557.795808762</v>
      </c>
      <c r="XX485" s="98">
        <f>SUMIF($C$481:$WL$481,$WV$481,AI485:XR485)</f>
        <v>2308163289.5076475</v>
      </c>
      <c r="XY485" s="98">
        <f>SUMIF($C$481:$WL$481,$WX$481,AI485:XR485)</f>
        <v>99317884</v>
      </c>
      <c r="XZ485" s="98">
        <f>SUMIF($C$481:$WL$481,$WZ$481,AI485:XR485)</f>
        <v>3673559731.3364916</v>
      </c>
      <c r="YA485" s="107">
        <f t="shared" ref="YA485:YA521" ca="1" si="2598">SUMIF($WN$483:$XA$483,$XB$481,XT485:XZ485)</f>
        <v>12044896523.750076</v>
      </c>
    </row>
    <row r="486" spans="1:1017">
      <c r="B486" s="90" t="str">
        <f t="shared" si="2558"/>
        <v xml:space="preserve">Bawal </v>
      </c>
      <c r="C486" s="98">
        <f t="shared" ref="C486:P486" si="2599">SUM(C15,C53,C91,C129,C167,C205,C243,C281,C319,C357,C395,C433)</f>
        <v>0</v>
      </c>
      <c r="D486" s="98">
        <f t="shared" si="2599"/>
        <v>0</v>
      </c>
      <c r="E486" s="98">
        <f t="shared" si="2599"/>
        <v>0</v>
      </c>
      <c r="F486" s="98">
        <f t="shared" si="2599"/>
        <v>0</v>
      </c>
      <c r="G486" s="98">
        <f t="shared" si="2599"/>
        <v>0</v>
      </c>
      <c r="H486" s="98">
        <f t="shared" si="2599"/>
        <v>0</v>
      </c>
      <c r="I486" s="98">
        <f t="shared" si="2599"/>
        <v>0</v>
      </c>
      <c r="J486" s="98">
        <f t="shared" si="2599"/>
        <v>0</v>
      </c>
      <c r="K486" s="98">
        <f t="shared" si="2599"/>
        <v>0</v>
      </c>
      <c r="L486" s="98">
        <f t="shared" si="2599"/>
        <v>0</v>
      </c>
      <c r="M486" s="98">
        <f t="shared" si="2599"/>
        <v>0</v>
      </c>
      <c r="N486" s="98">
        <f t="shared" si="2599"/>
        <v>0</v>
      </c>
      <c r="O486" s="98">
        <f t="shared" si="2599"/>
        <v>0</v>
      </c>
      <c r="P486" s="98">
        <f t="shared" si="2599"/>
        <v>0</v>
      </c>
      <c r="Q486" s="198">
        <f t="shared" ref="Q486:Q521" si="2600">SUMIF($C$12:$P$12,$Q$12,C486:P486)</f>
        <v>0</v>
      </c>
      <c r="R486" s="198">
        <f t="shared" ref="R486:R521" si="2601">SUMIF($D$12:$Q$12,$R$12,D486:Q486)</f>
        <v>0</v>
      </c>
      <c r="S486" s="98">
        <f t="shared" ref="S486:AF486" si="2602">SUM(S15,S53,S91,S129,S167,S205,S243,S281,S319,S357,S395,S433)</f>
        <v>0</v>
      </c>
      <c r="T486" s="98">
        <f t="shared" si="2602"/>
        <v>0</v>
      </c>
      <c r="U486" s="98">
        <f t="shared" si="2602"/>
        <v>0</v>
      </c>
      <c r="V486" s="98">
        <f t="shared" si="2602"/>
        <v>0</v>
      </c>
      <c r="W486" s="98">
        <f t="shared" si="2602"/>
        <v>0</v>
      </c>
      <c r="X486" s="98">
        <f t="shared" si="2602"/>
        <v>0</v>
      </c>
      <c r="Y486" s="98">
        <f t="shared" si="2602"/>
        <v>24710</v>
      </c>
      <c r="Z486" s="98">
        <f t="shared" si="2602"/>
        <v>494200</v>
      </c>
      <c r="AA486" s="98">
        <f t="shared" si="2602"/>
        <v>0</v>
      </c>
      <c r="AB486" s="98">
        <f t="shared" si="2602"/>
        <v>0</v>
      </c>
      <c r="AC486" s="98">
        <f t="shared" si="2602"/>
        <v>0</v>
      </c>
      <c r="AD486" s="98">
        <f t="shared" si="2602"/>
        <v>0</v>
      </c>
      <c r="AE486" s="98">
        <f t="shared" si="2602"/>
        <v>0</v>
      </c>
      <c r="AF486" s="98">
        <f t="shared" si="2602"/>
        <v>0</v>
      </c>
      <c r="AG486" s="198">
        <f t="shared" ref="AG486:AG521" si="2603">SUMIF($S$12:$AF$12,$AG$12,S486:AF486)</f>
        <v>24710</v>
      </c>
      <c r="AH486" s="198">
        <f t="shared" ref="AH486:AH521" si="2604">SUMIF($T$12:$AG$12,$AH$12,T486:AG486)</f>
        <v>494200</v>
      </c>
      <c r="AI486" s="98">
        <f t="shared" ref="AI486:AV486" si="2605">SUM(AI15,AI53,AI91,AI129,AI167,AI205,AI243,AI281,AI319,AI357,AI395,AI433)</f>
        <v>0</v>
      </c>
      <c r="AJ486" s="98">
        <f t="shared" si="2605"/>
        <v>0</v>
      </c>
      <c r="AK486" s="98">
        <f t="shared" si="2605"/>
        <v>0</v>
      </c>
      <c r="AL486" s="98">
        <f t="shared" si="2605"/>
        <v>0</v>
      </c>
      <c r="AM486" s="98">
        <f t="shared" si="2605"/>
        <v>0</v>
      </c>
      <c r="AN486" s="98">
        <f t="shared" si="2605"/>
        <v>0</v>
      </c>
      <c r="AO486" s="98">
        <f t="shared" si="2605"/>
        <v>0</v>
      </c>
      <c r="AP486" s="98">
        <f t="shared" si="2605"/>
        <v>0</v>
      </c>
      <c r="AQ486" s="98">
        <f t="shared" si="2605"/>
        <v>0</v>
      </c>
      <c r="AR486" s="98">
        <f t="shared" si="2605"/>
        <v>0</v>
      </c>
      <c r="AS486" s="98">
        <f t="shared" si="2605"/>
        <v>0</v>
      </c>
      <c r="AT486" s="98">
        <f t="shared" si="2605"/>
        <v>0</v>
      </c>
      <c r="AU486" s="98">
        <f t="shared" si="2605"/>
        <v>0</v>
      </c>
      <c r="AV486" s="98">
        <f t="shared" si="2605"/>
        <v>0</v>
      </c>
      <c r="AW486" s="198">
        <f t="shared" ref="AW486:AW521" si="2606">SUMIF($AI$12:$AV$12,$AW$12,AI486:AV486)</f>
        <v>0</v>
      </c>
      <c r="AX486" s="198">
        <f t="shared" ref="AX486:AX521" si="2607">SUMIF($AJ$12:$AW$12,$AX$12,AJ486:AW486)</f>
        <v>0</v>
      </c>
      <c r="AY486" s="98">
        <f t="shared" ref="AY486:BL486" si="2608">SUM(AY15,AY53,AY91,AY129,AY167,AY205,AY243,AY281,AY319,AY357,AY395,AY433)</f>
        <v>0</v>
      </c>
      <c r="AZ486" s="98">
        <f t="shared" si="2608"/>
        <v>0</v>
      </c>
      <c r="BA486" s="98">
        <f t="shared" si="2608"/>
        <v>0</v>
      </c>
      <c r="BB486" s="98">
        <f t="shared" si="2608"/>
        <v>0</v>
      </c>
      <c r="BC486" s="98">
        <f t="shared" si="2608"/>
        <v>0</v>
      </c>
      <c r="BD486" s="98">
        <f t="shared" si="2608"/>
        <v>0</v>
      </c>
      <c r="BE486" s="98">
        <f t="shared" si="2608"/>
        <v>0</v>
      </c>
      <c r="BF486" s="98">
        <f t="shared" si="2608"/>
        <v>0</v>
      </c>
      <c r="BG486" s="98">
        <f t="shared" si="2608"/>
        <v>0</v>
      </c>
      <c r="BH486" s="98">
        <f t="shared" si="2608"/>
        <v>0</v>
      </c>
      <c r="BI486" s="98">
        <f t="shared" si="2608"/>
        <v>0</v>
      </c>
      <c r="BJ486" s="98">
        <f t="shared" si="2608"/>
        <v>0</v>
      </c>
      <c r="BK486" s="98">
        <f t="shared" si="2608"/>
        <v>0</v>
      </c>
      <c r="BL486" s="98">
        <f t="shared" si="2608"/>
        <v>0</v>
      </c>
      <c r="BM486" s="198">
        <f t="shared" ref="BM486:BM521" si="2609">SUMIF($AY$12:$BL$12,$BM$12,AY486:BL486)</f>
        <v>0</v>
      </c>
      <c r="BN486" s="198">
        <f t="shared" ref="BN486:BN521" si="2610">SUMIF($AZ$12:$BM$12,$BN$12,AZ486:BM486)</f>
        <v>0</v>
      </c>
      <c r="BO486" s="98">
        <f t="shared" ref="BO486:CB486" si="2611">SUM(BO15,BO53,BO91,BO129,BO167,BO205,BO243,BO281,BO319,BO357,BO395,BO433)</f>
        <v>0</v>
      </c>
      <c r="BP486" s="98">
        <f t="shared" si="2611"/>
        <v>0</v>
      </c>
      <c r="BQ486" s="98">
        <f t="shared" si="2611"/>
        <v>0</v>
      </c>
      <c r="BR486" s="98">
        <f t="shared" si="2611"/>
        <v>0</v>
      </c>
      <c r="BS486" s="98">
        <f t="shared" si="2611"/>
        <v>0</v>
      </c>
      <c r="BT486" s="98">
        <f t="shared" si="2611"/>
        <v>0</v>
      </c>
      <c r="BU486" s="98">
        <f t="shared" si="2611"/>
        <v>0</v>
      </c>
      <c r="BV486" s="98">
        <f t="shared" si="2611"/>
        <v>0</v>
      </c>
      <c r="BW486" s="98">
        <f t="shared" si="2611"/>
        <v>0</v>
      </c>
      <c r="BX486" s="98">
        <f t="shared" si="2611"/>
        <v>0</v>
      </c>
      <c r="BY486" s="98">
        <f t="shared" si="2611"/>
        <v>0</v>
      </c>
      <c r="BZ486" s="98">
        <f t="shared" si="2611"/>
        <v>0</v>
      </c>
      <c r="CA486" s="98">
        <f t="shared" si="2611"/>
        <v>0</v>
      </c>
      <c r="CB486" s="98">
        <f t="shared" si="2611"/>
        <v>0</v>
      </c>
      <c r="CC486" s="198">
        <f t="shared" ref="CC486:CC521" si="2612">SUMIF($BO$12:$CB$12,$CC$12,BO486:CB486)</f>
        <v>0</v>
      </c>
      <c r="CD486" s="198">
        <f t="shared" ref="CD486:CD521" si="2613">SUMIF($BP$12:$CC$12,$CD$12,BP486:CC486)</f>
        <v>0</v>
      </c>
      <c r="CE486" s="98">
        <f t="shared" ref="CE486:CR486" si="2614">SUM(CE15,CE53,CE91,CE129,CE167,CE205,CE243,CE281,CE319,CE357,CE395,CE433)</f>
        <v>0</v>
      </c>
      <c r="CF486" s="98">
        <f t="shared" si="2614"/>
        <v>0</v>
      </c>
      <c r="CG486" s="98">
        <f t="shared" si="2614"/>
        <v>0</v>
      </c>
      <c r="CH486" s="98">
        <f t="shared" si="2614"/>
        <v>0</v>
      </c>
      <c r="CI486" s="98">
        <f t="shared" si="2614"/>
        <v>0</v>
      </c>
      <c r="CJ486" s="98">
        <f t="shared" si="2614"/>
        <v>0</v>
      </c>
      <c r="CK486" s="98">
        <f t="shared" si="2614"/>
        <v>0</v>
      </c>
      <c r="CL486" s="98">
        <f t="shared" si="2614"/>
        <v>0</v>
      </c>
      <c r="CM486" s="98">
        <f t="shared" si="2614"/>
        <v>0</v>
      </c>
      <c r="CN486" s="98">
        <f t="shared" si="2614"/>
        <v>0</v>
      </c>
      <c r="CO486" s="98">
        <f t="shared" si="2614"/>
        <v>0</v>
      </c>
      <c r="CP486" s="98">
        <f t="shared" si="2614"/>
        <v>0</v>
      </c>
      <c r="CQ486" s="98">
        <f t="shared" si="2614"/>
        <v>0</v>
      </c>
      <c r="CR486" s="98">
        <f t="shared" si="2614"/>
        <v>0</v>
      </c>
      <c r="CS486" s="198">
        <f t="shared" ref="CS486:CS521" si="2615">SUMIF($CE$12:$CR$12,$CS$12,CE486:CR486)</f>
        <v>0</v>
      </c>
      <c r="CT486" s="198">
        <f t="shared" ref="CT486:CT521" si="2616">SUMIF($CF$12:$CS$12,$CT$12,CF486:CS486)</f>
        <v>0</v>
      </c>
      <c r="CU486" s="98">
        <f t="shared" ref="CU486:DH486" si="2617">SUM(CU15,CU53,CU91,CU129,CU167,CU205,CU243,CU281,CU319,CU357,CU395,CU433)</f>
        <v>0</v>
      </c>
      <c r="CV486" s="98">
        <f t="shared" si="2617"/>
        <v>0</v>
      </c>
      <c r="CW486" s="98">
        <f t="shared" si="2617"/>
        <v>0</v>
      </c>
      <c r="CX486" s="98">
        <f t="shared" si="2617"/>
        <v>0</v>
      </c>
      <c r="CY486" s="98">
        <f t="shared" si="2617"/>
        <v>0</v>
      </c>
      <c r="CZ486" s="98">
        <f t="shared" si="2617"/>
        <v>0</v>
      </c>
      <c r="DA486" s="98">
        <f t="shared" si="2617"/>
        <v>0</v>
      </c>
      <c r="DB486" s="98">
        <f t="shared" si="2617"/>
        <v>0</v>
      </c>
      <c r="DC486" s="98">
        <f t="shared" si="2617"/>
        <v>0</v>
      </c>
      <c r="DD486" s="98">
        <f t="shared" si="2617"/>
        <v>0</v>
      </c>
      <c r="DE486" s="98">
        <f t="shared" si="2617"/>
        <v>0</v>
      </c>
      <c r="DF486" s="98">
        <f t="shared" si="2617"/>
        <v>0</v>
      </c>
      <c r="DG486" s="98">
        <f t="shared" si="2617"/>
        <v>0</v>
      </c>
      <c r="DH486" s="98">
        <f t="shared" si="2617"/>
        <v>0</v>
      </c>
      <c r="DI486" s="198">
        <f t="shared" ref="DI486:DI521" si="2618">SUMIF($CU$12:$DH$12,$DI$12,CU486:DH486)</f>
        <v>0</v>
      </c>
      <c r="DJ486" s="198">
        <f t="shared" ref="DJ486:DJ521" si="2619">SUMIF($CV$12:$DI$12,$DJ$12,CV486:DI486)</f>
        <v>0</v>
      </c>
      <c r="DK486" s="98">
        <f t="shared" ref="DK486:DX486" si="2620">SUM(DK15,DK53,DK91,DK129,DK167,DK205,DK243,DK281,DK319,DK357,DK395,DK433)</f>
        <v>0</v>
      </c>
      <c r="DL486" s="98">
        <f t="shared" si="2620"/>
        <v>0</v>
      </c>
      <c r="DM486" s="98">
        <f t="shared" si="2620"/>
        <v>0</v>
      </c>
      <c r="DN486" s="98">
        <f t="shared" si="2620"/>
        <v>0</v>
      </c>
      <c r="DO486" s="98">
        <f t="shared" si="2620"/>
        <v>0</v>
      </c>
      <c r="DP486" s="98">
        <f t="shared" si="2620"/>
        <v>0</v>
      </c>
      <c r="DQ486" s="98">
        <f t="shared" si="2620"/>
        <v>4562200</v>
      </c>
      <c r="DR486" s="98">
        <f t="shared" si="2620"/>
        <v>73891300</v>
      </c>
      <c r="DS486" s="98">
        <f t="shared" si="2620"/>
        <v>0</v>
      </c>
      <c r="DT486" s="98">
        <f t="shared" si="2620"/>
        <v>0</v>
      </c>
      <c r="DU486" s="98">
        <f t="shared" si="2620"/>
        <v>0</v>
      </c>
      <c r="DV486" s="98">
        <f t="shared" si="2620"/>
        <v>0</v>
      </c>
      <c r="DW486" s="98">
        <f t="shared" si="2620"/>
        <v>0</v>
      </c>
      <c r="DX486" s="98">
        <f t="shared" si="2620"/>
        <v>0</v>
      </c>
      <c r="DY486" s="198">
        <f t="shared" ref="DY486:DY521" si="2621">SUMIF($DK$12:$DX$12,$DY$12,DK486:DX486)</f>
        <v>4562200</v>
      </c>
      <c r="DZ486" s="198">
        <f t="shared" ref="DZ486:DZ521" si="2622">SUMIF($DL$12:$DY$12,$DZ$12,DL486:DY486)</f>
        <v>73891300</v>
      </c>
      <c r="EA486" s="98">
        <f t="shared" ref="EA486:EN486" si="2623">SUM(EA15,EA53,EA91,EA129,EA167,EA205,EA243,EA281,EA319,EA357,EA395,EA433)</f>
        <v>0</v>
      </c>
      <c r="EB486" s="98">
        <f t="shared" si="2623"/>
        <v>0</v>
      </c>
      <c r="EC486" s="98">
        <f t="shared" si="2623"/>
        <v>0</v>
      </c>
      <c r="ED486" s="98">
        <f t="shared" si="2623"/>
        <v>0</v>
      </c>
      <c r="EE486" s="98">
        <f t="shared" si="2623"/>
        <v>0</v>
      </c>
      <c r="EF486" s="98">
        <f t="shared" si="2623"/>
        <v>0</v>
      </c>
      <c r="EG486" s="98">
        <f t="shared" si="2623"/>
        <v>892300</v>
      </c>
      <c r="EH486" s="98">
        <f t="shared" si="2623"/>
        <v>9815300</v>
      </c>
      <c r="EI486" s="98">
        <f t="shared" si="2623"/>
        <v>0</v>
      </c>
      <c r="EJ486" s="98">
        <f t="shared" si="2623"/>
        <v>0</v>
      </c>
      <c r="EK486" s="98">
        <f t="shared" si="2623"/>
        <v>0</v>
      </c>
      <c r="EL486" s="98">
        <f t="shared" si="2623"/>
        <v>0</v>
      </c>
      <c r="EM486" s="98">
        <f t="shared" si="2623"/>
        <v>0</v>
      </c>
      <c r="EN486" s="98">
        <f t="shared" si="2623"/>
        <v>0</v>
      </c>
      <c r="EO486" s="198">
        <f t="shared" ref="EO486:EO521" si="2624">SUMIF($EA$12:$EN$12,$EO$12,EA486:EN486)</f>
        <v>892300</v>
      </c>
      <c r="EP486" s="198">
        <f t="shared" ref="EP486:EP521" si="2625">SUMIF($EB$12:$EO$12,$EP$12,EB486:EO486)</f>
        <v>9815300</v>
      </c>
      <c r="EQ486" s="98">
        <f t="shared" ref="EQ486:FD486" si="2626">SUM(EQ15,EQ53,EQ91,EQ129,EQ167,EQ205,EQ243,EQ281,EQ319,EQ357,EQ395,EQ433)</f>
        <v>0</v>
      </c>
      <c r="ER486" s="98">
        <f t="shared" si="2626"/>
        <v>0</v>
      </c>
      <c r="ES486" s="98">
        <f t="shared" si="2626"/>
        <v>0</v>
      </c>
      <c r="ET486" s="98">
        <f t="shared" si="2626"/>
        <v>0</v>
      </c>
      <c r="EU486" s="98">
        <f t="shared" si="2626"/>
        <v>0</v>
      </c>
      <c r="EV486" s="98">
        <f t="shared" si="2626"/>
        <v>0</v>
      </c>
      <c r="EW486" s="98">
        <f t="shared" si="2626"/>
        <v>0</v>
      </c>
      <c r="EX486" s="98">
        <f t="shared" si="2626"/>
        <v>0</v>
      </c>
      <c r="EY486" s="98">
        <f t="shared" si="2626"/>
        <v>0</v>
      </c>
      <c r="EZ486" s="98">
        <f t="shared" si="2626"/>
        <v>0</v>
      </c>
      <c r="FA486" s="98">
        <f t="shared" si="2626"/>
        <v>0</v>
      </c>
      <c r="FB486" s="98">
        <f t="shared" si="2626"/>
        <v>0</v>
      </c>
      <c r="FC486" s="98">
        <f t="shared" si="2626"/>
        <v>0</v>
      </c>
      <c r="FD486" s="98">
        <f t="shared" si="2626"/>
        <v>0</v>
      </c>
      <c r="FE486" s="198">
        <f t="shared" ref="FE486:FE521" si="2627">SUMIF($EQ$12:$FD$12,$FE$12,EQ486:FD486)</f>
        <v>0</v>
      </c>
      <c r="FF486" s="198">
        <f t="shared" ref="FF486:FF521" si="2628">SUMIF($ER$12:$FE$12,$FF$12,ER486:FE486)</f>
        <v>0</v>
      </c>
      <c r="FG486" s="98">
        <f t="shared" ref="FG486:FT486" si="2629">SUM(FG15,FG53,FG91,FG129,FG167,FG205,FG243,FG281,FG319,FG357,FG395,FG433)</f>
        <v>0</v>
      </c>
      <c r="FH486" s="98">
        <f t="shared" si="2629"/>
        <v>0</v>
      </c>
      <c r="FI486" s="98">
        <f t="shared" si="2629"/>
        <v>0</v>
      </c>
      <c r="FJ486" s="98">
        <f t="shared" si="2629"/>
        <v>0</v>
      </c>
      <c r="FK486" s="98">
        <f t="shared" si="2629"/>
        <v>0</v>
      </c>
      <c r="FL486" s="98">
        <f t="shared" si="2629"/>
        <v>0</v>
      </c>
      <c r="FM486" s="98">
        <f t="shared" si="2629"/>
        <v>0</v>
      </c>
      <c r="FN486" s="98">
        <f t="shared" si="2629"/>
        <v>0</v>
      </c>
      <c r="FO486" s="98">
        <f t="shared" si="2629"/>
        <v>0</v>
      </c>
      <c r="FP486" s="98">
        <f t="shared" si="2629"/>
        <v>0</v>
      </c>
      <c r="FQ486" s="98">
        <f t="shared" si="2629"/>
        <v>0</v>
      </c>
      <c r="FR486" s="98">
        <f t="shared" si="2629"/>
        <v>0</v>
      </c>
      <c r="FS486" s="98">
        <f t="shared" si="2629"/>
        <v>0</v>
      </c>
      <c r="FT486" s="98">
        <f t="shared" si="2629"/>
        <v>0</v>
      </c>
      <c r="FU486" s="198">
        <f t="shared" ref="FU486:FU521" si="2630">SUMIF($FG$12:$FT$12,$FU$12,FG486:FT486)</f>
        <v>0</v>
      </c>
      <c r="FV486" s="198">
        <f t="shared" ref="FV486:FV521" si="2631">SUMIF($FH$12:$FU$12,$FV$12,FH486:FU486)</f>
        <v>0</v>
      </c>
      <c r="FW486" s="98">
        <f t="shared" ref="FW486:GJ486" si="2632">SUM(FW15,FW53,FW91,FW129,FW167,FW205,FW243,FW281,FW319,FW357,FW395,FW433)</f>
        <v>0</v>
      </c>
      <c r="FX486" s="98">
        <f t="shared" si="2632"/>
        <v>0</v>
      </c>
      <c r="FY486" s="98">
        <f t="shared" si="2632"/>
        <v>0</v>
      </c>
      <c r="FZ486" s="98">
        <f t="shared" si="2632"/>
        <v>0</v>
      </c>
      <c r="GA486" s="98">
        <f t="shared" si="2632"/>
        <v>0</v>
      </c>
      <c r="GB486" s="98">
        <f t="shared" si="2632"/>
        <v>0</v>
      </c>
      <c r="GC486" s="98">
        <f t="shared" si="2632"/>
        <v>0</v>
      </c>
      <c r="GD486" s="98">
        <f t="shared" si="2632"/>
        <v>0</v>
      </c>
      <c r="GE486" s="98">
        <f t="shared" si="2632"/>
        <v>0</v>
      </c>
      <c r="GF486" s="98">
        <f t="shared" si="2632"/>
        <v>0</v>
      </c>
      <c r="GG486" s="98">
        <f t="shared" si="2632"/>
        <v>0</v>
      </c>
      <c r="GH486" s="98">
        <f t="shared" si="2632"/>
        <v>0</v>
      </c>
      <c r="GI486" s="98">
        <f t="shared" si="2632"/>
        <v>0</v>
      </c>
      <c r="GJ486" s="98">
        <f t="shared" si="2632"/>
        <v>0</v>
      </c>
      <c r="GK486" s="198">
        <f t="shared" ref="GK486:GK521" si="2633">SUMIF($FW$12:$GJ$12,$GK$12,FW486:GJ486)</f>
        <v>0</v>
      </c>
      <c r="GL486" s="198">
        <f t="shared" ref="GL486:GL521" si="2634">SUMIF($FX$12:$GK$12,$GL$12,FX486:GK486)</f>
        <v>0</v>
      </c>
      <c r="GM486" s="98">
        <f t="shared" ref="GM486:GZ486" si="2635">SUM(GM15,GM53,GM91,GM129,GM167,GM205,GM243,GM281,GM319,GM357,GM395,GM433)</f>
        <v>0</v>
      </c>
      <c r="GN486" s="98">
        <f t="shared" si="2635"/>
        <v>0</v>
      </c>
      <c r="GO486" s="98">
        <f t="shared" si="2635"/>
        <v>0</v>
      </c>
      <c r="GP486" s="98">
        <f t="shared" si="2635"/>
        <v>0</v>
      </c>
      <c r="GQ486" s="98">
        <f t="shared" si="2635"/>
        <v>0</v>
      </c>
      <c r="GR486" s="98">
        <f t="shared" si="2635"/>
        <v>0</v>
      </c>
      <c r="GS486" s="98">
        <f t="shared" si="2635"/>
        <v>0</v>
      </c>
      <c r="GT486" s="98">
        <f t="shared" si="2635"/>
        <v>0</v>
      </c>
      <c r="GU486" s="98">
        <f t="shared" si="2635"/>
        <v>0</v>
      </c>
      <c r="GV486" s="98">
        <f t="shared" si="2635"/>
        <v>0</v>
      </c>
      <c r="GW486" s="98">
        <f t="shared" si="2635"/>
        <v>0</v>
      </c>
      <c r="GX486" s="98">
        <f t="shared" si="2635"/>
        <v>0</v>
      </c>
      <c r="GY486" s="98">
        <f t="shared" si="2635"/>
        <v>0</v>
      </c>
      <c r="GZ486" s="98">
        <f t="shared" si="2635"/>
        <v>0</v>
      </c>
      <c r="HA486" s="198">
        <f t="shared" ref="HA486:HA521" si="2636">SUMIF($GM$12:$GZ$12,$HA$12,$GM486:$GZ486)</f>
        <v>0</v>
      </c>
      <c r="HB486" s="198">
        <f t="shared" ref="HB486:HB521" si="2637">SUMIF($GM$12:$GZ$12,$HB$12,$GM486:$GZ486)</f>
        <v>0</v>
      </c>
      <c r="HC486" s="98">
        <f t="shared" ref="HC486:HP486" si="2638">SUM(HC15,HC53,HC91,HC129,HC167,HC205,HC243,HC281,HC319,HC357,HC395,HC433)</f>
        <v>0</v>
      </c>
      <c r="HD486" s="98">
        <f t="shared" si="2638"/>
        <v>0</v>
      </c>
      <c r="HE486" s="98">
        <f t="shared" si="2638"/>
        <v>0</v>
      </c>
      <c r="HF486" s="98">
        <f t="shared" si="2638"/>
        <v>0</v>
      </c>
      <c r="HG486" s="98">
        <f t="shared" si="2638"/>
        <v>0</v>
      </c>
      <c r="HH486" s="98">
        <f t="shared" si="2638"/>
        <v>0</v>
      </c>
      <c r="HI486" s="98">
        <f t="shared" si="2638"/>
        <v>0</v>
      </c>
      <c r="HJ486" s="98">
        <f t="shared" si="2638"/>
        <v>0</v>
      </c>
      <c r="HK486" s="98">
        <f t="shared" si="2638"/>
        <v>0</v>
      </c>
      <c r="HL486" s="98">
        <f t="shared" si="2638"/>
        <v>0</v>
      </c>
      <c r="HM486" s="98">
        <f t="shared" si="2638"/>
        <v>0</v>
      </c>
      <c r="HN486" s="98">
        <f t="shared" si="2638"/>
        <v>0</v>
      </c>
      <c r="HO486" s="98">
        <f t="shared" si="2638"/>
        <v>0</v>
      </c>
      <c r="HP486" s="98">
        <f t="shared" si="2638"/>
        <v>0</v>
      </c>
      <c r="HQ486" s="198">
        <f t="shared" ref="HQ486:HQ521" si="2639">SUMIF($HC$12:$HP$12,$HQ$12,HC486:HP486)</f>
        <v>0</v>
      </c>
      <c r="HR486" s="198">
        <f t="shared" ref="HR486:HR521" si="2640">SUMIF($HD$12:$HQ$12,$HR$12,HD486:HQ486)</f>
        <v>0</v>
      </c>
      <c r="HS486" s="98">
        <f t="shared" ref="HS486:IF486" si="2641">SUM(HS15,HS53,HS91,HS129,HS167,HS205,HS243,HS281,HS319,HS357,HS395,HS433)</f>
        <v>0</v>
      </c>
      <c r="HT486" s="98">
        <f t="shared" si="2641"/>
        <v>0</v>
      </c>
      <c r="HU486" s="98">
        <f t="shared" si="2641"/>
        <v>0</v>
      </c>
      <c r="HV486" s="98">
        <f t="shared" si="2641"/>
        <v>0</v>
      </c>
      <c r="HW486" s="98">
        <f t="shared" si="2641"/>
        <v>0</v>
      </c>
      <c r="HX486" s="98">
        <f t="shared" si="2641"/>
        <v>0</v>
      </c>
      <c r="HY486" s="98">
        <f t="shared" si="2641"/>
        <v>0</v>
      </c>
      <c r="HZ486" s="98">
        <f t="shared" si="2641"/>
        <v>0</v>
      </c>
      <c r="IA486" s="98">
        <f t="shared" si="2641"/>
        <v>0</v>
      </c>
      <c r="IB486" s="98">
        <f t="shared" si="2641"/>
        <v>0</v>
      </c>
      <c r="IC486" s="98">
        <f t="shared" si="2641"/>
        <v>0</v>
      </c>
      <c r="ID486" s="98">
        <f t="shared" si="2641"/>
        <v>0</v>
      </c>
      <c r="IE486" s="98">
        <f t="shared" si="2641"/>
        <v>0</v>
      </c>
      <c r="IF486" s="98">
        <f t="shared" si="2641"/>
        <v>0</v>
      </c>
      <c r="IG486" s="198">
        <f t="shared" ref="IG486:IG521" si="2642">SUMIF($HS$12:$IF$12,$IG$12,HS486:IF486)</f>
        <v>0</v>
      </c>
      <c r="IH486" s="198">
        <f t="shared" ref="IH486:IH521" si="2643">SUMIF($HT$12:$IG$12,$IH$12,HT486:IG486)</f>
        <v>0</v>
      </c>
      <c r="II486" s="98">
        <f t="shared" ref="II486:IV486" si="2644">SUM(II15,II53,II91,II129,II167,II205,II243,II281,II319,II357,II395,II433)</f>
        <v>0</v>
      </c>
      <c r="IJ486" s="98">
        <f t="shared" si="2644"/>
        <v>0</v>
      </c>
      <c r="IK486" s="98">
        <f t="shared" si="2644"/>
        <v>0</v>
      </c>
      <c r="IL486" s="98">
        <f t="shared" si="2644"/>
        <v>0</v>
      </c>
      <c r="IM486" s="98">
        <f t="shared" si="2644"/>
        <v>0</v>
      </c>
      <c r="IN486" s="98">
        <f t="shared" si="2644"/>
        <v>0</v>
      </c>
      <c r="IO486" s="98">
        <f t="shared" si="2644"/>
        <v>24450</v>
      </c>
      <c r="IP486" s="98">
        <f t="shared" si="2644"/>
        <v>611250</v>
      </c>
      <c r="IQ486" s="98">
        <f t="shared" si="2644"/>
        <v>0</v>
      </c>
      <c r="IR486" s="98">
        <f t="shared" si="2644"/>
        <v>0</v>
      </c>
      <c r="IS486" s="98">
        <f t="shared" si="2644"/>
        <v>0</v>
      </c>
      <c r="IT486" s="98">
        <f t="shared" si="2644"/>
        <v>0</v>
      </c>
      <c r="IU486" s="98">
        <f t="shared" si="2644"/>
        <v>0</v>
      </c>
      <c r="IV486" s="98">
        <f t="shared" si="2644"/>
        <v>0</v>
      </c>
      <c r="IW486" s="198">
        <f t="shared" ref="IW486:IW521" si="2645">SUMIF($II$12:$IV$12,$IW$12,II486:IV486)</f>
        <v>24450</v>
      </c>
      <c r="IX486" s="198">
        <f t="shared" ref="IX486:IX521" si="2646">SUMIF($IJ$12:$IW$12,$IX$12,IJ486:IW486)</f>
        <v>611250</v>
      </c>
      <c r="IY486" s="98">
        <f t="shared" ref="IY486:JL486" si="2647">SUM(IY15,IY53,IY91,IY129,IY167,IY205,IY243,IY281,IY319,IY357,IY395,IY433)</f>
        <v>0</v>
      </c>
      <c r="IZ486" s="98">
        <f t="shared" si="2647"/>
        <v>0</v>
      </c>
      <c r="JA486" s="98">
        <f t="shared" si="2647"/>
        <v>0</v>
      </c>
      <c r="JB486" s="98">
        <f t="shared" si="2647"/>
        <v>0</v>
      </c>
      <c r="JC486" s="98">
        <f t="shared" si="2647"/>
        <v>0</v>
      </c>
      <c r="JD486" s="98">
        <f t="shared" si="2647"/>
        <v>0</v>
      </c>
      <c r="JE486" s="98">
        <f t="shared" si="2647"/>
        <v>0</v>
      </c>
      <c r="JF486" s="98">
        <f t="shared" si="2647"/>
        <v>0</v>
      </c>
      <c r="JG486" s="98">
        <f t="shared" si="2647"/>
        <v>0</v>
      </c>
      <c r="JH486" s="98">
        <f t="shared" si="2647"/>
        <v>0</v>
      </c>
      <c r="JI486" s="98">
        <f t="shared" si="2647"/>
        <v>0</v>
      </c>
      <c r="JJ486" s="98">
        <f t="shared" si="2647"/>
        <v>0</v>
      </c>
      <c r="JK486" s="98">
        <f t="shared" si="2647"/>
        <v>0</v>
      </c>
      <c r="JL486" s="98">
        <f t="shared" si="2647"/>
        <v>0</v>
      </c>
      <c r="JM486" s="198">
        <f t="shared" ref="JM486:JM521" si="2648">SUMIF($IY$12:$JL$12,$JM$12,IY486:JL486)</f>
        <v>0</v>
      </c>
      <c r="JN486" s="198">
        <f t="shared" ref="JN486:JN521" si="2649">SUMIF($IZ$12:$JM$12,$JN$12,IZ486:JM486)</f>
        <v>0</v>
      </c>
      <c r="JO486" s="98">
        <f t="shared" ref="JO486:KB486" si="2650">SUM(JO15,JO53,JO91,JO129,JO167,JO205,JO243,JO281,JO319,JO357,JO395,JO433)</f>
        <v>0</v>
      </c>
      <c r="JP486" s="98">
        <f t="shared" si="2650"/>
        <v>0</v>
      </c>
      <c r="JQ486" s="98">
        <f t="shared" si="2650"/>
        <v>0</v>
      </c>
      <c r="JR486" s="98">
        <f t="shared" si="2650"/>
        <v>0</v>
      </c>
      <c r="JS486" s="98">
        <f t="shared" si="2650"/>
        <v>0</v>
      </c>
      <c r="JT486" s="98">
        <f t="shared" si="2650"/>
        <v>0</v>
      </c>
      <c r="JU486" s="98">
        <f t="shared" si="2650"/>
        <v>0</v>
      </c>
      <c r="JV486" s="98">
        <f t="shared" si="2650"/>
        <v>0</v>
      </c>
      <c r="JW486" s="98">
        <f t="shared" si="2650"/>
        <v>0</v>
      </c>
      <c r="JX486" s="98">
        <f t="shared" si="2650"/>
        <v>0</v>
      </c>
      <c r="JY486" s="98">
        <f t="shared" si="2650"/>
        <v>0</v>
      </c>
      <c r="JZ486" s="98">
        <f t="shared" si="2650"/>
        <v>0</v>
      </c>
      <c r="KA486" s="98">
        <f t="shared" si="2650"/>
        <v>0</v>
      </c>
      <c r="KB486" s="98">
        <f t="shared" si="2650"/>
        <v>0</v>
      </c>
      <c r="KC486" s="198">
        <f t="shared" ref="KC486:KC521" si="2651">SUMIF($JO$12:$KB$12,$KC$12,JO486:KB486)</f>
        <v>0</v>
      </c>
      <c r="KD486" s="198">
        <f t="shared" ref="KD486:KD521" si="2652">SUMIF($JP$12:$KC$12,$KD$12,JP486:KC486)</f>
        <v>0</v>
      </c>
      <c r="KE486" s="98">
        <f t="shared" ref="KE486:KR486" si="2653">SUM(KE15,KE53,KE91,KE129,KE167,KE205,KE243,KE281,KE319,KE357,KE395,KE433)</f>
        <v>0</v>
      </c>
      <c r="KF486" s="98">
        <f t="shared" si="2653"/>
        <v>0</v>
      </c>
      <c r="KG486" s="98">
        <f t="shared" si="2653"/>
        <v>0</v>
      </c>
      <c r="KH486" s="98">
        <f t="shared" si="2653"/>
        <v>0</v>
      </c>
      <c r="KI486" s="98">
        <f t="shared" si="2653"/>
        <v>0</v>
      </c>
      <c r="KJ486" s="98">
        <f t="shared" si="2653"/>
        <v>0</v>
      </c>
      <c r="KK486" s="98">
        <f t="shared" si="2653"/>
        <v>0</v>
      </c>
      <c r="KL486" s="98">
        <f t="shared" si="2653"/>
        <v>0</v>
      </c>
      <c r="KM486" s="98">
        <f t="shared" si="2653"/>
        <v>0</v>
      </c>
      <c r="KN486" s="98">
        <f t="shared" si="2653"/>
        <v>0</v>
      </c>
      <c r="KO486" s="98">
        <f t="shared" si="2653"/>
        <v>0</v>
      </c>
      <c r="KP486" s="98">
        <f t="shared" si="2653"/>
        <v>0</v>
      </c>
      <c r="KQ486" s="98">
        <f t="shared" si="2653"/>
        <v>0</v>
      </c>
      <c r="KR486" s="98">
        <f t="shared" si="2653"/>
        <v>0</v>
      </c>
      <c r="KS486" s="198">
        <f t="shared" ref="KS486:KS521" si="2654">SUMIF($KE$12:$KR$12,$KS$12,KE486:KR486)</f>
        <v>0</v>
      </c>
      <c r="KT486" s="198">
        <f t="shared" ref="KT486:KT521" si="2655">SUMIF($KF$12:$KS$12,$KT$12,KF486:KS486)</f>
        <v>0</v>
      </c>
      <c r="KU486" s="98">
        <f t="shared" ref="KU486:LH486" si="2656">SUM(KU15,KU53,KU91,KU129,KU167,KU205,KU243,KU281,KU319,KU357,KU395,KU433)</f>
        <v>0</v>
      </c>
      <c r="KV486" s="98">
        <f t="shared" si="2656"/>
        <v>0</v>
      </c>
      <c r="KW486" s="98">
        <f t="shared" si="2656"/>
        <v>0</v>
      </c>
      <c r="KX486" s="98">
        <f t="shared" si="2656"/>
        <v>0</v>
      </c>
      <c r="KY486" s="98">
        <f t="shared" si="2656"/>
        <v>0</v>
      </c>
      <c r="KZ486" s="98">
        <f t="shared" si="2656"/>
        <v>0</v>
      </c>
      <c r="LA486" s="98">
        <f t="shared" si="2656"/>
        <v>0</v>
      </c>
      <c r="LB486" s="98">
        <f t="shared" si="2656"/>
        <v>0</v>
      </c>
      <c r="LC486" s="98">
        <f t="shared" si="2656"/>
        <v>0</v>
      </c>
      <c r="LD486" s="98">
        <f t="shared" si="2656"/>
        <v>0</v>
      </c>
      <c r="LE486" s="98">
        <f t="shared" si="2656"/>
        <v>0</v>
      </c>
      <c r="LF486" s="98">
        <f t="shared" si="2656"/>
        <v>0</v>
      </c>
      <c r="LG486" s="98">
        <f t="shared" si="2656"/>
        <v>0</v>
      </c>
      <c r="LH486" s="98">
        <f t="shared" si="2656"/>
        <v>0</v>
      </c>
      <c r="LI486" s="198">
        <f t="shared" ref="LI486:LI521" si="2657">SUMIF($KU$12:$LH$12,$LI$12,KU486:LH486)</f>
        <v>0</v>
      </c>
      <c r="LJ486" s="198">
        <f t="shared" ref="LJ486:LJ521" si="2658">SUMIF($KV$12:$LI$12,$LJ$12,KV486:LI486)</f>
        <v>0</v>
      </c>
      <c r="LK486" s="98">
        <f t="shared" ref="LK486:LX486" si="2659">SUM(LK15,LK53,LK91,LK129,LK167,LK205,LK243,LK281,LK319,LK357,LK395,LK433)</f>
        <v>0</v>
      </c>
      <c r="LL486" s="98">
        <f t="shared" si="2659"/>
        <v>0</v>
      </c>
      <c r="LM486" s="98">
        <f t="shared" si="2659"/>
        <v>0</v>
      </c>
      <c r="LN486" s="98">
        <f t="shared" si="2659"/>
        <v>0</v>
      </c>
      <c r="LO486" s="98">
        <f t="shared" si="2659"/>
        <v>0</v>
      </c>
      <c r="LP486" s="98">
        <f t="shared" si="2659"/>
        <v>0</v>
      </c>
      <c r="LQ486" s="98">
        <f t="shared" si="2659"/>
        <v>0</v>
      </c>
      <c r="LR486" s="98">
        <f t="shared" si="2659"/>
        <v>0</v>
      </c>
      <c r="LS486" s="98">
        <f t="shared" si="2659"/>
        <v>0</v>
      </c>
      <c r="LT486" s="98">
        <f t="shared" si="2659"/>
        <v>0</v>
      </c>
      <c r="LU486" s="98">
        <f t="shared" si="2659"/>
        <v>0</v>
      </c>
      <c r="LV486" s="98">
        <f t="shared" si="2659"/>
        <v>0</v>
      </c>
      <c r="LW486" s="98">
        <f t="shared" si="2659"/>
        <v>0</v>
      </c>
      <c r="LX486" s="98">
        <f t="shared" si="2659"/>
        <v>0</v>
      </c>
      <c r="LY486" s="198">
        <f t="shared" ref="LY486:LY521" si="2660">SUMIF($LK$12:$LX$12,$LY$12,LK486:LX486)</f>
        <v>0</v>
      </c>
      <c r="LZ486" s="198">
        <f t="shared" ref="LZ486:LZ521" si="2661">SUMIF($LL$12:$LY$12,$LZ$12,LL486:LY486)</f>
        <v>0</v>
      </c>
      <c r="MA486" s="98">
        <f t="shared" ref="MA486:MN486" si="2662">SUM(MA15,MA53,MA91,MA129,MA167,MA205,MA243,MA281,MA319,MA357,MA395,MA433)</f>
        <v>0</v>
      </c>
      <c r="MB486" s="98">
        <f t="shared" si="2662"/>
        <v>0</v>
      </c>
      <c r="MC486" s="98">
        <f t="shared" si="2662"/>
        <v>0</v>
      </c>
      <c r="MD486" s="98">
        <f t="shared" si="2662"/>
        <v>0</v>
      </c>
      <c r="ME486" s="98">
        <f t="shared" si="2662"/>
        <v>0</v>
      </c>
      <c r="MF486" s="98">
        <f t="shared" si="2662"/>
        <v>0</v>
      </c>
      <c r="MG486" s="98">
        <f t="shared" si="2662"/>
        <v>0</v>
      </c>
      <c r="MH486" s="98">
        <f t="shared" si="2662"/>
        <v>0</v>
      </c>
      <c r="MI486" s="98">
        <f t="shared" si="2662"/>
        <v>0</v>
      </c>
      <c r="MJ486" s="98">
        <f t="shared" si="2662"/>
        <v>0</v>
      </c>
      <c r="MK486" s="98">
        <f t="shared" si="2662"/>
        <v>0</v>
      </c>
      <c r="ML486" s="98">
        <f t="shared" si="2662"/>
        <v>0</v>
      </c>
      <c r="MM486" s="98">
        <f t="shared" si="2662"/>
        <v>0</v>
      </c>
      <c r="MN486" s="98">
        <f t="shared" si="2662"/>
        <v>0</v>
      </c>
      <c r="MO486" s="198">
        <f t="shared" ref="MO486:MO521" si="2663">SUMIF($MA$12:$MN$12,$MO$12,$MA486:$MN486)</f>
        <v>0</v>
      </c>
      <c r="MP486" s="198">
        <f t="shared" ref="MP486:MP521" si="2664">SUMIF($MA$12:$MN$12,$MP$12,$MA486:$MN486)</f>
        <v>0</v>
      </c>
      <c r="MQ486" s="98">
        <f t="shared" ref="MQ486:ND486" si="2665">SUM(MQ15,MQ53,MQ91,MQ129,MQ167,MQ205,MQ243,MQ281,MQ319,MQ357,MQ395,MQ433)</f>
        <v>0</v>
      </c>
      <c r="MR486" s="98">
        <f t="shared" si="2665"/>
        <v>0</v>
      </c>
      <c r="MS486" s="98">
        <f t="shared" si="2665"/>
        <v>0</v>
      </c>
      <c r="MT486" s="98">
        <f t="shared" si="2665"/>
        <v>0</v>
      </c>
      <c r="MU486" s="98">
        <f t="shared" si="2665"/>
        <v>0</v>
      </c>
      <c r="MV486" s="98">
        <f t="shared" si="2665"/>
        <v>0</v>
      </c>
      <c r="MW486" s="98">
        <f t="shared" si="2665"/>
        <v>0</v>
      </c>
      <c r="MX486" s="98">
        <f t="shared" si="2665"/>
        <v>0</v>
      </c>
      <c r="MY486" s="98">
        <f t="shared" si="2665"/>
        <v>0</v>
      </c>
      <c r="MZ486" s="98">
        <f t="shared" si="2665"/>
        <v>0</v>
      </c>
      <c r="NA486" s="98">
        <f t="shared" si="2665"/>
        <v>0</v>
      </c>
      <c r="NB486" s="98">
        <f t="shared" si="2665"/>
        <v>0</v>
      </c>
      <c r="NC486" s="98">
        <f t="shared" si="2665"/>
        <v>0</v>
      </c>
      <c r="ND486" s="98">
        <f t="shared" si="2665"/>
        <v>0</v>
      </c>
      <c r="NE486" s="198">
        <f t="shared" ref="NE486:NE521" si="2666">SUMIF($MQ$12:$ND$12,$NE$12,MQ486:ND486)</f>
        <v>0</v>
      </c>
      <c r="NF486" s="198">
        <f t="shared" ref="NF486:NF521" si="2667">SUMIF($MR$12:$NE$12,$NF$12,MR486:NE486)</f>
        <v>0</v>
      </c>
      <c r="NG486" s="98">
        <f t="shared" ref="NG486:NT486" si="2668">SUM(NG15,NG53,NG91,NG129,NG167,NG205,NG243,NG281,NG319,NG357,NG395,NG433)</f>
        <v>0</v>
      </c>
      <c r="NH486" s="98">
        <f t="shared" si="2668"/>
        <v>0</v>
      </c>
      <c r="NI486" s="98">
        <f t="shared" si="2668"/>
        <v>0</v>
      </c>
      <c r="NJ486" s="98">
        <f t="shared" si="2668"/>
        <v>0</v>
      </c>
      <c r="NK486" s="98">
        <f t="shared" si="2668"/>
        <v>0</v>
      </c>
      <c r="NL486" s="98">
        <f t="shared" si="2668"/>
        <v>0</v>
      </c>
      <c r="NM486" s="98">
        <f t="shared" si="2668"/>
        <v>0</v>
      </c>
      <c r="NN486" s="98">
        <f t="shared" si="2668"/>
        <v>0</v>
      </c>
      <c r="NO486" s="98">
        <f t="shared" si="2668"/>
        <v>0</v>
      </c>
      <c r="NP486" s="98">
        <f t="shared" si="2668"/>
        <v>0</v>
      </c>
      <c r="NQ486" s="98">
        <f t="shared" si="2668"/>
        <v>1388</v>
      </c>
      <c r="NR486" s="98">
        <f t="shared" si="2668"/>
        <v>24984</v>
      </c>
      <c r="NS486" s="98">
        <f t="shared" si="2668"/>
        <v>0</v>
      </c>
      <c r="NT486" s="98">
        <f t="shared" si="2668"/>
        <v>0</v>
      </c>
      <c r="NU486" s="198">
        <f t="shared" ref="NU486:NU521" si="2669">SUMIF($NG$12:$NT$12,$NU$12,NG486:NT486)</f>
        <v>1388</v>
      </c>
      <c r="NV486" s="198">
        <f t="shared" ref="NV486:NV521" si="2670">SUMIF($NH$12:$NU$12,$NV$12,NH486:NU486)</f>
        <v>24984</v>
      </c>
      <c r="NW486" s="98">
        <f t="shared" ref="NW486:OJ486" si="2671">SUM(NW15,NW53,NW91,NW129,NW167,NW205,NW243,NW281,NW319,NW357,NW395,NW433)</f>
        <v>0</v>
      </c>
      <c r="NX486" s="98">
        <f t="shared" si="2671"/>
        <v>0</v>
      </c>
      <c r="NY486" s="98">
        <f t="shared" si="2671"/>
        <v>0</v>
      </c>
      <c r="NZ486" s="98">
        <f t="shared" si="2671"/>
        <v>0</v>
      </c>
      <c r="OA486" s="98">
        <f t="shared" si="2671"/>
        <v>0</v>
      </c>
      <c r="OB486" s="98">
        <f t="shared" si="2671"/>
        <v>0</v>
      </c>
      <c r="OC486" s="98">
        <f t="shared" si="2671"/>
        <v>0</v>
      </c>
      <c r="OD486" s="98">
        <f t="shared" si="2671"/>
        <v>0</v>
      </c>
      <c r="OE486" s="98">
        <f t="shared" si="2671"/>
        <v>0</v>
      </c>
      <c r="OF486" s="98">
        <f t="shared" si="2671"/>
        <v>0</v>
      </c>
      <c r="OG486" s="98">
        <f t="shared" si="2671"/>
        <v>0</v>
      </c>
      <c r="OH486" s="98">
        <f t="shared" si="2671"/>
        <v>0</v>
      </c>
      <c r="OI486" s="98">
        <f t="shared" si="2671"/>
        <v>0</v>
      </c>
      <c r="OJ486" s="98">
        <f t="shared" si="2671"/>
        <v>0</v>
      </c>
      <c r="OK486" s="198">
        <f t="shared" ref="OK486:OK521" si="2672">SUMIF($NW$12:$OJ$12,$OK$12,NW486:OJ486)</f>
        <v>0</v>
      </c>
      <c r="OL486" s="198">
        <f t="shared" ref="OL486:OL521" si="2673">SUMIF($NX$12:$OK$12,$OL$12,NX486:OK486)</f>
        <v>0</v>
      </c>
      <c r="OM486" s="98">
        <f t="shared" ref="OM486:OZ486" si="2674">SUM(OM15,OM53,OM91,OM129,OM167,OM205,OM243,OM281,OM319,OM357,OM395,OM433)</f>
        <v>0</v>
      </c>
      <c r="ON486" s="98">
        <f t="shared" si="2674"/>
        <v>0</v>
      </c>
      <c r="OO486" s="98">
        <f t="shared" si="2674"/>
        <v>0</v>
      </c>
      <c r="OP486" s="98">
        <f t="shared" si="2674"/>
        <v>0</v>
      </c>
      <c r="OQ486" s="98">
        <f t="shared" si="2674"/>
        <v>0</v>
      </c>
      <c r="OR486" s="98">
        <f t="shared" si="2674"/>
        <v>0</v>
      </c>
      <c r="OS486" s="98">
        <f t="shared" si="2674"/>
        <v>0</v>
      </c>
      <c r="OT486" s="98">
        <f t="shared" si="2674"/>
        <v>0</v>
      </c>
      <c r="OU486" s="98">
        <f t="shared" si="2674"/>
        <v>0</v>
      </c>
      <c r="OV486" s="98">
        <f t="shared" si="2674"/>
        <v>0</v>
      </c>
      <c r="OW486" s="98">
        <f t="shared" si="2674"/>
        <v>0</v>
      </c>
      <c r="OX486" s="98">
        <f t="shared" si="2674"/>
        <v>0</v>
      </c>
      <c r="OY486" s="98">
        <f t="shared" si="2674"/>
        <v>0</v>
      </c>
      <c r="OZ486" s="98">
        <f t="shared" si="2674"/>
        <v>0</v>
      </c>
      <c r="PA486" s="198">
        <f t="shared" ref="PA486:PA521" si="2675">SUMIF($OM$12:$OZ$12,$PA$12,OM486:OZ486)</f>
        <v>0</v>
      </c>
      <c r="PB486" s="198">
        <f t="shared" ref="PB486:PB521" si="2676">SUMIF($ON$12:$PA$12,$PB$12,ON486:PA486)</f>
        <v>0</v>
      </c>
      <c r="PC486" s="98">
        <f t="shared" ref="PC486:PP486" si="2677">SUM(PC15,PC53,PC91,PC129,PC167,PC205,PC243,PC281,PC319,PC357,PC395,PC433)</f>
        <v>0</v>
      </c>
      <c r="PD486" s="98">
        <f t="shared" si="2677"/>
        <v>0</v>
      </c>
      <c r="PE486" s="98">
        <f t="shared" si="2677"/>
        <v>0</v>
      </c>
      <c r="PF486" s="98">
        <f t="shared" si="2677"/>
        <v>0</v>
      </c>
      <c r="PG486" s="98">
        <f t="shared" si="2677"/>
        <v>0</v>
      </c>
      <c r="PH486" s="98">
        <f t="shared" si="2677"/>
        <v>0</v>
      </c>
      <c r="PI486" s="98">
        <f t="shared" si="2677"/>
        <v>0</v>
      </c>
      <c r="PJ486" s="98">
        <f t="shared" si="2677"/>
        <v>0</v>
      </c>
      <c r="PK486" s="98">
        <f t="shared" si="2677"/>
        <v>0</v>
      </c>
      <c r="PL486" s="98">
        <f t="shared" si="2677"/>
        <v>0</v>
      </c>
      <c r="PM486" s="98">
        <f t="shared" si="2677"/>
        <v>0</v>
      </c>
      <c r="PN486" s="98">
        <f t="shared" si="2677"/>
        <v>0</v>
      </c>
      <c r="PO486" s="98">
        <f t="shared" si="2677"/>
        <v>0</v>
      </c>
      <c r="PP486" s="98">
        <f t="shared" si="2677"/>
        <v>0</v>
      </c>
      <c r="PQ486" s="198">
        <f t="shared" ref="PQ486:PQ521" si="2678">SUMIF($PC$12:$PP$12,$PQ$12,PC486:PP486)</f>
        <v>0</v>
      </c>
      <c r="PR486" s="198">
        <f t="shared" ref="PR486:PR521" si="2679">SUMIF($PD$12:$PQ$12,$PR$12,PD486:PQ486)</f>
        <v>0</v>
      </c>
      <c r="PS486" s="98">
        <f t="shared" ref="PS486:QF486" si="2680">SUM(PS15,PS53,PS91,PS129,PS167,PS205,PS243,PS281,PS319,PS357,PS395,PS433)</f>
        <v>0</v>
      </c>
      <c r="PT486" s="98">
        <f t="shared" si="2680"/>
        <v>0</v>
      </c>
      <c r="PU486" s="98">
        <f t="shared" si="2680"/>
        <v>0</v>
      </c>
      <c r="PV486" s="98">
        <f t="shared" si="2680"/>
        <v>0</v>
      </c>
      <c r="PW486" s="98">
        <f t="shared" si="2680"/>
        <v>0</v>
      </c>
      <c r="PX486" s="98">
        <f t="shared" si="2680"/>
        <v>0</v>
      </c>
      <c r="PY486" s="98">
        <f t="shared" si="2680"/>
        <v>188257</v>
      </c>
      <c r="PZ486" s="98">
        <f t="shared" si="2680"/>
        <v>3566600</v>
      </c>
      <c r="QA486" s="98">
        <f t="shared" si="2680"/>
        <v>0</v>
      </c>
      <c r="QB486" s="98">
        <f t="shared" si="2680"/>
        <v>0</v>
      </c>
      <c r="QC486" s="98">
        <f t="shared" si="2680"/>
        <v>269900</v>
      </c>
      <c r="QD486" s="98">
        <f t="shared" si="2680"/>
        <v>5107540</v>
      </c>
      <c r="QE486" s="98">
        <f t="shared" si="2680"/>
        <v>0</v>
      </c>
      <c r="QF486" s="98">
        <f t="shared" si="2680"/>
        <v>0</v>
      </c>
      <c r="QG486" s="198">
        <f t="shared" ref="QG486:QG521" si="2681">SUMIF($PS$12:$QF$12,$QG$12,PS486:QF486)</f>
        <v>458157</v>
      </c>
      <c r="QH486" s="198">
        <f t="shared" ref="QH486:QH521" si="2682">SUMIF($PT$12:$QG$12,$QH$12,PT486:QG486)</f>
        <v>8674140</v>
      </c>
      <c r="QI486" s="98">
        <f t="shared" ref="QI486:QV486" si="2683">SUM(QI15,QI53,QI91,QI129,QI167,QI205,QI243,QI281,QI319,QI357,QI395,QI433)</f>
        <v>0</v>
      </c>
      <c r="QJ486" s="98">
        <f t="shared" si="2683"/>
        <v>0</v>
      </c>
      <c r="QK486" s="98">
        <f t="shared" si="2683"/>
        <v>0</v>
      </c>
      <c r="QL486" s="98">
        <f t="shared" si="2683"/>
        <v>0</v>
      </c>
      <c r="QM486" s="98">
        <f t="shared" si="2683"/>
        <v>0</v>
      </c>
      <c r="QN486" s="98">
        <f t="shared" si="2683"/>
        <v>0</v>
      </c>
      <c r="QO486" s="98">
        <f t="shared" si="2683"/>
        <v>0</v>
      </c>
      <c r="QP486" s="98">
        <f t="shared" si="2683"/>
        <v>0</v>
      </c>
      <c r="QQ486" s="98">
        <f t="shared" si="2683"/>
        <v>0</v>
      </c>
      <c r="QR486" s="98">
        <f t="shared" si="2683"/>
        <v>0</v>
      </c>
      <c r="QS486" s="98">
        <f t="shared" si="2683"/>
        <v>0</v>
      </c>
      <c r="QT486" s="98">
        <f t="shared" si="2683"/>
        <v>0</v>
      </c>
      <c r="QU486" s="98">
        <f t="shared" si="2683"/>
        <v>0</v>
      </c>
      <c r="QV486" s="98">
        <f t="shared" si="2683"/>
        <v>0</v>
      </c>
      <c r="QW486" s="198">
        <f t="shared" ref="QW486:QW521" si="2684">SUMIF($QI$12:$QV$12,$QW$12,QI486:QV486)</f>
        <v>0</v>
      </c>
      <c r="QX486" s="198">
        <f t="shared" ref="QX486:QX521" si="2685">SUMIF($QJ$12:$QW$12,$QX$12,QJ486:QW486)</f>
        <v>0</v>
      </c>
      <c r="QY486" s="98">
        <f t="shared" ref="QY486:RL486" si="2686">SUM(QY15,QY53,QY91,QY129,QY167,QY205,QY243,QY281,QY319,QY357,QY395,QY433)</f>
        <v>0</v>
      </c>
      <c r="QZ486" s="98">
        <f t="shared" si="2686"/>
        <v>0</v>
      </c>
      <c r="RA486" s="98">
        <f t="shared" si="2686"/>
        <v>0</v>
      </c>
      <c r="RB486" s="98">
        <f t="shared" si="2686"/>
        <v>0</v>
      </c>
      <c r="RC486" s="98">
        <f t="shared" si="2686"/>
        <v>0</v>
      </c>
      <c r="RD486" s="98">
        <f t="shared" si="2686"/>
        <v>0</v>
      </c>
      <c r="RE486" s="98">
        <f t="shared" si="2686"/>
        <v>0</v>
      </c>
      <c r="RF486" s="98">
        <f t="shared" si="2686"/>
        <v>0</v>
      </c>
      <c r="RG486" s="98">
        <f t="shared" si="2686"/>
        <v>0</v>
      </c>
      <c r="RH486" s="98">
        <f t="shared" si="2686"/>
        <v>0</v>
      </c>
      <c r="RI486" s="98">
        <f t="shared" si="2686"/>
        <v>0</v>
      </c>
      <c r="RJ486" s="98">
        <f t="shared" si="2686"/>
        <v>0</v>
      </c>
      <c r="RK486" s="98">
        <f t="shared" si="2686"/>
        <v>0</v>
      </c>
      <c r="RL486" s="98">
        <f t="shared" si="2686"/>
        <v>0</v>
      </c>
      <c r="RM486" s="198">
        <f t="shared" ref="RM486:RM521" si="2687">SUMIF($QY$12:$RL$12,$RM$12,QY486:RL486)</f>
        <v>0</v>
      </c>
      <c r="RN486" s="198">
        <f t="shared" ref="RN486:RN521" si="2688">SUMIF($QZ$12:$RM$12,$RN$12,QZ486:RM486)</f>
        <v>0</v>
      </c>
      <c r="RO486" s="98">
        <f t="shared" ref="RO486:SB486" si="2689">SUM(RO15,RO53,RO91,RO129,RO167,RO205,RO243,RO281,RO319,RO357,RO395,RO433)</f>
        <v>0</v>
      </c>
      <c r="RP486" s="98">
        <f t="shared" si="2689"/>
        <v>0</v>
      </c>
      <c r="RQ486" s="98">
        <f t="shared" si="2689"/>
        <v>0</v>
      </c>
      <c r="RR486" s="98">
        <f t="shared" si="2689"/>
        <v>0</v>
      </c>
      <c r="RS486" s="98">
        <f t="shared" si="2689"/>
        <v>0</v>
      </c>
      <c r="RT486" s="98">
        <f t="shared" si="2689"/>
        <v>0</v>
      </c>
      <c r="RU486" s="98">
        <f t="shared" si="2689"/>
        <v>0</v>
      </c>
      <c r="RV486" s="98">
        <f t="shared" si="2689"/>
        <v>0</v>
      </c>
      <c r="RW486" s="98">
        <f t="shared" si="2689"/>
        <v>0</v>
      </c>
      <c r="RX486" s="98">
        <f t="shared" si="2689"/>
        <v>0</v>
      </c>
      <c r="RY486" s="98">
        <f t="shared" si="2689"/>
        <v>0</v>
      </c>
      <c r="RZ486" s="98">
        <f t="shared" si="2689"/>
        <v>0</v>
      </c>
      <c r="SA486" s="98">
        <f t="shared" si="2689"/>
        <v>0</v>
      </c>
      <c r="SB486" s="98">
        <f t="shared" si="2689"/>
        <v>0</v>
      </c>
      <c r="SC486" s="198">
        <f t="shared" ref="SC486:SC521" si="2690">SUMIF($RO$12:$SB$12,$SC$12,RO486:SB486)</f>
        <v>0</v>
      </c>
      <c r="SD486" s="198">
        <f t="shared" ref="SD486:SD521" si="2691">SUMIF($RP$12:$SC$12,$SD$12,RP486:SC486)</f>
        <v>0</v>
      </c>
      <c r="SE486" s="98">
        <f t="shared" ref="SE486:SR486" si="2692">SUM(SE15,SE53,SE91,SE129,SE167,SE205,SE243,SE281,SE319,SE357,SE395,SE433)</f>
        <v>0</v>
      </c>
      <c r="SF486" s="98">
        <f t="shared" si="2692"/>
        <v>0</v>
      </c>
      <c r="SG486" s="98">
        <f t="shared" si="2692"/>
        <v>0</v>
      </c>
      <c r="SH486" s="98">
        <f t="shared" si="2692"/>
        <v>0</v>
      </c>
      <c r="SI486" s="98">
        <f t="shared" si="2692"/>
        <v>0</v>
      </c>
      <c r="SJ486" s="98">
        <f t="shared" si="2692"/>
        <v>0</v>
      </c>
      <c r="SK486" s="98">
        <f t="shared" si="2692"/>
        <v>0</v>
      </c>
      <c r="SL486" s="98">
        <f t="shared" si="2692"/>
        <v>0</v>
      </c>
      <c r="SM486" s="98">
        <f t="shared" si="2692"/>
        <v>0</v>
      </c>
      <c r="SN486" s="98">
        <f t="shared" si="2692"/>
        <v>0</v>
      </c>
      <c r="SO486" s="98">
        <f t="shared" si="2692"/>
        <v>0</v>
      </c>
      <c r="SP486" s="98">
        <f t="shared" si="2692"/>
        <v>0</v>
      </c>
      <c r="SQ486" s="98">
        <f t="shared" si="2692"/>
        <v>0</v>
      </c>
      <c r="SR486" s="98">
        <f t="shared" si="2692"/>
        <v>0</v>
      </c>
      <c r="SS486" s="198">
        <f t="shared" ref="SS486:SS521" si="2693">SUMIF($SE$12:$SR$12,$SS$12,SE486:SR486)</f>
        <v>0</v>
      </c>
      <c r="ST486" s="198">
        <f t="shared" ref="ST486:ST521" si="2694">SUMIF($SF$12:$SS$12,$ST$12,SF486:SS486)</f>
        <v>0</v>
      </c>
      <c r="SU486" s="98">
        <f t="shared" ref="SU486:TH486" si="2695">SUM(SU15,SU53,SU91,SU129,SU167,SU205,SU243,SU281,SU319,SU357,SU395,SU433)</f>
        <v>0</v>
      </c>
      <c r="SV486" s="98">
        <f t="shared" si="2695"/>
        <v>0</v>
      </c>
      <c r="SW486" s="98">
        <f t="shared" si="2695"/>
        <v>0</v>
      </c>
      <c r="SX486" s="98">
        <f t="shared" si="2695"/>
        <v>0</v>
      </c>
      <c r="SY486" s="98">
        <f t="shared" si="2695"/>
        <v>0</v>
      </c>
      <c r="SZ486" s="98">
        <f t="shared" si="2695"/>
        <v>0</v>
      </c>
      <c r="TA486" s="98">
        <f t="shared" si="2695"/>
        <v>0</v>
      </c>
      <c r="TB486" s="98">
        <f t="shared" si="2695"/>
        <v>0</v>
      </c>
      <c r="TC486" s="98">
        <f t="shared" si="2695"/>
        <v>0</v>
      </c>
      <c r="TD486" s="98">
        <f t="shared" si="2695"/>
        <v>0</v>
      </c>
      <c r="TE486" s="98">
        <f t="shared" si="2695"/>
        <v>0</v>
      </c>
      <c r="TF486" s="98">
        <f t="shared" si="2695"/>
        <v>0</v>
      </c>
      <c r="TG486" s="98">
        <f t="shared" si="2695"/>
        <v>0</v>
      </c>
      <c r="TH486" s="98">
        <f t="shared" si="2695"/>
        <v>0</v>
      </c>
      <c r="TI486" s="198">
        <f t="shared" ref="TI486:TI521" si="2696">SUMIF($SU$12:$TH$12,$TI$12,SU486:TH486)</f>
        <v>0</v>
      </c>
      <c r="TJ486" s="198">
        <f t="shared" ref="TJ486:TJ521" si="2697">SUMIF($SV$12:$TI$12,$TJ$12,SV486:TI486)</f>
        <v>0</v>
      </c>
      <c r="TK486" s="98">
        <f t="shared" ref="TK486:TX486" si="2698">SUM(TK15,TK53,TK91,TK129,TK167,TK205,TK243,TK281,TK319,TK357,TK395,TK433)</f>
        <v>0</v>
      </c>
      <c r="TL486" s="98">
        <f t="shared" si="2698"/>
        <v>0</v>
      </c>
      <c r="TM486" s="98">
        <f t="shared" si="2698"/>
        <v>0</v>
      </c>
      <c r="TN486" s="98">
        <f t="shared" si="2698"/>
        <v>0</v>
      </c>
      <c r="TO486" s="98">
        <f t="shared" si="2698"/>
        <v>0</v>
      </c>
      <c r="TP486" s="98">
        <f t="shared" si="2698"/>
        <v>0</v>
      </c>
      <c r="TQ486" s="98">
        <f t="shared" si="2698"/>
        <v>0</v>
      </c>
      <c r="TR486" s="98">
        <f t="shared" si="2698"/>
        <v>0</v>
      </c>
      <c r="TS486" s="98">
        <f t="shared" si="2698"/>
        <v>0</v>
      </c>
      <c r="TT486" s="98">
        <f t="shared" si="2698"/>
        <v>0</v>
      </c>
      <c r="TU486" s="98">
        <f t="shared" si="2698"/>
        <v>0</v>
      </c>
      <c r="TV486" s="98">
        <f t="shared" si="2698"/>
        <v>0</v>
      </c>
      <c r="TW486" s="98">
        <f t="shared" si="2698"/>
        <v>0</v>
      </c>
      <c r="TX486" s="98">
        <f t="shared" si="2698"/>
        <v>0</v>
      </c>
      <c r="TY486" s="198">
        <f t="shared" ref="TY486:TY521" si="2699">SUMIF($TK$12:$TX$12,$TY$12,TK486:TX486)</f>
        <v>0</v>
      </c>
      <c r="TZ486" s="198">
        <f t="shared" ref="TZ486:TZ521" si="2700">SUMIF($TL$12:$TY$12,$TZ$12,TL486:TY486)</f>
        <v>0</v>
      </c>
      <c r="UA486" s="98">
        <f t="shared" ref="UA486:UN486" si="2701">SUM(UA15,UA53,UA91,UA129,UA167,UA205,UA243,UA281,UA319,UA357,UA395,UA433)</f>
        <v>0</v>
      </c>
      <c r="UB486" s="98">
        <f t="shared" si="2701"/>
        <v>0</v>
      </c>
      <c r="UC486" s="98">
        <f t="shared" si="2701"/>
        <v>0</v>
      </c>
      <c r="UD486" s="98">
        <f t="shared" si="2701"/>
        <v>0</v>
      </c>
      <c r="UE486" s="98">
        <f t="shared" si="2701"/>
        <v>0</v>
      </c>
      <c r="UF486" s="98">
        <f t="shared" si="2701"/>
        <v>0</v>
      </c>
      <c r="UG486" s="98">
        <f t="shared" si="2701"/>
        <v>0</v>
      </c>
      <c r="UH486" s="98">
        <f t="shared" si="2701"/>
        <v>0</v>
      </c>
      <c r="UI486" s="98">
        <f t="shared" si="2701"/>
        <v>0</v>
      </c>
      <c r="UJ486" s="98">
        <f t="shared" si="2701"/>
        <v>0</v>
      </c>
      <c r="UK486" s="98">
        <f t="shared" si="2701"/>
        <v>0</v>
      </c>
      <c r="UL486" s="98">
        <f t="shared" si="2701"/>
        <v>0</v>
      </c>
      <c r="UM486" s="98">
        <f t="shared" si="2701"/>
        <v>0</v>
      </c>
      <c r="UN486" s="98">
        <f t="shared" si="2701"/>
        <v>0</v>
      </c>
      <c r="UO486" s="198">
        <f t="shared" ref="UO486:UO521" si="2702">SUMIF($UA$12:$UN$12,$UO$12,UA486:UN486)</f>
        <v>0</v>
      </c>
      <c r="UP486" s="198">
        <f t="shared" ref="UP486:UP521" si="2703">SUMIF($UB$12:$UO$12,$UP$12,UB486:UO486)</f>
        <v>0</v>
      </c>
      <c r="UQ486" s="98">
        <f t="shared" ref="UQ486:VD486" si="2704">SUM(UQ15,UQ53,UQ91,UQ129,UQ167,UQ205,UQ243,UQ281,UQ319,UQ357,UQ395,UQ433)</f>
        <v>0</v>
      </c>
      <c r="UR486" s="98">
        <f t="shared" si="2704"/>
        <v>0</v>
      </c>
      <c r="US486" s="98">
        <f t="shared" si="2704"/>
        <v>0</v>
      </c>
      <c r="UT486" s="98">
        <f t="shared" si="2704"/>
        <v>0</v>
      </c>
      <c r="UU486" s="98">
        <f t="shared" si="2704"/>
        <v>0</v>
      </c>
      <c r="UV486" s="98">
        <f t="shared" si="2704"/>
        <v>0</v>
      </c>
      <c r="UW486" s="98">
        <f t="shared" si="2704"/>
        <v>0</v>
      </c>
      <c r="UX486" s="98">
        <f t="shared" si="2704"/>
        <v>0</v>
      </c>
      <c r="UY486" s="98">
        <f t="shared" si="2704"/>
        <v>0</v>
      </c>
      <c r="UZ486" s="98">
        <f t="shared" si="2704"/>
        <v>0</v>
      </c>
      <c r="VA486" s="98">
        <f t="shared" si="2704"/>
        <v>0</v>
      </c>
      <c r="VB486" s="98">
        <f t="shared" si="2704"/>
        <v>0</v>
      </c>
      <c r="VC486" s="98">
        <f t="shared" si="2704"/>
        <v>0</v>
      </c>
      <c r="VD486" s="98">
        <f t="shared" si="2704"/>
        <v>0</v>
      </c>
      <c r="VE486" s="198">
        <f t="shared" ref="VE486:VE521" si="2705">SUMIF($UQ$12:$VD$12,$VE$12,UQ486:VD486)</f>
        <v>0</v>
      </c>
      <c r="VF486" s="198">
        <f t="shared" ref="VF486:VF521" si="2706">SUMIF($UR$12:$VE$12,$VF$12,UR486:VE486)</f>
        <v>0</v>
      </c>
      <c r="VG486" s="98">
        <f t="shared" ref="VG486:VT486" si="2707">SUM(VG15,VG53,VG91,VG129,VG167,VG205,VG243,VG281,VG319,VG357,VG395,VG433)</f>
        <v>0</v>
      </c>
      <c r="VH486" s="98">
        <f t="shared" si="2707"/>
        <v>0</v>
      </c>
      <c r="VI486" s="98">
        <f t="shared" si="2707"/>
        <v>0</v>
      </c>
      <c r="VJ486" s="98">
        <f t="shared" si="2707"/>
        <v>0</v>
      </c>
      <c r="VK486" s="98">
        <f t="shared" si="2707"/>
        <v>0</v>
      </c>
      <c r="VL486" s="98">
        <f t="shared" si="2707"/>
        <v>0</v>
      </c>
      <c r="VM486" s="98">
        <f t="shared" si="2707"/>
        <v>0</v>
      </c>
      <c r="VN486" s="98">
        <f t="shared" si="2707"/>
        <v>0</v>
      </c>
      <c r="VO486" s="98">
        <f t="shared" si="2707"/>
        <v>0</v>
      </c>
      <c r="VP486" s="98">
        <f t="shared" si="2707"/>
        <v>0</v>
      </c>
      <c r="VQ486" s="98">
        <f t="shared" si="2707"/>
        <v>0</v>
      </c>
      <c r="VR486" s="98">
        <f t="shared" si="2707"/>
        <v>0</v>
      </c>
      <c r="VS486" s="98">
        <f t="shared" si="2707"/>
        <v>0</v>
      </c>
      <c r="VT486" s="98">
        <f t="shared" si="2707"/>
        <v>0</v>
      </c>
      <c r="VU486" s="198">
        <f t="shared" ref="VU486:VU521" si="2708">SUMIF($VG$12:$VT$12,$VU$12,VG486:VT486)</f>
        <v>0</v>
      </c>
      <c r="VV486" s="198">
        <f t="shared" ref="VV486:VV521" si="2709">SUMIF($VH$12:$VU$12,$VV$12,VH486:VU486)</f>
        <v>0</v>
      </c>
      <c r="VW486" s="98">
        <f t="shared" ref="VW486:WJ486" si="2710">SUM(VW15,VW53,VW91,VW129,VW167,VW205,VW243,VW281,VW319,VW357,VW395,VW433)</f>
        <v>0</v>
      </c>
      <c r="VX486" s="98">
        <f t="shared" si="2710"/>
        <v>0</v>
      </c>
      <c r="VY486" s="98">
        <f t="shared" si="2710"/>
        <v>0</v>
      </c>
      <c r="VZ486" s="98">
        <f t="shared" si="2710"/>
        <v>0</v>
      </c>
      <c r="WA486" s="98">
        <f t="shared" si="2710"/>
        <v>0</v>
      </c>
      <c r="WB486" s="98">
        <f t="shared" si="2710"/>
        <v>0</v>
      </c>
      <c r="WC486" s="98">
        <f t="shared" si="2710"/>
        <v>0</v>
      </c>
      <c r="WD486" s="98">
        <f t="shared" si="2710"/>
        <v>0</v>
      </c>
      <c r="WE486" s="98">
        <f t="shared" si="2710"/>
        <v>0</v>
      </c>
      <c r="WF486" s="98">
        <f t="shared" si="2710"/>
        <v>0</v>
      </c>
      <c r="WG486" s="98">
        <f t="shared" si="2710"/>
        <v>0</v>
      </c>
      <c r="WH486" s="98">
        <f t="shared" si="2710"/>
        <v>0</v>
      </c>
      <c r="WI486" s="98">
        <f t="shared" si="2710"/>
        <v>0</v>
      </c>
      <c r="WJ486" s="98">
        <f t="shared" si="2710"/>
        <v>0</v>
      </c>
      <c r="WK486" s="198">
        <f t="shared" ref="WK486:WK521" si="2711">SUMIF($VW$12:$WJ$12,$WK$12,VW486:WJ486)</f>
        <v>0</v>
      </c>
      <c r="WL486" s="198">
        <f t="shared" ref="WL486:WL521" si="2712">SUMIF($VX$12:$WK$12,$WL$12,VX486:WK486)</f>
        <v>0</v>
      </c>
      <c r="WN486" s="98">
        <f t="shared" ref="WN486:WN511" si="2713">SUMIF($C$481:$WL$481,$WN$481,C486:WL486)</f>
        <v>0</v>
      </c>
      <c r="WO486" s="98">
        <f t="shared" ref="WO486:WO511" si="2714">SUMIF($C$481:$WL$481,$WO$481,C486:WL486)</f>
        <v>0</v>
      </c>
      <c r="WP486" s="98">
        <f t="shared" ref="WP486:WP511" si="2715">SUMIF($C$481:$WL$481,$WP$481,C486:WL486)</f>
        <v>0</v>
      </c>
      <c r="WQ486" s="98">
        <f t="shared" ref="WQ486:WQ511" si="2716">SUMIF($C$481:$WL$481,$WQ$481,C486:WL486)</f>
        <v>0</v>
      </c>
      <c r="WR486" s="98">
        <f t="shared" ref="WR486:WR511" si="2717">SUMIF($C$481:$WL$481,$WR$481,C486:WL486)</f>
        <v>0</v>
      </c>
      <c r="WS486" s="98">
        <f t="shared" ref="WS486:WS511" si="2718">SUMIF($C$481:$WL$481,$WS$481,C486:WL486)</f>
        <v>0</v>
      </c>
      <c r="WT486" s="98">
        <f t="shared" ref="WT486:WT511" si="2719">SUMIF($C$481:$WL$481,$WT$481,C486:WL486)</f>
        <v>5691917</v>
      </c>
      <c r="WU486" s="98">
        <f t="shared" ref="WU486:WU511" si="2720">SUMIF($C$481:$WL$481,$WU$481,C486:WL486)</f>
        <v>88378650</v>
      </c>
      <c r="WV486" s="98">
        <f t="shared" ref="WV486:WV511" si="2721">SUMIF($C$481:$WL$481,$WV$481,C486:WL486)</f>
        <v>0</v>
      </c>
      <c r="WW486" s="98">
        <f t="shared" ref="WW486:WW511" si="2722">SUMIF($C$481:$WL$481,$WW$481,C486:WL486)</f>
        <v>0</v>
      </c>
      <c r="WX486" s="98">
        <f t="shared" ref="WX486:WX511" si="2723">SUMIF($C$481:$WL$481,$WX$481,C486:WL486)</f>
        <v>271288</v>
      </c>
      <c r="WY486" s="98">
        <f t="shared" ref="WY486:WY511" si="2724">SUMIF($C$481:$WL$481,$WY$481,C486:WL486)</f>
        <v>5132524</v>
      </c>
      <c r="WZ486" s="98">
        <f t="shared" ref="WZ486:WZ511" si="2725">SUMIF($C$481:$WL$481,$WZ$481,C486:WL486)</f>
        <v>0</v>
      </c>
      <c r="XA486" s="98">
        <f t="shared" ref="XA486:XA511" si="2726">SUMIF($C$481:$WL$481,$XA$481,C486:WL486)</f>
        <v>0</v>
      </c>
      <c r="XB486" s="107">
        <f t="shared" ref="XB486:XB511" si="2727">SUMIF($WN$483:$XA$483,$XB$481,WN486:XA486)</f>
        <v>5963205</v>
      </c>
      <c r="XC486" s="107">
        <f t="shared" ref="XC486:XC511" si="2728">SUMIF($WN$483:$XA$483,$XC$481,WN486:XA486)</f>
        <v>93511174</v>
      </c>
      <c r="XK486" s="98">
        <f t="shared" ref="XK486:XK521" si="2729">SUMIF($C$481:$WL$481,$WN$481,Z486:XI486)</f>
        <v>94070567</v>
      </c>
      <c r="XL486" s="98">
        <f t="shared" ref="XL486:XL521" si="2730">SUMIF($C$481:$WL$481,$WP$481,Z486:XI486)</f>
        <v>0</v>
      </c>
      <c r="XM486" s="98">
        <f t="shared" ref="XM486:XM521" si="2731">SUMIF($C$481:$WL$481,$WR$481,Z486:XI486)</f>
        <v>5403812</v>
      </c>
      <c r="XN486" s="98">
        <f t="shared" ref="XN486:XN521" si="2732">SUMIF($C$481:$WL$481,$WT$481,Z486:XI486)</f>
        <v>0</v>
      </c>
      <c r="XO486" s="98">
        <f t="shared" ref="XO486:XO521" si="2733">SUMIF($C$481:$WL$481,$WV$481,Z486:XI486)</f>
        <v>99474379</v>
      </c>
      <c r="XP486" s="98">
        <f t="shared" ref="XP486:XP521" si="2734">SUMIF($C$481:$WL$481,$WX$481,Z486:XI486)</f>
        <v>0</v>
      </c>
      <c r="XQ486" s="98">
        <f t="shared" ref="XQ486:XQ521" si="2735">SUMIF($C$481:$WL$481,$WZ$481,Z486:XI486)</f>
        <v>0</v>
      </c>
      <c r="XR486" s="107">
        <f t="shared" ca="1" si="2597"/>
        <v>204615965</v>
      </c>
      <c r="XT486" s="98">
        <f t="shared" ref="XT486:XT521" si="2736">SUMIF($C$481:$WL$481,$WN$481,AI486:XR486)</f>
        <v>93511174</v>
      </c>
      <c r="XU486" s="98">
        <f t="shared" ref="XU486:XU521" si="2737">SUMIF($C$481:$WL$481,$WP$481,AI486:XR486)</f>
        <v>0</v>
      </c>
      <c r="XV486" s="98">
        <f t="shared" ref="XV486:XV521" si="2738">SUMIF($C$481:$WL$481,$WR$481,AI486:XR486)</f>
        <v>0</v>
      </c>
      <c r="XW486" s="98">
        <f t="shared" ref="XW486:XW521" si="2739">SUMIF($C$481:$WL$481,$WT$481,AI486:XR486)</f>
        <v>5667207</v>
      </c>
      <c r="XX486" s="98">
        <f t="shared" ref="XX486:XX521" si="2740">SUMIF($C$481:$WL$481,$WV$481,AI486:XR486)</f>
        <v>182449217</v>
      </c>
      <c r="XY486" s="98">
        <f t="shared" ref="XY486:XY521" si="2741">SUMIF($C$481:$WL$481,$WX$481,AI486:XR486)</f>
        <v>5675100</v>
      </c>
      <c r="XZ486" s="98">
        <f t="shared" ref="XZ486:XZ521" si="2742">SUMIF($C$481:$WL$481,$WZ$481,AI486:XR486)</f>
        <v>104606903</v>
      </c>
      <c r="YA486" s="107">
        <f t="shared" ca="1" si="2598"/>
        <v>380567294</v>
      </c>
    </row>
    <row r="487" spans="1:1017">
      <c r="B487" s="90" t="str">
        <f t="shared" si="2558"/>
        <v xml:space="preserve">Belanak </v>
      </c>
      <c r="C487" s="98">
        <f t="shared" ref="C487:P487" si="2743">SUM(C16,C54,C92,C130,C168,C206,C244,C282,C320,C358,C396,C434)</f>
        <v>0</v>
      </c>
      <c r="D487" s="98">
        <f t="shared" si="2743"/>
        <v>0</v>
      </c>
      <c r="E487" s="98">
        <f t="shared" si="2743"/>
        <v>1303200</v>
      </c>
      <c r="F487" s="98">
        <f t="shared" si="2743"/>
        <v>35888000</v>
      </c>
      <c r="G487" s="98">
        <f t="shared" si="2743"/>
        <v>0</v>
      </c>
      <c r="H487" s="98">
        <f t="shared" si="2743"/>
        <v>0</v>
      </c>
      <c r="I487" s="98">
        <f t="shared" si="2743"/>
        <v>0</v>
      </c>
      <c r="J487" s="98">
        <f t="shared" si="2743"/>
        <v>0</v>
      </c>
      <c r="K487" s="98">
        <f t="shared" si="2743"/>
        <v>0</v>
      </c>
      <c r="L487" s="98">
        <f t="shared" si="2743"/>
        <v>0</v>
      </c>
      <c r="M487" s="98">
        <f t="shared" si="2743"/>
        <v>0</v>
      </c>
      <c r="N487" s="98">
        <f t="shared" si="2743"/>
        <v>0</v>
      </c>
      <c r="O487" s="98">
        <f t="shared" si="2743"/>
        <v>0</v>
      </c>
      <c r="P487" s="98">
        <f t="shared" si="2743"/>
        <v>0</v>
      </c>
      <c r="Q487" s="198">
        <f t="shared" si="2600"/>
        <v>1303200</v>
      </c>
      <c r="R487" s="198">
        <f t="shared" si="2601"/>
        <v>35888000</v>
      </c>
      <c r="S487" s="98">
        <f t="shared" ref="S487:AF487" si="2744">SUM(S16,S54,S92,S130,S168,S206,S244,S282,S320,S358,S396,S434)</f>
        <v>0</v>
      </c>
      <c r="T487" s="98">
        <f t="shared" si="2744"/>
        <v>0</v>
      </c>
      <c r="U487" s="98">
        <f t="shared" si="2744"/>
        <v>0</v>
      </c>
      <c r="V487" s="98">
        <f t="shared" si="2744"/>
        <v>0</v>
      </c>
      <c r="W487" s="98">
        <f t="shared" si="2744"/>
        <v>0</v>
      </c>
      <c r="X487" s="98">
        <f t="shared" si="2744"/>
        <v>0</v>
      </c>
      <c r="Y487" s="98">
        <f t="shared" si="2744"/>
        <v>0</v>
      </c>
      <c r="Z487" s="98">
        <f t="shared" si="2744"/>
        <v>0</v>
      </c>
      <c r="AA487" s="98">
        <f t="shared" si="2744"/>
        <v>0</v>
      </c>
      <c r="AB487" s="98">
        <f t="shared" si="2744"/>
        <v>0</v>
      </c>
      <c r="AC487" s="98">
        <f t="shared" si="2744"/>
        <v>0</v>
      </c>
      <c r="AD487" s="98">
        <f t="shared" si="2744"/>
        <v>0</v>
      </c>
      <c r="AE487" s="98">
        <f t="shared" si="2744"/>
        <v>0</v>
      </c>
      <c r="AF487" s="98">
        <f t="shared" si="2744"/>
        <v>0</v>
      </c>
      <c r="AG487" s="198">
        <f t="shared" si="2603"/>
        <v>0</v>
      </c>
      <c r="AH487" s="198">
        <f t="shared" si="2604"/>
        <v>0</v>
      </c>
      <c r="AI487" s="98">
        <f t="shared" ref="AI487:AV487" si="2745">SUM(AI16,AI54,AI92,AI130,AI168,AI206,AI244,AI282,AI320,AI358,AI396,AI434)</f>
        <v>0</v>
      </c>
      <c r="AJ487" s="98">
        <f t="shared" si="2745"/>
        <v>0</v>
      </c>
      <c r="AK487" s="98">
        <f t="shared" si="2745"/>
        <v>0</v>
      </c>
      <c r="AL487" s="98">
        <f t="shared" si="2745"/>
        <v>0</v>
      </c>
      <c r="AM487" s="98">
        <f t="shared" si="2745"/>
        <v>0</v>
      </c>
      <c r="AN487" s="98">
        <f t="shared" si="2745"/>
        <v>0</v>
      </c>
      <c r="AO487" s="98">
        <f t="shared" si="2745"/>
        <v>0</v>
      </c>
      <c r="AP487" s="98">
        <f t="shared" si="2745"/>
        <v>0</v>
      </c>
      <c r="AQ487" s="98">
        <f t="shared" si="2745"/>
        <v>0</v>
      </c>
      <c r="AR487" s="98">
        <f t="shared" si="2745"/>
        <v>0</v>
      </c>
      <c r="AS487" s="98">
        <f t="shared" si="2745"/>
        <v>0</v>
      </c>
      <c r="AT487" s="98">
        <f t="shared" si="2745"/>
        <v>0</v>
      </c>
      <c r="AU487" s="98">
        <f t="shared" si="2745"/>
        <v>0</v>
      </c>
      <c r="AV487" s="98">
        <f t="shared" si="2745"/>
        <v>0</v>
      </c>
      <c r="AW487" s="198">
        <f t="shared" si="2606"/>
        <v>0</v>
      </c>
      <c r="AX487" s="198">
        <f t="shared" si="2607"/>
        <v>0</v>
      </c>
      <c r="AY487" s="98">
        <f t="shared" ref="AY487:BL487" si="2746">SUM(AY16,AY54,AY92,AY130,AY168,AY206,AY244,AY282,AY320,AY358,AY396,AY434)</f>
        <v>0</v>
      </c>
      <c r="AZ487" s="98">
        <f t="shared" si="2746"/>
        <v>0</v>
      </c>
      <c r="BA487" s="98">
        <f t="shared" si="2746"/>
        <v>0</v>
      </c>
      <c r="BB487" s="98">
        <f t="shared" si="2746"/>
        <v>0</v>
      </c>
      <c r="BC487" s="98">
        <f t="shared" si="2746"/>
        <v>0</v>
      </c>
      <c r="BD487" s="98">
        <f t="shared" si="2746"/>
        <v>0</v>
      </c>
      <c r="BE487" s="98">
        <f t="shared" si="2746"/>
        <v>0</v>
      </c>
      <c r="BF487" s="98">
        <f t="shared" si="2746"/>
        <v>0</v>
      </c>
      <c r="BG487" s="98">
        <f t="shared" si="2746"/>
        <v>0</v>
      </c>
      <c r="BH487" s="98">
        <f t="shared" si="2746"/>
        <v>0</v>
      </c>
      <c r="BI487" s="98">
        <f t="shared" si="2746"/>
        <v>0</v>
      </c>
      <c r="BJ487" s="98">
        <f t="shared" si="2746"/>
        <v>0</v>
      </c>
      <c r="BK487" s="98">
        <f t="shared" si="2746"/>
        <v>0</v>
      </c>
      <c r="BL487" s="98">
        <f t="shared" si="2746"/>
        <v>0</v>
      </c>
      <c r="BM487" s="198">
        <f t="shared" si="2609"/>
        <v>0</v>
      </c>
      <c r="BN487" s="198">
        <f t="shared" si="2610"/>
        <v>0</v>
      </c>
      <c r="BO487" s="98">
        <f t="shared" ref="BO487:CB487" si="2747">SUM(BO16,BO54,BO92,BO130,BO168,BO206,BO244,BO282,BO320,BO358,BO396,BO434)</f>
        <v>0</v>
      </c>
      <c r="BP487" s="98">
        <f t="shared" si="2747"/>
        <v>0</v>
      </c>
      <c r="BQ487" s="98">
        <f t="shared" si="2747"/>
        <v>0</v>
      </c>
      <c r="BR487" s="98">
        <f t="shared" si="2747"/>
        <v>0</v>
      </c>
      <c r="BS487" s="98">
        <f t="shared" si="2747"/>
        <v>0</v>
      </c>
      <c r="BT487" s="98">
        <f t="shared" si="2747"/>
        <v>0</v>
      </c>
      <c r="BU487" s="98">
        <f t="shared" si="2747"/>
        <v>0</v>
      </c>
      <c r="BV487" s="98">
        <f t="shared" si="2747"/>
        <v>0</v>
      </c>
      <c r="BW487" s="98">
        <f t="shared" si="2747"/>
        <v>0</v>
      </c>
      <c r="BX487" s="98">
        <f t="shared" si="2747"/>
        <v>0</v>
      </c>
      <c r="BY487" s="98">
        <f t="shared" si="2747"/>
        <v>0</v>
      </c>
      <c r="BZ487" s="98">
        <f t="shared" si="2747"/>
        <v>0</v>
      </c>
      <c r="CA487" s="98">
        <f t="shared" si="2747"/>
        <v>0</v>
      </c>
      <c r="CB487" s="98">
        <f t="shared" si="2747"/>
        <v>0</v>
      </c>
      <c r="CC487" s="198">
        <f t="shared" si="2612"/>
        <v>0</v>
      </c>
      <c r="CD487" s="198">
        <f t="shared" si="2613"/>
        <v>0</v>
      </c>
      <c r="CE487" s="98">
        <f t="shared" ref="CE487:CR487" si="2748">SUM(CE16,CE54,CE92,CE130,CE168,CE206,CE244,CE282,CE320,CE358,CE396,CE434)</f>
        <v>0</v>
      </c>
      <c r="CF487" s="98">
        <f t="shared" si="2748"/>
        <v>0</v>
      </c>
      <c r="CG487" s="98">
        <f t="shared" si="2748"/>
        <v>0</v>
      </c>
      <c r="CH487" s="98">
        <f t="shared" si="2748"/>
        <v>0</v>
      </c>
      <c r="CI487" s="98">
        <f t="shared" si="2748"/>
        <v>0</v>
      </c>
      <c r="CJ487" s="98">
        <f t="shared" si="2748"/>
        <v>0</v>
      </c>
      <c r="CK487" s="98">
        <f t="shared" si="2748"/>
        <v>0</v>
      </c>
      <c r="CL487" s="98">
        <f t="shared" si="2748"/>
        <v>0</v>
      </c>
      <c r="CM487" s="98">
        <f t="shared" si="2748"/>
        <v>0</v>
      </c>
      <c r="CN487" s="98">
        <f t="shared" si="2748"/>
        <v>0</v>
      </c>
      <c r="CO487" s="98">
        <f t="shared" si="2748"/>
        <v>0</v>
      </c>
      <c r="CP487" s="98">
        <f t="shared" si="2748"/>
        <v>0</v>
      </c>
      <c r="CQ487" s="98">
        <f t="shared" si="2748"/>
        <v>0</v>
      </c>
      <c r="CR487" s="98">
        <f t="shared" si="2748"/>
        <v>0</v>
      </c>
      <c r="CS487" s="198">
        <f t="shared" si="2615"/>
        <v>0</v>
      </c>
      <c r="CT487" s="198">
        <f t="shared" si="2616"/>
        <v>0</v>
      </c>
      <c r="CU487" s="98">
        <f t="shared" ref="CU487:DH487" si="2749">SUM(CU16,CU54,CU92,CU130,CU168,CU206,CU244,CU282,CU320,CU358,CU396,CU434)</f>
        <v>0</v>
      </c>
      <c r="CV487" s="98">
        <f t="shared" si="2749"/>
        <v>0</v>
      </c>
      <c r="CW487" s="98">
        <f t="shared" si="2749"/>
        <v>0</v>
      </c>
      <c r="CX487" s="98">
        <f t="shared" si="2749"/>
        <v>0</v>
      </c>
      <c r="CY487" s="98">
        <f t="shared" si="2749"/>
        <v>0</v>
      </c>
      <c r="CZ487" s="98">
        <f t="shared" si="2749"/>
        <v>0</v>
      </c>
      <c r="DA487" s="98">
        <f t="shared" si="2749"/>
        <v>0</v>
      </c>
      <c r="DB487" s="98">
        <f t="shared" si="2749"/>
        <v>0</v>
      </c>
      <c r="DC487" s="98">
        <f t="shared" si="2749"/>
        <v>0</v>
      </c>
      <c r="DD487" s="98">
        <f t="shared" si="2749"/>
        <v>0</v>
      </c>
      <c r="DE487" s="98">
        <f t="shared" si="2749"/>
        <v>0</v>
      </c>
      <c r="DF487" s="98">
        <f t="shared" si="2749"/>
        <v>0</v>
      </c>
      <c r="DG487" s="98">
        <f t="shared" si="2749"/>
        <v>0</v>
      </c>
      <c r="DH487" s="98">
        <f t="shared" si="2749"/>
        <v>0</v>
      </c>
      <c r="DI487" s="198">
        <f t="shared" si="2618"/>
        <v>0</v>
      </c>
      <c r="DJ487" s="198">
        <f t="shared" si="2619"/>
        <v>0</v>
      </c>
      <c r="DK487" s="98">
        <f t="shared" ref="DK487:DX487" si="2750">SUM(DK16,DK54,DK92,DK130,DK168,DK206,DK244,DK282,DK320,DK358,DK396,DK434)</f>
        <v>0</v>
      </c>
      <c r="DL487" s="98">
        <f t="shared" si="2750"/>
        <v>0</v>
      </c>
      <c r="DM487" s="98">
        <f t="shared" si="2750"/>
        <v>0</v>
      </c>
      <c r="DN487" s="98">
        <f t="shared" si="2750"/>
        <v>0</v>
      </c>
      <c r="DO487" s="98">
        <f t="shared" si="2750"/>
        <v>0</v>
      </c>
      <c r="DP487" s="98">
        <f t="shared" si="2750"/>
        <v>0</v>
      </c>
      <c r="DQ487" s="98">
        <f t="shared" si="2750"/>
        <v>0</v>
      </c>
      <c r="DR487" s="98">
        <f t="shared" si="2750"/>
        <v>0</v>
      </c>
      <c r="DS487" s="98">
        <f t="shared" si="2750"/>
        <v>0</v>
      </c>
      <c r="DT487" s="98">
        <f t="shared" si="2750"/>
        <v>0</v>
      </c>
      <c r="DU487" s="98">
        <f t="shared" si="2750"/>
        <v>0</v>
      </c>
      <c r="DV487" s="98">
        <f t="shared" si="2750"/>
        <v>0</v>
      </c>
      <c r="DW487" s="98">
        <f t="shared" si="2750"/>
        <v>0</v>
      </c>
      <c r="DX487" s="98">
        <f t="shared" si="2750"/>
        <v>0</v>
      </c>
      <c r="DY487" s="198">
        <f t="shared" si="2621"/>
        <v>0</v>
      </c>
      <c r="DZ487" s="198">
        <f t="shared" si="2622"/>
        <v>0</v>
      </c>
      <c r="EA487" s="98">
        <f t="shared" ref="EA487:EN487" si="2751">SUM(EA16,EA54,EA92,EA130,EA168,EA206,EA244,EA282,EA320,EA358,EA396,EA434)</f>
        <v>0</v>
      </c>
      <c r="EB487" s="98">
        <f t="shared" si="2751"/>
        <v>0</v>
      </c>
      <c r="EC487" s="98">
        <f t="shared" si="2751"/>
        <v>0</v>
      </c>
      <c r="ED487" s="98">
        <f t="shared" si="2751"/>
        <v>0</v>
      </c>
      <c r="EE487" s="98">
        <f t="shared" si="2751"/>
        <v>0</v>
      </c>
      <c r="EF487" s="98">
        <f t="shared" si="2751"/>
        <v>0</v>
      </c>
      <c r="EG487" s="98">
        <f t="shared" si="2751"/>
        <v>0</v>
      </c>
      <c r="EH487" s="98">
        <f t="shared" si="2751"/>
        <v>0</v>
      </c>
      <c r="EI487" s="98">
        <f t="shared" si="2751"/>
        <v>0</v>
      </c>
      <c r="EJ487" s="98">
        <f t="shared" si="2751"/>
        <v>0</v>
      </c>
      <c r="EK487" s="98">
        <f t="shared" si="2751"/>
        <v>0</v>
      </c>
      <c r="EL487" s="98">
        <f t="shared" si="2751"/>
        <v>0</v>
      </c>
      <c r="EM487" s="98">
        <f t="shared" si="2751"/>
        <v>0</v>
      </c>
      <c r="EN487" s="98">
        <f t="shared" si="2751"/>
        <v>0</v>
      </c>
      <c r="EO487" s="198">
        <f t="shared" si="2624"/>
        <v>0</v>
      </c>
      <c r="EP487" s="198">
        <f t="shared" si="2625"/>
        <v>0</v>
      </c>
      <c r="EQ487" s="98">
        <f t="shared" ref="EQ487:FD487" si="2752">SUM(EQ16,EQ54,EQ92,EQ130,EQ168,EQ206,EQ244,EQ282,EQ320,EQ358,EQ396,EQ434)</f>
        <v>0</v>
      </c>
      <c r="ER487" s="98">
        <f t="shared" si="2752"/>
        <v>0</v>
      </c>
      <c r="ES487" s="98">
        <f t="shared" si="2752"/>
        <v>0</v>
      </c>
      <c r="ET487" s="98">
        <f t="shared" si="2752"/>
        <v>0</v>
      </c>
      <c r="EU487" s="98">
        <f t="shared" si="2752"/>
        <v>0</v>
      </c>
      <c r="EV487" s="98">
        <f t="shared" si="2752"/>
        <v>0</v>
      </c>
      <c r="EW487" s="98">
        <f t="shared" si="2752"/>
        <v>0</v>
      </c>
      <c r="EX487" s="98">
        <f t="shared" si="2752"/>
        <v>0</v>
      </c>
      <c r="EY487" s="98">
        <f t="shared" si="2752"/>
        <v>0</v>
      </c>
      <c r="EZ487" s="98">
        <f t="shared" si="2752"/>
        <v>0</v>
      </c>
      <c r="FA487" s="98">
        <f t="shared" si="2752"/>
        <v>0</v>
      </c>
      <c r="FB487" s="98">
        <f t="shared" si="2752"/>
        <v>0</v>
      </c>
      <c r="FC487" s="98">
        <f t="shared" si="2752"/>
        <v>0</v>
      </c>
      <c r="FD487" s="98">
        <f t="shared" si="2752"/>
        <v>0</v>
      </c>
      <c r="FE487" s="198">
        <f t="shared" si="2627"/>
        <v>0</v>
      </c>
      <c r="FF487" s="198">
        <f t="shared" si="2628"/>
        <v>0</v>
      </c>
      <c r="FG487" s="98">
        <f t="shared" ref="FG487:FT487" si="2753">SUM(FG16,FG54,FG92,FG130,FG168,FG206,FG244,FG282,FG320,FG358,FG396,FG434)</f>
        <v>0</v>
      </c>
      <c r="FH487" s="98">
        <f t="shared" si="2753"/>
        <v>0</v>
      </c>
      <c r="FI487" s="98">
        <f t="shared" si="2753"/>
        <v>0</v>
      </c>
      <c r="FJ487" s="98">
        <f t="shared" si="2753"/>
        <v>0</v>
      </c>
      <c r="FK487" s="98">
        <f t="shared" si="2753"/>
        <v>0</v>
      </c>
      <c r="FL487" s="98">
        <f t="shared" si="2753"/>
        <v>0</v>
      </c>
      <c r="FM487" s="98">
        <f t="shared" si="2753"/>
        <v>0</v>
      </c>
      <c r="FN487" s="98">
        <f t="shared" si="2753"/>
        <v>0</v>
      </c>
      <c r="FO487" s="98">
        <f t="shared" si="2753"/>
        <v>0</v>
      </c>
      <c r="FP487" s="98">
        <f t="shared" si="2753"/>
        <v>0</v>
      </c>
      <c r="FQ487" s="98">
        <f t="shared" si="2753"/>
        <v>0</v>
      </c>
      <c r="FR487" s="98">
        <f t="shared" si="2753"/>
        <v>0</v>
      </c>
      <c r="FS487" s="98">
        <f t="shared" si="2753"/>
        <v>0</v>
      </c>
      <c r="FT487" s="98">
        <f t="shared" si="2753"/>
        <v>0</v>
      </c>
      <c r="FU487" s="198">
        <f t="shared" si="2630"/>
        <v>0</v>
      </c>
      <c r="FV487" s="198">
        <f t="shared" si="2631"/>
        <v>0</v>
      </c>
      <c r="FW487" s="98">
        <f t="shared" ref="FW487:GJ487" si="2754">SUM(FW16,FW54,FW92,FW130,FW168,FW206,FW244,FW282,FW320,FW358,FW396,FW434)</f>
        <v>0</v>
      </c>
      <c r="FX487" s="98">
        <f t="shared" si="2754"/>
        <v>0</v>
      </c>
      <c r="FY487" s="98">
        <f t="shared" si="2754"/>
        <v>0</v>
      </c>
      <c r="FZ487" s="98">
        <f t="shared" si="2754"/>
        <v>0</v>
      </c>
      <c r="GA487" s="98">
        <f t="shared" si="2754"/>
        <v>0</v>
      </c>
      <c r="GB487" s="98">
        <f t="shared" si="2754"/>
        <v>0</v>
      </c>
      <c r="GC487" s="98">
        <f t="shared" si="2754"/>
        <v>0</v>
      </c>
      <c r="GD487" s="98">
        <f t="shared" si="2754"/>
        <v>0</v>
      </c>
      <c r="GE487" s="98">
        <f t="shared" si="2754"/>
        <v>0</v>
      </c>
      <c r="GF487" s="98">
        <f t="shared" si="2754"/>
        <v>0</v>
      </c>
      <c r="GG487" s="98">
        <f t="shared" si="2754"/>
        <v>0</v>
      </c>
      <c r="GH487" s="98">
        <f t="shared" si="2754"/>
        <v>0</v>
      </c>
      <c r="GI487" s="98">
        <f t="shared" si="2754"/>
        <v>0</v>
      </c>
      <c r="GJ487" s="98">
        <f t="shared" si="2754"/>
        <v>0</v>
      </c>
      <c r="GK487" s="198">
        <f t="shared" si="2633"/>
        <v>0</v>
      </c>
      <c r="GL487" s="198">
        <f t="shared" si="2634"/>
        <v>0</v>
      </c>
      <c r="GM487" s="98">
        <f t="shared" ref="GM487:GZ487" si="2755">SUM(GM16,GM54,GM92,GM130,GM168,GM206,GM244,GM282,GM320,GM358,GM396,GM434)</f>
        <v>0</v>
      </c>
      <c r="GN487" s="98">
        <f t="shared" si="2755"/>
        <v>0</v>
      </c>
      <c r="GO487" s="98">
        <f t="shared" si="2755"/>
        <v>0</v>
      </c>
      <c r="GP487" s="98">
        <f t="shared" si="2755"/>
        <v>0</v>
      </c>
      <c r="GQ487" s="98">
        <f t="shared" si="2755"/>
        <v>0</v>
      </c>
      <c r="GR487" s="98">
        <f t="shared" si="2755"/>
        <v>0</v>
      </c>
      <c r="GS487" s="98">
        <f t="shared" si="2755"/>
        <v>0</v>
      </c>
      <c r="GT487" s="98">
        <f t="shared" si="2755"/>
        <v>0</v>
      </c>
      <c r="GU487" s="98">
        <f t="shared" si="2755"/>
        <v>0</v>
      </c>
      <c r="GV487" s="98">
        <f t="shared" si="2755"/>
        <v>0</v>
      </c>
      <c r="GW487" s="98">
        <f t="shared" si="2755"/>
        <v>0</v>
      </c>
      <c r="GX487" s="98">
        <f t="shared" si="2755"/>
        <v>0</v>
      </c>
      <c r="GY487" s="98">
        <f t="shared" si="2755"/>
        <v>0</v>
      </c>
      <c r="GZ487" s="98">
        <f t="shared" si="2755"/>
        <v>0</v>
      </c>
      <c r="HA487" s="198">
        <f t="shared" si="2636"/>
        <v>0</v>
      </c>
      <c r="HB487" s="198">
        <f t="shared" si="2637"/>
        <v>0</v>
      </c>
      <c r="HC487" s="98">
        <f t="shared" ref="HC487:HP487" si="2756">SUM(HC16,HC54,HC92,HC130,HC168,HC206,HC244,HC282,HC320,HC358,HC396,HC434)</f>
        <v>0</v>
      </c>
      <c r="HD487" s="98">
        <f t="shared" si="2756"/>
        <v>0</v>
      </c>
      <c r="HE487" s="98">
        <f t="shared" si="2756"/>
        <v>0</v>
      </c>
      <c r="HF487" s="98">
        <f t="shared" si="2756"/>
        <v>0</v>
      </c>
      <c r="HG487" s="98">
        <f t="shared" si="2756"/>
        <v>0</v>
      </c>
      <c r="HH487" s="98">
        <f t="shared" si="2756"/>
        <v>0</v>
      </c>
      <c r="HI487" s="98">
        <f t="shared" si="2756"/>
        <v>0</v>
      </c>
      <c r="HJ487" s="98">
        <f t="shared" si="2756"/>
        <v>0</v>
      </c>
      <c r="HK487" s="98">
        <f t="shared" si="2756"/>
        <v>0</v>
      </c>
      <c r="HL487" s="98">
        <f t="shared" si="2756"/>
        <v>0</v>
      </c>
      <c r="HM487" s="98">
        <f t="shared" si="2756"/>
        <v>0</v>
      </c>
      <c r="HN487" s="98">
        <f t="shared" si="2756"/>
        <v>0</v>
      </c>
      <c r="HO487" s="98">
        <f t="shared" si="2756"/>
        <v>0</v>
      </c>
      <c r="HP487" s="98">
        <f t="shared" si="2756"/>
        <v>0</v>
      </c>
      <c r="HQ487" s="198">
        <f t="shared" si="2639"/>
        <v>0</v>
      </c>
      <c r="HR487" s="198">
        <f t="shared" si="2640"/>
        <v>0</v>
      </c>
      <c r="HS487" s="98">
        <f t="shared" ref="HS487:IF487" si="2757">SUM(HS16,HS54,HS92,HS130,HS168,HS206,HS244,HS282,HS320,HS358,HS396,HS434)</f>
        <v>0</v>
      </c>
      <c r="HT487" s="98">
        <f t="shared" si="2757"/>
        <v>0</v>
      </c>
      <c r="HU487" s="98">
        <f t="shared" si="2757"/>
        <v>0</v>
      </c>
      <c r="HV487" s="98">
        <f t="shared" si="2757"/>
        <v>0</v>
      </c>
      <c r="HW487" s="98">
        <f t="shared" si="2757"/>
        <v>0</v>
      </c>
      <c r="HX487" s="98">
        <f t="shared" si="2757"/>
        <v>0</v>
      </c>
      <c r="HY487" s="98">
        <f t="shared" si="2757"/>
        <v>0</v>
      </c>
      <c r="HZ487" s="98">
        <f t="shared" si="2757"/>
        <v>0</v>
      </c>
      <c r="IA487" s="98">
        <f t="shared" si="2757"/>
        <v>0</v>
      </c>
      <c r="IB487" s="98">
        <f t="shared" si="2757"/>
        <v>0</v>
      </c>
      <c r="IC487" s="98">
        <f t="shared" si="2757"/>
        <v>0</v>
      </c>
      <c r="ID487" s="98">
        <f t="shared" si="2757"/>
        <v>0</v>
      </c>
      <c r="IE487" s="98">
        <f t="shared" si="2757"/>
        <v>0</v>
      </c>
      <c r="IF487" s="98">
        <f t="shared" si="2757"/>
        <v>0</v>
      </c>
      <c r="IG487" s="198">
        <f t="shared" si="2642"/>
        <v>0</v>
      </c>
      <c r="IH487" s="198">
        <f t="shared" si="2643"/>
        <v>0</v>
      </c>
      <c r="II487" s="98">
        <f t="shared" ref="II487:IV487" si="2758">SUM(II16,II54,II92,II130,II168,II206,II244,II282,II320,II358,II396,II434)</f>
        <v>0</v>
      </c>
      <c r="IJ487" s="98">
        <f t="shared" si="2758"/>
        <v>0</v>
      </c>
      <c r="IK487" s="98">
        <f t="shared" si="2758"/>
        <v>0</v>
      </c>
      <c r="IL487" s="98">
        <f t="shared" si="2758"/>
        <v>0</v>
      </c>
      <c r="IM487" s="98">
        <f t="shared" si="2758"/>
        <v>0</v>
      </c>
      <c r="IN487" s="98">
        <f t="shared" si="2758"/>
        <v>0</v>
      </c>
      <c r="IO487" s="98">
        <f t="shared" si="2758"/>
        <v>0</v>
      </c>
      <c r="IP487" s="98">
        <f t="shared" si="2758"/>
        <v>0</v>
      </c>
      <c r="IQ487" s="98">
        <f t="shared" si="2758"/>
        <v>0</v>
      </c>
      <c r="IR487" s="98">
        <f t="shared" si="2758"/>
        <v>0</v>
      </c>
      <c r="IS487" s="98">
        <f t="shared" si="2758"/>
        <v>0</v>
      </c>
      <c r="IT487" s="98">
        <f t="shared" si="2758"/>
        <v>0</v>
      </c>
      <c r="IU487" s="98">
        <f t="shared" si="2758"/>
        <v>0</v>
      </c>
      <c r="IV487" s="98">
        <f t="shared" si="2758"/>
        <v>0</v>
      </c>
      <c r="IW487" s="198">
        <f t="shared" si="2645"/>
        <v>0</v>
      </c>
      <c r="IX487" s="198">
        <f t="shared" si="2646"/>
        <v>0</v>
      </c>
      <c r="IY487" s="98">
        <f t="shared" ref="IY487:JL487" si="2759">SUM(IY16,IY54,IY92,IY130,IY168,IY206,IY244,IY282,IY320,IY358,IY396,IY434)</f>
        <v>0</v>
      </c>
      <c r="IZ487" s="98">
        <f t="shared" si="2759"/>
        <v>0</v>
      </c>
      <c r="JA487" s="98">
        <f t="shared" si="2759"/>
        <v>0</v>
      </c>
      <c r="JB487" s="98">
        <f t="shared" si="2759"/>
        <v>0</v>
      </c>
      <c r="JC487" s="98">
        <f t="shared" si="2759"/>
        <v>0</v>
      </c>
      <c r="JD487" s="98">
        <f t="shared" si="2759"/>
        <v>0</v>
      </c>
      <c r="JE487" s="98">
        <f t="shared" si="2759"/>
        <v>0</v>
      </c>
      <c r="JF487" s="98">
        <f t="shared" si="2759"/>
        <v>0</v>
      </c>
      <c r="JG487" s="98">
        <f t="shared" si="2759"/>
        <v>0</v>
      </c>
      <c r="JH487" s="98">
        <f t="shared" si="2759"/>
        <v>0</v>
      </c>
      <c r="JI487" s="98">
        <f t="shared" si="2759"/>
        <v>0</v>
      </c>
      <c r="JJ487" s="98">
        <f t="shared" si="2759"/>
        <v>0</v>
      </c>
      <c r="JK487" s="98">
        <f t="shared" si="2759"/>
        <v>0</v>
      </c>
      <c r="JL487" s="98">
        <f t="shared" si="2759"/>
        <v>0</v>
      </c>
      <c r="JM487" s="198">
        <f t="shared" si="2648"/>
        <v>0</v>
      </c>
      <c r="JN487" s="198">
        <f t="shared" si="2649"/>
        <v>0</v>
      </c>
      <c r="JO487" s="98">
        <f t="shared" ref="JO487:KB487" si="2760">SUM(JO16,JO54,JO92,JO130,JO168,JO206,JO244,JO282,JO320,JO358,JO396,JO434)</f>
        <v>0</v>
      </c>
      <c r="JP487" s="98">
        <f t="shared" si="2760"/>
        <v>0</v>
      </c>
      <c r="JQ487" s="98">
        <f t="shared" si="2760"/>
        <v>0</v>
      </c>
      <c r="JR487" s="98">
        <f t="shared" si="2760"/>
        <v>0</v>
      </c>
      <c r="JS487" s="98">
        <f t="shared" si="2760"/>
        <v>0</v>
      </c>
      <c r="JT487" s="98">
        <f t="shared" si="2760"/>
        <v>0</v>
      </c>
      <c r="JU487" s="98">
        <f t="shared" si="2760"/>
        <v>0</v>
      </c>
      <c r="JV487" s="98">
        <f t="shared" si="2760"/>
        <v>0</v>
      </c>
      <c r="JW487" s="98">
        <f t="shared" si="2760"/>
        <v>0</v>
      </c>
      <c r="JX487" s="98">
        <f t="shared" si="2760"/>
        <v>0</v>
      </c>
      <c r="JY487" s="98">
        <f t="shared" si="2760"/>
        <v>0</v>
      </c>
      <c r="JZ487" s="98">
        <f t="shared" si="2760"/>
        <v>0</v>
      </c>
      <c r="KA487" s="98">
        <f t="shared" si="2760"/>
        <v>0</v>
      </c>
      <c r="KB487" s="98">
        <f t="shared" si="2760"/>
        <v>0</v>
      </c>
      <c r="KC487" s="198">
        <f t="shared" si="2651"/>
        <v>0</v>
      </c>
      <c r="KD487" s="198">
        <f t="shared" si="2652"/>
        <v>0</v>
      </c>
      <c r="KE487" s="98">
        <f t="shared" ref="KE487:KR487" si="2761">SUM(KE16,KE54,KE92,KE130,KE168,KE206,KE244,KE282,KE320,KE358,KE396,KE434)</f>
        <v>0</v>
      </c>
      <c r="KF487" s="98">
        <f t="shared" si="2761"/>
        <v>0</v>
      </c>
      <c r="KG487" s="98">
        <f t="shared" si="2761"/>
        <v>0</v>
      </c>
      <c r="KH487" s="98">
        <f t="shared" si="2761"/>
        <v>0</v>
      </c>
      <c r="KI487" s="98">
        <f t="shared" si="2761"/>
        <v>0</v>
      </c>
      <c r="KJ487" s="98">
        <f t="shared" si="2761"/>
        <v>0</v>
      </c>
      <c r="KK487" s="98">
        <f t="shared" si="2761"/>
        <v>0</v>
      </c>
      <c r="KL487" s="98">
        <f t="shared" si="2761"/>
        <v>0</v>
      </c>
      <c r="KM487" s="98">
        <f t="shared" si="2761"/>
        <v>0</v>
      </c>
      <c r="KN487" s="98">
        <f t="shared" si="2761"/>
        <v>0</v>
      </c>
      <c r="KO487" s="98">
        <f t="shared" si="2761"/>
        <v>0</v>
      </c>
      <c r="KP487" s="98">
        <f t="shared" si="2761"/>
        <v>0</v>
      </c>
      <c r="KQ487" s="98">
        <f t="shared" si="2761"/>
        <v>0</v>
      </c>
      <c r="KR487" s="98">
        <f t="shared" si="2761"/>
        <v>0</v>
      </c>
      <c r="KS487" s="198">
        <f t="shared" si="2654"/>
        <v>0</v>
      </c>
      <c r="KT487" s="198">
        <f t="shared" si="2655"/>
        <v>0</v>
      </c>
      <c r="KU487" s="98">
        <f t="shared" ref="KU487:LH487" si="2762">SUM(KU16,KU54,KU92,KU130,KU168,KU206,KU244,KU282,KU320,KU358,KU396,KU434)</f>
        <v>0</v>
      </c>
      <c r="KV487" s="98">
        <f t="shared" si="2762"/>
        <v>0</v>
      </c>
      <c r="KW487" s="98">
        <f t="shared" si="2762"/>
        <v>0</v>
      </c>
      <c r="KX487" s="98">
        <f t="shared" si="2762"/>
        <v>0</v>
      </c>
      <c r="KY487" s="98">
        <f t="shared" si="2762"/>
        <v>0</v>
      </c>
      <c r="KZ487" s="98">
        <f t="shared" si="2762"/>
        <v>0</v>
      </c>
      <c r="LA487" s="98">
        <f t="shared" si="2762"/>
        <v>0</v>
      </c>
      <c r="LB487" s="98">
        <f t="shared" si="2762"/>
        <v>0</v>
      </c>
      <c r="LC487" s="98">
        <f t="shared" si="2762"/>
        <v>0</v>
      </c>
      <c r="LD487" s="98">
        <f t="shared" si="2762"/>
        <v>0</v>
      </c>
      <c r="LE487" s="98">
        <f t="shared" si="2762"/>
        <v>0</v>
      </c>
      <c r="LF487" s="98">
        <f t="shared" si="2762"/>
        <v>0</v>
      </c>
      <c r="LG487" s="98">
        <f t="shared" si="2762"/>
        <v>0</v>
      </c>
      <c r="LH487" s="98">
        <f t="shared" si="2762"/>
        <v>0</v>
      </c>
      <c r="LI487" s="198">
        <f t="shared" si="2657"/>
        <v>0</v>
      </c>
      <c r="LJ487" s="198">
        <f t="shared" si="2658"/>
        <v>0</v>
      </c>
      <c r="LK487" s="98">
        <f t="shared" ref="LK487:LX487" si="2763">SUM(LK16,LK54,LK92,LK130,LK168,LK206,LK244,LK282,LK320,LK358,LK396,LK434)</f>
        <v>0</v>
      </c>
      <c r="LL487" s="98">
        <f t="shared" si="2763"/>
        <v>0</v>
      </c>
      <c r="LM487" s="98">
        <f t="shared" si="2763"/>
        <v>0</v>
      </c>
      <c r="LN487" s="98">
        <f t="shared" si="2763"/>
        <v>0</v>
      </c>
      <c r="LO487" s="98">
        <f t="shared" si="2763"/>
        <v>0</v>
      </c>
      <c r="LP487" s="98">
        <f t="shared" si="2763"/>
        <v>0</v>
      </c>
      <c r="LQ487" s="98">
        <f t="shared" si="2763"/>
        <v>0</v>
      </c>
      <c r="LR487" s="98">
        <f t="shared" si="2763"/>
        <v>0</v>
      </c>
      <c r="LS487" s="98">
        <f t="shared" si="2763"/>
        <v>0</v>
      </c>
      <c r="LT487" s="98">
        <f t="shared" si="2763"/>
        <v>0</v>
      </c>
      <c r="LU487" s="98">
        <f t="shared" si="2763"/>
        <v>0</v>
      </c>
      <c r="LV487" s="98">
        <f t="shared" si="2763"/>
        <v>0</v>
      </c>
      <c r="LW487" s="98">
        <f t="shared" si="2763"/>
        <v>0</v>
      </c>
      <c r="LX487" s="98">
        <f t="shared" si="2763"/>
        <v>0</v>
      </c>
      <c r="LY487" s="198">
        <f t="shared" si="2660"/>
        <v>0</v>
      </c>
      <c r="LZ487" s="198">
        <f t="shared" si="2661"/>
        <v>0</v>
      </c>
      <c r="MA487" s="98">
        <f t="shared" ref="MA487:MN487" si="2764">SUM(MA16,MA54,MA92,MA130,MA168,MA206,MA244,MA282,MA320,MA358,MA396,MA434)</f>
        <v>0</v>
      </c>
      <c r="MB487" s="98">
        <f t="shared" si="2764"/>
        <v>0</v>
      </c>
      <c r="MC487" s="98">
        <f t="shared" si="2764"/>
        <v>47070</v>
      </c>
      <c r="MD487" s="98">
        <f t="shared" si="2764"/>
        <v>564840</v>
      </c>
      <c r="ME487" s="98">
        <f t="shared" si="2764"/>
        <v>0</v>
      </c>
      <c r="MF487" s="98">
        <f t="shared" si="2764"/>
        <v>0</v>
      </c>
      <c r="MG487" s="98">
        <f t="shared" si="2764"/>
        <v>0</v>
      </c>
      <c r="MH487" s="98">
        <f t="shared" si="2764"/>
        <v>0</v>
      </c>
      <c r="MI487" s="98">
        <f t="shared" si="2764"/>
        <v>0</v>
      </c>
      <c r="MJ487" s="98">
        <f t="shared" si="2764"/>
        <v>0</v>
      </c>
      <c r="MK487" s="98">
        <f t="shared" si="2764"/>
        <v>0</v>
      </c>
      <c r="ML487" s="98">
        <f t="shared" si="2764"/>
        <v>0</v>
      </c>
      <c r="MM487" s="98">
        <f t="shared" si="2764"/>
        <v>0</v>
      </c>
      <c r="MN487" s="98">
        <f t="shared" si="2764"/>
        <v>0</v>
      </c>
      <c r="MO487" s="198">
        <f t="shared" si="2663"/>
        <v>47070</v>
      </c>
      <c r="MP487" s="198">
        <f t="shared" si="2664"/>
        <v>564840</v>
      </c>
      <c r="MQ487" s="98">
        <f t="shared" ref="MQ487:ND487" si="2765">SUM(MQ16,MQ54,MQ92,MQ130,MQ168,MQ206,MQ244,MQ282,MQ320,MQ358,MQ396,MQ434)</f>
        <v>0</v>
      </c>
      <c r="MR487" s="98">
        <f t="shared" si="2765"/>
        <v>0</v>
      </c>
      <c r="MS487" s="98">
        <f t="shared" si="2765"/>
        <v>5573</v>
      </c>
      <c r="MT487" s="98">
        <f t="shared" si="2765"/>
        <v>122606</v>
      </c>
      <c r="MU487" s="98">
        <f t="shared" si="2765"/>
        <v>0</v>
      </c>
      <c r="MV487" s="98">
        <f t="shared" si="2765"/>
        <v>0</v>
      </c>
      <c r="MW487" s="98">
        <f t="shared" si="2765"/>
        <v>0</v>
      </c>
      <c r="MX487" s="98">
        <f t="shared" si="2765"/>
        <v>0</v>
      </c>
      <c r="MY487" s="98">
        <f t="shared" si="2765"/>
        <v>0</v>
      </c>
      <c r="MZ487" s="98">
        <f t="shared" si="2765"/>
        <v>0</v>
      </c>
      <c r="NA487" s="98">
        <f t="shared" si="2765"/>
        <v>0</v>
      </c>
      <c r="NB487" s="98">
        <f t="shared" si="2765"/>
        <v>0</v>
      </c>
      <c r="NC487" s="98">
        <f t="shared" si="2765"/>
        <v>0</v>
      </c>
      <c r="ND487" s="98">
        <f t="shared" si="2765"/>
        <v>0</v>
      </c>
      <c r="NE487" s="198">
        <f t="shared" si="2666"/>
        <v>5573</v>
      </c>
      <c r="NF487" s="198">
        <f t="shared" si="2667"/>
        <v>122606</v>
      </c>
      <c r="NG487" s="98">
        <f t="shared" ref="NG487:NT487" si="2766">SUM(NG16,NG54,NG92,NG130,NG168,NG206,NG244,NG282,NG320,NG358,NG396,NG434)</f>
        <v>0</v>
      </c>
      <c r="NH487" s="98">
        <f t="shared" si="2766"/>
        <v>0</v>
      </c>
      <c r="NI487" s="98">
        <f t="shared" si="2766"/>
        <v>0</v>
      </c>
      <c r="NJ487" s="98">
        <f t="shared" si="2766"/>
        <v>0</v>
      </c>
      <c r="NK487" s="98">
        <f t="shared" si="2766"/>
        <v>0</v>
      </c>
      <c r="NL487" s="98">
        <f t="shared" si="2766"/>
        <v>0</v>
      </c>
      <c r="NM487" s="98">
        <f t="shared" si="2766"/>
        <v>0</v>
      </c>
      <c r="NN487" s="98">
        <f t="shared" si="2766"/>
        <v>0</v>
      </c>
      <c r="NO487" s="98">
        <f t="shared" si="2766"/>
        <v>0</v>
      </c>
      <c r="NP487" s="98">
        <f t="shared" si="2766"/>
        <v>0</v>
      </c>
      <c r="NQ487" s="98">
        <f t="shared" si="2766"/>
        <v>0</v>
      </c>
      <c r="NR487" s="98">
        <f t="shared" si="2766"/>
        <v>0</v>
      </c>
      <c r="NS487" s="98">
        <f t="shared" si="2766"/>
        <v>0</v>
      </c>
      <c r="NT487" s="98">
        <f t="shared" si="2766"/>
        <v>0</v>
      </c>
      <c r="NU487" s="198">
        <f t="shared" si="2669"/>
        <v>0</v>
      </c>
      <c r="NV487" s="198">
        <f t="shared" si="2670"/>
        <v>0</v>
      </c>
      <c r="NW487" s="98">
        <f t="shared" ref="NW487:OJ487" si="2767">SUM(NW16,NW54,NW92,NW130,NW168,NW206,NW244,NW282,NW320,NW358,NW396,NW434)</f>
        <v>0</v>
      </c>
      <c r="NX487" s="98">
        <f t="shared" si="2767"/>
        <v>0</v>
      </c>
      <c r="NY487" s="98">
        <f t="shared" si="2767"/>
        <v>0</v>
      </c>
      <c r="NZ487" s="98">
        <f t="shared" si="2767"/>
        <v>0</v>
      </c>
      <c r="OA487" s="98">
        <f t="shared" si="2767"/>
        <v>0</v>
      </c>
      <c r="OB487" s="98">
        <f t="shared" si="2767"/>
        <v>0</v>
      </c>
      <c r="OC487" s="98">
        <f t="shared" si="2767"/>
        <v>0</v>
      </c>
      <c r="OD487" s="98">
        <f t="shared" si="2767"/>
        <v>0</v>
      </c>
      <c r="OE487" s="98">
        <f t="shared" si="2767"/>
        <v>0</v>
      </c>
      <c r="OF487" s="98">
        <f t="shared" si="2767"/>
        <v>0</v>
      </c>
      <c r="OG487" s="98">
        <f t="shared" si="2767"/>
        <v>0</v>
      </c>
      <c r="OH487" s="98">
        <f t="shared" si="2767"/>
        <v>0</v>
      </c>
      <c r="OI487" s="98">
        <f t="shared" si="2767"/>
        <v>0</v>
      </c>
      <c r="OJ487" s="98">
        <f t="shared" si="2767"/>
        <v>0</v>
      </c>
      <c r="OK487" s="198">
        <f t="shared" si="2672"/>
        <v>0</v>
      </c>
      <c r="OL487" s="198">
        <f t="shared" si="2673"/>
        <v>0</v>
      </c>
      <c r="OM487" s="98">
        <f t="shared" ref="OM487:OZ487" si="2768">SUM(OM16,OM54,OM92,OM130,OM168,OM206,OM244,OM282,OM320,OM358,OM396,OM434)</f>
        <v>0</v>
      </c>
      <c r="ON487" s="98">
        <f t="shared" si="2768"/>
        <v>0</v>
      </c>
      <c r="OO487" s="98">
        <f t="shared" si="2768"/>
        <v>0</v>
      </c>
      <c r="OP487" s="98">
        <f t="shared" si="2768"/>
        <v>0</v>
      </c>
      <c r="OQ487" s="98">
        <f t="shared" si="2768"/>
        <v>0</v>
      </c>
      <c r="OR487" s="98">
        <f t="shared" si="2768"/>
        <v>0</v>
      </c>
      <c r="OS487" s="98">
        <f t="shared" si="2768"/>
        <v>0</v>
      </c>
      <c r="OT487" s="98">
        <f t="shared" si="2768"/>
        <v>0</v>
      </c>
      <c r="OU487" s="98">
        <f t="shared" si="2768"/>
        <v>0</v>
      </c>
      <c r="OV487" s="98">
        <f t="shared" si="2768"/>
        <v>0</v>
      </c>
      <c r="OW487" s="98">
        <f t="shared" si="2768"/>
        <v>0</v>
      </c>
      <c r="OX487" s="98">
        <f t="shared" si="2768"/>
        <v>0</v>
      </c>
      <c r="OY487" s="98">
        <f t="shared" si="2768"/>
        <v>0</v>
      </c>
      <c r="OZ487" s="98">
        <f t="shared" si="2768"/>
        <v>0</v>
      </c>
      <c r="PA487" s="198">
        <f t="shared" si="2675"/>
        <v>0</v>
      </c>
      <c r="PB487" s="198">
        <f t="shared" si="2676"/>
        <v>0</v>
      </c>
      <c r="PC487" s="98">
        <f t="shared" ref="PC487:PP487" si="2769">SUM(PC16,PC54,PC92,PC130,PC168,PC206,PC244,PC282,PC320,PC358,PC396,PC434)</f>
        <v>0</v>
      </c>
      <c r="PD487" s="98">
        <f t="shared" si="2769"/>
        <v>0</v>
      </c>
      <c r="PE487" s="98">
        <f t="shared" si="2769"/>
        <v>0</v>
      </c>
      <c r="PF487" s="98">
        <f t="shared" si="2769"/>
        <v>0</v>
      </c>
      <c r="PG487" s="98">
        <f t="shared" si="2769"/>
        <v>0</v>
      </c>
      <c r="PH487" s="98">
        <f t="shared" si="2769"/>
        <v>0</v>
      </c>
      <c r="PI487" s="98">
        <f t="shared" si="2769"/>
        <v>0</v>
      </c>
      <c r="PJ487" s="98">
        <f t="shared" si="2769"/>
        <v>0</v>
      </c>
      <c r="PK487" s="98">
        <f t="shared" si="2769"/>
        <v>0</v>
      </c>
      <c r="PL487" s="98">
        <f t="shared" si="2769"/>
        <v>0</v>
      </c>
      <c r="PM487" s="98">
        <f t="shared" si="2769"/>
        <v>0</v>
      </c>
      <c r="PN487" s="98">
        <f t="shared" si="2769"/>
        <v>0</v>
      </c>
      <c r="PO487" s="98">
        <f t="shared" si="2769"/>
        <v>0</v>
      </c>
      <c r="PP487" s="98">
        <f t="shared" si="2769"/>
        <v>0</v>
      </c>
      <c r="PQ487" s="198">
        <f t="shared" si="2678"/>
        <v>0</v>
      </c>
      <c r="PR487" s="198">
        <f t="shared" si="2679"/>
        <v>0</v>
      </c>
      <c r="PS487" s="98">
        <f t="shared" ref="PS487:QF487" si="2770">SUM(PS16,PS54,PS92,PS130,PS168,PS206,PS244,PS282,PS320,PS358,PS396,PS434)</f>
        <v>0</v>
      </c>
      <c r="PT487" s="98">
        <f t="shared" si="2770"/>
        <v>0</v>
      </c>
      <c r="PU487" s="98">
        <f t="shared" si="2770"/>
        <v>0</v>
      </c>
      <c r="PV487" s="98">
        <f t="shared" si="2770"/>
        <v>0</v>
      </c>
      <c r="PW487" s="98">
        <f t="shared" si="2770"/>
        <v>0</v>
      </c>
      <c r="PX487" s="98">
        <f t="shared" si="2770"/>
        <v>0</v>
      </c>
      <c r="PY487" s="98">
        <f t="shared" si="2770"/>
        <v>0</v>
      </c>
      <c r="PZ487" s="98">
        <f t="shared" si="2770"/>
        <v>0</v>
      </c>
      <c r="QA487" s="98">
        <f t="shared" si="2770"/>
        <v>0</v>
      </c>
      <c r="QB487" s="98">
        <f t="shared" si="2770"/>
        <v>0</v>
      </c>
      <c r="QC487" s="98">
        <f t="shared" si="2770"/>
        <v>0</v>
      </c>
      <c r="QD487" s="98">
        <f t="shared" si="2770"/>
        <v>0</v>
      </c>
      <c r="QE487" s="98">
        <f t="shared" si="2770"/>
        <v>0</v>
      </c>
      <c r="QF487" s="98">
        <f t="shared" si="2770"/>
        <v>0</v>
      </c>
      <c r="QG487" s="198">
        <f t="shared" si="2681"/>
        <v>0</v>
      </c>
      <c r="QH487" s="198">
        <f t="shared" si="2682"/>
        <v>0</v>
      </c>
      <c r="QI487" s="98">
        <f t="shared" ref="QI487:QV487" si="2771">SUM(QI16,QI54,QI92,QI130,QI168,QI206,QI244,QI282,QI320,QI358,QI396,QI434)</f>
        <v>0</v>
      </c>
      <c r="QJ487" s="98">
        <f t="shared" si="2771"/>
        <v>0</v>
      </c>
      <c r="QK487" s="98">
        <f t="shared" si="2771"/>
        <v>0</v>
      </c>
      <c r="QL487" s="98">
        <f t="shared" si="2771"/>
        <v>0</v>
      </c>
      <c r="QM487" s="98">
        <f t="shared" si="2771"/>
        <v>0</v>
      </c>
      <c r="QN487" s="98">
        <f t="shared" si="2771"/>
        <v>0</v>
      </c>
      <c r="QO487" s="98">
        <f t="shared" si="2771"/>
        <v>0</v>
      </c>
      <c r="QP487" s="98">
        <f t="shared" si="2771"/>
        <v>0</v>
      </c>
      <c r="QQ487" s="98">
        <f t="shared" si="2771"/>
        <v>0</v>
      </c>
      <c r="QR487" s="98">
        <f t="shared" si="2771"/>
        <v>0</v>
      </c>
      <c r="QS487" s="98">
        <f t="shared" si="2771"/>
        <v>0</v>
      </c>
      <c r="QT487" s="98">
        <f t="shared" si="2771"/>
        <v>0</v>
      </c>
      <c r="QU487" s="98">
        <f t="shared" si="2771"/>
        <v>0</v>
      </c>
      <c r="QV487" s="98">
        <f t="shared" si="2771"/>
        <v>0</v>
      </c>
      <c r="QW487" s="198">
        <f t="shared" si="2684"/>
        <v>0</v>
      </c>
      <c r="QX487" s="198">
        <f t="shared" si="2685"/>
        <v>0</v>
      </c>
      <c r="QY487" s="98">
        <f t="shared" ref="QY487:RL487" si="2772">SUM(QY16,QY54,QY92,QY130,QY168,QY206,QY244,QY282,QY320,QY358,QY396,QY434)</f>
        <v>0</v>
      </c>
      <c r="QZ487" s="98">
        <f t="shared" si="2772"/>
        <v>0</v>
      </c>
      <c r="RA487" s="98">
        <f t="shared" si="2772"/>
        <v>0</v>
      </c>
      <c r="RB487" s="98">
        <f t="shared" si="2772"/>
        <v>0</v>
      </c>
      <c r="RC487" s="98">
        <f t="shared" si="2772"/>
        <v>0</v>
      </c>
      <c r="RD487" s="98">
        <f t="shared" si="2772"/>
        <v>0</v>
      </c>
      <c r="RE487" s="98">
        <f t="shared" si="2772"/>
        <v>0</v>
      </c>
      <c r="RF487" s="98">
        <f t="shared" si="2772"/>
        <v>0</v>
      </c>
      <c r="RG487" s="98">
        <f t="shared" si="2772"/>
        <v>0</v>
      </c>
      <c r="RH487" s="98">
        <f t="shared" si="2772"/>
        <v>0</v>
      </c>
      <c r="RI487" s="98">
        <f t="shared" si="2772"/>
        <v>0</v>
      </c>
      <c r="RJ487" s="98">
        <f t="shared" si="2772"/>
        <v>0</v>
      </c>
      <c r="RK487" s="98">
        <f t="shared" si="2772"/>
        <v>0</v>
      </c>
      <c r="RL487" s="98">
        <f t="shared" si="2772"/>
        <v>0</v>
      </c>
      <c r="RM487" s="198">
        <f t="shared" si="2687"/>
        <v>0</v>
      </c>
      <c r="RN487" s="198">
        <f t="shared" si="2688"/>
        <v>0</v>
      </c>
      <c r="RO487" s="98">
        <f t="shared" ref="RO487:SB487" si="2773">SUM(RO16,RO54,RO92,RO130,RO168,RO206,RO244,RO282,RO320,RO358,RO396,RO434)</f>
        <v>0</v>
      </c>
      <c r="RP487" s="98">
        <f t="shared" si="2773"/>
        <v>0</v>
      </c>
      <c r="RQ487" s="98">
        <f t="shared" si="2773"/>
        <v>0</v>
      </c>
      <c r="RR487" s="98">
        <f t="shared" si="2773"/>
        <v>0</v>
      </c>
      <c r="RS487" s="98">
        <f t="shared" si="2773"/>
        <v>0</v>
      </c>
      <c r="RT487" s="98">
        <f t="shared" si="2773"/>
        <v>0</v>
      </c>
      <c r="RU487" s="98">
        <f t="shared" si="2773"/>
        <v>0</v>
      </c>
      <c r="RV487" s="98">
        <f t="shared" si="2773"/>
        <v>0</v>
      </c>
      <c r="RW487" s="98">
        <f t="shared" si="2773"/>
        <v>0</v>
      </c>
      <c r="RX487" s="98">
        <f t="shared" si="2773"/>
        <v>0</v>
      </c>
      <c r="RY487" s="98">
        <f t="shared" si="2773"/>
        <v>0</v>
      </c>
      <c r="RZ487" s="98">
        <f t="shared" si="2773"/>
        <v>0</v>
      </c>
      <c r="SA487" s="98">
        <f t="shared" si="2773"/>
        <v>0</v>
      </c>
      <c r="SB487" s="98">
        <f t="shared" si="2773"/>
        <v>0</v>
      </c>
      <c r="SC487" s="198">
        <f t="shared" si="2690"/>
        <v>0</v>
      </c>
      <c r="SD487" s="198">
        <f t="shared" si="2691"/>
        <v>0</v>
      </c>
      <c r="SE487" s="98">
        <f t="shared" ref="SE487:SR487" si="2774">SUM(SE16,SE54,SE92,SE130,SE168,SE206,SE244,SE282,SE320,SE358,SE396,SE434)</f>
        <v>0</v>
      </c>
      <c r="SF487" s="98">
        <f t="shared" si="2774"/>
        <v>0</v>
      </c>
      <c r="SG487" s="98">
        <f t="shared" si="2774"/>
        <v>0</v>
      </c>
      <c r="SH487" s="98">
        <f t="shared" si="2774"/>
        <v>0</v>
      </c>
      <c r="SI487" s="98">
        <f t="shared" si="2774"/>
        <v>0</v>
      </c>
      <c r="SJ487" s="98">
        <f t="shared" si="2774"/>
        <v>0</v>
      </c>
      <c r="SK487" s="98">
        <f t="shared" si="2774"/>
        <v>0</v>
      </c>
      <c r="SL487" s="98">
        <f t="shared" si="2774"/>
        <v>0</v>
      </c>
      <c r="SM487" s="98">
        <f t="shared" si="2774"/>
        <v>0</v>
      </c>
      <c r="SN487" s="98">
        <f t="shared" si="2774"/>
        <v>0</v>
      </c>
      <c r="SO487" s="98">
        <f t="shared" si="2774"/>
        <v>0</v>
      </c>
      <c r="SP487" s="98">
        <f t="shared" si="2774"/>
        <v>0</v>
      </c>
      <c r="SQ487" s="98">
        <f t="shared" si="2774"/>
        <v>0</v>
      </c>
      <c r="SR487" s="98">
        <f t="shared" si="2774"/>
        <v>0</v>
      </c>
      <c r="SS487" s="198">
        <f t="shared" si="2693"/>
        <v>0</v>
      </c>
      <c r="ST487" s="198">
        <f t="shared" si="2694"/>
        <v>0</v>
      </c>
      <c r="SU487" s="98">
        <f t="shared" ref="SU487:TH487" si="2775">SUM(SU16,SU54,SU92,SU130,SU168,SU206,SU244,SU282,SU320,SU358,SU396,SU434)</f>
        <v>0</v>
      </c>
      <c r="SV487" s="98">
        <f t="shared" si="2775"/>
        <v>0</v>
      </c>
      <c r="SW487" s="98">
        <f t="shared" si="2775"/>
        <v>0</v>
      </c>
      <c r="SX487" s="98">
        <f t="shared" si="2775"/>
        <v>0</v>
      </c>
      <c r="SY487" s="98">
        <f t="shared" si="2775"/>
        <v>0</v>
      </c>
      <c r="SZ487" s="98">
        <f t="shared" si="2775"/>
        <v>0</v>
      </c>
      <c r="TA487" s="98">
        <f t="shared" si="2775"/>
        <v>0</v>
      </c>
      <c r="TB487" s="98">
        <f t="shared" si="2775"/>
        <v>0</v>
      </c>
      <c r="TC487" s="98">
        <f t="shared" si="2775"/>
        <v>0</v>
      </c>
      <c r="TD487" s="98">
        <f t="shared" si="2775"/>
        <v>0</v>
      </c>
      <c r="TE487" s="98">
        <f t="shared" si="2775"/>
        <v>0</v>
      </c>
      <c r="TF487" s="98">
        <f t="shared" si="2775"/>
        <v>0</v>
      </c>
      <c r="TG487" s="98">
        <f t="shared" si="2775"/>
        <v>0</v>
      </c>
      <c r="TH487" s="98">
        <f t="shared" si="2775"/>
        <v>0</v>
      </c>
      <c r="TI487" s="198">
        <f t="shared" si="2696"/>
        <v>0</v>
      </c>
      <c r="TJ487" s="198">
        <f t="shared" si="2697"/>
        <v>0</v>
      </c>
      <c r="TK487" s="98">
        <f t="shared" ref="TK487:TX487" si="2776">SUM(TK16,TK54,TK92,TK130,TK168,TK206,TK244,TK282,TK320,TK358,TK396,TK434)</f>
        <v>0</v>
      </c>
      <c r="TL487" s="98">
        <f t="shared" si="2776"/>
        <v>0</v>
      </c>
      <c r="TM487" s="98">
        <f t="shared" si="2776"/>
        <v>0</v>
      </c>
      <c r="TN487" s="98">
        <f t="shared" si="2776"/>
        <v>0</v>
      </c>
      <c r="TO487" s="98">
        <f t="shared" si="2776"/>
        <v>0</v>
      </c>
      <c r="TP487" s="98">
        <f t="shared" si="2776"/>
        <v>0</v>
      </c>
      <c r="TQ487" s="98">
        <f t="shared" si="2776"/>
        <v>0</v>
      </c>
      <c r="TR487" s="98">
        <f t="shared" si="2776"/>
        <v>0</v>
      </c>
      <c r="TS487" s="98">
        <f t="shared" si="2776"/>
        <v>0</v>
      </c>
      <c r="TT487" s="98">
        <f t="shared" si="2776"/>
        <v>0</v>
      </c>
      <c r="TU487" s="98">
        <f t="shared" si="2776"/>
        <v>0</v>
      </c>
      <c r="TV487" s="98">
        <f t="shared" si="2776"/>
        <v>0</v>
      </c>
      <c r="TW487" s="98">
        <f t="shared" si="2776"/>
        <v>0</v>
      </c>
      <c r="TX487" s="98">
        <f t="shared" si="2776"/>
        <v>0</v>
      </c>
      <c r="TY487" s="198">
        <f t="shared" si="2699"/>
        <v>0</v>
      </c>
      <c r="TZ487" s="198">
        <f t="shared" si="2700"/>
        <v>0</v>
      </c>
      <c r="UA487" s="98">
        <f t="shared" ref="UA487:UN487" si="2777">SUM(UA16,UA54,UA92,UA130,UA168,UA206,UA244,UA282,UA320,UA358,UA396,UA434)</f>
        <v>0</v>
      </c>
      <c r="UB487" s="98">
        <f t="shared" si="2777"/>
        <v>0</v>
      </c>
      <c r="UC487" s="98">
        <f t="shared" si="2777"/>
        <v>0</v>
      </c>
      <c r="UD487" s="98">
        <f t="shared" si="2777"/>
        <v>0</v>
      </c>
      <c r="UE487" s="98">
        <f t="shared" si="2777"/>
        <v>0</v>
      </c>
      <c r="UF487" s="98">
        <f t="shared" si="2777"/>
        <v>0</v>
      </c>
      <c r="UG487" s="98">
        <f t="shared" si="2777"/>
        <v>0</v>
      </c>
      <c r="UH487" s="98">
        <f t="shared" si="2777"/>
        <v>0</v>
      </c>
      <c r="UI487" s="98">
        <f t="shared" si="2777"/>
        <v>0</v>
      </c>
      <c r="UJ487" s="98">
        <f t="shared" si="2777"/>
        <v>0</v>
      </c>
      <c r="UK487" s="98">
        <f t="shared" si="2777"/>
        <v>0</v>
      </c>
      <c r="UL487" s="98">
        <f t="shared" si="2777"/>
        <v>0</v>
      </c>
      <c r="UM487" s="98">
        <f t="shared" si="2777"/>
        <v>0</v>
      </c>
      <c r="UN487" s="98">
        <f t="shared" si="2777"/>
        <v>0</v>
      </c>
      <c r="UO487" s="198">
        <f t="shared" si="2702"/>
        <v>0</v>
      </c>
      <c r="UP487" s="198">
        <f t="shared" si="2703"/>
        <v>0</v>
      </c>
      <c r="UQ487" s="98">
        <f t="shared" ref="UQ487:VD487" si="2778">SUM(UQ16,UQ54,UQ92,UQ130,UQ168,UQ206,UQ244,UQ282,UQ320,UQ358,UQ396,UQ434)</f>
        <v>0</v>
      </c>
      <c r="UR487" s="98">
        <f t="shared" si="2778"/>
        <v>0</v>
      </c>
      <c r="US487" s="98">
        <f t="shared" si="2778"/>
        <v>0</v>
      </c>
      <c r="UT487" s="98">
        <f t="shared" si="2778"/>
        <v>0</v>
      </c>
      <c r="UU487" s="98">
        <f t="shared" si="2778"/>
        <v>0</v>
      </c>
      <c r="UV487" s="98">
        <f t="shared" si="2778"/>
        <v>0</v>
      </c>
      <c r="UW487" s="98">
        <f t="shared" si="2778"/>
        <v>0</v>
      </c>
      <c r="UX487" s="98">
        <f t="shared" si="2778"/>
        <v>0</v>
      </c>
      <c r="UY487" s="98">
        <f t="shared" si="2778"/>
        <v>0</v>
      </c>
      <c r="UZ487" s="98">
        <f t="shared" si="2778"/>
        <v>0</v>
      </c>
      <c r="VA487" s="98">
        <f t="shared" si="2778"/>
        <v>0</v>
      </c>
      <c r="VB487" s="98">
        <f t="shared" si="2778"/>
        <v>0</v>
      </c>
      <c r="VC487" s="98">
        <f t="shared" si="2778"/>
        <v>0</v>
      </c>
      <c r="VD487" s="98">
        <f t="shared" si="2778"/>
        <v>0</v>
      </c>
      <c r="VE487" s="198">
        <f t="shared" si="2705"/>
        <v>0</v>
      </c>
      <c r="VF487" s="198">
        <f t="shared" si="2706"/>
        <v>0</v>
      </c>
      <c r="VG487" s="98">
        <f t="shared" ref="VG487:VT487" si="2779">SUM(VG16,VG54,VG92,VG130,VG168,VG206,VG244,VG282,VG320,VG358,VG396,VG434)</f>
        <v>0</v>
      </c>
      <c r="VH487" s="98">
        <f t="shared" si="2779"/>
        <v>0</v>
      </c>
      <c r="VI487" s="98">
        <f t="shared" si="2779"/>
        <v>0</v>
      </c>
      <c r="VJ487" s="98">
        <f t="shared" si="2779"/>
        <v>0</v>
      </c>
      <c r="VK487" s="98">
        <f t="shared" si="2779"/>
        <v>0</v>
      </c>
      <c r="VL487" s="98">
        <f t="shared" si="2779"/>
        <v>0</v>
      </c>
      <c r="VM487" s="98">
        <f t="shared" si="2779"/>
        <v>0</v>
      </c>
      <c r="VN487" s="98">
        <f t="shared" si="2779"/>
        <v>0</v>
      </c>
      <c r="VO487" s="98">
        <f t="shared" si="2779"/>
        <v>0</v>
      </c>
      <c r="VP487" s="98">
        <f t="shared" si="2779"/>
        <v>0</v>
      </c>
      <c r="VQ487" s="98">
        <f t="shared" si="2779"/>
        <v>0</v>
      </c>
      <c r="VR487" s="98">
        <f t="shared" si="2779"/>
        <v>0</v>
      </c>
      <c r="VS487" s="98">
        <f t="shared" si="2779"/>
        <v>0</v>
      </c>
      <c r="VT487" s="98">
        <f t="shared" si="2779"/>
        <v>0</v>
      </c>
      <c r="VU487" s="198">
        <f t="shared" si="2708"/>
        <v>0</v>
      </c>
      <c r="VV487" s="198">
        <f t="shared" si="2709"/>
        <v>0</v>
      </c>
      <c r="VW487" s="98">
        <f t="shared" ref="VW487:WJ487" si="2780">SUM(VW16,VW54,VW92,VW130,VW168,VW206,VW244,VW282,VW320,VW358,VW396,VW434)</f>
        <v>0</v>
      </c>
      <c r="VX487" s="98">
        <f t="shared" si="2780"/>
        <v>0</v>
      </c>
      <c r="VY487" s="98">
        <f t="shared" si="2780"/>
        <v>0</v>
      </c>
      <c r="VZ487" s="98">
        <f t="shared" si="2780"/>
        <v>0</v>
      </c>
      <c r="WA487" s="98">
        <f t="shared" si="2780"/>
        <v>0</v>
      </c>
      <c r="WB487" s="98">
        <f t="shared" si="2780"/>
        <v>0</v>
      </c>
      <c r="WC487" s="98">
        <f t="shared" si="2780"/>
        <v>0</v>
      </c>
      <c r="WD487" s="98">
        <f t="shared" si="2780"/>
        <v>0</v>
      </c>
      <c r="WE487" s="98">
        <f t="shared" si="2780"/>
        <v>0</v>
      </c>
      <c r="WF487" s="98">
        <f t="shared" si="2780"/>
        <v>0</v>
      </c>
      <c r="WG487" s="98">
        <f t="shared" si="2780"/>
        <v>0</v>
      </c>
      <c r="WH487" s="98">
        <f t="shared" si="2780"/>
        <v>0</v>
      </c>
      <c r="WI487" s="98">
        <f t="shared" si="2780"/>
        <v>0</v>
      </c>
      <c r="WJ487" s="98">
        <f t="shared" si="2780"/>
        <v>0</v>
      </c>
      <c r="WK487" s="198">
        <f t="shared" si="2711"/>
        <v>0</v>
      </c>
      <c r="WL487" s="198">
        <f t="shared" si="2712"/>
        <v>0</v>
      </c>
      <c r="WN487" s="98">
        <f t="shared" si="2713"/>
        <v>0</v>
      </c>
      <c r="WO487" s="98">
        <f t="shared" si="2714"/>
        <v>0</v>
      </c>
      <c r="WP487" s="98">
        <f t="shared" si="2715"/>
        <v>1355843</v>
      </c>
      <c r="WQ487" s="98">
        <f t="shared" si="2716"/>
        <v>36575446</v>
      </c>
      <c r="WR487" s="98">
        <f t="shared" si="2717"/>
        <v>0</v>
      </c>
      <c r="WS487" s="98">
        <f t="shared" si="2718"/>
        <v>0</v>
      </c>
      <c r="WT487" s="98">
        <f t="shared" si="2719"/>
        <v>0</v>
      </c>
      <c r="WU487" s="98">
        <f t="shared" si="2720"/>
        <v>0</v>
      </c>
      <c r="WV487" s="98">
        <f t="shared" si="2721"/>
        <v>0</v>
      </c>
      <c r="WW487" s="98">
        <f t="shared" si="2722"/>
        <v>0</v>
      </c>
      <c r="WX487" s="98">
        <f t="shared" si="2723"/>
        <v>0</v>
      </c>
      <c r="WY487" s="98">
        <f t="shared" si="2724"/>
        <v>0</v>
      </c>
      <c r="WZ487" s="98">
        <f t="shared" si="2725"/>
        <v>0</v>
      </c>
      <c r="XA487" s="98">
        <f t="shared" si="2726"/>
        <v>0</v>
      </c>
      <c r="XB487" s="107">
        <f t="shared" si="2727"/>
        <v>1355843</v>
      </c>
      <c r="XC487" s="107">
        <f t="shared" si="2728"/>
        <v>36575446</v>
      </c>
      <c r="XK487" s="98">
        <f t="shared" si="2729"/>
        <v>0</v>
      </c>
      <c r="XL487" s="98">
        <f t="shared" si="2730"/>
        <v>0</v>
      </c>
      <c r="XM487" s="98">
        <f t="shared" si="2731"/>
        <v>0</v>
      </c>
      <c r="XN487" s="98">
        <f t="shared" si="2732"/>
        <v>0</v>
      </c>
      <c r="XO487" s="98">
        <f t="shared" si="2733"/>
        <v>2043289</v>
      </c>
      <c r="XP487" s="98">
        <f t="shared" si="2734"/>
        <v>0</v>
      </c>
      <c r="XQ487" s="98">
        <f t="shared" si="2735"/>
        <v>2043289</v>
      </c>
      <c r="XR487" s="107">
        <f t="shared" ca="1" si="2597"/>
        <v>4139221</v>
      </c>
      <c r="XT487" s="98">
        <f t="shared" si="2736"/>
        <v>36575446</v>
      </c>
      <c r="XU487" s="98">
        <f t="shared" si="2737"/>
        <v>52643</v>
      </c>
      <c r="XV487" s="98">
        <f t="shared" si="2738"/>
        <v>36575446</v>
      </c>
      <c r="XW487" s="98">
        <f t="shared" si="2739"/>
        <v>0</v>
      </c>
      <c r="XX487" s="98">
        <f t="shared" si="2740"/>
        <v>0</v>
      </c>
      <c r="XY487" s="98">
        <f t="shared" si="2741"/>
        <v>0</v>
      </c>
      <c r="XZ487" s="98">
        <f t="shared" si="2742"/>
        <v>2043289</v>
      </c>
      <c r="YA487" s="107">
        <f t="shared" ca="1" si="2598"/>
        <v>75194181</v>
      </c>
    </row>
    <row r="488" spans="1:1017">
      <c r="B488" s="90" t="str">
        <f t="shared" si="2558"/>
        <v xml:space="preserve">Eucheuma cottonii </v>
      </c>
      <c r="C488" s="98">
        <f t="shared" ref="C488:P488" si="2781">SUM(C17,C55,C93,C131,C169,C207,C245,C283,C321,C359,C397,C435)</f>
        <v>0</v>
      </c>
      <c r="D488" s="98">
        <f t="shared" si="2781"/>
        <v>0</v>
      </c>
      <c r="E488" s="98">
        <f t="shared" si="2781"/>
        <v>0</v>
      </c>
      <c r="F488" s="98">
        <f t="shared" si="2781"/>
        <v>0</v>
      </c>
      <c r="G488" s="98">
        <f t="shared" si="2781"/>
        <v>0</v>
      </c>
      <c r="H488" s="98">
        <f t="shared" si="2781"/>
        <v>0</v>
      </c>
      <c r="I488" s="98">
        <f t="shared" si="2781"/>
        <v>0</v>
      </c>
      <c r="J488" s="98">
        <f t="shared" si="2781"/>
        <v>0</v>
      </c>
      <c r="K488" s="98">
        <f t="shared" si="2781"/>
        <v>0</v>
      </c>
      <c r="L488" s="98">
        <f t="shared" si="2781"/>
        <v>0</v>
      </c>
      <c r="M488" s="98">
        <f t="shared" si="2781"/>
        <v>0</v>
      </c>
      <c r="N488" s="98">
        <f t="shared" si="2781"/>
        <v>0</v>
      </c>
      <c r="O488" s="98">
        <f t="shared" si="2781"/>
        <v>0</v>
      </c>
      <c r="P488" s="98">
        <f t="shared" si="2781"/>
        <v>0</v>
      </c>
      <c r="Q488" s="198">
        <f t="shared" si="2600"/>
        <v>0</v>
      </c>
      <c r="R488" s="198">
        <f t="shared" si="2601"/>
        <v>0</v>
      </c>
      <c r="S488" s="98">
        <f t="shared" ref="S488:AF488" si="2782">SUM(S17,S55,S93,S131,S169,S207,S245,S283,S321,S359,S397,S435)</f>
        <v>0</v>
      </c>
      <c r="T488" s="98">
        <f t="shared" si="2782"/>
        <v>0</v>
      </c>
      <c r="U488" s="98">
        <f t="shared" si="2782"/>
        <v>0</v>
      </c>
      <c r="V488" s="98">
        <f t="shared" si="2782"/>
        <v>0</v>
      </c>
      <c r="W488" s="98">
        <f t="shared" si="2782"/>
        <v>0</v>
      </c>
      <c r="X488" s="98">
        <f t="shared" si="2782"/>
        <v>0</v>
      </c>
      <c r="Y488" s="98">
        <f t="shared" si="2782"/>
        <v>0</v>
      </c>
      <c r="Z488" s="98">
        <f t="shared" si="2782"/>
        <v>0</v>
      </c>
      <c r="AA488" s="98">
        <f t="shared" si="2782"/>
        <v>0</v>
      </c>
      <c r="AB488" s="98">
        <f t="shared" si="2782"/>
        <v>0</v>
      </c>
      <c r="AC488" s="98">
        <f t="shared" si="2782"/>
        <v>0</v>
      </c>
      <c r="AD488" s="98">
        <f t="shared" si="2782"/>
        <v>0</v>
      </c>
      <c r="AE488" s="98">
        <f t="shared" si="2782"/>
        <v>0</v>
      </c>
      <c r="AF488" s="98">
        <f t="shared" si="2782"/>
        <v>0</v>
      </c>
      <c r="AG488" s="198">
        <f t="shared" si="2603"/>
        <v>0</v>
      </c>
      <c r="AH488" s="198">
        <f t="shared" si="2604"/>
        <v>0</v>
      </c>
      <c r="AI488" s="98">
        <f t="shared" ref="AI488:AV488" si="2783">SUM(AI17,AI55,AI93,AI131,AI169,AI207,AI245,AI283,AI321,AI359,AI397,AI435)</f>
        <v>0</v>
      </c>
      <c r="AJ488" s="98">
        <f t="shared" si="2783"/>
        <v>0</v>
      </c>
      <c r="AK488" s="98">
        <f t="shared" si="2783"/>
        <v>0</v>
      </c>
      <c r="AL488" s="98">
        <f t="shared" si="2783"/>
        <v>0</v>
      </c>
      <c r="AM488" s="98">
        <f t="shared" si="2783"/>
        <v>0</v>
      </c>
      <c r="AN488" s="98">
        <f t="shared" si="2783"/>
        <v>0</v>
      </c>
      <c r="AO488" s="98">
        <f t="shared" si="2783"/>
        <v>0</v>
      </c>
      <c r="AP488" s="98">
        <f t="shared" si="2783"/>
        <v>0</v>
      </c>
      <c r="AQ488" s="98">
        <f t="shared" si="2783"/>
        <v>0</v>
      </c>
      <c r="AR488" s="98">
        <f t="shared" si="2783"/>
        <v>0</v>
      </c>
      <c r="AS488" s="98">
        <f t="shared" si="2783"/>
        <v>0</v>
      </c>
      <c r="AT488" s="98">
        <f t="shared" si="2783"/>
        <v>0</v>
      </c>
      <c r="AU488" s="98">
        <f t="shared" si="2783"/>
        <v>0</v>
      </c>
      <c r="AV488" s="98">
        <f t="shared" si="2783"/>
        <v>0</v>
      </c>
      <c r="AW488" s="198">
        <f t="shared" si="2606"/>
        <v>0</v>
      </c>
      <c r="AX488" s="198">
        <f t="shared" si="2607"/>
        <v>0</v>
      </c>
      <c r="AY488" s="98">
        <f t="shared" ref="AY488:BL488" si="2784">SUM(AY17,AY55,AY93,AY131,AY169,AY207,AY245,AY283,AY321,AY359,AY397,AY435)</f>
        <v>0</v>
      </c>
      <c r="AZ488" s="98">
        <f t="shared" si="2784"/>
        <v>0</v>
      </c>
      <c r="BA488" s="98">
        <f t="shared" si="2784"/>
        <v>0</v>
      </c>
      <c r="BB488" s="98">
        <f t="shared" si="2784"/>
        <v>0</v>
      </c>
      <c r="BC488" s="98">
        <f t="shared" si="2784"/>
        <v>0</v>
      </c>
      <c r="BD488" s="98">
        <f t="shared" si="2784"/>
        <v>0</v>
      </c>
      <c r="BE488" s="98">
        <f t="shared" si="2784"/>
        <v>0</v>
      </c>
      <c r="BF488" s="98">
        <f t="shared" si="2784"/>
        <v>0</v>
      </c>
      <c r="BG488" s="98">
        <f t="shared" si="2784"/>
        <v>0</v>
      </c>
      <c r="BH488" s="98">
        <f t="shared" si="2784"/>
        <v>0</v>
      </c>
      <c r="BI488" s="98">
        <f t="shared" si="2784"/>
        <v>0</v>
      </c>
      <c r="BJ488" s="98">
        <f t="shared" si="2784"/>
        <v>0</v>
      </c>
      <c r="BK488" s="98">
        <f t="shared" si="2784"/>
        <v>0</v>
      </c>
      <c r="BL488" s="98">
        <f t="shared" si="2784"/>
        <v>0</v>
      </c>
      <c r="BM488" s="198">
        <f t="shared" si="2609"/>
        <v>0</v>
      </c>
      <c r="BN488" s="198">
        <f t="shared" si="2610"/>
        <v>0</v>
      </c>
      <c r="BO488" s="98">
        <f t="shared" ref="BO488:CB488" si="2785">SUM(BO17,BO55,BO93,BO131,BO169,BO207,BO245,BO283,BO321,BO359,BO397,BO435)</f>
        <v>0</v>
      </c>
      <c r="BP488" s="98">
        <f t="shared" si="2785"/>
        <v>0</v>
      </c>
      <c r="BQ488" s="98">
        <f t="shared" si="2785"/>
        <v>0</v>
      </c>
      <c r="BR488" s="98">
        <f t="shared" si="2785"/>
        <v>0</v>
      </c>
      <c r="BS488" s="98">
        <f t="shared" si="2785"/>
        <v>0</v>
      </c>
      <c r="BT488" s="98">
        <f t="shared" si="2785"/>
        <v>0</v>
      </c>
      <c r="BU488" s="98">
        <f t="shared" si="2785"/>
        <v>0</v>
      </c>
      <c r="BV488" s="98">
        <f t="shared" si="2785"/>
        <v>0</v>
      </c>
      <c r="BW488" s="98">
        <f t="shared" si="2785"/>
        <v>0</v>
      </c>
      <c r="BX488" s="98">
        <f t="shared" si="2785"/>
        <v>0</v>
      </c>
      <c r="BY488" s="98">
        <f t="shared" si="2785"/>
        <v>0</v>
      </c>
      <c r="BZ488" s="98">
        <f t="shared" si="2785"/>
        <v>0</v>
      </c>
      <c r="CA488" s="98">
        <f t="shared" si="2785"/>
        <v>0</v>
      </c>
      <c r="CB488" s="98">
        <f t="shared" si="2785"/>
        <v>0</v>
      </c>
      <c r="CC488" s="198">
        <f t="shared" si="2612"/>
        <v>0</v>
      </c>
      <c r="CD488" s="198">
        <f t="shared" si="2613"/>
        <v>0</v>
      </c>
      <c r="CE488" s="98">
        <f t="shared" ref="CE488:CR488" si="2786">SUM(CE17,CE55,CE93,CE131,CE169,CE207,CE245,CE283,CE321,CE359,CE397,CE435)</f>
        <v>0</v>
      </c>
      <c r="CF488" s="98">
        <f t="shared" si="2786"/>
        <v>0</v>
      </c>
      <c r="CG488" s="98">
        <f t="shared" si="2786"/>
        <v>0</v>
      </c>
      <c r="CH488" s="98">
        <f t="shared" si="2786"/>
        <v>0</v>
      </c>
      <c r="CI488" s="98">
        <f t="shared" si="2786"/>
        <v>0</v>
      </c>
      <c r="CJ488" s="98">
        <f t="shared" si="2786"/>
        <v>0</v>
      </c>
      <c r="CK488" s="98">
        <f t="shared" si="2786"/>
        <v>0</v>
      </c>
      <c r="CL488" s="98">
        <f t="shared" si="2786"/>
        <v>0</v>
      </c>
      <c r="CM488" s="98">
        <f t="shared" si="2786"/>
        <v>0</v>
      </c>
      <c r="CN488" s="98">
        <f t="shared" si="2786"/>
        <v>0</v>
      </c>
      <c r="CO488" s="98">
        <f t="shared" si="2786"/>
        <v>0</v>
      </c>
      <c r="CP488" s="98">
        <f t="shared" si="2786"/>
        <v>0</v>
      </c>
      <c r="CQ488" s="98">
        <f t="shared" si="2786"/>
        <v>0</v>
      </c>
      <c r="CR488" s="98">
        <f t="shared" si="2786"/>
        <v>0</v>
      </c>
      <c r="CS488" s="198">
        <f t="shared" si="2615"/>
        <v>0</v>
      </c>
      <c r="CT488" s="198">
        <f t="shared" si="2616"/>
        <v>0</v>
      </c>
      <c r="CU488" s="98">
        <f t="shared" ref="CU488:DH488" si="2787">SUM(CU17,CU55,CU93,CU131,CU169,CU207,CU245,CU283,CU321,CU359,CU397,CU435)</f>
        <v>0</v>
      </c>
      <c r="CV488" s="98">
        <f t="shared" si="2787"/>
        <v>0</v>
      </c>
      <c r="CW488" s="98">
        <f t="shared" si="2787"/>
        <v>0</v>
      </c>
      <c r="CX488" s="98">
        <f t="shared" si="2787"/>
        <v>0</v>
      </c>
      <c r="CY488" s="98">
        <f t="shared" si="2787"/>
        <v>0</v>
      </c>
      <c r="CZ488" s="98">
        <f t="shared" si="2787"/>
        <v>0</v>
      </c>
      <c r="DA488" s="98">
        <f t="shared" si="2787"/>
        <v>0</v>
      </c>
      <c r="DB488" s="98">
        <f t="shared" si="2787"/>
        <v>0</v>
      </c>
      <c r="DC488" s="98">
        <f t="shared" si="2787"/>
        <v>0</v>
      </c>
      <c r="DD488" s="98">
        <f t="shared" si="2787"/>
        <v>0</v>
      </c>
      <c r="DE488" s="98">
        <f t="shared" si="2787"/>
        <v>0</v>
      </c>
      <c r="DF488" s="98">
        <f t="shared" si="2787"/>
        <v>0</v>
      </c>
      <c r="DG488" s="98">
        <f t="shared" si="2787"/>
        <v>0</v>
      </c>
      <c r="DH488" s="98">
        <f t="shared" si="2787"/>
        <v>0</v>
      </c>
      <c r="DI488" s="198">
        <f t="shared" si="2618"/>
        <v>0</v>
      </c>
      <c r="DJ488" s="198">
        <f t="shared" si="2619"/>
        <v>0</v>
      </c>
      <c r="DK488" s="98">
        <f t="shared" ref="DK488:DX488" si="2788">SUM(DK17,DK55,DK93,DK131,DK169,DK207,DK245,DK283,DK321,DK359,DK397,DK435)</f>
        <v>0</v>
      </c>
      <c r="DL488" s="98">
        <f t="shared" si="2788"/>
        <v>0</v>
      </c>
      <c r="DM488" s="98">
        <f t="shared" si="2788"/>
        <v>0</v>
      </c>
      <c r="DN488" s="98">
        <f t="shared" si="2788"/>
        <v>0</v>
      </c>
      <c r="DO488" s="98">
        <f t="shared" si="2788"/>
        <v>0</v>
      </c>
      <c r="DP488" s="98">
        <f t="shared" si="2788"/>
        <v>0</v>
      </c>
      <c r="DQ488" s="98">
        <f t="shared" si="2788"/>
        <v>0</v>
      </c>
      <c r="DR488" s="98">
        <f t="shared" si="2788"/>
        <v>0</v>
      </c>
      <c r="DS488" s="98">
        <f t="shared" si="2788"/>
        <v>0</v>
      </c>
      <c r="DT488" s="98">
        <f t="shared" si="2788"/>
        <v>0</v>
      </c>
      <c r="DU488" s="98">
        <f t="shared" si="2788"/>
        <v>0</v>
      </c>
      <c r="DV488" s="98">
        <f t="shared" si="2788"/>
        <v>0</v>
      </c>
      <c r="DW488" s="98">
        <f t="shared" si="2788"/>
        <v>0</v>
      </c>
      <c r="DX488" s="98">
        <f t="shared" si="2788"/>
        <v>0</v>
      </c>
      <c r="DY488" s="198">
        <f t="shared" si="2621"/>
        <v>0</v>
      </c>
      <c r="DZ488" s="198">
        <f t="shared" si="2622"/>
        <v>0</v>
      </c>
      <c r="EA488" s="98">
        <f t="shared" ref="EA488:EN488" si="2789">SUM(EA17,EA55,EA93,EA131,EA169,EA207,EA245,EA283,EA321,EA359,EA397,EA435)</f>
        <v>0</v>
      </c>
      <c r="EB488" s="98">
        <f t="shared" si="2789"/>
        <v>0</v>
      </c>
      <c r="EC488" s="98">
        <f t="shared" si="2789"/>
        <v>0</v>
      </c>
      <c r="ED488" s="98">
        <f t="shared" si="2789"/>
        <v>0</v>
      </c>
      <c r="EE488" s="98">
        <f t="shared" si="2789"/>
        <v>0</v>
      </c>
      <c r="EF488" s="98">
        <f t="shared" si="2789"/>
        <v>0</v>
      </c>
      <c r="EG488" s="98">
        <f t="shared" si="2789"/>
        <v>0</v>
      </c>
      <c r="EH488" s="98">
        <f t="shared" si="2789"/>
        <v>0</v>
      </c>
      <c r="EI488" s="98">
        <f t="shared" si="2789"/>
        <v>0</v>
      </c>
      <c r="EJ488" s="98">
        <f t="shared" si="2789"/>
        <v>0</v>
      </c>
      <c r="EK488" s="98">
        <f t="shared" si="2789"/>
        <v>0</v>
      </c>
      <c r="EL488" s="98">
        <f t="shared" si="2789"/>
        <v>0</v>
      </c>
      <c r="EM488" s="98">
        <f t="shared" si="2789"/>
        <v>0</v>
      </c>
      <c r="EN488" s="98">
        <f t="shared" si="2789"/>
        <v>0</v>
      </c>
      <c r="EO488" s="198">
        <f t="shared" si="2624"/>
        <v>0</v>
      </c>
      <c r="EP488" s="198">
        <f t="shared" si="2625"/>
        <v>0</v>
      </c>
      <c r="EQ488" s="98">
        <f t="shared" ref="EQ488:FD488" si="2790">SUM(EQ17,EQ55,EQ93,EQ131,EQ169,EQ207,EQ245,EQ283,EQ321,EQ359,EQ397,EQ435)</f>
        <v>0</v>
      </c>
      <c r="ER488" s="98">
        <f t="shared" si="2790"/>
        <v>0</v>
      </c>
      <c r="ES488" s="98">
        <f t="shared" si="2790"/>
        <v>0</v>
      </c>
      <c r="ET488" s="98">
        <f t="shared" si="2790"/>
        <v>0</v>
      </c>
      <c r="EU488" s="98">
        <f t="shared" si="2790"/>
        <v>0</v>
      </c>
      <c r="EV488" s="98">
        <f t="shared" si="2790"/>
        <v>0</v>
      </c>
      <c r="EW488" s="98">
        <f t="shared" si="2790"/>
        <v>0</v>
      </c>
      <c r="EX488" s="98">
        <f t="shared" si="2790"/>
        <v>0</v>
      </c>
      <c r="EY488" s="98">
        <f t="shared" si="2790"/>
        <v>0</v>
      </c>
      <c r="EZ488" s="98">
        <f t="shared" si="2790"/>
        <v>0</v>
      </c>
      <c r="FA488" s="98">
        <f t="shared" si="2790"/>
        <v>0</v>
      </c>
      <c r="FB488" s="98">
        <f t="shared" si="2790"/>
        <v>0</v>
      </c>
      <c r="FC488" s="98">
        <f t="shared" si="2790"/>
        <v>0</v>
      </c>
      <c r="FD488" s="98">
        <f t="shared" si="2790"/>
        <v>0</v>
      </c>
      <c r="FE488" s="198">
        <f t="shared" si="2627"/>
        <v>0</v>
      </c>
      <c r="FF488" s="198">
        <f t="shared" si="2628"/>
        <v>0</v>
      </c>
      <c r="FG488" s="98">
        <f t="shared" ref="FG488:FT488" si="2791">SUM(FG17,FG55,FG93,FG131,FG169,FG207,FG245,FG283,FG321,FG359,FG397,FG435)</f>
        <v>0</v>
      </c>
      <c r="FH488" s="98">
        <f t="shared" si="2791"/>
        <v>0</v>
      </c>
      <c r="FI488" s="98">
        <f t="shared" si="2791"/>
        <v>0</v>
      </c>
      <c r="FJ488" s="98">
        <f t="shared" si="2791"/>
        <v>0</v>
      </c>
      <c r="FK488" s="98">
        <f t="shared" si="2791"/>
        <v>0</v>
      </c>
      <c r="FL488" s="98">
        <f t="shared" si="2791"/>
        <v>0</v>
      </c>
      <c r="FM488" s="98">
        <f t="shared" si="2791"/>
        <v>0</v>
      </c>
      <c r="FN488" s="98">
        <f t="shared" si="2791"/>
        <v>0</v>
      </c>
      <c r="FO488" s="98">
        <f t="shared" si="2791"/>
        <v>0</v>
      </c>
      <c r="FP488" s="98">
        <f t="shared" si="2791"/>
        <v>0</v>
      </c>
      <c r="FQ488" s="98">
        <f t="shared" si="2791"/>
        <v>0</v>
      </c>
      <c r="FR488" s="98">
        <f t="shared" si="2791"/>
        <v>0</v>
      </c>
      <c r="FS488" s="98">
        <f t="shared" si="2791"/>
        <v>0</v>
      </c>
      <c r="FT488" s="98">
        <f t="shared" si="2791"/>
        <v>0</v>
      </c>
      <c r="FU488" s="198">
        <f t="shared" si="2630"/>
        <v>0</v>
      </c>
      <c r="FV488" s="198">
        <f t="shared" si="2631"/>
        <v>0</v>
      </c>
      <c r="FW488" s="98">
        <f t="shared" ref="FW488:GJ488" si="2792">SUM(FW17,FW55,FW93,FW131,FW169,FW207,FW245,FW283,FW321,FW359,FW397,FW435)</f>
        <v>0</v>
      </c>
      <c r="FX488" s="98">
        <f t="shared" si="2792"/>
        <v>0</v>
      </c>
      <c r="FY488" s="98">
        <f t="shared" si="2792"/>
        <v>0</v>
      </c>
      <c r="FZ488" s="98">
        <f t="shared" si="2792"/>
        <v>0</v>
      </c>
      <c r="GA488" s="98">
        <f t="shared" si="2792"/>
        <v>0</v>
      </c>
      <c r="GB488" s="98">
        <f t="shared" si="2792"/>
        <v>0</v>
      </c>
      <c r="GC488" s="98">
        <f t="shared" si="2792"/>
        <v>0</v>
      </c>
      <c r="GD488" s="98">
        <f t="shared" si="2792"/>
        <v>0</v>
      </c>
      <c r="GE488" s="98">
        <f t="shared" si="2792"/>
        <v>0</v>
      </c>
      <c r="GF488" s="98">
        <f t="shared" si="2792"/>
        <v>0</v>
      </c>
      <c r="GG488" s="98">
        <f t="shared" si="2792"/>
        <v>0</v>
      </c>
      <c r="GH488" s="98">
        <f t="shared" si="2792"/>
        <v>0</v>
      </c>
      <c r="GI488" s="98">
        <f t="shared" si="2792"/>
        <v>0</v>
      </c>
      <c r="GJ488" s="98">
        <f t="shared" si="2792"/>
        <v>0</v>
      </c>
      <c r="GK488" s="198">
        <f t="shared" si="2633"/>
        <v>0</v>
      </c>
      <c r="GL488" s="198">
        <f t="shared" si="2634"/>
        <v>0</v>
      </c>
      <c r="GM488" s="98">
        <f t="shared" ref="GM488:GZ488" si="2793">SUM(GM17,GM55,GM93,GM131,GM169,GM207,GM245,GM283,GM321,GM359,GM397,GM435)</f>
        <v>0</v>
      </c>
      <c r="GN488" s="98">
        <f t="shared" si="2793"/>
        <v>0</v>
      </c>
      <c r="GO488" s="98">
        <f t="shared" si="2793"/>
        <v>0</v>
      </c>
      <c r="GP488" s="98">
        <f t="shared" si="2793"/>
        <v>0</v>
      </c>
      <c r="GQ488" s="98">
        <f t="shared" si="2793"/>
        <v>0</v>
      </c>
      <c r="GR488" s="98">
        <f t="shared" si="2793"/>
        <v>0</v>
      </c>
      <c r="GS488" s="98">
        <f t="shared" si="2793"/>
        <v>0</v>
      </c>
      <c r="GT488" s="98">
        <f t="shared" si="2793"/>
        <v>0</v>
      </c>
      <c r="GU488" s="98">
        <f t="shared" si="2793"/>
        <v>0</v>
      </c>
      <c r="GV488" s="98">
        <f t="shared" si="2793"/>
        <v>0</v>
      </c>
      <c r="GW488" s="98">
        <f t="shared" si="2793"/>
        <v>0</v>
      </c>
      <c r="GX488" s="98">
        <f t="shared" si="2793"/>
        <v>0</v>
      </c>
      <c r="GY488" s="98">
        <f t="shared" si="2793"/>
        <v>0</v>
      </c>
      <c r="GZ488" s="98">
        <f t="shared" si="2793"/>
        <v>0</v>
      </c>
      <c r="HA488" s="198">
        <f t="shared" si="2636"/>
        <v>0</v>
      </c>
      <c r="HB488" s="198">
        <f t="shared" si="2637"/>
        <v>0</v>
      </c>
      <c r="HC488" s="98">
        <f t="shared" ref="HC488:HP488" si="2794">SUM(HC17,HC55,HC93,HC131,HC169,HC207,HC245,HC283,HC321,HC359,HC397,HC435)</f>
        <v>0</v>
      </c>
      <c r="HD488" s="98">
        <f t="shared" si="2794"/>
        <v>0</v>
      </c>
      <c r="HE488" s="98">
        <f t="shared" si="2794"/>
        <v>0</v>
      </c>
      <c r="HF488" s="98">
        <f t="shared" si="2794"/>
        <v>0</v>
      </c>
      <c r="HG488" s="98">
        <f t="shared" si="2794"/>
        <v>0</v>
      </c>
      <c r="HH488" s="98">
        <f t="shared" si="2794"/>
        <v>0</v>
      </c>
      <c r="HI488" s="98">
        <f t="shared" si="2794"/>
        <v>0</v>
      </c>
      <c r="HJ488" s="98">
        <f t="shared" si="2794"/>
        <v>0</v>
      </c>
      <c r="HK488" s="98">
        <f t="shared" si="2794"/>
        <v>0</v>
      </c>
      <c r="HL488" s="98">
        <f t="shared" si="2794"/>
        <v>0</v>
      </c>
      <c r="HM488" s="98">
        <f t="shared" si="2794"/>
        <v>0</v>
      </c>
      <c r="HN488" s="98">
        <f t="shared" si="2794"/>
        <v>0</v>
      </c>
      <c r="HO488" s="98">
        <f t="shared" si="2794"/>
        <v>0</v>
      </c>
      <c r="HP488" s="98">
        <f t="shared" si="2794"/>
        <v>0</v>
      </c>
      <c r="HQ488" s="198">
        <f t="shared" si="2639"/>
        <v>0</v>
      </c>
      <c r="HR488" s="198">
        <f t="shared" si="2640"/>
        <v>0</v>
      </c>
      <c r="HS488" s="98">
        <f t="shared" ref="HS488:IF488" si="2795">SUM(HS17,HS55,HS93,HS131,HS169,HS207,HS245,HS283,HS321,HS359,HS397,HS435)</f>
        <v>0</v>
      </c>
      <c r="HT488" s="98">
        <f t="shared" si="2795"/>
        <v>0</v>
      </c>
      <c r="HU488" s="98">
        <f t="shared" si="2795"/>
        <v>0</v>
      </c>
      <c r="HV488" s="98">
        <f t="shared" si="2795"/>
        <v>0</v>
      </c>
      <c r="HW488" s="98">
        <f t="shared" si="2795"/>
        <v>0</v>
      </c>
      <c r="HX488" s="98">
        <f t="shared" si="2795"/>
        <v>0</v>
      </c>
      <c r="HY488" s="98">
        <f t="shared" si="2795"/>
        <v>0</v>
      </c>
      <c r="HZ488" s="98">
        <f t="shared" si="2795"/>
        <v>0</v>
      </c>
      <c r="IA488" s="98">
        <f t="shared" si="2795"/>
        <v>0</v>
      </c>
      <c r="IB488" s="98">
        <f t="shared" si="2795"/>
        <v>0</v>
      </c>
      <c r="IC488" s="98">
        <f t="shared" si="2795"/>
        <v>0</v>
      </c>
      <c r="ID488" s="98">
        <f t="shared" si="2795"/>
        <v>0</v>
      </c>
      <c r="IE488" s="98">
        <f t="shared" si="2795"/>
        <v>0</v>
      </c>
      <c r="IF488" s="98">
        <f t="shared" si="2795"/>
        <v>0</v>
      </c>
      <c r="IG488" s="198">
        <f t="shared" si="2642"/>
        <v>0</v>
      </c>
      <c r="IH488" s="198">
        <f t="shared" si="2643"/>
        <v>0</v>
      </c>
      <c r="II488" s="98">
        <f t="shared" ref="II488:IV488" si="2796">SUM(II17,II55,II93,II131,II169,II207,II245,II283,II321,II359,II397,II435)</f>
        <v>0</v>
      </c>
      <c r="IJ488" s="98">
        <f t="shared" si="2796"/>
        <v>0</v>
      </c>
      <c r="IK488" s="98">
        <f t="shared" si="2796"/>
        <v>0</v>
      </c>
      <c r="IL488" s="98">
        <f t="shared" si="2796"/>
        <v>0</v>
      </c>
      <c r="IM488" s="98">
        <f t="shared" si="2796"/>
        <v>0</v>
      </c>
      <c r="IN488" s="98">
        <f t="shared" si="2796"/>
        <v>0</v>
      </c>
      <c r="IO488" s="98">
        <f t="shared" si="2796"/>
        <v>0</v>
      </c>
      <c r="IP488" s="98">
        <f t="shared" si="2796"/>
        <v>0</v>
      </c>
      <c r="IQ488" s="98">
        <f t="shared" si="2796"/>
        <v>0</v>
      </c>
      <c r="IR488" s="98">
        <f t="shared" si="2796"/>
        <v>0</v>
      </c>
      <c r="IS488" s="98">
        <f t="shared" si="2796"/>
        <v>0</v>
      </c>
      <c r="IT488" s="98">
        <f t="shared" si="2796"/>
        <v>0</v>
      </c>
      <c r="IU488" s="98">
        <f t="shared" si="2796"/>
        <v>0</v>
      </c>
      <c r="IV488" s="98">
        <f t="shared" si="2796"/>
        <v>0</v>
      </c>
      <c r="IW488" s="198">
        <f t="shared" si="2645"/>
        <v>0</v>
      </c>
      <c r="IX488" s="198">
        <f t="shared" si="2646"/>
        <v>0</v>
      </c>
      <c r="IY488" s="98">
        <f t="shared" ref="IY488:JL488" si="2797">SUM(IY17,IY55,IY93,IY131,IY169,IY207,IY245,IY283,IY321,IY359,IY397,IY435)</f>
        <v>0</v>
      </c>
      <c r="IZ488" s="98">
        <f t="shared" si="2797"/>
        <v>0</v>
      </c>
      <c r="JA488" s="98">
        <f t="shared" si="2797"/>
        <v>0</v>
      </c>
      <c r="JB488" s="98">
        <f t="shared" si="2797"/>
        <v>0</v>
      </c>
      <c r="JC488" s="98">
        <f t="shared" si="2797"/>
        <v>0</v>
      </c>
      <c r="JD488" s="98">
        <f t="shared" si="2797"/>
        <v>0</v>
      </c>
      <c r="JE488" s="98">
        <f t="shared" si="2797"/>
        <v>0</v>
      </c>
      <c r="JF488" s="98">
        <f t="shared" si="2797"/>
        <v>0</v>
      </c>
      <c r="JG488" s="98">
        <f t="shared" si="2797"/>
        <v>0</v>
      </c>
      <c r="JH488" s="98">
        <f t="shared" si="2797"/>
        <v>0</v>
      </c>
      <c r="JI488" s="98">
        <f t="shared" si="2797"/>
        <v>0</v>
      </c>
      <c r="JJ488" s="98">
        <f t="shared" si="2797"/>
        <v>0</v>
      </c>
      <c r="JK488" s="98">
        <f t="shared" si="2797"/>
        <v>0</v>
      </c>
      <c r="JL488" s="98">
        <f t="shared" si="2797"/>
        <v>0</v>
      </c>
      <c r="JM488" s="198">
        <f t="shared" si="2648"/>
        <v>0</v>
      </c>
      <c r="JN488" s="198">
        <f t="shared" si="2649"/>
        <v>0</v>
      </c>
      <c r="JO488" s="98">
        <f t="shared" ref="JO488:KB488" si="2798">SUM(JO17,JO55,JO93,JO131,JO169,JO207,JO245,JO283,JO321,JO359,JO397,JO435)</f>
        <v>0</v>
      </c>
      <c r="JP488" s="98">
        <f t="shared" si="2798"/>
        <v>0</v>
      </c>
      <c r="JQ488" s="98">
        <f t="shared" si="2798"/>
        <v>0</v>
      </c>
      <c r="JR488" s="98">
        <f t="shared" si="2798"/>
        <v>0</v>
      </c>
      <c r="JS488" s="98">
        <f t="shared" si="2798"/>
        <v>0</v>
      </c>
      <c r="JT488" s="98">
        <f t="shared" si="2798"/>
        <v>0</v>
      </c>
      <c r="JU488" s="98">
        <f t="shared" si="2798"/>
        <v>0</v>
      </c>
      <c r="JV488" s="98">
        <f t="shared" si="2798"/>
        <v>0</v>
      </c>
      <c r="JW488" s="98">
        <f t="shared" si="2798"/>
        <v>0</v>
      </c>
      <c r="JX488" s="98">
        <f t="shared" si="2798"/>
        <v>0</v>
      </c>
      <c r="JY488" s="98">
        <f t="shared" si="2798"/>
        <v>0</v>
      </c>
      <c r="JZ488" s="98">
        <f t="shared" si="2798"/>
        <v>0</v>
      </c>
      <c r="KA488" s="98">
        <f t="shared" si="2798"/>
        <v>0</v>
      </c>
      <c r="KB488" s="98">
        <f t="shared" si="2798"/>
        <v>0</v>
      </c>
      <c r="KC488" s="198">
        <f t="shared" si="2651"/>
        <v>0</v>
      </c>
      <c r="KD488" s="198">
        <f t="shared" si="2652"/>
        <v>0</v>
      </c>
      <c r="KE488" s="98">
        <f t="shared" ref="KE488:KR488" si="2799">SUM(KE17,KE55,KE93,KE131,KE169,KE207,KE245,KE283,KE321,KE359,KE397,KE435)</f>
        <v>0</v>
      </c>
      <c r="KF488" s="98">
        <f t="shared" si="2799"/>
        <v>0</v>
      </c>
      <c r="KG488" s="98">
        <f t="shared" si="2799"/>
        <v>0</v>
      </c>
      <c r="KH488" s="98">
        <f t="shared" si="2799"/>
        <v>0</v>
      </c>
      <c r="KI488" s="98">
        <f t="shared" si="2799"/>
        <v>0</v>
      </c>
      <c r="KJ488" s="98">
        <f t="shared" si="2799"/>
        <v>0</v>
      </c>
      <c r="KK488" s="98">
        <f t="shared" si="2799"/>
        <v>0</v>
      </c>
      <c r="KL488" s="98">
        <f t="shared" si="2799"/>
        <v>0</v>
      </c>
      <c r="KM488" s="98">
        <f t="shared" si="2799"/>
        <v>0</v>
      </c>
      <c r="KN488" s="98">
        <f t="shared" si="2799"/>
        <v>0</v>
      </c>
      <c r="KO488" s="98">
        <f t="shared" si="2799"/>
        <v>0</v>
      </c>
      <c r="KP488" s="98">
        <f t="shared" si="2799"/>
        <v>0</v>
      </c>
      <c r="KQ488" s="98">
        <f t="shared" si="2799"/>
        <v>0</v>
      </c>
      <c r="KR488" s="98">
        <f t="shared" si="2799"/>
        <v>0</v>
      </c>
      <c r="KS488" s="198">
        <f t="shared" si="2654"/>
        <v>0</v>
      </c>
      <c r="KT488" s="198">
        <f t="shared" si="2655"/>
        <v>0</v>
      </c>
      <c r="KU488" s="98">
        <f t="shared" ref="KU488:LH488" si="2800">SUM(KU17,KU55,KU93,KU131,KU169,KU207,KU245,KU283,KU321,KU359,KU397,KU435)</f>
        <v>0</v>
      </c>
      <c r="KV488" s="98">
        <f t="shared" si="2800"/>
        <v>0</v>
      </c>
      <c r="KW488" s="98">
        <f t="shared" si="2800"/>
        <v>0</v>
      </c>
      <c r="KX488" s="98">
        <f t="shared" si="2800"/>
        <v>0</v>
      </c>
      <c r="KY488" s="98">
        <f t="shared" si="2800"/>
        <v>0</v>
      </c>
      <c r="KZ488" s="98">
        <f t="shared" si="2800"/>
        <v>0</v>
      </c>
      <c r="LA488" s="98">
        <f t="shared" si="2800"/>
        <v>0</v>
      </c>
      <c r="LB488" s="98">
        <f t="shared" si="2800"/>
        <v>0</v>
      </c>
      <c r="LC488" s="98">
        <f t="shared" si="2800"/>
        <v>0</v>
      </c>
      <c r="LD488" s="98">
        <f t="shared" si="2800"/>
        <v>0</v>
      </c>
      <c r="LE488" s="98">
        <f t="shared" si="2800"/>
        <v>0</v>
      </c>
      <c r="LF488" s="98">
        <f t="shared" si="2800"/>
        <v>0</v>
      </c>
      <c r="LG488" s="98">
        <f t="shared" si="2800"/>
        <v>0</v>
      </c>
      <c r="LH488" s="98">
        <f t="shared" si="2800"/>
        <v>0</v>
      </c>
      <c r="LI488" s="198">
        <f t="shared" si="2657"/>
        <v>0</v>
      </c>
      <c r="LJ488" s="198">
        <f t="shared" si="2658"/>
        <v>0</v>
      </c>
      <c r="LK488" s="98">
        <f t="shared" ref="LK488:LX488" si="2801">SUM(LK17,LK55,LK93,LK131,LK169,LK207,LK245,LK283,LK321,LK359,LK397,LK435)</f>
        <v>0</v>
      </c>
      <c r="LL488" s="98">
        <f t="shared" si="2801"/>
        <v>0</v>
      </c>
      <c r="LM488" s="98">
        <f t="shared" si="2801"/>
        <v>0</v>
      </c>
      <c r="LN488" s="98">
        <f t="shared" si="2801"/>
        <v>0</v>
      </c>
      <c r="LO488" s="98">
        <f t="shared" si="2801"/>
        <v>0</v>
      </c>
      <c r="LP488" s="98">
        <f t="shared" si="2801"/>
        <v>0</v>
      </c>
      <c r="LQ488" s="98">
        <f t="shared" si="2801"/>
        <v>0</v>
      </c>
      <c r="LR488" s="98">
        <f t="shared" si="2801"/>
        <v>0</v>
      </c>
      <c r="LS488" s="98">
        <f t="shared" si="2801"/>
        <v>0</v>
      </c>
      <c r="LT488" s="98">
        <f t="shared" si="2801"/>
        <v>0</v>
      </c>
      <c r="LU488" s="98">
        <f t="shared" si="2801"/>
        <v>0</v>
      </c>
      <c r="LV488" s="98">
        <f t="shared" si="2801"/>
        <v>0</v>
      </c>
      <c r="LW488" s="98">
        <f t="shared" si="2801"/>
        <v>0</v>
      </c>
      <c r="LX488" s="98">
        <f t="shared" si="2801"/>
        <v>0</v>
      </c>
      <c r="LY488" s="198">
        <f t="shared" si="2660"/>
        <v>0</v>
      </c>
      <c r="LZ488" s="198">
        <f t="shared" si="2661"/>
        <v>0</v>
      </c>
      <c r="MA488" s="98">
        <f t="shared" ref="MA488:MN488" si="2802">SUM(MA17,MA55,MA93,MA131,MA169,MA207,MA245,MA283,MA321,MA359,MA397,MA435)</f>
        <v>0</v>
      </c>
      <c r="MB488" s="98">
        <f t="shared" si="2802"/>
        <v>0</v>
      </c>
      <c r="MC488" s="98">
        <f t="shared" si="2802"/>
        <v>0</v>
      </c>
      <c r="MD488" s="98">
        <f t="shared" si="2802"/>
        <v>0</v>
      </c>
      <c r="ME488" s="98">
        <f t="shared" si="2802"/>
        <v>0</v>
      </c>
      <c r="MF488" s="98">
        <f t="shared" si="2802"/>
        <v>0</v>
      </c>
      <c r="MG488" s="98">
        <f t="shared" si="2802"/>
        <v>0</v>
      </c>
      <c r="MH488" s="98">
        <f t="shared" si="2802"/>
        <v>0</v>
      </c>
      <c r="MI488" s="98">
        <f t="shared" si="2802"/>
        <v>0</v>
      </c>
      <c r="MJ488" s="98">
        <f t="shared" si="2802"/>
        <v>0</v>
      </c>
      <c r="MK488" s="98">
        <f t="shared" si="2802"/>
        <v>0</v>
      </c>
      <c r="ML488" s="98">
        <f t="shared" si="2802"/>
        <v>0</v>
      </c>
      <c r="MM488" s="98">
        <f t="shared" si="2802"/>
        <v>0</v>
      </c>
      <c r="MN488" s="98">
        <f t="shared" si="2802"/>
        <v>0</v>
      </c>
      <c r="MO488" s="198">
        <f t="shared" si="2663"/>
        <v>0</v>
      </c>
      <c r="MP488" s="198">
        <f t="shared" si="2664"/>
        <v>0</v>
      </c>
      <c r="MQ488" s="98">
        <f t="shared" ref="MQ488:ND488" si="2803">SUM(MQ17,MQ55,MQ93,MQ131,MQ169,MQ207,MQ245,MQ283,MQ321,MQ359,MQ397,MQ435)</f>
        <v>0</v>
      </c>
      <c r="MR488" s="98">
        <f t="shared" si="2803"/>
        <v>0</v>
      </c>
      <c r="MS488" s="98">
        <f t="shared" si="2803"/>
        <v>0</v>
      </c>
      <c r="MT488" s="98">
        <f t="shared" si="2803"/>
        <v>0</v>
      </c>
      <c r="MU488" s="98">
        <f t="shared" si="2803"/>
        <v>0</v>
      </c>
      <c r="MV488" s="98">
        <f t="shared" si="2803"/>
        <v>0</v>
      </c>
      <c r="MW488" s="98">
        <f t="shared" si="2803"/>
        <v>0</v>
      </c>
      <c r="MX488" s="98">
        <f t="shared" si="2803"/>
        <v>0</v>
      </c>
      <c r="MY488" s="98">
        <f t="shared" si="2803"/>
        <v>0</v>
      </c>
      <c r="MZ488" s="98">
        <f t="shared" si="2803"/>
        <v>0</v>
      </c>
      <c r="NA488" s="98">
        <f t="shared" si="2803"/>
        <v>0</v>
      </c>
      <c r="NB488" s="98">
        <f t="shared" si="2803"/>
        <v>0</v>
      </c>
      <c r="NC488" s="98">
        <f t="shared" si="2803"/>
        <v>0</v>
      </c>
      <c r="ND488" s="98">
        <f t="shared" si="2803"/>
        <v>0</v>
      </c>
      <c r="NE488" s="198">
        <f t="shared" si="2666"/>
        <v>0</v>
      </c>
      <c r="NF488" s="198">
        <f t="shared" si="2667"/>
        <v>0</v>
      </c>
      <c r="NG488" s="98">
        <f t="shared" ref="NG488:NT488" si="2804">SUM(NG17,NG55,NG93,NG131,NG169,NG207,NG245,NG283,NG321,NG359,NG397,NG435)</f>
        <v>0</v>
      </c>
      <c r="NH488" s="98">
        <f t="shared" si="2804"/>
        <v>0</v>
      </c>
      <c r="NI488" s="98">
        <f t="shared" si="2804"/>
        <v>0</v>
      </c>
      <c r="NJ488" s="98">
        <f t="shared" si="2804"/>
        <v>0</v>
      </c>
      <c r="NK488" s="98">
        <f t="shared" si="2804"/>
        <v>0</v>
      </c>
      <c r="NL488" s="98">
        <f t="shared" si="2804"/>
        <v>0</v>
      </c>
      <c r="NM488" s="98">
        <f t="shared" si="2804"/>
        <v>0</v>
      </c>
      <c r="NN488" s="98">
        <f t="shared" si="2804"/>
        <v>0</v>
      </c>
      <c r="NO488" s="98">
        <f t="shared" si="2804"/>
        <v>0</v>
      </c>
      <c r="NP488" s="98">
        <f t="shared" si="2804"/>
        <v>0</v>
      </c>
      <c r="NQ488" s="98">
        <f t="shared" si="2804"/>
        <v>0</v>
      </c>
      <c r="NR488" s="98">
        <f t="shared" si="2804"/>
        <v>0</v>
      </c>
      <c r="NS488" s="98">
        <f t="shared" si="2804"/>
        <v>0</v>
      </c>
      <c r="NT488" s="98">
        <f t="shared" si="2804"/>
        <v>0</v>
      </c>
      <c r="NU488" s="198">
        <f t="shared" si="2669"/>
        <v>0</v>
      </c>
      <c r="NV488" s="198">
        <f t="shared" si="2670"/>
        <v>0</v>
      </c>
      <c r="NW488" s="98">
        <f t="shared" ref="NW488:OJ488" si="2805">SUM(NW17,NW55,NW93,NW131,NW169,NW207,NW245,NW283,NW321,NW359,NW397,NW435)</f>
        <v>46940</v>
      </c>
      <c r="NX488" s="98">
        <f t="shared" si="2805"/>
        <v>218300</v>
      </c>
      <c r="NY488" s="98">
        <f t="shared" si="2805"/>
        <v>0</v>
      </c>
      <c r="NZ488" s="98">
        <f t="shared" si="2805"/>
        <v>0</v>
      </c>
      <c r="OA488" s="98">
        <f t="shared" si="2805"/>
        <v>0</v>
      </c>
      <c r="OB488" s="98">
        <f t="shared" si="2805"/>
        <v>0</v>
      </c>
      <c r="OC488" s="98">
        <f t="shared" si="2805"/>
        <v>0</v>
      </c>
      <c r="OD488" s="98">
        <f t="shared" si="2805"/>
        <v>0</v>
      </c>
      <c r="OE488" s="98">
        <f t="shared" si="2805"/>
        <v>0</v>
      </c>
      <c r="OF488" s="98">
        <f t="shared" si="2805"/>
        <v>0</v>
      </c>
      <c r="OG488" s="98">
        <f t="shared" si="2805"/>
        <v>0</v>
      </c>
      <c r="OH488" s="98">
        <f t="shared" si="2805"/>
        <v>0</v>
      </c>
      <c r="OI488" s="98">
        <f t="shared" si="2805"/>
        <v>0</v>
      </c>
      <c r="OJ488" s="98">
        <f t="shared" si="2805"/>
        <v>0</v>
      </c>
      <c r="OK488" s="198">
        <f t="shared" si="2672"/>
        <v>46940</v>
      </c>
      <c r="OL488" s="198">
        <f t="shared" si="2673"/>
        <v>218300</v>
      </c>
      <c r="OM488" s="98">
        <f t="shared" ref="OM488:OZ488" si="2806">SUM(OM17,OM55,OM93,OM131,OM169,OM207,OM245,OM283,OM321,OM359,OM397,OM435)</f>
        <v>759835941</v>
      </c>
      <c r="ON488" s="98">
        <f t="shared" si="2806"/>
        <v>3814659072</v>
      </c>
      <c r="OO488" s="98">
        <f t="shared" si="2806"/>
        <v>0</v>
      </c>
      <c r="OP488" s="98">
        <f t="shared" si="2806"/>
        <v>0</v>
      </c>
      <c r="OQ488" s="98">
        <f t="shared" si="2806"/>
        <v>0</v>
      </c>
      <c r="OR488" s="98">
        <f t="shared" si="2806"/>
        <v>0</v>
      </c>
      <c r="OS488" s="98">
        <f t="shared" si="2806"/>
        <v>0</v>
      </c>
      <c r="OT488" s="98">
        <f t="shared" si="2806"/>
        <v>0</v>
      </c>
      <c r="OU488" s="98">
        <f t="shared" si="2806"/>
        <v>0</v>
      </c>
      <c r="OV488" s="98">
        <f t="shared" si="2806"/>
        <v>0</v>
      </c>
      <c r="OW488" s="98">
        <f t="shared" si="2806"/>
        <v>0</v>
      </c>
      <c r="OX488" s="98">
        <f t="shared" si="2806"/>
        <v>0</v>
      </c>
      <c r="OY488" s="98">
        <f t="shared" si="2806"/>
        <v>0</v>
      </c>
      <c r="OZ488" s="98">
        <f t="shared" si="2806"/>
        <v>0</v>
      </c>
      <c r="PA488" s="198">
        <f t="shared" si="2675"/>
        <v>759835941</v>
      </c>
      <c r="PB488" s="198">
        <f t="shared" si="2676"/>
        <v>3814659072</v>
      </c>
      <c r="PC488" s="98">
        <f t="shared" ref="PC488:PP488" si="2807">SUM(PC17,PC55,PC93,PC131,PC169,PC207,PC245,PC283,PC321,PC359,PC397,PC435)</f>
        <v>0</v>
      </c>
      <c r="PD488" s="98">
        <f t="shared" si="2807"/>
        <v>0</v>
      </c>
      <c r="PE488" s="98">
        <f t="shared" si="2807"/>
        <v>0</v>
      </c>
      <c r="PF488" s="98">
        <f t="shared" si="2807"/>
        <v>0</v>
      </c>
      <c r="PG488" s="98">
        <f t="shared" si="2807"/>
        <v>0</v>
      </c>
      <c r="PH488" s="98">
        <f t="shared" si="2807"/>
        <v>0</v>
      </c>
      <c r="PI488" s="98">
        <f t="shared" si="2807"/>
        <v>0</v>
      </c>
      <c r="PJ488" s="98">
        <f t="shared" si="2807"/>
        <v>0</v>
      </c>
      <c r="PK488" s="98">
        <f t="shared" si="2807"/>
        <v>0</v>
      </c>
      <c r="PL488" s="98">
        <f t="shared" si="2807"/>
        <v>0</v>
      </c>
      <c r="PM488" s="98">
        <f t="shared" si="2807"/>
        <v>0</v>
      </c>
      <c r="PN488" s="98">
        <f t="shared" si="2807"/>
        <v>0</v>
      </c>
      <c r="PO488" s="98">
        <f t="shared" si="2807"/>
        <v>0</v>
      </c>
      <c r="PP488" s="98">
        <f t="shared" si="2807"/>
        <v>0</v>
      </c>
      <c r="PQ488" s="198">
        <f t="shared" si="2678"/>
        <v>0</v>
      </c>
      <c r="PR488" s="198">
        <f t="shared" si="2679"/>
        <v>0</v>
      </c>
      <c r="PS488" s="98">
        <f t="shared" ref="PS488:QF488" si="2808">SUM(PS17,PS55,PS93,PS131,PS169,PS207,PS245,PS283,PS321,PS359,PS397,PS435)</f>
        <v>0</v>
      </c>
      <c r="PT488" s="98">
        <f t="shared" si="2808"/>
        <v>0</v>
      </c>
      <c r="PU488" s="98">
        <f t="shared" si="2808"/>
        <v>0</v>
      </c>
      <c r="PV488" s="98">
        <f t="shared" si="2808"/>
        <v>0</v>
      </c>
      <c r="PW488" s="98">
        <f t="shared" si="2808"/>
        <v>0</v>
      </c>
      <c r="PX488" s="98">
        <f t="shared" si="2808"/>
        <v>0</v>
      </c>
      <c r="PY488" s="98">
        <f t="shared" si="2808"/>
        <v>0</v>
      </c>
      <c r="PZ488" s="98">
        <f t="shared" si="2808"/>
        <v>0</v>
      </c>
      <c r="QA488" s="98">
        <f t="shared" si="2808"/>
        <v>0</v>
      </c>
      <c r="QB488" s="98">
        <f t="shared" si="2808"/>
        <v>0</v>
      </c>
      <c r="QC488" s="98">
        <f t="shared" si="2808"/>
        <v>0</v>
      </c>
      <c r="QD488" s="98">
        <f t="shared" si="2808"/>
        <v>0</v>
      </c>
      <c r="QE488" s="98">
        <f t="shared" si="2808"/>
        <v>0</v>
      </c>
      <c r="QF488" s="98">
        <f t="shared" si="2808"/>
        <v>0</v>
      </c>
      <c r="QG488" s="198">
        <f t="shared" si="2681"/>
        <v>0</v>
      </c>
      <c r="QH488" s="198">
        <f t="shared" si="2682"/>
        <v>0</v>
      </c>
      <c r="QI488" s="98">
        <f t="shared" ref="QI488:QV488" si="2809">SUM(QI17,QI55,QI93,QI131,QI169,QI207,QI245,QI283,QI321,QI359,QI397,QI435)</f>
        <v>0</v>
      </c>
      <c r="QJ488" s="98">
        <f t="shared" si="2809"/>
        <v>0</v>
      </c>
      <c r="QK488" s="98">
        <f t="shared" si="2809"/>
        <v>0</v>
      </c>
      <c r="QL488" s="98">
        <f t="shared" si="2809"/>
        <v>0</v>
      </c>
      <c r="QM488" s="98">
        <f t="shared" si="2809"/>
        <v>0</v>
      </c>
      <c r="QN488" s="98">
        <f t="shared" si="2809"/>
        <v>0</v>
      </c>
      <c r="QO488" s="98">
        <f t="shared" si="2809"/>
        <v>0</v>
      </c>
      <c r="QP488" s="98">
        <f t="shared" si="2809"/>
        <v>0</v>
      </c>
      <c r="QQ488" s="98">
        <f t="shared" si="2809"/>
        <v>0</v>
      </c>
      <c r="QR488" s="98">
        <f t="shared" si="2809"/>
        <v>0</v>
      </c>
      <c r="QS488" s="98">
        <f t="shared" si="2809"/>
        <v>0</v>
      </c>
      <c r="QT488" s="98">
        <f t="shared" si="2809"/>
        <v>0</v>
      </c>
      <c r="QU488" s="98">
        <f t="shared" si="2809"/>
        <v>0</v>
      </c>
      <c r="QV488" s="98">
        <f t="shared" si="2809"/>
        <v>0</v>
      </c>
      <c r="QW488" s="198">
        <f t="shared" si="2684"/>
        <v>0</v>
      </c>
      <c r="QX488" s="198">
        <f t="shared" si="2685"/>
        <v>0</v>
      </c>
      <c r="QY488" s="98">
        <f t="shared" ref="QY488:RL488" si="2810">SUM(QY17,QY55,QY93,QY131,QY169,QY207,QY245,QY283,QY321,QY359,QY397,QY435)</f>
        <v>0</v>
      </c>
      <c r="QZ488" s="98">
        <f t="shared" si="2810"/>
        <v>0</v>
      </c>
      <c r="RA488" s="98">
        <f t="shared" si="2810"/>
        <v>0</v>
      </c>
      <c r="RB488" s="98">
        <f t="shared" si="2810"/>
        <v>0</v>
      </c>
      <c r="RC488" s="98">
        <f t="shared" si="2810"/>
        <v>0</v>
      </c>
      <c r="RD488" s="98">
        <f t="shared" si="2810"/>
        <v>0</v>
      </c>
      <c r="RE488" s="98">
        <f t="shared" si="2810"/>
        <v>0</v>
      </c>
      <c r="RF488" s="98">
        <f t="shared" si="2810"/>
        <v>0</v>
      </c>
      <c r="RG488" s="98">
        <f t="shared" si="2810"/>
        <v>0</v>
      </c>
      <c r="RH488" s="98">
        <f t="shared" si="2810"/>
        <v>0</v>
      </c>
      <c r="RI488" s="98">
        <f t="shared" si="2810"/>
        <v>0</v>
      </c>
      <c r="RJ488" s="98">
        <f t="shared" si="2810"/>
        <v>0</v>
      </c>
      <c r="RK488" s="98">
        <f t="shared" si="2810"/>
        <v>0</v>
      </c>
      <c r="RL488" s="98">
        <f t="shared" si="2810"/>
        <v>0</v>
      </c>
      <c r="RM488" s="198">
        <f t="shared" si="2687"/>
        <v>0</v>
      </c>
      <c r="RN488" s="198">
        <f t="shared" si="2688"/>
        <v>0</v>
      </c>
      <c r="RO488" s="98">
        <f t="shared" ref="RO488:SB488" si="2811">SUM(RO17,RO55,RO93,RO131,RO169,RO207,RO245,RO283,RO321,RO359,RO397,RO435)</f>
        <v>0</v>
      </c>
      <c r="RP488" s="98">
        <f t="shared" si="2811"/>
        <v>0</v>
      </c>
      <c r="RQ488" s="98">
        <f t="shared" si="2811"/>
        <v>0</v>
      </c>
      <c r="RR488" s="98">
        <f t="shared" si="2811"/>
        <v>0</v>
      </c>
      <c r="RS488" s="98">
        <f t="shared" si="2811"/>
        <v>0</v>
      </c>
      <c r="RT488" s="98">
        <f t="shared" si="2811"/>
        <v>0</v>
      </c>
      <c r="RU488" s="98">
        <f t="shared" si="2811"/>
        <v>0</v>
      </c>
      <c r="RV488" s="98">
        <f t="shared" si="2811"/>
        <v>0</v>
      </c>
      <c r="RW488" s="98">
        <f t="shared" si="2811"/>
        <v>0</v>
      </c>
      <c r="RX488" s="98">
        <f t="shared" si="2811"/>
        <v>0</v>
      </c>
      <c r="RY488" s="98">
        <f t="shared" si="2811"/>
        <v>0</v>
      </c>
      <c r="RZ488" s="98">
        <f t="shared" si="2811"/>
        <v>0</v>
      </c>
      <c r="SA488" s="98">
        <f t="shared" si="2811"/>
        <v>0</v>
      </c>
      <c r="SB488" s="98">
        <f t="shared" si="2811"/>
        <v>0</v>
      </c>
      <c r="SC488" s="198">
        <f t="shared" si="2690"/>
        <v>0</v>
      </c>
      <c r="SD488" s="198">
        <f t="shared" si="2691"/>
        <v>0</v>
      </c>
      <c r="SE488" s="98">
        <f t="shared" ref="SE488:SR488" si="2812">SUM(SE17,SE55,SE93,SE131,SE169,SE207,SE245,SE283,SE321,SE359,SE397,SE435)</f>
        <v>0</v>
      </c>
      <c r="SF488" s="98">
        <f t="shared" si="2812"/>
        <v>0</v>
      </c>
      <c r="SG488" s="98">
        <f t="shared" si="2812"/>
        <v>0</v>
      </c>
      <c r="SH488" s="98">
        <f t="shared" si="2812"/>
        <v>0</v>
      </c>
      <c r="SI488" s="98">
        <f t="shared" si="2812"/>
        <v>0</v>
      </c>
      <c r="SJ488" s="98">
        <f t="shared" si="2812"/>
        <v>0</v>
      </c>
      <c r="SK488" s="98">
        <f t="shared" si="2812"/>
        <v>0</v>
      </c>
      <c r="SL488" s="98">
        <f t="shared" si="2812"/>
        <v>0</v>
      </c>
      <c r="SM488" s="98">
        <f t="shared" si="2812"/>
        <v>0</v>
      </c>
      <c r="SN488" s="98">
        <f t="shared" si="2812"/>
        <v>0</v>
      </c>
      <c r="SO488" s="98">
        <f t="shared" si="2812"/>
        <v>0</v>
      </c>
      <c r="SP488" s="98">
        <f t="shared" si="2812"/>
        <v>0</v>
      </c>
      <c r="SQ488" s="98">
        <f t="shared" si="2812"/>
        <v>0</v>
      </c>
      <c r="SR488" s="98">
        <f t="shared" si="2812"/>
        <v>0</v>
      </c>
      <c r="SS488" s="198">
        <f t="shared" si="2693"/>
        <v>0</v>
      </c>
      <c r="ST488" s="198">
        <f t="shared" si="2694"/>
        <v>0</v>
      </c>
      <c r="SU488" s="98">
        <f t="shared" ref="SU488:TH488" si="2813">SUM(SU17,SU55,SU93,SU131,SU169,SU207,SU245,SU283,SU321,SU359,SU397,SU435)</f>
        <v>0</v>
      </c>
      <c r="SV488" s="98">
        <f t="shared" si="2813"/>
        <v>0</v>
      </c>
      <c r="SW488" s="98">
        <f t="shared" si="2813"/>
        <v>0</v>
      </c>
      <c r="SX488" s="98">
        <f t="shared" si="2813"/>
        <v>0</v>
      </c>
      <c r="SY488" s="98">
        <f t="shared" si="2813"/>
        <v>0</v>
      </c>
      <c r="SZ488" s="98">
        <f t="shared" si="2813"/>
        <v>0</v>
      </c>
      <c r="TA488" s="98">
        <f t="shared" si="2813"/>
        <v>0</v>
      </c>
      <c r="TB488" s="98">
        <f t="shared" si="2813"/>
        <v>0</v>
      </c>
      <c r="TC488" s="98">
        <f t="shared" si="2813"/>
        <v>0</v>
      </c>
      <c r="TD488" s="98">
        <f t="shared" si="2813"/>
        <v>0</v>
      </c>
      <c r="TE488" s="98">
        <f t="shared" si="2813"/>
        <v>0</v>
      </c>
      <c r="TF488" s="98">
        <f t="shared" si="2813"/>
        <v>0</v>
      </c>
      <c r="TG488" s="98">
        <f t="shared" si="2813"/>
        <v>0</v>
      </c>
      <c r="TH488" s="98">
        <f t="shared" si="2813"/>
        <v>0</v>
      </c>
      <c r="TI488" s="198">
        <f t="shared" si="2696"/>
        <v>0</v>
      </c>
      <c r="TJ488" s="198">
        <f t="shared" si="2697"/>
        <v>0</v>
      </c>
      <c r="TK488" s="98">
        <f t="shared" ref="TK488:TX488" si="2814">SUM(TK17,TK55,TK93,TK131,TK169,TK207,TK245,TK283,TK321,TK359,TK397,TK435)</f>
        <v>0</v>
      </c>
      <c r="TL488" s="98">
        <f t="shared" si="2814"/>
        <v>0</v>
      </c>
      <c r="TM488" s="98">
        <f t="shared" si="2814"/>
        <v>0</v>
      </c>
      <c r="TN488" s="98">
        <f t="shared" si="2814"/>
        <v>0</v>
      </c>
      <c r="TO488" s="98">
        <f t="shared" si="2814"/>
        <v>0</v>
      </c>
      <c r="TP488" s="98">
        <f t="shared" si="2814"/>
        <v>0</v>
      </c>
      <c r="TQ488" s="98">
        <f t="shared" si="2814"/>
        <v>0</v>
      </c>
      <c r="TR488" s="98">
        <f t="shared" si="2814"/>
        <v>0</v>
      </c>
      <c r="TS488" s="98">
        <f t="shared" si="2814"/>
        <v>0</v>
      </c>
      <c r="TT488" s="98">
        <f t="shared" si="2814"/>
        <v>0</v>
      </c>
      <c r="TU488" s="98">
        <f t="shared" si="2814"/>
        <v>0</v>
      </c>
      <c r="TV488" s="98">
        <f t="shared" si="2814"/>
        <v>0</v>
      </c>
      <c r="TW488" s="98">
        <f t="shared" si="2814"/>
        <v>0</v>
      </c>
      <c r="TX488" s="98">
        <f t="shared" si="2814"/>
        <v>0</v>
      </c>
      <c r="TY488" s="198">
        <f t="shared" si="2699"/>
        <v>0</v>
      </c>
      <c r="TZ488" s="198">
        <f t="shared" si="2700"/>
        <v>0</v>
      </c>
      <c r="UA488" s="98">
        <f t="shared" ref="UA488:UN488" si="2815">SUM(UA17,UA55,UA93,UA131,UA169,UA207,UA245,UA283,UA321,UA359,UA397,UA435)</f>
        <v>0</v>
      </c>
      <c r="UB488" s="98">
        <f t="shared" si="2815"/>
        <v>0</v>
      </c>
      <c r="UC488" s="98">
        <f t="shared" si="2815"/>
        <v>0</v>
      </c>
      <c r="UD488" s="98">
        <f t="shared" si="2815"/>
        <v>0</v>
      </c>
      <c r="UE488" s="98">
        <f t="shared" si="2815"/>
        <v>0</v>
      </c>
      <c r="UF488" s="98">
        <f t="shared" si="2815"/>
        <v>0</v>
      </c>
      <c r="UG488" s="98">
        <f t="shared" si="2815"/>
        <v>0</v>
      </c>
      <c r="UH488" s="98">
        <f t="shared" si="2815"/>
        <v>0</v>
      </c>
      <c r="UI488" s="98">
        <f t="shared" si="2815"/>
        <v>0</v>
      </c>
      <c r="UJ488" s="98">
        <f t="shared" si="2815"/>
        <v>0</v>
      </c>
      <c r="UK488" s="98">
        <f t="shared" si="2815"/>
        <v>0</v>
      </c>
      <c r="UL488" s="98">
        <f t="shared" si="2815"/>
        <v>0</v>
      </c>
      <c r="UM488" s="98">
        <f t="shared" si="2815"/>
        <v>0</v>
      </c>
      <c r="UN488" s="98">
        <f t="shared" si="2815"/>
        <v>0</v>
      </c>
      <c r="UO488" s="198">
        <f t="shared" si="2702"/>
        <v>0</v>
      </c>
      <c r="UP488" s="198">
        <f t="shared" si="2703"/>
        <v>0</v>
      </c>
      <c r="UQ488" s="98">
        <f t="shared" ref="UQ488:VD488" si="2816">SUM(UQ17,UQ55,UQ93,UQ131,UQ169,UQ207,UQ245,UQ283,UQ321,UQ359,UQ397,UQ435)</f>
        <v>0</v>
      </c>
      <c r="UR488" s="98">
        <f t="shared" si="2816"/>
        <v>0</v>
      </c>
      <c r="US488" s="98">
        <f t="shared" si="2816"/>
        <v>0</v>
      </c>
      <c r="UT488" s="98">
        <f t="shared" si="2816"/>
        <v>0</v>
      </c>
      <c r="UU488" s="98">
        <f t="shared" si="2816"/>
        <v>0</v>
      </c>
      <c r="UV488" s="98">
        <f t="shared" si="2816"/>
        <v>0</v>
      </c>
      <c r="UW488" s="98">
        <f t="shared" si="2816"/>
        <v>0</v>
      </c>
      <c r="UX488" s="98">
        <f t="shared" si="2816"/>
        <v>0</v>
      </c>
      <c r="UY488" s="98">
        <f t="shared" si="2816"/>
        <v>0</v>
      </c>
      <c r="UZ488" s="98">
        <f t="shared" si="2816"/>
        <v>0</v>
      </c>
      <c r="VA488" s="98">
        <f t="shared" si="2816"/>
        <v>0</v>
      </c>
      <c r="VB488" s="98">
        <f t="shared" si="2816"/>
        <v>0</v>
      </c>
      <c r="VC488" s="98">
        <f t="shared" si="2816"/>
        <v>0</v>
      </c>
      <c r="VD488" s="98">
        <f t="shared" si="2816"/>
        <v>0</v>
      </c>
      <c r="VE488" s="198">
        <f t="shared" si="2705"/>
        <v>0</v>
      </c>
      <c r="VF488" s="198">
        <f t="shared" si="2706"/>
        <v>0</v>
      </c>
      <c r="VG488" s="98">
        <f t="shared" ref="VG488:VT488" si="2817">SUM(VG17,VG55,VG93,VG131,VG169,VG207,VG245,VG283,VG321,VG359,VG397,VG435)</f>
        <v>0</v>
      </c>
      <c r="VH488" s="98">
        <f t="shared" si="2817"/>
        <v>0</v>
      </c>
      <c r="VI488" s="98">
        <f t="shared" si="2817"/>
        <v>0</v>
      </c>
      <c r="VJ488" s="98">
        <f t="shared" si="2817"/>
        <v>0</v>
      </c>
      <c r="VK488" s="98">
        <f t="shared" si="2817"/>
        <v>0</v>
      </c>
      <c r="VL488" s="98">
        <f t="shared" si="2817"/>
        <v>0</v>
      </c>
      <c r="VM488" s="98">
        <f t="shared" si="2817"/>
        <v>0</v>
      </c>
      <c r="VN488" s="98">
        <f t="shared" si="2817"/>
        <v>0</v>
      </c>
      <c r="VO488" s="98">
        <f t="shared" si="2817"/>
        <v>0</v>
      </c>
      <c r="VP488" s="98">
        <f t="shared" si="2817"/>
        <v>0</v>
      </c>
      <c r="VQ488" s="98">
        <f t="shared" si="2817"/>
        <v>0</v>
      </c>
      <c r="VR488" s="98">
        <f t="shared" si="2817"/>
        <v>0</v>
      </c>
      <c r="VS488" s="98">
        <f t="shared" si="2817"/>
        <v>0</v>
      </c>
      <c r="VT488" s="98">
        <f t="shared" si="2817"/>
        <v>0</v>
      </c>
      <c r="VU488" s="198">
        <f t="shared" si="2708"/>
        <v>0</v>
      </c>
      <c r="VV488" s="198">
        <f t="shared" si="2709"/>
        <v>0</v>
      </c>
      <c r="VW488" s="98">
        <f t="shared" ref="VW488:WJ488" si="2818">SUM(VW17,VW55,VW93,VW131,VW169,VW207,VW245,VW283,VW321,VW359,VW397,VW435)</f>
        <v>0</v>
      </c>
      <c r="VX488" s="98">
        <f t="shared" si="2818"/>
        <v>0</v>
      </c>
      <c r="VY488" s="98">
        <f t="shared" si="2818"/>
        <v>0</v>
      </c>
      <c r="VZ488" s="98">
        <f t="shared" si="2818"/>
        <v>0</v>
      </c>
      <c r="WA488" s="98">
        <f t="shared" si="2818"/>
        <v>0</v>
      </c>
      <c r="WB488" s="98">
        <f t="shared" si="2818"/>
        <v>0</v>
      </c>
      <c r="WC488" s="98">
        <f t="shared" si="2818"/>
        <v>0</v>
      </c>
      <c r="WD488" s="98">
        <f t="shared" si="2818"/>
        <v>0</v>
      </c>
      <c r="WE488" s="98">
        <f t="shared" si="2818"/>
        <v>0</v>
      </c>
      <c r="WF488" s="98">
        <f t="shared" si="2818"/>
        <v>0</v>
      </c>
      <c r="WG488" s="98">
        <f t="shared" si="2818"/>
        <v>0</v>
      </c>
      <c r="WH488" s="98">
        <f t="shared" si="2818"/>
        <v>0</v>
      </c>
      <c r="WI488" s="98">
        <f t="shared" si="2818"/>
        <v>0</v>
      </c>
      <c r="WJ488" s="98">
        <f t="shared" si="2818"/>
        <v>0</v>
      </c>
      <c r="WK488" s="198">
        <f t="shared" si="2711"/>
        <v>0</v>
      </c>
      <c r="WL488" s="198">
        <f t="shared" si="2712"/>
        <v>0</v>
      </c>
      <c r="WN488" s="98">
        <f t="shared" si="2713"/>
        <v>759882881</v>
      </c>
      <c r="WO488" s="98">
        <f t="shared" si="2714"/>
        <v>3814877372</v>
      </c>
      <c r="WP488" s="98">
        <f t="shared" si="2715"/>
        <v>0</v>
      </c>
      <c r="WQ488" s="98">
        <f t="shared" si="2716"/>
        <v>0</v>
      </c>
      <c r="WR488" s="98">
        <f t="shared" si="2717"/>
        <v>0</v>
      </c>
      <c r="WS488" s="98">
        <f t="shared" si="2718"/>
        <v>0</v>
      </c>
      <c r="WT488" s="98">
        <f t="shared" si="2719"/>
        <v>0</v>
      </c>
      <c r="WU488" s="98">
        <f t="shared" si="2720"/>
        <v>0</v>
      </c>
      <c r="WV488" s="98">
        <f t="shared" si="2721"/>
        <v>0</v>
      </c>
      <c r="WW488" s="98">
        <f t="shared" si="2722"/>
        <v>0</v>
      </c>
      <c r="WX488" s="98">
        <f t="shared" si="2723"/>
        <v>0</v>
      </c>
      <c r="WY488" s="98">
        <f t="shared" si="2724"/>
        <v>0</v>
      </c>
      <c r="WZ488" s="98">
        <f t="shared" si="2725"/>
        <v>0</v>
      </c>
      <c r="XA488" s="98">
        <f t="shared" si="2726"/>
        <v>0</v>
      </c>
      <c r="XB488" s="107">
        <f t="shared" si="2727"/>
        <v>759882881</v>
      </c>
      <c r="XC488" s="107">
        <f t="shared" si="2728"/>
        <v>3814877372</v>
      </c>
      <c r="XK488" s="98">
        <f t="shared" si="2729"/>
        <v>0</v>
      </c>
      <c r="XL488" s="98">
        <f t="shared" si="2730"/>
        <v>0</v>
      </c>
      <c r="XM488" s="98">
        <f t="shared" si="2731"/>
        <v>0</v>
      </c>
      <c r="XN488" s="98">
        <f t="shared" si="2732"/>
        <v>0</v>
      </c>
      <c r="XO488" s="98">
        <f t="shared" si="2733"/>
        <v>4574760253</v>
      </c>
      <c r="XP488" s="98">
        <f t="shared" si="2734"/>
        <v>4574760253</v>
      </c>
      <c r="XQ488" s="98">
        <f t="shared" si="2735"/>
        <v>0</v>
      </c>
      <c r="XR488" s="107">
        <f t="shared" ca="1" si="2597"/>
        <v>8389637625</v>
      </c>
      <c r="XT488" s="98">
        <f t="shared" si="2736"/>
        <v>4574760253</v>
      </c>
      <c r="XU488" s="98">
        <f t="shared" si="2737"/>
        <v>3814877372</v>
      </c>
      <c r="XV488" s="98">
        <f t="shared" si="2738"/>
        <v>0</v>
      </c>
      <c r="XW488" s="98">
        <f t="shared" si="2739"/>
        <v>0</v>
      </c>
      <c r="XX488" s="98">
        <f t="shared" si="2740"/>
        <v>0</v>
      </c>
      <c r="XY488" s="98">
        <f t="shared" si="2741"/>
        <v>0</v>
      </c>
      <c r="XZ488" s="98">
        <f t="shared" si="2742"/>
        <v>4574760253</v>
      </c>
      <c r="YA488" s="107">
        <f t="shared" ca="1" si="2598"/>
        <v>9149520506</v>
      </c>
    </row>
    <row r="489" spans="1:1017">
      <c r="B489" s="90" t="str">
        <f t="shared" si="2558"/>
        <v xml:space="preserve">Gabus </v>
      </c>
      <c r="C489" s="98">
        <f t="shared" ref="C489:P489" si="2819">SUM(C18,C56,C94,C132,C170,C208,C246,C284,C322,C360,C398,C436)</f>
        <v>0</v>
      </c>
      <c r="D489" s="98">
        <f t="shared" si="2819"/>
        <v>0</v>
      </c>
      <c r="E489" s="98">
        <f t="shared" si="2819"/>
        <v>0</v>
      </c>
      <c r="F489" s="98">
        <f t="shared" si="2819"/>
        <v>0</v>
      </c>
      <c r="G489" s="98">
        <f t="shared" si="2819"/>
        <v>0</v>
      </c>
      <c r="H489" s="98">
        <f t="shared" si="2819"/>
        <v>0</v>
      </c>
      <c r="I489" s="98">
        <f t="shared" si="2819"/>
        <v>0</v>
      </c>
      <c r="J489" s="98">
        <f t="shared" si="2819"/>
        <v>0</v>
      </c>
      <c r="K489" s="98">
        <f t="shared" si="2819"/>
        <v>0</v>
      </c>
      <c r="L489" s="98">
        <f t="shared" si="2819"/>
        <v>0</v>
      </c>
      <c r="M489" s="98">
        <f t="shared" si="2819"/>
        <v>0</v>
      </c>
      <c r="N489" s="98">
        <f t="shared" si="2819"/>
        <v>0</v>
      </c>
      <c r="O489" s="98">
        <f t="shared" si="2819"/>
        <v>0</v>
      </c>
      <c r="P489" s="98">
        <f t="shared" si="2819"/>
        <v>0</v>
      </c>
      <c r="Q489" s="198">
        <f t="shared" si="2600"/>
        <v>0</v>
      </c>
      <c r="R489" s="198">
        <f t="shared" si="2601"/>
        <v>0</v>
      </c>
      <c r="S489" s="98">
        <f t="shared" ref="S489:AF489" si="2820">SUM(S18,S56,S94,S132,S170,S208,S246,S284,S322,S360,S398,S436)</f>
        <v>0</v>
      </c>
      <c r="T489" s="98">
        <f t="shared" si="2820"/>
        <v>0</v>
      </c>
      <c r="U489" s="98">
        <f t="shared" si="2820"/>
        <v>0</v>
      </c>
      <c r="V489" s="98">
        <f t="shared" si="2820"/>
        <v>0</v>
      </c>
      <c r="W489" s="98">
        <f t="shared" si="2820"/>
        <v>0</v>
      </c>
      <c r="X489" s="98">
        <f t="shared" si="2820"/>
        <v>0</v>
      </c>
      <c r="Y489" s="98">
        <f t="shared" si="2820"/>
        <v>4390</v>
      </c>
      <c r="Z489" s="98">
        <f t="shared" si="2820"/>
        <v>175600</v>
      </c>
      <c r="AA489" s="98">
        <f t="shared" si="2820"/>
        <v>0</v>
      </c>
      <c r="AB489" s="98">
        <f t="shared" si="2820"/>
        <v>0</v>
      </c>
      <c r="AC489" s="98">
        <f t="shared" si="2820"/>
        <v>0</v>
      </c>
      <c r="AD489" s="98">
        <f t="shared" si="2820"/>
        <v>0</v>
      </c>
      <c r="AE489" s="98">
        <f t="shared" si="2820"/>
        <v>0</v>
      </c>
      <c r="AF489" s="98">
        <f t="shared" si="2820"/>
        <v>0</v>
      </c>
      <c r="AG489" s="198">
        <f t="shared" si="2603"/>
        <v>4390</v>
      </c>
      <c r="AH489" s="198">
        <f t="shared" si="2604"/>
        <v>175600</v>
      </c>
      <c r="AI489" s="98">
        <f t="shared" ref="AI489:AV489" si="2821">SUM(AI18,AI56,AI94,AI132,AI170,AI208,AI246,AI284,AI322,AI360,AI398,AI436)</f>
        <v>0</v>
      </c>
      <c r="AJ489" s="98">
        <f t="shared" si="2821"/>
        <v>0</v>
      </c>
      <c r="AK489" s="98">
        <f t="shared" si="2821"/>
        <v>0</v>
      </c>
      <c r="AL489" s="98">
        <f t="shared" si="2821"/>
        <v>0</v>
      </c>
      <c r="AM489" s="98">
        <f t="shared" si="2821"/>
        <v>0</v>
      </c>
      <c r="AN489" s="98">
        <f t="shared" si="2821"/>
        <v>0</v>
      </c>
      <c r="AO489" s="98">
        <f t="shared" si="2821"/>
        <v>0</v>
      </c>
      <c r="AP489" s="98">
        <f t="shared" si="2821"/>
        <v>0</v>
      </c>
      <c r="AQ489" s="98">
        <f t="shared" si="2821"/>
        <v>0</v>
      </c>
      <c r="AR489" s="98">
        <f t="shared" si="2821"/>
        <v>0</v>
      </c>
      <c r="AS489" s="98">
        <f t="shared" si="2821"/>
        <v>0</v>
      </c>
      <c r="AT489" s="98">
        <f t="shared" si="2821"/>
        <v>0</v>
      </c>
      <c r="AU489" s="98">
        <f t="shared" si="2821"/>
        <v>0</v>
      </c>
      <c r="AV489" s="98">
        <f t="shared" si="2821"/>
        <v>0</v>
      </c>
      <c r="AW489" s="198">
        <f t="shared" si="2606"/>
        <v>0</v>
      </c>
      <c r="AX489" s="198">
        <f t="shared" si="2607"/>
        <v>0</v>
      </c>
      <c r="AY489" s="98">
        <f t="shared" ref="AY489:BL489" si="2822">SUM(AY18,AY56,AY94,AY132,AY170,AY208,AY246,AY284,AY322,AY360,AY398,AY436)</f>
        <v>0</v>
      </c>
      <c r="AZ489" s="98">
        <f t="shared" si="2822"/>
        <v>0</v>
      </c>
      <c r="BA489" s="98">
        <f t="shared" si="2822"/>
        <v>0</v>
      </c>
      <c r="BB489" s="98">
        <f t="shared" si="2822"/>
        <v>0</v>
      </c>
      <c r="BC489" s="98">
        <f t="shared" si="2822"/>
        <v>0</v>
      </c>
      <c r="BD489" s="98">
        <f t="shared" si="2822"/>
        <v>0</v>
      </c>
      <c r="BE489" s="98">
        <f t="shared" si="2822"/>
        <v>0</v>
      </c>
      <c r="BF489" s="98">
        <f t="shared" si="2822"/>
        <v>0</v>
      </c>
      <c r="BG489" s="98">
        <f t="shared" si="2822"/>
        <v>0</v>
      </c>
      <c r="BH489" s="98">
        <f t="shared" si="2822"/>
        <v>0</v>
      </c>
      <c r="BI489" s="98">
        <f t="shared" si="2822"/>
        <v>0</v>
      </c>
      <c r="BJ489" s="98">
        <f t="shared" si="2822"/>
        <v>0</v>
      </c>
      <c r="BK489" s="98">
        <f t="shared" si="2822"/>
        <v>0</v>
      </c>
      <c r="BL489" s="98">
        <f t="shared" si="2822"/>
        <v>0</v>
      </c>
      <c r="BM489" s="198">
        <f t="shared" si="2609"/>
        <v>0</v>
      </c>
      <c r="BN489" s="198">
        <f t="shared" si="2610"/>
        <v>0</v>
      </c>
      <c r="BO489" s="98">
        <f t="shared" ref="BO489:CB489" si="2823">SUM(BO18,BO56,BO94,BO132,BO170,BO208,BO246,BO284,BO322,BO360,BO398,BO436)</f>
        <v>0</v>
      </c>
      <c r="BP489" s="98">
        <f t="shared" si="2823"/>
        <v>0</v>
      </c>
      <c r="BQ489" s="98">
        <f t="shared" si="2823"/>
        <v>0</v>
      </c>
      <c r="BR489" s="98">
        <f t="shared" si="2823"/>
        <v>0</v>
      </c>
      <c r="BS489" s="98">
        <f t="shared" si="2823"/>
        <v>0</v>
      </c>
      <c r="BT489" s="98">
        <f t="shared" si="2823"/>
        <v>0</v>
      </c>
      <c r="BU489" s="98">
        <f t="shared" si="2823"/>
        <v>0</v>
      </c>
      <c r="BV489" s="98">
        <f t="shared" si="2823"/>
        <v>0</v>
      </c>
      <c r="BW489" s="98">
        <f t="shared" si="2823"/>
        <v>0</v>
      </c>
      <c r="BX489" s="98">
        <f t="shared" si="2823"/>
        <v>0</v>
      </c>
      <c r="BY489" s="98">
        <f t="shared" si="2823"/>
        <v>0</v>
      </c>
      <c r="BZ489" s="98">
        <f t="shared" si="2823"/>
        <v>0</v>
      </c>
      <c r="CA489" s="98">
        <f t="shared" si="2823"/>
        <v>0</v>
      </c>
      <c r="CB489" s="98">
        <f t="shared" si="2823"/>
        <v>0</v>
      </c>
      <c r="CC489" s="198">
        <f t="shared" si="2612"/>
        <v>0</v>
      </c>
      <c r="CD489" s="198">
        <f t="shared" si="2613"/>
        <v>0</v>
      </c>
      <c r="CE489" s="98">
        <f t="shared" ref="CE489:CR489" si="2824">SUM(CE18,CE56,CE94,CE132,CE170,CE208,CE246,CE284,CE322,CE360,CE398,CE436)</f>
        <v>0</v>
      </c>
      <c r="CF489" s="98">
        <f t="shared" si="2824"/>
        <v>0</v>
      </c>
      <c r="CG489" s="98">
        <f t="shared" si="2824"/>
        <v>0</v>
      </c>
      <c r="CH489" s="98">
        <f t="shared" si="2824"/>
        <v>0</v>
      </c>
      <c r="CI489" s="98">
        <f t="shared" si="2824"/>
        <v>0</v>
      </c>
      <c r="CJ489" s="98">
        <f t="shared" si="2824"/>
        <v>0</v>
      </c>
      <c r="CK489" s="98">
        <f t="shared" si="2824"/>
        <v>0</v>
      </c>
      <c r="CL489" s="98">
        <f t="shared" si="2824"/>
        <v>0</v>
      </c>
      <c r="CM489" s="98">
        <f t="shared" si="2824"/>
        <v>0</v>
      </c>
      <c r="CN489" s="98">
        <f t="shared" si="2824"/>
        <v>0</v>
      </c>
      <c r="CO489" s="98">
        <f t="shared" si="2824"/>
        <v>0</v>
      </c>
      <c r="CP489" s="98">
        <f t="shared" si="2824"/>
        <v>0</v>
      </c>
      <c r="CQ489" s="98">
        <f t="shared" si="2824"/>
        <v>0</v>
      </c>
      <c r="CR489" s="98">
        <f t="shared" si="2824"/>
        <v>0</v>
      </c>
      <c r="CS489" s="198">
        <f t="shared" si="2615"/>
        <v>0</v>
      </c>
      <c r="CT489" s="198">
        <f t="shared" si="2616"/>
        <v>0</v>
      </c>
      <c r="CU489" s="98">
        <f t="shared" ref="CU489:DH489" si="2825">SUM(CU18,CU56,CU94,CU132,CU170,CU208,CU246,CU284,CU322,CU360,CU398,CU436)</f>
        <v>0</v>
      </c>
      <c r="CV489" s="98">
        <f t="shared" si="2825"/>
        <v>0</v>
      </c>
      <c r="CW489" s="98">
        <f t="shared" si="2825"/>
        <v>0</v>
      </c>
      <c r="CX489" s="98">
        <f t="shared" si="2825"/>
        <v>0</v>
      </c>
      <c r="CY489" s="98">
        <f t="shared" si="2825"/>
        <v>0</v>
      </c>
      <c r="CZ489" s="98">
        <f t="shared" si="2825"/>
        <v>0</v>
      </c>
      <c r="DA489" s="98">
        <f t="shared" si="2825"/>
        <v>0</v>
      </c>
      <c r="DB489" s="98">
        <f t="shared" si="2825"/>
        <v>0</v>
      </c>
      <c r="DC489" s="98">
        <f t="shared" si="2825"/>
        <v>0</v>
      </c>
      <c r="DD489" s="98">
        <f t="shared" si="2825"/>
        <v>0</v>
      </c>
      <c r="DE489" s="98">
        <f t="shared" si="2825"/>
        <v>0</v>
      </c>
      <c r="DF489" s="98">
        <f t="shared" si="2825"/>
        <v>0</v>
      </c>
      <c r="DG489" s="98">
        <f t="shared" si="2825"/>
        <v>0</v>
      </c>
      <c r="DH489" s="98">
        <f t="shared" si="2825"/>
        <v>0</v>
      </c>
      <c r="DI489" s="198">
        <f t="shared" si="2618"/>
        <v>0</v>
      </c>
      <c r="DJ489" s="198">
        <f t="shared" si="2619"/>
        <v>0</v>
      </c>
      <c r="DK489" s="98">
        <f t="shared" ref="DK489:DX489" si="2826">SUM(DK18,DK56,DK94,DK132,DK170,DK208,DK246,DK284,DK322,DK360,DK398,DK436)</f>
        <v>0</v>
      </c>
      <c r="DL489" s="98">
        <f t="shared" si="2826"/>
        <v>0</v>
      </c>
      <c r="DM489" s="98">
        <f t="shared" si="2826"/>
        <v>0</v>
      </c>
      <c r="DN489" s="98">
        <f t="shared" si="2826"/>
        <v>0</v>
      </c>
      <c r="DO489" s="98">
        <f t="shared" si="2826"/>
        <v>0</v>
      </c>
      <c r="DP489" s="98">
        <f t="shared" si="2826"/>
        <v>0</v>
      </c>
      <c r="DQ489" s="98">
        <f t="shared" si="2826"/>
        <v>0</v>
      </c>
      <c r="DR489" s="98">
        <f t="shared" si="2826"/>
        <v>0</v>
      </c>
      <c r="DS489" s="98">
        <f t="shared" si="2826"/>
        <v>0</v>
      </c>
      <c r="DT489" s="98">
        <f t="shared" si="2826"/>
        <v>0</v>
      </c>
      <c r="DU489" s="98">
        <f t="shared" si="2826"/>
        <v>0</v>
      </c>
      <c r="DV489" s="98">
        <f t="shared" si="2826"/>
        <v>0</v>
      </c>
      <c r="DW489" s="98">
        <f t="shared" si="2826"/>
        <v>0</v>
      </c>
      <c r="DX489" s="98">
        <f t="shared" si="2826"/>
        <v>0</v>
      </c>
      <c r="DY489" s="198">
        <f t="shared" si="2621"/>
        <v>0</v>
      </c>
      <c r="DZ489" s="198">
        <f t="shared" si="2622"/>
        <v>0</v>
      </c>
      <c r="EA489" s="98">
        <f t="shared" ref="EA489:EN489" si="2827">SUM(EA18,EA56,EA94,EA132,EA170,EA208,EA246,EA284,EA322,EA360,EA398,EA436)</f>
        <v>0</v>
      </c>
      <c r="EB489" s="98">
        <f t="shared" si="2827"/>
        <v>0</v>
      </c>
      <c r="EC489" s="98">
        <f t="shared" si="2827"/>
        <v>0</v>
      </c>
      <c r="ED489" s="98">
        <f t="shared" si="2827"/>
        <v>0</v>
      </c>
      <c r="EE489" s="98">
        <f t="shared" si="2827"/>
        <v>0</v>
      </c>
      <c r="EF489" s="98">
        <f t="shared" si="2827"/>
        <v>0</v>
      </c>
      <c r="EG489" s="98">
        <f t="shared" si="2827"/>
        <v>0</v>
      </c>
      <c r="EH489" s="98">
        <f t="shared" si="2827"/>
        <v>0</v>
      </c>
      <c r="EI489" s="98">
        <f t="shared" si="2827"/>
        <v>0</v>
      </c>
      <c r="EJ489" s="98">
        <f t="shared" si="2827"/>
        <v>0</v>
      </c>
      <c r="EK489" s="98">
        <f t="shared" si="2827"/>
        <v>0</v>
      </c>
      <c r="EL489" s="98">
        <f t="shared" si="2827"/>
        <v>0</v>
      </c>
      <c r="EM489" s="98">
        <f t="shared" si="2827"/>
        <v>0</v>
      </c>
      <c r="EN489" s="98">
        <f t="shared" si="2827"/>
        <v>0</v>
      </c>
      <c r="EO489" s="198">
        <f t="shared" si="2624"/>
        <v>0</v>
      </c>
      <c r="EP489" s="198">
        <f t="shared" si="2625"/>
        <v>0</v>
      </c>
      <c r="EQ489" s="98">
        <f t="shared" ref="EQ489:FD489" si="2828">SUM(EQ18,EQ56,EQ94,EQ132,EQ170,EQ208,EQ246,EQ284,EQ322,EQ360,EQ398,EQ436)</f>
        <v>0</v>
      </c>
      <c r="ER489" s="98">
        <f t="shared" si="2828"/>
        <v>0</v>
      </c>
      <c r="ES489" s="98">
        <f t="shared" si="2828"/>
        <v>0</v>
      </c>
      <c r="ET489" s="98">
        <f t="shared" si="2828"/>
        <v>0</v>
      </c>
      <c r="EU489" s="98">
        <f t="shared" si="2828"/>
        <v>0</v>
      </c>
      <c r="EV489" s="98">
        <f t="shared" si="2828"/>
        <v>0</v>
      </c>
      <c r="EW489" s="98">
        <f t="shared" si="2828"/>
        <v>19606</v>
      </c>
      <c r="EX489" s="98">
        <f t="shared" si="2828"/>
        <v>937585</v>
      </c>
      <c r="EY489" s="98">
        <f t="shared" si="2828"/>
        <v>0</v>
      </c>
      <c r="EZ489" s="98">
        <f t="shared" si="2828"/>
        <v>0</v>
      </c>
      <c r="FA489" s="98">
        <f t="shared" si="2828"/>
        <v>0</v>
      </c>
      <c r="FB489" s="98">
        <f t="shared" si="2828"/>
        <v>0</v>
      </c>
      <c r="FC489" s="98">
        <f t="shared" si="2828"/>
        <v>0</v>
      </c>
      <c r="FD489" s="98">
        <f t="shared" si="2828"/>
        <v>0</v>
      </c>
      <c r="FE489" s="198">
        <f t="shared" si="2627"/>
        <v>19606</v>
      </c>
      <c r="FF489" s="198">
        <f t="shared" si="2628"/>
        <v>937585</v>
      </c>
      <c r="FG489" s="98">
        <f t="shared" ref="FG489:FT489" si="2829">SUM(FG18,FG56,FG94,FG132,FG170,FG208,FG246,FG284,FG322,FG360,FG398,FG436)</f>
        <v>0</v>
      </c>
      <c r="FH489" s="98">
        <f t="shared" si="2829"/>
        <v>0</v>
      </c>
      <c r="FI489" s="98">
        <f t="shared" si="2829"/>
        <v>0</v>
      </c>
      <c r="FJ489" s="98">
        <f t="shared" si="2829"/>
        <v>0</v>
      </c>
      <c r="FK489" s="98">
        <f t="shared" si="2829"/>
        <v>0</v>
      </c>
      <c r="FL489" s="98">
        <f t="shared" si="2829"/>
        <v>0</v>
      </c>
      <c r="FM489" s="98">
        <f t="shared" si="2829"/>
        <v>3800</v>
      </c>
      <c r="FN489" s="98">
        <f t="shared" si="2829"/>
        <v>159850</v>
      </c>
      <c r="FO489" s="98">
        <f t="shared" si="2829"/>
        <v>0</v>
      </c>
      <c r="FP489" s="98">
        <f t="shared" si="2829"/>
        <v>0</v>
      </c>
      <c r="FQ489" s="98">
        <f t="shared" si="2829"/>
        <v>0</v>
      </c>
      <c r="FR489" s="98">
        <f t="shared" si="2829"/>
        <v>0</v>
      </c>
      <c r="FS489" s="98">
        <f t="shared" si="2829"/>
        <v>0</v>
      </c>
      <c r="FT489" s="98">
        <f t="shared" si="2829"/>
        <v>0</v>
      </c>
      <c r="FU489" s="198">
        <f t="shared" si="2630"/>
        <v>3800</v>
      </c>
      <c r="FV489" s="198">
        <f t="shared" si="2631"/>
        <v>159850</v>
      </c>
      <c r="FW489" s="98">
        <f t="shared" ref="FW489:GJ489" si="2830">SUM(FW18,FW56,FW94,FW132,FW170,FW208,FW246,FW284,FW322,FW360,FW398,FW436)</f>
        <v>0</v>
      </c>
      <c r="FX489" s="98">
        <f t="shared" si="2830"/>
        <v>0</v>
      </c>
      <c r="FY489" s="98">
        <f t="shared" si="2830"/>
        <v>0</v>
      </c>
      <c r="FZ489" s="98">
        <f t="shared" si="2830"/>
        <v>0</v>
      </c>
      <c r="GA489" s="98">
        <f t="shared" si="2830"/>
        <v>0</v>
      </c>
      <c r="GB489" s="98">
        <f t="shared" si="2830"/>
        <v>0</v>
      </c>
      <c r="GC489" s="98">
        <f t="shared" si="2830"/>
        <v>0</v>
      </c>
      <c r="GD489" s="98">
        <f t="shared" si="2830"/>
        <v>0</v>
      </c>
      <c r="GE489" s="98">
        <f t="shared" si="2830"/>
        <v>0</v>
      </c>
      <c r="GF489" s="98">
        <f t="shared" si="2830"/>
        <v>0</v>
      </c>
      <c r="GG489" s="98">
        <f t="shared" si="2830"/>
        <v>0</v>
      </c>
      <c r="GH489" s="98">
        <f t="shared" si="2830"/>
        <v>0</v>
      </c>
      <c r="GI489" s="98">
        <f t="shared" si="2830"/>
        <v>0</v>
      </c>
      <c r="GJ489" s="98">
        <f t="shared" si="2830"/>
        <v>0</v>
      </c>
      <c r="GK489" s="198">
        <f t="shared" si="2633"/>
        <v>0</v>
      </c>
      <c r="GL489" s="198">
        <f t="shared" si="2634"/>
        <v>0</v>
      </c>
      <c r="GM489" s="98">
        <f t="shared" ref="GM489:GZ489" si="2831">SUM(GM18,GM56,GM94,GM132,GM170,GM208,GM246,GM284,GM322,GM360,GM398,GM436)</f>
        <v>0</v>
      </c>
      <c r="GN489" s="98">
        <f t="shared" si="2831"/>
        <v>0</v>
      </c>
      <c r="GO489" s="98">
        <f t="shared" si="2831"/>
        <v>0</v>
      </c>
      <c r="GP489" s="98">
        <f t="shared" si="2831"/>
        <v>0</v>
      </c>
      <c r="GQ489" s="98">
        <f t="shared" si="2831"/>
        <v>0</v>
      </c>
      <c r="GR489" s="98">
        <f t="shared" si="2831"/>
        <v>0</v>
      </c>
      <c r="GS489" s="98">
        <f t="shared" si="2831"/>
        <v>0</v>
      </c>
      <c r="GT489" s="98">
        <f t="shared" si="2831"/>
        <v>0</v>
      </c>
      <c r="GU489" s="98">
        <f t="shared" si="2831"/>
        <v>0</v>
      </c>
      <c r="GV489" s="98">
        <f t="shared" si="2831"/>
        <v>0</v>
      </c>
      <c r="GW489" s="98">
        <f t="shared" si="2831"/>
        <v>0</v>
      </c>
      <c r="GX489" s="98">
        <f t="shared" si="2831"/>
        <v>0</v>
      </c>
      <c r="GY489" s="98">
        <f t="shared" si="2831"/>
        <v>0</v>
      </c>
      <c r="GZ489" s="98">
        <f t="shared" si="2831"/>
        <v>0</v>
      </c>
      <c r="HA489" s="198">
        <f t="shared" si="2636"/>
        <v>0</v>
      </c>
      <c r="HB489" s="198">
        <f t="shared" si="2637"/>
        <v>0</v>
      </c>
      <c r="HC489" s="98">
        <f t="shared" ref="HC489:HP489" si="2832">SUM(HC18,HC56,HC94,HC132,HC170,HC208,HC246,HC284,HC322,HC360,HC398,HC436)</f>
        <v>0</v>
      </c>
      <c r="HD489" s="98">
        <f t="shared" si="2832"/>
        <v>0</v>
      </c>
      <c r="HE489" s="98">
        <f t="shared" si="2832"/>
        <v>0</v>
      </c>
      <c r="HF489" s="98">
        <f t="shared" si="2832"/>
        <v>0</v>
      </c>
      <c r="HG489" s="98">
        <f t="shared" si="2832"/>
        <v>0</v>
      </c>
      <c r="HH489" s="98">
        <f t="shared" si="2832"/>
        <v>0</v>
      </c>
      <c r="HI489" s="98">
        <f t="shared" si="2832"/>
        <v>0</v>
      </c>
      <c r="HJ489" s="98">
        <f t="shared" si="2832"/>
        <v>0</v>
      </c>
      <c r="HK489" s="98">
        <f t="shared" si="2832"/>
        <v>0</v>
      </c>
      <c r="HL489" s="98">
        <f t="shared" si="2832"/>
        <v>0</v>
      </c>
      <c r="HM489" s="98">
        <f t="shared" si="2832"/>
        <v>0</v>
      </c>
      <c r="HN489" s="98">
        <f t="shared" si="2832"/>
        <v>0</v>
      </c>
      <c r="HO489" s="98">
        <f t="shared" si="2832"/>
        <v>0</v>
      </c>
      <c r="HP489" s="98">
        <f t="shared" si="2832"/>
        <v>0</v>
      </c>
      <c r="HQ489" s="198">
        <f t="shared" si="2639"/>
        <v>0</v>
      </c>
      <c r="HR489" s="198">
        <f t="shared" si="2640"/>
        <v>0</v>
      </c>
      <c r="HS489" s="98">
        <f t="shared" ref="HS489:IF489" si="2833">SUM(HS18,HS56,HS94,HS132,HS170,HS208,HS246,HS284,HS322,HS360,HS398,HS436)</f>
        <v>0</v>
      </c>
      <c r="HT489" s="98">
        <f t="shared" si="2833"/>
        <v>0</v>
      </c>
      <c r="HU489" s="98">
        <f t="shared" si="2833"/>
        <v>0</v>
      </c>
      <c r="HV489" s="98">
        <f t="shared" si="2833"/>
        <v>0</v>
      </c>
      <c r="HW489" s="98">
        <f t="shared" si="2833"/>
        <v>0</v>
      </c>
      <c r="HX489" s="98">
        <f t="shared" si="2833"/>
        <v>0</v>
      </c>
      <c r="HY489" s="98">
        <f t="shared" si="2833"/>
        <v>0</v>
      </c>
      <c r="HZ489" s="98">
        <f t="shared" si="2833"/>
        <v>0</v>
      </c>
      <c r="IA489" s="98">
        <f t="shared" si="2833"/>
        <v>0</v>
      </c>
      <c r="IB489" s="98">
        <f t="shared" si="2833"/>
        <v>0</v>
      </c>
      <c r="IC489" s="98">
        <f t="shared" si="2833"/>
        <v>0</v>
      </c>
      <c r="ID489" s="98">
        <f t="shared" si="2833"/>
        <v>0</v>
      </c>
      <c r="IE489" s="98">
        <f t="shared" si="2833"/>
        <v>0</v>
      </c>
      <c r="IF489" s="98">
        <f t="shared" si="2833"/>
        <v>0</v>
      </c>
      <c r="IG489" s="198">
        <f t="shared" si="2642"/>
        <v>0</v>
      </c>
      <c r="IH489" s="198">
        <f t="shared" si="2643"/>
        <v>0</v>
      </c>
      <c r="II489" s="98">
        <f t="shared" ref="II489:IV489" si="2834">SUM(II18,II56,II94,II132,II170,II208,II246,II284,II322,II360,II398,II436)</f>
        <v>0</v>
      </c>
      <c r="IJ489" s="98">
        <f t="shared" si="2834"/>
        <v>0</v>
      </c>
      <c r="IK489" s="98">
        <f t="shared" si="2834"/>
        <v>0</v>
      </c>
      <c r="IL489" s="98">
        <f t="shared" si="2834"/>
        <v>0</v>
      </c>
      <c r="IM489" s="98">
        <f t="shared" si="2834"/>
        <v>0</v>
      </c>
      <c r="IN489" s="98">
        <f t="shared" si="2834"/>
        <v>0</v>
      </c>
      <c r="IO489" s="98">
        <f t="shared" si="2834"/>
        <v>3200</v>
      </c>
      <c r="IP489" s="98">
        <f t="shared" si="2834"/>
        <v>112000</v>
      </c>
      <c r="IQ489" s="98">
        <f t="shared" si="2834"/>
        <v>0</v>
      </c>
      <c r="IR489" s="98">
        <f t="shared" si="2834"/>
        <v>0</v>
      </c>
      <c r="IS489" s="98">
        <f t="shared" si="2834"/>
        <v>0</v>
      </c>
      <c r="IT489" s="98">
        <f t="shared" si="2834"/>
        <v>0</v>
      </c>
      <c r="IU489" s="98">
        <f t="shared" si="2834"/>
        <v>0</v>
      </c>
      <c r="IV489" s="98">
        <f t="shared" si="2834"/>
        <v>0</v>
      </c>
      <c r="IW489" s="198">
        <f t="shared" si="2645"/>
        <v>3200</v>
      </c>
      <c r="IX489" s="198">
        <f t="shared" si="2646"/>
        <v>112000</v>
      </c>
      <c r="IY489" s="98">
        <f t="shared" ref="IY489:JL489" si="2835">SUM(IY18,IY56,IY94,IY132,IY170,IY208,IY246,IY284,IY322,IY360,IY398,IY436)</f>
        <v>0</v>
      </c>
      <c r="IZ489" s="98">
        <f t="shared" si="2835"/>
        <v>0</v>
      </c>
      <c r="JA489" s="98">
        <f t="shared" si="2835"/>
        <v>0</v>
      </c>
      <c r="JB489" s="98">
        <f t="shared" si="2835"/>
        <v>0</v>
      </c>
      <c r="JC489" s="98">
        <f t="shared" si="2835"/>
        <v>0</v>
      </c>
      <c r="JD489" s="98">
        <f t="shared" si="2835"/>
        <v>0</v>
      </c>
      <c r="JE489" s="98">
        <f t="shared" si="2835"/>
        <v>0</v>
      </c>
      <c r="JF489" s="98">
        <f t="shared" si="2835"/>
        <v>0</v>
      </c>
      <c r="JG489" s="98">
        <f t="shared" si="2835"/>
        <v>0</v>
      </c>
      <c r="JH489" s="98">
        <f t="shared" si="2835"/>
        <v>0</v>
      </c>
      <c r="JI489" s="98">
        <f t="shared" si="2835"/>
        <v>0</v>
      </c>
      <c r="JJ489" s="98">
        <f t="shared" si="2835"/>
        <v>0</v>
      </c>
      <c r="JK489" s="98">
        <f t="shared" si="2835"/>
        <v>0</v>
      </c>
      <c r="JL489" s="98">
        <f t="shared" si="2835"/>
        <v>0</v>
      </c>
      <c r="JM489" s="198">
        <f t="shared" si="2648"/>
        <v>0</v>
      </c>
      <c r="JN489" s="198">
        <f t="shared" si="2649"/>
        <v>0</v>
      </c>
      <c r="JO489" s="98">
        <f t="shared" ref="JO489:KB489" si="2836">SUM(JO18,JO56,JO94,JO132,JO170,JO208,JO246,JO284,JO322,JO360,JO398,JO436)</f>
        <v>0</v>
      </c>
      <c r="JP489" s="98">
        <f t="shared" si="2836"/>
        <v>0</v>
      </c>
      <c r="JQ489" s="98">
        <f t="shared" si="2836"/>
        <v>0</v>
      </c>
      <c r="JR489" s="98">
        <f t="shared" si="2836"/>
        <v>0</v>
      </c>
      <c r="JS489" s="98">
        <f t="shared" si="2836"/>
        <v>0</v>
      </c>
      <c r="JT489" s="98">
        <f t="shared" si="2836"/>
        <v>0</v>
      </c>
      <c r="JU489" s="98">
        <f t="shared" si="2836"/>
        <v>0</v>
      </c>
      <c r="JV489" s="98">
        <f t="shared" si="2836"/>
        <v>0</v>
      </c>
      <c r="JW489" s="98">
        <f t="shared" si="2836"/>
        <v>0</v>
      </c>
      <c r="JX489" s="98">
        <f t="shared" si="2836"/>
        <v>0</v>
      </c>
      <c r="JY489" s="98">
        <f t="shared" si="2836"/>
        <v>0</v>
      </c>
      <c r="JZ489" s="98">
        <f t="shared" si="2836"/>
        <v>0</v>
      </c>
      <c r="KA489" s="98">
        <f t="shared" si="2836"/>
        <v>0</v>
      </c>
      <c r="KB489" s="98">
        <f t="shared" si="2836"/>
        <v>0</v>
      </c>
      <c r="KC489" s="198">
        <f t="shared" si="2651"/>
        <v>0</v>
      </c>
      <c r="KD489" s="198">
        <f t="shared" si="2652"/>
        <v>0</v>
      </c>
      <c r="KE489" s="98">
        <f t="shared" ref="KE489:KR489" si="2837">SUM(KE18,KE56,KE94,KE132,KE170,KE208,KE246,KE284,KE322,KE360,KE398,KE436)</f>
        <v>0</v>
      </c>
      <c r="KF489" s="98">
        <f t="shared" si="2837"/>
        <v>0</v>
      </c>
      <c r="KG489" s="98">
        <f t="shared" si="2837"/>
        <v>0</v>
      </c>
      <c r="KH489" s="98">
        <f t="shared" si="2837"/>
        <v>0</v>
      </c>
      <c r="KI489" s="98">
        <f t="shared" si="2837"/>
        <v>0</v>
      </c>
      <c r="KJ489" s="98">
        <f t="shared" si="2837"/>
        <v>0</v>
      </c>
      <c r="KK489" s="98">
        <f t="shared" si="2837"/>
        <v>0</v>
      </c>
      <c r="KL489" s="98">
        <f t="shared" si="2837"/>
        <v>0</v>
      </c>
      <c r="KM489" s="98">
        <f t="shared" si="2837"/>
        <v>0</v>
      </c>
      <c r="KN489" s="98">
        <f t="shared" si="2837"/>
        <v>0</v>
      </c>
      <c r="KO489" s="98">
        <f t="shared" si="2837"/>
        <v>0</v>
      </c>
      <c r="KP489" s="98">
        <f t="shared" si="2837"/>
        <v>0</v>
      </c>
      <c r="KQ489" s="98">
        <f t="shared" si="2837"/>
        <v>0</v>
      </c>
      <c r="KR489" s="98">
        <f t="shared" si="2837"/>
        <v>0</v>
      </c>
      <c r="KS489" s="198">
        <f t="shared" si="2654"/>
        <v>0</v>
      </c>
      <c r="KT489" s="198">
        <f t="shared" si="2655"/>
        <v>0</v>
      </c>
      <c r="KU489" s="98">
        <f t="shared" ref="KU489:LH489" si="2838">SUM(KU18,KU56,KU94,KU132,KU170,KU208,KU246,KU284,KU322,KU360,KU398,KU436)</f>
        <v>0</v>
      </c>
      <c r="KV489" s="98">
        <f t="shared" si="2838"/>
        <v>0</v>
      </c>
      <c r="KW489" s="98">
        <f t="shared" si="2838"/>
        <v>0</v>
      </c>
      <c r="KX489" s="98">
        <f t="shared" si="2838"/>
        <v>0</v>
      </c>
      <c r="KY489" s="98">
        <f t="shared" si="2838"/>
        <v>0</v>
      </c>
      <c r="KZ489" s="98">
        <f t="shared" si="2838"/>
        <v>0</v>
      </c>
      <c r="LA489" s="98">
        <f t="shared" si="2838"/>
        <v>0</v>
      </c>
      <c r="LB489" s="98">
        <f t="shared" si="2838"/>
        <v>0</v>
      </c>
      <c r="LC489" s="98">
        <f t="shared" si="2838"/>
        <v>0</v>
      </c>
      <c r="LD489" s="98">
        <f t="shared" si="2838"/>
        <v>0</v>
      </c>
      <c r="LE489" s="98">
        <f t="shared" si="2838"/>
        <v>0</v>
      </c>
      <c r="LF489" s="98">
        <f t="shared" si="2838"/>
        <v>0</v>
      </c>
      <c r="LG489" s="98">
        <f t="shared" si="2838"/>
        <v>0</v>
      </c>
      <c r="LH489" s="98">
        <f t="shared" si="2838"/>
        <v>0</v>
      </c>
      <c r="LI489" s="198">
        <f t="shared" si="2657"/>
        <v>0</v>
      </c>
      <c r="LJ489" s="198">
        <f t="shared" si="2658"/>
        <v>0</v>
      </c>
      <c r="LK489" s="98">
        <f t="shared" ref="LK489:LX489" si="2839">SUM(LK18,LK56,LK94,LK132,LK170,LK208,LK246,LK284,LK322,LK360,LK398,LK436)</f>
        <v>0</v>
      </c>
      <c r="LL489" s="98">
        <f t="shared" si="2839"/>
        <v>0</v>
      </c>
      <c r="LM489" s="98">
        <f t="shared" si="2839"/>
        <v>0</v>
      </c>
      <c r="LN489" s="98">
        <f t="shared" si="2839"/>
        <v>0</v>
      </c>
      <c r="LO489" s="98">
        <f t="shared" si="2839"/>
        <v>0</v>
      </c>
      <c r="LP489" s="98">
        <f t="shared" si="2839"/>
        <v>0</v>
      </c>
      <c r="LQ489" s="98">
        <f t="shared" si="2839"/>
        <v>922</v>
      </c>
      <c r="LR489" s="98">
        <f t="shared" si="2839"/>
        <v>55080</v>
      </c>
      <c r="LS489" s="98">
        <f t="shared" si="2839"/>
        <v>0</v>
      </c>
      <c r="LT489" s="98">
        <f t="shared" si="2839"/>
        <v>0</v>
      </c>
      <c r="LU489" s="98">
        <f t="shared" si="2839"/>
        <v>0</v>
      </c>
      <c r="LV489" s="98">
        <f t="shared" si="2839"/>
        <v>0</v>
      </c>
      <c r="LW489" s="98">
        <f t="shared" si="2839"/>
        <v>0</v>
      </c>
      <c r="LX489" s="98">
        <f t="shared" si="2839"/>
        <v>0</v>
      </c>
      <c r="LY489" s="198">
        <f t="shared" si="2660"/>
        <v>922</v>
      </c>
      <c r="LZ489" s="198">
        <f t="shared" si="2661"/>
        <v>55080</v>
      </c>
      <c r="MA489" s="98">
        <f t="shared" ref="MA489:MN489" si="2840">SUM(MA18,MA56,MA94,MA132,MA170,MA208,MA246,MA284,MA322,MA360,MA398,MA436)</f>
        <v>0</v>
      </c>
      <c r="MB489" s="98">
        <f t="shared" si="2840"/>
        <v>0</v>
      </c>
      <c r="MC489" s="98">
        <f t="shared" si="2840"/>
        <v>0</v>
      </c>
      <c r="MD489" s="98">
        <f t="shared" si="2840"/>
        <v>0</v>
      </c>
      <c r="ME489" s="98">
        <f t="shared" si="2840"/>
        <v>0</v>
      </c>
      <c r="MF489" s="98">
        <f t="shared" si="2840"/>
        <v>0</v>
      </c>
      <c r="MG489" s="98">
        <f t="shared" si="2840"/>
        <v>0</v>
      </c>
      <c r="MH489" s="98">
        <f t="shared" si="2840"/>
        <v>0</v>
      </c>
      <c r="MI489" s="98">
        <f t="shared" si="2840"/>
        <v>0</v>
      </c>
      <c r="MJ489" s="98">
        <f t="shared" si="2840"/>
        <v>0</v>
      </c>
      <c r="MK489" s="98">
        <f t="shared" si="2840"/>
        <v>0</v>
      </c>
      <c r="ML489" s="98">
        <f t="shared" si="2840"/>
        <v>0</v>
      </c>
      <c r="MM489" s="98">
        <f t="shared" si="2840"/>
        <v>0</v>
      </c>
      <c r="MN489" s="98">
        <f t="shared" si="2840"/>
        <v>0</v>
      </c>
      <c r="MO489" s="198">
        <f t="shared" si="2663"/>
        <v>0</v>
      </c>
      <c r="MP489" s="198">
        <f t="shared" si="2664"/>
        <v>0</v>
      </c>
      <c r="MQ489" s="98">
        <f t="shared" ref="MQ489:ND489" si="2841">SUM(MQ18,MQ56,MQ94,MQ132,MQ170,MQ208,MQ246,MQ284,MQ322,MQ360,MQ398,MQ436)</f>
        <v>0</v>
      </c>
      <c r="MR489" s="98">
        <f t="shared" si="2841"/>
        <v>0</v>
      </c>
      <c r="MS489" s="98">
        <f t="shared" si="2841"/>
        <v>0</v>
      </c>
      <c r="MT489" s="98">
        <f t="shared" si="2841"/>
        <v>0</v>
      </c>
      <c r="MU489" s="98">
        <f t="shared" si="2841"/>
        <v>0</v>
      </c>
      <c r="MV489" s="98">
        <f t="shared" si="2841"/>
        <v>0</v>
      </c>
      <c r="MW489" s="98">
        <f t="shared" si="2841"/>
        <v>0</v>
      </c>
      <c r="MX489" s="98">
        <f t="shared" si="2841"/>
        <v>0</v>
      </c>
      <c r="MY489" s="98">
        <f t="shared" si="2841"/>
        <v>0</v>
      </c>
      <c r="MZ489" s="98">
        <f t="shared" si="2841"/>
        <v>0</v>
      </c>
      <c r="NA489" s="98">
        <f t="shared" si="2841"/>
        <v>0</v>
      </c>
      <c r="NB489" s="98">
        <f t="shared" si="2841"/>
        <v>0</v>
      </c>
      <c r="NC489" s="98">
        <f t="shared" si="2841"/>
        <v>0</v>
      </c>
      <c r="ND489" s="98">
        <f t="shared" si="2841"/>
        <v>0</v>
      </c>
      <c r="NE489" s="198">
        <f t="shared" si="2666"/>
        <v>0</v>
      </c>
      <c r="NF489" s="198">
        <f t="shared" si="2667"/>
        <v>0</v>
      </c>
      <c r="NG489" s="98">
        <f t="shared" ref="NG489:NT489" si="2842">SUM(NG18,NG56,NG94,NG132,NG170,NG208,NG246,NG284,NG322,NG360,NG398,NG436)</f>
        <v>0</v>
      </c>
      <c r="NH489" s="98">
        <f t="shared" si="2842"/>
        <v>0</v>
      </c>
      <c r="NI489" s="98">
        <f t="shared" si="2842"/>
        <v>0</v>
      </c>
      <c r="NJ489" s="98">
        <f t="shared" si="2842"/>
        <v>0</v>
      </c>
      <c r="NK489" s="98">
        <f t="shared" si="2842"/>
        <v>0</v>
      </c>
      <c r="NL489" s="98">
        <f t="shared" si="2842"/>
        <v>0</v>
      </c>
      <c r="NM489" s="98">
        <f t="shared" si="2842"/>
        <v>0</v>
      </c>
      <c r="NN489" s="98">
        <f t="shared" si="2842"/>
        <v>0</v>
      </c>
      <c r="NO489" s="98">
        <f t="shared" si="2842"/>
        <v>0</v>
      </c>
      <c r="NP489" s="98">
        <f t="shared" si="2842"/>
        <v>0</v>
      </c>
      <c r="NQ489" s="98">
        <f t="shared" si="2842"/>
        <v>0</v>
      </c>
      <c r="NR489" s="98">
        <f t="shared" si="2842"/>
        <v>0</v>
      </c>
      <c r="NS489" s="98">
        <f t="shared" si="2842"/>
        <v>0</v>
      </c>
      <c r="NT489" s="98">
        <f t="shared" si="2842"/>
        <v>0</v>
      </c>
      <c r="NU489" s="198">
        <f t="shared" si="2669"/>
        <v>0</v>
      </c>
      <c r="NV489" s="198">
        <f t="shared" si="2670"/>
        <v>0</v>
      </c>
      <c r="NW489" s="98">
        <f t="shared" ref="NW489:OJ489" si="2843">SUM(NW18,NW56,NW94,NW132,NW170,NW208,NW246,NW284,NW322,NW360,NW398,NW436)</f>
        <v>0</v>
      </c>
      <c r="NX489" s="98">
        <f t="shared" si="2843"/>
        <v>0</v>
      </c>
      <c r="NY489" s="98">
        <f t="shared" si="2843"/>
        <v>0</v>
      </c>
      <c r="NZ489" s="98">
        <f t="shared" si="2843"/>
        <v>0</v>
      </c>
      <c r="OA489" s="98">
        <f t="shared" si="2843"/>
        <v>0</v>
      </c>
      <c r="OB489" s="98">
        <f t="shared" si="2843"/>
        <v>0</v>
      </c>
      <c r="OC489" s="98">
        <f t="shared" si="2843"/>
        <v>0</v>
      </c>
      <c r="OD489" s="98">
        <f t="shared" si="2843"/>
        <v>0</v>
      </c>
      <c r="OE489" s="98">
        <f t="shared" si="2843"/>
        <v>0</v>
      </c>
      <c r="OF489" s="98">
        <f t="shared" si="2843"/>
        <v>0</v>
      </c>
      <c r="OG489" s="98">
        <f t="shared" si="2843"/>
        <v>0</v>
      </c>
      <c r="OH489" s="98">
        <f t="shared" si="2843"/>
        <v>0</v>
      </c>
      <c r="OI489" s="98">
        <f t="shared" si="2843"/>
        <v>0</v>
      </c>
      <c r="OJ489" s="98">
        <f t="shared" si="2843"/>
        <v>0</v>
      </c>
      <c r="OK489" s="198">
        <f t="shared" si="2672"/>
        <v>0</v>
      </c>
      <c r="OL489" s="198">
        <f t="shared" si="2673"/>
        <v>0</v>
      </c>
      <c r="OM489" s="98">
        <f t="shared" ref="OM489:OZ489" si="2844">SUM(OM18,OM56,OM94,OM132,OM170,OM208,OM246,OM284,OM322,OM360,OM398,OM436)</f>
        <v>0</v>
      </c>
      <c r="ON489" s="98">
        <f t="shared" si="2844"/>
        <v>0</v>
      </c>
      <c r="OO489" s="98">
        <f t="shared" si="2844"/>
        <v>0</v>
      </c>
      <c r="OP489" s="98">
        <f t="shared" si="2844"/>
        <v>0</v>
      </c>
      <c r="OQ489" s="98">
        <f t="shared" si="2844"/>
        <v>0</v>
      </c>
      <c r="OR489" s="98">
        <f t="shared" si="2844"/>
        <v>0</v>
      </c>
      <c r="OS489" s="98">
        <f t="shared" si="2844"/>
        <v>0</v>
      </c>
      <c r="OT489" s="98">
        <f t="shared" si="2844"/>
        <v>0</v>
      </c>
      <c r="OU489" s="98">
        <f t="shared" si="2844"/>
        <v>0</v>
      </c>
      <c r="OV489" s="98">
        <f t="shared" si="2844"/>
        <v>0</v>
      </c>
      <c r="OW489" s="98">
        <f t="shared" si="2844"/>
        <v>0</v>
      </c>
      <c r="OX489" s="98">
        <f t="shared" si="2844"/>
        <v>0</v>
      </c>
      <c r="OY489" s="98">
        <f t="shared" si="2844"/>
        <v>0</v>
      </c>
      <c r="OZ489" s="98">
        <f t="shared" si="2844"/>
        <v>0</v>
      </c>
      <c r="PA489" s="198">
        <f t="shared" si="2675"/>
        <v>0</v>
      </c>
      <c r="PB489" s="198">
        <f t="shared" si="2676"/>
        <v>0</v>
      </c>
      <c r="PC489" s="98">
        <f t="shared" ref="PC489:PP489" si="2845">SUM(PC18,PC56,PC94,PC132,PC170,PC208,PC246,PC284,PC322,PC360,PC398,PC436)</f>
        <v>0</v>
      </c>
      <c r="PD489" s="98">
        <f t="shared" si="2845"/>
        <v>0</v>
      </c>
      <c r="PE489" s="98">
        <f t="shared" si="2845"/>
        <v>0</v>
      </c>
      <c r="PF489" s="98">
        <f t="shared" si="2845"/>
        <v>0</v>
      </c>
      <c r="PG489" s="98">
        <f t="shared" si="2845"/>
        <v>0</v>
      </c>
      <c r="PH489" s="98">
        <f t="shared" si="2845"/>
        <v>0</v>
      </c>
      <c r="PI489" s="98">
        <f t="shared" si="2845"/>
        <v>8796</v>
      </c>
      <c r="PJ489" s="98">
        <f t="shared" si="2845"/>
        <v>253244</v>
      </c>
      <c r="PK489" s="98">
        <f t="shared" si="2845"/>
        <v>0</v>
      </c>
      <c r="PL489" s="98">
        <f t="shared" si="2845"/>
        <v>0</v>
      </c>
      <c r="PM489" s="98">
        <f t="shared" si="2845"/>
        <v>0</v>
      </c>
      <c r="PN489" s="98">
        <f t="shared" si="2845"/>
        <v>0</v>
      </c>
      <c r="PO489" s="98">
        <f t="shared" si="2845"/>
        <v>0</v>
      </c>
      <c r="PP489" s="98">
        <f t="shared" si="2845"/>
        <v>0</v>
      </c>
      <c r="PQ489" s="198">
        <f t="shared" si="2678"/>
        <v>8796</v>
      </c>
      <c r="PR489" s="198">
        <f t="shared" si="2679"/>
        <v>253244</v>
      </c>
      <c r="PS489" s="98">
        <f t="shared" ref="PS489:QF489" si="2846">SUM(PS18,PS56,PS94,PS132,PS170,PS208,PS246,PS284,PS322,PS360,PS398,PS436)</f>
        <v>0</v>
      </c>
      <c r="PT489" s="98">
        <f t="shared" si="2846"/>
        <v>0</v>
      </c>
      <c r="PU489" s="98">
        <f t="shared" si="2846"/>
        <v>0</v>
      </c>
      <c r="PV489" s="98">
        <f t="shared" si="2846"/>
        <v>0</v>
      </c>
      <c r="PW489" s="98">
        <f t="shared" si="2846"/>
        <v>0</v>
      </c>
      <c r="PX489" s="98">
        <f t="shared" si="2846"/>
        <v>0</v>
      </c>
      <c r="PY489" s="98">
        <f t="shared" si="2846"/>
        <v>113790</v>
      </c>
      <c r="PZ489" s="98">
        <f t="shared" si="2846"/>
        <v>5659450</v>
      </c>
      <c r="QA489" s="98">
        <f t="shared" si="2846"/>
        <v>0</v>
      </c>
      <c r="QB489" s="98">
        <f t="shared" si="2846"/>
        <v>0</v>
      </c>
      <c r="QC489" s="98">
        <f t="shared" si="2846"/>
        <v>0</v>
      </c>
      <c r="QD489" s="98">
        <f t="shared" si="2846"/>
        <v>0</v>
      </c>
      <c r="QE489" s="98">
        <f t="shared" si="2846"/>
        <v>0</v>
      </c>
      <c r="QF489" s="98">
        <f t="shared" si="2846"/>
        <v>0</v>
      </c>
      <c r="QG489" s="198">
        <f t="shared" si="2681"/>
        <v>113790</v>
      </c>
      <c r="QH489" s="198">
        <f t="shared" si="2682"/>
        <v>5659450</v>
      </c>
      <c r="QI489" s="98">
        <f t="shared" ref="QI489:QV489" si="2847">SUM(QI18,QI56,QI94,QI132,QI170,QI208,QI246,QI284,QI322,QI360,QI398,QI436)</f>
        <v>0</v>
      </c>
      <c r="QJ489" s="98">
        <f t="shared" si="2847"/>
        <v>0</v>
      </c>
      <c r="QK489" s="98">
        <f t="shared" si="2847"/>
        <v>0</v>
      </c>
      <c r="QL489" s="98">
        <f t="shared" si="2847"/>
        <v>0</v>
      </c>
      <c r="QM489" s="98">
        <f t="shared" si="2847"/>
        <v>0</v>
      </c>
      <c r="QN489" s="98">
        <f t="shared" si="2847"/>
        <v>0</v>
      </c>
      <c r="QO489" s="98">
        <f t="shared" si="2847"/>
        <v>62000</v>
      </c>
      <c r="QP489" s="98">
        <f t="shared" si="2847"/>
        <v>2170000</v>
      </c>
      <c r="QQ489" s="98">
        <f t="shared" si="2847"/>
        <v>0</v>
      </c>
      <c r="QR489" s="98">
        <f t="shared" si="2847"/>
        <v>0</v>
      </c>
      <c r="QS489" s="98">
        <f t="shared" si="2847"/>
        <v>0</v>
      </c>
      <c r="QT489" s="98">
        <f t="shared" si="2847"/>
        <v>0</v>
      </c>
      <c r="QU489" s="98">
        <f t="shared" si="2847"/>
        <v>0</v>
      </c>
      <c r="QV489" s="98">
        <f t="shared" si="2847"/>
        <v>0</v>
      </c>
      <c r="QW489" s="198">
        <f t="shared" si="2684"/>
        <v>62000</v>
      </c>
      <c r="QX489" s="198">
        <f t="shared" si="2685"/>
        <v>2170000</v>
      </c>
      <c r="QY489" s="98">
        <f t="shared" ref="QY489:RL489" si="2848">SUM(QY18,QY56,QY94,QY132,QY170,QY208,QY246,QY284,QY322,QY360,QY398,QY436)</f>
        <v>0</v>
      </c>
      <c r="QZ489" s="98">
        <f t="shared" si="2848"/>
        <v>0</v>
      </c>
      <c r="RA489" s="98">
        <f t="shared" si="2848"/>
        <v>0</v>
      </c>
      <c r="RB489" s="98">
        <f t="shared" si="2848"/>
        <v>0</v>
      </c>
      <c r="RC489" s="98">
        <f t="shared" si="2848"/>
        <v>0</v>
      </c>
      <c r="RD489" s="98">
        <f t="shared" si="2848"/>
        <v>0</v>
      </c>
      <c r="RE489" s="98">
        <f t="shared" si="2848"/>
        <v>0</v>
      </c>
      <c r="RF489" s="98">
        <f t="shared" si="2848"/>
        <v>0</v>
      </c>
      <c r="RG489" s="98">
        <f t="shared" si="2848"/>
        <v>0</v>
      </c>
      <c r="RH489" s="98">
        <f t="shared" si="2848"/>
        <v>0</v>
      </c>
      <c r="RI489" s="98">
        <f t="shared" si="2848"/>
        <v>0</v>
      </c>
      <c r="RJ489" s="98">
        <f t="shared" si="2848"/>
        <v>0</v>
      </c>
      <c r="RK489" s="98">
        <f t="shared" si="2848"/>
        <v>0</v>
      </c>
      <c r="RL489" s="98">
        <f t="shared" si="2848"/>
        <v>0</v>
      </c>
      <c r="RM489" s="198">
        <f t="shared" si="2687"/>
        <v>0</v>
      </c>
      <c r="RN489" s="198">
        <f t="shared" si="2688"/>
        <v>0</v>
      </c>
      <c r="RO489" s="98">
        <f t="shared" ref="RO489:SB489" si="2849">SUM(RO18,RO56,RO94,RO132,RO170,RO208,RO246,RO284,RO322,RO360,RO398,RO436)</f>
        <v>0</v>
      </c>
      <c r="RP489" s="98">
        <f t="shared" si="2849"/>
        <v>0</v>
      </c>
      <c r="RQ489" s="98">
        <f t="shared" si="2849"/>
        <v>0</v>
      </c>
      <c r="RR489" s="98">
        <f t="shared" si="2849"/>
        <v>0</v>
      </c>
      <c r="RS489" s="98">
        <f t="shared" si="2849"/>
        <v>0</v>
      </c>
      <c r="RT489" s="98">
        <f t="shared" si="2849"/>
        <v>0</v>
      </c>
      <c r="RU489" s="98">
        <f t="shared" si="2849"/>
        <v>0</v>
      </c>
      <c r="RV489" s="98">
        <f t="shared" si="2849"/>
        <v>0</v>
      </c>
      <c r="RW489" s="98">
        <f t="shared" si="2849"/>
        <v>0</v>
      </c>
      <c r="RX489" s="98">
        <f t="shared" si="2849"/>
        <v>0</v>
      </c>
      <c r="RY489" s="98">
        <f t="shared" si="2849"/>
        <v>0</v>
      </c>
      <c r="RZ489" s="98">
        <f t="shared" si="2849"/>
        <v>0</v>
      </c>
      <c r="SA489" s="98">
        <f t="shared" si="2849"/>
        <v>0</v>
      </c>
      <c r="SB489" s="98">
        <f t="shared" si="2849"/>
        <v>0</v>
      </c>
      <c r="SC489" s="198">
        <f t="shared" si="2690"/>
        <v>0</v>
      </c>
      <c r="SD489" s="198">
        <f t="shared" si="2691"/>
        <v>0</v>
      </c>
      <c r="SE489" s="98">
        <f t="shared" ref="SE489:SR489" si="2850">SUM(SE18,SE56,SE94,SE132,SE170,SE208,SE246,SE284,SE322,SE360,SE398,SE436)</f>
        <v>0</v>
      </c>
      <c r="SF489" s="98">
        <f t="shared" si="2850"/>
        <v>0</v>
      </c>
      <c r="SG489" s="98">
        <f t="shared" si="2850"/>
        <v>0</v>
      </c>
      <c r="SH489" s="98">
        <f t="shared" si="2850"/>
        <v>0</v>
      </c>
      <c r="SI489" s="98">
        <f t="shared" si="2850"/>
        <v>0</v>
      </c>
      <c r="SJ489" s="98">
        <f t="shared" si="2850"/>
        <v>0</v>
      </c>
      <c r="SK489" s="98">
        <f t="shared" si="2850"/>
        <v>0</v>
      </c>
      <c r="SL489" s="98">
        <f t="shared" si="2850"/>
        <v>0</v>
      </c>
      <c r="SM489" s="98">
        <f t="shared" si="2850"/>
        <v>0</v>
      </c>
      <c r="SN489" s="98">
        <f t="shared" si="2850"/>
        <v>0</v>
      </c>
      <c r="SO489" s="98">
        <f t="shared" si="2850"/>
        <v>0</v>
      </c>
      <c r="SP489" s="98">
        <f t="shared" si="2850"/>
        <v>0</v>
      </c>
      <c r="SQ489" s="98">
        <f t="shared" si="2850"/>
        <v>0</v>
      </c>
      <c r="SR489" s="98">
        <f t="shared" si="2850"/>
        <v>0</v>
      </c>
      <c r="SS489" s="198">
        <f t="shared" si="2693"/>
        <v>0</v>
      </c>
      <c r="ST489" s="198">
        <f t="shared" si="2694"/>
        <v>0</v>
      </c>
      <c r="SU489" s="98">
        <f t="shared" ref="SU489:TH489" si="2851">SUM(SU18,SU56,SU94,SU132,SU170,SU208,SU246,SU284,SU322,SU360,SU398,SU436)</f>
        <v>0</v>
      </c>
      <c r="SV489" s="98">
        <f t="shared" si="2851"/>
        <v>0</v>
      </c>
      <c r="SW489" s="98">
        <f t="shared" si="2851"/>
        <v>0</v>
      </c>
      <c r="SX489" s="98">
        <f t="shared" si="2851"/>
        <v>0</v>
      </c>
      <c r="SY489" s="98">
        <f t="shared" si="2851"/>
        <v>0</v>
      </c>
      <c r="SZ489" s="98">
        <f t="shared" si="2851"/>
        <v>0</v>
      </c>
      <c r="TA489" s="98">
        <f t="shared" si="2851"/>
        <v>0</v>
      </c>
      <c r="TB489" s="98">
        <f t="shared" si="2851"/>
        <v>0</v>
      </c>
      <c r="TC489" s="98">
        <f t="shared" si="2851"/>
        <v>0</v>
      </c>
      <c r="TD489" s="98">
        <f t="shared" si="2851"/>
        <v>0</v>
      </c>
      <c r="TE489" s="98">
        <f t="shared" si="2851"/>
        <v>0</v>
      </c>
      <c r="TF489" s="98">
        <f t="shared" si="2851"/>
        <v>0</v>
      </c>
      <c r="TG489" s="98">
        <f t="shared" si="2851"/>
        <v>0</v>
      </c>
      <c r="TH489" s="98">
        <f t="shared" si="2851"/>
        <v>0</v>
      </c>
      <c r="TI489" s="198">
        <f t="shared" si="2696"/>
        <v>0</v>
      </c>
      <c r="TJ489" s="198">
        <f t="shared" si="2697"/>
        <v>0</v>
      </c>
      <c r="TK489" s="98">
        <f t="shared" ref="TK489:TX489" si="2852">SUM(TK18,TK56,TK94,TK132,TK170,TK208,TK246,TK284,TK322,TK360,TK398,TK436)</f>
        <v>0</v>
      </c>
      <c r="TL489" s="98">
        <f t="shared" si="2852"/>
        <v>0</v>
      </c>
      <c r="TM489" s="98">
        <f t="shared" si="2852"/>
        <v>0</v>
      </c>
      <c r="TN489" s="98">
        <f t="shared" si="2852"/>
        <v>0</v>
      </c>
      <c r="TO489" s="98">
        <f t="shared" si="2852"/>
        <v>0</v>
      </c>
      <c r="TP489" s="98">
        <f t="shared" si="2852"/>
        <v>0</v>
      </c>
      <c r="TQ489" s="98">
        <f t="shared" si="2852"/>
        <v>0</v>
      </c>
      <c r="TR489" s="98">
        <f t="shared" si="2852"/>
        <v>0</v>
      </c>
      <c r="TS489" s="98">
        <f t="shared" si="2852"/>
        <v>0</v>
      </c>
      <c r="TT489" s="98">
        <f t="shared" si="2852"/>
        <v>0</v>
      </c>
      <c r="TU489" s="98">
        <f t="shared" si="2852"/>
        <v>0</v>
      </c>
      <c r="TV489" s="98">
        <f t="shared" si="2852"/>
        <v>0</v>
      </c>
      <c r="TW489" s="98">
        <f t="shared" si="2852"/>
        <v>0</v>
      </c>
      <c r="TX489" s="98">
        <f t="shared" si="2852"/>
        <v>0</v>
      </c>
      <c r="TY489" s="198">
        <f t="shared" si="2699"/>
        <v>0</v>
      </c>
      <c r="TZ489" s="198">
        <f t="shared" si="2700"/>
        <v>0</v>
      </c>
      <c r="UA489" s="98">
        <f t="shared" ref="UA489:UN489" si="2853">SUM(UA18,UA56,UA94,UA132,UA170,UA208,UA246,UA284,UA322,UA360,UA398,UA436)</f>
        <v>0</v>
      </c>
      <c r="UB489" s="98">
        <f t="shared" si="2853"/>
        <v>0</v>
      </c>
      <c r="UC489" s="98">
        <f t="shared" si="2853"/>
        <v>0</v>
      </c>
      <c r="UD489" s="98">
        <f t="shared" si="2853"/>
        <v>0</v>
      </c>
      <c r="UE489" s="98">
        <f t="shared" si="2853"/>
        <v>0</v>
      </c>
      <c r="UF489" s="98">
        <f t="shared" si="2853"/>
        <v>0</v>
      </c>
      <c r="UG489" s="98">
        <f t="shared" si="2853"/>
        <v>0</v>
      </c>
      <c r="UH489" s="98">
        <f t="shared" si="2853"/>
        <v>0</v>
      </c>
      <c r="UI489" s="98">
        <f t="shared" si="2853"/>
        <v>0</v>
      </c>
      <c r="UJ489" s="98">
        <f t="shared" si="2853"/>
        <v>0</v>
      </c>
      <c r="UK489" s="98">
        <f t="shared" si="2853"/>
        <v>0</v>
      </c>
      <c r="UL489" s="98">
        <f t="shared" si="2853"/>
        <v>0</v>
      </c>
      <c r="UM489" s="98">
        <f t="shared" si="2853"/>
        <v>0</v>
      </c>
      <c r="UN489" s="98">
        <f t="shared" si="2853"/>
        <v>0</v>
      </c>
      <c r="UO489" s="198">
        <f t="shared" si="2702"/>
        <v>0</v>
      </c>
      <c r="UP489" s="198">
        <f t="shared" si="2703"/>
        <v>0</v>
      </c>
      <c r="UQ489" s="98">
        <f t="shared" ref="UQ489:VD489" si="2854">SUM(UQ18,UQ56,UQ94,UQ132,UQ170,UQ208,UQ246,UQ284,UQ322,UQ360,UQ398,UQ436)</f>
        <v>0</v>
      </c>
      <c r="UR489" s="98">
        <f t="shared" si="2854"/>
        <v>0</v>
      </c>
      <c r="US489" s="98">
        <f t="shared" si="2854"/>
        <v>0</v>
      </c>
      <c r="UT489" s="98">
        <f t="shared" si="2854"/>
        <v>0</v>
      </c>
      <c r="UU489" s="98">
        <f t="shared" si="2854"/>
        <v>0</v>
      </c>
      <c r="UV489" s="98">
        <f t="shared" si="2854"/>
        <v>0</v>
      </c>
      <c r="UW489" s="98">
        <f t="shared" si="2854"/>
        <v>0</v>
      </c>
      <c r="UX489" s="98">
        <f t="shared" si="2854"/>
        <v>0</v>
      </c>
      <c r="UY489" s="98">
        <f t="shared" si="2854"/>
        <v>0</v>
      </c>
      <c r="UZ489" s="98">
        <f t="shared" si="2854"/>
        <v>0</v>
      </c>
      <c r="VA489" s="98">
        <f t="shared" si="2854"/>
        <v>0</v>
      </c>
      <c r="VB489" s="98">
        <f t="shared" si="2854"/>
        <v>0</v>
      </c>
      <c r="VC489" s="98">
        <f t="shared" si="2854"/>
        <v>0</v>
      </c>
      <c r="VD489" s="98">
        <f t="shared" si="2854"/>
        <v>0</v>
      </c>
      <c r="VE489" s="198">
        <f t="shared" si="2705"/>
        <v>0</v>
      </c>
      <c r="VF489" s="198">
        <f t="shared" si="2706"/>
        <v>0</v>
      </c>
      <c r="VG489" s="98">
        <f t="shared" ref="VG489:VT489" si="2855">SUM(VG18,VG56,VG94,VG132,VG170,VG208,VG246,VG284,VG322,VG360,VG398,VG436)</f>
        <v>0</v>
      </c>
      <c r="VH489" s="98">
        <f t="shared" si="2855"/>
        <v>0</v>
      </c>
      <c r="VI489" s="98">
        <f t="shared" si="2855"/>
        <v>0</v>
      </c>
      <c r="VJ489" s="98">
        <f t="shared" si="2855"/>
        <v>0</v>
      </c>
      <c r="VK489" s="98">
        <f t="shared" si="2855"/>
        <v>0</v>
      </c>
      <c r="VL489" s="98">
        <f t="shared" si="2855"/>
        <v>0</v>
      </c>
      <c r="VM489" s="98">
        <f t="shared" si="2855"/>
        <v>0</v>
      </c>
      <c r="VN489" s="98">
        <f t="shared" si="2855"/>
        <v>0</v>
      </c>
      <c r="VO489" s="98">
        <f t="shared" si="2855"/>
        <v>0</v>
      </c>
      <c r="VP489" s="98">
        <f t="shared" si="2855"/>
        <v>0</v>
      </c>
      <c r="VQ489" s="98">
        <f t="shared" si="2855"/>
        <v>0</v>
      </c>
      <c r="VR489" s="98">
        <f t="shared" si="2855"/>
        <v>0</v>
      </c>
      <c r="VS489" s="98">
        <f t="shared" si="2855"/>
        <v>0</v>
      </c>
      <c r="VT489" s="98">
        <f t="shared" si="2855"/>
        <v>0</v>
      </c>
      <c r="VU489" s="198">
        <f t="shared" si="2708"/>
        <v>0</v>
      </c>
      <c r="VV489" s="198">
        <f t="shared" si="2709"/>
        <v>0</v>
      </c>
      <c r="VW489" s="98">
        <f t="shared" ref="VW489:WJ489" si="2856">SUM(VW18,VW56,VW94,VW132,VW170,VW208,VW246,VW284,VW322,VW360,VW398,VW436)</f>
        <v>0</v>
      </c>
      <c r="VX489" s="98">
        <f t="shared" si="2856"/>
        <v>0</v>
      </c>
      <c r="VY489" s="98">
        <f t="shared" si="2856"/>
        <v>0</v>
      </c>
      <c r="VZ489" s="98">
        <f t="shared" si="2856"/>
        <v>0</v>
      </c>
      <c r="WA489" s="98">
        <f t="shared" si="2856"/>
        <v>0</v>
      </c>
      <c r="WB489" s="98">
        <f t="shared" si="2856"/>
        <v>0</v>
      </c>
      <c r="WC489" s="98">
        <f t="shared" si="2856"/>
        <v>0</v>
      </c>
      <c r="WD489" s="98">
        <f t="shared" si="2856"/>
        <v>0</v>
      </c>
      <c r="WE489" s="98">
        <f t="shared" si="2856"/>
        <v>0</v>
      </c>
      <c r="WF489" s="98">
        <f t="shared" si="2856"/>
        <v>0</v>
      </c>
      <c r="WG489" s="98">
        <f t="shared" si="2856"/>
        <v>0</v>
      </c>
      <c r="WH489" s="98">
        <f t="shared" si="2856"/>
        <v>0</v>
      </c>
      <c r="WI489" s="98">
        <f t="shared" si="2856"/>
        <v>0</v>
      </c>
      <c r="WJ489" s="98">
        <f t="shared" si="2856"/>
        <v>0</v>
      </c>
      <c r="WK489" s="198">
        <f t="shared" si="2711"/>
        <v>0</v>
      </c>
      <c r="WL489" s="198">
        <f t="shared" si="2712"/>
        <v>0</v>
      </c>
      <c r="WN489" s="98">
        <f t="shared" si="2713"/>
        <v>0</v>
      </c>
      <c r="WO489" s="98">
        <f t="shared" si="2714"/>
        <v>0</v>
      </c>
      <c r="WP489" s="98">
        <f t="shared" si="2715"/>
        <v>0</v>
      </c>
      <c r="WQ489" s="98">
        <f t="shared" si="2716"/>
        <v>0</v>
      </c>
      <c r="WR489" s="98">
        <f t="shared" si="2717"/>
        <v>0</v>
      </c>
      <c r="WS489" s="98">
        <f t="shared" si="2718"/>
        <v>0</v>
      </c>
      <c r="WT489" s="98">
        <f t="shared" si="2719"/>
        <v>216504</v>
      </c>
      <c r="WU489" s="98">
        <f t="shared" si="2720"/>
        <v>9522809</v>
      </c>
      <c r="WV489" s="98">
        <f t="shared" si="2721"/>
        <v>0</v>
      </c>
      <c r="WW489" s="98">
        <f t="shared" si="2722"/>
        <v>0</v>
      </c>
      <c r="WX489" s="98">
        <f t="shared" si="2723"/>
        <v>0</v>
      </c>
      <c r="WY489" s="98">
        <f t="shared" si="2724"/>
        <v>0</v>
      </c>
      <c r="WZ489" s="98">
        <f t="shared" si="2725"/>
        <v>0</v>
      </c>
      <c r="XA489" s="98">
        <f t="shared" si="2726"/>
        <v>0</v>
      </c>
      <c r="XB489" s="107">
        <f t="shared" si="2727"/>
        <v>216504</v>
      </c>
      <c r="XC489" s="107">
        <f t="shared" si="2728"/>
        <v>9522809</v>
      </c>
      <c r="XK489" s="98">
        <f t="shared" si="2729"/>
        <v>9739313</v>
      </c>
      <c r="XL489" s="98">
        <f t="shared" si="2730"/>
        <v>0</v>
      </c>
      <c r="XM489" s="98">
        <f t="shared" si="2731"/>
        <v>0</v>
      </c>
      <c r="XN489" s="98">
        <f t="shared" si="2732"/>
        <v>0</v>
      </c>
      <c r="XO489" s="98">
        <f t="shared" si="2733"/>
        <v>9739313</v>
      </c>
      <c r="XP489" s="98">
        <f t="shared" si="2734"/>
        <v>0</v>
      </c>
      <c r="XQ489" s="98">
        <f t="shared" si="2735"/>
        <v>0</v>
      </c>
      <c r="XR489" s="107">
        <f t="shared" ca="1" si="2597"/>
        <v>19690740</v>
      </c>
      <c r="XT489" s="98">
        <f t="shared" si="2736"/>
        <v>9522809</v>
      </c>
      <c r="XU489" s="98">
        <f t="shared" si="2737"/>
        <v>0</v>
      </c>
      <c r="XV489" s="98">
        <f t="shared" si="2738"/>
        <v>0</v>
      </c>
      <c r="XW489" s="98">
        <f t="shared" si="2739"/>
        <v>212114</v>
      </c>
      <c r="XX489" s="98">
        <f t="shared" si="2740"/>
        <v>19262122</v>
      </c>
      <c r="XY489" s="98">
        <f t="shared" si="2741"/>
        <v>0</v>
      </c>
      <c r="XZ489" s="98">
        <f t="shared" si="2742"/>
        <v>9739313</v>
      </c>
      <c r="YA489" s="107">
        <f t="shared" ca="1" si="2598"/>
        <v>38524244</v>
      </c>
    </row>
    <row r="490" spans="1:1017">
      <c r="B490" s="90" t="str">
        <f t="shared" si="2558"/>
        <v xml:space="preserve">Gracilaria verrucosa </v>
      </c>
      <c r="C490" s="98">
        <f t="shared" ref="C490:P490" si="2857">SUM(C19,C57,C95,C133,C171,C209,C247,C285,C323,C361,C399,C437)</f>
        <v>0</v>
      </c>
      <c r="D490" s="98">
        <f t="shared" si="2857"/>
        <v>0</v>
      </c>
      <c r="E490" s="98">
        <f t="shared" si="2857"/>
        <v>0</v>
      </c>
      <c r="F490" s="98">
        <f t="shared" si="2857"/>
        <v>0</v>
      </c>
      <c r="G490" s="98">
        <f t="shared" si="2857"/>
        <v>0</v>
      </c>
      <c r="H490" s="98">
        <f t="shared" si="2857"/>
        <v>0</v>
      </c>
      <c r="I490" s="98">
        <f t="shared" si="2857"/>
        <v>0</v>
      </c>
      <c r="J490" s="98">
        <f t="shared" si="2857"/>
        <v>0</v>
      </c>
      <c r="K490" s="98">
        <f t="shared" si="2857"/>
        <v>0</v>
      </c>
      <c r="L490" s="98">
        <f t="shared" si="2857"/>
        <v>0</v>
      </c>
      <c r="M490" s="98">
        <f t="shared" si="2857"/>
        <v>0</v>
      </c>
      <c r="N490" s="98">
        <f t="shared" si="2857"/>
        <v>0</v>
      </c>
      <c r="O490" s="98">
        <f t="shared" si="2857"/>
        <v>0</v>
      </c>
      <c r="P490" s="98">
        <f t="shared" si="2857"/>
        <v>0</v>
      </c>
      <c r="Q490" s="198">
        <f t="shared" si="2600"/>
        <v>0</v>
      </c>
      <c r="R490" s="198">
        <f t="shared" si="2601"/>
        <v>0</v>
      </c>
      <c r="S490" s="98">
        <f t="shared" ref="S490:AF490" si="2858">SUM(S19,S57,S95,S133,S171,S209,S247,S285,S323,S361,S399,S437)</f>
        <v>0</v>
      </c>
      <c r="T490" s="98">
        <f t="shared" si="2858"/>
        <v>0</v>
      </c>
      <c r="U490" s="98">
        <f t="shared" si="2858"/>
        <v>0</v>
      </c>
      <c r="V490" s="98">
        <f t="shared" si="2858"/>
        <v>0</v>
      </c>
      <c r="W490" s="98">
        <f t="shared" si="2858"/>
        <v>0</v>
      </c>
      <c r="X490" s="98">
        <f t="shared" si="2858"/>
        <v>0</v>
      </c>
      <c r="Y490" s="98">
        <f t="shared" si="2858"/>
        <v>0</v>
      </c>
      <c r="Z490" s="98">
        <f t="shared" si="2858"/>
        <v>0</v>
      </c>
      <c r="AA490" s="98">
        <f t="shared" si="2858"/>
        <v>0</v>
      </c>
      <c r="AB490" s="98">
        <f t="shared" si="2858"/>
        <v>0</v>
      </c>
      <c r="AC490" s="98">
        <f t="shared" si="2858"/>
        <v>0</v>
      </c>
      <c r="AD490" s="98">
        <f t="shared" si="2858"/>
        <v>0</v>
      </c>
      <c r="AE490" s="98">
        <f t="shared" si="2858"/>
        <v>0</v>
      </c>
      <c r="AF490" s="98">
        <f t="shared" si="2858"/>
        <v>0</v>
      </c>
      <c r="AG490" s="198">
        <f t="shared" si="2603"/>
        <v>0</v>
      </c>
      <c r="AH490" s="198">
        <f t="shared" si="2604"/>
        <v>0</v>
      </c>
      <c r="AI490" s="98">
        <f t="shared" ref="AI490:AV490" si="2859">SUM(AI19,AI57,AI95,AI133,AI171,AI209,AI247,AI285,AI323,AI361,AI399,AI437)</f>
        <v>0</v>
      </c>
      <c r="AJ490" s="98">
        <f t="shared" si="2859"/>
        <v>0</v>
      </c>
      <c r="AK490" s="98">
        <f t="shared" si="2859"/>
        <v>0</v>
      </c>
      <c r="AL490" s="98">
        <f t="shared" si="2859"/>
        <v>0</v>
      </c>
      <c r="AM490" s="98">
        <f t="shared" si="2859"/>
        <v>0</v>
      </c>
      <c r="AN490" s="98">
        <f t="shared" si="2859"/>
        <v>0</v>
      </c>
      <c r="AO490" s="98">
        <f t="shared" si="2859"/>
        <v>0</v>
      </c>
      <c r="AP490" s="98">
        <f t="shared" si="2859"/>
        <v>0</v>
      </c>
      <c r="AQ490" s="98">
        <f t="shared" si="2859"/>
        <v>0</v>
      </c>
      <c r="AR490" s="98">
        <f t="shared" si="2859"/>
        <v>0</v>
      </c>
      <c r="AS490" s="98">
        <f t="shared" si="2859"/>
        <v>0</v>
      </c>
      <c r="AT490" s="98">
        <f t="shared" si="2859"/>
        <v>0</v>
      </c>
      <c r="AU490" s="98">
        <f t="shared" si="2859"/>
        <v>0</v>
      </c>
      <c r="AV490" s="98">
        <f t="shared" si="2859"/>
        <v>0</v>
      </c>
      <c r="AW490" s="198">
        <f t="shared" si="2606"/>
        <v>0</v>
      </c>
      <c r="AX490" s="198">
        <f t="shared" si="2607"/>
        <v>0</v>
      </c>
      <c r="AY490" s="98">
        <f t="shared" ref="AY490:BL490" si="2860">SUM(AY19,AY57,AY95,AY133,AY171,AY209,AY247,AY285,AY323,AY361,AY399,AY437)</f>
        <v>0</v>
      </c>
      <c r="AZ490" s="98">
        <f t="shared" si="2860"/>
        <v>0</v>
      </c>
      <c r="BA490" s="98">
        <f t="shared" si="2860"/>
        <v>0</v>
      </c>
      <c r="BB490" s="98">
        <f t="shared" si="2860"/>
        <v>0</v>
      </c>
      <c r="BC490" s="98">
        <f t="shared" si="2860"/>
        <v>0</v>
      </c>
      <c r="BD490" s="98">
        <f t="shared" si="2860"/>
        <v>0</v>
      </c>
      <c r="BE490" s="98">
        <f t="shared" si="2860"/>
        <v>0</v>
      </c>
      <c r="BF490" s="98">
        <f t="shared" si="2860"/>
        <v>0</v>
      </c>
      <c r="BG490" s="98">
        <f t="shared" si="2860"/>
        <v>0</v>
      </c>
      <c r="BH490" s="98">
        <f t="shared" si="2860"/>
        <v>0</v>
      </c>
      <c r="BI490" s="98">
        <f t="shared" si="2860"/>
        <v>0</v>
      </c>
      <c r="BJ490" s="98">
        <f t="shared" si="2860"/>
        <v>0</v>
      </c>
      <c r="BK490" s="98">
        <f t="shared" si="2860"/>
        <v>0</v>
      </c>
      <c r="BL490" s="98">
        <f t="shared" si="2860"/>
        <v>0</v>
      </c>
      <c r="BM490" s="198">
        <f t="shared" si="2609"/>
        <v>0</v>
      </c>
      <c r="BN490" s="198">
        <f t="shared" si="2610"/>
        <v>0</v>
      </c>
      <c r="BO490" s="98">
        <f t="shared" ref="BO490:CB490" si="2861">SUM(BO19,BO57,BO95,BO133,BO171,BO209,BO247,BO285,BO323,BO361,BO399,BO437)</f>
        <v>0</v>
      </c>
      <c r="BP490" s="98">
        <f t="shared" si="2861"/>
        <v>0</v>
      </c>
      <c r="BQ490" s="98">
        <f t="shared" si="2861"/>
        <v>0</v>
      </c>
      <c r="BR490" s="98">
        <f t="shared" si="2861"/>
        <v>0</v>
      </c>
      <c r="BS490" s="98">
        <f t="shared" si="2861"/>
        <v>0</v>
      </c>
      <c r="BT490" s="98">
        <f t="shared" si="2861"/>
        <v>0</v>
      </c>
      <c r="BU490" s="98">
        <f t="shared" si="2861"/>
        <v>0</v>
      </c>
      <c r="BV490" s="98">
        <f t="shared" si="2861"/>
        <v>0</v>
      </c>
      <c r="BW490" s="98">
        <f t="shared" si="2861"/>
        <v>0</v>
      </c>
      <c r="BX490" s="98">
        <f t="shared" si="2861"/>
        <v>0</v>
      </c>
      <c r="BY490" s="98">
        <f t="shared" si="2861"/>
        <v>0</v>
      </c>
      <c r="BZ490" s="98">
        <f t="shared" si="2861"/>
        <v>0</v>
      </c>
      <c r="CA490" s="98">
        <f t="shared" si="2861"/>
        <v>0</v>
      </c>
      <c r="CB490" s="98">
        <f t="shared" si="2861"/>
        <v>0</v>
      </c>
      <c r="CC490" s="198">
        <f t="shared" si="2612"/>
        <v>0</v>
      </c>
      <c r="CD490" s="198">
        <f t="shared" si="2613"/>
        <v>0</v>
      </c>
      <c r="CE490" s="98">
        <f t="shared" ref="CE490:CR490" si="2862">SUM(CE19,CE57,CE95,CE133,CE171,CE209,CE247,CE285,CE323,CE361,CE399,CE437)</f>
        <v>0</v>
      </c>
      <c r="CF490" s="98">
        <f t="shared" si="2862"/>
        <v>0</v>
      </c>
      <c r="CG490" s="98">
        <f t="shared" si="2862"/>
        <v>4242224.0781143801</v>
      </c>
      <c r="CH490" s="98">
        <f t="shared" si="2862"/>
        <v>12822727.592139456</v>
      </c>
      <c r="CI490" s="98">
        <f t="shared" si="2862"/>
        <v>0</v>
      </c>
      <c r="CJ490" s="98">
        <f t="shared" si="2862"/>
        <v>0</v>
      </c>
      <c r="CK490" s="98">
        <f t="shared" si="2862"/>
        <v>0</v>
      </c>
      <c r="CL490" s="98">
        <f t="shared" si="2862"/>
        <v>0</v>
      </c>
      <c r="CM490" s="98">
        <f t="shared" si="2862"/>
        <v>0</v>
      </c>
      <c r="CN490" s="98">
        <f t="shared" si="2862"/>
        <v>0</v>
      </c>
      <c r="CO490" s="98">
        <f t="shared" si="2862"/>
        <v>0</v>
      </c>
      <c r="CP490" s="98">
        <f t="shared" si="2862"/>
        <v>0</v>
      </c>
      <c r="CQ490" s="98">
        <f t="shared" si="2862"/>
        <v>0</v>
      </c>
      <c r="CR490" s="98">
        <f t="shared" si="2862"/>
        <v>0</v>
      </c>
      <c r="CS490" s="198">
        <f t="shared" si="2615"/>
        <v>4242224.0781143801</v>
      </c>
      <c r="CT490" s="198">
        <f t="shared" si="2616"/>
        <v>12822727.592139456</v>
      </c>
      <c r="CU490" s="98">
        <f t="shared" ref="CU490:DH490" si="2863">SUM(CU19,CU57,CU95,CU133,CU171,CU209,CU247,CU285,CU323,CU361,CU399,CU437)</f>
        <v>0</v>
      </c>
      <c r="CV490" s="98">
        <f t="shared" si="2863"/>
        <v>0</v>
      </c>
      <c r="CW490" s="98">
        <f t="shared" si="2863"/>
        <v>0</v>
      </c>
      <c r="CX490" s="98">
        <f t="shared" si="2863"/>
        <v>0</v>
      </c>
      <c r="CY490" s="98">
        <f t="shared" si="2863"/>
        <v>0</v>
      </c>
      <c r="CZ490" s="98">
        <f t="shared" si="2863"/>
        <v>0</v>
      </c>
      <c r="DA490" s="98">
        <f t="shared" si="2863"/>
        <v>0</v>
      </c>
      <c r="DB490" s="98">
        <f t="shared" si="2863"/>
        <v>0</v>
      </c>
      <c r="DC490" s="98">
        <f t="shared" si="2863"/>
        <v>0</v>
      </c>
      <c r="DD490" s="98">
        <f t="shared" si="2863"/>
        <v>0</v>
      </c>
      <c r="DE490" s="98">
        <f t="shared" si="2863"/>
        <v>0</v>
      </c>
      <c r="DF490" s="98">
        <f t="shared" si="2863"/>
        <v>0</v>
      </c>
      <c r="DG490" s="98">
        <f t="shared" si="2863"/>
        <v>0</v>
      </c>
      <c r="DH490" s="98">
        <f t="shared" si="2863"/>
        <v>0</v>
      </c>
      <c r="DI490" s="198">
        <f t="shared" si="2618"/>
        <v>0</v>
      </c>
      <c r="DJ490" s="198">
        <f t="shared" si="2619"/>
        <v>0</v>
      </c>
      <c r="DK490" s="98">
        <f t="shared" ref="DK490:DX490" si="2864">SUM(DK19,DK57,DK95,DK133,DK171,DK209,DK247,DK285,DK323,DK361,DK399,DK437)</f>
        <v>0</v>
      </c>
      <c r="DL490" s="98">
        <f t="shared" si="2864"/>
        <v>0</v>
      </c>
      <c r="DM490" s="98">
        <f t="shared" si="2864"/>
        <v>0</v>
      </c>
      <c r="DN490" s="98">
        <f t="shared" si="2864"/>
        <v>0</v>
      </c>
      <c r="DO490" s="98">
        <f t="shared" si="2864"/>
        <v>0</v>
      </c>
      <c r="DP490" s="98">
        <f t="shared" si="2864"/>
        <v>0</v>
      </c>
      <c r="DQ490" s="98">
        <f t="shared" si="2864"/>
        <v>0</v>
      </c>
      <c r="DR490" s="98">
        <f t="shared" si="2864"/>
        <v>0</v>
      </c>
      <c r="DS490" s="98">
        <f t="shared" si="2864"/>
        <v>0</v>
      </c>
      <c r="DT490" s="98">
        <f t="shared" si="2864"/>
        <v>0</v>
      </c>
      <c r="DU490" s="98">
        <f t="shared" si="2864"/>
        <v>0</v>
      </c>
      <c r="DV490" s="98">
        <f t="shared" si="2864"/>
        <v>0</v>
      </c>
      <c r="DW490" s="98">
        <f t="shared" si="2864"/>
        <v>0</v>
      </c>
      <c r="DX490" s="98">
        <f t="shared" si="2864"/>
        <v>0</v>
      </c>
      <c r="DY490" s="198">
        <f t="shared" si="2621"/>
        <v>0</v>
      </c>
      <c r="DZ490" s="198">
        <f t="shared" si="2622"/>
        <v>0</v>
      </c>
      <c r="EA490" s="98">
        <f t="shared" ref="EA490:EN490" si="2865">SUM(EA19,EA57,EA95,EA133,EA171,EA209,EA247,EA285,EA323,EA361,EA399,EA437)</f>
        <v>0</v>
      </c>
      <c r="EB490" s="98">
        <f t="shared" si="2865"/>
        <v>0</v>
      </c>
      <c r="EC490" s="98">
        <f t="shared" si="2865"/>
        <v>0</v>
      </c>
      <c r="ED490" s="98">
        <f t="shared" si="2865"/>
        <v>0</v>
      </c>
      <c r="EE490" s="98">
        <f t="shared" si="2865"/>
        <v>0</v>
      </c>
      <c r="EF490" s="98">
        <f t="shared" si="2865"/>
        <v>0</v>
      </c>
      <c r="EG490" s="98">
        <f t="shared" si="2865"/>
        <v>0</v>
      </c>
      <c r="EH490" s="98">
        <f t="shared" si="2865"/>
        <v>0</v>
      </c>
      <c r="EI490" s="98">
        <f t="shared" si="2865"/>
        <v>0</v>
      </c>
      <c r="EJ490" s="98">
        <f t="shared" si="2865"/>
        <v>0</v>
      </c>
      <c r="EK490" s="98">
        <f t="shared" si="2865"/>
        <v>0</v>
      </c>
      <c r="EL490" s="98">
        <f t="shared" si="2865"/>
        <v>0</v>
      </c>
      <c r="EM490" s="98">
        <f t="shared" si="2865"/>
        <v>0</v>
      </c>
      <c r="EN490" s="98">
        <f t="shared" si="2865"/>
        <v>0</v>
      </c>
      <c r="EO490" s="198">
        <f t="shared" si="2624"/>
        <v>0</v>
      </c>
      <c r="EP490" s="198">
        <f t="shared" si="2625"/>
        <v>0</v>
      </c>
      <c r="EQ490" s="98">
        <f t="shared" ref="EQ490:FD490" si="2866">SUM(EQ19,EQ57,EQ95,EQ133,EQ171,EQ209,EQ247,EQ285,EQ323,EQ361,EQ399,EQ437)</f>
        <v>0</v>
      </c>
      <c r="ER490" s="98">
        <f t="shared" si="2866"/>
        <v>0</v>
      </c>
      <c r="ES490" s="98">
        <f t="shared" si="2866"/>
        <v>0</v>
      </c>
      <c r="ET490" s="98">
        <f t="shared" si="2866"/>
        <v>0</v>
      </c>
      <c r="EU490" s="98">
        <f t="shared" si="2866"/>
        <v>0</v>
      </c>
      <c r="EV490" s="98">
        <f t="shared" si="2866"/>
        <v>0</v>
      </c>
      <c r="EW490" s="98">
        <f t="shared" si="2866"/>
        <v>0</v>
      </c>
      <c r="EX490" s="98">
        <f t="shared" si="2866"/>
        <v>0</v>
      </c>
      <c r="EY490" s="98">
        <f t="shared" si="2866"/>
        <v>0</v>
      </c>
      <c r="EZ490" s="98">
        <f t="shared" si="2866"/>
        <v>0</v>
      </c>
      <c r="FA490" s="98">
        <f t="shared" si="2866"/>
        <v>0</v>
      </c>
      <c r="FB490" s="98">
        <f t="shared" si="2866"/>
        <v>0</v>
      </c>
      <c r="FC490" s="98">
        <f t="shared" si="2866"/>
        <v>0</v>
      </c>
      <c r="FD490" s="98">
        <f t="shared" si="2866"/>
        <v>0</v>
      </c>
      <c r="FE490" s="198">
        <f t="shared" si="2627"/>
        <v>0</v>
      </c>
      <c r="FF490" s="198">
        <f t="shared" si="2628"/>
        <v>0</v>
      </c>
      <c r="FG490" s="98">
        <f t="shared" ref="FG490:FT490" si="2867">SUM(FG19,FG57,FG95,FG133,FG171,FG209,FG247,FG285,FG323,FG361,FG399,FG437)</f>
        <v>0</v>
      </c>
      <c r="FH490" s="98">
        <f t="shared" si="2867"/>
        <v>0</v>
      </c>
      <c r="FI490" s="98">
        <f t="shared" si="2867"/>
        <v>0</v>
      </c>
      <c r="FJ490" s="98">
        <f t="shared" si="2867"/>
        <v>0</v>
      </c>
      <c r="FK490" s="98">
        <f t="shared" si="2867"/>
        <v>0</v>
      </c>
      <c r="FL490" s="98">
        <f t="shared" si="2867"/>
        <v>0</v>
      </c>
      <c r="FM490" s="98">
        <f t="shared" si="2867"/>
        <v>0</v>
      </c>
      <c r="FN490" s="98">
        <f t="shared" si="2867"/>
        <v>0</v>
      </c>
      <c r="FO490" s="98">
        <f t="shared" si="2867"/>
        <v>0</v>
      </c>
      <c r="FP490" s="98">
        <f t="shared" si="2867"/>
        <v>0</v>
      </c>
      <c r="FQ490" s="98">
        <f t="shared" si="2867"/>
        <v>0</v>
      </c>
      <c r="FR490" s="98">
        <f t="shared" si="2867"/>
        <v>0</v>
      </c>
      <c r="FS490" s="98">
        <f t="shared" si="2867"/>
        <v>0</v>
      </c>
      <c r="FT490" s="98">
        <f t="shared" si="2867"/>
        <v>0</v>
      </c>
      <c r="FU490" s="198">
        <f t="shared" si="2630"/>
        <v>0</v>
      </c>
      <c r="FV490" s="198">
        <f t="shared" si="2631"/>
        <v>0</v>
      </c>
      <c r="FW490" s="98">
        <f t="shared" ref="FW490:GJ490" si="2868">SUM(FW19,FW57,FW95,FW133,FW171,FW209,FW247,FW285,FW323,FW361,FW399,FW437)</f>
        <v>0</v>
      </c>
      <c r="FX490" s="98">
        <f t="shared" si="2868"/>
        <v>0</v>
      </c>
      <c r="FY490" s="98">
        <f t="shared" si="2868"/>
        <v>0</v>
      </c>
      <c r="FZ490" s="98">
        <f t="shared" si="2868"/>
        <v>0</v>
      </c>
      <c r="GA490" s="98">
        <f t="shared" si="2868"/>
        <v>0</v>
      </c>
      <c r="GB490" s="98">
        <f t="shared" si="2868"/>
        <v>0</v>
      </c>
      <c r="GC490" s="98">
        <f t="shared" si="2868"/>
        <v>0</v>
      </c>
      <c r="GD490" s="98">
        <f t="shared" si="2868"/>
        <v>0</v>
      </c>
      <c r="GE490" s="98">
        <f t="shared" si="2868"/>
        <v>0</v>
      </c>
      <c r="GF490" s="98">
        <f t="shared" si="2868"/>
        <v>0</v>
      </c>
      <c r="GG490" s="98">
        <f t="shared" si="2868"/>
        <v>0</v>
      </c>
      <c r="GH490" s="98">
        <f t="shared" si="2868"/>
        <v>0</v>
      </c>
      <c r="GI490" s="98">
        <f t="shared" si="2868"/>
        <v>0</v>
      </c>
      <c r="GJ490" s="98">
        <f t="shared" si="2868"/>
        <v>0</v>
      </c>
      <c r="GK490" s="198">
        <f t="shared" si="2633"/>
        <v>0</v>
      </c>
      <c r="GL490" s="198">
        <f t="shared" si="2634"/>
        <v>0</v>
      </c>
      <c r="GM490" s="98">
        <f t="shared" ref="GM490:GZ490" si="2869">SUM(GM19,GM57,GM95,GM133,GM171,GM209,GM247,GM285,GM323,GM361,GM399,GM437)</f>
        <v>0</v>
      </c>
      <c r="GN490" s="98">
        <f t="shared" si="2869"/>
        <v>0</v>
      </c>
      <c r="GO490" s="98">
        <f t="shared" si="2869"/>
        <v>0</v>
      </c>
      <c r="GP490" s="98">
        <f t="shared" si="2869"/>
        <v>0</v>
      </c>
      <c r="GQ490" s="98">
        <f t="shared" si="2869"/>
        <v>0</v>
      </c>
      <c r="GR490" s="98">
        <f t="shared" si="2869"/>
        <v>0</v>
      </c>
      <c r="GS490" s="98">
        <f t="shared" si="2869"/>
        <v>0</v>
      </c>
      <c r="GT490" s="98">
        <f t="shared" si="2869"/>
        <v>0</v>
      </c>
      <c r="GU490" s="98">
        <f t="shared" si="2869"/>
        <v>0</v>
      </c>
      <c r="GV490" s="98">
        <f t="shared" si="2869"/>
        <v>0</v>
      </c>
      <c r="GW490" s="98">
        <f t="shared" si="2869"/>
        <v>0</v>
      </c>
      <c r="GX490" s="98">
        <f t="shared" si="2869"/>
        <v>0</v>
      </c>
      <c r="GY490" s="98">
        <f t="shared" si="2869"/>
        <v>0</v>
      </c>
      <c r="GZ490" s="98">
        <f t="shared" si="2869"/>
        <v>0</v>
      </c>
      <c r="HA490" s="198">
        <f t="shared" si="2636"/>
        <v>0</v>
      </c>
      <c r="HB490" s="198">
        <f t="shared" si="2637"/>
        <v>0</v>
      </c>
      <c r="HC490" s="98">
        <f t="shared" ref="HC490:HP490" si="2870">SUM(HC19,HC57,HC95,HC133,HC171,HC209,HC247,HC285,HC323,HC361,HC399,HC437)</f>
        <v>0</v>
      </c>
      <c r="HD490" s="98">
        <f t="shared" si="2870"/>
        <v>0</v>
      </c>
      <c r="HE490" s="98">
        <f t="shared" si="2870"/>
        <v>0</v>
      </c>
      <c r="HF490" s="98">
        <f t="shared" si="2870"/>
        <v>0</v>
      </c>
      <c r="HG490" s="98">
        <f t="shared" si="2870"/>
        <v>0</v>
      </c>
      <c r="HH490" s="98">
        <f t="shared" si="2870"/>
        <v>0</v>
      </c>
      <c r="HI490" s="98">
        <f t="shared" si="2870"/>
        <v>0</v>
      </c>
      <c r="HJ490" s="98">
        <f t="shared" si="2870"/>
        <v>0</v>
      </c>
      <c r="HK490" s="98">
        <f t="shared" si="2870"/>
        <v>0</v>
      </c>
      <c r="HL490" s="98">
        <f t="shared" si="2870"/>
        <v>0</v>
      </c>
      <c r="HM490" s="98">
        <f t="shared" si="2870"/>
        <v>0</v>
      </c>
      <c r="HN490" s="98">
        <f t="shared" si="2870"/>
        <v>0</v>
      </c>
      <c r="HO490" s="98">
        <f t="shared" si="2870"/>
        <v>0</v>
      </c>
      <c r="HP490" s="98">
        <f t="shared" si="2870"/>
        <v>0</v>
      </c>
      <c r="HQ490" s="198">
        <f t="shared" si="2639"/>
        <v>0</v>
      </c>
      <c r="HR490" s="198">
        <f t="shared" si="2640"/>
        <v>0</v>
      </c>
      <c r="HS490" s="98">
        <f t="shared" ref="HS490:IF490" si="2871">SUM(HS19,HS57,HS95,HS133,HS171,HS209,HS247,HS285,HS323,HS361,HS399,HS437)</f>
        <v>0</v>
      </c>
      <c r="HT490" s="98">
        <f t="shared" si="2871"/>
        <v>0</v>
      </c>
      <c r="HU490" s="98">
        <f t="shared" si="2871"/>
        <v>0</v>
      </c>
      <c r="HV490" s="98">
        <f t="shared" si="2871"/>
        <v>0</v>
      </c>
      <c r="HW490" s="98">
        <f t="shared" si="2871"/>
        <v>0</v>
      </c>
      <c r="HX490" s="98">
        <f t="shared" si="2871"/>
        <v>0</v>
      </c>
      <c r="HY490" s="98">
        <f t="shared" si="2871"/>
        <v>0</v>
      </c>
      <c r="HZ490" s="98">
        <f t="shared" si="2871"/>
        <v>0</v>
      </c>
      <c r="IA490" s="98">
        <f t="shared" si="2871"/>
        <v>0</v>
      </c>
      <c r="IB490" s="98">
        <f t="shared" si="2871"/>
        <v>0</v>
      </c>
      <c r="IC490" s="98">
        <f t="shared" si="2871"/>
        <v>0</v>
      </c>
      <c r="ID490" s="98">
        <f t="shared" si="2871"/>
        <v>0</v>
      </c>
      <c r="IE490" s="98">
        <f t="shared" si="2871"/>
        <v>0</v>
      </c>
      <c r="IF490" s="98">
        <f t="shared" si="2871"/>
        <v>0</v>
      </c>
      <c r="IG490" s="198">
        <f t="shared" si="2642"/>
        <v>0</v>
      </c>
      <c r="IH490" s="198">
        <f t="shared" si="2643"/>
        <v>0</v>
      </c>
      <c r="II490" s="98">
        <f t="shared" ref="II490:IV490" si="2872">SUM(II19,II57,II95,II133,II171,II209,II247,II285,II323,II361,II399,II437)</f>
        <v>0</v>
      </c>
      <c r="IJ490" s="98">
        <f t="shared" si="2872"/>
        <v>0</v>
      </c>
      <c r="IK490" s="98">
        <f t="shared" si="2872"/>
        <v>0</v>
      </c>
      <c r="IL490" s="98">
        <f t="shared" si="2872"/>
        <v>0</v>
      </c>
      <c r="IM490" s="98">
        <f t="shared" si="2872"/>
        <v>0</v>
      </c>
      <c r="IN490" s="98">
        <f t="shared" si="2872"/>
        <v>0</v>
      </c>
      <c r="IO490" s="98">
        <f t="shared" si="2872"/>
        <v>0</v>
      </c>
      <c r="IP490" s="98">
        <f t="shared" si="2872"/>
        <v>0</v>
      </c>
      <c r="IQ490" s="98">
        <f t="shared" si="2872"/>
        <v>0</v>
      </c>
      <c r="IR490" s="98">
        <f t="shared" si="2872"/>
        <v>0</v>
      </c>
      <c r="IS490" s="98">
        <f t="shared" si="2872"/>
        <v>0</v>
      </c>
      <c r="IT490" s="98">
        <f t="shared" si="2872"/>
        <v>0</v>
      </c>
      <c r="IU490" s="98">
        <f t="shared" si="2872"/>
        <v>0</v>
      </c>
      <c r="IV490" s="98">
        <f t="shared" si="2872"/>
        <v>0</v>
      </c>
      <c r="IW490" s="198">
        <f t="shared" si="2645"/>
        <v>0</v>
      </c>
      <c r="IX490" s="198">
        <f t="shared" si="2646"/>
        <v>0</v>
      </c>
      <c r="IY490" s="98">
        <f t="shared" ref="IY490:JL490" si="2873">SUM(IY19,IY57,IY95,IY133,IY171,IY209,IY247,IY285,IY323,IY361,IY399,IY437)</f>
        <v>0</v>
      </c>
      <c r="IZ490" s="98">
        <f t="shared" si="2873"/>
        <v>0</v>
      </c>
      <c r="JA490" s="98">
        <f t="shared" si="2873"/>
        <v>0</v>
      </c>
      <c r="JB490" s="98">
        <f t="shared" si="2873"/>
        <v>0</v>
      </c>
      <c r="JC490" s="98">
        <f t="shared" si="2873"/>
        <v>0</v>
      </c>
      <c r="JD490" s="98">
        <f t="shared" si="2873"/>
        <v>0</v>
      </c>
      <c r="JE490" s="98">
        <f t="shared" si="2873"/>
        <v>0</v>
      </c>
      <c r="JF490" s="98">
        <f t="shared" si="2873"/>
        <v>0</v>
      </c>
      <c r="JG490" s="98">
        <f t="shared" si="2873"/>
        <v>0</v>
      </c>
      <c r="JH490" s="98">
        <f t="shared" si="2873"/>
        <v>0</v>
      </c>
      <c r="JI490" s="98">
        <f t="shared" si="2873"/>
        <v>0</v>
      </c>
      <c r="JJ490" s="98">
        <f t="shared" si="2873"/>
        <v>0</v>
      </c>
      <c r="JK490" s="98">
        <f t="shared" si="2873"/>
        <v>0</v>
      </c>
      <c r="JL490" s="98">
        <f t="shared" si="2873"/>
        <v>0</v>
      </c>
      <c r="JM490" s="198">
        <f t="shared" si="2648"/>
        <v>0</v>
      </c>
      <c r="JN490" s="198">
        <f t="shared" si="2649"/>
        <v>0</v>
      </c>
      <c r="JO490" s="98">
        <f t="shared" ref="JO490:KB490" si="2874">SUM(JO19,JO57,JO95,JO133,JO171,JO209,JO247,JO285,JO323,JO361,JO399,JO437)</f>
        <v>0</v>
      </c>
      <c r="JP490" s="98">
        <f t="shared" si="2874"/>
        <v>0</v>
      </c>
      <c r="JQ490" s="98">
        <f t="shared" si="2874"/>
        <v>0</v>
      </c>
      <c r="JR490" s="98">
        <f t="shared" si="2874"/>
        <v>0</v>
      </c>
      <c r="JS490" s="98">
        <f t="shared" si="2874"/>
        <v>0</v>
      </c>
      <c r="JT490" s="98">
        <f t="shared" si="2874"/>
        <v>0</v>
      </c>
      <c r="JU490" s="98">
        <f t="shared" si="2874"/>
        <v>0</v>
      </c>
      <c r="JV490" s="98">
        <f t="shared" si="2874"/>
        <v>0</v>
      </c>
      <c r="JW490" s="98">
        <f t="shared" si="2874"/>
        <v>0</v>
      </c>
      <c r="JX490" s="98">
        <f t="shared" si="2874"/>
        <v>0</v>
      </c>
      <c r="JY490" s="98">
        <f t="shared" si="2874"/>
        <v>0</v>
      </c>
      <c r="JZ490" s="98">
        <f t="shared" si="2874"/>
        <v>0</v>
      </c>
      <c r="KA490" s="98">
        <f t="shared" si="2874"/>
        <v>0</v>
      </c>
      <c r="KB490" s="98">
        <f t="shared" si="2874"/>
        <v>0</v>
      </c>
      <c r="KC490" s="198">
        <f t="shared" si="2651"/>
        <v>0</v>
      </c>
      <c r="KD490" s="198">
        <f t="shared" si="2652"/>
        <v>0</v>
      </c>
      <c r="KE490" s="98">
        <f t="shared" ref="KE490:KR490" si="2875">SUM(KE19,KE57,KE95,KE133,KE171,KE209,KE247,KE285,KE323,KE361,KE399,KE437)</f>
        <v>0</v>
      </c>
      <c r="KF490" s="98">
        <f t="shared" si="2875"/>
        <v>0</v>
      </c>
      <c r="KG490" s="98">
        <f t="shared" si="2875"/>
        <v>0</v>
      </c>
      <c r="KH490" s="98">
        <f t="shared" si="2875"/>
        <v>0</v>
      </c>
      <c r="KI490" s="98">
        <f t="shared" si="2875"/>
        <v>0</v>
      </c>
      <c r="KJ490" s="98">
        <f t="shared" si="2875"/>
        <v>0</v>
      </c>
      <c r="KK490" s="98">
        <f t="shared" si="2875"/>
        <v>0</v>
      </c>
      <c r="KL490" s="98">
        <f t="shared" si="2875"/>
        <v>0</v>
      </c>
      <c r="KM490" s="98">
        <f t="shared" si="2875"/>
        <v>0</v>
      </c>
      <c r="KN490" s="98">
        <f t="shared" si="2875"/>
        <v>0</v>
      </c>
      <c r="KO490" s="98">
        <f t="shared" si="2875"/>
        <v>0</v>
      </c>
      <c r="KP490" s="98">
        <f t="shared" si="2875"/>
        <v>0</v>
      </c>
      <c r="KQ490" s="98">
        <f t="shared" si="2875"/>
        <v>0</v>
      </c>
      <c r="KR490" s="98">
        <f t="shared" si="2875"/>
        <v>0</v>
      </c>
      <c r="KS490" s="198">
        <f t="shared" si="2654"/>
        <v>0</v>
      </c>
      <c r="KT490" s="198">
        <f t="shared" si="2655"/>
        <v>0</v>
      </c>
      <c r="KU490" s="98">
        <f t="shared" ref="KU490:LH490" si="2876">SUM(KU19,KU57,KU95,KU133,KU171,KU209,KU247,KU285,KU323,KU361,KU399,KU437)</f>
        <v>0</v>
      </c>
      <c r="KV490" s="98">
        <f t="shared" si="2876"/>
        <v>0</v>
      </c>
      <c r="KW490" s="98">
        <f t="shared" si="2876"/>
        <v>3173310.86</v>
      </c>
      <c r="KX490" s="98">
        <f t="shared" si="2876"/>
        <v>4759959</v>
      </c>
      <c r="KY490" s="98">
        <f t="shared" si="2876"/>
        <v>0</v>
      </c>
      <c r="KZ490" s="98">
        <f t="shared" si="2876"/>
        <v>0</v>
      </c>
      <c r="LA490" s="98">
        <f t="shared" si="2876"/>
        <v>0</v>
      </c>
      <c r="LB490" s="98">
        <f t="shared" si="2876"/>
        <v>0</v>
      </c>
      <c r="LC490" s="98">
        <f t="shared" si="2876"/>
        <v>0</v>
      </c>
      <c r="LD490" s="98">
        <f t="shared" si="2876"/>
        <v>0</v>
      </c>
      <c r="LE490" s="98">
        <f t="shared" si="2876"/>
        <v>0</v>
      </c>
      <c r="LF490" s="98">
        <f t="shared" si="2876"/>
        <v>0</v>
      </c>
      <c r="LG490" s="98">
        <f t="shared" si="2876"/>
        <v>0</v>
      </c>
      <c r="LH490" s="98">
        <f t="shared" si="2876"/>
        <v>0</v>
      </c>
      <c r="LI490" s="198">
        <f t="shared" si="2657"/>
        <v>3173310.86</v>
      </c>
      <c r="LJ490" s="198">
        <f t="shared" si="2658"/>
        <v>4759959</v>
      </c>
      <c r="LK490" s="98">
        <f t="shared" ref="LK490:LX490" si="2877">SUM(LK19,LK57,LK95,LK133,LK171,LK209,LK247,LK285,LK323,LK361,LK399,LK437)</f>
        <v>0</v>
      </c>
      <c r="LL490" s="98">
        <f t="shared" si="2877"/>
        <v>0</v>
      </c>
      <c r="LM490" s="98">
        <f t="shared" si="2877"/>
        <v>0</v>
      </c>
      <c r="LN490" s="98">
        <f t="shared" si="2877"/>
        <v>0</v>
      </c>
      <c r="LO490" s="98">
        <f t="shared" si="2877"/>
        <v>0</v>
      </c>
      <c r="LP490" s="98">
        <f t="shared" si="2877"/>
        <v>0</v>
      </c>
      <c r="LQ490" s="98">
        <f t="shared" si="2877"/>
        <v>0</v>
      </c>
      <c r="LR490" s="98">
        <f t="shared" si="2877"/>
        <v>50</v>
      </c>
      <c r="LS490" s="98">
        <f t="shared" si="2877"/>
        <v>0</v>
      </c>
      <c r="LT490" s="98">
        <f t="shared" si="2877"/>
        <v>0</v>
      </c>
      <c r="LU490" s="98">
        <f t="shared" si="2877"/>
        <v>0</v>
      </c>
      <c r="LV490" s="98">
        <f t="shared" si="2877"/>
        <v>0</v>
      </c>
      <c r="LW490" s="98">
        <f t="shared" si="2877"/>
        <v>0</v>
      </c>
      <c r="LX490" s="98">
        <f t="shared" si="2877"/>
        <v>0</v>
      </c>
      <c r="LY490" s="198">
        <f t="shared" si="2660"/>
        <v>0</v>
      </c>
      <c r="LZ490" s="198">
        <f t="shared" si="2661"/>
        <v>50</v>
      </c>
      <c r="MA490" s="98">
        <f t="shared" ref="MA490:MN490" si="2878">SUM(MA19,MA57,MA95,MA133,MA171,MA209,MA247,MA285,MA323,MA361,MA399,MA437)</f>
        <v>0</v>
      </c>
      <c r="MB490" s="98">
        <f t="shared" si="2878"/>
        <v>0</v>
      </c>
      <c r="MC490" s="98">
        <f t="shared" si="2878"/>
        <v>0</v>
      </c>
      <c r="MD490" s="98">
        <f t="shared" si="2878"/>
        <v>0</v>
      </c>
      <c r="ME490" s="98">
        <f t="shared" si="2878"/>
        <v>0</v>
      </c>
      <c r="MF490" s="98">
        <f t="shared" si="2878"/>
        <v>0</v>
      </c>
      <c r="MG490" s="98">
        <f t="shared" si="2878"/>
        <v>0</v>
      </c>
      <c r="MH490" s="98">
        <f t="shared" si="2878"/>
        <v>0</v>
      </c>
      <c r="MI490" s="98">
        <f t="shared" si="2878"/>
        <v>0</v>
      </c>
      <c r="MJ490" s="98">
        <f t="shared" si="2878"/>
        <v>0</v>
      </c>
      <c r="MK490" s="98">
        <f t="shared" si="2878"/>
        <v>0</v>
      </c>
      <c r="ML490" s="98">
        <f t="shared" si="2878"/>
        <v>0</v>
      </c>
      <c r="MM490" s="98">
        <f t="shared" si="2878"/>
        <v>0</v>
      </c>
      <c r="MN490" s="98">
        <f t="shared" si="2878"/>
        <v>0</v>
      </c>
      <c r="MO490" s="198">
        <f t="shared" si="2663"/>
        <v>0</v>
      </c>
      <c r="MP490" s="198">
        <f t="shared" si="2664"/>
        <v>0</v>
      </c>
      <c r="MQ490" s="98">
        <f t="shared" ref="MQ490:ND490" si="2879">SUM(MQ19,MQ57,MQ95,MQ133,MQ171,MQ209,MQ247,MQ285,MQ323,MQ361,MQ399,MQ437)</f>
        <v>0</v>
      </c>
      <c r="MR490" s="98">
        <f t="shared" si="2879"/>
        <v>0</v>
      </c>
      <c r="MS490" s="98">
        <f t="shared" si="2879"/>
        <v>20000</v>
      </c>
      <c r="MT490" s="98">
        <f t="shared" si="2879"/>
        <v>70000</v>
      </c>
      <c r="MU490" s="98">
        <f t="shared" si="2879"/>
        <v>0</v>
      </c>
      <c r="MV490" s="98">
        <f t="shared" si="2879"/>
        <v>0</v>
      </c>
      <c r="MW490" s="98">
        <f t="shared" si="2879"/>
        <v>0</v>
      </c>
      <c r="MX490" s="98">
        <f t="shared" si="2879"/>
        <v>0</v>
      </c>
      <c r="MY490" s="98">
        <f t="shared" si="2879"/>
        <v>0</v>
      </c>
      <c r="MZ490" s="98">
        <f t="shared" si="2879"/>
        <v>0</v>
      </c>
      <c r="NA490" s="98">
        <f t="shared" si="2879"/>
        <v>0</v>
      </c>
      <c r="NB490" s="98">
        <f t="shared" si="2879"/>
        <v>0</v>
      </c>
      <c r="NC490" s="98">
        <f t="shared" si="2879"/>
        <v>0</v>
      </c>
      <c r="ND490" s="98">
        <f t="shared" si="2879"/>
        <v>0</v>
      </c>
      <c r="NE490" s="198">
        <f t="shared" si="2666"/>
        <v>20000</v>
      </c>
      <c r="NF490" s="198">
        <f t="shared" si="2667"/>
        <v>70000</v>
      </c>
      <c r="NG490" s="98">
        <f t="shared" ref="NG490:NT490" si="2880">SUM(NG19,NG57,NG95,NG133,NG171,NG209,NG247,NG285,NG323,NG361,NG399,NG437)</f>
        <v>0</v>
      </c>
      <c r="NH490" s="98">
        <f t="shared" si="2880"/>
        <v>0</v>
      </c>
      <c r="NI490" s="98">
        <f t="shared" si="2880"/>
        <v>13977800</v>
      </c>
      <c r="NJ490" s="98">
        <f t="shared" si="2880"/>
        <v>32148940</v>
      </c>
      <c r="NK490" s="98">
        <f t="shared" si="2880"/>
        <v>0</v>
      </c>
      <c r="NL490" s="98">
        <f t="shared" si="2880"/>
        <v>0</v>
      </c>
      <c r="NM490" s="98">
        <f t="shared" si="2880"/>
        <v>0</v>
      </c>
      <c r="NN490" s="98">
        <f t="shared" si="2880"/>
        <v>0</v>
      </c>
      <c r="NO490" s="98">
        <f t="shared" si="2880"/>
        <v>0</v>
      </c>
      <c r="NP490" s="98">
        <f t="shared" si="2880"/>
        <v>0</v>
      </c>
      <c r="NQ490" s="98">
        <f t="shared" si="2880"/>
        <v>0</v>
      </c>
      <c r="NR490" s="98">
        <f t="shared" si="2880"/>
        <v>0</v>
      </c>
      <c r="NS490" s="98">
        <f t="shared" si="2880"/>
        <v>0</v>
      </c>
      <c r="NT490" s="98">
        <f t="shared" si="2880"/>
        <v>0</v>
      </c>
      <c r="NU490" s="198">
        <f t="shared" si="2669"/>
        <v>13977800</v>
      </c>
      <c r="NV490" s="198">
        <f t="shared" si="2670"/>
        <v>32148940</v>
      </c>
      <c r="NW490" s="98">
        <f t="shared" ref="NW490:OJ490" si="2881">SUM(NW19,NW57,NW95,NW133,NW171,NW209,NW247,NW285,NW323,NW361,NW399,NW437)</f>
        <v>0</v>
      </c>
      <c r="NX490" s="98">
        <f t="shared" si="2881"/>
        <v>0</v>
      </c>
      <c r="NY490" s="98">
        <f t="shared" si="2881"/>
        <v>124517</v>
      </c>
      <c r="NZ490" s="98">
        <f t="shared" si="2881"/>
        <v>373551</v>
      </c>
      <c r="OA490" s="98">
        <f t="shared" si="2881"/>
        <v>0</v>
      </c>
      <c r="OB490" s="98">
        <f t="shared" si="2881"/>
        <v>0</v>
      </c>
      <c r="OC490" s="98">
        <f t="shared" si="2881"/>
        <v>0</v>
      </c>
      <c r="OD490" s="98">
        <f t="shared" si="2881"/>
        <v>0</v>
      </c>
      <c r="OE490" s="98">
        <f t="shared" si="2881"/>
        <v>0</v>
      </c>
      <c r="OF490" s="98">
        <f t="shared" si="2881"/>
        <v>0</v>
      </c>
      <c r="OG490" s="98">
        <f t="shared" si="2881"/>
        <v>0</v>
      </c>
      <c r="OH490" s="98">
        <f t="shared" si="2881"/>
        <v>0</v>
      </c>
      <c r="OI490" s="98">
        <f t="shared" si="2881"/>
        <v>0</v>
      </c>
      <c r="OJ490" s="98">
        <f t="shared" si="2881"/>
        <v>0</v>
      </c>
      <c r="OK490" s="198">
        <f t="shared" si="2672"/>
        <v>124517</v>
      </c>
      <c r="OL490" s="198">
        <f t="shared" si="2673"/>
        <v>373551</v>
      </c>
      <c r="OM490" s="98">
        <f t="shared" ref="OM490:OZ490" si="2882">SUM(OM19,OM57,OM95,OM133,OM171,OM209,OM247,OM285,OM323,OM361,OM399,OM437)</f>
        <v>0</v>
      </c>
      <c r="ON490" s="98">
        <f t="shared" si="2882"/>
        <v>0</v>
      </c>
      <c r="OO490" s="98">
        <f t="shared" si="2882"/>
        <v>0</v>
      </c>
      <c r="OP490" s="98">
        <f t="shared" si="2882"/>
        <v>0</v>
      </c>
      <c r="OQ490" s="98">
        <f t="shared" si="2882"/>
        <v>0</v>
      </c>
      <c r="OR490" s="98">
        <f t="shared" si="2882"/>
        <v>0</v>
      </c>
      <c r="OS490" s="98">
        <f t="shared" si="2882"/>
        <v>0</v>
      </c>
      <c r="OT490" s="98">
        <f t="shared" si="2882"/>
        <v>0</v>
      </c>
      <c r="OU490" s="98">
        <f t="shared" si="2882"/>
        <v>0</v>
      </c>
      <c r="OV490" s="98">
        <f t="shared" si="2882"/>
        <v>0</v>
      </c>
      <c r="OW490" s="98">
        <f t="shared" si="2882"/>
        <v>0</v>
      </c>
      <c r="OX490" s="98">
        <f t="shared" si="2882"/>
        <v>0</v>
      </c>
      <c r="OY490" s="98">
        <f t="shared" si="2882"/>
        <v>0</v>
      </c>
      <c r="OZ490" s="98">
        <f t="shared" si="2882"/>
        <v>0</v>
      </c>
      <c r="PA490" s="198">
        <f t="shared" si="2675"/>
        <v>0</v>
      </c>
      <c r="PB490" s="198">
        <f t="shared" si="2676"/>
        <v>0</v>
      </c>
      <c r="PC490" s="98">
        <f t="shared" ref="PC490:PP490" si="2883">SUM(PC19,PC57,PC95,PC133,PC171,PC209,PC247,PC285,PC323,PC361,PC399,PC437)</f>
        <v>0</v>
      </c>
      <c r="PD490" s="98">
        <f t="shared" si="2883"/>
        <v>0</v>
      </c>
      <c r="PE490" s="98">
        <f t="shared" si="2883"/>
        <v>26950</v>
      </c>
      <c r="PF490" s="98">
        <f t="shared" si="2883"/>
        <v>606382</v>
      </c>
      <c r="PG490" s="98">
        <f t="shared" si="2883"/>
        <v>0</v>
      </c>
      <c r="PH490" s="98">
        <f t="shared" si="2883"/>
        <v>0</v>
      </c>
      <c r="PI490" s="98">
        <f t="shared" si="2883"/>
        <v>0</v>
      </c>
      <c r="PJ490" s="98">
        <f t="shared" si="2883"/>
        <v>0</v>
      </c>
      <c r="PK490" s="98">
        <f t="shared" si="2883"/>
        <v>0</v>
      </c>
      <c r="PL490" s="98">
        <f t="shared" si="2883"/>
        <v>0</v>
      </c>
      <c r="PM490" s="98">
        <f t="shared" si="2883"/>
        <v>0</v>
      </c>
      <c r="PN490" s="98">
        <f t="shared" si="2883"/>
        <v>0</v>
      </c>
      <c r="PO490" s="98">
        <f t="shared" si="2883"/>
        <v>0</v>
      </c>
      <c r="PP490" s="98">
        <f t="shared" si="2883"/>
        <v>0</v>
      </c>
      <c r="PQ490" s="198">
        <f t="shared" si="2678"/>
        <v>26950</v>
      </c>
      <c r="PR490" s="198">
        <f t="shared" si="2679"/>
        <v>606382</v>
      </c>
      <c r="PS490" s="98">
        <f t="shared" ref="PS490:QF490" si="2884">SUM(PS19,PS57,PS95,PS133,PS171,PS209,PS247,PS285,PS323,PS361,PS399,PS437)</f>
        <v>0</v>
      </c>
      <c r="PT490" s="98">
        <f t="shared" si="2884"/>
        <v>0</v>
      </c>
      <c r="PU490" s="98">
        <f t="shared" si="2884"/>
        <v>0</v>
      </c>
      <c r="PV490" s="98">
        <f t="shared" si="2884"/>
        <v>0</v>
      </c>
      <c r="PW490" s="98">
        <f t="shared" si="2884"/>
        <v>0</v>
      </c>
      <c r="PX490" s="98">
        <f t="shared" si="2884"/>
        <v>0</v>
      </c>
      <c r="PY490" s="98">
        <f t="shared" si="2884"/>
        <v>0</v>
      </c>
      <c r="PZ490" s="98">
        <f t="shared" si="2884"/>
        <v>0</v>
      </c>
      <c r="QA490" s="98">
        <f t="shared" si="2884"/>
        <v>0</v>
      </c>
      <c r="QB490" s="98">
        <f t="shared" si="2884"/>
        <v>0</v>
      </c>
      <c r="QC490" s="98">
        <f t="shared" si="2884"/>
        <v>0</v>
      </c>
      <c r="QD490" s="98">
        <f t="shared" si="2884"/>
        <v>0</v>
      </c>
      <c r="QE490" s="98">
        <f t="shared" si="2884"/>
        <v>0</v>
      </c>
      <c r="QF490" s="98">
        <f t="shared" si="2884"/>
        <v>0</v>
      </c>
      <c r="QG490" s="198">
        <f t="shared" si="2681"/>
        <v>0</v>
      </c>
      <c r="QH490" s="198">
        <f t="shared" si="2682"/>
        <v>0</v>
      </c>
      <c r="QI490" s="98">
        <f t="shared" ref="QI490:QV490" si="2885">SUM(QI19,QI57,QI95,QI133,QI171,QI209,QI247,QI285,QI323,QI361,QI399,QI437)</f>
        <v>0</v>
      </c>
      <c r="QJ490" s="98">
        <f t="shared" si="2885"/>
        <v>0</v>
      </c>
      <c r="QK490" s="98">
        <f t="shared" si="2885"/>
        <v>0</v>
      </c>
      <c r="QL490" s="98">
        <f t="shared" si="2885"/>
        <v>0</v>
      </c>
      <c r="QM490" s="98">
        <f t="shared" si="2885"/>
        <v>0</v>
      </c>
      <c r="QN490" s="98">
        <f t="shared" si="2885"/>
        <v>0</v>
      </c>
      <c r="QO490" s="98">
        <f t="shared" si="2885"/>
        <v>0</v>
      </c>
      <c r="QP490" s="98">
        <f t="shared" si="2885"/>
        <v>0</v>
      </c>
      <c r="QQ490" s="98">
        <f t="shared" si="2885"/>
        <v>0</v>
      </c>
      <c r="QR490" s="98">
        <f t="shared" si="2885"/>
        <v>0</v>
      </c>
      <c r="QS490" s="98">
        <f t="shared" si="2885"/>
        <v>0</v>
      </c>
      <c r="QT490" s="98">
        <f t="shared" si="2885"/>
        <v>0</v>
      </c>
      <c r="QU490" s="98">
        <f t="shared" si="2885"/>
        <v>0</v>
      </c>
      <c r="QV490" s="98">
        <f t="shared" si="2885"/>
        <v>0</v>
      </c>
      <c r="QW490" s="198">
        <f t="shared" si="2684"/>
        <v>0</v>
      </c>
      <c r="QX490" s="198">
        <f t="shared" si="2685"/>
        <v>0</v>
      </c>
      <c r="QY490" s="98">
        <f t="shared" ref="QY490:RL490" si="2886">SUM(QY19,QY57,QY95,QY133,QY171,QY209,QY247,QY285,QY323,QY361,QY399,QY437)</f>
        <v>0</v>
      </c>
      <c r="QZ490" s="98">
        <f t="shared" si="2886"/>
        <v>0</v>
      </c>
      <c r="RA490" s="98">
        <f t="shared" si="2886"/>
        <v>0</v>
      </c>
      <c r="RB490" s="98">
        <f t="shared" si="2886"/>
        <v>0</v>
      </c>
      <c r="RC490" s="98">
        <f t="shared" si="2886"/>
        <v>0</v>
      </c>
      <c r="RD490" s="98">
        <f t="shared" si="2886"/>
        <v>0</v>
      </c>
      <c r="RE490" s="98">
        <f t="shared" si="2886"/>
        <v>0</v>
      </c>
      <c r="RF490" s="98">
        <f t="shared" si="2886"/>
        <v>0</v>
      </c>
      <c r="RG490" s="98">
        <f t="shared" si="2886"/>
        <v>0</v>
      </c>
      <c r="RH490" s="98">
        <f t="shared" si="2886"/>
        <v>0</v>
      </c>
      <c r="RI490" s="98">
        <f t="shared" si="2886"/>
        <v>0</v>
      </c>
      <c r="RJ490" s="98">
        <f t="shared" si="2886"/>
        <v>0</v>
      </c>
      <c r="RK490" s="98">
        <f t="shared" si="2886"/>
        <v>0</v>
      </c>
      <c r="RL490" s="98">
        <f t="shared" si="2886"/>
        <v>0</v>
      </c>
      <c r="RM490" s="198">
        <f t="shared" si="2687"/>
        <v>0</v>
      </c>
      <c r="RN490" s="198">
        <f t="shared" si="2688"/>
        <v>0</v>
      </c>
      <c r="RO490" s="98">
        <f t="shared" ref="RO490:SB490" si="2887">SUM(RO19,RO57,RO95,RO133,RO171,RO209,RO247,RO285,RO323,RO361,RO399,RO437)</f>
        <v>0</v>
      </c>
      <c r="RP490" s="98">
        <f t="shared" si="2887"/>
        <v>0</v>
      </c>
      <c r="RQ490" s="98">
        <f t="shared" si="2887"/>
        <v>0</v>
      </c>
      <c r="RR490" s="98">
        <f t="shared" si="2887"/>
        <v>0</v>
      </c>
      <c r="RS490" s="98">
        <f t="shared" si="2887"/>
        <v>0</v>
      </c>
      <c r="RT490" s="98">
        <f t="shared" si="2887"/>
        <v>0</v>
      </c>
      <c r="RU490" s="98">
        <f t="shared" si="2887"/>
        <v>0</v>
      </c>
      <c r="RV490" s="98">
        <f t="shared" si="2887"/>
        <v>0</v>
      </c>
      <c r="RW490" s="98">
        <f t="shared" si="2887"/>
        <v>0</v>
      </c>
      <c r="RX490" s="98">
        <f t="shared" si="2887"/>
        <v>0</v>
      </c>
      <c r="RY490" s="98">
        <f t="shared" si="2887"/>
        <v>0</v>
      </c>
      <c r="RZ490" s="98">
        <f t="shared" si="2887"/>
        <v>0</v>
      </c>
      <c r="SA490" s="98">
        <f t="shared" si="2887"/>
        <v>0</v>
      </c>
      <c r="SB490" s="98">
        <f t="shared" si="2887"/>
        <v>0</v>
      </c>
      <c r="SC490" s="198">
        <f t="shared" si="2690"/>
        <v>0</v>
      </c>
      <c r="SD490" s="198">
        <f t="shared" si="2691"/>
        <v>0</v>
      </c>
      <c r="SE490" s="98">
        <f t="shared" ref="SE490:SR490" si="2888">SUM(SE19,SE57,SE95,SE133,SE171,SE209,SE247,SE285,SE323,SE361,SE399,SE437)</f>
        <v>0</v>
      </c>
      <c r="SF490" s="98">
        <f t="shared" si="2888"/>
        <v>0</v>
      </c>
      <c r="SG490" s="98">
        <f t="shared" si="2888"/>
        <v>0</v>
      </c>
      <c r="SH490" s="98">
        <f t="shared" si="2888"/>
        <v>0</v>
      </c>
      <c r="SI490" s="98">
        <f t="shared" si="2888"/>
        <v>0</v>
      </c>
      <c r="SJ490" s="98">
        <f t="shared" si="2888"/>
        <v>0</v>
      </c>
      <c r="SK490" s="98">
        <f t="shared" si="2888"/>
        <v>0</v>
      </c>
      <c r="SL490" s="98">
        <f t="shared" si="2888"/>
        <v>0</v>
      </c>
      <c r="SM490" s="98">
        <f t="shared" si="2888"/>
        <v>0</v>
      </c>
      <c r="SN490" s="98">
        <f t="shared" si="2888"/>
        <v>0</v>
      </c>
      <c r="SO490" s="98">
        <f t="shared" si="2888"/>
        <v>0</v>
      </c>
      <c r="SP490" s="98">
        <f t="shared" si="2888"/>
        <v>0</v>
      </c>
      <c r="SQ490" s="98">
        <f t="shared" si="2888"/>
        <v>0</v>
      </c>
      <c r="SR490" s="98">
        <f t="shared" si="2888"/>
        <v>0</v>
      </c>
      <c r="SS490" s="198">
        <f t="shared" si="2693"/>
        <v>0</v>
      </c>
      <c r="ST490" s="198">
        <f t="shared" si="2694"/>
        <v>0</v>
      </c>
      <c r="SU490" s="98">
        <f t="shared" ref="SU490:TH490" si="2889">SUM(SU19,SU57,SU95,SU133,SU171,SU209,SU247,SU285,SU323,SU361,SU399,SU437)</f>
        <v>0</v>
      </c>
      <c r="SV490" s="98">
        <f t="shared" si="2889"/>
        <v>0</v>
      </c>
      <c r="SW490" s="98">
        <f t="shared" si="2889"/>
        <v>0</v>
      </c>
      <c r="SX490" s="98">
        <f t="shared" si="2889"/>
        <v>0</v>
      </c>
      <c r="SY490" s="98">
        <f t="shared" si="2889"/>
        <v>0</v>
      </c>
      <c r="SZ490" s="98">
        <f t="shared" si="2889"/>
        <v>0</v>
      </c>
      <c r="TA490" s="98">
        <f t="shared" si="2889"/>
        <v>0</v>
      </c>
      <c r="TB490" s="98">
        <f t="shared" si="2889"/>
        <v>0</v>
      </c>
      <c r="TC490" s="98">
        <f t="shared" si="2889"/>
        <v>0</v>
      </c>
      <c r="TD490" s="98">
        <f t="shared" si="2889"/>
        <v>0</v>
      </c>
      <c r="TE490" s="98">
        <f t="shared" si="2889"/>
        <v>0</v>
      </c>
      <c r="TF490" s="98">
        <f t="shared" si="2889"/>
        <v>0</v>
      </c>
      <c r="TG490" s="98">
        <f t="shared" si="2889"/>
        <v>0</v>
      </c>
      <c r="TH490" s="98">
        <f t="shared" si="2889"/>
        <v>0</v>
      </c>
      <c r="TI490" s="198">
        <f t="shared" si="2696"/>
        <v>0</v>
      </c>
      <c r="TJ490" s="198">
        <f t="shared" si="2697"/>
        <v>0</v>
      </c>
      <c r="TK490" s="98">
        <f t="shared" ref="TK490:TX490" si="2890">SUM(TK19,TK57,TK95,TK133,TK171,TK209,TK247,TK285,TK323,TK361,TK399,TK437)</f>
        <v>0</v>
      </c>
      <c r="TL490" s="98">
        <f t="shared" si="2890"/>
        <v>0</v>
      </c>
      <c r="TM490" s="98">
        <f t="shared" si="2890"/>
        <v>0</v>
      </c>
      <c r="TN490" s="98">
        <f t="shared" si="2890"/>
        <v>0</v>
      </c>
      <c r="TO490" s="98">
        <f t="shared" si="2890"/>
        <v>0</v>
      </c>
      <c r="TP490" s="98">
        <f t="shared" si="2890"/>
        <v>0</v>
      </c>
      <c r="TQ490" s="98">
        <f t="shared" si="2890"/>
        <v>0</v>
      </c>
      <c r="TR490" s="98">
        <f t="shared" si="2890"/>
        <v>0</v>
      </c>
      <c r="TS490" s="98">
        <f t="shared" si="2890"/>
        <v>0</v>
      </c>
      <c r="TT490" s="98">
        <f t="shared" si="2890"/>
        <v>0</v>
      </c>
      <c r="TU490" s="98">
        <f t="shared" si="2890"/>
        <v>0</v>
      </c>
      <c r="TV490" s="98">
        <f t="shared" si="2890"/>
        <v>0</v>
      </c>
      <c r="TW490" s="98">
        <f t="shared" si="2890"/>
        <v>0</v>
      </c>
      <c r="TX490" s="98">
        <f t="shared" si="2890"/>
        <v>0</v>
      </c>
      <c r="TY490" s="198">
        <f t="shared" si="2699"/>
        <v>0</v>
      </c>
      <c r="TZ490" s="198">
        <f t="shared" si="2700"/>
        <v>0</v>
      </c>
      <c r="UA490" s="98">
        <f t="shared" ref="UA490:UN490" si="2891">SUM(UA19,UA57,UA95,UA133,UA171,UA209,UA247,UA285,UA323,UA361,UA399,UA437)</f>
        <v>0</v>
      </c>
      <c r="UB490" s="98">
        <f t="shared" si="2891"/>
        <v>0</v>
      </c>
      <c r="UC490" s="98">
        <f t="shared" si="2891"/>
        <v>0</v>
      </c>
      <c r="UD490" s="98">
        <f t="shared" si="2891"/>
        <v>0</v>
      </c>
      <c r="UE490" s="98">
        <f t="shared" si="2891"/>
        <v>0</v>
      </c>
      <c r="UF490" s="98">
        <f t="shared" si="2891"/>
        <v>0</v>
      </c>
      <c r="UG490" s="98">
        <f t="shared" si="2891"/>
        <v>0</v>
      </c>
      <c r="UH490" s="98">
        <f t="shared" si="2891"/>
        <v>0</v>
      </c>
      <c r="UI490" s="98">
        <f t="shared" si="2891"/>
        <v>0</v>
      </c>
      <c r="UJ490" s="98">
        <f t="shared" si="2891"/>
        <v>0</v>
      </c>
      <c r="UK490" s="98">
        <f t="shared" si="2891"/>
        <v>0</v>
      </c>
      <c r="UL490" s="98">
        <f t="shared" si="2891"/>
        <v>0</v>
      </c>
      <c r="UM490" s="98">
        <f t="shared" si="2891"/>
        <v>0</v>
      </c>
      <c r="UN490" s="98">
        <f t="shared" si="2891"/>
        <v>0</v>
      </c>
      <c r="UO490" s="198">
        <f t="shared" si="2702"/>
        <v>0</v>
      </c>
      <c r="UP490" s="198">
        <f t="shared" si="2703"/>
        <v>0</v>
      </c>
      <c r="UQ490" s="98">
        <f t="shared" ref="UQ490:VD490" si="2892">SUM(UQ19,UQ57,UQ95,UQ133,UQ171,UQ209,UQ247,UQ285,UQ323,UQ361,UQ399,UQ437)</f>
        <v>0</v>
      </c>
      <c r="UR490" s="98">
        <f t="shared" si="2892"/>
        <v>0</v>
      </c>
      <c r="US490" s="98">
        <f t="shared" si="2892"/>
        <v>1445900</v>
      </c>
      <c r="UT490" s="98">
        <f t="shared" si="2892"/>
        <v>1022420</v>
      </c>
      <c r="UU490" s="98">
        <f t="shared" si="2892"/>
        <v>0</v>
      </c>
      <c r="UV490" s="98">
        <f t="shared" si="2892"/>
        <v>0</v>
      </c>
      <c r="UW490" s="98">
        <f t="shared" si="2892"/>
        <v>0</v>
      </c>
      <c r="UX490" s="98">
        <f t="shared" si="2892"/>
        <v>0</v>
      </c>
      <c r="UY490" s="98">
        <f t="shared" si="2892"/>
        <v>0</v>
      </c>
      <c r="UZ490" s="98">
        <f t="shared" si="2892"/>
        <v>0</v>
      </c>
      <c r="VA490" s="98">
        <f t="shared" si="2892"/>
        <v>0</v>
      </c>
      <c r="VB490" s="98">
        <f t="shared" si="2892"/>
        <v>0</v>
      </c>
      <c r="VC490" s="98">
        <f t="shared" si="2892"/>
        <v>0</v>
      </c>
      <c r="VD490" s="98">
        <f t="shared" si="2892"/>
        <v>0</v>
      </c>
      <c r="VE490" s="198">
        <f t="shared" si="2705"/>
        <v>1445900</v>
      </c>
      <c r="VF490" s="198">
        <f t="shared" si="2706"/>
        <v>1022420</v>
      </c>
      <c r="VG490" s="98">
        <f t="shared" ref="VG490:VT490" si="2893">SUM(VG19,VG57,VG95,VG133,VG171,VG209,VG247,VG285,VG323,VG361,VG399,VG437)</f>
        <v>0</v>
      </c>
      <c r="VH490" s="98">
        <f t="shared" si="2893"/>
        <v>0</v>
      </c>
      <c r="VI490" s="98">
        <f t="shared" si="2893"/>
        <v>0</v>
      </c>
      <c r="VJ490" s="98">
        <f t="shared" si="2893"/>
        <v>0</v>
      </c>
      <c r="VK490" s="98">
        <f t="shared" si="2893"/>
        <v>0</v>
      </c>
      <c r="VL490" s="98">
        <f t="shared" si="2893"/>
        <v>0</v>
      </c>
      <c r="VM490" s="98">
        <f t="shared" si="2893"/>
        <v>0</v>
      </c>
      <c r="VN490" s="98">
        <f t="shared" si="2893"/>
        <v>0</v>
      </c>
      <c r="VO490" s="98">
        <f t="shared" si="2893"/>
        <v>0</v>
      </c>
      <c r="VP490" s="98">
        <f t="shared" si="2893"/>
        <v>0</v>
      </c>
      <c r="VQ490" s="98">
        <f t="shared" si="2893"/>
        <v>0</v>
      </c>
      <c r="VR490" s="98">
        <f t="shared" si="2893"/>
        <v>0</v>
      </c>
      <c r="VS490" s="98">
        <f t="shared" si="2893"/>
        <v>0</v>
      </c>
      <c r="VT490" s="98">
        <f t="shared" si="2893"/>
        <v>0</v>
      </c>
      <c r="VU490" s="198">
        <f t="shared" si="2708"/>
        <v>0</v>
      </c>
      <c r="VV490" s="198">
        <f t="shared" si="2709"/>
        <v>0</v>
      </c>
      <c r="VW490" s="98">
        <f t="shared" ref="VW490:WJ490" si="2894">SUM(VW19,VW57,VW95,VW133,VW171,VW209,VW247,VW285,VW323,VW361,VW399,VW437)</f>
        <v>0</v>
      </c>
      <c r="VX490" s="98">
        <f t="shared" si="2894"/>
        <v>0</v>
      </c>
      <c r="VY490" s="98">
        <f t="shared" si="2894"/>
        <v>0</v>
      </c>
      <c r="VZ490" s="98">
        <f t="shared" si="2894"/>
        <v>0</v>
      </c>
      <c r="WA490" s="98">
        <f t="shared" si="2894"/>
        <v>0</v>
      </c>
      <c r="WB490" s="98">
        <f t="shared" si="2894"/>
        <v>0</v>
      </c>
      <c r="WC490" s="98">
        <f t="shared" si="2894"/>
        <v>0</v>
      </c>
      <c r="WD490" s="98">
        <f t="shared" si="2894"/>
        <v>0</v>
      </c>
      <c r="WE490" s="98">
        <f t="shared" si="2894"/>
        <v>0</v>
      </c>
      <c r="WF490" s="98">
        <f t="shared" si="2894"/>
        <v>0</v>
      </c>
      <c r="WG490" s="98">
        <f t="shared" si="2894"/>
        <v>0</v>
      </c>
      <c r="WH490" s="98">
        <f t="shared" si="2894"/>
        <v>0</v>
      </c>
      <c r="WI490" s="98">
        <f t="shared" si="2894"/>
        <v>0</v>
      </c>
      <c r="WJ490" s="98">
        <f t="shared" si="2894"/>
        <v>0</v>
      </c>
      <c r="WK490" s="198">
        <f t="shared" si="2711"/>
        <v>0</v>
      </c>
      <c r="WL490" s="198">
        <f t="shared" si="2712"/>
        <v>0</v>
      </c>
      <c r="WN490" s="98">
        <f t="shared" si="2713"/>
        <v>0</v>
      </c>
      <c r="WO490" s="98">
        <f t="shared" si="2714"/>
        <v>0</v>
      </c>
      <c r="WP490" s="98">
        <f t="shared" si="2715"/>
        <v>23010701.938114382</v>
      </c>
      <c r="WQ490" s="98">
        <f t="shared" si="2716"/>
        <v>51803979.592139453</v>
      </c>
      <c r="WR490" s="98">
        <f t="shared" si="2717"/>
        <v>0</v>
      </c>
      <c r="WS490" s="98">
        <f t="shared" si="2718"/>
        <v>0</v>
      </c>
      <c r="WT490" s="98">
        <f t="shared" si="2719"/>
        <v>0</v>
      </c>
      <c r="WU490" s="98">
        <f t="shared" si="2720"/>
        <v>50</v>
      </c>
      <c r="WV490" s="98">
        <f t="shared" si="2721"/>
        <v>0</v>
      </c>
      <c r="WW490" s="98">
        <f t="shared" si="2722"/>
        <v>0</v>
      </c>
      <c r="WX490" s="98">
        <f t="shared" si="2723"/>
        <v>0</v>
      </c>
      <c r="WY490" s="98">
        <f t="shared" si="2724"/>
        <v>0</v>
      </c>
      <c r="WZ490" s="98">
        <f t="shared" si="2725"/>
        <v>0</v>
      </c>
      <c r="XA490" s="98">
        <f t="shared" si="2726"/>
        <v>0</v>
      </c>
      <c r="XB490" s="107">
        <f t="shared" si="2727"/>
        <v>23010701.938114382</v>
      </c>
      <c r="XC490" s="107">
        <f t="shared" si="2728"/>
        <v>51804029.592139453</v>
      </c>
      <c r="XK490" s="98">
        <f t="shared" si="2729"/>
        <v>50</v>
      </c>
      <c r="XL490" s="98">
        <f t="shared" si="2730"/>
        <v>0</v>
      </c>
      <c r="XM490" s="98">
        <f t="shared" si="2731"/>
        <v>0</v>
      </c>
      <c r="XN490" s="98">
        <f t="shared" si="2732"/>
        <v>0</v>
      </c>
      <c r="XO490" s="98">
        <f t="shared" si="2733"/>
        <v>74814731.530253828</v>
      </c>
      <c r="XP490" s="98">
        <f t="shared" si="2734"/>
        <v>0</v>
      </c>
      <c r="XQ490" s="98">
        <f t="shared" si="2735"/>
        <v>74814681.530253828</v>
      </c>
      <c r="XR490" s="107">
        <f t="shared" ca="1" si="2597"/>
        <v>172640164.99862203</v>
      </c>
      <c r="XT490" s="98">
        <f t="shared" si="2736"/>
        <v>51804029.592139453</v>
      </c>
      <c r="XU490" s="98">
        <f t="shared" si="2737"/>
        <v>23010701.938114382</v>
      </c>
      <c r="XV490" s="98">
        <f t="shared" si="2738"/>
        <v>51803979.592139453</v>
      </c>
      <c r="XW490" s="98">
        <f t="shared" si="2739"/>
        <v>0</v>
      </c>
      <c r="XX490" s="98">
        <f t="shared" si="2740"/>
        <v>100</v>
      </c>
      <c r="XY490" s="98">
        <f t="shared" si="2741"/>
        <v>0</v>
      </c>
      <c r="XZ490" s="98">
        <f t="shared" si="2742"/>
        <v>74814731.530253828</v>
      </c>
      <c r="YA490" s="107">
        <f t="shared" ca="1" si="2598"/>
        <v>178422840.71453273</v>
      </c>
    </row>
    <row r="491" spans="1:1017">
      <c r="B491" s="90" t="str">
        <f t="shared" si="2558"/>
        <v xml:space="preserve">Gurame, Gurami </v>
      </c>
      <c r="C491" s="98">
        <f t="shared" ref="C491:P491" si="2895">SUM(C20,C58,C96,C134,C172,C210,C248,C286,C324,C362,C400,C438)</f>
        <v>0</v>
      </c>
      <c r="D491" s="98">
        <f t="shared" si="2895"/>
        <v>0</v>
      </c>
      <c r="E491" s="98">
        <f t="shared" si="2895"/>
        <v>0</v>
      </c>
      <c r="F491" s="98">
        <f t="shared" si="2895"/>
        <v>0</v>
      </c>
      <c r="G491" s="98">
        <f t="shared" si="2895"/>
        <v>0</v>
      </c>
      <c r="H491" s="98">
        <f t="shared" si="2895"/>
        <v>0</v>
      </c>
      <c r="I491" s="98">
        <f t="shared" si="2895"/>
        <v>0</v>
      </c>
      <c r="J491" s="98">
        <f t="shared" si="2895"/>
        <v>0</v>
      </c>
      <c r="K491" s="98">
        <f t="shared" si="2895"/>
        <v>0</v>
      </c>
      <c r="L491" s="98">
        <f t="shared" si="2895"/>
        <v>0</v>
      </c>
      <c r="M491" s="98">
        <f t="shared" si="2895"/>
        <v>0</v>
      </c>
      <c r="N491" s="98">
        <f t="shared" si="2895"/>
        <v>0</v>
      </c>
      <c r="O491" s="98">
        <f t="shared" si="2895"/>
        <v>0</v>
      </c>
      <c r="P491" s="98">
        <f t="shared" si="2895"/>
        <v>0</v>
      </c>
      <c r="Q491" s="198">
        <f t="shared" si="2600"/>
        <v>0</v>
      </c>
      <c r="R491" s="198">
        <f t="shared" si="2601"/>
        <v>0</v>
      </c>
      <c r="S491" s="98">
        <f t="shared" ref="S491:AF491" si="2896">SUM(S20,S58,S96,S134,S172,S210,S248,S286,S324,S362,S400,S438)</f>
        <v>0</v>
      </c>
      <c r="T491" s="98">
        <f t="shared" si="2896"/>
        <v>0</v>
      </c>
      <c r="U491" s="98">
        <f t="shared" si="2896"/>
        <v>0</v>
      </c>
      <c r="V491" s="98">
        <f t="shared" si="2896"/>
        <v>0</v>
      </c>
      <c r="W491" s="98">
        <f t="shared" si="2896"/>
        <v>0</v>
      </c>
      <c r="X491" s="98">
        <f t="shared" si="2896"/>
        <v>0</v>
      </c>
      <c r="Y491" s="98">
        <f t="shared" si="2896"/>
        <v>177330</v>
      </c>
      <c r="Z491" s="98">
        <f t="shared" si="2896"/>
        <v>6206550</v>
      </c>
      <c r="AA491" s="98">
        <f t="shared" si="2896"/>
        <v>0</v>
      </c>
      <c r="AB491" s="98">
        <f t="shared" si="2896"/>
        <v>0</v>
      </c>
      <c r="AC491" s="98">
        <f t="shared" si="2896"/>
        <v>0</v>
      </c>
      <c r="AD491" s="98">
        <f t="shared" si="2896"/>
        <v>0</v>
      </c>
      <c r="AE491" s="98">
        <f t="shared" si="2896"/>
        <v>0</v>
      </c>
      <c r="AF491" s="98">
        <f t="shared" si="2896"/>
        <v>0</v>
      </c>
      <c r="AG491" s="198">
        <f t="shared" si="2603"/>
        <v>177330</v>
      </c>
      <c r="AH491" s="198">
        <f t="shared" si="2604"/>
        <v>6206550</v>
      </c>
      <c r="AI491" s="98">
        <f t="shared" ref="AI491:AV491" si="2897">SUM(AI20,AI58,AI96,AI134,AI172,AI210,AI248,AI286,AI324,AI362,AI400,AI438)</f>
        <v>0</v>
      </c>
      <c r="AJ491" s="98">
        <f t="shared" si="2897"/>
        <v>0</v>
      </c>
      <c r="AK491" s="98">
        <f t="shared" si="2897"/>
        <v>0</v>
      </c>
      <c r="AL491" s="98">
        <f t="shared" si="2897"/>
        <v>0</v>
      </c>
      <c r="AM491" s="98">
        <f t="shared" si="2897"/>
        <v>0</v>
      </c>
      <c r="AN491" s="98">
        <f t="shared" si="2897"/>
        <v>0</v>
      </c>
      <c r="AO491" s="98">
        <f t="shared" si="2897"/>
        <v>7261500</v>
      </c>
      <c r="AP491" s="98">
        <f t="shared" si="2897"/>
        <v>209730200</v>
      </c>
      <c r="AQ491" s="98">
        <f t="shared" si="2897"/>
        <v>0</v>
      </c>
      <c r="AR491" s="98">
        <f t="shared" si="2897"/>
        <v>0</v>
      </c>
      <c r="AS491" s="98">
        <f t="shared" si="2897"/>
        <v>0</v>
      </c>
      <c r="AT491" s="98">
        <f t="shared" si="2897"/>
        <v>0</v>
      </c>
      <c r="AU491" s="98">
        <f t="shared" si="2897"/>
        <v>0</v>
      </c>
      <c r="AV491" s="98">
        <f t="shared" si="2897"/>
        <v>0</v>
      </c>
      <c r="AW491" s="198">
        <f t="shared" si="2606"/>
        <v>7261500</v>
      </c>
      <c r="AX491" s="198">
        <f t="shared" si="2607"/>
        <v>209730200</v>
      </c>
      <c r="AY491" s="98">
        <f t="shared" ref="AY491:BL491" si="2898">SUM(AY20,AY58,AY96,AY134,AY172,AY210,AY248,AY286,AY324,AY362,AY400,AY438)</f>
        <v>0</v>
      </c>
      <c r="AZ491" s="98">
        <f t="shared" si="2898"/>
        <v>0</v>
      </c>
      <c r="BA491" s="98">
        <f t="shared" si="2898"/>
        <v>0</v>
      </c>
      <c r="BB491" s="98">
        <f t="shared" si="2898"/>
        <v>0</v>
      </c>
      <c r="BC491" s="98">
        <f t="shared" si="2898"/>
        <v>0</v>
      </c>
      <c r="BD491" s="98">
        <f t="shared" si="2898"/>
        <v>0</v>
      </c>
      <c r="BE491" s="98">
        <f t="shared" si="2898"/>
        <v>68631</v>
      </c>
      <c r="BF491" s="98">
        <f t="shared" si="2898"/>
        <v>2058930</v>
      </c>
      <c r="BG491" s="98">
        <f t="shared" si="2898"/>
        <v>0</v>
      </c>
      <c r="BH491" s="98">
        <f t="shared" si="2898"/>
        <v>0</v>
      </c>
      <c r="BI491" s="98">
        <f t="shared" si="2898"/>
        <v>0</v>
      </c>
      <c r="BJ491" s="98">
        <f t="shared" si="2898"/>
        <v>0</v>
      </c>
      <c r="BK491" s="98">
        <f t="shared" si="2898"/>
        <v>0</v>
      </c>
      <c r="BL491" s="98">
        <f t="shared" si="2898"/>
        <v>0</v>
      </c>
      <c r="BM491" s="198">
        <f t="shared" si="2609"/>
        <v>68631</v>
      </c>
      <c r="BN491" s="198">
        <f t="shared" si="2610"/>
        <v>2058930</v>
      </c>
      <c r="BO491" s="98">
        <f t="shared" ref="BO491:CB491" si="2899">SUM(BO20,BO58,BO96,BO134,BO172,BO210,BO248,BO286,BO324,BO362,BO400,BO438)</f>
        <v>0</v>
      </c>
      <c r="BP491" s="98">
        <f t="shared" si="2899"/>
        <v>0</v>
      </c>
      <c r="BQ491" s="98">
        <f t="shared" si="2899"/>
        <v>0</v>
      </c>
      <c r="BR491" s="98">
        <f t="shared" si="2899"/>
        <v>0</v>
      </c>
      <c r="BS491" s="98">
        <f t="shared" si="2899"/>
        <v>0</v>
      </c>
      <c r="BT491" s="98">
        <f t="shared" si="2899"/>
        <v>0</v>
      </c>
      <c r="BU491" s="98">
        <f t="shared" si="2899"/>
        <v>40918</v>
      </c>
      <c r="BV491" s="98">
        <f t="shared" si="2899"/>
        <v>1554884</v>
      </c>
      <c r="BW491" s="98">
        <f t="shared" si="2899"/>
        <v>0</v>
      </c>
      <c r="BX491" s="98">
        <f t="shared" si="2899"/>
        <v>0</v>
      </c>
      <c r="BY491" s="98">
        <f t="shared" si="2899"/>
        <v>0</v>
      </c>
      <c r="BZ491" s="98">
        <f t="shared" si="2899"/>
        <v>0</v>
      </c>
      <c r="CA491" s="98">
        <f t="shared" si="2899"/>
        <v>0</v>
      </c>
      <c r="CB491" s="98">
        <f t="shared" si="2899"/>
        <v>0</v>
      </c>
      <c r="CC491" s="198">
        <f t="shared" si="2612"/>
        <v>40918</v>
      </c>
      <c r="CD491" s="198">
        <f t="shared" si="2613"/>
        <v>1554884</v>
      </c>
      <c r="CE491" s="98">
        <f t="shared" ref="CE491:CR491" si="2900">SUM(CE20,CE58,CE96,CE134,CE172,CE210,CE248,CE286,CE324,CE362,CE400,CE438)</f>
        <v>0</v>
      </c>
      <c r="CF491" s="98">
        <f t="shared" si="2900"/>
        <v>0</v>
      </c>
      <c r="CG491" s="98">
        <f t="shared" si="2900"/>
        <v>0</v>
      </c>
      <c r="CH491" s="98">
        <f t="shared" si="2900"/>
        <v>0</v>
      </c>
      <c r="CI491" s="98">
        <f t="shared" si="2900"/>
        <v>0</v>
      </c>
      <c r="CJ491" s="98">
        <f t="shared" si="2900"/>
        <v>0</v>
      </c>
      <c r="CK491" s="98">
        <f t="shared" si="2900"/>
        <v>4398.9264637253982</v>
      </c>
      <c r="CL491" s="98">
        <f t="shared" si="2900"/>
        <v>117478.722540847</v>
      </c>
      <c r="CM491" s="98">
        <f t="shared" si="2900"/>
        <v>0</v>
      </c>
      <c r="CN491" s="98">
        <f t="shared" si="2900"/>
        <v>0</v>
      </c>
      <c r="CO491" s="98">
        <f t="shared" si="2900"/>
        <v>0</v>
      </c>
      <c r="CP491" s="98">
        <f t="shared" si="2900"/>
        <v>0</v>
      </c>
      <c r="CQ491" s="98">
        <f t="shared" si="2900"/>
        <v>0</v>
      </c>
      <c r="CR491" s="98">
        <f t="shared" si="2900"/>
        <v>0</v>
      </c>
      <c r="CS491" s="198">
        <f t="shared" si="2615"/>
        <v>4398.9264637253982</v>
      </c>
      <c r="CT491" s="198">
        <f t="shared" si="2616"/>
        <v>117478.722540847</v>
      </c>
      <c r="CU491" s="98">
        <f t="shared" ref="CU491:DH491" si="2901">SUM(CU20,CU58,CU96,CU134,CU172,CU210,CU248,CU286,CU324,CU362,CU400,CU438)</f>
        <v>0</v>
      </c>
      <c r="CV491" s="98">
        <f t="shared" si="2901"/>
        <v>0</v>
      </c>
      <c r="CW491" s="98">
        <f t="shared" si="2901"/>
        <v>0</v>
      </c>
      <c r="CX491" s="98">
        <f t="shared" si="2901"/>
        <v>0</v>
      </c>
      <c r="CY491" s="98">
        <f t="shared" si="2901"/>
        <v>0</v>
      </c>
      <c r="CZ491" s="98">
        <f t="shared" si="2901"/>
        <v>0</v>
      </c>
      <c r="DA491" s="98">
        <f t="shared" si="2901"/>
        <v>2809342</v>
      </c>
      <c r="DB491" s="98">
        <f t="shared" si="2901"/>
        <v>87284868</v>
      </c>
      <c r="DC491" s="98">
        <f t="shared" si="2901"/>
        <v>0</v>
      </c>
      <c r="DD491" s="98">
        <f t="shared" si="2901"/>
        <v>0</v>
      </c>
      <c r="DE491" s="98">
        <f t="shared" si="2901"/>
        <v>0</v>
      </c>
      <c r="DF491" s="98">
        <f t="shared" si="2901"/>
        <v>0</v>
      </c>
      <c r="DG491" s="98">
        <f t="shared" si="2901"/>
        <v>0</v>
      </c>
      <c r="DH491" s="98">
        <f t="shared" si="2901"/>
        <v>0</v>
      </c>
      <c r="DI491" s="198">
        <f t="shared" si="2618"/>
        <v>2809342</v>
      </c>
      <c r="DJ491" s="198">
        <f t="shared" si="2619"/>
        <v>87284868</v>
      </c>
      <c r="DK491" s="98">
        <f t="shared" ref="DK491:DX491" si="2902">SUM(DK20,DK58,DK96,DK134,DK172,DK210,DK248,DK286,DK324,DK362,DK400,DK438)</f>
        <v>0</v>
      </c>
      <c r="DL491" s="98">
        <f t="shared" si="2902"/>
        <v>0</v>
      </c>
      <c r="DM491" s="98">
        <f t="shared" si="2902"/>
        <v>0</v>
      </c>
      <c r="DN491" s="98">
        <f t="shared" si="2902"/>
        <v>0</v>
      </c>
      <c r="DO491" s="98">
        <f t="shared" si="2902"/>
        <v>0</v>
      </c>
      <c r="DP491" s="98">
        <f t="shared" si="2902"/>
        <v>0</v>
      </c>
      <c r="DQ491" s="98">
        <f t="shared" si="2902"/>
        <v>424900</v>
      </c>
      <c r="DR491" s="98">
        <f t="shared" si="2902"/>
        <v>12976200</v>
      </c>
      <c r="DS491" s="98">
        <f t="shared" si="2902"/>
        <v>0</v>
      </c>
      <c r="DT491" s="98">
        <f t="shared" si="2902"/>
        <v>0</v>
      </c>
      <c r="DU491" s="98">
        <f t="shared" si="2902"/>
        <v>0</v>
      </c>
      <c r="DV491" s="98">
        <f t="shared" si="2902"/>
        <v>0</v>
      </c>
      <c r="DW491" s="98">
        <f t="shared" si="2902"/>
        <v>0</v>
      </c>
      <c r="DX491" s="98">
        <f t="shared" si="2902"/>
        <v>0</v>
      </c>
      <c r="DY491" s="198">
        <f t="shared" si="2621"/>
        <v>424900</v>
      </c>
      <c r="DZ491" s="198">
        <f t="shared" si="2622"/>
        <v>12976200</v>
      </c>
      <c r="EA491" s="98">
        <f t="shared" ref="EA491:EN491" si="2903">SUM(EA20,EA58,EA96,EA134,EA172,EA210,EA248,EA286,EA324,EA362,EA400,EA438)</f>
        <v>0</v>
      </c>
      <c r="EB491" s="98">
        <f t="shared" si="2903"/>
        <v>0</v>
      </c>
      <c r="EC491" s="98">
        <f t="shared" si="2903"/>
        <v>0</v>
      </c>
      <c r="ED491" s="98">
        <f t="shared" si="2903"/>
        <v>0</v>
      </c>
      <c r="EE491" s="98">
        <f t="shared" si="2903"/>
        <v>0</v>
      </c>
      <c r="EF491" s="98">
        <f t="shared" si="2903"/>
        <v>0</v>
      </c>
      <c r="EG491" s="98">
        <f t="shared" si="2903"/>
        <v>2576700</v>
      </c>
      <c r="EH491" s="98">
        <f t="shared" si="2903"/>
        <v>72147600</v>
      </c>
      <c r="EI491" s="98">
        <f t="shared" si="2903"/>
        <v>0</v>
      </c>
      <c r="EJ491" s="98">
        <f t="shared" si="2903"/>
        <v>0</v>
      </c>
      <c r="EK491" s="98">
        <f t="shared" si="2903"/>
        <v>0</v>
      </c>
      <c r="EL491" s="98">
        <f t="shared" si="2903"/>
        <v>0</v>
      </c>
      <c r="EM491" s="98">
        <f t="shared" si="2903"/>
        <v>0</v>
      </c>
      <c r="EN491" s="98">
        <f t="shared" si="2903"/>
        <v>0</v>
      </c>
      <c r="EO491" s="198">
        <f t="shared" si="2624"/>
        <v>2576700</v>
      </c>
      <c r="EP491" s="198">
        <f t="shared" si="2625"/>
        <v>72147600</v>
      </c>
      <c r="EQ491" s="98">
        <f t="shared" ref="EQ491:FD491" si="2904">SUM(EQ20,EQ58,EQ96,EQ134,EQ172,EQ210,EQ248,EQ286,EQ324,EQ362,EQ400,EQ438)</f>
        <v>0</v>
      </c>
      <c r="ER491" s="98">
        <f t="shared" si="2904"/>
        <v>0</v>
      </c>
      <c r="ES491" s="98">
        <f t="shared" si="2904"/>
        <v>0</v>
      </c>
      <c r="ET491" s="98">
        <f t="shared" si="2904"/>
        <v>0</v>
      </c>
      <c r="EU491" s="98">
        <f t="shared" si="2904"/>
        <v>0</v>
      </c>
      <c r="EV491" s="98">
        <f t="shared" si="2904"/>
        <v>0</v>
      </c>
      <c r="EW491" s="98">
        <f t="shared" si="2904"/>
        <v>0</v>
      </c>
      <c r="EX491" s="98">
        <f t="shared" si="2904"/>
        <v>0</v>
      </c>
      <c r="EY491" s="98">
        <f t="shared" si="2904"/>
        <v>0</v>
      </c>
      <c r="EZ491" s="98">
        <f t="shared" si="2904"/>
        <v>0</v>
      </c>
      <c r="FA491" s="98">
        <f t="shared" si="2904"/>
        <v>0</v>
      </c>
      <c r="FB491" s="98">
        <f t="shared" si="2904"/>
        <v>0</v>
      </c>
      <c r="FC491" s="98">
        <f t="shared" si="2904"/>
        <v>0</v>
      </c>
      <c r="FD491" s="98">
        <f t="shared" si="2904"/>
        <v>0</v>
      </c>
      <c r="FE491" s="198">
        <f t="shared" si="2627"/>
        <v>0</v>
      </c>
      <c r="FF491" s="198">
        <f t="shared" si="2628"/>
        <v>0</v>
      </c>
      <c r="FG491" s="98">
        <f t="shared" ref="FG491:FT491" si="2905">SUM(FG20,FG58,FG96,FG134,FG172,FG210,FG248,FG286,FG324,FG362,FG400,FG438)</f>
        <v>0</v>
      </c>
      <c r="FH491" s="98">
        <f t="shared" si="2905"/>
        <v>0</v>
      </c>
      <c r="FI491" s="98">
        <f t="shared" si="2905"/>
        <v>0</v>
      </c>
      <c r="FJ491" s="98">
        <f t="shared" si="2905"/>
        <v>0</v>
      </c>
      <c r="FK491" s="98">
        <f t="shared" si="2905"/>
        <v>0</v>
      </c>
      <c r="FL491" s="98">
        <f t="shared" si="2905"/>
        <v>0</v>
      </c>
      <c r="FM491" s="98">
        <f t="shared" si="2905"/>
        <v>794200</v>
      </c>
      <c r="FN491" s="98">
        <f t="shared" si="2905"/>
        <v>27797000</v>
      </c>
      <c r="FO491" s="98">
        <f t="shared" si="2905"/>
        <v>0</v>
      </c>
      <c r="FP491" s="98">
        <f t="shared" si="2905"/>
        <v>0</v>
      </c>
      <c r="FQ491" s="98">
        <f t="shared" si="2905"/>
        <v>0</v>
      </c>
      <c r="FR491" s="98">
        <f t="shared" si="2905"/>
        <v>0</v>
      </c>
      <c r="FS491" s="98">
        <f t="shared" si="2905"/>
        <v>0</v>
      </c>
      <c r="FT491" s="98">
        <f t="shared" si="2905"/>
        <v>0</v>
      </c>
      <c r="FU491" s="198">
        <f t="shared" si="2630"/>
        <v>794200</v>
      </c>
      <c r="FV491" s="198">
        <f t="shared" si="2631"/>
        <v>27797000</v>
      </c>
      <c r="FW491" s="98">
        <f t="shared" ref="FW491:GJ491" si="2906">SUM(FW20,FW58,FW96,FW134,FW172,FW210,FW248,FW286,FW324,FW362,FW400,FW438)</f>
        <v>0</v>
      </c>
      <c r="FX491" s="98">
        <f t="shared" si="2906"/>
        <v>0</v>
      </c>
      <c r="FY491" s="98">
        <f t="shared" si="2906"/>
        <v>0</v>
      </c>
      <c r="FZ491" s="98">
        <f t="shared" si="2906"/>
        <v>0</v>
      </c>
      <c r="GA491" s="98">
        <f t="shared" si="2906"/>
        <v>0</v>
      </c>
      <c r="GB491" s="98">
        <f t="shared" si="2906"/>
        <v>0</v>
      </c>
      <c r="GC491" s="98">
        <f t="shared" si="2906"/>
        <v>443100</v>
      </c>
      <c r="GD491" s="98">
        <f t="shared" si="2906"/>
        <v>12954500</v>
      </c>
      <c r="GE491" s="98">
        <f t="shared" si="2906"/>
        <v>0</v>
      </c>
      <c r="GF491" s="98">
        <f t="shared" si="2906"/>
        <v>0</v>
      </c>
      <c r="GG491" s="98">
        <f t="shared" si="2906"/>
        <v>0</v>
      </c>
      <c r="GH491" s="98">
        <f t="shared" si="2906"/>
        <v>0</v>
      </c>
      <c r="GI491" s="98">
        <f t="shared" si="2906"/>
        <v>0</v>
      </c>
      <c r="GJ491" s="98">
        <f t="shared" si="2906"/>
        <v>0</v>
      </c>
      <c r="GK491" s="198">
        <f t="shared" si="2633"/>
        <v>443100</v>
      </c>
      <c r="GL491" s="198">
        <f t="shared" si="2634"/>
        <v>12954500</v>
      </c>
      <c r="GM491" s="98">
        <f t="shared" ref="GM491:GZ491" si="2907">SUM(GM20,GM58,GM96,GM134,GM172,GM210,GM248,GM286,GM324,GM362,GM400,GM438)</f>
        <v>0</v>
      </c>
      <c r="GN491" s="98">
        <f t="shared" si="2907"/>
        <v>0</v>
      </c>
      <c r="GO491" s="98">
        <f t="shared" si="2907"/>
        <v>0</v>
      </c>
      <c r="GP491" s="98">
        <f t="shared" si="2907"/>
        <v>0</v>
      </c>
      <c r="GQ491" s="98">
        <f t="shared" si="2907"/>
        <v>0</v>
      </c>
      <c r="GR491" s="98">
        <f t="shared" si="2907"/>
        <v>0</v>
      </c>
      <c r="GS491" s="98">
        <f t="shared" si="2907"/>
        <v>80150</v>
      </c>
      <c r="GT491" s="98">
        <f t="shared" si="2907"/>
        <v>2275100</v>
      </c>
      <c r="GU491" s="98">
        <f t="shared" si="2907"/>
        <v>0</v>
      </c>
      <c r="GV491" s="98">
        <f t="shared" si="2907"/>
        <v>0</v>
      </c>
      <c r="GW491" s="98">
        <f t="shared" si="2907"/>
        <v>0</v>
      </c>
      <c r="GX491" s="98">
        <f t="shared" si="2907"/>
        <v>0</v>
      </c>
      <c r="GY491" s="98">
        <f t="shared" si="2907"/>
        <v>0</v>
      </c>
      <c r="GZ491" s="98">
        <f t="shared" si="2907"/>
        <v>0</v>
      </c>
      <c r="HA491" s="198">
        <f t="shared" si="2636"/>
        <v>80150</v>
      </c>
      <c r="HB491" s="198">
        <f t="shared" si="2637"/>
        <v>2275100</v>
      </c>
      <c r="HC491" s="98">
        <f t="shared" ref="HC491:HP491" si="2908">SUM(HC20,HC58,HC96,HC134,HC172,HC210,HC248,HC286,HC324,HC362,HC400,HC438)</f>
        <v>0</v>
      </c>
      <c r="HD491" s="98">
        <f t="shared" si="2908"/>
        <v>0</v>
      </c>
      <c r="HE491" s="98">
        <f t="shared" si="2908"/>
        <v>0</v>
      </c>
      <c r="HF491" s="98">
        <f t="shared" si="2908"/>
        <v>0</v>
      </c>
      <c r="HG491" s="98">
        <f t="shared" si="2908"/>
        <v>0</v>
      </c>
      <c r="HH491" s="98">
        <f t="shared" si="2908"/>
        <v>0</v>
      </c>
      <c r="HI491" s="98">
        <f t="shared" si="2908"/>
        <v>73000</v>
      </c>
      <c r="HJ491" s="98">
        <f t="shared" si="2908"/>
        <v>2250000</v>
      </c>
      <c r="HK491" s="98">
        <f t="shared" si="2908"/>
        <v>0</v>
      </c>
      <c r="HL491" s="98">
        <f t="shared" si="2908"/>
        <v>0</v>
      </c>
      <c r="HM491" s="98">
        <f t="shared" si="2908"/>
        <v>0</v>
      </c>
      <c r="HN491" s="98">
        <f t="shared" si="2908"/>
        <v>0</v>
      </c>
      <c r="HO491" s="98">
        <f t="shared" si="2908"/>
        <v>0</v>
      </c>
      <c r="HP491" s="98">
        <f t="shared" si="2908"/>
        <v>0</v>
      </c>
      <c r="HQ491" s="198">
        <f t="shared" si="2639"/>
        <v>73000</v>
      </c>
      <c r="HR491" s="198">
        <f t="shared" si="2640"/>
        <v>2250000</v>
      </c>
      <c r="HS491" s="98">
        <f t="shared" ref="HS491:IF491" si="2909">SUM(HS20,HS58,HS96,HS134,HS172,HS210,HS248,HS286,HS324,HS362,HS400,HS438)</f>
        <v>0</v>
      </c>
      <c r="HT491" s="98">
        <f t="shared" si="2909"/>
        <v>0</v>
      </c>
      <c r="HU491" s="98">
        <f t="shared" si="2909"/>
        <v>0</v>
      </c>
      <c r="HV491" s="98">
        <f t="shared" si="2909"/>
        <v>0</v>
      </c>
      <c r="HW491" s="98">
        <f t="shared" si="2909"/>
        <v>0</v>
      </c>
      <c r="HX491" s="98">
        <f t="shared" si="2909"/>
        <v>0</v>
      </c>
      <c r="HY491" s="98">
        <f t="shared" si="2909"/>
        <v>91200</v>
      </c>
      <c r="HZ491" s="98">
        <f t="shared" si="2909"/>
        <v>3128160</v>
      </c>
      <c r="IA491" s="98">
        <f t="shared" si="2909"/>
        <v>0</v>
      </c>
      <c r="IB491" s="98">
        <f t="shared" si="2909"/>
        <v>0</v>
      </c>
      <c r="IC491" s="98">
        <f t="shared" si="2909"/>
        <v>0</v>
      </c>
      <c r="ID491" s="98">
        <f t="shared" si="2909"/>
        <v>0</v>
      </c>
      <c r="IE491" s="98">
        <f t="shared" si="2909"/>
        <v>0</v>
      </c>
      <c r="IF491" s="98">
        <f t="shared" si="2909"/>
        <v>0</v>
      </c>
      <c r="IG491" s="198">
        <f t="shared" si="2642"/>
        <v>91200</v>
      </c>
      <c r="IH491" s="198">
        <f t="shared" si="2643"/>
        <v>3128160</v>
      </c>
      <c r="II491" s="98">
        <f t="shared" ref="II491:IV491" si="2910">SUM(II20,II58,II96,II134,II172,II210,II248,II286,II324,II362,II400,II438)</f>
        <v>0</v>
      </c>
      <c r="IJ491" s="98">
        <f t="shared" si="2910"/>
        <v>0</v>
      </c>
      <c r="IK491" s="98">
        <f t="shared" si="2910"/>
        <v>0</v>
      </c>
      <c r="IL491" s="98">
        <f t="shared" si="2910"/>
        <v>0</v>
      </c>
      <c r="IM491" s="98">
        <f t="shared" si="2910"/>
        <v>0</v>
      </c>
      <c r="IN491" s="98">
        <f t="shared" si="2910"/>
        <v>0</v>
      </c>
      <c r="IO491" s="98">
        <f t="shared" si="2910"/>
        <v>1110104</v>
      </c>
      <c r="IP491" s="98">
        <f t="shared" si="2910"/>
        <v>34358898</v>
      </c>
      <c r="IQ491" s="98">
        <f t="shared" si="2910"/>
        <v>0</v>
      </c>
      <c r="IR491" s="98">
        <f t="shared" si="2910"/>
        <v>0</v>
      </c>
      <c r="IS491" s="98">
        <f t="shared" si="2910"/>
        <v>0</v>
      </c>
      <c r="IT491" s="98">
        <f t="shared" si="2910"/>
        <v>0</v>
      </c>
      <c r="IU491" s="98">
        <f t="shared" si="2910"/>
        <v>0</v>
      </c>
      <c r="IV491" s="98">
        <f t="shared" si="2910"/>
        <v>0</v>
      </c>
      <c r="IW491" s="198">
        <f t="shared" si="2645"/>
        <v>1110104</v>
      </c>
      <c r="IX491" s="198">
        <f t="shared" si="2646"/>
        <v>34358898</v>
      </c>
      <c r="IY491" s="98">
        <f t="shared" ref="IY491:JL491" si="2911">SUM(IY20,IY58,IY96,IY134,IY172,IY210,IY248,IY286,IY324,IY362,IY400,IY438)</f>
        <v>0</v>
      </c>
      <c r="IZ491" s="98">
        <f t="shared" si="2911"/>
        <v>0</v>
      </c>
      <c r="JA491" s="98">
        <f t="shared" si="2911"/>
        <v>0</v>
      </c>
      <c r="JB491" s="98">
        <f t="shared" si="2911"/>
        <v>0</v>
      </c>
      <c r="JC491" s="98">
        <f t="shared" si="2911"/>
        <v>0</v>
      </c>
      <c r="JD491" s="98">
        <f t="shared" si="2911"/>
        <v>0</v>
      </c>
      <c r="JE491" s="98">
        <f t="shared" si="2911"/>
        <v>183130</v>
      </c>
      <c r="JF491" s="98">
        <f t="shared" si="2911"/>
        <v>5493900</v>
      </c>
      <c r="JG491" s="98">
        <f t="shared" si="2911"/>
        <v>0</v>
      </c>
      <c r="JH491" s="98">
        <f t="shared" si="2911"/>
        <v>0</v>
      </c>
      <c r="JI491" s="98">
        <f t="shared" si="2911"/>
        <v>0</v>
      </c>
      <c r="JJ491" s="98">
        <f t="shared" si="2911"/>
        <v>0</v>
      </c>
      <c r="JK491" s="98">
        <f t="shared" si="2911"/>
        <v>0</v>
      </c>
      <c r="JL491" s="98">
        <f t="shared" si="2911"/>
        <v>0</v>
      </c>
      <c r="JM491" s="198">
        <f t="shared" si="2648"/>
        <v>183130</v>
      </c>
      <c r="JN491" s="198">
        <f t="shared" si="2649"/>
        <v>5493900</v>
      </c>
      <c r="JO491" s="98">
        <f t="shared" ref="JO491:KB491" si="2912">SUM(JO20,JO58,JO96,JO134,JO172,JO210,JO248,JO286,JO324,JO362,JO400,JO438)</f>
        <v>0</v>
      </c>
      <c r="JP491" s="98">
        <f t="shared" si="2912"/>
        <v>0</v>
      </c>
      <c r="JQ491" s="98">
        <f t="shared" si="2912"/>
        <v>0</v>
      </c>
      <c r="JR491" s="98">
        <f t="shared" si="2912"/>
        <v>0</v>
      </c>
      <c r="JS491" s="98">
        <f t="shared" si="2912"/>
        <v>0</v>
      </c>
      <c r="JT491" s="98">
        <f t="shared" si="2912"/>
        <v>0</v>
      </c>
      <c r="JU491" s="98">
        <f t="shared" si="2912"/>
        <v>555</v>
      </c>
      <c r="JV491" s="98">
        <f t="shared" si="2912"/>
        <v>19425</v>
      </c>
      <c r="JW491" s="98">
        <f t="shared" si="2912"/>
        <v>0</v>
      </c>
      <c r="JX491" s="98">
        <f t="shared" si="2912"/>
        <v>0</v>
      </c>
      <c r="JY491" s="98">
        <f t="shared" si="2912"/>
        <v>0</v>
      </c>
      <c r="JZ491" s="98">
        <f t="shared" si="2912"/>
        <v>0</v>
      </c>
      <c r="KA491" s="98">
        <f t="shared" si="2912"/>
        <v>0</v>
      </c>
      <c r="KB491" s="98">
        <f t="shared" si="2912"/>
        <v>0</v>
      </c>
      <c r="KC491" s="198">
        <f t="shared" si="2651"/>
        <v>555</v>
      </c>
      <c r="KD491" s="198">
        <f t="shared" si="2652"/>
        <v>19425</v>
      </c>
      <c r="KE491" s="98">
        <f t="shared" ref="KE491:KR491" si="2913">SUM(KE20,KE58,KE96,KE134,KE172,KE210,KE248,KE286,KE324,KE362,KE400,KE438)</f>
        <v>0</v>
      </c>
      <c r="KF491" s="98">
        <f t="shared" si="2913"/>
        <v>0</v>
      </c>
      <c r="KG491" s="98">
        <f t="shared" si="2913"/>
        <v>0</v>
      </c>
      <c r="KH491" s="98">
        <f t="shared" si="2913"/>
        <v>0</v>
      </c>
      <c r="KI491" s="98">
        <f t="shared" si="2913"/>
        <v>0</v>
      </c>
      <c r="KJ491" s="98">
        <f t="shared" si="2913"/>
        <v>0</v>
      </c>
      <c r="KK491" s="98">
        <f t="shared" si="2913"/>
        <v>2066</v>
      </c>
      <c r="KL491" s="98">
        <f t="shared" si="2913"/>
        <v>103300</v>
      </c>
      <c r="KM491" s="98">
        <f t="shared" si="2913"/>
        <v>0</v>
      </c>
      <c r="KN491" s="98">
        <f t="shared" si="2913"/>
        <v>0</v>
      </c>
      <c r="KO491" s="98">
        <f t="shared" si="2913"/>
        <v>0</v>
      </c>
      <c r="KP491" s="98">
        <f t="shared" si="2913"/>
        <v>0</v>
      </c>
      <c r="KQ491" s="98">
        <f t="shared" si="2913"/>
        <v>0</v>
      </c>
      <c r="KR491" s="98">
        <f t="shared" si="2913"/>
        <v>0</v>
      </c>
      <c r="KS491" s="198">
        <f t="shared" si="2654"/>
        <v>2066</v>
      </c>
      <c r="KT491" s="198">
        <f t="shared" si="2655"/>
        <v>103300</v>
      </c>
      <c r="KU491" s="98">
        <f t="shared" ref="KU491:LH491" si="2914">SUM(KU20,KU58,KU96,KU134,KU172,KU210,KU248,KU286,KU324,KU362,KU400,KU438)</f>
        <v>0</v>
      </c>
      <c r="KV491" s="98">
        <f t="shared" si="2914"/>
        <v>0</v>
      </c>
      <c r="KW491" s="98">
        <f t="shared" si="2914"/>
        <v>0</v>
      </c>
      <c r="KX491" s="98">
        <f t="shared" si="2914"/>
        <v>0</v>
      </c>
      <c r="KY491" s="98">
        <f t="shared" si="2914"/>
        <v>0</v>
      </c>
      <c r="KZ491" s="98">
        <f t="shared" si="2914"/>
        <v>0</v>
      </c>
      <c r="LA491" s="98">
        <f t="shared" si="2914"/>
        <v>150742.07999999999</v>
      </c>
      <c r="LB491" s="98">
        <f t="shared" si="2914"/>
        <v>5275968</v>
      </c>
      <c r="LC491" s="98">
        <f t="shared" si="2914"/>
        <v>0</v>
      </c>
      <c r="LD491" s="98">
        <f t="shared" si="2914"/>
        <v>0</v>
      </c>
      <c r="LE491" s="98">
        <f t="shared" si="2914"/>
        <v>0</v>
      </c>
      <c r="LF491" s="98">
        <f t="shared" si="2914"/>
        <v>0</v>
      </c>
      <c r="LG491" s="98">
        <f t="shared" si="2914"/>
        <v>0</v>
      </c>
      <c r="LH491" s="98">
        <f t="shared" si="2914"/>
        <v>0</v>
      </c>
      <c r="LI491" s="198">
        <f t="shared" si="2657"/>
        <v>150742.07999999999</v>
      </c>
      <c r="LJ491" s="198">
        <f t="shared" si="2658"/>
        <v>5275968</v>
      </c>
      <c r="LK491" s="98">
        <f t="shared" ref="LK491:LX491" si="2915">SUM(LK20,LK58,LK96,LK134,LK172,LK210,LK248,LK286,LK324,LK362,LK400,LK438)</f>
        <v>0</v>
      </c>
      <c r="LL491" s="98">
        <f t="shared" si="2915"/>
        <v>0</v>
      </c>
      <c r="LM491" s="98">
        <f t="shared" si="2915"/>
        <v>0</v>
      </c>
      <c r="LN491" s="98">
        <f t="shared" si="2915"/>
        <v>0</v>
      </c>
      <c r="LO491" s="98">
        <f t="shared" si="2915"/>
        <v>0</v>
      </c>
      <c r="LP491" s="98">
        <f t="shared" si="2915"/>
        <v>0</v>
      </c>
      <c r="LQ491" s="98">
        <f t="shared" si="2915"/>
        <v>320623</v>
      </c>
      <c r="LR491" s="98">
        <f t="shared" si="2915"/>
        <v>9545037.5300000012</v>
      </c>
      <c r="LS491" s="98">
        <f t="shared" si="2915"/>
        <v>0</v>
      </c>
      <c r="LT491" s="98">
        <f t="shared" si="2915"/>
        <v>0</v>
      </c>
      <c r="LU491" s="98">
        <f t="shared" si="2915"/>
        <v>0</v>
      </c>
      <c r="LV491" s="98">
        <f t="shared" si="2915"/>
        <v>0</v>
      </c>
      <c r="LW491" s="98">
        <f t="shared" si="2915"/>
        <v>0</v>
      </c>
      <c r="LX491" s="98">
        <f t="shared" si="2915"/>
        <v>0</v>
      </c>
      <c r="LY491" s="198">
        <f t="shared" si="2660"/>
        <v>320623</v>
      </c>
      <c r="LZ491" s="198">
        <f t="shared" si="2661"/>
        <v>9545037.5300000012</v>
      </c>
      <c r="MA491" s="98">
        <f t="shared" ref="MA491:MN491" si="2916">SUM(MA20,MA58,MA96,MA134,MA172,MA210,MA248,MA286,MA324,MA362,MA400,MA438)</f>
        <v>0</v>
      </c>
      <c r="MB491" s="98">
        <f t="shared" si="2916"/>
        <v>0</v>
      </c>
      <c r="MC491" s="98">
        <f t="shared" si="2916"/>
        <v>0</v>
      </c>
      <c r="MD491" s="98">
        <f t="shared" si="2916"/>
        <v>0</v>
      </c>
      <c r="ME491" s="98">
        <f t="shared" si="2916"/>
        <v>0</v>
      </c>
      <c r="MF491" s="98">
        <f t="shared" si="2916"/>
        <v>0</v>
      </c>
      <c r="MG491" s="98">
        <f t="shared" si="2916"/>
        <v>1570</v>
      </c>
      <c r="MH491" s="98">
        <f t="shared" si="2916"/>
        <v>42390</v>
      </c>
      <c r="MI491" s="98">
        <f t="shared" si="2916"/>
        <v>0</v>
      </c>
      <c r="MJ491" s="98">
        <f t="shared" si="2916"/>
        <v>0</v>
      </c>
      <c r="MK491" s="98">
        <f t="shared" si="2916"/>
        <v>0</v>
      </c>
      <c r="ML491" s="98">
        <f t="shared" si="2916"/>
        <v>0</v>
      </c>
      <c r="MM491" s="98">
        <f t="shared" si="2916"/>
        <v>0</v>
      </c>
      <c r="MN491" s="98">
        <f t="shared" si="2916"/>
        <v>0</v>
      </c>
      <c r="MO491" s="198">
        <f t="shared" si="2663"/>
        <v>1570</v>
      </c>
      <c r="MP491" s="198">
        <f t="shared" si="2664"/>
        <v>42390</v>
      </c>
      <c r="MQ491" s="98">
        <f t="shared" ref="MQ491:ND491" si="2917">SUM(MQ20,MQ58,MQ96,MQ134,MQ172,MQ210,MQ248,MQ286,MQ324,MQ362,MQ400,MQ438)</f>
        <v>0</v>
      </c>
      <c r="MR491" s="98">
        <f t="shared" si="2917"/>
        <v>0</v>
      </c>
      <c r="MS491" s="98">
        <f t="shared" si="2917"/>
        <v>0</v>
      </c>
      <c r="MT491" s="98">
        <f t="shared" si="2917"/>
        <v>0</v>
      </c>
      <c r="MU491" s="98">
        <f t="shared" si="2917"/>
        <v>0</v>
      </c>
      <c r="MV491" s="98">
        <f t="shared" si="2917"/>
        <v>0</v>
      </c>
      <c r="MW491" s="98">
        <f t="shared" si="2917"/>
        <v>0</v>
      </c>
      <c r="MX491" s="98">
        <f t="shared" si="2917"/>
        <v>0</v>
      </c>
      <c r="MY491" s="98">
        <f t="shared" si="2917"/>
        <v>0</v>
      </c>
      <c r="MZ491" s="98">
        <f t="shared" si="2917"/>
        <v>0</v>
      </c>
      <c r="NA491" s="98">
        <f t="shared" si="2917"/>
        <v>0</v>
      </c>
      <c r="NB491" s="98">
        <f t="shared" si="2917"/>
        <v>0</v>
      </c>
      <c r="NC491" s="98">
        <f t="shared" si="2917"/>
        <v>0</v>
      </c>
      <c r="ND491" s="98">
        <f t="shared" si="2917"/>
        <v>0</v>
      </c>
      <c r="NE491" s="198">
        <f t="shared" si="2666"/>
        <v>0</v>
      </c>
      <c r="NF491" s="198">
        <f t="shared" si="2667"/>
        <v>0</v>
      </c>
      <c r="NG491" s="98">
        <f t="shared" ref="NG491:NT491" si="2918">SUM(NG20,NG58,NG96,NG134,NG172,NG210,NG248,NG286,NG324,NG362,NG400,NG438)</f>
        <v>0</v>
      </c>
      <c r="NH491" s="98">
        <f t="shared" si="2918"/>
        <v>0</v>
      </c>
      <c r="NI491" s="98">
        <f t="shared" si="2918"/>
        <v>0</v>
      </c>
      <c r="NJ491" s="98">
        <f t="shared" si="2918"/>
        <v>0</v>
      </c>
      <c r="NK491" s="98">
        <f t="shared" si="2918"/>
        <v>0</v>
      </c>
      <c r="NL491" s="98">
        <f t="shared" si="2918"/>
        <v>0</v>
      </c>
      <c r="NM491" s="98">
        <f t="shared" si="2918"/>
        <v>252200</v>
      </c>
      <c r="NN491" s="98">
        <f t="shared" si="2918"/>
        <v>7061600</v>
      </c>
      <c r="NO491" s="98">
        <f t="shared" si="2918"/>
        <v>0</v>
      </c>
      <c r="NP491" s="98">
        <f t="shared" si="2918"/>
        <v>0</v>
      </c>
      <c r="NQ491" s="98">
        <f t="shared" si="2918"/>
        <v>8400</v>
      </c>
      <c r="NR491" s="98">
        <f t="shared" si="2918"/>
        <v>235200</v>
      </c>
      <c r="NS491" s="98">
        <f t="shared" si="2918"/>
        <v>0</v>
      </c>
      <c r="NT491" s="98">
        <f t="shared" si="2918"/>
        <v>0</v>
      </c>
      <c r="NU491" s="198">
        <f t="shared" si="2669"/>
        <v>260600</v>
      </c>
      <c r="NV491" s="198">
        <f t="shared" si="2670"/>
        <v>7296800</v>
      </c>
      <c r="NW491" s="98">
        <f t="shared" ref="NW491:OJ491" si="2919">SUM(NW20,NW58,NW96,NW134,NW172,NW210,NW248,NW286,NW324,NW362,NW400,NW438)</f>
        <v>0</v>
      </c>
      <c r="NX491" s="98">
        <f t="shared" si="2919"/>
        <v>0</v>
      </c>
      <c r="NY491" s="98">
        <f t="shared" si="2919"/>
        <v>0</v>
      </c>
      <c r="NZ491" s="98">
        <f t="shared" si="2919"/>
        <v>0</v>
      </c>
      <c r="OA491" s="98">
        <f t="shared" si="2919"/>
        <v>0</v>
      </c>
      <c r="OB491" s="98">
        <f t="shared" si="2919"/>
        <v>0</v>
      </c>
      <c r="OC491" s="98">
        <f t="shared" si="2919"/>
        <v>2661</v>
      </c>
      <c r="OD491" s="98">
        <f t="shared" si="2919"/>
        <v>104440</v>
      </c>
      <c r="OE491" s="98">
        <f t="shared" si="2919"/>
        <v>0</v>
      </c>
      <c r="OF491" s="98">
        <f t="shared" si="2919"/>
        <v>0</v>
      </c>
      <c r="OG491" s="98">
        <f t="shared" si="2919"/>
        <v>0</v>
      </c>
      <c r="OH491" s="98">
        <f t="shared" si="2919"/>
        <v>0</v>
      </c>
      <c r="OI491" s="98">
        <f t="shared" si="2919"/>
        <v>0</v>
      </c>
      <c r="OJ491" s="98">
        <f t="shared" si="2919"/>
        <v>0</v>
      </c>
      <c r="OK491" s="198">
        <f t="shared" si="2672"/>
        <v>2661</v>
      </c>
      <c r="OL491" s="198">
        <f t="shared" si="2673"/>
        <v>104440</v>
      </c>
      <c r="OM491" s="98">
        <f t="shared" ref="OM491:OZ491" si="2920">SUM(OM20,OM58,OM96,OM134,OM172,OM210,OM248,OM286,OM324,OM362,OM400,OM438)</f>
        <v>0</v>
      </c>
      <c r="ON491" s="98">
        <f t="shared" si="2920"/>
        <v>0</v>
      </c>
      <c r="OO491" s="98">
        <f t="shared" si="2920"/>
        <v>0</v>
      </c>
      <c r="OP491" s="98">
        <f t="shared" si="2920"/>
        <v>0</v>
      </c>
      <c r="OQ491" s="98">
        <f t="shared" si="2920"/>
        <v>0</v>
      </c>
      <c r="OR491" s="98">
        <f t="shared" si="2920"/>
        <v>0</v>
      </c>
      <c r="OS491" s="98">
        <f t="shared" si="2920"/>
        <v>14987</v>
      </c>
      <c r="OT491" s="98">
        <f t="shared" si="2920"/>
        <v>758558</v>
      </c>
      <c r="OU491" s="98">
        <f t="shared" si="2920"/>
        <v>0</v>
      </c>
      <c r="OV491" s="98">
        <f t="shared" si="2920"/>
        <v>0</v>
      </c>
      <c r="OW491" s="98">
        <f t="shared" si="2920"/>
        <v>0</v>
      </c>
      <c r="OX491" s="98">
        <f t="shared" si="2920"/>
        <v>0</v>
      </c>
      <c r="OY491" s="98">
        <f t="shared" si="2920"/>
        <v>0</v>
      </c>
      <c r="OZ491" s="98">
        <f t="shared" si="2920"/>
        <v>0</v>
      </c>
      <c r="PA491" s="198">
        <f t="shared" si="2675"/>
        <v>14987</v>
      </c>
      <c r="PB491" s="198">
        <f t="shared" si="2676"/>
        <v>758558</v>
      </c>
      <c r="PC491" s="98">
        <f t="shared" ref="PC491:PP491" si="2921">SUM(PC20,PC58,PC96,PC134,PC172,PC210,PC248,PC286,PC324,PC362,PC400,PC438)</f>
        <v>0</v>
      </c>
      <c r="PD491" s="98">
        <f t="shared" si="2921"/>
        <v>0</v>
      </c>
      <c r="PE491" s="98">
        <f t="shared" si="2921"/>
        <v>0</v>
      </c>
      <c r="PF491" s="98">
        <f t="shared" si="2921"/>
        <v>0</v>
      </c>
      <c r="PG491" s="98">
        <f t="shared" si="2921"/>
        <v>0</v>
      </c>
      <c r="PH491" s="98">
        <f t="shared" si="2921"/>
        <v>0</v>
      </c>
      <c r="PI491" s="98">
        <f t="shared" si="2921"/>
        <v>276277</v>
      </c>
      <c r="PJ491" s="98">
        <f t="shared" si="2921"/>
        <v>6340330</v>
      </c>
      <c r="PK491" s="98">
        <f t="shared" si="2921"/>
        <v>0</v>
      </c>
      <c r="PL491" s="98">
        <f t="shared" si="2921"/>
        <v>0</v>
      </c>
      <c r="PM491" s="98">
        <f t="shared" si="2921"/>
        <v>0</v>
      </c>
      <c r="PN491" s="98">
        <f t="shared" si="2921"/>
        <v>0</v>
      </c>
      <c r="PO491" s="98">
        <f t="shared" si="2921"/>
        <v>0</v>
      </c>
      <c r="PP491" s="98">
        <f t="shared" si="2921"/>
        <v>0</v>
      </c>
      <c r="PQ491" s="198">
        <f t="shared" si="2678"/>
        <v>276277</v>
      </c>
      <c r="PR491" s="198">
        <f t="shared" si="2679"/>
        <v>6340330</v>
      </c>
      <c r="PS491" s="98">
        <f t="shared" ref="PS491:QF491" si="2922">SUM(PS20,PS58,PS96,PS134,PS172,PS210,PS248,PS286,PS324,PS362,PS400,PS438)</f>
        <v>0</v>
      </c>
      <c r="PT491" s="98">
        <f t="shared" si="2922"/>
        <v>0</v>
      </c>
      <c r="PU491" s="98">
        <f t="shared" si="2922"/>
        <v>0</v>
      </c>
      <c r="PV491" s="98">
        <f t="shared" si="2922"/>
        <v>0</v>
      </c>
      <c r="PW491" s="98">
        <f t="shared" si="2922"/>
        <v>0</v>
      </c>
      <c r="PX491" s="98">
        <f t="shared" si="2922"/>
        <v>0</v>
      </c>
      <c r="PY491" s="98">
        <f t="shared" si="2922"/>
        <v>149543</v>
      </c>
      <c r="PZ491" s="98">
        <f t="shared" si="2922"/>
        <v>7192090</v>
      </c>
      <c r="QA491" s="98">
        <f t="shared" si="2922"/>
        <v>0</v>
      </c>
      <c r="QB491" s="98">
        <f t="shared" si="2922"/>
        <v>0</v>
      </c>
      <c r="QC491" s="98">
        <f t="shared" si="2922"/>
        <v>126788</v>
      </c>
      <c r="QD491" s="98">
        <f t="shared" si="2922"/>
        <v>4104640</v>
      </c>
      <c r="QE491" s="98">
        <f t="shared" si="2922"/>
        <v>0</v>
      </c>
      <c r="QF491" s="98">
        <f t="shared" si="2922"/>
        <v>0</v>
      </c>
      <c r="QG491" s="198">
        <f t="shared" si="2681"/>
        <v>276331</v>
      </c>
      <c r="QH491" s="198">
        <f t="shared" si="2682"/>
        <v>11296730</v>
      </c>
      <c r="QI491" s="98">
        <f t="shared" ref="QI491:QV491" si="2923">SUM(QI20,QI58,QI96,QI134,QI172,QI210,QI248,QI286,QI324,QI362,QI400,QI438)</f>
        <v>0</v>
      </c>
      <c r="QJ491" s="98">
        <f t="shared" si="2923"/>
        <v>0</v>
      </c>
      <c r="QK491" s="98">
        <f t="shared" si="2923"/>
        <v>0</v>
      </c>
      <c r="QL491" s="98">
        <f t="shared" si="2923"/>
        <v>0</v>
      </c>
      <c r="QM491" s="98">
        <f t="shared" si="2923"/>
        <v>0</v>
      </c>
      <c r="QN491" s="98">
        <f t="shared" si="2923"/>
        <v>0</v>
      </c>
      <c r="QO491" s="98">
        <f t="shared" si="2923"/>
        <v>21720000</v>
      </c>
      <c r="QP491" s="98">
        <f t="shared" si="2923"/>
        <v>548445000</v>
      </c>
      <c r="QQ491" s="98">
        <f t="shared" si="2923"/>
        <v>0</v>
      </c>
      <c r="QR491" s="98">
        <f t="shared" si="2923"/>
        <v>0</v>
      </c>
      <c r="QS491" s="98">
        <f t="shared" si="2923"/>
        <v>0</v>
      </c>
      <c r="QT491" s="98">
        <f t="shared" si="2923"/>
        <v>0</v>
      </c>
      <c r="QU491" s="98">
        <f t="shared" si="2923"/>
        <v>0</v>
      </c>
      <c r="QV491" s="98">
        <f t="shared" si="2923"/>
        <v>0</v>
      </c>
      <c r="QW491" s="198">
        <f t="shared" si="2684"/>
        <v>21720000</v>
      </c>
      <c r="QX491" s="198">
        <f t="shared" si="2685"/>
        <v>548445000</v>
      </c>
      <c r="QY491" s="98">
        <f t="shared" ref="QY491:RL491" si="2924">SUM(QY20,QY58,QY96,QY134,QY172,QY210,QY248,QY286,QY324,QY362,QY400,QY438)</f>
        <v>0</v>
      </c>
      <c r="QZ491" s="98">
        <f t="shared" si="2924"/>
        <v>0</v>
      </c>
      <c r="RA491" s="98">
        <f t="shared" si="2924"/>
        <v>0</v>
      </c>
      <c r="RB491" s="98">
        <f t="shared" si="2924"/>
        <v>0</v>
      </c>
      <c r="RC491" s="98">
        <f t="shared" si="2924"/>
        <v>0</v>
      </c>
      <c r="RD491" s="98">
        <f t="shared" si="2924"/>
        <v>0</v>
      </c>
      <c r="RE491" s="98">
        <f t="shared" si="2924"/>
        <v>0</v>
      </c>
      <c r="RF491" s="98">
        <f t="shared" si="2924"/>
        <v>0</v>
      </c>
      <c r="RG491" s="98">
        <f t="shared" si="2924"/>
        <v>0</v>
      </c>
      <c r="RH491" s="98">
        <f t="shared" si="2924"/>
        <v>0</v>
      </c>
      <c r="RI491" s="98">
        <f t="shared" si="2924"/>
        <v>0</v>
      </c>
      <c r="RJ491" s="98">
        <f t="shared" si="2924"/>
        <v>0</v>
      </c>
      <c r="RK491" s="98">
        <f t="shared" si="2924"/>
        <v>0</v>
      </c>
      <c r="RL491" s="98">
        <f t="shared" si="2924"/>
        <v>0</v>
      </c>
      <c r="RM491" s="198">
        <f t="shared" si="2687"/>
        <v>0</v>
      </c>
      <c r="RN491" s="198">
        <f t="shared" si="2688"/>
        <v>0</v>
      </c>
      <c r="RO491" s="98">
        <f t="shared" ref="RO491:SB491" si="2925">SUM(RO20,RO58,RO96,RO134,RO172,RO210,RO248,RO286,RO324,RO362,RO400,RO438)</f>
        <v>0</v>
      </c>
      <c r="RP491" s="98">
        <f t="shared" si="2925"/>
        <v>0</v>
      </c>
      <c r="RQ491" s="98">
        <f t="shared" si="2925"/>
        <v>0</v>
      </c>
      <c r="RR491" s="98">
        <f t="shared" si="2925"/>
        <v>0</v>
      </c>
      <c r="RS491" s="98">
        <f t="shared" si="2925"/>
        <v>0</v>
      </c>
      <c r="RT491" s="98">
        <f t="shared" si="2925"/>
        <v>0</v>
      </c>
      <c r="RU491" s="98">
        <f t="shared" si="2925"/>
        <v>48630</v>
      </c>
      <c r="RV491" s="98">
        <f t="shared" si="2925"/>
        <v>1286720</v>
      </c>
      <c r="RW491" s="98">
        <f t="shared" si="2925"/>
        <v>0</v>
      </c>
      <c r="RX491" s="98">
        <f t="shared" si="2925"/>
        <v>0</v>
      </c>
      <c r="RY491" s="98">
        <f t="shared" si="2925"/>
        <v>0</v>
      </c>
      <c r="RZ491" s="98">
        <f t="shared" si="2925"/>
        <v>0</v>
      </c>
      <c r="SA491" s="98">
        <f t="shared" si="2925"/>
        <v>0</v>
      </c>
      <c r="SB491" s="98">
        <f t="shared" si="2925"/>
        <v>0</v>
      </c>
      <c r="SC491" s="198">
        <f t="shared" si="2690"/>
        <v>48630</v>
      </c>
      <c r="SD491" s="198">
        <f t="shared" si="2691"/>
        <v>1286720</v>
      </c>
      <c r="SE491" s="98">
        <f t="shared" ref="SE491:SR491" si="2926">SUM(SE20,SE58,SE96,SE134,SE172,SE210,SE248,SE286,SE324,SE362,SE400,SE438)</f>
        <v>0</v>
      </c>
      <c r="SF491" s="98">
        <f t="shared" si="2926"/>
        <v>0</v>
      </c>
      <c r="SG491" s="98">
        <f t="shared" si="2926"/>
        <v>0</v>
      </c>
      <c r="SH491" s="98">
        <f t="shared" si="2926"/>
        <v>0</v>
      </c>
      <c r="SI491" s="98">
        <f t="shared" si="2926"/>
        <v>0</v>
      </c>
      <c r="SJ491" s="98">
        <f t="shared" si="2926"/>
        <v>0</v>
      </c>
      <c r="SK491" s="98">
        <f t="shared" si="2926"/>
        <v>1500</v>
      </c>
      <c r="SL491" s="98">
        <f t="shared" si="2926"/>
        <v>41500</v>
      </c>
      <c r="SM491" s="98">
        <f t="shared" si="2926"/>
        <v>0</v>
      </c>
      <c r="SN491" s="98">
        <f t="shared" si="2926"/>
        <v>0</v>
      </c>
      <c r="SO491" s="98">
        <f t="shared" si="2926"/>
        <v>0</v>
      </c>
      <c r="SP491" s="98">
        <f t="shared" si="2926"/>
        <v>0</v>
      </c>
      <c r="SQ491" s="98">
        <f t="shared" si="2926"/>
        <v>0</v>
      </c>
      <c r="SR491" s="98">
        <f t="shared" si="2926"/>
        <v>0</v>
      </c>
      <c r="SS491" s="198">
        <f t="shared" si="2693"/>
        <v>1500</v>
      </c>
      <c r="ST491" s="198">
        <f t="shared" si="2694"/>
        <v>41500</v>
      </c>
      <c r="SU491" s="98">
        <f t="shared" ref="SU491:TH491" si="2927">SUM(SU20,SU58,SU96,SU134,SU172,SU210,SU248,SU286,SU324,SU362,SU400,SU438)</f>
        <v>0</v>
      </c>
      <c r="SV491" s="98">
        <f t="shared" si="2927"/>
        <v>0</v>
      </c>
      <c r="SW491" s="98">
        <f t="shared" si="2927"/>
        <v>0</v>
      </c>
      <c r="SX491" s="98">
        <f t="shared" si="2927"/>
        <v>0</v>
      </c>
      <c r="SY491" s="98">
        <f t="shared" si="2927"/>
        <v>0</v>
      </c>
      <c r="SZ491" s="98">
        <f t="shared" si="2927"/>
        <v>0</v>
      </c>
      <c r="TA491" s="98">
        <f t="shared" si="2927"/>
        <v>59344.979999999996</v>
      </c>
      <c r="TB491" s="98">
        <f t="shared" si="2927"/>
        <v>1893684.3699999999</v>
      </c>
      <c r="TC491" s="98">
        <f t="shared" si="2927"/>
        <v>0</v>
      </c>
      <c r="TD491" s="98">
        <f t="shared" si="2927"/>
        <v>0</v>
      </c>
      <c r="TE491" s="98">
        <f t="shared" si="2927"/>
        <v>0</v>
      </c>
      <c r="TF491" s="98">
        <f t="shared" si="2927"/>
        <v>0</v>
      </c>
      <c r="TG491" s="98">
        <f t="shared" si="2927"/>
        <v>0</v>
      </c>
      <c r="TH491" s="98">
        <f t="shared" si="2927"/>
        <v>0</v>
      </c>
      <c r="TI491" s="198">
        <f t="shared" si="2696"/>
        <v>59344.979999999996</v>
      </c>
      <c r="TJ491" s="198">
        <f t="shared" si="2697"/>
        <v>1893684.3699999999</v>
      </c>
      <c r="TK491" s="98">
        <f t="shared" ref="TK491:TX491" si="2928">SUM(TK20,TK58,TK96,TK134,TK172,TK210,TK248,TK286,TK324,TK362,TK400,TK438)</f>
        <v>0</v>
      </c>
      <c r="TL491" s="98">
        <f t="shared" si="2928"/>
        <v>0</v>
      </c>
      <c r="TM491" s="98">
        <f t="shared" si="2928"/>
        <v>0</v>
      </c>
      <c r="TN491" s="98">
        <f t="shared" si="2928"/>
        <v>0</v>
      </c>
      <c r="TO491" s="98">
        <f t="shared" si="2928"/>
        <v>0</v>
      </c>
      <c r="TP491" s="98">
        <f t="shared" si="2928"/>
        <v>0</v>
      </c>
      <c r="TQ491" s="98">
        <f t="shared" si="2928"/>
        <v>0</v>
      </c>
      <c r="TR491" s="98">
        <f t="shared" si="2928"/>
        <v>0</v>
      </c>
      <c r="TS491" s="98">
        <f t="shared" si="2928"/>
        <v>0</v>
      </c>
      <c r="TT491" s="98">
        <f t="shared" si="2928"/>
        <v>0</v>
      </c>
      <c r="TU491" s="98">
        <f t="shared" si="2928"/>
        <v>0</v>
      </c>
      <c r="TV491" s="98">
        <f t="shared" si="2928"/>
        <v>0</v>
      </c>
      <c r="TW491" s="98">
        <f t="shared" si="2928"/>
        <v>0</v>
      </c>
      <c r="TX491" s="98">
        <f t="shared" si="2928"/>
        <v>0</v>
      </c>
      <c r="TY491" s="198">
        <f t="shared" si="2699"/>
        <v>0</v>
      </c>
      <c r="TZ491" s="198">
        <f t="shared" si="2700"/>
        <v>0</v>
      </c>
      <c r="UA491" s="98">
        <f t="shared" ref="UA491:UN491" si="2929">SUM(UA20,UA58,UA96,UA134,UA172,UA210,UA248,UA286,UA324,UA362,UA400,UA438)</f>
        <v>0</v>
      </c>
      <c r="UB491" s="98">
        <f t="shared" si="2929"/>
        <v>0</v>
      </c>
      <c r="UC491" s="98">
        <f t="shared" si="2929"/>
        <v>0</v>
      </c>
      <c r="UD491" s="98">
        <f t="shared" si="2929"/>
        <v>0</v>
      </c>
      <c r="UE491" s="98">
        <f t="shared" si="2929"/>
        <v>0</v>
      </c>
      <c r="UF491" s="98">
        <f t="shared" si="2929"/>
        <v>0</v>
      </c>
      <c r="UG491" s="98">
        <f t="shared" si="2929"/>
        <v>3171</v>
      </c>
      <c r="UH491" s="98">
        <f t="shared" si="2929"/>
        <v>95130</v>
      </c>
      <c r="UI491" s="98">
        <f t="shared" si="2929"/>
        <v>0</v>
      </c>
      <c r="UJ491" s="98">
        <f t="shared" si="2929"/>
        <v>0</v>
      </c>
      <c r="UK491" s="98">
        <f t="shared" si="2929"/>
        <v>0</v>
      </c>
      <c r="UL491" s="98">
        <f t="shared" si="2929"/>
        <v>0</v>
      </c>
      <c r="UM491" s="98">
        <f t="shared" si="2929"/>
        <v>0</v>
      </c>
      <c r="UN491" s="98">
        <f t="shared" si="2929"/>
        <v>0</v>
      </c>
      <c r="UO491" s="198">
        <f t="shared" si="2702"/>
        <v>3171</v>
      </c>
      <c r="UP491" s="198">
        <f t="shared" si="2703"/>
        <v>95130</v>
      </c>
      <c r="UQ491" s="98">
        <f t="shared" ref="UQ491:VD491" si="2930">SUM(UQ20,UQ58,UQ96,UQ134,UQ172,UQ210,UQ248,UQ286,UQ324,UQ362,UQ400,UQ438)</f>
        <v>0</v>
      </c>
      <c r="UR491" s="98">
        <f t="shared" si="2930"/>
        <v>0</v>
      </c>
      <c r="US491" s="98">
        <f t="shared" si="2930"/>
        <v>0</v>
      </c>
      <c r="UT491" s="98">
        <f t="shared" si="2930"/>
        <v>0</v>
      </c>
      <c r="UU491" s="98">
        <f t="shared" si="2930"/>
        <v>0</v>
      </c>
      <c r="UV491" s="98">
        <f t="shared" si="2930"/>
        <v>0</v>
      </c>
      <c r="UW491" s="98">
        <f t="shared" si="2930"/>
        <v>0</v>
      </c>
      <c r="UX491" s="98">
        <f t="shared" si="2930"/>
        <v>0</v>
      </c>
      <c r="UY491" s="98">
        <f t="shared" si="2930"/>
        <v>0</v>
      </c>
      <c r="UZ491" s="98">
        <f t="shared" si="2930"/>
        <v>0</v>
      </c>
      <c r="VA491" s="98">
        <f t="shared" si="2930"/>
        <v>0</v>
      </c>
      <c r="VB491" s="98">
        <f t="shared" si="2930"/>
        <v>0</v>
      </c>
      <c r="VC491" s="98">
        <f t="shared" si="2930"/>
        <v>0</v>
      </c>
      <c r="VD491" s="98">
        <f t="shared" si="2930"/>
        <v>0</v>
      </c>
      <c r="VE491" s="198">
        <f t="shared" si="2705"/>
        <v>0</v>
      </c>
      <c r="VF491" s="198">
        <f t="shared" si="2706"/>
        <v>0</v>
      </c>
      <c r="VG491" s="98">
        <f t="shared" ref="VG491:VT491" si="2931">SUM(VG20,VG58,VG96,VG134,VG172,VG210,VG248,VG286,VG324,VG362,VG400,VG438)</f>
        <v>0</v>
      </c>
      <c r="VH491" s="98">
        <f t="shared" si="2931"/>
        <v>0</v>
      </c>
      <c r="VI491" s="98">
        <f t="shared" si="2931"/>
        <v>0</v>
      </c>
      <c r="VJ491" s="98">
        <f t="shared" si="2931"/>
        <v>0</v>
      </c>
      <c r="VK491" s="98">
        <f t="shared" si="2931"/>
        <v>0</v>
      </c>
      <c r="VL491" s="98">
        <f t="shared" si="2931"/>
        <v>0</v>
      </c>
      <c r="VM491" s="98">
        <f t="shared" si="2931"/>
        <v>10694</v>
      </c>
      <c r="VN491" s="98">
        <f t="shared" si="2931"/>
        <v>392456</v>
      </c>
      <c r="VO491" s="98">
        <f t="shared" si="2931"/>
        <v>0</v>
      </c>
      <c r="VP491" s="98">
        <f t="shared" si="2931"/>
        <v>0</v>
      </c>
      <c r="VQ491" s="98">
        <f t="shared" si="2931"/>
        <v>0</v>
      </c>
      <c r="VR491" s="98">
        <f t="shared" si="2931"/>
        <v>0</v>
      </c>
      <c r="VS491" s="98">
        <f t="shared" si="2931"/>
        <v>0</v>
      </c>
      <c r="VT491" s="98">
        <f t="shared" si="2931"/>
        <v>0</v>
      </c>
      <c r="VU491" s="198">
        <f t="shared" si="2708"/>
        <v>10694</v>
      </c>
      <c r="VV491" s="198">
        <f t="shared" si="2709"/>
        <v>392456</v>
      </c>
      <c r="VW491" s="98">
        <f t="shared" ref="VW491:WJ491" si="2932">SUM(VW20,VW58,VW96,VW134,VW172,VW210,VW248,VW286,VW324,VW362,VW400,VW438)</f>
        <v>0</v>
      </c>
      <c r="VX491" s="98">
        <f t="shared" si="2932"/>
        <v>0</v>
      </c>
      <c r="VY491" s="98">
        <f t="shared" si="2932"/>
        <v>0</v>
      </c>
      <c r="VZ491" s="98">
        <f t="shared" si="2932"/>
        <v>0</v>
      </c>
      <c r="WA491" s="98">
        <f t="shared" si="2932"/>
        <v>0</v>
      </c>
      <c r="WB491" s="98">
        <f t="shared" si="2932"/>
        <v>0</v>
      </c>
      <c r="WC491" s="98">
        <f t="shared" si="2932"/>
        <v>0</v>
      </c>
      <c r="WD491" s="98">
        <f t="shared" si="2932"/>
        <v>0</v>
      </c>
      <c r="WE491" s="98">
        <f t="shared" si="2932"/>
        <v>0</v>
      </c>
      <c r="WF491" s="98">
        <f t="shared" si="2932"/>
        <v>0</v>
      </c>
      <c r="WG491" s="98">
        <f t="shared" si="2932"/>
        <v>0</v>
      </c>
      <c r="WH491" s="98">
        <f t="shared" si="2932"/>
        <v>0</v>
      </c>
      <c r="WI491" s="98">
        <f t="shared" si="2932"/>
        <v>0</v>
      </c>
      <c r="WJ491" s="98">
        <f t="shared" si="2932"/>
        <v>0</v>
      </c>
      <c r="WK491" s="198">
        <f t="shared" si="2711"/>
        <v>0</v>
      </c>
      <c r="WL491" s="198">
        <f t="shared" si="2712"/>
        <v>0</v>
      </c>
      <c r="WN491" s="98">
        <f t="shared" si="2713"/>
        <v>0</v>
      </c>
      <c r="WO491" s="98">
        <f t="shared" si="2714"/>
        <v>0</v>
      </c>
      <c r="WP491" s="98">
        <f t="shared" si="2715"/>
        <v>0</v>
      </c>
      <c r="WQ491" s="98">
        <f t="shared" si="2716"/>
        <v>0</v>
      </c>
      <c r="WR491" s="98">
        <f t="shared" si="2717"/>
        <v>0</v>
      </c>
      <c r="WS491" s="98">
        <f t="shared" si="2718"/>
        <v>0</v>
      </c>
      <c r="WT491" s="98">
        <f t="shared" si="2719"/>
        <v>39153167.986463718</v>
      </c>
      <c r="WU491" s="98">
        <f t="shared" si="2720"/>
        <v>1068931897.6225408</v>
      </c>
      <c r="WV491" s="98">
        <f t="shared" si="2721"/>
        <v>0</v>
      </c>
      <c r="WW491" s="98">
        <f t="shared" si="2722"/>
        <v>0</v>
      </c>
      <c r="WX491" s="98">
        <f t="shared" si="2723"/>
        <v>135188</v>
      </c>
      <c r="WY491" s="98">
        <f t="shared" si="2724"/>
        <v>4339840</v>
      </c>
      <c r="WZ491" s="98">
        <f t="shared" si="2725"/>
        <v>0</v>
      </c>
      <c r="XA491" s="98">
        <f t="shared" si="2726"/>
        <v>0</v>
      </c>
      <c r="XB491" s="107">
        <f t="shared" si="2727"/>
        <v>39288355.986463718</v>
      </c>
      <c r="XC491" s="107">
        <f t="shared" si="2728"/>
        <v>1073271737.6225408</v>
      </c>
      <c r="XK491" s="98">
        <f t="shared" si="2729"/>
        <v>1108085065.6090045</v>
      </c>
      <c r="XL491" s="98">
        <f t="shared" si="2730"/>
        <v>0</v>
      </c>
      <c r="XM491" s="98">
        <f t="shared" si="2731"/>
        <v>4475028</v>
      </c>
      <c r="XN491" s="98">
        <f t="shared" si="2732"/>
        <v>0</v>
      </c>
      <c r="XO491" s="98">
        <f t="shared" si="2733"/>
        <v>1112560093.6090045</v>
      </c>
      <c r="XP491" s="98">
        <f t="shared" si="2734"/>
        <v>0</v>
      </c>
      <c r="XQ491" s="98">
        <f t="shared" si="2735"/>
        <v>0</v>
      </c>
      <c r="XR491" s="107">
        <f t="shared" ca="1" si="2597"/>
        <v>2264096025.2044725</v>
      </c>
      <c r="XT491" s="98">
        <f t="shared" si="2736"/>
        <v>1073271737.6225408</v>
      </c>
      <c r="XU491" s="98">
        <f t="shared" si="2737"/>
        <v>0</v>
      </c>
      <c r="XV491" s="98">
        <f t="shared" si="2738"/>
        <v>0</v>
      </c>
      <c r="XW491" s="98">
        <f t="shared" si="2739"/>
        <v>38975837.986463718</v>
      </c>
      <c r="XX491" s="98">
        <f t="shared" si="2740"/>
        <v>2177016963.2315454</v>
      </c>
      <c r="XY491" s="98">
        <f t="shared" si="2741"/>
        <v>4610216</v>
      </c>
      <c r="XZ491" s="98">
        <f t="shared" si="2742"/>
        <v>1116899933.6090045</v>
      </c>
      <c r="YA491" s="107">
        <f t="shared" ca="1" si="2598"/>
        <v>4367188634.4630909</v>
      </c>
    </row>
    <row r="492" spans="1:1017">
      <c r="B492" s="90" t="str">
        <f t="shared" si="2558"/>
        <v>Kakap Putih</v>
      </c>
      <c r="C492" s="98">
        <f t="shared" ref="C492:P492" si="2933">SUM(C21,C59,C97,C135,C173,C211,C249,C287,C325,C363,C401,C439)</f>
        <v>0</v>
      </c>
      <c r="D492" s="98">
        <f t="shared" si="2933"/>
        <v>0</v>
      </c>
      <c r="E492" s="98">
        <f t="shared" si="2933"/>
        <v>1433700</v>
      </c>
      <c r="F492" s="98">
        <f t="shared" si="2933"/>
        <v>89179500</v>
      </c>
      <c r="G492" s="98">
        <f t="shared" si="2933"/>
        <v>0</v>
      </c>
      <c r="H492" s="98">
        <f t="shared" si="2933"/>
        <v>0</v>
      </c>
      <c r="I492" s="98">
        <f t="shared" si="2933"/>
        <v>0</v>
      </c>
      <c r="J492" s="98">
        <f t="shared" si="2933"/>
        <v>0</v>
      </c>
      <c r="K492" s="98">
        <f t="shared" si="2933"/>
        <v>0</v>
      </c>
      <c r="L492" s="98">
        <f t="shared" si="2933"/>
        <v>0</v>
      </c>
      <c r="M492" s="98">
        <f t="shared" si="2933"/>
        <v>0</v>
      </c>
      <c r="N492" s="98">
        <f t="shared" si="2933"/>
        <v>0</v>
      </c>
      <c r="O492" s="98">
        <f t="shared" si="2933"/>
        <v>0</v>
      </c>
      <c r="P492" s="98">
        <f t="shared" si="2933"/>
        <v>0</v>
      </c>
      <c r="Q492" s="198">
        <f t="shared" si="2600"/>
        <v>1433700</v>
      </c>
      <c r="R492" s="198">
        <f t="shared" si="2601"/>
        <v>89179500</v>
      </c>
      <c r="S492" s="98">
        <f t="shared" ref="S492:AF492" si="2934">SUM(S21,S59,S97,S135,S173,S211,S249,S287,S325,S363,S401,S439)</f>
        <v>2305</v>
      </c>
      <c r="T492" s="98">
        <f t="shared" si="2934"/>
        <v>166325</v>
      </c>
      <c r="U492" s="98">
        <f t="shared" si="2934"/>
        <v>181745</v>
      </c>
      <c r="V492" s="98">
        <f t="shared" si="2934"/>
        <v>12957675</v>
      </c>
      <c r="W492" s="98">
        <f t="shared" si="2934"/>
        <v>0</v>
      </c>
      <c r="X492" s="98">
        <f t="shared" si="2934"/>
        <v>0</v>
      </c>
      <c r="Y492" s="98">
        <f t="shared" si="2934"/>
        <v>0</v>
      </c>
      <c r="Z492" s="98">
        <f t="shared" si="2934"/>
        <v>0</v>
      </c>
      <c r="AA492" s="98">
        <f t="shared" si="2934"/>
        <v>0</v>
      </c>
      <c r="AB492" s="98">
        <f t="shared" si="2934"/>
        <v>0</v>
      </c>
      <c r="AC492" s="98">
        <f t="shared" si="2934"/>
        <v>0</v>
      </c>
      <c r="AD492" s="98">
        <f t="shared" si="2934"/>
        <v>0</v>
      </c>
      <c r="AE492" s="98">
        <f t="shared" si="2934"/>
        <v>0</v>
      </c>
      <c r="AF492" s="98">
        <f t="shared" si="2934"/>
        <v>0</v>
      </c>
      <c r="AG492" s="198">
        <f t="shared" si="2603"/>
        <v>184050</v>
      </c>
      <c r="AH492" s="198">
        <f t="shared" si="2604"/>
        <v>13124000</v>
      </c>
      <c r="AI492" s="98">
        <f t="shared" ref="AI492:AV492" si="2935">SUM(AI21,AI59,AI97,AI135,AI173,AI211,AI249,AI287,AI325,AI363,AI401,AI439)</f>
        <v>0</v>
      </c>
      <c r="AJ492" s="98">
        <f t="shared" si="2935"/>
        <v>0</v>
      </c>
      <c r="AK492" s="98">
        <f t="shared" si="2935"/>
        <v>0</v>
      </c>
      <c r="AL492" s="98">
        <f t="shared" si="2935"/>
        <v>0</v>
      </c>
      <c r="AM492" s="98">
        <f t="shared" si="2935"/>
        <v>0</v>
      </c>
      <c r="AN492" s="98">
        <f t="shared" si="2935"/>
        <v>0</v>
      </c>
      <c r="AO492" s="98">
        <f t="shared" si="2935"/>
        <v>0</v>
      </c>
      <c r="AP492" s="98">
        <f t="shared" si="2935"/>
        <v>0</v>
      </c>
      <c r="AQ492" s="98">
        <f t="shared" si="2935"/>
        <v>0</v>
      </c>
      <c r="AR492" s="98">
        <f t="shared" si="2935"/>
        <v>0</v>
      </c>
      <c r="AS492" s="98">
        <f t="shared" si="2935"/>
        <v>0</v>
      </c>
      <c r="AT492" s="98">
        <f t="shared" si="2935"/>
        <v>0</v>
      </c>
      <c r="AU492" s="98">
        <f t="shared" si="2935"/>
        <v>0</v>
      </c>
      <c r="AV492" s="98">
        <f t="shared" si="2935"/>
        <v>0</v>
      </c>
      <c r="AW492" s="198">
        <f t="shared" si="2606"/>
        <v>0</v>
      </c>
      <c r="AX492" s="198">
        <f t="shared" si="2607"/>
        <v>0</v>
      </c>
      <c r="AY492" s="98">
        <f t="shared" ref="AY492:BL492" si="2936">SUM(AY21,AY59,AY97,AY135,AY173,AY211,AY249,AY287,AY325,AY363,AY401,AY439)</f>
        <v>0</v>
      </c>
      <c r="AZ492" s="98">
        <f t="shared" si="2936"/>
        <v>0</v>
      </c>
      <c r="BA492" s="98">
        <f t="shared" si="2936"/>
        <v>0</v>
      </c>
      <c r="BB492" s="98">
        <f t="shared" si="2936"/>
        <v>0</v>
      </c>
      <c r="BC492" s="98">
        <f t="shared" si="2936"/>
        <v>0</v>
      </c>
      <c r="BD492" s="98">
        <f t="shared" si="2936"/>
        <v>0</v>
      </c>
      <c r="BE492" s="98">
        <f t="shared" si="2936"/>
        <v>0</v>
      </c>
      <c r="BF492" s="98">
        <f t="shared" si="2936"/>
        <v>0</v>
      </c>
      <c r="BG492" s="98">
        <f t="shared" si="2936"/>
        <v>0</v>
      </c>
      <c r="BH492" s="98">
        <f t="shared" si="2936"/>
        <v>0</v>
      </c>
      <c r="BI492" s="98">
        <f t="shared" si="2936"/>
        <v>0</v>
      </c>
      <c r="BJ492" s="98">
        <f t="shared" si="2936"/>
        <v>0</v>
      </c>
      <c r="BK492" s="98">
        <f t="shared" si="2936"/>
        <v>0</v>
      </c>
      <c r="BL492" s="98">
        <f t="shared" si="2936"/>
        <v>0</v>
      </c>
      <c r="BM492" s="198">
        <f t="shared" si="2609"/>
        <v>0</v>
      </c>
      <c r="BN492" s="198">
        <f t="shared" si="2610"/>
        <v>0</v>
      </c>
      <c r="BO492" s="98">
        <f t="shared" ref="BO492:CB492" si="2937">SUM(BO21,BO59,BO97,BO135,BO173,BO211,BO249,BO287,BO325,BO363,BO401,BO439)</f>
        <v>0</v>
      </c>
      <c r="BP492" s="98">
        <f t="shared" si="2937"/>
        <v>0</v>
      </c>
      <c r="BQ492" s="98">
        <f t="shared" si="2937"/>
        <v>0</v>
      </c>
      <c r="BR492" s="98">
        <f t="shared" si="2937"/>
        <v>0</v>
      </c>
      <c r="BS492" s="98">
        <f t="shared" si="2937"/>
        <v>0</v>
      </c>
      <c r="BT492" s="98">
        <f t="shared" si="2937"/>
        <v>0</v>
      </c>
      <c r="BU492" s="98">
        <f t="shared" si="2937"/>
        <v>0</v>
      </c>
      <c r="BV492" s="98">
        <f t="shared" si="2937"/>
        <v>0</v>
      </c>
      <c r="BW492" s="98">
        <f t="shared" si="2937"/>
        <v>0</v>
      </c>
      <c r="BX492" s="98">
        <f t="shared" si="2937"/>
        <v>0</v>
      </c>
      <c r="BY492" s="98">
        <f t="shared" si="2937"/>
        <v>0</v>
      </c>
      <c r="BZ492" s="98">
        <f t="shared" si="2937"/>
        <v>0</v>
      </c>
      <c r="CA492" s="98">
        <f t="shared" si="2937"/>
        <v>0</v>
      </c>
      <c r="CB492" s="98">
        <f t="shared" si="2937"/>
        <v>0</v>
      </c>
      <c r="CC492" s="198">
        <f t="shared" si="2612"/>
        <v>0</v>
      </c>
      <c r="CD492" s="198">
        <f t="shared" si="2613"/>
        <v>0</v>
      </c>
      <c r="CE492" s="98">
        <f>SUM(CE21,CE59,CE97,CE135,CE173,CE211,CE249,CE287,CE325,CE363,CE401,CE439)</f>
        <v>0</v>
      </c>
      <c r="CF492" s="98">
        <f t="shared" ref="CF492:CR492" si="2938">SUM(CF21,CF59,CF97,CF135,CF173,CF211,CF249,CF287,CF325,CF363,CF401,CF439)</f>
        <v>0</v>
      </c>
      <c r="CG492" s="98">
        <f t="shared" si="2938"/>
        <v>33060.175863355456</v>
      </c>
      <c r="CH492" s="98">
        <f t="shared" si="2938"/>
        <v>1036116.8654661704</v>
      </c>
      <c r="CI492" s="98">
        <f t="shared" si="2938"/>
        <v>0</v>
      </c>
      <c r="CJ492" s="98">
        <f t="shared" si="2938"/>
        <v>0</v>
      </c>
      <c r="CK492" s="98">
        <f t="shared" si="2938"/>
        <v>0</v>
      </c>
      <c r="CL492" s="98">
        <f t="shared" si="2938"/>
        <v>0</v>
      </c>
      <c r="CM492" s="98">
        <f t="shared" si="2938"/>
        <v>0</v>
      </c>
      <c r="CN492" s="98">
        <f t="shared" si="2938"/>
        <v>0</v>
      </c>
      <c r="CO492" s="98">
        <f t="shared" si="2938"/>
        <v>0</v>
      </c>
      <c r="CP492" s="98">
        <f t="shared" si="2938"/>
        <v>0</v>
      </c>
      <c r="CQ492" s="98">
        <f t="shared" si="2938"/>
        <v>0</v>
      </c>
      <c r="CR492" s="98">
        <f t="shared" si="2938"/>
        <v>0</v>
      </c>
      <c r="CS492" s="198">
        <f t="shared" si="2615"/>
        <v>33060.175863355456</v>
      </c>
      <c r="CT492" s="198">
        <f t="shared" si="2616"/>
        <v>1036116.8654661704</v>
      </c>
      <c r="CU492" s="98">
        <f t="shared" ref="CU492:DH492" si="2939">SUM(CU21,CU59,CU97,CU135,CU173,CU211,CU249,CU287,CU325,CU363,CU401,CU439)</f>
        <v>0</v>
      </c>
      <c r="CV492" s="98">
        <f t="shared" si="2939"/>
        <v>0</v>
      </c>
      <c r="CW492" s="98">
        <f t="shared" si="2939"/>
        <v>0</v>
      </c>
      <c r="CX492" s="98">
        <f t="shared" si="2939"/>
        <v>0</v>
      </c>
      <c r="CY492" s="98">
        <f t="shared" si="2939"/>
        <v>0</v>
      </c>
      <c r="CZ492" s="98">
        <f t="shared" si="2939"/>
        <v>0</v>
      </c>
      <c r="DA492" s="98">
        <f t="shared" si="2939"/>
        <v>0</v>
      </c>
      <c r="DB492" s="98">
        <f t="shared" si="2939"/>
        <v>0</v>
      </c>
      <c r="DC492" s="98">
        <f t="shared" si="2939"/>
        <v>0</v>
      </c>
      <c r="DD492" s="98">
        <f t="shared" si="2939"/>
        <v>0</v>
      </c>
      <c r="DE492" s="98">
        <f t="shared" si="2939"/>
        <v>0</v>
      </c>
      <c r="DF492" s="98">
        <f t="shared" si="2939"/>
        <v>0</v>
      </c>
      <c r="DG492" s="98">
        <f t="shared" si="2939"/>
        <v>0</v>
      </c>
      <c r="DH492" s="98">
        <f t="shared" si="2939"/>
        <v>0</v>
      </c>
      <c r="DI492" s="198">
        <f t="shared" si="2618"/>
        <v>0</v>
      </c>
      <c r="DJ492" s="198">
        <f t="shared" si="2619"/>
        <v>0</v>
      </c>
      <c r="DK492" s="98">
        <f t="shared" ref="DK492:DX492" si="2940">SUM(DK21,DK59,DK97,DK135,DK173,DK211,DK249,DK287,DK325,DK363,DK401,DK439)</f>
        <v>0</v>
      </c>
      <c r="DL492" s="98">
        <f t="shared" si="2940"/>
        <v>0</v>
      </c>
      <c r="DM492" s="98">
        <f t="shared" si="2940"/>
        <v>0</v>
      </c>
      <c r="DN492" s="98">
        <f t="shared" si="2940"/>
        <v>0</v>
      </c>
      <c r="DO492" s="98">
        <f t="shared" si="2940"/>
        <v>0</v>
      </c>
      <c r="DP492" s="98">
        <f t="shared" si="2940"/>
        <v>0</v>
      </c>
      <c r="DQ492" s="98">
        <f t="shared" si="2940"/>
        <v>0</v>
      </c>
      <c r="DR492" s="98">
        <f t="shared" si="2940"/>
        <v>0</v>
      </c>
      <c r="DS492" s="98">
        <f t="shared" si="2940"/>
        <v>0</v>
      </c>
      <c r="DT492" s="98">
        <f t="shared" si="2940"/>
        <v>0</v>
      </c>
      <c r="DU492" s="98">
        <f t="shared" si="2940"/>
        <v>0</v>
      </c>
      <c r="DV492" s="98">
        <f t="shared" si="2940"/>
        <v>0</v>
      </c>
      <c r="DW492" s="98">
        <f t="shared" si="2940"/>
        <v>0</v>
      </c>
      <c r="DX492" s="98">
        <f t="shared" si="2940"/>
        <v>0</v>
      </c>
      <c r="DY492" s="198">
        <f t="shared" si="2621"/>
        <v>0</v>
      </c>
      <c r="DZ492" s="198">
        <f t="shared" si="2622"/>
        <v>0</v>
      </c>
      <c r="EA492" s="98">
        <f t="shared" ref="EA492:EN492" si="2941">SUM(EA21,EA59,EA97,EA135,EA173,EA211,EA249,EA287,EA325,EA363,EA401,EA439)</f>
        <v>0</v>
      </c>
      <c r="EB492" s="98">
        <f t="shared" si="2941"/>
        <v>0</v>
      </c>
      <c r="EC492" s="98">
        <f t="shared" si="2941"/>
        <v>0</v>
      </c>
      <c r="ED492" s="98">
        <f t="shared" si="2941"/>
        <v>0</v>
      </c>
      <c r="EE492" s="98">
        <f t="shared" si="2941"/>
        <v>0</v>
      </c>
      <c r="EF492" s="98">
        <f t="shared" si="2941"/>
        <v>0</v>
      </c>
      <c r="EG492" s="98">
        <f t="shared" si="2941"/>
        <v>0</v>
      </c>
      <c r="EH492" s="98">
        <f t="shared" si="2941"/>
        <v>0</v>
      </c>
      <c r="EI492" s="98">
        <f t="shared" si="2941"/>
        <v>0</v>
      </c>
      <c r="EJ492" s="98">
        <f t="shared" si="2941"/>
        <v>0</v>
      </c>
      <c r="EK492" s="98">
        <f t="shared" si="2941"/>
        <v>0</v>
      </c>
      <c r="EL492" s="98">
        <f t="shared" si="2941"/>
        <v>0</v>
      </c>
      <c r="EM492" s="98">
        <f t="shared" si="2941"/>
        <v>0</v>
      </c>
      <c r="EN492" s="98">
        <f t="shared" si="2941"/>
        <v>0</v>
      </c>
      <c r="EO492" s="198">
        <f t="shared" si="2624"/>
        <v>0</v>
      </c>
      <c r="EP492" s="198">
        <f t="shared" si="2625"/>
        <v>0</v>
      </c>
      <c r="EQ492" s="98">
        <f t="shared" ref="EQ492:FD492" si="2942">SUM(EQ21,EQ59,EQ97,EQ135,EQ173,EQ211,EQ249,EQ287,EQ325,EQ363,EQ401,EQ439)</f>
        <v>0</v>
      </c>
      <c r="ER492" s="98">
        <f t="shared" si="2942"/>
        <v>0</v>
      </c>
      <c r="ES492" s="98">
        <f t="shared" si="2942"/>
        <v>0</v>
      </c>
      <c r="ET492" s="98">
        <f t="shared" si="2942"/>
        <v>0</v>
      </c>
      <c r="EU492" s="98">
        <f t="shared" si="2942"/>
        <v>0</v>
      </c>
      <c r="EV492" s="98">
        <f t="shared" si="2942"/>
        <v>0</v>
      </c>
      <c r="EW492" s="98">
        <f t="shared" si="2942"/>
        <v>0</v>
      </c>
      <c r="EX492" s="98">
        <f t="shared" si="2942"/>
        <v>0</v>
      </c>
      <c r="EY492" s="98">
        <f t="shared" si="2942"/>
        <v>0</v>
      </c>
      <c r="EZ492" s="98">
        <f t="shared" si="2942"/>
        <v>0</v>
      </c>
      <c r="FA492" s="98">
        <f t="shared" si="2942"/>
        <v>0</v>
      </c>
      <c r="FB492" s="98">
        <f t="shared" si="2942"/>
        <v>0</v>
      </c>
      <c r="FC492" s="98">
        <f t="shared" si="2942"/>
        <v>0</v>
      </c>
      <c r="FD492" s="98">
        <f t="shared" si="2942"/>
        <v>0</v>
      </c>
      <c r="FE492" s="198">
        <f t="shared" si="2627"/>
        <v>0</v>
      </c>
      <c r="FF492" s="198">
        <f t="shared" si="2628"/>
        <v>0</v>
      </c>
      <c r="FG492" s="98">
        <f t="shared" ref="FG492:FT492" si="2943">SUM(FG21,FG59,FG97,FG135,FG173,FG211,FG249,FG287,FG325,FG363,FG401,FG439)</f>
        <v>0</v>
      </c>
      <c r="FH492" s="98">
        <f t="shared" si="2943"/>
        <v>0</v>
      </c>
      <c r="FI492" s="98">
        <f t="shared" si="2943"/>
        <v>0</v>
      </c>
      <c r="FJ492" s="98">
        <f t="shared" si="2943"/>
        <v>0</v>
      </c>
      <c r="FK492" s="98">
        <f t="shared" si="2943"/>
        <v>0</v>
      </c>
      <c r="FL492" s="98">
        <f t="shared" si="2943"/>
        <v>0</v>
      </c>
      <c r="FM492" s="98">
        <f t="shared" si="2943"/>
        <v>0</v>
      </c>
      <c r="FN492" s="98">
        <f t="shared" si="2943"/>
        <v>0</v>
      </c>
      <c r="FO492" s="98">
        <f t="shared" si="2943"/>
        <v>0</v>
      </c>
      <c r="FP492" s="98">
        <f t="shared" si="2943"/>
        <v>0</v>
      </c>
      <c r="FQ492" s="98">
        <f t="shared" si="2943"/>
        <v>0</v>
      </c>
      <c r="FR492" s="98">
        <f t="shared" si="2943"/>
        <v>0</v>
      </c>
      <c r="FS492" s="98">
        <f t="shared" si="2943"/>
        <v>0</v>
      </c>
      <c r="FT492" s="98">
        <f t="shared" si="2943"/>
        <v>0</v>
      </c>
      <c r="FU492" s="198">
        <f t="shared" si="2630"/>
        <v>0</v>
      </c>
      <c r="FV492" s="198">
        <f t="shared" si="2631"/>
        <v>0</v>
      </c>
      <c r="FW492" s="98">
        <f t="shared" ref="FW492:GJ492" si="2944">SUM(FW21,FW59,FW97,FW135,FW173,FW211,FW249,FW287,FW325,FW363,FW401,FW439)</f>
        <v>0</v>
      </c>
      <c r="FX492" s="98">
        <f t="shared" si="2944"/>
        <v>0</v>
      </c>
      <c r="FY492" s="98">
        <f t="shared" si="2944"/>
        <v>0</v>
      </c>
      <c r="FZ492" s="98">
        <f t="shared" si="2944"/>
        <v>0</v>
      </c>
      <c r="GA492" s="98">
        <f t="shared" si="2944"/>
        <v>0</v>
      </c>
      <c r="GB492" s="98">
        <f t="shared" si="2944"/>
        <v>0</v>
      </c>
      <c r="GC492" s="98">
        <f t="shared" si="2944"/>
        <v>0</v>
      </c>
      <c r="GD492" s="98">
        <f t="shared" si="2944"/>
        <v>0</v>
      </c>
      <c r="GE492" s="98">
        <f t="shared" si="2944"/>
        <v>0</v>
      </c>
      <c r="GF492" s="98">
        <f t="shared" si="2944"/>
        <v>0</v>
      </c>
      <c r="GG492" s="98">
        <f t="shared" si="2944"/>
        <v>0</v>
      </c>
      <c r="GH492" s="98">
        <f t="shared" si="2944"/>
        <v>0</v>
      </c>
      <c r="GI492" s="98">
        <f t="shared" si="2944"/>
        <v>0</v>
      </c>
      <c r="GJ492" s="98">
        <f t="shared" si="2944"/>
        <v>0</v>
      </c>
      <c r="GK492" s="198">
        <f t="shared" si="2633"/>
        <v>0</v>
      </c>
      <c r="GL492" s="198">
        <f t="shared" si="2634"/>
        <v>0</v>
      </c>
      <c r="GM492" s="98">
        <f t="shared" ref="GM492:GZ492" si="2945">SUM(GM21,GM59,GM97,GM135,GM173,GM211,GM249,GM287,GM325,GM363,GM401,GM439)</f>
        <v>0</v>
      </c>
      <c r="GN492" s="98">
        <f t="shared" si="2945"/>
        <v>0</v>
      </c>
      <c r="GO492" s="98">
        <f t="shared" si="2945"/>
        <v>0</v>
      </c>
      <c r="GP492" s="98">
        <f t="shared" si="2945"/>
        <v>0</v>
      </c>
      <c r="GQ492" s="98">
        <f t="shared" si="2945"/>
        <v>0</v>
      </c>
      <c r="GR492" s="98">
        <f t="shared" si="2945"/>
        <v>0</v>
      </c>
      <c r="GS492" s="98">
        <f t="shared" si="2945"/>
        <v>0</v>
      </c>
      <c r="GT492" s="98">
        <f t="shared" si="2945"/>
        <v>0</v>
      </c>
      <c r="GU492" s="98">
        <f t="shared" si="2945"/>
        <v>0</v>
      </c>
      <c r="GV492" s="98">
        <f t="shared" si="2945"/>
        <v>0</v>
      </c>
      <c r="GW492" s="98">
        <f t="shared" si="2945"/>
        <v>0</v>
      </c>
      <c r="GX492" s="98">
        <f t="shared" si="2945"/>
        <v>0</v>
      </c>
      <c r="GY492" s="98">
        <f t="shared" si="2945"/>
        <v>0</v>
      </c>
      <c r="GZ492" s="98">
        <f t="shared" si="2945"/>
        <v>0</v>
      </c>
      <c r="HA492" s="198">
        <f t="shared" si="2636"/>
        <v>0</v>
      </c>
      <c r="HB492" s="198">
        <f t="shared" si="2637"/>
        <v>0</v>
      </c>
      <c r="HC492" s="98">
        <f t="shared" ref="HC492:HP492" si="2946">SUM(HC21,HC59,HC97,HC135,HC173,HC211,HC249,HC287,HC325,HC363,HC401,HC439)</f>
        <v>0</v>
      </c>
      <c r="HD492" s="98">
        <f t="shared" si="2946"/>
        <v>0</v>
      </c>
      <c r="HE492" s="98">
        <f t="shared" si="2946"/>
        <v>0</v>
      </c>
      <c r="HF492" s="98">
        <f t="shared" si="2946"/>
        <v>0</v>
      </c>
      <c r="HG492" s="98">
        <f t="shared" si="2946"/>
        <v>0</v>
      </c>
      <c r="HH492" s="98">
        <f t="shared" si="2946"/>
        <v>0</v>
      </c>
      <c r="HI492" s="98">
        <f t="shared" si="2946"/>
        <v>0</v>
      </c>
      <c r="HJ492" s="98">
        <f t="shared" si="2946"/>
        <v>0</v>
      </c>
      <c r="HK492" s="98">
        <f t="shared" si="2946"/>
        <v>0</v>
      </c>
      <c r="HL492" s="98">
        <f t="shared" si="2946"/>
        <v>0</v>
      </c>
      <c r="HM492" s="98">
        <f t="shared" si="2946"/>
        <v>0</v>
      </c>
      <c r="HN492" s="98">
        <f t="shared" si="2946"/>
        <v>0</v>
      </c>
      <c r="HO492" s="98">
        <f t="shared" si="2946"/>
        <v>0</v>
      </c>
      <c r="HP492" s="98">
        <f t="shared" si="2946"/>
        <v>0</v>
      </c>
      <c r="HQ492" s="198">
        <f t="shared" si="2639"/>
        <v>0</v>
      </c>
      <c r="HR492" s="198">
        <f t="shared" si="2640"/>
        <v>0</v>
      </c>
      <c r="HS492" s="98">
        <f t="shared" ref="HS492:IF492" si="2947">SUM(HS21,HS59,HS97,HS135,HS173,HS211,HS249,HS287,HS325,HS363,HS401,HS439)</f>
        <v>0</v>
      </c>
      <c r="HT492" s="98">
        <f t="shared" si="2947"/>
        <v>0</v>
      </c>
      <c r="HU492" s="98">
        <f t="shared" si="2947"/>
        <v>0</v>
      </c>
      <c r="HV492" s="98">
        <f t="shared" si="2947"/>
        <v>0</v>
      </c>
      <c r="HW492" s="98">
        <f t="shared" si="2947"/>
        <v>0</v>
      </c>
      <c r="HX492" s="98">
        <f t="shared" si="2947"/>
        <v>0</v>
      </c>
      <c r="HY492" s="98">
        <f t="shared" si="2947"/>
        <v>0</v>
      </c>
      <c r="HZ492" s="98">
        <f t="shared" si="2947"/>
        <v>0</v>
      </c>
      <c r="IA492" s="98">
        <f t="shared" si="2947"/>
        <v>0</v>
      </c>
      <c r="IB492" s="98">
        <f t="shared" si="2947"/>
        <v>0</v>
      </c>
      <c r="IC492" s="98">
        <f t="shared" si="2947"/>
        <v>0</v>
      </c>
      <c r="ID492" s="98">
        <f t="shared" si="2947"/>
        <v>0</v>
      </c>
      <c r="IE492" s="98">
        <f t="shared" si="2947"/>
        <v>0</v>
      </c>
      <c r="IF492" s="98">
        <f t="shared" si="2947"/>
        <v>0</v>
      </c>
      <c r="IG492" s="198">
        <f t="shared" si="2642"/>
        <v>0</v>
      </c>
      <c r="IH492" s="198">
        <f t="shared" si="2643"/>
        <v>0</v>
      </c>
      <c r="II492" s="98">
        <f t="shared" ref="II492:IV492" si="2948">SUM(II21,II59,II97,II135,II173,II211,II249,II287,II325,II363,II401,II439)</f>
        <v>0</v>
      </c>
      <c r="IJ492" s="98">
        <f t="shared" si="2948"/>
        <v>0</v>
      </c>
      <c r="IK492" s="98">
        <f t="shared" si="2948"/>
        <v>0</v>
      </c>
      <c r="IL492" s="98">
        <f t="shared" si="2948"/>
        <v>0</v>
      </c>
      <c r="IM492" s="98">
        <f t="shared" si="2948"/>
        <v>0</v>
      </c>
      <c r="IN492" s="98">
        <f t="shared" si="2948"/>
        <v>0</v>
      </c>
      <c r="IO492" s="98">
        <f t="shared" si="2948"/>
        <v>0</v>
      </c>
      <c r="IP492" s="98">
        <f t="shared" si="2948"/>
        <v>0</v>
      </c>
      <c r="IQ492" s="98">
        <f t="shared" si="2948"/>
        <v>0</v>
      </c>
      <c r="IR492" s="98">
        <f t="shared" si="2948"/>
        <v>0</v>
      </c>
      <c r="IS492" s="98">
        <f t="shared" si="2948"/>
        <v>0</v>
      </c>
      <c r="IT492" s="98">
        <f t="shared" si="2948"/>
        <v>0</v>
      </c>
      <c r="IU492" s="98">
        <f t="shared" si="2948"/>
        <v>0</v>
      </c>
      <c r="IV492" s="98">
        <f t="shared" si="2948"/>
        <v>0</v>
      </c>
      <c r="IW492" s="198">
        <f t="shared" si="2645"/>
        <v>0</v>
      </c>
      <c r="IX492" s="198">
        <f t="shared" si="2646"/>
        <v>0</v>
      </c>
      <c r="IY492" s="98">
        <f t="shared" ref="IY492:JL492" si="2949">SUM(IY21,IY59,IY97,IY135,IY173,IY211,IY249,IY287,IY325,IY363,IY401,IY439)</f>
        <v>0</v>
      </c>
      <c r="IZ492" s="98">
        <f t="shared" si="2949"/>
        <v>0</v>
      </c>
      <c r="JA492" s="98">
        <f t="shared" si="2949"/>
        <v>0</v>
      </c>
      <c r="JB492" s="98">
        <f t="shared" si="2949"/>
        <v>0</v>
      </c>
      <c r="JC492" s="98">
        <f t="shared" si="2949"/>
        <v>0</v>
      </c>
      <c r="JD492" s="98">
        <f t="shared" si="2949"/>
        <v>0</v>
      </c>
      <c r="JE492" s="98">
        <f t="shared" si="2949"/>
        <v>0</v>
      </c>
      <c r="JF492" s="98">
        <f t="shared" si="2949"/>
        <v>0</v>
      </c>
      <c r="JG492" s="98">
        <f t="shared" si="2949"/>
        <v>0</v>
      </c>
      <c r="JH492" s="98">
        <f t="shared" si="2949"/>
        <v>0</v>
      </c>
      <c r="JI492" s="98">
        <f t="shared" si="2949"/>
        <v>0</v>
      </c>
      <c r="JJ492" s="98">
        <f t="shared" si="2949"/>
        <v>0</v>
      </c>
      <c r="JK492" s="98">
        <f t="shared" si="2949"/>
        <v>0</v>
      </c>
      <c r="JL492" s="98">
        <f t="shared" si="2949"/>
        <v>0</v>
      </c>
      <c r="JM492" s="198">
        <f t="shared" si="2648"/>
        <v>0</v>
      </c>
      <c r="JN492" s="198">
        <f t="shared" si="2649"/>
        <v>0</v>
      </c>
      <c r="JO492" s="98">
        <f t="shared" ref="JO492:KB492" si="2950">SUM(JO21,JO59,JO97,JO135,JO173,JO211,JO249,JO287,JO325,JO363,JO401,JO439)</f>
        <v>0</v>
      </c>
      <c r="JP492" s="98">
        <f t="shared" si="2950"/>
        <v>0</v>
      </c>
      <c r="JQ492" s="98">
        <f t="shared" si="2950"/>
        <v>0</v>
      </c>
      <c r="JR492" s="98">
        <f t="shared" si="2950"/>
        <v>0</v>
      </c>
      <c r="JS492" s="98">
        <f t="shared" si="2950"/>
        <v>0</v>
      </c>
      <c r="JT492" s="98">
        <f t="shared" si="2950"/>
        <v>0</v>
      </c>
      <c r="JU492" s="98">
        <f t="shared" si="2950"/>
        <v>0</v>
      </c>
      <c r="JV492" s="98">
        <f t="shared" si="2950"/>
        <v>0</v>
      </c>
      <c r="JW492" s="98">
        <f t="shared" si="2950"/>
        <v>0</v>
      </c>
      <c r="JX492" s="98">
        <f t="shared" si="2950"/>
        <v>0</v>
      </c>
      <c r="JY492" s="98">
        <f t="shared" si="2950"/>
        <v>0</v>
      </c>
      <c r="JZ492" s="98">
        <f t="shared" si="2950"/>
        <v>0</v>
      </c>
      <c r="KA492" s="98">
        <f t="shared" si="2950"/>
        <v>0</v>
      </c>
      <c r="KB492" s="98">
        <f t="shared" si="2950"/>
        <v>0</v>
      </c>
      <c r="KC492" s="198">
        <f t="shared" si="2651"/>
        <v>0</v>
      </c>
      <c r="KD492" s="198">
        <f t="shared" si="2652"/>
        <v>0</v>
      </c>
      <c r="KE492" s="98">
        <f t="shared" ref="KE492:KR492" si="2951">SUM(KE21,KE59,KE97,KE135,KE173,KE211,KE249,KE287,KE325,KE363,KE401,KE439)</f>
        <v>0</v>
      </c>
      <c r="KF492" s="98">
        <f t="shared" si="2951"/>
        <v>0</v>
      </c>
      <c r="KG492" s="98">
        <f t="shared" si="2951"/>
        <v>0</v>
      </c>
      <c r="KH492" s="98">
        <f t="shared" si="2951"/>
        <v>0</v>
      </c>
      <c r="KI492" s="98">
        <f t="shared" si="2951"/>
        <v>0</v>
      </c>
      <c r="KJ492" s="98">
        <f t="shared" si="2951"/>
        <v>0</v>
      </c>
      <c r="KK492" s="98">
        <f t="shared" si="2951"/>
        <v>0</v>
      </c>
      <c r="KL492" s="98">
        <f t="shared" si="2951"/>
        <v>0</v>
      </c>
      <c r="KM492" s="98">
        <f t="shared" si="2951"/>
        <v>0</v>
      </c>
      <c r="KN492" s="98">
        <f t="shared" si="2951"/>
        <v>0</v>
      </c>
      <c r="KO492" s="98">
        <f t="shared" si="2951"/>
        <v>0</v>
      </c>
      <c r="KP492" s="98">
        <f t="shared" si="2951"/>
        <v>0</v>
      </c>
      <c r="KQ492" s="98">
        <f t="shared" si="2951"/>
        <v>0</v>
      </c>
      <c r="KR492" s="98">
        <f t="shared" si="2951"/>
        <v>0</v>
      </c>
      <c r="KS492" s="198">
        <f t="shared" si="2654"/>
        <v>0</v>
      </c>
      <c r="KT492" s="198">
        <f t="shared" si="2655"/>
        <v>0</v>
      </c>
      <c r="KU492" s="98">
        <f t="shared" ref="KU492:LH492" si="2952">SUM(KU21,KU59,KU97,KU135,KU173,KU211,KU249,KU287,KU325,KU363,KU401,KU439)</f>
        <v>0</v>
      </c>
      <c r="KV492" s="98">
        <f t="shared" si="2952"/>
        <v>0</v>
      </c>
      <c r="KW492" s="98">
        <f t="shared" si="2952"/>
        <v>0</v>
      </c>
      <c r="KX492" s="98">
        <f t="shared" si="2952"/>
        <v>0</v>
      </c>
      <c r="KY492" s="98">
        <f t="shared" si="2952"/>
        <v>0</v>
      </c>
      <c r="KZ492" s="98">
        <f t="shared" si="2952"/>
        <v>0</v>
      </c>
      <c r="LA492" s="98">
        <f t="shared" si="2952"/>
        <v>0</v>
      </c>
      <c r="LB492" s="98">
        <f t="shared" si="2952"/>
        <v>0</v>
      </c>
      <c r="LC492" s="98">
        <f t="shared" si="2952"/>
        <v>0</v>
      </c>
      <c r="LD492" s="98">
        <f t="shared" si="2952"/>
        <v>0</v>
      </c>
      <c r="LE492" s="98">
        <f t="shared" si="2952"/>
        <v>0</v>
      </c>
      <c r="LF492" s="98">
        <f t="shared" si="2952"/>
        <v>0</v>
      </c>
      <c r="LG492" s="98">
        <f t="shared" si="2952"/>
        <v>0</v>
      </c>
      <c r="LH492" s="98">
        <f t="shared" si="2952"/>
        <v>0</v>
      </c>
      <c r="LI492" s="198">
        <f t="shared" si="2657"/>
        <v>0</v>
      </c>
      <c r="LJ492" s="198">
        <f t="shared" si="2658"/>
        <v>0</v>
      </c>
      <c r="LK492" s="98">
        <f t="shared" ref="LK492:LX492" si="2953">SUM(LK21,LK59,LK97,LK135,LK173,LK211,LK249,LK287,LK325,LK363,LK401,LK439)</f>
        <v>0</v>
      </c>
      <c r="LL492" s="98">
        <f t="shared" si="2953"/>
        <v>0</v>
      </c>
      <c r="LM492" s="98">
        <f t="shared" si="2953"/>
        <v>0</v>
      </c>
      <c r="LN492" s="98">
        <f t="shared" si="2953"/>
        <v>0</v>
      </c>
      <c r="LO492" s="98">
        <f t="shared" si="2953"/>
        <v>0</v>
      </c>
      <c r="LP492" s="98">
        <f t="shared" si="2953"/>
        <v>0</v>
      </c>
      <c r="LQ492" s="98">
        <f t="shared" si="2953"/>
        <v>0</v>
      </c>
      <c r="LR492" s="98">
        <f t="shared" si="2953"/>
        <v>0</v>
      </c>
      <c r="LS492" s="98">
        <f t="shared" si="2953"/>
        <v>0</v>
      </c>
      <c r="LT492" s="98">
        <f t="shared" si="2953"/>
        <v>0</v>
      </c>
      <c r="LU492" s="98">
        <f t="shared" si="2953"/>
        <v>0</v>
      </c>
      <c r="LV492" s="98">
        <f t="shared" si="2953"/>
        <v>0</v>
      </c>
      <c r="LW492" s="98">
        <f t="shared" si="2953"/>
        <v>0</v>
      </c>
      <c r="LX492" s="98">
        <f t="shared" si="2953"/>
        <v>0</v>
      </c>
      <c r="LY492" s="198">
        <f t="shared" si="2660"/>
        <v>0</v>
      </c>
      <c r="LZ492" s="198">
        <f t="shared" si="2661"/>
        <v>0</v>
      </c>
      <c r="MA492" s="98">
        <f t="shared" ref="MA492:MN492" si="2954">SUM(MA21,MA59,MA97,MA135,MA173,MA211,MA249,MA287,MA325,MA363,MA401,MA439)</f>
        <v>0</v>
      </c>
      <c r="MB492" s="98">
        <f t="shared" si="2954"/>
        <v>0</v>
      </c>
      <c r="MC492" s="98">
        <f t="shared" si="2954"/>
        <v>0</v>
      </c>
      <c r="MD492" s="98">
        <f t="shared" si="2954"/>
        <v>0</v>
      </c>
      <c r="ME492" s="98">
        <f t="shared" si="2954"/>
        <v>0</v>
      </c>
      <c r="MF492" s="98">
        <f t="shared" si="2954"/>
        <v>0</v>
      </c>
      <c r="MG492" s="98">
        <f t="shared" si="2954"/>
        <v>0</v>
      </c>
      <c r="MH492" s="98">
        <f t="shared" si="2954"/>
        <v>0</v>
      </c>
      <c r="MI492" s="98">
        <f t="shared" si="2954"/>
        <v>0</v>
      </c>
      <c r="MJ492" s="98">
        <f t="shared" si="2954"/>
        <v>0</v>
      </c>
      <c r="MK492" s="98">
        <f t="shared" si="2954"/>
        <v>0</v>
      </c>
      <c r="ML492" s="98">
        <f t="shared" si="2954"/>
        <v>0</v>
      </c>
      <c r="MM492" s="98">
        <f t="shared" si="2954"/>
        <v>0</v>
      </c>
      <c r="MN492" s="98">
        <f t="shared" si="2954"/>
        <v>0</v>
      </c>
      <c r="MO492" s="198">
        <f t="shared" si="2663"/>
        <v>0</v>
      </c>
      <c r="MP492" s="198">
        <f t="shared" si="2664"/>
        <v>0</v>
      </c>
      <c r="MQ492" s="98">
        <f t="shared" ref="MQ492:ND492" si="2955">SUM(MQ21,MQ59,MQ97,MQ135,MQ173,MQ211,MQ249,MQ287,MQ325,MQ363,MQ401,MQ439)</f>
        <v>0</v>
      </c>
      <c r="MR492" s="98">
        <f t="shared" si="2955"/>
        <v>0</v>
      </c>
      <c r="MS492" s="98">
        <f t="shared" si="2955"/>
        <v>2930</v>
      </c>
      <c r="MT492" s="98">
        <f t="shared" si="2955"/>
        <v>87900</v>
      </c>
      <c r="MU492" s="98">
        <f t="shared" si="2955"/>
        <v>0</v>
      </c>
      <c r="MV492" s="98">
        <f t="shared" si="2955"/>
        <v>0</v>
      </c>
      <c r="MW492" s="98">
        <f t="shared" si="2955"/>
        <v>0</v>
      </c>
      <c r="MX492" s="98">
        <f t="shared" si="2955"/>
        <v>0</v>
      </c>
      <c r="MY492" s="98">
        <f t="shared" si="2955"/>
        <v>0</v>
      </c>
      <c r="MZ492" s="98">
        <f t="shared" si="2955"/>
        <v>0</v>
      </c>
      <c r="NA492" s="98">
        <f t="shared" si="2955"/>
        <v>0</v>
      </c>
      <c r="NB492" s="98">
        <f t="shared" si="2955"/>
        <v>0</v>
      </c>
      <c r="NC492" s="98">
        <f t="shared" si="2955"/>
        <v>0</v>
      </c>
      <c r="ND492" s="98">
        <f t="shared" si="2955"/>
        <v>0</v>
      </c>
      <c r="NE492" s="198">
        <f t="shared" si="2666"/>
        <v>2930</v>
      </c>
      <c r="NF492" s="198">
        <f t="shared" si="2667"/>
        <v>87900</v>
      </c>
      <c r="NG492" s="98">
        <f t="shared" ref="NG492:NT492" si="2956">SUM(NG21,NG59,NG97,NG135,NG173,NG211,NG249,NG287,NG325,NG363,NG401,NG439)</f>
        <v>0</v>
      </c>
      <c r="NH492" s="98">
        <f t="shared" si="2956"/>
        <v>0</v>
      </c>
      <c r="NI492" s="98">
        <f t="shared" si="2956"/>
        <v>70556</v>
      </c>
      <c r="NJ492" s="98">
        <f t="shared" si="2956"/>
        <v>2469460</v>
      </c>
      <c r="NK492" s="98">
        <f t="shared" si="2956"/>
        <v>0</v>
      </c>
      <c r="NL492" s="98">
        <f t="shared" si="2956"/>
        <v>0</v>
      </c>
      <c r="NM492" s="98">
        <f t="shared" si="2956"/>
        <v>0</v>
      </c>
      <c r="NN492" s="98">
        <f t="shared" si="2956"/>
        <v>0</v>
      </c>
      <c r="NO492" s="98">
        <f t="shared" si="2956"/>
        <v>0</v>
      </c>
      <c r="NP492" s="98">
        <f t="shared" si="2956"/>
        <v>0</v>
      </c>
      <c r="NQ492" s="98">
        <f t="shared" si="2956"/>
        <v>0</v>
      </c>
      <c r="NR492" s="98">
        <f t="shared" si="2956"/>
        <v>0</v>
      </c>
      <c r="NS492" s="98">
        <f t="shared" si="2956"/>
        <v>0</v>
      </c>
      <c r="NT492" s="98">
        <f t="shared" si="2956"/>
        <v>0</v>
      </c>
      <c r="NU492" s="198">
        <f t="shared" si="2669"/>
        <v>70556</v>
      </c>
      <c r="NV492" s="198">
        <f t="shared" si="2670"/>
        <v>2469460</v>
      </c>
      <c r="NW492" s="98">
        <f t="shared" ref="NW492:OJ492" si="2957">SUM(NW21,NW59,NW97,NW135,NW173,NW211,NW249,NW287,NW325,NW363,NW401,NW439)</f>
        <v>2665</v>
      </c>
      <c r="NX492" s="98">
        <f t="shared" si="2957"/>
        <v>208200</v>
      </c>
      <c r="NY492" s="98">
        <f t="shared" si="2957"/>
        <v>54313</v>
      </c>
      <c r="NZ492" s="98">
        <f t="shared" si="2957"/>
        <v>3380335</v>
      </c>
      <c r="OA492" s="98">
        <f t="shared" si="2957"/>
        <v>0</v>
      </c>
      <c r="OB492" s="98">
        <f t="shared" si="2957"/>
        <v>0</v>
      </c>
      <c r="OC492" s="98">
        <f t="shared" si="2957"/>
        <v>0</v>
      </c>
      <c r="OD492" s="98">
        <f t="shared" si="2957"/>
        <v>0</v>
      </c>
      <c r="OE492" s="98">
        <f t="shared" si="2957"/>
        <v>0</v>
      </c>
      <c r="OF492" s="98">
        <f t="shared" si="2957"/>
        <v>0</v>
      </c>
      <c r="OG492" s="98">
        <f t="shared" si="2957"/>
        <v>0</v>
      </c>
      <c r="OH492" s="98">
        <f t="shared" si="2957"/>
        <v>0</v>
      </c>
      <c r="OI492" s="98">
        <f t="shared" si="2957"/>
        <v>0</v>
      </c>
      <c r="OJ492" s="98">
        <f t="shared" si="2957"/>
        <v>0</v>
      </c>
      <c r="OK492" s="198">
        <f t="shared" si="2672"/>
        <v>56978</v>
      </c>
      <c r="OL492" s="198">
        <f t="shared" si="2673"/>
        <v>3588535</v>
      </c>
      <c r="OM492" s="98">
        <f t="shared" ref="OM492:OZ492" si="2958">SUM(OM21,OM59,OM97,OM135,OM173,OM211,OM249,OM287,OM325,OM363,OM401,OM439)</f>
        <v>0</v>
      </c>
      <c r="ON492" s="98">
        <f t="shared" si="2958"/>
        <v>0</v>
      </c>
      <c r="OO492" s="98">
        <f t="shared" si="2958"/>
        <v>0</v>
      </c>
      <c r="OP492" s="98">
        <f t="shared" si="2958"/>
        <v>0</v>
      </c>
      <c r="OQ492" s="98">
        <f t="shared" si="2958"/>
        <v>0</v>
      </c>
      <c r="OR492" s="98">
        <f t="shared" si="2958"/>
        <v>0</v>
      </c>
      <c r="OS492" s="98">
        <f t="shared" si="2958"/>
        <v>0</v>
      </c>
      <c r="OT492" s="98">
        <f t="shared" si="2958"/>
        <v>0</v>
      </c>
      <c r="OU492" s="98">
        <f t="shared" si="2958"/>
        <v>0</v>
      </c>
      <c r="OV492" s="98">
        <f t="shared" si="2958"/>
        <v>0</v>
      </c>
      <c r="OW492" s="98">
        <f t="shared" si="2958"/>
        <v>0</v>
      </c>
      <c r="OX492" s="98">
        <f t="shared" si="2958"/>
        <v>0</v>
      </c>
      <c r="OY492" s="98">
        <f t="shared" si="2958"/>
        <v>0</v>
      </c>
      <c r="OZ492" s="98">
        <f t="shared" si="2958"/>
        <v>0</v>
      </c>
      <c r="PA492" s="198">
        <f t="shared" si="2675"/>
        <v>0</v>
      </c>
      <c r="PB492" s="198">
        <f t="shared" si="2676"/>
        <v>0</v>
      </c>
      <c r="PC492" s="98">
        <f t="shared" ref="PC492:PP492" si="2959">SUM(PC21,PC59,PC97,PC135,PC173,PC211,PC249,PC287,PC325,PC363,PC401,PC439)</f>
        <v>0</v>
      </c>
      <c r="PD492" s="98">
        <f t="shared" si="2959"/>
        <v>0</v>
      </c>
      <c r="PE492" s="98">
        <f t="shared" si="2959"/>
        <v>0</v>
      </c>
      <c r="PF492" s="98">
        <f t="shared" si="2959"/>
        <v>0</v>
      </c>
      <c r="PG492" s="98">
        <f t="shared" si="2959"/>
        <v>0</v>
      </c>
      <c r="PH492" s="98">
        <f t="shared" si="2959"/>
        <v>0</v>
      </c>
      <c r="PI492" s="98">
        <f t="shared" si="2959"/>
        <v>0</v>
      </c>
      <c r="PJ492" s="98">
        <f t="shared" si="2959"/>
        <v>0</v>
      </c>
      <c r="PK492" s="98">
        <f t="shared" si="2959"/>
        <v>0</v>
      </c>
      <c r="PL492" s="98">
        <f t="shared" si="2959"/>
        <v>0</v>
      </c>
      <c r="PM492" s="98">
        <f t="shared" si="2959"/>
        <v>0</v>
      </c>
      <c r="PN492" s="98">
        <f t="shared" si="2959"/>
        <v>0</v>
      </c>
      <c r="PO492" s="98">
        <f t="shared" si="2959"/>
        <v>0</v>
      </c>
      <c r="PP492" s="98">
        <f t="shared" si="2959"/>
        <v>0</v>
      </c>
      <c r="PQ492" s="198">
        <f t="shared" si="2678"/>
        <v>0</v>
      </c>
      <c r="PR492" s="198">
        <f t="shared" si="2679"/>
        <v>0</v>
      </c>
      <c r="PS492" s="98">
        <f t="shared" ref="PS492:QF492" si="2960">SUM(PS21,PS59,PS97,PS135,PS173,PS211,PS249,PS287,PS325,PS363,PS401,PS439)</f>
        <v>0</v>
      </c>
      <c r="PT492" s="98">
        <f t="shared" si="2960"/>
        <v>0</v>
      </c>
      <c r="PU492" s="98">
        <f t="shared" si="2960"/>
        <v>35400</v>
      </c>
      <c r="PV492" s="98">
        <f t="shared" si="2960"/>
        <v>1476070</v>
      </c>
      <c r="PW492" s="98">
        <f t="shared" si="2960"/>
        <v>0</v>
      </c>
      <c r="PX492" s="98">
        <f t="shared" si="2960"/>
        <v>0</v>
      </c>
      <c r="PY492" s="98">
        <f t="shared" si="2960"/>
        <v>0</v>
      </c>
      <c r="PZ492" s="98">
        <f t="shared" si="2960"/>
        <v>0</v>
      </c>
      <c r="QA492" s="98">
        <f t="shared" si="2960"/>
        <v>0</v>
      </c>
      <c r="QB492" s="98">
        <f t="shared" si="2960"/>
        <v>0</v>
      </c>
      <c r="QC492" s="98">
        <f t="shared" si="2960"/>
        <v>0</v>
      </c>
      <c r="QD492" s="98">
        <f t="shared" si="2960"/>
        <v>0</v>
      </c>
      <c r="QE492" s="98">
        <f t="shared" si="2960"/>
        <v>0</v>
      </c>
      <c r="QF492" s="98">
        <f t="shared" si="2960"/>
        <v>0</v>
      </c>
      <c r="QG492" s="198">
        <f t="shared" si="2681"/>
        <v>35400</v>
      </c>
      <c r="QH492" s="198">
        <f t="shared" si="2682"/>
        <v>1476070</v>
      </c>
      <c r="QI492" s="98">
        <f t="shared" ref="QI492:QV492" si="2961">SUM(QI21,QI59,QI97,QI135,QI173,QI211,QI249,QI287,QI325,QI363,QI401,QI439)</f>
        <v>0</v>
      </c>
      <c r="QJ492" s="98">
        <f t="shared" si="2961"/>
        <v>0</v>
      </c>
      <c r="QK492" s="98">
        <f t="shared" si="2961"/>
        <v>0</v>
      </c>
      <c r="QL492" s="98">
        <f t="shared" si="2961"/>
        <v>0</v>
      </c>
      <c r="QM492" s="98">
        <f t="shared" si="2961"/>
        <v>0</v>
      </c>
      <c r="QN492" s="98">
        <f t="shared" si="2961"/>
        <v>0</v>
      </c>
      <c r="QO492" s="98">
        <f t="shared" si="2961"/>
        <v>0</v>
      </c>
      <c r="QP492" s="98">
        <f t="shared" si="2961"/>
        <v>0</v>
      </c>
      <c r="QQ492" s="98">
        <f t="shared" si="2961"/>
        <v>0</v>
      </c>
      <c r="QR492" s="98">
        <f t="shared" si="2961"/>
        <v>0</v>
      </c>
      <c r="QS492" s="98">
        <f t="shared" si="2961"/>
        <v>0</v>
      </c>
      <c r="QT492" s="98">
        <f t="shared" si="2961"/>
        <v>0</v>
      </c>
      <c r="QU492" s="98">
        <f t="shared" si="2961"/>
        <v>0</v>
      </c>
      <c r="QV492" s="98">
        <f t="shared" si="2961"/>
        <v>0</v>
      </c>
      <c r="QW492" s="198">
        <f t="shared" si="2684"/>
        <v>0</v>
      </c>
      <c r="QX492" s="198">
        <f t="shared" si="2685"/>
        <v>0</v>
      </c>
      <c r="QY492" s="98">
        <f t="shared" ref="QY492:RL492" si="2962">SUM(QY21,QY59,QY97,QY135,QY173,QY211,QY249,QY287,QY325,QY363,QY401,QY439)</f>
        <v>0</v>
      </c>
      <c r="QZ492" s="98">
        <f t="shared" si="2962"/>
        <v>0</v>
      </c>
      <c r="RA492" s="98">
        <f t="shared" si="2962"/>
        <v>0</v>
      </c>
      <c r="RB492" s="98">
        <f t="shared" si="2962"/>
        <v>0</v>
      </c>
      <c r="RC492" s="98">
        <f t="shared" si="2962"/>
        <v>0</v>
      </c>
      <c r="RD492" s="98">
        <f t="shared" si="2962"/>
        <v>0</v>
      </c>
      <c r="RE492" s="98">
        <f t="shared" si="2962"/>
        <v>0</v>
      </c>
      <c r="RF492" s="98">
        <f t="shared" si="2962"/>
        <v>0</v>
      </c>
      <c r="RG492" s="98">
        <f t="shared" si="2962"/>
        <v>0</v>
      </c>
      <c r="RH492" s="98">
        <f t="shared" si="2962"/>
        <v>0</v>
      </c>
      <c r="RI492" s="98">
        <f t="shared" si="2962"/>
        <v>0</v>
      </c>
      <c r="RJ492" s="98">
        <f t="shared" si="2962"/>
        <v>0</v>
      </c>
      <c r="RK492" s="98">
        <f t="shared" si="2962"/>
        <v>0</v>
      </c>
      <c r="RL492" s="98">
        <f t="shared" si="2962"/>
        <v>0</v>
      </c>
      <c r="RM492" s="198">
        <f t="shared" si="2687"/>
        <v>0</v>
      </c>
      <c r="RN492" s="198">
        <f t="shared" si="2688"/>
        <v>0</v>
      </c>
      <c r="RO492" s="98">
        <f t="shared" ref="RO492:SB492" si="2963">SUM(RO21,RO59,RO97,RO135,RO173,RO211,RO249,RO287,RO325,RO363,RO401,RO439)</f>
        <v>0</v>
      </c>
      <c r="RP492" s="98">
        <f t="shared" si="2963"/>
        <v>0</v>
      </c>
      <c r="RQ492" s="98">
        <f t="shared" si="2963"/>
        <v>0</v>
      </c>
      <c r="RR492" s="98">
        <f t="shared" si="2963"/>
        <v>0</v>
      </c>
      <c r="RS492" s="98">
        <f t="shared" si="2963"/>
        <v>0</v>
      </c>
      <c r="RT492" s="98">
        <f t="shared" si="2963"/>
        <v>0</v>
      </c>
      <c r="RU492" s="98">
        <f t="shared" si="2963"/>
        <v>0</v>
      </c>
      <c r="RV492" s="98">
        <f t="shared" si="2963"/>
        <v>0</v>
      </c>
      <c r="RW492" s="98">
        <f t="shared" si="2963"/>
        <v>0</v>
      </c>
      <c r="RX492" s="98">
        <f t="shared" si="2963"/>
        <v>0</v>
      </c>
      <c r="RY492" s="98">
        <f t="shared" si="2963"/>
        <v>0</v>
      </c>
      <c r="RZ492" s="98">
        <f t="shared" si="2963"/>
        <v>0</v>
      </c>
      <c r="SA492" s="98">
        <f t="shared" si="2963"/>
        <v>0</v>
      </c>
      <c r="SB492" s="98">
        <f t="shared" si="2963"/>
        <v>0</v>
      </c>
      <c r="SC492" s="198">
        <f t="shared" si="2690"/>
        <v>0</v>
      </c>
      <c r="SD492" s="198">
        <f t="shared" si="2691"/>
        <v>0</v>
      </c>
      <c r="SE492" s="98">
        <f t="shared" ref="SE492:SR492" si="2964">SUM(SE21,SE59,SE97,SE135,SE173,SE211,SE249,SE287,SE325,SE363,SE401,SE439)</f>
        <v>0</v>
      </c>
      <c r="SF492" s="98">
        <f t="shared" si="2964"/>
        <v>0</v>
      </c>
      <c r="SG492" s="98">
        <f t="shared" si="2964"/>
        <v>0</v>
      </c>
      <c r="SH492" s="98">
        <f t="shared" si="2964"/>
        <v>0</v>
      </c>
      <c r="SI492" s="98">
        <f t="shared" si="2964"/>
        <v>0</v>
      </c>
      <c r="SJ492" s="98">
        <f t="shared" si="2964"/>
        <v>0</v>
      </c>
      <c r="SK492" s="98">
        <f t="shared" si="2964"/>
        <v>0</v>
      </c>
      <c r="SL492" s="98">
        <f t="shared" si="2964"/>
        <v>0</v>
      </c>
      <c r="SM492" s="98">
        <f t="shared" si="2964"/>
        <v>0</v>
      </c>
      <c r="SN492" s="98">
        <f t="shared" si="2964"/>
        <v>0</v>
      </c>
      <c r="SO492" s="98">
        <f t="shared" si="2964"/>
        <v>0</v>
      </c>
      <c r="SP492" s="98">
        <f t="shared" si="2964"/>
        <v>0</v>
      </c>
      <c r="SQ492" s="98">
        <f t="shared" si="2964"/>
        <v>0</v>
      </c>
      <c r="SR492" s="98">
        <f t="shared" si="2964"/>
        <v>0</v>
      </c>
      <c r="SS492" s="198">
        <f t="shared" si="2693"/>
        <v>0</v>
      </c>
      <c r="ST492" s="198">
        <f t="shared" si="2694"/>
        <v>0</v>
      </c>
      <c r="SU492" s="98">
        <f t="shared" ref="SU492:TH492" si="2965">SUM(SU21,SU59,SU97,SU135,SU173,SU211,SU249,SU287,SU325,SU363,SU401,SU439)</f>
        <v>0</v>
      </c>
      <c r="SV492" s="98">
        <f t="shared" si="2965"/>
        <v>0</v>
      </c>
      <c r="SW492" s="98">
        <f t="shared" si="2965"/>
        <v>0</v>
      </c>
      <c r="SX492" s="98">
        <f t="shared" si="2965"/>
        <v>0</v>
      </c>
      <c r="SY492" s="98">
        <f t="shared" si="2965"/>
        <v>0</v>
      </c>
      <c r="SZ492" s="98">
        <f t="shared" si="2965"/>
        <v>0</v>
      </c>
      <c r="TA492" s="98">
        <f t="shared" si="2965"/>
        <v>0</v>
      </c>
      <c r="TB492" s="98">
        <f t="shared" si="2965"/>
        <v>0</v>
      </c>
      <c r="TC492" s="98">
        <f t="shared" si="2965"/>
        <v>0</v>
      </c>
      <c r="TD492" s="98">
        <f t="shared" si="2965"/>
        <v>0</v>
      </c>
      <c r="TE492" s="98">
        <f t="shared" si="2965"/>
        <v>0</v>
      </c>
      <c r="TF492" s="98">
        <f t="shared" si="2965"/>
        <v>0</v>
      </c>
      <c r="TG492" s="98">
        <f t="shared" si="2965"/>
        <v>0</v>
      </c>
      <c r="TH492" s="98">
        <f t="shared" si="2965"/>
        <v>0</v>
      </c>
      <c r="TI492" s="198">
        <f t="shared" si="2696"/>
        <v>0</v>
      </c>
      <c r="TJ492" s="198">
        <f t="shared" si="2697"/>
        <v>0</v>
      </c>
      <c r="TK492" s="98">
        <f t="shared" ref="TK492:TX492" si="2966">SUM(TK21,TK59,TK97,TK135,TK173,TK211,TK249,TK287,TK325,TK363,TK401,TK439)</f>
        <v>0</v>
      </c>
      <c r="TL492" s="98">
        <f t="shared" si="2966"/>
        <v>0</v>
      </c>
      <c r="TM492" s="98">
        <f t="shared" si="2966"/>
        <v>0</v>
      </c>
      <c r="TN492" s="98">
        <f t="shared" si="2966"/>
        <v>0</v>
      </c>
      <c r="TO492" s="98">
        <f t="shared" si="2966"/>
        <v>0</v>
      </c>
      <c r="TP492" s="98">
        <f t="shared" si="2966"/>
        <v>0</v>
      </c>
      <c r="TQ492" s="98">
        <f t="shared" si="2966"/>
        <v>0</v>
      </c>
      <c r="TR492" s="98">
        <f t="shared" si="2966"/>
        <v>0</v>
      </c>
      <c r="TS492" s="98">
        <f t="shared" si="2966"/>
        <v>0</v>
      </c>
      <c r="TT492" s="98">
        <f t="shared" si="2966"/>
        <v>0</v>
      </c>
      <c r="TU492" s="98">
        <f t="shared" si="2966"/>
        <v>0</v>
      </c>
      <c r="TV492" s="98">
        <f t="shared" si="2966"/>
        <v>0</v>
      </c>
      <c r="TW492" s="98">
        <f t="shared" si="2966"/>
        <v>0</v>
      </c>
      <c r="TX492" s="98">
        <f t="shared" si="2966"/>
        <v>0</v>
      </c>
      <c r="TY492" s="198">
        <f t="shared" si="2699"/>
        <v>0</v>
      </c>
      <c r="TZ492" s="198">
        <f t="shared" si="2700"/>
        <v>0</v>
      </c>
      <c r="UA492" s="98">
        <f t="shared" ref="UA492:UN492" si="2967">SUM(UA21,UA59,UA97,UA135,UA173,UA211,UA249,UA287,UA325,UA363,UA401,UA439)</f>
        <v>0</v>
      </c>
      <c r="UB492" s="98">
        <f t="shared" si="2967"/>
        <v>0</v>
      </c>
      <c r="UC492" s="98">
        <f t="shared" si="2967"/>
        <v>0</v>
      </c>
      <c r="UD492" s="98">
        <f t="shared" si="2967"/>
        <v>0</v>
      </c>
      <c r="UE492" s="98">
        <f t="shared" si="2967"/>
        <v>0</v>
      </c>
      <c r="UF492" s="98">
        <f t="shared" si="2967"/>
        <v>0</v>
      </c>
      <c r="UG492" s="98">
        <f t="shared" si="2967"/>
        <v>0</v>
      </c>
      <c r="UH492" s="98">
        <f t="shared" si="2967"/>
        <v>0</v>
      </c>
      <c r="UI492" s="98">
        <f t="shared" si="2967"/>
        <v>0</v>
      </c>
      <c r="UJ492" s="98">
        <f t="shared" si="2967"/>
        <v>0</v>
      </c>
      <c r="UK492" s="98">
        <f t="shared" si="2967"/>
        <v>0</v>
      </c>
      <c r="UL492" s="98">
        <f t="shared" si="2967"/>
        <v>0</v>
      </c>
      <c r="UM492" s="98">
        <f t="shared" si="2967"/>
        <v>0</v>
      </c>
      <c r="UN492" s="98">
        <f t="shared" si="2967"/>
        <v>0</v>
      </c>
      <c r="UO492" s="198">
        <f t="shared" si="2702"/>
        <v>0</v>
      </c>
      <c r="UP492" s="198">
        <f t="shared" si="2703"/>
        <v>0</v>
      </c>
      <c r="UQ492" s="98">
        <f t="shared" ref="UQ492:VD492" si="2968">SUM(UQ21,UQ59,UQ97,UQ135,UQ173,UQ211,UQ249,UQ287,UQ325,UQ363,UQ401,UQ439)</f>
        <v>0</v>
      </c>
      <c r="UR492" s="98">
        <f t="shared" si="2968"/>
        <v>0</v>
      </c>
      <c r="US492" s="98">
        <f t="shared" si="2968"/>
        <v>0</v>
      </c>
      <c r="UT492" s="98">
        <f t="shared" si="2968"/>
        <v>0</v>
      </c>
      <c r="UU492" s="98">
        <f t="shared" si="2968"/>
        <v>0</v>
      </c>
      <c r="UV492" s="98">
        <f t="shared" si="2968"/>
        <v>0</v>
      </c>
      <c r="UW492" s="98">
        <f t="shared" si="2968"/>
        <v>0</v>
      </c>
      <c r="UX492" s="98">
        <f t="shared" si="2968"/>
        <v>0</v>
      </c>
      <c r="UY492" s="98">
        <f t="shared" si="2968"/>
        <v>0</v>
      </c>
      <c r="UZ492" s="98">
        <f t="shared" si="2968"/>
        <v>0</v>
      </c>
      <c r="VA492" s="98">
        <f t="shared" si="2968"/>
        <v>0</v>
      </c>
      <c r="VB492" s="98">
        <f t="shared" si="2968"/>
        <v>0</v>
      </c>
      <c r="VC492" s="98">
        <f t="shared" si="2968"/>
        <v>0</v>
      </c>
      <c r="VD492" s="98">
        <f t="shared" si="2968"/>
        <v>0</v>
      </c>
      <c r="VE492" s="198">
        <f t="shared" si="2705"/>
        <v>0</v>
      </c>
      <c r="VF492" s="198">
        <f t="shared" si="2706"/>
        <v>0</v>
      </c>
      <c r="VG492" s="98">
        <f t="shared" ref="VG492:VT492" si="2969">SUM(VG21,VG59,VG97,VG135,VG173,VG211,VG249,VG287,VG325,VG363,VG401,VG439)</f>
        <v>0</v>
      </c>
      <c r="VH492" s="98">
        <f t="shared" si="2969"/>
        <v>0</v>
      </c>
      <c r="VI492" s="98">
        <f t="shared" si="2969"/>
        <v>328.9</v>
      </c>
      <c r="VJ492" s="98">
        <f t="shared" si="2969"/>
        <v>13156</v>
      </c>
      <c r="VK492" s="98">
        <f t="shared" si="2969"/>
        <v>0</v>
      </c>
      <c r="VL492" s="98">
        <f t="shared" si="2969"/>
        <v>0</v>
      </c>
      <c r="VM492" s="98">
        <f t="shared" si="2969"/>
        <v>0</v>
      </c>
      <c r="VN492" s="98">
        <f t="shared" si="2969"/>
        <v>0</v>
      </c>
      <c r="VO492" s="98">
        <f t="shared" si="2969"/>
        <v>0</v>
      </c>
      <c r="VP492" s="98">
        <f t="shared" si="2969"/>
        <v>0</v>
      </c>
      <c r="VQ492" s="98">
        <f t="shared" si="2969"/>
        <v>0</v>
      </c>
      <c r="VR492" s="98">
        <f t="shared" si="2969"/>
        <v>0</v>
      </c>
      <c r="VS492" s="98">
        <f t="shared" si="2969"/>
        <v>0</v>
      </c>
      <c r="VT492" s="98">
        <f t="shared" si="2969"/>
        <v>0</v>
      </c>
      <c r="VU492" s="198">
        <f t="shared" si="2708"/>
        <v>328.9</v>
      </c>
      <c r="VV492" s="198">
        <f t="shared" si="2709"/>
        <v>13156</v>
      </c>
      <c r="VW492" s="98">
        <f t="shared" ref="VW492:WJ492" si="2970">SUM(VW21,VW59,VW97,VW135,VW173,VW211,VW249,VW287,VW325,VW363,VW401,VW439)</f>
        <v>0</v>
      </c>
      <c r="VX492" s="98">
        <f t="shared" si="2970"/>
        <v>0</v>
      </c>
      <c r="VY492" s="98">
        <f t="shared" si="2970"/>
        <v>0</v>
      </c>
      <c r="VZ492" s="98">
        <f t="shared" si="2970"/>
        <v>0</v>
      </c>
      <c r="WA492" s="98">
        <f t="shared" si="2970"/>
        <v>0</v>
      </c>
      <c r="WB492" s="98">
        <f t="shared" si="2970"/>
        <v>0</v>
      </c>
      <c r="WC492" s="98">
        <f t="shared" si="2970"/>
        <v>0</v>
      </c>
      <c r="WD492" s="98">
        <f t="shared" si="2970"/>
        <v>0</v>
      </c>
      <c r="WE492" s="98">
        <f t="shared" si="2970"/>
        <v>0</v>
      </c>
      <c r="WF492" s="98">
        <f t="shared" si="2970"/>
        <v>0</v>
      </c>
      <c r="WG492" s="98">
        <f t="shared" si="2970"/>
        <v>0</v>
      </c>
      <c r="WH492" s="98">
        <f t="shared" si="2970"/>
        <v>0</v>
      </c>
      <c r="WI492" s="98">
        <f t="shared" si="2970"/>
        <v>0</v>
      </c>
      <c r="WJ492" s="98">
        <f t="shared" si="2970"/>
        <v>0</v>
      </c>
      <c r="WK492" s="198">
        <f t="shared" si="2711"/>
        <v>0</v>
      </c>
      <c r="WL492" s="198">
        <f t="shared" si="2712"/>
        <v>0</v>
      </c>
      <c r="WN492" s="98">
        <f t="shared" si="2713"/>
        <v>4970</v>
      </c>
      <c r="WO492" s="98">
        <f t="shared" si="2714"/>
        <v>374525</v>
      </c>
      <c r="WP492" s="98">
        <f t="shared" si="2715"/>
        <v>1812033.0758633553</v>
      </c>
      <c r="WQ492" s="98">
        <f t="shared" si="2716"/>
        <v>110600212.86546618</v>
      </c>
      <c r="WR492" s="98">
        <f t="shared" si="2717"/>
        <v>0</v>
      </c>
      <c r="WS492" s="98">
        <f t="shared" si="2718"/>
        <v>0</v>
      </c>
      <c r="WT492" s="98">
        <f t="shared" si="2719"/>
        <v>0</v>
      </c>
      <c r="WU492" s="98">
        <f t="shared" si="2720"/>
        <v>0</v>
      </c>
      <c r="WV492" s="98">
        <f t="shared" si="2721"/>
        <v>0</v>
      </c>
      <c r="WW492" s="98">
        <f t="shared" si="2722"/>
        <v>0</v>
      </c>
      <c r="WX492" s="98">
        <f t="shared" si="2723"/>
        <v>0</v>
      </c>
      <c r="WY492" s="98">
        <f t="shared" si="2724"/>
        <v>0</v>
      </c>
      <c r="WZ492" s="98">
        <f t="shared" si="2725"/>
        <v>0</v>
      </c>
      <c r="XA492" s="98">
        <f t="shared" si="2726"/>
        <v>0</v>
      </c>
      <c r="XB492" s="107">
        <f t="shared" si="2727"/>
        <v>1817003.0758633553</v>
      </c>
      <c r="XC492" s="107">
        <f t="shared" si="2728"/>
        <v>110974737.86546618</v>
      </c>
      <c r="XK492" s="98">
        <f t="shared" si="2729"/>
        <v>0</v>
      </c>
      <c r="XL492" s="98">
        <f t="shared" si="2730"/>
        <v>0</v>
      </c>
      <c r="XM492" s="98">
        <f t="shared" si="2731"/>
        <v>0</v>
      </c>
      <c r="XN492" s="98">
        <f t="shared" si="2732"/>
        <v>0</v>
      </c>
      <c r="XO492" s="98">
        <f t="shared" si="2733"/>
        <v>23612240.941329524</v>
      </c>
      <c r="XP492" s="98">
        <f t="shared" si="2734"/>
        <v>213170</v>
      </c>
      <c r="XQ492" s="98">
        <f t="shared" si="2735"/>
        <v>10275070.941329526</v>
      </c>
      <c r="XR492" s="107">
        <f t="shared" ca="1" si="2597"/>
        <v>34458424.958522402</v>
      </c>
      <c r="XT492" s="98">
        <f t="shared" si="2736"/>
        <v>110977402.86546618</v>
      </c>
      <c r="XU492" s="98">
        <f t="shared" si="2737"/>
        <v>571113.07586335542</v>
      </c>
      <c r="XV492" s="98">
        <f t="shared" si="2738"/>
        <v>110600212.86546618</v>
      </c>
      <c r="XW492" s="98">
        <f t="shared" si="2739"/>
        <v>0</v>
      </c>
      <c r="XX492" s="98">
        <f t="shared" si="2740"/>
        <v>0</v>
      </c>
      <c r="XY492" s="98">
        <f t="shared" si="2741"/>
        <v>0</v>
      </c>
      <c r="XZ492" s="98">
        <f t="shared" si="2742"/>
        <v>23612240.941329524</v>
      </c>
      <c r="YA492" s="107">
        <f t="shared" ca="1" si="2598"/>
        <v>245189856.67226189</v>
      </c>
    </row>
    <row r="493" spans="1:1017">
      <c r="B493" s="90" t="str">
        <f t="shared" si="2558"/>
        <v>Kepiting  Bakau</v>
      </c>
      <c r="C493" s="98">
        <f t="shared" ref="C493:P493" si="2971">SUM(C22,C60,C98,C136,C174,C212,C250,C288,C326,C364,C402,C440)</f>
        <v>0</v>
      </c>
      <c r="D493" s="98">
        <f t="shared" si="2971"/>
        <v>0</v>
      </c>
      <c r="E493" s="98">
        <f t="shared" si="2971"/>
        <v>8800</v>
      </c>
      <c r="F493" s="98">
        <f t="shared" si="2971"/>
        <v>880000</v>
      </c>
      <c r="G493" s="98">
        <f t="shared" si="2971"/>
        <v>0</v>
      </c>
      <c r="H493" s="98">
        <f t="shared" si="2971"/>
        <v>0</v>
      </c>
      <c r="I493" s="98">
        <f t="shared" si="2971"/>
        <v>0</v>
      </c>
      <c r="J493" s="98">
        <f t="shared" si="2971"/>
        <v>0</v>
      </c>
      <c r="K493" s="98">
        <f t="shared" si="2971"/>
        <v>0</v>
      </c>
      <c r="L493" s="98">
        <f t="shared" si="2971"/>
        <v>0</v>
      </c>
      <c r="M493" s="98">
        <f t="shared" si="2971"/>
        <v>0</v>
      </c>
      <c r="N493" s="98">
        <f t="shared" si="2971"/>
        <v>0</v>
      </c>
      <c r="O493" s="98">
        <f t="shared" si="2971"/>
        <v>0</v>
      </c>
      <c r="P493" s="98">
        <f t="shared" si="2971"/>
        <v>0</v>
      </c>
      <c r="Q493" s="198">
        <f t="shared" si="2600"/>
        <v>8800</v>
      </c>
      <c r="R493" s="198">
        <f t="shared" si="2601"/>
        <v>880000</v>
      </c>
      <c r="S493" s="98">
        <f t="shared" ref="S493:AF493" si="2972">SUM(S22,S60,S98,S136,S174,S212,S250,S288,S326,S364,S402,S440)</f>
        <v>0</v>
      </c>
      <c r="T493" s="98">
        <f t="shared" si="2972"/>
        <v>0</v>
      </c>
      <c r="U493" s="98">
        <f t="shared" si="2972"/>
        <v>56645</v>
      </c>
      <c r="V493" s="98">
        <f t="shared" si="2972"/>
        <v>3518700</v>
      </c>
      <c r="W493" s="98">
        <f t="shared" si="2972"/>
        <v>0</v>
      </c>
      <c r="X493" s="98">
        <f t="shared" si="2972"/>
        <v>0</v>
      </c>
      <c r="Y493" s="98">
        <f t="shared" si="2972"/>
        <v>0</v>
      </c>
      <c r="Z493" s="98">
        <f t="shared" si="2972"/>
        <v>0</v>
      </c>
      <c r="AA493" s="98">
        <f t="shared" si="2972"/>
        <v>0</v>
      </c>
      <c r="AB493" s="98">
        <f t="shared" si="2972"/>
        <v>0</v>
      </c>
      <c r="AC493" s="98">
        <f t="shared" si="2972"/>
        <v>0</v>
      </c>
      <c r="AD493" s="98">
        <f t="shared" si="2972"/>
        <v>0</v>
      </c>
      <c r="AE493" s="98">
        <f t="shared" si="2972"/>
        <v>0</v>
      </c>
      <c r="AF493" s="98">
        <f t="shared" si="2972"/>
        <v>0</v>
      </c>
      <c r="AG493" s="198">
        <f t="shared" si="2603"/>
        <v>56645</v>
      </c>
      <c r="AH493" s="198">
        <f t="shared" si="2604"/>
        <v>3518700</v>
      </c>
      <c r="AI493" s="98">
        <f t="shared" ref="AI493:AV493" si="2973">SUM(AI22,AI60,AI98,AI136,AI174,AI212,AI250,AI288,AI326,AI364,AI402,AI440)</f>
        <v>0</v>
      </c>
      <c r="AJ493" s="98">
        <f t="shared" si="2973"/>
        <v>0</v>
      </c>
      <c r="AK493" s="98">
        <f t="shared" si="2973"/>
        <v>0</v>
      </c>
      <c r="AL493" s="98">
        <f t="shared" si="2973"/>
        <v>0</v>
      </c>
      <c r="AM493" s="98">
        <f t="shared" si="2973"/>
        <v>0</v>
      </c>
      <c r="AN493" s="98">
        <f t="shared" si="2973"/>
        <v>0</v>
      </c>
      <c r="AO493" s="98">
        <f t="shared" si="2973"/>
        <v>0</v>
      </c>
      <c r="AP493" s="98">
        <f t="shared" si="2973"/>
        <v>0</v>
      </c>
      <c r="AQ493" s="98">
        <f t="shared" si="2973"/>
        <v>0</v>
      </c>
      <c r="AR493" s="98">
        <f t="shared" si="2973"/>
        <v>0</v>
      </c>
      <c r="AS493" s="98">
        <f t="shared" si="2973"/>
        <v>0</v>
      </c>
      <c r="AT493" s="98">
        <f t="shared" si="2973"/>
        <v>0</v>
      </c>
      <c r="AU493" s="98">
        <f t="shared" si="2973"/>
        <v>0</v>
      </c>
      <c r="AV493" s="98">
        <f t="shared" si="2973"/>
        <v>0</v>
      </c>
      <c r="AW493" s="198">
        <f t="shared" si="2606"/>
        <v>0</v>
      </c>
      <c r="AX493" s="198">
        <f t="shared" si="2607"/>
        <v>0</v>
      </c>
      <c r="AY493" s="98">
        <f t="shared" ref="AY493:BL493" si="2974">SUM(AY22,AY60,AY98,AY136,AY174,AY212,AY250,AY288,AY326,AY364,AY402,AY440)</f>
        <v>0</v>
      </c>
      <c r="AZ493" s="98">
        <f t="shared" si="2974"/>
        <v>0</v>
      </c>
      <c r="BA493" s="98">
        <f t="shared" si="2974"/>
        <v>0</v>
      </c>
      <c r="BB493" s="98">
        <f t="shared" si="2974"/>
        <v>0</v>
      </c>
      <c r="BC493" s="98">
        <f t="shared" si="2974"/>
        <v>0</v>
      </c>
      <c r="BD493" s="98">
        <f t="shared" si="2974"/>
        <v>0</v>
      </c>
      <c r="BE493" s="98">
        <f t="shared" si="2974"/>
        <v>0</v>
      </c>
      <c r="BF493" s="98">
        <f t="shared" si="2974"/>
        <v>0</v>
      </c>
      <c r="BG493" s="98">
        <f t="shared" si="2974"/>
        <v>0</v>
      </c>
      <c r="BH493" s="98">
        <f t="shared" si="2974"/>
        <v>0</v>
      </c>
      <c r="BI493" s="98">
        <f t="shared" si="2974"/>
        <v>0</v>
      </c>
      <c r="BJ493" s="98">
        <f t="shared" si="2974"/>
        <v>0</v>
      </c>
      <c r="BK493" s="98">
        <f t="shared" si="2974"/>
        <v>0</v>
      </c>
      <c r="BL493" s="98">
        <f t="shared" si="2974"/>
        <v>0</v>
      </c>
      <c r="BM493" s="198">
        <f t="shared" si="2609"/>
        <v>0</v>
      </c>
      <c r="BN493" s="198">
        <f t="shared" si="2610"/>
        <v>0</v>
      </c>
      <c r="BO493" s="98">
        <f t="shared" ref="BO493:CB493" si="2975">SUM(BO22,BO60,BO98,BO136,BO174,BO212,BO250,BO288,BO326,BO364,BO402,BO440)</f>
        <v>0</v>
      </c>
      <c r="BP493" s="98">
        <f t="shared" si="2975"/>
        <v>0</v>
      </c>
      <c r="BQ493" s="98">
        <f t="shared" si="2975"/>
        <v>0</v>
      </c>
      <c r="BR493" s="98">
        <f t="shared" si="2975"/>
        <v>0</v>
      </c>
      <c r="BS493" s="98">
        <f t="shared" si="2975"/>
        <v>0</v>
      </c>
      <c r="BT493" s="98">
        <f t="shared" si="2975"/>
        <v>0</v>
      </c>
      <c r="BU493" s="98">
        <f t="shared" si="2975"/>
        <v>0</v>
      </c>
      <c r="BV493" s="98">
        <f t="shared" si="2975"/>
        <v>0</v>
      </c>
      <c r="BW493" s="98">
        <f t="shared" si="2975"/>
        <v>0</v>
      </c>
      <c r="BX493" s="98">
        <f t="shared" si="2975"/>
        <v>0</v>
      </c>
      <c r="BY493" s="98">
        <f t="shared" si="2975"/>
        <v>0</v>
      </c>
      <c r="BZ493" s="98">
        <f t="shared" si="2975"/>
        <v>0</v>
      </c>
      <c r="CA493" s="98">
        <f t="shared" si="2975"/>
        <v>0</v>
      </c>
      <c r="CB493" s="98">
        <f t="shared" si="2975"/>
        <v>0</v>
      </c>
      <c r="CC493" s="198">
        <f t="shared" si="2612"/>
        <v>0</v>
      </c>
      <c r="CD493" s="198">
        <f t="shared" si="2613"/>
        <v>0</v>
      </c>
      <c r="CE493" s="98">
        <f t="shared" ref="CE493:CR493" si="2976">SUM(CE22,CE60,CE98,CE136,CE174,CE212,CE250,CE288,CE326,CE364,CE402,CE440)</f>
        <v>0</v>
      </c>
      <c r="CF493" s="98">
        <f t="shared" si="2976"/>
        <v>0</v>
      </c>
      <c r="CG493" s="98">
        <f t="shared" si="2976"/>
        <v>345628.26853126398</v>
      </c>
      <c r="CH493" s="98">
        <f t="shared" si="2976"/>
        <v>16611740.250673776</v>
      </c>
      <c r="CI493" s="98">
        <f t="shared" si="2976"/>
        <v>0</v>
      </c>
      <c r="CJ493" s="98">
        <f t="shared" si="2976"/>
        <v>0</v>
      </c>
      <c r="CK493" s="98">
        <f t="shared" si="2976"/>
        <v>0</v>
      </c>
      <c r="CL493" s="98">
        <f t="shared" si="2976"/>
        <v>0</v>
      </c>
      <c r="CM493" s="98">
        <f t="shared" si="2976"/>
        <v>0</v>
      </c>
      <c r="CN493" s="98">
        <f t="shared" si="2976"/>
        <v>0</v>
      </c>
      <c r="CO493" s="98">
        <f t="shared" si="2976"/>
        <v>0</v>
      </c>
      <c r="CP493" s="98">
        <f t="shared" si="2976"/>
        <v>0</v>
      </c>
      <c r="CQ493" s="98">
        <f t="shared" si="2976"/>
        <v>0</v>
      </c>
      <c r="CR493" s="98">
        <f t="shared" si="2976"/>
        <v>0</v>
      </c>
      <c r="CS493" s="198">
        <f t="shared" si="2615"/>
        <v>345628.26853126398</v>
      </c>
      <c r="CT493" s="198">
        <f t="shared" si="2616"/>
        <v>16611740.250673776</v>
      </c>
      <c r="CU493" s="98">
        <f t="shared" ref="CU493:DH493" si="2977">SUM(CU22,CU60,CU98,CU136,CU174,CU212,CU250,CU288,CU326,CU364,CU402,CU440)</f>
        <v>0</v>
      </c>
      <c r="CV493" s="98">
        <f t="shared" si="2977"/>
        <v>0</v>
      </c>
      <c r="CW493" s="98">
        <f t="shared" si="2977"/>
        <v>0</v>
      </c>
      <c r="CX493" s="98">
        <f t="shared" si="2977"/>
        <v>0</v>
      </c>
      <c r="CY493" s="98">
        <f t="shared" si="2977"/>
        <v>0</v>
      </c>
      <c r="CZ493" s="98">
        <f t="shared" si="2977"/>
        <v>0</v>
      </c>
      <c r="DA493" s="98">
        <f t="shared" si="2977"/>
        <v>0</v>
      </c>
      <c r="DB493" s="98">
        <f t="shared" si="2977"/>
        <v>0</v>
      </c>
      <c r="DC493" s="98">
        <f t="shared" si="2977"/>
        <v>0</v>
      </c>
      <c r="DD493" s="98">
        <f t="shared" si="2977"/>
        <v>0</v>
      </c>
      <c r="DE493" s="98">
        <f t="shared" si="2977"/>
        <v>0</v>
      </c>
      <c r="DF493" s="98">
        <f t="shared" si="2977"/>
        <v>0</v>
      </c>
      <c r="DG493" s="98">
        <f t="shared" si="2977"/>
        <v>0</v>
      </c>
      <c r="DH493" s="98">
        <f t="shared" si="2977"/>
        <v>0</v>
      </c>
      <c r="DI493" s="198">
        <f t="shared" si="2618"/>
        <v>0</v>
      </c>
      <c r="DJ493" s="198">
        <f t="shared" si="2619"/>
        <v>0</v>
      </c>
      <c r="DK493" s="98">
        <f t="shared" ref="DK493:DX493" si="2978">SUM(DK22,DK60,DK98,DK136,DK174,DK212,DK250,DK288,DK326,DK364,DK402,DK440)</f>
        <v>0</v>
      </c>
      <c r="DL493" s="98">
        <f t="shared" si="2978"/>
        <v>0</v>
      </c>
      <c r="DM493" s="98">
        <f t="shared" si="2978"/>
        <v>0</v>
      </c>
      <c r="DN493" s="98">
        <f t="shared" si="2978"/>
        <v>0</v>
      </c>
      <c r="DO493" s="98">
        <f t="shared" si="2978"/>
        <v>0</v>
      </c>
      <c r="DP493" s="98">
        <f t="shared" si="2978"/>
        <v>0</v>
      </c>
      <c r="DQ493" s="98">
        <f t="shared" si="2978"/>
        <v>0</v>
      </c>
      <c r="DR493" s="98">
        <f t="shared" si="2978"/>
        <v>0</v>
      </c>
      <c r="DS493" s="98">
        <f t="shared" si="2978"/>
        <v>0</v>
      </c>
      <c r="DT493" s="98">
        <f t="shared" si="2978"/>
        <v>0</v>
      </c>
      <c r="DU493" s="98">
        <f t="shared" si="2978"/>
        <v>0</v>
      </c>
      <c r="DV493" s="98">
        <f t="shared" si="2978"/>
        <v>0</v>
      </c>
      <c r="DW493" s="98">
        <f t="shared" si="2978"/>
        <v>0</v>
      </c>
      <c r="DX493" s="98">
        <f t="shared" si="2978"/>
        <v>0</v>
      </c>
      <c r="DY493" s="198">
        <f t="shared" si="2621"/>
        <v>0</v>
      </c>
      <c r="DZ493" s="198">
        <f t="shared" si="2622"/>
        <v>0</v>
      </c>
      <c r="EA493" s="98">
        <f t="shared" ref="EA493:EN493" si="2979">SUM(EA22,EA60,EA98,EA136,EA174,EA212,EA250,EA288,EA326,EA364,EA402,EA440)</f>
        <v>0</v>
      </c>
      <c r="EB493" s="98">
        <f t="shared" si="2979"/>
        <v>0</v>
      </c>
      <c r="EC493" s="98">
        <f t="shared" si="2979"/>
        <v>0</v>
      </c>
      <c r="ED493" s="98">
        <f t="shared" si="2979"/>
        <v>0</v>
      </c>
      <c r="EE493" s="98">
        <f t="shared" si="2979"/>
        <v>0</v>
      </c>
      <c r="EF493" s="98">
        <f t="shared" si="2979"/>
        <v>0</v>
      </c>
      <c r="EG493" s="98">
        <f t="shared" si="2979"/>
        <v>0</v>
      </c>
      <c r="EH493" s="98">
        <f t="shared" si="2979"/>
        <v>0</v>
      </c>
      <c r="EI493" s="98">
        <f t="shared" si="2979"/>
        <v>0</v>
      </c>
      <c r="EJ493" s="98">
        <f t="shared" si="2979"/>
        <v>0</v>
      </c>
      <c r="EK493" s="98">
        <f t="shared" si="2979"/>
        <v>0</v>
      </c>
      <c r="EL493" s="98">
        <f t="shared" si="2979"/>
        <v>0</v>
      </c>
      <c r="EM493" s="98">
        <f t="shared" si="2979"/>
        <v>0</v>
      </c>
      <c r="EN493" s="98">
        <f t="shared" si="2979"/>
        <v>0</v>
      </c>
      <c r="EO493" s="198">
        <f t="shared" si="2624"/>
        <v>0</v>
      </c>
      <c r="EP493" s="198">
        <f t="shared" si="2625"/>
        <v>0</v>
      </c>
      <c r="EQ493" s="98">
        <f t="shared" ref="EQ493:FD493" si="2980">SUM(EQ22,EQ60,EQ98,EQ136,EQ174,EQ212,EQ250,EQ288,EQ326,EQ364,EQ402,EQ440)</f>
        <v>0</v>
      </c>
      <c r="ER493" s="98">
        <f t="shared" si="2980"/>
        <v>0</v>
      </c>
      <c r="ES493" s="98">
        <f t="shared" si="2980"/>
        <v>0</v>
      </c>
      <c r="ET493" s="98">
        <f t="shared" si="2980"/>
        <v>0</v>
      </c>
      <c r="EU493" s="98">
        <f t="shared" si="2980"/>
        <v>0</v>
      </c>
      <c r="EV493" s="98">
        <f t="shared" si="2980"/>
        <v>0</v>
      </c>
      <c r="EW493" s="98">
        <f t="shared" si="2980"/>
        <v>0</v>
      </c>
      <c r="EX493" s="98">
        <f t="shared" si="2980"/>
        <v>0</v>
      </c>
      <c r="EY493" s="98">
        <f t="shared" si="2980"/>
        <v>0</v>
      </c>
      <c r="EZ493" s="98">
        <f t="shared" si="2980"/>
        <v>0</v>
      </c>
      <c r="FA493" s="98">
        <f t="shared" si="2980"/>
        <v>0</v>
      </c>
      <c r="FB493" s="98">
        <f t="shared" si="2980"/>
        <v>0</v>
      </c>
      <c r="FC493" s="98">
        <f t="shared" si="2980"/>
        <v>0</v>
      </c>
      <c r="FD493" s="98">
        <f t="shared" si="2980"/>
        <v>0</v>
      </c>
      <c r="FE493" s="198">
        <f t="shared" si="2627"/>
        <v>0</v>
      </c>
      <c r="FF493" s="198">
        <f t="shared" si="2628"/>
        <v>0</v>
      </c>
      <c r="FG493" s="98">
        <f t="shared" ref="FG493:FT493" si="2981">SUM(FG22,FG60,FG98,FG136,FG174,FG212,FG250,FG288,FG326,FG364,FG402,FG440)</f>
        <v>0</v>
      </c>
      <c r="FH493" s="98">
        <f t="shared" si="2981"/>
        <v>0</v>
      </c>
      <c r="FI493" s="98">
        <f t="shared" si="2981"/>
        <v>0</v>
      </c>
      <c r="FJ493" s="98">
        <f t="shared" si="2981"/>
        <v>0</v>
      </c>
      <c r="FK493" s="98">
        <f t="shared" si="2981"/>
        <v>0</v>
      </c>
      <c r="FL493" s="98">
        <f t="shared" si="2981"/>
        <v>0</v>
      </c>
      <c r="FM493" s="98">
        <f t="shared" si="2981"/>
        <v>0</v>
      </c>
      <c r="FN493" s="98">
        <f t="shared" si="2981"/>
        <v>0</v>
      </c>
      <c r="FO493" s="98">
        <f t="shared" si="2981"/>
        <v>0</v>
      </c>
      <c r="FP493" s="98">
        <f t="shared" si="2981"/>
        <v>0</v>
      </c>
      <c r="FQ493" s="98">
        <f t="shared" si="2981"/>
        <v>0</v>
      </c>
      <c r="FR493" s="98">
        <f t="shared" si="2981"/>
        <v>0</v>
      </c>
      <c r="FS493" s="98">
        <f t="shared" si="2981"/>
        <v>0</v>
      </c>
      <c r="FT493" s="98">
        <f t="shared" si="2981"/>
        <v>0</v>
      </c>
      <c r="FU493" s="198">
        <f t="shared" si="2630"/>
        <v>0</v>
      </c>
      <c r="FV493" s="198">
        <f t="shared" si="2631"/>
        <v>0</v>
      </c>
      <c r="FW493" s="98">
        <f t="shared" ref="FW493:GJ493" si="2982">SUM(FW22,FW60,FW98,FW136,FW174,FW212,FW250,FW288,FW326,FW364,FW402,FW440)</f>
        <v>0</v>
      </c>
      <c r="FX493" s="98">
        <f t="shared" si="2982"/>
        <v>0</v>
      </c>
      <c r="FY493" s="98">
        <f t="shared" si="2982"/>
        <v>0</v>
      </c>
      <c r="FZ493" s="98">
        <f t="shared" si="2982"/>
        <v>0</v>
      </c>
      <c r="GA493" s="98">
        <f t="shared" si="2982"/>
        <v>0</v>
      </c>
      <c r="GB493" s="98">
        <f t="shared" si="2982"/>
        <v>0</v>
      </c>
      <c r="GC493" s="98">
        <f t="shared" si="2982"/>
        <v>0</v>
      </c>
      <c r="GD493" s="98">
        <f t="shared" si="2982"/>
        <v>0</v>
      </c>
      <c r="GE493" s="98">
        <f t="shared" si="2982"/>
        <v>0</v>
      </c>
      <c r="GF493" s="98">
        <f t="shared" si="2982"/>
        <v>0</v>
      </c>
      <c r="GG493" s="98">
        <f t="shared" si="2982"/>
        <v>0</v>
      </c>
      <c r="GH493" s="98">
        <f t="shared" si="2982"/>
        <v>0</v>
      </c>
      <c r="GI493" s="98">
        <f t="shared" si="2982"/>
        <v>0</v>
      </c>
      <c r="GJ493" s="98">
        <f t="shared" si="2982"/>
        <v>0</v>
      </c>
      <c r="GK493" s="198">
        <f t="shared" si="2633"/>
        <v>0</v>
      </c>
      <c r="GL493" s="198">
        <f t="shared" si="2634"/>
        <v>0</v>
      </c>
      <c r="GM493" s="98">
        <f t="shared" ref="GM493:GZ493" si="2983">SUM(GM22,GM60,GM98,GM136,GM174,GM212,GM250,GM288,GM326,GM364,GM402,GM440)</f>
        <v>0</v>
      </c>
      <c r="GN493" s="98">
        <f t="shared" si="2983"/>
        <v>0</v>
      </c>
      <c r="GO493" s="98">
        <f t="shared" si="2983"/>
        <v>0</v>
      </c>
      <c r="GP493" s="98">
        <f t="shared" si="2983"/>
        <v>0</v>
      </c>
      <c r="GQ493" s="98">
        <f t="shared" si="2983"/>
        <v>0</v>
      </c>
      <c r="GR493" s="98">
        <f t="shared" si="2983"/>
        <v>0</v>
      </c>
      <c r="GS493" s="98">
        <f t="shared" si="2983"/>
        <v>0</v>
      </c>
      <c r="GT493" s="98">
        <f t="shared" si="2983"/>
        <v>0</v>
      </c>
      <c r="GU493" s="98">
        <f t="shared" si="2983"/>
        <v>0</v>
      </c>
      <c r="GV493" s="98">
        <f t="shared" si="2983"/>
        <v>0</v>
      </c>
      <c r="GW493" s="98">
        <f t="shared" si="2983"/>
        <v>0</v>
      </c>
      <c r="GX493" s="98">
        <f t="shared" si="2983"/>
        <v>0</v>
      </c>
      <c r="GY493" s="98">
        <f t="shared" si="2983"/>
        <v>0</v>
      </c>
      <c r="GZ493" s="98">
        <f t="shared" si="2983"/>
        <v>0</v>
      </c>
      <c r="HA493" s="198">
        <f t="shared" si="2636"/>
        <v>0</v>
      </c>
      <c r="HB493" s="198">
        <f t="shared" si="2637"/>
        <v>0</v>
      </c>
      <c r="HC493" s="98">
        <f t="shared" ref="HC493:HP493" si="2984">SUM(HC22,HC60,HC98,HC136,HC174,HC212,HC250,HC288,HC326,HC364,HC402,HC440)</f>
        <v>0</v>
      </c>
      <c r="HD493" s="98">
        <f t="shared" si="2984"/>
        <v>0</v>
      </c>
      <c r="HE493" s="98">
        <f t="shared" si="2984"/>
        <v>0</v>
      </c>
      <c r="HF493" s="98">
        <f t="shared" si="2984"/>
        <v>0</v>
      </c>
      <c r="HG493" s="98">
        <f t="shared" si="2984"/>
        <v>0</v>
      </c>
      <c r="HH493" s="98">
        <f t="shared" si="2984"/>
        <v>0</v>
      </c>
      <c r="HI493" s="98">
        <f t="shared" si="2984"/>
        <v>0</v>
      </c>
      <c r="HJ493" s="98">
        <f t="shared" si="2984"/>
        <v>0</v>
      </c>
      <c r="HK493" s="98">
        <f t="shared" si="2984"/>
        <v>0</v>
      </c>
      <c r="HL493" s="98">
        <f t="shared" si="2984"/>
        <v>0</v>
      </c>
      <c r="HM493" s="98">
        <f t="shared" si="2984"/>
        <v>0</v>
      </c>
      <c r="HN493" s="98">
        <f t="shared" si="2984"/>
        <v>0</v>
      </c>
      <c r="HO493" s="98">
        <f t="shared" si="2984"/>
        <v>0</v>
      </c>
      <c r="HP493" s="98">
        <f t="shared" si="2984"/>
        <v>0</v>
      </c>
      <c r="HQ493" s="198">
        <f t="shared" si="2639"/>
        <v>0</v>
      </c>
      <c r="HR493" s="198">
        <f t="shared" si="2640"/>
        <v>0</v>
      </c>
      <c r="HS493" s="98">
        <f t="shared" ref="HS493:IF493" si="2985">SUM(HS22,HS60,HS98,HS136,HS174,HS212,HS250,HS288,HS326,HS364,HS402,HS440)</f>
        <v>0</v>
      </c>
      <c r="HT493" s="98">
        <f t="shared" si="2985"/>
        <v>0</v>
      </c>
      <c r="HU493" s="98">
        <f t="shared" si="2985"/>
        <v>0</v>
      </c>
      <c r="HV493" s="98">
        <f t="shared" si="2985"/>
        <v>0</v>
      </c>
      <c r="HW493" s="98">
        <f t="shared" si="2985"/>
        <v>0</v>
      </c>
      <c r="HX493" s="98">
        <f t="shared" si="2985"/>
        <v>0</v>
      </c>
      <c r="HY493" s="98">
        <f t="shared" si="2985"/>
        <v>0</v>
      </c>
      <c r="HZ493" s="98">
        <f t="shared" si="2985"/>
        <v>0</v>
      </c>
      <c r="IA493" s="98">
        <f t="shared" si="2985"/>
        <v>0</v>
      </c>
      <c r="IB493" s="98">
        <f t="shared" si="2985"/>
        <v>0</v>
      </c>
      <c r="IC493" s="98">
        <f t="shared" si="2985"/>
        <v>0</v>
      </c>
      <c r="ID493" s="98">
        <f t="shared" si="2985"/>
        <v>0</v>
      </c>
      <c r="IE493" s="98">
        <f t="shared" si="2985"/>
        <v>0</v>
      </c>
      <c r="IF493" s="98">
        <f t="shared" si="2985"/>
        <v>0</v>
      </c>
      <c r="IG493" s="198">
        <f t="shared" si="2642"/>
        <v>0</v>
      </c>
      <c r="IH493" s="198">
        <f t="shared" si="2643"/>
        <v>0</v>
      </c>
      <c r="II493" s="98">
        <f t="shared" ref="II493:IV493" si="2986">SUM(II22,II60,II98,II136,II174,II212,II250,II288,II326,II364,II402,II440)</f>
        <v>0</v>
      </c>
      <c r="IJ493" s="98">
        <f t="shared" si="2986"/>
        <v>0</v>
      </c>
      <c r="IK493" s="98">
        <f t="shared" si="2986"/>
        <v>0</v>
      </c>
      <c r="IL493" s="98">
        <f t="shared" si="2986"/>
        <v>0</v>
      </c>
      <c r="IM493" s="98">
        <f t="shared" si="2986"/>
        <v>0</v>
      </c>
      <c r="IN493" s="98">
        <f t="shared" si="2986"/>
        <v>0</v>
      </c>
      <c r="IO493" s="98">
        <f t="shared" si="2986"/>
        <v>0</v>
      </c>
      <c r="IP493" s="98">
        <f t="shared" si="2986"/>
        <v>0</v>
      </c>
      <c r="IQ493" s="98">
        <f t="shared" si="2986"/>
        <v>0</v>
      </c>
      <c r="IR493" s="98">
        <f t="shared" si="2986"/>
        <v>0</v>
      </c>
      <c r="IS493" s="98">
        <f t="shared" si="2986"/>
        <v>0</v>
      </c>
      <c r="IT493" s="98">
        <f t="shared" si="2986"/>
        <v>0</v>
      </c>
      <c r="IU493" s="98">
        <f t="shared" si="2986"/>
        <v>0</v>
      </c>
      <c r="IV493" s="98">
        <f t="shared" si="2986"/>
        <v>0</v>
      </c>
      <c r="IW493" s="198">
        <f t="shared" si="2645"/>
        <v>0</v>
      </c>
      <c r="IX493" s="198">
        <f t="shared" si="2646"/>
        <v>0</v>
      </c>
      <c r="IY493" s="98">
        <f t="shared" ref="IY493:JL493" si="2987">SUM(IY22,IY60,IY98,IY136,IY174,IY212,IY250,IY288,IY326,IY364,IY402,IY440)</f>
        <v>0</v>
      </c>
      <c r="IZ493" s="98">
        <f t="shared" si="2987"/>
        <v>0</v>
      </c>
      <c r="JA493" s="98">
        <f t="shared" si="2987"/>
        <v>0</v>
      </c>
      <c r="JB493" s="98">
        <f t="shared" si="2987"/>
        <v>0</v>
      </c>
      <c r="JC493" s="98">
        <f t="shared" si="2987"/>
        <v>0</v>
      </c>
      <c r="JD493" s="98">
        <f t="shared" si="2987"/>
        <v>0</v>
      </c>
      <c r="JE493" s="98">
        <f t="shared" si="2987"/>
        <v>0</v>
      </c>
      <c r="JF493" s="98">
        <f t="shared" si="2987"/>
        <v>0</v>
      </c>
      <c r="JG493" s="98">
        <f t="shared" si="2987"/>
        <v>0</v>
      </c>
      <c r="JH493" s="98">
        <f t="shared" si="2987"/>
        <v>0</v>
      </c>
      <c r="JI493" s="98">
        <f t="shared" si="2987"/>
        <v>0</v>
      </c>
      <c r="JJ493" s="98">
        <f t="shared" si="2987"/>
        <v>0</v>
      </c>
      <c r="JK493" s="98">
        <f t="shared" si="2987"/>
        <v>0</v>
      </c>
      <c r="JL493" s="98">
        <f t="shared" si="2987"/>
        <v>0</v>
      </c>
      <c r="JM493" s="198">
        <f t="shared" si="2648"/>
        <v>0</v>
      </c>
      <c r="JN493" s="198">
        <f t="shared" si="2649"/>
        <v>0</v>
      </c>
      <c r="JO493" s="98">
        <f t="shared" ref="JO493:KB493" si="2988">SUM(JO22,JO60,JO98,JO136,JO174,JO212,JO250,JO288,JO326,JO364,JO402,JO440)</f>
        <v>0</v>
      </c>
      <c r="JP493" s="98">
        <f t="shared" si="2988"/>
        <v>0</v>
      </c>
      <c r="JQ493" s="98">
        <f t="shared" si="2988"/>
        <v>601</v>
      </c>
      <c r="JR493" s="98">
        <f t="shared" si="2988"/>
        <v>108180</v>
      </c>
      <c r="JS493" s="98">
        <f t="shared" si="2988"/>
        <v>0</v>
      </c>
      <c r="JT493" s="98">
        <f t="shared" si="2988"/>
        <v>0</v>
      </c>
      <c r="JU493" s="98">
        <f t="shared" si="2988"/>
        <v>0</v>
      </c>
      <c r="JV493" s="98">
        <f t="shared" si="2988"/>
        <v>0</v>
      </c>
      <c r="JW493" s="98">
        <f t="shared" si="2988"/>
        <v>0</v>
      </c>
      <c r="JX493" s="98">
        <f t="shared" si="2988"/>
        <v>0</v>
      </c>
      <c r="JY493" s="98">
        <f t="shared" si="2988"/>
        <v>0</v>
      </c>
      <c r="JZ493" s="98">
        <f t="shared" si="2988"/>
        <v>0</v>
      </c>
      <c r="KA493" s="98">
        <f t="shared" si="2988"/>
        <v>0</v>
      </c>
      <c r="KB493" s="98">
        <f t="shared" si="2988"/>
        <v>0</v>
      </c>
      <c r="KC493" s="198">
        <f t="shared" si="2651"/>
        <v>601</v>
      </c>
      <c r="KD493" s="198">
        <f t="shared" si="2652"/>
        <v>108180</v>
      </c>
      <c r="KE493" s="98">
        <f t="shared" ref="KE493:KR493" si="2989">SUM(KE22,KE60,KE98,KE136,KE174,KE212,KE250,KE288,KE326,KE364,KE402,KE440)</f>
        <v>0</v>
      </c>
      <c r="KF493" s="98">
        <f t="shared" si="2989"/>
        <v>0</v>
      </c>
      <c r="KG493" s="98">
        <f t="shared" si="2989"/>
        <v>0</v>
      </c>
      <c r="KH493" s="98">
        <f t="shared" si="2989"/>
        <v>0</v>
      </c>
      <c r="KI493" s="98">
        <f t="shared" si="2989"/>
        <v>0</v>
      </c>
      <c r="KJ493" s="98">
        <f t="shared" si="2989"/>
        <v>0</v>
      </c>
      <c r="KK493" s="98">
        <f t="shared" si="2989"/>
        <v>0</v>
      </c>
      <c r="KL493" s="98">
        <f t="shared" si="2989"/>
        <v>0</v>
      </c>
      <c r="KM493" s="98">
        <f t="shared" si="2989"/>
        <v>0</v>
      </c>
      <c r="KN493" s="98">
        <f t="shared" si="2989"/>
        <v>0</v>
      </c>
      <c r="KO493" s="98">
        <f t="shared" si="2989"/>
        <v>0</v>
      </c>
      <c r="KP493" s="98">
        <f t="shared" si="2989"/>
        <v>0</v>
      </c>
      <c r="KQ493" s="98">
        <f t="shared" si="2989"/>
        <v>0</v>
      </c>
      <c r="KR493" s="98">
        <f t="shared" si="2989"/>
        <v>0</v>
      </c>
      <c r="KS493" s="198">
        <f t="shared" si="2654"/>
        <v>0</v>
      </c>
      <c r="KT493" s="198">
        <f t="shared" si="2655"/>
        <v>0</v>
      </c>
      <c r="KU493" s="98">
        <f t="shared" ref="KU493:LH493" si="2990">SUM(KU22,KU60,KU98,KU136,KU174,KU212,KU250,KU288,KU326,KU364,KU402,KU440)</f>
        <v>0</v>
      </c>
      <c r="KV493" s="98">
        <f t="shared" si="2990"/>
        <v>0</v>
      </c>
      <c r="KW493" s="98">
        <f t="shared" si="2990"/>
        <v>0</v>
      </c>
      <c r="KX493" s="98">
        <f t="shared" si="2990"/>
        <v>0</v>
      </c>
      <c r="KY493" s="98">
        <f t="shared" si="2990"/>
        <v>0</v>
      </c>
      <c r="KZ493" s="98">
        <f t="shared" si="2990"/>
        <v>0</v>
      </c>
      <c r="LA493" s="98">
        <f t="shared" si="2990"/>
        <v>0</v>
      </c>
      <c r="LB493" s="98">
        <f t="shared" si="2990"/>
        <v>0</v>
      </c>
      <c r="LC493" s="98">
        <f t="shared" si="2990"/>
        <v>0</v>
      </c>
      <c r="LD493" s="98">
        <f t="shared" si="2990"/>
        <v>0</v>
      </c>
      <c r="LE493" s="98">
        <f t="shared" si="2990"/>
        <v>0</v>
      </c>
      <c r="LF493" s="98">
        <f t="shared" si="2990"/>
        <v>0</v>
      </c>
      <c r="LG493" s="98">
        <f t="shared" si="2990"/>
        <v>0</v>
      </c>
      <c r="LH493" s="98">
        <f t="shared" si="2990"/>
        <v>0</v>
      </c>
      <c r="LI493" s="198">
        <f t="shared" si="2657"/>
        <v>0</v>
      </c>
      <c r="LJ493" s="198">
        <f t="shared" si="2658"/>
        <v>0</v>
      </c>
      <c r="LK493" s="98">
        <f t="shared" ref="LK493:LX493" si="2991">SUM(LK22,LK60,LK98,LK136,LK174,LK212,LK250,LK288,LK326,LK364,LK402,LK440)</f>
        <v>0</v>
      </c>
      <c r="LL493" s="98">
        <f t="shared" si="2991"/>
        <v>0</v>
      </c>
      <c r="LM493" s="98">
        <f t="shared" si="2991"/>
        <v>0</v>
      </c>
      <c r="LN493" s="98">
        <f t="shared" si="2991"/>
        <v>0</v>
      </c>
      <c r="LO493" s="98">
        <f t="shared" si="2991"/>
        <v>0</v>
      </c>
      <c r="LP493" s="98">
        <f t="shared" si="2991"/>
        <v>0</v>
      </c>
      <c r="LQ493" s="98">
        <f t="shared" si="2991"/>
        <v>0</v>
      </c>
      <c r="LR493" s="98">
        <f t="shared" si="2991"/>
        <v>0</v>
      </c>
      <c r="LS493" s="98">
        <f t="shared" si="2991"/>
        <v>0</v>
      </c>
      <c r="LT493" s="98">
        <f t="shared" si="2991"/>
        <v>0</v>
      </c>
      <c r="LU493" s="98">
        <f t="shared" si="2991"/>
        <v>0</v>
      </c>
      <c r="LV493" s="98">
        <f t="shared" si="2991"/>
        <v>0</v>
      </c>
      <c r="LW493" s="98">
        <f t="shared" si="2991"/>
        <v>0</v>
      </c>
      <c r="LX493" s="98">
        <f t="shared" si="2991"/>
        <v>0</v>
      </c>
      <c r="LY493" s="198">
        <f t="shared" si="2660"/>
        <v>0</v>
      </c>
      <c r="LZ493" s="198">
        <f t="shared" si="2661"/>
        <v>0</v>
      </c>
      <c r="MA493" s="98">
        <f t="shared" ref="MA493:MN493" si="2992">SUM(MA22,MA60,MA98,MA136,MA174,MA212,MA250,MA288,MA326,MA364,MA402,MA440)</f>
        <v>0</v>
      </c>
      <c r="MB493" s="98">
        <f t="shared" si="2992"/>
        <v>0</v>
      </c>
      <c r="MC493" s="98">
        <f t="shared" si="2992"/>
        <v>71670</v>
      </c>
      <c r="MD493" s="98">
        <f t="shared" si="2992"/>
        <v>7167000</v>
      </c>
      <c r="ME493" s="98">
        <f t="shared" si="2992"/>
        <v>0</v>
      </c>
      <c r="MF493" s="98">
        <f t="shared" si="2992"/>
        <v>0</v>
      </c>
      <c r="MG493" s="98">
        <f t="shared" si="2992"/>
        <v>0</v>
      </c>
      <c r="MH493" s="98">
        <f t="shared" si="2992"/>
        <v>0</v>
      </c>
      <c r="MI493" s="98">
        <f t="shared" si="2992"/>
        <v>0</v>
      </c>
      <c r="MJ493" s="98">
        <f t="shared" si="2992"/>
        <v>0</v>
      </c>
      <c r="MK493" s="98">
        <f t="shared" si="2992"/>
        <v>0</v>
      </c>
      <c r="ML493" s="98">
        <f t="shared" si="2992"/>
        <v>0</v>
      </c>
      <c r="MM493" s="98">
        <f t="shared" si="2992"/>
        <v>0</v>
      </c>
      <c r="MN493" s="98">
        <f t="shared" si="2992"/>
        <v>0</v>
      </c>
      <c r="MO493" s="198">
        <f t="shared" si="2663"/>
        <v>71670</v>
      </c>
      <c r="MP493" s="198">
        <f t="shared" si="2664"/>
        <v>7167000</v>
      </c>
      <c r="MQ493" s="98">
        <f t="shared" ref="MQ493:ND493" si="2993">SUM(MQ22,MQ60,MQ98,MQ136,MQ174,MQ212,MQ250,MQ288,MQ326,MQ364,MQ402,MQ440)</f>
        <v>0</v>
      </c>
      <c r="MR493" s="98">
        <f t="shared" si="2993"/>
        <v>0</v>
      </c>
      <c r="MS493" s="98">
        <f t="shared" si="2993"/>
        <v>470</v>
      </c>
      <c r="MT493" s="98">
        <f t="shared" si="2993"/>
        <v>47000</v>
      </c>
      <c r="MU493" s="98">
        <f t="shared" si="2993"/>
        <v>0</v>
      </c>
      <c r="MV493" s="98">
        <f t="shared" si="2993"/>
        <v>0</v>
      </c>
      <c r="MW493" s="98">
        <f t="shared" si="2993"/>
        <v>0</v>
      </c>
      <c r="MX493" s="98">
        <f t="shared" si="2993"/>
        <v>0</v>
      </c>
      <c r="MY493" s="98">
        <f t="shared" si="2993"/>
        <v>0</v>
      </c>
      <c r="MZ493" s="98">
        <f t="shared" si="2993"/>
        <v>0</v>
      </c>
      <c r="NA493" s="98">
        <f t="shared" si="2993"/>
        <v>0</v>
      </c>
      <c r="NB493" s="98">
        <f t="shared" si="2993"/>
        <v>0</v>
      </c>
      <c r="NC493" s="98">
        <f t="shared" si="2993"/>
        <v>0</v>
      </c>
      <c r="ND493" s="98">
        <f t="shared" si="2993"/>
        <v>0</v>
      </c>
      <c r="NE493" s="198">
        <f t="shared" si="2666"/>
        <v>470</v>
      </c>
      <c r="NF493" s="198">
        <f t="shared" si="2667"/>
        <v>47000</v>
      </c>
      <c r="NG493" s="98">
        <f t="shared" ref="NG493:NT493" si="2994">SUM(NG22,NG60,NG98,NG136,NG174,NG212,NG250,NG288,NG326,NG364,NG402,NG440)</f>
        <v>0</v>
      </c>
      <c r="NH493" s="98">
        <f t="shared" si="2994"/>
        <v>0</v>
      </c>
      <c r="NI493" s="98">
        <f t="shared" si="2994"/>
        <v>234600</v>
      </c>
      <c r="NJ493" s="98">
        <f t="shared" si="2994"/>
        <v>9384000</v>
      </c>
      <c r="NK493" s="98">
        <f t="shared" si="2994"/>
        <v>0</v>
      </c>
      <c r="NL493" s="98">
        <f t="shared" si="2994"/>
        <v>0</v>
      </c>
      <c r="NM493" s="98">
        <f t="shared" si="2994"/>
        <v>0</v>
      </c>
      <c r="NN493" s="98">
        <f t="shared" si="2994"/>
        <v>0</v>
      </c>
      <c r="NO493" s="98">
        <f t="shared" si="2994"/>
        <v>0</v>
      </c>
      <c r="NP493" s="98">
        <f t="shared" si="2994"/>
        <v>0</v>
      </c>
      <c r="NQ493" s="98">
        <f t="shared" si="2994"/>
        <v>0</v>
      </c>
      <c r="NR493" s="98">
        <f t="shared" si="2994"/>
        <v>0</v>
      </c>
      <c r="NS493" s="98">
        <f t="shared" si="2994"/>
        <v>0</v>
      </c>
      <c r="NT493" s="98">
        <f t="shared" si="2994"/>
        <v>0</v>
      </c>
      <c r="NU493" s="198">
        <f t="shared" si="2669"/>
        <v>234600</v>
      </c>
      <c r="NV493" s="198">
        <f t="shared" si="2670"/>
        <v>9384000</v>
      </c>
      <c r="NW493" s="98">
        <f t="shared" ref="NW493:OJ493" si="2995">SUM(NW22,NW60,NW98,NW136,NW174,NW212,NW250,NW288,NW326,NW364,NW402,NW440)</f>
        <v>0</v>
      </c>
      <c r="NX493" s="98">
        <f t="shared" si="2995"/>
        <v>0</v>
      </c>
      <c r="NY493" s="98">
        <f t="shared" si="2995"/>
        <v>0</v>
      </c>
      <c r="NZ493" s="98">
        <f t="shared" si="2995"/>
        <v>0</v>
      </c>
      <c r="OA493" s="98">
        <f t="shared" si="2995"/>
        <v>0</v>
      </c>
      <c r="OB493" s="98">
        <f t="shared" si="2995"/>
        <v>0</v>
      </c>
      <c r="OC493" s="98">
        <f t="shared" si="2995"/>
        <v>0</v>
      </c>
      <c r="OD493" s="98">
        <f t="shared" si="2995"/>
        <v>0</v>
      </c>
      <c r="OE493" s="98">
        <f t="shared" si="2995"/>
        <v>0</v>
      </c>
      <c r="OF493" s="98">
        <f t="shared" si="2995"/>
        <v>0</v>
      </c>
      <c r="OG493" s="98">
        <f t="shared" si="2995"/>
        <v>0</v>
      </c>
      <c r="OH493" s="98">
        <f t="shared" si="2995"/>
        <v>0</v>
      </c>
      <c r="OI493" s="98">
        <f t="shared" si="2995"/>
        <v>0</v>
      </c>
      <c r="OJ493" s="98">
        <f t="shared" si="2995"/>
        <v>0</v>
      </c>
      <c r="OK493" s="198">
        <f t="shared" si="2672"/>
        <v>0</v>
      </c>
      <c r="OL493" s="198">
        <f t="shared" si="2673"/>
        <v>0</v>
      </c>
      <c r="OM493" s="98">
        <f t="shared" ref="OM493:OZ493" si="2996">SUM(OM22,OM60,OM98,OM136,OM174,OM212,OM250,OM288,OM326,OM364,OM402,OM440)</f>
        <v>0</v>
      </c>
      <c r="ON493" s="98">
        <f t="shared" si="2996"/>
        <v>0</v>
      </c>
      <c r="OO493" s="98">
        <f t="shared" si="2996"/>
        <v>0</v>
      </c>
      <c r="OP493" s="98">
        <f t="shared" si="2996"/>
        <v>0</v>
      </c>
      <c r="OQ493" s="98">
        <f t="shared" si="2996"/>
        <v>0</v>
      </c>
      <c r="OR493" s="98">
        <f t="shared" si="2996"/>
        <v>0</v>
      </c>
      <c r="OS493" s="98">
        <f t="shared" si="2996"/>
        <v>0</v>
      </c>
      <c r="OT493" s="98">
        <f t="shared" si="2996"/>
        <v>0</v>
      </c>
      <c r="OU493" s="98">
        <f t="shared" si="2996"/>
        <v>0</v>
      </c>
      <c r="OV493" s="98">
        <f t="shared" si="2996"/>
        <v>0</v>
      </c>
      <c r="OW493" s="98">
        <f t="shared" si="2996"/>
        <v>0</v>
      </c>
      <c r="OX493" s="98">
        <f t="shared" si="2996"/>
        <v>0</v>
      </c>
      <c r="OY493" s="98">
        <f t="shared" si="2996"/>
        <v>0</v>
      </c>
      <c r="OZ493" s="98">
        <f t="shared" si="2996"/>
        <v>0</v>
      </c>
      <c r="PA493" s="198">
        <f t="shared" si="2675"/>
        <v>0</v>
      </c>
      <c r="PB493" s="198">
        <f t="shared" si="2676"/>
        <v>0</v>
      </c>
      <c r="PC493" s="98">
        <f t="shared" ref="PC493:PP493" si="2997">SUM(PC22,PC60,PC98,PC136,PC174,PC212,PC250,PC288,PC326,PC364,PC402,PC440)</f>
        <v>0</v>
      </c>
      <c r="PD493" s="98">
        <f t="shared" si="2997"/>
        <v>0</v>
      </c>
      <c r="PE493" s="98">
        <f t="shared" si="2997"/>
        <v>0</v>
      </c>
      <c r="PF493" s="98">
        <f t="shared" si="2997"/>
        <v>0</v>
      </c>
      <c r="PG493" s="98">
        <f t="shared" si="2997"/>
        <v>0</v>
      </c>
      <c r="PH493" s="98">
        <f t="shared" si="2997"/>
        <v>0</v>
      </c>
      <c r="PI493" s="98">
        <f t="shared" si="2997"/>
        <v>0</v>
      </c>
      <c r="PJ493" s="98">
        <f t="shared" si="2997"/>
        <v>0</v>
      </c>
      <c r="PK493" s="98">
        <f t="shared" si="2997"/>
        <v>0</v>
      </c>
      <c r="PL493" s="98">
        <f t="shared" si="2997"/>
        <v>0</v>
      </c>
      <c r="PM493" s="98">
        <f t="shared" si="2997"/>
        <v>0</v>
      </c>
      <c r="PN493" s="98">
        <f t="shared" si="2997"/>
        <v>0</v>
      </c>
      <c r="PO493" s="98">
        <f t="shared" si="2997"/>
        <v>0</v>
      </c>
      <c r="PP493" s="98">
        <f t="shared" si="2997"/>
        <v>0</v>
      </c>
      <c r="PQ493" s="198">
        <f t="shared" si="2678"/>
        <v>0</v>
      </c>
      <c r="PR493" s="198">
        <f t="shared" si="2679"/>
        <v>0</v>
      </c>
      <c r="PS493" s="98">
        <f t="shared" ref="PS493:QF493" si="2998">SUM(PS22,PS60,PS98,PS136,PS174,PS212,PS250,PS288,PS326,PS364,PS402,PS440)</f>
        <v>0</v>
      </c>
      <c r="PT493" s="98">
        <f t="shared" si="2998"/>
        <v>0</v>
      </c>
      <c r="PU493" s="98">
        <f t="shared" si="2998"/>
        <v>0</v>
      </c>
      <c r="PV493" s="98">
        <f t="shared" si="2998"/>
        <v>0</v>
      </c>
      <c r="PW493" s="98">
        <f t="shared" si="2998"/>
        <v>0</v>
      </c>
      <c r="PX493" s="98">
        <f t="shared" si="2998"/>
        <v>0</v>
      </c>
      <c r="PY493" s="98">
        <f t="shared" si="2998"/>
        <v>0</v>
      </c>
      <c r="PZ493" s="98">
        <f t="shared" si="2998"/>
        <v>0</v>
      </c>
      <c r="QA493" s="98">
        <f t="shared" si="2998"/>
        <v>0</v>
      </c>
      <c r="QB493" s="98">
        <f t="shared" si="2998"/>
        <v>0</v>
      </c>
      <c r="QC493" s="98">
        <f t="shared" si="2998"/>
        <v>0</v>
      </c>
      <c r="QD493" s="98">
        <f t="shared" si="2998"/>
        <v>0</v>
      </c>
      <c r="QE493" s="98">
        <f t="shared" si="2998"/>
        <v>0</v>
      </c>
      <c r="QF493" s="98">
        <f t="shared" si="2998"/>
        <v>0</v>
      </c>
      <c r="QG493" s="198">
        <f t="shared" si="2681"/>
        <v>0</v>
      </c>
      <c r="QH493" s="198">
        <f t="shared" si="2682"/>
        <v>0</v>
      </c>
      <c r="QI493" s="98">
        <f t="shared" ref="QI493:QV493" si="2999">SUM(QI22,QI60,QI98,QI136,QI174,QI212,QI250,QI288,QI326,QI364,QI402,QI440)</f>
        <v>0</v>
      </c>
      <c r="QJ493" s="98">
        <f t="shared" si="2999"/>
        <v>0</v>
      </c>
      <c r="QK493" s="98">
        <f t="shared" si="2999"/>
        <v>0</v>
      </c>
      <c r="QL493" s="98">
        <f t="shared" si="2999"/>
        <v>0</v>
      </c>
      <c r="QM493" s="98">
        <f t="shared" si="2999"/>
        <v>0</v>
      </c>
      <c r="QN493" s="98">
        <f t="shared" si="2999"/>
        <v>0</v>
      </c>
      <c r="QO493" s="98">
        <f t="shared" si="2999"/>
        <v>0</v>
      </c>
      <c r="QP493" s="98">
        <f t="shared" si="2999"/>
        <v>0</v>
      </c>
      <c r="QQ493" s="98">
        <f t="shared" si="2999"/>
        <v>0</v>
      </c>
      <c r="QR493" s="98">
        <f t="shared" si="2999"/>
        <v>0</v>
      </c>
      <c r="QS493" s="98">
        <f t="shared" si="2999"/>
        <v>0</v>
      </c>
      <c r="QT493" s="98">
        <f t="shared" si="2999"/>
        <v>0</v>
      </c>
      <c r="QU493" s="98">
        <f t="shared" si="2999"/>
        <v>0</v>
      </c>
      <c r="QV493" s="98">
        <f t="shared" si="2999"/>
        <v>0</v>
      </c>
      <c r="QW493" s="198">
        <f t="shared" si="2684"/>
        <v>0</v>
      </c>
      <c r="QX493" s="198">
        <f t="shared" si="2685"/>
        <v>0</v>
      </c>
      <c r="QY493" s="98">
        <f t="shared" ref="QY493:RL493" si="3000">SUM(QY22,QY60,QY98,QY136,QY174,QY212,QY250,QY288,QY326,QY364,QY402,QY440)</f>
        <v>0</v>
      </c>
      <c r="QZ493" s="98">
        <f t="shared" si="3000"/>
        <v>0</v>
      </c>
      <c r="RA493" s="98">
        <f t="shared" si="3000"/>
        <v>0</v>
      </c>
      <c r="RB493" s="98">
        <f t="shared" si="3000"/>
        <v>0</v>
      </c>
      <c r="RC493" s="98">
        <f t="shared" si="3000"/>
        <v>0</v>
      </c>
      <c r="RD493" s="98">
        <f t="shared" si="3000"/>
        <v>0</v>
      </c>
      <c r="RE493" s="98">
        <f t="shared" si="3000"/>
        <v>0</v>
      </c>
      <c r="RF493" s="98">
        <f t="shared" si="3000"/>
        <v>0</v>
      </c>
      <c r="RG493" s="98">
        <f t="shared" si="3000"/>
        <v>0</v>
      </c>
      <c r="RH493" s="98">
        <f t="shared" si="3000"/>
        <v>0</v>
      </c>
      <c r="RI493" s="98">
        <f t="shared" si="3000"/>
        <v>0</v>
      </c>
      <c r="RJ493" s="98">
        <f t="shared" si="3000"/>
        <v>0</v>
      </c>
      <c r="RK493" s="98">
        <f t="shared" si="3000"/>
        <v>0</v>
      </c>
      <c r="RL493" s="98">
        <f t="shared" si="3000"/>
        <v>0</v>
      </c>
      <c r="RM493" s="198">
        <f t="shared" si="2687"/>
        <v>0</v>
      </c>
      <c r="RN493" s="198">
        <f t="shared" si="2688"/>
        <v>0</v>
      </c>
      <c r="RO493" s="98">
        <f t="shared" ref="RO493:SB493" si="3001">SUM(RO22,RO60,RO98,RO136,RO174,RO212,RO250,RO288,RO326,RO364,RO402,RO440)</f>
        <v>0</v>
      </c>
      <c r="RP493" s="98">
        <f t="shared" si="3001"/>
        <v>0</v>
      </c>
      <c r="RQ493" s="98">
        <f t="shared" si="3001"/>
        <v>0</v>
      </c>
      <c r="RR493" s="98">
        <f t="shared" si="3001"/>
        <v>0</v>
      </c>
      <c r="RS493" s="98">
        <f t="shared" si="3001"/>
        <v>0</v>
      </c>
      <c r="RT493" s="98">
        <f t="shared" si="3001"/>
        <v>0</v>
      </c>
      <c r="RU493" s="98">
        <f t="shared" si="3001"/>
        <v>0</v>
      </c>
      <c r="RV493" s="98">
        <f t="shared" si="3001"/>
        <v>0</v>
      </c>
      <c r="RW493" s="98">
        <f t="shared" si="3001"/>
        <v>0</v>
      </c>
      <c r="RX493" s="98">
        <f t="shared" si="3001"/>
        <v>0</v>
      </c>
      <c r="RY493" s="98">
        <f t="shared" si="3001"/>
        <v>0</v>
      </c>
      <c r="RZ493" s="98">
        <f t="shared" si="3001"/>
        <v>0</v>
      </c>
      <c r="SA493" s="98">
        <f t="shared" si="3001"/>
        <v>0</v>
      </c>
      <c r="SB493" s="98">
        <f t="shared" si="3001"/>
        <v>0</v>
      </c>
      <c r="SC493" s="198">
        <f t="shared" si="2690"/>
        <v>0</v>
      </c>
      <c r="SD493" s="198">
        <f t="shared" si="2691"/>
        <v>0</v>
      </c>
      <c r="SE493" s="98">
        <f t="shared" ref="SE493:SR493" si="3002">SUM(SE22,SE60,SE98,SE136,SE174,SE212,SE250,SE288,SE326,SE364,SE402,SE440)</f>
        <v>0</v>
      </c>
      <c r="SF493" s="98">
        <f t="shared" si="3002"/>
        <v>0</v>
      </c>
      <c r="SG493" s="98">
        <f t="shared" si="3002"/>
        <v>0</v>
      </c>
      <c r="SH493" s="98">
        <f t="shared" si="3002"/>
        <v>0</v>
      </c>
      <c r="SI493" s="98">
        <f t="shared" si="3002"/>
        <v>0</v>
      </c>
      <c r="SJ493" s="98">
        <f t="shared" si="3002"/>
        <v>0</v>
      </c>
      <c r="SK493" s="98">
        <f t="shared" si="3002"/>
        <v>0</v>
      </c>
      <c r="SL493" s="98">
        <f t="shared" si="3002"/>
        <v>0</v>
      </c>
      <c r="SM493" s="98">
        <f t="shared" si="3002"/>
        <v>0</v>
      </c>
      <c r="SN493" s="98">
        <f t="shared" si="3002"/>
        <v>0</v>
      </c>
      <c r="SO493" s="98">
        <f t="shared" si="3002"/>
        <v>0</v>
      </c>
      <c r="SP493" s="98">
        <f t="shared" si="3002"/>
        <v>0</v>
      </c>
      <c r="SQ493" s="98">
        <f t="shared" si="3002"/>
        <v>0</v>
      </c>
      <c r="SR493" s="98">
        <f t="shared" si="3002"/>
        <v>0</v>
      </c>
      <c r="SS493" s="198">
        <f t="shared" si="2693"/>
        <v>0</v>
      </c>
      <c r="ST493" s="198">
        <f t="shared" si="2694"/>
        <v>0</v>
      </c>
      <c r="SU493" s="98">
        <f t="shared" ref="SU493:TH493" si="3003">SUM(SU22,SU60,SU98,SU136,SU174,SU212,SU250,SU288,SU326,SU364,SU402,SU440)</f>
        <v>0</v>
      </c>
      <c r="SV493" s="98">
        <f t="shared" si="3003"/>
        <v>0</v>
      </c>
      <c r="SW493" s="98">
        <f t="shared" si="3003"/>
        <v>0</v>
      </c>
      <c r="SX493" s="98">
        <f t="shared" si="3003"/>
        <v>0</v>
      </c>
      <c r="SY493" s="98">
        <f t="shared" si="3003"/>
        <v>0</v>
      </c>
      <c r="SZ493" s="98">
        <f t="shared" si="3003"/>
        <v>0</v>
      </c>
      <c r="TA493" s="98">
        <f t="shared" si="3003"/>
        <v>0</v>
      </c>
      <c r="TB493" s="98">
        <f t="shared" si="3003"/>
        <v>0</v>
      </c>
      <c r="TC493" s="98">
        <f t="shared" si="3003"/>
        <v>0</v>
      </c>
      <c r="TD493" s="98">
        <f t="shared" si="3003"/>
        <v>0</v>
      </c>
      <c r="TE493" s="98">
        <f t="shared" si="3003"/>
        <v>0</v>
      </c>
      <c r="TF493" s="98">
        <f t="shared" si="3003"/>
        <v>0</v>
      </c>
      <c r="TG493" s="98">
        <f t="shared" si="3003"/>
        <v>0</v>
      </c>
      <c r="TH493" s="98">
        <f t="shared" si="3003"/>
        <v>0</v>
      </c>
      <c r="TI493" s="198">
        <f t="shared" si="2696"/>
        <v>0</v>
      </c>
      <c r="TJ493" s="198">
        <f t="shared" si="2697"/>
        <v>0</v>
      </c>
      <c r="TK493" s="98">
        <f t="shared" ref="TK493:TX493" si="3004">SUM(TK22,TK60,TK98,TK136,TK174,TK212,TK250,TK288,TK326,TK364,TK402,TK440)</f>
        <v>0</v>
      </c>
      <c r="TL493" s="98">
        <f t="shared" si="3004"/>
        <v>0</v>
      </c>
      <c r="TM493" s="98">
        <f t="shared" si="3004"/>
        <v>0</v>
      </c>
      <c r="TN493" s="98">
        <f t="shared" si="3004"/>
        <v>0</v>
      </c>
      <c r="TO493" s="98">
        <f t="shared" si="3004"/>
        <v>0</v>
      </c>
      <c r="TP493" s="98">
        <f t="shared" si="3004"/>
        <v>0</v>
      </c>
      <c r="TQ493" s="98">
        <f t="shared" si="3004"/>
        <v>0</v>
      </c>
      <c r="TR493" s="98">
        <f t="shared" si="3004"/>
        <v>0</v>
      </c>
      <c r="TS493" s="98">
        <f t="shared" si="3004"/>
        <v>0</v>
      </c>
      <c r="TT493" s="98">
        <f t="shared" si="3004"/>
        <v>0</v>
      </c>
      <c r="TU493" s="98">
        <f t="shared" si="3004"/>
        <v>0</v>
      </c>
      <c r="TV493" s="98">
        <f t="shared" si="3004"/>
        <v>0</v>
      </c>
      <c r="TW493" s="98">
        <f t="shared" si="3004"/>
        <v>0</v>
      </c>
      <c r="TX493" s="98">
        <f t="shared" si="3004"/>
        <v>0</v>
      </c>
      <c r="TY493" s="198">
        <f t="shared" si="2699"/>
        <v>0</v>
      </c>
      <c r="TZ493" s="198">
        <f t="shared" si="2700"/>
        <v>0</v>
      </c>
      <c r="UA493" s="98">
        <f t="shared" ref="UA493:UN493" si="3005">SUM(UA22,UA60,UA98,UA136,UA174,UA212,UA250,UA288,UA326,UA364,UA402,UA440)</f>
        <v>0</v>
      </c>
      <c r="UB493" s="98">
        <f t="shared" si="3005"/>
        <v>0</v>
      </c>
      <c r="UC493" s="98">
        <f t="shared" si="3005"/>
        <v>0</v>
      </c>
      <c r="UD493" s="98">
        <f t="shared" si="3005"/>
        <v>0</v>
      </c>
      <c r="UE493" s="98">
        <f t="shared" si="3005"/>
        <v>0</v>
      </c>
      <c r="UF493" s="98">
        <f t="shared" si="3005"/>
        <v>0</v>
      </c>
      <c r="UG493" s="98">
        <f t="shared" si="3005"/>
        <v>0</v>
      </c>
      <c r="UH493" s="98">
        <f t="shared" si="3005"/>
        <v>0</v>
      </c>
      <c r="UI493" s="98">
        <f t="shared" si="3005"/>
        <v>0</v>
      </c>
      <c r="UJ493" s="98">
        <f t="shared" si="3005"/>
        <v>0</v>
      </c>
      <c r="UK493" s="98">
        <f t="shared" si="3005"/>
        <v>0</v>
      </c>
      <c r="UL493" s="98">
        <f t="shared" si="3005"/>
        <v>0</v>
      </c>
      <c r="UM493" s="98">
        <f t="shared" si="3005"/>
        <v>0</v>
      </c>
      <c r="UN493" s="98">
        <f t="shared" si="3005"/>
        <v>0</v>
      </c>
      <c r="UO493" s="198">
        <f t="shared" si="2702"/>
        <v>0</v>
      </c>
      <c r="UP493" s="198">
        <f t="shared" si="2703"/>
        <v>0</v>
      </c>
      <c r="UQ493" s="98">
        <f t="shared" ref="UQ493:VD493" si="3006">SUM(UQ22,UQ60,UQ98,UQ136,UQ174,UQ212,UQ250,UQ288,UQ326,UQ364,UQ402,UQ440)</f>
        <v>0</v>
      </c>
      <c r="UR493" s="98">
        <f t="shared" si="3006"/>
        <v>0</v>
      </c>
      <c r="US493" s="98">
        <f t="shared" si="3006"/>
        <v>0</v>
      </c>
      <c r="UT493" s="98">
        <f t="shared" si="3006"/>
        <v>0</v>
      </c>
      <c r="UU493" s="98">
        <f t="shared" si="3006"/>
        <v>0</v>
      </c>
      <c r="UV493" s="98">
        <f t="shared" si="3006"/>
        <v>0</v>
      </c>
      <c r="UW493" s="98">
        <f t="shared" si="3006"/>
        <v>0</v>
      </c>
      <c r="UX493" s="98">
        <f t="shared" si="3006"/>
        <v>0</v>
      </c>
      <c r="UY493" s="98">
        <f t="shared" si="3006"/>
        <v>0</v>
      </c>
      <c r="UZ493" s="98">
        <f t="shared" si="3006"/>
        <v>0</v>
      </c>
      <c r="VA493" s="98">
        <f t="shared" si="3006"/>
        <v>0</v>
      </c>
      <c r="VB493" s="98">
        <f t="shared" si="3006"/>
        <v>0</v>
      </c>
      <c r="VC493" s="98">
        <f t="shared" si="3006"/>
        <v>0</v>
      </c>
      <c r="VD493" s="98">
        <f t="shared" si="3006"/>
        <v>0</v>
      </c>
      <c r="VE493" s="198">
        <f t="shared" si="2705"/>
        <v>0</v>
      </c>
      <c r="VF493" s="198">
        <f t="shared" si="2706"/>
        <v>0</v>
      </c>
      <c r="VG493" s="98">
        <f t="shared" ref="VG493:VT493" si="3007">SUM(VG22,VG60,VG98,VG136,VG174,VG212,VG250,VG288,VG326,VG364,VG402,VG440)</f>
        <v>0</v>
      </c>
      <c r="VH493" s="98">
        <f t="shared" si="3007"/>
        <v>0</v>
      </c>
      <c r="VI493" s="98">
        <f t="shared" si="3007"/>
        <v>2879.7</v>
      </c>
      <c r="VJ493" s="98">
        <f t="shared" si="3007"/>
        <v>172782</v>
      </c>
      <c r="VK493" s="98">
        <f t="shared" si="3007"/>
        <v>0</v>
      </c>
      <c r="VL493" s="98">
        <f t="shared" si="3007"/>
        <v>0</v>
      </c>
      <c r="VM493" s="98">
        <f t="shared" si="3007"/>
        <v>0</v>
      </c>
      <c r="VN493" s="98">
        <f t="shared" si="3007"/>
        <v>0</v>
      </c>
      <c r="VO493" s="98">
        <f t="shared" si="3007"/>
        <v>0</v>
      </c>
      <c r="VP493" s="98">
        <f t="shared" si="3007"/>
        <v>0</v>
      </c>
      <c r="VQ493" s="98">
        <f t="shared" si="3007"/>
        <v>0</v>
      </c>
      <c r="VR493" s="98">
        <f t="shared" si="3007"/>
        <v>0</v>
      </c>
      <c r="VS493" s="98">
        <f t="shared" si="3007"/>
        <v>0</v>
      </c>
      <c r="VT493" s="98">
        <f t="shared" si="3007"/>
        <v>0</v>
      </c>
      <c r="VU493" s="198">
        <f t="shared" si="2708"/>
        <v>2879.7</v>
      </c>
      <c r="VV493" s="198">
        <f t="shared" si="2709"/>
        <v>172782</v>
      </c>
      <c r="VW493" s="98">
        <f t="shared" ref="VW493:WJ493" si="3008">SUM(VW22,VW60,VW98,VW136,VW174,VW212,VW250,VW288,VW326,VW364,VW402,VW440)</f>
        <v>0</v>
      </c>
      <c r="VX493" s="98">
        <f t="shared" si="3008"/>
        <v>0</v>
      </c>
      <c r="VY493" s="98">
        <f t="shared" si="3008"/>
        <v>0</v>
      </c>
      <c r="VZ493" s="98">
        <f t="shared" si="3008"/>
        <v>0</v>
      </c>
      <c r="WA493" s="98">
        <f t="shared" si="3008"/>
        <v>0</v>
      </c>
      <c r="WB493" s="98">
        <f t="shared" si="3008"/>
        <v>0</v>
      </c>
      <c r="WC493" s="98">
        <f t="shared" si="3008"/>
        <v>0</v>
      </c>
      <c r="WD493" s="98">
        <f t="shared" si="3008"/>
        <v>0</v>
      </c>
      <c r="WE493" s="98">
        <f t="shared" si="3008"/>
        <v>0</v>
      </c>
      <c r="WF493" s="98">
        <f t="shared" si="3008"/>
        <v>0</v>
      </c>
      <c r="WG493" s="98">
        <f t="shared" si="3008"/>
        <v>0</v>
      </c>
      <c r="WH493" s="98">
        <f t="shared" si="3008"/>
        <v>0</v>
      </c>
      <c r="WI493" s="98">
        <f t="shared" si="3008"/>
        <v>0</v>
      </c>
      <c r="WJ493" s="98">
        <f t="shared" si="3008"/>
        <v>0</v>
      </c>
      <c r="WK493" s="198">
        <f t="shared" si="2711"/>
        <v>0</v>
      </c>
      <c r="WL493" s="198">
        <f t="shared" si="2712"/>
        <v>0</v>
      </c>
      <c r="WN493" s="98">
        <f t="shared" si="2713"/>
        <v>0</v>
      </c>
      <c r="WO493" s="98">
        <f t="shared" si="2714"/>
        <v>0</v>
      </c>
      <c r="WP493" s="98">
        <f t="shared" si="2715"/>
        <v>721293.96853126399</v>
      </c>
      <c r="WQ493" s="98">
        <f t="shared" si="2716"/>
        <v>37889402.250673778</v>
      </c>
      <c r="WR493" s="98">
        <f t="shared" si="2717"/>
        <v>0</v>
      </c>
      <c r="WS493" s="98">
        <f t="shared" si="2718"/>
        <v>0</v>
      </c>
      <c r="WT493" s="98">
        <f t="shared" si="2719"/>
        <v>0</v>
      </c>
      <c r="WU493" s="98">
        <f t="shared" si="2720"/>
        <v>0</v>
      </c>
      <c r="WV493" s="98">
        <f t="shared" si="2721"/>
        <v>0</v>
      </c>
      <c r="WW493" s="98">
        <f t="shared" si="2722"/>
        <v>0</v>
      </c>
      <c r="WX493" s="98">
        <f t="shared" si="2723"/>
        <v>0</v>
      </c>
      <c r="WY493" s="98">
        <f t="shared" si="2724"/>
        <v>0</v>
      </c>
      <c r="WZ493" s="98">
        <f t="shared" si="2725"/>
        <v>0</v>
      </c>
      <c r="XA493" s="98">
        <f t="shared" si="2726"/>
        <v>0</v>
      </c>
      <c r="XB493" s="107">
        <f t="shared" si="2727"/>
        <v>721293.96853126399</v>
      </c>
      <c r="XC493" s="107">
        <f t="shared" si="2728"/>
        <v>37889402.250673778</v>
      </c>
      <c r="XK493" s="98">
        <f t="shared" si="2729"/>
        <v>0</v>
      </c>
      <c r="XL493" s="98">
        <f t="shared" si="2730"/>
        <v>0</v>
      </c>
      <c r="XM493" s="98">
        <f t="shared" si="2731"/>
        <v>0</v>
      </c>
      <c r="XN493" s="98">
        <f t="shared" si="2732"/>
        <v>0</v>
      </c>
      <c r="XO493" s="98">
        <f t="shared" si="2733"/>
        <v>37730696.219205044</v>
      </c>
      <c r="XP493" s="98">
        <f t="shared" si="2734"/>
        <v>0</v>
      </c>
      <c r="XQ493" s="98">
        <f t="shared" si="2735"/>
        <v>34211996.219205044</v>
      </c>
      <c r="XR493" s="107">
        <f t="shared" ca="1" si="2597"/>
        <v>72598541.406941354</v>
      </c>
      <c r="XT493" s="98">
        <f t="shared" si="2736"/>
        <v>37889402.250673778</v>
      </c>
      <c r="XU493" s="98">
        <f t="shared" si="2737"/>
        <v>655848.96853126399</v>
      </c>
      <c r="XV493" s="98">
        <f t="shared" si="2738"/>
        <v>37889402.250673778</v>
      </c>
      <c r="XW493" s="98">
        <f t="shared" si="2739"/>
        <v>0</v>
      </c>
      <c r="XX493" s="98">
        <f t="shared" si="2740"/>
        <v>0</v>
      </c>
      <c r="XY493" s="98">
        <f t="shared" si="2741"/>
        <v>0</v>
      </c>
      <c r="XZ493" s="98">
        <f t="shared" si="2742"/>
        <v>37730696.219205044</v>
      </c>
      <c r="YA493" s="107">
        <f t="shared" ca="1" si="2598"/>
        <v>113509500.72055259</v>
      </c>
    </row>
    <row r="494" spans="1:1017">
      <c r="B494" s="90" t="str">
        <f t="shared" si="2558"/>
        <v xml:space="preserve">Kerang Hijau </v>
      </c>
      <c r="C494" s="98">
        <f t="shared" ref="C494:P494" si="3009">SUM(C23,C61,C99,C137,C175,C213,C251,C289,C327,C365,C403,C441)</f>
        <v>0</v>
      </c>
      <c r="D494" s="98">
        <f t="shared" si="3009"/>
        <v>0</v>
      </c>
      <c r="E494" s="98">
        <f t="shared" si="3009"/>
        <v>0</v>
      </c>
      <c r="F494" s="98">
        <f t="shared" si="3009"/>
        <v>0</v>
      </c>
      <c r="G494" s="98">
        <f t="shared" si="3009"/>
        <v>0</v>
      </c>
      <c r="H494" s="98">
        <f t="shared" si="3009"/>
        <v>0</v>
      </c>
      <c r="I494" s="98">
        <f t="shared" si="3009"/>
        <v>0</v>
      </c>
      <c r="J494" s="98">
        <f t="shared" si="3009"/>
        <v>0</v>
      </c>
      <c r="K494" s="98">
        <f t="shared" si="3009"/>
        <v>0</v>
      </c>
      <c r="L494" s="98">
        <f t="shared" si="3009"/>
        <v>0</v>
      </c>
      <c r="M494" s="98">
        <f t="shared" si="3009"/>
        <v>0</v>
      </c>
      <c r="N494" s="98">
        <f t="shared" si="3009"/>
        <v>0</v>
      </c>
      <c r="O494" s="98">
        <f t="shared" si="3009"/>
        <v>0</v>
      </c>
      <c r="P494" s="98">
        <f t="shared" si="3009"/>
        <v>0</v>
      </c>
      <c r="Q494" s="198">
        <f t="shared" si="2600"/>
        <v>0</v>
      </c>
      <c r="R494" s="198">
        <f t="shared" si="2601"/>
        <v>0</v>
      </c>
      <c r="S494" s="98">
        <f t="shared" ref="S494:AF494" si="3010">SUM(S23,S61,S99,S137,S175,S213,S251,S289,S327,S365,S403,S441)</f>
        <v>0</v>
      </c>
      <c r="T494" s="98">
        <f t="shared" si="3010"/>
        <v>0</v>
      </c>
      <c r="U494" s="98">
        <f t="shared" si="3010"/>
        <v>0</v>
      </c>
      <c r="V494" s="98">
        <f t="shared" si="3010"/>
        <v>0</v>
      </c>
      <c r="W494" s="98">
        <f t="shared" si="3010"/>
        <v>0</v>
      </c>
      <c r="X494" s="98">
        <f t="shared" si="3010"/>
        <v>0</v>
      </c>
      <c r="Y494" s="98">
        <f t="shared" si="3010"/>
        <v>0</v>
      </c>
      <c r="Z494" s="98">
        <f t="shared" si="3010"/>
        <v>0</v>
      </c>
      <c r="AA494" s="98">
        <f t="shared" si="3010"/>
        <v>0</v>
      </c>
      <c r="AB494" s="98">
        <f t="shared" si="3010"/>
        <v>0</v>
      </c>
      <c r="AC494" s="98">
        <f t="shared" si="3010"/>
        <v>0</v>
      </c>
      <c r="AD494" s="98">
        <f t="shared" si="3010"/>
        <v>0</v>
      </c>
      <c r="AE494" s="98">
        <f t="shared" si="3010"/>
        <v>0</v>
      </c>
      <c r="AF494" s="98">
        <f t="shared" si="3010"/>
        <v>0</v>
      </c>
      <c r="AG494" s="198">
        <f t="shared" si="2603"/>
        <v>0</v>
      </c>
      <c r="AH494" s="198">
        <f t="shared" si="2604"/>
        <v>0</v>
      </c>
      <c r="AI494" s="98">
        <f t="shared" ref="AI494:AV494" si="3011">SUM(AI23,AI61,AI99,AI137,AI175,AI213,AI251,AI289,AI327,AI365,AI403,AI441)</f>
        <v>0</v>
      </c>
      <c r="AJ494" s="98">
        <f t="shared" si="3011"/>
        <v>0</v>
      </c>
      <c r="AK494" s="98">
        <f t="shared" si="3011"/>
        <v>0</v>
      </c>
      <c r="AL494" s="98">
        <f t="shared" si="3011"/>
        <v>0</v>
      </c>
      <c r="AM494" s="98">
        <f t="shared" si="3011"/>
        <v>0</v>
      </c>
      <c r="AN494" s="98">
        <f t="shared" si="3011"/>
        <v>0</v>
      </c>
      <c r="AO494" s="98">
        <f t="shared" si="3011"/>
        <v>0</v>
      </c>
      <c r="AP494" s="98">
        <f t="shared" si="3011"/>
        <v>0</v>
      </c>
      <c r="AQ494" s="98">
        <f t="shared" si="3011"/>
        <v>0</v>
      </c>
      <c r="AR494" s="98">
        <f t="shared" si="3011"/>
        <v>0</v>
      </c>
      <c r="AS494" s="98">
        <f t="shared" si="3011"/>
        <v>0</v>
      </c>
      <c r="AT494" s="98">
        <f t="shared" si="3011"/>
        <v>0</v>
      </c>
      <c r="AU494" s="98">
        <f t="shared" si="3011"/>
        <v>0</v>
      </c>
      <c r="AV494" s="98">
        <f t="shared" si="3011"/>
        <v>0</v>
      </c>
      <c r="AW494" s="198">
        <f t="shared" si="2606"/>
        <v>0</v>
      </c>
      <c r="AX494" s="198">
        <f t="shared" si="2607"/>
        <v>0</v>
      </c>
      <c r="AY494" s="98">
        <f t="shared" ref="AY494:BL494" si="3012">SUM(AY23,AY61,AY99,AY137,AY175,AY213,AY251,AY289,AY327,AY365,AY403,AY441)</f>
        <v>0</v>
      </c>
      <c r="AZ494" s="98">
        <f t="shared" si="3012"/>
        <v>0</v>
      </c>
      <c r="BA494" s="98">
        <f t="shared" si="3012"/>
        <v>0</v>
      </c>
      <c r="BB494" s="98">
        <f t="shared" si="3012"/>
        <v>0</v>
      </c>
      <c r="BC494" s="98">
        <f t="shared" si="3012"/>
        <v>0</v>
      </c>
      <c r="BD494" s="98">
        <f t="shared" si="3012"/>
        <v>0</v>
      </c>
      <c r="BE494" s="98">
        <f t="shared" si="3012"/>
        <v>0</v>
      </c>
      <c r="BF494" s="98">
        <f t="shared" si="3012"/>
        <v>0</v>
      </c>
      <c r="BG494" s="98">
        <f t="shared" si="3012"/>
        <v>0</v>
      </c>
      <c r="BH494" s="98">
        <f t="shared" si="3012"/>
        <v>0</v>
      </c>
      <c r="BI494" s="98">
        <f t="shared" si="3012"/>
        <v>0</v>
      </c>
      <c r="BJ494" s="98">
        <f t="shared" si="3012"/>
        <v>0</v>
      </c>
      <c r="BK494" s="98">
        <f t="shared" si="3012"/>
        <v>0</v>
      </c>
      <c r="BL494" s="98">
        <f t="shared" si="3012"/>
        <v>0</v>
      </c>
      <c r="BM494" s="198">
        <f t="shared" si="2609"/>
        <v>0</v>
      </c>
      <c r="BN494" s="198">
        <f t="shared" si="2610"/>
        <v>0</v>
      </c>
      <c r="BO494" s="98">
        <f t="shared" ref="BO494:CB494" si="3013">SUM(BO23,BO61,BO99,BO137,BO175,BO213,BO251,BO289,BO327,BO365,BO403,BO441)</f>
        <v>0</v>
      </c>
      <c r="BP494" s="98">
        <f t="shared" si="3013"/>
        <v>0</v>
      </c>
      <c r="BQ494" s="98">
        <f t="shared" si="3013"/>
        <v>0</v>
      </c>
      <c r="BR494" s="98">
        <f t="shared" si="3013"/>
        <v>0</v>
      </c>
      <c r="BS494" s="98">
        <f t="shared" si="3013"/>
        <v>0</v>
      </c>
      <c r="BT494" s="98">
        <f t="shared" si="3013"/>
        <v>0</v>
      </c>
      <c r="BU494" s="98">
        <f t="shared" si="3013"/>
        <v>0</v>
      </c>
      <c r="BV494" s="98">
        <f t="shared" si="3013"/>
        <v>0</v>
      </c>
      <c r="BW494" s="98">
        <f t="shared" si="3013"/>
        <v>0</v>
      </c>
      <c r="BX494" s="98">
        <f t="shared" si="3013"/>
        <v>0</v>
      </c>
      <c r="BY494" s="98">
        <f t="shared" si="3013"/>
        <v>0</v>
      </c>
      <c r="BZ494" s="98">
        <f t="shared" si="3013"/>
        <v>0</v>
      </c>
      <c r="CA494" s="98">
        <f t="shared" si="3013"/>
        <v>0</v>
      </c>
      <c r="CB494" s="98">
        <f t="shared" si="3013"/>
        <v>0</v>
      </c>
      <c r="CC494" s="198">
        <f t="shared" si="2612"/>
        <v>0</v>
      </c>
      <c r="CD494" s="198">
        <f t="shared" si="2613"/>
        <v>0</v>
      </c>
      <c r="CE494" s="98">
        <f>SUM(CE23,CE61,CE99,CE137,CE175,CE213,CE251,CE289,CE327,CE365,CE403,CE441)</f>
        <v>13740678.926078347</v>
      </c>
      <c r="CF494" s="98">
        <f t="shared" ref="CF494:CR494" si="3014">SUM(CF23,CF61,CF99,CF137,CF175,CF213,CF251,CF289,CF327,CF365,CF403,CF441)</f>
        <v>53413466.486336268</v>
      </c>
      <c r="CG494" s="98">
        <f t="shared" si="3014"/>
        <v>0</v>
      </c>
      <c r="CH494" s="98">
        <f t="shared" si="3014"/>
        <v>0</v>
      </c>
      <c r="CI494" s="98">
        <f t="shared" si="3014"/>
        <v>0</v>
      </c>
      <c r="CJ494" s="98">
        <f t="shared" si="3014"/>
        <v>0</v>
      </c>
      <c r="CK494" s="98">
        <f t="shared" si="3014"/>
        <v>0</v>
      </c>
      <c r="CL494" s="98">
        <f t="shared" si="3014"/>
        <v>0</v>
      </c>
      <c r="CM494" s="98">
        <f t="shared" si="3014"/>
        <v>0</v>
      </c>
      <c r="CN494" s="98">
        <f t="shared" si="3014"/>
        <v>0</v>
      </c>
      <c r="CO494" s="98">
        <f t="shared" si="3014"/>
        <v>0</v>
      </c>
      <c r="CP494" s="98">
        <f t="shared" si="3014"/>
        <v>0</v>
      </c>
      <c r="CQ494" s="98">
        <f t="shared" si="3014"/>
        <v>0</v>
      </c>
      <c r="CR494" s="98">
        <f t="shared" si="3014"/>
        <v>0</v>
      </c>
      <c r="CS494" s="198">
        <f t="shared" si="2615"/>
        <v>13740678.926078347</v>
      </c>
      <c r="CT494" s="198">
        <f t="shared" si="2616"/>
        <v>53413466.486336268</v>
      </c>
      <c r="CU494" s="98">
        <f t="shared" ref="CU494:DH494" si="3015">SUM(CU23,CU61,CU99,CU137,CU175,CU213,CU251,CU289,CU327,CU365,CU403,CU441)</f>
        <v>0</v>
      </c>
      <c r="CV494" s="98">
        <f t="shared" si="3015"/>
        <v>0</v>
      </c>
      <c r="CW494" s="98">
        <f t="shared" si="3015"/>
        <v>0</v>
      </c>
      <c r="CX494" s="98">
        <f t="shared" si="3015"/>
        <v>0</v>
      </c>
      <c r="CY494" s="98">
        <f t="shared" si="3015"/>
        <v>0</v>
      </c>
      <c r="CZ494" s="98">
        <f t="shared" si="3015"/>
        <v>0</v>
      </c>
      <c r="DA494" s="98">
        <f t="shared" si="3015"/>
        <v>0</v>
      </c>
      <c r="DB494" s="98">
        <f t="shared" si="3015"/>
        <v>0</v>
      </c>
      <c r="DC494" s="98">
        <f t="shared" si="3015"/>
        <v>0</v>
      </c>
      <c r="DD494" s="98">
        <f t="shared" si="3015"/>
        <v>0</v>
      </c>
      <c r="DE494" s="98">
        <f t="shared" si="3015"/>
        <v>0</v>
      </c>
      <c r="DF494" s="98">
        <f t="shared" si="3015"/>
        <v>0</v>
      </c>
      <c r="DG494" s="98">
        <f t="shared" si="3015"/>
        <v>0</v>
      </c>
      <c r="DH494" s="98">
        <f t="shared" si="3015"/>
        <v>0</v>
      </c>
      <c r="DI494" s="198">
        <f t="shared" si="2618"/>
        <v>0</v>
      </c>
      <c r="DJ494" s="198">
        <f t="shared" si="2619"/>
        <v>0</v>
      </c>
      <c r="DK494" s="98">
        <f t="shared" ref="DK494:DX494" si="3016">SUM(DK23,DK61,DK99,DK137,DK175,DK213,DK251,DK289,DK327,DK365,DK403,DK441)</f>
        <v>0</v>
      </c>
      <c r="DL494" s="98">
        <f t="shared" si="3016"/>
        <v>0</v>
      </c>
      <c r="DM494" s="98">
        <f t="shared" si="3016"/>
        <v>0</v>
      </c>
      <c r="DN494" s="98">
        <f t="shared" si="3016"/>
        <v>0</v>
      </c>
      <c r="DO494" s="98">
        <f t="shared" si="3016"/>
        <v>0</v>
      </c>
      <c r="DP494" s="98">
        <f t="shared" si="3016"/>
        <v>0</v>
      </c>
      <c r="DQ494" s="98">
        <f t="shared" si="3016"/>
        <v>0</v>
      </c>
      <c r="DR494" s="98">
        <f t="shared" si="3016"/>
        <v>0</v>
      </c>
      <c r="DS494" s="98">
        <f t="shared" si="3016"/>
        <v>0</v>
      </c>
      <c r="DT494" s="98">
        <f t="shared" si="3016"/>
        <v>0</v>
      </c>
      <c r="DU494" s="98">
        <f t="shared" si="3016"/>
        <v>0</v>
      </c>
      <c r="DV494" s="98">
        <f t="shared" si="3016"/>
        <v>0</v>
      </c>
      <c r="DW494" s="98">
        <f t="shared" si="3016"/>
        <v>0</v>
      </c>
      <c r="DX494" s="98">
        <f t="shared" si="3016"/>
        <v>0</v>
      </c>
      <c r="DY494" s="198">
        <f t="shared" si="2621"/>
        <v>0</v>
      </c>
      <c r="DZ494" s="198">
        <f t="shared" si="2622"/>
        <v>0</v>
      </c>
      <c r="EA494" s="98">
        <f t="shared" ref="EA494:EN494" si="3017">SUM(EA23,EA61,EA99,EA137,EA175,EA213,EA251,EA289,EA327,EA365,EA403,EA441)</f>
        <v>0</v>
      </c>
      <c r="EB494" s="98">
        <f t="shared" si="3017"/>
        <v>0</v>
      </c>
      <c r="EC494" s="98">
        <f t="shared" si="3017"/>
        <v>0</v>
      </c>
      <c r="ED494" s="98">
        <f t="shared" si="3017"/>
        <v>0</v>
      </c>
      <c r="EE494" s="98">
        <f t="shared" si="3017"/>
        <v>0</v>
      </c>
      <c r="EF494" s="98">
        <f t="shared" si="3017"/>
        <v>0</v>
      </c>
      <c r="EG494" s="98">
        <f t="shared" si="3017"/>
        <v>0</v>
      </c>
      <c r="EH494" s="98">
        <f t="shared" si="3017"/>
        <v>0</v>
      </c>
      <c r="EI494" s="98">
        <f t="shared" si="3017"/>
        <v>0</v>
      </c>
      <c r="EJ494" s="98">
        <f t="shared" si="3017"/>
        <v>0</v>
      </c>
      <c r="EK494" s="98">
        <f t="shared" si="3017"/>
        <v>0</v>
      </c>
      <c r="EL494" s="98">
        <f t="shared" si="3017"/>
        <v>0</v>
      </c>
      <c r="EM494" s="98">
        <f t="shared" si="3017"/>
        <v>0</v>
      </c>
      <c r="EN494" s="98">
        <f t="shared" si="3017"/>
        <v>0</v>
      </c>
      <c r="EO494" s="198">
        <f t="shared" si="2624"/>
        <v>0</v>
      </c>
      <c r="EP494" s="198">
        <f t="shared" si="2625"/>
        <v>0</v>
      </c>
      <c r="EQ494" s="98">
        <f t="shared" ref="EQ494:FD494" si="3018">SUM(EQ23,EQ61,EQ99,EQ137,EQ175,EQ213,EQ251,EQ289,EQ327,EQ365,EQ403,EQ441)</f>
        <v>0</v>
      </c>
      <c r="ER494" s="98">
        <f t="shared" si="3018"/>
        <v>0</v>
      </c>
      <c r="ES494" s="98">
        <f t="shared" si="3018"/>
        <v>0</v>
      </c>
      <c r="ET494" s="98">
        <f t="shared" si="3018"/>
        <v>0</v>
      </c>
      <c r="EU494" s="98">
        <f t="shared" si="3018"/>
        <v>0</v>
      </c>
      <c r="EV494" s="98">
        <f t="shared" si="3018"/>
        <v>0</v>
      </c>
      <c r="EW494" s="98">
        <f t="shared" si="3018"/>
        <v>0</v>
      </c>
      <c r="EX494" s="98">
        <f t="shared" si="3018"/>
        <v>0</v>
      </c>
      <c r="EY494" s="98">
        <f t="shared" si="3018"/>
        <v>0</v>
      </c>
      <c r="EZ494" s="98">
        <f t="shared" si="3018"/>
        <v>0</v>
      </c>
      <c r="FA494" s="98">
        <f t="shared" si="3018"/>
        <v>0</v>
      </c>
      <c r="FB494" s="98">
        <f t="shared" si="3018"/>
        <v>0</v>
      </c>
      <c r="FC494" s="98">
        <f t="shared" si="3018"/>
        <v>0</v>
      </c>
      <c r="FD494" s="98">
        <f t="shared" si="3018"/>
        <v>0</v>
      </c>
      <c r="FE494" s="198">
        <f t="shared" si="2627"/>
        <v>0</v>
      </c>
      <c r="FF494" s="198">
        <f t="shared" si="2628"/>
        <v>0</v>
      </c>
      <c r="FG494" s="98">
        <f t="shared" ref="FG494:FT494" si="3019">SUM(FG23,FG61,FG99,FG137,FG175,FG213,FG251,FG289,FG327,FG365,FG403,FG441)</f>
        <v>0</v>
      </c>
      <c r="FH494" s="98">
        <f t="shared" si="3019"/>
        <v>0</v>
      </c>
      <c r="FI494" s="98">
        <f t="shared" si="3019"/>
        <v>0</v>
      </c>
      <c r="FJ494" s="98">
        <f t="shared" si="3019"/>
        <v>0</v>
      </c>
      <c r="FK494" s="98">
        <f t="shared" si="3019"/>
        <v>0</v>
      </c>
      <c r="FL494" s="98">
        <f t="shared" si="3019"/>
        <v>0</v>
      </c>
      <c r="FM494" s="98">
        <f t="shared" si="3019"/>
        <v>0</v>
      </c>
      <c r="FN494" s="98">
        <f t="shared" si="3019"/>
        <v>0</v>
      </c>
      <c r="FO494" s="98">
        <f t="shared" si="3019"/>
        <v>0</v>
      </c>
      <c r="FP494" s="98">
        <f t="shared" si="3019"/>
        <v>0</v>
      </c>
      <c r="FQ494" s="98">
        <f t="shared" si="3019"/>
        <v>0</v>
      </c>
      <c r="FR494" s="98">
        <f t="shared" si="3019"/>
        <v>0</v>
      </c>
      <c r="FS494" s="98">
        <f t="shared" si="3019"/>
        <v>0</v>
      </c>
      <c r="FT494" s="98">
        <f t="shared" si="3019"/>
        <v>0</v>
      </c>
      <c r="FU494" s="198">
        <f t="shared" si="2630"/>
        <v>0</v>
      </c>
      <c r="FV494" s="198">
        <f t="shared" si="2631"/>
        <v>0</v>
      </c>
      <c r="FW494" s="98">
        <f t="shared" ref="FW494:GJ494" si="3020">SUM(FW23,FW61,FW99,FW137,FW175,FW213,FW251,FW289,FW327,FW365,FW403,FW441)</f>
        <v>0</v>
      </c>
      <c r="FX494" s="98">
        <f t="shared" si="3020"/>
        <v>0</v>
      </c>
      <c r="FY494" s="98">
        <f t="shared" si="3020"/>
        <v>0</v>
      </c>
      <c r="FZ494" s="98">
        <f t="shared" si="3020"/>
        <v>0</v>
      </c>
      <c r="GA494" s="98">
        <f t="shared" si="3020"/>
        <v>0</v>
      </c>
      <c r="GB494" s="98">
        <f t="shared" si="3020"/>
        <v>0</v>
      </c>
      <c r="GC494" s="98">
        <f t="shared" si="3020"/>
        <v>0</v>
      </c>
      <c r="GD494" s="98">
        <f t="shared" si="3020"/>
        <v>0</v>
      </c>
      <c r="GE494" s="98">
        <f t="shared" si="3020"/>
        <v>0</v>
      </c>
      <c r="GF494" s="98">
        <f t="shared" si="3020"/>
        <v>0</v>
      </c>
      <c r="GG494" s="98">
        <f t="shared" si="3020"/>
        <v>0</v>
      </c>
      <c r="GH494" s="98">
        <f t="shared" si="3020"/>
        <v>0</v>
      </c>
      <c r="GI494" s="98">
        <f t="shared" si="3020"/>
        <v>0</v>
      </c>
      <c r="GJ494" s="98">
        <f t="shared" si="3020"/>
        <v>0</v>
      </c>
      <c r="GK494" s="198">
        <f t="shared" si="2633"/>
        <v>0</v>
      </c>
      <c r="GL494" s="198">
        <f t="shared" si="2634"/>
        <v>0</v>
      </c>
      <c r="GM494" s="98">
        <f t="shared" ref="GM494:GZ494" si="3021">SUM(GM23,GM61,GM99,GM137,GM175,GM213,GM251,GM289,GM327,GM365,GM403,GM441)</f>
        <v>0</v>
      </c>
      <c r="GN494" s="98">
        <f t="shared" si="3021"/>
        <v>0</v>
      </c>
      <c r="GO494" s="98">
        <f t="shared" si="3021"/>
        <v>0</v>
      </c>
      <c r="GP494" s="98">
        <f t="shared" si="3021"/>
        <v>0</v>
      </c>
      <c r="GQ494" s="98">
        <f t="shared" si="3021"/>
        <v>0</v>
      </c>
      <c r="GR494" s="98">
        <f t="shared" si="3021"/>
        <v>0</v>
      </c>
      <c r="GS494" s="98">
        <f t="shared" si="3021"/>
        <v>0</v>
      </c>
      <c r="GT494" s="98">
        <f t="shared" si="3021"/>
        <v>0</v>
      </c>
      <c r="GU494" s="98">
        <f t="shared" si="3021"/>
        <v>0</v>
      </c>
      <c r="GV494" s="98">
        <f t="shared" si="3021"/>
        <v>0</v>
      </c>
      <c r="GW494" s="98">
        <f t="shared" si="3021"/>
        <v>0</v>
      </c>
      <c r="GX494" s="98">
        <f t="shared" si="3021"/>
        <v>0</v>
      </c>
      <c r="GY494" s="98">
        <f t="shared" si="3021"/>
        <v>0</v>
      </c>
      <c r="GZ494" s="98">
        <f t="shared" si="3021"/>
        <v>0</v>
      </c>
      <c r="HA494" s="198">
        <f t="shared" si="2636"/>
        <v>0</v>
      </c>
      <c r="HB494" s="198">
        <f t="shared" si="2637"/>
        <v>0</v>
      </c>
      <c r="HC494" s="98">
        <f t="shared" ref="HC494:HP494" si="3022">SUM(HC23,HC61,HC99,HC137,HC175,HC213,HC251,HC289,HC327,HC365,HC403,HC441)</f>
        <v>0</v>
      </c>
      <c r="HD494" s="98">
        <f t="shared" si="3022"/>
        <v>0</v>
      </c>
      <c r="HE494" s="98">
        <f t="shared" si="3022"/>
        <v>0</v>
      </c>
      <c r="HF494" s="98">
        <f t="shared" si="3022"/>
        <v>0</v>
      </c>
      <c r="HG494" s="98">
        <f t="shared" si="3022"/>
        <v>0</v>
      </c>
      <c r="HH494" s="98">
        <f t="shared" si="3022"/>
        <v>0</v>
      </c>
      <c r="HI494" s="98">
        <f t="shared" si="3022"/>
        <v>0</v>
      </c>
      <c r="HJ494" s="98">
        <f t="shared" si="3022"/>
        <v>0</v>
      </c>
      <c r="HK494" s="98">
        <f t="shared" si="3022"/>
        <v>0</v>
      </c>
      <c r="HL494" s="98">
        <f t="shared" si="3022"/>
        <v>0</v>
      </c>
      <c r="HM494" s="98">
        <f t="shared" si="3022"/>
        <v>0</v>
      </c>
      <c r="HN494" s="98">
        <f t="shared" si="3022"/>
        <v>0</v>
      </c>
      <c r="HO494" s="98">
        <f t="shared" si="3022"/>
        <v>0</v>
      </c>
      <c r="HP494" s="98">
        <f t="shared" si="3022"/>
        <v>0</v>
      </c>
      <c r="HQ494" s="198">
        <f t="shared" si="2639"/>
        <v>0</v>
      </c>
      <c r="HR494" s="198">
        <f t="shared" si="2640"/>
        <v>0</v>
      </c>
      <c r="HS494" s="98">
        <f t="shared" ref="HS494:IF494" si="3023">SUM(HS23,HS61,HS99,HS137,HS175,HS213,HS251,HS289,HS327,HS365,HS403,HS441)</f>
        <v>0</v>
      </c>
      <c r="HT494" s="98">
        <f t="shared" si="3023"/>
        <v>0</v>
      </c>
      <c r="HU494" s="98">
        <f t="shared" si="3023"/>
        <v>0</v>
      </c>
      <c r="HV494" s="98">
        <f t="shared" si="3023"/>
        <v>0</v>
      </c>
      <c r="HW494" s="98">
        <f t="shared" si="3023"/>
        <v>0</v>
      </c>
      <c r="HX494" s="98">
        <f t="shared" si="3023"/>
        <v>0</v>
      </c>
      <c r="HY494" s="98">
        <f t="shared" si="3023"/>
        <v>0</v>
      </c>
      <c r="HZ494" s="98">
        <f t="shared" si="3023"/>
        <v>0</v>
      </c>
      <c r="IA494" s="98">
        <f t="shared" si="3023"/>
        <v>0</v>
      </c>
      <c r="IB494" s="98">
        <f t="shared" si="3023"/>
        <v>0</v>
      </c>
      <c r="IC494" s="98">
        <f t="shared" si="3023"/>
        <v>0</v>
      </c>
      <c r="ID494" s="98">
        <f t="shared" si="3023"/>
        <v>0</v>
      </c>
      <c r="IE494" s="98">
        <f t="shared" si="3023"/>
        <v>0</v>
      </c>
      <c r="IF494" s="98">
        <f t="shared" si="3023"/>
        <v>0</v>
      </c>
      <c r="IG494" s="198">
        <f t="shared" si="2642"/>
        <v>0</v>
      </c>
      <c r="IH494" s="198">
        <f t="shared" si="2643"/>
        <v>0</v>
      </c>
      <c r="II494" s="98">
        <f t="shared" ref="II494:IV494" si="3024">SUM(II23,II61,II99,II137,II175,II213,II251,II289,II327,II365,II403,II441)</f>
        <v>0</v>
      </c>
      <c r="IJ494" s="98">
        <f t="shared" si="3024"/>
        <v>0</v>
      </c>
      <c r="IK494" s="98">
        <f t="shared" si="3024"/>
        <v>0</v>
      </c>
      <c r="IL494" s="98">
        <f t="shared" si="3024"/>
        <v>0</v>
      </c>
      <c r="IM494" s="98">
        <f t="shared" si="3024"/>
        <v>0</v>
      </c>
      <c r="IN494" s="98">
        <f t="shared" si="3024"/>
        <v>0</v>
      </c>
      <c r="IO494" s="98">
        <f t="shared" si="3024"/>
        <v>0</v>
      </c>
      <c r="IP494" s="98">
        <f t="shared" si="3024"/>
        <v>0</v>
      </c>
      <c r="IQ494" s="98">
        <f t="shared" si="3024"/>
        <v>0</v>
      </c>
      <c r="IR494" s="98">
        <f t="shared" si="3024"/>
        <v>0</v>
      </c>
      <c r="IS494" s="98">
        <f t="shared" si="3024"/>
        <v>0</v>
      </c>
      <c r="IT494" s="98">
        <f t="shared" si="3024"/>
        <v>0</v>
      </c>
      <c r="IU494" s="98">
        <f t="shared" si="3024"/>
        <v>0</v>
      </c>
      <c r="IV494" s="98">
        <f t="shared" si="3024"/>
        <v>0</v>
      </c>
      <c r="IW494" s="198">
        <f t="shared" si="2645"/>
        <v>0</v>
      </c>
      <c r="IX494" s="198">
        <f t="shared" si="2646"/>
        <v>0</v>
      </c>
      <c r="IY494" s="98">
        <f t="shared" ref="IY494:JL494" si="3025">SUM(IY23,IY61,IY99,IY137,IY175,IY213,IY251,IY289,IY327,IY365,IY403,IY441)</f>
        <v>0</v>
      </c>
      <c r="IZ494" s="98">
        <f t="shared" si="3025"/>
        <v>0</v>
      </c>
      <c r="JA494" s="98">
        <f t="shared" si="3025"/>
        <v>0</v>
      </c>
      <c r="JB494" s="98">
        <f t="shared" si="3025"/>
        <v>0</v>
      </c>
      <c r="JC494" s="98">
        <f t="shared" si="3025"/>
        <v>0</v>
      </c>
      <c r="JD494" s="98">
        <f t="shared" si="3025"/>
        <v>0</v>
      </c>
      <c r="JE494" s="98">
        <f t="shared" si="3025"/>
        <v>0</v>
      </c>
      <c r="JF494" s="98">
        <f t="shared" si="3025"/>
        <v>0</v>
      </c>
      <c r="JG494" s="98">
        <f t="shared" si="3025"/>
        <v>0</v>
      </c>
      <c r="JH494" s="98">
        <f t="shared" si="3025"/>
        <v>0</v>
      </c>
      <c r="JI494" s="98">
        <f t="shared" si="3025"/>
        <v>0</v>
      </c>
      <c r="JJ494" s="98">
        <f t="shared" si="3025"/>
        <v>0</v>
      </c>
      <c r="JK494" s="98">
        <f t="shared" si="3025"/>
        <v>0</v>
      </c>
      <c r="JL494" s="98">
        <f t="shared" si="3025"/>
        <v>0</v>
      </c>
      <c r="JM494" s="198">
        <f t="shared" si="2648"/>
        <v>0</v>
      </c>
      <c r="JN494" s="198">
        <f t="shared" si="2649"/>
        <v>0</v>
      </c>
      <c r="JO494" s="98">
        <f t="shared" ref="JO494:KB494" si="3026">SUM(JO23,JO61,JO99,JO137,JO175,JO213,JO251,JO289,JO327,JO365,JO403,JO441)</f>
        <v>0</v>
      </c>
      <c r="JP494" s="98">
        <f t="shared" si="3026"/>
        <v>0</v>
      </c>
      <c r="JQ494" s="98">
        <f t="shared" si="3026"/>
        <v>0</v>
      </c>
      <c r="JR494" s="98">
        <f t="shared" si="3026"/>
        <v>0</v>
      </c>
      <c r="JS494" s="98">
        <f t="shared" si="3026"/>
        <v>0</v>
      </c>
      <c r="JT494" s="98">
        <f t="shared" si="3026"/>
        <v>0</v>
      </c>
      <c r="JU494" s="98">
        <f t="shared" si="3026"/>
        <v>0</v>
      </c>
      <c r="JV494" s="98">
        <f t="shared" si="3026"/>
        <v>0</v>
      </c>
      <c r="JW494" s="98">
        <f t="shared" si="3026"/>
        <v>0</v>
      </c>
      <c r="JX494" s="98">
        <f t="shared" si="3026"/>
        <v>0</v>
      </c>
      <c r="JY494" s="98">
        <f t="shared" si="3026"/>
        <v>0</v>
      </c>
      <c r="JZ494" s="98">
        <f t="shared" si="3026"/>
        <v>0</v>
      </c>
      <c r="KA494" s="98">
        <f t="shared" si="3026"/>
        <v>0</v>
      </c>
      <c r="KB494" s="98">
        <f t="shared" si="3026"/>
        <v>0</v>
      </c>
      <c r="KC494" s="198">
        <f t="shared" si="2651"/>
        <v>0</v>
      </c>
      <c r="KD494" s="198">
        <f t="shared" si="2652"/>
        <v>0</v>
      </c>
      <c r="KE494" s="98">
        <f t="shared" ref="KE494:KR494" si="3027">SUM(KE23,KE61,KE99,KE137,KE175,KE213,KE251,KE289,KE327,KE365,KE403,KE441)</f>
        <v>0</v>
      </c>
      <c r="KF494" s="98">
        <f t="shared" si="3027"/>
        <v>0</v>
      </c>
      <c r="KG494" s="98">
        <f t="shared" si="3027"/>
        <v>0</v>
      </c>
      <c r="KH494" s="98">
        <f t="shared" si="3027"/>
        <v>0</v>
      </c>
      <c r="KI494" s="98">
        <f t="shared" si="3027"/>
        <v>0</v>
      </c>
      <c r="KJ494" s="98">
        <f t="shared" si="3027"/>
        <v>0</v>
      </c>
      <c r="KK494" s="98">
        <f t="shared" si="3027"/>
        <v>0</v>
      </c>
      <c r="KL494" s="98">
        <f t="shared" si="3027"/>
        <v>0</v>
      </c>
      <c r="KM494" s="98">
        <f t="shared" si="3027"/>
        <v>0</v>
      </c>
      <c r="KN494" s="98">
        <f t="shared" si="3027"/>
        <v>0</v>
      </c>
      <c r="KO494" s="98">
        <f t="shared" si="3027"/>
        <v>0</v>
      </c>
      <c r="KP494" s="98">
        <f t="shared" si="3027"/>
        <v>0</v>
      </c>
      <c r="KQ494" s="98">
        <f t="shared" si="3027"/>
        <v>0</v>
      </c>
      <c r="KR494" s="98">
        <f t="shared" si="3027"/>
        <v>0</v>
      </c>
      <c r="KS494" s="198">
        <f t="shared" si="2654"/>
        <v>0</v>
      </c>
      <c r="KT494" s="198">
        <f t="shared" si="2655"/>
        <v>0</v>
      </c>
      <c r="KU494" s="98">
        <f t="shared" ref="KU494:LH494" si="3028">SUM(KU23,KU61,KU99,KU137,KU175,KU213,KU251,KU289,KU327,KU365,KU403,KU441)</f>
        <v>0</v>
      </c>
      <c r="KV494" s="98">
        <f t="shared" si="3028"/>
        <v>0</v>
      </c>
      <c r="KW494" s="98">
        <f t="shared" si="3028"/>
        <v>0</v>
      </c>
      <c r="KX494" s="98">
        <f t="shared" si="3028"/>
        <v>0</v>
      </c>
      <c r="KY494" s="98">
        <f t="shared" si="3028"/>
        <v>0</v>
      </c>
      <c r="KZ494" s="98">
        <f t="shared" si="3028"/>
        <v>0</v>
      </c>
      <c r="LA494" s="98">
        <f t="shared" si="3028"/>
        <v>0</v>
      </c>
      <c r="LB494" s="98">
        <f t="shared" si="3028"/>
        <v>0</v>
      </c>
      <c r="LC494" s="98">
        <f t="shared" si="3028"/>
        <v>0</v>
      </c>
      <c r="LD494" s="98">
        <f t="shared" si="3028"/>
        <v>0</v>
      </c>
      <c r="LE494" s="98">
        <f t="shared" si="3028"/>
        <v>0</v>
      </c>
      <c r="LF494" s="98">
        <f t="shared" si="3028"/>
        <v>0</v>
      </c>
      <c r="LG494" s="98">
        <f t="shared" si="3028"/>
        <v>0</v>
      </c>
      <c r="LH494" s="98">
        <f t="shared" si="3028"/>
        <v>0</v>
      </c>
      <c r="LI494" s="198">
        <f t="shared" si="2657"/>
        <v>0</v>
      </c>
      <c r="LJ494" s="198">
        <f t="shared" si="2658"/>
        <v>0</v>
      </c>
      <c r="LK494" s="98">
        <f t="shared" ref="LK494:LX494" si="3029">SUM(LK23,LK61,LK99,LK137,LK175,LK213,LK251,LK289,LK327,LK365,LK403,LK441)</f>
        <v>0</v>
      </c>
      <c r="LL494" s="98">
        <f t="shared" si="3029"/>
        <v>0</v>
      </c>
      <c r="LM494" s="98">
        <f t="shared" si="3029"/>
        <v>0</v>
      </c>
      <c r="LN494" s="98">
        <f t="shared" si="3029"/>
        <v>0</v>
      </c>
      <c r="LO494" s="98">
        <f t="shared" si="3029"/>
        <v>0</v>
      </c>
      <c r="LP494" s="98">
        <f t="shared" si="3029"/>
        <v>0</v>
      </c>
      <c r="LQ494" s="98">
        <f t="shared" si="3029"/>
        <v>0</v>
      </c>
      <c r="LR494" s="98">
        <f t="shared" si="3029"/>
        <v>0</v>
      </c>
      <c r="LS494" s="98">
        <f t="shared" si="3029"/>
        <v>0</v>
      </c>
      <c r="LT494" s="98">
        <f t="shared" si="3029"/>
        <v>0</v>
      </c>
      <c r="LU494" s="98">
        <f t="shared" si="3029"/>
        <v>0</v>
      </c>
      <c r="LV494" s="98">
        <f t="shared" si="3029"/>
        <v>0</v>
      </c>
      <c r="LW494" s="98">
        <f t="shared" si="3029"/>
        <v>0</v>
      </c>
      <c r="LX494" s="98">
        <f t="shared" si="3029"/>
        <v>0</v>
      </c>
      <c r="LY494" s="198">
        <f t="shared" si="2660"/>
        <v>0</v>
      </c>
      <c r="LZ494" s="198">
        <f t="shared" si="2661"/>
        <v>0</v>
      </c>
      <c r="MA494" s="98">
        <f t="shared" ref="MA494:MN494" si="3030">SUM(MA23,MA61,MA99,MA137,MA175,MA213,MA251,MA289,MA327,MA365,MA403,MA441)</f>
        <v>0</v>
      </c>
      <c r="MB494" s="98">
        <f t="shared" si="3030"/>
        <v>0</v>
      </c>
      <c r="MC494" s="98">
        <f t="shared" si="3030"/>
        <v>0</v>
      </c>
      <c r="MD494" s="98">
        <f t="shared" si="3030"/>
        <v>0</v>
      </c>
      <c r="ME494" s="98">
        <f t="shared" si="3030"/>
        <v>0</v>
      </c>
      <c r="MF494" s="98">
        <f t="shared" si="3030"/>
        <v>0</v>
      </c>
      <c r="MG494" s="98">
        <f t="shared" si="3030"/>
        <v>0</v>
      </c>
      <c r="MH494" s="98">
        <f t="shared" si="3030"/>
        <v>0</v>
      </c>
      <c r="MI494" s="98">
        <f t="shared" si="3030"/>
        <v>0</v>
      </c>
      <c r="MJ494" s="98">
        <f t="shared" si="3030"/>
        <v>0</v>
      </c>
      <c r="MK494" s="98">
        <f t="shared" si="3030"/>
        <v>0</v>
      </c>
      <c r="ML494" s="98">
        <f t="shared" si="3030"/>
        <v>0</v>
      </c>
      <c r="MM494" s="98">
        <f t="shared" si="3030"/>
        <v>0</v>
      </c>
      <c r="MN494" s="98">
        <f t="shared" si="3030"/>
        <v>0</v>
      </c>
      <c r="MO494" s="198">
        <f t="shared" si="2663"/>
        <v>0</v>
      </c>
      <c r="MP494" s="198">
        <f t="shared" si="2664"/>
        <v>0</v>
      </c>
      <c r="MQ494" s="98">
        <f t="shared" ref="MQ494:ND494" si="3031">SUM(MQ23,MQ61,MQ99,MQ137,MQ175,MQ213,MQ251,MQ289,MQ327,MQ365,MQ403,MQ441)</f>
        <v>0</v>
      </c>
      <c r="MR494" s="98">
        <f t="shared" si="3031"/>
        <v>0</v>
      </c>
      <c r="MS494" s="98">
        <f t="shared" si="3031"/>
        <v>0</v>
      </c>
      <c r="MT494" s="98">
        <f t="shared" si="3031"/>
        <v>0</v>
      </c>
      <c r="MU494" s="98">
        <f t="shared" si="3031"/>
        <v>0</v>
      </c>
      <c r="MV494" s="98">
        <f t="shared" si="3031"/>
        <v>0</v>
      </c>
      <c r="MW494" s="98">
        <f t="shared" si="3031"/>
        <v>0</v>
      </c>
      <c r="MX494" s="98">
        <f t="shared" si="3031"/>
        <v>0</v>
      </c>
      <c r="MY494" s="98">
        <f t="shared" si="3031"/>
        <v>0</v>
      </c>
      <c r="MZ494" s="98">
        <f t="shared" si="3031"/>
        <v>0</v>
      </c>
      <c r="NA494" s="98">
        <f t="shared" si="3031"/>
        <v>0</v>
      </c>
      <c r="NB494" s="98">
        <f t="shared" si="3031"/>
        <v>0</v>
      </c>
      <c r="NC494" s="98">
        <f t="shared" si="3031"/>
        <v>0</v>
      </c>
      <c r="ND494" s="98">
        <f t="shared" si="3031"/>
        <v>0</v>
      </c>
      <c r="NE494" s="198">
        <f t="shared" si="2666"/>
        <v>0</v>
      </c>
      <c r="NF494" s="198">
        <f t="shared" si="2667"/>
        <v>0</v>
      </c>
      <c r="NG494" s="98">
        <f t="shared" ref="NG494:NT494" si="3032">SUM(NG23,NG61,NG99,NG137,NG175,NG213,NG251,NG289,NG327,NG365,NG403,NG441)</f>
        <v>0</v>
      </c>
      <c r="NH494" s="98">
        <f t="shared" si="3032"/>
        <v>0</v>
      </c>
      <c r="NI494" s="98">
        <f t="shared" si="3032"/>
        <v>0</v>
      </c>
      <c r="NJ494" s="98">
        <f t="shared" si="3032"/>
        <v>0</v>
      </c>
      <c r="NK494" s="98">
        <f t="shared" si="3032"/>
        <v>0</v>
      </c>
      <c r="NL494" s="98">
        <f t="shared" si="3032"/>
        <v>0</v>
      </c>
      <c r="NM494" s="98">
        <f t="shared" si="3032"/>
        <v>0</v>
      </c>
      <c r="NN494" s="98">
        <f t="shared" si="3032"/>
        <v>0</v>
      </c>
      <c r="NO494" s="98">
        <f t="shared" si="3032"/>
        <v>0</v>
      </c>
      <c r="NP494" s="98">
        <f t="shared" si="3032"/>
        <v>0</v>
      </c>
      <c r="NQ494" s="98">
        <f t="shared" si="3032"/>
        <v>0</v>
      </c>
      <c r="NR494" s="98">
        <f t="shared" si="3032"/>
        <v>0</v>
      </c>
      <c r="NS494" s="98">
        <f t="shared" si="3032"/>
        <v>0</v>
      </c>
      <c r="NT494" s="98">
        <f t="shared" si="3032"/>
        <v>0</v>
      </c>
      <c r="NU494" s="198">
        <f t="shared" si="2669"/>
        <v>0</v>
      </c>
      <c r="NV494" s="198">
        <f t="shared" si="2670"/>
        <v>0</v>
      </c>
      <c r="NW494" s="98">
        <f t="shared" ref="NW494:OJ494" si="3033">SUM(NW23,NW61,NW99,NW137,NW175,NW213,NW251,NW289,NW327,NW365,NW403,NW441)</f>
        <v>0</v>
      </c>
      <c r="NX494" s="98">
        <f t="shared" si="3033"/>
        <v>0</v>
      </c>
      <c r="NY494" s="98">
        <f t="shared" si="3033"/>
        <v>0</v>
      </c>
      <c r="NZ494" s="98">
        <f t="shared" si="3033"/>
        <v>0</v>
      </c>
      <c r="OA494" s="98">
        <f t="shared" si="3033"/>
        <v>0</v>
      </c>
      <c r="OB494" s="98">
        <f t="shared" si="3033"/>
        <v>0</v>
      </c>
      <c r="OC494" s="98">
        <f t="shared" si="3033"/>
        <v>0</v>
      </c>
      <c r="OD494" s="98">
        <f t="shared" si="3033"/>
        <v>0</v>
      </c>
      <c r="OE494" s="98">
        <f t="shared" si="3033"/>
        <v>0</v>
      </c>
      <c r="OF494" s="98">
        <f t="shared" si="3033"/>
        <v>0</v>
      </c>
      <c r="OG494" s="98">
        <f t="shared" si="3033"/>
        <v>0</v>
      </c>
      <c r="OH494" s="98">
        <f t="shared" si="3033"/>
        <v>0</v>
      </c>
      <c r="OI494" s="98">
        <f t="shared" si="3033"/>
        <v>0</v>
      </c>
      <c r="OJ494" s="98">
        <f t="shared" si="3033"/>
        <v>0</v>
      </c>
      <c r="OK494" s="198">
        <f t="shared" si="2672"/>
        <v>0</v>
      </c>
      <c r="OL494" s="198">
        <f t="shared" si="2673"/>
        <v>0</v>
      </c>
      <c r="OM494" s="98">
        <f t="shared" ref="OM494:OZ494" si="3034">SUM(OM23,OM61,OM99,OM137,OM175,OM213,OM251,OM289,OM327,OM365,OM403,OM441)</f>
        <v>0</v>
      </c>
      <c r="ON494" s="98">
        <f t="shared" si="3034"/>
        <v>0</v>
      </c>
      <c r="OO494" s="98">
        <f t="shared" si="3034"/>
        <v>0</v>
      </c>
      <c r="OP494" s="98">
        <f t="shared" si="3034"/>
        <v>0</v>
      </c>
      <c r="OQ494" s="98">
        <f t="shared" si="3034"/>
        <v>0</v>
      </c>
      <c r="OR494" s="98">
        <f t="shared" si="3034"/>
        <v>0</v>
      </c>
      <c r="OS494" s="98">
        <f t="shared" si="3034"/>
        <v>0</v>
      </c>
      <c r="OT494" s="98">
        <f t="shared" si="3034"/>
        <v>0</v>
      </c>
      <c r="OU494" s="98">
        <f t="shared" si="3034"/>
        <v>0</v>
      </c>
      <c r="OV494" s="98">
        <f t="shared" si="3034"/>
        <v>0</v>
      </c>
      <c r="OW494" s="98">
        <f t="shared" si="3034"/>
        <v>0</v>
      </c>
      <c r="OX494" s="98">
        <f t="shared" si="3034"/>
        <v>0</v>
      </c>
      <c r="OY494" s="98">
        <f t="shared" si="3034"/>
        <v>0</v>
      </c>
      <c r="OZ494" s="98">
        <f t="shared" si="3034"/>
        <v>0</v>
      </c>
      <c r="PA494" s="198">
        <f t="shared" si="2675"/>
        <v>0</v>
      </c>
      <c r="PB494" s="198">
        <f t="shared" si="2676"/>
        <v>0</v>
      </c>
      <c r="PC494" s="98">
        <f t="shared" ref="PC494:PP494" si="3035">SUM(PC23,PC61,PC99,PC137,PC175,PC213,PC251,PC289,PC327,PC365,PC403,PC441)</f>
        <v>0</v>
      </c>
      <c r="PD494" s="98">
        <f t="shared" si="3035"/>
        <v>0</v>
      </c>
      <c r="PE494" s="98">
        <f t="shared" si="3035"/>
        <v>0</v>
      </c>
      <c r="PF494" s="98">
        <f t="shared" si="3035"/>
        <v>0</v>
      </c>
      <c r="PG494" s="98">
        <f t="shared" si="3035"/>
        <v>0</v>
      </c>
      <c r="PH494" s="98">
        <f t="shared" si="3035"/>
        <v>0</v>
      </c>
      <c r="PI494" s="98">
        <f t="shared" si="3035"/>
        <v>0</v>
      </c>
      <c r="PJ494" s="98">
        <f t="shared" si="3035"/>
        <v>0</v>
      </c>
      <c r="PK494" s="98">
        <f t="shared" si="3035"/>
        <v>0</v>
      </c>
      <c r="PL494" s="98">
        <f t="shared" si="3035"/>
        <v>0</v>
      </c>
      <c r="PM494" s="98">
        <f t="shared" si="3035"/>
        <v>0</v>
      </c>
      <c r="PN494" s="98">
        <f t="shared" si="3035"/>
        <v>0</v>
      </c>
      <c r="PO494" s="98">
        <f t="shared" si="3035"/>
        <v>0</v>
      </c>
      <c r="PP494" s="98">
        <f t="shared" si="3035"/>
        <v>0</v>
      </c>
      <c r="PQ494" s="198">
        <f t="shared" si="2678"/>
        <v>0</v>
      </c>
      <c r="PR494" s="198">
        <f t="shared" si="2679"/>
        <v>0</v>
      </c>
      <c r="PS494" s="98">
        <f t="shared" ref="PS494:QF494" si="3036">SUM(PS23,PS61,PS99,PS137,PS175,PS213,PS251,PS289,PS327,PS365,PS403,PS441)</f>
        <v>0</v>
      </c>
      <c r="PT494" s="98">
        <f t="shared" si="3036"/>
        <v>0</v>
      </c>
      <c r="PU494" s="98">
        <f t="shared" si="3036"/>
        <v>0</v>
      </c>
      <c r="PV494" s="98">
        <f t="shared" si="3036"/>
        <v>0</v>
      </c>
      <c r="PW494" s="98">
        <f t="shared" si="3036"/>
        <v>0</v>
      </c>
      <c r="PX494" s="98">
        <f t="shared" si="3036"/>
        <v>0</v>
      </c>
      <c r="PY494" s="98">
        <f t="shared" si="3036"/>
        <v>0</v>
      </c>
      <c r="PZ494" s="98">
        <f t="shared" si="3036"/>
        <v>0</v>
      </c>
      <c r="QA494" s="98">
        <f t="shared" si="3036"/>
        <v>0</v>
      </c>
      <c r="QB494" s="98">
        <f t="shared" si="3036"/>
        <v>0</v>
      </c>
      <c r="QC494" s="98">
        <f t="shared" si="3036"/>
        <v>0</v>
      </c>
      <c r="QD494" s="98">
        <f t="shared" si="3036"/>
        <v>0</v>
      </c>
      <c r="QE494" s="98">
        <f t="shared" si="3036"/>
        <v>0</v>
      </c>
      <c r="QF494" s="98">
        <f t="shared" si="3036"/>
        <v>0</v>
      </c>
      <c r="QG494" s="198">
        <f t="shared" si="2681"/>
        <v>0</v>
      </c>
      <c r="QH494" s="198">
        <f t="shared" si="2682"/>
        <v>0</v>
      </c>
      <c r="QI494" s="98">
        <f t="shared" ref="QI494:QV494" si="3037">SUM(QI23,QI61,QI99,QI137,QI175,QI213,QI251,QI289,QI327,QI365,QI403,QI441)</f>
        <v>0</v>
      </c>
      <c r="QJ494" s="98">
        <f t="shared" si="3037"/>
        <v>0</v>
      </c>
      <c r="QK494" s="98">
        <f t="shared" si="3037"/>
        <v>0</v>
      </c>
      <c r="QL494" s="98">
        <f t="shared" si="3037"/>
        <v>0</v>
      </c>
      <c r="QM494" s="98">
        <f t="shared" si="3037"/>
        <v>0</v>
      </c>
      <c r="QN494" s="98">
        <f t="shared" si="3037"/>
        <v>0</v>
      </c>
      <c r="QO494" s="98">
        <f t="shared" si="3037"/>
        <v>0</v>
      </c>
      <c r="QP494" s="98">
        <f t="shared" si="3037"/>
        <v>0</v>
      </c>
      <c r="QQ494" s="98">
        <f t="shared" si="3037"/>
        <v>0</v>
      </c>
      <c r="QR494" s="98">
        <f t="shared" si="3037"/>
        <v>0</v>
      </c>
      <c r="QS494" s="98">
        <f t="shared" si="3037"/>
        <v>0</v>
      </c>
      <c r="QT494" s="98">
        <f t="shared" si="3037"/>
        <v>0</v>
      </c>
      <c r="QU494" s="98">
        <f t="shared" si="3037"/>
        <v>0</v>
      </c>
      <c r="QV494" s="98">
        <f t="shared" si="3037"/>
        <v>0</v>
      </c>
      <c r="QW494" s="198">
        <f t="shared" si="2684"/>
        <v>0</v>
      </c>
      <c r="QX494" s="198">
        <f t="shared" si="2685"/>
        <v>0</v>
      </c>
      <c r="QY494" s="98">
        <f t="shared" ref="QY494:RL494" si="3038">SUM(QY23,QY61,QY99,QY137,QY175,QY213,QY251,QY289,QY327,QY365,QY403,QY441)</f>
        <v>0</v>
      </c>
      <c r="QZ494" s="98">
        <f t="shared" si="3038"/>
        <v>0</v>
      </c>
      <c r="RA494" s="98">
        <f t="shared" si="3038"/>
        <v>0</v>
      </c>
      <c r="RB494" s="98">
        <f t="shared" si="3038"/>
        <v>0</v>
      </c>
      <c r="RC494" s="98">
        <f t="shared" si="3038"/>
        <v>0</v>
      </c>
      <c r="RD494" s="98">
        <f t="shared" si="3038"/>
        <v>0</v>
      </c>
      <c r="RE494" s="98">
        <f t="shared" si="3038"/>
        <v>0</v>
      </c>
      <c r="RF494" s="98">
        <f t="shared" si="3038"/>
        <v>0</v>
      </c>
      <c r="RG494" s="98">
        <f t="shared" si="3038"/>
        <v>0</v>
      </c>
      <c r="RH494" s="98">
        <f t="shared" si="3038"/>
        <v>0</v>
      </c>
      <c r="RI494" s="98">
        <f t="shared" si="3038"/>
        <v>0</v>
      </c>
      <c r="RJ494" s="98">
        <f t="shared" si="3038"/>
        <v>0</v>
      </c>
      <c r="RK494" s="98">
        <f t="shared" si="3038"/>
        <v>0</v>
      </c>
      <c r="RL494" s="98">
        <f t="shared" si="3038"/>
        <v>0</v>
      </c>
      <c r="RM494" s="198">
        <f t="shared" si="2687"/>
        <v>0</v>
      </c>
      <c r="RN494" s="198">
        <f t="shared" si="2688"/>
        <v>0</v>
      </c>
      <c r="RO494" s="98">
        <f t="shared" ref="RO494:SB494" si="3039">SUM(RO23,RO61,RO99,RO137,RO175,RO213,RO251,RO289,RO327,RO365,RO403,RO441)</f>
        <v>0</v>
      </c>
      <c r="RP494" s="98">
        <f t="shared" si="3039"/>
        <v>0</v>
      </c>
      <c r="RQ494" s="98">
        <f t="shared" si="3039"/>
        <v>0</v>
      </c>
      <c r="RR494" s="98">
        <f t="shared" si="3039"/>
        <v>0</v>
      </c>
      <c r="RS494" s="98">
        <f t="shared" si="3039"/>
        <v>0</v>
      </c>
      <c r="RT494" s="98">
        <f t="shared" si="3039"/>
        <v>0</v>
      </c>
      <c r="RU494" s="98">
        <f t="shared" si="3039"/>
        <v>0</v>
      </c>
      <c r="RV494" s="98">
        <f t="shared" si="3039"/>
        <v>0</v>
      </c>
      <c r="RW494" s="98">
        <f t="shared" si="3039"/>
        <v>0</v>
      </c>
      <c r="RX494" s="98">
        <f t="shared" si="3039"/>
        <v>0</v>
      </c>
      <c r="RY494" s="98">
        <f t="shared" si="3039"/>
        <v>0</v>
      </c>
      <c r="RZ494" s="98">
        <f t="shared" si="3039"/>
        <v>0</v>
      </c>
      <c r="SA494" s="98">
        <f t="shared" si="3039"/>
        <v>0</v>
      </c>
      <c r="SB494" s="98">
        <f t="shared" si="3039"/>
        <v>0</v>
      </c>
      <c r="SC494" s="198">
        <f t="shared" si="2690"/>
        <v>0</v>
      </c>
      <c r="SD494" s="198">
        <f t="shared" si="2691"/>
        <v>0</v>
      </c>
      <c r="SE494" s="98">
        <f t="shared" ref="SE494:SR494" si="3040">SUM(SE23,SE61,SE99,SE137,SE175,SE213,SE251,SE289,SE327,SE365,SE403,SE441)</f>
        <v>0</v>
      </c>
      <c r="SF494" s="98">
        <f t="shared" si="3040"/>
        <v>0</v>
      </c>
      <c r="SG494" s="98">
        <f t="shared" si="3040"/>
        <v>0</v>
      </c>
      <c r="SH494" s="98">
        <f t="shared" si="3040"/>
        <v>0</v>
      </c>
      <c r="SI494" s="98">
        <f t="shared" si="3040"/>
        <v>0</v>
      </c>
      <c r="SJ494" s="98">
        <f t="shared" si="3040"/>
        <v>0</v>
      </c>
      <c r="SK494" s="98">
        <f t="shared" si="3040"/>
        <v>0</v>
      </c>
      <c r="SL494" s="98">
        <f t="shared" si="3040"/>
        <v>0</v>
      </c>
      <c r="SM494" s="98">
        <f t="shared" si="3040"/>
        <v>0</v>
      </c>
      <c r="SN494" s="98">
        <f t="shared" si="3040"/>
        <v>0</v>
      </c>
      <c r="SO494" s="98">
        <f t="shared" si="3040"/>
        <v>0</v>
      </c>
      <c r="SP494" s="98">
        <f t="shared" si="3040"/>
        <v>0</v>
      </c>
      <c r="SQ494" s="98">
        <f t="shared" si="3040"/>
        <v>0</v>
      </c>
      <c r="SR494" s="98">
        <f t="shared" si="3040"/>
        <v>0</v>
      </c>
      <c r="SS494" s="198">
        <f t="shared" si="2693"/>
        <v>0</v>
      </c>
      <c r="ST494" s="198">
        <f t="shared" si="2694"/>
        <v>0</v>
      </c>
      <c r="SU494" s="98">
        <f t="shared" ref="SU494:TH494" si="3041">SUM(SU23,SU61,SU99,SU137,SU175,SU213,SU251,SU289,SU327,SU365,SU403,SU441)</f>
        <v>0</v>
      </c>
      <c r="SV494" s="98">
        <f t="shared" si="3041"/>
        <v>0</v>
      </c>
      <c r="SW494" s="98">
        <f t="shared" si="3041"/>
        <v>0</v>
      </c>
      <c r="SX494" s="98">
        <f t="shared" si="3041"/>
        <v>0</v>
      </c>
      <c r="SY494" s="98">
        <f t="shared" si="3041"/>
        <v>0</v>
      </c>
      <c r="SZ494" s="98">
        <f t="shared" si="3041"/>
        <v>0</v>
      </c>
      <c r="TA494" s="98">
        <f t="shared" si="3041"/>
        <v>0</v>
      </c>
      <c r="TB494" s="98">
        <f t="shared" si="3041"/>
        <v>0</v>
      </c>
      <c r="TC494" s="98">
        <f t="shared" si="3041"/>
        <v>0</v>
      </c>
      <c r="TD494" s="98">
        <f t="shared" si="3041"/>
        <v>0</v>
      </c>
      <c r="TE494" s="98">
        <f t="shared" si="3041"/>
        <v>0</v>
      </c>
      <c r="TF494" s="98">
        <f t="shared" si="3041"/>
        <v>0</v>
      </c>
      <c r="TG494" s="98">
        <f t="shared" si="3041"/>
        <v>0</v>
      </c>
      <c r="TH494" s="98">
        <f t="shared" si="3041"/>
        <v>0</v>
      </c>
      <c r="TI494" s="198">
        <f t="shared" si="2696"/>
        <v>0</v>
      </c>
      <c r="TJ494" s="198">
        <f t="shared" si="2697"/>
        <v>0</v>
      </c>
      <c r="TK494" s="98">
        <f t="shared" ref="TK494:TX494" si="3042">SUM(TK23,TK61,TK99,TK137,TK175,TK213,TK251,TK289,TK327,TK365,TK403,TK441)</f>
        <v>0</v>
      </c>
      <c r="TL494" s="98">
        <f t="shared" si="3042"/>
        <v>0</v>
      </c>
      <c r="TM494" s="98">
        <f t="shared" si="3042"/>
        <v>0</v>
      </c>
      <c r="TN494" s="98">
        <f t="shared" si="3042"/>
        <v>0</v>
      </c>
      <c r="TO494" s="98">
        <f t="shared" si="3042"/>
        <v>0</v>
      </c>
      <c r="TP494" s="98">
        <f t="shared" si="3042"/>
        <v>0</v>
      </c>
      <c r="TQ494" s="98">
        <f t="shared" si="3042"/>
        <v>0</v>
      </c>
      <c r="TR494" s="98">
        <f t="shared" si="3042"/>
        <v>0</v>
      </c>
      <c r="TS494" s="98">
        <f t="shared" si="3042"/>
        <v>0</v>
      </c>
      <c r="TT494" s="98">
        <f t="shared" si="3042"/>
        <v>0</v>
      </c>
      <c r="TU494" s="98">
        <f t="shared" si="3042"/>
        <v>0</v>
      </c>
      <c r="TV494" s="98">
        <f t="shared" si="3042"/>
        <v>0</v>
      </c>
      <c r="TW494" s="98">
        <f t="shared" si="3042"/>
        <v>0</v>
      </c>
      <c r="TX494" s="98">
        <f t="shared" si="3042"/>
        <v>0</v>
      </c>
      <c r="TY494" s="198">
        <f t="shared" si="2699"/>
        <v>0</v>
      </c>
      <c r="TZ494" s="198">
        <f t="shared" si="2700"/>
        <v>0</v>
      </c>
      <c r="UA494" s="98">
        <f t="shared" ref="UA494:UN494" si="3043">SUM(UA23,UA61,UA99,UA137,UA175,UA213,UA251,UA289,UA327,UA365,UA403,UA441)</f>
        <v>0</v>
      </c>
      <c r="UB494" s="98">
        <f t="shared" si="3043"/>
        <v>0</v>
      </c>
      <c r="UC494" s="98">
        <f t="shared" si="3043"/>
        <v>0</v>
      </c>
      <c r="UD494" s="98">
        <f t="shared" si="3043"/>
        <v>0</v>
      </c>
      <c r="UE494" s="98">
        <f t="shared" si="3043"/>
        <v>0</v>
      </c>
      <c r="UF494" s="98">
        <f t="shared" si="3043"/>
        <v>0</v>
      </c>
      <c r="UG494" s="98">
        <f t="shared" si="3043"/>
        <v>0</v>
      </c>
      <c r="UH494" s="98">
        <f t="shared" si="3043"/>
        <v>0</v>
      </c>
      <c r="UI494" s="98">
        <f t="shared" si="3043"/>
        <v>0</v>
      </c>
      <c r="UJ494" s="98">
        <f t="shared" si="3043"/>
        <v>0</v>
      </c>
      <c r="UK494" s="98">
        <f t="shared" si="3043"/>
        <v>0</v>
      </c>
      <c r="UL494" s="98">
        <f t="shared" si="3043"/>
        <v>0</v>
      </c>
      <c r="UM494" s="98">
        <f t="shared" si="3043"/>
        <v>0</v>
      </c>
      <c r="UN494" s="98">
        <f t="shared" si="3043"/>
        <v>0</v>
      </c>
      <c r="UO494" s="198">
        <f t="shared" si="2702"/>
        <v>0</v>
      </c>
      <c r="UP494" s="198">
        <f t="shared" si="2703"/>
        <v>0</v>
      </c>
      <c r="UQ494" s="98">
        <f t="shared" ref="UQ494:VD494" si="3044">SUM(UQ23,UQ61,UQ99,UQ137,UQ175,UQ213,UQ251,UQ289,UQ327,UQ365,UQ403,UQ441)</f>
        <v>0</v>
      </c>
      <c r="UR494" s="98">
        <f t="shared" si="3044"/>
        <v>0</v>
      </c>
      <c r="US494" s="98">
        <f t="shared" si="3044"/>
        <v>0</v>
      </c>
      <c r="UT494" s="98">
        <f t="shared" si="3044"/>
        <v>0</v>
      </c>
      <c r="UU494" s="98">
        <f t="shared" si="3044"/>
        <v>0</v>
      </c>
      <c r="UV494" s="98">
        <f t="shared" si="3044"/>
        <v>0</v>
      </c>
      <c r="UW494" s="98">
        <f t="shared" si="3044"/>
        <v>0</v>
      </c>
      <c r="UX494" s="98">
        <f t="shared" si="3044"/>
        <v>0</v>
      </c>
      <c r="UY494" s="98">
        <f t="shared" si="3044"/>
        <v>0</v>
      </c>
      <c r="UZ494" s="98">
        <f t="shared" si="3044"/>
        <v>0</v>
      </c>
      <c r="VA494" s="98">
        <f t="shared" si="3044"/>
        <v>0</v>
      </c>
      <c r="VB494" s="98">
        <f t="shared" si="3044"/>
        <v>0</v>
      </c>
      <c r="VC494" s="98">
        <f t="shared" si="3044"/>
        <v>0</v>
      </c>
      <c r="VD494" s="98">
        <f t="shared" si="3044"/>
        <v>0</v>
      </c>
      <c r="VE494" s="198">
        <f t="shared" si="2705"/>
        <v>0</v>
      </c>
      <c r="VF494" s="198">
        <f t="shared" si="2706"/>
        <v>0</v>
      </c>
      <c r="VG494" s="98">
        <f t="shared" ref="VG494:VT494" si="3045">SUM(VG23,VG61,VG99,VG137,VG175,VG213,VG251,VG289,VG327,VG365,VG403,VG441)</f>
        <v>0</v>
      </c>
      <c r="VH494" s="98">
        <f t="shared" si="3045"/>
        <v>0</v>
      </c>
      <c r="VI494" s="98">
        <f t="shared" si="3045"/>
        <v>0</v>
      </c>
      <c r="VJ494" s="98">
        <f t="shared" si="3045"/>
        <v>0</v>
      </c>
      <c r="VK494" s="98">
        <f t="shared" si="3045"/>
        <v>0</v>
      </c>
      <c r="VL494" s="98">
        <f t="shared" si="3045"/>
        <v>0</v>
      </c>
      <c r="VM494" s="98">
        <f t="shared" si="3045"/>
        <v>0</v>
      </c>
      <c r="VN494" s="98">
        <f t="shared" si="3045"/>
        <v>0</v>
      </c>
      <c r="VO494" s="98">
        <f t="shared" si="3045"/>
        <v>0</v>
      </c>
      <c r="VP494" s="98">
        <f t="shared" si="3045"/>
        <v>0</v>
      </c>
      <c r="VQ494" s="98">
        <f t="shared" si="3045"/>
        <v>0</v>
      </c>
      <c r="VR494" s="98">
        <f t="shared" si="3045"/>
        <v>0</v>
      </c>
      <c r="VS494" s="98">
        <f t="shared" si="3045"/>
        <v>0</v>
      </c>
      <c r="VT494" s="98">
        <f t="shared" si="3045"/>
        <v>0</v>
      </c>
      <c r="VU494" s="198">
        <f t="shared" si="2708"/>
        <v>0</v>
      </c>
      <c r="VV494" s="198">
        <f t="shared" si="2709"/>
        <v>0</v>
      </c>
      <c r="VW494" s="98">
        <f t="shared" ref="VW494:WJ494" si="3046">SUM(VW23,VW61,VW99,VW137,VW175,VW213,VW251,VW289,VW327,VW365,VW403,VW441)</f>
        <v>0</v>
      </c>
      <c r="VX494" s="98">
        <f t="shared" si="3046"/>
        <v>0</v>
      </c>
      <c r="VY494" s="98">
        <f t="shared" si="3046"/>
        <v>0</v>
      </c>
      <c r="VZ494" s="98">
        <f t="shared" si="3046"/>
        <v>0</v>
      </c>
      <c r="WA494" s="98">
        <f t="shared" si="3046"/>
        <v>0</v>
      </c>
      <c r="WB494" s="98">
        <f t="shared" si="3046"/>
        <v>0</v>
      </c>
      <c r="WC494" s="98">
        <f t="shared" si="3046"/>
        <v>0</v>
      </c>
      <c r="WD494" s="98">
        <f t="shared" si="3046"/>
        <v>0</v>
      </c>
      <c r="WE494" s="98">
        <f t="shared" si="3046"/>
        <v>0</v>
      </c>
      <c r="WF494" s="98">
        <f t="shared" si="3046"/>
        <v>0</v>
      </c>
      <c r="WG494" s="98">
        <f t="shared" si="3046"/>
        <v>0</v>
      </c>
      <c r="WH494" s="98">
        <f t="shared" si="3046"/>
        <v>0</v>
      </c>
      <c r="WI494" s="98">
        <f t="shared" si="3046"/>
        <v>0</v>
      </c>
      <c r="WJ494" s="98">
        <f t="shared" si="3046"/>
        <v>0</v>
      </c>
      <c r="WK494" s="198">
        <f t="shared" si="2711"/>
        <v>0</v>
      </c>
      <c r="WL494" s="198">
        <f t="shared" si="2712"/>
        <v>0</v>
      </c>
      <c r="WN494" s="98">
        <f t="shared" si="2713"/>
        <v>13740678.926078347</v>
      </c>
      <c r="WO494" s="98">
        <f t="shared" si="2714"/>
        <v>53413466.486336268</v>
      </c>
      <c r="WP494" s="98">
        <f t="shared" si="2715"/>
        <v>0</v>
      </c>
      <c r="WQ494" s="98">
        <f t="shared" si="2716"/>
        <v>0</v>
      </c>
      <c r="WR494" s="98">
        <f t="shared" si="2717"/>
        <v>0</v>
      </c>
      <c r="WS494" s="98">
        <f t="shared" si="2718"/>
        <v>0</v>
      </c>
      <c r="WT494" s="98">
        <f t="shared" si="2719"/>
        <v>0</v>
      </c>
      <c r="WU494" s="98">
        <f t="shared" si="2720"/>
        <v>0</v>
      </c>
      <c r="WV494" s="98">
        <f t="shared" si="2721"/>
        <v>0</v>
      </c>
      <c r="WW494" s="98">
        <f t="shared" si="2722"/>
        <v>0</v>
      </c>
      <c r="WX494" s="98">
        <f t="shared" si="2723"/>
        <v>0</v>
      </c>
      <c r="WY494" s="98">
        <f t="shared" si="2724"/>
        <v>0</v>
      </c>
      <c r="WZ494" s="98">
        <f t="shared" si="2725"/>
        <v>0</v>
      </c>
      <c r="XA494" s="98">
        <f t="shared" si="2726"/>
        <v>0</v>
      </c>
      <c r="XB494" s="107">
        <f t="shared" si="2727"/>
        <v>13740678.926078347</v>
      </c>
      <c r="XC494" s="107">
        <f t="shared" si="2728"/>
        <v>53413466.486336268</v>
      </c>
      <c r="XK494" s="98">
        <f t="shared" si="2729"/>
        <v>0</v>
      </c>
      <c r="XL494" s="98">
        <f t="shared" si="2730"/>
        <v>0</v>
      </c>
      <c r="XM494" s="98">
        <f t="shared" si="2731"/>
        <v>0</v>
      </c>
      <c r="XN494" s="98">
        <f t="shared" si="2732"/>
        <v>0</v>
      </c>
      <c r="XO494" s="98">
        <f t="shared" si="2733"/>
        <v>67154145.41241461</v>
      </c>
      <c r="XP494" s="98">
        <f t="shared" si="2734"/>
        <v>67154145.41241461</v>
      </c>
      <c r="XQ494" s="98">
        <f t="shared" si="2735"/>
        <v>0</v>
      </c>
      <c r="XR494" s="107">
        <f t="shared" ca="1" si="2597"/>
        <v>120567611.89875087</v>
      </c>
      <c r="XT494" s="98">
        <f t="shared" si="2736"/>
        <v>67154145.41241461</v>
      </c>
      <c r="XU494" s="98">
        <f t="shared" si="2737"/>
        <v>53413466.486336268</v>
      </c>
      <c r="XV494" s="98">
        <f t="shared" si="2738"/>
        <v>0</v>
      </c>
      <c r="XW494" s="98">
        <f t="shared" si="2739"/>
        <v>0</v>
      </c>
      <c r="XX494" s="98">
        <f t="shared" si="2740"/>
        <v>0</v>
      </c>
      <c r="XY494" s="98">
        <f t="shared" si="2741"/>
        <v>0</v>
      </c>
      <c r="XZ494" s="98">
        <f t="shared" si="2742"/>
        <v>67154145.41241461</v>
      </c>
      <c r="YA494" s="107">
        <f t="shared" ca="1" si="2598"/>
        <v>134308290.82482922</v>
      </c>
    </row>
    <row r="495" spans="1:1017">
      <c r="B495" s="90" t="str">
        <f t="shared" si="2558"/>
        <v>Kerapu Cantang</v>
      </c>
      <c r="C495" s="98">
        <f t="shared" ref="C495:P495" si="3047">SUM(C24,C62,C100,C138,C176,C214,C252,C290,C328,C366,C404,C442)</f>
        <v>0</v>
      </c>
      <c r="D495" s="98">
        <f t="shared" si="3047"/>
        <v>0</v>
      </c>
      <c r="E495" s="98">
        <f t="shared" si="3047"/>
        <v>0</v>
      </c>
      <c r="F495" s="98">
        <f t="shared" si="3047"/>
        <v>0</v>
      </c>
      <c r="G495" s="98">
        <f t="shared" si="3047"/>
        <v>0</v>
      </c>
      <c r="H495" s="98">
        <f t="shared" si="3047"/>
        <v>0</v>
      </c>
      <c r="I495" s="98">
        <f t="shared" si="3047"/>
        <v>0</v>
      </c>
      <c r="J495" s="98">
        <f t="shared" si="3047"/>
        <v>0</v>
      </c>
      <c r="K495" s="98">
        <f t="shared" si="3047"/>
        <v>0</v>
      </c>
      <c r="L495" s="98">
        <f t="shared" si="3047"/>
        <v>0</v>
      </c>
      <c r="M495" s="98">
        <f t="shared" si="3047"/>
        <v>0</v>
      </c>
      <c r="N495" s="98">
        <f t="shared" si="3047"/>
        <v>0</v>
      </c>
      <c r="O495" s="98">
        <f t="shared" si="3047"/>
        <v>0</v>
      </c>
      <c r="P495" s="98">
        <f t="shared" si="3047"/>
        <v>0</v>
      </c>
      <c r="Q495" s="198">
        <f t="shared" si="2600"/>
        <v>0</v>
      </c>
      <c r="R495" s="198">
        <f t="shared" si="2601"/>
        <v>0</v>
      </c>
      <c r="S495" s="98">
        <f t="shared" ref="S495:AF495" si="3048">SUM(S24,S62,S100,S138,S176,S214,S252,S290,S328,S366,S404,S442)</f>
        <v>20185</v>
      </c>
      <c r="T495" s="98">
        <f t="shared" si="3048"/>
        <v>1776925</v>
      </c>
      <c r="U495" s="98">
        <f t="shared" si="3048"/>
        <v>43125</v>
      </c>
      <c r="V495" s="98">
        <f t="shared" si="3048"/>
        <v>3901525</v>
      </c>
      <c r="W495" s="98">
        <f t="shared" si="3048"/>
        <v>0</v>
      </c>
      <c r="X495" s="98">
        <f t="shared" si="3048"/>
        <v>0</v>
      </c>
      <c r="Y495" s="98">
        <f t="shared" si="3048"/>
        <v>0</v>
      </c>
      <c r="Z495" s="98">
        <f t="shared" si="3048"/>
        <v>0</v>
      </c>
      <c r="AA495" s="98">
        <f t="shared" si="3048"/>
        <v>0</v>
      </c>
      <c r="AB495" s="98">
        <f t="shared" si="3048"/>
        <v>0</v>
      </c>
      <c r="AC495" s="98">
        <f t="shared" si="3048"/>
        <v>0</v>
      </c>
      <c r="AD495" s="98">
        <f t="shared" si="3048"/>
        <v>0</v>
      </c>
      <c r="AE495" s="98">
        <f t="shared" si="3048"/>
        <v>0</v>
      </c>
      <c r="AF495" s="98">
        <f t="shared" si="3048"/>
        <v>0</v>
      </c>
      <c r="AG495" s="198">
        <f t="shared" si="2603"/>
        <v>63310</v>
      </c>
      <c r="AH495" s="198">
        <f t="shared" si="2604"/>
        <v>5678450</v>
      </c>
      <c r="AI495" s="98">
        <f t="shared" ref="AI495:AV495" si="3049">SUM(AI24,AI62,AI100,AI138,AI176,AI214,AI252,AI290,AI328,AI366,AI404,AI442)</f>
        <v>0</v>
      </c>
      <c r="AJ495" s="98">
        <f t="shared" si="3049"/>
        <v>0</v>
      </c>
      <c r="AK495" s="98">
        <f t="shared" si="3049"/>
        <v>0</v>
      </c>
      <c r="AL495" s="98">
        <f t="shared" si="3049"/>
        <v>0</v>
      </c>
      <c r="AM495" s="98">
        <f t="shared" si="3049"/>
        <v>0</v>
      </c>
      <c r="AN495" s="98">
        <f t="shared" si="3049"/>
        <v>0</v>
      </c>
      <c r="AO495" s="98">
        <f t="shared" si="3049"/>
        <v>0</v>
      </c>
      <c r="AP495" s="98">
        <f t="shared" si="3049"/>
        <v>0</v>
      </c>
      <c r="AQ495" s="98">
        <f t="shared" si="3049"/>
        <v>0</v>
      </c>
      <c r="AR495" s="98">
        <f t="shared" si="3049"/>
        <v>0</v>
      </c>
      <c r="AS495" s="98">
        <f t="shared" si="3049"/>
        <v>0</v>
      </c>
      <c r="AT495" s="98">
        <f t="shared" si="3049"/>
        <v>0</v>
      </c>
      <c r="AU495" s="98">
        <f t="shared" si="3049"/>
        <v>0</v>
      </c>
      <c r="AV495" s="98">
        <f t="shared" si="3049"/>
        <v>0</v>
      </c>
      <c r="AW495" s="198">
        <f t="shared" si="2606"/>
        <v>0</v>
      </c>
      <c r="AX495" s="198">
        <f t="shared" si="2607"/>
        <v>0</v>
      </c>
      <c r="AY495" s="98">
        <f t="shared" ref="AY495:BL495" si="3050">SUM(AY24,AY62,AY100,AY138,AY176,AY214,AY252,AY290,AY328,AY366,AY404,AY442)</f>
        <v>0</v>
      </c>
      <c r="AZ495" s="98">
        <f t="shared" si="3050"/>
        <v>0</v>
      </c>
      <c r="BA495" s="98">
        <f t="shared" si="3050"/>
        <v>0</v>
      </c>
      <c r="BB495" s="98">
        <f t="shared" si="3050"/>
        <v>0</v>
      </c>
      <c r="BC495" s="98">
        <f t="shared" si="3050"/>
        <v>0</v>
      </c>
      <c r="BD495" s="98">
        <f t="shared" si="3050"/>
        <v>0</v>
      </c>
      <c r="BE495" s="98">
        <f t="shared" si="3050"/>
        <v>0</v>
      </c>
      <c r="BF495" s="98">
        <f t="shared" si="3050"/>
        <v>0</v>
      </c>
      <c r="BG495" s="98">
        <f t="shared" si="3050"/>
        <v>0</v>
      </c>
      <c r="BH495" s="98">
        <f t="shared" si="3050"/>
        <v>0</v>
      </c>
      <c r="BI495" s="98">
        <f t="shared" si="3050"/>
        <v>0</v>
      </c>
      <c r="BJ495" s="98">
        <f t="shared" si="3050"/>
        <v>0</v>
      </c>
      <c r="BK495" s="98">
        <f t="shared" si="3050"/>
        <v>0</v>
      </c>
      <c r="BL495" s="98">
        <f t="shared" si="3050"/>
        <v>0</v>
      </c>
      <c r="BM495" s="198">
        <f t="shared" si="2609"/>
        <v>0</v>
      </c>
      <c r="BN495" s="198">
        <f t="shared" si="2610"/>
        <v>0</v>
      </c>
      <c r="BO495" s="98">
        <f t="shared" ref="BO495:CB495" si="3051">SUM(BO24,BO62,BO100,BO138,BO176,BO214,BO252,BO290,BO328,BO366,BO404,BO442)</f>
        <v>0</v>
      </c>
      <c r="BP495" s="98">
        <f t="shared" si="3051"/>
        <v>0</v>
      </c>
      <c r="BQ495" s="98">
        <f t="shared" si="3051"/>
        <v>0</v>
      </c>
      <c r="BR495" s="98">
        <f t="shared" si="3051"/>
        <v>0</v>
      </c>
      <c r="BS495" s="98">
        <f t="shared" si="3051"/>
        <v>0</v>
      </c>
      <c r="BT495" s="98">
        <f t="shared" si="3051"/>
        <v>0</v>
      </c>
      <c r="BU495" s="98">
        <f t="shared" si="3051"/>
        <v>0</v>
      </c>
      <c r="BV495" s="98">
        <f t="shared" si="3051"/>
        <v>0</v>
      </c>
      <c r="BW495" s="98">
        <f t="shared" si="3051"/>
        <v>0</v>
      </c>
      <c r="BX495" s="98">
        <f t="shared" si="3051"/>
        <v>0</v>
      </c>
      <c r="BY495" s="98">
        <f t="shared" si="3051"/>
        <v>0</v>
      </c>
      <c r="BZ495" s="98">
        <f t="shared" si="3051"/>
        <v>0</v>
      </c>
      <c r="CA495" s="98">
        <f t="shared" si="3051"/>
        <v>0</v>
      </c>
      <c r="CB495" s="98">
        <f t="shared" si="3051"/>
        <v>0</v>
      </c>
      <c r="CC495" s="198">
        <f t="shared" si="2612"/>
        <v>0</v>
      </c>
      <c r="CD495" s="198">
        <f t="shared" si="2613"/>
        <v>0</v>
      </c>
      <c r="CE495" s="98">
        <f t="shared" ref="CE495:CR495" si="3052">SUM(CE24,CE62,CE100,CE138,CE176,CE214,CE252,CE290,CE328,CE366,CE404,CE442)</f>
        <v>0</v>
      </c>
      <c r="CF495" s="98">
        <f t="shared" si="3052"/>
        <v>0</v>
      </c>
      <c r="CG495" s="98">
        <f t="shared" si="3052"/>
        <v>135504.14657879245</v>
      </c>
      <c r="CH495" s="98">
        <f t="shared" si="3052"/>
        <v>15142508.240820082</v>
      </c>
      <c r="CI495" s="98">
        <f t="shared" si="3052"/>
        <v>0</v>
      </c>
      <c r="CJ495" s="98">
        <f t="shared" si="3052"/>
        <v>0</v>
      </c>
      <c r="CK495" s="98">
        <f t="shared" si="3052"/>
        <v>0</v>
      </c>
      <c r="CL495" s="98">
        <f t="shared" si="3052"/>
        <v>0</v>
      </c>
      <c r="CM495" s="98">
        <f t="shared" si="3052"/>
        <v>0</v>
      </c>
      <c r="CN495" s="98">
        <f t="shared" si="3052"/>
        <v>0</v>
      </c>
      <c r="CO495" s="98">
        <f t="shared" si="3052"/>
        <v>0</v>
      </c>
      <c r="CP495" s="98">
        <f t="shared" si="3052"/>
        <v>0</v>
      </c>
      <c r="CQ495" s="98">
        <f t="shared" si="3052"/>
        <v>0</v>
      </c>
      <c r="CR495" s="98">
        <f t="shared" si="3052"/>
        <v>0</v>
      </c>
      <c r="CS495" s="198">
        <f t="shared" si="2615"/>
        <v>135504.14657879245</v>
      </c>
      <c r="CT495" s="198">
        <f t="shared" si="2616"/>
        <v>15142508.240820082</v>
      </c>
      <c r="CU495" s="98">
        <f t="shared" ref="CU495:DH495" si="3053">SUM(CU24,CU62,CU100,CU138,CU176,CU214,CU252,CU290,CU328,CU366,CU404,CU442)</f>
        <v>0</v>
      </c>
      <c r="CV495" s="98">
        <f t="shared" si="3053"/>
        <v>0</v>
      </c>
      <c r="CW495" s="98">
        <f t="shared" si="3053"/>
        <v>0</v>
      </c>
      <c r="CX495" s="98">
        <f t="shared" si="3053"/>
        <v>0</v>
      </c>
      <c r="CY495" s="98">
        <f t="shared" si="3053"/>
        <v>0</v>
      </c>
      <c r="CZ495" s="98">
        <f t="shared" si="3053"/>
        <v>0</v>
      </c>
      <c r="DA495" s="98">
        <f t="shared" si="3053"/>
        <v>0</v>
      </c>
      <c r="DB495" s="98">
        <f t="shared" si="3053"/>
        <v>0</v>
      </c>
      <c r="DC495" s="98">
        <f t="shared" si="3053"/>
        <v>0</v>
      </c>
      <c r="DD495" s="98">
        <f t="shared" si="3053"/>
        <v>0</v>
      </c>
      <c r="DE495" s="98">
        <f t="shared" si="3053"/>
        <v>0</v>
      </c>
      <c r="DF495" s="98">
        <f t="shared" si="3053"/>
        <v>0</v>
      </c>
      <c r="DG495" s="98">
        <f t="shared" si="3053"/>
        <v>0</v>
      </c>
      <c r="DH495" s="98">
        <f t="shared" si="3053"/>
        <v>0</v>
      </c>
      <c r="DI495" s="198">
        <f t="shared" si="2618"/>
        <v>0</v>
      </c>
      <c r="DJ495" s="198">
        <f t="shared" si="2619"/>
        <v>0</v>
      </c>
      <c r="DK495" s="98">
        <f t="shared" ref="DK495:DX495" si="3054">SUM(DK24,DK62,DK100,DK138,DK176,DK214,DK252,DK290,DK328,DK366,DK404,DK442)</f>
        <v>0</v>
      </c>
      <c r="DL495" s="98">
        <f t="shared" si="3054"/>
        <v>0</v>
      </c>
      <c r="DM495" s="98">
        <f t="shared" si="3054"/>
        <v>0</v>
      </c>
      <c r="DN495" s="98">
        <f t="shared" si="3054"/>
        <v>0</v>
      </c>
      <c r="DO495" s="98">
        <f t="shared" si="3054"/>
        <v>0</v>
      </c>
      <c r="DP495" s="98">
        <f t="shared" si="3054"/>
        <v>0</v>
      </c>
      <c r="DQ495" s="98">
        <f t="shared" si="3054"/>
        <v>0</v>
      </c>
      <c r="DR495" s="98">
        <f t="shared" si="3054"/>
        <v>0</v>
      </c>
      <c r="DS495" s="98">
        <f t="shared" si="3054"/>
        <v>0</v>
      </c>
      <c r="DT495" s="98">
        <f t="shared" si="3054"/>
        <v>0</v>
      </c>
      <c r="DU495" s="98">
        <f t="shared" si="3054"/>
        <v>0</v>
      </c>
      <c r="DV495" s="98">
        <f t="shared" si="3054"/>
        <v>0</v>
      </c>
      <c r="DW495" s="98">
        <f t="shared" si="3054"/>
        <v>0</v>
      </c>
      <c r="DX495" s="98">
        <f t="shared" si="3054"/>
        <v>0</v>
      </c>
      <c r="DY495" s="198">
        <f t="shared" si="2621"/>
        <v>0</v>
      </c>
      <c r="DZ495" s="198">
        <f t="shared" si="2622"/>
        <v>0</v>
      </c>
      <c r="EA495" s="98">
        <f t="shared" ref="EA495:EN495" si="3055">SUM(EA24,EA62,EA100,EA138,EA176,EA214,EA252,EA290,EA328,EA366,EA404,EA442)</f>
        <v>0</v>
      </c>
      <c r="EB495" s="98">
        <f t="shared" si="3055"/>
        <v>0</v>
      </c>
      <c r="EC495" s="98">
        <f t="shared" si="3055"/>
        <v>0</v>
      </c>
      <c r="ED495" s="98">
        <f t="shared" si="3055"/>
        <v>0</v>
      </c>
      <c r="EE495" s="98">
        <f t="shared" si="3055"/>
        <v>0</v>
      </c>
      <c r="EF495" s="98">
        <f t="shared" si="3055"/>
        <v>0</v>
      </c>
      <c r="EG495" s="98">
        <f t="shared" si="3055"/>
        <v>0</v>
      </c>
      <c r="EH495" s="98">
        <f t="shared" si="3055"/>
        <v>0</v>
      </c>
      <c r="EI495" s="98">
        <f t="shared" si="3055"/>
        <v>0</v>
      </c>
      <c r="EJ495" s="98">
        <f t="shared" si="3055"/>
        <v>0</v>
      </c>
      <c r="EK495" s="98">
        <f t="shared" si="3055"/>
        <v>0</v>
      </c>
      <c r="EL495" s="98">
        <f t="shared" si="3055"/>
        <v>0</v>
      </c>
      <c r="EM495" s="98">
        <f t="shared" si="3055"/>
        <v>0</v>
      </c>
      <c r="EN495" s="98">
        <f t="shared" si="3055"/>
        <v>0</v>
      </c>
      <c r="EO495" s="198">
        <f t="shared" si="2624"/>
        <v>0</v>
      </c>
      <c r="EP495" s="198">
        <f t="shared" si="2625"/>
        <v>0</v>
      </c>
      <c r="EQ495" s="98">
        <f t="shared" ref="EQ495:FD495" si="3056">SUM(EQ24,EQ62,EQ100,EQ138,EQ176,EQ214,EQ252,EQ290,EQ328,EQ366,EQ404,EQ442)</f>
        <v>0</v>
      </c>
      <c r="ER495" s="98">
        <f t="shared" si="3056"/>
        <v>0</v>
      </c>
      <c r="ES495" s="98">
        <f t="shared" si="3056"/>
        <v>787166</v>
      </c>
      <c r="ET495" s="98">
        <f t="shared" si="3056"/>
        <v>69138805</v>
      </c>
      <c r="EU495" s="98">
        <f t="shared" si="3056"/>
        <v>0</v>
      </c>
      <c r="EV495" s="98">
        <f t="shared" si="3056"/>
        <v>0</v>
      </c>
      <c r="EW495" s="98">
        <f t="shared" si="3056"/>
        <v>0</v>
      </c>
      <c r="EX495" s="98">
        <f t="shared" si="3056"/>
        <v>0</v>
      </c>
      <c r="EY495" s="98">
        <f t="shared" si="3056"/>
        <v>0</v>
      </c>
      <c r="EZ495" s="98">
        <f t="shared" si="3056"/>
        <v>0</v>
      </c>
      <c r="FA495" s="98">
        <f t="shared" si="3056"/>
        <v>0</v>
      </c>
      <c r="FB495" s="98">
        <f t="shared" si="3056"/>
        <v>0</v>
      </c>
      <c r="FC495" s="98">
        <f t="shared" si="3056"/>
        <v>0</v>
      </c>
      <c r="FD495" s="98">
        <f t="shared" si="3056"/>
        <v>0</v>
      </c>
      <c r="FE495" s="198">
        <f t="shared" si="2627"/>
        <v>787166</v>
      </c>
      <c r="FF495" s="198">
        <f t="shared" si="2628"/>
        <v>69138805</v>
      </c>
      <c r="FG495" s="98">
        <f t="shared" ref="FG495:FT495" si="3057">SUM(FG24,FG62,FG100,FG138,FG176,FG214,FG252,FG290,FG328,FG366,FG404,FG442)</f>
        <v>0</v>
      </c>
      <c r="FH495" s="98">
        <f t="shared" si="3057"/>
        <v>0</v>
      </c>
      <c r="FI495" s="98">
        <f t="shared" si="3057"/>
        <v>0</v>
      </c>
      <c r="FJ495" s="98">
        <f t="shared" si="3057"/>
        <v>0</v>
      </c>
      <c r="FK495" s="98">
        <f t="shared" si="3057"/>
        <v>0</v>
      </c>
      <c r="FL495" s="98">
        <f t="shared" si="3057"/>
        <v>0</v>
      </c>
      <c r="FM495" s="98">
        <f t="shared" si="3057"/>
        <v>0</v>
      </c>
      <c r="FN495" s="98">
        <f t="shared" si="3057"/>
        <v>0</v>
      </c>
      <c r="FO495" s="98">
        <f t="shared" si="3057"/>
        <v>0</v>
      </c>
      <c r="FP495" s="98">
        <f t="shared" si="3057"/>
        <v>0</v>
      </c>
      <c r="FQ495" s="98">
        <f t="shared" si="3057"/>
        <v>0</v>
      </c>
      <c r="FR495" s="98">
        <f t="shared" si="3057"/>
        <v>0</v>
      </c>
      <c r="FS495" s="98">
        <f t="shared" si="3057"/>
        <v>0</v>
      </c>
      <c r="FT495" s="98">
        <f t="shared" si="3057"/>
        <v>0</v>
      </c>
      <c r="FU495" s="198">
        <f t="shared" si="2630"/>
        <v>0</v>
      </c>
      <c r="FV495" s="198">
        <f t="shared" si="2631"/>
        <v>0</v>
      </c>
      <c r="FW495" s="98">
        <f t="shared" ref="FW495:GJ495" si="3058">SUM(FW24,FW62,FW100,FW138,FW176,FW214,FW252,FW290,FW328,FW366,FW404,FW442)</f>
        <v>0</v>
      </c>
      <c r="FX495" s="98">
        <f t="shared" si="3058"/>
        <v>0</v>
      </c>
      <c r="FY495" s="98">
        <f t="shared" si="3058"/>
        <v>0</v>
      </c>
      <c r="FZ495" s="98">
        <f t="shared" si="3058"/>
        <v>0</v>
      </c>
      <c r="GA495" s="98">
        <f t="shared" si="3058"/>
        <v>0</v>
      </c>
      <c r="GB495" s="98">
        <f t="shared" si="3058"/>
        <v>0</v>
      </c>
      <c r="GC495" s="98">
        <f t="shared" si="3058"/>
        <v>0</v>
      </c>
      <c r="GD495" s="98">
        <f t="shared" si="3058"/>
        <v>0</v>
      </c>
      <c r="GE495" s="98">
        <f t="shared" si="3058"/>
        <v>0</v>
      </c>
      <c r="GF495" s="98">
        <f t="shared" si="3058"/>
        <v>0</v>
      </c>
      <c r="GG495" s="98">
        <f t="shared" si="3058"/>
        <v>0</v>
      </c>
      <c r="GH495" s="98">
        <f t="shared" si="3058"/>
        <v>0</v>
      </c>
      <c r="GI495" s="98">
        <f t="shared" si="3058"/>
        <v>0</v>
      </c>
      <c r="GJ495" s="98">
        <f t="shared" si="3058"/>
        <v>0</v>
      </c>
      <c r="GK495" s="198">
        <f t="shared" si="2633"/>
        <v>0</v>
      </c>
      <c r="GL495" s="198">
        <f t="shared" si="2634"/>
        <v>0</v>
      </c>
      <c r="GM495" s="98">
        <f t="shared" ref="GM495:GZ495" si="3059">SUM(GM24,GM62,GM100,GM138,GM176,GM214,GM252,GM290,GM328,GM366,GM404,GM442)</f>
        <v>0</v>
      </c>
      <c r="GN495" s="98">
        <f t="shared" si="3059"/>
        <v>0</v>
      </c>
      <c r="GO495" s="98">
        <f t="shared" si="3059"/>
        <v>0</v>
      </c>
      <c r="GP495" s="98">
        <f t="shared" si="3059"/>
        <v>0</v>
      </c>
      <c r="GQ495" s="98">
        <f t="shared" si="3059"/>
        <v>0</v>
      </c>
      <c r="GR495" s="98">
        <f t="shared" si="3059"/>
        <v>0</v>
      </c>
      <c r="GS495" s="98">
        <f t="shared" si="3059"/>
        <v>0</v>
      </c>
      <c r="GT495" s="98">
        <f t="shared" si="3059"/>
        <v>0</v>
      </c>
      <c r="GU495" s="98">
        <f t="shared" si="3059"/>
        <v>0</v>
      </c>
      <c r="GV495" s="98">
        <f t="shared" si="3059"/>
        <v>0</v>
      </c>
      <c r="GW495" s="98">
        <f t="shared" si="3059"/>
        <v>0</v>
      </c>
      <c r="GX495" s="98">
        <f t="shared" si="3059"/>
        <v>0</v>
      </c>
      <c r="GY495" s="98">
        <f t="shared" si="3059"/>
        <v>0</v>
      </c>
      <c r="GZ495" s="98">
        <f t="shared" si="3059"/>
        <v>0</v>
      </c>
      <c r="HA495" s="198">
        <f t="shared" si="2636"/>
        <v>0</v>
      </c>
      <c r="HB495" s="198">
        <f t="shared" si="2637"/>
        <v>0</v>
      </c>
      <c r="HC495" s="98">
        <f t="shared" ref="HC495:HP495" si="3060">SUM(HC24,HC62,HC100,HC138,HC176,HC214,HC252,HC290,HC328,HC366,HC404,HC442)</f>
        <v>0</v>
      </c>
      <c r="HD495" s="98">
        <f t="shared" si="3060"/>
        <v>0</v>
      </c>
      <c r="HE495" s="98">
        <f t="shared" si="3060"/>
        <v>0</v>
      </c>
      <c r="HF495" s="98">
        <f t="shared" si="3060"/>
        <v>0</v>
      </c>
      <c r="HG495" s="98">
        <f t="shared" si="3060"/>
        <v>0</v>
      </c>
      <c r="HH495" s="98">
        <f t="shared" si="3060"/>
        <v>0</v>
      </c>
      <c r="HI495" s="98">
        <f t="shared" si="3060"/>
        <v>0</v>
      </c>
      <c r="HJ495" s="98">
        <f t="shared" si="3060"/>
        <v>0</v>
      </c>
      <c r="HK495" s="98">
        <f t="shared" si="3060"/>
        <v>0</v>
      </c>
      <c r="HL495" s="98">
        <f t="shared" si="3060"/>
        <v>0</v>
      </c>
      <c r="HM495" s="98">
        <f t="shared" si="3060"/>
        <v>0</v>
      </c>
      <c r="HN495" s="98">
        <f t="shared" si="3060"/>
        <v>0</v>
      </c>
      <c r="HO495" s="98">
        <f t="shared" si="3060"/>
        <v>0</v>
      </c>
      <c r="HP495" s="98">
        <f t="shared" si="3060"/>
        <v>0</v>
      </c>
      <c r="HQ495" s="198">
        <f t="shared" si="2639"/>
        <v>0</v>
      </c>
      <c r="HR495" s="198">
        <f t="shared" si="2640"/>
        <v>0</v>
      </c>
      <c r="HS495" s="98">
        <f t="shared" ref="HS495:IF495" si="3061">SUM(HS24,HS62,HS100,HS138,HS176,HS214,HS252,HS290,HS328,HS366,HS404,HS442)</f>
        <v>0</v>
      </c>
      <c r="HT495" s="98">
        <f t="shared" si="3061"/>
        <v>0</v>
      </c>
      <c r="HU495" s="98">
        <f t="shared" si="3061"/>
        <v>0</v>
      </c>
      <c r="HV495" s="98">
        <f t="shared" si="3061"/>
        <v>0</v>
      </c>
      <c r="HW495" s="98">
        <f t="shared" si="3061"/>
        <v>0</v>
      </c>
      <c r="HX495" s="98">
        <f t="shared" si="3061"/>
        <v>0</v>
      </c>
      <c r="HY495" s="98">
        <f t="shared" si="3061"/>
        <v>0</v>
      </c>
      <c r="HZ495" s="98">
        <f t="shared" si="3061"/>
        <v>0</v>
      </c>
      <c r="IA495" s="98">
        <f t="shared" si="3061"/>
        <v>0</v>
      </c>
      <c r="IB495" s="98">
        <f t="shared" si="3061"/>
        <v>0</v>
      </c>
      <c r="IC495" s="98">
        <f t="shared" si="3061"/>
        <v>0</v>
      </c>
      <c r="ID495" s="98">
        <f t="shared" si="3061"/>
        <v>0</v>
      </c>
      <c r="IE495" s="98">
        <f t="shared" si="3061"/>
        <v>0</v>
      </c>
      <c r="IF495" s="98">
        <f t="shared" si="3061"/>
        <v>0</v>
      </c>
      <c r="IG495" s="198">
        <f t="shared" si="2642"/>
        <v>0</v>
      </c>
      <c r="IH495" s="198">
        <f t="shared" si="2643"/>
        <v>0</v>
      </c>
      <c r="II495" s="98">
        <f t="shared" ref="II495:IV495" si="3062">SUM(II24,II62,II100,II138,II176,II214,II252,II290,II328,II366,II404,II442)</f>
        <v>0</v>
      </c>
      <c r="IJ495" s="98">
        <f t="shared" si="3062"/>
        <v>0</v>
      </c>
      <c r="IK495" s="98">
        <f t="shared" si="3062"/>
        <v>0</v>
      </c>
      <c r="IL495" s="98">
        <f t="shared" si="3062"/>
        <v>0</v>
      </c>
      <c r="IM495" s="98">
        <f t="shared" si="3062"/>
        <v>0</v>
      </c>
      <c r="IN495" s="98">
        <f t="shared" si="3062"/>
        <v>0</v>
      </c>
      <c r="IO495" s="98">
        <f t="shared" si="3062"/>
        <v>0</v>
      </c>
      <c r="IP495" s="98">
        <f t="shared" si="3062"/>
        <v>0</v>
      </c>
      <c r="IQ495" s="98">
        <f t="shared" si="3062"/>
        <v>0</v>
      </c>
      <c r="IR495" s="98">
        <f t="shared" si="3062"/>
        <v>0</v>
      </c>
      <c r="IS495" s="98">
        <f t="shared" si="3062"/>
        <v>0</v>
      </c>
      <c r="IT495" s="98">
        <f t="shared" si="3062"/>
        <v>0</v>
      </c>
      <c r="IU495" s="98">
        <f t="shared" si="3062"/>
        <v>0</v>
      </c>
      <c r="IV495" s="98">
        <f t="shared" si="3062"/>
        <v>0</v>
      </c>
      <c r="IW495" s="198">
        <f t="shared" si="2645"/>
        <v>0</v>
      </c>
      <c r="IX495" s="198">
        <f t="shared" si="2646"/>
        <v>0</v>
      </c>
      <c r="IY495" s="98">
        <f t="shared" ref="IY495:JL495" si="3063">SUM(IY24,IY62,IY100,IY138,IY176,IY214,IY252,IY290,IY328,IY366,IY404,IY442)</f>
        <v>0</v>
      </c>
      <c r="IZ495" s="98">
        <f t="shared" si="3063"/>
        <v>0</v>
      </c>
      <c r="JA495" s="98">
        <f t="shared" si="3063"/>
        <v>0</v>
      </c>
      <c r="JB495" s="98">
        <f t="shared" si="3063"/>
        <v>0</v>
      </c>
      <c r="JC495" s="98">
        <f t="shared" si="3063"/>
        <v>0</v>
      </c>
      <c r="JD495" s="98">
        <f t="shared" si="3063"/>
        <v>0</v>
      </c>
      <c r="JE495" s="98">
        <f t="shared" si="3063"/>
        <v>0</v>
      </c>
      <c r="JF495" s="98">
        <f t="shared" si="3063"/>
        <v>0</v>
      </c>
      <c r="JG495" s="98">
        <f t="shared" si="3063"/>
        <v>0</v>
      </c>
      <c r="JH495" s="98">
        <f t="shared" si="3063"/>
        <v>0</v>
      </c>
      <c r="JI495" s="98">
        <f t="shared" si="3063"/>
        <v>0</v>
      </c>
      <c r="JJ495" s="98">
        <f t="shared" si="3063"/>
        <v>0</v>
      </c>
      <c r="JK495" s="98">
        <f t="shared" si="3063"/>
        <v>0</v>
      </c>
      <c r="JL495" s="98">
        <f t="shared" si="3063"/>
        <v>0</v>
      </c>
      <c r="JM495" s="198">
        <f t="shared" si="2648"/>
        <v>0</v>
      </c>
      <c r="JN495" s="198">
        <f t="shared" si="2649"/>
        <v>0</v>
      </c>
      <c r="JO495" s="98">
        <f t="shared" ref="JO495:KB495" si="3064">SUM(JO24,JO62,JO100,JO138,JO176,JO214,JO252,JO290,JO328,JO366,JO404,JO442)</f>
        <v>0</v>
      </c>
      <c r="JP495" s="98">
        <f t="shared" si="3064"/>
        <v>0</v>
      </c>
      <c r="JQ495" s="98">
        <f t="shared" si="3064"/>
        <v>0</v>
      </c>
      <c r="JR495" s="98">
        <f t="shared" si="3064"/>
        <v>0</v>
      </c>
      <c r="JS495" s="98">
        <f t="shared" si="3064"/>
        <v>0</v>
      </c>
      <c r="JT495" s="98">
        <f t="shared" si="3064"/>
        <v>0</v>
      </c>
      <c r="JU495" s="98">
        <f t="shared" si="3064"/>
        <v>0</v>
      </c>
      <c r="JV495" s="98">
        <f t="shared" si="3064"/>
        <v>0</v>
      </c>
      <c r="JW495" s="98">
        <f t="shared" si="3064"/>
        <v>0</v>
      </c>
      <c r="JX495" s="98">
        <f t="shared" si="3064"/>
        <v>0</v>
      </c>
      <c r="JY495" s="98">
        <f t="shared" si="3064"/>
        <v>0</v>
      </c>
      <c r="JZ495" s="98">
        <f t="shared" si="3064"/>
        <v>0</v>
      </c>
      <c r="KA495" s="98">
        <f t="shared" si="3064"/>
        <v>0</v>
      </c>
      <c r="KB495" s="98">
        <f t="shared" si="3064"/>
        <v>0</v>
      </c>
      <c r="KC495" s="198">
        <f t="shared" si="2651"/>
        <v>0</v>
      </c>
      <c r="KD495" s="198">
        <f t="shared" si="2652"/>
        <v>0</v>
      </c>
      <c r="KE495" s="98">
        <f t="shared" ref="KE495:KR495" si="3065">SUM(KE24,KE62,KE100,KE138,KE176,KE214,KE252,KE290,KE328,KE366,KE404,KE442)</f>
        <v>0</v>
      </c>
      <c r="KF495" s="98">
        <f t="shared" si="3065"/>
        <v>0</v>
      </c>
      <c r="KG495" s="98">
        <f t="shared" si="3065"/>
        <v>0</v>
      </c>
      <c r="KH495" s="98">
        <f t="shared" si="3065"/>
        <v>0</v>
      </c>
      <c r="KI495" s="98">
        <f t="shared" si="3065"/>
        <v>0</v>
      </c>
      <c r="KJ495" s="98">
        <f t="shared" si="3065"/>
        <v>0</v>
      </c>
      <c r="KK495" s="98">
        <f t="shared" si="3065"/>
        <v>0</v>
      </c>
      <c r="KL495" s="98">
        <f t="shared" si="3065"/>
        <v>0</v>
      </c>
      <c r="KM495" s="98">
        <f t="shared" si="3065"/>
        <v>0</v>
      </c>
      <c r="KN495" s="98">
        <f t="shared" si="3065"/>
        <v>0</v>
      </c>
      <c r="KO495" s="98">
        <f t="shared" si="3065"/>
        <v>0</v>
      </c>
      <c r="KP495" s="98">
        <f t="shared" si="3065"/>
        <v>0</v>
      </c>
      <c r="KQ495" s="98">
        <f t="shared" si="3065"/>
        <v>0</v>
      </c>
      <c r="KR495" s="98">
        <f t="shared" si="3065"/>
        <v>0</v>
      </c>
      <c r="KS495" s="198">
        <f t="shared" si="2654"/>
        <v>0</v>
      </c>
      <c r="KT495" s="198">
        <f t="shared" si="2655"/>
        <v>0</v>
      </c>
      <c r="KU495" s="98">
        <f t="shared" ref="KU495:LH495" si="3066">SUM(KU24,KU62,KU100,KU138,KU176,KU214,KU252,KU290,KU328,KU366,KU404,KU442)</f>
        <v>0</v>
      </c>
      <c r="KV495" s="98">
        <f t="shared" si="3066"/>
        <v>0</v>
      </c>
      <c r="KW495" s="98">
        <f t="shared" si="3066"/>
        <v>0</v>
      </c>
      <c r="KX495" s="98">
        <f t="shared" si="3066"/>
        <v>0</v>
      </c>
      <c r="KY495" s="98">
        <f t="shared" si="3066"/>
        <v>0</v>
      </c>
      <c r="KZ495" s="98">
        <f t="shared" si="3066"/>
        <v>0</v>
      </c>
      <c r="LA495" s="98">
        <f t="shared" si="3066"/>
        <v>0</v>
      </c>
      <c r="LB495" s="98">
        <f t="shared" si="3066"/>
        <v>0</v>
      </c>
      <c r="LC495" s="98">
        <f t="shared" si="3066"/>
        <v>0</v>
      </c>
      <c r="LD495" s="98">
        <f t="shared" si="3066"/>
        <v>0</v>
      </c>
      <c r="LE495" s="98">
        <f t="shared" si="3066"/>
        <v>0</v>
      </c>
      <c r="LF495" s="98">
        <f t="shared" si="3066"/>
        <v>0</v>
      </c>
      <c r="LG495" s="98">
        <f t="shared" si="3066"/>
        <v>0</v>
      </c>
      <c r="LH495" s="98">
        <f t="shared" si="3066"/>
        <v>0</v>
      </c>
      <c r="LI495" s="198">
        <f t="shared" si="2657"/>
        <v>0</v>
      </c>
      <c r="LJ495" s="198">
        <f t="shared" si="2658"/>
        <v>0</v>
      </c>
      <c r="LK495" s="98">
        <f t="shared" ref="LK495:LX495" si="3067">SUM(LK24,LK62,LK100,LK138,LK176,LK214,LK252,LK290,LK328,LK366,LK404,LK442)</f>
        <v>0</v>
      </c>
      <c r="LL495" s="98">
        <f t="shared" si="3067"/>
        <v>0</v>
      </c>
      <c r="LM495" s="98">
        <f t="shared" si="3067"/>
        <v>0</v>
      </c>
      <c r="LN495" s="98">
        <f t="shared" si="3067"/>
        <v>0</v>
      </c>
      <c r="LO495" s="98">
        <f t="shared" si="3067"/>
        <v>0</v>
      </c>
      <c r="LP495" s="98">
        <f t="shared" si="3067"/>
        <v>0</v>
      </c>
      <c r="LQ495" s="98">
        <f t="shared" si="3067"/>
        <v>0</v>
      </c>
      <c r="LR495" s="98">
        <f t="shared" si="3067"/>
        <v>0</v>
      </c>
      <c r="LS495" s="98">
        <f t="shared" si="3067"/>
        <v>0</v>
      </c>
      <c r="LT495" s="98">
        <f t="shared" si="3067"/>
        <v>0</v>
      </c>
      <c r="LU495" s="98">
        <f t="shared" si="3067"/>
        <v>0</v>
      </c>
      <c r="LV495" s="98">
        <f t="shared" si="3067"/>
        <v>0</v>
      </c>
      <c r="LW495" s="98">
        <f t="shared" si="3067"/>
        <v>0</v>
      </c>
      <c r="LX495" s="98">
        <f t="shared" si="3067"/>
        <v>0</v>
      </c>
      <c r="LY495" s="198">
        <f t="shared" si="2660"/>
        <v>0</v>
      </c>
      <c r="LZ495" s="198">
        <f t="shared" si="2661"/>
        <v>0</v>
      </c>
      <c r="MA495" s="98">
        <f t="shared" ref="MA495:MN495" si="3068">SUM(MA24,MA62,MA100,MA138,MA176,MA214,MA252,MA290,MA328,MA366,MA404,MA442)</f>
        <v>435150</v>
      </c>
      <c r="MB495" s="98">
        <f t="shared" si="3068"/>
        <v>36987750</v>
      </c>
      <c r="MC495" s="98">
        <f t="shared" si="3068"/>
        <v>0</v>
      </c>
      <c r="MD495" s="98">
        <f t="shared" si="3068"/>
        <v>0</v>
      </c>
      <c r="ME495" s="98">
        <f t="shared" si="3068"/>
        <v>0</v>
      </c>
      <c r="MF495" s="98">
        <f t="shared" si="3068"/>
        <v>0</v>
      </c>
      <c r="MG495" s="98">
        <f t="shared" si="3068"/>
        <v>0</v>
      </c>
      <c r="MH495" s="98">
        <f t="shared" si="3068"/>
        <v>0</v>
      </c>
      <c r="MI495" s="98">
        <f t="shared" si="3068"/>
        <v>0</v>
      </c>
      <c r="MJ495" s="98">
        <f t="shared" si="3068"/>
        <v>0</v>
      </c>
      <c r="MK495" s="98">
        <f t="shared" si="3068"/>
        <v>0</v>
      </c>
      <c r="ML495" s="98">
        <f t="shared" si="3068"/>
        <v>0</v>
      </c>
      <c r="MM495" s="98">
        <f t="shared" si="3068"/>
        <v>0</v>
      </c>
      <c r="MN495" s="98">
        <f t="shared" si="3068"/>
        <v>0</v>
      </c>
      <c r="MO495" s="198">
        <f t="shared" si="2663"/>
        <v>435150</v>
      </c>
      <c r="MP495" s="198">
        <f t="shared" si="2664"/>
        <v>36987750</v>
      </c>
      <c r="MQ495" s="98">
        <f t="shared" ref="MQ495:ND495" si="3069">SUM(MQ24,MQ62,MQ100,MQ138,MQ176,MQ214,MQ252,MQ290,MQ328,MQ366,MQ404,MQ442)</f>
        <v>0</v>
      </c>
      <c r="MR495" s="98">
        <f t="shared" si="3069"/>
        <v>0</v>
      </c>
      <c r="MS495" s="98">
        <f t="shared" si="3069"/>
        <v>0</v>
      </c>
      <c r="MT495" s="98">
        <f t="shared" si="3069"/>
        <v>0</v>
      </c>
      <c r="MU495" s="98">
        <f t="shared" si="3069"/>
        <v>0</v>
      </c>
      <c r="MV495" s="98">
        <f t="shared" si="3069"/>
        <v>0</v>
      </c>
      <c r="MW495" s="98">
        <f t="shared" si="3069"/>
        <v>0</v>
      </c>
      <c r="MX495" s="98">
        <f t="shared" si="3069"/>
        <v>0</v>
      </c>
      <c r="MY495" s="98">
        <f t="shared" si="3069"/>
        <v>0</v>
      </c>
      <c r="MZ495" s="98">
        <f t="shared" si="3069"/>
        <v>0</v>
      </c>
      <c r="NA495" s="98">
        <f t="shared" si="3069"/>
        <v>0</v>
      </c>
      <c r="NB495" s="98">
        <f t="shared" si="3069"/>
        <v>0</v>
      </c>
      <c r="NC495" s="98">
        <f t="shared" si="3069"/>
        <v>0</v>
      </c>
      <c r="ND495" s="98">
        <f t="shared" si="3069"/>
        <v>0</v>
      </c>
      <c r="NE495" s="198">
        <f t="shared" si="2666"/>
        <v>0</v>
      </c>
      <c r="NF495" s="198">
        <f t="shared" si="2667"/>
        <v>0</v>
      </c>
      <c r="NG495" s="98">
        <f t="shared" ref="NG495:NT495" si="3070">SUM(NG24,NG62,NG100,NG138,NG176,NG214,NG252,NG290,NG328,NG366,NG404,NG442)</f>
        <v>0</v>
      </c>
      <c r="NH495" s="98">
        <f t="shared" si="3070"/>
        <v>0</v>
      </c>
      <c r="NI495" s="98">
        <f t="shared" si="3070"/>
        <v>0</v>
      </c>
      <c r="NJ495" s="98">
        <f t="shared" si="3070"/>
        <v>0</v>
      </c>
      <c r="NK495" s="98">
        <f t="shared" si="3070"/>
        <v>0</v>
      </c>
      <c r="NL495" s="98">
        <f t="shared" si="3070"/>
        <v>0</v>
      </c>
      <c r="NM495" s="98">
        <f t="shared" si="3070"/>
        <v>0</v>
      </c>
      <c r="NN495" s="98">
        <f t="shared" si="3070"/>
        <v>0</v>
      </c>
      <c r="NO495" s="98">
        <f t="shared" si="3070"/>
        <v>0</v>
      </c>
      <c r="NP495" s="98">
        <f t="shared" si="3070"/>
        <v>0</v>
      </c>
      <c r="NQ495" s="98">
        <f t="shared" si="3070"/>
        <v>0</v>
      </c>
      <c r="NR495" s="98">
        <f t="shared" si="3070"/>
        <v>0</v>
      </c>
      <c r="NS495" s="98">
        <f t="shared" si="3070"/>
        <v>0</v>
      </c>
      <c r="NT495" s="98">
        <f t="shared" si="3070"/>
        <v>0</v>
      </c>
      <c r="NU495" s="198">
        <f t="shared" si="2669"/>
        <v>0</v>
      </c>
      <c r="NV495" s="198">
        <f t="shared" si="2670"/>
        <v>0</v>
      </c>
      <c r="NW495" s="98">
        <f t="shared" ref="NW495:OJ495" si="3071">SUM(NW24,NW62,NW100,NW138,NW176,NW214,NW252,NW290,NW328,NW366,NW404,NW442)</f>
        <v>5800</v>
      </c>
      <c r="NX495" s="98">
        <f t="shared" si="3071"/>
        <v>598750</v>
      </c>
      <c r="NY495" s="98">
        <f t="shared" si="3071"/>
        <v>0</v>
      </c>
      <c r="NZ495" s="98">
        <f t="shared" si="3071"/>
        <v>0</v>
      </c>
      <c r="OA495" s="98">
        <f t="shared" si="3071"/>
        <v>0</v>
      </c>
      <c r="OB495" s="98">
        <f t="shared" si="3071"/>
        <v>0</v>
      </c>
      <c r="OC495" s="98">
        <f t="shared" si="3071"/>
        <v>0</v>
      </c>
      <c r="OD495" s="98">
        <f t="shared" si="3071"/>
        <v>0</v>
      </c>
      <c r="OE495" s="98">
        <f t="shared" si="3071"/>
        <v>0</v>
      </c>
      <c r="OF495" s="98">
        <f t="shared" si="3071"/>
        <v>0</v>
      </c>
      <c r="OG495" s="98">
        <f t="shared" si="3071"/>
        <v>0</v>
      </c>
      <c r="OH495" s="98">
        <f t="shared" si="3071"/>
        <v>0</v>
      </c>
      <c r="OI495" s="98">
        <f t="shared" si="3071"/>
        <v>0</v>
      </c>
      <c r="OJ495" s="98">
        <f t="shared" si="3071"/>
        <v>0</v>
      </c>
      <c r="OK495" s="198">
        <f t="shared" si="2672"/>
        <v>5800</v>
      </c>
      <c r="OL495" s="198">
        <f t="shared" si="2673"/>
        <v>598750</v>
      </c>
      <c r="OM495" s="98">
        <f t="shared" ref="OM495:OZ495" si="3072">SUM(OM24,OM62,OM100,OM138,OM176,OM214,OM252,OM290,OM328,OM366,OM404,OM442)</f>
        <v>0</v>
      </c>
      <c r="ON495" s="98">
        <f t="shared" si="3072"/>
        <v>0</v>
      </c>
      <c r="OO495" s="98">
        <f t="shared" si="3072"/>
        <v>0</v>
      </c>
      <c r="OP495" s="98">
        <f t="shared" si="3072"/>
        <v>0</v>
      </c>
      <c r="OQ495" s="98">
        <f t="shared" si="3072"/>
        <v>0</v>
      </c>
      <c r="OR495" s="98">
        <f t="shared" si="3072"/>
        <v>0</v>
      </c>
      <c r="OS495" s="98">
        <f t="shared" si="3072"/>
        <v>0</v>
      </c>
      <c r="OT495" s="98">
        <f t="shared" si="3072"/>
        <v>0</v>
      </c>
      <c r="OU495" s="98">
        <f t="shared" si="3072"/>
        <v>0</v>
      </c>
      <c r="OV495" s="98">
        <f t="shared" si="3072"/>
        <v>0</v>
      </c>
      <c r="OW495" s="98">
        <f t="shared" si="3072"/>
        <v>0</v>
      </c>
      <c r="OX495" s="98">
        <f t="shared" si="3072"/>
        <v>0</v>
      </c>
      <c r="OY495" s="98">
        <f t="shared" si="3072"/>
        <v>0</v>
      </c>
      <c r="OZ495" s="98">
        <f t="shared" si="3072"/>
        <v>0</v>
      </c>
      <c r="PA495" s="198">
        <f t="shared" si="2675"/>
        <v>0</v>
      </c>
      <c r="PB495" s="198">
        <f t="shared" si="2676"/>
        <v>0</v>
      </c>
      <c r="PC495" s="98">
        <f t="shared" ref="PC495:PP495" si="3073">SUM(PC24,PC62,PC100,PC138,PC176,PC214,PC252,PC290,PC328,PC366,PC404,PC442)</f>
        <v>1546</v>
      </c>
      <c r="PD495" s="98">
        <f t="shared" si="3073"/>
        <v>90731.5</v>
      </c>
      <c r="PE495" s="98">
        <f t="shared" si="3073"/>
        <v>0</v>
      </c>
      <c r="PF495" s="98">
        <f t="shared" si="3073"/>
        <v>0</v>
      </c>
      <c r="PG495" s="98">
        <f t="shared" si="3073"/>
        <v>0</v>
      </c>
      <c r="PH495" s="98">
        <f t="shared" si="3073"/>
        <v>0</v>
      </c>
      <c r="PI495" s="98">
        <f t="shared" si="3073"/>
        <v>0</v>
      </c>
      <c r="PJ495" s="98">
        <f t="shared" si="3073"/>
        <v>0</v>
      </c>
      <c r="PK495" s="98">
        <f t="shared" si="3073"/>
        <v>0</v>
      </c>
      <c r="PL495" s="98">
        <f t="shared" si="3073"/>
        <v>0</v>
      </c>
      <c r="PM495" s="98">
        <f t="shared" si="3073"/>
        <v>0</v>
      </c>
      <c r="PN495" s="98">
        <f t="shared" si="3073"/>
        <v>0</v>
      </c>
      <c r="PO495" s="98">
        <f t="shared" si="3073"/>
        <v>0</v>
      </c>
      <c r="PP495" s="98">
        <f t="shared" si="3073"/>
        <v>0</v>
      </c>
      <c r="PQ495" s="198">
        <f t="shared" si="2678"/>
        <v>1546</v>
      </c>
      <c r="PR495" s="198">
        <f t="shared" si="2679"/>
        <v>90731.5</v>
      </c>
      <c r="PS495" s="98">
        <f t="shared" ref="PS495:QF495" si="3074">SUM(PS24,PS62,PS100,PS138,PS176,PS214,PS252,PS290,PS328,PS366,PS404,PS442)</f>
        <v>2600</v>
      </c>
      <c r="PT495" s="98">
        <f t="shared" si="3074"/>
        <v>276950</v>
      </c>
      <c r="PU495" s="98">
        <f t="shared" si="3074"/>
        <v>203130</v>
      </c>
      <c r="PV495" s="98">
        <f t="shared" si="3074"/>
        <v>19120930</v>
      </c>
      <c r="PW495" s="98">
        <f t="shared" si="3074"/>
        <v>0</v>
      </c>
      <c r="PX495" s="98">
        <f t="shared" si="3074"/>
        <v>0</v>
      </c>
      <c r="PY495" s="98">
        <f t="shared" si="3074"/>
        <v>0</v>
      </c>
      <c r="PZ495" s="98">
        <f t="shared" si="3074"/>
        <v>0</v>
      </c>
      <c r="QA495" s="98">
        <f t="shared" si="3074"/>
        <v>0</v>
      </c>
      <c r="QB495" s="98">
        <f t="shared" si="3074"/>
        <v>0</v>
      </c>
      <c r="QC495" s="98">
        <f t="shared" si="3074"/>
        <v>0</v>
      </c>
      <c r="QD495" s="98">
        <f t="shared" si="3074"/>
        <v>0</v>
      </c>
      <c r="QE495" s="98">
        <f t="shared" si="3074"/>
        <v>0</v>
      </c>
      <c r="QF495" s="98">
        <f t="shared" si="3074"/>
        <v>0</v>
      </c>
      <c r="QG495" s="198">
        <f t="shared" si="2681"/>
        <v>205730</v>
      </c>
      <c r="QH495" s="198">
        <f t="shared" si="2682"/>
        <v>19397880</v>
      </c>
      <c r="QI495" s="98">
        <f t="shared" ref="QI495:QV495" si="3075">SUM(QI24,QI62,QI100,QI138,QI176,QI214,QI252,QI290,QI328,QI366,QI404,QI442)</f>
        <v>0</v>
      </c>
      <c r="QJ495" s="98">
        <f t="shared" si="3075"/>
        <v>0</v>
      </c>
      <c r="QK495" s="98">
        <f t="shared" si="3075"/>
        <v>0</v>
      </c>
      <c r="QL495" s="98">
        <f t="shared" si="3075"/>
        <v>0</v>
      </c>
      <c r="QM495" s="98">
        <f t="shared" si="3075"/>
        <v>0</v>
      </c>
      <c r="QN495" s="98">
        <f t="shared" si="3075"/>
        <v>0</v>
      </c>
      <c r="QO495" s="98">
        <f t="shared" si="3075"/>
        <v>0</v>
      </c>
      <c r="QP495" s="98">
        <f t="shared" si="3075"/>
        <v>0</v>
      </c>
      <c r="QQ495" s="98">
        <f t="shared" si="3075"/>
        <v>0</v>
      </c>
      <c r="QR495" s="98">
        <f t="shared" si="3075"/>
        <v>0</v>
      </c>
      <c r="QS495" s="98">
        <f t="shared" si="3075"/>
        <v>0</v>
      </c>
      <c r="QT495" s="98">
        <f t="shared" si="3075"/>
        <v>0</v>
      </c>
      <c r="QU495" s="98">
        <f t="shared" si="3075"/>
        <v>0</v>
      </c>
      <c r="QV495" s="98">
        <f t="shared" si="3075"/>
        <v>0</v>
      </c>
      <c r="QW495" s="198">
        <f t="shared" si="2684"/>
        <v>0</v>
      </c>
      <c r="QX495" s="198">
        <f t="shared" si="2685"/>
        <v>0</v>
      </c>
      <c r="QY495" s="98">
        <f t="shared" ref="QY495:RL495" si="3076">SUM(QY24,QY62,QY100,QY138,QY176,QY214,QY252,QY290,QY328,QY366,QY404,QY442)</f>
        <v>0</v>
      </c>
      <c r="QZ495" s="98">
        <f t="shared" si="3076"/>
        <v>0</v>
      </c>
      <c r="RA495" s="98">
        <f t="shared" si="3076"/>
        <v>0</v>
      </c>
      <c r="RB495" s="98">
        <f t="shared" si="3076"/>
        <v>0</v>
      </c>
      <c r="RC495" s="98">
        <f t="shared" si="3076"/>
        <v>0</v>
      </c>
      <c r="RD495" s="98">
        <f t="shared" si="3076"/>
        <v>0</v>
      </c>
      <c r="RE495" s="98">
        <f t="shared" si="3076"/>
        <v>0</v>
      </c>
      <c r="RF495" s="98">
        <f t="shared" si="3076"/>
        <v>0</v>
      </c>
      <c r="RG495" s="98">
        <f t="shared" si="3076"/>
        <v>0</v>
      </c>
      <c r="RH495" s="98">
        <f t="shared" si="3076"/>
        <v>0</v>
      </c>
      <c r="RI495" s="98">
        <f t="shared" si="3076"/>
        <v>0</v>
      </c>
      <c r="RJ495" s="98">
        <f t="shared" si="3076"/>
        <v>0</v>
      </c>
      <c r="RK495" s="98">
        <f t="shared" si="3076"/>
        <v>0</v>
      </c>
      <c r="RL495" s="98">
        <f t="shared" si="3076"/>
        <v>0</v>
      </c>
      <c r="RM495" s="198">
        <f t="shared" si="2687"/>
        <v>0</v>
      </c>
      <c r="RN495" s="198">
        <f t="shared" si="2688"/>
        <v>0</v>
      </c>
      <c r="RO495" s="98">
        <f t="shared" ref="RO495:SB495" si="3077">SUM(RO24,RO62,RO100,RO138,RO176,RO214,RO252,RO290,RO328,RO366,RO404,RO442)</f>
        <v>0</v>
      </c>
      <c r="RP495" s="98">
        <f t="shared" si="3077"/>
        <v>0</v>
      </c>
      <c r="RQ495" s="98">
        <f t="shared" si="3077"/>
        <v>0</v>
      </c>
      <c r="RR495" s="98">
        <f t="shared" si="3077"/>
        <v>0</v>
      </c>
      <c r="RS495" s="98">
        <f t="shared" si="3077"/>
        <v>0</v>
      </c>
      <c r="RT495" s="98">
        <f t="shared" si="3077"/>
        <v>0</v>
      </c>
      <c r="RU495" s="98">
        <f t="shared" si="3077"/>
        <v>0</v>
      </c>
      <c r="RV495" s="98">
        <f t="shared" si="3077"/>
        <v>0</v>
      </c>
      <c r="RW495" s="98">
        <f t="shared" si="3077"/>
        <v>0</v>
      </c>
      <c r="RX495" s="98">
        <f t="shared" si="3077"/>
        <v>0</v>
      </c>
      <c r="RY495" s="98">
        <f t="shared" si="3077"/>
        <v>0</v>
      </c>
      <c r="RZ495" s="98">
        <f t="shared" si="3077"/>
        <v>0</v>
      </c>
      <c r="SA495" s="98">
        <f t="shared" si="3077"/>
        <v>0</v>
      </c>
      <c r="SB495" s="98">
        <f t="shared" si="3077"/>
        <v>0</v>
      </c>
      <c r="SC495" s="198">
        <f t="shared" si="2690"/>
        <v>0</v>
      </c>
      <c r="SD495" s="198">
        <f t="shared" si="2691"/>
        <v>0</v>
      </c>
      <c r="SE495" s="98">
        <f t="shared" ref="SE495:SR495" si="3078">SUM(SE24,SE62,SE100,SE138,SE176,SE214,SE252,SE290,SE328,SE366,SE404,SE442)</f>
        <v>0</v>
      </c>
      <c r="SF495" s="98">
        <f t="shared" si="3078"/>
        <v>0</v>
      </c>
      <c r="SG495" s="98">
        <f t="shared" si="3078"/>
        <v>0</v>
      </c>
      <c r="SH495" s="98">
        <f t="shared" si="3078"/>
        <v>0</v>
      </c>
      <c r="SI495" s="98">
        <f t="shared" si="3078"/>
        <v>0</v>
      </c>
      <c r="SJ495" s="98">
        <f t="shared" si="3078"/>
        <v>0</v>
      </c>
      <c r="SK495" s="98">
        <f t="shared" si="3078"/>
        <v>0</v>
      </c>
      <c r="SL495" s="98">
        <f t="shared" si="3078"/>
        <v>0</v>
      </c>
      <c r="SM495" s="98">
        <f t="shared" si="3078"/>
        <v>0</v>
      </c>
      <c r="SN495" s="98">
        <f t="shared" si="3078"/>
        <v>0</v>
      </c>
      <c r="SO495" s="98">
        <f t="shared" si="3078"/>
        <v>0</v>
      </c>
      <c r="SP495" s="98">
        <f t="shared" si="3078"/>
        <v>0</v>
      </c>
      <c r="SQ495" s="98">
        <f t="shared" si="3078"/>
        <v>0</v>
      </c>
      <c r="SR495" s="98">
        <f t="shared" si="3078"/>
        <v>0</v>
      </c>
      <c r="SS495" s="198">
        <f t="shared" si="2693"/>
        <v>0</v>
      </c>
      <c r="ST495" s="198">
        <f t="shared" si="2694"/>
        <v>0</v>
      </c>
      <c r="SU495" s="98">
        <f t="shared" ref="SU495:TH495" si="3079">SUM(SU24,SU62,SU100,SU138,SU176,SU214,SU252,SU290,SU328,SU366,SU404,SU442)</f>
        <v>0</v>
      </c>
      <c r="SV495" s="98">
        <f t="shared" si="3079"/>
        <v>0</v>
      </c>
      <c r="SW495" s="98">
        <f t="shared" si="3079"/>
        <v>0</v>
      </c>
      <c r="SX495" s="98">
        <f t="shared" si="3079"/>
        <v>0</v>
      </c>
      <c r="SY495" s="98">
        <f t="shared" si="3079"/>
        <v>0</v>
      </c>
      <c r="SZ495" s="98">
        <f t="shared" si="3079"/>
        <v>0</v>
      </c>
      <c r="TA495" s="98">
        <f t="shared" si="3079"/>
        <v>0</v>
      </c>
      <c r="TB495" s="98">
        <f t="shared" si="3079"/>
        <v>0</v>
      </c>
      <c r="TC495" s="98">
        <f t="shared" si="3079"/>
        <v>0</v>
      </c>
      <c r="TD495" s="98">
        <f t="shared" si="3079"/>
        <v>0</v>
      </c>
      <c r="TE495" s="98">
        <f t="shared" si="3079"/>
        <v>0</v>
      </c>
      <c r="TF495" s="98">
        <f t="shared" si="3079"/>
        <v>0</v>
      </c>
      <c r="TG495" s="98">
        <f t="shared" si="3079"/>
        <v>0</v>
      </c>
      <c r="TH495" s="98">
        <f t="shared" si="3079"/>
        <v>0</v>
      </c>
      <c r="TI495" s="198">
        <f t="shared" si="2696"/>
        <v>0</v>
      </c>
      <c r="TJ495" s="198">
        <f t="shared" si="2697"/>
        <v>0</v>
      </c>
      <c r="TK495" s="98">
        <f t="shared" ref="TK495:TX495" si="3080">SUM(TK24,TK62,TK100,TK138,TK176,TK214,TK252,TK290,TK328,TK366,TK404,TK442)</f>
        <v>0</v>
      </c>
      <c r="TL495" s="98">
        <f t="shared" si="3080"/>
        <v>0</v>
      </c>
      <c r="TM495" s="98">
        <f t="shared" si="3080"/>
        <v>0</v>
      </c>
      <c r="TN495" s="98">
        <f t="shared" si="3080"/>
        <v>0</v>
      </c>
      <c r="TO495" s="98">
        <f t="shared" si="3080"/>
        <v>0</v>
      </c>
      <c r="TP495" s="98">
        <f t="shared" si="3080"/>
        <v>0</v>
      </c>
      <c r="TQ495" s="98">
        <f t="shared" si="3080"/>
        <v>0</v>
      </c>
      <c r="TR495" s="98">
        <f t="shared" si="3080"/>
        <v>0</v>
      </c>
      <c r="TS495" s="98">
        <f t="shared" si="3080"/>
        <v>0</v>
      </c>
      <c r="TT495" s="98">
        <f t="shared" si="3080"/>
        <v>0</v>
      </c>
      <c r="TU495" s="98">
        <f t="shared" si="3080"/>
        <v>0</v>
      </c>
      <c r="TV495" s="98">
        <f t="shared" si="3080"/>
        <v>0</v>
      </c>
      <c r="TW495" s="98">
        <f t="shared" si="3080"/>
        <v>0</v>
      </c>
      <c r="TX495" s="98">
        <f t="shared" si="3080"/>
        <v>0</v>
      </c>
      <c r="TY495" s="198">
        <f t="shared" si="2699"/>
        <v>0</v>
      </c>
      <c r="TZ495" s="198">
        <f t="shared" si="2700"/>
        <v>0</v>
      </c>
      <c r="UA495" s="98">
        <f t="shared" ref="UA495:UN495" si="3081">SUM(UA24,UA62,UA100,UA138,UA176,UA214,UA252,UA290,UA328,UA366,UA404,UA442)</f>
        <v>0</v>
      </c>
      <c r="UB495" s="98">
        <f t="shared" si="3081"/>
        <v>0</v>
      </c>
      <c r="UC495" s="98">
        <f t="shared" si="3081"/>
        <v>0</v>
      </c>
      <c r="UD495" s="98">
        <f t="shared" si="3081"/>
        <v>0</v>
      </c>
      <c r="UE495" s="98">
        <f t="shared" si="3081"/>
        <v>0</v>
      </c>
      <c r="UF495" s="98">
        <f t="shared" si="3081"/>
        <v>0</v>
      </c>
      <c r="UG495" s="98">
        <f t="shared" si="3081"/>
        <v>0</v>
      </c>
      <c r="UH495" s="98">
        <f t="shared" si="3081"/>
        <v>0</v>
      </c>
      <c r="UI495" s="98">
        <f t="shared" si="3081"/>
        <v>0</v>
      </c>
      <c r="UJ495" s="98">
        <f t="shared" si="3081"/>
        <v>0</v>
      </c>
      <c r="UK495" s="98">
        <f t="shared" si="3081"/>
        <v>0</v>
      </c>
      <c r="UL495" s="98">
        <f t="shared" si="3081"/>
        <v>0</v>
      </c>
      <c r="UM495" s="98">
        <f t="shared" si="3081"/>
        <v>0</v>
      </c>
      <c r="UN495" s="98">
        <f t="shared" si="3081"/>
        <v>0</v>
      </c>
      <c r="UO495" s="198">
        <f t="shared" si="2702"/>
        <v>0</v>
      </c>
      <c r="UP495" s="198">
        <f t="shared" si="2703"/>
        <v>0</v>
      </c>
      <c r="UQ495" s="98">
        <f t="shared" ref="UQ495:VD495" si="3082">SUM(UQ24,UQ62,UQ100,UQ138,UQ176,UQ214,UQ252,UQ290,UQ328,UQ366,UQ404,UQ442)</f>
        <v>0</v>
      </c>
      <c r="UR495" s="98">
        <f t="shared" si="3082"/>
        <v>0</v>
      </c>
      <c r="US495" s="98">
        <f t="shared" si="3082"/>
        <v>0</v>
      </c>
      <c r="UT495" s="98">
        <f t="shared" si="3082"/>
        <v>0</v>
      </c>
      <c r="UU495" s="98">
        <f t="shared" si="3082"/>
        <v>0</v>
      </c>
      <c r="UV495" s="98">
        <f t="shared" si="3082"/>
        <v>0</v>
      </c>
      <c r="UW495" s="98">
        <f t="shared" si="3082"/>
        <v>0</v>
      </c>
      <c r="UX495" s="98">
        <f t="shared" si="3082"/>
        <v>0</v>
      </c>
      <c r="UY495" s="98">
        <f t="shared" si="3082"/>
        <v>0</v>
      </c>
      <c r="UZ495" s="98">
        <f t="shared" si="3082"/>
        <v>0</v>
      </c>
      <c r="VA495" s="98">
        <f t="shared" si="3082"/>
        <v>0</v>
      </c>
      <c r="VB495" s="98">
        <f t="shared" si="3082"/>
        <v>0</v>
      </c>
      <c r="VC495" s="98">
        <f t="shared" si="3082"/>
        <v>0</v>
      </c>
      <c r="VD495" s="98">
        <f t="shared" si="3082"/>
        <v>0</v>
      </c>
      <c r="VE495" s="198">
        <f t="shared" si="2705"/>
        <v>0</v>
      </c>
      <c r="VF495" s="198">
        <f t="shared" si="2706"/>
        <v>0</v>
      </c>
      <c r="VG495" s="98">
        <f t="shared" ref="VG495:VT495" si="3083">SUM(VG24,VG62,VG100,VG138,VG176,VG214,VG252,VG290,VG328,VG366,VG404,VG442)</f>
        <v>0</v>
      </c>
      <c r="VH495" s="98">
        <f t="shared" si="3083"/>
        <v>0</v>
      </c>
      <c r="VI495" s="98">
        <f t="shared" si="3083"/>
        <v>0</v>
      </c>
      <c r="VJ495" s="98">
        <f t="shared" si="3083"/>
        <v>0</v>
      </c>
      <c r="VK495" s="98">
        <f t="shared" si="3083"/>
        <v>0</v>
      </c>
      <c r="VL495" s="98">
        <f t="shared" si="3083"/>
        <v>0</v>
      </c>
      <c r="VM495" s="98">
        <f t="shared" si="3083"/>
        <v>0</v>
      </c>
      <c r="VN495" s="98">
        <f t="shared" si="3083"/>
        <v>0</v>
      </c>
      <c r="VO495" s="98">
        <f t="shared" si="3083"/>
        <v>0</v>
      </c>
      <c r="VP495" s="98">
        <f t="shared" si="3083"/>
        <v>0</v>
      </c>
      <c r="VQ495" s="98">
        <f t="shared" si="3083"/>
        <v>0</v>
      </c>
      <c r="VR495" s="98">
        <f t="shared" si="3083"/>
        <v>0</v>
      </c>
      <c r="VS495" s="98">
        <f t="shared" si="3083"/>
        <v>0</v>
      </c>
      <c r="VT495" s="98">
        <f t="shared" si="3083"/>
        <v>0</v>
      </c>
      <c r="VU495" s="198">
        <f t="shared" si="2708"/>
        <v>0</v>
      </c>
      <c r="VV495" s="198">
        <f t="shared" si="2709"/>
        <v>0</v>
      </c>
      <c r="VW495" s="98">
        <f t="shared" ref="VW495:WJ495" si="3084">SUM(VW24,VW62,VW100,VW138,VW176,VW214,VW252,VW290,VW328,VW366,VW404,VW442)</f>
        <v>0</v>
      </c>
      <c r="VX495" s="98">
        <f t="shared" si="3084"/>
        <v>0</v>
      </c>
      <c r="VY495" s="98">
        <f t="shared" si="3084"/>
        <v>0</v>
      </c>
      <c r="VZ495" s="98">
        <f t="shared" si="3084"/>
        <v>0</v>
      </c>
      <c r="WA495" s="98">
        <f t="shared" si="3084"/>
        <v>0</v>
      </c>
      <c r="WB495" s="98">
        <f t="shared" si="3084"/>
        <v>0</v>
      </c>
      <c r="WC495" s="98">
        <f t="shared" si="3084"/>
        <v>0</v>
      </c>
      <c r="WD495" s="98">
        <f t="shared" si="3084"/>
        <v>0</v>
      </c>
      <c r="WE495" s="98">
        <f t="shared" si="3084"/>
        <v>0</v>
      </c>
      <c r="WF495" s="98">
        <f t="shared" si="3084"/>
        <v>0</v>
      </c>
      <c r="WG495" s="98">
        <f t="shared" si="3084"/>
        <v>0</v>
      </c>
      <c r="WH495" s="98">
        <f t="shared" si="3084"/>
        <v>0</v>
      </c>
      <c r="WI495" s="98">
        <f t="shared" si="3084"/>
        <v>0</v>
      </c>
      <c r="WJ495" s="98">
        <f t="shared" si="3084"/>
        <v>0</v>
      </c>
      <c r="WK495" s="198">
        <f t="shared" si="2711"/>
        <v>0</v>
      </c>
      <c r="WL495" s="198">
        <f t="shared" si="2712"/>
        <v>0</v>
      </c>
      <c r="WN495" s="98">
        <f t="shared" si="2713"/>
        <v>465281</v>
      </c>
      <c r="WO495" s="98">
        <f t="shared" si="2714"/>
        <v>39731106.5</v>
      </c>
      <c r="WP495" s="98">
        <f t="shared" si="2715"/>
        <v>1168925.1465787925</v>
      </c>
      <c r="WQ495" s="98">
        <f t="shared" si="2716"/>
        <v>107303768.24082008</v>
      </c>
      <c r="WR495" s="98">
        <f t="shared" si="2717"/>
        <v>0</v>
      </c>
      <c r="WS495" s="98">
        <f t="shared" si="2718"/>
        <v>0</v>
      </c>
      <c r="WT495" s="98">
        <f t="shared" si="2719"/>
        <v>0</v>
      </c>
      <c r="WU495" s="98">
        <f t="shared" si="2720"/>
        <v>0</v>
      </c>
      <c r="WV495" s="98">
        <f t="shared" si="2721"/>
        <v>0</v>
      </c>
      <c r="WW495" s="98">
        <f t="shared" si="2722"/>
        <v>0</v>
      </c>
      <c r="WX495" s="98">
        <f t="shared" si="2723"/>
        <v>0</v>
      </c>
      <c r="WY495" s="98">
        <f t="shared" si="2724"/>
        <v>0</v>
      </c>
      <c r="WZ495" s="98">
        <f t="shared" si="2725"/>
        <v>0</v>
      </c>
      <c r="XA495" s="98">
        <f t="shared" si="2726"/>
        <v>0</v>
      </c>
      <c r="XB495" s="107">
        <f t="shared" si="2727"/>
        <v>1634206.1465787925</v>
      </c>
      <c r="XC495" s="107">
        <f t="shared" si="2728"/>
        <v>147034874.74082008</v>
      </c>
      <c r="XK495" s="98">
        <f t="shared" si="2729"/>
        <v>0</v>
      </c>
      <c r="XL495" s="98">
        <f t="shared" si="2730"/>
        <v>0</v>
      </c>
      <c r="XM495" s="98">
        <f t="shared" si="2731"/>
        <v>0</v>
      </c>
      <c r="XN495" s="98">
        <f t="shared" si="2732"/>
        <v>0</v>
      </c>
      <c r="XO495" s="98">
        <f t="shared" si="2733"/>
        <v>148669080.88739887</v>
      </c>
      <c r="XP495" s="98">
        <f t="shared" si="2734"/>
        <v>38419462.5</v>
      </c>
      <c r="XQ495" s="98">
        <f t="shared" si="2735"/>
        <v>104571168.38739887</v>
      </c>
      <c r="XR495" s="107">
        <f t="shared" ca="1" si="2597"/>
        <v>294097155.92137653</v>
      </c>
      <c r="XT495" s="98">
        <f t="shared" si="2736"/>
        <v>147479970.74082008</v>
      </c>
      <c r="XU495" s="98">
        <f t="shared" si="2737"/>
        <v>40856906.646578789</v>
      </c>
      <c r="XV495" s="98">
        <f t="shared" si="2738"/>
        <v>107303768.24082008</v>
      </c>
      <c r="XW495" s="98">
        <f t="shared" si="2739"/>
        <v>0</v>
      </c>
      <c r="XX495" s="98">
        <f t="shared" si="2740"/>
        <v>0</v>
      </c>
      <c r="XY495" s="98">
        <f t="shared" si="2741"/>
        <v>0</v>
      </c>
      <c r="XZ495" s="98">
        <f t="shared" si="2742"/>
        <v>148669080.88739887</v>
      </c>
      <c r="YA495" s="107">
        <f t="shared" ca="1" si="2598"/>
        <v>403452819.86903906</v>
      </c>
    </row>
    <row r="496" spans="1:1017">
      <c r="B496" s="90" t="str">
        <f t="shared" si="2558"/>
        <v>Kerapu Macan</v>
      </c>
      <c r="C496" s="98">
        <f t="shared" ref="C496:P496" si="3085">SUM(C25,C63,C101,C139,C177,C215,C253,C291,C329,C367,C405,C443)</f>
        <v>0</v>
      </c>
      <c r="D496" s="98">
        <f t="shared" si="3085"/>
        <v>0</v>
      </c>
      <c r="E496" s="98">
        <f t="shared" si="3085"/>
        <v>0</v>
      </c>
      <c r="F496" s="98">
        <f t="shared" si="3085"/>
        <v>0</v>
      </c>
      <c r="G496" s="98">
        <f t="shared" si="3085"/>
        <v>0</v>
      </c>
      <c r="H496" s="98">
        <f t="shared" si="3085"/>
        <v>0</v>
      </c>
      <c r="I496" s="98">
        <f t="shared" si="3085"/>
        <v>0</v>
      </c>
      <c r="J496" s="98">
        <f t="shared" si="3085"/>
        <v>0</v>
      </c>
      <c r="K496" s="98">
        <f t="shared" si="3085"/>
        <v>0</v>
      </c>
      <c r="L496" s="98">
        <f t="shared" si="3085"/>
        <v>0</v>
      </c>
      <c r="M496" s="98">
        <f t="shared" si="3085"/>
        <v>0</v>
      </c>
      <c r="N496" s="98">
        <f t="shared" si="3085"/>
        <v>0</v>
      </c>
      <c r="O496" s="98">
        <f t="shared" si="3085"/>
        <v>0</v>
      </c>
      <c r="P496" s="98">
        <f t="shared" si="3085"/>
        <v>0</v>
      </c>
      <c r="Q496" s="198">
        <f t="shared" si="2600"/>
        <v>0</v>
      </c>
      <c r="R496" s="198">
        <f t="shared" si="2601"/>
        <v>0</v>
      </c>
      <c r="S496" s="98">
        <f t="shared" ref="S496:AF496" si="3086">SUM(S25,S63,S101,S139,S177,S215,S253,S291,S329,S367,S405,S443)</f>
        <v>0</v>
      </c>
      <c r="T496" s="98">
        <f t="shared" si="3086"/>
        <v>0</v>
      </c>
      <c r="U496" s="98">
        <f t="shared" si="3086"/>
        <v>0</v>
      </c>
      <c r="V496" s="98">
        <f t="shared" si="3086"/>
        <v>0</v>
      </c>
      <c r="W496" s="98">
        <f t="shared" si="3086"/>
        <v>0</v>
      </c>
      <c r="X496" s="98">
        <f t="shared" si="3086"/>
        <v>0</v>
      </c>
      <c r="Y496" s="98">
        <f t="shared" si="3086"/>
        <v>0</v>
      </c>
      <c r="Z496" s="98">
        <f t="shared" si="3086"/>
        <v>0</v>
      </c>
      <c r="AA496" s="98">
        <f t="shared" si="3086"/>
        <v>0</v>
      </c>
      <c r="AB496" s="98">
        <f t="shared" si="3086"/>
        <v>0</v>
      </c>
      <c r="AC496" s="98">
        <f t="shared" si="3086"/>
        <v>0</v>
      </c>
      <c r="AD496" s="98">
        <f t="shared" si="3086"/>
        <v>0</v>
      </c>
      <c r="AE496" s="98">
        <f t="shared" si="3086"/>
        <v>0</v>
      </c>
      <c r="AF496" s="98">
        <f t="shared" si="3086"/>
        <v>0</v>
      </c>
      <c r="AG496" s="198">
        <f t="shared" si="2603"/>
        <v>0</v>
      </c>
      <c r="AH496" s="198">
        <f t="shared" si="2604"/>
        <v>0</v>
      </c>
      <c r="AI496" s="98">
        <f t="shared" ref="AI496:AV496" si="3087">SUM(AI25,AI63,AI101,AI139,AI177,AI215,AI253,AI291,AI329,AI367,AI405,AI443)</f>
        <v>0</v>
      </c>
      <c r="AJ496" s="98">
        <f t="shared" si="3087"/>
        <v>0</v>
      </c>
      <c r="AK496" s="98">
        <f t="shared" si="3087"/>
        <v>0</v>
      </c>
      <c r="AL496" s="98">
        <f t="shared" si="3087"/>
        <v>0</v>
      </c>
      <c r="AM496" s="98">
        <f t="shared" si="3087"/>
        <v>0</v>
      </c>
      <c r="AN496" s="98">
        <f t="shared" si="3087"/>
        <v>0</v>
      </c>
      <c r="AO496" s="98">
        <f t="shared" si="3087"/>
        <v>0</v>
      </c>
      <c r="AP496" s="98">
        <f t="shared" si="3087"/>
        <v>0</v>
      </c>
      <c r="AQ496" s="98">
        <f t="shared" si="3087"/>
        <v>0</v>
      </c>
      <c r="AR496" s="98">
        <f t="shared" si="3087"/>
        <v>0</v>
      </c>
      <c r="AS496" s="98">
        <f t="shared" si="3087"/>
        <v>0</v>
      </c>
      <c r="AT496" s="98">
        <f t="shared" si="3087"/>
        <v>0</v>
      </c>
      <c r="AU496" s="98">
        <f t="shared" si="3087"/>
        <v>0</v>
      </c>
      <c r="AV496" s="98">
        <f t="shared" si="3087"/>
        <v>0</v>
      </c>
      <c r="AW496" s="198">
        <f t="shared" si="2606"/>
        <v>0</v>
      </c>
      <c r="AX496" s="198">
        <f t="shared" si="2607"/>
        <v>0</v>
      </c>
      <c r="AY496" s="98">
        <f t="shared" ref="AY496:BL496" si="3088">SUM(AY25,AY63,AY101,AY139,AY177,AY215,AY253,AY291,AY329,AY367,AY405,AY443)</f>
        <v>0</v>
      </c>
      <c r="AZ496" s="98">
        <f t="shared" si="3088"/>
        <v>0</v>
      </c>
      <c r="BA496" s="98">
        <f t="shared" si="3088"/>
        <v>0</v>
      </c>
      <c r="BB496" s="98">
        <f t="shared" si="3088"/>
        <v>0</v>
      </c>
      <c r="BC496" s="98">
        <f t="shared" si="3088"/>
        <v>0</v>
      </c>
      <c r="BD496" s="98">
        <f t="shared" si="3088"/>
        <v>0</v>
      </c>
      <c r="BE496" s="98">
        <f t="shared" si="3088"/>
        <v>0</v>
      </c>
      <c r="BF496" s="98">
        <f t="shared" si="3088"/>
        <v>0</v>
      </c>
      <c r="BG496" s="98">
        <f t="shared" si="3088"/>
        <v>0</v>
      </c>
      <c r="BH496" s="98">
        <f t="shared" si="3088"/>
        <v>0</v>
      </c>
      <c r="BI496" s="98">
        <f t="shared" si="3088"/>
        <v>0</v>
      </c>
      <c r="BJ496" s="98">
        <f t="shared" si="3088"/>
        <v>0</v>
      </c>
      <c r="BK496" s="98">
        <f t="shared" si="3088"/>
        <v>0</v>
      </c>
      <c r="BL496" s="98">
        <f t="shared" si="3088"/>
        <v>0</v>
      </c>
      <c r="BM496" s="198">
        <f t="shared" si="2609"/>
        <v>0</v>
      </c>
      <c r="BN496" s="198">
        <f t="shared" si="2610"/>
        <v>0</v>
      </c>
      <c r="BO496" s="98">
        <f t="shared" ref="BO496:CB496" si="3089">SUM(BO25,BO63,BO101,BO139,BO177,BO215,BO253,BO291,BO329,BO367,BO405,BO443)</f>
        <v>0</v>
      </c>
      <c r="BP496" s="98">
        <f t="shared" si="3089"/>
        <v>0</v>
      </c>
      <c r="BQ496" s="98">
        <f t="shared" si="3089"/>
        <v>0</v>
      </c>
      <c r="BR496" s="98">
        <f t="shared" si="3089"/>
        <v>0</v>
      </c>
      <c r="BS496" s="98">
        <f t="shared" si="3089"/>
        <v>0</v>
      </c>
      <c r="BT496" s="98">
        <f t="shared" si="3089"/>
        <v>0</v>
      </c>
      <c r="BU496" s="98">
        <f t="shared" si="3089"/>
        <v>0</v>
      </c>
      <c r="BV496" s="98">
        <f t="shared" si="3089"/>
        <v>0</v>
      </c>
      <c r="BW496" s="98">
        <f t="shared" si="3089"/>
        <v>0</v>
      </c>
      <c r="BX496" s="98">
        <f t="shared" si="3089"/>
        <v>0</v>
      </c>
      <c r="BY496" s="98">
        <f t="shared" si="3089"/>
        <v>0</v>
      </c>
      <c r="BZ496" s="98">
        <f t="shared" si="3089"/>
        <v>0</v>
      </c>
      <c r="CA496" s="98">
        <f t="shared" si="3089"/>
        <v>0</v>
      </c>
      <c r="CB496" s="98">
        <f t="shared" si="3089"/>
        <v>0</v>
      </c>
      <c r="CC496" s="198">
        <f t="shared" si="2612"/>
        <v>0</v>
      </c>
      <c r="CD496" s="198">
        <f t="shared" si="2613"/>
        <v>0</v>
      </c>
      <c r="CE496" s="98">
        <f t="shared" ref="CE496:CR496" si="3090">SUM(CE25,CE63,CE101,CE139,CE177,CE215,CE253,CE291,CE329,CE367,CE405,CE443)</f>
        <v>0</v>
      </c>
      <c r="CF496" s="98">
        <f t="shared" si="3090"/>
        <v>0</v>
      </c>
      <c r="CG496" s="98">
        <f t="shared" si="3090"/>
        <v>12288.982978827136</v>
      </c>
      <c r="CH496" s="98">
        <f t="shared" si="3090"/>
        <v>1351865.8729999999</v>
      </c>
      <c r="CI496" s="98">
        <f t="shared" si="3090"/>
        <v>0</v>
      </c>
      <c r="CJ496" s="98">
        <f t="shared" si="3090"/>
        <v>0</v>
      </c>
      <c r="CK496" s="98">
        <f t="shared" si="3090"/>
        <v>0</v>
      </c>
      <c r="CL496" s="98">
        <f t="shared" si="3090"/>
        <v>0</v>
      </c>
      <c r="CM496" s="98">
        <f t="shared" si="3090"/>
        <v>0</v>
      </c>
      <c r="CN496" s="98">
        <f t="shared" si="3090"/>
        <v>0</v>
      </c>
      <c r="CO496" s="98">
        <f t="shared" si="3090"/>
        <v>0</v>
      </c>
      <c r="CP496" s="98">
        <f t="shared" si="3090"/>
        <v>0</v>
      </c>
      <c r="CQ496" s="98">
        <f t="shared" si="3090"/>
        <v>0</v>
      </c>
      <c r="CR496" s="98">
        <f t="shared" si="3090"/>
        <v>0</v>
      </c>
      <c r="CS496" s="198">
        <f t="shared" si="2615"/>
        <v>12288.982978827136</v>
      </c>
      <c r="CT496" s="198">
        <f t="shared" si="2616"/>
        <v>1351865.8729999999</v>
      </c>
      <c r="CU496" s="98">
        <f t="shared" ref="CU496:DH496" si="3091">SUM(CU25,CU63,CU101,CU139,CU177,CU215,CU253,CU291,CU329,CU367,CU405,CU443)</f>
        <v>0</v>
      </c>
      <c r="CV496" s="98">
        <f t="shared" si="3091"/>
        <v>0</v>
      </c>
      <c r="CW496" s="98">
        <f t="shared" si="3091"/>
        <v>0</v>
      </c>
      <c r="CX496" s="98">
        <f t="shared" si="3091"/>
        <v>0</v>
      </c>
      <c r="CY496" s="98">
        <f t="shared" si="3091"/>
        <v>0</v>
      </c>
      <c r="CZ496" s="98">
        <f t="shared" si="3091"/>
        <v>0</v>
      </c>
      <c r="DA496" s="98">
        <f t="shared" si="3091"/>
        <v>0</v>
      </c>
      <c r="DB496" s="98">
        <f t="shared" si="3091"/>
        <v>0</v>
      </c>
      <c r="DC496" s="98">
        <f t="shared" si="3091"/>
        <v>0</v>
      </c>
      <c r="DD496" s="98">
        <f t="shared" si="3091"/>
        <v>0</v>
      </c>
      <c r="DE496" s="98">
        <f t="shared" si="3091"/>
        <v>0</v>
      </c>
      <c r="DF496" s="98">
        <f t="shared" si="3091"/>
        <v>0</v>
      </c>
      <c r="DG496" s="98">
        <f t="shared" si="3091"/>
        <v>0</v>
      </c>
      <c r="DH496" s="98">
        <f t="shared" si="3091"/>
        <v>0</v>
      </c>
      <c r="DI496" s="198">
        <f t="shared" si="2618"/>
        <v>0</v>
      </c>
      <c r="DJ496" s="198">
        <f t="shared" si="2619"/>
        <v>0</v>
      </c>
      <c r="DK496" s="98">
        <f t="shared" ref="DK496:DX496" si="3092">SUM(DK25,DK63,DK101,DK139,DK177,DK215,DK253,DK291,DK329,DK367,DK405,DK443)</f>
        <v>0</v>
      </c>
      <c r="DL496" s="98">
        <f t="shared" si="3092"/>
        <v>0</v>
      </c>
      <c r="DM496" s="98">
        <f t="shared" si="3092"/>
        <v>0</v>
      </c>
      <c r="DN496" s="98">
        <f t="shared" si="3092"/>
        <v>0</v>
      </c>
      <c r="DO496" s="98">
        <f t="shared" si="3092"/>
        <v>0</v>
      </c>
      <c r="DP496" s="98">
        <f t="shared" si="3092"/>
        <v>0</v>
      </c>
      <c r="DQ496" s="98">
        <f t="shared" si="3092"/>
        <v>0</v>
      </c>
      <c r="DR496" s="98">
        <f t="shared" si="3092"/>
        <v>0</v>
      </c>
      <c r="DS496" s="98">
        <f t="shared" si="3092"/>
        <v>0</v>
      </c>
      <c r="DT496" s="98">
        <f t="shared" si="3092"/>
        <v>0</v>
      </c>
      <c r="DU496" s="98">
        <f t="shared" si="3092"/>
        <v>0</v>
      </c>
      <c r="DV496" s="98">
        <f t="shared" si="3092"/>
        <v>0</v>
      </c>
      <c r="DW496" s="98">
        <f t="shared" si="3092"/>
        <v>0</v>
      </c>
      <c r="DX496" s="98">
        <f t="shared" si="3092"/>
        <v>0</v>
      </c>
      <c r="DY496" s="198">
        <f t="shared" si="2621"/>
        <v>0</v>
      </c>
      <c r="DZ496" s="198">
        <f t="shared" si="2622"/>
        <v>0</v>
      </c>
      <c r="EA496" s="98">
        <f t="shared" ref="EA496:EN496" si="3093">SUM(EA25,EA63,EA101,EA139,EA177,EA215,EA253,EA291,EA329,EA367,EA405,EA443)</f>
        <v>0</v>
      </c>
      <c r="EB496" s="98">
        <f t="shared" si="3093"/>
        <v>0</v>
      </c>
      <c r="EC496" s="98">
        <f t="shared" si="3093"/>
        <v>0</v>
      </c>
      <c r="ED496" s="98">
        <f t="shared" si="3093"/>
        <v>0</v>
      </c>
      <c r="EE496" s="98">
        <f t="shared" si="3093"/>
        <v>0</v>
      </c>
      <c r="EF496" s="98">
        <f t="shared" si="3093"/>
        <v>0</v>
      </c>
      <c r="EG496" s="98">
        <f t="shared" si="3093"/>
        <v>0</v>
      </c>
      <c r="EH496" s="98">
        <f t="shared" si="3093"/>
        <v>0</v>
      </c>
      <c r="EI496" s="98">
        <f t="shared" si="3093"/>
        <v>0</v>
      </c>
      <c r="EJ496" s="98">
        <f t="shared" si="3093"/>
        <v>0</v>
      </c>
      <c r="EK496" s="98">
        <f t="shared" si="3093"/>
        <v>0</v>
      </c>
      <c r="EL496" s="98">
        <f t="shared" si="3093"/>
        <v>0</v>
      </c>
      <c r="EM496" s="98">
        <f t="shared" si="3093"/>
        <v>0</v>
      </c>
      <c r="EN496" s="98">
        <f t="shared" si="3093"/>
        <v>0</v>
      </c>
      <c r="EO496" s="198">
        <f t="shared" si="2624"/>
        <v>0</v>
      </c>
      <c r="EP496" s="198">
        <f t="shared" si="2625"/>
        <v>0</v>
      </c>
      <c r="EQ496" s="98">
        <f t="shared" ref="EQ496:FD496" si="3094">SUM(EQ25,EQ63,EQ101,EQ139,EQ177,EQ215,EQ253,EQ291,EQ329,EQ367,EQ405,EQ443)</f>
        <v>0</v>
      </c>
      <c r="ER496" s="98">
        <f t="shared" si="3094"/>
        <v>0</v>
      </c>
      <c r="ES496" s="98">
        <f t="shared" si="3094"/>
        <v>1043452</v>
      </c>
      <c r="ET496" s="98">
        <f t="shared" si="3094"/>
        <v>104985910</v>
      </c>
      <c r="EU496" s="98">
        <f t="shared" si="3094"/>
        <v>0</v>
      </c>
      <c r="EV496" s="98">
        <f t="shared" si="3094"/>
        <v>0</v>
      </c>
      <c r="EW496" s="98">
        <f t="shared" si="3094"/>
        <v>0</v>
      </c>
      <c r="EX496" s="98">
        <f t="shared" si="3094"/>
        <v>0</v>
      </c>
      <c r="EY496" s="98">
        <f t="shared" si="3094"/>
        <v>0</v>
      </c>
      <c r="EZ496" s="98">
        <f t="shared" si="3094"/>
        <v>0</v>
      </c>
      <c r="FA496" s="98">
        <f t="shared" si="3094"/>
        <v>0</v>
      </c>
      <c r="FB496" s="98">
        <f t="shared" si="3094"/>
        <v>0</v>
      </c>
      <c r="FC496" s="98">
        <f t="shared" si="3094"/>
        <v>0</v>
      </c>
      <c r="FD496" s="98">
        <f t="shared" si="3094"/>
        <v>0</v>
      </c>
      <c r="FE496" s="198">
        <f t="shared" si="2627"/>
        <v>1043452</v>
      </c>
      <c r="FF496" s="198">
        <f t="shared" si="2628"/>
        <v>104985910</v>
      </c>
      <c r="FG496" s="98">
        <f t="shared" ref="FG496:FT496" si="3095">SUM(FG25,FG63,FG101,FG139,FG177,FG215,FG253,FG291,FG329,FG367,FG405,FG443)</f>
        <v>0</v>
      </c>
      <c r="FH496" s="98">
        <f t="shared" si="3095"/>
        <v>0</v>
      </c>
      <c r="FI496" s="98">
        <f t="shared" si="3095"/>
        <v>0</v>
      </c>
      <c r="FJ496" s="98">
        <f t="shared" si="3095"/>
        <v>0</v>
      </c>
      <c r="FK496" s="98">
        <f t="shared" si="3095"/>
        <v>0</v>
      </c>
      <c r="FL496" s="98">
        <f t="shared" si="3095"/>
        <v>0</v>
      </c>
      <c r="FM496" s="98">
        <f t="shared" si="3095"/>
        <v>0</v>
      </c>
      <c r="FN496" s="98">
        <f t="shared" si="3095"/>
        <v>0</v>
      </c>
      <c r="FO496" s="98">
        <f t="shared" si="3095"/>
        <v>0</v>
      </c>
      <c r="FP496" s="98">
        <f t="shared" si="3095"/>
        <v>0</v>
      </c>
      <c r="FQ496" s="98">
        <f t="shared" si="3095"/>
        <v>0</v>
      </c>
      <c r="FR496" s="98">
        <f t="shared" si="3095"/>
        <v>0</v>
      </c>
      <c r="FS496" s="98">
        <f t="shared" si="3095"/>
        <v>0</v>
      </c>
      <c r="FT496" s="98">
        <f t="shared" si="3095"/>
        <v>0</v>
      </c>
      <c r="FU496" s="198">
        <f t="shared" si="2630"/>
        <v>0</v>
      </c>
      <c r="FV496" s="198">
        <f t="shared" si="2631"/>
        <v>0</v>
      </c>
      <c r="FW496" s="98">
        <f t="shared" ref="FW496:GJ496" si="3096">SUM(FW25,FW63,FW101,FW139,FW177,FW215,FW253,FW291,FW329,FW367,FW405,FW443)</f>
        <v>0</v>
      </c>
      <c r="FX496" s="98">
        <f t="shared" si="3096"/>
        <v>0</v>
      </c>
      <c r="FY496" s="98">
        <f t="shared" si="3096"/>
        <v>0</v>
      </c>
      <c r="FZ496" s="98">
        <f t="shared" si="3096"/>
        <v>0</v>
      </c>
      <c r="GA496" s="98">
        <f t="shared" si="3096"/>
        <v>0</v>
      </c>
      <c r="GB496" s="98">
        <f t="shared" si="3096"/>
        <v>0</v>
      </c>
      <c r="GC496" s="98">
        <f t="shared" si="3096"/>
        <v>0</v>
      </c>
      <c r="GD496" s="98">
        <f t="shared" si="3096"/>
        <v>0</v>
      </c>
      <c r="GE496" s="98">
        <f t="shared" si="3096"/>
        <v>0</v>
      </c>
      <c r="GF496" s="98">
        <f t="shared" si="3096"/>
        <v>0</v>
      </c>
      <c r="GG496" s="98">
        <f t="shared" si="3096"/>
        <v>0</v>
      </c>
      <c r="GH496" s="98">
        <f t="shared" si="3096"/>
        <v>0</v>
      </c>
      <c r="GI496" s="98">
        <f t="shared" si="3096"/>
        <v>0</v>
      </c>
      <c r="GJ496" s="98">
        <f t="shared" si="3096"/>
        <v>0</v>
      </c>
      <c r="GK496" s="198">
        <f t="shared" si="2633"/>
        <v>0</v>
      </c>
      <c r="GL496" s="198">
        <f t="shared" si="2634"/>
        <v>0</v>
      </c>
      <c r="GM496" s="98">
        <f t="shared" ref="GM496:GZ496" si="3097">SUM(GM25,GM63,GM101,GM139,GM177,GM215,GM253,GM291,GM329,GM367,GM405,GM443)</f>
        <v>0</v>
      </c>
      <c r="GN496" s="98">
        <f t="shared" si="3097"/>
        <v>0</v>
      </c>
      <c r="GO496" s="98">
        <f t="shared" si="3097"/>
        <v>0</v>
      </c>
      <c r="GP496" s="98">
        <f t="shared" si="3097"/>
        <v>0</v>
      </c>
      <c r="GQ496" s="98">
        <f t="shared" si="3097"/>
        <v>0</v>
      </c>
      <c r="GR496" s="98">
        <f t="shared" si="3097"/>
        <v>0</v>
      </c>
      <c r="GS496" s="98">
        <f t="shared" si="3097"/>
        <v>0</v>
      </c>
      <c r="GT496" s="98">
        <f t="shared" si="3097"/>
        <v>0</v>
      </c>
      <c r="GU496" s="98">
        <f t="shared" si="3097"/>
        <v>0</v>
      </c>
      <c r="GV496" s="98">
        <f t="shared" si="3097"/>
        <v>0</v>
      </c>
      <c r="GW496" s="98">
        <f t="shared" si="3097"/>
        <v>0</v>
      </c>
      <c r="GX496" s="98">
        <f t="shared" si="3097"/>
        <v>0</v>
      </c>
      <c r="GY496" s="98">
        <f t="shared" si="3097"/>
        <v>0</v>
      </c>
      <c r="GZ496" s="98">
        <f t="shared" si="3097"/>
        <v>0</v>
      </c>
      <c r="HA496" s="198">
        <f t="shared" si="2636"/>
        <v>0</v>
      </c>
      <c r="HB496" s="198">
        <f t="shared" si="2637"/>
        <v>0</v>
      </c>
      <c r="HC496" s="98">
        <f t="shared" ref="HC496:HP496" si="3098">SUM(HC25,HC63,HC101,HC139,HC177,HC215,HC253,HC291,HC329,HC367,HC405,HC443)</f>
        <v>0</v>
      </c>
      <c r="HD496" s="98">
        <f t="shared" si="3098"/>
        <v>0</v>
      </c>
      <c r="HE496" s="98">
        <f t="shared" si="3098"/>
        <v>0</v>
      </c>
      <c r="HF496" s="98">
        <f t="shared" si="3098"/>
        <v>0</v>
      </c>
      <c r="HG496" s="98">
        <f t="shared" si="3098"/>
        <v>0</v>
      </c>
      <c r="HH496" s="98">
        <f t="shared" si="3098"/>
        <v>0</v>
      </c>
      <c r="HI496" s="98">
        <f t="shared" si="3098"/>
        <v>0</v>
      </c>
      <c r="HJ496" s="98">
        <f t="shared" si="3098"/>
        <v>0</v>
      </c>
      <c r="HK496" s="98">
        <f t="shared" si="3098"/>
        <v>0</v>
      </c>
      <c r="HL496" s="98">
        <f t="shared" si="3098"/>
        <v>0</v>
      </c>
      <c r="HM496" s="98">
        <f t="shared" si="3098"/>
        <v>0</v>
      </c>
      <c r="HN496" s="98">
        <f t="shared" si="3098"/>
        <v>0</v>
      </c>
      <c r="HO496" s="98">
        <f t="shared" si="3098"/>
        <v>0</v>
      </c>
      <c r="HP496" s="98">
        <f t="shared" si="3098"/>
        <v>0</v>
      </c>
      <c r="HQ496" s="198">
        <f t="shared" si="2639"/>
        <v>0</v>
      </c>
      <c r="HR496" s="198">
        <f t="shared" si="2640"/>
        <v>0</v>
      </c>
      <c r="HS496" s="98">
        <f t="shared" ref="HS496:IF496" si="3099">SUM(HS25,HS63,HS101,HS139,HS177,HS215,HS253,HS291,HS329,HS367,HS405,HS443)</f>
        <v>0</v>
      </c>
      <c r="HT496" s="98">
        <f t="shared" si="3099"/>
        <v>0</v>
      </c>
      <c r="HU496" s="98">
        <f t="shared" si="3099"/>
        <v>0</v>
      </c>
      <c r="HV496" s="98">
        <f t="shared" si="3099"/>
        <v>0</v>
      </c>
      <c r="HW496" s="98">
        <f t="shared" si="3099"/>
        <v>0</v>
      </c>
      <c r="HX496" s="98">
        <f t="shared" si="3099"/>
        <v>0</v>
      </c>
      <c r="HY496" s="98">
        <f t="shared" si="3099"/>
        <v>0</v>
      </c>
      <c r="HZ496" s="98">
        <f t="shared" si="3099"/>
        <v>0</v>
      </c>
      <c r="IA496" s="98">
        <f t="shared" si="3099"/>
        <v>0</v>
      </c>
      <c r="IB496" s="98">
        <f t="shared" si="3099"/>
        <v>0</v>
      </c>
      <c r="IC496" s="98">
        <f t="shared" si="3099"/>
        <v>0</v>
      </c>
      <c r="ID496" s="98">
        <f t="shared" si="3099"/>
        <v>0</v>
      </c>
      <c r="IE496" s="98">
        <f t="shared" si="3099"/>
        <v>0</v>
      </c>
      <c r="IF496" s="98">
        <f t="shared" si="3099"/>
        <v>0</v>
      </c>
      <c r="IG496" s="198">
        <f t="shared" si="2642"/>
        <v>0</v>
      </c>
      <c r="IH496" s="198">
        <f t="shared" si="2643"/>
        <v>0</v>
      </c>
      <c r="II496" s="98">
        <f t="shared" ref="II496:IV496" si="3100">SUM(II25,II63,II101,II139,II177,II215,II253,II291,II329,II367,II405,II443)</f>
        <v>0</v>
      </c>
      <c r="IJ496" s="98">
        <f t="shared" si="3100"/>
        <v>0</v>
      </c>
      <c r="IK496" s="98">
        <f t="shared" si="3100"/>
        <v>0</v>
      </c>
      <c r="IL496" s="98">
        <f t="shared" si="3100"/>
        <v>0</v>
      </c>
      <c r="IM496" s="98">
        <f t="shared" si="3100"/>
        <v>0</v>
      </c>
      <c r="IN496" s="98">
        <f t="shared" si="3100"/>
        <v>0</v>
      </c>
      <c r="IO496" s="98">
        <f t="shared" si="3100"/>
        <v>0</v>
      </c>
      <c r="IP496" s="98">
        <f t="shared" si="3100"/>
        <v>0</v>
      </c>
      <c r="IQ496" s="98">
        <f t="shared" si="3100"/>
        <v>0</v>
      </c>
      <c r="IR496" s="98">
        <f t="shared" si="3100"/>
        <v>0</v>
      </c>
      <c r="IS496" s="98">
        <f t="shared" si="3100"/>
        <v>0</v>
      </c>
      <c r="IT496" s="98">
        <f t="shared" si="3100"/>
        <v>0</v>
      </c>
      <c r="IU496" s="98">
        <f t="shared" si="3100"/>
        <v>0</v>
      </c>
      <c r="IV496" s="98">
        <f t="shared" si="3100"/>
        <v>0</v>
      </c>
      <c r="IW496" s="198">
        <f t="shared" si="2645"/>
        <v>0</v>
      </c>
      <c r="IX496" s="198">
        <f t="shared" si="2646"/>
        <v>0</v>
      </c>
      <c r="IY496" s="98">
        <f t="shared" ref="IY496:JL496" si="3101">SUM(IY25,IY63,IY101,IY139,IY177,IY215,IY253,IY291,IY329,IY367,IY405,IY443)</f>
        <v>0</v>
      </c>
      <c r="IZ496" s="98">
        <f t="shared" si="3101"/>
        <v>0</v>
      </c>
      <c r="JA496" s="98">
        <f t="shared" si="3101"/>
        <v>0</v>
      </c>
      <c r="JB496" s="98">
        <f t="shared" si="3101"/>
        <v>0</v>
      </c>
      <c r="JC496" s="98">
        <f t="shared" si="3101"/>
        <v>0</v>
      </c>
      <c r="JD496" s="98">
        <f t="shared" si="3101"/>
        <v>0</v>
      </c>
      <c r="JE496" s="98">
        <f t="shared" si="3101"/>
        <v>0</v>
      </c>
      <c r="JF496" s="98">
        <f t="shared" si="3101"/>
        <v>0</v>
      </c>
      <c r="JG496" s="98">
        <f t="shared" si="3101"/>
        <v>0</v>
      </c>
      <c r="JH496" s="98">
        <f t="shared" si="3101"/>
        <v>0</v>
      </c>
      <c r="JI496" s="98">
        <f t="shared" si="3101"/>
        <v>0</v>
      </c>
      <c r="JJ496" s="98">
        <f t="shared" si="3101"/>
        <v>0</v>
      </c>
      <c r="JK496" s="98">
        <f t="shared" si="3101"/>
        <v>0</v>
      </c>
      <c r="JL496" s="98">
        <f t="shared" si="3101"/>
        <v>0</v>
      </c>
      <c r="JM496" s="198">
        <f t="shared" si="2648"/>
        <v>0</v>
      </c>
      <c r="JN496" s="198">
        <f t="shared" si="2649"/>
        <v>0</v>
      </c>
      <c r="JO496" s="98">
        <f t="shared" ref="JO496:KB496" si="3102">SUM(JO25,JO63,JO101,JO139,JO177,JO215,JO253,JO291,JO329,JO367,JO405,JO443)</f>
        <v>0</v>
      </c>
      <c r="JP496" s="98">
        <f t="shared" si="3102"/>
        <v>0</v>
      </c>
      <c r="JQ496" s="98">
        <f t="shared" si="3102"/>
        <v>0</v>
      </c>
      <c r="JR496" s="98">
        <f t="shared" si="3102"/>
        <v>0</v>
      </c>
      <c r="JS496" s="98">
        <f t="shared" si="3102"/>
        <v>0</v>
      </c>
      <c r="JT496" s="98">
        <f t="shared" si="3102"/>
        <v>0</v>
      </c>
      <c r="JU496" s="98">
        <f t="shared" si="3102"/>
        <v>0</v>
      </c>
      <c r="JV496" s="98">
        <f t="shared" si="3102"/>
        <v>0</v>
      </c>
      <c r="JW496" s="98">
        <f t="shared" si="3102"/>
        <v>0</v>
      </c>
      <c r="JX496" s="98">
        <f t="shared" si="3102"/>
        <v>0</v>
      </c>
      <c r="JY496" s="98">
        <f t="shared" si="3102"/>
        <v>0</v>
      </c>
      <c r="JZ496" s="98">
        <f t="shared" si="3102"/>
        <v>0</v>
      </c>
      <c r="KA496" s="98">
        <f t="shared" si="3102"/>
        <v>0</v>
      </c>
      <c r="KB496" s="98">
        <f t="shared" si="3102"/>
        <v>0</v>
      </c>
      <c r="KC496" s="198">
        <f t="shared" si="2651"/>
        <v>0</v>
      </c>
      <c r="KD496" s="198">
        <f t="shared" si="2652"/>
        <v>0</v>
      </c>
      <c r="KE496" s="98">
        <f t="shared" ref="KE496:KR496" si="3103">SUM(KE25,KE63,KE101,KE139,KE177,KE215,KE253,KE291,KE329,KE367,KE405,KE443)</f>
        <v>0</v>
      </c>
      <c r="KF496" s="98">
        <f t="shared" si="3103"/>
        <v>0</v>
      </c>
      <c r="KG496" s="98">
        <f t="shared" si="3103"/>
        <v>0</v>
      </c>
      <c r="KH496" s="98">
        <f t="shared" si="3103"/>
        <v>0</v>
      </c>
      <c r="KI496" s="98">
        <f t="shared" si="3103"/>
        <v>0</v>
      </c>
      <c r="KJ496" s="98">
        <f t="shared" si="3103"/>
        <v>0</v>
      </c>
      <c r="KK496" s="98">
        <f t="shared" si="3103"/>
        <v>0</v>
      </c>
      <c r="KL496" s="98">
        <f t="shared" si="3103"/>
        <v>0</v>
      </c>
      <c r="KM496" s="98">
        <f t="shared" si="3103"/>
        <v>0</v>
      </c>
      <c r="KN496" s="98">
        <f t="shared" si="3103"/>
        <v>0</v>
      </c>
      <c r="KO496" s="98">
        <f t="shared" si="3103"/>
        <v>0</v>
      </c>
      <c r="KP496" s="98">
        <f t="shared" si="3103"/>
        <v>0</v>
      </c>
      <c r="KQ496" s="98">
        <f t="shared" si="3103"/>
        <v>0</v>
      </c>
      <c r="KR496" s="98">
        <f t="shared" si="3103"/>
        <v>0</v>
      </c>
      <c r="KS496" s="198">
        <f t="shared" si="2654"/>
        <v>0</v>
      </c>
      <c r="KT496" s="198">
        <f t="shared" si="2655"/>
        <v>0</v>
      </c>
      <c r="KU496" s="98">
        <f t="shared" ref="KU496:LH496" si="3104">SUM(KU25,KU63,KU101,KU139,KU177,KU215,KU253,KU291,KU329,KU367,KU405,KU443)</f>
        <v>0</v>
      </c>
      <c r="KV496" s="98">
        <f t="shared" si="3104"/>
        <v>0</v>
      </c>
      <c r="KW496" s="98">
        <f t="shared" si="3104"/>
        <v>0</v>
      </c>
      <c r="KX496" s="98">
        <f t="shared" si="3104"/>
        <v>0</v>
      </c>
      <c r="KY496" s="98">
        <f t="shared" si="3104"/>
        <v>0</v>
      </c>
      <c r="KZ496" s="98">
        <f t="shared" si="3104"/>
        <v>0</v>
      </c>
      <c r="LA496" s="98">
        <f t="shared" si="3104"/>
        <v>0</v>
      </c>
      <c r="LB496" s="98">
        <f t="shared" si="3104"/>
        <v>0</v>
      </c>
      <c r="LC496" s="98">
        <f t="shared" si="3104"/>
        <v>0</v>
      </c>
      <c r="LD496" s="98">
        <f t="shared" si="3104"/>
        <v>0</v>
      </c>
      <c r="LE496" s="98">
        <f t="shared" si="3104"/>
        <v>0</v>
      </c>
      <c r="LF496" s="98">
        <f t="shared" si="3104"/>
        <v>0</v>
      </c>
      <c r="LG496" s="98">
        <f t="shared" si="3104"/>
        <v>0</v>
      </c>
      <c r="LH496" s="98">
        <f t="shared" si="3104"/>
        <v>0</v>
      </c>
      <c r="LI496" s="198">
        <f t="shared" si="2657"/>
        <v>0</v>
      </c>
      <c r="LJ496" s="198">
        <f t="shared" si="2658"/>
        <v>0</v>
      </c>
      <c r="LK496" s="98">
        <f t="shared" ref="LK496:LX496" si="3105">SUM(LK25,LK63,LK101,LK139,LK177,LK215,LK253,LK291,LK329,LK367,LK405,LK443)</f>
        <v>0</v>
      </c>
      <c r="LL496" s="98">
        <f t="shared" si="3105"/>
        <v>0</v>
      </c>
      <c r="LM496" s="98">
        <f t="shared" si="3105"/>
        <v>0</v>
      </c>
      <c r="LN496" s="98">
        <f t="shared" si="3105"/>
        <v>0</v>
      </c>
      <c r="LO496" s="98">
        <f t="shared" si="3105"/>
        <v>0</v>
      </c>
      <c r="LP496" s="98">
        <f t="shared" si="3105"/>
        <v>0</v>
      </c>
      <c r="LQ496" s="98">
        <f t="shared" si="3105"/>
        <v>0</v>
      </c>
      <c r="LR496" s="98">
        <f t="shared" si="3105"/>
        <v>0</v>
      </c>
      <c r="LS496" s="98">
        <f t="shared" si="3105"/>
        <v>0</v>
      </c>
      <c r="LT496" s="98">
        <f t="shared" si="3105"/>
        <v>0</v>
      </c>
      <c r="LU496" s="98">
        <f t="shared" si="3105"/>
        <v>0</v>
      </c>
      <c r="LV496" s="98">
        <f t="shared" si="3105"/>
        <v>0</v>
      </c>
      <c r="LW496" s="98">
        <f t="shared" si="3105"/>
        <v>0</v>
      </c>
      <c r="LX496" s="98">
        <f t="shared" si="3105"/>
        <v>0</v>
      </c>
      <c r="LY496" s="198">
        <f t="shared" si="2660"/>
        <v>0</v>
      </c>
      <c r="LZ496" s="198">
        <f t="shared" si="2661"/>
        <v>0</v>
      </c>
      <c r="MA496" s="98">
        <f t="shared" ref="MA496:MN496" si="3106">SUM(MA25,MA63,MA101,MA139,MA177,MA215,MA253,MA291,MA329,MA367,MA405,MA443)</f>
        <v>0</v>
      </c>
      <c r="MB496" s="98">
        <f t="shared" si="3106"/>
        <v>0</v>
      </c>
      <c r="MC496" s="98">
        <f t="shared" si="3106"/>
        <v>0</v>
      </c>
      <c r="MD496" s="98">
        <f t="shared" si="3106"/>
        <v>0</v>
      </c>
      <c r="ME496" s="98">
        <f t="shared" si="3106"/>
        <v>0</v>
      </c>
      <c r="MF496" s="98">
        <f t="shared" si="3106"/>
        <v>0</v>
      </c>
      <c r="MG496" s="98">
        <f t="shared" si="3106"/>
        <v>0</v>
      </c>
      <c r="MH496" s="98">
        <f t="shared" si="3106"/>
        <v>0</v>
      </c>
      <c r="MI496" s="98">
        <f t="shared" si="3106"/>
        <v>0</v>
      </c>
      <c r="MJ496" s="98">
        <f t="shared" si="3106"/>
        <v>0</v>
      </c>
      <c r="MK496" s="98">
        <f t="shared" si="3106"/>
        <v>0</v>
      </c>
      <c r="ML496" s="98">
        <f t="shared" si="3106"/>
        <v>0</v>
      </c>
      <c r="MM496" s="98">
        <f t="shared" si="3106"/>
        <v>0</v>
      </c>
      <c r="MN496" s="98">
        <f t="shared" si="3106"/>
        <v>0</v>
      </c>
      <c r="MO496" s="198">
        <f t="shared" si="2663"/>
        <v>0</v>
      </c>
      <c r="MP496" s="198">
        <f t="shared" si="2664"/>
        <v>0</v>
      </c>
      <c r="MQ496" s="98">
        <f t="shared" ref="MQ496:ND496" si="3107">SUM(MQ25,MQ63,MQ101,MQ139,MQ177,MQ215,MQ253,MQ291,MQ329,MQ367,MQ405,MQ443)</f>
        <v>0</v>
      </c>
      <c r="MR496" s="98">
        <f t="shared" si="3107"/>
        <v>0</v>
      </c>
      <c r="MS496" s="98">
        <f t="shared" si="3107"/>
        <v>0</v>
      </c>
      <c r="MT496" s="98">
        <f t="shared" si="3107"/>
        <v>0</v>
      </c>
      <c r="MU496" s="98">
        <f t="shared" si="3107"/>
        <v>0</v>
      </c>
      <c r="MV496" s="98">
        <f t="shared" si="3107"/>
        <v>0</v>
      </c>
      <c r="MW496" s="98">
        <f t="shared" si="3107"/>
        <v>0</v>
      </c>
      <c r="MX496" s="98">
        <f t="shared" si="3107"/>
        <v>0</v>
      </c>
      <c r="MY496" s="98">
        <f t="shared" si="3107"/>
        <v>0</v>
      </c>
      <c r="MZ496" s="98">
        <f t="shared" si="3107"/>
        <v>0</v>
      </c>
      <c r="NA496" s="98">
        <f t="shared" si="3107"/>
        <v>0</v>
      </c>
      <c r="NB496" s="98">
        <f t="shared" si="3107"/>
        <v>0</v>
      </c>
      <c r="NC496" s="98">
        <f t="shared" si="3107"/>
        <v>0</v>
      </c>
      <c r="ND496" s="98">
        <f t="shared" si="3107"/>
        <v>0</v>
      </c>
      <c r="NE496" s="198">
        <f t="shared" si="2666"/>
        <v>0</v>
      </c>
      <c r="NF496" s="198">
        <f t="shared" si="2667"/>
        <v>0</v>
      </c>
      <c r="NG496" s="98">
        <f t="shared" ref="NG496:NT496" si="3108">SUM(NG25,NG63,NG101,NG139,NG177,NG215,NG253,NG291,NG329,NG367,NG405,NG443)</f>
        <v>0</v>
      </c>
      <c r="NH496" s="98">
        <f t="shared" si="3108"/>
        <v>0</v>
      </c>
      <c r="NI496" s="98">
        <f t="shared" si="3108"/>
        <v>0</v>
      </c>
      <c r="NJ496" s="98">
        <f t="shared" si="3108"/>
        <v>0</v>
      </c>
      <c r="NK496" s="98">
        <f t="shared" si="3108"/>
        <v>0</v>
      </c>
      <c r="NL496" s="98">
        <f t="shared" si="3108"/>
        <v>0</v>
      </c>
      <c r="NM496" s="98">
        <f t="shared" si="3108"/>
        <v>0</v>
      </c>
      <c r="NN496" s="98">
        <f t="shared" si="3108"/>
        <v>0</v>
      </c>
      <c r="NO496" s="98">
        <f t="shared" si="3108"/>
        <v>0</v>
      </c>
      <c r="NP496" s="98">
        <f t="shared" si="3108"/>
        <v>0</v>
      </c>
      <c r="NQ496" s="98">
        <f t="shared" si="3108"/>
        <v>0</v>
      </c>
      <c r="NR496" s="98">
        <f t="shared" si="3108"/>
        <v>0</v>
      </c>
      <c r="NS496" s="98">
        <f t="shared" si="3108"/>
        <v>0</v>
      </c>
      <c r="NT496" s="98">
        <f t="shared" si="3108"/>
        <v>0</v>
      </c>
      <c r="NU496" s="198">
        <f t="shared" si="2669"/>
        <v>0</v>
      </c>
      <c r="NV496" s="198">
        <f t="shared" si="2670"/>
        <v>0</v>
      </c>
      <c r="NW496" s="98">
        <f t="shared" ref="NW496:OJ496" si="3109">SUM(NW25,NW63,NW101,NW139,NW177,NW215,NW253,NW291,NW329,NW367,NW405,NW443)</f>
        <v>0</v>
      </c>
      <c r="NX496" s="98">
        <f t="shared" si="3109"/>
        <v>0</v>
      </c>
      <c r="NY496" s="98">
        <f t="shared" si="3109"/>
        <v>0</v>
      </c>
      <c r="NZ496" s="98">
        <f t="shared" si="3109"/>
        <v>0</v>
      </c>
      <c r="OA496" s="98">
        <f t="shared" si="3109"/>
        <v>0</v>
      </c>
      <c r="OB496" s="98">
        <f t="shared" si="3109"/>
        <v>0</v>
      </c>
      <c r="OC496" s="98">
        <f t="shared" si="3109"/>
        <v>0</v>
      </c>
      <c r="OD496" s="98">
        <f t="shared" si="3109"/>
        <v>0</v>
      </c>
      <c r="OE496" s="98">
        <f t="shared" si="3109"/>
        <v>0</v>
      </c>
      <c r="OF496" s="98">
        <f t="shared" si="3109"/>
        <v>0</v>
      </c>
      <c r="OG496" s="98">
        <f t="shared" si="3109"/>
        <v>0</v>
      </c>
      <c r="OH496" s="98">
        <f t="shared" si="3109"/>
        <v>0</v>
      </c>
      <c r="OI496" s="98">
        <f t="shared" si="3109"/>
        <v>0</v>
      </c>
      <c r="OJ496" s="98">
        <f t="shared" si="3109"/>
        <v>0</v>
      </c>
      <c r="OK496" s="198">
        <f t="shared" si="2672"/>
        <v>0</v>
      </c>
      <c r="OL496" s="198">
        <f t="shared" si="2673"/>
        <v>0</v>
      </c>
      <c r="OM496" s="98">
        <f t="shared" ref="OM496:OZ496" si="3110">SUM(OM25,OM63,OM101,OM139,OM177,OM215,OM253,OM291,OM329,OM367,OM405,OM443)</f>
        <v>291245</v>
      </c>
      <c r="ON496" s="98">
        <f t="shared" si="3110"/>
        <v>80853400</v>
      </c>
      <c r="OO496" s="98">
        <f t="shared" si="3110"/>
        <v>0</v>
      </c>
      <c r="OP496" s="98">
        <f t="shared" si="3110"/>
        <v>0</v>
      </c>
      <c r="OQ496" s="98">
        <f t="shared" si="3110"/>
        <v>0</v>
      </c>
      <c r="OR496" s="98">
        <f t="shared" si="3110"/>
        <v>0</v>
      </c>
      <c r="OS496" s="98">
        <f t="shared" si="3110"/>
        <v>0</v>
      </c>
      <c r="OT496" s="98">
        <f t="shared" si="3110"/>
        <v>0</v>
      </c>
      <c r="OU496" s="98">
        <f t="shared" si="3110"/>
        <v>0</v>
      </c>
      <c r="OV496" s="98">
        <f t="shared" si="3110"/>
        <v>0</v>
      </c>
      <c r="OW496" s="98">
        <f t="shared" si="3110"/>
        <v>0</v>
      </c>
      <c r="OX496" s="98">
        <f t="shared" si="3110"/>
        <v>0</v>
      </c>
      <c r="OY496" s="98">
        <f t="shared" si="3110"/>
        <v>0</v>
      </c>
      <c r="OZ496" s="98">
        <f t="shared" si="3110"/>
        <v>0</v>
      </c>
      <c r="PA496" s="198">
        <f t="shared" si="2675"/>
        <v>291245</v>
      </c>
      <c r="PB496" s="198">
        <f t="shared" si="2676"/>
        <v>80853400</v>
      </c>
      <c r="PC496" s="98">
        <f t="shared" ref="PC496:PP496" si="3111">SUM(PC25,PC63,PC101,PC139,PC177,PC215,PC253,PC291,PC329,PC367,PC405,PC443)</f>
        <v>0</v>
      </c>
      <c r="PD496" s="98">
        <f t="shared" si="3111"/>
        <v>0</v>
      </c>
      <c r="PE496" s="98">
        <f t="shared" si="3111"/>
        <v>0</v>
      </c>
      <c r="PF496" s="98">
        <f t="shared" si="3111"/>
        <v>0</v>
      </c>
      <c r="PG496" s="98">
        <f t="shared" si="3111"/>
        <v>0</v>
      </c>
      <c r="PH496" s="98">
        <f t="shared" si="3111"/>
        <v>0</v>
      </c>
      <c r="PI496" s="98">
        <f t="shared" si="3111"/>
        <v>0</v>
      </c>
      <c r="PJ496" s="98">
        <f t="shared" si="3111"/>
        <v>0</v>
      </c>
      <c r="PK496" s="98">
        <f t="shared" si="3111"/>
        <v>0</v>
      </c>
      <c r="PL496" s="98">
        <f t="shared" si="3111"/>
        <v>0</v>
      </c>
      <c r="PM496" s="98">
        <f t="shared" si="3111"/>
        <v>0</v>
      </c>
      <c r="PN496" s="98">
        <f t="shared" si="3111"/>
        <v>0</v>
      </c>
      <c r="PO496" s="98">
        <f t="shared" si="3111"/>
        <v>0</v>
      </c>
      <c r="PP496" s="98">
        <f t="shared" si="3111"/>
        <v>0</v>
      </c>
      <c r="PQ496" s="198">
        <f t="shared" si="2678"/>
        <v>0</v>
      </c>
      <c r="PR496" s="198">
        <f t="shared" si="2679"/>
        <v>0</v>
      </c>
      <c r="PS496" s="98">
        <f t="shared" ref="PS496:QF496" si="3112">SUM(PS25,PS63,PS101,PS139,PS177,PS215,PS253,PS291,PS329,PS367,PS405,PS443)</f>
        <v>0</v>
      </c>
      <c r="PT496" s="98">
        <f t="shared" si="3112"/>
        <v>0</v>
      </c>
      <c r="PU496" s="98">
        <f t="shared" si="3112"/>
        <v>0</v>
      </c>
      <c r="PV496" s="98">
        <f t="shared" si="3112"/>
        <v>0</v>
      </c>
      <c r="PW496" s="98">
        <f t="shared" si="3112"/>
        <v>0</v>
      </c>
      <c r="PX496" s="98">
        <f t="shared" si="3112"/>
        <v>0</v>
      </c>
      <c r="PY496" s="98">
        <f t="shared" si="3112"/>
        <v>0</v>
      </c>
      <c r="PZ496" s="98">
        <f t="shared" si="3112"/>
        <v>0</v>
      </c>
      <c r="QA496" s="98">
        <f t="shared" si="3112"/>
        <v>0</v>
      </c>
      <c r="QB496" s="98">
        <f t="shared" si="3112"/>
        <v>0</v>
      </c>
      <c r="QC496" s="98">
        <f t="shared" si="3112"/>
        <v>0</v>
      </c>
      <c r="QD496" s="98">
        <f t="shared" si="3112"/>
        <v>0</v>
      </c>
      <c r="QE496" s="98">
        <f t="shared" si="3112"/>
        <v>0</v>
      </c>
      <c r="QF496" s="98">
        <f t="shared" si="3112"/>
        <v>0</v>
      </c>
      <c r="QG496" s="198">
        <f t="shared" si="2681"/>
        <v>0</v>
      </c>
      <c r="QH496" s="198">
        <f t="shared" si="2682"/>
        <v>0</v>
      </c>
      <c r="QI496" s="98">
        <f t="shared" ref="QI496:QV496" si="3113">SUM(QI25,QI63,QI101,QI139,QI177,QI215,QI253,QI291,QI329,QI367,QI405,QI443)</f>
        <v>0</v>
      </c>
      <c r="QJ496" s="98">
        <f t="shared" si="3113"/>
        <v>0</v>
      </c>
      <c r="QK496" s="98">
        <f t="shared" si="3113"/>
        <v>0</v>
      </c>
      <c r="QL496" s="98">
        <f t="shared" si="3113"/>
        <v>0</v>
      </c>
      <c r="QM496" s="98">
        <f t="shared" si="3113"/>
        <v>0</v>
      </c>
      <c r="QN496" s="98">
        <f t="shared" si="3113"/>
        <v>0</v>
      </c>
      <c r="QO496" s="98">
        <f t="shared" si="3113"/>
        <v>0</v>
      </c>
      <c r="QP496" s="98">
        <f t="shared" si="3113"/>
        <v>0</v>
      </c>
      <c r="QQ496" s="98">
        <f t="shared" si="3113"/>
        <v>0</v>
      </c>
      <c r="QR496" s="98">
        <f t="shared" si="3113"/>
        <v>0</v>
      </c>
      <c r="QS496" s="98">
        <f t="shared" si="3113"/>
        <v>0</v>
      </c>
      <c r="QT496" s="98">
        <f t="shared" si="3113"/>
        <v>0</v>
      </c>
      <c r="QU496" s="98">
        <f t="shared" si="3113"/>
        <v>0</v>
      </c>
      <c r="QV496" s="98">
        <f t="shared" si="3113"/>
        <v>0</v>
      </c>
      <c r="QW496" s="198">
        <f t="shared" si="2684"/>
        <v>0</v>
      </c>
      <c r="QX496" s="198">
        <f t="shared" si="2685"/>
        <v>0</v>
      </c>
      <c r="QY496" s="98">
        <f t="shared" ref="QY496:RL496" si="3114">SUM(QY25,QY63,QY101,QY139,QY177,QY215,QY253,QY291,QY329,QY367,QY405,QY443)</f>
        <v>0</v>
      </c>
      <c r="QZ496" s="98">
        <f t="shared" si="3114"/>
        <v>0</v>
      </c>
      <c r="RA496" s="98">
        <f t="shared" si="3114"/>
        <v>0</v>
      </c>
      <c r="RB496" s="98">
        <f t="shared" si="3114"/>
        <v>0</v>
      </c>
      <c r="RC496" s="98">
        <f t="shared" si="3114"/>
        <v>0</v>
      </c>
      <c r="RD496" s="98">
        <f t="shared" si="3114"/>
        <v>0</v>
      </c>
      <c r="RE496" s="98">
        <f t="shared" si="3114"/>
        <v>0</v>
      </c>
      <c r="RF496" s="98">
        <f t="shared" si="3114"/>
        <v>0</v>
      </c>
      <c r="RG496" s="98">
        <f t="shared" si="3114"/>
        <v>0</v>
      </c>
      <c r="RH496" s="98">
        <f t="shared" si="3114"/>
        <v>0</v>
      </c>
      <c r="RI496" s="98">
        <f t="shared" si="3114"/>
        <v>0</v>
      </c>
      <c r="RJ496" s="98">
        <f t="shared" si="3114"/>
        <v>0</v>
      </c>
      <c r="RK496" s="98">
        <f t="shared" si="3114"/>
        <v>0</v>
      </c>
      <c r="RL496" s="98">
        <f t="shared" si="3114"/>
        <v>0</v>
      </c>
      <c r="RM496" s="198">
        <f t="shared" si="2687"/>
        <v>0</v>
      </c>
      <c r="RN496" s="198">
        <f t="shared" si="2688"/>
        <v>0</v>
      </c>
      <c r="RO496" s="98">
        <f t="shared" ref="RO496:SB496" si="3115">SUM(RO25,RO63,RO101,RO139,RO177,RO215,RO253,RO291,RO329,RO367,RO405,RO443)</f>
        <v>0</v>
      </c>
      <c r="RP496" s="98">
        <f t="shared" si="3115"/>
        <v>0</v>
      </c>
      <c r="RQ496" s="98">
        <f t="shared" si="3115"/>
        <v>0</v>
      </c>
      <c r="RR496" s="98">
        <f t="shared" si="3115"/>
        <v>0</v>
      </c>
      <c r="RS496" s="98">
        <f t="shared" si="3115"/>
        <v>0</v>
      </c>
      <c r="RT496" s="98">
        <f t="shared" si="3115"/>
        <v>0</v>
      </c>
      <c r="RU496" s="98">
        <f t="shared" si="3115"/>
        <v>0</v>
      </c>
      <c r="RV496" s="98">
        <f t="shared" si="3115"/>
        <v>0</v>
      </c>
      <c r="RW496" s="98">
        <f t="shared" si="3115"/>
        <v>0</v>
      </c>
      <c r="RX496" s="98">
        <f t="shared" si="3115"/>
        <v>0</v>
      </c>
      <c r="RY496" s="98">
        <f t="shared" si="3115"/>
        <v>0</v>
      </c>
      <c r="RZ496" s="98">
        <f t="shared" si="3115"/>
        <v>0</v>
      </c>
      <c r="SA496" s="98">
        <f t="shared" si="3115"/>
        <v>0</v>
      </c>
      <c r="SB496" s="98">
        <f t="shared" si="3115"/>
        <v>0</v>
      </c>
      <c r="SC496" s="198">
        <f t="shared" si="2690"/>
        <v>0</v>
      </c>
      <c r="SD496" s="198">
        <f t="shared" si="2691"/>
        <v>0</v>
      </c>
      <c r="SE496" s="98">
        <f t="shared" ref="SE496:SR496" si="3116">SUM(SE25,SE63,SE101,SE139,SE177,SE215,SE253,SE291,SE329,SE367,SE405,SE443)</f>
        <v>0</v>
      </c>
      <c r="SF496" s="98">
        <f t="shared" si="3116"/>
        <v>0</v>
      </c>
      <c r="SG496" s="98">
        <f t="shared" si="3116"/>
        <v>0</v>
      </c>
      <c r="SH496" s="98">
        <f t="shared" si="3116"/>
        <v>0</v>
      </c>
      <c r="SI496" s="98">
        <f t="shared" si="3116"/>
        <v>0</v>
      </c>
      <c r="SJ496" s="98">
        <f t="shared" si="3116"/>
        <v>0</v>
      </c>
      <c r="SK496" s="98">
        <f t="shared" si="3116"/>
        <v>0</v>
      </c>
      <c r="SL496" s="98">
        <f t="shared" si="3116"/>
        <v>0</v>
      </c>
      <c r="SM496" s="98">
        <f t="shared" si="3116"/>
        <v>0</v>
      </c>
      <c r="SN496" s="98">
        <f t="shared" si="3116"/>
        <v>0</v>
      </c>
      <c r="SO496" s="98">
        <f t="shared" si="3116"/>
        <v>0</v>
      </c>
      <c r="SP496" s="98">
        <f t="shared" si="3116"/>
        <v>0</v>
      </c>
      <c r="SQ496" s="98">
        <f t="shared" si="3116"/>
        <v>0</v>
      </c>
      <c r="SR496" s="98">
        <f t="shared" si="3116"/>
        <v>0</v>
      </c>
      <c r="SS496" s="198">
        <f t="shared" si="2693"/>
        <v>0</v>
      </c>
      <c r="ST496" s="198">
        <f t="shared" si="2694"/>
        <v>0</v>
      </c>
      <c r="SU496" s="98">
        <f t="shared" ref="SU496:TH496" si="3117">SUM(SU25,SU63,SU101,SU139,SU177,SU215,SU253,SU291,SU329,SU367,SU405,SU443)</f>
        <v>0</v>
      </c>
      <c r="SV496" s="98">
        <f t="shared" si="3117"/>
        <v>0</v>
      </c>
      <c r="SW496" s="98">
        <f t="shared" si="3117"/>
        <v>0</v>
      </c>
      <c r="SX496" s="98">
        <f t="shared" si="3117"/>
        <v>0</v>
      </c>
      <c r="SY496" s="98">
        <f t="shared" si="3117"/>
        <v>0</v>
      </c>
      <c r="SZ496" s="98">
        <f t="shared" si="3117"/>
        <v>0</v>
      </c>
      <c r="TA496" s="98">
        <f t="shared" si="3117"/>
        <v>0</v>
      </c>
      <c r="TB496" s="98">
        <f t="shared" si="3117"/>
        <v>0</v>
      </c>
      <c r="TC496" s="98">
        <f t="shared" si="3117"/>
        <v>0</v>
      </c>
      <c r="TD496" s="98">
        <f t="shared" si="3117"/>
        <v>0</v>
      </c>
      <c r="TE496" s="98">
        <f t="shared" si="3117"/>
        <v>0</v>
      </c>
      <c r="TF496" s="98">
        <f t="shared" si="3117"/>
        <v>0</v>
      </c>
      <c r="TG496" s="98">
        <f t="shared" si="3117"/>
        <v>0</v>
      </c>
      <c r="TH496" s="98">
        <f t="shared" si="3117"/>
        <v>0</v>
      </c>
      <c r="TI496" s="198">
        <f t="shared" si="2696"/>
        <v>0</v>
      </c>
      <c r="TJ496" s="198">
        <f t="shared" si="2697"/>
        <v>0</v>
      </c>
      <c r="TK496" s="98">
        <f t="shared" ref="TK496:TX496" si="3118">SUM(TK25,TK63,TK101,TK139,TK177,TK215,TK253,TK291,TK329,TK367,TK405,TK443)</f>
        <v>0</v>
      </c>
      <c r="TL496" s="98">
        <f t="shared" si="3118"/>
        <v>0</v>
      </c>
      <c r="TM496" s="98">
        <f t="shared" si="3118"/>
        <v>0</v>
      </c>
      <c r="TN496" s="98">
        <f t="shared" si="3118"/>
        <v>0</v>
      </c>
      <c r="TO496" s="98">
        <f t="shared" si="3118"/>
        <v>0</v>
      </c>
      <c r="TP496" s="98">
        <f t="shared" si="3118"/>
        <v>0</v>
      </c>
      <c r="TQ496" s="98">
        <f t="shared" si="3118"/>
        <v>0</v>
      </c>
      <c r="TR496" s="98">
        <f t="shared" si="3118"/>
        <v>0</v>
      </c>
      <c r="TS496" s="98">
        <f t="shared" si="3118"/>
        <v>0</v>
      </c>
      <c r="TT496" s="98">
        <f t="shared" si="3118"/>
        <v>0</v>
      </c>
      <c r="TU496" s="98">
        <f t="shared" si="3118"/>
        <v>0</v>
      </c>
      <c r="TV496" s="98">
        <f t="shared" si="3118"/>
        <v>0</v>
      </c>
      <c r="TW496" s="98">
        <f t="shared" si="3118"/>
        <v>0</v>
      </c>
      <c r="TX496" s="98">
        <f t="shared" si="3118"/>
        <v>0</v>
      </c>
      <c r="TY496" s="198">
        <f t="shared" si="2699"/>
        <v>0</v>
      </c>
      <c r="TZ496" s="198">
        <f t="shared" si="2700"/>
        <v>0</v>
      </c>
      <c r="UA496" s="98">
        <f t="shared" ref="UA496:UN496" si="3119">SUM(UA25,UA63,UA101,UA139,UA177,UA215,UA253,UA291,UA329,UA367,UA405,UA443)</f>
        <v>0</v>
      </c>
      <c r="UB496" s="98">
        <f t="shared" si="3119"/>
        <v>0</v>
      </c>
      <c r="UC496" s="98">
        <f t="shared" si="3119"/>
        <v>0</v>
      </c>
      <c r="UD496" s="98">
        <f t="shared" si="3119"/>
        <v>0</v>
      </c>
      <c r="UE496" s="98">
        <f t="shared" si="3119"/>
        <v>0</v>
      </c>
      <c r="UF496" s="98">
        <f t="shared" si="3119"/>
        <v>0</v>
      </c>
      <c r="UG496" s="98">
        <f t="shared" si="3119"/>
        <v>0</v>
      </c>
      <c r="UH496" s="98">
        <f t="shared" si="3119"/>
        <v>0</v>
      </c>
      <c r="UI496" s="98">
        <f t="shared" si="3119"/>
        <v>0</v>
      </c>
      <c r="UJ496" s="98">
        <f t="shared" si="3119"/>
        <v>0</v>
      </c>
      <c r="UK496" s="98">
        <f t="shared" si="3119"/>
        <v>0</v>
      </c>
      <c r="UL496" s="98">
        <f t="shared" si="3119"/>
        <v>0</v>
      </c>
      <c r="UM496" s="98">
        <f t="shared" si="3119"/>
        <v>0</v>
      </c>
      <c r="UN496" s="98">
        <f t="shared" si="3119"/>
        <v>0</v>
      </c>
      <c r="UO496" s="198">
        <f t="shared" si="2702"/>
        <v>0</v>
      </c>
      <c r="UP496" s="198">
        <f t="shared" si="2703"/>
        <v>0</v>
      </c>
      <c r="UQ496" s="98">
        <f t="shared" ref="UQ496:VD496" si="3120">SUM(UQ25,UQ63,UQ101,UQ139,UQ177,UQ215,UQ253,UQ291,UQ329,UQ367,UQ405,UQ443)</f>
        <v>0</v>
      </c>
      <c r="UR496" s="98">
        <f t="shared" si="3120"/>
        <v>0</v>
      </c>
      <c r="US496" s="98">
        <f t="shared" si="3120"/>
        <v>0</v>
      </c>
      <c r="UT496" s="98">
        <f t="shared" si="3120"/>
        <v>0</v>
      </c>
      <c r="UU496" s="98">
        <f t="shared" si="3120"/>
        <v>0</v>
      </c>
      <c r="UV496" s="98">
        <f t="shared" si="3120"/>
        <v>0</v>
      </c>
      <c r="UW496" s="98">
        <f t="shared" si="3120"/>
        <v>0</v>
      </c>
      <c r="UX496" s="98">
        <f t="shared" si="3120"/>
        <v>0</v>
      </c>
      <c r="UY496" s="98">
        <f t="shared" si="3120"/>
        <v>0</v>
      </c>
      <c r="UZ496" s="98">
        <f t="shared" si="3120"/>
        <v>0</v>
      </c>
      <c r="VA496" s="98">
        <f t="shared" si="3120"/>
        <v>0</v>
      </c>
      <c r="VB496" s="98">
        <f t="shared" si="3120"/>
        <v>0</v>
      </c>
      <c r="VC496" s="98">
        <f t="shared" si="3120"/>
        <v>0</v>
      </c>
      <c r="VD496" s="98">
        <f t="shared" si="3120"/>
        <v>0</v>
      </c>
      <c r="VE496" s="198">
        <f t="shared" si="2705"/>
        <v>0</v>
      </c>
      <c r="VF496" s="198">
        <f t="shared" si="2706"/>
        <v>0</v>
      </c>
      <c r="VG496" s="98">
        <f t="shared" ref="VG496:VT496" si="3121">SUM(VG25,VG63,VG101,VG139,VG177,VG215,VG253,VG291,VG329,VG367,VG405,VG443)</f>
        <v>0</v>
      </c>
      <c r="VH496" s="98">
        <f t="shared" si="3121"/>
        <v>0</v>
      </c>
      <c r="VI496" s="98">
        <f t="shared" si="3121"/>
        <v>0</v>
      </c>
      <c r="VJ496" s="98">
        <f t="shared" si="3121"/>
        <v>0</v>
      </c>
      <c r="VK496" s="98">
        <f t="shared" si="3121"/>
        <v>0</v>
      </c>
      <c r="VL496" s="98">
        <f t="shared" si="3121"/>
        <v>0</v>
      </c>
      <c r="VM496" s="98">
        <f t="shared" si="3121"/>
        <v>0</v>
      </c>
      <c r="VN496" s="98">
        <f t="shared" si="3121"/>
        <v>0</v>
      </c>
      <c r="VO496" s="98">
        <f t="shared" si="3121"/>
        <v>0</v>
      </c>
      <c r="VP496" s="98">
        <f t="shared" si="3121"/>
        <v>0</v>
      </c>
      <c r="VQ496" s="98">
        <f t="shared" si="3121"/>
        <v>0</v>
      </c>
      <c r="VR496" s="98">
        <f t="shared" si="3121"/>
        <v>0</v>
      </c>
      <c r="VS496" s="98">
        <f t="shared" si="3121"/>
        <v>0</v>
      </c>
      <c r="VT496" s="98">
        <f t="shared" si="3121"/>
        <v>0</v>
      </c>
      <c r="VU496" s="198">
        <f t="shared" si="2708"/>
        <v>0</v>
      </c>
      <c r="VV496" s="198">
        <f t="shared" si="2709"/>
        <v>0</v>
      </c>
      <c r="VW496" s="98">
        <f t="shared" ref="VW496:WJ496" si="3122">SUM(VW25,VW63,VW101,VW139,VW177,VW215,VW253,VW291,VW329,VW367,VW405,VW443)</f>
        <v>0</v>
      </c>
      <c r="VX496" s="98">
        <f t="shared" si="3122"/>
        <v>0</v>
      </c>
      <c r="VY496" s="98">
        <f t="shared" si="3122"/>
        <v>0</v>
      </c>
      <c r="VZ496" s="98">
        <f t="shared" si="3122"/>
        <v>0</v>
      </c>
      <c r="WA496" s="98">
        <f t="shared" si="3122"/>
        <v>0</v>
      </c>
      <c r="WB496" s="98">
        <f t="shared" si="3122"/>
        <v>0</v>
      </c>
      <c r="WC496" s="98">
        <f t="shared" si="3122"/>
        <v>0</v>
      </c>
      <c r="WD496" s="98">
        <f t="shared" si="3122"/>
        <v>0</v>
      </c>
      <c r="WE496" s="98">
        <f t="shared" si="3122"/>
        <v>0</v>
      </c>
      <c r="WF496" s="98">
        <f t="shared" si="3122"/>
        <v>0</v>
      </c>
      <c r="WG496" s="98">
        <f t="shared" si="3122"/>
        <v>0</v>
      </c>
      <c r="WH496" s="98">
        <f t="shared" si="3122"/>
        <v>0</v>
      </c>
      <c r="WI496" s="98">
        <f t="shared" si="3122"/>
        <v>0</v>
      </c>
      <c r="WJ496" s="98">
        <f t="shared" si="3122"/>
        <v>0</v>
      </c>
      <c r="WK496" s="198">
        <f t="shared" si="2711"/>
        <v>0</v>
      </c>
      <c r="WL496" s="198">
        <f t="shared" si="2712"/>
        <v>0</v>
      </c>
      <c r="WN496" s="98">
        <f t="shared" si="2713"/>
        <v>291245</v>
      </c>
      <c r="WO496" s="98">
        <f t="shared" si="2714"/>
        <v>80853400</v>
      </c>
      <c r="WP496" s="98">
        <f t="shared" si="2715"/>
        <v>1055740.9829788271</v>
      </c>
      <c r="WQ496" s="98">
        <f t="shared" si="2716"/>
        <v>106337775.873</v>
      </c>
      <c r="WR496" s="98">
        <f t="shared" si="2717"/>
        <v>0</v>
      </c>
      <c r="WS496" s="98">
        <f t="shared" si="2718"/>
        <v>0</v>
      </c>
      <c r="WT496" s="98">
        <f t="shared" si="2719"/>
        <v>0</v>
      </c>
      <c r="WU496" s="98">
        <f t="shared" si="2720"/>
        <v>0</v>
      </c>
      <c r="WV496" s="98">
        <f t="shared" si="2721"/>
        <v>0</v>
      </c>
      <c r="WW496" s="98">
        <f t="shared" si="2722"/>
        <v>0</v>
      </c>
      <c r="WX496" s="98">
        <f t="shared" si="2723"/>
        <v>0</v>
      </c>
      <c r="WY496" s="98">
        <f t="shared" si="2724"/>
        <v>0</v>
      </c>
      <c r="WZ496" s="98">
        <f t="shared" si="2725"/>
        <v>0</v>
      </c>
      <c r="XA496" s="98">
        <f t="shared" si="2726"/>
        <v>0</v>
      </c>
      <c r="XB496" s="107">
        <f t="shared" si="2727"/>
        <v>1346985.9829788271</v>
      </c>
      <c r="XC496" s="107">
        <f t="shared" si="2728"/>
        <v>187191175.873</v>
      </c>
      <c r="XK496" s="98">
        <f t="shared" si="2729"/>
        <v>0</v>
      </c>
      <c r="XL496" s="98">
        <f t="shared" si="2730"/>
        <v>0</v>
      </c>
      <c r="XM496" s="98">
        <f t="shared" si="2731"/>
        <v>0</v>
      </c>
      <c r="XN496" s="98">
        <f t="shared" si="2732"/>
        <v>0</v>
      </c>
      <c r="XO496" s="98">
        <f t="shared" si="2733"/>
        <v>188538161.85597882</v>
      </c>
      <c r="XP496" s="98">
        <f t="shared" si="2734"/>
        <v>81144645</v>
      </c>
      <c r="XQ496" s="98">
        <f t="shared" si="2735"/>
        <v>107393516.85597882</v>
      </c>
      <c r="XR496" s="107">
        <f t="shared" ca="1" si="2597"/>
        <v>377840819.69493645</v>
      </c>
      <c r="XT496" s="98">
        <f t="shared" si="2736"/>
        <v>187482420.873</v>
      </c>
      <c r="XU496" s="98">
        <f t="shared" si="2737"/>
        <v>81909140.982978821</v>
      </c>
      <c r="XV496" s="98">
        <f t="shared" si="2738"/>
        <v>106337775.873</v>
      </c>
      <c r="XW496" s="98">
        <f t="shared" si="2739"/>
        <v>0</v>
      </c>
      <c r="XX496" s="98">
        <f t="shared" si="2740"/>
        <v>0</v>
      </c>
      <c r="XY496" s="98">
        <f t="shared" si="2741"/>
        <v>0</v>
      </c>
      <c r="XZ496" s="98">
        <f t="shared" si="2742"/>
        <v>188538161.85597882</v>
      </c>
      <c r="YA496" s="107">
        <f t="shared" ca="1" si="2598"/>
        <v>482358358.60197878</v>
      </c>
    </row>
    <row r="497" spans="2:651">
      <c r="B497" s="90" t="str">
        <f t="shared" si="2558"/>
        <v>Kerong Kerong</v>
      </c>
      <c r="C497" s="98">
        <f t="shared" ref="C497:P497" si="3123">SUM(C26,C64,C102,C140,C178,C216,C254,C292,C330,C368,C406,C444)</f>
        <v>0</v>
      </c>
      <c r="D497" s="98">
        <f t="shared" si="3123"/>
        <v>0</v>
      </c>
      <c r="E497" s="98">
        <f t="shared" si="3123"/>
        <v>0</v>
      </c>
      <c r="F497" s="98">
        <f t="shared" si="3123"/>
        <v>0</v>
      </c>
      <c r="G497" s="98">
        <f t="shared" si="3123"/>
        <v>0</v>
      </c>
      <c r="H497" s="98">
        <f t="shared" si="3123"/>
        <v>0</v>
      </c>
      <c r="I497" s="98">
        <f t="shared" si="3123"/>
        <v>0</v>
      </c>
      <c r="J497" s="98">
        <f t="shared" si="3123"/>
        <v>0</v>
      </c>
      <c r="K497" s="98">
        <f t="shared" si="3123"/>
        <v>0</v>
      </c>
      <c r="L497" s="98">
        <f t="shared" si="3123"/>
        <v>0</v>
      </c>
      <c r="M497" s="98">
        <f t="shared" si="3123"/>
        <v>0</v>
      </c>
      <c r="N497" s="98">
        <f t="shared" si="3123"/>
        <v>0</v>
      </c>
      <c r="O497" s="98">
        <f t="shared" si="3123"/>
        <v>0</v>
      </c>
      <c r="P497" s="98">
        <f t="shared" si="3123"/>
        <v>0</v>
      </c>
      <c r="Q497" s="198">
        <f t="shared" si="2600"/>
        <v>0</v>
      </c>
      <c r="R497" s="198">
        <f t="shared" si="2601"/>
        <v>0</v>
      </c>
      <c r="S497" s="98">
        <f t="shared" ref="S497:AF497" si="3124">SUM(S26,S64,S102,S140,S178,S216,S254,S292,S330,S368,S406,S444)</f>
        <v>0</v>
      </c>
      <c r="T497" s="98">
        <f t="shared" si="3124"/>
        <v>0</v>
      </c>
      <c r="U497" s="98">
        <f t="shared" si="3124"/>
        <v>0</v>
      </c>
      <c r="V497" s="98">
        <f t="shared" si="3124"/>
        <v>0</v>
      </c>
      <c r="W497" s="98">
        <f t="shared" si="3124"/>
        <v>0</v>
      </c>
      <c r="X497" s="98">
        <f t="shared" si="3124"/>
        <v>0</v>
      </c>
      <c r="Y497" s="98">
        <f t="shared" si="3124"/>
        <v>519905</v>
      </c>
      <c r="Z497" s="98">
        <f t="shared" si="3124"/>
        <v>10398100</v>
      </c>
      <c r="AA497" s="98">
        <f t="shared" si="3124"/>
        <v>0</v>
      </c>
      <c r="AB497" s="98">
        <f t="shared" si="3124"/>
        <v>0</v>
      </c>
      <c r="AC497" s="98">
        <f t="shared" si="3124"/>
        <v>0</v>
      </c>
      <c r="AD497" s="98">
        <f t="shared" si="3124"/>
        <v>0</v>
      </c>
      <c r="AE497" s="98">
        <f t="shared" si="3124"/>
        <v>0</v>
      </c>
      <c r="AF497" s="98">
        <f t="shared" si="3124"/>
        <v>0</v>
      </c>
      <c r="AG497" s="198">
        <f t="shared" si="2603"/>
        <v>519905</v>
      </c>
      <c r="AH497" s="198">
        <f t="shared" si="2604"/>
        <v>10398100</v>
      </c>
      <c r="AI497" s="98">
        <f t="shared" ref="AI497:AV497" si="3125">SUM(AI26,AI64,AI102,AI140,AI178,AI216,AI254,AI292,AI330,AI368,AI406,AI444)</f>
        <v>0</v>
      </c>
      <c r="AJ497" s="98">
        <f t="shared" si="3125"/>
        <v>0</v>
      </c>
      <c r="AK497" s="98">
        <f t="shared" si="3125"/>
        <v>0</v>
      </c>
      <c r="AL497" s="98">
        <f t="shared" si="3125"/>
        <v>0</v>
      </c>
      <c r="AM497" s="98">
        <f t="shared" si="3125"/>
        <v>0</v>
      </c>
      <c r="AN497" s="98">
        <f t="shared" si="3125"/>
        <v>0</v>
      </c>
      <c r="AO497" s="98">
        <f t="shared" si="3125"/>
        <v>0</v>
      </c>
      <c r="AP497" s="98">
        <f t="shared" si="3125"/>
        <v>0</v>
      </c>
      <c r="AQ497" s="98">
        <f t="shared" si="3125"/>
        <v>0</v>
      </c>
      <c r="AR497" s="98">
        <f t="shared" si="3125"/>
        <v>0</v>
      </c>
      <c r="AS497" s="98">
        <f t="shared" si="3125"/>
        <v>0</v>
      </c>
      <c r="AT497" s="98">
        <f t="shared" si="3125"/>
        <v>0</v>
      </c>
      <c r="AU497" s="98">
        <f t="shared" si="3125"/>
        <v>0</v>
      </c>
      <c r="AV497" s="98">
        <f t="shared" si="3125"/>
        <v>0</v>
      </c>
      <c r="AW497" s="198">
        <f t="shared" si="2606"/>
        <v>0</v>
      </c>
      <c r="AX497" s="198">
        <f t="shared" si="2607"/>
        <v>0</v>
      </c>
      <c r="AY497" s="98">
        <f t="shared" ref="AY497:BL497" si="3126">SUM(AY26,AY64,AY102,AY140,AY178,AY216,AY254,AY292,AY330,AY368,AY406,AY444)</f>
        <v>0</v>
      </c>
      <c r="AZ497" s="98">
        <f t="shared" si="3126"/>
        <v>0</v>
      </c>
      <c r="BA497" s="98">
        <f t="shared" si="3126"/>
        <v>0</v>
      </c>
      <c r="BB497" s="98">
        <f t="shared" si="3126"/>
        <v>0</v>
      </c>
      <c r="BC497" s="98">
        <f t="shared" si="3126"/>
        <v>0</v>
      </c>
      <c r="BD497" s="98">
        <f t="shared" si="3126"/>
        <v>0</v>
      </c>
      <c r="BE497" s="98">
        <f t="shared" si="3126"/>
        <v>0</v>
      </c>
      <c r="BF497" s="98">
        <f t="shared" si="3126"/>
        <v>0</v>
      </c>
      <c r="BG497" s="98">
        <f t="shared" si="3126"/>
        <v>0</v>
      </c>
      <c r="BH497" s="98">
        <f t="shared" si="3126"/>
        <v>0</v>
      </c>
      <c r="BI497" s="98">
        <f t="shared" si="3126"/>
        <v>0</v>
      </c>
      <c r="BJ497" s="98">
        <f t="shared" si="3126"/>
        <v>0</v>
      </c>
      <c r="BK497" s="98">
        <f t="shared" si="3126"/>
        <v>0</v>
      </c>
      <c r="BL497" s="98">
        <f t="shared" si="3126"/>
        <v>0</v>
      </c>
      <c r="BM497" s="198">
        <f t="shared" si="2609"/>
        <v>0</v>
      </c>
      <c r="BN497" s="198">
        <f t="shared" si="2610"/>
        <v>0</v>
      </c>
      <c r="BO497" s="98">
        <f t="shared" ref="BO497:CB497" si="3127">SUM(BO26,BO64,BO102,BO140,BO178,BO216,BO254,BO292,BO330,BO368,BO406,BO444)</f>
        <v>0</v>
      </c>
      <c r="BP497" s="98">
        <f t="shared" si="3127"/>
        <v>0</v>
      </c>
      <c r="BQ497" s="98">
        <f t="shared" si="3127"/>
        <v>0</v>
      </c>
      <c r="BR497" s="98">
        <f t="shared" si="3127"/>
        <v>0</v>
      </c>
      <c r="BS497" s="98">
        <f t="shared" si="3127"/>
        <v>0</v>
      </c>
      <c r="BT497" s="98">
        <f t="shared" si="3127"/>
        <v>0</v>
      </c>
      <c r="BU497" s="98">
        <f t="shared" si="3127"/>
        <v>0</v>
      </c>
      <c r="BV497" s="98">
        <f t="shared" si="3127"/>
        <v>0</v>
      </c>
      <c r="BW497" s="98">
        <f t="shared" si="3127"/>
        <v>0</v>
      </c>
      <c r="BX497" s="98">
        <f t="shared" si="3127"/>
        <v>0</v>
      </c>
      <c r="BY497" s="98">
        <f t="shared" si="3127"/>
        <v>0</v>
      </c>
      <c r="BZ497" s="98">
        <f t="shared" si="3127"/>
        <v>0</v>
      </c>
      <c r="CA497" s="98">
        <f t="shared" si="3127"/>
        <v>0</v>
      </c>
      <c r="CB497" s="98">
        <f t="shared" si="3127"/>
        <v>0</v>
      </c>
      <c r="CC497" s="198">
        <f t="shared" si="2612"/>
        <v>0</v>
      </c>
      <c r="CD497" s="198">
        <f t="shared" si="2613"/>
        <v>0</v>
      </c>
      <c r="CE497" s="98">
        <f t="shared" ref="CE497:CR497" si="3128">SUM(CE26,CE64,CE102,CE140,CE178,CE216,CE254,CE292,CE330,CE368,CE406,CE444)</f>
        <v>0</v>
      </c>
      <c r="CF497" s="98">
        <f t="shared" si="3128"/>
        <v>0</v>
      </c>
      <c r="CG497" s="98">
        <f t="shared" si="3128"/>
        <v>0</v>
      </c>
      <c r="CH497" s="98">
        <f t="shared" si="3128"/>
        <v>0</v>
      </c>
      <c r="CI497" s="98">
        <f t="shared" si="3128"/>
        <v>0</v>
      </c>
      <c r="CJ497" s="98">
        <f t="shared" si="3128"/>
        <v>0</v>
      </c>
      <c r="CK497" s="98">
        <f t="shared" si="3128"/>
        <v>0</v>
      </c>
      <c r="CL497" s="98">
        <f t="shared" si="3128"/>
        <v>0</v>
      </c>
      <c r="CM497" s="98">
        <f t="shared" si="3128"/>
        <v>0</v>
      </c>
      <c r="CN497" s="98">
        <f t="shared" si="3128"/>
        <v>0</v>
      </c>
      <c r="CO497" s="98">
        <f t="shared" si="3128"/>
        <v>0</v>
      </c>
      <c r="CP497" s="98">
        <f t="shared" si="3128"/>
        <v>0</v>
      </c>
      <c r="CQ497" s="98">
        <f t="shared" si="3128"/>
        <v>0</v>
      </c>
      <c r="CR497" s="98">
        <f t="shared" si="3128"/>
        <v>0</v>
      </c>
      <c r="CS497" s="198">
        <f t="shared" si="2615"/>
        <v>0</v>
      </c>
      <c r="CT497" s="198">
        <f t="shared" si="2616"/>
        <v>0</v>
      </c>
      <c r="CU497" s="98">
        <f t="shared" ref="CU497:DH497" si="3129">SUM(CU26,CU64,CU102,CU140,CU178,CU216,CU254,CU292,CU330,CU368,CU406,CU444)</f>
        <v>0</v>
      </c>
      <c r="CV497" s="98">
        <f t="shared" si="3129"/>
        <v>0</v>
      </c>
      <c r="CW497" s="98">
        <f t="shared" si="3129"/>
        <v>0</v>
      </c>
      <c r="CX497" s="98">
        <f t="shared" si="3129"/>
        <v>0</v>
      </c>
      <c r="CY497" s="98">
        <f t="shared" si="3129"/>
        <v>0</v>
      </c>
      <c r="CZ497" s="98">
        <f t="shared" si="3129"/>
        <v>0</v>
      </c>
      <c r="DA497" s="98">
        <f t="shared" si="3129"/>
        <v>0</v>
      </c>
      <c r="DB497" s="98">
        <f t="shared" si="3129"/>
        <v>0</v>
      </c>
      <c r="DC497" s="98">
        <f t="shared" si="3129"/>
        <v>0</v>
      </c>
      <c r="DD497" s="98">
        <f t="shared" si="3129"/>
        <v>0</v>
      </c>
      <c r="DE497" s="98">
        <f t="shared" si="3129"/>
        <v>0</v>
      </c>
      <c r="DF497" s="98">
        <f t="shared" si="3129"/>
        <v>0</v>
      </c>
      <c r="DG497" s="98">
        <f t="shared" si="3129"/>
        <v>0</v>
      </c>
      <c r="DH497" s="98">
        <f t="shared" si="3129"/>
        <v>0</v>
      </c>
      <c r="DI497" s="198">
        <f t="shared" si="2618"/>
        <v>0</v>
      </c>
      <c r="DJ497" s="198">
        <f t="shared" si="2619"/>
        <v>0</v>
      </c>
      <c r="DK497" s="98">
        <f t="shared" ref="DK497:DX497" si="3130">SUM(DK26,DK64,DK102,DK140,DK178,DK216,DK254,DK292,DK330,DK368,DK406,DK444)</f>
        <v>0</v>
      </c>
      <c r="DL497" s="98">
        <f t="shared" si="3130"/>
        <v>0</v>
      </c>
      <c r="DM497" s="98">
        <f t="shared" si="3130"/>
        <v>0</v>
      </c>
      <c r="DN497" s="98">
        <f t="shared" si="3130"/>
        <v>0</v>
      </c>
      <c r="DO497" s="98">
        <f t="shared" si="3130"/>
        <v>0</v>
      </c>
      <c r="DP497" s="98">
        <f t="shared" si="3130"/>
        <v>0</v>
      </c>
      <c r="DQ497" s="98">
        <f t="shared" si="3130"/>
        <v>0</v>
      </c>
      <c r="DR497" s="98">
        <f t="shared" si="3130"/>
        <v>0</v>
      </c>
      <c r="DS497" s="98">
        <f t="shared" si="3130"/>
        <v>0</v>
      </c>
      <c r="DT497" s="98">
        <f t="shared" si="3130"/>
        <v>0</v>
      </c>
      <c r="DU497" s="98">
        <f t="shared" si="3130"/>
        <v>0</v>
      </c>
      <c r="DV497" s="98">
        <f t="shared" si="3130"/>
        <v>0</v>
      </c>
      <c r="DW497" s="98">
        <f t="shared" si="3130"/>
        <v>0</v>
      </c>
      <c r="DX497" s="98">
        <f t="shared" si="3130"/>
        <v>0</v>
      </c>
      <c r="DY497" s="198">
        <f t="shared" si="2621"/>
        <v>0</v>
      </c>
      <c r="DZ497" s="198">
        <f t="shared" si="2622"/>
        <v>0</v>
      </c>
      <c r="EA497" s="98">
        <f t="shared" ref="EA497:EN497" si="3131">SUM(EA26,EA64,EA102,EA140,EA178,EA216,EA254,EA292,EA330,EA368,EA406,EA444)</f>
        <v>0</v>
      </c>
      <c r="EB497" s="98">
        <f t="shared" si="3131"/>
        <v>0</v>
      </c>
      <c r="EC497" s="98">
        <f t="shared" si="3131"/>
        <v>0</v>
      </c>
      <c r="ED497" s="98">
        <f t="shared" si="3131"/>
        <v>0</v>
      </c>
      <c r="EE497" s="98">
        <f t="shared" si="3131"/>
        <v>0</v>
      </c>
      <c r="EF497" s="98">
        <f t="shared" si="3131"/>
        <v>0</v>
      </c>
      <c r="EG497" s="98">
        <f t="shared" si="3131"/>
        <v>0</v>
      </c>
      <c r="EH497" s="98">
        <f t="shared" si="3131"/>
        <v>0</v>
      </c>
      <c r="EI497" s="98">
        <f t="shared" si="3131"/>
        <v>0</v>
      </c>
      <c r="EJ497" s="98">
        <f t="shared" si="3131"/>
        <v>0</v>
      </c>
      <c r="EK497" s="98">
        <f t="shared" si="3131"/>
        <v>0</v>
      </c>
      <c r="EL497" s="98">
        <f t="shared" si="3131"/>
        <v>0</v>
      </c>
      <c r="EM497" s="98">
        <f t="shared" si="3131"/>
        <v>0</v>
      </c>
      <c r="EN497" s="98">
        <f t="shared" si="3131"/>
        <v>0</v>
      </c>
      <c r="EO497" s="198">
        <f t="shared" si="2624"/>
        <v>0</v>
      </c>
      <c r="EP497" s="198">
        <f t="shared" si="2625"/>
        <v>0</v>
      </c>
      <c r="EQ497" s="98">
        <f t="shared" ref="EQ497:FD497" si="3132">SUM(EQ26,EQ64,EQ102,EQ140,EQ178,EQ216,EQ254,EQ292,EQ330,EQ368,EQ406,EQ444)</f>
        <v>0</v>
      </c>
      <c r="ER497" s="98">
        <f t="shared" si="3132"/>
        <v>0</v>
      </c>
      <c r="ES497" s="98">
        <f t="shared" si="3132"/>
        <v>0</v>
      </c>
      <c r="ET497" s="98">
        <f t="shared" si="3132"/>
        <v>0</v>
      </c>
      <c r="EU497" s="98">
        <f t="shared" si="3132"/>
        <v>0</v>
      </c>
      <c r="EV497" s="98">
        <f t="shared" si="3132"/>
        <v>0</v>
      </c>
      <c r="EW497" s="98">
        <f t="shared" si="3132"/>
        <v>0</v>
      </c>
      <c r="EX497" s="98">
        <f t="shared" si="3132"/>
        <v>0</v>
      </c>
      <c r="EY497" s="98">
        <f t="shared" si="3132"/>
        <v>0</v>
      </c>
      <c r="EZ497" s="98">
        <f t="shared" si="3132"/>
        <v>0</v>
      </c>
      <c r="FA497" s="98">
        <f t="shared" si="3132"/>
        <v>0</v>
      </c>
      <c r="FB497" s="98">
        <f t="shared" si="3132"/>
        <v>0</v>
      </c>
      <c r="FC497" s="98">
        <f t="shared" si="3132"/>
        <v>0</v>
      </c>
      <c r="FD497" s="98">
        <f t="shared" si="3132"/>
        <v>0</v>
      </c>
      <c r="FE497" s="198">
        <f t="shared" si="2627"/>
        <v>0</v>
      </c>
      <c r="FF497" s="198">
        <f t="shared" si="2628"/>
        <v>0</v>
      </c>
      <c r="FG497" s="98">
        <f t="shared" ref="FG497:FT497" si="3133">SUM(FG26,FG64,FG102,FG140,FG178,FG216,FG254,FG292,FG330,FG368,FG406,FG444)</f>
        <v>0</v>
      </c>
      <c r="FH497" s="98">
        <f t="shared" si="3133"/>
        <v>0</v>
      </c>
      <c r="FI497" s="98">
        <f t="shared" si="3133"/>
        <v>0</v>
      </c>
      <c r="FJ497" s="98">
        <f t="shared" si="3133"/>
        <v>0</v>
      </c>
      <c r="FK497" s="98">
        <f t="shared" si="3133"/>
        <v>0</v>
      </c>
      <c r="FL497" s="98">
        <f t="shared" si="3133"/>
        <v>0</v>
      </c>
      <c r="FM497" s="98">
        <f t="shared" si="3133"/>
        <v>0</v>
      </c>
      <c r="FN497" s="98">
        <f t="shared" si="3133"/>
        <v>0</v>
      </c>
      <c r="FO497" s="98">
        <f t="shared" si="3133"/>
        <v>0</v>
      </c>
      <c r="FP497" s="98">
        <f t="shared" si="3133"/>
        <v>0</v>
      </c>
      <c r="FQ497" s="98">
        <f t="shared" si="3133"/>
        <v>0</v>
      </c>
      <c r="FR497" s="98">
        <f t="shared" si="3133"/>
        <v>0</v>
      </c>
      <c r="FS497" s="98">
        <f t="shared" si="3133"/>
        <v>0</v>
      </c>
      <c r="FT497" s="98">
        <f t="shared" si="3133"/>
        <v>0</v>
      </c>
      <c r="FU497" s="198">
        <f t="shared" si="2630"/>
        <v>0</v>
      </c>
      <c r="FV497" s="198">
        <f t="shared" si="2631"/>
        <v>0</v>
      </c>
      <c r="FW497" s="98">
        <f t="shared" ref="FW497:GJ497" si="3134">SUM(FW26,FW64,FW102,FW140,FW178,FW216,FW254,FW292,FW330,FW368,FW406,FW444)</f>
        <v>0</v>
      </c>
      <c r="FX497" s="98">
        <f t="shared" si="3134"/>
        <v>0</v>
      </c>
      <c r="FY497" s="98">
        <f t="shared" si="3134"/>
        <v>0</v>
      </c>
      <c r="FZ497" s="98">
        <f t="shared" si="3134"/>
        <v>0</v>
      </c>
      <c r="GA497" s="98">
        <f t="shared" si="3134"/>
        <v>0</v>
      </c>
      <c r="GB497" s="98">
        <f t="shared" si="3134"/>
        <v>0</v>
      </c>
      <c r="GC497" s="98">
        <f t="shared" si="3134"/>
        <v>0</v>
      </c>
      <c r="GD497" s="98">
        <f t="shared" si="3134"/>
        <v>0</v>
      </c>
      <c r="GE497" s="98">
        <f t="shared" si="3134"/>
        <v>0</v>
      </c>
      <c r="GF497" s="98">
        <f t="shared" si="3134"/>
        <v>0</v>
      </c>
      <c r="GG497" s="98">
        <f t="shared" si="3134"/>
        <v>0</v>
      </c>
      <c r="GH497" s="98">
        <f t="shared" si="3134"/>
        <v>0</v>
      </c>
      <c r="GI497" s="98">
        <f t="shared" si="3134"/>
        <v>0</v>
      </c>
      <c r="GJ497" s="98">
        <f t="shared" si="3134"/>
        <v>0</v>
      </c>
      <c r="GK497" s="198">
        <f t="shared" si="2633"/>
        <v>0</v>
      </c>
      <c r="GL497" s="198">
        <f t="shared" si="2634"/>
        <v>0</v>
      </c>
      <c r="GM497" s="98">
        <f t="shared" ref="GM497:GZ497" si="3135">SUM(GM26,GM64,GM102,GM140,GM178,GM216,GM254,GM292,GM330,GM368,GM406,GM444)</f>
        <v>0</v>
      </c>
      <c r="GN497" s="98">
        <f t="shared" si="3135"/>
        <v>0</v>
      </c>
      <c r="GO497" s="98">
        <f t="shared" si="3135"/>
        <v>0</v>
      </c>
      <c r="GP497" s="98">
        <f t="shared" si="3135"/>
        <v>0</v>
      </c>
      <c r="GQ497" s="98">
        <f t="shared" si="3135"/>
        <v>0</v>
      </c>
      <c r="GR497" s="98">
        <f t="shared" si="3135"/>
        <v>0</v>
      </c>
      <c r="GS497" s="98">
        <f t="shared" si="3135"/>
        <v>0</v>
      </c>
      <c r="GT497" s="98">
        <f t="shared" si="3135"/>
        <v>0</v>
      </c>
      <c r="GU497" s="98">
        <f t="shared" si="3135"/>
        <v>0</v>
      </c>
      <c r="GV497" s="98">
        <f t="shared" si="3135"/>
        <v>0</v>
      </c>
      <c r="GW497" s="98">
        <f t="shared" si="3135"/>
        <v>0</v>
      </c>
      <c r="GX497" s="98">
        <f t="shared" si="3135"/>
        <v>0</v>
      </c>
      <c r="GY497" s="98">
        <f t="shared" si="3135"/>
        <v>0</v>
      </c>
      <c r="GZ497" s="98">
        <f t="shared" si="3135"/>
        <v>0</v>
      </c>
      <c r="HA497" s="198">
        <f t="shared" si="2636"/>
        <v>0</v>
      </c>
      <c r="HB497" s="198">
        <f t="shared" si="2637"/>
        <v>0</v>
      </c>
      <c r="HC497" s="98">
        <f t="shared" ref="HC497:HP497" si="3136">SUM(HC26,HC64,HC102,HC140,HC178,HC216,HC254,HC292,HC330,HC368,HC406,HC444)</f>
        <v>0</v>
      </c>
      <c r="HD497" s="98">
        <f t="shared" si="3136"/>
        <v>0</v>
      </c>
      <c r="HE497" s="98">
        <f t="shared" si="3136"/>
        <v>0</v>
      </c>
      <c r="HF497" s="98">
        <f t="shared" si="3136"/>
        <v>0</v>
      </c>
      <c r="HG497" s="98">
        <f t="shared" si="3136"/>
        <v>0</v>
      </c>
      <c r="HH497" s="98">
        <f t="shared" si="3136"/>
        <v>0</v>
      </c>
      <c r="HI497" s="98">
        <f t="shared" si="3136"/>
        <v>0</v>
      </c>
      <c r="HJ497" s="98">
        <f t="shared" si="3136"/>
        <v>0</v>
      </c>
      <c r="HK497" s="98">
        <f t="shared" si="3136"/>
        <v>0</v>
      </c>
      <c r="HL497" s="98">
        <f t="shared" si="3136"/>
        <v>0</v>
      </c>
      <c r="HM497" s="98">
        <f t="shared" si="3136"/>
        <v>0</v>
      </c>
      <c r="HN497" s="98">
        <f t="shared" si="3136"/>
        <v>0</v>
      </c>
      <c r="HO497" s="98">
        <f t="shared" si="3136"/>
        <v>0</v>
      </c>
      <c r="HP497" s="98">
        <f t="shared" si="3136"/>
        <v>0</v>
      </c>
      <c r="HQ497" s="198">
        <f t="shared" si="2639"/>
        <v>0</v>
      </c>
      <c r="HR497" s="198">
        <f t="shared" si="2640"/>
        <v>0</v>
      </c>
      <c r="HS497" s="98">
        <f t="shared" ref="HS497:IF497" si="3137">SUM(HS26,HS64,HS102,HS140,HS178,HS216,HS254,HS292,HS330,HS368,HS406,HS444)</f>
        <v>0</v>
      </c>
      <c r="HT497" s="98">
        <f t="shared" si="3137"/>
        <v>0</v>
      </c>
      <c r="HU497" s="98">
        <f t="shared" si="3137"/>
        <v>0</v>
      </c>
      <c r="HV497" s="98">
        <f t="shared" si="3137"/>
        <v>0</v>
      </c>
      <c r="HW497" s="98">
        <f t="shared" si="3137"/>
        <v>0</v>
      </c>
      <c r="HX497" s="98">
        <f t="shared" si="3137"/>
        <v>0</v>
      </c>
      <c r="HY497" s="98">
        <f t="shared" si="3137"/>
        <v>0</v>
      </c>
      <c r="HZ497" s="98">
        <f t="shared" si="3137"/>
        <v>0</v>
      </c>
      <c r="IA497" s="98">
        <f t="shared" si="3137"/>
        <v>0</v>
      </c>
      <c r="IB497" s="98">
        <f t="shared" si="3137"/>
        <v>0</v>
      </c>
      <c r="IC497" s="98">
        <f t="shared" si="3137"/>
        <v>0</v>
      </c>
      <c r="ID497" s="98">
        <f t="shared" si="3137"/>
        <v>0</v>
      </c>
      <c r="IE497" s="98">
        <f t="shared" si="3137"/>
        <v>0</v>
      </c>
      <c r="IF497" s="98">
        <f t="shared" si="3137"/>
        <v>0</v>
      </c>
      <c r="IG497" s="198">
        <f t="shared" si="2642"/>
        <v>0</v>
      </c>
      <c r="IH497" s="198">
        <f t="shared" si="2643"/>
        <v>0</v>
      </c>
      <c r="II497" s="98">
        <f t="shared" ref="II497:IV497" si="3138">SUM(II26,II64,II102,II140,II178,II216,II254,II292,II330,II368,II406,II444)</f>
        <v>0</v>
      </c>
      <c r="IJ497" s="98">
        <f t="shared" si="3138"/>
        <v>0</v>
      </c>
      <c r="IK497" s="98">
        <f t="shared" si="3138"/>
        <v>0</v>
      </c>
      <c r="IL497" s="98">
        <f t="shared" si="3138"/>
        <v>0</v>
      </c>
      <c r="IM497" s="98">
        <f t="shared" si="3138"/>
        <v>0</v>
      </c>
      <c r="IN497" s="98">
        <f t="shared" si="3138"/>
        <v>0</v>
      </c>
      <c r="IO497" s="98">
        <f t="shared" si="3138"/>
        <v>0</v>
      </c>
      <c r="IP497" s="98">
        <f t="shared" si="3138"/>
        <v>0</v>
      </c>
      <c r="IQ497" s="98">
        <f t="shared" si="3138"/>
        <v>0</v>
      </c>
      <c r="IR497" s="98">
        <f t="shared" si="3138"/>
        <v>0</v>
      </c>
      <c r="IS497" s="98">
        <f t="shared" si="3138"/>
        <v>0</v>
      </c>
      <c r="IT497" s="98">
        <f t="shared" si="3138"/>
        <v>0</v>
      </c>
      <c r="IU497" s="98">
        <f t="shared" si="3138"/>
        <v>0</v>
      </c>
      <c r="IV497" s="98">
        <f t="shared" si="3138"/>
        <v>0</v>
      </c>
      <c r="IW497" s="198">
        <f t="shared" si="2645"/>
        <v>0</v>
      </c>
      <c r="IX497" s="198">
        <f t="shared" si="2646"/>
        <v>0</v>
      </c>
      <c r="IY497" s="98">
        <f t="shared" ref="IY497:JL497" si="3139">SUM(IY26,IY64,IY102,IY140,IY178,IY216,IY254,IY292,IY330,IY368,IY406,IY444)</f>
        <v>0</v>
      </c>
      <c r="IZ497" s="98">
        <f t="shared" si="3139"/>
        <v>0</v>
      </c>
      <c r="JA497" s="98">
        <f t="shared" si="3139"/>
        <v>0</v>
      </c>
      <c r="JB497" s="98">
        <f t="shared" si="3139"/>
        <v>0</v>
      </c>
      <c r="JC497" s="98">
        <f t="shared" si="3139"/>
        <v>0</v>
      </c>
      <c r="JD497" s="98">
        <f t="shared" si="3139"/>
        <v>0</v>
      </c>
      <c r="JE497" s="98">
        <f t="shared" si="3139"/>
        <v>0</v>
      </c>
      <c r="JF497" s="98">
        <f t="shared" si="3139"/>
        <v>0</v>
      </c>
      <c r="JG497" s="98">
        <f t="shared" si="3139"/>
        <v>0</v>
      </c>
      <c r="JH497" s="98">
        <f t="shared" si="3139"/>
        <v>0</v>
      </c>
      <c r="JI497" s="98">
        <f t="shared" si="3139"/>
        <v>0</v>
      </c>
      <c r="JJ497" s="98">
        <f t="shared" si="3139"/>
        <v>0</v>
      </c>
      <c r="JK497" s="98">
        <f t="shared" si="3139"/>
        <v>0</v>
      </c>
      <c r="JL497" s="98">
        <f t="shared" si="3139"/>
        <v>0</v>
      </c>
      <c r="JM497" s="198">
        <f t="shared" si="2648"/>
        <v>0</v>
      </c>
      <c r="JN497" s="198">
        <f t="shared" si="2649"/>
        <v>0</v>
      </c>
      <c r="JO497" s="98">
        <f t="shared" ref="JO497:KB497" si="3140">SUM(JO26,JO64,JO102,JO140,JO178,JO216,JO254,JO292,JO330,JO368,JO406,JO444)</f>
        <v>0</v>
      </c>
      <c r="JP497" s="98">
        <f t="shared" si="3140"/>
        <v>0</v>
      </c>
      <c r="JQ497" s="98">
        <f t="shared" si="3140"/>
        <v>0</v>
      </c>
      <c r="JR497" s="98">
        <f t="shared" si="3140"/>
        <v>0</v>
      </c>
      <c r="JS497" s="98">
        <f t="shared" si="3140"/>
        <v>0</v>
      </c>
      <c r="JT497" s="98">
        <f t="shared" si="3140"/>
        <v>0</v>
      </c>
      <c r="JU497" s="98">
        <f t="shared" si="3140"/>
        <v>0</v>
      </c>
      <c r="JV497" s="98">
        <f t="shared" si="3140"/>
        <v>0</v>
      </c>
      <c r="JW497" s="98">
        <f t="shared" si="3140"/>
        <v>0</v>
      </c>
      <c r="JX497" s="98">
        <f t="shared" si="3140"/>
        <v>0</v>
      </c>
      <c r="JY497" s="98">
        <f t="shared" si="3140"/>
        <v>0</v>
      </c>
      <c r="JZ497" s="98">
        <f t="shared" si="3140"/>
        <v>0</v>
      </c>
      <c r="KA497" s="98">
        <f t="shared" si="3140"/>
        <v>0</v>
      </c>
      <c r="KB497" s="98">
        <f t="shared" si="3140"/>
        <v>0</v>
      </c>
      <c r="KC497" s="198">
        <f t="shared" si="2651"/>
        <v>0</v>
      </c>
      <c r="KD497" s="198">
        <f t="shared" si="2652"/>
        <v>0</v>
      </c>
      <c r="KE497" s="98">
        <f t="shared" ref="KE497:KR497" si="3141">SUM(KE26,KE64,KE102,KE140,KE178,KE216,KE254,KE292,KE330,KE368,KE406,KE444)</f>
        <v>0</v>
      </c>
      <c r="KF497" s="98">
        <f t="shared" si="3141"/>
        <v>0</v>
      </c>
      <c r="KG497" s="98">
        <f t="shared" si="3141"/>
        <v>0</v>
      </c>
      <c r="KH497" s="98">
        <f t="shared" si="3141"/>
        <v>0</v>
      </c>
      <c r="KI497" s="98">
        <f t="shared" si="3141"/>
        <v>0</v>
      </c>
      <c r="KJ497" s="98">
        <f t="shared" si="3141"/>
        <v>0</v>
      </c>
      <c r="KK497" s="98">
        <f t="shared" si="3141"/>
        <v>0</v>
      </c>
      <c r="KL497" s="98">
        <f t="shared" si="3141"/>
        <v>0</v>
      </c>
      <c r="KM497" s="98">
        <f t="shared" si="3141"/>
        <v>0</v>
      </c>
      <c r="KN497" s="98">
        <f t="shared" si="3141"/>
        <v>0</v>
      </c>
      <c r="KO497" s="98">
        <f t="shared" si="3141"/>
        <v>0</v>
      </c>
      <c r="KP497" s="98">
        <f t="shared" si="3141"/>
        <v>0</v>
      </c>
      <c r="KQ497" s="98">
        <f t="shared" si="3141"/>
        <v>0</v>
      </c>
      <c r="KR497" s="98">
        <f t="shared" si="3141"/>
        <v>0</v>
      </c>
      <c r="KS497" s="198">
        <f t="shared" si="2654"/>
        <v>0</v>
      </c>
      <c r="KT497" s="198">
        <f t="shared" si="2655"/>
        <v>0</v>
      </c>
      <c r="KU497" s="98">
        <f t="shared" ref="KU497:LH497" si="3142">SUM(KU26,KU64,KU102,KU140,KU178,KU216,KU254,KU292,KU330,KU368,KU406,KU444)</f>
        <v>0</v>
      </c>
      <c r="KV497" s="98">
        <f t="shared" si="3142"/>
        <v>0</v>
      </c>
      <c r="KW497" s="98">
        <f t="shared" si="3142"/>
        <v>0</v>
      </c>
      <c r="KX497" s="98">
        <f t="shared" si="3142"/>
        <v>0</v>
      </c>
      <c r="KY497" s="98">
        <f t="shared" si="3142"/>
        <v>0</v>
      </c>
      <c r="KZ497" s="98">
        <f t="shared" si="3142"/>
        <v>0</v>
      </c>
      <c r="LA497" s="98">
        <f t="shared" si="3142"/>
        <v>0</v>
      </c>
      <c r="LB497" s="98">
        <f t="shared" si="3142"/>
        <v>0</v>
      </c>
      <c r="LC497" s="98">
        <f t="shared" si="3142"/>
        <v>0</v>
      </c>
      <c r="LD497" s="98">
        <f t="shared" si="3142"/>
        <v>0</v>
      </c>
      <c r="LE497" s="98">
        <f t="shared" si="3142"/>
        <v>0</v>
      </c>
      <c r="LF497" s="98">
        <f t="shared" si="3142"/>
        <v>0</v>
      </c>
      <c r="LG497" s="98">
        <f t="shared" si="3142"/>
        <v>0</v>
      </c>
      <c r="LH497" s="98">
        <f t="shared" si="3142"/>
        <v>0</v>
      </c>
      <c r="LI497" s="198">
        <f t="shared" si="2657"/>
        <v>0</v>
      </c>
      <c r="LJ497" s="198">
        <f t="shared" si="2658"/>
        <v>0</v>
      </c>
      <c r="LK497" s="98">
        <f t="shared" ref="LK497:LX497" si="3143">SUM(LK26,LK64,LK102,LK140,LK178,LK216,LK254,LK292,LK330,LK368,LK406,LK444)</f>
        <v>0</v>
      </c>
      <c r="LL497" s="98">
        <f t="shared" si="3143"/>
        <v>0</v>
      </c>
      <c r="LM497" s="98">
        <f t="shared" si="3143"/>
        <v>0</v>
      </c>
      <c r="LN497" s="98">
        <f t="shared" si="3143"/>
        <v>0</v>
      </c>
      <c r="LO497" s="98">
        <f t="shared" si="3143"/>
        <v>0</v>
      </c>
      <c r="LP497" s="98">
        <f t="shared" si="3143"/>
        <v>0</v>
      </c>
      <c r="LQ497" s="98">
        <f t="shared" si="3143"/>
        <v>0</v>
      </c>
      <c r="LR497" s="98">
        <f t="shared" si="3143"/>
        <v>0</v>
      </c>
      <c r="LS497" s="98">
        <f t="shared" si="3143"/>
        <v>0</v>
      </c>
      <c r="LT497" s="98">
        <f t="shared" si="3143"/>
        <v>0</v>
      </c>
      <c r="LU497" s="98">
        <f t="shared" si="3143"/>
        <v>0</v>
      </c>
      <c r="LV497" s="98">
        <f t="shared" si="3143"/>
        <v>0</v>
      </c>
      <c r="LW497" s="98">
        <f t="shared" si="3143"/>
        <v>0</v>
      </c>
      <c r="LX497" s="98">
        <f t="shared" si="3143"/>
        <v>0</v>
      </c>
      <c r="LY497" s="198">
        <f t="shared" si="2660"/>
        <v>0</v>
      </c>
      <c r="LZ497" s="198">
        <f t="shared" si="2661"/>
        <v>0</v>
      </c>
      <c r="MA497" s="98">
        <f t="shared" ref="MA497:MN497" si="3144">SUM(MA26,MA64,MA102,MA140,MA178,MA216,MA254,MA292,MA330,MA368,MA406,MA444)</f>
        <v>0</v>
      </c>
      <c r="MB497" s="98">
        <f t="shared" si="3144"/>
        <v>0</v>
      </c>
      <c r="MC497" s="98">
        <f t="shared" si="3144"/>
        <v>0</v>
      </c>
      <c r="MD497" s="98">
        <f t="shared" si="3144"/>
        <v>0</v>
      </c>
      <c r="ME497" s="98">
        <f t="shared" si="3144"/>
        <v>0</v>
      </c>
      <c r="MF497" s="98">
        <f t="shared" si="3144"/>
        <v>0</v>
      </c>
      <c r="MG497" s="98">
        <f t="shared" si="3144"/>
        <v>0</v>
      </c>
      <c r="MH497" s="98">
        <f t="shared" si="3144"/>
        <v>0</v>
      </c>
      <c r="MI497" s="98">
        <f t="shared" si="3144"/>
        <v>0</v>
      </c>
      <c r="MJ497" s="98">
        <f t="shared" si="3144"/>
        <v>0</v>
      </c>
      <c r="MK497" s="98">
        <f t="shared" si="3144"/>
        <v>0</v>
      </c>
      <c r="ML497" s="98">
        <f t="shared" si="3144"/>
        <v>0</v>
      </c>
      <c r="MM497" s="98">
        <f t="shared" si="3144"/>
        <v>0</v>
      </c>
      <c r="MN497" s="98">
        <f t="shared" si="3144"/>
        <v>0</v>
      </c>
      <c r="MO497" s="198">
        <f t="shared" si="2663"/>
        <v>0</v>
      </c>
      <c r="MP497" s="198">
        <f t="shared" si="2664"/>
        <v>0</v>
      </c>
      <c r="MQ497" s="98">
        <f t="shared" ref="MQ497:ND497" si="3145">SUM(MQ26,MQ64,MQ102,MQ140,MQ178,MQ216,MQ254,MQ292,MQ330,MQ368,MQ406,MQ444)</f>
        <v>0</v>
      </c>
      <c r="MR497" s="98">
        <f t="shared" si="3145"/>
        <v>0</v>
      </c>
      <c r="MS497" s="98">
        <f t="shared" si="3145"/>
        <v>0</v>
      </c>
      <c r="MT497" s="98">
        <f t="shared" si="3145"/>
        <v>0</v>
      </c>
      <c r="MU497" s="98">
        <f t="shared" si="3145"/>
        <v>0</v>
      </c>
      <c r="MV497" s="98">
        <f t="shared" si="3145"/>
        <v>0</v>
      </c>
      <c r="MW497" s="98">
        <f t="shared" si="3145"/>
        <v>0</v>
      </c>
      <c r="MX497" s="98">
        <f t="shared" si="3145"/>
        <v>0</v>
      </c>
      <c r="MY497" s="98">
        <f t="shared" si="3145"/>
        <v>0</v>
      </c>
      <c r="MZ497" s="98">
        <f t="shared" si="3145"/>
        <v>0</v>
      </c>
      <c r="NA497" s="98">
        <f t="shared" si="3145"/>
        <v>0</v>
      </c>
      <c r="NB497" s="98">
        <f t="shared" si="3145"/>
        <v>0</v>
      </c>
      <c r="NC497" s="98">
        <f t="shared" si="3145"/>
        <v>0</v>
      </c>
      <c r="ND497" s="98">
        <f t="shared" si="3145"/>
        <v>0</v>
      </c>
      <c r="NE497" s="198">
        <f t="shared" si="2666"/>
        <v>0</v>
      </c>
      <c r="NF497" s="198">
        <f t="shared" si="2667"/>
        <v>0</v>
      </c>
      <c r="NG497" s="98">
        <f t="shared" ref="NG497:NT497" si="3146">SUM(NG26,NG64,NG102,NG140,NG178,NG216,NG254,NG292,NG330,NG368,NG406,NG444)</f>
        <v>0</v>
      </c>
      <c r="NH497" s="98">
        <f t="shared" si="3146"/>
        <v>0</v>
      </c>
      <c r="NI497" s="98">
        <f t="shared" si="3146"/>
        <v>0</v>
      </c>
      <c r="NJ497" s="98">
        <f t="shared" si="3146"/>
        <v>0</v>
      </c>
      <c r="NK497" s="98">
        <f t="shared" si="3146"/>
        <v>0</v>
      </c>
      <c r="NL497" s="98">
        <f t="shared" si="3146"/>
        <v>0</v>
      </c>
      <c r="NM497" s="98">
        <f t="shared" si="3146"/>
        <v>0</v>
      </c>
      <c r="NN497" s="98">
        <f t="shared" si="3146"/>
        <v>0</v>
      </c>
      <c r="NO497" s="98">
        <f t="shared" si="3146"/>
        <v>0</v>
      </c>
      <c r="NP497" s="98">
        <f t="shared" si="3146"/>
        <v>0</v>
      </c>
      <c r="NQ497" s="98">
        <f t="shared" si="3146"/>
        <v>0</v>
      </c>
      <c r="NR497" s="98">
        <f t="shared" si="3146"/>
        <v>0</v>
      </c>
      <c r="NS497" s="98">
        <f t="shared" si="3146"/>
        <v>0</v>
      </c>
      <c r="NT497" s="98">
        <f t="shared" si="3146"/>
        <v>0</v>
      </c>
      <c r="NU497" s="198">
        <f t="shared" si="2669"/>
        <v>0</v>
      </c>
      <c r="NV497" s="198">
        <f t="shared" si="2670"/>
        <v>0</v>
      </c>
      <c r="NW497" s="98">
        <f t="shared" ref="NW497:OJ497" si="3147">SUM(NW26,NW64,NW102,NW140,NW178,NW216,NW254,NW292,NW330,NW368,NW406,NW444)</f>
        <v>0</v>
      </c>
      <c r="NX497" s="98">
        <f t="shared" si="3147"/>
        <v>0</v>
      </c>
      <c r="NY497" s="98">
        <f t="shared" si="3147"/>
        <v>0</v>
      </c>
      <c r="NZ497" s="98">
        <f t="shared" si="3147"/>
        <v>0</v>
      </c>
      <c r="OA497" s="98">
        <f t="shared" si="3147"/>
        <v>0</v>
      </c>
      <c r="OB497" s="98">
        <f t="shared" si="3147"/>
        <v>0</v>
      </c>
      <c r="OC497" s="98">
        <f t="shared" si="3147"/>
        <v>0</v>
      </c>
      <c r="OD497" s="98">
        <f t="shared" si="3147"/>
        <v>0</v>
      </c>
      <c r="OE497" s="98">
        <f t="shared" si="3147"/>
        <v>0</v>
      </c>
      <c r="OF497" s="98">
        <f t="shared" si="3147"/>
        <v>0</v>
      </c>
      <c r="OG497" s="98">
        <f t="shared" si="3147"/>
        <v>0</v>
      </c>
      <c r="OH497" s="98">
        <f t="shared" si="3147"/>
        <v>0</v>
      </c>
      <c r="OI497" s="98">
        <f t="shared" si="3147"/>
        <v>0</v>
      </c>
      <c r="OJ497" s="98">
        <f t="shared" si="3147"/>
        <v>0</v>
      </c>
      <c r="OK497" s="198">
        <f t="shared" si="2672"/>
        <v>0</v>
      </c>
      <c r="OL497" s="198">
        <f t="shared" si="2673"/>
        <v>0</v>
      </c>
      <c r="OM497" s="98">
        <f t="shared" ref="OM497:OZ497" si="3148">SUM(OM26,OM64,OM102,OM140,OM178,OM216,OM254,OM292,OM330,OM368,OM406,OM444)</f>
        <v>0</v>
      </c>
      <c r="ON497" s="98">
        <f t="shared" si="3148"/>
        <v>0</v>
      </c>
      <c r="OO497" s="98">
        <f t="shared" si="3148"/>
        <v>0</v>
      </c>
      <c r="OP497" s="98">
        <f t="shared" si="3148"/>
        <v>0</v>
      </c>
      <c r="OQ497" s="98">
        <f t="shared" si="3148"/>
        <v>0</v>
      </c>
      <c r="OR497" s="98">
        <f t="shared" si="3148"/>
        <v>0</v>
      </c>
      <c r="OS497" s="98">
        <f t="shared" si="3148"/>
        <v>0</v>
      </c>
      <c r="OT497" s="98">
        <f t="shared" si="3148"/>
        <v>0</v>
      </c>
      <c r="OU497" s="98">
        <f t="shared" si="3148"/>
        <v>0</v>
      </c>
      <c r="OV497" s="98">
        <f t="shared" si="3148"/>
        <v>0</v>
      </c>
      <c r="OW497" s="98">
        <f t="shared" si="3148"/>
        <v>0</v>
      </c>
      <c r="OX497" s="98">
        <f t="shared" si="3148"/>
        <v>0</v>
      </c>
      <c r="OY497" s="98">
        <f t="shared" si="3148"/>
        <v>0</v>
      </c>
      <c r="OZ497" s="98">
        <f t="shared" si="3148"/>
        <v>0</v>
      </c>
      <c r="PA497" s="198">
        <f t="shared" si="2675"/>
        <v>0</v>
      </c>
      <c r="PB497" s="198">
        <f t="shared" si="2676"/>
        <v>0</v>
      </c>
      <c r="PC497" s="98">
        <f t="shared" ref="PC497:PP497" si="3149">SUM(PC26,PC64,PC102,PC140,PC178,PC216,PC254,PC292,PC330,PC368,PC406,PC444)</f>
        <v>0</v>
      </c>
      <c r="PD497" s="98">
        <f t="shared" si="3149"/>
        <v>0</v>
      </c>
      <c r="PE497" s="98">
        <f t="shared" si="3149"/>
        <v>0</v>
      </c>
      <c r="PF497" s="98">
        <f t="shared" si="3149"/>
        <v>0</v>
      </c>
      <c r="PG497" s="98">
        <f t="shared" si="3149"/>
        <v>0</v>
      </c>
      <c r="PH497" s="98">
        <f t="shared" si="3149"/>
        <v>0</v>
      </c>
      <c r="PI497" s="98">
        <f t="shared" si="3149"/>
        <v>0</v>
      </c>
      <c r="PJ497" s="98">
        <f t="shared" si="3149"/>
        <v>0</v>
      </c>
      <c r="PK497" s="98">
        <f t="shared" si="3149"/>
        <v>0</v>
      </c>
      <c r="PL497" s="98">
        <f t="shared" si="3149"/>
        <v>0</v>
      </c>
      <c r="PM497" s="98">
        <f t="shared" si="3149"/>
        <v>0</v>
      </c>
      <c r="PN497" s="98">
        <f t="shared" si="3149"/>
        <v>0</v>
      </c>
      <c r="PO497" s="98">
        <f t="shared" si="3149"/>
        <v>0</v>
      </c>
      <c r="PP497" s="98">
        <f t="shared" si="3149"/>
        <v>0</v>
      </c>
      <c r="PQ497" s="198">
        <f t="shared" si="2678"/>
        <v>0</v>
      </c>
      <c r="PR497" s="198">
        <f t="shared" si="2679"/>
        <v>0</v>
      </c>
      <c r="PS497" s="98">
        <f t="shared" ref="PS497:QF497" si="3150">SUM(PS26,PS64,PS102,PS140,PS178,PS216,PS254,PS292,PS330,PS368,PS406,PS444)</f>
        <v>0</v>
      </c>
      <c r="PT497" s="98">
        <f t="shared" si="3150"/>
        <v>0</v>
      </c>
      <c r="PU497" s="98">
        <f t="shared" si="3150"/>
        <v>0</v>
      </c>
      <c r="PV497" s="98">
        <f t="shared" si="3150"/>
        <v>0</v>
      </c>
      <c r="PW497" s="98">
        <f t="shared" si="3150"/>
        <v>0</v>
      </c>
      <c r="PX497" s="98">
        <f t="shared" si="3150"/>
        <v>0</v>
      </c>
      <c r="PY497" s="98">
        <f t="shared" si="3150"/>
        <v>0</v>
      </c>
      <c r="PZ497" s="98">
        <f t="shared" si="3150"/>
        <v>0</v>
      </c>
      <c r="QA497" s="98">
        <f t="shared" si="3150"/>
        <v>0</v>
      </c>
      <c r="QB497" s="98">
        <f t="shared" si="3150"/>
        <v>0</v>
      </c>
      <c r="QC497" s="98">
        <f t="shared" si="3150"/>
        <v>0</v>
      </c>
      <c r="QD497" s="98">
        <f t="shared" si="3150"/>
        <v>0</v>
      </c>
      <c r="QE497" s="98">
        <f t="shared" si="3150"/>
        <v>0</v>
      </c>
      <c r="QF497" s="98">
        <f t="shared" si="3150"/>
        <v>0</v>
      </c>
      <c r="QG497" s="198">
        <f t="shared" si="2681"/>
        <v>0</v>
      </c>
      <c r="QH497" s="198">
        <f t="shared" si="2682"/>
        <v>0</v>
      </c>
      <c r="QI497" s="98">
        <f t="shared" ref="QI497:QV497" si="3151">SUM(QI26,QI64,QI102,QI140,QI178,QI216,QI254,QI292,QI330,QI368,QI406,QI444)</f>
        <v>0</v>
      </c>
      <c r="QJ497" s="98">
        <f t="shared" si="3151"/>
        <v>0</v>
      </c>
      <c r="QK497" s="98">
        <f t="shared" si="3151"/>
        <v>0</v>
      </c>
      <c r="QL497" s="98">
        <f t="shared" si="3151"/>
        <v>0</v>
      </c>
      <c r="QM497" s="98">
        <f t="shared" si="3151"/>
        <v>0</v>
      </c>
      <c r="QN497" s="98">
        <f t="shared" si="3151"/>
        <v>0</v>
      </c>
      <c r="QO497" s="98">
        <f t="shared" si="3151"/>
        <v>0</v>
      </c>
      <c r="QP497" s="98">
        <f t="shared" si="3151"/>
        <v>0</v>
      </c>
      <c r="QQ497" s="98">
        <f t="shared" si="3151"/>
        <v>0</v>
      </c>
      <c r="QR497" s="98">
        <f t="shared" si="3151"/>
        <v>0</v>
      </c>
      <c r="QS497" s="98">
        <f t="shared" si="3151"/>
        <v>0</v>
      </c>
      <c r="QT497" s="98">
        <f t="shared" si="3151"/>
        <v>0</v>
      </c>
      <c r="QU497" s="98">
        <f t="shared" si="3151"/>
        <v>0</v>
      </c>
      <c r="QV497" s="98">
        <f t="shared" si="3151"/>
        <v>0</v>
      </c>
      <c r="QW497" s="198">
        <f t="shared" si="2684"/>
        <v>0</v>
      </c>
      <c r="QX497" s="198">
        <f t="shared" si="2685"/>
        <v>0</v>
      </c>
      <c r="QY497" s="98">
        <f t="shared" ref="QY497:RL497" si="3152">SUM(QY26,QY64,QY102,QY140,QY178,QY216,QY254,QY292,QY330,QY368,QY406,QY444)</f>
        <v>0</v>
      </c>
      <c r="QZ497" s="98">
        <f t="shared" si="3152"/>
        <v>0</v>
      </c>
      <c r="RA497" s="98">
        <f t="shared" si="3152"/>
        <v>0</v>
      </c>
      <c r="RB497" s="98">
        <f t="shared" si="3152"/>
        <v>0</v>
      </c>
      <c r="RC497" s="98">
        <f t="shared" si="3152"/>
        <v>0</v>
      </c>
      <c r="RD497" s="98">
        <f t="shared" si="3152"/>
        <v>0</v>
      </c>
      <c r="RE497" s="98">
        <f t="shared" si="3152"/>
        <v>0</v>
      </c>
      <c r="RF497" s="98">
        <f t="shared" si="3152"/>
        <v>0</v>
      </c>
      <c r="RG497" s="98">
        <f t="shared" si="3152"/>
        <v>0</v>
      </c>
      <c r="RH497" s="98">
        <f t="shared" si="3152"/>
        <v>0</v>
      </c>
      <c r="RI497" s="98">
        <f t="shared" si="3152"/>
        <v>0</v>
      </c>
      <c r="RJ497" s="98">
        <f t="shared" si="3152"/>
        <v>0</v>
      </c>
      <c r="RK497" s="98">
        <f t="shared" si="3152"/>
        <v>0</v>
      </c>
      <c r="RL497" s="98">
        <f t="shared" si="3152"/>
        <v>0</v>
      </c>
      <c r="RM497" s="198">
        <f t="shared" si="2687"/>
        <v>0</v>
      </c>
      <c r="RN497" s="198">
        <f t="shared" si="2688"/>
        <v>0</v>
      </c>
      <c r="RO497" s="98">
        <f t="shared" ref="RO497:SB497" si="3153">SUM(RO26,RO64,RO102,RO140,RO178,RO216,RO254,RO292,RO330,RO368,RO406,RO444)</f>
        <v>0</v>
      </c>
      <c r="RP497" s="98">
        <f t="shared" si="3153"/>
        <v>0</v>
      </c>
      <c r="RQ497" s="98">
        <f t="shared" si="3153"/>
        <v>0</v>
      </c>
      <c r="RR497" s="98">
        <f t="shared" si="3153"/>
        <v>0</v>
      </c>
      <c r="RS497" s="98">
        <f t="shared" si="3153"/>
        <v>0</v>
      </c>
      <c r="RT497" s="98">
        <f t="shared" si="3153"/>
        <v>0</v>
      </c>
      <c r="RU497" s="98">
        <f t="shared" si="3153"/>
        <v>0</v>
      </c>
      <c r="RV497" s="98">
        <f t="shared" si="3153"/>
        <v>0</v>
      </c>
      <c r="RW497" s="98">
        <f t="shared" si="3153"/>
        <v>0</v>
      </c>
      <c r="RX497" s="98">
        <f t="shared" si="3153"/>
        <v>0</v>
      </c>
      <c r="RY497" s="98">
        <f t="shared" si="3153"/>
        <v>0</v>
      </c>
      <c r="RZ497" s="98">
        <f t="shared" si="3153"/>
        <v>0</v>
      </c>
      <c r="SA497" s="98">
        <f t="shared" si="3153"/>
        <v>0</v>
      </c>
      <c r="SB497" s="98">
        <f t="shared" si="3153"/>
        <v>0</v>
      </c>
      <c r="SC497" s="198">
        <f t="shared" si="2690"/>
        <v>0</v>
      </c>
      <c r="SD497" s="198">
        <f t="shared" si="2691"/>
        <v>0</v>
      </c>
      <c r="SE497" s="98">
        <f t="shared" ref="SE497:SR497" si="3154">SUM(SE26,SE64,SE102,SE140,SE178,SE216,SE254,SE292,SE330,SE368,SE406,SE444)</f>
        <v>0</v>
      </c>
      <c r="SF497" s="98">
        <f t="shared" si="3154"/>
        <v>0</v>
      </c>
      <c r="SG497" s="98">
        <f t="shared" si="3154"/>
        <v>0</v>
      </c>
      <c r="SH497" s="98">
        <f t="shared" si="3154"/>
        <v>0</v>
      </c>
      <c r="SI497" s="98">
        <f t="shared" si="3154"/>
        <v>0</v>
      </c>
      <c r="SJ497" s="98">
        <f t="shared" si="3154"/>
        <v>0</v>
      </c>
      <c r="SK497" s="98">
        <f t="shared" si="3154"/>
        <v>0</v>
      </c>
      <c r="SL497" s="98">
        <f t="shared" si="3154"/>
        <v>0</v>
      </c>
      <c r="SM497" s="98">
        <f t="shared" si="3154"/>
        <v>0</v>
      </c>
      <c r="SN497" s="98">
        <f t="shared" si="3154"/>
        <v>0</v>
      </c>
      <c r="SO497" s="98">
        <f t="shared" si="3154"/>
        <v>0</v>
      </c>
      <c r="SP497" s="98">
        <f t="shared" si="3154"/>
        <v>0</v>
      </c>
      <c r="SQ497" s="98">
        <f t="shared" si="3154"/>
        <v>0</v>
      </c>
      <c r="SR497" s="98">
        <f t="shared" si="3154"/>
        <v>0</v>
      </c>
      <c r="SS497" s="198">
        <f t="shared" si="2693"/>
        <v>0</v>
      </c>
      <c r="ST497" s="198">
        <f t="shared" si="2694"/>
        <v>0</v>
      </c>
      <c r="SU497" s="98">
        <f t="shared" ref="SU497:TH497" si="3155">SUM(SU26,SU64,SU102,SU140,SU178,SU216,SU254,SU292,SU330,SU368,SU406,SU444)</f>
        <v>0</v>
      </c>
      <c r="SV497" s="98">
        <f t="shared" si="3155"/>
        <v>0</v>
      </c>
      <c r="SW497" s="98">
        <f t="shared" si="3155"/>
        <v>0</v>
      </c>
      <c r="SX497" s="98">
        <f t="shared" si="3155"/>
        <v>0</v>
      </c>
      <c r="SY497" s="98">
        <f t="shared" si="3155"/>
        <v>0</v>
      </c>
      <c r="SZ497" s="98">
        <f t="shared" si="3155"/>
        <v>0</v>
      </c>
      <c r="TA497" s="98">
        <f t="shared" si="3155"/>
        <v>0</v>
      </c>
      <c r="TB497" s="98">
        <f t="shared" si="3155"/>
        <v>0</v>
      </c>
      <c r="TC497" s="98">
        <f t="shared" si="3155"/>
        <v>0</v>
      </c>
      <c r="TD497" s="98">
        <f t="shared" si="3155"/>
        <v>0</v>
      </c>
      <c r="TE497" s="98">
        <f t="shared" si="3155"/>
        <v>0</v>
      </c>
      <c r="TF497" s="98">
        <f t="shared" si="3155"/>
        <v>0</v>
      </c>
      <c r="TG497" s="98">
        <f t="shared" si="3155"/>
        <v>0</v>
      </c>
      <c r="TH497" s="98">
        <f t="shared" si="3155"/>
        <v>0</v>
      </c>
      <c r="TI497" s="198">
        <f t="shared" si="2696"/>
        <v>0</v>
      </c>
      <c r="TJ497" s="198">
        <f t="shared" si="2697"/>
        <v>0</v>
      </c>
      <c r="TK497" s="98">
        <f t="shared" ref="TK497:TX497" si="3156">SUM(TK26,TK64,TK102,TK140,TK178,TK216,TK254,TK292,TK330,TK368,TK406,TK444)</f>
        <v>0</v>
      </c>
      <c r="TL497" s="98">
        <f t="shared" si="3156"/>
        <v>0</v>
      </c>
      <c r="TM497" s="98">
        <f t="shared" si="3156"/>
        <v>0</v>
      </c>
      <c r="TN497" s="98">
        <f t="shared" si="3156"/>
        <v>0</v>
      </c>
      <c r="TO497" s="98">
        <f t="shared" si="3156"/>
        <v>0</v>
      </c>
      <c r="TP497" s="98">
        <f t="shared" si="3156"/>
        <v>0</v>
      </c>
      <c r="TQ497" s="98">
        <f t="shared" si="3156"/>
        <v>0</v>
      </c>
      <c r="TR497" s="98">
        <f t="shared" si="3156"/>
        <v>0</v>
      </c>
      <c r="TS497" s="98">
        <f t="shared" si="3156"/>
        <v>0</v>
      </c>
      <c r="TT497" s="98">
        <f t="shared" si="3156"/>
        <v>0</v>
      </c>
      <c r="TU497" s="98">
        <f t="shared" si="3156"/>
        <v>0</v>
      </c>
      <c r="TV497" s="98">
        <f t="shared" si="3156"/>
        <v>0</v>
      </c>
      <c r="TW497" s="98">
        <f t="shared" si="3156"/>
        <v>0</v>
      </c>
      <c r="TX497" s="98">
        <f t="shared" si="3156"/>
        <v>0</v>
      </c>
      <c r="TY497" s="198">
        <f t="shared" si="2699"/>
        <v>0</v>
      </c>
      <c r="TZ497" s="198">
        <f t="shared" si="2700"/>
        <v>0</v>
      </c>
      <c r="UA497" s="98">
        <f t="shared" ref="UA497:UN497" si="3157">SUM(UA26,UA64,UA102,UA140,UA178,UA216,UA254,UA292,UA330,UA368,UA406,UA444)</f>
        <v>0</v>
      </c>
      <c r="UB497" s="98">
        <f t="shared" si="3157"/>
        <v>0</v>
      </c>
      <c r="UC497" s="98">
        <f t="shared" si="3157"/>
        <v>0</v>
      </c>
      <c r="UD497" s="98">
        <f t="shared" si="3157"/>
        <v>0</v>
      </c>
      <c r="UE497" s="98">
        <f t="shared" si="3157"/>
        <v>0</v>
      </c>
      <c r="UF497" s="98">
        <f t="shared" si="3157"/>
        <v>0</v>
      </c>
      <c r="UG497" s="98">
        <f t="shared" si="3157"/>
        <v>0</v>
      </c>
      <c r="UH497" s="98">
        <f t="shared" si="3157"/>
        <v>0</v>
      </c>
      <c r="UI497" s="98">
        <f t="shared" si="3157"/>
        <v>0</v>
      </c>
      <c r="UJ497" s="98">
        <f t="shared" si="3157"/>
        <v>0</v>
      </c>
      <c r="UK497" s="98">
        <f t="shared" si="3157"/>
        <v>0</v>
      </c>
      <c r="UL497" s="98">
        <f t="shared" si="3157"/>
        <v>0</v>
      </c>
      <c r="UM497" s="98">
        <f t="shared" si="3157"/>
        <v>0</v>
      </c>
      <c r="UN497" s="98">
        <f t="shared" si="3157"/>
        <v>0</v>
      </c>
      <c r="UO497" s="198">
        <f t="shared" si="2702"/>
        <v>0</v>
      </c>
      <c r="UP497" s="198">
        <f t="shared" si="2703"/>
        <v>0</v>
      </c>
      <c r="UQ497" s="98">
        <f t="shared" ref="UQ497:VD498" si="3158">SUM(UQ26,UQ64,UQ102,UQ140,UQ178,UQ216,UQ254,UQ292,UQ330,UQ368,UQ406,UQ444)</f>
        <v>0</v>
      </c>
      <c r="UR497" s="98">
        <f t="shared" si="3158"/>
        <v>0</v>
      </c>
      <c r="US497" s="98">
        <f t="shared" si="3158"/>
        <v>0</v>
      </c>
      <c r="UT497" s="98">
        <f t="shared" si="3158"/>
        <v>0</v>
      </c>
      <c r="UU497" s="98">
        <f t="shared" si="3158"/>
        <v>0</v>
      </c>
      <c r="UV497" s="98">
        <f t="shared" si="3158"/>
        <v>0</v>
      </c>
      <c r="UW497" s="98">
        <f t="shared" si="3158"/>
        <v>0</v>
      </c>
      <c r="UX497" s="98">
        <f t="shared" si="3158"/>
        <v>0</v>
      </c>
      <c r="UY497" s="98">
        <f t="shared" si="3158"/>
        <v>0</v>
      </c>
      <c r="UZ497" s="98">
        <f t="shared" si="3158"/>
        <v>0</v>
      </c>
      <c r="VA497" s="98">
        <f t="shared" si="3158"/>
        <v>0</v>
      </c>
      <c r="VB497" s="98">
        <f t="shared" si="3158"/>
        <v>0</v>
      </c>
      <c r="VC497" s="98">
        <f t="shared" si="3158"/>
        <v>0</v>
      </c>
      <c r="VD497" s="98">
        <f t="shared" si="3158"/>
        <v>0</v>
      </c>
      <c r="VE497" s="198">
        <f t="shared" si="2705"/>
        <v>0</v>
      </c>
      <c r="VF497" s="198">
        <f t="shared" si="2706"/>
        <v>0</v>
      </c>
      <c r="VG497" s="98">
        <f t="shared" ref="VG497:VT497" si="3159">SUM(VG26,VG64,VG102,VG140,VG178,VG216,VG254,VG292,VG330,VG368,VG406,VG444)</f>
        <v>0</v>
      </c>
      <c r="VH497" s="98">
        <f t="shared" si="3159"/>
        <v>0</v>
      </c>
      <c r="VI497" s="98">
        <f t="shared" si="3159"/>
        <v>0</v>
      </c>
      <c r="VJ497" s="98">
        <f t="shared" si="3159"/>
        <v>0</v>
      </c>
      <c r="VK497" s="98">
        <f t="shared" si="3159"/>
        <v>0</v>
      </c>
      <c r="VL497" s="98">
        <f t="shared" si="3159"/>
        <v>0</v>
      </c>
      <c r="VM497" s="98">
        <f t="shared" si="3159"/>
        <v>15560</v>
      </c>
      <c r="VN497" s="98">
        <f t="shared" si="3159"/>
        <v>295640</v>
      </c>
      <c r="VO497" s="98">
        <f t="shared" si="3159"/>
        <v>0</v>
      </c>
      <c r="VP497" s="98">
        <f t="shared" si="3159"/>
        <v>0</v>
      </c>
      <c r="VQ497" s="98">
        <f t="shared" si="3159"/>
        <v>0</v>
      </c>
      <c r="VR497" s="98">
        <f t="shared" si="3159"/>
        <v>0</v>
      </c>
      <c r="VS497" s="98">
        <f t="shared" si="3159"/>
        <v>0</v>
      </c>
      <c r="VT497" s="98">
        <f t="shared" si="3159"/>
        <v>0</v>
      </c>
      <c r="VU497" s="198">
        <f t="shared" si="2708"/>
        <v>15560</v>
      </c>
      <c r="VV497" s="198">
        <f t="shared" si="2709"/>
        <v>295640</v>
      </c>
      <c r="VW497" s="98">
        <f t="shared" ref="VW497:WJ497" si="3160">SUM(VW26,VW64,VW102,VW140,VW178,VW216,VW254,VW292,VW330,VW368,VW406,VW444)</f>
        <v>0</v>
      </c>
      <c r="VX497" s="98">
        <f t="shared" si="3160"/>
        <v>0</v>
      </c>
      <c r="VY497" s="98">
        <f t="shared" si="3160"/>
        <v>0</v>
      </c>
      <c r="VZ497" s="98">
        <f t="shared" si="3160"/>
        <v>0</v>
      </c>
      <c r="WA497" s="98">
        <f t="shared" si="3160"/>
        <v>0</v>
      </c>
      <c r="WB497" s="98">
        <f t="shared" si="3160"/>
        <v>0</v>
      </c>
      <c r="WC497" s="98">
        <f t="shared" si="3160"/>
        <v>0</v>
      </c>
      <c r="WD497" s="98">
        <f t="shared" si="3160"/>
        <v>0</v>
      </c>
      <c r="WE497" s="98">
        <f t="shared" si="3160"/>
        <v>0</v>
      </c>
      <c r="WF497" s="98">
        <f t="shared" si="3160"/>
        <v>0</v>
      </c>
      <c r="WG497" s="98">
        <f t="shared" si="3160"/>
        <v>0</v>
      </c>
      <c r="WH497" s="98">
        <f t="shared" si="3160"/>
        <v>0</v>
      </c>
      <c r="WI497" s="98">
        <f t="shared" si="3160"/>
        <v>0</v>
      </c>
      <c r="WJ497" s="98">
        <f t="shared" si="3160"/>
        <v>0</v>
      </c>
      <c r="WK497" s="198">
        <f t="shared" si="2711"/>
        <v>0</v>
      </c>
      <c r="WL497" s="198">
        <f t="shared" si="2712"/>
        <v>0</v>
      </c>
      <c r="WN497" s="98">
        <f t="shared" si="2713"/>
        <v>0</v>
      </c>
      <c r="WO497" s="98">
        <f t="shared" si="2714"/>
        <v>0</v>
      </c>
      <c r="WP497" s="98">
        <f t="shared" si="2715"/>
        <v>0</v>
      </c>
      <c r="WQ497" s="98">
        <f t="shared" si="2716"/>
        <v>0</v>
      </c>
      <c r="WR497" s="98">
        <f t="shared" si="2717"/>
        <v>0</v>
      </c>
      <c r="WS497" s="98">
        <f t="shared" si="2718"/>
        <v>0</v>
      </c>
      <c r="WT497" s="98">
        <f t="shared" si="2719"/>
        <v>535465</v>
      </c>
      <c r="WU497" s="98">
        <f t="shared" si="2720"/>
        <v>10693740</v>
      </c>
      <c r="WV497" s="98">
        <f t="shared" si="2721"/>
        <v>0</v>
      </c>
      <c r="WW497" s="98">
        <f t="shared" si="2722"/>
        <v>0</v>
      </c>
      <c r="WX497" s="98">
        <f t="shared" si="2723"/>
        <v>0</v>
      </c>
      <c r="WY497" s="98">
        <f t="shared" si="2724"/>
        <v>0</v>
      </c>
      <c r="WZ497" s="98">
        <f t="shared" si="2725"/>
        <v>0</v>
      </c>
      <c r="XA497" s="98">
        <f t="shared" si="2726"/>
        <v>0</v>
      </c>
      <c r="XB497" s="107">
        <f t="shared" si="2727"/>
        <v>535465</v>
      </c>
      <c r="XC497" s="107">
        <f t="shared" si="2728"/>
        <v>10693740</v>
      </c>
      <c r="XK497" s="98">
        <f t="shared" si="2729"/>
        <v>11229205</v>
      </c>
      <c r="XL497" s="98">
        <f t="shared" si="2730"/>
        <v>0</v>
      </c>
      <c r="XM497" s="98">
        <f t="shared" si="2731"/>
        <v>0</v>
      </c>
      <c r="XN497" s="98">
        <f t="shared" si="2732"/>
        <v>0</v>
      </c>
      <c r="XO497" s="98">
        <f t="shared" si="2733"/>
        <v>11229205</v>
      </c>
      <c r="XP497" s="98">
        <f t="shared" si="2734"/>
        <v>0</v>
      </c>
      <c r="XQ497" s="98">
        <f t="shared" si="2735"/>
        <v>0</v>
      </c>
      <c r="XR497" s="107">
        <f t="shared" ca="1" si="2597"/>
        <v>22473970</v>
      </c>
      <c r="XT497" s="98">
        <f t="shared" si="2736"/>
        <v>10693740</v>
      </c>
      <c r="XU497" s="98">
        <f t="shared" si="2737"/>
        <v>0</v>
      </c>
      <c r="XV497" s="98">
        <f t="shared" si="2738"/>
        <v>0</v>
      </c>
      <c r="XW497" s="98">
        <f t="shared" si="2739"/>
        <v>15560</v>
      </c>
      <c r="XX497" s="98">
        <f t="shared" si="2740"/>
        <v>21922945</v>
      </c>
      <c r="XY497" s="98">
        <f t="shared" si="2741"/>
        <v>0</v>
      </c>
      <c r="XZ497" s="98">
        <f t="shared" si="2742"/>
        <v>11229205</v>
      </c>
      <c r="YA497" s="107">
        <f t="shared" ca="1" si="2598"/>
        <v>43845890</v>
      </c>
    </row>
    <row r="498" spans="2:651">
      <c r="B498" s="90" t="str">
        <f t="shared" si="2558"/>
        <v xml:space="preserve">Lele </v>
      </c>
      <c r="C498" s="98">
        <f t="shared" ref="C498:P498" si="3161">SUM(C27,C65,C103,C141,C179,C217,C255,C293,C331,C369,C407,C445)</f>
        <v>0</v>
      </c>
      <c r="D498" s="98">
        <f t="shared" si="3161"/>
        <v>0</v>
      </c>
      <c r="E498" s="98">
        <f t="shared" si="3161"/>
        <v>0</v>
      </c>
      <c r="F498" s="98">
        <f t="shared" si="3161"/>
        <v>0</v>
      </c>
      <c r="G498" s="98">
        <f t="shared" si="3161"/>
        <v>0</v>
      </c>
      <c r="H498" s="98">
        <f t="shared" si="3161"/>
        <v>0</v>
      </c>
      <c r="I498" s="98">
        <f t="shared" si="3161"/>
        <v>431400</v>
      </c>
      <c r="J498" s="98">
        <f t="shared" si="3161"/>
        <v>8628000</v>
      </c>
      <c r="K498" s="98">
        <f t="shared" si="3161"/>
        <v>0</v>
      </c>
      <c r="L498" s="98">
        <f t="shared" si="3161"/>
        <v>0</v>
      </c>
      <c r="M498" s="98">
        <f t="shared" si="3161"/>
        <v>4600</v>
      </c>
      <c r="N498" s="98">
        <f t="shared" si="3161"/>
        <v>92000</v>
      </c>
      <c r="O498" s="98">
        <f t="shared" si="3161"/>
        <v>0</v>
      </c>
      <c r="P498" s="98">
        <f t="shared" si="3161"/>
        <v>0</v>
      </c>
      <c r="Q498" s="198">
        <f t="shared" si="2600"/>
        <v>436000</v>
      </c>
      <c r="R498" s="198">
        <f t="shared" si="2601"/>
        <v>8720000</v>
      </c>
      <c r="S498" s="98">
        <f t="shared" ref="S498:AF498" si="3162">SUM(S27,S65,S103,S141,S179,S217,S255,S293,S331,S369,S407,S445)</f>
        <v>0</v>
      </c>
      <c r="T498" s="98">
        <f t="shared" si="3162"/>
        <v>0</v>
      </c>
      <c r="U498" s="98">
        <f t="shared" si="3162"/>
        <v>0</v>
      </c>
      <c r="V498" s="98">
        <f t="shared" si="3162"/>
        <v>0</v>
      </c>
      <c r="W498" s="98">
        <f t="shared" si="3162"/>
        <v>0</v>
      </c>
      <c r="X498" s="98">
        <f t="shared" si="3162"/>
        <v>0</v>
      </c>
      <c r="Y498" s="98">
        <f t="shared" si="3162"/>
        <v>6716140</v>
      </c>
      <c r="Z498" s="98">
        <f t="shared" si="3162"/>
        <v>134322800</v>
      </c>
      <c r="AA498" s="98">
        <f t="shared" si="3162"/>
        <v>0</v>
      </c>
      <c r="AB498" s="98">
        <f t="shared" si="3162"/>
        <v>0</v>
      </c>
      <c r="AC498" s="98">
        <f t="shared" si="3162"/>
        <v>0</v>
      </c>
      <c r="AD498" s="98">
        <f t="shared" si="3162"/>
        <v>0</v>
      </c>
      <c r="AE498" s="98">
        <f t="shared" si="3162"/>
        <v>5825</v>
      </c>
      <c r="AF498" s="98">
        <f t="shared" si="3162"/>
        <v>116500</v>
      </c>
      <c r="AG498" s="198">
        <f t="shared" si="2603"/>
        <v>6721965</v>
      </c>
      <c r="AH498" s="198">
        <f t="shared" si="2604"/>
        <v>134439300</v>
      </c>
      <c r="AI498" s="98">
        <f t="shared" ref="AI498:AV498" si="3163">SUM(AI27,AI65,AI103,AI141,AI179,AI217,AI255,AI293,AI331,AI369,AI407,AI445)</f>
        <v>0</v>
      </c>
      <c r="AJ498" s="98">
        <f t="shared" si="3163"/>
        <v>0</v>
      </c>
      <c r="AK498" s="98">
        <f t="shared" si="3163"/>
        <v>0</v>
      </c>
      <c r="AL498" s="98">
        <f t="shared" si="3163"/>
        <v>0</v>
      </c>
      <c r="AM498" s="98">
        <f t="shared" si="3163"/>
        <v>0</v>
      </c>
      <c r="AN498" s="98">
        <f t="shared" si="3163"/>
        <v>0</v>
      </c>
      <c r="AO498" s="98">
        <f t="shared" si="3163"/>
        <v>9163400</v>
      </c>
      <c r="AP498" s="98">
        <f t="shared" si="3163"/>
        <v>155777800</v>
      </c>
      <c r="AQ498" s="98">
        <f t="shared" si="3163"/>
        <v>0</v>
      </c>
      <c r="AR498" s="98">
        <f t="shared" si="3163"/>
        <v>0</v>
      </c>
      <c r="AS498" s="98">
        <f t="shared" si="3163"/>
        <v>0</v>
      </c>
      <c r="AT498" s="98">
        <f t="shared" si="3163"/>
        <v>0</v>
      </c>
      <c r="AU498" s="98">
        <f t="shared" si="3163"/>
        <v>0</v>
      </c>
      <c r="AV498" s="98">
        <f t="shared" si="3163"/>
        <v>0</v>
      </c>
      <c r="AW498" s="198">
        <f t="shared" si="2606"/>
        <v>9163400</v>
      </c>
      <c r="AX498" s="198">
        <f t="shared" si="2607"/>
        <v>155777800</v>
      </c>
      <c r="AY498" s="98">
        <f t="shared" ref="AY498:BL498" si="3164">SUM(AY27,AY65,AY103,AY141,AY179,AY217,AY255,AY293,AY331,AY369,AY407,AY445)</f>
        <v>0</v>
      </c>
      <c r="AZ498" s="98">
        <f t="shared" si="3164"/>
        <v>0</v>
      </c>
      <c r="BA498" s="98">
        <f t="shared" si="3164"/>
        <v>0</v>
      </c>
      <c r="BB498" s="98">
        <f t="shared" si="3164"/>
        <v>0</v>
      </c>
      <c r="BC498" s="98">
        <f t="shared" si="3164"/>
        <v>0</v>
      </c>
      <c r="BD498" s="98">
        <f t="shared" si="3164"/>
        <v>0</v>
      </c>
      <c r="BE498" s="98">
        <f t="shared" si="3164"/>
        <v>3846132</v>
      </c>
      <c r="BF498" s="98">
        <f t="shared" si="3164"/>
        <v>72418596.5</v>
      </c>
      <c r="BG498" s="98">
        <f t="shared" si="3164"/>
        <v>0</v>
      </c>
      <c r="BH498" s="98">
        <f t="shared" si="3164"/>
        <v>0</v>
      </c>
      <c r="BI498" s="98">
        <f t="shared" si="3164"/>
        <v>0</v>
      </c>
      <c r="BJ498" s="98">
        <f t="shared" si="3164"/>
        <v>0</v>
      </c>
      <c r="BK498" s="98">
        <f t="shared" si="3164"/>
        <v>0</v>
      </c>
      <c r="BL498" s="98">
        <f t="shared" si="3164"/>
        <v>0</v>
      </c>
      <c r="BM498" s="198">
        <f t="shared" si="2609"/>
        <v>3846132</v>
      </c>
      <c r="BN498" s="198">
        <f t="shared" si="2610"/>
        <v>72418596.5</v>
      </c>
      <c r="BO498" s="98">
        <f t="shared" ref="BO498:CB498" si="3165">SUM(BO27,BO65,BO103,BO141,BO179,BO217,BO255,BO293,BO331,BO369,BO407,BO445)</f>
        <v>0</v>
      </c>
      <c r="BP498" s="98">
        <f t="shared" si="3165"/>
        <v>0</v>
      </c>
      <c r="BQ498" s="98">
        <f t="shared" si="3165"/>
        <v>0</v>
      </c>
      <c r="BR498" s="98">
        <f t="shared" si="3165"/>
        <v>0</v>
      </c>
      <c r="BS498" s="98">
        <f t="shared" si="3165"/>
        <v>0</v>
      </c>
      <c r="BT498" s="98">
        <f t="shared" si="3165"/>
        <v>0</v>
      </c>
      <c r="BU498" s="98">
        <f t="shared" si="3165"/>
        <v>731793</v>
      </c>
      <c r="BV498" s="98">
        <f t="shared" si="3165"/>
        <v>14635860</v>
      </c>
      <c r="BW498" s="98">
        <f t="shared" si="3165"/>
        <v>0</v>
      </c>
      <c r="BX498" s="98">
        <f t="shared" si="3165"/>
        <v>0</v>
      </c>
      <c r="BY498" s="98">
        <f t="shared" si="3165"/>
        <v>0</v>
      </c>
      <c r="BZ498" s="98">
        <f t="shared" si="3165"/>
        <v>0</v>
      </c>
      <c r="CA498" s="98">
        <f t="shared" si="3165"/>
        <v>0</v>
      </c>
      <c r="CB498" s="98">
        <f t="shared" si="3165"/>
        <v>0</v>
      </c>
      <c r="CC498" s="198">
        <f t="shared" si="2612"/>
        <v>731793</v>
      </c>
      <c r="CD498" s="198">
        <f t="shared" si="2613"/>
        <v>14635860</v>
      </c>
      <c r="CE498" s="98">
        <f t="shared" ref="CE498:CR498" si="3166">SUM(CE27,CE65,CE103,CE141,CE179,CE217,CE255,CE293,CE331,CE369,CE407,CE445)</f>
        <v>0</v>
      </c>
      <c r="CF498" s="98">
        <f t="shared" si="3166"/>
        <v>0</v>
      </c>
      <c r="CG498" s="98">
        <f t="shared" si="3166"/>
        <v>0</v>
      </c>
      <c r="CH498" s="98">
        <f t="shared" si="3166"/>
        <v>0</v>
      </c>
      <c r="CI498" s="98">
        <f t="shared" si="3166"/>
        <v>0</v>
      </c>
      <c r="CJ498" s="98">
        <f t="shared" si="3166"/>
        <v>0</v>
      </c>
      <c r="CK498" s="98">
        <f t="shared" si="3166"/>
        <v>1640329.6886446942</v>
      </c>
      <c r="CL498" s="98">
        <f t="shared" si="3166"/>
        <v>26274159.335785836</v>
      </c>
      <c r="CM498" s="98">
        <f t="shared" si="3166"/>
        <v>0</v>
      </c>
      <c r="CN498" s="98">
        <f t="shared" si="3166"/>
        <v>0</v>
      </c>
      <c r="CO498" s="98">
        <f t="shared" si="3166"/>
        <v>0</v>
      </c>
      <c r="CP498" s="98">
        <f t="shared" si="3166"/>
        <v>0</v>
      </c>
      <c r="CQ498" s="98">
        <f t="shared" si="3166"/>
        <v>0</v>
      </c>
      <c r="CR498" s="98">
        <f t="shared" si="3166"/>
        <v>0</v>
      </c>
      <c r="CS498" s="198">
        <f t="shared" si="2615"/>
        <v>1640329.6886446942</v>
      </c>
      <c r="CT498" s="198">
        <f t="shared" si="2616"/>
        <v>26274159.335785836</v>
      </c>
      <c r="CU498" s="98">
        <f t="shared" ref="CU498:DH498" si="3167">SUM(CU27,CU65,CU103,CU141,CU179,CU217,CU255,CU293,CU331,CU369,CU407,CU445)</f>
        <v>0</v>
      </c>
      <c r="CV498" s="98">
        <f t="shared" si="3167"/>
        <v>0</v>
      </c>
      <c r="CW498" s="98">
        <f t="shared" si="3167"/>
        <v>0</v>
      </c>
      <c r="CX498" s="98">
        <f t="shared" si="3167"/>
        <v>0</v>
      </c>
      <c r="CY498" s="98">
        <f t="shared" si="3167"/>
        <v>0</v>
      </c>
      <c r="CZ498" s="98">
        <f t="shared" si="3167"/>
        <v>0</v>
      </c>
      <c r="DA498" s="98">
        <f t="shared" si="3167"/>
        <v>8585940.5369262099</v>
      </c>
      <c r="DB498" s="98">
        <f t="shared" si="3167"/>
        <v>158418625.54800001</v>
      </c>
      <c r="DC498" s="98">
        <f t="shared" si="3167"/>
        <v>0</v>
      </c>
      <c r="DD498" s="98">
        <f t="shared" si="3167"/>
        <v>0</v>
      </c>
      <c r="DE498" s="98">
        <f t="shared" si="3167"/>
        <v>0</v>
      </c>
      <c r="DF498" s="98">
        <f t="shared" si="3167"/>
        <v>0</v>
      </c>
      <c r="DG498" s="98">
        <f t="shared" si="3167"/>
        <v>0</v>
      </c>
      <c r="DH498" s="98">
        <f t="shared" si="3167"/>
        <v>0</v>
      </c>
      <c r="DI498" s="198">
        <f t="shared" si="2618"/>
        <v>8585940.5369262099</v>
      </c>
      <c r="DJ498" s="198">
        <f t="shared" si="2619"/>
        <v>158418625.54800001</v>
      </c>
      <c r="DK498" s="98">
        <f t="shared" ref="DK498:DX498" si="3168">SUM(DK27,DK65,DK103,DK141,DK179,DK217,DK255,DK293,DK331,DK369,DK407,DK445)</f>
        <v>0</v>
      </c>
      <c r="DL498" s="98">
        <f t="shared" si="3168"/>
        <v>0</v>
      </c>
      <c r="DM498" s="98">
        <f t="shared" si="3168"/>
        <v>0</v>
      </c>
      <c r="DN498" s="98">
        <f t="shared" si="3168"/>
        <v>0</v>
      </c>
      <c r="DO498" s="98">
        <f t="shared" si="3168"/>
        <v>0</v>
      </c>
      <c r="DP498" s="98">
        <f t="shared" si="3168"/>
        <v>0</v>
      </c>
      <c r="DQ498" s="98">
        <f t="shared" si="3168"/>
        <v>7299400</v>
      </c>
      <c r="DR498" s="98">
        <f t="shared" si="3168"/>
        <v>134143300</v>
      </c>
      <c r="DS498" s="98">
        <f t="shared" si="3168"/>
        <v>0</v>
      </c>
      <c r="DT498" s="98">
        <f t="shared" si="3168"/>
        <v>0</v>
      </c>
      <c r="DU498" s="98">
        <f t="shared" si="3168"/>
        <v>0</v>
      </c>
      <c r="DV498" s="98">
        <f t="shared" si="3168"/>
        <v>0</v>
      </c>
      <c r="DW498" s="98">
        <f t="shared" si="3168"/>
        <v>0</v>
      </c>
      <c r="DX498" s="98">
        <f t="shared" si="3168"/>
        <v>0</v>
      </c>
      <c r="DY498" s="198">
        <f t="shared" si="2621"/>
        <v>7299400</v>
      </c>
      <c r="DZ498" s="198">
        <f t="shared" si="2622"/>
        <v>134143300</v>
      </c>
      <c r="EA498" s="98">
        <f t="shared" ref="EA498:EN498" si="3169">SUM(EA27,EA65,EA103,EA141,EA179,EA217,EA255,EA293,EA331,EA369,EA407,EA445)</f>
        <v>0</v>
      </c>
      <c r="EB498" s="98">
        <f t="shared" si="3169"/>
        <v>0</v>
      </c>
      <c r="EC498" s="98">
        <f t="shared" si="3169"/>
        <v>0</v>
      </c>
      <c r="ED498" s="98">
        <f t="shared" si="3169"/>
        <v>0</v>
      </c>
      <c r="EE498" s="98">
        <f t="shared" si="3169"/>
        <v>0</v>
      </c>
      <c r="EF498" s="98">
        <f t="shared" si="3169"/>
        <v>0</v>
      </c>
      <c r="EG498" s="98">
        <f t="shared" si="3169"/>
        <v>17645200</v>
      </c>
      <c r="EH498" s="98">
        <f t="shared" si="3169"/>
        <v>317613600</v>
      </c>
      <c r="EI498" s="98">
        <f t="shared" si="3169"/>
        <v>0</v>
      </c>
      <c r="EJ498" s="98">
        <f t="shared" si="3169"/>
        <v>0</v>
      </c>
      <c r="EK498" s="98">
        <f t="shared" si="3169"/>
        <v>0</v>
      </c>
      <c r="EL498" s="98">
        <f t="shared" si="3169"/>
        <v>0</v>
      </c>
      <c r="EM498" s="98">
        <f t="shared" si="3169"/>
        <v>0</v>
      </c>
      <c r="EN498" s="98">
        <f t="shared" si="3169"/>
        <v>0</v>
      </c>
      <c r="EO498" s="198">
        <f t="shared" si="2624"/>
        <v>17645200</v>
      </c>
      <c r="EP498" s="198">
        <f t="shared" si="2625"/>
        <v>317613600</v>
      </c>
      <c r="EQ498" s="98">
        <f t="shared" ref="EQ498:FD498" si="3170">SUM(EQ27,EQ65,EQ103,EQ141,EQ179,EQ217,EQ255,EQ293,EQ331,EQ369,EQ407,EQ445)</f>
        <v>0</v>
      </c>
      <c r="ER498" s="98">
        <f t="shared" si="3170"/>
        <v>0</v>
      </c>
      <c r="ES498" s="98">
        <f t="shared" si="3170"/>
        <v>0</v>
      </c>
      <c r="ET498" s="98">
        <f t="shared" si="3170"/>
        <v>0</v>
      </c>
      <c r="EU498" s="98">
        <f t="shared" si="3170"/>
        <v>0</v>
      </c>
      <c r="EV498" s="98">
        <f t="shared" si="3170"/>
        <v>0</v>
      </c>
      <c r="EW498" s="98">
        <f t="shared" si="3170"/>
        <v>3590186</v>
      </c>
      <c r="EX498" s="98">
        <f t="shared" si="3170"/>
        <v>68090097</v>
      </c>
      <c r="EY498" s="98">
        <f t="shared" si="3170"/>
        <v>0</v>
      </c>
      <c r="EZ498" s="98">
        <f t="shared" si="3170"/>
        <v>0</v>
      </c>
      <c r="FA498" s="98">
        <f t="shared" si="3170"/>
        <v>74030</v>
      </c>
      <c r="FB498" s="98">
        <f t="shared" si="3170"/>
        <v>1375104</v>
      </c>
      <c r="FC498" s="98">
        <f t="shared" si="3170"/>
        <v>0</v>
      </c>
      <c r="FD498" s="98">
        <f t="shared" si="3170"/>
        <v>0</v>
      </c>
      <c r="FE498" s="198">
        <f t="shared" si="2627"/>
        <v>3664216</v>
      </c>
      <c r="FF498" s="198">
        <f t="shared" si="2628"/>
        <v>69465201</v>
      </c>
      <c r="FG498" s="98">
        <f t="shared" ref="FG498:FT498" si="3171">SUM(FG27,FG65,FG103,FG141,FG179,FG217,FG255,FG293,FG331,FG369,FG407,FG445)</f>
        <v>0</v>
      </c>
      <c r="FH498" s="98">
        <f t="shared" si="3171"/>
        <v>0</v>
      </c>
      <c r="FI498" s="98">
        <f t="shared" si="3171"/>
        <v>0</v>
      </c>
      <c r="FJ498" s="98">
        <f t="shared" si="3171"/>
        <v>0</v>
      </c>
      <c r="FK498" s="98">
        <f t="shared" si="3171"/>
        <v>0</v>
      </c>
      <c r="FL498" s="98">
        <f t="shared" si="3171"/>
        <v>0</v>
      </c>
      <c r="FM498" s="98">
        <f t="shared" si="3171"/>
        <v>1164300</v>
      </c>
      <c r="FN498" s="98">
        <f t="shared" si="3171"/>
        <v>21688451.5</v>
      </c>
      <c r="FO498" s="98">
        <f t="shared" si="3171"/>
        <v>0</v>
      </c>
      <c r="FP498" s="98">
        <f t="shared" si="3171"/>
        <v>0</v>
      </c>
      <c r="FQ498" s="98">
        <f t="shared" si="3171"/>
        <v>0</v>
      </c>
      <c r="FR498" s="98">
        <f t="shared" si="3171"/>
        <v>0</v>
      </c>
      <c r="FS498" s="98">
        <f t="shared" si="3171"/>
        <v>0</v>
      </c>
      <c r="FT498" s="98">
        <f t="shared" si="3171"/>
        <v>0</v>
      </c>
      <c r="FU498" s="198">
        <f t="shared" si="2630"/>
        <v>1164300</v>
      </c>
      <c r="FV498" s="198">
        <f t="shared" si="2631"/>
        <v>21688451.5</v>
      </c>
      <c r="FW498" s="98">
        <f t="shared" ref="FW498:GJ498" si="3172">SUM(FW27,FW65,FW103,FW141,FW179,FW217,FW255,FW293,FW331,FW369,FW407,FW445)</f>
        <v>0</v>
      </c>
      <c r="FX498" s="98">
        <f t="shared" si="3172"/>
        <v>0</v>
      </c>
      <c r="FY498" s="98">
        <f t="shared" si="3172"/>
        <v>0</v>
      </c>
      <c r="FZ498" s="98">
        <f t="shared" si="3172"/>
        <v>0</v>
      </c>
      <c r="GA498" s="98">
        <f t="shared" si="3172"/>
        <v>0</v>
      </c>
      <c r="GB498" s="98">
        <f t="shared" si="3172"/>
        <v>0</v>
      </c>
      <c r="GC498" s="98">
        <f t="shared" si="3172"/>
        <v>2562000</v>
      </c>
      <c r="GD498" s="98">
        <f t="shared" si="3172"/>
        <v>47098500</v>
      </c>
      <c r="GE498" s="98">
        <f t="shared" si="3172"/>
        <v>0</v>
      </c>
      <c r="GF498" s="98">
        <f t="shared" si="3172"/>
        <v>0</v>
      </c>
      <c r="GG498" s="98">
        <f t="shared" si="3172"/>
        <v>0</v>
      </c>
      <c r="GH498" s="98">
        <f t="shared" si="3172"/>
        <v>0</v>
      </c>
      <c r="GI498" s="98">
        <f t="shared" si="3172"/>
        <v>0</v>
      </c>
      <c r="GJ498" s="98">
        <f t="shared" si="3172"/>
        <v>0</v>
      </c>
      <c r="GK498" s="198">
        <f t="shared" si="2633"/>
        <v>2562000</v>
      </c>
      <c r="GL498" s="198">
        <f t="shared" si="2634"/>
        <v>47098500</v>
      </c>
      <c r="GM498" s="98">
        <f t="shared" ref="GM498:GZ498" si="3173">SUM(GM27,GM65,GM103,GM141,GM179,GM217,GM255,GM293,GM331,GM369,GM407,GM445)</f>
        <v>0</v>
      </c>
      <c r="GN498" s="98">
        <f t="shared" si="3173"/>
        <v>0</v>
      </c>
      <c r="GO498" s="98">
        <f t="shared" si="3173"/>
        <v>0</v>
      </c>
      <c r="GP498" s="98">
        <f t="shared" si="3173"/>
        <v>0</v>
      </c>
      <c r="GQ498" s="98">
        <f t="shared" si="3173"/>
        <v>0</v>
      </c>
      <c r="GR498" s="98">
        <f t="shared" si="3173"/>
        <v>0</v>
      </c>
      <c r="GS498" s="98">
        <f t="shared" si="3173"/>
        <v>1613000</v>
      </c>
      <c r="GT498" s="98">
        <f t="shared" si="3173"/>
        <v>29515800</v>
      </c>
      <c r="GU498" s="98">
        <f t="shared" si="3173"/>
        <v>0</v>
      </c>
      <c r="GV498" s="98">
        <f t="shared" si="3173"/>
        <v>0</v>
      </c>
      <c r="GW498" s="98">
        <f t="shared" si="3173"/>
        <v>0</v>
      </c>
      <c r="GX498" s="98">
        <f t="shared" si="3173"/>
        <v>0</v>
      </c>
      <c r="GY498" s="98">
        <f t="shared" si="3173"/>
        <v>0</v>
      </c>
      <c r="GZ498" s="98">
        <f t="shared" si="3173"/>
        <v>0</v>
      </c>
      <c r="HA498" s="198">
        <f t="shared" si="2636"/>
        <v>1613000</v>
      </c>
      <c r="HB498" s="198">
        <f t="shared" si="2637"/>
        <v>29515800</v>
      </c>
      <c r="HC498" s="98">
        <f t="shared" ref="HC498:HP498" si="3174">SUM(HC27,HC65,HC103,HC141,HC179,HC217,HC255,HC293,HC331,HC369,HC407,HC445)</f>
        <v>0</v>
      </c>
      <c r="HD498" s="98">
        <f t="shared" si="3174"/>
        <v>0</v>
      </c>
      <c r="HE498" s="98">
        <f t="shared" si="3174"/>
        <v>0</v>
      </c>
      <c r="HF498" s="98">
        <f t="shared" si="3174"/>
        <v>0</v>
      </c>
      <c r="HG498" s="98">
        <f t="shared" si="3174"/>
        <v>0</v>
      </c>
      <c r="HH498" s="98">
        <f t="shared" si="3174"/>
        <v>0</v>
      </c>
      <c r="HI498" s="98">
        <f t="shared" si="3174"/>
        <v>6520000</v>
      </c>
      <c r="HJ498" s="98">
        <f t="shared" si="3174"/>
        <v>115260000</v>
      </c>
      <c r="HK498" s="98">
        <f t="shared" si="3174"/>
        <v>0</v>
      </c>
      <c r="HL498" s="98">
        <f t="shared" si="3174"/>
        <v>0</v>
      </c>
      <c r="HM498" s="98">
        <f t="shared" si="3174"/>
        <v>0</v>
      </c>
      <c r="HN498" s="98">
        <f t="shared" si="3174"/>
        <v>0</v>
      </c>
      <c r="HO498" s="98">
        <f t="shared" si="3174"/>
        <v>0</v>
      </c>
      <c r="HP498" s="98">
        <f t="shared" si="3174"/>
        <v>0</v>
      </c>
      <c r="HQ498" s="198">
        <f t="shared" si="2639"/>
        <v>6520000</v>
      </c>
      <c r="HR498" s="198">
        <f t="shared" si="2640"/>
        <v>115260000</v>
      </c>
      <c r="HS498" s="98">
        <f t="shared" ref="HS498:IF498" si="3175">SUM(HS27,HS65,HS103,HS141,HS179,HS217,HS255,HS293,HS331,HS369,HS407,HS445)</f>
        <v>0</v>
      </c>
      <c r="HT498" s="98">
        <f t="shared" si="3175"/>
        <v>0</v>
      </c>
      <c r="HU498" s="98">
        <f t="shared" si="3175"/>
        <v>0</v>
      </c>
      <c r="HV498" s="98">
        <f t="shared" si="3175"/>
        <v>0</v>
      </c>
      <c r="HW498" s="98">
        <f t="shared" si="3175"/>
        <v>0</v>
      </c>
      <c r="HX498" s="98">
        <f t="shared" si="3175"/>
        <v>0</v>
      </c>
      <c r="HY498" s="98">
        <f t="shared" si="3175"/>
        <v>1587945</v>
      </c>
      <c r="HZ498" s="98">
        <f t="shared" si="3175"/>
        <v>28493630</v>
      </c>
      <c r="IA498" s="98">
        <f t="shared" si="3175"/>
        <v>0</v>
      </c>
      <c r="IB498" s="98">
        <f t="shared" si="3175"/>
        <v>0</v>
      </c>
      <c r="IC498" s="98">
        <f t="shared" si="3175"/>
        <v>0</v>
      </c>
      <c r="ID498" s="98">
        <f t="shared" si="3175"/>
        <v>0</v>
      </c>
      <c r="IE498" s="98">
        <f t="shared" si="3175"/>
        <v>0</v>
      </c>
      <c r="IF498" s="98">
        <f t="shared" si="3175"/>
        <v>0</v>
      </c>
      <c r="IG498" s="198">
        <f t="shared" si="2642"/>
        <v>1587945</v>
      </c>
      <c r="IH498" s="198">
        <f t="shared" si="2643"/>
        <v>28493630</v>
      </c>
      <c r="II498" s="98">
        <f t="shared" ref="II498:IV498" si="3176">SUM(II27,II65,II103,II141,II179,II217,II255,II293,II331,II369,II407,II445)</f>
        <v>0</v>
      </c>
      <c r="IJ498" s="98">
        <f t="shared" si="3176"/>
        <v>0</v>
      </c>
      <c r="IK498" s="98">
        <f t="shared" si="3176"/>
        <v>0</v>
      </c>
      <c r="IL498" s="98">
        <f t="shared" si="3176"/>
        <v>0</v>
      </c>
      <c r="IM498" s="98">
        <f t="shared" si="3176"/>
        <v>0</v>
      </c>
      <c r="IN498" s="98">
        <f t="shared" si="3176"/>
        <v>0</v>
      </c>
      <c r="IO498" s="98">
        <f t="shared" si="3176"/>
        <v>9694106</v>
      </c>
      <c r="IP498" s="98">
        <f t="shared" si="3176"/>
        <v>178015581</v>
      </c>
      <c r="IQ498" s="98">
        <f t="shared" si="3176"/>
        <v>0</v>
      </c>
      <c r="IR498" s="98">
        <f t="shared" si="3176"/>
        <v>0</v>
      </c>
      <c r="IS498" s="98">
        <f t="shared" si="3176"/>
        <v>0</v>
      </c>
      <c r="IT498" s="98">
        <f t="shared" si="3176"/>
        <v>0</v>
      </c>
      <c r="IU498" s="98">
        <f t="shared" si="3176"/>
        <v>0</v>
      </c>
      <c r="IV498" s="98">
        <f t="shared" si="3176"/>
        <v>0</v>
      </c>
      <c r="IW498" s="198">
        <f t="shared" si="2645"/>
        <v>9694106</v>
      </c>
      <c r="IX498" s="198">
        <f t="shared" si="2646"/>
        <v>178015581</v>
      </c>
      <c r="IY498" s="98">
        <f t="shared" ref="IY498:JL498" si="3177">SUM(IY27,IY65,IY103,IY141,IY179,IY217,IY255,IY293,IY331,IY369,IY407,IY445)</f>
        <v>0</v>
      </c>
      <c r="IZ498" s="98">
        <f t="shared" si="3177"/>
        <v>0</v>
      </c>
      <c r="JA498" s="98">
        <f t="shared" si="3177"/>
        <v>0</v>
      </c>
      <c r="JB498" s="98">
        <f t="shared" si="3177"/>
        <v>0</v>
      </c>
      <c r="JC498" s="98">
        <f t="shared" si="3177"/>
        <v>0</v>
      </c>
      <c r="JD498" s="98">
        <f t="shared" si="3177"/>
        <v>0</v>
      </c>
      <c r="JE498" s="98">
        <f t="shared" si="3177"/>
        <v>3959902</v>
      </c>
      <c r="JF498" s="98">
        <f t="shared" si="3177"/>
        <v>73258187</v>
      </c>
      <c r="JG498" s="98">
        <f t="shared" si="3177"/>
        <v>0</v>
      </c>
      <c r="JH498" s="98">
        <f t="shared" si="3177"/>
        <v>0</v>
      </c>
      <c r="JI498" s="98">
        <f t="shared" si="3177"/>
        <v>0</v>
      </c>
      <c r="JJ498" s="98">
        <f t="shared" si="3177"/>
        <v>0</v>
      </c>
      <c r="JK498" s="98">
        <f t="shared" si="3177"/>
        <v>0</v>
      </c>
      <c r="JL498" s="98">
        <f t="shared" si="3177"/>
        <v>0</v>
      </c>
      <c r="JM498" s="198">
        <f t="shared" si="2648"/>
        <v>3959902</v>
      </c>
      <c r="JN498" s="198">
        <f t="shared" si="2649"/>
        <v>73258187</v>
      </c>
      <c r="JO498" s="98">
        <f t="shared" ref="JO498:KB498" si="3178">SUM(JO27,JO65,JO103,JO141,JO179,JO217,JO255,JO293,JO331,JO369,JO407,JO445)</f>
        <v>0</v>
      </c>
      <c r="JP498" s="98">
        <f t="shared" si="3178"/>
        <v>0</v>
      </c>
      <c r="JQ498" s="98">
        <f t="shared" si="3178"/>
        <v>0</v>
      </c>
      <c r="JR498" s="98">
        <f t="shared" si="3178"/>
        <v>0</v>
      </c>
      <c r="JS498" s="98">
        <f t="shared" si="3178"/>
        <v>0</v>
      </c>
      <c r="JT498" s="98">
        <f t="shared" si="3178"/>
        <v>0</v>
      </c>
      <c r="JU498" s="98">
        <f t="shared" si="3178"/>
        <v>759333</v>
      </c>
      <c r="JV498" s="98">
        <f t="shared" si="3178"/>
        <v>18223992</v>
      </c>
      <c r="JW498" s="98">
        <f t="shared" si="3178"/>
        <v>0</v>
      </c>
      <c r="JX498" s="98">
        <f t="shared" si="3178"/>
        <v>0</v>
      </c>
      <c r="JY498" s="98">
        <f t="shared" si="3178"/>
        <v>0</v>
      </c>
      <c r="JZ498" s="98">
        <f t="shared" si="3178"/>
        <v>0</v>
      </c>
      <c r="KA498" s="98">
        <f t="shared" si="3178"/>
        <v>0</v>
      </c>
      <c r="KB498" s="98">
        <f t="shared" si="3178"/>
        <v>0</v>
      </c>
      <c r="KC498" s="198">
        <f t="shared" si="2651"/>
        <v>759333</v>
      </c>
      <c r="KD498" s="198">
        <f t="shared" si="2652"/>
        <v>18223992</v>
      </c>
      <c r="KE498" s="98">
        <f t="shared" ref="KE498:KR498" si="3179">SUM(KE27,KE65,KE103,KE141,KE179,KE217,KE255,KE293,KE331,KE369,KE407,KE445)</f>
        <v>0</v>
      </c>
      <c r="KF498" s="98">
        <f t="shared" si="3179"/>
        <v>0</v>
      </c>
      <c r="KG498" s="98">
        <f t="shared" si="3179"/>
        <v>0</v>
      </c>
      <c r="KH498" s="98">
        <f t="shared" si="3179"/>
        <v>0</v>
      </c>
      <c r="KI498" s="98">
        <f t="shared" si="3179"/>
        <v>0</v>
      </c>
      <c r="KJ498" s="98">
        <f t="shared" si="3179"/>
        <v>0</v>
      </c>
      <c r="KK498" s="98">
        <f t="shared" si="3179"/>
        <v>795578</v>
      </c>
      <c r="KL498" s="98">
        <f t="shared" si="3179"/>
        <v>15911560</v>
      </c>
      <c r="KM498" s="98">
        <f t="shared" si="3179"/>
        <v>0</v>
      </c>
      <c r="KN498" s="98">
        <f t="shared" si="3179"/>
        <v>0</v>
      </c>
      <c r="KO498" s="98">
        <f t="shared" si="3179"/>
        <v>0</v>
      </c>
      <c r="KP498" s="98">
        <f t="shared" si="3179"/>
        <v>0</v>
      </c>
      <c r="KQ498" s="98">
        <f t="shared" si="3179"/>
        <v>0</v>
      </c>
      <c r="KR498" s="98">
        <f t="shared" si="3179"/>
        <v>0</v>
      </c>
      <c r="KS498" s="198">
        <f t="shared" si="2654"/>
        <v>795578</v>
      </c>
      <c r="KT498" s="198">
        <f t="shared" si="2655"/>
        <v>15911560</v>
      </c>
      <c r="KU498" s="98">
        <f t="shared" ref="KU498:LH498" si="3180">SUM(KU27,KU65,KU103,KU141,KU179,KU217,KU255,KU293,KU331,KU369,KU407,KU445)</f>
        <v>0</v>
      </c>
      <c r="KV498" s="98">
        <f t="shared" si="3180"/>
        <v>0</v>
      </c>
      <c r="KW498" s="98">
        <f t="shared" si="3180"/>
        <v>0</v>
      </c>
      <c r="KX498" s="98">
        <f t="shared" si="3180"/>
        <v>0</v>
      </c>
      <c r="KY498" s="98">
        <f t="shared" si="3180"/>
        <v>0</v>
      </c>
      <c r="KZ498" s="98">
        <f t="shared" si="3180"/>
        <v>0</v>
      </c>
      <c r="LA498" s="98">
        <f t="shared" si="3180"/>
        <v>15288590.49</v>
      </c>
      <c r="LB498" s="98">
        <f t="shared" si="3180"/>
        <v>277251092</v>
      </c>
      <c r="LC498" s="98">
        <f t="shared" si="3180"/>
        <v>0</v>
      </c>
      <c r="LD498" s="98">
        <f t="shared" si="3180"/>
        <v>0</v>
      </c>
      <c r="LE498" s="98">
        <f t="shared" si="3180"/>
        <v>0</v>
      </c>
      <c r="LF498" s="98">
        <f t="shared" si="3180"/>
        <v>0</v>
      </c>
      <c r="LG498" s="98">
        <f t="shared" si="3180"/>
        <v>0</v>
      </c>
      <c r="LH498" s="98">
        <f t="shared" si="3180"/>
        <v>0</v>
      </c>
      <c r="LI498" s="198">
        <f t="shared" si="2657"/>
        <v>15288590.49</v>
      </c>
      <c r="LJ498" s="198">
        <f t="shared" si="2658"/>
        <v>277251092</v>
      </c>
      <c r="LK498" s="98">
        <f t="shared" ref="LK498:LX498" si="3181">SUM(LK27,LK65,LK103,LK141,LK179,LK217,LK255,LK293,LK331,LK369,LK407,LK445)</f>
        <v>0</v>
      </c>
      <c r="LL498" s="98">
        <f t="shared" si="3181"/>
        <v>0</v>
      </c>
      <c r="LM498" s="98">
        <f t="shared" si="3181"/>
        <v>0</v>
      </c>
      <c r="LN498" s="98">
        <f t="shared" si="3181"/>
        <v>0</v>
      </c>
      <c r="LO498" s="98">
        <f t="shared" si="3181"/>
        <v>0</v>
      </c>
      <c r="LP498" s="98">
        <f t="shared" si="3181"/>
        <v>0</v>
      </c>
      <c r="LQ498" s="98">
        <f t="shared" si="3181"/>
        <v>1787644</v>
      </c>
      <c r="LR498" s="98">
        <f t="shared" si="3181"/>
        <v>33041010.199999999</v>
      </c>
      <c r="LS498" s="98">
        <f t="shared" si="3181"/>
        <v>0</v>
      </c>
      <c r="LT498" s="98">
        <f t="shared" si="3181"/>
        <v>0</v>
      </c>
      <c r="LU498" s="98">
        <f t="shared" si="3181"/>
        <v>0</v>
      </c>
      <c r="LV498" s="98">
        <f t="shared" si="3181"/>
        <v>0</v>
      </c>
      <c r="LW498" s="98">
        <f t="shared" si="3181"/>
        <v>978</v>
      </c>
      <c r="LX498" s="98">
        <f t="shared" si="3181"/>
        <v>31296</v>
      </c>
      <c r="LY498" s="198">
        <f t="shared" si="2660"/>
        <v>1788622</v>
      </c>
      <c r="LZ498" s="198">
        <f t="shared" si="2661"/>
        <v>33072306.199999999</v>
      </c>
      <c r="MA498" s="98">
        <f t="shared" ref="MA498:MN498" si="3182">SUM(MA27,MA65,MA103,MA141,MA179,MA217,MA255,MA293,MA331,MA369,MA407,MA445)</f>
        <v>0</v>
      </c>
      <c r="MB498" s="98">
        <f t="shared" si="3182"/>
        <v>0</v>
      </c>
      <c r="MC498" s="98">
        <f t="shared" si="3182"/>
        <v>0</v>
      </c>
      <c r="MD498" s="98">
        <f t="shared" si="3182"/>
        <v>0</v>
      </c>
      <c r="ME498" s="98">
        <f t="shared" si="3182"/>
        <v>0</v>
      </c>
      <c r="MF498" s="98">
        <f t="shared" si="3182"/>
        <v>0</v>
      </c>
      <c r="MG498" s="98">
        <f t="shared" si="3182"/>
        <v>843430</v>
      </c>
      <c r="MH498" s="98">
        <f t="shared" si="3182"/>
        <v>15603455</v>
      </c>
      <c r="MI498" s="98">
        <f t="shared" si="3182"/>
        <v>0</v>
      </c>
      <c r="MJ498" s="98">
        <f t="shared" si="3182"/>
        <v>0</v>
      </c>
      <c r="MK498" s="98">
        <f t="shared" si="3182"/>
        <v>0</v>
      </c>
      <c r="ML498" s="98">
        <f t="shared" si="3182"/>
        <v>0</v>
      </c>
      <c r="MM498" s="98">
        <f t="shared" si="3182"/>
        <v>0</v>
      </c>
      <c r="MN498" s="98">
        <f t="shared" si="3182"/>
        <v>0</v>
      </c>
      <c r="MO498" s="198">
        <f t="shared" si="2663"/>
        <v>843430</v>
      </c>
      <c r="MP498" s="198">
        <f t="shared" si="2664"/>
        <v>15603455</v>
      </c>
      <c r="MQ498" s="98">
        <f t="shared" ref="MQ498:ND498" si="3183">SUM(MQ27,MQ65,MQ103,MQ141,MQ179,MQ217,MQ255,MQ293,MQ331,MQ369,MQ407,MQ445)</f>
        <v>0</v>
      </c>
      <c r="MR498" s="98">
        <f t="shared" si="3183"/>
        <v>0</v>
      </c>
      <c r="MS498" s="98">
        <f t="shared" si="3183"/>
        <v>0</v>
      </c>
      <c r="MT498" s="98">
        <f t="shared" si="3183"/>
        <v>0</v>
      </c>
      <c r="MU498" s="98">
        <f t="shared" si="3183"/>
        <v>0</v>
      </c>
      <c r="MV498" s="98">
        <f t="shared" si="3183"/>
        <v>0</v>
      </c>
      <c r="MW498" s="98">
        <f t="shared" si="3183"/>
        <v>227864</v>
      </c>
      <c r="MX498" s="98">
        <f t="shared" si="3183"/>
        <v>5240872</v>
      </c>
      <c r="MY498" s="98">
        <f t="shared" si="3183"/>
        <v>0</v>
      </c>
      <c r="MZ498" s="98">
        <f t="shared" si="3183"/>
        <v>0</v>
      </c>
      <c r="NA498" s="98">
        <f t="shared" si="3183"/>
        <v>0</v>
      </c>
      <c r="NB498" s="98">
        <f t="shared" si="3183"/>
        <v>0</v>
      </c>
      <c r="NC498" s="98">
        <f t="shared" si="3183"/>
        <v>0</v>
      </c>
      <c r="ND498" s="98">
        <f t="shared" si="3183"/>
        <v>0</v>
      </c>
      <c r="NE498" s="198">
        <f t="shared" si="2666"/>
        <v>227864</v>
      </c>
      <c r="NF498" s="198">
        <f t="shared" si="2667"/>
        <v>5240872</v>
      </c>
      <c r="NG498" s="98">
        <f t="shared" ref="NG498:NT498" si="3184">SUM(NG27,NG65,NG103,NG141,NG179,NG217,NG255,NG293,NG331,NG369,NG407,NG445)</f>
        <v>0</v>
      </c>
      <c r="NH498" s="98">
        <f t="shared" si="3184"/>
        <v>0</v>
      </c>
      <c r="NI498" s="98">
        <f t="shared" si="3184"/>
        <v>0</v>
      </c>
      <c r="NJ498" s="98">
        <f t="shared" si="3184"/>
        <v>0</v>
      </c>
      <c r="NK498" s="98">
        <f t="shared" si="3184"/>
        <v>0</v>
      </c>
      <c r="NL498" s="98">
        <f t="shared" si="3184"/>
        <v>0</v>
      </c>
      <c r="NM498" s="98">
        <f t="shared" si="3184"/>
        <v>25612445</v>
      </c>
      <c r="NN498" s="98">
        <f t="shared" si="3184"/>
        <v>409799120</v>
      </c>
      <c r="NO498" s="98">
        <f t="shared" si="3184"/>
        <v>0</v>
      </c>
      <c r="NP498" s="98">
        <f t="shared" si="3184"/>
        <v>0</v>
      </c>
      <c r="NQ498" s="98">
        <f t="shared" si="3184"/>
        <v>8530</v>
      </c>
      <c r="NR498" s="98">
        <f t="shared" si="3184"/>
        <v>136480</v>
      </c>
      <c r="NS498" s="98">
        <f t="shared" si="3184"/>
        <v>0</v>
      </c>
      <c r="NT498" s="98">
        <f t="shared" si="3184"/>
        <v>0</v>
      </c>
      <c r="NU498" s="198">
        <f t="shared" si="2669"/>
        <v>25620975</v>
      </c>
      <c r="NV498" s="198">
        <f t="shared" si="2670"/>
        <v>409935600</v>
      </c>
      <c r="NW498" s="98">
        <f t="shared" ref="NW498:OJ498" si="3185">SUM(NW27,NW65,NW103,NW141,NW179,NW217,NW255,NW293,NW331,NW369,NW407,NW445)</f>
        <v>0</v>
      </c>
      <c r="NX498" s="98">
        <f t="shared" si="3185"/>
        <v>0</v>
      </c>
      <c r="NY498" s="98">
        <f t="shared" si="3185"/>
        <v>0</v>
      </c>
      <c r="NZ498" s="98">
        <f t="shared" si="3185"/>
        <v>0</v>
      </c>
      <c r="OA498" s="98">
        <f t="shared" si="3185"/>
        <v>0</v>
      </c>
      <c r="OB498" s="98">
        <f t="shared" si="3185"/>
        <v>0</v>
      </c>
      <c r="OC498" s="98">
        <f t="shared" si="3185"/>
        <v>634611</v>
      </c>
      <c r="OD498" s="98">
        <f t="shared" si="3185"/>
        <v>12057609</v>
      </c>
      <c r="OE498" s="98">
        <f t="shared" si="3185"/>
        <v>0</v>
      </c>
      <c r="OF498" s="98">
        <f t="shared" si="3185"/>
        <v>0</v>
      </c>
      <c r="OG498" s="98">
        <f t="shared" si="3185"/>
        <v>0</v>
      </c>
      <c r="OH498" s="98">
        <f t="shared" si="3185"/>
        <v>0</v>
      </c>
      <c r="OI498" s="98">
        <f t="shared" si="3185"/>
        <v>0</v>
      </c>
      <c r="OJ498" s="98">
        <f t="shared" si="3185"/>
        <v>0</v>
      </c>
      <c r="OK498" s="198">
        <f t="shared" si="2672"/>
        <v>634611</v>
      </c>
      <c r="OL498" s="198">
        <f t="shared" si="2673"/>
        <v>12057609</v>
      </c>
      <c r="OM498" s="98">
        <f t="shared" ref="OM498:OZ498" si="3186">SUM(OM27,OM65,OM103,OM141,OM179,OM217,OM255,OM293,OM331,OM369,OM407,OM445)</f>
        <v>0</v>
      </c>
      <c r="ON498" s="98">
        <f t="shared" si="3186"/>
        <v>0</v>
      </c>
      <c r="OO498" s="98">
        <f t="shared" si="3186"/>
        <v>0</v>
      </c>
      <c r="OP498" s="98">
        <f t="shared" si="3186"/>
        <v>0</v>
      </c>
      <c r="OQ498" s="98">
        <f t="shared" si="3186"/>
        <v>0</v>
      </c>
      <c r="OR498" s="98">
        <f t="shared" si="3186"/>
        <v>0</v>
      </c>
      <c r="OS498" s="98">
        <f t="shared" si="3186"/>
        <v>2533889.4</v>
      </c>
      <c r="OT498" s="98">
        <f t="shared" si="3186"/>
        <v>23381376.899999999</v>
      </c>
      <c r="OU498" s="98">
        <f t="shared" si="3186"/>
        <v>0</v>
      </c>
      <c r="OV498" s="98">
        <f t="shared" si="3186"/>
        <v>0</v>
      </c>
      <c r="OW498" s="98">
        <f t="shared" si="3186"/>
        <v>0</v>
      </c>
      <c r="OX498" s="98">
        <f t="shared" si="3186"/>
        <v>0</v>
      </c>
      <c r="OY498" s="98">
        <f t="shared" si="3186"/>
        <v>0</v>
      </c>
      <c r="OZ498" s="98">
        <f t="shared" si="3186"/>
        <v>0</v>
      </c>
      <c r="PA498" s="198">
        <f t="shared" si="2675"/>
        <v>2533889.4</v>
      </c>
      <c r="PB498" s="198">
        <f t="shared" si="2676"/>
        <v>23381376.899999999</v>
      </c>
      <c r="PC498" s="98">
        <f t="shared" ref="PC498:PP498" si="3187">SUM(PC27,PC65,PC103,PC141,PC179,PC217,PC255,PC293,PC331,PC369,PC407,PC445)</f>
        <v>0</v>
      </c>
      <c r="PD498" s="98">
        <f t="shared" si="3187"/>
        <v>0</v>
      </c>
      <c r="PE498" s="98">
        <f t="shared" si="3187"/>
        <v>0</v>
      </c>
      <c r="PF498" s="98">
        <f t="shared" si="3187"/>
        <v>0</v>
      </c>
      <c r="PG498" s="98">
        <f t="shared" si="3187"/>
        <v>0</v>
      </c>
      <c r="PH498" s="98">
        <f t="shared" si="3187"/>
        <v>0</v>
      </c>
      <c r="PI498" s="98">
        <f t="shared" si="3187"/>
        <v>3853897</v>
      </c>
      <c r="PJ498" s="98">
        <f t="shared" si="3187"/>
        <v>68578304</v>
      </c>
      <c r="PK498" s="98">
        <f t="shared" si="3187"/>
        <v>0</v>
      </c>
      <c r="PL498" s="98">
        <f t="shared" si="3187"/>
        <v>0</v>
      </c>
      <c r="PM498" s="98">
        <f t="shared" si="3187"/>
        <v>0</v>
      </c>
      <c r="PN498" s="98">
        <f t="shared" si="3187"/>
        <v>0</v>
      </c>
      <c r="PO498" s="98">
        <f t="shared" si="3187"/>
        <v>0</v>
      </c>
      <c r="PP498" s="98">
        <f t="shared" si="3187"/>
        <v>0</v>
      </c>
      <c r="PQ498" s="198">
        <f t="shared" si="2678"/>
        <v>3853897</v>
      </c>
      <c r="PR498" s="198">
        <f t="shared" si="2679"/>
        <v>68578304</v>
      </c>
      <c r="PS498" s="98">
        <f t="shared" ref="PS498:QF498" si="3188">SUM(PS27,PS65,PS103,PS141,PS179,PS217,PS255,PS293,PS331,PS369,PS407,PS445)</f>
        <v>0</v>
      </c>
      <c r="PT498" s="98">
        <f t="shared" si="3188"/>
        <v>0</v>
      </c>
      <c r="PU498" s="98">
        <f t="shared" si="3188"/>
        <v>0</v>
      </c>
      <c r="PV498" s="98">
        <f t="shared" si="3188"/>
        <v>0</v>
      </c>
      <c r="PW498" s="98">
        <f t="shared" si="3188"/>
        <v>0</v>
      </c>
      <c r="PX498" s="98">
        <f t="shared" si="3188"/>
        <v>0</v>
      </c>
      <c r="PY498" s="98">
        <f t="shared" si="3188"/>
        <v>9699815</v>
      </c>
      <c r="PZ498" s="98">
        <f t="shared" si="3188"/>
        <v>183124311.41100001</v>
      </c>
      <c r="QA498" s="98">
        <f t="shared" si="3188"/>
        <v>0</v>
      </c>
      <c r="QB498" s="98">
        <f t="shared" si="3188"/>
        <v>0</v>
      </c>
      <c r="QC498" s="98">
        <f t="shared" si="3188"/>
        <v>2681230</v>
      </c>
      <c r="QD498" s="98">
        <f t="shared" si="3188"/>
        <v>49645420</v>
      </c>
      <c r="QE498" s="98">
        <f t="shared" si="3188"/>
        <v>0</v>
      </c>
      <c r="QF498" s="98">
        <f t="shared" si="3188"/>
        <v>0</v>
      </c>
      <c r="QG498" s="198">
        <f t="shared" si="2681"/>
        <v>12381045</v>
      </c>
      <c r="QH498" s="198">
        <f t="shared" si="2682"/>
        <v>232769731.41100001</v>
      </c>
      <c r="QI498" s="98">
        <f t="shared" ref="QI498:QV498" si="3189">SUM(QI27,QI65,QI103,QI141,QI179,QI217,QI255,QI293,QI331,QI369,QI407,QI445)</f>
        <v>0</v>
      </c>
      <c r="QJ498" s="98">
        <f t="shared" si="3189"/>
        <v>0</v>
      </c>
      <c r="QK498" s="98">
        <f t="shared" si="3189"/>
        <v>0</v>
      </c>
      <c r="QL498" s="98">
        <f t="shared" si="3189"/>
        <v>0</v>
      </c>
      <c r="QM498" s="98">
        <f t="shared" si="3189"/>
        <v>0</v>
      </c>
      <c r="QN498" s="98">
        <f t="shared" si="3189"/>
        <v>0</v>
      </c>
      <c r="QO498" s="98">
        <f t="shared" si="3189"/>
        <v>11070000</v>
      </c>
      <c r="QP498" s="98">
        <f t="shared" si="3189"/>
        <v>200985000</v>
      </c>
      <c r="QQ498" s="98">
        <f t="shared" si="3189"/>
        <v>0</v>
      </c>
      <c r="QR498" s="98">
        <f t="shared" si="3189"/>
        <v>0</v>
      </c>
      <c r="QS498" s="98">
        <f t="shared" si="3189"/>
        <v>0</v>
      </c>
      <c r="QT498" s="98">
        <f t="shared" si="3189"/>
        <v>0</v>
      </c>
      <c r="QU498" s="98">
        <f t="shared" si="3189"/>
        <v>0</v>
      </c>
      <c r="QV498" s="98">
        <f t="shared" si="3189"/>
        <v>0</v>
      </c>
      <c r="QW498" s="198">
        <f t="shared" si="2684"/>
        <v>11070000</v>
      </c>
      <c r="QX498" s="198">
        <f t="shared" si="2685"/>
        <v>200985000</v>
      </c>
      <c r="QY498" s="98">
        <f t="shared" ref="QY498:RL498" si="3190">SUM(QY27,QY65,QY103,QY141,QY179,QY217,QY255,QY293,QY331,QY369,QY407,QY445)</f>
        <v>0</v>
      </c>
      <c r="QZ498" s="98">
        <f t="shared" si="3190"/>
        <v>0</v>
      </c>
      <c r="RA498" s="98">
        <f t="shared" si="3190"/>
        <v>0</v>
      </c>
      <c r="RB498" s="98">
        <f t="shared" si="3190"/>
        <v>0</v>
      </c>
      <c r="RC498" s="98">
        <f t="shared" si="3190"/>
        <v>0</v>
      </c>
      <c r="RD498" s="98">
        <f t="shared" si="3190"/>
        <v>0</v>
      </c>
      <c r="RE498" s="98">
        <f t="shared" si="3190"/>
        <v>29902</v>
      </c>
      <c r="RF498" s="98">
        <f t="shared" si="3190"/>
        <v>598040</v>
      </c>
      <c r="RG498" s="98">
        <f t="shared" si="3190"/>
        <v>0</v>
      </c>
      <c r="RH498" s="98">
        <f t="shared" si="3190"/>
        <v>0</v>
      </c>
      <c r="RI498" s="98">
        <f t="shared" si="3190"/>
        <v>0</v>
      </c>
      <c r="RJ498" s="98">
        <f t="shared" si="3190"/>
        <v>0</v>
      </c>
      <c r="RK498" s="98">
        <f t="shared" si="3190"/>
        <v>0</v>
      </c>
      <c r="RL498" s="98">
        <f t="shared" si="3190"/>
        <v>0</v>
      </c>
      <c r="RM498" s="198">
        <f t="shared" si="2687"/>
        <v>29902</v>
      </c>
      <c r="RN498" s="198">
        <f t="shared" si="2688"/>
        <v>598040</v>
      </c>
      <c r="RO498" s="98">
        <f t="shared" ref="RO498:SB498" si="3191">SUM(RO27,RO65,RO103,RO141,RO179,RO217,RO255,RO293,RO331,RO369,RO407,RO445)</f>
        <v>0</v>
      </c>
      <c r="RP498" s="98">
        <f t="shared" si="3191"/>
        <v>0</v>
      </c>
      <c r="RQ498" s="98">
        <f t="shared" si="3191"/>
        <v>0</v>
      </c>
      <c r="RR498" s="98">
        <f t="shared" si="3191"/>
        <v>0</v>
      </c>
      <c r="RS498" s="98">
        <f t="shared" si="3191"/>
        <v>0</v>
      </c>
      <c r="RT498" s="98">
        <f t="shared" si="3191"/>
        <v>0</v>
      </c>
      <c r="RU498" s="98">
        <f t="shared" si="3191"/>
        <v>116300</v>
      </c>
      <c r="RV498" s="98">
        <f t="shared" si="3191"/>
        <v>2054445</v>
      </c>
      <c r="RW498" s="98">
        <f t="shared" si="3191"/>
        <v>0</v>
      </c>
      <c r="RX498" s="98">
        <f t="shared" si="3191"/>
        <v>0</v>
      </c>
      <c r="RY498" s="98">
        <f t="shared" si="3191"/>
        <v>0</v>
      </c>
      <c r="RZ498" s="98">
        <f t="shared" si="3191"/>
        <v>0</v>
      </c>
      <c r="SA498" s="98">
        <f t="shared" si="3191"/>
        <v>0</v>
      </c>
      <c r="SB498" s="98">
        <f t="shared" si="3191"/>
        <v>0</v>
      </c>
      <c r="SC498" s="198">
        <f t="shared" si="2690"/>
        <v>116300</v>
      </c>
      <c r="SD498" s="198">
        <f t="shared" si="2691"/>
        <v>2054445</v>
      </c>
      <c r="SE498" s="98">
        <f t="shared" ref="SE498:SR498" si="3192">SUM(SE27,SE65,SE103,SE141,SE179,SE217,SE255,SE293,SE331,SE369,SE407,SE445)</f>
        <v>0</v>
      </c>
      <c r="SF498" s="98">
        <f t="shared" si="3192"/>
        <v>0</v>
      </c>
      <c r="SG498" s="98">
        <f t="shared" si="3192"/>
        <v>0</v>
      </c>
      <c r="SH498" s="98">
        <f t="shared" si="3192"/>
        <v>0</v>
      </c>
      <c r="SI498" s="98">
        <f t="shared" si="3192"/>
        <v>0</v>
      </c>
      <c r="SJ498" s="98">
        <f t="shared" si="3192"/>
        <v>0</v>
      </c>
      <c r="SK498" s="98">
        <f t="shared" si="3192"/>
        <v>183300</v>
      </c>
      <c r="SL498" s="98">
        <f t="shared" si="3192"/>
        <v>3438600</v>
      </c>
      <c r="SM498" s="98">
        <f t="shared" si="3192"/>
        <v>0</v>
      </c>
      <c r="SN498" s="98">
        <f t="shared" si="3192"/>
        <v>0</v>
      </c>
      <c r="SO498" s="98">
        <f t="shared" si="3192"/>
        <v>0</v>
      </c>
      <c r="SP498" s="98">
        <f t="shared" si="3192"/>
        <v>0</v>
      </c>
      <c r="SQ498" s="98">
        <f t="shared" si="3192"/>
        <v>0</v>
      </c>
      <c r="SR498" s="98">
        <f t="shared" si="3192"/>
        <v>0</v>
      </c>
      <c r="SS498" s="198">
        <f t="shared" si="2693"/>
        <v>183300</v>
      </c>
      <c r="ST498" s="198">
        <f t="shared" si="2694"/>
        <v>3438600</v>
      </c>
      <c r="SU498" s="98">
        <f t="shared" ref="SU498:TH498" si="3193">SUM(SU27,SU65,SU103,SU141,SU179,SU217,SU255,SU293,SU331,SU369,SU407,SU445)</f>
        <v>0</v>
      </c>
      <c r="SV498" s="98">
        <f t="shared" si="3193"/>
        <v>0</v>
      </c>
      <c r="SW498" s="98">
        <f t="shared" si="3193"/>
        <v>0</v>
      </c>
      <c r="SX498" s="98">
        <f t="shared" si="3193"/>
        <v>0</v>
      </c>
      <c r="SY498" s="98">
        <f t="shared" si="3193"/>
        <v>0</v>
      </c>
      <c r="SZ498" s="98">
        <f t="shared" si="3193"/>
        <v>0</v>
      </c>
      <c r="TA498" s="98">
        <f t="shared" si="3193"/>
        <v>199694.99</v>
      </c>
      <c r="TB498" s="98">
        <f t="shared" si="3193"/>
        <v>3647498.3169999998</v>
      </c>
      <c r="TC498" s="98">
        <f t="shared" si="3193"/>
        <v>0</v>
      </c>
      <c r="TD498" s="98">
        <f t="shared" si="3193"/>
        <v>0</v>
      </c>
      <c r="TE498" s="98">
        <f t="shared" si="3193"/>
        <v>0</v>
      </c>
      <c r="TF498" s="98">
        <f t="shared" si="3193"/>
        <v>0</v>
      </c>
      <c r="TG498" s="98">
        <f t="shared" si="3193"/>
        <v>0</v>
      </c>
      <c r="TH498" s="98">
        <f t="shared" si="3193"/>
        <v>0</v>
      </c>
      <c r="TI498" s="198">
        <f t="shared" si="2696"/>
        <v>199694.99</v>
      </c>
      <c r="TJ498" s="198">
        <f t="shared" si="2697"/>
        <v>3647498.3169999998</v>
      </c>
      <c r="TK498" s="98">
        <f t="shared" ref="TK498:TX498" si="3194">SUM(TK27,TK65,TK103,TK141,TK179,TK217,TK255,TK293,TK331,TK369,TK407,TK445)</f>
        <v>0</v>
      </c>
      <c r="TL498" s="98">
        <f t="shared" si="3194"/>
        <v>0</v>
      </c>
      <c r="TM498" s="98">
        <f t="shared" si="3194"/>
        <v>0</v>
      </c>
      <c r="TN498" s="98">
        <f t="shared" si="3194"/>
        <v>0</v>
      </c>
      <c r="TO498" s="98">
        <f t="shared" si="3194"/>
        <v>0</v>
      </c>
      <c r="TP498" s="98">
        <f t="shared" si="3194"/>
        <v>0</v>
      </c>
      <c r="TQ498" s="98">
        <f t="shared" si="3194"/>
        <v>102050</v>
      </c>
      <c r="TR498" s="98">
        <f t="shared" si="3194"/>
        <v>1938950</v>
      </c>
      <c r="TS498" s="98">
        <f t="shared" si="3194"/>
        <v>0</v>
      </c>
      <c r="TT498" s="98">
        <f t="shared" si="3194"/>
        <v>0</v>
      </c>
      <c r="TU498" s="98">
        <f t="shared" si="3194"/>
        <v>0</v>
      </c>
      <c r="TV498" s="98">
        <f t="shared" si="3194"/>
        <v>0</v>
      </c>
      <c r="TW498" s="98">
        <f t="shared" si="3194"/>
        <v>0</v>
      </c>
      <c r="TX498" s="98">
        <f t="shared" si="3194"/>
        <v>0</v>
      </c>
      <c r="TY498" s="198">
        <f t="shared" si="2699"/>
        <v>102050</v>
      </c>
      <c r="TZ498" s="198">
        <f t="shared" si="2700"/>
        <v>1938950</v>
      </c>
      <c r="UA498" s="98">
        <f t="shared" ref="UA498:UN498" si="3195">SUM(UA27,UA65,UA103,UA141,UA179,UA217,UA255,UA293,UA331,UA369,UA407,UA445)</f>
        <v>0</v>
      </c>
      <c r="UB498" s="98">
        <f t="shared" si="3195"/>
        <v>0</v>
      </c>
      <c r="UC498" s="98">
        <f t="shared" si="3195"/>
        <v>0</v>
      </c>
      <c r="UD498" s="98">
        <f t="shared" si="3195"/>
        <v>0</v>
      </c>
      <c r="UE498" s="98">
        <f t="shared" si="3195"/>
        <v>0</v>
      </c>
      <c r="UF498" s="98">
        <f t="shared" si="3195"/>
        <v>0</v>
      </c>
      <c r="UG498" s="98">
        <f t="shared" si="3195"/>
        <v>217211</v>
      </c>
      <c r="UH498" s="98">
        <f t="shared" si="3195"/>
        <v>3909798</v>
      </c>
      <c r="UI498" s="98">
        <f t="shared" si="3195"/>
        <v>0</v>
      </c>
      <c r="UJ498" s="98">
        <f t="shared" si="3195"/>
        <v>0</v>
      </c>
      <c r="UK498" s="98">
        <f t="shared" si="3195"/>
        <v>0</v>
      </c>
      <c r="UL498" s="98">
        <f t="shared" si="3195"/>
        <v>0</v>
      </c>
      <c r="UM498" s="98">
        <f t="shared" si="3195"/>
        <v>0</v>
      </c>
      <c r="UN498" s="98">
        <f t="shared" si="3195"/>
        <v>0</v>
      </c>
      <c r="UO498" s="198">
        <f t="shared" si="2702"/>
        <v>217211</v>
      </c>
      <c r="UP498" s="198">
        <f t="shared" si="2703"/>
        <v>3909798</v>
      </c>
      <c r="UQ498" s="98">
        <f t="shared" ref="UQ498:VD498" si="3196">SUM(UQ27,UQ65,UQ103,UQ141,UQ179,UQ217,UQ255,UQ293,UQ331,UQ369,UQ407,UQ445)</f>
        <v>0</v>
      </c>
      <c r="UR498" s="98">
        <f t="shared" si="3196"/>
        <v>0</v>
      </c>
      <c r="US498" s="98">
        <f t="shared" si="3196"/>
        <v>0</v>
      </c>
      <c r="UT498" s="98">
        <f t="shared" si="3196"/>
        <v>0</v>
      </c>
      <c r="UU498" s="98">
        <f t="shared" si="3158"/>
        <v>0</v>
      </c>
      <c r="UV498" s="98">
        <f t="shared" si="3158"/>
        <v>0</v>
      </c>
      <c r="UW498" s="98">
        <f t="shared" si="3158"/>
        <v>35833</v>
      </c>
      <c r="UX498" s="98">
        <f t="shared" si="3158"/>
        <v>689167</v>
      </c>
      <c r="UY498" s="98">
        <f t="shared" si="3196"/>
        <v>0</v>
      </c>
      <c r="UZ498" s="98">
        <f t="shared" si="3196"/>
        <v>0</v>
      </c>
      <c r="VA498" s="98">
        <f t="shared" si="3196"/>
        <v>0</v>
      </c>
      <c r="VB498" s="98">
        <f t="shared" si="3196"/>
        <v>0</v>
      </c>
      <c r="VC498" s="98">
        <f t="shared" si="3196"/>
        <v>0</v>
      </c>
      <c r="VD498" s="98">
        <f t="shared" si="3196"/>
        <v>0</v>
      </c>
      <c r="VE498" s="198">
        <f t="shared" si="2705"/>
        <v>35833</v>
      </c>
      <c r="VF498" s="198">
        <f t="shared" si="2706"/>
        <v>689167</v>
      </c>
      <c r="VG498" s="98">
        <f t="shared" ref="VG498:VT498" si="3197">SUM(VG27,VG65,VG103,VG141,VG179,VG217,VG255,VG293,VG331,VG369,VG407,VG445)</f>
        <v>0</v>
      </c>
      <c r="VH498" s="98">
        <f t="shared" si="3197"/>
        <v>0</v>
      </c>
      <c r="VI498" s="98">
        <f t="shared" si="3197"/>
        <v>0</v>
      </c>
      <c r="VJ498" s="98">
        <f t="shared" si="3197"/>
        <v>0</v>
      </c>
      <c r="VK498" s="98">
        <f t="shared" si="3197"/>
        <v>0</v>
      </c>
      <c r="VL498" s="98">
        <f t="shared" si="3197"/>
        <v>0</v>
      </c>
      <c r="VM498" s="98">
        <f t="shared" si="3197"/>
        <v>160557.5</v>
      </c>
      <c r="VN498" s="98">
        <f t="shared" si="3197"/>
        <v>3050592.5</v>
      </c>
      <c r="VO498" s="98">
        <f t="shared" si="3197"/>
        <v>0</v>
      </c>
      <c r="VP498" s="98">
        <f t="shared" si="3197"/>
        <v>0</v>
      </c>
      <c r="VQ498" s="98">
        <f t="shared" si="3197"/>
        <v>0</v>
      </c>
      <c r="VR498" s="98">
        <f t="shared" si="3197"/>
        <v>0</v>
      </c>
      <c r="VS498" s="98">
        <f t="shared" si="3197"/>
        <v>0</v>
      </c>
      <c r="VT498" s="98">
        <f t="shared" si="3197"/>
        <v>0</v>
      </c>
      <c r="VU498" s="198">
        <f t="shared" si="2708"/>
        <v>160557.5</v>
      </c>
      <c r="VV498" s="198">
        <f t="shared" si="2709"/>
        <v>3050592.5</v>
      </c>
      <c r="VW498" s="98">
        <f t="shared" ref="VW498:WJ498" si="3198">SUM(VW27,VW65,VW103,VW141,VW179,VW217,VW255,VW293,VW331,VW369,VW407,VW445)</f>
        <v>0</v>
      </c>
      <c r="VX498" s="98">
        <f t="shared" si="3198"/>
        <v>0</v>
      </c>
      <c r="VY498" s="98">
        <f t="shared" si="3198"/>
        <v>0</v>
      </c>
      <c r="VZ498" s="98">
        <f t="shared" si="3198"/>
        <v>0</v>
      </c>
      <c r="WA498" s="98">
        <f t="shared" si="3198"/>
        <v>0</v>
      </c>
      <c r="WB498" s="98">
        <f t="shared" si="3198"/>
        <v>0</v>
      </c>
      <c r="WC498" s="98">
        <f t="shared" si="3198"/>
        <v>2200065</v>
      </c>
      <c r="WD498" s="98">
        <f t="shared" si="3198"/>
        <v>45351390</v>
      </c>
      <c r="WE498" s="98">
        <f t="shared" si="3198"/>
        <v>0</v>
      </c>
      <c r="WF498" s="98">
        <f t="shared" si="3198"/>
        <v>0</v>
      </c>
      <c r="WG498" s="98">
        <f t="shared" si="3198"/>
        <v>0</v>
      </c>
      <c r="WH498" s="98">
        <f t="shared" si="3198"/>
        <v>0</v>
      </c>
      <c r="WI498" s="98">
        <f t="shared" si="3198"/>
        <v>76409</v>
      </c>
      <c r="WJ498" s="98">
        <f t="shared" si="3198"/>
        <v>1604008</v>
      </c>
      <c r="WK498" s="198">
        <f t="shared" si="2711"/>
        <v>2276474</v>
      </c>
      <c r="WL498" s="198">
        <f t="shared" si="2712"/>
        <v>46955398</v>
      </c>
      <c r="WN498" s="98">
        <f t="shared" si="2713"/>
        <v>0</v>
      </c>
      <c r="WO498" s="98">
        <f t="shared" si="2714"/>
        <v>0</v>
      </c>
      <c r="WP498" s="98">
        <f t="shared" si="2715"/>
        <v>0</v>
      </c>
      <c r="WQ498" s="98">
        <f t="shared" si="2716"/>
        <v>0</v>
      </c>
      <c r="WR498" s="98">
        <f t="shared" si="2717"/>
        <v>0</v>
      </c>
      <c r="WS498" s="98">
        <f t="shared" si="2718"/>
        <v>0</v>
      </c>
      <c r="WT498" s="98">
        <f t="shared" ref="WT498:WT500" si="3199">SUMIF($C$481:$WL$481,$WT$481,C498:WL498)</f>
        <v>163103184.60557091</v>
      </c>
      <c r="WU498" s="98">
        <f t="shared" ref="WU498:WU500" si="3200">SUMIF($C$481:$WL$481,$WU$481,C498:WL498)</f>
        <v>2911529171.2117858</v>
      </c>
      <c r="WV498" s="98">
        <f t="shared" si="2721"/>
        <v>0</v>
      </c>
      <c r="WW498" s="98">
        <f t="shared" si="2722"/>
        <v>0</v>
      </c>
      <c r="WX498" s="98">
        <f t="shared" si="2723"/>
        <v>2768390</v>
      </c>
      <c r="WY498" s="98">
        <f t="shared" si="2724"/>
        <v>51249004</v>
      </c>
      <c r="WZ498" s="98">
        <f t="shared" si="2725"/>
        <v>83212</v>
      </c>
      <c r="XA498" s="98">
        <f t="shared" si="2726"/>
        <v>1751804</v>
      </c>
      <c r="XB498" s="107">
        <f t="shared" si="2727"/>
        <v>165954786.60557091</v>
      </c>
      <c r="XC498" s="107">
        <f t="shared" si="2728"/>
        <v>2964529979.2117858</v>
      </c>
      <c r="XK498" s="98">
        <f t="shared" si="2729"/>
        <v>3066004355.8173566</v>
      </c>
      <c r="XL498" s="98">
        <f t="shared" si="2730"/>
        <v>0</v>
      </c>
      <c r="XM498" s="98">
        <f t="shared" si="2731"/>
        <v>53925394</v>
      </c>
      <c r="XN498" s="98">
        <f t="shared" si="2732"/>
        <v>1835016</v>
      </c>
      <c r="XO498" s="98">
        <f t="shared" si="2733"/>
        <v>3121764765.8173566</v>
      </c>
      <c r="XP498" s="98">
        <f t="shared" si="2734"/>
        <v>0</v>
      </c>
      <c r="XQ498" s="98">
        <f t="shared" si="2735"/>
        <v>0</v>
      </c>
      <c r="XR498" s="107">
        <f t="shared" ca="1" si="2597"/>
        <v>6397650160.240284</v>
      </c>
      <c r="XT498" s="98">
        <f t="shared" si="2736"/>
        <v>2964529979.2117858</v>
      </c>
      <c r="XU498" s="98">
        <f t="shared" si="2737"/>
        <v>0</v>
      </c>
      <c r="XV498" s="98">
        <f t="shared" si="2738"/>
        <v>0</v>
      </c>
      <c r="XW498" s="98">
        <f t="shared" si="2739"/>
        <v>155955644.60557091</v>
      </c>
      <c r="XX498" s="98">
        <f t="shared" si="2740"/>
        <v>5977533527.0291424</v>
      </c>
      <c r="XY498" s="98">
        <f t="shared" si="2741"/>
        <v>56689184</v>
      </c>
      <c r="XZ498" s="98">
        <f t="shared" si="2742"/>
        <v>3173091156.8173566</v>
      </c>
      <c r="YA498" s="107">
        <f t="shared" ca="1" si="2598"/>
        <v>12115154663.058285</v>
      </c>
    </row>
    <row r="499" spans="2:651">
      <c r="B499" s="90" t="str">
        <f t="shared" si="2558"/>
        <v xml:space="preserve">Lobster Air Laut </v>
      </c>
      <c r="C499" s="98">
        <f t="shared" ref="C499:P499" si="3201">SUM(C28,C66,C104,C142,C180,C218,C256,C294,C332,C370,C408,C446)</f>
        <v>0</v>
      </c>
      <c r="D499" s="98">
        <f t="shared" si="3201"/>
        <v>0</v>
      </c>
      <c r="E499" s="98">
        <f t="shared" si="3201"/>
        <v>0</v>
      </c>
      <c r="F499" s="98">
        <f t="shared" si="3201"/>
        <v>0</v>
      </c>
      <c r="G499" s="98">
        <f t="shared" si="3201"/>
        <v>0</v>
      </c>
      <c r="H499" s="98">
        <f t="shared" si="3201"/>
        <v>0</v>
      </c>
      <c r="I499" s="98">
        <f t="shared" si="3201"/>
        <v>0</v>
      </c>
      <c r="J499" s="98">
        <f t="shared" si="3201"/>
        <v>0</v>
      </c>
      <c r="K499" s="98">
        <f t="shared" si="3201"/>
        <v>0</v>
      </c>
      <c r="L499" s="98">
        <f t="shared" si="3201"/>
        <v>0</v>
      </c>
      <c r="M499" s="98">
        <f t="shared" si="3201"/>
        <v>0</v>
      </c>
      <c r="N499" s="98">
        <f t="shared" si="3201"/>
        <v>0</v>
      </c>
      <c r="O499" s="98">
        <f t="shared" si="3201"/>
        <v>0</v>
      </c>
      <c r="P499" s="98">
        <f t="shared" si="3201"/>
        <v>0</v>
      </c>
      <c r="Q499" s="198">
        <f t="shared" si="2600"/>
        <v>0</v>
      </c>
      <c r="R499" s="198">
        <f t="shared" si="2601"/>
        <v>0</v>
      </c>
      <c r="S499" s="98">
        <f t="shared" ref="S499:AF499" si="3202">SUM(S28,S66,S104,S142,S180,S218,S256,S294,S332,S370,S408,S446)</f>
        <v>9710</v>
      </c>
      <c r="T499" s="98">
        <f t="shared" si="3202"/>
        <v>3398500</v>
      </c>
      <c r="U499" s="98">
        <f t="shared" si="3202"/>
        <v>0</v>
      </c>
      <c r="V499" s="98">
        <f t="shared" si="3202"/>
        <v>0</v>
      </c>
      <c r="W499" s="98">
        <f t="shared" si="3202"/>
        <v>0</v>
      </c>
      <c r="X499" s="98">
        <f t="shared" si="3202"/>
        <v>0</v>
      </c>
      <c r="Y499" s="98">
        <f t="shared" si="3202"/>
        <v>0</v>
      </c>
      <c r="Z499" s="98">
        <f t="shared" si="3202"/>
        <v>0</v>
      </c>
      <c r="AA499" s="98">
        <f t="shared" si="3202"/>
        <v>0</v>
      </c>
      <c r="AB499" s="98">
        <f t="shared" si="3202"/>
        <v>0</v>
      </c>
      <c r="AC499" s="98">
        <f t="shared" si="3202"/>
        <v>0</v>
      </c>
      <c r="AD499" s="98">
        <f t="shared" si="3202"/>
        <v>0</v>
      </c>
      <c r="AE499" s="98">
        <f t="shared" si="3202"/>
        <v>0</v>
      </c>
      <c r="AF499" s="98">
        <f t="shared" si="3202"/>
        <v>0</v>
      </c>
      <c r="AG499" s="198">
        <f t="shared" si="2603"/>
        <v>9710</v>
      </c>
      <c r="AH499" s="198">
        <f t="shared" si="2604"/>
        <v>3398500</v>
      </c>
      <c r="AI499" s="98">
        <f t="shared" ref="AI499:AV499" si="3203">SUM(AI28,AI66,AI104,AI142,AI180,AI218,AI256,AI294,AI332,AI370,AI408,AI446)</f>
        <v>0</v>
      </c>
      <c r="AJ499" s="98">
        <f t="shared" si="3203"/>
        <v>0</v>
      </c>
      <c r="AK499" s="98">
        <f t="shared" si="3203"/>
        <v>0</v>
      </c>
      <c r="AL499" s="98">
        <f t="shared" si="3203"/>
        <v>0</v>
      </c>
      <c r="AM499" s="98">
        <f t="shared" si="3203"/>
        <v>0</v>
      </c>
      <c r="AN499" s="98">
        <f t="shared" si="3203"/>
        <v>0</v>
      </c>
      <c r="AO499" s="98">
        <f t="shared" si="3203"/>
        <v>0</v>
      </c>
      <c r="AP499" s="98">
        <f t="shared" si="3203"/>
        <v>0</v>
      </c>
      <c r="AQ499" s="98">
        <f t="shared" si="3203"/>
        <v>0</v>
      </c>
      <c r="AR499" s="98">
        <f t="shared" si="3203"/>
        <v>0</v>
      </c>
      <c r="AS499" s="98">
        <f t="shared" si="3203"/>
        <v>0</v>
      </c>
      <c r="AT499" s="98">
        <f t="shared" si="3203"/>
        <v>0</v>
      </c>
      <c r="AU499" s="98">
        <f t="shared" si="3203"/>
        <v>0</v>
      </c>
      <c r="AV499" s="98">
        <f t="shared" si="3203"/>
        <v>0</v>
      </c>
      <c r="AW499" s="198">
        <f t="shared" si="2606"/>
        <v>0</v>
      </c>
      <c r="AX499" s="198">
        <f t="shared" si="2607"/>
        <v>0</v>
      </c>
      <c r="AY499" s="98">
        <f t="shared" ref="AY499:BL499" si="3204">SUM(AY28,AY66,AY104,AY142,AY180,AY218,AY256,AY294,AY332,AY370,AY408,AY446)</f>
        <v>0</v>
      </c>
      <c r="AZ499" s="98">
        <f t="shared" si="3204"/>
        <v>0</v>
      </c>
      <c r="BA499" s="98">
        <f t="shared" si="3204"/>
        <v>0</v>
      </c>
      <c r="BB499" s="98">
        <f t="shared" si="3204"/>
        <v>0</v>
      </c>
      <c r="BC499" s="98">
        <f t="shared" si="3204"/>
        <v>0</v>
      </c>
      <c r="BD499" s="98">
        <f t="shared" si="3204"/>
        <v>0</v>
      </c>
      <c r="BE499" s="98">
        <f t="shared" si="3204"/>
        <v>0</v>
      </c>
      <c r="BF499" s="98">
        <f t="shared" si="3204"/>
        <v>0</v>
      </c>
      <c r="BG499" s="98">
        <f t="shared" si="3204"/>
        <v>0</v>
      </c>
      <c r="BH499" s="98">
        <f t="shared" si="3204"/>
        <v>0</v>
      </c>
      <c r="BI499" s="98">
        <f t="shared" si="3204"/>
        <v>0</v>
      </c>
      <c r="BJ499" s="98">
        <f t="shared" si="3204"/>
        <v>0</v>
      </c>
      <c r="BK499" s="98">
        <f t="shared" si="3204"/>
        <v>0</v>
      </c>
      <c r="BL499" s="98">
        <f t="shared" si="3204"/>
        <v>0</v>
      </c>
      <c r="BM499" s="198">
        <f t="shared" si="2609"/>
        <v>0</v>
      </c>
      <c r="BN499" s="198">
        <f t="shared" si="2610"/>
        <v>0</v>
      </c>
      <c r="BO499" s="98">
        <f t="shared" ref="BO499:CB499" si="3205">SUM(BO28,BO66,BO104,BO142,BO180,BO218,BO256,BO294,BO332,BO370,BO408,BO446)</f>
        <v>0</v>
      </c>
      <c r="BP499" s="98">
        <f t="shared" si="3205"/>
        <v>0</v>
      </c>
      <c r="BQ499" s="98">
        <f t="shared" si="3205"/>
        <v>0</v>
      </c>
      <c r="BR499" s="98">
        <f t="shared" si="3205"/>
        <v>0</v>
      </c>
      <c r="BS499" s="98">
        <f t="shared" si="3205"/>
        <v>0</v>
      </c>
      <c r="BT499" s="98">
        <f t="shared" si="3205"/>
        <v>0</v>
      </c>
      <c r="BU499" s="98">
        <f t="shared" si="3205"/>
        <v>0</v>
      </c>
      <c r="BV499" s="98">
        <f t="shared" si="3205"/>
        <v>0</v>
      </c>
      <c r="BW499" s="98">
        <f t="shared" si="3205"/>
        <v>0</v>
      </c>
      <c r="BX499" s="98">
        <f t="shared" si="3205"/>
        <v>0</v>
      </c>
      <c r="BY499" s="98">
        <f t="shared" si="3205"/>
        <v>0</v>
      </c>
      <c r="BZ499" s="98">
        <f t="shared" si="3205"/>
        <v>0</v>
      </c>
      <c r="CA499" s="98">
        <f t="shared" si="3205"/>
        <v>0</v>
      </c>
      <c r="CB499" s="98">
        <f t="shared" si="3205"/>
        <v>0</v>
      </c>
      <c r="CC499" s="198">
        <f t="shared" si="2612"/>
        <v>0</v>
      </c>
      <c r="CD499" s="198">
        <f t="shared" si="2613"/>
        <v>0</v>
      </c>
      <c r="CE499" s="98">
        <f t="shared" ref="CE499:CR499" si="3206">SUM(CE28,CE66,CE104,CE142,CE180,CE218,CE256,CE294,CE332,CE370,CE408,CE446)</f>
        <v>0</v>
      </c>
      <c r="CF499" s="98">
        <f t="shared" si="3206"/>
        <v>0</v>
      </c>
      <c r="CG499" s="98">
        <f t="shared" si="3206"/>
        <v>0</v>
      </c>
      <c r="CH499" s="98">
        <f t="shared" si="3206"/>
        <v>0</v>
      </c>
      <c r="CI499" s="98">
        <f t="shared" si="3206"/>
        <v>0</v>
      </c>
      <c r="CJ499" s="98">
        <f t="shared" si="3206"/>
        <v>0</v>
      </c>
      <c r="CK499" s="98">
        <f t="shared" si="3206"/>
        <v>0</v>
      </c>
      <c r="CL499" s="98">
        <f t="shared" si="3206"/>
        <v>0</v>
      </c>
      <c r="CM499" s="98">
        <f t="shared" si="3206"/>
        <v>0</v>
      </c>
      <c r="CN499" s="98">
        <f t="shared" si="3206"/>
        <v>0</v>
      </c>
      <c r="CO499" s="98">
        <f t="shared" si="3206"/>
        <v>0</v>
      </c>
      <c r="CP499" s="98">
        <f t="shared" si="3206"/>
        <v>0</v>
      </c>
      <c r="CQ499" s="98">
        <f t="shared" si="3206"/>
        <v>0</v>
      </c>
      <c r="CR499" s="98">
        <f t="shared" si="3206"/>
        <v>0</v>
      </c>
      <c r="CS499" s="198">
        <f t="shared" si="2615"/>
        <v>0</v>
      </c>
      <c r="CT499" s="198">
        <f t="shared" si="2616"/>
        <v>0</v>
      </c>
      <c r="CU499" s="98">
        <f t="shared" ref="CU499:DH499" si="3207">SUM(CU28,CU66,CU104,CU142,CU180,CU218,CU256,CU294,CU332,CU370,CU408,CU446)</f>
        <v>0</v>
      </c>
      <c r="CV499" s="98">
        <f t="shared" si="3207"/>
        <v>0</v>
      </c>
      <c r="CW499" s="98">
        <f t="shared" si="3207"/>
        <v>0</v>
      </c>
      <c r="CX499" s="98">
        <f t="shared" si="3207"/>
        <v>0</v>
      </c>
      <c r="CY499" s="98">
        <f t="shared" si="3207"/>
        <v>0</v>
      </c>
      <c r="CZ499" s="98">
        <f t="shared" si="3207"/>
        <v>0</v>
      </c>
      <c r="DA499" s="98">
        <f t="shared" si="3207"/>
        <v>0</v>
      </c>
      <c r="DB499" s="98">
        <f t="shared" si="3207"/>
        <v>0</v>
      </c>
      <c r="DC499" s="98">
        <f t="shared" si="3207"/>
        <v>0</v>
      </c>
      <c r="DD499" s="98">
        <f t="shared" si="3207"/>
        <v>0</v>
      </c>
      <c r="DE499" s="98">
        <f t="shared" si="3207"/>
        <v>0</v>
      </c>
      <c r="DF499" s="98">
        <f t="shared" si="3207"/>
        <v>0</v>
      </c>
      <c r="DG499" s="98">
        <f t="shared" si="3207"/>
        <v>0</v>
      </c>
      <c r="DH499" s="98">
        <f t="shared" si="3207"/>
        <v>0</v>
      </c>
      <c r="DI499" s="198">
        <f t="shared" si="2618"/>
        <v>0</v>
      </c>
      <c r="DJ499" s="198">
        <f t="shared" si="2619"/>
        <v>0</v>
      </c>
      <c r="DK499" s="98">
        <f t="shared" ref="DK499:DX499" si="3208">SUM(DK28,DK66,DK104,DK142,DK180,DK218,DK256,DK294,DK332,DK370,DK408,DK446)</f>
        <v>0</v>
      </c>
      <c r="DL499" s="98">
        <f t="shared" si="3208"/>
        <v>0</v>
      </c>
      <c r="DM499" s="98">
        <f t="shared" si="3208"/>
        <v>0</v>
      </c>
      <c r="DN499" s="98">
        <f t="shared" si="3208"/>
        <v>0</v>
      </c>
      <c r="DO499" s="98">
        <f t="shared" si="3208"/>
        <v>0</v>
      </c>
      <c r="DP499" s="98">
        <f t="shared" si="3208"/>
        <v>0</v>
      </c>
      <c r="DQ499" s="98">
        <f t="shared" si="3208"/>
        <v>0</v>
      </c>
      <c r="DR499" s="98">
        <f t="shared" si="3208"/>
        <v>0</v>
      </c>
      <c r="DS499" s="98">
        <f t="shared" si="3208"/>
        <v>0</v>
      </c>
      <c r="DT499" s="98">
        <f t="shared" si="3208"/>
        <v>0</v>
      </c>
      <c r="DU499" s="98">
        <f t="shared" si="3208"/>
        <v>0</v>
      </c>
      <c r="DV499" s="98">
        <f t="shared" si="3208"/>
        <v>0</v>
      </c>
      <c r="DW499" s="98">
        <f t="shared" si="3208"/>
        <v>0</v>
      </c>
      <c r="DX499" s="98">
        <f t="shared" si="3208"/>
        <v>0</v>
      </c>
      <c r="DY499" s="198">
        <f t="shared" si="2621"/>
        <v>0</v>
      </c>
      <c r="DZ499" s="198">
        <f t="shared" si="2622"/>
        <v>0</v>
      </c>
      <c r="EA499" s="98">
        <f t="shared" ref="EA499:EN499" si="3209">SUM(EA28,EA66,EA104,EA142,EA180,EA218,EA256,EA294,EA332,EA370,EA408,EA446)</f>
        <v>0</v>
      </c>
      <c r="EB499" s="98">
        <f t="shared" si="3209"/>
        <v>0</v>
      </c>
      <c r="EC499" s="98">
        <f t="shared" si="3209"/>
        <v>0</v>
      </c>
      <c r="ED499" s="98">
        <f t="shared" si="3209"/>
        <v>0</v>
      </c>
      <c r="EE499" s="98">
        <f t="shared" si="3209"/>
        <v>0</v>
      </c>
      <c r="EF499" s="98">
        <f t="shared" si="3209"/>
        <v>0</v>
      </c>
      <c r="EG499" s="98">
        <f t="shared" si="3209"/>
        <v>0</v>
      </c>
      <c r="EH499" s="98">
        <f t="shared" si="3209"/>
        <v>0</v>
      </c>
      <c r="EI499" s="98">
        <f t="shared" si="3209"/>
        <v>0</v>
      </c>
      <c r="EJ499" s="98">
        <f t="shared" si="3209"/>
        <v>0</v>
      </c>
      <c r="EK499" s="98">
        <f t="shared" si="3209"/>
        <v>0</v>
      </c>
      <c r="EL499" s="98">
        <f t="shared" si="3209"/>
        <v>0</v>
      </c>
      <c r="EM499" s="98">
        <f t="shared" si="3209"/>
        <v>0</v>
      </c>
      <c r="EN499" s="98">
        <f t="shared" si="3209"/>
        <v>0</v>
      </c>
      <c r="EO499" s="198">
        <f t="shared" si="2624"/>
        <v>0</v>
      </c>
      <c r="EP499" s="198">
        <f t="shared" si="2625"/>
        <v>0</v>
      </c>
      <c r="EQ499" s="98">
        <f t="shared" ref="EQ499:FD499" si="3210">SUM(EQ28,EQ66,EQ104,EQ142,EQ180,EQ218,EQ256,EQ294,EQ332,EQ370,EQ408,EQ446)</f>
        <v>0</v>
      </c>
      <c r="ER499" s="98">
        <f t="shared" si="3210"/>
        <v>0</v>
      </c>
      <c r="ES499" s="98">
        <f t="shared" si="3210"/>
        <v>0</v>
      </c>
      <c r="ET499" s="98">
        <f t="shared" si="3210"/>
        <v>0</v>
      </c>
      <c r="EU499" s="98">
        <f t="shared" si="3210"/>
        <v>0</v>
      </c>
      <c r="EV499" s="98">
        <f t="shared" si="3210"/>
        <v>0</v>
      </c>
      <c r="EW499" s="98">
        <f t="shared" si="3210"/>
        <v>0</v>
      </c>
      <c r="EX499" s="98">
        <f t="shared" si="3210"/>
        <v>0</v>
      </c>
      <c r="EY499" s="98">
        <f t="shared" si="3210"/>
        <v>0</v>
      </c>
      <c r="EZ499" s="98">
        <f t="shared" si="3210"/>
        <v>0</v>
      </c>
      <c r="FA499" s="98">
        <f t="shared" si="3210"/>
        <v>0</v>
      </c>
      <c r="FB499" s="98">
        <f t="shared" si="3210"/>
        <v>0</v>
      </c>
      <c r="FC499" s="98">
        <f t="shared" si="3210"/>
        <v>0</v>
      </c>
      <c r="FD499" s="98">
        <f t="shared" si="3210"/>
        <v>0</v>
      </c>
      <c r="FE499" s="198">
        <f t="shared" si="2627"/>
        <v>0</v>
      </c>
      <c r="FF499" s="198">
        <f t="shared" si="2628"/>
        <v>0</v>
      </c>
      <c r="FG499" s="98">
        <f t="shared" ref="FG499:FT499" si="3211">SUM(FG28,FG66,FG104,FG142,FG180,FG218,FG256,FG294,FG332,FG370,FG408,FG446)</f>
        <v>0</v>
      </c>
      <c r="FH499" s="98">
        <f t="shared" si="3211"/>
        <v>0</v>
      </c>
      <c r="FI499" s="98">
        <f t="shared" si="3211"/>
        <v>0</v>
      </c>
      <c r="FJ499" s="98">
        <f t="shared" si="3211"/>
        <v>0</v>
      </c>
      <c r="FK499" s="98">
        <f t="shared" si="3211"/>
        <v>0</v>
      </c>
      <c r="FL499" s="98">
        <f t="shared" si="3211"/>
        <v>0</v>
      </c>
      <c r="FM499" s="98">
        <f t="shared" si="3211"/>
        <v>0</v>
      </c>
      <c r="FN499" s="98">
        <f t="shared" si="3211"/>
        <v>0</v>
      </c>
      <c r="FO499" s="98">
        <f t="shared" si="3211"/>
        <v>0</v>
      </c>
      <c r="FP499" s="98">
        <f t="shared" si="3211"/>
        <v>0</v>
      </c>
      <c r="FQ499" s="98">
        <f t="shared" si="3211"/>
        <v>0</v>
      </c>
      <c r="FR499" s="98">
        <f t="shared" si="3211"/>
        <v>0</v>
      </c>
      <c r="FS499" s="98">
        <f t="shared" si="3211"/>
        <v>0</v>
      </c>
      <c r="FT499" s="98">
        <f t="shared" si="3211"/>
        <v>0</v>
      </c>
      <c r="FU499" s="198">
        <f t="shared" si="2630"/>
        <v>0</v>
      </c>
      <c r="FV499" s="198">
        <f t="shared" si="2631"/>
        <v>0</v>
      </c>
      <c r="FW499" s="98">
        <f t="shared" ref="FW499:GJ499" si="3212">SUM(FW28,FW66,FW104,FW142,FW180,FW218,FW256,FW294,FW332,FW370,FW408,FW446)</f>
        <v>0</v>
      </c>
      <c r="FX499" s="98">
        <f t="shared" si="3212"/>
        <v>0</v>
      </c>
      <c r="FY499" s="98">
        <f t="shared" si="3212"/>
        <v>0</v>
      </c>
      <c r="FZ499" s="98">
        <f t="shared" si="3212"/>
        <v>0</v>
      </c>
      <c r="GA499" s="98">
        <f t="shared" si="3212"/>
        <v>0</v>
      </c>
      <c r="GB499" s="98">
        <f t="shared" si="3212"/>
        <v>0</v>
      </c>
      <c r="GC499" s="98">
        <f t="shared" si="3212"/>
        <v>0</v>
      </c>
      <c r="GD499" s="98">
        <f t="shared" si="3212"/>
        <v>0</v>
      </c>
      <c r="GE499" s="98">
        <f t="shared" si="3212"/>
        <v>0</v>
      </c>
      <c r="GF499" s="98">
        <f t="shared" si="3212"/>
        <v>0</v>
      </c>
      <c r="GG499" s="98">
        <f t="shared" si="3212"/>
        <v>0</v>
      </c>
      <c r="GH499" s="98">
        <f t="shared" si="3212"/>
        <v>0</v>
      </c>
      <c r="GI499" s="98">
        <f t="shared" si="3212"/>
        <v>0</v>
      </c>
      <c r="GJ499" s="98">
        <f t="shared" si="3212"/>
        <v>0</v>
      </c>
      <c r="GK499" s="198">
        <f t="shared" si="2633"/>
        <v>0</v>
      </c>
      <c r="GL499" s="198">
        <f t="shared" si="2634"/>
        <v>0</v>
      </c>
      <c r="GM499" s="98">
        <f t="shared" ref="GM499:GZ499" si="3213">SUM(GM28,GM66,GM104,GM142,GM180,GM218,GM256,GM294,GM332,GM370,GM408,GM446)</f>
        <v>0</v>
      </c>
      <c r="GN499" s="98">
        <f t="shared" si="3213"/>
        <v>0</v>
      </c>
      <c r="GO499" s="98">
        <f t="shared" si="3213"/>
        <v>0</v>
      </c>
      <c r="GP499" s="98">
        <f t="shared" si="3213"/>
        <v>0</v>
      </c>
      <c r="GQ499" s="98">
        <f t="shared" si="3213"/>
        <v>0</v>
      </c>
      <c r="GR499" s="98">
        <f t="shared" si="3213"/>
        <v>0</v>
      </c>
      <c r="GS499" s="98">
        <f t="shared" si="3213"/>
        <v>0</v>
      </c>
      <c r="GT499" s="98">
        <f t="shared" si="3213"/>
        <v>0</v>
      </c>
      <c r="GU499" s="98">
        <f t="shared" si="3213"/>
        <v>0</v>
      </c>
      <c r="GV499" s="98">
        <f t="shared" si="3213"/>
        <v>0</v>
      </c>
      <c r="GW499" s="98">
        <f t="shared" si="3213"/>
        <v>0</v>
      </c>
      <c r="GX499" s="98">
        <f t="shared" si="3213"/>
        <v>0</v>
      </c>
      <c r="GY499" s="98">
        <f t="shared" si="3213"/>
        <v>0</v>
      </c>
      <c r="GZ499" s="98">
        <f t="shared" si="3213"/>
        <v>0</v>
      </c>
      <c r="HA499" s="198">
        <f t="shared" si="2636"/>
        <v>0</v>
      </c>
      <c r="HB499" s="198">
        <f t="shared" si="2637"/>
        <v>0</v>
      </c>
      <c r="HC499" s="98">
        <f t="shared" ref="HC499:HP499" si="3214">SUM(HC28,HC66,HC104,HC142,HC180,HC218,HC256,HC294,HC332,HC370,HC408,HC446)</f>
        <v>0</v>
      </c>
      <c r="HD499" s="98">
        <f t="shared" si="3214"/>
        <v>0</v>
      </c>
      <c r="HE499" s="98">
        <f t="shared" si="3214"/>
        <v>0</v>
      </c>
      <c r="HF499" s="98">
        <f t="shared" si="3214"/>
        <v>0</v>
      </c>
      <c r="HG499" s="98">
        <f t="shared" si="3214"/>
        <v>0</v>
      </c>
      <c r="HH499" s="98">
        <f t="shared" si="3214"/>
        <v>0</v>
      </c>
      <c r="HI499" s="98">
        <f t="shared" si="3214"/>
        <v>0</v>
      </c>
      <c r="HJ499" s="98">
        <f t="shared" si="3214"/>
        <v>0</v>
      </c>
      <c r="HK499" s="98">
        <f t="shared" si="3214"/>
        <v>0</v>
      </c>
      <c r="HL499" s="98">
        <f t="shared" si="3214"/>
        <v>0</v>
      </c>
      <c r="HM499" s="98">
        <f t="shared" si="3214"/>
        <v>0</v>
      </c>
      <c r="HN499" s="98">
        <f t="shared" si="3214"/>
        <v>0</v>
      </c>
      <c r="HO499" s="98">
        <f t="shared" si="3214"/>
        <v>0</v>
      </c>
      <c r="HP499" s="98">
        <f t="shared" si="3214"/>
        <v>0</v>
      </c>
      <c r="HQ499" s="198">
        <f t="shared" si="2639"/>
        <v>0</v>
      </c>
      <c r="HR499" s="198">
        <f t="shared" si="2640"/>
        <v>0</v>
      </c>
      <c r="HS499" s="98">
        <f t="shared" ref="HS499:IF499" si="3215">SUM(HS28,HS66,HS104,HS142,HS180,HS218,HS256,HS294,HS332,HS370,HS408,HS446)</f>
        <v>0</v>
      </c>
      <c r="HT499" s="98">
        <f t="shared" si="3215"/>
        <v>0</v>
      </c>
      <c r="HU499" s="98">
        <f t="shared" si="3215"/>
        <v>0</v>
      </c>
      <c r="HV499" s="98">
        <f t="shared" si="3215"/>
        <v>0</v>
      </c>
      <c r="HW499" s="98">
        <f t="shared" si="3215"/>
        <v>0</v>
      </c>
      <c r="HX499" s="98">
        <f t="shared" si="3215"/>
        <v>0</v>
      </c>
      <c r="HY499" s="98">
        <f t="shared" si="3215"/>
        <v>0</v>
      </c>
      <c r="HZ499" s="98">
        <f t="shared" si="3215"/>
        <v>0</v>
      </c>
      <c r="IA499" s="98">
        <f t="shared" si="3215"/>
        <v>0</v>
      </c>
      <c r="IB499" s="98">
        <f t="shared" si="3215"/>
        <v>0</v>
      </c>
      <c r="IC499" s="98">
        <f t="shared" si="3215"/>
        <v>0</v>
      </c>
      <c r="ID499" s="98">
        <f t="shared" si="3215"/>
        <v>0</v>
      </c>
      <c r="IE499" s="98">
        <f t="shared" si="3215"/>
        <v>0</v>
      </c>
      <c r="IF499" s="98">
        <f t="shared" si="3215"/>
        <v>0</v>
      </c>
      <c r="IG499" s="198">
        <f t="shared" si="2642"/>
        <v>0</v>
      </c>
      <c r="IH499" s="198">
        <f t="shared" si="2643"/>
        <v>0</v>
      </c>
      <c r="II499" s="98">
        <f t="shared" ref="II499:IV499" si="3216">SUM(II28,II66,II104,II142,II180,II218,II256,II294,II332,II370,II408,II446)</f>
        <v>0</v>
      </c>
      <c r="IJ499" s="98">
        <f t="shared" si="3216"/>
        <v>0</v>
      </c>
      <c r="IK499" s="98">
        <f t="shared" si="3216"/>
        <v>0</v>
      </c>
      <c r="IL499" s="98">
        <f t="shared" si="3216"/>
        <v>0</v>
      </c>
      <c r="IM499" s="98">
        <f t="shared" si="3216"/>
        <v>0</v>
      </c>
      <c r="IN499" s="98">
        <f t="shared" si="3216"/>
        <v>0</v>
      </c>
      <c r="IO499" s="98">
        <f t="shared" si="3216"/>
        <v>0</v>
      </c>
      <c r="IP499" s="98">
        <f t="shared" si="3216"/>
        <v>0</v>
      </c>
      <c r="IQ499" s="98">
        <f t="shared" si="3216"/>
        <v>0</v>
      </c>
      <c r="IR499" s="98">
        <f t="shared" si="3216"/>
        <v>0</v>
      </c>
      <c r="IS499" s="98">
        <f t="shared" si="3216"/>
        <v>0</v>
      </c>
      <c r="IT499" s="98">
        <f t="shared" si="3216"/>
        <v>0</v>
      </c>
      <c r="IU499" s="98">
        <f t="shared" si="3216"/>
        <v>0</v>
      </c>
      <c r="IV499" s="98">
        <f t="shared" si="3216"/>
        <v>0</v>
      </c>
      <c r="IW499" s="198">
        <f t="shared" si="2645"/>
        <v>0</v>
      </c>
      <c r="IX499" s="198">
        <f t="shared" si="2646"/>
        <v>0</v>
      </c>
      <c r="IY499" s="98">
        <f t="shared" ref="IY499:JL499" si="3217">SUM(IY28,IY66,IY104,IY142,IY180,IY218,IY256,IY294,IY332,IY370,IY408,IY446)</f>
        <v>0</v>
      </c>
      <c r="IZ499" s="98">
        <f t="shared" si="3217"/>
        <v>0</v>
      </c>
      <c r="JA499" s="98">
        <f t="shared" si="3217"/>
        <v>0</v>
      </c>
      <c r="JB499" s="98">
        <f t="shared" si="3217"/>
        <v>0</v>
      </c>
      <c r="JC499" s="98">
        <f t="shared" si="3217"/>
        <v>0</v>
      </c>
      <c r="JD499" s="98">
        <f t="shared" si="3217"/>
        <v>0</v>
      </c>
      <c r="JE499" s="98">
        <f t="shared" si="3217"/>
        <v>0</v>
      </c>
      <c r="JF499" s="98">
        <f t="shared" si="3217"/>
        <v>0</v>
      </c>
      <c r="JG499" s="98">
        <f t="shared" si="3217"/>
        <v>0</v>
      </c>
      <c r="JH499" s="98">
        <f t="shared" si="3217"/>
        <v>0</v>
      </c>
      <c r="JI499" s="98">
        <f t="shared" si="3217"/>
        <v>0</v>
      </c>
      <c r="JJ499" s="98">
        <f t="shared" si="3217"/>
        <v>0</v>
      </c>
      <c r="JK499" s="98">
        <f t="shared" si="3217"/>
        <v>0</v>
      </c>
      <c r="JL499" s="98">
        <f t="shared" si="3217"/>
        <v>0</v>
      </c>
      <c r="JM499" s="198">
        <f t="shared" si="2648"/>
        <v>0</v>
      </c>
      <c r="JN499" s="198">
        <f t="shared" si="2649"/>
        <v>0</v>
      </c>
      <c r="JO499" s="98">
        <f t="shared" ref="JO499:KB499" si="3218">SUM(JO28,JO66,JO104,JO142,JO180,JO218,JO256,JO294,JO332,JO370,JO408,JO446)</f>
        <v>0</v>
      </c>
      <c r="JP499" s="98">
        <f t="shared" si="3218"/>
        <v>0</v>
      </c>
      <c r="JQ499" s="98">
        <f t="shared" si="3218"/>
        <v>0</v>
      </c>
      <c r="JR499" s="98">
        <f t="shared" si="3218"/>
        <v>0</v>
      </c>
      <c r="JS499" s="98">
        <f t="shared" si="3218"/>
        <v>0</v>
      </c>
      <c r="JT499" s="98">
        <f t="shared" si="3218"/>
        <v>0</v>
      </c>
      <c r="JU499" s="98">
        <f t="shared" si="3218"/>
        <v>0</v>
      </c>
      <c r="JV499" s="98">
        <f t="shared" si="3218"/>
        <v>0</v>
      </c>
      <c r="JW499" s="98">
        <f t="shared" si="3218"/>
        <v>0</v>
      </c>
      <c r="JX499" s="98">
        <f t="shared" si="3218"/>
        <v>0</v>
      </c>
      <c r="JY499" s="98">
        <f t="shared" si="3218"/>
        <v>0</v>
      </c>
      <c r="JZ499" s="98">
        <f t="shared" si="3218"/>
        <v>0</v>
      </c>
      <c r="KA499" s="98">
        <f t="shared" si="3218"/>
        <v>0</v>
      </c>
      <c r="KB499" s="98">
        <f t="shared" si="3218"/>
        <v>0</v>
      </c>
      <c r="KC499" s="198">
        <f t="shared" si="2651"/>
        <v>0</v>
      </c>
      <c r="KD499" s="198">
        <f t="shared" si="2652"/>
        <v>0</v>
      </c>
      <c r="KE499" s="98">
        <f t="shared" ref="KE499:KR499" si="3219">SUM(KE28,KE66,KE104,KE142,KE180,KE218,KE256,KE294,KE332,KE370,KE408,KE446)</f>
        <v>0</v>
      </c>
      <c r="KF499" s="98">
        <f t="shared" si="3219"/>
        <v>0</v>
      </c>
      <c r="KG499" s="98">
        <f t="shared" si="3219"/>
        <v>0</v>
      </c>
      <c r="KH499" s="98">
        <f t="shared" si="3219"/>
        <v>0</v>
      </c>
      <c r="KI499" s="98">
        <f t="shared" si="3219"/>
        <v>0</v>
      </c>
      <c r="KJ499" s="98">
        <f t="shared" si="3219"/>
        <v>0</v>
      </c>
      <c r="KK499" s="98">
        <f t="shared" si="3219"/>
        <v>0</v>
      </c>
      <c r="KL499" s="98">
        <f t="shared" si="3219"/>
        <v>0</v>
      </c>
      <c r="KM499" s="98">
        <f t="shared" si="3219"/>
        <v>0</v>
      </c>
      <c r="KN499" s="98">
        <f t="shared" si="3219"/>
        <v>0</v>
      </c>
      <c r="KO499" s="98">
        <f t="shared" si="3219"/>
        <v>0</v>
      </c>
      <c r="KP499" s="98">
        <f t="shared" si="3219"/>
        <v>0</v>
      </c>
      <c r="KQ499" s="98">
        <f t="shared" si="3219"/>
        <v>0</v>
      </c>
      <c r="KR499" s="98">
        <f t="shared" si="3219"/>
        <v>0</v>
      </c>
      <c r="KS499" s="198">
        <f t="shared" si="2654"/>
        <v>0</v>
      </c>
      <c r="KT499" s="198">
        <f t="shared" si="2655"/>
        <v>0</v>
      </c>
      <c r="KU499" s="98">
        <f t="shared" ref="KU499:LH499" si="3220">SUM(KU28,KU66,KU104,KU142,KU180,KU218,KU256,KU294,KU332,KU370,KU408,KU446)</f>
        <v>0</v>
      </c>
      <c r="KV499" s="98">
        <f t="shared" si="3220"/>
        <v>0</v>
      </c>
      <c r="KW499" s="98">
        <f t="shared" si="3220"/>
        <v>0</v>
      </c>
      <c r="KX499" s="98">
        <f t="shared" si="3220"/>
        <v>0</v>
      </c>
      <c r="KY499" s="98">
        <f t="shared" si="3220"/>
        <v>0</v>
      </c>
      <c r="KZ499" s="98">
        <f t="shared" si="3220"/>
        <v>0</v>
      </c>
      <c r="LA499" s="98">
        <f t="shared" si="3220"/>
        <v>0</v>
      </c>
      <c r="LB499" s="98">
        <f t="shared" si="3220"/>
        <v>0</v>
      </c>
      <c r="LC499" s="98">
        <f t="shared" si="3220"/>
        <v>0</v>
      </c>
      <c r="LD499" s="98">
        <f t="shared" si="3220"/>
        <v>0</v>
      </c>
      <c r="LE499" s="98">
        <f t="shared" si="3220"/>
        <v>0</v>
      </c>
      <c r="LF499" s="98">
        <f t="shared" si="3220"/>
        <v>0</v>
      </c>
      <c r="LG499" s="98">
        <f t="shared" si="3220"/>
        <v>0</v>
      </c>
      <c r="LH499" s="98">
        <f t="shared" si="3220"/>
        <v>0</v>
      </c>
      <c r="LI499" s="198">
        <f t="shared" si="2657"/>
        <v>0</v>
      </c>
      <c r="LJ499" s="198">
        <f t="shared" si="2658"/>
        <v>0</v>
      </c>
      <c r="LK499" s="98">
        <f t="shared" ref="LK499:LX499" si="3221">SUM(LK28,LK66,LK104,LK142,LK180,LK218,LK256,LK294,LK332,LK370,LK408,LK446)</f>
        <v>0</v>
      </c>
      <c r="LL499" s="98">
        <f t="shared" si="3221"/>
        <v>0</v>
      </c>
      <c r="LM499" s="98">
        <f t="shared" si="3221"/>
        <v>0</v>
      </c>
      <c r="LN499" s="98">
        <f t="shared" si="3221"/>
        <v>0</v>
      </c>
      <c r="LO499" s="98">
        <f t="shared" si="3221"/>
        <v>0</v>
      </c>
      <c r="LP499" s="98">
        <f t="shared" si="3221"/>
        <v>0</v>
      </c>
      <c r="LQ499" s="98">
        <f t="shared" si="3221"/>
        <v>0</v>
      </c>
      <c r="LR499" s="98">
        <f t="shared" si="3221"/>
        <v>0</v>
      </c>
      <c r="LS499" s="98">
        <f t="shared" si="3221"/>
        <v>0</v>
      </c>
      <c r="LT499" s="98">
        <f t="shared" si="3221"/>
        <v>0</v>
      </c>
      <c r="LU499" s="98">
        <f t="shared" si="3221"/>
        <v>0</v>
      </c>
      <c r="LV499" s="98">
        <f t="shared" si="3221"/>
        <v>0</v>
      </c>
      <c r="LW499" s="98">
        <f t="shared" si="3221"/>
        <v>0</v>
      </c>
      <c r="LX499" s="98">
        <f t="shared" si="3221"/>
        <v>0</v>
      </c>
      <c r="LY499" s="198">
        <f t="shared" si="2660"/>
        <v>0</v>
      </c>
      <c r="LZ499" s="198">
        <f t="shared" si="2661"/>
        <v>0</v>
      </c>
      <c r="MA499" s="98">
        <f t="shared" ref="MA499:MN499" si="3222">SUM(MA28,MA66,MA104,MA142,MA180,MA218,MA256,MA294,MA332,MA370,MA408,MA446)</f>
        <v>0</v>
      </c>
      <c r="MB499" s="98">
        <f t="shared" si="3222"/>
        <v>0</v>
      </c>
      <c r="MC499" s="98">
        <f t="shared" si="3222"/>
        <v>0</v>
      </c>
      <c r="MD499" s="98">
        <f t="shared" si="3222"/>
        <v>0</v>
      </c>
      <c r="ME499" s="98">
        <f t="shared" si="3222"/>
        <v>0</v>
      </c>
      <c r="MF499" s="98">
        <f t="shared" si="3222"/>
        <v>0</v>
      </c>
      <c r="MG499" s="98">
        <f t="shared" si="3222"/>
        <v>0</v>
      </c>
      <c r="MH499" s="98">
        <f t="shared" si="3222"/>
        <v>0</v>
      </c>
      <c r="MI499" s="98">
        <f t="shared" si="3222"/>
        <v>0</v>
      </c>
      <c r="MJ499" s="98">
        <f t="shared" si="3222"/>
        <v>0</v>
      </c>
      <c r="MK499" s="98">
        <f t="shared" si="3222"/>
        <v>0</v>
      </c>
      <c r="ML499" s="98">
        <f t="shared" si="3222"/>
        <v>0</v>
      </c>
      <c r="MM499" s="98">
        <f t="shared" si="3222"/>
        <v>0</v>
      </c>
      <c r="MN499" s="98">
        <f t="shared" si="3222"/>
        <v>0</v>
      </c>
      <c r="MO499" s="198">
        <f t="shared" si="2663"/>
        <v>0</v>
      </c>
      <c r="MP499" s="198">
        <f t="shared" si="2664"/>
        <v>0</v>
      </c>
      <c r="MQ499" s="98">
        <f t="shared" ref="MQ499:ND499" si="3223">SUM(MQ28,MQ66,MQ104,MQ142,MQ180,MQ218,MQ256,MQ294,MQ332,MQ370,MQ408,MQ446)</f>
        <v>0</v>
      </c>
      <c r="MR499" s="98">
        <f t="shared" si="3223"/>
        <v>0</v>
      </c>
      <c r="MS499" s="98">
        <f t="shared" si="3223"/>
        <v>0</v>
      </c>
      <c r="MT499" s="98">
        <f t="shared" si="3223"/>
        <v>0</v>
      </c>
      <c r="MU499" s="98">
        <f t="shared" si="3223"/>
        <v>0</v>
      </c>
      <c r="MV499" s="98">
        <f t="shared" si="3223"/>
        <v>0</v>
      </c>
      <c r="MW499" s="98">
        <f t="shared" si="3223"/>
        <v>0</v>
      </c>
      <c r="MX499" s="98">
        <f t="shared" si="3223"/>
        <v>0</v>
      </c>
      <c r="MY499" s="98">
        <f t="shared" si="3223"/>
        <v>0</v>
      </c>
      <c r="MZ499" s="98">
        <f t="shared" si="3223"/>
        <v>0</v>
      </c>
      <c r="NA499" s="98">
        <f t="shared" si="3223"/>
        <v>0</v>
      </c>
      <c r="NB499" s="98">
        <f t="shared" si="3223"/>
        <v>0</v>
      </c>
      <c r="NC499" s="98">
        <f t="shared" si="3223"/>
        <v>0</v>
      </c>
      <c r="ND499" s="98">
        <f t="shared" si="3223"/>
        <v>0</v>
      </c>
      <c r="NE499" s="198">
        <f t="shared" si="2666"/>
        <v>0</v>
      </c>
      <c r="NF499" s="198">
        <f t="shared" si="2667"/>
        <v>0</v>
      </c>
      <c r="NG499" s="98">
        <f t="shared" ref="NG499:NT499" si="3224">SUM(NG28,NG66,NG104,NG142,NG180,NG218,NG256,NG294,NG332,NG370,NG408,NG446)</f>
        <v>0</v>
      </c>
      <c r="NH499" s="98">
        <f t="shared" si="3224"/>
        <v>0</v>
      </c>
      <c r="NI499" s="98">
        <f t="shared" si="3224"/>
        <v>0</v>
      </c>
      <c r="NJ499" s="98">
        <f t="shared" si="3224"/>
        <v>0</v>
      </c>
      <c r="NK499" s="98">
        <f t="shared" si="3224"/>
        <v>0</v>
      </c>
      <c r="NL499" s="98">
        <f t="shared" si="3224"/>
        <v>0</v>
      </c>
      <c r="NM499" s="98">
        <f t="shared" si="3224"/>
        <v>0</v>
      </c>
      <c r="NN499" s="98">
        <f t="shared" si="3224"/>
        <v>0</v>
      </c>
      <c r="NO499" s="98">
        <f t="shared" si="3224"/>
        <v>0</v>
      </c>
      <c r="NP499" s="98">
        <f t="shared" si="3224"/>
        <v>0</v>
      </c>
      <c r="NQ499" s="98">
        <f t="shared" si="3224"/>
        <v>0</v>
      </c>
      <c r="NR499" s="98">
        <f t="shared" si="3224"/>
        <v>0</v>
      </c>
      <c r="NS499" s="98">
        <f t="shared" si="3224"/>
        <v>0</v>
      </c>
      <c r="NT499" s="98">
        <f t="shared" si="3224"/>
        <v>0</v>
      </c>
      <c r="NU499" s="198">
        <f t="shared" si="2669"/>
        <v>0</v>
      </c>
      <c r="NV499" s="198">
        <f t="shared" si="2670"/>
        <v>0</v>
      </c>
      <c r="NW499" s="98">
        <f t="shared" ref="NW499:OJ499" si="3225">SUM(NW28,NW66,NW104,NW142,NW180,NW218,NW256,NW294,NW332,NW370,NW408,NW446)</f>
        <v>2560</v>
      </c>
      <c r="NX499" s="98">
        <f t="shared" si="3225"/>
        <v>869750</v>
      </c>
      <c r="NY499" s="98">
        <f t="shared" si="3225"/>
        <v>0</v>
      </c>
      <c r="NZ499" s="98">
        <f t="shared" si="3225"/>
        <v>0</v>
      </c>
      <c r="OA499" s="98">
        <f t="shared" si="3225"/>
        <v>0</v>
      </c>
      <c r="OB499" s="98">
        <f t="shared" si="3225"/>
        <v>0</v>
      </c>
      <c r="OC499" s="98">
        <f t="shared" si="3225"/>
        <v>0</v>
      </c>
      <c r="OD499" s="98">
        <f t="shared" si="3225"/>
        <v>0</v>
      </c>
      <c r="OE499" s="98">
        <f t="shared" si="3225"/>
        <v>0</v>
      </c>
      <c r="OF499" s="98">
        <f t="shared" si="3225"/>
        <v>0</v>
      </c>
      <c r="OG499" s="98">
        <f t="shared" si="3225"/>
        <v>0</v>
      </c>
      <c r="OH499" s="98">
        <f t="shared" si="3225"/>
        <v>0</v>
      </c>
      <c r="OI499" s="98">
        <f t="shared" si="3225"/>
        <v>0</v>
      </c>
      <c r="OJ499" s="98">
        <f t="shared" si="3225"/>
        <v>0</v>
      </c>
      <c r="OK499" s="198">
        <f t="shared" si="2672"/>
        <v>2560</v>
      </c>
      <c r="OL499" s="198">
        <f t="shared" si="2673"/>
        <v>869750</v>
      </c>
      <c r="OM499" s="98">
        <f t="shared" ref="OM499:OZ499" si="3226">SUM(OM28,OM66,OM104,OM142,OM180,OM218,OM256,OM294,OM332,OM370,OM408,OM446)</f>
        <v>0</v>
      </c>
      <c r="ON499" s="98">
        <f t="shared" si="3226"/>
        <v>0</v>
      </c>
      <c r="OO499" s="98">
        <f t="shared" si="3226"/>
        <v>0</v>
      </c>
      <c r="OP499" s="98">
        <f t="shared" si="3226"/>
        <v>0</v>
      </c>
      <c r="OQ499" s="98">
        <f t="shared" si="3226"/>
        <v>0</v>
      </c>
      <c r="OR499" s="98">
        <f t="shared" si="3226"/>
        <v>0</v>
      </c>
      <c r="OS499" s="98">
        <f t="shared" si="3226"/>
        <v>0</v>
      </c>
      <c r="OT499" s="98">
        <f t="shared" si="3226"/>
        <v>0</v>
      </c>
      <c r="OU499" s="98">
        <f t="shared" si="3226"/>
        <v>0</v>
      </c>
      <c r="OV499" s="98">
        <f t="shared" si="3226"/>
        <v>0</v>
      </c>
      <c r="OW499" s="98">
        <f t="shared" si="3226"/>
        <v>0</v>
      </c>
      <c r="OX499" s="98">
        <f t="shared" si="3226"/>
        <v>0</v>
      </c>
      <c r="OY499" s="98">
        <f t="shared" si="3226"/>
        <v>0</v>
      </c>
      <c r="OZ499" s="98">
        <f t="shared" si="3226"/>
        <v>0</v>
      </c>
      <c r="PA499" s="198">
        <f t="shared" si="2675"/>
        <v>0</v>
      </c>
      <c r="PB499" s="198">
        <f t="shared" si="2676"/>
        <v>0</v>
      </c>
      <c r="PC499" s="98">
        <f t="shared" ref="PC499:PP499" si="3227">SUM(PC28,PC66,PC104,PC142,PC180,PC218,PC256,PC294,PC332,PC370,PC408,PC446)</f>
        <v>463</v>
      </c>
      <c r="PD499" s="98">
        <f t="shared" si="3227"/>
        <v>60190</v>
      </c>
      <c r="PE499" s="98">
        <f t="shared" si="3227"/>
        <v>0</v>
      </c>
      <c r="PF499" s="98">
        <f t="shared" si="3227"/>
        <v>0</v>
      </c>
      <c r="PG499" s="98">
        <f t="shared" si="3227"/>
        <v>0</v>
      </c>
      <c r="PH499" s="98">
        <f t="shared" si="3227"/>
        <v>0</v>
      </c>
      <c r="PI499" s="98">
        <f t="shared" si="3227"/>
        <v>0</v>
      </c>
      <c r="PJ499" s="98">
        <f t="shared" si="3227"/>
        <v>0</v>
      </c>
      <c r="PK499" s="98">
        <f t="shared" si="3227"/>
        <v>0</v>
      </c>
      <c r="PL499" s="98">
        <f t="shared" si="3227"/>
        <v>0</v>
      </c>
      <c r="PM499" s="98">
        <f t="shared" si="3227"/>
        <v>0</v>
      </c>
      <c r="PN499" s="98">
        <f t="shared" si="3227"/>
        <v>0</v>
      </c>
      <c r="PO499" s="98">
        <f t="shared" si="3227"/>
        <v>0</v>
      </c>
      <c r="PP499" s="98">
        <f t="shared" si="3227"/>
        <v>0</v>
      </c>
      <c r="PQ499" s="198">
        <f t="shared" si="2678"/>
        <v>463</v>
      </c>
      <c r="PR499" s="198">
        <f t="shared" si="2679"/>
        <v>60190</v>
      </c>
      <c r="PS499" s="98">
        <f t="shared" ref="PS499:QF499" si="3228">SUM(PS28,PS66,PS104,PS142,PS180,PS218,PS256,PS294,PS332,PS370,PS408,PS446)</f>
        <v>0</v>
      </c>
      <c r="PT499" s="98">
        <f t="shared" si="3228"/>
        <v>0</v>
      </c>
      <c r="PU499" s="98">
        <f t="shared" si="3228"/>
        <v>0</v>
      </c>
      <c r="PV499" s="98">
        <f t="shared" si="3228"/>
        <v>0</v>
      </c>
      <c r="PW499" s="98">
        <f t="shared" si="3228"/>
        <v>0</v>
      </c>
      <c r="PX499" s="98">
        <f t="shared" si="3228"/>
        <v>0</v>
      </c>
      <c r="PY499" s="98">
        <f t="shared" si="3228"/>
        <v>0</v>
      </c>
      <c r="PZ499" s="98">
        <f t="shared" si="3228"/>
        <v>0</v>
      </c>
      <c r="QA499" s="98">
        <f t="shared" si="3228"/>
        <v>0</v>
      </c>
      <c r="QB499" s="98">
        <f t="shared" si="3228"/>
        <v>0</v>
      </c>
      <c r="QC499" s="98">
        <f t="shared" si="3228"/>
        <v>0</v>
      </c>
      <c r="QD499" s="98">
        <f t="shared" si="3228"/>
        <v>0</v>
      </c>
      <c r="QE499" s="98">
        <f t="shared" si="3228"/>
        <v>0</v>
      </c>
      <c r="QF499" s="98">
        <f t="shared" si="3228"/>
        <v>0</v>
      </c>
      <c r="QG499" s="198">
        <f t="shared" si="2681"/>
        <v>0</v>
      </c>
      <c r="QH499" s="198">
        <f t="shared" si="2682"/>
        <v>0</v>
      </c>
      <c r="QI499" s="98">
        <f t="shared" ref="QI499:QV499" si="3229">SUM(QI28,QI66,QI104,QI142,QI180,QI218,QI256,QI294,QI332,QI370,QI408,QI446)</f>
        <v>0</v>
      </c>
      <c r="QJ499" s="98">
        <f t="shared" si="3229"/>
        <v>0</v>
      </c>
      <c r="QK499" s="98">
        <f t="shared" si="3229"/>
        <v>0</v>
      </c>
      <c r="QL499" s="98">
        <f t="shared" si="3229"/>
        <v>0</v>
      </c>
      <c r="QM499" s="98">
        <f t="shared" si="3229"/>
        <v>0</v>
      </c>
      <c r="QN499" s="98">
        <f t="shared" si="3229"/>
        <v>0</v>
      </c>
      <c r="QO499" s="98">
        <f t="shared" si="3229"/>
        <v>0</v>
      </c>
      <c r="QP499" s="98">
        <f t="shared" si="3229"/>
        <v>0</v>
      </c>
      <c r="QQ499" s="98">
        <f t="shared" si="3229"/>
        <v>0</v>
      </c>
      <c r="QR499" s="98">
        <f t="shared" si="3229"/>
        <v>0</v>
      </c>
      <c r="QS499" s="98">
        <f t="shared" si="3229"/>
        <v>0</v>
      </c>
      <c r="QT499" s="98">
        <f t="shared" si="3229"/>
        <v>0</v>
      </c>
      <c r="QU499" s="98">
        <f t="shared" si="3229"/>
        <v>0</v>
      </c>
      <c r="QV499" s="98">
        <f t="shared" si="3229"/>
        <v>0</v>
      </c>
      <c r="QW499" s="198">
        <f t="shared" si="2684"/>
        <v>0</v>
      </c>
      <c r="QX499" s="198">
        <f t="shared" si="2685"/>
        <v>0</v>
      </c>
      <c r="QY499" s="98">
        <f t="shared" ref="QY499:RL499" si="3230">SUM(QY28,QY66,QY104,QY142,QY180,QY218,QY256,QY294,QY332,QY370,QY408,QY446)</f>
        <v>0</v>
      </c>
      <c r="QZ499" s="98">
        <f t="shared" si="3230"/>
        <v>0</v>
      </c>
      <c r="RA499" s="98">
        <f t="shared" si="3230"/>
        <v>0</v>
      </c>
      <c r="RB499" s="98">
        <f t="shared" si="3230"/>
        <v>0</v>
      </c>
      <c r="RC499" s="98">
        <f t="shared" si="3230"/>
        <v>0</v>
      </c>
      <c r="RD499" s="98">
        <f t="shared" si="3230"/>
        <v>0</v>
      </c>
      <c r="RE499" s="98">
        <f t="shared" si="3230"/>
        <v>0</v>
      </c>
      <c r="RF499" s="98">
        <f t="shared" si="3230"/>
        <v>0</v>
      </c>
      <c r="RG499" s="98">
        <f t="shared" si="3230"/>
        <v>0</v>
      </c>
      <c r="RH499" s="98">
        <f t="shared" si="3230"/>
        <v>0</v>
      </c>
      <c r="RI499" s="98">
        <f t="shared" si="3230"/>
        <v>0</v>
      </c>
      <c r="RJ499" s="98">
        <f t="shared" si="3230"/>
        <v>0</v>
      </c>
      <c r="RK499" s="98">
        <f t="shared" si="3230"/>
        <v>0</v>
      </c>
      <c r="RL499" s="98">
        <f t="shared" si="3230"/>
        <v>0</v>
      </c>
      <c r="RM499" s="198">
        <f t="shared" si="2687"/>
        <v>0</v>
      </c>
      <c r="RN499" s="198">
        <f t="shared" si="2688"/>
        <v>0</v>
      </c>
      <c r="RO499" s="98">
        <f t="shared" ref="RO499:SB499" si="3231">SUM(RO28,RO66,RO104,RO142,RO180,RO218,RO256,RO294,RO332,RO370,RO408,RO446)</f>
        <v>0</v>
      </c>
      <c r="RP499" s="98">
        <f t="shared" si="3231"/>
        <v>0</v>
      </c>
      <c r="RQ499" s="98">
        <f t="shared" si="3231"/>
        <v>0</v>
      </c>
      <c r="RR499" s="98">
        <f t="shared" si="3231"/>
        <v>0</v>
      </c>
      <c r="RS499" s="98">
        <f t="shared" si="3231"/>
        <v>0</v>
      </c>
      <c r="RT499" s="98">
        <f t="shared" si="3231"/>
        <v>0</v>
      </c>
      <c r="RU499" s="98">
        <f t="shared" si="3231"/>
        <v>0</v>
      </c>
      <c r="RV499" s="98">
        <f t="shared" si="3231"/>
        <v>0</v>
      </c>
      <c r="RW499" s="98">
        <f t="shared" si="3231"/>
        <v>0</v>
      </c>
      <c r="RX499" s="98">
        <f t="shared" si="3231"/>
        <v>0</v>
      </c>
      <c r="RY499" s="98">
        <f t="shared" si="3231"/>
        <v>0</v>
      </c>
      <c r="RZ499" s="98">
        <f t="shared" si="3231"/>
        <v>0</v>
      </c>
      <c r="SA499" s="98">
        <f t="shared" si="3231"/>
        <v>0</v>
      </c>
      <c r="SB499" s="98">
        <f t="shared" si="3231"/>
        <v>0</v>
      </c>
      <c r="SC499" s="198">
        <f t="shared" si="2690"/>
        <v>0</v>
      </c>
      <c r="SD499" s="198">
        <f t="shared" si="2691"/>
        <v>0</v>
      </c>
      <c r="SE499" s="98">
        <f t="shared" ref="SE499:SR499" si="3232">SUM(SE28,SE66,SE104,SE142,SE180,SE218,SE256,SE294,SE332,SE370,SE408,SE446)</f>
        <v>0</v>
      </c>
      <c r="SF499" s="98">
        <f t="shared" si="3232"/>
        <v>0</v>
      </c>
      <c r="SG499" s="98">
        <f t="shared" si="3232"/>
        <v>0</v>
      </c>
      <c r="SH499" s="98">
        <f t="shared" si="3232"/>
        <v>0</v>
      </c>
      <c r="SI499" s="98">
        <f t="shared" si="3232"/>
        <v>0</v>
      </c>
      <c r="SJ499" s="98">
        <f t="shared" si="3232"/>
        <v>0</v>
      </c>
      <c r="SK499" s="98">
        <f t="shared" si="3232"/>
        <v>0</v>
      </c>
      <c r="SL499" s="98">
        <f t="shared" si="3232"/>
        <v>0</v>
      </c>
      <c r="SM499" s="98">
        <f t="shared" si="3232"/>
        <v>0</v>
      </c>
      <c r="SN499" s="98">
        <f t="shared" si="3232"/>
        <v>0</v>
      </c>
      <c r="SO499" s="98">
        <f t="shared" si="3232"/>
        <v>0</v>
      </c>
      <c r="SP499" s="98">
        <f t="shared" si="3232"/>
        <v>0</v>
      </c>
      <c r="SQ499" s="98">
        <f t="shared" si="3232"/>
        <v>0</v>
      </c>
      <c r="SR499" s="98">
        <f t="shared" si="3232"/>
        <v>0</v>
      </c>
      <c r="SS499" s="198">
        <f t="shared" si="2693"/>
        <v>0</v>
      </c>
      <c r="ST499" s="198">
        <f t="shared" si="2694"/>
        <v>0</v>
      </c>
      <c r="SU499" s="98">
        <f t="shared" ref="SU499:TH499" si="3233">SUM(SU28,SU66,SU104,SU142,SU180,SU218,SU256,SU294,SU332,SU370,SU408,SU446)</f>
        <v>0</v>
      </c>
      <c r="SV499" s="98">
        <f t="shared" si="3233"/>
        <v>0</v>
      </c>
      <c r="SW499" s="98">
        <f t="shared" si="3233"/>
        <v>0</v>
      </c>
      <c r="SX499" s="98">
        <f t="shared" si="3233"/>
        <v>0</v>
      </c>
      <c r="SY499" s="98">
        <f t="shared" si="3233"/>
        <v>0</v>
      </c>
      <c r="SZ499" s="98">
        <f t="shared" si="3233"/>
        <v>0</v>
      </c>
      <c r="TA499" s="98">
        <f t="shared" si="3233"/>
        <v>0</v>
      </c>
      <c r="TB499" s="98">
        <f t="shared" si="3233"/>
        <v>0</v>
      </c>
      <c r="TC499" s="98">
        <f t="shared" si="3233"/>
        <v>0</v>
      </c>
      <c r="TD499" s="98">
        <f t="shared" si="3233"/>
        <v>0</v>
      </c>
      <c r="TE499" s="98">
        <f t="shared" si="3233"/>
        <v>0</v>
      </c>
      <c r="TF499" s="98">
        <f t="shared" si="3233"/>
        <v>0</v>
      </c>
      <c r="TG499" s="98">
        <f t="shared" si="3233"/>
        <v>0</v>
      </c>
      <c r="TH499" s="98">
        <f t="shared" si="3233"/>
        <v>0</v>
      </c>
      <c r="TI499" s="198">
        <f t="shared" si="2696"/>
        <v>0</v>
      </c>
      <c r="TJ499" s="198">
        <f t="shared" si="2697"/>
        <v>0</v>
      </c>
      <c r="TK499" s="98">
        <f t="shared" ref="TK499:TX499" si="3234">SUM(TK28,TK66,TK104,TK142,TK180,TK218,TK256,TK294,TK332,TK370,TK408,TK446)</f>
        <v>0</v>
      </c>
      <c r="TL499" s="98">
        <f t="shared" si="3234"/>
        <v>0</v>
      </c>
      <c r="TM499" s="98">
        <f t="shared" si="3234"/>
        <v>0</v>
      </c>
      <c r="TN499" s="98">
        <f t="shared" si="3234"/>
        <v>0</v>
      </c>
      <c r="TO499" s="98">
        <f t="shared" si="3234"/>
        <v>0</v>
      </c>
      <c r="TP499" s="98">
        <f t="shared" si="3234"/>
        <v>0</v>
      </c>
      <c r="TQ499" s="98">
        <f t="shared" si="3234"/>
        <v>0</v>
      </c>
      <c r="TR499" s="98">
        <f t="shared" si="3234"/>
        <v>0</v>
      </c>
      <c r="TS499" s="98">
        <f t="shared" si="3234"/>
        <v>0</v>
      </c>
      <c r="TT499" s="98">
        <f t="shared" si="3234"/>
        <v>0</v>
      </c>
      <c r="TU499" s="98">
        <f t="shared" si="3234"/>
        <v>0</v>
      </c>
      <c r="TV499" s="98">
        <f t="shared" si="3234"/>
        <v>0</v>
      </c>
      <c r="TW499" s="98">
        <f t="shared" si="3234"/>
        <v>0</v>
      </c>
      <c r="TX499" s="98">
        <f t="shared" si="3234"/>
        <v>0</v>
      </c>
      <c r="TY499" s="198">
        <f t="shared" si="2699"/>
        <v>0</v>
      </c>
      <c r="TZ499" s="198">
        <f t="shared" si="2700"/>
        <v>0</v>
      </c>
      <c r="UA499" s="98">
        <f t="shared" ref="UA499:UN499" si="3235">SUM(UA28,UA66,UA104,UA142,UA180,UA218,UA256,UA294,UA332,UA370,UA408,UA446)</f>
        <v>0</v>
      </c>
      <c r="UB499" s="98">
        <f t="shared" si="3235"/>
        <v>0</v>
      </c>
      <c r="UC499" s="98">
        <f t="shared" si="3235"/>
        <v>0</v>
      </c>
      <c r="UD499" s="98">
        <f t="shared" si="3235"/>
        <v>0</v>
      </c>
      <c r="UE499" s="98">
        <f t="shared" si="3235"/>
        <v>0</v>
      </c>
      <c r="UF499" s="98">
        <f t="shared" si="3235"/>
        <v>0</v>
      </c>
      <c r="UG499" s="98">
        <f t="shared" si="3235"/>
        <v>0</v>
      </c>
      <c r="UH499" s="98">
        <f t="shared" si="3235"/>
        <v>0</v>
      </c>
      <c r="UI499" s="98">
        <f t="shared" si="3235"/>
        <v>0</v>
      </c>
      <c r="UJ499" s="98">
        <f t="shared" si="3235"/>
        <v>0</v>
      </c>
      <c r="UK499" s="98">
        <f t="shared" si="3235"/>
        <v>0</v>
      </c>
      <c r="UL499" s="98">
        <f t="shared" si="3235"/>
        <v>0</v>
      </c>
      <c r="UM499" s="98">
        <f t="shared" si="3235"/>
        <v>0</v>
      </c>
      <c r="UN499" s="98">
        <f t="shared" si="3235"/>
        <v>0</v>
      </c>
      <c r="UO499" s="198">
        <f t="shared" si="2702"/>
        <v>0</v>
      </c>
      <c r="UP499" s="198">
        <f t="shared" si="2703"/>
        <v>0</v>
      </c>
      <c r="UQ499" s="98">
        <f t="shared" ref="UQ499:VD499" si="3236">SUM(UQ28,UQ66,UQ104,UQ142,UQ180,UQ218,UQ256,UQ294,UQ332,UQ370,UQ408,UQ446)</f>
        <v>0</v>
      </c>
      <c r="UR499" s="98">
        <f t="shared" si="3236"/>
        <v>0</v>
      </c>
      <c r="US499" s="98">
        <f t="shared" si="3236"/>
        <v>0</v>
      </c>
      <c r="UT499" s="98">
        <f t="shared" si="3236"/>
        <v>0</v>
      </c>
      <c r="UU499" s="98">
        <f t="shared" si="3236"/>
        <v>0</v>
      </c>
      <c r="UV499" s="98">
        <f t="shared" si="3236"/>
        <v>0</v>
      </c>
      <c r="UW499" s="98">
        <f t="shared" si="3236"/>
        <v>0</v>
      </c>
      <c r="UX499" s="98">
        <f t="shared" si="3236"/>
        <v>0</v>
      </c>
      <c r="UY499" s="98">
        <f t="shared" si="3236"/>
        <v>0</v>
      </c>
      <c r="UZ499" s="98">
        <f t="shared" si="3236"/>
        <v>0</v>
      </c>
      <c r="VA499" s="98">
        <f t="shared" si="3236"/>
        <v>0</v>
      </c>
      <c r="VB499" s="98">
        <f t="shared" si="3236"/>
        <v>0</v>
      </c>
      <c r="VC499" s="98">
        <f t="shared" si="3236"/>
        <v>0</v>
      </c>
      <c r="VD499" s="98">
        <f t="shared" si="3236"/>
        <v>0</v>
      </c>
      <c r="VE499" s="198">
        <f t="shared" si="2705"/>
        <v>0</v>
      </c>
      <c r="VF499" s="198">
        <f t="shared" si="2706"/>
        <v>0</v>
      </c>
      <c r="VG499" s="98">
        <f t="shared" ref="VG499:VT499" si="3237">SUM(VG28,VG66,VG104,VG142,VG180,VG218,VG256,VG294,VG332,VG370,VG408,VG446)</f>
        <v>0</v>
      </c>
      <c r="VH499" s="98">
        <f t="shared" si="3237"/>
        <v>0</v>
      </c>
      <c r="VI499" s="98">
        <f t="shared" si="3237"/>
        <v>0</v>
      </c>
      <c r="VJ499" s="98">
        <f t="shared" si="3237"/>
        <v>0</v>
      </c>
      <c r="VK499" s="98">
        <f t="shared" si="3237"/>
        <v>0</v>
      </c>
      <c r="VL499" s="98">
        <f t="shared" si="3237"/>
        <v>0</v>
      </c>
      <c r="VM499" s="98">
        <f t="shared" si="3237"/>
        <v>0</v>
      </c>
      <c r="VN499" s="98">
        <f t="shared" si="3237"/>
        <v>0</v>
      </c>
      <c r="VO499" s="98">
        <f t="shared" si="3237"/>
        <v>0</v>
      </c>
      <c r="VP499" s="98">
        <f t="shared" si="3237"/>
        <v>0</v>
      </c>
      <c r="VQ499" s="98">
        <f t="shared" si="3237"/>
        <v>0</v>
      </c>
      <c r="VR499" s="98">
        <f t="shared" si="3237"/>
        <v>0</v>
      </c>
      <c r="VS499" s="98">
        <f t="shared" si="3237"/>
        <v>0</v>
      </c>
      <c r="VT499" s="98">
        <f t="shared" si="3237"/>
        <v>0</v>
      </c>
      <c r="VU499" s="198">
        <f t="shared" si="2708"/>
        <v>0</v>
      </c>
      <c r="VV499" s="198">
        <f t="shared" si="2709"/>
        <v>0</v>
      </c>
      <c r="VW499" s="98">
        <f t="shared" ref="VW499:WJ499" si="3238">SUM(VW28,VW66,VW104,VW142,VW180,VW218,VW256,VW294,VW332,VW370,VW408,VW446)</f>
        <v>0</v>
      </c>
      <c r="VX499" s="98">
        <f t="shared" si="3238"/>
        <v>0</v>
      </c>
      <c r="VY499" s="98">
        <f t="shared" si="3238"/>
        <v>0</v>
      </c>
      <c r="VZ499" s="98">
        <f t="shared" si="3238"/>
        <v>0</v>
      </c>
      <c r="WA499" s="98">
        <f t="shared" si="3238"/>
        <v>0</v>
      </c>
      <c r="WB499" s="98">
        <f t="shared" si="3238"/>
        <v>0</v>
      </c>
      <c r="WC499" s="98">
        <f t="shared" si="3238"/>
        <v>0</v>
      </c>
      <c r="WD499" s="98">
        <f t="shared" si="3238"/>
        <v>0</v>
      </c>
      <c r="WE499" s="98">
        <f t="shared" si="3238"/>
        <v>0</v>
      </c>
      <c r="WF499" s="98">
        <f t="shared" si="3238"/>
        <v>0</v>
      </c>
      <c r="WG499" s="98">
        <f t="shared" si="3238"/>
        <v>0</v>
      </c>
      <c r="WH499" s="98">
        <f t="shared" si="3238"/>
        <v>0</v>
      </c>
      <c r="WI499" s="98">
        <f t="shared" si="3238"/>
        <v>0</v>
      </c>
      <c r="WJ499" s="98">
        <f t="shared" si="3238"/>
        <v>0</v>
      </c>
      <c r="WK499" s="198">
        <f t="shared" si="2711"/>
        <v>0</v>
      </c>
      <c r="WL499" s="198">
        <f t="shared" si="2712"/>
        <v>0</v>
      </c>
      <c r="WN499" s="98">
        <f t="shared" si="2713"/>
        <v>12733</v>
      </c>
      <c r="WO499" s="98">
        <f t="shared" si="2714"/>
        <v>4328440</v>
      </c>
      <c r="WP499" s="98">
        <f t="shared" si="2715"/>
        <v>0</v>
      </c>
      <c r="WQ499" s="98">
        <f t="shared" si="2716"/>
        <v>0</v>
      </c>
      <c r="WR499" s="98">
        <f t="shared" si="2717"/>
        <v>0</v>
      </c>
      <c r="WS499" s="98">
        <f t="shared" si="2718"/>
        <v>0</v>
      </c>
      <c r="WT499" s="98">
        <f t="shared" si="3199"/>
        <v>0</v>
      </c>
      <c r="WU499" s="98">
        <f t="shared" si="3200"/>
        <v>0</v>
      </c>
      <c r="WV499" s="98">
        <f t="shared" si="2721"/>
        <v>0</v>
      </c>
      <c r="WW499" s="98">
        <f t="shared" si="2722"/>
        <v>0</v>
      </c>
      <c r="WX499" s="98">
        <f t="shared" si="2723"/>
        <v>0</v>
      </c>
      <c r="WY499" s="98">
        <f t="shared" si="2724"/>
        <v>0</v>
      </c>
      <c r="WZ499" s="98">
        <f t="shared" si="2725"/>
        <v>0</v>
      </c>
      <c r="XA499" s="98">
        <f t="shared" si="2726"/>
        <v>0</v>
      </c>
      <c r="XB499" s="107">
        <f t="shared" si="2727"/>
        <v>12733</v>
      </c>
      <c r="XC499" s="107">
        <f t="shared" si="2728"/>
        <v>4328440</v>
      </c>
      <c r="XK499" s="98">
        <f t="shared" si="2729"/>
        <v>0</v>
      </c>
      <c r="XL499" s="98">
        <f t="shared" si="2730"/>
        <v>0</v>
      </c>
      <c r="XM499" s="98">
        <f t="shared" si="2731"/>
        <v>0</v>
      </c>
      <c r="XN499" s="98">
        <f t="shared" si="2732"/>
        <v>0</v>
      </c>
      <c r="XO499" s="98">
        <f t="shared" si="2733"/>
        <v>4341173</v>
      </c>
      <c r="XP499" s="98">
        <f t="shared" si="2734"/>
        <v>942673</v>
      </c>
      <c r="XQ499" s="98">
        <f t="shared" si="2735"/>
        <v>0</v>
      </c>
      <c r="XR499" s="107">
        <f t="shared" ca="1" si="2597"/>
        <v>8669613</v>
      </c>
      <c r="XT499" s="98">
        <f t="shared" si="2736"/>
        <v>4331463</v>
      </c>
      <c r="XU499" s="98">
        <f t="shared" si="2737"/>
        <v>4328440</v>
      </c>
      <c r="XV499" s="98">
        <f t="shared" si="2738"/>
        <v>0</v>
      </c>
      <c r="XW499" s="98">
        <f t="shared" si="2739"/>
        <v>0</v>
      </c>
      <c r="XX499" s="98">
        <f t="shared" si="2740"/>
        <v>0</v>
      </c>
      <c r="XY499" s="98">
        <f t="shared" si="2741"/>
        <v>0</v>
      </c>
      <c r="XZ499" s="98">
        <f t="shared" si="2742"/>
        <v>4341173</v>
      </c>
      <c r="YA499" s="107">
        <f t="shared" ca="1" si="2598"/>
        <v>8672636</v>
      </c>
    </row>
    <row r="500" spans="2:651">
      <c r="B500" s="90" t="str">
        <f t="shared" si="2558"/>
        <v xml:space="preserve">Lobster Air Tawar, Cherax </v>
      </c>
      <c r="C500" s="98">
        <f t="shared" ref="C500:P500" si="3239">SUM(C29,C67,C105,C143,C181,C219,C257,C295,C333,C371,C409,C447)</f>
        <v>0</v>
      </c>
      <c r="D500" s="98">
        <f t="shared" si="3239"/>
        <v>0</v>
      </c>
      <c r="E500" s="98">
        <f t="shared" si="3239"/>
        <v>0</v>
      </c>
      <c r="F500" s="98">
        <f t="shared" si="3239"/>
        <v>0</v>
      </c>
      <c r="G500" s="98">
        <f t="shared" si="3239"/>
        <v>0</v>
      </c>
      <c r="H500" s="98">
        <f t="shared" si="3239"/>
        <v>0</v>
      </c>
      <c r="I500" s="98">
        <f t="shared" si="3239"/>
        <v>0</v>
      </c>
      <c r="J500" s="98">
        <f t="shared" si="3239"/>
        <v>0</v>
      </c>
      <c r="K500" s="98">
        <f t="shared" si="3239"/>
        <v>0</v>
      </c>
      <c r="L500" s="98">
        <f t="shared" si="3239"/>
        <v>0</v>
      </c>
      <c r="M500" s="98">
        <f t="shared" si="3239"/>
        <v>0</v>
      </c>
      <c r="N500" s="98">
        <f t="shared" si="3239"/>
        <v>0</v>
      </c>
      <c r="O500" s="98">
        <f t="shared" si="3239"/>
        <v>0</v>
      </c>
      <c r="P500" s="98">
        <f t="shared" si="3239"/>
        <v>0</v>
      </c>
      <c r="Q500" s="198">
        <f t="shared" si="2600"/>
        <v>0</v>
      </c>
      <c r="R500" s="198">
        <f t="shared" si="2601"/>
        <v>0</v>
      </c>
      <c r="S500" s="98">
        <f t="shared" ref="S500:AF500" si="3240">SUM(S29,S67,S105,S143,S181,S219,S257,S295,S333,S371,S409,S447)</f>
        <v>0</v>
      </c>
      <c r="T500" s="98">
        <f t="shared" si="3240"/>
        <v>0</v>
      </c>
      <c r="U500" s="98">
        <f t="shared" si="3240"/>
        <v>0</v>
      </c>
      <c r="V500" s="98">
        <f t="shared" si="3240"/>
        <v>0</v>
      </c>
      <c r="W500" s="98">
        <f t="shared" si="3240"/>
        <v>0</v>
      </c>
      <c r="X500" s="98">
        <f t="shared" si="3240"/>
        <v>0</v>
      </c>
      <c r="Y500" s="98">
        <f t="shared" si="3240"/>
        <v>0</v>
      </c>
      <c r="Z500" s="98">
        <f t="shared" si="3240"/>
        <v>0</v>
      </c>
      <c r="AA500" s="98">
        <f t="shared" si="3240"/>
        <v>0</v>
      </c>
      <c r="AB500" s="98">
        <f t="shared" si="3240"/>
        <v>0</v>
      </c>
      <c r="AC500" s="98">
        <f t="shared" si="3240"/>
        <v>0</v>
      </c>
      <c r="AD500" s="98">
        <f t="shared" si="3240"/>
        <v>0</v>
      </c>
      <c r="AE500" s="98">
        <f t="shared" si="3240"/>
        <v>0</v>
      </c>
      <c r="AF500" s="98">
        <f t="shared" si="3240"/>
        <v>0</v>
      </c>
      <c r="AG500" s="198">
        <f t="shared" si="2603"/>
        <v>0</v>
      </c>
      <c r="AH500" s="198">
        <f t="shared" si="2604"/>
        <v>0</v>
      </c>
      <c r="AI500" s="98">
        <f t="shared" ref="AI500:AV500" si="3241">SUM(AI29,AI67,AI105,AI143,AI181,AI219,AI257,AI295,AI333,AI371,AI409,AI447)</f>
        <v>0</v>
      </c>
      <c r="AJ500" s="98">
        <f t="shared" si="3241"/>
        <v>0</v>
      </c>
      <c r="AK500" s="98">
        <f t="shared" si="3241"/>
        <v>0</v>
      </c>
      <c r="AL500" s="98">
        <f t="shared" si="3241"/>
        <v>0</v>
      </c>
      <c r="AM500" s="98">
        <f t="shared" si="3241"/>
        <v>0</v>
      </c>
      <c r="AN500" s="98">
        <f t="shared" si="3241"/>
        <v>0</v>
      </c>
      <c r="AO500" s="98">
        <f t="shared" si="3241"/>
        <v>0</v>
      </c>
      <c r="AP500" s="98">
        <f t="shared" si="3241"/>
        <v>0</v>
      </c>
      <c r="AQ500" s="98">
        <f t="shared" si="3241"/>
        <v>0</v>
      </c>
      <c r="AR500" s="98">
        <f t="shared" si="3241"/>
        <v>0</v>
      </c>
      <c r="AS500" s="98">
        <f t="shared" si="3241"/>
        <v>0</v>
      </c>
      <c r="AT500" s="98">
        <f t="shared" si="3241"/>
        <v>0</v>
      </c>
      <c r="AU500" s="98">
        <f t="shared" si="3241"/>
        <v>0</v>
      </c>
      <c r="AV500" s="98">
        <f t="shared" si="3241"/>
        <v>0</v>
      </c>
      <c r="AW500" s="198">
        <f t="shared" si="2606"/>
        <v>0</v>
      </c>
      <c r="AX500" s="198">
        <f t="shared" si="2607"/>
        <v>0</v>
      </c>
      <c r="AY500" s="98">
        <f t="shared" ref="AY500:BL500" si="3242">SUM(AY29,AY67,AY105,AY143,AY181,AY219,AY257,AY295,AY333,AY371,AY409,AY447)</f>
        <v>0</v>
      </c>
      <c r="AZ500" s="98">
        <f t="shared" si="3242"/>
        <v>0</v>
      </c>
      <c r="BA500" s="98">
        <f t="shared" si="3242"/>
        <v>0</v>
      </c>
      <c r="BB500" s="98">
        <f t="shared" si="3242"/>
        <v>0</v>
      </c>
      <c r="BC500" s="98">
        <f t="shared" si="3242"/>
        <v>0</v>
      </c>
      <c r="BD500" s="98">
        <f t="shared" si="3242"/>
        <v>0</v>
      </c>
      <c r="BE500" s="98">
        <f t="shared" si="3242"/>
        <v>0</v>
      </c>
      <c r="BF500" s="98">
        <f t="shared" si="3242"/>
        <v>0</v>
      </c>
      <c r="BG500" s="98">
        <f t="shared" si="3242"/>
        <v>0</v>
      </c>
      <c r="BH500" s="98">
        <f t="shared" si="3242"/>
        <v>0</v>
      </c>
      <c r="BI500" s="98">
        <f t="shared" si="3242"/>
        <v>0</v>
      </c>
      <c r="BJ500" s="98">
        <f t="shared" si="3242"/>
        <v>0</v>
      </c>
      <c r="BK500" s="98">
        <f t="shared" si="3242"/>
        <v>0</v>
      </c>
      <c r="BL500" s="98">
        <f t="shared" si="3242"/>
        <v>0</v>
      </c>
      <c r="BM500" s="198">
        <f t="shared" si="2609"/>
        <v>0</v>
      </c>
      <c r="BN500" s="198">
        <f t="shared" si="2610"/>
        <v>0</v>
      </c>
      <c r="BO500" s="98">
        <f t="shared" ref="BO500:CB500" si="3243">SUM(BO29,BO67,BO105,BO143,BO181,BO219,BO257,BO295,BO333,BO371,BO409,BO447)</f>
        <v>0</v>
      </c>
      <c r="BP500" s="98">
        <f t="shared" si="3243"/>
        <v>0</v>
      </c>
      <c r="BQ500" s="98">
        <f t="shared" si="3243"/>
        <v>0</v>
      </c>
      <c r="BR500" s="98">
        <f t="shared" si="3243"/>
        <v>0</v>
      </c>
      <c r="BS500" s="98">
        <f t="shared" si="3243"/>
        <v>0</v>
      </c>
      <c r="BT500" s="98">
        <f t="shared" si="3243"/>
        <v>0</v>
      </c>
      <c r="BU500" s="98">
        <f t="shared" si="3243"/>
        <v>0</v>
      </c>
      <c r="BV500" s="98">
        <f t="shared" si="3243"/>
        <v>0</v>
      </c>
      <c r="BW500" s="98">
        <f t="shared" si="3243"/>
        <v>0</v>
      </c>
      <c r="BX500" s="98">
        <f t="shared" si="3243"/>
        <v>0</v>
      </c>
      <c r="BY500" s="98">
        <f t="shared" si="3243"/>
        <v>0</v>
      </c>
      <c r="BZ500" s="98">
        <f t="shared" si="3243"/>
        <v>0</v>
      </c>
      <c r="CA500" s="98">
        <f t="shared" si="3243"/>
        <v>0</v>
      </c>
      <c r="CB500" s="98">
        <f t="shared" si="3243"/>
        <v>0</v>
      </c>
      <c r="CC500" s="198">
        <f t="shared" si="2612"/>
        <v>0</v>
      </c>
      <c r="CD500" s="198">
        <f t="shared" si="2613"/>
        <v>0</v>
      </c>
      <c r="CE500" s="98">
        <f t="shared" ref="CE500:CR500" si="3244">SUM(CE29,CE67,CE105,CE143,CE181,CE219,CE257,CE295,CE333,CE371,CE409,CE447)</f>
        <v>0</v>
      </c>
      <c r="CF500" s="98">
        <f t="shared" si="3244"/>
        <v>0</v>
      </c>
      <c r="CG500" s="98">
        <f t="shared" si="3244"/>
        <v>0</v>
      </c>
      <c r="CH500" s="98">
        <f t="shared" si="3244"/>
        <v>0</v>
      </c>
      <c r="CI500" s="98">
        <f t="shared" si="3244"/>
        <v>0</v>
      </c>
      <c r="CJ500" s="98">
        <f t="shared" si="3244"/>
        <v>0</v>
      </c>
      <c r="CK500" s="98">
        <f t="shared" si="3244"/>
        <v>0</v>
      </c>
      <c r="CL500" s="98">
        <f t="shared" si="3244"/>
        <v>0</v>
      </c>
      <c r="CM500" s="98">
        <f t="shared" si="3244"/>
        <v>0</v>
      </c>
      <c r="CN500" s="98">
        <f t="shared" si="3244"/>
        <v>0</v>
      </c>
      <c r="CO500" s="98">
        <f t="shared" si="3244"/>
        <v>0</v>
      </c>
      <c r="CP500" s="98">
        <f t="shared" si="3244"/>
        <v>0</v>
      </c>
      <c r="CQ500" s="98">
        <f t="shared" si="3244"/>
        <v>0</v>
      </c>
      <c r="CR500" s="98">
        <f t="shared" si="3244"/>
        <v>0</v>
      </c>
      <c r="CS500" s="198">
        <f t="shared" si="2615"/>
        <v>0</v>
      </c>
      <c r="CT500" s="198">
        <f t="shared" si="2616"/>
        <v>0</v>
      </c>
      <c r="CU500" s="98">
        <f t="shared" ref="CU500:DH500" si="3245">SUM(CU29,CU67,CU105,CU143,CU181,CU219,CU257,CU295,CU333,CU371,CU409,CU447)</f>
        <v>0</v>
      </c>
      <c r="CV500" s="98">
        <f t="shared" si="3245"/>
        <v>0</v>
      </c>
      <c r="CW500" s="98">
        <f t="shared" si="3245"/>
        <v>0</v>
      </c>
      <c r="CX500" s="98">
        <f t="shared" si="3245"/>
        <v>0</v>
      </c>
      <c r="CY500" s="98">
        <f t="shared" si="3245"/>
        <v>0</v>
      </c>
      <c r="CZ500" s="98">
        <f t="shared" si="3245"/>
        <v>0</v>
      </c>
      <c r="DA500" s="98">
        <f t="shared" si="3245"/>
        <v>0</v>
      </c>
      <c r="DB500" s="98">
        <f t="shared" si="3245"/>
        <v>0</v>
      </c>
      <c r="DC500" s="98">
        <f t="shared" si="3245"/>
        <v>0</v>
      </c>
      <c r="DD500" s="98">
        <f t="shared" si="3245"/>
        <v>0</v>
      </c>
      <c r="DE500" s="98">
        <f t="shared" si="3245"/>
        <v>0</v>
      </c>
      <c r="DF500" s="98">
        <f t="shared" si="3245"/>
        <v>0</v>
      </c>
      <c r="DG500" s="98">
        <f t="shared" si="3245"/>
        <v>0</v>
      </c>
      <c r="DH500" s="98">
        <f t="shared" si="3245"/>
        <v>0</v>
      </c>
      <c r="DI500" s="198">
        <f t="shared" si="2618"/>
        <v>0</v>
      </c>
      <c r="DJ500" s="198">
        <f t="shared" si="2619"/>
        <v>0</v>
      </c>
      <c r="DK500" s="98">
        <f t="shared" ref="DK500:DX500" si="3246">SUM(DK29,DK67,DK105,DK143,DK181,DK219,DK257,DK295,DK333,DK371,DK409,DK447)</f>
        <v>0</v>
      </c>
      <c r="DL500" s="98">
        <f t="shared" si="3246"/>
        <v>0</v>
      </c>
      <c r="DM500" s="98">
        <f t="shared" si="3246"/>
        <v>0</v>
      </c>
      <c r="DN500" s="98">
        <f t="shared" si="3246"/>
        <v>0</v>
      </c>
      <c r="DO500" s="98">
        <f t="shared" si="3246"/>
        <v>0</v>
      </c>
      <c r="DP500" s="98">
        <f t="shared" si="3246"/>
        <v>0</v>
      </c>
      <c r="DQ500" s="98">
        <f t="shared" si="3246"/>
        <v>0</v>
      </c>
      <c r="DR500" s="98">
        <f t="shared" si="3246"/>
        <v>0</v>
      </c>
      <c r="DS500" s="98">
        <f t="shared" si="3246"/>
        <v>0</v>
      </c>
      <c r="DT500" s="98">
        <f t="shared" si="3246"/>
        <v>0</v>
      </c>
      <c r="DU500" s="98">
        <f t="shared" si="3246"/>
        <v>0</v>
      </c>
      <c r="DV500" s="98">
        <f t="shared" si="3246"/>
        <v>0</v>
      </c>
      <c r="DW500" s="98">
        <f t="shared" si="3246"/>
        <v>0</v>
      </c>
      <c r="DX500" s="98">
        <f t="shared" si="3246"/>
        <v>0</v>
      </c>
      <c r="DY500" s="198">
        <f t="shared" si="2621"/>
        <v>0</v>
      </c>
      <c r="DZ500" s="198">
        <f t="shared" si="2622"/>
        <v>0</v>
      </c>
      <c r="EA500" s="98">
        <f t="shared" ref="EA500:EN500" si="3247">SUM(EA29,EA67,EA105,EA143,EA181,EA219,EA257,EA295,EA333,EA371,EA409,EA447)</f>
        <v>0</v>
      </c>
      <c r="EB500" s="98">
        <f t="shared" si="3247"/>
        <v>0</v>
      </c>
      <c r="EC500" s="98">
        <f t="shared" si="3247"/>
        <v>0</v>
      </c>
      <c r="ED500" s="98">
        <f t="shared" si="3247"/>
        <v>0</v>
      </c>
      <c r="EE500" s="98">
        <f t="shared" si="3247"/>
        <v>0</v>
      </c>
      <c r="EF500" s="98">
        <f t="shared" si="3247"/>
        <v>0</v>
      </c>
      <c r="EG500" s="98">
        <f t="shared" si="3247"/>
        <v>0</v>
      </c>
      <c r="EH500" s="98">
        <f t="shared" si="3247"/>
        <v>0</v>
      </c>
      <c r="EI500" s="98">
        <f t="shared" si="3247"/>
        <v>0</v>
      </c>
      <c r="EJ500" s="98">
        <f t="shared" si="3247"/>
        <v>0</v>
      </c>
      <c r="EK500" s="98">
        <f t="shared" si="3247"/>
        <v>0</v>
      </c>
      <c r="EL500" s="98">
        <f t="shared" si="3247"/>
        <v>0</v>
      </c>
      <c r="EM500" s="98">
        <f t="shared" si="3247"/>
        <v>0</v>
      </c>
      <c r="EN500" s="98">
        <f t="shared" si="3247"/>
        <v>0</v>
      </c>
      <c r="EO500" s="198">
        <f t="shared" si="2624"/>
        <v>0</v>
      </c>
      <c r="EP500" s="198">
        <f t="shared" si="2625"/>
        <v>0</v>
      </c>
      <c r="EQ500" s="98">
        <f t="shared" ref="EQ500:FD500" si="3248">SUM(EQ29,EQ67,EQ105,EQ143,EQ181,EQ219,EQ257,EQ295,EQ333,EQ371,EQ409,EQ447)</f>
        <v>0</v>
      </c>
      <c r="ER500" s="98">
        <f t="shared" si="3248"/>
        <v>0</v>
      </c>
      <c r="ES500" s="98">
        <f t="shared" si="3248"/>
        <v>0</v>
      </c>
      <c r="ET500" s="98">
        <f t="shared" si="3248"/>
        <v>0</v>
      </c>
      <c r="EU500" s="98">
        <f t="shared" si="3248"/>
        <v>0</v>
      </c>
      <c r="EV500" s="98">
        <f t="shared" si="3248"/>
        <v>0</v>
      </c>
      <c r="EW500" s="98">
        <f t="shared" si="3248"/>
        <v>0</v>
      </c>
      <c r="EX500" s="98">
        <f t="shared" si="3248"/>
        <v>0</v>
      </c>
      <c r="EY500" s="98">
        <f t="shared" si="3248"/>
        <v>0</v>
      </c>
      <c r="EZ500" s="98">
        <f t="shared" si="3248"/>
        <v>0</v>
      </c>
      <c r="FA500" s="98">
        <f t="shared" si="3248"/>
        <v>0</v>
      </c>
      <c r="FB500" s="98">
        <f t="shared" si="3248"/>
        <v>0</v>
      </c>
      <c r="FC500" s="98">
        <f t="shared" si="3248"/>
        <v>0</v>
      </c>
      <c r="FD500" s="98">
        <f t="shared" si="3248"/>
        <v>0</v>
      </c>
      <c r="FE500" s="198">
        <f t="shared" si="2627"/>
        <v>0</v>
      </c>
      <c r="FF500" s="198">
        <f t="shared" si="2628"/>
        <v>0</v>
      </c>
      <c r="FG500" s="98">
        <f t="shared" ref="FG500:FT500" si="3249">SUM(FG29,FG67,FG105,FG143,FG181,FG219,FG257,FG295,FG333,FG371,FG409,FG447)</f>
        <v>0</v>
      </c>
      <c r="FH500" s="98">
        <f t="shared" si="3249"/>
        <v>0</v>
      </c>
      <c r="FI500" s="98">
        <f t="shared" si="3249"/>
        <v>0</v>
      </c>
      <c r="FJ500" s="98">
        <f t="shared" si="3249"/>
        <v>0</v>
      </c>
      <c r="FK500" s="98">
        <f t="shared" si="3249"/>
        <v>0</v>
      </c>
      <c r="FL500" s="98">
        <f t="shared" si="3249"/>
        <v>0</v>
      </c>
      <c r="FM500" s="98">
        <f t="shared" si="3249"/>
        <v>0</v>
      </c>
      <c r="FN500" s="98">
        <f t="shared" si="3249"/>
        <v>0</v>
      </c>
      <c r="FO500" s="98">
        <f t="shared" si="3249"/>
        <v>0</v>
      </c>
      <c r="FP500" s="98">
        <f t="shared" si="3249"/>
        <v>0</v>
      </c>
      <c r="FQ500" s="98">
        <f t="shared" si="3249"/>
        <v>0</v>
      </c>
      <c r="FR500" s="98">
        <f t="shared" si="3249"/>
        <v>0</v>
      </c>
      <c r="FS500" s="98">
        <f t="shared" si="3249"/>
        <v>0</v>
      </c>
      <c r="FT500" s="98">
        <f t="shared" si="3249"/>
        <v>0</v>
      </c>
      <c r="FU500" s="198">
        <f t="shared" si="2630"/>
        <v>0</v>
      </c>
      <c r="FV500" s="198">
        <f t="shared" si="2631"/>
        <v>0</v>
      </c>
      <c r="FW500" s="98">
        <f t="shared" ref="FW500:GJ500" si="3250">SUM(FW29,FW67,FW105,FW143,FW181,FW219,FW257,FW295,FW333,FW371,FW409,FW447)</f>
        <v>0</v>
      </c>
      <c r="FX500" s="98">
        <f t="shared" si="3250"/>
        <v>0</v>
      </c>
      <c r="FY500" s="98">
        <f t="shared" si="3250"/>
        <v>0</v>
      </c>
      <c r="FZ500" s="98">
        <f t="shared" si="3250"/>
        <v>0</v>
      </c>
      <c r="GA500" s="98">
        <f t="shared" si="3250"/>
        <v>0</v>
      </c>
      <c r="GB500" s="98">
        <f t="shared" si="3250"/>
        <v>0</v>
      </c>
      <c r="GC500" s="98">
        <f t="shared" si="3250"/>
        <v>0</v>
      </c>
      <c r="GD500" s="98">
        <f t="shared" si="3250"/>
        <v>0</v>
      </c>
      <c r="GE500" s="98">
        <f t="shared" si="3250"/>
        <v>0</v>
      </c>
      <c r="GF500" s="98">
        <f t="shared" si="3250"/>
        <v>0</v>
      </c>
      <c r="GG500" s="98">
        <f t="shared" si="3250"/>
        <v>0</v>
      </c>
      <c r="GH500" s="98">
        <f t="shared" si="3250"/>
        <v>0</v>
      </c>
      <c r="GI500" s="98">
        <f t="shared" si="3250"/>
        <v>0</v>
      </c>
      <c r="GJ500" s="98">
        <f t="shared" si="3250"/>
        <v>0</v>
      </c>
      <c r="GK500" s="198">
        <f t="shared" si="2633"/>
        <v>0</v>
      </c>
      <c r="GL500" s="198">
        <f t="shared" si="2634"/>
        <v>0</v>
      </c>
      <c r="GM500" s="98">
        <f t="shared" ref="GM500:GZ500" si="3251">SUM(GM29,GM67,GM105,GM143,GM181,GM219,GM257,GM295,GM333,GM371,GM409,GM447)</f>
        <v>0</v>
      </c>
      <c r="GN500" s="98">
        <f t="shared" si="3251"/>
        <v>0</v>
      </c>
      <c r="GO500" s="98">
        <f t="shared" si="3251"/>
        <v>0</v>
      </c>
      <c r="GP500" s="98">
        <f t="shared" si="3251"/>
        <v>0</v>
      </c>
      <c r="GQ500" s="98">
        <f t="shared" si="3251"/>
        <v>0</v>
      </c>
      <c r="GR500" s="98">
        <f t="shared" si="3251"/>
        <v>0</v>
      </c>
      <c r="GS500" s="98">
        <f t="shared" si="3251"/>
        <v>0</v>
      </c>
      <c r="GT500" s="98">
        <f t="shared" si="3251"/>
        <v>0</v>
      </c>
      <c r="GU500" s="98">
        <f t="shared" si="3251"/>
        <v>0</v>
      </c>
      <c r="GV500" s="98">
        <f t="shared" si="3251"/>
        <v>0</v>
      </c>
      <c r="GW500" s="98">
        <f t="shared" si="3251"/>
        <v>0</v>
      </c>
      <c r="GX500" s="98">
        <f t="shared" si="3251"/>
        <v>0</v>
      </c>
      <c r="GY500" s="98">
        <f t="shared" si="3251"/>
        <v>0</v>
      </c>
      <c r="GZ500" s="98">
        <f t="shared" si="3251"/>
        <v>0</v>
      </c>
      <c r="HA500" s="198">
        <f t="shared" si="2636"/>
        <v>0</v>
      </c>
      <c r="HB500" s="198">
        <f t="shared" si="2637"/>
        <v>0</v>
      </c>
      <c r="HC500" s="98">
        <f t="shared" ref="HC500:HP500" si="3252">SUM(HC29,HC67,HC105,HC143,HC181,HC219,HC257,HC295,HC333,HC371,HC409,HC447)</f>
        <v>0</v>
      </c>
      <c r="HD500" s="98">
        <f t="shared" si="3252"/>
        <v>0</v>
      </c>
      <c r="HE500" s="98">
        <f t="shared" si="3252"/>
        <v>0</v>
      </c>
      <c r="HF500" s="98">
        <f t="shared" si="3252"/>
        <v>0</v>
      </c>
      <c r="HG500" s="98">
        <f t="shared" si="3252"/>
        <v>0</v>
      </c>
      <c r="HH500" s="98">
        <f t="shared" si="3252"/>
        <v>0</v>
      </c>
      <c r="HI500" s="98">
        <f t="shared" si="3252"/>
        <v>0</v>
      </c>
      <c r="HJ500" s="98">
        <f t="shared" si="3252"/>
        <v>0</v>
      </c>
      <c r="HK500" s="98">
        <f t="shared" si="3252"/>
        <v>0</v>
      </c>
      <c r="HL500" s="98">
        <f t="shared" si="3252"/>
        <v>0</v>
      </c>
      <c r="HM500" s="98">
        <f t="shared" si="3252"/>
        <v>0</v>
      </c>
      <c r="HN500" s="98">
        <f t="shared" si="3252"/>
        <v>0</v>
      </c>
      <c r="HO500" s="98">
        <f t="shared" si="3252"/>
        <v>0</v>
      </c>
      <c r="HP500" s="98">
        <f t="shared" si="3252"/>
        <v>0</v>
      </c>
      <c r="HQ500" s="198">
        <f t="shared" si="2639"/>
        <v>0</v>
      </c>
      <c r="HR500" s="198">
        <f t="shared" si="2640"/>
        <v>0</v>
      </c>
      <c r="HS500" s="98">
        <f t="shared" ref="HS500:IF500" si="3253">SUM(HS29,HS67,HS105,HS143,HS181,HS219,HS257,HS295,HS333,HS371,HS409,HS447)</f>
        <v>0</v>
      </c>
      <c r="HT500" s="98">
        <f t="shared" si="3253"/>
        <v>0</v>
      </c>
      <c r="HU500" s="98">
        <f t="shared" si="3253"/>
        <v>0</v>
      </c>
      <c r="HV500" s="98">
        <f t="shared" si="3253"/>
        <v>0</v>
      </c>
      <c r="HW500" s="98">
        <f t="shared" si="3253"/>
        <v>0</v>
      </c>
      <c r="HX500" s="98">
        <f t="shared" si="3253"/>
        <v>0</v>
      </c>
      <c r="HY500" s="98">
        <f t="shared" si="3253"/>
        <v>0</v>
      </c>
      <c r="HZ500" s="98">
        <f t="shared" si="3253"/>
        <v>0</v>
      </c>
      <c r="IA500" s="98">
        <f t="shared" si="3253"/>
        <v>0</v>
      </c>
      <c r="IB500" s="98">
        <f t="shared" si="3253"/>
        <v>0</v>
      </c>
      <c r="IC500" s="98">
        <f t="shared" si="3253"/>
        <v>0</v>
      </c>
      <c r="ID500" s="98">
        <f t="shared" si="3253"/>
        <v>0</v>
      </c>
      <c r="IE500" s="98">
        <f t="shared" si="3253"/>
        <v>0</v>
      </c>
      <c r="IF500" s="98">
        <f t="shared" si="3253"/>
        <v>0</v>
      </c>
      <c r="IG500" s="198">
        <f t="shared" si="2642"/>
        <v>0</v>
      </c>
      <c r="IH500" s="198">
        <f t="shared" si="2643"/>
        <v>0</v>
      </c>
      <c r="II500" s="98">
        <f t="shared" ref="II500:IV500" si="3254">SUM(II29,II67,II105,II143,II181,II219,II257,II295,II333,II371,II409,II447)</f>
        <v>0</v>
      </c>
      <c r="IJ500" s="98">
        <f t="shared" si="3254"/>
        <v>0</v>
      </c>
      <c r="IK500" s="98">
        <f t="shared" si="3254"/>
        <v>0</v>
      </c>
      <c r="IL500" s="98">
        <f t="shared" si="3254"/>
        <v>0</v>
      </c>
      <c r="IM500" s="98">
        <f t="shared" si="3254"/>
        <v>0</v>
      </c>
      <c r="IN500" s="98">
        <f t="shared" si="3254"/>
        <v>0</v>
      </c>
      <c r="IO500" s="98">
        <f t="shared" si="3254"/>
        <v>2650</v>
      </c>
      <c r="IP500" s="98">
        <f t="shared" si="3254"/>
        <v>284500</v>
      </c>
      <c r="IQ500" s="98">
        <f t="shared" si="3254"/>
        <v>0</v>
      </c>
      <c r="IR500" s="98">
        <f t="shared" si="3254"/>
        <v>0</v>
      </c>
      <c r="IS500" s="98">
        <f t="shared" si="3254"/>
        <v>0</v>
      </c>
      <c r="IT500" s="98">
        <f t="shared" si="3254"/>
        <v>0</v>
      </c>
      <c r="IU500" s="98">
        <f t="shared" si="3254"/>
        <v>0</v>
      </c>
      <c r="IV500" s="98">
        <f t="shared" si="3254"/>
        <v>0</v>
      </c>
      <c r="IW500" s="198">
        <f t="shared" si="2645"/>
        <v>2650</v>
      </c>
      <c r="IX500" s="198">
        <f t="shared" si="2646"/>
        <v>284500</v>
      </c>
      <c r="IY500" s="98">
        <f t="shared" ref="IY500:JL500" si="3255">SUM(IY29,IY67,IY105,IY143,IY181,IY219,IY257,IY295,IY333,IY371,IY409,IY447)</f>
        <v>0</v>
      </c>
      <c r="IZ500" s="98">
        <f t="shared" si="3255"/>
        <v>0</v>
      </c>
      <c r="JA500" s="98">
        <f t="shared" si="3255"/>
        <v>0</v>
      </c>
      <c r="JB500" s="98">
        <f t="shared" si="3255"/>
        <v>0</v>
      </c>
      <c r="JC500" s="98">
        <f t="shared" si="3255"/>
        <v>0</v>
      </c>
      <c r="JD500" s="98">
        <f t="shared" si="3255"/>
        <v>0</v>
      </c>
      <c r="JE500" s="98">
        <f t="shared" si="3255"/>
        <v>0</v>
      </c>
      <c r="JF500" s="98">
        <f t="shared" si="3255"/>
        <v>0</v>
      </c>
      <c r="JG500" s="98">
        <f t="shared" si="3255"/>
        <v>0</v>
      </c>
      <c r="JH500" s="98">
        <f t="shared" si="3255"/>
        <v>0</v>
      </c>
      <c r="JI500" s="98">
        <f t="shared" si="3255"/>
        <v>0</v>
      </c>
      <c r="JJ500" s="98">
        <f t="shared" si="3255"/>
        <v>0</v>
      </c>
      <c r="JK500" s="98">
        <f t="shared" si="3255"/>
        <v>0</v>
      </c>
      <c r="JL500" s="98">
        <f t="shared" si="3255"/>
        <v>0</v>
      </c>
      <c r="JM500" s="198">
        <f t="shared" si="2648"/>
        <v>0</v>
      </c>
      <c r="JN500" s="198">
        <f t="shared" si="2649"/>
        <v>0</v>
      </c>
      <c r="JO500" s="98">
        <f t="shared" ref="JO500:KB500" si="3256">SUM(JO29,JO67,JO105,JO143,JO181,JO219,JO257,JO295,JO333,JO371,JO409,JO447)</f>
        <v>0</v>
      </c>
      <c r="JP500" s="98">
        <f t="shared" si="3256"/>
        <v>0</v>
      </c>
      <c r="JQ500" s="98">
        <f t="shared" si="3256"/>
        <v>0</v>
      </c>
      <c r="JR500" s="98">
        <f t="shared" si="3256"/>
        <v>0</v>
      </c>
      <c r="JS500" s="98">
        <f t="shared" si="3256"/>
        <v>0</v>
      </c>
      <c r="JT500" s="98">
        <f t="shared" si="3256"/>
        <v>0</v>
      </c>
      <c r="JU500" s="98">
        <f t="shared" si="3256"/>
        <v>0</v>
      </c>
      <c r="JV500" s="98">
        <f t="shared" si="3256"/>
        <v>0</v>
      </c>
      <c r="JW500" s="98">
        <f t="shared" si="3256"/>
        <v>0</v>
      </c>
      <c r="JX500" s="98">
        <f t="shared" si="3256"/>
        <v>0</v>
      </c>
      <c r="JY500" s="98">
        <f t="shared" si="3256"/>
        <v>0</v>
      </c>
      <c r="JZ500" s="98">
        <f t="shared" si="3256"/>
        <v>0</v>
      </c>
      <c r="KA500" s="98">
        <f t="shared" si="3256"/>
        <v>0</v>
      </c>
      <c r="KB500" s="98">
        <f t="shared" si="3256"/>
        <v>0</v>
      </c>
      <c r="KC500" s="198">
        <f t="shared" si="2651"/>
        <v>0</v>
      </c>
      <c r="KD500" s="198">
        <f t="shared" si="2652"/>
        <v>0</v>
      </c>
      <c r="KE500" s="98">
        <f t="shared" ref="KE500:KR500" si="3257">SUM(KE29,KE67,KE105,KE143,KE181,KE219,KE257,KE295,KE333,KE371,KE409,KE447)</f>
        <v>0</v>
      </c>
      <c r="KF500" s="98">
        <f t="shared" si="3257"/>
        <v>0</v>
      </c>
      <c r="KG500" s="98">
        <f t="shared" si="3257"/>
        <v>0</v>
      </c>
      <c r="KH500" s="98">
        <f t="shared" si="3257"/>
        <v>0</v>
      </c>
      <c r="KI500" s="98">
        <f t="shared" si="3257"/>
        <v>0</v>
      </c>
      <c r="KJ500" s="98">
        <f t="shared" si="3257"/>
        <v>0</v>
      </c>
      <c r="KK500" s="98">
        <f t="shared" si="3257"/>
        <v>0</v>
      </c>
      <c r="KL500" s="98">
        <f t="shared" si="3257"/>
        <v>0</v>
      </c>
      <c r="KM500" s="98">
        <f t="shared" si="3257"/>
        <v>0</v>
      </c>
      <c r="KN500" s="98">
        <f t="shared" si="3257"/>
        <v>0</v>
      </c>
      <c r="KO500" s="98">
        <f t="shared" si="3257"/>
        <v>0</v>
      </c>
      <c r="KP500" s="98">
        <f t="shared" si="3257"/>
        <v>0</v>
      </c>
      <c r="KQ500" s="98">
        <f t="shared" si="3257"/>
        <v>0</v>
      </c>
      <c r="KR500" s="98">
        <f t="shared" si="3257"/>
        <v>0</v>
      </c>
      <c r="KS500" s="198">
        <f t="shared" si="2654"/>
        <v>0</v>
      </c>
      <c r="KT500" s="198">
        <f t="shared" si="2655"/>
        <v>0</v>
      </c>
      <c r="KU500" s="98">
        <f t="shared" ref="KU500:LH500" si="3258">SUM(KU29,KU67,KU105,KU143,KU181,KU219,KU257,KU295,KU333,KU371,KU409,KU447)</f>
        <v>0</v>
      </c>
      <c r="KV500" s="98">
        <f t="shared" si="3258"/>
        <v>0</v>
      </c>
      <c r="KW500" s="98">
        <f t="shared" si="3258"/>
        <v>0</v>
      </c>
      <c r="KX500" s="98">
        <f t="shared" si="3258"/>
        <v>0</v>
      </c>
      <c r="KY500" s="98">
        <f t="shared" si="3258"/>
        <v>0</v>
      </c>
      <c r="KZ500" s="98">
        <f t="shared" si="3258"/>
        <v>0</v>
      </c>
      <c r="LA500" s="98">
        <f t="shared" si="3258"/>
        <v>0</v>
      </c>
      <c r="LB500" s="98">
        <f t="shared" si="3258"/>
        <v>0</v>
      </c>
      <c r="LC500" s="98">
        <f t="shared" si="3258"/>
        <v>0</v>
      </c>
      <c r="LD500" s="98">
        <f t="shared" si="3258"/>
        <v>0</v>
      </c>
      <c r="LE500" s="98">
        <f t="shared" si="3258"/>
        <v>0</v>
      </c>
      <c r="LF500" s="98">
        <f t="shared" si="3258"/>
        <v>0</v>
      </c>
      <c r="LG500" s="98">
        <f t="shared" si="3258"/>
        <v>0</v>
      </c>
      <c r="LH500" s="98">
        <f t="shared" si="3258"/>
        <v>0</v>
      </c>
      <c r="LI500" s="198">
        <f t="shared" si="2657"/>
        <v>0</v>
      </c>
      <c r="LJ500" s="198">
        <f t="shared" si="2658"/>
        <v>0</v>
      </c>
      <c r="LK500" s="98">
        <f t="shared" ref="LK500:LX500" si="3259">SUM(LK29,LK67,LK105,LK143,LK181,LK219,LK257,LK295,LK333,LK371,LK409,LK447)</f>
        <v>0</v>
      </c>
      <c r="LL500" s="98">
        <f t="shared" si="3259"/>
        <v>0</v>
      </c>
      <c r="LM500" s="98">
        <f t="shared" si="3259"/>
        <v>0</v>
      </c>
      <c r="LN500" s="98">
        <f t="shared" si="3259"/>
        <v>0</v>
      </c>
      <c r="LO500" s="98">
        <f t="shared" si="3259"/>
        <v>0</v>
      </c>
      <c r="LP500" s="98">
        <f t="shared" si="3259"/>
        <v>0</v>
      </c>
      <c r="LQ500" s="98">
        <f t="shared" si="3259"/>
        <v>0</v>
      </c>
      <c r="LR500" s="98">
        <f t="shared" si="3259"/>
        <v>0</v>
      </c>
      <c r="LS500" s="98">
        <f t="shared" si="3259"/>
        <v>0</v>
      </c>
      <c r="LT500" s="98">
        <f t="shared" si="3259"/>
        <v>0</v>
      </c>
      <c r="LU500" s="98">
        <f t="shared" si="3259"/>
        <v>0</v>
      </c>
      <c r="LV500" s="98">
        <f t="shared" si="3259"/>
        <v>0</v>
      </c>
      <c r="LW500" s="98">
        <f t="shared" si="3259"/>
        <v>0</v>
      </c>
      <c r="LX500" s="98">
        <f t="shared" si="3259"/>
        <v>0</v>
      </c>
      <c r="LY500" s="198">
        <f t="shared" si="2660"/>
        <v>0</v>
      </c>
      <c r="LZ500" s="198">
        <f t="shared" si="2661"/>
        <v>0</v>
      </c>
      <c r="MA500" s="98">
        <f t="shared" ref="MA500:MN500" si="3260">SUM(MA29,MA67,MA105,MA143,MA181,MA219,MA257,MA295,MA333,MA371,MA409,MA447)</f>
        <v>0</v>
      </c>
      <c r="MB500" s="98">
        <f t="shared" si="3260"/>
        <v>0</v>
      </c>
      <c r="MC500" s="98">
        <f t="shared" si="3260"/>
        <v>0</v>
      </c>
      <c r="MD500" s="98">
        <f t="shared" si="3260"/>
        <v>0</v>
      </c>
      <c r="ME500" s="98">
        <f t="shared" si="3260"/>
        <v>0</v>
      </c>
      <c r="MF500" s="98">
        <f t="shared" si="3260"/>
        <v>0</v>
      </c>
      <c r="MG500" s="98">
        <f t="shared" si="3260"/>
        <v>0</v>
      </c>
      <c r="MH500" s="98">
        <f t="shared" si="3260"/>
        <v>0</v>
      </c>
      <c r="MI500" s="98">
        <f t="shared" si="3260"/>
        <v>0</v>
      </c>
      <c r="MJ500" s="98">
        <f t="shared" si="3260"/>
        <v>0</v>
      </c>
      <c r="MK500" s="98">
        <f t="shared" si="3260"/>
        <v>0</v>
      </c>
      <c r="ML500" s="98">
        <f t="shared" si="3260"/>
        <v>0</v>
      </c>
      <c r="MM500" s="98">
        <f t="shared" si="3260"/>
        <v>0</v>
      </c>
      <c r="MN500" s="98">
        <f t="shared" si="3260"/>
        <v>0</v>
      </c>
      <c r="MO500" s="198">
        <f t="shared" si="2663"/>
        <v>0</v>
      </c>
      <c r="MP500" s="198">
        <f t="shared" si="2664"/>
        <v>0</v>
      </c>
      <c r="MQ500" s="98">
        <f t="shared" ref="MQ500:ND500" si="3261">SUM(MQ29,MQ67,MQ105,MQ143,MQ181,MQ219,MQ257,MQ295,MQ333,MQ371,MQ409,MQ447)</f>
        <v>0</v>
      </c>
      <c r="MR500" s="98">
        <f t="shared" si="3261"/>
        <v>0</v>
      </c>
      <c r="MS500" s="98">
        <f t="shared" si="3261"/>
        <v>0</v>
      </c>
      <c r="MT500" s="98">
        <f t="shared" si="3261"/>
        <v>0</v>
      </c>
      <c r="MU500" s="98">
        <f t="shared" si="3261"/>
        <v>0</v>
      </c>
      <c r="MV500" s="98">
        <f t="shared" si="3261"/>
        <v>0</v>
      </c>
      <c r="MW500" s="98">
        <f t="shared" si="3261"/>
        <v>0</v>
      </c>
      <c r="MX500" s="98">
        <f t="shared" si="3261"/>
        <v>0</v>
      </c>
      <c r="MY500" s="98">
        <f t="shared" si="3261"/>
        <v>0</v>
      </c>
      <c r="MZ500" s="98">
        <f t="shared" si="3261"/>
        <v>0</v>
      </c>
      <c r="NA500" s="98">
        <f t="shared" si="3261"/>
        <v>0</v>
      </c>
      <c r="NB500" s="98">
        <f t="shared" si="3261"/>
        <v>0</v>
      </c>
      <c r="NC500" s="98">
        <f t="shared" si="3261"/>
        <v>0</v>
      </c>
      <c r="ND500" s="98">
        <f t="shared" si="3261"/>
        <v>0</v>
      </c>
      <c r="NE500" s="198">
        <f t="shared" si="2666"/>
        <v>0</v>
      </c>
      <c r="NF500" s="198">
        <f t="shared" si="2667"/>
        <v>0</v>
      </c>
      <c r="NG500" s="98">
        <f t="shared" ref="NG500:NT500" si="3262">SUM(NG29,NG67,NG105,NG143,NG181,NG219,NG257,NG295,NG333,NG371,NG409,NG447)</f>
        <v>0</v>
      </c>
      <c r="NH500" s="98">
        <f t="shared" si="3262"/>
        <v>0</v>
      </c>
      <c r="NI500" s="98">
        <f t="shared" si="3262"/>
        <v>0</v>
      </c>
      <c r="NJ500" s="98">
        <f t="shared" si="3262"/>
        <v>0</v>
      </c>
      <c r="NK500" s="98">
        <f t="shared" si="3262"/>
        <v>0</v>
      </c>
      <c r="NL500" s="98">
        <f t="shared" si="3262"/>
        <v>0</v>
      </c>
      <c r="NM500" s="98">
        <f t="shared" si="3262"/>
        <v>0</v>
      </c>
      <c r="NN500" s="98">
        <f t="shared" si="3262"/>
        <v>0</v>
      </c>
      <c r="NO500" s="98">
        <f t="shared" si="3262"/>
        <v>0</v>
      </c>
      <c r="NP500" s="98">
        <f t="shared" si="3262"/>
        <v>0</v>
      </c>
      <c r="NQ500" s="98">
        <f t="shared" si="3262"/>
        <v>0</v>
      </c>
      <c r="NR500" s="98">
        <f t="shared" si="3262"/>
        <v>0</v>
      </c>
      <c r="NS500" s="98">
        <f t="shared" si="3262"/>
        <v>0</v>
      </c>
      <c r="NT500" s="98">
        <f t="shared" si="3262"/>
        <v>0</v>
      </c>
      <c r="NU500" s="198">
        <f t="shared" si="2669"/>
        <v>0</v>
      </c>
      <c r="NV500" s="198">
        <f t="shared" si="2670"/>
        <v>0</v>
      </c>
      <c r="NW500" s="98">
        <f t="shared" ref="NW500:OJ500" si="3263">SUM(NW29,NW67,NW105,NW143,NW181,NW219,NW257,NW295,NW333,NW371,NW409,NW447)</f>
        <v>0</v>
      </c>
      <c r="NX500" s="98">
        <f t="shared" si="3263"/>
        <v>0</v>
      </c>
      <c r="NY500" s="98">
        <f t="shared" si="3263"/>
        <v>0</v>
      </c>
      <c r="NZ500" s="98">
        <f t="shared" si="3263"/>
        <v>0</v>
      </c>
      <c r="OA500" s="98">
        <f t="shared" si="3263"/>
        <v>0</v>
      </c>
      <c r="OB500" s="98">
        <f t="shared" si="3263"/>
        <v>0</v>
      </c>
      <c r="OC500" s="98">
        <f t="shared" si="3263"/>
        <v>0</v>
      </c>
      <c r="OD500" s="98">
        <f t="shared" si="3263"/>
        <v>0</v>
      </c>
      <c r="OE500" s="98">
        <f t="shared" si="3263"/>
        <v>0</v>
      </c>
      <c r="OF500" s="98">
        <f t="shared" si="3263"/>
        <v>0</v>
      </c>
      <c r="OG500" s="98">
        <f t="shared" si="3263"/>
        <v>0</v>
      </c>
      <c r="OH500" s="98">
        <f t="shared" si="3263"/>
        <v>0</v>
      </c>
      <c r="OI500" s="98">
        <f t="shared" si="3263"/>
        <v>0</v>
      </c>
      <c r="OJ500" s="98">
        <f t="shared" si="3263"/>
        <v>0</v>
      </c>
      <c r="OK500" s="198">
        <f t="shared" si="2672"/>
        <v>0</v>
      </c>
      <c r="OL500" s="198">
        <f t="shared" si="2673"/>
        <v>0</v>
      </c>
      <c r="OM500" s="98">
        <f t="shared" ref="OM500:OZ500" si="3264">SUM(OM29,OM67,OM105,OM143,OM181,OM219,OM257,OM295,OM333,OM371,OM409,OM447)</f>
        <v>0</v>
      </c>
      <c r="ON500" s="98">
        <f t="shared" si="3264"/>
        <v>0</v>
      </c>
      <c r="OO500" s="98">
        <f t="shared" si="3264"/>
        <v>0</v>
      </c>
      <c r="OP500" s="98">
        <f t="shared" si="3264"/>
        <v>0</v>
      </c>
      <c r="OQ500" s="98">
        <f t="shared" si="3264"/>
        <v>0</v>
      </c>
      <c r="OR500" s="98">
        <f t="shared" si="3264"/>
        <v>0</v>
      </c>
      <c r="OS500" s="98">
        <f t="shared" si="3264"/>
        <v>0</v>
      </c>
      <c r="OT500" s="98">
        <f t="shared" si="3264"/>
        <v>0</v>
      </c>
      <c r="OU500" s="98">
        <f t="shared" si="3264"/>
        <v>0</v>
      </c>
      <c r="OV500" s="98">
        <f t="shared" si="3264"/>
        <v>0</v>
      </c>
      <c r="OW500" s="98">
        <f t="shared" si="3264"/>
        <v>0</v>
      </c>
      <c r="OX500" s="98">
        <f t="shared" si="3264"/>
        <v>0</v>
      </c>
      <c r="OY500" s="98">
        <f t="shared" si="3264"/>
        <v>0</v>
      </c>
      <c r="OZ500" s="98">
        <f t="shared" si="3264"/>
        <v>0</v>
      </c>
      <c r="PA500" s="198">
        <f t="shared" si="2675"/>
        <v>0</v>
      </c>
      <c r="PB500" s="198">
        <f t="shared" si="2676"/>
        <v>0</v>
      </c>
      <c r="PC500" s="98">
        <f t="shared" ref="PC500:PP500" si="3265">SUM(PC29,PC67,PC105,PC143,PC181,PC219,PC257,PC295,PC333,PC371,PC409,PC447)</f>
        <v>0</v>
      </c>
      <c r="PD500" s="98">
        <f t="shared" si="3265"/>
        <v>0</v>
      </c>
      <c r="PE500" s="98">
        <f t="shared" si="3265"/>
        <v>0</v>
      </c>
      <c r="PF500" s="98">
        <f t="shared" si="3265"/>
        <v>0</v>
      </c>
      <c r="PG500" s="98">
        <f t="shared" si="3265"/>
        <v>0</v>
      </c>
      <c r="PH500" s="98">
        <f t="shared" si="3265"/>
        <v>0</v>
      </c>
      <c r="PI500" s="98">
        <f t="shared" si="3265"/>
        <v>0</v>
      </c>
      <c r="PJ500" s="98">
        <f t="shared" si="3265"/>
        <v>0</v>
      </c>
      <c r="PK500" s="98">
        <f t="shared" si="3265"/>
        <v>0</v>
      </c>
      <c r="PL500" s="98">
        <f t="shared" si="3265"/>
        <v>0</v>
      </c>
      <c r="PM500" s="98">
        <f t="shared" si="3265"/>
        <v>0</v>
      </c>
      <c r="PN500" s="98">
        <f t="shared" si="3265"/>
        <v>0</v>
      </c>
      <c r="PO500" s="98">
        <f t="shared" si="3265"/>
        <v>0</v>
      </c>
      <c r="PP500" s="98">
        <f t="shared" si="3265"/>
        <v>0</v>
      </c>
      <c r="PQ500" s="198">
        <f t="shared" si="2678"/>
        <v>0</v>
      </c>
      <c r="PR500" s="198">
        <f t="shared" si="2679"/>
        <v>0</v>
      </c>
      <c r="PS500" s="98">
        <f t="shared" ref="PS500:QF500" si="3266">SUM(PS29,PS67,PS105,PS143,PS181,PS219,PS257,PS295,PS333,PS371,PS409,PS447)</f>
        <v>0</v>
      </c>
      <c r="PT500" s="98">
        <f t="shared" si="3266"/>
        <v>0</v>
      </c>
      <c r="PU500" s="98">
        <f t="shared" si="3266"/>
        <v>0</v>
      </c>
      <c r="PV500" s="98">
        <f t="shared" si="3266"/>
        <v>0</v>
      </c>
      <c r="PW500" s="98">
        <f t="shared" si="3266"/>
        <v>0</v>
      </c>
      <c r="PX500" s="98">
        <f t="shared" si="3266"/>
        <v>0</v>
      </c>
      <c r="PY500" s="98">
        <f t="shared" si="3266"/>
        <v>0</v>
      </c>
      <c r="PZ500" s="98">
        <f t="shared" si="3266"/>
        <v>0</v>
      </c>
      <c r="QA500" s="98">
        <f t="shared" si="3266"/>
        <v>0</v>
      </c>
      <c r="QB500" s="98">
        <f t="shared" si="3266"/>
        <v>0</v>
      </c>
      <c r="QC500" s="98">
        <f t="shared" si="3266"/>
        <v>0</v>
      </c>
      <c r="QD500" s="98">
        <f t="shared" si="3266"/>
        <v>0</v>
      </c>
      <c r="QE500" s="98">
        <f t="shared" si="3266"/>
        <v>0</v>
      </c>
      <c r="QF500" s="98">
        <f t="shared" si="3266"/>
        <v>0</v>
      </c>
      <c r="QG500" s="198">
        <f t="shared" si="2681"/>
        <v>0</v>
      </c>
      <c r="QH500" s="198">
        <f t="shared" si="2682"/>
        <v>0</v>
      </c>
      <c r="QI500" s="98">
        <f t="shared" ref="QI500:QV500" si="3267">SUM(QI29,QI67,QI105,QI143,QI181,QI219,QI257,QI295,QI333,QI371,QI409,QI447)</f>
        <v>0</v>
      </c>
      <c r="QJ500" s="98">
        <f t="shared" si="3267"/>
        <v>0</v>
      </c>
      <c r="QK500" s="98">
        <f t="shared" si="3267"/>
        <v>0</v>
      </c>
      <c r="QL500" s="98">
        <f t="shared" si="3267"/>
        <v>0</v>
      </c>
      <c r="QM500" s="98">
        <f t="shared" si="3267"/>
        <v>0</v>
      </c>
      <c r="QN500" s="98">
        <f t="shared" si="3267"/>
        <v>0</v>
      </c>
      <c r="QO500" s="98">
        <f t="shared" si="3267"/>
        <v>0</v>
      </c>
      <c r="QP500" s="98">
        <f t="shared" si="3267"/>
        <v>0</v>
      </c>
      <c r="QQ500" s="98">
        <f t="shared" si="3267"/>
        <v>0</v>
      </c>
      <c r="QR500" s="98">
        <f t="shared" si="3267"/>
        <v>0</v>
      </c>
      <c r="QS500" s="98">
        <f t="shared" si="3267"/>
        <v>0</v>
      </c>
      <c r="QT500" s="98">
        <f t="shared" si="3267"/>
        <v>0</v>
      </c>
      <c r="QU500" s="98">
        <f t="shared" si="3267"/>
        <v>0</v>
      </c>
      <c r="QV500" s="98">
        <f t="shared" si="3267"/>
        <v>0</v>
      </c>
      <c r="QW500" s="198">
        <f t="shared" si="2684"/>
        <v>0</v>
      </c>
      <c r="QX500" s="198">
        <f t="shared" si="2685"/>
        <v>0</v>
      </c>
      <c r="QY500" s="98">
        <f t="shared" ref="QY500:RL500" si="3268">SUM(QY29,QY67,QY105,QY143,QY181,QY219,QY257,QY295,QY333,QY371,QY409,QY447)</f>
        <v>0</v>
      </c>
      <c r="QZ500" s="98">
        <f t="shared" si="3268"/>
        <v>0</v>
      </c>
      <c r="RA500" s="98">
        <f t="shared" si="3268"/>
        <v>0</v>
      </c>
      <c r="RB500" s="98">
        <f t="shared" si="3268"/>
        <v>0</v>
      </c>
      <c r="RC500" s="98">
        <f t="shared" si="3268"/>
        <v>0</v>
      </c>
      <c r="RD500" s="98">
        <f t="shared" si="3268"/>
        <v>0</v>
      </c>
      <c r="RE500" s="98">
        <f t="shared" si="3268"/>
        <v>0</v>
      </c>
      <c r="RF500" s="98">
        <f t="shared" si="3268"/>
        <v>0</v>
      </c>
      <c r="RG500" s="98">
        <f t="shared" si="3268"/>
        <v>0</v>
      </c>
      <c r="RH500" s="98">
        <f t="shared" si="3268"/>
        <v>0</v>
      </c>
      <c r="RI500" s="98">
        <f t="shared" si="3268"/>
        <v>0</v>
      </c>
      <c r="RJ500" s="98">
        <f t="shared" si="3268"/>
        <v>0</v>
      </c>
      <c r="RK500" s="98">
        <f t="shared" si="3268"/>
        <v>0</v>
      </c>
      <c r="RL500" s="98">
        <f t="shared" si="3268"/>
        <v>0</v>
      </c>
      <c r="RM500" s="198">
        <f t="shared" si="2687"/>
        <v>0</v>
      </c>
      <c r="RN500" s="198">
        <f t="shared" si="2688"/>
        <v>0</v>
      </c>
      <c r="RO500" s="98">
        <f t="shared" ref="RO500:SB500" si="3269">SUM(RO29,RO67,RO105,RO143,RO181,RO219,RO257,RO295,RO333,RO371,RO409,RO447)</f>
        <v>0</v>
      </c>
      <c r="RP500" s="98">
        <f t="shared" si="3269"/>
        <v>0</v>
      </c>
      <c r="RQ500" s="98">
        <f t="shared" si="3269"/>
        <v>0</v>
      </c>
      <c r="RR500" s="98">
        <f t="shared" si="3269"/>
        <v>0</v>
      </c>
      <c r="RS500" s="98">
        <f t="shared" si="3269"/>
        <v>0</v>
      </c>
      <c r="RT500" s="98">
        <f t="shared" si="3269"/>
        <v>0</v>
      </c>
      <c r="RU500" s="98">
        <f t="shared" si="3269"/>
        <v>0</v>
      </c>
      <c r="RV500" s="98">
        <f t="shared" si="3269"/>
        <v>0</v>
      </c>
      <c r="RW500" s="98">
        <f t="shared" si="3269"/>
        <v>0</v>
      </c>
      <c r="RX500" s="98">
        <f t="shared" si="3269"/>
        <v>0</v>
      </c>
      <c r="RY500" s="98">
        <f t="shared" si="3269"/>
        <v>0</v>
      </c>
      <c r="RZ500" s="98">
        <f t="shared" si="3269"/>
        <v>0</v>
      </c>
      <c r="SA500" s="98">
        <f t="shared" si="3269"/>
        <v>0</v>
      </c>
      <c r="SB500" s="98">
        <f t="shared" si="3269"/>
        <v>0</v>
      </c>
      <c r="SC500" s="198">
        <f t="shared" si="2690"/>
        <v>0</v>
      </c>
      <c r="SD500" s="198">
        <f t="shared" si="2691"/>
        <v>0</v>
      </c>
      <c r="SE500" s="98">
        <f t="shared" ref="SE500:SR500" si="3270">SUM(SE29,SE67,SE105,SE143,SE181,SE219,SE257,SE295,SE333,SE371,SE409,SE447)</f>
        <v>0</v>
      </c>
      <c r="SF500" s="98">
        <f t="shared" si="3270"/>
        <v>0</v>
      </c>
      <c r="SG500" s="98">
        <f t="shared" si="3270"/>
        <v>0</v>
      </c>
      <c r="SH500" s="98">
        <f t="shared" si="3270"/>
        <v>0</v>
      </c>
      <c r="SI500" s="98">
        <f t="shared" si="3270"/>
        <v>0</v>
      </c>
      <c r="SJ500" s="98">
        <f t="shared" si="3270"/>
        <v>0</v>
      </c>
      <c r="SK500" s="98">
        <f t="shared" si="3270"/>
        <v>0</v>
      </c>
      <c r="SL500" s="98">
        <f t="shared" si="3270"/>
        <v>0</v>
      </c>
      <c r="SM500" s="98">
        <f t="shared" si="3270"/>
        <v>0</v>
      </c>
      <c r="SN500" s="98">
        <f t="shared" si="3270"/>
        <v>0</v>
      </c>
      <c r="SO500" s="98">
        <f t="shared" si="3270"/>
        <v>0</v>
      </c>
      <c r="SP500" s="98">
        <f t="shared" si="3270"/>
        <v>0</v>
      </c>
      <c r="SQ500" s="98">
        <f t="shared" si="3270"/>
        <v>0</v>
      </c>
      <c r="SR500" s="98">
        <f t="shared" si="3270"/>
        <v>0</v>
      </c>
      <c r="SS500" s="198">
        <f t="shared" si="2693"/>
        <v>0</v>
      </c>
      <c r="ST500" s="198">
        <f t="shared" si="2694"/>
        <v>0</v>
      </c>
      <c r="SU500" s="98">
        <f t="shared" ref="SU500:TH500" si="3271">SUM(SU29,SU67,SU105,SU143,SU181,SU219,SU257,SU295,SU333,SU371,SU409,SU447)</f>
        <v>0</v>
      </c>
      <c r="SV500" s="98">
        <f t="shared" si="3271"/>
        <v>0</v>
      </c>
      <c r="SW500" s="98">
        <f t="shared" si="3271"/>
        <v>0</v>
      </c>
      <c r="SX500" s="98">
        <f t="shared" si="3271"/>
        <v>0</v>
      </c>
      <c r="SY500" s="98">
        <f t="shared" si="3271"/>
        <v>0</v>
      </c>
      <c r="SZ500" s="98">
        <f t="shared" si="3271"/>
        <v>0</v>
      </c>
      <c r="TA500" s="98">
        <f t="shared" si="3271"/>
        <v>0</v>
      </c>
      <c r="TB500" s="98">
        <f t="shared" si="3271"/>
        <v>0</v>
      </c>
      <c r="TC500" s="98">
        <f t="shared" si="3271"/>
        <v>0</v>
      </c>
      <c r="TD500" s="98">
        <f t="shared" si="3271"/>
        <v>0</v>
      </c>
      <c r="TE500" s="98">
        <f t="shared" si="3271"/>
        <v>0</v>
      </c>
      <c r="TF500" s="98">
        <f t="shared" si="3271"/>
        <v>0</v>
      </c>
      <c r="TG500" s="98">
        <f t="shared" si="3271"/>
        <v>0</v>
      </c>
      <c r="TH500" s="98">
        <f t="shared" si="3271"/>
        <v>0</v>
      </c>
      <c r="TI500" s="198">
        <f t="shared" si="2696"/>
        <v>0</v>
      </c>
      <c r="TJ500" s="198">
        <f t="shared" si="2697"/>
        <v>0</v>
      </c>
      <c r="TK500" s="98">
        <f t="shared" ref="TK500:TX500" si="3272">SUM(TK29,TK67,TK105,TK143,TK181,TK219,TK257,TK295,TK333,TK371,TK409,TK447)</f>
        <v>0</v>
      </c>
      <c r="TL500" s="98">
        <f t="shared" si="3272"/>
        <v>0</v>
      </c>
      <c r="TM500" s="98">
        <f t="shared" si="3272"/>
        <v>0</v>
      </c>
      <c r="TN500" s="98">
        <f t="shared" si="3272"/>
        <v>0</v>
      </c>
      <c r="TO500" s="98">
        <f t="shared" si="3272"/>
        <v>0</v>
      </c>
      <c r="TP500" s="98">
        <f t="shared" si="3272"/>
        <v>0</v>
      </c>
      <c r="TQ500" s="98">
        <f t="shared" si="3272"/>
        <v>0</v>
      </c>
      <c r="TR500" s="98">
        <f t="shared" si="3272"/>
        <v>0</v>
      </c>
      <c r="TS500" s="98">
        <f t="shared" si="3272"/>
        <v>0</v>
      </c>
      <c r="TT500" s="98">
        <f t="shared" si="3272"/>
        <v>0</v>
      </c>
      <c r="TU500" s="98">
        <f t="shared" si="3272"/>
        <v>0</v>
      </c>
      <c r="TV500" s="98">
        <f t="shared" si="3272"/>
        <v>0</v>
      </c>
      <c r="TW500" s="98">
        <f t="shared" si="3272"/>
        <v>0</v>
      </c>
      <c r="TX500" s="98">
        <f t="shared" si="3272"/>
        <v>0</v>
      </c>
      <c r="TY500" s="198">
        <f t="shared" si="2699"/>
        <v>0</v>
      </c>
      <c r="TZ500" s="198">
        <f t="shared" si="2700"/>
        <v>0</v>
      </c>
      <c r="UA500" s="98">
        <f t="shared" ref="UA500:UN500" si="3273">SUM(UA29,UA67,UA105,UA143,UA181,UA219,UA257,UA295,UA333,UA371,UA409,UA447)</f>
        <v>0</v>
      </c>
      <c r="UB500" s="98">
        <f t="shared" si="3273"/>
        <v>0</v>
      </c>
      <c r="UC500" s="98">
        <f t="shared" si="3273"/>
        <v>0</v>
      </c>
      <c r="UD500" s="98">
        <f t="shared" si="3273"/>
        <v>0</v>
      </c>
      <c r="UE500" s="98">
        <f t="shared" si="3273"/>
        <v>0</v>
      </c>
      <c r="UF500" s="98">
        <f t="shared" si="3273"/>
        <v>0</v>
      </c>
      <c r="UG500" s="98">
        <f t="shared" si="3273"/>
        <v>0</v>
      </c>
      <c r="UH500" s="98">
        <f t="shared" si="3273"/>
        <v>0</v>
      </c>
      <c r="UI500" s="98">
        <f t="shared" si="3273"/>
        <v>0</v>
      </c>
      <c r="UJ500" s="98">
        <f t="shared" si="3273"/>
        <v>0</v>
      </c>
      <c r="UK500" s="98">
        <f t="shared" si="3273"/>
        <v>0</v>
      </c>
      <c r="UL500" s="98">
        <f t="shared" si="3273"/>
        <v>0</v>
      </c>
      <c r="UM500" s="98">
        <f t="shared" si="3273"/>
        <v>0</v>
      </c>
      <c r="UN500" s="98">
        <f t="shared" si="3273"/>
        <v>0</v>
      </c>
      <c r="UO500" s="198">
        <f t="shared" si="2702"/>
        <v>0</v>
      </c>
      <c r="UP500" s="198">
        <f t="shared" si="2703"/>
        <v>0</v>
      </c>
      <c r="UQ500" s="98">
        <f t="shared" ref="UQ500:VD500" si="3274">SUM(UQ29,UQ67,UQ105,UQ143,UQ181,UQ219,UQ257,UQ295,UQ333,UQ371,UQ409,UQ447)</f>
        <v>0</v>
      </c>
      <c r="UR500" s="98">
        <f t="shared" si="3274"/>
        <v>0</v>
      </c>
      <c r="US500" s="98">
        <f t="shared" si="3274"/>
        <v>0</v>
      </c>
      <c r="UT500" s="98">
        <f t="shared" si="3274"/>
        <v>0</v>
      </c>
      <c r="UU500" s="98">
        <f t="shared" si="3274"/>
        <v>0</v>
      </c>
      <c r="UV500" s="98">
        <f t="shared" si="3274"/>
        <v>0</v>
      </c>
      <c r="UW500" s="98">
        <f t="shared" si="3274"/>
        <v>0</v>
      </c>
      <c r="UX500" s="98">
        <f t="shared" si="3274"/>
        <v>0</v>
      </c>
      <c r="UY500" s="98">
        <f t="shared" si="3274"/>
        <v>0</v>
      </c>
      <c r="UZ500" s="98">
        <f t="shared" si="3274"/>
        <v>0</v>
      </c>
      <c r="VA500" s="98">
        <f t="shared" si="3274"/>
        <v>0</v>
      </c>
      <c r="VB500" s="98">
        <f t="shared" si="3274"/>
        <v>0</v>
      </c>
      <c r="VC500" s="98">
        <f t="shared" si="3274"/>
        <v>0</v>
      </c>
      <c r="VD500" s="98">
        <f t="shared" si="3274"/>
        <v>0</v>
      </c>
      <c r="VE500" s="198">
        <f t="shared" si="2705"/>
        <v>0</v>
      </c>
      <c r="VF500" s="198">
        <f t="shared" si="2706"/>
        <v>0</v>
      </c>
      <c r="VG500" s="98">
        <f t="shared" ref="VG500:VT500" si="3275">SUM(VG29,VG67,VG105,VG143,VG181,VG219,VG257,VG295,VG333,VG371,VG409,VG447)</f>
        <v>0</v>
      </c>
      <c r="VH500" s="98">
        <f t="shared" si="3275"/>
        <v>0</v>
      </c>
      <c r="VI500" s="98">
        <f t="shared" si="3275"/>
        <v>0</v>
      </c>
      <c r="VJ500" s="98">
        <f t="shared" si="3275"/>
        <v>0</v>
      </c>
      <c r="VK500" s="98">
        <f t="shared" si="3275"/>
        <v>0</v>
      </c>
      <c r="VL500" s="98">
        <f t="shared" si="3275"/>
        <v>0</v>
      </c>
      <c r="VM500" s="98">
        <f t="shared" si="3275"/>
        <v>0</v>
      </c>
      <c r="VN500" s="98">
        <f t="shared" si="3275"/>
        <v>0</v>
      </c>
      <c r="VO500" s="98">
        <f t="shared" si="3275"/>
        <v>0</v>
      </c>
      <c r="VP500" s="98">
        <f t="shared" si="3275"/>
        <v>0</v>
      </c>
      <c r="VQ500" s="98">
        <f t="shared" si="3275"/>
        <v>0</v>
      </c>
      <c r="VR500" s="98">
        <f t="shared" si="3275"/>
        <v>0</v>
      </c>
      <c r="VS500" s="98">
        <f t="shared" si="3275"/>
        <v>0</v>
      </c>
      <c r="VT500" s="98">
        <f t="shared" si="3275"/>
        <v>0</v>
      </c>
      <c r="VU500" s="198">
        <f t="shared" si="2708"/>
        <v>0</v>
      </c>
      <c r="VV500" s="198">
        <f t="shared" si="2709"/>
        <v>0</v>
      </c>
      <c r="VW500" s="98">
        <f t="shared" ref="VW500:WJ500" si="3276">SUM(VW29,VW67,VW105,VW143,VW181,VW219,VW257,VW295,VW333,VW371,VW409,VW447)</f>
        <v>0</v>
      </c>
      <c r="VX500" s="98">
        <f t="shared" si="3276"/>
        <v>0</v>
      </c>
      <c r="VY500" s="98">
        <f t="shared" si="3276"/>
        <v>0</v>
      </c>
      <c r="VZ500" s="98">
        <f t="shared" si="3276"/>
        <v>0</v>
      </c>
      <c r="WA500" s="98">
        <f t="shared" si="3276"/>
        <v>0</v>
      </c>
      <c r="WB500" s="98">
        <f t="shared" si="3276"/>
        <v>0</v>
      </c>
      <c r="WC500" s="98">
        <f t="shared" si="3276"/>
        <v>0</v>
      </c>
      <c r="WD500" s="98">
        <f t="shared" si="3276"/>
        <v>0</v>
      </c>
      <c r="WE500" s="98">
        <f t="shared" si="3276"/>
        <v>0</v>
      </c>
      <c r="WF500" s="98">
        <f t="shared" si="3276"/>
        <v>0</v>
      </c>
      <c r="WG500" s="98">
        <f t="shared" si="3276"/>
        <v>0</v>
      </c>
      <c r="WH500" s="98">
        <f t="shared" si="3276"/>
        <v>0</v>
      </c>
      <c r="WI500" s="98">
        <f t="shared" si="3276"/>
        <v>0</v>
      </c>
      <c r="WJ500" s="98">
        <f t="shared" si="3276"/>
        <v>0</v>
      </c>
      <c r="WK500" s="198">
        <f t="shared" si="2711"/>
        <v>0</v>
      </c>
      <c r="WL500" s="198">
        <f t="shared" si="2712"/>
        <v>0</v>
      </c>
      <c r="WN500" s="98">
        <f t="shared" si="2713"/>
        <v>0</v>
      </c>
      <c r="WO500" s="98">
        <f t="shared" si="2714"/>
        <v>0</v>
      </c>
      <c r="WP500" s="98">
        <f t="shared" si="2715"/>
        <v>0</v>
      </c>
      <c r="WQ500" s="98">
        <f t="shared" si="2716"/>
        <v>0</v>
      </c>
      <c r="WR500" s="98">
        <f t="shared" si="2717"/>
        <v>0</v>
      </c>
      <c r="WS500" s="98">
        <f t="shared" si="2718"/>
        <v>0</v>
      </c>
      <c r="WT500" s="98">
        <f t="shared" si="3199"/>
        <v>2650</v>
      </c>
      <c r="WU500" s="98">
        <f t="shared" si="3200"/>
        <v>284500</v>
      </c>
      <c r="WV500" s="98">
        <f t="shared" si="2721"/>
        <v>0</v>
      </c>
      <c r="WW500" s="98">
        <f t="shared" si="2722"/>
        <v>0</v>
      </c>
      <c r="WX500" s="98">
        <f t="shared" si="2723"/>
        <v>0</v>
      </c>
      <c r="WY500" s="98">
        <f t="shared" si="2724"/>
        <v>0</v>
      </c>
      <c r="WZ500" s="98">
        <f t="shared" si="2725"/>
        <v>0</v>
      </c>
      <c r="XA500" s="98">
        <f t="shared" si="2726"/>
        <v>0</v>
      </c>
      <c r="XB500" s="107">
        <f t="shared" si="2727"/>
        <v>2650</v>
      </c>
      <c r="XC500" s="107">
        <f t="shared" si="2728"/>
        <v>284500</v>
      </c>
      <c r="XK500" s="98">
        <f t="shared" si="2729"/>
        <v>287150</v>
      </c>
      <c r="XL500" s="98">
        <f t="shared" si="2730"/>
        <v>0</v>
      </c>
      <c r="XM500" s="98">
        <f t="shared" si="2731"/>
        <v>0</v>
      </c>
      <c r="XN500" s="98">
        <f t="shared" si="2732"/>
        <v>0</v>
      </c>
      <c r="XO500" s="98">
        <f t="shared" si="2733"/>
        <v>287150</v>
      </c>
      <c r="XP500" s="98">
        <f t="shared" si="2734"/>
        <v>0</v>
      </c>
      <c r="XQ500" s="98">
        <f t="shared" si="2735"/>
        <v>0</v>
      </c>
      <c r="XR500" s="107">
        <f t="shared" ca="1" si="2597"/>
        <v>576950</v>
      </c>
      <c r="XT500" s="98">
        <f t="shared" si="2736"/>
        <v>284500</v>
      </c>
      <c r="XU500" s="98">
        <f t="shared" si="2737"/>
        <v>0</v>
      </c>
      <c r="XV500" s="98">
        <f t="shared" si="2738"/>
        <v>0</v>
      </c>
      <c r="XW500" s="98">
        <f t="shared" si="2739"/>
        <v>2650</v>
      </c>
      <c r="XX500" s="98">
        <f t="shared" si="2740"/>
        <v>571650</v>
      </c>
      <c r="XY500" s="98">
        <f t="shared" si="2741"/>
        <v>0</v>
      </c>
      <c r="XZ500" s="98">
        <f t="shared" si="2742"/>
        <v>287150</v>
      </c>
      <c r="YA500" s="107">
        <f t="shared" ca="1" si="2598"/>
        <v>1143300</v>
      </c>
    </row>
    <row r="501" spans="2:651">
      <c r="B501" s="90" t="str">
        <f t="shared" si="2558"/>
        <v xml:space="preserve">Mas, Ikan Mas, Karper </v>
      </c>
      <c r="C501" s="98">
        <f t="shared" ref="C501:P501" si="3277">SUM(C30,C68,C106,C144,C182,C220,C258,C296,C334,C372,C410,C448)</f>
        <v>0</v>
      </c>
      <c r="D501" s="98">
        <f t="shared" si="3277"/>
        <v>0</v>
      </c>
      <c r="E501" s="98">
        <f t="shared" si="3277"/>
        <v>0</v>
      </c>
      <c r="F501" s="98">
        <f t="shared" si="3277"/>
        <v>0</v>
      </c>
      <c r="G501" s="98">
        <f t="shared" si="3277"/>
        <v>0</v>
      </c>
      <c r="H501" s="98">
        <f t="shared" si="3277"/>
        <v>0</v>
      </c>
      <c r="I501" s="98">
        <f t="shared" si="3277"/>
        <v>0</v>
      </c>
      <c r="J501" s="98">
        <f t="shared" si="3277"/>
        <v>0</v>
      </c>
      <c r="K501" s="98">
        <f t="shared" si="3277"/>
        <v>0</v>
      </c>
      <c r="L501" s="98">
        <f t="shared" si="3277"/>
        <v>0</v>
      </c>
      <c r="M501" s="98">
        <f t="shared" si="3277"/>
        <v>0</v>
      </c>
      <c r="N501" s="98">
        <f t="shared" si="3277"/>
        <v>0</v>
      </c>
      <c r="O501" s="98">
        <f t="shared" si="3277"/>
        <v>0</v>
      </c>
      <c r="P501" s="98">
        <f t="shared" si="3277"/>
        <v>0</v>
      </c>
      <c r="Q501" s="198">
        <f t="shared" si="2600"/>
        <v>0</v>
      </c>
      <c r="R501" s="198">
        <f t="shared" si="2601"/>
        <v>0</v>
      </c>
      <c r="S501" s="98">
        <f t="shared" ref="S501:AF501" si="3278">SUM(S30,S68,S106,S144,S182,S220,S258,S296,S334,S372,S410,S448)</f>
        <v>0</v>
      </c>
      <c r="T501" s="98">
        <f t="shared" si="3278"/>
        <v>0</v>
      </c>
      <c r="U501" s="98">
        <f t="shared" si="3278"/>
        <v>0</v>
      </c>
      <c r="V501" s="98">
        <f t="shared" si="3278"/>
        <v>0</v>
      </c>
      <c r="W501" s="98">
        <f t="shared" si="3278"/>
        <v>0</v>
      </c>
      <c r="X501" s="98">
        <f t="shared" si="3278"/>
        <v>0</v>
      </c>
      <c r="Y501" s="98">
        <f t="shared" si="3278"/>
        <v>100775</v>
      </c>
      <c r="Z501" s="98">
        <f t="shared" si="3278"/>
        <v>3527125</v>
      </c>
      <c r="AA501" s="98">
        <f t="shared" si="3278"/>
        <v>33545</v>
      </c>
      <c r="AB501" s="98">
        <f t="shared" si="3278"/>
        <v>1174075</v>
      </c>
      <c r="AC501" s="98">
        <f t="shared" si="3278"/>
        <v>24085</v>
      </c>
      <c r="AD501" s="98">
        <f t="shared" si="3278"/>
        <v>842975</v>
      </c>
      <c r="AE501" s="98">
        <f t="shared" si="3278"/>
        <v>4475</v>
      </c>
      <c r="AF501" s="98">
        <f t="shared" si="3278"/>
        <v>156625</v>
      </c>
      <c r="AG501" s="198">
        <f t="shared" si="2603"/>
        <v>162880</v>
      </c>
      <c r="AH501" s="198">
        <f t="shared" si="2604"/>
        <v>5700800</v>
      </c>
      <c r="AI501" s="98">
        <f t="shared" ref="AI501:AV501" si="3279">SUM(AI30,AI68,AI106,AI144,AI182,AI220,AI258,AI296,AI334,AI372,AI410,AI448)</f>
        <v>0</v>
      </c>
      <c r="AJ501" s="98">
        <f t="shared" si="3279"/>
        <v>0</v>
      </c>
      <c r="AK501" s="98">
        <f t="shared" si="3279"/>
        <v>0</v>
      </c>
      <c r="AL501" s="98">
        <f t="shared" si="3279"/>
        <v>0</v>
      </c>
      <c r="AM501" s="98">
        <f t="shared" si="3279"/>
        <v>0</v>
      </c>
      <c r="AN501" s="98">
        <f t="shared" si="3279"/>
        <v>0</v>
      </c>
      <c r="AO501" s="98">
        <f t="shared" si="3279"/>
        <v>0</v>
      </c>
      <c r="AP501" s="98">
        <f t="shared" si="3279"/>
        <v>0</v>
      </c>
      <c r="AQ501" s="98">
        <f t="shared" si="3279"/>
        <v>0</v>
      </c>
      <c r="AR501" s="98">
        <f t="shared" si="3279"/>
        <v>0</v>
      </c>
      <c r="AS501" s="98">
        <f t="shared" si="3279"/>
        <v>0</v>
      </c>
      <c r="AT501" s="98">
        <f t="shared" si="3279"/>
        <v>0</v>
      </c>
      <c r="AU501" s="98">
        <f t="shared" si="3279"/>
        <v>0</v>
      </c>
      <c r="AV501" s="98">
        <f t="shared" si="3279"/>
        <v>0</v>
      </c>
      <c r="AW501" s="198">
        <f t="shared" si="2606"/>
        <v>0</v>
      </c>
      <c r="AX501" s="198">
        <f t="shared" si="2607"/>
        <v>0</v>
      </c>
      <c r="AY501" s="98">
        <f t="shared" ref="AY501:BL501" si="3280">SUM(AY30,AY68,AY106,AY144,AY182,AY220,AY258,AY296,AY334,AY372,AY410,AY448)</f>
        <v>0</v>
      </c>
      <c r="AZ501" s="98">
        <f t="shared" si="3280"/>
        <v>0</v>
      </c>
      <c r="BA501" s="98">
        <f t="shared" si="3280"/>
        <v>0</v>
      </c>
      <c r="BB501" s="98">
        <f t="shared" si="3280"/>
        <v>0</v>
      </c>
      <c r="BC501" s="98">
        <f t="shared" si="3280"/>
        <v>0</v>
      </c>
      <c r="BD501" s="98">
        <f t="shared" si="3280"/>
        <v>0</v>
      </c>
      <c r="BE501" s="98">
        <f t="shared" si="3280"/>
        <v>16867</v>
      </c>
      <c r="BF501" s="98">
        <f t="shared" si="3280"/>
        <v>253005</v>
      </c>
      <c r="BG501" s="98">
        <f t="shared" si="3280"/>
        <v>2328</v>
      </c>
      <c r="BH501" s="98">
        <f t="shared" si="3280"/>
        <v>34920</v>
      </c>
      <c r="BI501" s="98">
        <f t="shared" si="3280"/>
        <v>0</v>
      </c>
      <c r="BJ501" s="98">
        <f t="shared" si="3280"/>
        <v>0</v>
      </c>
      <c r="BK501" s="98">
        <f t="shared" si="3280"/>
        <v>0</v>
      </c>
      <c r="BL501" s="98">
        <f t="shared" si="3280"/>
        <v>0</v>
      </c>
      <c r="BM501" s="198">
        <f t="shared" si="2609"/>
        <v>19195</v>
      </c>
      <c r="BN501" s="198">
        <f t="shared" si="2610"/>
        <v>287925</v>
      </c>
      <c r="BO501" s="98">
        <f t="shared" ref="BO501:CB501" si="3281">SUM(BO30,BO68,BO106,BO144,BO182,BO220,BO258,BO296,BO334,BO372,BO410,BO448)</f>
        <v>0</v>
      </c>
      <c r="BP501" s="98">
        <f t="shared" si="3281"/>
        <v>0</v>
      </c>
      <c r="BQ501" s="98">
        <f t="shared" si="3281"/>
        <v>0</v>
      </c>
      <c r="BR501" s="98">
        <f t="shared" si="3281"/>
        <v>0</v>
      </c>
      <c r="BS501" s="98">
        <f t="shared" si="3281"/>
        <v>0</v>
      </c>
      <c r="BT501" s="98">
        <f t="shared" si="3281"/>
        <v>0</v>
      </c>
      <c r="BU501" s="98">
        <f t="shared" si="3281"/>
        <v>2450</v>
      </c>
      <c r="BV501" s="98">
        <f t="shared" si="3281"/>
        <v>66150</v>
      </c>
      <c r="BW501" s="98">
        <f t="shared" si="3281"/>
        <v>0</v>
      </c>
      <c r="BX501" s="98">
        <f t="shared" si="3281"/>
        <v>0</v>
      </c>
      <c r="BY501" s="98">
        <f t="shared" si="3281"/>
        <v>0</v>
      </c>
      <c r="BZ501" s="98">
        <f t="shared" si="3281"/>
        <v>0</v>
      </c>
      <c r="CA501" s="98">
        <f t="shared" si="3281"/>
        <v>0</v>
      </c>
      <c r="CB501" s="98">
        <f t="shared" si="3281"/>
        <v>0</v>
      </c>
      <c r="CC501" s="198">
        <f t="shared" si="2612"/>
        <v>2450</v>
      </c>
      <c r="CD501" s="198">
        <f t="shared" si="2613"/>
        <v>66150</v>
      </c>
      <c r="CE501" s="98">
        <f t="shared" ref="CE501:CR501" si="3282">SUM(CE30,CE68,CE106,CE144,CE182,CE220,CE258,CE296,CE334,CE372,CE410,CE448)</f>
        <v>0</v>
      </c>
      <c r="CF501" s="98">
        <f t="shared" si="3282"/>
        <v>0</v>
      </c>
      <c r="CG501" s="98">
        <f t="shared" si="3282"/>
        <v>0</v>
      </c>
      <c r="CH501" s="98">
        <f t="shared" si="3282"/>
        <v>0</v>
      </c>
      <c r="CI501" s="98">
        <f t="shared" si="3282"/>
        <v>0</v>
      </c>
      <c r="CJ501" s="98">
        <f t="shared" si="3282"/>
        <v>0</v>
      </c>
      <c r="CK501" s="98">
        <f t="shared" si="3282"/>
        <v>2290636.6226174068</v>
      </c>
      <c r="CL501" s="98">
        <f t="shared" si="3282"/>
        <v>28400920.210789979</v>
      </c>
      <c r="CM501" s="98">
        <f t="shared" si="3282"/>
        <v>0</v>
      </c>
      <c r="CN501" s="98">
        <f t="shared" si="3282"/>
        <v>0</v>
      </c>
      <c r="CO501" s="98">
        <f t="shared" si="3282"/>
        <v>0</v>
      </c>
      <c r="CP501" s="98">
        <f t="shared" si="3282"/>
        <v>0</v>
      </c>
      <c r="CQ501" s="98">
        <f t="shared" si="3282"/>
        <v>0</v>
      </c>
      <c r="CR501" s="98">
        <f t="shared" si="3282"/>
        <v>0</v>
      </c>
      <c r="CS501" s="198">
        <f t="shared" si="2615"/>
        <v>2290636.6226174068</v>
      </c>
      <c r="CT501" s="198">
        <f t="shared" si="2616"/>
        <v>28400920.210789979</v>
      </c>
      <c r="CU501" s="98">
        <f t="shared" ref="CU501:DH501" si="3283">SUM(CU30,CU68,CU106,CU144,CU182,CU220,CU258,CU296,CU334,CU372,CU410,CU448)</f>
        <v>0</v>
      </c>
      <c r="CV501" s="98">
        <f t="shared" si="3283"/>
        <v>0</v>
      </c>
      <c r="CW501" s="98">
        <f t="shared" si="3283"/>
        <v>0</v>
      </c>
      <c r="CX501" s="98">
        <f t="shared" si="3283"/>
        <v>0</v>
      </c>
      <c r="CY501" s="98">
        <f t="shared" si="3283"/>
        <v>0</v>
      </c>
      <c r="CZ501" s="98">
        <f t="shared" si="3283"/>
        <v>0</v>
      </c>
      <c r="DA501" s="98">
        <f t="shared" si="3283"/>
        <v>51272.000012222001</v>
      </c>
      <c r="DB501" s="98">
        <f t="shared" si="3283"/>
        <v>1161169.0009999999</v>
      </c>
      <c r="DC501" s="98">
        <f t="shared" si="3283"/>
        <v>6217</v>
      </c>
      <c r="DD501" s="98">
        <f t="shared" si="3283"/>
        <v>138854</v>
      </c>
      <c r="DE501" s="98">
        <f t="shared" si="3283"/>
        <v>0</v>
      </c>
      <c r="DF501" s="98">
        <f t="shared" si="3283"/>
        <v>0</v>
      </c>
      <c r="DG501" s="98">
        <f t="shared" si="3283"/>
        <v>0</v>
      </c>
      <c r="DH501" s="98">
        <f t="shared" si="3283"/>
        <v>0</v>
      </c>
      <c r="DI501" s="198">
        <f t="shared" si="2618"/>
        <v>57489.000012222001</v>
      </c>
      <c r="DJ501" s="198">
        <f t="shared" si="2619"/>
        <v>1300023.0009999999</v>
      </c>
      <c r="DK501" s="98">
        <f t="shared" ref="DK501:DX501" si="3284">SUM(DK30,DK68,DK106,DK144,DK182,DK220,DK258,DK296,DK334,DK372,DK410,DK448)</f>
        <v>0</v>
      </c>
      <c r="DL501" s="98">
        <f t="shared" si="3284"/>
        <v>0</v>
      </c>
      <c r="DM501" s="98">
        <f t="shared" si="3284"/>
        <v>0</v>
      </c>
      <c r="DN501" s="98">
        <f t="shared" si="3284"/>
        <v>0</v>
      </c>
      <c r="DO501" s="98">
        <f t="shared" si="3284"/>
        <v>0</v>
      </c>
      <c r="DP501" s="98">
        <f t="shared" si="3284"/>
        <v>0</v>
      </c>
      <c r="DQ501" s="98">
        <f t="shared" si="3284"/>
        <v>227700</v>
      </c>
      <c r="DR501" s="98">
        <f t="shared" si="3284"/>
        <v>4799200</v>
      </c>
      <c r="DS501" s="98">
        <f t="shared" si="3284"/>
        <v>0</v>
      </c>
      <c r="DT501" s="98">
        <f t="shared" si="3284"/>
        <v>0</v>
      </c>
      <c r="DU501" s="98">
        <f t="shared" si="3284"/>
        <v>0</v>
      </c>
      <c r="DV501" s="98">
        <f t="shared" si="3284"/>
        <v>0</v>
      </c>
      <c r="DW501" s="98">
        <f t="shared" si="3284"/>
        <v>0</v>
      </c>
      <c r="DX501" s="98">
        <f t="shared" si="3284"/>
        <v>0</v>
      </c>
      <c r="DY501" s="198">
        <f t="shared" si="2621"/>
        <v>227700</v>
      </c>
      <c r="DZ501" s="198">
        <f t="shared" si="2622"/>
        <v>4799200</v>
      </c>
      <c r="EA501" s="98">
        <f t="shared" ref="EA501:EN501" si="3285">SUM(EA30,EA68,EA106,EA144,EA182,EA220,EA258,EA296,EA334,EA372,EA410,EA448)</f>
        <v>0</v>
      </c>
      <c r="EB501" s="98">
        <f t="shared" si="3285"/>
        <v>0</v>
      </c>
      <c r="EC501" s="98">
        <f t="shared" si="3285"/>
        <v>0</v>
      </c>
      <c r="ED501" s="98">
        <f t="shared" si="3285"/>
        <v>0</v>
      </c>
      <c r="EE501" s="98">
        <f t="shared" si="3285"/>
        <v>0</v>
      </c>
      <c r="EF501" s="98">
        <f t="shared" si="3285"/>
        <v>0</v>
      </c>
      <c r="EG501" s="98">
        <f t="shared" si="3285"/>
        <v>5635</v>
      </c>
      <c r="EH501" s="98">
        <f t="shared" si="3285"/>
        <v>84525</v>
      </c>
      <c r="EI501" s="98">
        <f t="shared" si="3285"/>
        <v>0</v>
      </c>
      <c r="EJ501" s="98">
        <f t="shared" si="3285"/>
        <v>0</v>
      </c>
      <c r="EK501" s="98">
        <f t="shared" si="3285"/>
        <v>0</v>
      </c>
      <c r="EL501" s="98">
        <f t="shared" si="3285"/>
        <v>0</v>
      </c>
      <c r="EM501" s="98">
        <f t="shared" si="3285"/>
        <v>0</v>
      </c>
      <c r="EN501" s="98">
        <f t="shared" si="3285"/>
        <v>0</v>
      </c>
      <c r="EO501" s="198">
        <f t="shared" si="2624"/>
        <v>5635</v>
      </c>
      <c r="EP501" s="198">
        <f t="shared" si="2625"/>
        <v>84525</v>
      </c>
      <c r="EQ501" s="98">
        <f t="shared" ref="EQ501:FD501" si="3286">SUM(EQ30,EQ68,EQ106,EQ144,EQ182,EQ220,EQ258,EQ296,EQ334,EQ372,EQ410,EQ448)</f>
        <v>0</v>
      </c>
      <c r="ER501" s="98">
        <f t="shared" si="3286"/>
        <v>0</v>
      </c>
      <c r="ES501" s="98">
        <f t="shared" si="3286"/>
        <v>0</v>
      </c>
      <c r="ET501" s="98">
        <f t="shared" si="3286"/>
        <v>0</v>
      </c>
      <c r="EU501" s="98">
        <f t="shared" si="3286"/>
        <v>0</v>
      </c>
      <c r="EV501" s="98">
        <f t="shared" si="3286"/>
        <v>0</v>
      </c>
      <c r="EW501" s="98">
        <f t="shared" si="3286"/>
        <v>1636075</v>
      </c>
      <c r="EX501" s="98">
        <f t="shared" si="3286"/>
        <v>23484574</v>
      </c>
      <c r="EY501" s="98">
        <f t="shared" si="3286"/>
        <v>0</v>
      </c>
      <c r="EZ501" s="98">
        <f t="shared" si="3286"/>
        <v>0</v>
      </c>
      <c r="FA501" s="98">
        <f t="shared" si="3286"/>
        <v>0</v>
      </c>
      <c r="FB501" s="98">
        <f t="shared" si="3286"/>
        <v>0</v>
      </c>
      <c r="FC501" s="98">
        <f t="shared" si="3286"/>
        <v>0</v>
      </c>
      <c r="FD501" s="98">
        <f t="shared" si="3286"/>
        <v>0</v>
      </c>
      <c r="FE501" s="198">
        <f t="shared" si="2627"/>
        <v>1636075</v>
      </c>
      <c r="FF501" s="198">
        <f t="shared" si="2628"/>
        <v>23484574</v>
      </c>
      <c r="FG501" s="98">
        <f t="shared" ref="FG501:FT501" si="3287">SUM(FG30,FG68,FG106,FG144,FG182,FG220,FG258,FG296,FG334,FG372,FG410,FG448)</f>
        <v>0</v>
      </c>
      <c r="FH501" s="98">
        <f t="shared" si="3287"/>
        <v>0</v>
      </c>
      <c r="FI501" s="98">
        <f t="shared" si="3287"/>
        <v>0</v>
      </c>
      <c r="FJ501" s="98">
        <f t="shared" si="3287"/>
        <v>0</v>
      </c>
      <c r="FK501" s="98">
        <f t="shared" si="3287"/>
        <v>0</v>
      </c>
      <c r="FL501" s="98">
        <f t="shared" si="3287"/>
        <v>0</v>
      </c>
      <c r="FM501" s="98">
        <f t="shared" si="3287"/>
        <v>3665</v>
      </c>
      <c r="FN501" s="98">
        <f t="shared" si="3287"/>
        <v>109950</v>
      </c>
      <c r="FO501" s="98">
        <f t="shared" si="3287"/>
        <v>0</v>
      </c>
      <c r="FP501" s="98">
        <f t="shared" si="3287"/>
        <v>0</v>
      </c>
      <c r="FQ501" s="98">
        <f t="shared" si="3287"/>
        <v>0</v>
      </c>
      <c r="FR501" s="98">
        <f t="shared" si="3287"/>
        <v>0</v>
      </c>
      <c r="FS501" s="98">
        <f t="shared" si="3287"/>
        <v>0</v>
      </c>
      <c r="FT501" s="98">
        <f t="shared" si="3287"/>
        <v>0</v>
      </c>
      <c r="FU501" s="198">
        <f t="shared" si="2630"/>
        <v>3665</v>
      </c>
      <c r="FV501" s="198">
        <f t="shared" si="2631"/>
        <v>109950</v>
      </c>
      <c r="FW501" s="98">
        <f t="shared" ref="FW501:GJ501" si="3288">SUM(FW30,FW68,FW106,FW144,FW182,FW220,FW258,FW296,FW334,FW372,FW410,FW448)</f>
        <v>0</v>
      </c>
      <c r="FX501" s="98">
        <f t="shared" si="3288"/>
        <v>0</v>
      </c>
      <c r="FY501" s="98">
        <f t="shared" si="3288"/>
        <v>0</v>
      </c>
      <c r="FZ501" s="98">
        <f t="shared" si="3288"/>
        <v>0</v>
      </c>
      <c r="GA501" s="98">
        <f t="shared" si="3288"/>
        <v>0</v>
      </c>
      <c r="GB501" s="98">
        <f t="shared" si="3288"/>
        <v>0</v>
      </c>
      <c r="GC501" s="98">
        <f t="shared" si="3288"/>
        <v>3150</v>
      </c>
      <c r="GD501" s="98">
        <f t="shared" si="3288"/>
        <v>78750</v>
      </c>
      <c r="GE501" s="98">
        <f t="shared" si="3288"/>
        <v>0</v>
      </c>
      <c r="GF501" s="98">
        <f t="shared" si="3288"/>
        <v>0</v>
      </c>
      <c r="GG501" s="98">
        <f t="shared" si="3288"/>
        <v>0</v>
      </c>
      <c r="GH501" s="98">
        <f t="shared" si="3288"/>
        <v>0</v>
      </c>
      <c r="GI501" s="98">
        <f t="shared" si="3288"/>
        <v>0</v>
      </c>
      <c r="GJ501" s="98">
        <f t="shared" si="3288"/>
        <v>0</v>
      </c>
      <c r="GK501" s="198">
        <f t="shared" si="2633"/>
        <v>3150</v>
      </c>
      <c r="GL501" s="198">
        <f t="shared" si="2634"/>
        <v>78750</v>
      </c>
      <c r="GM501" s="98">
        <f t="shared" ref="GM501:GZ501" si="3289">SUM(GM30,GM68,GM106,GM144,GM182,GM220,GM258,GM296,GM334,GM372,GM410,GM448)</f>
        <v>0</v>
      </c>
      <c r="GN501" s="98">
        <f t="shared" si="3289"/>
        <v>0</v>
      </c>
      <c r="GO501" s="98">
        <f t="shared" si="3289"/>
        <v>0</v>
      </c>
      <c r="GP501" s="98">
        <f t="shared" si="3289"/>
        <v>0</v>
      </c>
      <c r="GQ501" s="98">
        <f t="shared" si="3289"/>
        <v>0</v>
      </c>
      <c r="GR501" s="98">
        <f t="shared" si="3289"/>
        <v>0</v>
      </c>
      <c r="GS501" s="98">
        <f t="shared" si="3289"/>
        <v>22850</v>
      </c>
      <c r="GT501" s="98">
        <f t="shared" si="3289"/>
        <v>631000</v>
      </c>
      <c r="GU501" s="98">
        <f t="shared" si="3289"/>
        <v>0</v>
      </c>
      <c r="GV501" s="98">
        <f t="shared" si="3289"/>
        <v>0</v>
      </c>
      <c r="GW501" s="98">
        <f t="shared" si="3289"/>
        <v>0</v>
      </c>
      <c r="GX501" s="98">
        <f t="shared" si="3289"/>
        <v>0</v>
      </c>
      <c r="GY501" s="98">
        <f t="shared" si="3289"/>
        <v>530</v>
      </c>
      <c r="GZ501" s="98">
        <f t="shared" si="3289"/>
        <v>14710</v>
      </c>
      <c r="HA501" s="198">
        <f t="shared" si="2636"/>
        <v>23380</v>
      </c>
      <c r="HB501" s="198">
        <f t="shared" si="2637"/>
        <v>645710</v>
      </c>
      <c r="HC501" s="98">
        <f t="shared" ref="HC501:HP501" si="3290">SUM(HC30,HC68,HC106,HC144,HC182,HC220,HC258,HC296,HC334,HC372,HC410,HC448)</f>
        <v>0</v>
      </c>
      <c r="HD501" s="98">
        <f t="shared" si="3290"/>
        <v>0</v>
      </c>
      <c r="HE501" s="98">
        <f t="shared" si="3290"/>
        <v>0</v>
      </c>
      <c r="HF501" s="98">
        <f t="shared" si="3290"/>
        <v>0</v>
      </c>
      <c r="HG501" s="98">
        <f t="shared" si="3290"/>
        <v>0</v>
      </c>
      <c r="HH501" s="98">
        <f t="shared" si="3290"/>
        <v>0</v>
      </c>
      <c r="HI501" s="98">
        <f t="shared" si="3290"/>
        <v>16300</v>
      </c>
      <c r="HJ501" s="98">
        <f t="shared" si="3290"/>
        <v>440000</v>
      </c>
      <c r="HK501" s="98">
        <f t="shared" si="3290"/>
        <v>0</v>
      </c>
      <c r="HL501" s="98">
        <f t="shared" si="3290"/>
        <v>0</v>
      </c>
      <c r="HM501" s="98">
        <f t="shared" si="3290"/>
        <v>0</v>
      </c>
      <c r="HN501" s="98">
        <f t="shared" si="3290"/>
        <v>0</v>
      </c>
      <c r="HO501" s="98">
        <f t="shared" si="3290"/>
        <v>0</v>
      </c>
      <c r="HP501" s="98">
        <f t="shared" si="3290"/>
        <v>0</v>
      </c>
      <c r="HQ501" s="198">
        <f t="shared" si="2639"/>
        <v>16300</v>
      </c>
      <c r="HR501" s="198">
        <f t="shared" si="2640"/>
        <v>440000</v>
      </c>
      <c r="HS501" s="98">
        <f t="shared" ref="HS501:IF501" si="3291">SUM(HS30,HS68,HS106,HS144,HS182,HS220,HS258,HS296,HS334,HS372,HS410,HS448)</f>
        <v>0</v>
      </c>
      <c r="HT501" s="98">
        <f t="shared" si="3291"/>
        <v>0</v>
      </c>
      <c r="HU501" s="98">
        <f t="shared" si="3291"/>
        <v>0</v>
      </c>
      <c r="HV501" s="98">
        <f t="shared" si="3291"/>
        <v>0</v>
      </c>
      <c r="HW501" s="98">
        <f t="shared" si="3291"/>
        <v>0</v>
      </c>
      <c r="HX501" s="98">
        <f t="shared" si="3291"/>
        <v>0</v>
      </c>
      <c r="HY501" s="98">
        <f t="shared" si="3291"/>
        <v>0</v>
      </c>
      <c r="HZ501" s="98">
        <f t="shared" si="3291"/>
        <v>0</v>
      </c>
      <c r="IA501" s="98">
        <f t="shared" si="3291"/>
        <v>0</v>
      </c>
      <c r="IB501" s="98">
        <f t="shared" si="3291"/>
        <v>0</v>
      </c>
      <c r="IC501" s="98">
        <f t="shared" si="3291"/>
        <v>0</v>
      </c>
      <c r="ID501" s="98">
        <f t="shared" si="3291"/>
        <v>0</v>
      </c>
      <c r="IE501" s="98">
        <f t="shared" si="3291"/>
        <v>0</v>
      </c>
      <c r="IF501" s="98">
        <f t="shared" si="3291"/>
        <v>0</v>
      </c>
      <c r="IG501" s="198">
        <f t="shared" si="2642"/>
        <v>0</v>
      </c>
      <c r="IH501" s="198">
        <f t="shared" si="2643"/>
        <v>0</v>
      </c>
      <c r="II501" s="98">
        <f t="shared" ref="II501:IV501" si="3292">SUM(II30,II68,II106,II144,II182,II220,II258,II296,II334,II372,II410,II448)</f>
        <v>0</v>
      </c>
      <c r="IJ501" s="98">
        <f t="shared" si="3292"/>
        <v>0</v>
      </c>
      <c r="IK501" s="98">
        <f t="shared" si="3292"/>
        <v>0</v>
      </c>
      <c r="IL501" s="98">
        <f t="shared" si="3292"/>
        <v>0</v>
      </c>
      <c r="IM501" s="98">
        <f t="shared" si="3292"/>
        <v>0</v>
      </c>
      <c r="IN501" s="98">
        <f t="shared" si="3292"/>
        <v>0</v>
      </c>
      <c r="IO501" s="98">
        <f t="shared" si="3292"/>
        <v>2600</v>
      </c>
      <c r="IP501" s="98">
        <f t="shared" si="3292"/>
        <v>92050</v>
      </c>
      <c r="IQ501" s="98">
        <f t="shared" si="3292"/>
        <v>0</v>
      </c>
      <c r="IR501" s="98">
        <f t="shared" si="3292"/>
        <v>0</v>
      </c>
      <c r="IS501" s="98">
        <f t="shared" si="3292"/>
        <v>0</v>
      </c>
      <c r="IT501" s="98">
        <f t="shared" si="3292"/>
        <v>0</v>
      </c>
      <c r="IU501" s="98">
        <f t="shared" si="3292"/>
        <v>0</v>
      </c>
      <c r="IV501" s="98">
        <f t="shared" si="3292"/>
        <v>0</v>
      </c>
      <c r="IW501" s="198">
        <f t="shared" si="2645"/>
        <v>2600</v>
      </c>
      <c r="IX501" s="198">
        <f t="shared" si="2646"/>
        <v>92050</v>
      </c>
      <c r="IY501" s="98">
        <f t="shared" ref="IY501:JL501" si="3293">SUM(IY30,IY68,IY106,IY144,IY182,IY220,IY258,IY296,IY334,IY372,IY410,IY448)</f>
        <v>0</v>
      </c>
      <c r="IZ501" s="98">
        <f t="shared" si="3293"/>
        <v>0</v>
      </c>
      <c r="JA501" s="98">
        <f t="shared" si="3293"/>
        <v>0</v>
      </c>
      <c r="JB501" s="98">
        <f t="shared" si="3293"/>
        <v>0</v>
      </c>
      <c r="JC501" s="98">
        <f t="shared" si="3293"/>
        <v>0</v>
      </c>
      <c r="JD501" s="98">
        <f t="shared" si="3293"/>
        <v>0</v>
      </c>
      <c r="JE501" s="98">
        <f t="shared" si="3293"/>
        <v>949</v>
      </c>
      <c r="JF501" s="98">
        <f t="shared" si="3293"/>
        <v>21910</v>
      </c>
      <c r="JG501" s="98">
        <f t="shared" si="3293"/>
        <v>0</v>
      </c>
      <c r="JH501" s="98">
        <f t="shared" si="3293"/>
        <v>0</v>
      </c>
      <c r="JI501" s="98">
        <f t="shared" si="3293"/>
        <v>0</v>
      </c>
      <c r="JJ501" s="98">
        <f t="shared" si="3293"/>
        <v>0</v>
      </c>
      <c r="JK501" s="98">
        <f t="shared" si="3293"/>
        <v>0</v>
      </c>
      <c r="JL501" s="98">
        <f t="shared" si="3293"/>
        <v>0</v>
      </c>
      <c r="JM501" s="198">
        <f t="shared" si="2648"/>
        <v>949</v>
      </c>
      <c r="JN501" s="198">
        <f t="shared" si="2649"/>
        <v>21910</v>
      </c>
      <c r="JO501" s="98">
        <f t="shared" ref="JO501:KB501" si="3294">SUM(JO30,JO68,JO106,JO144,JO182,JO220,JO258,JO296,JO334,JO372,JO410,JO448)</f>
        <v>0</v>
      </c>
      <c r="JP501" s="98">
        <f t="shared" si="3294"/>
        <v>0</v>
      </c>
      <c r="JQ501" s="98">
        <f t="shared" si="3294"/>
        <v>0</v>
      </c>
      <c r="JR501" s="98">
        <f t="shared" si="3294"/>
        <v>0</v>
      </c>
      <c r="JS501" s="98">
        <f t="shared" si="3294"/>
        <v>0</v>
      </c>
      <c r="JT501" s="98">
        <f t="shared" si="3294"/>
        <v>0</v>
      </c>
      <c r="JU501" s="98">
        <f t="shared" si="3294"/>
        <v>0</v>
      </c>
      <c r="JV501" s="98">
        <f t="shared" si="3294"/>
        <v>0</v>
      </c>
      <c r="JW501" s="98">
        <f t="shared" si="3294"/>
        <v>0</v>
      </c>
      <c r="JX501" s="98">
        <f t="shared" si="3294"/>
        <v>0</v>
      </c>
      <c r="JY501" s="98">
        <f t="shared" si="3294"/>
        <v>0</v>
      </c>
      <c r="JZ501" s="98">
        <f t="shared" si="3294"/>
        <v>0</v>
      </c>
      <c r="KA501" s="98">
        <f t="shared" si="3294"/>
        <v>0</v>
      </c>
      <c r="KB501" s="98">
        <f t="shared" si="3294"/>
        <v>0</v>
      </c>
      <c r="KC501" s="198">
        <f t="shared" si="2651"/>
        <v>0</v>
      </c>
      <c r="KD501" s="198">
        <f t="shared" si="2652"/>
        <v>0</v>
      </c>
      <c r="KE501" s="98">
        <f t="shared" ref="KE501:KR501" si="3295">SUM(KE30,KE68,KE106,KE144,KE182,KE220,KE258,KE296,KE334,KE372,KE410,KE448)</f>
        <v>0</v>
      </c>
      <c r="KF501" s="98">
        <f t="shared" si="3295"/>
        <v>0</v>
      </c>
      <c r="KG501" s="98">
        <f t="shared" si="3295"/>
        <v>0</v>
      </c>
      <c r="KH501" s="98">
        <f t="shared" si="3295"/>
        <v>0</v>
      </c>
      <c r="KI501" s="98">
        <f t="shared" si="3295"/>
        <v>0</v>
      </c>
      <c r="KJ501" s="98">
        <f t="shared" si="3295"/>
        <v>0</v>
      </c>
      <c r="KK501" s="98">
        <f t="shared" si="3295"/>
        <v>0</v>
      </c>
      <c r="KL501" s="98">
        <f t="shared" si="3295"/>
        <v>0</v>
      </c>
      <c r="KM501" s="98">
        <f t="shared" si="3295"/>
        <v>0</v>
      </c>
      <c r="KN501" s="98">
        <f t="shared" si="3295"/>
        <v>0</v>
      </c>
      <c r="KO501" s="98">
        <f t="shared" si="3295"/>
        <v>0</v>
      </c>
      <c r="KP501" s="98">
        <f t="shared" si="3295"/>
        <v>0</v>
      </c>
      <c r="KQ501" s="98">
        <f t="shared" si="3295"/>
        <v>0</v>
      </c>
      <c r="KR501" s="98">
        <f t="shared" si="3295"/>
        <v>0</v>
      </c>
      <c r="KS501" s="198">
        <f t="shared" si="2654"/>
        <v>0</v>
      </c>
      <c r="KT501" s="198">
        <f t="shared" si="2655"/>
        <v>0</v>
      </c>
      <c r="KU501" s="98">
        <f t="shared" ref="KU501:LH501" si="3296">SUM(KU30,KU68,KU106,KU144,KU182,KU220,KU258,KU296,KU334,KU372,KU410,KU448)</f>
        <v>0</v>
      </c>
      <c r="KV501" s="98">
        <f t="shared" si="3296"/>
        <v>0</v>
      </c>
      <c r="KW501" s="98">
        <f t="shared" si="3296"/>
        <v>0</v>
      </c>
      <c r="KX501" s="98">
        <f t="shared" si="3296"/>
        <v>0</v>
      </c>
      <c r="KY501" s="98">
        <f t="shared" si="3296"/>
        <v>0</v>
      </c>
      <c r="KZ501" s="98">
        <f t="shared" si="3296"/>
        <v>0</v>
      </c>
      <c r="LA501" s="98">
        <f t="shared" si="3296"/>
        <v>0</v>
      </c>
      <c r="LB501" s="98">
        <f t="shared" si="3296"/>
        <v>0</v>
      </c>
      <c r="LC501" s="98">
        <f t="shared" si="3296"/>
        <v>0</v>
      </c>
      <c r="LD501" s="98">
        <f t="shared" si="3296"/>
        <v>0</v>
      </c>
      <c r="LE501" s="98">
        <f t="shared" si="3296"/>
        <v>0</v>
      </c>
      <c r="LF501" s="98">
        <f t="shared" si="3296"/>
        <v>0</v>
      </c>
      <c r="LG501" s="98">
        <f t="shared" si="3296"/>
        <v>0</v>
      </c>
      <c r="LH501" s="98">
        <f t="shared" si="3296"/>
        <v>0</v>
      </c>
      <c r="LI501" s="198">
        <f t="shared" si="2657"/>
        <v>0</v>
      </c>
      <c r="LJ501" s="198">
        <f t="shared" si="2658"/>
        <v>0</v>
      </c>
      <c r="LK501" s="98">
        <f t="shared" ref="LK501:LX501" si="3297">SUM(LK30,LK68,LK106,LK144,LK182,LK220,LK258,LK296,LK334,LK372,LK410,LK448)</f>
        <v>0</v>
      </c>
      <c r="LL501" s="98">
        <f t="shared" si="3297"/>
        <v>0</v>
      </c>
      <c r="LM501" s="98">
        <f t="shared" si="3297"/>
        <v>0</v>
      </c>
      <c r="LN501" s="98">
        <f t="shared" si="3297"/>
        <v>0</v>
      </c>
      <c r="LO501" s="98">
        <f t="shared" si="3297"/>
        <v>0</v>
      </c>
      <c r="LP501" s="98">
        <f t="shared" si="3297"/>
        <v>0</v>
      </c>
      <c r="LQ501" s="98">
        <f t="shared" si="3297"/>
        <v>0</v>
      </c>
      <c r="LR501" s="98">
        <f t="shared" si="3297"/>
        <v>0</v>
      </c>
      <c r="LS501" s="98">
        <f t="shared" si="3297"/>
        <v>0</v>
      </c>
      <c r="LT501" s="98">
        <f t="shared" si="3297"/>
        <v>0</v>
      </c>
      <c r="LU501" s="98">
        <f t="shared" si="3297"/>
        <v>0</v>
      </c>
      <c r="LV501" s="98">
        <f t="shared" si="3297"/>
        <v>0</v>
      </c>
      <c r="LW501" s="98">
        <f t="shared" si="3297"/>
        <v>0</v>
      </c>
      <c r="LX501" s="98">
        <f t="shared" si="3297"/>
        <v>0</v>
      </c>
      <c r="LY501" s="198">
        <f t="shared" si="2660"/>
        <v>0</v>
      </c>
      <c r="LZ501" s="198">
        <f t="shared" si="2661"/>
        <v>0</v>
      </c>
      <c r="MA501" s="98">
        <f t="shared" ref="MA501:MN501" si="3298">SUM(MA30,MA68,MA106,MA144,MA182,MA220,MA258,MA296,MA334,MA372,MA410,MA448)</f>
        <v>0</v>
      </c>
      <c r="MB501" s="98">
        <f t="shared" si="3298"/>
        <v>0</v>
      </c>
      <c r="MC501" s="98">
        <f t="shared" si="3298"/>
        <v>0</v>
      </c>
      <c r="MD501" s="98">
        <f t="shared" si="3298"/>
        <v>0</v>
      </c>
      <c r="ME501" s="98">
        <f t="shared" si="3298"/>
        <v>0</v>
      </c>
      <c r="MF501" s="98">
        <f t="shared" si="3298"/>
        <v>0</v>
      </c>
      <c r="MG501" s="98">
        <f t="shared" si="3298"/>
        <v>0</v>
      </c>
      <c r="MH501" s="98">
        <f t="shared" si="3298"/>
        <v>0</v>
      </c>
      <c r="MI501" s="98">
        <f t="shared" si="3298"/>
        <v>0</v>
      </c>
      <c r="MJ501" s="98">
        <f t="shared" si="3298"/>
        <v>0</v>
      </c>
      <c r="MK501" s="98">
        <f t="shared" si="3298"/>
        <v>0</v>
      </c>
      <c r="ML501" s="98">
        <f t="shared" si="3298"/>
        <v>0</v>
      </c>
      <c r="MM501" s="98">
        <f t="shared" si="3298"/>
        <v>0</v>
      </c>
      <c r="MN501" s="98">
        <f t="shared" si="3298"/>
        <v>0</v>
      </c>
      <c r="MO501" s="198">
        <f t="shared" si="2663"/>
        <v>0</v>
      </c>
      <c r="MP501" s="198">
        <f t="shared" si="2664"/>
        <v>0</v>
      </c>
      <c r="MQ501" s="98">
        <f t="shared" ref="MQ501:ND501" si="3299">SUM(MQ30,MQ68,MQ106,MQ144,MQ182,MQ220,MQ258,MQ296,MQ334,MQ372,MQ410,MQ448)</f>
        <v>0</v>
      </c>
      <c r="MR501" s="98">
        <f t="shared" si="3299"/>
        <v>0</v>
      </c>
      <c r="MS501" s="98">
        <f t="shared" si="3299"/>
        <v>0</v>
      </c>
      <c r="MT501" s="98">
        <f t="shared" si="3299"/>
        <v>0</v>
      </c>
      <c r="MU501" s="98">
        <f t="shared" si="3299"/>
        <v>0</v>
      </c>
      <c r="MV501" s="98">
        <f t="shared" si="3299"/>
        <v>0</v>
      </c>
      <c r="MW501" s="98">
        <f t="shared" si="3299"/>
        <v>0</v>
      </c>
      <c r="MX501" s="98">
        <f t="shared" si="3299"/>
        <v>0</v>
      </c>
      <c r="MY501" s="98">
        <f t="shared" si="3299"/>
        <v>0</v>
      </c>
      <c r="MZ501" s="98">
        <f t="shared" si="3299"/>
        <v>0</v>
      </c>
      <c r="NA501" s="98">
        <f t="shared" si="3299"/>
        <v>0</v>
      </c>
      <c r="NB501" s="98">
        <f t="shared" si="3299"/>
        <v>0</v>
      </c>
      <c r="NC501" s="98">
        <f t="shared" si="3299"/>
        <v>0</v>
      </c>
      <c r="ND501" s="98">
        <f t="shared" si="3299"/>
        <v>0</v>
      </c>
      <c r="NE501" s="198">
        <f t="shared" si="2666"/>
        <v>0</v>
      </c>
      <c r="NF501" s="198">
        <f t="shared" si="2667"/>
        <v>0</v>
      </c>
      <c r="NG501" s="98">
        <f t="shared" ref="NG501:NT501" si="3300">SUM(NG30,NG68,NG106,NG144,NG182,NG220,NG258,NG296,NG334,NG372,NG410,NG448)</f>
        <v>0</v>
      </c>
      <c r="NH501" s="98">
        <f t="shared" si="3300"/>
        <v>0</v>
      </c>
      <c r="NI501" s="98">
        <f t="shared" si="3300"/>
        <v>0</v>
      </c>
      <c r="NJ501" s="98">
        <f t="shared" si="3300"/>
        <v>0</v>
      </c>
      <c r="NK501" s="98">
        <f t="shared" si="3300"/>
        <v>0</v>
      </c>
      <c r="NL501" s="98">
        <f t="shared" si="3300"/>
        <v>0</v>
      </c>
      <c r="NM501" s="98">
        <f t="shared" si="3300"/>
        <v>0</v>
      </c>
      <c r="NN501" s="98">
        <f t="shared" si="3300"/>
        <v>0</v>
      </c>
      <c r="NO501" s="98">
        <f t="shared" si="3300"/>
        <v>0</v>
      </c>
      <c r="NP501" s="98">
        <f t="shared" si="3300"/>
        <v>0</v>
      </c>
      <c r="NQ501" s="98">
        <f t="shared" si="3300"/>
        <v>0</v>
      </c>
      <c r="NR501" s="98">
        <f t="shared" si="3300"/>
        <v>0</v>
      </c>
      <c r="NS501" s="98">
        <f t="shared" si="3300"/>
        <v>0</v>
      </c>
      <c r="NT501" s="98">
        <f t="shared" si="3300"/>
        <v>0</v>
      </c>
      <c r="NU501" s="198">
        <f t="shared" si="2669"/>
        <v>0</v>
      </c>
      <c r="NV501" s="198">
        <f t="shared" si="2670"/>
        <v>0</v>
      </c>
      <c r="NW501" s="98">
        <f t="shared" ref="NW501:OJ501" si="3301">SUM(NW30,NW68,NW106,NW144,NW182,NW220,NW258,NW296,NW334,NW372,NW410,NW448)</f>
        <v>0</v>
      </c>
      <c r="NX501" s="98">
        <f t="shared" si="3301"/>
        <v>0</v>
      </c>
      <c r="NY501" s="98">
        <f t="shared" si="3301"/>
        <v>0</v>
      </c>
      <c r="NZ501" s="98">
        <f t="shared" si="3301"/>
        <v>0</v>
      </c>
      <c r="OA501" s="98">
        <f t="shared" si="3301"/>
        <v>0</v>
      </c>
      <c r="OB501" s="98">
        <f t="shared" si="3301"/>
        <v>0</v>
      </c>
      <c r="OC501" s="98">
        <f t="shared" si="3301"/>
        <v>0</v>
      </c>
      <c r="OD501" s="98">
        <f t="shared" si="3301"/>
        <v>0</v>
      </c>
      <c r="OE501" s="98">
        <f t="shared" si="3301"/>
        <v>0</v>
      </c>
      <c r="OF501" s="98">
        <f t="shared" si="3301"/>
        <v>0</v>
      </c>
      <c r="OG501" s="98">
        <f t="shared" si="3301"/>
        <v>0</v>
      </c>
      <c r="OH501" s="98">
        <f t="shared" si="3301"/>
        <v>0</v>
      </c>
      <c r="OI501" s="98">
        <f t="shared" si="3301"/>
        <v>0</v>
      </c>
      <c r="OJ501" s="98">
        <f t="shared" si="3301"/>
        <v>0</v>
      </c>
      <c r="OK501" s="198">
        <f t="shared" si="2672"/>
        <v>0</v>
      </c>
      <c r="OL501" s="198">
        <f t="shared" si="2673"/>
        <v>0</v>
      </c>
      <c r="OM501" s="98">
        <f t="shared" ref="OM501:OZ501" si="3302">SUM(OM30,OM68,OM106,OM144,OM182,OM220,OM258,OM296,OM334,OM372,OM410,OM448)</f>
        <v>0</v>
      </c>
      <c r="ON501" s="98">
        <f t="shared" si="3302"/>
        <v>0</v>
      </c>
      <c r="OO501" s="98">
        <f t="shared" si="3302"/>
        <v>0</v>
      </c>
      <c r="OP501" s="98">
        <f t="shared" si="3302"/>
        <v>0</v>
      </c>
      <c r="OQ501" s="98">
        <f t="shared" si="3302"/>
        <v>0</v>
      </c>
      <c r="OR501" s="98">
        <f t="shared" si="3302"/>
        <v>0</v>
      </c>
      <c r="OS501" s="98">
        <f t="shared" si="3302"/>
        <v>0</v>
      </c>
      <c r="OT501" s="98">
        <f t="shared" si="3302"/>
        <v>0</v>
      </c>
      <c r="OU501" s="98">
        <f t="shared" si="3302"/>
        <v>0</v>
      </c>
      <c r="OV501" s="98">
        <f t="shared" si="3302"/>
        <v>0</v>
      </c>
      <c r="OW501" s="98">
        <f t="shared" si="3302"/>
        <v>0</v>
      </c>
      <c r="OX501" s="98">
        <f t="shared" si="3302"/>
        <v>0</v>
      </c>
      <c r="OY501" s="98">
        <f t="shared" si="3302"/>
        <v>0</v>
      </c>
      <c r="OZ501" s="98">
        <f t="shared" si="3302"/>
        <v>0</v>
      </c>
      <c r="PA501" s="198">
        <f t="shared" si="2675"/>
        <v>0</v>
      </c>
      <c r="PB501" s="198">
        <f t="shared" si="2676"/>
        <v>0</v>
      </c>
      <c r="PC501" s="98">
        <f t="shared" ref="PC501:PP501" si="3303">SUM(PC30,PC68,PC106,PC144,PC182,PC220,PC258,PC296,PC334,PC372,PC410,PC448)</f>
        <v>0</v>
      </c>
      <c r="PD501" s="98">
        <f t="shared" si="3303"/>
        <v>0</v>
      </c>
      <c r="PE501" s="98">
        <f t="shared" si="3303"/>
        <v>0</v>
      </c>
      <c r="PF501" s="98">
        <f t="shared" si="3303"/>
        <v>0</v>
      </c>
      <c r="PG501" s="98">
        <f t="shared" si="3303"/>
        <v>0</v>
      </c>
      <c r="PH501" s="98">
        <f t="shared" si="3303"/>
        <v>0</v>
      </c>
      <c r="PI501" s="98">
        <f t="shared" si="3303"/>
        <v>0</v>
      </c>
      <c r="PJ501" s="98">
        <f t="shared" si="3303"/>
        <v>0</v>
      </c>
      <c r="PK501" s="98">
        <f t="shared" si="3303"/>
        <v>0</v>
      </c>
      <c r="PL501" s="98">
        <f t="shared" si="3303"/>
        <v>0</v>
      </c>
      <c r="PM501" s="98">
        <f t="shared" si="3303"/>
        <v>0</v>
      </c>
      <c r="PN501" s="98">
        <f t="shared" si="3303"/>
        <v>0</v>
      </c>
      <c r="PO501" s="98">
        <f t="shared" si="3303"/>
        <v>0</v>
      </c>
      <c r="PP501" s="98">
        <f t="shared" si="3303"/>
        <v>0</v>
      </c>
      <c r="PQ501" s="198">
        <f t="shared" si="2678"/>
        <v>0</v>
      </c>
      <c r="PR501" s="198">
        <f t="shared" si="2679"/>
        <v>0</v>
      </c>
      <c r="PS501" s="98">
        <f t="shared" ref="PS501:QF501" si="3304">SUM(PS30,PS68,PS106,PS144,PS182,PS220,PS258,PS296,PS334,PS372,PS410,PS448)</f>
        <v>0</v>
      </c>
      <c r="PT501" s="98">
        <f t="shared" si="3304"/>
        <v>0</v>
      </c>
      <c r="PU501" s="98">
        <f t="shared" si="3304"/>
        <v>0</v>
      </c>
      <c r="PV501" s="98">
        <f t="shared" si="3304"/>
        <v>0</v>
      </c>
      <c r="PW501" s="98">
        <f t="shared" si="3304"/>
        <v>0</v>
      </c>
      <c r="PX501" s="98">
        <f t="shared" si="3304"/>
        <v>0</v>
      </c>
      <c r="PY501" s="98">
        <f t="shared" si="3304"/>
        <v>1665420</v>
      </c>
      <c r="PZ501" s="98">
        <f t="shared" si="3304"/>
        <v>29977560</v>
      </c>
      <c r="QA501" s="98">
        <f t="shared" si="3304"/>
        <v>1671920</v>
      </c>
      <c r="QB501" s="98">
        <f t="shared" si="3304"/>
        <v>30094560</v>
      </c>
      <c r="QC501" s="98">
        <f t="shared" si="3304"/>
        <v>1416580</v>
      </c>
      <c r="QD501" s="98">
        <f t="shared" si="3304"/>
        <v>25498440</v>
      </c>
      <c r="QE501" s="98">
        <f t="shared" si="3304"/>
        <v>0</v>
      </c>
      <c r="QF501" s="98">
        <f t="shared" si="3304"/>
        <v>0</v>
      </c>
      <c r="QG501" s="198">
        <f t="shared" si="2681"/>
        <v>4753920</v>
      </c>
      <c r="QH501" s="198">
        <f t="shared" si="2682"/>
        <v>85570560</v>
      </c>
      <c r="QI501" s="98">
        <f t="shared" ref="QI501:QV501" si="3305">SUM(QI30,QI68,QI106,QI144,QI182,QI220,QI258,QI296,QI334,QI372,QI410,QI448)</f>
        <v>0</v>
      </c>
      <c r="QJ501" s="98">
        <f t="shared" si="3305"/>
        <v>0</v>
      </c>
      <c r="QK501" s="98">
        <f t="shared" si="3305"/>
        <v>0</v>
      </c>
      <c r="QL501" s="98">
        <f t="shared" si="3305"/>
        <v>0</v>
      </c>
      <c r="QM501" s="98">
        <f t="shared" si="3305"/>
        <v>0</v>
      </c>
      <c r="QN501" s="98">
        <f t="shared" si="3305"/>
        <v>0</v>
      </c>
      <c r="QO501" s="98">
        <f t="shared" si="3305"/>
        <v>0</v>
      </c>
      <c r="QP501" s="98">
        <f t="shared" si="3305"/>
        <v>0</v>
      </c>
      <c r="QQ501" s="98">
        <f t="shared" si="3305"/>
        <v>0</v>
      </c>
      <c r="QR501" s="98">
        <f t="shared" si="3305"/>
        <v>0</v>
      </c>
      <c r="QS501" s="98">
        <f t="shared" si="3305"/>
        <v>0</v>
      </c>
      <c r="QT501" s="98">
        <f t="shared" si="3305"/>
        <v>0</v>
      </c>
      <c r="QU501" s="98">
        <f t="shared" si="3305"/>
        <v>0</v>
      </c>
      <c r="QV501" s="98">
        <f t="shared" si="3305"/>
        <v>0</v>
      </c>
      <c r="QW501" s="198">
        <f t="shared" si="2684"/>
        <v>0</v>
      </c>
      <c r="QX501" s="198">
        <f t="shared" si="2685"/>
        <v>0</v>
      </c>
      <c r="QY501" s="98">
        <f t="shared" ref="QY501:RL501" si="3306">SUM(QY30,QY68,QY106,QY144,QY182,QY220,QY258,QY296,QY334,QY372,QY410,QY448)</f>
        <v>0</v>
      </c>
      <c r="QZ501" s="98">
        <f t="shared" si="3306"/>
        <v>0</v>
      </c>
      <c r="RA501" s="98">
        <f t="shared" si="3306"/>
        <v>0</v>
      </c>
      <c r="RB501" s="98">
        <f t="shared" si="3306"/>
        <v>0</v>
      </c>
      <c r="RC501" s="98">
        <f t="shared" si="3306"/>
        <v>0</v>
      </c>
      <c r="RD501" s="98">
        <f t="shared" si="3306"/>
        <v>0</v>
      </c>
      <c r="RE501" s="98">
        <f t="shared" si="3306"/>
        <v>2102</v>
      </c>
      <c r="RF501" s="98">
        <f t="shared" si="3306"/>
        <v>77774</v>
      </c>
      <c r="RG501" s="98">
        <f t="shared" si="3306"/>
        <v>0</v>
      </c>
      <c r="RH501" s="98">
        <f t="shared" si="3306"/>
        <v>0</v>
      </c>
      <c r="RI501" s="98">
        <f t="shared" si="3306"/>
        <v>0</v>
      </c>
      <c r="RJ501" s="98">
        <f t="shared" si="3306"/>
        <v>0</v>
      </c>
      <c r="RK501" s="98">
        <f t="shared" si="3306"/>
        <v>0</v>
      </c>
      <c r="RL501" s="98">
        <f t="shared" si="3306"/>
        <v>0</v>
      </c>
      <c r="RM501" s="198">
        <f t="shared" si="2687"/>
        <v>2102</v>
      </c>
      <c r="RN501" s="198">
        <f t="shared" si="2688"/>
        <v>77774</v>
      </c>
      <c r="RO501" s="98">
        <f t="shared" ref="RO501:SB501" si="3307">SUM(RO30,RO68,RO106,RO144,RO182,RO220,RO258,RO296,RO334,RO372,RO410,RO448)</f>
        <v>0</v>
      </c>
      <c r="RP501" s="98">
        <f t="shared" si="3307"/>
        <v>0</v>
      </c>
      <c r="RQ501" s="98">
        <f t="shared" si="3307"/>
        <v>0</v>
      </c>
      <c r="RR501" s="98">
        <f t="shared" si="3307"/>
        <v>0</v>
      </c>
      <c r="RS501" s="98">
        <f t="shared" si="3307"/>
        <v>0</v>
      </c>
      <c r="RT501" s="98">
        <f t="shared" si="3307"/>
        <v>0</v>
      </c>
      <c r="RU501" s="98">
        <f t="shared" si="3307"/>
        <v>0</v>
      </c>
      <c r="RV501" s="98">
        <f t="shared" si="3307"/>
        <v>0</v>
      </c>
      <c r="RW501" s="98">
        <f t="shared" si="3307"/>
        <v>0</v>
      </c>
      <c r="RX501" s="98">
        <f t="shared" si="3307"/>
        <v>0</v>
      </c>
      <c r="RY501" s="98">
        <f t="shared" si="3307"/>
        <v>0</v>
      </c>
      <c r="RZ501" s="98">
        <f t="shared" si="3307"/>
        <v>0</v>
      </c>
      <c r="SA501" s="98">
        <f t="shared" si="3307"/>
        <v>0</v>
      </c>
      <c r="SB501" s="98">
        <f t="shared" si="3307"/>
        <v>0</v>
      </c>
      <c r="SC501" s="198">
        <f t="shared" si="2690"/>
        <v>0</v>
      </c>
      <c r="SD501" s="198">
        <f t="shared" si="2691"/>
        <v>0</v>
      </c>
      <c r="SE501" s="98">
        <f t="shared" ref="SE501:SR501" si="3308">SUM(SE30,SE68,SE106,SE144,SE182,SE220,SE258,SE296,SE334,SE372,SE410,SE448)</f>
        <v>0</v>
      </c>
      <c r="SF501" s="98">
        <f t="shared" si="3308"/>
        <v>0</v>
      </c>
      <c r="SG501" s="98">
        <f t="shared" si="3308"/>
        <v>0</v>
      </c>
      <c r="SH501" s="98">
        <f t="shared" si="3308"/>
        <v>0</v>
      </c>
      <c r="SI501" s="98">
        <f t="shared" si="3308"/>
        <v>0</v>
      </c>
      <c r="SJ501" s="98">
        <f t="shared" si="3308"/>
        <v>0</v>
      </c>
      <c r="SK501" s="98">
        <f t="shared" si="3308"/>
        <v>0</v>
      </c>
      <c r="SL501" s="98">
        <f t="shared" si="3308"/>
        <v>0</v>
      </c>
      <c r="SM501" s="98">
        <f t="shared" si="3308"/>
        <v>0</v>
      </c>
      <c r="SN501" s="98">
        <f t="shared" si="3308"/>
        <v>0</v>
      </c>
      <c r="SO501" s="98">
        <f t="shared" si="3308"/>
        <v>0</v>
      </c>
      <c r="SP501" s="98">
        <f t="shared" si="3308"/>
        <v>0</v>
      </c>
      <c r="SQ501" s="98">
        <f t="shared" si="3308"/>
        <v>0</v>
      </c>
      <c r="SR501" s="98">
        <f t="shared" si="3308"/>
        <v>0</v>
      </c>
      <c r="SS501" s="198">
        <f t="shared" si="2693"/>
        <v>0</v>
      </c>
      <c r="ST501" s="198">
        <f t="shared" si="2694"/>
        <v>0</v>
      </c>
      <c r="SU501" s="98">
        <f t="shared" ref="SU501:TH501" si="3309">SUM(SU30,SU68,SU106,SU144,SU182,SU220,SU258,SU296,SU334,SU372,SU410,SU448)</f>
        <v>0</v>
      </c>
      <c r="SV501" s="98">
        <f t="shared" si="3309"/>
        <v>0</v>
      </c>
      <c r="SW501" s="98">
        <f t="shared" si="3309"/>
        <v>0</v>
      </c>
      <c r="SX501" s="98">
        <f t="shared" si="3309"/>
        <v>0</v>
      </c>
      <c r="SY501" s="98">
        <f t="shared" si="3309"/>
        <v>0</v>
      </c>
      <c r="SZ501" s="98">
        <f t="shared" si="3309"/>
        <v>0</v>
      </c>
      <c r="TA501" s="98">
        <f t="shared" si="3309"/>
        <v>0</v>
      </c>
      <c r="TB501" s="98">
        <f t="shared" si="3309"/>
        <v>0</v>
      </c>
      <c r="TC501" s="98">
        <f t="shared" si="3309"/>
        <v>0</v>
      </c>
      <c r="TD501" s="98">
        <f t="shared" si="3309"/>
        <v>0</v>
      </c>
      <c r="TE501" s="98">
        <f t="shared" si="3309"/>
        <v>0</v>
      </c>
      <c r="TF501" s="98">
        <f t="shared" si="3309"/>
        <v>0</v>
      </c>
      <c r="TG501" s="98">
        <f t="shared" si="3309"/>
        <v>0</v>
      </c>
      <c r="TH501" s="98">
        <f t="shared" si="3309"/>
        <v>0</v>
      </c>
      <c r="TI501" s="198">
        <f t="shared" si="2696"/>
        <v>0</v>
      </c>
      <c r="TJ501" s="198">
        <f t="shared" si="2697"/>
        <v>0</v>
      </c>
      <c r="TK501" s="98">
        <f t="shared" ref="TK501:TX501" si="3310">SUM(TK30,TK68,TK106,TK144,TK182,TK220,TK258,TK296,TK334,TK372,TK410,TK448)</f>
        <v>0</v>
      </c>
      <c r="TL501" s="98">
        <f t="shared" si="3310"/>
        <v>0</v>
      </c>
      <c r="TM501" s="98">
        <f t="shared" si="3310"/>
        <v>0</v>
      </c>
      <c r="TN501" s="98">
        <f t="shared" si="3310"/>
        <v>0</v>
      </c>
      <c r="TO501" s="98">
        <f t="shared" si="3310"/>
        <v>0</v>
      </c>
      <c r="TP501" s="98">
        <f t="shared" si="3310"/>
        <v>0</v>
      </c>
      <c r="TQ501" s="98">
        <f t="shared" si="3310"/>
        <v>0</v>
      </c>
      <c r="TR501" s="98">
        <f t="shared" si="3310"/>
        <v>0</v>
      </c>
      <c r="TS501" s="98">
        <f t="shared" si="3310"/>
        <v>0</v>
      </c>
      <c r="TT501" s="98">
        <f t="shared" si="3310"/>
        <v>0</v>
      </c>
      <c r="TU501" s="98">
        <f t="shared" si="3310"/>
        <v>7650</v>
      </c>
      <c r="TV501" s="98">
        <f t="shared" si="3310"/>
        <v>267750</v>
      </c>
      <c r="TW501" s="98">
        <f t="shared" si="3310"/>
        <v>0</v>
      </c>
      <c r="TX501" s="98">
        <f t="shared" si="3310"/>
        <v>0</v>
      </c>
      <c r="TY501" s="198">
        <f t="shared" si="2699"/>
        <v>7650</v>
      </c>
      <c r="TZ501" s="198">
        <f t="shared" si="2700"/>
        <v>267750</v>
      </c>
      <c r="UA501" s="98">
        <f t="shared" ref="UA501:UN501" si="3311">SUM(UA30,UA68,UA106,UA144,UA182,UA220,UA258,UA296,UA334,UA372,UA410,UA448)</f>
        <v>0</v>
      </c>
      <c r="UB501" s="98">
        <f t="shared" si="3311"/>
        <v>0</v>
      </c>
      <c r="UC501" s="98">
        <f t="shared" si="3311"/>
        <v>0</v>
      </c>
      <c r="UD501" s="98">
        <f t="shared" si="3311"/>
        <v>0</v>
      </c>
      <c r="UE501" s="98">
        <f t="shared" si="3311"/>
        <v>0</v>
      </c>
      <c r="UF501" s="98">
        <f t="shared" si="3311"/>
        <v>0</v>
      </c>
      <c r="UG501" s="98">
        <f t="shared" si="3311"/>
        <v>0</v>
      </c>
      <c r="UH501" s="98">
        <f t="shared" si="3311"/>
        <v>0</v>
      </c>
      <c r="UI501" s="98">
        <f t="shared" si="3311"/>
        <v>0</v>
      </c>
      <c r="UJ501" s="98">
        <f t="shared" si="3311"/>
        <v>0</v>
      </c>
      <c r="UK501" s="98">
        <f t="shared" si="3311"/>
        <v>0</v>
      </c>
      <c r="UL501" s="98">
        <f t="shared" si="3311"/>
        <v>0</v>
      </c>
      <c r="UM501" s="98">
        <f t="shared" si="3311"/>
        <v>0</v>
      </c>
      <c r="UN501" s="98">
        <f t="shared" si="3311"/>
        <v>0</v>
      </c>
      <c r="UO501" s="198">
        <f t="shared" si="2702"/>
        <v>0</v>
      </c>
      <c r="UP501" s="198">
        <f t="shared" si="2703"/>
        <v>0</v>
      </c>
      <c r="UQ501" s="98">
        <f t="shared" ref="UQ501:VD501" si="3312">SUM(UQ30,UQ68,UQ106,UQ144,UQ182,UQ220,UQ258,UQ296,UQ334,UQ372,UQ410,UQ448)</f>
        <v>0</v>
      </c>
      <c r="UR501" s="98">
        <f t="shared" si="3312"/>
        <v>0</v>
      </c>
      <c r="US501" s="98">
        <f t="shared" si="3312"/>
        <v>0</v>
      </c>
      <c r="UT501" s="98">
        <f t="shared" si="3312"/>
        <v>0</v>
      </c>
      <c r="UU501" s="98">
        <f t="shared" si="3312"/>
        <v>0</v>
      </c>
      <c r="UV501" s="98">
        <f t="shared" si="3312"/>
        <v>0</v>
      </c>
      <c r="UW501" s="98">
        <f t="shared" si="3312"/>
        <v>0</v>
      </c>
      <c r="UX501" s="98">
        <f t="shared" si="3312"/>
        <v>0</v>
      </c>
      <c r="UY501" s="98">
        <f t="shared" si="3312"/>
        <v>0</v>
      </c>
      <c r="UZ501" s="98">
        <f t="shared" si="3312"/>
        <v>0</v>
      </c>
      <c r="VA501" s="98">
        <f t="shared" si="3312"/>
        <v>0</v>
      </c>
      <c r="VB501" s="98">
        <f t="shared" si="3312"/>
        <v>0</v>
      </c>
      <c r="VC501" s="98">
        <f t="shared" si="3312"/>
        <v>0</v>
      </c>
      <c r="VD501" s="98">
        <f t="shared" si="3312"/>
        <v>0</v>
      </c>
      <c r="VE501" s="198">
        <f t="shared" si="2705"/>
        <v>0</v>
      </c>
      <c r="VF501" s="198">
        <f t="shared" si="2706"/>
        <v>0</v>
      </c>
      <c r="VG501" s="98">
        <f t="shared" ref="VG501:VT501" si="3313">SUM(VG30,VG68,VG106,VG144,VG182,VG220,VG258,VG296,VG334,VG372,VG410,VG448)</f>
        <v>0</v>
      </c>
      <c r="VH501" s="98">
        <f t="shared" si="3313"/>
        <v>0</v>
      </c>
      <c r="VI501" s="98">
        <f t="shared" si="3313"/>
        <v>37</v>
      </c>
      <c r="VJ501" s="98">
        <f t="shared" si="3313"/>
        <v>333</v>
      </c>
      <c r="VK501" s="98">
        <f t="shared" si="3313"/>
        <v>0</v>
      </c>
      <c r="VL501" s="98">
        <f t="shared" si="3313"/>
        <v>0</v>
      </c>
      <c r="VM501" s="98">
        <f t="shared" si="3313"/>
        <v>0</v>
      </c>
      <c r="VN501" s="98">
        <f t="shared" si="3313"/>
        <v>0</v>
      </c>
      <c r="VO501" s="98">
        <f t="shared" si="3313"/>
        <v>0</v>
      </c>
      <c r="VP501" s="98">
        <f t="shared" si="3313"/>
        <v>0</v>
      </c>
      <c r="VQ501" s="98">
        <f t="shared" si="3313"/>
        <v>0</v>
      </c>
      <c r="VR501" s="98">
        <f t="shared" si="3313"/>
        <v>0</v>
      </c>
      <c r="VS501" s="98">
        <f t="shared" si="3313"/>
        <v>0</v>
      </c>
      <c r="VT501" s="98">
        <f t="shared" si="3313"/>
        <v>0</v>
      </c>
      <c r="VU501" s="198">
        <f t="shared" si="2708"/>
        <v>37</v>
      </c>
      <c r="VV501" s="198">
        <f t="shared" si="2709"/>
        <v>333</v>
      </c>
      <c r="VW501" s="98">
        <f t="shared" ref="VW501:WJ501" si="3314">SUM(VW30,VW68,VW106,VW144,VW182,VW220,VW258,VW296,VW334,VW372,VW410,VW448)</f>
        <v>0</v>
      </c>
      <c r="VX501" s="98">
        <f t="shared" si="3314"/>
        <v>0</v>
      </c>
      <c r="VY501" s="98">
        <f t="shared" si="3314"/>
        <v>0</v>
      </c>
      <c r="VZ501" s="98">
        <f t="shared" si="3314"/>
        <v>0</v>
      </c>
      <c r="WA501" s="98">
        <f t="shared" si="3314"/>
        <v>0</v>
      </c>
      <c r="WB501" s="98">
        <f t="shared" si="3314"/>
        <v>0</v>
      </c>
      <c r="WC501" s="98">
        <f t="shared" si="3314"/>
        <v>0</v>
      </c>
      <c r="WD501" s="98">
        <f t="shared" si="3314"/>
        <v>0</v>
      </c>
      <c r="WE501" s="98">
        <f t="shared" si="3314"/>
        <v>0</v>
      </c>
      <c r="WF501" s="98">
        <f t="shared" si="3314"/>
        <v>0</v>
      </c>
      <c r="WG501" s="98">
        <f t="shared" si="3314"/>
        <v>0</v>
      </c>
      <c r="WH501" s="98">
        <f t="shared" si="3314"/>
        <v>0</v>
      </c>
      <c r="WI501" s="98">
        <f t="shared" si="3314"/>
        <v>0</v>
      </c>
      <c r="WJ501" s="98">
        <f t="shared" si="3314"/>
        <v>0</v>
      </c>
      <c r="WK501" s="198">
        <f t="shared" si="2711"/>
        <v>0</v>
      </c>
      <c r="WL501" s="198">
        <f t="shared" si="2712"/>
        <v>0</v>
      </c>
      <c r="WN501" s="98">
        <f t="shared" si="2713"/>
        <v>0</v>
      </c>
      <c r="WO501" s="98">
        <f t="shared" si="2714"/>
        <v>0</v>
      </c>
      <c r="WP501" s="98">
        <f t="shared" si="2715"/>
        <v>37</v>
      </c>
      <c r="WQ501" s="98">
        <f t="shared" si="2716"/>
        <v>333</v>
      </c>
      <c r="WR501" s="98">
        <f t="shared" si="2717"/>
        <v>0</v>
      </c>
      <c r="WS501" s="98">
        <f t="shared" si="2718"/>
        <v>0</v>
      </c>
      <c r="WT501" s="98">
        <f t="shared" si="2719"/>
        <v>6048446.6226296294</v>
      </c>
      <c r="WU501" s="98">
        <f t="shared" si="2720"/>
        <v>93205662.211789981</v>
      </c>
      <c r="WV501" s="98">
        <f t="shared" si="2721"/>
        <v>1714010</v>
      </c>
      <c r="WW501" s="98">
        <f t="shared" si="2722"/>
        <v>31442409</v>
      </c>
      <c r="WX501" s="98">
        <f t="shared" si="2723"/>
        <v>1448315</v>
      </c>
      <c r="WY501" s="98">
        <f t="shared" si="2724"/>
        <v>26609165</v>
      </c>
      <c r="WZ501" s="98">
        <f t="shared" si="2725"/>
        <v>5005</v>
      </c>
      <c r="XA501" s="98">
        <f t="shared" si="2726"/>
        <v>171335</v>
      </c>
      <c r="XB501" s="107">
        <f t="shared" si="2727"/>
        <v>9215813.6226296294</v>
      </c>
      <c r="XC501" s="107">
        <f t="shared" si="2728"/>
        <v>151428904.21178997</v>
      </c>
      <c r="XK501" s="98">
        <f t="shared" si="2729"/>
        <v>99254108.834419608</v>
      </c>
      <c r="XL501" s="98">
        <f t="shared" si="2730"/>
        <v>33156419</v>
      </c>
      <c r="XM501" s="98">
        <f t="shared" si="2731"/>
        <v>28057480</v>
      </c>
      <c r="XN501" s="98">
        <f t="shared" si="2732"/>
        <v>176340</v>
      </c>
      <c r="XO501" s="98">
        <f t="shared" si="2733"/>
        <v>160644717.83441961</v>
      </c>
      <c r="XP501" s="98">
        <f t="shared" si="2734"/>
        <v>0</v>
      </c>
      <c r="XQ501" s="98">
        <f t="shared" si="2735"/>
        <v>370</v>
      </c>
      <c r="XR501" s="107">
        <f t="shared" ca="1" si="2597"/>
        <v>293904385.29146886</v>
      </c>
      <c r="XT501" s="98">
        <f t="shared" si="2736"/>
        <v>151428904.21178997</v>
      </c>
      <c r="XU501" s="98">
        <f t="shared" si="2737"/>
        <v>37</v>
      </c>
      <c r="XV501" s="98">
        <f t="shared" si="2738"/>
        <v>333</v>
      </c>
      <c r="XW501" s="98">
        <f t="shared" si="2739"/>
        <v>5947671.6226296294</v>
      </c>
      <c r="XX501" s="98">
        <f t="shared" si="2740"/>
        <v>194140236.04620957</v>
      </c>
      <c r="XY501" s="98">
        <f t="shared" si="2741"/>
        <v>60924119</v>
      </c>
      <c r="XZ501" s="98">
        <f t="shared" si="2742"/>
        <v>187254412.83441961</v>
      </c>
      <c r="YA501" s="107">
        <f t="shared" ca="1" si="2598"/>
        <v>532823886.09241915</v>
      </c>
    </row>
    <row r="502" spans="2:651">
      <c r="B502" s="90" t="str">
        <f t="shared" si="2558"/>
        <v xml:space="preserve">Mujair </v>
      </c>
      <c r="C502" s="98">
        <f t="shared" ref="C502:P502" si="3315">SUM(C31,C69,C107,C145,C183,C221,C259,C297,C335,C373,C411,C449)</f>
        <v>0</v>
      </c>
      <c r="D502" s="98">
        <f t="shared" si="3315"/>
        <v>0</v>
      </c>
      <c r="E502" s="98">
        <f t="shared" si="3315"/>
        <v>2215500</v>
      </c>
      <c r="F502" s="98">
        <f t="shared" si="3315"/>
        <v>33232500</v>
      </c>
      <c r="G502" s="98">
        <f t="shared" si="3315"/>
        <v>0</v>
      </c>
      <c r="H502" s="98">
        <f t="shared" si="3315"/>
        <v>0</v>
      </c>
      <c r="I502" s="98">
        <f t="shared" si="3315"/>
        <v>33750</v>
      </c>
      <c r="J502" s="98">
        <f t="shared" si="3315"/>
        <v>506250</v>
      </c>
      <c r="K502" s="98">
        <f t="shared" si="3315"/>
        <v>0</v>
      </c>
      <c r="L502" s="98">
        <f t="shared" si="3315"/>
        <v>0</v>
      </c>
      <c r="M502" s="98">
        <f t="shared" si="3315"/>
        <v>0</v>
      </c>
      <c r="N502" s="98">
        <f t="shared" si="3315"/>
        <v>0</v>
      </c>
      <c r="O502" s="98">
        <f t="shared" si="3315"/>
        <v>0</v>
      </c>
      <c r="P502" s="98">
        <f t="shared" si="3315"/>
        <v>0</v>
      </c>
      <c r="Q502" s="198">
        <f t="shared" si="2600"/>
        <v>2249250</v>
      </c>
      <c r="R502" s="198">
        <f t="shared" si="2601"/>
        <v>33738750</v>
      </c>
      <c r="S502" s="98">
        <f t="shared" ref="S502:AF502" si="3316">SUM(S31,S69,S107,S145,S183,S221,S259,S297,S335,S373,S411,S449)</f>
        <v>0</v>
      </c>
      <c r="T502" s="98">
        <f t="shared" si="3316"/>
        <v>0</v>
      </c>
      <c r="U502" s="98">
        <f t="shared" si="3316"/>
        <v>87495</v>
      </c>
      <c r="V502" s="98">
        <f t="shared" si="3316"/>
        <v>1312425</v>
      </c>
      <c r="W502" s="98">
        <f t="shared" si="3316"/>
        <v>0</v>
      </c>
      <c r="X502" s="98">
        <f t="shared" si="3316"/>
        <v>0</v>
      </c>
      <c r="Y502" s="98">
        <f t="shared" si="3316"/>
        <v>65880</v>
      </c>
      <c r="Z502" s="98">
        <f t="shared" si="3316"/>
        <v>988200</v>
      </c>
      <c r="AA502" s="98">
        <f t="shared" si="3316"/>
        <v>0</v>
      </c>
      <c r="AB502" s="98">
        <f t="shared" si="3316"/>
        <v>0</v>
      </c>
      <c r="AC502" s="98">
        <f t="shared" si="3316"/>
        <v>0</v>
      </c>
      <c r="AD502" s="98">
        <f t="shared" si="3316"/>
        <v>0</v>
      </c>
      <c r="AE502" s="98">
        <f t="shared" si="3316"/>
        <v>0</v>
      </c>
      <c r="AF502" s="98">
        <f t="shared" si="3316"/>
        <v>0</v>
      </c>
      <c r="AG502" s="198">
        <f t="shared" si="2603"/>
        <v>153375</v>
      </c>
      <c r="AH502" s="198">
        <f t="shared" si="2604"/>
        <v>2300625</v>
      </c>
      <c r="AI502" s="98">
        <f t="shared" ref="AI502:AV502" si="3317">SUM(AI31,AI69,AI107,AI145,AI183,AI221,AI259,AI297,AI335,AI373,AI411,AI449)</f>
        <v>0</v>
      </c>
      <c r="AJ502" s="98">
        <f t="shared" si="3317"/>
        <v>0</v>
      </c>
      <c r="AK502" s="98">
        <f t="shared" si="3317"/>
        <v>0</v>
      </c>
      <c r="AL502" s="98">
        <f t="shared" si="3317"/>
        <v>0</v>
      </c>
      <c r="AM502" s="98">
        <f t="shared" si="3317"/>
        <v>0</v>
      </c>
      <c r="AN502" s="98">
        <f t="shared" si="3317"/>
        <v>0</v>
      </c>
      <c r="AO502" s="98">
        <f t="shared" si="3317"/>
        <v>0</v>
      </c>
      <c r="AP502" s="98">
        <f t="shared" si="3317"/>
        <v>0</v>
      </c>
      <c r="AQ502" s="98">
        <f t="shared" si="3317"/>
        <v>0</v>
      </c>
      <c r="AR502" s="98">
        <f t="shared" si="3317"/>
        <v>0</v>
      </c>
      <c r="AS502" s="98">
        <f t="shared" si="3317"/>
        <v>0</v>
      </c>
      <c r="AT502" s="98">
        <f t="shared" si="3317"/>
        <v>0</v>
      </c>
      <c r="AU502" s="98">
        <f t="shared" si="3317"/>
        <v>0</v>
      </c>
      <c r="AV502" s="98">
        <f t="shared" si="3317"/>
        <v>0</v>
      </c>
      <c r="AW502" s="198">
        <f t="shared" si="2606"/>
        <v>0</v>
      </c>
      <c r="AX502" s="198">
        <f t="shared" si="2607"/>
        <v>0</v>
      </c>
      <c r="AY502" s="98">
        <f t="shared" ref="AY502:BL502" si="3318">SUM(AY31,AY69,AY107,AY145,AY183,AY221,AY259,AY297,AY335,AY373,AY411,AY449)</f>
        <v>0</v>
      </c>
      <c r="AZ502" s="98">
        <f t="shared" si="3318"/>
        <v>0</v>
      </c>
      <c r="BA502" s="98">
        <f t="shared" si="3318"/>
        <v>0</v>
      </c>
      <c r="BB502" s="98">
        <f t="shared" si="3318"/>
        <v>0</v>
      </c>
      <c r="BC502" s="98">
        <f t="shared" si="3318"/>
        <v>0</v>
      </c>
      <c r="BD502" s="98">
        <f t="shared" si="3318"/>
        <v>0</v>
      </c>
      <c r="BE502" s="98">
        <f t="shared" si="3318"/>
        <v>0</v>
      </c>
      <c r="BF502" s="98">
        <f t="shared" si="3318"/>
        <v>0</v>
      </c>
      <c r="BG502" s="98">
        <f t="shared" si="3318"/>
        <v>0</v>
      </c>
      <c r="BH502" s="98">
        <f t="shared" si="3318"/>
        <v>0</v>
      </c>
      <c r="BI502" s="98">
        <f t="shared" si="3318"/>
        <v>0</v>
      </c>
      <c r="BJ502" s="98">
        <f t="shared" si="3318"/>
        <v>0</v>
      </c>
      <c r="BK502" s="98">
        <f t="shared" si="3318"/>
        <v>0</v>
      </c>
      <c r="BL502" s="98">
        <f t="shared" si="3318"/>
        <v>0</v>
      </c>
      <c r="BM502" s="198">
        <f t="shared" si="2609"/>
        <v>0</v>
      </c>
      <c r="BN502" s="198">
        <f t="shared" si="2610"/>
        <v>0</v>
      </c>
      <c r="BO502" s="98">
        <f t="shared" ref="BO502:CB502" si="3319">SUM(BO31,BO69,BO107,BO145,BO183,BO221,BO259,BO297,BO335,BO373,BO411,BO449)</f>
        <v>0</v>
      </c>
      <c r="BP502" s="98">
        <f t="shared" si="3319"/>
        <v>0</v>
      </c>
      <c r="BQ502" s="98">
        <f t="shared" si="3319"/>
        <v>0</v>
      </c>
      <c r="BR502" s="98">
        <f t="shared" si="3319"/>
        <v>0</v>
      </c>
      <c r="BS502" s="98">
        <f t="shared" si="3319"/>
        <v>0</v>
      </c>
      <c r="BT502" s="98">
        <f t="shared" si="3319"/>
        <v>0</v>
      </c>
      <c r="BU502" s="98">
        <f t="shared" si="3319"/>
        <v>940</v>
      </c>
      <c r="BV502" s="98">
        <f t="shared" si="3319"/>
        <v>25260</v>
      </c>
      <c r="BW502" s="98">
        <f t="shared" si="3319"/>
        <v>0</v>
      </c>
      <c r="BX502" s="98">
        <f t="shared" si="3319"/>
        <v>0</v>
      </c>
      <c r="BY502" s="98">
        <f t="shared" si="3319"/>
        <v>0</v>
      </c>
      <c r="BZ502" s="98">
        <f t="shared" si="3319"/>
        <v>0</v>
      </c>
      <c r="CA502" s="98">
        <f t="shared" si="3319"/>
        <v>0</v>
      </c>
      <c r="CB502" s="98">
        <f t="shared" si="3319"/>
        <v>0</v>
      </c>
      <c r="CC502" s="198">
        <f t="shared" si="2612"/>
        <v>940</v>
      </c>
      <c r="CD502" s="198">
        <f t="shared" si="2613"/>
        <v>25260</v>
      </c>
      <c r="CE502" s="98">
        <f t="shared" ref="CE502:CR502" si="3320">SUM(CE31,CE69,CE107,CE145,CE183,CE221,CE259,CE297,CE335,CE373,CE411,CE449)</f>
        <v>0</v>
      </c>
      <c r="CF502" s="98">
        <f t="shared" si="3320"/>
        <v>0</v>
      </c>
      <c r="CG502" s="98">
        <f t="shared" si="3320"/>
        <v>3354815.3068862394</v>
      </c>
      <c r="CH502" s="98">
        <f t="shared" si="3320"/>
        <v>29091073.649993859</v>
      </c>
      <c r="CI502" s="98">
        <f t="shared" si="3320"/>
        <v>0</v>
      </c>
      <c r="CJ502" s="98">
        <f t="shared" si="3320"/>
        <v>0</v>
      </c>
      <c r="CK502" s="98">
        <f t="shared" si="3320"/>
        <v>7176255.7103055483</v>
      </c>
      <c r="CL502" s="98">
        <f t="shared" si="3320"/>
        <v>60055067.352229565</v>
      </c>
      <c r="CM502" s="98">
        <f t="shared" si="3320"/>
        <v>0</v>
      </c>
      <c r="CN502" s="98">
        <f t="shared" si="3320"/>
        <v>0</v>
      </c>
      <c r="CO502" s="98">
        <f t="shared" si="3320"/>
        <v>0</v>
      </c>
      <c r="CP502" s="98">
        <f t="shared" si="3320"/>
        <v>0</v>
      </c>
      <c r="CQ502" s="98">
        <f t="shared" si="3320"/>
        <v>0</v>
      </c>
      <c r="CR502" s="98">
        <f t="shared" si="3320"/>
        <v>0</v>
      </c>
      <c r="CS502" s="198">
        <f t="shared" si="2615"/>
        <v>10531071.017191788</v>
      </c>
      <c r="CT502" s="198">
        <f t="shared" si="2616"/>
        <v>89146141.002223432</v>
      </c>
      <c r="CU502" s="98">
        <f t="shared" ref="CU502:DH502" si="3321">SUM(CU31,CU69,CU107,CU145,CU183,CU221,CU259,CU297,CU335,CU373,CU411,CU449)</f>
        <v>0</v>
      </c>
      <c r="CV502" s="98">
        <f t="shared" si="3321"/>
        <v>0</v>
      </c>
      <c r="CW502" s="98">
        <f t="shared" si="3321"/>
        <v>0</v>
      </c>
      <c r="CX502" s="98">
        <f t="shared" si="3321"/>
        <v>0</v>
      </c>
      <c r="CY502" s="98">
        <f t="shared" si="3321"/>
        <v>0</v>
      </c>
      <c r="CZ502" s="98">
        <f t="shared" si="3321"/>
        <v>0</v>
      </c>
      <c r="DA502" s="98">
        <f t="shared" si="3321"/>
        <v>0</v>
      </c>
      <c r="DB502" s="98">
        <f t="shared" si="3321"/>
        <v>0</v>
      </c>
      <c r="DC502" s="98">
        <f t="shared" si="3321"/>
        <v>0</v>
      </c>
      <c r="DD502" s="98">
        <f t="shared" si="3321"/>
        <v>0</v>
      </c>
      <c r="DE502" s="98">
        <f t="shared" si="3321"/>
        <v>0</v>
      </c>
      <c r="DF502" s="98">
        <f t="shared" si="3321"/>
        <v>0</v>
      </c>
      <c r="DG502" s="98">
        <f t="shared" si="3321"/>
        <v>0</v>
      </c>
      <c r="DH502" s="98">
        <f t="shared" si="3321"/>
        <v>0</v>
      </c>
      <c r="DI502" s="198">
        <f t="shared" si="2618"/>
        <v>0</v>
      </c>
      <c r="DJ502" s="198">
        <f t="shared" si="2619"/>
        <v>0</v>
      </c>
      <c r="DK502" s="98">
        <f t="shared" ref="DK502:DX502" si="3322">SUM(DK31,DK69,DK107,DK145,DK183,DK221,DK259,DK297,DK335,DK373,DK411,DK449)</f>
        <v>0</v>
      </c>
      <c r="DL502" s="98">
        <f t="shared" si="3322"/>
        <v>0</v>
      </c>
      <c r="DM502" s="98">
        <f t="shared" si="3322"/>
        <v>0</v>
      </c>
      <c r="DN502" s="98">
        <f t="shared" si="3322"/>
        <v>0</v>
      </c>
      <c r="DO502" s="98">
        <f t="shared" si="3322"/>
        <v>0</v>
      </c>
      <c r="DP502" s="98">
        <f t="shared" si="3322"/>
        <v>0</v>
      </c>
      <c r="DQ502" s="98">
        <f t="shared" si="3322"/>
        <v>0</v>
      </c>
      <c r="DR502" s="98">
        <f t="shared" si="3322"/>
        <v>0</v>
      </c>
      <c r="DS502" s="98">
        <f t="shared" si="3322"/>
        <v>0</v>
      </c>
      <c r="DT502" s="98">
        <f t="shared" si="3322"/>
        <v>0</v>
      </c>
      <c r="DU502" s="98">
        <f t="shared" si="3322"/>
        <v>0</v>
      </c>
      <c r="DV502" s="98">
        <f t="shared" si="3322"/>
        <v>0</v>
      </c>
      <c r="DW502" s="98">
        <f t="shared" si="3322"/>
        <v>0</v>
      </c>
      <c r="DX502" s="98">
        <f t="shared" si="3322"/>
        <v>0</v>
      </c>
      <c r="DY502" s="198">
        <f t="shared" si="2621"/>
        <v>0</v>
      </c>
      <c r="DZ502" s="198">
        <f t="shared" si="2622"/>
        <v>0</v>
      </c>
      <c r="EA502" s="98">
        <f t="shared" ref="EA502:EN502" si="3323">SUM(EA31,EA69,EA107,EA145,EA183,EA221,EA259,EA297,EA335,EA373,EA411,EA449)</f>
        <v>0</v>
      </c>
      <c r="EB502" s="98">
        <f t="shared" si="3323"/>
        <v>0</v>
      </c>
      <c r="EC502" s="98">
        <f t="shared" si="3323"/>
        <v>0</v>
      </c>
      <c r="ED502" s="98">
        <f t="shared" si="3323"/>
        <v>0</v>
      </c>
      <c r="EE502" s="98">
        <f t="shared" si="3323"/>
        <v>0</v>
      </c>
      <c r="EF502" s="98">
        <f t="shared" si="3323"/>
        <v>0</v>
      </c>
      <c r="EG502" s="98">
        <f t="shared" si="3323"/>
        <v>500</v>
      </c>
      <c r="EH502" s="98">
        <f t="shared" si="3323"/>
        <v>7500</v>
      </c>
      <c r="EI502" s="98">
        <f t="shared" si="3323"/>
        <v>0</v>
      </c>
      <c r="EJ502" s="98">
        <f t="shared" si="3323"/>
        <v>0</v>
      </c>
      <c r="EK502" s="98">
        <f t="shared" si="3323"/>
        <v>0</v>
      </c>
      <c r="EL502" s="98">
        <f t="shared" si="3323"/>
        <v>0</v>
      </c>
      <c r="EM502" s="98">
        <f t="shared" si="3323"/>
        <v>0</v>
      </c>
      <c r="EN502" s="98">
        <f t="shared" si="3323"/>
        <v>0</v>
      </c>
      <c r="EO502" s="198">
        <f t="shared" si="2624"/>
        <v>500</v>
      </c>
      <c r="EP502" s="198">
        <f t="shared" si="2625"/>
        <v>7500</v>
      </c>
      <c r="EQ502" s="98">
        <f t="shared" ref="EQ502:FD502" si="3324">SUM(EQ31,EQ69,EQ107,EQ145,EQ183,EQ221,EQ259,EQ297,EQ335,EQ373,EQ411,EQ449)</f>
        <v>0</v>
      </c>
      <c r="ER502" s="98">
        <f t="shared" si="3324"/>
        <v>0</v>
      </c>
      <c r="ES502" s="98">
        <f t="shared" si="3324"/>
        <v>12017</v>
      </c>
      <c r="ET502" s="98">
        <f t="shared" si="3324"/>
        <v>60085</v>
      </c>
      <c r="EU502" s="98">
        <f t="shared" si="3324"/>
        <v>0</v>
      </c>
      <c r="EV502" s="98">
        <f t="shared" si="3324"/>
        <v>0</v>
      </c>
      <c r="EW502" s="98">
        <f t="shared" si="3324"/>
        <v>130061</v>
      </c>
      <c r="EX502" s="98">
        <f t="shared" si="3324"/>
        <v>650305</v>
      </c>
      <c r="EY502" s="98">
        <f t="shared" si="3324"/>
        <v>0</v>
      </c>
      <c r="EZ502" s="98">
        <f t="shared" si="3324"/>
        <v>0</v>
      </c>
      <c r="FA502" s="98">
        <f t="shared" si="3324"/>
        <v>0</v>
      </c>
      <c r="FB502" s="98">
        <f t="shared" si="3324"/>
        <v>0</v>
      </c>
      <c r="FC502" s="98">
        <f t="shared" si="3324"/>
        <v>0</v>
      </c>
      <c r="FD502" s="98">
        <f t="shared" si="3324"/>
        <v>0</v>
      </c>
      <c r="FE502" s="198">
        <f t="shared" si="2627"/>
        <v>142078</v>
      </c>
      <c r="FF502" s="198">
        <f t="shared" si="2628"/>
        <v>710390</v>
      </c>
      <c r="FG502" s="98">
        <f t="shared" ref="FG502:FT502" si="3325">SUM(FG31,FG69,FG107,FG145,FG183,FG221,FG259,FG297,FG335,FG373,FG411,FG449)</f>
        <v>0</v>
      </c>
      <c r="FH502" s="98">
        <f t="shared" si="3325"/>
        <v>0</v>
      </c>
      <c r="FI502" s="98">
        <f t="shared" si="3325"/>
        <v>0</v>
      </c>
      <c r="FJ502" s="98">
        <f t="shared" si="3325"/>
        <v>0</v>
      </c>
      <c r="FK502" s="98">
        <f t="shared" si="3325"/>
        <v>0</v>
      </c>
      <c r="FL502" s="98">
        <f t="shared" si="3325"/>
        <v>0</v>
      </c>
      <c r="FM502" s="98">
        <f t="shared" si="3325"/>
        <v>0</v>
      </c>
      <c r="FN502" s="98">
        <f t="shared" si="3325"/>
        <v>0</v>
      </c>
      <c r="FO502" s="98">
        <f t="shared" si="3325"/>
        <v>0</v>
      </c>
      <c r="FP502" s="98">
        <f t="shared" si="3325"/>
        <v>0</v>
      </c>
      <c r="FQ502" s="98">
        <f t="shared" si="3325"/>
        <v>0</v>
      </c>
      <c r="FR502" s="98">
        <f t="shared" si="3325"/>
        <v>0</v>
      </c>
      <c r="FS502" s="98">
        <f t="shared" si="3325"/>
        <v>0</v>
      </c>
      <c r="FT502" s="98">
        <f t="shared" si="3325"/>
        <v>0</v>
      </c>
      <c r="FU502" s="198">
        <f t="shared" si="2630"/>
        <v>0</v>
      </c>
      <c r="FV502" s="198">
        <f t="shared" si="2631"/>
        <v>0</v>
      </c>
      <c r="FW502" s="98">
        <f t="shared" ref="FW502:GJ502" si="3326">SUM(FW31,FW69,FW107,FW145,FW183,FW221,FW259,FW297,FW335,FW373,FW411,FW449)</f>
        <v>0</v>
      </c>
      <c r="FX502" s="98">
        <f t="shared" si="3326"/>
        <v>0</v>
      </c>
      <c r="FY502" s="98">
        <f t="shared" si="3326"/>
        <v>0</v>
      </c>
      <c r="FZ502" s="98">
        <f t="shared" si="3326"/>
        <v>0</v>
      </c>
      <c r="GA502" s="98">
        <f t="shared" si="3326"/>
        <v>0</v>
      </c>
      <c r="GB502" s="98">
        <f t="shared" si="3326"/>
        <v>0</v>
      </c>
      <c r="GC502" s="98">
        <f t="shared" si="3326"/>
        <v>400</v>
      </c>
      <c r="GD502" s="98">
        <f t="shared" si="3326"/>
        <v>10000</v>
      </c>
      <c r="GE502" s="98">
        <f t="shared" si="3326"/>
        <v>0</v>
      </c>
      <c r="GF502" s="98">
        <f t="shared" si="3326"/>
        <v>0</v>
      </c>
      <c r="GG502" s="98">
        <f t="shared" si="3326"/>
        <v>0</v>
      </c>
      <c r="GH502" s="98">
        <f t="shared" si="3326"/>
        <v>0</v>
      </c>
      <c r="GI502" s="98">
        <f t="shared" si="3326"/>
        <v>0</v>
      </c>
      <c r="GJ502" s="98">
        <f t="shared" si="3326"/>
        <v>0</v>
      </c>
      <c r="GK502" s="198">
        <f t="shared" si="2633"/>
        <v>400</v>
      </c>
      <c r="GL502" s="198">
        <f t="shared" si="2634"/>
        <v>10000</v>
      </c>
      <c r="GM502" s="98">
        <f t="shared" ref="GM502:GZ502" si="3327">SUM(GM31,GM69,GM107,GM145,GM183,GM221,GM259,GM297,GM335,GM373,GM411,GM449)</f>
        <v>0</v>
      </c>
      <c r="GN502" s="98">
        <f t="shared" si="3327"/>
        <v>0</v>
      </c>
      <c r="GO502" s="98">
        <f t="shared" si="3327"/>
        <v>0</v>
      </c>
      <c r="GP502" s="98">
        <f t="shared" si="3327"/>
        <v>0</v>
      </c>
      <c r="GQ502" s="98">
        <f t="shared" si="3327"/>
        <v>0</v>
      </c>
      <c r="GR502" s="98">
        <f t="shared" si="3327"/>
        <v>0</v>
      </c>
      <c r="GS502" s="98">
        <f t="shared" si="3327"/>
        <v>0</v>
      </c>
      <c r="GT502" s="98">
        <f t="shared" si="3327"/>
        <v>0</v>
      </c>
      <c r="GU502" s="98">
        <f t="shared" si="3327"/>
        <v>0</v>
      </c>
      <c r="GV502" s="98">
        <f t="shared" si="3327"/>
        <v>0</v>
      </c>
      <c r="GW502" s="98">
        <f t="shared" si="3327"/>
        <v>0</v>
      </c>
      <c r="GX502" s="98">
        <f t="shared" si="3327"/>
        <v>0</v>
      </c>
      <c r="GY502" s="98">
        <f t="shared" si="3327"/>
        <v>0</v>
      </c>
      <c r="GZ502" s="98">
        <f t="shared" si="3327"/>
        <v>0</v>
      </c>
      <c r="HA502" s="198">
        <f t="shared" si="2636"/>
        <v>0</v>
      </c>
      <c r="HB502" s="198">
        <f t="shared" si="2637"/>
        <v>0</v>
      </c>
      <c r="HC502" s="98">
        <f t="shared" ref="HC502:HP502" si="3328">SUM(HC31,HC69,HC107,HC145,HC183,HC221,HC259,HC297,HC335,HC373,HC411,HC449)</f>
        <v>0</v>
      </c>
      <c r="HD502" s="98">
        <f t="shared" si="3328"/>
        <v>0</v>
      </c>
      <c r="HE502" s="98">
        <f t="shared" si="3328"/>
        <v>0</v>
      </c>
      <c r="HF502" s="98">
        <f t="shared" si="3328"/>
        <v>0</v>
      </c>
      <c r="HG502" s="98">
        <f t="shared" si="3328"/>
        <v>0</v>
      </c>
      <c r="HH502" s="98">
        <f t="shared" si="3328"/>
        <v>0</v>
      </c>
      <c r="HI502" s="98">
        <f t="shared" si="3328"/>
        <v>0</v>
      </c>
      <c r="HJ502" s="98">
        <f t="shared" si="3328"/>
        <v>0</v>
      </c>
      <c r="HK502" s="98">
        <f t="shared" si="3328"/>
        <v>0</v>
      </c>
      <c r="HL502" s="98">
        <f t="shared" si="3328"/>
        <v>0</v>
      </c>
      <c r="HM502" s="98">
        <f t="shared" si="3328"/>
        <v>0</v>
      </c>
      <c r="HN502" s="98">
        <f t="shared" si="3328"/>
        <v>0</v>
      </c>
      <c r="HO502" s="98">
        <f t="shared" si="3328"/>
        <v>0</v>
      </c>
      <c r="HP502" s="98">
        <f t="shared" si="3328"/>
        <v>0</v>
      </c>
      <c r="HQ502" s="198">
        <f t="shared" si="2639"/>
        <v>0</v>
      </c>
      <c r="HR502" s="198">
        <f t="shared" si="2640"/>
        <v>0</v>
      </c>
      <c r="HS502" s="98">
        <f t="shared" ref="HS502:IF502" si="3329">SUM(HS31,HS69,HS107,HS145,HS183,HS221,HS259,HS297,HS335,HS373,HS411,HS449)</f>
        <v>0</v>
      </c>
      <c r="HT502" s="98">
        <f t="shared" si="3329"/>
        <v>0</v>
      </c>
      <c r="HU502" s="98">
        <f t="shared" si="3329"/>
        <v>0</v>
      </c>
      <c r="HV502" s="98">
        <f t="shared" si="3329"/>
        <v>0</v>
      </c>
      <c r="HW502" s="98">
        <f t="shared" si="3329"/>
        <v>0</v>
      </c>
      <c r="HX502" s="98">
        <f t="shared" si="3329"/>
        <v>0</v>
      </c>
      <c r="HY502" s="98">
        <f t="shared" si="3329"/>
        <v>0</v>
      </c>
      <c r="HZ502" s="98">
        <f t="shared" si="3329"/>
        <v>0</v>
      </c>
      <c r="IA502" s="98">
        <f t="shared" si="3329"/>
        <v>0</v>
      </c>
      <c r="IB502" s="98">
        <f t="shared" si="3329"/>
        <v>0</v>
      </c>
      <c r="IC502" s="98">
        <f t="shared" si="3329"/>
        <v>0</v>
      </c>
      <c r="ID502" s="98">
        <f t="shared" si="3329"/>
        <v>0</v>
      </c>
      <c r="IE502" s="98">
        <f t="shared" si="3329"/>
        <v>0</v>
      </c>
      <c r="IF502" s="98">
        <f t="shared" si="3329"/>
        <v>0</v>
      </c>
      <c r="IG502" s="198">
        <f t="shared" si="2642"/>
        <v>0</v>
      </c>
      <c r="IH502" s="198">
        <f t="shared" si="2643"/>
        <v>0</v>
      </c>
      <c r="II502" s="98">
        <f t="shared" ref="II502:IV502" si="3330">SUM(II31,II69,II107,II145,II183,II221,II259,II297,II335,II373,II411,II449)</f>
        <v>0</v>
      </c>
      <c r="IJ502" s="98">
        <f t="shared" si="3330"/>
        <v>0</v>
      </c>
      <c r="IK502" s="98">
        <f t="shared" si="3330"/>
        <v>0</v>
      </c>
      <c r="IL502" s="98">
        <f t="shared" si="3330"/>
        <v>0</v>
      </c>
      <c r="IM502" s="98">
        <f t="shared" si="3330"/>
        <v>0</v>
      </c>
      <c r="IN502" s="98">
        <f t="shared" si="3330"/>
        <v>0</v>
      </c>
      <c r="IO502" s="98">
        <f t="shared" si="3330"/>
        <v>0</v>
      </c>
      <c r="IP502" s="98">
        <f t="shared" si="3330"/>
        <v>0</v>
      </c>
      <c r="IQ502" s="98">
        <f t="shared" si="3330"/>
        <v>0</v>
      </c>
      <c r="IR502" s="98">
        <f t="shared" si="3330"/>
        <v>0</v>
      </c>
      <c r="IS502" s="98">
        <f t="shared" si="3330"/>
        <v>0</v>
      </c>
      <c r="IT502" s="98">
        <f t="shared" si="3330"/>
        <v>0</v>
      </c>
      <c r="IU502" s="98">
        <f t="shared" si="3330"/>
        <v>0</v>
      </c>
      <c r="IV502" s="98">
        <f t="shared" si="3330"/>
        <v>0</v>
      </c>
      <c r="IW502" s="198">
        <f t="shared" si="2645"/>
        <v>0</v>
      </c>
      <c r="IX502" s="198">
        <f t="shared" si="2646"/>
        <v>0</v>
      </c>
      <c r="IY502" s="98">
        <f t="shared" ref="IY502:JL502" si="3331">SUM(IY31,IY69,IY107,IY145,IY183,IY221,IY259,IY297,IY335,IY373,IY411,IY449)</f>
        <v>0</v>
      </c>
      <c r="IZ502" s="98">
        <f t="shared" si="3331"/>
        <v>0</v>
      </c>
      <c r="JA502" s="98">
        <f t="shared" si="3331"/>
        <v>0</v>
      </c>
      <c r="JB502" s="98">
        <f t="shared" si="3331"/>
        <v>0</v>
      </c>
      <c r="JC502" s="98">
        <f t="shared" si="3331"/>
        <v>0</v>
      </c>
      <c r="JD502" s="98">
        <f t="shared" si="3331"/>
        <v>0</v>
      </c>
      <c r="JE502" s="98">
        <f t="shared" si="3331"/>
        <v>0</v>
      </c>
      <c r="JF502" s="98">
        <f t="shared" si="3331"/>
        <v>0</v>
      </c>
      <c r="JG502" s="98">
        <f t="shared" si="3331"/>
        <v>0</v>
      </c>
      <c r="JH502" s="98">
        <f t="shared" si="3331"/>
        <v>0</v>
      </c>
      <c r="JI502" s="98">
        <f t="shared" si="3331"/>
        <v>0</v>
      </c>
      <c r="JJ502" s="98">
        <f t="shared" si="3331"/>
        <v>0</v>
      </c>
      <c r="JK502" s="98">
        <f t="shared" si="3331"/>
        <v>0</v>
      </c>
      <c r="JL502" s="98">
        <f t="shared" si="3331"/>
        <v>0</v>
      </c>
      <c r="JM502" s="198">
        <f t="shared" si="2648"/>
        <v>0</v>
      </c>
      <c r="JN502" s="198">
        <f t="shared" si="2649"/>
        <v>0</v>
      </c>
      <c r="JO502" s="98">
        <f t="shared" ref="JO502:KB502" si="3332">SUM(JO31,JO69,JO107,JO145,JO183,JO221,JO259,JO297,JO335,JO373,JO411,JO449)</f>
        <v>0</v>
      </c>
      <c r="JP502" s="98">
        <f t="shared" si="3332"/>
        <v>0</v>
      </c>
      <c r="JQ502" s="98">
        <f t="shared" si="3332"/>
        <v>0</v>
      </c>
      <c r="JR502" s="98">
        <f t="shared" si="3332"/>
        <v>0</v>
      </c>
      <c r="JS502" s="98">
        <f t="shared" si="3332"/>
        <v>0</v>
      </c>
      <c r="JT502" s="98">
        <f t="shared" si="3332"/>
        <v>0</v>
      </c>
      <c r="JU502" s="98">
        <f t="shared" si="3332"/>
        <v>0</v>
      </c>
      <c r="JV502" s="98">
        <f t="shared" si="3332"/>
        <v>0</v>
      </c>
      <c r="JW502" s="98">
        <f t="shared" si="3332"/>
        <v>0</v>
      </c>
      <c r="JX502" s="98">
        <f t="shared" si="3332"/>
        <v>0</v>
      </c>
      <c r="JY502" s="98">
        <f t="shared" si="3332"/>
        <v>0</v>
      </c>
      <c r="JZ502" s="98">
        <f t="shared" si="3332"/>
        <v>0</v>
      </c>
      <c r="KA502" s="98">
        <f t="shared" si="3332"/>
        <v>0</v>
      </c>
      <c r="KB502" s="98">
        <f t="shared" si="3332"/>
        <v>0</v>
      </c>
      <c r="KC502" s="198">
        <f t="shared" si="2651"/>
        <v>0</v>
      </c>
      <c r="KD502" s="198">
        <f t="shared" si="2652"/>
        <v>0</v>
      </c>
      <c r="KE502" s="98">
        <f t="shared" ref="KE502:KR502" si="3333">SUM(KE31,KE69,KE107,KE145,KE183,KE221,KE259,KE297,KE335,KE373,KE411,KE449)</f>
        <v>0</v>
      </c>
      <c r="KF502" s="98">
        <f t="shared" si="3333"/>
        <v>0</v>
      </c>
      <c r="KG502" s="98">
        <f t="shared" si="3333"/>
        <v>0</v>
      </c>
      <c r="KH502" s="98">
        <f t="shared" si="3333"/>
        <v>0</v>
      </c>
      <c r="KI502" s="98">
        <f t="shared" si="3333"/>
        <v>0</v>
      </c>
      <c r="KJ502" s="98">
        <f t="shared" si="3333"/>
        <v>0</v>
      </c>
      <c r="KK502" s="98">
        <f t="shared" si="3333"/>
        <v>0</v>
      </c>
      <c r="KL502" s="98">
        <f t="shared" si="3333"/>
        <v>0</v>
      </c>
      <c r="KM502" s="98">
        <f t="shared" si="3333"/>
        <v>0</v>
      </c>
      <c r="KN502" s="98">
        <f t="shared" si="3333"/>
        <v>0</v>
      </c>
      <c r="KO502" s="98">
        <f t="shared" si="3333"/>
        <v>0</v>
      </c>
      <c r="KP502" s="98">
        <f t="shared" si="3333"/>
        <v>0</v>
      </c>
      <c r="KQ502" s="98">
        <f t="shared" si="3333"/>
        <v>0</v>
      </c>
      <c r="KR502" s="98">
        <f t="shared" si="3333"/>
        <v>0</v>
      </c>
      <c r="KS502" s="198">
        <f t="shared" si="2654"/>
        <v>0</v>
      </c>
      <c r="KT502" s="198">
        <f t="shared" si="2655"/>
        <v>0</v>
      </c>
      <c r="KU502" s="98">
        <f t="shared" ref="KU502:LH502" si="3334">SUM(KU31,KU69,KU107,KU145,KU183,KU221,KU259,KU297,KU335,KU373,KU411,KU449)</f>
        <v>0</v>
      </c>
      <c r="KV502" s="98">
        <f t="shared" si="3334"/>
        <v>0</v>
      </c>
      <c r="KW502" s="98">
        <f t="shared" si="3334"/>
        <v>0</v>
      </c>
      <c r="KX502" s="98">
        <f t="shared" si="3334"/>
        <v>0</v>
      </c>
      <c r="KY502" s="98">
        <f t="shared" si="3334"/>
        <v>0</v>
      </c>
      <c r="KZ502" s="98">
        <f t="shared" si="3334"/>
        <v>0</v>
      </c>
      <c r="LA502" s="98">
        <f t="shared" si="3334"/>
        <v>0</v>
      </c>
      <c r="LB502" s="98">
        <f t="shared" si="3334"/>
        <v>0</v>
      </c>
      <c r="LC502" s="98">
        <f t="shared" si="3334"/>
        <v>0</v>
      </c>
      <c r="LD502" s="98">
        <f t="shared" si="3334"/>
        <v>0</v>
      </c>
      <c r="LE502" s="98">
        <f t="shared" si="3334"/>
        <v>0</v>
      </c>
      <c r="LF502" s="98">
        <f t="shared" si="3334"/>
        <v>0</v>
      </c>
      <c r="LG502" s="98">
        <f t="shared" si="3334"/>
        <v>0</v>
      </c>
      <c r="LH502" s="98">
        <f t="shared" si="3334"/>
        <v>0</v>
      </c>
      <c r="LI502" s="198">
        <f t="shared" si="2657"/>
        <v>0</v>
      </c>
      <c r="LJ502" s="198">
        <f t="shared" si="2658"/>
        <v>0</v>
      </c>
      <c r="LK502" s="98">
        <f t="shared" ref="LK502:LX502" si="3335">SUM(LK31,LK69,LK107,LK145,LK183,LK221,LK259,LK297,LK335,LK373,LK411,LK449)</f>
        <v>0</v>
      </c>
      <c r="LL502" s="98">
        <f t="shared" si="3335"/>
        <v>0</v>
      </c>
      <c r="LM502" s="98">
        <f t="shared" si="3335"/>
        <v>0</v>
      </c>
      <c r="LN502" s="98">
        <f t="shared" si="3335"/>
        <v>0</v>
      </c>
      <c r="LO502" s="98">
        <f t="shared" si="3335"/>
        <v>0</v>
      </c>
      <c r="LP502" s="98">
        <f t="shared" si="3335"/>
        <v>0</v>
      </c>
      <c r="LQ502" s="98">
        <f t="shared" si="3335"/>
        <v>0</v>
      </c>
      <c r="LR502" s="98">
        <f t="shared" si="3335"/>
        <v>0</v>
      </c>
      <c r="LS502" s="98">
        <f t="shared" si="3335"/>
        <v>0</v>
      </c>
      <c r="LT502" s="98">
        <f t="shared" si="3335"/>
        <v>0</v>
      </c>
      <c r="LU502" s="98">
        <f t="shared" si="3335"/>
        <v>0</v>
      </c>
      <c r="LV502" s="98">
        <f t="shared" si="3335"/>
        <v>0</v>
      </c>
      <c r="LW502" s="98">
        <f t="shared" si="3335"/>
        <v>0</v>
      </c>
      <c r="LX502" s="98">
        <f t="shared" si="3335"/>
        <v>0</v>
      </c>
      <c r="LY502" s="198">
        <f t="shared" si="2660"/>
        <v>0</v>
      </c>
      <c r="LZ502" s="198">
        <f t="shared" si="2661"/>
        <v>0</v>
      </c>
      <c r="MA502" s="98">
        <f t="shared" ref="MA502:MN502" si="3336">SUM(MA31,MA69,MA107,MA145,MA183,MA221,MA259,MA297,MA335,MA373,MA411,MA449)</f>
        <v>0</v>
      </c>
      <c r="MB502" s="98">
        <f t="shared" si="3336"/>
        <v>0</v>
      </c>
      <c r="MC502" s="98">
        <f t="shared" si="3336"/>
        <v>69990</v>
      </c>
      <c r="MD502" s="98">
        <f t="shared" si="3336"/>
        <v>699900</v>
      </c>
      <c r="ME502" s="98">
        <f t="shared" si="3336"/>
        <v>0</v>
      </c>
      <c r="MF502" s="98">
        <f t="shared" si="3336"/>
        <v>0</v>
      </c>
      <c r="MG502" s="98">
        <f t="shared" si="3336"/>
        <v>0</v>
      </c>
      <c r="MH502" s="98">
        <f t="shared" si="3336"/>
        <v>0</v>
      </c>
      <c r="MI502" s="98">
        <f t="shared" si="3336"/>
        <v>0</v>
      </c>
      <c r="MJ502" s="98">
        <f t="shared" si="3336"/>
        <v>0</v>
      </c>
      <c r="MK502" s="98">
        <f t="shared" si="3336"/>
        <v>0</v>
      </c>
      <c r="ML502" s="98">
        <f t="shared" si="3336"/>
        <v>0</v>
      </c>
      <c r="MM502" s="98">
        <f t="shared" si="3336"/>
        <v>0</v>
      </c>
      <c r="MN502" s="98">
        <f t="shared" si="3336"/>
        <v>0</v>
      </c>
      <c r="MO502" s="198">
        <f t="shared" si="2663"/>
        <v>69990</v>
      </c>
      <c r="MP502" s="198">
        <f t="shared" si="2664"/>
        <v>699900</v>
      </c>
      <c r="MQ502" s="98">
        <f t="shared" ref="MQ502:ND502" si="3337">SUM(MQ31,MQ69,MQ107,MQ145,MQ183,MQ221,MQ259,MQ297,MQ335,MQ373,MQ411,MQ449)</f>
        <v>0</v>
      </c>
      <c r="MR502" s="98">
        <f t="shared" si="3337"/>
        <v>0</v>
      </c>
      <c r="MS502" s="98">
        <f t="shared" si="3337"/>
        <v>14745</v>
      </c>
      <c r="MT502" s="98">
        <f t="shared" si="3337"/>
        <v>368625</v>
      </c>
      <c r="MU502" s="98">
        <f t="shared" si="3337"/>
        <v>0</v>
      </c>
      <c r="MV502" s="98">
        <f t="shared" si="3337"/>
        <v>0</v>
      </c>
      <c r="MW502" s="98">
        <f t="shared" si="3337"/>
        <v>0</v>
      </c>
      <c r="MX502" s="98">
        <f t="shared" si="3337"/>
        <v>0</v>
      </c>
      <c r="MY502" s="98">
        <f t="shared" si="3337"/>
        <v>0</v>
      </c>
      <c r="MZ502" s="98">
        <f t="shared" si="3337"/>
        <v>0</v>
      </c>
      <c r="NA502" s="98">
        <f t="shared" si="3337"/>
        <v>0</v>
      </c>
      <c r="NB502" s="98">
        <f t="shared" si="3337"/>
        <v>0</v>
      </c>
      <c r="NC502" s="98">
        <f t="shared" si="3337"/>
        <v>0</v>
      </c>
      <c r="ND502" s="98">
        <f t="shared" si="3337"/>
        <v>0</v>
      </c>
      <c r="NE502" s="198">
        <f t="shared" si="2666"/>
        <v>14745</v>
      </c>
      <c r="NF502" s="198">
        <f t="shared" si="2667"/>
        <v>368625</v>
      </c>
      <c r="NG502" s="98">
        <f t="shared" ref="NG502:NT502" si="3338">SUM(NG31,NG69,NG107,NG145,NG183,NG221,NG259,NG297,NG335,NG373,NG411,NG449)</f>
        <v>0</v>
      </c>
      <c r="NH502" s="98">
        <f t="shared" si="3338"/>
        <v>0</v>
      </c>
      <c r="NI502" s="98">
        <f t="shared" si="3338"/>
        <v>3415700</v>
      </c>
      <c r="NJ502" s="98">
        <f t="shared" si="3338"/>
        <v>54651200</v>
      </c>
      <c r="NK502" s="98">
        <f t="shared" si="3338"/>
        <v>0</v>
      </c>
      <c r="NL502" s="98">
        <f t="shared" si="3338"/>
        <v>0</v>
      </c>
      <c r="NM502" s="98">
        <f t="shared" si="3338"/>
        <v>0</v>
      </c>
      <c r="NN502" s="98">
        <f t="shared" si="3338"/>
        <v>0</v>
      </c>
      <c r="NO502" s="98">
        <f t="shared" si="3338"/>
        <v>0</v>
      </c>
      <c r="NP502" s="98">
        <f t="shared" si="3338"/>
        <v>0</v>
      </c>
      <c r="NQ502" s="98">
        <f t="shared" si="3338"/>
        <v>0</v>
      </c>
      <c r="NR502" s="98">
        <f t="shared" si="3338"/>
        <v>0</v>
      </c>
      <c r="NS502" s="98">
        <f t="shared" si="3338"/>
        <v>0</v>
      </c>
      <c r="NT502" s="98">
        <f t="shared" si="3338"/>
        <v>0</v>
      </c>
      <c r="NU502" s="198">
        <f t="shared" si="2669"/>
        <v>3415700</v>
      </c>
      <c r="NV502" s="198">
        <f t="shared" si="2670"/>
        <v>54651200</v>
      </c>
      <c r="NW502" s="98">
        <f t="shared" ref="NW502:OJ502" si="3339">SUM(NW31,NW69,NW107,NW145,NW183,NW221,NW259,NW297,NW335,NW373,NW411,NW449)</f>
        <v>0</v>
      </c>
      <c r="NX502" s="98">
        <f t="shared" si="3339"/>
        <v>0</v>
      </c>
      <c r="NY502" s="98">
        <f t="shared" si="3339"/>
        <v>0</v>
      </c>
      <c r="NZ502" s="98">
        <f t="shared" si="3339"/>
        <v>0</v>
      </c>
      <c r="OA502" s="98">
        <f t="shared" si="3339"/>
        <v>0</v>
      </c>
      <c r="OB502" s="98">
        <f t="shared" si="3339"/>
        <v>0</v>
      </c>
      <c r="OC502" s="98">
        <f t="shared" si="3339"/>
        <v>0</v>
      </c>
      <c r="OD502" s="98">
        <f t="shared" si="3339"/>
        <v>0</v>
      </c>
      <c r="OE502" s="98">
        <f t="shared" si="3339"/>
        <v>0</v>
      </c>
      <c r="OF502" s="98">
        <f t="shared" si="3339"/>
        <v>0</v>
      </c>
      <c r="OG502" s="98">
        <f t="shared" si="3339"/>
        <v>0</v>
      </c>
      <c r="OH502" s="98">
        <f t="shared" si="3339"/>
        <v>0</v>
      </c>
      <c r="OI502" s="98">
        <f t="shared" si="3339"/>
        <v>0</v>
      </c>
      <c r="OJ502" s="98">
        <f t="shared" si="3339"/>
        <v>0</v>
      </c>
      <c r="OK502" s="198">
        <f t="shared" si="2672"/>
        <v>0</v>
      </c>
      <c r="OL502" s="198">
        <f t="shared" si="2673"/>
        <v>0</v>
      </c>
      <c r="OM502" s="98">
        <f t="shared" ref="OM502:OZ502" si="3340">SUM(OM31,OM69,OM107,OM145,OM183,OM221,OM259,OM297,OM335,OM373,OM411,OM449)</f>
        <v>0</v>
      </c>
      <c r="ON502" s="98">
        <f t="shared" si="3340"/>
        <v>0</v>
      </c>
      <c r="OO502" s="98">
        <f t="shared" si="3340"/>
        <v>0</v>
      </c>
      <c r="OP502" s="98">
        <f t="shared" si="3340"/>
        <v>0</v>
      </c>
      <c r="OQ502" s="98">
        <f t="shared" si="3340"/>
        <v>0</v>
      </c>
      <c r="OR502" s="98">
        <f t="shared" si="3340"/>
        <v>0</v>
      </c>
      <c r="OS502" s="98">
        <f t="shared" si="3340"/>
        <v>0</v>
      </c>
      <c r="OT502" s="98">
        <f t="shared" si="3340"/>
        <v>0</v>
      </c>
      <c r="OU502" s="98">
        <f t="shared" si="3340"/>
        <v>0</v>
      </c>
      <c r="OV502" s="98">
        <f t="shared" si="3340"/>
        <v>0</v>
      </c>
      <c r="OW502" s="98">
        <f t="shared" si="3340"/>
        <v>0</v>
      </c>
      <c r="OX502" s="98">
        <f t="shared" si="3340"/>
        <v>0</v>
      </c>
      <c r="OY502" s="98">
        <f t="shared" si="3340"/>
        <v>0</v>
      </c>
      <c r="OZ502" s="98">
        <f t="shared" si="3340"/>
        <v>0</v>
      </c>
      <c r="PA502" s="198">
        <f t="shared" si="2675"/>
        <v>0</v>
      </c>
      <c r="PB502" s="198">
        <f t="shared" si="2676"/>
        <v>0</v>
      </c>
      <c r="PC502" s="98">
        <f t="shared" ref="PC502:PP502" si="3341">SUM(PC31,PC69,PC107,PC145,PC183,PC221,PC259,PC297,PC335,PC373,PC411,PC449)</f>
        <v>0</v>
      </c>
      <c r="PD502" s="98">
        <f t="shared" si="3341"/>
        <v>0</v>
      </c>
      <c r="PE502" s="98">
        <f t="shared" si="3341"/>
        <v>0</v>
      </c>
      <c r="PF502" s="98">
        <f t="shared" si="3341"/>
        <v>0</v>
      </c>
      <c r="PG502" s="98">
        <f t="shared" si="3341"/>
        <v>0</v>
      </c>
      <c r="PH502" s="98">
        <f t="shared" si="3341"/>
        <v>0</v>
      </c>
      <c r="PI502" s="98">
        <f t="shared" si="3341"/>
        <v>0</v>
      </c>
      <c r="PJ502" s="98">
        <f t="shared" si="3341"/>
        <v>0</v>
      </c>
      <c r="PK502" s="98">
        <f t="shared" si="3341"/>
        <v>0</v>
      </c>
      <c r="PL502" s="98">
        <f t="shared" si="3341"/>
        <v>0</v>
      </c>
      <c r="PM502" s="98">
        <f t="shared" si="3341"/>
        <v>0</v>
      </c>
      <c r="PN502" s="98">
        <f t="shared" si="3341"/>
        <v>0</v>
      </c>
      <c r="PO502" s="98">
        <f t="shared" si="3341"/>
        <v>0</v>
      </c>
      <c r="PP502" s="98">
        <f t="shared" si="3341"/>
        <v>0</v>
      </c>
      <c r="PQ502" s="198">
        <f t="shared" si="2678"/>
        <v>0</v>
      </c>
      <c r="PR502" s="198">
        <f t="shared" si="2679"/>
        <v>0</v>
      </c>
      <c r="PS502" s="98">
        <f t="shared" ref="PS502:QF502" si="3342">SUM(PS31,PS69,PS107,PS145,PS183,PS221,PS259,PS297,PS335,PS373,PS411,PS449)</f>
        <v>0</v>
      </c>
      <c r="PT502" s="98">
        <f t="shared" si="3342"/>
        <v>0</v>
      </c>
      <c r="PU502" s="98">
        <f t="shared" si="3342"/>
        <v>541370</v>
      </c>
      <c r="PV502" s="98">
        <f t="shared" si="3342"/>
        <v>6161070</v>
      </c>
      <c r="PW502" s="98">
        <f t="shared" si="3342"/>
        <v>0</v>
      </c>
      <c r="PX502" s="98">
        <f t="shared" si="3342"/>
        <v>0</v>
      </c>
      <c r="PY502" s="98">
        <f t="shared" si="3342"/>
        <v>0</v>
      </c>
      <c r="PZ502" s="98">
        <f t="shared" si="3342"/>
        <v>0</v>
      </c>
      <c r="QA502" s="98">
        <f t="shared" si="3342"/>
        <v>35120</v>
      </c>
      <c r="QB502" s="98">
        <f t="shared" si="3342"/>
        <v>421440</v>
      </c>
      <c r="QC502" s="98">
        <f t="shared" si="3342"/>
        <v>0</v>
      </c>
      <c r="QD502" s="98">
        <f t="shared" si="3342"/>
        <v>0</v>
      </c>
      <c r="QE502" s="98">
        <f t="shared" si="3342"/>
        <v>0</v>
      </c>
      <c r="QF502" s="98">
        <f t="shared" si="3342"/>
        <v>0</v>
      </c>
      <c r="QG502" s="198">
        <f t="shared" si="2681"/>
        <v>576490</v>
      </c>
      <c r="QH502" s="198">
        <f t="shared" si="2682"/>
        <v>6582510</v>
      </c>
      <c r="QI502" s="98">
        <f t="shared" ref="QI502:QV502" si="3343">SUM(QI31,QI69,QI107,QI145,QI183,QI221,QI259,QI297,QI335,QI373,QI411,QI449)</f>
        <v>0</v>
      </c>
      <c r="QJ502" s="98">
        <f t="shared" si="3343"/>
        <v>0</v>
      </c>
      <c r="QK502" s="98">
        <f t="shared" si="3343"/>
        <v>0</v>
      </c>
      <c r="QL502" s="98">
        <f t="shared" si="3343"/>
        <v>0</v>
      </c>
      <c r="QM502" s="98">
        <f t="shared" si="3343"/>
        <v>0</v>
      </c>
      <c r="QN502" s="98">
        <f t="shared" si="3343"/>
        <v>0</v>
      </c>
      <c r="QO502" s="98">
        <f t="shared" si="3343"/>
        <v>0</v>
      </c>
      <c r="QP502" s="98">
        <f t="shared" si="3343"/>
        <v>0</v>
      </c>
      <c r="QQ502" s="98">
        <f t="shared" si="3343"/>
        <v>0</v>
      </c>
      <c r="QR502" s="98">
        <f t="shared" si="3343"/>
        <v>0</v>
      </c>
      <c r="QS502" s="98">
        <f t="shared" si="3343"/>
        <v>0</v>
      </c>
      <c r="QT502" s="98">
        <f t="shared" si="3343"/>
        <v>0</v>
      </c>
      <c r="QU502" s="98">
        <f t="shared" si="3343"/>
        <v>0</v>
      </c>
      <c r="QV502" s="98">
        <f t="shared" si="3343"/>
        <v>0</v>
      </c>
      <c r="QW502" s="198">
        <f t="shared" si="2684"/>
        <v>0</v>
      </c>
      <c r="QX502" s="198">
        <f t="shared" si="2685"/>
        <v>0</v>
      </c>
      <c r="QY502" s="98">
        <f t="shared" ref="QY502:RL502" si="3344">SUM(QY31,QY69,QY107,QY145,QY183,QY221,QY259,QY297,QY335,QY373,QY411,QY449)</f>
        <v>0</v>
      </c>
      <c r="QZ502" s="98">
        <f t="shared" si="3344"/>
        <v>0</v>
      </c>
      <c r="RA502" s="98">
        <f t="shared" si="3344"/>
        <v>0</v>
      </c>
      <c r="RB502" s="98">
        <f t="shared" si="3344"/>
        <v>0</v>
      </c>
      <c r="RC502" s="98">
        <f t="shared" si="3344"/>
        <v>0</v>
      </c>
      <c r="RD502" s="98">
        <f t="shared" si="3344"/>
        <v>0</v>
      </c>
      <c r="RE502" s="98">
        <f t="shared" si="3344"/>
        <v>0</v>
      </c>
      <c r="RF502" s="98">
        <f t="shared" si="3344"/>
        <v>0</v>
      </c>
      <c r="RG502" s="98">
        <f t="shared" si="3344"/>
        <v>0</v>
      </c>
      <c r="RH502" s="98">
        <f t="shared" si="3344"/>
        <v>0</v>
      </c>
      <c r="RI502" s="98">
        <f t="shared" si="3344"/>
        <v>0</v>
      </c>
      <c r="RJ502" s="98">
        <f t="shared" si="3344"/>
        <v>0</v>
      </c>
      <c r="RK502" s="98">
        <f t="shared" si="3344"/>
        <v>0</v>
      </c>
      <c r="RL502" s="98">
        <f t="shared" si="3344"/>
        <v>0</v>
      </c>
      <c r="RM502" s="198">
        <f t="shared" si="2687"/>
        <v>0</v>
      </c>
      <c r="RN502" s="198">
        <f t="shared" si="2688"/>
        <v>0</v>
      </c>
      <c r="RO502" s="98">
        <f t="shared" ref="RO502:SB502" si="3345">SUM(RO31,RO69,RO107,RO145,RO183,RO221,RO259,RO297,RO335,RO373,RO411,RO449)</f>
        <v>0</v>
      </c>
      <c r="RP502" s="98">
        <f t="shared" si="3345"/>
        <v>0</v>
      </c>
      <c r="RQ502" s="98">
        <f t="shared" si="3345"/>
        <v>0</v>
      </c>
      <c r="RR502" s="98">
        <f t="shared" si="3345"/>
        <v>0</v>
      </c>
      <c r="RS502" s="98">
        <f t="shared" si="3345"/>
        <v>0</v>
      </c>
      <c r="RT502" s="98">
        <f t="shared" si="3345"/>
        <v>0</v>
      </c>
      <c r="RU502" s="98">
        <f t="shared" si="3345"/>
        <v>0</v>
      </c>
      <c r="RV502" s="98">
        <f t="shared" si="3345"/>
        <v>0</v>
      </c>
      <c r="RW502" s="98">
        <f t="shared" si="3345"/>
        <v>0</v>
      </c>
      <c r="RX502" s="98">
        <f t="shared" si="3345"/>
        <v>0</v>
      </c>
      <c r="RY502" s="98">
        <f t="shared" si="3345"/>
        <v>0</v>
      </c>
      <c r="RZ502" s="98">
        <f t="shared" si="3345"/>
        <v>0</v>
      </c>
      <c r="SA502" s="98">
        <f t="shared" si="3345"/>
        <v>0</v>
      </c>
      <c r="SB502" s="98">
        <f t="shared" si="3345"/>
        <v>0</v>
      </c>
      <c r="SC502" s="198">
        <f t="shared" si="2690"/>
        <v>0</v>
      </c>
      <c r="SD502" s="198">
        <f t="shared" si="2691"/>
        <v>0</v>
      </c>
      <c r="SE502" s="98">
        <f t="shared" ref="SE502:SR502" si="3346">SUM(SE31,SE69,SE107,SE145,SE183,SE221,SE259,SE297,SE335,SE373,SE411,SE449)</f>
        <v>0</v>
      </c>
      <c r="SF502" s="98">
        <f t="shared" si="3346"/>
        <v>0</v>
      </c>
      <c r="SG502" s="98">
        <f t="shared" si="3346"/>
        <v>0</v>
      </c>
      <c r="SH502" s="98">
        <f t="shared" si="3346"/>
        <v>0</v>
      </c>
      <c r="SI502" s="98">
        <f t="shared" si="3346"/>
        <v>0</v>
      </c>
      <c r="SJ502" s="98">
        <f t="shared" si="3346"/>
        <v>0</v>
      </c>
      <c r="SK502" s="98">
        <f t="shared" si="3346"/>
        <v>0</v>
      </c>
      <c r="SL502" s="98">
        <f t="shared" si="3346"/>
        <v>0</v>
      </c>
      <c r="SM502" s="98">
        <f t="shared" si="3346"/>
        <v>0</v>
      </c>
      <c r="SN502" s="98">
        <f t="shared" si="3346"/>
        <v>0</v>
      </c>
      <c r="SO502" s="98">
        <f t="shared" si="3346"/>
        <v>0</v>
      </c>
      <c r="SP502" s="98">
        <f t="shared" si="3346"/>
        <v>0</v>
      </c>
      <c r="SQ502" s="98">
        <f t="shared" si="3346"/>
        <v>0</v>
      </c>
      <c r="SR502" s="98">
        <f t="shared" si="3346"/>
        <v>0</v>
      </c>
      <c r="SS502" s="198">
        <f t="shared" si="2693"/>
        <v>0</v>
      </c>
      <c r="ST502" s="198">
        <f t="shared" si="2694"/>
        <v>0</v>
      </c>
      <c r="SU502" s="98">
        <f t="shared" ref="SU502:TH502" si="3347">SUM(SU31,SU69,SU107,SU145,SU183,SU221,SU259,SU297,SU335,SU373,SU411,SU449)</f>
        <v>0</v>
      </c>
      <c r="SV502" s="98">
        <f t="shared" si="3347"/>
        <v>0</v>
      </c>
      <c r="SW502" s="98">
        <f t="shared" si="3347"/>
        <v>0</v>
      </c>
      <c r="SX502" s="98">
        <f t="shared" si="3347"/>
        <v>0</v>
      </c>
      <c r="SY502" s="98">
        <f t="shared" si="3347"/>
        <v>0</v>
      </c>
      <c r="SZ502" s="98">
        <f t="shared" si="3347"/>
        <v>0</v>
      </c>
      <c r="TA502" s="98">
        <f t="shared" si="3347"/>
        <v>0</v>
      </c>
      <c r="TB502" s="98">
        <f t="shared" si="3347"/>
        <v>0</v>
      </c>
      <c r="TC502" s="98">
        <f t="shared" si="3347"/>
        <v>0</v>
      </c>
      <c r="TD502" s="98">
        <f t="shared" si="3347"/>
        <v>0</v>
      </c>
      <c r="TE502" s="98">
        <f t="shared" si="3347"/>
        <v>0</v>
      </c>
      <c r="TF502" s="98">
        <f t="shared" si="3347"/>
        <v>0</v>
      </c>
      <c r="TG502" s="98">
        <f t="shared" si="3347"/>
        <v>0</v>
      </c>
      <c r="TH502" s="98">
        <f t="shared" si="3347"/>
        <v>0</v>
      </c>
      <c r="TI502" s="198">
        <f t="shared" si="2696"/>
        <v>0</v>
      </c>
      <c r="TJ502" s="198">
        <f t="shared" si="2697"/>
        <v>0</v>
      </c>
      <c r="TK502" s="98">
        <f t="shared" ref="TK502:TX502" si="3348">SUM(TK31,TK69,TK107,TK145,TK183,TK221,TK259,TK297,TK335,TK373,TK411,TK449)</f>
        <v>0</v>
      </c>
      <c r="TL502" s="98">
        <f t="shared" si="3348"/>
        <v>0</v>
      </c>
      <c r="TM502" s="98">
        <f t="shared" si="3348"/>
        <v>0</v>
      </c>
      <c r="TN502" s="98">
        <f t="shared" si="3348"/>
        <v>0</v>
      </c>
      <c r="TO502" s="98">
        <f t="shared" si="3348"/>
        <v>0</v>
      </c>
      <c r="TP502" s="98">
        <f t="shared" si="3348"/>
        <v>0</v>
      </c>
      <c r="TQ502" s="98">
        <f t="shared" si="3348"/>
        <v>0</v>
      </c>
      <c r="TR502" s="98">
        <f t="shared" si="3348"/>
        <v>0</v>
      </c>
      <c r="TS502" s="98">
        <f t="shared" si="3348"/>
        <v>0</v>
      </c>
      <c r="TT502" s="98">
        <f t="shared" si="3348"/>
        <v>0</v>
      </c>
      <c r="TU502" s="98">
        <f t="shared" si="3348"/>
        <v>0</v>
      </c>
      <c r="TV502" s="98">
        <f t="shared" si="3348"/>
        <v>0</v>
      </c>
      <c r="TW502" s="98">
        <f t="shared" si="3348"/>
        <v>0</v>
      </c>
      <c r="TX502" s="98">
        <f t="shared" si="3348"/>
        <v>0</v>
      </c>
      <c r="TY502" s="198">
        <f t="shared" si="2699"/>
        <v>0</v>
      </c>
      <c r="TZ502" s="198">
        <f t="shared" si="2700"/>
        <v>0</v>
      </c>
      <c r="UA502" s="98">
        <f t="shared" ref="UA502:UN502" si="3349">SUM(UA31,UA69,UA107,UA145,UA183,UA221,UA259,UA297,UA335,UA373,UA411,UA449)</f>
        <v>0</v>
      </c>
      <c r="UB502" s="98">
        <f t="shared" si="3349"/>
        <v>0</v>
      </c>
      <c r="UC502" s="98">
        <f t="shared" si="3349"/>
        <v>0</v>
      </c>
      <c r="UD502" s="98">
        <f t="shared" si="3349"/>
        <v>0</v>
      </c>
      <c r="UE502" s="98">
        <f t="shared" si="3349"/>
        <v>0</v>
      </c>
      <c r="UF502" s="98">
        <f t="shared" si="3349"/>
        <v>0</v>
      </c>
      <c r="UG502" s="98">
        <f t="shared" si="3349"/>
        <v>0</v>
      </c>
      <c r="UH502" s="98">
        <f t="shared" si="3349"/>
        <v>0</v>
      </c>
      <c r="UI502" s="98">
        <f t="shared" si="3349"/>
        <v>0</v>
      </c>
      <c r="UJ502" s="98">
        <f t="shared" si="3349"/>
        <v>0</v>
      </c>
      <c r="UK502" s="98">
        <f t="shared" si="3349"/>
        <v>0</v>
      </c>
      <c r="UL502" s="98">
        <f t="shared" si="3349"/>
        <v>0</v>
      </c>
      <c r="UM502" s="98">
        <f t="shared" si="3349"/>
        <v>0</v>
      </c>
      <c r="UN502" s="98">
        <f t="shared" si="3349"/>
        <v>0</v>
      </c>
      <c r="UO502" s="198">
        <f t="shared" si="2702"/>
        <v>0</v>
      </c>
      <c r="UP502" s="198">
        <f t="shared" si="2703"/>
        <v>0</v>
      </c>
      <c r="UQ502" s="98">
        <f t="shared" ref="UQ502:VD502" si="3350">SUM(UQ31,UQ69,UQ107,UQ145,UQ183,UQ221,UQ259,UQ297,UQ335,UQ373,UQ411,UQ449)</f>
        <v>0</v>
      </c>
      <c r="UR502" s="98">
        <f t="shared" si="3350"/>
        <v>0</v>
      </c>
      <c r="US502" s="98">
        <f t="shared" si="3350"/>
        <v>0</v>
      </c>
      <c r="UT502" s="98">
        <f t="shared" si="3350"/>
        <v>0</v>
      </c>
      <c r="UU502" s="98">
        <f t="shared" si="3350"/>
        <v>0</v>
      </c>
      <c r="UV502" s="98">
        <f t="shared" si="3350"/>
        <v>0</v>
      </c>
      <c r="UW502" s="98">
        <f t="shared" si="3350"/>
        <v>0</v>
      </c>
      <c r="UX502" s="98">
        <f t="shared" si="3350"/>
        <v>0</v>
      </c>
      <c r="UY502" s="98">
        <f t="shared" si="3350"/>
        <v>0</v>
      </c>
      <c r="UZ502" s="98">
        <f t="shared" si="3350"/>
        <v>0</v>
      </c>
      <c r="VA502" s="98">
        <f t="shared" si="3350"/>
        <v>0</v>
      </c>
      <c r="VB502" s="98">
        <f t="shared" si="3350"/>
        <v>0</v>
      </c>
      <c r="VC502" s="98">
        <f t="shared" si="3350"/>
        <v>0</v>
      </c>
      <c r="VD502" s="98">
        <f t="shared" si="3350"/>
        <v>0</v>
      </c>
      <c r="VE502" s="198">
        <f t="shared" si="2705"/>
        <v>0</v>
      </c>
      <c r="VF502" s="198">
        <f t="shared" si="2706"/>
        <v>0</v>
      </c>
      <c r="VG502" s="98">
        <f t="shared" ref="VG502:VT502" si="3351">SUM(VG31,VG69,VG107,VG145,VG183,VG221,VG259,VG297,VG335,VG373,VG411,VG449)</f>
        <v>0</v>
      </c>
      <c r="VH502" s="98">
        <f t="shared" si="3351"/>
        <v>0</v>
      </c>
      <c r="VI502" s="98">
        <f t="shared" si="3351"/>
        <v>533</v>
      </c>
      <c r="VJ502" s="98">
        <f t="shared" si="3351"/>
        <v>4797</v>
      </c>
      <c r="VK502" s="98">
        <f t="shared" si="3351"/>
        <v>0</v>
      </c>
      <c r="VL502" s="98">
        <f t="shared" si="3351"/>
        <v>0</v>
      </c>
      <c r="VM502" s="98">
        <f t="shared" si="3351"/>
        <v>0</v>
      </c>
      <c r="VN502" s="98">
        <f t="shared" si="3351"/>
        <v>0</v>
      </c>
      <c r="VO502" s="98">
        <f t="shared" si="3351"/>
        <v>0</v>
      </c>
      <c r="VP502" s="98">
        <f t="shared" si="3351"/>
        <v>0</v>
      </c>
      <c r="VQ502" s="98">
        <f t="shared" si="3351"/>
        <v>0</v>
      </c>
      <c r="VR502" s="98">
        <f t="shared" si="3351"/>
        <v>0</v>
      </c>
      <c r="VS502" s="98">
        <f t="shared" si="3351"/>
        <v>0</v>
      </c>
      <c r="VT502" s="98">
        <f t="shared" si="3351"/>
        <v>0</v>
      </c>
      <c r="VU502" s="198">
        <f t="shared" si="2708"/>
        <v>533</v>
      </c>
      <c r="VV502" s="198">
        <f t="shared" si="2709"/>
        <v>4797</v>
      </c>
      <c r="VW502" s="98">
        <f t="shared" ref="VW502:WJ502" si="3352">SUM(VW31,VW69,VW107,VW145,VW183,VW221,VW259,VW297,VW335,VW373,VW411,VW449)</f>
        <v>0</v>
      </c>
      <c r="VX502" s="98">
        <f t="shared" si="3352"/>
        <v>0</v>
      </c>
      <c r="VY502" s="98">
        <f t="shared" si="3352"/>
        <v>0</v>
      </c>
      <c r="VZ502" s="98">
        <f t="shared" si="3352"/>
        <v>0</v>
      </c>
      <c r="WA502" s="98">
        <f t="shared" si="3352"/>
        <v>0</v>
      </c>
      <c r="WB502" s="98">
        <f t="shared" si="3352"/>
        <v>0</v>
      </c>
      <c r="WC502" s="98">
        <f t="shared" si="3352"/>
        <v>0</v>
      </c>
      <c r="WD502" s="98">
        <f t="shared" si="3352"/>
        <v>0</v>
      </c>
      <c r="WE502" s="98">
        <f t="shared" si="3352"/>
        <v>0</v>
      </c>
      <c r="WF502" s="98">
        <f t="shared" si="3352"/>
        <v>0</v>
      </c>
      <c r="WG502" s="98">
        <f t="shared" si="3352"/>
        <v>0</v>
      </c>
      <c r="WH502" s="98">
        <f t="shared" si="3352"/>
        <v>0</v>
      </c>
      <c r="WI502" s="98">
        <f t="shared" si="3352"/>
        <v>0</v>
      </c>
      <c r="WJ502" s="98">
        <f t="shared" si="3352"/>
        <v>0</v>
      </c>
      <c r="WK502" s="198">
        <f t="shared" si="2711"/>
        <v>0</v>
      </c>
      <c r="WL502" s="198">
        <f t="shared" si="2712"/>
        <v>0</v>
      </c>
      <c r="WN502" s="98">
        <f t="shared" si="2713"/>
        <v>0</v>
      </c>
      <c r="WO502" s="98">
        <f t="shared" si="2714"/>
        <v>0</v>
      </c>
      <c r="WP502" s="98">
        <f t="shared" si="2715"/>
        <v>9712165.306886239</v>
      </c>
      <c r="WQ502" s="98">
        <f t="shared" si="2716"/>
        <v>125581675.64999387</v>
      </c>
      <c r="WR502" s="98">
        <f t="shared" si="2717"/>
        <v>0</v>
      </c>
      <c r="WS502" s="98">
        <f t="shared" si="2718"/>
        <v>0</v>
      </c>
      <c r="WT502" s="98">
        <f t="shared" si="2719"/>
        <v>7407786.7103055483</v>
      </c>
      <c r="WU502" s="98">
        <f t="shared" si="2720"/>
        <v>62242582.352229565</v>
      </c>
      <c r="WV502" s="98">
        <f t="shared" si="2721"/>
        <v>35120</v>
      </c>
      <c r="WW502" s="98">
        <f t="shared" si="2722"/>
        <v>421440</v>
      </c>
      <c r="WX502" s="98">
        <f t="shared" si="2723"/>
        <v>0</v>
      </c>
      <c r="WY502" s="98">
        <f t="shared" si="2724"/>
        <v>0</v>
      </c>
      <c r="WZ502" s="98">
        <f t="shared" si="2725"/>
        <v>0</v>
      </c>
      <c r="XA502" s="98">
        <f t="shared" si="2726"/>
        <v>0</v>
      </c>
      <c r="XB502" s="107">
        <f t="shared" si="2727"/>
        <v>17155072.017191786</v>
      </c>
      <c r="XC502" s="107">
        <f t="shared" si="2728"/>
        <v>188245698.00222343</v>
      </c>
      <c r="XK502" s="98">
        <f t="shared" si="2729"/>
        <v>69144119.062535107</v>
      </c>
      <c r="XL502" s="98">
        <f t="shared" si="2730"/>
        <v>456560</v>
      </c>
      <c r="XM502" s="98">
        <f t="shared" si="2731"/>
        <v>0</v>
      </c>
      <c r="XN502" s="98">
        <f t="shared" si="2732"/>
        <v>0</v>
      </c>
      <c r="XO502" s="98">
        <f t="shared" si="2733"/>
        <v>171662020.01941523</v>
      </c>
      <c r="XP502" s="98">
        <f t="shared" si="2734"/>
        <v>0</v>
      </c>
      <c r="XQ502" s="98">
        <f t="shared" si="2735"/>
        <v>100748915.95688011</v>
      </c>
      <c r="XR502" s="107">
        <f t="shared" ca="1" si="2597"/>
        <v>356272382.05602229</v>
      </c>
      <c r="XT502" s="98">
        <f t="shared" si="2736"/>
        <v>188245698.00222343</v>
      </c>
      <c r="XU502" s="98">
        <f t="shared" si="2737"/>
        <v>7409170.306886239</v>
      </c>
      <c r="XV502" s="98">
        <f t="shared" si="2738"/>
        <v>125581675.64999387</v>
      </c>
      <c r="XW502" s="98">
        <f t="shared" si="2739"/>
        <v>7308156.7103055483</v>
      </c>
      <c r="XX502" s="98">
        <f t="shared" si="2740"/>
        <v>131421821.41476467</v>
      </c>
      <c r="XY502" s="98">
        <f t="shared" si="2741"/>
        <v>421440</v>
      </c>
      <c r="XZ502" s="98">
        <f t="shared" si="2742"/>
        <v>171662020.01941523</v>
      </c>
      <c r="YA502" s="107">
        <f t="shared" ca="1" si="2598"/>
        <v>616911215.08639717</v>
      </c>
    </row>
    <row r="503" spans="2:651">
      <c r="B503" s="90" t="str">
        <f t="shared" si="2558"/>
        <v xml:space="preserve">Nila </v>
      </c>
      <c r="C503" s="98">
        <f t="shared" ref="C503:P503" si="3353">SUM(C32,C70,C108,C146,C184,C222,C260,C298,C336,C374,C412,C450)</f>
        <v>0</v>
      </c>
      <c r="D503" s="98">
        <f t="shared" si="3353"/>
        <v>0</v>
      </c>
      <c r="E503" s="98">
        <f t="shared" si="3353"/>
        <v>0</v>
      </c>
      <c r="F503" s="98">
        <f t="shared" si="3353"/>
        <v>0</v>
      </c>
      <c r="G503" s="98">
        <f t="shared" si="3353"/>
        <v>0</v>
      </c>
      <c r="H503" s="98">
        <f t="shared" si="3353"/>
        <v>0</v>
      </c>
      <c r="I503" s="98">
        <f t="shared" si="3353"/>
        <v>118500</v>
      </c>
      <c r="J503" s="98">
        <f t="shared" si="3353"/>
        <v>3318000</v>
      </c>
      <c r="K503" s="98">
        <f t="shared" si="3353"/>
        <v>0</v>
      </c>
      <c r="L503" s="98">
        <f t="shared" si="3353"/>
        <v>0</v>
      </c>
      <c r="M503" s="98">
        <f t="shared" si="3353"/>
        <v>0</v>
      </c>
      <c r="N503" s="98">
        <f t="shared" si="3353"/>
        <v>0</v>
      </c>
      <c r="O503" s="98">
        <f t="shared" si="3353"/>
        <v>0</v>
      </c>
      <c r="P503" s="98">
        <f t="shared" si="3353"/>
        <v>0</v>
      </c>
      <c r="Q503" s="198">
        <f t="shared" si="2600"/>
        <v>118500</v>
      </c>
      <c r="R503" s="198">
        <f t="shared" si="2601"/>
        <v>3318000</v>
      </c>
      <c r="S503" s="98">
        <f t="shared" ref="S503:AF503" si="3354">SUM(S32,S70,S108,S146,S184,S222,S260,S298,S336,S374,S412,S450)</f>
        <v>0</v>
      </c>
      <c r="T503" s="98">
        <f t="shared" si="3354"/>
        <v>0</v>
      </c>
      <c r="U503" s="98">
        <f t="shared" si="3354"/>
        <v>118605</v>
      </c>
      <c r="V503" s="98">
        <f t="shared" si="3354"/>
        <v>2372100</v>
      </c>
      <c r="W503" s="98">
        <f t="shared" si="3354"/>
        <v>0</v>
      </c>
      <c r="X503" s="98">
        <f t="shared" si="3354"/>
        <v>0</v>
      </c>
      <c r="Y503" s="98">
        <f t="shared" si="3354"/>
        <v>147987</v>
      </c>
      <c r="Z503" s="98">
        <f t="shared" si="3354"/>
        <v>2959740</v>
      </c>
      <c r="AA503" s="98">
        <f t="shared" si="3354"/>
        <v>34660</v>
      </c>
      <c r="AB503" s="98">
        <f t="shared" si="3354"/>
        <v>693200</v>
      </c>
      <c r="AC503" s="98">
        <f t="shared" si="3354"/>
        <v>23730</v>
      </c>
      <c r="AD503" s="98">
        <f t="shared" si="3354"/>
        <v>474600</v>
      </c>
      <c r="AE503" s="98">
        <f t="shared" si="3354"/>
        <v>13730</v>
      </c>
      <c r="AF503" s="98">
        <f t="shared" si="3354"/>
        <v>274600</v>
      </c>
      <c r="AG503" s="198">
        <f t="shared" si="2603"/>
        <v>338712</v>
      </c>
      <c r="AH503" s="198">
        <f t="shared" si="2604"/>
        <v>6774240</v>
      </c>
      <c r="AI503" s="98">
        <f t="shared" ref="AI503:AV503" si="3355">SUM(AI32,AI70,AI108,AI146,AI184,AI222,AI260,AI298,AI336,AI374,AI412,AI450)</f>
        <v>0</v>
      </c>
      <c r="AJ503" s="98">
        <f t="shared" si="3355"/>
        <v>0</v>
      </c>
      <c r="AK503" s="98">
        <f t="shared" si="3355"/>
        <v>0</v>
      </c>
      <c r="AL503" s="98">
        <f t="shared" si="3355"/>
        <v>0</v>
      </c>
      <c r="AM503" s="98">
        <f t="shared" si="3355"/>
        <v>0</v>
      </c>
      <c r="AN503" s="98">
        <f t="shared" si="3355"/>
        <v>0</v>
      </c>
      <c r="AO503" s="98">
        <f t="shared" si="3355"/>
        <v>701100</v>
      </c>
      <c r="AP503" s="98">
        <f t="shared" si="3355"/>
        <v>17150600</v>
      </c>
      <c r="AQ503" s="98">
        <f t="shared" si="3355"/>
        <v>1820</v>
      </c>
      <c r="AR503" s="98">
        <f t="shared" si="3355"/>
        <v>43900</v>
      </c>
      <c r="AS503" s="98">
        <f t="shared" si="3355"/>
        <v>0</v>
      </c>
      <c r="AT503" s="98">
        <f t="shared" si="3355"/>
        <v>0</v>
      </c>
      <c r="AU503" s="98">
        <f t="shared" si="3355"/>
        <v>28205</v>
      </c>
      <c r="AV503" s="98">
        <f t="shared" si="3355"/>
        <v>681420</v>
      </c>
      <c r="AW503" s="198">
        <f t="shared" si="2606"/>
        <v>731125</v>
      </c>
      <c r="AX503" s="198">
        <f t="shared" si="2607"/>
        <v>17875920</v>
      </c>
      <c r="AY503" s="98">
        <f t="shared" ref="AY503:BL503" si="3356">SUM(AY32,AY70,AY108,AY146,AY184,AY222,AY260,AY298,AY336,AY374,AY412,AY450)</f>
        <v>0</v>
      </c>
      <c r="AZ503" s="98">
        <f t="shared" si="3356"/>
        <v>0</v>
      </c>
      <c r="BA503" s="98">
        <f t="shared" si="3356"/>
        <v>0</v>
      </c>
      <c r="BB503" s="98">
        <f t="shared" si="3356"/>
        <v>0</v>
      </c>
      <c r="BC503" s="98">
        <f t="shared" si="3356"/>
        <v>0</v>
      </c>
      <c r="BD503" s="98">
        <f t="shared" si="3356"/>
        <v>0</v>
      </c>
      <c r="BE503" s="98">
        <f t="shared" si="3356"/>
        <v>1018415</v>
      </c>
      <c r="BF503" s="98">
        <f t="shared" si="3356"/>
        <v>25460375</v>
      </c>
      <c r="BG503" s="98">
        <f t="shared" si="3356"/>
        <v>46841</v>
      </c>
      <c r="BH503" s="98">
        <f t="shared" si="3356"/>
        <v>1171025</v>
      </c>
      <c r="BI503" s="98">
        <f t="shared" si="3356"/>
        <v>0</v>
      </c>
      <c r="BJ503" s="98">
        <f t="shared" si="3356"/>
        <v>0</v>
      </c>
      <c r="BK503" s="98">
        <f t="shared" si="3356"/>
        <v>9883</v>
      </c>
      <c r="BL503" s="98">
        <f t="shared" si="3356"/>
        <v>247075</v>
      </c>
      <c r="BM503" s="198">
        <f t="shared" si="2609"/>
        <v>1075139</v>
      </c>
      <c r="BN503" s="198">
        <f t="shared" si="2610"/>
        <v>26878475</v>
      </c>
      <c r="BO503" s="98">
        <f t="shared" ref="BO503:CB503" si="3357">SUM(BO32,BO70,BO108,BO146,BO184,BO222,BO260,BO298,BO336,BO374,BO412,BO450)</f>
        <v>0</v>
      </c>
      <c r="BP503" s="98">
        <f t="shared" si="3357"/>
        <v>0</v>
      </c>
      <c r="BQ503" s="98">
        <f t="shared" si="3357"/>
        <v>0</v>
      </c>
      <c r="BR503" s="98">
        <f t="shared" si="3357"/>
        <v>0</v>
      </c>
      <c r="BS503" s="98">
        <f t="shared" si="3357"/>
        <v>0</v>
      </c>
      <c r="BT503" s="98">
        <f t="shared" si="3357"/>
        <v>0</v>
      </c>
      <c r="BU503" s="98">
        <f t="shared" si="3357"/>
        <v>71960</v>
      </c>
      <c r="BV503" s="98">
        <f t="shared" si="3357"/>
        <v>1942920</v>
      </c>
      <c r="BW503" s="98">
        <f t="shared" si="3357"/>
        <v>0</v>
      </c>
      <c r="BX503" s="98">
        <f t="shared" si="3357"/>
        <v>0</v>
      </c>
      <c r="BY503" s="98">
        <f t="shared" si="3357"/>
        <v>0</v>
      </c>
      <c r="BZ503" s="98">
        <f t="shared" si="3357"/>
        <v>0</v>
      </c>
      <c r="CA503" s="98">
        <f t="shared" si="3357"/>
        <v>0</v>
      </c>
      <c r="CB503" s="98">
        <f t="shared" si="3357"/>
        <v>0</v>
      </c>
      <c r="CC503" s="198">
        <f t="shared" si="2612"/>
        <v>71960</v>
      </c>
      <c r="CD503" s="198">
        <f t="shared" si="2613"/>
        <v>1942920</v>
      </c>
      <c r="CE503" s="98">
        <f t="shared" ref="CE503:CR503" si="3358">SUM(CE32,CE70,CE108,CE146,CE184,CE222,CE260,CE298,CE336,CE374,CE412,CE450)</f>
        <v>0</v>
      </c>
      <c r="CF503" s="98">
        <f t="shared" si="3358"/>
        <v>0</v>
      </c>
      <c r="CG503" s="98">
        <f t="shared" si="3358"/>
        <v>684875.24720398197</v>
      </c>
      <c r="CH503" s="98">
        <f t="shared" si="3358"/>
        <v>10910704.985198008</v>
      </c>
      <c r="CI503" s="98">
        <f t="shared" si="3358"/>
        <v>0</v>
      </c>
      <c r="CJ503" s="98">
        <f t="shared" si="3358"/>
        <v>0</v>
      </c>
      <c r="CK503" s="98">
        <f t="shared" si="3358"/>
        <v>4122716.0602724766</v>
      </c>
      <c r="CL503" s="98">
        <f t="shared" si="3358"/>
        <v>61770473.617955975</v>
      </c>
      <c r="CM503" s="98">
        <f t="shared" si="3358"/>
        <v>0</v>
      </c>
      <c r="CN503" s="98">
        <f t="shared" si="3358"/>
        <v>0</v>
      </c>
      <c r="CO503" s="98">
        <f t="shared" si="3358"/>
        <v>0</v>
      </c>
      <c r="CP503" s="98">
        <f t="shared" si="3358"/>
        <v>0</v>
      </c>
      <c r="CQ503" s="98">
        <f t="shared" si="3358"/>
        <v>0</v>
      </c>
      <c r="CR503" s="98">
        <f t="shared" si="3358"/>
        <v>0</v>
      </c>
      <c r="CS503" s="198">
        <f t="shared" si="2615"/>
        <v>4807591.3074764591</v>
      </c>
      <c r="CT503" s="198">
        <f t="shared" si="2616"/>
        <v>72681178.603153989</v>
      </c>
      <c r="CU503" s="98">
        <f t="shared" ref="CU503:DH503" si="3359">SUM(CU32,CU70,CU108,CU146,CU184,CU222,CU260,CU298,CU336,CU374,CU412,CU450)</f>
        <v>0</v>
      </c>
      <c r="CV503" s="98">
        <f t="shared" si="3359"/>
        <v>0</v>
      </c>
      <c r="CW503" s="98">
        <f t="shared" si="3359"/>
        <v>0</v>
      </c>
      <c r="CX503" s="98">
        <f t="shared" si="3359"/>
        <v>0</v>
      </c>
      <c r="CY503" s="98">
        <f t="shared" si="3359"/>
        <v>0</v>
      </c>
      <c r="CZ503" s="98">
        <f t="shared" si="3359"/>
        <v>0</v>
      </c>
      <c r="DA503" s="98">
        <f t="shared" si="3359"/>
        <v>986433</v>
      </c>
      <c r="DB503" s="98">
        <f t="shared" si="3359"/>
        <v>26064625</v>
      </c>
      <c r="DC503" s="98">
        <f t="shared" si="3359"/>
        <v>29505.000366</v>
      </c>
      <c r="DD503" s="98">
        <f t="shared" si="3359"/>
        <v>741026.01500000001</v>
      </c>
      <c r="DE503" s="98">
        <f t="shared" si="3359"/>
        <v>0</v>
      </c>
      <c r="DF503" s="98">
        <f t="shared" si="3359"/>
        <v>0</v>
      </c>
      <c r="DG503" s="98">
        <f t="shared" si="3359"/>
        <v>0</v>
      </c>
      <c r="DH503" s="98">
        <f t="shared" si="3359"/>
        <v>0</v>
      </c>
      <c r="DI503" s="198">
        <f t="shared" si="2618"/>
        <v>1015938.000366</v>
      </c>
      <c r="DJ503" s="198">
        <f t="shared" si="2619"/>
        <v>26805651.015000001</v>
      </c>
      <c r="DK503" s="98">
        <f t="shared" ref="DK503:DX503" si="3360">SUM(DK32,DK70,DK108,DK146,DK184,DK222,DK260,DK298,DK336,DK374,DK412,DK450)</f>
        <v>0</v>
      </c>
      <c r="DL503" s="98">
        <f t="shared" si="3360"/>
        <v>0</v>
      </c>
      <c r="DM503" s="98">
        <f t="shared" si="3360"/>
        <v>0</v>
      </c>
      <c r="DN503" s="98">
        <f t="shared" si="3360"/>
        <v>0</v>
      </c>
      <c r="DO503" s="98">
        <f t="shared" si="3360"/>
        <v>0</v>
      </c>
      <c r="DP503" s="98">
        <f t="shared" si="3360"/>
        <v>0</v>
      </c>
      <c r="DQ503" s="98">
        <f t="shared" si="3360"/>
        <v>211800</v>
      </c>
      <c r="DR503" s="98">
        <f t="shared" si="3360"/>
        <v>4455600</v>
      </c>
      <c r="DS503" s="98">
        <f t="shared" si="3360"/>
        <v>0</v>
      </c>
      <c r="DT503" s="98">
        <f t="shared" si="3360"/>
        <v>0</v>
      </c>
      <c r="DU503" s="98">
        <f t="shared" si="3360"/>
        <v>0</v>
      </c>
      <c r="DV503" s="98">
        <f t="shared" si="3360"/>
        <v>0</v>
      </c>
      <c r="DW503" s="98">
        <f t="shared" si="3360"/>
        <v>0</v>
      </c>
      <c r="DX503" s="98">
        <f t="shared" si="3360"/>
        <v>0</v>
      </c>
      <c r="DY503" s="198">
        <f t="shared" si="2621"/>
        <v>211800</v>
      </c>
      <c r="DZ503" s="198">
        <f t="shared" si="2622"/>
        <v>4455600</v>
      </c>
      <c r="EA503" s="98">
        <f t="shared" ref="EA503:EN503" si="3361">SUM(EA32,EA70,EA108,EA146,EA184,EA222,EA260,EA298,EA336,EA374,EA412,EA450)</f>
        <v>0</v>
      </c>
      <c r="EB503" s="98">
        <f t="shared" si="3361"/>
        <v>0</v>
      </c>
      <c r="EC503" s="98">
        <f t="shared" si="3361"/>
        <v>0</v>
      </c>
      <c r="ED503" s="98">
        <f t="shared" si="3361"/>
        <v>0</v>
      </c>
      <c r="EE503" s="98">
        <f t="shared" si="3361"/>
        <v>0</v>
      </c>
      <c r="EF503" s="98">
        <f t="shared" si="3361"/>
        <v>0</v>
      </c>
      <c r="EG503" s="98">
        <f t="shared" si="3361"/>
        <v>2845150</v>
      </c>
      <c r="EH503" s="98">
        <f t="shared" si="3361"/>
        <v>59748150</v>
      </c>
      <c r="EI503" s="98">
        <f t="shared" si="3361"/>
        <v>0</v>
      </c>
      <c r="EJ503" s="98">
        <f t="shared" si="3361"/>
        <v>0</v>
      </c>
      <c r="EK503" s="98">
        <f t="shared" si="3361"/>
        <v>0</v>
      </c>
      <c r="EL503" s="98">
        <f t="shared" si="3361"/>
        <v>0</v>
      </c>
      <c r="EM503" s="98">
        <f t="shared" si="3361"/>
        <v>0</v>
      </c>
      <c r="EN503" s="98">
        <f t="shared" si="3361"/>
        <v>0</v>
      </c>
      <c r="EO503" s="198">
        <f t="shared" si="2624"/>
        <v>2845150</v>
      </c>
      <c r="EP503" s="198">
        <f t="shared" si="2625"/>
        <v>59748150</v>
      </c>
      <c r="EQ503" s="98">
        <f t="shared" ref="EQ503:FD503" si="3362">SUM(EQ32,EQ70,EQ108,EQ146,EQ184,EQ222,EQ260,EQ298,EQ336,EQ374,EQ412,EQ450)</f>
        <v>0</v>
      </c>
      <c r="ER503" s="98">
        <f t="shared" si="3362"/>
        <v>0</v>
      </c>
      <c r="ES503" s="98">
        <f t="shared" si="3362"/>
        <v>287982</v>
      </c>
      <c r="ET503" s="98">
        <f t="shared" si="3362"/>
        <v>6584664</v>
      </c>
      <c r="EU503" s="98">
        <f t="shared" si="3362"/>
        <v>0</v>
      </c>
      <c r="EV503" s="98">
        <f t="shared" si="3362"/>
        <v>0</v>
      </c>
      <c r="EW503" s="98">
        <f t="shared" si="3362"/>
        <v>10101429</v>
      </c>
      <c r="EX503" s="98">
        <f t="shared" si="3362"/>
        <v>185332531</v>
      </c>
      <c r="EY503" s="98">
        <f t="shared" si="3362"/>
        <v>0</v>
      </c>
      <c r="EZ503" s="98">
        <f t="shared" si="3362"/>
        <v>0</v>
      </c>
      <c r="FA503" s="98">
        <f t="shared" si="3362"/>
        <v>0</v>
      </c>
      <c r="FB503" s="98">
        <f t="shared" si="3362"/>
        <v>0</v>
      </c>
      <c r="FC503" s="98">
        <f t="shared" si="3362"/>
        <v>5216</v>
      </c>
      <c r="FD503" s="98">
        <f t="shared" si="3362"/>
        <v>96712</v>
      </c>
      <c r="FE503" s="198">
        <f t="shared" si="2627"/>
        <v>10394627</v>
      </c>
      <c r="FF503" s="198">
        <f t="shared" si="2628"/>
        <v>192013907</v>
      </c>
      <c r="FG503" s="98">
        <f t="shared" ref="FG503:FT503" si="3363">SUM(FG32,FG70,FG108,FG146,FG184,FG222,FG260,FG298,FG336,FG374,FG412,FG450)</f>
        <v>0</v>
      </c>
      <c r="FH503" s="98">
        <f t="shared" si="3363"/>
        <v>0</v>
      </c>
      <c r="FI503" s="98">
        <f t="shared" si="3363"/>
        <v>0</v>
      </c>
      <c r="FJ503" s="98">
        <f t="shared" si="3363"/>
        <v>0</v>
      </c>
      <c r="FK503" s="98">
        <f t="shared" si="3363"/>
        <v>0</v>
      </c>
      <c r="FL503" s="98">
        <f t="shared" si="3363"/>
        <v>0</v>
      </c>
      <c r="FM503" s="98">
        <f t="shared" si="3363"/>
        <v>759935</v>
      </c>
      <c r="FN503" s="98">
        <f t="shared" si="3363"/>
        <v>19435375</v>
      </c>
      <c r="FO503" s="98">
        <f t="shared" si="3363"/>
        <v>0</v>
      </c>
      <c r="FP503" s="98">
        <f t="shared" si="3363"/>
        <v>0</v>
      </c>
      <c r="FQ503" s="98">
        <f t="shared" si="3363"/>
        <v>0</v>
      </c>
      <c r="FR503" s="98">
        <f t="shared" si="3363"/>
        <v>0</v>
      </c>
      <c r="FS503" s="98">
        <f t="shared" si="3363"/>
        <v>885096</v>
      </c>
      <c r="FT503" s="98">
        <f t="shared" si="3363"/>
        <v>25850858</v>
      </c>
      <c r="FU503" s="198">
        <f t="shared" si="2630"/>
        <v>1645031</v>
      </c>
      <c r="FV503" s="198">
        <f t="shared" si="2631"/>
        <v>45286233</v>
      </c>
      <c r="FW503" s="98">
        <f t="shared" ref="FW503:GJ503" si="3364">SUM(FW32,FW70,FW108,FW146,FW184,FW222,FW260,FW298,FW336,FW374,FW412,FW450)</f>
        <v>0</v>
      </c>
      <c r="FX503" s="98">
        <f t="shared" si="3364"/>
        <v>0</v>
      </c>
      <c r="FY503" s="98">
        <f t="shared" si="3364"/>
        <v>0</v>
      </c>
      <c r="FZ503" s="98">
        <f t="shared" si="3364"/>
        <v>0</v>
      </c>
      <c r="GA503" s="98">
        <f t="shared" si="3364"/>
        <v>0</v>
      </c>
      <c r="GB503" s="98">
        <f t="shared" si="3364"/>
        <v>0</v>
      </c>
      <c r="GC503" s="98">
        <f t="shared" si="3364"/>
        <v>465000</v>
      </c>
      <c r="GD503" s="98">
        <f t="shared" si="3364"/>
        <v>12332000</v>
      </c>
      <c r="GE503" s="98">
        <f t="shared" si="3364"/>
        <v>0</v>
      </c>
      <c r="GF503" s="98">
        <f t="shared" si="3364"/>
        <v>0</v>
      </c>
      <c r="GG503" s="98">
        <f t="shared" si="3364"/>
        <v>0</v>
      </c>
      <c r="GH503" s="98">
        <f t="shared" si="3364"/>
        <v>0</v>
      </c>
      <c r="GI503" s="98">
        <f t="shared" si="3364"/>
        <v>0</v>
      </c>
      <c r="GJ503" s="98">
        <f t="shared" si="3364"/>
        <v>0</v>
      </c>
      <c r="GK503" s="198">
        <f t="shared" si="2633"/>
        <v>465000</v>
      </c>
      <c r="GL503" s="198">
        <f t="shared" si="2634"/>
        <v>12332000</v>
      </c>
      <c r="GM503" s="98">
        <f t="shared" ref="GM503:GZ503" si="3365">SUM(GM32,GM70,GM108,GM146,GM184,GM222,GM260,GM298,GM336,GM374,GM412,GM450)</f>
        <v>0</v>
      </c>
      <c r="GN503" s="98">
        <f t="shared" si="3365"/>
        <v>0</v>
      </c>
      <c r="GO503" s="98">
        <f t="shared" si="3365"/>
        <v>0</v>
      </c>
      <c r="GP503" s="98">
        <f t="shared" si="3365"/>
        <v>0</v>
      </c>
      <c r="GQ503" s="98">
        <f t="shared" si="3365"/>
        <v>0</v>
      </c>
      <c r="GR503" s="98">
        <f t="shared" si="3365"/>
        <v>0</v>
      </c>
      <c r="GS503" s="98">
        <f t="shared" si="3365"/>
        <v>115700</v>
      </c>
      <c r="GT503" s="98">
        <f t="shared" si="3365"/>
        <v>3215400</v>
      </c>
      <c r="GU503" s="98">
        <f t="shared" si="3365"/>
        <v>0</v>
      </c>
      <c r="GV503" s="98">
        <f t="shared" si="3365"/>
        <v>0</v>
      </c>
      <c r="GW503" s="98">
        <f t="shared" si="3365"/>
        <v>0</v>
      </c>
      <c r="GX503" s="98">
        <f t="shared" si="3365"/>
        <v>0</v>
      </c>
      <c r="GY503" s="98">
        <f t="shared" si="3365"/>
        <v>1200</v>
      </c>
      <c r="GZ503" s="98">
        <f t="shared" si="3365"/>
        <v>33270</v>
      </c>
      <c r="HA503" s="198">
        <f t="shared" si="2636"/>
        <v>116900</v>
      </c>
      <c r="HB503" s="198">
        <f t="shared" si="2637"/>
        <v>3248670</v>
      </c>
      <c r="HC503" s="98">
        <f t="shared" ref="HC503:HP503" si="3366">SUM(HC32,HC70,HC108,HC146,HC184,HC222,HC260,HC298,HC336,HC374,HC412,HC450)</f>
        <v>0</v>
      </c>
      <c r="HD503" s="98">
        <f t="shared" si="3366"/>
        <v>0</v>
      </c>
      <c r="HE503" s="98">
        <f t="shared" si="3366"/>
        <v>0</v>
      </c>
      <c r="HF503" s="98">
        <f t="shared" si="3366"/>
        <v>0</v>
      </c>
      <c r="HG503" s="98">
        <f t="shared" si="3366"/>
        <v>0</v>
      </c>
      <c r="HH503" s="98">
        <f t="shared" si="3366"/>
        <v>0</v>
      </c>
      <c r="HI503" s="98">
        <f t="shared" si="3366"/>
        <v>755000</v>
      </c>
      <c r="HJ503" s="98">
        <f t="shared" si="3366"/>
        <v>16858000</v>
      </c>
      <c r="HK503" s="98">
        <f t="shared" si="3366"/>
        <v>0</v>
      </c>
      <c r="HL503" s="98">
        <f t="shared" si="3366"/>
        <v>0</v>
      </c>
      <c r="HM503" s="98">
        <f t="shared" si="3366"/>
        <v>0</v>
      </c>
      <c r="HN503" s="98">
        <f t="shared" si="3366"/>
        <v>0</v>
      </c>
      <c r="HO503" s="98">
        <f t="shared" si="3366"/>
        <v>4260000</v>
      </c>
      <c r="HP503" s="98">
        <f t="shared" si="3366"/>
        <v>96700000</v>
      </c>
      <c r="HQ503" s="198">
        <f t="shared" si="2639"/>
        <v>5015000</v>
      </c>
      <c r="HR503" s="198">
        <f t="shared" si="2640"/>
        <v>113558000</v>
      </c>
      <c r="HS503" s="98">
        <f t="shared" ref="HS503:IF503" si="3367">SUM(HS32,HS70,HS108,HS146,HS184,HS222,HS260,HS298,HS336,HS374,HS412,HS450)</f>
        <v>0</v>
      </c>
      <c r="HT503" s="98">
        <f t="shared" si="3367"/>
        <v>0</v>
      </c>
      <c r="HU503" s="98">
        <f t="shared" si="3367"/>
        <v>0</v>
      </c>
      <c r="HV503" s="98">
        <f t="shared" si="3367"/>
        <v>0</v>
      </c>
      <c r="HW503" s="98">
        <f t="shared" si="3367"/>
        <v>0</v>
      </c>
      <c r="HX503" s="98">
        <f t="shared" si="3367"/>
        <v>0</v>
      </c>
      <c r="HY503" s="98">
        <f t="shared" si="3367"/>
        <v>110423</v>
      </c>
      <c r="HZ503" s="98">
        <f t="shared" si="3367"/>
        <v>2848610</v>
      </c>
      <c r="IA503" s="98">
        <f t="shared" si="3367"/>
        <v>0</v>
      </c>
      <c r="IB503" s="98">
        <f t="shared" si="3367"/>
        <v>0</v>
      </c>
      <c r="IC503" s="98">
        <f t="shared" si="3367"/>
        <v>1800</v>
      </c>
      <c r="ID503" s="98">
        <f t="shared" si="3367"/>
        <v>45400</v>
      </c>
      <c r="IE503" s="98">
        <f t="shared" si="3367"/>
        <v>1700</v>
      </c>
      <c r="IF503" s="98">
        <f t="shared" si="3367"/>
        <v>36500</v>
      </c>
      <c r="IG503" s="198">
        <f t="shared" si="2642"/>
        <v>113923</v>
      </c>
      <c r="IH503" s="198">
        <f t="shared" si="2643"/>
        <v>2930510</v>
      </c>
      <c r="II503" s="98">
        <f t="shared" ref="II503:IV503" si="3368">SUM(II32,II70,II108,II146,II184,II222,II260,II298,II336,II374,II412,II450)</f>
        <v>0</v>
      </c>
      <c r="IJ503" s="98">
        <f t="shared" si="3368"/>
        <v>0</v>
      </c>
      <c r="IK503" s="98">
        <f t="shared" si="3368"/>
        <v>0</v>
      </c>
      <c r="IL503" s="98">
        <f t="shared" si="3368"/>
        <v>0</v>
      </c>
      <c r="IM503" s="98">
        <f t="shared" si="3368"/>
        <v>0</v>
      </c>
      <c r="IN503" s="98">
        <f t="shared" si="3368"/>
        <v>0</v>
      </c>
      <c r="IO503" s="98">
        <f t="shared" si="3368"/>
        <v>107350</v>
      </c>
      <c r="IP503" s="98">
        <f t="shared" si="3368"/>
        <v>2818350</v>
      </c>
      <c r="IQ503" s="98">
        <f t="shared" si="3368"/>
        <v>0</v>
      </c>
      <c r="IR503" s="98">
        <f t="shared" si="3368"/>
        <v>0</v>
      </c>
      <c r="IS503" s="98">
        <f t="shared" si="3368"/>
        <v>0</v>
      </c>
      <c r="IT503" s="98">
        <f t="shared" si="3368"/>
        <v>0</v>
      </c>
      <c r="IU503" s="98">
        <f t="shared" si="3368"/>
        <v>0</v>
      </c>
      <c r="IV503" s="98">
        <f t="shared" si="3368"/>
        <v>0</v>
      </c>
      <c r="IW503" s="198">
        <f t="shared" si="2645"/>
        <v>107350</v>
      </c>
      <c r="IX503" s="198">
        <f t="shared" si="2646"/>
        <v>2818350</v>
      </c>
      <c r="IY503" s="98">
        <f t="shared" ref="IY503:JL503" si="3369">SUM(IY32,IY70,IY108,IY146,IY184,IY222,IY260,IY298,IY336,IY374,IY412,IY450)</f>
        <v>0</v>
      </c>
      <c r="IZ503" s="98">
        <f t="shared" si="3369"/>
        <v>0</v>
      </c>
      <c r="JA503" s="98">
        <f t="shared" si="3369"/>
        <v>0</v>
      </c>
      <c r="JB503" s="98">
        <f t="shared" si="3369"/>
        <v>0</v>
      </c>
      <c r="JC503" s="98">
        <f t="shared" si="3369"/>
        <v>0</v>
      </c>
      <c r="JD503" s="98">
        <f t="shared" si="3369"/>
        <v>0</v>
      </c>
      <c r="JE503" s="98">
        <f t="shared" si="3369"/>
        <v>83690</v>
      </c>
      <c r="JF503" s="98">
        <f t="shared" si="3369"/>
        <v>1841180</v>
      </c>
      <c r="JG503" s="98">
        <f t="shared" si="3369"/>
        <v>0</v>
      </c>
      <c r="JH503" s="98">
        <f t="shared" si="3369"/>
        <v>0</v>
      </c>
      <c r="JI503" s="98">
        <f t="shared" si="3369"/>
        <v>0</v>
      </c>
      <c r="JJ503" s="98">
        <f t="shared" si="3369"/>
        <v>0</v>
      </c>
      <c r="JK503" s="98">
        <f t="shared" si="3369"/>
        <v>41947</v>
      </c>
      <c r="JL503" s="98">
        <f t="shared" si="3369"/>
        <v>922834</v>
      </c>
      <c r="JM503" s="198">
        <f t="shared" si="2648"/>
        <v>125637</v>
      </c>
      <c r="JN503" s="198">
        <f t="shared" si="2649"/>
        <v>2764014</v>
      </c>
      <c r="JO503" s="98">
        <f t="shared" ref="JO503:KB503" si="3370">SUM(JO32,JO70,JO108,JO146,JO184,JO222,JO260,JO298,JO336,JO374,JO412,JO450)</f>
        <v>0</v>
      </c>
      <c r="JP503" s="98">
        <f t="shared" si="3370"/>
        <v>0</v>
      </c>
      <c r="JQ503" s="98">
        <f t="shared" si="3370"/>
        <v>0</v>
      </c>
      <c r="JR503" s="98">
        <f t="shared" si="3370"/>
        <v>0</v>
      </c>
      <c r="JS503" s="98">
        <f t="shared" si="3370"/>
        <v>0</v>
      </c>
      <c r="JT503" s="98">
        <f t="shared" si="3370"/>
        <v>0</v>
      </c>
      <c r="JU503" s="98">
        <f t="shared" si="3370"/>
        <v>170739</v>
      </c>
      <c r="JV503" s="98">
        <f t="shared" si="3370"/>
        <v>5975865</v>
      </c>
      <c r="JW503" s="98">
        <f t="shared" si="3370"/>
        <v>0</v>
      </c>
      <c r="JX503" s="98">
        <f t="shared" si="3370"/>
        <v>0</v>
      </c>
      <c r="JY503" s="98">
        <f t="shared" si="3370"/>
        <v>0</v>
      </c>
      <c r="JZ503" s="98">
        <f t="shared" si="3370"/>
        <v>0</v>
      </c>
      <c r="KA503" s="98">
        <f t="shared" si="3370"/>
        <v>0</v>
      </c>
      <c r="KB503" s="98">
        <f t="shared" si="3370"/>
        <v>0</v>
      </c>
      <c r="KC503" s="198">
        <f t="shared" si="2651"/>
        <v>170739</v>
      </c>
      <c r="KD503" s="198">
        <f t="shared" si="2652"/>
        <v>5975865</v>
      </c>
      <c r="KE503" s="98">
        <f t="shared" ref="KE503:KR503" si="3371">SUM(KE32,KE70,KE108,KE146,KE184,KE222,KE260,KE298,KE336,KE374,KE412,KE450)</f>
        <v>0</v>
      </c>
      <c r="KF503" s="98">
        <f t="shared" si="3371"/>
        <v>0</v>
      </c>
      <c r="KG503" s="98">
        <f t="shared" si="3371"/>
        <v>0</v>
      </c>
      <c r="KH503" s="98">
        <f t="shared" si="3371"/>
        <v>0</v>
      </c>
      <c r="KI503" s="98">
        <f t="shared" si="3371"/>
        <v>0</v>
      </c>
      <c r="KJ503" s="98">
        <f t="shared" si="3371"/>
        <v>0</v>
      </c>
      <c r="KK503" s="98">
        <f t="shared" si="3371"/>
        <v>2406</v>
      </c>
      <c r="KL503" s="98">
        <f t="shared" si="3371"/>
        <v>60150</v>
      </c>
      <c r="KM503" s="98">
        <f t="shared" si="3371"/>
        <v>0</v>
      </c>
      <c r="KN503" s="98">
        <f t="shared" si="3371"/>
        <v>0</v>
      </c>
      <c r="KO503" s="98">
        <f t="shared" si="3371"/>
        <v>0</v>
      </c>
      <c r="KP503" s="98">
        <f t="shared" si="3371"/>
        <v>0</v>
      </c>
      <c r="KQ503" s="98">
        <f t="shared" si="3371"/>
        <v>0</v>
      </c>
      <c r="KR503" s="98">
        <f t="shared" si="3371"/>
        <v>0</v>
      </c>
      <c r="KS503" s="198">
        <f t="shared" si="2654"/>
        <v>2406</v>
      </c>
      <c r="KT503" s="198">
        <f t="shared" si="2655"/>
        <v>60150</v>
      </c>
      <c r="KU503" s="98">
        <f t="shared" ref="KU503:LH503" si="3372">SUM(KU32,KU70,KU108,KU146,KU184,KU222,KU260,KU298,KU336,KU374,KU412,KU450)</f>
        <v>0</v>
      </c>
      <c r="KV503" s="98">
        <f t="shared" si="3372"/>
        <v>0</v>
      </c>
      <c r="KW503" s="98">
        <f t="shared" si="3372"/>
        <v>267180.89999999997</v>
      </c>
      <c r="KX503" s="98">
        <f t="shared" si="3372"/>
        <v>4836897</v>
      </c>
      <c r="KY503" s="98">
        <f t="shared" si="3372"/>
        <v>0</v>
      </c>
      <c r="KZ503" s="98">
        <f t="shared" si="3372"/>
        <v>0</v>
      </c>
      <c r="LA503" s="98">
        <f t="shared" si="3372"/>
        <v>502786.06</v>
      </c>
      <c r="LB503" s="98">
        <f t="shared" si="3372"/>
        <v>9422844</v>
      </c>
      <c r="LC503" s="98">
        <f t="shared" si="3372"/>
        <v>0</v>
      </c>
      <c r="LD503" s="98">
        <f t="shared" si="3372"/>
        <v>0</v>
      </c>
      <c r="LE503" s="98">
        <f t="shared" si="3372"/>
        <v>0</v>
      </c>
      <c r="LF503" s="98">
        <f t="shared" si="3372"/>
        <v>0</v>
      </c>
      <c r="LG503" s="98">
        <f t="shared" si="3372"/>
        <v>131677.93999999997</v>
      </c>
      <c r="LH503" s="98">
        <f t="shared" si="3372"/>
        <v>3231814</v>
      </c>
      <c r="LI503" s="198">
        <f t="shared" si="2657"/>
        <v>901644.89999999991</v>
      </c>
      <c r="LJ503" s="198">
        <f t="shared" si="2658"/>
        <v>17491555</v>
      </c>
      <c r="LK503" s="98">
        <f t="shared" ref="LK503:LX503" si="3373">SUM(LK32,LK70,LK108,LK146,LK184,LK222,LK260,LK298,LK336,LK374,LK412,LK450)</f>
        <v>0</v>
      </c>
      <c r="LL503" s="98">
        <f t="shared" si="3373"/>
        <v>0</v>
      </c>
      <c r="LM503" s="98">
        <f t="shared" si="3373"/>
        <v>0</v>
      </c>
      <c r="LN503" s="98">
        <f t="shared" si="3373"/>
        <v>0</v>
      </c>
      <c r="LO503" s="98">
        <f t="shared" si="3373"/>
        <v>0</v>
      </c>
      <c r="LP503" s="98">
        <f t="shared" si="3373"/>
        <v>0</v>
      </c>
      <c r="LQ503" s="98">
        <f t="shared" si="3373"/>
        <v>51167</v>
      </c>
      <c r="LR503" s="98">
        <f t="shared" si="3373"/>
        <v>1460476</v>
      </c>
      <c r="LS503" s="98">
        <f t="shared" si="3373"/>
        <v>0</v>
      </c>
      <c r="LT503" s="98">
        <f t="shared" si="3373"/>
        <v>0</v>
      </c>
      <c r="LU503" s="98">
        <f t="shared" si="3373"/>
        <v>0</v>
      </c>
      <c r="LV503" s="98">
        <f t="shared" si="3373"/>
        <v>0</v>
      </c>
      <c r="LW503" s="98">
        <f t="shared" si="3373"/>
        <v>16625</v>
      </c>
      <c r="LX503" s="98">
        <f t="shared" si="3373"/>
        <v>538608</v>
      </c>
      <c r="LY503" s="198">
        <f t="shared" si="2660"/>
        <v>67792</v>
      </c>
      <c r="LZ503" s="198">
        <f t="shared" si="2661"/>
        <v>1999084</v>
      </c>
      <c r="MA503" s="98">
        <f t="shared" ref="MA503:MN503" si="3374">SUM(MA32,MA70,MA108,MA146,MA184,MA222,MA260,MA298,MA336,MA374,MA412,MA450)</f>
        <v>0</v>
      </c>
      <c r="MB503" s="98">
        <f t="shared" si="3374"/>
        <v>0</v>
      </c>
      <c r="MC503" s="98">
        <f t="shared" si="3374"/>
        <v>27720</v>
      </c>
      <c r="MD503" s="98">
        <f t="shared" si="3374"/>
        <v>506760</v>
      </c>
      <c r="ME503" s="98">
        <f t="shared" si="3374"/>
        <v>0</v>
      </c>
      <c r="MF503" s="98">
        <f t="shared" si="3374"/>
        <v>0</v>
      </c>
      <c r="MG503" s="98">
        <f t="shared" si="3374"/>
        <v>11340</v>
      </c>
      <c r="MH503" s="98">
        <f t="shared" si="3374"/>
        <v>208120</v>
      </c>
      <c r="MI503" s="98">
        <f t="shared" si="3374"/>
        <v>0</v>
      </c>
      <c r="MJ503" s="98">
        <f t="shared" si="3374"/>
        <v>0</v>
      </c>
      <c r="MK503" s="98">
        <f t="shared" si="3374"/>
        <v>0</v>
      </c>
      <c r="ML503" s="98">
        <f t="shared" si="3374"/>
        <v>0</v>
      </c>
      <c r="MM503" s="98">
        <f t="shared" si="3374"/>
        <v>28930</v>
      </c>
      <c r="MN503" s="98">
        <f t="shared" si="3374"/>
        <v>536740</v>
      </c>
      <c r="MO503" s="198">
        <f t="shared" si="2663"/>
        <v>67990</v>
      </c>
      <c r="MP503" s="198">
        <f t="shared" si="2664"/>
        <v>1251620</v>
      </c>
      <c r="MQ503" s="98">
        <f t="shared" ref="MQ503:ND503" si="3375">SUM(MQ32,MQ70,MQ108,MQ146,MQ184,MQ222,MQ260,MQ298,MQ336,MQ374,MQ412,MQ450)</f>
        <v>0</v>
      </c>
      <c r="MR503" s="98">
        <f t="shared" si="3375"/>
        <v>0</v>
      </c>
      <c r="MS503" s="98">
        <f t="shared" si="3375"/>
        <v>0</v>
      </c>
      <c r="MT503" s="98">
        <f t="shared" si="3375"/>
        <v>0</v>
      </c>
      <c r="MU503" s="98">
        <f t="shared" si="3375"/>
        <v>0</v>
      </c>
      <c r="MV503" s="98">
        <f t="shared" si="3375"/>
        <v>0</v>
      </c>
      <c r="MW503" s="98">
        <f t="shared" si="3375"/>
        <v>1085</v>
      </c>
      <c r="MX503" s="98">
        <f t="shared" si="3375"/>
        <v>32550</v>
      </c>
      <c r="MY503" s="98">
        <f t="shared" si="3375"/>
        <v>0</v>
      </c>
      <c r="MZ503" s="98">
        <f t="shared" si="3375"/>
        <v>0</v>
      </c>
      <c r="NA503" s="98">
        <f t="shared" si="3375"/>
        <v>0</v>
      </c>
      <c r="NB503" s="98">
        <f t="shared" si="3375"/>
        <v>0</v>
      </c>
      <c r="NC503" s="98">
        <f t="shared" si="3375"/>
        <v>0</v>
      </c>
      <c r="ND503" s="98">
        <f t="shared" si="3375"/>
        <v>0</v>
      </c>
      <c r="NE503" s="198">
        <f t="shared" si="2666"/>
        <v>1085</v>
      </c>
      <c r="NF503" s="198">
        <f t="shared" si="2667"/>
        <v>32550</v>
      </c>
      <c r="NG503" s="98">
        <f t="shared" ref="NG503:NT503" si="3376">SUM(NG32,NG70,NG108,NG146,NG184,NG222,NG260,NG298,NG336,NG374,NG412,NG450)</f>
        <v>0</v>
      </c>
      <c r="NH503" s="98">
        <f t="shared" si="3376"/>
        <v>0</v>
      </c>
      <c r="NI503" s="98">
        <f t="shared" si="3376"/>
        <v>15712211</v>
      </c>
      <c r="NJ503" s="98">
        <f t="shared" si="3376"/>
        <v>282819798</v>
      </c>
      <c r="NK503" s="98">
        <f t="shared" si="3376"/>
        <v>0</v>
      </c>
      <c r="NL503" s="98">
        <f t="shared" si="3376"/>
        <v>0</v>
      </c>
      <c r="NM503" s="98">
        <f t="shared" si="3376"/>
        <v>381700</v>
      </c>
      <c r="NN503" s="98">
        <f t="shared" si="3376"/>
        <v>6870600</v>
      </c>
      <c r="NO503" s="98">
        <f t="shared" si="3376"/>
        <v>771400</v>
      </c>
      <c r="NP503" s="98">
        <f t="shared" si="3376"/>
        <v>13885200</v>
      </c>
      <c r="NQ503" s="98">
        <f t="shared" si="3376"/>
        <v>49350</v>
      </c>
      <c r="NR503" s="98">
        <f t="shared" si="3376"/>
        <v>888300</v>
      </c>
      <c r="NS503" s="98">
        <f t="shared" si="3376"/>
        <v>0</v>
      </c>
      <c r="NT503" s="98">
        <f t="shared" si="3376"/>
        <v>0</v>
      </c>
      <c r="NU503" s="198">
        <f t="shared" si="2669"/>
        <v>16914661</v>
      </c>
      <c r="NV503" s="198">
        <f t="shared" si="2670"/>
        <v>304463898</v>
      </c>
      <c r="NW503" s="98">
        <f t="shared" ref="NW503:OJ503" si="3377">SUM(NW32,NW70,NW108,NW146,NW184,NW222,NW260,NW298,NW336,NW374,NW412,NW450)</f>
        <v>0</v>
      </c>
      <c r="NX503" s="98">
        <f t="shared" si="3377"/>
        <v>0</v>
      </c>
      <c r="NY503" s="98">
        <f t="shared" si="3377"/>
        <v>0</v>
      </c>
      <c r="NZ503" s="98">
        <f t="shared" si="3377"/>
        <v>0</v>
      </c>
      <c r="OA503" s="98">
        <f t="shared" si="3377"/>
        <v>0</v>
      </c>
      <c r="OB503" s="98">
        <f t="shared" si="3377"/>
        <v>0</v>
      </c>
      <c r="OC503" s="98">
        <f t="shared" si="3377"/>
        <v>557</v>
      </c>
      <c r="OD503" s="98">
        <f t="shared" si="3377"/>
        <v>13356</v>
      </c>
      <c r="OE503" s="98">
        <f t="shared" si="3377"/>
        <v>0</v>
      </c>
      <c r="OF503" s="98">
        <f t="shared" si="3377"/>
        <v>0</v>
      </c>
      <c r="OG503" s="98">
        <f t="shared" si="3377"/>
        <v>0</v>
      </c>
      <c r="OH503" s="98">
        <f t="shared" si="3377"/>
        <v>0</v>
      </c>
      <c r="OI503" s="98">
        <f t="shared" si="3377"/>
        <v>0</v>
      </c>
      <c r="OJ503" s="98">
        <f t="shared" si="3377"/>
        <v>0</v>
      </c>
      <c r="OK503" s="198">
        <f t="shared" si="2672"/>
        <v>557</v>
      </c>
      <c r="OL503" s="198">
        <f t="shared" si="2673"/>
        <v>13356</v>
      </c>
      <c r="OM503" s="98">
        <f t="shared" ref="OM503:OZ503" si="3378">SUM(OM32,OM70,OM108,OM146,OM184,OM222,OM260,OM298,OM336,OM374,OM412,OM450)</f>
        <v>0</v>
      </c>
      <c r="ON503" s="98">
        <f t="shared" si="3378"/>
        <v>0</v>
      </c>
      <c r="OO503" s="98">
        <f t="shared" si="3378"/>
        <v>52064</v>
      </c>
      <c r="OP503" s="98">
        <f t="shared" si="3378"/>
        <v>1822240</v>
      </c>
      <c r="OQ503" s="98">
        <f t="shared" si="3378"/>
        <v>0</v>
      </c>
      <c r="OR503" s="98">
        <f t="shared" si="3378"/>
        <v>0</v>
      </c>
      <c r="OS503" s="98">
        <f t="shared" si="3378"/>
        <v>0</v>
      </c>
      <c r="OT503" s="98">
        <f t="shared" si="3378"/>
        <v>0</v>
      </c>
      <c r="OU503" s="98">
        <f t="shared" si="3378"/>
        <v>0</v>
      </c>
      <c r="OV503" s="98">
        <f t="shared" si="3378"/>
        <v>0</v>
      </c>
      <c r="OW503" s="98">
        <f t="shared" si="3378"/>
        <v>0</v>
      </c>
      <c r="OX503" s="98">
        <f t="shared" si="3378"/>
        <v>0</v>
      </c>
      <c r="OY503" s="98">
        <f t="shared" si="3378"/>
        <v>0</v>
      </c>
      <c r="OZ503" s="98">
        <f t="shared" si="3378"/>
        <v>0</v>
      </c>
      <c r="PA503" s="198">
        <f t="shared" si="2675"/>
        <v>52064</v>
      </c>
      <c r="PB503" s="198">
        <f t="shared" si="2676"/>
        <v>1822240</v>
      </c>
      <c r="PC503" s="98">
        <f t="shared" ref="PC503:PP503" si="3379">SUM(PC32,PC70,PC108,PC146,PC184,PC222,PC260,PC298,PC336,PC374,PC412,PC450)</f>
        <v>0</v>
      </c>
      <c r="PD503" s="98">
        <f t="shared" si="3379"/>
        <v>0</v>
      </c>
      <c r="PE503" s="98">
        <f t="shared" si="3379"/>
        <v>0</v>
      </c>
      <c r="PF503" s="98">
        <f t="shared" si="3379"/>
        <v>0</v>
      </c>
      <c r="PG503" s="98">
        <f t="shared" si="3379"/>
        <v>0</v>
      </c>
      <c r="PH503" s="98">
        <f t="shared" si="3379"/>
        <v>0</v>
      </c>
      <c r="PI503" s="98">
        <f t="shared" si="3379"/>
        <v>168796</v>
      </c>
      <c r="PJ503" s="98">
        <f t="shared" si="3379"/>
        <v>3245637</v>
      </c>
      <c r="PK503" s="98">
        <f t="shared" si="3379"/>
        <v>0</v>
      </c>
      <c r="PL503" s="98">
        <f t="shared" si="3379"/>
        <v>0</v>
      </c>
      <c r="PM503" s="98">
        <f t="shared" si="3379"/>
        <v>0</v>
      </c>
      <c r="PN503" s="98">
        <f t="shared" si="3379"/>
        <v>0</v>
      </c>
      <c r="PO503" s="98">
        <f t="shared" si="3379"/>
        <v>0</v>
      </c>
      <c r="PP503" s="98">
        <f t="shared" si="3379"/>
        <v>0</v>
      </c>
      <c r="PQ503" s="198">
        <f t="shared" si="2678"/>
        <v>168796</v>
      </c>
      <c r="PR503" s="198">
        <f t="shared" si="2679"/>
        <v>3245637</v>
      </c>
      <c r="PS503" s="98">
        <f t="shared" ref="PS503:QF503" si="3380">SUM(PS32,PS70,PS108,PS146,PS184,PS222,PS260,PS298,PS336,PS374,PS412,PS450)</f>
        <v>0</v>
      </c>
      <c r="PT503" s="98">
        <f t="shared" si="3380"/>
        <v>0</v>
      </c>
      <c r="PU503" s="98">
        <f t="shared" si="3380"/>
        <v>1759180</v>
      </c>
      <c r="PV503" s="98">
        <f t="shared" si="3380"/>
        <v>31665240</v>
      </c>
      <c r="PW503" s="98">
        <f t="shared" si="3380"/>
        <v>0</v>
      </c>
      <c r="PX503" s="98">
        <f t="shared" si="3380"/>
        <v>0</v>
      </c>
      <c r="PY503" s="98">
        <f t="shared" si="3380"/>
        <v>1845865</v>
      </c>
      <c r="PZ503" s="98">
        <f t="shared" si="3380"/>
        <v>33127030</v>
      </c>
      <c r="QA503" s="98">
        <f t="shared" si="3380"/>
        <v>1800760</v>
      </c>
      <c r="QB503" s="98">
        <f t="shared" si="3380"/>
        <v>32129700</v>
      </c>
      <c r="QC503" s="98">
        <f t="shared" si="3380"/>
        <v>1664680</v>
      </c>
      <c r="QD503" s="98">
        <f t="shared" si="3380"/>
        <v>29872720</v>
      </c>
      <c r="QE503" s="98">
        <f t="shared" si="3380"/>
        <v>0</v>
      </c>
      <c r="QF503" s="98">
        <f t="shared" si="3380"/>
        <v>0</v>
      </c>
      <c r="QG503" s="198">
        <f t="shared" si="2681"/>
        <v>7070485</v>
      </c>
      <c r="QH503" s="198">
        <f t="shared" si="2682"/>
        <v>126794690</v>
      </c>
      <c r="QI503" s="98">
        <f t="shared" ref="QI503:QV503" si="3381">SUM(QI32,QI70,QI108,QI146,QI184,QI222,QI260,QI298,QI336,QI374,QI412,QI450)</f>
        <v>0</v>
      </c>
      <c r="QJ503" s="98">
        <f t="shared" si="3381"/>
        <v>0</v>
      </c>
      <c r="QK503" s="98">
        <f t="shared" si="3381"/>
        <v>0</v>
      </c>
      <c r="QL503" s="98">
        <f t="shared" si="3381"/>
        <v>0</v>
      </c>
      <c r="QM503" s="98">
        <f t="shared" si="3381"/>
        <v>0</v>
      </c>
      <c r="QN503" s="98">
        <f t="shared" si="3381"/>
        <v>0</v>
      </c>
      <c r="QO503" s="98">
        <f t="shared" si="3381"/>
        <v>112500</v>
      </c>
      <c r="QP503" s="98">
        <f t="shared" si="3381"/>
        <v>1976500</v>
      </c>
      <c r="QQ503" s="98">
        <f t="shared" si="3381"/>
        <v>0</v>
      </c>
      <c r="QR503" s="98">
        <f t="shared" si="3381"/>
        <v>0</v>
      </c>
      <c r="QS503" s="98">
        <f t="shared" si="3381"/>
        <v>0</v>
      </c>
      <c r="QT503" s="98">
        <f t="shared" si="3381"/>
        <v>0</v>
      </c>
      <c r="QU503" s="98">
        <f t="shared" si="3381"/>
        <v>0</v>
      </c>
      <c r="QV503" s="98">
        <f t="shared" si="3381"/>
        <v>0</v>
      </c>
      <c r="QW503" s="198">
        <f t="shared" si="2684"/>
        <v>112500</v>
      </c>
      <c r="QX503" s="198">
        <f t="shared" si="2685"/>
        <v>1976500</v>
      </c>
      <c r="QY503" s="98">
        <f t="shared" ref="QY503:RL503" si="3382">SUM(QY32,QY70,QY108,QY146,QY184,QY222,QY260,QY298,QY336,QY374,QY412,QY450)</f>
        <v>0</v>
      </c>
      <c r="QZ503" s="98">
        <f t="shared" si="3382"/>
        <v>0</v>
      </c>
      <c r="RA503" s="98">
        <f t="shared" si="3382"/>
        <v>0</v>
      </c>
      <c r="RB503" s="98">
        <f t="shared" si="3382"/>
        <v>0</v>
      </c>
      <c r="RC503" s="98">
        <f t="shared" si="3382"/>
        <v>0</v>
      </c>
      <c r="RD503" s="98">
        <f t="shared" si="3382"/>
        <v>0</v>
      </c>
      <c r="RE503" s="98">
        <f t="shared" si="3382"/>
        <v>33335</v>
      </c>
      <c r="RF503" s="98">
        <f t="shared" si="3382"/>
        <v>900045</v>
      </c>
      <c r="RG503" s="98">
        <f t="shared" si="3382"/>
        <v>0</v>
      </c>
      <c r="RH503" s="98">
        <f t="shared" si="3382"/>
        <v>0</v>
      </c>
      <c r="RI503" s="98">
        <f t="shared" si="3382"/>
        <v>0</v>
      </c>
      <c r="RJ503" s="98">
        <f t="shared" si="3382"/>
        <v>0</v>
      </c>
      <c r="RK503" s="98">
        <f t="shared" si="3382"/>
        <v>0</v>
      </c>
      <c r="RL503" s="98">
        <f t="shared" si="3382"/>
        <v>0</v>
      </c>
      <c r="RM503" s="198">
        <f t="shared" si="2687"/>
        <v>33335</v>
      </c>
      <c r="RN503" s="198">
        <f t="shared" si="2688"/>
        <v>900045</v>
      </c>
      <c r="RO503" s="98">
        <f t="shared" ref="RO503:SB503" si="3383">SUM(RO32,RO70,RO108,RO146,RO184,RO222,RO260,RO298,RO336,RO374,RO412,RO450)</f>
        <v>0</v>
      </c>
      <c r="RP503" s="98">
        <f t="shared" si="3383"/>
        <v>0</v>
      </c>
      <c r="RQ503" s="98">
        <f t="shared" si="3383"/>
        <v>0</v>
      </c>
      <c r="RR503" s="98">
        <f t="shared" si="3383"/>
        <v>0</v>
      </c>
      <c r="RS503" s="98">
        <f t="shared" si="3383"/>
        <v>0</v>
      </c>
      <c r="RT503" s="98">
        <f t="shared" si="3383"/>
        <v>0</v>
      </c>
      <c r="RU503" s="98">
        <f t="shared" si="3383"/>
        <v>66950</v>
      </c>
      <c r="RV503" s="98">
        <f t="shared" si="3383"/>
        <v>1600570</v>
      </c>
      <c r="RW503" s="98">
        <f t="shared" si="3383"/>
        <v>0</v>
      </c>
      <c r="RX503" s="98">
        <f t="shared" si="3383"/>
        <v>0</v>
      </c>
      <c r="RY503" s="98">
        <f t="shared" si="3383"/>
        <v>0</v>
      </c>
      <c r="RZ503" s="98">
        <f t="shared" si="3383"/>
        <v>0</v>
      </c>
      <c r="SA503" s="98">
        <f t="shared" si="3383"/>
        <v>0</v>
      </c>
      <c r="SB503" s="98">
        <f t="shared" si="3383"/>
        <v>0</v>
      </c>
      <c r="SC503" s="198">
        <f t="shared" si="2690"/>
        <v>66950</v>
      </c>
      <c r="SD503" s="198">
        <f t="shared" si="2691"/>
        <v>1600570</v>
      </c>
      <c r="SE503" s="98">
        <f t="shared" ref="SE503:SR503" si="3384">SUM(SE32,SE70,SE108,SE146,SE184,SE222,SE260,SE298,SE336,SE374,SE412,SE450)</f>
        <v>0</v>
      </c>
      <c r="SF503" s="98">
        <f t="shared" si="3384"/>
        <v>0</v>
      </c>
      <c r="SG503" s="98">
        <f t="shared" si="3384"/>
        <v>0</v>
      </c>
      <c r="SH503" s="98">
        <f t="shared" si="3384"/>
        <v>0</v>
      </c>
      <c r="SI503" s="98">
        <f t="shared" si="3384"/>
        <v>0</v>
      </c>
      <c r="SJ503" s="98">
        <f t="shared" si="3384"/>
        <v>0</v>
      </c>
      <c r="SK503" s="98">
        <f t="shared" si="3384"/>
        <v>8300</v>
      </c>
      <c r="SL503" s="98">
        <f t="shared" si="3384"/>
        <v>205500</v>
      </c>
      <c r="SM503" s="98">
        <f t="shared" si="3384"/>
        <v>0</v>
      </c>
      <c r="SN503" s="98">
        <f t="shared" si="3384"/>
        <v>0</v>
      </c>
      <c r="SO503" s="98">
        <f t="shared" si="3384"/>
        <v>0</v>
      </c>
      <c r="SP503" s="98">
        <f t="shared" si="3384"/>
        <v>0</v>
      </c>
      <c r="SQ503" s="98">
        <f t="shared" si="3384"/>
        <v>0</v>
      </c>
      <c r="SR503" s="98">
        <f t="shared" si="3384"/>
        <v>0</v>
      </c>
      <c r="SS503" s="198">
        <f t="shared" si="2693"/>
        <v>8300</v>
      </c>
      <c r="ST503" s="198">
        <f t="shared" si="2694"/>
        <v>205500</v>
      </c>
      <c r="SU503" s="98">
        <f t="shared" ref="SU503:TH503" si="3385">SUM(SU32,SU70,SU108,SU146,SU184,SU222,SU260,SU298,SU336,SU374,SU412,SU450)</f>
        <v>0</v>
      </c>
      <c r="SV503" s="98">
        <f t="shared" si="3385"/>
        <v>0</v>
      </c>
      <c r="SW503" s="98">
        <f t="shared" si="3385"/>
        <v>0</v>
      </c>
      <c r="SX503" s="98">
        <f t="shared" si="3385"/>
        <v>0</v>
      </c>
      <c r="SY503" s="98">
        <f t="shared" si="3385"/>
        <v>0</v>
      </c>
      <c r="SZ503" s="98">
        <f t="shared" si="3385"/>
        <v>0</v>
      </c>
      <c r="TA503" s="98">
        <f t="shared" si="3385"/>
        <v>31584.98</v>
      </c>
      <c r="TB503" s="98">
        <f t="shared" si="3385"/>
        <v>866531.93500000006</v>
      </c>
      <c r="TC503" s="98">
        <f t="shared" si="3385"/>
        <v>0</v>
      </c>
      <c r="TD503" s="98">
        <f t="shared" si="3385"/>
        <v>0</v>
      </c>
      <c r="TE503" s="98">
        <f t="shared" si="3385"/>
        <v>0</v>
      </c>
      <c r="TF503" s="98">
        <f t="shared" si="3385"/>
        <v>0</v>
      </c>
      <c r="TG503" s="98">
        <f t="shared" si="3385"/>
        <v>0</v>
      </c>
      <c r="TH503" s="98">
        <f t="shared" si="3385"/>
        <v>0</v>
      </c>
      <c r="TI503" s="198">
        <f t="shared" si="2696"/>
        <v>31584.98</v>
      </c>
      <c r="TJ503" s="198">
        <f t="shared" si="2697"/>
        <v>866531.93500000006</v>
      </c>
      <c r="TK503" s="98">
        <f t="shared" ref="TK503:TX503" si="3386">SUM(TK32,TK70,TK108,TK146,TK184,TK222,TK260,TK298,TK336,TK374,TK412,TK450)</f>
        <v>0</v>
      </c>
      <c r="TL503" s="98">
        <f t="shared" si="3386"/>
        <v>0</v>
      </c>
      <c r="TM503" s="98">
        <f t="shared" si="3386"/>
        <v>0</v>
      </c>
      <c r="TN503" s="98">
        <f t="shared" si="3386"/>
        <v>0</v>
      </c>
      <c r="TO503" s="98">
        <f t="shared" si="3386"/>
        <v>0</v>
      </c>
      <c r="TP503" s="98">
        <f t="shared" si="3386"/>
        <v>0</v>
      </c>
      <c r="TQ503" s="98">
        <f t="shared" si="3386"/>
        <v>41350</v>
      </c>
      <c r="TR503" s="98">
        <f t="shared" si="3386"/>
        <v>1016350</v>
      </c>
      <c r="TS503" s="98">
        <f t="shared" si="3386"/>
        <v>0</v>
      </c>
      <c r="TT503" s="98">
        <f t="shared" si="3386"/>
        <v>0</v>
      </c>
      <c r="TU503" s="98">
        <f t="shared" si="3386"/>
        <v>10950</v>
      </c>
      <c r="TV503" s="98">
        <f t="shared" si="3386"/>
        <v>328500</v>
      </c>
      <c r="TW503" s="98">
        <f t="shared" si="3386"/>
        <v>0</v>
      </c>
      <c r="TX503" s="98">
        <f t="shared" si="3386"/>
        <v>0</v>
      </c>
      <c r="TY503" s="198">
        <f t="shared" si="2699"/>
        <v>52300</v>
      </c>
      <c r="TZ503" s="198">
        <f t="shared" si="2700"/>
        <v>1344850</v>
      </c>
      <c r="UA503" s="98">
        <f t="shared" ref="UA503:UN503" si="3387">SUM(UA32,UA70,UA108,UA146,UA184,UA222,UA260,UA298,UA336,UA374,UA412,UA450)</f>
        <v>0</v>
      </c>
      <c r="UB503" s="98">
        <f t="shared" si="3387"/>
        <v>0</v>
      </c>
      <c r="UC503" s="98">
        <f t="shared" si="3387"/>
        <v>0</v>
      </c>
      <c r="UD503" s="98">
        <f t="shared" si="3387"/>
        <v>0</v>
      </c>
      <c r="UE503" s="98">
        <f t="shared" si="3387"/>
        <v>0</v>
      </c>
      <c r="UF503" s="98">
        <f t="shared" si="3387"/>
        <v>0</v>
      </c>
      <c r="UG503" s="98">
        <f t="shared" si="3387"/>
        <v>5628</v>
      </c>
      <c r="UH503" s="98">
        <f t="shared" si="3387"/>
        <v>129444.00200000001</v>
      </c>
      <c r="UI503" s="98">
        <f t="shared" si="3387"/>
        <v>0</v>
      </c>
      <c r="UJ503" s="98">
        <f t="shared" si="3387"/>
        <v>0</v>
      </c>
      <c r="UK503" s="98">
        <f t="shared" si="3387"/>
        <v>0</v>
      </c>
      <c r="UL503" s="98">
        <f t="shared" si="3387"/>
        <v>0</v>
      </c>
      <c r="UM503" s="98">
        <f t="shared" si="3387"/>
        <v>0</v>
      </c>
      <c r="UN503" s="98">
        <f t="shared" si="3387"/>
        <v>0</v>
      </c>
      <c r="UO503" s="198">
        <f t="shared" si="2702"/>
        <v>5628</v>
      </c>
      <c r="UP503" s="198">
        <f t="shared" si="2703"/>
        <v>129444.00200000001</v>
      </c>
      <c r="UQ503" s="98">
        <f t="shared" ref="UQ503:VD503" si="3388">SUM(UQ32,UQ70,UQ108,UQ146,UQ184,UQ222,UQ260,UQ298,UQ336,UQ374,UQ412,UQ450)</f>
        <v>0</v>
      </c>
      <c r="UR503" s="98">
        <f t="shared" si="3388"/>
        <v>0</v>
      </c>
      <c r="US503" s="98">
        <f t="shared" si="3388"/>
        <v>5580</v>
      </c>
      <c r="UT503" s="98">
        <f t="shared" si="3388"/>
        <v>142375</v>
      </c>
      <c r="UU503" s="98">
        <f t="shared" si="3388"/>
        <v>0</v>
      </c>
      <c r="UV503" s="98">
        <f t="shared" si="3388"/>
        <v>0</v>
      </c>
      <c r="UW503" s="98">
        <f t="shared" si="3388"/>
        <v>0</v>
      </c>
      <c r="UX503" s="98">
        <f t="shared" si="3388"/>
        <v>0</v>
      </c>
      <c r="UY503" s="98">
        <f t="shared" si="3388"/>
        <v>0</v>
      </c>
      <c r="UZ503" s="98">
        <f t="shared" si="3388"/>
        <v>0</v>
      </c>
      <c r="VA503" s="98">
        <f t="shared" si="3388"/>
        <v>0</v>
      </c>
      <c r="VB503" s="98">
        <f t="shared" si="3388"/>
        <v>0</v>
      </c>
      <c r="VC503" s="98">
        <f t="shared" si="3388"/>
        <v>0</v>
      </c>
      <c r="VD503" s="98">
        <f t="shared" si="3388"/>
        <v>0</v>
      </c>
      <c r="VE503" s="198">
        <f t="shared" si="2705"/>
        <v>5580</v>
      </c>
      <c r="VF503" s="198">
        <f t="shared" si="2706"/>
        <v>142375</v>
      </c>
      <c r="VG503" s="98">
        <f t="shared" ref="VG503:VT503" si="3389">SUM(VG32,VG70,VG108,VG146,VG184,VG222,VG260,VG298,VG336,VG374,VG412,VG450)</f>
        <v>0</v>
      </c>
      <c r="VH503" s="98">
        <f t="shared" si="3389"/>
        <v>0</v>
      </c>
      <c r="VI503" s="98">
        <f t="shared" si="3389"/>
        <v>9419.5</v>
      </c>
      <c r="VJ503" s="98">
        <f t="shared" si="3389"/>
        <v>228448.5</v>
      </c>
      <c r="VK503" s="98">
        <f t="shared" si="3389"/>
        <v>0</v>
      </c>
      <c r="VL503" s="98">
        <f t="shared" si="3389"/>
        <v>0</v>
      </c>
      <c r="VM503" s="98">
        <f t="shared" si="3389"/>
        <v>12300.7</v>
      </c>
      <c r="VN503" s="98">
        <f t="shared" si="3389"/>
        <v>317841.5</v>
      </c>
      <c r="VO503" s="98">
        <f t="shared" si="3389"/>
        <v>0</v>
      </c>
      <c r="VP503" s="98">
        <f t="shared" si="3389"/>
        <v>0</v>
      </c>
      <c r="VQ503" s="98">
        <f t="shared" si="3389"/>
        <v>0</v>
      </c>
      <c r="VR503" s="98">
        <f t="shared" si="3389"/>
        <v>0</v>
      </c>
      <c r="VS503" s="98">
        <f t="shared" si="3389"/>
        <v>0</v>
      </c>
      <c r="VT503" s="98">
        <f t="shared" si="3389"/>
        <v>0</v>
      </c>
      <c r="VU503" s="198">
        <f t="shared" si="2708"/>
        <v>21720.2</v>
      </c>
      <c r="VV503" s="198">
        <f t="shared" si="2709"/>
        <v>546290</v>
      </c>
      <c r="VW503" s="98">
        <f t="shared" ref="VW503:WJ503" si="3390">SUM(VW32,VW70,VW108,VW146,VW184,VW222,VW260,VW298,VW336,VW374,VW412,VW450)</f>
        <v>0</v>
      </c>
      <c r="VX503" s="98">
        <f t="shared" si="3390"/>
        <v>0</v>
      </c>
      <c r="VY503" s="98">
        <f t="shared" si="3390"/>
        <v>784915</v>
      </c>
      <c r="VZ503" s="98">
        <f t="shared" si="3390"/>
        <v>22084780</v>
      </c>
      <c r="WA503" s="98">
        <f t="shared" si="3390"/>
        <v>0</v>
      </c>
      <c r="WB503" s="98">
        <f t="shared" si="3390"/>
        <v>0</v>
      </c>
      <c r="WC503" s="98">
        <f t="shared" si="3390"/>
        <v>1397859</v>
      </c>
      <c r="WD503" s="98">
        <f t="shared" si="3390"/>
        <v>36437122</v>
      </c>
      <c r="WE503" s="98">
        <f t="shared" si="3390"/>
        <v>0</v>
      </c>
      <c r="WF503" s="98">
        <f t="shared" si="3390"/>
        <v>0</v>
      </c>
      <c r="WG503" s="98">
        <f t="shared" si="3390"/>
        <v>0</v>
      </c>
      <c r="WH503" s="98">
        <f t="shared" si="3390"/>
        <v>0</v>
      </c>
      <c r="WI503" s="98">
        <f t="shared" si="3390"/>
        <v>0</v>
      </c>
      <c r="WJ503" s="98">
        <f t="shared" si="3390"/>
        <v>0</v>
      </c>
      <c r="WK503" s="198">
        <f t="shared" si="2711"/>
        <v>2182774</v>
      </c>
      <c r="WL503" s="198">
        <f t="shared" si="2712"/>
        <v>58521902</v>
      </c>
      <c r="WN503" s="98">
        <f t="shared" si="2713"/>
        <v>0</v>
      </c>
      <c r="WO503" s="98">
        <f t="shared" si="2714"/>
        <v>0</v>
      </c>
      <c r="WP503" s="98">
        <f t="shared" si="2715"/>
        <v>19709732.647203982</v>
      </c>
      <c r="WQ503" s="98">
        <f t="shared" si="2716"/>
        <v>363974007.48519802</v>
      </c>
      <c r="WR503" s="98">
        <f t="shared" si="2717"/>
        <v>0</v>
      </c>
      <c r="WS503" s="98">
        <f t="shared" si="2718"/>
        <v>0</v>
      </c>
      <c r="WT503" s="98">
        <f t="shared" si="2719"/>
        <v>27568836.800272476</v>
      </c>
      <c r="WU503" s="98">
        <f t="shared" si="2720"/>
        <v>551418462.05495596</v>
      </c>
      <c r="WV503" s="98">
        <f t="shared" si="2721"/>
        <v>2684986.000366</v>
      </c>
      <c r="WW503" s="98">
        <f t="shared" si="2722"/>
        <v>48664051.015000001</v>
      </c>
      <c r="WX503" s="98">
        <f t="shared" si="2723"/>
        <v>1750510</v>
      </c>
      <c r="WY503" s="98">
        <f t="shared" si="2724"/>
        <v>31609520</v>
      </c>
      <c r="WZ503" s="98">
        <f t="shared" si="2725"/>
        <v>5424209.9400000004</v>
      </c>
      <c r="XA503" s="98">
        <f t="shared" si="2726"/>
        <v>129150431</v>
      </c>
      <c r="XB503" s="107">
        <f t="shared" si="2727"/>
        <v>57138275.387842461</v>
      </c>
      <c r="XC503" s="107">
        <f t="shared" si="2728"/>
        <v>1124816471.5551538</v>
      </c>
      <c r="XK503" s="98">
        <f t="shared" si="2729"/>
        <v>575669298.85522842</v>
      </c>
      <c r="XL503" s="98">
        <f t="shared" si="2730"/>
        <v>51349037.015366003</v>
      </c>
      <c r="XM503" s="98">
        <f t="shared" si="2731"/>
        <v>33360030</v>
      </c>
      <c r="XN503" s="98">
        <f t="shared" si="2732"/>
        <v>134574640.94</v>
      </c>
      <c r="XO503" s="98">
        <f t="shared" si="2733"/>
        <v>1178636746.9429963</v>
      </c>
      <c r="XP503" s="98">
        <f t="shared" si="2734"/>
        <v>0</v>
      </c>
      <c r="XQ503" s="98">
        <f t="shared" si="2735"/>
        <v>381311640.132402</v>
      </c>
      <c r="XR503" s="107">
        <f t="shared" ca="1" si="2597"/>
        <v>2215871193.3781033</v>
      </c>
      <c r="XT503" s="98">
        <f t="shared" si="2736"/>
        <v>1124816471.5551538</v>
      </c>
      <c r="XU503" s="98">
        <f t="shared" si="2737"/>
        <v>19591127.647203982</v>
      </c>
      <c r="XV503" s="98">
        <f t="shared" si="2738"/>
        <v>363974007.48519802</v>
      </c>
      <c r="XW503" s="98">
        <f t="shared" si="2739"/>
        <v>27302349.800272476</v>
      </c>
      <c r="XX503" s="98">
        <f t="shared" si="2740"/>
        <v>1129738086.9105504</v>
      </c>
      <c r="XY503" s="98">
        <f t="shared" si="2741"/>
        <v>83750861.015000001</v>
      </c>
      <c r="XZ503" s="98">
        <f t="shared" si="2742"/>
        <v>1215656746.8829963</v>
      </c>
      <c r="YA503" s="107">
        <f t="shared" ca="1" si="2598"/>
        <v>3834185312.8338985</v>
      </c>
    </row>
    <row r="504" spans="2:651">
      <c r="B504" s="90" t="str">
        <f t="shared" si="2558"/>
        <v xml:space="preserve">Patin </v>
      </c>
      <c r="C504" s="98">
        <f t="shared" ref="C504:P504" si="3391">SUM(C33,C71,C109,C147,C185,C223,C261,C299,C337,C375,C413,C451)</f>
        <v>0</v>
      </c>
      <c r="D504" s="98">
        <f t="shared" si="3391"/>
        <v>0</v>
      </c>
      <c r="E504" s="98">
        <f t="shared" si="3391"/>
        <v>0</v>
      </c>
      <c r="F504" s="98">
        <f t="shared" si="3391"/>
        <v>0</v>
      </c>
      <c r="G504" s="98">
        <f t="shared" si="3391"/>
        <v>0</v>
      </c>
      <c r="H504" s="98">
        <f t="shared" si="3391"/>
        <v>0</v>
      </c>
      <c r="I504" s="98">
        <f t="shared" si="3391"/>
        <v>0</v>
      </c>
      <c r="J504" s="98">
        <f t="shared" si="3391"/>
        <v>0</v>
      </c>
      <c r="K504" s="98">
        <f t="shared" si="3391"/>
        <v>0</v>
      </c>
      <c r="L504" s="98">
        <f t="shared" si="3391"/>
        <v>0</v>
      </c>
      <c r="M504" s="98">
        <f t="shared" si="3391"/>
        <v>0</v>
      </c>
      <c r="N504" s="98">
        <f t="shared" si="3391"/>
        <v>0</v>
      </c>
      <c r="O504" s="98">
        <f t="shared" si="3391"/>
        <v>0</v>
      </c>
      <c r="P504" s="98">
        <f t="shared" si="3391"/>
        <v>0</v>
      </c>
      <c r="Q504" s="198">
        <f t="shared" si="2600"/>
        <v>0</v>
      </c>
      <c r="R504" s="198">
        <f t="shared" si="2601"/>
        <v>0</v>
      </c>
      <c r="S504" s="98">
        <f t="shared" ref="S504:AF504" si="3392">SUM(S33,S71,S109,S147,S185,S223,S261,S299,S337,S375,S413,S451)</f>
        <v>0</v>
      </c>
      <c r="T504" s="98">
        <f t="shared" si="3392"/>
        <v>0</v>
      </c>
      <c r="U504" s="98">
        <f t="shared" si="3392"/>
        <v>0</v>
      </c>
      <c r="V504" s="98">
        <f t="shared" si="3392"/>
        <v>0</v>
      </c>
      <c r="W504" s="98">
        <f t="shared" si="3392"/>
        <v>0</v>
      </c>
      <c r="X504" s="98">
        <f t="shared" si="3392"/>
        <v>0</v>
      </c>
      <c r="Y504" s="98">
        <f t="shared" si="3392"/>
        <v>2607133</v>
      </c>
      <c r="Z504" s="98">
        <f t="shared" si="3392"/>
        <v>52142660</v>
      </c>
      <c r="AA504" s="98">
        <f t="shared" si="3392"/>
        <v>0</v>
      </c>
      <c r="AB504" s="98">
        <f t="shared" si="3392"/>
        <v>0</v>
      </c>
      <c r="AC504" s="98">
        <f t="shared" si="3392"/>
        <v>0</v>
      </c>
      <c r="AD504" s="98">
        <f t="shared" si="3392"/>
        <v>0</v>
      </c>
      <c r="AE504" s="98">
        <f t="shared" si="3392"/>
        <v>0</v>
      </c>
      <c r="AF504" s="98">
        <f t="shared" si="3392"/>
        <v>0</v>
      </c>
      <c r="AG504" s="198">
        <f t="shared" si="2603"/>
        <v>2607133</v>
      </c>
      <c r="AH504" s="198">
        <f t="shared" si="2604"/>
        <v>52142660</v>
      </c>
      <c r="AI504" s="98">
        <f t="shared" ref="AI504:AV504" si="3393">SUM(AI33,AI71,AI109,AI147,AI185,AI223,AI261,AI299,AI337,AI375,AI413,AI451)</f>
        <v>0</v>
      </c>
      <c r="AJ504" s="98">
        <f t="shared" si="3393"/>
        <v>0</v>
      </c>
      <c r="AK504" s="98">
        <f t="shared" si="3393"/>
        <v>0</v>
      </c>
      <c r="AL504" s="98">
        <f t="shared" si="3393"/>
        <v>0</v>
      </c>
      <c r="AM504" s="98">
        <f t="shared" si="3393"/>
        <v>0</v>
      </c>
      <c r="AN504" s="98">
        <f t="shared" si="3393"/>
        <v>0</v>
      </c>
      <c r="AO504" s="98">
        <f t="shared" si="3393"/>
        <v>144300</v>
      </c>
      <c r="AP504" s="98">
        <f t="shared" si="3393"/>
        <v>2453500</v>
      </c>
      <c r="AQ504" s="98">
        <f t="shared" si="3393"/>
        <v>0</v>
      </c>
      <c r="AR504" s="98">
        <f t="shared" si="3393"/>
        <v>0</v>
      </c>
      <c r="AS504" s="98">
        <f t="shared" si="3393"/>
        <v>0</v>
      </c>
      <c r="AT504" s="98">
        <f t="shared" si="3393"/>
        <v>0</v>
      </c>
      <c r="AU504" s="98">
        <f t="shared" si="3393"/>
        <v>0</v>
      </c>
      <c r="AV504" s="98">
        <f t="shared" si="3393"/>
        <v>0</v>
      </c>
      <c r="AW504" s="198">
        <f t="shared" si="2606"/>
        <v>144300</v>
      </c>
      <c r="AX504" s="198">
        <f t="shared" si="2607"/>
        <v>2453500</v>
      </c>
      <c r="AY504" s="98">
        <f t="shared" ref="AY504:BL504" si="3394">SUM(AY33,AY71,AY109,AY147,AY185,AY223,AY261,AY299,AY337,AY375,AY413,AY451)</f>
        <v>0</v>
      </c>
      <c r="AZ504" s="98">
        <f t="shared" si="3394"/>
        <v>0</v>
      </c>
      <c r="BA504" s="98">
        <f t="shared" si="3394"/>
        <v>0</v>
      </c>
      <c r="BB504" s="98">
        <f t="shared" si="3394"/>
        <v>0</v>
      </c>
      <c r="BC504" s="98">
        <f t="shared" si="3394"/>
        <v>0</v>
      </c>
      <c r="BD504" s="98">
        <f t="shared" si="3394"/>
        <v>0</v>
      </c>
      <c r="BE504" s="98">
        <f t="shared" si="3394"/>
        <v>271401</v>
      </c>
      <c r="BF504" s="98">
        <f t="shared" si="3394"/>
        <v>4885218</v>
      </c>
      <c r="BG504" s="98">
        <f t="shared" si="3394"/>
        <v>0</v>
      </c>
      <c r="BH504" s="98">
        <f t="shared" si="3394"/>
        <v>0</v>
      </c>
      <c r="BI504" s="98">
        <f t="shared" si="3394"/>
        <v>0</v>
      </c>
      <c r="BJ504" s="98">
        <f t="shared" si="3394"/>
        <v>0</v>
      </c>
      <c r="BK504" s="98">
        <f t="shared" si="3394"/>
        <v>7621</v>
      </c>
      <c r="BL504" s="98">
        <f t="shared" si="3394"/>
        <v>137178</v>
      </c>
      <c r="BM504" s="198">
        <f t="shared" si="2609"/>
        <v>279022</v>
      </c>
      <c r="BN504" s="198">
        <f t="shared" si="2610"/>
        <v>5022396</v>
      </c>
      <c r="BO504" s="98">
        <f t="shared" ref="BO504:CB504" si="3395">SUM(BO33,BO71,BO109,BO147,BO185,BO223,BO261,BO299,BO337,BO375,BO413,BO451)</f>
        <v>0</v>
      </c>
      <c r="BP504" s="98">
        <f t="shared" si="3395"/>
        <v>0</v>
      </c>
      <c r="BQ504" s="98">
        <f t="shared" si="3395"/>
        <v>0</v>
      </c>
      <c r="BR504" s="98">
        <f t="shared" si="3395"/>
        <v>0</v>
      </c>
      <c r="BS504" s="98">
        <f t="shared" si="3395"/>
        <v>0</v>
      </c>
      <c r="BT504" s="98">
        <f t="shared" si="3395"/>
        <v>0</v>
      </c>
      <c r="BU504" s="98">
        <f t="shared" si="3395"/>
        <v>185</v>
      </c>
      <c r="BV504" s="98">
        <f t="shared" si="3395"/>
        <v>4995</v>
      </c>
      <c r="BW504" s="98">
        <f t="shared" si="3395"/>
        <v>0</v>
      </c>
      <c r="BX504" s="98">
        <f t="shared" si="3395"/>
        <v>0</v>
      </c>
      <c r="BY504" s="98">
        <f t="shared" si="3395"/>
        <v>0</v>
      </c>
      <c r="BZ504" s="98">
        <f t="shared" si="3395"/>
        <v>0</v>
      </c>
      <c r="CA504" s="98">
        <f t="shared" si="3395"/>
        <v>0</v>
      </c>
      <c r="CB504" s="98">
        <f t="shared" si="3395"/>
        <v>0</v>
      </c>
      <c r="CC504" s="198">
        <f t="shared" si="2612"/>
        <v>185</v>
      </c>
      <c r="CD504" s="198">
        <f t="shared" si="2613"/>
        <v>4995</v>
      </c>
      <c r="CE504" s="98">
        <f t="shared" ref="CE504:CR504" si="3396">SUM(CE33,CE71,CE109,CE147,CE185,CE223,CE261,CE299,CE337,CE375,CE413,CE451)</f>
        <v>0</v>
      </c>
      <c r="CF504" s="98">
        <f t="shared" si="3396"/>
        <v>0</v>
      </c>
      <c r="CG504" s="98">
        <f t="shared" si="3396"/>
        <v>0</v>
      </c>
      <c r="CH504" s="98">
        <f t="shared" si="3396"/>
        <v>0</v>
      </c>
      <c r="CI504" s="98">
        <f t="shared" si="3396"/>
        <v>0</v>
      </c>
      <c r="CJ504" s="98">
        <f t="shared" si="3396"/>
        <v>0</v>
      </c>
      <c r="CK504" s="98">
        <f t="shared" si="3396"/>
        <v>18352.278126552195</v>
      </c>
      <c r="CL504" s="98">
        <f t="shared" si="3396"/>
        <v>348160.49785030633</v>
      </c>
      <c r="CM504" s="98">
        <f t="shared" si="3396"/>
        <v>0</v>
      </c>
      <c r="CN504" s="98">
        <f t="shared" si="3396"/>
        <v>0</v>
      </c>
      <c r="CO504" s="98">
        <f t="shared" si="3396"/>
        <v>0</v>
      </c>
      <c r="CP504" s="98">
        <f t="shared" si="3396"/>
        <v>0</v>
      </c>
      <c r="CQ504" s="98">
        <f t="shared" si="3396"/>
        <v>0</v>
      </c>
      <c r="CR504" s="98">
        <f t="shared" si="3396"/>
        <v>0</v>
      </c>
      <c r="CS504" s="198">
        <f t="shared" si="2615"/>
        <v>18352.278126552195</v>
      </c>
      <c r="CT504" s="198">
        <f t="shared" si="2616"/>
        <v>348160.49785030633</v>
      </c>
      <c r="CU504" s="98">
        <f t="shared" ref="CU504:DH504" si="3397">SUM(CU33,CU71,CU109,CU147,CU185,CU223,CU261,CU299,CU337,CU375,CU413,CU451)</f>
        <v>0</v>
      </c>
      <c r="CV504" s="98">
        <f t="shared" si="3397"/>
        <v>0</v>
      </c>
      <c r="CW504" s="98">
        <f t="shared" si="3397"/>
        <v>0</v>
      </c>
      <c r="CX504" s="98">
        <f t="shared" si="3397"/>
        <v>0</v>
      </c>
      <c r="CY504" s="98">
        <f t="shared" si="3397"/>
        <v>0</v>
      </c>
      <c r="CZ504" s="98">
        <f t="shared" si="3397"/>
        <v>0</v>
      </c>
      <c r="DA504" s="98">
        <f t="shared" si="3397"/>
        <v>0</v>
      </c>
      <c r="DB504" s="98">
        <f t="shared" si="3397"/>
        <v>0</v>
      </c>
      <c r="DC504" s="98">
        <f t="shared" si="3397"/>
        <v>0</v>
      </c>
      <c r="DD504" s="98">
        <f t="shared" si="3397"/>
        <v>0</v>
      </c>
      <c r="DE504" s="98">
        <f t="shared" si="3397"/>
        <v>0</v>
      </c>
      <c r="DF504" s="98">
        <f t="shared" si="3397"/>
        <v>0</v>
      </c>
      <c r="DG504" s="98">
        <f t="shared" si="3397"/>
        <v>0</v>
      </c>
      <c r="DH504" s="98">
        <f t="shared" si="3397"/>
        <v>0</v>
      </c>
      <c r="DI504" s="198">
        <f t="shared" si="2618"/>
        <v>0</v>
      </c>
      <c r="DJ504" s="198">
        <f t="shared" si="2619"/>
        <v>0</v>
      </c>
      <c r="DK504" s="98">
        <f t="shared" ref="DK504:DX504" si="3398">SUM(DK33,DK71,DK109,DK147,DK185,DK223,DK261,DK299,DK337,DK375,DK413,DK451)</f>
        <v>0</v>
      </c>
      <c r="DL504" s="98">
        <f t="shared" si="3398"/>
        <v>0</v>
      </c>
      <c r="DM504" s="98">
        <f t="shared" si="3398"/>
        <v>0</v>
      </c>
      <c r="DN504" s="98">
        <f t="shared" si="3398"/>
        <v>0</v>
      </c>
      <c r="DO504" s="98">
        <f t="shared" si="3398"/>
        <v>0</v>
      </c>
      <c r="DP504" s="98">
        <f t="shared" si="3398"/>
        <v>0</v>
      </c>
      <c r="DQ504" s="98">
        <f t="shared" si="3398"/>
        <v>2066000</v>
      </c>
      <c r="DR504" s="98">
        <f t="shared" si="3398"/>
        <v>39357100</v>
      </c>
      <c r="DS504" s="98">
        <f t="shared" si="3398"/>
        <v>0</v>
      </c>
      <c r="DT504" s="98">
        <f t="shared" si="3398"/>
        <v>0</v>
      </c>
      <c r="DU504" s="98">
        <f t="shared" si="3398"/>
        <v>0</v>
      </c>
      <c r="DV504" s="98">
        <f t="shared" si="3398"/>
        <v>0</v>
      </c>
      <c r="DW504" s="98">
        <f t="shared" si="3398"/>
        <v>0</v>
      </c>
      <c r="DX504" s="98">
        <f t="shared" si="3398"/>
        <v>0</v>
      </c>
      <c r="DY504" s="198">
        <f t="shared" si="2621"/>
        <v>2066000</v>
      </c>
      <c r="DZ504" s="198">
        <f t="shared" si="2622"/>
        <v>39357100</v>
      </c>
      <c r="EA504" s="98">
        <f t="shared" ref="EA504:EN504" si="3399">SUM(EA33,EA71,EA109,EA147,EA185,EA223,EA261,EA299,EA337,EA375,EA413,EA451)</f>
        <v>0</v>
      </c>
      <c r="EB504" s="98">
        <f t="shared" si="3399"/>
        <v>0</v>
      </c>
      <c r="EC504" s="98">
        <f t="shared" si="3399"/>
        <v>0</v>
      </c>
      <c r="ED504" s="98">
        <f t="shared" si="3399"/>
        <v>0</v>
      </c>
      <c r="EE504" s="98">
        <f t="shared" si="3399"/>
        <v>0</v>
      </c>
      <c r="EF504" s="98">
        <f t="shared" si="3399"/>
        <v>0</v>
      </c>
      <c r="EG504" s="98">
        <f t="shared" si="3399"/>
        <v>1547500</v>
      </c>
      <c r="EH504" s="98">
        <f t="shared" si="3399"/>
        <v>23212500</v>
      </c>
      <c r="EI504" s="98">
        <f t="shared" si="3399"/>
        <v>0</v>
      </c>
      <c r="EJ504" s="98">
        <f t="shared" si="3399"/>
        <v>0</v>
      </c>
      <c r="EK504" s="98">
        <f t="shared" si="3399"/>
        <v>0</v>
      </c>
      <c r="EL504" s="98">
        <f t="shared" si="3399"/>
        <v>0</v>
      </c>
      <c r="EM504" s="98">
        <f t="shared" si="3399"/>
        <v>0</v>
      </c>
      <c r="EN504" s="98">
        <f t="shared" si="3399"/>
        <v>0</v>
      </c>
      <c r="EO504" s="198">
        <f t="shared" si="2624"/>
        <v>1547500</v>
      </c>
      <c r="EP504" s="198">
        <f t="shared" si="2625"/>
        <v>23212500</v>
      </c>
      <c r="EQ504" s="98">
        <f t="shared" ref="EQ504:FD504" si="3400">SUM(EQ33,EQ71,EQ109,EQ147,EQ185,EQ223,EQ261,EQ299,EQ337,EQ375,EQ413,EQ451)</f>
        <v>0</v>
      </c>
      <c r="ER504" s="98">
        <f t="shared" si="3400"/>
        <v>0</v>
      </c>
      <c r="ES504" s="98">
        <f t="shared" si="3400"/>
        <v>0</v>
      </c>
      <c r="ET504" s="98">
        <f t="shared" si="3400"/>
        <v>0</v>
      </c>
      <c r="EU504" s="98">
        <f t="shared" si="3400"/>
        <v>0</v>
      </c>
      <c r="EV504" s="98">
        <f t="shared" si="3400"/>
        <v>0</v>
      </c>
      <c r="EW504" s="98">
        <f t="shared" si="3400"/>
        <v>5154</v>
      </c>
      <c r="EX504" s="98">
        <f t="shared" si="3400"/>
        <v>91843</v>
      </c>
      <c r="EY504" s="98">
        <f t="shared" si="3400"/>
        <v>0</v>
      </c>
      <c r="EZ504" s="98">
        <f t="shared" si="3400"/>
        <v>0</v>
      </c>
      <c r="FA504" s="98">
        <f t="shared" si="3400"/>
        <v>0</v>
      </c>
      <c r="FB504" s="98">
        <f t="shared" si="3400"/>
        <v>0</v>
      </c>
      <c r="FC504" s="98">
        <f t="shared" si="3400"/>
        <v>0</v>
      </c>
      <c r="FD504" s="98">
        <f t="shared" si="3400"/>
        <v>0</v>
      </c>
      <c r="FE504" s="198">
        <f t="shared" si="2627"/>
        <v>5154</v>
      </c>
      <c r="FF504" s="198">
        <f t="shared" si="2628"/>
        <v>91843</v>
      </c>
      <c r="FG504" s="98">
        <f t="shared" ref="FG504:FT504" si="3401">SUM(FG33,FG71,FG109,FG147,FG185,FG223,FG261,FG299,FG337,FG375,FG413,FG451)</f>
        <v>0</v>
      </c>
      <c r="FH504" s="98">
        <f t="shared" si="3401"/>
        <v>0</v>
      </c>
      <c r="FI504" s="98">
        <f t="shared" si="3401"/>
        <v>0</v>
      </c>
      <c r="FJ504" s="98">
        <f t="shared" si="3401"/>
        <v>0</v>
      </c>
      <c r="FK504" s="98">
        <f t="shared" si="3401"/>
        <v>0</v>
      </c>
      <c r="FL504" s="98">
        <f t="shared" si="3401"/>
        <v>0</v>
      </c>
      <c r="FM504" s="98">
        <f t="shared" si="3401"/>
        <v>9700.4</v>
      </c>
      <c r="FN504" s="98">
        <f t="shared" si="3401"/>
        <v>213500</v>
      </c>
      <c r="FO504" s="98">
        <f t="shared" si="3401"/>
        <v>0</v>
      </c>
      <c r="FP504" s="98">
        <f t="shared" si="3401"/>
        <v>0</v>
      </c>
      <c r="FQ504" s="98">
        <f t="shared" si="3401"/>
        <v>0</v>
      </c>
      <c r="FR504" s="98">
        <f t="shared" si="3401"/>
        <v>0</v>
      </c>
      <c r="FS504" s="98">
        <f t="shared" si="3401"/>
        <v>0</v>
      </c>
      <c r="FT504" s="98">
        <f t="shared" si="3401"/>
        <v>0</v>
      </c>
      <c r="FU504" s="198">
        <f t="shared" si="2630"/>
        <v>9700.4</v>
      </c>
      <c r="FV504" s="198">
        <f t="shared" si="2631"/>
        <v>213500</v>
      </c>
      <c r="FW504" s="98">
        <f t="shared" ref="FW504:GJ504" si="3402">SUM(FW33,FW71,FW109,FW147,FW185,FW223,FW261,FW299,FW337,FW375,FW413,FW451)</f>
        <v>0</v>
      </c>
      <c r="FX504" s="98">
        <f t="shared" si="3402"/>
        <v>0</v>
      </c>
      <c r="FY504" s="98">
        <f t="shared" si="3402"/>
        <v>0</v>
      </c>
      <c r="FZ504" s="98">
        <f t="shared" si="3402"/>
        <v>0</v>
      </c>
      <c r="GA504" s="98">
        <f t="shared" si="3402"/>
        <v>0</v>
      </c>
      <c r="GB504" s="98">
        <f t="shared" si="3402"/>
        <v>0</v>
      </c>
      <c r="GC504" s="98">
        <f t="shared" si="3402"/>
        <v>374000</v>
      </c>
      <c r="GD504" s="98">
        <f t="shared" si="3402"/>
        <v>6857000</v>
      </c>
      <c r="GE504" s="98">
        <f t="shared" si="3402"/>
        <v>0</v>
      </c>
      <c r="GF504" s="98">
        <f t="shared" si="3402"/>
        <v>0</v>
      </c>
      <c r="GG504" s="98">
        <f t="shared" si="3402"/>
        <v>0</v>
      </c>
      <c r="GH504" s="98">
        <f t="shared" si="3402"/>
        <v>0</v>
      </c>
      <c r="GI504" s="98">
        <f t="shared" si="3402"/>
        <v>0</v>
      </c>
      <c r="GJ504" s="98">
        <f t="shared" si="3402"/>
        <v>0</v>
      </c>
      <c r="GK504" s="198">
        <f t="shared" si="2633"/>
        <v>374000</v>
      </c>
      <c r="GL504" s="198">
        <f t="shared" si="2634"/>
        <v>6857000</v>
      </c>
      <c r="GM504" s="98">
        <f t="shared" ref="GM504:GZ504" si="3403">SUM(GM33,GM71,GM109,GM147,GM185,GM223,GM261,GM299,GM337,GM375,GM413,GM451)</f>
        <v>0</v>
      </c>
      <c r="GN504" s="98">
        <f t="shared" si="3403"/>
        <v>0</v>
      </c>
      <c r="GO504" s="98">
        <f t="shared" si="3403"/>
        <v>0</v>
      </c>
      <c r="GP504" s="98">
        <f t="shared" si="3403"/>
        <v>0</v>
      </c>
      <c r="GQ504" s="98">
        <f t="shared" si="3403"/>
        <v>0</v>
      </c>
      <c r="GR504" s="98">
        <f t="shared" si="3403"/>
        <v>0</v>
      </c>
      <c r="GS504" s="98">
        <f t="shared" si="3403"/>
        <v>26850</v>
      </c>
      <c r="GT504" s="98">
        <f t="shared" si="3403"/>
        <v>453875</v>
      </c>
      <c r="GU504" s="98">
        <f t="shared" si="3403"/>
        <v>0</v>
      </c>
      <c r="GV504" s="98">
        <f t="shared" si="3403"/>
        <v>0</v>
      </c>
      <c r="GW504" s="98">
        <f t="shared" si="3403"/>
        <v>0</v>
      </c>
      <c r="GX504" s="98">
        <f t="shared" si="3403"/>
        <v>0</v>
      </c>
      <c r="GY504" s="98">
        <f t="shared" si="3403"/>
        <v>0</v>
      </c>
      <c r="GZ504" s="98">
        <f t="shared" si="3403"/>
        <v>0</v>
      </c>
      <c r="HA504" s="198">
        <f t="shared" si="2636"/>
        <v>26850</v>
      </c>
      <c r="HB504" s="198">
        <f t="shared" si="2637"/>
        <v>453875</v>
      </c>
      <c r="HC504" s="98">
        <f t="shared" ref="HC504:HP504" si="3404">SUM(HC33,HC71,HC109,HC147,HC185,HC223,HC261,HC299,HC337,HC375,HC413,HC451)</f>
        <v>0</v>
      </c>
      <c r="HD504" s="98">
        <f t="shared" si="3404"/>
        <v>0</v>
      </c>
      <c r="HE504" s="98">
        <f t="shared" si="3404"/>
        <v>0</v>
      </c>
      <c r="HF504" s="98">
        <f t="shared" si="3404"/>
        <v>0</v>
      </c>
      <c r="HG504" s="98">
        <f t="shared" si="3404"/>
        <v>0</v>
      </c>
      <c r="HH504" s="98">
        <f t="shared" si="3404"/>
        <v>0</v>
      </c>
      <c r="HI504" s="98">
        <f t="shared" si="3404"/>
        <v>0</v>
      </c>
      <c r="HJ504" s="98">
        <f t="shared" si="3404"/>
        <v>0</v>
      </c>
      <c r="HK504" s="98">
        <f t="shared" si="3404"/>
        <v>0</v>
      </c>
      <c r="HL504" s="98">
        <f t="shared" si="3404"/>
        <v>0</v>
      </c>
      <c r="HM504" s="98">
        <f t="shared" si="3404"/>
        <v>0</v>
      </c>
      <c r="HN504" s="98">
        <f t="shared" si="3404"/>
        <v>0</v>
      </c>
      <c r="HO504" s="98">
        <f t="shared" si="3404"/>
        <v>0</v>
      </c>
      <c r="HP504" s="98">
        <f t="shared" si="3404"/>
        <v>0</v>
      </c>
      <c r="HQ504" s="198">
        <f t="shared" si="2639"/>
        <v>0</v>
      </c>
      <c r="HR504" s="198">
        <f t="shared" si="2640"/>
        <v>0</v>
      </c>
      <c r="HS504" s="98">
        <f t="shared" ref="HS504:IF504" si="3405">SUM(HS33,HS71,HS109,HS147,HS185,HS223,HS261,HS299,HS337,HS375,HS413,HS451)</f>
        <v>0</v>
      </c>
      <c r="HT504" s="98">
        <f t="shared" si="3405"/>
        <v>0</v>
      </c>
      <c r="HU504" s="98">
        <f t="shared" si="3405"/>
        <v>0</v>
      </c>
      <c r="HV504" s="98">
        <f t="shared" si="3405"/>
        <v>0</v>
      </c>
      <c r="HW504" s="98">
        <f t="shared" si="3405"/>
        <v>0</v>
      </c>
      <c r="HX504" s="98">
        <f t="shared" si="3405"/>
        <v>0</v>
      </c>
      <c r="HY504" s="98">
        <f t="shared" si="3405"/>
        <v>23550</v>
      </c>
      <c r="HZ504" s="98">
        <f t="shared" si="3405"/>
        <v>435000</v>
      </c>
      <c r="IA504" s="98">
        <f t="shared" si="3405"/>
        <v>0</v>
      </c>
      <c r="IB504" s="98">
        <f t="shared" si="3405"/>
        <v>0</v>
      </c>
      <c r="IC504" s="98">
        <f t="shared" si="3405"/>
        <v>0</v>
      </c>
      <c r="ID504" s="98">
        <f t="shared" si="3405"/>
        <v>0</v>
      </c>
      <c r="IE504" s="98">
        <f t="shared" si="3405"/>
        <v>0</v>
      </c>
      <c r="IF504" s="98">
        <f t="shared" si="3405"/>
        <v>0</v>
      </c>
      <c r="IG504" s="198">
        <f t="shared" si="2642"/>
        <v>23550</v>
      </c>
      <c r="IH504" s="198">
        <f t="shared" si="2643"/>
        <v>435000</v>
      </c>
      <c r="II504" s="98">
        <f t="shared" ref="II504:IV504" si="3406">SUM(II33,II71,II109,II147,II185,II223,II261,II299,II337,II375,II413,II451)</f>
        <v>0</v>
      </c>
      <c r="IJ504" s="98">
        <f t="shared" si="3406"/>
        <v>0</v>
      </c>
      <c r="IK504" s="98">
        <f t="shared" si="3406"/>
        <v>0</v>
      </c>
      <c r="IL504" s="98">
        <f t="shared" si="3406"/>
        <v>0</v>
      </c>
      <c r="IM504" s="98">
        <f t="shared" si="3406"/>
        <v>0</v>
      </c>
      <c r="IN504" s="98">
        <f t="shared" si="3406"/>
        <v>0</v>
      </c>
      <c r="IO504" s="98">
        <f t="shared" si="3406"/>
        <v>85540</v>
      </c>
      <c r="IP504" s="98">
        <f t="shared" si="3406"/>
        <v>1505375</v>
      </c>
      <c r="IQ504" s="98">
        <f t="shared" si="3406"/>
        <v>0</v>
      </c>
      <c r="IR504" s="98">
        <f t="shared" si="3406"/>
        <v>0</v>
      </c>
      <c r="IS504" s="98">
        <f t="shared" si="3406"/>
        <v>0</v>
      </c>
      <c r="IT504" s="98">
        <f t="shared" si="3406"/>
        <v>0</v>
      </c>
      <c r="IU504" s="98">
        <f t="shared" si="3406"/>
        <v>0</v>
      </c>
      <c r="IV504" s="98">
        <f t="shared" si="3406"/>
        <v>0</v>
      </c>
      <c r="IW504" s="198">
        <f t="shared" si="2645"/>
        <v>85540</v>
      </c>
      <c r="IX504" s="198">
        <f t="shared" si="2646"/>
        <v>1505375</v>
      </c>
      <c r="IY504" s="98">
        <f t="shared" ref="IY504:JL504" si="3407">SUM(IY33,IY71,IY109,IY147,IY185,IY223,IY261,IY299,IY337,IY375,IY413,IY451)</f>
        <v>0</v>
      </c>
      <c r="IZ504" s="98">
        <f t="shared" si="3407"/>
        <v>0</v>
      </c>
      <c r="JA504" s="98">
        <f t="shared" si="3407"/>
        <v>0</v>
      </c>
      <c r="JB504" s="98">
        <f t="shared" si="3407"/>
        <v>0</v>
      </c>
      <c r="JC504" s="98">
        <f t="shared" si="3407"/>
        <v>0</v>
      </c>
      <c r="JD504" s="98">
        <f t="shared" si="3407"/>
        <v>0</v>
      </c>
      <c r="JE504" s="98">
        <f t="shared" si="3407"/>
        <v>178854</v>
      </c>
      <c r="JF504" s="98">
        <f t="shared" si="3407"/>
        <v>3129025</v>
      </c>
      <c r="JG504" s="98">
        <f t="shared" si="3407"/>
        <v>0</v>
      </c>
      <c r="JH504" s="98">
        <f t="shared" si="3407"/>
        <v>0</v>
      </c>
      <c r="JI504" s="98">
        <f t="shared" si="3407"/>
        <v>0</v>
      </c>
      <c r="JJ504" s="98">
        <f t="shared" si="3407"/>
        <v>0</v>
      </c>
      <c r="JK504" s="98">
        <f t="shared" si="3407"/>
        <v>64986</v>
      </c>
      <c r="JL504" s="98">
        <f t="shared" si="3407"/>
        <v>1119448</v>
      </c>
      <c r="JM504" s="198">
        <f t="shared" si="2648"/>
        <v>243840</v>
      </c>
      <c r="JN504" s="198">
        <f t="shared" si="2649"/>
        <v>4248473</v>
      </c>
      <c r="JO504" s="98">
        <f t="shared" ref="JO504:KB504" si="3408">SUM(JO33,JO71,JO109,JO147,JO185,JO223,JO261,JO299,JO337,JO375,JO413,JO451)</f>
        <v>0</v>
      </c>
      <c r="JP504" s="98">
        <f t="shared" si="3408"/>
        <v>0</v>
      </c>
      <c r="JQ504" s="98">
        <f t="shared" si="3408"/>
        <v>0</v>
      </c>
      <c r="JR504" s="98">
        <f t="shared" si="3408"/>
        <v>0</v>
      </c>
      <c r="JS504" s="98">
        <f t="shared" si="3408"/>
        <v>0</v>
      </c>
      <c r="JT504" s="98">
        <f t="shared" si="3408"/>
        <v>0</v>
      </c>
      <c r="JU504" s="98">
        <f t="shared" si="3408"/>
        <v>0</v>
      </c>
      <c r="JV504" s="98">
        <f t="shared" si="3408"/>
        <v>0</v>
      </c>
      <c r="JW504" s="98">
        <f t="shared" si="3408"/>
        <v>0</v>
      </c>
      <c r="JX504" s="98">
        <f t="shared" si="3408"/>
        <v>0</v>
      </c>
      <c r="JY504" s="98">
        <f t="shared" si="3408"/>
        <v>0</v>
      </c>
      <c r="JZ504" s="98">
        <f t="shared" si="3408"/>
        <v>0</v>
      </c>
      <c r="KA504" s="98">
        <f t="shared" si="3408"/>
        <v>0</v>
      </c>
      <c r="KB504" s="98">
        <f t="shared" si="3408"/>
        <v>0</v>
      </c>
      <c r="KC504" s="198">
        <f t="shared" si="2651"/>
        <v>0</v>
      </c>
      <c r="KD504" s="198">
        <f t="shared" si="2652"/>
        <v>0</v>
      </c>
      <c r="KE504" s="98">
        <f t="shared" ref="KE504:KR504" si="3409">SUM(KE33,KE71,KE109,KE147,KE185,KE223,KE261,KE299,KE337,KE375,KE413,KE451)</f>
        <v>0</v>
      </c>
      <c r="KF504" s="98">
        <f t="shared" si="3409"/>
        <v>0</v>
      </c>
      <c r="KG504" s="98">
        <f t="shared" si="3409"/>
        <v>0</v>
      </c>
      <c r="KH504" s="98">
        <f t="shared" si="3409"/>
        <v>0</v>
      </c>
      <c r="KI504" s="98">
        <f t="shared" si="3409"/>
        <v>0</v>
      </c>
      <c r="KJ504" s="98">
        <f t="shared" si="3409"/>
        <v>0</v>
      </c>
      <c r="KK504" s="98">
        <f t="shared" si="3409"/>
        <v>0</v>
      </c>
      <c r="KL504" s="98">
        <f t="shared" si="3409"/>
        <v>0</v>
      </c>
      <c r="KM504" s="98">
        <f t="shared" si="3409"/>
        <v>0</v>
      </c>
      <c r="KN504" s="98">
        <f t="shared" si="3409"/>
        <v>0</v>
      </c>
      <c r="KO504" s="98">
        <f t="shared" si="3409"/>
        <v>0</v>
      </c>
      <c r="KP504" s="98">
        <f t="shared" si="3409"/>
        <v>0</v>
      </c>
      <c r="KQ504" s="98">
        <f t="shared" si="3409"/>
        <v>0</v>
      </c>
      <c r="KR504" s="98">
        <f t="shared" si="3409"/>
        <v>0</v>
      </c>
      <c r="KS504" s="198">
        <f t="shared" si="2654"/>
        <v>0</v>
      </c>
      <c r="KT504" s="198">
        <f t="shared" si="2655"/>
        <v>0</v>
      </c>
      <c r="KU504" s="98">
        <f t="shared" ref="KU504:LH504" si="3410">SUM(KU33,KU71,KU109,KU147,KU185,KU223,KU261,KU299,KU337,KU375,KU413,KU451)</f>
        <v>0</v>
      </c>
      <c r="KV504" s="98">
        <f t="shared" si="3410"/>
        <v>0</v>
      </c>
      <c r="KW504" s="98">
        <f t="shared" si="3410"/>
        <v>0</v>
      </c>
      <c r="KX504" s="98">
        <f t="shared" si="3410"/>
        <v>0</v>
      </c>
      <c r="KY504" s="98">
        <f t="shared" si="3410"/>
        <v>0</v>
      </c>
      <c r="KZ504" s="98">
        <f t="shared" si="3410"/>
        <v>0</v>
      </c>
      <c r="LA504" s="98">
        <f t="shared" si="3410"/>
        <v>0</v>
      </c>
      <c r="LB504" s="98">
        <f t="shared" si="3410"/>
        <v>0</v>
      </c>
      <c r="LC504" s="98">
        <f t="shared" si="3410"/>
        <v>0</v>
      </c>
      <c r="LD504" s="98">
        <f t="shared" si="3410"/>
        <v>0</v>
      </c>
      <c r="LE504" s="98">
        <f t="shared" si="3410"/>
        <v>0</v>
      </c>
      <c r="LF504" s="98">
        <f t="shared" si="3410"/>
        <v>0</v>
      </c>
      <c r="LG504" s="98">
        <f t="shared" si="3410"/>
        <v>10374.92</v>
      </c>
      <c r="LH504" s="98">
        <f t="shared" si="3410"/>
        <v>209404</v>
      </c>
      <c r="LI504" s="198">
        <f t="shared" si="2657"/>
        <v>10374.92</v>
      </c>
      <c r="LJ504" s="198">
        <f t="shared" si="2658"/>
        <v>209404</v>
      </c>
      <c r="LK504" s="98">
        <f t="shared" ref="LK504:LX504" si="3411">SUM(LK33,LK71,LK109,LK147,LK185,LK223,LK261,LK299,LK337,LK375,LK413,LK451)</f>
        <v>0</v>
      </c>
      <c r="LL504" s="98">
        <f t="shared" si="3411"/>
        <v>0</v>
      </c>
      <c r="LM504" s="98">
        <f t="shared" si="3411"/>
        <v>0</v>
      </c>
      <c r="LN504" s="98">
        <f t="shared" si="3411"/>
        <v>0</v>
      </c>
      <c r="LO504" s="98">
        <f t="shared" si="3411"/>
        <v>0</v>
      </c>
      <c r="LP504" s="98">
        <f t="shared" si="3411"/>
        <v>0</v>
      </c>
      <c r="LQ504" s="98">
        <f t="shared" si="3411"/>
        <v>19357</v>
      </c>
      <c r="LR504" s="98">
        <f t="shared" si="3411"/>
        <v>376277</v>
      </c>
      <c r="LS504" s="98">
        <f t="shared" si="3411"/>
        <v>0</v>
      </c>
      <c r="LT504" s="98">
        <f t="shared" si="3411"/>
        <v>0</v>
      </c>
      <c r="LU504" s="98">
        <f t="shared" si="3411"/>
        <v>0</v>
      </c>
      <c r="LV504" s="98">
        <f t="shared" si="3411"/>
        <v>0</v>
      </c>
      <c r="LW504" s="98">
        <f t="shared" si="3411"/>
        <v>0</v>
      </c>
      <c r="LX504" s="98">
        <f t="shared" si="3411"/>
        <v>0</v>
      </c>
      <c r="LY504" s="198">
        <f t="shared" si="2660"/>
        <v>19357</v>
      </c>
      <c r="LZ504" s="198">
        <f t="shared" si="2661"/>
        <v>376277</v>
      </c>
      <c r="MA504" s="98">
        <f t="shared" ref="MA504:MN504" si="3412">SUM(MA33,MA71,MA109,MA147,MA185,MA223,MA261,MA299,MA337,MA375,MA413,MA451)</f>
        <v>0</v>
      </c>
      <c r="MB504" s="98">
        <f t="shared" si="3412"/>
        <v>0</v>
      </c>
      <c r="MC504" s="98">
        <f t="shared" si="3412"/>
        <v>0</v>
      </c>
      <c r="MD504" s="98">
        <f t="shared" si="3412"/>
        <v>0</v>
      </c>
      <c r="ME504" s="98">
        <f t="shared" si="3412"/>
        <v>0</v>
      </c>
      <c r="MF504" s="98">
        <f t="shared" si="3412"/>
        <v>0</v>
      </c>
      <c r="MG504" s="98">
        <f t="shared" si="3412"/>
        <v>0</v>
      </c>
      <c r="MH504" s="98">
        <f t="shared" si="3412"/>
        <v>0</v>
      </c>
      <c r="MI504" s="98">
        <f t="shared" si="3412"/>
        <v>0</v>
      </c>
      <c r="MJ504" s="98">
        <f t="shared" si="3412"/>
        <v>0</v>
      </c>
      <c r="MK504" s="98">
        <f t="shared" si="3412"/>
        <v>0</v>
      </c>
      <c r="ML504" s="98">
        <f t="shared" si="3412"/>
        <v>0</v>
      </c>
      <c r="MM504" s="98">
        <f t="shared" si="3412"/>
        <v>0</v>
      </c>
      <c r="MN504" s="98">
        <f t="shared" si="3412"/>
        <v>0</v>
      </c>
      <c r="MO504" s="198">
        <f t="shared" si="2663"/>
        <v>0</v>
      </c>
      <c r="MP504" s="198">
        <f t="shared" si="2664"/>
        <v>0</v>
      </c>
      <c r="MQ504" s="98">
        <f t="shared" ref="MQ504:ND504" si="3413">SUM(MQ33,MQ71,MQ109,MQ147,MQ185,MQ223,MQ261,MQ299,MQ337,MQ375,MQ413,MQ451)</f>
        <v>0</v>
      </c>
      <c r="MR504" s="98">
        <f t="shared" si="3413"/>
        <v>0</v>
      </c>
      <c r="MS504" s="98">
        <f t="shared" si="3413"/>
        <v>0</v>
      </c>
      <c r="MT504" s="98">
        <f t="shared" si="3413"/>
        <v>0</v>
      </c>
      <c r="MU504" s="98">
        <f t="shared" si="3413"/>
        <v>0</v>
      </c>
      <c r="MV504" s="98">
        <f t="shared" si="3413"/>
        <v>0</v>
      </c>
      <c r="MW504" s="98">
        <f t="shared" si="3413"/>
        <v>0</v>
      </c>
      <c r="MX504" s="98">
        <f t="shared" si="3413"/>
        <v>0</v>
      </c>
      <c r="MY504" s="98">
        <f t="shared" si="3413"/>
        <v>0</v>
      </c>
      <c r="MZ504" s="98">
        <f t="shared" si="3413"/>
        <v>0</v>
      </c>
      <c r="NA504" s="98">
        <f t="shared" si="3413"/>
        <v>0</v>
      </c>
      <c r="NB504" s="98">
        <f t="shared" si="3413"/>
        <v>0</v>
      </c>
      <c r="NC504" s="98">
        <f t="shared" si="3413"/>
        <v>0</v>
      </c>
      <c r="ND504" s="98">
        <f t="shared" si="3413"/>
        <v>0</v>
      </c>
      <c r="NE504" s="198">
        <f t="shared" si="2666"/>
        <v>0</v>
      </c>
      <c r="NF504" s="198">
        <f t="shared" si="2667"/>
        <v>0</v>
      </c>
      <c r="NG504" s="98">
        <f t="shared" ref="NG504:NT504" si="3414">SUM(NG33,NG71,NG109,NG147,NG185,NG223,NG261,NG299,NG337,NG375,NG413,NG451)</f>
        <v>0</v>
      </c>
      <c r="NH504" s="98">
        <f t="shared" si="3414"/>
        <v>0</v>
      </c>
      <c r="NI504" s="98">
        <f t="shared" si="3414"/>
        <v>0</v>
      </c>
      <c r="NJ504" s="98">
        <f t="shared" si="3414"/>
        <v>0</v>
      </c>
      <c r="NK504" s="98">
        <f t="shared" si="3414"/>
        <v>0</v>
      </c>
      <c r="NL504" s="98">
        <f t="shared" si="3414"/>
        <v>0</v>
      </c>
      <c r="NM504" s="98">
        <f t="shared" si="3414"/>
        <v>298300</v>
      </c>
      <c r="NN504" s="98">
        <f t="shared" si="3414"/>
        <v>5369400</v>
      </c>
      <c r="NO504" s="98">
        <f t="shared" si="3414"/>
        <v>0</v>
      </c>
      <c r="NP504" s="98">
        <f t="shared" si="3414"/>
        <v>0</v>
      </c>
      <c r="NQ504" s="98">
        <f t="shared" si="3414"/>
        <v>243000</v>
      </c>
      <c r="NR504" s="98">
        <f t="shared" si="3414"/>
        <v>4374000</v>
      </c>
      <c r="NS504" s="98">
        <f t="shared" si="3414"/>
        <v>0</v>
      </c>
      <c r="NT504" s="98">
        <f t="shared" si="3414"/>
        <v>0</v>
      </c>
      <c r="NU504" s="198">
        <f t="shared" si="2669"/>
        <v>541300</v>
      </c>
      <c r="NV504" s="198">
        <f t="shared" si="2670"/>
        <v>9743400</v>
      </c>
      <c r="NW504" s="98">
        <f t="shared" ref="NW504:OJ504" si="3415">SUM(NW33,NW71,NW109,NW147,NW185,NW223,NW261,NW299,NW337,NW375,NW413,NW451)</f>
        <v>0</v>
      </c>
      <c r="NX504" s="98">
        <f t="shared" si="3415"/>
        <v>0</v>
      </c>
      <c r="NY504" s="98">
        <f t="shared" si="3415"/>
        <v>0</v>
      </c>
      <c r="NZ504" s="98">
        <f t="shared" si="3415"/>
        <v>0</v>
      </c>
      <c r="OA504" s="98">
        <f t="shared" si="3415"/>
        <v>0</v>
      </c>
      <c r="OB504" s="98">
        <f t="shared" si="3415"/>
        <v>0</v>
      </c>
      <c r="OC504" s="98">
        <f t="shared" si="3415"/>
        <v>0</v>
      </c>
      <c r="OD504" s="98">
        <f t="shared" si="3415"/>
        <v>0</v>
      </c>
      <c r="OE504" s="98">
        <f t="shared" si="3415"/>
        <v>0</v>
      </c>
      <c r="OF504" s="98">
        <f t="shared" si="3415"/>
        <v>0</v>
      </c>
      <c r="OG504" s="98">
        <f t="shared" si="3415"/>
        <v>0</v>
      </c>
      <c r="OH504" s="98">
        <f t="shared" si="3415"/>
        <v>0</v>
      </c>
      <c r="OI504" s="98">
        <f t="shared" si="3415"/>
        <v>0</v>
      </c>
      <c r="OJ504" s="98">
        <f t="shared" si="3415"/>
        <v>0</v>
      </c>
      <c r="OK504" s="198">
        <f t="shared" si="2672"/>
        <v>0</v>
      </c>
      <c r="OL504" s="198">
        <f t="shared" si="2673"/>
        <v>0</v>
      </c>
      <c r="OM504" s="98">
        <f t="shared" ref="OM504:OZ504" si="3416">SUM(OM33,OM71,OM109,OM147,OM185,OM223,OM261,OM299,OM337,OM375,OM413,OM451)</f>
        <v>0</v>
      </c>
      <c r="ON504" s="98">
        <f t="shared" si="3416"/>
        <v>0</v>
      </c>
      <c r="OO504" s="98">
        <f t="shared" si="3416"/>
        <v>0</v>
      </c>
      <c r="OP504" s="98">
        <f t="shared" si="3416"/>
        <v>0</v>
      </c>
      <c r="OQ504" s="98">
        <f t="shared" si="3416"/>
        <v>0</v>
      </c>
      <c r="OR504" s="98">
        <f t="shared" si="3416"/>
        <v>0</v>
      </c>
      <c r="OS504" s="98">
        <f t="shared" si="3416"/>
        <v>0</v>
      </c>
      <c r="OT504" s="98">
        <f t="shared" si="3416"/>
        <v>0</v>
      </c>
      <c r="OU504" s="98">
        <f t="shared" si="3416"/>
        <v>0</v>
      </c>
      <c r="OV504" s="98">
        <f t="shared" si="3416"/>
        <v>0</v>
      </c>
      <c r="OW504" s="98">
        <f t="shared" si="3416"/>
        <v>0</v>
      </c>
      <c r="OX504" s="98">
        <f t="shared" si="3416"/>
        <v>0</v>
      </c>
      <c r="OY504" s="98">
        <f t="shared" si="3416"/>
        <v>0</v>
      </c>
      <c r="OZ504" s="98">
        <f t="shared" si="3416"/>
        <v>0</v>
      </c>
      <c r="PA504" s="198">
        <f t="shared" si="2675"/>
        <v>0</v>
      </c>
      <c r="PB504" s="198">
        <f t="shared" si="2676"/>
        <v>0</v>
      </c>
      <c r="PC504" s="98">
        <f t="shared" ref="PC504:PP504" si="3417">SUM(PC33,PC71,PC109,PC147,PC185,PC223,PC261,PC299,PC337,PC375,PC413,PC451)</f>
        <v>0</v>
      </c>
      <c r="PD504" s="98">
        <f t="shared" si="3417"/>
        <v>0</v>
      </c>
      <c r="PE504" s="98">
        <f t="shared" si="3417"/>
        <v>0</v>
      </c>
      <c r="PF504" s="98">
        <f t="shared" si="3417"/>
        <v>0</v>
      </c>
      <c r="PG504" s="98">
        <f t="shared" si="3417"/>
        <v>0</v>
      </c>
      <c r="PH504" s="98">
        <f t="shared" si="3417"/>
        <v>0</v>
      </c>
      <c r="PI504" s="98">
        <f t="shared" si="3417"/>
        <v>505252</v>
      </c>
      <c r="PJ504" s="98">
        <f t="shared" si="3417"/>
        <v>8539504</v>
      </c>
      <c r="PK504" s="98">
        <f t="shared" si="3417"/>
        <v>0</v>
      </c>
      <c r="PL504" s="98">
        <f t="shared" si="3417"/>
        <v>0</v>
      </c>
      <c r="PM504" s="98">
        <f t="shared" si="3417"/>
        <v>0</v>
      </c>
      <c r="PN504" s="98">
        <f t="shared" si="3417"/>
        <v>0</v>
      </c>
      <c r="PO504" s="98">
        <f t="shared" si="3417"/>
        <v>0</v>
      </c>
      <c r="PP504" s="98">
        <f t="shared" si="3417"/>
        <v>0</v>
      </c>
      <c r="PQ504" s="198">
        <f t="shared" si="2678"/>
        <v>505252</v>
      </c>
      <c r="PR504" s="198">
        <f t="shared" si="2679"/>
        <v>8539504</v>
      </c>
      <c r="PS504" s="98">
        <f t="shared" ref="PS504:QF504" si="3418">SUM(PS33,PS71,PS109,PS147,PS185,PS223,PS261,PS299,PS337,PS375,PS413,PS451)</f>
        <v>0</v>
      </c>
      <c r="PT504" s="98">
        <f t="shared" si="3418"/>
        <v>0</v>
      </c>
      <c r="PU504" s="98">
        <f t="shared" si="3418"/>
        <v>0</v>
      </c>
      <c r="PV504" s="98">
        <f t="shared" si="3418"/>
        <v>0</v>
      </c>
      <c r="PW504" s="98">
        <f t="shared" si="3418"/>
        <v>0</v>
      </c>
      <c r="PX504" s="98">
        <f t="shared" si="3418"/>
        <v>0</v>
      </c>
      <c r="PY504" s="98">
        <f t="shared" si="3418"/>
        <v>539950</v>
      </c>
      <c r="PZ504" s="98">
        <f t="shared" si="3418"/>
        <v>8111430</v>
      </c>
      <c r="QA504" s="98">
        <f t="shared" si="3418"/>
        <v>12990</v>
      </c>
      <c r="QB504" s="98">
        <f t="shared" si="3418"/>
        <v>194850</v>
      </c>
      <c r="QC504" s="98">
        <f t="shared" si="3418"/>
        <v>350522</v>
      </c>
      <c r="QD504" s="98">
        <f t="shared" si="3418"/>
        <v>5733194</v>
      </c>
      <c r="QE504" s="98">
        <f t="shared" si="3418"/>
        <v>0</v>
      </c>
      <c r="QF504" s="98">
        <f t="shared" si="3418"/>
        <v>0</v>
      </c>
      <c r="QG504" s="198">
        <f t="shared" si="2681"/>
        <v>903462</v>
      </c>
      <c r="QH504" s="198">
        <f t="shared" si="2682"/>
        <v>14039474</v>
      </c>
      <c r="QI504" s="98">
        <f t="shared" ref="QI504:QV504" si="3419">SUM(QI33,QI71,QI109,QI147,QI185,QI223,QI261,QI299,QI337,QI375,QI413,QI451)</f>
        <v>0</v>
      </c>
      <c r="QJ504" s="98">
        <f t="shared" si="3419"/>
        <v>0</v>
      </c>
      <c r="QK504" s="98">
        <f t="shared" si="3419"/>
        <v>0</v>
      </c>
      <c r="QL504" s="98">
        <f t="shared" si="3419"/>
        <v>0</v>
      </c>
      <c r="QM504" s="98">
        <f t="shared" si="3419"/>
        <v>0</v>
      </c>
      <c r="QN504" s="98">
        <f t="shared" si="3419"/>
        <v>0</v>
      </c>
      <c r="QO504" s="98">
        <f t="shared" si="3419"/>
        <v>20262000</v>
      </c>
      <c r="QP504" s="98">
        <f t="shared" si="3419"/>
        <v>360546000</v>
      </c>
      <c r="QQ504" s="98">
        <f t="shared" si="3419"/>
        <v>0</v>
      </c>
      <c r="QR504" s="98">
        <f t="shared" si="3419"/>
        <v>0</v>
      </c>
      <c r="QS504" s="98">
        <f t="shared" si="3419"/>
        <v>0</v>
      </c>
      <c r="QT504" s="98">
        <f t="shared" si="3419"/>
        <v>0</v>
      </c>
      <c r="QU504" s="98">
        <f t="shared" si="3419"/>
        <v>0</v>
      </c>
      <c r="QV504" s="98">
        <f t="shared" si="3419"/>
        <v>0</v>
      </c>
      <c r="QW504" s="198">
        <f t="shared" si="2684"/>
        <v>20262000</v>
      </c>
      <c r="QX504" s="198">
        <f t="shared" si="2685"/>
        <v>360546000</v>
      </c>
      <c r="QY504" s="98">
        <f t="shared" ref="QY504:RL504" si="3420">SUM(QY33,QY71,QY109,QY147,QY185,QY223,QY261,QY299,QY337,QY375,QY413,QY451)</f>
        <v>0</v>
      </c>
      <c r="QZ504" s="98">
        <f t="shared" si="3420"/>
        <v>0</v>
      </c>
      <c r="RA504" s="98">
        <f t="shared" si="3420"/>
        <v>0</v>
      </c>
      <c r="RB504" s="98">
        <f t="shared" si="3420"/>
        <v>0</v>
      </c>
      <c r="RC504" s="98">
        <f t="shared" si="3420"/>
        <v>0</v>
      </c>
      <c r="RD504" s="98">
        <f t="shared" si="3420"/>
        <v>0</v>
      </c>
      <c r="RE504" s="98">
        <f t="shared" si="3420"/>
        <v>0</v>
      </c>
      <c r="RF504" s="98">
        <f t="shared" si="3420"/>
        <v>0</v>
      </c>
      <c r="RG504" s="98">
        <f t="shared" si="3420"/>
        <v>0</v>
      </c>
      <c r="RH504" s="98">
        <f t="shared" si="3420"/>
        <v>0</v>
      </c>
      <c r="RI504" s="98">
        <f t="shared" si="3420"/>
        <v>0</v>
      </c>
      <c r="RJ504" s="98">
        <f t="shared" si="3420"/>
        <v>0</v>
      </c>
      <c r="RK504" s="98">
        <f t="shared" si="3420"/>
        <v>0</v>
      </c>
      <c r="RL504" s="98">
        <f t="shared" si="3420"/>
        <v>0</v>
      </c>
      <c r="RM504" s="198">
        <f t="shared" si="2687"/>
        <v>0</v>
      </c>
      <c r="RN504" s="198">
        <f t="shared" si="2688"/>
        <v>0</v>
      </c>
      <c r="RO504" s="98">
        <f t="shared" ref="RO504:SB504" si="3421">SUM(RO33,RO71,RO109,RO147,RO185,RO223,RO261,RO299,RO337,RO375,RO413,RO451)</f>
        <v>0</v>
      </c>
      <c r="RP504" s="98">
        <f t="shared" si="3421"/>
        <v>0</v>
      </c>
      <c r="RQ504" s="98">
        <f t="shared" si="3421"/>
        <v>0</v>
      </c>
      <c r="RR504" s="98">
        <f t="shared" si="3421"/>
        <v>0</v>
      </c>
      <c r="RS504" s="98">
        <f t="shared" si="3421"/>
        <v>0</v>
      </c>
      <c r="RT504" s="98">
        <f t="shared" si="3421"/>
        <v>0</v>
      </c>
      <c r="RU504" s="98">
        <f t="shared" si="3421"/>
        <v>12900</v>
      </c>
      <c r="RV504" s="98">
        <f t="shared" si="3421"/>
        <v>216100</v>
      </c>
      <c r="RW504" s="98">
        <f t="shared" si="3421"/>
        <v>0</v>
      </c>
      <c r="RX504" s="98">
        <f t="shared" si="3421"/>
        <v>0</v>
      </c>
      <c r="RY504" s="98">
        <f t="shared" si="3421"/>
        <v>0</v>
      </c>
      <c r="RZ504" s="98">
        <f t="shared" si="3421"/>
        <v>0</v>
      </c>
      <c r="SA504" s="98">
        <f t="shared" si="3421"/>
        <v>0</v>
      </c>
      <c r="SB504" s="98">
        <f t="shared" si="3421"/>
        <v>0</v>
      </c>
      <c r="SC504" s="198">
        <f t="shared" si="2690"/>
        <v>12900</v>
      </c>
      <c r="SD504" s="198">
        <f t="shared" si="2691"/>
        <v>216100</v>
      </c>
      <c r="SE504" s="98">
        <f t="shared" ref="SE504:SR504" si="3422">SUM(SE33,SE71,SE109,SE147,SE185,SE223,SE261,SE299,SE337,SE375,SE413,SE451)</f>
        <v>0</v>
      </c>
      <c r="SF504" s="98">
        <f t="shared" si="3422"/>
        <v>0</v>
      </c>
      <c r="SG504" s="98">
        <f t="shared" si="3422"/>
        <v>0</v>
      </c>
      <c r="SH504" s="98">
        <f t="shared" si="3422"/>
        <v>0</v>
      </c>
      <c r="SI504" s="98">
        <f t="shared" si="3422"/>
        <v>0</v>
      </c>
      <c r="SJ504" s="98">
        <f t="shared" si="3422"/>
        <v>0</v>
      </c>
      <c r="SK504" s="98">
        <f t="shared" si="3422"/>
        <v>0</v>
      </c>
      <c r="SL504" s="98">
        <f t="shared" si="3422"/>
        <v>0</v>
      </c>
      <c r="SM504" s="98">
        <f t="shared" si="3422"/>
        <v>0</v>
      </c>
      <c r="SN504" s="98">
        <f t="shared" si="3422"/>
        <v>0</v>
      </c>
      <c r="SO504" s="98">
        <f t="shared" si="3422"/>
        <v>0</v>
      </c>
      <c r="SP504" s="98">
        <f t="shared" si="3422"/>
        <v>0</v>
      </c>
      <c r="SQ504" s="98">
        <f t="shared" si="3422"/>
        <v>0</v>
      </c>
      <c r="SR504" s="98">
        <f t="shared" si="3422"/>
        <v>0</v>
      </c>
      <c r="SS504" s="198">
        <f t="shared" si="2693"/>
        <v>0</v>
      </c>
      <c r="ST504" s="198">
        <f t="shared" si="2694"/>
        <v>0</v>
      </c>
      <c r="SU504" s="98">
        <f t="shared" ref="SU504:TH504" si="3423">SUM(SU33,SU71,SU109,SU147,SU185,SU223,SU261,SU299,SU337,SU375,SU413,SU451)</f>
        <v>0</v>
      </c>
      <c r="SV504" s="98">
        <f t="shared" si="3423"/>
        <v>0</v>
      </c>
      <c r="SW504" s="98">
        <f t="shared" si="3423"/>
        <v>0</v>
      </c>
      <c r="SX504" s="98">
        <f t="shared" si="3423"/>
        <v>0</v>
      </c>
      <c r="SY504" s="98">
        <f t="shared" si="3423"/>
        <v>0</v>
      </c>
      <c r="SZ504" s="98">
        <f t="shared" si="3423"/>
        <v>0</v>
      </c>
      <c r="TA504" s="98">
        <f t="shared" si="3423"/>
        <v>0</v>
      </c>
      <c r="TB504" s="98">
        <f t="shared" si="3423"/>
        <v>0</v>
      </c>
      <c r="TC504" s="98">
        <f t="shared" si="3423"/>
        <v>0</v>
      </c>
      <c r="TD504" s="98">
        <f t="shared" si="3423"/>
        <v>0</v>
      </c>
      <c r="TE504" s="98">
        <f t="shared" si="3423"/>
        <v>0</v>
      </c>
      <c r="TF504" s="98">
        <f t="shared" si="3423"/>
        <v>0</v>
      </c>
      <c r="TG504" s="98">
        <f t="shared" si="3423"/>
        <v>0</v>
      </c>
      <c r="TH504" s="98">
        <f t="shared" si="3423"/>
        <v>0</v>
      </c>
      <c r="TI504" s="198">
        <f t="shared" si="2696"/>
        <v>0</v>
      </c>
      <c r="TJ504" s="198">
        <f t="shared" si="2697"/>
        <v>0</v>
      </c>
      <c r="TK504" s="98">
        <f t="shared" ref="TK504:TX504" si="3424">SUM(TK33,TK71,TK109,TK147,TK185,TK223,TK261,TK299,TK337,TK375,TK413,TK451)</f>
        <v>0</v>
      </c>
      <c r="TL504" s="98">
        <f t="shared" si="3424"/>
        <v>0</v>
      </c>
      <c r="TM504" s="98">
        <f t="shared" si="3424"/>
        <v>0</v>
      </c>
      <c r="TN504" s="98">
        <f t="shared" si="3424"/>
        <v>0</v>
      </c>
      <c r="TO504" s="98">
        <f t="shared" si="3424"/>
        <v>0</v>
      </c>
      <c r="TP504" s="98">
        <f t="shared" si="3424"/>
        <v>0</v>
      </c>
      <c r="TQ504" s="98">
        <f t="shared" si="3424"/>
        <v>0</v>
      </c>
      <c r="TR504" s="98">
        <f t="shared" si="3424"/>
        <v>0</v>
      </c>
      <c r="TS504" s="98">
        <f t="shared" si="3424"/>
        <v>0</v>
      </c>
      <c r="TT504" s="98">
        <f t="shared" si="3424"/>
        <v>0</v>
      </c>
      <c r="TU504" s="98">
        <f t="shared" si="3424"/>
        <v>0</v>
      </c>
      <c r="TV504" s="98">
        <f t="shared" si="3424"/>
        <v>0</v>
      </c>
      <c r="TW504" s="98">
        <f t="shared" si="3424"/>
        <v>0</v>
      </c>
      <c r="TX504" s="98">
        <f t="shared" si="3424"/>
        <v>0</v>
      </c>
      <c r="TY504" s="198">
        <f t="shared" si="2699"/>
        <v>0</v>
      </c>
      <c r="TZ504" s="198">
        <f t="shared" si="2700"/>
        <v>0</v>
      </c>
      <c r="UA504" s="98">
        <f t="shared" ref="UA504:UN504" si="3425">SUM(UA33,UA71,UA109,UA147,UA185,UA223,UA261,UA299,UA337,UA375,UA413,UA451)</f>
        <v>0</v>
      </c>
      <c r="UB504" s="98">
        <f t="shared" si="3425"/>
        <v>0</v>
      </c>
      <c r="UC504" s="98">
        <f t="shared" si="3425"/>
        <v>0</v>
      </c>
      <c r="UD504" s="98">
        <f t="shared" si="3425"/>
        <v>0</v>
      </c>
      <c r="UE504" s="98">
        <f t="shared" si="3425"/>
        <v>0</v>
      </c>
      <c r="UF504" s="98">
        <f t="shared" si="3425"/>
        <v>0</v>
      </c>
      <c r="UG504" s="98">
        <f t="shared" si="3425"/>
        <v>2701</v>
      </c>
      <c r="UH504" s="98">
        <f t="shared" si="3425"/>
        <v>54020.002</v>
      </c>
      <c r="UI504" s="98">
        <f t="shared" si="3425"/>
        <v>0</v>
      </c>
      <c r="UJ504" s="98">
        <f t="shared" si="3425"/>
        <v>0</v>
      </c>
      <c r="UK504" s="98">
        <f t="shared" si="3425"/>
        <v>0</v>
      </c>
      <c r="UL504" s="98">
        <f t="shared" si="3425"/>
        <v>0</v>
      </c>
      <c r="UM504" s="98">
        <f t="shared" si="3425"/>
        <v>0</v>
      </c>
      <c r="UN504" s="98">
        <f t="shared" si="3425"/>
        <v>0</v>
      </c>
      <c r="UO504" s="198">
        <f t="shared" si="2702"/>
        <v>2701</v>
      </c>
      <c r="UP504" s="198">
        <f t="shared" si="2703"/>
        <v>54020.002</v>
      </c>
      <c r="UQ504" s="98">
        <f t="shared" ref="UQ504:VD504" si="3426">SUM(UQ33,UQ71,UQ109,UQ147,UQ185,UQ223,UQ261,UQ299,UQ337,UQ375,UQ413,UQ451)</f>
        <v>0</v>
      </c>
      <c r="UR504" s="98">
        <f t="shared" si="3426"/>
        <v>0</v>
      </c>
      <c r="US504" s="98">
        <f t="shared" si="3426"/>
        <v>0</v>
      </c>
      <c r="UT504" s="98">
        <f t="shared" si="3426"/>
        <v>0</v>
      </c>
      <c r="UU504" s="98">
        <f t="shared" si="3426"/>
        <v>0</v>
      </c>
      <c r="UV504" s="98">
        <f t="shared" si="3426"/>
        <v>0</v>
      </c>
      <c r="UW504" s="98">
        <f t="shared" si="3426"/>
        <v>30</v>
      </c>
      <c r="UX504" s="98">
        <f t="shared" si="3426"/>
        <v>660</v>
      </c>
      <c r="UY504" s="98">
        <f t="shared" si="3426"/>
        <v>0</v>
      </c>
      <c r="UZ504" s="98">
        <f t="shared" si="3426"/>
        <v>0</v>
      </c>
      <c r="VA504" s="98">
        <f t="shared" si="3426"/>
        <v>0</v>
      </c>
      <c r="VB504" s="98">
        <f t="shared" si="3426"/>
        <v>0</v>
      </c>
      <c r="VC504" s="98">
        <f t="shared" si="3426"/>
        <v>0</v>
      </c>
      <c r="VD504" s="98">
        <f t="shared" si="3426"/>
        <v>0</v>
      </c>
      <c r="VE504" s="198">
        <f t="shared" si="2705"/>
        <v>30</v>
      </c>
      <c r="VF504" s="198">
        <f t="shared" si="2706"/>
        <v>660</v>
      </c>
      <c r="VG504" s="98">
        <f t="shared" ref="VG504:VT504" si="3427">SUM(VG33,VG71,VG109,VG147,VG185,VG223,VG261,VG299,VG337,VG375,VG413,VG451)</f>
        <v>0</v>
      </c>
      <c r="VH504" s="98">
        <f t="shared" si="3427"/>
        <v>0</v>
      </c>
      <c r="VI504" s="98">
        <f t="shared" si="3427"/>
        <v>0</v>
      </c>
      <c r="VJ504" s="98">
        <f t="shared" si="3427"/>
        <v>0</v>
      </c>
      <c r="VK504" s="98">
        <f t="shared" si="3427"/>
        <v>0</v>
      </c>
      <c r="VL504" s="98">
        <f t="shared" si="3427"/>
        <v>0</v>
      </c>
      <c r="VM504" s="98">
        <f t="shared" si="3427"/>
        <v>0</v>
      </c>
      <c r="VN504" s="98">
        <f t="shared" si="3427"/>
        <v>0</v>
      </c>
      <c r="VO504" s="98">
        <f t="shared" si="3427"/>
        <v>0</v>
      </c>
      <c r="VP504" s="98">
        <f t="shared" si="3427"/>
        <v>0</v>
      </c>
      <c r="VQ504" s="98">
        <f t="shared" si="3427"/>
        <v>0</v>
      </c>
      <c r="VR504" s="98">
        <f t="shared" si="3427"/>
        <v>0</v>
      </c>
      <c r="VS504" s="98">
        <f t="shared" si="3427"/>
        <v>0</v>
      </c>
      <c r="VT504" s="98">
        <f t="shared" si="3427"/>
        <v>0</v>
      </c>
      <c r="VU504" s="198">
        <f t="shared" si="2708"/>
        <v>0</v>
      </c>
      <c r="VV504" s="198">
        <f t="shared" si="2709"/>
        <v>0</v>
      </c>
      <c r="VW504" s="98">
        <f t="shared" ref="VW504:WJ504" si="3428">SUM(VW33,VW71,VW109,VW147,VW185,VW223,VW261,VW299,VW337,VW375,VW413,VW451)</f>
        <v>0</v>
      </c>
      <c r="VX504" s="98">
        <f t="shared" si="3428"/>
        <v>0</v>
      </c>
      <c r="VY504" s="98">
        <f t="shared" si="3428"/>
        <v>0</v>
      </c>
      <c r="VZ504" s="98">
        <f t="shared" si="3428"/>
        <v>0</v>
      </c>
      <c r="WA504" s="98">
        <f t="shared" si="3428"/>
        <v>0</v>
      </c>
      <c r="WB504" s="98">
        <f t="shared" si="3428"/>
        <v>0</v>
      </c>
      <c r="WC504" s="98">
        <f t="shared" si="3428"/>
        <v>5026</v>
      </c>
      <c r="WD504" s="98">
        <f t="shared" si="3428"/>
        <v>117364</v>
      </c>
      <c r="WE504" s="98">
        <f t="shared" si="3428"/>
        <v>0</v>
      </c>
      <c r="WF504" s="98">
        <f t="shared" si="3428"/>
        <v>0</v>
      </c>
      <c r="WG504" s="98">
        <f t="shared" si="3428"/>
        <v>0</v>
      </c>
      <c r="WH504" s="98">
        <f t="shared" si="3428"/>
        <v>0</v>
      </c>
      <c r="WI504" s="98">
        <f t="shared" si="3428"/>
        <v>0</v>
      </c>
      <c r="WJ504" s="98">
        <f t="shared" si="3428"/>
        <v>0</v>
      </c>
      <c r="WK504" s="198">
        <f t="shared" si="2711"/>
        <v>5026</v>
      </c>
      <c r="WL504" s="198">
        <f t="shared" si="2712"/>
        <v>117364</v>
      </c>
      <c r="WN504" s="98">
        <f t="shared" si="2713"/>
        <v>0</v>
      </c>
      <c r="WO504" s="98">
        <f t="shared" si="2714"/>
        <v>0</v>
      </c>
      <c r="WP504" s="98">
        <f t="shared" si="2715"/>
        <v>0</v>
      </c>
      <c r="WQ504" s="98">
        <f t="shared" si="2716"/>
        <v>0</v>
      </c>
      <c r="WR504" s="98">
        <f t="shared" si="2717"/>
        <v>0</v>
      </c>
      <c r="WS504" s="98">
        <f t="shared" si="2718"/>
        <v>0</v>
      </c>
      <c r="WT504" s="98">
        <f t="shared" si="2719"/>
        <v>29004035.678126551</v>
      </c>
      <c r="WU504" s="98">
        <f t="shared" si="2720"/>
        <v>518420506.49985027</v>
      </c>
      <c r="WV504" s="98">
        <f t="shared" si="2721"/>
        <v>12990</v>
      </c>
      <c r="WW504" s="98">
        <f t="shared" si="2722"/>
        <v>194850</v>
      </c>
      <c r="WX504" s="98">
        <f t="shared" si="2723"/>
        <v>593522</v>
      </c>
      <c r="WY504" s="98">
        <f t="shared" si="2724"/>
        <v>10107194</v>
      </c>
      <c r="WZ504" s="98">
        <f t="shared" si="2725"/>
        <v>82981.919999999998</v>
      </c>
      <c r="XA504" s="98">
        <f t="shared" si="2726"/>
        <v>1466030</v>
      </c>
      <c r="XB504" s="107">
        <f t="shared" si="2727"/>
        <v>29693529.598126553</v>
      </c>
      <c r="XC504" s="107">
        <f t="shared" si="2728"/>
        <v>530188580.49985027</v>
      </c>
      <c r="XK504" s="98">
        <f t="shared" si="2729"/>
        <v>547424542.17797685</v>
      </c>
      <c r="XL504" s="98">
        <f t="shared" si="2730"/>
        <v>207840</v>
      </c>
      <c r="XM504" s="98">
        <f t="shared" si="2731"/>
        <v>10700716</v>
      </c>
      <c r="XN504" s="98">
        <f t="shared" si="2732"/>
        <v>1549011.92</v>
      </c>
      <c r="XO504" s="98">
        <f t="shared" si="2733"/>
        <v>559882110.0979768</v>
      </c>
      <c r="XP504" s="98">
        <f t="shared" si="2734"/>
        <v>0</v>
      </c>
      <c r="XQ504" s="98">
        <f t="shared" si="2735"/>
        <v>0</v>
      </c>
      <c r="XR504" s="107">
        <f t="shared" ca="1" si="2597"/>
        <v>1144404270.9540803</v>
      </c>
      <c r="XT504" s="98">
        <f t="shared" si="2736"/>
        <v>530188580.49985027</v>
      </c>
      <c r="XU504" s="98">
        <f t="shared" si="2737"/>
        <v>0</v>
      </c>
      <c r="XV504" s="98">
        <f t="shared" si="2738"/>
        <v>0</v>
      </c>
      <c r="XW504" s="98">
        <f t="shared" si="2739"/>
        <v>26396902.678126551</v>
      </c>
      <c r="XX504" s="98">
        <f t="shared" si="2740"/>
        <v>1065858038.6778271</v>
      </c>
      <c r="XY504" s="98">
        <f t="shared" si="2741"/>
        <v>11489088</v>
      </c>
      <c r="XZ504" s="98">
        <f t="shared" si="2742"/>
        <v>570072286.01797676</v>
      </c>
      <c r="YA504" s="107">
        <f t="shared" ca="1" si="2598"/>
        <v>2166118905.1956539</v>
      </c>
    </row>
    <row r="505" spans="2:651">
      <c r="B505" s="90" t="str">
        <f t="shared" si="2558"/>
        <v xml:space="preserve">Rajungan </v>
      </c>
      <c r="C505" s="98">
        <f t="shared" ref="C505:P505" si="3429">SUM(C34,C72,C110,C148,C186,C224,C262,C300,C338,C376,C414,C452)</f>
        <v>0</v>
      </c>
      <c r="D505" s="98">
        <f t="shared" si="3429"/>
        <v>0</v>
      </c>
      <c r="E505" s="98">
        <f t="shared" si="3429"/>
        <v>0</v>
      </c>
      <c r="F505" s="98">
        <f t="shared" si="3429"/>
        <v>0</v>
      </c>
      <c r="G505" s="98">
        <f t="shared" si="3429"/>
        <v>0</v>
      </c>
      <c r="H505" s="98">
        <f t="shared" si="3429"/>
        <v>0</v>
      </c>
      <c r="I505" s="98">
        <f t="shared" si="3429"/>
        <v>0</v>
      </c>
      <c r="J505" s="98">
        <f t="shared" si="3429"/>
        <v>0</v>
      </c>
      <c r="K505" s="98">
        <f t="shared" si="3429"/>
        <v>0</v>
      </c>
      <c r="L505" s="98">
        <f t="shared" si="3429"/>
        <v>0</v>
      </c>
      <c r="M505" s="98">
        <f t="shared" si="3429"/>
        <v>0</v>
      </c>
      <c r="N505" s="98">
        <f t="shared" si="3429"/>
        <v>0</v>
      </c>
      <c r="O505" s="98">
        <f t="shared" si="3429"/>
        <v>0</v>
      </c>
      <c r="P505" s="98">
        <f t="shared" si="3429"/>
        <v>0</v>
      </c>
      <c r="Q505" s="198">
        <f t="shared" si="2600"/>
        <v>0</v>
      </c>
      <c r="R505" s="198">
        <f t="shared" si="2601"/>
        <v>0</v>
      </c>
      <c r="S505" s="98">
        <f t="shared" ref="S505:AF505" si="3430">SUM(S34,S72,S110,S148,S186,S224,S262,S300,S338,S376,S414,S452)</f>
        <v>0</v>
      </c>
      <c r="T505" s="98">
        <f t="shared" si="3430"/>
        <v>0</v>
      </c>
      <c r="U505" s="98">
        <f t="shared" si="3430"/>
        <v>0</v>
      </c>
      <c r="V505" s="98">
        <f t="shared" si="3430"/>
        <v>0</v>
      </c>
      <c r="W505" s="98">
        <f t="shared" si="3430"/>
        <v>0</v>
      </c>
      <c r="X505" s="98">
        <f t="shared" si="3430"/>
        <v>0</v>
      </c>
      <c r="Y505" s="98">
        <f t="shared" si="3430"/>
        <v>0</v>
      </c>
      <c r="Z505" s="98">
        <f t="shared" si="3430"/>
        <v>0</v>
      </c>
      <c r="AA505" s="98">
        <f t="shared" si="3430"/>
        <v>0</v>
      </c>
      <c r="AB505" s="98">
        <f t="shared" si="3430"/>
        <v>0</v>
      </c>
      <c r="AC505" s="98">
        <f t="shared" si="3430"/>
        <v>0</v>
      </c>
      <c r="AD505" s="98">
        <f t="shared" si="3430"/>
        <v>0</v>
      </c>
      <c r="AE505" s="98">
        <f t="shared" si="3430"/>
        <v>0</v>
      </c>
      <c r="AF505" s="98">
        <f t="shared" si="3430"/>
        <v>0</v>
      </c>
      <c r="AG505" s="198">
        <f t="shared" si="2603"/>
        <v>0</v>
      </c>
      <c r="AH505" s="198">
        <f t="shared" si="2604"/>
        <v>0</v>
      </c>
      <c r="AI505" s="98">
        <f t="shared" ref="AI505:AV505" si="3431">SUM(AI34,AI72,AI110,AI148,AI186,AI224,AI262,AI300,AI338,AI376,AI414,AI452)</f>
        <v>0</v>
      </c>
      <c r="AJ505" s="98">
        <f t="shared" si="3431"/>
        <v>0</v>
      </c>
      <c r="AK505" s="98">
        <f t="shared" si="3431"/>
        <v>0</v>
      </c>
      <c r="AL505" s="98">
        <f t="shared" si="3431"/>
        <v>0</v>
      </c>
      <c r="AM505" s="98">
        <f t="shared" si="3431"/>
        <v>0</v>
      </c>
      <c r="AN505" s="98">
        <f t="shared" si="3431"/>
        <v>0</v>
      </c>
      <c r="AO505" s="98">
        <f t="shared" si="3431"/>
        <v>0</v>
      </c>
      <c r="AP505" s="98">
        <f t="shared" si="3431"/>
        <v>0</v>
      </c>
      <c r="AQ505" s="98">
        <f t="shared" si="3431"/>
        <v>0</v>
      </c>
      <c r="AR505" s="98">
        <f t="shared" si="3431"/>
        <v>0</v>
      </c>
      <c r="AS505" s="98">
        <f t="shared" si="3431"/>
        <v>0</v>
      </c>
      <c r="AT505" s="98">
        <f t="shared" si="3431"/>
        <v>0</v>
      </c>
      <c r="AU505" s="98">
        <f t="shared" si="3431"/>
        <v>0</v>
      </c>
      <c r="AV505" s="98">
        <f t="shared" si="3431"/>
        <v>0</v>
      </c>
      <c r="AW505" s="198">
        <f t="shared" si="2606"/>
        <v>0</v>
      </c>
      <c r="AX505" s="198">
        <f t="shared" si="2607"/>
        <v>0</v>
      </c>
      <c r="AY505" s="98">
        <f t="shared" ref="AY505:BL505" si="3432">SUM(AY34,AY72,AY110,AY148,AY186,AY224,AY262,AY300,AY338,AY376,AY414,AY452)</f>
        <v>0</v>
      </c>
      <c r="AZ505" s="98">
        <f t="shared" si="3432"/>
        <v>0</v>
      </c>
      <c r="BA505" s="98">
        <f t="shared" si="3432"/>
        <v>0</v>
      </c>
      <c r="BB505" s="98">
        <f t="shared" si="3432"/>
        <v>0</v>
      </c>
      <c r="BC505" s="98">
        <f t="shared" si="3432"/>
        <v>0</v>
      </c>
      <c r="BD505" s="98">
        <f t="shared" si="3432"/>
        <v>0</v>
      </c>
      <c r="BE505" s="98">
        <f t="shared" si="3432"/>
        <v>0</v>
      </c>
      <c r="BF505" s="98">
        <f t="shared" si="3432"/>
        <v>0</v>
      </c>
      <c r="BG505" s="98">
        <f t="shared" si="3432"/>
        <v>0</v>
      </c>
      <c r="BH505" s="98">
        <f t="shared" si="3432"/>
        <v>0</v>
      </c>
      <c r="BI505" s="98">
        <f t="shared" si="3432"/>
        <v>0</v>
      </c>
      <c r="BJ505" s="98">
        <f t="shared" si="3432"/>
        <v>0</v>
      </c>
      <c r="BK505" s="98">
        <f t="shared" si="3432"/>
        <v>0</v>
      </c>
      <c r="BL505" s="98">
        <f t="shared" si="3432"/>
        <v>0</v>
      </c>
      <c r="BM505" s="198">
        <f t="shared" si="2609"/>
        <v>0</v>
      </c>
      <c r="BN505" s="198">
        <f t="shared" si="2610"/>
        <v>0</v>
      </c>
      <c r="BO505" s="98">
        <f t="shared" ref="BO505:CB505" si="3433">SUM(BO34,BO72,BO110,BO148,BO186,BO224,BO262,BO300,BO338,BO376,BO414,BO452)</f>
        <v>0</v>
      </c>
      <c r="BP505" s="98">
        <f t="shared" si="3433"/>
        <v>0</v>
      </c>
      <c r="BQ505" s="98">
        <f t="shared" si="3433"/>
        <v>0</v>
      </c>
      <c r="BR505" s="98">
        <f t="shared" si="3433"/>
        <v>0</v>
      </c>
      <c r="BS505" s="98">
        <f t="shared" si="3433"/>
        <v>0</v>
      </c>
      <c r="BT505" s="98">
        <f t="shared" si="3433"/>
        <v>0</v>
      </c>
      <c r="BU505" s="98">
        <f t="shared" si="3433"/>
        <v>0</v>
      </c>
      <c r="BV505" s="98">
        <f t="shared" si="3433"/>
        <v>0</v>
      </c>
      <c r="BW505" s="98">
        <f t="shared" si="3433"/>
        <v>0</v>
      </c>
      <c r="BX505" s="98">
        <f t="shared" si="3433"/>
        <v>0</v>
      </c>
      <c r="BY505" s="98">
        <f t="shared" si="3433"/>
        <v>0</v>
      </c>
      <c r="BZ505" s="98">
        <f t="shared" si="3433"/>
        <v>0</v>
      </c>
      <c r="CA505" s="98">
        <f t="shared" si="3433"/>
        <v>0</v>
      </c>
      <c r="CB505" s="98">
        <f t="shared" si="3433"/>
        <v>0</v>
      </c>
      <c r="CC505" s="198">
        <f t="shared" si="2612"/>
        <v>0</v>
      </c>
      <c r="CD505" s="198">
        <f t="shared" si="2613"/>
        <v>0</v>
      </c>
      <c r="CE505" s="98">
        <f t="shared" ref="CE505:CR505" si="3434">SUM(CE34,CE72,CE110,CE148,CE186,CE224,CE262,CE300,CE338,CE376,CE414,CE452)</f>
        <v>0</v>
      </c>
      <c r="CF505" s="98">
        <f t="shared" si="3434"/>
        <v>0</v>
      </c>
      <c r="CG505" s="98">
        <f t="shared" si="3434"/>
        <v>0</v>
      </c>
      <c r="CH505" s="98">
        <f t="shared" si="3434"/>
        <v>0</v>
      </c>
      <c r="CI505" s="98">
        <f t="shared" si="3434"/>
        <v>0</v>
      </c>
      <c r="CJ505" s="98">
        <f t="shared" si="3434"/>
        <v>0</v>
      </c>
      <c r="CK505" s="98">
        <f t="shared" si="3434"/>
        <v>0</v>
      </c>
      <c r="CL505" s="98">
        <f t="shared" si="3434"/>
        <v>0</v>
      </c>
      <c r="CM505" s="98">
        <f t="shared" si="3434"/>
        <v>0</v>
      </c>
      <c r="CN505" s="98">
        <f t="shared" si="3434"/>
        <v>0</v>
      </c>
      <c r="CO505" s="98">
        <f t="shared" si="3434"/>
        <v>0</v>
      </c>
      <c r="CP505" s="98">
        <f t="shared" si="3434"/>
        <v>0</v>
      </c>
      <c r="CQ505" s="98">
        <f t="shared" si="3434"/>
        <v>0</v>
      </c>
      <c r="CR505" s="98">
        <f t="shared" si="3434"/>
        <v>0</v>
      </c>
      <c r="CS505" s="198">
        <f t="shared" si="2615"/>
        <v>0</v>
      </c>
      <c r="CT505" s="198">
        <f t="shared" si="2616"/>
        <v>0</v>
      </c>
      <c r="CU505" s="98">
        <f t="shared" ref="CU505:DH505" si="3435">SUM(CU34,CU72,CU110,CU148,CU186,CU224,CU262,CU300,CU338,CU376,CU414,CU452)</f>
        <v>0</v>
      </c>
      <c r="CV505" s="98">
        <f t="shared" si="3435"/>
        <v>0</v>
      </c>
      <c r="CW505" s="98">
        <f t="shared" si="3435"/>
        <v>0</v>
      </c>
      <c r="CX505" s="98">
        <f t="shared" si="3435"/>
        <v>0</v>
      </c>
      <c r="CY505" s="98">
        <f t="shared" si="3435"/>
        <v>0</v>
      </c>
      <c r="CZ505" s="98">
        <f t="shared" si="3435"/>
        <v>0</v>
      </c>
      <c r="DA505" s="98">
        <f t="shared" si="3435"/>
        <v>0</v>
      </c>
      <c r="DB505" s="98">
        <f t="shared" si="3435"/>
        <v>0</v>
      </c>
      <c r="DC505" s="98">
        <f t="shared" si="3435"/>
        <v>0</v>
      </c>
      <c r="DD505" s="98">
        <f t="shared" si="3435"/>
        <v>0</v>
      </c>
      <c r="DE505" s="98">
        <f t="shared" si="3435"/>
        <v>0</v>
      </c>
      <c r="DF505" s="98">
        <f t="shared" si="3435"/>
        <v>0</v>
      </c>
      <c r="DG505" s="98">
        <f t="shared" si="3435"/>
        <v>0</v>
      </c>
      <c r="DH505" s="98">
        <f t="shared" si="3435"/>
        <v>0</v>
      </c>
      <c r="DI505" s="198">
        <f t="shared" si="2618"/>
        <v>0</v>
      </c>
      <c r="DJ505" s="198">
        <f t="shared" si="2619"/>
        <v>0</v>
      </c>
      <c r="DK505" s="98">
        <f t="shared" ref="DK505:DX505" si="3436">SUM(DK34,DK72,DK110,DK148,DK186,DK224,DK262,DK300,DK338,DK376,DK414,DK452)</f>
        <v>0</v>
      </c>
      <c r="DL505" s="98">
        <f t="shared" si="3436"/>
        <v>0</v>
      </c>
      <c r="DM505" s="98">
        <f t="shared" si="3436"/>
        <v>0</v>
      </c>
      <c r="DN505" s="98">
        <f t="shared" si="3436"/>
        <v>0</v>
      </c>
      <c r="DO505" s="98">
        <f t="shared" si="3436"/>
        <v>0</v>
      </c>
      <c r="DP505" s="98">
        <f t="shared" si="3436"/>
        <v>0</v>
      </c>
      <c r="DQ505" s="98">
        <f t="shared" si="3436"/>
        <v>0</v>
      </c>
      <c r="DR505" s="98">
        <f t="shared" si="3436"/>
        <v>0</v>
      </c>
      <c r="DS505" s="98">
        <f t="shared" si="3436"/>
        <v>0</v>
      </c>
      <c r="DT505" s="98">
        <f t="shared" si="3436"/>
        <v>0</v>
      </c>
      <c r="DU505" s="98">
        <f t="shared" si="3436"/>
        <v>0</v>
      </c>
      <c r="DV505" s="98">
        <f t="shared" si="3436"/>
        <v>0</v>
      </c>
      <c r="DW505" s="98">
        <f t="shared" si="3436"/>
        <v>0</v>
      </c>
      <c r="DX505" s="98">
        <f t="shared" si="3436"/>
        <v>0</v>
      </c>
      <c r="DY505" s="198">
        <f t="shared" si="2621"/>
        <v>0</v>
      </c>
      <c r="DZ505" s="198">
        <f t="shared" si="2622"/>
        <v>0</v>
      </c>
      <c r="EA505" s="98">
        <f t="shared" ref="EA505:EN505" si="3437">SUM(EA34,EA72,EA110,EA148,EA186,EA224,EA262,EA300,EA338,EA376,EA414,EA452)</f>
        <v>0</v>
      </c>
      <c r="EB505" s="98">
        <f t="shared" si="3437"/>
        <v>0</v>
      </c>
      <c r="EC505" s="98">
        <f t="shared" si="3437"/>
        <v>0</v>
      </c>
      <c r="ED505" s="98">
        <f t="shared" si="3437"/>
        <v>0</v>
      </c>
      <c r="EE505" s="98">
        <f t="shared" si="3437"/>
        <v>0</v>
      </c>
      <c r="EF505" s="98">
        <f t="shared" si="3437"/>
        <v>0</v>
      </c>
      <c r="EG505" s="98">
        <f t="shared" si="3437"/>
        <v>0</v>
      </c>
      <c r="EH505" s="98">
        <f t="shared" si="3437"/>
        <v>0</v>
      </c>
      <c r="EI505" s="98">
        <f t="shared" si="3437"/>
        <v>0</v>
      </c>
      <c r="EJ505" s="98">
        <f t="shared" si="3437"/>
        <v>0</v>
      </c>
      <c r="EK505" s="98">
        <f t="shared" si="3437"/>
        <v>0</v>
      </c>
      <c r="EL505" s="98">
        <f t="shared" si="3437"/>
        <v>0</v>
      </c>
      <c r="EM505" s="98">
        <f t="shared" si="3437"/>
        <v>0</v>
      </c>
      <c r="EN505" s="98">
        <f t="shared" si="3437"/>
        <v>0</v>
      </c>
      <c r="EO505" s="198">
        <f t="shared" si="2624"/>
        <v>0</v>
      </c>
      <c r="EP505" s="198">
        <f t="shared" si="2625"/>
        <v>0</v>
      </c>
      <c r="EQ505" s="98">
        <f t="shared" ref="EQ505:FD505" si="3438">SUM(EQ34,EQ72,EQ110,EQ148,EQ186,EQ224,EQ262,EQ300,EQ338,EQ376,EQ414,EQ452)</f>
        <v>0</v>
      </c>
      <c r="ER505" s="98">
        <f t="shared" si="3438"/>
        <v>0</v>
      </c>
      <c r="ES505" s="98">
        <f t="shared" si="3438"/>
        <v>0</v>
      </c>
      <c r="ET505" s="98">
        <f t="shared" si="3438"/>
        <v>0</v>
      </c>
      <c r="EU505" s="98">
        <f t="shared" si="3438"/>
        <v>0</v>
      </c>
      <c r="EV505" s="98">
        <f t="shared" si="3438"/>
        <v>0</v>
      </c>
      <c r="EW505" s="98">
        <f t="shared" si="3438"/>
        <v>0</v>
      </c>
      <c r="EX505" s="98">
        <f t="shared" si="3438"/>
        <v>0</v>
      </c>
      <c r="EY505" s="98">
        <f t="shared" si="3438"/>
        <v>0</v>
      </c>
      <c r="EZ505" s="98">
        <f t="shared" si="3438"/>
        <v>0</v>
      </c>
      <c r="FA505" s="98">
        <f t="shared" si="3438"/>
        <v>0</v>
      </c>
      <c r="FB505" s="98">
        <f t="shared" si="3438"/>
        <v>0</v>
      </c>
      <c r="FC505" s="98">
        <f t="shared" si="3438"/>
        <v>0</v>
      </c>
      <c r="FD505" s="98">
        <f t="shared" si="3438"/>
        <v>0</v>
      </c>
      <c r="FE505" s="198">
        <f t="shared" si="2627"/>
        <v>0</v>
      </c>
      <c r="FF505" s="198">
        <f t="shared" si="2628"/>
        <v>0</v>
      </c>
      <c r="FG505" s="98">
        <f t="shared" ref="FG505:FT505" si="3439">SUM(FG34,FG72,FG110,FG148,FG186,FG224,FG262,FG300,FG338,FG376,FG414,FG452)</f>
        <v>0</v>
      </c>
      <c r="FH505" s="98">
        <f t="shared" si="3439"/>
        <v>0</v>
      </c>
      <c r="FI505" s="98">
        <f t="shared" si="3439"/>
        <v>0</v>
      </c>
      <c r="FJ505" s="98">
        <f t="shared" si="3439"/>
        <v>0</v>
      </c>
      <c r="FK505" s="98">
        <f t="shared" si="3439"/>
        <v>0</v>
      </c>
      <c r="FL505" s="98">
        <f t="shared" si="3439"/>
        <v>0</v>
      </c>
      <c r="FM505" s="98">
        <f t="shared" si="3439"/>
        <v>0</v>
      </c>
      <c r="FN505" s="98">
        <f t="shared" si="3439"/>
        <v>0</v>
      </c>
      <c r="FO505" s="98">
        <f t="shared" si="3439"/>
        <v>0</v>
      </c>
      <c r="FP505" s="98">
        <f t="shared" si="3439"/>
        <v>0</v>
      </c>
      <c r="FQ505" s="98">
        <f t="shared" si="3439"/>
        <v>0</v>
      </c>
      <c r="FR505" s="98">
        <f t="shared" si="3439"/>
        <v>0</v>
      </c>
      <c r="FS505" s="98">
        <f t="shared" si="3439"/>
        <v>0</v>
      </c>
      <c r="FT505" s="98">
        <f t="shared" si="3439"/>
        <v>0</v>
      </c>
      <c r="FU505" s="198">
        <f t="shared" si="2630"/>
        <v>0</v>
      </c>
      <c r="FV505" s="198">
        <f t="shared" si="2631"/>
        <v>0</v>
      </c>
      <c r="FW505" s="98">
        <f t="shared" ref="FW505:GJ505" si="3440">SUM(FW34,FW72,FW110,FW148,FW186,FW224,FW262,FW300,FW338,FW376,FW414,FW452)</f>
        <v>0</v>
      </c>
      <c r="FX505" s="98">
        <f t="shared" si="3440"/>
        <v>0</v>
      </c>
      <c r="FY505" s="98">
        <f t="shared" si="3440"/>
        <v>0</v>
      </c>
      <c r="FZ505" s="98">
        <f t="shared" si="3440"/>
        <v>0</v>
      </c>
      <c r="GA505" s="98">
        <f t="shared" si="3440"/>
        <v>0</v>
      </c>
      <c r="GB505" s="98">
        <f t="shared" si="3440"/>
        <v>0</v>
      </c>
      <c r="GC505" s="98">
        <f t="shared" si="3440"/>
        <v>0</v>
      </c>
      <c r="GD505" s="98">
        <f t="shared" si="3440"/>
        <v>0</v>
      </c>
      <c r="GE505" s="98">
        <f t="shared" si="3440"/>
        <v>0</v>
      </c>
      <c r="GF505" s="98">
        <f t="shared" si="3440"/>
        <v>0</v>
      </c>
      <c r="GG505" s="98">
        <f t="shared" si="3440"/>
        <v>0</v>
      </c>
      <c r="GH505" s="98">
        <f t="shared" si="3440"/>
        <v>0</v>
      </c>
      <c r="GI505" s="98">
        <f t="shared" si="3440"/>
        <v>0</v>
      </c>
      <c r="GJ505" s="98">
        <f t="shared" si="3440"/>
        <v>0</v>
      </c>
      <c r="GK505" s="198">
        <f t="shared" si="2633"/>
        <v>0</v>
      </c>
      <c r="GL505" s="198">
        <f t="shared" si="2634"/>
        <v>0</v>
      </c>
      <c r="GM505" s="98">
        <f t="shared" ref="GM505:GZ505" si="3441">SUM(GM34,GM72,GM110,GM148,GM186,GM224,GM262,GM300,GM338,GM376,GM414,GM452)</f>
        <v>0</v>
      </c>
      <c r="GN505" s="98">
        <f t="shared" si="3441"/>
        <v>0</v>
      </c>
      <c r="GO505" s="98">
        <f t="shared" si="3441"/>
        <v>0</v>
      </c>
      <c r="GP505" s="98">
        <f t="shared" si="3441"/>
        <v>0</v>
      </c>
      <c r="GQ505" s="98">
        <f t="shared" si="3441"/>
        <v>0</v>
      </c>
      <c r="GR505" s="98">
        <f t="shared" si="3441"/>
        <v>0</v>
      </c>
      <c r="GS505" s="98">
        <f t="shared" si="3441"/>
        <v>0</v>
      </c>
      <c r="GT505" s="98">
        <f t="shared" si="3441"/>
        <v>0</v>
      </c>
      <c r="GU505" s="98">
        <f t="shared" si="3441"/>
        <v>0</v>
      </c>
      <c r="GV505" s="98">
        <f t="shared" si="3441"/>
        <v>0</v>
      </c>
      <c r="GW505" s="98">
        <f t="shared" si="3441"/>
        <v>0</v>
      </c>
      <c r="GX505" s="98">
        <f t="shared" si="3441"/>
        <v>0</v>
      </c>
      <c r="GY505" s="98">
        <f t="shared" si="3441"/>
        <v>0</v>
      </c>
      <c r="GZ505" s="98">
        <f t="shared" si="3441"/>
        <v>0</v>
      </c>
      <c r="HA505" s="198">
        <f t="shared" si="2636"/>
        <v>0</v>
      </c>
      <c r="HB505" s="198">
        <f t="shared" si="2637"/>
        <v>0</v>
      </c>
      <c r="HC505" s="98">
        <f t="shared" ref="HC505:HP505" si="3442">SUM(HC34,HC72,HC110,HC148,HC186,HC224,HC262,HC300,HC338,HC376,HC414,HC452)</f>
        <v>0</v>
      </c>
      <c r="HD505" s="98">
        <f t="shared" si="3442"/>
        <v>0</v>
      </c>
      <c r="HE505" s="98">
        <f t="shared" si="3442"/>
        <v>0</v>
      </c>
      <c r="HF505" s="98">
        <f t="shared" si="3442"/>
        <v>0</v>
      </c>
      <c r="HG505" s="98">
        <f t="shared" si="3442"/>
        <v>0</v>
      </c>
      <c r="HH505" s="98">
        <f t="shared" si="3442"/>
        <v>0</v>
      </c>
      <c r="HI505" s="98">
        <f t="shared" si="3442"/>
        <v>0</v>
      </c>
      <c r="HJ505" s="98">
        <f t="shared" si="3442"/>
        <v>0</v>
      </c>
      <c r="HK505" s="98">
        <f t="shared" si="3442"/>
        <v>0</v>
      </c>
      <c r="HL505" s="98">
        <f t="shared" si="3442"/>
        <v>0</v>
      </c>
      <c r="HM505" s="98">
        <f t="shared" si="3442"/>
        <v>0</v>
      </c>
      <c r="HN505" s="98">
        <f t="shared" si="3442"/>
        <v>0</v>
      </c>
      <c r="HO505" s="98">
        <f t="shared" si="3442"/>
        <v>0</v>
      </c>
      <c r="HP505" s="98">
        <f t="shared" si="3442"/>
        <v>0</v>
      </c>
      <c r="HQ505" s="198">
        <f t="shared" si="2639"/>
        <v>0</v>
      </c>
      <c r="HR505" s="198">
        <f t="shared" si="2640"/>
        <v>0</v>
      </c>
      <c r="HS505" s="98">
        <f t="shared" ref="HS505:IF505" si="3443">SUM(HS34,HS72,HS110,HS148,HS186,HS224,HS262,HS300,HS338,HS376,HS414,HS452)</f>
        <v>0</v>
      </c>
      <c r="HT505" s="98">
        <f t="shared" si="3443"/>
        <v>0</v>
      </c>
      <c r="HU505" s="98">
        <f t="shared" si="3443"/>
        <v>0</v>
      </c>
      <c r="HV505" s="98">
        <f t="shared" si="3443"/>
        <v>0</v>
      </c>
      <c r="HW505" s="98">
        <f t="shared" si="3443"/>
        <v>0</v>
      </c>
      <c r="HX505" s="98">
        <f t="shared" si="3443"/>
        <v>0</v>
      </c>
      <c r="HY505" s="98">
        <f t="shared" si="3443"/>
        <v>0</v>
      </c>
      <c r="HZ505" s="98">
        <f t="shared" si="3443"/>
        <v>0</v>
      </c>
      <c r="IA505" s="98">
        <f t="shared" si="3443"/>
        <v>0</v>
      </c>
      <c r="IB505" s="98">
        <f t="shared" si="3443"/>
        <v>0</v>
      </c>
      <c r="IC505" s="98">
        <f t="shared" si="3443"/>
        <v>0</v>
      </c>
      <c r="ID505" s="98">
        <f t="shared" si="3443"/>
        <v>0</v>
      </c>
      <c r="IE505" s="98">
        <f t="shared" si="3443"/>
        <v>0</v>
      </c>
      <c r="IF505" s="98">
        <f t="shared" si="3443"/>
        <v>0</v>
      </c>
      <c r="IG505" s="198">
        <f t="shared" si="2642"/>
        <v>0</v>
      </c>
      <c r="IH505" s="198">
        <f t="shared" si="2643"/>
        <v>0</v>
      </c>
      <c r="II505" s="98">
        <f t="shared" ref="II505:IV505" si="3444">SUM(II34,II72,II110,II148,II186,II224,II262,II300,II338,II376,II414,II452)</f>
        <v>0</v>
      </c>
      <c r="IJ505" s="98">
        <f t="shared" si="3444"/>
        <v>0</v>
      </c>
      <c r="IK505" s="98">
        <f t="shared" si="3444"/>
        <v>0</v>
      </c>
      <c r="IL505" s="98">
        <f t="shared" si="3444"/>
        <v>0</v>
      </c>
      <c r="IM505" s="98">
        <f t="shared" si="3444"/>
        <v>0</v>
      </c>
      <c r="IN505" s="98">
        <f t="shared" si="3444"/>
        <v>0</v>
      </c>
      <c r="IO505" s="98">
        <f t="shared" si="3444"/>
        <v>0</v>
      </c>
      <c r="IP505" s="98">
        <f t="shared" si="3444"/>
        <v>0</v>
      </c>
      <c r="IQ505" s="98">
        <f t="shared" si="3444"/>
        <v>0</v>
      </c>
      <c r="IR505" s="98">
        <f t="shared" si="3444"/>
        <v>0</v>
      </c>
      <c r="IS505" s="98">
        <f t="shared" si="3444"/>
        <v>0</v>
      </c>
      <c r="IT505" s="98">
        <f t="shared" si="3444"/>
        <v>0</v>
      </c>
      <c r="IU505" s="98">
        <f t="shared" si="3444"/>
        <v>0</v>
      </c>
      <c r="IV505" s="98">
        <f t="shared" si="3444"/>
        <v>0</v>
      </c>
      <c r="IW505" s="198">
        <f t="shared" si="2645"/>
        <v>0</v>
      </c>
      <c r="IX505" s="198">
        <f t="shared" si="2646"/>
        <v>0</v>
      </c>
      <c r="IY505" s="98">
        <f t="shared" ref="IY505:JL505" si="3445">SUM(IY34,IY72,IY110,IY148,IY186,IY224,IY262,IY300,IY338,IY376,IY414,IY452)</f>
        <v>0</v>
      </c>
      <c r="IZ505" s="98">
        <f t="shared" si="3445"/>
        <v>0</v>
      </c>
      <c r="JA505" s="98">
        <f t="shared" si="3445"/>
        <v>0</v>
      </c>
      <c r="JB505" s="98">
        <f t="shared" si="3445"/>
        <v>0</v>
      </c>
      <c r="JC505" s="98">
        <f t="shared" si="3445"/>
        <v>0</v>
      </c>
      <c r="JD505" s="98">
        <f t="shared" si="3445"/>
        <v>0</v>
      </c>
      <c r="JE505" s="98">
        <f t="shared" si="3445"/>
        <v>0</v>
      </c>
      <c r="JF505" s="98">
        <f t="shared" si="3445"/>
        <v>0</v>
      </c>
      <c r="JG505" s="98">
        <f t="shared" si="3445"/>
        <v>0</v>
      </c>
      <c r="JH505" s="98">
        <f t="shared" si="3445"/>
        <v>0</v>
      </c>
      <c r="JI505" s="98">
        <f t="shared" si="3445"/>
        <v>0</v>
      </c>
      <c r="JJ505" s="98">
        <f t="shared" si="3445"/>
        <v>0</v>
      </c>
      <c r="JK505" s="98">
        <f t="shared" si="3445"/>
        <v>0</v>
      </c>
      <c r="JL505" s="98">
        <f t="shared" si="3445"/>
        <v>0</v>
      </c>
      <c r="JM505" s="198">
        <f t="shared" si="2648"/>
        <v>0</v>
      </c>
      <c r="JN505" s="198">
        <f t="shared" si="2649"/>
        <v>0</v>
      </c>
      <c r="JO505" s="98">
        <f t="shared" ref="JO505:KB505" si="3446">SUM(JO34,JO72,JO110,JO148,JO186,JO224,JO262,JO300,JO338,JO376,JO414,JO452)</f>
        <v>0</v>
      </c>
      <c r="JP505" s="98">
        <f t="shared" si="3446"/>
        <v>0</v>
      </c>
      <c r="JQ505" s="98">
        <f t="shared" si="3446"/>
        <v>0</v>
      </c>
      <c r="JR505" s="98">
        <f t="shared" si="3446"/>
        <v>0</v>
      </c>
      <c r="JS505" s="98">
        <f t="shared" si="3446"/>
        <v>0</v>
      </c>
      <c r="JT505" s="98">
        <f t="shared" si="3446"/>
        <v>0</v>
      </c>
      <c r="JU505" s="98">
        <f t="shared" si="3446"/>
        <v>0</v>
      </c>
      <c r="JV505" s="98">
        <f t="shared" si="3446"/>
        <v>0</v>
      </c>
      <c r="JW505" s="98">
        <f t="shared" si="3446"/>
        <v>0</v>
      </c>
      <c r="JX505" s="98">
        <f t="shared" si="3446"/>
        <v>0</v>
      </c>
      <c r="JY505" s="98">
        <f t="shared" si="3446"/>
        <v>0</v>
      </c>
      <c r="JZ505" s="98">
        <f t="shared" si="3446"/>
        <v>0</v>
      </c>
      <c r="KA505" s="98">
        <f t="shared" si="3446"/>
        <v>0</v>
      </c>
      <c r="KB505" s="98">
        <f t="shared" si="3446"/>
        <v>0</v>
      </c>
      <c r="KC505" s="198">
        <f t="shared" si="2651"/>
        <v>0</v>
      </c>
      <c r="KD505" s="198">
        <f t="shared" si="2652"/>
        <v>0</v>
      </c>
      <c r="KE505" s="98">
        <f t="shared" ref="KE505:KR505" si="3447">SUM(KE34,KE72,KE110,KE148,KE186,KE224,KE262,KE300,KE338,KE376,KE414,KE452)</f>
        <v>0</v>
      </c>
      <c r="KF505" s="98">
        <f t="shared" si="3447"/>
        <v>0</v>
      </c>
      <c r="KG505" s="98">
        <f t="shared" si="3447"/>
        <v>0</v>
      </c>
      <c r="KH505" s="98">
        <f t="shared" si="3447"/>
        <v>0</v>
      </c>
      <c r="KI505" s="98">
        <f t="shared" si="3447"/>
        <v>0</v>
      </c>
      <c r="KJ505" s="98">
        <f t="shared" si="3447"/>
        <v>0</v>
      </c>
      <c r="KK505" s="98">
        <f t="shared" si="3447"/>
        <v>0</v>
      </c>
      <c r="KL505" s="98">
        <f t="shared" si="3447"/>
        <v>0</v>
      </c>
      <c r="KM505" s="98">
        <f t="shared" si="3447"/>
        <v>0</v>
      </c>
      <c r="KN505" s="98">
        <f t="shared" si="3447"/>
        <v>0</v>
      </c>
      <c r="KO505" s="98">
        <f t="shared" si="3447"/>
        <v>0</v>
      </c>
      <c r="KP505" s="98">
        <f t="shared" si="3447"/>
        <v>0</v>
      </c>
      <c r="KQ505" s="98">
        <f t="shared" si="3447"/>
        <v>0</v>
      </c>
      <c r="KR505" s="98">
        <f t="shared" si="3447"/>
        <v>0</v>
      </c>
      <c r="KS505" s="198">
        <f t="shared" si="2654"/>
        <v>0</v>
      </c>
      <c r="KT505" s="198">
        <f t="shared" si="2655"/>
        <v>0</v>
      </c>
      <c r="KU505" s="98">
        <f t="shared" ref="KU505:LH505" si="3448">SUM(KU34,KU72,KU110,KU148,KU186,KU224,KU262,KU300,KU338,KU376,KU414,KU452)</f>
        <v>0</v>
      </c>
      <c r="KV505" s="98">
        <f t="shared" si="3448"/>
        <v>0</v>
      </c>
      <c r="KW505" s="98">
        <f t="shared" si="3448"/>
        <v>0</v>
      </c>
      <c r="KX505" s="98">
        <f t="shared" si="3448"/>
        <v>0</v>
      </c>
      <c r="KY505" s="98">
        <f t="shared" si="3448"/>
        <v>0</v>
      </c>
      <c r="KZ505" s="98">
        <f t="shared" si="3448"/>
        <v>0</v>
      </c>
      <c r="LA505" s="98">
        <f t="shared" si="3448"/>
        <v>0</v>
      </c>
      <c r="LB505" s="98">
        <f t="shared" si="3448"/>
        <v>0</v>
      </c>
      <c r="LC505" s="98">
        <f t="shared" si="3448"/>
        <v>0</v>
      </c>
      <c r="LD505" s="98">
        <f t="shared" si="3448"/>
        <v>0</v>
      </c>
      <c r="LE505" s="98">
        <f t="shared" si="3448"/>
        <v>0</v>
      </c>
      <c r="LF505" s="98">
        <f t="shared" si="3448"/>
        <v>0</v>
      </c>
      <c r="LG505" s="98">
        <f t="shared" si="3448"/>
        <v>0</v>
      </c>
      <c r="LH505" s="98">
        <f t="shared" si="3448"/>
        <v>0</v>
      </c>
      <c r="LI505" s="198">
        <f t="shared" si="2657"/>
        <v>0</v>
      </c>
      <c r="LJ505" s="198">
        <f t="shared" si="2658"/>
        <v>0</v>
      </c>
      <c r="LK505" s="98">
        <f t="shared" ref="LK505:LX505" si="3449">SUM(LK34,LK72,LK110,LK148,LK186,LK224,LK262,LK300,LK338,LK376,LK414,LK452)</f>
        <v>0</v>
      </c>
      <c r="LL505" s="98">
        <f t="shared" si="3449"/>
        <v>0</v>
      </c>
      <c r="LM505" s="98">
        <f t="shared" si="3449"/>
        <v>0</v>
      </c>
      <c r="LN505" s="98">
        <f t="shared" si="3449"/>
        <v>0</v>
      </c>
      <c r="LO505" s="98">
        <f t="shared" si="3449"/>
        <v>0</v>
      </c>
      <c r="LP505" s="98">
        <f t="shared" si="3449"/>
        <v>0</v>
      </c>
      <c r="LQ505" s="98">
        <f t="shared" si="3449"/>
        <v>0</v>
      </c>
      <c r="LR505" s="98">
        <f t="shared" si="3449"/>
        <v>0</v>
      </c>
      <c r="LS505" s="98">
        <f t="shared" si="3449"/>
        <v>0</v>
      </c>
      <c r="LT505" s="98">
        <f t="shared" si="3449"/>
        <v>0</v>
      </c>
      <c r="LU505" s="98">
        <f t="shared" si="3449"/>
        <v>0</v>
      </c>
      <c r="LV505" s="98">
        <f t="shared" si="3449"/>
        <v>0</v>
      </c>
      <c r="LW505" s="98">
        <f t="shared" si="3449"/>
        <v>0</v>
      </c>
      <c r="LX505" s="98">
        <f t="shared" si="3449"/>
        <v>0</v>
      </c>
      <c r="LY505" s="198">
        <f t="shared" si="2660"/>
        <v>0</v>
      </c>
      <c r="LZ505" s="198">
        <f t="shared" si="2661"/>
        <v>0</v>
      </c>
      <c r="MA505" s="98">
        <f t="shared" ref="MA505:MN505" si="3450">SUM(MA34,MA72,MA110,MA148,MA186,MA224,MA262,MA300,MA338,MA376,MA414,MA452)</f>
        <v>0</v>
      </c>
      <c r="MB505" s="98">
        <f t="shared" si="3450"/>
        <v>0</v>
      </c>
      <c r="MC505" s="98">
        <f t="shared" si="3450"/>
        <v>0</v>
      </c>
      <c r="MD505" s="98">
        <f t="shared" si="3450"/>
        <v>0</v>
      </c>
      <c r="ME505" s="98">
        <f t="shared" si="3450"/>
        <v>0</v>
      </c>
      <c r="MF505" s="98">
        <f t="shared" si="3450"/>
        <v>0</v>
      </c>
      <c r="MG505" s="98">
        <f t="shared" si="3450"/>
        <v>0</v>
      </c>
      <c r="MH505" s="98">
        <f t="shared" si="3450"/>
        <v>0</v>
      </c>
      <c r="MI505" s="98">
        <f t="shared" si="3450"/>
        <v>0</v>
      </c>
      <c r="MJ505" s="98">
        <f t="shared" si="3450"/>
        <v>0</v>
      </c>
      <c r="MK505" s="98">
        <f t="shared" si="3450"/>
        <v>0</v>
      </c>
      <c r="ML505" s="98">
        <f t="shared" si="3450"/>
        <v>0</v>
      </c>
      <c r="MM505" s="98">
        <f t="shared" si="3450"/>
        <v>0</v>
      </c>
      <c r="MN505" s="98">
        <f t="shared" si="3450"/>
        <v>0</v>
      </c>
      <c r="MO505" s="198">
        <f t="shared" si="2663"/>
        <v>0</v>
      </c>
      <c r="MP505" s="198">
        <f t="shared" si="2664"/>
        <v>0</v>
      </c>
      <c r="MQ505" s="98">
        <f t="shared" ref="MQ505:ND505" si="3451">SUM(MQ34,MQ72,MQ110,MQ148,MQ186,MQ224,MQ262,MQ300,MQ338,MQ376,MQ414,MQ452)</f>
        <v>0</v>
      </c>
      <c r="MR505" s="98">
        <f t="shared" si="3451"/>
        <v>0</v>
      </c>
      <c r="MS505" s="98">
        <f t="shared" si="3451"/>
        <v>0</v>
      </c>
      <c r="MT505" s="98">
        <f t="shared" si="3451"/>
        <v>0</v>
      </c>
      <c r="MU505" s="98">
        <f t="shared" si="3451"/>
        <v>0</v>
      </c>
      <c r="MV505" s="98">
        <f t="shared" si="3451"/>
        <v>0</v>
      </c>
      <c r="MW505" s="98">
        <f t="shared" si="3451"/>
        <v>0</v>
      </c>
      <c r="MX505" s="98">
        <f t="shared" si="3451"/>
        <v>0</v>
      </c>
      <c r="MY505" s="98">
        <f t="shared" si="3451"/>
        <v>0</v>
      </c>
      <c r="MZ505" s="98">
        <f t="shared" si="3451"/>
        <v>0</v>
      </c>
      <c r="NA505" s="98">
        <f t="shared" si="3451"/>
        <v>0</v>
      </c>
      <c r="NB505" s="98">
        <f t="shared" si="3451"/>
        <v>0</v>
      </c>
      <c r="NC505" s="98">
        <f t="shared" si="3451"/>
        <v>0</v>
      </c>
      <c r="ND505" s="98">
        <f t="shared" si="3451"/>
        <v>0</v>
      </c>
      <c r="NE505" s="198">
        <f t="shared" si="2666"/>
        <v>0</v>
      </c>
      <c r="NF505" s="198">
        <f t="shared" si="2667"/>
        <v>0</v>
      </c>
      <c r="NG505" s="98">
        <f t="shared" ref="NG505:NT505" si="3452">SUM(NG34,NG72,NG110,NG148,NG186,NG224,NG262,NG300,NG338,NG376,NG414,NG452)</f>
        <v>0</v>
      </c>
      <c r="NH505" s="98">
        <f t="shared" si="3452"/>
        <v>0</v>
      </c>
      <c r="NI505" s="98">
        <f t="shared" si="3452"/>
        <v>0</v>
      </c>
      <c r="NJ505" s="98">
        <f t="shared" si="3452"/>
        <v>0</v>
      </c>
      <c r="NK505" s="98">
        <f t="shared" si="3452"/>
        <v>0</v>
      </c>
      <c r="NL505" s="98">
        <f t="shared" si="3452"/>
        <v>0</v>
      </c>
      <c r="NM505" s="98">
        <f t="shared" si="3452"/>
        <v>0</v>
      </c>
      <c r="NN505" s="98">
        <f t="shared" si="3452"/>
        <v>0</v>
      </c>
      <c r="NO505" s="98">
        <f t="shared" si="3452"/>
        <v>0</v>
      </c>
      <c r="NP505" s="98">
        <f t="shared" si="3452"/>
        <v>0</v>
      </c>
      <c r="NQ505" s="98">
        <f t="shared" si="3452"/>
        <v>0</v>
      </c>
      <c r="NR505" s="98">
        <f t="shared" si="3452"/>
        <v>0</v>
      </c>
      <c r="NS505" s="98">
        <f t="shared" si="3452"/>
        <v>0</v>
      </c>
      <c r="NT505" s="98">
        <f t="shared" si="3452"/>
        <v>0</v>
      </c>
      <c r="NU505" s="198">
        <f t="shared" si="2669"/>
        <v>0</v>
      </c>
      <c r="NV505" s="198">
        <f t="shared" si="2670"/>
        <v>0</v>
      </c>
      <c r="NW505" s="98">
        <f t="shared" ref="NW505:OJ505" si="3453">SUM(NW34,NW72,NW110,NW148,NW186,NW224,NW262,NW300,NW338,NW376,NW414,NW452)</f>
        <v>0</v>
      </c>
      <c r="NX505" s="98">
        <f t="shared" si="3453"/>
        <v>0</v>
      </c>
      <c r="NY505" s="98">
        <f t="shared" si="3453"/>
        <v>0</v>
      </c>
      <c r="NZ505" s="98">
        <f t="shared" si="3453"/>
        <v>0</v>
      </c>
      <c r="OA505" s="98">
        <f t="shared" si="3453"/>
        <v>0</v>
      </c>
      <c r="OB505" s="98">
        <f t="shared" si="3453"/>
        <v>0</v>
      </c>
      <c r="OC505" s="98">
        <f t="shared" si="3453"/>
        <v>0</v>
      </c>
      <c r="OD505" s="98">
        <f t="shared" si="3453"/>
        <v>0</v>
      </c>
      <c r="OE505" s="98">
        <f t="shared" si="3453"/>
        <v>0</v>
      </c>
      <c r="OF505" s="98">
        <f t="shared" si="3453"/>
        <v>0</v>
      </c>
      <c r="OG505" s="98">
        <f t="shared" si="3453"/>
        <v>0</v>
      </c>
      <c r="OH505" s="98">
        <f t="shared" si="3453"/>
        <v>0</v>
      </c>
      <c r="OI505" s="98">
        <f t="shared" si="3453"/>
        <v>0</v>
      </c>
      <c r="OJ505" s="98">
        <f t="shared" si="3453"/>
        <v>0</v>
      </c>
      <c r="OK505" s="198">
        <f t="shared" si="2672"/>
        <v>0</v>
      </c>
      <c r="OL505" s="198">
        <f t="shared" si="2673"/>
        <v>0</v>
      </c>
      <c r="OM505" s="98">
        <f t="shared" ref="OM505:OZ505" si="3454">SUM(OM34,OM72,OM110,OM148,OM186,OM224,OM262,OM300,OM338,OM376,OM414,OM452)</f>
        <v>0</v>
      </c>
      <c r="ON505" s="98">
        <f t="shared" si="3454"/>
        <v>0</v>
      </c>
      <c r="OO505" s="98">
        <f t="shared" si="3454"/>
        <v>0</v>
      </c>
      <c r="OP505" s="98">
        <f t="shared" si="3454"/>
        <v>0</v>
      </c>
      <c r="OQ505" s="98">
        <f t="shared" si="3454"/>
        <v>0</v>
      </c>
      <c r="OR505" s="98">
        <f t="shared" si="3454"/>
        <v>0</v>
      </c>
      <c r="OS505" s="98">
        <f t="shared" si="3454"/>
        <v>0</v>
      </c>
      <c r="OT505" s="98">
        <f t="shared" si="3454"/>
        <v>0</v>
      </c>
      <c r="OU505" s="98">
        <f t="shared" si="3454"/>
        <v>0</v>
      </c>
      <c r="OV505" s="98">
        <f t="shared" si="3454"/>
        <v>0</v>
      </c>
      <c r="OW505" s="98">
        <f t="shared" si="3454"/>
        <v>0</v>
      </c>
      <c r="OX505" s="98">
        <f t="shared" si="3454"/>
        <v>0</v>
      </c>
      <c r="OY505" s="98">
        <f t="shared" si="3454"/>
        <v>0</v>
      </c>
      <c r="OZ505" s="98">
        <f t="shared" si="3454"/>
        <v>0</v>
      </c>
      <c r="PA505" s="198">
        <f t="shared" si="2675"/>
        <v>0</v>
      </c>
      <c r="PB505" s="198">
        <f t="shared" si="2676"/>
        <v>0</v>
      </c>
      <c r="PC505" s="98">
        <f t="shared" ref="PC505:PP505" si="3455">SUM(PC34,PC72,PC110,PC148,PC186,PC224,PC262,PC300,PC338,PC376,PC414,PC452)</f>
        <v>0</v>
      </c>
      <c r="PD505" s="98">
        <f t="shared" si="3455"/>
        <v>0</v>
      </c>
      <c r="PE505" s="98">
        <f t="shared" si="3455"/>
        <v>0</v>
      </c>
      <c r="PF505" s="98">
        <f t="shared" si="3455"/>
        <v>0</v>
      </c>
      <c r="PG505" s="98">
        <f t="shared" si="3455"/>
        <v>0</v>
      </c>
      <c r="PH505" s="98">
        <f t="shared" si="3455"/>
        <v>0</v>
      </c>
      <c r="PI505" s="98">
        <f t="shared" si="3455"/>
        <v>0</v>
      </c>
      <c r="PJ505" s="98">
        <f t="shared" si="3455"/>
        <v>0</v>
      </c>
      <c r="PK505" s="98">
        <f t="shared" si="3455"/>
        <v>0</v>
      </c>
      <c r="PL505" s="98">
        <f t="shared" si="3455"/>
        <v>0</v>
      </c>
      <c r="PM505" s="98">
        <f t="shared" si="3455"/>
        <v>0</v>
      </c>
      <c r="PN505" s="98">
        <f t="shared" si="3455"/>
        <v>0</v>
      </c>
      <c r="PO505" s="98">
        <f t="shared" si="3455"/>
        <v>0</v>
      </c>
      <c r="PP505" s="98">
        <f t="shared" si="3455"/>
        <v>0</v>
      </c>
      <c r="PQ505" s="198">
        <f t="shared" si="2678"/>
        <v>0</v>
      </c>
      <c r="PR505" s="198">
        <f t="shared" si="2679"/>
        <v>0</v>
      </c>
      <c r="PS505" s="98">
        <f t="shared" ref="PS505:QF505" si="3456">SUM(PS34,PS72,PS110,PS148,PS186,PS224,PS262,PS300,PS338,PS376,PS414,PS452)</f>
        <v>0</v>
      </c>
      <c r="PT505" s="98">
        <f t="shared" si="3456"/>
        <v>0</v>
      </c>
      <c r="PU505" s="98">
        <f t="shared" si="3456"/>
        <v>0</v>
      </c>
      <c r="PV505" s="98">
        <f t="shared" si="3456"/>
        <v>0</v>
      </c>
      <c r="PW505" s="98">
        <f t="shared" si="3456"/>
        <v>0</v>
      </c>
      <c r="PX505" s="98">
        <f t="shared" si="3456"/>
        <v>0</v>
      </c>
      <c r="PY505" s="98">
        <f t="shared" si="3456"/>
        <v>0</v>
      </c>
      <c r="PZ505" s="98">
        <f t="shared" si="3456"/>
        <v>0</v>
      </c>
      <c r="QA505" s="98">
        <f t="shared" si="3456"/>
        <v>0</v>
      </c>
      <c r="QB505" s="98">
        <f t="shared" si="3456"/>
        <v>0</v>
      </c>
      <c r="QC505" s="98">
        <f t="shared" si="3456"/>
        <v>0</v>
      </c>
      <c r="QD505" s="98">
        <f t="shared" si="3456"/>
        <v>0</v>
      </c>
      <c r="QE505" s="98">
        <f t="shared" si="3456"/>
        <v>0</v>
      </c>
      <c r="QF505" s="98">
        <f t="shared" si="3456"/>
        <v>0</v>
      </c>
      <c r="QG505" s="198">
        <f t="shared" si="2681"/>
        <v>0</v>
      </c>
      <c r="QH505" s="198">
        <f t="shared" si="2682"/>
        <v>0</v>
      </c>
      <c r="QI505" s="98">
        <f t="shared" ref="QI505:QV505" si="3457">SUM(QI34,QI72,QI110,QI148,QI186,QI224,QI262,QI300,QI338,QI376,QI414,QI452)</f>
        <v>0</v>
      </c>
      <c r="QJ505" s="98">
        <f t="shared" si="3457"/>
        <v>0</v>
      </c>
      <c r="QK505" s="98">
        <f t="shared" si="3457"/>
        <v>0</v>
      </c>
      <c r="QL505" s="98">
        <f t="shared" si="3457"/>
        <v>0</v>
      </c>
      <c r="QM505" s="98">
        <f t="shared" si="3457"/>
        <v>0</v>
      </c>
      <c r="QN505" s="98">
        <f t="shared" si="3457"/>
        <v>0</v>
      </c>
      <c r="QO505" s="98">
        <f t="shared" si="3457"/>
        <v>0</v>
      </c>
      <c r="QP505" s="98">
        <f t="shared" si="3457"/>
        <v>0</v>
      </c>
      <c r="QQ505" s="98">
        <f t="shared" si="3457"/>
        <v>0</v>
      </c>
      <c r="QR505" s="98">
        <f t="shared" si="3457"/>
        <v>0</v>
      </c>
      <c r="QS505" s="98">
        <f t="shared" si="3457"/>
        <v>0</v>
      </c>
      <c r="QT505" s="98">
        <f t="shared" si="3457"/>
        <v>0</v>
      </c>
      <c r="QU505" s="98">
        <f t="shared" si="3457"/>
        <v>0</v>
      </c>
      <c r="QV505" s="98">
        <f t="shared" si="3457"/>
        <v>0</v>
      </c>
      <c r="QW505" s="198">
        <f t="shared" si="2684"/>
        <v>0</v>
      </c>
      <c r="QX505" s="198">
        <f t="shared" si="2685"/>
        <v>0</v>
      </c>
      <c r="QY505" s="98">
        <f t="shared" ref="QY505:RL505" si="3458">SUM(QY34,QY72,QY110,QY148,QY186,QY224,QY262,QY300,QY338,QY376,QY414,QY452)</f>
        <v>0</v>
      </c>
      <c r="QZ505" s="98">
        <f t="shared" si="3458"/>
        <v>0</v>
      </c>
      <c r="RA505" s="98">
        <f t="shared" si="3458"/>
        <v>0</v>
      </c>
      <c r="RB505" s="98">
        <f t="shared" si="3458"/>
        <v>0</v>
      </c>
      <c r="RC505" s="98">
        <f t="shared" si="3458"/>
        <v>0</v>
      </c>
      <c r="RD505" s="98">
        <f t="shared" si="3458"/>
        <v>0</v>
      </c>
      <c r="RE505" s="98">
        <f t="shared" si="3458"/>
        <v>0</v>
      </c>
      <c r="RF505" s="98">
        <f t="shared" si="3458"/>
        <v>0</v>
      </c>
      <c r="RG505" s="98">
        <f t="shared" si="3458"/>
        <v>0</v>
      </c>
      <c r="RH505" s="98">
        <f t="shared" si="3458"/>
        <v>0</v>
      </c>
      <c r="RI505" s="98">
        <f t="shared" si="3458"/>
        <v>0</v>
      </c>
      <c r="RJ505" s="98">
        <f t="shared" si="3458"/>
        <v>0</v>
      </c>
      <c r="RK505" s="98">
        <f t="shared" si="3458"/>
        <v>0</v>
      </c>
      <c r="RL505" s="98">
        <f t="shared" si="3458"/>
        <v>0</v>
      </c>
      <c r="RM505" s="198">
        <f t="shared" si="2687"/>
        <v>0</v>
      </c>
      <c r="RN505" s="198">
        <f t="shared" si="2688"/>
        <v>0</v>
      </c>
      <c r="RO505" s="98">
        <f t="shared" ref="RO505:SB505" si="3459">SUM(RO34,RO72,RO110,RO148,RO186,RO224,RO262,RO300,RO338,RO376,RO414,RO452)</f>
        <v>0</v>
      </c>
      <c r="RP505" s="98">
        <f t="shared" si="3459"/>
        <v>0</v>
      </c>
      <c r="RQ505" s="98">
        <f t="shared" si="3459"/>
        <v>0</v>
      </c>
      <c r="RR505" s="98">
        <f t="shared" si="3459"/>
        <v>0</v>
      </c>
      <c r="RS505" s="98">
        <f t="shared" si="3459"/>
        <v>0</v>
      </c>
      <c r="RT505" s="98">
        <f t="shared" si="3459"/>
        <v>0</v>
      </c>
      <c r="RU505" s="98">
        <f t="shared" si="3459"/>
        <v>0</v>
      </c>
      <c r="RV505" s="98">
        <f t="shared" si="3459"/>
        <v>0</v>
      </c>
      <c r="RW505" s="98">
        <f t="shared" si="3459"/>
        <v>0</v>
      </c>
      <c r="RX505" s="98">
        <f t="shared" si="3459"/>
        <v>0</v>
      </c>
      <c r="RY505" s="98">
        <f t="shared" si="3459"/>
        <v>0</v>
      </c>
      <c r="RZ505" s="98">
        <f t="shared" si="3459"/>
        <v>0</v>
      </c>
      <c r="SA505" s="98">
        <f t="shared" si="3459"/>
        <v>0</v>
      </c>
      <c r="SB505" s="98">
        <f t="shared" si="3459"/>
        <v>0</v>
      </c>
      <c r="SC505" s="198">
        <f t="shared" si="2690"/>
        <v>0</v>
      </c>
      <c r="SD505" s="198">
        <f t="shared" si="2691"/>
        <v>0</v>
      </c>
      <c r="SE505" s="98">
        <f t="shared" ref="SE505:SR505" si="3460">SUM(SE34,SE72,SE110,SE148,SE186,SE224,SE262,SE300,SE338,SE376,SE414,SE452)</f>
        <v>0</v>
      </c>
      <c r="SF505" s="98">
        <f t="shared" si="3460"/>
        <v>0</v>
      </c>
      <c r="SG505" s="98">
        <f t="shared" si="3460"/>
        <v>0</v>
      </c>
      <c r="SH505" s="98">
        <f t="shared" si="3460"/>
        <v>0</v>
      </c>
      <c r="SI505" s="98">
        <f t="shared" si="3460"/>
        <v>0</v>
      </c>
      <c r="SJ505" s="98">
        <f t="shared" si="3460"/>
        <v>0</v>
      </c>
      <c r="SK505" s="98">
        <f t="shared" si="3460"/>
        <v>0</v>
      </c>
      <c r="SL505" s="98">
        <f t="shared" si="3460"/>
        <v>0</v>
      </c>
      <c r="SM505" s="98">
        <f t="shared" si="3460"/>
        <v>0</v>
      </c>
      <c r="SN505" s="98">
        <f t="shared" si="3460"/>
        <v>0</v>
      </c>
      <c r="SO505" s="98">
        <f t="shared" si="3460"/>
        <v>0</v>
      </c>
      <c r="SP505" s="98">
        <f t="shared" si="3460"/>
        <v>0</v>
      </c>
      <c r="SQ505" s="98">
        <f t="shared" si="3460"/>
        <v>0</v>
      </c>
      <c r="SR505" s="98">
        <f t="shared" si="3460"/>
        <v>0</v>
      </c>
      <c r="SS505" s="198">
        <f t="shared" si="2693"/>
        <v>0</v>
      </c>
      <c r="ST505" s="198">
        <f t="shared" si="2694"/>
        <v>0</v>
      </c>
      <c r="SU505" s="98">
        <f t="shared" ref="SU505:TH505" si="3461">SUM(SU34,SU72,SU110,SU148,SU186,SU224,SU262,SU300,SU338,SU376,SU414,SU452)</f>
        <v>0</v>
      </c>
      <c r="SV505" s="98">
        <f t="shared" si="3461"/>
        <v>0</v>
      </c>
      <c r="SW505" s="98">
        <f t="shared" si="3461"/>
        <v>0</v>
      </c>
      <c r="SX505" s="98">
        <f t="shared" si="3461"/>
        <v>0</v>
      </c>
      <c r="SY505" s="98">
        <f t="shared" si="3461"/>
        <v>0</v>
      </c>
      <c r="SZ505" s="98">
        <f t="shared" si="3461"/>
        <v>0</v>
      </c>
      <c r="TA505" s="98">
        <f t="shared" si="3461"/>
        <v>0</v>
      </c>
      <c r="TB505" s="98">
        <f t="shared" si="3461"/>
        <v>0</v>
      </c>
      <c r="TC505" s="98">
        <f t="shared" si="3461"/>
        <v>0</v>
      </c>
      <c r="TD505" s="98">
        <f t="shared" si="3461"/>
        <v>0</v>
      </c>
      <c r="TE505" s="98">
        <f t="shared" si="3461"/>
        <v>0</v>
      </c>
      <c r="TF505" s="98">
        <f t="shared" si="3461"/>
        <v>0</v>
      </c>
      <c r="TG505" s="98">
        <f t="shared" si="3461"/>
        <v>0</v>
      </c>
      <c r="TH505" s="98">
        <f t="shared" si="3461"/>
        <v>0</v>
      </c>
      <c r="TI505" s="198">
        <f t="shared" si="2696"/>
        <v>0</v>
      </c>
      <c r="TJ505" s="198">
        <f t="shared" si="2697"/>
        <v>0</v>
      </c>
      <c r="TK505" s="98">
        <f t="shared" ref="TK505:TX505" si="3462">SUM(TK34,TK72,TK110,TK148,TK186,TK224,TK262,TK300,TK338,TK376,TK414,TK452)</f>
        <v>0</v>
      </c>
      <c r="TL505" s="98">
        <f t="shared" si="3462"/>
        <v>0</v>
      </c>
      <c r="TM505" s="98">
        <f t="shared" si="3462"/>
        <v>0</v>
      </c>
      <c r="TN505" s="98">
        <f t="shared" si="3462"/>
        <v>0</v>
      </c>
      <c r="TO505" s="98">
        <f t="shared" si="3462"/>
        <v>0</v>
      </c>
      <c r="TP505" s="98">
        <f t="shared" si="3462"/>
        <v>0</v>
      </c>
      <c r="TQ505" s="98">
        <f t="shared" si="3462"/>
        <v>0</v>
      </c>
      <c r="TR505" s="98">
        <f t="shared" si="3462"/>
        <v>0</v>
      </c>
      <c r="TS505" s="98">
        <f t="shared" si="3462"/>
        <v>0</v>
      </c>
      <c r="TT505" s="98">
        <f t="shared" si="3462"/>
        <v>0</v>
      </c>
      <c r="TU505" s="98">
        <f t="shared" si="3462"/>
        <v>0</v>
      </c>
      <c r="TV505" s="98">
        <f t="shared" si="3462"/>
        <v>0</v>
      </c>
      <c r="TW505" s="98">
        <f t="shared" si="3462"/>
        <v>0</v>
      </c>
      <c r="TX505" s="98">
        <f t="shared" si="3462"/>
        <v>0</v>
      </c>
      <c r="TY505" s="198">
        <f t="shared" si="2699"/>
        <v>0</v>
      </c>
      <c r="TZ505" s="198">
        <f t="shared" si="2700"/>
        <v>0</v>
      </c>
      <c r="UA505" s="98">
        <f t="shared" ref="UA505:UN505" si="3463">SUM(UA34,UA72,UA110,UA148,UA186,UA224,UA262,UA300,UA338,UA376,UA414,UA452)</f>
        <v>0</v>
      </c>
      <c r="UB505" s="98">
        <f t="shared" si="3463"/>
        <v>0</v>
      </c>
      <c r="UC505" s="98">
        <f t="shared" si="3463"/>
        <v>0</v>
      </c>
      <c r="UD505" s="98">
        <f t="shared" si="3463"/>
        <v>0</v>
      </c>
      <c r="UE505" s="98">
        <f t="shared" si="3463"/>
        <v>0</v>
      </c>
      <c r="UF505" s="98">
        <f t="shared" si="3463"/>
        <v>0</v>
      </c>
      <c r="UG505" s="98">
        <f t="shared" si="3463"/>
        <v>0</v>
      </c>
      <c r="UH505" s="98">
        <f t="shared" si="3463"/>
        <v>0</v>
      </c>
      <c r="UI505" s="98">
        <f t="shared" si="3463"/>
        <v>0</v>
      </c>
      <c r="UJ505" s="98">
        <f t="shared" si="3463"/>
        <v>0</v>
      </c>
      <c r="UK505" s="98">
        <f t="shared" si="3463"/>
        <v>0</v>
      </c>
      <c r="UL505" s="98">
        <f t="shared" si="3463"/>
        <v>0</v>
      </c>
      <c r="UM505" s="98">
        <f t="shared" si="3463"/>
        <v>0</v>
      </c>
      <c r="UN505" s="98">
        <f t="shared" si="3463"/>
        <v>0</v>
      </c>
      <c r="UO505" s="198">
        <f t="shared" si="2702"/>
        <v>0</v>
      </c>
      <c r="UP505" s="198">
        <f t="shared" si="2703"/>
        <v>0</v>
      </c>
      <c r="UQ505" s="98">
        <f t="shared" ref="UQ505:VD505" si="3464">SUM(UQ34,UQ72,UQ110,UQ148,UQ186,UQ224,UQ262,UQ300,UQ338,UQ376,UQ414,UQ452)</f>
        <v>0</v>
      </c>
      <c r="UR505" s="98">
        <f t="shared" si="3464"/>
        <v>0</v>
      </c>
      <c r="US505" s="98">
        <f t="shared" si="3464"/>
        <v>0</v>
      </c>
      <c r="UT505" s="98">
        <f t="shared" si="3464"/>
        <v>0</v>
      </c>
      <c r="UU505" s="98">
        <f t="shared" si="3464"/>
        <v>0</v>
      </c>
      <c r="UV505" s="98">
        <f t="shared" si="3464"/>
        <v>0</v>
      </c>
      <c r="UW505" s="98">
        <f t="shared" si="3464"/>
        <v>0</v>
      </c>
      <c r="UX505" s="98">
        <f t="shared" si="3464"/>
        <v>0</v>
      </c>
      <c r="UY505" s="98">
        <f t="shared" si="3464"/>
        <v>0</v>
      </c>
      <c r="UZ505" s="98">
        <f t="shared" si="3464"/>
        <v>0</v>
      </c>
      <c r="VA505" s="98">
        <f t="shared" si="3464"/>
        <v>0</v>
      </c>
      <c r="VB505" s="98">
        <f t="shared" si="3464"/>
        <v>0</v>
      </c>
      <c r="VC505" s="98">
        <f t="shared" si="3464"/>
        <v>0</v>
      </c>
      <c r="VD505" s="98">
        <f t="shared" si="3464"/>
        <v>0</v>
      </c>
      <c r="VE505" s="198">
        <f t="shared" si="2705"/>
        <v>0</v>
      </c>
      <c r="VF505" s="198">
        <f t="shared" si="2706"/>
        <v>0</v>
      </c>
      <c r="VG505" s="98">
        <f t="shared" ref="VG505:VT505" si="3465">SUM(VG34,VG72,VG110,VG148,VG186,VG224,VG262,VG300,VG338,VG376,VG414,VG452)</f>
        <v>0</v>
      </c>
      <c r="VH505" s="98">
        <f t="shared" si="3465"/>
        <v>0</v>
      </c>
      <c r="VI505" s="98">
        <f t="shared" si="3465"/>
        <v>0</v>
      </c>
      <c r="VJ505" s="98">
        <f t="shared" si="3465"/>
        <v>0</v>
      </c>
      <c r="VK505" s="98">
        <f t="shared" si="3465"/>
        <v>0</v>
      </c>
      <c r="VL505" s="98">
        <f t="shared" si="3465"/>
        <v>0</v>
      </c>
      <c r="VM505" s="98">
        <f t="shared" si="3465"/>
        <v>0</v>
      </c>
      <c r="VN505" s="98">
        <f t="shared" si="3465"/>
        <v>0</v>
      </c>
      <c r="VO505" s="98">
        <f t="shared" si="3465"/>
        <v>0</v>
      </c>
      <c r="VP505" s="98">
        <f t="shared" si="3465"/>
        <v>0</v>
      </c>
      <c r="VQ505" s="98">
        <f t="shared" si="3465"/>
        <v>0</v>
      </c>
      <c r="VR505" s="98">
        <f t="shared" si="3465"/>
        <v>0</v>
      </c>
      <c r="VS505" s="98">
        <f t="shared" si="3465"/>
        <v>0</v>
      </c>
      <c r="VT505" s="98">
        <f t="shared" si="3465"/>
        <v>0</v>
      </c>
      <c r="VU505" s="198">
        <f t="shared" si="2708"/>
        <v>0</v>
      </c>
      <c r="VV505" s="198">
        <f t="shared" si="2709"/>
        <v>0</v>
      </c>
      <c r="VW505" s="98">
        <f t="shared" ref="VW505:WJ505" si="3466">SUM(VW34,VW72,VW110,VW148,VW186,VW224,VW262,VW300,VW338,VW376,VW414,VW452)</f>
        <v>0</v>
      </c>
      <c r="VX505" s="98">
        <f t="shared" si="3466"/>
        <v>0</v>
      </c>
      <c r="VY505" s="98">
        <f t="shared" si="3466"/>
        <v>0</v>
      </c>
      <c r="VZ505" s="98">
        <f t="shared" si="3466"/>
        <v>0</v>
      </c>
      <c r="WA505" s="98">
        <f t="shared" si="3466"/>
        <v>0</v>
      </c>
      <c r="WB505" s="98">
        <f t="shared" si="3466"/>
        <v>0</v>
      </c>
      <c r="WC505" s="98">
        <f t="shared" si="3466"/>
        <v>0</v>
      </c>
      <c r="WD505" s="98">
        <f t="shared" si="3466"/>
        <v>0</v>
      </c>
      <c r="WE505" s="98">
        <f t="shared" si="3466"/>
        <v>0</v>
      </c>
      <c r="WF505" s="98">
        <f t="shared" si="3466"/>
        <v>0</v>
      </c>
      <c r="WG505" s="98">
        <f t="shared" si="3466"/>
        <v>0</v>
      </c>
      <c r="WH505" s="98">
        <f t="shared" si="3466"/>
        <v>0</v>
      </c>
      <c r="WI505" s="98">
        <f t="shared" si="3466"/>
        <v>0</v>
      </c>
      <c r="WJ505" s="98">
        <f t="shared" si="3466"/>
        <v>0</v>
      </c>
      <c r="WK505" s="198">
        <f t="shared" si="2711"/>
        <v>0</v>
      </c>
      <c r="WL505" s="198">
        <f t="shared" si="2712"/>
        <v>0</v>
      </c>
      <c r="WN505" s="98">
        <f t="shared" si="2713"/>
        <v>0</v>
      </c>
      <c r="WO505" s="98">
        <f t="shared" si="2714"/>
        <v>0</v>
      </c>
      <c r="WP505" s="98">
        <f t="shared" si="2715"/>
        <v>0</v>
      </c>
      <c r="WQ505" s="98">
        <f t="shared" si="2716"/>
        <v>0</v>
      </c>
      <c r="WR505" s="98">
        <f t="shared" si="2717"/>
        <v>0</v>
      </c>
      <c r="WS505" s="98">
        <f t="shared" si="2718"/>
        <v>0</v>
      </c>
      <c r="WT505" s="98">
        <f t="shared" si="2719"/>
        <v>0</v>
      </c>
      <c r="WU505" s="98">
        <f t="shared" si="2720"/>
        <v>0</v>
      </c>
      <c r="WV505" s="98">
        <f t="shared" si="2721"/>
        <v>0</v>
      </c>
      <c r="WW505" s="98">
        <f t="shared" si="2722"/>
        <v>0</v>
      </c>
      <c r="WX505" s="98">
        <f t="shared" si="2723"/>
        <v>0</v>
      </c>
      <c r="WY505" s="98">
        <f t="shared" si="2724"/>
        <v>0</v>
      </c>
      <c r="WZ505" s="98">
        <f t="shared" si="2725"/>
        <v>0</v>
      </c>
      <c r="XA505" s="98">
        <f t="shared" si="2726"/>
        <v>0</v>
      </c>
      <c r="XB505" s="107">
        <f t="shared" si="2727"/>
        <v>0</v>
      </c>
      <c r="XC505" s="107">
        <f t="shared" si="2728"/>
        <v>0</v>
      </c>
      <c r="XK505" s="98">
        <f t="shared" si="2729"/>
        <v>0</v>
      </c>
      <c r="XL505" s="98">
        <f t="shared" si="2730"/>
        <v>0</v>
      </c>
      <c r="XM505" s="98">
        <f t="shared" si="2731"/>
        <v>0</v>
      </c>
      <c r="XN505" s="98">
        <f t="shared" si="2732"/>
        <v>0</v>
      </c>
      <c r="XO505" s="98">
        <f t="shared" si="2733"/>
        <v>0</v>
      </c>
      <c r="XP505" s="98">
        <f t="shared" si="2734"/>
        <v>0</v>
      </c>
      <c r="XQ505" s="98">
        <f t="shared" si="2735"/>
        <v>0</v>
      </c>
      <c r="XR505" s="107">
        <f t="shared" ca="1" si="2597"/>
        <v>0</v>
      </c>
      <c r="XT505" s="98">
        <f t="shared" si="2736"/>
        <v>0</v>
      </c>
      <c r="XU505" s="98">
        <f t="shared" si="2737"/>
        <v>0</v>
      </c>
      <c r="XV505" s="98">
        <f t="shared" si="2738"/>
        <v>0</v>
      </c>
      <c r="XW505" s="98">
        <f t="shared" si="2739"/>
        <v>0</v>
      </c>
      <c r="XX505" s="98">
        <f t="shared" si="2740"/>
        <v>0</v>
      </c>
      <c r="XY505" s="98">
        <f t="shared" si="2741"/>
        <v>0</v>
      </c>
      <c r="XZ505" s="98">
        <f t="shared" si="2742"/>
        <v>0</v>
      </c>
      <c r="YA505" s="107">
        <f t="shared" ca="1" si="2598"/>
        <v>0</v>
      </c>
    </row>
    <row r="506" spans="2:651">
      <c r="B506" s="90" t="str">
        <f t="shared" si="2558"/>
        <v>Tawes</v>
      </c>
      <c r="C506" s="98">
        <f t="shared" ref="C506:P506" si="3467">SUM(C35,C73,C111,C149,C187,C225,C263,C301,C339,C377,C415,C453)</f>
        <v>0</v>
      </c>
      <c r="D506" s="98">
        <f t="shared" si="3467"/>
        <v>0</v>
      </c>
      <c r="E506" s="98">
        <f t="shared" si="3467"/>
        <v>0</v>
      </c>
      <c r="F506" s="98">
        <f t="shared" si="3467"/>
        <v>0</v>
      </c>
      <c r="G506" s="98">
        <f t="shared" si="3467"/>
        <v>0</v>
      </c>
      <c r="H506" s="98">
        <f t="shared" si="3467"/>
        <v>0</v>
      </c>
      <c r="I506" s="98">
        <f t="shared" si="3467"/>
        <v>0</v>
      </c>
      <c r="J506" s="98">
        <f t="shared" si="3467"/>
        <v>0</v>
      </c>
      <c r="K506" s="98">
        <f t="shared" si="3467"/>
        <v>0</v>
      </c>
      <c r="L506" s="98">
        <f t="shared" si="3467"/>
        <v>0</v>
      </c>
      <c r="M506" s="98">
        <f t="shared" si="3467"/>
        <v>0</v>
      </c>
      <c r="N506" s="98">
        <f t="shared" si="3467"/>
        <v>0</v>
      </c>
      <c r="O506" s="98">
        <f t="shared" si="3467"/>
        <v>0</v>
      </c>
      <c r="P506" s="98">
        <f t="shared" si="3467"/>
        <v>0</v>
      </c>
      <c r="Q506" s="198">
        <f t="shared" si="2600"/>
        <v>0</v>
      </c>
      <c r="R506" s="198">
        <f t="shared" si="2601"/>
        <v>0</v>
      </c>
      <c r="S506" s="98">
        <f t="shared" ref="S506:AF506" si="3468">SUM(S35,S73,S111,S149,S187,S225,S263,S301,S339,S377,S415,S453)</f>
        <v>0</v>
      </c>
      <c r="T506" s="98">
        <f t="shared" si="3468"/>
        <v>0</v>
      </c>
      <c r="U506" s="98">
        <f t="shared" si="3468"/>
        <v>0</v>
      </c>
      <c r="V506" s="98">
        <f t="shared" si="3468"/>
        <v>0</v>
      </c>
      <c r="W506" s="98">
        <f t="shared" si="3468"/>
        <v>0</v>
      </c>
      <c r="X506" s="98">
        <f t="shared" si="3468"/>
        <v>0</v>
      </c>
      <c r="Y506" s="98">
        <f t="shared" si="3468"/>
        <v>21485</v>
      </c>
      <c r="Z506" s="98">
        <f t="shared" si="3468"/>
        <v>365245</v>
      </c>
      <c r="AA506" s="98">
        <f t="shared" si="3468"/>
        <v>0</v>
      </c>
      <c r="AB506" s="98">
        <f t="shared" si="3468"/>
        <v>0</v>
      </c>
      <c r="AC506" s="98">
        <f t="shared" si="3468"/>
        <v>0</v>
      </c>
      <c r="AD506" s="98">
        <f t="shared" si="3468"/>
        <v>0</v>
      </c>
      <c r="AE506" s="98">
        <f t="shared" si="3468"/>
        <v>0</v>
      </c>
      <c r="AF506" s="98">
        <f t="shared" si="3468"/>
        <v>0</v>
      </c>
      <c r="AG506" s="198">
        <f t="shared" si="2603"/>
        <v>21485</v>
      </c>
      <c r="AH506" s="198">
        <f t="shared" si="2604"/>
        <v>365245</v>
      </c>
      <c r="AI506" s="98">
        <f t="shared" ref="AI506:AV506" si="3469">SUM(AI35,AI73,AI111,AI149,AI187,AI225,AI263,AI301,AI339,AI377,AI415,AI453)</f>
        <v>0</v>
      </c>
      <c r="AJ506" s="98">
        <f t="shared" si="3469"/>
        <v>0</v>
      </c>
      <c r="AK506" s="98">
        <f t="shared" si="3469"/>
        <v>0</v>
      </c>
      <c r="AL506" s="98">
        <f t="shared" si="3469"/>
        <v>0</v>
      </c>
      <c r="AM506" s="98">
        <f t="shared" si="3469"/>
        <v>0</v>
      </c>
      <c r="AN506" s="98">
        <f t="shared" si="3469"/>
        <v>0</v>
      </c>
      <c r="AO506" s="98">
        <f t="shared" si="3469"/>
        <v>0</v>
      </c>
      <c r="AP506" s="98">
        <f t="shared" si="3469"/>
        <v>0</v>
      </c>
      <c r="AQ506" s="98">
        <f t="shared" si="3469"/>
        <v>0</v>
      </c>
      <c r="AR506" s="98">
        <f t="shared" si="3469"/>
        <v>0</v>
      </c>
      <c r="AS506" s="98">
        <f t="shared" si="3469"/>
        <v>0</v>
      </c>
      <c r="AT506" s="98">
        <f t="shared" si="3469"/>
        <v>0</v>
      </c>
      <c r="AU506" s="98">
        <f t="shared" si="3469"/>
        <v>0</v>
      </c>
      <c r="AV506" s="98">
        <f t="shared" si="3469"/>
        <v>0</v>
      </c>
      <c r="AW506" s="198">
        <f t="shared" si="2606"/>
        <v>0</v>
      </c>
      <c r="AX506" s="198">
        <f t="shared" si="2607"/>
        <v>0</v>
      </c>
      <c r="AY506" s="98">
        <f t="shared" ref="AY506:BL506" si="3470">SUM(AY35,AY73,AY111,AY149,AY187,AY225,AY263,AY301,AY339,AY377,AY415,AY453)</f>
        <v>0</v>
      </c>
      <c r="AZ506" s="98">
        <f t="shared" si="3470"/>
        <v>0</v>
      </c>
      <c r="BA506" s="98">
        <f t="shared" si="3470"/>
        <v>0</v>
      </c>
      <c r="BB506" s="98">
        <f t="shared" si="3470"/>
        <v>0</v>
      </c>
      <c r="BC506" s="98">
        <f t="shared" si="3470"/>
        <v>0</v>
      </c>
      <c r="BD506" s="98">
        <f t="shared" si="3470"/>
        <v>0</v>
      </c>
      <c r="BE506" s="98">
        <f t="shared" si="3470"/>
        <v>31146</v>
      </c>
      <c r="BF506" s="98">
        <f t="shared" si="3470"/>
        <v>311460</v>
      </c>
      <c r="BG506" s="98">
        <f t="shared" si="3470"/>
        <v>17321</v>
      </c>
      <c r="BH506" s="98">
        <f t="shared" si="3470"/>
        <v>173210</v>
      </c>
      <c r="BI506" s="98">
        <f t="shared" si="3470"/>
        <v>0</v>
      </c>
      <c r="BJ506" s="98">
        <f t="shared" si="3470"/>
        <v>0</v>
      </c>
      <c r="BK506" s="98">
        <f t="shared" si="3470"/>
        <v>13997</v>
      </c>
      <c r="BL506" s="98">
        <f t="shared" si="3470"/>
        <v>139970</v>
      </c>
      <c r="BM506" s="198">
        <f t="shared" si="2609"/>
        <v>62464</v>
      </c>
      <c r="BN506" s="198">
        <f t="shared" si="2610"/>
        <v>624640</v>
      </c>
      <c r="BO506" s="98">
        <f t="shared" ref="BO506:CB506" si="3471">SUM(BO35,BO73,BO111,BO149,BO187,BO225,BO263,BO301,BO339,BO377,BO415,BO453)</f>
        <v>0</v>
      </c>
      <c r="BP506" s="98">
        <f t="shared" si="3471"/>
        <v>0</v>
      </c>
      <c r="BQ506" s="98">
        <f t="shared" si="3471"/>
        <v>0</v>
      </c>
      <c r="BR506" s="98">
        <f t="shared" si="3471"/>
        <v>0</v>
      </c>
      <c r="BS506" s="98">
        <f t="shared" si="3471"/>
        <v>0</v>
      </c>
      <c r="BT506" s="98">
        <f t="shared" si="3471"/>
        <v>0</v>
      </c>
      <c r="BU506" s="98">
        <f t="shared" si="3471"/>
        <v>1070</v>
      </c>
      <c r="BV506" s="98">
        <f t="shared" si="3471"/>
        <v>21400</v>
      </c>
      <c r="BW506" s="98">
        <f t="shared" si="3471"/>
        <v>0</v>
      </c>
      <c r="BX506" s="98">
        <f t="shared" si="3471"/>
        <v>0</v>
      </c>
      <c r="BY506" s="98">
        <f t="shared" si="3471"/>
        <v>0</v>
      </c>
      <c r="BZ506" s="98">
        <f t="shared" si="3471"/>
        <v>0</v>
      </c>
      <c r="CA506" s="98">
        <f t="shared" si="3471"/>
        <v>0</v>
      </c>
      <c r="CB506" s="98">
        <f t="shared" si="3471"/>
        <v>0</v>
      </c>
      <c r="CC506" s="198">
        <f t="shared" si="2612"/>
        <v>1070</v>
      </c>
      <c r="CD506" s="198">
        <f t="shared" si="2613"/>
        <v>21400</v>
      </c>
      <c r="CE506" s="98">
        <f t="shared" ref="CE506:CR506" si="3472">SUM(CE35,CE73,CE111,CE149,CE187,CE225,CE263,CE301,CE339,CE377,CE415,CE453)</f>
        <v>0</v>
      </c>
      <c r="CF506" s="98">
        <f t="shared" si="3472"/>
        <v>0</v>
      </c>
      <c r="CG506" s="98">
        <f t="shared" si="3472"/>
        <v>0</v>
      </c>
      <c r="CH506" s="98">
        <f t="shared" si="3472"/>
        <v>0</v>
      </c>
      <c r="CI506" s="98">
        <f t="shared" si="3472"/>
        <v>0</v>
      </c>
      <c r="CJ506" s="98">
        <f t="shared" si="3472"/>
        <v>0</v>
      </c>
      <c r="CK506" s="98">
        <f t="shared" si="3472"/>
        <v>4002267.3146035718</v>
      </c>
      <c r="CL506" s="98">
        <f t="shared" si="3472"/>
        <v>51129441.156187318</v>
      </c>
      <c r="CM506" s="98">
        <f t="shared" si="3472"/>
        <v>0</v>
      </c>
      <c r="CN506" s="98">
        <f t="shared" si="3472"/>
        <v>0</v>
      </c>
      <c r="CO506" s="98">
        <f t="shared" si="3472"/>
        <v>0</v>
      </c>
      <c r="CP506" s="98">
        <f t="shared" si="3472"/>
        <v>0</v>
      </c>
      <c r="CQ506" s="98">
        <f t="shared" si="3472"/>
        <v>0</v>
      </c>
      <c r="CR506" s="98">
        <f t="shared" si="3472"/>
        <v>0</v>
      </c>
      <c r="CS506" s="198">
        <f t="shared" si="2615"/>
        <v>4002267.3146035718</v>
      </c>
      <c r="CT506" s="198">
        <f t="shared" si="2616"/>
        <v>51129441.156187318</v>
      </c>
      <c r="CU506" s="98">
        <f t="shared" ref="CU506:DH506" si="3473">SUM(CU35,CU73,CU111,CU149,CU187,CU225,CU263,CU301,CU339,CU377,CU415,CU453)</f>
        <v>0</v>
      </c>
      <c r="CV506" s="98">
        <f t="shared" si="3473"/>
        <v>0</v>
      </c>
      <c r="CW506" s="98">
        <f t="shared" si="3473"/>
        <v>0</v>
      </c>
      <c r="CX506" s="98">
        <f t="shared" si="3473"/>
        <v>0</v>
      </c>
      <c r="CY506" s="98">
        <f t="shared" si="3473"/>
        <v>0</v>
      </c>
      <c r="CZ506" s="98">
        <f t="shared" si="3473"/>
        <v>0</v>
      </c>
      <c r="DA506" s="98">
        <f t="shared" si="3473"/>
        <v>3938</v>
      </c>
      <c r="DB506" s="98">
        <f t="shared" si="3473"/>
        <v>65584</v>
      </c>
      <c r="DC506" s="98">
        <f t="shared" si="3473"/>
        <v>0</v>
      </c>
      <c r="DD506" s="98">
        <f t="shared" si="3473"/>
        <v>0</v>
      </c>
      <c r="DE506" s="98">
        <f t="shared" si="3473"/>
        <v>0</v>
      </c>
      <c r="DF506" s="98">
        <f t="shared" si="3473"/>
        <v>0</v>
      </c>
      <c r="DG506" s="98">
        <f t="shared" si="3473"/>
        <v>0</v>
      </c>
      <c r="DH506" s="98">
        <f t="shared" si="3473"/>
        <v>0</v>
      </c>
      <c r="DI506" s="198">
        <f t="shared" si="2618"/>
        <v>3938</v>
      </c>
      <c r="DJ506" s="198">
        <f t="shared" si="2619"/>
        <v>65584</v>
      </c>
      <c r="DK506" s="98">
        <f t="shared" ref="DK506:DX506" si="3474">SUM(DK35,DK73,DK111,DK149,DK187,DK225,DK263,DK301,DK339,DK377,DK415,DK453)</f>
        <v>0</v>
      </c>
      <c r="DL506" s="98">
        <f t="shared" si="3474"/>
        <v>0</v>
      </c>
      <c r="DM506" s="98">
        <f t="shared" si="3474"/>
        <v>0</v>
      </c>
      <c r="DN506" s="98">
        <f t="shared" si="3474"/>
        <v>0</v>
      </c>
      <c r="DO506" s="98">
        <f t="shared" si="3474"/>
        <v>0</v>
      </c>
      <c r="DP506" s="98">
        <f t="shared" si="3474"/>
        <v>0</v>
      </c>
      <c r="DQ506" s="98">
        <f t="shared" si="3474"/>
        <v>0</v>
      </c>
      <c r="DR506" s="98">
        <f t="shared" si="3474"/>
        <v>0</v>
      </c>
      <c r="DS506" s="98">
        <f t="shared" si="3474"/>
        <v>0</v>
      </c>
      <c r="DT506" s="98">
        <f t="shared" si="3474"/>
        <v>0</v>
      </c>
      <c r="DU506" s="98">
        <f t="shared" si="3474"/>
        <v>0</v>
      </c>
      <c r="DV506" s="98">
        <f t="shared" si="3474"/>
        <v>0</v>
      </c>
      <c r="DW506" s="98">
        <f t="shared" si="3474"/>
        <v>0</v>
      </c>
      <c r="DX506" s="98">
        <f t="shared" si="3474"/>
        <v>0</v>
      </c>
      <c r="DY506" s="198">
        <f t="shared" si="2621"/>
        <v>0</v>
      </c>
      <c r="DZ506" s="198">
        <f t="shared" si="2622"/>
        <v>0</v>
      </c>
      <c r="EA506" s="98">
        <f t="shared" ref="EA506:EN506" si="3475">SUM(EA35,EA73,EA111,EA149,EA187,EA225,EA263,EA301,EA339,EA377,EA415,EA453)</f>
        <v>0</v>
      </c>
      <c r="EB506" s="98">
        <f t="shared" si="3475"/>
        <v>0</v>
      </c>
      <c r="EC506" s="98">
        <f t="shared" si="3475"/>
        <v>0</v>
      </c>
      <c r="ED506" s="98">
        <f t="shared" si="3475"/>
        <v>0</v>
      </c>
      <c r="EE506" s="98">
        <f t="shared" si="3475"/>
        <v>0</v>
      </c>
      <c r="EF506" s="98">
        <f t="shared" si="3475"/>
        <v>0</v>
      </c>
      <c r="EG506" s="98">
        <f t="shared" si="3475"/>
        <v>1290</v>
      </c>
      <c r="EH506" s="98">
        <f t="shared" si="3475"/>
        <v>14190</v>
      </c>
      <c r="EI506" s="98">
        <f t="shared" si="3475"/>
        <v>0</v>
      </c>
      <c r="EJ506" s="98">
        <f t="shared" si="3475"/>
        <v>0</v>
      </c>
      <c r="EK506" s="98">
        <f t="shared" si="3475"/>
        <v>0</v>
      </c>
      <c r="EL506" s="98">
        <f t="shared" si="3475"/>
        <v>0</v>
      </c>
      <c r="EM506" s="98">
        <f t="shared" si="3475"/>
        <v>0</v>
      </c>
      <c r="EN506" s="98">
        <f t="shared" si="3475"/>
        <v>0</v>
      </c>
      <c r="EO506" s="198">
        <f t="shared" si="2624"/>
        <v>1290</v>
      </c>
      <c r="EP506" s="198">
        <f t="shared" si="2625"/>
        <v>14190</v>
      </c>
      <c r="EQ506" s="98">
        <f t="shared" ref="EQ506:FD506" si="3476">SUM(EQ35,EQ73,EQ111,EQ149,EQ187,EQ225,EQ263,EQ301,EQ339,EQ377,EQ415,EQ453)</f>
        <v>0</v>
      </c>
      <c r="ER506" s="98">
        <f t="shared" si="3476"/>
        <v>0</v>
      </c>
      <c r="ES506" s="98">
        <f t="shared" si="3476"/>
        <v>0</v>
      </c>
      <c r="ET506" s="98">
        <f t="shared" si="3476"/>
        <v>0</v>
      </c>
      <c r="EU506" s="98">
        <f t="shared" si="3476"/>
        <v>0</v>
      </c>
      <c r="EV506" s="98">
        <f t="shared" si="3476"/>
        <v>0</v>
      </c>
      <c r="EW506" s="98">
        <f t="shared" si="3476"/>
        <v>2498575</v>
      </c>
      <c r="EX506" s="98">
        <f t="shared" si="3476"/>
        <v>37004829</v>
      </c>
      <c r="EY506" s="98">
        <f t="shared" si="3476"/>
        <v>0</v>
      </c>
      <c r="EZ506" s="98">
        <f t="shared" si="3476"/>
        <v>0</v>
      </c>
      <c r="FA506" s="98">
        <f t="shared" si="3476"/>
        <v>0</v>
      </c>
      <c r="FB506" s="98">
        <f t="shared" si="3476"/>
        <v>0</v>
      </c>
      <c r="FC506" s="98">
        <f t="shared" si="3476"/>
        <v>0</v>
      </c>
      <c r="FD506" s="98">
        <f t="shared" si="3476"/>
        <v>0</v>
      </c>
      <c r="FE506" s="198">
        <f t="shared" si="2627"/>
        <v>2498575</v>
      </c>
      <c r="FF506" s="198">
        <f t="shared" si="2628"/>
        <v>37004829</v>
      </c>
      <c r="FG506" s="98">
        <f t="shared" ref="FG506:FT506" si="3477">SUM(FG35,FG73,FG111,FG149,FG187,FG225,FG263,FG301,FG339,FG377,FG415,FG453)</f>
        <v>0</v>
      </c>
      <c r="FH506" s="98">
        <f t="shared" si="3477"/>
        <v>0</v>
      </c>
      <c r="FI506" s="98">
        <f t="shared" si="3477"/>
        <v>0</v>
      </c>
      <c r="FJ506" s="98">
        <f t="shared" si="3477"/>
        <v>0</v>
      </c>
      <c r="FK506" s="98">
        <f t="shared" si="3477"/>
        <v>0</v>
      </c>
      <c r="FL506" s="98">
        <f t="shared" si="3477"/>
        <v>0</v>
      </c>
      <c r="FM506" s="98">
        <f t="shared" si="3477"/>
        <v>900</v>
      </c>
      <c r="FN506" s="98">
        <f t="shared" si="3477"/>
        <v>16950</v>
      </c>
      <c r="FO506" s="98">
        <f t="shared" si="3477"/>
        <v>0</v>
      </c>
      <c r="FP506" s="98">
        <f t="shared" si="3477"/>
        <v>0</v>
      </c>
      <c r="FQ506" s="98">
        <f t="shared" si="3477"/>
        <v>0</v>
      </c>
      <c r="FR506" s="98">
        <f t="shared" si="3477"/>
        <v>0</v>
      </c>
      <c r="FS506" s="98">
        <f t="shared" si="3477"/>
        <v>0</v>
      </c>
      <c r="FT506" s="98">
        <f t="shared" si="3477"/>
        <v>0</v>
      </c>
      <c r="FU506" s="198">
        <f t="shared" si="2630"/>
        <v>900</v>
      </c>
      <c r="FV506" s="198">
        <f t="shared" si="2631"/>
        <v>16950</v>
      </c>
      <c r="FW506" s="98">
        <f t="shared" ref="FW506:GJ506" si="3478">SUM(FW35,FW73,FW111,FW149,FW187,FW225,FW263,FW301,FW339,FW377,FW415,FW453)</f>
        <v>0</v>
      </c>
      <c r="FX506" s="98">
        <f t="shared" si="3478"/>
        <v>0</v>
      </c>
      <c r="FY506" s="98">
        <f t="shared" si="3478"/>
        <v>0</v>
      </c>
      <c r="FZ506" s="98">
        <f t="shared" si="3478"/>
        <v>0</v>
      </c>
      <c r="GA506" s="98">
        <f t="shared" si="3478"/>
        <v>0</v>
      </c>
      <c r="GB506" s="98">
        <f t="shared" si="3478"/>
        <v>0</v>
      </c>
      <c r="GC506" s="98">
        <f t="shared" si="3478"/>
        <v>2450</v>
      </c>
      <c r="GD506" s="98">
        <f t="shared" si="3478"/>
        <v>32875</v>
      </c>
      <c r="GE506" s="98">
        <f t="shared" si="3478"/>
        <v>0</v>
      </c>
      <c r="GF506" s="98">
        <f t="shared" si="3478"/>
        <v>0</v>
      </c>
      <c r="GG506" s="98">
        <f t="shared" si="3478"/>
        <v>0</v>
      </c>
      <c r="GH506" s="98">
        <f t="shared" si="3478"/>
        <v>0</v>
      </c>
      <c r="GI506" s="98">
        <f t="shared" si="3478"/>
        <v>0</v>
      </c>
      <c r="GJ506" s="98">
        <f t="shared" si="3478"/>
        <v>0</v>
      </c>
      <c r="GK506" s="198">
        <f t="shared" si="2633"/>
        <v>2450</v>
      </c>
      <c r="GL506" s="198">
        <f t="shared" si="2634"/>
        <v>32875</v>
      </c>
      <c r="GM506" s="98">
        <f t="shared" ref="GM506:GZ506" si="3479">SUM(GM35,GM73,GM111,GM149,GM187,GM225,GM263,GM301,GM339,GM377,GM415,GM453)</f>
        <v>0</v>
      </c>
      <c r="GN506" s="98">
        <f t="shared" si="3479"/>
        <v>0</v>
      </c>
      <c r="GO506" s="98">
        <f t="shared" si="3479"/>
        <v>0</v>
      </c>
      <c r="GP506" s="98">
        <f t="shared" si="3479"/>
        <v>0</v>
      </c>
      <c r="GQ506" s="98">
        <f t="shared" si="3479"/>
        <v>0</v>
      </c>
      <c r="GR506" s="98">
        <f t="shared" si="3479"/>
        <v>0</v>
      </c>
      <c r="GS506" s="98">
        <f t="shared" si="3479"/>
        <v>0</v>
      </c>
      <c r="GT506" s="98">
        <f t="shared" si="3479"/>
        <v>0</v>
      </c>
      <c r="GU506" s="98">
        <f t="shared" si="3479"/>
        <v>0</v>
      </c>
      <c r="GV506" s="98">
        <f t="shared" si="3479"/>
        <v>0</v>
      </c>
      <c r="GW506" s="98">
        <f t="shared" si="3479"/>
        <v>0</v>
      </c>
      <c r="GX506" s="98">
        <f t="shared" si="3479"/>
        <v>0</v>
      </c>
      <c r="GY506" s="98">
        <f t="shared" si="3479"/>
        <v>0</v>
      </c>
      <c r="GZ506" s="98">
        <f t="shared" si="3479"/>
        <v>0</v>
      </c>
      <c r="HA506" s="198">
        <f t="shared" si="2636"/>
        <v>0</v>
      </c>
      <c r="HB506" s="198">
        <f t="shared" si="2637"/>
        <v>0</v>
      </c>
      <c r="HC506" s="98">
        <f t="shared" ref="HC506:HP506" si="3480">SUM(HC35,HC73,HC111,HC149,HC187,HC225,HC263,HC301,HC339,HC377,HC415,HC453)</f>
        <v>0</v>
      </c>
      <c r="HD506" s="98">
        <f t="shared" si="3480"/>
        <v>0</v>
      </c>
      <c r="HE506" s="98">
        <f t="shared" si="3480"/>
        <v>0</v>
      </c>
      <c r="HF506" s="98">
        <f t="shared" si="3480"/>
        <v>0</v>
      </c>
      <c r="HG506" s="98">
        <f t="shared" si="3480"/>
        <v>0</v>
      </c>
      <c r="HH506" s="98">
        <f t="shared" si="3480"/>
        <v>0</v>
      </c>
      <c r="HI506" s="98">
        <f t="shared" si="3480"/>
        <v>0</v>
      </c>
      <c r="HJ506" s="98">
        <f t="shared" si="3480"/>
        <v>0</v>
      </c>
      <c r="HK506" s="98">
        <f t="shared" si="3480"/>
        <v>0</v>
      </c>
      <c r="HL506" s="98">
        <f t="shared" si="3480"/>
        <v>0</v>
      </c>
      <c r="HM506" s="98">
        <f t="shared" si="3480"/>
        <v>0</v>
      </c>
      <c r="HN506" s="98">
        <f t="shared" si="3480"/>
        <v>0</v>
      </c>
      <c r="HO506" s="98">
        <f t="shared" si="3480"/>
        <v>0</v>
      </c>
      <c r="HP506" s="98">
        <f t="shared" si="3480"/>
        <v>0</v>
      </c>
      <c r="HQ506" s="198">
        <f t="shared" si="2639"/>
        <v>0</v>
      </c>
      <c r="HR506" s="198">
        <f t="shared" si="2640"/>
        <v>0</v>
      </c>
      <c r="HS506" s="98">
        <f t="shared" ref="HS506:IF506" si="3481">SUM(HS35,HS73,HS111,HS149,HS187,HS225,HS263,HS301,HS339,HS377,HS415,HS453)</f>
        <v>0</v>
      </c>
      <c r="HT506" s="98">
        <f t="shared" si="3481"/>
        <v>0</v>
      </c>
      <c r="HU506" s="98">
        <f t="shared" si="3481"/>
        <v>0</v>
      </c>
      <c r="HV506" s="98">
        <f t="shared" si="3481"/>
        <v>0</v>
      </c>
      <c r="HW506" s="98">
        <f t="shared" si="3481"/>
        <v>0</v>
      </c>
      <c r="HX506" s="98">
        <f t="shared" si="3481"/>
        <v>0</v>
      </c>
      <c r="HY506" s="98">
        <f t="shared" si="3481"/>
        <v>0</v>
      </c>
      <c r="HZ506" s="98">
        <f t="shared" si="3481"/>
        <v>0</v>
      </c>
      <c r="IA506" s="98">
        <f t="shared" si="3481"/>
        <v>0</v>
      </c>
      <c r="IB506" s="98">
        <f t="shared" si="3481"/>
        <v>0</v>
      </c>
      <c r="IC506" s="98">
        <f t="shared" si="3481"/>
        <v>0</v>
      </c>
      <c r="ID506" s="98">
        <f t="shared" si="3481"/>
        <v>0</v>
      </c>
      <c r="IE506" s="98">
        <f t="shared" si="3481"/>
        <v>0</v>
      </c>
      <c r="IF506" s="98">
        <f t="shared" si="3481"/>
        <v>0</v>
      </c>
      <c r="IG506" s="198">
        <f t="shared" si="2642"/>
        <v>0</v>
      </c>
      <c r="IH506" s="198">
        <f t="shared" si="2643"/>
        <v>0</v>
      </c>
      <c r="II506" s="98">
        <f t="shared" ref="II506:IV506" si="3482">SUM(II35,II73,II111,II149,II187,II225,II263,II301,II339,II377,II415,II453)</f>
        <v>0</v>
      </c>
      <c r="IJ506" s="98">
        <f t="shared" si="3482"/>
        <v>0</v>
      </c>
      <c r="IK506" s="98">
        <f t="shared" si="3482"/>
        <v>0</v>
      </c>
      <c r="IL506" s="98">
        <f t="shared" si="3482"/>
        <v>0</v>
      </c>
      <c r="IM506" s="98">
        <f t="shared" si="3482"/>
        <v>0</v>
      </c>
      <c r="IN506" s="98">
        <f t="shared" si="3482"/>
        <v>0</v>
      </c>
      <c r="IO506" s="98">
        <f t="shared" si="3482"/>
        <v>0</v>
      </c>
      <c r="IP506" s="98">
        <f t="shared" si="3482"/>
        <v>0</v>
      </c>
      <c r="IQ506" s="98">
        <f t="shared" si="3482"/>
        <v>0</v>
      </c>
      <c r="IR506" s="98">
        <f t="shared" si="3482"/>
        <v>0</v>
      </c>
      <c r="IS506" s="98">
        <f t="shared" si="3482"/>
        <v>0</v>
      </c>
      <c r="IT506" s="98">
        <f t="shared" si="3482"/>
        <v>0</v>
      </c>
      <c r="IU506" s="98">
        <f t="shared" si="3482"/>
        <v>0</v>
      </c>
      <c r="IV506" s="98">
        <f t="shared" si="3482"/>
        <v>0</v>
      </c>
      <c r="IW506" s="198">
        <f t="shared" si="2645"/>
        <v>0</v>
      </c>
      <c r="IX506" s="198">
        <f t="shared" si="2646"/>
        <v>0</v>
      </c>
      <c r="IY506" s="98">
        <f t="shared" ref="IY506:JL506" si="3483">SUM(IY35,IY73,IY111,IY149,IY187,IY225,IY263,IY301,IY339,IY377,IY415,IY453)</f>
        <v>0</v>
      </c>
      <c r="IZ506" s="98">
        <f t="shared" si="3483"/>
        <v>0</v>
      </c>
      <c r="JA506" s="98">
        <f t="shared" si="3483"/>
        <v>0</v>
      </c>
      <c r="JB506" s="98">
        <f t="shared" si="3483"/>
        <v>0</v>
      </c>
      <c r="JC506" s="98">
        <f t="shared" si="3483"/>
        <v>0</v>
      </c>
      <c r="JD506" s="98">
        <f t="shared" si="3483"/>
        <v>0</v>
      </c>
      <c r="JE506" s="98">
        <f t="shared" si="3483"/>
        <v>0</v>
      </c>
      <c r="JF506" s="98">
        <f t="shared" si="3483"/>
        <v>0</v>
      </c>
      <c r="JG506" s="98">
        <f t="shared" si="3483"/>
        <v>0</v>
      </c>
      <c r="JH506" s="98">
        <f t="shared" si="3483"/>
        <v>0</v>
      </c>
      <c r="JI506" s="98">
        <f t="shared" si="3483"/>
        <v>0</v>
      </c>
      <c r="JJ506" s="98">
        <f t="shared" si="3483"/>
        <v>0</v>
      </c>
      <c r="JK506" s="98">
        <f t="shared" si="3483"/>
        <v>0</v>
      </c>
      <c r="JL506" s="98">
        <f t="shared" si="3483"/>
        <v>0</v>
      </c>
      <c r="JM506" s="198">
        <f t="shared" si="2648"/>
        <v>0</v>
      </c>
      <c r="JN506" s="198">
        <f t="shared" si="2649"/>
        <v>0</v>
      </c>
      <c r="JO506" s="98">
        <f t="shared" ref="JO506:KB506" si="3484">SUM(JO35,JO73,JO111,JO149,JO187,JO225,JO263,JO301,JO339,JO377,JO415,JO453)</f>
        <v>0</v>
      </c>
      <c r="JP506" s="98">
        <f t="shared" si="3484"/>
        <v>0</v>
      </c>
      <c r="JQ506" s="98">
        <f t="shared" si="3484"/>
        <v>0</v>
      </c>
      <c r="JR506" s="98">
        <f t="shared" si="3484"/>
        <v>0</v>
      </c>
      <c r="JS506" s="98">
        <f t="shared" si="3484"/>
        <v>0</v>
      </c>
      <c r="JT506" s="98">
        <f t="shared" si="3484"/>
        <v>0</v>
      </c>
      <c r="JU506" s="98">
        <f t="shared" si="3484"/>
        <v>0</v>
      </c>
      <c r="JV506" s="98">
        <f t="shared" si="3484"/>
        <v>0</v>
      </c>
      <c r="JW506" s="98">
        <f t="shared" si="3484"/>
        <v>0</v>
      </c>
      <c r="JX506" s="98">
        <f t="shared" si="3484"/>
        <v>0</v>
      </c>
      <c r="JY506" s="98">
        <f t="shared" si="3484"/>
        <v>0</v>
      </c>
      <c r="JZ506" s="98">
        <f t="shared" si="3484"/>
        <v>0</v>
      </c>
      <c r="KA506" s="98">
        <f t="shared" si="3484"/>
        <v>0</v>
      </c>
      <c r="KB506" s="98">
        <f t="shared" si="3484"/>
        <v>0</v>
      </c>
      <c r="KC506" s="198">
        <f t="shared" si="2651"/>
        <v>0</v>
      </c>
      <c r="KD506" s="198">
        <f t="shared" si="2652"/>
        <v>0</v>
      </c>
      <c r="KE506" s="98">
        <f t="shared" ref="KE506:KR506" si="3485">SUM(KE35,KE73,KE111,KE149,KE187,KE225,KE263,KE301,KE339,KE377,KE415,KE453)</f>
        <v>0</v>
      </c>
      <c r="KF506" s="98">
        <f t="shared" si="3485"/>
        <v>0</v>
      </c>
      <c r="KG506" s="98">
        <f t="shared" si="3485"/>
        <v>0</v>
      </c>
      <c r="KH506" s="98">
        <f t="shared" si="3485"/>
        <v>0</v>
      </c>
      <c r="KI506" s="98">
        <f t="shared" si="3485"/>
        <v>0</v>
      </c>
      <c r="KJ506" s="98">
        <f t="shared" si="3485"/>
        <v>0</v>
      </c>
      <c r="KK506" s="98">
        <f t="shared" si="3485"/>
        <v>0</v>
      </c>
      <c r="KL506" s="98">
        <f t="shared" si="3485"/>
        <v>0</v>
      </c>
      <c r="KM506" s="98">
        <f t="shared" si="3485"/>
        <v>0</v>
      </c>
      <c r="KN506" s="98">
        <f t="shared" si="3485"/>
        <v>0</v>
      </c>
      <c r="KO506" s="98">
        <f t="shared" si="3485"/>
        <v>0</v>
      </c>
      <c r="KP506" s="98">
        <f t="shared" si="3485"/>
        <v>0</v>
      </c>
      <c r="KQ506" s="98">
        <f t="shared" si="3485"/>
        <v>0</v>
      </c>
      <c r="KR506" s="98">
        <f t="shared" si="3485"/>
        <v>0</v>
      </c>
      <c r="KS506" s="198">
        <f t="shared" si="2654"/>
        <v>0</v>
      </c>
      <c r="KT506" s="198">
        <f t="shared" si="2655"/>
        <v>0</v>
      </c>
      <c r="KU506" s="98">
        <f t="shared" ref="KU506:LH506" si="3486">SUM(KU35,KU73,KU111,KU149,KU187,KU225,KU263,KU301,KU339,KU377,KU415,KU453)</f>
        <v>0</v>
      </c>
      <c r="KV506" s="98">
        <f t="shared" si="3486"/>
        <v>0</v>
      </c>
      <c r="KW506" s="98">
        <f t="shared" si="3486"/>
        <v>0</v>
      </c>
      <c r="KX506" s="98">
        <f t="shared" si="3486"/>
        <v>0</v>
      </c>
      <c r="KY506" s="98">
        <f t="shared" si="3486"/>
        <v>0</v>
      </c>
      <c r="KZ506" s="98">
        <f t="shared" si="3486"/>
        <v>0</v>
      </c>
      <c r="LA506" s="98">
        <f t="shared" si="3486"/>
        <v>0</v>
      </c>
      <c r="LB506" s="98">
        <f t="shared" si="3486"/>
        <v>0</v>
      </c>
      <c r="LC506" s="98">
        <f t="shared" si="3486"/>
        <v>0</v>
      </c>
      <c r="LD506" s="98">
        <f t="shared" si="3486"/>
        <v>0</v>
      </c>
      <c r="LE506" s="98">
        <f t="shared" si="3486"/>
        <v>0</v>
      </c>
      <c r="LF506" s="98">
        <f t="shared" si="3486"/>
        <v>0</v>
      </c>
      <c r="LG506" s="98">
        <f t="shared" si="3486"/>
        <v>0</v>
      </c>
      <c r="LH506" s="98">
        <f t="shared" si="3486"/>
        <v>0</v>
      </c>
      <c r="LI506" s="198">
        <f t="shared" si="2657"/>
        <v>0</v>
      </c>
      <c r="LJ506" s="198">
        <f t="shared" si="2658"/>
        <v>0</v>
      </c>
      <c r="LK506" s="98">
        <f t="shared" ref="LK506:LX506" si="3487">SUM(LK35,LK73,LK111,LK149,LK187,LK225,LK263,LK301,LK339,LK377,LK415,LK453)</f>
        <v>0</v>
      </c>
      <c r="LL506" s="98">
        <f t="shared" si="3487"/>
        <v>0</v>
      </c>
      <c r="LM506" s="98">
        <f t="shared" si="3487"/>
        <v>0</v>
      </c>
      <c r="LN506" s="98">
        <f t="shared" si="3487"/>
        <v>0</v>
      </c>
      <c r="LO506" s="98">
        <f t="shared" si="3487"/>
        <v>0</v>
      </c>
      <c r="LP506" s="98">
        <f t="shared" si="3487"/>
        <v>0</v>
      </c>
      <c r="LQ506" s="98">
        <f t="shared" si="3487"/>
        <v>0</v>
      </c>
      <c r="LR506" s="98">
        <f t="shared" si="3487"/>
        <v>0</v>
      </c>
      <c r="LS506" s="98">
        <f t="shared" si="3487"/>
        <v>0</v>
      </c>
      <c r="LT506" s="98">
        <f t="shared" si="3487"/>
        <v>0</v>
      </c>
      <c r="LU506" s="98">
        <f t="shared" si="3487"/>
        <v>0</v>
      </c>
      <c r="LV506" s="98">
        <f t="shared" si="3487"/>
        <v>0</v>
      </c>
      <c r="LW506" s="98">
        <f t="shared" si="3487"/>
        <v>0</v>
      </c>
      <c r="LX506" s="98">
        <f t="shared" si="3487"/>
        <v>0</v>
      </c>
      <c r="LY506" s="198">
        <f t="shared" si="2660"/>
        <v>0</v>
      </c>
      <c r="LZ506" s="198">
        <f t="shared" si="2661"/>
        <v>0</v>
      </c>
      <c r="MA506" s="98">
        <f t="shared" ref="MA506:MN506" si="3488">SUM(MA35,MA73,MA111,MA149,MA187,MA225,MA263,MA301,MA339,MA377,MA415,MA453)</f>
        <v>0</v>
      </c>
      <c r="MB506" s="98">
        <f t="shared" si="3488"/>
        <v>0</v>
      </c>
      <c r="MC506" s="98">
        <f t="shared" si="3488"/>
        <v>0</v>
      </c>
      <c r="MD506" s="98">
        <f t="shared" si="3488"/>
        <v>0</v>
      </c>
      <c r="ME506" s="98">
        <f t="shared" si="3488"/>
        <v>0</v>
      </c>
      <c r="MF506" s="98">
        <f t="shared" si="3488"/>
        <v>0</v>
      </c>
      <c r="MG506" s="98">
        <f t="shared" si="3488"/>
        <v>0</v>
      </c>
      <c r="MH506" s="98">
        <f t="shared" si="3488"/>
        <v>0</v>
      </c>
      <c r="MI506" s="98">
        <f t="shared" si="3488"/>
        <v>0</v>
      </c>
      <c r="MJ506" s="98">
        <f t="shared" si="3488"/>
        <v>0</v>
      </c>
      <c r="MK506" s="98">
        <f t="shared" si="3488"/>
        <v>0</v>
      </c>
      <c r="ML506" s="98">
        <f t="shared" si="3488"/>
        <v>0</v>
      </c>
      <c r="MM506" s="98">
        <f t="shared" si="3488"/>
        <v>0</v>
      </c>
      <c r="MN506" s="98">
        <f t="shared" si="3488"/>
        <v>0</v>
      </c>
      <c r="MO506" s="198">
        <f t="shared" si="2663"/>
        <v>0</v>
      </c>
      <c r="MP506" s="198">
        <f t="shared" si="2664"/>
        <v>0</v>
      </c>
      <c r="MQ506" s="98">
        <f t="shared" ref="MQ506:ND506" si="3489">SUM(MQ35,MQ73,MQ111,MQ149,MQ187,MQ225,MQ263,MQ301,MQ339,MQ377,MQ415,MQ453)</f>
        <v>0</v>
      </c>
      <c r="MR506" s="98">
        <f t="shared" si="3489"/>
        <v>0</v>
      </c>
      <c r="MS506" s="98">
        <f t="shared" si="3489"/>
        <v>0</v>
      </c>
      <c r="MT506" s="98">
        <f t="shared" si="3489"/>
        <v>0</v>
      </c>
      <c r="MU506" s="98">
        <f t="shared" si="3489"/>
        <v>0</v>
      </c>
      <c r="MV506" s="98">
        <f t="shared" si="3489"/>
        <v>0</v>
      </c>
      <c r="MW506" s="98">
        <f t="shared" si="3489"/>
        <v>0</v>
      </c>
      <c r="MX506" s="98">
        <f t="shared" si="3489"/>
        <v>0</v>
      </c>
      <c r="MY506" s="98">
        <f t="shared" si="3489"/>
        <v>0</v>
      </c>
      <c r="MZ506" s="98">
        <f t="shared" si="3489"/>
        <v>0</v>
      </c>
      <c r="NA506" s="98">
        <f t="shared" si="3489"/>
        <v>0</v>
      </c>
      <c r="NB506" s="98">
        <f t="shared" si="3489"/>
        <v>0</v>
      </c>
      <c r="NC506" s="98">
        <f t="shared" si="3489"/>
        <v>0</v>
      </c>
      <c r="ND506" s="98">
        <f t="shared" si="3489"/>
        <v>0</v>
      </c>
      <c r="NE506" s="198">
        <f t="shared" si="2666"/>
        <v>0</v>
      </c>
      <c r="NF506" s="198">
        <f t="shared" si="2667"/>
        <v>0</v>
      </c>
      <c r="NG506" s="98">
        <f t="shared" ref="NG506:NT506" si="3490">SUM(NG35,NG73,NG111,NG149,NG187,NG225,NG263,NG301,NG339,NG377,NG415,NG453)</f>
        <v>0</v>
      </c>
      <c r="NH506" s="98">
        <f t="shared" si="3490"/>
        <v>0</v>
      </c>
      <c r="NI506" s="98">
        <f t="shared" si="3490"/>
        <v>0</v>
      </c>
      <c r="NJ506" s="98">
        <f t="shared" si="3490"/>
        <v>0</v>
      </c>
      <c r="NK506" s="98">
        <f t="shared" si="3490"/>
        <v>0</v>
      </c>
      <c r="NL506" s="98">
        <f t="shared" si="3490"/>
        <v>0</v>
      </c>
      <c r="NM506" s="98">
        <f t="shared" si="3490"/>
        <v>0</v>
      </c>
      <c r="NN506" s="98">
        <f t="shared" si="3490"/>
        <v>0</v>
      </c>
      <c r="NO506" s="98">
        <f t="shared" si="3490"/>
        <v>0</v>
      </c>
      <c r="NP506" s="98">
        <f t="shared" si="3490"/>
        <v>0</v>
      </c>
      <c r="NQ506" s="98">
        <f t="shared" si="3490"/>
        <v>1952</v>
      </c>
      <c r="NR506" s="98">
        <f t="shared" si="3490"/>
        <v>31232</v>
      </c>
      <c r="NS506" s="98">
        <f t="shared" si="3490"/>
        <v>0</v>
      </c>
      <c r="NT506" s="98">
        <f t="shared" si="3490"/>
        <v>0</v>
      </c>
      <c r="NU506" s="198">
        <f t="shared" si="2669"/>
        <v>1952</v>
      </c>
      <c r="NV506" s="198">
        <f t="shared" si="2670"/>
        <v>31232</v>
      </c>
      <c r="NW506" s="98">
        <f t="shared" ref="NW506:OJ506" si="3491">SUM(NW35,NW73,NW111,NW149,NW187,NW225,NW263,NW301,NW339,NW377,NW415,NW453)</f>
        <v>0</v>
      </c>
      <c r="NX506" s="98">
        <f t="shared" si="3491"/>
        <v>0</v>
      </c>
      <c r="NY506" s="98">
        <f t="shared" si="3491"/>
        <v>0</v>
      </c>
      <c r="NZ506" s="98">
        <f t="shared" si="3491"/>
        <v>0</v>
      </c>
      <c r="OA506" s="98">
        <f t="shared" si="3491"/>
        <v>0</v>
      </c>
      <c r="OB506" s="98">
        <f t="shared" si="3491"/>
        <v>0</v>
      </c>
      <c r="OC506" s="98">
        <f t="shared" si="3491"/>
        <v>0</v>
      </c>
      <c r="OD506" s="98">
        <f t="shared" si="3491"/>
        <v>0</v>
      </c>
      <c r="OE506" s="98">
        <f t="shared" si="3491"/>
        <v>0</v>
      </c>
      <c r="OF506" s="98">
        <f t="shared" si="3491"/>
        <v>0</v>
      </c>
      <c r="OG506" s="98">
        <f t="shared" si="3491"/>
        <v>0</v>
      </c>
      <c r="OH506" s="98">
        <f t="shared" si="3491"/>
        <v>0</v>
      </c>
      <c r="OI506" s="98">
        <f t="shared" si="3491"/>
        <v>0</v>
      </c>
      <c r="OJ506" s="98">
        <f t="shared" si="3491"/>
        <v>0</v>
      </c>
      <c r="OK506" s="198">
        <f t="shared" si="2672"/>
        <v>0</v>
      </c>
      <c r="OL506" s="198">
        <f t="shared" si="2673"/>
        <v>0</v>
      </c>
      <c r="OM506" s="98">
        <f t="shared" ref="OM506:OZ506" si="3492">SUM(OM35,OM73,OM111,OM149,OM187,OM225,OM263,OM301,OM339,OM377,OM415,OM453)</f>
        <v>0</v>
      </c>
      <c r="ON506" s="98">
        <f t="shared" si="3492"/>
        <v>0</v>
      </c>
      <c r="OO506" s="98">
        <f t="shared" si="3492"/>
        <v>0</v>
      </c>
      <c r="OP506" s="98">
        <f t="shared" si="3492"/>
        <v>0</v>
      </c>
      <c r="OQ506" s="98">
        <f t="shared" si="3492"/>
        <v>0</v>
      </c>
      <c r="OR506" s="98">
        <f t="shared" si="3492"/>
        <v>0</v>
      </c>
      <c r="OS506" s="98">
        <f t="shared" si="3492"/>
        <v>0</v>
      </c>
      <c r="OT506" s="98">
        <f t="shared" si="3492"/>
        <v>0</v>
      </c>
      <c r="OU506" s="98">
        <f t="shared" si="3492"/>
        <v>0</v>
      </c>
      <c r="OV506" s="98">
        <f t="shared" si="3492"/>
        <v>0</v>
      </c>
      <c r="OW506" s="98">
        <f t="shared" si="3492"/>
        <v>0</v>
      </c>
      <c r="OX506" s="98">
        <f t="shared" si="3492"/>
        <v>0</v>
      </c>
      <c r="OY506" s="98">
        <f t="shared" si="3492"/>
        <v>0</v>
      </c>
      <c r="OZ506" s="98">
        <f t="shared" si="3492"/>
        <v>0</v>
      </c>
      <c r="PA506" s="198">
        <f t="shared" si="2675"/>
        <v>0</v>
      </c>
      <c r="PB506" s="198">
        <f t="shared" si="2676"/>
        <v>0</v>
      </c>
      <c r="PC506" s="98">
        <f t="shared" ref="PC506:PP506" si="3493">SUM(PC35,PC73,PC111,PC149,PC187,PC225,PC263,PC301,PC339,PC377,PC415,PC453)</f>
        <v>0</v>
      </c>
      <c r="PD506" s="98">
        <f t="shared" si="3493"/>
        <v>0</v>
      </c>
      <c r="PE506" s="98">
        <f t="shared" si="3493"/>
        <v>0</v>
      </c>
      <c r="PF506" s="98">
        <f t="shared" si="3493"/>
        <v>0</v>
      </c>
      <c r="PG506" s="98">
        <f t="shared" si="3493"/>
        <v>0</v>
      </c>
      <c r="PH506" s="98">
        <f t="shared" si="3493"/>
        <v>0</v>
      </c>
      <c r="PI506" s="98">
        <f t="shared" si="3493"/>
        <v>0</v>
      </c>
      <c r="PJ506" s="98">
        <f t="shared" si="3493"/>
        <v>0</v>
      </c>
      <c r="PK506" s="98">
        <f t="shared" si="3493"/>
        <v>0</v>
      </c>
      <c r="PL506" s="98">
        <f t="shared" si="3493"/>
        <v>0</v>
      </c>
      <c r="PM506" s="98">
        <f t="shared" si="3493"/>
        <v>0</v>
      </c>
      <c r="PN506" s="98">
        <f t="shared" si="3493"/>
        <v>0</v>
      </c>
      <c r="PO506" s="98">
        <f t="shared" si="3493"/>
        <v>0</v>
      </c>
      <c r="PP506" s="98">
        <f t="shared" si="3493"/>
        <v>0</v>
      </c>
      <c r="PQ506" s="198">
        <f t="shared" si="2678"/>
        <v>0</v>
      </c>
      <c r="PR506" s="198">
        <f t="shared" si="2679"/>
        <v>0</v>
      </c>
      <c r="PS506" s="98">
        <f t="shared" ref="PS506:QF506" si="3494">SUM(PS35,PS73,PS111,PS149,PS187,PS225,PS263,PS301,PS339,PS377,PS415,PS453)</f>
        <v>0</v>
      </c>
      <c r="PT506" s="98">
        <f t="shared" si="3494"/>
        <v>0</v>
      </c>
      <c r="PU506" s="98">
        <f t="shared" si="3494"/>
        <v>0</v>
      </c>
      <c r="PV506" s="98">
        <f t="shared" si="3494"/>
        <v>0</v>
      </c>
      <c r="PW506" s="98">
        <f t="shared" si="3494"/>
        <v>0</v>
      </c>
      <c r="PX506" s="98">
        <f t="shared" si="3494"/>
        <v>0</v>
      </c>
      <c r="PY506" s="98">
        <f t="shared" si="3494"/>
        <v>902940</v>
      </c>
      <c r="PZ506" s="98">
        <f t="shared" si="3494"/>
        <v>12876385</v>
      </c>
      <c r="QA506" s="98">
        <f t="shared" si="3494"/>
        <v>1534880</v>
      </c>
      <c r="QB506" s="98">
        <f t="shared" si="3494"/>
        <v>22176870</v>
      </c>
      <c r="QC506" s="98">
        <f t="shared" si="3494"/>
        <v>0</v>
      </c>
      <c r="QD506" s="98">
        <f t="shared" si="3494"/>
        <v>0</v>
      </c>
      <c r="QE506" s="98">
        <f t="shared" si="3494"/>
        <v>0</v>
      </c>
      <c r="QF506" s="98">
        <f t="shared" si="3494"/>
        <v>0</v>
      </c>
      <c r="QG506" s="198">
        <f t="shared" si="2681"/>
        <v>2437820</v>
      </c>
      <c r="QH506" s="198">
        <f t="shared" si="2682"/>
        <v>35053255</v>
      </c>
      <c r="QI506" s="98">
        <f t="shared" ref="QI506:QV506" si="3495">SUM(QI35,QI73,QI111,QI149,QI187,QI225,QI263,QI301,QI339,QI377,QI415,QI453)</f>
        <v>0</v>
      </c>
      <c r="QJ506" s="98">
        <f t="shared" si="3495"/>
        <v>0</v>
      </c>
      <c r="QK506" s="98">
        <f t="shared" si="3495"/>
        <v>0</v>
      </c>
      <c r="QL506" s="98">
        <f t="shared" si="3495"/>
        <v>0</v>
      </c>
      <c r="QM506" s="98">
        <f t="shared" si="3495"/>
        <v>0</v>
      </c>
      <c r="QN506" s="98">
        <f t="shared" si="3495"/>
        <v>0</v>
      </c>
      <c r="QO506" s="98">
        <f t="shared" si="3495"/>
        <v>0</v>
      </c>
      <c r="QP506" s="98">
        <f t="shared" si="3495"/>
        <v>0</v>
      </c>
      <c r="QQ506" s="98">
        <f t="shared" si="3495"/>
        <v>0</v>
      </c>
      <c r="QR506" s="98">
        <f t="shared" si="3495"/>
        <v>0</v>
      </c>
      <c r="QS506" s="98">
        <f t="shared" si="3495"/>
        <v>0</v>
      </c>
      <c r="QT506" s="98">
        <f t="shared" si="3495"/>
        <v>0</v>
      </c>
      <c r="QU506" s="98">
        <f t="shared" si="3495"/>
        <v>0</v>
      </c>
      <c r="QV506" s="98">
        <f t="shared" si="3495"/>
        <v>0</v>
      </c>
      <c r="QW506" s="198">
        <f t="shared" si="2684"/>
        <v>0</v>
      </c>
      <c r="QX506" s="198">
        <f t="shared" si="2685"/>
        <v>0</v>
      </c>
      <c r="QY506" s="98">
        <f t="shared" ref="QY506:RL506" si="3496">SUM(QY35,QY73,QY111,QY149,QY187,QY225,QY263,QY301,QY339,QY377,QY415,QY453)</f>
        <v>0</v>
      </c>
      <c r="QZ506" s="98">
        <f t="shared" si="3496"/>
        <v>0</v>
      </c>
      <c r="RA506" s="98">
        <f t="shared" si="3496"/>
        <v>0</v>
      </c>
      <c r="RB506" s="98">
        <f t="shared" si="3496"/>
        <v>0</v>
      </c>
      <c r="RC506" s="98">
        <f t="shared" si="3496"/>
        <v>0</v>
      </c>
      <c r="RD506" s="98">
        <f t="shared" si="3496"/>
        <v>0</v>
      </c>
      <c r="RE506" s="98">
        <f t="shared" si="3496"/>
        <v>0</v>
      </c>
      <c r="RF506" s="98">
        <f t="shared" si="3496"/>
        <v>0</v>
      </c>
      <c r="RG506" s="98">
        <f t="shared" si="3496"/>
        <v>0</v>
      </c>
      <c r="RH506" s="98">
        <f t="shared" si="3496"/>
        <v>0</v>
      </c>
      <c r="RI506" s="98">
        <f t="shared" si="3496"/>
        <v>0</v>
      </c>
      <c r="RJ506" s="98">
        <f t="shared" si="3496"/>
        <v>0</v>
      </c>
      <c r="RK506" s="98">
        <f t="shared" si="3496"/>
        <v>0</v>
      </c>
      <c r="RL506" s="98">
        <f t="shared" si="3496"/>
        <v>0</v>
      </c>
      <c r="RM506" s="198">
        <f t="shared" si="2687"/>
        <v>0</v>
      </c>
      <c r="RN506" s="198">
        <f t="shared" si="2688"/>
        <v>0</v>
      </c>
      <c r="RO506" s="98">
        <f t="shared" ref="RO506:SB506" si="3497">SUM(RO35,RO73,RO111,RO149,RO187,RO225,RO263,RO301,RO339,RO377,RO415,RO453)</f>
        <v>0</v>
      </c>
      <c r="RP506" s="98">
        <f t="shared" si="3497"/>
        <v>0</v>
      </c>
      <c r="RQ506" s="98">
        <f t="shared" si="3497"/>
        <v>0</v>
      </c>
      <c r="RR506" s="98">
        <f t="shared" si="3497"/>
        <v>0</v>
      </c>
      <c r="RS506" s="98">
        <f t="shared" si="3497"/>
        <v>0</v>
      </c>
      <c r="RT506" s="98">
        <f t="shared" si="3497"/>
        <v>0</v>
      </c>
      <c r="RU506" s="98">
        <f t="shared" si="3497"/>
        <v>0</v>
      </c>
      <c r="RV506" s="98">
        <f t="shared" si="3497"/>
        <v>0</v>
      </c>
      <c r="RW506" s="98">
        <f t="shared" si="3497"/>
        <v>0</v>
      </c>
      <c r="RX506" s="98">
        <f t="shared" si="3497"/>
        <v>0</v>
      </c>
      <c r="RY506" s="98">
        <f t="shared" si="3497"/>
        <v>0</v>
      </c>
      <c r="RZ506" s="98">
        <f t="shared" si="3497"/>
        <v>0</v>
      </c>
      <c r="SA506" s="98">
        <f t="shared" si="3497"/>
        <v>0</v>
      </c>
      <c r="SB506" s="98">
        <f t="shared" si="3497"/>
        <v>0</v>
      </c>
      <c r="SC506" s="198">
        <f t="shared" si="2690"/>
        <v>0</v>
      </c>
      <c r="SD506" s="198">
        <f t="shared" si="2691"/>
        <v>0</v>
      </c>
      <c r="SE506" s="98">
        <f t="shared" ref="SE506:SR506" si="3498">SUM(SE35,SE73,SE111,SE149,SE187,SE225,SE263,SE301,SE339,SE377,SE415,SE453)</f>
        <v>0</v>
      </c>
      <c r="SF506" s="98">
        <f t="shared" si="3498"/>
        <v>0</v>
      </c>
      <c r="SG506" s="98">
        <f t="shared" si="3498"/>
        <v>0</v>
      </c>
      <c r="SH506" s="98">
        <f t="shared" si="3498"/>
        <v>0</v>
      </c>
      <c r="SI506" s="98">
        <f t="shared" si="3498"/>
        <v>0</v>
      </c>
      <c r="SJ506" s="98">
        <f t="shared" si="3498"/>
        <v>0</v>
      </c>
      <c r="SK506" s="98">
        <f t="shared" si="3498"/>
        <v>0</v>
      </c>
      <c r="SL506" s="98">
        <f t="shared" si="3498"/>
        <v>0</v>
      </c>
      <c r="SM506" s="98">
        <f t="shared" si="3498"/>
        <v>0</v>
      </c>
      <c r="SN506" s="98">
        <f t="shared" si="3498"/>
        <v>0</v>
      </c>
      <c r="SO506" s="98">
        <f t="shared" si="3498"/>
        <v>0</v>
      </c>
      <c r="SP506" s="98">
        <f t="shared" si="3498"/>
        <v>0</v>
      </c>
      <c r="SQ506" s="98">
        <f t="shared" si="3498"/>
        <v>0</v>
      </c>
      <c r="SR506" s="98">
        <f t="shared" si="3498"/>
        <v>0</v>
      </c>
      <c r="SS506" s="198">
        <f t="shared" si="2693"/>
        <v>0</v>
      </c>
      <c r="ST506" s="198">
        <f t="shared" si="2694"/>
        <v>0</v>
      </c>
      <c r="SU506" s="98">
        <f t="shared" ref="SU506:TH506" si="3499">SUM(SU35,SU73,SU111,SU149,SU187,SU225,SU263,SU301,SU339,SU377,SU415,SU453)</f>
        <v>0</v>
      </c>
      <c r="SV506" s="98">
        <f t="shared" si="3499"/>
        <v>0</v>
      </c>
      <c r="SW506" s="98">
        <f t="shared" si="3499"/>
        <v>0</v>
      </c>
      <c r="SX506" s="98">
        <f t="shared" si="3499"/>
        <v>0</v>
      </c>
      <c r="SY506" s="98">
        <f t="shared" si="3499"/>
        <v>0</v>
      </c>
      <c r="SZ506" s="98">
        <f t="shared" si="3499"/>
        <v>0</v>
      </c>
      <c r="TA506" s="98">
        <f t="shared" si="3499"/>
        <v>0</v>
      </c>
      <c r="TB506" s="98">
        <f t="shared" si="3499"/>
        <v>0</v>
      </c>
      <c r="TC506" s="98">
        <f t="shared" si="3499"/>
        <v>0</v>
      </c>
      <c r="TD506" s="98">
        <f t="shared" si="3499"/>
        <v>0</v>
      </c>
      <c r="TE506" s="98">
        <f t="shared" si="3499"/>
        <v>0</v>
      </c>
      <c r="TF506" s="98">
        <f t="shared" si="3499"/>
        <v>0</v>
      </c>
      <c r="TG506" s="98">
        <f t="shared" si="3499"/>
        <v>0</v>
      </c>
      <c r="TH506" s="98">
        <f t="shared" si="3499"/>
        <v>0</v>
      </c>
      <c r="TI506" s="198">
        <f t="shared" si="2696"/>
        <v>0</v>
      </c>
      <c r="TJ506" s="198">
        <f t="shared" si="2697"/>
        <v>0</v>
      </c>
      <c r="TK506" s="98">
        <f t="shared" ref="TK506:TX506" si="3500">SUM(TK35,TK73,TK111,TK149,TK187,TK225,TK263,TK301,TK339,TK377,TK415,TK453)</f>
        <v>0</v>
      </c>
      <c r="TL506" s="98">
        <f t="shared" si="3500"/>
        <v>0</v>
      </c>
      <c r="TM506" s="98">
        <f t="shared" si="3500"/>
        <v>0</v>
      </c>
      <c r="TN506" s="98">
        <f t="shared" si="3500"/>
        <v>0</v>
      </c>
      <c r="TO506" s="98">
        <f t="shared" si="3500"/>
        <v>0</v>
      </c>
      <c r="TP506" s="98">
        <f t="shared" si="3500"/>
        <v>0</v>
      </c>
      <c r="TQ506" s="98">
        <f t="shared" si="3500"/>
        <v>0</v>
      </c>
      <c r="TR506" s="98">
        <f t="shared" si="3500"/>
        <v>0</v>
      </c>
      <c r="TS506" s="98">
        <f t="shared" si="3500"/>
        <v>0</v>
      </c>
      <c r="TT506" s="98">
        <f t="shared" si="3500"/>
        <v>0</v>
      </c>
      <c r="TU506" s="98">
        <f t="shared" si="3500"/>
        <v>0</v>
      </c>
      <c r="TV506" s="98">
        <f t="shared" si="3500"/>
        <v>0</v>
      </c>
      <c r="TW506" s="98">
        <f t="shared" si="3500"/>
        <v>0</v>
      </c>
      <c r="TX506" s="98">
        <f t="shared" si="3500"/>
        <v>0</v>
      </c>
      <c r="TY506" s="198">
        <f t="shared" si="2699"/>
        <v>0</v>
      </c>
      <c r="TZ506" s="198">
        <f t="shared" si="2700"/>
        <v>0</v>
      </c>
      <c r="UA506" s="98">
        <f t="shared" ref="UA506:UN506" si="3501">SUM(UA35,UA73,UA111,UA149,UA187,UA225,UA263,UA301,UA339,UA377,UA415,UA453)</f>
        <v>0</v>
      </c>
      <c r="UB506" s="98">
        <f t="shared" si="3501"/>
        <v>0</v>
      </c>
      <c r="UC506" s="98">
        <f t="shared" si="3501"/>
        <v>0</v>
      </c>
      <c r="UD506" s="98">
        <f t="shared" si="3501"/>
        <v>0</v>
      </c>
      <c r="UE506" s="98">
        <f t="shared" si="3501"/>
        <v>0</v>
      </c>
      <c r="UF506" s="98">
        <f t="shared" si="3501"/>
        <v>0</v>
      </c>
      <c r="UG506" s="98">
        <f t="shared" si="3501"/>
        <v>0</v>
      </c>
      <c r="UH506" s="98">
        <f t="shared" si="3501"/>
        <v>0</v>
      </c>
      <c r="UI506" s="98">
        <f t="shared" si="3501"/>
        <v>0</v>
      </c>
      <c r="UJ506" s="98">
        <f t="shared" si="3501"/>
        <v>0</v>
      </c>
      <c r="UK506" s="98">
        <f t="shared" si="3501"/>
        <v>0</v>
      </c>
      <c r="UL506" s="98">
        <f t="shared" si="3501"/>
        <v>0</v>
      </c>
      <c r="UM506" s="98">
        <f t="shared" si="3501"/>
        <v>0</v>
      </c>
      <c r="UN506" s="98">
        <f t="shared" si="3501"/>
        <v>0</v>
      </c>
      <c r="UO506" s="198">
        <f t="shared" si="2702"/>
        <v>0</v>
      </c>
      <c r="UP506" s="198">
        <f t="shared" si="2703"/>
        <v>0</v>
      </c>
      <c r="UQ506" s="98">
        <f t="shared" ref="UQ506:VD506" si="3502">SUM(UQ35,UQ73,UQ111,UQ149,UQ187,UQ225,UQ263,UQ301,UQ339,UQ377,UQ415,UQ453)</f>
        <v>0</v>
      </c>
      <c r="UR506" s="98">
        <f t="shared" si="3502"/>
        <v>0</v>
      </c>
      <c r="US506" s="98">
        <f t="shared" si="3502"/>
        <v>0</v>
      </c>
      <c r="UT506" s="98">
        <f t="shared" si="3502"/>
        <v>0</v>
      </c>
      <c r="UU506" s="98">
        <f t="shared" si="3502"/>
        <v>0</v>
      </c>
      <c r="UV506" s="98">
        <f t="shared" si="3502"/>
        <v>0</v>
      </c>
      <c r="UW506" s="98">
        <f t="shared" si="3502"/>
        <v>0</v>
      </c>
      <c r="UX506" s="98">
        <f t="shared" si="3502"/>
        <v>0</v>
      </c>
      <c r="UY506" s="98">
        <f t="shared" si="3502"/>
        <v>0</v>
      </c>
      <c r="UZ506" s="98">
        <f t="shared" si="3502"/>
        <v>0</v>
      </c>
      <c r="VA506" s="98">
        <f t="shared" si="3502"/>
        <v>0</v>
      </c>
      <c r="VB506" s="98">
        <f t="shared" si="3502"/>
        <v>0</v>
      </c>
      <c r="VC506" s="98">
        <f t="shared" si="3502"/>
        <v>0</v>
      </c>
      <c r="VD506" s="98">
        <f t="shared" si="3502"/>
        <v>0</v>
      </c>
      <c r="VE506" s="198">
        <f t="shared" si="2705"/>
        <v>0</v>
      </c>
      <c r="VF506" s="198">
        <f t="shared" si="2706"/>
        <v>0</v>
      </c>
      <c r="VG506" s="98">
        <f t="shared" ref="VG506:VT506" si="3503">SUM(VG35,VG73,VG111,VG149,VG187,VG225,VG263,VG301,VG339,VG377,VG415,VG453)</f>
        <v>0</v>
      </c>
      <c r="VH506" s="98">
        <f t="shared" si="3503"/>
        <v>0</v>
      </c>
      <c r="VI506" s="98">
        <f t="shared" si="3503"/>
        <v>0</v>
      </c>
      <c r="VJ506" s="98">
        <f t="shared" si="3503"/>
        <v>0</v>
      </c>
      <c r="VK506" s="98">
        <f t="shared" si="3503"/>
        <v>0</v>
      </c>
      <c r="VL506" s="98">
        <f t="shared" si="3503"/>
        <v>0</v>
      </c>
      <c r="VM506" s="98">
        <f t="shared" si="3503"/>
        <v>0</v>
      </c>
      <c r="VN506" s="98">
        <f t="shared" si="3503"/>
        <v>0</v>
      </c>
      <c r="VO506" s="98">
        <f t="shared" si="3503"/>
        <v>0</v>
      </c>
      <c r="VP506" s="98">
        <f t="shared" si="3503"/>
        <v>0</v>
      </c>
      <c r="VQ506" s="98">
        <f t="shared" si="3503"/>
        <v>0</v>
      </c>
      <c r="VR506" s="98">
        <f t="shared" si="3503"/>
        <v>0</v>
      </c>
      <c r="VS506" s="98">
        <f t="shared" si="3503"/>
        <v>0</v>
      </c>
      <c r="VT506" s="98">
        <f t="shared" si="3503"/>
        <v>0</v>
      </c>
      <c r="VU506" s="198">
        <f t="shared" si="2708"/>
        <v>0</v>
      </c>
      <c r="VV506" s="198">
        <f t="shared" si="2709"/>
        <v>0</v>
      </c>
      <c r="VW506" s="98">
        <f t="shared" ref="VW506:WJ506" si="3504">SUM(VW35,VW73,VW111,VW149,VW187,VW225,VW263,VW301,VW339,VW377,VW415,VW453)</f>
        <v>0</v>
      </c>
      <c r="VX506" s="98">
        <f t="shared" si="3504"/>
        <v>0</v>
      </c>
      <c r="VY506" s="98">
        <f t="shared" si="3504"/>
        <v>0</v>
      </c>
      <c r="VZ506" s="98">
        <f t="shared" si="3504"/>
        <v>0</v>
      </c>
      <c r="WA506" s="98">
        <f t="shared" si="3504"/>
        <v>0</v>
      </c>
      <c r="WB506" s="98">
        <f t="shared" si="3504"/>
        <v>0</v>
      </c>
      <c r="WC506" s="98">
        <f t="shared" si="3504"/>
        <v>0</v>
      </c>
      <c r="WD506" s="98">
        <f t="shared" si="3504"/>
        <v>0</v>
      </c>
      <c r="WE506" s="98">
        <f t="shared" si="3504"/>
        <v>0</v>
      </c>
      <c r="WF506" s="98">
        <f t="shared" si="3504"/>
        <v>0</v>
      </c>
      <c r="WG506" s="98">
        <f t="shared" si="3504"/>
        <v>0</v>
      </c>
      <c r="WH506" s="98">
        <f t="shared" si="3504"/>
        <v>0</v>
      </c>
      <c r="WI506" s="98">
        <f t="shared" si="3504"/>
        <v>0</v>
      </c>
      <c r="WJ506" s="98">
        <f t="shared" si="3504"/>
        <v>0</v>
      </c>
      <c r="WK506" s="198">
        <f t="shared" si="2711"/>
        <v>0</v>
      </c>
      <c r="WL506" s="198">
        <f t="shared" si="2712"/>
        <v>0</v>
      </c>
      <c r="WN506" s="98">
        <f t="shared" si="2713"/>
        <v>0</v>
      </c>
      <c r="WO506" s="98">
        <f t="shared" si="2714"/>
        <v>0</v>
      </c>
      <c r="WP506" s="98">
        <f t="shared" si="2715"/>
        <v>0</v>
      </c>
      <c r="WQ506" s="98">
        <f t="shared" si="2716"/>
        <v>0</v>
      </c>
      <c r="WR506" s="98">
        <f t="shared" si="2717"/>
        <v>0</v>
      </c>
      <c r="WS506" s="98">
        <f t="shared" si="2718"/>
        <v>0</v>
      </c>
      <c r="WT506" s="98">
        <f t="shared" si="2719"/>
        <v>7466061.3146035718</v>
      </c>
      <c r="WU506" s="98">
        <f t="shared" si="2720"/>
        <v>101838359.15618733</v>
      </c>
      <c r="WV506" s="98">
        <f t="shared" si="2721"/>
        <v>1552201</v>
      </c>
      <c r="WW506" s="98">
        <f t="shared" si="2722"/>
        <v>22350080</v>
      </c>
      <c r="WX506" s="98">
        <f t="shared" si="2723"/>
        <v>1952</v>
      </c>
      <c r="WY506" s="98">
        <f t="shared" si="2724"/>
        <v>31232</v>
      </c>
      <c r="WZ506" s="98">
        <f t="shared" si="2725"/>
        <v>13997</v>
      </c>
      <c r="XA506" s="98">
        <f t="shared" si="2726"/>
        <v>139970</v>
      </c>
      <c r="XB506" s="107">
        <f t="shared" si="2727"/>
        <v>9034211.3146035708</v>
      </c>
      <c r="XC506" s="107">
        <f t="shared" si="2728"/>
        <v>124359641.15618733</v>
      </c>
      <c r="XK506" s="98">
        <f t="shared" si="2729"/>
        <v>109304420.47079089</v>
      </c>
      <c r="XL506" s="98">
        <f t="shared" si="2730"/>
        <v>23902281</v>
      </c>
      <c r="XM506" s="98">
        <f t="shared" si="2731"/>
        <v>33184</v>
      </c>
      <c r="XN506" s="98">
        <f t="shared" si="2732"/>
        <v>153967</v>
      </c>
      <c r="XO506" s="98">
        <f t="shared" si="2733"/>
        <v>133393852.47079089</v>
      </c>
      <c r="XP506" s="98">
        <f t="shared" si="2734"/>
        <v>0</v>
      </c>
      <c r="XQ506" s="98">
        <f t="shared" si="2735"/>
        <v>0</v>
      </c>
      <c r="XR506" s="107">
        <f t="shared" ca="1" si="2597"/>
        <v>250176033.25618535</v>
      </c>
      <c r="XT506" s="98">
        <f t="shared" si="2736"/>
        <v>124359641.15618733</v>
      </c>
      <c r="XU506" s="98">
        <f t="shared" si="2737"/>
        <v>0</v>
      </c>
      <c r="XV506" s="98">
        <f t="shared" si="2738"/>
        <v>0</v>
      </c>
      <c r="XW506" s="98">
        <f t="shared" si="2739"/>
        <v>7444576.3146035718</v>
      </c>
      <c r="XX506" s="98">
        <f t="shared" si="2740"/>
        <v>212694980.62697822</v>
      </c>
      <c r="XY506" s="98">
        <f t="shared" si="2741"/>
        <v>22385216</v>
      </c>
      <c r="XZ506" s="98">
        <f t="shared" si="2742"/>
        <v>133439081.47079089</v>
      </c>
      <c r="YA506" s="107">
        <f t="shared" ca="1" si="2598"/>
        <v>470493703.25395644</v>
      </c>
    </row>
    <row r="507" spans="2:651">
      <c r="B507" s="90" t="str">
        <f t="shared" si="2558"/>
        <v>Teri</v>
      </c>
      <c r="C507" s="98">
        <f t="shared" ref="C507:P507" si="3505">SUM(C36,C74,C112,C150,C188,C226,C264,C302,C340,C378,C416,C454)</f>
        <v>0</v>
      </c>
      <c r="D507" s="98">
        <f t="shared" si="3505"/>
        <v>0</v>
      </c>
      <c r="E507" s="98">
        <f t="shared" si="3505"/>
        <v>0</v>
      </c>
      <c r="F507" s="98">
        <f t="shared" si="3505"/>
        <v>0</v>
      </c>
      <c r="G507" s="98">
        <f t="shared" si="3505"/>
        <v>0</v>
      </c>
      <c r="H507" s="98">
        <f t="shared" si="3505"/>
        <v>0</v>
      </c>
      <c r="I507" s="98">
        <f t="shared" si="3505"/>
        <v>0</v>
      </c>
      <c r="J507" s="98">
        <f t="shared" si="3505"/>
        <v>0</v>
      </c>
      <c r="K507" s="98">
        <f t="shared" si="3505"/>
        <v>0</v>
      </c>
      <c r="L507" s="98">
        <f t="shared" si="3505"/>
        <v>0</v>
      </c>
      <c r="M507" s="98">
        <f t="shared" si="3505"/>
        <v>0</v>
      </c>
      <c r="N507" s="98">
        <f t="shared" si="3505"/>
        <v>0</v>
      </c>
      <c r="O507" s="98">
        <f t="shared" si="3505"/>
        <v>0</v>
      </c>
      <c r="P507" s="98">
        <f t="shared" si="3505"/>
        <v>0</v>
      </c>
      <c r="Q507" s="198">
        <f t="shared" si="2600"/>
        <v>0</v>
      </c>
      <c r="R507" s="198">
        <f t="shared" si="2601"/>
        <v>0</v>
      </c>
      <c r="S507" s="98">
        <f t="shared" ref="S507:AF507" si="3506">SUM(S36,S74,S112,S150,S188,S226,S264,S302,S340,S378,S416,S454)</f>
        <v>0</v>
      </c>
      <c r="T507" s="98">
        <f t="shared" si="3506"/>
        <v>0</v>
      </c>
      <c r="U507" s="98">
        <f t="shared" si="3506"/>
        <v>0</v>
      </c>
      <c r="V507" s="98">
        <f t="shared" si="3506"/>
        <v>0</v>
      </c>
      <c r="W507" s="98">
        <f t="shared" si="3506"/>
        <v>0</v>
      </c>
      <c r="X507" s="98">
        <f t="shared" si="3506"/>
        <v>0</v>
      </c>
      <c r="Y507" s="98">
        <f t="shared" si="3506"/>
        <v>0</v>
      </c>
      <c r="Z507" s="98">
        <f t="shared" si="3506"/>
        <v>0</v>
      </c>
      <c r="AA507" s="98">
        <f t="shared" si="3506"/>
        <v>0</v>
      </c>
      <c r="AB507" s="98">
        <f t="shared" si="3506"/>
        <v>0</v>
      </c>
      <c r="AC507" s="98">
        <f t="shared" si="3506"/>
        <v>0</v>
      </c>
      <c r="AD507" s="98">
        <f t="shared" si="3506"/>
        <v>0</v>
      </c>
      <c r="AE507" s="98">
        <f t="shared" si="3506"/>
        <v>0</v>
      </c>
      <c r="AF507" s="98">
        <f t="shared" si="3506"/>
        <v>0</v>
      </c>
      <c r="AG507" s="198">
        <f t="shared" si="2603"/>
        <v>0</v>
      </c>
      <c r="AH507" s="198">
        <f t="shared" si="2604"/>
        <v>0</v>
      </c>
      <c r="AI507" s="98">
        <f t="shared" ref="AI507:AV507" si="3507">SUM(AI36,AI74,AI112,AI150,AI188,AI226,AI264,AI302,AI340,AI378,AI416,AI454)</f>
        <v>0</v>
      </c>
      <c r="AJ507" s="98">
        <f t="shared" si="3507"/>
        <v>0</v>
      </c>
      <c r="AK507" s="98">
        <f t="shared" si="3507"/>
        <v>0</v>
      </c>
      <c r="AL507" s="98">
        <f t="shared" si="3507"/>
        <v>0</v>
      </c>
      <c r="AM507" s="98">
        <f t="shared" si="3507"/>
        <v>0</v>
      </c>
      <c r="AN507" s="98">
        <f t="shared" si="3507"/>
        <v>0</v>
      </c>
      <c r="AO507" s="98">
        <f t="shared" si="3507"/>
        <v>0</v>
      </c>
      <c r="AP507" s="98">
        <f t="shared" si="3507"/>
        <v>0</v>
      </c>
      <c r="AQ507" s="98">
        <f t="shared" si="3507"/>
        <v>0</v>
      </c>
      <c r="AR507" s="98">
        <f t="shared" si="3507"/>
        <v>0</v>
      </c>
      <c r="AS507" s="98">
        <f t="shared" si="3507"/>
        <v>0</v>
      </c>
      <c r="AT507" s="98">
        <f t="shared" si="3507"/>
        <v>0</v>
      </c>
      <c r="AU507" s="98">
        <f t="shared" si="3507"/>
        <v>0</v>
      </c>
      <c r="AV507" s="98">
        <f t="shared" si="3507"/>
        <v>0</v>
      </c>
      <c r="AW507" s="198">
        <f t="shared" si="2606"/>
        <v>0</v>
      </c>
      <c r="AX507" s="198">
        <f t="shared" si="2607"/>
        <v>0</v>
      </c>
      <c r="AY507" s="98">
        <f t="shared" ref="AY507:BL507" si="3508">SUM(AY36,AY74,AY112,AY150,AY188,AY226,AY264,AY302,AY340,AY378,AY416,AY454)</f>
        <v>0</v>
      </c>
      <c r="AZ507" s="98">
        <f t="shared" si="3508"/>
        <v>0</v>
      </c>
      <c r="BA507" s="98">
        <f t="shared" si="3508"/>
        <v>0</v>
      </c>
      <c r="BB507" s="98">
        <f t="shared" si="3508"/>
        <v>0</v>
      </c>
      <c r="BC507" s="98">
        <f t="shared" si="3508"/>
        <v>0</v>
      </c>
      <c r="BD507" s="98">
        <f t="shared" si="3508"/>
        <v>0</v>
      </c>
      <c r="BE507" s="98">
        <f t="shared" si="3508"/>
        <v>0</v>
      </c>
      <c r="BF507" s="98">
        <f t="shared" si="3508"/>
        <v>0</v>
      </c>
      <c r="BG507" s="98">
        <f t="shared" si="3508"/>
        <v>0</v>
      </c>
      <c r="BH507" s="98">
        <f t="shared" si="3508"/>
        <v>0</v>
      </c>
      <c r="BI507" s="98">
        <f t="shared" si="3508"/>
        <v>0</v>
      </c>
      <c r="BJ507" s="98">
        <f t="shared" si="3508"/>
        <v>0</v>
      </c>
      <c r="BK507" s="98">
        <f t="shared" si="3508"/>
        <v>0</v>
      </c>
      <c r="BL507" s="98">
        <f t="shared" si="3508"/>
        <v>0</v>
      </c>
      <c r="BM507" s="198">
        <f t="shared" si="2609"/>
        <v>0</v>
      </c>
      <c r="BN507" s="198">
        <f t="shared" si="2610"/>
        <v>0</v>
      </c>
      <c r="BO507" s="98">
        <f t="shared" ref="BO507:CB507" si="3509">SUM(BO36,BO74,BO112,BO150,BO188,BO226,BO264,BO302,BO340,BO378,BO416,BO454)</f>
        <v>0</v>
      </c>
      <c r="BP507" s="98">
        <f t="shared" si="3509"/>
        <v>0</v>
      </c>
      <c r="BQ507" s="98">
        <f t="shared" si="3509"/>
        <v>0</v>
      </c>
      <c r="BR507" s="98">
        <f t="shared" si="3509"/>
        <v>0</v>
      </c>
      <c r="BS507" s="98">
        <f t="shared" si="3509"/>
        <v>0</v>
      </c>
      <c r="BT507" s="98">
        <f t="shared" si="3509"/>
        <v>0</v>
      </c>
      <c r="BU507" s="98">
        <f t="shared" si="3509"/>
        <v>0</v>
      </c>
      <c r="BV507" s="98">
        <f t="shared" si="3509"/>
        <v>0</v>
      </c>
      <c r="BW507" s="98">
        <f t="shared" si="3509"/>
        <v>0</v>
      </c>
      <c r="BX507" s="98">
        <f t="shared" si="3509"/>
        <v>0</v>
      </c>
      <c r="BY507" s="98">
        <f t="shared" si="3509"/>
        <v>0</v>
      </c>
      <c r="BZ507" s="98">
        <f t="shared" si="3509"/>
        <v>0</v>
      </c>
      <c r="CA507" s="98">
        <f t="shared" si="3509"/>
        <v>0</v>
      </c>
      <c r="CB507" s="98">
        <f t="shared" si="3509"/>
        <v>0</v>
      </c>
      <c r="CC507" s="198">
        <f t="shared" si="2612"/>
        <v>0</v>
      </c>
      <c r="CD507" s="198">
        <f t="shared" si="2613"/>
        <v>0</v>
      </c>
      <c r="CE507" s="98">
        <f t="shared" ref="CE507:CR507" si="3510">SUM(CE36,CE74,CE112,CE150,CE188,CE226,CE264,CE302,CE340,CE378,CE416,CE454)</f>
        <v>0</v>
      </c>
      <c r="CF507" s="98">
        <f t="shared" si="3510"/>
        <v>0</v>
      </c>
      <c r="CG507" s="98">
        <f t="shared" si="3510"/>
        <v>0</v>
      </c>
      <c r="CH507" s="98">
        <f t="shared" si="3510"/>
        <v>0</v>
      </c>
      <c r="CI507" s="98">
        <f t="shared" si="3510"/>
        <v>0</v>
      </c>
      <c r="CJ507" s="98">
        <f t="shared" si="3510"/>
        <v>0</v>
      </c>
      <c r="CK507" s="98">
        <f t="shared" si="3510"/>
        <v>0</v>
      </c>
      <c r="CL507" s="98">
        <f t="shared" si="3510"/>
        <v>0</v>
      </c>
      <c r="CM507" s="98">
        <f t="shared" si="3510"/>
        <v>0</v>
      </c>
      <c r="CN507" s="98">
        <f t="shared" si="3510"/>
        <v>0</v>
      </c>
      <c r="CO507" s="98">
        <f t="shared" si="3510"/>
        <v>0</v>
      </c>
      <c r="CP507" s="98">
        <f t="shared" si="3510"/>
        <v>0</v>
      </c>
      <c r="CQ507" s="98">
        <f t="shared" si="3510"/>
        <v>0</v>
      </c>
      <c r="CR507" s="98">
        <f t="shared" si="3510"/>
        <v>0</v>
      </c>
      <c r="CS507" s="198">
        <f t="shared" si="2615"/>
        <v>0</v>
      </c>
      <c r="CT507" s="198">
        <f t="shared" si="2616"/>
        <v>0</v>
      </c>
      <c r="CU507" s="98">
        <f t="shared" ref="CU507:DH507" si="3511">SUM(CU36,CU74,CU112,CU150,CU188,CU226,CU264,CU302,CU340,CU378,CU416,CU454)</f>
        <v>0</v>
      </c>
      <c r="CV507" s="98">
        <f t="shared" si="3511"/>
        <v>0</v>
      </c>
      <c r="CW507" s="98">
        <f t="shared" si="3511"/>
        <v>0</v>
      </c>
      <c r="CX507" s="98">
        <f t="shared" si="3511"/>
        <v>0</v>
      </c>
      <c r="CY507" s="98">
        <f t="shared" si="3511"/>
        <v>0</v>
      </c>
      <c r="CZ507" s="98">
        <f t="shared" si="3511"/>
        <v>0</v>
      </c>
      <c r="DA507" s="98">
        <f t="shared" si="3511"/>
        <v>0</v>
      </c>
      <c r="DB507" s="98">
        <f t="shared" si="3511"/>
        <v>0</v>
      </c>
      <c r="DC507" s="98">
        <f t="shared" si="3511"/>
        <v>0</v>
      </c>
      <c r="DD507" s="98">
        <f t="shared" si="3511"/>
        <v>0</v>
      </c>
      <c r="DE507" s="98">
        <f t="shared" si="3511"/>
        <v>0</v>
      </c>
      <c r="DF507" s="98">
        <f t="shared" si="3511"/>
        <v>0</v>
      </c>
      <c r="DG507" s="98">
        <f t="shared" si="3511"/>
        <v>0</v>
      </c>
      <c r="DH507" s="98">
        <f t="shared" si="3511"/>
        <v>0</v>
      </c>
      <c r="DI507" s="198">
        <f t="shared" si="2618"/>
        <v>0</v>
      </c>
      <c r="DJ507" s="198">
        <f t="shared" si="2619"/>
        <v>0</v>
      </c>
      <c r="DK507" s="98">
        <f t="shared" ref="DK507:DX507" si="3512">SUM(DK36,DK74,DK112,DK150,DK188,DK226,DK264,DK302,DK340,DK378,DK416,DK454)</f>
        <v>0</v>
      </c>
      <c r="DL507" s="98">
        <f t="shared" si="3512"/>
        <v>0</v>
      </c>
      <c r="DM507" s="98">
        <f t="shared" si="3512"/>
        <v>0</v>
      </c>
      <c r="DN507" s="98">
        <f t="shared" si="3512"/>
        <v>0</v>
      </c>
      <c r="DO507" s="98">
        <f t="shared" si="3512"/>
        <v>0</v>
      </c>
      <c r="DP507" s="98">
        <f t="shared" si="3512"/>
        <v>0</v>
      </c>
      <c r="DQ507" s="98">
        <f t="shared" si="3512"/>
        <v>0</v>
      </c>
      <c r="DR507" s="98">
        <f t="shared" si="3512"/>
        <v>0</v>
      </c>
      <c r="DS507" s="98">
        <f t="shared" si="3512"/>
        <v>0</v>
      </c>
      <c r="DT507" s="98">
        <f t="shared" si="3512"/>
        <v>0</v>
      </c>
      <c r="DU507" s="98">
        <f t="shared" si="3512"/>
        <v>0</v>
      </c>
      <c r="DV507" s="98">
        <f t="shared" si="3512"/>
        <v>0</v>
      </c>
      <c r="DW507" s="98">
        <f t="shared" si="3512"/>
        <v>0</v>
      </c>
      <c r="DX507" s="98">
        <f t="shared" si="3512"/>
        <v>0</v>
      </c>
      <c r="DY507" s="198">
        <f t="shared" si="2621"/>
        <v>0</v>
      </c>
      <c r="DZ507" s="198">
        <f t="shared" si="2622"/>
        <v>0</v>
      </c>
      <c r="EA507" s="98">
        <f t="shared" ref="EA507:EN507" si="3513">SUM(EA36,EA74,EA112,EA150,EA188,EA226,EA264,EA302,EA340,EA378,EA416,EA454)</f>
        <v>0</v>
      </c>
      <c r="EB507" s="98">
        <f t="shared" si="3513"/>
        <v>0</v>
      </c>
      <c r="EC507" s="98">
        <f t="shared" si="3513"/>
        <v>0</v>
      </c>
      <c r="ED507" s="98">
        <f t="shared" si="3513"/>
        <v>0</v>
      </c>
      <c r="EE507" s="98">
        <f t="shared" si="3513"/>
        <v>0</v>
      </c>
      <c r="EF507" s="98">
        <f t="shared" si="3513"/>
        <v>0</v>
      </c>
      <c r="EG507" s="98">
        <f t="shared" si="3513"/>
        <v>0</v>
      </c>
      <c r="EH507" s="98">
        <f t="shared" si="3513"/>
        <v>0</v>
      </c>
      <c r="EI507" s="98">
        <f t="shared" si="3513"/>
        <v>0</v>
      </c>
      <c r="EJ507" s="98">
        <f t="shared" si="3513"/>
        <v>0</v>
      </c>
      <c r="EK507" s="98">
        <f t="shared" si="3513"/>
        <v>0</v>
      </c>
      <c r="EL507" s="98">
        <f t="shared" si="3513"/>
        <v>0</v>
      </c>
      <c r="EM507" s="98">
        <f t="shared" si="3513"/>
        <v>0</v>
      </c>
      <c r="EN507" s="98">
        <f t="shared" si="3513"/>
        <v>0</v>
      </c>
      <c r="EO507" s="198">
        <f t="shared" si="2624"/>
        <v>0</v>
      </c>
      <c r="EP507" s="198">
        <f t="shared" si="2625"/>
        <v>0</v>
      </c>
      <c r="EQ507" s="98">
        <f t="shared" ref="EQ507:FD507" si="3514">SUM(EQ36,EQ74,EQ112,EQ150,EQ188,EQ226,EQ264,EQ302,EQ340,EQ378,EQ416,EQ454)</f>
        <v>0</v>
      </c>
      <c r="ER507" s="98">
        <f t="shared" si="3514"/>
        <v>0</v>
      </c>
      <c r="ES507" s="98">
        <f t="shared" si="3514"/>
        <v>0</v>
      </c>
      <c r="ET507" s="98">
        <f t="shared" si="3514"/>
        <v>0</v>
      </c>
      <c r="EU507" s="98">
        <f t="shared" si="3514"/>
        <v>0</v>
      </c>
      <c r="EV507" s="98">
        <f t="shared" si="3514"/>
        <v>0</v>
      </c>
      <c r="EW507" s="98">
        <f t="shared" si="3514"/>
        <v>0</v>
      </c>
      <c r="EX507" s="98">
        <f t="shared" si="3514"/>
        <v>0</v>
      </c>
      <c r="EY507" s="98">
        <f t="shared" si="3514"/>
        <v>0</v>
      </c>
      <c r="EZ507" s="98">
        <f t="shared" si="3514"/>
        <v>0</v>
      </c>
      <c r="FA507" s="98">
        <f t="shared" si="3514"/>
        <v>0</v>
      </c>
      <c r="FB507" s="98">
        <f t="shared" si="3514"/>
        <v>0</v>
      </c>
      <c r="FC507" s="98">
        <f t="shared" si="3514"/>
        <v>0</v>
      </c>
      <c r="FD507" s="98">
        <f t="shared" si="3514"/>
        <v>0</v>
      </c>
      <c r="FE507" s="198">
        <f t="shared" si="2627"/>
        <v>0</v>
      </c>
      <c r="FF507" s="198">
        <f t="shared" si="2628"/>
        <v>0</v>
      </c>
      <c r="FG507" s="98">
        <f t="shared" ref="FG507:FT507" si="3515">SUM(FG36,FG74,FG112,FG150,FG188,FG226,FG264,FG302,FG340,FG378,FG416,FG454)</f>
        <v>0</v>
      </c>
      <c r="FH507" s="98">
        <f t="shared" si="3515"/>
        <v>0</v>
      </c>
      <c r="FI507" s="98">
        <f t="shared" si="3515"/>
        <v>0</v>
      </c>
      <c r="FJ507" s="98">
        <f t="shared" si="3515"/>
        <v>0</v>
      </c>
      <c r="FK507" s="98">
        <f t="shared" si="3515"/>
        <v>0</v>
      </c>
      <c r="FL507" s="98">
        <f t="shared" si="3515"/>
        <v>0</v>
      </c>
      <c r="FM507" s="98">
        <f t="shared" si="3515"/>
        <v>0</v>
      </c>
      <c r="FN507" s="98">
        <f t="shared" si="3515"/>
        <v>0</v>
      </c>
      <c r="FO507" s="98">
        <f t="shared" si="3515"/>
        <v>0</v>
      </c>
      <c r="FP507" s="98">
        <f t="shared" si="3515"/>
        <v>0</v>
      </c>
      <c r="FQ507" s="98">
        <f t="shared" si="3515"/>
        <v>0</v>
      </c>
      <c r="FR507" s="98">
        <f t="shared" si="3515"/>
        <v>0</v>
      </c>
      <c r="FS507" s="98">
        <f t="shared" si="3515"/>
        <v>0</v>
      </c>
      <c r="FT507" s="98">
        <f t="shared" si="3515"/>
        <v>0</v>
      </c>
      <c r="FU507" s="198">
        <f t="shared" si="2630"/>
        <v>0</v>
      </c>
      <c r="FV507" s="198">
        <f t="shared" si="2631"/>
        <v>0</v>
      </c>
      <c r="FW507" s="98">
        <f t="shared" ref="FW507:GJ507" si="3516">SUM(FW36,FW74,FW112,FW150,FW188,FW226,FW264,FW302,FW340,FW378,FW416,FW454)</f>
        <v>0</v>
      </c>
      <c r="FX507" s="98">
        <f t="shared" si="3516"/>
        <v>0</v>
      </c>
      <c r="FY507" s="98">
        <f t="shared" si="3516"/>
        <v>0</v>
      </c>
      <c r="FZ507" s="98">
        <f t="shared" si="3516"/>
        <v>0</v>
      </c>
      <c r="GA507" s="98">
        <f t="shared" si="3516"/>
        <v>0</v>
      </c>
      <c r="GB507" s="98">
        <f t="shared" si="3516"/>
        <v>0</v>
      </c>
      <c r="GC507" s="98">
        <f t="shared" si="3516"/>
        <v>0</v>
      </c>
      <c r="GD507" s="98">
        <f t="shared" si="3516"/>
        <v>0</v>
      </c>
      <c r="GE507" s="98">
        <f t="shared" si="3516"/>
        <v>0</v>
      </c>
      <c r="GF507" s="98">
        <f t="shared" si="3516"/>
        <v>0</v>
      </c>
      <c r="GG507" s="98">
        <f t="shared" si="3516"/>
        <v>0</v>
      </c>
      <c r="GH507" s="98">
        <f t="shared" si="3516"/>
        <v>0</v>
      </c>
      <c r="GI507" s="98">
        <f t="shared" si="3516"/>
        <v>0</v>
      </c>
      <c r="GJ507" s="98">
        <f t="shared" si="3516"/>
        <v>0</v>
      </c>
      <c r="GK507" s="198">
        <f t="shared" si="2633"/>
        <v>0</v>
      </c>
      <c r="GL507" s="198">
        <f t="shared" si="2634"/>
        <v>0</v>
      </c>
      <c r="GM507" s="98">
        <f t="shared" ref="GM507:GZ507" si="3517">SUM(GM36,GM74,GM112,GM150,GM188,GM226,GM264,GM302,GM340,GM378,GM416,GM454)</f>
        <v>0</v>
      </c>
      <c r="GN507" s="98">
        <f t="shared" si="3517"/>
        <v>0</v>
      </c>
      <c r="GO507" s="98">
        <f t="shared" si="3517"/>
        <v>0</v>
      </c>
      <c r="GP507" s="98">
        <f t="shared" si="3517"/>
        <v>0</v>
      </c>
      <c r="GQ507" s="98">
        <f t="shared" si="3517"/>
        <v>0</v>
      </c>
      <c r="GR507" s="98">
        <f t="shared" si="3517"/>
        <v>0</v>
      </c>
      <c r="GS507" s="98">
        <f t="shared" si="3517"/>
        <v>0</v>
      </c>
      <c r="GT507" s="98">
        <f t="shared" si="3517"/>
        <v>0</v>
      </c>
      <c r="GU507" s="98">
        <f t="shared" si="3517"/>
        <v>0</v>
      </c>
      <c r="GV507" s="98">
        <f t="shared" si="3517"/>
        <v>0</v>
      </c>
      <c r="GW507" s="98">
        <f t="shared" si="3517"/>
        <v>0</v>
      </c>
      <c r="GX507" s="98">
        <f t="shared" si="3517"/>
        <v>0</v>
      </c>
      <c r="GY507" s="98">
        <f t="shared" si="3517"/>
        <v>0</v>
      </c>
      <c r="GZ507" s="98">
        <f t="shared" si="3517"/>
        <v>0</v>
      </c>
      <c r="HA507" s="198">
        <f t="shared" si="2636"/>
        <v>0</v>
      </c>
      <c r="HB507" s="198">
        <f t="shared" si="2637"/>
        <v>0</v>
      </c>
      <c r="HC507" s="98">
        <f t="shared" ref="HC507:HP507" si="3518">SUM(HC36,HC74,HC112,HC150,HC188,HC226,HC264,HC302,HC340,HC378,HC416,HC454)</f>
        <v>0</v>
      </c>
      <c r="HD507" s="98">
        <f t="shared" si="3518"/>
        <v>0</v>
      </c>
      <c r="HE507" s="98">
        <f t="shared" si="3518"/>
        <v>0</v>
      </c>
      <c r="HF507" s="98">
        <f t="shared" si="3518"/>
        <v>0</v>
      </c>
      <c r="HG507" s="98">
        <f t="shared" si="3518"/>
        <v>0</v>
      </c>
      <c r="HH507" s="98">
        <f t="shared" si="3518"/>
        <v>0</v>
      </c>
      <c r="HI507" s="98">
        <f t="shared" si="3518"/>
        <v>0</v>
      </c>
      <c r="HJ507" s="98">
        <f t="shared" si="3518"/>
        <v>0</v>
      </c>
      <c r="HK507" s="98">
        <f t="shared" si="3518"/>
        <v>0</v>
      </c>
      <c r="HL507" s="98">
        <f t="shared" si="3518"/>
        <v>0</v>
      </c>
      <c r="HM507" s="98">
        <f t="shared" si="3518"/>
        <v>0</v>
      </c>
      <c r="HN507" s="98">
        <f t="shared" si="3518"/>
        <v>0</v>
      </c>
      <c r="HO507" s="98">
        <f t="shared" si="3518"/>
        <v>0</v>
      </c>
      <c r="HP507" s="98">
        <f t="shared" si="3518"/>
        <v>0</v>
      </c>
      <c r="HQ507" s="198">
        <f t="shared" si="2639"/>
        <v>0</v>
      </c>
      <c r="HR507" s="198">
        <f t="shared" si="2640"/>
        <v>0</v>
      </c>
      <c r="HS507" s="98">
        <f t="shared" ref="HS507:IF507" si="3519">SUM(HS36,HS74,HS112,HS150,HS188,HS226,HS264,HS302,HS340,HS378,HS416,HS454)</f>
        <v>0</v>
      </c>
      <c r="HT507" s="98">
        <f t="shared" si="3519"/>
        <v>0</v>
      </c>
      <c r="HU507" s="98">
        <f t="shared" si="3519"/>
        <v>0</v>
      </c>
      <c r="HV507" s="98">
        <f t="shared" si="3519"/>
        <v>0</v>
      </c>
      <c r="HW507" s="98">
        <f t="shared" si="3519"/>
        <v>0</v>
      </c>
      <c r="HX507" s="98">
        <f t="shared" si="3519"/>
        <v>0</v>
      </c>
      <c r="HY507" s="98">
        <f t="shared" si="3519"/>
        <v>0</v>
      </c>
      <c r="HZ507" s="98">
        <f t="shared" si="3519"/>
        <v>0</v>
      </c>
      <c r="IA507" s="98">
        <f t="shared" si="3519"/>
        <v>0</v>
      </c>
      <c r="IB507" s="98">
        <f t="shared" si="3519"/>
        <v>0</v>
      </c>
      <c r="IC507" s="98">
        <f t="shared" si="3519"/>
        <v>0</v>
      </c>
      <c r="ID507" s="98">
        <f t="shared" si="3519"/>
        <v>0</v>
      </c>
      <c r="IE507" s="98">
        <f t="shared" si="3519"/>
        <v>0</v>
      </c>
      <c r="IF507" s="98">
        <f t="shared" si="3519"/>
        <v>0</v>
      </c>
      <c r="IG507" s="198">
        <f t="shared" si="2642"/>
        <v>0</v>
      </c>
      <c r="IH507" s="198">
        <f t="shared" si="2643"/>
        <v>0</v>
      </c>
      <c r="II507" s="98">
        <f t="shared" ref="II507:IV507" si="3520">SUM(II36,II74,II112,II150,II188,II226,II264,II302,II340,II378,II416,II454)</f>
        <v>0</v>
      </c>
      <c r="IJ507" s="98">
        <f t="shared" si="3520"/>
        <v>0</v>
      </c>
      <c r="IK507" s="98">
        <f t="shared" si="3520"/>
        <v>0</v>
      </c>
      <c r="IL507" s="98">
        <f t="shared" si="3520"/>
        <v>0</v>
      </c>
      <c r="IM507" s="98">
        <f t="shared" si="3520"/>
        <v>0</v>
      </c>
      <c r="IN507" s="98">
        <f t="shared" si="3520"/>
        <v>0</v>
      </c>
      <c r="IO507" s="98">
        <f t="shared" si="3520"/>
        <v>0</v>
      </c>
      <c r="IP507" s="98">
        <f t="shared" si="3520"/>
        <v>0</v>
      </c>
      <c r="IQ507" s="98">
        <f t="shared" si="3520"/>
        <v>0</v>
      </c>
      <c r="IR507" s="98">
        <f t="shared" si="3520"/>
        <v>0</v>
      </c>
      <c r="IS507" s="98">
        <f t="shared" si="3520"/>
        <v>0</v>
      </c>
      <c r="IT507" s="98">
        <f t="shared" si="3520"/>
        <v>0</v>
      </c>
      <c r="IU507" s="98">
        <f t="shared" si="3520"/>
        <v>0</v>
      </c>
      <c r="IV507" s="98">
        <f t="shared" si="3520"/>
        <v>0</v>
      </c>
      <c r="IW507" s="198">
        <f t="shared" si="2645"/>
        <v>0</v>
      </c>
      <c r="IX507" s="198">
        <f t="shared" si="2646"/>
        <v>0</v>
      </c>
      <c r="IY507" s="98">
        <f t="shared" ref="IY507:JL507" si="3521">SUM(IY36,IY74,IY112,IY150,IY188,IY226,IY264,IY302,IY340,IY378,IY416,IY454)</f>
        <v>0</v>
      </c>
      <c r="IZ507" s="98">
        <f t="shared" si="3521"/>
        <v>0</v>
      </c>
      <c r="JA507" s="98">
        <f t="shared" si="3521"/>
        <v>0</v>
      </c>
      <c r="JB507" s="98">
        <f t="shared" si="3521"/>
        <v>0</v>
      </c>
      <c r="JC507" s="98">
        <f t="shared" si="3521"/>
        <v>0</v>
      </c>
      <c r="JD507" s="98">
        <f t="shared" si="3521"/>
        <v>0</v>
      </c>
      <c r="JE507" s="98">
        <f t="shared" si="3521"/>
        <v>0</v>
      </c>
      <c r="JF507" s="98">
        <f t="shared" si="3521"/>
        <v>0</v>
      </c>
      <c r="JG507" s="98">
        <f t="shared" si="3521"/>
        <v>0</v>
      </c>
      <c r="JH507" s="98">
        <f t="shared" si="3521"/>
        <v>0</v>
      </c>
      <c r="JI507" s="98">
        <f t="shared" si="3521"/>
        <v>0</v>
      </c>
      <c r="JJ507" s="98">
        <f t="shared" si="3521"/>
        <v>0</v>
      </c>
      <c r="JK507" s="98">
        <f t="shared" si="3521"/>
        <v>0</v>
      </c>
      <c r="JL507" s="98">
        <f t="shared" si="3521"/>
        <v>0</v>
      </c>
      <c r="JM507" s="198">
        <f t="shared" si="2648"/>
        <v>0</v>
      </c>
      <c r="JN507" s="198">
        <f t="shared" si="2649"/>
        <v>0</v>
      </c>
      <c r="JO507" s="98">
        <f t="shared" ref="JO507:KB507" si="3522">SUM(JO36,JO74,JO112,JO150,JO188,JO226,JO264,JO302,JO340,JO378,JO416,JO454)</f>
        <v>0</v>
      </c>
      <c r="JP507" s="98">
        <f t="shared" si="3522"/>
        <v>0</v>
      </c>
      <c r="JQ507" s="98">
        <f t="shared" si="3522"/>
        <v>0</v>
      </c>
      <c r="JR507" s="98">
        <f t="shared" si="3522"/>
        <v>0</v>
      </c>
      <c r="JS507" s="98">
        <f t="shared" si="3522"/>
        <v>0</v>
      </c>
      <c r="JT507" s="98">
        <f t="shared" si="3522"/>
        <v>0</v>
      </c>
      <c r="JU507" s="98">
        <f t="shared" si="3522"/>
        <v>0</v>
      </c>
      <c r="JV507" s="98">
        <f t="shared" si="3522"/>
        <v>0</v>
      </c>
      <c r="JW507" s="98">
        <f t="shared" si="3522"/>
        <v>0</v>
      </c>
      <c r="JX507" s="98">
        <f t="shared" si="3522"/>
        <v>0</v>
      </c>
      <c r="JY507" s="98">
        <f t="shared" si="3522"/>
        <v>0</v>
      </c>
      <c r="JZ507" s="98">
        <f t="shared" si="3522"/>
        <v>0</v>
      </c>
      <c r="KA507" s="98">
        <f t="shared" si="3522"/>
        <v>0</v>
      </c>
      <c r="KB507" s="98">
        <f t="shared" si="3522"/>
        <v>0</v>
      </c>
      <c r="KC507" s="198">
        <f t="shared" si="2651"/>
        <v>0</v>
      </c>
      <c r="KD507" s="198">
        <f t="shared" si="2652"/>
        <v>0</v>
      </c>
      <c r="KE507" s="98">
        <f t="shared" ref="KE507:KR507" si="3523">SUM(KE36,KE74,KE112,KE150,KE188,KE226,KE264,KE302,KE340,KE378,KE416,KE454)</f>
        <v>0</v>
      </c>
      <c r="KF507" s="98">
        <f t="shared" si="3523"/>
        <v>0</v>
      </c>
      <c r="KG507" s="98">
        <f t="shared" si="3523"/>
        <v>0</v>
      </c>
      <c r="KH507" s="98">
        <f t="shared" si="3523"/>
        <v>0</v>
      </c>
      <c r="KI507" s="98">
        <f t="shared" si="3523"/>
        <v>0</v>
      </c>
      <c r="KJ507" s="98">
        <f t="shared" si="3523"/>
        <v>0</v>
      </c>
      <c r="KK507" s="98">
        <f t="shared" si="3523"/>
        <v>0</v>
      </c>
      <c r="KL507" s="98">
        <f t="shared" si="3523"/>
        <v>0</v>
      </c>
      <c r="KM507" s="98">
        <f t="shared" si="3523"/>
        <v>0</v>
      </c>
      <c r="KN507" s="98">
        <f t="shared" si="3523"/>
        <v>0</v>
      </c>
      <c r="KO507" s="98">
        <f t="shared" si="3523"/>
        <v>0</v>
      </c>
      <c r="KP507" s="98">
        <f t="shared" si="3523"/>
        <v>0</v>
      </c>
      <c r="KQ507" s="98">
        <f t="shared" si="3523"/>
        <v>0</v>
      </c>
      <c r="KR507" s="98">
        <f t="shared" si="3523"/>
        <v>0</v>
      </c>
      <c r="KS507" s="198">
        <f t="shared" si="2654"/>
        <v>0</v>
      </c>
      <c r="KT507" s="198">
        <f t="shared" si="2655"/>
        <v>0</v>
      </c>
      <c r="KU507" s="98">
        <f t="shared" ref="KU507:LH507" si="3524">SUM(KU36,KU74,KU112,KU150,KU188,KU226,KU264,KU302,KU340,KU378,KU416,KU454)</f>
        <v>0</v>
      </c>
      <c r="KV507" s="98">
        <f t="shared" si="3524"/>
        <v>0</v>
      </c>
      <c r="KW507" s="98">
        <f t="shared" si="3524"/>
        <v>0</v>
      </c>
      <c r="KX507" s="98">
        <f t="shared" si="3524"/>
        <v>0</v>
      </c>
      <c r="KY507" s="98">
        <f t="shared" si="3524"/>
        <v>0</v>
      </c>
      <c r="KZ507" s="98">
        <f t="shared" si="3524"/>
        <v>0</v>
      </c>
      <c r="LA507" s="98">
        <f t="shared" si="3524"/>
        <v>0</v>
      </c>
      <c r="LB507" s="98">
        <f t="shared" si="3524"/>
        <v>0</v>
      </c>
      <c r="LC507" s="98">
        <f t="shared" si="3524"/>
        <v>0</v>
      </c>
      <c r="LD507" s="98">
        <f t="shared" si="3524"/>
        <v>0</v>
      </c>
      <c r="LE507" s="98">
        <f t="shared" si="3524"/>
        <v>0</v>
      </c>
      <c r="LF507" s="98">
        <f t="shared" si="3524"/>
        <v>0</v>
      </c>
      <c r="LG507" s="98">
        <f t="shared" si="3524"/>
        <v>0</v>
      </c>
      <c r="LH507" s="98">
        <f t="shared" si="3524"/>
        <v>0</v>
      </c>
      <c r="LI507" s="198">
        <f t="shared" si="2657"/>
        <v>0</v>
      </c>
      <c r="LJ507" s="198">
        <f t="shared" si="2658"/>
        <v>0</v>
      </c>
      <c r="LK507" s="98">
        <f t="shared" ref="LK507:LX507" si="3525">SUM(LK36,LK74,LK112,LK150,LK188,LK226,LK264,LK302,LK340,LK378,LK416,LK454)</f>
        <v>0</v>
      </c>
      <c r="LL507" s="98">
        <f t="shared" si="3525"/>
        <v>0</v>
      </c>
      <c r="LM507" s="98">
        <f t="shared" si="3525"/>
        <v>0</v>
      </c>
      <c r="LN507" s="98">
        <f t="shared" si="3525"/>
        <v>0</v>
      </c>
      <c r="LO507" s="98">
        <f t="shared" si="3525"/>
        <v>0</v>
      </c>
      <c r="LP507" s="98">
        <f t="shared" si="3525"/>
        <v>0</v>
      </c>
      <c r="LQ507" s="98">
        <f t="shared" si="3525"/>
        <v>0</v>
      </c>
      <c r="LR507" s="98">
        <f t="shared" si="3525"/>
        <v>0</v>
      </c>
      <c r="LS507" s="98">
        <f t="shared" si="3525"/>
        <v>0</v>
      </c>
      <c r="LT507" s="98">
        <f t="shared" si="3525"/>
        <v>0</v>
      </c>
      <c r="LU507" s="98">
        <f t="shared" si="3525"/>
        <v>0</v>
      </c>
      <c r="LV507" s="98">
        <f t="shared" si="3525"/>
        <v>0</v>
      </c>
      <c r="LW507" s="98">
        <f t="shared" si="3525"/>
        <v>0</v>
      </c>
      <c r="LX507" s="98">
        <f t="shared" si="3525"/>
        <v>0</v>
      </c>
      <c r="LY507" s="198">
        <f t="shared" si="2660"/>
        <v>0</v>
      </c>
      <c r="LZ507" s="198">
        <f t="shared" si="2661"/>
        <v>0</v>
      </c>
      <c r="MA507" s="98">
        <f t="shared" ref="MA507:MN507" si="3526">SUM(MA36,MA74,MA112,MA150,MA188,MA226,MA264,MA302,MA340,MA378,MA416,MA454)</f>
        <v>0</v>
      </c>
      <c r="MB507" s="98">
        <f t="shared" si="3526"/>
        <v>0</v>
      </c>
      <c r="MC507" s="98">
        <f t="shared" si="3526"/>
        <v>26700</v>
      </c>
      <c r="MD507" s="98">
        <f t="shared" si="3526"/>
        <v>80100</v>
      </c>
      <c r="ME507" s="98">
        <f t="shared" si="3526"/>
        <v>0</v>
      </c>
      <c r="MF507" s="98">
        <f t="shared" si="3526"/>
        <v>0</v>
      </c>
      <c r="MG507" s="98">
        <f t="shared" si="3526"/>
        <v>0</v>
      </c>
      <c r="MH507" s="98">
        <f t="shared" si="3526"/>
        <v>0</v>
      </c>
      <c r="MI507" s="98">
        <f t="shared" si="3526"/>
        <v>0</v>
      </c>
      <c r="MJ507" s="98">
        <f t="shared" si="3526"/>
        <v>0</v>
      </c>
      <c r="MK507" s="98">
        <f t="shared" si="3526"/>
        <v>0</v>
      </c>
      <c r="ML507" s="98">
        <f t="shared" si="3526"/>
        <v>0</v>
      </c>
      <c r="MM507" s="98">
        <f t="shared" si="3526"/>
        <v>0</v>
      </c>
      <c r="MN507" s="98">
        <f t="shared" si="3526"/>
        <v>0</v>
      </c>
      <c r="MO507" s="198">
        <f t="shared" si="2663"/>
        <v>26700</v>
      </c>
      <c r="MP507" s="198">
        <f t="shared" si="2664"/>
        <v>80100</v>
      </c>
      <c r="MQ507" s="98">
        <f t="shared" ref="MQ507:ND507" si="3527">SUM(MQ36,MQ74,MQ112,MQ150,MQ188,MQ226,MQ264,MQ302,MQ340,MQ378,MQ416,MQ454)</f>
        <v>0</v>
      </c>
      <c r="MR507" s="98">
        <f t="shared" si="3527"/>
        <v>0</v>
      </c>
      <c r="MS507" s="98">
        <f t="shared" si="3527"/>
        <v>0</v>
      </c>
      <c r="MT507" s="98">
        <f t="shared" si="3527"/>
        <v>0</v>
      </c>
      <c r="MU507" s="98">
        <f t="shared" si="3527"/>
        <v>0</v>
      </c>
      <c r="MV507" s="98">
        <f t="shared" si="3527"/>
        <v>0</v>
      </c>
      <c r="MW507" s="98">
        <f t="shared" si="3527"/>
        <v>0</v>
      </c>
      <c r="MX507" s="98">
        <f t="shared" si="3527"/>
        <v>0</v>
      </c>
      <c r="MY507" s="98">
        <f t="shared" si="3527"/>
        <v>0</v>
      </c>
      <c r="MZ507" s="98">
        <f t="shared" si="3527"/>
        <v>0</v>
      </c>
      <c r="NA507" s="98">
        <f t="shared" si="3527"/>
        <v>0</v>
      </c>
      <c r="NB507" s="98">
        <f t="shared" si="3527"/>
        <v>0</v>
      </c>
      <c r="NC507" s="98">
        <f t="shared" si="3527"/>
        <v>0</v>
      </c>
      <c r="ND507" s="98">
        <f t="shared" si="3527"/>
        <v>0</v>
      </c>
      <c r="NE507" s="198">
        <f t="shared" si="2666"/>
        <v>0</v>
      </c>
      <c r="NF507" s="198">
        <f t="shared" si="2667"/>
        <v>0</v>
      </c>
      <c r="NG507" s="98">
        <f t="shared" ref="NG507:NT507" si="3528">SUM(NG36,NG74,NG112,NG150,NG188,NG226,NG264,NG302,NG340,NG378,NG416,NG454)</f>
        <v>0</v>
      </c>
      <c r="NH507" s="98">
        <f t="shared" si="3528"/>
        <v>0</v>
      </c>
      <c r="NI507" s="98">
        <f t="shared" si="3528"/>
        <v>0</v>
      </c>
      <c r="NJ507" s="98">
        <f t="shared" si="3528"/>
        <v>0</v>
      </c>
      <c r="NK507" s="98">
        <f t="shared" si="3528"/>
        <v>0</v>
      </c>
      <c r="NL507" s="98">
        <f t="shared" si="3528"/>
        <v>0</v>
      </c>
      <c r="NM507" s="98">
        <f t="shared" si="3528"/>
        <v>0</v>
      </c>
      <c r="NN507" s="98">
        <f t="shared" si="3528"/>
        <v>0</v>
      </c>
      <c r="NO507" s="98">
        <f t="shared" si="3528"/>
        <v>0</v>
      </c>
      <c r="NP507" s="98">
        <f t="shared" si="3528"/>
        <v>0</v>
      </c>
      <c r="NQ507" s="98">
        <f t="shared" si="3528"/>
        <v>0</v>
      </c>
      <c r="NR507" s="98">
        <f t="shared" si="3528"/>
        <v>0</v>
      </c>
      <c r="NS507" s="98">
        <f t="shared" si="3528"/>
        <v>0</v>
      </c>
      <c r="NT507" s="98">
        <f t="shared" si="3528"/>
        <v>0</v>
      </c>
      <c r="NU507" s="198">
        <f t="shared" si="2669"/>
        <v>0</v>
      </c>
      <c r="NV507" s="198">
        <f t="shared" si="2670"/>
        <v>0</v>
      </c>
      <c r="NW507" s="98">
        <f t="shared" ref="NW507:OJ507" si="3529">SUM(NW36,NW74,NW112,NW150,NW188,NW226,NW264,NW302,NW340,NW378,NW416,NW454)</f>
        <v>0</v>
      </c>
      <c r="NX507" s="98">
        <f t="shared" si="3529"/>
        <v>0</v>
      </c>
      <c r="NY507" s="98">
        <f t="shared" si="3529"/>
        <v>0</v>
      </c>
      <c r="NZ507" s="98">
        <f t="shared" si="3529"/>
        <v>0</v>
      </c>
      <c r="OA507" s="98">
        <f t="shared" si="3529"/>
        <v>0</v>
      </c>
      <c r="OB507" s="98">
        <f t="shared" si="3529"/>
        <v>0</v>
      </c>
      <c r="OC507" s="98">
        <f t="shared" si="3529"/>
        <v>0</v>
      </c>
      <c r="OD507" s="98">
        <f t="shared" si="3529"/>
        <v>0</v>
      </c>
      <c r="OE507" s="98">
        <f t="shared" si="3529"/>
        <v>0</v>
      </c>
      <c r="OF507" s="98">
        <f t="shared" si="3529"/>
        <v>0</v>
      </c>
      <c r="OG507" s="98">
        <f t="shared" si="3529"/>
        <v>0</v>
      </c>
      <c r="OH507" s="98">
        <f t="shared" si="3529"/>
        <v>0</v>
      </c>
      <c r="OI507" s="98">
        <f t="shared" si="3529"/>
        <v>0</v>
      </c>
      <c r="OJ507" s="98">
        <f t="shared" si="3529"/>
        <v>0</v>
      </c>
      <c r="OK507" s="198">
        <f t="shared" si="2672"/>
        <v>0</v>
      </c>
      <c r="OL507" s="198">
        <f t="shared" si="2673"/>
        <v>0</v>
      </c>
      <c r="OM507" s="98">
        <f t="shared" ref="OM507:OZ507" si="3530">SUM(OM36,OM74,OM112,OM150,OM188,OM226,OM264,OM302,OM340,OM378,OM416,OM454)</f>
        <v>0</v>
      </c>
      <c r="ON507" s="98">
        <f t="shared" si="3530"/>
        <v>0</v>
      </c>
      <c r="OO507" s="98">
        <f t="shared" si="3530"/>
        <v>0</v>
      </c>
      <c r="OP507" s="98">
        <f t="shared" si="3530"/>
        <v>0</v>
      </c>
      <c r="OQ507" s="98">
        <f t="shared" si="3530"/>
        <v>0</v>
      </c>
      <c r="OR507" s="98">
        <f t="shared" si="3530"/>
        <v>0</v>
      </c>
      <c r="OS507" s="98">
        <f t="shared" si="3530"/>
        <v>0</v>
      </c>
      <c r="OT507" s="98">
        <f t="shared" si="3530"/>
        <v>0</v>
      </c>
      <c r="OU507" s="98">
        <f t="shared" si="3530"/>
        <v>0</v>
      </c>
      <c r="OV507" s="98">
        <f t="shared" si="3530"/>
        <v>0</v>
      </c>
      <c r="OW507" s="98">
        <f t="shared" si="3530"/>
        <v>0</v>
      </c>
      <c r="OX507" s="98">
        <f t="shared" si="3530"/>
        <v>0</v>
      </c>
      <c r="OY507" s="98">
        <f t="shared" si="3530"/>
        <v>0</v>
      </c>
      <c r="OZ507" s="98">
        <f t="shared" si="3530"/>
        <v>0</v>
      </c>
      <c r="PA507" s="198">
        <f t="shared" si="2675"/>
        <v>0</v>
      </c>
      <c r="PB507" s="198">
        <f t="shared" si="2676"/>
        <v>0</v>
      </c>
      <c r="PC507" s="98">
        <f t="shared" ref="PC507:PP507" si="3531">SUM(PC36,PC74,PC112,PC150,PC188,PC226,PC264,PC302,PC340,PC378,PC416,PC454)</f>
        <v>0</v>
      </c>
      <c r="PD507" s="98">
        <f t="shared" si="3531"/>
        <v>0</v>
      </c>
      <c r="PE507" s="98">
        <f t="shared" si="3531"/>
        <v>0</v>
      </c>
      <c r="PF507" s="98">
        <f t="shared" si="3531"/>
        <v>0</v>
      </c>
      <c r="PG507" s="98">
        <f t="shared" si="3531"/>
        <v>0</v>
      </c>
      <c r="PH507" s="98">
        <f t="shared" si="3531"/>
        <v>0</v>
      </c>
      <c r="PI507" s="98">
        <f t="shared" si="3531"/>
        <v>0</v>
      </c>
      <c r="PJ507" s="98">
        <f t="shared" si="3531"/>
        <v>0</v>
      </c>
      <c r="PK507" s="98">
        <f t="shared" si="3531"/>
        <v>0</v>
      </c>
      <c r="PL507" s="98">
        <f t="shared" si="3531"/>
        <v>0</v>
      </c>
      <c r="PM507" s="98">
        <f t="shared" si="3531"/>
        <v>0</v>
      </c>
      <c r="PN507" s="98">
        <f t="shared" si="3531"/>
        <v>0</v>
      </c>
      <c r="PO507" s="98">
        <f t="shared" si="3531"/>
        <v>0</v>
      </c>
      <c r="PP507" s="98">
        <f t="shared" si="3531"/>
        <v>0</v>
      </c>
      <c r="PQ507" s="198">
        <f t="shared" si="2678"/>
        <v>0</v>
      </c>
      <c r="PR507" s="198">
        <f t="shared" si="2679"/>
        <v>0</v>
      </c>
      <c r="PS507" s="98">
        <f t="shared" ref="PS507:QF507" si="3532">SUM(PS36,PS74,PS112,PS150,PS188,PS226,PS264,PS302,PS340,PS378,PS416,PS454)</f>
        <v>0</v>
      </c>
      <c r="PT507" s="98">
        <f t="shared" si="3532"/>
        <v>0</v>
      </c>
      <c r="PU507" s="98">
        <f t="shared" si="3532"/>
        <v>0</v>
      </c>
      <c r="PV507" s="98">
        <f t="shared" si="3532"/>
        <v>0</v>
      </c>
      <c r="PW507" s="98">
        <f t="shared" si="3532"/>
        <v>0</v>
      </c>
      <c r="PX507" s="98">
        <f t="shared" si="3532"/>
        <v>0</v>
      </c>
      <c r="PY507" s="98">
        <f t="shared" si="3532"/>
        <v>0</v>
      </c>
      <c r="PZ507" s="98">
        <f t="shared" si="3532"/>
        <v>0</v>
      </c>
      <c r="QA507" s="98">
        <f t="shared" si="3532"/>
        <v>0</v>
      </c>
      <c r="QB507" s="98">
        <f t="shared" si="3532"/>
        <v>0</v>
      </c>
      <c r="QC507" s="98">
        <f t="shared" si="3532"/>
        <v>0</v>
      </c>
      <c r="QD507" s="98">
        <f t="shared" si="3532"/>
        <v>0</v>
      </c>
      <c r="QE507" s="98">
        <f t="shared" si="3532"/>
        <v>0</v>
      </c>
      <c r="QF507" s="98">
        <f t="shared" si="3532"/>
        <v>0</v>
      </c>
      <c r="QG507" s="198">
        <f t="shared" si="2681"/>
        <v>0</v>
      </c>
      <c r="QH507" s="198">
        <f t="shared" si="2682"/>
        <v>0</v>
      </c>
      <c r="QI507" s="98">
        <f t="shared" ref="QI507:QV507" si="3533">SUM(QI36,QI74,QI112,QI150,QI188,QI226,QI264,QI302,QI340,QI378,QI416,QI454)</f>
        <v>0</v>
      </c>
      <c r="QJ507" s="98">
        <f t="shared" si="3533"/>
        <v>0</v>
      </c>
      <c r="QK507" s="98">
        <f t="shared" si="3533"/>
        <v>0</v>
      </c>
      <c r="QL507" s="98">
        <f t="shared" si="3533"/>
        <v>0</v>
      </c>
      <c r="QM507" s="98">
        <f t="shared" si="3533"/>
        <v>0</v>
      </c>
      <c r="QN507" s="98">
        <f t="shared" si="3533"/>
        <v>0</v>
      </c>
      <c r="QO507" s="98">
        <f t="shared" si="3533"/>
        <v>0</v>
      </c>
      <c r="QP507" s="98">
        <f t="shared" si="3533"/>
        <v>0</v>
      </c>
      <c r="QQ507" s="98">
        <f t="shared" si="3533"/>
        <v>0</v>
      </c>
      <c r="QR507" s="98">
        <f t="shared" si="3533"/>
        <v>0</v>
      </c>
      <c r="QS507" s="98">
        <f t="shared" si="3533"/>
        <v>0</v>
      </c>
      <c r="QT507" s="98">
        <f t="shared" si="3533"/>
        <v>0</v>
      </c>
      <c r="QU507" s="98">
        <f t="shared" si="3533"/>
        <v>0</v>
      </c>
      <c r="QV507" s="98">
        <f t="shared" si="3533"/>
        <v>0</v>
      </c>
      <c r="QW507" s="198">
        <f t="shared" si="2684"/>
        <v>0</v>
      </c>
      <c r="QX507" s="198">
        <f t="shared" si="2685"/>
        <v>0</v>
      </c>
      <c r="QY507" s="98">
        <f t="shared" ref="QY507:RL507" si="3534">SUM(QY36,QY74,QY112,QY150,QY188,QY226,QY264,QY302,QY340,QY378,QY416,QY454)</f>
        <v>0</v>
      </c>
      <c r="QZ507" s="98">
        <f t="shared" si="3534"/>
        <v>0</v>
      </c>
      <c r="RA507" s="98">
        <f t="shared" si="3534"/>
        <v>0</v>
      </c>
      <c r="RB507" s="98">
        <f t="shared" si="3534"/>
        <v>0</v>
      </c>
      <c r="RC507" s="98">
        <f t="shared" si="3534"/>
        <v>0</v>
      </c>
      <c r="RD507" s="98">
        <f t="shared" si="3534"/>
        <v>0</v>
      </c>
      <c r="RE507" s="98">
        <f t="shared" si="3534"/>
        <v>0</v>
      </c>
      <c r="RF507" s="98">
        <f t="shared" si="3534"/>
        <v>0</v>
      </c>
      <c r="RG507" s="98">
        <f t="shared" si="3534"/>
        <v>0</v>
      </c>
      <c r="RH507" s="98">
        <f t="shared" si="3534"/>
        <v>0</v>
      </c>
      <c r="RI507" s="98">
        <f t="shared" si="3534"/>
        <v>0</v>
      </c>
      <c r="RJ507" s="98">
        <f t="shared" si="3534"/>
        <v>0</v>
      </c>
      <c r="RK507" s="98">
        <f t="shared" si="3534"/>
        <v>0</v>
      </c>
      <c r="RL507" s="98">
        <f t="shared" si="3534"/>
        <v>0</v>
      </c>
      <c r="RM507" s="198">
        <f t="shared" si="2687"/>
        <v>0</v>
      </c>
      <c r="RN507" s="198">
        <f t="shared" si="2688"/>
        <v>0</v>
      </c>
      <c r="RO507" s="98">
        <f t="shared" ref="RO507:SB507" si="3535">SUM(RO36,RO74,RO112,RO150,RO188,RO226,RO264,RO302,RO340,RO378,RO416,RO454)</f>
        <v>0</v>
      </c>
      <c r="RP507" s="98">
        <f t="shared" si="3535"/>
        <v>0</v>
      </c>
      <c r="RQ507" s="98">
        <f t="shared" si="3535"/>
        <v>0</v>
      </c>
      <c r="RR507" s="98">
        <f t="shared" si="3535"/>
        <v>0</v>
      </c>
      <c r="RS507" s="98">
        <f t="shared" si="3535"/>
        <v>0</v>
      </c>
      <c r="RT507" s="98">
        <f t="shared" si="3535"/>
        <v>0</v>
      </c>
      <c r="RU507" s="98">
        <f t="shared" si="3535"/>
        <v>0</v>
      </c>
      <c r="RV507" s="98">
        <f t="shared" si="3535"/>
        <v>0</v>
      </c>
      <c r="RW507" s="98">
        <f t="shared" si="3535"/>
        <v>0</v>
      </c>
      <c r="RX507" s="98">
        <f t="shared" si="3535"/>
        <v>0</v>
      </c>
      <c r="RY507" s="98">
        <f t="shared" si="3535"/>
        <v>0</v>
      </c>
      <c r="RZ507" s="98">
        <f t="shared" si="3535"/>
        <v>0</v>
      </c>
      <c r="SA507" s="98">
        <f t="shared" si="3535"/>
        <v>0</v>
      </c>
      <c r="SB507" s="98">
        <f t="shared" si="3535"/>
        <v>0</v>
      </c>
      <c r="SC507" s="198">
        <f t="shared" si="2690"/>
        <v>0</v>
      </c>
      <c r="SD507" s="198">
        <f t="shared" si="2691"/>
        <v>0</v>
      </c>
      <c r="SE507" s="98">
        <f t="shared" ref="SE507:SR507" si="3536">SUM(SE36,SE74,SE112,SE150,SE188,SE226,SE264,SE302,SE340,SE378,SE416,SE454)</f>
        <v>0</v>
      </c>
      <c r="SF507" s="98">
        <f t="shared" si="3536"/>
        <v>0</v>
      </c>
      <c r="SG507" s="98">
        <f t="shared" si="3536"/>
        <v>0</v>
      </c>
      <c r="SH507" s="98">
        <f t="shared" si="3536"/>
        <v>0</v>
      </c>
      <c r="SI507" s="98">
        <f t="shared" si="3536"/>
        <v>0</v>
      </c>
      <c r="SJ507" s="98">
        <f t="shared" si="3536"/>
        <v>0</v>
      </c>
      <c r="SK507" s="98">
        <f t="shared" si="3536"/>
        <v>0</v>
      </c>
      <c r="SL507" s="98">
        <f t="shared" si="3536"/>
        <v>0</v>
      </c>
      <c r="SM507" s="98">
        <f t="shared" si="3536"/>
        <v>0</v>
      </c>
      <c r="SN507" s="98">
        <f t="shared" si="3536"/>
        <v>0</v>
      </c>
      <c r="SO507" s="98">
        <f t="shared" si="3536"/>
        <v>0</v>
      </c>
      <c r="SP507" s="98">
        <f t="shared" si="3536"/>
        <v>0</v>
      </c>
      <c r="SQ507" s="98">
        <f t="shared" si="3536"/>
        <v>0</v>
      </c>
      <c r="SR507" s="98">
        <f t="shared" si="3536"/>
        <v>0</v>
      </c>
      <c r="SS507" s="198">
        <f t="shared" si="2693"/>
        <v>0</v>
      </c>
      <c r="ST507" s="198">
        <f t="shared" si="2694"/>
        <v>0</v>
      </c>
      <c r="SU507" s="98">
        <f t="shared" ref="SU507:TH507" si="3537">SUM(SU36,SU74,SU112,SU150,SU188,SU226,SU264,SU302,SU340,SU378,SU416,SU454)</f>
        <v>0</v>
      </c>
      <c r="SV507" s="98">
        <f t="shared" si="3537"/>
        <v>0</v>
      </c>
      <c r="SW507" s="98">
        <f t="shared" si="3537"/>
        <v>0</v>
      </c>
      <c r="SX507" s="98">
        <f t="shared" si="3537"/>
        <v>0</v>
      </c>
      <c r="SY507" s="98">
        <f t="shared" si="3537"/>
        <v>0</v>
      </c>
      <c r="SZ507" s="98">
        <f t="shared" si="3537"/>
        <v>0</v>
      </c>
      <c r="TA507" s="98">
        <f t="shared" si="3537"/>
        <v>0</v>
      </c>
      <c r="TB507" s="98">
        <f t="shared" si="3537"/>
        <v>0</v>
      </c>
      <c r="TC507" s="98">
        <f t="shared" si="3537"/>
        <v>0</v>
      </c>
      <c r="TD507" s="98">
        <f t="shared" si="3537"/>
        <v>0</v>
      </c>
      <c r="TE507" s="98">
        <f t="shared" si="3537"/>
        <v>0</v>
      </c>
      <c r="TF507" s="98">
        <f t="shared" si="3537"/>
        <v>0</v>
      </c>
      <c r="TG507" s="98">
        <f t="shared" si="3537"/>
        <v>0</v>
      </c>
      <c r="TH507" s="98">
        <f t="shared" si="3537"/>
        <v>0</v>
      </c>
      <c r="TI507" s="198">
        <f t="shared" si="2696"/>
        <v>0</v>
      </c>
      <c r="TJ507" s="198">
        <f t="shared" si="2697"/>
        <v>0</v>
      </c>
      <c r="TK507" s="98">
        <f t="shared" ref="TK507:TX507" si="3538">SUM(TK36,TK74,TK112,TK150,TK188,TK226,TK264,TK302,TK340,TK378,TK416,TK454)</f>
        <v>0</v>
      </c>
      <c r="TL507" s="98">
        <f t="shared" si="3538"/>
        <v>0</v>
      </c>
      <c r="TM507" s="98">
        <f t="shared" si="3538"/>
        <v>0</v>
      </c>
      <c r="TN507" s="98">
        <f t="shared" si="3538"/>
        <v>0</v>
      </c>
      <c r="TO507" s="98">
        <f t="shared" si="3538"/>
        <v>0</v>
      </c>
      <c r="TP507" s="98">
        <f t="shared" si="3538"/>
        <v>0</v>
      </c>
      <c r="TQ507" s="98">
        <f t="shared" si="3538"/>
        <v>0</v>
      </c>
      <c r="TR507" s="98">
        <f t="shared" si="3538"/>
        <v>0</v>
      </c>
      <c r="TS507" s="98">
        <f t="shared" si="3538"/>
        <v>0</v>
      </c>
      <c r="TT507" s="98">
        <f t="shared" si="3538"/>
        <v>0</v>
      </c>
      <c r="TU507" s="98">
        <f t="shared" si="3538"/>
        <v>0</v>
      </c>
      <c r="TV507" s="98">
        <f t="shared" si="3538"/>
        <v>0</v>
      </c>
      <c r="TW507" s="98">
        <f t="shared" si="3538"/>
        <v>0</v>
      </c>
      <c r="TX507" s="98">
        <f t="shared" si="3538"/>
        <v>0</v>
      </c>
      <c r="TY507" s="198">
        <f t="shared" si="2699"/>
        <v>0</v>
      </c>
      <c r="TZ507" s="198">
        <f t="shared" si="2700"/>
        <v>0</v>
      </c>
      <c r="UA507" s="98">
        <f t="shared" ref="UA507:UN507" si="3539">SUM(UA36,UA74,UA112,UA150,UA188,UA226,UA264,UA302,UA340,UA378,UA416,UA454)</f>
        <v>0</v>
      </c>
      <c r="UB507" s="98">
        <f t="shared" si="3539"/>
        <v>0</v>
      </c>
      <c r="UC507" s="98">
        <f t="shared" si="3539"/>
        <v>0</v>
      </c>
      <c r="UD507" s="98">
        <f t="shared" si="3539"/>
        <v>0</v>
      </c>
      <c r="UE507" s="98">
        <f t="shared" si="3539"/>
        <v>0</v>
      </c>
      <c r="UF507" s="98">
        <f t="shared" si="3539"/>
        <v>0</v>
      </c>
      <c r="UG507" s="98">
        <f t="shared" si="3539"/>
        <v>0</v>
      </c>
      <c r="UH507" s="98">
        <f t="shared" si="3539"/>
        <v>0</v>
      </c>
      <c r="UI507" s="98">
        <f t="shared" si="3539"/>
        <v>0</v>
      </c>
      <c r="UJ507" s="98">
        <f t="shared" si="3539"/>
        <v>0</v>
      </c>
      <c r="UK507" s="98">
        <f t="shared" si="3539"/>
        <v>0</v>
      </c>
      <c r="UL507" s="98">
        <f t="shared" si="3539"/>
        <v>0</v>
      </c>
      <c r="UM507" s="98">
        <f t="shared" si="3539"/>
        <v>0</v>
      </c>
      <c r="UN507" s="98">
        <f t="shared" si="3539"/>
        <v>0</v>
      </c>
      <c r="UO507" s="198">
        <f t="shared" si="2702"/>
        <v>0</v>
      </c>
      <c r="UP507" s="198">
        <f t="shared" si="2703"/>
        <v>0</v>
      </c>
      <c r="UQ507" s="98">
        <f t="shared" ref="UQ507:VD507" si="3540">SUM(UQ36,UQ74,UQ112,UQ150,UQ188,UQ226,UQ264,UQ302,UQ340,UQ378,UQ416,UQ454)</f>
        <v>0</v>
      </c>
      <c r="UR507" s="98">
        <f t="shared" si="3540"/>
        <v>0</v>
      </c>
      <c r="US507" s="98">
        <f t="shared" si="3540"/>
        <v>0</v>
      </c>
      <c r="UT507" s="98">
        <f t="shared" si="3540"/>
        <v>0</v>
      </c>
      <c r="UU507" s="98">
        <f t="shared" si="3540"/>
        <v>0</v>
      </c>
      <c r="UV507" s="98">
        <f t="shared" si="3540"/>
        <v>0</v>
      </c>
      <c r="UW507" s="98">
        <f t="shared" si="3540"/>
        <v>0</v>
      </c>
      <c r="UX507" s="98">
        <f t="shared" si="3540"/>
        <v>0</v>
      </c>
      <c r="UY507" s="98">
        <f t="shared" si="3540"/>
        <v>0</v>
      </c>
      <c r="UZ507" s="98">
        <f t="shared" si="3540"/>
        <v>0</v>
      </c>
      <c r="VA507" s="98">
        <f t="shared" si="3540"/>
        <v>0</v>
      </c>
      <c r="VB507" s="98">
        <f t="shared" si="3540"/>
        <v>0</v>
      </c>
      <c r="VC507" s="98">
        <f t="shared" si="3540"/>
        <v>0</v>
      </c>
      <c r="VD507" s="98">
        <f t="shared" si="3540"/>
        <v>0</v>
      </c>
      <c r="VE507" s="198">
        <f t="shared" si="2705"/>
        <v>0</v>
      </c>
      <c r="VF507" s="198">
        <f t="shared" si="2706"/>
        <v>0</v>
      </c>
      <c r="VG507" s="98">
        <f t="shared" ref="VG507:VT507" si="3541">SUM(VG36,VG74,VG112,VG150,VG188,VG226,VG264,VG302,VG340,VG378,VG416,VG454)</f>
        <v>0</v>
      </c>
      <c r="VH507" s="98">
        <f t="shared" si="3541"/>
        <v>0</v>
      </c>
      <c r="VI507" s="98">
        <f t="shared" si="3541"/>
        <v>0</v>
      </c>
      <c r="VJ507" s="98">
        <f t="shared" si="3541"/>
        <v>0</v>
      </c>
      <c r="VK507" s="98">
        <f t="shared" si="3541"/>
        <v>0</v>
      </c>
      <c r="VL507" s="98">
        <f t="shared" si="3541"/>
        <v>0</v>
      </c>
      <c r="VM507" s="98">
        <f t="shared" si="3541"/>
        <v>0</v>
      </c>
      <c r="VN507" s="98">
        <f t="shared" si="3541"/>
        <v>0</v>
      </c>
      <c r="VO507" s="98">
        <f t="shared" si="3541"/>
        <v>0</v>
      </c>
      <c r="VP507" s="98">
        <f t="shared" si="3541"/>
        <v>0</v>
      </c>
      <c r="VQ507" s="98">
        <f t="shared" si="3541"/>
        <v>0</v>
      </c>
      <c r="VR507" s="98">
        <f t="shared" si="3541"/>
        <v>0</v>
      </c>
      <c r="VS507" s="98">
        <f t="shared" si="3541"/>
        <v>0</v>
      </c>
      <c r="VT507" s="98">
        <f t="shared" si="3541"/>
        <v>0</v>
      </c>
      <c r="VU507" s="198">
        <f t="shared" si="2708"/>
        <v>0</v>
      </c>
      <c r="VV507" s="198">
        <f t="shared" si="2709"/>
        <v>0</v>
      </c>
      <c r="VW507" s="98">
        <f t="shared" ref="VW507:WJ507" si="3542">SUM(VW36,VW74,VW112,VW150,VW188,VW226,VW264,VW302,VW340,VW378,VW416,VW454)</f>
        <v>0</v>
      </c>
      <c r="VX507" s="98">
        <f t="shared" si="3542"/>
        <v>0</v>
      </c>
      <c r="VY507" s="98">
        <f t="shared" si="3542"/>
        <v>0</v>
      </c>
      <c r="VZ507" s="98">
        <f t="shared" si="3542"/>
        <v>0</v>
      </c>
      <c r="WA507" s="98">
        <f t="shared" si="3542"/>
        <v>0</v>
      </c>
      <c r="WB507" s="98">
        <f t="shared" si="3542"/>
        <v>0</v>
      </c>
      <c r="WC507" s="98">
        <f t="shared" si="3542"/>
        <v>0</v>
      </c>
      <c r="WD507" s="98">
        <f t="shared" si="3542"/>
        <v>0</v>
      </c>
      <c r="WE507" s="98">
        <f t="shared" si="3542"/>
        <v>0</v>
      </c>
      <c r="WF507" s="98">
        <f t="shared" si="3542"/>
        <v>0</v>
      </c>
      <c r="WG507" s="98">
        <f t="shared" si="3542"/>
        <v>0</v>
      </c>
      <c r="WH507" s="98">
        <f t="shared" si="3542"/>
        <v>0</v>
      </c>
      <c r="WI507" s="98">
        <f t="shared" si="3542"/>
        <v>0</v>
      </c>
      <c r="WJ507" s="98">
        <f t="shared" si="3542"/>
        <v>0</v>
      </c>
      <c r="WK507" s="198">
        <f t="shared" si="2711"/>
        <v>0</v>
      </c>
      <c r="WL507" s="198">
        <f t="shared" si="2712"/>
        <v>0</v>
      </c>
      <c r="WN507" s="98">
        <f t="shared" si="2713"/>
        <v>0</v>
      </c>
      <c r="WO507" s="98">
        <f t="shared" si="2714"/>
        <v>0</v>
      </c>
      <c r="WP507" s="98">
        <f t="shared" si="2715"/>
        <v>26700</v>
      </c>
      <c r="WQ507" s="98">
        <f t="shared" si="2716"/>
        <v>80100</v>
      </c>
      <c r="WR507" s="98">
        <f t="shared" si="2717"/>
        <v>0</v>
      </c>
      <c r="WS507" s="98">
        <f t="shared" si="2718"/>
        <v>0</v>
      </c>
      <c r="WT507" s="98">
        <f t="shared" si="2719"/>
        <v>0</v>
      </c>
      <c r="WU507" s="98">
        <f t="shared" si="2720"/>
        <v>0</v>
      </c>
      <c r="WV507" s="98">
        <f t="shared" si="2721"/>
        <v>0</v>
      </c>
      <c r="WW507" s="98">
        <f t="shared" si="2722"/>
        <v>0</v>
      </c>
      <c r="WX507" s="98">
        <f t="shared" si="2723"/>
        <v>0</v>
      </c>
      <c r="WY507" s="98">
        <f t="shared" si="2724"/>
        <v>0</v>
      </c>
      <c r="WZ507" s="98">
        <f t="shared" si="2725"/>
        <v>0</v>
      </c>
      <c r="XA507" s="98">
        <f t="shared" si="2726"/>
        <v>0</v>
      </c>
      <c r="XB507" s="107">
        <f t="shared" si="2727"/>
        <v>26700</v>
      </c>
      <c r="XC507" s="107">
        <f t="shared" si="2728"/>
        <v>80100</v>
      </c>
      <c r="XK507" s="98">
        <f t="shared" si="2729"/>
        <v>0</v>
      </c>
      <c r="XL507" s="98">
        <f t="shared" si="2730"/>
        <v>0</v>
      </c>
      <c r="XM507" s="98">
        <f t="shared" si="2731"/>
        <v>0</v>
      </c>
      <c r="XN507" s="98">
        <f t="shared" si="2732"/>
        <v>0</v>
      </c>
      <c r="XO507" s="98">
        <f t="shared" si="2733"/>
        <v>106800</v>
      </c>
      <c r="XP507" s="98">
        <f t="shared" si="2734"/>
        <v>0</v>
      </c>
      <c r="XQ507" s="98">
        <f t="shared" si="2735"/>
        <v>106800</v>
      </c>
      <c r="XR507" s="107">
        <f t="shared" ca="1" si="2597"/>
        <v>240300</v>
      </c>
      <c r="XT507" s="98">
        <f t="shared" si="2736"/>
        <v>80100</v>
      </c>
      <c r="XU507" s="98">
        <f t="shared" si="2737"/>
        <v>26700</v>
      </c>
      <c r="XV507" s="98">
        <f t="shared" si="2738"/>
        <v>80100</v>
      </c>
      <c r="XW507" s="98">
        <f t="shared" si="2739"/>
        <v>0</v>
      </c>
      <c r="XX507" s="98">
        <f t="shared" si="2740"/>
        <v>0</v>
      </c>
      <c r="XY507" s="98">
        <f t="shared" si="2741"/>
        <v>0</v>
      </c>
      <c r="XZ507" s="98">
        <f t="shared" si="2742"/>
        <v>106800</v>
      </c>
      <c r="YA507" s="107">
        <f t="shared" ca="1" si="2598"/>
        <v>267000</v>
      </c>
    </row>
    <row r="508" spans="2:651">
      <c r="B508" s="90" t="str">
        <f t="shared" si="2558"/>
        <v xml:space="preserve">Udang Galah </v>
      </c>
      <c r="C508" s="98">
        <f t="shared" ref="C508:P508" si="3543">SUM(C37,C75,C113,C151,C189,C227,C265,C303,C341,C379,C417,C455)</f>
        <v>0</v>
      </c>
      <c r="D508" s="98">
        <f t="shared" si="3543"/>
        <v>0</v>
      </c>
      <c r="E508" s="98">
        <f t="shared" si="3543"/>
        <v>0</v>
      </c>
      <c r="F508" s="98">
        <f t="shared" si="3543"/>
        <v>0</v>
      </c>
      <c r="G508" s="98">
        <f t="shared" si="3543"/>
        <v>0</v>
      </c>
      <c r="H508" s="98">
        <f t="shared" si="3543"/>
        <v>0</v>
      </c>
      <c r="I508" s="98">
        <f t="shared" si="3543"/>
        <v>0</v>
      </c>
      <c r="J508" s="98">
        <f t="shared" si="3543"/>
        <v>0</v>
      </c>
      <c r="K508" s="98">
        <f t="shared" si="3543"/>
        <v>0</v>
      </c>
      <c r="L508" s="98">
        <f t="shared" si="3543"/>
        <v>0</v>
      </c>
      <c r="M508" s="98">
        <f t="shared" si="3543"/>
        <v>0</v>
      </c>
      <c r="N508" s="98">
        <f t="shared" si="3543"/>
        <v>0</v>
      </c>
      <c r="O508" s="98">
        <f t="shared" si="3543"/>
        <v>0</v>
      </c>
      <c r="P508" s="98">
        <f t="shared" si="3543"/>
        <v>0</v>
      </c>
      <c r="Q508" s="198">
        <f t="shared" si="2600"/>
        <v>0</v>
      </c>
      <c r="R508" s="198">
        <f t="shared" si="2601"/>
        <v>0</v>
      </c>
      <c r="S508" s="98">
        <f t="shared" ref="S508:AF508" si="3544">SUM(S37,S75,S113,S151,S189,S227,S265,S303,S341,S379,S417,S455)</f>
        <v>0</v>
      </c>
      <c r="T508" s="98">
        <f t="shared" si="3544"/>
        <v>0</v>
      </c>
      <c r="U508" s="98">
        <f t="shared" si="3544"/>
        <v>0</v>
      </c>
      <c r="V508" s="98">
        <f t="shared" si="3544"/>
        <v>0</v>
      </c>
      <c r="W508" s="98">
        <f t="shared" si="3544"/>
        <v>0</v>
      </c>
      <c r="X508" s="98">
        <f t="shared" si="3544"/>
        <v>0</v>
      </c>
      <c r="Y508" s="98">
        <f t="shared" si="3544"/>
        <v>0</v>
      </c>
      <c r="Z508" s="98">
        <f t="shared" si="3544"/>
        <v>0</v>
      </c>
      <c r="AA508" s="98">
        <f t="shared" si="3544"/>
        <v>0</v>
      </c>
      <c r="AB508" s="98">
        <f t="shared" si="3544"/>
        <v>0</v>
      </c>
      <c r="AC508" s="98">
        <f t="shared" si="3544"/>
        <v>0</v>
      </c>
      <c r="AD508" s="98">
        <f t="shared" si="3544"/>
        <v>0</v>
      </c>
      <c r="AE508" s="98">
        <f t="shared" si="3544"/>
        <v>0</v>
      </c>
      <c r="AF508" s="98">
        <f t="shared" si="3544"/>
        <v>0</v>
      </c>
      <c r="AG508" s="198">
        <f t="shared" si="2603"/>
        <v>0</v>
      </c>
      <c r="AH508" s="198">
        <f t="shared" si="2604"/>
        <v>0</v>
      </c>
      <c r="AI508" s="98">
        <f t="shared" ref="AI508:AV508" si="3545">SUM(AI37,AI75,AI113,AI151,AI189,AI227,AI265,AI303,AI341,AI379,AI417,AI455)</f>
        <v>0</v>
      </c>
      <c r="AJ508" s="98">
        <f t="shared" si="3545"/>
        <v>0</v>
      </c>
      <c r="AK508" s="98">
        <f t="shared" si="3545"/>
        <v>0</v>
      </c>
      <c r="AL508" s="98">
        <f t="shared" si="3545"/>
        <v>0</v>
      </c>
      <c r="AM508" s="98">
        <f t="shared" si="3545"/>
        <v>0</v>
      </c>
      <c r="AN508" s="98">
        <f t="shared" si="3545"/>
        <v>0</v>
      </c>
      <c r="AO508" s="98">
        <f t="shared" si="3545"/>
        <v>0</v>
      </c>
      <c r="AP508" s="98">
        <f t="shared" si="3545"/>
        <v>0</v>
      </c>
      <c r="AQ508" s="98">
        <f t="shared" si="3545"/>
        <v>0</v>
      </c>
      <c r="AR508" s="98">
        <f t="shared" si="3545"/>
        <v>0</v>
      </c>
      <c r="AS508" s="98">
        <f t="shared" si="3545"/>
        <v>0</v>
      </c>
      <c r="AT508" s="98">
        <f t="shared" si="3545"/>
        <v>0</v>
      </c>
      <c r="AU508" s="98">
        <f t="shared" si="3545"/>
        <v>0</v>
      </c>
      <c r="AV508" s="98">
        <f t="shared" si="3545"/>
        <v>0</v>
      </c>
      <c r="AW508" s="198">
        <f t="shared" si="2606"/>
        <v>0</v>
      </c>
      <c r="AX508" s="198">
        <f t="shared" si="2607"/>
        <v>0</v>
      </c>
      <c r="AY508" s="98">
        <f t="shared" ref="AY508:BL508" si="3546">SUM(AY37,AY75,AY113,AY151,AY189,AY227,AY265,AY303,AY341,AY379,AY417,AY455)</f>
        <v>0</v>
      </c>
      <c r="AZ508" s="98">
        <f t="shared" si="3546"/>
        <v>0</v>
      </c>
      <c r="BA508" s="98">
        <f t="shared" si="3546"/>
        <v>0</v>
      </c>
      <c r="BB508" s="98">
        <f t="shared" si="3546"/>
        <v>0</v>
      </c>
      <c r="BC508" s="98">
        <f t="shared" si="3546"/>
        <v>0</v>
      </c>
      <c r="BD508" s="98">
        <f t="shared" si="3546"/>
        <v>0</v>
      </c>
      <c r="BE508" s="98">
        <f t="shared" si="3546"/>
        <v>0</v>
      </c>
      <c r="BF508" s="98">
        <f t="shared" si="3546"/>
        <v>0</v>
      </c>
      <c r="BG508" s="98">
        <f t="shared" si="3546"/>
        <v>0</v>
      </c>
      <c r="BH508" s="98">
        <f t="shared" si="3546"/>
        <v>0</v>
      </c>
      <c r="BI508" s="98">
        <f t="shared" si="3546"/>
        <v>0</v>
      </c>
      <c r="BJ508" s="98">
        <f t="shared" si="3546"/>
        <v>0</v>
      </c>
      <c r="BK508" s="98">
        <f t="shared" si="3546"/>
        <v>0</v>
      </c>
      <c r="BL508" s="98">
        <f t="shared" si="3546"/>
        <v>0</v>
      </c>
      <c r="BM508" s="198">
        <f t="shared" si="2609"/>
        <v>0</v>
      </c>
      <c r="BN508" s="198">
        <f t="shared" si="2610"/>
        <v>0</v>
      </c>
      <c r="BO508" s="98">
        <f t="shared" ref="BO508:CB508" si="3547">SUM(BO37,BO75,BO113,BO151,BO189,BO227,BO265,BO303,BO341,BO379,BO417,BO455)</f>
        <v>0</v>
      </c>
      <c r="BP508" s="98">
        <f t="shared" si="3547"/>
        <v>0</v>
      </c>
      <c r="BQ508" s="98">
        <f t="shared" si="3547"/>
        <v>0</v>
      </c>
      <c r="BR508" s="98">
        <f t="shared" si="3547"/>
        <v>0</v>
      </c>
      <c r="BS508" s="98">
        <f t="shared" si="3547"/>
        <v>0</v>
      </c>
      <c r="BT508" s="98">
        <f t="shared" si="3547"/>
        <v>0</v>
      </c>
      <c r="BU508" s="98">
        <f t="shared" si="3547"/>
        <v>0</v>
      </c>
      <c r="BV508" s="98">
        <f t="shared" si="3547"/>
        <v>0</v>
      </c>
      <c r="BW508" s="98">
        <f t="shared" si="3547"/>
        <v>0</v>
      </c>
      <c r="BX508" s="98">
        <f t="shared" si="3547"/>
        <v>0</v>
      </c>
      <c r="BY508" s="98">
        <f t="shared" si="3547"/>
        <v>0</v>
      </c>
      <c r="BZ508" s="98">
        <f t="shared" si="3547"/>
        <v>0</v>
      </c>
      <c r="CA508" s="98">
        <f t="shared" si="3547"/>
        <v>0</v>
      </c>
      <c r="CB508" s="98">
        <f t="shared" si="3547"/>
        <v>0</v>
      </c>
      <c r="CC508" s="198">
        <f t="shared" si="2612"/>
        <v>0</v>
      </c>
      <c r="CD508" s="198">
        <f t="shared" si="2613"/>
        <v>0</v>
      </c>
      <c r="CE508" s="98">
        <f t="shared" ref="CE508:CR508" si="3548">SUM(CE37,CE75,CE113,CE151,CE189,CE227,CE265,CE303,CE341,CE379,CE417,CE455)</f>
        <v>0</v>
      </c>
      <c r="CF508" s="98">
        <f t="shared" si="3548"/>
        <v>0</v>
      </c>
      <c r="CG508" s="98">
        <f t="shared" si="3548"/>
        <v>0</v>
      </c>
      <c r="CH508" s="98">
        <f t="shared" si="3548"/>
        <v>0</v>
      </c>
      <c r="CI508" s="98">
        <f t="shared" si="3548"/>
        <v>0</v>
      </c>
      <c r="CJ508" s="98">
        <f t="shared" si="3548"/>
        <v>0</v>
      </c>
      <c r="CK508" s="98">
        <f t="shared" si="3548"/>
        <v>0</v>
      </c>
      <c r="CL508" s="98">
        <f t="shared" si="3548"/>
        <v>0</v>
      </c>
      <c r="CM508" s="98">
        <f t="shared" si="3548"/>
        <v>0</v>
      </c>
      <c r="CN508" s="98">
        <f t="shared" si="3548"/>
        <v>0</v>
      </c>
      <c r="CO508" s="98">
        <f t="shared" si="3548"/>
        <v>0</v>
      </c>
      <c r="CP508" s="98">
        <f t="shared" si="3548"/>
        <v>0</v>
      </c>
      <c r="CQ508" s="98">
        <f t="shared" si="3548"/>
        <v>0</v>
      </c>
      <c r="CR508" s="98">
        <f t="shared" si="3548"/>
        <v>0</v>
      </c>
      <c r="CS508" s="198">
        <f t="shared" si="2615"/>
        <v>0</v>
      </c>
      <c r="CT508" s="198">
        <f t="shared" si="2616"/>
        <v>0</v>
      </c>
      <c r="CU508" s="98">
        <f t="shared" ref="CU508:DH508" si="3549">SUM(CU37,CU75,CU113,CU151,CU189,CU227,CU265,CU303,CU341,CU379,CU417,CU455)</f>
        <v>0</v>
      </c>
      <c r="CV508" s="98">
        <f t="shared" si="3549"/>
        <v>0</v>
      </c>
      <c r="CW508" s="98">
        <f t="shared" si="3549"/>
        <v>0</v>
      </c>
      <c r="CX508" s="98">
        <f t="shared" si="3549"/>
        <v>0</v>
      </c>
      <c r="CY508" s="98">
        <f t="shared" si="3549"/>
        <v>0</v>
      </c>
      <c r="CZ508" s="98">
        <f t="shared" si="3549"/>
        <v>0</v>
      </c>
      <c r="DA508" s="98">
        <f t="shared" si="3549"/>
        <v>0</v>
      </c>
      <c r="DB508" s="98">
        <f t="shared" si="3549"/>
        <v>0</v>
      </c>
      <c r="DC508" s="98">
        <f t="shared" si="3549"/>
        <v>0</v>
      </c>
      <c r="DD508" s="98">
        <f t="shared" si="3549"/>
        <v>0</v>
      </c>
      <c r="DE508" s="98">
        <f t="shared" si="3549"/>
        <v>0</v>
      </c>
      <c r="DF508" s="98">
        <f t="shared" si="3549"/>
        <v>0</v>
      </c>
      <c r="DG508" s="98">
        <f t="shared" si="3549"/>
        <v>0</v>
      </c>
      <c r="DH508" s="98">
        <f t="shared" si="3549"/>
        <v>0</v>
      </c>
      <c r="DI508" s="198">
        <f t="shared" si="2618"/>
        <v>0</v>
      </c>
      <c r="DJ508" s="198">
        <f t="shared" si="2619"/>
        <v>0</v>
      </c>
      <c r="DK508" s="98">
        <f t="shared" ref="DK508:DX508" si="3550">SUM(DK37,DK75,DK113,DK151,DK189,DK227,DK265,DK303,DK341,DK379,DK417,DK455)</f>
        <v>0</v>
      </c>
      <c r="DL508" s="98">
        <f t="shared" si="3550"/>
        <v>0</v>
      </c>
      <c r="DM508" s="98">
        <f t="shared" si="3550"/>
        <v>0</v>
      </c>
      <c r="DN508" s="98">
        <f t="shared" si="3550"/>
        <v>0</v>
      </c>
      <c r="DO508" s="98">
        <f t="shared" si="3550"/>
        <v>0</v>
      </c>
      <c r="DP508" s="98">
        <f t="shared" si="3550"/>
        <v>0</v>
      </c>
      <c r="DQ508" s="98">
        <f t="shared" si="3550"/>
        <v>0</v>
      </c>
      <c r="DR508" s="98">
        <f t="shared" si="3550"/>
        <v>0</v>
      </c>
      <c r="DS508" s="98">
        <f t="shared" si="3550"/>
        <v>0</v>
      </c>
      <c r="DT508" s="98">
        <f t="shared" si="3550"/>
        <v>0</v>
      </c>
      <c r="DU508" s="98">
        <f t="shared" si="3550"/>
        <v>0</v>
      </c>
      <c r="DV508" s="98">
        <f t="shared" si="3550"/>
        <v>0</v>
      </c>
      <c r="DW508" s="98">
        <f t="shared" si="3550"/>
        <v>0</v>
      </c>
      <c r="DX508" s="98">
        <f t="shared" si="3550"/>
        <v>0</v>
      </c>
      <c r="DY508" s="198">
        <f t="shared" si="2621"/>
        <v>0</v>
      </c>
      <c r="DZ508" s="198">
        <f t="shared" si="2622"/>
        <v>0</v>
      </c>
      <c r="EA508" s="98">
        <f t="shared" ref="EA508:EN508" si="3551">SUM(EA37,EA75,EA113,EA151,EA189,EA227,EA265,EA303,EA341,EA379,EA417,EA455)</f>
        <v>0</v>
      </c>
      <c r="EB508" s="98">
        <f t="shared" si="3551"/>
        <v>0</v>
      </c>
      <c r="EC508" s="98">
        <f t="shared" si="3551"/>
        <v>0</v>
      </c>
      <c r="ED508" s="98">
        <f t="shared" si="3551"/>
        <v>0</v>
      </c>
      <c r="EE508" s="98">
        <f t="shared" si="3551"/>
        <v>0</v>
      </c>
      <c r="EF508" s="98">
        <f t="shared" si="3551"/>
        <v>0</v>
      </c>
      <c r="EG508" s="98">
        <f t="shared" si="3551"/>
        <v>0</v>
      </c>
      <c r="EH508" s="98">
        <f t="shared" si="3551"/>
        <v>0</v>
      </c>
      <c r="EI508" s="98">
        <f t="shared" si="3551"/>
        <v>0</v>
      </c>
      <c r="EJ508" s="98">
        <f t="shared" si="3551"/>
        <v>0</v>
      </c>
      <c r="EK508" s="98">
        <f t="shared" si="3551"/>
        <v>0</v>
      </c>
      <c r="EL508" s="98">
        <f t="shared" si="3551"/>
        <v>0</v>
      </c>
      <c r="EM508" s="98">
        <f t="shared" si="3551"/>
        <v>0</v>
      </c>
      <c r="EN508" s="98">
        <f t="shared" si="3551"/>
        <v>0</v>
      </c>
      <c r="EO508" s="198">
        <f t="shared" si="2624"/>
        <v>0</v>
      </c>
      <c r="EP508" s="198">
        <f t="shared" si="2625"/>
        <v>0</v>
      </c>
      <c r="EQ508" s="98">
        <f t="shared" ref="EQ508:FD508" si="3552">SUM(EQ37,EQ75,EQ113,EQ151,EQ189,EQ227,EQ265,EQ303,EQ341,EQ379,EQ417,EQ455)</f>
        <v>0</v>
      </c>
      <c r="ER508" s="98">
        <f t="shared" si="3552"/>
        <v>0</v>
      </c>
      <c r="ES508" s="98">
        <f t="shared" si="3552"/>
        <v>0</v>
      </c>
      <c r="ET508" s="98">
        <f t="shared" si="3552"/>
        <v>0</v>
      </c>
      <c r="EU508" s="98">
        <f t="shared" si="3552"/>
        <v>0</v>
      </c>
      <c r="EV508" s="98">
        <f t="shared" si="3552"/>
        <v>0</v>
      </c>
      <c r="EW508" s="98">
        <f t="shared" si="3552"/>
        <v>0</v>
      </c>
      <c r="EX508" s="98">
        <f t="shared" si="3552"/>
        <v>0</v>
      </c>
      <c r="EY508" s="98">
        <f t="shared" si="3552"/>
        <v>0</v>
      </c>
      <c r="EZ508" s="98">
        <f t="shared" si="3552"/>
        <v>0</v>
      </c>
      <c r="FA508" s="98">
        <f t="shared" si="3552"/>
        <v>0</v>
      </c>
      <c r="FB508" s="98">
        <f t="shared" si="3552"/>
        <v>0</v>
      </c>
      <c r="FC508" s="98">
        <f t="shared" si="3552"/>
        <v>0</v>
      </c>
      <c r="FD508" s="98">
        <f t="shared" si="3552"/>
        <v>0</v>
      </c>
      <c r="FE508" s="198">
        <f t="shared" si="2627"/>
        <v>0</v>
      </c>
      <c r="FF508" s="198">
        <f t="shared" si="2628"/>
        <v>0</v>
      </c>
      <c r="FG508" s="98">
        <f t="shared" ref="FG508:FT508" si="3553">SUM(FG37,FG75,FG113,FG151,FG189,FG227,FG265,FG303,FG341,FG379,FG417,FG455)</f>
        <v>0</v>
      </c>
      <c r="FH508" s="98">
        <f t="shared" si="3553"/>
        <v>0</v>
      </c>
      <c r="FI508" s="98">
        <f t="shared" si="3553"/>
        <v>0</v>
      </c>
      <c r="FJ508" s="98">
        <f t="shared" si="3553"/>
        <v>0</v>
      </c>
      <c r="FK508" s="98">
        <f t="shared" si="3553"/>
        <v>0</v>
      </c>
      <c r="FL508" s="98">
        <f t="shared" si="3553"/>
        <v>0</v>
      </c>
      <c r="FM508" s="98">
        <f t="shared" si="3553"/>
        <v>0</v>
      </c>
      <c r="FN508" s="98">
        <f t="shared" si="3553"/>
        <v>0</v>
      </c>
      <c r="FO508" s="98">
        <f t="shared" si="3553"/>
        <v>0</v>
      </c>
      <c r="FP508" s="98">
        <f t="shared" si="3553"/>
        <v>0</v>
      </c>
      <c r="FQ508" s="98">
        <f t="shared" si="3553"/>
        <v>0</v>
      </c>
      <c r="FR508" s="98">
        <f t="shared" si="3553"/>
        <v>0</v>
      </c>
      <c r="FS508" s="98">
        <f t="shared" si="3553"/>
        <v>0</v>
      </c>
      <c r="FT508" s="98">
        <f t="shared" si="3553"/>
        <v>0</v>
      </c>
      <c r="FU508" s="198">
        <f t="shared" si="2630"/>
        <v>0</v>
      </c>
      <c r="FV508" s="198">
        <f t="shared" si="2631"/>
        <v>0</v>
      </c>
      <c r="FW508" s="98">
        <f t="shared" ref="FW508:GJ508" si="3554">SUM(FW37,FW75,FW113,FW151,FW189,FW227,FW265,FW303,FW341,FW379,FW417,FW455)</f>
        <v>0</v>
      </c>
      <c r="FX508" s="98">
        <f t="shared" si="3554"/>
        <v>0</v>
      </c>
      <c r="FY508" s="98">
        <f t="shared" si="3554"/>
        <v>0</v>
      </c>
      <c r="FZ508" s="98">
        <f t="shared" si="3554"/>
        <v>0</v>
      </c>
      <c r="GA508" s="98">
        <f t="shared" si="3554"/>
        <v>0</v>
      </c>
      <c r="GB508" s="98">
        <f t="shared" si="3554"/>
        <v>0</v>
      </c>
      <c r="GC508" s="98">
        <f t="shared" si="3554"/>
        <v>0</v>
      </c>
      <c r="GD508" s="98">
        <f t="shared" si="3554"/>
        <v>0</v>
      </c>
      <c r="GE508" s="98">
        <f t="shared" si="3554"/>
        <v>0</v>
      </c>
      <c r="GF508" s="98">
        <f t="shared" si="3554"/>
        <v>0</v>
      </c>
      <c r="GG508" s="98">
        <f t="shared" si="3554"/>
        <v>0</v>
      </c>
      <c r="GH508" s="98">
        <f t="shared" si="3554"/>
        <v>0</v>
      </c>
      <c r="GI508" s="98">
        <f t="shared" si="3554"/>
        <v>0</v>
      </c>
      <c r="GJ508" s="98">
        <f t="shared" si="3554"/>
        <v>0</v>
      </c>
      <c r="GK508" s="198">
        <f t="shared" si="2633"/>
        <v>0</v>
      </c>
      <c r="GL508" s="198">
        <f t="shared" si="2634"/>
        <v>0</v>
      </c>
      <c r="GM508" s="98">
        <f t="shared" ref="GM508:GZ508" si="3555">SUM(GM37,GM75,GM113,GM151,GM189,GM227,GM265,GM303,GM341,GM379,GM417,GM455)</f>
        <v>0</v>
      </c>
      <c r="GN508" s="98">
        <f t="shared" si="3555"/>
        <v>0</v>
      </c>
      <c r="GO508" s="98">
        <f t="shared" si="3555"/>
        <v>0</v>
      </c>
      <c r="GP508" s="98">
        <f t="shared" si="3555"/>
        <v>0</v>
      </c>
      <c r="GQ508" s="98">
        <f t="shared" si="3555"/>
        <v>0</v>
      </c>
      <c r="GR508" s="98">
        <f t="shared" si="3555"/>
        <v>0</v>
      </c>
      <c r="GS508" s="98">
        <f t="shared" si="3555"/>
        <v>0</v>
      </c>
      <c r="GT508" s="98">
        <f t="shared" si="3555"/>
        <v>0</v>
      </c>
      <c r="GU508" s="98">
        <f t="shared" si="3555"/>
        <v>0</v>
      </c>
      <c r="GV508" s="98">
        <f t="shared" si="3555"/>
        <v>0</v>
      </c>
      <c r="GW508" s="98">
        <f t="shared" si="3555"/>
        <v>0</v>
      </c>
      <c r="GX508" s="98">
        <f t="shared" si="3555"/>
        <v>0</v>
      </c>
      <c r="GY508" s="98">
        <f t="shared" si="3555"/>
        <v>0</v>
      </c>
      <c r="GZ508" s="98">
        <f t="shared" si="3555"/>
        <v>0</v>
      </c>
      <c r="HA508" s="198">
        <f t="shared" si="2636"/>
        <v>0</v>
      </c>
      <c r="HB508" s="198">
        <f t="shared" si="2637"/>
        <v>0</v>
      </c>
      <c r="HC508" s="98">
        <f t="shared" ref="HC508:HP508" si="3556">SUM(HC37,HC75,HC113,HC151,HC189,HC227,HC265,HC303,HC341,HC379,HC417,HC455)</f>
        <v>0</v>
      </c>
      <c r="HD508" s="98">
        <f t="shared" si="3556"/>
        <v>0</v>
      </c>
      <c r="HE508" s="98">
        <f t="shared" si="3556"/>
        <v>0</v>
      </c>
      <c r="HF508" s="98">
        <f t="shared" si="3556"/>
        <v>0</v>
      </c>
      <c r="HG508" s="98">
        <f t="shared" si="3556"/>
        <v>0</v>
      </c>
      <c r="HH508" s="98">
        <f t="shared" si="3556"/>
        <v>0</v>
      </c>
      <c r="HI508" s="98">
        <f t="shared" si="3556"/>
        <v>0</v>
      </c>
      <c r="HJ508" s="98">
        <f t="shared" si="3556"/>
        <v>0</v>
      </c>
      <c r="HK508" s="98">
        <f t="shared" si="3556"/>
        <v>0</v>
      </c>
      <c r="HL508" s="98">
        <f t="shared" si="3556"/>
        <v>0</v>
      </c>
      <c r="HM508" s="98">
        <f t="shared" si="3556"/>
        <v>0</v>
      </c>
      <c r="HN508" s="98">
        <f t="shared" si="3556"/>
        <v>0</v>
      </c>
      <c r="HO508" s="98">
        <f t="shared" si="3556"/>
        <v>0</v>
      </c>
      <c r="HP508" s="98">
        <f t="shared" si="3556"/>
        <v>0</v>
      </c>
      <c r="HQ508" s="198">
        <f t="shared" si="2639"/>
        <v>0</v>
      </c>
      <c r="HR508" s="198">
        <f t="shared" si="2640"/>
        <v>0</v>
      </c>
      <c r="HS508" s="98">
        <f t="shared" ref="HS508:IF508" si="3557">SUM(HS37,HS75,HS113,HS151,HS189,HS227,HS265,HS303,HS341,HS379,HS417,HS455)</f>
        <v>0</v>
      </c>
      <c r="HT508" s="98">
        <f t="shared" si="3557"/>
        <v>0</v>
      </c>
      <c r="HU508" s="98">
        <f t="shared" si="3557"/>
        <v>0</v>
      </c>
      <c r="HV508" s="98">
        <f t="shared" si="3557"/>
        <v>0</v>
      </c>
      <c r="HW508" s="98">
        <f t="shared" si="3557"/>
        <v>0</v>
      </c>
      <c r="HX508" s="98">
        <f t="shared" si="3557"/>
        <v>0</v>
      </c>
      <c r="HY508" s="98">
        <f t="shared" si="3557"/>
        <v>0</v>
      </c>
      <c r="HZ508" s="98">
        <f t="shared" si="3557"/>
        <v>0</v>
      </c>
      <c r="IA508" s="98">
        <f t="shared" si="3557"/>
        <v>0</v>
      </c>
      <c r="IB508" s="98">
        <f t="shared" si="3557"/>
        <v>0</v>
      </c>
      <c r="IC508" s="98">
        <f t="shared" si="3557"/>
        <v>0</v>
      </c>
      <c r="ID508" s="98">
        <f t="shared" si="3557"/>
        <v>0</v>
      </c>
      <c r="IE508" s="98">
        <f t="shared" si="3557"/>
        <v>0</v>
      </c>
      <c r="IF508" s="98">
        <f t="shared" si="3557"/>
        <v>0</v>
      </c>
      <c r="IG508" s="198">
        <f t="shared" si="2642"/>
        <v>0</v>
      </c>
      <c r="IH508" s="198">
        <f t="shared" si="2643"/>
        <v>0</v>
      </c>
      <c r="II508" s="98">
        <f t="shared" ref="II508:IV508" si="3558">SUM(II37,II75,II113,II151,II189,II227,II265,II303,II341,II379,II417,II455)</f>
        <v>0</v>
      </c>
      <c r="IJ508" s="98">
        <f t="shared" si="3558"/>
        <v>0</v>
      </c>
      <c r="IK508" s="98">
        <f t="shared" si="3558"/>
        <v>0</v>
      </c>
      <c r="IL508" s="98">
        <f t="shared" si="3558"/>
        <v>0</v>
      </c>
      <c r="IM508" s="98">
        <f t="shared" si="3558"/>
        <v>0</v>
      </c>
      <c r="IN508" s="98">
        <f t="shared" si="3558"/>
        <v>0</v>
      </c>
      <c r="IO508" s="98">
        <f t="shared" si="3558"/>
        <v>0</v>
      </c>
      <c r="IP508" s="98">
        <f t="shared" si="3558"/>
        <v>0</v>
      </c>
      <c r="IQ508" s="98">
        <f t="shared" si="3558"/>
        <v>0</v>
      </c>
      <c r="IR508" s="98">
        <f t="shared" si="3558"/>
        <v>0</v>
      </c>
      <c r="IS508" s="98">
        <f t="shared" si="3558"/>
        <v>0</v>
      </c>
      <c r="IT508" s="98">
        <f t="shared" si="3558"/>
        <v>0</v>
      </c>
      <c r="IU508" s="98">
        <f t="shared" si="3558"/>
        <v>0</v>
      </c>
      <c r="IV508" s="98">
        <f t="shared" si="3558"/>
        <v>0</v>
      </c>
      <c r="IW508" s="198">
        <f t="shared" si="2645"/>
        <v>0</v>
      </c>
      <c r="IX508" s="198">
        <f t="shared" si="2646"/>
        <v>0</v>
      </c>
      <c r="IY508" s="98">
        <f t="shared" ref="IY508:JL508" si="3559">SUM(IY37,IY75,IY113,IY151,IY189,IY227,IY265,IY303,IY341,IY379,IY417,IY455)</f>
        <v>0</v>
      </c>
      <c r="IZ508" s="98">
        <f t="shared" si="3559"/>
        <v>0</v>
      </c>
      <c r="JA508" s="98">
        <f t="shared" si="3559"/>
        <v>0</v>
      </c>
      <c r="JB508" s="98">
        <f t="shared" si="3559"/>
        <v>0</v>
      </c>
      <c r="JC508" s="98">
        <f t="shared" si="3559"/>
        <v>0</v>
      </c>
      <c r="JD508" s="98">
        <f t="shared" si="3559"/>
        <v>0</v>
      </c>
      <c r="JE508" s="98">
        <f t="shared" si="3559"/>
        <v>0</v>
      </c>
      <c r="JF508" s="98">
        <f t="shared" si="3559"/>
        <v>0</v>
      </c>
      <c r="JG508" s="98">
        <f t="shared" si="3559"/>
        <v>0</v>
      </c>
      <c r="JH508" s="98">
        <f t="shared" si="3559"/>
        <v>0</v>
      </c>
      <c r="JI508" s="98">
        <f t="shared" si="3559"/>
        <v>0</v>
      </c>
      <c r="JJ508" s="98">
        <f t="shared" si="3559"/>
        <v>0</v>
      </c>
      <c r="JK508" s="98">
        <f t="shared" si="3559"/>
        <v>0</v>
      </c>
      <c r="JL508" s="98">
        <f t="shared" si="3559"/>
        <v>0</v>
      </c>
      <c r="JM508" s="198">
        <f t="shared" si="2648"/>
        <v>0</v>
      </c>
      <c r="JN508" s="198">
        <f t="shared" si="2649"/>
        <v>0</v>
      </c>
      <c r="JO508" s="98">
        <f t="shared" ref="JO508:KB508" si="3560">SUM(JO37,JO75,JO113,JO151,JO189,JO227,JO265,JO303,JO341,JO379,JO417,JO455)</f>
        <v>0</v>
      </c>
      <c r="JP508" s="98">
        <f t="shared" si="3560"/>
        <v>0</v>
      </c>
      <c r="JQ508" s="98">
        <f t="shared" si="3560"/>
        <v>0</v>
      </c>
      <c r="JR508" s="98">
        <f t="shared" si="3560"/>
        <v>0</v>
      </c>
      <c r="JS508" s="98">
        <f t="shared" si="3560"/>
        <v>0</v>
      </c>
      <c r="JT508" s="98">
        <f t="shared" si="3560"/>
        <v>0</v>
      </c>
      <c r="JU508" s="98">
        <f t="shared" si="3560"/>
        <v>0</v>
      </c>
      <c r="JV508" s="98">
        <f t="shared" si="3560"/>
        <v>0</v>
      </c>
      <c r="JW508" s="98">
        <f t="shared" si="3560"/>
        <v>0</v>
      </c>
      <c r="JX508" s="98">
        <f t="shared" si="3560"/>
        <v>0</v>
      </c>
      <c r="JY508" s="98">
        <f t="shared" si="3560"/>
        <v>0</v>
      </c>
      <c r="JZ508" s="98">
        <f t="shared" si="3560"/>
        <v>0</v>
      </c>
      <c r="KA508" s="98">
        <f t="shared" si="3560"/>
        <v>0</v>
      </c>
      <c r="KB508" s="98">
        <f t="shared" si="3560"/>
        <v>0</v>
      </c>
      <c r="KC508" s="198">
        <f t="shared" si="2651"/>
        <v>0</v>
      </c>
      <c r="KD508" s="198">
        <f t="shared" si="2652"/>
        <v>0</v>
      </c>
      <c r="KE508" s="98">
        <f t="shared" ref="KE508:KR508" si="3561">SUM(KE37,KE75,KE113,KE151,KE189,KE227,KE265,KE303,KE341,KE379,KE417,KE455)</f>
        <v>0</v>
      </c>
      <c r="KF508" s="98">
        <f t="shared" si="3561"/>
        <v>0</v>
      </c>
      <c r="KG508" s="98">
        <f t="shared" si="3561"/>
        <v>0</v>
      </c>
      <c r="KH508" s="98">
        <f t="shared" si="3561"/>
        <v>0</v>
      </c>
      <c r="KI508" s="98">
        <f t="shared" si="3561"/>
        <v>0</v>
      </c>
      <c r="KJ508" s="98">
        <f t="shared" si="3561"/>
        <v>0</v>
      </c>
      <c r="KK508" s="98">
        <f t="shared" si="3561"/>
        <v>0</v>
      </c>
      <c r="KL508" s="98">
        <f t="shared" si="3561"/>
        <v>0</v>
      </c>
      <c r="KM508" s="98">
        <f t="shared" si="3561"/>
        <v>0</v>
      </c>
      <c r="KN508" s="98">
        <f t="shared" si="3561"/>
        <v>0</v>
      </c>
      <c r="KO508" s="98">
        <f t="shared" si="3561"/>
        <v>0</v>
      </c>
      <c r="KP508" s="98">
        <f t="shared" si="3561"/>
        <v>0</v>
      </c>
      <c r="KQ508" s="98">
        <f t="shared" si="3561"/>
        <v>0</v>
      </c>
      <c r="KR508" s="98">
        <f t="shared" si="3561"/>
        <v>0</v>
      </c>
      <c r="KS508" s="198">
        <f t="shared" si="2654"/>
        <v>0</v>
      </c>
      <c r="KT508" s="198">
        <f t="shared" si="2655"/>
        <v>0</v>
      </c>
      <c r="KU508" s="98">
        <f t="shared" ref="KU508:LH508" si="3562">SUM(KU37,KU75,KU113,KU151,KU189,KU227,KU265,KU303,KU341,KU379,KU417,KU455)</f>
        <v>0</v>
      </c>
      <c r="KV508" s="98">
        <f t="shared" si="3562"/>
        <v>0</v>
      </c>
      <c r="KW508" s="98">
        <f t="shared" si="3562"/>
        <v>0</v>
      </c>
      <c r="KX508" s="98">
        <f t="shared" si="3562"/>
        <v>0</v>
      </c>
      <c r="KY508" s="98">
        <f t="shared" si="3562"/>
        <v>0</v>
      </c>
      <c r="KZ508" s="98">
        <f t="shared" si="3562"/>
        <v>0</v>
      </c>
      <c r="LA508" s="98">
        <f t="shared" si="3562"/>
        <v>0</v>
      </c>
      <c r="LB508" s="98">
        <f t="shared" si="3562"/>
        <v>0</v>
      </c>
      <c r="LC508" s="98">
        <f t="shared" si="3562"/>
        <v>0</v>
      </c>
      <c r="LD508" s="98">
        <f t="shared" si="3562"/>
        <v>0</v>
      </c>
      <c r="LE508" s="98">
        <f t="shared" si="3562"/>
        <v>0</v>
      </c>
      <c r="LF508" s="98">
        <f t="shared" si="3562"/>
        <v>0</v>
      </c>
      <c r="LG508" s="98">
        <f t="shared" si="3562"/>
        <v>0</v>
      </c>
      <c r="LH508" s="98">
        <f t="shared" si="3562"/>
        <v>0</v>
      </c>
      <c r="LI508" s="198">
        <f t="shared" si="2657"/>
        <v>0</v>
      </c>
      <c r="LJ508" s="198">
        <f t="shared" si="2658"/>
        <v>0</v>
      </c>
      <c r="LK508" s="98">
        <f t="shared" ref="LK508:LX508" si="3563">SUM(LK37,LK75,LK113,LK151,LK189,LK227,LK265,LK303,LK341,LK379,LK417,LK455)</f>
        <v>0</v>
      </c>
      <c r="LL508" s="98">
        <f t="shared" si="3563"/>
        <v>0</v>
      </c>
      <c r="LM508" s="98">
        <f t="shared" si="3563"/>
        <v>0</v>
      </c>
      <c r="LN508" s="98">
        <f t="shared" si="3563"/>
        <v>0</v>
      </c>
      <c r="LO508" s="98">
        <f t="shared" si="3563"/>
        <v>0</v>
      </c>
      <c r="LP508" s="98">
        <f t="shared" si="3563"/>
        <v>0</v>
      </c>
      <c r="LQ508" s="98">
        <f t="shared" si="3563"/>
        <v>0</v>
      </c>
      <c r="LR508" s="98">
        <f t="shared" si="3563"/>
        <v>0</v>
      </c>
      <c r="LS508" s="98">
        <f t="shared" si="3563"/>
        <v>0</v>
      </c>
      <c r="LT508" s="98">
        <f t="shared" si="3563"/>
        <v>0</v>
      </c>
      <c r="LU508" s="98">
        <f t="shared" si="3563"/>
        <v>0</v>
      </c>
      <c r="LV508" s="98">
        <f t="shared" si="3563"/>
        <v>0</v>
      </c>
      <c r="LW508" s="98">
        <f t="shared" si="3563"/>
        <v>0</v>
      </c>
      <c r="LX508" s="98">
        <f t="shared" si="3563"/>
        <v>0</v>
      </c>
      <c r="LY508" s="198">
        <f t="shared" si="2660"/>
        <v>0</v>
      </c>
      <c r="LZ508" s="198">
        <f t="shared" si="2661"/>
        <v>0</v>
      </c>
      <c r="MA508" s="98">
        <f t="shared" ref="MA508:MN508" si="3564">SUM(MA37,MA75,MA113,MA151,MA189,MA227,MA265,MA303,MA341,MA379,MA417,MA455)</f>
        <v>0</v>
      </c>
      <c r="MB508" s="98">
        <f t="shared" si="3564"/>
        <v>0</v>
      </c>
      <c r="MC508" s="98">
        <f t="shared" si="3564"/>
        <v>0</v>
      </c>
      <c r="MD508" s="98">
        <f t="shared" si="3564"/>
        <v>0</v>
      </c>
      <c r="ME508" s="98">
        <f t="shared" si="3564"/>
        <v>0</v>
      </c>
      <c r="MF508" s="98">
        <f t="shared" si="3564"/>
        <v>0</v>
      </c>
      <c r="MG508" s="98">
        <f t="shared" si="3564"/>
        <v>0</v>
      </c>
      <c r="MH508" s="98">
        <f t="shared" si="3564"/>
        <v>0</v>
      </c>
      <c r="MI508" s="98">
        <f t="shared" si="3564"/>
        <v>0</v>
      </c>
      <c r="MJ508" s="98">
        <f t="shared" si="3564"/>
        <v>0</v>
      </c>
      <c r="MK508" s="98">
        <f t="shared" si="3564"/>
        <v>0</v>
      </c>
      <c r="ML508" s="98">
        <f t="shared" si="3564"/>
        <v>0</v>
      </c>
      <c r="MM508" s="98">
        <f t="shared" si="3564"/>
        <v>0</v>
      </c>
      <c r="MN508" s="98">
        <f t="shared" si="3564"/>
        <v>0</v>
      </c>
      <c r="MO508" s="198">
        <f t="shared" si="2663"/>
        <v>0</v>
      </c>
      <c r="MP508" s="198">
        <f t="shared" si="2664"/>
        <v>0</v>
      </c>
      <c r="MQ508" s="98">
        <f t="shared" ref="MQ508:ND508" si="3565">SUM(MQ37,MQ75,MQ113,MQ151,MQ189,MQ227,MQ265,MQ303,MQ341,MQ379,MQ417,MQ455)</f>
        <v>0</v>
      </c>
      <c r="MR508" s="98">
        <f t="shared" si="3565"/>
        <v>0</v>
      </c>
      <c r="MS508" s="98">
        <f t="shared" si="3565"/>
        <v>0</v>
      </c>
      <c r="MT508" s="98">
        <f t="shared" si="3565"/>
        <v>0</v>
      </c>
      <c r="MU508" s="98">
        <f t="shared" si="3565"/>
        <v>0</v>
      </c>
      <c r="MV508" s="98">
        <f t="shared" si="3565"/>
        <v>0</v>
      </c>
      <c r="MW508" s="98">
        <f t="shared" si="3565"/>
        <v>0</v>
      </c>
      <c r="MX508" s="98">
        <f t="shared" si="3565"/>
        <v>0</v>
      </c>
      <c r="MY508" s="98">
        <f t="shared" si="3565"/>
        <v>0</v>
      </c>
      <c r="MZ508" s="98">
        <f t="shared" si="3565"/>
        <v>0</v>
      </c>
      <c r="NA508" s="98">
        <f t="shared" si="3565"/>
        <v>0</v>
      </c>
      <c r="NB508" s="98">
        <f t="shared" si="3565"/>
        <v>0</v>
      </c>
      <c r="NC508" s="98">
        <f t="shared" si="3565"/>
        <v>0</v>
      </c>
      <c r="ND508" s="98">
        <f t="shared" si="3565"/>
        <v>0</v>
      </c>
      <c r="NE508" s="198">
        <f t="shared" si="2666"/>
        <v>0</v>
      </c>
      <c r="NF508" s="198">
        <f t="shared" si="2667"/>
        <v>0</v>
      </c>
      <c r="NG508" s="98">
        <f t="shared" ref="NG508:NT508" si="3566">SUM(NG37,NG75,NG113,NG151,NG189,NG227,NG265,NG303,NG341,NG379,NG417,NG455)</f>
        <v>0</v>
      </c>
      <c r="NH508" s="98">
        <f t="shared" si="3566"/>
        <v>0</v>
      </c>
      <c r="NI508" s="98">
        <f t="shared" si="3566"/>
        <v>0</v>
      </c>
      <c r="NJ508" s="98">
        <f t="shared" si="3566"/>
        <v>0</v>
      </c>
      <c r="NK508" s="98">
        <f t="shared" si="3566"/>
        <v>0</v>
      </c>
      <c r="NL508" s="98">
        <f t="shared" si="3566"/>
        <v>0</v>
      </c>
      <c r="NM508" s="98">
        <f t="shared" si="3566"/>
        <v>0</v>
      </c>
      <c r="NN508" s="98">
        <f t="shared" si="3566"/>
        <v>0</v>
      </c>
      <c r="NO508" s="98">
        <f t="shared" si="3566"/>
        <v>0</v>
      </c>
      <c r="NP508" s="98">
        <f t="shared" si="3566"/>
        <v>0</v>
      </c>
      <c r="NQ508" s="98">
        <f t="shared" si="3566"/>
        <v>0</v>
      </c>
      <c r="NR508" s="98">
        <f t="shared" si="3566"/>
        <v>0</v>
      </c>
      <c r="NS508" s="98">
        <f t="shared" si="3566"/>
        <v>0</v>
      </c>
      <c r="NT508" s="98">
        <f t="shared" si="3566"/>
        <v>0</v>
      </c>
      <c r="NU508" s="198">
        <f t="shared" si="2669"/>
        <v>0</v>
      </c>
      <c r="NV508" s="198">
        <f t="shared" si="2670"/>
        <v>0</v>
      </c>
      <c r="NW508" s="98">
        <f t="shared" ref="NW508:OJ508" si="3567">SUM(NW37,NW75,NW113,NW151,NW189,NW227,NW265,NW303,NW341,NW379,NW417,NW455)</f>
        <v>0</v>
      </c>
      <c r="NX508" s="98">
        <f t="shared" si="3567"/>
        <v>0</v>
      </c>
      <c r="NY508" s="98">
        <f t="shared" si="3567"/>
        <v>0</v>
      </c>
      <c r="NZ508" s="98">
        <f t="shared" si="3567"/>
        <v>0</v>
      </c>
      <c r="OA508" s="98">
        <f t="shared" si="3567"/>
        <v>0</v>
      </c>
      <c r="OB508" s="98">
        <f t="shared" si="3567"/>
        <v>0</v>
      </c>
      <c r="OC508" s="98">
        <f t="shared" si="3567"/>
        <v>0</v>
      </c>
      <c r="OD508" s="98">
        <f t="shared" si="3567"/>
        <v>0</v>
      </c>
      <c r="OE508" s="98">
        <f t="shared" si="3567"/>
        <v>0</v>
      </c>
      <c r="OF508" s="98">
        <f t="shared" si="3567"/>
        <v>0</v>
      </c>
      <c r="OG508" s="98">
        <f t="shared" si="3567"/>
        <v>0</v>
      </c>
      <c r="OH508" s="98">
        <f t="shared" si="3567"/>
        <v>0</v>
      </c>
      <c r="OI508" s="98">
        <f t="shared" si="3567"/>
        <v>0</v>
      </c>
      <c r="OJ508" s="98">
        <f t="shared" si="3567"/>
        <v>0</v>
      </c>
      <c r="OK508" s="198">
        <f t="shared" si="2672"/>
        <v>0</v>
      </c>
      <c r="OL508" s="198">
        <f t="shared" si="2673"/>
        <v>0</v>
      </c>
      <c r="OM508" s="98">
        <f t="shared" ref="OM508:OZ508" si="3568">SUM(OM37,OM75,OM113,OM151,OM189,OM227,OM265,OM303,OM341,OM379,OM417,OM455)</f>
        <v>0</v>
      </c>
      <c r="ON508" s="98">
        <f t="shared" si="3568"/>
        <v>0</v>
      </c>
      <c r="OO508" s="98">
        <f t="shared" si="3568"/>
        <v>0</v>
      </c>
      <c r="OP508" s="98">
        <f t="shared" si="3568"/>
        <v>0</v>
      </c>
      <c r="OQ508" s="98">
        <f t="shared" si="3568"/>
        <v>0</v>
      </c>
      <c r="OR508" s="98">
        <f t="shared" si="3568"/>
        <v>0</v>
      </c>
      <c r="OS508" s="98">
        <f t="shared" si="3568"/>
        <v>0</v>
      </c>
      <c r="OT508" s="98">
        <f t="shared" si="3568"/>
        <v>0</v>
      </c>
      <c r="OU508" s="98">
        <f t="shared" si="3568"/>
        <v>0</v>
      </c>
      <c r="OV508" s="98">
        <f t="shared" si="3568"/>
        <v>0</v>
      </c>
      <c r="OW508" s="98">
        <f t="shared" si="3568"/>
        <v>0</v>
      </c>
      <c r="OX508" s="98">
        <f t="shared" si="3568"/>
        <v>0</v>
      </c>
      <c r="OY508" s="98">
        <f t="shared" si="3568"/>
        <v>0</v>
      </c>
      <c r="OZ508" s="98">
        <f t="shared" si="3568"/>
        <v>0</v>
      </c>
      <c r="PA508" s="198">
        <f t="shared" si="2675"/>
        <v>0</v>
      </c>
      <c r="PB508" s="198">
        <f t="shared" si="2676"/>
        <v>0</v>
      </c>
      <c r="PC508" s="98">
        <f t="shared" ref="PC508:PP508" si="3569">SUM(PC37,PC75,PC113,PC151,PC189,PC227,PC265,PC303,PC341,PC379,PC417,PC455)</f>
        <v>0</v>
      </c>
      <c r="PD508" s="98">
        <f t="shared" si="3569"/>
        <v>0</v>
      </c>
      <c r="PE508" s="98">
        <f t="shared" si="3569"/>
        <v>0</v>
      </c>
      <c r="PF508" s="98">
        <f t="shared" si="3569"/>
        <v>0</v>
      </c>
      <c r="PG508" s="98">
        <f t="shared" si="3569"/>
        <v>0</v>
      </c>
      <c r="PH508" s="98">
        <f t="shared" si="3569"/>
        <v>0</v>
      </c>
      <c r="PI508" s="98">
        <f t="shared" si="3569"/>
        <v>0</v>
      </c>
      <c r="PJ508" s="98">
        <f t="shared" si="3569"/>
        <v>0</v>
      </c>
      <c r="PK508" s="98">
        <f t="shared" si="3569"/>
        <v>0</v>
      </c>
      <c r="PL508" s="98">
        <f t="shared" si="3569"/>
        <v>0</v>
      </c>
      <c r="PM508" s="98">
        <f t="shared" si="3569"/>
        <v>0</v>
      </c>
      <c r="PN508" s="98">
        <f t="shared" si="3569"/>
        <v>0</v>
      </c>
      <c r="PO508" s="98">
        <f t="shared" si="3569"/>
        <v>0</v>
      </c>
      <c r="PP508" s="98">
        <f t="shared" si="3569"/>
        <v>0</v>
      </c>
      <c r="PQ508" s="198">
        <f t="shared" si="2678"/>
        <v>0</v>
      </c>
      <c r="PR508" s="198">
        <f t="shared" si="2679"/>
        <v>0</v>
      </c>
      <c r="PS508" s="98">
        <f t="shared" ref="PS508:QF508" si="3570">SUM(PS37,PS75,PS113,PS151,PS189,PS227,PS265,PS303,PS341,PS379,PS417,PS455)</f>
        <v>0</v>
      </c>
      <c r="PT508" s="98">
        <f t="shared" si="3570"/>
        <v>0</v>
      </c>
      <c r="PU508" s="98">
        <f t="shared" si="3570"/>
        <v>0</v>
      </c>
      <c r="PV508" s="98">
        <f t="shared" si="3570"/>
        <v>0</v>
      </c>
      <c r="PW508" s="98">
        <f t="shared" si="3570"/>
        <v>0</v>
      </c>
      <c r="PX508" s="98">
        <f t="shared" si="3570"/>
        <v>0</v>
      </c>
      <c r="PY508" s="98">
        <f t="shared" si="3570"/>
        <v>0</v>
      </c>
      <c r="PZ508" s="98">
        <f t="shared" si="3570"/>
        <v>0</v>
      </c>
      <c r="QA508" s="98">
        <f t="shared" si="3570"/>
        <v>0</v>
      </c>
      <c r="QB508" s="98">
        <f t="shared" si="3570"/>
        <v>0</v>
      </c>
      <c r="QC508" s="98">
        <f t="shared" si="3570"/>
        <v>0</v>
      </c>
      <c r="QD508" s="98">
        <f t="shared" si="3570"/>
        <v>0</v>
      </c>
      <c r="QE508" s="98">
        <f t="shared" si="3570"/>
        <v>0</v>
      </c>
      <c r="QF508" s="98">
        <f t="shared" si="3570"/>
        <v>0</v>
      </c>
      <c r="QG508" s="198">
        <f t="shared" si="2681"/>
        <v>0</v>
      </c>
      <c r="QH508" s="198">
        <f t="shared" si="2682"/>
        <v>0</v>
      </c>
      <c r="QI508" s="98">
        <f t="shared" ref="QI508:QV508" si="3571">SUM(QI37,QI75,QI113,QI151,QI189,QI227,QI265,QI303,QI341,QI379,QI417,QI455)</f>
        <v>0</v>
      </c>
      <c r="QJ508" s="98">
        <f t="shared" si="3571"/>
        <v>0</v>
      </c>
      <c r="QK508" s="98">
        <f t="shared" si="3571"/>
        <v>0</v>
      </c>
      <c r="QL508" s="98">
        <f t="shared" si="3571"/>
        <v>0</v>
      </c>
      <c r="QM508" s="98">
        <f t="shared" si="3571"/>
        <v>0</v>
      </c>
      <c r="QN508" s="98">
        <f t="shared" si="3571"/>
        <v>0</v>
      </c>
      <c r="QO508" s="98">
        <f t="shared" si="3571"/>
        <v>0</v>
      </c>
      <c r="QP508" s="98">
        <f t="shared" si="3571"/>
        <v>0</v>
      </c>
      <c r="QQ508" s="98">
        <f t="shared" si="3571"/>
        <v>0</v>
      </c>
      <c r="QR508" s="98">
        <f t="shared" si="3571"/>
        <v>0</v>
      </c>
      <c r="QS508" s="98">
        <f t="shared" si="3571"/>
        <v>0</v>
      </c>
      <c r="QT508" s="98">
        <f t="shared" si="3571"/>
        <v>0</v>
      </c>
      <c r="QU508" s="98">
        <f t="shared" si="3571"/>
        <v>0</v>
      </c>
      <c r="QV508" s="98">
        <f t="shared" si="3571"/>
        <v>0</v>
      </c>
      <c r="QW508" s="198">
        <f t="shared" si="2684"/>
        <v>0</v>
      </c>
      <c r="QX508" s="198">
        <f t="shared" si="2685"/>
        <v>0</v>
      </c>
      <c r="QY508" s="98">
        <f t="shared" ref="QY508:RL508" si="3572">SUM(QY37,QY75,QY113,QY151,QY189,QY227,QY265,QY303,QY341,QY379,QY417,QY455)</f>
        <v>0</v>
      </c>
      <c r="QZ508" s="98">
        <f t="shared" si="3572"/>
        <v>0</v>
      </c>
      <c r="RA508" s="98">
        <f t="shared" si="3572"/>
        <v>0</v>
      </c>
      <c r="RB508" s="98">
        <f t="shared" si="3572"/>
        <v>0</v>
      </c>
      <c r="RC508" s="98">
        <f t="shared" si="3572"/>
        <v>0</v>
      </c>
      <c r="RD508" s="98">
        <f t="shared" si="3572"/>
        <v>0</v>
      </c>
      <c r="RE508" s="98">
        <f t="shared" si="3572"/>
        <v>0</v>
      </c>
      <c r="RF508" s="98">
        <f t="shared" si="3572"/>
        <v>0</v>
      </c>
      <c r="RG508" s="98">
        <f t="shared" si="3572"/>
        <v>0</v>
      </c>
      <c r="RH508" s="98">
        <f t="shared" si="3572"/>
        <v>0</v>
      </c>
      <c r="RI508" s="98">
        <f t="shared" si="3572"/>
        <v>0</v>
      </c>
      <c r="RJ508" s="98">
        <f t="shared" si="3572"/>
        <v>0</v>
      </c>
      <c r="RK508" s="98">
        <f t="shared" si="3572"/>
        <v>0</v>
      </c>
      <c r="RL508" s="98">
        <f t="shared" si="3572"/>
        <v>0</v>
      </c>
      <c r="RM508" s="198">
        <f t="shared" si="2687"/>
        <v>0</v>
      </c>
      <c r="RN508" s="198">
        <f t="shared" si="2688"/>
        <v>0</v>
      </c>
      <c r="RO508" s="98">
        <f t="shared" ref="RO508:SB508" si="3573">SUM(RO37,RO75,RO113,RO151,RO189,RO227,RO265,RO303,RO341,RO379,RO417,RO455)</f>
        <v>0</v>
      </c>
      <c r="RP508" s="98">
        <f t="shared" si="3573"/>
        <v>0</v>
      </c>
      <c r="RQ508" s="98">
        <f t="shared" si="3573"/>
        <v>0</v>
      </c>
      <c r="RR508" s="98">
        <f t="shared" si="3573"/>
        <v>0</v>
      </c>
      <c r="RS508" s="98">
        <f t="shared" si="3573"/>
        <v>0</v>
      </c>
      <c r="RT508" s="98">
        <f t="shared" si="3573"/>
        <v>0</v>
      </c>
      <c r="RU508" s="98">
        <f t="shared" si="3573"/>
        <v>0</v>
      </c>
      <c r="RV508" s="98">
        <f t="shared" si="3573"/>
        <v>0</v>
      </c>
      <c r="RW508" s="98">
        <f t="shared" si="3573"/>
        <v>0</v>
      </c>
      <c r="RX508" s="98">
        <f t="shared" si="3573"/>
        <v>0</v>
      </c>
      <c r="RY508" s="98">
        <f t="shared" si="3573"/>
        <v>0</v>
      </c>
      <c r="RZ508" s="98">
        <f t="shared" si="3573"/>
        <v>0</v>
      </c>
      <c r="SA508" s="98">
        <f t="shared" si="3573"/>
        <v>0</v>
      </c>
      <c r="SB508" s="98">
        <f t="shared" si="3573"/>
        <v>0</v>
      </c>
      <c r="SC508" s="198">
        <f t="shared" si="2690"/>
        <v>0</v>
      </c>
      <c r="SD508" s="198">
        <f t="shared" si="2691"/>
        <v>0</v>
      </c>
      <c r="SE508" s="98">
        <f t="shared" ref="SE508:SR508" si="3574">SUM(SE37,SE75,SE113,SE151,SE189,SE227,SE265,SE303,SE341,SE379,SE417,SE455)</f>
        <v>0</v>
      </c>
      <c r="SF508" s="98">
        <f t="shared" si="3574"/>
        <v>0</v>
      </c>
      <c r="SG508" s="98">
        <f t="shared" si="3574"/>
        <v>0</v>
      </c>
      <c r="SH508" s="98">
        <f t="shared" si="3574"/>
        <v>0</v>
      </c>
      <c r="SI508" s="98">
        <f t="shared" si="3574"/>
        <v>0</v>
      </c>
      <c r="SJ508" s="98">
        <f t="shared" si="3574"/>
        <v>0</v>
      </c>
      <c r="SK508" s="98">
        <f t="shared" si="3574"/>
        <v>0</v>
      </c>
      <c r="SL508" s="98">
        <f t="shared" si="3574"/>
        <v>0</v>
      </c>
      <c r="SM508" s="98">
        <f t="shared" si="3574"/>
        <v>0</v>
      </c>
      <c r="SN508" s="98">
        <f t="shared" si="3574"/>
        <v>0</v>
      </c>
      <c r="SO508" s="98">
        <f t="shared" si="3574"/>
        <v>0</v>
      </c>
      <c r="SP508" s="98">
        <f t="shared" si="3574"/>
        <v>0</v>
      </c>
      <c r="SQ508" s="98">
        <f t="shared" si="3574"/>
        <v>0</v>
      </c>
      <c r="SR508" s="98">
        <f t="shared" si="3574"/>
        <v>0</v>
      </c>
      <c r="SS508" s="198">
        <f t="shared" si="2693"/>
        <v>0</v>
      </c>
      <c r="ST508" s="198">
        <f t="shared" si="2694"/>
        <v>0</v>
      </c>
      <c r="SU508" s="98">
        <f t="shared" ref="SU508:TH508" si="3575">SUM(SU37,SU75,SU113,SU151,SU189,SU227,SU265,SU303,SU341,SU379,SU417,SU455)</f>
        <v>0</v>
      </c>
      <c r="SV508" s="98">
        <f t="shared" si="3575"/>
        <v>0</v>
      </c>
      <c r="SW508" s="98">
        <f t="shared" si="3575"/>
        <v>0</v>
      </c>
      <c r="SX508" s="98">
        <f t="shared" si="3575"/>
        <v>0</v>
      </c>
      <c r="SY508" s="98">
        <f t="shared" si="3575"/>
        <v>0</v>
      </c>
      <c r="SZ508" s="98">
        <f t="shared" si="3575"/>
        <v>0</v>
      </c>
      <c r="TA508" s="98">
        <f t="shared" si="3575"/>
        <v>0</v>
      </c>
      <c r="TB508" s="98">
        <f t="shared" si="3575"/>
        <v>0</v>
      </c>
      <c r="TC508" s="98">
        <f t="shared" si="3575"/>
        <v>0</v>
      </c>
      <c r="TD508" s="98">
        <f t="shared" si="3575"/>
        <v>0</v>
      </c>
      <c r="TE508" s="98">
        <f t="shared" si="3575"/>
        <v>0</v>
      </c>
      <c r="TF508" s="98">
        <f t="shared" si="3575"/>
        <v>0</v>
      </c>
      <c r="TG508" s="98">
        <f t="shared" si="3575"/>
        <v>0</v>
      </c>
      <c r="TH508" s="98">
        <f t="shared" si="3575"/>
        <v>0</v>
      </c>
      <c r="TI508" s="198">
        <f t="shared" si="2696"/>
        <v>0</v>
      </c>
      <c r="TJ508" s="198">
        <f t="shared" si="2697"/>
        <v>0</v>
      </c>
      <c r="TK508" s="98">
        <f t="shared" ref="TK508:TX508" si="3576">SUM(TK37,TK75,TK113,TK151,TK189,TK227,TK265,TK303,TK341,TK379,TK417,TK455)</f>
        <v>0</v>
      </c>
      <c r="TL508" s="98">
        <f t="shared" si="3576"/>
        <v>0</v>
      </c>
      <c r="TM508" s="98">
        <f t="shared" si="3576"/>
        <v>0</v>
      </c>
      <c r="TN508" s="98">
        <f t="shared" si="3576"/>
        <v>0</v>
      </c>
      <c r="TO508" s="98">
        <f t="shared" si="3576"/>
        <v>0</v>
      </c>
      <c r="TP508" s="98">
        <f t="shared" si="3576"/>
        <v>0</v>
      </c>
      <c r="TQ508" s="98">
        <f t="shared" si="3576"/>
        <v>0</v>
      </c>
      <c r="TR508" s="98">
        <f t="shared" si="3576"/>
        <v>0</v>
      </c>
      <c r="TS508" s="98">
        <f t="shared" si="3576"/>
        <v>0</v>
      </c>
      <c r="TT508" s="98">
        <f t="shared" si="3576"/>
        <v>0</v>
      </c>
      <c r="TU508" s="98">
        <f t="shared" si="3576"/>
        <v>0</v>
      </c>
      <c r="TV508" s="98">
        <f t="shared" si="3576"/>
        <v>0</v>
      </c>
      <c r="TW508" s="98">
        <f t="shared" si="3576"/>
        <v>0</v>
      </c>
      <c r="TX508" s="98">
        <f t="shared" si="3576"/>
        <v>0</v>
      </c>
      <c r="TY508" s="198">
        <f t="shared" si="2699"/>
        <v>0</v>
      </c>
      <c r="TZ508" s="198">
        <f t="shared" si="2700"/>
        <v>0</v>
      </c>
      <c r="UA508" s="98">
        <f t="shared" ref="UA508:UN508" si="3577">SUM(UA37,UA75,UA113,UA151,UA189,UA227,UA265,UA303,UA341,UA379,UA417,UA455)</f>
        <v>0</v>
      </c>
      <c r="UB508" s="98">
        <f t="shared" si="3577"/>
        <v>0</v>
      </c>
      <c r="UC508" s="98">
        <f t="shared" si="3577"/>
        <v>0</v>
      </c>
      <c r="UD508" s="98">
        <f t="shared" si="3577"/>
        <v>0</v>
      </c>
      <c r="UE508" s="98">
        <f t="shared" si="3577"/>
        <v>0</v>
      </c>
      <c r="UF508" s="98">
        <f t="shared" si="3577"/>
        <v>0</v>
      </c>
      <c r="UG508" s="98">
        <f t="shared" si="3577"/>
        <v>0</v>
      </c>
      <c r="UH508" s="98">
        <f t="shared" si="3577"/>
        <v>0</v>
      </c>
      <c r="UI508" s="98">
        <f t="shared" si="3577"/>
        <v>0</v>
      </c>
      <c r="UJ508" s="98">
        <f t="shared" si="3577"/>
        <v>0</v>
      </c>
      <c r="UK508" s="98">
        <f t="shared" si="3577"/>
        <v>0</v>
      </c>
      <c r="UL508" s="98">
        <f t="shared" si="3577"/>
        <v>0</v>
      </c>
      <c r="UM508" s="98">
        <f t="shared" si="3577"/>
        <v>0</v>
      </c>
      <c r="UN508" s="98">
        <f t="shared" si="3577"/>
        <v>0</v>
      </c>
      <c r="UO508" s="198">
        <f t="shared" si="2702"/>
        <v>0</v>
      </c>
      <c r="UP508" s="198">
        <f t="shared" si="2703"/>
        <v>0</v>
      </c>
      <c r="UQ508" s="98">
        <f t="shared" ref="UQ508:VD508" si="3578">SUM(UQ37,UQ75,UQ113,UQ151,UQ189,UQ227,UQ265,UQ303,UQ341,UQ379,UQ417,UQ455)</f>
        <v>0</v>
      </c>
      <c r="UR508" s="98">
        <f t="shared" si="3578"/>
        <v>0</v>
      </c>
      <c r="US508" s="98">
        <f t="shared" si="3578"/>
        <v>0</v>
      </c>
      <c r="UT508" s="98">
        <f t="shared" si="3578"/>
        <v>0</v>
      </c>
      <c r="UU508" s="98">
        <f t="shared" si="3578"/>
        <v>0</v>
      </c>
      <c r="UV508" s="98">
        <f t="shared" si="3578"/>
        <v>0</v>
      </c>
      <c r="UW508" s="98">
        <f t="shared" si="3578"/>
        <v>0</v>
      </c>
      <c r="UX508" s="98">
        <f t="shared" si="3578"/>
        <v>0</v>
      </c>
      <c r="UY508" s="98">
        <f t="shared" si="3578"/>
        <v>0</v>
      </c>
      <c r="UZ508" s="98">
        <f t="shared" si="3578"/>
        <v>0</v>
      </c>
      <c r="VA508" s="98">
        <f t="shared" si="3578"/>
        <v>0</v>
      </c>
      <c r="VB508" s="98">
        <f t="shared" si="3578"/>
        <v>0</v>
      </c>
      <c r="VC508" s="98">
        <f t="shared" si="3578"/>
        <v>0</v>
      </c>
      <c r="VD508" s="98">
        <f t="shared" si="3578"/>
        <v>0</v>
      </c>
      <c r="VE508" s="198">
        <f t="shared" si="2705"/>
        <v>0</v>
      </c>
      <c r="VF508" s="198">
        <f t="shared" si="2706"/>
        <v>0</v>
      </c>
      <c r="VG508" s="98">
        <f t="shared" ref="VG508:VT508" si="3579">SUM(VG37,VG75,VG113,VG151,VG189,VG227,VG265,VG303,VG341,VG379,VG417,VG455)</f>
        <v>0</v>
      </c>
      <c r="VH508" s="98">
        <f t="shared" si="3579"/>
        <v>0</v>
      </c>
      <c r="VI508" s="98">
        <f t="shared" si="3579"/>
        <v>0</v>
      </c>
      <c r="VJ508" s="98">
        <f t="shared" si="3579"/>
        <v>0</v>
      </c>
      <c r="VK508" s="98">
        <f t="shared" si="3579"/>
        <v>0</v>
      </c>
      <c r="VL508" s="98">
        <f t="shared" si="3579"/>
        <v>0</v>
      </c>
      <c r="VM508" s="98">
        <f t="shared" si="3579"/>
        <v>0</v>
      </c>
      <c r="VN508" s="98">
        <f t="shared" si="3579"/>
        <v>0</v>
      </c>
      <c r="VO508" s="98">
        <f t="shared" si="3579"/>
        <v>0</v>
      </c>
      <c r="VP508" s="98">
        <f t="shared" si="3579"/>
        <v>0</v>
      </c>
      <c r="VQ508" s="98">
        <f t="shared" si="3579"/>
        <v>0</v>
      </c>
      <c r="VR508" s="98">
        <f t="shared" si="3579"/>
        <v>0</v>
      </c>
      <c r="VS508" s="98">
        <f t="shared" si="3579"/>
        <v>0</v>
      </c>
      <c r="VT508" s="98">
        <f t="shared" si="3579"/>
        <v>0</v>
      </c>
      <c r="VU508" s="198">
        <f t="shared" si="2708"/>
        <v>0</v>
      </c>
      <c r="VV508" s="198">
        <f t="shared" si="2709"/>
        <v>0</v>
      </c>
      <c r="VW508" s="98">
        <f t="shared" ref="VW508:WJ508" si="3580">SUM(VW37,VW75,VW113,VW151,VW189,VW227,VW265,VW303,VW341,VW379,VW417,VW455)</f>
        <v>0</v>
      </c>
      <c r="VX508" s="98">
        <f t="shared" si="3580"/>
        <v>0</v>
      </c>
      <c r="VY508" s="98">
        <f t="shared" si="3580"/>
        <v>0</v>
      </c>
      <c r="VZ508" s="98">
        <f t="shared" si="3580"/>
        <v>0</v>
      </c>
      <c r="WA508" s="98">
        <f t="shared" si="3580"/>
        <v>0</v>
      </c>
      <c r="WB508" s="98">
        <f t="shared" si="3580"/>
        <v>0</v>
      </c>
      <c r="WC508" s="98">
        <f t="shared" si="3580"/>
        <v>0</v>
      </c>
      <c r="WD508" s="98">
        <f t="shared" si="3580"/>
        <v>0</v>
      </c>
      <c r="WE508" s="98">
        <f t="shared" si="3580"/>
        <v>0</v>
      </c>
      <c r="WF508" s="98">
        <f t="shared" si="3580"/>
        <v>0</v>
      </c>
      <c r="WG508" s="98">
        <f t="shared" si="3580"/>
        <v>0</v>
      </c>
      <c r="WH508" s="98">
        <f t="shared" si="3580"/>
        <v>0</v>
      </c>
      <c r="WI508" s="98">
        <f t="shared" si="3580"/>
        <v>0</v>
      </c>
      <c r="WJ508" s="98">
        <f t="shared" si="3580"/>
        <v>0</v>
      </c>
      <c r="WK508" s="198">
        <f t="shared" si="2711"/>
        <v>0</v>
      </c>
      <c r="WL508" s="198">
        <f t="shared" si="2712"/>
        <v>0</v>
      </c>
      <c r="WN508" s="98">
        <f t="shared" si="2713"/>
        <v>0</v>
      </c>
      <c r="WO508" s="98">
        <f t="shared" si="2714"/>
        <v>0</v>
      </c>
      <c r="WP508" s="98">
        <f t="shared" si="2715"/>
        <v>0</v>
      </c>
      <c r="WQ508" s="98">
        <f t="shared" si="2716"/>
        <v>0</v>
      </c>
      <c r="WR508" s="98">
        <f t="shared" si="2717"/>
        <v>0</v>
      </c>
      <c r="WS508" s="98">
        <f t="shared" si="2718"/>
        <v>0</v>
      </c>
      <c r="WT508" s="98">
        <f t="shared" si="2719"/>
        <v>0</v>
      </c>
      <c r="WU508" s="98">
        <f t="shared" si="2720"/>
        <v>0</v>
      </c>
      <c r="WV508" s="98">
        <f t="shared" si="2721"/>
        <v>0</v>
      </c>
      <c r="WW508" s="98">
        <f t="shared" si="2722"/>
        <v>0</v>
      </c>
      <c r="WX508" s="98">
        <f t="shared" si="2723"/>
        <v>0</v>
      </c>
      <c r="WY508" s="98">
        <f t="shared" si="2724"/>
        <v>0</v>
      </c>
      <c r="WZ508" s="98">
        <f t="shared" si="2725"/>
        <v>0</v>
      </c>
      <c r="XA508" s="98">
        <f t="shared" si="2726"/>
        <v>0</v>
      </c>
      <c r="XB508" s="107">
        <f t="shared" si="2727"/>
        <v>0</v>
      </c>
      <c r="XC508" s="107">
        <f t="shared" si="2728"/>
        <v>0</v>
      </c>
      <c r="XK508" s="98">
        <f t="shared" si="2729"/>
        <v>0</v>
      </c>
      <c r="XL508" s="98">
        <f t="shared" si="2730"/>
        <v>0</v>
      </c>
      <c r="XM508" s="98">
        <f t="shared" si="2731"/>
        <v>0</v>
      </c>
      <c r="XN508" s="98">
        <f t="shared" si="2732"/>
        <v>0</v>
      </c>
      <c r="XO508" s="98">
        <f t="shared" si="2733"/>
        <v>0</v>
      </c>
      <c r="XP508" s="98">
        <f t="shared" si="2734"/>
        <v>0</v>
      </c>
      <c r="XQ508" s="98">
        <f t="shared" si="2735"/>
        <v>0</v>
      </c>
      <c r="XR508" s="107">
        <f t="shared" ca="1" si="2597"/>
        <v>0</v>
      </c>
      <c r="XT508" s="98">
        <f t="shared" si="2736"/>
        <v>0</v>
      </c>
      <c r="XU508" s="98">
        <f t="shared" si="2737"/>
        <v>0</v>
      </c>
      <c r="XV508" s="98">
        <f t="shared" si="2738"/>
        <v>0</v>
      </c>
      <c r="XW508" s="98">
        <f t="shared" si="2739"/>
        <v>0</v>
      </c>
      <c r="XX508" s="98">
        <f t="shared" si="2740"/>
        <v>0</v>
      </c>
      <c r="XY508" s="98">
        <f t="shared" si="2741"/>
        <v>0</v>
      </c>
      <c r="XZ508" s="98">
        <f t="shared" si="2742"/>
        <v>0</v>
      </c>
      <c r="YA508" s="107">
        <f t="shared" ca="1" si="2598"/>
        <v>0</v>
      </c>
    </row>
    <row r="509" spans="2:651">
      <c r="B509" s="90" t="str">
        <f t="shared" si="2558"/>
        <v>Udang Putih</v>
      </c>
      <c r="C509" s="98">
        <f t="shared" ref="C509:P509" si="3581">SUM(C38,C76,C114,C152,C190,C228,C266,C304,C342,C380,C418,C456)</f>
        <v>0</v>
      </c>
      <c r="D509" s="98">
        <f t="shared" si="3581"/>
        <v>0</v>
      </c>
      <c r="E509" s="98">
        <f t="shared" si="3581"/>
        <v>2150450</v>
      </c>
      <c r="F509" s="98">
        <f t="shared" si="3581"/>
        <v>86018000</v>
      </c>
      <c r="G509" s="98">
        <f t="shared" si="3581"/>
        <v>0</v>
      </c>
      <c r="H509" s="98">
        <f t="shared" si="3581"/>
        <v>0</v>
      </c>
      <c r="I509" s="98">
        <f t="shared" si="3581"/>
        <v>0</v>
      </c>
      <c r="J509" s="98">
        <f t="shared" si="3581"/>
        <v>0</v>
      </c>
      <c r="K509" s="98">
        <f t="shared" si="3581"/>
        <v>0</v>
      </c>
      <c r="L509" s="98">
        <f t="shared" si="3581"/>
        <v>0</v>
      </c>
      <c r="M509" s="98">
        <f t="shared" si="3581"/>
        <v>0</v>
      </c>
      <c r="N509" s="98">
        <f t="shared" si="3581"/>
        <v>0</v>
      </c>
      <c r="O509" s="98">
        <f t="shared" si="3581"/>
        <v>0</v>
      </c>
      <c r="P509" s="98">
        <f t="shared" si="3581"/>
        <v>0</v>
      </c>
      <c r="Q509" s="198">
        <f t="shared" si="2600"/>
        <v>2150450</v>
      </c>
      <c r="R509" s="198">
        <f t="shared" si="2601"/>
        <v>86018000</v>
      </c>
      <c r="S509" s="98">
        <f t="shared" ref="S509:AF509" si="3582">SUM(S38,S76,S114,S152,S190,S228,S266,S304,S342,S380,S418,S456)</f>
        <v>0</v>
      </c>
      <c r="T509" s="98">
        <f t="shared" si="3582"/>
        <v>0</v>
      </c>
      <c r="U509" s="98">
        <f t="shared" si="3582"/>
        <v>0</v>
      </c>
      <c r="V509" s="98">
        <f t="shared" si="3582"/>
        <v>0</v>
      </c>
      <c r="W509" s="98">
        <f t="shared" si="3582"/>
        <v>0</v>
      </c>
      <c r="X509" s="98">
        <f t="shared" si="3582"/>
        <v>0</v>
      </c>
      <c r="Y509" s="98">
        <f t="shared" si="3582"/>
        <v>0</v>
      </c>
      <c r="Z509" s="98">
        <f t="shared" si="3582"/>
        <v>0</v>
      </c>
      <c r="AA509" s="98">
        <f t="shared" si="3582"/>
        <v>0</v>
      </c>
      <c r="AB509" s="98">
        <f t="shared" si="3582"/>
        <v>0</v>
      </c>
      <c r="AC509" s="98">
        <f t="shared" si="3582"/>
        <v>0</v>
      </c>
      <c r="AD509" s="98">
        <f t="shared" si="3582"/>
        <v>0</v>
      </c>
      <c r="AE509" s="98">
        <f t="shared" si="3582"/>
        <v>0</v>
      </c>
      <c r="AF509" s="98">
        <f t="shared" si="3582"/>
        <v>0</v>
      </c>
      <c r="AG509" s="198">
        <f t="shared" si="2603"/>
        <v>0</v>
      </c>
      <c r="AH509" s="198">
        <f t="shared" si="2604"/>
        <v>0</v>
      </c>
      <c r="AI509" s="98">
        <f t="shared" ref="AI509:AV509" si="3583">SUM(AI38,AI76,AI114,AI152,AI190,AI228,AI266,AI304,AI342,AI380,AI418,AI456)</f>
        <v>0</v>
      </c>
      <c r="AJ509" s="98">
        <f t="shared" si="3583"/>
        <v>0</v>
      </c>
      <c r="AK509" s="98">
        <f t="shared" si="3583"/>
        <v>0</v>
      </c>
      <c r="AL509" s="98">
        <f t="shared" si="3583"/>
        <v>0</v>
      </c>
      <c r="AM509" s="98">
        <f t="shared" si="3583"/>
        <v>0</v>
      </c>
      <c r="AN509" s="98">
        <f t="shared" si="3583"/>
        <v>0</v>
      </c>
      <c r="AO509" s="98">
        <f t="shared" si="3583"/>
        <v>0</v>
      </c>
      <c r="AP509" s="98">
        <f t="shared" si="3583"/>
        <v>0</v>
      </c>
      <c r="AQ509" s="98">
        <f t="shared" si="3583"/>
        <v>0</v>
      </c>
      <c r="AR509" s="98">
        <f t="shared" si="3583"/>
        <v>0</v>
      </c>
      <c r="AS509" s="98">
        <f t="shared" si="3583"/>
        <v>0</v>
      </c>
      <c r="AT509" s="98">
        <f t="shared" si="3583"/>
        <v>0</v>
      </c>
      <c r="AU509" s="98">
        <f t="shared" si="3583"/>
        <v>0</v>
      </c>
      <c r="AV509" s="98">
        <f t="shared" si="3583"/>
        <v>0</v>
      </c>
      <c r="AW509" s="198">
        <f t="shared" si="2606"/>
        <v>0</v>
      </c>
      <c r="AX509" s="198">
        <f t="shared" si="2607"/>
        <v>0</v>
      </c>
      <c r="AY509" s="98">
        <f t="shared" ref="AY509:BL509" si="3584">SUM(AY38,AY76,AY114,AY152,AY190,AY228,AY266,AY304,AY342,AY380,AY418,AY456)</f>
        <v>0</v>
      </c>
      <c r="AZ509" s="98">
        <f t="shared" si="3584"/>
        <v>0</v>
      </c>
      <c r="BA509" s="98">
        <f t="shared" si="3584"/>
        <v>0</v>
      </c>
      <c r="BB509" s="98">
        <f t="shared" si="3584"/>
        <v>0</v>
      </c>
      <c r="BC509" s="98">
        <f t="shared" si="3584"/>
        <v>0</v>
      </c>
      <c r="BD509" s="98">
        <f t="shared" si="3584"/>
        <v>0</v>
      </c>
      <c r="BE509" s="98">
        <f t="shared" si="3584"/>
        <v>0</v>
      </c>
      <c r="BF509" s="98">
        <f t="shared" si="3584"/>
        <v>0</v>
      </c>
      <c r="BG509" s="98">
        <f t="shared" si="3584"/>
        <v>0</v>
      </c>
      <c r="BH509" s="98">
        <f t="shared" si="3584"/>
        <v>0</v>
      </c>
      <c r="BI509" s="98">
        <f t="shared" si="3584"/>
        <v>0</v>
      </c>
      <c r="BJ509" s="98">
        <f t="shared" si="3584"/>
        <v>0</v>
      </c>
      <c r="BK509" s="98">
        <f t="shared" si="3584"/>
        <v>0</v>
      </c>
      <c r="BL509" s="98">
        <f t="shared" si="3584"/>
        <v>0</v>
      </c>
      <c r="BM509" s="198">
        <f t="shared" si="2609"/>
        <v>0</v>
      </c>
      <c r="BN509" s="198">
        <f t="shared" si="2610"/>
        <v>0</v>
      </c>
      <c r="BO509" s="98">
        <f t="shared" ref="BO509:CB509" si="3585">SUM(BO38,BO76,BO114,BO152,BO190,BO228,BO266,BO304,BO342,BO380,BO418,BO456)</f>
        <v>0</v>
      </c>
      <c r="BP509" s="98">
        <f t="shared" si="3585"/>
        <v>0</v>
      </c>
      <c r="BQ509" s="98">
        <f t="shared" si="3585"/>
        <v>0</v>
      </c>
      <c r="BR509" s="98">
        <f t="shared" si="3585"/>
        <v>0</v>
      </c>
      <c r="BS509" s="98">
        <f t="shared" si="3585"/>
        <v>0</v>
      </c>
      <c r="BT509" s="98">
        <f t="shared" si="3585"/>
        <v>0</v>
      </c>
      <c r="BU509" s="98">
        <f t="shared" si="3585"/>
        <v>0</v>
      </c>
      <c r="BV509" s="98">
        <f t="shared" si="3585"/>
        <v>0</v>
      </c>
      <c r="BW509" s="98">
        <f t="shared" si="3585"/>
        <v>0</v>
      </c>
      <c r="BX509" s="98">
        <f t="shared" si="3585"/>
        <v>0</v>
      </c>
      <c r="BY509" s="98">
        <f t="shared" si="3585"/>
        <v>0</v>
      </c>
      <c r="BZ509" s="98">
        <f t="shared" si="3585"/>
        <v>0</v>
      </c>
      <c r="CA509" s="98">
        <f t="shared" si="3585"/>
        <v>0</v>
      </c>
      <c r="CB509" s="98">
        <f t="shared" si="3585"/>
        <v>0</v>
      </c>
      <c r="CC509" s="198">
        <f t="shared" si="2612"/>
        <v>0</v>
      </c>
      <c r="CD509" s="198">
        <f t="shared" si="2613"/>
        <v>0</v>
      </c>
      <c r="CE509" s="98">
        <f t="shared" ref="CE509:CR509" si="3586">SUM(CE38,CE76,CE114,CE152,CE190,CE228,CE266,CE304,CE342,CE380,CE418,CE456)</f>
        <v>0</v>
      </c>
      <c r="CF509" s="98">
        <f t="shared" si="3586"/>
        <v>0</v>
      </c>
      <c r="CG509" s="98">
        <f t="shared" si="3586"/>
        <v>0</v>
      </c>
      <c r="CH509" s="98">
        <f t="shared" si="3586"/>
        <v>0</v>
      </c>
      <c r="CI509" s="98">
        <f t="shared" si="3586"/>
        <v>0</v>
      </c>
      <c r="CJ509" s="98">
        <f t="shared" si="3586"/>
        <v>0</v>
      </c>
      <c r="CK509" s="98">
        <f t="shared" si="3586"/>
        <v>0</v>
      </c>
      <c r="CL509" s="98">
        <f t="shared" si="3586"/>
        <v>0</v>
      </c>
      <c r="CM509" s="98">
        <f t="shared" si="3586"/>
        <v>0</v>
      </c>
      <c r="CN509" s="98">
        <f t="shared" si="3586"/>
        <v>0</v>
      </c>
      <c r="CO509" s="98">
        <f t="shared" si="3586"/>
        <v>0</v>
      </c>
      <c r="CP509" s="98">
        <f t="shared" si="3586"/>
        <v>0</v>
      </c>
      <c r="CQ509" s="98">
        <f t="shared" si="3586"/>
        <v>0</v>
      </c>
      <c r="CR509" s="98">
        <f t="shared" si="3586"/>
        <v>0</v>
      </c>
      <c r="CS509" s="198">
        <f t="shared" si="2615"/>
        <v>0</v>
      </c>
      <c r="CT509" s="198">
        <f t="shared" si="2616"/>
        <v>0</v>
      </c>
      <c r="CU509" s="98">
        <f t="shared" ref="CU509:DH509" si="3587">SUM(CU38,CU76,CU114,CU152,CU190,CU228,CU266,CU304,CU342,CU380,CU418,CU456)</f>
        <v>0</v>
      </c>
      <c r="CV509" s="98">
        <f t="shared" si="3587"/>
        <v>0</v>
      </c>
      <c r="CW509" s="98">
        <f t="shared" si="3587"/>
        <v>0</v>
      </c>
      <c r="CX509" s="98">
        <f t="shared" si="3587"/>
        <v>0</v>
      </c>
      <c r="CY509" s="98">
        <f t="shared" si="3587"/>
        <v>0</v>
      </c>
      <c r="CZ509" s="98">
        <f t="shared" si="3587"/>
        <v>0</v>
      </c>
      <c r="DA509" s="98">
        <f t="shared" si="3587"/>
        <v>0</v>
      </c>
      <c r="DB509" s="98">
        <f t="shared" si="3587"/>
        <v>0</v>
      </c>
      <c r="DC509" s="98">
        <f t="shared" si="3587"/>
        <v>0</v>
      </c>
      <c r="DD509" s="98">
        <f t="shared" si="3587"/>
        <v>0</v>
      </c>
      <c r="DE509" s="98">
        <f t="shared" si="3587"/>
        <v>0</v>
      </c>
      <c r="DF509" s="98">
        <f t="shared" si="3587"/>
        <v>0</v>
      </c>
      <c r="DG509" s="98">
        <f t="shared" si="3587"/>
        <v>0</v>
      </c>
      <c r="DH509" s="98">
        <f t="shared" si="3587"/>
        <v>0</v>
      </c>
      <c r="DI509" s="198">
        <f t="shared" si="2618"/>
        <v>0</v>
      </c>
      <c r="DJ509" s="198">
        <f t="shared" si="2619"/>
        <v>0</v>
      </c>
      <c r="DK509" s="98">
        <f t="shared" ref="DK509:DX509" si="3588">SUM(DK38,DK76,DK114,DK152,DK190,DK228,DK266,DK304,DK342,DK380,DK418,DK456)</f>
        <v>0</v>
      </c>
      <c r="DL509" s="98">
        <f t="shared" si="3588"/>
        <v>0</v>
      </c>
      <c r="DM509" s="98">
        <f t="shared" si="3588"/>
        <v>0</v>
      </c>
      <c r="DN509" s="98">
        <f t="shared" si="3588"/>
        <v>0</v>
      </c>
      <c r="DO509" s="98">
        <f t="shared" si="3588"/>
        <v>0</v>
      </c>
      <c r="DP509" s="98">
        <f t="shared" si="3588"/>
        <v>0</v>
      </c>
      <c r="DQ509" s="98">
        <f t="shared" si="3588"/>
        <v>0</v>
      </c>
      <c r="DR509" s="98">
        <f t="shared" si="3588"/>
        <v>0</v>
      </c>
      <c r="DS509" s="98">
        <f t="shared" si="3588"/>
        <v>0</v>
      </c>
      <c r="DT509" s="98">
        <f t="shared" si="3588"/>
        <v>0</v>
      </c>
      <c r="DU509" s="98">
        <f t="shared" si="3588"/>
        <v>0</v>
      </c>
      <c r="DV509" s="98">
        <f t="shared" si="3588"/>
        <v>0</v>
      </c>
      <c r="DW509" s="98">
        <f t="shared" si="3588"/>
        <v>0</v>
      </c>
      <c r="DX509" s="98">
        <f t="shared" si="3588"/>
        <v>0</v>
      </c>
      <c r="DY509" s="198">
        <f t="shared" si="2621"/>
        <v>0</v>
      </c>
      <c r="DZ509" s="198">
        <f t="shared" si="2622"/>
        <v>0</v>
      </c>
      <c r="EA509" s="98">
        <f t="shared" ref="EA509:EN509" si="3589">SUM(EA38,EA76,EA114,EA152,EA190,EA228,EA266,EA304,EA342,EA380,EA418,EA456)</f>
        <v>0</v>
      </c>
      <c r="EB509" s="98">
        <f t="shared" si="3589"/>
        <v>0</v>
      </c>
      <c r="EC509" s="98">
        <f t="shared" si="3589"/>
        <v>0</v>
      </c>
      <c r="ED509" s="98">
        <f t="shared" si="3589"/>
        <v>0</v>
      </c>
      <c r="EE509" s="98">
        <f t="shared" si="3589"/>
        <v>0</v>
      </c>
      <c r="EF509" s="98">
        <f t="shared" si="3589"/>
        <v>0</v>
      </c>
      <c r="EG509" s="98">
        <f t="shared" si="3589"/>
        <v>0</v>
      </c>
      <c r="EH509" s="98">
        <f t="shared" si="3589"/>
        <v>0</v>
      </c>
      <c r="EI509" s="98">
        <f t="shared" si="3589"/>
        <v>0</v>
      </c>
      <c r="EJ509" s="98">
        <f t="shared" si="3589"/>
        <v>0</v>
      </c>
      <c r="EK509" s="98">
        <f t="shared" si="3589"/>
        <v>0</v>
      </c>
      <c r="EL509" s="98">
        <f t="shared" si="3589"/>
        <v>0</v>
      </c>
      <c r="EM509" s="98">
        <f t="shared" si="3589"/>
        <v>0</v>
      </c>
      <c r="EN509" s="98">
        <f t="shared" si="3589"/>
        <v>0</v>
      </c>
      <c r="EO509" s="198">
        <f t="shared" si="2624"/>
        <v>0</v>
      </c>
      <c r="EP509" s="198">
        <f t="shared" si="2625"/>
        <v>0</v>
      </c>
      <c r="EQ509" s="98">
        <f t="shared" ref="EQ509:FD509" si="3590">SUM(EQ38,EQ76,EQ114,EQ152,EQ190,EQ228,EQ266,EQ304,EQ342,EQ380,EQ418,EQ456)</f>
        <v>0</v>
      </c>
      <c r="ER509" s="98">
        <f t="shared" si="3590"/>
        <v>0</v>
      </c>
      <c r="ES509" s="98">
        <f t="shared" si="3590"/>
        <v>0</v>
      </c>
      <c r="ET509" s="98">
        <f t="shared" si="3590"/>
        <v>0</v>
      </c>
      <c r="EU509" s="98">
        <f t="shared" si="3590"/>
        <v>0</v>
      </c>
      <c r="EV509" s="98">
        <f t="shared" si="3590"/>
        <v>0</v>
      </c>
      <c r="EW509" s="98">
        <f t="shared" si="3590"/>
        <v>0</v>
      </c>
      <c r="EX509" s="98">
        <f t="shared" si="3590"/>
        <v>0</v>
      </c>
      <c r="EY509" s="98">
        <f t="shared" si="3590"/>
        <v>0</v>
      </c>
      <c r="EZ509" s="98">
        <f t="shared" si="3590"/>
        <v>0</v>
      </c>
      <c r="FA509" s="98">
        <f t="shared" si="3590"/>
        <v>0</v>
      </c>
      <c r="FB509" s="98">
        <f t="shared" si="3590"/>
        <v>0</v>
      </c>
      <c r="FC509" s="98">
        <f t="shared" si="3590"/>
        <v>0</v>
      </c>
      <c r="FD509" s="98">
        <f t="shared" si="3590"/>
        <v>0</v>
      </c>
      <c r="FE509" s="198">
        <f t="shared" si="2627"/>
        <v>0</v>
      </c>
      <c r="FF509" s="198">
        <f t="shared" si="2628"/>
        <v>0</v>
      </c>
      <c r="FG509" s="98">
        <f t="shared" ref="FG509:FT509" si="3591">SUM(FG38,FG76,FG114,FG152,FG190,FG228,FG266,FG304,FG342,FG380,FG418,FG456)</f>
        <v>0</v>
      </c>
      <c r="FH509" s="98">
        <f t="shared" si="3591"/>
        <v>0</v>
      </c>
      <c r="FI509" s="98">
        <f t="shared" si="3591"/>
        <v>0</v>
      </c>
      <c r="FJ509" s="98">
        <f t="shared" si="3591"/>
        <v>0</v>
      </c>
      <c r="FK509" s="98">
        <f t="shared" si="3591"/>
        <v>0</v>
      </c>
      <c r="FL509" s="98">
        <f t="shared" si="3591"/>
        <v>0</v>
      </c>
      <c r="FM509" s="98">
        <f t="shared" si="3591"/>
        <v>0</v>
      </c>
      <c r="FN509" s="98">
        <f t="shared" si="3591"/>
        <v>0</v>
      </c>
      <c r="FO509" s="98">
        <f t="shared" si="3591"/>
        <v>0</v>
      </c>
      <c r="FP509" s="98">
        <f t="shared" si="3591"/>
        <v>0</v>
      </c>
      <c r="FQ509" s="98">
        <f t="shared" si="3591"/>
        <v>0</v>
      </c>
      <c r="FR509" s="98">
        <f t="shared" si="3591"/>
        <v>0</v>
      </c>
      <c r="FS509" s="98">
        <f t="shared" si="3591"/>
        <v>0</v>
      </c>
      <c r="FT509" s="98">
        <f t="shared" si="3591"/>
        <v>0</v>
      </c>
      <c r="FU509" s="198">
        <f t="shared" si="2630"/>
        <v>0</v>
      </c>
      <c r="FV509" s="198">
        <f t="shared" si="2631"/>
        <v>0</v>
      </c>
      <c r="FW509" s="98">
        <f t="shared" ref="FW509:GJ509" si="3592">SUM(FW38,FW76,FW114,FW152,FW190,FW228,FW266,FW304,FW342,FW380,FW418,FW456)</f>
        <v>0</v>
      </c>
      <c r="FX509" s="98">
        <f t="shared" si="3592"/>
        <v>0</v>
      </c>
      <c r="FY509" s="98">
        <f t="shared" si="3592"/>
        <v>0</v>
      </c>
      <c r="FZ509" s="98">
        <f t="shared" si="3592"/>
        <v>0</v>
      </c>
      <c r="GA509" s="98">
        <f t="shared" si="3592"/>
        <v>0</v>
      </c>
      <c r="GB509" s="98">
        <f t="shared" si="3592"/>
        <v>0</v>
      </c>
      <c r="GC509" s="98">
        <f t="shared" si="3592"/>
        <v>0</v>
      </c>
      <c r="GD509" s="98">
        <f t="shared" si="3592"/>
        <v>0</v>
      </c>
      <c r="GE509" s="98">
        <f t="shared" si="3592"/>
        <v>0</v>
      </c>
      <c r="GF509" s="98">
        <f t="shared" si="3592"/>
        <v>0</v>
      </c>
      <c r="GG509" s="98">
        <f t="shared" si="3592"/>
        <v>0</v>
      </c>
      <c r="GH509" s="98">
        <f t="shared" si="3592"/>
        <v>0</v>
      </c>
      <c r="GI509" s="98">
        <f t="shared" si="3592"/>
        <v>0</v>
      </c>
      <c r="GJ509" s="98">
        <f t="shared" si="3592"/>
        <v>0</v>
      </c>
      <c r="GK509" s="198">
        <f t="shared" si="2633"/>
        <v>0</v>
      </c>
      <c r="GL509" s="198">
        <f t="shared" si="2634"/>
        <v>0</v>
      </c>
      <c r="GM509" s="98">
        <f t="shared" ref="GM509:GZ509" si="3593">SUM(GM38,GM76,GM114,GM152,GM190,GM228,GM266,GM304,GM342,GM380,GM418,GM456)</f>
        <v>0</v>
      </c>
      <c r="GN509" s="98">
        <f t="shared" si="3593"/>
        <v>0</v>
      </c>
      <c r="GO509" s="98">
        <f t="shared" si="3593"/>
        <v>0</v>
      </c>
      <c r="GP509" s="98">
        <f t="shared" si="3593"/>
        <v>0</v>
      </c>
      <c r="GQ509" s="98">
        <f t="shared" si="3593"/>
        <v>0</v>
      </c>
      <c r="GR509" s="98">
        <f t="shared" si="3593"/>
        <v>0</v>
      </c>
      <c r="GS509" s="98">
        <f t="shared" si="3593"/>
        <v>0</v>
      </c>
      <c r="GT509" s="98">
        <f t="shared" si="3593"/>
        <v>0</v>
      </c>
      <c r="GU509" s="98">
        <f t="shared" si="3593"/>
        <v>0</v>
      </c>
      <c r="GV509" s="98">
        <f t="shared" si="3593"/>
        <v>0</v>
      </c>
      <c r="GW509" s="98">
        <f t="shared" si="3593"/>
        <v>0</v>
      </c>
      <c r="GX509" s="98">
        <f t="shared" si="3593"/>
        <v>0</v>
      </c>
      <c r="GY509" s="98">
        <f t="shared" si="3593"/>
        <v>0</v>
      </c>
      <c r="GZ509" s="98">
        <f t="shared" si="3593"/>
        <v>0</v>
      </c>
      <c r="HA509" s="198">
        <f t="shared" si="2636"/>
        <v>0</v>
      </c>
      <c r="HB509" s="198">
        <f t="shared" si="2637"/>
        <v>0</v>
      </c>
      <c r="HC509" s="98">
        <f t="shared" ref="HC509:HP509" si="3594">SUM(HC38,HC76,HC114,HC152,HC190,HC228,HC266,HC304,HC342,HC380,HC418,HC456)</f>
        <v>0</v>
      </c>
      <c r="HD509" s="98">
        <f t="shared" si="3594"/>
        <v>0</v>
      </c>
      <c r="HE509" s="98">
        <f t="shared" si="3594"/>
        <v>105000</v>
      </c>
      <c r="HF509" s="98">
        <f t="shared" si="3594"/>
        <v>5670000</v>
      </c>
      <c r="HG509" s="98">
        <f t="shared" si="3594"/>
        <v>0</v>
      </c>
      <c r="HH509" s="98">
        <f t="shared" si="3594"/>
        <v>0</v>
      </c>
      <c r="HI509" s="98">
        <f t="shared" si="3594"/>
        <v>0</v>
      </c>
      <c r="HJ509" s="98">
        <f t="shared" si="3594"/>
        <v>0</v>
      </c>
      <c r="HK509" s="98">
        <f t="shared" si="3594"/>
        <v>0</v>
      </c>
      <c r="HL509" s="98">
        <f t="shared" si="3594"/>
        <v>0</v>
      </c>
      <c r="HM509" s="98">
        <f t="shared" si="3594"/>
        <v>0</v>
      </c>
      <c r="HN509" s="98">
        <f t="shared" si="3594"/>
        <v>0</v>
      </c>
      <c r="HO509" s="98">
        <f t="shared" si="3594"/>
        <v>0</v>
      </c>
      <c r="HP509" s="98">
        <f t="shared" si="3594"/>
        <v>0</v>
      </c>
      <c r="HQ509" s="198">
        <f t="shared" si="2639"/>
        <v>105000</v>
      </c>
      <c r="HR509" s="198">
        <f t="shared" si="2640"/>
        <v>5670000</v>
      </c>
      <c r="HS509" s="98">
        <f t="shared" ref="HS509:IF509" si="3595">SUM(HS38,HS76,HS114,HS152,HS190,HS228,HS266,HS304,HS342,HS380,HS418,HS456)</f>
        <v>0</v>
      </c>
      <c r="HT509" s="98">
        <f t="shared" si="3595"/>
        <v>0</v>
      </c>
      <c r="HU509" s="98">
        <f t="shared" si="3595"/>
        <v>0</v>
      </c>
      <c r="HV509" s="98">
        <f t="shared" si="3595"/>
        <v>0</v>
      </c>
      <c r="HW509" s="98">
        <f t="shared" si="3595"/>
        <v>0</v>
      </c>
      <c r="HX509" s="98">
        <f t="shared" si="3595"/>
        <v>0</v>
      </c>
      <c r="HY509" s="98">
        <f t="shared" si="3595"/>
        <v>0</v>
      </c>
      <c r="HZ509" s="98">
        <f t="shared" si="3595"/>
        <v>0</v>
      </c>
      <c r="IA509" s="98">
        <f t="shared" si="3595"/>
        <v>0</v>
      </c>
      <c r="IB509" s="98">
        <f t="shared" si="3595"/>
        <v>0</v>
      </c>
      <c r="IC509" s="98">
        <f t="shared" si="3595"/>
        <v>0</v>
      </c>
      <c r="ID509" s="98">
        <f t="shared" si="3595"/>
        <v>0</v>
      </c>
      <c r="IE509" s="98">
        <f t="shared" si="3595"/>
        <v>0</v>
      </c>
      <c r="IF509" s="98">
        <f t="shared" si="3595"/>
        <v>0</v>
      </c>
      <c r="IG509" s="198">
        <f t="shared" si="2642"/>
        <v>0</v>
      </c>
      <c r="IH509" s="198">
        <f t="shared" si="2643"/>
        <v>0</v>
      </c>
      <c r="II509" s="98">
        <f t="shared" ref="II509:IV509" si="3596">SUM(II38,II76,II114,II152,II190,II228,II266,II304,II342,II380,II418,II456)</f>
        <v>0</v>
      </c>
      <c r="IJ509" s="98">
        <f t="shared" si="3596"/>
        <v>0</v>
      </c>
      <c r="IK509" s="98">
        <f t="shared" si="3596"/>
        <v>0</v>
      </c>
      <c r="IL509" s="98">
        <f t="shared" si="3596"/>
        <v>0</v>
      </c>
      <c r="IM509" s="98">
        <f t="shared" si="3596"/>
        <v>0</v>
      </c>
      <c r="IN509" s="98">
        <f t="shared" si="3596"/>
        <v>0</v>
      </c>
      <c r="IO509" s="98">
        <f t="shared" si="3596"/>
        <v>0</v>
      </c>
      <c r="IP509" s="98">
        <f t="shared" si="3596"/>
        <v>0</v>
      </c>
      <c r="IQ509" s="98">
        <f t="shared" si="3596"/>
        <v>0</v>
      </c>
      <c r="IR509" s="98">
        <f t="shared" si="3596"/>
        <v>0</v>
      </c>
      <c r="IS509" s="98">
        <f t="shared" si="3596"/>
        <v>0</v>
      </c>
      <c r="IT509" s="98">
        <f t="shared" si="3596"/>
        <v>0</v>
      </c>
      <c r="IU509" s="98">
        <f t="shared" si="3596"/>
        <v>0</v>
      </c>
      <c r="IV509" s="98">
        <f t="shared" si="3596"/>
        <v>0</v>
      </c>
      <c r="IW509" s="198">
        <f t="shared" si="2645"/>
        <v>0</v>
      </c>
      <c r="IX509" s="198">
        <f t="shared" si="2646"/>
        <v>0</v>
      </c>
      <c r="IY509" s="98">
        <f t="shared" ref="IY509:JL509" si="3597">SUM(IY38,IY76,IY114,IY152,IY190,IY228,IY266,IY304,IY342,IY380,IY418,IY456)</f>
        <v>0</v>
      </c>
      <c r="IZ509" s="98">
        <f t="shared" si="3597"/>
        <v>0</v>
      </c>
      <c r="JA509" s="98">
        <f t="shared" si="3597"/>
        <v>0</v>
      </c>
      <c r="JB509" s="98">
        <f t="shared" si="3597"/>
        <v>0</v>
      </c>
      <c r="JC509" s="98">
        <f t="shared" si="3597"/>
        <v>0</v>
      </c>
      <c r="JD509" s="98">
        <f t="shared" si="3597"/>
        <v>0</v>
      </c>
      <c r="JE509" s="98">
        <f t="shared" si="3597"/>
        <v>0</v>
      </c>
      <c r="JF509" s="98">
        <f t="shared" si="3597"/>
        <v>0</v>
      </c>
      <c r="JG509" s="98">
        <f t="shared" si="3597"/>
        <v>0</v>
      </c>
      <c r="JH509" s="98">
        <f t="shared" si="3597"/>
        <v>0</v>
      </c>
      <c r="JI509" s="98">
        <f t="shared" si="3597"/>
        <v>0</v>
      </c>
      <c r="JJ509" s="98">
        <f t="shared" si="3597"/>
        <v>0</v>
      </c>
      <c r="JK509" s="98">
        <f t="shared" si="3597"/>
        <v>0</v>
      </c>
      <c r="JL509" s="98">
        <f t="shared" si="3597"/>
        <v>0</v>
      </c>
      <c r="JM509" s="198">
        <f t="shared" si="2648"/>
        <v>0</v>
      </c>
      <c r="JN509" s="198">
        <f t="shared" si="2649"/>
        <v>0</v>
      </c>
      <c r="JO509" s="98">
        <f t="shared" ref="JO509:KB509" si="3598">SUM(JO38,JO76,JO114,JO152,JO190,JO228,JO266,JO304,JO342,JO380,JO418,JO456)</f>
        <v>0</v>
      </c>
      <c r="JP509" s="98">
        <f t="shared" si="3598"/>
        <v>0</v>
      </c>
      <c r="JQ509" s="98">
        <f t="shared" si="3598"/>
        <v>0</v>
      </c>
      <c r="JR509" s="98">
        <f t="shared" si="3598"/>
        <v>0</v>
      </c>
      <c r="JS509" s="98">
        <f t="shared" si="3598"/>
        <v>0</v>
      </c>
      <c r="JT509" s="98">
        <f t="shared" si="3598"/>
        <v>0</v>
      </c>
      <c r="JU509" s="98">
        <f t="shared" si="3598"/>
        <v>0</v>
      </c>
      <c r="JV509" s="98">
        <f t="shared" si="3598"/>
        <v>0</v>
      </c>
      <c r="JW509" s="98">
        <f t="shared" si="3598"/>
        <v>0</v>
      </c>
      <c r="JX509" s="98">
        <f t="shared" si="3598"/>
        <v>0</v>
      </c>
      <c r="JY509" s="98">
        <f t="shared" si="3598"/>
        <v>0</v>
      </c>
      <c r="JZ509" s="98">
        <f t="shared" si="3598"/>
        <v>0</v>
      </c>
      <c r="KA509" s="98">
        <f t="shared" si="3598"/>
        <v>0</v>
      </c>
      <c r="KB509" s="98">
        <f t="shared" si="3598"/>
        <v>0</v>
      </c>
      <c r="KC509" s="198">
        <f t="shared" si="2651"/>
        <v>0</v>
      </c>
      <c r="KD509" s="198">
        <f t="shared" si="2652"/>
        <v>0</v>
      </c>
      <c r="KE509" s="98">
        <f t="shared" ref="KE509:KR509" si="3599">SUM(KE38,KE76,KE114,KE152,KE190,KE228,KE266,KE304,KE342,KE380,KE418,KE456)</f>
        <v>0</v>
      </c>
      <c r="KF509" s="98">
        <f t="shared" si="3599"/>
        <v>0</v>
      </c>
      <c r="KG509" s="98">
        <f t="shared" si="3599"/>
        <v>0</v>
      </c>
      <c r="KH509" s="98">
        <f t="shared" si="3599"/>
        <v>0</v>
      </c>
      <c r="KI509" s="98">
        <f t="shared" si="3599"/>
        <v>0</v>
      </c>
      <c r="KJ509" s="98">
        <f t="shared" si="3599"/>
        <v>0</v>
      </c>
      <c r="KK509" s="98">
        <f t="shared" si="3599"/>
        <v>0</v>
      </c>
      <c r="KL509" s="98">
        <f t="shared" si="3599"/>
        <v>0</v>
      </c>
      <c r="KM509" s="98">
        <f t="shared" si="3599"/>
        <v>0</v>
      </c>
      <c r="KN509" s="98">
        <f t="shared" si="3599"/>
        <v>0</v>
      </c>
      <c r="KO509" s="98">
        <f t="shared" si="3599"/>
        <v>0</v>
      </c>
      <c r="KP509" s="98">
        <f t="shared" si="3599"/>
        <v>0</v>
      </c>
      <c r="KQ509" s="98">
        <f t="shared" si="3599"/>
        <v>0</v>
      </c>
      <c r="KR509" s="98">
        <f t="shared" si="3599"/>
        <v>0</v>
      </c>
      <c r="KS509" s="198">
        <f t="shared" si="2654"/>
        <v>0</v>
      </c>
      <c r="KT509" s="198">
        <f t="shared" si="2655"/>
        <v>0</v>
      </c>
      <c r="KU509" s="98">
        <f t="shared" ref="KU509:LH509" si="3600">SUM(KU38,KU76,KU114,KU152,KU190,KU228,KU266,KU304,KU342,KU380,KU418,KU456)</f>
        <v>0</v>
      </c>
      <c r="KV509" s="98">
        <f t="shared" si="3600"/>
        <v>0</v>
      </c>
      <c r="KW509" s="98">
        <f t="shared" si="3600"/>
        <v>0</v>
      </c>
      <c r="KX509" s="98">
        <f t="shared" si="3600"/>
        <v>0</v>
      </c>
      <c r="KY509" s="98">
        <f t="shared" si="3600"/>
        <v>0</v>
      </c>
      <c r="KZ509" s="98">
        <f t="shared" si="3600"/>
        <v>0</v>
      </c>
      <c r="LA509" s="98">
        <f t="shared" si="3600"/>
        <v>0</v>
      </c>
      <c r="LB509" s="98">
        <f t="shared" si="3600"/>
        <v>0</v>
      </c>
      <c r="LC509" s="98">
        <f t="shared" si="3600"/>
        <v>0</v>
      </c>
      <c r="LD509" s="98">
        <f t="shared" si="3600"/>
        <v>0</v>
      </c>
      <c r="LE509" s="98">
        <f t="shared" si="3600"/>
        <v>0</v>
      </c>
      <c r="LF509" s="98">
        <f t="shared" si="3600"/>
        <v>0</v>
      </c>
      <c r="LG509" s="98">
        <f t="shared" si="3600"/>
        <v>0</v>
      </c>
      <c r="LH509" s="98">
        <f t="shared" si="3600"/>
        <v>0</v>
      </c>
      <c r="LI509" s="198">
        <f t="shared" si="2657"/>
        <v>0</v>
      </c>
      <c r="LJ509" s="198">
        <f t="shared" si="2658"/>
        <v>0</v>
      </c>
      <c r="LK509" s="98">
        <f t="shared" ref="LK509:LX509" si="3601">SUM(LK38,LK76,LK114,LK152,LK190,LK228,LK266,LK304,LK342,LK380,LK418,LK456)</f>
        <v>0</v>
      </c>
      <c r="LL509" s="98">
        <f t="shared" si="3601"/>
        <v>0</v>
      </c>
      <c r="LM509" s="98">
        <f t="shared" si="3601"/>
        <v>0</v>
      </c>
      <c r="LN509" s="98">
        <f t="shared" si="3601"/>
        <v>0</v>
      </c>
      <c r="LO509" s="98">
        <f t="shared" si="3601"/>
        <v>0</v>
      </c>
      <c r="LP509" s="98">
        <f t="shared" si="3601"/>
        <v>0</v>
      </c>
      <c r="LQ509" s="98">
        <f t="shared" si="3601"/>
        <v>0</v>
      </c>
      <c r="LR509" s="98">
        <f t="shared" si="3601"/>
        <v>0</v>
      </c>
      <c r="LS509" s="98">
        <f t="shared" si="3601"/>
        <v>0</v>
      </c>
      <c r="LT509" s="98">
        <f t="shared" si="3601"/>
        <v>0</v>
      </c>
      <c r="LU509" s="98">
        <f t="shared" si="3601"/>
        <v>0</v>
      </c>
      <c r="LV509" s="98">
        <f t="shared" si="3601"/>
        <v>0</v>
      </c>
      <c r="LW509" s="98">
        <f t="shared" si="3601"/>
        <v>0</v>
      </c>
      <c r="LX509" s="98">
        <f t="shared" si="3601"/>
        <v>0</v>
      </c>
      <c r="LY509" s="198">
        <f t="shared" si="2660"/>
        <v>0</v>
      </c>
      <c r="LZ509" s="198">
        <f t="shared" si="2661"/>
        <v>0</v>
      </c>
      <c r="MA509" s="98">
        <f t="shared" ref="MA509:MN509" si="3602">SUM(MA38,MA76,MA114,MA152,MA190,MA228,MA266,MA304,MA342,MA380,MA418,MA456)</f>
        <v>0</v>
      </c>
      <c r="MB509" s="98">
        <f t="shared" si="3602"/>
        <v>0</v>
      </c>
      <c r="MC509" s="98">
        <f t="shared" si="3602"/>
        <v>138928</v>
      </c>
      <c r="MD509" s="98">
        <f t="shared" si="3602"/>
        <v>5557120</v>
      </c>
      <c r="ME509" s="98">
        <f t="shared" si="3602"/>
        <v>0</v>
      </c>
      <c r="MF509" s="98">
        <f t="shared" si="3602"/>
        <v>0</v>
      </c>
      <c r="MG509" s="98">
        <f t="shared" si="3602"/>
        <v>0</v>
      </c>
      <c r="MH509" s="98">
        <f t="shared" si="3602"/>
        <v>0</v>
      </c>
      <c r="MI509" s="98">
        <f t="shared" si="3602"/>
        <v>0</v>
      </c>
      <c r="MJ509" s="98">
        <f t="shared" si="3602"/>
        <v>0</v>
      </c>
      <c r="MK509" s="98">
        <f t="shared" si="3602"/>
        <v>0</v>
      </c>
      <c r="ML509" s="98">
        <f t="shared" si="3602"/>
        <v>0</v>
      </c>
      <c r="MM509" s="98">
        <f t="shared" si="3602"/>
        <v>0</v>
      </c>
      <c r="MN509" s="98">
        <f t="shared" si="3602"/>
        <v>0</v>
      </c>
      <c r="MO509" s="198">
        <f t="shared" si="2663"/>
        <v>138928</v>
      </c>
      <c r="MP509" s="198">
        <f t="shared" si="2664"/>
        <v>5557120</v>
      </c>
      <c r="MQ509" s="98">
        <f t="shared" ref="MQ509:ND509" si="3603">SUM(MQ38,MQ76,MQ114,MQ152,MQ190,MQ228,MQ266,MQ304,MQ342,MQ380,MQ418,MQ456)</f>
        <v>0</v>
      </c>
      <c r="MR509" s="98">
        <f t="shared" si="3603"/>
        <v>0</v>
      </c>
      <c r="MS509" s="98">
        <f t="shared" si="3603"/>
        <v>0</v>
      </c>
      <c r="MT509" s="98">
        <f t="shared" si="3603"/>
        <v>0</v>
      </c>
      <c r="MU509" s="98">
        <f t="shared" si="3603"/>
        <v>0</v>
      </c>
      <c r="MV509" s="98">
        <f t="shared" si="3603"/>
        <v>0</v>
      </c>
      <c r="MW509" s="98">
        <f t="shared" si="3603"/>
        <v>0</v>
      </c>
      <c r="MX509" s="98">
        <f t="shared" si="3603"/>
        <v>0</v>
      </c>
      <c r="MY509" s="98">
        <f t="shared" si="3603"/>
        <v>0</v>
      </c>
      <c r="MZ509" s="98">
        <f t="shared" si="3603"/>
        <v>0</v>
      </c>
      <c r="NA509" s="98">
        <f t="shared" si="3603"/>
        <v>0</v>
      </c>
      <c r="NB509" s="98">
        <f t="shared" si="3603"/>
        <v>0</v>
      </c>
      <c r="NC509" s="98">
        <f t="shared" si="3603"/>
        <v>0</v>
      </c>
      <c r="ND509" s="98">
        <f t="shared" si="3603"/>
        <v>0</v>
      </c>
      <c r="NE509" s="198">
        <f t="shared" si="2666"/>
        <v>0</v>
      </c>
      <c r="NF509" s="198">
        <f t="shared" si="2667"/>
        <v>0</v>
      </c>
      <c r="NG509" s="98">
        <f t="shared" ref="NG509:NT509" si="3604">SUM(NG38,NG76,NG114,NG152,NG190,NG228,NG266,NG304,NG342,NG380,NG418,NG456)</f>
        <v>0</v>
      </c>
      <c r="NH509" s="98">
        <f t="shared" si="3604"/>
        <v>0</v>
      </c>
      <c r="NI509" s="98">
        <f t="shared" si="3604"/>
        <v>930550</v>
      </c>
      <c r="NJ509" s="98">
        <f t="shared" si="3604"/>
        <v>41874750</v>
      </c>
      <c r="NK509" s="98">
        <f t="shared" si="3604"/>
        <v>0</v>
      </c>
      <c r="NL509" s="98">
        <f t="shared" si="3604"/>
        <v>0</v>
      </c>
      <c r="NM509" s="98">
        <f t="shared" si="3604"/>
        <v>0</v>
      </c>
      <c r="NN509" s="98">
        <f t="shared" si="3604"/>
        <v>0</v>
      </c>
      <c r="NO509" s="98">
        <f t="shared" si="3604"/>
        <v>0</v>
      </c>
      <c r="NP509" s="98">
        <f t="shared" si="3604"/>
        <v>0</v>
      </c>
      <c r="NQ509" s="98">
        <f t="shared" si="3604"/>
        <v>0</v>
      </c>
      <c r="NR509" s="98">
        <f t="shared" si="3604"/>
        <v>0</v>
      </c>
      <c r="NS509" s="98">
        <f t="shared" si="3604"/>
        <v>0</v>
      </c>
      <c r="NT509" s="98">
        <f t="shared" si="3604"/>
        <v>0</v>
      </c>
      <c r="NU509" s="198">
        <f t="shared" si="2669"/>
        <v>930550</v>
      </c>
      <c r="NV509" s="198">
        <f t="shared" si="2670"/>
        <v>41874750</v>
      </c>
      <c r="NW509" s="98">
        <f t="shared" ref="NW509:OJ509" si="3605">SUM(NW38,NW76,NW114,NW152,NW190,NW228,NW266,NW304,NW342,NW380,NW418,NW456)</f>
        <v>0</v>
      </c>
      <c r="NX509" s="98">
        <f t="shared" si="3605"/>
        <v>0</v>
      </c>
      <c r="NY509" s="98">
        <f t="shared" si="3605"/>
        <v>0</v>
      </c>
      <c r="NZ509" s="98">
        <f t="shared" si="3605"/>
        <v>0</v>
      </c>
      <c r="OA509" s="98">
        <f t="shared" si="3605"/>
        <v>0</v>
      </c>
      <c r="OB509" s="98">
        <f t="shared" si="3605"/>
        <v>0</v>
      </c>
      <c r="OC509" s="98">
        <f t="shared" si="3605"/>
        <v>0</v>
      </c>
      <c r="OD509" s="98">
        <f t="shared" si="3605"/>
        <v>0</v>
      </c>
      <c r="OE509" s="98">
        <f t="shared" si="3605"/>
        <v>0</v>
      </c>
      <c r="OF509" s="98">
        <f t="shared" si="3605"/>
        <v>0</v>
      </c>
      <c r="OG509" s="98">
        <f t="shared" si="3605"/>
        <v>0</v>
      </c>
      <c r="OH509" s="98">
        <f t="shared" si="3605"/>
        <v>0</v>
      </c>
      <c r="OI509" s="98">
        <f t="shared" si="3605"/>
        <v>0</v>
      </c>
      <c r="OJ509" s="98">
        <f t="shared" si="3605"/>
        <v>0</v>
      </c>
      <c r="OK509" s="198">
        <f t="shared" si="2672"/>
        <v>0</v>
      </c>
      <c r="OL509" s="198">
        <f t="shared" si="2673"/>
        <v>0</v>
      </c>
      <c r="OM509" s="98">
        <f t="shared" ref="OM509:OZ509" si="3606">SUM(OM38,OM76,OM114,OM152,OM190,OM228,OM266,OM304,OM342,OM380,OM418,OM456)</f>
        <v>0</v>
      </c>
      <c r="ON509" s="98">
        <f t="shared" si="3606"/>
        <v>0</v>
      </c>
      <c r="OO509" s="98">
        <f t="shared" si="3606"/>
        <v>0</v>
      </c>
      <c r="OP509" s="98">
        <f t="shared" si="3606"/>
        <v>0</v>
      </c>
      <c r="OQ509" s="98">
        <f t="shared" si="3606"/>
        <v>0</v>
      </c>
      <c r="OR509" s="98">
        <f t="shared" si="3606"/>
        <v>0</v>
      </c>
      <c r="OS509" s="98">
        <f t="shared" si="3606"/>
        <v>0</v>
      </c>
      <c r="OT509" s="98">
        <f t="shared" si="3606"/>
        <v>0</v>
      </c>
      <c r="OU509" s="98">
        <f t="shared" si="3606"/>
        <v>0</v>
      </c>
      <c r="OV509" s="98">
        <f t="shared" si="3606"/>
        <v>0</v>
      </c>
      <c r="OW509" s="98">
        <f t="shared" si="3606"/>
        <v>0</v>
      </c>
      <c r="OX509" s="98">
        <f t="shared" si="3606"/>
        <v>0</v>
      </c>
      <c r="OY509" s="98">
        <f t="shared" si="3606"/>
        <v>0</v>
      </c>
      <c r="OZ509" s="98">
        <f t="shared" si="3606"/>
        <v>0</v>
      </c>
      <c r="PA509" s="198">
        <f t="shared" si="2675"/>
        <v>0</v>
      </c>
      <c r="PB509" s="198">
        <f t="shared" si="2676"/>
        <v>0</v>
      </c>
      <c r="PC509" s="98">
        <f t="shared" ref="PC509:PP509" si="3607">SUM(PC38,PC76,PC114,PC152,PC190,PC228,PC266,PC304,PC342,PC380,PC418,PC456)</f>
        <v>0</v>
      </c>
      <c r="PD509" s="98">
        <f t="shared" si="3607"/>
        <v>0</v>
      </c>
      <c r="PE509" s="98">
        <f t="shared" si="3607"/>
        <v>0</v>
      </c>
      <c r="PF509" s="98">
        <f t="shared" si="3607"/>
        <v>0</v>
      </c>
      <c r="PG509" s="98">
        <f t="shared" si="3607"/>
        <v>0</v>
      </c>
      <c r="PH509" s="98">
        <f t="shared" si="3607"/>
        <v>0</v>
      </c>
      <c r="PI509" s="98">
        <f t="shared" si="3607"/>
        <v>0</v>
      </c>
      <c r="PJ509" s="98">
        <f t="shared" si="3607"/>
        <v>0</v>
      </c>
      <c r="PK509" s="98">
        <f t="shared" si="3607"/>
        <v>0</v>
      </c>
      <c r="PL509" s="98">
        <f t="shared" si="3607"/>
        <v>0</v>
      </c>
      <c r="PM509" s="98">
        <f t="shared" si="3607"/>
        <v>0</v>
      </c>
      <c r="PN509" s="98">
        <f t="shared" si="3607"/>
        <v>0</v>
      </c>
      <c r="PO509" s="98">
        <f t="shared" si="3607"/>
        <v>0</v>
      </c>
      <c r="PP509" s="98">
        <f t="shared" si="3607"/>
        <v>0</v>
      </c>
      <c r="PQ509" s="198">
        <f t="shared" si="2678"/>
        <v>0</v>
      </c>
      <c r="PR509" s="198">
        <f t="shared" si="2679"/>
        <v>0</v>
      </c>
      <c r="PS509" s="98">
        <f t="shared" ref="PS509:QF509" si="3608">SUM(PS38,PS76,PS114,PS152,PS190,PS228,PS266,PS304,PS342,PS380,PS418,PS456)</f>
        <v>0</v>
      </c>
      <c r="PT509" s="98">
        <f t="shared" si="3608"/>
        <v>0</v>
      </c>
      <c r="PU509" s="98">
        <f t="shared" si="3608"/>
        <v>0</v>
      </c>
      <c r="PV509" s="98">
        <f t="shared" si="3608"/>
        <v>0</v>
      </c>
      <c r="PW509" s="98">
        <f t="shared" si="3608"/>
        <v>0</v>
      </c>
      <c r="PX509" s="98">
        <f t="shared" si="3608"/>
        <v>0</v>
      </c>
      <c r="PY509" s="98">
        <f t="shared" si="3608"/>
        <v>0</v>
      </c>
      <c r="PZ509" s="98">
        <f t="shared" si="3608"/>
        <v>0</v>
      </c>
      <c r="QA509" s="98">
        <f t="shared" si="3608"/>
        <v>0</v>
      </c>
      <c r="QB509" s="98">
        <f t="shared" si="3608"/>
        <v>0</v>
      </c>
      <c r="QC509" s="98">
        <f t="shared" si="3608"/>
        <v>0</v>
      </c>
      <c r="QD509" s="98">
        <f t="shared" si="3608"/>
        <v>0</v>
      </c>
      <c r="QE509" s="98">
        <f t="shared" si="3608"/>
        <v>0</v>
      </c>
      <c r="QF509" s="98">
        <f t="shared" si="3608"/>
        <v>0</v>
      </c>
      <c r="QG509" s="198">
        <f t="shared" si="2681"/>
        <v>0</v>
      </c>
      <c r="QH509" s="198">
        <f t="shared" si="2682"/>
        <v>0</v>
      </c>
      <c r="QI509" s="98">
        <f t="shared" ref="QI509:QV509" si="3609">SUM(QI38,QI76,QI114,QI152,QI190,QI228,QI266,QI304,QI342,QI380,QI418,QI456)</f>
        <v>0</v>
      </c>
      <c r="QJ509" s="98">
        <f t="shared" si="3609"/>
        <v>0</v>
      </c>
      <c r="QK509" s="98">
        <f t="shared" si="3609"/>
        <v>0</v>
      </c>
      <c r="QL509" s="98">
        <f t="shared" si="3609"/>
        <v>0</v>
      </c>
      <c r="QM509" s="98">
        <f t="shared" si="3609"/>
        <v>0</v>
      </c>
      <c r="QN509" s="98">
        <f t="shared" si="3609"/>
        <v>0</v>
      </c>
      <c r="QO509" s="98">
        <f t="shared" si="3609"/>
        <v>0</v>
      </c>
      <c r="QP509" s="98">
        <f t="shared" si="3609"/>
        <v>0</v>
      </c>
      <c r="QQ509" s="98">
        <f t="shared" si="3609"/>
        <v>0</v>
      </c>
      <c r="QR509" s="98">
        <f t="shared" si="3609"/>
        <v>0</v>
      </c>
      <c r="QS509" s="98">
        <f t="shared" si="3609"/>
        <v>0</v>
      </c>
      <c r="QT509" s="98">
        <f t="shared" si="3609"/>
        <v>0</v>
      </c>
      <c r="QU509" s="98">
        <f t="shared" si="3609"/>
        <v>0</v>
      </c>
      <c r="QV509" s="98">
        <f t="shared" si="3609"/>
        <v>0</v>
      </c>
      <c r="QW509" s="198">
        <f t="shared" si="2684"/>
        <v>0</v>
      </c>
      <c r="QX509" s="198">
        <f t="shared" si="2685"/>
        <v>0</v>
      </c>
      <c r="QY509" s="98">
        <f t="shared" ref="QY509:RL509" si="3610">SUM(QY38,QY76,QY114,QY152,QY190,QY228,QY266,QY304,QY342,QY380,QY418,QY456)</f>
        <v>0</v>
      </c>
      <c r="QZ509" s="98">
        <f t="shared" si="3610"/>
        <v>0</v>
      </c>
      <c r="RA509" s="98">
        <f t="shared" si="3610"/>
        <v>0</v>
      </c>
      <c r="RB509" s="98">
        <f t="shared" si="3610"/>
        <v>0</v>
      </c>
      <c r="RC509" s="98">
        <f t="shared" si="3610"/>
        <v>0</v>
      </c>
      <c r="RD509" s="98">
        <f t="shared" si="3610"/>
        <v>0</v>
      </c>
      <c r="RE509" s="98">
        <f t="shared" si="3610"/>
        <v>0</v>
      </c>
      <c r="RF509" s="98">
        <f t="shared" si="3610"/>
        <v>0</v>
      </c>
      <c r="RG509" s="98">
        <f t="shared" si="3610"/>
        <v>0</v>
      </c>
      <c r="RH509" s="98">
        <f t="shared" si="3610"/>
        <v>0</v>
      </c>
      <c r="RI509" s="98">
        <f t="shared" si="3610"/>
        <v>0</v>
      </c>
      <c r="RJ509" s="98">
        <f t="shared" si="3610"/>
        <v>0</v>
      </c>
      <c r="RK509" s="98">
        <f t="shared" si="3610"/>
        <v>0</v>
      </c>
      <c r="RL509" s="98">
        <f t="shared" si="3610"/>
        <v>0</v>
      </c>
      <c r="RM509" s="198">
        <f t="shared" si="2687"/>
        <v>0</v>
      </c>
      <c r="RN509" s="198">
        <f t="shared" si="2688"/>
        <v>0</v>
      </c>
      <c r="RO509" s="98">
        <f t="shared" ref="RO509:SB509" si="3611">SUM(RO38,RO76,RO114,RO152,RO190,RO228,RO266,RO304,RO342,RO380,RO418,RO456)</f>
        <v>0</v>
      </c>
      <c r="RP509" s="98">
        <f t="shared" si="3611"/>
        <v>0</v>
      </c>
      <c r="RQ509" s="98">
        <f t="shared" si="3611"/>
        <v>0</v>
      </c>
      <c r="RR509" s="98">
        <f t="shared" si="3611"/>
        <v>0</v>
      </c>
      <c r="RS509" s="98">
        <f t="shared" si="3611"/>
        <v>0</v>
      </c>
      <c r="RT509" s="98">
        <f t="shared" si="3611"/>
        <v>0</v>
      </c>
      <c r="RU509" s="98">
        <f t="shared" si="3611"/>
        <v>0</v>
      </c>
      <c r="RV509" s="98">
        <f t="shared" si="3611"/>
        <v>0</v>
      </c>
      <c r="RW509" s="98">
        <f t="shared" si="3611"/>
        <v>0</v>
      </c>
      <c r="RX509" s="98">
        <f t="shared" si="3611"/>
        <v>0</v>
      </c>
      <c r="RY509" s="98">
        <f t="shared" si="3611"/>
        <v>0</v>
      </c>
      <c r="RZ509" s="98">
        <f t="shared" si="3611"/>
        <v>0</v>
      </c>
      <c r="SA509" s="98">
        <f t="shared" si="3611"/>
        <v>0</v>
      </c>
      <c r="SB509" s="98">
        <f t="shared" si="3611"/>
        <v>0</v>
      </c>
      <c r="SC509" s="198">
        <f t="shared" si="2690"/>
        <v>0</v>
      </c>
      <c r="SD509" s="198">
        <f t="shared" si="2691"/>
        <v>0</v>
      </c>
      <c r="SE509" s="98">
        <f t="shared" ref="SE509:SR509" si="3612">SUM(SE38,SE76,SE114,SE152,SE190,SE228,SE266,SE304,SE342,SE380,SE418,SE456)</f>
        <v>0</v>
      </c>
      <c r="SF509" s="98">
        <f t="shared" si="3612"/>
        <v>0</v>
      </c>
      <c r="SG509" s="98">
        <f t="shared" si="3612"/>
        <v>0</v>
      </c>
      <c r="SH509" s="98">
        <f t="shared" si="3612"/>
        <v>0</v>
      </c>
      <c r="SI509" s="98">
        <f t="shared" si="3612"/>
        <v>0</v>
      </c>
      <c r="SJ509" s="98">
        <f t="shared" si="3612"/>
        <v>0</v>
      </c>
      <c r="SK509" s="98">
        <f t="shared" si="3612"/>
        <v>0</v>
      </c>
      <c r="SL509" s="98">
        <f t="shared" si="3612"/>
        <v>0</v>
      </c>
      <c r="SM509" s="98">
        <f t="shared" si="3612"/>
        <v>0</v>
      </c>
      <c r="SN509" s="98">
        <f t="shared" si="3612"/>
        <v>0</v>
      </c>
      <c r="SO509" s="98">
        <f t="shared" si="3612"/>
        <v>0</v>
      </c>
      <c r="SP509" s="98">
        <f t="shared" si="3612"/>
        <v>0</v>
      </c>
      <c r="SQ509" s="98">
        <f t="shared" si="3612"/>
        <v>0</v>
      </c>
      <c r="SR509" s="98">
        <f t="shared" si="3612"/>
        <v>0</v>
      </c>
      <c r="SS509" s="198">
        <f t="shared" si="2693"/>
        <v>0</v>
      </c>
      <c r="ST509" s="198">
        <f t="shared" si="2694"/>
        <v>0</v>
      </c>
      <c r="SU509" s="98">
        <f t="shared" ref="SU509:TH509" si="3613">SUM(SU38,SU76,SU114,SU152,SU190,SU228,SU266,SU304,SU342,SU380,SU418,SU456)</f>
        <v>0</v>
      </c>
      <c r="SV509" s="98">
        <f t="shared" si="3613"/>
        <v>0</v>
      </c>
      <c r="SW509" s="98">
        <f t="shared" si="3613"/>
        <v>0</v>
      </c>
      <c r="SX509" s="98">
        <f t="shared" si="3613"/>
        <v>0</v>
      </c>
      <c r="SY509" s="98">
        <f t="shared" si="3613"/>
        <v>0</v>
      </c>
      <c r="SZ509" s="98">
        <f t="shared" si="3613"/>
        <v>0</v>
      </c>
      <c r="TA509" s="98">
        <f t="shared" si="3613"/>
        <v>0</v>
      </c>
      <c r="TB509" s="98">
        <f t="shared" si="3613"/>
        <v>0</v>
      </c>
      <c r="TC509" s="98">
        <f t="shared" si="3613"/>
        <v>0</v>
      </c>
      <c r="TD509" s="98">
        <f t="shared" si="3613"/>
        <v>0</v>
      </c>
      <c r="TE509" s="98">
        <f t="shared" si="3613"/>
        <v>0</v>
      </c>
      <c r="TF509" s="98">
        <f t="shared" si="3613"/>
        <v>0</v>
      </c>
      <c r="TG509" s="98">
        <f t="shared" si="3613"/>
        <v>0</v>
      </c>
      <c r="TH509" s="98">
        <f t="shared" si="3613"/>
        <v>0</v>
      </c>
      <c r="TI509" s="198">
        <f t="shared" si="2696"/>
        <v>0</v>
      </c>
      <c r="TJ509" s="198">
        <f t="shared" si="2697"/>
        <v>0</v>
      </c>
      <c r="TK509" s="98">
        <f t="shared" ref="TK509:TX509" si="3614">SUM(TK38,TK76,TK114,TK152,TK190,TK228,TK266,TK304,TK342,TK380,TK418,TK456)</f>
        <v>0</v>
      </c>
      <c r="TL509" s="98">
        <f t="shared" si="3614"/>
        <v>0</v>
      </c>
      <c r="TM509" s="98">
        <f t="shared" si="3614"/>
        <v>0</v>
      </c>
      <c r="TN509" s="98">
        <f t="shared" si="3614"/>
        <v>0</v>
      </c>
      <c r="TO509" s="98">
        <f t="shared" si="3614"/>
        <v>0</v>
      </c>
      <c r="TP509" s="98">
        <f t="shared" si="3614"/>
        <v>0</v>
      </c>
      <c r="TQ509" s="98">
        <f t="shared" si="3614"/>
        <v>0</v>
      </c>
      <c r="TR509" s="98">
        <f t="shared" si="3614"/>
        <v>0</v>
      </c>
      <c r="TS509" s="98">
        <f t="shared" si="3614"/>
        <v>0</v>
      </c>
      <c r="TT509" s="98">
        <f t="shared" si="3614"/>
        <v>0</v>
      </c>
      <c r="TU509" s="98">
        <f t="shared" si="3614"/>
        <v>0</v>
      </c>
      <c r="TV509" s="98">
        <f t="shared" si="3614"/>
        <v>0</v>
      </c>
      <c r="TW509" s="98">
        <f t="shared" si="3614"/>
        <v>0</v>
      </c>
      <c r="TX509" s="98">
        <f t="shared" si="3614"/>
        <v>0</v>
      </c>
      <c r="TY509" s="198">
        <f t="shared" si="2699"/>
        <v>0</v>
      </c>
      <c r="TZ509" s="198">
        <f t="shared" si="2700"/>
        <v>0</v>
      </c>
      <c r="UA509" s="98">
        <f t="shared" ref="UA509:UN509" si="3615">SUM(UA38,UA76,UA114,UA152,UA190,UA228,UA266,UA304,UA342,UA380,UA418,UA456)</f>
        <v>0</v>
      </c>
      <c r="UB509" s="98">
        <f t="shared" si="3615"/>
        <v>0</v>
      </c>
      <c r="UC509" s="98">
        <f t="shared" si="3615"/>
        <v>0</v>
      </c>
      <c r="UD509" s="98">
        <f t="shared" si="3615"/>
        <v>0</v>
      </c>
      <c r="UE509" s="98">
        <f t="shared" si="3615"/>
        <v>0</v>
      </c>
      <c r="UF509" s="98">
        <f t="shared" si="3615"/>
        <v>0</v>
      </c>
      <c r="UG509" s="98">
        <f t="shared" si="3615"/>
        <v>0</v>
      </c>
      <c r="UH509" s="98">
        <f t="shared" si="3615"/>
        <v>0</v>
      </c>
      <c r="UI509" s="98">
        <f t="shared" si="3615"/>
        <v>0</v>
      </c>
      <c r="UJ509" s="98">
        <f t="shared" si="3615"/>
        <v>0</v>
      </c>
      <c r="UK509" s="98">
        <f t="shared" si="3615"/>
        <v>0</v>
      </c>
      <c r="UL509" s="98">
        <f t="shared" si="3615"/>
        <v>0</v>
      </c>
      <c r="UM509" s="98">
        <f t="shared" si="3615"/>
        <v>0</v>
      </c>
      <c r="UN509" s="98">
        <f t="shared" si="3615"/>
        <v>0</v>
      </c>
      <c r="UO509" s="198">
        <f t="shared" si="2702"/>
        <v>0</v>
      </c>
      <c r="UP509" s="198">
        <f t="shared" si="2703"/>
        <v>0</v>
      </c>
      <c r="UQ509" s="98">
        <f t="shared" ref="UQ509:VD509" si="3616">SUM(UQ38,UQ76,UQ114,UQ152,UQ190,UQ228,UQ266,UQ304,UQ342,UQ380,UQ418,UQ456)</f>
        <v>0</v>
      </c>
      <c r="UR509" s="98">
        <f t="shared" si="3616"/>
        <v>0</v>
      </c>
      <c r="US509" s="98">
        <f t="shared" si="3616"/>
        <v>0</v>
      </c>
      <c r="UT509" s="98">
        <f t="shared" si="3616"/>
        <v>0</v>
      </c>
      <c r="UU509" s="98">
        <f t="shared" si="3616"/>
        <v>0</v>
      </c>
      <c r="UV509" s="98">
        <f t="shared" si="3616"/>
        <v>0</v>
      </c>
      <c r="UW509" s="98">
        <f t="shared" si="3616"/>
        <v>0</v>
      </c>
      <c r="UX509" s="98">
        <f t="shared" si="3616"/>
        <v>0</v>
      </c>
      <c r="UY509" s="98">
        <f t="shared" si="3616"/>
        <v>0</v>
      </c>
      <c r="UZ509" s="98">
        <f t="shared" si="3616"/>
        <v>0</v>
      </c>
      <c r="VA509" s="98">
        <f t="shared" si="3616"/>
        <v>0</v>
      </c>
      <c r="VB509" s="98">
        <f t="shared" si="3616"/>
        <v>0</v>
      </c>
      <c r="VC509" s="98">
        <f t="shared" si="3616"/>
        <v>0</v>
      </c>
      <c r="VD509" s="98">
        <f t="shared" si="3616"/>
        <v>0</v>
      </c>
      <c r="VE509" s="198">
        <f t="shared" si="2705"/>
        <v>0</v>
      </c>
      <c r="VF509" s="198">
        <f t="shared" si="2706"/>
        <v>0</v>
      </c>
      <c r="VG509" s="98">
        <f t="shared" ref="VG509:VT509" si="3617">SUM(VG38,VG76,VG114,VG152,VG190,VG228,VG266,VG304,VG342,VG380,VG418,VG456)</f>
        <v>0</v>
      </c>
      <c r="VH509" s="98">
        <f t="shared" si="3617"/>
        <v>0</v>
      </c>
      <c r="VI509" s="98">
        <f t="shared" si="3617"/>
        <v>2996.8</v>
      </c>
      <c r="VJ509" s="98">
        <f t="shared" si="3617"/>
        <v>149840</v>
      </c>
      <c r="VK509" s="98">
        <f t="shared" si="3617"/>
        <v>0</v>
      </c>
      <c r="VL509" s="98">
        <f t="shared" si="3617"/>
        <v>0</v>
      </c>
      <c r="VM509" s="98">
        <f t="shared" si="3617"/>
        <v>0</v>
      </c>
      <c r="VN509" s="98">
        <f t="shared" si="3617"/>
        <v>0</v>
      </c>
      <c r="VO509" s="98">
        <f t="shared" si="3617"/>
        <v>0</v>
      </c>
      <c r="VP509" s="98">
        <f t="shared" si="3617"/>
        <v>0</v>
      </c>
      <c r="VQ509" s="98">
        <f t="shared" si="3617"/>
        <v>0</v>
      </c>
      <c r="VR509" s="98">
        <f t="shared" si="3617"/>
        <v>0</v>
      </c>
      <c r="VS509" s="98">
        <f t="shared" si="3617"/>
        <v>0</v>
      </c>
      <c r="VT509" s="98">
        <f t="shared" si="3617"/>
        <v>0</v>
      </c>
      <c r="VU509" s="198">
        <f t="shared" si="2708"/>
        <v>2996.8</v>
      </c>
      <c r="VV509" s="198">
        <f t="shared" si="2709"/>
        <v>149840</v>
      </c>
      <c r="VW509" s="98">
        <f t="shared" ref="VW509:WJ509" si="3618">SUM(VW38,VW76,VW114,VW152,VW190,VW228,VW266,VW304,VW342,VW380,VW418,VW456)</f>
        <v>0</v>
      </c>
      <c r="VX509" s="98">
        <f t="shared" si="3618"/>
        <v>0</v>
      </c>
      <c r="VY509" s="98">
        <f t="shared" si="3618"/>
        <v>0</v>
      </c>
      <c r="VZ509" s="98">
        <f t="shared" si="3618"/>
        <v>0</v>
      </c>
      <c r="WA509" s="98">
        <f t="shared" si="3618"/>
        <v>0</v>
      </c>
      <c r="WB509" s="98">
        <f t="shared" si="3618"/>
        <v>0</v>
      </c>
      <c r="WC509" s="98">
        <f t="shared" si="3618"/>
        <v>0</v>
      </c>
      <c r="WD509" s="98">
        <f t="shared" si="3618"/>
        <v>0</v>
      </c>
      <c r="WE509" s="98">
        <f t="shared" si="3618"/>
        <v>0</v>
      </c>
      <c r="WF509" s="98">
        <f t="shared" si="3618"/>
        <v>0</v>
      </c>
      <c r="WG509" s="98">
        <f t="shared" si="3618"/>
        <v>0</v>
      </c>
      <c r="WH509" s="98">
        <f t="shared" si="3618"/>
        <v>0</v>
      </c>
      <c r="WI509" s="98">
        <f t="shared" si="3618"/>
        <v>0</v>
      </c>
      <c r="WJ509" s="98">
        <f t="shared" si="3618"/>
        <v>0</v>
      </c>
      <c r="WK509" s="198">
        <f t="shared" si="2711"/>
        <v>0</v>
      </c>
      <c r="WL509" s="198">
        <f t="shared" si="2712"/>
        <v>0</v>
      </c>
      <c r="WN509" s="98">
        <f t="shared" si="2713"/>
        <v>0</v>
      </c>
      <c r="WO509" s="98">
        <f t="shared" si="2714"/>
        <v>0</v>
      </c>
      <c r="WP509" s="98">
        <f t="shared" si="2715"/>
        <v>3327924.8</v>
      </c>
      <c r="WQ509" s="98">
        <f t="shared" si="2716"/>
        <v>139269710</v>
      </c>
      <c r="WR509" s="98">
        <f t="shared" si="2717"/>
        <v>0</v>
      </c>
      <c r="WS509" s="98">
        <f t="shared" si="2718"/>
        <v>0</v>
      </c>
      <c r="WT509" s="98">
        <f t="shared" si="2719"/>
        <v>0</v>
      </c>
      <c r="WU509" s="98">
        <f t="shared" si="2720"/>
        <v>0</v>
      </c>
      <c r="WV509" s="98">
        <f t="shared" si="2721"/>
        <v>0</v>
      </c>
      <c r="WW509" s="98">
        <f t="shared" si="2722"/>
        <v>0</v>
      </c>
      <c r="WX509" s="98">
        <f t="shared" si="2723"/>
        <v>0</v>
      </c>
      <c r="WY509" s="98">
        <f t="shared" si="2724"/>
        <v>0</v>
      </c>
      <c r="WZ509" s="98">
        <f t="shared" si="2725"/>
        <v>0</v>
      </c>
      <c r="XA509" s="98">
        <f t="shared" si="2726"/>
        <v>0</v>
      </c>
      <c r="XB509" s="107">
        <f t="shared" si="2727"/>
        <v>3327924.8</v>
      </c>
      <c r="XC509" s="107">
        <f t="shared" si="2728"/>
        <v>139269710</v>
      </c>
      <c r="XK509" s="98">
        <f t="shared" si="2729"/>
        <v>0</v>
      </c>
      <c r="XL509" s="98">
        <f t="shared" si="2730"/>
        <v>0</v>
      </c>
      <c r="XM509" s="98">
        <f t="shared" si="2731"/>
        <v>0</v>
      </c>
      <c r="XN509" s="98">
        <f t="shared" si="2732"/>
        <v>0</v>
      </c>
      <c r="XO509" s="98">
        <f t="shared" si="2733"/>
        <v>56579634.799999997</v>
      </c>
      <c r="XP509" s="98">
        <f t="shared" si="2734"/>
        <v>0</v>
      </c>
      <c r="XQ509" s="98">
        <f t="shared" si="2735"/>
        <v>56579634.799999997</v>
      </c>
      <c r="XR509" s="107">
        <f t="shared" ca="1" si="2597"/>
        <v>114336744.39999999</v>
      </c>
      <c r="XT509" s="98">
        <f t="shared" si="2736"/>
        <v>139269710</v>
      </c>
      <c r="XU509" s="98">
        <f t="shared" si="2737"/>
        <v>1177474.8</v>
      </c>
      <c r="XV509" s="98">
        <f t="shared" si="2738"/>
        <v>139269710</v>
      </c>
      <c r="XW509" s="98">
        <f t="shared" si="2739"/>
        <v>0</v>
      </c>
      <c r="XX509" s="98">
        <f t="shared" si="2740"/>
        <v>0</v>
      </c>
      <c r="XY509" s="98">
        <f t="shared" si="2741"/>
        <v>0</v>
      </c>
      <c r="XZ509" s="98">
        <f t="shared" si="2742"/>
        <v>56579634.799999997</v>
      </c>
      <c r="YA509" s="107">
        <f t="shared" ca="1" si="2598"/>
        <v>335119054.80000001</v>
      </c>
    </row>
    <row r="510" spans="2:651">
      <c r="B510" s="90" t="str">
        <f t="shared" si="2558"/>
        <v xml:space="preserve">Udang Vaname </v>
      </c>
      <c r="C510" s="98">
        <f t="shared" ref="C510:P510" si="3619">SUM(C39,C77,C115,C153,C191,C229,C267,C305,C343,C381,C419,C457)</f>
        <v>0</v>
      </c>
      <c r="D510" s="98">
        <f t="shared" si="3619"/>
        <v>0</v>
      </c>
      <c r="E510" s="98">
        <f t="shared" si="3619"/>
        <v>2360307</v>
      </c>
      <c r="F510" s="98">
        <f t="shared" si="3619"/>
        <v>139402473.59999999</v>
      </c>
      <c r="G510" s="98">
        <f t="shared" si="3619"/>
        <v>0</v>
      </c>
      <c r="H510" s="98">
        <f t="shared" si="3619"/>
        <v>0</v>
      </c>
      <c r="I510" s="98">
        <f t="shared" si="3619"/>
        <v>0</v>
      </c>
      <c r="J510" s="98">
        <f t="shared" si="3619"/>
        <v>0</v>
      </c>
      <c r="K510" s="98">
        <f t="shared" si="3619"/>
        <v>0</v>
      </c>
      <c r="L510" s="98">
        <f t="shared" si="3619"/>
        <v>0</v>
      </c>
      <c r="M510" s="98">
        <f t="shared" si="3619"/>
        <v>0</v>
      </c>
      <c r="N510" s="98">
        <f t="shared" si="3619"/>
        <v>0</v>
      </c>
      <c r="O510" s="98">
        <f t="shared" si="3619"/>
        <v>0</v>
      </c>
      <c r="P510" s="98">
        <f t="shared" si="3619"/>
        <v>0</v>
      </c>
      <c r="Q510" s="198">
        <f t="shared" si="2600"/>
        <v>2360307</v>
      </c>
      <c r="R510" s="198">
        <f t="shared" si="2601"/>
        <v>139402473.59999999</v>
      </c>
      <c r="S510" s="98">
        <f t="shared" ref="S510:AF510" si="3620">SUM(S39,S77,S115,S153,S191,S229,S267,S305,S343,S381,S419,S457)</f>
        <v>0</v>
      </c>
      <c r="T510" s="98">
        <f t="shared" si="3620"/>
        <v>0</v>
      </c>
      <c r="U510" s="98">
        <f t="shared" si="3620"/>
        <v>19543100</v>
      </c>
      <c r="V510" s="98">
        <f t="shared" si="3620"/>
        <v>1011802685</v>
      </c>
      <c r="W510" s="98">
        <f t="shared" si="3620"/>
        <v>0</v>
      </c>
      <c r="X510" s="98">
        <f t="shared" si="3620"/>
        <v>0</v>
      </c>
      <c r="Y510" s="98">
        <f t="shared" si="3620"/>
        <v>0</v>
      </c>
      <c r="Z510" s="98">
        <f t="shared" si="3620"/>
        <v>0</v>
      </c>
      <c r="AA510" s="98">
        <f t="shared" si="3620"/>
        <v>0</v>
      </c>
      <c r="AB510" s="98">
        <f t="shared" si="3620"/>
        <v>0</v>
      </c>
      <c r="AC510" s="98">
        <f t="shared" si="3620"/>
        <v>0</v>
      </c>
      <c r="AD510" s="98">
        <f t="shared" si="3620"/>
        <v>0</v>
      </c>
      <c r="AE510" s="98">
        <f t="shared" si="3620"/>
        <v>0</v>
      </c>
      <c r="AF510" s="98">
        <f t="shared" si="3620"/>
        <v>0</v>
      </c>
      <c r="AG510" s="198">
        <f t="shared" si="2603"/>
        <v>19543100</v>
      </c>
      <c r="AH510" s="198">
        <f t="shared" si="2604"/>
        <v>1011802685</v>
      </c>
      <c r="AI510" s="98">
        <f t="shared" ref="AI510:AV510" si="3621">SUM(AI39,AI77,AI115,AI153,AI191,AI229,AI267,AI305,AI343,AI381,AI419,AI457)</f>
        <v>0</v>
      </c>
      <c r="AJ510" s="98">
        <f t="shared" si="3621"/>
        <v>0</v>
      </c>
      <c r="AK510" s="98">
        <f t="shared" si="3621"/>
        <v>436100</v>
      </c>
      <c r="AL510" s="98">
        <f t="shared" si="3621"/>
        <v>28346500</v>
      </c>
      <c r="AM510" s="98">
        <f t="shared" si="3621"/>
        <v>0</v>
      </c>
      <c r="AN510" s="98">
        <f t="shared" si="3621"/>
        <v>0</v>
      </c>
      <c r="AO510" s="98">
        <f t="shared" si="3621"/>
        <v>0</v>
      </c>
      <c r="AP510" s="98">
        <f t="shared" si="3621"/>
        <v>0</v>
      </c>
      <c r="AQ510" s="98">
        <f t="shared" si="3621"/>
        <v>0</v>
      </c>
      <c r="AR510" s="98">
        <f t="shared" si="3621"/>
        <v>0</v>
      </c>
      <c r="AS510" s="98">
        <f t="shared" si="3621"/>
        <v>0</v>
      </c>
      <c r="AT510" s="98">
        <f t="shared" si="3621"/>
        <v>0</v>
      </c>
      <c r="AU510" s="98">
        <f t="shared" si="3621"/>
        <v>0</v>
      </c>
      <c r="AV510" s="98">
        <f t="shared" si="3621"/>
        <v>0</v>
      </c>
      <c r="AW510" s="198">
        <f t="shared" si="2606"/>
        <v>436100</v>
      </c>
      <c r="AX510" s="198">
        <f t="shared" si="2607"/>
        <v>28346500</v>
      </c>
      <c r="AY510" s="98">
        <f t="shared" ref="AY510:BL510" si="3622">SUM(AY39,AY77,AY115,AY153,AY191,AY229,AY267,AY305,AY343,AY381,AY419,AY457)</f>
        <v>0</v>
      </c>
      <c r="AZ510" s="98">
        <f t="shared" si="3622"/>
        <v>0</v>
      </c>
      <c r="BA510" s="98">
        <f t="shared" si="3622"/>
        <v>0</v>
      </c>
      <c r="BB510" s="98">
        <f t="shared" si="3622"/>
        <v>0</v>
      </c>
      <c r="BC510" s="98">
        <f t="shared" si="3622"/>
        <v>0</v>
      </c>
      <c r="BD510" s="98">
        <f t="shared" si="3622"/>
        <v>0</v>
      </c>
      <c r="BE510" s="98">
        <f t="shared" si="3622"/>
        <v>0</v>
      </c>
      <c r="BF510" s="98">
        <f t="shared" si="3622"/>
        <v>0</v>
      </c>
      <c r="BG510" s="98">
        <f t="shared" si="3622"/>
        <v>0</v>
      </c>
      <c r="BH510" s="98">
        <f t="shared" si="3622"/>
        <v>0</v>
      </c>
      <c r="BI510" s="98">
        <f t="shared" si="3622"/>
        <v>0</v>
      </c>
      <c r="BJ510" s="98">
        <f t="shared" si="3622"/>
        <v>0</v>
      </c>
      <c r="BK510" s="98">
        <f t="shared" si="3622"/>
        <v>0</v>
      </c>
      <c r="BL510" s="98">
        <f t="shared" si="3622"/>
        <v>0</v>
      </c>
      <c r="BM510" s="198">
        <f t="shared" si="2609"/>
        <v>0</v>
      </c>
      <c r="BN510" s="198">
        <f t="shared" si="2610"/>
        <v>0</v>
      </c>
      <c r="BO510" s="98">
        <f t="shared" ref="BO510:CB510" si="3623">SUM(BO39,BO77,BO115,BO153,BO191,BO229,BO267,BO305,BO343,BO381,BO419,BO457)</f>
        <v>0</v>
      </c>
      <c r="BP510" s="98">
        <f t="shared" si="3623"/>
        <v>0</v>
      </c>
      <c r="BQ510" s="98">
        <f t="shared" si="3623"/>
        <v>0</v>
      </c>
      <c r="BR510" s="98">
        <f t="shared" si="3623"/>
        <v>0</v>
      </c>
      <c r="BS510" s="98">
        <f t="shared" si="3623"/>
        <v>0</v>
      </c>
      <c r="BT510" s="98">
        <f t="shared" si="3623"/>
        <v>0</v>
      </c>
      <c r="BU510" s="98">
        <f t="shared" si="3623"/>
        <v>0</v>
      </c>
      <c r="BV510" s="98">
        <f t="shared" si="3623"/>
        <v>0</v>
      </c>
      <c r="BW510" s="98">
        <f t="shared" si="3623"/>
        <v>0</v>
      </c>
      <c r="BX510" s="98">
        <f t="shared" si="3623"/>
        <v>0</v>
      </c>
      <c r="BY510" s="98">
        <f t="shared" si="3623"/>
        <v>0</v>
      </c>
      <c r="BZ510" s="98">
        <f t="shared" si="3623"/>
        <v>0</v>
      </c>
      <c r="CA510" s="98">
        <f t="shared" si="3623"/>
        <v>0</v>
      </c>
      <c r="CB510" s="98">
        <f t="shared" si="3623"/>
        <v>0</v>
      </c>
      <c r="CC510" s="198">
        <f t="shared" si="2612"/>
        <v>0</v>
      </c>
      <c r="CD510" s="198">
        <f t="shared" si="2613"/>
        <v>0</v>
      </c>
      <c r="CE510" s="98">
        <f t="shared" ref="CE510:CR510" si="3624">SUM(CE39,CE77,CE115,CE153,CE191,CE229,CE267,CE305,CE343,CE381,CE419,CE457)</f>
        <v>0</v>
      </c>
      <c r="CF510" s="98">
        <f t="shared" si="3624"/>
        <v>0</v>
      </c>
      <c r="CG510" s="98">
        <f t="shared" si="3624"/>
        <v>18401978.789044522</v>
      </c>
      <c r="CH510" s="98">
        <f t="shared" si="3624"/>
        <v>905885644.10795295</v>
      </c>
      <c r="CI510" s="98">
        <f t="shared" si="3624"/>
        <v>0</v>
      </c>
      <c r="CJ510" s="98">
        <f t="shared" si="3624"/>
        <v>0</v>
      </c>
      <c r="CK510" s="98">
        <f t="shared" si="3624"/>
        <v>0</v>
      </c>
      <c r="CL510" s="98">
        <f t="shared" si="3624"/>
        <v>0</v>
      </c>
      <c r="CM510" s="98">
        <f t="shared" si="3624"/>
        <v>0</v>
      </c>
      <c r="CN510" s="98">
        <f t="shared" si="3624"/>
        <v>0</v>
      </c>
      <c r="CO510" s="98">
        <f t="shared" si="3624"/>
        <v>0</v>
      </c>
      <c r="CP510" s="98">
        <f t="shared" si="3624"/>
        <v>0</v>
      </c>
      <c r="CQ510" s="98">
        <f t="shared" si="3624"/>
        <v>0</v>
      </c>
      <c r="CR510" s="98">
        <f t="shared" si="3624"/>
        <v>0</v>
      </c>
      <c r="CS510" s="198">
        <f t="shared" si="2615"/>
        <v>18401978.789044522</v>
      </c>
      <c r="CT510" s="198">
        <f t="shared" si="2616"/>
        <v>905885644.10795295</v>
      </c>
      <c r="CU510" s="98">
        <f t="shared" ref="CU510:DH510" si="3625">SUM(CU39,CU77,CU115,CU153,CU191,CU229,CU267,CU305,CU343,CU381,CU419,CU457)</f>
        <v>0</v>
      </c>
      <c r="CV510" s="98">
        <f t="shared" si="3625"/>
        <v>0</v>
      </c>
      <c r="CW510" s="98">
        <f t="shared" si="3625"/>
        <v>3892177.5187991466</v>
      </c>
      <c r="CX510" s="98">
        <f t="shared" si="3625"/>
        <v>234307826.002</v>
      </c>
      <c r="CY510" s="98">
        <f t="shared" si="3625"/>
        <v>0</v>
      </c>
      <c r="CZ510" s="98">
        <f t="shared" si="3625"/>
        <v>0</v>
      </c>
      <c r="DA510" s="98">
        <f t="shared" si="3625"/>
        <v>0</v>
      </c>
      <c r="DB510" s="98">
        <f t="shared" si="3625"/>
        <v>0</v>
      </c>
      <c r="DC510" s="98">
        <f t="shared" si="3625"/>
        <v>0</v>
      </c>
      <c r="DD510" s="98">
        <f t="shared" si="3625"/>
        <v>0</v>
      </c>
      <c r="DE510" s="98">
        <f t="shared" si="3625"/>
        <v>0</v>
      </c>
      <c r="DF510" s="98">
        <f t="shared" si="3625"/>
        <v>0</v>
      </c>
      <c r="DG510" s="98">
        <f t="shared" si="3625"/>
        <v>0</v>
      </c>
      <c r="DH510" s="98">
        <f t="shared" si="3625"/>
        <v>0</v>
      </c>
      <c r="DI510" s="198">
        <f t="shared" si="2618"/>
        <v>3892177.5187991466</v>
      </c>
      <c r="DJ510" s="198">
        <f t="shared" si="2619"/>
        <v>234307826.002</v>
      </c>
      <c r="DK510" s="98">
        <f t="shared" ref="DK510:DX510" si="3626">SUM(DK39,DK77,DK115,DK153,DK191,DK229,DK267,DK305,DK343,DK381,DK419,DK457)</f>
        <v>0</v>
      </c>
      <c r="DL510" s="98">
        <f t="shared" si="3626"/>
        <v>0</v>
      </c>
      <c r="DM510" s="98">
        <f t="shared" si="3626"/>
        <v>0</v>
      </c>
      <c r="DN510" s="98">
        <f t="shared" si="3626"/>
        <v>0</v>
      </c>
      <c r="DO510" s="98">
        <f t="shared" si="3626"/>
        <v>0</v>
      </c>
      <c r="DP510" s="98">
        <f t="shared" si="3626"/>
        <v>0</v>
      </c>
      <c r="DQ510" s="98">
        <f t="shared" si="3626"/>
        <v>0</v>
      </c>
      <c r="DR510" s="98">
        <f t="shared" si="3626"/>
        <v>0</v>
      </c>
      <c r="DS510" s="98">
        <f t="shared" si="3626"/>
        <v>0</v>
      </c>
      <c r="DT510" s="98">
        <f t="shared" si="3626"/>
        <v>0</v>
      </c>
      <c r="DU510" s="98">
        <f t="shared" si="3626"/>
        <v>0</v>
      </c>
      <c r="DV510" s="98">
        <f t="shared" si="3626"/>
        <v>0</v>
      </c>
      <c r="DW510" s="98">
        <f t="shared" si="3626"/>
        <v>0</v>
      </c>
      <c r="DX510" s="98">
        <f t="shared" si="3626"/>
        <v>0</v>
      </c>
      <c r="DY510" s="198">
        <f t="shared" si="2621"/>
        <v>0</v>
      </c>
      <c r="DZ510" s="198">
        <f t="shared" si="2622"/>
        <v>0</v>
      </c>
      <c r="EA510" s="98">
        <f t="shared" ref="EA510:EN510" si="3627">SUM(EA39,EA77,EA115,EA153,EA191,EA229,EA267,EA305,EA343,EA381,EA419,EA457)</f>
        <v>0</v>
      </c>
      <c r="EB510" s="98">
        <f t="shared" si="3627"/>
        <v>0</v>
      </c>
      <c r="EC510" s="98">
        <f t="shared" si="3627"/>
        <v>0</v>
      </c>
      <c r="ED510" s="98">
        <f t="shared" si="3627"/>
        <v>0</v>
      </c>
      <c r="EE510" s="98">
        <f t="shared" si="3627"/>
        <v>0</v>
      </c>
      <c r="EF510" s="98">
        <f t="shared" si="3627"/>
        <v>0</v>
      </c>
      <c r="EG510" s="98">
        <f t="shared" si="3627"/>
        <v>0</v>
      </c>
      <c r="EH510" s="98">
        <f t="shared" si="3627"/>
        <v>0</v>
      </c>
      <c r="EI510" s="98">
        <f t="shared" si="3627"/>
        <v>0</v>
      </c>
      <c r="EJ510" s="98">
        <f t="shared" si="3627"/>
        <v>0</v>
      </c>
      <c r="EK510" s="98">
        <f t="shared" si="3627"/>
        <v>0</v>
      </c>
      <c r="EL510" s="98">
        <f t="shared" si="3627"/>
        <v>0</v>
      </c>
      <c r="EM510" s="98">
        <f t="shared" si="3627"/>
        <v>0</v>
      </c>
      <c r="EN510" s="98">
        <f t="shared" si="3627"/>
        <v>0</v>
      </c>
      <c r="EO510" s="198">
        <f t="shared" si="2624"/>
        <v>0</v>
      </c>
      <c r="EP510" s="198">
        <f t="shared" si="2625"/>
        <v>0</v>
      </c>
      <c r="EQ510" s="98">
        <f t="shared" ref="EQ510:FD510" si="3628">SUM(EQ39,EQ77,EQ115,EQ153,EQ191,EQ229,EQ267,EQ305,EQ343,EQ381,EQ419,EQ457)</f>
        <v>0</v>
      </c>
      <c r="ER510" s="98">
        <f t="shared" si="3628"/>
        <v>0</v>
      </c>
      <c r="ES510" s="98">
        <f t="shared" si="3628"/>
        <v>2232424</v>
      </c>
      <c r="ET510" s="98">
        <f t="shared" si="3628"/>
        <v>104877922</v>
      </c>
      <c r="EU510" s="98">
        <f t="shared" si="3628"/>
        <v>0</v>
      </c>
      <c r="EV510" s="98">
        <f t="shared" si="3628"/>
        <v>0</v>
      </c>
      <c r="EW510" s="98">
        <f t="shared" si="3628"/>
        <v>12205434</v>
      </c>
      <c r="EX510" s="98">
        <f t="shared" si="3628"/>
        <v>591525678</v>
      </c>
      <c r="EY510" s="98">
        <f t="shared" si="3628"/>
        <v>0</v>
      </c>
      <c r="EZ510" s="98">
        <f t="shared" si="3628"/>
        <v>0</v>
      </c>
      <c r="FA510" s="98">
        <f t="shared" si="3628"/>
        <v>0</v>
      </c>
      <c r="FB510" s="98">
        <f t="shared" si="3628"/>
        <v>0</v>
      </c>
      <c r="FC510" s="98">
        <f t="shared" si="3628"/>
        <v>0</v>
      </c>
      <c r="FD510" s="98">
        <f t="shared" si="3628"/>
        <v>0</v>
      </c>
      <c r="FE510" s="198">
        <f t="shared" si="2627"/>
        <v>14437858</v>
      </c>
      <c r="FF510" s="198">
        <f t="shared" si="2628"/>
        <v>696403600</v>
      </c>
      <c r="FG510" s="98">
        <f t="shared" ref="FG510:FT510" si="3629">SUM(FG39,FG77,FG115,FG153,FG191,FG229,FG267,FG305,FG343,FG381,FG419,FG457)</f>
        <v>0</v>
      </c>
      <c r="FH510" s="98">
        <f t="shared" si="3629"/>
        <v>0</v>
      </c>
      <c r="FI510" s="98">
        <f t="shared" si="3629"/>
        <v>1490000</v>
      </c>
      <c r="FJ510" s="98">
        <f t="shared" si="3629"/>
        <v>89400000</v>
      </c>
      <c r="FK510" s="98">
        <f t="shared" si="3629"/>
        <v>0</v>
      </c>
      <c r="FL510" s="98">
        <f t="shared" si="3629"/>
        <v>0</v>
      </c>
      <c r="FM510" s="98">
        <f t="shared" si="3629"/>
        <v>0</v>
      </c>
      <c r="FN510" s="98">
        <f t="shared" si="3629"/>
        <v>0</v>
      </c>
      <c r="FO510" s="98">
        <f t="shared" si="3629"/>
        <v>0</v>
      </c>
      <c r="FP510" s="98">
        <f t="shared" si="3629"/>
        <v>0</v>
      </c>
      <c r="FQ510" s="98">
        <f t="shared" si="3629"/>
        <v>0</v>
      </c>
      <c r="FR510" s="98">
        <f t="shared" si="3629"/>
        <v>0</v>
      </c>
      <c r="FS510" s="98">
        <f t="shared" si="3629"/>
        <v>0</v>
      </c>
      <c r="FT510" s="98">
        <f t="shared" si="3629"/>
        <v>0</v>
      </c>
      <c r="FU510" s="198">
        <f t="shared" si="2630"/>
        <v>1490000</v>
      </c>
      <c r="FV510" s="198">
        <f t="shared" si="2631"/>
        <v>89400000</v>
      </c>
      <c r="FW510" s="98">
        <f t="shared" ref="FW510:GJ510" si="3630">SUM(FW39,FW77,FW115,FW153,FW191,FW229,FW267,FW305,FW343,FW381,FW419,FW457)</f>
        <v>0</v>
      </c>
      <c r="FX510" s="98">
        <f t="shared" si="3630"/>
        <v>0</v>
      </c>
      <c r="FY510" s="98">
        <f t="shared" si="3630"/>
        <v>0</v>
      </c>
      <c r="FZ510" s="98">
        <f t="shared" si="3630"/>
        <v>0</v>
      </c>
      <c r="GA510" s="98">
        <f t="shared" si="3630"/>
        <v>0</v>
      </c>
      <c r="GB510" s="98">
        <f t="shared" si="3630"/>
        <v>0</v>
      </c>
      <c r="GC510" s="98">
        <f t="shared" si="3630"/>
        <v>0</v>
      </c>
      <c r="GD510" s="98">
        <f t="shared" si="3630"/>
        <v>0</v>
      </c>
      <c r="GE510" s="98">
        <f t="shared" si="3630"/>
        <v>0</v>
      </c>
      <c r="GF510" s="98">
        <f t="shared" si="3630"/>
        <v>0</v>
      </c>
      <c r="GG510" s="98">
        <f t="shared" si="3630"/>
        <v>0</v>
      </c>
      <c r="GH510" s="98">
        <f t="shared" si="3630"/>
        <v>0</v>
      </c>
      <c r="GI510" s="98">
        <f t="shared" si="3630"/>
        <v>0</v>
      </c>
      <c r="GJ510" s="98">
        <f t="shared" si="3630"/>
        <v>0</v>
      </c>
      <c r="GK510" s="198">
        <f t="shared" si="2633"/>
        <v>0</v>
      </c>
      <c r="GL510" s="198">
        <f t="shared" si="2634"/>
        <v>0</v>
      </c>
      <c r="GM510" s="98">
        <f t="shared" ref="GM510:GZ510" si="3631">SUM(GM39,GM77,GM115,GM153,GM191,GM229,GM267,GM305,GM343,GM381,GM419,GM457)</f>
        <v>0</v>
      </c>
      <c r="GN510" s="98">
        <f t="shared" si="3631"/>
        <v>0</v>
      </c>
      <c r="GO510" s="98">
        <f t="shared" si="3631"/>
        <v>0</v>
      </c>
      <c r="GP510" s="98">
        <f t="shared" si="3631"/>
        <v>0</v>
      </c>
      <c r="GQ510" s="98">
        <f t="shared" si="3631"/>
        <v>0</v>
      </c>
      <c r="GR510" s="98">
        <f t="shared" si="3631"/>
        <v>0</v>
      </c>
      <c r="GS510" s="98">
        <f t="shared" si="3631"/>
        <v>0</v>
      </c>
      <c r="GT510" s="98">
        <f t="shared" si="3631"/>
        <v>0</v>
      </c>
      <c r="GU510" s="98">
        <f t="shared" si="3631"/>
        <v>0</v>
      </c>
      <c r="GV510" s="98">
        <f t="shared" si="3631"/>
        <v>0</v>
      </c>
      <c r="GW510" s="98">
        <f t="shared" si="3631"/>
        <v>0</v>
      </c>
      <c r="GX510" s="98">
        <f t="shared" si="3631"/>
        <v>0</v>
      </c>
      <c r="GY510" s="98">
        <f t="shared" si="3631"/>
        <v>0</v>
      </c>
      <c r="GZ510" s="98">
        <f t="shared" si="3631"/>
        <v>0</v>
      </c>
      <c r="HA510" s="198">
        <f t="shared" si="2636"/>
        <v>0</v>
      </c>
      <c r="HB510" s="198">
        <f t="shared" si="2637"/>
        <v>0</v>
      </c>
      <c r="HC510" s="98">
        <f t="shared" ref="HC510:HP510" si="3632">SUM(HC39,HC77,HC115,HC153,HC191,HC229,HC267,HC305,HC343,HC381,HC419,HC457)</f>
        <v>0</v>
      </c>
      <c r="HD510" s="98">
        <f t="shared" si="3632"/>
        <v>0</v>
      </c>
      <c r="HE510" s="98">
        <f t="shared" si="3632"/>
        <v>1535000</v>
      </c>
      <c r="HF510" s="98">
        <f t="shared" si="3632"/>
        <v>98465000</v>
      </c>
      <c r="HG510" s="98">
        <f t="shared" si="3632"/>
        <v>0</v>
      </c>
      <c r="HH510" s="98">
        <f t="shared" si="3632"/>
        <v>0</v>
      </c>
      <c r="HI510" s="98">
        <f t="shared" si="3632"/>
        <v>0</v>
      </c>
      <c r="HJ510" s="98">
        <f t="shared" si="3632"/>
        <v>0</v>
      </c>
      <c r="HK510" s="98">
        <f t="shared" si="3632"/>
        <v>0</v>
      </c>
      <c r="HL510" s="98">
        <f t="shared" si="3632"/>
        <v>0</v>
      </c>
      <c r="HM510" s="98">
        <f t="shared" si="3632"/>
        <v>0</v>
      </c>
      <c r="HN510" s="98">
        <f t="shared" si="3632"/>
        <v>0</v>
      </c>
      <c r="HO510" s="98">
        <f t="shared" si="3632"/>
        <v>0</v>
      </c>
      <c r="HP510" s="98">
        <f t="shared" si="3632"/>
        <v>0</v>
      </c>
      <c r="HQ510" s="198">
        <f t="shared" si="2639"/>
        <v>1535000</v>
      </c>
      <c r="HR510" s="198">
        <f t="shared" si="2640"/>
        <v>98465000</v>
      </c>
      <c r="HS510" s="98">
        <f t="shared" ref="HS510:IF510" si="3633">SUM(HS39,HS77,HS115,HS153,HS191,HS229,HS267,HS305,HS343,HS381,HS419,HS457)</f>
        <v>0</v>
      </c>
      <c r="HT510" s="98">
        <f t="shared" si="3633"/>
        <v>0</v>
      </c>
      <c r="HU510" s="98">
        <f t="shared" si="3633"/>
        <v>0</v>
      </c>
      <c r="HV510" s="98">
        <f t="shared" si="3633"/>
        <v>0</v>
      </c>
      <c r="HW510" s="98">
        <f t="shared" si="3633"/>
        <v>0</v>
      </c>
      <c r="HX510" s="98">
        <f t="shared" si="3633"/>
        <v>0</v>
      </c>
      <c r="HY510" s="98">
        <f t="shared" si="3633"/>
        <v>0</v>
      </c>
      <c r="HZ510" s="98">
        <f t="shared" si="3633"/>
        <v>0</v>
      </c>
      <c r="IA510" s="98">
        <f t="shared" si="3633"/>
        <v>0</v>
      </c>
      <c r="IB510" s="98">
        <f t="shared" si="3633"/>
        <v>0</v>
      </c>
      <c r="IC510" s="98">
        <f t="shared" si="3633"/>
        <v>0</v>
      </c>
      <c r="ID510" s="98">
        <f t="shared" si="3633"/>
        <v>0</v>
      </c>
      <c r="IE510" s="98">
        <f t="shared" si="3633"/>
        <v>0</v>
      </c>
      <c r="IF510" s="98">
        <f t="shared" si="3633"/>
        <v>0</v>
      </c>
      <c r="IG510" s="198">
        <f t="shared" si="2642"/>
        <v>0</v>
      </c>
      <c r="IH510" s="198">
        <f t="shared" si="2643"/>
        <v>0</v>
      </c>
      <c r="II510" s="98">
        <f t="shared" ref="II510:IV510" si="3634">SUM(II39,II77,II115,II153,II191,II229,II267,II305,II343,II381,II419,II457)</f>
        <v>0</v>
      </c>
      <c r="IJ510" s="98">
        <f t="shared" si="3634"/>
        <v>0</v>
      </c>
      <c r="IK510" s="98">
        <f t="shared" si="3634"/>
        <v>0</v>
      </c>
      <c r="IL510" s="98">
        <f t="shared" si="3634"/>
        <v>0</v>
      </c>
      <c r="IM510" s="98">
        <f t="shared" si="3634"/>
        <v>0</v>
      </c>
      <c r="IN510" s="98">
        <f t="shared" si="3634"/>
        <v>0</v>
      </c>
      <c r="IO510" s="98">
        <f t="shared" si="3634"/>
        <v>0</v>
      </c>
      <c r="IP510" s="98">
        <f t="shared" si="3634"/>
        <v>0</v>
      </c>
      <c r="IQ510" s="98">
        <f t="shared" si="3634"/>
        <v>0</v>
      </c>
      <c r="IR510" s="98">
        <f t="shared" si="3634"/>
        <v>0</v>
      </c>
      <c r="IS510" s="98">
        <f t="shared" si="3634"/>
        <v>0</v>
      </c>
      <c r="IT510" s="98">
        <f t="shared" si="3634"/>
        <v>0</v>
      </c>
      <c r="IU510" s="98">
        <f t="shared" si="3634"/>
        <v>0</v>
      </c>
      <c r="IV510" s="98">
        <f t="shared" si="3634"/>
        <v>0</v>
      </c>
      <c r="IW510" s="198">
        <f t="shared" si="2645"/>
        <v>0</v>
      </c>
      <c r="IX510" s="198">
        <f t="shared" si="2646"/>
        <v>0</v>
      </c>
      <c r="IY510" s="98">
        <f t="shared" ref="IY510:JL510" si="3635">SUM(IY39,IY77,IY115,IY153,IY191,IY229,IY267,IY305,IY343,IY381,IY419,IY457)</f>
        <v>0</v>
      </c>
      <c r="IZ510" s="98">
        <f t="shared" si="3635"/>
        <v>0</v>
      </c>
      <c r="JA510" s="98">
        <f t="shared" si="3635"/>
        <v>0</v>
      </c>
      <c r="JB510" s="98">
        <f t="shared" si="3635"/>
        <v>0</v>
      </c>
      <c r="JC510" s="98">
        <f t="shared" si="3635"/>
        <v>0</v>
      </c>
      <c r="JD510" s="98">
        <f t="shared" si="3635"/>
        <v>0</v>
      </c>
      <c r="JE510" s="98">
        <f t="shared" si="3635"/>
        <v>0</v>
      </c>
      <c r="JF510" s="98">
        <f t="shared" si="3635"/>
        <v>0</v>
      </c>
      <c r="JG510" s="98">
        <f t="shared" si="3635"/>
        <v>0</v>
      </c>
      <c r="JH510" s="98">
        <f t="shared" si="3635"/>
        <v>0</v>
      </c>
      <c r="JI510" s="98">
        <f t="shared" si="3635"/>
        <v>0</v>
      </c>
      <c r="JJ510" s="98">
        <f t="shared" si="3635"/>
        <v>0</v>
      </c>
      <c r="JK510" s="98">
        <f t="shared" si="3635"/>
        <v>0</v>
      </c>
      <c r="JL510" s="98">
        <f t="shared" si="3635"/>
        <v>0</v>
      </c>
      <c r="JM510" s="198">
        <f t="shared" si="2648"/>
        <v>0</v>
      </c>
      <c r="JN510" s="198">
        <f t="shared" si="2649"/>
        <v>0</v>
      </c>
      <c r="JO510" s="98">
        <f t="shared" ref="JO510:KB510" si="3636">SUM(JO39,JO77,JO115,JO153,JO191,JO229,JO267,JO305,JO343,JO381,JO419,JO457)</f>
        <v>0</v>
      </c>
      <c r="JP510" s="98">
        <f t="shared" si="3636"/>
        <v>0</v>
      </c>
      <c r="JQ510" s="98">
        <f t="shared" si="3636"/>
        <v>1731974</v>
      </c>
      <c r="JR510" s="98">
        <f t="shared" si="3636"/>
        <v>137394428</v>
      </c>
      <c r="JS510" s="98">
        <f t="shared" si="3636"/>
        <v>0</v>
      </c>
      <c r="JT510" s="98">
        <f t="shared" si="3636"/>
        <v>0</v>
      </c>
      <c r="JU510" s="98">
        <f t="shared" si="3636"/>
        <v>0</v>
      </c>
      <c r="JV510" s="98">
        <f t="shared" si="3636"/>
        <v>0</v>
      </c>
      <c r="JW510" s="98">
        <f t="shared" si="3636"/>
        <v>0</v>
      </c>
      <c r="JX510" s="98">
        <f t="shared" si="3636"/>
        <v>0</v>
      </c>
      <c r="JY510" s="98">
        <f t="shared" si="3636"/>
        <v>0</v>
      </c>
      <c r="JZ510" s="98">
        <f t="shared" si="3636"/>
        <v>0</v>
      </c>
      <c r="KA510" s="98">
        <f t="shared" si="3636"/>
        <v>0</v>
      </c>
      <c r="KB510" s="98">
        <f t="shared" si="3636"/>
        <v>0</v>
      </c>
      <c r="KC510" s="198">
        <f t="shared" si="2651"/>
        <v>1731974</v>
      </c>
      <c r="KD510" s="198">
        <f t="shared" si="2652"/>
        <v>137394428</v>
      </c>
      <c r="KE510" s="98">
        <f t="shared" ref="KE510:KR510" si="3637">SUM(KE39,KE77,KE115,KE153,KE191,KE229,KE267,KE305,KE343,KE381,KE419,KE457)</f>
        <v>0</v>
      </c>
      <c r="KF510" s="98">
        <f t="shared" si="3637"/>
        <v>0</v>
      </c>
      <c r="KG510" s="98">
        <f t="shared" si="3637"/>
        <v>512400</v>
      </c>
      <c r="KH510" s="98">
        <f t="shared" si="3637"/>
        <v>33133720</v>
      </c>
      <c r="KI510" s="98">
        <f t="shared" si="3637"/>
        <v>0</v>
      </c>
      <c r="KJ510" s="98">
        <f t="shared" si="3637"/>
        <v>0</v>
      </c>
      <c r="KK510" s="98">
        <f t="shared" si="3637"/>
        <v>0</v>
      </c>
      <c r="KL510" s="98">
        <f t="shared" si="3637"/>
        <v>0</v>
      </c>
      <c r="KM510" s="98">
        <f t="shared" si="3637"/>
        <v>0</v>
      </c>
      <c r="KN510" s="98">
        <f t="shared" si="3637"/>
        <v>0</v>
      </c>
      <c r="KO510" s="98">
        <f t="shared" si="3637"/>
        <v>0</v>
      </c>
      <c r="KP510" s="98">
        <f t="shared" si="3637"/>
        <v>0</v>
      </c>
      <c r="KQ510" s="98">
        <f t="shared" si="3637"/>
        <v>0</v>
      </c>
      <c r="KR510" s="98">
        <f t="shared" si="3637"/>
        <v>0</v>
      </c>
      <c r="KS510" s="198">
        <f t="shared" si="2654"/>
        <v>512400</v>
      </c>
      <c r="KT510" s="198">
        <f t="shared" si="2655"/>
        <v>33133720</v>
      </c>
      <c r="KU510" s="98">
        <f t="shared" ref="KU510:LH510" si="3638">SUM(KU39,KU77,KU115,KU153,KU191,KU229,KU267,KU305,KU343,KU381,KU419,KU457)</f>
        <v>0</v>
      </c>
      <c r="KV510" s="98">
        <f t="shared" si="3638"/>
        <v>0</v>
      </c>
      <c r="KW510" s="98">
        <f t="shared" si="3638"/>
        <v>1036784.49</v>
      </c>
      <c r="KX510" s="98">
        <f t="shared" si="3638"/>
        <v>55411074</v>
      </c>
      <c r="KY510" s="98">
        <f t="shared" si="3638"/>
        <v>0</v>
      </c>
      <c r="KZ510" s="98">
        <f t="shared" si="3638"/>
        <v>0</v>
      </c>
      <c r="LA510" s="98">
        <f t="shared" si="3638"/>
        <v>0</v>
      </c>
      <c r="LB510" s="98">
        <f t="shared" si="3638"/>
        <v>0</v>
      </c>
      <c r="LC510" s="98">
        <f t="shared" si="3638"/>
        <v>0</v>
      </c>
      <c r="LD510" s="98">
        <f t="shared" si="3638"/>
        <v>0</v>
      </c>
      <c r="LE510" s="98">
        <f t="shared" si="3638"/>
        <v>0</v>
      </c>
      <c r="LF510" s="98">
        <f t="shared" si="3638"/>
        <v>0</v>
      </c>
      <c r="LG510" s="98">
        <f t="shared" si="3638"/>
        <v>0</v>
      </c>
      <c r="LH510" s="98">
        <f t="shared" si="3638"/>
        <v>0</v>
      </c>
      <c r="LI510" s="198">
        <f t="shared" si="2657"/>
        <v>1036784.49</v>
      </c>
      <c r="LJ510" s="198">
        <f t="shared" si="2658"/>
        <v>55411074</v>
      </c>
      <c r="LK510" s="98">
        <f t="shared" ref="LK510:LX510" si="3639">SUM(LK39,LK77,LK115,LK153,LK191,LK229,LK267,LK305,LK343,LK381,LK419,LK457)</f>
        <v>0</v>
      </c>
      <c r="LL510" s="98">
        <f t="shared" si="3639"/>
        <v>0</v>
      </c>
      <c r="LM510" s="98">
        <f t="shared" si="3639"/>
        <v>0</v>
      </c>
      <c r="LN510" s="98">
        <f t="shared" si="3639"/>
        <v>0</v>
      </c>
      <c r="LO510" s="98">
        <f t="shared" si="3639"/>
        <v>0</v>
      </c>
      <c r="LP510" s="98">
        <f t="shared" si="3639"/>
        <v>0</v>
      </c>
      <c r="LQ510" s="98">
        <f t="shared" si="3639"/>
        <v>0</v>
      </c>
      <c r="LR510" s="98">
        <f t="shared" si="3639"/>
        <v>0</v>
      </c>
      <c r="LS510" s="98">
        <f t="shared" si="3639"/>
        <v>0</v>
      </c>
      <c r="LT510" s="98">
        <f t="shared" si="3639"/>
        <v>0</v>
      </c>
      <c r="LU510" s="98">
        <f t="shared" si="3639"/>
        <v>0</v>
      </c>
      <c r="LV510" s="98">
        <f t="shared" si="3639"/>
        <v>0</v>
      </c>
      <c r="LW510" s="98">
        <f t="shared" si="3639"/>
        <v>0</v>
      </c>
      <c r="LX510" s="98">
        <f t="shared" si="3639"/>
        <v>0</v>
      </c>
      <c r="LY510" s="198">
        <f t="shared" si="2660"/>
        <v>0</v>
      </c>
      <c r="LZ510" s="198">
        <f t="shared" si="2661"/>
        <v>0</v>
      </c>
      <c r="MA510" s="98">
        <f t="shared" ref="MA510:MN510" si="3640">SUM(MA39,MA77,MA115,MA153,MA191,MA229,MA267,MA305,MA343,MA381,MA419,MA457)</f>
        <v>0</v>
      </c>
      <c r="MB510" s="98">
        <f t="shared" si="3640"/>
        <v>0</v>
      </c>
      <c r="MC510" s="98">
        <f t="shared" si="3640"/>
        <v>12471840</v>
      </c>
      <c r="MD510" s="98">
        <f t="shared" si="3640"/>
        <v>691867000</v>
      </c>
      <c r="ME510" s="98">
        <f t="shared" si="3640"/>
        <v>0</v>
      </c>
      <c r="MF510" s="98">
        <f t="shared" si="3640"/>
        <v>0</v>
      </c>
      <c r="MG510" s="98">
        <f t="shared" si="3640"/>
        <v>0</v>
      </c>
      <c r="MH510" s="98">
        <f t="shared" si="3640"/>
        <v>0</v>
      </c>
      <c r="MI510" s="98">
        <f t="shared" si="3640"/>
        <v>0</v>
      </c>
      <c r="MJ510" s="98">
        <f t="shared" si="3640"/>
        <v>0</v>
      </c>
      <c r="MK510" s="98">
        <f t="shared" si="3640"/>
        <v>0</v>
      </c>
      <c r="ML510" s="98">
        <f t="shared" si="3640"/>
        <v>0</v>
      </c>
      <c r="MM510" s="98">
        <f t="shared" si="3640"/>
        <v>0</v>
      </c>
      <c r="MN510" s="98">
        <f t="shared" si="3640"/>
        <v>0</v>
      </c>
      <c r="MO510" s="198">
        <f t="shared" si="2663"/>
        <v>12471840</v>
      </c>
      <c r="MP510" s="198">
        <f t="shared" si="2664"/>
        <v>691867000</v>
      </c>
      <c r="MQ510" s="98">
        <f t="shared" ref="MQ510:ND510" si="3641">SUM(MQ39,MQ77,MQ115,MQ153,MQ191,MQ229,MQ267,MQ305,MQ343,MQ381,MQ419,MQ457)</f>
        <v>0</v>
      </c>
      <c r="MR510" s="98">
        <f t="shared" si="3641"/>
        <v>0</v>
      </c>
      <c r="MS510" s="98">
        <f t="shared" si="3641"/>
        <v>376080</v>
      </c>
      <c r="MT510" s="98">
        <f t="shared" si="3641"/>
        <v>24445200</v>
      </c>
      <c r="MU510" s="98">
        <f t="shared" si="3641"/>
        <v>0</v>
      </c>
      <c r="MV510" s="98">
        <f t="shared" si="3641"/>
        <v>0</v>
      </c>
      <c r="MW510" s="98">
        <f t="shared" si="3641"/>
        <v>0</v>
      </c>
      <c r="MX510" s="98">
        <f t="shared" si="3641"/>
        <v>0</v>
      </c>
      <c r="MY510" s="98">
        <f t="shared" si="3641"/>
        <v>0</v>
      </c>
      <c r="MZ510" s="98">
        <f t="shared" si="3641"/>
        <v>0</v>
      </c>
      <c r="NA510" s="98">
        <f t="shared" si="3641"/>
        <v>0</v>
      </c>
      <c r="NB510" s="98">
        <f t="shared" si="3641"/>
        <v>0</v>
      </c>
      <c r="NC510" s="98">
        <f t="shared" si="3641"/>
        <v>0</v>
      </c>
      <c r="ND510" s="98">
        <f t="shared" si="3641"/>
        <v>0</v>
      </c>
      <c r="NE510" s="198">
        <f t="shared" si="2666"/>
        <v>376080</v>
      </c>
      <c r="NF510" s="198">
        <f t="shared" si="2667"/>
        <v>24445200</v>
      </c>
      <c r="NG510" s="98">
        <f t="shared" ref="NG510:NT510" si="3642">SUM(NG39,NG77,NG115,NG153,NG191,NG229,NG267,NG305,NG343,NG381,NG419,NG457)</f>
        <v>0</v>
      </c>
      <c r="NH510" s="98">
        <f t="shared" si="3642"/>
        <v>0</v>
      </c>
      <c r="NI510" s="98">
        <f t="shared" si="3642"/>
        <v>5964003</v>
      </c>
      <c r="NJ510" s="98">
        <f t="shared" si="3642"/>
        <v>357840180</v>
      </c>
      <c r="NK510" s="98">
        <f t="shared" si="3642"/>
        <v>0</v>
      </c>
      <c r="NL510" s="98">
        <f t="shared" si="3642"/>
        <v>0</v>
      </c>
      <c r="NM510" s="98">
        <f t="shared" si="3642"/>
        <v>0</v>
      </c>
      <c r="NN510" s="98">
        <f t="shared" si="3642"/>
        <v>0</v>
      </c>
      <c r="NO510" s="98">
        <f t="shared" si="3642"/>
        <v>66500</v>
      </c>
      <c r="NP510" s="98">
        <f t="shared" si="3642"/>
        <v>3990000</v>
      </c>
      <c r="NQ510" s="98">
        <f t="shared" si="3642"/>
        <v>0</v>
      </c>
      <c r="NR510" s="98">
        <f t="shared" si="3642"/>
        <v>0</v>
      </c>
      <c r="NS510" s="98">
        <f t="shared" si="3642"/>
        <v>0</v>
      </c>
      <c r="NT510" s="98">
        <f t="shared" si="3642"/>
        <v>0</v>
      </c>
      <c r="NU510" s="198">
        <f t="shared" si="2669"/>
        <v>6030503</v>
      </c>
      <c r="NV510" s="198">
        <f t="shared" si="2670"/>
        <v>361830180</v>
      </c>
      <c r="NW510" s="98">
        <f t="shared" ref="NW510:OJ510" si="3643">SUM(NW39,NW77,NW115,NW153,NW191,NW229,NW267,NW305,NW343,NW381,NW419,NW457)</f>
        <v>0</v>
      </c>
      <c r="NX510" s="98">
        <f t="shared" si="3643"/>
        <v>0</v>
      </c>
      <c r="NY510" s="98">
        <f t="shared" si="3643"/>
        <v>10796787</v>
      </c>
      <c r="NZ510" s="98">
        <f t="shared" si="3643"/>
        <v>517730120</v>
      </c>
      <c r="OA510" s="98">
        <f t="shared" si="3643"/>
        <v>0</v>
      </c>
      <c r="OB510" s="98">
        <f t="shared" si="3643"/>
        <v>0</v>
      </c>
      <c r="OC510" s="98">
        <f t="shared" si="3643"/>
        <v>0</v>
      </c>
      <c r="OD510" s="98">
        <f t="shared" si="3643"/>
        <v>0</v>
      </c>
      <c r="OE510" s="98">
        <f t="shared" si="3643"/>
        <v>0</v>
      </c>
      <c r="OF510" s="98">
        <f t="shared" si="3643"/>
        <v>0</v>
      </c>
      <c r="OG510" s="98">
        <f t="shared" si="3643"/>
        <v>0</v>
      </c>
      <c r="OH510" s="98">
        <f t="shared" si="3643"/>
        <v>0</v>
      </c>
      <c r="OI510" s="98">
        <f t="shared" si="3643"/>
        <v>0</v>
      </c>
      <c r="OJ510" s="98">
        <f t="shared" si="3643"/>
        <v>0</v>
      </c>
      <c r="OK510" s="198">
        <f t="shared" si="2672"/>
        <v>10796787</v>
      </c>
      <c r="OL510" s="198">
        <f t="shared" si="2673"/>
        <v>517730120</v>
      </c>
      <c r="OM510" s="98">
        <f t="shared" ref="OM510:OZ510" si="3644">SUM(OM39,OM77,OM115,OM153,OM191,OM229,OM267,OM305,OM343,OM381,OM419,OM457)</f>
        <v>0</v>
      </c>
      <c r="ON510" s="98">
        <f t="shared" si="3644"/>
        <v>0</v>
      </c>
      <c r="OO510" s="98">
        <f t="shared" si="3644"/>
        <v>7030207</v>
      </c>
      <c r="OP510" s="98">
        <f t="shared" si="3644"/>
        <v>436713102</v>
      </c>
      <c r="OQ510" s="98">
        <f t="shared" si="3644"/>
        <v>0</v>
      </c>
      <c r="OR510" s="98">
        <f t="shared" si="3644"/>
        <v>0</v>
      </c>
      <c r="OS510" s="98">
        <f t="shared" si="3644"/>
        <v>0</v>
      </c>
      <c r="OT510" s="98">
        <f t="shared" si="3644"/>
        <v>0</v>
      </c>
      <c r="OU510" s="98">
        <f t="shared" si="3644"/>
        <v>0</v>
      </c>
      <c r="OV510" s="98">
        <f t="shared" si="3644"/>
        <v>0</v>
      </c>
      <c r="OW510" s="98">
        <f t="shared" si="3644"/>
        <v>0</v>
      </c>
      <c r="OX510" s="98">
        <f t="shared" si="3644"/>
        <v>0</v>
      </c>
      <c r="OY510" s="98">
        <f t="shared" si="3644"/>
        <v>0</v>
      </c>
      <c r="OZ510" s="98">
        <f t="shared" si="3644"/>
        <v>0</v>
      </c>
      <c r="PA510" s="198">
        <f t="shared" si="2675"/>
        <v>7030207</v>
      </c>
      <c r="PB510" s="198">
        <f t="shared" si="2676"/>
        <v>436713102</v>
      </c>
      <c r="PC510" s="98">
        <f t="shared" ref="PC510:PP510" si="3645">SUM(PC39,PC77,PC115,PC153,PC191,PC229,PC267,PC305,PC343,PC381,PC419,PC457)</f>
        <v>0</v>
      </c>
      <c r="PD510" s="98">
        <f t="shared" si="3645"/>
        <v>0</v>
      </c>
      <c r="PE510" s="98">
        <f t="shared" si="3645"/>
        <v>246486</v>
      </c>
      <c r="PF510" s="98">
        <f t="shared" si="3645"/>
        <v>16298860</v>
      </c>
      <c r="PG510" s="98">
        <f t="shared" si="3645"/>
        <v>0</v>
      </c>
      <c r="PH510" s="98">
        <f t="shared" si="3645"/>
        <v>0</v>
      </c>
      <c r="PI510" s="98">
        <f t="shared" si="3645"/>
        <v>0</v>
      </c>
      <c r="PJ510" s="98">
        <f t="shared" si="3645"/>
        <v>0</v>
      </c>
      <c r="PK510" s="98">
        <f t="shared" si="3645"/>
        <v>0</v>
      </c>
      <c r="PL510" s="98">
        <f t="shared" si="3645"/>
        <v>0</v>
      </c>
      <c r="PM510" s="98">
        <f t="shared" si="3645"/>
        <v>0</v>
      </c>
      <c r="PN510" s="98">
        <f t="shared" si="3645"/>
        <v>0</v>
      </c>
      <c r="PO510" s="98">
        <f t="shared" si="3645"/>
        <v>0</v>
      </c>
      <c r="PP510" s="98">
        <f t="shared" si="3645"/>
        <v>0</v>
      </c>
      <c r="PQ510" s="198">
        <f t="shared" si="2678"/>
        <v>246486</v>
      </c>
      <c r="PR510" s="198">
        <f t="shared" si="2679"/>
        <v>16298860</v>
      </c>
      <c r="PS510" s="98">
        <f t="shared" ref="PS510:QF510" si="3646">SUM(PS39,PS77,PS115,PS153,PS191,PS229,PS267,PS305,PS343,PS381,PS419,PS457)</f>
        <v>0</v>
      </c>
      <c r="PT510" s="98">
        <f t="shared" si="3646"/>
        <v>0</v>
      </c>
      <c r="PU510" s="98">
        <f t="shared" si="3646"/>
        <v>7926960</v>
      </c>
      <c r="PV510" s="98">
        <f t="shared" si="3646"/>
        <v>449223500</v>
      </c>
      <c r="PW510" s="98">
        <f t="shared" si="3646"/>
        <v>0</v>
      </c>
      <c r="PX510" s="98">
        <f t="shared" si="3646"/>
        <v>0</v>
      </c>
      <c r="PY510" s="98">
        <f t="shared" si="3646"/>
        <v>0</v>
      </c>
      <c r="PZ510" s="98">
        <f t="shared" si="3646"/>
        <v>0</v>
      </c>
      <c r="QA510" s="98">
        <f t="shared" si="3646"/>
        <v>4549820</v>
      </c>
      <c r="QB510" s="98">
        <f t="shared" si="3646"/>
        <v>225956900</v>
      </c>
      <c r="QC510" s="98">
        <f t="shared" si="3646"/>
        <v>0</v>
      </c>
      <c r="QD510" s="98">
        <f t="shared" si="3646"/>
        <v>0</v>
      </c>
      <c r="QE510" s="98">
        <f t="shared" si="3646"/>
        <v>0</v>
      </c>
      <c r="QF510" s="98">
        <f t="shared" si="3646"/>
        <v>0</v>
      </c>
      <c r="QG510" s="198">
        <f t="shared" si="2681"/>
        <v>12476780</v>
      </c>
      <c r="QH510" s="198">
        <f t="shared" si="2682"/>
        <v>675180400</v>
      </c>
      <c r="QI510" s="98">
        <f t="shared" ref="QI510:QV510" si="3647">SUM(QI39,QI77,QI115,QI153,QI191,QI229,QI267,QI305,QI343,QI381,QI419,QI457)</f>
        <v>0</v>
      </c>
      <c r="QJ510" s="98">
        <f t="shared" si="3647"/>
        <v>0</v>
      </c>
      <c r="QK510" s="98">
        <f t="shared" si="3647"/>
        <v>350000</v>
      </c>
      <c r="QL510" s="98">
        <f t="shared" si="3647"/>
        <v>21000000</v>
      </c>
      <c r="QM510" s="98">
        <f t="shared" si="3647"/>
        <v>0</v>
      </c>
      <c r="QN510" s="98">
        <f t="shared" si="3647"/>
        <v>0</v>
      </c>
      <c r="QO510" s="98">
        <f t="shared" si="3647"/>
        <v>175000</v>
      </c>
      <c r="QP510" s="98">
        <f t="shared" si="3647"/>
        <v>10500000</v>
      </c>
      <c r="QQ510" s="98">
        <f t="shared" si="3647"/>
        <v>0</v>
      </c>
      <c r="QR510" s="98">
        <f t="shared" si="3647"/>
        <v>0</v>
      </c>
      <c r="QS510" s="98">
        <f t="shared" si="3647"/>
        <v>0</v>
      </c>
      <c r="QT510" s="98">
        <f t="shared" si="3647"/>
        <v>0</v>
      </c>
      <c r="QU510" s="98">
        <f t="shared" si="3647"/>
        <v>0</v>
      </c>
      <c r="QV510" s="98">
        <f t="shared" si="3647"/>
        <v>0</v>
      </c>
      <c r="QW510" s="198">
        <f t="shared" si="2684"/>
        <v>525000</v>
      </c>
      <c r="QX510" s="198">
        <f t="shared" si="2685"/>
        <v>31500000</v>
      </c>
      <c r="QY510" s="98">
        <f t="shared" ref="QY510:RL510" si="3648">SUM(QY39,QY77,QY115,QY153,QY191,QY229,QY267,QY305,QY343,QY381,QY419,QY457)</f>
        <v>0</v>
      </c>
      <c r="QZ510" s="98">
        <f t="shared" si="3648"/>
        <v>0</v>
      </c>
      <c r="RA510" s="98">
        <f t="shared" si="3648"/>
        <v>0</v>
      </c>
      <c r="RB510" s="98">
        <f t="shared" si="3648"/>
        <v>0</v>
      </c>
      <c r="RC510" s="98">
        <f t="shared" si="3648"/>
        <v>0</v>
      </c>
      <c r="RD510" s="98">
        <f t="shared" si="3648"/>
        <v>0</v>
      </c>
      <c r="RE510" s="98">
        <f t="shared" si="3648"/>
        <v>0</v>
      </c>
      <c r="RF510" s="98">
        <f t="shared" si="3648"/>
        <v>0</v>
      </c>
      <c r="RG510" s="98">
        <f t="shared" si="3648"/>
        <v>0</v>
      </c>
      <c r="RH510" s="98">
        <f t="shared" si="3648"/>
        <v>0</v>
      </c>
      <c r="RI510" s="98">
        <f t="shared" si="3648"/>
        <v>0</v>
      </c>
      <c r="RJ510" s="98">
        <f t="shared" si="3648"/>
        <v>0</v>
      </c>
      <c r="RK510" s="98">
        <f t="shared" si="3648"/>
        <v>0</v>
      </c>
      <c r="RL510" s="98">
        <f t="shared" si="3648"/>
        <v>0</v>
      </c>
      <c r="RM510" s="198">
        <f t="shared" si="2687"/>
        <v>0</v>
      </c>
      <c r="RN510" s="198">
        <f t="shared" si="2688"/>
        <v>0</v>
      </c>
      <c r="RO510" s="98">
        <f t="shared" ref="RO510:SB510" si="3649">SUM(RO39,RO77,RO115,RO153,RO191,RO229,RO267,RO305,RO343,RO381,RO419,RO457)</f>
        <v>0</v>
      </c>
      <c r="RP510" s="98">
        <f t="shared" si="3649"/>
        <v>0</v>
      </c>
      <c r="RQ510" s="98">
        <f t="shared" si="3649"/>
        <v>0</v>
      </c>
      <c r="RR510" s="98">
        <f t="shared" si="3649"/>
        <v>0</v>
      </c>
      <c r="RS510" s="98">
        <f t="shared" si="3649"/>
        <v>0</v>
      </c>
      <c r="RT510" s="98">
        <f t="shared" si="3649"/>
        <v>0</v>
      </c>
      <c r="RU510" s="98">
        <f t="shared" si="3649"/>
        <v>0</v>
      </c>
      <c r="RV510" s="98">
        <f t="shared" si="3649"/>
        <v>0</v>
      </c>
      <c r="RW510" s="98">
        <f t="shared" si="3649"/>
        <v>0</v>
      </c>
      <c r="RX510" s="98">
        <f t="shared" si="3649"/>
        <v>0</v>
      </c>
      <c r="RY510" s="98">
        <f t="shared" si="3649"/>
        <v>0</v>
      </c>
      <c r="RZ510" s="98">
        <f t="shared" si="3649"/>
        <v>0</v>
      </c>
      <c r="SA510" s="98">
        <f t="shared" si="3649"/>
        <v>0</v>
      </c>
      <c r="SB510" s="98">
        <f t="shared" si="3649"/>
        <v>0</v>
      </c>
      <c r="SC510" s="198">
        <f t="shared" si="2690"/>
        <v>0</v>
      </c>
      <c r="SD510" s="198">
        <f t="shared" si="2691"/>
        <v>0</v>
      </c>
      <c r="SE510" s="98">
        <f t="shared" ref="SE510:SR510" si="3650">SUM(SE39,SE77,SE115,SE153,SE191,SE229,SE267,SE305,SE343,SE381,SE419,SE457)</f>
        <v>0</v>
      </c>
      <c r="SF510" s="98">
        <f t="shared" si="3650"/>
        <v>0</v>
      </c>
      <c r="SG510" s="98">
        <f t="shared" si="3650"/>
        <v>0</v>
      </c>
      <c r="SH510" s="98">
        <f t="shared" si="3650"/>
        <v>0</v>
      </c>
      <c r="SI510" s="98">
        <f t="shared" si="3650"/>
        <v>0</v>
      </c>
      <c r="SJ510" s="98">
        <f t="shared" si="3650"/>
        <v>0</v>
      </c>
      <c r="SK510" s="98">
        <f t="shared" si="3650"/>
        <v>0</v>
      </c>
      <c r="SL510" s="98">
        <f t="shared" si="3650"/>
        <v>0</v>
      </c>
      <c r="SM510" s="98">
        <f t="shared" si="3650"/>
        <v>0</v>
      </c>
      <c r="SN510" s="98">
        <f t="shared" si="3650"/>
        <v>0</v>
      </c>
      <c r="SO510" s="98">
        <f t="shared" si="3650"/>
        <v>0</v>
      </c>
      <c r="SP510" s="98">
        <f t="shared" si="3650"/>
        <v>0</v>
      </c>
      <c r="SQ510" s="98">
        <f t="shared" si="3650"/>
        <v>0</v>
      </c>
      <c r="SR510" s="98">
        <f t="shared" si="3650"/>
        <v>0</v>
      </c>
      <c r="SS510" s="198">
        <f t="shared" si="2693"/>
        <v>0</v>
      </c>
      <c r="ST510" s="198">
        <f t="shared" si="2694"/>
        <v>0</v>
      </c>
      <c r="SU510" s="98">
        <f t="shared" ref="SU510:TH510" si="3651">SUM(SU39,SU77,SU115,SU153,SU191,SU229,SU267,SU305,SU343,SU381,SU419,SU457)</f>
        <v>0</v>
      </c>
      <c r="SV510" s="98">
        <f t="shared" si="3651"/>
        <v>0</v>
      </c>
      <c r="SW510" s="98">
        <f t="shared" si="3651"/>
        <v>0</v>
      </c>
      <c r="SX510" s="98">
        <f t="shared" si="3651"/>
        <v>0</v>
      </c>
      <c r="SY510" s="98">
        <f t="shared" si="3651"/>
        <v>0</v>
      </c>
      <c r="SZ510" s="98">
        <f t="shared" si="3651"/>
        <v>0</v>
      </c>
      <c r="TA510" s="98">
        <f t="shared" si="3651"/>
        <v>0</v>
      </c>
      <c r="TB510" s="98">
        <f t="shared" si="3651"/>
        <v>0</v>
      </c>
      <c r="TC510" s="98">
        <f t="shared" si="3651"/>
        <v>0</v>
      </c>
      <c r="TD510" s="98">
        <f t="shared" si="3651"/>
        <v>0</v>
      </c>
      <c r="TE510" s="98">
        <f t="shared" si="3651"/>
        <v>0</v>
      </c>
      <c r="TF510" s="98">
        <f t="shared" si="3651"/>
        <v>0</v>
      </c>
      <c r="TG510" s="98">
        <f t="shared" si="3651"/>
        <v>0</v>
      </c>
      <c r="TH510" s="98">
        <f t="shared" si="3651"/>
        <v>0</v>
      </c>
      <c r="TI510" s="198">
        <f t="shared" si="2696"/>
        <v>0</v>
      </c>
      <c r="TJ510" s="198">
        <f t="shared" si="2697"/>
        <v>0</v>
      </c>
      <c r="TK510" s="98">
        <f t="shared" ref="TK510:TX510" si="3652">SUM(TK39,TK77,TK115,TK153,TK191,TK229,TK267,TK305,TK343,TK381,TK419,TK457)</f>
        <v>0</v>
      </c>
      <c r="TL510" s="98">
        <f t="shared" si="3652"/>
        <v>0</v>
      </c>
      <c r="TM510" s="98">
        <f t="shared" si="3652"/>
        <v>0</v>
      </c>
      <c r="TN510" s="98">
        <f t="shared" si="3652"/>
        <v>0</v>
      </c>
      <c r="TO510" s="98">
        <f t="shared" si="3652"/>
        <v>0</v>
      </c>
      <c r="TP510" s="98">
        <f t="shared" si="3652"/>
        <v>0</v>
      </c>
      <c r="TQ510" s="98">
        <f t="shared" si="3652"/>
        <v>0</v>
      </c>
      <c r="TR510" s="98">
        <f t="shared" si="3652"/>
        <v>0</v>
      </c>
      <c r="TS510" s="98">
        <f t="shared" si="3652"/>
        <v>0</v>
      </c>
      <c r="TT510" s="98">
        <f t="shared" si="3652"/>
        <v>0</v>
      </c>
      <c r="TU510" s="98">
        <f t="shared" si="3652"/>
        <v>0</v>
      </c>
      <c r="TV510" s="98">
        <f t="shared" si="3652"/>
        <v>0</v>
      </c>
      <c r="TW510" s="98">
        <f t="shared" si="3652"/>
        <v>0</v>
      </c>
      <c r="TX510" s="98">
        <f t="shared" si="3652"/>
        <v>0</v>
      </c>
      <c r="TY510" s="198">
        <f t="shared" si="2699"/>
        <v>0</v>
      </c>
      <c r="TZ510" s="198">
        <f t="shared" si="2700"/>
        <v>0</v>
      </c>
      <c r="UA510" s="98">
        <f t="shared" ref="UA510:UN510" si="3653">SUM(UA39,UA77,UA115,UA153,UA191,UA229,UA267,UA305,UA343,UA381,UA419,UA457)</f>
        <v>0</v>
      </c>
      <c r="UB510" s="98">
        <f t="shared" si="3653"/>
        <v>0</v>
      </c>
      <c r="UC510" s="98">
        <f t="shared" si="3653"/>
        <v>0</v>
      </c>
      <c r="UD510" s="98">
        <f t="shared" si="3653"/>
        <v>0</v>
      </c>
      <c r="UE510" s="98">
        <f t="shared" si="3653"/>
        <v>0</v>
      </c>
      <c r="UF510" s="98">
        <f t="shared" si="3653"/>
        <v>0</v>
      </c>
      <c r="UG510" s="98">
        <f t="shared" si="3653"/>
        <v>0</v>
      </c>
      <c r="UH510" s="98">
        <f t="shared" si="3653"/>
        <v>0</v>
      </c>
      <c r="UI510" s="98">
        <f t="shared" si="3653"/>
        <v>0</v>
      </c>
      <c r="UJ510" s="98">
        <f t="shared" si="3653"/>
        <v>0</v>
      </c>
      <c r="UK510" s="98">
        <f t="shared" si="3653"/>
        <v>0</v>
      </c>
      <c r="UL510" s="98">
        <f t="shared" si="3653"/>
        <v>0</v>
      </c>
      <c r="UM510" s="98">
        <f t="shared" si="3653"/>
        <v>0</v>
      </c>
      <c r="UN510" s="98">
        <f t="shared" si="3653"/>
        <v>0</v>
      </c>
      <c r="UO510" s="198">
        <f t="shared" si="2702"/>
        <v>0</v>
      </c>
      <c r="UP510" s="198">
        <f t="shared" si="2703"/>
        <v>0</v>
      </c>
      <c r="UQ510" s="98">
        <f t="shared" ref="UQ510:VD510" si="3654">SUM(UQ39,UQ77,UQ115,UQ153,UQ191,UQ229,UQ267,UQ305,UQ343,UQ381,UQ419,UQ457)</f>
        <v>0</v>
      </c>
      <c r="UR510" s="98">
        <f t="shared" si="3654"/>
        <v>0</v>
      </c>
      <c r="US510" s="98">
        <f t="shared" si="3654"/>
        <v>42482</v>
      </c>
      <c r="UT510" s="98">
        <f t="shared" si="3654"/>
        <v>2848330</v>
      </c>
      <c r="UU510" s="98">
        <f t="shared" si="3654"/>
        <v>0</v>
      </c>
      <c r="UV510" s="98">
        <f t="shared" si="3654"/>
        <v>0</v>
      </c>
      <c r="UW510" s="98">
        <f t="shared" si="3654"/>
        <v>0</v>
      </c>
      <c r="UX510" s="98">
        <f t="shared" si="3654"/>
        <v>0</v>
      </c>
      <c r="UY510" s="98">
        <f t="shared" si="3654"/>
        <v>0</v>
      </c>
      <c r="UZ510" s="98">
        <f t="shared" si="3654"/>
        <v>0</v>
      </c>
      <c r="VA510" s="98">
        <f t="shared" si="3654"/>
        <v>0</v>
      </c>
      <c r="VB510" s="98">
        <f t="shared" si="3654"/>
        <v>0</v>
      </c>
      <c r="VC510" s="98">
        <f t="shared" si="3654"/>
        <v>0</v>
      </c>
      <c r="VD510" s="98">
        <f t="shared" si="3654"/>
        <v>0</v>
      </c>
      <c r="VE510" s="198">
        <f t="shared" si="2705"/>
        <v>42482</v>
      </c>
      <c r="VF510" s="198">
        <f t="shared" si="2706"/>
        <v>2848330</v>
      </c>
      <c r="VG510" s="98">
        <f t="shared" ref="VG510:VT510" si="3655">SUM(VG39,VG77,VG115,VG153,VG191,VG229,VG267,VG305,VG343,VG381,VG419,VG457)</f>
        <v>0</v>
      </c>
      <c r="VH510" s="98">
        <f t="shared" si="3655"/>
        <v>0</v>
      </c>
      <c r="VI510" s="98">
        <f t="shared" si="3655"/>
        <v>152928.70000000001</v>
      </c>
      <c r="VJ510" s="98">
        <f t="shared" si="3655"/>
        <v>8411078.5</v>
      </c>
      <c r="VK510" s="98">
        <f t="shared" si="3655"/>
        <v>0</v>
      </c>
      <c r="VL510" s="98">
        <f t="shared" si="3655"/>
        <v>0</v>
      </c>
      <c r="VM510" s="98">
        <f t="shared" si="3655"/>
        <v>0</v>
      </c>
      <c r="VN510" s="98">
        <f t="shared" si="3655"/>
        <v>0</v>
      </c>
      <c r="VO510" s="98">
        <f t="shared" si="3655"/>
        <v>0</v>
      </c>
      <c r="VP510" s="98">
        <f t="shared" si="3655"/>
        <v>0</v>
      </c>
      <c r="VQ510" s="98">
        <f t="shared" si="3655"/>
        <v>0</v>
      </c>
      <c r="VR510" s="98">
        <f t="shared" si="3655"/>
        <v>0</v>
      </c>
      <c r="VS510" s="98">
        <f t="shared" si="3655"/>
        <v>0</v>
      </c>
      <c r="VT510" s="98">
        <f t="shared" si="3655"/>
        <v>0</v>
      </c>
      <c r="VU510" s="198">
        <f t="shared" si="2708"/>
        <v>152928.70000000001</v>
      </c>
      <c r="VV510" s="198">
        <f t="shared" si="2709"/>
        <v>8411078.5</v>
      </c>
      <c r="VW510" s="98">
        <f t="shared" ref="VW510:WJ510" si="3656">SUM(VW39,VW77,VW115,VW153,VW191,VW229,VW267,VW305,VW343,VW381,VW419,VW457)</f>
        <v>0</v>
      </c>
      <c r="VX510" s="98">
        <f t="shared" si="3656"/>
        <v>0</v>
      </c>
      <c r="VY510" s="98">
        <f t="shared" si="3656"/>
        <v>768881</v>
      </c>
      <c r="VZ510" s="98">
        <f t="shared" si="3656"/>
        <v>38245605</v>
      </c>
      <c r="WA510" s="98">
        <f t="shared" si="3656"/>
        <v>0</v>
      </c>
      <c r="WB510" s="98">
        <f t="shared" si="3656"/>
        <v>0</v>
      </c>
      <c r="WC510" s="98">
        <f t="shared" si="3656"/>
        <v>0</v>
      </c>
      <c r="WD510" s="98">
        <f t="shared" si="3656"/>
        <v>0</v>
      </c>
      <c r="WE510" s="98">
        <f t="shared" si="3656"/>
        <v>0</v>
      </c>
      <c r="WF510" s="98">
        <f t="shared" si="3656"/>
        <v>0</v>
      </c>
      <c r="WG510" s="98">
        <f t="shared" si="3656"/>
        <v>0</v>
      </c>
      <c r="WH510" s="98">
        <f t="shared" si="3656"/>
        <v>0</v>
      </c>
      <c r="WI510" s="98">
        <f t="shared" si="3656"/>
        <v>0</v>
      </c>
      <c r="WJ510" s="98">
        <f t="shared" si="3656"/>
        <v>0</v>
      </c>
      <c r="WK510" s="198">
        <f t="shared" si="2711"/>
        <v>768881</v>
      </c>
      <c r="WL510" s="198">
        <f t="shared" si="2712"/>
        <v>38245605</v>
      </c>
      <c r="WN510" s="98">
        <f t="shared" si="2713"/>
        <v>0</v>
      </c>
      <c r="WO510" s="98">
        <f t="shared" si="2714"/>
        <v>0</v>
      </c>
      <c r="WP510" s="98">
        <f t="shared" si="2715"/>
        <v>99298900.497843668</v>
      </c>
      <c r="WQ510" s="98">
        <f t="shared" si="2716"/>
        <v>5403050248.2099533</v>
      </c>
      <c r="WR510" s="98">
        <f t="shared" si="2717"/>
        <v>0</v>
      </c>
      <c r="WS510" s="98">
        <f t="shared" si="2718"/>
        <v>0</v>
      </c>
      <c r="WT510" s="98">
        <f t="shared" si="2719"/>
        <v>12380434</v>
      </c>
      <c r="WU510" s="98">
        <f t="shared" si="2720"/>
        <v>602025678</v>
      </c>
      <c r="WV510" s="98">
        <f t="shared" si="2721"/>
        <v>4616320</v>
      </c>
      <c r="WW510" s="98">
        <f t="shared" si="2722"/>
        <v>229946900</v>
      </c>
      <c r="WX510" s="98">
        <f t="shared" si="2723"/>
        <v>0</v>
      </c>
      <c r="WY510" s="98">
        <f t="shared" si="2724"/>
        <v>0</v>
      </c>
      <c r="WZ510" s="98">
        <f t="shared" si="2725"/>
        <v>0</v>
      </c>
      <c r="XA510" s="98">
        <f t="shared" si="2726"/>
        <v>0</v>
      </c>
      <c r="XB510" s="107">
        <f t="shared" si="2727"/>
        <v>116295654.49784367</v>
      </c>
      <c r="XC510" s="107">
        <f t="shared" si="2728"/>
        <v>6235022826.2099533</v>
      </c>
      <c r="XK510" s="98">
        <f t="shared" si="2729"/>
        <v>614406112</v>
      </c>
      <c r="XL510" s="98">
        <f t="shared" si="2730"/>
        <v>234563220</v>
      </c>
      <c r="XM510" s="98">
        <f t="shared" si="2731"/>
        <v>0</v>
      </c>
      <c r="XN510" s="98">
        <f t="shared" si="2732"/>
        <v>0</v>
      </c>
      <c r="XO510" s="98">
        <f t="shared" si="2733"/>
        <v>6211916007.1077967</v>
      </c>
      <c r="XP510" s="98">
        <f t="shared" si="2734"/>
        <v>0</v>
      </c>
      <c r="XQ510" s="98">
        <f t="shared" si="2735"/>
        <v>4351143990.1077967</v>
      </c>
      <c r="XR510" s="107">
        <f t="shared" ca="1" si="2597"/>
        <v>11267242036.713436</v>
      </c>
      <c r="XT510" s="98">
        <f t="shared" si="2736"/>
        <v>6235022826.2099533</v>
      </c>
      <c r="XU510" s="98">
        <f t="shared" si="2737"/>
        <v>77395493.497843668</v>
      </c>
      <c r="XV510" s="98">
        <f t="shared" si="2738"/>
        <v>5403050248.2099533</v>
      </c>
      <c r="XW510" s="98">
        <f t="shared" si="2739"/>
        <v>12380434</v>
      </c>
      <c r="XX510" s="98">
        <f t="shared" si="2740"/>
        <v>1221048110</v>
      </c>
      <c r="XY510" s="98">
        <f t="shared" si="2741"/>
        <v>229946900</v>
      </c>
      <c r="XZ510" s="98">
        <f t="shared" si="2742"/>
        <v>6211916007.1077967</v>
      </c>
      <c r="YA510" s="107">
        <f t="shared" ca="1" si="2598"/>
        <v>19071037191.527702</v>
      </c>
    </row>
    <row r="511" spans="2:651">
      <c r="B511" s="90" t="str">
        <f t="shared" si="2558"/>
        <v xml:space="preserve">Udang Windu </v>
      </c>
      <c r="C511" s="98">
        <f t="shared" ref="C511:P511" si="3657">SUM(C40,C78,C116,C154,C192,C230,C268,C306,C344,C382,C420,C458)</f>
        <v>0</v>
      </c>
      <c r="D511" s="98">
        <f t="shared" si="3657"/>
        <v>0</v>
      </c>
      <c r="E511" s="98">
        <f t="shared" si="3657"/>
        <v>65100</v>
      </c>
      <c r="F511" s="98">
        <f t="shared" si="3657"/>
        <v>8463000</v>
      </c>
      <c r="G511" s="98">
        <f t="shared" si="3657"/>
        <v>0</v>
      </c>
      <c r="H511" s="98">
        <f t="shared" si="3657"/>
        <v>0</v>
      </c>
      <c r="I511" s="98">
        <f t="shared" si="3657"/>
        <v>0</v>
      </c>
      <c r="J511" s="98">
        <f t="shared" si="3657"/>
        <v>0</v>
      </c>
      <c r="K511" s="98">
        <f t="shared" si="3657"/>
        <v>0</v>
      </c>
      <c r="L511" s="98">
        <f t="shared" si="3657"/>
        <v>0</v>
      </c>
      <c r="M511" s="98">
        <f t="shared" si="3657"/>
        <v>0</v>
      </c>
      <c r="N511" s="98">
        <f t="shared" si="3657"/>
        <v>0</v>
      </c>
      <c r="O511" s="98">
        <f t="shared" si="3657"/>
        <v>0</v>
      </c>
      <c r="P511" s="98">
        <f t="shared" si="3657"/>
        <v>0</v>
      </c>
      <c r="Q511" s="198">
        <f t="shared" si="2600"/>
        <v>65100</v>
      </c>
      <c r="R511" s="198">
        <f t="shared" si="2601"/>
        <v>8463000</v>
      </c>
      <c r="S511" s="98">
        <f t="shared" ref="S511:AF511" si="3658">SUM(S40,S78,S116,S154,S192,S230,S268,S306,S344,S382,S420,S458)</f>
        <v>0</v>
      </c>
      <c r="T511" s="98">
        <f t="shared" si="3658"/>
        <v>0</v>
      </c>
      <c r="U511" s="98">
        <f t="shared" si="3658"/>
        <v>0</v>
      </c>
      <c r="V511" s="98">
        <f t="shared" si="3658"/>
        <v>0</v>
      </c>
      <c r="W511" s="98">
        <f t="shared" si="3658"/>
        <v>0</v>
      </c>
      <c r="X511" s="98">
        <f t="shared" si="3658"/>
        <v>0</v>
      </c>
      <c r="Y511" s="98">
        <f t="shared" si="3658"/>
        <v>0</v>
      </c>
      <c r="Z511" s="98">
        <f t="shared" si="3658"/>
        <v>0</v>
      </c>
      <c r="AA511" s="98">
        <f t="shared" si="3658"/>
        <v>0</v>
      </c>
      <c r="AB511" s="98">
        <f t="shared" si="3658"/>
        <v>0</v>
      </c>
      <c r="AC511" s="98">
        <f t="shared" si="3658"/>
        <v>0</v>
      </c>
      <c r="AD511" s="98">
        <f t="shared" si="3658"/>
        <v>0</v>
      </c>
      <c r="AE511" s="98">
        <f t="shared" si="3658"/>
        <v>0</v>
      </c>
      <c r="AF511" s="98">
        <f t="shared" si="3658"/>
        <v>0</v>
      </c>
      <c r="AG511" s="198">
        <f t="shared" si="2603"/>
        <v>0</v>
      </c>
      <c r="AH511" s="198">
        <f t="shared" si="2604"/>
        <v>0</v>
      </c>
      <c r="AI511" s="98">
        <f t="shared" ref="AI511:AV511" si="3659">SUM(AI40,AI78,AI116,AI154,AI192,AI230,AI268,AI306,AI344,AI382,AI420,AI458)</f>
        <v>0</v>
      </c>
      <c r="AJ511" s="98">
        <f t="shared" si="3659"/>
        <v>0</v>
      </c>
      <c r="AK511" s="98">
        <f t="shared" si="3659"/>
        <v>0</v>
      </c>
      <c r="AL511" s="98">
        <f t="shared" si="3659"/>
        <v>0</v>
      </c>
      <c r="AM511" s="98">
        <f t="shared" si="3659"/>
        <v>0</v>
      </c>
      <c r="AN511" s="98">
        <f t="shared" si="3659"/>
        <v>0</v>
      </c>
      <c r="AO511" s="98">
        <f t="shared" si="3659"/>
        <v>0</v>
      </c>
      <c r="AP511" s="98">
        <f t="shared" si="3659"/>
        <v>0</v>
      </c>
      <c r="AQ511" s="98">
        <f t="shared" si="3659"/>
        <v>0</v>
      </c>
      <c r="AR511" s="98">
        <f t="shared" si="3659"/>
        <v>0</v>
      </c>
      <c r="AS511" s="98">
        <f t="shared" si="3659"/>
        <v>0</v>
      </c>
      <c r="AT511" s="98">
        <f t="shared" si="3659"/>
        <v>0</v>
      </c>
      <c r="AU511" s="98">
        <f t="shared" si="3659"/>
        <v>0</v>
      </c>
      <c r="AV511" s="98">
        <f t="shared" si="3659"/>
        <v>0</v>
      </c>
      <c r="AW511" s="198">
        <f t="shared" si="2606"/>
        <v>0</v>
      </c>
      <c r="AX511" s="198">
        <f t="shared" si="2607"/>
        <v>0</v>
      </c>
      <c r="AY511" s="98">
        <f t="shared" ref="AY511:BL511" si="3660">SUM(AY40,AY78,AY116,AY154,AY192,AY230,AY268,AY306,AY344,AY382,AY420,AY458)</f>
        <v>0</v>
      </c>
      <c r="AZ511" s="98">
        <f t="shared" si="3660"/>
        <v>0</v>
      </c>
      <c r="BA511" s="98">
        <f t="shared" si="3660"/>
        <v>0</v>
      </c>
      <c r="BB511" s="98">
        <f t="shared" si="3660"/>
        <v>0</v>
      </c>
      <c r="BC511" s="98">
        <f t="shared" si="3660"/>
        <v>0</v>
      </c>
      <c r="BD511" s="98">
        <f t="shared" si="3660"/>
        <v>0</v>
      </c>
      <c r="BE511" s="98">
        <f t="shared" si="3660"/>
        <v>0</v>
      </c>
      <c r="BF511" s="98">
        <f t="shared" si="3660"/>
        <v>0</v>
      </c>
      <c r="BG511" s="98">
        <f t="shared" si="3660"/>
        <v>0</v>
      </c>
      <c r="BH511" s="98">
        <f t="shared" si="3660"/>
        <v>0</v>
      </c>
      <c r="BI511" s="98">
        <f t="shared" si="3660"/>
        <v>0</v>
      </c>
      <c r="BJ511" s="98">
        <f t="shared" si="3660"/>
        <v>0</v>
      </c>
      <c r="BK511" s="98">
        <f t="shared" si="3660"/>
        <v>0</v>
      </c>
      <c r="BL511" s="98">
        <f t="shared" si="3660"/>
        <v>0</v>
      </c>
      <c r="BM511" s="198">
        <f t="shared" si="2609"/>
        <v>0</v>
      </c>
      <c r="BN511" s="198">
        <f t="shared" si="2610"/>
        <v>0</v>
      </c>
      <c r="BO511" s="98">
        <f t="shared" ref="BO511:CB511" si="3661">SUM(BO40,BO78,BO116,BO154,BO192,BO230,BO268,BO306,BO344,BO382,BO420,BO458)</f>
        <v>0</v>
      </c>
      <c r="BP511" s="98">
        <f t="shared" si="3661"/>
        <v>0</v>
      </c>
      <c r="BQ511" s="98">
        <f t="shared" si="3661"/>
        <v>0</v>
      </c>
      <c r="BR511" s="98">
        <f t="shared" si="3661"/>
        <v>0</v>
      </c>
      <c r="BS511" s="98">
        <f t="shared" si="3661"/>
        <v>0</v>
      </c>
      <c r="BT511" s="98">
        <f t="shared" si="3661"/>
        <v>0</v>
      </c>
      <c r="BU511" s="98">
        <f t="shared" si="3661"/>
        <v>0</v>
      </c>
      <c r="BV511" s="98">
        <f t="shared" si="3661"/>
        <v>0</v>
      </c>
      <c r="BW511" s="98">
        <f t="shared" si="3661"/>
        <v>0</v>
      </c>
      <c r="BX511" s="98">
        <f t="shared" si="3661"/>
        <v>0</v>
      </c>
      <c r="BY511" s="98">
        <f t="shared" si="3661"/>
        <v>0</v>
      </c>
      <c r="BZ511" s="98">
        <f t="shared" si="3661"/>
        <v>0</v>
      </c>
      <c r="CA511" s="98">
        <f t="shared" si="3661"/>
        <v>0</v>
      </c>
      <c r="CB511" s="98">
        <f t="shared" si="3661"/>
        <v>0</v>
      </c>
      <c r="CC511" s="198">
        <f t="shared" si="2612"/>
        <v>0</v>
      </c>
      <c r="CD511" s="198">
        <f t="shared" si="2613"/>
        <v>0</v>
      </c>
      <c r="CE511" s="98">
        <f t="shared" ref="CE511:CR511" si="3662">SUM(CE40,CE78,CE116,CE154,CE192,CE230,CE268,CE306,CE344,CE382,CE420,CE458)</f>
        <v>0</v>
      </c>
      <c r="CF511" s="98">
        <f t="shared" si="3662"/>
        <v>0</v>
      </c>
      <c r="CG511" s="98">
        <f t="shared" si="3662"/>
        <v>2921895.948956958</v>
      </c>
      <c r="CH511" s="98">
        <f t="shared" si="3662"/>
        <v>266867028.28971636</v>
      </c>
      <c r="CI511" s="98">
        <f t="shared" si="3662"/>
        <v>0</v>
      </c>
      <c r="CJ511" s="98">
        <f t="shared" si="3662"/>
        <v>0</v>
      </c>
      <c r="CK511" s="98">
        <f t="shared" si="3662"/>
        <v>0</v>
      </c>
      <c r="CL511" s="98">
        <f t="shared" si="3662"/>
        <v>0</v>
      </c>
      <c r="CM511" s="98">
        <f t="shared" si="3662"/>
        <v>0</v>
      </c>
      <c r="CN511" s="98">
        <f t="shared" si="3662"/>
        <v>0</v>
      </c>
      <c r="CO511" s="98">
        <f t="shared" si="3662"/>
        <v>0</v>
      </c>
      <c r="CP511" s="98">
        <f t="shared" si="3662"/>
        <v>0</v>
      </c>
      <c r="CQ511" s="98">
        <f t="shared" si="3662"/>
        <v>0</v>
      </c>
      <c r="CR511" s="98">
        <f t="shared" si="3662"/>
        <v>0</v>
      </c>
      <c r="CS511" s="198">
        <f t="shared" si="2615"/>
        <v>2921895.948956958</v>
      </c>
      <c r="CT511" s="198">
        <f t="shared" si="2616"/>
        <v>266867028.28971636</v>
      </c>
      <c r="CU511" s="98">
        <f t="shared" ref="CU511:DH511" si="3663">SUM(CU40,CU78,CU116,CU154,CU192,CU230,CU268,CU306,CU344,CU382,CU420,CU458)</f>
        <v>0</v>
      </c>
      <c r="CV511" s="98">
        <f t="shared" si="3663"/>
        <v>0</v>
      </c>
      <c r="CW511" s="98">
        <f t="shared" si="3663"/>
        <v>0</v>
      </c>
      <c r="CX511" s="98">
        <f t="shared" si="3663"/>
        <v>0</v>
      </c>
      <c r="CY511" s="98">
        <f t="shared" si="3663"/>
        <v>0</v>
      </c>
      <c r="CZ511" s="98">
        <f t="shared" si="3663"/>
        <v>0</v>
      </c>
      <c r="DA511" s="98">
        <f t="shared" si="3663"/>
        <v>0</v>
      </c>
      <c r="DB511" s="98">
        <f t="shared" si="3663"/>
        <v>0</v>
      </c>
      <c r="DC511" s="98">
        <f t="shared" si="3663"/>
        <v>0</v>
      </c>
      <c r="DD511" s="98">
        <f t="shared" si="3663"/>
        <v>0</v>
      </c>
      <c r="DE511" s="98">
        <f t="shared" si="3663"/>
        <v>0</v>
      </c>
      <c r="DF511" s="98">
        <f t="shared" si="3663"/>
        <v>0</v>
      </c>
      <c r="DG511" s="98">
        <f t="shared" si="3663"/>
        <v>0</v>
      </c>
      <c r="DH511" s="98">
        <f t="shared" si="3663"/>
        <v>0</v>
      </c>
      <c r="DI511" s="198">
        <f t="shared" si="2618"/>
        <v>0</v>
      </c>
      <c r="DJ511" s="198">
        <f t="shared" si="2619"/>
        <v>0</v>
      </c>
      <c r="DK511" s="98">
        <f t="shared" ref="DK511:DX511" si="3664">SUM(DK40,DK78,DK116,DK154,DK192,DK230,DK268,DK306,DK344,DK382,DK420,DK458)</f>
        <v>0</v>
      </c>
      <c r="DL511" s="98">
        <f t="shared" si="3664"/>
        <v>0</v>
      </c>
      <c r="DM511" s="98">
        <f t="shared" si="3664"/>
        <v>0</v>
      </c>
      <c r="DN511" s="98">
        <f t="shared" si="3664"/>
        <v>0</v>
      </c>
      <c r="DO511" s="98">
        <f t="shared" si="3664"/>
        <v>0</v>
      </c>
      <c r="DP511" s="98">
        <f t="shared" si="3664"/>
        <v>0</v>
      </c>
      <c r="DQ511" s="98">
        <f t="shared" si="3664"/>
        <v>0</v>
      </c>
      <c r="DR511" s="98">
        <f t="shared" si="3664"/>
        <v>0</v>
      </c>
      <c r="DS511" s="98">
        <f t="shared" si="3664"/>
        <v>0</v>
      </c>
      <c r="DT511" s="98">
        <f t="shared" si="3664"/>
        <v>0</v>
      </c>
      <c r="DU511" s="98">
        <f t="shared" si="3664"/>
        <v>0</v>
      </c>
      <c r="DV511" s="98">
        <f t="shared" si="3664"/>
        <v>0</v>
      </c>
      <c r="DW511" s="98">
        <f t="shared" si="3664"/>
        <v>0</v>
      </c>
      <c r="DX511" s="98">
        <f t="shared" si="3664"/>
        <v>0</v>
      </c>
      <c r="DY511" s="198">
        <f t="shared" si="2621"/>
        <v>0</v>
      </c>
      <c r="DZ511" s="198">
        <f t="shared" si="2622"/>
        <v>0</v>
      </c>
      <c r="EA511" s="98">
        <f t="shared" ref="EA511:EN511" si="3665">SUM(EA40,EA78,EA116,EA154,EA192,EA230,EA268,EA306,EA344,EA382,EA420,EA458)</f>
        <v>0</v>
      </c>
      <c r="EB511" s="98">
        <f t="shared" si="3665"/>
        <v>0</v>
      </c>
      <c r="EC511" s="98">
        <f t="shared" si="3665"/>
        <v>0</v>
      </c>
      <c r="ED511" s="98">
        <f t="shared" si="3665"/>
        <v>0</v>
      </c>
      <c r="EE511" s="98">
        <f t="shared" si="3665"/>
        <v>0</v>
      </c>
      <c r="EF511" s="98">
        <f t="shared" si="3665"/>
        <v>0</v>
      </c>
      <c r="EG511" s="98">
        <f t="shared" si="3665"/>
        <v>0</v>
      </c>
      <c r="EH511" s="98">
        <f t="shared" si="3665"/>
        <v>0</v>
      </c>
      <c r="EI511" s="98">
        <f t="shared" si="3665"/>
        <v>0</v>
      </c>
      <c r="EJ511" s="98">
        <f t="shared" si="3665"/>
        <v>0</v>
      </c>
      <c r="EK511" s="98">
        <f t="shared" si="3665"/>
        <v>0</v>
      </c>
      <c r="EL511" s="98">
        <f t="shared" si="3665"/>
        <v>0</v>
      </c>
      <c r="EM511" s="98">
        <f t="shared" si="3665"/>
        <v>0</v>
      </c>
      <c r="EN511" s="98">
        <f t="shared" si="3665"/>
        <v>0</v>
      </c>
      <c r="EO511" s="198">
        <f t="shared" si="2624"/>
        <v>0</v>
      </c>
      <c r="EP511" s="198">
        <f t="shared" si="2625"/>
        <v>0</v>
      </c>
      <c r="EQ511" s="98">
        <f t="shared" ref="EQ511:FD511" si="3666">SUM(EQ40,EQ78,EQ116,EQ154,EQ192,EQ230,EQ268,EQ306,EQ344,EQ382,EQ420,EQ458)</f>
        <v>0</v>
      </c>
      <c r="ER511" s="98">
        <f t="shared" si="3666"/>
        <v>0</v>
      </c>
      <c r="ES511" s="98">
        <f t="shared" si="3666"/>
        <v>0</v>
      </c>
      <c r="ET511" s="98">
        <f t="shared" si="3666"/>
        <v>0</v>
      </c>
      <c r="EU511" s="98">
        <f t="shared" si="3666"/>
        <v>0</v>
      </c>
      <c r="EV511" s="98">
        <f t="shared" si="3666"/>
        <v>0</v>
      </c>
      <c r="EW511" s="98">
        <f t="shared" si="3666"/>
        <v>0</v>
      </c>
      <c r="EX511" s="98">
        <f t="shared" si="3666"/>
        <v>0</v>
      </c>
      <c r="EY511" s="98">
        <f t="shared" si="3666"/>
        <v>0</v>
      </c>
      <c r="EZ511" s="98">
        <f t="shared" si="3666"/>
        <v>0</v>
      </c>
      <c r="FA511" s="98">
        <f t="shared" si="3666"/>
        <v>0</v>
      </c>
      <c r="FB511" s="98">
        <f t="shared" si="3666"/>
        <v>0</v>
      </c>
      <c r="FC511" s="98">
        <f t="shared" si="3666"/>
        <v>0</v>
      </c>
      <c r="FD511" s="98">
        <f t="shared" si="3666"/>
        <v>0</v>
      </c>
      <c r="FE511" s="198">
        <f t="shared" si="2627"/>
        <v>0</v>
      </c>
      <c r="FF511" s="198">
        <f t="shared" si="2628"/>
        <v>0</v>
      </c>
      <c r="FG511" s="98">
        <f t="shared" ref="FG511:FT511" si="3667">SUM(FG40,FG78,FG116,FG154,FG192,FG230,FG268,FG306,FG344,FG382,FG420,FG458)</f>
        <v>0</v>
      </c>
      <c r="FH511" s="98">
        <f t="shared" si="3667"/>
        <v>0</v>
      </c>
      <c r="FI511" s="98">
        <f t="shared" si="3667"/>
        <v>0</v>
      </c>
      <c r="FJ511" s="98">
        <f t="shared" si="3667"/>
        <v>0</v>
      </c>
      <c r="FK511" s="98">
        <f t="shared" si="3667"/>
        <v>0</v>
      </c>
      <c r="FL511" s="98">
        <f t="shared" si="3667"/>
        <v>0</v>
      </c>
      <c r="FM511" s="98">
        <f t="shared" si="3667"/>
        <v>0</v>
      </c>
      <c r="FN511" s="98">
        <f t="shared" si="3667"/>
        <v>0</v>
      </c>
      <c r="FO511" s="98">
        <f t="shared" si="3667"/>
        <v>0</v>
      </c>
      <c r="FP511" s="98">
        <f t="shared" si="3667"/>
        <v>0</v>
      </c>
      <c r="FQ511" s="98">
        <f t="shared" si="3667"/>
        <v>0</v>
      </c>
      <c r="FR511" s="98">
        <f t="shared" si="3667"/>
        <v>0</v>
      </c>
      <c r="FS511" s="98">
        <f t="shared" si="3667"/>
        <v>0</v>
      </c>
      <c r="FT511" s="98">
        <f t="shared" si="3667"/>
        <v>0</v>
      </c>
      <c r="FU511" s="198">
        <f t="shared" si="2630"/>
        <v>0</v>
      </c>
      <c r="FV511" s="198">
        <f t="shared" si="2631"/>
        <v>0</v>
      </c>
      <c r="FW511" s="98">
        <f t="shared" ref="FW511:GJ511" si="3668">SUM(FW40,FW78,FW116,FW154,FW192,FW230,FW268,FW306,FW344,FW382,FW420,FW458)</f>
        <v>0</v>
      </c>
      <c r="FX511" s="98">
        <f t="shared" si="3668"/>
        <v>0</v>
      </c>
      <c r="FY511" s="98">
        <f t="shared" si="3668"/>
        <v>0</v>
      </c>
      <c r="FZ511" s="98">
        <f t="shared" si="3668"/>
        <v>0</v>
      </c>
      <c r="GA511" s="98">
        <f t="shared" si="3668"/>
        <v>0</v>
      </c>
      <c r="GB511" s="98">
        <f t="shared" si="3668"/>
        <v>0</v>
      </c>
      <c r="GC511" s="98">
        <f t="shared" si="3668"/>
        <v>0</v>
      </c>
      <c r="GD511" s="98">
        <f t="shared" si="3668"/>
        <v>0</v>
      </c>
      <c r="GE511" s="98">
        <f t="shared" si="3668"/>
        <v>0</v>
      </c>
      <c r="GF511" s="98">
        <f t="shared" si="3668"/>
        <v>0</v>
      </c>
      <c r="GG511" s="98">
        <f t="shared" si="3668"/>
        <v>0</v>
      </c>
      <c r="GH511" s="98">
        <f t="shared" si="3668"/>
        <v>0</v>
      </c>
      <c r="GI511" s="98">
        <f t="shared" si="3668"/>
        <v>0</v>
      </c>
      <c r="GJ511" s="98">
        <f t="shared" si="3668"/>
        <v>0</v>
      </c>
      <c r="GK511" s="198">
        <f t="shared" si="2633"/>
        <v>0</v>
      </c>
      <c r="GL511" s="198">
        <f t="shared" si="2634"/>
        <v>0</v>
      </c>
      <c r="GM511" s="98">
        <f t="shared" ref="GM511:GZ511" si="3669">SUM(GM40,GM78,GM116,GM154,GM192,GM230,GM268,GM306,GM344,GM382,GM420,GM458)</f>
        <v>0</v>
      </c>
      <c r="GN511" s="98">
        <f t="shared" si="3669"/>
        <v>0</v>
      </c>
      <c r="GO511" s="98">
        <f t="shared" si="3669"/>
        <v>0</v>
      </c>
      <c r="GP511" s="98">
        <f t="shared" si="3669"/>
        <v>0</v>
      </c>
      <c r="GQ511" s="98">
        <f t="shared" si="3669"/>
        <v>0</v>
      </c>
      <c r="GR511" s="98">
        <f t="shared" si="3669"/>
        <v>0</v>
      </c>
      <c r="GS511" s="98">
        <f t="shared" si="3669"/>
        <v>0</v>
      </c>
      <c r="GT511" s="98">
        <f t="shared" si="3669"/>
        <v>0</v>
      </c>
      <c r="GU511" s="98">
        <f t="shared" si="3669"/>
        <v>0</v>
      </c>
      <c r="GV511" s="98">
        <f t="shared" si="3669"/>
        <v>0</v>
      </c>
      <c r="GW511" s="98">
        <f t="shared" si="3669"/>
        <v>0</v>
      </c>
      <c r="GX511" s="98">
        <f t="shared" si="3669"/>
        <v>0</v>
      </c>
      <c r="GY511" s="98">
        <f t="shared" si="3669"/>
        <v>0</v>
      </c>
      <c r="GZ511" s="98">
        <f t="shared" si="3669"/>
        <v>0</v>
      </c>
      <c r="HA511" s="198">
        <f t="shared" si="2636"/>
        <v>0</v>
      </c>
      <c r="HB511" s="198">
        <f t="shared" si="2637"/>
        <v>0</v>
      </c>
      <c r="HC511" s="98">
        <f t="shared" ref="HC511:HP511" si="3670">SUM(HC40,HC78,HC116,HC154,HC192,HC230,HC268,HC306,HC344,HC382,HC420,HC458)</f>
        <v>0</v>
      </c>
      <c r="HD511" s="98">
        <f t="shared" si="3670"/>
        <v>0</v>
      </c>
      <c r="HE511" s="98">
        <f t="shared" si="3670"/>
        <v>0</v>
      </c>
      <c r="HF511" s="98">
        <f t="shared" si="3670"/>
        <v>0</v>
      </c>
      <c r="HG511" s="98">
        <f t="shared" si="3670"/>
        <v>0</v>
      </c>
      <c r="HH511" s="98">
        <f t="shared" si="3670"/>
        <v>0</v>
      </c>
      <c r="HI511" s="98">
        <f t="shared" si="3670"/>
        <v>0</v>
      </c>
      <c r="HJ511" s="98">
        <f t="shared" si="3670"/>
        <v>0</v>
      </c>
      <c r="HK511" s="98">
        <f t="shared" si="3670"/>
        <v>0</v>
      </c>
      <c r="HL511" s="98">
        <f t="shared" si="3670"/>
        <v>0</v>
      </c>
      <c r="HM511" s="98">
        <f t="shared" si="3670"/>
        <v>0</v>
      </c>
      <c r="HN511" s="98">
        <f t="shared" si="3670"/>
        <v>0</v>
      </c>
      <c r="HO511" s="98">
        <f t="shared" si="3670"/>
        <v>0</v>
      </c>
      <c r="HP511" s="98">
        <f t="shared" si="3670"/>
        <v>0</v>
      </c>
      <c r="HQ511" s="198">
        <f t="shared" si="2639"/>
        <v>0</v>
      </c>
      <c r="HR511" s="198">
        <f t="shared" si="2640"/>
        <v>0</v>
      </c>
      <c r="HS511" s="98">
        <f t="shared" ref="HS511:IF511" si="3671">SUM(HS40,HS78,HS116,HS154,HS192,HS230,HS268,HS306,HS344,HS382,HS420,HS458)</f>
        <v>0</v>
      </c>
      <c r="HT511" s="98">
        <f t="shared" si="3671"/>
        <v>0</v>
      </c>
      <c r="HU511" s="98">
        <f t="shared" si="3671"/>
        <v>0</v>
      </c>
      <c r="HV511" s="98">
        <f t="shared" si="3671"/>
        <v>0</v>
      </c>
      <c r="HW511" s="98">
        <f t="shared" si="3671"/>
        <v>0</v>
      </c>
      <c r="HX511" s="98">
        <f t="shared" si="3671"/>
        <v>0</v>
      </c>
      <c r="HY511" s="98">
        <f t="shared" si="3671"/>
        <v>0</v>
      </c>
      <c r="HZ511" s="98">
        <f t="shared" si="3671"/>
        <v>0</v>
      </c>
      <c r="IA511" s="98">
        <f t="shared" si="3671"/>
        <v>0</v>
      </c>
      <c r="IB511" s="98">
        <f t="shared" si="3671"/>
        <v>0</v>
      </c>
      <c r="IC511" s="98">
        <f t="shared" si="3671"/>
        <v>0</v>
      </c>
      <c r="ID511" s="98">
        <f t="shared" si="3671"/>
        <v>0</v>
      </c>
      <c r="IE511" s="98">
        <f t="shared" si="3671"/>
        <v>0</v>
      </c>
      <c r="IF511" s="98">
        <f t="shared" si="3671"/>
        <v>0</v>
      </c>
      <c r="IG511" s="198">
        <f t="shared" si="2642"/>
        <v>0</v>
      </c>
      <c r="IH511" s="198">
        <f t="shared" si="2643"/>
        <v>0</v>
      </c>
      <c r="II511" s="98">
        <f t="shared" ref="II511:IV511" si="3672">SUM(II40,II78,II116,II154,II192,II230,II268,II306,II344,II382,II420,II458)</f>
        <v>0</v>
      </c>
      <c r="IJ511" s="98">
        <f t="shared" si="3672"/>
        <v>0</v>
      </c>
      <c r="IK511" s="98">
        <f t="shared" si="3672"/>
        <v>0</v>
      </c>
      <c r="IL511" s="98">
        <f t="shared" si="3672"/>
        <v>0</v>
      </c>
      <c r="IM511" s="98">
        <f t="shared" si="3672"/>
        <v>0</v>
      </c>
      <c r="IN511" s="98">
        <f t="shared" si="3672"/>
        <v>0</v>
      </c>
      <c r="IO511" s="98">
        <f t="shared" si="3672"/>
        <v>0</v>
      </c>
      <c r="IP511" s="98">
        <f t="shared" si="3672"/>
        <v>0</v>
      </c>
      <c r="IQ511" s="98">
        <f t="shared" si="3672"/>
        <v>0</v>
      </c>
      <c r="IR511" s="98">
        <f t="shared" si="3672"/>
        <v>0</v>
      </c>
      <c r="IS511" s="98">
        <f t="shared" si="3672"/>
        <v>0</v>
      </c>
      <c r="IT511" s="98">
        <f t="shared" si="3672"/>
        <v>0</v>
      </c>
      <c r="IU511" s="98">
        <f t="shared" si="3672"/>
        <v>0</v>
      </c>
      <c r="IV511" s="98">
        <f t="shared" si="3672"/>
        <v>0</v>
      </c>
      <c r="IW511" s="198">
        <f t="shared" si="2645"/>
        <v>0</v>
      </c>
      <c r="IX511" s="198">
        <f t="shared" si="2646"/>
        <v>0</v>
      </c>
      <c r="IY511" s="98">
        <f t="shared" ref="IY511:JL511" si="3673">SUM(IY40,IY78,IY116,IY154,IY192,IY230,IY268,IY306,IY344,IY382,IY420,IY458)</f>
        <v>0</v>
      </c>
      <c r="IZ511" s="98">
        <f t="shared" si="3673"/>
        <v>0</v>
      </c>
      <c r="JA511" s="98">
        <f t="shared" si="3673"/>
        <v>0</v>
      </c>
      <c r="JB511" s="98">
        <f t="shared" si="3673"/>
        <v>0</v>
      </c>
      <c r="JC511" s="98">
        <f t="shared" si="3673"/>
        <v>0</v>
      </c>
      <c r="JD511" s="98">
        <f t="shared" si="3673"/>
        <v>0</v>
      </c>
      <c r="JE511" s="98">
        <f t="shared" si="3673"/>
        <v>0</v>
      </c>
      <c r="JF511" s="98">
        <f t="shared" si="3673"/>
        <v>0</v>
      </c>
      <c r="JG511" s="98">
        <f t="shared" si="3673"/>
        <v>0</v>
      </c>
      <c r="JH511" s="98">
        <f t="shared" si="3673"/>
        <v>0</v>
      </c>
      <c r="JI511" s="98">
        <f t="shared" si="3673"/>
        <v>0</v>
      </c>
      <c r="JJ511" s="98">
        <f t="shared" si="3673"/>
        <v>0</v>
      </c>
      <c r="JK511" s="98">
        <f t="shared" si="3673"/>
        <v>0</v>
      </c>
      <c r="JL511" s="98">
        <f t="shared" si="3673"/>
        <v>0</v>
      </c>
      <c r="JM511" s="198">
        <f t="shared" si="2648"/>
        <v>0</v>
      </c>
      <c r="JN511" s="198">
        <f t="shared" si="2649"/>
        <v>0</v>
      </c>
      <c r="JO511" s="98">
        <f t="shared" ref="JO511:KB511" si="3674">SUM(JO40,JO78,JO116,JO154,JO192,JO230,JO268,JO306,JO344,JO382,JO420,JO458)</f>
        <v>0</v>
      </c>
      <c r="JP511" s="98">
        <f t="shared" si="3674"/>
        <v>0</v>
      </c>
      <c r="JQ511" s="98">
        <f t="shared" si="3674"/>
        <v>0</v>
      </c>
      <c r="JR511" s="98">
        <f t="shared" si="3674"/>
        <v>0</v>
      </c>
      <c r="JS511" s="98">
        <f t="shared" si="3674"/>
        <v>0</v>
      </c>
      <c r="JT511" s="98">
        <f t="shared" si="3674"/>
        <v>0</v>
      </c>
      <c r="JU511" s="98">
        <f t="shared" si="3674"/>
        <v>0</v>
      </c>
      <c r="JV511" s="98">
        <f t="shared" si="3674"/>
        <v>0</v>
      </c>
      <c r="JW511" s="98">
        <f t="shared" si="3674"/>
        <v>0</v>
      </c>
      <c r="JX511" s="98">
        <f t="shared" si="3674"/>
        <v>0</v>
      </c>
      <c r="JY511" s="98">
        <f t="shared" si="3674"/>
        <v>0</v>
      </c>
      <c r="JZ511" s="98">
        <f t="shared" si="3674"/>
        <v>0</v>
      </c>
      <c r="KA511" s="98">
        <f t="shared" si="3674"/>
        <v>0</v>
      </c>
      <c r="KB511" s="98">
        <f t="shared" si="3674"/>
        <v>0</v>
      </c>
      <c r="KC511" s="198">
        <f t="shared" si="2651"/>
        <v>0</v>
      </c>
      <c r="KD511" s="198">
        <f t="shared" si="2652"/>
        <v>0</v>
      </c>
      <c r="KE511" s="98">
        <f t="shared" ref="KE511:KR511" si="3675">SUM(KE40,KE78,KE116,KE154,KE192,KE230,KE268,KE306,KE344,KE382,KE420,KE458)</f>
        <v>0</v>
      </c>
      <c r="KF511" s="98">
        <f t="shared" si="3675"/>
        <v>0</v>
      </c>
      <c r="KG511" s="98">
        <f t="shared" si="3675"/>
        <v>0</v>
      </c>
      <c r="KH511" s="98">
        <f t="shared" si="3675"/>
        <v>0</v>
      </c>
      <c r="KI511" s="98">
        <f t="shared" si="3675"/>
        <v>0</v>
      </c>
      <c r="KJ511" s="98">
        <f t="shared" si="3675"/>
        <v>0</v>
      </c>
      <c r="KK511" s="98">
        <f t="shared" si="3675"/>
        <v>0</v>
      </c>
      <c r="KL511" s="98">
        <f t="shared" si="3675"/>
        <v>0</v>
      </c>
      <c r="KM511" s="98">
        <f t="shared" si="3675"/>
        <v>0</v>
      </c>
      <c r="KN511" s="98">
        <f t="shared" si="3675"/>
        <v>0</v>
      </c>
      <c r="KO511" s="98">
        <f t="shared" si="3675"/>
        <v>0</v>
      </c>
      <c r="KP511" s="98">
        <f t="shared" si="3675"/>
        <v>0</v>
      </c>
      <c r="KQ511" s="98">
        <f t="shared" si="3675"/>
        <v>0</v>
      </c>
      <c r="KR511" s="98">
        <f t="shared" si="3675"/>
        <v>0</v>
      </c>
      <c r="KS511" s="198">
        <f t="shared" si="2654"/>
        <v>0</v>
      </c>
      <c r="KT511" s="198">
        <f t="shared" si="2655"/>
        <v>0</v>
      </c>
      <c r="KU511" s="98">
        <f t="shared" ref="KU511:LH511" si="3676">SUM(KU40,KU78,KU116,KU154,KU192,KU230,KU268,KU306,KU344,KU382,KU420,KU458)</f>
        <v>0</v>
      </c>
      <c r="KV511" s="98">
        <f t="shared" si="3676"/>
        <v>0</v>
      </c>
      <c r="KW511" s="98">
        <f t="shared" si="3676"/>
        <v>31873.879999999994</v>
      </c>
      <c r="KX511" s="98">
        <f t="shared" si="3676"/>
        <v>2981006</v>
      </c>
      <c r="KY511" s="98">
        <f t="shared" si="3676"/>
        <v>0</v>
      </c>
      <c r="KZ511" s="98">
        <f t="shared" si="3676"/>
        <v>0</v>
      </c>
      <c r="LA511" s="98">
        <f t="shared" si="3676"/>
        <v>0</v>
      </c>
      <c r="LB511" s="98">
        <f t="shared" si="3676"/>
        <v>0</v>
      </c>
      <c r="LC511" s="98">
        <f t="shared" si="3676"/>
        <v>0</v>
      </c>
      <c r="LD511" s="98">
        <f t="shared" si="3676"/>
        <v>0</v>
      </c>
      <c r="LE511" s="98">
        <f t="shared" si="3676"/>
        <v>0</v>
      </c>
      <c r="LF511" s="98">
        <f t="shared" si="3676"/>
        <v>0</v>
      </c>
      <c r="LG511" s="98">
        <f t="shared" si="3676"/>
        <v>0</v>
      </c>
      <c r="LH511" s="98">
        <f t="shared" si="3676"/>
        <v>0</v>
      </c>
      <c r="LI511" s="198">
        <f t="shared" si="2657"/>
        <v>31873.879999999994</v>
      </c>
      <c r="LJ511" s="198">
        <f t="shared" si="2658"/>
        <v>2981006</v>
      </c>
      <c r="LK511" s="98">
        <f t="shared" ref="LK511:LX511" si="3677">SUM(LK40,LK78,LK116,LK154,LK192,LK230,LK268,LK306,LK344,LK382,LK420,LK458)</f>
        <v>0</v>
      </c>
      <c r="LL511" s="98">
        <f t="shared" si="3677"/>
        <v>0</v>
      </c>
      <c r="LM511" s="98">
        <f t="shared" si="3677"/>
        <v>0</v>
      </c>
      <c r="LN511" s="98">
        <f t="shared" si="3677"/>
        <v>0</v>
      </c>
      <c r="LO511" s="98">
        <f t="shared" si="3677"/>
        <v>0</v>
      </c>
      <c r="LP511" s="98">
        <f t="shared" si="3677"/>
        <v>0</v>
      </c>
      <c r="LQ511" s="98">
        <f t="shared" si="3677"/>
        <v>0</v>
      </c>
      <c r="LR511" s="98">
        <f t="shared" si="3677"/>
        <v>0</v>
      </c>
      <c r="LS511" s="98">
        <f t="shared" si="3677"/>
        <v>0</v>
      </c>
      <c r="LT511" s="98">
        <f t="shared" si="3677"/>
        <v>0</v>
      </c>
      <c r="LU511" s="98">
        <f t="shared" si="3677"/>
        <v>0</v>
      </c>
      <c r="LV511" s="98">
        <f t="shared" si="3677"/>
        <v>0</v>
      </c>
      <c r="LW511" s="98">
        <f t="shared" si="3677"/>
        <v>0</v>
      </c>
      <c r="LX511" s="98">
        <f t="shared" si="3677"/>
        <v>0</v>
      </c>
      <c r="LY511" s="198">
        <f t="shared" si="2660"/>
        <v>0</v>
      </c>
      <c r="LZ511" s="198">
        <f t="shared" si="2661"/>
        <v>0</v>
      </c>
      <c r="MA511" s="98">
        <f t="shared" ref="MA511:MN511" si="3678">SUM(MA40,MA78,MA116,MA154,MA192,MA230,MA268,MA306,MA344,MA382,MA420,MA458)</f>
        <v>0</v>
      </c>
      <c r="MB511" s="98">
        <f t="shared" si="3678"/>
        <v>0</v>
      </c>
      <c r="MC511" s="98">
        <f t="shared" si="3678"/>
        <v>0</v>
      </c>
      <c r="MD511" s="98">
        <f t="shared" si="3678"/>
        <v>0</v>
      </c>
      <c r="ME511" s="98">
        <f t="shared" si="3678"/>
        <v>0</v>
      </c>
      <c r="MF511" s="98">
        <f t="shared" si="3678"/>
        <v>0</v>
      </c>
      <c r="MG511" s="98">
        <f t="shared" si="3678"/>
        <v>0</v>
      </c>
      <c r="MH511" s="98">
        <f t="shared" si="3678"/>
        <v>0</v>
      </c>
      <c r="MI511" s="98">
        <f t="shared" si="3678"/>
        <v>0</v>
      </c>
      <c r="MJ511" s="98">
        <f t="shared" si="3678"/>
        <v>0</v>
      </c>
      <c r="MK511" s="98">
        <f t="shared" si="3678"/>
        <v>0</v>
      </c>
      <c r="ML511" s="98">
        <f t="shared" si="3678"/>
        <v>0</v>
      </c>
      <c r="MM511" s="98">
        <f t="shared" si="3678"/>
        <v>0</v>
      </c>
      <c r="MN511" s="98">
        <f t="shared" si="3678"/>
        <v>0</v>
      </c>
      <c r="MO511" s="198">
        <f t="shared" si="2663"/>
        <v>0</v>
      </c>
      <c r="MP511" s="198">
        <f t="shared" si="2664"/>
        <v>0</v>
      </c>
      <c r="MQ511" s="98">
        <f t="shared" ref="MQ511:ND511" si="3679">SUM(MQ40,MQ78,MQ116,MQ154,MQ192,MQ230,MQ268,MQ306,MQ344,MQ382,MQ420,MQ458)</f>
        <v>0</v>
      </c>
      <c r="MR511" s="98">
        <f t="shared" si="3679"/>
        <v>0</v>
      </c>
      <c r="MS511" s="98">
        <f t="shared" si="3679"/>
        <v>11000</v>
      </c>
      <c r="MT511" s="98">
        <f t="shared" si="3679"/>
        <v>880000</v>
      </c>
      <c r="MU511" s="98">
        <f t="shared" si="3679"/>
        <v>0</v>
      </c>
      <c r="MV511" s="98">
        <f t="shared" si="3679"/>
        <v>0</v>
      </c>
      <c r="MW511" s="98">
        <f t="shared" si="3679"/>
        <v>0</v>
      </c>
      <c r="MX511" s="98">
        <f t="shared" si="3679"/>
        <v>0</v>
      </c>
      <c r="MY511" s="98">
        <f t="shared" si="3679"/>
        <v>0</v>
      </c>
      <c r="MZ511" s="98">
        <f t="shared" si="3679"/>
        <v>0</v>
      </c>
      <c r="NA511" s="98">
        <f t="shared" si="3679"/>
        <v>0</v>
      </c>
      <c r="NB511" s="98">
        <f t="shared" si="3679"/>
        <v>0</v>
      </c>
      <c r="NC511" s="98">
        <f t="shared" si="3679"/>
        <v>0</v>
      </c>
      <c r="ND511" s="98">
        <f t="shared" si="3679"/>
        <v>0</v>
      </c>
      <c r="NE511" s="198">
        <f t="shared" si="2666"/>
        <v>11000</v>
      </c>
      <c r="NF511" s="198">
        <f t="shared" si="2667"/>
        <v>880000</v>
      </c>
      <c r="NG511" s="98">
        <f t="shared" ref="NG511:NT511" si="3680">SUM(NG40,NG78,NG116,NG154,NG192,NG230,NG268,NG306,NG344,NG382,NG420,NG458)</f>
        <v>0</v>
      </c>
      <c r="NH511" s="98">
        <f t="shared" si="3680"/>
        <v>0</v>
      </c>
      <c r="NI511" s="98">
        <f t="shared" si="3680"/>
        <v>4042500</v>
      </c>
      <c r="NJ511" s="98">
        <f t="shared" si="3680"/>
        <v>363825000</v>
      </c>
      <c r="NK511" s="98">
        <f t="shared" si="3680"/>
        <v>0</v>
      </c>
      <c r="NL511" s="98">
        <f t="shared" si="3680"/>
        <v>0</v>
      </c>
      <c r="NM511" s="98">
        <f t="shared" si="3680"/>
        <v>0</v>
      </c>
      <c r="NN511" s="98">
        <f t="shared" si="3680"/>
        <v>0</v>
      </c>
      <c r="NO511" s="98">
        <f t="shared" si="3680"/>
        <v>0</v>
      </c>
      <c r="NP511" s="98">
        <f t="shared" si="3680"/>
        <v>0</v>
      </c>
      <c r="NQ511" s="98">
        <f t="shared" si="3680"/>
        <v>0</v>
      </c>
      <c r="NR511" s="98">
        <f t="shared" si="3680"/>
        <v>0</v>
      </c>
      <c r="NS511" s="98">
        <f t="shared" si="3680"/>
        <v>0</v>
      </c>
      <c r="NT511" s="98">
        <f t="shared" si="3680"/>
        <v>0</v>
      </c>
      <c r="NU511" s="198">
        <f t="shared" si="2669"/>
        <v>4042500</v>
      </c>
      <c r="NV511" s="198">
        <f t="shared" si="2670"/>
        <v>363825000</v>
      </c>
      <c r="NW511" s="98">
        <f t="shared" ref="NW511:OJ511" si="3681">SUM(NW40,NW78,NW116,NW154,NW192,NW230,NW268,NW306,NW344,NW382,NW420,NW458)</f>
        <v>0</v>
      </c>
      <c r="NX511" s="98">
        <f t="shared" si="3681"/>
        <v>0</v>
      </c>
      <c r="NY511" s="98">
        <f t="shared" si="3681"/>
        <v>697</v>
      </c>
      <c r="NZ511" s="98">
        <f t="shared" si="3681"/>
        <v>104550</v>
      </c>
      <c r="OA511" s="98">
        <f t="shared" si="3681"/>
        <v>0</v>
      </c>
      <c r="OB511" s="98">
        <f t="shared" si="3681"/>
        <v>0</v>
      </c>
      <c r="OC511" s="98">
        <f t="shared" si="3681"/>
        <v>0</v>
      </c>
      <c r="OD511" s="98">
        <f t="shared" si="3681"/>
        <v>0</v>
      </c>
      <c r="OE511" s="98">
        <f t="shared" si="3681"/>
        <v>0</v>
      </c>
      <c r="OF511" s="98">
        <f t="shared" si="3681"/>
        <v>0</v>
      </c>
      <c r="OG511" s="98">
        <f t="shared" si="3681"/>
        <v>0</v>
      </c>
      <c r="OH511" s="98">
        <f t="shared" si="3681"/>
        <v>0</v>
      </c>
      <c r="OI511" s="98">
        <f t="shared" si="3681"/>
        <v>0</v>
      </c>
      <c r="OJ511" s="98">
        <f t="shared" si="3681"/>
        <v>0</v>
      </c>
      <c r="OK511" s="198">
        <f t="shared" si="2672"/>
        <v>697</v>
      </c>
      <c r="OL511" s="198">
        <f t="shared" si="2673"/>
        <v>104550</v>
      </c>
      <c r="OM511" s="98">
        <f t="shared" ref="OM511:OZ511" si="3682">SUM(OM40,OM78,OM116,OM154,OM192,OM230,OM268,OM306,OM344,OM382,OM420,OM458)</f>
        <v>0</v>
      </c>
      <c r="ON511" s="98">
        <f t="shared" si="3682"/>
        <v>0</v>
      </c>
      <c r="OO511" s="98">
        <f t="shared" si="3682"/>
        <v>0</v>
      </c>
      <c r="OP511" s="98">
        <f t="shared" si="3682"/>
        <v>0</v>
      </c>
      <c r="OQ511" s="98">
        <f t="shared" si="3682"/>
        <v>0</v>
      </c>
      <c r="OR511" s="98">
        <f t="shared" si="3682"/>
        <v>0</v>
      </c>
      <c r="OS511" s="98">
        <f t="shared" si="3682"/>
        <v>0</v>
      </c>
      <c r="OT511" s="98">
        <f t="shared" si="3682"/>
        <v>0</v>
      </c>
      <c r="OU511" s="98">
        <f t="shared" si="3682"/>
        <v>0</v>
      </c>
      <c r="OV511" s="98">
        <f t="shared" si="3682"/>
        <v>0</v>
      </c>
      <c r="OW511" s="98">
        <f t="shared" si="3682"/>
        <v>0</v>
      </c>
      <c r="OX511" s="98">
        <f t="shared" si="3682"/>
        <v>0</v>
      </c>
      <c r="OY511" s="98">
        <f t="shared" si="3682"/>
        <v>0</v>
      </c>
      <c r="OZ511" s="98">
        <f t="shared" si="3682"/>
        <v>0</v>
      </c>
      <c r="PA511" s="198">
        <f t="shared" si="2675"/>
        <v>0</v>
      </c>
      <c r="PB511" s="198">
        <f t="shared" si="2676"/>
        <v>0</v>
      </c>
      <c r="PC511" s="98">
        <f t="shared" ref="PC511:PP511" si="3683">SUM(PC40,PC78,PC116,PC154,PC192,PC230,PC268,PC306,PC344,PC382,PC420,PC458)</f>
        <v>0</v>
      </c>
      <c r="PD511" s="98">
        <f t="shared" si="3683"/>
        <v>0</v>
      </c>
      <c r="PE511" s="98">
        <f t="shared" si="3683"/>
        <v>0</v>
      </c>
      <c r="PF511" s="98">
        <f t="shared" si="3683"/>
        <v>0</v>
      </c>
      <c r="PG511" s="98">
        <f t="shared" si="3683"/>
        <v>0</v>
      </c>
      <c r="PH511" s="98">
        <f t="shared" si="3683"/>
        <v>0</v>
      </c>
      <c r="PI511" s="98">
        <f t="shared" si="3683"/>
        <v>0</v>
      </c>
      <c r="PJ511" s="98">
        <f t="shared" si="3683"/>
        <v>0</v>
      </c>
      <c r="PK511" s="98">
        <f t="shared" si="3683"/>
        <v>0</v>
      </c>
      <c r="PL511" s="98">
        <f t="shared" si="3683"/>
        <v>0</v>
      </c>
      <c r="PM511" s="98">
        <f t="shared" si="3683"/>
        <v>0</v>
      </c>
      <c r="PN511" s="98">
        <f t="shared" si="3683"/>
        <v>0</v>
      </c>
      <c r="PO511" s="98">
        <f t="shared" si="3683"/>
        <v>0</v>
      </c>
      <c r="PP511" s="98">
        <f t="shared" si="3683"/>
        <v>0</v>
      </c>
      <c r="PQ511" s="198">
        <f t="shared" si="2678"/>
        <v>0</v>
      </c>
      <c r="PR511" s="198">
        <f t="shared" si="2679"/>
        <v>0</v>
      </c>
      <c r="PS511" s="98">
        <f t="shared" ref="PS511:QF511" si="3684">SUM(PS40,PS78,PS116,PS154,PS192,PS230,PS268,PS306,PS344,PS382,PS420,PS458)</f>
        <v>0</v>
      </c>
      <c r="PT511" s="98">
        <f t="shared" si="3684"/>
        <v>0</v>
      </c>
      <c r="PU511" s="98">
        <f t="shared" si="3684"/>
        <v>0</v>
      </c>
      <c r="PV511" s="98">
        <f t="shared" si="3684"/>
        <v>0</v>
      </c>
      <c r="PW511" s="98">
        <f t="shared" si="3684"/>
        <v>0</v>
      </c>
      <c r="PX511" s="98">
        <f t="shared" si="3684"/>
        <v>0</v>
      </c>
      <c r="PY511" s="98">
        <f t="shared" si="3684"/>
        <v>0</v>
      </c>
      <c r="PZ511" s="98">
        <f t="shared" si="3684"/>
        <v>0</v>
      </c>
      <c r="QA511" s="98">
        <f t="shared" si="3684"/>
        <v>0</v>
      </c>
      <c r="QB511" s="98">
        <f t="shared" si="3684"/>
        <v>0</v>
      </c>
      <c r="QC511" s="98">
        <f t="shared" si="3684"/>
        <v>0</v>
      </c>
      <c r="QD511" s="98">
        <f t="shared" si="3684"/>
        <v>0</v>
      </c>
      <c r="QE511" s="98">
        <f t="shared" si="3684"/>
        <v>0</v>
      </c>
      <c r="QF511" s="98">
        <f t="shared" si="3684"/>
        <v>0</v>
      </c>
      <c r="QG511" s="198">
        <f t="shared" si="2681"/>
        <v>0</v>
      </c>
      <c r="QH511" s="198">
        <f t="shared" si="2682"/>
        <v>0</v>
      </c>
      <c r="QI511" s="98">
        <f t="shared" ref="QI511:QV511" si="3685">SUM(QI40,QI78,QI116,QI154,QI192,QI230,QI268,QI306,QI344,QI382,QI420,QI458)</f>
        <v>0</v>
      </c>
      <c r="QJ511" s="98">
        <f t="shared" si="3685"/>
        <v>0</v>
      </c>
      <c r="QK511" s="98">
        <f t="shared" si="3685"/>
        <v>0</v>
      </c>
      <c r="QL511" s="98">
        <f t="shared" si="3685"/>
        <v>0</v>
      </c>
      <c r="QM511" s="98">
        <f t="shared" si="3685"/>
        <v>0</v>
      </c>
      <c r="QN511" s="98">
        <f t="shared" si="3685"/>
        <v>0</v>
      </c>
      <c r="QO511" s="98">
        <f t="shared" si="3685"/>
        <v>0</v>
      </c>
      <c r="QP511" s="98">
        <f t="shared" si="3685"/>
        <v>0</v>
      </c>
      <c r="QQ511" s="98">
        <f t="shared" si="3685"/>
        <v>0</v>
      </c>
      <c r="QR511" s="98">
        <f t="shared" si="3685"/>
        <v>0</v>
      </c>
      <c r="QS511" s="98">
        <f t="shared" si="3685"/>
        <v>0</v>
      </c>
      <c r="QT511" s="98">
        <f t="shared" si="3685"/>
        <v>0</v>
      </c>
      <c r="QU511" s="98">
        <f t="shared" si="3685"/>
        <v>0</v>
      </c>
      <c r="QV511" s="98">
        <f t="shared" si="3685"/>
        <v>0</v>
      </c>
      <c r="QW511" s="198">
        <f t="shared" si="2684"/>
        <v>0</v>
      </c>
      <c r="QX511" s="198">
        <f t="shared" si="2685"/>
        <v>0</v>
      </c>
      <c r="QY511" s="98">
        <f t="shared" ref="QY511:RL511" si="3686">SUM(QY40,QY78,QY116,QY154,QY192,QY230,QY268,QY306,QY344,QY382,QY420,QY458)</f>
        <v>0</v>
      </c>
      <c r="QZ511" s="98">
        <f t="shared" si="3686"/>
        <v>0</v>
      </c>
      <c r="RA511" s="98">
        <f t="shared" si="3686"/>
        <v>0</v>
      </c>
      <c r="RB511" s="98">
        <f t="shared" si="3686"/>
        <v>0</v>
      </c>
      <c r="RC511" s="98">
        <f t="shared" si="3686"/>
        <v>0</v>
      </c>
      <c r="RD511" s="98">
        <f t="shared" si="3686"/>
        <v>0</v>
      </c>
      <c r="RE511" s="98">
        <f t="shared" si="3686"/>
        <v>0</v>
      </c>
      <c r="RF511" s="98">
        <f t="shared" si="3686"/>
        <v>0</v>
      </c>
      <c r="RG511" s="98">
        <f t="shared" si="3686"/>
        <v>0</v>
      </c>
      <c r="RH511" s="98">
        <f t="shared" si="3686"/>
        <v>0</v>
      </c>
      <c r="RI511" s="98">
        <f t="shared" si="3686"/>
        <v>0</v>
      </c>
      <c r="RJ511" s="98">
        <f t="shared" si="3686"/>
        <v>0</v>
      </c>
      <c r="RK511" s="98">
        <f t="shared" si="3686"/>
        <v>0</v>
      </c>
      <c r="RL511" s="98">
        <f t="shared" si="3686"/>
        <v>0</v>
      </c>
      <c r="RM511" s="198">
        <f t="shared" si="2687"/>
        <v>0</v>
      </c>
      <c r="RN511" s="198">
        <f t="shared" si="2688"/>
        <v>0</v>
      </c>
      <c r="RO511" s="98">
        <f t="shared" ref="RO511:SB511" si="3687">SUM(RO40,RO78,RO116,RO154,RO192,RO230,RO268,RO306,RO344,RO382,RO420,RO458)</f>
        <v>0</v>
      </c>
      <c r="RP511" s="98">
        <f t="shared" si="3687"/>
        <v>0</v>
      </c>
      <c r="RQ511" s="98">
        <f t="shared" si="3687"/>
        <v>0</v>
      </c>
      <c r="RR511" s="98">
        <f t="shared" si="3687"/>
        <v>0</v>
      </c>
      <c r="RS511" s="98">
        <f t="shared" si="3687"/>
        <v>0</v>
      </c>
      <c r="RT511" s="98">
        <f t="shared" si="3687"/>
        <v>0</v>
      </c>
      <c r="RU511" s="98">
        <f t="shared" si="3687"/>
        <v>0</v>
      </c>
      <c r="RV511" s="98">
        <f t="shared" si="3687"/>
        <v>0</v>
      </c>
      <c r="RW511" s="98">
        <f t="shared" si="3687"/>
        <v>0</v>
      </c>
      <c r="RX511" s="98">
        <f t="shared" si="3687"/>
        <v>0</v>
      </c>
      <c r="RY511" s="98">
        <f t="shared" si="3687"/>
        <v>0</v>
      </c>
      <c r="RZ511" s="98">
        <f t="shared" si="3687"/>
        <v>0</v>
      </c>
      <c r="SA511" s="98">
        <f t="shared" si="3687"/>
        <v>0</v>
      </c>
      <c r="SB511" s="98">
        <f t="shared" si="3687"/>
        <v>0</v>
      </c>
      <c r="SC511" s="198">
        <f t="shared" si="2690"/>
        <v>0</v>
      </c>
      <c r="SD511" s="198">
        <f t="shared" si="2691"/>
        <v>0</v>
      </c>
      <c r="SE511" s="98">
        <f t="shared" ref="SE511:SR511" si="3688">SUM(SE40,SE78,SE116,SE154,SE192,SE230,SE268,SE306,SE344,SE382,SE420,SE458)</f>
        <v>0</v>
      </c>
      <c r="SF511" s="98">
        <f t="shared" si="3688"/>
        <v>0</v>
      </c>
      <c r="SG511" s="98">
        <f t="shared" si="3688"/>
        <v>0</v>
      </c>
      <c r="SH511" s="98">
        <f t="shared" si="3688"/>
        <v>0</v>
      </c>
      <c r="SI511" s="98">
        <f t="shared" si="3688"/>
        <v>0</v>
      </c>
      <c r="SJ511" s="98">
        <f t="shared" si="3688"/>
        <v>0</v>
      </c>
      <c r="SK511" s="98">
        <f t="shared" si="3688"/>
        <v>0</v>
      </c>
      <c r="SL511" s="98">
        <f t="shared" si="3688"/>
        <v>0</v>
      </c>
      <c r="SM511" s="98">
        <f t="shared" si="3688"/>
        <v>0</v>
      </c>
      <c r="SN511" s="98">
        <f t="shared" si="3688"/>
        <v>0</v>
      </c>
      <c r="SO511" s="98">
        <f t="shared" si="3688"/>
        <v>0</v>
      </c>
      <c r="SP511" s="98">
        <f t="shared" si="3688"/>
        <v>0</v>
      </c>
      <c r="SQ511" s="98">
        <f t="shared" si="3688"/>
        <v>0</v>
      </c>
      <c r="SR511" s="98">
        <f t="shared" si="3688"/>
        <v>0</v>
      </c>
      <c r="SS511" s="198">
        <f t="shared" si="2693"/>
        <v>0</v>
      </c>
      <c r="ST511" s="198">
        <f t="shared" si="2694"/>
        <v>0</v>
      </c>
      <c r="SU511" s="98">
        <f t="shared" ref="SU511:TH511" si="3689">SUM(SU40,SU78,SU116,SU154,SU192,SU230,SU268,SU306,SU344,SU382,SU420,SU458)</f>
        <v>0</v>
      </c>
      <c r="SV511" s="98">
        <f t="shared" si="3689"/>
        <v>0</v>
      </c>
      <c r="SW511" s="98">
        <f t="shared" si="3689"/>
        <v>0</v>
      </c>
      <c r="SX511" s="98">
        <f t="shared" si="3689"/>
        <v>0</v>
      </c>
      <c r="SY511" s="98">
        <f t="shared" si="3689"/>
        <v>0</v>
      </c>
      <c r="SZ511" s="98">
        <f t="shared" si="3689"/>
        <v>0</v>
      </c>
      <c r="TA511" s="98">
        <f t="shared" si="3689"/>
        <v>0</v>
      </c>
      <c r="TB511" s="98">
        <f t="shared" si="3689"/>
        <v>0</v>
      </c>
      <c r="TC511" s="98">
        <f t="shared" si="3689"/>
        <v>0</v>
      </c>
      <c r="TD511" s="98">
        <f t="shared" si="3689"/>
        <v>0</v>
      </c>
      <c r="TE511" s="98">
        <f t="shared" si="3689"/>
        <v>0</v>
      </c>
      <c r="TF511" s="98">
        <f t="shared" si="3689"/>
        <v>0</v>
      </c>
      <c r="TG511" s="98">
        <f t="shared" si="3689"/>
        <v>0</v>
      </c>
      <c r="TH511" s="98">
        <f t="shared" si="3689"/>
        <v>0</v>
      </c>
      <c r="TI511" s="198">
        <f t="shared" si="2696"/>
        <v>0</v>
      </c>
      <c r="TJ511" s="198">
        <f t="shared" si="2697"/>
        <v>0</v>
      </c>
      <c r="TK511" s="98">
        <f t="shared" ref="TK511:TX511" si="3690">SUM(TK40,TK78,TK116,TK154,TK192,TK230,TK268,TK306,TK344,TK382,TK420,TK458)</f>
        <v>0</v>
      </c>
      <c r="TL511" s="98">
        <f t="shared" si="3690"/>
        <v>0</v>
      </c>
      <c r="TM511" s="98">
        <f t="shared" si="3690"/>
        <v>0</v>
      </c>
      <c r="TN511" s="98">
        <f t="shared" si="3690"/>
        <v>0</v>
      </c>
      <c r="TO511" s="98">
        <f t="shared" si="3690"/>
        <v>0</v>
      </c>
      <c r="TP511" s="98">
        <f t="shared" si="3690"/>
        <v>0</v>
      </c>
      <c r="TQ511" s="98">
        <f t="shared" si="3690"/>
        <v>0</v>
      </c>
      <c r="TR511" s="98">
        <f t="shared" si="3690"/>
        <v>0</v>
      </c>
      <c r="TS511" s="98">
        <f t="shared" si="3690"/>
        <v>0</v>
      </c>
      <c r="TT511" s="98">
        <f t="shared" si="3690"/>
        <v>0</v>
      </c>
      <c r="TU511" s="98">
        <f t="shared" si="3690"/>
        <v>0</v>
      </c>
      <c r="TV511" s="98">
        <f t="shared" si="3690"/>
        <v>0</v>
      </c>
      <c r="TW511" s="98">
        <f t="shared" si="3690"/>
        <v>0</v>
      </c>
      <c r="TX511" s="98">
        <f t="shared" si="3690"/>
        <v>0</v>
      </c>
      <c r="TY511" s="198">
        <f t="shared" si="2699"/>
        <v>0</v>
      </c>
      <c r="TZ511" s="198">
        <f t="shared" si="2700"/>
        <v>0</v>
      </c>
      <c r="UA511" s="98">
        <f t="shared" ref="UA511:UN511" si="3691">SUM(UA40,UA78,UA116,UA154,UA192,UA230,UA268,UA306,UA344,UA382,UA420,UA458)</f>
        <v>0</v>
      </c>
      <c r="UB511" s="98">
        <f t="shared" si="3691"/>
        <v>0</v>
      </c>
      <c r="UC511" s="98">
        <f t="shared" si="3691"/>
        <v>0</v>
      </c>
      <c r="UD511" s="98">
        <f t="shared" si="3691"/>
        <v>0</v>
      </c>
      <c r="UE511" s="98">
        <f t="shared" si="3691"/>
        <v>0</v>
      </c>
      <c r="UF511" s="98">
        <f t="shared" si="3691"/>
        <v>0</v>
      </c>
      <c r="UG511" s="98">
        <f t="shared" si="3691"/>
        <v>0</v>
      </c>
      <c r="UH511" s="98">
        <f t="shared" si="3691"/>
        <v>0</v>
      </c>
      <c r="UI511" s="98">
        <f t="shared" si="3691"/>
        <v>0</v>
      </c>
      <c r="UJ511" s="98">
        <f t="shared" si="3691"/>
        <v>0</v>
      </c>
      <c r="UK511" s="98">
        <f t="shared" si="3691"/>
        <v>0</v>
      </c>
      <c r="UL511" s="98">
        <f t="shared" si="3691"/>
        <v>0</v>
      </c>
      <c r="UM511" s="98">
        <f t="shared" si="3691"/>
        <v>0</v>
      </c>
      <c r="UN511" s="98">
        <f t="shared" si="3691"/>
        <v>0</v>
      </c>
      <c r="UO511" s="198">
        <f t="shared" si="2702"/>
        <v>0</v>
      </c>
      <c r="UP511" s="198">
        <f t="shared" si="2703"/>
        <v>0</v>
      </c>
      <c r="UQ511" s="98">
        <f t="shared" ref="UQ511:VD511" si="3692">SUM(UQ40,UQ78,UQ116,UQ154,UQ192,UQ230,UQ268,UQ306,UQ344,UQ382,UQ420,UQ458)</f>
        <v>0</v>
      </c>
      <c r="UR511" s="98">
        <f t="shared" si="3692"/>
        <v>0</v>
      </c>
      <c r="US511" s="98">
        <f t="shared" si="3692"/>
        <v>0</v>
      </c>
      <c r="UT511" s="98">
        <f t="shared" si="3692"/>
        <v>0</v>
      </c>
      <c r="UU511" s="98">
        <f t="shared" si="3692"/>
        <v>0</v>
      </c>
      <c r="UV511" s="98">
        <f t="shared" si="3692"/>
        <v>0</v>
      </c>
      <c r="UW511" s="98">
        <f t="shared" si="3692"/>
        <v>0</v>
      </c>
      <c r="UX511" s="98">
        <f t="shared" si="3692"/>
        <v>0</v>
      </c>
      <c r="UY511" s="98">
        <f t="shared" si="3692"/>
        <v>0</v>
      </c>
      <c r="UZ511" s="98">
        <f t="shared" si="3692"/>
        <v>0</v>
      </c>
      <c r="VA511" s="98">
        <f t="shared" si="3692"/>
        <v>0</v>
      </c>
      <c r="VB511" s="98">
        <f t="shared" si="3692"/>
        <v>0</v>
      </c>
      <c r="VC511" s="98">
        <f t="shared" si="3692"/>
        <v>0</v>
      </c>
      <c r="VD511" s="98">
        <f t="shared" si="3692"/>
        <v>0</v>
      </c>
      <c r="VE511" s="198">
        <f t="shared" si="2705"/>
        <v>0</v>
      </c>
      <c r="VF511" s="198">
        <f t="shared" si="2706"/>
        <v>0</v>
      </c>
      <c r="VG511" s="98">
        <f t="shared" ref="VG511:VT511" si="3693">SUM(VG40,VG78,VG116,VG154,VG192,VG230,VG268,VG306,VG344,VG382,VG420,VG458)</f>
        <v>0</v>
      </c>
      <c r="VH511" s="98">
        <f t="shared" si="3693"/>
        <v>0</v>
      </c>
      <c r="VI511" s="98">
        <f t="shared" si="3693"/>
        <v>525.70000000000005</v>
      </c>
      <c r="VJ511" s="98">
        <f t="shared" si="3693"/>
        <v>34170.5</v>
      </c>
      <c r="VK511" s="98">
        <f t="shared" si="3693"/>
        <v>0</v>
      </c>
      <c r="VL511" s="98">
        <f t="shared" si="3693"/>
        <v>0</v>
      </c>
      <c r="VM511" s="98">
        <f t="shared" si="3693"/>
        <v>0</v>
      </c>
      <c r="VN511" s="98">
        <f t="shared" si="3693"/>
        <v>0</v>
      </c>
      <c r="VO511" s="98">
        <f t="shared" si="3693"/>
        <v>0</v>
      </c>
      <c r="VP511" s="98">
        <f t="shared" si="3693"/>
        <v>0</v>
      </c>
      <c r="VQ511" s="98">
        <f t="shared" si="3693"/>
        <v>0</v>
      </c>
      <c r="VR511" s="98">
        <f t="shared" si="3693"/>
        <v>0</v>
      </c>
      <c r="VS511" s="98">
        <f t="shared" si="3693"/>
        <v>0</v>
      </c>
      <c r="VT511" s="98">
        <f t="shared" si="3693"/>
        <v>0</v>
      </c>
      <c r="VU511" s="198">
        <f t="shared" si="2708"/>
        <v>525.70000000000005</v>
      </c>
      <c r="VV511" s="198">
        <f t="shared" si="2709"/>
        <v>34170.5</v>
      </c>
      <c r="VW511" s="98">
        <f t="shared" ref="VW511:WJ511" si="3694">SUM(VW40,VW78,VW116,VW154,VW192,VW230,VW268,VW306,VW344,VW382,VW420,VW458)</f>
        <v>0</v>
      </c>
      <c r="VX511" s="98">
        <f t="shared" si="3694"/>
        <v>0</v>
      </c>
      <c r="VY511" s="98">
        <f t="shared" si="3694"/>
        <v>74968</v>
      </c>
      <c r="VZ511" s="98">
        <f t="shared" si="3694"/>
        <v>6552870</v>
      </c>
      <c r="WA511" s="98">
        <f t="shared" si="3694"/>
        <v>0</v>
      </c>
      <c r="WB511" s="98">
        <f t="shared" si="3694"/>
        <v>0</v>
      </c>
      <c r="WC511" s="98">
        <f t="shared" si="3694"/>
        <v>0</v>
      </c>
      <c r="WD511" s="98">
        <f t="shared" si="3694"/>
        <v>0</v>
      </c>
      <c r="WE511" s="98">
        <f t="shared" si="3694"/>
        <v>0</v>
      </c>
      <c r="WF511" s="98">
        <f t="shared" si="3694"/>
        <v>0</v>
      </c>
      <c r="WG511" s="98">
        <f t="shared" si="3694"/>
        <v>0</v>
      </c>
      <c r="WH511" s="98">
        <f t="shared" si="3694"/>
        <v>0</v>
      </c>
      <c r="WI511" s="98">
        <f t="shared" si="3694"/>
        <v>0</v>
      </c>
      <c r="WJ511" s="98">
        <f t="shared" si="3694"/>
        <v>0</v>
      </c>
      <c r="WK511" s="198">
        <f t="shared" si="2711"/>
        <v>74968</v>
      </c>
      <c r="WL511" s="198">
        <f t="shared" si="2712"/>
        <v>6552870</v>
      </c>
      <c r="WN511" s="98">
        <f t="shared" si="2713"/>
        <v>0</v>
      </c>
      <c r="WO511" s="98">
        <f t="shared" si="2714"/>
        <v>0</v>
      </c>
      <c r="WP511" s="98">
        <f t="shared" si="2715"/>
        <v>7148560.5289569581</v>
      </c>
      <c r="WQ511" s="98">
        <f t="shared" si="2716"/>
        <v>649707624.78971636</v>
      </c>
      <c r="WR511" s="98">
        <f t="shared" si="2717"/>
        <v>0</v>
      </c>
      <c r="WS511" s="98">
        <f t="shared" si="2718"/>
        <v>0</v>
      </c>
      <c r="WT511" s="98">
        <f t="shared" si="2719"/>
        <v>0</v>
      </c>
      <c r="WU511" s="98">
        <f t="shared" si="2720"/>
        <v>0</v>
      </c>
      <c r="WV511" s="98">
        <f t="shared" si="2721"/>
        <v>0</v>
      </c>
      <c r="WW511" s="98">
        <f t="shared" si="2722"/>
        <v>0</v>
      </c>
      <c r="WX511" s="98">
        <f t="shared" si="2723"/>
        <v>0</v>
      </c>
      <c r="WY511" s="98">
        <f t="shared" si="2724"/>
        <v>0</v>
      </c>
      <c r="WZ511" s="98">
        <f t="shared" si="2725"/>
        <v>0</v>
      </c>
      <c r="XA511" s="98">
        <f t="shared" si="2726"/>
        <v>0</v>
      </c>
      <c r="XB511" s="107">
        <f t="shared" si="2727"/>
        <v>7148560.5289569581</v>
      </c>
      <c r="XC511" s="107">
        <f t="shared" si="2728"/>
        <v>649707624.78971636</v>
      </c>
      <c r="XK511" s="98">
        <f t="shared" si="2729"/>
        <v>0</v>
      </c>
      <c r="XL511" s="98">
        <f t="shared" si="2730"/>
        <v>0</v>
      </c>
      <c r="XM511" s="98">
        <f t="shared" si="2731"/>
        <v>0</v>
      </c>
      <c r="XN511" s="98">
        <f t="shared" si="2732"/>
        <v>0</v>
      </c>
      <c r="XO511" s="98">
        <f t="shared" si="2733"/>
        <v>648393185.31867337</v>
      </c>
      <c r="XP511" s="98">
        <f t="shared" si="2734"/>
        <v>0</v>
      </c>
      <c r="XQ511" s="98">
        <f t="shared" si="2735"/>
        <v>648393185.31867337</v>
      </c>
      <c r="XR511" s="107">
        <f t="shared" ca="1" si="2597"/>
        <v>1303869831.1663036</v>
      </c>
      <c r="XT511" s="98">
        <f t="shared" si="2736"/>
        <v>649707624.78971636</v>
      </c>
      <c r="XU511" s="98">
        <f t="shared" si="2737"/>
        <v>7083460.5289569581</v>
      </c>
      <c r="XV511" s="98">
        <f t="shared" si="2738"/>
        <v>649707624.78971636</v>
      </c>
      <c r="XW511" s="98">
        <f t="shared" si="2739"/>
        <v>0</v>
      </c>
      <c r="XX511" s="98">
        <f t="shared" si="2740"/>
        <v>0</v>
      </c>
      <c r="XY511" s="98">
        <f t="shared" si="2741"/>
        <v>0</v>
      </c>
      <c r="XZ511" s="98">
        <f t="shared" si="2742"/>
        <v>648393185.31867337</v>
      </c>
      <c r="YA511" s="107">
        <f t="shared" ca="1" si="2598"/>
        <v>1947808434.8981061</v>
      </c>
    </row>
    <row r="512" spans="2:651">
      <c r="B512" s="90" t="str">
        <f t="shared" ref="B512:B521" si="3695">B41</f>
        <v xml:space="preserve">Udang_01 (Udang Api-Api) </v>
      </c>
      <c r="C512" s="98">
        <f t="shared" ref="C512:P512" si="3696">SUM(C41,C79,C117,C155,C193,C231,C269,C307,C345,C383,C421,C459)</f>
        <v>0</v>
      </c>
      <c r="D512" s="98">
        <f t="shared" si="3696"/>
        <v>0</v>
      </c>
      <c r="E512" s="98">
        <f t="shared" si="3696"/>
        <v>123700</v>
      </c>
      <c r="F512" s="98">
        <f t="shared" si="3696"/>
        <v>4948000</v>
      </c>
      <c r="G512" s="98">
        <f t="shared" si="3696"/>
        <v>0</v>
      </c>
      <c r="H512" s="98">
        <f t="shared" si="3696"/>
        <v>0</v>
      </c>
      <c r="I512" s="98">
        <f t="shared" si="3696"/>
        <v>0</v>
      </c>
      <c r="J512" s="98">
        <f t="shared" si="3696"/>
        <v>0</v>
      </c>
      <c r="K512" s="98">
        <f t="shared" si="3696"/>
        <v>0</v>
      </c>
      <c r="L512" s="98">
        <f t="shared" si="3696"/>
        <v>0</v>
      </c>
      <c r="M512" s="98">
        <f t="shared" si="3696"/>
        <v>0</v>
      </c>
      <c r="N512" s="98">
        <f t="shared" si="3696"/>
        <v>0</v>
      </c>
      <c r="O512" s="98">
        <f t="shared" si="3696"/>
        <v>0</v>
      </c>
      <c r="P512" s="98">
        <f t="shared" si="3696"/>
        <v>0</v>
      </c>
      <c r="Q512" s="198">
        <f t="shared" si="2600"/>
        <v>123700</v>
      </c>
      <c r="R512" s="198">
        <f t="shared" si="2601"/>
        <v>4948000</v>
      </c>
      <c r="S512" s="98">
        <f t="shared" ref="S512:AF512" si="3697">SUM(S41,S79,S117,S155,S193,S231,S269,S307,S345,S383,S421,S459)</f>
        <v>0</v>
      </c>
      <c r="T512" s="98">
        <f t="shared" si="3697"/>
        <v>0</v>
      </c>
      <c r="U512" s="98">
        <f t="shared" si="3697"/>
        <v>0</v>
      </c>
      <c r="V512" s="98">
        <f t="shared" si="3697"/>
        <v>0</v>
      </c>
      <c r="W512" s="98">
        <f t="shared" si="3697"/>
        <v>0</v>
      </c>
      <c r="X512" s="98">
        <f t="shared" si="3697"/>
        <v>0</v>
      </c>
      <c r="Y512" s="98">
        <f t="shared" si="3697"/>
        <v>0</v>
      </c>
      <c r="Z512" s="98">
        <f t="shared" si="3697"/>
        <v>0</v>
      </c>
      <c r="AA512" s="98">
        <f t="shared" si="3697"/>
        <v>0</v>
      </c>
      <c r="AB512" s="98">
        <f t="shared" si="3697"/>
        <v>0</v>
      </c>
      <c r="AC512" s="98">
        <f t="shared" si="3697"/>
        <v>0</v>
      </c>
      <c r="AD512" s="98">
        <f t="shared" si="3697"/>
        <v>0</v>
      </c>
      <c r="AE512" s="98">
        <f t="shared" si="3697"/>
        <v>0</v>
      </c>
      <c r="AF512" s="98">
        <f t="shared" si="3697"/>
        <v>0</v>
      </c>
      <c r="AG512" s="198">
        <f t="shared" si="2603"/>
        <v>0</v>
      </c>
      <c r="AH512" s="198">
        <f t="shared" si="2604"/>
        <v>0</v>
      </c>
      <c r="AI512" s="98">
        <f t="shared" ref="AI512:AV512" si="3698">SUM(AI41,AI79,AI117,AI155,AI193,AI231,AI269,AI307,AI345,AI383,AI421,AI459)</f>
        <v>0</v>
      </c>
      <c r="AJ512" s="98">
        <f t="shared" si="3698"/>
        <v>0</v>
      </c>
      <c r="AK512" s="98">
        <f t="shared" si="3698"/>
        <v>0</v>
      </c>
      <c r="AL512" s="98">
        <f t="shared" si="3698"/>
        <v>0</v>
      </c>
      <c r="AM512" s="98">
        <f t="shared" si="3698"/>
        <v>0</v>
      </c>
      <c r="AN512" s="98">
        <f t="shared" si="3698"/>
        <v>0</v>
      </c>
      <c r="AO512" s="98">
        <f t="shared" si="3698"/>
        <v>0</v>
      </c>
      <c r="AP512" s="98">
        <f t="shared" si="3698"/>
        <v>0</v>
      </c>
      <c r="AQ512" s="98">
        <f t="shared" si="3698"/>
        <v>0</v>
      </c>
      <c r="AR512" s="98">
        <f t="shared" si="3698"/>
        <v>0</v>
      </c>
      <c r="AS512" s="98">
        <f t="shared" si="3698"/>
        <v>0</v>
      </c>
      <c r="AT512" s="98">
        <f t="shared" si="3698"/>
        <v>0</v>
      </c>
      <c r="AU512" s="98">
        <f t="shared" si="3698"/>
        <v>0</v>
      </c>
      <c r="AV512" s="98">
        <f t="shared" si="3698"/>
        <v>0</v>
      </c>
      <c r="AW512" s="198">
        <f t="shared" si="2606"/>
        <v>0</v>
      </c>
      <c r="AX512" s="198">
        <f t="shared" si="2607"/>
        <v>0</v>
      </c>
      <c r="AY512" s="98">
        <f t="shared" ref="AY512:BL512" si="3699">SUM(AY41,AY79,AY117,AY155,AY193,AY231,AY269,AY307,AY345,AY383,AY421,AY459)</f>
        <v>0</v>
      </c>
      <c r="AZ512" s="98">
        <f t="shared" si="3699"/>
        <v>0</v>
      </c>
      <c r="BA512" s="98">
        <f t="shared" si="3699"/>
        <v>0</v>
      </c>
      <c r="BB512" s="98">
        <f t="shared" si="3699"/>
        <v>0</v>
      </c>
      <c r="BC512" s="98">
        <f t="shared" si="3699"/>
        <v>0</v>
      </c>
      <c r="BD512" s="98">
        <f t="shared" si="3699"/>
        <v>0</v>
      </c>
      <c r="BE512" s="98">
        <f t="shared" si="3699"/>
        <v>0</v>
      </c>
      <c r="BF512" s="98">
        <f t="shared" si="3699"/>
        <v>0</v>
      </c>
      <c r="BG512" s="98">
        <f t="shared" si="3699"/>
        <v>0</v>
      </c>
      <c r="BH512" s="98">
        <f t="shared" si="3699"/>
        <v>0</v>
      </c>
      <c r="BI512" s="98">
        <f t="shared" si="3699"/>
        <v>0</v>
      </c>
      <c r="BJ512" s="98">
        <f t="shared" si="3699"/>
        <v>0</v>
      </c>
      <c r="BK512" s="98">
        <f t="shared" si="3699"/>
        <v>0</v>
      </c>
      <c r="BL512" s="98">
        <f t="shared" si="3699"/>
        <v>0</v>
      </c>
      <c r="BM512" s="198">
        <f t="shared" si="2609"/>
        <v>0</v>
      </c>
      <c r="BN512" s="198">
        <f t="shared" si="2610"/>
        <v>0</v>
      </c>
      <c r="BO512" s="98">
        <f t="shared" ref="BO512:CB512" si="3700">SUM(BO41,BO79,BO117,BO155,BO193,BO231,BO269,BO307,BO345,BO383,BO421,BO459)</f>
        <v>0</v>
      </c>
      <c r="BP512" s="98">
        <f t="shared" si="3700"/>
        <v>0</v>
      </c>
      <c r="BQ512" s="98">
        <f t="shared" si="3700"/>
        <v>0</v>
      </c>
      <c r="BR512" s="98">
        <f t="shared" si="3700"/>
        <v>0</v>
      </c>
      <c r="BS512" s="98">
        <f t="shared" si="3700"/>
        <v>0</v>
      </c>
      <c r="BT512" s="98">
        <f t="shared" si="3700"/>
        <v>0</v>
      </c>
      <c r="BU512" s="98">
        <f t="shared" si="3700"/>
        <v>0</v>
      </c>
      <c r="BV512" s="98">
        <f t="shared" si="3700"/>
        <v>0</v>
      </c>
      <c r="BW512" s="98">
        <f t="shared" si="3700"/>
        <v>0</v>
      </c>
      <c r="BX512" s="98">
        <f t="shared" si="3700"/>
        <v>0</v>
      </c>
      <c r="BY512" s="98">
        <f t="shared" si="3700"/>
        <v>0</v>
      </c>
      <c r="BZ512" s="98">
        <f t="shared" si="3700"/>
        <v>0</v>
      </c>
      <c r="CA512" s="98">
        <f t="shared" si="3700"/>
        <v>0</v>
      </c>
      <c r="CB512" s="98">
        <f t="shared" si="3700"/>
        <v>0</v>
      </c>
      <c r="CC512" s="198">
        <f t="shared" si="2612"/>
        <v>0</v>
      </c>
      <c r="CD512" s="198">
        <f t="shared" si="2613"/>
        <v>0</v>
      </c>
      <c r="CE512" s="98">
        <f t="shared" ref="CE512:CR512" si="3701">SUM(CE41,CE79,CE117,CE155,CE193,CE231,CE269,CE307,CE345,CE383,CE421,CE459)</f>
        <v>0</v>
      </c>
      <c r="CF512" s="98">
        <f t="shared" si="3701"/>
        <v>0</v>
      </c>
      <c r="CG512" s="98">
        <f t="shared" si="3701"/>
        <v>0</v>
      </c>
      <c r="CH512" s="98">
        <f t="shared" si="3701"/>
        <v>0</v>
      </c>
      <c r="CI512" s="98">
        <f t="shared" si="3701"/>
        <v>0</v>
      </c>
      <c r="CJ512" s="98">
        <f t="shared" si="3701"/>
        <v>0</v>
      </c>
      <c r="CK512" s="98">
        <f t="shared" si="3701"/>
        <v>0</v>
      </c>
      <c r="CL512" s="98">
        <f t="shared" si="3701"/>
        <v>0</v>
      </c>
      <c r="CM512" s="98">
        <f t="shared" si="3701"/>
        <v>0</v>
      </c>
      <c r="CN512" s="98">
        <f t="shared" si="3701"/>
        <v>0</v>
      </c>
      <c r="CO512" s="98">
        <f t="shared" si="3701"/>
        <v>0</v>
      </c>
      <c r="CP512" s="98">
        <f t="shared" si="3701"/>
        <v>0</v>
      </c>
      <c r="CQ512" s="98">
        <f t="shared" si="3701"/>
        <v>0</v>
      </c>
      <c r="CR512" s="98">
        <f t="shared" si="3701"/>
        <v>0</v>
      </c>
      <c r="CS512" s="198">
        <f t="shared" si="2615"/>
        <v>0</v>
      </c>
      <c r="CT512" s="198">
        <f t="shared" si="2616"/>
        <v>0</v>
      </c>
      <c r="CU512" s="98">
        <f t="shared" ref="CU512:DH512" si="3702">SUM(CU41,CU79,CU117,CU155,CU193,CU231,CU269,CU307,CU345,CU383,CU421,CU459)</f>
        <v>0</v>
      </c>
      <c r="CV512" s="98">
        <f t="shared" si="3702"/>
        <v>0</v>
      </c>
      <c r="CW512" s="98">
        <f t="shared" si="3702"/>
        <v>0</v>
      </c>
      <c r="CX512" s="98">
        <f t="shared" si="3702"/>
        <v>0</v>
      </c>
      <c r="CY512" s="98">
        <f t="shared" si="3702"/>
        <v>0</v>
      </c>
      <c r="CZ512" s="98">
        <f t="shared" si="3702"/>
        <v>0</v>
      </c>
      <c r="DA512" s="98">
        <f t="shared" si="3702"/>
        <v>0</v>
      </c>
      <c r="DB512" s="98">
        <f t="shared" si="3702"/>
        <v>0</v>
      </c>
      <c r="DC512" s="98">
        <f t="shared" si="3702"/>
        <v>0</v>
      </c>
      <c r="DD512" s="98">
        <f t="shared" si="3702"/>
        <v>0</v>
      </c>
      <c r="DE512" s="98">
        <f t="shared" si="3702"/>
        <v>0</v>
      </c>
      <c r="DF512" s="98">
        <f t="shared" si="3702"/>
        <v>0</v>
      </c>
      <c r="DG512" s="98">
        <f t="shared" si="3702"/>
        <v>0</v>
      </c>
      <c r="DH512" s="98">
        <f t="shared" si="3702"/>
        <v>0</v>
      </c>
      <c r="DI512" s="198">
        <f t="shared" si="2618"/>
        <v>0</v>
      </c>
      <c r="DJ512" s="198">
        <f t="shared" si="2619"/>
        <v>0</v>
      </c>
      <c r="DK512" s="98">
        <f t="shared" ref="DK512:DX512" si="3703">SUM(DK41,DK79,DK117,DK155,DK193,DK231,DK269,DK307,DK345,DK383,DK421,DK459)</f>
        <v>0</v>
      </c>
      <c r="DL512" s="98">
        <f t="shared" si="3703"/>
        <v>0</v>
      </c>
      <c r="DM512" s="98">
        <f t="shared" si="3703"/>
        <v>0</v>
      </c>
      <c r="DN512" s="98">
        <f t="shared" si="3703"/>
        <v>0</v>
      </c>
      <c r="DO512" s="98">
        <f t="shared" si="3703"/>
        <v>0</v>
      </c>
      <c r="DP512" s="98">
        <f t="shared" si="3703"/>
        <v>0</v>
      </c>
      <c r="DQ512" s="98">
        <f t="shared" si="3703"/>
        <v>0</v>
      </c>
      <c r="DR512" s="98">
        <f t="shared" si="3703"/>
        <v>0</v>
      </c>
      <c r="DS512" s="98">
        <f t="shared" si="3703"/>
        <v>0</v>
      </c>
      <c r="DT512" s="98">
        <f t="shared" si="3703"/>
        <v>0</v>
      </c>
      <c r="DU512" s="98">
        <f t="shared" si="3703"/>
        <v>0</v>
      </c>
      <c r="DV512" s="98">
        <f t="shared" si="3703"/>
        <v>0</v>
      </c>
      <c r="DW512" s="98">
        <f t="shared" si="3703"/>
        <v>0</v>
      </c>
      <c r="DX512" s="98">
        <f t="shared" si="3703"/>
        <v>0</v>
      </c>
      <c r="DY512" s="198">
        <f t="shared" si="2621"/>
        <v>0</v>
      </c>
      <c r="DZ512" s="198">
        <f t="shared" si="2622"/>
        <v>0</v>
      </c>
      <c r="EA512" s="98">
        <f t="shared" ref="EA512:EN512" si="3704">SUM(EA41,EA79,EA117,EA155,EA193,EA231,EA269,EA307,EA345,EA383,EA421,EA459)</f>
        <v>0</v>
      </c>
      <c r="EB512" s="98">
        <f t="shared" si="3704"/>
        <v>0</v>
      </c>
      <c r="EC512" s="98">
        <f t="shared" si="3704"/>
        <v>0</v>
      </c>
      <c r="ED512" s="98">
        <f t="shared" si="3704"/>
        <v>0</v>
      </c>
      <c r="EE512" s="98">
        <f t="shared" si="3704"/>
        <v>0</v>
      </c>
      <c r="EF512" s="98">
        <f t="shared" si="3704"/>
        <v>0</v>
      </c>
      <c r="EG512" s="98">
        <f t="shared" si="3704"/>
        <v>0</v>
      </c>
      <c r="EH512" s="98">
        <f t="shared" si="3704"/>
        <v>0</v>
      </c>
      <c r="EI512" s="98">
        <f t="shared" si="3704"/>
        <v>0</v>
      </c>
      <c r="EJ512" s="98">
        <f t="shared" si="3704"/>
        <v>0</v>
      </c>
      <c r="EK512" s="98">
        <f t="shared" si="3704"/>
        <v>0</v>
      </c>
      <c r="EL512" s="98">
        <f t="shared" si="3704"/>
        <v>0</v>
      </c>
      <c r="EM512" s="98">
        <f t="shared" si="3704"/>
        <v>0</v>
      </c>
      <c r="EN512" s="98">
        <f t="shared" si="3704"/>
        <v>0</v>
      </c>
      <c r="EO512" s="198">
        <f t="shared" si="2624"/>
        <v>0</v>
      </c>
      <c r="EP512" s="198">
        <f t="shared" si="2625"/>
        <v>0</v>
      </c>
      <c r="EQ512" s="98">
        <f t="shared" ref="EQ512:FD512" si="3705">SUM(EQ41,EQ79,EQ117,EQ155,EQ193,EQ231,EQ269,EQ307,EQ345,EQ383,EQ421,EQ459)</f>
        <v>0</v>
      </c>
      <c r="ER512" s="98">
        <f t="shared" si="3705"/>
        <v>0</v>
      </c>
      <c r="ES512" s="98">
        <f t="shared" si="3705"/>
        <v>0</v>
      </c>
      <c r="ET512" s="98">
        <f t="shared" si="3705"/>
        <v>0</v>
      </c>
      <c r="EU512" s="98">
        <f t="shared" si="3705"/>
        <v>0</v>
      </c>
      <c r="EV512" s="98">
        <f t="shared" si="3705"/>
        <v>0</v>
      </c>
      <c r="EW512" s="98">
        <f t="shared" si="3705"/>
        <v>0</v>
      </c>
      <c r="EX512" s="98">
        <f t="shared" si="3705"/>
        <v>0</v>
      </c>
      <c r="EY512" s="98">
        <f t="shared" si="3705"/>
        <v>0</v>
      </c>
      <c r="EZ512" s="98">
        <f t="shared" si="3705"/>
        <v>0</v>
      </c>
      <c r="FA512" s="98">
        <f t="shared" si="3705"/>
        <v>0</v>
      </c>
      <c r="FB512" s="98">
        <f t="shared" si="3705"/>
        <v>0</v>
      </c>
      <c r="FC512" s="98">
        <f t="shared" si="3705"/>
        <v>0</v>
      </c>
      <c r="FD512" s="98">
        <f t="shared" si="3705"/>
        <v>0</v>
      </c>
      <c r="FE512" s="198">
        <f t="shared" si="2627"/>
        <v>0</v>
      </c>
      <c r="FF512" s="198">
        <f t="shared" si="2628"/>
        <v>0</v>
      </c>
      <c r="FG512" s="98">
        <f t="shared" ref="FG512:FT512" si="3706">SUM(FG41,FG79,FG117,FG155,FG193,FG231,FG269,FG307,FG345,FG383,FG421,FG459)</f>
        <v>0</v>
      </c>
      <c r="FH512" s="98">
        <f t="shared" si="3706"/>
        <v>0</v>
      </c>
      <c r="FI512" s="98">
        <f t="shared" si="3706"/>
        <v>0</v>
      </c>
      <c r="FJ512" s="98">
        <f t="shared" si="3706"/>
        <v>0</v>
      </c>
      <c r="FK512" s="98">
        <f t="shared" si="3706"/>
        <v>0</v>
      </c>
      <c r="FL512" s="98">
        <f t="shared" si="3706"/>
        <v>0</v>
      </c>
      <c r="FM512" s="98">
        <f t="shared" si="3706"/>
        <v>0</v>
      </c>
      <c r="FN512" s="98">
        <f t="shared" si="3706"/>
        <v>0</v>
      </c>
      <c r="FO512" s="98">
        <f t="shared" si="3706"/>
        <v>0</v>
      </c>
      <c r="FP512" s="98">
        <f t="shared" si="3706"/>
        <v>0</v>
      </c>
      <c r="FQ512" s="98">
        <f t="shared" si="3706"/>
        <v>0</v>
      </c>
      <c r="FR512" s="98">
        <f t="shared" si="3706"/>
        <v>0</v>
      </c>
      <c r="FS512" s="98">
        <f t="shared" si="3706"/>
        <v>0</v>
      </c>
      <c r="FT512" s="98">
        <f t="shared" si="3706"/>
        <v>0</v>
      </c>
      <c r="FU512" s="198">
        <f t="shared" si="2630"/>
        <v>0</v>
      </c>
      <c r="FV512" s="198">
        <f t="shared" si="2631"/>
        <v>0</v>
      </c>
      <c r="FW512" s="98">
        <f t="shared" ref="FW512:GJ512" si="3707">SUM(FW41,FW79,FW117,FW155,FW193,FW231,FW269,FW307,FW345,FW383,FW421,FW459)</f>
        <v>0</v>
      </c>
      <c r="FX512" s="98">
        <f t="shared" si="3707"/>
        <v>0</v>
      </c>
      <c r="FY512" s="98">
        <f t="shared" si="3707"/>
        <v>0</v>
      </c>
      <c r="FZ512" s="98">
        <f t="shared" si="3707"/>
        <v>0</v>
      </c>
      <c r="GA512" s="98">
        <f t="shared" si="3707"/>
        <v>0</v>
      </c>
      <c r="GB512" s="98">
        <f t="shared" si="3707"/>
        <v>0</v>
      </c>
      <c r="GC512" s="98">
        <f t="shared" si="3707"/>
        <v>0</v>
      </c>
      <c r="GD512" s="98">
        <f t="shared" si="3707"/>
        <v>0</v>
      </c>
      <c r="GE512" s="98">
        <f t="shared" si="3707"/>
        <v>0</v>
      </c>
      <c r="GF512" s="98">
        <f t="shared" si="3707"/>
        <v>0</v>
      </c>
      <c r="GG512" s="98">
        <f t="shared" si="3707"/>
        <v>0</v>
      </c>
      <c r="GH512" s="98">
        <f t="shared" si="3707"/>
        <v>0</v>
      </c>
      <c r="GI512" s="98">
        <f t="shared" si="3707"/>
        <v>0</v>
      </c>
      <c r="GJ512" s="98">
        <f t="shared" si="3707"/>
        <v>0</v>
      </c>
      <c r="GK512" s="198">
        <f t="shared" si="2633"/>
        <v>0</v>
      </c>
      <c r="GL512" s="198">
        <f t="shared" si="2634"/>
        <v>0</v>
      </c>
      <c r="GM512" s="98">
        <f t="shared" ref="GM512:GZ512" si="3708">SUM(GM41,GM79,GM117,GM155,GM193,GM231,GM269,GM307,GM345,GM383,GM421,GM459)</f>
        <v>0</v>
      </c>
      <c r="GN512" s="98">
        <f t="shared" si="3708"/>
        <v>0</v>
      </c>
      <c r="GO512" s="98">
        <f t="shared" si="3708"/>
        <v>0</v>
      </c>
      <c r="GP512" s="98">
        <f t="shared" si="3708"/>
        <v>0</v>
      </c>
      <c r="GQ512" s="98">
        <f t="shared" si="3708"/>
        <v>0</v>
      </c>
      <c r="GR512" s="98">
        <f t="shared" si="3708"/>
        <v>0</v>
      </c>
      <c r="GS512" s="98">
        <f t="shared" si="3708"/>
        <v>0</v>
      </c>
      <c r="GT512" s="98">
        <f t="shared" si="3708"/>
        <v>0</v>
      </c>
      <c r="GU512" s="98">
        <f t="shared" si="3708"/>
        <v>0</v>
      </c>
      <c r="GV512" s="98">
        <f t="shared" si="3708"/>
        <v>0</v>
      </c>
      <c r="GW512" s="98">
        <f t="shared" si="3708"/>
        <v>0</v>
      </c>
      <c r="GX512" s="98">
        <f t="shared" si="3708"/>
        <v>0</v>
      </c>
      <c r="GY512" s="98">
        <f t="shared" si="3708"/>
        <v>0</v>
      </c>
      <c r="GZ512" s="98">
        <f t="shared" si="3708"/>
        <v>0</v>
      </c>
      <c r="HA512" s="198">
        <f t="shared" si="2636"/>
        <v>0</v>
      </c>
      <c r="HB512" s="198">
        <f t="shared" si="2637"/>
        <v>0</v>
      </c>
      <c r="HC512" s="98">
        <f t="shared" ref="HC512:HP512" si="3709">SUM(HC41,HC79,HC117,HC155,HC193,HC231,HC269,HC307,HC345,HC383,HC421,HC459)</f>
        <v>0</v>
      </c>
      <c r="HD512" s="98">
        <f t="shared" si="3709"/>
        <v>0</v>
      </c>
      <c r="HE512" s="98">
        <f t="shared" si="3709"/>
        <v>0</v>
      </c>
      <c r="HF512" s="98">
        <f t="shared" si="3709"/>
        <v>0</v>
      </c>
      <c r="HG512" s="98">
        <f t="shared" si="3709"/>
        <v>0</v>
      </c>
      <c r="HH512" s="98">
        <f t="shared" si="3709"/>
        <v>0</v>
      </c>
      <c r="HI512" s="98">
        <f t="shared" si="3709"/>
        <v>0</v>
      </c>
      <c r="HJ512" s="98">
        <f t="shared" si="3709"/>
        <v>0</v>
      </c>
      <c r="HK512" s="98">
        <f t="shared" si="3709"/>
        <v>0</v>
      </c>
      <c r="HL512" s="98">
        <f t="shared" si="3709"/>
        <v>0</v>
      </c>
      <c r="HM512" s="98">
        <f t="shared" si="3709"/>
        <v>0</v>
      </c>
      <c r="HN512" s="98">
        <f t="shared" si="3709"/>
        <v>0</v>
      </c>
      <c r="HO512" s="98">
        <f t="shared" si="3709"/>
        <v>0</v>
      </c>
      <c r="HP512" s="98">
        <f t="shared" si="3709"/>
        <v>0</v>
      </c>
      <c r="HQ512" s="198">
        <f t="shared" si="2639"/>
        <v>0</v>
      </c>
      <c r="HR512" s="198">
        <f t="shared" si="2640"/>
        <v>0</v>
      </c>
      <c r="HS512" s="98">
        <f t="shared" ref="HS512:IF512" si="3710">SUM(HS41,HS79,HS117,HS155,HS193,HS231,HS269,HS307,HS345,HS383,HS421,HS459)</f>
        <v>0</v>
      </c>
      <c r="HT512" s="98">
        <f t="shared" si="3710"/>
        <v>0</v>
      </c>
      <c r="HU512" s="98">
        <f t="shared" si="3710"/>
        <v>0</v>
      </c>
      <c r="HV512" s="98">
        <f t="shared" si="3710"/>
        <v>0</v>
      </c>
      <c r="HW512" s="98">
        <f t="shared" si="3710"/>
        <v>0</v>
      </c>
      <c r="HX512" s="98">
        <f t="shared" si="3710"/>
        <v>0</v>
      </c>
      <c r="HY512" s="98">
        <f t="shared" si="3710"/>
        <v>0</v>
      </c>
      <c r="HZ512" s="98">
        <f t="shared" si="3710"/>
        <v>0</v>
      </c>
      <c r="IA512" s="98">
        <f t="shared" si="3710"/>
        <v>0</v>
      </c>
      <c r="IB512" s="98">
        <f t="shared" si="3710"/>
        <v>0</v>
      </c>
      <c r="IC512" s="98">
        <f t="shared" si="3710"/>
        <v>0</v>
      </c>
      <c r="ID512" s="98">
        <f t="shared" si="3710"/>
        <v>0</v>
      </c>
      <c r="IE512" s="98">
        <f t="shared" si="3710"/>
        <v>0</v>
      </c>
      <c r="IF512" s="98">
        <f t="shared" si="3710"/>
        <v>0</v>
      </c>
      <c r="IG512" s="198">
        <f t="shared" si="2642"/>
        <v>0</v>
      </c>
      <c r="IH512" s="198">
        <f t="shared" si="2643"/>
        <v>0</v>
      </c>
      <c r="II512" s="98">
        <f t="shared" ref="II512:IV512" si="3711">SUM(II41,II79,II117,II155,II193,II231,II269,II307,II345,II383,II421,II459)</f>
        <v>0</v>
      </c>
      <c r="IJ512" s="98">
        <f t="shared" si="3711"/>
        <v>0</v>
      </c>
      <c r="IK512" s="98">
        <f t="shared" si="3711"/>
        <v>0</v>
      </c>
      <c r="IL512" s="98">
        <f t="shared" si="3711"/>
        <v>0</v>
      </c>
      <c r="IM512" s="98">
        <f t="shared" si="3711"/>
        <v>0</v>
      </c>
      <c r="IN512" s="98">
        <f t="shared" si="3711"/>
        <v>0</v>
      </c>
      <c r="IO512" s="98">
        <f t="shared" si="3711"/>
        <v>0</v>
      </c>
      <c r="IP512" s="98">
        <f t="shared" si="3711"/>
        <v>0</v>
      </c>
      <c r="IQ512" s="98">
        <f t="shared" si="3711"/>
        <v>0</v>
      </c>
      <c r="IR512" s="98">
        <f t="shared" si="3711"/>
        <v>0</v>
      </c>
      <c r="IS512" s="98">
        <f t="shared" si="3711"/>
        <v>0</v>
      </c>
      <c r="IT512" s="98">
        <f t="shared" si="3711"/>
        <v>0</v>
      </c>
      <c r="IU512" s="98">
        <f t="shared" si="3711"/>
        <v>0</v>
      </c>
      <c r="IV512" s="98">
        <f t="shared" si="3711"/>
        <v>0</v>
      </c>
      <c r="IW512" s="198">
        <f t="shared" si="2645"/>
        <v>0</v>
      </c>
      <c r="IX512" s="198">
        <f t="shared" si="2646"/>
        <v>0</v>
      </c>
      <c r="IY512" s="98">
        <f t="shared" ref="IY512:JL512" si="3712">SUM(IY41,IY79,IY117,IY155,IY193,IY231,IY269,IY307,IY345,IY383,IY421,IY459)</f>
        <v>0</v>
      </c>
      <c r="IZ512" s="98">
        <f t="shared" si="3712"/>
        <v>0</v>
      </c>
      <c r="JA512" s="98">
        <f t="shared" si="3712"/>
        <v>0</v>
      </c>
      <c r="JB512" s="98">
        <f t="shared" si="3712"/>
        <v>0</v>
      </c>
      <c r="JC512" s="98">
        <f t="shared" si="3712"/>
        <v>0</v>
      </c>
      <c r="JD512" s="98">
        <f t="shared" si="3712"/>
        <v>0</v>
      </c>
      <c r="JE512" s="98">
        <f t="shared" si="3712"/>
        <v>0</v>
      </c>
      <c r="JF512" s="98">
        <f t="shared" si="3712"/>
        <v>0</v>
      </c>
      <c r="JG512" s="98">
        <f t="shared" si="3712"/>
        <v>0</v>
      </c>
      <c r="JH512" s="98">
        <f t="shared" si="3712"/>
        <v>0</v>
      </c>
      <c r="JI512" s="98">
        <f t="shared" si="3712"/>
        <v>0</v>
      </c>
      <c r="JJ512" s="98">
        <f t="shared" si="3712"/>
        <v>0</v>
      </c>
      <c r="JK512" s="98">
        <f t="shared" si="3712"/>
        <v>0</v>
      </c>
      <c r="JL512" s="98">
        <f t="shared" si="3712"/>
        <v>0</v>
      </c>
      <c r="JM512" s="198">
        <f t="shared" si="2648"/>
        <v>0</v>
      </c>
      <c r="JN512" s="198">
        <f t="shared" si="2649"/>
        <v>0</v>
      </c>
      <c r="JO512" s="98">
        <f t="shared" ref="JO512:KB512" si="3713">SUM(JO41,JO79,JO117,JO155,JO193,JO231,JO269,JO307,JO345,JO383,JO421,JO459)</f>
        <v>0</v>
      </c>
      <c r="JP512" s="98">
        <f t="shared" si="3713"/>
        <v>0</v>
      </c>
      <c r="JQ512" s="98">
        <f t="shared" si="3713"/>
        <v>0</v>
      </c>
      <c r="JR512" s="98">
        <f t="shared" si="3713"/>
        <v>0</v>
      </c>
      <c r="JS512" s="98">
        <f t="shared" si="3713"/>
        <v>0</v>
      </c>
      <c r="JT512" s="98">
        <f t="shared" si="3713"/>
        <v>0</v>
      </c>
      <c r="JU512" s="98">
        <f t="shared" si="3713"/>
        <v>0</v>
      </c>
      <c r="JV512" s="98">
        <f t="shared" si="3713"/>
        <v>0</v>
      </c>
      <c r="JW512" s="98">
        <f t="shared" si="3713"/>
        <v>0</v>
      </c>
      <c r="JX512" s="98">
        <f t="shared" si="3713"/>
        <v>0</v>
      </c>
      <c r="JY512" s="98">
        <f t="shared" si="3713"/>
        <v>0</v>
      </c>
      <c r="JZ512" s="98">
        <f t="shared" si="3713"/>
        <v>0</v>
      </c>
      <c r="KA512" s="98">
        <f t="shared" si="3713"/>
        <v>0</v>
      </c>
      <c r="KB512" s="98">
        <f t="shared" si="3713"/>
        <v>0</v>
      </c>
      <c r="KC512" s="198">
        <f t="shared" si="2651"/>
        <v>0</v>
      </c>
      <c r="KD512" s="198">
        <f t="shared" si="2652"/>
        <v>0</v>
      </c>
      <c r="KE512" s="98">
        <f t="shared" ref="KE512:KR512" si="3714">SUM(KE41,KE79,KE117,KE155,KE193,KE231,KE269,KE307,KE345,KE383,KE421,KE459)</f>
        <v>0</v>
      </c>
      <c r="KF512" s="98">
        <f t="shared" si="3714"/>
        <v>0</v>
      </c>
      <c r="KG512" s="98">
        <f t="shared" si="3714"/>
        <v>0</v>
      </c>
      <c r="KH512" s="98">
        <f t="shared" si="3714"/>
        <v>0</v>
      </c>
      <c r="KI512" s="98">
        <f t="shared" si="3714"/>
        <v>0</v>
      </c>
      <c r="KJ512" s="98">
        <f t="shared" si="3714"/>
        <v>0</v>
      </c>
      <c r="KK512" s="98">
        <f t="shared" si="3714"/>
        <v>0</v>
      </c>
      <c r="KL512" s="98">
        <f t="shared" si="3714"/>
        <v>0</v>
      </c>
      <c r="KM512" s="98">
        <f t="shared" si="3714"/>
        <v>0</v>
      </c>
      <c r="KN512" s="98">
        <f t="shared" si="3714"/>
        <v>0</v>
      </c>
      <c r="KO512" s="98">
        <f t="shared" si="3714"/>
        <v>0</v>
      </c>
      <c r="KP512" s="98">
        <f t="shared" si="3714"/>
        <v>0</v>
      </c>
      <c r="KQ512" s="98">
        <f t="shared" si="3714"/>
        <v>0</v>
      </c>
      <c r="KR512" s="98">
        <f t="shared" si="3714"/>
        <v>0</v>
      </c>
      <c r="KS512" s="198">
        <f t="shared" si="2654"/>
        <v>0</v>
      </c>
      <c r="KT512" s="198">
        <f t="shared" si="2655"/>
        <v>0</v>
      </c>
      <c r="KU512" s="98">
        <f t="shared" ref="KU512:LH512" si="3715">SUM(KU41,KU79,KU117,KU155,KU193,KU231,KU269,KU307,KU345,KU383,KU421,KU459)</f>
        <v>0</v>
      </c>
      <c r="KV512" s="98">
        <f t="shared" si="3715"/>
        <v>0</v>
      </c>
      <c r="KW512" s="98">
        <f t="shared" si="3715"/>
        <v>0</v>
      </c>
      <c r="KX512" s="98">
        <f t="shared" si="3715"/>
        <v>0</v>
      </c>
      <c r="KY512" s="98">
        <f t="shared" si="3715"/>
        <v>0</v>
      </c>
      <c r="KZ512" s="98">
        <f t="shared" si="3715"/>
        <v>0</v>
      </c>
      <c r="LA512" s="98">
        <f t="shared" si="3715"/>
        <v>0</v>
      </c>
      <c r="LB512" s="98">
        <f t="shared" si="3715"/>
        <v>0</v>
      </c>
      <c r="LC512" s="98">
        <f t="shared" si="3715"/>
        <v>0</v>
      </c>
      <c r="LD512" s="98">
        <f t="shared" si="3715"/>
        <v>0</v>
      </c>
      <c r="LE512" s="98">
        <f t="shared" si="3715"/>
        <v>0</v>
      </c>
      <c r="LF512" s="98">
        <f t="shared" si="3715"/>
        <v>0</v>
      </c>
      <c r="LG512" s="98">
        <f t="shared" si="3715"/>
        <v>0</v>
      </c>
      <c r="LH512" s="98">
        <f t="shared" si="3715"/>
        <v>0</v>
      </c>
      <c r="LI512" s="198">
        <f t="shared" si="2657"/>
        <v>0</v>
      </c>
      <c r="LJ512" s="198">
        <f t="shared" si="2658"/>
        <v>0</v>
      </c>
      <c r="LK512" s="98">
        <f t="shared" ref="LK512:LX512" si="3716">SUM(LK41,LK79,LK117,LK155,LK193,LK231,LK269,LK307,LK345,LK383,LK421,LK459)</f>
        <v>0</v>
      </c>
      <c r="LL512" s="98">
        <f t="shared" si="3716"/>
        <v>0</v>
      </c>
      <c r="LM512" s="98">
        <f t="shared" si="3716"/>
        <v>0</v>
      </c>
      <c r="LN512" s="98">
        <f t="shared" si="3716"/>
        <v>0</v>
      </c>
      <c r="LO512" s="98">
        <f t="shared" si="3716"/>
        <v>0</v>
      </c>
      <c r="LP512" s="98">
        <f t="shared" si="3716"/>
        <v>0</v>
      </c>
      <c r="LQ512" s="98">
        <f t="shared" si="3716"/>
        <v>0</v>
      </c>
      <c r="LR512" s="98">
        <f t="shared" si="3716"/>
        <v>0</v>
      </c>
      <c r="LS512" s="98">
        <f t="shared" si="3716"/>
        <v>0</v>
      </c>
      <c r="LT512" s="98">
        <f t="shared" si="3716"/>
        <v>0</v>
      </c>
      <c r="LU512" s="98">
        <f t="shared" si="3716"/>
        <v>0</v>
      </c>
      <c r="LV512" s="98">
        <f t="shared" si="3716"/>
        <v>0</v>
      </c>
      <c r="LW512" s="98">
        <f t="shared" si="3716"/>
        <v>0</v>
      </c>
      <c r="LX512" s="98">
        <f t="shared" si="3716"/>
        <v>0</v>
      </c>
      <c r="LY512" s="198">
        <f t="shared" si="2660"/>
        <v>0</v>
      </c>
      <c r="LZ512" s="198">
        <f t="shared" si="2661"/>
        <v>0</v>
      </c>
      <c r="MA512" s="98">
        <f t="shared" ref="MA512:MN512" si="3717">SUM(MA41,MA79,MA117,MA155,MA193,MA231,MA269,MA307,MA345,MA383,MA421,MA459)</f>
        <v>0</v>
      </c>
      <c r="MB512" s="98">
        <f t="shared" si="3717"/>
        <v>0</v>
      </c>
      <c r="MC512" s="98">
        <f t="shared" si="3717"/>
        <v>227230</v>
      </c>
      <c r="MD512" s="98">
        <f t="shared" si="3717"/>
        <v>9089200</v>
      </c>
      <c r="ME512" s="98">
        <f t="shared" si="3717"/>
        <v>0</v>
      </c>
      <c r="MF512" s="98">
        <f t="shared" si="3717"/>
        <v>0</v>
      </c>
      <c r="MG512" s="98">
        <f t="shared" si="3717"/>
        <v>0</v>
      </c>
      <c r="MH512" s="98">
        <f t="shared" si="3717"/>
        <v>0</v>
      </c>
      <c r="MI512" s="98">
        <f t="shared" si="3717"/>
        <v>0</v>
      </c>
      <c r="MJ512" s="98">
        <f t="shared" si="3717"/>
        <v>0</v>
      </c>
      <c r="MK512" s="98">
        <f t="shared" si="3717"/>
        <v>0</v>
      </c>
      <c r="ML512" s="98">
        <f t="shared" si="3717"/>
        <v>0</v>
      </c>
      <c r="MM512" s="98">
        <f t="shared" si="3717"/>
        <v>0</v>
      </c>
      <c r="MN512" s="98">
        <f t="shared" si="3717"/>
        <v>0</v>
      </c>
      <c r="MO512" s="198">
        <f t="shared" si="2663"/>
        <v>227230</v>
      </c>
      <c r="MP512" s="198">
        <f t="shared" si="2664"/>
        <v>9089200</v>
      </c>
      <c r="MQ512" s="98">
        <f t="shared" ref="MQ512:ND512" si="3718">SUM(MQ41,MQ79,MQ117,MQ155,MQ193,MQ231,MQ269,MQ307,MQ345,MQ383,MQ421,MQ459)</f>
        <v>0</v>
      </c>
      <c r="MR512" s="98">
        <f t="shared" si="3718"/>
        <v>0</v>
      </c>
      <c r="MS512" s="98">
        <f t="shared" si="3718"/>
        <v>0</v>
      </c>
      <c r="MT512" s="98">
        <f t="shared" si="3718"/>
        <v>0</v>
      </c>
      <c r="MU512" s="98">
        <f t="shared" si="3718"/>
        <v>0</v>
      </c>
      <c r="MV512" s="98">
        <f t="shared" si="3718"/>
        <v>0</v>
      </c>
      <c r="MW512" s="98">
        <f t="shared" si="3718"/>
        <v>0</v>
      </c>
      <c r="MX512" s="98">
        <f t="shared" si="3718"/>
        <v>0</v>
      </c>
      <c r="MY512" s="98">
        <f t="shared" si="3718"/>
        <v>0</v>
      </c>
      <c r="MZ512" s="98">
        <f t="shared" si="3718"/>
        <v>0</v>
      </c>
      <c r="NA512" s="98">
        <f t="shared" si="3718"/>
        <v>0</v>
      </c>
      <c r="NB512" s="98">
        <f t="shared" si="3718"/>
        <v>0</v>
      </c>
      <c r="NC512" s="98">
        <f t="shared" si="3718"/>
        <v>0</v>
      </c>
      <c r="ND512" s="98">
        <f t="shared" si="3718"/>
        <v>0</v>
      </c>
      <c r="NE512" s="198">
        <f t="shared" si="2666"/>
        <v>0</v>
      </c>
      <c r="NF512" s="198">
        <f t="shared" si="2667"/>
        <v>0</v>
      </c>
      <c r="NG512" s="98">
        <f t="shared" ref="NG512:NT512" si="3719">SUM(NG41,NG79,NG117,NG155,NG193,NG231,NG269,NG307,NG345,NG383,NG421,NG459)</f>
        <v>0</v>
      </c>
      <c r="NH512" s="98">
        <f t="shared" si="3719"/>
        <v>0</v>
      </c>
      <c r="NI512" s="98">
        <f t="shared" si="3719"/>
        <v>465701</v>
      </c>
      <c r="NJ512" s="98">
        <f t="shared" si="3719"/>
        <v>20956545</v>
      </c>
      <c r="NK512" s="98">
        <f t="shared" si="3719"/>
        <v>0</v>
      </c>
      <c r="NL512" s="98">
        <f t="shared" si="3719"/>
        <v>0</v>
      </c>
      <c r="NM512" s="98">
        <f t="shared" si="3719"/>
        <v>0</v>
      </c>
      <c r="NN512" s="98">
        <f t="shared" si="3719"/>
        <v>0</v>
      </c>
      <c r="NO512" s="98">
        <f t="shared" si="3719"/>
        <v>0</v>
      </c>
      <c r="NP512" s="98">
        <f t="shared" si="3719"/>
        <v>0</v>
      </c>
      <c r="NQ512" s="98">
        <f t="shared" si="3719"/>
        <v>0</v>
      </c>
      <c r="NR512" s="98">
        <f t="shared" si="3719"/>
        <v>0</v>
      </c>
      <c r="NS512" s="98">
        <f t="shared" si="3719"/>
        <v>0</v>
      </c>
      <c r="NT512" s="98">
        <f t="shared" si="3719"/>
        <v>0</v>
      </c>
      <c r="NU512" s="198">
        <f t="shared" si="2669"/>
        <v>465701</v>
      </c>
      <c r="NV512" s="198">
        <f t="shared" si="2670"/>
        <v>20956545</v>
      </c>
      <c r="NW512" s="98">
        <f t="shared" ref="NW512:OJ512" si="3720">SUM(NW41,NW79,NW117,NW155,NW193,NW231,NW269,NW307,NW345,NW383,NW421,NW459)</f>
        <v>0</v>
      </c>
      <c r="NX512" s="98">
        <f t="shared" si="3720"/>
        <v>0</v>
      </c>
      <c r="NY512" s="98">
        <f t="shared" si="3720"/>
        <v>0</v>
      </c>
      <c r="NZ512" s="98">
        <f t="shared" si="3720"/>
        <v>0</v>
      </c>
      <c r="OA512" s="98">
        <f t="shared" si="3720"/>
        <v>0</v>
      </c>
      <c r="OB512" s="98">
        <f t="shared" si="3720"/>
        <v>0</v>
      </c>
      <c r="OC512" s="98">
        <f t="shared" si="3720"/>
        <v>0</v>
      </c>
      <c r="OD512" s="98">
        <f t="shared" si="3720"/>
        <v>0</v>
      </c>
      <c r="OE512" s="98">
        <f t="shared" si="3720"/>
        <v>0</v>
      </c>
      <c r="OF512" s="98">
        <f t="shared" si="3720"/>
        <v>0</v>
      </c>
      <c r="OG512" s="98">
        <f t="shared" si="3720"/>
        <v>0</v>
      </c>
      <c r="OH512" s="98">
        <f t="shared" si="3720"/>
        <v>0</v>
      </c>
      <c r="OI512" s="98">
        <f t="shared" si="3720"/>
        <v>0</v>
      </c>
      <c r="OJ512" s="98">
        <f t="shared" si="3720"/>
        <v>0</v>
      </c>
      <c r="OK512" s="198">
        <f t="shared" si="2672"/>
        <v>0</v>
      </c>
      <c r="OL512" s="198">
        <f t="shared" si="2673"/>
        <v>0</v>
      </c>
      <c r="OM512" s="98">
        <f t="shared" ref="OM512:OZ512" si="3721">SUM(OM41,OM79,OM117,OM155,OM193,OM231,OM269,OM307,OM345,OM383,OM421,OM459)</f>
        <v>0</v>
      </c>
      <c r="ON512" s="98">
        <f t="shared" si="3721"/>
        <v>0</v>
      </c>
      <c r="OO512" s="98">
        <f t="shared" si="3721"/>
        <v>0</v>
      </c>
      <c r="OP512" s="98">
        <f t="shared" si="3721"/>
        <v>0</v>
      </c>
      <c r="OQ512" s="98">
        <f t="shared" si="3721"/>
        <v>0</v>
      </c>
      <c r="OR512" s="98">
        <f t="shared" si="3721"/>
        <v>0</v>
      </c>
      <c r="OS512" s="98">
        <f t="shared" si="3721"/>
        <v>0</v>
      </c>
      <c r="OT512" s="98">
        <f t="shared" si="3721"/>
        <v>0</v>
      </c>
      <c r="OU512" s="98">
        <f t="shared" si="3721"/>
        <v>0</v>
      </c>
      <c r="OV512" s="98">
        <f t="shared" si="3721"/>
        <v>0</v>
      </c>
      <c r="OW512" s="98">
        <f t="shared" si="3721"/>
        <v>0</v>
      </c>
      <c r="OX512" s="98">
        <f t="shared" si="3721"/>
        <v>0</v>
      </c>
      <c r="OY512" s="98">
        <f t="shared" si="3721"/>
        <v>0</v>
      </c>
      <c r="OZ512" s="98">
        <f t="shared" si="3721"/>
        <v>0</v>
      </c>
      <c r="PA512" s="198">
        <f t="shared" si="2675"/>
        <v>0</v>
      </c>
      <c r="PB512" s="198">
        <f t="shared" si="2676"/>
        <v>0</v>
      </c>
      <c r="PC512" s="98">
        <f t="shared" ref="PC512:PP512" si="3722">SUM(PC41,PC79,PC117,PC155,PC193,PC231,PC269,PC307,PC345,PC383,PC421,PC459)</f>
        <v>0</v>
      </c>
      <c r="PD512" s="98">
        <f t="shared" si="3722"/>
        <v>0</v>
      </c>
      <c r="PE512" s="98">
        <f t="shared" si="3722"/>
        <v>0</v>
      </c>
      <c r="PF512" s="98">
        <f t="shared" si="3722"/>
        <v>0</v>
      </c>
      <c r="PG512" s="98">
        <f t="shared" si="3722"/>
        <v>0</v>
      </c>
      <c r="PH512" s="98">
        <f t="shared" si="3722"/>
        <v>0</v>
      </c>
      <c r="PI512" s="98">
        <f t="shared" si="3722"/>
        <v>0</v>
      </c>
      <c r="PJ512" s="98">
        <f t="shared" si="3722"/>
        <v>0</v>
      </c>
      <c r="PK512" s="98">
        <f t="shared" si="3722"/>
        <v>0</v>
      </c>
      <c r="PL512" s="98">
        <f t="shared" si="3722"/>
        <v>0</v>
      </c>
      <c r="PM512" s="98">
        <f t="shared" si="3722"/>
        <v>0</v>
      </c>
      <c r="PN512" s="98">
        <f t="shared" si="3722"/>
        <v>0</v>
      </c>
      <c r="PO512" s="98">
        <f t="shared" si="3722"/>
        <v>0</v>
      </c>
      <c r="PP512" s="98">
        <f t="shared" si="3722"/>
        <v>0</v>
      </c>
      <c r="PQ512" s="198">
        <f t="shared" si="2678"/>
        <v>0</v>
      </c>
      <c r="PR512" s="198">
        <f t="shared" si="2679"/>
        <v>0</v>
      </c>
      <c r="PS512" s="98">
        <f t="shared" ref="PS512:QF512" si="3723">SUM(PS41,PS79,PS117,PS155,PS193,PS231,PS269,PS307,PS345,PS383,PS421,PS459)</f>
        <v>0</v>
      </c>
      <c r="PT512" s="98">
        <f t="shared" si="3723"/>
        <v>0</v>
      </c>
      <c r="PU512" s="98">
        <f t="shared" si="3723"/>
        <v>0</v>
      </c>
      <c r="PV512" s="98">
        <f t="shared" si="3723"/>
        <v>0</v>
      </c>
      <c r="PW512" s="98">
        <f t="shared" si="3723"/>
        <v>0</v>
      </c>
      <c r="PX512" s="98">
        <f t="shared" si="3723"/>
        <v>0</v>
      </c>
      <c r="PY512" s="98">
        <f t="shared" si="3723"/>
        <v>0</v>
      </c>
      <c r="PZ512" s="98">
        <f t="shared" si="3723"/>
        <v>0</v>
      </c>
      <c r="QA512" s="98">
        <f t="shared" si="3723"/>
        <v>0</v>
      </c>
      <c r="QB512" s="98">
        <f t="shared" si="3723"/>
        <v>0</v>
      </c>
      <c r="QC512" s="98">
        <f t="shared" si="3723"/>
        <v>0</v>
      </c>
      <c r="QD512" s="98">
        <f t="shared" si="3723"/>
        <v>0</v>
      </c>
      <c r="QE512" s="98">
        <f t="shared" si="3723"/>
        <v>0</v>
      </c>
      <c r="QF512" s="98">
        <f t="shared" si="3723"/>
        <v>0</v>
      </c>
      <c r="QG512" s="198">
        <f t="shared" si="2681"/>
        <v>0</v>
      </c>
      <c r="QH512" s="198">
        <f t="shared" si="2682"/>
        <v>0</v>
      </c>
      <c r="QI512" s="98">
        <f t="shared" ref="QI512:QV512" si="3724">SUM(QI41,QI79,QI117,QI155,QI193,QI231,QI269,QI307,QI345,QI383,QI421,QI459)</f>
        <v>0</v>
      </c>
      <c r="QJ512" s="98">
        <f t="shared" si="3724"/>
        <v>0</v>
      </c>
      <c r="QK512" s="98">
        <f t="shared" si="3724"/>
        <v>0</v>
      </c>
      <c r="QL512" s="98">
        <f t="shared" si="3724"/>
        <v>0</v>
      </c>
      <c r="QM512" s="98">
        <f t="shared" si="3724"/>
        <v>0</v>
      </c>
      <c r="QN512" s="98">
        <f t="shared" si="3724"/>
        <v>0</v>
      </c>
      <c r="QO512" s="98">
        <f t="shared" si="3724"/>
        <v>0</v>
      </c>
      <c r="QP512" s="98">
        <f t="shared" si="3724"/>
        <v>0</v>
      </c>
      <c r="QQ512" s="98">
        <f t="shared" si="3724"/>
        <v>0</v>
      </c>
      <c r="QR512" s="98">
        <f t="shared" si="3724"/>
        <v>0</v>
      </c>
      <c r="QS512" s="98">
        <f t="shared" si="3724"/>
        <v>0</v>
      </c>
      <c r="QT512" s="98">
        <f t="shared" si="3724"/>
        <v>0</v>
      </c>
      <c r="QU512" s="98">
        <f t="shared" si="3724"/>
        <v>0</v>
      </c>
      <c r="QV512" s="98">
        <f t="shared" si="3724"/>
        <v>0</v>
      </c>
      <c r="QW512" s="198">
        <f t="shared" si="2684"/>
        <v>0</v>
      </c>
      <c r="QX512" s="198">
        <f t="shared" si="2685"/>
        <v>0</v>
      </c>
      <c r="QY512" s="98">
        <f t="shared" ref="QY512:RL512" si="3725">SUM(QY41,QY79,QY117,QY155,QY193,QY231,QY269,QY307,QY345,QY383,QY421,QY459)</f>
        <v>0</v>
      </c>
      <c r="QZ512" s="98">
        <f t="shared" si="3725"/>
        <v>0</v>
      </c>
      <c r="RA512" s="98">
        <f t="shared" si="3725"/>
        <v>0</v>
      </c>
      <c r="RB512" s="98">
        <f t="shared" si="3725"/>
        <v>0</v>
      </c>
      <c r="RC512" s="98">
        <f t="shared" si="3725"/>
        <v>0</v>
      </c>
      <c r="RD512" s="98">
        <f t="shared" si="3725"/>
        <v>0</v>
      </c>
      <c r="RE512" s="98">
        <f t="shared" si="3725"/>
        <v>0</v>
      </c>
      <c r="RF512" s="98">
        <f t="shared" si="3725"/>
        <v>0</v>
      </c>
      <c r="RG512" s="98">
        <f t="shared" si="3725"/>
        <v>0</v>
      </c>
      <c r="RH512" s="98">
        <f t="shared" si="3725"/>
        <v>0</v>
      </c>
      <c r="RI512" s="98">
        <f t="shared" si="3725"/>
        <v>0</v>
      </c>
      <c r="RJ512" s="98">
        <f t="shared" si="3725"/>
        <v>0</v>
      </c>
      <c r="RK512" s="98">
        <f t="shared" si="3725"/>
        <v>0</v>
      </c>
      <c r="RL512" s="98">
        <f t="shared" si="3725"/>
        <v>0</v>
      </c>
      <c r="RM512" s="198">
        <f t="shared" si="2687"/>
        <v>0</v>
      </c>
      <c r="RN512" s="198">
        <f t="shared" si="2688"/>
        <v>0</v>
      </c>
      <c r="RO512" s="98">
        <f t="shared" ref="RO512:SB512" si="3726">SUM(RO41,RO79,RO117,RO155,RO193,RO231,RO269,RO307,RO345,RO383,RO421,RO459)</f>
        <v>0</v>
      </c>
      <c r="RP512" s="98">
        <f t="shared" si="3726"/>
        <v>0</v>
      </c>
      <c r="RQ512" s="98">
        <f t="shared" si="3726"/>
        <v>0</v>
      </c>
      <c r="RR512" s="98">
        <f t="shared" si="3726"/>
        <v>0</v>
      </c>
      <c r="RS512" s="98">
        <f t="shared" si="3726"/>
        <v>0</v>
      </c>
      <c r="RT512" s="98">
        <f t="shared" si="3726"/>
        <v>0</v>
      </c>
      <c r="RU512" s="98">
        <f t="shared" si="3726"/>
        <v>0</v>
      </c>
      <c r="RV512" s="98">
        <f t="shared" si="3726"/>
        <v>0</v>
      </c>
      <c r="RW512" s="98">
        <f t="shared" si="3726"/>
        <v>0</v>
      </c>
      <c r="RX512" s="98">
        <f t="shared" si="3726"/>
        <v>0</v>
      </c>
      <c r="RY512" s="98">
        <f t="shared" si="3726"/>
        <v>0</v>
      </c>
      <c r="RZ512" s="98">
        <f t="shared" si="3726"/>
        <v>0</v>
      </c>
      <c r="SA512" s="98">
        <f t="shared" si="3726"/>
        <v>0</v>
      </c>
      <c r="SB512" s="98">
        <f t="shared" si="3726"/>
        <v>0</v>
      </c>
      <c r="SC512" s="198">
        <f t="shared" si="2690"/>
        <v>0</v>
      </c>
      <c r="SD512" s="198">
        <f t="shared" si="2691"/>
        <v>0</v>
      </c>
      <c r="SE512" s="98">
        <f t="shared" ref="SE512:SR512" si="3727">SUM(SE41,SE79,SE117,SE155,SE193,SE231,SE269,SE307,SE345,SE383,SE421,SE459)</f>
        <v>0</v>
      </c>
      <c r="SF512" s="98">
        <f t="shared" si="3727"/>
        <v>0</v>
      </c>
      <c r="SG512" s="98">
        <f t="shared" si="3727"/>
        <v>0</v>
      </c>
      <c r="SH512" s="98">
        <f t="shared" si="3727"/>
        <v>0</v>
      </c>
      <c r="SI512" s="98">
        <f t="shared" si="3727"/>
        <v>0</v>
      </c>
      <c r="SJ512" s="98">
        <f t="shared" si="3727"/>
        <v>0</v>
      </c>
      <c r="SK512" s="98">
        <f t="shared" si="3727"/>
        <v>0</v>
      </c>
      <c r="SL512" s="98">
        <f t="shared" si="3727"/>
        <v>0</v>
      </c>
      <c r="SM512" s="98">
        <f t="shared" si="3727"/>
        <v>0</v>
      </c>
      <c r="SN512" s="98">
        <f t="shared" si="3727"/>
        <v>0</v>
      </c>
      <c r="SO512" s="98">
        <f t="shared" si="3727"/>
        <v>0</v>
      </c>
      <c r="SP512" s="98">
        <f t="shared" si="3727"/>
        <v>0</v>
      </c>
      <c r="SQ512" s="98">
        <f t="shared" si="3727"/>
        <v>0</v>
      </c>
      <c r="SR512" s="98">
        <f t="shared" si="3727"/>
        <v>0</v>
      </c>
      <c r="SS512" s="198">
        <f t="shared" si="2693"/>
        <v>0</v>
      </c>
      <c r="ST512" s="198">
        <f t="shared" si="2694"/>
        <v>0</v>
      </c>
      <c r="SU512" s="98">
        <f t="shared" ref="SU512:TH512" si="3728">SUM(SU41,SU79,SU117,SU155,SU193,SU231,SU269,SU307,SU345,SU383,SU421,SU459)</f>
        <v>0</v>
      </c>
      <c r="SV512" s="98">
        <f t="shared" si="3728"/>
        <v>0</v>
      </c>
      <c r="SW512" s="98">
        <f t="shared" si="3728"/>
        <v>0</v>
      </c>
      <c r="SX512" s="98">
        <f t="shared" si="3728"/>
        <v>0</v>
      </c>
      <c r="SY512" s="98">
        <f t="shared" si="3728"/>
        <v>0</v>
      </c>
      <c r="SZ512" s="98">
        <f t="shared" si="3728"/>
        <v>0</v>
      </c>
      <c r="TA512" s="98">
        <f t="shared" si="3728"/>
        <v>0</v>
      </c>
      <c r="TB512" s="98">
        <f t="shared" si="3728"/>
        <v>0</v>
      </c>
      <c r="TC512" s="98">
        <f t="shared" si="3728"/>
        <v>0</v>
      </c>
      <c r="TD512" s="98">
        <f t="shared" si="3728"/>
        <v>0</v>
      </c>
      <c r="TE512" s="98">
        <f t="shared" si="3728"/>
        <v>0</v>
      </c>
      <c r="TF512" s="98">
        <f t="shared" si="3728"/>
        <v>0</v>
      </c>
      <c r="TG512" s="98">
        <f t="shared" si="3728"/>
        <v>0</v>
      </c>
      <c r="TH512" s="98">
        <f t="shared" si="3728"/>
        <v>0</v>
      </c>
      <c r="TI512" s="198">
        <f t="shared" si="2696"/>
        <v>0</v>
      </c>
      <c r="TJ512" s="198">
        <f t="shared" si="2697"/>
        <v>0</v>
      </c>
      <c r="TK512" s="98">
        <f t="shared" ref="TK512:TX512" si="3729">SUM(TK41,TK79,TK117,TK155,TK193,TK231,TK269,TK307,TK345,TK383,TK421,TK459)</f>
        <v>0</v>
      </c>
      <c r="TL512" s="98">
        <f t="shared" si="3729"/>
        <v>0</v>
      </c>
      <c r="TM512" s="98">
        <f t="shared" si="3729"/>
        <v>0</v>
      </c>
      <c r="TN512" s="98">
        <f t="shared" si="3729"/>
        <v>0</v>
      </c>
      <c r="TO512" s="98">
        <f t="shared" si="3729"/>
        <v>0</v>
      </c>
      <c r="TP512" s="98">
        <f t="shared" si="3729"/>
        <v>0</v>
      </c>
      <c r="TQ512" s="98">
        <f t="shared" si="3729"/>
        <v>0</v>
      </c>
      <c r="TR512" s="98">
        <f t="shared" si="3729"/>
        <v>0</v>
      </c>
      <c r="TS512" s="98">
        <f t="shared" si="3729"/>
        <v>0</v>
      </c>
      <c r="TT512" s="98">
        <f t="shared" si="3729"/>
        <v>0</v>
      </c>
      <c r="TU512" s="98">
        <f t="shared" si="3729"/>
        <v>0</v>
      </c>
      <c r="TV512" s="98">
        <f t="shared" si="3729"/>
        <v>0</v>
      </c>
      <c r="TW512" s="98">
        <f t="shared" si="3729"/>
        <v>0</v>
      </c>
      <c r="TX512" s="98">
        <f t="shared" si="3729"/>
        <v>0</v>
      </c>
      <c r="TY512" s="198">
        <f t="shared" si="2699"/>
        <v>0</v>
      </c>
      <c r="TZ512" s="198">
        <f t="shared" si="2700"/>
        <v>0</v>
      </c>
      <c r="UA512" s="98">
        <f t="shared" ref="UA512:UN512" si="3730">SUM(UA41,UA79,UA117,UA155,UA193,UA231,UA269,UA307,UA345,UA383,UA421,UA459)</f>
        <v>0</v>
      </c>
      <c r="UB512" s="98">
        <f t="shared" si="3730"/>
        <v>0</v>
      </c>
      <c r="UC512" s="98">
        <f t="shared" si="3730"/>
        <v>0</v>
      </c>
      <c r="UD512" s="98">
        <f t="shared" si="3730"/>
        <v>0</v>
      </c>
      <c r="UE512" s="98">
        <f t="shared" si="3730"/>
        <v>0</v>
      </c>
      <c r="UF512" s="98">
        <f t="shared" si="3730"/>
        <v>0</v>
      </c>
      <c r="UG512" s="98">
        <f t="shared" si="3730"/>
        <v>0</v>
      </c>
      <c r="UH512" s="98">
        <f t="shared" si="3730"/>
        <v>0</v>
      </c>
      <c r="UI512" s="98">
        <f t="shared" si="3730"/>
        <v>0</v>
      </c>
      <c r="UJ512" s="98">
        <f t="shared" si="3730"/>
        <v>0</v>
      </c>
      <c r="UK512" s="98">
        <f t="shared" si="3730"/>
        <v>0</v>
      </c>
      <c r="UL512" s="98">
        <f t="shared" si="3730"/>
        <v>0</v>
      </c>
      <c r="UM512" s="98">
        <f t="shared" si="3730"/>
        <v>0</v>
      </c>
      <c r="UN512" s="98">
        <f t="shared" si="3730"/>
        <v>0</v>
      </c>
      <c r="UO512" s="198">
        <f t="shared" si="2702"/>
        <v>0</v>
      </c>
      <c r="UP512" s="198">
        <f t="shared" si="2703"/>
        <v>0</v>
      </c>
      <c r="UQ512" s="98">
        <f t="shared" ref="UQ512:VD512" si="3731">SUM(UQ41,UQ79,UQ117,UQ155,UQ193,UQ231,UQ269,UQ307,UQ345,UQ383,UQ421,UQ459)</f>
        <v>0</v>
      </c>
      <c r="UR512" s="98">
        <f t="shared" si="3731"/>
        <v>0</v>
      </c>
      <c r="US512" s="98">
        <f t="shared" si="3731"/>
        <v>0</v>
      </c>
      <c r="UT512" s="98">
        <f t="shared" si="3731"/>
        <v>0</v>
      </c>
      <c r="UU512" s="98">
        <f t="shared" si="3731"/>
        <v>0</v>
      </c>
      <c r="UV512" s="98">
        <f t="shared" si="3731"/>
        <v>0</v>
      </c>
      <c r="UW512" s="98">
        <f t="shared" si="3731"/>
        <v>0</v>
      </c>
      <c r="UX512" s="98">
        <f t="shared" si="3731"/>
        <v>0</v>
      </c>
      <c r="UY512" s="98">
        <f t="shared" si="3731"/>
        <v>0</v>
      </c>
      <c r="UZ512" s="98">
        <f t="shared" si="3731"/>
        <v>0</v>
      </c>
      <c r="VA512" s="98">
        <f t="shared" si="3731"/>
        <v>0</v>
      </c>
      <c r="VB512" s="98">
        <f t="shared" si="3731"/>
        <v>0</v>
      </c>
      <c r="VC512" s="98">
        <f t="shared" si="3731"/>
        <v>0</v>
      </c>
      <c r="VD512" s="98">
        <f t="shared" si="3731"/>
        <v>0</v>
      </c>
      <c r="VE512" s="198">
        <f t="shared" si="2705"/>
        <v>0</v>
      </c>
      <c r="VF512" s="198">
        <f t="shared" si="2706"/>
        <v>0</v>
      </c>
      <c r="VG512" s="98">
        <f t="shared" ref="VG512:VT512" si="3732">SUM(VG41,VG79,VG117,VG155,VG193,VG231,VG269,VG307,VG345,VG383,VG421,VG459)</f>
        <v>0</v>
      </c>
      <c r="VH512" s="98">
        <f t="shared" si="3732"/>
        <v>0</v>
      </c>
      <c r="VI512" s="98">
        <f t="shared" si="3732"/>
        <v>0</v>
      </c>
      <c r="VJ512" s="98">
        <f t="shared" si="3732"/>
        <v>0</v>
      </c>
      <c r="VK512" s="98">
        <f t="shared" si="3732"/>
        <v>0</v>
      </c>
      <c r="VL512" s="98">
        <f t="shared" si="3732"/>
        <v>0</v>
      </c>
      <c r="VM512" s="98">
        <f t="shared" si="3732"/>
        <v>0</v>
      </c>
      <c r="VN512" s="98">
        <f t="shared" si="3732"/>
        <v>0</v>
      </c>
      <c r="VO512" s="98">
        <f t="shared" si="3732"/>
        <v>0</v>
      </c>
      <c r="VP512" s="98">
        <f t="shared" si="3732"/>
        <v>0</v>
      </c>
      <c r="VQ512" s="98">
        <f t="shared" si="3732"/>
        <v>0</v>
      </c>
      <c r="VR512" s="98">
        <f t="shared" si="3732"/>
        <v>0</v>
      </c>
      <c r="VS512" s="98">
        <f t="shared" si="3732"/>
        <v>0</v>
      </c>
      <c r="VT512" s="98">
        <f t="shared" si="3732"/>
        <v>0</v>
      </c>
      <c r="VU512" s="198">
        <f t="shared" si="2708"/>
        <v>0</v>
      </c>
      <c r="VV512" s="198">
        <f t="shared" si="2709"/>
        <v>0</v>
      </c>
      <c r="VW512" s="98">
        <f t="shared" ref="VW512:WJ512" si="3733">SUM(VW41,VW79,VW117,VW155,VW193,VW231,VW269,VW307,VW345,VW383,VW421,VW459)</f>
        <v>0</v>
      </c>
      <c r="VX512" s="98">
        <f t="shared" si="3733"/>
        <v>0</v>
      </c>
      <c r="VY512" s="98">
        <f t="shared" si="3733"/>
        <v>0</v>
      </c>
      <c r="VZ512" s="98">
        <f t="shared" si="3733"/>
        <v>0</v>
      </c>
      <c r="WA512" s="98">
        <f t="shared" si="3733"/>
        <v>0</v>
      </c>
      <c r="WB512" s="98">
        <f t="shared" si="3733"/>
        <v>0</v>
      </c>
      <c r="WC512" s="98">
        <f t="shared" si="3733"/>
        <v>0</v>
      </c>
      <c r="WD512" s="98">
        <f t="shared" si="3733"/>
        <v>0</v>
      </c>
      <c r="WE512" s="98">
        <f t="shared" si="3733"/>
        <v>0</v>
      </c>
      <c r="WF512" s="98">
        <f t="shared" si="3733"/>
        <v>0</v>
      </c>
      <c r="WG512" s="98">
        <f t="shared" si="3733"/>
        <v>0</v>
      </c>
      <c r="WH512" s="98">
        <f t="shared" si="3733"/>
        <v>0</v>
      </c>
      <c r="WI512" s="98">
        <f t="shared" si="3733"/>
        <v>0</v>
      </c>
      <c r="WJ512" s="98">
        <f t="shared" si="3733"/>
        <v>0</v>
      </c>
      <c r="WK512" s="198">
        <f t="shared" si="2711"/>
        <v>0</v>
      </c>
      <c r="WL512" s="198">
        <f t="shared" si="2712"/>
        <v>0</v>
      </c>
      <c r="WN512" s="98">
        <f t="shared" ref="WN512:WN521" si="3734">SUMIF($C$481:$WL$481,$WN$481,C512:WL512)</f>
        <v>0</v>
      </c>
      <c r="WO512" s="98">
        <f t="shared" ref="WO512:WO521" si="3735">SUMIF($C$481:$WL$481,$WO$481,C512:WL512)</f>
        <v>0</v>
      </c>
      <c r="WP512" s="98">
        <f t="shared" ref="WP512:WP521" si="3736">SUMIF($C$481:$WL$481,$WP$481,C512:WL512)</f>
        <v>816631</v>
      </c>
      <c r="WQ512" s="98">
        <f t="shared" ref="WQ512:WQ521" si="3737">SUMIF($C$481:$WL$481,$WQ$481,C512:WL512)</f>
        <v>34993745</v>
      </c>
      <c r="WR512" s="98">
        <f t="shared" ref="WR512:WR521" si="3738">SUMIF($C$481:$WL$481,$WR$481,C512:WL512)</f>
        <v>0</v>
      </c>
      <c r="WS512" s="98">
        <f t="shared" ref="WS512:WS521" si="3739">SUMIF($C$481:$WL$481,$WS$481,C512:WL512)</f>
        <v>0</v>
      </c>
      <c r="WT512" s="98">
        <f t="shared" ref="WT512:WT521" si="3740">SUMIF($C$481:$WL$481,$WT$481,C512:WL512)</f>
        <v>0</v>
      </c>
      <c r="WU512" s="98">
        <f t="shared" ref="WU512:WU521" si="3741">SUMIF($C$481:$WL$481,$WU$481,C512:WL512)</f>
        <v>0</v>
      </c>
      <c r="WV512" s="98">
        <f t="shared" ref="WV512:WV521" si="3742">SUMIF($C$481:$WL$481,$WV$481,C512:WL512)</f>
        <v>0</v>
      </c>
      <c r="WW512" s="98">
        <f t="shared" ref="WW512:WW521" si="3743">SUMIF($C$481:$WL$481,$WW$481,C512:WL512)</f>
        <v>0</v>
      </c>
      <c r="WX512" s="98">
        <f t="shared" ref="WX512:WX521" si="3744">SUMIF($C$481:$WL$481,$WX$481,C512:WL512)</f>
        <v>0</v>
      </c>
      <c r="WY512" s="98">
        <f t="shared" ref="WY512:WY521" si="3745">SUMIF($C$481:$WL$481,$WY$481,C512:WL512)</f>
        <v>0</v>
      </c>
      <c r="WZ512" s="98">
        <f t="shared" ref="WZ512:WZ521" si="3746">SUMIF($C$481:$WL$481,$WZ$481,C512:WL512)</f>
        <v>0</v>
      </c>
      <c r="XA512" s="98">
        <f t="shared" ref="XA512:XA521" si="3747">SUMIF($C$481:$WL$481,$XA$481,C512:WL512)</f>
        <v>0</v>
      </c>
      <c r="XB512" s="107">
        <f t="shared" ref="XB512:XB521" si="3748">SUMIF($WN$483:$XA$483,$XB$481,WN512:XA512)</f>
        <v>816631</v>
      </c>
      <c r="XC512" s="107">
        <f t="shared" ref="XC512:XC521" si="3749">SUMIF($WN$483:$XA$483,$XC$481,WN512:XA512)</f>
        <v>34993745</v>
      </c>
      <c r="XK512" s="98">
        <f t="shared" si="2729"/>
        <v>0</v>
      </c>
      <c r="XL512" s="98">
        <f t="shared" si="2730"/>
        <v>0</v>
      </c>
      <c r="XM512" s="98">
        <f t="shared" si="2731"/>
        <v>0</v>
      </c>
      <c r="XN512" s="98">
        <f t="shared" si="2732"/>
        <v>0</v>
      </c>
      <c r="XO512" s="98">
        <f t="shared" si="2733"/>
        <v>30862376</v>
      </c>
      <c r="XP512" s="98">
        <f t="shared" si="2734"/>
        <v>0</v>
      </c>
      <c r="XQ512" s="98">
        <f t="shared" si="2735"/>
        <v>30862376</v>
      </c>
      <c r="XR512" s="107">
        <f t="shared" ca="1" si="2597"/>
        <v>62417683</v>
      </c>
      <c r="XT512" s="98">
        <f t="shared" si="2736"/>
        <v>34993745</v>
      </c>
      <c r="XU512" s="98">
        <f t="shared" si="2737"/>
        <v>692931</v>
      </c>
      <c r="XV512" s="98">
        <f t="shared" si="2738"/>
        <v>34993745</v>
      </c>
      <c r="XW512" s="98">
        <f t="shared" si="2739"/>
        <v>0</v>
      </c>
      <c r="XX512" s="98">
        <f t="shared" si="2740"/>
        <v>0</v>
      </c>
      <c r="XY512" s="98">
        <f t="shared" si="2741"/>
        <v>0</v>
      </c>
      <c r="XZ512" s="98">
        <f t="shared" si="2742"/>
        <v>30862376</v>
      </c>
      <c r="YA512" s="107">
        <f t="shared" ca="1" si="2598"/>
        <v>100849866</v>
      </c>
    </row>
    <row r="513" spans="1:1017">
      <c r="B513" s="90" t="str">
        <f t="shared" si="3695"/>
        <v xml:space="preserve">Udang_02 (Udang Rebon) </v>
      </c>
      <c r="C513" s="98">
        <f t="shared" ref="C513:P513" si="3750">SUM(C42,C80,C118,C156,C194,C232,C270,C308,C346,C384,C422,C460)</f>
        <v>0</v>
      </c>
      <c r="D513" s="98">
        <f t="shared" si="3750"/>
        <v>0</v>
      </c>
      <c r="E513" s="98">
        <f t="shared" si="3750"/>
        <v>0</v>
      </c>
      <c r="F513" s="98">
        <f t="shared" si="3750"/>
        <v>0</v>
      </c>
      <c r="G513" s="98">
        <f t="shared" si="3750"/>
        <v>0</v>
      </c>
      <c r="H513" s="98">
        <f t="shared" si="3750"/>
        <v>0</v>
      </c>
      <c r="I513" s="98">
        <f t="shared" si="3750"/>
        <v>0</v>
      </c>
      <c r="J513" s="98">
        <f t="shared" si="3750"/>
        <v>0</v>
      </c>
      <c r="K513" s="98">
        <f t="shared" si="3750"/>
        <v>0</v>
      </c>
      <c r="L513" s="98">
        <f t="shared" si="3750"/>
        <v>0</v>
      </c>
      <c r="M513" s="98">
        <f t="shared" si="3750"/>
        <v>0</v>
      </c>
      <c r="N513" s="98">
        <f t="shared" si="3750"/>
        <v>0</v>
      </c>
      <c r="O513" s="98">
        <f t="shared" si="3750"/>
        <v>0</v>
      </c>
      <c r="P513" s="98">
        <f t="shared" si="3750"/>
        <v>0</v>
      </c>
      <c r="Q513" s="198">
        <f t="shared" si="2600"/>
        <v>0</v>
      </c>
      <c r="R513" s="198">
        <f t="shared" si="2601"/>
        <v>0</v>
      </c>
      <c r="S513" s="98">
        <f t="shared" ref="S513:AF513" si="3751">SUM(S42,S80,S118,S156,S194,S232,S270,S308,S346,S384,S422,S460)</f>
        <v>0</v>
      </c>
      <c r="T513" s="98">
        <f t="shared" si="3751"/>
        <v>0</v>
      </c>
      <c r="U513" s="98">
        <f t="shared" si="3751"/>
        <v>0</v>
      </c>
      <c r="V513" s="98">
        <f t="shared" si="3751"/>
        <v>0</v>
      </c>
      <c r="W513" s="98">
        <f t="shared" si="3751"/>
        <v>0</v>
      </c>
      <c r="X513" s="98">
        <f t="shared" si="3751"/>
        <v>0</v>
      </c>
      <c r="Y513" s="98">
        <f t="shared" si="3751"/>
        <v>0</v>
      </c>
      <c r="Z513" s="98">
        <f t="shared" si="3751"/>
        <v>0</v>
      </c>
      <c r="AA513" s="98">
        <f t="shared" si="3751"/>
        <v>0</v>
      </c>
      <c r="AB513" s="98">
        <f t="shared" si="3751"/>
        <v>0</v>
      </c>
      <c r="AC513" s="98">
        <f t="shared" si="3751"/>
        <v>0</v>
      </c>
      <c r="AD513" s="98">
        <f t="shared" si="3751"/>
        <v>0</v>
      </c>
      <c r="AE513" s="98">
        <f t="shared" si="3751"/>
        <v>0</v>
      </c>
      <c r="AF513" s="98">
        <f t="shared" si="3751"/>
        <v>0</v>
      </c>
      <c r="AG513" s="198">
        <f t="shared" si="2603"/>
        <v>0</v>
      </c>
      <c r="AH513" s="198">
        <f t="shared" si="2604"/>
        <v>0</v>
      </c>
      <c r="AI513" s="98">
        <f t="shared" ref="AI513:AV513" si="3752">SUM(AI42,AI80,AI118,AI156,AI194,AI232,AI270,AI308,AI346,AI384,AI422,AI460)</f>
        <v>0</v>
      </c>
      <c r="AJ513" s="98">
        <f t="shared" si="3752"/>
        <v>0</v>
      </c>
      <c r="AK513" s="98">
        <f t="shared" si="3752"/>
        <v>0</v>
      </c>
      <c r="AL513" s="98">
        <f t="shared" si="3752"/>
        <v>0</v>
      </c>
      <c r="AM513" s="98">
        <f t="shared" si="3752"/>
        <v>0</v>
      </c>
      <c r="AN513" s="98">
        <f t="shared" si="3752"/>
        <v>0</v>
      </c>
      <c r="AO513" s="98">
        <f t="shared" si="3752"/>
        <v>0</v>
      </c>
      <c r="AP513" s="98">
        <f t="shared" si="3752"/>
        <v>0</v>
      </c>
      <c r="AQ513" s="98">
        <f t="shared" si="3752"/>
        <v>0</v>
      </c>
      <c r="AR513" s="98">
        <f t="shared" si="3752"/>
        <v>0</v>
      </c>
      <c r="AS513" s="98">
        <f t="shared" si="3752"/>
        <v>0</v>
      </c>
      <c r="AT513" s="98">
        <f t="shared" si="3752"/>
        <v>0</v>
      </c>
      <c r="AU513" s="98">
        <f t="shared" si="3752"/>
        <v>0</v>
      </c>
      <c r="AV513" s="98">
        <f t="shared" si="3752"/>
        <v>0</v>
      </c>
      <c r="AW513" s="198">
        <f t="shared" si="2606"/>
        <v>0</v>
      </c>
      <c r="AX513" s="198">
        <f t="shared" si="2607"/>
        <v>0</v>
      </c>
      <c r="AY513" s="98">
        <f t="shared" ref="AY513:BL513" si="3753">SUM(AY42,AY80,AY118,AY156,AY194,AY232,AY270,AY308,AY346,AY384,AY422,AY460)</f>
        <v>0</v>
      </c>
      <c r="AZ513" s="98">
        <f t="shared" si="3753"/>
        <v>0</v>
      </c>
      <c r="BA513" s="98">
        <f t="shared" si="3753"/>
        <v>0</v>
      </c>
      <c r="BB513" s="98">
        <f t="shared" si="3753"/>
        <v>0</v>
      </c>
      <c r="BC513" s="98">
        <f t="shared" si="3753"/>
        <v>0</v>
      </c>
      <c r="BD513" s="98">
        <f t="shared" si="3753"/>
        <v>0</v>
      </c>
      <c r="BE513" s="98">
        <f t="shared" si="3753"/>
        <v>0</v>
      </c>
      <c r="BF513" s="98">
        <f t="shared" si="3753"/>
        <v>0</v>
      </c>
      <c r="BG513" s="98">
        <f t="shared" si="3753"/>
        <v>0</v>
      </c>
      <c r="BH513" s="98">
        <f t="shared" si="3753"/>
        <v>0</v>
      </c>
      <c r="BI513" s="98">
        <f t="shared" si="3753"/>
        <v>0</v>
      </c>
      <c r="BJ513" s="98">
        <f t="shared" si="3753"/>
        <v>0</v>
      </c>
      <c r="BK513" s="98">
        <f t="shared" si="3753"/>
        <v>0</v>
      </c>
      <c r="BL513" s="98">
        <f t="shared" si="3753"/>
        <v>0</v>
      </c>
      <c r="BM513" s="198">
        <f t="shared" si="2609"/>
        <v>0</v>
      </c>
      <c r="BN513" s="198">
        <f t="shared" si="2610"/>
        <v>0</v>
      </c>
      <c r="BO513" s="98">
        <f t="shared" ref="BO513:CB513" si="3754">SUM(BO42,BO80,BO118,BO156,BO194,BO232,BO270,BO308,BO346,BO384,BO422,BO460)</f>
        <v>0</v>
      </c>
      <c r="BP513" s="98">
        <f t="shared" si="3754"/>
        <v>0</v>
      </c>
      <c r="BQ513" s="98">
        <f t="shared" si="3754"/>
        <v>0</v>
      </c>
      <c r="BR513" s="98">
        <f t="shared" si="3754"/>
        <v>0</v>
      </c>
      <c r="BS513" s="98">
        <f t="shared" si="3754"/>
        <v>0</v>
      </c>
      <c r="BT513" s="98">
        <f t="shared" si="3754"/>
        <v>0</v>
      </c>
      <c r="BU513" s="98">
        <f t="shared" si="3754"/>
        <v>0</v>
      </c>
      <c r="BV513" s="98">
        <f t="shared" si="3754"/>
        <v>0</v>
      </c>
      <c r="BW513" s="98">
        <f t="shared" si="3754"/>
        <v>0</v>
      </c>
      <c r="BX513" s="98">
        <f t="shared" si="3754"/>
        <v>0</v>
      </c>
      <c r="BY513" s="98">
        <f t="shared" si="3754"/>
        <v>0</v>
      </c>
      <c r="BZ513" s="98">
        <f t="shared" si="3754"/>
        <v>0</v>
      </c>
      <c r="CA513" s="98">
        <f t="shared" si="3754"/>
        <v>0</v>
      </c>
      <c r="CB513" s="98">
        <f t="shared" si="3754"/>
        <v>0</v>
      </c>
      <c r="CC513" s="198">
        <f t="shared" si="2612"/>
        <v>0</v>
      </c>
      <c r="CD513" s="198">
        <f t="shared" si="2613"/>
        <v>0</v>
      </c>
      <c r="CE513" s="98">
        <f t="shared" ref="CE513:CR513" si="3755">SUM(CE42,CE80,CE118,CE156,CE194,CE232,CE270,CE308,CE346,CE384,CE422,CE460)</f>
        <v>0</v>
      </c>
      <c r="CF513" s="98">
        <f t="shared" si="3755"/>
        <v>0</v>
      </c>
      <c r="CG513" s="98">
        <f t="shared" si="3755"/>
        <v>0</v>
      </c>
      <c r="CH513" s="98">
        <f t="shared" si="3755"/>
        <v>0</v>
      </c>
      <c r="CI513" s="98">
        <f t="shared" si="3755"/>
        <v>0</v>
      </c>
      <c r="CJ513" s="98">
        <f t="shared" si="3755"/>
        <v>0</v>
      </c>
      <c r="CK513" s="98">
        <f t="shared" si="3755"/>
        <v>0</v>
      </c>
      <c r="CL513" s="98">
        <f t="shared" si="3755"/>
        <v>0</v>
      </c>
      <c r="CM513" s="98">
        <f t="shared" si="3755"/>
        <v>0</v>
      </c>
      <c r="CN513" s="98">
        <f t="shared" si="3755"/>
        <v>0</v>
      </c>
      <c r="CO513" s="98">
        <f t="shared" si="3755"/>
        <v>0</v>
      </c>
      <c r="CP513" s="98">
        <f t="shared" si="3755"/>
        <v>0</v>
      </c>
      <c r="CQ513" s="98">
        <f t="shared" si="3755"/>
        <v>0</v>
      </c>
      <c r="CR513" s="98">
        <f t="shared" si="3755"/>
        <v>0</v>
      </c>
      <c r="CS513" s="198">
        <f t="shared" si="2615"/>
        <v>0</v>
      </c>
      <c r="CT513" s="198">
        <f t="shared" si="2616"/>
        <v>0</v>
      </c>
      <c r="CU513" s="98">
        <f t="shared" ref="CU513:DH513" si="3756">SUM(CU42,CU80,CU118,CU156,CU194,CU232,CU270,CU308,CU346,CU384,CU422,CU460)</f>
        <v>0</v>
      </c>
      <c r="CV513" s="98">
        <f t="shared" si="3756"/>
        <v>0</v>
      </c>
      <c r="CW513" s="98">
        <f t="shared" si="3756"/>
        <v>0</v>
      </c>
      <c r="CX513" s="98">
        <f t="shared" si="3756"/>
        <v>0</v>
      </c>
      <c r="CY513" s="98">
        <f t="shared" si="3756"/>
        <v>0</v>
      </c>
      <c r="CZ513" s="98">
        <f t="shared" si="3756"/>
        <v>0</v>
      </c>
      <c r="DA513" s="98">
        <f t="shared" si="3756"/>
        <v>0</v>
      </c>
      <c r="DB513" s="98">
        <f t="shared" si="3756"/>
        <v>0</v>
      </c>
      <c r="DC513" s="98">
        <f t="shared" si="3756"/>
        <v>0</v>
      </c>
      <c r="DD513" s="98">
        <f t="shared" si="3756"/>
        <v>0</v>
      </c>
      <c r="DE513" s="98">
        <f t="shared" si="3756"/>
        <v>0</v>
      </c>
      <c r="DF513" s="98">
        <f t="shared" si="3756"/>
        <v>0</v>
      </c>
      <c r="DG513" s="98">
        <f t="shared" si="3756"/>
        <v>0</v>
      </c>
      <c r="DH513" s="98">
        <f t="shared" si="3756"/>
        <v>0</v>
      </c>
      <c r="DI513" s="198">
        <f t="shared" si="2618"/>
        <v>0</v>
      </c>
      <c r="DJ513" s="198">
        <f t="shared" si="2619"/>
        <v>0</v>
      </c>
      <c r="DK513" s="98">
        <f t="shared" ref="DK513:DX513" si="3757">SUM(DK42,DK80,DK118,DK156,DK194,DK232,DK270,DK308,DK346,DK384,DK422,DK460)</f>
        <v>0</v>
      </c>
      <c r="DL513" s="98">
        <f t="shared" si="3757"/>
        <v>0</v>
      </c>
      <c r="DM513" s="98">
        <f t="shared" si="3757"/>
        <v>0</v>
      </c>
      <c r="DN513" s="98">
        <f t="shared" si="3757"/>
        <v>0</v>
      </c>
      <c r="DO513" s="98">
        <f t="shared" si="3757"/>
        <v>0</v>
      </c>
      <c r="DP513" s="98">
        <f t="shared" si="3757"/>
        <v>0</v>
      </c>
      <c r="DQ513" s="98">
        <f t="shared" si="3757"/>
        <v>0</v>
      </c>
      <c r="DR513" s="98">
        <f t="shared" si="3757"/>
        <v>0</v>
      </c>
      <c r="DS513" s="98">
        <f t="shared" si="3757"/>
        <v>0</v>
      </c>
      <c r="DT513" s="98">
        <f t="shared" si="3757"/>
        <v>0</v>
      </c>
      <c r="DU513" s="98">
        <f t="shared" si="3757"/>
        <v>0</v>
      </c>
      <c r="DV513" s="98">
        <f t="shared" si="3757"/>
        <v>0</v>
      </c>
      <c r="DW513" s="98">
        <f t="shared" si="3757"/>
        <v>0</v>
      </c>
      <c r="DX513" s="98">
        <f t="shared" si="3757"/>
        <v>0</v>
      </c>
      <c r="DY513" s="198">
        <f t="shared" si="2621"/>
        <v>0</v>
      </c>
      <c r="DZ513" s="198">
        <f t="shared" si="2622"/>
        <v>0</v>
      </c>
      <c r="EA513" s="98">
        <f t="shared" ref="EA513:EN513" si="3758">SUM(EA42,EA80,EA118,EA156,EA194,EA232,EA270,EA308,EA346,EA384,EA422,EA460)</f>
        <v>0</v>
      </c>
      <c r="EB513" s="98">
        <f t="shared" si="3758"/>
        <v>0</v>
      </c>
      <c r="EC513" s="98">
        <f t="shared" si="3758"/>
        <v>0</v>
      </c>
      <c r="ED513" s="98">
        <f t="shared" si="3758"/>
        <v>0</v>
      </c>
      <c r="EE513" s="98">
        <f t="shared" si="3758"/>
        <v>0</v>
      </c>
      <c r="EF513" s="98">
        <f t="shared" si="3758"/>
        <v>0</v>
      </c>
      <c r="EG513" s="98">
        <f t="shared" si="3758"/>
        <v>0</v>
      </c>
      <c r="EH513" s="98">
        <f t="shared" si="3758"/>
        <v>0</v>
      </c>
      <c r="EI513" s="98">
        <f t="shared" si="3758"/>
        <v>0</v>
      </c>
      <c r="EJ513" s="98">
        <f t="shared" si="3758"/>
        <v>0</v>
      </c>
      <c r="EK513" s="98">
        <f t="shared" si="3758"/>
        <v>0</v>
      </c>
      <c r="EL513" s="98">
        <f t="shared" si="3758"/>
        <v>0</v>
      </c>
      <c r="EM513" s="98">
        <f t="shared" si="3758"/>
        <v>0</v>
      </c>
      <c r="EN513" s="98">
        <f t="shared" si="3758"/>
        <v>0</v>
      </c>
      <c r="EO513" s="198">
        <f t="shared" si="2624"/>
        <v>0</v>
      </c>
      <c r="EP513" s="198">
        <f t="shared" si="2625"/>
        <v>0</v>
      </c>
      <c r="EQ513" s="98">
        <f t="shared" ref="EQ513:FD513" si="3759">SUM(EQ42,EQ80,EQ118,EQ156,EQ194,EQ232,EQ270,EQ308,EQ346,EQ384,EQ422,EQ460)</f>
        <v>0</v>
      </c>
      <c r="ER513" s="98">
        <f t="shared" si="3759"/>
        <v>0</v>
      </c>
      <c r="ES513" s="98">
        <f t="shared" si="3759"/>
        <v>0</v>
      </c>
      <c r="ET513" s="98">
        <f t="shared" si="3759"/>
        <v>0</v>
      </c>
      <c r="EU513" s="98">
        <f t="shared" si="3759"/>
        <v>0</v>
      </c>
      <c r="EV513" s="98">
        <f t="shared" si="3759"/>
        <v>0</v>
      </c>
      <c r="EW513" s="98">
        <f t="shared" si="3759"/>
        <v>0</v>
      </c>
      <c r="EX513" s="98">
        <f t="shared" si="3759"/>
        <v>0</v>
      </c>
      <c r="EY513" s="98">
        <f t="shared" si="3759"/>
        <v>0</v>
      </c>
      <c r="EZ513" s="98">
        <f t="shared" si="3759"/>
        <v>0</v>
      </c>
      <c r="FA513" s="98">
        <f t="shared" si="3759"/>
        <v>0</v>
      </c>
      <c r="FB513" s="98">
        <f t="shared" si="3759"/>
        <v>0</v>
      </c>
      <c r="FC513" s="98">
        <f t="shared" si="3759"/>
        <v>0</v>
      </c>
      <c r="FD513" s="98">
        <f t="shared" si="3759"/>
        <v>0</v>
      </c>
      <c r="FE513" s="198">
        <f t="shared" si="2627"/>
        <v>0</v>
      </c>
      <c r="FF513" s="198">
        <f t="shared" si="2628"/>
        <v>0</v>
      </c>
      <c r="FG513" s="98">
        <f t="shared" ref="FG513:FT513" si="3760">SUM(FG42,FG80,FG118,FG156,FG194,FG232,FG270,FG308,FG346,FG384,FG422,FG460)</f>
        <v>0</v>
      </c>
      <c r="FH513" s="98">
        <f t="shared" si="3760"/>
        <v>0</v>
      </c>
      <c r="FI513" s="98">
        <f t="shared" si="3760"/>
        <v>0</v>
      </c>
      <c r="FJ513" s="98">
        <f t="shared" si="3760"/>
        <v>0</v>
      </c>
      <c r="FK513" s="98">
        <f t="shared" si="3760"/>
        <v>0</v>
      </c>
      <c r="FL513" s="98">
        <f t="shared" si="3760"/>
        <v>0</v>
      </c>
      <c r="FM513" s="98">
        <f t="shared" si="3760"/>
        <v>0</v>
      </c>
      <c r="FN513" s="98">
        <f t="shared" si="3760"/>
        <v>0</v>
      </c>
      <c r="FO513" s="98">
        <f t="shared" si="3760"/>
        <v>0</v>
      </c>
      <c r="FP513" s="98">
        <f t="shared" si="3760"/>
        <v>0</v>
      </c>
      <c r="FQ513" s="98">
        <f t="shared" si="3760"/>
        <v>0</v>
      </c>
      <c r="FR513" s="98">
        <f t="shared" si="3760"/>
        <v>0</v>
      </c>
      <c r="FS513" s="98">
        <f t="shared" si="3760"/>
        <v>0</v>
      </c>
      <c r="FT513" s="98">
        <f t="shared" si="3760"/>
        <v>0</v>
      </c>
      <c r="FU513" s="198">
        <f t="shared" si="2630"/>
        <v>0</v>
      </c>
      <c r="FV513" s="198">
        <f t="shared" si="2631"/>
        <v>0</v>
      </c>
      <c r="FW513" s="98">
        <f t="shared" ref="FW513:GJ513" si="3761">SUM(FW42,FW80,FW118,FW156,FW194,FW232,FW270,FW308,FW346,FW384,FW422,FW460)</f>
        <v>0</v>
      </c>
      <c r="FX513" s="98">
        <f t="shared" si="3761"/>
        <v>0</v>
      </c>
      <c r="FY513" s="98">
        <f t="shared" si="3761"/>
        <v>0</v>
      </c>
      <c r="FZ513" s="98">
        <f t="shared" si="3761"/>
        <v>0</v>
      </c>
      <c r="GA513" s="98">
        <f t="shared" si="3761"/>
        <v>0</v>
      </c>
      <c r="GB513" s="98">
        <f t="shared" si="3761"/>
        <v>0</v>
      </c>
      <c r="GC513" s="98">
        <f t="shared" si="3761"/>
        <v>0</v>
      </c>
      <c r="GD513" s="98">
        <f t="shared" si="3761"/>
        <v>0</v>
      </c>
      <c r="GE513" s="98">
        <f t="shared" si="3761"/>
        <v>0</v>
      </c>
      <c r="GF513" s="98">
        <f t="shared" si="3761"/>
        <v>0</v>
      </c>
      <c r="GG513" s="98">
        <f t="shared" si="3761"/>
        <v>0</v>
      </c>
      <c r="GH513" s="98">
        <f t="shared" si="3761"/>
        <v>0</v>
      </c>
      <c r="GI513" s="98">
        <f t="shared" si="3761"/>
        <v>0</v>
      </c>
      <c r="GJ513" s="98">
        <f t="shared" si="3761"/>
        <v>0</v>
      </c>
      <c r="GK513" s="198">
        <f t="shared" si="2633"/>
        <v>0</v>
      </c>
      <c r="GL513" s="198">
        <f t="shared" si="2634"/>
        <v>0</v>
      </c>
      <c r="GM513" s="98">
        <f t="shared" ref="GM513:GZ513" si="3762">SUM(GM42,GM80,GM118,GM156,GM194,GM232,GM270,GM308,GM346,GM384,GM422,GM460)</f>
        <v>0</v>
      </c>
      <c r="GN513" s="98">
        <f t="shared" si="3762"/>
        <v>0</v>
      </c>
      <c r="GO513" s="98">
        <f t="shared" si="3762"/>
        <v>0</v>
      </c>
      <c r="GP513" s="98">
        <f t="shared" si="3762"/>
        <v>0</v>
      </c>
      <c r="GQ513" s="98">
        <f t="shared" si="3762"/>
        <v>0</v>
      </c>
      <c r="GR513" s="98">
        <f t="shared" si="3762"/>
        <v>0</v>
      </c>
      <c r="GS513" s="98">
        <f t="shared" si="3762"/>
        <v>0</v>
      </c>
      <c r="GT513" s="98">
        <f t="shared" si="3762"/>
        <v>0</v>
      </c>
      <c r="GU513" s="98">
        <f t="shared" si="3762"/>
        <v>0</v>
      </c>
      <c r="GV513" s="98">
        <f t="shared" si="3762"/>
        <v>0</v>
      </c>
      <c r="GW513" s="98">
        <f t="shared" si="3762"/>
        <v>0</v>
      </c>
      <c r="GX513" s="98">
        <f t="shared" si="3762"/>
        <v>0</v>
      </c>
      <c r="GY513" s="98">
        <f t="shared" si="3762"/>
        <v>0</v>
      </c>
      <c r="GZ513" s="98">
        <f t="shared" si="3762"/>
        <v>0</v>
      </c>
      <c r="HA513" s="198">
        <f t="shared" si="2636"/>
        <v>0</v>
      </c>
      <c r="HB513" s="198">
        <f t="shared" si="2637"/>
        <v>0</v>
      </c>
      <c r="HC513" s="98">
        <f t="shared" ref="HC513:HP513" si="3763">SUM(HC42,HC80,HC118,HC156,HC194,HC232,HC270,HC308,HC346,HC384,HC422,HC460)</f>
        <v>0</v>
      </c>
      <c r="HD513" s="98">
        <f t="shared" si="3763"/>
        <v>0</v>
      </c>
      <c r="HE513" s="98">
        <f t="shared" si="3763"/>
        <v>0</v>
      </c>
      <c r="HF513" s="98">
        <f t="shared" si="3763"/>
        <v>0</v>
      </c>
      <c r="HG513" s="98">
        <f t="shared" si="3763"/>
        <v>0</v>
      </c>
      <c r="HH513" s="98">
        <f t="shared" si="3763"/>
        <v>0</v>
      </c>
      <c r="HI513" s="98">
        <f t="shared" si="3763"/>
        <v>0</v>
      </c>
      <c r="HJ513" s="98">
        <f t="shared" si="3763"/>
        <v>0</v>
      </c>
      <c r="HK513" s="98">
        <f t="shared" si="3763"/>
        <v>0</v>
      </c>
      <c r="HL513" s="98">
        <f t="shared" si="3763"/>
        <v>0</v>
      </c>
      <c r="HM513" s="98">
        <f t="shared" si="3763"/>
        <v>0</v>
      </c>
      <c r="HN513" s="98">
        <f t="shared" si="3763"/>
        <v>0</v>
      </c>
      <c r="HO513" s="98">
        <f t="shared" si="3763"/>
        <v>0</v>
      </c>
      <c r="HP513" s="98">
        <f t="shared" si="3763"/>
        <v>0</v>
      </c>
      <c r="HQ513" s="198">
        <f t="shared" si="2639"/>
        <v>0</v>
      </c>
      <c r="HR513" s="198">
        <f t="shared" si="2640"/>
        <v>0</v>
      </c>
      <c r="HS513" s="98">
        <f t="shared" ref="HS513:IF513" si="3764">SUM(HS42,HS80,HS118,HS156,HS194,HS232,HS270,HS308,HS346,HS384,HS422,HS460)</f>
        <v>0</v>
      </c>
      <c r="HT513" s="98">
        <f t="shared" si="3764"/>
        <v>0</v>
      </c>
      <c r="HU513" s="98">
        <f t="shared" si="3764"/>
        <v>0</v>
      </c>
      <c r="HV513" s="98">
        <f t="shared" si="3764"/>
        <v>0</v>
      </c>
      <c r="HW513" s="98">
        <f t="shared" si="3764"/>
        <v>0</v>
      </c>
      <c r="HX513" s="98">
        <f t="shared" si="3764"/>
        <v>0</v>
      </c>
      <c r="HY513" s="98">
        <f t="shared" si="3764"/>
        <v>0</v>
      </c>
      <c r="HZ513" s="98">
        <f t="shared" si="3764"/>
        <v>0</v>
      </c>
      <c r="IA513" s="98">
        <f t="shared" si="3764"/>
        <v>0</v>
      </c>
      <c r="IB513" s="98">
        <f t="shared" si="3764"/>
        <v>0</v>
      </c>
      <c r="IC513" s="98">
        <f t="shared" si="3764"/>
        <v>0</v>
      </c>
      <c r="ID513" s="98">
        <f t="shared" si="3764"/>
        <v>0</v>
      </c>
      <c r="IE513" s="98">
        <f t="shared" si="3764"/>
        <v>0</v>
      </c>
      <c r="IF513" s="98">
        <f t="shared" si="3764"/>
        <v>0</v>
      </c>
      <c r="IG513" s="198">
        <f t="shared" si="2642"/>
        <v>0</v>
      </c>
      <c r="IH513" s="198">
        <f t="shared" si="2643"/>
        <v>0</v>
      </c>
      <c r="II513" s="98">
        <f t="shared" ref="II513:IV513" si="3765">SUM(II42,II80,II118,II156,II194,II232,II270,II308,II346,II384,II422,II460)</f>
        <v>0</v>
      </c>
      <c r="IJ513" s="98">
        <f t="shared" si="3765"/>
        <v>0</v>
      </c>
      <c r="IK513" s="98">
        <f t="shared" si="3765"/>
        <v>0</v>
      </c>
      <c r="IL513" s="98">
        <f t="shared" si="3765"/>
        <v>0</v>
      </c>
      <c r="IM513" s="98">
        <f t="shared" si="3765"/>
        <v>0</v>
      </c>
      <c r="IN513" s="98">
        <f t="shared" si="3765"/>
        <v>0</v>
      </c>
      <c r="IO513" s="98">
        <f t="shared" si="3765"/>
        <v>0</v>
      </c>
      <c r="IP513" s="98">
        <f t="shared" si="3765"/>
        <v>0</v>
      </c>
      <c r="IQ513" s="98">
        <f t="shared" si="3765"/>
        <v>0</v>
      </c>
      <c r="IR513" s="98">
        <f t="shared" si="3765"/>
        <v>0</v>
      </c>
      <c r="IS513" s="98">
        <f t="shared" si="3765"/>
        <v>0</v>
      </c>
      <c r="IT513" s="98">
        <f t="shared" si="3765"/>
        <v>0</v>
      </c>
      <c r="IU513" s="98">
        <f t="shared" si="3765"/>
        <v>0</v>
      </c>
      <c r="IV513" s="98">
        <f t="shared" si="3765"/>
        <v>0</v>
      </c>
      <c r="IW513" s="198">
        <f t="shared" si="2645"/>
        <v>0</v>
      </c>
      <c r="IX513" s="198">
        <f t="shared" si="2646"/>
        <v>0</v>
      </c>
      <c r="IY513" s="98">
        <f t="shared" ref="IY513:JL513" si="3766">SUM(IY42,IY80,IY118,IY156,IY194,IY232,IY270,IY308,IY346,IY384,IY422,IY460)</f>
        <v>0</v>
      </c>
      <c r="IZ513" s="98">
        <f t="shared" si="3766"/>
        <v>0</v>
      </c>
      <c r="JA513" s="98">
        <f t="shared" si="3766"/>
        <v>0</v>
      </c>
      <c r="JB513" s="98">
        <f t="shared" si="3766"/>
        <v>0</v>
      </c>
      <c r="JC513" s="98">
        <f t="shared" si="3766"/>
        <v>0</v>
      </c>
      <c r="JD513" s="98">
        <f t="shared" si="3766"/>
        <v>0</v>
      </c>
      <c r="JE513" s="98">
        <f t="shared" si="3766"/>
        <v>0</v>
      </c>
      <c r="JF513" s="98">
        <f t="shared" si="3766"/>
        <v>0</v>
      </c>
      <c r="JG513" s="98">
        <f t="shared" si="3766"/>
        <v>0</v>
      </c>
      <c r="JH513" s="98">
        <f t="shared" si="3766"/>
        <v>0</v>
      </c>
      <c r="JI513" s="98">
        <f t="shared" si="3766"/>
        <v>0</v>
      </c>
      <c r="JJ513" s="98">
        <f t="shared" si="3766"/>
        <v>0</v>
      </c>
      <c r="JK513" s="98">
        <f t="shared" si="3766"/>
        <v>0</v>
      </c>
      <c r="JL513" s="98">
        <f t="shared" si="3766"/>
        <v>0</v>
      </c>
      <c r="JM513" s="198">
        <f t="shared" si="2648"/>
        <v>0</v>
      </c>
      <c r="JN513" s="198">
        <f t="shared" si="2649"/>
        <v>0</v>
      </c>
      <c r="JO513" s="98">
        <f t="shared" ref="JO513:KB513" si="3767">SUM(JO42,JO80,JO118,JO156,JO194,JO232,JO270,JO308,JO346,JO384,JO422,JO460)</f>
        <v>0</v>
      </c>
      <c r="JP513" s="98">
        <f t="shared" si="3767"/>
        <v>0</v>
      </c>
      <c r="JQ513" s="98">
        <f t="shared" si="3767"/>
        <v>0</v>
      </c>
      <c r="JR513" s="98">
        <f t="shared" si="3767"/>
        <v>0</v>
      </c>
      <c r="JS513" s="98">
        <f t="shared" si="3767"/>
        <v>0</v>
      </c>
      <c r="JT513" s="98">
        <f t="shared" si="3767"/>
        <v>0</v>
      </c>
      <c r="JU513" s="98">
        <f t="shared" si="3767"/>
        <v>0</v>
      </c>
      <c r="JV513" s="98">
        <f t="shared" si="3767"/>
        <v>0</v>
      </c>
      <c r="JW513" s="98">
        <f t="shared" si="3767"/>
        <v>0</v>
      </c>
      <c r="JX513" s="98">
        <f t="shared" si="3767"/>
        <v>0</v>
      </c>
      <c r="JY513" s="98">
        <f t="shared" si="3767"/>
        <v>0</v>
      </c>
      <c r="JZ513" s="98">
        <f t="shared" si="3767"/>
        <v>0</v>
      </c>
      <c r="KA513" s="98">
        <f t="shared" si="3767"/>
        <v>0</v>
      </c>
      <c r="KB513" s="98">
        <f t="shared" si="3767"/>
        <v>0</v>
      </c>
      <c r="KC513" s="198">
        <f t="shared" si="2651"/>
        <v>0</v>
      </c>
      <c r="KD513" s="198">
        <f t="shared" si="2652"/>
        <v>0</v>
      </c>
      <c r="KE513" s="98">
        <f t="shared" ref="KE513:KR513" si="3768">SUM(KE42,KE80,KE118,KE156,KE194,KE232,KE270,KE308,KE346,KE384,KE422,KE460)</f>
        <v>0</v>
      </c>
      <c r="KF513" s="98">
        <f t="shared" si="3768"/>
        <v>0</v>
      </c>
      <c r="KG513" s="98">
        <f t="shared" si="3768"/>
        <v>0</v>
      </c>
      <c r="KH513" s="98">
        <f t="shared" si="3768"/>
        <v>0</v>
      </c>
      <c r="KI513" s="98">
        <f t="shared" si="3768"/>
        <v>0</v>
      </c>
      <c r="KJ513" s="98">
        <f t="shared" si="3768"/>
        <v>0</v>
      </c>
      <c r="KK513" s="98">
        <f t="shared" si="3768"/>
        <v>0</v>
      </c>
      <c r="KL513" s="98">
        <f t="shared" si="3768"/>
        <v>0</v>
      </c>
      <c r="KM513" s="98">
        <f t="shared" si="3768"/>
        <v>0</v>
      </c>
      <c r="KN513" s="98">
        <f t="shared" si="3768"/>
        <v>0</v>
      </c>
      <c r="KO513" s="98">
        <f t="shared" si="3768"/>
        <v>0</v>
      </c>
      <c r="KP513" s="98">
        <f t="shared" si="3768"/>
        <v>0</v>
      </c>
      <c r="KQ513" s="98">
        <f t="shared" si="3768"/>
        <v>0</v>
      </c>
      <c r="KR513" s="98">
        <f t="shared" si="3768"/>
        <v>0</v>
      </c>
      <c r="KS513" s="198">
        <f t="shared" si="2654"/>
        <v>0</v>
      </c>
      <c r="KT513" s="198">
        <f t="shared" si="2655"/>
        <v>0</v>
      </c>
      <c r="KU513" s="98">
        <f t="shared" ref="KU513:LH513" si="3769">SUM(KU42,KU80,KU118,KU156,KU194,KU232,KU270,KU308,KU346,KU384,KU422,KU460)</f>
        <v>0</v>
      </c>
      <c r="KV513" s="98">
        <f t="shared" si="3769"/>
        <v>0</v>
      </c>
      <c r="KW513" s="98">
        <f t="shared" si="3769"/>
        <v>0</v>
      </c>
      <c r="KX513" s="98">
        <f t="shared" si="3769"/>
        <v>0</v>
      </c>
      <c r="KY513" s="98">
        <f t="shared" si="3769"/>
        <v>0</v>
      </c>
      <c r="KZ513" s="98">
        <f t="shared" si="3769"/>
        <v>0</v>
      </c>
      <c r="LA513" s="98">
        <f t="shared" si="3769"/>
        <v>0</v>
      </c>
      <c r="LB513" s="98">
        <f t="shared" si="3769"/>
        <v>0</v>
      </c>
      <c r="LC513" s="98">
        <f t="shared" si="3769"/>
        <v>0</v>
      </c>
      <c r="LD513" s="98">
        <f t="shared" si="3769"/>
        <v>0</v>
      </c>
      <c r="LE513" s="98">
        <f t="shared" si="3769"/>
        <v>0</v>
      </c>
      <c r="LF513" s="98">
        <f t="shared" si="3769"/>
        <v>0</v>
      </c>
      <c r="LG513" s="98">
        <f t="shared" si="3769"/>
        <v>0</v>
      </c>
      <c r="LH513" s="98">
        <f t="shared" si="3769"/>
        <v>0</v>
      </c>
      <c r="LI513" s="198">
        <f t="shared" si="2657"/>
        <v>0</v>
      </c>
      <c r="LJ513" s="198">
        <f t="shared" si="2658"/>
        <v>0</v>
      </c>
      <c r="LK513" s="98">
        <f t="shared" ref="LK513:LX513" si="3770">SUM(LK42,LK80,LK118,LK156,LK194,LK232,LK270,LK308,LK346,LK384,LK422,LK460)</f>
        <v>0</v>
      </c>
      <c r="LL513" s="98">
        <f t="shared" si="3770"/>
        <v>0</v>
      </c>
      <c r="LM513" s="98">
        <f t="shared" si="3770"/>
        <v>0</v>
      </c>
      <c r="LN513" s="98">
        <f t="shared" si="3770"/>
        <v>0</v>
      </c>
      <c r="LO513" s="98">
        <f t="shared" si="3770"/>
        <v>0</v>
      </c>
      <c r="LP513" s="98">
        <f t="shared" si="3770"/>
        <v>0</v>
      </c>
      <c r="LQ513" s="98">
        <f t="shared" si="3770"/>
        <v>0</v>
      </c>
      <c r="LR513" s="98">
        <f t="shared" si="3770"/>
        <v>0</v>
      </c>
      <c r="LS513" s="98">
        <f t="shared" si="3770"/>
        <v>0</v>
      </c>
      <c r="LT513" s="98">
        <f t="shared" si="3770"/>
        <v>0</v>
      </c>
      <c r="LU513" s="98">
        <f t="shared" si="3770"/>
        <v>0</v>
      </c>
      <c r="LV513" s="98">
        <f t="shared" si="3770"/>
        <v>0</v>
      </c>
      <c r="LW513" s="98">
        <f t="shared" si="3770"/>
        <v>0</v>
      </c>
      <c r="LX513" s="98">
        <f t="shared" si="3770"/>
        <v>0</v>
      </c>
      <c r="LY513" s="198">
        <f t="shared" si="2660"/>
        <v>0</v>
      </c>
      <c r="LZ513" s="198">
        <f t="shared" si="2661"/>
        <v>0</v>
      </c>
      <c r="MA513" s="98">
        <f t="shared" ref="MA513:MN513" si="3771">SUM(MA42,MA80,MA118,MA156,MA194,MA232,MA270,MA308,MA346,MA384,MA422,MA460)</f>
        <v>0</v>
      </c>
      <c r="MB513" s="98">
        <f t="shared" si="3771"/>
        <v>0</v>
      </c>
      <c r="MC513" s="98">
        <f t="shared" si="3771"/>
        <v>0</v>
      </c>
      <c r="MD513" s="98">
        <f t="shared" si="3771"/>
        <v>0</v>
      </c>
      <c r="ME513" s="98">
        <f t="shared" si="3771"/>
        <v>0</v>
      </c>
      <c r="MF513" s="98">
        <f t="shared" si="3771"/>
        <v>0</v>
      </c>
      <c r="MG513" s="98">
        <f t="shared" si="3771"/>
        <v>0</v>
      </c>
      <c r="MH513" s="98">
        <f t="shared" si="3771"/>
        <v>0</v>
      </c>
      <c r="MI513" s="98">
        <f t="shared" si="3771"/>
        <v>0</v>
      </c>
      <c r="MJ513" s="98">
        <f t="shared" si="3771"/>
        <v>0</v>
      </c>
      <c r="MK513" s="98">
        <f t="shared" si="3771"/>
        <v>0</v>
      </c>
      <c r="ML513" s="98">
        <f t="shared" si="3771"/>
        <v>0</v>
      </c>
      <c r="MM513" s="98">
        <f t="shared" si="3771"/>
        <v>0</v>
      </c>
      <c r="MN513" s="98">
        <f t="shared" si="3771"/>
        <v>0</v>
      </c>
      <c r="MO513" s="198">
        <f t="shared" si="2663"/>
        <v>0</v>
      </c>
      <c r="MP513" s="198">
        <f t="shared" si="2664"/>
        <v>0</v>
      </c>
      <c r="MQ513" s="98">
        <f t="shared" ref="MQ513:ND513" si="3772">SUM(MQ42,MQ80,MQ118,MQ156,MQ194,MQ232,MQ270,MQ308,MQ346,MQ384,MQ422,MQ460)</f>
        <v>0</v>
      </c>
      <c r="MR513" s="98">
        <f t="shared" si="3772"/>
        <v>0</v>
      </c>
      <c r="MS513" s="98">
        <f t="shared" si="3772"/>
        <v>0</v>
      </c>
      <c r="MT513" s="98">
        <f t="shared" si="3772"/>
        <v>0</v>
      </c>
      <c r="MU513" s="98">
        <f t="shared" si="3772"/>
        <v>0</v>
      </c>
      <c r="MV513" s="98">
        <f t="shared" si="3772"/>
        <v>0</v>
      </c>
      <c r="MW513" s="98">
        <f t="shared" si="3772"/>
        <v>0</v>
      </c>
      <c r="MX513" s="98">
        <f t="shared" si="3772"/>
        <v>0</v>
      </c>
      <c r="MY513" s="98">
        <f t="shared" si="3772"/>
        <v>0</v>
      </c>
      <c r="MZ513" s="98">
        <f t="shared" si="3772"/>
        <v>0</v>
      </c>
      <c r="NA513" s="98">
        <f t="shared" si="3772"/>
        <v>0</v>
      </c>
      <c r="NB513" s="98">
        <f t="shared" si="3772"/>
        <v>0</v>
      </c>
      <c r="NC513" s="98">
        <f t="shared" si="3772"/>
        <v>0</v>
      </c>
      <c r="ND513" s="98">
        <f t="shared" si="3772"/>
        <v>0</v>
      </c>
      <c r="NE513" s="198">
        <f t="shared" si="2666"/>
        <v>0</v>
      </c>
      <c r="NF513" s="198">
        <f t="shared" si="2667"/>
        <v>0</v>
      </c>
      <c r="NG513" s="98">
        <f t="shared" ref="NG513:NT513" si="3773">SUM(NG42,NG80,NG118,NG156,NG194,NG232,NG270,NG308,NG346,NG384,NG422,NG460)</f>
        <v>0</v>
      </c>
      <c r="NH513" s="98">
        <f t="shared" si="3773"/>
        <v>0</v>
      </c>
      <c r="NI513" s="98">
        <f t="shared" si="3773"/>
        <v>1710001</v>
      </c>
      <c r="NJ513" s="98">
        <f t="shared" si="3773"/>
        <v>68400040</v>
      </c>
      <c r="NK513" s="98">
        <f t="shared" si="3773"/>
        <v>0</v>
      </c>
      <c r="NL513" s="98">
        <f t="shared" si="3773"/>
        <v>0</v>
      </c>
      <c r="NM513" s="98">
        <f t="shared" si="3773"/>
        <v>0</v>
      </c>
      <c r="NN513" s="98">
        <f t="shared" si="3773"/>
        <v>0</v>
      </c>
      <c r="NO513" s="98">
        <f t="shared" si="3773"/>
        <v>0</v>
      </c>
      <c r="NP513" s="98">
        <f t="shared" si="3773"/>
        <v>0</v>
      </c>
      <c r="NQ513" s="98">
        <f t="shared" si="3773"/>
        <v>0</v>
      </c>
      <c r="NR513" s="98">
        <f t="shared" si="3773"/>
        <v>0</v>
      </c>
      <c r="NS513" s="98">
        <f t="shared" si="3773"/>
        <v>0</v>
      </c>
      <c r="NT513" s="98">
        <f t="shared" si="3773"/>
        <v>0</v>
      </c>
      <c r="NU513" s="198">
        <f t="shared" si="2669"/>
        <v>1710001</v>
      </c>
      <c r="NV513" s="198">
        <f t="shared" si="2670"/>
        <v>68400040</v>
      </c>
      <c r="NW513" s="98">
        <f t="shared" ref="NW513:OJ513" si="3774">SUM(NW42,NW80,NW118,NW156,NW194,NW232,NW270,NW308,NW346,NW384,NW422,NW460)</f>
        <v>0</v>
      </c>
      <c r="NX513" s="98">
        <f t="shared" si="3774"/>
        <v>0</v>
      </c>
      <c r="NY513" s="98">
        <f t="shared" si="3774"/>
        <v>0</v>
      </c>
      <c r="NZ513" s="98">
        <f t="shared" si="3774"/>
        <v>0</v>
      </c>
      <c r="OA513" s="98">
        <f t="shared" si="3774"/>
        <v>0</v>
      </c>
      <c r="OB513" s="98">
        <f t="shared" si="3774"/>
        <v>0</v>
      </c>
      <c r="OC513" s="98">
        <f t="shared" si="3774"/>
        <v>0</v>
      </c>
      <c r="OD513" s="98">
        <f t="shared" si="3774"/>
        <v>0</v>
      </c>
      <c r="OE513" s="98">
        <f t="shared" si="3774"/>
        <v>0</v>
      </c>
      <c r="OF513" s="98">
        <f t="shared" si="3774"/>
        <v>0</v>
      </c>
      <c r="OG513" s="98">
        <f t="shared" si="3774"/>
        <v>0</v>
      </c>
      <c r="OH513" s="98">
        <f t="shared" si="3774"/>
        <v>0</v>
      </c>
      <c r="OI513" s="98">
        <f t="shared" si="3774"/>
        <v>0</v>
      </c>
      <c r="OJ513" s="98">
        <f t="shared" si="3774"/>
        <v>0</v>
      </c>
      <c r="OK513" s="198">
        <f t="shared" si="2672"/>
        <v>0</v>
      </c>
      <c r="OL513" s="198">
        <f t="shared" si="2673"/>
        <v>0</v>
      </c>
      <c r="OM513" s="98">
        <f t="shared" ref="OM513:OZ513" si="3775">SUM(OM42,OM80,OM118,OM156,OM194,OM232,OM270,OM308,OM346,OM384,OM422,OM460)</f>
        <v>0</v>
      </c>
      <c r="ON513" s="98">
        <f t="shared" si="3775"/>
        <v>0</v>
      </c>
      <c r="OO513" s="98">
        <f t="shared" si="3775"/>
        <v>0</v>
      </c>
      <c r="OP513" s="98">
        <f t="shared" si="3775"/>
        <v>0</v>
      </c>
      <c r="OQ513" s="98">
        <f t="shared" si="3775"/>
        <v>0</v>
      </c>
      <c r="OR513" s="98">
        <f t="shared" si="3775"/>
        <v>0</v>
      </c>
      <c r="OS513" s="98">
        <f t="shared" si="3775"/>
        <v>0</v>
      </c>
      <c r="OT513" s="98">
        <f t="shared" si="3775"/>
        <v>0</v>
      </c>
      <c r="OU513" s="98">
        <f t="shared" si="3775"/>
        <v>0</v>
      </c>
      <c r="OV513" s="98">
        <f t="shared" si="3775"/>
        <v>0</v>
      </c>
      <c r="OW513" s="98">
        <f t="shared" si="3775"/>
        <v>0</v>
      </c>
      <c r="OX513" s="98">
        <f t="shared" si="3775"/>
        <v>0</v>
      </c>
      <c r="OY513" s="98">
        <f t="shared" si="3775"/>
        <v>0</v>
      </c>
      <c r="OZ513" s="98">
        <f t="shared" si="3775"/>
        <v>0</v>
      </c>
      <c r="PA513" s="198">
        <f t="shared" si="2675"/>
        <v>0</v>
      </c>
      <c r="PB513" s="198">
        <f t="shared" si="2676"/>
        <v>0</v>
      </c>
      <c r="PC513" s="98">
        <f t="shared" ref="PC513:PP513" si="3776">SUM(PC42,PC80,PC118,PC156,PC194,PC232,PC270,PC308,PC346,PC384,PC422,PC460)</f>
        <v>0</v>
      </c>
      <c r="PD513" s="98">
        <f t="shared" si="3776"/>
        <v>0</v>
      </c>
      <c r="PE513" s="98">
        <f t="shared" si="3776"/>
        <v>0</v>
      </c>
      <c r="PF513" s="98">
        <f t="shared" si="3776"/>
        <v>0</v>
      </c>
      <c r="PG513" s="98">
        <f t="shared" si="3776"/>
        <v>0</v>
      </c>
      <c r="PH513" s="98">
        <f t="shared" si="3776"/>
        <v>0</v>
      </c>
      <c r="PI513" s="98">
        <f t="shared" si="3776"/>
        <v>0</v>
      </c>
      <c r="PJ513" s="98">
        <f t="shared" si="3776"/>
        <v>0</v>
      </c>
      <c r="PK513" s="98">
        <f t="shared" si="3776"/>
        <v>0</v>
      </c>
      <c r="PL513" s="98">
        <f t="shared" si="3776"/>
        <v>0</v>
      </c>
      <c r="PM513" s="98">
        <f t="shared" si="3776"/>
        <v>0</v>
      </c>
      <c r="PN513" s="98">
        <f t="shared" si="3776"/>
        <v>0</v>
      </c>
      <c r="PO513" s="98">
        <f t="shared" si="3776"/>
        <v>0</v>
      </c>
      <c r="PP513" s="98">
        <f t="shared" si="3776"/>
        <v>0</v>
      </c>
      <c r="PQ513" s="198">
        <f t="shared" si="2678"/>
        <v>0</v>
      </c>
      <c r="PR513" s="198">
        <f t="shared" si="2679"/>
        <v>0</v>
      </c>
      <c r="PS513" s="98">
        <f t="shared" ref="PS513:QF513" si="3777">SUM(PS42,PS80,PS118,PS156,PS194,PS232,PS270,PS308,PS346,PS384,PS422,PS460)</f>
        <v>0</v>
      </c>
      <c r="PT513" s="98">
        <f t="shared" si="3777"/>
        <v>0</v>
      </c>
      <c r="PU513" s="98">
        <f t="shared" si="3777"/>
        <v>0</v>
      </c>
      <c r="PV513" s="98">
        <f t="shared" si="3777"/>
        <v>0</v>
      </c>
      <c r="PW513" s="98">
        <f t="shared" si="3777"/>
        <v>0</v>
      </c>
      <c r="PX513" s="98">
        <f t="shared" si="3777"/>
        <v>0</v>
      </c>
      <c r="PY513" s="98">
        <f t="shared" si="3777"/>
        <v>0</v>
      </c>
      <c r="PZ513" s="98">
        <f t="shared" si="3777"/>
        <v>0</v>
      </c>
      <c r="QA513" s="98">
        <f t="shared" si="3777"/>
        <v>0</v>
      </c>
      <c r="QB513" s="98">
        <f t="shared" si="3777"/>
        <v>0</v>
      </c>
      <c r="QC513" s="98">
        <f t="shared" si="3777"/>
        <v>0</v>
      </c>
      <c r="QD513" s="98">
        <f t="shared" si="3777"/>
        <v>0</v>
      </c>
      <c r="QE513" s="98">
        <f t="shared" si="3777"/>
        <v>0</v>
      </c>
      <c r="QF513" s="98">
        <f t="shared" si="3777"/>
        <v>0</v>
      </c>
      <c r="QG513" s="198">
        <f t="shared" si="2681"/>
        <v>0</v>
      </c>
      <c r="QH513" s="198">
        <f t="shared" si="2682"/>
        <v>0</v>
      </c>
      <c r="QI513" s="98">
        <f t="shared" ref="QI513:QV513" si="3778">SUM(QI42,QI80,QI118,QI156,QI194,QI232,QI270,QI308,QI346,QI384,QI422,QI460)</f>
        <v>0</v>
      </c>
      <c r="QJ513" s="98">
        <f t="shared" si="3778"/>
        <v>0</v>
      </c>
      <c r="QK513" s="98">
        <f t="shared" si="3778"/>
        <v>0</v>
      </c>
      <c r="QL513" s="98">
        <f t="shared" si="3778"/>
        <v>0</v>
      </c>
      <c r="QM513" s="98">
        <f t="shared" si="3778"/>
        <v>0</v>
      </c>
      <c r="QN513" s="98">
        <f t="shared" si="3778"/>
        <v>0</v>
      </c>
      <c r="QO513" s="98">
        <f t="shared" si="3778"/>
        <v>0</v>
      </c>
      <c r="QP513" s="98">
        <f t="shared" si="3778"/>
        <v>0</v>
      </c>
      <c r="QQ513" s="98">
        <f t="shared" si="3778"/>
        <v>0</v>
      </c>
      <c r="QR513" s="98">
        <f t="shared" si="3778"/>
        <v>0</v>
      </c>
      <c r="QS513" s="98">
        <f t="shared" si="3778"/>
        <v>0</v>
      </c>
      <c r="QT513" s="98">
        <f t="shared" si="3778"/>
        <v>0</v>
      </c>
      <c r="QU513" s="98">
        <f t="shared" si="3778"/>
        <v>0</v>
      </c>
      <c r="QV513" s="98">
        <f t="shared" si="3778"/>
        <v>0</v>
      </c>
      <c r="QW513" s="198">
        <f t="shared" si="2684"/>
        <v>0</v>
      </c>
      <c r="QX513" s="198">
        <f t="shared" si="2685"/>
        <v>0</v>
      </c>
      <c r="QY513" s="98">
        <f t="shared" ref="QY513:RL513" si="3779">SUM(QY42,QY80,QY118,QY156,QY194,QY232,QY270,QY308,QY346,QY384,QY422,QY460)</f>
        <v>0</v>
      </c>
      <c r="QZ513" s="98">
        <f t="shared" si="3779"/>
        <v>0</v>
      </c>
      <c r="RA513" s="98">
        <f t="shared" si="3779"/>
        <v>0</v>
      </c>
      <c r="RB513" s="98">
        <f t="shared" si="3779"/>
        <v>0</v>
      </c>
      <c r="RC513" s="98">
        <f t="shared" si="3779"/>
        <v>0</v>
      </c>
      <c r="RD513" s="98">
        <f t="shared" si="3779"/>
        <v>0</v>
      </c>
      <c r="RE513" s="98">
        <f t="shared" si="3779"/>
        <v>0</v>
      </c>
      <c r="RF513" s="98">
        <f t="shared" si="3779"/>
        <v>0</v>
      </c>
      <c r="RG513" s="98">
        <f t="shared" si="3779"/>
        <v>0</v>
      </c>
      <c r="RH513" s="98">
        <f t="shared" si="3779"/>
        <v>0</v>
      </c>
      <c r="RI513" s="98">
        <f t="shared" si="3779"/>
        <v>0</v>
      </c>
      <c r="RJ513" s="98">
        <f t="shared" si="3779"/>
        <v>0</v>
      </c>
      <c r="RK513" s="98">
        <f t="shared" si="3779"/>
        <v>0</v>
      </c>
      <c r="RL513" s="98">
        <f t="shared" si="3779"/>
        <v>0</v>
      </c>
      <c r="RM513" s="198">
        <f t="shared" si="2687"/>
        <v>0</v>
      </c>
      <c r="RN513" s="198">
        <f t="shared" si="2688"/>
        <v>0</v>
      </c>
      <c r="RO513" s="98">
        <f t="shared" ref="RO513:SB513" si="3780">SUM(RO42,RO80,RO118,RO156,RO194,RO232,RO270,RO308,RO346,RO384,RO422,RO460)</f>
        <v>0</v>
      </c>
      <c r="RP513" s="98">
        <f t="shared" si="3780"/>
        <v>0</v>
      </c>
      <c r="RQ513" s="98">
        <f t="shared" si="3780"/>
        <v>0</v>
      </c>
      <c r="RR513" s="98">
        <f t="shared" si="3780"/>
        <v>0</v>
      </c>
      <c r="RS513" s="98">
        <f t="shared" si="3780"/>
        <v>0</v>
      </c>
      <c r="RT513" s="98">
        <f t="shared" si="3780"/>
        <v>0</v>
      </c>
      <c r="RU513" s="98">
        <f t="shared" si="3780"/>
        <v>0</v>
      </c>
      <c r="RV513" s="98">
        <f t="shared" si="3780"/>
        <v>0</v>
      </c>
      <c r="RW513" s="98">
        <f t="shared" si="3780"/>
        <v>0</v>
      </c>
      <c r="RX513" s="98">
        <f t="shared" si="3780"/>
        <v>0</v>
      </c>
      <c r="RY513" s="98">
        <f t="shared" si="3780"/>
        <v>0</v>
      </c>
      <c r="RZ513" s="98">
        <f t="shared" si="3780"/>
        <v>0</v>
      </c>
      <c r="SA513" s="98">
        <f t="shared" si="3780"/>
        <v>0</v>
      </c>
      <c r="SB513" s="98">
        <f t="shared" si="3780"/>
        <v>0</v>
      </c>
      <c r="SC513" s="198">
        <f t="shared" si="2690"/>
        <v>0</v>
      </c>
      <c r="SD513" s="198">
        <f t="shared" si="2691"/>
        <v>0</v>
      </c>
      <c r="SE513" s="98">
        <f t="shared" ref="SE513:SR513" si="3781">SUM(SE42,SE80,SE118,SE156,SE194,SE232,SE270,SE308,SE346,SE384,SE422,SE460)</f>
        <v>0</v>
      </c>
      <c r="SF513" s="98">
        <f t="shared" si="3781"/>
        <v>0</v>
      </c>
      <c r="SG513" s="98">
        <f t="shared" si="3781"/>
        <v>0</v>
      </c>
      <c r="SH513" s="98">
        <f t="shared" si="3781"/>
        <v>0</v>
      </c>
      <c r="SI513" s="98">
        <f t="shared" si="3781"/>
        <v>0</v>
      </c>
      <c r="SJ513" s="98">
        <f t="shared" si="3781"/>
        <v>0</v>
      </c>
      <c r="SK513" s="98">
        <f t="shared" si="3781"/>
        <v>0</v>
      </c>
      <c r="SL513" s="98">
        <f t="shared" si="3781"/>
        <v>0</v>
      </c>
      <c r="SM513" s="98">
        <f t="shared" si="3781"/>
        <v>0</v>
      </c>
      <c r="SN513" s="98">
        <f t="shared" si="3781"/>
        <v>0</v>
      </c>
      <c r="SO513" s="98">
        <f t="shared" si="3781"/>
        <v>0</v>
      </c>
      <c r="SP513" s="98">
        <f t="shared" si="3781"/>
        <v>0</v>
      </c>
      <c r="SQ513" s="98">
        <f t="shared" si="3781"/>
        <v>0</v>
      </c>
      <c r="SR513" s="98">
        <f t="shared" si="3781"/>
        <v>0</v>
      </c>
      <c r="SS513" s="198">
        <f t="shared" si="2693"/>
        <v>0</v>
      </c>
      <c r="ST513" s="198">
        <f t="shared" si="2694"/>
        <v>0</v>
      </c>
      <c r="SU513" s="98">
        <f t="shared" ref="SU513:TH513" si="3782">SUM(SU42,SU80,SU118,SU156,SU194,SU232,SU270,SU308,SU346,SU384,SU422,SU460)</f>
        <v>0</v>
      </c>
      <c r="SV513" s="98">
        <f t="shared" si="3782"/>
        <v>0</v>
      </c>
      <c r="SW513" s="98">
        <f t="shared" si="3782"/>
        <v>0</v>
      </c>
      <c r="SX513" s="98">
        <f t="shared" si="3782"/>
        <v>0</v>
      </c>
      <c r="SY513" s="98">
        <f t="shared" si="3782"/>
        <v>0</v>
      </c>
      <c r="SZ513" s="98">
        <f t="shared" si="3782"/>
        <v>0</v>
      </c>
      <c r="TA513" s="98">
        <f t="shared" si="3782"/>
        <v>0</v>
      </c>
      <c r="TB513" s="98">
        <f t="shared" si="3782"/>
        <v>0</v>
      </c>
      <c r="TC513" s="98">
        <f t="shared" si="3782"/>
        <v>0</v>
      </c>
      <c r="TD513" s="98">
        <f t="shared" si="3782"/>
        <v>0</v>
      </c>
      <c r="TE513" s="98">
        <f t="shared" si="3782"/>
        <v>0</v>
      </c>
      <c r="TF513" s="98">
        <f t="shared" si="3782"/>
        <v>0</v>
      </c>
      <c r="TG513" s="98">
        <f t="shared" si="3782"/>
        <v>0</v>
      </c>
      <c r="TH513" s="98">
        <f t="shared" si="3782"/>
        <v>0</v>
      </c>
      <c r="TI513" s="198">
        <f t="shared" si="2696"/>
        <v>0</v>
      </c>
      <c r="TJ513" s="198">
        <f t="shared" si="2697"/>
        <v>0</v>
      </c>
      <c r="TK513" s="98">
        <f t="shared" ref="TK513:TX513" si="3783">SUM(TK42,TK80,TK118,TK156,TK194,TK232,TK270,TK308,TK346,TK384,TK422,TK460)</f>
        <v>0</v>
      </c>
      <c r="TL513" s="98">
        <f t="shared" si="3783"/>
        <v>0</v>
      </c>
      <c r="TM513" s="98">
        <f t="shared" si="3783"/>
        <v>0</v>
      </c>
      <c r="TN513" s="98">
        <f t="shared" si="3783"/>
        <v>0</v>
      </c>
      <c r="TO513" s="98">
        <f t="shared" si="3783"/>
        <v>0</v>
      </c>
      <c r="TP513" s="98">
        <f t="shared" si="3783"/>
        <v>0</v>
      </c>
      <c r="TQ513" s="98">
        <f t="shared" si="3783"/>
        <v>0</v>
      </c>
      <c r="TR513" s="98">
        <f t="shared" si="3783"/>
        <v>0</v>
      </c>
      <c r="TS513" s="98">
        <f t="shared" si="3783"/>
        <v>0</v>
      </c>
      <c r="TT513" s="98">
        <f t="shared" si="3783"/>
        <v>0</v>
      </c>
      <c r="TU513" s="98">
        <f t="shared" si="3783"/>
        <v>0</v>
      </c>
      <c r="TV513" s="98">
        <f t="shared" si="3783"/>
        <v>0</v>
      </c>
      <c r="TW513" s="98">
        <f t="shared" si="3783"/>
        <v>0</v>
      </c>
      <c r="TX513" s="98">
        <f t="shared" si="3783"/>
        <v>0</v>
      </c>
      <c r="TY513" s="198">
        <f t="shared" si="2699"/>
        <v>0</v>
      </c>
      <c r="TZ513" s="198">
        <f t="shared" si="2700"/>
        <v>0</v>
      </c>
      <c r="UA513" s="98">
        <f t="shared" ref="UA513:UN513" si="3784">SUM(UA42,UA80,UA118,UA156,UA194,UA232,UA270,UA308,UA346,UA384,UA422,UA460)</f>
        <v>0</v>
      </c>
      <c r="UB513" s="98">
        <f t="shared" si="3784"/>
        <v>0</v>
      </c>
      <c r="UC513" s="98">
        <f t="shared" si="3784"/>
        <v>0</v>
      </c>
      <c r="UD513" s="98">
        <f t="shared" si="3784"/>
        <v>0</v>
      </c>
      <c r="UE513" s="98">
        <f t="shared" si="3784"/>
        <v>0</v>
      </c>
      <c r="UF513" s="98">
        <f t="shared" si="3784"/>
        <v>0</v>
      </c>
      <c r="UG513" s="98">
        <f t="shared" si="3784"/>
        <v>0</v>
      </c>
      <c r="UH513" s="98">
        <f t="shared" si="3784"/>
        <v>0</v>
      </c>
      <c r="UI513" s="98">
        <f t="shared" si="3784"/>
        <v>0</v>
      </c>
      <c r="UJ513" s="98">
        <f t="shared" si="3784"/>
        <v>0</v>
      </c>
      <c r="UK513" s="98">
        <f t="shared" si="3784"/>
        <v>0</v>
      </c>
      <c r="UL513" s="98">
        <f t="shared" si="3784"/>
        <v>0</v>
      </c>
      <c r="UM513" s="98">
        <f t="shared" si="3784"/>
        <v>0</v>
      </c>
      <c r="UN513" s="98">
        <f t="shared" si="3784"/>
        <v>0</v>
      </c>
      <c r="UO513" s="198">
        <f t="shared" si="2702"/>
        <v>0</v>
      </c>
      <c r="UP513" s="198">
        <f t="shared" si="2703"/>
        <v>0</v>
      </c>
      <c r="UQ513" s="98">
        <f t="shared" ref="UQ513:VD513" si="3785">SUM(UQ42,UQ80,UQ118,UQ156,UQ194,UQ232,UQ270,UQ308,UQ346,UQ384,UQ422,UQ460)</f>
        <v>0</v>
      </c>
      <c r="UR513" s="98">
        <f t="shared" si="3785"/>
        <v>0</v>
      </c>
      <c r="US513" s="98">
        <f t="shared" si="3785"/>
        <v>0</v>
      </c>
      <c r="UT513" s="98">
        <f t="shared" si="3785"/>
        <v>0</v>
      </c>
      <c r="UU513" s="98">
        <f t="shared" si="3785"/>
        <v>0</v>
      </c>
      <c r="UV513" s="98">
        <f t="shared" si="3785"/>
        <v>0</v>
      </c>
      <c r="UW513" s="98">
        <f t="shared" si="3785"/>
        <v>0</v>
      </c>
      <c r="UX513" s="98">
        <f t="shared" si="3785"/>
        <v>0</v>
      </c>
      <c r="UY513" s="98">
        <f t="shared" si="3785"/>
        <v>0</v>
      </c>
      <c r="UZ513" s="98">
        <f t="shared" si="3785"/>
        <v>0</v>
      </c>
      <c r="VA513" s="98">
        <f t="shared" si="3785"/>
        <v>0</v>
      </c>
      <c r="VB513" s="98">
        <f t="shared" si="3785"/>
        <v>0</v>
      </c>
      <c r="VC513" s="98">
        <f t="shared" si="3785"/>
        <v>0</v>
      </c>
      <c r="VD513" s="98">
        <f t="shared" si="3785"/>
        <v>0</v>
      </c>
      <c r="VE513" s="198">
        <f t="shared" si="2705"/>
        <v>0</v>
      </c>
      <c r="VF513" s="198">
        <f t="shared" si="2706"/>
        <v>0</v>
      </c>
      <c r="VG513" s="98">
        <f t="shared" ref="VG513:VT513" si="3786">SUM(VG42,VG80,VG118,VG156,VG194,VG232,VG270,VG308,VG346,VG384,VG422,VG460)</f>
        <v>0</v>
      </c>
      <c r="VH513" s="98">
        <f t="shared" si="3786"/>
        <v>0</v>
      </c>
      <c r="VI513" s="98">
        <f t="shared" si="3786"/>
        <v>0</v>
      </c>
      <c r="VJ513" s="98">
        <f t="shared" si="3786"/>
        <v>0</v>
      </c>
      <c r="VK513" s="98">
        <f t="shared" si="3786"/>
        <v>0</v>
      </c>
      <c r="VL513" s="98">
        <f t="shared" si="3786"/>
        <v>0</v>
      </c>
      <c r="VM513" s="98">
        <f t="shared" si="3786"/>
        <v>0</v>
      </c>
      <c r="VN513" s="98">
        <f t="shared" si="3786"/>
        <v>0</v>
      </c>
      <c r="VO513" s="98">
        <f t="shared" si="3786"/>
        <v>0</v>
      </c>
      <c r="VP513" s="98">
        <f t="shared" si="3786"/>
        <v>0</v>
      </c>
      <c r="VQ513" s="98">
        <f t="shared" si="3786"/>
        <v>0</v>
      </c>
      <c r="VR513" s="98">
        <f t="shared" si="3786"/>
        <v>0</v>
      </c>
      <c r="VS513" s="98">
        <f t="shared" si="3786"/>
        <v>0</v>
      </c>
      <c r="VT513" s="98">
        <f t="shared" si="3786"/>
        <v>0</v>
      </c>
      <c r="VU513" s="198">
        <f t="shared" si="2708"/>
        <v>0</v>
      </c>
      <c r="VV513" s="198">
        <f t="shared" si="2709"/>
        <v>0</v>
      </c>
      <c r="VW513" s="98">
        <f t="shared" ref="VW513:WJ513" si="3787">SUM(VW42,VW80,VW118,VW156,VW194,VW232,VW270,VW308,VW346,VW384,VW422,VW460)</f>
        <v>0</v>
      </c>
      <c r="VX513" s="98">
        <f t="shared" si="3787"/>
        <v>0</v>
      </c>
      <c r="VY513" s="98">
        <f t="shared" si="3787"/>
        <v>0</v>
      </c>
      <c r="VZ513" s="98">
        <f t="shared" si="3787"/>
        <v>0</v>
      </c>
      <c r="WA513" s="98">
        <f t="shared" si="3787"/>
        <v>0</v>
      </c>
      <c r="WB513" s="98">
        <f t="shared" si="3787"/>
        <v>0</v>
      </c>
      <c r="WC513" s="98">
        <f t="shared" si="3787"/>
        <v>0</v>
      </c>
      <c r="WD513" s="98">
        <f t="shared" si="3787"/>
        <v>0</v>
      </c>
      <c r="WE513" s="98">
        <f t="shared" si="3787"/>
        <v>0</v>
      </c>
      <c r="WF513" s="98">
        <f t="shared" si="3787"/>
        <v>0</v>
      </c>
      <c r="WG513" s="98">
        <f t="shared" si="3787"/>
        <v>0</v>
      </c>
      <c r="WH513" s="98">
        <f t="shared" si="3787"/>
        <v>0</v>
      </c>
      <c r="WI513" s="98">
        <f t="shared" si="3787"/>
        <v>0</v>
      </c>
      <c r="WJ513" s="98">
        <f t="shared" si="3787"/>
        <v>0</v>
      </c>
      <c r="WK513" s="198">
        <f t="shared" si="2711"/>
        <v>0</v>
      </c>
      <c r="WL513" s="198">
        <f t="shared" si="2712"/>
        <v>0</v>
      </c>
      <c r="WN513" s="98">
        <f t="shared" si="3734"/>
        <v>0</v>
      </c>
      <c r="WO513" s="98">
        <f t="shared" si="3735"/>
        <v>0</v>
      </c>
      <c r="WP513" s="98">
        <f t="shared" si="3736"/>
        <v>1710001</v>
      </c>
      <c r="WQ513" s="98">
        <f t="shared" si="3737"/>
        <v>68400040</v>
      </c>
      <c r="WR513" s="98">
        <f t="shared" si="3738"/>
        <v>0</v>
      </c>
      <c r="WS513" s="98">
        <f t="shared" si="3739"/>
        <v>0</v>
      </c>
      <c r="WT513" s="98">
        <f t="shared" si="3740"/>
        <v>0</v>
      </c>
      <c r="WU513" s="98">
        <f t="shared" si="3741"/>
        <v>0</v>
      </c>
      <c r="WV513" s="98">
        <f t="shared" si="3742"/>
        <v>0</v>
      </c>
      <c r="WW513" s="98">
        <f t="shared" si="3743"/>
        <v>0</v>
      </c>
      <c r="WX513" s="98">
        <f t="shared" si="3744"/>
        <v>0</v>
      </c>
      <c r="WY513" s="98">
        <f t="shared" si="3745"/>
        <v>0</v>
      </c>
      <c r="WZ513" s="98">
        <f t="shared" si="3746"/>
        <v>0</v>
      </c>
      <c r="XA513" s="98">
        <f t="shared" si="3747"/>
        <v>0</v>
      </c>
      <c r="XB513" s="107">
        <f t="shared" si="3748"/>
        <v>1710001</v>
      </c>
      <c r="XC513" s="107">
        <f t="shared" si="3749"/>
        <v>68400040</v>
      </c>
      <c r="XK513" s="98">
        <f t="shared" si="2729"/>
        <v>0</v>
      </c>
      <c r="XL513" s="98">
        <f t="shared" si="2730"/>
        <v>0</v>
      </c>
      <c r="XM513" s="98">
        <f t="shared" si="2731"/>
        <v>0</v>
      </c>
      <c r="XN513" s="98">
        <f t="shared" si="2732"/>
        <v>0</v>
      </c>
      <c r="XO513" s="98">
        <f t="shared" si="2733"/>
        <v>70110041</v>
      </c>
      <c r="XP513" s="98">
        <f t="shared" si="2734"/>
        <v>0</v>
      </c>
      <c r="XQ513" s="98">
        <f t="shared" si="2735"/>
        <v>70110041</v>
      </c>
      <c r="XR513" s="107">
        <f t="shared" ca="1" si="2597"/>
        <v>141930083</v>
      </c>
      <c r="XT513" s="98">
        <f t="shared" si="2736"/>
        <v>68400040</v>
      </c>
      <c r="XU513" s="98">
        <f t="shared" si="2737"/>
        <v>1710001</v>
      </c>
      <c r="XV513" s="98">
        <f t="shared" si="2738"/>
        <v>68400040</v>
      </c>
      <c r="XW513" s="98">
        <f t="shared" si="2739"/>
        <v>0</v>
      </c>
      <c r="XX513" s="98">
        <f t="shared" si="2740"/>
        <v>0</v>
      </c>
      <c r="XY513" s="98">
        <f t="shared" si="2741"/>
        <v>0</v>
      </c>
      <c r="XZ513" s="98">
        <f t="shared" si="2742"/>
        <v>70110041</v>
      </c>
      <c r="YA513" s="107">
        <f t="shared" ca="1" si="2598"/>
        <v>206910121</v>
      </c>
    </row>
    <row r="514" spans="1:1017">
      <c r="B514" s="90" t="str">
        <f t="shared" si="3695"/>
        <v xml:space="preserve">Belut Sawah </v>
      </c>
      <c r="C514" s="98">
        <f t="shared" ref="C514:P514" si="3788">SUM(C43,C81,C119,C157,C195,C233,C271,C309,C347,C385,C423,C461)</f>
        <v>0</v>
      </c>
      <c r="D514" s="98">
        <f t="shared" si="3788"/>
        <v>0</v>
      </c>
      <c r="E514" s="98">
        <f t="shared" si="3788"/>
        <v>0</v>
      </c>
      <c r="F514" s="98">
        <f t="shared" si="3788"/>
        <v>0</v>
      </c>
      <c r="G514" s="98">
        <f t="shared" si="3788"/>
        <v>0</v>
      </c>
      <c r="H514" s="98">
        <f t="shared" si="3788"/>
        <v>0</v>
      </c>
      <c r="I514" s="98">
        <f t="shared" si="3788"/>
        <v>0</v>
      </c>
      <c r="J514" s="98">
        <f t="shared" si="3788"/>
        <v>0</v>
      </c>
      <c r="K514" s="98">
        <f t="shared" si="3788"/>
        <v>0</v>
      </c>
      <c r="L514" s="98">
        <f t="shared" si="3788"/>
        <v>0</v>
      </c>
      <c r="M514" s="98">
        <f t="shared" si="3788"/>
        <v>0</v>
      </c>
      <c r="N514" s="98">
        <f t="shared" si="3788"/>
        <v>0</v>
      </c>
      <c r="O514" s="98">
        <f t="shared" si="3788"/>
        <v>0</v>
      </c>
      <c r="P514" s="98">
        <f t="shared" si="3788"/>
        <v>0</v>
      </c>
      <c r="Q514" s="198">
        <f t="shared" si="2600"/>
        <v>0</v>
      </c>
      <c r="R514" s="198">
        <f t="shared" si="2601"/>
        <v>0</v>
      </c>
      <c r="S514" s="98">
        <f t="shared" ref="S514:AF514" si="3789">SUM(S43,S81,S119,S157,S195,S233,S271,S309,S347,S385,S423,S461)</f>
        <v>0</v>
      </c>
      <c r="T514" s="98">
        <f t="shared" si="3789"/>
        <v>0</v>
      </c>
      <c r="U514" s="98">
        <f t="shared" si="3789"/>
        <v>0</v>
      </c>
      <c r="V514" s="98">
        <f t="shared" si="3789"/>
        <v>0</v>
      </c>
      <c r="W514" s="98">
        <f t="shared" si="3789"/>
        <v>0</v>
      </c>
      <c r="X514" s="98">
        <f t="shared" si="3789"/>
        <v>0</v>
      </c>
      <c r="Y514" s="98">
        <f t="shared" si="3789"/>
        <v>0</v>
      </c>
      <c r="Z514" s="98">
        <f t="shared" si="3789"/>
        <v>0</v>
      </c>
      <c r="AA514" s="98">
        <f t="shared" si="3789"/>
        <v>0</v>
      </c>
      <c r="AB514" s="98">
        <f t="shared" si="3789"/>
        <v>0</v>
      </c>
      <c r="AC514" s="98">
        <f t="shared" si="3789"/>
        <v>0</v>
      </c>
      <c r="AD514" s="98">
        <f t="shared" si="3789"/>
        <v>0</v>
      </c>
      <c r="AE514" s="98">
        <f t="shared" si="3789"/>
        <v>0</v>
      </c>
      <c r="AF514" s="98">
        <f t="shared" si="3789"/>
        <v>0</v>
      </c>
      <c r="AG514" s="198">
        <f t="shared" si="2603"/>
        <v>0</v>
      </c>
      <c r="AH514" s="198">
        <f t="shared" si="2604"/>
        <v>0</v>
      </c>
      <c r="AI514" s="98">
        <f t="shared" ref="AI514:AV514" si="3790">SUM(AI43,AI81,AI119,AI157,AI195,AI233,AI271,AI309,AI347,AI385,AI423,AI461)</f>
        <v>0</v>
      </c>
      <c r="AJ514" s="98">
        <f t="shared" si="3790"/>
        <v>0</v>
      </c>
      <c r="AK514" s="98">
        <f t="shared" si="3790"/>
        <v>0</v>
      </c>
      <c r="AL514" s="98">
        <f t="shared" si="3790"/>
        <v>0</v>
      </c>
      <c r="AM514" s="98">
        <f t="shared" si="3790"/>
        <v>0</v>
      </c>
      <c r="AN514" s="98">
        <f t="shared" si="3790"/>
        <v>0</v>
      </c>
      <c r="AO514" s="98">
        <f t="shared" si="3790"/>
        <v>0</v>
      </c>
      <c r="AP514" s="98">
        <f t="shared" si="3790"/>
        <v>0</v>
      </c>
      <c r="AQ514" s="98">
        <f t="shared" si="3790"/>
        <v>0</v>
      </c>
      <c r="AR514" s="98">
        <f t="shared" si="3790"/>
        <v>0</v>
      </c>
      <c r="AS514" s="98">
        <f t="shared" si="3790"/>
        <v>0</v>
      </c>
      <c r="AT514" s="98">
        <f t="shared" si="3790"/>
        <v>0</v>
      </c>
      <c r="AU514" s="98">
        <f t="shared" si="3790"/>
        <v>0</v>
      </c>
      <c r="AV514" s="98">
        <f t="shared" si="3790"/>
        <v>0</v>
      </c>
      <c r="AW514" s="198">
        <f t="shared" si="2606"/>
        <v>0</v>
      </c>
      <c r="AX514" s="198">
        <f t="shared" si="2607"/>
        <v>0</v>
      </c>
      <c r="AY514" s="98">
        <f t="shared" ref="AY514:BL514" si="3791">SUM(AY43,AY81,AY119,AY157,AY195,AY233,AY271,AY309,AY347,AY385,AY423,AY461)</f>
        <v>0</v>
      </c>
      <c r="AZ514" s="98">
        <f t="shared" si="3791"/>
        <v>0</v>
      </c>
      <c r="BA514" s="98">
        <f t="shared" si="3791"/>
        <v>0</v>
      </c>
      <c r="BB514" s="98">
        <f t="shared" si="3791"/>
        <v>0</v>
      </c>
      <c r="BC514" s="98">
        <f t="shared" si="3791"/>
        <v>0</v>
      </c>
      <c r="BD514" s="98">
        <f t="shared" si="3791"/>
        <v>0</v>
      </c>
      <c r="BE514" s="98">
        <f t="shared" si="3791"/>
        <v>0</v>
      </c>
      <c r="BF514" s="98">
        <f t="shared" si="3791"/>
        <v>0</v>
      </c>
      <c r="BG514" s="98">
        <f t="shared" si="3791"/>
        <v>0</v>
      </c>
      <c r="BH514" s="98">
        <f t="shared" si="3791"/>
        <v>0</v>
      </c>
      <c r="BI514" s="98">
        <f t="shared" si="3791"/>
        <v>0</v>
      </c>
      <c r="BJ514" s="98">
        <f t="shared" si="3791"/>
        <v>0</v>
      </c>
      <c r="BK514" s="98">
        <f t="shared" si="3791"/>
        <v>0</v>
      </c>
      <c r="BL514" s="98">
        <f t="shared" si="3791"/>
        <v>0</v>
      </c>
      <c r="BM514" s="198">
        <f t="shared" si="2609"/>
        <v>0</v>
      </c>
      <c r="BN514" s="198">
        <f t="shared" si="2610"/>
        <v>0</v>
      </c>
      <c r="BO514" s="98">
        <f t="shared" ref="BO514:CB514" si="3792">SUM(BO43,BO81,BO119,BO157,BO195,BO233,BO271,BO309,BO347,BO385,BO423,BO461)</f>
        <v>0</v>
      </c>
      <c r="BP514" s="98">
        <f t="shared" si="3792"/>
        <v>0</v>
      </c>
      <c r="BQ514" s="98">
        <f t="shared" si="3792"/>
        <v>0</v>
      </c>
      <c r="BR514" s="98">
        <f t="shared" si="3792"/>
        <v>0</v>
      </c>
      <c r="BS514" s="98">
        <f t="shared" si="3792"/>
        <v>0</v>
      </c>
      <c r="BT514" s="98">
        <f t="shared" si="3792"/>
        <v>0</v>
      </c>
      <c r="BU514" s="98">
        <f t="shared" si="3792"/>
        <v>0</v>
      </c>
      <c r="BV514" s="98">
        <f t="shared" si="3792"/>
        <v>0</v>
      </c>
      <c r="BW514" s="98">
        <f t="shared" si="3792"/>
        <v>0</v>
      </c>
      <c r="BX514" s="98">
        <f t="shared" si="3792"/>
        <v>0</v>
      </c>
      <c r="BY514" s="98">
        <f t="shared" si="3792"/>
        <v>0</v>
      </c>
      <c r="BZ514" s="98">
        <f t="shared" si="3792"/>
        <v>0</v>
      </c>
      <c r="CA514" s="98">
        <f t="shared" si="3792"/>
        <v>0</v>
      </c>
      <c r="CB514" s="98">
        <f t="shared" si="3792"/>
        <v>0</v>
      </c>
      <c r="CC514" s="198">
        <f t="shared" si="2612"/>
        <v>0</v>
      </c>
      <c r="CD514" s="198">
        <f t="shared" si="2613"/>
        <v>0</v>
      </c>
      <c r="CE514" s="98">
        <f t="shared" ref="CE514:CR514" si="3793">SUM(CE43,CE81,CE119,CE157,CE195,CE233,CE271,CE309,CE347,CE385,CE423,CE461)</f>
        <v>0</v>
      </c>
      <c r="CF514" s="98">
        <f t="shared" si="3793"/>
        <v>0</v>
      </c>
      <c r="CG514" s="98">
        <f t="shared" si="3793"/>
        <v>0</v>
      </c>
      <c r="CH514" s="98">
        <f t="shared" si="3793"/>
        <v>0</v>
      </c>
      <c r="CI514" s="98">
        <f t="shared" si="3793"/>
        <v>0</v>
      </c>
      <c r="CJ514" s="98">
        <f t="shared" si="3793"/>
        <v>0</v>
      </c>
      <c r="CK514" s="98">
        <f t="shared" si="3793"/>
        <v>0</v>
      </c>
      <c r="CL514" s="98">
        <f t="shared" si="3793"/>
        <v>0</v>
      </c>
      <c r="CM514" s="98">
        <f t="shared" si="3793"/>
        <v>0</v>
      </c>
      <c r="CN514" s="98">
        <f t="shared" si="3793"/>
        <v>0</v>
      </c>
      <c r="CO514" s="98">
        <f t="shared" si="3793"/>
        <v>0</v>
      </c>
      <c r="CP514" s="98">
        <f t="shared" si="3793"/>
        <v>0</v>
      </c>
      <c r="CQ514" s="98">
        <f t="shared" si="3793"/>
        <v>0</v>
      </c>
      <c r="CR514" s="98">
        <f t="shared" si="3793"/>
        <v>0</v>
      </c>
      <c r="CS514" s="198">
        <f t="shared" si="2615"/>
        <v>0</v>
      </c>
      <c r="CT514" s="198">
        <f t="shared" si="2616"/>
        <v>0</v>
      </c>
      <c r="CU514" s="98">
        <f t="shared" ref="CU514:DH514" si="3794">SUM(CU43,CU81,CU119,CU157,CU195,CU233,CU271,CU309,CU347,CU385,CU423,CU461)</f>
        <v>0</v>
      </c>
      <c r="CV514" s="98">
        <f t="shared" si="3794"/>
        <v>0</v>
      </c>
      <c r="CW514" s="98">
        <f t="shared" si="3794"/>
        <v>0</v>
      </c>
      <c r="CX514" s="98">
        <f t="shared" si="3794"/>
        <v>0</v>
      </c>
      <c r="CY514" s="98">
        <f t="shared" si="3794"/>
        <v>0</v>
      </c>
      <c r="CZ514" s="98">
        <f t="shared" si="3794"/>
        <v>0</v>
      </c>
      <c r="DA514" s="98">
        <f t="shared" si="3794"/>
        <v>0</v>
      </c>
      <c r="DB514" s="98">
        <f t="shared" si="3794"/>
        <v>0</v>
      </c>
      <c r="DC514" s="98">
        <f t="shared" si="3794"/>
        <v>0</v>
      </c>
      <c r="DD514" s="98">
        <f t="shared" si="3794"/>
        <v>0</v>
      </c>
      <c r="DE514" s="98">
        <f t="shared" si="3794"/>
        <v>0</v>
      </c>
      <c r="DF514" s="98">
        <f t="shared" si="3794"/>
        <v>0</v>
      </c>
      <c r="DG514" s="98">
        <f t="shared" si="3794"/>
        <v>0</v>
      </c>
      <c r="DH514" s="98">
        <f t="shared" si="3794"/>
        <v>0</v>
      </c>
      <c r="DI514" s="198">
        <f t="shared" si="2618"/>
        <v>0</v>
      </c>
      <c r="DJ514" s="198">
        <f t="shared" si="2619"/>
        <v>0</v>
      </c>
      <c r="DK514" s="98">
        <f t="shared" ref="DK514:DX514" si="3795">SUM(DK43,DK81,DK119,DK157,DK195,DK233,DK271,DK309,DK347,DK385,DK423,DK461)</f>
        <v>0</v>
      </c>
      <c r="DL514" s="98">
        <f t="shared" si="3795"/>
        <v>0</v>
      </c>
      <c r="DM514" s="98">
        <f t="shared" si="3795"/>
        <v>0</v>
      </c>
      <c r="DN514" s="98">
        <f t="shared" si="3795"/>
        <v>0</v>
      </c>
      <c r="DO514" s="98">
        <f t="shared" si="3795"/>
        <v>0</v>
      </c>
      <c r="DP514" s="98">
        <f t="shared" si="3795"/>
        <v>0</v>
      </c>
      <c r="DQ514" s="98">
        <f t="shared" si="3795"/>
        <v>0</v>
      </c>
      <c r="DR514" s="98">
        <f t="shared" si="3795"/>
        <v>0</v>
      </c>
      <c r="DS514" s="98">
        <f t="shared" si="3795"/>
        <v>0</v>
      </c>
      <c r="DT514" s="98">
        <f t="shared" si="3795"/>
        <v>0</v>
      </c>
      <c r="DU514" s="98">
        <f t="shared" si="3795"/>
        <v>0</v>
      </c>
      <c r="DV514" s="98">
        <f t="shared" si="3795"/>
        <v>0</v>
      </c>
      <c r="DW514" s="98">
        <f t="shared" si="3795"/>
        <v>0</v>
      </c>
      <c r="DX514" s="98">
        <f t="shared" si="3795"/>
        <v>0</v>
      </c>
      <c r="DY514" s="198">
        <f t="shared" si="2621"/>
        <v>0</v>
      </c>
      <c r="DZ514" s="198">
        <f t="shared" si="2622"/>
        <v>0</v>
      </c>
      <c r="EA514" s="98">
        <f t="shared" ref="EA514:EN514" si="3796">SUM(EA43,EA81,EA119,EA157,EA195,EA233,EA271,EA309,EA347,EA385,EA423,EA461)</f>
        <v>0</v>
      </c>
      <c r="EB514" s="98">
        <f t="shared" si="3796"/>
        <v>0</v>
      </c>
      <c r="EC514" s="98">
        <f t="shared" si="3796"/>
        <v>0</v>
      </c>
      <c r="ED514" s="98">
        <f t="shared" si="3796"/>
        <v>0</v>
      </c>
      <c r="EE514" s="98">
        <f t="shared" si="3796"/>
        <v>0</v>
      </c>
      <c r="EF514" s="98">
        <f t="shared" si="3796"/>
        <v>0</v>
      </c>
      <c r="EG514" s="98">
        <f t="shared" si="3796"/>
        <v>0</v>
      </c>
      <c r="EH514" s="98">
        <f t="shared" si="3796"/>
        <v>0</v>
      </c>
      <c r="EI514" s="98">
        <f t="shared" si="3796"/>
        <v>0</v>
      </c>
      <c r="EJ514" s="98">
        <f t="shared" si="3796"/>
        <v>0</v>
      </c>
      <c r="EK514" s="98">
        <f t="shared" si="3796"/>
        <v>0</v>
      </c>
      <c r="EL514" s="98">
        <f t="shared" si="3796"/>
        <v>0</v>
      </c>
      <c r="EM514" s="98">
        <f t="shared" si="3796"/>
        <v>0</v>
      </c>
      <c r="EN514" s="98">
        <f t="shared" si="3796"/>
        <v>0</v>
      </c>
      <c r="EO514" s="198">
        <f t="shared" si="2624"/>
        <v>0</v>
      </c>
      <c r="EP514" s="198">
        <f t="shared" si="2625"/>
        <v>0</v>
      </c>
      <c r="EQ514" s="98">
        <f t="shared" ref="EQ514:FD514" si="3797">SUM(EQ43,EQ81,EQ119,EQ157,EQ195,EQ233,EQ271,EQ309,EQ347,EQ385,EQ423,EQ461)</f>
        <v>0</v>
      </c>
      <c r="ER514" s="98">
        <f t="shared" si="3797"/>
        <v>0</v>
      </c>
      <c r="ES514" s="98">
        <f t="shared" si="3797"/>
        <v>0</v>
      </c>
      <c r="ET514" s="98">
        <f t="shared" si="3797"/>
        <v>0</v>
      </c>
      <c r="EU514" s="98">
        <f t="shared" si="3797"/>
        <v>0</v>
      </c>
      <c r="EV514" s="98">
        <f t="shared" si="3797"/>
        <v>0</v>
      </c>
      <c r="EW514" s="98">
        <f t="shared" si="3797"/>
        <v>0</v>
      </c>
      <c r="EX514" s="98">
        <f t="shared" si="3797"/>
        <v>0</v>
      </c>
      <c r="EY514" s="98">
        <f t="shared" si="3797"/>
        <v>0</v>
      </c>
      <c r="EZ514" s="98">
        <f t="shared" si="3797"/>
        <v>0</v>
      </c>
      <c r="FA514" s="98">
        <f t="shared" si="3797"/>
        <v>0</v>
      </c>
      <c r="FB514" s="98">
        <f t="shared" si="3797"/>
        <v>0</v>
      </c>
      <c r="FC514" s="98">
        <f t="shared" si="3797"/>
        <v>0</v>
      </c>
      <c r="FD514" s="98">
        <f t="shared" si="3797"/>
        <v>0</v>
      </c>
      <c r="FE514" s="198">
        <f t="shared" si="2627"/>
        <v>0</v>
      </c>
      <c r="FF514" s="198">
        <f t="shared" si="2628"/>
        <v>0</v>
      </c>
      <c r="FG514" s="98">
        <f t="shared" ref="FG514:FT514" si="3798">SUM(FG43,FG81,FG119,FG157,FG195,FG233,FG271,FG309,FG347,FG385,FG423,FG461)</f>
        <v>0</v>
      </c>
      <c r="FH514" s="98">
        <f t="shared" si="3798"/>
        <v>0</v>
      </c>
      <c r="FI514" s="98">
        <f t="shared" si="3798"/>
        <v>0</v>
      </c>
      <c r="FJ514" s="98">
        <f t="shared" si="3798"/>
        <v>0</v>
      </c>
      <c r="FK514" s="98">
        <f t="shared" si="3798"/>
        <v>0</v>
      </c>
      <c r="FL514" s="98">
        <f t="shared" si="3798"/>
        <v>0</v>
      </c>
      <c r="FM514" s="98">
        <f t="shared" si="3798"/>
        <v>0</v>
      </c>
      <c r="FN514" s="98">
        <f t="shared" si="3798"/>
        <v>0</v>
      </c>
      <c r="FO514" s="98">
        <f t="shared" si="3798"/>
        <v>0</v>
      </c>
      <c r="FP514" s="98">
        <f t="shared" si="3798"/>
        <v>0</v>
      </c>
      <c r="FQ514" s="98">
        <f t="shared" si="3798"/>
        <v>0</v>
      </c>
      <c r="FR514" s="98">
        <f t="shared" si="3798"/>
        <v>0</v>
      </c>
      <c r="FS514" s="98">
        <f t="shared" si="3798"/>
        <v>0</v>
      </c>
      <c r="FT514" s="98">
        <f t="shared" si="3798"/>
        <v>0</v>
      </c>
      <c r="FU514" s="198">
        <f t="shared" si="2630"/>
        <v>0</v>
      </c>
      <c r="FV514" s="198">
        <f t="shared" si="2631"/>
        <v>0</v>
      </c>
      <c r="FW514" s="98">
        <f t="shared" ref="FW514:GJ514" si="3799">SUM(FW43,FW81,FW119,FW157,FW195,FW233,FW271,FW309,FW347,FW385,FW423,FW461)</f>
        <v>0</v>
      </c>
      <c r="FX514" s="98">
        <f t="shared" si="3799"/>
        <v>0</v>
      </c>
      <c r="FY514" s="98">
        <f t="shared" si="3799"/>
        <v>0</v>
      </c>
      <c r="FZ514" s="98">
        <f t="shared" si="3799"/>
        <v>0</v>
      </c>
      <c r="GA514" s="98">
        <f t="shared" si="3799"/>
        <v>0</v>
      </c>
      <c r="GB514" s="98">
        <f t="shared" si="3799"/>
        <v>0</v>
      </c>
      <c r="GC514" s="98">
        <f t="shared" si="3799"/>
        <v>0</v>
      </c>
      <c r="GD514" s="98">
        <f t="shared" si="3799"/>
        <v>0</v>
      </c>
      <c r="GE514" s="98">
        <f t="shared" si="3799"/>
        <v>0</v>
      </c>
      <c r="GF514" s="98">
        <f t="shared" si="3799"/>
        <v>0</v>
      </c>
      <c r="GG514" s="98">
        <f t="shared" si="3799"/>
        <v>0</v>
      </c>
      <c r="GH514" s="98">
        <f t="shared" si="3799"/>
        <v>0</v>
      </c>
      <c r="GI514" s="98">
        <f t="shared" si="3799"/>
        <v>0</v>
      </c>
      <c r="GJ514" s="98">
        <f t="shared" si="3799"/>
        <v>0</v>
      </c>
      <c r="GK514" s="198">
        <f t="shared" si="2633"/>
        <v>0</v>
      </c>
      <c r="GL514" s="198">
        <f t="shared" si="2634"/>
        <v>0</v>
      </c>
      <c r="GM514" s="98">
        <f t="shared" ref="GM514:GZ514" si="3800">SUM(GM43,GM81,GM119,GM157,GM195,GM233,GM271,GM309,GM347,GM385,GM423,GM461)</f>
        <v>0</v>
      </c>
      <c r="GN514" s="98">
        <f t="shared" si="3800"/>
        <v>0</v>
      </c>
      <c r="GO514" s="98">
        <f t="shared" si="3800"/>
        <v>0</v>
      </c>
      <c r="GP514" s="98">
        <f t="shared" si="3800"/>
        <v>0</v>
      </c>
      <c r="GQ514" s="98">
        <f t="shared" si="3800"/>
        <v>0</v>
      </c>
      <c r="GR514" s="98">
        <f t="shared" si="3800"/>
        <v>0</v>
      </c>
      <c r="GS514" s="98">
        <f t="shared" si="3800"/>
        <v>0</v>
      </c>
      <c r="GT514" s="98">
        <f t="shared" si="3800"/>
        <v>0</v>
      </c>
      <c r="GU514" s="98">
        <f t="shared" si="3800"/>
        <v>0</v>
      </c>
      <c r="GV514" s="98">
        <f t="shared" si="3800"/>
        <v>0</v>
      </c>
      <c r="GW514" s="98">
        <f t="shared" si="3800"/>
        <v>0</v>
      </c>
      <c r="GX514" s="98">
        <f t="shared" si="3800"/>
        <v>0</v>
      </c>
      <c r="GY514" s="98">
        <f t="shared" si="3800"/>
        <v>0</v>
      </c>
      <c r="GZ514" s="98">
        <f t="shared" si="3800"/>
        <v>0</v>
      </c>
      <c r="HA514" s="198">
        <f t="shared" si="2636"/>
        <v>0</v>
      </c>
      <c r="HB514" s="198">
        <f t="shared" si="2637"/>
        <v>0</v>
      </c>
      <c r="HC514" s="98">
        <f t="shared" ref="HC514:HP514" si="3801">SUM(HC43,HC81,HC119,HC157,HC195,HC233,HC271,HC309,HC347,HC385,HC423,HC461)</f>
        <v>0</v>
      </c>
      <c r="HD514" s="98">
        <f t="shared" si="3801"/>
        <v>0</v>
      </c>
      <c r="HE514" s="98">
        <f t="shared" si="3801"/>
        <v>0</v>
      </c>
      <c r="HF514" s="98">
        <f t="shared" si="3801"/>
        <v>0</v>
      </c>
      <c r="HG514" s="98">
        <f t="shared" si="3801"/>
        <v>0</v>
      </c>
      <c r="HH514" s="98">
        <f t="shared" si="3801"/>
        <v>0</v>
      </c>
      <c r="HI514" s="98">
        <f t="shared" si="3801"/>
        <v>0</v>
      </c>
      <c r="HJ514" s="98">
        <f t="shared" si="3801"/>
        <v>0</v>
      </c>
      <c r="HK514" s="98">
        <f t="shared" si="3801"/>
        <v>0</v>
      </c>
      <c r="HL514" s="98">
        <f t="shared" si="3801"/>
        <v>0</v>
      </c>
      <c r="HM514" s="98">
        <f t="shared" si="3801"/>
        <v>0</v>
      </c>
      <c r="HN514" s="98">
        <f t="shared" si="3801"/>
        <v>0</v>
      </c>
      <c r="HO514" s="98">
        <f t="shared" si="3801"/>
        <v>0</v>
      </c>
      <c r="HP514" s="98">
        <f t="shared" si="3801"/>
        <v>0</v>
      </c>
      <c r="HQ514" s="198">
        <f t="shared" si="2639"/>
        <v>0</v>
      </c>
      <c r="HR514" s="198">
        <f t="shared" si="2640"/>
        <v>0</v>
      </c>
      <c r="HS514" s="98">
        <f t="shared" ref="HS514:IF514" si="3802">SUM(HS43,HS81,HS119,HS157,HS195,HS233,HS271,HS309,HS347,HS385,HS423,HS461)</f>
        <v>0</v>
      </c>
      <c r="HT514" s="98">
        <f t="shared" si="3802"/>
        <v>0</v>
      </c>
      <c r="HU514" s="98">
        <f t="shared" si="3802"/>
        <v>0</v>
      </c>
      <c r="HV514" s="98">
        <f t="shared" si="3802"/>
        <v>0</v>
      </c>
      <c r="HW514" s="98">
        <f t="shared" si="3802"/>
        <v>0</v>
      </c>
      <c r="HX514" s="98">
        <f t="shared" si="3802"/>
        <v>0</v>
      </c>
      <c r="HY514" s="98">
        <f t="shared" si="3802"/>
        <v>0</v>
      </c>
      <c r="HZ514" s="98">
        <f t="shared" si="3802"/>
        <v>0</v>
      </c>
      <c r="IA514" s="98">
        <f t="shared" si="3802"/>
        <v>0</v>
      </c>
      <c r="IB514" s="98">
        <f t="shared" si="3802"/>
        <v>0</v>
      </c>
      <c r="IC514" s="98">
        <f t="shared" si="3802"/>
        <v>0</v>
      </c>
      <c r="ID514" s="98">
        <f t="shared" si="3802"/>
        <v>0</v>
      </c>
      <c r="IE514" s="98">
        <f t="shared" si="3802"/>
        <v>0</v>
      </c>
      <c r="IF514" s="98">
        <f t="shared" si="3802"/>
        <v>0</v>
      </c>
      <c r="IG514" s="198">
        <f t="shared" si="2642"/>
        <v>0</v>
      </c>
      <c r="IH514" s="198">
        <f t="shared" si="2643"/>
        <v>0</v>
      </c>
      <c r="II514" s="98">
        <f t="shared" ref="II514:IV514" si="3803">SUM(II43,II81,II119,II157,II195,II233,II271,II309,II347,II385,II423,II461)</f>
        <v>0</v>
      </c>
      <c r="IJ514" s="98">
        <f t="shared" si="3803"/>
        <v>0</v>
      </c>
      <c r="IK514" s="98">
        <f t="shared" si="3803"/>
        <v>0</v>
      </c>
      <c r="IL514" s="98">
        <f t="shared" si="3803"/>
        <v>0</v>
      </c>
      <c r="IM514" s="98">
        <f t="shared" si="3803"/>
        <v>0</v>
      </c>
      <c r="IN514" s="98">
        <f t="shared" si="3803"/>
        <v>0</v>
      </c>
      <c r="IO514" s="98">
        <f t="shared" si="3803"/>
        <v>0</v>
      </c>
      <c r="IP514" s="98">
        <f t="shared" si="3803"/>
        <v>0</v>
      </c>
      <c r="IQ514" s="98">
        <f t="shared" si="3803"/>
        <v>0</v>
      </c>
      <c r="IR514" s="98">
        <f t="shared" si="3803"/>
        <v>0</v>
      </c>
      <c r="IS514" s="98">
        <f t="shared" si="3803"/>
        <v>0</v>
      </c>
      <c r="IT514" s="98">
        <f t="shared" si="3803"/>
        <v>0</v>
      </c>
      <c r="IU514" s="98">
        <f t="shared" si="3803"/>
        <v>0</v>
      </c>
      <c r="IV514" s="98">
        <f t="shared" si="3803"/>
        <v>0</v>
      </c>
      <c r="IW514" s="198">
        <f t="shared" si="2645"/>
        <v>0</v>
      </c>
      <c r="IX514" s="198">
        <f t="shared" si="2646"/>
        <v>0</v>
      </c>
      <c r="IY514" s="98">
        <f t="shared" ref="IY514:JL514" si="3804">SUM(IY43,IY81,IY119,IY157,IY195,IY233,IY271,IY309,IY347,IY385,IY423,IY461)</f>
        <v>0</v>
      </c>
      <c r="IZ514" s="98">
        <f t="shared" si="3804"/>
        <v>0</v>
      </c>
      <c r="JA514" s="98">
        <f t="shared" si="3804"/>
        <v>0</v>
      </c>
      <c r="JB514" s="98">
        <f t="shared" si="3804"/>
        <v>0</v>
      </c>
      <c r="JC514" s="98">
        <f t="shared" si="3804"/>
        <v>0</v>
      </c>
      <c r="JD514" s="98">
        <f t="shared" si="3804"/>
        <v>0</v>
      </c>
      <c r="JE514" s="98">
        <f t="shared" si="3804"/>
        <v>0</v>
      </c>
      <c r="JF514" s="98">
        <f t="shared" si="3804"/>
        <v>0</v>
      </c>
      <c r="JG514" s="98">
        <f t="shared" si="3804"/>
        <v>0</v>
      </c>
      <c r="JH514" s="98">
        <f t="shared" si="3804"/>
        <v>0</v>
      </c>
      <c r="JI514" s="98">
        <f t="shared" si="3804"/>
        <v>0</v>
      </c>
      <c r="JJ514" s="98">
        <f t="shared" si="3804"/>
        <v>0</v>
      </c>
      <c r="JK514" s="98">
        <f t="shared" si="3804"/>
        <v>0</v>
      </c>
      <c r="JL514" s="98">
        <f t="shared" si="3804"/>
        <v>0</v>
      </c>
      <c r="JM514" s="198">
        <f t="shared" si="2648"/>
        <v>0</v>
      </c>
      <c r="JN514" s="198">
        <f t="shared" si="2649"/>
        <v>0</v>
      </c>
      <c r="JO514" s="98">
        <f t="shared" ref="JO514:KB514" si="3805">SUM(JO43,JO81,JO119,JO157,JO195,JO233,JO271,JO309,JO347,JO385,JO423,JO461)</f>
        <v>0</v>
      </c>
      <c r="JP514" s="98">
        <f t="shared" si="3805"/>
        <v>0</v>
      </c>
      <c r="JQ514" s="98">
        <f t="shared" si="3805"/>
        <v>0</v>
      </c>
      <c r="JR514" s="98">
        <f t="shared" si="3805"/>
        <v>0</v>
      </c>
      <c r="JS514" s="98">
        <f t="shared" si="3805"/>
        <v>0</v>
      </c>
      <c r="JT514" s="98">
        <f t="shared" si="3805"/>
        <v>0</v>
      </c>
      <c r="JU514" s="98">
        <f t="shared" si="3805"/>
        <v>260</v>
      </c>
      <c r="JV514" s="98">
        <f t="shared" si="3805"/>
        <v>19500</v>
      </c>
      <c r="JW514" s="98">
        <f t="shared" si="3805"/>
        <v>0</v>
      </c>
      <c r="JX514" s="98">
        <f t="shared" si="3805"/>
        <v>0</v>
      </c>
      <c r="JY514" s="98">
        <f t="shared" si="3805"/>
        <v>0</v>
      </c>
      <c r="JZ514" s="98">
        <f t="shared" si="3805"/>
        <v>0</v>
      </c>
      <c r="KA514" s="98">
        <f t="shared" si="3805"/>
        <v>0</v>
      </c>
      <c r="KB514" s="98">
        <f t="shared" si="3805"/>
        <v>0</v>
      </c>
      <c r="KC514" s="198">
        <f t="shared" si="2651"/>
        <v>260</v>
      </c>
      <c r="KD514" s="198">
        <f t="shared" si="2652"/>
        <v>19500</v>
      </c>
      <c r="KE514" s="98">
        <f t="shared" ref="KE514:KR514" si="3806">SUM(KE43,KE81,KE119,KE157,KE195,KE233,KE271,KE309,KE347,KE385,KE423,KE461)</f>
        <v>0</v>
      </c>
      <c r="KF514" s="98">
        <f t="shared" si="3806"/>
        <v>0</v>
      </c>
      <c r="KG514" s="98">
        <f t="shared" si="3806"/>
        <v>0</v>
      </c>
      <c r="KH514" s="98">
        <f t="shared" si="3806"/>
        <v>0</v>
      </c>
      <c r="KI514" s="98">
        <f t="shared" si="3806"/>
        <v>0</v>
      </c>
      <c r="KJ514" s="98">
        <f t="shared" si="3806"/>
        <v>0</v>
      </c>
      <c r="KK514" s="98">
        <f t="shared" si="3806"/>
        <v>0</v>
      </c>
      <c r="KL514" s="98">
        <f t="shared" si="3806"/>
        <v>0</v>
      </c>
      <c r="KM514" s="98">
        <f t="shared" si="3806"/>
        <v>0</v>
      </c>
      <c r="KN514" s="98">
        <f t="shared" si="3806"/>
        <v>0</v>
      </c>
      <c r="KO514" s="98">
        <f t="shared" si="3806"/>
        <v>0</v>
      </c>
      <c r="KP514" s="98">
        <f t="shared" si="3806"/>
        <v>0</v>
      </c>
      <c r="KQ514" s="98">
        <f t="shared" si="3806"/>
        <v>0</v>
      </c>
      <c r="KR514" s="98">
        <f t="shared" si="3806"/>
        <v>0</v>
      </c>
      <c r="KS514" s="198">
        <f t="shared" si="2654"/>
        <v>0</v>
      </c>
      <c r="KT514" s="198">
        <f t="shared" si="2655"/>
        <v>0</v>
      </c>
      <c r="KU514" s="98">
        <f t="shared" ref="KU514:LH514" si="3807">SUM(KU43,KU81,KU119,KU157,KU195,KU233,KU271,KU309,KU347,KU385,KU423,KU461)</f>
        <v>0</v>
      </c>
      <c r="KV514" s="98">
        <f t="shared" si="3807"/>
        <v>0</v>
      </c>
      <c r="KW514" s="98">
        <f t="shared" si="3807"/>
        <v>0</v>
      </c>
      <c r="KX514" s="98">
        <f t="shared" si="3807"/>
        <v>0</v>
      </c>
      <c r="KY514" s="98">
        <f t="shared" si="3807"/>
        <v>0</v>
      </c>
      <c r="KZ514" s="98">
        <f t="shared" si="3807"/>
        <v>0</v>
      </c>
      <c r="LA514" s="98">
        <f t="shared" si="3807"/>
        <v>0</v>
      </c>
      <c r="LB514" s="98">
        <f t="shared" si="3807"/>
        <v>0</v>
      </c>
      <c r="LC514" s="98">
        <f t="shared" si="3807"/>
        <v>0</v>
      </c>
      <c r="LD514" s="98">
        <f t="shared" si="3807"/>
        <v>0</v>
      </c>
      <c r="LE514" s="98">
        <f t="shared" si="3807"/>
        <v>0</v>
      </c>
      <c r="LF514" s="98">
        <f t="shared" si="3807"/>
        <v>0</v>
      </c>
      <c r="LG514" s="98">
        <f t="shared" si="3807"/>
        <v>0</v>
      </c>
      <c r="LH514" s="98">
        <f t="shared" si="3807"/>
        <v>0</v>
      </c>
      <c r="LI514" s="198">
        <f t="shared" si="2657"/>
        <v>0</v>
      </c>
      <c r="LJ514" s="198">
        <f t="shared" si="2658"/>
        <v>0</v>
      </c>
      <c r="LK514" s="98">
        <f t="shared" ref="LK514:LX514" si="3808">SUM(LK43,LK81,LK119,LK157,LK195,LK233,LK271,LK309,LK347,LK385,LK423,LK461)</f>
        <v>0</v>
      </c>
      <c r="LL514" s="98">
        <f t="shared" si="3808"/>
        <v>0</v>
      </c>
      <c r="LM514" s="98">
        <f t="shared" si="3808"/>
        <v>0</v>
      </c>
      <c r="LN514" s="98">
        <f t="shared" si="3808"/>
        <v>0</v>
      </c>
      <c r="LO514" s="98">
        <f t="shared" si="3808"/>
        <v>0</v>
      </c>
      <c r="LP514" s="98">
        <f t="shared" si="3808"/>
        <v>0</v>
      </c>
      <c r="LQ514" s="98">
        <f t="shared" si="3808"/>
        <v>0</v>
      </c>
      <c r="LR514" s="98">
        <f t="shared" si="3808"/>
        <v>0</v>
      </c>
      <c r="LS514" s="98">
        <f t="shared" si="3808"/>
        <v>0</v>
      </c>
      <c r="LT514" s="98">
        <f t="shared" si="3808"/>
        <v>0</v>
      </c>
      <c r="LU514" s="98">
        <f t="shared" si="3808"/>
        <v>0</v>
      </c>
      <c r="LV514" s="98">
        <f t="shared" si="3808"/>
        <v>0</v>
      </c>
      <c r="LW514" s="98">
        <f t="shared" si="3808"/>
        <v>0</v>
      </c>
      <c r="LX514" s="98">
        <f t="shared" si="3808"/>
        <v>0</v>
      </c>
      <c r="LY514" s="198">
        <f t="shared" si="2660"/>
        <v>0</v>
      </c>
      <c r="LZ514" s="198">
        <f t="shared" si="2661"/>
        <v>0</v>
      </c>
      <c r="MA514" s="98">
        <f t="shared" ref="MA514:MN514" si="3809">SUM(MA43,MA81,MA119,MA157,MA195,MA233,MA271,MA309,MA347,MA385,MA423,MA461)</f>
        <v>0</v>
      </c>
      <c r="MB514" s="98">
        <f t="shared" si="3809"/>
        <v>0</v>
      </c>
      <c r="MC514" s="98">
        <f t="shared" si="3809"/>
        <v>0</v>
      </c>
      <c r="MD514" s="98">
        <f t="shared" si="3809"/>
        <v>0</v>
      </c>
      <c r="ME514" s="98">
        <f t="shared" si="3809"/>
        <v>0</v>
      </c>
      <c r="MF514" s="98">
        <f t="shared" si="3809"/>
        <v>0</v>
      </c>
      <c r="MG514" s="98">
        <f t="shared" si="3809"/>
        <v>0</v>
      </c>
      <c r="MH514" s="98">
        <f t="shared" si="3809"/>
        <v>0</v>
      </c>
      <c r="MI514" s="98">
        <f t="shared" si="3809"/>
        <v>0</v>
      </c>
      <c r="MJ514" s="98">
        <f t="shared" si="3809"/>
        <v>0</v>
      </c>
      <c r="MK514" s="98">
        <f t="shared" si="3809"/>
        <v>0</v>
      </c>
      <c r="ML514" s="98">
        <f t="shared" si="3809"/>
        <v>0</v>
      </c>
      <c r="MM514" s="98">
        <f t="shared" si="3809"/>
        <v>0</v>
      </c>
      <c r="MN514" s="98">
        <f t="shared" si="3809"/>
        <v>0</v>
      </c>
      <c r="MO514" s="198">
        <f t="shared" si="2663"/>
        <v>0</v>
      </c>
      <c r="MP514" s="198">
        <f t="shared" si="2664"/>
        <v>0</v>
      </c>
      <c r="MQ514" s="98">
        <f t="shared" ref="MQ514:ND514" si="3810">SUM(MQ43,MQ81,MQ119,MQ157,MQ195,MQ233,MQ271,MQ309,MQ347,MQ385,MQ423,MQ461)</f>
        <v>0</v>
      </c>
      <c r="MR514" s="98">
        <f t="shared" si="3810"/>
        <v>0</v>
      </c>
      <c r="MS514" s="98">
        <f t="shared" si="3810"/>
        <v>0</v>
      </c>
      <c r="MT514" s="98">
        <f t="shared" si="3810"/>
        <v>0</v>
      </c>
      <c r="MU514" s="98">
        <f t="shared" si="3810"/>
        <v>0</v>
      </c>
      <c r="MV514" s="98">
        <f t="shared" si="3810"/>
        <v>0</v>
      </c>
      <c r="MW514" s="98">
        <f t="shared" si="3810"/>
        <v>0</v>
      </c>
      <c r="MX514" s="98">
        <f t="shared" si="3810"/>
        <v>0</v>
      </c>
      <c r="MY514" s="98">
        <f t="shared" si="3810"/>
        <v>0</v>
      </c>
      <c r="MZ514" s="98">
        <f t="shared" si="3810"/>
        <v>0</v>
      </c>
      <c r="NA514" s="98">
        <f t="shared" si="3810"/>
        <v>0</v>
      </c>
      <c r="NB514" s="98">
        <f t="shared" si="3810"/>
        <v>0</v>
      </c>
      <c r="NC514" s="98">
        <f t="shared" si="3810"/>
        <v>0</v>
      </c>
      <c r="ND514" s="98">
        <f t="shared" si="3810"/>
        <v>0</v>
      </c>
      <c r="NE514" s="198">
        <f t="shared" si="2666"/>
        <v>0</v>
      </c>
      <c r="NF514" s="198">
        <f t="shared" si="2667"/>
        <v>0</v>
      </c>
      <c r="NG514" s="98">
        <f t="shared" ref="NG514:NT514" si="3811">SUM(NG43,NG81,NG119,NG157,NG195,NG233,NG271,NG309,NG347,NG385,NG423,NG461)</f>
        <v>0</v>
      </c>
      <c r="NH514" s="98">
        <f t="shared" si="3811"/>
        <v>0</v>
      </c>
      <c r="NI514" s="98">
        <f t="shared" si="3811"/>
        <v>0</v>
      </c>
      <c r="NJ514" s="98">
        <f t="shared" si="3811"/>
        <v>0</v>
      </c>
      <c r="NK514" s="98">
        <f t="shared" si="3811"/>
        <v>0</v>
      </c>
      <c r="NL514" s="98">
        <f t="shared" si="3811"/>
        <v>0</v>
      </c>
      <c r="NM514" s="98">
        <f t="shared" si="3811"/>
        <v>0</v>
      </c>
      <c r="NN514" s="98">
        <f t="shared" si="3811"/>
        <v>0</v>
      </c>
      <c r="NO514" s="98">
        <f t="shared" si="3811"/>
        <v>0</v>
      </c>
      <c r="NP514" s="98">
        <f t="shared" si="3811"/>
        <v>0</v>
      </c>
      <c r="NQ514" s="98">
        <f t="shared" si="3811"/>
        <v>0</v>
      </c>
      <c r="NR514" s="98">
        <f t="shared" si="3811"/>
        <v>0</v>
      </c>
      <c r="NS514" s="98">
        <f t="shared" si="3811"/>
        <v>0</v>
      </c>
      <c r="NT514" s="98">
        <f t="shared" si="3811"/>
        <v>0</v>
      </c>
      <c r="NU514" s="198">
        <f t="shared" si="2669"/>
        <v>0</v>
      </c>
      <c r="NV514" s="198">
        <f t="shared" si="2670"/>
        <v>0</v>
      </c>
      <c r="NW514" s="98">
        <f t="shared" ref="NW514:OJ514" si="3812">SUM(NW43,NW81,NW119,NW157,NW195,NW233,NW271,NW309,NW347,NW385,NW423,NW461)</f>
        <v>0</v>
      </c>
      <c r="NX514" s="98">
        <f t="shared" si="3812"/>
        <v>0</v>
      </c>
      <c r="NY514" s="98">
        <f t="shared" si="3812"/>
        <v>0</v>
      </c>
      <c r="NZ514" s="98">
        <f t="shared" si="3812"/>
        <v>0</v>
      </c>
      <c r="OA514" s="98">
        <f t="shared" si="3812"/>
        <v>0</v>
      </c>
      <c r="OB514" s="98">
        <f t="shared" si="3812"/>
        <v>0</v>
      </c>
      <c r="OC514" s="98">
        <f t="shared" si="3812"/>
        <v>0</v>
      </c>
      <c r="OD514" s="98">
        <f t="shared" si="3812"/>
        <v>0</v>
      </c>
      <c r="OE514" s="98">
        <f t="shared" si="3812"/>
        <v>0</v>
      </c>
      <c r="OF514" s="98">
        <f t="shared" si="3812"/>
        <v>0</v>
      </c>
      <c r="OG514" s="98">
        <f t="shared" si="3812"/>
        <v>0</v>
      </c>
      <c r="OH514" s="98">
        <f t="shared" si="3812"/>
        <v>0</v>
      </c>
      <c r="OI514" s="98">
        <f t="shared" si="3812"/>
        <v>0</v>
      </c>
      <c r="OJ514" s="98">
        <f t="shared" si="3812"/>
        <v>0</v>
      </c>
      <c r="OK514" s="198">
        <f t="shared" si="2672"/>
        <v>0</v>
      </c>
      <c r="OL514" s="198">
        <f t="shared" si="2673"/>
        <v>0</v>
      </c>
      <c r="OM514" s="98">
        <f t="shared" ref="OM514:OZ514" si="3813">SUM(OM43,OM81,OM119,OM157,OM195,OM233,OM271,OM309,OM347,OM385,OM423,OM461)</f>
        <v>0</v>
      </c>
      <c r="ON514" s="98">
        <f t="shared" si="3813"/>
        <v>0</v>
      </c>
      <c r="OO514" s="98">
        <f t="shared" si="3813"/>
        <v>0</v>
      </c>
      <c r="OP514" s="98">
        <f t="shared" si="3813"/>
        <v>0</v>
      </c>
      <c r="OQ514" s="98">
        <f t="shared" si="3813"/>
        <v>0</v>
      </c>
      <c r="OR514" s="98">
        <f t="shared" si="3813"/>
        <v>0</v>
      </c>
      <c r="OS514" s="98">
        <f t="shared" si="3813"/>
        <v>0</v>
      </c>
      <c r="OT514" s="98">
        <f t="shared" si="3813"/>
        <v>0</v>
      </c>
      <c r="OU514" s="98">
        <f t="shared" si="3813"/>
        <v>0</v>
      </c>
      <c r="OV514" s="98">
        <f t="shared" si="3813"/>
        <v>0</v>
      </c>
      <c r="OW514" s="98">
        <f t="shared" si="3813"/>
        <v>0</v>
      </c>
      <c r="OX514" s="98">
        <f t="shared" si="3813"/>
        <v>0</v>
      </c>
      <c r="OY514" s="98">
        <f t="shared" si="3813"/>
        <v>0</v>
      </c>
      <c r="OZ514" s="98">
        <f t="shared" si="3813"/>
        <v>0</v>
      </c>
      <c r="PA514" s="198">
        <f t="shared" si="2675"/>
        <v>0</v>
      </c>
      <c r="PB514" s="198">
        <f t="shared" si="2676"/>
        <v>0</v>
      </c>
      <c r="PC514" s="98">
        <f t="shared" ref="PC514:PP514" si="3814">SUM(PC43,PC81,PC119,PC157,PC195,PC233,PC271,PC309,PC347,PC385,PC423,PC461)</f>
        <v>0</v>
      </c>
      <c r="PD514" s="98">
        <f t="shared" si="3814"/>
        <v>0</v>
      </c>
      <c r="PE514" s="98">
        <f t="shared" si="3814"/>
        <v>0</v>
      </c>
      <c r="PF514" s="98">
        <f t="shared" si="3814"/>
        <v>0</v>
      </c>
      <c r="PG514" s="98">
        <f t="shared" si="3814"/>
        <v>0</v>
      </c>
      <c r="PH514" s="98">
        <f t="shared" si="3814"/>
        <v>0</v>
      </c>
      <c r="PI514" s="98">
        <f t="shared" si="3814"/>
        <v>0</v>
      </c>
      <c r="PJ514" s="98">
        <f t="shared" si="3814"/>
        <v>0</v>
      </c>
      <c r="PK514" s="98">
        <f t="shared" si="3814"/>
        <v>0</v>
      </c>
      <c r="PL514" s="98">
        <f t="shared" si="3814"/>
        <v>0</v>
      </c>
      <c r="PM514" s="98">
        <f t="shared" si="3814"/>
        <v>0</v>
      </c>
      <c r="PN514" s="98">
        <f t="shared" si="3814"/>
        <v>0</v>
      </c>
      <c r="PO514" s="98">
        <f t="shared" si="3814"/>
        <v>0</v>
      </c>
      <c r="PP514" s="98">
        <f t="shared" si="3814"/>
        <v>0</v>
      </c>
      <c r="PQ514" s="198">
        <f t="shared" si="2678"/>
        <v>0</v>
      </c>
      <c r="PR514" s="198">
        <f t="shared" si="2679"/>
        <v>0</v>
      </c>
      <c r="PS514" s="98">
        <f t="shared" ref="PS514:QF514" si="3815">SUM(PS43,PS81,PS119,PS157,PS195,PS233,PS271,PS309,PS347,PS385,PS423,PS461)</f>
        <v>0</v>
      </c>
      <c r="PT514" s="98">
        <f t="shared" si="3815"/>
        <v>0</v>
      </c>
      <c r="PU514" s="98">
        <f t="shared" si="3815"/>
        <v>0</v>
      </c>
      <c r="PV514" s="98">
        <f t="shared" si="3815"/>
        <v>0</v>
      </c>
      <c r="PW514" s="98">
        <f t="shared" si="3815"/>
        <v>0</v>
      </c>
      <c r="PX514" s="98">
        <f t="shared" si="3815"/>
        <v>0</v>
      </c>
      <c r="PY514" s="98">
        <f t="shared" si="3815"/>
        <v>0</v>
      </c>
      <c r="PZ514" s="98">
        <f t="shared" si="3815"/>
        <v>0</v>
      </c>
      <c r="QA514" s="98">
        <f t="shared" si="3815"/>
        <v>0</v>
      </c>
      <c r="QB514" s="98">
        <f t="shared" si="3815"/>
        <v>0</v>
      </c>
      <c r="QC514" s="98">
        <f t="shared" si="3815"/>
        <v>0</v>
      </c>
      <c r="QD514" s="98">
        <f t="shared" si="3815"/>
        <v>0</v>
      </c>
      <c r="QE514" s="98">
        <f t="shared" si="3815"/>
        <v>0</v>
      </c>
      <c r="QF514" s="98">
        <f t="shared" si="3815"/>
        <v>0</v>
      </c>
      <c r="QG514" s="198">
        <f t="shared" si="2681"/>
        <v>0</v>
      </c>
      <c r="QH514" s="198">
        <f t="shared" si="2682"/>
        <v>0</v>
      </c>
      <c r="QI514" s="98">
        <f t="shared" ref="QI514:QV514" si="3816">SUM(QI43,QI81,QI119,QI157,QI195,QI233,QI271,QI309,QI347,QI385,QI423,QI461)</f>
        <v>0</v>
      </c>
      <c r="QJ514" s="98">
        <f t="shared" si="3816"/>
        <v>0</v>
      </c>
      <c r="QK514" s="98">
        <f t="shared" si="3816"/>
        <v>0</v>
      </c>
      <c r="QL514" s="98">
        <f t="shared" si="3816"/>
        <v>0</v>
      </c>
      <c r="QM514" s="98">
        <f t="shared" si="3816"/>
        <v>0</v>
      </c>
      <c r="QN514" s="98">
        <f t="shared" si="3816"/>
        <v>0</v>
      </c>
      <c r="QO514" s="98">
        <f t="shared" si="3816"/>
        <v>0</v>
      </c>
      <c r="QP514" s="98">
        <f t="shared" si="3816"/>
        <v>0</v>
      </c>
      <c r="QQ514" s="98">
        <f t="shared" si="3816"/>
        <v>0</v>
      </c>
      <c r="QR514" s="98">
        <f t="shared" si="3816"/>
        <v>0</v>
      </c>
      <c r="QS514" s="98">
        <f t="shared" si="3816"/>
        <v>0</v>
      </c>
      <c r="QT514" s="98">
        <f t="shared" si="3816"/>
        <v>0</v>
      </c>
      <c r="QU514" s="98">
        <f t="shared" si="3816"/>
        <v>0</v>
      </c>
      <c r="QV514" s="98">
        <f t="shared" si="3816"/>
        <v>0</v>
      </c>
      <c r="QW514" s="198">
        <f t="shared" si="2684"/>
        <v>0</v>
      </c>
      <c r="QX514" s="198">
        <f t="shared" si="2685"/>
        <v>0</v>
      </c>
      <c r="QY514" s="98">
        <f t="shared" ref="QY514:RL514" si="3817">SUM(QY43,QY81,QY119,QY157,QY195,QY233,QY271,QY309,QY347,QY385,QY423,QY461)</f>
        <v>0</v>
      </c>
      <c r="QZ514" s="98">
        <f t="shared" si="3817"/>
        <v>0</v>
      </c>
      <c r="RA514" s="98">
        <f t="shared" si="3817"/>
        <v>0</v>
      </c>
      <c r="RB514" s="98">
        <f t="shared" si="3817"/>
        <v>0</v>
      </c>
      <c r="RC514" s="98">
        <f t="shared" si="3817"/>
        <v>0</v>
      </c>
      <c r="RD514" s="98">
        <f t="shared" si="3817"/>
        <v>0</v>
      </c>
      <c r="RE514" s="98">
        <f t="shared" si="3817"/>
        <v>0</v>
      </c>
      <c r="RF514" s="98">
        <f t="shared" si="3817"/>
        <v>0</v>
      </c>
      <c r="RG514" s="98">
        <f t="shared" si="3817"/>
        <v>0</v>
      </c>
      <c r="RH514" s="98">
        <f t="shared" si="3817"/>
        <v>0</v>
      </c>
      <c r="RI514" s="98">
        <f t="shared" si="3817"/>
        <v>0</v>
      </c>
      <c r="RJ514" s="98">
        <f t="shared" si="3817"/>
        <v>0</v>
      </c>
      <c r="RK514" s="98">
        <f t="shared" si="3817"/>
        <v>0</v>
      </c>
      <c r="RL514" s="98">
        <f t="shared" si="3817"/>
        <v>0</v>
      </c>
      <c r="RM514" s="198">
        <f t="shared" si="2687"/>
        <v>0</v>
      </c>
      <c r="RN514" s="198">
        <f t="shared" si="2688"/>
        <v>0</v>
      </c>
      <c r="RO514" s="98">
        <f t="shared" ref="RO514:SB514" si="3818">SUM(RO43,RO81,RO119,RO157,RO195,RO233,RO271,RO309,RO347,RO385,RO423,RO461)</f>
        <v>0</v>
      </c>
      <c r="RP514" s="98">
        <f t="shared" si="3818"/>
        <v>0</v>
      </c>
      <c r="RQ514" s="98">
        <f t="shared" si="3818"/>
        <v>0</v>
      </c>
      <c r="RR514" s="98">
        <f t="shared" si="3818"/>
        <v>0</v>
      </c>
      <c r="RS514" s="98">
        <f t="shared" si="3818"/>
        <v>0</v>
      </c>
      <c r="RT514" s="98">
        <f t="shared" si="3818"/>
        <v>0</v>
      </c>
      <c r="RU514" s="98">
        <f t="shared" si="3818"/>
        <v>0</v>
      </c>
      <c r="RV514" s="98">
        <f t="shared" si="3818"/>
        <v>0</v>
      </c>
      <c r="RW514" s="98">
        <f t="shared" si="3818"/>
        <v>0</v>
      </c>
      <c r="RX514" s="98">
        <f t="shared" si="3818"/>
        <v>0</v>
      </c>
      <c r="RY514" s="98">
        <f t="shared" si="3818"/>
        <v>0</v>
      </c>
      <c r="RZ514" s="98">
        <f t="shared" si="3818"/>
        <v>0</v>
      </c>
      <c r="SA514" s="98">
        <f t="shared" si="3818"/>
        <v>0</v>
      </c>
      <c r="SB514" s="98">
        <f t="shared" si="3818"/>
        <v>0</v>
      </c>
      <c r="SC514" s="198">
        <f t="shared" si="2690"/>
        <v>0</v>
      </c>
      <c r="SD514" s="198">
        <f t="shared" si="2691"/>
        <v>0</v>
      </c>
      <c r="SE514" s="98">
        <f t="shared" ref="SE514:SR514" si="3819">SUM(SE43,SE81,SE119,SE157,SE195,SE233,SE271,SE309,SE347,SE385,SE423,SE461)</f>
        <v>0</v>
      </c>
      <c r="SF514" s="98">
        <f t="shared" si="3819"/>
        <v>0</v>
      </c>
      <c r="SG514" s="98">
        <f t="shared" si="3819"/>
        <v>0</v>
      </c>
      <c r="SH514" s="98">
        <f t="shared" si="3819"/>
        <v>0</v>
      </c>
      <c r="SI514" s="98">
        <f t="shared" si="3819"/>
        <v>0</v>
      </c>
      <c r="SJ514" s="98">
        <f t="shared" si="3819"/>
        <v>0</v>
      </c>
      <c r="SK514" s="98">
        <f t="shared" si="3819"/>
        <v>0</v>
      </c>
      <c r="SL514" s="98">
        <f t="shared" si="3819"/>
        <v>0</v>
      </c>
      <c r="SM514" s="98">
        <f t="shared" si="3819"/>
        <v>0</v>
      </c>
      <c r="SN514" s="98">
        <f t="shared" si="3819"/>
        <v>0</v>
      </c>
      <c r="SO514" s="98">
        <f t="shared" si="3819"/>
        <v>0</v>
      </c>
      <c r="SP514" s="98">
        <f t="shared" si="3819"/>
        <v>0</v>
      </c>
      <c r="SQ514" s="98">
        <f t="shared" si="3819"/>
        <v>0</v>
      </c>
      <c r="SR514" s="98">
        <f t="shared" si="3819"/>
        <v>0</v>
      </c>
      <c r="SS514" s="198">
        <f t="shared" si="2693"/>
        <v>0</v>
      </c>
      <c r="ST514" s="198">
        <f t="shared" si="2694"/>
        <v>0</v>
      </c>
      <c r="SU514" s="98">
        <f t="shared" ref="SU514:TH514" si="3820">SUM(SU43,SU81,SU119,SU157,SU195,SU233,SU271,SU309,SU347,SU385,SU423,SU461)</f>
        <v>0</v>
      </c>
      <c r="SV514" s="98">
        <f t="shared" si="3820"/>
        <v>0</v>
      </c>
      <c r="SW514" s="98">
        <f t="shared" si="3820"/>
        <v>0</v>
      </c>
      <c r="SX514" s="98">
        <f t="shared" si="3820"/>
        <v>0</v>
      </c>
      <c r="SY514" s="98">
        <f t="shared" si="3820"/>
        <v>0</v>
      </c>
      <c r="SZ514" s="98">
        <f t="shared" si="3820"/>
        <v>0</v>
      </c>
      <c r="TA514" s="98">
        <f t="shared" si="3820"/>
        <v>0</v>
      </c>
      <c r="TB514" s="98">
        <f t="shared" si="3820"/>
        <v>0</v>
      </c>
      <c r="TC514" s="98">
        <f t="shared" si="3820"/>
        <v>0</v>
      </c>
      <c r="TD514" s="98">
        <f t="shared" si="3820"/>
        <v>0</v>
      </c>
      <c r="TE514" s="98">
        <f t="shared" si="3820"/>
        <v>0</v>
      </c>
      <c r="TF514" s="98">
        <f t="shared" si="3820"/>
        <v>0</v>
      </c>
      <c r="TG514" s="98">
        <f t="shared" si="3820"/>
        <v>0</v>
      </c>
      <c r="TH514" s="98">
        <f t="shared" si="3820"/>
        <v>0</v>
      </c>
      <c r="TI514" s="198">
        <f t="shared" si="2696"/>
        <v>0</v>
      </c>
      <c r="TJ514" s="198">
        <f t="shared" si="2697"/>
        <v>0</v>
      </c>
      <c r="TK514" s="98">
        <f t="shared" ref="TK514:TX514" si="3821">SUM(TK43,TK81,TK119,TK157,TK195,TK233,TK271,TK309,TK347,TK385,TK423,TK461)</f>
        <v>0</v>
      </c>
      <c r="TL514" s="98">
        <f t="shared" si="3821"/>
        <v>0</v>
      </c>
      <c r="TM514" s="98">
        <f t="shared" si="3821"/>
        <v>0</v>
      </c>
      <c r="TN514" s="98">
        <f t="shared" si="3821"/>
        <v>0</v>
      </c>
      <c r="TO514" s="98">
        <f t="shared" si="3821"/>
        <v>0</v>
      </c>
      <c r="TP514" s="98">
        <f t="shared" si="3821"/>
        <v>0</v>
      </c>
      <c r="TQ514" s="98">
        <f t="shared" si="3821"/>
        <v>0</v>
      </c>
      <c r="TR514" s="98">
        <f t="shared" si="3821"/>
        <v>0</v>
      </c>
      <c r="TS514" s="98">
        <f t="shared" si="3821"/>
        <v>0</v>
      </c>
      <c r="TT514" s="98">
        <f t="shared" si="3821"/>
        <v>0</v>
      </c>
      <c r="TU514" s="98">
        <f t="shared" si="3821"/>
        <v>0</v>
      </c>
      <c r="TV514" s="98">
        <f t="shared" si="3821"/>
        <v>0</v>
      </c>
      <c r="TW514" s="98">
        <f t="shared" si="3821"/>
        <v>0</v>
      </c>
      <c r="TX514" s="98">
        <f t="shared" si="3821"/>
        <v>0</v>
      </c>
      <c r="TY514" s="198">
        <f t="shared" si="2699"/>
        <v>0</v>
      </c>
      <c r="TZ514" s="198">
        <f t="shared" si="2700"/>
        <v>0</v>
      </c>
      <c r="UA514" s="98">
        <f t="shared" ref="UA514:UN514" si="3822">SUM(UA43,UA81,UA119,UA157,UA195,UA233,UA271,UA309,UA347,UA385,UA423,UA461)</f>
        <v>0</v>
      </c>
      <c r="UB514" s="98">
        <f t="shared" si="3822"/>
        <v>0</v>
      </c>
      <c r="UC514" s="98">
        <f t="shared" si="3822"/>
        <v>0</v>
      </c>
      <c r="UD514" s="98">
        <f t="shared" si="3822"/>
        <v>0</v>
      </c>
      <c r="UE514" s="98">
        <f t="shared" si="3822"/>
        <v>0</v>
      </c>
      <c r="UF514" s="98">
        <f t="shared" si="3822"/>
        <v>0</v>
      </c>
      <c r="UG514" s="98">
        <f t="shared" si="3822"/>
        <v>0</v>
      </c>
      <c r="UH514" s="98">
        <f t="shared" si="3822"/>
        <v>0</v>
      </c>
      <c r="UI514" s="98">
        <f t="shared" si="3822"/>
        <v>0</v>
      </c>
      <c r="UJ514" s="98">
        <f t="shared" si="3822"/>
        <v>0</v>
      </c>
      <c r="UK514" s="98">
        <f t="shared" si="3822"/>
        <v>0</v>
      </c>
      <c r="UL514" s="98">
        <f t="shared" si="3822"/>
        <v>0</v>
      </c>
      <c r="UM514" s="98">
        <f t="shared" si="3822"/>
        <v>0</v>
      </c>
      <c r="UN514" s="98">
        <f t="shared" si="3822"/>
        <v>0</v>
      </c>
      <c r="UO514" s="198">
        <f t="shared" si="2702"/>
        <v>0</v>
      </c>
      <c r="UP514" s="198">
        <f t="shared" si="2703"/>
        <v>0</v>
      </c>
      <c r="UQ514" s="98">
        <f t="shared" ref="UQ514:VD514" si="3823">SUM(UQ43,UQ81,UQ119,UQ157,UQ195,UQ233,UQ271,UQ309,UQ347,UQ385,UQ423,UQ461)</f>
        <v>0</v>
      </c>
      <c r="UR514" s="98">
        <f t="shared" si="3823"/>
        <v>0</v>
      </c>
      <c r="US514" s="98">
        <f t="shared" si="3823"/>
        <v>0</v>
      </c>
      <c r="UT514" s="98">
        <f t="shared" si="3823"/>
        <v>0</v>
      </c>
      <c r="UU514" s="98">
        <f t="shared" si="3823"/>
        <v>0</v>
      </c>
      <c r="UV514" s="98">
        <f t="shared" si="3823"/>
        <v>0</v>
      </c>
      <c r="UW514" s="98">
        <f t="shared" si="3823"/>
        <v>0</v>
      </c>
      <c r="UX514" s="98">
        <f t="shared" si="3823"/>
        <v>0</v>
      </c>
      <c r="UY514" s="98">
        <f t="shared" si="3823"/>
        <v>0</v>
      </c>
      <c r="UZ514" s="98">
        <f t="shared" si="3823"/>
        <v>0</v>
      </c>
      <c r="VA514" s="98">
        <f t="shared" si="3823"/>
        <v>0</v>
      </c>
      <c r="VB514" s="98">
        <f t="shared" si="3823"/>
        <v>0</v>
      </c>
      <c r="VC514" s="98">
        <f t="shared" si="3823"/>
        <v>0</v>
      </c>
      <c r="VD514" s="98">
        <f t="shared" si="3823"/>
        <v>0</v>
      </c>
      <c r="VE514" s="198">
        <f t="shared" si="2705"/>
        <v>0</v>
      </c>
      <c r="VF514" s="198">
        <f t="shared" si="2706"/>
        <v>0</v>
      </c>
      <c r="VG514" s="98">
        <f t="shared" ref="VG514:VT514" si="3824">SUM(VG43,VG81,VG119,VG157,VG195,VG233,VG271,VG309,VG347,VG385,VG423,VG461)</f>
        <v>0</v>
      </c>
      <c r="VH514" s="98">
        <f t="shared" si="3824"/>
        <v>0</v>
      </c>
      <c r="VI514" s="98">
        <f t="shared" si="3824"/>
        <v>0</v>
      </c>
      <c r="VJ514" s="98">
        <f t="shared" si="3824"/>
        <v>0</v>
      </c>
      <c r="VK514" s="98">
        <f t="shared" si="3824"/>
        <v>0</v>
      </c>
      <c r="VL514" s="98">
        <f t="shared" si="3824"/>
        <v>0</v>
      </c>
      <c r="VM514" s="98">
        <f t="shared" si="3824"/>
        <v>0</v>
      </c>
      <c r="VN514" s="98">
        <f t="shared" si="3824"/>
        <v>0</v>
      </c>
      <c r="VO514" s="98">
        <f t="shared" si="3824"/>
        <v>0</v>
      </c>
      <c r="VP514" s="98">
        <f t="shared" si="3824"/>
        <v>0</v>
      </c>
      <c r="VQ514" s="98">
        <f t="shared" si="3824"/>
        <v>0</v>
      </c>
      <c r="VR514" s="98">
        <f t="shared" si="3824"/>
        <v>0</v>
      </c>
      <c r="VS514" s="98">
        <f t="shared" si="3824"/>
        <v>0</v>
      </c>
      <c r="VT514" s="98">
        <f t="shared" si="3824"/>
        <v>0</v>
      </c>
      <c r="VU514" s="198">
        <f t="shared" si="2708"/>
        <v>0</v>
      </c>
      <c r="VV514" s="198">
        <f t="shared" si="2709"/>
        <v>0</v>
      </c>
      <c r="VW514" s="98">
        <f t="shared" ref="VW514:WJ514" si="3825">SUM(VW43,VW81,VW119,VW157,VW195,VW233,VW271,VW309,VW347,VW385,VW423,VW461)</f>
        <v>0</v>
      </c>
      <c r="VX514" s="98">
        <f t="shared" si="3825"/>
        <v>0</v>
      </c>
      <c r="VY514" s="98">
        <f t="shared" si="3825"/>
        <v>0</v>
      </c>
      <c r="VZ514" s="98">
        <f t="shared" si="3825"/>
        <v>0</v>
      </c>
      <c r="WA514" s="98">
        <f t="shared" si="3825"/>
        <v>0</v>
      </c>
      <c r="WB514" s="98">
        <f t="shared" si="3825"/>
        <v>0</v>
      </c>
      <c r="WC514" s="98">
        <f t="shared" si="3825"/>
        <v>0</v>
      </c>
      <c r="WD514" s="98">
        <f t="shared" si="3825"/>
        <v>0</v>
      </c>
      <c r="WE514" s="98">
        <f t="shared" si="3825"/>
        <v>0</v>
      </c>
      <c r="WF514" s="98">
        <f t="shared" si="3825"/>
        <v>0</v>
      </c>
      <c r="WG514" s="98">
        <f t="shared" si="3825"/>
        <v>0</v>
      </c>
      <c r="WH514" s="98">
        <f t="shared" si="3825"/>
        <v>0</v>
      </c>
      <c r="WI514" s="98">
        <f t="shared" si="3825"/>
        <v>0</v>
      </c>
      <c r="WJ514" s="98">
        <f t="shared" si="3825"/>
        <v>0</v>
      </c>
      <c r="WK514" s="198">
        <f t="shared" si="2711"/>
        <v>0</v>
      </c>
      <c r="WL514" s="198">
        <f t="shared" si="2712"/>
        <v>0</v>
      </c>
      <c r="WN514" s="98">
        <f t="shared" si="3734"/>
        <v>0</v>
      </c>
      <c r="WO514" s="98">
        <f t="shared" si="3735"/>
        <v>0</v>
      </c>
      <c r="WP514" s="98">
        <f t="shared" si="3736"/>
        <v>0</v>
      </c>
      <c r="WQ514" s="98">
        <f t="shared" si="3737"/>
        <v>0</v>
      </c>
      <c r="WR514" s="98">
        <f t="shared" si="3738"/>
        <v>0</v>
      </c>
      <c r="WS514" s="98">
        <f t="shared" si="3739"/>
        <v>0</v>
      </c>
      <c r="WT514" s="98">
        <f t="shared" si="3740"/>
        <v>260</v>
      </c>
      <c r="WU514" s="98">
        <f t="shared" si="3741"/>
        <v>19500</v>
      </c>
      <c r="WV514" s="98">
        <f t="shared" si="3742"/>
        <v>0</v>
      </c>
      <c r="WW514" s="98">
        <f t="shared" si="3743"/>
        <v>0</v>
      </c>
      <c r="WX514" s="98">
        <f t="shared" si="3744"/>
        <v>0</v>
      </c>
      <c r="WY514" s="98">
        <f t="shared" si="3745"/>
        <v>0</v>
      </c>
      <c r="WZ514" s="98">
        <f t="shared" si="3746"/>
        <v>0</v>
      </c>
      <c r="XA514" s="98">
        <f t="shared" si="3747"/>
        <v>0</v>
      </c>
      <c r="XB514" s="107">
        <f t="shared" si="3748"/>
        <v>260</v>
      </c>
      <c r="XC514" s="107">
        <f t="shared" si="3749"/>
        <v>19500</v>
      </c>
      <c r="XK514" s="98">
        <f t="shared" si="2729"/>
        <v>19760</v>
      </c>
      <c r="XL514" s="98">
        <f t="shared" si="2730"/>
        <v>0</v>
      </c>
      <c r="XM514" s="98">
        <f t="shared" si="2731"/>
        <v>0</v>
      </c>
      <c r="XN514" s="98">
        <f t="shared" si="2732"/>
        <v>0</v>
      </c>
      <c r="XO514" s="98">
        <f t="shared" si="2733"/>
        <v>19760</v>
      </c>
      <c r="XP514" s="98">
        <f t="shared" si="2734"/>
        <v>0</v>
      </c>
      <c r="XQ514" s="98">
        <f t="shared" si="2735"/>
        <v>0</v>
      </c>
      <c r="XR514" s="107">
        <f t="shared" ca="1" si="2597"/>
        <v>39780</v>
      </c>
      <c r="XT514" s="98">
        <f t="shared" si="2736"/>
        <v>19500</v>
      </c>
      <c r="XU514" s="98">
        <f t="shared" si="2737"/>
        <v>0</v>
      </c>
      <c r="XV514" s="98">
        <f t="shared" si="2738"/>
        <v>0</v>
      </c>
      <c r="XW514" s="98">
        <f t="shared" si="2739"/>
        <v>260</v>
      </c>
      <c r="XX514" s="98">
        <f t="shared" si="2740"/>
        <v>39260</v>
      </c>
      <c r="XY514" s="98">
        <f t="shared" si="2741"/>
        <v>0</v>
      </c>
      <c r="XZ514" s="98">
        <f t="shared" si="2742"/>
        <v>19760</v>
      </c>
      <c r="YA514" s="107">
        <f t="shared" ca="1" si="2598"/>
        <v>78520</v>
      </c>
    </row>
    <row r="515" spans="1:1017">
      <c r="B515" s="90" t="str">
        <f t="shared" si="3695"/>
        <v xml:space="preserve">Udang_04 (Udang Lainnya) </v>
      </c>
      <c r="C515" s="98">
        <f t="shared" ref="C515:P515" si="3826">SUM(C44,C82,C120,C158,C196,C234,C272,C310,C348,C386,C424,C462)</f>
        <v>0</v>
      </c>
      <c r="D515" s="98">
        <f t="shared" si="3826"/>
        <v>0</v>
      </c>
      <c r="E515" s="98">
        <f t="shared" si="3826"/>
        <v>0</v>
      </c>
      <c r="F515" s="98">
        <f t="shared" si="3826"/>
        <v>0</v>
      </c>
      <c r="G515" s="98">
        <f t="shared" si="3826"/>
        <v>0</v>
      </c>
      <c r="H515" s="98">
        <f t="shared" si="3826"/>
        <v>0</v>
      </c>
      <c r="I515" s="98">
        <f t="shared" si="3826"/>
        <v>0</v>
      </c>
      <c r="J515" s="98">
        <f t="shared" si="3826"/>
        <v>0</v>
      </c>
      <c r="K515" s="98">
        <f t="shared" si="3826"/>
        <v>0</v>
      </c>
      <c r="L515" s="98">
        <f t="shared" si="3826"/>
        <v>0</v>
      </c>
      <c r="M515" s="98">
        <f t="shared" si="3826"/>
        <v>0</v>
      </c>
      <c r="N515" s="98">
        <f t="shared" si="3826"/>
        <v>0</v>
      </c>
      <c r="O515" s="98">
        <f t="shared" si="3826"/>
        <v>0</v>
      </c>
      <c r="P515" s="98">
        <f t="shared" si="3826"/>
        <v>0</v>
      </c>
      <c r="Q515" s="198">
        <f t="shared" si="2600"/>
        <v>0</v>
      </c>
      <c r="R515" s="198">
        <f t="shared" si="2601"/>
        <v>0</v>
      </c>
      <c r="S515" s="98">
        <f t="shared" ref="S515:AF515" si="3827">SUM(S44,S82,S120,S158,S196,S234,S272,S310,S348,S386,S424,S462)</f>
        <v>0</v>
      </c>
      <c r="T515" s="98">
        <f t="shared" si="3827"/>
        <v>0</v>
      </c>
      <c r="U515" s="98">
        <f t="shared" si="3827"/>
        <v>0</v>
      </c>
      <c r="V515" s="98">
        <f t="shared" si="3827"/>
        <v>0</v>
      </c>
      <c r="W515" s="98">
        <f t="shared" si="3827"/>
        <v>0</v>
      </c>
      <c r="X515" s="98">
        <f t="shared" si="3827"/>
        <v>0</v>
      </c>
      <c r="Y515" s="98">
        <f t="shared" si="3827"/>
        <v>0</v>
      </c>
      <c r="Z515" s="98">
        <f t="shared" si="3827"/>
        <v>0</v>
      </c>
      <c r="AA515" s="98">
        <f t="shared" si="3827"/>
        <v>0</v>
      </c>
      <c r="AB515" s="98">
        <f t="shared" si="3827"/>
        <v>0</v>
      </c>
      <c r="AC515" s="98">
        <f t="shared" si="3827"/>
        <v>0</v>
      </c>
      <c r="AD515" s="98">
        <f t="shared" si="3827"/>
        <v>0</v>
      </c>
      <c r="AE515" s="98">
        <f t="shared" si="3827"/>
        <v>0</v>
      </c>
      <c r="AF515" s="98">
        <f t="shared" si="3827"/>
        <v>0</v>
      </c>
      <c r="AG515" s="198">
        <f t="shared" si="2603"/>
        <v>0</v>
      </c>
      <c r="AH515" s="198">
        <f t="shared" si="2604"/>
        <v>0</v>
      </c>
      <c r="AI515" s="98">
        <f t="shared" ref="AI515:AV515" si="3828">SUM(AI44,AI82,AI120,AI158,AI196,AI234,AI272,AI310,AI348,AI386,AI424,AI462)</f>
        <v>0</v>
      </c>
      <c r="AJ515" s="98">
        <f t="shared" si="3828"/>
        <v>0</v>
      </c>
      <c r="AK515" s="98">
        <f t="shared" si="3828"/>
        <v>0</v>
      </c>
      <c r="AL515" s="98">
        <f t="shared" si="3828"/>
        <v>0</v>
      </c>
      <c r="AM515" s="98">
        <f t="shared" si="3828"/>
        <v>0</v>
      </c>
      <c r="AN515" s="98">
        <f t="shared" si="3828"/>
        <v>0</v>
      </c>
      <c r="AO515" s="98">
        <f t="shared" si="3828"/>
        <v>0</v>
      </c>
      <c r="AP515" s="98">
        <f t="shared" si="3828"/>
        <v>0</v>
      </c>
      <c r="AQ515" s="98">
        <f t="shared" si="3828"/>
        <v>0</v>
      </c>
      <c r="AR515" s="98">
        <f t="shared" si="3828"/>
        <v>0</v>
      </c>
      <c r="AS515" s="98">
        <f t="shared" si="3828"/>
        <v>0</v>
      </c>
      <c r="AT515" s="98">
        <f t="shared" si="3828"/>
        <v>0</v>
      </c>
      <c r="AU515" s="98">
        <f t="shared" si="3828"/>
        <v>0</v>
      </c>
      <c r="AV515" s="98">
        <f t="shared" si="3828"/>
        <v>0</v>
      </c>
      <c r="AW515" s="198">
        <f t="shared" si="2606"/>
        <v>0</v>
      </c>
      <c r="AX515" s="198">
        <f t="shared" si="2607"/>
        <v>0</v>
      </c>
      <c r="AY515" s="98">
        <f t="shared" ref="AY515:BL515" si="3829">SUM(AY44,AY82,AY120,AY158,AY196,AY234,AY272,AY310,AY348,AY386,AY424,AY462)</f>
        <v>0</v>
      </c>
      <c r="AZ515" s="98">
        <f t="shared" si="3829"/>
        <v>0</v>
      </c>
      <c r="BA515" s="98">
        <f t="shared" si="3829"/>
        <v>0</v>
      </c>
      <c r="BB515" s="98">
        <f t="shared" si="3829"/>
        <v>0</v>
      </c>
      <c r="BC515" s="98">
        <f t="shared" si="3829"/>
        <v>0</v>
      </c>
      <c r="BD515" s="98">
        <f t="shared" si="3829"/>
        <v>0</v>
      </c>
      <c r="BE515" s="98">
        <f t="shared" si="3829"/>
        <v>0</v>
      </c>
      <c r="BF515" s="98">
        <f t="shared" si="3829"/>
        <v>0</v>
      </c>
      <c r="BG515" s="98">
        <f t="shared" si="3829"/>
        <v>0</v>
      </c>
      <c r="BH515" s="98">
        <f t="shared" si="3829"/>
        <v>0</v>
      </c>
      <c r="BI515" s="98">
        <f t="shared" si="3829"/>
        <v>0</v>
      </c>
      <c r="BJ515" s="98">
        <f t="shared" si="3829"/>
        <v>0</v>
      </c>
      <c r="BK515" s="98">
        <f t="shared" si="3829"/>
        <v>0</v>
      </c>
      <c r="BL515" s="98">
        <f t="shared" si="3829"/>
        <v>0</v>
      </c>
      <c r="BM515" s="198">
        <f t="shared" si="2609"/>
        <v>0</v>
      </c>
      <c r="BN515" s="198">
        <f t="shared" si="2610"/>
        <v>0</v>
      </c>
      <c r="BO515" s="98">
        <f t="shared" ref="BO515:CB515" si="3830">SUM(BO44,BO82,BO120,BO158,BO196,BO234,BO272,BO310,BO348,BO386,BO424,BO462)</f>
        <v>0</v>
      </c>
      <c r="BP515" s="98">
        <f t="shared" si="3830"/>
        <v>0</v>
      </c>
      <c r="BQ515" s="98">
        <f t="shared" si="3830"/>
        <v>0</v>
      </c>
      <c r="BR515" s="98">
        <f t="shared" si="3830"/>
        <v>0</v>
      </c>
      <c r="BS515" s="98">
        <f t="shared" si="3830"/>
        <v>0</v>
      </c>
      <c r="BT515" s="98">
        <f t="shared" si="3830"/>
        <v>0</v>
      </c>
      <c r="BU515" s="98">
        <f t="shared" si="3830"/>
        <v>0</v>
      </c>
      <c r="BV515" s="98">
        <f t="shared" si="3830"/>
        <v>0</v>
      </c>
      <c r="BW515" s="98">
        <f t="shared" si="3830"/>
        <v>0</v>
      </c>
      <c r="BX515" s="98">
        <f t="shared" si="3830"/>
        <v>0</v>
      </c>
      <c r="BY515" s="98">
        <f t="shared" si="3830"/>
        <v>0</v>
      </c>
      <c r="BZ515" s="98">
        <f t="shared" si="3830"/>
        <v>0</v>
      </c>
      <c r="CA515" s="98">
        <f t="shared" si="3830"/>
        <v>0</v>
      </c>
      <c r="CB515" s="98">
        <f t="shared" si="3830"/>
        <v>0</v>
      </c>
      <c r="CC515" s="198">
        <f t="shared" si="2612"/>
        <v>0</v>
      </c>
      <c r="CD515" s="198">
        <f t="shared" si="2613"/>
        <v>0</v>
      </c>
      <c r="CE515" s="98">
        <f t="shared" ref="CE515:CR515" si="3831">SUM(CE44,CE82,CE120,CE158,CE196,CE234,CE272,CE310,CE348,CE386,CE424,CE462)</f>
        <v>0</v>
      </c>
      <c r="CF515" s="98">
        <f t="shared" si="3831"/>
        <v>0</v>
      </c>
      <c r="CG515" s="98">
        <f t="shared" si="3831"/>
        <v>0</v>
      </c>
      <c r="CH515" s="98">
        <f t="shared" si="3831"/>
        <v>0</v>
      </c>
      <c r="CI515" s="98">
        <f t="shared" si="3831"/>
        <v>0</v>
      </c>
      <c r="CJ515" s="98">
        <f t="shared" si="3831"/>
        <v>0</v>
      </c>
      <c r="CK515" s="98">
        <f t="shared" si="3831"/>
        <v>0</v>
      </c>
      <c r="CL515" s="98">
        <f t="shared" si="3831"/>
        <v>0</v>
      </c>
      <c r="CM515" s="98">
        <f t="shared" si="3831"/>
        <v>0</v>
      </c>
      <c r="CN515" s="98">
        <f t="shared" si="3831"/>
        <v>0</v>
      </c>
      <c r="CO515" s="98">
        <f t="shared" si="3831"/>
        <v>0</v>
      </c>
      <c r="CP515" s="98">
        <f t="shared" si="3831"/>
        <v>0</v>
      </c>
      <c r="CQ515" s="98">
        <f t="shared" si="3831"/>
        <v>0</v>
      </c>
      <c r="CR515" s="98">
        <f t="shared" si="3831"/>
        <v>0</v>
      </c>
      <c r="CS515" s="198">
        <f t="shared" si="2615"/>
        <v>0</v>
      </c>
      <c r="CT515" s="198">
        <f t="shared" si="2616"/>
        <v>0</v>
      </c>
      <c r="CU515" s="98">
        <f t="shared" ref="CU515:DH515" si="3832">SUM(CU44,CU82,CU120,CU158,CU196,CU234,CU272,CU310,CU348,CU386,CU424,CU462)</f>
        <v>0</v>
      </c>
      <c r="CV515" s="98">
        <f t="shared" si="3832"/>
        <v>0</v>
      </c>
      <c r="CW515" s="98">
        <f t="shared" si="3832"/>
        <v>0</v>
      </c>
      <c r="CX515" s="98">
        <f t="shared" si="3832"/>
        <v>0</v>
      </c>
      <c r="CY515" s="98">
        <f t="shared" si="3832"/>
        <v>0</v>
      </c>
      <c r="CZ515" s="98">
        <f t="shared" si="3832"/>
        <v>0</v>
      </c>
      <c r="DA515" s="98">
        <f t="shared" si="3832"/>
        <v>0</v>
      </c>
      <c r="DB515" s="98">
        <f t="shared" si="3832"/>
        <v>0</v>
      </c>
      <c r="DC515" s="98">
        <f t="shared" si="3832"/>
        <v>0</v>
      </c>
      <c r="DD515" s="98">
        <f t="shared" si="3832"/>
        <v>0</v>
      </c>
      <c r="DE515" s="98">
        <f t="shared" si="3832"/>
        <v>0</v>
      </c>
      <c r="DF515" s="98">
        <f t="shared" si="3832"/>
        <v>0</v>
      </c>
      <c r="DG515" s="98">
        <f t="shared" si="3832"/>
        <v>0</v>
      </c>
      <c r="DH515" s="98">
        <f t="shared" si="3832"/>
        <v>0</v>
      </c>
      <c r="DI515" s="198">
        <f t="shared" si="2618"/>
        <v>0</v>
      </c>
      <c r="DJ515" s="198">
        <f t="shared" si="2619"/>
        <v>0</v>
      </c>
      <c r="DK515" s="98">
        <f t="shared" ref="DK515:DX515" si="3833">SUM(DK44,DK82,DK120,DK158,DK196,DK234,DK272,DK310,DK348,DK386,DK424,DK462)</f>
        <v>0</v>
      </c>
      <c r="DL515" s="98">
        <f t="shared" si="3833"/>
        <v>0</v>
      </c>
      <c r="DM515" s="98">
        <f t="shared" si="3833"/>
        <v>0</v>
      </c>
      <c r="DN515" s="98">
        <f t="shared" si="3833"/>
        <v>0</v>
      </c>
      <c r="DO515" s="98">
        <f t="shared" si="3833"/>
        <v>0</v>
      </c>
      <c r="DP515" s="98">
        <f t="shared" si="3833"/>
        <v>0</v>
      </c>
      <c r="DQ515" s="98">
        <f t="shared" si="3833"/>
        <v>0</v>
      </c>
      <c r="DR515" s="98">
        <f t="shared" si="3833"/>
        <v>0</v>
      </c>
      <c r="DS515" s="98">
        <f t="shared" si="3833"/>
        <v>0</v>
      </c>
      <c r="DT515" s="98">
        <f t="shared" si="3833"/>
        <v>0</v>
      </c>
      <c r="DU515" s="98">
        <f t="shared" si="3833"/>
        <v>0</v>
      </c>
      <c r="DV515" s="98">
        <f t="shared" si="3833"/>
        <v>0</v>
      </c>
      <c r="DW515" s="98">
        <f t="shared" si="3833"/>
        <v>0</v>
      </c>
      <c r="DX515" s="98">
        <f t="shared" si="3833"/>
        <v>0</v>
      </c>
      <c r="DY515" s="198">
        <f t="shared" si="2621"/>
        <v>0</v>
      </c>
      <c r="DZ515" s="198">
        <f t="shared" si="2622"/>
        <v>0</v>
      </c>
      <c r="EA515" s="98">
        <f t="shared" ref="EA515:EN515" si="3834">SUM(EA44,EA82,EA120,EA158,EA196,EA234,EA272,EA310,EA348,EA386,EA424,EA462)</f>
        <v>0</v>
      </c>
      <c r="EB515" s="98">
        <f t="shared" si="3834"/>
        <v>0</v>
      </c>
      <c r="EC515" s="98">
        <f t="shared" si="3834"/>
        <v>0</v>
      </c>
      <c r="ED515" s="98">
        <f t="shared" si="3834"/>
        <v>0</v>
      </c>
      <c r="EE515" s="98">
        <f t="shared" si="3834"/>
        <v>0</v>
      </c>
      <c r="EF515" s="98">
        <f t="shared" si="3834"/>
        <v>0</v>
      </c>
      <c r="EG515" s="98">
        <f t="shared" si="3834"/>
        <v>0</v>
      </c>
      <c r="EH515" s="98">
        <f t="shared" si="3834"/>
        <v>0</v>
      </c>
      <c r="EI515" s="98">
        <f t="shared" si="3834"/>
        <v>0</v>
      </c>
      <c r="EJ515" s="98">
        <f t="shared" si="3834"/>
        <v>0</v>
      </c>
      <c r="EK515" s="98">
        <f t="shared" si="3834"/>
        <v>0</v>
      </c>
      <c r="EL515" s="98">
        <f t="shared" si="3834"/>
        <v>0</v>
      </c>
      <c r="EM515" s="98">
        <f t="shared" si="3834"/>
        <v>0</v>
      </c>
      <c r="EN515" s="98">
        <f t="shared" si="3834"/>
        <v>0</v>
      </c>
      <c r="EO515" s="198">
        <f t="shared" si="2624"/>
        <v>0</v>
      </c>
      <c r="EP515" s="198">
        <f t="shared" si="2625"/>
        <v>0</v>
      </c>
      <c r="EQ515" s="98">
        <f t="shared" ref="EQ515:FD515" si="3835">SUM(EQ44,EQ82,EQ120,EQ158,EQ196,EQ234,EQ272,EQ310,EQ348,EQ386,EQ424,EQ462)</f>
        <v>0</v>
      </c>
      <c r="ER515" s="98">
        <f t="shared" si="3835"/>
        <v>0</v>
      </c>
      <c r="ES515" s="98">
        <f t="shared" si="3835"/>
        <v>0</v>
      </c>
      <c r="ET515" s="98">
        <f t="shared" si="3835"/>
        <v>0</v>
      </c>
      <c r="EU515" s="98">
        <f t="shared" si="3835"/>
        <v>0</v>
      </c>
      <c r="EV515" s="98">
        <f t="shared" si="3835"/>
        <v>0</v>
      </c>
      <c r="EW515" s="98">
        <f t="shared" si="3835"/>
        <v>0</v>
      </c>
      <c r="EX515" s="98">
        <f t="shared" si="3835"/>
        <v>0</v>
      </c>
      <c r="EY515" s="98">
        <f t="shared" si="3835"/>
        <v>0</v>
      </c>
      <c r="EZ515" s="98">
        <f t="shared" si="3835"/>
        <v>0</v>
      </c>
      <c r="FA515" s="98">
        <f t="shared" si="3835"/>
        <v>0</v>
      </c>
      <c r="FB515" s="98">
        <f t="shared" si="3835"/>
        <v>0</v>
      </c>
      <c r="FC515" s="98">
        <f t="shared" si="3835"/>
        <v>0</v>
      </c>
      <c r="FD515" s="98">
        <f t="shared" si="3835"/>
        <v>0</v>
      </c>
      <c r="FE515" s="198">
        <f t="shared" si="2627"/>
        <v>0</v>
      </c>
      <c r="FF515" s="198">
        <f t="shared" si="2628"/>
        <v>0</v>
      </c>
      <c r="FG515" s="98">
        <f t="shared" ref="FG515:FT515" si="3836">SUM(FG44,FG82,FG120,FG158,FG196,FG234,FG272,FG310,FG348,FG386,FG424,FG462)</f>
        <v>0</v>
      </c>
      <c r="FH515" s="98">
        <f t="shared" si="3836"/>
        <v>0</v>
      </c>
      <c r="FI515" s="98">
        <f t="shared" si="3836"/>
        <v>0</v>
      </c>
      <c r="FJ515" s="98">
        <f t="shared" si="3836"/>
        <v>0</v>
      </c>
      <c r="FK515" s="98">
        <f t="shared" si="3836"/>
        <v>0</v>
      </c>
      <c r="FL515" s="98">
        <f t="shared" si="3836"/>
        <v>0</v>
      </c>
      <c r="FM515" s="98">
        <f t="shared" si="3836"/>
        <v>0</v>
      </c>
      <c r="FN515" s="98">
        <f t="shared" si="3836"/>
        <v>0</v>
      </c>
      <c r="FO515" s="98">
        <f t="shared" si="3836"/>
        <v>0</v>
      </c>
      <c r="FP515" s="98">
        <f t="shared" si="3836"/>
        <v>0</v>
      </c>
      <c r="FQ515" s="98">
        <f t="shared" si="3836"/>
        <v>0</v>
      </c>
      <c r="FR515" s="98">
        <f t="shared" si="3836"/>
        <v>0</v>
      </c>
      <c r="FS515" s="98">
        <f t="shared" si="3836"/>
        <v>0</v>
      </c>
      <c r="FT515" s="98">
        <f t="shared" si="3836"/>
        <v>0</v>
      </c>
      <c r="FU515" s="198">
        <f t="shared" si="2630"/>
        <v>0</v>
      </c>
      <c r="FV515" s="198">
        <f t="shared" si="2631"/>
        <v>0</v>
      </c>
      <c r="FW515" s="98">
        <f t="shared" ref="FW515:GJ515" si="3837">SUM(FW44,FW82,FW120,FW158,FW196,FW234,FW272,FW310,FW348,FW386,FW424,FW462)</f>
        <v>0</v>
      </c>
      <c r="FX515" s="98">
        <f t="shared" si="3837"/>
        <v>0</v>
      </c>
      <c r="FY515" s="98">
        <f t="shared" si="3837"/>
        <v>0</v>
      </c>
      <c r="FZ515" s="98">
        <f t="shared" si="3837"/>
        <v>0</v>
      </c>
      <c r="GA515" s="98">
        <f t="shared" si="3837"/>
        <v>0</v>
      </c>
      <c r="GB515" s="98">
        <f t="shared" si="3837"/>
        <v>0</v>
      </c>
      <c r="GC515" s="98">
        <f t="shared" si="3837"/>
        <v>0</v>
      </c>
      <c r="GD515" s="98">
        <f t="shared" si="3837"/>
        <v>0</v>
      </c>
      <c r="GE515" s="98">
        <f t="shared" si="3837"/>
        <v>0</v>
      </c>
      <c r="GF515" s="98">
        <f t="shared" si="3837"/>
        <v>0</v>
      </c>
      <c r="GG515" s="98">
        <f t="shared" si="3837"/>
        <v>0</v>
      </c>
      <c r="GH515" s="98">
        <f t="shared" si="3837"/>
        <v>0</v>
      </c>
      <c r="GI515" s="98">
        <f t="shared" si="3837"/>
        <v>0</v>
      </c>
      <c r="GJ515" s="98">
        <f t="shared" si="3837"/>
        <v>0</v>
      </c>
      <c r="GK515" s="198">
        <f t="shared" si="2633"/>
        <v>0</v>
      </c>
      <c r="GL515" s="198">
        <f t="shared" si="2634"/>
        <v>0</v>
      </c>
      <c r="GM515" s="98">
        <f t="shared" ref="GM515:GZ515" si="3838">SUM(GM44,GM82,GM120,GM158,GM196,GM234,GM272,GM310,GM348,GM386,GM424,GM462)</f>
        <v>0</v>
      </c>
      <c r="GN515" s="98">
        <f t="shared" si="3838"/>
        <v>0</v>
      </c>
      <c r="GO515" s="98">
        <f t="shared" si="3838"/>
        <v>0</v>
      </c>
      <c r="GP515" s="98">
        <f t="shared" si="3838"/>
        <v>0</v>
      </c>
      <c r="GQ515" s="98">
        <f t="shared" si="3838"/>
        <v>0</v>
      </c>
      <c r="GR515" s="98">
        <f t="shared" si="3838"/>
        <v>0</v>
      </c>
      <c r="GS515" s="98">
        <f t="shared" si="3838"/>
        <v>0</v>
      </c>
      <c r="GT515" s="98">
        <f t="shared" si="3838"/>
        <v>0</v>
      </c>
      <c r="GU515" s="98">
        <f t="shared" si="3838"/>
        <v>0</v>
      </c>
      <c r="GV515" s="98">
        <f t="shared" si="3838"/>
        <v>0</v>
      </c>
      <c r="GW515" s="98">
        <f t="shared" si="3838"/>
        <v>0</v>
      </c>
      <c r="GX515" s="98">
        <f t="shared" si="3838"/>
        <v>0</v>
      </c>
      <c r="GY515" s="98">
        <f t="shared" si="3838"/>
        <v>0</v>
      </c>
      <c r="GZ515" s="98">
        <f t="shared" si="3838"/>
        <v>0</v>
      </c>
      <c r="HA515" s="198">
        <f t="shared" si="2636"/>
        <v>0</v>
      </c>
      <c r="HB515" s="198">
        <f t="shared" si="2637"/>
        <v>0</v>
      </c>
      <c r="HC515" s="98">
        <f t="shared" ref="HC515:HP515" si="3839">SUM(HC44,HC82,HC120,HC158,HC196,HC234,HC272,HC310,HC348,HC386,HC424,HC462)</f>
        <v>0</v>
      </c>
      <c r="HD515" s="98">
        <f t="shared" si="3839"/>
        <v>0</v>
      </c>
      <c r="HE515" s="98">
        <f t="shared" si="3839"/>
        <v>0</v>
      </c>
      <c r="HF515" s="98">
        <f t="shared" si="3839"/>
        <v>0</v>
      </c>
      <c r="HG515" s="98">
        <f t="shared" si="3839"/>
        <v>0</v>
      </c>
      <c r="HH515" s="98">
        <f t="shared" si="3839"/>
        <v>0</v>
      </c>
      <c r="HI515" s="98">
        <f t="shared" si="3839"/>
        <v>0</v>
      </c>
      <c r="HJ515" s="98">
        <f t="shared" si="3839"/>
        <v>0</v>
      </c>
      <c r="HK515" s="98">
        <f t="shared" si="3839"/>
        <v>0</v>
      </c>
      <c r="HL515" s="98">
        <f t="shared" si="3839"/>
        <v>0</v>
      </c>
      <c r="HM515" s="98">
        <f t="shared" si="3839"/>
        <v>0</v>
      </c>
      <c r="HN515" s="98">
        <f t="shared" si="3839"/>
        <v>0</v>
      </c>
      <c r="HO515" s="98">
        <f t="shared" si="3839"/>
        <v>0</v>
      </c>
      <c r="HP515" s="98">
        <f t="shared" si="3839"/>
        <v>0</v>
      </c>
      <c r="HQ515" s="198">
        <f t="shared" si="2639"/>
        <v>0</v>
      </c>
      <c r="HR515" s="198">
        <f t="shared" si="2640"/>
        <v>0</v>
      </c>
      <c r="HS515" s="98">
        <f t="shared" ref="HS515:IF515" si="3840">SUM(HS44,HS82,HS120,HS158,HS196,HS234,HS272,HS310,HS348,HS386,HS424,HS462)</f>
        <v>0</v>
      </c>
      <c r="HT515" s="98">
        <f t="shared" si="3840"/>
        <v>0</v>
      </c>
      <c r="HU515" s="98">
        <f t="shared" si="3840"/>
        <v>0</v>
      </c>
      <c r="HV515" s="98">
        <f t="shared" si="3840"/>
        <v>0</v>
      </c>
      <c r="HW515" s="98">
        <f t="shared" si="3840"/>
        <v>0</v>
      </c>
      <c r="HX515" s="98">
        <f t="shared" si="3840"/>
        <v>0</v>
      </c>
      <c r="HY515" s="98">
        <f t="shared" si="3840"/>
        <v>0</v>
      </c>
      <c r="HZ515" s="98">
        <f t="shared" si="3840"/>
        <v>0</v>
      </c>
      <c r="IA515" s="98">
        <f t="shared" si="3840"/>
        <v>0</v>
      </c>
      <c r="IB515" s="98">
        <f t="shared" si="3840"/>
        <v>0</v>
      </c>
      <c r="IC515" s="98">
        <f t="shared" si="3840"/>
        <v>0</v>
      </c>
      <c r="ID515" s="98">
        <f t="shared" si="3840"/>
        <v>0</v>
      </c>
      <c r="IE515" s="98">
        <f t="shared" si="3840"/>
        <v>0</v>
      </c>
      <c r="IF515" s="98">
        <f t="shared" si="3840"/>
        <v>0</v>
      </c>
      <c r="IG515" s="198">
        <f t="shared" si="2642"/>
        <v>0</v>
      </c>
      <c r="IH515" s="198">
        <f t="shared" si="2643"/>
        <v>0</v>
      </c>
      <c r="II515" s="98">
        <f t="shared" ref="II515:IV515" si="3841">SUM(II44,II82,II120,II158,II196,II234,II272,II310,II348,II386,II424,II462)</f>
        <v>0</v>
      </c>
      <c r="IJ515" s="98">
        <f t="shared" si="3841"/>
        <v>0</v>
      </c>
      <c r="IK515" s="98">
        <f t="shared" si="3841"/>
        <v>0</v>
      </c>
      <c r="IL515" s="98">
        <f t="shared" si="3841"/>
        <v>0</v>
      </c>
      <c r="IM515" s="98">
        <f t="shared" si="3841"/>
        <v>0</v>
      </c>
      <c r="IN515" s="98">
        <f t="shared" si="3841"/>
        <v>0</v>
      </c>
      <c r="IO515" s="98">
        <f t="shared" si="3841"/>
        <v>0</v>
      </c>
      <c r="IP515" s="98">
        <f t="shared" si="3841"/>
        <v>0</v>
      </c>
      <c r="IQ515" s="98">
        <f t="shared" si="3841"/>
        <v>0</v>
      </c>
      <c r="IR515" s="98">
        <f t="shared" si="3841"/>
        <v>0</v>
      </c>
      <c r="IS515" s="98">
        <f t="shared" si="3841"/>
        <v>0</v>
      </c>
      <c r="IT515" s="98">
        <f t="shared" si="3841"/>
        <v>0</v>
      </c>
      <c r="IU515" s="98">
        <f t="shared" si="3841"/>
        <v>0</v>
      </c>
      <c r="IV515" s="98">
        <f t="shared" si="3841"/>
        <v>0</v>
      </c>
      <c r="IW515" s="198">
        <f t="shared" si="2645"/>
        <v>0</v>
      </c>
      <c r="IX515" s="198">
        <f t="shared" si="2646"/>
        <v>0</v>
      </c>
      <c r="IY515" s="98">
        <f t="shared" ref="IY515:JL515" si="3842">SUM(IY44,IY82,IY120,IY158,IY196,IY234,IY272,IY310,IY348,IY386,IY424,IY462)</f>
        <v>0</v>
      </c>
      <c r="IZ515" s="98">
        <f t="shared" si="3842"/>
        <v>0</v>
      </c>
      <c r="JA515" s="98">
        <f t="shared" si="3842"/>
        <v>0</v>
      </c>
      <c r="JB515" s="98">
        <f t="shared" si="3842"/>
        <v>0</v>
      </c>
      <c r="JC515" s="98">
        <f t="shared" si="3842"/>
        <v>0</v>
      </c>
      <c r="JD515" s="98">
        <f t="shared" si="3842"/>
        <v>0</v>
      </c>
      <c r="JE515" s="98">
        <f t="shared" si="3842"/>
        <v>0</v>
      </c>
      <c r="JF515" s="98">
        <f t="shared" si="3842"/>
        <v>0</v>
      </c>
      <c r="JG515" s="98">
        <f t="shared" si="3842"/>
        <v>0</v>
      </c>
      <c r="JH515" s="98">
        <f t="shared" si="3842"/>
        <v>0</v>
      </c>
      <c r="JI515" s="98">
        <f t="shared" si="3842"/>
        <v>0</v>
      </c>
      <c r="JJ515" s="98">
        <f t="shared" si="3842"/>
        <v>0</v>
      </c>
      <c r="JK515" s="98">
        <f t="shared" si="3842"/>
        <v>0</v>
      </c>
      <c r="JL515" s="98">
        <f t="shared" si="3842"/>
        <v>0</v>
      </c>
      <c r="JM515" s="198">
        <f t="shared" si="2648"/>
        <v>0</v>
      </c>
      <c r="JN515" s="198">
        <f t="shared" si="2649"/>
        <v>0</v>
      </c>
      <c r="JO515" s="98">
        <f t="shared" ref="JO515:KB515" si="3843">SUM(JO44,JO82,JO120,JO158,JO196,JO234,JO272,JO310,JO348,JO386,JO424,JO462)</f>
        <v>0</v>
      </c>
      <c r="JP515" s="98">
        <f t="shared" si="3843"/>
        <v>0</v>
      </c>
      <c r="JQ515" s="98">
        <f t="shared" si="3843"/>
        <v>0</v>
      </c>
      <c r="JR515" s="98">
        <f t="shared" si="3843"/>
        <v>0</v>
      </c>
      <c r="JS515" s="98">
        <f t="shared" si="3843"/>
        <v>0</v>
      </c>
      <c r="JT515" s="98">
        <f t="shared" si="3843"/>
        <v>0</v>
      </c>
      <c r="JU515" s="98">
        <f t="shared" si="3843"/>
        <v>0</v>
      </c>
      <c r="JV515" s="98">
        <f t="shared" si="3843"/>
        <v>0</v>
      </c>
      <c r="JW515" s="98">
        <f t="shared" si="3843"/>
        <v>0</v>
      </c>
      <c r="JX515" s="98">
        <f t="shared" si="3843"/>
        <v>0</v>
      </c>
      <c r="JY515" s="98">
        <f t="shared" si="3843"/>
        <v>0</v>
      </c>
      <c r="JZ515" s="98">
        <f t="shared" si="3843"/>
        <v>0</v>
      </c>
      <c r="KA515" s="98">
        <f t="shared" si="3843"/>
        <v>0</v>
      </c>
      <c r="KB515" s="98">
        <f t="shared" si="3843"/>
        <v>0</v>
      </c>
      <c r="KC515" s="198">
        <f t="shared" si="2651"/>
        <v>0</v>
      </c>
      <c r="KD515" s="198">
        <f t="shared" si="2652"/>
        <v>0</v>
      </c>
      <c r="KE515" s="98">
        <f t="shared" ref="KE515:KR515" si="3844">SUM(KE44,KE82,KE120,KE158,KE196,KE234,KE272,KE310,KE348,KE386,KE424,KE462)</f>
        <v>0</v>
      </c>
      <c r="KF515" s="98">
        <f t="shared" si="3844"/>
        <v>0</v>
      </c>
      <c r="KG515" s="98">
        <f t="shared" si="3844"/>
        <v>0</v>
      </c>
      <c r="KH515" s="98">
        <f t="shared" si="3844"/>
        <v>0</v>
      </c>
      <c r="KI515" s="98">
        <f t="shared" si="3844"/>
        <v>0</v>
      </c>
      <c r="KJ515" s="98">
        <f t="shared" si="3844"/>
        <v>0</v>
      </c>
      <c r="KK515" s="98">
        <f t="shared" si="3844"/>
        <v>0</v>
      </c>
      <c r="KL515" s="98">
        <f t="shared" si="3844"/>
        <v>0</v>
      </c>
      <c r="KM515" s="98">
        <f t="shared" si="3844"/>
        <v>0</v>
      </c>
      <c r="KN515" s="98">
        <f t="shared" si="3844"/>
        <v>0</v>
      </c>
      <c r="KO515" s="98">
        <f t="shared" si="3844"/>
        <v>0</v>
      </c>
      <c r="KP515" s="98">
        <f t="shared" si="3844"/>
        <v>0</v>
      </c>
      <c r="KQ515" s="98">
        <f t="shared" si="3844"/>
        <v>0</v>
      </c>
      <c r="KR515" s="98">
        <f t="shared" si="3844"/>
        <v>0</v>
      </c>
      <c r="KS515" s="198">
        <f t="shared" si="2654"/>
        <v>0</v>
      </c>
      <c r="KT515" s="198">
        <f t="shared" si="2655"/>
        <v>0</v>
      </c>
      <c r="KU515" s="98">
        <f t="shared" ref="KU515:LH515" si="3845">SUM(KU44,KU82,KU120,KU158,KU196,KU234,KU272,KU310,KU348,KU386,KU424,KU462)</f>
        <v>0</v>
      </c>
      <c r="KV515" s="98">
        <f t="shared" si="3845"/>
        <v>0</v>
      </c>
      <c r="KW515" s="98">
        <f t="shared" si="3845"/>
        <v>0</v>
      </c>
      <c r="KX515" s="98">
        <f t="shared" si="3845"/>
        <v>0</v>
      </c>
      <c r="KY515" s="98">
        <f t="shared" si="3845"/>
        <v>0</v>
      </c>
      <c r="KZ515" s="98">
        <f t="shared" si="3845"/>
        <v>0</v>
      </c>
      <c r="LA515" s="98">
        <f t="shared" si="3845"/>
        <v>0</v>
      </c>
      <c r="LB515" s="98">
        <f t="shared" si="3845"/>
        <v>0</v>
      </c>
      <c r="LC515" s="98">
        <f t="shared" si="3845"/>
        <v>0</v>
      </c>
      <c r="LD515" s="98">
        <f t="shared" si="3845"/>
        <v>0</v>
      </c>
      <c r="LE515" s="98">
        <f t="shared" si="3845"/>
        <v>0</v>
      </c>
      <c r="LF515" s="98">
        <f t="shared" si="3845"/>
        <v>0</v>
      </c>
      <c r="LG515" s="98">
        <f t="shared" si="3845"/>
        <v>0</v>
      </c>
      <c r="LH515" s="98">
        <f t="shared" si="3845"/>
        <v>0</v>
      </c>
      <c r="LI515" s="198">
        <f t="shared" si="2657"/>
        <v>0</v>
      </c>
      <c r="LJ515" s="198">
        <f t="shared" si="2658"/>
        <v>0</v>
      </c>
      <c r="LK515" s="98">
        <f t="shared" ref="LK515:LX515" si="3846">SUM(LK44,LK82,LK120,LK158,LK196,LK234,LK272,LK310,LK348,LK386,LK424,LK462)</f>
        <v>0</v>
      </c>
      <c r="LL515" s="98">
        <f t="shared" si="3846"/>
        <v>0</v>
      </c>
      <c r="LM515" s="98">
        <f t="shared" si="3846"/>
        <v>0</v>
      </c>
      <c r="LN515" s="98">
        <f t="shared" si="3846"/>
        <v>0</v>
      </c>
      <c r="LO515" s="98">
        <f t="shared" si="3846"/>
        <v>0</v>
      </c>
      <c r="LP515" s="98">
        <f t="shared" si="3846"/>
        <v>0</v>
      </c>
      <c r="LQ515" s="98">
        <f t="shared" si="3846"/>
        <v>0</v>
      </c>
      <c r="LR515" s="98">
        <f t="shared" si="3846"/>
        <v>0</v>
      </c>
      <c r="LS515" s="98">
        <f t="shared" si="3846"/>
        <v>0</v>
      </c>
      <c r="LT515" s="98">
        <f t="shared" si="3846"/>
        <v>0</v>
      </c>
      <c r="LU515" s="98">
        <f t="shared" si="3846"/>
        <v>0</v>
      </c>
      <c r="LV515" s="98">
        <f t="shared" si="3846"/>
        <v>0</v>
      </c>
      <c r="LW515" s="98">
        <f t="shared" si="3846"/>
        <v>0</v>
      </c>
      <c r="LX515" s="98">
        <f t="shared" si="3846"/>
        <v>0</v>
      </c>
      <c r="LY515" s="198">
        <f t="shared" si="2660"/>
        <v>0</v>
      </c>
      <c r="LZ515" s="198">
        <f t="shared" si="2661"/>
        <v>0</v>
      </c>
      <c r="MA515" s="98">
        <f t="shared" ref="MA515:MN515" si="3847">SUM(MA44,MA82,MA120,MA158,MA196,MA234,MA272,MA310,MA348,MA386,MA424,MA462)</f>
        <v>0</v>
      </c>
      <c r="MB515" s="98">
        <f t="shared" si="3847"/>
        <v>0</v>
      </c>
      <c r="MC515" s="98">
        <f t="shared" si="3847"/>
        <v>0</v>
      </c>
      <c r="MD515" s="98">
        <f t="shared" si="3847"/>
        <v>0</v>
      </c>
      <c r="ME515" s="98">
        <f t="shared" si="3847"/>
        <v>0</v>
      </c>
      <c r="MF515" s="98">
        <f t="shared" si="3847"/>
        <v>0</v>
      </c>
      <c r="MG515" s="98">
        <f t="shared" si="3847"/>
        <v>0</v>
      </c>
      <c r="MH515" s="98">
        <f t="shared" si="3847"/>
        <v>0</v>
      </c>
      <c r="MI515" s="98">
        <f t="shared" si="3847"/>
        <v>0</v>
      </c>
      <c r="MJ515" s="98">
        <f t="shared" si="3847"/>
        <v>0</v>
      </c>
      <c r="MK515" s="98">
        <f t="shared" si="3847"/>
        <v>0</v>
      </c>
      <c r="ML515" s="98">
        <f t="shared" si="3847"/>
        <v>0</v>
      </c>
      <c r="MM515" s="98">
        <f t="shared" si="3847"/>
        <v>0</v>
      </c>
      <c r="MN515" s="98">
        <f t="shared" si="3847"/>
        <v>0</v>
      </c>
      <c r="MO515" s="198">
        <f t="shared" si="2663"/>
        <v>0</v>
      </c>
      <c r="MP515" s="198">
        <f t="shared" si="2664"/>
        <v>0</v>
      </c>
      <c r="MQ515" s="98">
        <f t="shared" ref="MQ515:ND515" si="3848">SUM(MQ44,MQ82,MQ120,MQ158,MQ196,MQ234,MQ272,MQ310,MQ348,MQ386,MQ424,MQ462)</f>
        <v>0</v>
      </c>
      <c r="MR515" s="98">
        <f t="shared" si="3848"/>
        <v>0</v>
      </c>
      <c r="MS515" s="98">
        <f t="shared" si="3848"/>
        <v>0</v>
      </c>
      <c r="MT515" s="98">
        <f t="shared" si="3848"/>
        <v>0</v>
      </c>
      <c r="MU515" s="98">
        <f t="shared" si="3848"/>
        <v>0</v>
      </c>
      <c r="MV515" s="98">
        <f t="shared" si="3848"/>
        <v>0</v>
      </c>
      <c r="MW515" s="98">
        <f t="shared" si="3848"/>
        <v>0</v>
      </c>
      <c r="MX515" s="98">
        <f t="shared" si="3848"/>
        <v>0</v>
      </c>
      <c r="MY515" s="98">
        <f t="shared" si="3848"/>
        <v>0</v>
      </c>
      <c r="MZ515" s="98">
        <f t="shared" si="3848"/>
        <v>0</v>
      </c>
      <c r="NA515" s="98">
        <f t="shared" si="3848"/>
        <v>0</v>
      </c>
      <c r="NB515" s="98">
        <f t="shared" si="3848"/>
        <v>0</v>
      </c>
      <c r="NC515" s="98">
        <f t="shared" si="3848"/>
        <v>0</v>
      </c>
      <c r="ND515" s="98">
        <f t="shared" si="3848"/>
        <v>0</v>
      </c>
      <c r="NE515" s="198">
        <f t="shared" si="2666"/>
        <v>0</v>
      </c>
      <c r="NF515" s="198">
        <f t="shared" si="2667"/>
        <v>0</v>
      </c>
      <c r="NG515" s="98">
        <f t="shared" ref="NG515:NT515" si="3849">SUM(NG44,NG82,NG120,NG158,NG196,NG234,NG272,NG310,NG348,NG386,NG424,NG462)</f>
        <v>0</v>
      </c>
      <c r="NH515" s="98">
        <f t="shared" si="3849"/>
        <v>0</v>
      </c>
      <c r="NI515" s="98">
        <f t="shared" si="3849"/>
        <v>0</v>
      </c>
      <c r="NJ515" s="98">
        <f t="shared" si="3849"/>
        <v>0</v>
      </c>
      <c r="NK515" s="98">
        <f t="shared" si="3849"/>
        <v>0</v>
      </c>
      <c r="NL515" s="98">
        <f t="shared" si="3849"/>
        <v>0</v>
      </c>
      <c r="NM515" s="98">
        <f t="shared" si="3849"/>
        <v>0</v>
      </c>
      <c r="NN515" s="98">
        <f t="shared" si="3849"/>
        <v>0</v>
      </c>
      <c r="NO515" s="98">
        <f t="shared" si="3849"/>
        <v>0</v>
      </c>
      <c r="NP515" s="98">
        <f t="shared" si="3849"/>
        <v>0</v>
      </c>
      <c r="NQ515" s="98">
        <f t="shared" si="3849"/>
        <v>0</v>
      </c>
      <c r="NR515" s="98">
        <f t="shared" si="3849"/>
        <v>0</v>
      </c>
      <c r="NS515" s="98">
        <f t="shared" si="3849"/>
        <v>0</v>
      </c>
      <c r="NT515" s="98">
        <f t="shared" si="3849"/>
        <v>0</v>
      </c>
      <c r="NU515" s="198">
        <f t="shared" si="2669"/>
        <v>0</v>
      </c>
      <c r="NV515" s="198">
        <f t="shared" si="2670"/>
        <v>0</v>
      </c>
      <c r="NW515" s="98">
        <f t="shared" ref="NW515:OJ515" si="3850">SUM(NW44,NW82,NW120,NW158,NW196,NW234,NW272,NW310,NW348,NW386,NW424,NW462)</f>
        <v>0</v>
      </c>
      <c r="NX515" s="98">
        <f t="shared" si="3850"/>
        <v>0</v>
      </c>
      <c r="NY515" s="98">
        <f t="shared" si="3850"/>
        <v>0</v>
      </c>
      <c r="NZ515" s="98">
        <f t="shared" si="3850"/>
        <v>0</v>
      </c>
      <c r="OA515" s="98">
        <f t="shared" si="3850"/>
        <v>0</v>
      </c>
      <c r="OB515" s="98">
        <f t="shared" si="3850"/>
        <v>0</v>
      </c>
      <c r="OC515" s="98">
        <f t="shared" si="3850"/>
        <v>0</v>
      </c>
      <c r="OD515" s="98">
        <f t="shared" si="3850"/>
        <v>0</v>
      </c>
      <c r="OE515" s="98">
        <f t="shared" si="3850"/>
        <v>0</v>
      </c>
      <c r="OF515" s="98">
        <f t="shared" si="3850"/>
        <v>0</v>
      </c>
      <c r="OG515" s="98">
        <f t="shared" si="3850"/>
        <v>0</v>
      </c>
      <c r="OH515" s="98">
        <f t="shared" si="3850"/>
        <v>0</v>
      </c>
      <c r="OI515" s="98">
        <f t="shared" si="3850"/>
        <v>0</v>
      </c>
      <c r="OJ515" s="98">
        <f t="shared" si="3850"/>
        <v>0</v>
      </c>
      <c r="OK515" s="198">
        <f t="shared" si="2672"/>
        <v>0</v>
      </c>
      <c r="OL515" s="198">
        <f t="shared" si="2673"/>
        <v>0</v>
      </c>
      <c r="OM515" s="98">
        <f t="shared" ref="OM515:OZ515" si="3851">SUM(OM44,OM82,OM120,OM158,OM196,OM234,OM272,OM310,OM348,OM386,OM424,OM462)</f>
        <v>0</v>
      </c>
      <c r="ON515" s="98">
        <f t="shared" si="3851"/>
        <v>0</v>
      </c>
      <c r="OO515" s="98">
        <f t="shared" si="3851"/>
        <v>0</v>
      </c>
      <c r="OP515" s="98">
        <f t="shared" si="3851"/>
        <v>0</v>
      </c>
      <c r="OQ515" s="98">
        <f t="shared" si="3851"/>
        <v>0</v>
      </c>
      <c r="OR515" s="98">
        <f t="shared" si="3851"/>
        <v>0</v>
      </c>
      <c r="OS515" s="98">
        <f t="shared" si="3851"/>
        <v>0</v>
      </c>
      <c r="OT515" s="98">
        <f t="shared" si="3851"/>
        <v>0</v>
      </c>
      <c r="OU515" s="98">
        <f t="shared" si="3851"/>
        <v>0</v>
      </c>
      <c r="OV515" s="98">
        <f t="shared" si="3851"/>
        <v>0</v>
      </c>
      <c r="OW515" s="98">
        <f t="shared" si="3851"/>
        <v>0</v>
      </c>
      <c r="OX515" s="98">
        <f t="shared" si="3851"/>
        <v>0</v>
      </c>
      <c r="OY515" s="98">
        <f t="shared" si="3851"/>
        <v>0</v>
      </c>
      <c r="OZ515" s="98">
        <f t="shared" si="3851"/>
        <v>0</v>
      </c>
      <c r="PA515" s="198">
        <f t="shared" si="2675"/>
        <v>0</v>
      </c>
      <c r="PB515" s="198">
        <f t="shared" si="2676"/>
        <v>0</v>
      </c>
      <c r="PC515" s="98">
        <f t="shared" ref="PC515:PP515" si="3852">SUM(PC44,PC82,PC120,PC158,PC196,PC234,PC272,PC310,PC348,PC386,PC424,PC462)</f>
        <v>0</v>
      </c>
      <c r="PD515" s="98">
        <f t="shared" si="3852"/>
        <v>0</v>
      </c>
      <c r="PE515" s="98">
        <f t="shared" si="3852"/>
        <v>0</v>
      </c>
      <c r="PF515" s="98">
        <f t="shared" si="3852"/>
        <v>0</v>
      </c>
      <c r="PG515" s="98">
        <f t="shared" si="3852"/>
        <v>0</v>
      </c>
      <c r="PH515" s="98">
        <f t="shared" si="3852"/>
        <v>0</v>
      </c>
      <c r="PI515" s="98">
        <f t="shared" si="3852"/>
        <v>0</v>
      </c>
      <c r="PJ515" s="98">
        <f t="shared" si="3852"/>
        <v>0</v>
      </c>
      <c r="PK515" s="98">
        <f t="shared" si="3852"/>
        <v>0</v>
      </c>
      <c r="PL515" s="98">
        <f t="shared" si="3852"/>
        <v>0</v>
      </c>
      <c r="PM515" s="98">
        <f t="shared" si="3852"/>
        <v>0</v>
      </c>
      <c r="PN515" s="98">
        <f t="shared" si="3852"/>
        <v>0</v>
      </c>
      <c r="PO515" s="98">
        <f t="shared" si="3852"/>
        <v>0</v>
      </c>
      <c r="PP515" s="98">
        <f t="shared" si="3852"/>
        <v>0</v>
      </c>
      <c r="PQ515" s="198">
        <f t="shared" si="2678"/>
        <v>0</v>
      </c>
      <c r="PR515" s="198">
        <f t="shared" si="2679"/>
        <v>0</v>
      </c>
      <c r="PS515" s="98">
        <f t="shared" ref="PS515:QF515" si="3853">SUM(PS44,PS82,PS120,PS158,PS196,PS234,PS272,PS310,PS348,PS386,PS424,PS462)</f>
        <v>0</v>
      </c>
      <c r="PT515" s="98">
        <f t="shared" si="3853"/>
        <v>0</v>
      </c>
      <c r="PU515" s="98">
        <f t="shared" si="3853"/>
        <v>0</v>
      </c>
      <c r="PV515" s="98">
        <f t="shared" si="3853"/>
        <v>0</v>
      </c>
      <c r="PW515" s="98">
        <f t="shared" si="3853"/>
        <v>0</v>
      </c>
      <c r="PX515" s="98">
        <f t="shared" si="3853"/>
        <v>0</v>
      </c>
      <c r="PY515" s="98">
        <f t="shared" si="3853"/>
        <v>0</v>
      </c>
      <c r="PZ515" s="98">
        <f t="shared" si="3853"/>
        <v>0</v>
      </c>
      <c r="QA515" s="98">
        <f t="shared" si="3853"/>
        <v>0</v>
      </c>
      <c r="QB515" s="98">
        <f t="shared" si="3853"/>
        <v>0</v>
      </c>
      <c r="QC515" s="98">
        <f t="shared" si="3853"/>
        <v>0</v>
      </c>
      <c r="QD515" s="98">
        <f t="shared" si="3853"/>
        <v>0</v>
      </c>
      <c r="QE515" s="98">
        <f t="shared" si="3853"/>
        <v>0</v>
      </c>
      <c r="QF515" s="98">
        <f t="shared" si="3853"/>
        <v>0</v>
      </c>
      <c r="QG515" s="198">
        <f t="shared" si="2681"/>
        <v>0</v>
      </c>
      <c r="QH515" s="198">
        <f t="shared" si="2682"/>
        <v>0</v>
      </c>
      <c r="QI515" s="98">
        <f t="shared" ref="QI515:QV515" si="3854">SUM(QI44,QI82,QI120,QI158,QI196,QI234,QI272,QI310,QI348,QI386,QI424,QI462)</f>
        <v>0</v>
      </c>
      <c r="QJ515" s="98">
        <f t="shared" si="3854"/>
        <v>0</v>
      </c>
      <c r="QK515" s="98">
        <f t="shared" si="3854"/>
        <v>0</v>
      </c>
      <c r="QL515" s="98">
        <f t="shared" si="3854"/>
        <v>0</v>
      </c>
      <c r="QM515" s="98">
        <f t="shared" si="3854"/>
        <v>0</v>
      </c>
      <c r="QN515" s="98">
        <f t="shared" si="3854"/>
        <v>0</v>
      </c>
      <c r="QO515" s="98">
        <f t="shared" si="3854"/>
        <v>0</v>
      </c>
      <c r="QP515" s="98">
        <f t="shared" si="3854"/>
        <v>0</v>
      </c>
      <c r="QQ515" s="98">
        <f t="shared" si="3854"/>
        <v>0</v>
      </c>
      <c r="QR515" s="98">
        <f t="shared" si="3854"/>
        <v>0</v>
      </c>
      <c r="QS515" s="98">
        <f t="shared" si="3854"/>
        <v>0</v>
      </c>
      <c r="QT515" s="98">
        <f t="shared" si="3854"/>
        <v>0</v>
      </c>
      <c r="QU515" s="98">
        <f t="shared" si="3854"/>
        <v>0</v>
      </c>
      <c r="QV515" s="98">
        <f t="shared" si="3854"/>
        <v>0</v>
      </c>
      <c r="QW515" s="198">
        <f t="shared" si="2684"/>
        <v>0</v>
      </c>
      <c r="QX515" s="198">
        <f t="shared" si="2685"/>
        <v>0</v>
      </c>
      <c r="QY515" s="98">
        <f t="shared" ref="QY515:RL515" si="3855">SUM(QY44,QY82,QY120,QY158,QY196,QY234,QY272,QY310,QY348,QY386,QY424,QY462)</f>
        <v>0</v>
      </c>
      <c r="QZ515" s="98">
        <f t="shared" si="3855"/>
        <v>0</v>
      </c>
      <c r="RA515" s="98">
        <f t="shared" si="3855"/>
        <v>0</v>
      </c>
      <c r="RB515" s="98">
        <f t="shared" si="3855"/>
        <v>0</v>
      </c>
      <c r="RC515" s="98">
        <f t="shared" si="3855"/>
        <v>0</v>
      </c>
      <c r="RD515" s="98">
        <f t="shared" si="3855"/>
        <v>0</v>
      </c>
      <c r="RE515" s="98">
        <f t="shared" si="3855"/>
        <v>0</v>
      </c>
      <c r="RF515" s="98">
        <f t="shared" si="3855"/>
        <v>0</v>
      </c>
      <c r="RG515" s="98">
        <f t="shared" si="3855"/>
        <v>0</v>
      </c>
      <c r="RH515" s="98">
        <f t="shared" si="3855"/>
        <v>0</v>
      </c>
      <c r="RI515" s="98">
        <f t="shared" si="3855"/>
        <v>0</v>
      </c>
      <c r="RJ515" s="98">
        <f t="shared" si="3855"/>
        <v>0</v>
      </c>
      <c r="RK515" s="98">
        <f t="shared" si="3855"/>
        <v>0</v>
      </c>
      <c r="RL515" s="98">
        <f t="shared" si="3855"/>
        <v>0</v>
      </c>
      <c r="RM515" s="198">
        <f t="shared" si="2687"/>
        <v>0</v>
      </c>
      <c r="RN515" s="198">
        <f t="shared" si="2688"/>
        <v>0</v>
      </c>
      <c r="RO515" s="98">
        <f t="shared" ref="RO515:SB515" si="3856">SUM(RO44,RO82,RO120,RO158,RO196,RO234,RO272,RO310,RO348,RO386,RO424,RO462)</f>
        <v>0</v>
      </c>
      <c r="RP515" s="98">
        <f t="shared" si="3856"/>
        <v>0</v>
      </c>
      <c r="RQ515" s="98">
        <f t="shared" si="3856"/>
        <v>0</v>
      </c>
      <c r="RR515" s="98">
        <f t="shared" si="3856"/>
        <v>0</v>
      </c>
      <c r="RS515" s="98">
        <f t="shared" si="3856"/>
        <v>0</v>
      </c>
      <c r="RT515" s="98">
        <f t="shared" si="3856"/>
        <v>0</v>
      </c>
      <c r="RU515" s="98">
        <f t="shared" si="3856"/>
        <v>0</v>
      </c>
      <c r="RV515" s="98">
        <f t="shared" si="3856"/>
        <v>0</v>
      </c>
      <c r="RW515" s="98">
        <f t="shared" si="3856"/>
        <v>0</v>
      </c>
      <c r="RX515" s="98">
        <f t="shared" si="3856"/>
        <v>0</v>
      </c>
      <c r="RY515" s="98">
        <f t="shared" si="3856"/>
        <v>0</v>
      </c>
      <c r="RZ515" s="98">
        <f t="shared" si="3856"/>
        <v>0</v>
      </c>
      <c r="SA515" s="98">
        <f t="shared" si="3856"/>
        <v>0</v>
      </c>
      <c r="SB515" s="98">
        <f t="shared" si="3856"/>
        <v>0</v>
      </c>
      <c r="SC515" s="198">
        <f t="shared" si="2690"/>
        <v>0</v>
      </c>
      <c r="SD515" s="198">
        <f t="shared" si="2691"/>
        <v>0</v>
      </c>
      <c r="SE515" s="98">
        <f t="shared" ref="SE515:SR515" si="3857">SUM(SE44,SE82,SE120,SE158,SE196,SE234,SE272,SE310,SE348,SE386,SE424,SE462)</f>
        <v>0</v>
      </c>
      <c r="SF515" s="98">
        <f t="shared" si="3857"/>
        <v>0</v>
      </c>
      <c r="SG515" s="98">
        <f t="shared" si="3857"/>
        <v>0</v>
      </c>
      <c r="SH515" s="98">
        <f t="shared" si="3857"/>
        <v>0</v>
      </c>
      <c r="SI515" s="98">
        <f t="shared" si="3857"/>
        <v>0</v>
      </c>
      <c r="SJ515" s="98">
        <f t="shared" si="3857"/>
        <v>0</v>
      </c>
      <c r="SK515" s="98">
        <f t="shared" si="3857"/>
        <v>0</v>
      </c>
      <c r="SL515" s="98">
        <f t="shared" si="3857"/>
        <v>0</v>
      </c>
      <c r="SM515" s="98">
        <f t="shared" si="3857"/>
        <v>0</v>
      </c>
      <c r="SN515" s="98">
        <f t="shared" si="3857"/>
        <v>0</v>
      </c>
      <c r="SO515" s="98">
        <f t="shared" si="3857"/>
        <v>0</v>
      </c>
      <c r="SP515" s="98">
        <f t="shared" si="3857"/>
        <v>0</v>
      </c>
      <c r="SQ515" s="98">
        <f t="shared" si="3857"/>
        <v>0</v>
      </c>
      <c r="SR515" s="98">
        <f t="shared" si="3857"/>
        <v>0</v>
      </c>
      <c r="SS515" s="198">
        <f t="shared" si="2693"/>
        <v>0</v>
      </c>
      <c r="ST515" s="198">
        <f t="shared" si="2694"/>
        <v>0</v>
      </c>
      <c r="SU515" s="98">
        <f t="shared" ref="SU515:TH515" si="3858">SUM(SU44,SU82,SU120,SU158,SU196,SU234,SU272,SU310,SU348,SU386,SU424,SU462)</f>
        <v>0</v>
      </c>
      <c r="SV515" s="98">
        <f t="shared" si="3858"/>
        <v>0</v>
      </c>
      <c r="SW515" s="98">
        <f t="shared" si="3858"/>
        <v>0</v>
      </c>
      <c r="SX515" s="98">
        <f t="shared" si="3858"/>
        <v>0</v>
      </c>
      <c r="SY515" s="98">
        <f t="shared" si="3858"/>
        <v>0</v>
      </c>
      <c r="SZ515" s="98">
        <f t="shared" si="3858"/>
        <v>0</v>
      </c>
      <c r="TA515" s="98">
        <f t="shared" si="3858"/>
        <v>0</v>
      </c>
      <c r="TB515" s="98">
        <f t="shared" si="3858"/>
        <v>0</v>
      </c>
      <c r="TC515" s="98">
        <f t="shared" si="3858"/>
        <v>0</v>
      </c>
      <c r="TD515" s="98">
        <f t="shared" si="3858"/>
        <v>0</v>
      </c>
      <c r="TE515" s="98">
        <f t="shared" si="3858"/>
        <v>0</v>
      </c>
      <c r="TF515" s="98">
        <f t="shared" si="3858"/>
        <v>0</v>
      </c>
      <c r="TG515" s="98">
        <f t="shared" si="3858"/>
        <v>0</v>
      </c>
      <c r="TH515" s="98">
        <f t="shared" si="3858"/>
        <v>0</v>
      </c>
      <c r="TI515" s="198">
        <f t="shared" si="2696"/>
        <v>0</v>
      </c>
      <c r="TJ515" s="198">
        <f t="shared" si="2697"/>
        <v>0</v>
      </c>
      <c r="TK515" s="98">
        <f t="shared" ref="TK515:TX515" si="3859">SUM(TK44,TK82,TK120,TK158,TK196,TK234,TK272,TK310,TK348,TK386,TK424,TK462)</f>
        <v>0</v>
      </c>
      <c r="TL515" s="98">
        <f t="shared" si="3859"/>
        <v>0</v>
      </c>
      <c r="TM515" s="98">
        <f t="shared" si="3859"/>
        <v>0</v>
      </c>
      <c r="TN515" s="98">
        <f t="shared" si="3859"/>
        <v>0</v>
      </c>
      <c r="TO515" s="98">
        <f t="shared" si="3859"/>
        <v>0</v>
      </c>
      <c r="TP515" s="98">
        <f t="shared" si="3859"/>
        <v>0</v>
      </c>
      <c r="TQ515" s="98">
        <f t="shared" si="3859"/>
        <v>0</v>
      </c>
      <c r="TR515" s="98">
        <f t="shared" si="3859"/>
        <v>0</v>
      </c>
      <c r="TS515" s="98">
        <f t="shared" si="3859"/>
        <v>0</v>
      </c>
      <c r="TT515" s="98">
        <f t="shared" si="3859"/>
        <v>0</v>
      </c>
      <c r="TU515" s="98">
        <f t="shared" si="3859"/>
        <v>0</v>
      </c>
      <c r="TV515" s="98">
        <f t="shared" si="3859"/>
        <v>0</v>
      </c>
      <c r="TW515" s="98">
        <f t="shared" si="3859"/>
        <v>0</v>
      </c>
      <c r="TX515" s="98">
        <f t="shared" si="3859"/>
        <v>0</v>
      </c>
      <c r="TY515" s="198">
        <f t="shared" si="2699"/>
        <v>0</v>
      </c>
      <c r="TZ515" s="198">
        <f t="shared" si="2700"/>
        <v>0</v>
      </c>
      <c r="UA515" s="98">
        <f t="shared" ref="UA515:UN515" si="3860">SUM(UA44,UA82,UA120,UA158,UA196,UA234,UA272,UA310,UA348,UA386,UA424,UA462)</f>
        <v>0</v>
      </c>
      <c r="UB515" s="98">
        <f t="shared" si="3860"/>
        <v>0</v>
      </c>
      <c r="UC515" s="98">
        <f t="shared" si="3860"/>
        <v>0</v>
      </c>
      <c r="UD515" s="98">
        <f t="shared" si="3860"/>
        <v>0</v>
      </c>
      <c r="UE515" s="98">
        <f t="shared" si="3860"/>
        <v>0</v>
      </c>
      <c r="UF515" s="98">
        <f t="shared" si="3860"/>
        <v>0</v>
      </c>
      <c r="UG515" s="98">
        <f t="shared" si="3860"/>
        <v>0</v>
      </c>
      <c r="UH515" s="98">
        <f t="shared" si="3860"/>
        <v>0</v>
      </c>
      <c r="UI515" s="98">
        <f t="shared" si="3860"/>
        <v>0</v>
      </c>
      <c r="UJ515" s="98">
        <f t="shared" si="3860"/>
        <v>0</v>
      </c>
      <c r="UK515" s="98">
        <f t="shared" si="3860"/>
        <v>0</v>
      </c>
      <c r="UL515" s="98">
        <f t="shared" si="3860"/>
        <v>0</v>
      </c>
      <c r="UM515" s="98">
        <f t="shared" si="3860"/>
        <v>0</v>
      </c>
      <c r="UN515" s="98">
        <f t="shared" si="3860"/>
        <v>0</v>
      </c>
      <c r="UO515" s="198">
        <f t="shared" si="2702"/>
        <v>0</v>
      </c>
      <c r="UP515" s="198">
        <f t="shared" si="2703"/>
        <v>0</v>
      </c>
      <c r="UQ515" s="98">
        <f t="shared" ref="UQ515:VD515" si="3861">SUM(UQ44,UQ82,UQ120,UQ158,UQ196,UQ234,UQ272,UQ310,UQ348,UQ386,UQ424,UQ462)</f>
        <v>0</v>
      </c>
      <c r="UR515" s="98">
        <f t="shared" si="3861"/>
        <v>0</v>
      </c>
      <c r="US515" s="98">
        <f t="shared" si="3861"/>
        <v>0</v>
      </c>
      <c r="UT515" s="98">
        <f t="shared" si="3861"/>
        <v>0</v>
      </c>
      <c r="UU515" s="98">
        <f t="shared" si="3861"/>
        <v>0</v>
      </c>
      <c r="UV515" s="98">
        <f t="shared" si="3861"/>
        <v>0</v>
      </c>
      <c r="UW515" s="98">
        <f t="shared" si="3861"/>
        <v>0</v>
      </c>
      <c r="UX515" s="98">
        <f t="shared" si="3861"/>
        <v>0</v>
      </c>
      <c r="UY515" s="98">
        <f t="shared" si="3861"/>
        <v>0</v>
      </c>
      <c r="UZ515" s="98">
        <f t="shared" si="3861"/>
        <v>0</v>
      </c>
      <c r="VA515" s="98">
        <f t="shared" si="3861"/>
        <v>0</v>
      </c>
      <c r="VB515" s="98">
        <f t="shared" si="3861"/>
        <v>0</v>
      </c>
      <c r="VC515" s="98">
        <f t="shared" si="3861"/>
        <v>0</v>
      </c>
      <c r="VD515" s="98">
        <f t="shared" si="3861"/>
        <v>0</v>
      </c>
      <c r="VE515" s="198">
        <f t="shared" si="2705"/>
        <v>0</v>
      </c>
      <c r="VF515" s="198">
        <f t="shared" si="2706"/>
        <v>0</v>
      </c>
      <c r="VG515" s="98">
        <f t="shared" ref="VG515:VT515" si="3862">SUM(VG44,VG82,VG120,VG158,VG196,VG234,VG272,VG310,VG348,VG386,VG424,VG462)</f>
        <v>0</v>
      </c>
      <c r="VH515" s="98">
        <f t="shared" si="3862"/>
        <v>0</v>
      </c>
      <c r="VI515" s="98">
        <f t="shared" si="3862"/>
        <v>0</v>
      </c>
      <c r="VJ515" s="98">
        <f t="shared" si="3862"/>
        <v>0</v>
      </c>
      <c r="VK515" s="98">
        <f t="shared" si="3862"/>
        <v>0</v>
      </c>
      <c r="VL515" s="98">
        <f t="shared" si="3862"/>
        <v>0</v>
      </c>
      <c r="VM515" s="98">
        <f t="shared" si="3862"/>
        <v>0</v>
      </c>
      <c r="VN515" s="98">
        <f t="shared" si="3862"/>
        <v>0</v>
      </c>
      <c r="VO515" s="98">
        <f t="shared" si="3862"/>
        <v>0</v>
      </c>
      <c r="VP515" s="98">
        <f t="shared" si="3862"/>
        <v>0</v>
      </c>
      <c r="VQ515" s="98">
        <f t="shared" si="3862"/>
        <v>0</v>
      </c>
      <c r="VR515" s="98">
        <f t="shared" si="3862"/>
        <v>0</v>
      </c>
      <c r="VS515" s="98">
        <f t="shared" si="3862"/>
        <v>0</v>
      </c>
      <c r="VT515" s="98">
        <f t="shared" si="3862"/>
        <v>0</v>
      </c>
      <c r="VU515" s="198">
        <f t="shared" si="2708"/>
        <v>0</v>
      </c>
      <c r="VV515" s="198">
        <f t="shared" si="2709"/>
        <v>0</v>
      </c>
      <c r="VW515" s="98">
        <f t="shared" ref="VW515:WJ515" si="3863">SUM(VW44,VW82,VW120,VW158,VW196,VW234,VW272,VW310,VW348,VW386,VW424,VW462)</f>
        <v>0</v>
      </c>
      <c r="VX515" s="98">
        <f t="shared" si="3863"/>
        <v>0</v>
      </c>
      <c r="VY515" s="98">
        <f t="shared" si="3863"/>
        <v>0</v>
      </c>
      <c r="VZ515" s="98">
        <f t="shared" si="3863"/>
        <v>0</v>
      </c>
      <c r="WA515" s="98">
        <f t="shared" si="3863"/>
        <v>0</v>
      </c>
      <c r="WB515" s="98">
        <f t="shared" si="3863"/>
        <v>0</v>
      </c>
      <c r="WC515" s="98">
        <f t="shared" si="3863"/>
        <v>0</v>
      </c>
      <c r="WD515" s="98">
        <f t="shared" si="3863"/>
        <v>0</v>
      </c>
      <c r="WE515" s="98">
        <f t="shared" si="3863"/>
        <v>0</v>
      </c>
      <c r="WF515" s="98">
        <f t="shared" si="3863"/>
        <v>0</v>
      </c>
      <c r="WG515" s="98">
        <f t="shared" si="3863"/>
        <v>0</v>
      </c>
      <c r="WH515" s="98">
        <f t="shared" si="3863"/>
        <v>0</v>
      </c>
      <c r="WI515" s="98">
        <f t="shared" si="3863"/>
        <v>0</v>
      </c>
      <c r="WJ515" s="98">
        <f t="shared" si="3863"/>
        <v>0</v>
      </c>
      <c r="WK515" s="198">
        <f t="shared" si="2711"/>
        <v>0</v>
      </c>
      <c r="WL515" s="198">
        <f t="shared" si="2712"/>
        <v>0</v>
      </c>
      <c r="WN515" s="98">
        <f t="shared" si="3734"/>
        <v>0</v>
      </c>
      <c r="WO515" s="98">
        <f t="shared" si="3735"/>
        <v>0</v>
      </c>
      <c r="WP515" s="98">
        <f t="shared" si="3736"/>
        <v>0</v>
      </c>
      <c r="WQ515" s="98">
        <f t="shared" si="3737"/>
        <v>0</v>
      </c>
      <c r="WR515" s="98">
        <f t="shared" si="3738"/>
        <v>0</v>
      </c>
      <c r="WS515" s="98">
        <f t="shared" si="3739"/>
        <v>0</v>
      </c>
      <c r="WT515" s="98">
        <f t="shared" si="3740"/>
        <v>0</v>
      </c>
      <c r="WU515" s="98">
        <f t="shared" si="3741"/>
        <v>0</v>
      </c>
      <c r="WV515" s="98">
        <f t="shared" si="3742"/>
        <v>0</v>
      </c>
      <c r="WW515" s="98">
        <f t="shared" si="3743"/>
        <v>0</v>
      </c>
      <c r="WX515" s="98">
        <f t="shared" si="3744"/>
        <v>0</v>
      </c>
      <c r="WY515" s="98">
        <f t="shared" si="3745"/>
        <v>0</v>
      </c>
      <c r="WZ515" s="98">
        <f t="shared" si="3746"/>
        <v>0</v>
      </c>
      <c r="XA515" s="98">
        <f t="shared" si="3747"/>
        <v>0</v>
      </c>
      <c r="XB515" s="107">
        <f t="shared" si="3748"/>
        <v>0</v>
      </c>
      <c r="XC515" s="107">
        <f t="shared" si="3749"/>
        <v>0</v>
      </c>
      <c r="XK515" s="98">
        <f t="shared" si="2729"/>
        <v>0</v>
      </c>
      <c r="XL515" s="98">
        <f t="shared" si="2730"/>
        <v>0</v>
      </c>
      <c r="XM515" s="98">
        <f t="shared" si="2731"/>
        <v>0</v>
      </c>
      <c r="XN515" s="98">
        <f t="shared" si="2732"/>
        <v>0</v>
      </c>
      <c r="XO515" s="98">
        <f t="shared" si="2733"/>
        <v>0</v>
      </c>
      <c r="XP515" s="98">
        <f t="shared" si="2734"/>
        <v>0</v>
      </c>
      <c r="XQ515" s="98">
        <f t="shared" si="2735"/>
        <v>0</v>
      </c>
      <c r="XR515" s="107">
        <f t="shared" ca="1" si="2597"/>
        <v>0</v>
      </c>
      <c r="XT515" s="98">
        <f t="shared" si="2736"/>
        <v>0</v>
      </c>
      <c r="XU515" s="98">
        <f t="shared" si="2737"/>
        <v>0</v>
      </c>
      <c r="XV515" s="98">
        <f t="shared" si="2738"/>
        <v>0</v>
      </c>
      <c r="XW515" s="98">
        <f t="shared" si="2739"/>
        <v>0</v>
      </c>
      <c r="XX515" s="98">
        <f t="shared" si="2740"/>
        <v>0</v>
      </c>
      <c r="XY515" s="98">
        <f t="shared" si="2741"/>
        <v>0</v>
      </c>
      <c r="XZ515" s="98">
        <f t="shared" si="2742"/>
        <v>0</v>
      </c>
      <c r="YA515" s="107">
        <f t="shared" ca="1" si="2598"/>
        <v>0</v>
      </c>
    </row>
    <row r="516" spans="1:1017">
      <c r="B516" s="90" t="str">
        <f t="shared" si="3695"/>
        <v xml:space="preserve">Udang_05 (Udang Lainnya) </v>
      </c>
      <c r="C516" s="98">
        <f t="shared" ref="C516:P516" si="3864">SUM(C45,C83,C121,C159,C197,C235,C273,C311,C349,C387,C425,C463)</f>
        <v>0</v>
      </c>
      <c r="D516" s="98">
        <f t="shared" si="3864"/>
        <v>0</v>
      </c>
      <c r="E516" s="98">
        <f t="shared" si="3864"/>
        <v>0</v>
      </c>
      <c r="F516" s="98">
        <f t="shared" si="3864"/>
        <v>0</v>
      </c>
      <c r="G516" s="98">
        <f t="shared" si="3864"/>
        <v>0</v>
      </c>
      <c r="H516" s="98">
        <f t="shared" si="3864"/>
        <v>0</v>
      </c>
      <c r="I516" s="98">
        <f t="shared" si="3864"/>
        <v>0</v>
      </c>
      <c r="J516" s="98">
        <f t="shared" si="3864"/>
        <v>0</v>
      </c>
      <c r="K516" s="98">
        <f t="shared" si="3864"/>
        <v>0</v>
      </c>
      <c r="L516" s="98">
        <f t="shared" si="3864"/>
        <v>0</v>
      </c>
      <c r="M516" s="98">
        <f t="shared" si="3864"/>
        <v>0</v>
      </c>
      <c r="N516" s="98">
        <f t="shared" si="3864"/>
        <v>0</v>
      </c>
      <c r="O516" s="98">
        <f t="shared" si="3864"/>
        <v>0</v>
      </c>
      <c r="P516" s="98">
        <f t="shared" si="3864"/>
        <v>0</v>
      </c>
      <c r="Q516" s="198">
        <f t="shared" si="2600"/>
        <v>0</v>
      </c>
      <c r="R516" s="198">
        <f t="shared" si="2601"/>
        <v>0</v>
      </c>
      <c r="S516" s="98">
        <f t="shared" ref="S516:AF516" si="3865">SUM(S45,S83,S121,S159,S197,S235,S273,S311,S349,S387,S425,S463)</f>
        <v>0</v>
      </c>
      <c r="T516" s="98">
        <f t="shared" si="3865"/>
        <v>0</v>
      </c>
      <c r="U516" s="98">
        <f t="shared" si="3865"/>
        <v>0</v>
      </c>
      <c r="V516" s="98">
        <f t="shared" si="3865"/>
        <v>0</v>
      </c>
      <c r="W516" s="98">
        <f t="shared" si="3865"/>
        <v>0</v>
      </c>
      <c r="X516" s="98">
        <f t="shared" si="3865"/>
        <v>0</v>
      </c>
      <c r="Y516" s="98">
        <f t="shared" si="3865"/>
        <v>0</v>
      </c>
      <c r="Z516" s="98">
        <f t="shared" si="3865"/>
        <v>0</v>
      </c>
      <c r="AA516" s="98">
        <f t="shared" si="3865"/>
        <v>0</v>
      </c>
      <c r="AB516" s="98">
        <f t="shared" si="3865"/>
        <v>0</v>
      </c>
      <c r="AC516" s="98">
        <f t="shared" si="3865"/>
        <v>0</v>
      </c>
      <c r="AD516" s="98">
        <f t="shared" si="3865"/>
        <v>0</v>
      </c>
      <c r="AE516" s="98">
        <f t="shared" si="3865"/>
        <v>0</v>
      </c>
      <c r="AF516" s="98">
        <f t="shared" si="3865"/>
        <v>0</v>
      </c>
      <c r="AG516" s="198">
        <f t="shared" si="2603"/>
        <v>0</v>
      </c>
      <c r="AH516" s="198">
        <f t="shared" si="2604"/>
        <v>0</v>
      </c>
      <c r="AI516" s="98">
        <f t="shared" ref="AI516:AV516" si="3866">SUM(AI45,AI83,AI121,AI159,AI197,AI235,AI273,AI311,AI349,AI387,AI425,AI463)</f>
        <v>0</v>
      </c>
      <c r="AJ516" s="98">
        <f t="shared" si="3866"/>
        <v>0</v>
      </c>
      <c r="AK516" s="98">
        <f t="shared" si="3866"/>
        <v>0</v>
      </c>
      <c r="AL516" s="98">
        <f t="shared" si="3866"/>
        <v>0</v>
      </c>
      <c r="AM516" s="98">
        <f t="shared" si="3866"/>
        <v>0</v>
      </c>
      <c r="AN516" s="98">
        <f t="shared" si="3866"/>
        <v>0</v>
      </c>
      <c r="AO516" s="98">
        <f t="shared" si="3866"/>
        <v>0</v>
      </c>
      <c r="AP516" s="98">
        <f t="shared" si="3866"/>
        <v>0</v>
      </c>
      <c r="AQ516" s="98">
        <f t="shared" si="3866"/>
        <v>0</v>
      </c>
      <c r="AR516" s="98">
        <f t="shared" si="3866"/>
        <v>0</v>
      </c>
      <c r="AS516" s="98">
        <f t="shared" si="3866"/>
        <v>0</v>
      </c>
      <c r="AT516" s="98">
        <f t="shared" si="3866"/>
        <v>0</v>
      </c>
      <c r="AU516" s="98">
        <f t="shared" si="3866"/>
        <v>0</v>
      </c>
      <c r="AV516" s="98">
        <f t="shared" si="3866"/>
        <v>0</v>
      </c>
      <c r="AW516" s="198">
        <f t="shared" si="2606"/>
        <v>0</v>
      </c>
      <c r="AX516" s="198">
        <f t="shared" si="2607"/>
        <v>0</v>
      </c>
      <c r="AY516" s="98">
        <f t="shared" ref="AY516:BL516" si="3867">SUM(AY45,AY83,AY121,AY159,AY197,AY235,AY273,AY311,AY349,AY387,AY425,AY463)</f>
        <v>0</v>
      </c>
      <c r="AZ516" s="98">
        <f t="shared" si="3867"/>
        <v>0</v>
      </c>
      <c r="BA516" s="98">
        <f t="shared" si="3867"/>
        <v>0</v>
      </c>
      <c r="BB516" s="98">
        <f t="shared" si="3867"/>
        <v>0</v>
      </c>
      <c r="BC516" s="98">
        <f t="shared" si="3867"/>
        <v>0</v>
      </c>
      <c r="BD516" s="98">
        <f t="shared" si="3867"/>
        <v>0</v>
      </c>
      <c r="BE516" s="98">
        <f t="shared" si="3867"/>
        <v>0</v>
      </c>
      <c r="BF516" s="98">
        <f t="shared" si="3867"/>
        <v>0</v>
      </c>
      <c r="BG516" s="98">
        <f t="shared" si="3867"/>
        <v>0</v>
      </c>
      <c r="BH516" s="98">
        <f t="shared" si="3867"/>
        <v>0</v>
      </c>
      <c r="BI516" s="98">
        <f t="shared" si="3867"/>
        <v>0</v>
      </c>
      <c r="BJ516" s="98">
        <f t="shared" si="3867"/>
        <v>0</v>
      </c>
      <c r="BK516" s="98">
        <f t="shared" si="3867"/>
        <v>0</v>
      </c>
      <c r="BL516" s="98">
        <f t="shared" si="3867"/>
        <v>0</v>
      </c>
      <c r="BM516" s="198">
        <f t="shared" si="2609"/>
        <v>0</v>
      </c>
      <c r="BN516" s="198">
        <f t="shared" si="2610"/>
        <v>0</v>
      </c>
      <c r="BO516" s="98">
        <f t="shared" ref="BO516:CB516" si="3868">SUM(BO45,BO83,BO121,BO159,BO197,BO235,BO273,BO311,BO349,BO387,BO425,BO463)</f>
        <v>0</v>
      </c>
      <c r="BP516" s="98">
        <f t="shared" si="3868"/>
        <v>0</v>
      </c>
      <c r="BQ516" s="98">
        <f t="shared" si="3868"/>
        <v>0</v>
      </c>
      <c r="BR516" s="98">
        <f t="shared" si="3868"/>
        <v>0</v>
      </c>
      <c r="BS516" s="98">
        <f t="shared" si="3868"/>
        <v>0</v>
      </c>
      <c r="BT516" s="98">
        <f t="shared" si="3868"/>
        <v>0</v>
      </c>
      <c r="BU516" s="98">
        <f t="shared" si="3868"/>
        <v>0</v>
      </c>
      <c r="BV516" s="98">
        <f t="shared" si="3868"/>
        <v>0</v>
      </c>
      <c r="BW516" s="98">
        <f t="shared" si="3868"/>
        <v>0</v>
      </c>
      <c r="BX516" s="98">
        <f t="shared" si="3868"/>
        <v>0</v>
      </c>
      <c r="BY516" s="98">
        <f t="shared" si="3868"/>
        <v>0</v>
      </c>
      <c r="BZ516" s="98">
        <f t="shared" si="3868"/>
        <v>0</v>
      </c>
      <c r="CA516" s="98">
        <f t="shared" si="3868"/>
        <v>0</v>
      </c>
      <c r="CB516" s="98">
        <f t="shared" si="3868"/>
        <v>0</v>
      </c>
      <c r="CC516" s="198">
        <f t="shared" si="2612"/>
        <v>0</v>
      </c>
      <c r="CD516" s="198">
        <f t="shared" si="2613"/>
        <v>0</v>
      </c>
      <c r="CE516" s="98">
        <f t="shared" ref="CE516:CR516" si="3869">SUM(CE45,CE83,CE121,CE159,CE197,CE235,CE273,CE311,CE349,CE387,CE425,CE463)</f>
        <v>0</v>
      </c>
      <c r="CF516" s="98">
        <f t="shared" si="3869"/>
        <v>0</v>
      </c>
      <c r="CG516" s="98">
        <f t="shared" si="3869"/>
        <v>0</v>
      </c>
      <c r="CH516" s="98">
        <f t="shared" si="3869"/>
        <v>0</v>
      </c>
      <c r="CI516" s="98">
        <f t="shared" si="3869"/>
        <v>0</v>
      </c>
      <c r="CJ516" s="98">
        <f t="shared" si="3869"/>
        <v>0</v>
      </c>
      <c r="CK516" s="98">
        <f t="shared" si="3869"/>
        <v>0</v>
      </c>
      <c r="CL516" s="98">
        <f t="shared" si="3869"/>
        <v>0</v>
      </c>
      <c r="CM516" s="98">
        <f t="shared" si="3869"/>
        <v>0</v>
      </c>
      <c r="CN516" s="98">
        <f t="shared" si="3869"/>
        <v>0</v>
      </c>
      <c r="CO516" s="98">
        <f t="shared" si="3869"/>
        <v>0</v>
      </c>
      <c r="CP516" s="98">
        <f t="shared" si="3869"/>
        <v>0</v>
      </c>
      <c r="CQ516" s="98">
        <f t="shared" si="3869"/>
        <v>0</v>
      </c>
      <c r="CR516" s="98">
        <f t="shared" si="3869"/>
        <v>0</v>
      </c>
      <c r="CS516" s="198">
        <f t="shared" si="2615"/>
        <v>0</v>
      </c>
      <c r="CT516" s="198">
        <f t="shared" si="2616"/>
        <v>0</v>
      </c>
      <c r="CU516" s="98">
        <f t="shared" ref="CU516:DH516" si="3870">SUM(CU45,CU83,CU121,CU159,CU197,CU235,CU273,CU311,CU349,CU387,CU425,CU463)</f>
        <v>0</v>
      </c>
      <c r="CV516" s="98">
        <f t="shared" si="3870"/>
        <v>0</v>
      </c>
      <c r="CW516" s="98">
        <f t="shared" si="3870"/>
        <v>0</v>
      </c>
      <c r="CX516" s="98">
        <f t="shared" si="3870"/>
        <v>0</v>
      </c>
      <c r="CY516" s="98">
        <f t="shared" si="3870"/>
        <v>0</v>
      </c>
      <c r="CZ516" s="98">
        <f t="shared" si="3870"/>
        <v>0</v>
      </c>
      <c r="DA516" s="98">
        <f t="shared" si="3870"/>
        <v>0</v>
      </c>
      <c r="DB516" s="98">
        <f t="shared" si="3870"/>
        <v>0</v>
      </c>
      <c r="DC516" s="98">
        <f t="shared" si="3870"/>
        <v>0</v>
      </c>
      <c r="DD516" s="98">
        <f t="shared" si="3870"/>
        <v>0</v>
      </c>
      <c r="DE516" s="98">
        <f t="shared" si="3870"/>
        <v>0</v>
      </c>
      <c r="DF516" s="98">
        <f t="shared" si="3870"/>
        <v>0</v>
      </c>
      <c r="DG516" s="98">
        <f t="shared" si="3870"/>
        <v>0</v>
      </c>
      <c r="DH516" s="98">
        <f t="shared" si="3870"/>
        <v>0</v>
      </c>
      <c r="DI516" s="198">
        <f t="shared" si="2618"/>
        <v>0</v>
      </c>
      <c r="DJ516" s="198">
        <f t="shared" si="2619"/>
        <v>0</v>
      </c>
      <c r="DK516" s="98">
        <f t="shared" ref="DK516:DX516" si="3871">SUM(DK45,DK83,DK121,DK159,DK197,DK235,DK273,DK311,DK349,DK387,DK425,DK463)</f>
        <v>0</v>
      </c>
      <c r="DL516" s="98">
        <f t="shared" si="3871"/>
        <v>0</v>
      </c>
      <c r="DM516" s="98">
        <f t="shared" si="3871"/>
        <v>0</v>
      </c>
      <c r="DN516" s="98">
        <f t="shared" si="3871"/>
        <v>0</v>
      </c>
      <c r="DO516" s="98">
        <f t="shared" si="3871"/>
        <v>0</v>
      </c>
      <c r="DP516" s="98">
        <f t="shared" si="3871"/>
        <v>0</v>
      </c>
      <c r="DQ516" s="98">
        <f t="shared" si="3871"/>
        <v>0</v>
      </c>
      <c r="DR516" s="98">
        <f t="shared" si="3871"/>
        <v>0</v>
      </c>
      <c r="DS516" s="98">
        <f t="shared" si="3871"/>
        <v>0</v>
      </c>
      <c r="DT516" s="98">
        <f t="shared" si="3871"/>
        <v>0</v>
      </c>
      <c r="DU516" s="98">
        <f t="shared" si="3871"/>
        <v>0</v>
      </c>
      <c r="DV516" s="98">
        <f t="shared" si="3871"/>
        <v>0</v>
      </c>
      <c r="DW516" s="98">
        <f t="shared" si="3871"/>
        <v>0</v>
      </c>
      <c r="DX516" s="98">
        <f t="shared" si="3871"/>
        <v>0</v>
      </c>
      <c r="DY516" s="198">
        <f t="shared" si="2621"/>
        <v>0</v>
      </c>
      <c r="DZ516" s="198">
        <f t="shared" si="2622"/>
        <v>0</v>
      </c>
      <c r="EA516" s="98">
        <f t="shared" ref="EA516:EN516" si="3872">SUM(EA45,EA83,EA121,EA159,EA197,EA235,EA273,EA311,EA349,EA387,EA425,EA463)</f>
        <v>0</v>
      </c>
      <c r="EB516" s="98">
        <f t="shared" si="3872"/>
        <v>0</v>
      </c>
      <c r="EC516" s="98">
        <f t="shared" si="3872"/>
        <v>0</v>
      </c>
      <c r="ED516" s="98">
        <f t="shared" si="3872"/>
        <v>0</v>
      </c>
      <c r="EE516" s="98">
        <f t="shared" si="3872"/>
        <v>0</v>
      </c>
      <c r="EF516" s="98">
        <f t="shared" si="3872"/>
        <v>0</v>
      </c>
      <c r="EG516" s="98">
        <f t="shared" si="3872"/>
        <v>0</v>
      </c>
      <c r="EH516" s="98">
        <f t="shared" si="3872"/>
        <v>0</v>
      </c>
      <c r="EI516" s="98">
        <f t="shared" si="3872"/>
        <v>0</v>
      </c>
      <c r="EJ516" s="98">
        <f t="shared" si="3872"/>
        <v>0</v>
      </c>
      <c r="EK516" s="98">
        <f t="shared" si="3872"/>
        <v>0</v>
      </c>
      <c r="EL516" s="98">
        <f t="shared" si="3872"/>
        <v>0</v>
      </c>
      <c r="EM516" s="98">
        <f t="shared" si="3872"/>
        <v>0</v>
      </c>
      <c r="EN516" s="98">
        <f t="shared" si="3872"/>
        <v>0</v>
      </c>
      <c r="EO516" s="198">
        <f t="shared" si="2624"/>
        <v>0</v>
      </c>
      <c r="EP516" s="198">
        <f t="shared" si="2625"/>
        <v>0</v>
      </c>
      <c r="EQ516" s="98">
        <f t="shared" ref="EQ516:FD516" si="3873">SUM(EQ45,EQ83,EQ121,EQ159,EQ197,EQ235,EQ273,EQ311,EQ349,EQ387,EQ425,EQ463)</f>
        <v>0</v>
      </c>
      <c r="ER516" s="98">
        <f t="shared" si="3873"/>
        <v>0</v>
      </c>
      <c r="ES516" s="98">
        <f t="shared" si="3873"/>
        <v>0</v>
      </c>
      <c r="ET516" s="98">
        <f t="shared" si="3873"/>
        <v>0</v>
      </c>
      <c r="EU516" s="98">
        <f t="shared" si="3873"/>
        <v>0</v>
      </c>
      <c r="EV516" s="98">
        <f t="shared" si="3873"/>
        <v>0</v>
      </c>
      <c r="EW516" s="98">
        <f t="shared" si="3873"/>
        <v>0</v>
      </c>
      <c r="EX516" s="98">
        <f t="shared" si="3873"/>
        <v>0</v>
      </c>
      <c r="EY516" s="98">
        <f t="shared" si="3873"/>
        <v>0</v>
      </c>
      <c r="EZ516" s="98">
        <f t="shared" si="3873"/>
        <v>0</v>
      </c>
      <c r="FA516" s="98">
        <f t="shared" si="3873"/>
        <v>0</v>
      </c>
      <c r="FB516" s="98">
        <f t="shared" si="3873"/>
        <v>0</v>
      </c>
      <c r="FC516" s="98">
        <f t="shared" si="3873"/>
        <v>0</v>
      </c>
      <c r="FD516" s="98">
        <f t="shared" si="3873"/>
        <v>0</v>
      </c>
      <c r="FE516" s="198">
        <f t="shared" si="2627"/>
        <v>0</v>
      </c>
      <c r="FF516" s="198">
        <f t="shared" si="2628"/>
        <v>0</v>
      </c>
      <c r="FG516" s="98">
        <f t="shared" ref="FG516:FT516" si="3874">SUM(FG45,FG83,FG121,FG159,FG197,FG235,FG273,FG311,FG349,FG387,FG425,FG463)</f>
        <v>0</v>
      </c>
      <c r="FH516" s="98">
        <f t="shared" si="3874"/>
        <v>0</v>
      </c>
      <c r="FI516" s="98">
        <f t="shared" si="3874"/>
        <v>0</v>
      </c>
      <c r="FJ516" s="98">
        <f t="shared" si="3874"/>
        <v>0</v>
      </c>
      <c r="FK516" s="98">
        <f t="shared" si="3874"/>
        <v>0</v>
      </c>
      <c r="FL516" s="98">
        <f t="shared" si="3874"/>
        <v>0</v>
      </c>
      <c r="FM516" s="98">
        <f t="shared" si="3874"/>
        <v>0</v>
      </c>
      <c r="FN516" s="98">
        <f t="shared" si="3874"/>
        <v>0</v>
      </c>
      <c r="FO516" s="98">
        <f t="shared" si="3874"/>
        <v>0</v>
      </c>
      <c r="FP516" s="98">
        <f t="shared" si="3874"/>
        <v>0</v>
      </c>
      <c r="FQ516" s="98">
        <f t="shared" si="3874"/>
        <v>0</v>
      </c>
      <c r="FR516" s="98">
        <f t="shared" si="3874"/>
        <v>0</v>
      </c>
      <c r="FS516" s="98">
        <f t="shared" si="3874"/>
        <v>0</v>
      </c>
      <c r="FT516" s="98">
        <f t="shared" si="3874"/>
        <v>0</v>
      </c>
      <c r="FU516" s="198">
        <f t="shared" si="2630"/>
        <v>0</v>
      </c>
      <c r="FV516" s="198">
        <f t="shared" si="2631"/>
        <v>0</v>
      </c>
      <c r="FW516" s="98">
        <f t="shared" ref="FW516:GJ516" si="3875">SUM(FW45,FW83,FW121,FW159,FW197,FW235,FW273,FW311,FW349,FW387,FW425,FW463)</f>
        <v>0</v>
      </c>
      <c r="FX516" s="98">
        <f t="shared" si="3875"/>
        <v>0</v>
      </c>
      <c r="FY516" s="98">
        <f t="shared" si="3875"/>
        <v>0</v>
      </c>
      <c r="FZ516" s="98">
        <f t="shared" si="3875"/>
        <v>0</v>
      </c>
      <c r="GA516" s="98">
        <f t="shared" si="3875"/>
        <v>0</v>
      </c>
      <c r="GB516" s="98">
        <f t="shared" si="3875"/>
        <v>0</v>
      </c>
      <c r="GC516" s="98">
        <f t="shared" si="3875"/>
        <v>0</v>
      </c>
      <c r="GD516" s="98">
        <f t="shared" si="3875"/>
        <v>0</v>
      </c>
      <c r="GE516" s="98">
        <f t="shared" si="3875"/>
        <v>0</v>
      </c>
      <c r="GF516" s="98">
        <f t="shared" si="3875"/>
        <v>0</v>
      </c>
      <c r="GG516" s="98">
        <f t="shared" si="3875"/>
        <v>0</v>
      </c>
      <c r="GH516" s="98">
        <f t="shared" si="3875"/>
        <v>0</v>
      </c>
      <c r="GI516" s="98">
        <f t="shared" si="3875"/>
        <v>0</v>
      </c>
      <c r="GJ516" s="98">
        <f t="shared" si="3875"/>
        <v>0</v>
      </c>
      <c r="GK516" s="198">
        <f t="shared" si="2633"/>
        <v>0</v>
      </c>
      <c r="GL516" s="198">
        <f t="shared" si="2634"/>
        <v>0</v>
      </c>
      <c r="GM516" s="98">
        <f t="shared" ref="GM516:GZ516" si="3876">SUM(GM45,GM83,GM121,GM159,GM197,GM235,GM273,GM311,GM349,GM387,GM425,GM463)</f>
        <v>0</v>
      </c>
      <c r="GN516" s="98">
        <f t="shared" si="3876"/>
        <v>0</v>
      </c>
      <c r="GO516" s="98">
        <f t="shared" si="3876"/>
        <v>0</v>
      </c>
      <c r="GP516" s="98">
        <f t="shared" si="3876"/>
        <v>0</v>
      </c>
      <c r="GQ516" s="98">
        <f t="shared" si="3876"/>
        <v>0</v>
      </c>
      <c r="GR516" s="98">
        <f t="shared" si="3876"/>
        <v>0</v>
      </c>
      <c r="GS516" s="98">
        <f t="shared" si="3876"/>
        <v>0</v>
      </c>
      <c r="GT516" s="98">
        <f t="shared" si="3876"/>
        <v>0</v>
      </c>
      <c r="GU516" s="98">
        <f t="shared" si="3876"/>
        <v>0</v>
      </c>
      <c r="GV516" s="98">
        <f t="shared" si="3876"/>
        <v>0</v>
      </c>
      <c r="GW516" s="98">
        <f t="shared" si="3876"/>
        <v>0</v>
      </c>
      <c r="GX516" s="98">
        <f t="shared" si="3876"/>
        <v>0</v>
      </c>
      <c r="GY516" s="98">
        <f t="shared" si="3876"/>
        <v>0</v>
      </c>
      <c r="GZ516" s="98">
        <f t="shared" si="3876"/>
        <v>0</v>
      </c>
      <c r="HA516" s="198">
        <f t="shared" si="2636"/>
        <v>0</v>
      </c>
      <c r="HB516" s="198">
        <f t="shared" si="2637"/>
        <v>0</v>
      </c>
      <c r="HC516" s="98">
        <f t="shared" ref="HC516:HP516" si="3877">SUM(HC45,HC83,HC121,HC159,HC197,HC235,HC273,HC311,HC349,HC387,HC425,HC463)</f>
        <v>0</v>
      </c>
      <c r="HD516" s="98">
        <f t="shared" si="3877"/>
        <v>0</v>
      </c>
      <c r="HE516" s="98">
        <f t="shared" si="3877"/>
        <v>0</v>
      </c>
      <c r="HF516" s="98">
        <f t="shared" si="3877"/>
        <v>0</v>
      </c>
      <c r="HG516" s="98">
        <f t="shared" si="3877"/>
        <v>0</v>
      </c>
      <c r="HH516" s="98">
        <f t="shared" si="3877"/>
        <v>0</v>
      </c>
      <c r="HI516" s="98">
        <f t="shared" si="3877"/>
        <v>0</v>
      </c>
      <c r="HJ516" s="98">
        <f t="shared" si="3877"/>
        <v>0</v>
      </c>
      <c r="HK516" s="98">
        <f t="shared" si="3877"/>
        <v>0</v>
      </c>
      <c r="HL516" s="98">
        <f t="shared" si="3877"/>
        <v>0</v>
      </c>
      <c r="HM516" s="98">
        <f t="shared" si="3877"/>
        <v>0</v>
      </c>
      <c r="HN516" s="98">
        <f t="shared" si="3877"/>
        <v>0</v>
      </c>
      <c r="HO516" s="98">
        <f t="shared" si="3877"/>
        <v>0</v>
      </c>
      <c r="HP516" s="98">
        <f t="shared" si="3877"/>
        <v>0</v>
      </c>
      <c r="HQ516" s="198">
        <f t="shared" si="2639"/>
        <v>0</v>
      </c>
      <c r="HR516" s="198">
        <f t="shared" si="2640"/>
        <v>0</v>
      </c>
      <c r="HS516" s="98">
        <f t="shared" ref="HS516:IF516" si="3878">SUM(HS45,HS83,HS121,HS159,HS197,HS235,HS273,HS311,HS349,HS387,HS425,HS463)</f>
        <v>0</v>
      </c>
      <c r="HT516" s="98">
        <f t="shared" si="3878"/>
        <v>0</v>
      </c>
      <c r="HU516" s="98">
        <f t="shared" si="3878"/>
        <v>0</v>
      </c>
      <c r="HV516" s="98">
        <f t="shared" si="3878"/>
        <v>0</v>
      </c>
      <c r="HW516" s="98">
        <f t="shared" si="3878"/>
        <v>0</v>
      </c>
      <c r="HX516" s="98">
        <f t="shared" si="3878"/>
        <v>0</v>
      </c>
      <c r="HY516" s="98">
        <f t="shared" si="3878"/>
        <v>0</v>
      </c>
      <c r="HZ516" s="98">
        <f t="shared" si="3878"/>
        <v>0</v>
      </c>
      <c r="IA516" s="98">
        <f t="shared" si="3878"/>
        <v>0</v>
      </c>
      <c r="IB516" s="98">
        <f t="shared" si="3878"/>
        <v>0</v>
      </c>
      <c r="IC516" s="98">
        <f t="shared" si="3878"/>
        <v>0</v>
      </c>
      <c r="ID516" s="98">
        <f t="shared" si="3878"/>
        <v>0</v>
      </c>
      <c r="IE516" s="98">
        <f t="shared" si="3878"/>
        <v>0</v>
      </c>
      <c r="IF516" s="98">
        <f t="shared" si="3878"/>
        <v>0</v>
      </c>
      <c r="IG516" s="198">
        <f t="shared" si="2642"/>
        <v>0</v>
      </c>
      <c r="IH516" s="198">
        <f t="shared" si="2643"/>
        <v>0</v>
      </c>
      <c r="II516" s="98">
        <f t="shared" ref="II516:IV516" si="3879">SUM(II45,II83,II121,II159,II197,II235,II273,II311,II349,II387,II425,II463)</f>
        <v>0</v>
      </c>
      <c r="IJ516" s="98">
        <f t="shared" si="3879"/>
        <v>0</v>
      </c>
      <c r="IK516" s="98">
        <f t="shared" si="3879"/>
        <v>0</v>
      </c>
      <c r="IL516" s="98">
        <f t="shared" si="3879"/>
        <v>0</v>
      </c>
      <c r="IM516" s="98">
        <f t="shared" si="3879"/>
        <v>0</v>
      </c>
      <c r="IN516" s="98">
        <f t="shared" si="3879"/>
        <v>0</v>
      </c>
      <c r="IO516" s="98">
        <f t="shared" si="3879"/>
        <v>0</v>
      </c>
      <c r="IP516" s="98">
        <f t="shared" si="3879"/>
        <v>0</v>
      </c>
      <c r="IQ516" s="98">
        <f t="shared" si="3879"/>
        <v>0</v>
      </c>
      <c r="IR516" s="98">
        <f t="shared" si="3879"/>
        <v>0</v>
      </c>
      <c r="IS516" s="98">
        <f t="shared" si="3879"/>
        <v>0</v>
      </c>
      <c r="IT516" s="98">
        <f t="shared" si="3879"/>
        <v>0</v>
      </c>
      <c r="IU516" s="98">
        <f t="shared" si="3879"/>
        <v>0</v>
      </c>
      <c r="IV516" s="98">
        <f t="shared" si="3879"/>
        <v>0</v>
      </c>
      <c r="IW516" s="198">
        <f t="shared" si="2645"/>
        <v>0</v>
      </c>
      <c r="IX516" s="198">
        <f t="shared" si="2646"/>
        <v>0</v>
      </c>
      <c r="IY516" s="98">
        <f t="shared" ref="IY516:JL516" si="3880">SUM(IY45,IY83,IY121,IY159,IY197,IY235,IY273,IY311,IY349,IY387,IY425,IY463)</f>
        <v>0</v>
      </c>
      <c r="IZ516" s="98">
        <f t="shared" si="3880"/>
        <v>0</v>
      </c>
      <c r="JA516" s="98">
        <f t="shared" si="3880"/>
        <v>0</v>
      </c>
      <c r="JB516" s="98">
        <f t="shared" si="3880"/>
        <v>0</v>
      </c>
      <c r="JC516" s="98">
        <f t="shared" si="3880"/>
        <v>0</v>
      </c>
      <c r="JD516" s="98">
        <f t="shared" si="3880"/>
        <v>0</v>
      </c>
      <c r="JE516" s="98">
        <f t="shared" si="3880"/>
        <v>0</v>
      </c>
      <c r="JF516" s="98">
        <f t="shared" si="3880"/>
        <v>0</v>
      </c>
      <c r="JG516" s="98">
        <f t="shared" si="3880"/>
        <v>0</v>
      </c>
      <c r="JH516" s="98">
        <f t="shared" si="3880"/>
        <v>0</v>
      </c>
      <c r="JI516" s="98">
        <f t="shared" si="3880"/>
        <v>0</v>
      </c>
      <c r="JJ516" s="98">
        <f t="shared" si="3880"/>
        <v>0</v>
      </c>
      <c r="JK516" s="98">
        <f t="shared" si="3880"/>
        <v>0</v>
      </c>
      <c r="JL516" s="98">
        <f t="shared" si="3880"/>
        <v>0</v>
      </c>
      <c r="JM516" s="198">
        <f t="shared" si="2648"/>
        <v>0</v>
      </c>
      <c r="JN516" s="198">
        <f t="shared" si="2649"/>
        <v>0</v>
      </c>
      <c r="JO516" s="98">
        <f t="shared" ref="JO516:KB516" si="3881">SUM(JO45,JO83,JO121,JO159,JO197,JO235,JO273,JO311,JO349,JO387,JO425,JO463)</f>
        <v>0</v>
      </c>
      <c r="JP516" s="98">
        <f t="shared" si="3881"/>
        <v>0</v>
      </c>
      <c r="JQ516" s="98">
        <f t="shared" si="3881"/>
        <v>0</v>
      </c>
      <c r="JR516" s="98">
        <f t="shared" si="3881"/>
        <v>0</v>
      </c>
      <c r="JS516" s="98">
        <f t="shared" si="3881"/>
        <v>0</v>
      </c>
      <c r="JT516" s="98">
        <f t="shared" si="3881"/>
        <v>0</v>
      </c>
      <c r="JU516" s="98">
        <f t="shared" si="3881"/>
        <v>0</v>
      </c>
      <c r="JV516" s="98">
        <f t="shared" si="3881"/>
        <v>0</v>
      </c>
      <c r="JW516" s="98">
        <f t="shared" si="3881"/>
        <v>0</v>
      </c>
      <c r="JX516" s="98">
        <f t="shared" si="3881"/>
        <v>0</v>
      </c>
      <c r="JY516" s="98">
        <f t="shared" si="3881"/>
        <v>0</v>
      </c>
      <c r="JZ516" s="98">
        <f t="shared" si="3881"/>
        <v>0</v>
      </c>
      <c r="KA516" s="98">
        <f t="shared" si="3881"/>
        <v>0</v>
      </c>
      <c r="KB516" s="98">
        <f t="shared" si="3881"/>
        <v>0</v>
      </c>
      <c r="KC516" s="198">
        <f t="shared" si="2651"/>
        <v>0</v>
      </c>
      <c r="KD516" s="198">
        <f t="shared" si="2652"/>
        <v>0</v>
      </c>
      <c r="KE516" s="98">
        <f t="shared" ref="KE516:KR516" si="3882">SUM(KE45,KE83,KE121,KE159,KE197,KE235,KE273,KE311,KE349,KE387,KE425,KE463)</f>
        <v>0</v>
      </c>
      <c r="KF516" s="98">
        <f t="shared" si="3882"/>
        <v>0</v>
      </c>
      <c r="KG516" s="98">
        <f t="shared" si="3882"/>
        <v>0</v>
      </c>
      <c r="KH516" s="98">
        <f t="shared" si="3882"/>
        <v>0</v>
      </c>
      <c r="KI516" s="98">
        <f t="shared" si="3882"/>
        <v>0</v>
      </c>
      <c r="KJ516" s="98">
        <f t="shared" si="3882"/>
        <v>0</v>
      </c>
      <c r="KK516" s="98">
        <f t="shared" si="3882"/>
        <v>0</v>
      </c>
      <c r="KL516" s="98">
        <f t="shared" si="3882"/>
        <v>0</v>
      </c>
      <c r="KM516" s="98">
        <f t="shared" si="3882"/>
        <v>0</v>
      </c>
      <c r="KN516" s="98">
        <f t="shared" si="3882"/>
        <v>0</v>
      </c>
      <c r="KO516" s="98">
        <f t="shared" si="3882"/>
        <v>0</v>
      </c>
      <c r="KP516" s="98">
        <f t="shared" si="3882"/>
        <v>0</v>
      </c>
      <c r="KQ516" s="98">
        <f t="shared" si="3882"/>
        <v>0</v>
      </c>
      <c r="KR516" s="98">
        <f t="shared" si="3882"/>
        <v>0</v>
      </c>
      <c r="KS516" s="198">
        <f t="shared" si="2654"/>
        <v>0</v>
      </c>
      <c r="KT516" s="198">
        <f t="shared" si="2655"/>
        <v>0</v>
      </c>
      <c r="KU516" s="98">
        <f t="shared" ref="KU516:LH516" si="3883">SUM(KU45,KU83,KU121,KU159,KU197,KU235,KU273,KU311,KU349,KU387,KU425,KU463)</f>
        <v>0</v>
      </c>
      <c r="KV516" s="98">
        <f t="shared" si="3883"/>
        <v>0</v>
      </c>
      <c r="KW516" s="98">
        <f t="shared" si="3883"/>
        <v>0</v>
      </c>
      <c r="KX516" s="98">
        <f t="shared" si="3883"/>
        <v>0</v>
      </c>
      <c r="KY516" s="98">
        <f t="shared" si="3883"/>
        <v>0</v>
      </c>
      <c r="KZ516" s="98">
        <f t="shared" si="3883"/>
        <v>0</v>
      </c>
      <c r="LA516" s="98">
        <f t="shared" si="3883"/>
        <v>0</v>
      </c>
      <c r="LB516" s="98">
        <f t="shared" si="3883"/>
        <v>0</v>
      </c>
      <c r="LC516" s="98">
        <f t="shared" si="3883"/>
        <v>0</v>
      </c>
      <c r="LD516" s="98">
        <f t="shared" si="3883"/>
        <v>0</v>
      </c>
      <c r="LE516" s="98">
        <f t="shared" si="3883"/>
        <v>0</v>
      </c>
      <c r="LF516" s="98">
        <f t="shared" si="3883"/>
        <v>0</v>
      </c>
      <c r="LG516" s="98">
        <f t="shared" si="3883"/>
        <v>0</v>
      </c>
      <c r="LH516" s="98">
        <f t="shared" si="3883"/>
        <v>0</v>
      </c>
      <c r="LI516" s="198">
        <f t="shared" si="2657"/>
        <v>0</v>
      </c>
      <c r="LJ516" s="198">
        <f t="shared" si="2658"/>
        <v>0</v>
      </c>
      <c r="LK516" s="98">
        <f t="shared" ref="LK516:LX516" si="3884">SUM(LK45,LK83,LK121,LK159,LK197,LK235,LK273,LK311,LK349,LK387,LK425,LK463)</f>
        <v>0</v>
      </c>
      <c r="LL516" s="98">
        <f t="shared" si="3884"/>
        <v>0</v>
      </c>
      <c r="LM516" s="98">
        <f t="shared" si="3884"/>
        <v>0</v>
      </c>
      <c r="LN516" s="98">
        <f t="shared" si="3884"/>
        <v>0</v>
      </c>
      <c r="LO516" s="98">
        <f t="shared" si="3884"/>
        <v>0</v>
      </c>
      <c r="LP516" s="98">
        <f t="shared" si="3884"/>
        <v>0</v>
      </c>
      <c r="LQ516" s="98">
        <f t="shared" si="3884"/>
        <v>0</v>
      </c>
      <c r="LR516" s="98">
        <f t="shared" si="3884"/>
        <v>0</v>
      </c>
      <c r="LS516" s="98">
        <f t="shared" si="3884"/>
        <v>0</v>
      </c>
      <c r="LT516" s="98">
        <f t="shared" si="3884"/>
        <v>0</v>
      </c>
      <c r="LU516" s="98">
        <f t="shared" si="3884"/>
        <v>0</v>
      </c>
      <c r="LV516" s="98">
        <f t="shared" si="3884"/>
        <v>0</v>
      </c>
      <c r="LW516" s="98">
        <f t="shared" si="3884"/>
        <v>0</v>
      </c>
      <c r="LX516" s="98">
        <f t="shared" si="3884"/>
        <v>0</v>
      </c>
      <c r="LY516" s="198">
        <f t="shared" si="2660"/>
        <v>0</v>
      </c>
      <c r="LZ516" s="198">
        <f t="shared" si="2661"/>
        <v>0</v>
      </c>
      <c r="MA516" s="98">
        <f t="shared" ref="MA516:MN516" si="3885">SUM(MA45,MA83,MA121,MA159,MA197,MA235,MA273,MA311,MA349,MA387,MA425,MA463)</f>
        <v>0</v>
      </c>
      <c r="MB516" s="98">
        <f t="shared" si="3885"/>
        <v>0</v>
      </c>
      <c r="MC516" s="98">
        <f t="shared" si="3885"/>
        <v>0</v>
      </c>
      <c r="MD516" s="98">
        <f t="shared" si="3885"/>
        <v>0</v>
      </c>
      <c r="ME516" s="98">
        <f t="shared" si="3885"/>
        <v>0</v>
      </c>
      <c r="MF516" s="98">
        <f t="shared" si="3885"/>
        <v>0</v>
      </c>
      <c r="MG516" s="98">
        <f t="shared" si="3885"/>
        <v>0</v>
      </c>
      <c r="MH516" s="98">
        <f t="shared" si="3885"/>
        <v>0</v>
      </c>
      <c r="MI516" s="98">
        <f t="shared" si="3885"/>
        <v>0</v>
      </c>
      <c r="MJ516" s="98">
        <f t="shared" si="3885"/>
        <v>0</v>
      </c>
      <c r="MK516" s="98">
        <f t="shared" si="3885"/>
        <v>0</v>
      </c>
      <c r="ML516" s="98">
        <f t="shared" si="3885"/>
        <v>0</v>
      </c>
      <c r="MM516" s="98">
        <f t="shared" si="3885"/>
        <v>0</v>
      </c>
      <c r="MN516" s="98">
        <f t="shared" si="3885"/>
        <v>0</v>
      </c>
      <c r="MO516" s="198">
        <f t="shared" si="2663"/>
        <v>0</v>
      </c>
      <c r="MP516" s="198">
        <f t="shared" si="2664"/>
        <v>0</v>
      </c>
      <c r="MQ516" s="98">
        <f t="shared" ref="MQ516:ND516" si="3886">SUM(MQ45,MQ83,MQ121,MQ159,MQ197,MQ235,MQ273,MQ311,MQ349,MQ387,MQ425,MQ463)</f>
        <v>0</v>
      </c>
      <c r="MR516" s="98">
        <f t="shared" si="3886"/>
        <v>0</v>
      </c>
      <c r="MS516" s="98">
        <f t="shared" si="3886"/>
        <v>0</v>
      </c>
      <c r="MT516" s="98">
        <f t="shared" si="3886"/>
        <v>0</v>
      </c>
      <c r="MU516" s="98">
        <f t="shared" si="3886"/>
        <v>0</v>
      </c>
      <c r="MV516" s="98">
        <f t="shared" si="3886"/>
        <v>0</v>
      </c>
      <c r="MW516" s="98">
        <f t="shared" si="3886"/>
        <v>0</v>
      </c>
      <c r="MX516" s="98">
        <f t="shared" si="3886"/>
        <v>0</v>
      </c>
      <c r="MY516" s="98">
        <f t="shared" si="3886"/>
        <v>0</v>
      </c>
      <c r="MZ516" s="98">
        <f t="shared" si="3886"/>
        <v>0</v>
      </c>
      <c r="NA516" s="98">
        <f t="shared" si="3886"/>
        <v>0</v>
      </c>
      <c r="NB516" s="98">
        <f t="shared" si="3886"/>
        <v>0</v>
      </c>
      <c r="NC516" s="98">
        <f t="shared" si="3886"/>
        <v>0</v>
      </c>
      <c r="ND516" s="98">
        <f t="shared" si="3886"/>
        <v>0</v>
      </c>
      <c r="NE516" s="198">
        <f t="shared" si="2666"/>
        <v>0</v>
      </c>
      <c r="NF516" s="198">
        <f t="shared" si="2667"/>
        <v>0</v>
      </c>
      <c r="NG516" s="98">
        <f t="shared" ref="NG516:NT516" si="3887">SUM(NG45,NG83,NG121,NG159,NG197,NG235,NG273,NG311,NG349,NG387,NG425,NG463)</f>
        <v>0</v>
      </c>
      <c r="NH516" s="98">
        <f t="shared" si="3887"/>
        <v>0</v>
      </c>
      <c r="NI516" s="98">
        <f t="shared" si="3887"/>
        <v>0</v>
      </c>
      <c r="NJ516" s="98">
        <f t="shared" si="3887"/>
        <v>0</v>
      </c>
      <c r="NK516" s="98">
        <f t="shared" si="3887"/>
        <v>0</v>
      </c>
      <c r="NL516" s="98">
        <f t="shared" si="3887"/>
        <v>0</v>
      </c>
      <c r="NM516" s="98">
        <f t="shared" si="3887"/>
        <v>0</v>
      </c>
      <c r="NN516" s="98">
        <f t="shared" si="3887"/>
        <v>0</v>
      </c>
      <c r="NO516" s="98">
        <f t="shared" si="3887"/>
        <v>0</v>
      </c>
      <c r="NP516" s="98">
        <f t="shared" si="3887"/>
        <v>0</v>
      </c>
      <c r="NQ516" s="98">
        <f t="shared" si="3887"/>
        <v>0</v>
      </c>
      <c r="NR516" s="98">
        <f t="shared" si="3887"/>
        <v>0</v>
      </c>
      <c r="NS516" s="98">
        <f t="shared" si="3887"/>
        <v>0</v>
      </c>
      <c r="NT516" s="98">
        <f t="shared" si="3887"/>
        <v>0</v>
      </c>
      <c r="NU516" s="198">
        <f t="shared" si="2669"/>
        <v>0</v>
      </c>
      <c r="NV516" s="198">
        <f t="shared" si="2670"/>
        <v>0</v>
      </c>
      <c r="NW516" s="98">
        <f t="shared" ref="NW516:OJ516" si="3888">SUM(NW45,NW83,NW121,NW159,NW197,NW235,NW273,NW311,NW349,NW387,NW425,NW463)</f>
        <v>0</v>
      </c>
      <c r="NX516" s="98">
        <f t="shared" si="3888"/>
        <v>0</v>
      </c>
      <c r="NY516" s="98">
        <f t="shared" si="3888"/>
        <v>0</v>
      </c>
      <c r="NZ516" s="98">
        <f t="shared" si="3888"/>
        <v>0</v>
      </c>
      <c r="OA516" s="98">
        <f t="shared" si="3888"/>
        <v>0</v>
      </c>
      <c r="OB516" s="98">
        <f t="shared" si="3888"/>
        <v>0</v>
      </c>
      <c r="OC516" s="98">
        <f t="shared" si="3888"/>
        <v>0</v>
      </c>
      <c r="OD516" s="98">
        <f t="shared" si="3888"/>
        <v>0</v>
      </c>
      <c r="OE516" s="98">
        <f t="shared" si="3888"/>
        <v>0</v>
      </c>
      <c r="OF516" s="98">
        <f t="shared" si="3888"/>
        <v>0</v>
      </c>
      <c r="OG516" s="98">
        <f t="shared" si="3888"/>
        <v>0</v>
      </c>
      <c r="OH516" s="98">
        <f t="shared" si="3888"/>
        <v>0</v>
      </c>
      <c r="OI516" s="98">
        <f t="shared" si="3888"/>
        <v>0</v>
      </c>
      <c r="OJ516" s="98">
        <f t="shared" si="3888"/>
        <v>0</v>
      </c>
      <c r="OK516" s="198">
        <f t="shared" si="2672"/>
        <v>0</v>
      </c>
      <c r="OL516" s="198">
        <f t="shared" si="2673"/>
        <v>0</v>
      </c>
      <c r="OM516" s="98">
        <f t="shared" ref="OM516:OZ516" si="3889">SUM(OM45,OM83,OM121,OM159,OM197,OM235,OM273,OM311,OM349,OM387,OM425,OM463)</f>
        <v>0</v>
      </c>
      <c r="ON516" s="98">
        <f t="shared" si="3889"/>
        <v>0</v>
      </c>
      <c r="OO516" s="98">
        <f t="shared" si="3889"/>
        <v>0</v>
      </c>
      <c r="OP516" s="98">
        <f t="shared" si="3889"/>
        <v>0</v>
      </c>
      <c r="OQ516" s="98">
        <f t="shared" si="3889"/>
        <v>0</v>
      </c>
      <c r="OR516" s="98">
        <f t="shared" si="3889"/>
        <v>0</v>
      </c>
      <c r="OS516" s="98">
        <f t="shared" si="3889"/>
        <v>0</v>
      </c>
      <c r="OT516" s="98">
        <f t="shared" si="3889"/>
        <v>0</v>
      </c>
      <c r="OU516" s="98">
        <f t="shared" si="3889"/>
        <v>0</v>
      </c>
      <c r="OV516" s="98">
        <f t="shared" si="3889"/>
        <v>0</v>
      </c>
      <c r="OW516" s="98">
        <f t="shared" si="3889"/>
        <v>0</v>
      </c>
      <c r="OX516" s="98">
        <f t="shared" si="3889"/>
        <v>0</v>
      </c>
      <c r="OY516" s="98">
        <f t="shared" si="3889"/>
        <v>0</v>
      </c>
      <c r="OZ516" s="98">
        <f t="shared" si="3889"/>
        <v>0</v>
      </c>
      <c r="PA516" s="198">
        <f t="shared" si="2675"/>
        <v>0</v>
      </c>
      <c r="PB516" s="198">
        <f t="shared" si="2676"/>
        <v>0</v>
      </c>
      <c r="PC516" s="98">
        <f t="shared" ref="PC516:PP516" si="3890">SUM(PC45,PC83,PC121,PC159,PC197,PC235,PC273,PC311,PC349,PC387,PC425,PC463)</f>
        <v>0</v>
      </c>
      <c r="PD516" s="98">
        <f t="shared" si="3890"/>
        <v>0</v>
      </c>
      <c r="PE516" s="98">
        <f t="shared" si="3890"/>
        <v>0</v>
      </c>
      <c r="PF516" s="98">
        <f t="shared" si="3890"/>
        <v>0</v>
      </c>
      <c r="PG516" s="98">
        <f t="shared" si="3890"/>
        <v>0</v>
      </c>
      <c r="PH516" s="98">
        <f t="shared" si="3890"/>
        <v>0</v>
      </c>
      <c r="PI516" s="98">
        <f t="shared" si="3890"/>
        <v>0</v>
      </c>
      <c r="PJ516" s="98">
        <f t="shared" si="3890"/>
        <v>0</v>
      </c>
      <c r="PK516" s="98">
        <f t="shared" si="3890"/>
        <v>0</v>
      </c>
      <c r="PL516" s="98">
        <f t="shared" si="3890"/>
        <v>0</v>
      </c>
      <c r="PM516" s="98">
        <f t="shared" si="3890"/>
        <v>0</v>
      </c>
      <c r="PN516" s="98">
        <f t="shared" si="3890"/>
        <v>0</v>
      </c>
      <c r="PO516" s="98">
        <f t="shared" si="3890"/>
        <v>0</v>
      </c>
      <c r="PP516" s="98">
        <f t="shared" si="3890"/>
        <v>0</v>
      </c>
      <c r="PQ516" s="198">
        <f t="shared" si="2678"/>
        <v>0</v>
      </c>
      <c r="PR516" s="198">
        <f t="shared" si="2679"/>
        <v>0</v>
      </c>
      <c r="PS516" s="98">
        <f t="shared" ref="PS516:QF516" si="3891">SUM(PS45,PS83,PS121,PS159,PS197,PS235,PS273,PS311,PS349,PS387,PS425,PS463)</f>
        <v>0</v>
      </c>
      <c r="PT516" s="98">
        <f t="shared" si="3891"/>
        <v>0</v>
      </c>
      <c r="PU516" s="98">
        <f t="shared" si="3891"/>
        <v>0</v>
      </c>
      <c r="PV516" s="98">
        <f t="shared" si="3891"/>
        <v>0</v>
      </c>
      <c r="PW516" s="98">
        <f t="shared" si="3891"/>
        <v>0</v>
      </c>
      <c r="PX516" s="98">
        <f t="shared" si="3891"/>
        <v>0</v>
      </c>
      <c r="PY516" s="98">
        <f t="shared" si="3891"/>
        <v>0</v>
      </c>
      <c r="PZ516" s="98">
        <f t="shared" si="3891"/>
        <v>0</v>
      </c>
      <c r="QA516" s="98">
        <f t="shared" si="3891"/>
        <v>0</v>
      </c>
      <c r="QB516" s="98">
        <f t="shared" si="3891"/>
        <v>0</v>
      </c>
      <c r="QC516" s="98">
        <f t="shared" si="3891"/>
        <v>0</v>
      </c>
      <c r="QD516" s="98">
        <f t="shared" si="3891"/>
        <v>0</v>
      </c>
      <c r="QE516" s="98">
        <f t="shared" si="3891"/>
        <v>0</v>
      </c>
      <c r="QF516" s="98">
        <f t="shared" si="3891"/>
        <v>0</v>
      </c>
      <c r="QG516" s="198">
        <f t="shared" si="2681"/>
        <v>0</v>
      </c>
      <c r="QH516" s="198">
        <f t="shared" si="2682"/>
        <v>0</v>
      </c>
      <c r="QI516" s="98">
        <f t="shared" ref="QI516:QV516" si="3892">SUM(QI45,QI83,QI121,QI159,QI197,QI235,QI273,QI311,QI349,QI387,QI425,QI463)</f>
        <v>0</v>
      </c>
      <c r="QJ516" s="98">
        <f t="shared" si="3892"/>
        <v>0</v>
      </c>
      <c r="QK516" s="98">
        <f t="shared" si="3892"/>
        <v>0</v>
      </c>
      <c r="QL516" s="98">
        <f t="shared" si="3892"/>
        <v>0</v>
      </c>
      <c r="QM516" s="98">
        <f t="shared" si="3892"/>
        <v>0</v>
      </c>
      <c r="QN516" s="98">
        <f t="shared" si="3892"/>
        <v>0</v>
      </c>
      <c r="QO516" s="98">
        <f t="shared" si="3892"/>
        <v>0</v>
      </c>
      <c r="QP516" s="98">
        <f t="shared" si="3892"/>
        <v>0</v>
      </c>
      <c r="QQ516" s="98">
        <f t="shared" si="3892"/>
        <v>0</v>
      </c>
      <c r="QR516" s="98">
        <f t="shared" si="3892"/>
        <v>0</v>
      </c>
      <c r="QS516" s="98">
        <f t="shared" si="3892"/>
        <v>0</v>
      </c>
      <c r="QT516" s="98">
        <f t="shared" si="3892"/>
        <v>0</v>
      </c>
      <c r="QU516" s="98">
        <f t="shared" si="3892"/>
        <v>0</v>
      </c>
      <c r="QV516" s="98">
        <f t="shared" si="3892"/>
        <v>0</v>
      </c>
      <c r="QW516" s="198">
        <f t="shared" si="2684"/>
        <v>0</v>
      </c>
      <c r="QX516" s="198">
        <f t="shared" si="2685"/>
        <v>0</v>
      </c>
      <c r="QY516" s="98">
        <f t="shared" ref="QY516:RL516" si="3893">SUM(QY45,QY83,QY121,QY159,QY197,QY235,QY273,QY311,QY349,QY387,QY425,QY463)</f>
        <v>0</v>
      </c>
      <c r="QZ516" s="98">
        <f t="shared" si="3893"/>
        <v>0</v>
      </c>
      <c r="RA516" s="98">
        <f t="shared" si="3893"/>
        <v>0</v>
      </c>
      <c r="RB516" s="98">
        <f t="shared" si="3893"/>
        <v>0</v>
      </c>
      <c r="RC516" s="98">
        <f t="shared" si="3893"/>
        <v>0</v>
      </c>
      <c r="RD516" s="98">
        <f t="shared" si="3893"/>
        <v>0</v>
      </c>
      <c r="RE516" s="98">
        <f t="shared" si="3893"/>
        <v>0</v>
      </c>
      <c r="RF516" s="98">
        <f t="shared" si="3893"/>
        <v>0</v>
      </c>
      <c r="RG516" s="98">
        <f t="shared" si="3893"/>
        <v>0</v>
      </c>
      <c r="RH516" s="98">
        <f t="shared" si="3893"/>
        <v>0</v>
      </c>
      <c r="RI516" s="98">
        <f t="shared" si="3893"/>
        <v>0</v>
      </c>
      <c r="RJ516" s="98">
        <f t="shared" si="3893"/>
        <v>0</v>
      </c>
      <c r="RK516" s="98">
        <f t="shared" si="3893"/>
        <v>0</v>
      </c>
      <c r="RL516" s="98">
        <f t="shared" si="3893"/>
        <v>0</v>
      </c>
      <c r="RM516" s="198">
        <f t="shared" si="2687"/>
        <v>0</v>
      </c>
      <c r="RN516" s="198">
        <f t="shared" si="2688"/>
        <v>0</v>
      </c>
      <c r="RO516" s="98">
        <f t="shared" ref="RO516:SB516" si="3894">SUM(RO45,RO83,RO121,RO159,RO197,RO235,RO273,RO311,RO349,RO387,RO425,RO463)</f>
        <v>0</v>
      </c>
      <c r="RP516" s="98">
        <f t="shared" si="3894"/>
        <v>0</v>
      </c>
      <c r="RQ516" s="98">
        <f t="shared" si="3894"/>
        <v>0</v>
      </c>
      <c r="RR516" s="98">
        <f t="shared" si="3894"/>
        <v>0</v>
      </c>
      <c r="RS516" s="98">
        <f t="shared" si="3894"/>
        <v>0</v>
      </c>
      <c r="RT516" s="98">
        <f t="shared" si="3894"/>
        <v>0</v>
      </c>
      <c r="RU516" s="98">
        <f t="shared" si="3894"/>
        <v>0</v>
      </c>
      <c r="RV516" s="98">
        <f t="shared" si="3894"/>
        <v>0</v>
      </c>
      <c r="RW516" s="98">
        <f t="shared" si="3894"/>
        <v>0</v>
      </c>
      <c r="RX516" s="98">
        <f t="shared" si="3894"/>
        <v>0</v>
      </c>
      <c r="RY516" s="98">
        <f t="shared" si="3894"/>
        <v>0</v>
      </c>
      <c r="RZ516" s="98">
        <f t="shared" si="3894"/>
        <v>0</v>
      </c>
      <c r="SA516" s="98">
        <f t="shared" si="3894"/>
        <v>0</v>
      </c>
      <c r="SB516" s="98">
        <f t="shared" si="3894"/>
        <v>0</v>
      </c>
      <c r="SC516" s="198">
        <f t="shared" si="2690"/>
        <v>0</v>
      </c>
      <c r="SD516" s="198">
        <f t="shared" si="2691"/>
        <v>0</v>
      </c>
      <c r="SE516" s="98">
        <f t="shared" ref="SE516:SR516" si="3895">SUM(SE45,SE83,SE121,SE159,SE197,SE235,SE273,SE311,SE349,SE387,SE425,SE463)</f>
        <v>0</v>
      </c>
      <c r="SF516" s="98">
        <f t="shared" si="3895"/>
        <v>0</v>
      </c>
      <c r="SG516" s="98">
        <f t="shared" si="3895"/>
        <v>0</v>
      </c>
      <c r="SH516" s="98">
        <f t="shared" si="3895"/>
        <v>0</v>
      </c>
      <c r="SI516" s="98">
        <f t="shared" si="3895"/>
        <v>0</v>
      </c>
      <c r="SJ516" s="98">
        <f t="shared" si="3895"/>
        <v>0</v>
      </c>
      <c r="SK516" s="98">
        <f t="shared" si="3895"/>
        <v>0</v>
      </c>
      <c r="SL516" s="98">
        <f t="shared" si="3895"/>
        <v>0</v>
      </c>
      <c r="SM516" s="98">
        <f t="shared" si="3895"/>
        <v>0</v>
      </c>
      <c r="SN516" s="98">
        <f t="shared" si="3895"/>
        <v>0</v>
      </c>
      <c r="SO516" s="98">
        <f t="shared" si="3895"/>
        <v>0</v>
      </c>
      <c r="SP516" s="98">
        <f t="shared" si="3895"/>
        <v>0</v>
      </c>
      <c r="SQ516" s="98">
        <f t="shared" si="3895"/>
        <v>0</v>
      </c>
      <c r="SR516" s="98">
        <f t="shared" si="3895"/>
        <v>0</v>
      </c>
      <c r="SS516" s="198">
        <f t="shared" si="2693"/>
        <v>0</v>
      </c>
      <c r="ST516" s="198">
        <f t="shared" si="2694"/>
        <v>0</v>
      </c>
      <c r="SU516" s="98">
        <f t="shared" ref="SU516:TH516" si="3896">SUM(SU45,SU83,SU121,SU159,SU197,SU235,SU273,SU311,SU349,SU387,SU425,SU463)</f>
        <v>0</v>
      </c>
      <c r="SV516" s="98">
        <f t="shared" si="3896"/>
        <v>0</v>
      </c>
      <c r="SW516" s="98">
        <f t="shared" si="3896"/>
        <v>0</v>
      </c>
      <c r="SX516" s="98">
        <f t="shared" si="3896"/>
        <v>0</v>
      </c>
      <c r="SY516" s="98">
        <f t="shared" si="3896"/>
        <v>0</v>
      </c>
      <c r="SZ516" s="98">
        <f t="shared" si="3896"/>
        <v>0</v>
      </c>
      <c r="TA516" s="98">
        <f t="shared" si="3896"/>
        <v>0</v>
      </c>
      <c r="TB516" s="98">
        <f t="shared" si="3896"/>
        <v>0</v>
      </c>
      <c r="TC516" s="98">
        <f t="shared" si="3896"/>
        <v>0</v>
      </c>
      <c r="TD516" s="98">
        <f t="shared" si="3896"/>
        <v>0</v>
      </c>
      <c r="TE516" s="98">
        <f t="shared" si="3896"/>
        <v>0</v>
      </c>
      <c r="TF516" s="98">
        <f t="shared" si="3896"/>
        <v>0</v>
      </c>
      <c r="TG516" s="98">
        <f t="shared" si="3896"/>
        <v>0</v>
      </c>
      <c r="TH516" s="98">
        <f t="shared" si="3896"/>
        <v>0</v>
      </c>
      <c r="TI516" s="198">
        <f t="shared" si="2696"/>
        <v>0</v>
      </c>
      <c r="TJ516" s="198">
        <f t="shared" si="2697"/>
        <v>0</v>
      </c>
      <c r="TK516" s="98">
        <f t="shared" ref="TK516:TX516" si="3897">SUM(TK45,TK83,TK121,TK159,TK197,TK235,TK273,TK311,TK349,TK387,TK425,TK463)</f>
        <v>0</v>
      </c>
      <c r="TL516" s="98">
        <f t="shared" si="3897"/>
        <v>0</v>
      </c>
      <c r="TM516" s="98">
        <f t="shared" si="3897"/>
        <v>0</v>
      </c>
      <c r="TN516" s="98">
        <f t="shared" si="3897"/>
        <v>0</v>
      </c>
      <c r="TO516" s="98">
        <f t="shared" si="3897"/>
        <v>0</v>
      </c>
      <c r="TP516" s="98">
        <f t="shared" si="3897"/>
        <v>0</v>
      </c>
      <c r="TQ516" s="98">
        <f t="shared" si="3897"/>
        <v>0</v>
      </c>
      <c r="TR516" s="98">
        <f t="shared" si="3897"/>
        <v>0</v>
      </c>
      <c r="TS516" s="98">
        <f t="shared" si="3897"/>
        <v>0</v>
      </c>
      <c r="TT516" s="98">
        <f t="shared" si="3897"/>
        <v>0</v>
      </c>
      <c r="TU516" s="98">
        <f t="shared" si="3897"/>
        <v>0</v>
      </c>
      <c r="TV516" s="98">
        <f t="shared" si="3897"/>
        <v>0</v>
      </c>
      <c r="TW516" s="98">
        <f t="shared" si="3897"/>
        <v>0</v>
      </c>
      <c r="TX516" s="98">
        <f t="shared" si="3897"/>
        <v>0</v>
      </c>
      <c r="TY516" s="198">
        <f t="shared" si="2699"/>
        <v>0</v>
      </c>
      <c r="TZ516" s="198">
        <f t="shared" si="2700"/>
        <v>0</v>
      </c>
      <c r="UA516" s="98">
        <f t="shared" ref="UA516:UN516" si="3898">SUM(UA45,UA83,UA121,UA159,UA197,UA235,UA273,UA311,UA349,UA387,UA425,UA463)</f>
        <v>0</v>
      </c>
      <c r="UB516" s="98">
        <f t="shared" si="3898"/>
        <v>0</v>
      </c>
      <c r="UC516" s="98">
        <f t="shared" si="3898"/>
        <v>0</v>
      </c>
      <c r="UD516" s="98">
        <f t="shared" si="3898"/>
        <v>0</v>
      </c>
      <c r="UE516" s="98">
        <f t="shared" si="3898"/>
        <v>0</v>
      </c>
      <c r="UF516" s="98">
        <f t="shared" si="3898"/>
        <v>0</v>
      </c>
      <c r="UG516" s="98">
        <f t="shared" si="3898"/>
        <v>0</v>
      </c>
      <c r="UH516" s="98">
        <f t="shared" si="3898"/>
        <v>0</v>
      </c>
      <c r="UI516" s="98">
        <f t="shared" si="3898"/>
        <v>0</v>
      </c>
      <c r="UJ516" s="98">
        <f t="shared" si="3898"/>
        <v>0</v>
      </c>
      <c r="UK516" s="98">
        <f t="shared" si="3898"/>
        <v>0</v>
      </c>
      <c r="UL516" s="98">
        <f t="shared" si="3898"/>
        <v>0</v>
      </c>
      <c r="UM516" s="98">
        <f t="shared" si="3898"/>
        <v>0</v>
      </c>
      <c r="UN516" s="98">
        <f t="shared" si="3898"/>
        <v>0</v>
      </c>
      <c r="UO516" s="198">
        <f t="shared" si="2702"/>
        <v>0</v>
      </c>
      <c r="UP516" s="198">
        <f t="shared" si="2703"/>
        <v>0</v>
      </c>
      <c r="UQ516" s="98">
        <f t="shared" ref="UQ516:VD516" si="3899">SUM(UQ45,UQ83,UQ121,UQ159,UQ197,UQ235,UQ273,UQ311,UQ349,UQ387,UQ425,UQ463)</f>
        <v>0</v>
      </c>
      <c r="UR516" s="98">
        <f t="shared" si="3899"/>
        <v>0</v>
      </c>
      <c r="US516" s="98">
        <f t="shared" si="3899"/>
        <v>0</v>
      </c>
      <c r="UT516" s="98">
        <f t="shared" si="3899"/>
        <v>0</v>
      </c>
      <c r="UU516" s="98">
        <f t="shared" si="3899"/>
        <v>0</v>
      </c>
      <c r="UV516" s="98">
        <f t="shared" si="3899"/>
        <v>0</v>
      </c>
      <c r="UW516" s="98">
        <f t="shared" si="3899"/>
        <v>0</v>
      </c>
      <c r="UX516" s="98">
        <f t="shared" si="3899"/>
        <v>0</v>
      </c>
      <c r="UY516" s="98">
        <f t="shared" si="3899"/>
        <v>0</v>
      </c>
      <c r="UZ516" s="98">
        <f t="shared" si="3899"/>
        <v>0</v>
      </c>
      <c r="VA516" s="98">
        <f t="shared" si="3899"/>
        <v>0</v>
      </c>
      <c r="VB516" s="98">
        <f t="shared" si="3899"/>
        <v>0</v>
      </c>
      <c r="VC516" s="98">
        <f t="shared" si="3899"/>
        <v>0</v>
      </c>
      <c r="VD516" s="98">
        <f t="shared" si="3899"/>
        <v>0</v>
      </c>
      <c r="VE516" s="198">
        <f t="shared" si="2705"/>
        <v>0</v>
      </c>
      <c r="VF516" s="198">
        <f t="shared" si="2706"/>
        <v>0</v>
      </c>
      <c r="VG516" s="98">
        <f t="shared" ref="VG516:VT516" si="3900">SUM(VG45,VG83,VG121,VG159,VG197,VG235,VG273,VG311,VG349,VG387,VG425,VG463)</f>
        <v>0</v>
      </c>
      <c r="VH516" s="98">
        <f t="shared" si="3900"/>
        <v>0</v>
      </c>
      <c r="VI516" s="98">
        <f t="shared" si="3900"/>
        <v>0</v>
      </c>
      <c r="VJ516" s="98">
        <f t="shared" si="3900"/>
        <v>0</v>
      </c>
      <c r="VK516" s="98">
        <f t="shared" si="3900"/>
        <v>0</v>
      </c>
      <c r="VL516" s="98">
        <f t="shared" si="3900"/>
        <v>0</v>
      </c>
      <c r="VM516" s="98">
        <f t="shared" si="3900"/>
        <v>0</v>
      </c>
      <c r="VN516" s="98">
        <f t="shared" si="3900"/>
        <v>0</v>
      </c>
      <c r="VO516" s="98">
        <f t="shared" si="3900"/>
        <v>0</v>
      </c>
      <c r="VP516" s="98">
        <f t="shared" si="3900"/>
        <v>0</v>
      </c>
      <c r="VQ516" s="98">
        <f t="shared" si="3900"/>
        <v>0</v>
      </c>
      <c r="VR516" s="98">
        <f t="shared" si="3900"/>
        <v>0</v>
      </c>
      <c r="VS516" s="98">
        <f t="shared" si="3900"/>
        <v>0</v>
      </c>
      <c r="VT516" s="98">
        <f t="shared" si="3900"/>
        <v>0</v>
      </c>
      <c r="VU516" s="198">
        <f t="shared" si="2708"/>
        <v>0</v>
      </c>
      <c r="VV516" s="198">
        <f t="shared" si="2709"/>
        <v>0</v>
      </c>
      <c r="VW516" s="98">
        <f t="shared" ref="VW516:WJ516" si="3901">SUM(VW45,VW83,VW121,VW159,VW197,VW235,VW273,VW311,VW349,VW387,VW425,VW463)</f>
        <v>0</v>
      </c>
      <c r="VX516" s="98">
        <f t="shared" si="3901"/>
        <v>0</v>
      </c>
      <c r="VY516" s="98">
        <f t="shared" si="3901"/>
        <v>0</v>
      </c>
      <c r="VZ516" s="98">
        <f t="shared" si="3901"/>
        <v>0</v>
      </c>
      <c r="WA516" s="98">
        <f t="shared" si="3901"/>
        <v>0</v>
      </c>
      <c r="WB516" s="98">
        <f t="shared" si="3901"/>
        <v>0</v>
      </c>
      <c r="WC516" s="98">
        <f t="shared" si="3901"/>
        <v>0</v>
      </c>
      <c r="WD516" s="98">
        <f t="shared" si="3901"/>
        <v>0</v>
      </c>
      <c r="WE516" s="98">
        <f t="shared" si="3901"/>
        <v>0</v>
      </c>
      <c r="WF516" s="98">
        <f t="shared" si="3901"/>
        <v>0</v>
      </c>
      <c r="WG516" s="98">
        <f t="shared" si="3901"/>
        <v>0</v>
      </c>
      <c r="WH516" s="98">
        <f t="shared" si="3901"/>
        <v>0</v>
      </c>
      <c r="WI516" s="98">
        <f t="shared" si="3901"/>
        <v>0</v>
      </c>
      <c r="WJ516" s="98">
        <f t="shared" si="3901"/>
        <v>0</v>
      </c>
      <c r="WK516" s="198">
        <f t="shared" si="2711"/>
        <v>0</v>
      </c>
      <c r="WL516" s="198">
        <f t="shared" si="2712"/>
        <v>0</v>
      </c>
      <c r="WN516" s="98">
        <f t="shared" si="3734"/>
        <v>0</v>
      </c>
      <c r="WO516" s="98">
        <f t="shared" si="3735"/>
        <v>0</v>
      </c>
      <c r="WP516" s="98">
        <f t="shared" si="3736"/>
        <v>0</v>
      </c>
      <c r="WQ516" s="98">
        <f t="shared" si="3737"/>
        <v>0</v>
      </c>
      <c r="WR516" s="98">
        <f t="shared" si="3738"/>
        <v>0</v>
      </c>
      <c r="WS516" s="98">
        <f t="shared" si="3739"/>
        <v>0</v>
      </c>
      <c r="WT516" s="98">
        <f t="shared" si="3740"/>
        <v>0</v>
      </c>
      <c r="WU516" s="98">
        <f t="shared" si="3741"/>
        <v>0</v>
      </c>
      <c r="WV516" s="98">
        <f t="shared" si="3742"/>
        <v>0</v>
      </c>
      <c r="WW516" s="98">
        <f t="shared" si="3743"/>
        <v>0</v>
      </c>
      <c r="WX516" s="98">
        <f t="shared" si="3744"/>
        <v>0</v>
      </c>
      <c r="WY516" s="98">
        <f t="shared" si="3745"/>
        <v>0</v>
      </c>
      <c r="WZ516" s="98">
        <f t="shared" si="3746"/>
        <v>0</v>
      </c>
      <c r="XA516" s="98">
        <f t="shared" si="3747"/>
        <v>0</v>
      </c>
      <c r="XB516" s="107">
        <f t="shared" si="3748"/>
        <v>0</v>
      </c>
      <c r="XC516" s="107">
        <f t="shared" si="3749"/>
        <v>0</v>
      </c>
      <c r="XK516" s="98">
        <f t="shared" si="2729"/>
        <v>0</v>
      </c>
      <c r="XL516" s="98">
        <f t="shared" si="2730"/>
        <v>0</v>
      </c>
      <c r="XM516" s="98">
        <f t="shared" si="2731"/>
        <v>0</v>
      </c>
      <c r="XN516" s="98">
        <f t="shared" si="2732"/>
        <v>0</v>
      </c>
      <c r="XO516" s="98">
        <f t="shared" si="2733"/>
        <v>0</v>
      </c>
      <c r="XP516" s="98">
        <f t="shared" si="2734"/>
        <v>0</v>
      </c>
      <c r="XQ516" s="98">
        <f t="shared" si="2735"/>
        <v>0</v>
      </c>
      <c r="XR516" s="107">
        <f t="shared" ca="1" si="2597"/>
        <v>0</v>
      </c>
      <c r="XT516" s="98">
        <f t="shared" si="2736"/>
        <v>0</v>
      </c>
      <c r="XU516" s="98">
        <f t="shared" si="2737"/>
        <v>0</v>
      </c>
      <c r="XV516" s="98">
        <f t="shared" si="2738"/>
        <v>0</v>
      </c>
      <c r="XW516" s="98">
        <f t="shared" si="2739"/>
        <v>0</v>
      </c>
      <c r="XX516" s="98">
        <f t="shared" si="2740"/>
        <v>0</v>
      </c>
      <c r="XY516" s="98">
        <f t="shared" si="2741"/>
        <v>0</v>
      </c>
      <c r="XZ516" s="98">
        <f t="shared" si="2742"/>
        <v>0</v>
      </c>
      <c r="YA516" s="107">
        <f t="shared" ca="1" si="2598"/>
        <v>0</v>
      </c>
    </row>
    <row r="517" spans="1:1017">
      <c r="B517" s="90" t="str">
        <f t="shared" si="3695"/>
        <v>Ikan_01 (Ikan Lainnya)</v>
      </c>
      <c r="C517" s="98">
        <f t="shared" ref="C517:P517" si="3902">SUM(C46,C84,C122,C160,C198,C236,C274,C312,C350,C388,C426,C464)</f>
        <v>0</v>
      </c>
      <c r="D517" s="98">
        <f t="shared" si="3902"/>
        <v>0</v>
      </c>
      <c r="E517" s="98">
        <f t="shared" si="3902"/>
        <v>0</v>
      </c>
      <c r="F517" s="98">
        <f t="shared" si="3902"/>
        <v>0</v>
      </c>
      <c r="G517" s="98">
        <f t="shared" si="3902"/>
        <v>0</v>
      </c>
      <c r="H517" s="98">
        <f t="shared" si="3902"/>
        <v>0</v>
      </c>
      <c r="I517" s="98">
        <f t="shared" si="3902"/>
        <v>0</v>
      </c>
      <c r="J517" s="98">
        <f t="shared" si="3902"/>
        <v>0</v>
      </c>
      <c r="K517" s="98">
        <f t="shared" si="3902"/>
        <v>0</v>
      </c>
      <c r="L517" s="98">
        <f t="shared" si="3902"/>
        <v>0</v>
      </c>
      <c r="M517" s="98">
        <f t="shared" si="3902"/>
        <v>0</v>
      </c>
      <c r="N517" s="98">
        <f t="shared" si="3902"/>
        <v>0</v>
      </c>
      <c r="O517" s="98">
        <f t="shared" si="3902"/>
        <v>0</v>
      </c>
      <c r="P517" s="98">
        <f t="shared" si="3902"/>
        <v>0</v>
      </c>
      <c r="Q517" s="198">
        <f t="shared" si="2600"/>
        <v>0</v>
      </c>
      <c r="R517" s="198">
        <f t="shared" si="2601"/>
        <v>0</v>
      </c>
      <c r="S517" s="98">
        <f t="shared" ref="S517:AF517" si="3903">SUM(S46,S84,S122,S160,S198,S236,S274,S312,S350,S388,S426,S464)</f>
        <v>645</v>
      </c>
      <c r="T517" s="98">
        <f t="shared" si="3903"/>
        <v>225750</v>
      </c>
      <c r="U517" s="98">
        <f t="shared" si="3903"/>
        <v>0</v>
      </c>
      <c r="V517" s="98">
        <f t="shared" si="3903"/>
        <v>0</v>
      </c>
      <c r="W517" s="98">
        <f t="shared" si="3903"/>
        <v>0</v>
      </c>
      <c r="X517" s="98">
        <f t="shared" si="3903"/>
        <v>0</v>
      </c>
      <c r="Y517" s="98">
        <f t="shared" si="3903"/>
        <v>0</v>
      </c>
      <c r="Z517" s="98">
        <f t="shared" si="3903"/>
        <v>0</v>
      </c>
      <c r="AA517" s="98">
        <f t="shared" si="3903"/>
        <v>0</v>
      </c>
      <c r="AB517" s="98">
        <f t="shared" si="3903"/>
        <v>0</v>
      </c>
      <c r="AC517" s="98">
        <f t="shared" si="3903"/>
        <v>0</v>
      </c>
      <c r="AD517" s="98">
        <f t="shared" si="3903"/>
        <v>0</v>
      </c>
      <c r="AE517" s="98">
        <f t="shared" si="3903"/>
        <v>0</v>
      </c>
      <c r="AF517" s="98">
        <f t="shared" si="3903"/>
        <v>0</v>
      </c>
      <c r="AG517" s="198">
        <f t="shared" si="2603"/>
        <v>645</v>
      </c>
      <c r="AH517" s="198">
        <f t="shared" si="2604"/>
        <v>225750</v>
      </c>
      <c r="AI517" s="98">
        <f t="shared" ref="AI517:AV517" si="3904">SUM(AI46,AI84,AI122,AI160,AI198,AI236,AI274,AI312,AI350,AI388,AI426,AI464)</f>
        <v>0</v>
      </c>
      <c r="AJ517" s="98">
        <f t="shared" si="3904"/>
        <v>0</v>
      </c>
      <c r="AK517" s="98">
        <f t="shared" si="3904"/>
        <v>0</v>
      </c>
      <c r="AL517" s="98">
        <f t="shared" si="3904"/>
        <v>0</v>
      </c>
      <c r="AM517" s="98">
        <f t="shared" si="3904"/>
        <v>0</v>
      </c>
      <c r="AN517" s="98">
        <f t="shared" si="3904"/>
        <v>0</v>
      </c>
      <c r="AO517" s="98">
        <f t="shared" si="3904"/>
        <v>0</v>
      </c>
      <c r="AP517" s="98">
        <f t="shared" si="3904"/>
        <v>0</v>
      </c>
      <c r="AQ517" s="98">
        <f t="shared" si="3904"/>
        <v>0</v>
      </c>
      <c r="AR517" s="98">
        <f t="shared" si="3904"/>
        <v>0</v>
      </c>
      <c r="AS517" s="98">
        <f t="shared" si="3904"/>
        <v>0</v>
      </c>
      <c r="AT517" s="98">
        <f t="shared" si="3904"/>
        <v>0</v>
      </c>
      <c r="AU517" s="98">
        <f t="shared" si="3904"/>
        <v>0</v>
      </c>
      <c r="AV517" s="98">
        <f t="shared" si="3904"/>
        <v>0</v>
      </c>
      <c r="AW517" s="198">
        <f t="shared" si="2606"/>
        <v>0</v>
      </c>
      <c r="AX517" s="198">
        <f t="shared" si="2607"/>
        <v>0</v>
      </c>
      <c r="AY517" s="98">
        <f t="shared" ref="AY517:BL517" si="3905">SUM(AY46,AY84,AY122,AY160,AY198,AY236,AY274,AY312,AY350,AY388,AY426,AY464)</f>
        <v>0</v>
      </c>
      <c r="AZ517" s="98">
        <f t="shared" si="3905"/>
        <v>0</v>
      </c>
      <c r="BA517" s="98">
        <f t="shared" si="3905"/>
        <v>0</v>
      </c>
      <c r="BB517" s="98">
        <f t="shared" si="3905"/>
        <v>0</v>
      </c>
      <c r="BC517" s="98">
        <f t="shared" si="3905"/>
        <v>0</v>
      </c>
      <c r="BD517" s="98">
        <f t="shared" si="3905"/>
        <v>0</v>
      </c>
      <c r="BE517" s="98">
        <f t="shared" si="3905"/>
        <v>0</v>
      </c>
      <c r="BF517" s="98">
        <f t="shared" si="3905"/>
        <v>0</v>
      </c>
      <c r="BG517" s="98">
        <f t="shared" si="3905"/>
        <v>0</v>
      </c>
      <c r="BH517" s="98">
        <f t="shared" si="3905"/>
        <v>0</v>
      </c>
      <c r="BI517" s="98">
        <f t="shared" si="3905"/>
        <v>0</v>
      </c>
      <c r="BJ517" s="98">
        <f t="shared" si="3905"/>
        <v>0</v>
      </c>
      <c r="BK517" s="98">
        <f t="shared" si="3905"/>
        <v>0</v>
      </c>
      <c r="BL517" s="98">
        <f t="shared" si="3905"/>
        <v>0</v>
      </c>
      <c r="BM517" s="198">
        <f t="shared" si="2609"/>
        <v>0</v>
      </c>
      <c r="BN517" s="198">
        <f t="shared" si="2610"/>
        <v>0</v>
      </c>
      <c r="BO517" s="98">
        <f t="shared" ref="BO517:CB517" si="3906">SUM(BO46,BO84,BO122,BO160,BO198,BO236,BO274,BO312,BO350,BO388,BO426,BO464)</f>
        <v>0</v>
      </c>
      <c r="BP517" s="98">
        <f t="shared" si="3906"/>
        <v>0</v>
      </c>
      <c r="BQ517" s="98">
        <f t="shared" si="3906"/>
        <v>0</v>
      </c>
      <c r="BR517" s="98">
        <f t="shared" si="3906"/>
        <v>0</v>
      </c>
      <c r="BS517" s="98">
        <f t="shared" si="3906"/>
        <v>0</v>
      </c>
      <c r="BT517" s="98">
        <f t="shared" si="3906"/>
        <v>0</v>
      </c>
      <c r="BU517" s="98">
        <f t="shared" si="3906"/>
        <v>0</v>
      </c>
      <c r="BV517" s="98">
        <f t="shared" si="3906"/>
        <v>0</v>
      </c>
      <c r="BW517" s="98">
        <f t="shared" si="3906"/>
        <v>0</v>
      </c>
      <c r="BX517" s="98">
        <f t="shared" si="3906"/>
        <v>0</v>
      </c>
      <c r="BY517" s="98">
        <f t="shared" si="3906"/>
        <v>0</v>
      </c>
      <c r="BZ517" s="98">
        <f t="shared" si="3906"/>
        <v>0</v>
      </c>
      <c r="CA517" s="98">
        <f t="shared" si="3906"/>
        <v>0</v>
      </c>
      <c r="CB517" s="98">
        <f t="shared" si="3906"/>
        <v>0</v>
      </c>
      <c r="CC517" s="198">
        <f t="shared" si="2612"/>
        <v>0</v>
      </c>
      <c r="CD517" s="198">
        <f t="shared" si="2613"/>
        <v>0</v>
      </c>
      <c r="CE517" s="98">
        <f t="shared" ref="CE517:CR517" si="3907">SUM(CE46,CE84,CE122,CE160,CE198,CE236,CE274,CE312,CE350,CE388,CE426,CE464)</f>
        <v>0</v>
      </c>
      <c r="CF517" s="98">
        <f t="shared" si="3907"/>
        <v>0</v>
      </c>
      <c r="CG517" s="98">
        <f t="shared" si="3907"/>
        <v>2416044.9115045071</v>
      </c>
      <c r="CH517" s="98">
        <f t="shared" si="3907"/>
        <v>9645718.538235195</v>
      </c>
      <c r="CI517" s="98">
        <f t="shared" si="3907"/>
        <v>0</v>
      </c>
      <c r="CJ517" s="98">
        <f t="shared" si="3907"/>
        <v>0</v>
      </c>
      <c r="CK517" s="98">
        <f t="shared" si="3907"/>
        <v>3496265.4526353306</v>
      </c>
      <c r="CL517" s="98">
        <f t="shared" si="3907"/>
        <v>14461385.303656366</v>
      </c>
      <c r="CM517" s="98">
        <f t="shared" si="3907"/>
        <v>0</v>
      </c>
      <c r="CN517" s="98">
        <f t="shared" si="3907"/>
        <v>0</v>
      </c>
      <c r="CO517" s="98">
        <f t="shared" si="3907"/>
        <v>0</v>
      </c>
      <c r="CP517" s="98">
        <f t="shared" si="3907"/>
        <v>0</v>
      </c>
      <c r="CQ517" s="98">
        <f t="shared" si="3907"/>
        <v>0</v>
      </c>
      <c r="CR517" s="98">
        <f t="shared" si="3907"/>
        <v>0</v>
      </c>
      <c r="CS517" s="198">
        <f t="shared" si="2615"/>
        <v>5912310.3641398381</v>
      </c>
      <c r="CT517" s="198">
        <f t="shared" si="2616"/>
        <v>24107103.841891561</v>
      </c>
      <c r="CU517" s="98">
        <f t="shared" ref="CU517:DH517" si="3908">SUM(CU46,CU84,CU122,CU160,CU198,CU236,CU274,CU312,CU350,CU388,CU426,CU464)</f>
        <v>0</v>
      </c>
      <c r="CV517" s="98">
        <f t="shared" si="3908"/>
        <v>0</v>
      </c>
      <c r="CW517" s="98">
        <f t="shared" si="3908"/>
        <v>0</v>
      </c>
      <c r="CX517" s="98">
        <f t="shared" si="3908"/>
        <v>0</v>
      </c>
      <c r="CY517" s="98">
        <f t="shared" si="3908"/>
        <v>0</v>
      </c>
      <c r="CZ517" s="98">
        <f t="shared" si="3908"/>
        <v>0</v>
      </c>
      <c r="DA517" s="98">
        <f t="shared" si="3908"/>
        <v>0</v>
      </c>
      <c r="DB517" s="98">
        <f t="shared" si="3908"/>
        <v>0</v>
      </c>
      <c r="DC517" s="98">
        <f t="shared" si="3908"/>
        <v>0</v>
      </c>
      <c r="DD517" s="98">
        <f t="shared" si="3908"/>
        <v>0</v>
      </c>
      <c r="DE517" s="98">
        <f t="shared" si="3908"/>
        <v>0</v>
      </c>
      <c r="DF517" s="98">
        <f t="shared" si="3908"/>
        <v>0</v>
      </c>
      <c r="DG517" s="98">
        <f t="shared" si="3908"/>
        <v>0</v>
      </c>
      <c r="DH517" s="98">
        <f t="shared" si="3908"/>
        <v>0</v>
      </c>
      <c r="DI517" s="198">
        <f t="shared" si="2618"/>
        <v>0</v>
      </c>
      <c r="DJ517" s="198">
        <f t="shared" si="2619"/>
        <v>0</v>
      </c>
      <c r="DK517" s="98">
        <f t="shared" ref="DK517:DX517" si="3909">SUM(DK46,DK84,DK122,DK160,DK198,DK236,DK274,DK312,DK350,DK388,DK426,DK464)</f>
        <v>0</v>
      </c>
      <c r="DL517" s="98">
        <f t="shared" si="3909"/>
        <v>0</v>
      </c>
      <c r="DM517" s="98">
        <f t="shared" si="3909"/>
        <v>0</v>
      </c>
      <c r="DN517" s="98">
        <f t="shared" si="3909"/>
        <v>0</v>
      </c>
      <c r="DO517" s="98">
        <f t="shared" si="3909"/>
        <v>0</v>
      </c>
      <c r="DP517" s="98">
        <f t="shared" si="3909"/>
        <v>0</v>
      </c>
      <c r="DQ517" s="98">
        <f t="shared" si="3909"/>
        <v>0</v>
      </c>
      <c r="DR517" s="98">
        <f t="shared" si="3909"/>
        <v>0</v>
      </c>
      <c r="DS517" s="98">
        <f t="shared" si="3909"/>
        <v>0</v>
      </c>
      <c r="DT517" s="98">
        <f t="shared" si="3909"/>
        <v>0</v>
      </c>
      <c r="DU517" s="98">
        <f t="shared" si="3909"/>
        <v>0</v>
      </c>
      <c r="DV517" s="98">
        <f t="shared" si="3909"/>
        <v>0</v>
      </c>
      <c r="DW517" s="98">
        <f t="shared" si="3909"/>
        <v>0</v>
      </c>
      <c r="DX517" s="98">
        <f t="shared" si="3909"/>
        <v>0</v>
      </c>
      <c r="DY517" s="198">
        <f t="shared" si="2621"/>
        <v>0</v>
      </c>
      <c r="DZ517" s="198">
        <f t="shared" si="2622"/>
        <v>0</v>
      </c>
      <c r="EA517" s="98">
        <f t="shared" ref="EA517:EN517" si="3910">SUM(EA46,EA84,EA122,EA160,EA198,EA236,EA274,EA312,EA350,EA388,EA426,EA464)</f>
        <v>0</v>
      </c>
      <c r="EB517" s="98">
        <f t="shared" si="3910"/>
        <v>0</v>
      </c>
      <c r="EC517" s="98">
        <f t="shared" si="3910"/>
        <v>0</v>
      </c>
      <c r="ED517" s="98">
        <f t="shared" si="3910"/>
        <v>0</v>
      </c>
      <c r="EE517" s="98">
        <f t="shared" si="3910"/>
        <v>0</v>
      </c>
      <c r="EF517" s="98">
        <f t="shared" si="3910"/>
        <v>0</v>
      </c>
      <c r="EG517" s="98">
        <f t="shared" si="3910"/>
        <v>0</v>
      </c>
      <c r="EH517" s="98">
        <f t="shared" si="3910"/>
        <v>0</v>
      </c>
      <c r="EI517" s="98">
        <f t="shared" si="3910"/>
        <v>0</v>
      </c>
      <c r="EJ517" s="98">
        <f t="shared" si="3910"/>
        <v>0</v>
      </c>
      <c r="EK517" s="98">
        <f t="shared" si="3910"/>
        <v>0</v>
      </c>
      <c r="EL517" s="98">
        <f t="shared" si="3910"/>
        <v>0</v>
      </c>
      <c r="EM517" s="98">
        <f t="shared" si="3910"/>
        <v>0</v>
      </c>
      <c r="EN517" s="98">
        <f t="shared" si="3910"/>
        <v>0</v>
      </c>
      <c r="EO517" s="198">
        <f t="shared" si="2624"/>
        <v>0</v>
      </c>
      <c r="EP517" s="198">
        <f t="shared" si="2625"/>
        <v>0</v>
      </c>
      <c r="EQ517" s="98">
        <f t="shared" ref="EQ517:FD517" si="3911">SUM(EQ46,EQ84,EQ122,EQ160,EQ198,EQ236,EQ274,EQ312,EQ350,EQ388,EQ426,EQ464)</f>
        <v>0</v>
      </c>
      <c r="ER517" s="98">
        <f t="shared" si="3911"/>
        <v>0</v>
      </c>
      <c r="ES517" s="98">
        <f t="shared" si="3911"/>
        <v>0</v>
      </c>
      <c r="ET517" s="98">
        <f t="shared" si="3911"/>
        <v>0</v>
      </c>
      <c r="EU517" s="98">
        <f t="shared" si="3911"/>
        <v>0</v>
      </c>
      <c r="EV517" s="98">
        <f t="shared" si="3911"/>
        <v>0</v>
      </c>
      <c r="EW517" s="98">
        <f t="shared" si="3911"/>
        <v>0</v>
      </c>
      <c r="EX517" s="98">
        <f t="shared" si="3911"/>
        <v>0</v>
      </c>
      <c r="EY517" s="98">
        <f t="shared" si="3911"/>
        <v>0</v>
      </c>
      <c r="EZ517" s="98">
        <f t="shared" si="3911"/>
        <v>0</v>
      </c>
      <c r="FA517" s="98">
        <f t="shared" si="3911"/>
        <v>0</v>
      </c>
      <c r="FB517" s="98">
        <f t="shared" si="3911"/>
        <v>0</v>
      </c>
      <c r="FC517" s="98">
        <f t="shared" si="3911"/>
        <v>0</v>
      </c>
      <c r="FD517" s="98">
        <f t="shared" si="3911"/>
        <v>0</v>
      </c>
      <c r="FE517" s="198">
        <f t="shared" si="2627"/>
        <v>0</v>
      </c>
      <c r="FF517" s="198">
        <f t="shared" si="2628"/>
        <v>0</v>
      </c>
      <c r="FG517" s="98">
        <f t="shared" ref="FG517:FT517" si="3912">SUM(FG46,FG84,FG122,FG160,FG198,FG236,FG274,FG312,FG350,FG388,FG426,FG464)</f>
        <v>0</v>
      </c>
      <c r="FH517" s="98">
        <f t="shared" si="3912"/>
        <v>0</v>
      </c>
      <c r="FI517" s="98">
        <f t="shared" si="3912"/>
        <v>0</v>
      </c>
      <c r="FJ517" s="98">
        <f t="shared" si="3912"/>
        <v>0</v>
      </c>
      <c r="FK517" s="98">
        <f t="shared" si="3912"/>
        <v>0</v>
      </c>
      <c r="FL517" s="98">
        <f t="shared" si="3912"/>
        <v>0</v>
      </c>
      <c r="FM517" s="98">
        <f t="shared" si="3912"/>
        <v>0</v>
      </c>
      <c r="FN517" s="98">
        <f t="shared" si="3912"/>
        <v>0</v>
      </c>
      <c r="FO517" s="98">
        <f t="shared" si="3912"/>
        <v>0</v>
      </c>
      <c r="FP517" s="98">
        <f t="shared" si="3912"/>
        <v>0</v>
      </c>
      <c r="FQ517" s="98">
        <f t="shared" si="3912"/>
        <v>0</v>
      </c>
      <c r="FR517" s="98">
        <f t="shared" si="3912"/>
        <v>0</v>
      </c>
      <c r="FS517" s="98">
        <f t="shared" si="3912"/>
        <v>0</v>
      </c>
      <c r="FT517" s="98">
        <f t="shared" si="3912"/>
        <v>0</v>
      </c>
      <c r="FU517" s="198">
        <f t="shared" si="2630"/>
        <v>0</v>
      </c>
      <c r="FV517" s="198">
        <f t="shared" si="2631"/>
        <v>0</v>
      </c>
      <c r="FW517" s="98">
        <f t="shared" ref="FW517:GJ517" si="3913">SUM(FW46,FW84,FW122,FW160,FW198,FW236,FW274,FW312,FW350,FW388,FW426,FW464)</f>
        <v>0</v>
      </c>
      <c r="FX517" s="98">
        <f t="shared" si="3913"/>
        <v>0</v>
      </c>
      <c r="FY517" s="98">
        <f t="shared" si="3913"/>
        <v>0</v>
      </c>
      <c r="FZ517" s="98">
        <f t="shared" si="3913"/>
        <v>0</v>
      </c>
      <c r="GA517" s="98">
        <f t="shared" si="3913"/>
        <v>0</v>
      </c>
      <c r="GB517" s="98">
        <f t="shared" si="3913"/>
        <v>0</v>
      </c>
      <c r="GC517" s="98">
        <f t="shared" si="3913"/>
        <v>0</v>
      </c>
      <c r="GD517" s="98">
        <f t="shared" si="3913"/>
        <v>0</v>
      </c>
      <c r="GE517" s="98">
        <f t="shared" si="3913"/>
        <v>0</v>
      </c>
      <c r="GF517" s="98">
        <f t="shared" si="3913"/>
        <v>0</v>
      </c>
      <c r="GG517" s="98">
        <f t="shared" si="3913"/>
        <v>0</v>
      </c>
      <c r="GH517" s="98">
        <f t="shared" si="3913"/>
        <v>0</v>
      </c>
      <c r="GI517" s="98">
        <f t="shared" si="3913"/>
        <v>0</v>
      </c>
      <c r="GJ517" s="98">
        <f t="shared" si="3913"/>
        <v>0</v>
      </c>
      <c r="GK517" s="198">
        <f t="shared" si="2633"/>
        <v>0</v>
      </c>
      <c r="GL517" s="198">
        <f t="shared" si="2634"/>
        <v>0</v>
      </c>
      <c r="GM517" s="98">
        <f t="shared" ref="GM517:GZ517" si="3914">SUM(GM46,GM84,GM122,GM160,GM198,GM236,GM274,GM312,GM350,GM388,GM426,GM464)</f>
        <v>0</v>
      </c>
      <c r="GN517" s="98">
        <f t="shared" si="3914"/>
        <v>0</v>
      </c>
      <c r="GO517" s="98">
        <f t="shared" si="3914"/>
        <v>0</v>
      </c>
      <c r="GP517" s="98">
        <f t="shared" si="3914"/>
        <v>0</v>
      </c>
      <c r="GQ517" s="98">
        <f t="shared" si="3914"/>
        <v>0</v>
      </c>
      <c r="GR517" s="98">
        <f t="shared" si="3914"/>
        <v>0</v>
      </c>
      <c r="GS517" s="98">
        <f t="shared" si="3914"/>
        <v>0</v>
      </c>
      <c r="GT517" s="98">
        <f t="shared" si="3914"/>
        <v>0</v>
      </c>
      <c r="GU517" s="98">
        <f t="shared" si="3914"/>
        <v>0</v>
      </c>
      <c r="GV517" s="98">
        <f t="shared" si="3914"/>
        <v>0</v>
      </c>
      <c r="GW517" s="98">
        <f t="shared" si="3914"/>
        <v>0</v>
      </c>
      <c r="GX517" s="98">
        <f t="shared" si="3914"/>
        <v>0</v>
      </c>
      <c r="GY517" s="98">
        <f t="shared" si="3914"/>
        <v>0</v>
      </c>
      <c r="GZ517" s="98">
        <f t="shared" si="3914"/>
        <v>0</v>
      </c>
      <c r="HA517" s="198">
        <f t="shared" si="2636"/>
        <v>0</v>
      </c>
      <c r="HB517" s="198">
        <f t="shared" si="2637"/>
        <v>0</v>
      </c>
      <c r="HC517" s="98">
        <f t="shared" ref="HC517:HP517" si="3915">SUM(HC46,HC84,HC122,HC160,HC198,HC236,HC274,HC312,HC350,HC388,HC426,HC464)</f>
        <v>0</v>
      </c>
      <c r="HD517" s="98">
        <f t="shared" si="3915"/>
        <v>0</v>
      </c>
      <c r="HE517" s="98">
        <f t="shared" si="3915"/>
        <v>0</v>
      </c>
      <c r="HF517" s="98">
        <f t="shared" si="3915"/>
        <v>0</v>
      </c>
      <c r="HG517" s="98">
        <f t="shared" si="3915"/>
        <v>0</v>
      </c>
      <c r="HH517" s="98">
        <f t="shared" si="3915"/>
        <v>0</v>
      </c>
      <c r="HI517" s="98">
        <f t="shared" si="3915"/>
        <v>0</v>
      </c>
      <c r="HJ517" s="98">
        <f t="shared" si="3915"/>
        <v>0</v>
      </c>
      <c r="HK517" s="98">
        <f t="shared" si="3915"/>
        <v>0</v>
      </c>
      <c r="HL517" s="98">
        <f t="shared" si="3915"/>
        <v>0</v>
      </c>
      <c r="HM517" s="98">
        <f t="shared" si="3915"/>
        <v>0</v>
      </c>
      <c r="HN517" s="98">
        <f t="shared" si="3915"/>
        <v>0</v>
      </c>
      <c r="HO517" s="98">
        <f t="shared" si="3915"/>
        <v>0</v>
      </c>
      <c r="HP517" s="98">
        <f t="shared" si="3915"/>
        <v>0</v>
      </c>
      <c r="HQ517" s="198">
        <f t="shared" si="2639"/>
        <v>0</v>
      </c>
      <c r="HR517" s="198">
        <f t="shared" si="2640"/>
        <v>0</v>
      </c>
      <c r="HS517" s="98">
        <f t="shared" ref="HS517:IF517" si="3916">SUM(HS46,HS84,HS122,HS160,HS198,HS236,HS274,HS312,HS350,HS388,HS426,HS464)</f>
        <v>0</v>
      </c>
      <c r="HT517" s="98">
        <f t="shared" si="3916"/>
        <v>0</v>
      </c>
      <c r="HU517" s="98">
        <f t="shared" si="3916"/>
        <v>0</v>
      </c>
      <c r="HV517" s="98">
        <f t="shared" si="3916"/>
        <v>0</v>
      </c>
      <c r="HW517" s="98">
        <f t="shared" si="3916"/>
        <v>0</v>
      </c>
      <c r="HX517" s="98">
        <f t="shared" si="3916"/>
        <v>0</v>
      </c>
      <c r="HY517" s="98">
        <f t="shared" si="3916"/>
        <v>0</v>
      </c>
      <c r="HZ517" s="98">
        <f t="shared" si="3916"/>
        <v>0</v>
      </c>
      <c r="IA517" s="98">
        <f t="shared" si="3916"/>
        <v>0</v>
      </c>
      <c r="IB517" s="98">
        <f t="shared" si="3916"/>
        <v>0</v>
      </c>
      <c r="IC517" s="98">
        <f t="shared" si="3916"/>
        <v>0</v>
      </c>
      <c r="ID517" s="98">
        <f t="shared" si="3916"/>
        <v>0</v>
      </c>
      <c r="IE517" s="98">
        <f t="shared" si="3916"/>
        <v>0</v>
      </c>
      <c r="IF517" s="98">
        <f t="shared" si="3916"/>
        <v>0</v>
      </c>
      <c r="IG517" s="198">
        <f t="shared" si="2642"/>
        <v>0</v>
      </c>
      <c r="IH517" s="198">
        <f t="shared" si="2643"/>
        <v>0</v>
      </c>
      <c r="II517" s="98">
        <f t="shared" ref="II517:IV517" si="3917">SUM(II46,II84,II122,II160,II198,II236,II274,II312,II350,II388,II426,II464)</f>
        <v>0</v>
      </c>
      <c r="IJ517" s="98">
        <f t="shared" si="3917"/>
        <v>0</v>
      </c>
      <c r="IK517" s="98">
        <f t="shared" si="3917"/>
        <v>0</v>
      </c>
      <c r="IL517" s="98">
        <f t="shared" si="3917"/>
        <v>0</v>
      </c>
      <c r="IM517" s="98">
        <f t="shared" si="3917"/>
        <v>0</v>
      </c>
      <c r="IN517" s="98">
        <f t="shared" si="3917"/>
        <v>0</v>
      </c>
      <c r="IO517" s="98">
        <f t="shared" si="3917"/>
        <v>0</v>
      </c>
      <c r="IP517" s="98">
        <f t="shared" si="3917"/>
        <v>0</v>
      </c>
      <c r="IQ517" s="98">
        <f t="shared" si="3917"/>
        <v>0</v>
      </c>
      <c r="IR517" s="98">
        <f t="shared" si="3917"/>
        <v>0</v>
      </c>
      <c r="IS517" s="98">
        <f t="shared" si="3917"/>
        <v>0</v>
      </c>
      <c r="IT517" s="98">
        <f t="shared" si="3917"/>
        <v>0</v>
      </c>
      <c r="IU517" s="98">
        <f t="shared" si="3917"/>
        <v>0</v>
      </c>
      <c r="IV517" s="98">
        <f t="shared" si="3917"/>
        <v>0</v>
      </c>
      <c r="IW517" s="198">
        <f t="shared" si="2645"/>
        <v>0</v>
      </c>
      <c r="IX517" s="198">
        <f t="shared" si="2646"/>
        <v>0</v>
      </c>
      <c r="IY517" s="98">
        <f t="shared" ref="IY517:JL517" si="3918">SUM(IY46,IY84,IY122,IY160,IY198,IY236,IY274,IY312,IY350,IY388,IY426,IY464)</f>
        <v>0</v>
      </c>
      <c r="IZ517" s="98">
        <f t="shared" si="3918"/>
        <v>0</v>
      </c>
      <c r="JA517" s="98">
        <f t="shared" si="3918"/>
        <v>0</v>
      </c>
      <c r="JB517" s="98">
        <f t="shared" si="3918"/>
        <v>0</v>
      </c>
      <c r="JC517" s="98">
        <f t="shared" si="3918"/>
        <v>0</v>
      </c>
      <c r="JD517" s="98">
        <f t="shared" si="3918"/>
        <v>0</v>
      </c>
      <c r="JE517" s="98">
        <f t="shared" si="3918"/>
        <v>0</v>
      </c>
      <c r="JF517" s="98">
        <f t="shared" si="3918"/>
        <v>0</v>
      </c>
      <c r="JG517" s="98">
        <f t="shared" si="3918"/>
        <v>0</v>
      </c>
      <c r="JH517" s="98">
        <f t="shared" si="3918"/>
        <v>0</v>
      </c>
      <c r="JI517" s="98">
        <f t="shared" si="3918"/>
        <v>0</v>
      </c>
      <c r="JJ517" s="98">
        <f t="shared" si="3918"/>
        <v>0</v>
      </c>
      <c r="JK517" s="98">
        <f t="shared" si="3918"/>
        <v>0</v>
      </c>
      <c r="JL517" s="98">
        <f t="shared" si="3918"/>
        <v>0</v>
      </c>
      <c r="JM517" s="198">
        <f t="shared" si="2648"/>
        <v>0</v>
      </c>
      <c r="JN517" s="198">
        <f t="shared" si="2649"/>
        <v>0</v>
      </c>
      <c r="JO517" s="98">
        <f t="shared" ref="JO517:KB517" si="3919">SUM(JO46,JO84,JO122,JO160,JO198,JO236,JO274,JO312,JO350,JO388,JO426,JO464)</f>
        <v>0</v>
      </c>
      <c r="JP517" s="98">
        <f t="shared" si="3919"/>
        <v>0</v>
      </c>
      <c r="JQ517" s="98">
        <f t="shared" si="3919"/>
        <v>0</v>
      </c>
      <c r="JR517" s="98">
        <f t="shared" si="3919"/>
        <v>0</v>
      </c>
      <c r="JS517" s="98">
        <f t="shared" si="3919"/>
        <v>0</v>
      </c>
      <c r="JT517" s="98">
        <f t="shared" si="3919"/>
        <v>0</v>
      </c>
      <c r="JU517" s="98">
        <f t="shared" si="3919"/>
        <v>0</v>
      </c>
      <c r="JV517" s="98">
        <f t="shared" si="3919"/>
        <v>0</v>
      </c>
      <c r="JW517" s="98">
        <f t="shared" si="3919"/>
        <v>0</v>
      </c>
      <c r="JX517" s="98">
        <f t="shared" si="3919"/>
        <v>0</v>
      </c>
      <c r="JY517" s="98">
        <f t="shared" si="3919"/>
        <v>0</v>
      </c>
      <c r="JZ517" s="98">
        <f t="shared" si="3919"/>
        <v>0</v>
      </c>
      <c r="KA517" s="98">
        <f t="shared" si="3919"/>
        <v>0</v>
      </c>
      <c r="KB517" s="98">
        <f t="shared" si="3919"/>
        <v>0</v>
      </c>
      <c r="KC517" s="198">
        <f t="shared" si="2651"/>
        <v>0</v>
      </c>
      <c r="KD517" s="198">
        <f t="shared" si="2652"/>
        <v>0</v>
      </c>
      <c r="KE517" s="98">
        <f t="shared" ref="KE517:KR517" si="3920">SUM(KE46,KE84,KE122,KE160,KE198,KE236,KE274,KE312,KE350,KE388,KE426,KE464)</f>
        <v>0</v>
      </c>
      <c r="KF517" s="98">
        <f t="shared" si="3920"/>
        <v>0</v>
      </c>
      <c r="KG517" s="98">
        <f t="shared" si="3920"/>
        <v>0</v>
      </c>
      <c r="KH517" s="98">
        <f t="shared" si="3920"/>
        <v>0</v>
      </c>
      <c r="KI517" s="98">
        <f t="shared" si="3920"/>
        <v>0</v>
      </c>
      <c r="KJ517" s="98">
        <f t="shared" si="3920"/>
        <v>0</v>
      </c>
      <c r="KK517" s="98">
        <f t="shared" si="3920"/>
        <v>0</v>
      </c>
      <c r="KL517" s="98">
        <f t="shared" si="3920"/>
        <v>0</v>
      </c>
      <c r="KM517" s="98">
        <f t="shared" si="3920"/>
        <v>0</v>
      </c>
      <c r="KN517" s="98">
        <f t="shared" si="3920"/>
        <v>0</v>
      </c>
      <c r="KO517" s="98">
        <f t="shared" si="3920"/>
        <v>0</v>
      </c>
      <c r="KP517" s="98">
        <f t="shared" si="3920"/>
        <v>0</v>
      </c>
      <c r="KQ517" s="98">
        <f t="shared" si="3920"/>
        <v>0</v>
      </c>
      <c r="KR517" s="98">
        <f t="shared" si="3920"/>
        <v>0</v>
      </c>
      <c r="KS517" s="198">
        <f t="shared" si="2654"/>
        <v>0</v>
      </c>
      <c r="KT517" s="198">
        <f t="shared" si="2655"/>
        <v>0</v>
      </c>
      <c r="KU517" s="98">
        <f t="shared" ref="KU517:LH517" si="3921">SUM(KU46,KU84,KU122,KU160,KU198,KU236,KU274,KU312,KU350,KU388,KU426,KU464)</f>
        <v>0</v>
      </c>
      <c r="KV517" s="98">
        <f t="shared" si="3921"/>
        <v>0</v>
      </c>
      <c r="KW517" s="98">
        <f t="shared" si="3921"/>
        <v>0</v>
      </c>
      <c r="KX517" s="98">
        <f t="shared" si="3921"/>
        <v>0</v>
      </c>
      <c r="KY517" s="98">
        <f t="shared" si="3921"/>
        <v>0</v>
      </c>
      <c r="KZ517" s="98">
        <f t="shared" si="3921"/>
        <v>0</v>
      </c>
      <c r="LA517" s="98">
        <f t="shared" si="3921"/>
        <v>0</v>
      </c>
      <c r="LB517" s="98">
        <f t="shared" si="3921"/>
        <v>0</v>
      </c>
      <c r="LC517" s="98">
        <f t="shared" si="3921"/>
        <v>0</v>
      </c>
      <c r="LD517" s="98">
        <f t="shared" si="3921"/>
        <v>0</v>
      </c>
      <c r="LE517" s="98">
        <f t="shared" si="3921"/>
        <v>0</v>
      </c>
      <c r="LF517" s="98">
        <f t="shared" si="3921"/>
        <v>0</v>
      </c>
      <c r="LG517" s="98">
        <f t="shared" si="3921"/>
        <v>0</v>
      </c>
      <c r="LH517" s="98">
        <f t="shared" si="3921"/>
        <v>0</v>
      </c>
      <c r="LI517" s="198">
        <f t="shared" si="2657"/>
        <v>0</v>
      </c>
      <c r="LJ517" s="198">
        <f t="shared" si="2658"/>
        <v>0</v>
      </c>
      <c r="LK517" s="98">
        <f t="shared" ref="LK517:LX517" si="3922">SUM(LK46,LK84,LK122,LK160,LK198,LK236,LK274,LK312,LK350,LK388,LK426,LK464)</f>
        <v>0</v>
      </c>
      <c r="LL517" s="98">
        <f t="shared" si="3922"/>
        <v>0</v>
      </c>
      <c r="LM517" s="98">
        <f t="shared" si="3922"/>
        <v>0</v>
      </c>
      <c r="LN517" s="98">
        <f t="shared" si="3922"/>
        <v>0</v>
      </c>
      <c r="LO517" s="98">
        <f t="shared" si="3922"/>
        <v>0</v>
      </c>
      <c r="LP517" s="98">
        <f t="shared" si="3922"/>
        <v>0</v>
      </c>
      <c r="LQ517" s="98">
        <f t="shared" si="3922"/>
        <v>0</v>
      </c>
      <c r="LR517" s="98">
        <f t="shared" si="3922"/>
        <v>0</v>
      </c>
      <c r="LS517" s="98">
        <f t="shared" si="3922"/>
        <v>0</v>
      </c>
      <c r="LT517" s="98">
        <f t="shared" si="3922"/>
        <v>0</v>
      </c>
      <c r="LU517" s="98">
        <f t="shared" si="3922"/>
        <v>0</v>
      </c>
      <c r="LV517" s="98">
        <f t="shared" si="3922"/>
        <v>0</v>
      </c>
      <c r="LW517" s="98">
        <f t="shared" si="3922"/>
        <v>0</v>
      </c>
      <c r="LX517" s="98">
        <f t="shared" si="3922"/>
        <v>0</v>
      </c>
      <c r="LY517" s="198">
        <f t="shared" si="2660"/>
        <v>0</v>
      </c>
      <c r="LZ517" s="198">
        <f t="shared" si="2661"/>
        <v>0</v>
      </c>
      <c r="MA517" s="98">
        <f t="shared" ref="MA517:MN517" si="3923">SUM(MA46,MA84,MA122,MA160,MA198,MA236,MA274,MA312,MA350,MA388,MA426,MA464)</f>
        <v>0</v>
      </c>
      <c r="MB517" s="98">
        <f t="shared" si="3923"/>
        <v>0</v>
      </c>
      <c r="MC517" s="98">
        <f t="shared" si="3923"/>
        <v>11600</v>
      </c>
      <c r="MD517" s="98">
        <f t="shared" si="3923"/>
        <v>34800</v>
      </c>
      <c r="ME517" s="98">
        <f t="shared" si="3923"/>
        <v>0</v>
      </c>
      <c r="MF517" s="98">
        <f t="shared" si="3923"/>
        <v>0</v>
      </c>
      <c r="MG517" s="98">
        <f t="shared" si="3923"/>
        <v>0</v>
      </c>
      <c r="MH517" s="98">
        <f t="shared" si="3923"/>
        <v>0</v>
      </c>
      <c r="MI517" s="98">
        <f t="shared" si="3923"/>
        <v>0</v>
      </c>
      <c r="MJ517" s="98">
        <f t="shared" si="3923"/>
        <v>0</v>
      </c>
      <c r="MK517" s="98">
        <f t="shared" si="3923"/>
        <v>0</v>
      </c>
      <c r="ML517" s="98">
        <f t="shared" si="3923"/>
        <v>0</v>
      </c>
      <c r="MM517" s="98">
        <f t="shared" si="3923"/>
        <v>0</v>
      </c>
      <c r="MN517" s="98">
        <f t="shared" si="3923"/>
        <v>0</v>
      </c>
      <c r="MO517" s="198">
        <f t="shared" si="2663"/>
        <v>11600</v>
      </c>
      <c r="MP517" s="198">
        <f t="shared" si="2664"/>
        <v>34800</v>
      </c>
      <c r="MQ517" s="98">
        <f t="shared" ref="MQ517:ND517" si="3924">SUM(MQ46,MQ84,MQ122,MQ160,MQ198,MQ236,MQ274,MQ312,MQ350,MQ388,MQ426,MQ464)</f>
        <v>0</v>
      </c>
      <c r="MR517" s="98">
        <f t="shared" si="3924"/>
        <v>0</v>
      </c>
      <c r="MS517" s="98">
        <f t="shared" si="3924"/>
        <v>1405</v>
      </c>
      <c r="MT517" s="98">
        <f t="shared" si="3924"/>
        <v>42150</v>
      </c>
      <c r="MU517" s="98">
        <f t="shared" si="3924"/>
        <v>0</v>
      </c>
      <c r="MV517" s="98">
        <f t="shared" si="3924"/>
        <v>0</v>
      </c>
      <c r="MW517" s="98">
        <f t="shared" si="3924"/>
        <v>0</v>
      </c>
      <c r="MX517" s="98">
        <f t="shared" si="3924"/>
        <v>0</v>
      </c>
      <c r="MY517" s="98">
        <f t="shared" si="3924"/>
        <v>0</v>
      </c>
      <c r="MZ517" s="98">
        <f t="shared" si="3924"/>
        <v>0</v>
      </c>
      <c r="NA517" s="98">
        <f t="shared" si="3924"/>
        <v>0</v>
      </c>
      <c r="NB517" s="98">
        <f t="shared" si="3924"/>
        <v>0</v>
      </c>
      <c r="NC517" s="98">
        <f t="shared" si="3924"/>
        <v>0</v>
      </c>
      <c r="ND517" s="98">
        <f t="shared" si="3924"/>
        <v>0</v>
      </c>
      <c r="NE517" s="198">
        <f t="shared" si="2666"/>
        <v>1405</v>
      </c>
      <c r="NF517" s="198">
        <f t="shared" si="2667"/>
        <v>42150</v>
      </c>
      <c r="NG517" s="98">
        <f t="shared" ref="NG517:NT517" si="3925">SUM(NG46,NG84,NG122,NG160,NG198,NG236,NG274,NG312,NG350,NG388,NG426,NG464)</f>
        <v>0</v>
      </c>
      <c r="NH517" s="98">
        <f t="shared" si="3925"/>
        <v>0</v>
      </c>
      <c r="NI517" s="98">
        <f t="shared" si="3925"/>
        <v>0</v>
      </c>
      <c r="NJ517" s="98">
        <f t="shared" si="3925"/>
        <v>0</v>
      </c>
      <c r="NK517" s="98">
        <f t="shared" si="3925"/>
        <v>0</v>
      </c>
      <c r="NL517" s="98">
        <f t="shared" si="3925"/>
        <v>0</v>
      </c>
      <c r="NM517" s="98">
        <f t="shared" si="3925"/>
        <v>0</v>
      </c>
      <c r="NN517" s="98">
        <f t="shared" si="3925"/>
        <v>0</v>
      </c>
      <c r="NO517" s="98">
        <f t="shared" si="3925"/>
        <v>0</v>
      </c>
      <c r="NP517" s="98">
        <f t="shared" si="3925"/>
        <v>0</v>
      </c>
      <c r="NQ517" s="98">
        <f t="shared" si="3925"/>
        <v>0</v>
      </c>
      <c r="NR517" s="98">
        <f t="shared" si="3925"/>
        <v>0</v>
      </c>
      <c r="NS517" s="98">
        <f t="shared" si="3925"/>
        <v>0</v>
      </c>
      <c r="NT517" s="98">
        <f t="shared" si="3925"/>
        <v>0</v>
      </c>
      <c r="NU517" s="198">
        <f t="shared" si="2669"/>
        <v>0</v>
      </c>
      <c r="NV517" s="198">
        <f t="shared" si="2670"/>
        <v>0</v>
      </c>
      <c r="NW517" s="98">
        <f t="shared" ref="NW517:OJ517" si="3926">SUM(NW46,NW84,NW122,NW160,NW198,NW236,NW274,NW312,NW350,NW388,NW426,NW464)</f>
        <v>0</v>
      </c>
      <c r="NX517" s="98">
        <f t="shared" si="3926"/>
        <v>0</v>
      </c>
      <c r="NY517" s="98">
        <f t="shared" si="3926"/>
        <v>0</v>
      </c>
      <c r="NZ517" s="98">
        <f t="shared" si="3926"/>
        <v>0</v>
      </c>
      <c r="OA517" s="98">
        <f t="shared" si="3926"/>
        <v>0</v>
      </c>
      <c r="OB517" s="98">
        <f t="shared" si="3926"/>
        <v>0</v>
      </c>
      <c r="OC517" s="98">
        <f t="shared" si="3926"/>
        <v>0</v>
      </c>
      <c r="OD517" s="98">
        <f t="shared" si="3926"/>
        <v>0</v>
      </c>
      <c r="OE517" s="98">
        <f t="shared" si="3926"/>
        <v>0</v>
      </c>
      <c r="OF517" s="98">
        <f t="shared" si="3926"/>
        <v>0</v>
      </c>
      <c r="OG517" s="98">
        <f t="shared" si="3926"/>
        <v>0</v>
      </c>
      <c r="OH517" s="98">
        <f t="shared" si="3926"/>
        <v>0</v>
      </c>
      <c r="OI517" s="98">
        <f t="shared" si="3926"/>
        <v>0</v>
      </c>
      <c r="OJ517" s="98">
        <f t="shared" si="3926"/>
        <v>0</v>
      </c>
      <c r="OK517" s="198">
        <f t="shared" si="2672"/>
        <v>0</v>
      </c>
      <c r="OL517" s="198">
        <f t="shared" si="2673"/>
        <v>0</v>
      </c>
      <c r="OM517" s="98">
        <f t="shared" ref="OM517:OZ517" si="3927">SUM(OM46,OM84,OM122,OM160,OM198,OM236,OM274,OM312,OM350,OM388,OM426,OM464)</f>
        <v>0</v>
      </c>
      <c r="ON517" s="98">
        <f t="shared" si="3927"/>
        <v>0</v>
      </c>
      <c r="OO517" s="98">
        <f t="shared" si="3927"/>
        <v>0</v>
      </c>
      <c r="OP517" s="98">
        <f t="shared" si="3927"/>
        <v>0</v>
      </c>
      <c r="OQ517" s="98">
        <f t="shared" si="3927"/>
        <v>0</v>
      </c>
      <c r="OR517" s="98">
        <f t="shared" si="3927"/>
        <v>0</v>
      </c>
      <c r="OS517" s="98">
        <f t="shared" si="3927"/>
        <v>0</v>
      </c>
      <c r="OT517" s="98">
        <f t="shared" si="3927"/>
        <v>0</v>
      </c>
      <c r="OU517" s="98">
        <f t="shared" si="3927"/>
        <v>0</v>
      </c>
      <c r="OV517" s="98">
        <f t="shared" si="3927"/>
        <v>0</v>
      </c>
      <c r="OW517" s="98">
        <f t="shared" si="3927"/>
        <v>0</v>
      </c>
      <c r="OX517" s="98">
        <f t="shared" si="3927"/>
        <v>0</v>
      </c>
      <c r="OY517" s="98">
        <f t="shared" si="3927"/>
        <v>0</v>
      </c>
      <c r="OZ517" s="98">
        <f t="shared" si="3927"/>
        <v>0</v>
      </c>
      <c r="PA517" s="198">
        <f t="shared" si="2675"/>
        <v>0</v>
      </c>
      <c r="PB517" s="198">
        <f t="shared" si="2676"/>
        <v>0</v>
      </c>
      <c r="PC517" s="98">
        <f t="shared" ref="PC517:PP517" si="3928">SUM(PC46,PC84,PC122,PC160,PC198,PC236,PC274,PC312,PC350,PC388,PC426,PC464)</f>
        <v>0</v>
      </c>
      <c r="PD517" s="98">
        <f t="shared" si="3928"/>
        <v>0</v>
      </c>
      <c r="PE517" s="98">
        <f t="shared" si="3928"/>
        <v>0</v>
      </c>
      <c r="PF517" s="98">
        <f t="shared" si="3928"/>
        <v>0</v>
      </c>
      <c r="PG517" s="98">
        <f t="shared" si="3928"/>
        <v>0</v>
      </c>
      <c r="PH517" s="98">
        <f t="shared" si="3928"/>
        <v>0</v>
      </c>
      <c r="PI517" s="98">
        <f t="shared" si="3928"/>
        <v>0</v>
      </c>
      <c r="PJ517" s="98">
        <f t="shared" si="3928"/>
        <v>0</v>
      </c>
      <c r="PK517" s="98">
        <f t="shared" si="3928"/>
        <v>0</v>
      </c>
      <c r="PL517" s="98">
        <f t="shared" si="3928"/>
        <v>0</v>
      </c>
      <c r="PM517" s="98">
        <f t="shared" si="3928"/>
        <v>0</v>
      </c>
      <c r="PN517" s="98">
        <f t="shared" si="3928"/>
        <v>0</v>
      </c>
      <c r="PO517" s="98">
        <f t="shared" si="3928"/>
        <v>0</v>
      </c>
      <c r="PP517" s="98">
        <f t="shared" si="3928"/>
        <v>0</v>
      </c>
      <c r="PQ517" s="198">
        <f t="shared" si="2678"/>
        <v>0</v>
      </c>
      <c r="PR517" s="198">
        <f t="shared" si="2679"/>
        <v>0</v>
      </c>
      <c r="PS517" s="98">
        <f t="shared" ref="PS517:QF517" si="3929">SUM(PS46,PS84,PS122,PS160,PS198,PS236,PS274,PS312,PS350,PS388,PS426,PS464)</f>
        <v>0</v>
      </c>
      <c r="PT517" s="98">
        <f t="shared" si="3929"/>
        <v>0</v>
      </c>
      <c r="PU517" s="98">
        <f t="shared" si="3929"/>
        <v>0</v>
      </c>
      <c r="PV517" s="98">
        <f t="shared" si="3929"/>
        <v>0</v>
      </c>
      <c r="PW517" s="98">
        <f t="shared" si="3929"/>
        <v>0</v>
      </c>
      <c r="PX517" s="98">
        <f t="shared" si="3929"/>
        <v>0</v>
      </c>
      <c r="PY517" s="98">
        <f t="shared" si="3929"/>
        <v>0</v>
      </c>
      <c r="PZ517" s="98">
        <f t="shared" si="3929"/>
        <v>0</v>
      </c>
      <c r="QA517" s="98">
        <f t="shared" si="3929"/>
        <v>0</v>
      </c>
      <c r="QB517" s="98">
        <f t="shared" si="3929"/>
        <v>0</v>
      </c>
      <c r="QC517" s="98">
        <f t="shared" si="3929"/>
        <v>0</v>
      </c>
      <c r="QD517" s="98">
        <f t="shared" si="3929"/>
        <v>0</v>
      </c>
      <c r="QE517" s="98">
        <f t="shared" si="3929"/>
        <v>0</v>
      </c>
      <c r="QF517" s="98">
        <f t="shared" si="3929"/>
        <v>0</v>
      </c>
      <c r="QG517" s="198">
        <f t="shared" si="2681"/>
        <v>0</v>
      </c>
      <c r="QH517" s="198">
        <f t="shared" si="2682"/>
        <v>0</v>
      </c>
      <c r="QI517" s="98">
        <f t="shared" ref="QI517:QV517" si="3930">SUM(QI46,QI84,QI122,QI160,QI198,QI236,QI274,QI312,QI350,QI388,QI426,QI464)</f>
        <v>0</v>
      </c>
      <c r="QJ517" s="98">
        <f t="shared" si="3930"/>
        <v>0</v>
      </c>
      <c r="QK517" s="98">
        <f t="shared" si="3930"/>
        <v>0</v>
      </c>
      <c r="QL517" s="98">
        <f t="shared" si="3930"/>
        <v>0</v>
      </c>
      <c r="QM517" s="98">
        <f t="shared" si="3930"/>
        <v>0</v>
      </c>
      <c r="QN517" s="98">
        <f t="shared" si="3930"/>
        <v>0</v>
      </c>
      <c r="QO517" s="98">
        <f t="shared" si="3930"/>
        <v>0</v>
      </c>
      <c r="QP517" s="98">
        <f t="shared" si="3930"/>
        <v>0</v>
      </c>
      <c r="QQ517" s="98">
        <f t="shared" si="3930"/>
        <v>0</v>
      </c>
      <c r="QR517" s="98">
        <f t="shared" si="3930"/>
        <v>0</v>
      </c>
      <c r="QS517" s="98">
        <f t="shared" si="3930"/>
        <v>0</v>
      </c>
      <c r="QT517" s="98">
        <f t="shared" si="3930"/>
        <v>0</v>
      </c>
      <c r="QU517" s="98">
        <f t="shared" si="3930"/>
        <v>0</v>
      </c>
      <c r="QV517" s="98">
        <f t="shared" si="3930"/>
        <v>0</v>
      </c>
      <c r="QW517" s="198">
        <f t="shared" si="2684"/>
        <v>0</v>
      </c>
      <c r="QX517" s="198">
        <f t="shared" si="2685"/>
        <v>0</v>
      </c>
      <c r="QY517" s="98">
        <f t="shared" ref="QY517:RL517" si="3931">SUM(QY46,QY84,QY122,QY160,QY198,QY236,QY274,QY312,QY350,QY388,QY426,QY464)</f>
        <v>0</v>
      </c>
      <c r="QZ517" s="98">
        <f t="shared" si="3931"/>
        <v>0</v>
      </c>
      <c r="RA517" s="98">
        <f t="shared" si="3931"/>
        <v>0</v>
      </c>
      <c r="RB517" s="98">
        <f t="shared" si="3931"/>
        <v>0</v>
      </c>
      <c r="RC517" s="98">
        <f t="shared" si="3931"/>
        <v>0</v>
      </c>
      <c r="RD517" s="98">
        <f t="shared" si="3931"/>
        <v>0</v>
      </c>
      <c r="RE517" s="98">
        <f t="shared" si="3931"/>
        <v>0</v>
      </c>
      <c r="RF517" s="98">
        <f t="shared" si="3931"/>
        <v>0</v>
      </c>
      <c r="RG517" s="98">
        <f t="shared" si="3931"/>
        <v>0</v>
      </c>
      <c r="RH517" s="98">
        <f t="shared" si="3931"/>
        <v>0</v>
      </c>
      <c r="RI517" s="98">
        <f t="shared" si="3931"/>
        <v>0</v>
      </c>
      <c r="RJ517" s="98">
        <f t="shared" si="3931"/>
        <v>0</v>
      </c>
      <c r="RK517" s="98">
        <f t="shared" si="3931"/>
        <v>0</v>
      </c>
      <c r="RL517" s="98">
        <f t="shared" si="3931"/>
        <v>0</v>
      </c>
      <c r="RM517" s="198">
        <f t="shared" si="2687"/>
        <v>0</v>
      </c>
      <c r="RN517" s="198">
        <f t="shared" si="2688"/>
        <v>0</v>
      </c>
      <c r="RO517" s="98">
        <f t="shared" ref="RO517:SB517" si="3932">SUM(RO46,RO84,RO122,RO160,RO198,RO236,RO274,RO312,RO350,RO388,RO426,RO464)</f>
        <v>0</v>
      </c>
      <c r="RP517" s="98">
        <f t="shared" si="3932"/>
        <v>0</v>
      </c>
      <c r="RQ517" s="98">
        <f t="shared" si="3932"/>
        <v>0</v>
      </c>
      <c r="RR517" s="98">
        <f t="shared" si="3932"/>
        <v>0</v>
      </c>
      <c r="RS517" s="98">
        <f t="shared" si="3932"/>
        <v>0</v>
      </c>
      <c r="RT517" s="98">
        <f t="shared" si="3932"/>
        <v>0</v>
      </c>
      <c r="RU517" s="98">
        <f t="shared" si="3932"/>
        <v>0</v>
      </c>
      <c r="RV517" s="98">
        <f t="shared" si="3932"/>
        <v>0</v>
      </c>
      <c r="RW517" s="98">
        <f t="shared" si="3932"/>
        <v>0</v>
      </c>
      <c r="RX517" s="98">
        <f t="shared" si="3932"/>
        <v>0</v>
      </c>
      <c r="RY517" s="98">
        <f t="shared" si="3932"/>
        <v>0</v>
      </c>
      <c r="RZ517" s="98">
        <f t="shared" si="3932"/>
        <v>0</v>
      </c>
      <c r="SA517" s="98">
        <f t="shared" si="3932"/>
        <v>0</v>
      </c>
      <c r="SB517" s="98">
        <f t="shared" si="3932"/>
        <v>0</v>
      </c>
      <c r="SC517" s="198">
        <f t="shared" si="2690"/>
        <v>0</v>
      </c>
      <c r="SD517" s="198">
        <f t="shared" si="2691"/>
        <v>0</v>
      </c>
      <c r="SE517" s="98">
        <f t="shared" ref="SE517:SR517" si="3933">SUM(SE46,SE84,SE122,SE160,SE198,SE236,SE274,SE312,SE350,SE388,SE426,SE464)</f>
        <v>0</v>
      </c>
      <c r="SF517" s="98">
        <f t="shared" si="3933"/>
        <v>0</v>
      </c>
      <c r="SG517" s="98">
        <f t="shared" si="3933"/>
        <v>0</v>
      </c>
      <c r="SH517" s="98">
        <f t="shared" si="3933"/>
        <v>0</v>
      </c>
      <c r="SI517" s="98">
        <f t="shared" si="3933"/>
        <v>0</v>
      </c>
      <c r="SJ517" s="98">
        <f t="shared" si="3933"/>
        <v>0</v>
      </c>
      <c r="SK517" s="98">
        <f t="shared" si="3933"/>
        <v>0</v>
      </c>
      <c r="SL517" s="98">
        <f t="shared" si="3933"/>
        <v>0</v>
      </c>
      <c r="SM517" s="98">
        <f t="shared" si="3933"/>
        <v>0</v>
      </c>
      <c r="SN517" s="98">
        <f t="shared" si="3933"/>
        <v>0</v>
      </c>
      <c r="SO517" s="98">
        <f t="shared" si="3933"/>
        <v>0</v>
      </c>
      <c r="SP517" s="98">
        <f t="shared" si="3933"/>
        <v>0</v>
      </c>
      <c r="SQ517" s="98">
        <f t="shared" si="3933"/>
        <v>0</v>
      </c>
      <c r="SR517" s="98">
        <f t="shared" si="3933"/>
        <v>0</v>
      </c>
      <c r="SS517" s="198">
        <f t="shared" si="2693"/>
        <v>0</v>
      </c>
      <c r="ST517" s="198">
        <f t="shared" si="2694"/>
        <v>0</v>
      </c>
      <c r="SU517" s="98">
        <f t="shared" ref="SU517:TH517" si="3934">SUM(SU46,SU84,SU122,SU160,SU198,SU236,SU274,SU312,SU350,SU388,SU426,SU464)</f>
        <v>0</v>
      </c>
      <c r="SV517" s="98">
        <f t="shared" si="3934"/>
        <v>0</v>
      </c>
      <c r="SW517" s="98">
        <f t="shared" si="3934"/>
        <v>0</v>
      </c>
      <c r="SX517" s="98">
        <f t="shared" si="3934"/>
        <v>0</v>
      </c>
      <c r="SY517" s="98">
        <f t="shared" si="3934"/>
        <v>0</v>
      </c>
      <c r="SZ517" s="98">
        <f t="shared" si="3934"/>
        <v>0</v>
      </c>
      <c r="TA517" s="98">
        <f t="shared" si="3934"/>
        <v>0</v>
      </c>
      <c r="TB517" s="98">
        <f t="shared" si="3934"/>
        <v>0</v>
      </c>
      <c r="TC517" s="98">
        <f t="shared" si="3934"/>
        <v>0</v>
      </c>
      <c r="TD517" s="98">
        <f t="shared" si="3934"/>
        <v>0</v>
      </c>
      <c r="TE517" s="98">
        <f t="shared" si="3934"/>
        <v>0</v>
      </c>
      <c r="TF517" s="98">
        <f t="shared" si="3934"/>
        <v>0</v>
      </c>
      <c r="TG517" s="98">
        <f t="shared" si="3934"/>
        <v>0</v>
      </c>
      <c r="TH517" s="98">
        <f t="shared" si="3934"/>
        <v>0</v>
      </c>
      <c r="TI517" s="198">
        <f t="shared" si="2696"/>
        <v>0</v>
      </c>
      <c r="TJ517" s="198">
        <f t="shared" si="2697"/>
        <v>0</v>
      </c>
      <c r="TK517" s="98">
        <f t="shared" ref="TK517:TX517" si="3935">SUM(TK46,TK84,TK122,TK160,TK198,TK236,TK274,TK312,TK350,TK388,TK426,TK464)</f>
        <v>0</v>
      </c>
      <c r="TL517" s="98">
        <f t="shared" si="3935"/>
        <v>0</v>
      </c>
      <c r="TM517" s="98">
        <f t="shared" si="3935"/>
        <v>0</v>
      </c>
      <c r="TN517" s="98">
        <f t="shared" si="3935"/>
        <v>0</v>
      </c>
      <c r="TO517" s="98">
        <f t="shared" si="3935"/>
        <v>0</v>
      </c>
      <c r="TP517" s="98">
        <f t="shared" si="3935"/>
        <v>0</v>
      </c>
      <c r="TQ517" s="98">
        <f t="shared" si="3935"/>
        <v>0</v>
      </c>
      <c r="TR517" s="98">
        <f t="shared" si="3935"/>
        <v>0</v>
      </c>
      <c r="TS517" s="98">
        <f t="shared" si="3935"/>
        <v>0</v>
      </c>
      <c r="TT517" s="98">
        <f t="shared" si="3935"/>
        <v>0</v>
      </c>
      <c r="TU517" s="98">
        <f t="shared" si="3935"/>
        <v>0</v>
      </c>
      <c r="TV517" s="98">
        <f t="shared" si="3935"/>
        <v>0</v>
      </c>
      <c r="TW517" s="98">
        <f t="shared" si="3935"/>
        <v>0</v>
      </c>
      <c r="TX517" s="98">
        <f t="shared" si="3935"/>
        <v>0</v>
      </c>
      <c r="TY517" s="198">
        <f t="shared" si="2699"/>
        <v>0</v>
      </c>
      <c r="TZ517" s="198">
        <f t="shared" si="2700"/>
        <v>0</v>
      </c>
      <c r="UA517" s="98">
        <f t="shared" ref="UA517:UN517" si="3936">SUM(UA46,UA84,UA122,UA160,UA198,UA236,UA274,UA312,UA350,UA388,UA426,UA464)</f>
        <v>0</v>
      </c>
      <c r="UB517" s="98">
        <f t="shared" si="3936"/>
        <v>0</v>
      </c>
      <c r="UC517" s="98">
        <f t="shared" si="3936"/>
        <v>0</v>
      </c>
      <c r="UD517" s="98">
        <f t="shared" si="3936"/>
        <v>0</v>
      </c>
      <c r="UE517" s="98">
        <f t="shared" si="3936"/>
        <v>0</v>
      </c>
      <c r="UF517" s="98">
        <f t="shared" si="3936"/>
        <v>0</v>
      </c>
      <c r="UG517" s="98">
        <f t="shared" si="3936"/>
        <v>0</v>
      </c>
      <c r="UH517" s="98">
        <f t="shared" si="3936"/>
        <v>0</v>
      </c>
      <c r="UI517" s="98">
        <f t="shared" si="3936"/>
        <v>0</v>
      </c>
      <c r="UJ517" s="98">
        <f t="shared" si="3936"/>
        <v>0</v>
      </c>
      <c r="UK517" s="98">
        <f t="shared" si="3936"/>
        <v>0</v>
      </c>
      <c r="UL517" s="98">
        <f t="shared" si="3936"/>
        <v>0</v>
      </c>
      <c r="UM517" s="98">
        <f t="shared" si="3936"/>
        <v>0</v>
      </c>
      <c r="UN517" s="98">
        <f t="shared" si="3936"/>
        <v>0</v>
      </c>
      <c r="UO517" s="198">
        <f t="shared" si="2702"/>
        <v>0</v>
      </c>
      <c r="UP517" s="198">
        <f t="shared" si="2703"/>
        <v>0</v>
      </c>
      <c r="UQ517" s="98">
        <f t="shared" ref="UQ517:VD517" si="3937">SUM(UQ46,UQ84,UQ122,UQ160,UQ198,UQ236,UQ274,UQ312,UQ350,UQ388,UQ426,UQ464)</f>
        <v>0</v>
      </c>
      <c r="UR517" s="98">
        <f t="shared" si="3937"/>
        <v>0</v>
      </c>
      <c r="US517" s="98">
        <f t="shared" si="3937"/>
        <v>0</v>
      </c>
      <c r="UT517" s="98">
        <f t="shared" si="3937"/>
        <v>0</v>
      </c>
      <c r="UU517" s="98">
        <f t="shared" si="3937"/>
        <v>0</v>
      </c>
      <c r="UV517" s="98">
        <f t="shared" si="3937"/>
        <v>0</v>
      </c>
      <c r="UW517" s="98">
        <f t="shared" si="3937"/>
        <v>0</v>
      </c>
      <c r="UX517" s="98">
        <f t="shared" si="3937"/>
        <v>0</v>
      </c>
      <c r="UY517" s="98">
        <f t="shared" si="3937"/>
        <v>0</v>
      </c>
      <c r="UZ517" s="98">
        <f t="shared" si="3937"/>
        <v>0</v>
      </c>
      <c r="VA517" s="98">
        <f t="shared" si="3937"/>
        <v>0</v>
      </c>
      <c r="VB517" s="98">
        <f t="shared" si="3937"/>
        <v>0</v>
      </c>
      <c r="VC517" s="98">
        <f t="shared" si="3937"/>
        <v>0</v>
      </c>
      <c r="VD517" s="98">
        <f t="shared" si="3937"/>
        <v>0</v>
      </c>
      <c r="VE517" s="198">
        <f t="shared" si="2705"/>
        <v>0</v>
      </c>
      <c r="VF517" s="198">
        <f t="shared" si="2706"/>
        <v>0</v>
      </c>
      <c r="VG517" s="98">
        <f t="shared" ref="VG517:VT517" si="3938">SUM(VG46,VG84,VG122,VG160,VG198,VG236,VG274,VG312,VG350,VG388,VG426,VG464)</f>
        <v>0</v>
      </c>
      <c r="VH517" s="98">
        <f t="shared" si="3938"/>
        <v>0</v>
      </c>
      <c r="VI517" s="98">
        <f t="shared" si="3938"/>
        <v>0</v>
      </c>
      <c r="VJ517" s="98">
        <f t="shared" si="3938"/>
        <v>0</v>
      </c>
      <c r="VK517" s="98">
        <f t="shared" si="3938"/>
        <v>0</v>
      </c>
      <c r="VL517" s="98">
        <f t="shared" si="3938"/>
        <v>0</v>
      </c>
      <c r="VM517" s="98">
        <f t="shared" si="3938"/>
        <v>0</v>
      </c>
      <c r="VN517" s="98">
        <f t="shared" si="3938"/>
        <v>0</v>
      </c>
      <c r="VO517" s="98">
        <f t="shared" si="3938"/>
        <v>0</v>
      </c>
      <c r="VP517" s="98">
        <f t="shared" si="3938"/>
        <v>0</v>
      </c>
      <c r="VQ517" s="98">
        <f t="shared" si="3938"/>
        <v>0</v>
      </c>
      <c r="VR517" s="98">
        <f t="shared" si="3938"/>
        <v>0</v>
      </c>
      <c r="VS517" s="98">
        <f t="shared" si="3938"/>
        <v>0</v>
      </c>
      <c r="VT517" s="98">
        <f t="shared" si="3938"/>
        <v>0</v>
      </c>
      <c r="VU517" s="198">
        <f t="shared" si="2708"/>
        <v>0</v>
      </c>
      <c r="VV517" s="198">
        <f t="shared" si="2709"/>
        <v>0</v>
      </c>
      <c r="VW517" s="98">
        <f t="shared" ref="VW517:WJ517" si="3939">SUM(VW46,VW84,VW122,VW160,VW198,VW236,VW274,VW312,VW350,VW388,VW426,VW464)</f>
        <v>0</v>
      </c>
      <c r="VX517" s="98">
        <f t="shared" si="3939"/>
        <v>0</v>
      </c>
      <c r="VY517" s="98">
        <f t="shared" si="3939"/>
        <v>0</v>
      </c>
      <c r="VZ517" s="98">
        <f t="shared" si="3939"/>
        <v>0</v>
      </c>
      <c r="WA517" s="98">
        <f t="shared" si="3939"/>
        <v>0</v>
      </c>
      <c r="WB517" s="98">
        <f t="shared" si="3939"/>
        <v>0</v>
      </c>
      <c r="WC517" s="98">
        <f t="shared" si="3939"/>
        <v>0</v>
      </c>
      <c r="WD517" s="98">
        <f t="shared" si="3939"/>
        <v>0</v>
      </c>
      <c r="WE517" s="98">
        <f t="shared" si="3939"/>
        <v>0</v>
      </c>
      <c r="WF517" s="98">
        <f t="shared" si="3939"/>
        <v>0</v>
      </c>
      <c r="WG517" s="98">
        <f t="shared" si="3939"/>
        <v>0</v>
      </c>
      <c r="WH517" s="98">
        <f t="shared" si="3939"/>
        <v>0</v>
      </c>
      <c r="WI517" s="98">
        <f t="shared" si="3939"/>
        <v>0</v>
      </c>
      <c r="WJ517" s="98">
        <f t="shared" si="3939"/>
        <v>0</v>
      </c>
      <c r="WK517" s="198">
        <f t="shared" si="2711"/>
        <v>0</v>
      </c>
      <c r="WL517" s="198">
        <f t="shared" si="2712"/>
        <v>0</v>
      </c>
      <c r="WN517" s="98">
        <f t="shared" si="3734"/>
        <v>645</v>
      </c>
      <c r="WO517" s="98">
        <f t="shared" si="3735"/>
        <v>225750</v>
      </c>
      <c r="WP517" s="98">
        <f t="shared" si="3736"/>
        <v>2429049.9115045071</v>
      </c>
      <c r="WQ517" s="98">
        <f t="shared" si="3737"/>
        <v>9722668.538235195</v>
      </c>
      <c r="WR517" s="98">
        <f t="shared" si="3738"/>
        <v>0</v>
      </c>
      <c r="WS517" s="98">
        <f t="shared" si="3739"/>
        <v>0</v>
      </c>
      <c r="WT517" s="98">
        <f t="shared" si="3740"/>
        <v>3496265.4526353306</v>
      </c>
      <c r="WU517" s="98">
        <f t="shared" si="3741"/>
        <v>14461385.303656366</v>
      </c>
      <c r="WV517" s="98">
        <f t="shared" si="3742"/>
        <v>0</v>
      </c>
      <c r="WW517" s="98">
        <f t="shared" si="3743"/>
        <v>0</v>
      </c>
      <c r="WX517" s="98">
        <f t="shared" si="3744"/>
        <v>0</v>
      </c>
      <c r="WY517" s="98">
        <f t="shared" si="3745"/>
        <v>0</v>
      </c>
      <c r="WZ517" s="98">
        <f t="shared" si="3746"/>
        <v>0</v>
      </c>
      <c r="XA517" s="98">
        <f t="shared" si="3747"/>
        <v>0</v>
      </c>
      <c r="XB517" s="107">
        <f t="shared" si="3748"/>
        <v>5925960.3641398381</v>
      </c>
      <c r="XC517" s="107">
        <f t="shared" si="3749"/>
        <v>24409803.841891561</v>
      </c>
      <c r="XK517" s="98">
        <f t="shared" si="2729"/>
        <v>17957650.756291695</v>
      </c>
      <c r="XL517" s="98">
        <f t="shared" si="2730"/>
        <v>0</v>
      </c>
      <c r="XM517" s="98">
        <f t="shared" si="2731"/>
        <v>0</v>
      </c>
      <c r="XN517" s="98">
        <f t="shared" si="2732"/>
        <v>0</v>
      </c>
      <c r="XO517" s="98">
        <f t="shared" si="2733"/>
        <v>30335764.206031397</v>
      </c>
      <c r="XP517" s="98">
        <f t="shared" si="2734"/>
        <v>645</v>
      </c>
      <c r="XQ517" s="98">
        <f t="shared" si="2735"/>
        <v>12151718.449739702</v>
      </c>
      <c r="XR517" s="107">
        <f t="shared" ca="1" si="2597"/>
        <v>66596198.776202634</v>
      </c>
      <c r="XT517" s="98">
        <f t="shared" si="2736"/>
        <v>24409803.841891561</v>
      </c>
      <c r="XU517" s="98">
        <f t="shared" si="2737"/>
        <v>2654799.9115045071</v>
      </c>
      <c r="XV517" s="98">
        <f t="shared" si="2738"/>
        <v>9722668.538235195</v>
      </c>
      <c r="XW517" s="98">
        <f t="shared" si="2739"/>
        <v>3496265.4526353306</v>
      </c>
      <c r="XX517" s="98">
        <f t="shared" si="2740"/>
        <v>32419036.059948061</v>
      </c>
      <c r="XY517" s="98">
        <f t="shared" si="2741"/>
        <v>0</v>
      </c>
      <c r="XZ517" s="98">
        <f t="shared" si="2742"/>
        <v>30335764.206031397</v>
      </c>
      <c r="YA517" s="107">
        <f t="shared" ca="1" si="2598"/>
        <v>96887272.646106213</v>
      </c>
    </row>
    <row r="518" spans="1:1017">
      <c r="B518" s="90" t="str">
        <f t="shared" si="3695"/>
        <v>Ikan_02 (Tiram)</v>
      </c>
      <c r="C518" s="98">
        <f t="shared" ref="C518:P518" si="3940">SUM(C47,C85,C123,C161,C199,C237,C275,C313,C351,C389,C427,C465)</f>
        <v>0</v>
      </c>
      <c r="D518" s="98">
        <f t="shared" si="3940"/>
        <v>0</v>
      </c>
      <c r="E518" s="98">
        <f t="shared" si="3940"/>
        <v>0</v>
      </c>
      <c r="F518" s="98">
        <f t="shared" si="3940"/>
        <v>0</v>
      </c>
      <c r="G518" s="98">
        <f t="shared" si="3940"/>
        <v>0</v>
      </c>
      <c r="H518" s="98">
        <f t="shared" si="3940"/>
        <v>0</v>
      </c>
      <c r="I518" s="98">
        <f t="shared" si="3940"/>
        <v>0</v>
      </c>
      <c r="J518" s="98">
        <f t="shared" si="3940"/>
        <v>0</v>
      </c>
      <c r="K518" s="98">
        <f t="shared" si="3940"/>
        <v>0</v>
      </c>
      <c r="L518" s="98">
        <f t="shared" si="3940"/>
        <v>0</v>
      </c>
      <c r="M518" s="98">
        <f t="shared" si="3940"/>
        <v>0</v>
      </c>
      <c r="N518" s="98">
        <f t="shared" si="3940"/>
        <v>0</v>
      </c>
      <c r="O518" s="98">
        <f t="shared" si="3940"/>
        <v>0</v>
      </c>
      <c r="P518" s="98">
        <f t="shared" si="3940"/>
        <v>0</v>
      </c>
      <c r="Q518" s="198">
        <f t="shared" si="2600"/>
        <v>0</v>
      </c>
      <c r="R518" s="198">
        <f t="shared" si="2601"/>
        <v>0</v>
      </c>
      <c r="S518" s="98">
        <f t="shared" ref="S518:AF518" si="3941">SUM(S47,S85,S123,S161,S199,S237,S275,S313,S351,S389,S427,S465)</f>
        <v>15415</v>
      </c>
      <c r="T518" s="98">
        <f t="shared" si="3941"/>
        <v>154150</v>
      </c>
      <c r="U518" s="98">
        <f t="shared" si="3941"/>
        <v>0</v>
      </c>
      <c r="V518" s="98">
        <f t="shared" si="3941"/>
        <v>0</v>
      </c>
      <c r="W518" s="98">
        <f t="shared" si="3941"/>
        <v>0</v>
      </c>
      <c r="X518" s="98">
        <f t="shared" si="3941"/>
        <v>0</v>
      </c>
      <c r="Y518" s="98">
        <f t="shared" si="3941"/>
        <v>0</v>
      </c>
      <c r="Z518" s="98">
        <f t="shared" si="3941"/>
        <v>0</v>
      </c>
      <c r="AA518" s="98">
        <f t="shared" si="3941"/>
        <v>0</v>
      </c>
      <c r="AB518" s="98">
        <f t="shared" si="3941"/>
        <v>0</v>
      </c>
      <c r="AC518" s="98">
        <f t="shared" si="3941"/>
        <v>0</v>
      </c>
      <c r="AD518" s="98">
        <f t="shared" si="3941"/>
        <v>0</v>
      </c>
      <c r="AE518" s="98">
        <f t="shared" si="3941"/>
        <v>0</v>
      </c>
      <c r="AF518" s="98">
        <f t="shared" si="3941"/>
        <v>0</v>
      </c>
      <c r="AG518" s="198">
        <f t="shared" si="2603"/>
        <v>15415</v>
      </c>
      <c r="AH518" s="198">
        <f t="shared" si="2604"/>
        <v>154150</v>
      </c>
      <c r="AI518" s="98">
        <f t="shared" ref="AI518:AV518" si="3942">SUM(AI47,AI85,AI123,AI161,AI199,AI237,AI275,AI313,AI351,AI389,AI427,AI465)</f>
        <v>0</v>
      </c>
      <c r="AJ518" s="98">
        <f t="shared" si="3942"/>
        <v>0</v>
      </c>
      <c r="AK518" s="98">
        <f t="shared" si="3942"/>
        <v>0</v>
      </c>
      <c r="AL518" s="98">
        <f t="shared" si="3942"/>
        <v>0</v>
      </c>
      <c r="AM518" s="98">
        <f t="shared" si="3942"/>
        <v>0</v>
      </c>
      <c r="AN518" s="98">
        <f t="shared" si="3942"/>
        <v>0</v>
      </c>
      <c r="AO518" s="98">
        <f t="shared" si="3942"/>
        <v>0</v>
      </c>
      <c r="AP518" s="98">
        <f t="shared" si="3942"/>
        <v>0</v>
      </c>
      <c r="AQ518" s="98">
        <f t="shared" si="3942"/>
        <v>0</v>
      </c>
      <c r="AR518" s="98">
        <f t="shared" si="3942"/>
        <v>0</v>
      </c>
      <c r="AS518" s="98">
        <f t="shared" si="3942"/>
        <v>0</v>
      </c>
      <c r="AT518" s="98">
        <f t="shared" si="3942"/>
        <v>0</v>
      </c>
      <c r="AU518" s="98">
        <f t="shared" si="3942"/>
        <v>0</v>
      </c>
      <c r="AV518" s="98">
        <f t="shared" si="3942"/>
        <v>0</v>
      </c>
      <c r="AW518" s="198">
        <f t="shared" si="2606"/>
        <v>0</v>
      </c>
      <c r="AX518" s="198">
        <f t="shared" si="2607"/>
        <v>0</v>
      </c>
      <c r="AY518" s="98">
        <f t="shared" ref="AY518:BL518" si="3943">SUM(AY47,AY85,AY123,AY161,AY199,AY237,AY275,AY313,AY351,AY389,AY427,AY465)</f>
        <v>0</v>
      </c>
      <c r="AZ518" s="98">
        <f t="shared" si="3943"/>
        <v>0</v>
      </c>
      <c r="BA518" s="98">
        <f t="shared" si="3943"/>
        <v>0</v>
      </c>
      <c r="BB518" s="98">
        <f t="shared" si="3943"/>
        <v>0</v>
      </c>
      <c r="BC518" s="98">
        <f t="shared" si="3943"/>
        <v>0</v>
      </c>
      <c r="BD518" s="98">
        <f t="shared" si="3943"/>
        <v>0</v>
      </c>
      <c r="BE518" s="98">
        <f t="shared" si="3943"/>
        <v>0</v>
      </c>
      <c r="BF518" s="98">
        <f t="shared" si="3943"/>
        <v>0</v>
      </c>
      <c r="BG518" s="98">
        <f t="shared" si="3943"/>
        <v>0</v>
      </c>
      <c r="BH518" s="98">
        <f t="shared" si="3943"/>
        <v>0</v>
      </c>
      <c r="BI518" s="98">
        <f t="shared" si="3943"/>
        <v>0</v>
      </c>
      <c r="BJ518" s="98">
        <f t="shared" si="3943"/>
        <v>0</v>
      </c>
      <c r="BK518" s="98">
        <f t="shared" si="3943"/>
        <v>0</v>
      </c>
      <c r="BL518" s="98">
        <f t="shared" si="3943"/>
        <v>0</v>
      </c>
      <c r="BM518" s="198">
        <f t="shared" si="2609"/>
        <v>0</v>
      </c>
      <c r="BN518" s="198">
        <f t="shared" si="2610"/>
        <v>0</v>
      </c>
      <c r="BO518" s="98">
        <f t="shared" ref="BO518:CB518" si="3944">SUM(BO47,BO85,BO123,BO161,BO199,BO237,BO275,BO313,BO351,BO389,BO427,BO465)</f>
        <v>0</v>
      </c>
      <c r="BP518" s="98">
        <f t="shared" si="3944"/>
        <v>0</v>
      </c>
      <c r="BQ518" s="98">
        <f t="shared" si="3944"/>
        <v>0</v>
      </c>
      <c r="BR518" s="98">
        <f t="shared" si="3944"/>
        <v>0</v>
      </c>
      <c r="BS518" s="98">
        <f t="shared" si="3944"/>
        <v>0</v>
      </c>
      <c r="BT518" s="98">
        <f t="shared" si="3944"/>
        <v>0</v>
      </c>
      <c r="BU518" s="98">
        <f t="shared" si="3944"/>
        <v>0</v>
      </c>
      <c r="BV518" s="98">
        <f t="shared" si="3944"/>
        <v>0</v>
      </c>
      <c r="BW518" s="98">
        <f t="shared" si="3944"/>
        <v>0</v>
      </c>
      <c r="BX518" s="98">
        <f t="shared" si="3944"/>
        <v>0</v>
      </c>
      <c r="BY518" s="98">
        <f t="shared" si="3944"/>
        <v>0</v>
      </c>
      <c r="BZ518" s="98">
        <f t="shared" si="3944"/>
        <v>0</v>
      </c>
      <c r="CA518" s="98">
        <f t="shared" si="3944"/>
        <v>0</v>
      </c>
      <c r="CB518" s="98">
        <f t="shared" si="3944"/>
        <v>0</v>
      </c>
      <c r="CC518" s="198">
        <f t="shared" si="2612"/>
        <v>0</v>
      </c>
      <c r="CD518" s="198">
        <f t="shared" si="2613"/>
        <v>0</v>
      </c>
      <c r="CE518" s="98">
        <f t="shared" ref="CE518:CR518" si="3945">SUM(CE47,CE85,CE123,CE161,CE199,CE237,CE275,CE313,CE351,CE389,CE427,CE465)</f>
        <v>0</v>
      </c>
      <c r="CF518" s="98">
        <f t="shared" si="3945"/>
        <v>0</v>
      </c>
      <c r="CG518" s="98">
        <f t="shared" si="3945"/>
        <v>0</v>
      </c>
      <c r="CH518" s="98">
        <f t="shared" si="3945"/>
        <v>0</v>
      </c>
      <c r="CI518" s="98">
        <f t="shared" si="3945"/>
        <v>0</v>
      </c>
      <c r="CJ518" s="98">
        <f t="shared" si="3945"/>
        <v>0</v>
      </c>
      <c r="CK518" s="98">
        <f t="shared" si="3945"/>
        <v>0</v>
      </c>
      <c r="CL518" s="98">
        <f t="shared" si="3945"/>
        <v>0</v>
      </c>
      <c r="CM518" s="98">
        <f t="shared" si="3945"/>
        <v>0</v>
      </c>
      <c r="CN518" s="98">
        <f t="shared" si="3945"/>
        <v>0</v>
      </c>
      <c r="CO518" s="98">
        <f t="shared" si="3945"/>
        <v>0</v>
      </c>
      <c r="CP518" s="98">
        <f t="shared" si="3945"/>
        <v>0</v>
      </c>
      <c r="CQ518" s="98">
        <f t="shared" si="3945"/>
        <v>0</v>
      </c>
      <c r="CR518" s="98">
        <f t="shared" si="3945"/>
        <v>0</v>
      </c>
      <c r="CS518" s="198">
        <f t="shared" si="2615"/>
        <v>0</v>
      </c>
      <c r="CT518" s="198">
        <f t="shared" si="2616"/>
        <v>0</v>
      </c>
      <c r="CU518" s="98">
        <f t="shared" ref="CU518:DH518" si="3946">SUM(CU47,CU85,CU123,CU161,CU199,CU237,CU275,CU313,CU351,CU389,CU427,CU465)</f>
        <v>0</v>
      </c>
      <c r="CV518" s="98">
        <f t="shared" si="3946"/>
        <v>0</v>
      </c>
      <c r="CW518" s="98">
        <f t="shared" si="3946"/>
        <v>0</v>
      </c>
      <c r="CX518" s="98">
        <f t="shared" si="3946"/>
        <v>0</v>
      </c>
      <c r="CY518" s="98">
        <f t="shared" si="3946"/>
        <v>0</v>
      </c>
      <c r="CZ518" s="98">
        <f t="shared" si="3946"/>
        <v>0</v>
      </c>
      <c r="DA518" s="98">
        <f t="shared" si="3946"/>
        <v>0</v>
      </c>
      <c r="DB518" s="98">
        <f t="shared" si="3946"/>
        <v>0</v>
      </c>
      <c r="DC518" s="98">
        <f t="shared" si="3946"/>
        <v>0</v>
      </c>
      <c r="DD518" s="98">
        <f t="shared" si="3946"/>
        <v>0</v>
      </c>
      <c r="DE518" s="98">
        <f t="shared" si="3946"/>
        <v>0</v>
      </c>
      <c r="DF518" s="98">
        <f t="shared" si="3946"/>
        <v>0</v>
      </c>
      <c r="DG518" s="98">
        <f t="shared" si="3946"/>
        <v>0</v>
      </c>
      <c r="DH518" s="98">
        <f t="shared" si="3946"/>
        <v>0</v>
      </c>
      <c r="DI518" s="198">
        <f t="shared" si="2618"/>
        <v>0</v>
      </c>
      <c r="DJ518" s="198">
        <f t="shared" si="2619"/>
        <v>0</v>
      </c>
      <c r="DK518" s="98">
        <f t="shared" ref="DK518:DX518" si="3947">SUM(DK47,DK85,DK123,DK161,DK199,DK237,DK275,DK313,DK351,DK389,DK427,DK465)</f>
        <v>0</v>
      </c>
      <c r="DL518" s="98">
        <f t="shared" si="3947"/>
        <v>0</v>
      </c>
      <c r="DM518" s="98">
        <f t="shared" si="3947"/>
        <v>0</v>
      </c>
      <c r="DN518" s="98">
        <f t="shared" si="3947"/>
        <v>0</v>
      </c>
      <c r="DO518" s="98">
        <f t="shared" si="3947"/>
        <v>0</v>
      </c>
      <c r="DP518" s="98">
        <f t="shared" si="3947"/>
        <v>0</v>
      </c>
      <c r="DQ518" s="98">
        <f t="shared" si="3947"/>
        <v>0</v>
      </c>
      <c r="DR518" s="98">
        <f t="shared" si="3947"/>
        <v>0</v>
      </c>
      <c r="DS518" s="98">
        <f t="shared" si="3947"/>
        <v>0</v>
      </c>
      <c r="DT518" s="98">
        <f t="shared" si="3947"/>
        <v>0</v>
      </c>
      <c r="DU518" s="98">
        <f t="shared" si="3947"/>
        <v>0</v>
      </c>
      <c r="DV518" s="98">
        <f t="shared" si="3947"/>
        <v>0</v>
      </c>
      <c r="DW518" s="98">
        <f t="shared" si="3947"/>
        <v>0</v>
      </c>
      <c r="DX518" s="98">
        <f t="shared" si="3947"/>
        <v>0</v>
      </c>
      <c r="DY518" s="198">
        <f t="shared" si="2621"/>
        <v>0</v>
      </c>
      <c r="DZ518" s="198">
        <f t="shared" si="2622"/>
        <v>0</v>
      </c>
      <c r="EA518" s="98">
        <f t="shared" ref="EA518:EN518" si="3948">SUM(EA47,EA85,EA123,EA161,EA199,EA237,EA275,EA313,EA351,EA389,EA427,EA465)</f>
        <v>0</v>
      </c>
      <c r="EB518" s="98">
        <f t="shared" si="3948"/>
        <v>0</v>
      </c>
      <c r="EC518" s="98">
        <f t="shared" si="3948"/>
        <v>0</v>
      </c>
      <c r="ED518" s="98">
        <f t="shared" si="3948"/>
        <v>0</v>
      </c>
      <c r="EE518" s="98">
        <f t="shared" si="3948"/>
        <v>0</v>
      </c>
      <c r="EF518" s="98">
        <f t="shared" si="3948"/>
        <v>0</v>
      </c>
      <c r="EG518" s="98">
        <f t="shared" si="3948"/>
        <v>0</v>
      </c>
      <c r="EH518" s="98">
        <f t="shared" si="3948"/>
        <v>0</v>
      </c>
      <c r="EI518" s="98">
        <f t="shared" si="3948"/>
        <v>0</v>
      </c>
      <c r="EJ518" s="98">
        <f t="shared" si="3948"/>
        <v>0</v>
      </c>
      <c r="EK518" s="98">
        <f t="shared" si="3948"/>
        <v>0</v>
      </c>
      <c r="EL518" s="98">
        <f t="shared" si="3948"/>
        <v>0</v>
      </c>
      <c r="EM518" s="98">
        <f t="shared" si="3948"/>
        <v>0</v>
      </c>
      <c r="EN518" s="98">
        <f t="shared" si="3948"/>
        <v>0</v>
      </c>
      <c r="EO518" s="198">
        <f t="shared" si="2624"/>
        <v>0</v>
      </c>
      <c r="EP518" s="198">
        <f t="shared" si="2625"/>
        <v>0</v>
      </c>
      <c r="EQ518" s="98">
        <f t="shared" ref="EQ518:FD518" si="3949">SUM(EQ47,EQ85,EQ123,EQ161,EQ199,EQ237,EQ275,EQ313,EQ351,EQ389,EQ427,EQ465)</f>
        <v>0</v>
      </c>
      <c r="ER518" s="98">
        <f t="shared" si="3949"/>
        <v>0</v>
      </c>
      <c r="ES518" s="98">
        <f t="shared" si="3949"/>
        <v>0</v>
      </c>
      <c r="ET518" s="98">
        <f t="shared" si="3949"/>
        <v>0</v>
      </c>
      <c r="EU518" s="98">
        <f t="shared" si="3949"/>
        <v>0</v>
      </c>
      <c r="EV518" s="98">
        <f t="shared" si="3949"/>
        <v>0</v>
      </c>
      <c r="EW518" s="98">
        <f t="shared" si="3949"/>
        <v>0</v>
      </c>
      <c r="EX518" s="98">
        <f t="shared" si="3949"/>
        <v>0</v>
      </c>
      <c r="EY518" s="98">
        <f t="shared" si="3949"/>
        <v>0</v>
      </c>
      <c r="EZ518" s="98">
        <f t="shared" si="3949"/>
        <v>0</v>
      </c>
      <c r="FA518" s="98">
        <f t="shared" si="3949"/>
        <v>0</v>
      </c>
      <c r="FB518" s="98">
        <f t="shared" si="3949"/>
        <v>0</v>
      </c>
      <c r="FC518" s="98">
        <f t="shared" si="3949"/>
        <v>0</v>
      </c>
      <c r="FD518" s="98">
        <f t="shared" si="3949"/>
        <v>0</v>
      </c>
      <c r="FE518" s="198">
        <f t="shared" si="2627"/>
        <v>0</v>
      </c>
      <c r="FF518" s="198">
        <f t="shared" si="2628"/>
        <v>0</v>
      </c>
      <c r="FG518" s="98">
        <f t="shared" ref="FG518:FT518" si="3950">SUM(FG47,FG85,FG123,FG161,FG199,FG237,FG275,FG313,FG351,FG389,FG427,FG465)</f>
        <v>0</v>
      </c>
      <c r="FH518" s="98">
        <f t="shared" si="3950"/>
        <v>0</v>
      </c>
      <c r="FI518" s="98">
        <f t="shared" si="3950"/>
        <v>0</v>
      </c>
      <c r="FJ518" s="98">
        <f t="shared" si="3950"/>
        <v>0</v>
      </c>
      <c r="FK518" s="98">
        <f t="shared" si="3950"/>
        <v>0</v>
      </c>
      <c r="FL518" s="98">
        <f t="shared" si="3950"/>
        <v>0</v>
      </c>
      <c r="FM518" s="98">
        <f t="shared" si="3950"/>
        <v>0</v>
      </c>
      <c r="FN518" s="98">
        <f t="shared" si="3950"/>
        <v>0</v>
      </c>
      <c r="FO518" s="98">
        <f t="shared" si="3950"/>
        <v>0</v>
      </c>
      <c r="FP518" s="98">
        <f t="shared" si="3950"/>
        <v>0</v>
      </c>
      <c r="FQ518" s="98">
        <f t="shared" si="3950"/>
        <v>0</v>
      </c>
      <c r="FR518" s="98">
        <f t="shared" si="3950"/>
        <v>0</v>
      </c>
      <c r="FS518" s="98">
        <f t="shared" si="3950"/>
        <v>0</v>
      </c>
      <c r="FT518" s="98">
        <f t="shared" si="3950"/>
        <v>0</v>
      </c>
      <c r="FU518" s="198">
        <f t="shared" si="2630"/>
        <v>0</v>
      </c>
      <c r="FV518" s="198">
        <f t="shared" si="2631"/>
        <v>0</v>
      </c>
      <c r="FW518" s="98">
        <f t="shared" ref="FW518:GJ518" si="3951">SUM(FW47,FW85,FW123,FW161,FW199,FW237,FW275,FW313,FW351,FW389,FW427,FW465)</f>
        <v>0</v>
      </c>
      <c r="FX518" s="98">
        <f t="shared" si="3951"/>
        <v>0</v>
      </c>
      <c r="FY518" s="98">
        <f t="shared" si="3951"/>
        <v>0</v>
      </c>
      <c r="FZ518" s="98">
        <f t="shared" si="3951"/>
        <v>0</v>
      </c>
      <c r="GA518" s="98">
        <f t="shared" si="3951"/>
        <v>0</v>
      </c>
      <c r="GB518" s="98">
        <f t="shared" si="3951"/>
        <v>0</v>
      </c>
      <c r="GC518" s="98">
        <f t="shared" si="3951"/>
        <v>0</v>
      </c>
      <c r="GD518" s="98">
        <f t="shared" si="3951"/>
        <v>0</v>
      </c>
      <c r="GE518" s="98">
        <f t="shared" si="3951"/>
        <v>0</v>
      </c>
      <c r="GF518" s="98">
        <f t="shared" si="3951"/>
        <v>0</v>
      </c>
      <c r="GG518" s="98">
        <f t="shared" si="3951"/>
        <v>0</v>
      </c>
      <c r="GH518" s="98">
        <f t="shared" si="3951"/>
        <v>0</v>
      </c>
      <c r="GI518" s="98">
        <f t="shared" si="3951"/>
        <v>0</v>
      </c>
      <c r="GJ518" s="98">
        <f t="shared" si="3951"/>
        <v>0</v>
      </c>
      <c r="GK518" s="198">
        <f t="shared" si="2633"/>
        <v>0</v>
      </c>
      <c r="GL518" s="198">
        <f t="shared" si="2634"/>
        <v>0</v>
      </c>
      <c r="GM518" s="98">
        <f t="shared" ref="GM518:GZ518" si="3952">SUM(GM47,GM85,GM123,GM161,GM199,GM237,GM275,GM313,GM351,GM389,GM427,GM465)</f>
        <v>0</v>
      </c>
      <c r="GN518" s="98">
        <f t="shared" si="3952"/>
        <v>0</v>
      </c>
      <c r="GO518" s="98">
        <f t="shared" si="3952"/>
        <v>0</v>
      </c>
      <c r="GP518" s="98">
        <f t="shared" si="3952"/>
        <v>0</v>
      </c>
      <c r="GQ518" s="98">
        <f t="shared" si="3952"/>
        <v>0</v>
      </c>
      <c r="GR518" s="98">
        <f t="shared" si="3952"/>
        <v>0</v>
      </c>
      <c r="GS518" s="98">
        <f t="shared" si="3952"/>
        <v>0</v>
      </c>
      <c r="GT518" s="98">
        <f t="shared" si="3952"/>
        <v>0</v>
      </c>
      <c r="GU518" s="98">
        <f t="shared" si="3952"/>
        <v>0</v>
      </c>
      <c r="GV518" s="98">
        <f t="shared" si="3952"/>
        <v>0</v>
      </c>
      <c r="GW518" s="98">
        <f t="shared" si="3952"/>
        <v>0</v>
      </c>
      <c r="GX518" s="98">
        <f t="shared" si="3952"/>
        <v>0</v>
      </c>
      <c r="GY518" s="98">
        <f t="shared" si="3952"/>
        <v>0</v>
      </c>
      <c r="GZ518" s="98">
        <f t="shared" si="3952"/>
        <v>0</v>
      </c>
      <c r="HA518" s="198">
        <f t="shared" si="2636"/>
        <v>0</v>
      </c>
      <c r="HB518" s="198">
        <f t="shared" si="2637"/>
        <v>0</v>
      </c>
      <c r="HC518" s="98">
        <f t="shared" ref="HC518:HP518" si="3953">SUM(HC47,HC85,HC123,HC161,HC199,HC237,HC275,HC313,HC351,HC389,HC427,HC465)</f>
        <v>0</v>
      </c>
      <c r="HD518" s="98">
        <f t="shared" si="3953"/>
        <v>0</v>
      </c>
      <c r="HE518" s="98">
        <f t="shared" si="3953"/>
        <v>0</v>
      </c>
      <c r="HF518" s="98">
        <f t="shared" si="3953"/>
        <v>0</v>
      </c>
      <c r="HG518" s="98">
        <f t="shared" si="3953"/>
        <v>0</v>
      </c>
      <c r="HH518" s="98">
        <f t="shared" si="3953"/>
        <v>0</v>
      </c>
      <c r="HI518" s="98">
        <f t="shared" si="3953"/>
        <v>0</v>
      </c>
      <c r="HJ518" s="98">
        <f t="shared" si="3953"/>
        <v>0</v>
      </c>
      <c r="HK518" s="98">
        <f t="shared" si="3953"/>
        <v>0</v>
      </c>
      <c r="HL518" s="98">
        <f t="shared" si="3953"/>
        <v>0</v>
      </c>
      <c r="HM518" s="98">
        <f t="shared" si="3953"/>
        <v>0</v>
      </c>
      <c r="HN518" s="98">
        <f t="shared" si="3953"/>
        <v>0</v>
      </c>
      <c r="HO518" s="98">
        <f t="shared" si="3953"/>
        <v>0</v>
      </c>
      <c r="HP518" s="98">
        <f t="shared" si="3953"/>
        <v>0</v>
      </c>
      <c r="HQ518" s="198">
        <f t="shared" si="2639"/>
        <v>0</v>
      </c>
      <c r="HR518" s="198">
        <f t="shared" si="2640"/>
        <v>0</v>
      </c>
      <c r="HS518" s="98">
        <f t="shared" ref="HS518:IF518" si="3954">SUM(HS47,HS85,HS123,HS161,HS199,HS237,HS275,HS313,HS351,HS389,HS427,HS465)</f>
        <v>0</v>
      </c>
      <c r="HT518" s="98">
        <f t="shared" si="3954"/>
        <v>0</v>
      </c>
      <c r="HU518" s="98">
        <f t="shared" si="3954"/>
        <v>0</v>
      </c>
      <c r="HV518" s="98">
        <f t="shared" si="3954"/>
        <v>0</v>
      </c>
      <c r="HW518" s="98">
        <f t="shared" si="3954"/>
        <v>0</v>
      </c>
      <c r="HX518" s="98">
        <f t="shared" si="3954"/>
        <v>0</v>
      </c>
      <c r="HY518" s="98">
        <f t="shared" si="3954"/>
        <v>0</v>
      </c>
      <c r="HZ518" s="98">
        <f t="shared" si="3954"/>
        <v>0</v>
      </c>
      <c r="IA518" s="98">
        <f t="shared" si="3954"/>
        <v>0</v>
      </c>
      <c r="IB518" s="98">
        <f t="shared" si="3954"/>
        <v>0</v>
      </c>
      <c r="IC518" s="98">
        <f t="shared" si="3954"/>
        <v>0</v>
      </c>
      <c r="ID518" s="98">
        <f t="shared" si="3954"/>
        <v>0</v>
      </c>
      <c r="IE518" s="98">
        <f t="shared" si="3954"/>
        <v>0</v>
      </c>
      <c r="IF518" s="98">
        <f t="shared" si="3954"/>
        <v>0</v>
      </c>
      <c r="IG518" s="198">
        <f t="shared" si="2642"/>
        <v>0</v>
      </c>
      <c r="IH518" s="198">
        <f t="shared" si="2643"/>
        <v>0</v>
      </c>
      <c r="II518" s="98">
        <f t="shared" ref="II518:IV518" si="3955">SUM(II47,II85,II123,II161,II199,II237,II275,II313,II351,II389,II427,II465)</f>
        <v>0</v>
      </c>
      <c r="IJ518" s="98">
        <f t="shared" si="3955"/>
        <v>0</v>
      </c>
      <c r="IK518" s="98">
        <f t="shared" si="3955"/>
        <v>0</v>
      </c>
      <c r="IL518" s="98">
        <f t="shared" si="3955"/>
        <v>0</v>
      </c>
      <c r="IM518" s="98">
        <f t="shared" si="3955"/>
        <v>0</v>
      </c>
      <c r="IN518" s="98">
        <f t="shared" si="3955"/>
        <v>0</v>
      </c>
      <c r="IO518" s="98">
        <f t="shared" si="3955"/>
        <v>0</v>
      </c>
      <c r="IP518" s="98">
        <f t="shared" si="3955"/>
        <v>0</v>
      </c>
      <c r="IQ518" s="98">
        <f t="shared" si="3955"/>
        <v>0</v>
      </c>
      <c r="IR518" s="98">
        <f t="shared" si="3955"/>
        <v>0</v>
      </c>
      <c r="IS518" s="98">
        <f t="shared" si="3955"/>
        <v>0</v>
      </c>
      <c r="IT518" s="98">
        <f t="shared" si="3955"/>
        <v>0</v>
      </c>
      <c r="IU518" s="98">
        <f t="shared" si="3955"/>
        <v>0</v>
      </c>
      <c r="IV518" s="98">
        <f t="shared" si="3955"/>
        <v>0</v>
      </c>
      <c r="IW518" s="198">
        <f t="shared" si="2645"/>
        <v>0</v>
      </c>
      <c r="IX518" s="198">
        <f t="shared" si="2646"/>
        <v>0</v>
      </c>
      <c r="IY518" s="98">
        <f t="shared" ref="IY518:JL518" si="3956">SUM(IY47,IY85,IY123,IY161,IY199,IY237,IY275,IY313,IY351,IY389,IY427,IY465)</f>
        <v>0</v>
      </c>
      <c r="IZ518" s="98">
        <f t="shared" si="3956"/>
        <v>0</v>
      </c>
      <c r="JA518" s="98">
        <f t="shared" si="3956"/>
        <v>0</v>
      </c>
      <c r="JB518" s="98">
        <f t="shared" si="3956"/>
        <v>0</v>
      </c>
      <c r="JC518" s="98">
        <f t="shared" si="3956"/>
        <v>0</v>
      </c>
      <c r="JD518" s="98">
        <f t="shared" si="3956"/>
        <v>0</v>
      </c>
      <c r="JE518" s="98">
        <f t="shared" si="3956"/>
        <v>0</v>
      </c>
      <c r="JF518" s="98">
        <f t="shared" si="3956"/>
        <v>0</v>
      </c>
      <c r="JG518" s="98">
        <f t="shared" si="3956"/>
        <v>0</v>
      </c>
      <c r="JH518" s="98">
        <f t="shared" si="3956"/>
        <v>0</v>
      </c>
      <c r="JI518" s="98">
        <f t="shared" si="3956"/>
        <v>0</v>
      </c>
      <c r="JJ518" s="98">
        <f t="shared" si="3956"/>
        <v>0</v>
      </c>
      <c r="JK518" s="98">
        <f t="shared" si="3956"/>
        <v>0</v>
      </c>
      <c r="JL518" s="98">
        <f t="shared" si="3956"/>
        <v>0</v>
      </c>
      <c r="JM518" s="198">
        <f t="shared" si="2648"/>
        <v>0</v>
      </c>
      <c r="JN518" s="198">
        <f t="shared" si="2649"/>
        <v>0</v>
      </c>
      <c r="JO518" s="98">
        <f t="shared" ref="JO518:KB518" si="3957">SUM(JO47,JO85,JO123,JO161,JO199,JO237,JO275,JO313,JO351,JO389,JO427,JO465)</f>
        <v>0</v>
      </c>
      <c r="JP518" s="98">
        <f t="shared" si="3957"/>
        <v>0</v>
      </c>
      <c r="JQ518" s="98">
        <f t="shared" si="3957"/>
        <v>0</v>
      </c>
      <c r="JR518" s="98">
        <f t="shared" si="3957"/>
        <v>0</v>
      </c>
      <c r="JS518" s="98">
        <f t="shared" si="3957"/>
        <v>0</v>
      </c>
      <c r="JT518" s="98">
        <f t="shared" si="3957"/>
        <v>0</v>
      </c>
      <c r="JU518" s="98">
        <f t="shared" si="3957"/>
        <v>0</v>
      </c>
      <c r="JV518" s="98">
        <f t="shared" si="3957"/>
        <v>0</v>
      </c>
      <c r="JW518" s="98">
        <f t="shared" si="3957"/>
        <v>0</v>
      </c>
      <c r="JX518" s="98">
        <f t="shared" si="3957"/>
        <v>0</v>
      </c>
      <c r="JY518" s="98">
        <f t="shared" si="3957"/>
        <v>0</v>
      </c>
      <c r="JZ518" s="98">
        <f t="shared" si="3957"/>
        <v>0</v>
      </c>
      <c r="KA518" s="98">
        <f t="shared" si="3957"/>
        <v>0</v>
      </c>
      <c r="KB518" s="98">
        <f t="shared" si="3957"/>
        <v>0</v>
      </c>
      <c r="KC518" s="198">
        <f t="shared" si="2651"/>
        <v>0</v>
      </c>
      <c r="KD518" s="198">
        <f t="shared" si="2652"/>
        <v>0</v>
      </c>
      <c r="KE518" s="98">
        <f t="shared" ref="KE518:KR518" si="3958">SUM(KE47,KE85,KE123,KE161,KE199,KE237,KE275,KE313,KE351,KE389,KE427,KE465)</f>
        <v>0</v>
      </c>
      <c r="KF518" s="98">
        <f t="shared" si="3958"/>
        <v>0</v>
      </c>
      <c r="KG518" s="98">
        <f t="shared" si="3958"/>
        <v>0</v>
      </c>
      <c r="KH518" s="98">
        <f t="shared" si="3958"/>
        <v>0</v>
      </c>
      <c r="KI518" s="98">
        <f t="shared" si="3958"/>
        <v>0</v>
      </c>
      <c r="KJ518" s="98">
        <f t="shared" si="3958"/>
        <v>0</v>
      </c>
      <c r="KK518" s="98">
        <f t="shared" si="3958"/>
        <v>0</v>
      </c>
      <c r="KL518" s="98">
        <f t="shared" si="3958"/>
        <v>0</v>
      </c>
      <c r="KM518" s="98">
        <f t="shared" si="3958"/>
        <v>0</v>
      </c>
      <c r="KN518" s="98">
        <f t="shared" si="3958"/>
        <v>0</v>
      </c>
      <c r="KO518" s="98">
        <f t="shared" si="3958"/>
        <v>0</v>
      </c>
      <c r="KP518" s="98">
        <f t="shared" si="3958"/>
        <v>0</v>
      </c>
      <c r="KQ518" s="98">
        <f t="shared" si="3958"/>
        <v>0</v>
      </c>
      <c r="KR518" s="98">
        <f t="shared" si="3958"/>
        <v>0</v>
      </c>
      <c r="KS518" s="198">
        <f t="shared" si="2654"/>
        <v>0</v>
      </c>
      <c r="KT518" s="198">
        <f t="shared" si="2655"/>
        <v>0</v>
      </c>
      <c r="KU518" s="98">
        <f t="shared" ref="KU518:LH518" si="3959">SUM(KU47,KU85,KU123,KU161,KU199,KU237,KU275,KU313,KU351,KU389,KU427,KU465)</f>
        <v>0</v>
      </c>
      <c r="KV518" s="98">
        <f t="shared" si="3959"/>
        <v>0</v>
      </c>
      <c r="KW518" s="98">
        <f t="shared" si="3959"/>
        <v>0</v>
      </c>
      <c r="KX518" s="98">
        <f t="shared" si="3959"/>
        <v>0</v>
      </c>
      <c r="KY518" s="98">
        <f t="shared" si="3959"/>
        <v>0</v>
      </c>
      <c r="KZ518" s="98">
        <f t="shared" si="3959"/>
        <v>0</v>
      </c>
      <c r="LA518" s="98">
        <f t="shared" si="3959"/>
        <v>0</v>
      </c>
      <c r="LB518" s="98">
        <f t="shared" si="3959"/>
        <v>0</v>
      </c>
      <c r="LC518" s="98">
        <f t="shared" si="3959"/>
        <v>0</v>
      </c>
      <c r="LD518" s="98">
        <f t="shared" si="3959"/>
        <v>0</v>
      </c>
      <c r="LE518" s="98">
        <f t="shared" si="3959"/>
        <v>0</v>
      </c>
      <c r="LF518" s="98">
        <f t="shared" si="3959"/>
        <v>0</v>
      </c>
      <c r="LG518" s="98">
        <f t="shared" si="3959"/>
        <v>0</v>
      </c>
      <c r="LH518" s="98">
        <f t="shared" si="3959"/>
        <v>0</v>
      </c>
      <c r="LI518" s="198">
        <f t="shared" si="2657"/>
        <v>0</v>
      </c>
      <c r="LJ518" s="198">
        <f t="shared" si="2658"/>
        <v>0</v>
      </c>
      <c r="LK518" s="98">
        <f t="shared" ref="LK518:LX518" si="3960">SUM(LK47,LK85,LK123,LK161,LK199,LK237,LK275,LK313,LK351,LK389,LK427,LK465)</f>
        <v>0</v>
      </c>
      <c r="LL518" s="98">
        <f t="shared" si="3960"/>
        <v>0</v>
      </c>
      <c r="LM518" s="98">
        <f t="shared" si="3960"/>
        <v>0</v>
      </c>
      <c r="LN518" s="98">
        <f t="shared" si="3960"/>
        <v>0</v>
      </c>
      <c r="LO518" s="98">
        <f t="shared" si="3960"/>
        <v>0</v>
      </c>
      <c r="LP518" s="98">
        <f t="shared" si="3960"/>
        <v>0</v>
      </c>
      <c r="LQ518" s="98">
        <f t="shared" si="3960"/>
        <v>0</v>
      </c>
      <c r="LR518" s="98">
        <f t="shared" si="3960"/>
        <v>0</v>
      </c>
      <c r="LS518" s="98">
        <f t="shared" si="3960"/>
        <v>0</v>
      </c>
      <c r="LT518" s="98">
        <f t="shared" si="3960"/>
        <v>0</v>
      </c>
      <c r="LU518" s="98">
        <f t="shared" si="3960"/>
        <v>0</v>
      </c>
      <c r="LV518" s="98">
        <f t="shared" si="3960"/>
        <v>0</v>
      </c>
      <c r="LW518" s="98">
        <f t="shared" si="3960"/>
        <v>0</v>
      </c>
      <c r="LX518" s="98">
        <f t="shared" si="3960"/>
        <v>0</v>
      </c>
      <c r="LY518" s="198">
        <f t="shared" si="2660"/>
        <v>0</v>
      </c>
      <c r="LZ518" s="198">
        <f t="shared" si="2661"/>
        <v>0</v>
      </c>
      <c r="MA518" s="98">
        <f t="shared" ref="MA518:MN518" si="3961">SUM(MA47,MA85,MA123,MA161,MA199,MA237,MA275,MA313,MA351,MA389,MA427,MA465)</f>
        <v>0</v>
      </c>
      <c r="MB518" s="98">
        <f t="shared" si="3961"/>
        <v>0</v>
      </c>
      <c r="MC518" s="98">
        <f t="shared" si="3961"/>
        <v>0</v>
      </c>
      <c r="MD518" s="98">
        <f t="shared" si="3961"/>
        <v>0</v>
      </c>
      <c r="ME518" s="98">
        <f t="shared" si="3961"/>
        <v>0</v>
      </c>
      <c r="MF518" s="98">
        <f t="shared" si="3961"/>
        <v>0</v>
      </c>
      <c r="MG518" s="98">
        <f t="shared" si="3961"/>
        <v>0</v>
      </c>
      <c r="MH518" s="98">
        <f t="shared" si="3961"/>
        <v>0</v>
      </c>
      <c r="MI518" s="98">
        <f t="shared" si="3961"/>
        <v>0</v>
      </c>
      <c r="MJ518" s="98">
        <f t="shared" si="3961"/>
        <v>0</v>
      </c>
      <c r="MK518" s="98">
        <f t="shared" si="3961"/>
        <v>0</v>
      </c>
      <c r="ML518" s="98">
        <f t="shared" si="3961"/>
        <v>0</v>
      </c>
      <c r="MM518" s="98">
        <f t="shared" si="3961"/>
        <v>0</v>
      </c>
      <c r="MN518" s="98">
        <f t="shared" si="3961"/>
        <v>0</v>
      </c>
      <c r="MO518" s="198">
        <f t="shared" si="2663"/>
        <v>0</v>
      </c>
      <c r="MP518" s="198">
        <f t="shared" si="2664"/>
        <v>0</v>
      </c>
      <c r="MQ518" s="98">
        <f t="shared" ref="MQ518:ND518" si="3962">SUM(MQ47,MQ85,MQ123,MQ161,MQ199,MQ237,MQ275,MQ313,MQ351,MQ389,MQ427,MQ465)</f>
        <v>0</v>
      </c>
      <c r="MR518" s="98">
        <f t="shared" si="3962"/>
        <v>0</v>
      </c>
      <c r="MS518" s="98">
        <f t="shared" si="3962"/>
        <v>0</v>
      </c>
      <c r="MT518" s="98">
        <f t="shared" si="3962"/>
        <v>0</v>
      </c>
      <c r="MU518" s="98">
        <f t="shared" si="3962"/>
        <v>0</v>
      </c>
      <c r="MV518" s="98">
        <f t="shared" si="3962"/>
        <v>0</v>
      </c>
      <c r="MW518" s="98">
        <f t="shared" si="3962"/>
        <v>0</v>
      </c>
      <c r="MX518" s="98">
        <f t="shared" si="3962"/>
        <v>0</v>
      </c>
      <c r="MY518" s="98">
        <f t="shared" si="3962"/>
        <v>0</v>
      </c>
      <c r="MZ518" s="98">
        <f t="shared" si="3962"/>
        <v>0</v>
      </c>
      <c r="NA518" s="98">
        <f t="shared" si="3962"/>
        <v>0</v>
      </c>
      <c r="NB518" s="98">
        <f t="shared" si="3962"/>
        <v>0</v>
      </c>
      <c r="NC518" s="98">
        <f t="shared" si="3962"/>
        <v>0</v>
      </c>
      <c r="ND518" s="98">
        <f t="shared" si="3962"/>
        <v>0</v>
      </c>
      <c r="NE518" s="198">
        <f t="shared" si="2666"/>
        <v>0</v>
      </c>
      <c r="NF518" s="198">
        <f t="shared" si="2667"/>
        <v>0</v>
      </c>
      <c r="NG518" s="98">
        <f t="shared" ref="NG518:NT518" si="3963">SUM(NG47,NG85,NG123,NG161,NG199,NG237,NG275,NG313,NG351,NG389,NG427,NG465)</f>
        <v>0</v>
      </c>
      <c r="NH518" s="98">
        <f t="shared" si="3963"/>
        <v>0</v>
      </c>
      <c r="NI518" s="98">
        <f t="shared" si="3963"/>
        <v>0</v>
      </c>
      <c r="NJ518" s="98">
        <f t="shared" si="3963"/>
        <v>0</v>
      </c>
      <c r="NK518" s="98">
        <f t="shared" si="3963"/>
        <v>0</v>
      </c>
      <c r="NL518" s="98">
        <f t="shared" si="3963"/>
        <v>0</v>
      </c>
      <c r="NM518" s="98">
        <f t="shared" si="3963"/>
        <v>0</v>
      </c>
      <c r="NN518" s="98">
        <f t="shared" si="3963"/>
        <v>0</v>
      </c>
      <c r="NO518" s="98">
        <f t="shared" si="3963"/>
        <v>0</v>
      </c>
      <c r="NP518" s="98">
        <f t="shared" si="3963"/>
        <v>0</v>
      </c>
      <c r="NQ518" s="98">
        <f t="shared" si="3963"/>
        <v>0</v>
      </c>
      <c r="NR518" s="98">
        <f t="shared" si="3963"/>
        <v>0</v>
      </c>
      <c r="NS518" s="98">
        <f t="shared" si="3963"/>
        <v>0</v>
      </c>
      <c r="NT518" s="98">
        <f t="shared" si="3963"/>
        <v>0</v>
      </c>
      <c r="NU518" s="198">
        <f t="shared" si="2669"/>
        <v>0</v>
      </c>
      <c r="NV518" s="198">
        <f t="shared" si="2670"/>
        <v>0</v>
      </c>
      <c r="NW518" s="98">
        <f t="shared" ref="NW518:OJ518" si="3964">SUM(NW47,NW85,NW123,NW161,NW199,NW237,NW275,NW313,NW351,NW389,NW427,NW465)</f>
        <v>0</v>
      </c>
      <c r="NX518" s="98">
        <f t="shared" si="3964"/>
        <v>0</v>
      </c>
      <c r="NY518" s="98">
        <f t="shared" si="3964"/>
        <v>0</v>
      </c>
      <c r="NZ518" s="98">
        <f t="shared" si="3964"/>
        <v>0</v>
      </c>
      <c r="OA518" s="98">
        <f t="shared" si="3964"/>
        <v>0</v>
      </c>
      <c r="OB518" s="98">
        <f t="shared" si="3964"/>
        <v>0</v>
      </c>
      <c r="OC518" s="98">
        <f t="shared" si="3964"/>
        <v>0</v>
      </c>
      <c r="OD518" s="98">
        <f t="shared" si="3964"/>
        <v>0</v>
      </c>
      <c r="OE518" s="98">
        <f t="shared" si="3964"/>
        <v>0</v>
      </c>
      <c r="OF518" s="98">
        <f t="shared" si="3964"/>
        <v>0</v>
      </c>
      <c r="OG518" s="98">
        <f t="shared" si="3964"/>
        <v>0</v>
      </c>
      <c r="OH518" s="98">
        <f t="shared" si="3964"/>
        <v>0</v>
      </c>
      <c r="OI518" s="98">
        <f t="shared" si="3964"/>
        <v>0</v>
      </c>
      <c r="OJ518" s="98">
        <f t="shared" si="3964"/>
        <v>0</v>
      </c>
      <c r="OK518" s="198">
        <f t="shared" si="2672"/>
        <v>0</v>
      </c>
      <c r="OL518" s="198">
        <f t="shared" si="2673"/>
        <v>0</v>
      </c>
      <c r="OM518" s="98">
        <f t="shared" ref="OM518:OZ518" si="3965">SUM(OM47,OM85,OM123,OM161,OM199,OM237,OM275,OM313,OM351,OM389,OM427,OM465)</f>
        <v>0</v>
      </c>
      <c r="ON518" s="98">
        <f t="shared" si="3965"/>
        <v>0</v>
      </c>
      <c r="OO518" s="98">
        <f t="shared" si="3965"/>
        <v>0</v>
      </c>
      <c r="OP518" s="98">
        <f t="shared" si="3965"/>
        <v>0</v>
      </c>
      <c r="OQ518" s="98">
        <f t="shared" si="3965"/>
        <v>0</v>
      </c>
      <c r="OR518" s="98">
        <f t="shared" si="3965"/>
        <v>0</v>
      </c>
      <c r="OS518" s="98">
        <f t="shared" si="3965"/>
        <v>0</v>
      </c>
      <c r="OT518" s="98">
        <f t="shared" si="3965"/>
        <v>0</v>
      </c>
      <c r="OU518" s="98">
        <f t="shared" si="3965"/>
        <v>0</v>
      </c>
      <c r="OV518" s="98">
        <f t="shared" si="3965"/>
        <v>0</v>
      </c>
      <c r="OW518" s="98">
        <f t="shared" si="3965"/>
        <v>0</v>
      </c>
      <c r="OX518" s="98">
        <f t="shared" si="3965"/>
        <v>0</v>
      </c>
      <c r="OY518" s="98">
        <f t="shared" si="3965"/>
        <v>0</v>
      </c>
      <c r="OZ518" s="98">
        <f t="shared" si="3965"/>
        <v>0</v>
      </c>
      <c r="PA518" s="198">
        <f t="shared" si="2675"/>
        <v>0</v>
      </c>
      <c r="PB518" s="198">
        <f t="shared" si="2676"/>
        <v>0</v>
      </c>
      <c r="PC518" s="98">
        <f t="shared" ref="PC518:PP518" si="3966">SUM(PC47,PC85,PC123,PC161,PC199,PC237,PC275,PC313,PC351,PC389,PC427,PC465)</f>
        <v>0</v>
      </c>
      <c r="PD518" s="98">
        <f t="shared" si="3966"/>
        <v>0</v>
      </c>
      <c r="PE518" s="98">
        <f t="shared" si="3966"/>
        <v>0</v>
      </c>
      <c r="PF518" s="98">
        <f t="shared" si="3966"/>
        <v>0</v>
      </c>
      <c r="PG518" s="98">
        <f t="shared" si="3966"/>
        <v>0</v>
      </c>
      <c r="PH518" s="98">
        <f t="shared" si="3966"/>
        <v>0</v>
      </c>
      <c r="PI518" s="98">
        <f t="shared" si="3966"/>
        <v>0</v>
      </c>
      <c r="PJ518" s="98">
        <f t="shared" si="3966"/>
        <v>0</v>
      </c>
      <c r="PK518" s="98">
        <f t="shared" si="3966"/>
        <v>0</v>
      </c>
      <c r="PL518" s="98">
        <f t="shared" si="3966"/>
        <v>0</v>
      </c>
      <c r="PM518" s="98">
        <f t="shared" si="3966"/>
        <v>0</v>
      </c>
      <c r="PN518" s="98">
        <f t="shared" si="3966"/>
        <v>0</v>
      </c>
      <c r="PO518" s="98">
        <f t="shared" si="3966"/>
        <v>0</v>
      </c>
      <c r="PP518" s="98">
        <f t="shared" si="3966"/>
        <v>0</v>
      </c>
      <c r="PQ518" s="198">
        <f t="shared" si="2678"/>
        <v>0</v>
      </c>
      <c r="PR518" s="198">
        <f t="shared" si="2679"/>
        <v>0</v>
      </c>
      <c r="PS518" s="98">
        <f t="shared" ref="PS518:QF518" si="3967">SUM(PS47,PS85,PS123,PS161,PS199,PS237,PS275,PS313,PS351,PS389,PS427,PS465)</f>
        <v>0</v>
      </c>
      <c r="PT518" s="98">
        <f t="shared" si="3967"/>
        <v>0</v>
      </c>
      <c r="PU518" s="98">
        <f t="shared" si="3967"/>
        <v>0</v>
      </c>
      <c r="PV518" s="98">
        <f t="shared" si="3967"/>
        <v>0</v>
      </c>
      <c r="PW518" s="98">
        <f t="shared" si="3967"/>
        <v>0</v>
      </c>
      <c r="PX518" s="98">
        <f t="shared" si="3967"/>
        <v>0</v>
      </c>
      <c r="PY518" s="98">
        <f t="shared" si="3967"/>
        <v>0</v>
      </c>
      <c r="PZ518" s="98">
        <f t="shared" si="3967"/>
        <v>0</v>
      </c>
      <c r="QA518" s="98">
        <f t="shared" si="3967"/>
        <v>0</v>
      </c>
      <c r="QB518" s="98">
        <f t="shared" si="3967"/>
        <v>0</v>
      </c>
      <c r="QC518" s="98">
        <f t="shared" si="3967"/>
        <v>0</v>
      </c>
      <c r="QD518" s="98">
        <f t="shared" si="3967"/>
        <v>0</v>
      </c>
      <c r="QE518" s="98">
        <f t="shared" si="3967"/>
        <v>0</v>
      </c>
      <c r="QF518" s="98">
        <f t="shared" si="3967"/>
        <v>0</v>
      </c>
      <c r="QG518" s="198">
        <f t="shared" si="2681"/>
        <v>0</v>
      </c>
      <c r="QH518" s="198">
        <f t="shared" si="2682"/>
        <v>0</v>
      </c>
      <c r="QI518" s="98">
        <f t="shared" ref="QI518:QV518" si="3968">SUM(QI47,QI85,QI123,QI161,QI199,QI237,QI275,QI313,QI351,QI389,QI427,QI465)</f>
        <v>0</v>
      </c>
      <c r="QJ518" s="98">
        <f t="shared" si="3968"/>
        <v>0</v>
      </c>
      <c r="QK518" s="98">
        <f t="shared" si="3968"/>
        <v>0</v>
      </c>
      <c r="QL518" s="98">
        <f t="shared" si="3968"/>
        <v>0</v>
      </c>
      <c r="QM518" s="98">
        <f t="shared" si="3968"/>
        <v>0</v>
      </c>
      <c r="QN518" s="98">
        <f t="shared" si="3968"/>
        <v>0</v>
      </c>
      <c r="QO518" s="98">
        <f t="shared" si="3968"/>
        <v>0</v>
      </c>
      <c r="QP518" s="98">
        <f t="shared" si="3968"/>
        <v>0</v>
      </c>
      <c r="QQ518" s="98">
        <f t="shared" si="3968"/>
        <v>0</v>
      </c>
      <c r="QR518" s="98">
        <f t="shared" si="3968"/>
        <v>0</v>
      </c>
      <c r="QS518" s="98">
        <f t="shared" si="3968"/>
        <v>0</v>
      </c>
      <c r="QT518" s="98">
        <f t="shared" si="3968"/>
        <v>0</v>
      </c>
      <c r="QU518" s="98">
        <f t="shared" si="3968"/>
        <v>0</v>
      </c>
      <c r="QV518" s="98">
        <f t="shared" si="3968"/>
        <v>0</v>
      </c>
      <c r="QW518" s="198">
        <f t="shared" si="2684"/>
        <v>0</v>
      </c>
      <c r="QX518" s="198">
        <f t="shared" si="2685"/>
        <v>0</v>
      </c>
      <c r="QY518" s="98">
        <f t="shared" ref="QY518:RL518" si="3969">SUM(QY47,QY85,QY123,QY161,QY199,QY237,QY275,QY313,QY351,QY389,QY427,QY465)</f>
        <v>0</v>
      </c>
      <c r="QZ518" s="98">
        <f t="shared" si="3969"/>
        <v>0</v>
      </c>
      <c r="RA518" s="98">
        <f t="shared" si="3969"/>
        <v>0</v>
      </c>
      <c r="RB518" s="98">
        <f t="shared" si="3969"/>
        <v>0</v>
      </c>
      <c r="RC518" s="98">
        <f t="shared" si="3969"/>
        <v>0</v>
      </c>
      <c r="RD518" s="98">
        <f t="shared" si="3969"/>
        <v>0</v>
      </c>
      <c r="RE518" s="98">
        <f t="shared" si="3969"/>
        <v>0</v>
      </c>
      <c r="RF518" s="98">
        <f t="shared" si="3969"/>
        <v>0</v>
      </c>
      <c r="RG518" s="98">
        <f t="shared" si="3969"/>
        <v>0</v>
      </c>
      <c r="RH518" s="98">
        <f t="shared" si="3969"/>
        <v>0</v>
      </c>
      <c r="RI518" s="98">
        <f t="shared" si="3969"/>
        <v>0</v>
      </c>
      <c r="RJ518" s="98">
        <f t="shared" si="3969"/>
        <v>0</v>
      </c>
      <c r="RK518" s="98">
        <f t="shared" si="3969"/>
        <v>0</v>
      </c>
      <c r="RL518" s="98">
        <f t="shared" si="3969"/>
        <v>0</v>
      </c>
      <c r="RM518" s="198">
        <f t="shared" si="2687"/>
        <v>0</v>
      </c>
      <c r="RN518" s="198">
        <f t="shared" si="2688"/>
        <v>0</v>
      </c>
      <c r="RO518" s="98">
        <f t="shared" ref="RO518:SB518" si="3970">SUM(RO47,RO85,RO123,RO161,RO199,RO237,RO275,RO313,RO351,RO389,RO427,RO465)</f>
        <v>0</v>
      </c>
      <c r="RP518" s="98">
        <f t="shared" si="3970"/>
        <v>0</v>
      </c>
      <c r="RQ518" s="98">
        <f t="shared" si="3970"/>
        <v>0</v>
      </c>
      <c r="RR518" s="98">
        <f t="shared" si="3970"/>
        <v>0</v>
      </c>
      <c r="RS518" s="98">
        <f t="shared" si="3970"/>
        <v>0</v>
      </c>
      <c r="RT518" s="98">
        <f t="shared" si="3970"/>
        <v>0</v>
      </c>
      <c r="RU518" s="98">
        <f t="shared" si="3970"/>
        <v>0</v>
      </c>
      <c r="RV518" s="98">
        <f t="shared" si="3970"/>
        <v>0</v>
      </c>
      <c r="RW518" s="98">
        <f t="shared" si="3970"/>
        <v>0</v>
      </c>
      <c r="RX518" s="98">
        <f t="shared" si="3970"/>
        <v>0</v>
      </c>
      <c r="RY518" s="98">
        <f t="shared" si="3970"/>
        <v>0</v>
      </c>
      <c r="RZ518" s="98">
        <f t="shared" si="3970"/>
        <v>0</v>
      </c>
      <c r="SA518" s="98">
        <f t="shared" si="3970"/>
        <v>0</v>
      </c>
      <c r="SB518" s="98">
        <f t="shared" si="3970"/>
        <v>0</v>
      </c>
      <c r="SC518" s="198">
        <f t="shared" si="2690"/>
        <v>0</v>
      </c>
      <c r="SD518" s="198">
        <f t="shared" si="2691"/>
        <v>0</v>
      </c>
      <c r="SE518" s="98">
        <f t="shared" ref="SE518:SR518" si="3971">SUM(SE47,SE85,SE123,SE161,SE199,SE237,SE275,SE313,SE351,SE389,SE427,SE465)</f>
        <v>0</v>
      </c>
      <c r="SF518" s="98">
        <f t="shared" si="3971"/>
        <v>0</v>
      </c>
      <c r="SG518" s="98">
        <f t="shared" si="3971"/>
        <v>0</v>
      </c>
      <c r="SH518" s="98">
        <f t="shared" si="3971"/>
        <v>0</v>
      </c>
      <c r="SI518" s="98">
        <f t="shared" si="3971"/>
        <v>0</v>
      </c>
      <c r="SJ518" s="98">
        <f t="shared" si="3971"/>
        <v>0</v>
      </c>
      <c r="SK518" s="98">
        <f t="shared" si="3971"/>
        <v>0</v>
      </c>
      <c r="SL518" s="98">
        <f t="shared" si="3971"/>
        <v>0</v>
      </c>
      <c r="SM518" s="98">
        <f t="shared" si="3971"/>
        <v>0</v>
      </c>
      <c r="SN518" s="98">
        <f t="shared" si="3971"/>
        <v>0</v>
      </c>
      <c r="SO518" s="98">
        <f t="shared" si="3971"/>
        <v>0</v>
      </c>
      <c r="SP518" s="98">
        <f t="shared" si="3971"/>
        <v>0</v>
      </c>
      <c r="SQ518" s="98">
        <f t="shared" si="3971"/>
        <v>0</v>
      </c>
      <c r="SR518" s="98">
        <f t="shared" si="3971"/>
        <v>0</v>
      </c>
      <c r="SS518" s="198">
        <f t="shared" si="2693"/>
        <v>0</v>
      </c>
      <c r="ST518" s="198">
        <f t="shared" si="2694"/>
        <v>0</v>
      </c>
      <c r="SU518" s="98">
        <f t="shared" ref="SU518:TH518" si="3972">SUM(SU47,SU85,SU123,SU161,SU199,SU237,SU275,SU313,SU351,SU389,SU427,SU465)</f>
        <v>0</v>
      </c>
      <c r="SV518" s="98">
        <f t="shared" si="3972"/>
        <v>0</v>
      </c>
      <c r="SW518" s="98">
        <f t="shared" si="3972"/>
        <v>0</v>
      </c>
      <c r="SX518" s="98">
        <f t="shared" si="3972"/>
        <v>0</v>
      </c>
      <c r="SY518" s="98">
        <f t="shared" si="3972"/>
        <v>0</v>
      </c>
      <c r="SZ518" s="98">
        <f t="shared" si="3972"/>
        <v>0</v>
      </c>
      <c r="TA518" s="98">
        <f t="shared" si="3972"/>
        <v>0</v>
      </c>
      <c r="TB518" s="98">
        <f t="shared" si="3972"/>
        <v>0</v>
      </c>
      <c r="TC518" s="98">
        <f t="shared" si="3972"/>
        <v>0</v>
      </c>
      <c r="TD518" s="98">
        <f t="shared" si="3972"/>
        <v>0</v>
      </c>
      <c r="TE518" s="98">
        <f t="shared" si="3972"/>
        <v>0</v>
      </c>
      <c r="TF518" s="98">
        <f t="shared" si="3972"/>
        <v>0</v>
      </c>
      <c r="TG518" s="98">
        <f t="shared" si="3972"/>
        <v>0</v>
      </c>
      <c r="TH518" s="98">
        <f t="shared" si="3972"/>
        <v>0</v>
      </c>
      <c r="TI518" s="198">
        <f t="shared" si="2696"/>
        <v>0</v>
      </c>
      <c r="TJ518" s="198">
        <f t="shared" si="2697"/>
        <v>0</v>
      </c>
      <c r="TK518" s="98">
        <f t="shared" ref="TK518:TX518" si="3973">SUM(TK47,TK85,TK123,TK161,TK199,TK237,TK275,TK313,TK351,TK389,TK427,TK465)</f>
        <v>0</v>
      </c>
      <c r="TL518" s="98">
        <f t="shared" si="3973"/>
        <v>0</v>
      </c>
      <c r="TM518" s="98">
        <f t="shared" si="3973"/>
        <v>0</v>
      </c>
      <c r="TN518" s="98">
        <f t="shared" si="3973"/>
        <v>0</v>
      </c>
      <c r="TO518" s="98">
        <f t="shared" si="3973"/>
        <v>0</v>
      </c>
      <c r="TP518" s="98">
        <f t="shared" si="3973"/>
        <v>0</v>
      </c>
      <c r="TQ518" s="98">
        <f t="shared" si="3973"/>
        <v>0</v>
      </c>
      <c r="TR518" s="98">
        <f t="shared" si="3973"/>
        <v>0</v>
      </c>
      <c r="TS518" s="98">
        <f t="shared" si="3973"/>
        <v>0</v>
      </c>
      <c r="TT518" s="98">
        <f t="shared" si="3973"/>
        <v>0</v>
      </c>
      <c r="TU518" s="98">
        <f t="shared" si="3973"/>
        <v>0</v>
      </c>
      <c r="TV518" s="98">
        <f t="shared" si="3973"/>
        <v>0</v>
      </c>
      <c r="TW518" s="98">
        <f t="shared" si="3973"/>
        <v>0</v>
      </c>
      <c r="TX518" s="98">
        <f t="shared" si="3973"/>
        <v>0</v>
      </c>
      <c r="TY518" s="198">
        <f t="shared" si="2699"/>
        <v>0</v>
      </c>
      <c r="TZ518" s="198">
        <f t="shared" si="2700"/>
        <v>0</v>
      </c>
      <c r="UA518" s="98">
        <f t="shared" ref="UA518:UN518" si="3974">SUM(UA47,UA85,UA123,UA161,UA199,UA237,UA275,UA313,UA351,UA389,UA427,UA465)</f>
        <v>0</v>
      </c>
      <c r="UB518" s="98">
        <f t="shared" si="3974"/>
        <v>0</v>
      </c>
      <c r="UC518" s="98">
        <f t="shared" si="3974"/>
        <v>0</v>
      </c>
      <c r="UD518" s="98">
        <f t="shared" si="3974"/>
        <v>0</v>
      </c>
      <c r="UE518" s="98">
        <f t="shared" si="3974"/>
        <v>0</v>
      </c>
      <c r="UF518" s="98">
        <f t="shared" si="3974"/>
        <v>0</v>
      </c>
      <c r="UG518" s="98">
        <f t="shared" si="3974"/>
        <v>0</v>
      </c>
      <c r="UH518" s="98">
        <f t="shared" si="3974"/>
        <v>0</v>
      </c>
      <c r="UI518" s="98">
        <f t="shared" si="3974"/>
        <v>0</v>
      </c>
      <c r="UJ518" s="98">
        <f t="shared" si="3974"/>
        <v>0</v>
      </c>
      <c r="UK518" s="98">
        <f t="shared" si="3974"/>
        <v>0</v>
      </c>
      <c r="UL518" s="98">
        <f t="shared" si="3974"/>
        <v>0</v>
      </c>
      <c r="UM518" s="98">
        <f t="shared" si="3974"/>
        <v>0</v>
      </c>
      <c r="UN518" s="98">
        <f t="shared" si="3974"/>
        <v>0</v>
      </c>
      <c r="UO518" s="198">
        <f t="shared" si="2702"/>
        <v>0</v>
      </c>
      <c r="UP518" s="198">
        <f t="shared" si="2703"/>
        <v>0</v>
      </c>
      <c r="UQ518" s="98">
        <f t="shared" ref="UQ518:VD518" si="3975">SUM(UQ47,UQ85,UQ123,UQ161,UQ199,UQ237,UQ275,UQ313,UQ351,UQ389,UQ427,UQ465)</f>
        <v>0</v>
      </c>
      <c r="UR518" s="98">
        <f t="shared" si="3975"/>
        <v>0</v>
      </c>
      <c r="US518" s="98">
        <f t="shared" si="3975"/>
        <v>0</v>
      </c>
      <c r="UT518" s="98">
        <f t="shared" si="3975"/>
        <v>0</v>
      </c>
      <c r="UU518" s="98">
        <f t="shared" si="3975"/>
        <v>0</v>
      </c>
      <c r="UV518" s="98">
        <f t="shared" si="3975"/>
        <v>0</v>
      </c>
      <c r="UW518" s="98">
        <f t="shared" si="3975"/>
        <v>0</v>
      </c>
      <c r="UX518" s="98">
        <f t="shared" si="3975"/>
        <v>0</v>
      </c>
      <c r="UY518" s="98">
        <f t="shared" si="3975"/>
        <v>0</v>
      </c>
      <c r="UZ518" s="98">
        <f t="shared" si="3975"/>
        <v>0</v>
      </c>
      <c r="VA518" s="98">
        <f t="shared" si="3975"/>
        <v>0</v>
      </c>
      <c r="VB518" s="98">
        <f t="shared" si="3975"/>
        <v>0</v>
      </c>
      <c r="VC518" s="98">
        <f t="shared" si="3975"/>
        <v>0</v>
      </c>
      <c r="VD518" s="98">
        <f t="shared" si="3975"/>
        <v>0</v>
      </c>
      <c r="VE518" s="198">
        <f t="shared" si="2705"/>
        <v>0</v>
      </c>
      <c r="VF518" s="198">
        <f t="shared" si="2706"/>
        <v>0</v>
      </c>
      <c r="VG518" s="98">
        <f t="shared" ref="VG518:VT518" si="3976">SUM(VG47,VG85,VG123,VG161,VG199,VG237,VG275,VG313,VG351,VG389,VG427,VG465)</f>
        <v>0</v>
      </c>
      <c r="VH518" s="98">
        <f t="shared" si="3976"/>
        <v>0</v>
      </c>
      <c r="VI518" s="98">
        <f t="shared" si="3976"/>
        <v>0</v>
      </c>
      <c r="VJ518" s="98">
        <f t="shared" si="3976"/>
        <v>0</v>
      </c>
      <c r="VK518" s="98">
        <f t="shared" si="3976"/>
        <v>0</v>
      </c>
      <c r="VL518" s="98">
        <f t="shared" si="3976"/>
        <v>0</v>
      </c>
      <c r="VM518" s="98">
        <f t="shared" si="3976"/>
        <v>0</v>
      </c>
      <c r="VN518" s="98">
        <f t="shared" si="3976"/>
        <v>0</v>
      </c>
      <c r="VO518" s="98">
        <f t="shared" si="3976"/>
        <v>0</v>
      </c>
      <c r="VP518" s="98">
        <f t="shared" si="3976"/>
        <v>0</v>
      </c>
      <c r="VQ518" s="98">
        <f t="shared" si="3976"/>
        <v>0</v>
      </c>
      <c r="VR518" s="98">
        <f t="shared" si="3976"/>
        <v>0</v>
      </c>
      <c r="VS518" s="98">
        <f t="shared" si="3976"/>
        <v>0</v>
      </c>
      <c r="VT518" s="98">
        <f t="shared" si="3976"/>
        <v>0</v>
      </c>
      <c r="VU518" s="198">
        <f t="shared" si="2708"/>
        <v>0</v>
      </c>
      <c r="VV518" s="198">
        <f t="shared" si="2709"/>
        <v>0</v>
      </c>
      <c r="VW518" s="98">
        <f t="shared" ref="VW518:WJ518" si="3977">SUM(VW47,VW85,VW123,VW161,VW199,VW237,VW275,VW313,VW351,VW389,VW427,VW465)</f>
        <v>0</v>
      </c>
      <c r="VX518" s="98">
        <f t="shared" si="3977"/>
        <v>0</v>
      </c>
      <c r="VY518" s="98">
        <f t="shared" si="3977"/>
        <v>0</v>
      </c>
      <c r="VZ518" s="98">
        <f t="shared" si="3977"/>
        <v>0</v>
      </c>
      <c r="WA518" s="98">
        <f t="shared" si="3977"/>
        <v>0</v>
      </c>
      <c r="WB518" s="98">
        <f t="shared" si="3977"/>
        <v>0</v>
      </c>
      <c r="WC518" s="98">
        <f t="shared" si="3977"/>
        <v>0</v>
      </c>
      <c r="WD518" s="98">
        <f t="shared" si="3977"/>
        <v>0</v>
      </c>
      <c r="WE518" s="98">
        <f t="shared" si="3977"/>
        <v>0</v>
      </c>
      <c r="WF518" s="98">
        <f t="shared" si="3977"/>
        <v>0</v>
      </c>
      <c r="WG518" s="98">
        <f t="shared" si="3977"/>
        <v>0</v>
      </c>
      <c r="WH518" s="98">
        <f t="shared" si="3977"/>
        <v>0</v>
      </c>
      <c r="WI518" s="98">
        <f t="shared" si="3977"/>
        <v>0</v>
      </c>
      <c r="WJ518" s="98">
        <f t="shared" si="3977"/>
        <v>0</v>
      </c>
      <c r="WK518" s="198">
        <f t="shared" si="2711"/>
        <v>0</v>
      </c>
      <c r="WL518" s="198">
        <f t="shared" si="2712"/>
        <v>0</v>
      </c>
      <c r="WN518" s="98">
        <f t="shared" si="3734"/>
        <v>15415</v>
      </c>
      <c r="WO518" s="98">
        <f t="shared" si="3735"/>
        <v>154150</v>
      </c>
      <c r="WP518" s="98">
        <f t="shared" si="3736"/>
        <v>0</v>
      </c>
      <c r="WQ518" s="98">
        <f t="shared" si="3737"/>
        <v>0</v>
      </c>
      <c r="WR518" s="98">
        <f t="shared" si="3738"/>
        <v>0</v>
      </c>
      <c r="WS518" s="98">
        <f t="shared" si="3739"/>
        <v>0</v>
      </c>
      <c r="WT518" s="98">
        <f t="shared" si="3740"/>
        <v>0</v>
      </c>
      <c r="WU518" s="98">
        <f t="shared" si="3741"/>
        <v>0</v>
      </c>
      <c r="WV518" s="98">
        <f t="shared" si="3742"/>
        <v>0</v>
      </c>
      <c r="WW518" s="98">
        <f t="shared" si="3743"/>
        <v>0</v>
      </c>
      <c r="WX518" s="98">
        <f t="shared" si="3744"/>
        <v>0</v>
      </c>
      <c r="WY518" s="98">
        <f t="shared" si="3745"/>
        <v>0</v>
      </c>
      <c r="WZ518" s="98">
        <f t="shared" si="3746"/>
        <v>0</v>
      </c>
      <c r="XA518" s="98">
        <f t="shared" si="3747"/>
        <v>0</v>
      </c>
      <c r="XB518" s="107">
        <f t="shared" si="3748"/>
        <v>15415</v>
      </c>
      <c r="XC518" s="107">
        <f t="shared" si="3749"/>
        <v>154150</v>
      </c>
      <c r="XK518" s="98">
        <f t="shared" si="2729"/>
        <v>0</v>
      </c>
      <c r="XL518" s="98">
        <f t="shared" si="2730"/>
        <v>0</v>
      </c>
      <c r="XM518" s="98">
        <f t="shared" si="2731"/>
        <v>0</v>
      </c>
      <c r="XN518" s="98">
        <f t="shared" si="2732"/>
        <v>0</v>
      </c>
      <c r="XO518" s="98">
        <f t="shared" si="2733"/>
        <v>169565</v>
      </c>
      <c r="XP518" s="98">
        <f t="shared" si="2734"/>
        <v>15415</v>
      </c>
      <c r="XQ518" s="98">
        <f t="shared" si="2735"/>
        <v>0</v>
      </c>
      <c r="XR518" s="107">
        <f t="shared" ca="1" si="2597"/>
        <v>323715</v>
      </c>
      <c r="XT518" s="98">
        <f t="shared" si="2736"/>
        <v>154150</v>
      </c>
      <c r="XU518" s="98">
        <f t="shared" si="2737"/>
        <v>154150</v>
      </c>
      <c r="XV518" s="98">
        <f t="shared" si="2738"/>
        <v>0</v>
      </c>
      <c r="XW518" s="98">
        <f t="shared" si="2739"/>
        <v>0</v>
      </c>
      <c r="XX518" s="98">
        <f t="shared" si="2740"/>
        <v>0</v>
      </c>
      <c r="XY518" s="98">
        <f t="shared" si="2741"/>
        <v>0</v>
      </c>
      <c r="XZ518" s="98">
        <f t="shared" si="2742"/>
        <v>169565</v>
      </c>
      <c r="YA518" s="107">
        <f t="shared" ca="1" si="2598"/>
        <v>323715</v>
      </c>
    </row>
    <row r="519" spans="1:1017">
      <c r="B519" s="90" t="str">
        <f t="shared" si="3695"/>
        <v>Ikan_03 (Kerang Darah)</v>
      </c>
      <c r="C519" s="98">
        <f t="shared" ref="C519:P519" si="3978">SUM(C48,C86,C124,C162,C200,C238,C276,C314,C352,C390,C428,C466)</f>
        <v>0</v>
      </c>
      <c r="D519" s="98">
        <f t="shared" si="3978"/>
        <v>0</v>
      </c>
      <c r="E519" s="98">
        <f t="shared" si="3978"/>
        <v>800</v>
      </c>
      <c r="F519" s="98">
        <f t="shared" si="3978"/>
        <v>80000</v>
      </c>
      <c r="G519" s="98">
        <f t="shared" si="3978"/>
        <v>0</v>
      </c>
      <c r="H519" s="98">
        <f t="shared" si="3978"/>
        <v>0</v>
      </c>
      <c r="I519" s="98">
        <f t="shared" si="3978"/>
        <v>0</v>
      </c>
      <c r="J519" s="98">
        <f t="shared" si="3978"/>
        <v>0</v>
      </c>
      <c r="K519" s="98">
        <f t="shared" si="3978"/>
        <v>0</v>
      </c>
      <c r="L519" s="98">
        <f t="shared" si="3978"/>
        <v>0</v>
      </c>
      <c r="M519" s="98">
        <f t="shared" si="3978"/>
        <v>0</v>
      </c>
      <c r="N519" s="98">
        <f t="shared" si="3978"/>
        <v>0</v>
      </c>
      <c r="O519" s="98">
        <f t="shared" si="3978"/>
        <v>0</v>
      </c>
      <c r="P519" s="98">
        <f t="shared" si="3978"/>
        <v>0</v>
      </c>
      <c r="Q519" s="198">
        <f t="shared" si="2600"/>
        <v>800</v>
      </c>
      <c r="R519" s="198">
        <f t="shared" si="2601"/>
        <v>80000</v>
      </c>
      <c r="S519" s="98">
        <f t="shared" ref="S519:AF519" si="3979">SUM(S48,S86,S124,S162,S200,S238,S276,S314,S352,S390,S428,S466)</f>
        <v>0</v>
      </c>
      <c r="T519" s="98">
        <f t="shared" si="3979"/>
        <v>0</v>
      </c>
      <c r="U519" s="98">
        <f t="shared" si="3979"/>
        <v>0</v>
      </c>
      <c r="V519" s="98">
        <f t="shared" si="3979"/>
        <v>0</v>
      </c>
      <c r="W519" s="98">
        <f t="shared" si="3979"/>
        <v>0</v>
      </c>
      <c r="X519" s="98">
        <f t="shared" si="3979"/>
        <v>0</v>
      </c>
      <c r="Y519" s="98">
        <f t="shared" si="3979"/>
        <v>0</v>
      </c>
      <c r="Z519" s="98">
        <f t="shared" si="3979"/>
        <v>0</v>
      </c>
      <c r="AA519" s="98">
        <f t="shared" si="3979"/>
        <v>0</v>
      </c>
      <c r="AB519" s="98">
        <f t="shared" si="3979"/>
        <v>0</v>
      </c>
      <c r="AC519" s="98">
        <f t="shared" si="3979"/>
        <v>0</v>
      </c>
      <c r="AD519" s="98">
        <f t="shared" si="3979"/>
        <v>0</v>
      </c>
      <c r="AE519" s="98">
        <f t="shared" si="3979"/>
        <v>0</v>
      </c>
      <c r="AF519" s="98">
        <f t="shared" si="3979"/>
        <v>0</v>
      </c>
      <c r="AG519" s="198">
        <f t="shared" si="2603"/>
        <v>0</v>
      </c>
      <c r="AH519" s="198">
        <f t="shared" si="2604"/>
        <v>0</v>
      </c>
      <c r="AI519" s="98">
        <f t="shared" ref="AI519:AV519" si="3980">SUM(AI48,AI86,AI124,AI162,AI200,AI238,AI276,AI314,AI352,AI390,AI428,AI466)</f>
        <v>0</v>
      </c>
      <c r="AJ519" s="98">
        <f t="shared" si="3980"/>
        <v>0</v>
      </c>
      <c r="AK519" s="98">
        <f t="shared" si="3980"/>
        <v>0</v>
      </c>
      <c r="AL519" s="98">
        <f t="shared" si="3980"/>
        <v>0</v>
      </c>
      <c r="AM519" s="98">
        <f t="shared" si="3980"/>
        <v>0</v>
      </c>
      <c r="AN519" s="98">
        <f t="shared" si="3980"/>
        <v>0</v>
      </c>
      <c r="AO519" s="98">
        <f t="shared" si="3980"/>
        <v>0</v>
      </c>
      <c r="AP519" s="98">
        <f t="shared" si="3980"/>
        <v>0</v>
      </c>
      <c r="AQ519" s="98">
        <f t="shared" si="3980"/>
        <v>0</v>
      </c>
      <c r="AR519" s="98">
        <f t="shared" si="3980"/>
        <v>0</v>
      </c>
      <c r="AS519" s="98">
        <f t="shared" si="3980"/>
        <v>0</v>
      </c>
      <c r="AT519" s="98">
        <f t="shared" si="3980"/>
        <v>0</v>
      </c>
      <c r="AU519" s="98">
        <f t="shared" si="3980"/>
        <v>0</v>
      </c>
      <c r="AV519" s="98">
        <f t="shared" si="3980"/>
        <v>0</v>
      </c>
      <c r="AW519" s="198">
        <f t="shared" si="2606"/>
        <v>0</v>
      </c>
      <c r="AX519" s="198">
        <f t="shared" si="2607"/>
        <v>0</v>
      </c>
      <c r="AY519" s="98">
        <f t="shared" ref="AY519:BL519" si="3981">SUM(AY48,AY86,AY124,AY162,AY200,AY238,AY276,AY314,AY352,AY390,AY428,AY466)</f>
        <v>0</v>
      </c>
      <c r="AZ519" s="98">
        <f t="shared" si="3981"/>
        <v>0</v>
      </c>
      <c r="BA519" s="98">
        <f t="shared" si="3981"/>
        <v>0</v>
      </c>
      <c r="BB519" s="98">
        <f t="shared" si="3981"/>
        <v>0</v>
      </c>
      <c r="BC519" s="98">
        <f t="shared" si="3981"/>
        <v>0</v>
      </c>
      <c r="BD519" s="98">
        <f t="shared" si="3981"/>
        <v>0</v>
      </c>
      <c r="BE519" s="98">
        <f t="shared" si="3981"/>
        <v>0</v>
      </c>
      <c r="BF519" s="98">
        <f t="shared" si="3981"/>
        <v>0</v>
      </c>
      <c r="BG519" s="98">
        <f t="shared" si="3981"/>
        <v>0</v>
      </c>
      <c r="BH519" s="98">
        <f t="shared" si="3981"/>
        <v>0</v>
      </c>
      <c r="BI519" s="98">
        <f t="shared" si="3981"/>
        <v>0</v>
      </c>
      <c r="BJ519" s="98">
        <f t="shared" si="3981"/>
        <v>0</v>
      </c>
      <c r="BK519" s="98">
        <f t="shared" si="3981"/>
        <v>0</v>
      </c>
      <c r="BL519" s="98">
        <f t="shared" si="3981"/>
        <v>0</v>
      </c>
      <c r="BM519" s="198">
        <f t="shared" si="2609"/>
        <v>0</v>
      </c>
      <c r="BN519" s="198">
        <f t="shared" si="2610"/>
        <v>0</v>
      </c>
      <c r="BO519" s="98">
        <f t="shared" ref="BO519:CB519" si="3982">SUM(BO48,BO86,BO124,BO162,BO200,BO238,BO276,BO314,BO352,BO390,BO428,BO466)</f>
        <v>0</v>
      </c>
      <c r="BP519" s="98">
        <f t="shared" si="3982"/>
        <v>0</v>
      </c>
      <c r="BQ519" s="98">
        <f t="shared" si="3982"/>
        <v>0</v>
      </c>
      <c r="BR519" s="98">
        <f t="shared" si="3982"/>
        <v>0</v>
      </c>
      <c r="BS519" s="98">
        <f t="shared" si="3982"/>
        <v>0</v>
      </c>
      <c r="BT519" s="98">
        <f t="shared" si="3982"/>
        <v>0</v>
      </c>
      <c r="BU519" s="98">
        <f t="shared" si="3982"/>
        <v>0</v>
      </c>
      <c r="BV519" s="98">
        <f t="shared" si="3982"/>
        <v>0</v>
      </c>
      <c r="BW519" s="98">
        <f t="shared" si="3982"/>
        <v>0</v>
      </c>
      <c r="BX519" s="98">
        <f t="shared" si="3982"/>
        <v>0</v>
      </c>
      <c r="BY519" s="98">
        <f t="shared" si="3982"/>
        <v>0</v>
      </c>
      <c r="BZ519" s="98">
        <f t="shared" si="3982"/>
        <v>0</v>
      </c>
      <c r="CA519" s="98">
        <f t="shared" si="3982"/>
        <v>0</v>
      </c>
      <c r="CB519" s="98">
        <f t="shared" si="3982"/>
        <v>0</v>
      </c>
      <c r="CC519" s="198">
        <f t="shared" si="2612"/>
        <v>0</v>
      </c>
      <c r="CD519" s="198">
        <f t="shared" si="2613"/>
        <v>0</v>
      </c>
      <c r="CE519" s="98">
        <f t="shared" ref="CE519:CR519" si="3983">SUM(CE48,CE86,CE124,CE162,CE200,CE238,CE276,CE314,CE352,CE390,CE428,CE466)</f>
        <v>0</v>
      </c>
      <c r="CF519" s="98">
        <f t="shared" si="3983"/>
        <v>0</v>
      </c>
      <c r="CG519" s="98">
        <f t="shared" si="3983"/>
        <v>0</v>
      </c>
      <c r="CH519" s="98">
        <f t="shared" si="3983"/>
        <v>0</v>
      </c>
      <c r="CI519" s="98">
        <f t="shared" si="3983"/>
        <v>0</v>
      </c>
      <c r="CJ519" s="98">
        <f t="shared" si="3983"/>
        <v>0</v>
      </c>
      <c r="CK519" s="98">
        <f t="shared" si="3983"/>
        <v>0</v>
      </c>
      <c r="CL519" s="98">
        <f t="shared" si="3983"/>
        <v>0</v>
      </c>
      <c r="CM519" s="98">
        <f t="shared" si="3983"/>
        <v>0</v>
      </c>
      <c r="CN519" s="98">
        <f t="shared" si="3983"/>
        <v>0</v>
      </c>
      <c r="CO519" s="98">
        <f t="shared" si="3983"/>
        <v>0</v>
      </c>
      <c r="CP519" s="98">
        <f t="shared" si="3983"/>
        <v>0</v>
      </c>
      <c r="CQ519" s="98">
        <f t="shared" si="3983"/>
        <v>0</v>
      </c>
      <c r="CR519" s="98">
        <f t="shared" si="3983"/>
        <v>0</v>
      </c>
      <c r="CS519" s="198">
        <f t="shared" si="2615"/>
        <v>0</v>
      </c>
      <c r="CT519" s="198">
        <f t="shared" si="2616"/>
        <v>0</v>
      </c>
      <c r="CU519" s="98">
        <f t="shared" ref="CU519:DH519" si="3984">SUM(CU48,CU86,CU124,CU162,CU200,CU238,CU276,CU314,CU352,CU390,CU428,CU466)</f>
        <v>0</v>
      </c>
      <c r="CV519" s="98">
        <f t="shared" si="3984"/>
        <v>0</v>
      </c>
      <c r="CW519" s="98">
        <f t="shared" si="3984"/>
        <v>0</v>
      </c>
      <c r="CX519" s="98">
        <f t="shared" si="3984"/>
        <v>0</v>
      </c>
      <c r="CY519" s="98">
        <f t="shared" si="3984"/>
        <v>0</v>
      </c>
      <c r="CZ519" s="98">
        <f t="shared" si="3984"/>
        <v>0</v>
      </c>
      <c r="DA519" s="98">
        <f t="shared" si="3984"/>
        <v>0</v>
      </c>
      <c r="DB519" s="98">
        <f t="shared" si="3984"/>
        <v>0</v>
      </c>
      <c r="DC519" s="98">
        <f t="shared" si="3984"/>
        <v>0</v>
      </c>
      <c r="DD519" s="98">
        <f t="shared" si="3984"/>
        <v>0</v>
      </c>
      <c r="DE519" s="98">
        <f t="shared" si="3984"/>
        <v>0</v>
      </c>
      <c r="DF519" s="98">
        <f t="shared" si="3984"/>
        <v>0</v>
      </c>
      <c r="DG519" s="98">
        <f t="shared" si="3984"/>
        <v>0</v>
      </c>
      <c r="DH519" s="98">
        <f t="shared" si="3984"/>
        <v>0</v>
      </c>
      <c r="DI519" s="198">
        <f t="shared" si="2618"/>
        <v>0</v>
      </c>
      <c r="DJ519" s="198">
        <f t="shared" si="2619"/>
        <v>0</v>
      </c>
      <c r="DK519" s="98">
        <f t="shared" ref="DK519:DX519" si="3985">SUM(DK48,DK86,DK124,DK162,DK200,DK238,DK276,DK314,DK352,DK390,DK428,DK466)</f>
        <v>0</v>
      </c>
      <c r="DL519" s="98">
        <f t="shared" si="3985"/>
        <v>0</v>
      </c>
      <c r="DM519" s="98">
        <f t="shared" si="3985"/>
        <v>0</v>
      </c>
      <c r="DN519" s="98">
        <f t="shared" si="3985"/>
        <v>0</v>
      </c>
      <c r="DO519" s="98">
        <f t="shared" si="3985"/>
        <v>0</v>
      </c>
      <c r="DP519" s="98">
        <f t="shared" si="3985"/>
        <v>0</v>
      </c>
      <c r="DQ519" s="98">
        <f t="shared" si="3985"/>
        <v>0</v>
      </c>
      <c r="DR519" s="98">
        <f t="shared" si="3985"/>
        <v>0</v>
      </c>
      <c r="DS519" s="98">
        <f t="shared" si="3985"/>
        <v>0</v>
      </c>
      <c r="DT519" s="98">
        <f t="shared" si="3985"/>
        <v>0</v>
      </c>
      <c r="DU519" s="98">
        <f t="shared" si="3985"/>
        <v>0</v>
      </c>
      <c r="DV519" s="98">
        <f t="shared" si="3985"/>
        <v>0</v>
      </c>
      <c r="DW519" s="98">
        <f t="shared" si="3985"/>
        <v>0</v>
      </c>
      <c r="DX519" s="98">
        <f t="shared" si="3985"/>
        <v>0</v>
      </c>
      <c r="DY519" s="198">
        <f t="shared" si="2621"/>
        <v>0</v>
      </c>
      <c r="DZ519" s="198">
        <f t="shared" si="2622"/>
        <v>0</v>
      </c>
      <c r="EA519" s="98">
        <f t="shared" ref="EA519:EN519" si="3986">SUM(EA48,EA86,EA124,EA162,EA200,EA238,EA276,EA314,EA352,EA390,EA428,EA466)</f>
        <v>0</v>
      </c>
      <c r="EB519" s="98">
        <f t="shared" si="3986"/>
        <v>0</v>
      </c>
      <c r="EC519" s="98">
        <f t="shared" si="3986"/>
        <v>0</v>
      </c>
      <c r="ED519" s="98">
        <f t="shared" si="3986"/>
        <v>0</v>
      </c>
      <c r="EE519" s="98">
        <f t="shared" si="3986"/>
        <v>0</v>
      </c>
      <c r="EF519" s="98">
        <f t="shared" si="3986"/>
        <v>0</v>
      </c>
      <c r="EG519" s="98">
        <f t="shared" si="3986"/>
        <v>0</v>
      </c>
      <c r="EH519" s="98">
        <f t="shared" si="3986"/>
        <v>0</v>
      </c>
      <c r="EI519" s="98">
        <f t="shared" si="3986"/>
        <v>0</v>
      </c>
      <c r="EJ519" s="98">
        <f t="shared" si="3986"/>
        <v>0</v>
      </c>
      <c r="EK519" s="98">
        <f t="shared" si="3986"/>
        <v>0</v>
      </c>
      <c r="EL519" s="98">
        <f t="shared" si="3986"/>
        <v>0</v>
      </c>
      <c r="EM519" s="98">
        <f t="shared" si="3986"/>
        <v>0</v>
      </c>
      <c r="EN519" s="98">
        <f t="shared" si="3986"/>
        <v>0</v>
      </c>
      <c r="EO519" s="198">
        <f t="shared" si="2624"/>
        <v>0</v>
      </c>
      <c r="EP519" s="198">
        <f t="shared" si="2625"/>
        <v>0</v>
      </c>
      <c r="EQ519" s="98">
        <f t="shared" ref="EQ519:FD519" si="3987">SUM(EQ48,EQ86,EQ124,EQ162,EQ200,EQ238,EQ276,EQ314,EQ352,EQ390,EQ428,EQ466)</f>
        <v>0</v>
      </c>
      <c r="ER519" s="98">
        <f t="shared" si="3987"/>
        <v>0</v>
      </c>
      <c r="ES519" s="98">
        <f t="shared" si="3987"/>
        <v>0</v>
      </c>
      <c r="ET519" s="98">
        <f t="shared" si="3987"/>
        <v>0</v>
      </c>
      <c r="EU519" s="98">
        <f t="shared" si="3987"/>
        <v>0</v>
      </c>
      <c r="EV519" s="98">
        <f t="shared" si="3987"/>
        <v>0</v>
      </c>
      <c r="EW519" s="98">
        <f t="shared" si="3987"/>
        <v>0</v>
      </c>
      <c r="EX519" s="98">
        <f t="shared" si="3987"/>
        <v>0</v>
      </c>
      <c r="EY519" s="98">
        <f t="shared" si="3987"/>
        <v>0</v>
      </c>
      <c r="EZ519" s="98">
        <f t="shared" si="3987"/>
        <v>0</v>
      </c>
      <c r="FA519" s="98">
        <f t="shared" si="3987"/>
        <v>0</v>
      </c>
      <c r="FB519" s="98">
        <f t="shared" si="3987"/>
        <v>0</v>
      </c>
      <c r="FC519" s="98">
        <f t="shared" si="3987"/>
        <v>0</v>
      </c>
      <c r="FD519" s="98">
        <f t="shared" si="3987"/>
        <v>0</v>
      </c>
      <c r="FE519" s="198">
        <f t="shared" si="2627"/>
        <v>0</v>
      </c>
      <c r="FF519" s="198">
        <f t="shared" si="2628"/>
        <v>0</v>
      </c>
      <c r="FG519" s="98">
        <f t="shared" ref="FG519:FT519" si="3988">SUM(FG48,FG86,FG124,FG162,FG200,FG238,FG276,FG314,FG352,FG390,FG428,FG466)</f>
        <v>0</v>
      </c>
      <c r="FH519" s="98">
        <f t="shared" si="3988"/>
        <v>0</v>
      </c>
      <c r="FI519" s="98">
        <f t="shared" si="3988"/>
        <v>0</v>
      </c>
      <c r="FJ519" s="98">
        <f t="shared" si="3988"/>
        <v>0</v>
      </c>
      <c r="FK519" s="98">
        <f t="shared" si="3988"/>
        <v>0</v>
      </c>
      <c r="FL519" s="98">
        <f t="shared" si="3988"/>
        <v>0</v>
      </c>
      <c r="FM519" s="98">
        <f t="shared" si="3988"/>
        <v>0</v>
      </c>
      <c r="FN519" s="98">
        <f t="shared" si="3988"/>
        <v>0</v>
      </c>
      <c r="FO519" s="98">
        <f t="shared" si="3988"/>
        <v>0</v>
      </c>
      <c r="FP519" s="98">
        <f t="shared" si="3988"/>
        <v>0</v>
      </c>
      <c r="FQ519" s="98">
        <f t="shared" si="3988"/>
        <v>0</v>
      </c>
      <c r="FR519" s="98">
        <f t="shared" si="3988"/>
        <v>0</v>
      </c>
      <c r="FS519" s="98">
        <f t="shared" si="3988"/>
        <v>0</v>
      </c>
      <c r="FT519" s="98">
        <f t="shared" si="3988"/>
        <v>0</v>
      </c>
      <c r="FU519" s="198">
        <f t="shared" si="2630"/>
        <v>0</v>
      </c>
      <c r="FV519" s="198">
        <f t="shared" si="2631"/>
        <v>0</v>
      </c>
      <c r="FW519" s="98">
        <f t="shared" ref="FW519:GJ519" si="3989">SUM(FW48,FW86,FW124,FW162,FW200,FW238,FW276,FW314,FW352,FW390,FW428,FW466)</f>
        <v>0</v>
      </c>
      <c r="FX519" s="98">
        <f t="shared" si="3989"/>
        <v>0</v>
      </c>
      <c r="FY519" s="98">
        <f t="shared" si="3989"/>
        <v>0</v>
      </c>
      <c r="FZ519" s="98">
        <f t="shared" si="3989"/>
        <v>0</v>
      </c>
      <c r="GA519" s="98">
        <f t="shared" si="3989"/>
        <v>0</v>
      </c>
      <c r="GB519" s="98">
        <f t="shared" si="3989"/>
        <v>0</v>
      </c>
      <c r="GC519" s="98">
        <f t="shared" si="3989"/>
        <v>0</v>
      </c>
      <c r="GD519" s="98">
        <f t="shared" si="3989"/>
        <v>0</v>
      </c>
      <c r="GE519" s="98">
        <f t="shared" si="3989"/>
        <v>0</v>
      </c>
      <c r="GF519" s="98">
        <f t="shared" si="3989"/>
        <v>0</v>
      </c>
      <c r="GG519" s="98">
        <f t="shared" si="3989"/>
        <v>0</v>
      </c>
      <c r="GH519" s="98">
        <f t="shared" si="3989"/>
        <v>0</v>
      </c>
      <c r="GI519" s="98">
        <f t="shared" si="3989"/>
        <v>0</v>
      </c>
      <c r="GJ519" s="98">
        <f t="shared" si="3989"/>
        <v>0</v>
      </c>
      <c r="GK519" s="198">
        <f t="shared" si="2633"/>
        <v>0</v>
      </c>
      <c r="GL519" s="198">
        <f t="shared" si="2634"/>
        <v>0</v>
      </c>
      <c r="GM519" s="98">
        <f t="shared" ref="GM519:GZ519" si="3990">SUM(GM48,GM86,GM124,GM162,GM200,GM238,GM276,GM314,GM352,GM390,GM428,GM466)</f>
        <v>0</v>
      </c>
      <c r="GN519" s="98">
        <f t="shared" si="3990"/>
        <v>0</v>
      </c>
      <c r="GO519" s="98">
        <f t="shared" si="3990"/>
        <v>0</v>
      </c>
      <c r="GP519" s="98">
        <f t="shared" si="3990"/>
        <v>0</v>
      </c>
      <c r="GQ519" s="98">
        <f t="shared" si="3990"/>
        <v>0</v>
      </c>
      <c r="GR519" s="98">
        <f t="shared" si="3990"/>
        <v>0</v>
      </c>
      <c r="GS519" s="98">
        <f t="shared" si="3990"/>
        <v>0</v>
      </c>
      <c r="GT519" s="98">
        <f t="shared" si="3990"/>
        <v>0</v>
      </c>
      <c r="GU519" s="98">
        <f t="shared" si="3990"/>
        <v>0</v>
      </c>
      <c r="GV519" s="98">
        <f t="shared" si="3990"/>
        <v>0</v>
      </c>
      <c r="GW519" s="98">
        <f t="shared" si="3990"/>
        <v>0</v>
      </c>
      <c r="GX519" s="98">
        <f t="shared" si="3990"/>
        <v>0</v>
      </c>
      <c r="GY519" s="98">
        <f t="shared" si="3990"/>
        <v>0</v>
      </c>
      <c r="GZ519" s="98">
        <f t="shared" si="3990"/>
        <v>0</v>
      </c>
      <c r="HA519" s="198">
        <f t="shared" si="2636"/>
        <v>0</v>
      </c>
      <c r="HB519" s="198">
        <f t="shared" si="2637"/>
        <v>0</v>
      </c>
      <c r="HC519" s="98">
        <f t="shared" ref="HC519:HP519" si="3991">SUM(HC48,HC86,HC124,HC162,HC200,HC238,HC276,HC314,HC352,HC390,HC428,HC466)</f>
        <v>0</v>
      </c>
      <c r="HD519" s="98">
        <f t="shared" si="3991"/>
        <v>0</v>
      </c>
      <c r="HE519" s="98">
        <f t="shared" si="3991"/>
        <v>0</v>
      </c>
      <c r="HF519" s="98">
        <f t="shared" si="3991"/>
        <v>0</v>
      </c>
      <c r="HG519" s="98">
        <f t="shared" si="3991"/>
        <v>0</v>
      </c>
      <c r="HH519" s="98">
        <f t="shared" si="3991"/>
        <v>0</v>
      </c>
      <c r="HI519" s="98">
        <f t="shared" si="3991"/>
        <v>0</v>
      </c>
      <c r="HJ519" s="98">
        <f t="shared" si="3991"/>
        <v>0</v>
      </c>
      <c r="HK519" s="98">
        <f t="shared" si="3991"/>
        <v>0</v>
      </c>
      <c r="HL519" s="98">
        <f t="shared" si="3991"/>
        <v>0</v>
      </c>
      <c r="HM519" s="98">
        <f t="shared" si="3991"/>
        <v>0</v>
      </c>
      <c r="HN519" s="98">
        <f t="shared" si="3991"/>
        <v>0</v>
      </c>
      <c r="HO519" s="98">
        <f t="shared" si="3991"/>
        <v>0</v>
      </c>
      <c r="HP519" s="98">
        <f t="shared" si="3991"/>
        <v>0</v>
      </c>
      <c r="HQ519" s="198">
        <f t="shared" si="2639"/>
        <v>0</v>
      </c>
      <c r="HR519" s="198">
        <f t="shared" si="2640"/>
        <v>0</v>
      </c>
      <c r="HS519" s="98">
        <f t="shared" ref="HS519:IF519" si="3992">SUM(HS48,HS86,HS124,HS162,HS200,HS238,HS276,HS314,HS352,HS390,HS428,HS466)</f>
        <v>0</v>
      </c>
      <c r="HT519" s="98">
        <f t="shared" si="3992"/>
        <v>0</v>
      </c>
      <c r="HU519" s="98">
        <f t="shared" si="3992"/>
        <v>0</v>
      </c>
      <c r="HV519" s="98">
        <f t="shared" si="3992"/>
        <v>0</v>
      </c>
      <c r="HW519" s="98">
        <f t="shared" si="3992"/>
        <v>0</v>
      </c>
      <c r="HX519" s="98">
        <f t="shared" si="3992"/>
        <v>0</v>
      </c>
      <c r="HY519" s="98">
        <f t="shared" si="3992"/>
        <v>0</v>
      </c>
      <c r="HZ519" s="98">
        <f t="shared" si="3992"/>
        <v>0</v>
      </c>
      <c r="IA519" s="98">
        <f t="shared" si="3992"/>
        <v>0</v>
      </c>
      <c r="IB519" s="98">
        <f t="shared" si="3992"/>
        <v>0</v>
      </c>
      <c r="IC519" s="98">
        <f t="shared" si="3992"/>
        <v>0</v>
      </c>
      <c r="ID519" s="98">
        <f t="shared" si="3992"/>
        <v>0</v>
      </c>
      <c r="IE519" s="98">
        <f t="shared" si="3992"/>
        <v>0</v>
      </c>
      <c r="IF519" s="98">
        <f t="shared" si="3992"/>
        <v>0</v>
      </c>
      <c r="IG519" s="198">
        <f t="shared" si="2642"/>
        <v>0</v>
      </c>
      <c r="IH519" s="198">
        <f t="shared" si="2643"/>
        <v>0</v>
      </c>
      <c r="II519" s="98">
        <f t="shared" ref="II519:IV519" si="3993">SUM(II48,II86,II124,II162,II200,II238,II276,II314,II352,II390,II428,II466)</f>
        <v>0</v>
      </c>
      <c r="IJ519" s="98">
        <f t="shared" si="3993"/>
        <v>0</v>
      </c>
      <c r="IK519" s="98">
        <f t="shared" si="3993"/>
        <v>0</v>
      </c>
      <c r="IL519" s="98">
        <f t="shared" si="3993"/>
        <v>0</v>
      </c>
      <c r="IM519" s="98">
        <f t="shared" si="3993"/>
        <v>0</v>
      </c>
      <c r="IN519" s="98">
        <f t="shared" si="3993"/>
        <v>0</v>
      </c>
      <c r="IO519" s="98">
        <f t="shared" si="3993"/>
        <v>0</v>
      </c>
      <c r="IP519" s="98">
        <f t="shared" si="3993"/>
        <v>0</v>
      </c>
      <c r="IQ519" s="98">
        <f t="shared" si="3993"/>
        <v>0</v>
      </c>
      <c r="IR519" s="98">
        <f t="shared" si="3993"/>
        <v>0</v>
      </c>
      <c r="IS519" s="98">
        <f t="shared" si="3993"/>
        <v>0</v>
      </c>
      <c r="IT519" s="98">
        <f t="shared" si="3993"/>
        <v>0</v>
      </c>
      <c r="IU519" s="98">
        <f t="shared" si="3993"/>
        <v>0</v>
      </c>
      <c r="IV519" s="98">
        <f t="shared" si="3993"/>
        <v>0</v>
      </c>
      <c r="IW519" s="198">
        <f t="shared" si="2645"/>
        <v>0</v>
      </c>
      <c r="IX519" s="198">
        <f t="shared" si="2646"/>
        <v>0</v>
      </c>
      <c r="IY519" s="98">
        <f t="shared" ref="IY519:JL519" si="3994">SUM(IY48,IY86,IY124,IY162,IY200,IY238,IY276,IY314,IY352,IY390,IY428,IY466)</f>
        <v>0</v>
      </c>
      <c r="IZ519" s="98">
        <f t="shared" si="3994"/>
        <v>0</v>
      </c>
      <c r="JA519" s="98">
        <f t="shared" si="3994"/>
        <v>0</v>
      </c>
      <c r="JB519" s="98">
        <f t="shared" si="3994"/>
        <v>0</v>
      </c>
      <c r="JC519" s="98">
        <f t="shared" si="3994"/>
        <v>0</v>
      </c>
      <c r="JD519" s="98">
        <f t="shared" si="3994"/>
        <v>0</v>
      </c>
      <c r="JE519" s="98">
        <f t="shared" si="3994"/>
        <v>0</v>
      </c>
      <c r="JF519" s="98">
        <f t="shared" si="3994"/>
        <v>0</v>
      </c>
      <c r="JG519" s="98">
        <f t="shared" si="3994"/>
        <v>0</v>
      </c>
      <c r="JH519" s="98">
        <f t="shared" si="3994"/>
        <v>0</v>
      </c>
      <c r="JI519" s="98">
        <f t="shared" si="3994"/>
        <v>0</v>
      </c>
      <c r="JJ519" s="98">
        <f t="shared" si="3994"/>
        <v>0</v>
      </c>
      <c r="JK519" s="98">
        <f t="shared" si="3994"/>
        <v>0</v>
      </c>
      <c r="JL519" s="98">
        <f t="shared" si="3994"/>
        <v>0</v>
      </c>
      <c r="JM519" s="198">
        <f t="shared" si="2648"/>
        <v>0</v>
      </c>
      <c r="JN519" s="198">
        <f t="shared" si="2649"/>
        <v>0</v>
      </c>
      <c r="JO519" s="98">
        <f t="shared" ref="JO519:KB519" si="3995">SUM(JO48,JO86,JO124,JO162,JO200,JO238,JO276,JO314,JO352,JO390,JO428,JO466)</f>
        <v>0</v>
      </c>
      <c r="JP519" s="98">
        <f t="shared" si="3995"/>
        <v>0</v>
      </c>
      <c r="JQ519" s="98">
        <f t="shared" si="3995"/>
        <v>0</v>
      </c>
      <c r="JR519" s="98">
        <f t="shared" si="3995"/>
        <v>0</v>
      </c>
      <c r="JS519" s="98">
        <f t="shared" si="3995"/>
        <v>0</v>
      </c>
      <c r="JT519" s="98">
        <f t="shared" si="3995"/>
        <v>0</v>
      </c>
      <c r="JU519" s="98">
        <f t="shared" si="3995"/>
        <v>0</v>
      </c>
      <c r="JV519" s="98">
        <f t="shared" si="3995"/>
        <v>0</v>
      </c>
      <c r="JW519" s="98">
        <f t="shared" si="3995"/>
        <v>0</v>
      </c>
      <c r="JX519" s="98">
        <f t="shared" si="3995"/>
        <v>0</v>
      </c>
      <c r="JY519" s="98">
        <f t="shared" si="3995"/>
        <v>0</v>
      </c>
      <c r="JZ519" s="98">
        <f t="shared" si="3995"/>
        <v>0</v>
      </c>
      <c r="KA519" s="98">
        <f t="shared" si="3995"/>
        <v>0</v>
      </c>
      <c r="KB519" s="98">
        <f t="shared" si="3995"/>
        <v>0</v>
      </c>
      <c r="KC519" s="198">
        <f t="shared" si="2651"/>
        <v>0</v>
      </c>
      <c r="KD519" s="198">
        <f t="shared" si="2652"/>
        <v>0</v>
      </c>
      <c r="KE519" s="98">
        <f t="shared" ref="KE519:KR519" si="3996">SUM(KE48,KE86,KE124,KE162,KE200,KE238,KE276,KE314,KE352,KE390,KE428,KE466)</f>
        <v>0</v>
      </c>
      <c r="KF519" s="98">
        <f t="shared" si="3996"/>
        <v>0</v>
      </c>
      <c r="KG519" s="98">
        <f t="shared" si="3996"/>
        <v>0</v>
      </c>
      <c r="KH519" s="98">
        <f t="shared" si="3996"/>
        <v>0</v>
      </c>
      <c r="KI519" s="98">
        <f t="shared" si="3996"/>
        <v>0</v>
      </c>
      <c r="KJ519" s="98">
        <f t="shared" si="3996"/>
        <v>0</v>
      </c>
      <c r="KK519" s="98">
        <f t="shared" si="3996"/>
        <v>0</v>
      </c>
      <c r="KL519" s="98">
        <f t="shared" si="3996"/>
        <v>0</v>
      </c>
      <c r="KM519" s="98">
        <f t="shared" si="3996"/>
        <v>0</v>
      </c>
      <c r="KN519" s="98">
        <f t="shared" si="3996"/>
        <v>0</v>
      </c>
      <c r="KO519" s="98">
        <f t="shared" si="3996"/>
        <v>0</v>
      </c>
      <c r="KP519" s="98">
        <f t="shared" si="3996"/>
        <v>0</v>
      </c>
      <c r="KQ519" s="98">
        <f t="shared" si="3996"/>
        <v>0</v>
      </c>
      <c r="KR519" s="98">
        <f t="shared" si="3996"/>
        <v>0</v>
      </c>
      <c r="KS519" s="198">
        <f t="shared" si="2654"/>
        <v>0</v>
      </c>
      <c r="KT519" s="198">
        <f t="shared" si="2655"/>
        <v>0</v>
      </c>
      <c r="KU519" s="98">
        <f t="shared" ref="KU519:LH519" si="3997">SUM(KU48,KU86,KU124,KU162,KU200,KU238,KU276,KU314,KU352,KU390,KU428,KU466)</f>
        <v>0</v>
      </c>
      <c r="KV519" s="98">
        <f t="shared" si="3997"/>
        <v>0</v>
      </c>
      <c r="KW519" s="98">
        <f t="shared" si="3997"/>
        <v>0</v>
      </c>
      <c r="KX519" s="98">
        <f t="shared" si="3997"/>
        <v>0</v>
      </c>
      <c r="KY519" s="98">
        <f t="shared" si="3997"/>
        <v>0</v>
      </c>
      <c r="KZ519" s="98">
        <f t="shared" si="3997"/>
        <v>0</v>
      </c>
      <c r="LA519" s="98">
        <f t="shared" si="3997"/>
        <v>0</v>
      </c>
      <c r="LB519" s="98">
        <f t="shared" si="3997"/>
        <v>0</v>
      </c>
      <c r="LC519" s="98">
        <f t="shared" si="3997"/>
        <v>0</v>
      </c>
      <c r="LD519" s="98">
        <f t="shared" si="3997"/>
        <v>0</v>
      </c>
      <c r="LE519" s="98">
        <f t="shared" si="3997"/>
        <v>0</v>
      </c>
      <c r="LF519" s="98">
        <f t="shared" si="3997"/>
        <v>0</v>
      </c>
      <c r="LG519" s="98">
        <f t="shared" si="3997"/>
        <v>0</v>
      </c>
      <c r="LH519" s="98">
        <f t="shared" si="3997"/>
        <v>0</v>
      </c>
      <c r="LI519" s="198">
        <f t="shared" si="2657"/>
        <v>0</v>
      </c>
      <c r="LJ519" s="198">
        <f t="shared" si="2658"/>
        <v>0</v>
      </c>
      <c r="LK519" s="98">
        <f t="shared" ref="LK519:LX519" si="3998">SUM(LK48,LK86,LK124,LK162,LK200,LK238,LK276,LK314,LK352,LK390,LK428,LK466)</f>
        <v>0</v>
      </c>
      <c r="LL519" s="98">
        <f t="shared" si="3998"/>
        <v>0</v>
      </c>
      <c r="LM519" s="98">
        <f t="shared" si="3998"/>
        <v>0</v>
      </c>
      <c r="LN519" s="98">
        <f t="shared" si="3998"/>
        <v>0</v>
      </c>
      <c r="LO519" s="98">
        <f t="shared" si="3998"/>
        <v>0</v>
      </c>
      <c r="LP519" s="98">
        <f t="shared" si="3998"/>
        <v>0</v>
      </c>
      <c r="LQ519" s="98">
        <f t="shared" si="3998"/>
        <v>0</v>
      </c>
      <c r="LR519" s="98">
        <f t="shared" si="3998"/>
        <v>0</v>
      </c>
      <c r="LS519" s="98">
        <f t="shared" si="3998"/>
        <v>0</v>
      </c>
      <c r="LT519" s="98">
        <f t="shared" si="3998"/>
        <v>0</v>
      </c>
      <c r="LU519" s="98">
        <f t="shared" si="3998"/>
        <v>0</v>
      </c>
      <c r="LV519" s="98">
        <f t="shared" si="3998"/>
        <v>0</v>
      </c>
      <c r="LW519" s="98">
        <f t="shared" si="3998"/>
        <v>0</v>
      </c>
      <c r="LX519" s="98">
        <f t="shared" si="3998"/>
        <v>0</v>
      </c>
      <c r="LY519" s="198">
        <f t="shared" si="2660"/>
        <v>0</v>
      </c>
      <c r="LZ519" s="198">
        <f t="shared" si="2661"/>
        <v>0</v>
      </c>
      <c r="MA519" s="98">
        <f t="shared" ref="MA519:MN519" si="3999">SUM(MA48,MA86,MA124,MA162,MA200,MA238,MA276,MA314,MA352,MA390,MA428,MA466)</f>
        <v>0</v>
      </c>
      <c r="MB519" s="98">
        <f t="shared" si="3999"/>
        <v>0</v>
      </c>
      <c r="MC519" s="98">
        <f t="shared" si="3999"/>
        <v>0</v>
      </c>
      <c r="MD519" s="98">
        <f t="shared" si="3999"/>
        <v>0</v>
      </c>
      <c r="ME519" s="98">
        <f t="shared" si="3999"/>
        <v>0</v>
      </c>
      <c r="MF519" s="98">
        <f t="shared" si="3999"/>
        <v>0</v>
      </c>
      <c r="MG519" s="98">
        <f t="shared" si="3999"/>
        <v>0</v>
      </c>
      <c r="MH519" s="98">
        <f t="shared" si="3999"/>
        <v>0</v>
      </c>
      <c r="MI519" s="98">
        <f t="shared" si="3999"/>
        <v>0</v>
      </c>
      <c r="MJ519" s="98">
        <f t="shared" si="3999"/>
        <v>0</v>
      </c>
      <c r="MK519" s="98">
        <f t="shared" si="3999"/>
        <v>0</v>
      </c>
      <c r="ML519" s="98">
        <f t="shared" si="3999"/>
        <v>0</v>
      </c>
      <c r="MM519" s="98">
        <f t="shared" si="3999"/>
        <v>0</v>
      </c>
      <c r="MN519" s="98">
        <f t="shared" si="3999"/>
        <v>0</v>
      </c>
      <c r="MO519" s="198">
        <f t="shared" si="2663"/>
        <v>0</v>
      </c>
      <c r="MP519" s="198">
        <f t="shared" si="2664"/>
        <v>0</v>
      </c>
      <c r="MQ519" s="98">
        <f t="shared" ref="MQ519:ND519" si="4000">SUM(MQ48,MQ86,MQ124,MQ162,MQ200,MQ238,MQ276,MQ314,MQ352,MQ390,MQ428,MQ466)</f>
        <v>0</v>
      </c>
      <c r="MR519" s="98">
        <f t="shared" si="4000"/>
        <v>0</v>
      </c>
      <c r="MS519" s="98">
        <f t="shared" si="4000"/>
        <v>0</v>
      </c>
      <c r="MT519" s="98">
        <f t="shared" si="4000"/>
        <v>0</v>
      </c>
      <c r="MU519" s="98">
        <f t="shared" si="4000"/>
        <v>0</v>
      </c>
      <c r="MV519" s="98">
        <f t="shared" si="4000"/>
        <v>0</v>
      </c>
      <c r="MW519" s="98">
        <f t="shared" si="4000"/>
        <v>0</v>
      </c>
      <c r="MX519" s="98">
        <f t="shared" si="4000"/>
        <v>0</v>
      </c>
      <c r="MY519" s="98">
        <f t="shared" si="4000"/>
        <v>0</v>
      </c>
      <c r="MZ519" s="98">
        <f t="shared" si="4000"/>
        <v>0</v>
      </c>
      <c r="NA519" s="98">
        <f t="shared" si="4000"/>
        <v>0</v>
      </c>
      <c r="NB519" s="98">
        <f t="shared" si="4000"/>
        <v>0</v>
      </c>
      <c r="NC519" s="98">
        <f t="shared" si="4000"/>
        <v>0</v>
      </c>
      <c r="ND519" s="98">
        <f t="shared" si="4000"/>
        <v>0</v>
      </c>
      <c r="NE519" s="198">
        <f t="shared" si="2666"/>
        <v>0</v>
      </c>
      <c r="NF519" s="198">
        <f t="shared" si="2667"/>
        <v>0</v>
      </c>
      <c r="NG519" s="98">
        <f t="shared" ref="NG519:NT519" si="4001">SUM(NG48,NG86,NG124,NG162,NG200,NG238,NG276,NG314,NG352,NG390,NG428,NG466)</f>
        <v>0</v>
      </c>
      <c r="NH519" s="98">
        <f t="shared" si="4001"/>
        <v>0</v>
      </c>
      <c r="NI519" s="98">
        <f t="shared" si="4001"/>
        <v>0</v>
      </c>
      <c r="NJ519" s="98">
        <f t="shared" si="4001"/>
        <v>0</v>
      </c>
      <c r="NK519" s="98">
        <f t="shared" si="4001"/>
        <v>0</v>
      </c>
      <c r="NL519" s="98">
        <f t="shared" si="4001"/>
        <v>0</v>
      </c>
      <c r="NM519" s="98">
        <f t="shared" si="4001"/>
        <v>0</v>
      </c>
      <c r="NN519" s="98">
        <f t="shared" si="4001"/>
        <v>0</v>
      </c>
      <c r="NO519" s="98">
        <f t="shared" si="4001"/>
        <v>0</v>
      </c>
      <c r="NP519" s="98">
        <f t="shared" si="4001"/>
        <v>0</v>
      </c>
      <c r="NQ519" s="98">
        <f t="shared" si="4001"/>
        <v>0</v>
      </c>
      <c r="NR519" s="98">
        <f t="shared" si="4001"/>
        <v>0</v>
      </c>
      <c r="NS519" s="98">
        <f t="shared" si="4001"/>
        <v>0</v>
      </c>
      <c r="NT519" s="98">
        <f t="shared" si="4001"/>
        <v>0</v>
      </c>
      <c r="NU519" s="198">
        <f t="shared" si="2669"/>
        <v>0</v>
      </c>
      <c r="NV519" s="198">
        <f t="shared" si="2670"/>
        <v>0</v>
      </c>
      <c r="NW519" s="98">
        <f t="shared" ref="NW519:OJ519" si="4002">SUM(NW48,NW86,NW124,NW162,NW200,NW238,NW276,NW314,NW352,NW390,NW428,NW466)</f>
        <v>0</v>
      </c>
      <c r="NX519" s="98">
        <f t="shared" si="4002"/>
        <v>0</v>
      </c>
      <c r="NY519" s="98">
        <f t="shared" si="4002"/>
        <v>0</v>
      </c>
      <c r="NZ519" s="98">
        <f t="shared" si="4002"/>
        <v>0</v>
      </c>
      <c r="OA519" s="98">
        <f t="shared" si="4002"/>
        <v>0</v>
      </c>
      <c r="OB519" s="98">
        <f t="shared" si="4002"/>
        <v>0</v>
      </c>
      <c r="OC519" s="98">
        <f t="shared" si="4002"/>
        <v>0</v>
      </c>
      <c r="OD519" s="98">
        <f t="shared" si="4002"/>
        <v>0</v>
      </c>
      <c r="OE519" s="98">
        <f t="shared" si="4002"/>
        <v>0</v>
      </c>
      <c r="OF519" s="98">
        <f t="shared" si="4002"/>
        <v>0</v>
      </c>
      <c r="OG519" s="98">
        <f t="shared" si="4002"/>
        <v>0</v>
      </c>
      <c r="OH519" s="98">
        <f t="shared" si="4002"/>
        <v>0</v>
      </c>
      <c r="OI519" s="98">
        <f t="shared" si="4002"/>
        <v>0</v>
      </c>
      <c r="OJ519" s="98">
        <f t="shared" si="4002"/>
        <v>0</v>
      </c>
      <c r="OK519" s="198">
        <f t="shared" si="2672"/>
        <v>0</v>
      </c>
      <c r="OL519" s="198">
        <f t="shared" si="2673"/>
        <v>0</v>
      </c>
      <c r="OM519" s="98">
        <f t="shared" ref="OM519:OZ519" si="4003">SUM(OM48,OM86,OM124,OM162,OM200,OM238,OM276,OM314,OM352,OM390,OM428,OM466)</f>
        <v>0</v>
      </c>
      <c r="ON519" s="98">
        <f t="shared" si="4003"/>
        <v>0</v>
      </c>
      <c r="OO519" s="98">
        <f t="shared" si="4003"/>
        <v>0</v>
      </c>
      <c r="OP519" s="98">
        <f t="shared" si="4003"/>
        <v>0</v>
      </c>
      <c r="OQ519" s="98">
        <f t="shared" si="4003"/>
        <v>0</v>
      </c>
      <c r="OR519" s="98">
        <f t="shared" si="4003"/>
        <v>0</v>
      </c>
      <c r="OS519" s="98">
        <f t="shared" si="4003"/>
        <v>0</v>
      </c>
      <c r="OT519" s="98">
        <f t="shared" si="4003"/>
        <v>0</v>
      </c>
      <c r="OU519" s="98">
        <f t="shared" si="4003"/>
        <v>0</v>
      </c>
      <c r="OV519" s="98">
        <f t="shared" si="4003"/>
        <v>0</v>
      </c>
      <c r="OW519" s="98">
        <f t="shared" si="4003"/>
        <v>0</v>
      </c>
      <c r="OX519" s="98">
        <f t="shared" si="4003"/>
        <v>0</v>
      </c>
      <c r="OY519" s="98">
        <f t="shared" si="4003"/>
        <v>0</v>
      </c>
      <c r="OZ519" s="98">
        <f t="shared" si="4003"/>
        <v>0</v>
      </c>
      <c r="PA519" s="198">
        <f t="shared" si="2675"/>
        <v>0</v>
      </c>
      <c r="PB519" s="198">
        <f t="shared" si="2676"/>
        <v>0</v>
      </c>
      <c r="PC519" s="98">
        <f t="shared" ref="PC519:PP519" si="4004">SUM(PC48,PC86,PC124,PC162,PC200,PC238,PC276,PC314,PC352,PC390,PC428,PC466)</f>
        <v>0</v>
      </c>
      <c r="PD519" s="98">
        <f t="shared" si="4004"/>
        <v>0</v>
      </c>
      <c r="PE519" s="98">
        <f t="shared" si="4004"/>
        <v>0</v>
      </c>
      <c r="PF519" s="98">
        <f t="shared" si="4004"/>
        <v>0</v>
      </c>
      <c r="PG519" s="98">
        <f t="shared" si="4004"/>
        <v>0</v>
      </c>
      <c r="PH519" s="98">
        <f t="shared" si="4004"/>
        <v>0</v>
      </c>
      <c r="PI519" s="98">
        <f t="shared" si="4004"/>
        <v>0</v>
      </c>
      <c r="PJ519" s="98">
        <f t="shared" si="4004"/>
        <v>0</v>
      </c>
      <c r="PK519" s="98">
        <f t="shared" si="4004"/>
        <v>0</v>
      </c>
      <c r="PL519" s="98">
        <f t="shared" si="4004"/>
        <v>0</v>
      </c>
      <c r="PM519" s="98">
        <f t="shared" si="4004"/>
        <v>0</v>
      </c>
      <c r="PN519" s="98">
        <f t="shared" si="4004"/>
        <v>0</v>
      </c>
      <c r="PO519" s="98">
        <f t="shared" si="4004"/>
        <v>0</v>
      </c>
      <c r="PP519" s="98">
        <f t="shared" si="4004"/>
        <v>0</v>
      </c>
      <c r="PQ519" s="198">
        <f t="shared" si="2678"/>
        <v>0</v>
      </c>
      <c r="PR519" s="198">
        <f t="shared" si="2679"/>
        <v>0</v>
      </c>
      <c r="PS519" s="98">
        <f t="shared" ref="PS519:QF519" si="4005">SUM(PS48,PS86,PS124,PS162,PS200,PS238,PS276,PS314,PS352,PS390,PS428,PS466)</f>
        <v>0</v>
      </c>
      <c r="PT519" s="98">
        <f t="shared" si="4005"/>
        <v>0</v>
      </c>
      <c r="PU519" s="98">
        <f t="shared" si="4005"/>
        <v>0</v>
      </c>
      <c r="PV519" s="98">
        <f t="shared" si="4005"/>
        <v>0</v>
      </c>
      <c r="PW519" s="98">
        <f t="shared" si="4005"/>
        <v>0</v>
      </c>
      <c r="PX519" s="98">
        <f t="shared" si="4005"/>
        <v>0</v>
      </c>
      <c r="PY519" s="98">
        <f t="shared" si="4005"/>
        <v>0</v>
      </c>
      <c r="PZ519" s="98">
        <f t="shared" si="4005"/>
        <v>0</v>
      </c>
      <c r="QA519" s="98">
        <f t="shared" si="4005"/>
        <v>0</v>
      </c>
      <c r="QB519" s="98">
        <f t="shared" si="4005"/>
        <v>0</v>
      </c>
      <c r="QC519" s="98">
        <f t="shared" si="4005"/>
        <v>0</v>
      </c>
      <c r="QD519" s="98">
        <f t="shared" si="4005"/>
        <v>0</v>
      </c>
      <c r="QE519" s="98">
        <f t="shared" si="4005"/>
        <v>0</v>
      </c>
      <c r="QF519" s="98">
        <f t="shared" si="4005"/>
        <v>0</v>
      </c>
      <c r="QG519" s="198">
        <f t="shared" si="2681"/>
        <v>0</v>
      </c>
      <c r="QH519" s="198">
        <f t="shared" si="2682"/>
        <v>0</v>
      </c>
      <c r="QI519" s="98">
        <f t="shared" ref="QI519:QV519" si="4006">SUM(QI48,QI86,QI124,QI162,QI200,QI238,QI276,QI314,QI352,QI390,QI428,QI466)</f>
        <v>0</v>
      </c>
      <c r="QJ519" s="98">
        <f t="shared" si="4006"/>
        <v>0</v>
      </c>
      <c r="QK519" s="98">
        <f t="shared" si="4006"/>
        <v>0</v>
      </c>
      <c r="QL519" s="98">
        <f t="shared" si="4006"/>
        <v>0</v>
      </c>
      <c r="QM519" s="98">
        <f t="shared" si="4006"/>
        <v>0</v>
      </c>
      <c r="QN519" s="98">
        <f t="shared" si="4006"/>
        <v>0</v>
      </c>
      <c r="QO519" s="98">
        <f t="shared" si="4006"/>
        <v>0</v>
      </c>
      <c r="QP519" s="98">
        <f t="shared" si="4006"/>
        <v>0</v>
      </c>
      <c r="QQ519" s="98">
        <f t="shared" si="4006"/>
        <v>0</v>
      </c>
      <c r="QR519" s="98">
        <f t="shared" si="4006"/>
        <v>0</v>
      </c>
      <c r="QS519" s="98">
        <f t="shared" si="4006"/>
        <v>0</v>
      </c>
      <c r="QT519" s="98">
        <f t="shared" si="4006"/>
        <v>0</v>
      </c>
      <c r="QU519" s="98">
        <f t="shared" si="4006"/>
        <v>0</v>
      </c>
      <c r="QV519" s="98">
        <f t="shared" si="4006"/>
        <v>0</v>
      </c>
      <c r="QW519" s="198">
        <f t="shared" si="2684"/>
        <v>0</v>
      </c>
      <c r="QX519" s="198">
        <f t="shared" si="2685"/>
        <v>0</v>
      </c>
      <c r="QY519" s="98">
        <f t="shared" ref="QY519:RL519" si="4007">SUM(QY48,QY86,QY124,QY162,QY200,QY238,QY276,QY314,QY352,QY390,QY428,QY466)</f>
        <v>0</v>
      </c>
      <c r="QZ519" s="98">
        <f t="shared" si="4007"/>
        <v>0</v>
      </c>
      <c r="RA519" s="98">
        <f t="shared" si="4007"/>
        <v>0</v>
      </c>
      <c r="RB519" s="98">
        <f t="shared" si="4007"/>
        <v>0</v>
      </c>
      <c r="RC519" s="98">
        <f t="shared" si="4007"/>
        <v>0</v>
      </c>
      <c r="RD519" s="98">
        <f t="shared" si="4007"/>
        <v>0</v>
      </c>
      <c r="RE519" s="98">
        <f t="shared" si="4007"/>
        <v>0</v>
      </c>
      <c r="RF519" s="98">
        <f t="shared" si="4007"/>
        <v>0</v>
      </c>
      <c r="RG519" s="98">
        <f t="shared" si="4007"/>
        <v>0</v>
      </c>
      <c r="RH519" s="98">
        <f t="shared" si="4007"/>
        <v>0</v>
      </c>
      <c r="RI519" s="98">
        <f t="shared" si="4007"/>
        <v>0</v>
      </c>
      <c r="RJ519" s="98">
        <f t="shared" si="4007"/>
        <v>0</v>
      </c>
      <c r="RK519" s="98">
        <f t="shared" si="4007"/>
        <v>0</v>
      </c>
      <c r="RL519" s="98">
        <f t="shared" si="4007"/>
        <v>0</v>
      </c>
      <c r="RM519" s="198">
        <f t="shared" si="2687"/>
        <v>0</v>
      </c>
      <c r="RN519" s="198">
        <f t="shared" si="2688"/>
        <v>0</v>
      </c>
      <c r="RO519" s="98">
        <f t="shared" ref="RO519:SB519" si="4008">SUM(RO48,RO86,RO124,RO162,RO200,RO238,RO276,RO314,RO352,RO390,RO428,RO466)</f>
        <v>0</v>
      </c>
      <c r="RP519" s="98">
        <f t="shared" si="4008"/>
        <v>0</v>
      </c>
      <c r="RQ519" s="98">
        <f t="shared" si="4008"/>
        <v>0</v>
      </c>
      <c r="RR519" s="98">
        <f t="shared" si="4008"/>
        <v>0</v>
      </c>
      <c r="RS519" s="98">
        <f t="shared" si="4008"/>
        <v>0</v>
      </c>
      <c r="RT519" s="98">
        <f t="shared" si="4008"/>
        <v>0</v>
      </c>
      <c r="RU519" s="98">
        <f t="shared" si="4008"/>
        <v>0</v>
      </c>
      <c r="RV519" s="98">
        <f t="shared" si="4008"/>
        <v>0</v>
      </c>
      <c r="RW519" s="98">
        <f t="shared" si="4008"/>
        <v>0</v>
      </c>
      <c r="RX519" s="98">
        <f t="shared" si="4008"/>
        <v>0</v>
      </c>
      <c r="RY519" s="98">
        <f t="shared" si="4008"/>
        <v>0</v>
      </c>
      <c r="RZ519" s="98">
        <f t="shared" si="4008"/>
        <v>0</v>
      </c>
      <c r="SA519" s="98">
        <f t="shared" si="4008"/>
        <v>0</v>
      </c>
      <c r="SB519" s="98">
        <f t="shared" si="4008"/>
        <v>0</v>
      </c>
      <c r="SC519" s="198">
        <f t="shared" si="2690"/>
        <v>0</v>
      </c>
      <c r="SD519" s="198">
        <f t="shared" si="2691"/>
        <v>0</v>
      </c>
      <c r="SE519" s="98">
        <f t="shared" ref="SE519:SR519" si="4009">SUM(SE48,SE86,SE124,SE162,SE200,SE238,SE276,SE314,SE352,SE390,SE428,SE466)</f>
        <v>0</v>
      </c>
      <c r="SF519" s="98">
        <f t="shared" si="4009"/>
        <v>0</v>
      </c>
      <c r="SG519" s="98">
        <f t="shared" si="4009"/>
        <v>0</v>
      </c>
      <c r="SH519" s="98">
        <f t="shared" si="4009"/>
        <v>0</v>
      </c>
      <c r="SI519" s="98">
        <f t="shared" si="4009"/>
        <v>0</v>
      </c>
      <c r="SJ519" s="98">
        <f t="shared" si="4009"/>
        <v>0</v>
      </c>
      <c r="SK519" s="98">
        <f t="shared" si="4009"/>
        <v>0</v>
      </c>
      <c r="SL519" s="98">
        <f t="shared" si="4009"/>
        <v>0</v>
      </c>
      <c r="SM519" s="98">
        <f t="shared" si="4009"/>
        <v>0</v>
      </c>
      <c r="SN519" s="98">
        <f t="shared" si="4009"/>
        <v>0</v>
      </c>
      <c r="SO519" s="98">
        <f t="shared" si="4009"/>
        <v>0</v>
      </c>
      <c r="SP519" s="98">
        <f t="shared" si="4009"/>
        <v>0</v>
      </c>
      <c r="SQ519" s="98">
        <f t="shared" si="4009"/>
        <v>0</v>
      </c>
      <c r="SR519" s="98">
        <f t="shared" si="4009"/>
        <v>0</v>
      </c>
      <c r="SS519" s="198">
        <f t="shared" si="2693"/>
        <v>0</v>
      </c>
      <c r="ST519" s="198">
        <f t="shared" si="2694"/>
        <v>0</v>
      </c>
      <c r="SU519" s="98">
        <f t="shared" ref="SU519:TH519" si="4010">SUM(SU48,SU86,SU124,SU162,SU200,SU238,SU276,SU314,SU352,SU390,SU428,SU466)</f>
        <v>0</v>
      </c>
      <c r="SV519" s="98">
        <f t="shared" si="4010"/>
        <v>0</v>
      </c>
      <c r="SW519" s="98">
        <f t="shared" si="4010"/>
        <v>0</v>
      </c>
      <c r="SX519" s="98">
        <f t="shared" si="4010"/>
        <v>0</v>
      </c>
      <c r="SY519" s="98">
        <f t="shared" si="4010"/>
        <v>0</v>
      </c>
      <c r="SZ519" s="98">
        <f t="shared" si="4010"/>
        <v>0</v>
      </c>
      <c r="TA519" s="98">
        <f t="shared" si="4010"/>
        <v>0</v>
      </c>
      <c r="TB519" s="98">
        <f t="shared" si="4010"/>
        <v>0</v>
      </c>
      <c r="TC519" s="98">
        <f t="shared" si="4010"/>
        <v>0</v>
      </c>
      <c r="TD519" s="98">
        <f t="shared" si="4010"/>
        <v>0</v>
      </c>
      <c r="TE519" s="98">
        <f t="shared" si="4010"/>
        <v>0</v>
      </c>
      <c r="TF519" s="98">
        <f t="shared" si="4010"/>
        <v>0</v>
      </c>
      <c r="TG519" s="98">
        <f t="shared" si="4010"/>
        <v>0</v>
      </c>
      <c r="TH519" s="98">
        <f t="shared" si="4010"/>
        <v>0</v>
      </c>
      <c r="TI519" s="198">
        <f t="shared" si="2696"/>
        <v>0</v>
      </c>
      <c r="TJ519" s="198">
        <f t="shared" si="2697"/>
        <v>0</v>
      </c>
      <c r="TK519" s="98">
        <f t="shared" ref="TK519:TX519" si="4011">SUM(TK48,TK86,TK124,TK162,TK200,TK238,TK276,TK314,TK352,TK390,TK428,TK466)</f>
        <v>0</v>
      </c>
      <c r="TL519" s="98">
        <f t="shared" si="4011"/>
        <v>0</v>
      </c>
      <c r="TM519" s="98">
        <f t="shared" si="4011"/>
        <v>0</v>
      </c>
      <c r="TN519" s="98">
        <f t="shared" si="4011"/>
        <v>0</v>
      </c>
      <c r="TO519" s="98">
        <f t="shared" si="4011"/>
        <v>0</v>
      </c>
      <c r="TP519" s="98">
        <f t="shared" si="4011"/>
        <v>0</v>
      </c>
      <c r="TQ519" s="98">
        <f t="shared" si="4011"/>
        <v>0</v>
      </c>
      <c r="TR519" s="98">
        <f t="shared" si="4011"/>
        <v>0</v>
      </c>
      <c r="TS519" s="98">
        <f t="shared" si="4011"/>
        <v>0</v>
      </c>
      <c r="TT519" s="98">
        <f t="shared" si="4011"/>
        <v>0</v>
      </c>
      <c r="TU519" s="98">
        <f t="shared" si="4011"/>
        <v>0</v>
      </c>
      <c r="TV519" s="98">
        <f t="shared" si="4011"/>
        <v>0</v>
      </c>
      <c r="TW519" s="98">
        <f t="shared" si="4011"/>
        <v>0</v>
      </c>
      <c r="TX519" s="98">
        <f t="shared" si="4011"/>
        <v>0</v>
      </c>
      <c r="TY519" s="198">
        <f t="shared" si="2699"/>
        <v>0</v>
      </c>
      <c r="TZ519" s="198">
        <f t="shared" si="2700"/>
        <v>0</v>
      </c>
      <c r="UA519" s="98">
        <f t="shared" ref="UA519:UN519" si="4012">SUM(UA48,UA86,UA124,UA162,UA200,UA238,UA276,UA314,UA352,UA390,UA428,UA466)</f>
        <v>0</v>
      </c>
      <c r="UB519" s="98">
        <f t="shared" si="4012"/>
        <v>0</v>
      </c>
      <c r="UC519" s="98">
        <f t="shared" si="4012"/>
        <v>0</v>
      </c>
      <c r="UD519" s="98">
        <f t="shared" si="4012"/>
        <v>0</v>
      </c>
      <c r="UE519" s="98">
        <f t="shared" si="4012"/>
        <v>0</v>
      </c>
      <c r="UF519" s="98">
        <f t="shared" si="4012"/>
        <v>0</v>
      </c>
      <c r="UG519" s="98">
        <f t="shared" si="4012"/>
        <v>0</v>
      </c>
      <c r="UH519" s="98">
        <f t="shared" si="4012"/>
        <v>0</v>
      </c>
      <c r="UI519" s="98">
        <f t="shared" si="4012"/>
        <v>0</v>
      </c>
      <c r="UJ519" s="98">
        <f t="shared" si="4012"/>
        <v>0</v>
      </c>
      <c r="UK519" s="98">
        <f t="shared" si="4012"/>
        <v>0</v>
      </c>
      <c r="UL519" s="98">
        <f t="shared" si="4012"/>
        <v>0</v>
      </c>
      <c r="UM519" s="98">
        <f t="shared" si="4012"/>
        <v>0</v>
      </c>
      <c r="UN519" s="98">
        <f t="shared" si="4012"/>
        <v>0</v>
      </c>
      <c r="UO519" s="198">
        <f t="shared" si="2702"/>
        <v>0</v>
      </c>
      <c r="UP519" s="198">
        <f t="shared" si="2703"/>
        <v>0</v>
      </c>
      <c r="UQ519" s="98">
        <f t="shared" ref="UQ519:VD519" si="4013">SUM(UQ48,UQ86,UQ124,UQ162,UQ200,UQ238,UQ276,UQ314,UQ352,UQ390,UQ428,UQ466)</f>
        <v>0</v>
      </c>
      <c r="UR519" s="98">
        <f t="shared" si="4013"/>
        <v>0</v>
      </c>
      <c r="US519" s="98">
        <f t="shared" si="4013"/>
        <v>0</v>
      </c>
      <c r="UT519" s="98">
        <f t="shared" si="4013"/>
        <v>0</v>
      </c>
      <c r="UU519" s="98">
        <f t="shared" si="4013"/>
        <v>0</v>
      </c>
      <c r="UV519" s="98">
        <f t="shared" si="4013"/>
        <v>0</v>
      </c>
      <c r="UW519" s="98">
        <f t="shared" si="4013"/>
        <v>0</v>
      </c>
      <c r="UX519" s="98">
        <f t="shared" si="4013"/>
        <v>0</v>
      </c>
      <c r="UY519" s="98">
        <f t="shared" si="4013"/>
        <v>0</v>
      </c>
      <c r="UZ519" s="98">
        <f t="shared" si="4013"/>
        <v>0</v>
      </c>
      <c r="VA519" s="98">
        <f t="shared" si="4013"/>
        <v>0</v>
      </c>
      <c r="VB519" s="98">
        <f t="shared" si="4013"/>
        <v>0</v>
      </c>
      <c r="VC519" s="98">
        <f t="shared" si="4013"/>
        <v>0</v>
      </c>
      <c r="VD519" s="98">
        <f t="shared" si="4013"/>
        <v>0</v>
      </c>
      <c r="VE519" s="198">
        <f t="shared" si="2705"/>
        <v>0</v>
      </c>
      <c r="VF519" s="198">
        <f t="shared" si="2706"/>
        <v>0</v>
      </c>
      <c r="VG519" s="98">
        <f t="shared" ref="VG519:VT519" si="4014">SUM(VG48,VG86,VG124,VG162,VG200,VG238,VG276,VG314,VG352,VG390,VG428,VG466)</f>
        <v>0</v>
      </c>
      <c r="VH519" s="98">
        <f t="shared" si="4014"/>
        <v>0</v>
      </c>
      <c r="VI519" s="98">
        <f t="shared" si="4014"/>
        <v>0</v>
      </c>
      <c r="VJ519" s="98">
        <f t="shared" si="4014"/>
        <v>0</v>
      </c>
      <c r="VK519" s="98">
        <f t="shared" si="4014"/>
        <v>0</v>
      </c>
      <c r="VL519" s="98">
        <f t="shared" si="4014"/>
        <v>0</v>
      </c>
      <c r="VM519" s="98">
        <f t="shared" si="4014"/>
        <v>0</v>
      </c>
      <c r="VN519" s="98">
        <f t="shared" si="4014"/>
        <v>0</v>
      </c>
      <c r="VO519" s="98">
        <f t="shared" si="4014"/>
        <v>0</v>
      </c>
      <c r="VP519" s="98">
        <f t="shared" si="4014"/>
        <v>0</v>
      </c>
      <c r="VQ519" s="98">
        <f t="shared" si="4014"/>
        <v>0</v>
      </c>
      <c r="VR519" s="98">
        <f t="shared" si="4014"/>
        <v>0</v>
      </c>
      <c r="VS519" s="98">
        <f t="shared" si="4014"/>
        <v>0</v>
      </c>
      <c r="VT519" s="98">
        <f t="shared" si="4014"/>
        <v>0</v>
      </c>
      <c r="VU519" s="198">
        <f t="shared" si="2708"/>
        <v>0</v>
      </c>
      <c r="VV519" s="198">
        <f t="shared" si="2709"/>
        <v>0</v>
      </c>
      <c r="VW519" s="98">
        <f t="shared" ref="VW519:WJ519" si="4015">SUM(VW48,VW86,VW124,VW162,VW200,VW238,VW276,VW314,VW352,VW390,VW428,VW466)</f>
        <v>0</v>
      </c>
      <c r="VX519" s="98">
        <f t="shared" si="4015"/>
        <v>0</v>
      </c>
      <c r="VY519" s="98">
        <f t="shared" si="4015"/>
        <v>0</v>
      </c>
      <c r="VZ519" s="98">
        <f t="shared" si="4015"/>
        <v>0</v>
      </c>
      <c r="WA519" s="98">
        <f t="shared" si="4015"/>
        <v>0</v>
      </c>
      <c r="WB519" s="98">
        <f t="shared" si="4015"/>
        <v>0</v>
      </c>
      <c r="WC519" s="98">
        <f t="shared" si="4015"/>
        <v>0</v>
      </c>
      <c r="WD519" s="98">
        <f t="shared" si="4015"/>
        <v>0</v>
      </c>
      <c r="WE519" s="98">
        <f t="shared" si="4015"/>
        <v>0</v>
      </c>
      <c r="WF519" s="98">
        <f t="shared" si="4015"/>
        <v>0</v>
      </c>
      <c r="WG519" s="98">
        <f t="shared" si="4015"/>
        <v>0</v>
      </c>
      <c r="WH519" s="98">
        <f t="shared" si="4015"/>
        <v>0</v>
      </c>
      <c r="WI519" s="98">
        <f t="shared" si="4015"/>
        <v>0</v>
      </c>
      <c r="WJ519" s="98">
        <f t="shared" si="4015"/>
        <v>0</v>
      </c>
      <c r="WK519" s="198">
        <f t="shared" si="2711"/>
        <v>0</v>
      </c>
      <c r="WL519" s="198">
        <f t="shared" si="2712"/>
        <v>0</v>
      </c>
      <c r="WN519" s="98">
        <f t="shared" si="3734"/>
        <v>0</v>
      </c>
      <c r="WO519" s="98">
        <f t="shared" si="3735"/>
        <v>0</v>
      </c>
      <c r="WP519" s="98">
        <f t="shared" si="3736"/>
        <v>800</v>
      </c>
      <c r="WQ519" s="98">
        <f t="shared" si="3737"/>
        <v>80000</v>
      </c>
      <c r="WR519" s="98">
        <f t="shared" si="3738"/>
        <v>0</v>
      </c>
      <c r="WS519" s="98">
        <f t="shared" si="3739"/>
        <v>0</v>
      </c>
      <c r="WT519" s="98">
        <f t="shared" si="3740"/>
        <v>0</v>
      </c>
      <c r="WU519" s="98">
        <f t="shared" si="3741"/>
        <v>0</v>
      </c>
      <c r="WV519" s="98">
        <f t="shared" si="3742"/>
        <v>0</v>
      </c>
      <c r="WW519" s="98">
        <f t="shared" si="3743"/>
        <v>0</v>
      </c>
      <c r="WX519" s="98">
        <f t="shared" si="3744"/>
        <v>0</v>
      </c>
      <c r="WY519" s="98">
        <f t="shared" si="3745"/>
        <v>0</v>
      </c>
      <c r="WZ519" s="98">
        <f t="shared" si="3746"/>
        <v>0</v>
      </c>
      <c r="XA519" s="98">
        <f t="shared" si="3747"/>
        <v>0</v>
      </c>
      <c r="XB519" s="107">
        <f t="shared" si="3748"/>
        <v>800</v>
      </c>
      <c r="XC519" s="107">
        <f t="shared" si="3749"/>
        <v>80000</v>
      </c>
      <c r="XK519" s="98">
        <f t="shared" si="2729"/>
        <v>0</v>
      </c>
      <c r="XL519" s="98">
        <f t="shared" si="2730"/>
        <v>0</v>
      </c>
      <c r="XM519" s="98">
        <f t="shared" si="2731"/>
        <v>0</v>
      </c>
      <c r="XN519" s="98">
        <f t="shared" si="2732"/>
        <v>0</v>
      </c>
      <c r="XO519" s="98">
        <f t="shared" si="2733"/>
        <v>800</v>
      </c>
      <c r="XP519" s="98">
        <f t="shared" si="2734"/>
        <v>0</v>
      </c>
      <c r="XQ519" s="98">
        <f t="shared" si="2735"/>
        <v>800</v>
      </c>
      <c r="XR519" s="107">
        <f t="shared" ca="1" si="2597"/>
        <v>1600</v>
      </c>
      <c r="XT519" s="98">
        <f t="shared" si="2736"/>
        <v>80000</v>
      </c>
      <c r="XU519" s="98">
        <f t="shared" si="2737"/>
        <v>0</v>
      </c>
      <c r="XV519" s="98">
        <f t="shared" si="2738"/>
        <v>80000</v>
      </c>
      <c r="XW519" s="98">
        <f t="shared" si="2739"/>
        <v>0</v>
      </c>
      <c r="XX519" s="98">
        <f t="shared" si="2740"/>
        <v>0</v>
      </c>
      <c r="XY519" s="98">
        <f t="shared" si="2741"/>
        <v>0</v>
      </c>
      <c r="XZ519" s="98">
        <f t="shared" si="2742"/>
        <v>800</v>
      </c>
      <c r="YA519" s="107">
        <f t="shared" ca="1" si="2598"/>
        <v>160800</v>
      </c>
    </row>
    <row r="520" spans="1:1017">
      <c r="B520" s="90" t="str">
        <f t="shared" si="3695"/>
        <v>Ikan_04 (Ikan Keting)</v>
      </c>
      <c r="C520" s="98">
        <f t="shared" ref="C520:P520" si="4016">SUM(C49,C87,C125,C163,C201,C239,C277,C315,C353,C391,C429,C467)</f>
        <v>0</v>
      </c>
      <c r="D520" s="98">
        <f t="shared" si="4016"/>
        <v>0</v>
      </c>
      <c r="E520" s="98">
        <f t="shared" si="4016"/>
        <v>0</v>
      </c>
      <c r="F520" s="98">
        <f t="shared" si="4016"/>
        <v>0</v>
      </c>
      <c r="G520" s="98">
        <f t="shared" si="4016"/>
        <v>0</v>
      </c>
      <c r="H520" s="98">
        <f t="shared" si="4016"/>
        <v>0</v>
      </c>
      <c r="I520" s="98">
        <f t="shared" si="4016"/>
        <v>0</v>
      </c>
      <c r="J520" s="98">
        <f t="shared" si="4016"/>
        <v>0</v>
      </c>
      <c r="K520" s="98">
        <f t="shared" si="4016"/>
        <v>0</v>
      </c>
      <c r="L520" s="98">
        <f t="shared" si="4016"/>
        <v>0</v>
      </c>
      <c r="M520" s="98">
        <f t="shared" si="4016"/>
        <v>0</v>
      </c>
      <c r="N520" s="98">
        <f t="shared" si="4016"/>
        <v>0</v>
      </c>
      <c r="O520" s="98">
        <f t="shared" si="4016"/>
        <v>0</v>
      </c>
      <c r="P520" s="98">
        <f t="shared" si="4016"/>
        <v>0</v>
      </c>
      <c r="Q520" s="198">
        <f t="shared" si="2600"/>
        <v>0</v>
      </c>
      <c r="R520" s="198">
        <f t="shared" si="2601"/>
        <v>0</v>
      </c>
      <c r="S520" s="98">
        <f t="shared" ref="S520:AF520" si="4017">SUM(S49,S87,S125,S163,S201,S239,S277,S315,S353,S391,S429,S467)</f>
        <v>0</v>
      </c>
      <c r="T520" s="98">
        <f t="shared" si="4017"/>
        <v>0</v>
      </c>
      <c r="U520" s="98">
        <f t="shared" si="4017"/>
        <v>0</v>
      </c>
      <c r="V520" s="98">
        <f t="shared" si="4017"/>
        <v>0</v>
      </c>
      <c r="W520" s="98">
        <f t="shared" si="4017"/>
        <v>0</v>
      </c>
      <c r="X520" s="98">
        <f t="shared" si="4017"/>
        <v>0</v>
      </c>
      <c r="Y520" s="98">
        <f t="shared" si="4017"/>
        <v>0</v>
      </c>
      <c r="Z520" s="98">
        <f t="shared" si="4017"/>
        <v>0</v>
      </c>
      <c r="AA520" s="98">
        <f t="shared" si="4017"/>
        <v>0</v>
      </c>
      <c r="AB520" s="98">
        <f t="shared" si="4017"/>
        <v>0</v>
      </c>
      <c r="AC520" s="98">
        <f t="shared" si="4017"/>
        <v>0</v>
      </c>
      <c r="AD520" s="98">
        <f t="shared" si="4017"/>
        <v>0</v>
      </c>
      <c r="AE520" s="98">
        <f t="shared" si="4017"/>
        <v>0</v>
      </c>
      <c r="AF520" s="98">
        <f t="shared" si="4017"/>
        <v>0</v>
      </c>
      <c r="AG520" s="198">
        <f t="shared" si="2603"/>
        <v>0</v>
      </c>
      <c r="AH520" s="198">
        <f t="shared" si="2604"/>
        <v>0</v>
      </c>
      <c r="AI520" s="98">
        <f t="shared" ref="AI520:AV520" si="4018">SUM(AI49,AI87,AI125,AI163,AI201,AI239,AI277,AI315,AI353,AI391,AI429,AI467)</f>
        <v>0</v>
      </c>
      <c r="AJ520" s="98">
        <f t="shared" si="4018"/>
        <v>0</v>
      </c>
      <c r="AK520" s="98">
        <f t="shared" si="4018"/>
        <v>0</v>
      </c>
      <c r="AL520" s="98">
        <f t="shared" si="4018"/>
        <v>0</v>
      </c>
      <c r="AM520" s="98">
        <f t="shared" si="4018"/>
        <v>0</v>
      </c>
      <c r="AN520" s="98">
        <f t="shared" si="4018"/>
        <v>0</v>
      </c>
      <c r="AO520" s="98">
        <f t="shared" si="4018"/>
        <v>0</v>
      </c>
      <c r="AP520" s="98">
        <f t="shared" si="4018"/>
        <v>0</v>
      </c>
      <c r="AQ520" s="98">
        <f t="shared" si="4018"/>
        <v>0</v>
      </c>
      <c r="AR520" s="98">
        <f t="shared" si="4018"/>
        <v>0</v>
      </c>
      <c r="AS520" s="98">
        <f t="shared" si="4018"/>
        <v>0</v>
      </c>
      <c r="AT520" s="98">
        <f t="shared" si="4018"/>
        <v>0</v>
      </c>
      <c r="AU520" s="98">
        <f t="shared" si="4018"/>
        <v>0</v>
      </c>
      <c r="AV520" s="98">
        <f t="shared" si="4018"/>
        <v>0</v>
      </c>
      <c r="AW520" s="198">
        <f t="shared" si="2606"/>
        <v>0</v>
      </c>
      <c r="AX520" s="198">
        <f t="shared" si="2607"/>
        <v>0</v>
      </c>
      <c r="AY520" s="98">
        <f t="shared" ref="AY520:BL520" si="4019">SUM(AY49,AY87,AY125,AY163,AY201,AY239,AY277,AY315,AY353,AY391,AY429,AY467)</f>
        <v>0</v>
      </c>
      <c r="AZ520" s="98">
        <f t="shared" si="4019"/>
        <v>0</v>
      </c>
      <c r="BA520" s="98">
        <f t="shared" si="4019"/>
        <v>0</v>
      </c>
      <c r="BB520" s="98">
        <f t="shared" si="4019"/>
        <v>0</v>
      </c>
      <c r="BC520" s="98">
        <f t="shared" si="4019"/>
        <v>0</v>
      </c>
      <c r="BD520" s="98">
        <f t="shared" si="4019"/>
        <v>0</v>
      </c>
      <c r="BE520" s="98">
        <f t="shared" si="4019"/>
        <v>0</v>
      </c>
      <c r="BF520" s="98">
        <f t="shared" si="4019"/>
        <v>0</v>
      </c>
      <c r="BG520" s="98">
        <f t="shared" si="4019"/>
        <v>0</v>
      </c>
      <c r="BH520" s="98">
        <f t="shared" si="4019"/>
        <v>0</v>
      </c>
      <c r="BI520" s="98">
        <f t="shared" si="4019"/>
        <v>0</v>
      </c>
      <c r="BJ520" s="98">
        <f t="shared" si="4019"/>
        <v>0</v>
      </c>
      <c r="BK520" s="98">
        <f t="shared" si="4019"/>
        <v>0</v>
      </c>
      <c r="BL520" s="98">
        <f t="shared" si="4019"/>
        <v>0</v>
      </c>
      <c r="BM520" s="198">
        <f t="shared" si="2609"/>
        <v>0</v>
      </c>
      <c r="BN520" s="198">
        <f t="shared" si="2610"/>
        <v>0</v>
      </c>
      <c r="BO520" s="98">
        <f t="shared" ref="BO520:CB520" si="4020">SUM(BO49,BO87,BO125,BO163,BO201,BO239,BO277,BO315,BO353,BO391,BO429,BO467)</f>
        <v>0</v>
      </c>
      <c r="BP520" s="98">
        <f t="shared" si="4020"/>
        <v>0</v>
      </c>
      <c r="BQ520" s="98">
        <f t="shared" si="4020"/>
        <v>0</v>
      </c>
      <c r="BR520" s="98">
        <f t="shared" si="4020"/>
        <v>0</v>
      </c>
      <c r="BS520" s="98">
        <f t="shared" si="4020"/>
        <v>0</v>
      </c>
      <c r="BT520" s="98">
        <f t="shared" si="4020"/>
        <v>0</v>
      </c>
      <c r="BU520" s="98">
        <f t="shared" si="4020"/>
        <v>0</v>
      </c>
      <c r="BV520" s="98">
        <f t="shared" si="4020"/>
        <v>0</v>
      </c>
      <c r="BW520" s="98">
        <f t="shared" si="4020"/>
        <v>0</v>
      </c>
      <c r="BX520" s="98">
        <f t="shared" si="4020"/>
        <v>0</v>
      </c>
      <c r="BY520" s="98">
        <f t="shared" si="4020"/>
        <v>0</v>
      </c>
      <c r="BZ520" s="98">
        <f t="shared" si="4020"/>
        <v>0</v>
      </c>
      <c r="CA520" s="98">
        <f t="shared" si="4020"/>
        <v>0</v>
      </c>
      <c r="CB520" s="98">
        <f t="shared" si="4020"/>
        <v>0</v>
      </c>
      <c r="CC520" s="198">
        <f t="shared" si="2612"/>
        <v>0</v>
      </c>
      <c r="CD520" s="198">
        <f t="shared" si="2613"/>
        <v>0</v>
      </c>
      <c r="CE520" s="98">
        <f t="shared" ref="CE520:CR520" si="4021">SUM(CE49,CE87,CE125,CE163,CE201,CE239,CE277,CE315,CE353,CE391,CE429,CE467)</f>
        <v>0</v>
      </c>
      <c r="CF520" s="98">
        <f t="shared" si="4021"/>
        <v>0</v>
      </c>
      <c r="CG520" s="98">
        <f t="shared" si="4021"/>
        <v>0</v>
      </c>
      <c r="CH520" s="98">
        <f t="shared" si="4021"/>
        <v>0</v>
      </c>
      <c r="CI520" s="98">
        <f t="shared" si="4021"/>
        <v>0</v>
      </c>
      <c r="CJ520" s="98">
        <f t="shared" si="4021"/>
        <v>0</v>
      </c>
      <c r="CK520" s="98">
        <f t="shared" si="4021"/>
        <v>0</v>
      </c>
      <c r="CL520" s="98">
        <f t="shared" si="4021"/>
        <v>0</v>
      </c>
      <c r="CM520" s="98">
        <f t="shared" si="4021"/>
        <v>0</v>
      </c>
      <c r="CN520" s="98">
        <f t="shared" si="4021"/>
        <v>0</v>
      </c>
      <c r="CO520" s="98">
        <f t="shared" si="4021"/>
        <v>0</v>
      </c>
      <c r="CP520" s="98">
        <f t="shared" si="4021"/>
        <v>0</v>
      </c>
      <c r="CQ520" s="98">
        <f t="shared" si="4021"/>
        <v>0</v>
      </c>
      <c r="CR520" s="98">
        <f t="shared" si="4021"/>
        <v>0</v>
      </c>
      <c r="CS520" s="198">
        <f t="shared" si="2615"/>
        <v>0</v>
      </c>
      <c r="CT520" s="198">
        <f t="shared" si="2616"/>
        <v>0</v>
      </c>
      <c r="CU520" s="98">
        <f t="shared" ref="CU520:DH520" si="4022">SUM(CU49,CU87,CU125,CU163,CU201,CU239,CU277,CU315,CU353,CU391,CU429,CU467)</f>
        <v>0</v>
      </c>
      <c r="CV520" s="98">
        <f t="shared" si="4022"/>
        <v>0</v>
      </c>
      <c r="CW520" s="98">
        <f t="shared" si="4022"/>
        <v>0</v>
      </c>
      <c r="CX520" s="98">
        <f t="shared" si="4022"/>
        <v>0</v>
      </c>
      <c r="CY520" s="98">
        <f t="shared" si="4022"/>
        <v>0</v>
      </c>
      <c r="CZ520" s="98">
        <f t="shared" si="4022"/>
        <v>0</v>
      </c>
      <c r="DA520" s="98">
        <f t="shared" si="4022"/>
        <v>0</v>
      </c>
      <c r="DB520" s="98">
        <f t="shared" si="4022"/>
        <v>0</v>
      </c>
      <c r="DC520" s="98">
        <f t="shared" si="4022"/>
        <v>0</v>
      </c>
      <c r="DD520" s="98">
        <f t="shared" si="4022"/>
        <v>0</v>
      </c>
      <c r="DE520" s="98">
        <f t="shared" si="4022"/>
        <v>0</v>
      </c>
      <c r="DF520" s="98">
        <f t="shared" si="4022"/>
        <v>0</v>
      </c>
      <c r="DG520" s="98">
        <f t="shared" si="4022"/>
        <v>0</v>
      </c>
      <c r="DH520" s="98">
        <f t="shared" si="4022"/>
        <v>0</v>
      </c>
      <c r="DI520" s="198">
        <f t="shared" si="2618"/>
        <v>0</v>
      </c>
      <c r="DJ520" s="198">
        <f t="shared" si="2619"/>
        <v>0</v>
      </c>
      <c r="DK520" s="98">
        <f t="shared" ref="DK520:DX520" si="4023">SUM(DK49,DK87,DK125,DK163,DK201,DK239,DK277,DK315,DK353,DK391,DK429,DK467)</f>
        <v>0</v>
      </c>
      <c r="DL520" s="98">
        <f t="shared" si="4023"/>
        <v>0</v>
      </c>
      <c r="DM520" s="98">
        <f t="shared" si="4023"/>
        <v>0</v>
      </c>
      <c r="DN520" s="98">
        <f t="shared" si="4023"/>
        <v>0</v>
      </c>
      <c r="DO520" s="98">
        <f t="shared" si="4023"/>
        <v>0</v>
      </c>
      <c r="DP520" s="98">
        <f t="shared" si="4023"/>
        <v>0</v>
      </c>
      <c r="DQ520" s="98">
        <f t="shared" si="4023"/>
        <v>0</v>
      </c>
      <c r="DR520" s="98">
        <f t="shared" si="4023"/>
        <v>0</v>
      </c>
      <c r="DS520" s="98">
        <f t="shared" si="4023"/>
        <v>0</v>
      </c>
      <c r="DT520" s="98">
        <f t="shared" si="4023"/>
        <v>0</v>
      </c>
      <c r="DU520" s="98">
        <f t="shared" si="4023"/>
        <v>0</v>
      </c>
      <c r="DV520" s="98">
        <f t="shared" si="4023"/>
        <v>0</v>
      </c>
      <c r="DW520" s="98">
        <f t="shared" si="4023"/>
        <v>0</v>
      </c>
      <c r="DX520" s="98">
        <f t="shared" si="4023"/>
        <v>0</v>
      </c>
      <c r="DY520" s="198">
        <f t="shared" si="2621"/>
        <v>0</v>
      </c>
      <c r="DZ520" s="198">
        <f t="shared" si="2622"/>
        <v>0</v>
      </c>
      <c r="EA520" s="98">
        <f t="shared" ref="EA520:EN520" si="4024">SUM(EA49,EA87,EA125,EA163,EA201,EA239,EA277,EA315,EA353,EA391,EA429,EA467)</f>
        <v>0</v>
      </c>
      <c r="EB520" s="98">
        <f t="shared" si="4024"/>
        <v>0</v>
      </c>
      <c r="EC520" s="98">
        <f t="shared" si="4024"/>
        <v>0</v>
      </c>
      <c r="ED520" s="98">
        <f t="shared" si="4024"/>
        <v>0</v>
      </c>
      <c r="EE520" s="98">
        <f t="shared" si="4024"/>
        <v>0</v>
      </c>
      <c r="EF520" s="98">
        <f t="shared" si="4024"/>
        <v>0</v>
      </c>
      <c r="EG520" s="98">
        <f t="shared" si="4024"/>
        <v>0</v>
      </c>
      <c r="EH520" s="98">
        <f t="shared" si="4024"/>
        <v>0</v>
      </c>
      <c r="EI520" s="98">
        <f t="shared" si="4024"/>
        <v>0</v>
      </c>
      <c r="EJ520" s="98">
        <f t="shared" si="4024"/>
        <v>0</v>
      </c>
      <c r="EK520" s="98">
        <f t="shared" si="4024"/>
        <v>0</v>
      </c>
      <c r="EL520" s="98">
        <f t="shared" si="4024"/>
        <v>0</v>
      </c>
      <c r="EM520" s="98">
        <f t="shared" si="4024"/>
        <v>0</v>
      </c>
      <c r="EN520" s="98">
        <f t="shared" si="4024"/>
        <v>0</v>
      </c>
      <c r="EO520" s="198">
        <f t="shared" si="2624"/>
        <v>0</v>
      </c>
      <c r="EP520" s="198">
        <f t="shared" si="2625"/>
        <v>0</v>
      </c>
      <c r="EQ520" s="98">
        <f t="shared" ref="EQ520:FD520" si="4025">SUM(EQ49,EQ87,EQ125,EQ163,EQ201,EQ239,EQ277,EQ315,EQ353,EQ391,EQ429,EQ467)</f>
        <v>0</v>
      </c>
      <c r="ER520" s="98">
        <f t="shared" si="4025"/>
        <v>0</v>
      </c>
      <c r="ES520" s="98">
        <f t="shared" si="4025"/>
        <v>0</v>
      </c>
      <c r="ET520" s="98">
        <f t="shared" si="4025"/>
        <v>0</v>
      </c>
      <c r="EU520" s="98">
        <f t="shared" si="4025"/>
        <v>0</v>
      </c>
      <c r="EV520" s="98">
        <f t="shared" si="4025"/>
        <v>0</v>
      </c>
      <c r="EW520" s="98">
        <f t="shared" si="4025"/>
        <v>0</v>
      </c>
      <c r="EX520" s="98">
        <f t="shared" si="4025"/>
        <v>0</v>
      </c>
      <c r="EY520" s="98">
        <f t="shared" si="4025"/>
        <v>0</v>
      </c>
      <c r="EZ520" s="98">
        <f t="shared" si="4025"/>
        <v>0</v>
      </c>
      <c r="FA520" s="98">
        <f t="shared" si="4025"/>
        <v>0</v>
      </c>
      <c r="FB520" s="98">
        <f t="shared" si="4025"/>
        <v>0</v>
      </c>
      <c r="FC520" s="98">
        <f t="shared" si="4025"/>
        <v>0</v>
      </c>
      <c r="FD520" s="98">
        <f t="shared" si="4025"/>
        <v>0</v>
      </c>
      <c r="FE520" s="198">
        <f t="shared" si="2627"/>
        <v>0</v>
      </c>
      <c r="FF520" s="198">
        <f t="shared" si="2628"/>
        <v>0</v>
      </c>
      <c r="FG520" s="98">
        <f t="shared" ref="FG520:FT520" si="4026">SUM(FG49,FG87,FG125,FG163,FG201,FG239,FG277,FG315,FG353,FG391,FG429,FG467)</f>
        <v>0</v>
      </c>
      <c r="FH520" s="98">
        <f t="shared" si="4026"/>
        <v>0</v>
      </c>
      <c r="FI520" s="98">
        <f t="shared" si="4026"/>
        <v>0</v>
      </c>
      <c r="FJ520" s="98">
        <f t="shared" si="4026"/>
        <v>0</v>
      </c>
      <c r="FK520" s="98">
        <f t="shared" si="4026"/>
        <v>0</v>
      </c>
      <c r="FL520" s="98">
        <f t="shared" si="4026"/>
        <v>0</v>
      </c>
      <c r="FM520" s="98">
        <f t="shared" si="4026"/>
        <v>0</v>
      </c>
      <c r="FN520" s="98">
        <f t="shared" si="4026"/>
        <v>0</v>
      </c>
      <c r="FO520" s="98">
        <f t="shared" si="4026"/>
        <v>0</v>
      </c>
      <c r="FP520" s="98">
        <f t="shared" si="4026"/>
        <v>0</v>
      </c>
      <c r="FQ520" s="98">
        <f t="shared" si="4026"/>
        <v>0</v>
      </c>
      <c r="FR520" s="98">
        <f t="shared" si="4026"/>
        <v>0</v>
      </c>
      <c r="FS520" s="98">
        <f t="shared" si="4026"/>
        <v>0</v>
      </c>
      <c r="FT520" s="98">
        <f t="shared" si="4026"/>
        <v>0</v>
      </c>
      <c r="FU520" s="198">
        <f t="shared" si="2630"/>
        <v>0</v>
      </c>
      <c r="FV520" s="198">
        <f t="shared" si="2631"/>
        <v>0</v>
      </c>
      <c r="FW520" s="98">
        <f t="shared" ref="FW520:GJ520" si="4027">SUM(FW49,FW87,FW125,FW163,FW201,FW239,FW277,FW315,FW353,FW391,FW429,FW467)</f>
        <v>0</v>
      </c>
      <c r="FX520" s="98">
        <f t="shared" si="4027"/>
        <v>0</v>
      </c>
      <c r="FY520" s="98">
        <f t="shared" si="4027"/>
        <v>0</v>
      </c>
      <c r="FZ520" s="98">
        <f t="shared" si="4027"/>
        <v>0</v>
      </c>
      <c r="GA520" s="98">
        <f t="shared" si="4027"/>
        <v>0</v>
      </c>
      <c r="GB520" s="98">
        <f t="shared" si="4027"/>
        <v>0</v>
      </c>
      <c r="GC520" s="98">
        <f t="shared" si="4027"/>
        <v>0</v>
      </c>
      <c r="GD520" s="98">
        <f t="shared" si="4027"/>
        <v>0</v>
      </c>
      <c r="GE520" s="98">
        <f t="shared" si="4027"/>
        <v>0</v>
      </c>
      <c r="GF520" s="98">
        <f t="shared" si="4027"/>
        <v>0</v>
      </c>
      <c r="GG520" s="98">
        <f t="shared" si="4027"/>
        <v>0</v>
      </c>
      <c r="GH520" s="98">
        <f t="shared" si="4027"/>
        <v>0</v>
      </c>
      <c r="GI520" s="98">
        <f t="shared" si="4027"/>
        <v>0</v>
      </c>
      <c r="GJ520" s="98">
        <f t="shared" si="4027"/>
        <v>0</v>
      </c>
      <c r="GK520" s="198">
        <f t="shared" si="2633"/>
        <v>0</v>
      </c>
      <c r="GL520" s="198">
        <f t="shared" si="2634"/>
        <v>0</v>
      </c>
      <c r="GM520" s="98">
        <f t="shared" ref="GM520:GZ520" si="4028">SUM(GM49,GM87,GM125,GM163,GM201,GM239,GM277,GM315,GM353,GM391,GM429,GM467)</f>
        <v>0</v>
      </c>
      <c r="GN520" s="98">
        <f t="shared" si="4028"/>
        <v>0</v>
      </c>
      <c r="GO520" s="98">
        <f t="shared" si="4028"/>
        <v>0</v>
      </c>
      <c r="GP520" s="98">
        <f t="shared" si="4028"/>
        <v>0</v>
      </c>
      <c r="GQ520" s="98">
        <f t="shared" si="4028"/>
        <v>0</v>
      </c>
      <c r="GR520" s="98">
        <f t="shared" si="4028"/>
        <v>0</v>
      </c>
      <c r="GS520" s="98">
        <f t="shared" si="4028"/>
        <v>0</v>
      </c>
      <c r="GT520" s="98">
        <f t="shared" si="4028"/>
        <v>0</v>
      </c>
      <c r="GU520" s="98">
        <f t="shared" si="4028"/>
        <v>0</v>
      </c>
      <c r="GV520" s="98">
        <f t="shared" si="4028"/>
        <v>0</v>
      </c>
      <c r="GW520" s="98">
        <f t="shared" si="4028"/>
        <v>0</v>
      </c>
      <c r="GX520" s="98">
        <f t="shared" si="4028"/>
        <v>0</v>
      </c>
      <c r="GY520" s="98">
        <f t="shared" si="4028"/>
        <v>0</v>
      </c>
      <c r="GZ520" s="98">
        <f t="shared" si="4028"/>
        <v>0</v>
      </c>
      <c r="HA520" s="198">
        <f t="shared" si="2636"/>
        <v>0</v>
      </c>
      <c r="HB520" s="198">
        <f t="shared" si="2637"/>
        <v>0</v>
      </c>
      <c r="HC520" s="98">
        <f t="shared" ref="HC520:HP520" si="4029">SUM(HC49,HC87,HC125,HC163,HC201,HC239,HC277,HC315,HC353,HC391,HC429,HC467)</f>
        <v>0</v>
      </c>
      <c r="HD520" s="98">
        <f t="shared" si="4029"/>
        <v>0</v>
      </c>
      <c r="HE520" s="98">
        <f t="shared" si="4029"/>
        <v>0</v>
      </c>
      <c r="HF520" s="98">
        <f t="shared" si="4029"/>
        <v>0</v>
      </c>
      <c r="HG520" s="98">
        <f t="shared" si="4029"/>
        <v>0</v>
      </c>
      <c r="HH520" s="98">
        <f t="shared" si="4029"/>
        <v>0</v>
      </c>
      <c r="HI520" s="98">
        <f t="shared" si="4029"/>
        <v>0</v>
      </c>
      <c r="HJ520" s="98">
        <f t="shared" si="4029"/>
        <v>0</v>
      </c>
      <c r="HK520" s="98">
        <f t="shared" si="4029"/>
        <v>0</v>
      </c>
      <c r="HL520" s="98">
        <f t="shared" si="4029"/>
        <v>0</v>
      </c>
      <c r="HM520" s="98">
        <f t="shared" si="4029"/>
        <v>0</v>
      </c>
      <c r="HN520" s="98">
        <f t="shared" si="4029"/>
        <v>0</v>
      </c>
      <c r="HO520" s="98">
        <f t="shared" si="4029"/>
        <v>0</v>
      </c>
      <c r="HP520" s="98">
        <f t="shared" si="4029"/>
        <v>0</v>
      </c>
      <c r="HQ520" s="198">
        <f t="shared" si="2639"/>
        <v>0</v>
      </c>
      <c r="HR520" s="198">
        <f t="shared" si="2640"/>
        <v>0</v>
      </c>
      <c r="HS520" s="98">
        <f t="shared" ref="HS520:IF520" si="4030">SUM(HS49,HS87,HS125,HS163,HS201,HS239,HS277,HS315,HS353,HS391,HS429,HS467)</f>
        <v>0</v>
      </c>
      <c r="HT520" s="98">
        <f t="shared" si="4030"/>
        <v>0</v>
      </c>
      <c r="HU520" s="98">
        <f t="shared" si="4030"/>
        <v>0</v>
      </c>
      <c r="HV520" s="98">
        <f t="shared" si="4030"/>
        <v>0</v>
      </c>
      <c r="HW520" s="98">
        <f t="shared" si="4030"/>
        <v>0</v>
      </c>
      <c r="HX520" s="98">
        <f t="shared" si="4030"/>
        <v>0</v>
      </c>
      <c r="HY520" s="98">
        <f t="shared" si="4030"/>
        <v>0</v>
      </c>
      <c r="HZ520" s="98">
        <f t="shared" si="4030"/>
        <v>0</v>
      </c>
      <c r="IA520" s="98">
        <f t="shared" si="4030"/>
        <v>0</v>
      </c>
      <c r="IB520" s="98">
        <f t="shared" si="4030"/>
        <v>0</v>
      </c>
      <c r="IC520" s="98">
        <f t="shared" si="4030"/>
        <v>0</v>
      </c>
      <c r="ID520" s="98">
        <f t="shared" si="4030"/>
        <v>0</v>
      </c>
      <c r="IE520" s="98">
        <f t="shared" si="4030"/>
        <v>0</v>
      </c>
      <c r="IF520" s="98">
        <f t="shared" si="4030"/>
        <v>0</v>
      </c>
      <c r="IG520" s="198">
        <f t="shared" si="2642"/>
        <v>0</v>
      </c>
      <c r="IH520" s="198">
        <f t="shared" si="2643"/>
        <v>0</v>
      </c>
      <c r="II520" s="98">
        <f t="shared" ref="II520:IV520" si="4031">SUM(II49,II87,II125,II163,II201,II239,II277,II315,II353,II391,II429,II467)</f>
        <v>0</v>
      </c>
      <c r="IJ520" s="98">
        <f t="shared" si="4031"/>
        <v>0</v>
      </c>
      <c r="IK520" s="98">
        <f t="shared" si="4031"/>
        <v>0</v>
      </c>
      <c r="IL520" s="98">
        <f t="shared" si="4031"/>
        <v>0</v>
      </c>
      <c r="IM520" s="98">
        <f t="shared" si="4031"/>
        <v>0</v>
      </c>
      <c r="IN520" s="98">
        <f t="shared" si="4031"/>
        <v>0</v>
      </c>
      <c r="IO520" s="98">
        <f t="shared" si="4031"/>
        <v>0</v>
      </c>
      <c r="IP520" s="98">
        <f t="shared" si="4031"/>
        <v>0</v>
      </c>
      <c r="IQ520" s="98">
        <f t="shared" si="4031"/>
        <v>0</v>
      </c>
      <c r="IR520" s="98">
        <f t="shared" si="4031"/>
        <v>0</v>
      </c>
      <c r="IS520" s="98">
        <f t="shared" si="4031"/>
        <v>0</v>
      </c>
      <c r="IT520" s="98">
        <f t="shared" si="4031"/>
        <v>0</v>
      </c>
      <c r="IU520" s="98">
        <f t="shared" si="4031"/>
        <v>0</v>
      </c>
      <c r="IV520" s="98">
        <f t="shared" si="4031"/>
        <v>0</v>
      </c>
      <c r="IW520" s="198">
        <f t="shared" si="2645"/>
        <v>0</v>
      </c>
      <c r="IX520" s="198">
        <f t="shared" si="2646"/>
        <v>0</v>
      </c>
      <c r="IY520" s="98">
        <f t="shared" ref="IY520:JL520" si="4032">SUM(IY49,IY87,IY125,IY163,IY201,IY239,IY277,IY315,IY353,IY391,IY429,IY467)</f>
        <v>0</v>
      </c>
      <c r="IZ520" s="98">
        <f t="shared" si="4032"/>
        <v>0</v>
      </c>
      <c r="JA520" s="98">
        <f t="shared" si="4032"/>
        <v>0</v>
      </c>
      <c r="JB520" s="98">
        <f t="shared" si="4032"/>
        <v>0</v>
      </c>
      <c r="JC520" s="98">
        <f t="shared" si="4032"/>
        <v>0</v>
      </c>
      <c r="JD520" s="98">
        <f t="shared" si="4032"/>
        <v>0</v>
      </c>
      <c r="JE520" s="98">
        <f t="shared" si="4032"/>
        <v>0</v>
      </c>
      <c r="JF520" s="98">
        <f t="shared" si="4032"/>
        <v>0</v>
      </c>
      <c r="JG520" s="98">
        <f t="shared" si="4032"/>
        <v>0</v>
      </c>
      <c r="JH520" s="98">
        <f t="shared" si="4032"/>
        <v>0</v>
      </c>
      <c r="JI520" s="98">
        <f t="shared" si="4032"/>
        <v>0</v>
      </c>
      <c r="JJ520" s="98">
        <f t="shared" si="4032"/>
        <v>0</v>
      </c>
      <c r="JK520" s="98">
        <f t="shared" si="4032"/>
        <v>0</v>
      </c>
      <c r="JL520" s="98">
        <f t="shared" si="4032"/>
        <v>0</v>
      </c>
      <c r="JM520" s="198">
        <f t="shared" si="2648"/>
        <v>0</v>
      </c>
      <c r="JN520" s="198">
        <f t="shared" si="2649"/>
        <v>0</v>
      </c>
      <c r="JO520" s="98">
        <f t="shared" ref="JO520:KB520" si="4033">SUM(JO49,JO87,JO125,JO163,JO201,JO239,JO277,JO315,JO353,JO391,JO429,JO467)</f>
        <v>0</v>
      </c>
      <c r="JP520" s="98">
        <f t="shared" si="4033"/>
        <v>0</v>
      </c>
      <c r="JQ520" s="98">
        <f t="shared" si="4033"/>
        <v>0</v>
      </c>
      <c r="JR520" s="98">
        <f t="shared" si="4033"/>
        <v>0</v>
      </c>
      <c r="JS520" s="98">
        <f t="shared" si="4033"/>
        <v>0</v>
      </c>
      <c r="JT520" s="98">
        <f t="shared" si="4033"/>
        <v>0</v>
      </c>
      <c r="JU520" s="98">
        <f t="shared" si="4033"/>
        <v>0</v>
      </c>
      <c r="JV520" s="98">
        <f t="shared" si="4033"/>
        <v>0</v>
      </c>
      <c r="JW520" s="98">
        <f t="shared" si="4033"/>
        <v>0</v>
      </c>
      <c r="JX520" s="98">
        <f t="shared" si="4033"/>
        <v>0</v>
      </c>
      <c r="JY520" s="98">
        <f t="shared" si="4033"/>
        <v>0</v>
      </c>
      <c r="JZ520" s="98">
        <f t="shared" si="4033"/>
        <v>0</v>
      </c>
      <c r="KA520" s="98">
        <f t="shared" si="4033"/>
        <v>0</v>
      </c>
      <c r="KB520" s="98">
        <f t="shared" si="4033"/>
        <v>0</v>
      </c>
      <c r="KC520" s="198">
        <f t="shared" si="2651"/>
        <v>0</v>
      </c>
      <c r="KD520" s="198">
        <f t="shared" si="2652"/>
        <v>0</v>
      </c>
      <c r="KE520" s="98">
        <f t="shared" ref="KE520:KR520" si="4034">SUM(KE49,KE87,KE125,KE163,KE201,KE239,KE277,KE315,KE353,KE391,KE429,KE467)</f>
        <v>0</v>
      </c>
      <c r="KF520" s="98">
        <f t="shared" si="4034"/>
        <v>0</v>
      </c>
      <c r="KG520" s="98">
        <f t="shared" si="4034"/>
        <v>0</v>
      </c>
      <c r="KH520" s="98">
        <f t="shared" si="4034"/>
        <v>0</v>
      </c>
      <c r="KI520" s="98">
        <f t="shared" si="4034"/>
        <v>0</v>
      </c>
      <c r="KJ520" s="98">
        <f t="shared" si="4034"/>
        <v>0</v>
      </c>
      <c r="KK520" s="98">
        <f t="shared" si="4034"/>
        <v>0</v>
      </c>
      <c r="KL520" s="98">
        <f t="shared" si="4034"/>
        <v>0</v>
      </c>
      <c r="KM520" s="98">
        <f t="shared" si="4034"/>
        <v>0</v>
      </c>
      <c r="KN520" s="98">
        <f t="shared" si="4034"/>
        <v>0</v>
      </c>
      <c r="KO520" s="98">
        <f t="shared" si="4034"/>
        <v>0</v>
      </c>
      <c r="KP520" s="98">
        <f t="shared" si="4034"/>
        <v>0</v>
      </c>
      <c r="KQ520" s="98">
        <f t="shared" si="4034"/>
        <v>0</v>
      </c>
      <c r="KR520" s="98">
        <f t="shared" si="4034"/>
        <v>0</v>
      </c>
      <c r="KS520" s="198">
        <f t="shared" si="2654"/>
        <v>0</v>
      </c>
      <c r="KT520" s="198">
        <f t="shared" si="2655"/>
        <v>0</v>
      </c>
      <c r="KU520" s="98">
        <f t="shared" ref="KU520:LH520" si="4035">SUM(KU49,KU87,KU125,KU163,KU201,KU239,KU277,KU315,KU353,KU391,KU429,KU467)</f>
        <v>0</v>
      </c>
      <c r="KV520" s="98">
        <f t="shared" si="4035"/>
        <v>0</v>
      </c>
      <c r="KW520" s="98">
        <f t="shared" si="4035"/>
        <v>0</v>
      </c>
      <c r="KX520" s="98">
        <f t="shared" si="4035"/>
        <v>0</v>
      </c>
      <c r="KY520" s="98">
        <f t="shared" si="4035"/>
        <v>0</v>
      </c>
      <c r="KZ520" s="98">
        <f t="shared" si="4035"/>
        <v>0</v>
      </c>
      <c r="LA520" s="98">
        <f t="shared" si="4035"/>
        <v>0</v>
      </c>
      <c r="LB520" s="98">
        <f t="shared" si="4035"/>
        <v>0</v>
      </c>
      <c r="LC520" s="98">
        <f t="shared" si="4035"/>
        <v>0</v>
      </c>
      <c r="LD520" s="98">
        <f t="shared" si="4035"/>
        <v>0</v>
      </c>
      <c r="LE520" s="98">
        <f t="shared" si="4035"/>
        <v>0</v>
      </c>
      <c r="LF520" s="98">
        <f t="shared" si="4035"/>
        <v>0</v>
      </c>
      <c r="LG520" s="98">
        <f t="shared" si="4035"/>
        <v>0</v>
      </c>
      <c r="LH520" s="98">
        <f t="shared" si="4035"/>
        <v>0</v>
      </c>
      <c r="LI520" s="198">
        <f t="shared" si="2657"/>
        <v>0</v>
      </c>
      <c r="LJ520" s="198">
        <f t="shared" si="2658"/>
        <v>0</v>
      </c>
      <c r="LK520" s="98">
        <f t="shared" ref="LK520:LX520" si="4036">SUM(LK49,LK87,LK125,LK163,LK201,LK239,LK277,LK315,LK353,LK391,LK429,LK467)</f>
        <v>0</v>
      </c>
      <c r="LL520" s="98">
        <f t="shared" si="4036"/>
        <v>0</v>
      </c>
      <c r="LM520" s="98">
        <f t="shared" si="4036"/>
        <v>0</v>
      </c>
      <c r="LN520" s="98">
        <f t="shared" si="4036"/>
        <v>0</v>
      </c>
      <c r="LO520" s="98">
        <f t="shared" si="4036"/>
        <v>0</v>
      </c>
      <c r="LP520" s="98">
        <f t="shared" si="4036"/>
        <v>0</v>
      </c>
      <c r="LQ520" s="98">
        <f t="shared" si="4036"/>
        <v>0</v>
      </c>
      <c r="LR520" s="98">
        <f t="shared" si="4036"/>
        <v>0</v>
      </c>
      <c r="LS520" s="98">
        <f t="shared" si="4036"/>
        <v>0</v>
      </c>
      <c r="LT520" s="98">
        <f t="shared" si="4036"/>
        <v>0</v>
      </c>
      <c r="LU520" s="98">
        <f t="shared" si="4036"/>
        <v>0</v>
      </c>
      <c r="LV520" s="98">
        <f t="shared" si="4036"/>
        <v>0</v>
      </c>
      <c r="LW520" s="98">
        <f t="shared" si="4036"/>
        <v>0</v>
      </c>
      <c r="LX520" s="98">
        <f t="shared" si="4036"/>
        <v>0</v>
      </c>
      <c r="LY520" s="198">
        <f t="shared" si="2660"/>
        <v>0</v>
      </c>
      <c r="LZ520" s="198">
        <f t="shared" si="2661"/>
        <v>0</v>
      </c>
      <c r="MA520" s="98">
        <f t="shared" ref="MA520:MN520" si="4037">SUM(MA49,MA87,MA125,MA163,MA201,MA239,MA277,MA315,MA353,MA391,MA429,MA467)</f>
        <v>0</v>
      </c>
      <c r="MB520" s="98">
        <f t="shared" si="4037"/>
        <v>0</v>
      </c>
      <c r="MC520" s="98">
        <f t="shared" si="4037"/>
        <v>0</v>
      </c>
      <c r="MD520" s="98">
        <f t="shared" si="4037"/>
        <v>0</v>
      </c>
      <c r="ME520" s="98">
        <f t="shared" si="4037"/>
        <v>0</v>
      </c>
      <c r="MF520" s="98">
        <f t="shared" si="4037"/>
        <v>0</v>
      </c>
      <c r="MG520" s="98">
        <f t="shared" si="4037"/>
        <v>0</v>
      </c>
      <c r="MH520" s="98">
        <f t="shared" si="4037"/>
        <v>0</v>
      </c>
      <c r="MI520" s="98">
        <f t="shared" si="4037"/>
        <v>0</v>
      </c>
      <c r="MJ520" s="98">
        <f t="shared" si="4037"/>
        <v>0</v>
      </c>
      <c r="MK520" s="98">
        <f t="shared" si="4037"/>
        <v>0</v>
      </c>
      <c r="ML520" s="98">
        <f t="shared" si="4037"/>
        <v>0</v>
      </c>
      <c r="MM520" s="98">
        <f t="shared" si="4037"/>
        <v>0</v>
      </c>
      <c r="MN520" s="98">
        <f t="shared" si="4037"/>
        <v>0</v>
      </c>
      <c r="MO520" s="198">
        <f t="shared" si="2663"/>
        <v>0</v>
      </c>
      <c r="MP520" s="198">
        <f t="shared" si="2664"/>
        <v>0</v>
      </c>
      <c r="MQ520" s="98">
        <f t="shared" ref="MQ520:ND520" si="4038">SUM(MQ49,MQ87,MQ125,MQ163,MQ201,MQ239,MQ277,MQ315,MQ353,MQ391,MQ429,MQ467)</f>
        <v>0</v>
      </c>
      <c r="MR520" s="98">
        <f t="shared" si="4038"/>
        <v>0</v>
      </c>
      <c r="MS520" s="98">
        <f t="shared" si="4038"/>
        <v>0</v>
      </c>
      <c r="MT520" s="98">
        <f t="shared" si="4038"/>
        <v>0</v>
      </c>
      <c r="MU520" s="98">
        <f t="shared" si="4038"/>
        <v>0</v>
      </c>
      <c r="MV520" s="98">
        <f t="shared" si="4038"/>
        <v>0</v>
      </c>
      <c r="MW520" s="98">
        <f t="shared" si="4038"/>
        <v>0</v>
      </c>
      <c r="MX520" s="98">
        <f t="shared" si="4038"/>
        <v>0</v>
      </c>
      <c r="MY520" s="98">
        <f t="shared" si="4038"/>
        <v>0</v>
      </c>
      <c r="MZ520" s="98">
        <f t="shared" si="4038"/>
        <v>0</v>
      </c>
      <c r="NA520" s="98">
        <f t="shared" si="4038"/>
        <v>0</v>
      </c>
      <c r="NB520" s="98">
        <f t="shared" si="4038"/>
        <v>0</v>
      </c>
      <c r="NC520" s="98">
        <f t="shared" si="4038"/>
        <v>0</v>
      </c>
      <c r="ND520" s="98">
        <f t="shared" si="4038"/>
        <v>0</v>
      </c>
      <c r="NE520" s="198">
        <f t="shared" si="2666"/>
        <v>0</v>
      </c>
      <c r="NF520" s="198">
        <f t="shared" si="2667"/>
        <v>0</v>
      </c>
      <c r="NG520" s="98">
        <f t="shared" ref="NG520:NT520" si="4039">SUM(NG49,NG87,NG125,NG163,NG201,NG239,NG277,NG315,NG353,NG391,NG429,NG467)</f>
        <v>0</v>
      </c>
      <c r="NH520" s="98">
        <f t="shared" si="4039"/>
        <v>0</v>
      </c>
      <c r="NI520" s="98">
        <f t="shared" si="4039"/>
        <v>1162900</v>
      </c>
      <c r="NJ520" s="98">
        <f t="shared" si="4039"/>
        <v>13954800</v>
      </c>
      <c r="NK520" s="98">
        <f t="shared" si="4039"/>
        <v>0</v>
      </c>
      <c r="NL520" s="98">
        <f t="shared" si="4039"/>
        <v>0</v>
      </c>
      <c r="NM520" s="98">
        <f t="shared" si="4039"/>
        <v>0</v>
      </c>
      <c r="NN520" s="98">
        <f t="shared" si="4039"/>
        <v>0</v>
      </c>
      <c r="NO520" s="98">
        <f t="shared" si="4039"/>
        <v>0</v>
      </c>
      <c r="NP520" s="98">
        <f t="shared" si="4039"/>
        <v>0</v>
      </c>
      <c r="NQ520" s="98">
        <f t="shared" si="4039"/>
        <v>0</v>
      </c>
      <c r="NR520" s="98">
        <f t="shared" si="4039"/>
        <v>0</v>
      </c>
      <c r="NS520" s="98">
        <f t="shared" si="4039"/>
        <v>0</v>
      </c>
      <c r="NT520" s="98">
        <f t="shared" si="4039"/>
        <v>0</v>
      </c>
      <c r="NU520" s="198">
        <f t="shared" si="2669"/>
        <v>1162900</v>
      </c>
      <c r="NV520" s="198">
        <f t="shared" si="2670"/>
        <v>13954800</v>
      </c>
      <c r="NW520" s="98">
        <f t="shared" ref="NW520:OJ520" si="4040">SUM(NW49,NW87,NW125,NW163,NW201,NW239,NW277,NW315,NW353,NW391,NW429,NW467)</f>
        <v>0</v>
      </c>
      <c r="NX520" s="98">
        <f t="shared" si="4040"/>
        <v>0</v>
      </c>
      <c r="NY520" s="98">
        <f t="shared" si="4040"/>
        <v>0</v>
      </c>
      <c r="NZ520" s="98">
        <f t="shared" si="4040"/>
        <v>0</v>
      </c>
      <c r="OA520" s="98">
        <f t="shared" si="4040"/>
        <v>0</v>
      </c>
      <c r="OB520" s="98">
        <f t="shared" si="4040"/>
        <v>0</v>
      </c>
      <c r="OC520" s="98">
        <f t="shared" si="4040"/>
        <v>0</v>
      </c>
      <c r="OD520" s="98">
        <f t="shared" si="4040"/>
        <v>0</v>
      </c>
      <c r="OE520" s="98">
        <f t="shared" si="4040"/>
        <v>0</v>
      </c>
      <c r="OF520" s="98">
        <f t="shared" si="4040"/>
        <v>0</v>
      </c>
      <c r="OG520" s="98">
        <f t="shared" si="4040"/>
        <v>0</v>
      </c>
      <c r="OH520" s="98">
        <f t="shared" si="4040"/>
        <v>0</v>
      </c>
      <c r="OI520" s="98">
        <f t="shared" si="4040"/>
        <v>0</v>
      </c>
      <c r="OJ520" s="98">
        <f t="shared" si="4040"/>
        <v>0</v>
      </c>
      <c r="OK520" s="198">
        <f t="shared" si="2672"/>
        <v>0</v>
      </c>
      <c r="OL520" s="198">
        <f t="shared" si="2673"/>
        <v>0</v>
      </c>
      <c r="OM520" s="98">
        <f t="shared" ref="OM520:OZ520" si="4041">SUM(OM49,OM87,OM125,OM163,OM201,OM239,OM277,OM315,OM353,OM391,OM429,OM467)</f>
        <v>0</v>
      </c>
      <c r="ON520" s="98">
        <f t="shared" si="4041"/>
        <v>0</v>
      </c>
      <c r="OO520" s="98">
        <f t="shared" si="4041"/>
        <v>0</v>
      </c>
      <c r="OP520" s="98">
        <f t="shared" si="4041"/>
        <v>0</v>
      </c>
      <c r="OQ520" s="98">
        <f t="shared" si="4041"/>
        <v>0</v>
      </c>
      <c r="OR520" s="98">
        <f t="shared" si="4041"/>
        <v>0</v>
      </c>
      <c r="OS520" s="98">
        <f t="shared" si="4041"/>
        <v>0</v>
      </c>
      <c r="OT520" s="98">
        <f t="shared" si="4041"/>
        <v>0</v>
      </c>
      <c r="OU520" s="98">
        <f t="shared" si="4041"/>
        <v>0</v>
      </c>
      <c r="OV520" s="98">
        <f t="shared" si="4041"/>
        <v>0</v>
      </c>
      <c r="OW520" s="98">
        <f t="shared" si="4041"/>
        <v>0</v>
      </c>
      <c r="OX520" s="98">
        <f t="shared" si="4041"/>
        <v>0</v>
      </c>
      <c r="OY520" s="98">
        <f t="shared" si="4041"/>
        <v>0</v>
      </c>
      <c r="OZ520" s="98">
        <f t="shared" si="4041"/>
        <v>0</v>
      </c>
      <c r="PA520" s="198">
        <f t="shared" si="2675"/>
        <v>0</v>
      </c>
      <c r="PB520" s="198">
        <f t="shared" si="2676"/>
        <v>0</v>
      </c>
      <c r="PC520" s="98">
        <f t="shared" ref="PC520:PP520" si="4042">SUM(PC49,PC87,PC125,PC163,PC201,PC239,PC277,PC315,PC353,PC391,PC429,PC467)</f>
        <v>0</v>
      </c>
      <c r="PD520" s="98">
        <f t="shared" si="4042"/>
        <v>0</v>
      </c>
      <c r="PE520" s="98">
        <f t="shared" si="4042"/>
        <v>0</v>
      </c>
      <c r="PF520" s="98">
        <f t="shared" si="4042"/>
        <v>0</v>
      </c>
      <c r="PG520" s="98">
        <f t="shared" si="4042"/>
        <v>0</v>
      </c>
      <c r="PH520" s="98">
        <f t="shared" si="4042"/>
        <v>0</v>
      </c>
      <c r="PI520" s="98">
        <f t="shared" si="4042"/>
        <v>0</v>
      </c>
      <c r="PJ520" s="98">
        <f t="shared" si="4042"/>
        <v>0</v>
      </c>
      <c r="PK520" s="98">
        <f t="shared" si="4042"/>
        <v>0</v>
      </c>
      <c r="PL520" s="98">
        <f t="shared" si="4042"/>
        <v>0</v>
      </c>
      <c r="PM520" s="98">
        <f t="shared" si="4042"/>
        <v>0</v>
      </c>
      <c r="PN520" s="98">
        <f t="shared" si="4042"/>
        <v>0</v>
      </c>
      <c r="PO520" s="98">
        <f t="shared" si="4042"/>
        <v>0</v>
      </c>
      <c r="PP520" s="98">
        <f t="shared" si="4042"/>
        <v>0</v>
      </c>
      <c r="PQ520" s="198">
        <f t="shared" si="2678"/>
        <v>0</v>
      </c>
      <c r="PR520" s="198">
        <f t="shared" si="2679"/>
        <v>0</v>
      </c>
      <c r="PS520" s="98">
        <f t="shared" ref="PS520:QF520" si="4043">SUM(PS49,PS87,PS125,PS163,PS201,PS239,PS277,PS315,PS353,PS391,PS429,PS467)</f>
        <v>0</v>
      </c>
      <c r="PT520" s="98">
        <f t="shared" si="4043"/>
        <v>0</v>
      </c>
      <c r="PU520" s="98">
        <f t="shared" si="4043"/>
        <v>0</v>
      </c>
      <c r="PV520" s="98">
        <f t="shared" si="4043"/>
        <v>0</v>
      </c>
      <c r="PW520" s="98">
        <f t="shared" si="4043"/>
        <v>0</v>
      </c>
      <c r="PX520" s="98">
        <f t="shared" si="4043"/>
        <v>0</v>
      </c>
      <c r="PY520" s="98">
        <f t="shared" si="4043"/>
        <v>0</v>
      </c>
      <c r="PZ520" s="98">
        <f t="shared" si="4043"/>
        <v>0</v>
      </c>
      <c r="QA520" s="98">
        <f t="shared" si="4043"/>
        <v>0</v>
      </c>
      <c r="QB520" s="98">
        <f t="shared" si="4043"/>
        <v>0</v>
      </c>
      <c r="QC520" s="98">
        <f t="shared" si="4043"/>
        <v>0</v>
      </c>
      <c r="QD520" s="98">
        <f t="shared" si="4043"/>
        <v>0</v>
      </c>
      <c r="QE520" s="98">
        <f t="shared" si="4043"/>
        <v>0</v>
      </c>
      <c r="QF520" s="98">
        <f t="shared" si="4043"/>
        <v>0</v>
      </c>
      <c r="QG520" s="198">
        <f t="shared" si="2681"/>
        <v>0</v>
      </c>
      <c r="QH520" s="198">
        <f t="shared" si="2682"/>
        <v>0</v>
      </c>
      <c r="QI520" s="98">
        <f t="shared" ref="QI520:QV520" si="4044">SUM(QI49,QI87,QI125,QI163,QI201,QI239,QI277,QI315,QI353,QI391,QI429,QI467)</f>
        <v>0</v>
      </c>
      <c r="QJ520" s="98">
        <f t="shared" si="4044"/>
        <v>0</v>
      </c>
      <c r="QK520" s="98">
        <f t="shared" si="4044"/>
        <v>0</v>
      </c>
      <c r="QL520" s="98">
        <f t="shared" si="4044"/>
        <v>0</v>
      </c>
      <c r="QM520" s="98">
        <f t="shared" si="4044"/>
        <v>0</v>
      </c>
      <c r="QN520" s="98">
        <f t="shared" si="4044"/>
        <v>0</v>
      </c>
      <c r="QO520" s="98">
        <f t="shared" si="4044"/>
        <v>0</v>
      </c>
      <c r="QP520" s="98">
        <f t="shared" si="4044"/>
        <v>0</v>
      </c>
      <c r="QQ520" s="98">
        <f t="shared" si="4044"/>
        <v>0</v>
      </c>
      <c r="QR520" s="98">
        <f t="shared" si="4044"/>
        <v>0</v>
      </c>
      <c r="QS520" s="98">
        <f t="shared" si="4044"/>
        <v>0</v>
      </c>
      <c r="QT520" s="98">
        <f t="shared" si="4044"/>
        <v>0</v>
      </c>
      <c r="QU520" s="98">
        <f t="shared" si="4044"/>
        <v>0</v>
      </c>
      <c r="QV520" s="98">
        <f t="shared" si="4044"/>
        <v>0</v>
      </c>
      <c r="QW520" s="198">
        <f t="shared" si="2684"/>
        <v>0</v>
      </c>
      <c r="QX520" s="198">
        <f t="shared" si="2685"/>
        <v>0</v>
      </c>
      <c r="QY520" s="98">
        <f t="shared" ref="QY520:RL520" si="4045">SUM(QY49,QY87,QY125,QY163,QY201,QY239,QY277,QY315,QY353,QY391,QY429,QY467)</f>
        <v>0</v>
      </c>
      <c r="QZ520" s="98">
        <f t="shared" si="4045"/>
        <v>0</v>
      </c>
      <c r="RA520" s="98">
        <f t="shared" si="4045"/>
        <v>0</v>
      </c>
      <c r="RB520" s="98">
        <f t="shared" si="4045"/>
        <v>0</v>
      </c>
      <c r="RC520" s="98">
        <f t="shared" si="4045"/>
        <v>0</v>
      </c>
      <c r="RD520" s="98">
        <f t="shared" si="4045"/>
        <v>0</v>
      </c>
      <c r="RE520" s="98">
        <f t="shared" si="4045"/>
        <v>0</v>
      </c>
      <c r="RF520" s="98">
        <f t="shared" si="4045"/>
        <v>0</v>
      </c>
      <c r="RG520" s="98">
        <f t="shared" si="4045"/>
        <v>0</v>
      </c>
      <c r="RH520" s="98">
        <f t="shared" si="4045"/>
        <v>0</v>
      </c>
      <c r="RI520" s="98">
        <f t="shared" si="4045"/>
        <v>0</v>
      </c>
      <c r="RJ520" s="98">
        <f t="shared" si="4045"/>
        <v>0</v>
      </c>
      <c r="RK520" s="98">
        <f t="shared" si="4045"/>
        <v>0</v>
      </c>
      <c r="RL520" s="98">
        <f t="shared" si="4045"/>
        <v>0</v>
      </c>
      <c r="RM520" s="198">
        <f t="shared" si="2687"/>
        <v>0</v>
      </c>
      <c r="RN520" s="198">
        <f t="shared" si="2688"/>
        <v>0</v>
      </c>
      <c r="RO520" s="98">
        <f t="shared" ref="RO520:SB520" si="4046">SUM(RO49,RO87,RO125,RO163,RO201,RO239,RO277,RO315,RO353,RO391,RO429,RO467)</f>
        <v>0</v>
      </c>
      <c r="RP520" s="98">
        <f t="shared" si="4046"/>
        <v>0</v>
      </c>
      <c r="RQ520" s="98">
        <f t="shared" si="4046"/>
        <v>0</v>
      </c>
      <c r="RR520" s="98">
        <f t="shared" si="4046"/>
        <v>0</v>
      </c>
      <c r="RS520" s="98">
        <f t="shared" si="4046"/>
        <v>0</v>
      </c>
      <c r="RT520" s="98">
        <f t="shared" si="4046"/>
        <v>0</v>
      </c>
      <c r="RU520" s="98">
        <f t="shared" si="4046"/>
        <v>0</v>
      </c>
      <c r="RV520" s="98">
        <f t="shared" si="4046"/>
        <v>0</v>
      </c>
      <c r="RW520" s="98">
        <f t="shared" si="4046"/>
        <v>0</v>
      </c>
      <c r="RX520" s="98">
        <f t="shared" si="4046"/>
        <v>0</v>
      </c>
      <c r="RY520" s="98">
        <f t="shared" si="4046"/>
        <v>0</v>
      </c>
      <c r="RZ520" s="98">
        <f t="shared" si="4046"/>
        <v>0</v>
      </c>
      <c r="SA520" s="98">
        <f t="shared" si="4046"/>
        <v>0</v>
      </c>
      <c r="SB520" s="98">
        <f t="shared" si="4046"/>
        <v>0</v>
      </c>
      <c r="SC520" s="198">
        <f t="shared" si="2690"/>
        <v>0</v>
      </c>
      <c r="SD520" s="198">
        <f t="shared" si="2691"/>
        <v>0</v>
      </c>
      <c r="SE520" s="98">
        <f t="shared" ref="SE520:SR520" si="4047">SUM(SE49,SE87,SE125,SE163,SE201,SE239,SE277,SE315,SE353,SE391,SE429,SE467)</f>
        <v>0</v>
      </c>
      <c r="SF520" s="98">
        <f t="shared" si="4047"/>
        <v>0</v>
      </c>
      <c r="SG520" s="98">
        <f t="shared" si="4047"/>
        <v>0</v>
      </c>
      <c r="SH520" s="98">
        <f t="shared" si="4047"/>
        <v>0</v>
      </c>
      <c r="SI520" s="98">
        <f t="shared" si="4047"/>
        <v>0</v>
      </c>
      <c r="SJ520" s="98">
        <f t="shared" si="4047"/>
        <v>0</v>
      </c>
      <c r="SK520" s="98">
        <f t="shared" si="4047"/>
        <v>0</v>
      </c>
      <c r="SL520" s="98">
        <f t="shared" si="4047"/>
        <v>0</v>
      </c>
      <c r="SM520" s="98">
        <f t="shared" si="4047"/>
        <v>0</v>
      </c>
      <c r="SN520" s="98">
        <f t="shared" si="4047"/>
        <v>0</v>
      </c>
      <c r="SO520" s="98">
        <f t="shared" si="4047"/>
        <v>0</v>
      </c>
      <c r="SP520" s="98">
        <f t="shared" si="4047"/>
        <v>0</v>
      </c>
      <c r="SQ520" s="98">
        <f t="shared" si="4047"/>
        <v>0</v>
      </c>
      <c r="SR520" s="98">
        <f t="shared" si="4047"/>
        <v>0</v>
      </c>
      <c r="SS520" s="198">
        <f t="shared" si="2693"/>
        <v>0</v>
      </c>
      <c r="ST520" s="198">
        <f t="shared" si="2694"/>
        <v>0</v>
      </c>
      <c r="SU520" s="98">
        <f t="shared" ref="SU520:TH520" si="4048">SUM(SU49,SU87,SU125,SU163,SU201,SU239,SU277,SU315,SU353,SU391,SU429,SU467)</f>
        <v>0</v>
      </c>
      <c r="SV520" s="98">
        <f t="shared" si="4048"/>
        <v>0</v>
      </c>
      <c r="SW520" s="98">
        <f t="shared" si="4048"/>
        <v>0</v>
      </c>
      <c r="SX520" s="98">
        <f t="shared" si="4048"/>
        <v>0</v>
      </c>
      <c r="SY520" s="98">
        <f t="shared" si="4048"/>
        <v>0</v>
      </c>
      <c r="SZ520" s="98">
        <f t="shared" si="4048"/>
        <v>0</v>
      </c>
      <c r="TA520" s="98">
        <f t="shared" si="4048"/>
        <v>0</v>
      </c>
      <c r="TB520" s="98">
        <f t="shared" si="4048"/>
        <v>0</v>
      </c>
      <c r="TC520" s="98">
        <f t="shared" si="4048"/>
        <v>0</v>
      </c>
      <c r="TD520" s="98">
        <f t="shared" si="4048"/>
        <v>0</v>
      </c>
      <c r="TE520" s="98">
        <f t="shared" si="4048"/>
        <v>0</v>
      </c>
      <c r="TF520" s="98">
        <f t="shared" si="4048"/>
        <v>0</v>
      </c>
      <c r="TG520" s="98">
        <f t="shared" si="4048"/>
        <v>0</v>
      </c>
      <c r="TH520" s="98">
        <f t="shared" si="4048"/>
        <v>0</v>
      </c>
      <c r="TI520" s="198">
        <f t="shared" si="2696"/>
        <v>0</v>
      </c>
      <c r="TJ520" s="198">
        <f t="shared" si="2697"/>
        <v>0</v>
      </c>
      <c r="TK520" s="98">
        <f t="shared" ref="TK520:TX520" si="4049">SUM(TK49,TK87,TK125,TK163,TK201,TK239,TK277,TK315,TK353,TK391,TK429,TK467)</f>
        <v>0</v>
      </c>
      <c r="TL520" s="98">
        <f t="shared" si="4049"/>
        <v>0</v>
      </c>
      <c r="TM520" s="98">
        <f t="shared" si="4049"/>
        <v>0</v>
      </c>
      <c r="TN520" s="98">
        <f t="shared" si="4049"/>
        <v>0</v>
      </c>
      <c r="TO520" s="98">
        <f t="shared" si="4049"/>
        <v>0</v>
      </c>
      <c r="TP520" s="98">
        <f t="shared" si="4049"/>
        <v>0</v>
      </c>
      <c r="TQ520" s="98">
        <f t="shared" si="4049"/>
        <v>0</v>
      </c>
      <c r="TR520" s="98">
        <f t="shared" si="4049"/>
        <v>0</v>
      </c>
      <c r="TS520" s="98">
        <f t="shared" si="4049"/>
        <v>0</v>
      </c>
      <c r="TT520" s="98">
        <f t="shared" si="4049"/>
        <v>0</v>
      </c>
      <c r="TU520" s="98">
        <f t="shared" si="4049"/>
        <v>0</v>
      </c>
      <c r="TV520" s="98">
        <f t="shared" si="4049"/>
        <v>0</v>
      </c>
      <c r="TW520" s="98">
        <f t="shared" si="4049"/>
        <v>0</v>
      </c>
      <c r="TX520" s="98">
        <f t="shared" si="4049"/>
        <v>0</v>
      </c>
      <c r="TY520" s="198">
        <f t="shared" si="2699"/>
        <v>0</v>
      </c>
      <c r="TZ520" s="198">
        <f t="shared" si="2700"/>
        <v>0</v>
      </c>
      <c r="UA520" s="98">
        <f t="shared" ref="UA520:UN520" si="4050">SUM(UA49,UA87,UA125,UA163,UA201,UA239,UA277,UA315,UA353,UA391,UA429,UA467)</f>
        <v>0</v>
      </c>
      <c r="UB520" s="98">
        <f t="shared" si="4050"/>
        <v>0</v>
      </c>
      <c r="UC520" s="98">
        <f t="shared" si="4050"/>
        <v>0</v>
      </c>
      <c r="UD520" s="98">
        <f t="shared" si="4050"/>
        <v>0</v>
      </c>
      <c r="UE520" s="98">
        <f t="shared" si="4050"/>
        <v>0</v>
      </c>
      <c r="UF520" s="98">
        <f t="shared" si="4050"/>
        <v>0</v>
      </c>
      <c r="UG520" s="98">
        <f t="shared" si="4050"/>
        <v>0</v>
      </c>
      <c r="UH520" s="98">
        <f t="shared" si="4050"/>
        <v>0</v>
      </c>
      <c r="UI520" s="98">
        <f t="shared" si="4050"/>
        <v>0</v>
      </c>
      <c r="UJ520" s="98">
        <f t="shared" si="4050"/>
        <v>0</v>
      </c>
      <c r="UK520" s="98">
        <f t="shared" si="4050"/>
        <v>0</v>
      </c>
      <c r="UL520" s="98">
        <f t="shared" si="4050"/>
        <v>0</v>
      </c>
      <c r="UM520" s="98">
        <f t="shared" si="4050"/>
        <v>0</v>
      </c>
      <c r="UN520" s="98">
        <f t="shared" si="4050"/>
        <v>0</v>
      </c>
      <c r="UO520" s="198">
        <f t="shared" si="2702"/>
        <v>0</v>
      </c>
      <c r="UP520" s="198">
        <f t="shared" si="2703"/>
        <v>0</v>
      </c>
      <c r="UQ520" s="98">
        <f t="shared" ref="UQ520:VD520" si="4051">SUM(UQ49,UQ87,UQ125,UQ163,UQ201,UQ239,UQ277,UQ315,UQ353,UQ391,UQ429,UQ467)</f>
        <v>0</v>
      </c>
      <c r="UR520" s="98">
        <f t="shared" si="4051"/>
        <v>0</v>
      </c>
      <c r="US520" s="98">
        <f t="shared" si="4051"/>
        <v>0</v>
      </c>
      <c r="UT520" s="98">
        <f t="shared" si="4051"/>
        <v>0</v>
      </c>
      <c r="UU520" s="98">
        <f t="shared" si="4051"/>
        <v>0</v>
      </c>
      <c r="UV520" s="98">
        <f t="shared" si="4051"/>
        <v>0</v>
      </c>
      <c r="UW520" s="98">
        <f t="shared" si="4051"/>
        <v>0</v>
      </c>
      <c r="UX520" s="98">
        <f t="shared" si="4051"/>
        <v>0</v>
      </c>
      <c r="UY520" s="98">
        <f t="shared" si="4051"/>
        <v>0</v>
      </c>
      <c r="UZ520" s="98">
        <f t="shared" si="4051"/>
        <v>0</v>
      </c>
      <c r="VA520" s="98">
        <f t="shared" si="4051"/>
        <v>0</v>
      </c>
      <c r="VB520" s="98">
        <f t="shared" si="4051"/>
        <v>0</v>
      </c>
      <c r="VC520" s="98">
        <f t="shared" si="4051"/>
        <v>0</v>
      </c>
      <c r="VD520" s="98">
        <f t="shared" si="4051"/>
        <v>0</v>
      </c>
      <c r="VE520" s="198">
        <f t="shared" si="2705"/>
        <v>0</v>
      </c>
      <c r="VF520" s="198">
        <f t="shared" si="2706"/>
        <v>0</v>
      </c>
      <c r="VG520" s="98">
        <f t="shared" ref="VG520:VT520" si="4052">SUM(VG49,VG87,VG125,VG163,VG201,VG239,VG277,VG315,VG353,VG391,VG429,VG467)</f>
        <v>0</v>
      </c>
      <c r="VH520" s="98">
        <f t="shared" si="4052"/>
        <v>0</v>
      </c>
      <c r="VI520" s="98">
        <f t="shared" si="4052"/>
        <v>0</v>
      </c>
      <c r="VJ520" s="98">
        <f t="shared" si="4052"/>
        <v>0</v>
      </c>
      <c r="VK520" s="98">
        <f t="shared" si="4052"/>
        <v>0</v>
      </c>
      <c r="VL520" s="98">
        <f t="shared" si="4052"/>
        <v>0</v>
      </c>
      <c r="VM520" s="98">
        <f t="shared" si="4052"/>
        <v>0</v>
      </c>
      <c r="VN520" s="98">
        <f t="shared" si="4052"/>
        <v>0</v>
      </c>
      <c r="VO520" s="98">
        <f t="shared" si="4052"/>
        <v>0</v>
      </c>
      <c r="VP520" s="98">
        <f t="shared" si="4052"/>
        <v>0</v>
      </c>
      <c r="VQ520" s="98">
        <f t="shared" si="4052"/>
        <v>0</v>
      </c>
      <c r="VR520" s="98">
        <f t="shared" si="4052"/>
        <v>0</v>
      </c>
      <c r="VS520" s="98">
        <f t="shared" si="4052"/>
        <v>0</v>
      </c>
      <c r="VT520" s="98">
        <f t="shared" si="4052"/>
        <v>0</v>
      </c>
      <c r="VU520" s="198">
        <f t="shared" si="2708"/>
        <v>0</v>
      </c>
      <c r="VV520" s="198">
        <f t="shared" si="2709"/>
        <v>0</v>
      </c>
      <c r="VW520" s="98">
        <f t="shared" ref="VW520:WJ520" si="4053">SUM(VW49,VW87,VW125,VW163,VW201,VW239,VW277,VW315,VW353,VW391,VW429,VW467)</f>
        <v>0</v>
      </c>
      <c r="VX520" s="98">
        <f t="shared" si="4053"/>
        <v>0</v>
      </c>
      <c r="VY520" s="98">
        <f t="shared" si="4053"/>
        <v>0</v>
      </c>
      <c r="VZ520" s="98">
        <f t="shared" si="4053"/>
        <v>0</v>
      </c>
      <c r="WA520" s="98">
        <f t="shared" si="4053"/>
        <v>0</v>
      </c>
      <c r="WB520" s="98">
        <f t="shared" si="4053"/>
        <v>0</v>
      </c>
      <c r="WC520" s="98">
        <f t="shared" si="4053"/>
        <v>0</v>
      </c>
      <c r="WD520" s="98">
        <f t="shared" si="4053"/>
        <v>0</v>
      </c>
      <c r="WE520" s="98">
        <f t="shared" si="4053"/>
        <v>0</v>
      </c>
      <c r="WF520" s="98">
        <f t="shared" si="4053"/>
        <v>0</v>
      </c>
      <c r="WG520" s="98">
        <f t="shared" si="4053"/>
        <v>0</v>
      </c>
      <c r="WH520" s="98">
        <f t="shared" si="4053"/>
        <v>0</v>
      </c>
      <c r="WI520" s="98">
        <f t="shared" si="4053"/>
        <v>0</v>
      </c>
      <c r="WJ520" s="98">
        <f t="shared" si="4053"/>
        <v>0</v>
      </c>
      <c r="WK520" s="198">
        <f t="shared" si="2711"/>
        <v>0</v>
      </c>
      <c r="WL520" s="198">
        <f t="shared" si="2712"/>
        <v>0</v>
      </c>
      <c r="WN520" s="98">
        <f t="shared" si="3734"/>
        <v>0</v>
      </c>
      <c r="WO520" s="98">
        <f t="shared" si="3735"/>
        <v>0</v>
      </c>
      <c r="WP520" s="98">
        <f t="shared" si="3736"/>
        <v>1162900</v>
      </c>
      <c r="WQ520" s="98">
        <f t="shared" si="3737"/>
        <v>13954800</v>
      </c>
      <c r="WR520" s="98">
        <f t="shared" si="3738"/>
        <v>0</v>
      </c>
      <c r="WS520" s="98">
        <f t="shared" si="3739"/>
        <v>0</v>
      </c>
      <c r="WT520" s="98">
        <f t="shared" si="3740"/>
        <v>0</v>
      </c>
      <c r="WU520" s="98">
        <f t="shared" si="3741"/>
        <v>0</v>
      </c>
      <c r="WV520" s="98">
        <f t="shared" si="3742"/>
        <v>0</v>
      </c>
      <c r="WW520" s="98">
        <f t="shared" si="3743"/>
        <v>0</v>
      </c>
      <c r="WX520" s="98">
        <f t="shared" si="3744"/>
        <v>0</v>
      </c>
      <c r="WY520" s="98">
        <f t="shared" si="3745"/>
        <v>0</v>
      </c>
      <c r="WZ520" s="98">
        <f t="shared" si="3746"/>
        <v>0</v>
      </c>
      <c r="XA520" s="98">
        <f t="shared" si="3747"/>
        <v>0</v>
      </c>
      <c r="XB520" s="107">
        <f t="shared" si="3748"/>
        <v>1162900</v>
      </c>
      <c r="XC520" s="107">
        <f t="shared" si="3749"/>
        <v>13954800</v>
      </c>
      <c r="XK520" s="98">
        <f t="shared" si="2729"/>
        <v>0</v>
      </c>
      <c r="XL520" s="98">
        <f t="shared" si="2730"/>
        <v>0</v>
      </c>
      <c r="XM520" s="98">
        <f t="shared" si="2731"/>
        <v>0</v>
      </c>
      <c r="XN520" s="98">
        <f t="shared" si="2732"/>
        <v>0</v>
      </c>
      <c r="XO520" s="98">
        <f t="shared" si="2733"/>
        <v>15117700</v>
      </c>
      <c r="XP520" s="98">
        <f t="shared" si="2734"/>
        <v>0</v>
      </c>
      <c r="XQ520" s="98">
        <f t="shared" si="2735"/>
        <v>15117700</v>
      </c>
      <c r="XR520" s="107">
        <f t="shared" ca="1" si="2597"/>
        <v>31398300</v>
      </c>
      <c r="XT520" s="98">
        <f t="shared" si="2736"/>
        <v>13954800</v>
      </c>
      <c r="XU520" s="98">
        <f t="shared" si="2737"/>
        <v>1162900</v>
      </c>
      <c r="XV520" s="98">
        <f t="shared" si="2738"/>
        <v>13954800</v>
      </c>
      <c r="XW520" s="98">
        <f t="shared" si="2739"/>
        <v>0</v>
      </c>
      <c r="XX520" s="98">
        <f t="shared" si="2740"/>
        <v>0</v>
      </c>
      <c r="XY520" s="98">
        <f t="shared" si="2741"/>
        <v>0</v>
      </c>
      <c r="XZ520" s="98">
        <f t="shared" si="2742"/>
        <v>15117700</v>
      </c>
      <c r="YA520" s="107">
        <f t="shared" ca="1" si="2598"/>
        <v>43027300</v>
      </c>
    </row>
    <row r="521" spans="1:1017">
      <c r="B521" s="90" t="str">
        <f t="shared" si="3695"/>
        <v>Ikan_05 (Ikan betutu)</v>
      </c>
      <c r="C521" s="98">
        <f t="shared" ref="C521:P521" si="4054">SUM(C50,C88,C126,C164,C202,C240,C278,C316,C354,C392,C430,C468)</f>
        <v>0</v>
      </c>
      <c r="D521" s="98">
        <f t="shared" si="4054"/>
        <v>0</v>
      </c>
      <c r="E521" s="98">
        <f t="shared" si="4054"/>
        <v>0</v>
      </c>
      <c r="F521" s="98">
        <f t="shared" si="4054"/>
        <v>0</v>
      </c>
      <c r="G521" s="98">
        <f t="shared" si="4054"/>
        <v>0</v>
      </c>
      <c r="H521" s="98">
        <f t="shared" si="4054"/>
        <v>0</v>
      </c>
      <c r="I521" s="98">
        <f t="shared" si="4054"/>
        <v>0</v>
      </c>
      <c r="J521" s="98">
        <f t="shared" si="4054"/>
        <v>0</v>
      </c>
      <c r="K521" s="98">
        <f t="shared" si="4054"/>
        <v>0</v>
      </c>
      <c r="L521" s="98">
        <f t="shared" si="4054"/>
        <v>0</v>
      </c>
      <c r="M521" s="98">
        <f t="shared" si="4054"/>
        <v>0</v>
      </c>
      <c r="N521" s="98">
        <f t="shared" si="4054"/>
        <v>0</v>
      </c>
      <c r="O521" s="98">
        <f t="shared" si="4054"/>
        <v>0</v>
      </c>
      <c r="P521" s="98">
        <f t="shared" si="4054"/>
        <v>0</v>
      </c>
      <c r="Q521" s="198">
        <f t="shared" si="2600"/>
        <v>0</v>
      </c>
      <c r="R521" s="198">
        <f t="shared" si="2601"/>
        <v>0</v>
      </c>
      <c r="S521" s="98">
        <f t="shared" ref="S521:AF521" si="4055">SUM(S50,S88,S126,S164,S202,S240,S278,S316,S354,S392,S430,S468)</f>
        <v>0</v>
      </c>
      <c r="T521" s="98">
        <f t="shared" si="4055"/>
        <v>0</v>
      </c>
      <c r="U521" s="98">
        <f t="shared" si="4055"/>
        <v>0</v>
      </c>
      <c r="V521" s="98">
        <f t="shared" si="4055"/>
        <v>0</v>
      </c>
      <c r="W521" s="98">
        <f t="shared" si="4055"/>
        <v>0</v>
      </c>
      <c r="X521" s="98">
        <f t="shared" si="4055"/>
        <v>0</v>
      </c>
      <c r="Y521" s="98">
        <f t="shared" si="4055"/>
        <v>0</v>
      </c>
      <c r="Z521" s="98">
        <f t="shared" si="4055"/>
        <v>0</v>
      </c>
      <c r="AA521" s="98">
        <f t="shared" si="4055"/>
        <v>0</v>
      </c>
      <c r="AB521" s="98">
        <f t="shared" si="4055"/>
        <v>0</v>
      </c>
      <c r="AC521" s="98">
        <f t="shared" si="4055"/>
        <v>0</v>
      </c>
      <c r="AD521" s="98">
        <f t="shared" si="4055"/>
        <v>0</v>
      </c>
      <c r="AE521" s="98">
        <f t="shared" si="4055"/>
        <v>0</v>
      </c>
      <c r="AF521" s="98">
        <f t="shared" si="4055"/>
        <v>0</v>
      </c>
      <c r="AG521" s="198">
        <f t="shared" si="2603"/>
        <v>0</v>
      </c>
      <c r="AH521" s="198">
        <f t="shared" si="2604"/>
        <v>0</v>
      </c>
      <c r="AI521" s="98">
        <f t="shared" ref="AI521:AV521" si="4056">SUM(AI50,AI88,AI126,AI164,AI202,AI240,AI278,AI316,AI354,AI392,AI430,AI468)</f>
        <v>0</v>
      </c>
      <c r="AJ521" s="98">
        <f t="shared" si="4056"/>
        <v>0</v>
      </c>
      <c r="AK521" s="98">
        <f t="shared" si="4056"/>
        <v>0</v>
      </c>
      <c r="AL521" s="98">
        <f t="shared" si="4056"/>
        <v>0</v>
      </c>
      <c r="AM521" s="98">
        <f t="shared" si="4056"/>
        <v>0</v>
      </c>
      <c r="AN521" s="98">
        <f t="shared" si="4056"/>
        <v>0</v>
      </c>
      <c r="AO521" s="98">
        <f t="shared" si="4056"/>
        <v>0</v>
      </c>
      <c r="AP521" s="98">
        <f t="shared" si="4056"/>
        <v>0</v>
      </c>
      <c r="AQ521" s="98">
        <f t="shared" si="4056"/>
        <v>0</v>
      </c>
      <c r="AR521" s="98">
        <f t="shared" si="4056"/>
        <v>0</v>
      </c>
      <c r="AS521" s="98">
        <f t="shared" si="4056"/>
        <v>0</v>
      </c>
      <c r="AT521" s="98">
        <f t="shared" si="4056"/>
        <v>0</v>
      </c>
      <c r="AU521" s="98">
        <f t="shared" si="4056"/>
        <v>0</v>
      </c>
      <c r="AV521" s="98">
        <f t="shared" si="4056"/>
        <v>0</v>
      </c>
      <c r="AW521" s="198">
        <f t="shared" si="2606"/>
        <v>0</v>
      </c>
      <c r="AX521" s="198">
        <f t="shared" si="2607"/>
        <v>0</v>
      </c>
      <c r="AY521" s="98">
        <f t="shared" ref="AY521:BL521" si="4057">SUM(AY50,AY88,AY126,AY164,AY202,AY240,AY278,AY316,AY354,AY392,AY430,AY468)</f>
        <v>0</v>
      </c>
      <c r="AZ521" s="98">
        <f t="shared" si="4057"/>
        <v>0</v>
      </c>
      <c r="BA521" s="98">
        <f t="shared" si="4057"/>
        <v>0</v>
      </c>
      <c r="BB521" s="98">
        <f t="shared" si="4057"/>
        <v>0</v>
      </c>
      <c r="BC521" s="98">
        <f t="shared" si="4057"/>
        <v>0</v>
      </c>
      <c r="BD521" s="98">
        <f t="shared" si="4057"/>
        <v>0</v>
      </c>
      <c r="BE521" s="98">
        <f t="shared" si="4057"/>
        <v>0</v>
      </c>
      <c r="BF521" s="98">
        <f t="shared" si="4057"/>
        <v>0</v>
      </c>
      <c r="BG521" s="98">
        <f t="shared" si="4057"/>
        <v>0</v>
      </c>
      <c r="BH521" s="98">
        <f t="shared" si="4057"/>
        <v>0</v>
      </c>
      <c r="BI521" s="98">
        <f t="shared" si="4057"/>
        <v>0</v>
      </c>
      <c r="BJ521" s="98">
        <f t="shared" si="4057"/>
        <v>0</v>
      </c>
      <c r="BK521" s="98">
        <f t="shared" si="4057"/>
        <v>0</v>
      </c>
      <c r="BL521" s="98">
        <f t="shared" si="4057"/>
        <v>0</v>
      </c>
      <c r="BM521" s="198">
        <f t="shared" si="2609"/>
        <v>0</v>
      </c>
      <c r="BN521" s="198">
        <f t="shared" si="2610"/>
        <v>0</v>
      </c>
      <c r="BO521" s="98">
        <f t="shared" ref="BO521:CB521" si="4058">SUM(BO50,BO88,BO126,BO164,BO202,BO240,BO278,BO316,BO354,BO392,BO430,BO468)</f>
        <v>0</v>
      </c>
      <c r="BP521" s="98">
        <f t="shared" si="4058"/>
        <v>0</v>
      </c>
      <c r="BQ521" s="98">
        <f t="shared" si="4058"/>
        <v>0</v>
      </c>
      <c r="BR521" s="98">
        <f t="shared" si="4058"/>
        <v>0</v>
      </c>
      <c r="BS521" s="98">
        <f t="shared" si="4058"/>
        <v>0</v>
      </c>
      <c r="BT521" s="98">
        <f t="shared" si="4058"/>
        <v>0</v>
      </c>
      <c r="BU521" s="98">
        <f t="shared" si="4058"/>
        <v>0</v>
      </c>
      <c r="BV521" s="98">
        <f t="shared" si="4058"/>
        <v>0</v>
      </c>
      <c r="BW521" s="98">
        <f t="shared" si="4058"/>
        <v>0</v>
      </c>
      <c r="BX521" s="98">
        <f t="shared" si="4058"/>
        <v>0</v>
      </c>
      <c r="BY521" s="98">
        <f t="shared" si="4058"/>
        <v>0</v>
      </c>
      <c r="BZ521" s="98">
        <f t="shared" si="4058"/>
        <v>0</v>
      </c>
      <c r="CA521" s="98">
        <f t="shared" si="4058"/>
        <v>0</v>
      </c>
      <c r="CB521" s="98">
        <f t="shared" si="4058"/>
        <v>0</v>
      </c>
      <c r="CC521" s="198">
        <f t="shared" si="2612"/>
        <v>0</v>
      </c>
      <c r="CD521" s="198">
        <f t="shared" si="2613"/>
        <v>0</v>
      </c>
      <c r="CE521" s="98">
        <f t="shared" ref="CE521:CR521" si="4059">SUM(CE50,CE88,CE126,CE164,CE202,CE240,CE278,CE316,CE354,CE392,CE430,CE468)</f>
        <v>0</v>
      </c>
      <c r="CF521" s="98">
        <f t="shared" si="4059"/>
        <v>0</v>
      </c>
      <c r="CG521" s="98">
        <f t="shared" si="4059"/>
        <v>0</v>
      </c>
      <c r="CH521" s="98">
        <f t="shared" si="4059"/>
        <v>0</v>
      </c>
      <c r="CI521" s="98">
        <f t="shared" si="4059"/>
        <v>0</v>
      </c>
      <c r="CJ521" s="98">
        <f t="shared" si="4059"/>
        <v>0</v>
      </c>
      <c r="CK521" s="98">
        <f t="shared" si="4059"/>
        <v>0</v>
      </c>
      <c r="CL521" s="98">
        <f t="shared" si="4059"/>
        <v>0</v>
      </c>
      <c r="CM521" s="98">
        <f t="shared" si="4059"/>
        <v>0</v>
      </c>
      <c r="CN521" s="98">
        <f t="shared" si="4059"/>
        <v>0</v>
      </c>
      <c r="CO521" s="98">
        <f t="shared" si="4059"/>
        <v>0</v>
      </c>
      <c r="CP521" s="98">
        <f t="shared" si="4059"/>
        <v>0</v>
      </c>
      <c r="CQ521" s="98">
        <f t="shared" si="4059"/>
        <v>0</v>
      </c>
      <c r="CR521" s="98">
        <f t="shared" si="4059"/>
        <v>0</v>
      </c>
      <c r="CS521" s="198">
        <f t="shared" si="2615"/>
        <v>0</v>
      </c>
      <c r="CT521" s="198">
        <f t="shared" si="2616"/>
        <v>0</v>
      </c>
      <c r="CU521" s="98">
        <f t="shared" ref="CU521:DH521" si="4060">SUM(CU50,CU88,CU126,CU164,CU202,CU240,CU278,CU316,CU354,CU392,CU430,CU468)</f>
        <v>0</v>
      </c>
      <c r="CV521" s="98">
        <f t="shared" si="4060"/>
        <v>0</v>
      </c>
      <c r="CW521" s="98">
        <f t="shared" si="4060"/>
        <v>0</v>
      </c>
      <c r="CX521" s="98">
        <f t="shared" si="4060"/>
        <v>0</v>
      </c>
      <c r="CY521" s="98">
        <f t="shared" si="4060"/>
        <v>0</v>
      </c>
      <c r="CZ521" s="98">
        <f t="shared" si="4060"/>
        <v>0</v>
      </c>
      <c r="DA521" s="98">
        <f t="shared" si="4060"/>
        <v>0</v>
      </c>
      <c r="DB521" s="98">
        <f t="shared" si="4060"/>
        <v>0</v>
      </c>
      <c r="DC521" s="98">
        <f t="shared" si="4060"/>
        <v>0</v>
      </c>
      <c r="DD521" s="98">
        <f t="shared" si="4060"/>
        <v>0</v>
      </c>
      <c r="DE521" s="98">
        <f t="shared" si="4060"/>
        <v>0</v>
      </c>
      <c r="DF521" s="98">
        <f t="shared" si="4060"/>
        <v>0</v>
      </c>
      <c r="DG521" s="98">
        <f t="shared" si="4060"/>
        <v>0</v>
      </c>
      <c r="DH521" s="98">
        <f t="shared" si="4060"/>
        <v>0</v>
      </c>
      <c r="DI521" s="198">
        <f t="shared" si="2618"/>
        <v>0</v>
      </c>
      <c r="DJ521" s="198">
        <f t="shared" si="2619"/>
        <v>0</v>
      </c>
      <c r="DK521" s="98">
        <f t="shared" ref="DK521:DX521" si="4061">SUM(DK50,DK88,DK126,DK164,DK202,DK240,DK278,DK316,DK354,DK392,DK430,DK468)</f>
        <v>0</v>
      </c>
      <c r="DL521" s="98">
        <f t="shared" si="4061"/>
        <v>0</v>
      </c>
      <c r="DM521" s="98">
        <f t="shared" si="4061"/>
        <v>0</v>
      </c>
      <c r="DN521" s="98">
        <f t="shared" si="4061"/>
        <v>0</v>
      </c>
      <c r="DO521" s="98">
        <f t="shared" si="4061"/>
        <v>0</v>
      </c>
      <c r="DP521" s="98">
        <f t="shared" si="4061"/>
        <v>0</v>
      </c>
      <c r="DQ521" s="98">
        <f t="shared" si="4061"/>
        <v>0</v>
      </c>
      <c r="DR521" s="98">
        <f t="shared" si="4061"/>
        <v>0</v>
      </c>
      <c r="DS521" s="98">
        <f t="shared" si="4061"/>
        <v>0</v>
      </c>
      <c r="DT521" s="98">
        <f t="shared" si="4061"/>
        <v>0</v>
      </c>
      <c r="DU521" s="98">
        <f t="shared" si="4061"/>
        <v>0</v>
      </c>
      <c r="DV521" s="98">
        <f t="shared" si="4061"/>
        <v>0</v>
      </c>
      <c r="DW521" s="98">
        <f t="shared" si="4061"/>
        <v>0</v>
      </c>
      <c r="DX521" s="98">
        <f t="shared" si="4061"/>
        <v>0</v>
      </c>
      <c r="DY521" s="198">
        <f t="shared" si="2621"/>
        <v>0</v>
      </c>
      <c r="DZ521" s="198">
        <f t="shared" si="2622"/>
        <v>0</v>
      </c>
      <c r="EA521" s="98">
        <f t="shared" ref="EA521:EN521" si="4062">SUM(EA50,EA88,EA126,EA164,EA202,EA240,EA278,EA316,EA354,EA392,EA430,EA468)</f>
        <v>0</v>
      </c>
      <c r="EB521" s="98">
        <f t="shared" si="4062"/>
        <v>0</v>
      </c>
      <c r="EC521" s="98">
        <f t="shared" si="4062"/>
        <v>0</v>
      </c>
      <c r="ED521" s="98">
        <f t="shared" si="4062"/>
        <v>0</v>
      </c>
      <c r="EE521" s="98">
        <f t="shared" si="4062"/>
        <v>0</v>
      </c>
      <c r="EF521" s="98">
        <f t="shared" si="4062"/>
        <v>0</v>
      </c>
      <c r="EG521" s="98">
        <f t="shared" si="4062"/>
        <v>0</v>
      </c>
      <c r="EH521" s="98">
        <f t="shared" si="4062"/>
        <v>0</v>
      </c>
      <c r="EI521" s="98">
        <f t="shared" si="4062"/>
        <v>0</v>
      </c>
      <c r="EJ521" s="98">
        <f t="shared" si="4062"/>
        <v>0</v>
      </c>
      <c r="EK521" s="98">
        <f t="shared" si="4062"/>
        <v>0</v>
      </c>
      <c r="EL521" s="98">
        <f t="shared" si="4062"/>
        <v>0</v>
      </c>
      <c r="EM521" s="98">
        <f t="shared" si="4062"/>
        <v>0</v>
      </c>
      <c r="EN521" s="98">
        <f t="shared" si="4062"/>
        <v>0</v>
      </c>
      <c r="EO521" s="198">
        <f t="shared" si="2624"/>
        <v>0</v>
      </c>
      <c r="EP521" s="198">
        <f t="shared" si="2625"/>
        <v>0</v>
      </c>
      <c r="EQ521" s="98">
        <f t="shared" ref="EQ521:FD521" si="4063">SUM(EQ50,EQ88,EQ126,EQ164,EQ202,EQ240,EQ278,EQ316,EQ354,EQ392,EQ430,EQ468)</f>
        <v>0</v>
      </c>
      <c r="ER521" s="98">
        <f t="shared" si="4063"/>
        <v>0</v>
      </c>
      <c r="ES521" s="98">
        <f t="shared" si="4063"/>
        <v>0</v>
      </c>
      <c r="ET521" s="98">
        <f t="shared" si="4063"/>
        <v>0</v>
      </c>
      <c r="EU521" s="98">
        <f t="shared" si="4063"/>
        <v>0</v>
      </c>
      <c r="EV521" s="98">
        <f t="shared" si="4063"/>
        <v>0</v>
      </c>
      <c r="EW521" s="98">
        <f t="shared" si="4063"/>
        <v>0</v>
      </c>
      <c r="EX521" s="98">
        <f t="shared" si="4063"/>
        <v>0</v>
      </c>
      <c r="EY521" s="98">
        <f t="shared" si="4063"/>
        <v>0</v>
      </c>
      <c r="EZ521" s="98">
        <f t="shared" si="4063"/>
        <v>0</v>
      </c>
      <c r="FA521" s="98">
        <f t="shared" si="4063"/>
        <v>0</v>
      </c>
      <c r="FB521" s="98">
        <f t="shared" si="4063"/>
        <v>0</v>
      </c>
      <c r="FC521" s="98">
        <f t="shared" si="4063"/>
        <v>0</v>
      </c>
      <c r="FD521" s="98">
        <f t="shared" si="4063"/>
        <v>0</v>
      </c>
      <c r="FE521" s="198">
        <f t="shared" si="2627"/>
        <v>0</v>
      </c>
      <c r="FF521" s="198">
        <f t="shared" si="2628"/>
        <v>0</v>
      </c>
      <c r="FG521" s="98">
        <f t="shared" ref="FG521:FT521" si="4064">SUM(FG50,FG88,FG126,FG164,FG202,FG240,FG278,FG316,FG354,FG392,FG430,FG468)</f>
        <v>0</v>
      </c>
      <c r="FH521" s="98">
        <f t="shared" si="4064"/>
        <v>0</v>
      </c>
      <c r="FI521" s="98">
        <f t="shared" si="4064"/>
        <v>0</v>
      </c>
      <c r="FJ521" s="98">
        <f t="shared" si="4064"/>
        <v>0</v>
      </c>
      <c r="FK521" s="98">
        <f t="shared" si="4064"/>
        <v>0</v>
      </c>
      <c r="FL521" s="98">
        <f t="shared" si="4064"/>
        <v>0</v>
      </c>
      <c r="FM521" s="98">
        <f t="shared" si="4064"/>
        <v>0</v>
      </c>
      <c r="FN521" s="98">
        <f t="shared" si="4064"/>
        <v>0</v>
      </c>
      <c r="FO521" s="98">
        <f t="shared" si="4064"/>
        <v>0</v>
      </c>
      <c r="FP521" s="98">
        <f t="shared" si="4064"/>
        <v>0</v>
      </c>
      <c r="FQ521" s="98">
        <f t="shared" si="4064"/>
        <v>0</v>
      </c>
      <c r="FR521" s="98">
        <f t="shared" si="4064"/>
        <v>0</v>
      </c>
      <c r="FS521" s="98">
        <f t="shared" si="4064"/>
        <v>0</v>
      </c>
      <c r="FT521" s="98">
        <f t="shared" si="4064"/>
        <v>0</v>
      </c>
      <c r="FU521" s="198">
        <f t="shared" si="2630"/>
        <v>0</v>
      </c>
      <c r="FV521" s="198">
        <f t="shared" si="2631"/>
        <v>0</v>
      </c>
      <c r="FW521" s="98">
        <f t="shared" ref="FW521:GJ521" si="4065">SUM(FW50,FW88,FW126,FW164,FW202,FW240,FW278,FW316,FW354,FW392,FW430,FW468)</f>
        <v>0</v>
      </c>
      <c r="FX521" s="98">
        <f t="shared" si="4065"/>
        <v>0</v>
      </c>
      <c r="FY521" s="98">
        <f t="shared" si="4065"/>
        <v>0</v>
      </c>
      <c r="FZ521" s="98">
        <f t="shared" si="4065"/>
        <v>0</v>
      </c>
      <c r="GA521" s="98">
        <f t="shared" si="4065"/>
        <v>0</v>
      </c>
      <c r="GB521" s="98">
        <f t="shared" si="4065"/>
        <v>0</v>
      </c>
      <c r="GC521" s="98">
        <f t="shared" si="4065"/>
        <v>0</v>
      </c>
      <c r="GD521" s="98">
        <f t="shared" si="4065"/>
        <v>0</v>
      </c>
      <c r="GE521" s="98">
        <f t="shared" si="4065"/>
        <v>0</v>
      </c>
      <c r="GF521" s="98">
        <f t="shared" si="4065"/>
        <v>0</v>
      </c>
      <c r="GG521" s="98">
        <f t="shared" si="4065"/>
        <v>0</v>
      </c>
      <c r="GH521" s="98">
        <f t="shared" si="4065"/>
        <v>0</v>
      </c>
      <c r="GI521" s="98">
        <f t="shared" si="4065"/>
        <v>0</v>
      </c>
      <c r="GJ521" s="98">
        <f t="shared" si="4065"/>
        <v>0</v>
      </c>
      <c r="GK521" s="198">
        <f t="shared" si="2633"/>
        <v>0</v>
      </c>
      <c r="GL521" s="198">
        <f t="shared" si="2634"/>
        <v>0</v>
      </c>
      <c r="GM521" s="98">
        <f t="shared" ref="GM521:GZ521" si="4066">SUM(GM50,GM88,GM126,GM164,GM202,GM240,GM278,GM316,GM354,GM392,GM430,GM468)</f>
        <v>0</v>
      </c>
      <c r="GN521" s="98">
        <f t="shared" si="4066"/>
        <v>0</v>
      </c>
      <c r="GO521" s="98">
        <f t="shared" si="4066"/>
        <v>0</v>
      </c>
      <c r="GP521" s="98">
        <f t="shared" si="4066"/>
        <v>0</v>
      </c>
      <c r="GQ521" s="98">
        <f t="shared" si="4066"/>
        <v>0</v>
      </c>
      <c r="GR521" s="98">
        <f t="shared" si="4066"/>
        <v>0</v>
      </c>
      <c r="GS521" s="98">
        <f t="shared" si="4066"/>
        <v>0</v>
      </c>
      <c r="GT521" s="98">
        <f t="shared" si="4066"/>
        <v>0</v>
      </c>
      <c r="GU521" s="98">
        <f t="shared" si="4066"/>
        <v>0</v>
      </c>
      <c r="GV521" s="98">
        <f t="shared" si="4066"/>
        <v>0</v>
      </c>
      <c r="GW521" s="98">
        <f t="shared" si="4066"/>
        <v>0</v>
      </c>
      <c r="GX521" s="98">
        <f t="shared" si="4066"/>
        <v>0</v>
      </c>
      <c r="GY521" s="98">
        <f t="shared" si="4066"/>
        <v>0</v>
      </c>
      <c r="GZ521" s="98">
        <f t="shared" si="4066"/>
        <v>0</v>
      </c>
      <c r="HA521" s="198">
        <f t="shared" si="2636"/>
        <v>0</v>
      </c>
      <c r="HB521" s="198">
        <f t="shared" si="2637"/>
        <v>0</v>
      </c>
      <c r="HC521" s="98">
        <f t="shared" ref="HC521:HP521" si="4067">SUM(HC50,HC88,HC126,HC164,HC202,HC240,HC278,HC316,HC354,HC392,HC430,HC468)</f>
        <v>0</v>
      </c>
      <c r="HD521" s="98">
        <f t="shared" si="4067"/>
        <v>0</v>
      </c>
      <c r="HE521" s="98">
        <f t="shared" si="4067"/>
        <v>0</v>
      </c>
      <c r="HF521" s="98">
        <f t="shared" si="4067"/>
        <v>0</v>
      </c>
      <c r="HG521" s="98">
        <f t="shared" si="4067"/>
        <v>0</v>
      </c>
      <c r="HH521" s="98">
        <f t="shared" si="4067"/>
        <v>0</v>
      </c>
      <c r="HI521" s="98">
        <f t="shared" si="4067"/>
        <v>0</v>
      </c>
      <c r="HJ521" s="98">
        <f t="shared" si="4067"/>
        <v>0</v>
      </c>
      <c r="HK521" s="98">
        <f t="shared" si="4067"/>
        <v>0</v>
      </c>
      <c r="HL521" s="98">
        <f t="shared" si="4067"/>
        <v>0</v>
      </c>
      <c r="HM521" s="98">
        <f t="shared" si="4067"/>
        <v>0</v>
      </c>
      <c r="HN521" s="98">
        <f t="shared" si="4067"/>
        <v>0</v>
      </c>
      <c r="HO521" s="98">
        <f t="shared" si="4067"/>
        <v>0</v>
      </c>
      <c r="HP521" s="98">
        <f t="shared" si="4067"/>
        <v>0</v>
      </c>
      <c r="HQ521" s="198">
        <f t="shared" si="2639"/>
        <v>0</v>
      </c>
      <c r="HR521" s="198">
        <f t="shared" si="2640"/>
        <v>0</v>
      </c>
      <c r="HS521" s="98">
        <f t="shared" ref="HS521:IF521" si="4068">SUM(HS50,HS88,HS126,HS164,HS202,HS240,HS278,HS316,HS354,HS392,HS430,HS468)</f>
        <v>0</v>
      </c>
      <c r="HT521" s="98">
        <f t="shared" si="4068"/>
        <v>0</v>
      </c>
      <c r="HU521" s="98">
        <f t="shared" si="4068"/>
        <v>0</v>
      </c>
      <c r="HV521" s="98">
        <f t="shared" si="4068"/>
        <v>0</v>
      </c>
      <c r="HW521" s="98">
        <f t="shared" si="4068"/>
        <v>0</v>
      </c>
      <c r="HX521" s="98">
        <f t="shared" si="4068"/>
        <v>0</v>
      </c>
      <c r="HY521" s="98">
        <f t="shared" si="4068"/>
        <v>0</v>
      </c>
      <c r="HZ521" s="98">
        <f t="shared" si="4068"/>
        <v>0</v>
      </c>
      <c r="IA521" s="98">
        <f t="shared" si="4068"/>
        <v>0</v>
      </c>
      <c r="IB521" s="98">
        <f t="shared" si="4068"/>
        <v>0</v>
      </c>
      <c r="IC521" s="98">
        <f t="shared" si="4068"/>
        <v>0</v>
      </c>
      <c r="ID521" s="98">
        <f t="shared" si="4068"/>
        <v>0</v>
      </c>
      <c r="IE521" s="98">
        <f t="shared" si="4068"/>
        <v>0</v>
      </c>
      <c r="IF521" s="98">
        <f t="shared" si="4068"/>
        <v>0</v>
      </c>
      <c r="IG521" s="198">
        <f t="shared" si="2642"/>
        <v>0</v>
      </c>
      <c r="IH521" s="198">
        <f t="shared" si="2643"/>
        <v>0</v>
      </c>
      <c r="II521" s="98">
        <f t="shared" ref="II521:IV521" si="4069">SUM(II50,II88,II126,II164,II202,II240,II278,II316,II354,II392,II430,II468)</f>
        <v>0</v>
      </c>
      <c r="IJ521" s="98">
        <f t="shared" si="4069"/>
        <v>0</v>
      </c>
      <c r="IK521" s="98">
        <f t="shared" si="4069"/>
        <v>0</v>
      </c>
      <c r="IL521" s="98">
        <f t="shared" si="4069"/>
        <v>0</v>
      </c>
      <c r="IM521" s="98">
        <f t="shared" si="4069"/>
        <v>0</v>
      </c>
      <c r="IN521" s="98">
        <f t="shared" si="4069"/>
        <v>0</v>
      </c>
      <c r="IO521" s="98">
        <f t="shared" si="4069"/>
        <v>0</v>
      </c>
      <c r="IP521" s="98">
        <f t="shared" si="4069"/>
        <v>0</v>
      </c>
      <c r="IQ521" s="98">
        <f t="shared" si="4069"/>
        <v>0</v>
      </c>
      <c r="IR521" s="98">
        <f t="shared" si="4069"/>
        <v>0</v>
      </c>
      <c r="IS521" s="98">
        <f t="shared" si="4069"/>
        <v>0</v>
      </c>
      <c r="IT521" s="98">
        <f t="shared" si="4069"/>
        <v>0</v>
      </c>
      <c r="IU521" s="98">
        <f t="shared" si="4069"/>
        <v>0</v>
      </c>
      <c r="IV521" s="98">
        <f t="shared" si="4069"/>
        <v>0</v>
      </c>
      <c r="IW521" s="198">
        <f t="shared" si="2645"/>
        <v>0</v>
      </c>
      <c r="IX521" s="198">
        <f t="shared" si="2646"/>
        <v>0</v>
      </c>
      <c r="IY521" s="98">
        <f t="shared" ref="IY521:JL521" si="4070">SUM(IY50,IY88,IY126,IY164,IY202,IY240,IY278,IY316,IY354,IY392,IY430,IY468)</f>
        <v>0</v>
      </c>
      <c r="IZ521" s="98">
        <f t="shared" si="4070"/>
        <v>0</v>
      </c>
      <c r="JA521" s="98">
        <f t="shared" si="4070"/>
        <v>0</v>
      </c>
      <c r="JB521" s="98">
        <f t="shared" si="4070"/>
        <v>0</v>
      </c>
      <c r="JC521" s="98">
        <f t="shared" si="4070"/>
        <v>0</v>
      </c>
      <c r="JD521" s="98">
        <f t="shared" si="4070"/>
        <v>0</v>
      </c>
      <c r="JE521" s="98">
        <f t="shared" si="4070"/>
        <v>0</v>
      </c>
      <c r="JF521" s="98">
        <f t="shared" si="4070"/>
        <v>0</v>
      </c>
      <c r="JG521" s="98">
        <f t="shared" si="4070"/>
        <v>0</v>
      </c>
      <c r="JH521" s="98">
        <f t="shared" si="4070"/>
        <v>0</v>
      </c>
      <c r="JI521" s="98">
        <f t="shared" si="4070"/>
        <v>0</v>
      </c>
      <c r="JJ521" s="98">
        <f t="shared" si="4070"/>
        <v>0</v>
      </c>
      <c r="JK521" s="98">
        <f t="shared" si="4070"/>
        <v>0</v>
      </c>
      <c r="JL521" s="98">
        <f t="shared" si="4070"/>
        <v>0</v>
      </c>
      <c r="JM521" s="198">
        <f t="shared" si="2648"/>
        <v>0</v>
      </c>
      <c r="JN521" s="198">
        <f t="shared" si="2649"/>
        <v>0</v>
      </c>
      <c r="JO521" s="98">
        <f t="shared" ref="JO521:KB521" si="4071">SUM(JO50,JO88,JO126,JO164,JO202,JO240,JO278,JO316,JO354,JO392,JO430,JO468)</f>
        <v>0</v>
      </c>
      <c r="JP521" s="98">
        <f t="shared" si="4071"/>
        <v>0</v>
      </c>
      <c r="JQ521" s="98">
        <f t="shared" si="4071"/>
        <v>0</v>
      </c>
      <c r="JR521" s="98">
        <f t="shared" si="4071"/>
        <v>0</v>
      </c>
      <c r="JS521" s="98">
        <f t="shared" si="4071"/>
        <v>0</v>
      </c>
      <c r="JT521" s="98">
        <f t="shared" si="4071"/>
        <v>0</v>
      </c>
      <c r="JU521" s="98">
        <f t="shared" si="4071"/>
        <v>0</v>
      </c>
      <c r="JV521" s="98">
        <f t="shared" si="4071"/>
        <v>0</v>
      </c>
      <c r="JW521" s="98">
        <f t="shared" si="4071"/>
        <v>0</v>
      </c>
      <c r="JX521" s="98">
        <f t="shared" si="4071"/>
        <v>0</v>
      </c>
      <c r="JY521" s="98">
        <f t="shared" si="4071"/>
        <v>0</v>
      </c>
      <c r="JZ521" s="98">
        <f t="shared" si="4071"/>
        <v>0</v>
      </c>
      <c r="KA521" s="98">
        <f t="shared" si="4071"/>
        <v>0</v>
      </c>
      <c r="KB521" s="98">
        <f t="shared" si="4071"/>
        <v>0</v>
      </c>
      <c r="KC521" s="198">
        <f t="shared" si="2651"/>
        <v>0</v>
      </c>
      <c r="KD521" s="198">
        <f t="shared" si="2652"/>
        <v>0</v>
      </c>
      <c r="KE521" s="98">
        <f t="shared" ref="KE521:KR521" si="4072">SUM(KE50,KE88,KE126,KE164,KE202,KE240,KE278,KE316,KE354,KE392,KE430,KE468)</f>
        <v>0</v>
      </c>
      <c r="KF521" s="98">
        <f t="shared" si="4072"/>
        <v>0</v>
      </c>
      <c r="KG521" s="98">
        <f t="shared" si="4072"/>
        <v>0</v>
      </c>
      <c r="KH521" s="98">
        <f t="shared" si="4072"/>
        <v>0</v>
      </c>
      <c r="KI521" s="98">
        <f t="shared" si="4072"/>
        <v>0</v>
      </c>
      <c r="KJ521" s="98">
        <f t="shared" si="4072"/>
        <v>0</v>
      </c>
      <c r="KK521" s="98">
        <f t="shared" si="4072"/>
        <v>0</v>
      </c>
      <c r="KL521" s="98">
        <f t="shared" si="4072"/>
        <v>0</v>
      </c>
      <c r="KM521" s="98">
        <f t="shared" si="4072"/>
        <v>0</v>
      </c>
      <c r="KN521" s="98">
        <f t="shared" si="4072"/>
        <v>0</v>
      </c>
      <c r="KO521" s="98">
        <f t="shared" si="4072"/>
        <v>0</v>
      </c>
      <c r="KP521" s="98">
        <f t="shared" si="4072"/>
        <v>0</v>
      </c>
      <c r="KQ521" s="98">
        <f t="shared" si="4072"/>
        <v>0</v>
      </c>
      <c r="KR521" s="98">
        <f t="shared" si="4072"/>
        <v>0</v>
      </c>
      <c r="KS521" s="198">
        <f t="shared" si="2654"/>
        <v>0</v>
      </c>
      <c r="KT521" s="198">
        <f t="shared" si="2655"/>
        <v>0</v>
      </c>
      <c r="KU521" s="98">
        <f t="shared" ref="KU521:LH521" si="4073">SUM(KU50,KU88,KU126,KU164,KU202,KU240,KU278,KU316,KU354,KU392,KU430,KU468)</f>
        <v>0</v>
      </c>
      <c r="KV521" s="98">
        <f t="shared" si="4073"/>
        <v>0</v>
      </c>
      <c r="KW521" s="98">
        <f t="shared" si="4073"/>
        <v>0</v>
      </c>
      <c r="KX521" s="98">
        <f t="shared" si="4073"/>
        <v>0</v>
      </c>
      <c r="KY521" s="98">
        <f t="shared" si="4073"/>
        <v>0</v>
      </c>
      <c r="KZ521" s="98">
        <f t="shared" si="4073"/>
        <v>0</v>
      </c>
      <c r="LA521" s="98">
        <f t="shared" si="4073"/>
        <v>0</v>
      </c>
      <c r="LB521" s="98">
        <f t="shared" si="4073"/>
        <v>0</v>
      </c>
      <c r="LC521" s="98">
        <f t="shared" si="4073"/>
        <v>0</v>
      </c>
      <c r="LD521" s="98">
        <f t="shared" si="4073"/>
        <v>0</v>
      </c>
      <c r="LE521" s="98">
        <f t="shared" si="4073"/>
        <v>0</v>
      </c>
      <c r="LF521" s="98">
        <f t="shared" si="4073"/>
        <v>0</v>
      </c>
      <c r="LG521" s="98">
        <f t="shared" si="4073"/>
        <v>0</v>
      </c>
      <c r="LH521" s="98">
        <f t="shared" si="4073"/>
        <v>0</v>
      </c>
      <c r="LI521" s="198">
        <f t="shared" si="2657"/>
        <v>0</v>
      </c>
      <c r="LJ521" s="198">
        <f t="shared" si="2658"/>
        <v>0</v>
      </c>
      <c r="LK521" s="98">
        <f t="shared" ref="LK521:LX521" si="4074">SUM(LK50,LK88,LK126,LK164,LK202,LK240,LK278,LK316,LK354,LK392,LK430,LK468)</f>
        <v>0</v>
      </c>
      <c r="LL521" s="98">
        <f t="shared" si="4074"/>
        <v>0</v>
      </c>
      <c r="LM521" s="98">
        <f t="shared" si="4074"/>
        <v>0</v>
      </c>
      <c r="LN521" s="98">
        <f t="shared" si="4074"/>
        <v>0</v>
      </c>
      <c r="LO521" s="98">
        <f t="shared" si="4074"/>
        <v>0</v>
      </c>
      <c r="LP521" s="98">
        <f t="shared" si="4074"/>
        <v>0</v>
      </c>
      <c r="LQ521" s="98">
        <f t="shared" si="4074"/>
        <v>0</v>
      </c>
      <c r="LR521" s="98">
        <f t="shared" si="4074"/>
        <v>0</v>
      </c>
      <c r="LS521" s="98">
        <f t="shared" si="4074"/>
        <v>0</v>
      </c>
      <c r="LT521" s="98">
        <f t="shared" si="4074"/>
        <v>0</v>
      </c>
      <c r="LU521" s="98">
        <f t="shared" si="4074"/>
        <v>0</v>
      </c>
      <c r="LV521" s="98">
        <f t="shared" si="4074"/>
        <v>0</v>
      </c>
      <c r="LW521" s="98">
        <f t="shared" si="4074"/>
        <v>0</v>
      </c>
      <c r="LX521" s="98">
        <f t="shared" si="4074"/>
        <v>0</v>
      </c>
      <c r="LY521" s="198">
        <f t="shared" si="2660"/>
        <v>0</v>
      </c>
      <c r="LZ521" s="198">
        <f t="shared" si="2661"/>
        <v>0</v>
      </c>
      <c r="MA521" s="98">
        <f t="shared" ref="MA521:MN521" si="4075">SUM(MA50,MA88,MA126,MA164,MA202,MA240,MA278,MA316,MA354,MA392,MA430,MA468)</f>
        <v>0</v>
      </c>
      <c r="MB521" s="98">
        <f t="shared" si="4075"/>
        <v>0</v>
      </c>
      <c r="MC521" s="98">
        <f t="shared" si="4075"/>
        <v>0</v>
      </c>
      <c r="MD521" s="98">
        <f t="shared" si="4075"/>
        <v>0</v>
      </c>
      <c r="ME521" s="98">
        <f t="shared" si="4075"/>
        <v>0</v>
      </c>
      <c r="MF521" s="98">
        <f t="shared" si="4075"/>
        <v>0</v>
      </c>
      <c r="MG521" s="98">
        <f t="shared" si="4075"/>
        <v>0</v>
      </c>
      <c r="MH521" s="98">
        <f t="shared" si="4075"/>
        <v>0</v>
      </c>
      <c r="MI521" s="98">
        <f t="shared" si="4075"/>
        <v>0</v>
      </c>
      <c r="MJ521" s="98">
        <f t="shared" si="4075"/>
        <v>0</v>
      </c>
      <c r="MK521" s="98">
        <f t="shared" si="4075"/>
        <v>0</v>
      </c>
      <c r="ML521" s="98">
        <f t="shared" si="4075"/>
        <v>0</v>
      </c>
      <c r="MM521" s="98">
        <f t="shared" si="4075"/>
        <v>0</v>
      </c>
      <c r="MN521" s="98">
        <f t="shared" si="4075"/>
        <v>0</v>
      </c>
      <c r="MO521" s="198">
        <f t="shared" si="2663"/>
        <v>0</v>
      </c>
      <c r="MP521" s="198">
        <f t="shared" si="2664"/>
        <v>0</v>
      </c>
      <c r="MQ521" s="98">
        <f t="shared" ref="MQ521:ND521" si="4076">SUM(MQ50,MQ88,MQ126,MQ164,MQ202,MQ240,MQ278,MQ316,MQ354,MQ392,MQ430,MQ468)</f>
        <v>0</v>
      </c>
      <c r="MR521" s="98">
        <f t="shared" si="4076"/>
        <v>0</v>
      </c>
      <c r="MS521" s="98">
        <f t="shared" si="4076"/>
        <v>0</v>
      </c>
      <c r="MT521" s="98">
        <f t="shared" si="4076"/>
        <v>0</v>
      </c>
      <c r="MU521" s="98">
        <f t="shared" si="4076"/>
        <v>0</v>
      </c>
      <c r="MV521" s="98">
        <f t="shared" si="4076"/>
        <v>0</v>
      </c>
      <c r="MW521" s="98">
        <f t="shared" si="4076"/>
        <v>0</v>
      </c>
      <c r="MX521" s="98">
        <f t="shared" si="4076"/>
        <v>0</v>
      </c>
      <c r="MY521" s="98">
        <f t="shared" si="4076"/>
        <v>0</v>
      </c>
      <c r="MZ521" s="98">
        <f t="shared" si="4076"/>
        <v>0</v>
      </c>
      <c r="NA521" s="98">
        <f t="shared" si="4076"/>
        <v>0</v>
      </c>
      <c r="NB521" s="98">
        <f t="shared" si="4076"/>
        <v>0</v>
      </c>
      <c r="NC521" s="98">
        <f t="shared" si="4076"/>
        <v>0</v>
      </c>
      <c r="ND521" s="98">
        <f t="shared" si="4076"/>
        <v>0</v>
      </c>
      <c r="NE521" s="198">
        <f t="shared" si="2666"/>
        <v>0</v>
      </c>
      <c r="NF521" s="198">
        <f t="shared" si="2667"/>
        <v>0</v>
      </c>
      <c r="NG521" s="98">
        <f t="shared" ref="NG521:NT521" si="4077">SUM(NG50,NG88,NG126,NG164,NG202,NG240,NG278,NG316,NG354,NG392,NG430,NG468)</f>
        <v>0</v>
      </c>
      <c r="NH521" s="98">
        <f t="shared" si="4077"/>
        <v>0</v>
      </c>
      <c r="NI521" s="98">
        <f t="shared" si="4077"/>
        <v>0</v>
      </c>
      <c r="NJ521" s="98">
        <f t="shared" si="4077"/>
        <v>0</v>
      </c>
      <c r="NK521" s="98">
        <f t="shared" si="4077"/>
        <v>0</v>
      </c>
      <c r="NL521" s="98">
        <f t="shared" si="4077"/>
        <v>0</v>
      </c>
      <c r="NM521" s="98">
        <f t="shared" si="4077"/>
        <v>0</v>
      </c>
      <c r="NN521" s="98">
        <f t="shared" si="4077"/>
        <v>0</v>
      </c>
      <c r="NO521" s="98">
        <f t="shared" si="4077"/>
        <v>0</v>
      </c>
      <c r="NP521" s="98">
        <f t="shared" si="4077"/>
        <v>0</v>
      </c>
      <c r="NQ521" s="98">
        <f t="shared" si="4077"/>
        <v>0</v>
      </c>
      <c r="NR521" s="98">
        <f t="shared" si="4077"/>
        <v>0</v>
      </c>
      <c r="NS521" s="98">
        <f t="shared" si="4077"/>
        <v>0</v>
      </c>
      <c r="NT521" s="98">
        <f t="shared" si="4077"/>
        <v>0</v>
      </c>
      <c r="NU521" s="198">
        <f t="shared" si="2669"/>
        <v>0</v>
      </c>
      <c r="NV521" s="198">
        <f t="shared" si="2670"/>
        <v>0</v>
      </c>
      <c r="NW521" s="98">
        <f t="shared" ref="NW521:OJ521" si="4078">SUM(NW50,NW88,NW126,NW164,NW202,NW240,NW278,NW316,NW354,NW392,NW430,NW468)</f>
        <v>0</v>
      </c>
      <c r="NX521" s="98">
        <f t="shared" si="4078"/>
        <v>0</v>
      </c>
      <c r="NY521" s="98">
        <f t="shared" si="4078"/>
        <v>0</v>
      </c>
      <c r="NZ521" s="98">
        <f t="shared" si="4078"/>
        <v>0</v>
      </c>
      <c r="OA521" s="98">
        <f t="shared" si="4078"/>
        <v>0</v>
      </c>
      <c r="OB521" s="98">
        <f t="shared" si="4078"/>
        <v>0</v>
      </c>
      <c r="OC521" s="98">
        <f t="shared" si="4078"/>
        <v>0</v>
      </c>
      <c r="OD521" s="98">
        <f t="shared" si="4078"/>
        <v>0</v>
      </c>
      <c r="OE521" s="98">
        <f t="shared" si="4078"/>
        <v>0</v>
      </c>
      <c r="OF521" s="98">
        <f t="shared" si="4078"/>
        <v>0</v>
      </c>
      <c r="OG521" s="98">
        <f t="shared" si="4078"/>
        <v>0</v>
      </c>
      <c r="OH521" s="98">
        <f t="shared" si="4078"/>
        <v>0</v>
      </c>
      <c r="OI521" s="98">
        <f t="shared" si="4078"/>
        <v>0</v>
      </c>
      <c r="OJ521" s="98">
        <f t="shared" si="4078"/>
        <v>0</v>
      </c>
      <c r="OK521" s="198">
        <f t="shared" si="2672"/>
        <v>0</v>
      </c>
      <c r="OL521" s="198">
        <f t="shared" si="2673"/>
        <v>0</v>
      </c>
      <c r="OM521" s="98">
        <f t="shared" ref="OM521:OZ521" si="4079">SUM(OM50,OM88,OM126,OM164,OM202,OM240,OM278,OM316,OM354,OM392,OM430,OM468)</f>
        <v>0</v>
      </c>
      <c r="ON521" s="98">
        <f t="shared" si="4079"/>
        <v>0</v>
      </c>
      <c r="OO521" s="98">
        <f t="shared" si="4079"/>
        <v>0</v>
      </c>
      <c r="OP521" s="98">
        <f t="shared" si="4079"/>
        <v>0</v>
      </c>
      <c r="OQ521" s="98">
        <f t="shared" si="4079"/>
        <v>0</v>
      </c>
      <c r="OR521" s="98">
        <f t="shared" si="4079"/>
        <v>0</v>
      </c>
      <c r="OS521" s="98">
        <f t="shared" si="4079"/>
        <v>0</v>
      </c>
      <c r="OT521" s="98">
        <f t="shared" si="4079"/>
        <v>0</v>
      </c>
      <c r="OU521" s="98">
        <f t="shared" si="4079"/>
        <v>0</v>
      </c>
      <c r="OV521" s="98">
        <f t="shared" si="4079"/>
        <v>0</v>
      </c>
      <c r="OW521" s="98">
        <f t="shared" si="4079"/>
        <v>0</v>
      </c>
      <c r="OX521" s="98">
        <f t="shared" si="4079"/>
        <v>0</v>
      </c>
      <c r="OY521" s="98">
        <f t="shared" si="4079"/>
        <v>0</v>
      </c>
      <c r="OZ521" s="98">
        <f t="shared" si="4079"/>
        <v>0</v>
      </c>
      <c r="PA521" s="198">
        <f t="shared" si="2675"/>
        <v>0</v>
      </c>
      <c r="PB521" s="198">
        <f t="shared" si="2676"/>
        <v>0</v>
      </c>
      <c r="PC521" s="98">
        <f t="shared" ref="PC521:PP521" si="4080">SUM(PC50,PC88,PC126,PC164,PC202,PC240,PC278,PC316,PC354,PC392,PC430,PC468)</f>
        <v>0</v>
      </c>
      <c r="PD521" s="98">
        <f t="shared" si="4080"/>
        <v>0</v>
      </c>
      <c r="PE521" s="98">
        <f t="shared" si="4080"/>
        <v>0</v>
      </c>
      <c r="PF521" s="98">
        <f t="shared" si="4080"/>
        <v>0</v>
      </c>
      <c r="PG521" s="98">
        <f t="shared" si="4080"/>
        <v>0</v>
      </c>
      <c r="PH521" s="98">
        <f t="shared" si="4080"/>
        <v>0</v>
      </c>
      <c r="PI521" s="98">
        <f t="shared" si="4080"/>
        <v>0</v>
      </c>
      <c r="PJ521" s="98">
        <f t="shared" si="4080"/>
        <v>0</v>
      </c>
      <c r="PK521" s="98">
        <f t="shared" si="4080"/>
        <v>0</v>
      </c>
      <c r="PL521" s="98">
        <f t="shared" si="4080"/>
        <v>0</v>
      </c>
      <c r="PM521" s="98">
        <f t="shared" si="4080"/>
        <v>0</v>
      </c>
      <c r="PN521" s="98">
        <f t="shared" si="4080"/>
        <v>0</v>
      </c>
      <c r="PO521" s="98">
        <f t="shared" si="4080"/>
        <v>0</v>
      </c>
      <c r="PP521" s="98">
        <f t="shared" si="4080"/>
        <v>0</v>
      </c>
      <c r="PQ521" s="198">
        <f t="shared" si="2678"/>
        <v>0</v>
      </c>
      <c r="PR521" s="198">
        <f t="shared" si="2679"/>
        <v>0</v>
      </c>
      <c r="PS521" s="98">
        <f t="shared" ref="PS521:QF521" si="4081">SUM(PS50,PS88,PS126,PS164,PS202,PS240,PS278,PS316,PS354,PS392,PS430,PS468)</f>
        <v>0</v>
      </c>
      <c r="PT521" s="98">
        <f t="shared" si="4081"/>
        <v>0</v>
      </c>
      <c r="PU521" s="98">
        <f t="shared" si="4081"/>
        <v>0</v>
      </c>
      <c r="PV521" s="98">
        <f t="shared" si="4081"/>
        <v>0</v>
      </c>
      <c r="PW521" s="98">
        <f t="shared" si="4081"/>
        <v>0</v>
      </c>
      <c r="PX521" s="98">
        <f t="shared" si="4081"/>
        <v>0</v>
      </c>
      <c r="PY521" s="98">
        <f t="shared" si="4081"/>
        <v>0</v>
      </c>
      <c r="PZ521" s="98">
        <f t="shared" si="4081"/>
        <v>0</v>
      </c>
      <c r="QA521" s="98">
        <f t="shared" si="4081"/>
        <v>605030</v>
      </c>
      <c r="QB521" s="98">
        <f t="shared" si="4081"/>
        <v>12100600</v>
      </c>
      <c r="QC521" s="98">
        <f t="shared" si="4081"/>
        <v>0</v>
      </c>
      <c r="QD521" s="98">
        <f t="shared" si="4081"/>
        <v>0</v>
      </c>
      <c r="QE521" s="98">
        <f t="shared" si="4081"/>
        <v>0</v>
      </c>
      <c r="QF521" s="98">
        <f t="shared" si="4081"/>
        <v>0</v>
      </c>
      <c r="QG521" s="198">
        <f t="shared" si="2681"/>
        <v>605030</v>
      </c>
      <c r="QH521" s="198">
        <f t="shared" si="2682"/>
        <v>12100600</v>
      </c>
      <c r="QI521" s="98">
        <f t="shared" ref="QI521:QV521" si="4082">SUM(QI50,QI88,QI126,QI164,QI202,QI240,QI278,QI316,QI354,QI392,QI430,QI468)</f>
        <v>0</v>
      </c>
      <c r="QJ521" s="98">
        <f t="shared" si="4082"/>
        <v>0</v>
      </c>
      <c r="QK521" s="98">
        <f t="shared" si="4082"/>
        <v>0</v>
      </c>
      <c r="QL521" s="98">
        <f t="shared" si="4082"/>
        <v>0</v>
      </c>
      <c r="QM521" s="98">
        <f t="shared" si="4082"/>
        <v>0</v>
      </c>
      <c r="QN521" s="98">
        <f t="shared" si="4082"/>
        <v>0</v>
      </c>
      <c r="QO521" s="98">
        <f t="shared" si="4082"/>
        <v>0</v>
      </c>
      <c r="QP521" s="98">
        <f t="shared" si="4082"/>
        <v>0</v>
      </c>
      <c r="QQ521" s="98">
        <f t="shared" si="4082"/>
        <v>0</v>
      </c>
      <c r="QR521" s="98">
        <f t="shared" si="4082"/>
        <v>0</v>
      </c>
      <c r="QS521" s="98">
        <f t="shared" si="4082"/>
        <v>0</v>
      </c>
      <c r="QT521" s="98">
        <f t="shared" si="4082"/>
        <v>0</v>
      </c>
      <c r="QU521" s="98">
        <f t="shared" si="4082"/>
        <v>0</v>
      </c>
      <c r="QV521" s="98">
        <f t="shared" si="4082"/>
        <v>0</v>
      </c>
      <c r="QW521" s="198">
        <f t="shared" si="2684"/>
        <v>0</v>
      </c>
      <c r="QX521" s="198">
        <f t="shared" si="2685"/>
        <v>0</v>
      </c>
      <c r="QY521" s="98">
        <f t="shared" ref="QY521:RL521" si="4083">SUM(QY50,QY88,QY126,QY164,QY202,QY240,QY278,QY316,QY354,QY392,QY430,QY468)</f>
        <v>0</v>
      </c>
      <c r="QZ521" s="98">
        <f t="shared" si="4083"/>
        <v>0</v>
      </c>
      <c r="RA521" s="98">
        <f t="shared" si="4083"/>
        <v>0</v>
      </c>
      <c r="RB521" s="98">
        <f t="shared" si="4083"/>
        <v>0</v>
      </c>
      <c r="RC521" s="98">
        <f t="shared" si="4083"/>
        <v>0</v>
      </c>
      <c r="RD521" s="98">
        <f t="shared" si="4083"/>
        <v>0</v>
      </c>
      <c r="RE521" s="98">
        <f t="shared" si="4083"/>
        <v>0</v>
      </c>
      <c r="RF521" s="98">
        <f t="shared" si="4083"/>
        <v>0</v>
      </c>
      <c r="RG521" s="98">
        <f t="shared" si="4083"/>
        <v>0</v>
      </c>
      <c r="RH521" s="98">
        <f t="shared" si="4083"/>
        <v>0</v>
      </c>
      <c r="RI521" s="98">
        <f t="shared" si="4083"/>
        <v>0</v>
      </c>
      <c r="RJ521" s="98">
        <f t="shared" si="4083"/>
        <v>0</v>
      </c>
      <c r="RK521" s="98">
        <f t="shared" si="4083"/>
        <v>0</v>
      </c>
      <c r="RL521" s="98">
        <f t="shared" si="4083"/>
        <v>0</v>
      </c>
      <c r="RM521" s="198">
        <f t="shared" si="2687"/>
        <v>0</v>
      </c>
      <c r="RN521" s="198">
        <f t="shared" si="2688"/>
        <v>0</v>
      </c>
      <c r="RO521" s="98">
        <f t="shared" ref="RO521:SB521" si="4084">SUM(RO50,RO88,RO126,RO164,RO202,RO240,RO278,RO316,RO354,RO392,RO430,RO468)</f>
        <v>0</v>
      </c>
      <c r="RP521" s="98">
        <f t="shared" si="4084"/>
        <v>0</v>
      </c>
      <c r="RQ521" s="98">
        <f t="shared" si="4084"/>
        <v>0</v>
      </c>
      <c r="RR521" s="98">
        <f t="shared" si="4084"/>
        <v>0</v>
      </c>
      <c r="RS521" s="98">
        <f t="shared" si="4084"/>
        <v>0</v>
      </c>
      <c r="RT521" s="98">
        <f t="shared" si="4084"/>
        <v>0</v>
      </c>
      <c r="RU521" s="98">
        <f t="shared" si="4084"/>
        <v>0</v>
      </c>
      <c r="RV521" s="98">
        <f t="shared" si="4084"/>
        <v>0</v>
      </c>
      <c r="RW521" s="98">
        <f t="shared" si="4084"/>
        <v>0</v>
      </c>
      <c r="RX521" s="98">
        <f t="shared" si="4084"/>
        <v>0</v>
      </c>
      <c r="RY521" s="98">
        <f t="shared" si="4084"/>
        <v>0</v>
      </c>
      <c r="RZ521" s="98">
        <f t="shared" si="4084"/>
        <v>0</v>
      </c>
      <c r="SA521" s="98">
        <f t="shared" si="4084"/>
        <v>0</v>
      </c>
      <c r="SB521" s="98">
        <f t="shared" si="4084"/>
        <v>0</v>
      </c>
      <c r="SC521" s="198">
        <f t="shared" si="2690"/>
        <v>0</v>
      </c>
      <c r="SD521" s="198">
        <f t="shared" si="2691"/>
        <v>0</v>
      </c>
      <c r="SE521" s="98">
        <f t="shared" ref="SE521:SR521" si="4085">SUM(SE50,SE88,SE126,SE164,SE202,SE240,SE278,SE316,SE354,SE392,SE430,SE468)</f>
        <v>0</v>
      </c>
      <c r="SF521" s="98">
        <f t="shared" si="4085"/>
        <v>0</v>
      </c>
      <c r="SG521" s="98">
        <f t="shared" si="4085"/>
        <v>0</v>
      </c>
      <c r="SH521" s="98">
        <f t="shared" si="4085"/>
        <v>0</v>
      </c>
      <c r="SI521" s="98">
        <f t="shared" si="4085"/>
        <v>0</v>
      </c>
      <c r="SJ521" s="98">
        <f t="shared" si="4085"/>
        <v>0</v>
      </c>
      <c r="SK521" s="98">
        <f t="shared" si="4085"/>
        <v>0</v>
      </c>
      <c r="SL521" s="98">
        <f t="shared" si="4085"/>
        <v>0</v>
      </c>
      <c r="SM521" s="98">
        <f t="shared" si="4085"/>
        <v>0</v>
      </c>
      <c r="SN521" s="98">
        <f t="shared" si="4085"/>
        <v>0</v>
      </c>
      <c r="SO521" s="98">
        <f t="shared" si="4085"/>
        <v>0</v>
      </c>
      <c r="SP521" s="98">
        <f t="shared" si="4085"/>
        <v>0</v>
      </c>
      <c r="SQ521" s="98">
        <f t="shared" si="4085"/>
        <v>0</v>
      </c>
      <c r="SR521" s="98">
        <f t="shared" si="4085"/>
        <v>0</v>
      </c>
      <c r="SS521" s="198">
        <f t="shared" si="2693"/>
        <v>0</v>
      </c>
      <c r="ST521" s="198">
        <f t="shared" si="2694"/>
        <v>0</v>
      </c>
      <c r="SU521" s="98">
        <f t="shared" ref="SU521:TH521" si="4086">SUM(SU50,SU88,SU126,SU164,SU202,SU240,SU278,SU316,SU354,SU392,SU430,SU468)</f>
        <v>0</v>
      </c>
      <c r="SV521" s="98">
        <f t="shared" si="4086"/>
        <v>0</v>
      </c>
      <c r="SW521" s="98">
        <f t="shared" si="4086"/>
        <v>0</v>
      </c>
      <c r="SX521" s="98">
        <f t="shared" si="4086"/>
        <v>0</v>
      </c>
      <c r="SY521" s="98">
        <f t="shared" si="4086"/>
        <v>0</v>
      </c>
      <c r="SZ521" s="98">
        <f t="shared" si="4086"/>
        <v>0</v>
      </c>
      <c r="TA521" s="98">
        <f t="shared" si="4086"/>
        <v>0</v>
      </c>
      <c r="TB521" s="98">
        <f t="shared" si="4086"/>
        <v>0</v>
      </c>
      <c r="TC521" s="98">
        <f t="shared" si="4086"/>
        <v>0</v>
      </c>
      <c r="TD521" s="98">
        <f t="shared" si="4086"/>
        <v>0</v>
      </c>
      <c r="TE521" s="98">
        <f t="shared" si="4086"/>
        <v>0</v>
      </c>
      <c r="TF521" s="98">
        <f t="shared" si="4086"/>
        <v>0</v>
      </c>
      <c r="TG521" s="98">
        <f t="shared" si="4086"/>
        <v>0</v>
      </c>
      <c r="TH521" s="98">
        <f t="shared" si="4086"/>
        <v>0</v>
      </c>
      <c r="TI521" s="198">
        <f t="shared" si="2696"/>
        <v>0</v>
      </c>
      <c r="TJ521" s="198">
        <f t="shared" si="2697"/>
        <v>0</v>
      </c>
      <c r="TK521" s="98">
        <f t="shared" ref="TK521:TX521" si="4087">SUM(TK50,TK88,TK126,TK164,TK202,TK240,TK278,TK316,TK354,TK392,TK430,TK468)</f>
        <v>0</v>
      </c>
      <c r="TL521" s="98">
        <f t="shared" si="4087"/>
        <v>0</v>
      </c>
      <c r="TM521" s="98">
        <f t="shared" si="4087"/>
        <v>0</v>
      </c>
      <c r="TN521" s="98">
        <f t="shared" si="4087"/>
        <v>0</v>
      </c>
      <c r="TO521" s="98">
        <f t="shared" si="4087"/>
        <v>0</v>
      </c>
      <c r="TP521" s="98">
        <f t="shared" si="4087"/>
        <v>0</v>
      </c>
      <c r="TQ521" s="98">
        <f t="shared" si="4087"/>
        <v>0</v>
      </c>
      <c r="TR521" s="98">
        <f t="shared" si="4087"/>
        <v>0</v>
      </c>
      <c r="TS521" s="98">
        <f t="shared" si="4087"/>
        <v>0</v>
      </c>
      <c r="TT521" s="98">
        <f t="shared" si="4087"/>
        <v>0</v>
      </c>
      <c r="TU521" s="98">
        <f t="shared" si="4087"/>
        <v>0</v>
      </c>
      <c r="TV521" s="98">
        <f t="shared" si="4087"/>
        <v>0</v>
      </c>
      <c r="TW521" s="98">
        <f t="shared" si="4087"/>
        <v>0</v>
      </c>
      <c r="TX521" s="98">
        <f t="shared" si="4087"/>
        <v>0</v>
      </c>
      <c r="TY521" s="198">
        <f t="shared" si="2699"/>
        <v>0</v>
      </c>
      <c r="TZ521" s="198">
        <f t="shared" si="2700"/>
        <v>0</v>
      </c>
      <c r="UA521" s="98">
        <f t="shared" ref="UA521:UN521" si="4088">SUM(UA50,UA88,UA126,UA164,UA202,UA240,UA278,UA316,UA354,UA392,UA430,UA468)</f>
        <v>0</v>
      </c>
      <c r="UB521" s="98">
        <f t="shared" si="4088"/>
        <v>0</v>
      </c>
      <c r="UC521" s="98">
        <f t="shared" si="4088"/>
        <v>0</v>
      </c>
      <c r="UD521" s="98">
        <f t="shared" si="4088"/>
        <v>0</v>
      </c>
      <c r="UE521" s="98">
        <f t="shared" si="4088"/>
        <v>0</v>
      </c>
      <c r="UF521" s="98">
        <f t="shared" si="4088"/>
        <v>0</v>
      </c>
      <c r="UG521" s="98">
        <f t="shared" si="4088"/>
        <v>0</v>
      </c>
      <c r="UH521" s="98">
        <f t="shared" si="4088"/>
        <v>0</v>
      </c>
      <c r="UI521" s="98">
        <f t="shared" si="4088"/>
        <v>0</v>
      </c>
      <c r="UJ521" s="98">
        <f t="shared" si="4088"/>
        <v>0</v>
      </c>
      <c r="UK521" s="98">
        <f t="shared" si="4088"/>
        <v>0</v>
      </c>
      <c r="UL521" s="98">
        <f t="shared" si="4088"/>
        <v>0</v>
      </c>
      <c r="UM521" s="98">
        <f t="shared" si="4088"/>
        <v>0</v>
      </c>
      <c r="UN521" s="98">
        <f t="shared" si="4088"/>
        <v>0</v>
      </c>
      <c r="UO521" s="198">
        <f t="shared" si="2702"/>
        <v>0</v>
      </c>
      <c r="UP521" s="198">
        <f t="shared" si="2703"/>
        <v>0</v>
      </c>
      <c r="UQ521" s="98">
        <f t="shared" ref="UQ521:VD521" si="4089">SUM(UQ50,UQ88,UQ126,UQ164,UQ202,UQ240,UQ278,UQ316,UQ354,UQ392,UQ430,UQ468)</f>
        <v>0</v>
      </c>
      <c r="UR521" s="98">
        <f t="shared" si="4089"/>
        <v>0</v>
      </c>
      <c r="US521" s="98">
        <f t="shared" si="4089"/>
        <v>0</v>
      </c>
      <c r="UT521" s="98">
        <f t="shared" si="4089"/>
        <v>0</v>
      </c>
      <c r="UU521" s="98">
        <f t="shared" si="4089"/>
        <v>0</v>
      </c>
      <c r="UV521" s="98">
        <f t="shared" si="4089"/>
        <v>0</v>
      </c>
      <c r="UW521" s="98">
        <f t="shared" si="4089"/>
        <v>0</v>
      </c>
      <c r="UX521" s="98">
        <f t="shared" si="4089"/>
        <v>0</v>
      </c>
      <c r="UY521" s="98">
        <f t="shared" si="4089"/>
        <v>0</v>
      </c>
      <c r="UZ521" s="98">
        <f t="shared" si="4089"/>
        <v>0</v>
      </c>
      <c r="VA521" s="98">
        <f t="shared" si="4089"/>
        <v>0</v>
      </c>
      <c r="VB521" s="98">
        <f t="shared" si="4089"/>
        <v>0</v>
      </c>
      <c r="VC521" s="98">
        <f t="shared" si="4089"/>
        <v>0</v>
      </c>
      <c r="VD521" s="98">
        <f t="shared" si="4089"/>
        <v>0</v>
      </c>
      <c r="VE521" s="198">
        <f t="shared" si="2705"/>
        <v>0</v>
      </c>
      <c r="VF521" s="198">
        <f t="shared" si="2706"/>
        <v>0</v>
      </c>
      <c r="VG521" s="98">
        <f t="shared" ref="VG521:VT521" si="4090">SUM(VG50,VG88,VG126,VG164,VG202,VG240,VG278,VG316,VG354,VG392,VG430,VG468)</f>
        <v>0</v>
      </c>
      <c r="VH521" s="98">
        <f t="shared" si="4090"/>
        <v>0</v>
      </c>
      <c r="VI521" s="98">
        <f t="shared" si="4090"/>
        <v>0</v>
      </c>
      <c r="VJ521" s="98">
        <f t="shared" si="4090"/>
        <v>0</v>
      </c>
      <c r="VK521" s="98">
        <f t="shared" si="4090"/>
        <v>0</v>
      </c>
      <c r="VL521" s="98">
        <f t="shared" si="4090"/>
        <v>0</v>
      </c>
      <c r="VM521" s="98">
        <f t="shared" si="4090"/>
        <v>0</v>
      </c>
      <c r="VN521" s="98">
        <f t="shared" si="4090"/>
        <v>0</v>
      </c>
      <c r="VO521" s="98">
        <f t="shared" si="4090"/>
        <v>0</v>
      </c>
      <c r="VP521" s="98">
        <f t="shared" si="4090"/>
        <v>0</v>
      </c>
      <c r="VQ521" s="98">
        <f t="shared" si="4090"/>
        <v>0</v>
      </c>
      <c r="VR521" s="98">
        <f t="shared" si="4090"/>
        <v>0</v>
      </c>
      <c r="VS521" s="98">
        <f t="shared" si="4090"/>
        <v>0</v>
      </c>
      <c r="VT521" s="98">
        <f t="shared" si="4090"/>
        <v>0</v>
      </c>
      <c r="VU521" s="198">
        <f t="shared" si="2708"/>
        <v>0</v>
      </c>
      <c r="VV521" s="198">
        <f t="shared" si="2709"/>
        <v>0</v>
      </c>
      <c r="VW521" s="98">
        <f t="shared" ref="VW521:WJ521" si="4091">SUM(VW50,VW88,VW126,VW164,VW202,VW240,VW278,VW316,VW354,VW392,VW430,VW468)</f>
        <v>0</v>
      </c>
      <c r="VX521" s="98">
        <f t="shared" si="4091"/>
        <v>0</v>
      </c>
      <c r="VY521" s="98">
        <f t="shared" si="4091"/>
        <v>0</v>
      </c>
      <c r="VZ521" s="98">
        <f t="shared" si="4091"/>
        <v>0</v>
      </c>
      <c r="WA521" s="98">
        <f t="shared" si="4091"/>
        <v>0</v>
      </c>
      <c r="WB521" s="98">
        <f t="shared" si="4091"/>
        <v>0</v>
      </c>
      <c r="WC521" s="98">
        <f t="shared" si="4091"/>
        <v>0</v>
      </c>
      <c r="WD521" s="98">
        <f t="shared" si="4091"/>
        <v>0</v>
      </c>
      <c r="WE521" s="98">
        <f t="shared" si="4091"/>
        <v>0</v>
      </c>
      <c r="WF521" s="98">
        <f t="shared" si="4091"/>
        <v>0</v>
      </c>
      <c r="WG521" s="98">
        <f t="shared" si="4091"/>
        <v>0</v>
      </c>
      <c r="WH521" s="98">
        <f t="shared" si="4091"/>
        <v>0</v>
      </c>
      <c r="WI521" s="98">
        <f t="shared" si="4091"/>
        <v>0</v>
      </c>
      <c r="WJ521" s="98">
        <f t="shared" si="4091"/>
        <v>0</v>
      </c>
      <c r="WK521" s="198">
        <f t="shared" si="2711"/>
        <v>0</v>
      </c>
      <c r="WL521" s="198">
        <f t="shared" si="2712"/>
        <v>0</v>
      </c>
      <c r="WN521" s="98">
        <f t="shared" si="3734"/>
        <v>0</v>
      </c>
      <c r="WO521" s="98">
        <f t="shared" si="3735"/>
        <v>0</v>
      </c>
      <c r="WP521" s="98">
        <f t="shared" si="3736"/>
        <v>0</v>
      </c>
      <c r="WQ521" s="98">
        <f t="shared" si="3737"/>
        <v>0</v>
      </c>
      <c r="WR521" s="98">
        <f t="shared" si="3738"/>
        <v>0</v>
      </c>
      <c r="WS521" s="98">
        <f t="shared" si="3739"/>
        <v>0</v>
      </c>
      <c r="WT521" s="98">
        <f t="shared" si="3740"/>
        <v>0</v>
      </c>
      <c r="WU521" s="98">
        <f t="shared" si="3741"/>
        <v>0</v>
      </c>
      <c r="WV521" s="98">
        <f t="shared" si="3742"/>
        <v>605030</v>
      </c>
      <c r="WW521" s="98">
        <f t="shared" si="3743"/>
        <v>12100600</v>
      </c>
      <c r="WX521" s="98">
        <f t="shared" si="3744"/>
        <v>0</v>
      </c>
      <c r="WY521" s="98">
        <f t="shared" si="3745"/>
        <v>0</v>
      </c>
      <c r="WZ521" s="98">
        <f t="shared" si="3746"/>
        <v>0</v>
      </c>
      <c r="XA521" s="98">
        <f t="shared" si="3747"/>
        <v>0</v>
      </c>
      <c r="XB521" s="107">
        <f t="shared" si="3748"/>
        <v>605030</v>
      </c>
      <c r="XC521" s="107">
        <f t="shared" si="3749"/>
        <v>12100600</v>
      </c>
      <c r="XK521" s="98">
        <f t="shared" si="2729"/>
        <v>0</v>
      </c>
      <c r="XL521" s="98">
        <f t="shared" si="2730"/>
        <v>12705630</v>
      </c>
      <c r="XM521" s="98">
        <f t="shared" si="2731"/>
        <v>0</v>
      </c>
      <c r="XN521" s="98">
        <f t="shared" si="2732"/>
        <v>0</v>
      </c>
      <c r="XO521" s="98">
        <f t="shared" si="2733"/>
        <v>12705630</v>
      </c>
      <c r="XP521" s="98">
        <f t="shared" si="2734"/>
        <v>0</v>
      </c>
      <c r="XQ521" s="98">
        <f t="shared" si="2735"/>
        <v>0</v>
      </c>
      <c r="XR521" s="107">
        <f t="shared" ca="1" si="2597"/>
        <v>12705630</v>
      </c>
      <c r="XT521" s="98">
        <f t="shared" si="2736"/>
        <v>12100600</v>
      </c>
      <c r="XU521" s="98">
        <f t="shared" si="2737"/>
        <v>0</v>
      </c>
      <c r="XV521" s="98">
        <f t="shared" si="2738"/>
        <v>0</v>
      </c>
      <c r="XW521" s="98">
        <f t="shared" si="2739"/>
        <v>0</v>
      </c>
      <c r="XX521" s="98">
        <f t="shared" si="2740"/>
        <v>605030</v>
      </c>
      <c r="XY521" s="98">
        <f t="shared" si="2741"/>
        <v>12100600</v>
      </c>
      <c r="XZ521" s="98">
        <f t="shared" si="2742"/>
        <v>12705630</v>
      </c>
      <c r="YA521" s="107">
        <f t="shared" ca="1" si="2598"/>
        <v>25411260</v>
      </c>
    </row>
    <row r="522" spans="1:1017" s="102" customFormat="1">
      <c r="A522" s="104"/>
      <c r="C522" s="104"/>
      <c r="D522" s="104"/>
      <c r="E522" s="104"/>
      <c r="F522" s="104"/>
      <c r="G522" s="104"/>
      <c r="H522" s="104"/>
      <c r="I522" s="104"/>
      <c r="J522" s="104"/>
      <c r="K522" s="104"/>
      <c r="L522" s="104"/>
      <c r="M522" s="104"/>
      <c r="N522" s="104"/>
      <c r="O522" s="104"/>
      <c r="P522" s="104"/>
      <c r="Q522" s="105"/>
      <c r="R522" s="105"/>
      <c r="S522" s="104"/>
      <c r="T522" s="104"/>
      <c r="U522" s="104"/>
      <c r="V522" s="104"/>
      <c r="W522" s="104"/>
      <c r="X522" s="104"/>
      <c r="Y522" s="104"/>
      <c r="Z522" s="104"/>
      <c r="AA522" s="104"/>
      <c r="AB522" s="104"/>
      <c r="AC522" s="104"/>
      <c r="AD522" s="104"/>
      <c r="AE522" s="104"/>
      <c r="AF522" s="104"/>
      <c r="AG522" s="105"/>
      <c r="AH522" s="105"/>
      <c r="AI522" s="104"/>
      <c r="AJ522" s="104"/>
      <c r="AK522" s="104"/>
      <c r="AL522" s="104"/>
      <c r="AM522" s="104"/>
      <c r="AN522" s="104"/>
      <c r="AO522" s="104"/>
      <c r="AP522" s="104"/>
      <c r="AQ522" s="104"/>
      <c r="AR522" s="104"/>
      <c r="AS522" s="104"/>
      <c r="AT522" s="104"/>
      <c r="AU522" s="104"/>
      <c r="AV522" s="104"/>
      <c r="AW522" s="196"/>
      <c r="AX522" s="196"/>
      <c r="AY522" s="104"/>
      <c r="AZ522" s="104"/>
      <c r="BA522" s="104"/>
      <c r="BB522" s="104"/>
      <c r="BC522" s="104"/>
      <c r="BD522" s="104"/>
      <c r="BE522" s="104"/>
      <c r="BF522" s="104"/>
      <c r="BG522" s="104"/>
      <c r="BH522" s="104"/>
      <c r="BI522" s="104"/>
      <c r="BJ522" s="104"/>
      <c r="BK522" s="104"/>
      <c r="BL522" s="104"/>
      <c r="BM522" s="104"/>
      <c r="BN522" s="104"/>
      <c r="BO522" s="104"/>
      <c r="BP522" s="104"/>
      <c r="BQ522" s="104"/>
      <c r="BR522" s="104"/>
      <c r="BS522" s="104"/>
      <c r="BT522" s="104"/>
      <c r="BU522" s="104"/>
      <c r="BV522" s="104"/>
      <c r="BW522" s="104"/>
      <c r="BX522" s="104"/>
      <c r="BY522" s="104"/>
      <c r="BZ522" s="104"/>
      <c r="CA522" s="104"/>
      <c r="CB522" s="104"/>
      <c r="CC522" s="196"/>
      <c r="CD522" s="196"/>
      <c r="CE522" s="104"/>
      <c r="CF522" s="104"/>
      <c r="CG522" s="104"/>
      <c r="CH522" s="104"/>
      <c r="CI522" s="104"/>
      <c r="CJ522" s="104"/>
      <c r="CK522" s="104"/>
      <c r="CL522" s="104"/>
      <c r="CM522" s="104"/>
      <c r="CN522" s="104"/>
      <c r="CO522" s="104"/>
      <c r="CP522" s="104"/>
      <c r="CQ522" s="104"/>
      <c r="CR522" s="104"/>
      <c r="CS522" s="105"/>
      <c r="CT522" s="105"/>
      <c r="CU522" s="104"/>
      <c r="CV522" s="104"/>
      <c r="CW522" s="104"/>
      <c r="CX522" s="104"/>
      <c r="CY522" s="104"/>
      <c r="CZ522" s="104"/>
      <c r="DA522" s="104"/>
      <c r="DB522" s="104"/>
      <c r="DC522" s="104"/>
      <c r="DD522" s="104"/>
      <c r="DE522" s="104"/>
      <c r="DF522" s="104"/>
      <c r="DG522" s="104"/>
      <c r="DH522" s="104"/>
      <c r="DI522" s="196"/>
      <c r="DJ522" s="196"/>
      <c r="DK522" s="104"/>
      <c r="DL522" s="104"/>
      <c r="DM522" s="104"/>
      <c r="DN522" s="104"/>
      <c r="DO522" s="104"/>
      <c r="DP522" s="104"/>
      <c r="DQ522" s="104"/>
      <c r="DR522" s="104"/>
      <c r="DS522" s="104"/>
      <c r="DT522" s="104"/>
      <c r="DU522" s="104"/>
      <c r="DV522" s="104"/>
      <c r="DW522" s="104"/>
      <c r="DX522" s="104"/>
      <c r="DY522" s="105"/>
      <c r="DZ522" s="105"/>
      <c r="EA522" s="104"/>
      <c r="EB522" s="104"/>
      <c r="EC522" s="104"/>
      <c r="ED522" s="104"/>
      <c r="EE522" s="104"/>
      <c r="EF522" s="104"/>
      <c r="EG522" s="104"/>
      <c r="EH522" s="104"/>
      <c r="EI522" s="104"/>
      <c r="EJ522" s="104"/>
      <c r="EK522" s="104"/>
      <c r="EL522" s="104"/>
      <c r="EM522" s="104"/>
      <c r="EN522" s="104"/>
      <c r="EO522" s="105"/>
      <c r="EP522" s="105"/>
      <c r="EQ522" s="104"/>
      <c r="ER522" s="104"/>
      <c r="ES522" s="104"/>
      <c r="ET522" s="104"/>
      <c r="EU522" s="104"/>
      <c r="EV522" s="104"/>
      <c r="EW522" s="104"/>
      <c r="EX522" s="104"/>
      <c r="EY522" s="104"/>
      <c r="EZ522" s="104"/>
      <c r="FA522" s="104"/>
      <c r="FB522" s="104"/>
      <c r="FC522" s="104"/>
      <c r="FD522" s="104"/>
      <c r="FE522" s="105"/>
      <c r="FF522" s="105"/>
      <c r="FG522" s="104"/>
      <c r="FH522" s="104"/>
      <c r="FI522" s="104"/>
      <c r="FJ522" s="104"/>
      <c r="FK522" s="104"/>
      <c r="FL522" s="104"/>
      <c r="FM522" s="104"/>
      <c r="FN522" s="104"/>
      <c r="FO522" s="104"/>
      <c r="FP522" s="104"/>
      <c r="FQ522" s="104"/>
      <c r="FR522" s="104"/>
      <c r="FS522" s="104"/>
      <c r="FT522" s="104"/>
      <c r="FU522" s="105"/>
      <c r="FV522" s="105"/>
      <c r="FW522" s="104"/>
      <c r="FX522" s="104"/>
      <c r="FY522" s="104"/>
      <c r="FZ522" s="104"/>
      <c r="GA522" s="104"/>
      <c r="GB522" s="104"/>
      <c r="GC522" s="104"/>
      <c r="GD522" s="104"/>
      <c r="GE522" s="104"/>
      <c r="GF522" s="104"/>
      <c r="GG522" s="104"/>
      <c r="GH522" s="104"/>
      <c r="GI522" s="104"/>
      <c r="GJ522" s="104"/>
      <c r="GK522" s="105"/>
      <c r="GL522" s="105"/>
      <c r="GM522" s="104"/>
      <c r="GN522" s="104"/>
      <c r="GO522" s="104"/>
      <c r="GP522" s="104"/>
      <c r="GQ522" s="104"/>
      <c r="GR522" s="104"/>
      <c r="GS522" s="104"/>
      <c r="GT522" s="104"/>
      <c r="GU522" s="104"/>
      <c r="GV522" s="104"/>
      <c r="GW522" s="104"/>
      <c r="GX522" s="104"/>
      <c r="GY522" s="104"/>
      <c r="GZ522" s="104"/>
      <c r="HA522" s="105"/>
      <c r="HB522" s="105"/>
      <c r="HC522" s="104"/>
      <c r="HD522" s="104"/>
      <c r="HE522" s="104"/>
      <c r="HF522" s="104"/>
      <c r="HG522" s="104"/>
      <c r="HH522" s="104"/>
      <c r="HI522" s="104"/>
      <c r="HJ522" s="104"/>
      <c r="HK522" s="104"/>
      <c r="HL522" s="104"/>
      <c r="HM522" s="104"/>
      <c r="HN522" s="104"/>
      <c r="HO522" s="104"/>
      <c r="HP522" s="104"/>
      <c r="HQ522" s="105"/>
      <c r="HR522" s="105"/>
      <c r="HS522" s="104"/>
      <c r="HT522" s="104"/>
      <c r="HU522" s="104"/>
      <c r="HV522" s="104"/>
      <c r="HW522" s="104"/>
      <c r="HX522" s="104"/>
      <c r="HY522" s="104"/>
      <c r="HZ522" s="104"/>
      <c r="IA522" s="104"/>
      <c r="IB522" s="104"/>
      <c r="IC522" s="104"/>
      <c r="ID522" s="104"/>
      <c r="IE522" s="104"/>
      <c r="IF522" s="104"/>
      <c r="IG522" s="105"/>
      <c r="IH522" s="105"/>
      <c r="II522" s="104"/>
      <c r="IJ522" s="104"/>
      <c r="IK522" s="104"/>
      <c r="IL522" s="104"/>
      <c r="IM522" s="104"/>
      <c r="IN522" s="104"/>
      <c r="IO522" s="104"/>
      <c r="IP522" s="104"/>
      <c r="IQ522" s="104"/>
      <c r="IR522" s="104"/>
      <c r="IS522" s="104"/>
      <c r="IT522" s="104"/>
      <c r="IU522" s="104"/>
      <c r="IV522" s="104"/>
      <c r="IW522" s="105"/>
      <c r="IX522" s="105"/>
      <c r="IY522" s="104"/>
      <c r="IZ522" s="104"/>
      <c r="JA522" s="104"/>
      <c r="JB522" s="104"/>
      <c r="JC522" s="104"/>
      <c r="JD522" s="104"/>
      <c r="JE522" s="104"/>
      <c r="JF522" s="104"/>
      <c r="JG522" s="104"/>
      <c r="JH522" s="104"/>
      <c r="JI522" s="104"/>
      <c r="JJ522" s="104"/>
      <c r="JK522" s="104"/>
      <c r="JL522" s="104"/>
      <c r="JM522" s="105"/>
      <c r="JN522" s="105"/>
      <c r="JO522" s="104"/>
      <c r="JP522" s="104"/>
      <c r="JQ522" s="104"/>
      <c r="JR522" s="104"/>
      <c r="JS522" s="104"/>
      <c r="JT522" s="104"/>
      <c r="JU522" s="104"/>
      <c r="JV522" s="104"/>
      <c r="JW522" s="104"/>
      <c r="JX522" s="104"/>
      <c r="JY522" s="104"/>
      <c r="JZ522" s="104"/>
      <c r="KA522" s="104"/>
      <c r="KB522" s="104"/>
      <c r="KC522" s="105"/>
      <c r="KD522" s="105"/>
      <c r="KE522" s="104"/>
      <c r="KF522" s="104"/>
      <c r="KG522" s="104"/>
      <c r="KH522" s="104"/>
      <c r="KI522" s="104"/>
      <c r="KJ522" s="104"/>
      <c r="KK522" s="104"/>
      <c r="KL522" s="104"/>
      <c r="KM522" s="104"/>
      <c r="KN522" s="104"/>
      <c r="KO522" s="104"/>
      <c r="KP522" s="104"/>
      <c r="KQ522" s="104"/>
      <c r="KR522" s="104"/>
      <c r="KS522" s="105"/>
      <c r="KT522" s="105"/>
      <c r="KU522" s="104"/>
      <c r="KV522" s="104"/>
      <c r="KW522" s="104"/>
      <c r="KX522" s="104"/>
      <c r="KY522" s="104"/>
      <c r="KZ522" s="104"/>
      <c r="LA522" s="104"/>
      <c r="LB522" s="104"/>
      <c r="LC522" s="104"/>
      <c r="LD522" s="104"/>
      <c r="LE522" s="104"/>
      <c r="LF522" s="104"/>
      <c r="LG522" s="104"/>
      <c r="LH522" s="104"/>
      <c r="LI522" s="105"/>
      <c r="LJ522" s="105"/>
      <c r="LK522" s="104"/>
      <c r="LL522" s="104"/>
      <c r="LM522" s="104"/>
      <c r="LN522" s="104"/>
      <c r="LO522" s="104"/>
      <c r="LP522" s="104"/>
      <c r="LQ522" s="104"/>
      <c r="LR522" s="104"/>
      <c r="LS522" s="104"/>
      <c r="LT522" s="104"/>
      <c r="LU522" s="104"/>
      <c r="LV522" s="104"/>
      <c r="LW522" s="104"/>
      <c r="LX522" s="104"/>
      <c r="LY522" s="105"/>
      <c r="LZ522" s="105"/>
      <c r="MA522" s="104"/>
      <c r="MB522" s="104"/>
      <c r="MC522" s="104"/>
      <c r="MD522" s="104"/>
      <c r="ME522" s="104"/>
      <c r="MF522" s="104"/>
      <c r="MG522" s="104"/>
      <c r="MH522" s="104"/>
      <c r="MI522" s="104"/>
      <c r="MJ522" s="104"/>
      <c r="MK522" s="104"/>
      <c r="ML522" s="104"/>
      <c r="MM522" s="104"/>
      <c r="MN522" s="104"/>
      <c r="MO522" s="105"/>
      <c r="MP522" s="105"/>
      <c r="MQ522" s="104"/>
      <c r="MR522" s="104"/>
      <c r="MS522" s="104"/>
      <c r="MT522" s="104"/>
      <c r="MU522" s="104"/>
      <c r="MV522" s="104"/>
      <c r="MW522" s="104"/>
      <c r="MX522" s="104"/>
      <c r="MY522" s="104"/>
      <c r="MZ522" s="104"/>
      <c r="NA522" s="104"/>
      <c r="NB522" s="104"/>
      <c r="NC522" s="104"/>
      <c r="ND522" s="104"/>
      <c r="NE522" s="105"/>
      <c r="NF522" s="105"/>
      <c r="NG522" s="104"/>
      <c r="NH522" s="104"/>
      <c r="NI522" s="104"/>
      <c r="NJ522" s="104"/>
      <c r="NK522" s="104"/>
      <c r="NL522" s="104"/>
      <c r="NM522" s="104"/>
      <c r="NN522" s="104"/>
      <c r="NO522" s="104"/>
      <c r="NP522" s="104"/>
      <c r="NQ522" s="104"/>
      <c r="NR522" s="104"/>
      <c r="NS522" s="104"/>
      <c r="NT522" s="104"/>
      <c r="NU522" s="105"/>
      <c r="NV522" s="105"/>
      <c r="NW522" s="104"/>
      <c r="NX522" s="104"/>
      <c r="NY522" s="104"/>
      <c r="NZ522" s="104"/>
      <c r="OA522" s="104"/>
      <c r="OB522" s="104"/>
      <c r="OC522" s="104"/>
      <c r="OD522" s="104"/>
      <c r="OE522" s="104"/>
      <c r="OF522" s="104"/>
      <c r="OG522" s="104"/>
      <c r="OH522" s="104"/>
      <c r="OI522" s="104"/>
      <c r="OJ522" s="104"/>
      <c r="OK522" s="105"/>
      <c r="OL522" s="105"/>
      <c r="OM522" s="104"/>
      <c r="ON522" s="104"/>
      <c r="OO522" s="104"/>
      <c r="OP522" s="104"/>
      <c r="OQ522" s="104"/>
      <c r="OR522" s="104"/>
      <c r="OS522" s="104"/>
      <c r="OT522" s="104"/>
      <c r="OU522" s="104"/>
      <c r="OV522" s="104"/>
      <c r="OW522" s="104"/>
      <c r="OX522" s="104"/>
      <c r="OY522" s="104"/>
      <c r="OZ522" s="104"/>
      <c r="PA522" s="105"/>
      <c r="PB522" s="105"/>
      <c r="PC522" s="104"/>
      <c r="PD522" s="104"/>
      <c r="PE522" s="104"/>
      <c r="PF522" s="104"/>
      <c r="PG522" s="104"/>
      <c r="PH522" s="104"/>
      <c r="PI522" s="104"/>
      <c r="PJ522" s="104"/>
      <c r="PK522" s="104"/>
      <c r="PL522" s="104"/>
      <c r="PM522" s="104"/>
      <c r="PN522" s="104"/>
      <c r="PO522" s="104"/>
      <c r="PP522" s="104"/>
      <c r="PQ522" s="105"/>
      <c r="PR522" s="105"/>
      <c r="PS522" s="104"/>
      <c r="PT522" s="104"/>
      <c r="PU522" s="104"/>
      <c r="PV522" s="104"/>
      <c r="PW522" s="104"/>
      <c r="PX522" s="104"/>
      <c r="PY522" s="104"/>
      <c r="PZ522" s="104"/>
      <c r="QA522" s="104"/>
      <c r="QB522" s="104"/>
      <c r="QC522" s="104"/>
      <c r="QD522" s="104"/>
      <c r="QE522" s="104"/>
      <c r="QF522" s="104"/>
      <c r="QG522" s="105"/>
      <c r="QH522" s="105"/>
      <c r="QI522" s="104"/>
      <c r="QJ522" s="104"/>
      <c r="QK522" s="104"/>
      <c r="QL522" s="104"/>
      <c r="QM522" s="104"/>
      <c r="QN522" s="104"/>
      <c r="QO522" s="104"/>
      <c r="QP522" s="104"/>
      <c r="QQ522" s="104"/>
      <c r="QR522" s="104"/>
      <c r="QS522" s="104"/>
      <c r="QT522" s="104"/>
      <c r="QU522" s="104"/>
      <c r="QV522" s="104"/>
      <c r="QW522" s="105"/>
      <c r="QX522" s="105"/>
      <c r="QY522" s="104"/>
      <c r="QZ522" s="104"/>
      <c r="RA522" s="104"/>
      <c r="RB522" s="104"/>
      <c r="RC522" s="104"/>
      <c r="RD522" s="104"/>
      <c r="RE522" s="104"/>
      <c r="RF522" s="104"/>
      <c r="RG522" s="104"/>
      <c r="RH522" s="104"/>
      <c r="RI522" s="104"/>
      <c r="RJ522" s="104"/>
      <c r="RK522" s="104"/>
      <c r="RL522" s="104"/>
      <c r="RM522" s="105"/>
      <c r="RN522" s="105"/>
      <c r="RO522" s="104"/>
      <c r="RP522" s="104"/>
      <c r="RQ522" s="104"/>
      <c r="RR522" s="104"/>
      <c r="RS522" s="104"/>
      <c r="RT522" s="104"/>
      <c r="RU522" s="104"/>
      <c r="RV522" s="104"/>
      <c r="RW522" s="104"/>
      <c r="RX522" s="104"/>
      <c r="RY522" s="104"/>
      <c r="RZ522" s="104"/>
      <c r="SA522" s="104"/>
      <c r="SB522" s="104"/>
      <c r="SC522" s="105"/>
      <c r="SD522" s="105"/>
      <c r="SE522" s="104"/>
      <c r="SF522" s="104"/>
      <c r="SG522" s="104"/>
      <c r="SH522" s="104"/>
      <c r="SI522" s="104"/>
      <c r="SJ522" s="104"/>
      <c r="SK522" s="104"/>
      <c r="SL522" s="104"/>
      <c r="SM522" s="104"/>
      <c r="SN522" s="104"/>
      <c r="SO522" s="104"/>
      <c r="SP522" s="104"/>
      <c r="SQ522" s="104"/>
      <c r="SR522" s="104"/>
      <c r="SS522" s="105"/>
      <c r="ST522" s="105"/>
      <c r="SU522" s="104"/>
      <c r="SV522" s="104"/>
      <c r="SW522" s="104"/>
      <c r="SX522" s="104"/>
      <c r="SY522" s="104"/>
      <c r="SZ522" s="104"/>
      <c r="TA522" s="104"/>
      <c r="TB522" s="104"/>
      <c r="TC522" s="104"/>
      <c r="TD522" s="104"/>
      <c r="TE522" s="104"/>
      <c r="TF522" s="104"/>
      <c r="TG522" s="104"/>
      <c r="TH522" s="104"/>
      <c r="TI522" s="105"/>
      <c r="TJ522" s="105"/>
      <c r="TK522" s="104"/>
      <c r="TL522" s="104"/>
      <c r="TM522" s="104"/>
      <c r="TN522" s="104"/>
      <c r="TO522" s="104"/>
      <c r="TP522" s="104"/>
      <c r="TQ522" s="104"/>
      <c r="TR522" s="104"/>
      <c r="TS522" s="104"/>
      <c r="TT522" s="104"/>
      <c r="TU522" s="104"/>
      <c r="TV522" s="104"/>
      <c r="TW522" s="104"/>
      <c r="TX522" s="104"/>
      <c r="TY522" s="105"/>
      <c r="TZ522" s="105"/>
      <c r="UA522" s="104"/>
      <c r="UB522" s="104"/>
      <c r="UC522" s="104"/>
      <c r="UD522" s="104"/>
      <c r="UE522" s="104"/>
      <c r="UF522" s="104"/>
      <c r="UG522" s="104"/>
      <c r="UH522" s="104"/>
      <c r="UI522" s="104"/>
      <c r="UJ522" s="104"/>
      <c r="UK522" s="104"/>
      <c r="UL522" s="104"/>
      <c r="UM522" s="104"/>
      <c r="UN522" s="104"/>
      <c r="UO522" s="105"/>
      <c r="UP522" s="105"/>
      <c r="UQ522" s="104"/>
      <c r="UR522" s="104"/>
      <c r="US522" s="104"/>
      <c r="UT522" s="104"/>
      <c r="UU522" s="104"/>
      <c r="UV522" s="104"/>
      <c r="UW522" s="104"/>
      <c r="UX522" s="104"/>
      <c r="UY522" s="104"/>
      <c r="UZ522" s="104"/>
      <c r="VA522" s="104"/>
      <c r="VB522" s="104"/>
      <c r="VC522" s="104"/>
      <c r="VD522" s="104"/>
      <c r="VE522" s="105"/>
      <c r="VF522" s="105"/>
      <c r="VG522" s="104"/>
      <c r="VH522" s="104"/>
      <c r="VI522" s="104"/>
      <c r="VJ522" s="104"/>
      <c r="VK522" s="104"/>
      <c r="VL522" s="104"/>
      <c r="VM522" s="104"/>
      <c r="VN522" s="104"/>
      <c r="VO522" s="104"/>
      <c r="VP522" s="104"/>
      <c r="VQ522" s="104"/>
      <c r="VR522" s="104"/>
      <c r="VS522" s="104"/>
      <c r="VT522" s="104"/>
      <c r="VU522" s="105"/>
      <c r="VV522" s="105"/>
      <c r="VW522" s="104"/>
      <c r="VX522" s="104"/>
      <c r="VY522" s="104"/>
      <c r="VZ522" s="104"/>
      <c r="WA522" s="104"/>
      <c r="WB522" s="104"/>
      <c r="WC522" s="104"/>
      <c r="WD522" s="104"/>
      <c r="WE522" s="104"/>
      <c r="WF522" s="104"/>
      <c r="WG522" s="104"/>
      <c r="WH522" s="104"/>
      <c r="WI522" s="104"/>
      <c r="WJ522" s="104"/>
      <c r="WK522" s="105"/>
      <c r="WL522" s="105"/>
      <c r="WM522" s="105"/>
      <c r="WN522" s="104"/>
      <c r="WO522" s="104"/>
      <c r="WP522" s="104"/>
      <c r="WQ522" s="104"/>
      <c r="WR522" s="104"/>
      <c r="WS522" s="104"/>
      <c r="WT522" s="104"/>
      <c r="WU522" s="104"/>
      <c r="WV522" s="104"/>
      <c r="WW522" s="104"/>
      <c r="WX522" s="104"/>
      <c r="WY522" s="104"/>
      <c r="WZ522" s="104"/>
      <c r="XA522" s="104"/>
      <c r="XB522" s="196"/>
      <c r="XC522" s="196"/>
      <c r="XD522" s="105"/>
      <c r="XE522" s="104"/>
      <c r="XF522" s="104"/>
      <c r="XG522" s="105"/>
      <c r="XH522" s="104"/>
      <c r="XI522" s="104"/>
      <c r="XJ522" s="105"/>
      <c r="XK522" s="104"/>
      <c r="XL522" s="104"/>
      <c r="XM522" s="104"/>
      <c r="XN522" s="104"/>
      <c r="XO522" s="104"/>
      <c r="XP522" s="104"/>
      <c r="XQ522" s="104"/>
      <c r="XR522" s="196"/>
      <c r="XS522" s="105"/>
      <c r="XT522" s="104"/>
      <c r="XU522" s="104"/>
      <c r="XV522" s="104"/>
      <c r="XW522" s="104"/>
      <c r="XX522" s="104"/>
      <c r="XY522" s="104"/>
      <c r="XZ522" s="104"/>
      <c r="YA522" s="196"/>
      <c r="YB522" s="104"/>
      <c r="YC522" s="104"/>
      <c r="YD522" s="104"/>
      <c r="YE522" s="104"/>
      <c r="YF522" s="104"/>
      <c r="YG522" s="104"/>
      <c r="YH522" s="104"/>
      <c r="YI522" s="104"/>
      <c r="YJ522" s="104"/>
      <c r="YK522" s="104"/>
      <c r="YL522" s="104"/>
      <c r="YM522" s="104"/>
      <c r="YN522" s="104"/>
      <c r="YO522" s="104"/>
      <c r="YP522" s="104"/>
      <c r="YQ522" s="104"/>
      <c r="YR522" s="104"/>
      <c r="YS522" s="104"/>
      <c r="YT522" s="104"/>
      <c r="YU522" s="104"/>
      <c r="YV522" s="104"/>
      <c r="YW522" s="104"/>
      <c r="YX522" s="104"/>
      <c r="YY522" s="104"/>
      <c r="YZ522" s="104"/>
      <c r="ZA522" s="104"/>
      <c r="ZB522" s="104"/>
      <c r="ZC522" s="104"/>
      <c r="ZD522" s="104"/>
      <c r="ZE522" s="104"/>
      <c r="ZF522" s="104"/>
      <c r="ZG522" s="104"/>
      <c r="ZH522" s="104"/>
      <c r="ZI522" s="104"/>
      <c r="ZJ522" s="104"/>
      <c r="ZK522" s="104"/>
      <c r="ZL522" s="104"/>
      <c r="ZM522" s="104"/>
      <c r="ZN522" s="104"/>
      <c r="ZO522" s="104"/>
      <c r="ZP522" s="104"/>
      <c r="ZQ522" s="104"/>
      <c r="ZR522" s="104"/>
      <c r="ZS522" s="104"/>
      <c r="ZT522" s="104"/>
      <c r="ZU522" s="104"/>
      <c r="ZV522" s="104"/>
      <c r="ZW522" s="104"/>
      <c r="ZX522" s="104"/>
      <c r="ZY522" s="104"/>
      <c r="ZZ522" s="104"/>
      <c r="AAA522" s="104"/>
      <c r="AAB522" s="104"/>
      <c r="AAC522" s="104"/>
      <c r="AAD522" s="104"/>
      <c r="AAE522" s="104"/>
      <c r="AAF522" s="104"/>
      <c r="AAG522" s="104"/>
      <c r="AAH522" s="104"/>
      <c r="AAI522" s="104"/>
      <c r="AAJ522" s="104"/>
      <c r="AAK522" s="104"/>
      <c r="AAL522" s="104"/>
      <c r="AAM522" s="104"/>
      <c r="AAN522" s="104"/>
      <c r="AAO522" s="104"/>
      <c r="AAP522" s="104"/>
      <c r="AAQ522" s="104"/>
      <c r="AAR522" s="104"/>
      <c r="AAS522" s="104"/>
      <c r="AAT522" s="104"/>
      <c r="AAU522" s="104"/>
      <c r="AAV522" s="104"/>
      <c r="AAW522" s="104"/>
      <c r="AAX522" s="104"/>
      <c r="AAY522" s="104"/>
      <c r="AAZ522" s="104"/>
      <c r="ABA522" s="104"/>
      <c r="ABB522" s="104"/>
      <c r="ABC522" s="104"/>
      <c r="ABD522" s="104"/>
      <c r="ABE522" s="104"/>
      <c r="ABF522" s="104"/>
      <c r="ABG522" s="104"/>
      <c r="ABH522" s="104"/>
      <c r="ABI522" s="104"/>
      <c r="ABJ522" s="104"/>
      <c r="ABK522" s="104"/>
      <c r="ABL522" s="104"/>
      <c r="ABM522" s="104"/>
      <c r="ABN522" s="104"/>
      <c r="ABO522" s="104"/>
      <c r="ABP522" s="104"/>
      <c r="ABQ522" s="104"/>
      <c r="ABR522" s="104"/>
      <c r="ABS522" s="104"/>
      <c r="ABT522" s="104"/>
      <c r="ABU522" s="104"/>
      <c r="ABV522" s="104"/>
      <c r="ABW522" s="104"/>
      <c r="ABX522" s="104"/>
      <c r="ABY522" s="104"/>
      <c r="ABZ522" s="104"/>
      <c r="ACA522" s="104"/>
      <c r="ACB522" s="104"/>
      <c r="ACC522" s="104"/>
      <c r="ACD522" s="104"/>
      <c r="ACE522" s="104"/>
      <c r="ACF522" s="104"/>
      <c r="ACG522" s="104"/>
      <c r="ACH522" s="104"/>
      <c r="ACI522" s="104"/>
      <c r="ACJ522" s="104"/>
      <c r="ACK522" s="104"/>
      <c r="ACL522" s="104"/>
      <c r="ACM522" s="104"/>
      <c r="ACN522" s="104"/>
      <c r="ACO522" s="104"/>
      <c r="ACP522" s="104"/>
      <c r="ACQ522" s="104"/>
      <c r="ACR522" s="104"/>
      <c r="ACS522" s="104"/>
      <c r="ACT522" s="104"/>
      <c r="ACU522" s="104"/>
      <c r="ACV522" s="104"/>
      <c r="ACW522" s="104"/>
      <c r="ACX522" s="104"/>
      <c r="ACY522" s="104"/>
      <c r="ACZ522" s="104"/>
      <c r="ADA522" s="104"/>
      <c r="ADB522" s="104"/>
      <c r="ADC522" s="104"/>
      <c r="ADD522" s="104"/>
      <c r="ADE522" s="104"/>
      <c r="ADF522" s="104"/>
      <c r="ADG522" s="104"/>
      <c r="ADH522" s="104"/>
      <c r="ADI522" s="104"/>
      <c r="ADJ522" s="104"/>
      <c r="ADK522" s="104"/>
      <c r="ADL522" s="104"/>
      <c r="ADM522" s="104"/>
      <c r="ADN522" s="104"/>
      <c r="ADO522" s="104"/>
      <c r="ADP522" s="104"/>
      <c r="ADQ522" s="104"/>
      <c r="ADR522" s="104"/>
      <c r="ADS522" s="104"/>
      <c r="ADT522" s="104"/>
      <c r="ADU522" s="104"/>
      <c r="ADV522" s="104"/>
      <c r="ADW522" s="104"/>
      <c r="ADX522" s="104"/>
      <c r="ADY522" s="104"/>
      <c r="ADZ522" s="104"/>
      <c r="AEA522" s="104"/>
      <c r="AEB522" s="104"/>
      <c r="AEC522" s="104"/>
      <c r="AED522" s="104"/>
      <c r="AEE522" s="104"/>
      <c r="AEF522" s="104"/>
      <c r="AEG522" s="104"/>
      <c r="AEH522" s="104"/>
      <c r="AEI522" s="104"/>
      <c r="AEJ522" s="104"/>
      <c r="AEK522" s="104"/>
      <c r="AEL522" s="104"/>
      <c r="AEM522" s="104"/>
      <c r="AEN522" s="104"/>
      <c r="AEO522" s="104"/>
      <c r="AEP522" s="104"/>
      <c r="AEQ522" s="104"/>
      <c r="AER522" s="104"/>
      <c r="AES522" s="104"/>
      <c r="AET522" s="104"/>
      <c r="AEU522" s="104"/>
      <c r="AEV522" s="104"/>
      <c r="AEW522" s="104"/>
      <c r="AEX522" s="104"/>
      <c r="AEY522" s="104"/>
      <c r="AEZ522" s="104"/>
      <c r="AFA522" s="104"/>
      <c r="AFB522" s="104"/>
      <c r="AFC522" s="104"/>
      <c r="AFD522" s="104"/>
      <c r="AFE522" s="104"/>
      <c r="AFF522" s="104"/>
      <c r="AFG522" s="104"/>
      <c r="AFH522" s="104"/>
      <c r="AFI522" s="104"/>
      <c r="AFJ522" s="104"/>
      <c r="AFK522" s="104"/>
      <c r="AFL522" s="104"/>
      <c r="AFM522" s="104"/>
      <c r="AFN522" s="104"/>
      <c r="AFO522" s="104"/>
      <c r="AFP522" s="104"/>
      <c r="AFQ522" s="104"/>
      <c r="AFR522" s="104"/>
      <c r="AFS522" s="104"/>
      <c r="AFT522" s="104"/>
      <c r="AFU522" s="104"/>
      <c r="AFV522" s="104"/>
      <c r="AFW522" s="104"/>
      <c r="AFX522" s="104"/>
      <c r="AFY522" s="104"/>
      <c r="AFZ522" s="104"/>
      <c r="AGA522" s="104"/>
      <c r="AGB522" s="104"/>
      <c r="AGC522" s="104"/>
      <c r="AGD522" s="104"/>
      <c r="AGE522" s="104"/>
      <c r="AGF522" s="104"/>
      <c r="AGG522" s="104"/>
      <c r="AGH522" s="104"/>
      <c r="AGI522" s="104"/>
      <c r="AGJ522" s="104"/>
      <c r="AGK522" s="104"/>
      <c r="AGL522" s="104"/>
      <c r="AGM522" s="104"/>
      <c r="AGN522" s="104"/>
      <c r="AGO522" s="104"/>
      <c r="AGP522" s="104"/>
      <c r="AGQ522" s="104"/>
      <c r="AGR522" s="104"/>
      <c r="AGS522" s="104"/>
      <c r="AGT522" s="104"/>
      <c r="AGU522" s="104"/>
      <c r="AGV522" s="104"/>
      <c r="AGW522" s="104"/>
      <c r="AGX522" s="104"/>
      <c r="AGY522" s="104"/>
      <c r="AGZ522" s="104"/>
      <c r="AHA522" s="104"/>
      <c r="AHB522" s="104"/>
      <c r="AHC522" s="104"/>
      <c r="AHD522" s="104"/>
      <c r="AHE522" s="104"/>
      <c r="AHF522" s="104"/>
      <c r="AHG522" s="104"/>
      <c r="AHH522" s="104"/>
      <c r="AHI522" s="104"/>
      <c r="AHJ522" s="104"/>
      <c r="AHK522" s="104"/>
      <c r="AHL522" s="104"/>
      <c r="AHM522" s="104"/>
      <c r="AHN522" s="104"/>
      <c r="AHO522" s="104"/>
      <c r="AHP522" s="104"/>
      <c r="AHQ522" s="104"/>
      <c r="AHR522" s="104"/>
      <c r="AHS522" s="104"/>
      <c r="AHT522" s="104"/>
      <c r="AHU522" s="104"/>
      <c r="AHV522" s="104"/>
      <c r="AHW522" s="104"/>
      <c r="AHX522" s="104"/>
      <c r="AHY522" s="104"/>
      <c r="AHZ522" s="104"/>
      <c r="AIA522" s="104"/>
      <c r="AIB522" s="104"/>
      <c r="AIC522" s="104"/>
      <c r="AID522" s="104"/>
      <c r="AIE522" s="104"/>
      <c r="AIF522" s="104"/>
      <c r="AIG522" s="104"/>
      <c r="AIH522" s="104"/>
      <c r="AII522" s="104"/>
      <c r="AIJ522" s="104"/>
      <c r="AIK522" s="104"/>
      <c r="AIL522" s="104"/>
      <c r="AIM522" s="104"/>
      <c r="AIN522" s="104"/>
      <c r="AIO522" s="104"/>
      <c r="AIP522" s="104"/>
      <c r="AIQ522" s="104"/>
      <c r="AIR522" s="104"/>
      <c r="AIS522" s="104"/>
      <c r="AIT522" s="104"/>
      <c r="AIU522" s="104"/>
      <c r="AIV522" s="104"/>
      <c r="AIW522" s="104"/>
      <c r="AIX522" s="104"/>
      <c r="AIY522" s="104"/>
      <c r="AIZ522" s="104"/>
      <c r="AJA522" s="104"/>
      <c r="AJB522" s="104"/>
      <c r="AJC522" s="104"/>
      <c r="AJD522" s="104"/>
      <c r="AJE522" s="104"/>
      <c r="AJF522" s="104"/>
      <c r="AJG522" s="104"/>
      <c r="AJH522" s="104"/>
      <c r="AJI522" s="104"/>
      <c r="AJJ522" s="104"/>
      <c r="AJK522" s="104"/>
      <c r="AJL522" s="104"/>
      <c r="AJM522" s="104"/>
      <c r="AJN522" s="104"/>
      <c r="AJO522" s="104"/>
      <c r="AJP522" s="104"/>
      <c r="AJQ522" s="104"/>
      <c r="AJR522" s="104"/>
      <c r="AJS522" s="104"/>
      <c r="AJT522" s="104"/>
      <c r="AJU522" s="104"/>
      <c r="AJV522" s="104"/>
      <c r="AJW522" s="104"/>
      <c r="AJX522" s="104"/>
      <c r="AJY522" s="104"/>
      <c r="AJZ522" s="104"/>
      <c r="AKA522" s="104"/>
      <c r="AKB522" s="104"/>
      <c r="AKC522" s="104"/>
      <c r="AKD522" s="104"/>
      <c r="AKE522" s="104"/>
      <c r="AKF522" s="104"/>
      <c r="AKG522" s="104"/>
      <c r="AKH522" s="104"/>
      <c r="AKI522" s="104"/>
      <c r="AKJ522" s="104"/>
      <c r="AKK522" s="104"/>
      <c r="AKL522" s="104"/>
      <c r="AKM522" s="104"/>
      <c r="AKN522" s="104"/>
      <c r="AKO522" s="104"/>
      <c r="AKP522" s="104"/>
      <c r="AKQ522" s="104"/>
      <c r="AKR522" s="104"/>
      <c r="AKS522" s="104"/>
      <c r="AKT522" s="104"/>
      <c r="AKU522" s="104"/>
      <c r="AKV522" s="104"/>
      <c r="AKW522" s="104"/>
      <c r="AKX522" s="104"/>
      <c r="AKY522" s="104"/>
      <c r="AKZ522" s="104"/>
      <c r="ALA522" s="104"/>
      <c r="ALB522" s="104"/>
      <c r="ALC522" s="104"/>
      <c r="ALD522" s="104"/>
      <c r="ALE522" s="104"/>
      <c r="ALF522" s="104"/>
      <c r="ALG522" s="104"/>
      <c r="ALH522" s="104"/>
      <c r="ALI522" s="104"/>
      <c r="ALJ522" s="104"/>
      <c r="ALK522" s="104"/>
      <c r="ALL522" s="104"/>
      <c r="ALM522" s="104"/>
      <c r="ALN522" s="104"/>
      <c r="ALO522" s="104"/>
      <c r="ALP522" s="104"/>
      <c r="ALQ522" s="104"/>
      <c r="ALR522" s="104"/>
      <c r="ALS522" s="104"/>
      <c r="ALT522" s="104"/>
      <c r="ALU522" s="104"/>
      <c r="ALV522" s="104"/>
      <c r="ALW522" s="104"/>
      <c r="ALX522" s="104"/>
      <c r="ALY522" s="104"/>
      <c r="ALZ522" s="104"/>
      <c r="AMA522" s="104"/>
      <c r="AMB522" s="104"/>
      <c r="AMC522" s="104"/>
    </row>
    <row r="523" spans="1:1017">
      <c r="Q523" s="91"/>
      <c r="R523" s="91"/>
      <c r="S523" s="199"/>
      <c r="T523" s="199"/>
      <c r="U523" s="199"/>
      <c r="V523" s="199"/>
      <c r="Y523" s="199"/>
      <c r="Z523" s="199"/>
      <c r="AA523" s="199"/>
      <c r="AB523" s="199"/>
      <c r="AC523" s="199"/>
      <c r="AD523" s="199"/>
      <c r="AE523" s="199"/>
      <c r="AF523" s="199"/>
      <c r="AG523" s="198"/>
      <c r="AH523" s="198"/>
      <c r="AW523" s="92"/>
      <c r="AX523" s="92"/>
      <c r="BM523" s="92"/>
      <c r="BN523" s="92"/>
      <c r="CC523" s="92"/>
      <c r="CD523" s="92"/>
      <c r="CS523" s="92"/>
      <c r="CT523" s="92"/>
      <c r="DI523" s="92"/>
      <c r="DJ523" s="92"/>
      <c r="DY523" s="92"/>
      <c r="DZ523" s="92"/>
      <c r="EO523" s="92"/>
      <c r="EP523" s="92"/>
      <c r="FE523" s="92"/>
      <c r="FF523" s="92"/>
      <c r="FU523" s="92"/>
      <c r="FV523" s="92"/>
      <c r="GK523" s="92"/>
      <c r="GL523" s="92"/>
      <c r="HA523" s="92"/>
      <c r="HB523" s="92"/>
      <c r="HQ523" s="92"/>
      <c r="HR523" s="92"/>
      <c r="IG523" s="92"/>
      <c r="IH523" s="92"/>
      <c r="IW523" s="92"/>
      <c r="IX523" s="92"/>
      <c r="JM523" s="92"/>
      <c r="JN523" s="92"/>
      <c r="KC523" s="92"/>
      <c r="KD523" s="92"/>
      <c r="KS523" s="92"/>
      <c r="KT523" s="92"/>
      <c r="LI523" s="92"/>
      <c r="LJ523" s="92"/>
      <c r="LY523" s="92"/>
      <c r="LZ523" s="92"/>
      <c r="MO523" s="92"/>
      <c r="MP523" s="92"/>
      <c r="NE523" s="92"/>
      <c r="NF523" s="92"/>
      <c r="NU523" s="92"/>
      <c r="NV523" s="92"/>
      <c r="OK523" s="92"/>
      <c r="OL523" s="92"/>
      <c r="PA523" s="92"/>
      <c r="PB523" s="92"/>
      <c r="PQ523" s="92"/>
      <c r="PR523" s="92"/>
      <c r="QG523" s="92"/>
      <c r="QH523" s="92"/>
      <c r="QW523" s="92"/>
      <c r="QX523" s="92"/>
      <c r="RM523" s="92"/>
      <c r="RN523" s="92"/>
      <c r="SC523" s="92"/>
      <c r="SD523" s="92"/>
      <c r="SS523" s="92"/>
      <c r="ST523" s="92"/>
      <c r="TI523" s="92"/>
      <c r="TJ523" s="92"/>
      <c r="TY523" s="92"/>
      <c r="TZ523" s="92"/>
      <c r="UO523" s="92"/>
      <c r="UP523" s="92"/>
      <c r="VE523" s="92"/>
      <c r="VF523" s="92"/>
      <c r="VU523" s="92"/>
      <c r="VV523" s="92"/>
      <c r="WK523" s="92"/>
      <c r="WL523" s="92"/>
    </row>
  </sheetData>
  <autoFilter ref="A12:AMC469" xr:uid="{00000000-0009-0000-0000-000002000000}"/>
  <dataConsolidate>
    <dataRefs count="1">
      <dataRef ref="C5:C63" sheet="P &amp; NP"/>
    </dataRefs>
  </dataConsolidate>
  <mergeCells count="1571">
    <mergeCell ref="XT1:YA1"/>
    <mergeCell ref="XT478:YA478"/>
    <mergeCell ref="XK1:XR1"/>
    <mergeCell ref="XK478:XR478"/>
    <mergeCell ref="SE479:SF479"/>
    <mergeCell ref="SU479:SV479"/>
    <mergeCell ref="RG479:RH479"/>
    <mergeCell ref="RI479:RJ479"/>
    <mergeCell ref="RM479:RN479"/>
    <mergeCell ref="RO479:RP479"/>
    <mergeCell ref="RQ479:RR479"/>
    <mergeCell ref="RU479:RV479"/>
    <mergeCell ref="RW479:RX479"/>
    <mergeCell ref="RY479:RZ479"/>
    <mergeCell ref="SI479:SJ479"/>
    <mergeCell ref="SY479:SZ479"/>
    <mergeCell ref="TO479:TP479"/>
    <mergeCell ref="UE479:UF479"/>
    <mergeCell ref="UU479:UV479"/>
    <mergeCell ref="VK479:VL479"/>
    <mergeCell ref="SA479:SB479"/>
    <mergeCell ref="RS479:RT479"/>
    <mergeCell ref="UM479:UN479"/>
    <mergeCell ref="UO479:UP479"/>
    <mergeCell ref="UQ479:UR479"/>
    <mergeCell ref="US479:UT479"/>
    <mergeCell ref="UW479:UX479"/>
    <mergeCell ref="UY479:UZ479"/>
    <mergeCell ref="VA479:VB479"/>
    <mergeCell ref="VC479:VD479"/>
    <mergeCell ref="VE479:VF479"/>
    <mergeCell ref="UG479:UH479"/>
    <mergeCell ref="G480:H480"/>
    <mergeCell ref="W480:X480"/>
    <mergeCell ref="AM480:AN480"/>
    <mergeCell ref="BC480:BD480"/>
    <mergeCell ref="BS480:BT480"/>
    <mergeCell ref="CI480:CJ480"/>
    <mergeCell ref="CY480:CZ480"/>
    <mergeCell ref="DO480:DP480"/>
    <mergeCell ref="EE480:EF480"/>
    <mergeCell ref="EU480:EV480"/>
    <mergeCell ref="FK480:FL480"/>
    <mergeCell ref="GA480:GB480"/>
    <mergeCell ref="GQ480:GR480"/>
    <mergeCell ref="HG480:HH480"/>
    <mergeCell ref="HW480:HX480"/>
    <mergeCell ref="IM480:IN480"/>
    <mergeCell ref="JC480:JD480"/>
    <mergeCell ref="IC480:ID480"/>
    <mergeCell ref="IE480:IF480"/>
    <mergeCell ref="IQ480:IR480"/>
    <mergeCell ref="IS480:IT480"/>
    <mergeCell ref="IU480:IV480"/>
    <mergeCell ref="IW480:IX480"/>
    <mergeCell ref="IY480:IZ480"/>
    <mergeCell ref="JA480:JB480"/>
    <mergeCell ref="HI480:HJ480"/>
    <mergeCell ref="HK480:HL480"/>
    <mergeCell ref="HM480:HN480"/>
    <mergeCell ref="HO480:HP480"/>
    <mergeCell ref="HS480:HT480"/>
    <mergeCell ref="FM480:FN480"/>
    <mergeCell ref="FO480:FP480"/>
    <mergeCell ref="KA479:KB479"/>
    <mergeCell ref="KC479:KD479"/>
    <mergeCell ref="IQ479:IR479"/>
    <mergeCell ref="IS479:IT479"/>
    <mergeCell ref="IU479:IV479"/>
    <mergeCell ref="IW479:IX479"/>
    <mergeCell ref="IY479:IZ479"/>
    <mergeCell ref="JA479:JB479"/>
    <mergeCell ref="JE479:JF479"/>
    <mergeCell ref="JG479:JH479"/>
    <mergeCell ref="JI479:JJ479"/>
    <mergeCell ref="HU479:HV479"/>
    <mergeCell ref="HY479:HZ479"/>
    <mergeCell ref="IA479:IB479"/>
    <mergeCell ref="IC479:ID479"/>
    <mergeCell ref="IE479:IF479"/>
    <mergeCell ref="IG479:IH479"/>
    <mergeCell ref="II479:IJ479"/>
    <mergeCell ref="IK479:IL479"/>
    <mergeCell ref="IO479:IP479"/>
    <mergeCell ref="HW479:HX479"/>
    <mergeCell ref="IM479:IN479"/>
    <mergeCell ref="JC479:JD479"/>
    <mergeCell ref="JS479:JT479"/>
    <mergeCell ref="JK479:JL479"/>
    <mergeCell ref="JM479:JN479"/>
    <mergeCell ref="JW479:JX479"/>
    <mergeCell ref="JY479:JZ479"/>
    <mergeCell ref="JO479:JP479"/>
    <mergeCell ref="JQ479:JR479"/>
    <mergeCell ref="JU479:JV479"/>
    <mergeCell ref="LY479:LZ479"/>
    <mergeCell ref="MA479:MB479"/>
    <mergeCell ref="MC479:MD479"/>
    <mergeCell ref="MG479:MH479"/>
    <mergeCell ref="MI479:MJ479"/>
    <mergeCell ref="MK479:ML479"/>
    <mergeCell ref="MM479:MN479"/>
    <mergeCell ref="LA479:LB479"/>
    <mergeCell ref="LC479:LD479"/>
    <mergeCell ref="LE479:LF479"/>
    <mergeCell ref="LG479:LH479"/>
    <mergeCell ref="LI479:LJ479"/>
    <mergeCell ref="LK479:LL479"/>
    <mergeCell ref="LM479:LN479"/>
    <mergeCell ref="KY479:KZ479"/>
    <mergeCell ref="LO479:LP479"/>
    <mergeCell ref="ME479:MF479"/>
    <mergeCell ref="QM4:QN4"/>
    <mergeCell ref="RS4:RT4"/>
    <mergeCell ref="SI4:SJ4"/>
    <mergeCell ref="SY4:SZ4"/>
    <mergeCell ref="TO4:TP4"/>
    <mergeCell ref="UE4:UF4"/>
    <mergeCell ref="VE4:VF4"/>
    <mergeCell ref="SQ4:SR4"/>
    <mergeCell ref="SU4:SV4"/>
    <mergeCell ref="SW4:SX4"/>
    <mergeCell ref="TA4:TB4"/>
    <mergeCell ref="LQ479:LR479"/>
    <mergeCell ref="LS479:LT479"/>
    <mergeCell ref="KI479:KJ479"/>
    <mergeCell ref="TS479:TT479"/>
    <mergeCell ref="TU479:TV479"/>
    <mergeCell ref="TW479:TX479"/>
    <mergeCell ref="TY479:TZ479"/>
    <mergeCell ref="UA479:UB479"/>
    <mergeCell ref="UC479:UD479"/>
    <mergeCell ref="SW479:SX479"/>
    <mergeCell ref="TA479:TB479"/>
    <mergeCell ref="TC479:TD479"/>
    <mergeCell ref="TE479:TF479"/>
    <mergeCell ref="TG479:TH479"/>
    <mergeCell ref="TI479:TJ479"/>
    <mergeCell ref="TK479:TL479"/>
    <mergeCell ref="TM479:TN479"/>
    <mergeCell ref="TQ479:TR479"/>
    <mergeCell ref="SG479:SH479"/>
    <mergeCell ref="SK479:SL479"/>
    <mergeCell ref="SM479:SN479"/>
    <mergeCell ref="GO4:GP4"/>
    <mergeCell ref="GS4:GT4"/>
    <mergeCell ref="GU4:GV4"/>
    <mergeCell ref="GW4:GX4"/>
    <mergeCell ref="GK4:GL4"/>
    <mergeCell ref="HA4:HB4"/>
    <mergeCell ref="IE4:IF4"/>
    <mergeCell ref="II4:IJ4"/>
    <mergeCell ref="IK4:IL4"/>
    <mergeCell ref="IO4:IP4"/>
    <mergeCell ref="IQ4:IR4"/>
    <mergeCell ref="UU4:UV4"/>
    <mergeCell ref="VK4:VL4"/>
    <mergeCell ref="RK4:RL4"/>
    <mergeCell ref="KI4:KJ4"/>
    <mergeCell ref="KY4:KZ4"/>
    <mergeCell ref="LO4:LP4"/>
    <mergeCell ref="ME4:MF4"/>
    <mergeCell ref="MU4:MV4"/>
    <mergeCell ref="NK4:NL4"/>
    <mergeCell ref="OA4:OB4"/>
    <mergeCell ref="OQ4:OR4"/>
    <mergeCell ref="PG4:PH4"/>
    <mergeCell ref="VC4:VD4"/>
    <mergeCell ref="VG4:VH4"/>
    <mergeCell ref="VI4:VJ4"/>
    <mergeCell ref="UQ4:UR4"/>
    <mergeCell ref="US4:UT4"/>
    <mergeCell ref="UW4:UX4"/>
    <mergeCell ref="UY4:UZ4"/>
    <mergeCell ref="VA4:VB4"/>
    <mergeCell ref="PW4:PX4"/>
    <mergeCell ref="G4:H4"/>
    <mergeCell ref="W4:X4"/>
    <mergeCell ref="AM4:AN4"/>
    <mergeCell ref="BC4:BD4"/>
    <mergeCell ref="BS4:BT4"/>
    <mergeCell ref="CI4:CJ4"/>
    <mergeCell ref="CY4:CZ4"/>
    <mergeCell ref="DO4:DP4"/>
    <mergeCell ref="EE4:EF4"/>
    <mergeCell ref="AE4:AF4"/>
    <mergeCell ref="AI4:AJ4"/>
    <mergeCell ref="AK4:AL4"/>
    <mergeCell ref="AO4:AP4"/>
    <mergeCell ref="AQ4:AR4"/>
    <mergeCell ref="AS4:AT4"/>
    <mergeCell ref="AG4:AH4"/>
    <mergeCell ref="AW4:AX4"/>
    <mergeCell ref="CA4:CB4"/>
    <mergeCell ref="BK4:BL4"/>
    <mergeCell ref="BO4:BP4"/>
    <mergeCell ref="BQ4:BR4"/>
    <mergeCell ref="BU4:BV4"/>
    <mergeCell ref="AU4:AV4"/>
    <mergeCell ref="DS4:DT4"/>
    <mergeCell ref="DU4:DV4"/>
    <mergeCell ref="EC4:ED4"/>
    <mergeCell ref="XE1:XF1"/>
    <mergeCell ref="XH1:XI1"/>
    <mergeCell ref="ALX479:ALY479"/>
    <mergeCell ref="ALZ479:AMA479"/>
    <mergeCell ref="AMB479:AMC479"/>
    <mergeCell ref="ALF479:ALG479"/>
    <mergeCell ref="ALH479:ALI479"/>
    <mergeCell ref="ALJ479:ALK479"/>
    <mergeCell ref="ALL479:ALM479"/>
    <mergeCell ref="ALN479:ALO479"/>
    <mergeCell ref="ALP479:ALQ479"/>
    <mergeCell ref="ALR479:ALS479"/>
    <mergeCell ref="ALT479:ALU479"/>
    <mergeCell ref="ALV479:ALW479"/>
    <mergeCell ref="AKN479:AKO479"/>
    <mergeCell ref="AKP479:AKQ479"/>
    <mergeCell ref="AKR479:AKS479"/>
    <mergeCell ref="AKT479:AKU479"/>
    <mergeCell ref="AKV479:AKW479"/>
    <mergeCell ref="AKX479:AKY479"/>
    <mergeCell ref="AKZ479:ALA479"/>
    <mergeCell ref="ALB479:ALC479"/>
    <mergeCell ref="ALD479:ALE479"/>
    <mergeCell ref="AJV479:AJW479"/>
    <mergeCell ref="AJX479:AJY479"/>
    <mergeCell ref="AJZ479:AKA479"/>
    <mergeCell ref="AKB479:AKC479"/>
    <mergeCell ref="AKD479:AKE479"/>
    <mergeCell ref="AKF479:AKG479"/>
    <mergeCell ref="AKH479:AKI479"/>
    <mergeCell ref="AKJ479:AKK479"/>
    <mergeCell ref="AKL479:AKM479"/>
    <mergeCell ref="AJD479:AJE479"/>
    <mergeCell ref="AJF479:AJG479"/>
    <mergeCell ref="AJH479:AJI479"/>
    <mergeCell ref="AJJ479:AJK479"/>
    <mergeCell ref="AJL479:AJM479"/>
    <mergeCell ref="AJN479:AJO479"/>
    <mergeCell ref="AJP479:AJQ479"/>
    <mergeCell ref="AJR479:AJS479"/>
    <mergeCell ref="AJT479:AJU479"/>
    <mergeCell ref="AIL479:AIM479"/>
    <mergeCell ref="AIN479:AIO479"/>
    <mergeCell ref="AIP479:AIQ479"/>
    <mergeCell ref="AIR479:AIS479"/>
    <mergeCell ref="AIT479:AIU479"/>
    <mergeCell ref="AIV479:AIW479"/>
    <mergeCell ref="AIX479:AIY479"/>
    <mergeCell ref="AIZ479:AJA479"/>
    <mergeCell ref="AJB479:AJC479"/>
    <mergeCell ref="AHT479:AHU479"/>
    <mergeCell ref="AHV479:AHW479"/>
    <mergeCell ref="AHX479:AHY479"/>
    <mergeCell ref="AHZ479:AIA479"/>
    <mergeCell ref="AIB479:AIC479"/>
    <mergeCell ref="AID479:AIE479"/>
    <mergeCell ref="AIF479:AIG479"/>
    <mergeCell ref="AIH479:AII479"/>
    <mergeCell ref="AIJ479:AIK479"/>
    <mergeCell ref="AHB479:AHC479"/>
    <mergeCell ref="AHD479:AHE479"/>
    <mergeCell ref="AHF479:AHG479"/>
    <mergeCell ref="AHH479:AHI479"/>
    <mergeCell ref="AHJ479:AHK479"/>
    <mergeCell ref="AHL479:AHM479"/>
    <mergeCell ref="AHN479:AHO479"/>
    <mergeCell ref="AHP479:AHQ479"/>
    <mergeCell ref="AHR479:AHS479"/>
    <mergeCell ref="AGJ479:AGK479"/>
    <mergeCell ref="AGL479:AGM479"/>
    <mergeCell ref="AGN479:AGO479"/>
    <mergeCell ref="AGP479:AGQ479"/>
    <mergeCell ref="AGR479:AGS479"/>
    <mergeCell ref="AGT479:AGU479"/>
    <mergeCell ref="AGV479:AGW479"/>
    <mergeCell ref="AGX479:AGY479"/>
    <mergeCell ref="AGZ479:AHA479"/>
    <mergeCell ref="AFR479:AFS479"/>
    <mergeCell ref="AFT479:AFU479"/>
    <mergeCell ref="AFV479:AFW479"/>
    <mergeCell ref="AFX479:AFY479"/>
    <mergeCell ref="AFZ479:AGA479"/>
    <mergeCell ref="AGB479:AGC479"/>
    <mergeCell ref="AGD479:AGE479"/>
    <mergeCell ref="AGF479:AGG479"/>
    <mergeCell ref="AGH479:AGI479"/>
    <mergeCell ref="AEZ479:AFA479"/>
    <mergeCell ref="AFB479:AFC479"/>
    <mergeCell ref="AFD479:AFE479"/>
    <mergeCell ref="AFF479:AFG479"/>
    <mergeCell ref="AFH479:AFI479"/>
    <mergeCell ref="AFJ479:AFK479"/>
    <mergeCell ref="AFL479:AFM479"/>
    <mergeCell ref="AFN479:AFO479"/>
    <mergeCell ref="AFP479:AFQ479"/>
    <mergeCell ref="AEH479:AEI479"/>
    <mergeCell ref="AEJ479:AEK479"/>
    <mergeCell ref="AEL479:AEM479"/>
    <mergeCell ref="AEN479:AEO479"/>
    <mergeCell ref="AEP479:AEQ479"/>
    <mergeCell ref="AER479:AES479"/>
    <mergeCell ref="AET479:AEU479"/>
    <mergeCell ref="AEV479:AEW479"/>
    <mergeCell ref="AEX479:AEY479"/>
    <mergeCell ref="ADP479:ADQ479"/>
    <mergeCell ref="ADR479:ADS479"/>
    <mergeCell ref="ADT479:ADU479"/>
    <mergeCell ref="ADV479:ADW479"/>
    <mergeCell ref="ADX479:ADY479"/>
    <mergeCell ref="ADZ479:AEA479"/>
    <mergeCell ref="AEB479:AEC479"/>
    <mergeCell ref="AED479:AEE479"/>
    <mergeCell ref="AEF479:AEG479"/>
    <mergeCell ref="ACX479:ACY479"/>
    <mergeCell ref="ACZ479:ADA479"/>
    <mergeCell ref="ADB479:ADC479"/>
    <mergeCell ref="ADD479:ADE479"/>
    <mergeCell ref="ADF479:ADG479"/>
    <mergeCell ref="ADH479:ADI479"/>
    <mergeCell ref="ADJ479:ADK479"/>
    <mergeCell ref="ADL479:ADM479"/>
    <mergeCell ref="ADN479:ADO479"/>
    <mergeCell ref="ACF479:ACG479"/>
    <mergeCell ref="ACH479:ACI479"/>
    <mergeCell ref="ACJ479:ACK479"/>
    <mergeCell ref="ACL479:ACM479"/>
    <mergeCell ref="ACN479:ACO479"/>
    <mergeCell ref="ACP479:ACQ479"/>
    <mergeCell ref="ACR479:ACS479"/>
    <mergeCell ref="ACT479:ACU479"/>
    <mergeCell ref="ACV479:ACW479"/>
    <mergeCell ref="ABN479:ABO479"/>
    <mergeCell ref="ABP479:ABQ479"/>
    <mergeCell ref="ABR479:ABS479"/>
    <mergeCell ref="ABT479:ABU479"/>
    <mergeCell ref="ABV479:ABW479"/>
    <mergeCell ref="ABX479:ABY479"/>
    <mergeCell ref="ABZ479:ACA479"/>
    <mergeCell ref="ACB479:ACC479"/>
    <mergeCell ref="ACD479:ACE479"/>
    <mergeCell ref="AAV479:AAW479"/>
    <mergeCell ref="AAX479:AAY479"/>
    <mergeCell ref="AAZ479:ABA479"/>
    <mergeCell ref="ABB479:ABC479"/>
    <mergeCell ref="ABD479:ABE479"/>
    <mergeCell ref="ABF479:ABG479"/>
    <mergeCell ref="ABH479:ABI479"/>
    <mergeCell ref="ABJ479:ABK479"/>
    <mergeCell ref="ABL479:ABM479"/>
    <mergeCell ref="AAD479:AAE479"/>
    <mergeCell ref="AAF479:AAG479"/>
    <mergeCell ref="AAH479:AAI479"/>
    <mergeCell ref="AAJ479:AAK479"/>
    <mergeCell ref="AAL479:AAM479"/>
    <mergeCell ref="AAN479:AAO479"/>
    <mergeCell ref="AAP479:AAQ479"/>
    <mergeCell ref="AAR479:AAS479"/>
    <mergeCell ref="AAT479:AAU479"/>
    <mergeCell ref="ZL479:ZM479"/>
    <mergeCell ref="ZN479:ZO479"/>
    <mergeCell ref="ZP479:ZQ479"/>
    <mergeCell ref="ZR479:ZS479"/>
    <mergeCell ref="ZT479:ZU479"/>
    <mergeCell ref="ZV479:ZW479"/>
    <mergeCell ref="ZX479:ZY479"/>
    <mergeCell ref="ZZ479:AAA479"/>
    <mergeCell ref="AAB479:AAC479"/>
    <mergeCell ref="YT479:YU479"/>
    <mergeCell ref="YV479:YW479"/>
    <mergeCell ref="YX479:YY479"/>
    <mergeCell ref="YZ479:ZA479"/>
    <mergeCell ref="ZB479:ZC479"/>
    <mergeCell ref="ZD479:ZE479"/>
    <mergeCell ref="ZF479:ZG479"/>
    <mergeCell ref="ZH479:ZI479"/>
    <mergeCell ref="ZJ479:ZK479"/>
    <mergeCell ref="YB479:YC479"/>
    <mergeCell ref="YD479:YE479"/>
    <mergeCell ref="YF479:YG479"/>
    <mergeCell ref="YH479:YI479"/>
    <mergeCell ref="YJ479:YK479"/>
    <mergeCell ref="YL479:YM479"/>
    <mergeCell ref="YN479:YO479"/>
    <mergeCell ref="YP479:YQ479"/>
    <mergeCell ref="YR479:YS479"/>
    <mergeCell ref="WX479:WY479"/>
    <mergeCell ref="WZ479:XA479"/>
    <mergeCell ref="XB479:XC479"/>
    <mergeCell ref="WC479:WD479"/>
    <mergeCell ref="WE479:WF479"/>
    <mergeCell ref="WG479:WH479"/>
    <mergeCell ref="WI479:WJ479"/>
    <mergeCell ref="WK479:WL479"/>
    <mergeCell ref="WN479:WO479"/>
    <mergeCell ref="WP479:WQ479"/>
    <mergeCell ref="WT479:WU479"/>
    <mergeCell ref="WV479:WW479"/>
    <mergeCell ref="VY479:VZ479"/>
    <mergeCell ref="WR479:WS479"/>
    <mergeCell ref="WA479:WB479"/>
    <mergeCell ref="QO479:QP479"/>
    <mergeCell ref="QQ479:QR479"/>
    <mergeCell ref="QS479:QT479"/>
    <mergeCell ref="QU479:QV479"/>
    <mergeCell ref="QW479:QX479"/>
    <mergeCell ref="QY479:QZ479"/>
    <mergeCell ref="RA479:RB479"/>
    <mergeCell ref="RC479:RD479"/>
    <mergeCell ref="RE479:RF479"/>
    <mergeCell ref="RK479:RL479"/>
    <mergeCell ref="SO479:SP479"/>
    <mergeCell ref="SQ479:SR479"/>
    <mergeCell ref="SS479:ST479"/>
    <mergeCell ref="UI479:UJ479"/>
    <mergeCell ref="UK479:UL479"/>
    <mergeCell ref="SC479:SD479"/>
    <mergeCell ref="OW479:OX479"/>
    <mergeCell ref="PS479:PT479"/>
    <mergeCell ref="PU479:PV479"/>
    <mergeCell ref="PY479:PZ479"/>
    <mergeCell ref="QA479:QB479"/>
    <mergeCell ref="QC479:QD479"/>
    <mergeCell ref="QE479:QF479"/>
    <mergeCell ref="QG479:QH479"/>
    <mergeCell ref="QI479:QJ479"/>
    <mergeCell ref="VG479:VH479"/>
    <mergeCell ref="VI479:VJ479"/>
    <mergeCell ref="VM479:VN479"/>
    <mergeCell ref="VO479:VP479"/>
    <mergeCell ref="VQ479:VR479"/>
    <mergeCell ref="VS479:VT479"/>
    <mergeCell ref="VU479:VV479"/>
    <mergeCell ref="VW479:VX479"/>
    <mergeCell ref="NY479:NZ479"/>
    <mergeCell ref="OC479:OD479"/>
    <mergeCell ref="NK479:NL479"/>
    <mergeCell ref="OA479:OB479"/>
    <mergeCell ref="OQ479:OR479"/>
    <mergeCell ref="MW479:MX479"/>
    <mergeCell ref="MY479:MZ479"/>
    <mergeCell ref="NA479:NB479"/>
    <mergeCell ref="NC479:ND479"/>
    <mergeCell ref="NE479:NF479"/>
    <mergeCell ref="NG479:NH479"/>
    <mergeCell ref="QK479:QL479"/>
    <mergeCell ref="QM479:QN479"/>
    <mergeCell ref="OY479:OZ479"/>
    <mergeCell ref="PA479:PB479"/>
    <mergeCell ref="PC479:PD479"/>
    <mergeCell ref="PE479:PF479"/>
    <mergeCell ref="PI479:PJ479"/>
    <mergeCell ref="PK479:PL479"/>
    <mergeCell ref="PM479:PN479"/>
    <mergeCell ref="PO479:PP479"/>
    <mergeCell ref="PQ479:PR479"/>
    <mergeCell ref="PW479:PX479"/>
    <mergeCell ref="PG479:PH479"/>
    <mergeCell ref="OE479:OF479"/>
    <mergeCell ref="OG479:OH479"/>
    <mergeCell ref="OI479:OJ479"/>
    <mergeCell ref="OK479:OL479"/>
    <mergeCell ref="OM479:ON479"/>
    <mergeCell ref="OO479:OP479"/>
    <mergeCell ref="OS479:OT479"/>
    <mergeCell ref="OU479:OV479"/>
    <mergeCell ref="GI479:GJ479"/>
    <mergeCell ref="GK479:GL479"/>
    <mergeCell ref="GM479:GN479"/>
    <mergeCell ref="GO479:GP479"/>
    <mergeCell ref="GS479:GT479"/>
    <mergeCell ref="GU479:GV479"/>
    <mergeCell ref="GW479:GX479"/>
    <mergeCell ref="GY479:GZ479"/>
    <mergeCell ref="GQ479:GR479"/>
    <mergeCell ref="HG479:HH479"/>
    <mergeCell ref="NI479:NJ479"/>
    <mergeCell ref="NM479:NN479"/>
    <mergeCell ref="NO479:NP479"/>
    <mergeCell ref="NQ479:NR479"/>
    <mergeCell ref="NS479:NT479"/>
    <mergeCell ref="NU479:NV479"/>
    <mergeCell ref="NW479:NX479"/>
    <mergeCell ref="MU479:MV479"/>
    <mergeCell ref="MO479:MP479"/>
    <mergeCell ref="MQ479:MR479"/>
    <mergeCell ref="MS479:MT479"/>
    <mergeCell ref="KE479:KF479"/>
    <mergeCell ref="KG479:KH479"/>
    <mergeCell ref="KK479:KL479"/>
    <mergeCell ref="KM479:KN479"/>
    <mergeCell ref="KO479:KP479"/>
    <mergeCell ref="KQ479:KR479"/>
    <mergeCell ref="KS479:KT479"/>
    <mergeCell ref="KU479:KV479"/>
    <mergeCell ref="KW479:KX479"/>
    <mergeCell ref="LU479:LV479"/>
    <mergeCell ref="LW479:LX479"/>
    <mergeCell ref="FS479:FT479"/>
    <mergeCell ref="FU479:FV479"/>
    <mergeCell ref="FW479:FX479"/>
    <mergeCell ref="FY479:FZ479"/>
    <mergeCell ref="GC479:GD479"/>
    <mergeCell ref="GE479:GF479"/>
    <mergeCell ref="EQ479:ER479"/>
    <mergeCell ref="ES479:ET479"/>
    <mergeCell ref="EW479:EX479"/>
    <mergeCell ref="EY479:EZ479"/>
    <mergeCell ref="FA479:FB479"/>
    <mergeCell ref="FC479:FD479"/>
    <mergeCell ref="FE479:FF479"/>
    <mergeCell ref="FG479:FH479"/>
    <mergeCell ref="FI479:FJ479"/>
    <mergeCell ref="FK479:FL479"/>
    <mergeCell ref="GA479:GB479"/>
    <mergeCell ref="HA479:HB479"/>
    <mergeCell ref="HC479:HD479"/>
    <mergeCell ref="HE479:HF479"/>
    <mergeCell ref="HI479:HJ479"/>
    <mergeCell ref="HK479:HL479"/>
    <mergeCell ref="HM479:HN479"/>
    <mergeCell ref="HO479:HP479"/>
    <mergeCell ref="HQ479:HR479"/>
    <mergeCell ref="HS479:HT479"/>
    <mergeCell ref="GG479:GH479"/>
    <mergeCell ref="EA479:EB479"/>
    <mergeCell ref="BS479:BT479"/>
    <mergeCell ref="EC479:ED479"/>
    <mergeCell ref="EG479:EH479"/>
    <mergeCell ref="EI479:EJ479"/>
    <mergeCell ref="EK479:EL479"/>
    <mergeCell ref="EM479:EN479"/>
    <mergeCell ref="EO479:EP479"/>
    <mergeCell ref="EE479:EF479"/>
    <mergeCell ref="EU479:EV479"/>
    <mergeCell ref="DC479:DD479"/>
    <mergeCell ref="DE479:DF479"/>
    <mergeCell ref="DG479:DH479"/>
    <mergeCell ref="DI479:DJ479"/>
    <mergeCell ref="DK479:DL479"/>
    <mergeCell ref="DM479:DN479"/>
    <mergeCell ref="DQ479:DR479"/>
    <mergeCell ref="DS479:DT479"/>
    <mergeCell ref="DU479:DV479"/>
    <mergeCell ref="FM479:FN479"/>
    <mergeCell ref="FO479:FP479"/>
    <mergeCell ref="FQ479:FR479"/>
    <mergeCell ref="Y479:Z479"/>
    <mergeCell ref="AA479:AB479"/>
    <mergeCell ref="AC479:AD479"/>
    <mergeCell ref="AE479:AF479"/>
    <mergeCell ref="AG479:AH479"/>
    <mergeCell ref="AI479:AJ479"/>
    <mergeCell ref="AK479:AL479"/>
    <mergeCell ref="AO479:AP479"/>
    <mergeCell ref="AQ479:AR479"/>
    <mergeCell ref="CG479:CH479"/>
    <mergeCell ref="CK479:CL479"/>
    <mergeCell ref="CM479:CN479"/>
    <mergeCell ref="CO479:CP479"/>
    <mergeCell ref="CQ479:CR479"/>
    <mergeCell ref="CS479:CT479"/>
    <mergeCell ref="CU479:CV479"/>
    <mergeCell ref="C479:D479"/>
    <mergeCell ref="E479:F479"/>
    <mergeCell ref="I479:J479"/>
    <mergeCell ref="K479:L479"/>
    <mergeCell ref="M479:N479"/>
    <mergeCell ref="O479:P479"/>
    <mergeCell ref="Q479:R479"/>
    <mergeCell ref="S479:T479"/>
    <mergeCell ref="U479:V479"/>
    <mergeCell ref="G479:H479"/>
    <mergeCell ref="W479:X479"/>
    <mergeCell ref="AM479:AN479"/>
    <mergeCell ref="CI479:CJ479"/>
    <mergeCell ref="BM479:BN479"/>
    <mergeCell ref="BO479:BP479"/>
    <mergeCell ref="BQ479:BR479"/>
    <mergeCell ref="RO478:SD478"/>
    <mergeCell ref="SE478:ST478"/>
    <mergeCell ref="SU478:TJ478"/>
    <mergeCell ref="TK478:TZ478"/>
    <mergeCell ref="UA478:UP478"/>
    <mergeCell ref="IY478:JN478"/>
    <mergeCell ref="JO478:KD478"/>
    <mergeCell ref="KE478:KT478"/>
    <mergeCell ref="KU478:LJ478"/>
    <mergeCell ref="LK478:LZ478"/>
    <mergeCell ref="AS479:AT479"/>
    <mergeCell ref="AU479:AV479"/>
    <mergeCell ref="AW479:AX479"/>
    <mergeCell ref="AY479:AZ479"/>
    <mergeCell ref="BA479:BB479"/>
    <mergeCell ref="BE479:BF479"/>
    <mergeCell ref="BG479:BH479"/>
    <mergeCell ref="BI479:BJ479"/>
    <mergeCell ref="BK479:BL479"/>
    <mergeCell ref="BC479:BD479"/>
    <mergeCell ref="CW479:CX479"/>
    <mergeCell ref="DA479:DB479"/>
    <mergeCell ref="CY479:CZ479"/>
    <mergeCell ref="DO479:DP479"/>
    <mergeCell ref="BU479:BV479"/>
    <mergeCell ref="BW479:BX479"/>
    <mergeCell ref="BY479:BZ479"/>
    <mergeCell ref="CA479:CB479"/>
    <mergeCell ref="CC479:CD479"/>
    <mergeCell ref="CE479:CF479"/>
    <mergeCell ref="DW479:DX479"/>
    <mergeCell ref="DY479:DZ479"/>
    <mergeCell ref="UQ478:VF478"/>
    <mergeCell ref="VG478:VV478"/>
    <mergeCell ref="VW478:WL478"/>
    <mergeCell ref="WN478:XC478"/>
    <mergeCell ref="MA478:MP478"/>
    <mergeCell ref="MQ478:NF478"/>
    <mergeCell ref="NG478:NV478"/>
    <mergeCell ref="NW478:OL478"/>
    <mergeCell ref="OM478:PB478"/>
    <mergeCell ref="PC478:PR478"/>
    <mergeCell ref="PS478:QH478"/>
    <mergeCell ref="QI478:QX478"/>
    <mergeCell ref="QY478:RN478"/>
    <mergeCell ref="ALX480:ALY480"/>
    <mergeCell ref="ALZ480:AMA480"/>
    <mergeCell ref="AMB480:AMC480"/>
    <mergeCell ref="C478:R478"/>
    <mergeCell ref="S478:AH478"/>
    <mergeCell ref="AI478:AX478"/>
    <mergeCell ref="AY478:BN478"/>
    <mergeCell ref="BO478:CD478"/>
    <mergeCell ref="CE478:CT478"/>
    <mergeCell ref="CU478:DJ478"/>
    <mergeCell ref="DK478:DZ478"/>
    <mergeCell ref="EA478:EP478"/>
    <mergeCell ref="EQ478:FF478"/>
    <mergeCell ref="FG478:FV478"/>
    <mergeCell ref="FW478:GL478"/>
    <mergeCell ref="GM478:HB478"/>
    <mergeCell ref="HC478:HR478"/>
    <mergeCell ref="HS478:IH478"/>
    <mergeCell ref="II478:IX478"/>
    <mergeCell ref="ALF480:ALG480"/>
    <mergeCell ref="ALH480:ALI480"/>
    <mergeCell ref="ALJ480:ALK480"/>
    <mergeCell ref="ALL480:ALM480"/>
    <mergeCell ref="ALN480:ALO480"/>
    <mergeCell ref="ALP480:ALQ480"/>
    <mergeCell ref="ALR480:ALS480"/>
    <mergeCell ref="ALT480:ALU480"/>
    <mergeCell ref="ALV480:ALW480"/>
    <mergeCell ref="AKN480:AKO480"/>
    <mergeCell ref="AKP480:AKQ480"/>
    <mergeCell ref="AKR480:AKS480"/>
    <mergeCell ref="AKT480:AKU480"/>
    <mergeCell ref="AKV480:AKW480"/>
    <mergeCell ref="AKX480:AKY480"/>
    <mergeCell ref="AKZ480:ALA480"/>
    <mergeCell ref="ALB480:ALC480"/>
    <mergeCell ref="ALD480:ALE480"/>
    <mergeCell ref="AJV480:AJW480"/>
    <mergeCell ref="AJX480:AJY480"/>
    <mergeCell ref="AJZ480:AKA480"/>
    <mergeCell ref="AKB480:AKC480"/>
    <mergeCell ref="AKD480:AKE480"/>
    <mergeCell ref="AKF480:AKG480"/>
    <mergeCell ref="AKH480:AKI480"/>
    <mergeCell ref="AKJ480:AKK480"/>
    <mergeCell ref="AKL480:AKM480"/>
    <mergeCell ref="AJD480:AJE480"/>
    <mergeCell ref="AJF480:AJG480"/>
    <mergeCell ref="AJH480:AJI480"/>
    <mergeCell ref="AJJ480:AJK480"/>
    <mergeCell ref="AJL480:AJM480"/>
    <mergeCell ref="AJN480:AJO480"/>
    <mergeCell ref="AJP480:AJQ480"/>
    <mergeCell ref="AJR480:AJS480"/>
    <mergeCell ref="AJT480:AJU480"/>
    <mergeCell ref="AIL480:AIM480"/>
    <mergeCell ref="AIN480:AIO480"/>
    <mergeCell ref="AIP480:AIQ480"/>
    <mergeCell ref="AIR480:AIS480"/>
    <mergeCell ref="AIT480:AIU480"/>
    <mergeCell ref="AIV480:AIW480"/>
    <mergeCell ref="AIX480:AIY480"/>
    <mergeCell ref="AIZ480:AJA480"/>
    <mergeCell ref="AJB480:AJC480"/>
    <mergeCell ref="AHT480:AHU480"/>
    <mergeCell ref="AHV480:AHW480"/>
    <mergeCell ref="AHX480:AHY480"/>
    <mergeCell ref="AHZ480:AIA480"/>
    <mergeCell ref="AIB480:AIC480"/>
    <mergeCell ref="AID480:AIE480"/>
    <mergeCell ref="AIF480:AIG480"/>
    <mergeCell ref="AIH480:AII480"/>
    <mergeCell ref="AIJ480:AIK480"/>
    <mergeCell ref="AHB480:AHC480"/>
    <mergeCell ref="AHD480:AHE480"/>
    <mergeCell ref="AHF480:AHG480"/>
    <mergeCell ref="AHH480:AHI480"/>
    <mergeCell ref="AHJ480:AHK480"/>
    <mergeCell ref="AHL480:AHM480"/>
    <mergeCell ref="AHN480:AHO480"/>
    <mergeCell ref="AHP480:AHQ480"/>
    <mergeCell ref="AHR480:AHS480"/>
    <mergeCell ref="AGJ480:AGK480"/>
    <mergeCell ref="AGL480:AGM480"/>
    <mergeCell ref="AGN480:AGO480"/>
    <mergeCell ref="AGP480:AGQ480"/>
    <mergeCell ref="AGR480:AGS480"/>
    <mergeCell ref="AGT480:AGU480"/>
    <mergeCell ref="AGV480:AGW480"/>
    <mergeCell ref="AGX480:AGY480"/>
    <mergeCell ref="AGZ480:AHA480"/>
    <mergeCell ref="AFR480:AFS480"/>
    <mergeCell ref="AFT480:AFU480"/>
    <mergeCell ref="AFV480:AFW480"/>
    <mergeCell ref="AFX480:AFY480"/>
    <mergeCell ref="AFZ480:AGA480"/>
    <mergeCell ref="AGB480:AGC480"/>
    <mergeCell ref="AGD480:AGE480"/>
    <mergeCell ref="AGF480:AGG480"/>
    <mergeCell ref="AGH480:AGI480"/>
    <mergeCell ref="AEZ480:AFA480"/>
    <mergeCell ref="AFB480:AFC480"/>
    <mergeCell ref="AFD480:AFE480"/>
    <mergeCell ref="AFF480:AFG480"/>
    <mergeCell ref="AFH480:AFI480"/>
    <mergeCell ref="AFJ480:AFK480"/>
    <mergeCell ref="AFL480:AFM480"/>
    <mergeCell ref="AFN480:AFO480"/>
    <mergeCell ref="AFP480:AFQ480"/>
    <mergeCell ref="AEH480:AEI480"/>
    <mergeCell ref="AEJ480:AEK480"/>
    <mergeCell ref="AEL480:AEM480"/>
    <mergeCell ref="AEN480:AEO480"/>
    <mergeCell ref="AEP480:AEQ480"/>
    <mergeCell ref="AER480:AES480"/>
    <mergeCell ref="AET480:AEU480"/>
    <mergeCell ref="AEV480:AEW480"/>
    <mergeCell ref="AEX480:AEY480"/>
    <mergeCell ref="ADP480:ADQ480"/>
    <mergeCell ref="ADR480:ADS480"/>
    <mergeCell ref="ADT480:ADU480"/>
    <mergeCell ref="ADV480:ADW480"/>
    <mergeCell ref="ADX480:ADY480"/>
    <mergeCell ref="ADZ480:AEA480"/>
    <mergeCell ref="AEB480:AEC480"/>
    <mergeCell ref="AED480:AEE480"/>
    <mergeCell ref="AEF480:AEG480"/>
    <mergeCell ref="ACX480:ACY480"/>
    <mergeCell ref="ACZ480:ADA480"/>
    <mergeCell ref="ADB480:ADC480"/>
    <mergeCell ref="ADD480:ADE480"/>
    <mergeCell ref="ADF480:ADG480"/>
    <mergeCell ref="ADH480:ADI480"/>
    <mergeCell ref="ADJ480:ADK480"/>
    <mergeCell ref="ADL480:ADM480"/>
    <mergeCell ref="ADN480:ADO480"/>
    <mergeCell ref="ACF480:ACG480"/>
    <mergeCell ref="ACH480:ACI480"/>
    <mergeCell ref="ACJ480:ACK480"/>
    <mergeCell ref="ACL480:ACM480"/>
    <mergeCell ref="ACN480:ACO480"/>
    <mergeCell ref="ACP480:ACQ480"/>
    <mergeCell ref="ACR480:ACS480"/>
    <mergeCell ref="ACT480:ACU480"/>
    <mergeCell ref="ACV480:ACW480"/>
    <mergeCell ref="ABN480:ABO480"/>
    <mergeCell ref="ABP480:ABQ480"/>
    <mergeCell ref="ABR480:ABS480"/>
    <mergeCell ref="ABT480:ABU480"/>
    <mergeCell ref="ABV480:ABW480"/>
    <mergeCell ref="ABX480:ABY480"/>
    <mergeCell ref="ABZ480:ACA480"/>
    <mergeCell ref="ACB480:ACC480"/>
    <mergeCell ref="ACD480:ACE480"/>
    <mergeCell ref="AAV480:AAW480"/>
    <mergeCell ref="AAX480:AAY480"/>
    <mergeCell ref="AAZ480:ABA480"/>
    <mergeCell ref="ABB480:ABC480"/>
    <mergeCell ref="ABD480:ABE480"/>
    <mergeCell ref="ABF480:ABG480"/>
    <mergeCell ref="ABH480:ABI480"/>
    <mergeCell ref="ABJ480:ABK480"/>
    <mergeCell ref="ABL480:ABM480"/>
    <mergeCell ref="AAD480:AAE480"/>
    <mergeCell ref="AAF480:AAG480"/>
    <mergeCell ref="AAH480:AAI480"/>
    <mergeCell ref="AAJ480:AAK480"/>
    <mergeCell ref="AAL480:AAM480"/>
    <mergeCell ref="AAN480:AAO480"/>
    <mergeCell ref="AAP480:AAQ480"/>
    <mergeCell ref="AAR480:AAS480"/>
    <mergeCell ref="AAT480:AAU480"/>
    <mergeCell ref="ZL480:ZM480"/>
    <mergeCell ref="ZN480:ZO480"/>
    <mergeCell ref="ZP480:ZQ480"/>
    <mergeCell ref="ZR480:ZS480"/>
    <mergeCell ref="ZT480:ZU480"/>
    <mergeCell ref="ZV480:ZW480"/>
    <mergeCell ref="ZX480:ZY480"/>
    <mergeCell ref="ZZ480:AAA480"/>
    <mergeCell ref="AAB480:AAC480"/>
    <mergeCell ref="YT480:YU480"/>
    <mergeCell ref="YV480:YW480"/>
    <mergeCell ref="YX480:YY480"/>
    <mergeCell ref="YZ480:ZA480"/>
    <mergeCell ref="ZB480:ZC480"/>
    <mergeCell ref="ZD480:ZE480"/>
    <mergeCell ref="ZF480:ZG480"/>
    <mergeCell ref="ZH480:ZI480"/>
    <mergeCell ref="ZJ480:ZK480"/>
    <mergeCell ref="YB480:YC480"/>
    <mergeCell ref="YD480:YE480"/>
    <mergeCell ref="YF480:YG480"/>
    <mergeCell ref="YH480:YI480"/>
    <mergeCell ref="YJ480:YK480"/>
    <mergeCell ref="YL480:YM480"/>
    <mergeCell ref="YN480:YO480"/>
    <mergeCell ref="YP480:YQ480"/>
    <mergeCell ref="YR480:YS480"/>
    <mergeCell ref="WX480:WY480"/>
    <mergeCell ref="WZ480:XA480"/>
    <mergeCell ref="XB480:XC480"/>
    <mergeCell ref="WC480:WD480"/>
    <mergeCell ref="WE480:WF480"/>
    <mergeCell ref="WG480:WH480"/>
    <mergeCell ref="WI480:WJ480"/>
    <mergeCell ref="WK480:WL480"/>
    <mergeCell ref="WN480:WO480"/>
    <mergeCell ref="WP480:WQ480"/>
    <mergeCell ref="WT480:WU480"/>
    <mergeCell ref="WV480:WW480"/>
    <mergeCell ref="VG480:VH480"/>
    <mergeCell ref="VI480:VJ480"/>
    <mergeCell ref="VM480:VN480"/>
    <mergeCell ref="VO480:VP480"/>
    <mergeCell ref="VQ480:VR480"/>
    <mergeCell ref="VS480:VT480"/>
    <mergeCell ref="VU480:VV480"/>
    <mergeCell ref="VW480:VX480"/>
    <mergeCell ref="VY480:VZ480"/>
    <mergeCell ref="WR480:WS480"/>
    <mergeCell ref="UM480:UN480"/>
    <mergeCell ref="UO480:UP480"/>
    <mergeCell ref="UQ480:UR480"/>
    <mergeCell ref="US480:UT480"/>
    <mergeCell ref="UW480:UX480"/>
    <mergeCell ref="UY480:UZ480"/>
    <mergeCell ref="VA480:VB480"/>
    <mergeCell ref="VC480:VD480"/>
    <mergeCell ref="VE480:VF480"/>
    <mergeCell ref="UU480:UV480"/>
    <mergeCell ref="VK480:VL480"/>
    <mergeCell ref="WA480:WB480"/>
    <mergeCell ref="TS480:TT480"/>
    <mergeCell ref="TU480:TV480"/>
    <mergeCell ref="TW480:TX480"/>
    <mergeCell ref="TY480:TZ480"/>
    <mergeCell ref="UA480:UB480"/>
    <mergeCell ref="UC480:UD480"/>
    <mergeCell ref="UG480:UH480"/>
    <mergeCell ref="UI480:UJ480"/>
    <mergeCell ref="UK480:UL480"/>
    <mergeCell ref="SW480:SX480"/>
    <mergeCell ref="TA480:TB480"/>
    <mergeCell ref="TC480:TD480"/>
    <mergeCell ref="TE480:TF480"/>
    <mergeCell ref="TG480:TH480"/>
    <mergeCell ref="TI480:TJ480"/>
    <mergeCell ref="TK480:TL480"/>
    <mergeCell ref="TM480:TN480"/>
    <mergeCell ref="TQ480:TR480"/>
    <mergeCell ref="SY480:SZ480"/>
    <mergeCell ref="TO480:TP480"/>
    <mergeCell ref="UE480:UF480"/>
    <mergeCell ref="SC480:SD480"/>
    <mergeCell ref="SE480:SF480"/>
    <mergeCell ref="SG480:SH480"/>
    <mergeCell ref="SK480:SL480"/>
    <mergeCell ref="SM480:SN480"/>
    <mergeCell ref="SO480:SP480"/>
    <mergeCell ref="SQ480:SR480"/>
    <mergeCell ref="SS480:ST480"/>
    <mergeCell ref="SU480:SV480"/>
    <mergeCell ref="RG480:RH480"/>
    <mergeCell ref="RI480:RJ480"/>
    <mergeCell ref="RM480:RN480"/>
    <mergeCell ref="RO480:RP480"/>
    <mergeCell ref="RQ480:RR480"/>
    <mergeCell ref="RU480:RV480"/>
    <mergeCell ref="RW480:RX480"/>
    <mergeCell ref="RY480:RZ480"/>
    <mergeCell ref="SA480:SB480"/>
    <mergeCell ref="RS480:RT480"/>
    <mergeCell ref="SI480:SJ480"/>
    <mergeCell ref="QO480:QP480"/>
    <mergeCell ref="QQ480:QR480"/>
    <mergeCell ref="QS480:QT480"/>
    <mergeCell ref="QU480:QV480"/>
    <mergeCell ref="QW480:QX480"/>
    <mergeCell ref="QY480:QZ480"/>
    <mergeCell ref="RA480:RB480"/>
    <mergeCell ref="RC480:RD480"/>
    <mergeCell ref="RE480:RF480"/>
    <mergeCell ref="RK480:RL480"/>
    <mergeCell ref="PS480:PT480"/>
    <mergeCell ref="PU480:PV480"/>
    <mergeCell ref="PY480:PZ480"/>
    <mergeCell ref="QA480:QB480"/>
    <mergeCell ref="QC480:QD480"/>
    <mergeCell ref="QE480:QF480"/>
    <mergeCell ref="QG480:QH480"/>
    <mergeCell ref="QI480:QJ480"/>
    <mergeCell ref="QK480:QL480"/>
    <mergeCell ref="QM480:QN480"/>
    <mergeCell ref="OY480:OZ480"/>
    <mergeCell ref="PA480:PB480"/>
    <mergeCell ref="PC480:PD480"/>
    <mergeCell ref="PE480:PF480"/>
    <mergeCell ref="MU480:MV480"/>
    <mergeCell ref="PI480:PJ480"/>
    <mergeCell ref="PK480:PL480"/>
    <mergeCell ref="PM480:PN480"/>
    <mergeCell ref="PO480:PP480"/>
    <mergeCell ref="PQ480:PR480"/>
    <mergeCell ref="PG480:PH480"/>
    <mergeCell ref="PW480:PX480"/>
    <mergeCell ref="OE480:OF480"/>
    <mergeCell ref="OG480:OH480"/>
    <mergeCell ref="OI480:OJ480"/>
    <mergeCell ref="OK480:OL480"/>
    <mergeCell ref="OM480:ON480"/>
    <mergeCell ref="OO480:OP480"/>
    <mergeCell ref="OS480:OT480"/>
    <mergeCell ref="OU480:OV480"/>
    <mergeCell ref="OW480:OX480"/>
    <mergeCell ref="NI480:NJ480"/>
    <mergeCell ref="NM480:NN480"/>
    <mergeCell ref="NO480:NP480"/>
    <mergeCell ref="NQ480:NR480"/>
    <mergeCell ref="NS480:NT480"/>
    <mergeCell ref="NU480:NV480"/>
    <mergeCell ref="NW480:NX480"/>
    <mergeCell ref="NY480:NZ480"/>
    <mergeCell ref="OC480:OD480"/>
    <mergeCell ref="NK480:NL480"/>
    <mergeCell ref="OA480:OB480"/>
    <mergeCell ref="OQ480:OR480"/>
    <mergeCell ref="MO480:MP480"/>
    <mergeCell ref="MQ480:MR480"/>
    <mergeCell ref="MS480:MT480"/>
    <mergeCell ref="MW480:MX480"/>
    <mergeCell ref="MY480:MZ480"/>
    <mergeCell ref="NA480:NB480"/>
    <mergeCell ref="NC480:ND480"/>
    <mergeCell ref="NE480:NF480"/>
    <mergeCell ref="NG480:NH480"/>
    <mergeCell ref="JW480:JX480"/>
    <mergeCell ref="JY480:JZ480"/>
    <mergeCell ref="KA480:KB480"/>
    <mergeCell ref="KC480:KD480"/>
    <mergeCell ref="LU480:LV480"/>
    <mergeCell ref="LW480:LX480"/>
    <mergeCell ref="LY480:LZ480"/>
    <mergeCell ref="MA480:MB480"/>
    <mergeCell ref="MC480:MD480"/>
    <mergeCell ref="MG480:MH480"/>
    <mergeCell ref="MI480:MJ480"/>
    <mergeCell ref="MK480:ML480"/>
    <mergeCell ref="MM480:MN480"/>
    <mergeCell ref="ME480:MF480"/>
    <mergeCell ref="LC480:LD480"/>
    <mergeCell ref="LE480:LF480"/>
    <mergeCell ref="LG480:LH480"/>
    <mergeCell ref="LI480:LJ480"/>
    <mergeCell ref="LM480:LN480"/>
    <mergeCell ref="LQ480:LR480"/>
    <mergeCell ref="LS480:LT480"/>
    <mergeCell ref="JE480:JF480"/>
    <mergeCell ref="JG480:JH480"/>
    <mergeCell ref="JI480:JJ480"/>
    <mergeCell ref="LA480:LB480"/>
    <mergeCell ref="JK480:JL480"/>
    <mergeCell ref="JM480:JN480"/>
    <mergeCell ref="JS480:JT480"/>
    <mergeCell ref="LO480:LP480"/>
    <mergeCell ref="GW480:GX480"/>
    <mergeCell ref="GY480:GZ480"/>
    <mergeCell ref="KE480:KF480"/>
    <mergeCell ref="KG480:KH480"/>
    <mergeCell ref="KK480:KL480"/>
    <mergeCell ref="KM480:KN480"/>
    <mergeCell ref="KO480:KP480"/>
    <mergeCell ref="KQ480:KR480"/>
    <mergeCell ref="KS480:KT480"/>
    <mergeCell ref="KU480:KV480"/>
    <mergeCell ref="KW480:KX480"/>
    <mergeCell ref="KI480:KJ480"/>
    <mergeCell ref="KY480:KZ480"/>
    <mergeCell ref="JO480:JP480"/>
    <mergeCell ref="JQ480:JR480"/>
    <mergeCell ref="JU480:JV480"/>
    <mergeCell ref="LK480:LL480"/>
    <mergeCell ref="IG480:IH480"/>
    <mergeCell ref="II480:IJ480"/>
    <mergeCell ref="IK480:IL480"/>
    <mergeCell ref="IO480:IP480"/>
    <mergeCell ref="HA480:HB480"/>
    <mergeCell ref="HC480:HD480"/>
    <mergeCell ref="HE480:HF480"/>
    <mergeCell ref="FQ480:FR480"/>
    <mergeCell ref="FS480:FT480"/>
    <mergeCell ref="FU480:FV480"/>
    <mergeCell ref="FW480:FX480"/>
    <mergeCell ref="FY480:FZ480"/>
    <mergeCell ref="GC480:GD480"/>
    <mergeCell ref="GE480:GF480"/>
    <mergeCell ref="HU480:HV480"/>
    <mergeCell ref="HY480:HZ480"/>
    <mergeCell ref="IA480:IB480"/>
    <mergeCell ref="FC480:FD480"/>
    <mergeCell ref="FE480:FF480"/>
    <mergeCell ref="FG480:FH480"/>
    <mergeCell ref="FI480:FJ480"/>
    <mergeCell ref="DW480:DX480"/>
    <mergeCell ref="DY480:DZ480"/>
    <mergeCell ref="EA480:EB480"/>
    <mergeCell ref="EC480:ED480"/>
    <mergeCell ref="EG480:EH480"/>
    <mergeCell ref="EI480:EJ480"/>
    <mergeCell ref="EK480:EL480"/>
    <mergeCell ref="EM480:EN480"/>
    <mergeCell ref="EO480:EP480"/>
    <mergeCell ref="GG480:GH480"/>
    <mergeCell ref="GI480:GJ480"/>
    <mergeCell ref="GK480:GL480"/>
    <mergeCell ref="GM480:GN480"/>
    <mergeCell ref="GO480:GP480"/>
    <mergeCell ref="GS480:GT480"/>
    <mergeCell ref="GU480:GV480"/>
    <mergeCell ref="HQ480:HR480"/>
    <mergeCell ref="DQ480:DR480"/>
    <mergeCell ref="DS480:DT480"/>
    <mergeCell ref="DU480:DV480"/>
    <mergeCell ref="CG480:CH480"/>
    <mergeCell ref="CK480:CL480"/>
    <mergeCell ref="CM480:CN480"/>
    <mergeCell ref="CO480:CP480"/>
    <mergeCell ref="CQ480:CR480"/>
    <mergeCell ref="CS480:CT480"/>
    <mergeCell ref="CU480:CV480"/>
    <mergeCell ref="CW480:CX480"/>
    <mergeCell ref="DA480:DB480"/>
    <mergeCell ref="EQ480:ER480"/>
    <mergeCell ref="ES480:ET480"/>
    <mergeCell ref="EW480:EX480"/>
    <mergeCell ref="EY480:EZ480"/>
    <mergeCell ref="FA480:FB480"/>
    <mergeCell ref="CC480:CD480"/>
    <mergeCell ref="CE480:CF480"/>
    <mergeCell ref="AS480:AT480"/>
    <mergeCell ref="AU480:AV480"/>
    <mergeCell ref="AW480:AX480"/>
    <mergeCell ref="AY480:AZ480"/>
    <mergeCell ref="BA480:BB480"/>
    <mergeCell ref="BE480:BF480"/>
    <mergeCell ref="BG480:BH480"/>
    <mergeCell ref="BI480:BJ480"/>
    <mergeCell ref="BK480:BL480"/>
    <mergeCell ref="DC480:DD480"/>
    <mergeCell ref="DE480:DF480"/>
    <mergeCell ref="DG480:DH480"/>
    <mergeCell ref="DI480:DJ480"/>
    <mergeCell ref="DK480:DL480"/>
    <mergeCell ref="DM480:DN480"/>
    <mergeCell ref="AKL4:AKM4"/>
    <mergeCell ref="AKN4:AKO4"/>
    <mergeCell ref="AKP4:AKQ4"/>
    <mergeCell ref="AKR4:AKS4"/>
    <mergeCell ref="AJD4:AJE4"/>
    <mergeCell ref="AJF4:AJG4"/>
    <mergeCell ref="AJH4:AJI4"/>
    <mergeCell ref="Y480:Z480"/>
    <mergeCell ref="AA480:AB480"/>
    <mergeCell ref="AC480:AD480"/>
    <mergeCell ref="AE480:AF480"/>
    <mergeCell ref="AG480:AH480"/>
    <mergeCell ref="AI480:AJ480"/>
    <mergeCell ref="AK480:AL480"/>
    <mergeCell ref="AO480:AP480"/>
    <mergeCell ref="AQ480:AR480"/>
    <mergeCell ref="C480:D480"/>
    <mergeCell ref="E480:F480"/>
    <mergeCell ref="I480:J480"/>
    <mergeCell ref="K480:L480"/>
    <mergeCell ref="M480:N480"/>
    <mergeCell ref="O480:P480"/>
    <mergeCell ref="Q480:R480"/>
    <mergeCell ref="S480:T480"/>
    <mergeCell ref="U480:V480"/>
    <mergeCell ref="BM480:BN480"/>
    <mergeCell ref="BO480:BP480"/>
    <mergeCell ref="BQ480:BR480"/>
    <mergeCell ref="BU480:BV480"/>
    <mergeCell ref="BW480:BX480"/>
    <mergeCell ref="BY480:BZ480"/>
    <mergeCell ref="CA480:CB480"/>
    <mergeCell ref="ALX4:ALY4"/>
    <mergeCell ref="ALZ4:AMA4"/>
    <mergeCell ref="AMB4:AMC4"/>
    <mergeCell ref="ALF4:ALG4"/>
    <mergeCell ref="ALH4:ALI4"/>
    <mergeCell ref="ALJ4:ALK4"/>
    <mergeCell ref="ALL4:ALM4"/>
    <mergeCell ref="ALN4:ALO4"/>
    <mergeCell ref="ALP4:ALQ4"/>
    <mergeCell ref="ALR4:ALS4"/>
    <mergeCell ref="ALT4:ALU4"/>
    <mergeCell ref="ALV4:ALW4"/>
    <mergeCell ref="AJJ4:AJK4"/>
    <mergeCell ref="AJL4:AJM4"/>
    <mergeCell ref="AJN4:AJO4"/>
    <mergeCell ref="AJP4:AJQ4"/>
    <mergeCell ref="AJR4:AJS4"/>
    <mergeCell ref="AJT4:AJU4"/>
    <mergeCell ref="AJV4:AJW4"/>
    <mergeCell ref="AJX4:AJY4"/>
    <mergeCell ref="AJZ4:AKA4"/>
    <mergeCell ref="AKT4:AKU4"/>
    <mergeCell ref="AKV4:AKW4"/>
    <mergeCell ref="AKX4:AKY4"/>
    <mergeCell ref="AKZ4:ALA4"/>
    <mergeCell ref="ALB4:ALC4"/>
    <mergeCell ref="ALD4:ALE4"/>
    <mergeCell ref="AKB4:AKC4"/>
    <mergeCell ref="AKD4:AKE4"/>
    <mergeCell ref="AKF4:AKG4"/>
    <mergeCell ref="AKH4:AKI4"/>
    <mergeCell ref="AKJ4:AKK4"/>
    <mergeCell ref="AHB4:AHC4"/>
    <mergeCell ref="AHD4:AHE4"/>
    <mergeCell ref="AHF4:AHG4"/>
    <mergeCell ref="AIX4:AIY4"/>
    <mergeCell ref="AIZ4:AJA4"/>
    <mergeCell ref="AJB4:AJC4"/>
    <mergeCell ref="AHZ4:AIA4"/>
    <mergeCell ref="AIB4:AIC4"/>
    <mergeCell ref="AID4:AIE4"/>
    <mergeCell ref="AIF4:AIG4"/>
    <mergeCell ref="AIH4:AII4"/>
    <mergeCell ref="AIJ4:AIK4"/>
    <mergeCell ref="AHH4:AHI4"/>
    <mergeCell ref="AHJ4:AHK4"/>
    <mergeCell ref="AHL4:AHM4"/>
    <mergeCell ref="AHN4:AHO4"/>
    <mergeCell ref="AHP4:AHQ4"/>
    <mergeCell ref="AHR4:AHS4"/>
    <mergeCell ref="AHT4:AHU4"/>
    <mergeCell ref="AHV4:AHW4"/>
    <mergeCell ref="AHX4:AHY4"/>
    <mergeCell ref="AIL4:AIM4"/>
    <mergeCell ref="AIN4:AIO4"/>
    <mergeCell ref="AIP4:AIQ4"/>
    <mergeCell ref="AIR4:AIS4"/>
    <mergeCell ref="AIT4:AIU4"/>
    <mergeCell ref="AIV4:AIW4"/>
    <mergeCell ref="AGP4:AGQ4"/>
    <mergeCell ref="AGR4:AGS4"/>
    <mergeCell ref="AGT4:AGU4"/>
    <mergeCell ref="AGV4:AGW4"/>
    <mergeCell ref="AGX4:AGY4"/>
    <mergeCell ref="AGZ4:AHA4"/>
    <mergeCell ref="AET4:AEU4"/>
    <mergeCell ref="AEV4:AEW4"/>
    <mergeCell ref="AEX4:AEY4"/>
    <mergeCell ref="AEZ4:AFA4"/>
    <mergeCell ref="AFB4:AFC4"/>
    <mergeCell ref="AFD4:AFE4"/>
    <mergeCell ref="AGJ4:AGK4"/>
    <mergeCell ref="AGL4:AGM4"/>
    <mergeCell ref="AGN4:AGO4"/>
    <mergeCell ref="AFR4:AFS4"/>
    <mergeCell ref="AFT4:AFU4"/>
    <mergeCell ref="AFV4:AFW4"/>
    <mergeCell ref="AFX4:AFY4"/>
    <mergeCell ref="AFZ4:AGA4"/>
    <mergeCell ref="AGB4:AGC4"/>
    <mergeCell ref="AEH4:AEI4"/>
    <mergeCell ref="AEJ4:AEK4"/>
    <mergeCell ref="AEL4:AEM4"/>
    <mergeCell ref="AGD4:AGE4"/>
    <mergeCell ref="AGF4:AGG4"/>
    <mergeCell ref="AGH4:AGI4"/>
    <mergeCell ref="AFF4:AFG4"/>
    <mergeCell ref="AFH4:AFI4"/>
    <mergeCell ref="AFJ4:AFK4"/>
    <mergeCell ref="AFL4:AFM4"/>
    <mergeCell ref="AFN4:AFO4"/>
    <mergeCell ref="AFP4:AFQ4"/>
    <mergeCell ref="AEN4:AEO4"/>
    <mergeCell ref="AEP4:AEQ4"/>
    <mergeCell ref="AER4:AES4"/>
    <mergeCell ref="ADV4:ADW4"/>
    <mergeCell ref="ADX4:ADY4"/>
    <mergeCell ref="ADZ4:AEA4"/>
    <mergeCell ref="AEB4:AEC4"/>
    <mergeCell ref="AED4:AEE4"/>
    <mergeCell ref="AEF4:AEG4"/>
    <mergeCell ref="ABZ4:ACA4"/>
    <mergeCell ref="ACB4:ACC4"/>
    <mergeCell ref="ACD4:ACE4"/>
    <mergeCell ref="ACF4:ACG4"/>
    <mergeCell ref="ACH4:ACI4"/>
    <mergeCell ref="ACJ4:ACK4"/>
    <mergeCell ref="ADP4:ADQ4"/>
    <mergeCell ref="ADR4:ADS4"/>
    <mergeCell ref="ADT4:ADU4"/>
    <mergeCell ref="ACX4:ACY4"/>
    <mergeCell ref="ACZ4:ADA4"/>
    <mergeCell ref="ADB4:ADC4"/>
    <mergeCell ref="ADD4:ADE4"/>
    <mergeCell ref="ADF4:ADG4"/>
    <mergeCell ref="ADH4:ADI4"/>
    <mergeCell ref="ABN4:ABO4"/>
    <mergeCell ref="ABP4:ABQ4"/>
    <mergeCell ref="ABR4:ABS4"/>
    <mergeCell ref="ADJ4:ADK4"/>
    <mergeCell ref="ADL4:ADM4"/>
    <mergeCell ref="ADN4:ADO4"/>
    <mergeCell ref="ACL4:ACM4"/>
    <mergeCell ref="ACN4:ACO4"/>
    <mergeCell ref="ACP4:ACQ4"/>
    <mergeCell ref="ACR4:ACS4"/>
    <mergeCell ref="ACT4:ACU4"/>
    <mergeCell ref="ACV4:ACW4"/>
    <mergeCell ref="ABT4:ABU4"/>
    <mergeCell ref="ABV4:ABW4"/>
    <mergeCell ref="ABX4:ABY4"/>
    <mergeCell ref="AAV4:AAW4"/>
    <mergeCell ref="AAX4:AAY4"/>
    <mergeCell ref="AAZ4:ABA4"/>
    <mergeCell ref="AAD4:AAE4"/>
    <mergeCell ref="AAF4:AAG4"/>
    <mergeCell ref="AAH4:AAI4"/>
    <mergeCell ref="AAJ4:AAK4"/>
    <mergeCell ref="AAL4:AAM4"/>
    <mergeCell ref="AAN4:AAO4"/>
    <mergeCell ref="ABB4:ABC4"/>
    <mergeCell ref="ABD4:ABE4"/>
    <mergeCell ref="ABF4:ABG4"/>
    <mergeCell ref="ABH4:ABI4"/>
    <mergeCell ref="ABJ4:ABK4"/>
    <mergeCell ref="ABL4:ABM4"/>
    <mergeCell ref="YL4:YM4"/>
    <mergeCell ref="YN4:YO4"/>
    <mergeCell ref="YP4:YQ4"/>
    <mergeCell ref="YR4:YS4"/>
    <mergeCell ref="AAP4:AAQ4"/>
    <mergeCell ref="AAR4:AAS4"/>
    <mergeCell ref="AAT4:AAU4"/>
    <mergeCell ref="ZR4:ZS4"/>
    <mergeCell ref="ZT4:ZU4"/>
    <mergeCell ref="ZV4:ZW4"/>
    <mergeCell ref="ZX4:ZY4"/>
    <mergeCell ref="ZZ4:AAA4"/>
    <mergeCell ref="AAB4:AAC4"/>
    <mergeCell ref="ZF4:ZG4"/>
    <mergeCell ref="ZH4:ZI4"/>
    <mergeCell ref="ZJ4:ZK4"/>
    <mergeCell ref="ZL4:ZM4"/>
    <mergeCell ref="ZN4:ZO4"/>
    <mergeCell ref="ZP4:ZQ4"/>
    <mergeCell ref="YT4:YU4"/>
    <mergeCell ref="YV4:YW4"/>
    <mergeCell ref="YX4:YY4"/>
    <mergeCell ref="YZ4:ZA4"/>
    <mergeCell ref="ZB4:ZC4"/>
    <mergeCell ref="ZD4:ZE4"/>
    <mergeCell ref="XB4:XC4"/>
    <mergeCell ref="YB4:YC4"/>
    <mergeCell ref="YD4:YE4"/>
    <mergeCell ref="YF4:YG4"/>
    <mergeCell ref="XE4:XF4"/>
    <mergeCell ref="XH4:XI4"/>
    <mergeCell ref="YH4:YI4"/>
    <mergeCell ref="YJ4:YK4"/>
    <mergeCell ref="VM4:VN4"/>
    <mergeCell ref="VO4:VP4"/>
    <mergeCell ref="VQ4:VR4"/>
    <mergeCell ref="VU4:VV4"/>
    <mergeCell ref="WZ4:XA4"/>
    <mergeCell ref="WI4:WJ4"/>
    <mergeCell ref="WN4:WO4"/>
    <mergeCell ref="WP4:WQ4"/>
    <mergeCell ref="WT4:WU4"/>
    <mergeCell ref="WV4:WW4"/>
    <mergeCell ref="WX4:WY4"/>
    <mergeCell ref="WK4:WL4"/>
    <mergeCell ref="VS4:VT4"/>
    <mergeCell ref="VW4:VX4"/>
    <mergeCell ref="VY4:VZ4"/>
    <mergeCell ref="WC4:WD4"/>
    <mergeCell ref="WE4:WF4"/>
    <mergeCell ref="WG4:WH4"/>
    <mergeCell ref="WA4:WB4"/>
    <mergeCell ref="WR4:WS4"/>
    <mergeCell ref="TW4:TX4"/>
    <mergeCell ref="UA4:UB4"/>
    <mergeCell ref="UC4:UD4"/>
    <mergeCell ref="UG4:UH4"/>
    <mergeCell ref="UI4:UJ4"/>
    <mergeCell ref="UK4:UL4"/>
    <mergeCell ref="TY4:TZ4"/>
    <mergeCell ref="UO4:UP4"/>
    <mergeCell ref="UM4:UN4"/>
    <mergeCell ref="TG4:TH4"/>
    <mergeCell ref="TK4:TL4"/>
    <mergeCell ref="TM4:TN4"/>
    <mergeCell ref="TQ4:TR4"/>
    <mergeCell ref="TS4:TT4"/>
    <mergeCell ref="TU4:TV4"/>
    <mergeCell ref="TC4:TD4"/>
    <mergeCell ref="TE4:TF4"/>
    <mergeCell ref="SS4:ST4"/>
    <mergeCell ref="TI4:TJ4"/>
    <mergeCell ref="SE4:SF4"/>
    <mergeCell ref="SG4:SH4"/>
    <mergeCell ref="SK4:SL4"/>
    <mergeCell ref="SM4:SN4"/>
    <mergeCell ref="SO4:SP4"/>
    <mergeCell ref="QY4:QZ4"/>
    <mergeCell ref="RA4:RB4"/>
    <mergeCell ref="RC4:RD4"/>
    <mergeCell ref="RE4:RF4"/>
    <mergeCell ref="RG4:RH4"/>
    <mergeCell ref="RI4:RJ4"/>
    <mergeCell ref="RO4:RP4"/>
    <mergeCell ref="RQ4:RR4"/>
    <mergeCell ref="RU4:RV4"/>
    <mergeCell ref="RW4:RX4"/>
    <mergeCell ref="RY4:RZ4"/>
    <mergeCell ref="RM4:RN4"/>
    <mergeCell ref="SC4:SD4"/>
    <mergeCell ref="SA4:SB4"/>
    <mergeCell ref="QE4:QF4"/>
    <mergeCell ref="QI4:QJ4"/>
    <mergeCell ref="QK4:QL4"/>
    <mergeCell ref="QO4:QP4"/>
    <mergeCell ref="QQ4:QR4"/>
    <mergeCell ref="QS4:QT4"/>
    <mergeCell ref="QG4:QH4"/>
    <mergeCell ref="QW4:QX4"/>
    <mergeCell ref="NS4:NT4"/>
    <mergeCell ref="NW4:NX4"/>
    <mergeCell ref="NY4:NZ4"/>
    <mergeCell ref="OC4:OD4"/>
    <mergeCell ref="OE4:OF4"/>
    <mergeCell ref="OG4:OH4"/>
    <mergeCell ref="NU4:NV4"/>
    <mergeCell ref="OK4:OL4"/>
    <mergeCell ref="QU4:QV4"/>
    <mergeCell ref="PO4:PP4"/>
    <mergeCell ref="PS4:PT4"/>
    <mergeCell ref="PU4:PV4"/>
    <mergeCell ref="PY4:PZ4"/>
    <mergeCell ref="QA4:QB4"/>
    <mergeCell ref="QC4:QD4"/>
    <mergeCell ref="OY4:OZ4"/>
    <mergeCell ref="PC4:PD4"/>
    <mergeCell ref="PE4:PF4"/>
    <mergeCell ref="PI4:PJ4"/>
    <mergeCell ref="PK4:PL4"/>
    <mergeCell ref="PM4:PN4"/>
    <mergeCell ref="PA4:PB4"/>
    <mergeCell ref="PQ4:PR4"/>
    <mergeCell ref="OI4:OJ4"/>
    <mergeCell ref="OM4:ON4"/>
    <mergeCell ref="OO4:OP4"/>
    <mergeCell ref="OS4:OT4"/>
    <mergeCell ref="OU4:OV4"/>
    <mergeCell ref="OW4:OX4"/>
    <mergeCell ref="NG4:NH4"/>
    <mergeCell ref="NI4:NJ4"/>
    <mergeCell ref="NM4:NN4"/>
    <mergeCell ref="NO4:NP4"/>
    <mergeCell ref="NQ4:NR4"/>
    <mergeCell ref="MM4:MN4"/>
    <mergeCell ref="MQ4:MR4"/>
    <mergeCell ref="MS4:MT4"/>
    <mergeCell ref="MW4:MX4"/>
    <mergeCell ref="MY4:MZ4"/>
    <mergeCell ref="NA4:NB4"/>
    <mergeCell ref="MO4:MP4"/>
    <mergeCell ref="NE4:NF4"/>
    <mergeCell ref="NC4:ND4"/>
    <mergeCell ref="LW4:LX4"/>
    <mergeCell ref="MA4:MB4"/>
    <mergeCell ref="MC4:MD4"/>
    <mergeCell ref="MG4:MH4"/>
    <mergeCell ref="MI4:MJ4"/>
    <mergeCell ref="MK4:ML4"/>
    <mergeCell ref="LG4:LH4"/>
    <mergeCell ref="LK4:LL4"/>
    <mergeCell ref="LM4:LN4"/>
    <mergeCell ref="LQ4:LR4"/>
    <mergeCell ref="LS4:LT4"/>
    <mergeCell ref="LU4:LV4"/>
    <mergeCell ref="LI4:LJ4"/>
    <mergeCell ref="LY4:LZ4"/>
    <mergeCell ref="KU4:KV4"/>
    <mergeCell ref="KW4:KX4"/>
    <mergeCell ref="LA4:LB4"/>
    <mergeCell ref="LC4:LD4"/>
    <mergeCell ref="LE4:LF4"/>
    <mergeCell ref="JU4:JV4"/>
    <mergeCell ref="JW4:JX4"/>
    <mergeCell ref="JY4:JZ4"/>
    <mergeCell ref="KA4:KB4"/>
    <mergeCell ref="KE4:KF4"/>
    <mergeCell ref="KG4:KH4"/>
    <mergeCell ref="KK4:KL4"/>
    <mergeCell ref="KM4:KN4"/>
    <mergeCell ref="KO4:KP4"/>
    <mergeCell ref="KC4:KD4"/>
    <mergeCell ref="KS4:KT4"/>
    <mergeCell ref="KQ4:KR4"/>
    <mergeCell ref="IU4:IV4"/>
    <mergeCell ref="IY4:IZ4"/>
    <mergeCell ref="JA4:JB4"/>
    <mergeCell ref="JE4:JF4"/>
    <mergeCell ref="JG4:JH4"/>
    <mergeCell ref="JI4:JJ4"/>
    <mergeCell ref="IW4:IX4"/>
    <mergeCell ref="JM4:JN4"/>
    <mergeCell ref="JK4:JL4"/>
    <mergeCell ref="JC4:JD4"/>
    <mergeCell ref="JS4:JT4"/>
    <mergeCell ref="JO4:JP4"/>
    <mergeCell ref="JQ4:JR4"/>
    <mergeCell ref="EM4:EN4"/>
    <mergeCell ref="EQ4:ER4"/>
    <mergeCell ref="ES4:ET4"/>
    <mergeCell ref="IS4:IT4"/>
    <mergeCell ref="HO4:HP4"/>
    <mergeCell ref="HS4:HT4"/>
    <mergeCell ref="HU4:HV4"/>
    <mergeCell ref="HY4:HZ4"/>
    <mergeCell ref="IA4:IB4"/>
    <mergeCell ref="IC4:ID4"/>
    <mergeCell ref="HQ4:HR4"/>
    <mergeCell ref="IG4:IH4"/>
    <mergeCell ref="GY4:GZ4"/>
    <mergeCell ref="HC4:HD4"/>
    <mergeCell ref="HE4:HF4"/>
    <mergeCell ref="HI4:HJ4"/>
    <mergeCell ref="HK4:HL4"/>
    <mergeCell ref="HM4:HN4"/>
    <mergeCell ref="FW4:FX4"/>
    <mergeCell ref="FY4:FZ4"/>
    <mergeCell ref="GC4:GD4"/>
    <mergeCell ref="GE4:GF4"/>
    <mergeCell ref="GG4:GH4"/>
    <mergeCell ref="EU4:EV4"/>
    <mergeCell ref="FK4:FL4"/>
    <mergeCell ref="GA4:GB4"/>
    <mergeCell ref="GQ4:GR4"/>
    <mergeCell ref="HG4:HH4"/>
    <mergeCell ref="HW4:HX4"/>
    <mergeCell ref="IM4:IN4"/>
    <mergeCell ref="GI4:GJ4"/>
    <mergeCell ref="GM4:GN4"/>
    <mergeCell ref="EG4:EH4"/>
    <mergeCell ref="EI4:EJ4"/>
    <mergeCell ref="EK4:EL4"/>
    <mergeCell ref="DY4:DZ4"/>
    <mergeCell ref="EO4:EP4"/>
    <mergeCell ref="FC4:FD4"/>
    <mergeCell ref="FG4:FH4"/>
    <mergeCell ref="FI4:FJ4"/>
    <mergeCell ref="FM4:FN4"/>
    <mergeCell ref="FO4:FP4"/>
    <mergeCell ref="FQ4:FR4"/>
    <mergeCell ref="FE4:FF4"/>
    <mergeCell ref="FU4:FV4"/>
    <mergeCell ref="CC4:CD4"/>
    <mergeCell ref="CQ4:CR4"/>
    <mergeCell ref="CU4:CV4"/>
    <mergeCell ref="CW4:CX4"/>
    <mergeCell ref="DA4:DB4"/>
    <mergeCell ref="DC4:DD4"/>
    <mergeCell ref="DE4:DF4"/>
    <mergeCell ref="CS4:CT4"/>
    <mergeCell ref="DI4:DJ4"/>
    <mergeCell ref="CE4:CF4"/>
    <mergeCell ref="CG4:CH4"/>
    <mergeCell ref="CK4:CL4"/>
    <mergeCell ref="CM4:CN4"/>
    <mergeCell ref="CO4:CP4"/>
    <mergeCell ref="DG4:DH4"/>
    <mergeCell ref="DK4:DL4"/>
    <mergeCell ref="DM4:DN4"/>
    <mergeCell ref="DQ4:DR4"/>
    <mergeCell ref="FS4:FT4"/>
    <mergeCell ref="PC1:PR1"/>
    <mergeCell ref="PS1:QH1"/>
    <mergeCell ref="QI1:QX1"/>
    <mergeCell ref="QY1:RN1"/>
    <mergeCell ref="RO1:SD1"/>
    <mergeCell ref="SE1:ST1"/>
    <mergeCell ref="C4:D4"/>
    <mergeCell ref="E4:F4"/>
    <mergeCell ref="I4:J4"/>
    <mergeCell ref="K4:L4"/>
    <mergeCell ref="M4:N4"/>
    <mergeCell ref="IY1:JN1"/>
    <mergeCell ref="S4:T4"/>
    <mergeCell ref="U4:V4"/>
    <mergeCell ref="Y4:Z4"/>
    <mergeCell ref="AA4:AB4"/>
    <mergeCell ref="AC4:AD4"/>
    <mergeCell ref="O4:P4"/>
    <mergeCell ref="Q4:R4"/>
    <mergeCell ref="AY4:AZ4"/>
    <mergeCell ref="BA4:BB4"/>
    <mergeCell ref="BE4:BF4"/>
    <mergeCell ref="BG4:BH4"/>
    <mergeCell ref="BI4:BJ4"/>
    <mergeCell ref="BW4:BX4"/>
    <mergeCell ref="BY4:BZ4"/>
    <mergeCell ref="BM4:BN4"/>
    <mergeCell ref="EW4:EX4"/>
    <mergeCell ref="EY4:EZ4"/>
    <mergeCell ref="FA4:FB4"/>
    <mergeCell ref="DW4:DX4"/>
    <mergeCell ref="EA4:EB4"/>
    <mergeCell ref="SU1:TJ1"/>
    <mergeCell ref="UA1:UP1"/>
    <mergeCell ref="UQ1:VF1"/>
    <mergeCell ref="VG1:VV1"/>
    <mergeCell ref="VW1:WL1"/>
    <mergeCell ref="WN1:XC1"/>
    <mergeCell ref="TK1:TZ1"/>
    <mergeCell ref="C1:R1"/>
    <mergeCell ref="S1:AH1"/>
    <mergeCell ref="AI1:AX1"/>
    <mergeCell ref="AY1:BN1"/>
    <mergeCell ref="BO1:CD1"/>
    <mergeCell ref="CE1:CT1"/>
    <mergeCell ref="CU1:DJ1"/>
    <mergeCell ref="DK1:DZ1"/>
    <mergeCell ref="EA1:EP1"/>
    <mergeCell ref="EQ1:FF1"/>
    <mergeCell ref="FG1:FV1"/>
    <mergeCell ref="FW1:GL1"/>
    <mergeCell ref="GM1:HB1"/>
    <mergeCell ref="HC1:HR1"/>
    <mergeCell ref="HS1:IH1"/>
    <mergeCell ref="II1:IX1"/>
    <mergeCell ref="JO1:KD1"/>
    <mergeCell ref="KE1:KT1"/>
    <mergeCell ref="KU1:LJ1"/>
    <mergeCell ref="LK1:LZ1"/>
    <mergeCell ref="MA1:MP1"/>
    <mergeCell ref="MQ1:NF1"/>
    <mergeCell ref="NG1:NV1"/>
    <mergeCell ref="NW1:OL1"/>
    <mergeCell ref="OM1:PB1"/>
  </mergeCells>
  <phoneticPr fontId="96" type="noConversion"/>
  <hyperlinks>
    <hyperlink ref="B6" location="'DAFTAR ISI'!A1" display="BACK" xr:uid="{00000000-0004-0000-0200-000000000000}"/>
  </hyperlinks>
  <pageMargins left="0.70866141732283472" right="0.70866141732283472" top="0.74803149606299213" bottom="0.74803149606299213" header="0.31496062992125984" footer="0.31496062992125984"/>
  <pageSetup paperSize="5" scale="46" orientation="portrait" horizontalDpi="4294967293" verticalDpi="0" r:id="rId1"/>
  <colBreaks count="3" manualBreakCount="3">
    <brk id="2" max="1048575" man="1"/>
    <brk id="591" max="885" man="1"/>
    <brk id="594" max="1048575"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CK47"/>
  <sheetViews>
    <sheetView zoomScale="80" zoomScaleNormal="90" workbookViewId="0">
      <pane xSplit="2" ySplit="6" topLeftCell="BQ7" activePane="bottomRight" state="frozen"/>
      <selection pane="topRight" activeCell="C1" sqref="C1"/>
      <selection pane="bottomLeft" activeCell="A6" sqref="A6"/>
      <selection pane="bottomRight" activeCell="AW7" sqref="AW7"/>
    </sheetView>
  </sheetViews>
  <sheetFormatPr defaultRowHeight="14.5"/>
  <cols>
    <col min="1" max="1" width="4.81640625" customWidth="1"/>
    <col min="2" max="2" width="36.81640625" customWidth="1"/>
    <col min="3" max="4" width="15.453125" customWidth="1"/>
    <col min="5" max="6" width="15.54296875" customWidth="1"/>
    <col min="7" max="7" width="13.81640625" customWidth="1"/>
    <col min="8" max="8" width="16.453125" customWidth="1"/>
    <col min="9" max="10" width="15.453125" customWidth="1"/>
    <col min="11" max="11" width="13.81640625" customWidth="1"/>
    <col min="12" max="12" width="14.453125" bestFit="1" customWidth="1"/>
    <col min="13" max="14" width="13.81640625" customWidth="1"/>
    <col min="15" max="15" width="15.453125" customWidth="1"/>
    <col min="16" max="17" width="15.54296875" customWidth="1"/>
    <col min="18" max="18" width="13.81640625" customWidth="1"/>
    <col min="19" max="19" width="16.453125" customWidth="1"/>
    <col min="20" max="21" width="15.453125" customWidth="1"/>
    <col min="22" max="22" width="13.81640625" customWidth="1"/>
    <col min="23" max="23" width="15" customWidth="1"/>
    <col min="24" max="25" width="13.81640625" customWidth="1"/>
    <col min="26" max="26" width="15.453125" customWidth="1"/>
    <col min="27" max="28" width="15.54296875" customWidth="1"/>
    <col min="29" max="29" width="13.81640625" customWidth="1"/>
    <col min="30" max="30" width="16.453125" customWidth="1"/>
    <col min="31" max="32" width="15.453125" customWidth="1"/>
    <col min="33" max="33" width="13.81640625" customWidth="1"/>
    <col min="34" max="34" width="15" customWidth="1"/>
    <col min="35" max="35" width="13.81640625" customWidth="1"/>
    <col min="36" max="36" width="15" customWidth="1"/>
    <col min="37" max="37" width="15.453125" customWidth="1"/>
    <col min="38" max="39" width="15.54296875" customWidth="1"/>
    <col min="40" max="40" width="13.81640625" customWidth="1"/>
    <col min="41" max="41" width="16.453125" customWidth="1"/>
    <col min="42" max="43" width="15.453125" customWidth="1"/>
    <col min="44" max="44" width="13.81640625" customWidth="1"/>
    <col min="45" max="45" width="15" customWidth="1"/>
    <col min="46" max="46" width="13.81640625" customWidth="1"/>
    <col min="47" max="47" width="15" customWidth="1"/>
    <col min="48" max="48" width="15.453125" customWidth="1"/>
    <col min="49" max="50" width="15.54296875" customWidth="1"/>
    <col min="51" max="51" width="13.81640625" customWidth="1"/>
    <col min="52" max="52" width="16.453125" customWidth="1"/>
    <col min="53" max="54" width="15.453125" customWidth="1"/>
    <col min="55" max="55" width="13.81640625" customWidth="1"/>
    <col min="56" max="56" width="15" customWidth="1"/>
    <col min="57" max="57" width="13.81640625" customWidth="1"/>
    <col min="58" max="58" width="15" customWidth="1"/>
    <col min="59" max="59" width="15.453125" customWidth="1"/>
    <col min="60" max="61" width="15.54296875" customWidth="1"/>
    <col min="62" max="62" width="13.81640625" customWidth="1"/>
    <col min="63" max="63" width="16.453125" customWidth="1"/>
    <col min="64" max="65" width="15.453125" customWidth="1"/>
    <col min="66" max="66" width="13.81640625" customWidth="1"/>
    <col min="67" max="67" width="15" customWidth="1"/>
    <col min="68" max="68" width="13.81640625" customWidth="1"/>
    <col min="69" max="69" width="15" customWidth="1"/>
    <col min="70" max="70" width="15.453125" customWidth="1"/>
    <col min="71" max="72" width="15.54296875" customWidth="1"/>
    <col min="73" max="73" width="13.81640625" customWidth="1"/>
    <col min="74" max="74" width="16.453125" customWidth="1"/>
    <col min="75" max="76" width="15.453125" customWidth="1"/>
    <col min="77" max="77" width="13.81640625" customWidth="1"/>
    <col min="78" max="78" width="15" customWidth="1"/>
    <col min="79" max="79" width="13.81640625" customWidth="1"/>
    <col min="80" max="80" width="15" customWidth="1"/>
    <col min="81" max="81" width="15.453125" customWidth="1"/>
    <col min="82" max="83" width="15.54296875" customWidth="1"/>
    <col min="84" max="84" width="13.81640625" customWidth="1"/>
    <col min="85" max="85" width="16.453125" customWidth="1"/>
    <col min="86" max="87" width="15.453125" customWidth="1"/>
    <col min="88" max="88" width="13.81640625" customWidth="1"/>
    <col min="89" max="89" width="15" customWidth="1"/>
    <col min="90" max="146" width="13.81640625" customWidth="1"/>
    <col min="147" max="147" width="15.1796875" customWidth="1"/>
    <col min="148" max="156" width="13.81640625" customWidth="1"/>
    <col min="157" max="157" width="15.1796875" customWidth="1"/>
    <col min="158" max="174" width="13.81640625" customWidth="1"/>
    <col min="175" max="175" width="15.54296875" customWidth="1"/>
    <col min="176" max="216" width="13.81640625" customWidth="1"/>
    <col min="217" max="217" width="15.81640625" customWidth="1"/>
    <col min="218" max="226" width="13.81640625" customWidth="1"/>
    <col min="227" max="227" width="15.453125" customWidth="1"/>
    <col min="228" max="246" width="13.81640625" customWidth="1"/>
    <col min="247" max="247" width="16.453125" customWidth="1"/>
    <col min="248" max="254" width="13.81640625" customWidth="1"/>
    <col min="255" max="255" width="16" customWidth="1"/>
    <col min="256" max="260" width="13.81640625" customWidth="1"/>
    <col min="261" max="261" width="15.1796875" customWidth="1"/>
    <col min="262" max="346" width="13.81640625" customWidth="1"/>
    <col min="347" max="347" width="16.81640625" customWidth="1"/>
    <col min="348" max="352" width="13.81640625" customWidth="1"/>
    <col min="353" max="353" width="16.81640625" customWidth="1"/>
    <col min="354" max="355" width="13.81640625" customWidth="1"/>
    <col min="356" max="356" width="14.81640625" customWidth="1"/>
    <col min="357" max="357" width="15.1796875" customWidth="1"/>
    <col min="358" max="366" width="13.81640625" customWidth="1"/>
    <col min="367" max="367" width="15.1796875" customWidth="1"/>
    <col min="368" max="398" width="13.81640625" customWidth="1"/>
    <col min="399" max="399" width="16.453125" customWidth="1"/>
    <col min="400" max="400" width="13.81640625" customWidth="1"/>
    <col min="401" max="401" width="15" customWidth="1"/>
    <col min="402" max="408" width="13.81640625" customWidth="1"/>
    <col min="409" max="409" width="15.81640625" customWidth="1"/>
    <col min="410" max="410" width="13.81640625" customWidth="1"/>
    <col min="411" max="411" width="18.1796875" customWidth="1"/>
    <col min="412" max="412" width="13.81640625" customWidth="1"/>
    <col min="413" max="413" width="16.81640625" customWidth="1"/>
    <col min="414" max="422" width="13.81640625" customWidth="1"/>
    <col min="423" max="423" width="14.81640625" customWidth="1"/>
    <col min="424" max="450" width="13.81640625" customWidth="1"/>
    <col min="451" max="451" width="15.1796875" customWidth="1"/>
    <col min="452" max="549" width="13.81640625" customWidth="1"/>
    <col min="550" max="550" width="7.81640625" customWidth="1"/>
    <col min="551" max="551" width="13.81640625" customWidth="1"/>
    <col min="552" max="552" width="17.54296875" customWidth="1"/>
    <col min="553" max="553" width="13.81640625" customWidth="1"/>
    <col min="554" max="554" width="16.1796875" customWidth="1"/>
    <col min="555" max="555" width="13.81640625" customWidth="1"/>
    <col min="556" max="556" width="15.453125" customWidth="1"/>
    <col min="557" max="557" width="13.81640625" customWidth="1"/>
    <col min="558" max="558" width="15.453125" customWidth="1"/>
    <col min="559" max="562" width="13.81640625" customWidth="1"/>
    <col min="563" max="563" width="18.1796875" customWidth="1"/>
    <col min="564" max="564" width="21.453125" customWidth="1"/>
    <col min="565" max="565" width="19.453125" customWidth="1"/>
    <col min="566" max="961" width="13.81640625" customWidth="1"/>
  </cols>
  <sheetData>
    <row r="1" spans="1:89" ht="15" thickBot="1">
      <c r="B1" s="582" t="s">
        <v>484</v>
      </c>
      <c r="C1" s="584">
        <f>SUM(C6,N6,AJ6,AU6,BF6,BQ6)</f>
        <v>1442332993.2170775</v>
      </c>
      <c r="D1" s="584">
        <f>SUM(D6,O6,AK6,AV6,BG6,BR6)</f>
        <v>21538229550.790455</v>
      </c>
      <c r="E1" s="116">
        <f>'P &amp; NP'!WN7</f>
        <v>156469131</v>
      </c>
      <c r="F1" s="116">
        <f>'P &amp; NP'!WO7</f>
        <v>958355908</v>
      </c>
      <c r="G1" s="116">
        <f>'P &amp; NP'!WN8</f>
        <v>169550271.69067857</v>
      </c>
      <c r="H1" s="116">
        <f>'P &amp; NP'!WO8</f>
        <v>729657050.95339274</v>
      </c>
      <c r="I1" s="116">
        <f>'P &amp; NP'!WN9</f>
        <v>227792889</v>
      </c>
      <c r="J1" s="116">
        <f>'P &amp; NP'!WO9</f>
        <v>1182515701.0610001</v>
      </c>
      <c r="K1" s="116">
        <f>'P &amp; NP'!WN10</f>
        <v>220602867.23539978</v>
      </c>
      <c r="L1" s="116">
        <f>'P &amp; NP'!WO10</f>
        <v>1123512499.9719434</v>
      </c>
      <c r="P1" s="116">
        <f>'P &amp; NP'!WP7</f>
        <v>71273382.507222921</v>
      </c>
      <c r="Q1" s="116">
        <f>'P &amp; NP'!WQ7</f>
        <v>2520146013.3905363</v>
      </c>
      <c r="R1" s="116">
        <f>'P &amp; NP'!WP8</f>
        <v>67363208.022949576</v>
      </c>
      <c r="S1" s="116">
        <f>'P &amp; NP'!WQ8</f>
        <v>2319614272.571085</v>
      </c>
      <c r="T1" s="116">
        <f>'P &amp; NP'!WP9</f>
        <v>74491897.939447686</v>
      </c>
      <c r="U1" s="116">
        <f>'P &amp; NP'!WQ9</f>
        <v>2493495560.9571395</v>
      </c>
      <c r="V1" s="116">
        <f>'P &amp; NP'!WP10</f>
        <v>69231142.99459666</v>
      </c>
      <c r="W1" s="116">
        <f>'P &amp; NP'!WQ10</f>
        <v>2344147412.6014442</v>
      </c>
      <c r="Y1" s="500" t="s">
        <v>27</v>
      </c>
      <c r="Z1" s="513" t="s">
        <v>28</v>
      </c>
      <c r="AA1" s="116">
        <f>'P &amp; NP'!XA7</f>
        <v>47859178</v>
      </c>
      <c r="AB1" s="116">
        <f>'P &amp; NP'!XB7</f>
        <v>330112456.6872229</v>
      </c>
      <c r="AC1" s="116">
        <f>'P &amp; NP'!XA8</f>
        <v>36373713</v>
      </c>
      <c r="AD1" s="116">
        <f>'P &amp; NP'!XB8</f>
        <v>350946945.5762316</v>
      </c>
      <c r="AE1" s="116">
        <f>'P &amp; NP'!XA9</f>
        <v>14289913</v>
      </c>
      <c r="AF1" s="116">
        <f>'P &amp; NP'!XB9</f>
        <v>384636551.36981368</v>
      </c>
      <c r="AG1" s="116">
        <f>'P &amp; NP'!XA10</f>
        <v>34156766</v>
      </c>
      <c r="AH1" s="116">
        <f>'P &amp; NP'!XB10</f>
        <v>376637039.58380955</v>
      </c>
      <c r="AL1" s="116">
        <f>'P &amp; NP'!WT7</f>
        <v>93172807.850000009</v>
      </c>
      <c r="AM1" s="116">
        <f>'P &amp; NP'!WU7</f>
        <v>1901094972.0177977</v>
      </c>
      <c r="AN1" s="116">
        <f>'P &amp; NP'!WT8</f>
        <v>106162132.13260342</v>
      </c>
      <c r="AO1" s="116">
        <f>'P &amp; NP'!WU8</f>
        <v>2199849062.8638468</v>
      </c>
      <c r="AP1" s="116">
        <f>'P &amp; NP'!WT9</f>
        <v>78455159.189999998</v>
      </c>
      <c r="AQ1" s="116">
        <f>'P &amp; NP'!WU9</f>
        <v>1466531459.9774098</v>
      </c>
      <c r="AR1" s="116">
        <f>'P &amp; NP'!WT10</f>
        <v>78938573.79381308</v>
      </c>
      <c r="AS1" s="116">
        <f>'P &amp; NP'!WU10</f>
        <v>1593113373.4098616</v>
      </c>
      <c r="AW1" s="116">
        <f>'P &amp; NP'!WV7</f>
        <v>5229062</v>
      </c>
      <c r="AX1" s="116">
        <f>'P &amp; NP'!WW7</f>
        <v>139178292</v>
      </c>
      <c r="AY1" s="116">
        <f>'P &amp; NP'!WV8</f>
        <v>4876379</v>
      </c>
      <c r="AZ1" s="116">
        <f>'P &amp; NP'!WW8</f>
        <v>126600112.006</v>
      </c>
      <c r="BA1" s="116">
        <f>'P &amp; NP'!WV9</f>
        <v>2124188.000366</v>
      </c>
      <c r="BB1" s="116">
        <f>'P &amp; NP'!WW9</f>
        <v>63903725.009000003</v>
      </c>
      <c r="BC1" s="116">
        <f>'P &amp; NP'!WV10</f>
        <v>4021330</v>
      </c>
      <c r="BD1" s="116">
        <f>'P &amp; NP'!WW10</f>
        <v>114756085</v>
      </c>
      <c r="BH1" s="116">
        <f>'P &amp; NP'!WX7</f>
        <v>1952291</v>
      </c>
      <c r="BI1" s="116">
        <f>'P &amp; NP'!WY7</f>
        <v>36629661</v>
      </c>
      <c r="BJ1" s="116">
        <f>'P &amp; NP'!WX8</f>
        <v>1457959</v>
      </c>
      <c r="BK1" s="116">
        <f>'P &amp; NP'!WY8</f>
        <v>27910455</v>
      </c>
      <c r="BL1" s="116">
        <f>'P &amp; NP'!WX9</f>
        <v>1149553</v>
      </c>
      <c r="BM1" s="116">
        <f>'P &amp; NP'!WY9</f>
        <v>21087196</v>
      </c>
      <c r="BN1" s="116">
        <f>'P &amp; NP'!WX10</f>
        <v>2409362</v>
      </c>
      <c r="BO1" s="116">
        <f>'P &amp; NP'!WY10</f>
        <v>43451167</v>
      </c>
      <c r="BS1" s="116">
        <f>'P &amp; NP'!WZ7</f>
        <v>2015782.33</v>
      </c>
      <c r="BT1" s="116">
        <f>'P &amp; NP'!XA7</f>
        <v>47859178</v>
      </c>
      <c r="BU1" s="116">
        <f>'P &amp; NP'!WZ8</f>
        <v>1536995.73</v>
      </c>
      <c r="BV1" s="116">
        <f>'P &amp; NP'!XA8</f>
        <v>36373713</v>
      </c>
      <c r="BW1" s="116">
        <f>'P &amp; NP'!WZ9</f>
        <v>622864.24</v>
      </c>
      <c r="BX1" s="116">
        <f>'P &amp; NP'!XA9</f>
        <v>14289913</v>
      </c>
      <c r="BY1" s="116">
        <f>'P &amp; NP'!WZ10</f>
        <v>1433763.56</v>
      </c>
      <c r="BZ1" s="116">
        <f>'P &amp; NP'!XA10</f>
        <v>34156766</v>
      </c>
      <c r="CD1" s="116"/>
      <c r="CE1" s="116"/>
      <c r="CF1" s="116">
        <f>'P &amp; NP'!XK8</f>
        <v>0</v>
      </c>
      <c r="CG1" s="116">
        <f>'P &amp; NP'!XL8</f>
        <v>0</v>
      </c>
      <c r="CH1" s="116">
        <f>'P &amp; NP'!XK9</f>
        <v>0</v>
      </c>
      <c r="CI1" s="116">
        <f>'P &amp; NP'!XL9</f>
        <v>0</v>
      </c>
      <c r="CJ1" s="116">
        <f>'P &amp; NP'!XK10</f>
        <v>0</v>
      </c>
      <c r="CK1" s="116">
        <f>'P &amp; NP'!XL10</f>
        <v>0</v>
      </c>
    </row>
    <row r="2" spans="1:89">
      <c r="A2" s="509"/>
      <c r="B2" s="583" t="s">
        <v>485</v>
      </c>
      <c r="C2" s="585">
        <f>'P &amp; NP'!B1</f>
        <v>1442332993.2170775</v>
      </c>
      <c r="D2" s="586">
        <f>'P &amp; NP'!B2</f>
        <v>0</v>
      </c>
      <c r="E2" s="504"/>
      <c r="F2" s="504"/>
      <c r="G2" s="504"/>
      <c r="H2" s="504"/>
      <c r="I2" s="504"/>
      <c r="J2" s="504"/>
      <c r="K2" s="504"/>
      <c r="L2" s="505"/>
      <c r="N2" s="511"/>
      <c r="O2" s="35"/>
      <c r="P2" s="504"/>
      <c r="Q2" s="504"/>
      <c r="R2" s="504"/>
      <c r="S2" s="504"/>
      <c r="T2" s="504"/>
      <c r="U2" s="504"/>
      <c r="V2" s="504"/>
      <c r="W2" s="505"/>
      <c r="Y2" s="511"/>
      <c r="Z2" s="35"/>
      <c r="AA2" s="504"/>
      <c r="AB2" s="504"/>
      <c r="AC2" s="504"/>
      <c r="AD2" s="504"/>
      <c r="AE2" s="504"/>
      <c r="AF2" s="504"/>
      <c r="AG2" s="504"/>
      <c r="AH2" s="505"/>
      <c r="AJ2" s="511"/>
      <c r="AK2" s="35"/>
      <c r="AL2" s="504"/>
      <c r="AM2" s="504"/>
      <c r="AN2" s="504"/>
      <c r="AO2" s="504"/>
      <c r="AP2" s="504"/>
      <c r="AQ2" s="504"/>
      <c r="AR2" s="504"/>
      <c r="AS2" s="505"/>
      <c r="AU2" s="511"/>
      <c r="AV2" s="35"/>
      <c r="AW2" s="504"/>
      <c r="AX2" s="504"/>
      <c r="AY2" s="504"/>
      <c r="AZ2" s="504"/>
      <c r="BA2" s="504"/>
      <c r="BB2" s="504"/>
      <c r="BC2" s="504"/>
      <c r="BD2" s="505"/>
      <c r="BF2" s="511"/>
      <c r="BG2" s="35"/>
      <c r="BH2" s="504"/>
      <c r="BI2" s="504"/>
      <c r="BJ2" s="504"/>
      <c r="BK2" s="504"/>
      <c r="BL2" s="504"/>
      <c r="BM2" s="504"/>
      <c r="BN2" s="504"/>
      <c r="BO2" s="505"/>
      <c r="BQ2" s="511"/>
      <c r="BR2" s="35"/>
      <c r="BS2" s="504"/>
      <c r="BT2" s="504"/>
      <c r="BU2" s="504"/>
      <c r="BV2" s="504"/>
      <c r="BW2" s="504"/>
      <c r="BX2" s="504"/>
      <c r="BY2" s="504"/>
      <c r="BZ2" s="505"/>
      <c r="CB2" s="511"/>
      <c r="CC2" s="35"/>
      <c r="CD2" s="504"/>
      <c r="CE2" s="504"/>
      <c r="CF2" s="504"/>
      <c r="CG2" s="504"/>
      <c r="CH2" s="504"/>
      <c r="CI2" s="504"/>
      <c r="CJ2" s="504"/>
      <c r="CK2" s="505"/>
    </row>
    <row r="3" spans="1:89" ht="18.5">
      <c r="A3" s="509"/>
      <c r="C3" s="502">
        <f>'P &amp; NP'!WN11</f>
        <v>774415158.92607832</v>
      </c>
      <c r="D3" s="512">
        <f>'P &amp; NP'!WO11</f>
        <v>3994041159.9863362</v>
      </c>
      <c r="E3" s="867" t="s">
        <v>34</v>
      </c>
      <c r="F3" s="868"/>
      <c r="G3" s="868"/>
      <c r="H3" s="868"/>
      <c r="I3" s="868"/>
      <c r="J3" s="868"/>
      <c r="K3" s="868"/>
      <c r="L3" s="869"/>
      <c r="N3" s="502">
        <f>'P &amp; NP'!WP11</f>
        <v>282359631.46421683</v>
      </c>
      <c r="O3" s="512">
        <f>'P &amp; NP'!WQ11</f>
        <v>9677403259.5202065</v>
      </c>
      <c r="P3" s="867" t="s">
        <v>31</v>
      </c>
      <c r="Q3" s="868"/>
      <c r="R3" s="868"/>
      <c r="S3" s="868"/>
      <c r="T3" s="868"/>
      <c r="U3" s="868"/>
      <c r="V3" s="868"/>
      <c r="W3" s="869"/>
      <c r="Y3" s="502">
        <f>'P &amp; NP'!WR11</f>
        <v>0</v>
      </c>
      <c r="Z3" s="512">
        <f>'P &amp; NP'!WS11</f>
        <v>0</v>
      </c>
      <c r="AA3" s="867" t="s">
        <v>558</v>
      </c>
      <c r="AB3" s="868"/>
      <c r="AC3" s="868"/>
      <c r="AD3" s="868"/>
      <c r="AE3" s="868"/>
      <c r="AF3" s="868"/>
      <c r="AG3" s="868"/>
      <c r="AH3" s="869"/>
      <c r="AJ3" s="502">
        <f>'P &amp; NP'!WT11</f>
        <v>356728672.96641648</v>
      </c>
      <c r="AK3" s="512">
        <f>'P &amp; NP'!WU11</f>
        <v>7160588868.2689142</v>
      </c>
      <c r="AL3" s="867" t="s">
        <v>32</v>
      </c>
      <c r="AM3" s="868"/>
      <c r="AN3" s="868"/>
      <c r="AO3" s="868"/>
      <c r="AP3" s="868"/>
      <c r="AQ3" s="868"/>
      <c r="AR3" s="868"/>
      <c r="AS3" s="869"/>
      <c r="AU3" s="502">
        <f>'P &amp; NP'!WV11</f>
        <v>16250959.000366</v>
      </c>
      <c r="AV3" s="512">
        <f>'P &amp; NP'!WW11</f>
        <v>444438214.01499999</v>
      </c>
      <c r="AW3" s="867" t="s">
        <v>561</v>
      </c>
      <c r="AX3" s="868"/>
      <c r="AY3" s="868"/>
      <c r="AZ3" s="868"/>
      <c r="BA3" s="868"/>
      <c r="BB3" s="868"/>
      <c r="BC3" s="868"/>
      <c r="BD3" s="869"/>
      <c r="BF3" s="502">
        <f>'P &amp; NP'!WX11</f>
        <v>6969165</v>
      </c>
      <c r="BG3" s="512">
        <f>'P &amp; NP'!WY11</f>
        <v>129078479</v>
      </c>
      <c r="BH3" s="867" t="s">
        <v>33</v>
      </c>
      <c r="BI3" s="868"/>
      <c r="BJ3" s="868"/>
      <c r="BK3" s="868"/>
      <c r="BL3" s="868"/>
      <c r="BM3" s="868"/>
      <c r="BN3" s="868"/>
      <c r="BO3" s="869"/>
      <c r="BQ3" s="502">
        <f>'P &amp; NP'!WZ11</f>
        <v>5609405.8600000003</v>
      </c>
      <c r="BR3" s="512">
        <f>'P &amp; NP'!XA11</f>
        <v>132679570</v>
      </c>
      <c r="BS3" s="867" t="s">
        <v>35</v>
      </c>
      <c r="BT3" s="868"/>
      <c r="BU3" s="868"/>
      <c r="BV3" s="868"/>
      <c r="BW3" s="868"/>
      <c r="BX3" s="868"/>
      <c r="BY3" s="868"/>
      <c r="BZ3" s="869"/>
      <c r="CB3" s="502">
        <f>'P &amp; NP'!B1</f>
        <v>1442332993.2170775</v>
      </c>
      <c r="CC3" s="512">
        <f>'P &amp; NP'!B3</f>
        <v>21538229550.790455</v>
      </c>
      <c r="CD3" s="867" t="s">
        <v>660</v>
      </c>
      <c r="CE3" s="868"/>
      <c r="CF3" s="868"/>
      <c r="CG3" s="868"/>
      <c r="CH3" s="868"/>
      <c r="CI3" s="868"/>
      <c r="CJ3" s="868"/>
      <c r="CK3" s="869"/>
    </row>
    <row r="4" spans="1:89">
      <c r="A4" s="509"/>
      <c r="B4" s="506" t="s">
        <v>466</v>
      </c>
      <c r="C4" s="870" t="s">
        <v>104</v>
      </c>
      <c r="D4" s="871"/>
      <c r="E4" s="872" t="s">
        <v>170</v>
      </c>
      <c r="F4" s="872"/>
      <c r="G4" s="872" t="s">
        <v>171</v>
      </c>
      <c r="H4" s="872"/>
      <c r="I4" s="872" t="s">
        <v>172</v>
      </c>
      <c r="J4" s="872"/>
      <c r="K4" s="872" t="s">
        <v>173</v>
      </c>
      <c r="L4" s="873"/>
      <c r="N4" s="870" t="s">
        <v>104</v>
      </c>
      <c r="O4" s="871"/>
      <c r="P4" s="872" t="s">
        <v>170</v>
      </c>
      <c r="Q4" s="872"/>
      <c r="R4" s="872" t="s">
        <v>171</v>
      </c>
      <c r="S4" s="872"/>
      <c r="T4" s="872" t="s">
        <v>172</v>
      </c>
      <c r="U4" s="872"/>
      <c r="V4" s="872" t="s">
        <v>173</v>
      </c>
      <c r="W4" s="873"/>
      <c r="Y4" s="870" t="s">
        <v>104</v>
      </c>
      <c r="Z4" s="871"/>
      <c r="AA4" s="872" t="s">
        <v>170</v>
      </c>
      <c r="AB4" s="872"/>
      <c r="AC4" s="872" t="s">
        <v>171</v>
      </c>
      <c r="AD4" s="872"/>
      <c r="AE4" s="872" t="s">
        <v>172</v>
      </c>
      <c r="AF4" s="872"/>
      <c r="AG4" s="872" t="s">
        <v>173</v>
      </c>
      <c r="AH4" s="873"/>
      <c r="AJ4" s="870" t="s">
        <v>104</v>
      </c>
      <c r="AK4" s="871"/>
      <c r="AL4" s="872" t="s">
        <v>170</v>
      </c>
      <c r="AM4" s="872"/>
      <c r="AN4" s="872" t="s">
        <v>171</v>
      </c>
      <c r="AO4" s="872"/>
      <c r="AP4" s="872" t="s">
        <v>172</v>
      </c>
      <c r="AQ4" s="872"/>
      <c r="AR4" s="872" t="s">
        <v>173</v>
      </c>
      <c r="AS4" s="873"/>
      <c r="AU4" s="870" t="s">
        <v>104</v>
      </c>
      <c r="AV4" s="871"/>
      <c r="AW4" s="872" t="s">
        <v>170</v>
      </c>
      <c r="AX4" s="872"/>
      <c r="AY4" s="872" t="s">
        <v>171</v>
      </c>
      <c r="AZ4" s="872"/>
      <c r="BA4" s="872" t="s">
        <v>172</v>
      </c>
      <c r="BB4" s="872"/>
      <c r="BC4" s="872" t="s">
        <v>173</v>
      </c>
      <c r="BD4" s="873"/>
      <c r="BF4" s="870" t="s">
        <v>104</v>
      </c>
      <c r="BG4" s="871"/>
      <c r="BH4" s="872" t="s">
        <v>170</v>
      </c>
      <c r="BI4" s="872"/>
      <c r="BJ4" s="872" t="s">
        <v>171</v>
      </c>
      <c r="BK4" s="872"/>
      <c r="BL4" s="872" t="s">
        <v>172</v>
      </c>
      <c r="BM4" s="872"/>
      <c r="BN4" s="872" t="s">
        <v>173</v>
      </c>
      <c r="BO4" s="873"/>
      <c r="BQ4" s="870" t="s">
        <v>104</v>
      </c>
      <c r="BR4" s="871"/>
      <c r="BS4" s="872" t="s">
        <v>170</v>
      </c>
      <c r="BT4" s="872"/>
      <c r="BU4" s="872" t="s">
        <v>171</v>
      </c>
      <c r="BV4" s="872"/>
      <c r="BW4" s="872" t="s">
        <v>172</v>
      </c>
      <c r="BX4" s="872"/>
      <c r="BY4" s="872" t="s">
        <v>173</v>
      </c>
      <c r="BZ4" s="873"/>
      <c r="CB4" s="870" t="s">
        <v>104</v>
      </c>
      <c r="CC4" s="871"/>
      <c r="CD4" s="872" t="s">
        <v>170</v>
      </c>
      <c r="CE4" s="872"/>
      <c r="CF4" s="872" t="s">
        <v>171</v>
      </c>
      <c r="CG4" s="872"/>
      <c r="CH4" s="872" t="s">
        <v>172</v>
      </c>
      <c r="CI4" s="872"/>
      <c r="CJ4" s="872" t="s">
        <v>173</v>
      </c>
      <c r="CK4" s="873"/>
    </row>
    <row r="5" spans="1:89">
      <c r="A5" s="509"/>
      <c r="B5" s="507"/>
      <c r="C5" s="500"/>
      <c r="D5" s="513"/>
      <c r="E5" s="515" t="s">
        <v>27</v>
      </c>
      <c r="F5" s="515" t="s">
        <v>28</v>
      </c>
      <c r="G5" s="515" t="s">
        <v>27</v>
      </c>
      <c r="H5" s="515" t="s">
        <v>28</v>
      </c>
      <c r="I5" s="515" t="s">
        <v>27</v>
      </c>
      <c r="J5" s="515" t="s">
        <v>28</v>
      </c>
      <c r="K5" s="515" t="s">
        <v>27</v>
      </c>
      <c r="L5" s="516" t="s">
        <v>28</v>
      </c>
      <c r="N5" s="500"/>
      <c r="O5" s="513"/>
      <c r="P5" s="515" t="s">
        <v>27</v>
      </c>
      <c r="Q5" s="515" t="s">
        <v>28</v>
      </c>
      <c r="R5" s="515" t="s">
        <v>27</v>
      </c>
      <c r="S5" s="515" t="s">
        <v>28</v>
      </c>
      <c r="T5" s="515" t="s">
        <v>27</v>
      </c>
      <c r="U5" s="515" t="s">
        <v>28</v>
      </c>
      <c r="V5" s="515" t="s">
        <v>27</v>
      </c>
      <c r="W5" s="516" t="s">
        <v>28</v>
      </c>
      <c r="Y5" s="500"/>
      <c r="Z5" s="513"/>
      <c r="AA5" s="515" t="s">
        <v>27</v>
      </c>
      <c r="AB5" s="515" t="s">
        <v>28</v>
      </c>
      <c r="AC5" s="515" t="s">
        <v>27</v>
      </c>
      <c r="AD5" s="515" t="s">
        <v>28</v>
      </c>
      <c r="AE5" s="515" t="s">
        <v>27</v>
      </c>
      <c r="AF5" s="515" t="s">
        <v>28</v>
      </c>
      <c r="AG5" s="515" t="s">
        <v>27</v>
      </c>
      <c r="AH5" s="516" t="s">
        <v>28</v>
      </c>
      <c r="AJ5" s="500"/>
      <c r="AK5" s="513"/>
      <c r="AL5" s="515" t="s">
        <v>27</v>
      </c>
      <c r="AM5" s="515" t="s">
        <v>28</v>
      </c>
      <c r="AN5" s="515" t="s">
        <v>27</v>
      </c>
      <c r="AO5" s="515" t="s">
        <v>28</v>
      </c>
      <c r="AP5" s="515" t="s">
        <v>27</v>
      </c>
      <c r="AQ5" s="515" t="s">
        <v>28</v>
      </c>
      <c r="AR5" s="515" t="s">
        <v>27</v>
      </c>
      <c r="AS5" s="516" t="s">
        <v>28</v>
      </c>
      <c r="AU5" s="500"/>
      <c r="AV5" s="513"/>
      <c r="AW5" s="515" t="s">
        <v>27</v>
      </c>
      <c r="AX5" s="515" t="s">
        <v>28</v>
      </c>
      <c r="AY5" s="515" t="s">
        <v>27</v>
      </c>
      <c r="AZ5" s="515" t="s">
        <v>28</v>
      </c>
      <c r="BA5" s="515" t="s">
        <v>27</v>
      </c>
      <c r="BB5" s="515" t="s">
        <v>28</v>
      </c>
      <c r="BC5" s="515" t="s">
        <v>27</v>
      </c>
      <c r="BD5" s="516" t="s">
        <v>28</v>
      </c>
      <c r="BF5" s="500"/>
      <c r="BG5" s="513"/>
      <c r="BH5" s="515" t="s">
        <v>27</v>
      </c>
      <c r="BI5" s="515" t="s">
        <v>28</v>
      </c>
      <c r="BJ5" s="515" t="s">
        <v>27</v>
      </c>
      <c r="BK5" s="515" t="s">
        <v>28</v>
      </c>
      <c r="BL5" s="515" t="s">
        <v>27</v>
      </c>
      <c r="BM5" s="515" t="s">
        <v>28</v>
      </c>
      <c r="BN5" s="515" t="s">
        <v>27</v>
      </c>
      <c r="BO5" s="516" t="s">
        <v>28</v>
      </c>
      <c r="BQ5" s="500"/>
      <c r="BR5" s="513"/>
      <c r="BS5" s="515" t="s">
        <v>27</v>
      </c>
      <c r="BT5" s="515" t="s">
        <v>28</v>
      </c>
      <c r="BU5" s="515" t="s">
        <v>27</v>
      </c>
      <c r="BV5" s="515" t="s">
        <v>28</v>
      </c>
      <c r="BW5" s="515" t="s">
        <v>27</v>
      </c>
      <c r="BX5" s="515" t="s">
        <v>28</v>
      </c>
      <c r="BY5" s="515" t="s">
        <v>27</v>
      </c>
      <c r="BZ5" s="516" t="s">
        <v>28</v>
      </c>
      <c r="CB5" s="500" t="s">
        <v>27</v>
      </c>
      <c r="CC5" s="513" t="s">
        <v>28</v>
      </c>
      <c r="CD5" s="515" t="s">
        <v>27</v>
      </c>
      <c r="CE5" s="515" t="s">
        <v>28</v>
      </c>
      <c r="CF5" s="515" t="s">
        <v>27</v>
      </c>
      <c r="CG5" s="515" t="s">
        <v>28</v>
      </c>
      <c r="CH5" s="515" t="s">
        <v>27</v>
      </c>
      <c r="CI5" s="515" t="s">
        <v>28</v>
      </c>
      <c r="CJ5" s="515" t="s">
        <v>27</v>
      </c>
      <c r="CK5" s="516" t="s">
        <v>28</v>
      </c>
    </row>
    <row r="6" spans="1:89">
      <c r="A6" s="509"/>
      <c r="C6" s="501">
        <f>SUM(C7:C44)</f>
        <v>774415158.92607832</v>
      </c>
      <c r="D6" s="514">
        <f t="shared" ref="D6:L6" si="0">SUM(D7:D44)</f>
        <v>3994041159.9863362</v>
      </c>
      <c r="E6" s="517">
        <f t="shared" si="0"/>
        <v>156469131</v>
      </c>
      <c r="F6" s="517">
        <f t="shared" si="0"/>
        <v>958355908</v>
      </c>
      <c r="G6" s="517">
        <f t="shared" si="0"/>
        <v>169550271.69067857</v>
      </c>
      <c r="H6" s="517">
        <f t="shared" si="0"/>
        <v>729657050.95339274</v>
      </c>
      <c r="I6" s="517">
        <f t="shared" si="0"/>
        <v>227792889</v>
      </c>
      <c r="J6" s="517">
        <f t="shared" si="0"/>
        <v>1182515701.0610001</v>
      </c>
      <c r="K6" s="517">
        <f t="shared" si="0"/>
        <v>220602867.23539978</v>
      </c>
      <c r="L6" s="518">
        <f t="shared" si="0"/>
        <v>1123512499.9719434</v>
      </c>
      <c r="N6" s="501">
        <f>SUM(N7:N44)</f>
        <v>282359631.46421683</v>
      </c>
      <c r="O6" s="514">
        <f t="shared" ref="O6:W6" si="1">SUM(O7:O44)</f>
        <v>9677403259.5202065</v>
      </c>
      <c r="P6" s="517">
        <f t="shared" si="1"/>
        <v>71273382.507222921</v>
      </c>
      <c r="Q6" s="517">
        <f t="shared" si="1"/>
        <v>2520146013.3905363</v>
      </c>
      <c r="R6" s="517">
        <f t="shared" si="1"/>
        <v>67363208.022949576</v>
      </c>
      <c r="S6" s="517">
        <f t="shared" si="1"/>
        <v>2319614272.571085</v>
      </c>
      <c r="T6" s="517">
        <f t="shared" si="1"/>
        <v>74491897.939447686</v>
      </c>
      <c r="U6" s="517">
        <f t="shared" si="1"/>
        <v>2493495560.9571395</v>
      </c>
      <c r="V6" s="517">
        <f t="shared" si="1"/>
        <v>69231142.99459666</v>
      </c>
      <c r="W6" s="518">
        <f t="shared" si="1"/>
        <v>2344147412.6014442</v>
      </c>
      <c r="Y6" s="501">
        <f ca="1">SUM(Y7:Y44)</f>
        <v>0</v>
      </c>
      <c r="Z6" s="514">
        <f t="shared" ref="Z6:AH6" si="2">SUM(Z7:Z44)</f>
        <v>0</v>
      </c>
      <c r="AA6" s="517">
        <f t="shared" si="2"/>
        <v>0</v>
      </c>
      <c r="AB6" s="517">
        <f t="shared" si="2"/>
        <v>0</v>
      </c>
      <c r="AC6" s="517">
        <f t="shared" si="2"/>
        <v>0</v>
      </c>
      <c r="AD6" s="517">
        <f t="shared" si="2"/>
        <v>0</v>
      </c>
      <c r="AE6" s="517">
        <f t="shared" si="2"/>
        <v>0</v>
      </c>
      <c r="AF6" s="517">
        <f t="shared" si="2"/>
        <v>0</v>
      </c>
      <c r="AG6" s="517">
        <f t="shared" si="2"/>
        <v>0</v>
      </c>
      <c r="AH6" s="518">
        <f t="shared" si="2"/>
        <v>0</v>
      </c>
      <c r="AJ6" s="501">
        <f>SUM(AJ7:AJ44)</f>
        <v>356728672.96641648</v>
      </c>
      <c r="AK6" s="514">
        <f t="shared" ref="AK6:AS6" si="3">SUM(AK7:AK44)</f>
        <v>7160588868.2689142</v>
      </c>
      <c r="AL6" s="517">
        <f t="shared" si="3"/>
        <v>93172807.850000009</v>
      </c>
      <c r="AM6" s="517">
        <f t="shared" si="3"/>
        <v>1901094972.0177977</v>
      </c>
      <c r="AN6" s="517">
        <f t="shared" si="3"/>
        <v>106162132.13260342</v>
      </c>
      <c r="AO6" s="517">
        <f t="shared" si="3"/>
        <v>2199849062.8638468</v>
      </c>
      <c r="AP6" s="517">
        <f t="shared" si="3"/>
        <v>78455159.189999998</v>
      </c>
      <c r="AQ6" s="517">
        <f t="shared" si="3"/>
        <v>1466531459.9774098</v>
      </c>
      <c r="AR6" s="517">
        <f t="shared" si="3"/>
        <v>78938573.79381308</v>
      </c>
      <c r="AS6" s="518">
        <f t="shared" si="3"/>
        <v>1593113373.4098616</v>
      </c>
      <c r="AU6" s="501">
        <f>SUM(AU7:AU44)</f>
        <v>16250959.000366</v>
      </c>
      <c r="AV6" s="514">
        <f t="shared" ref="AV6:BD6" si="4">SUM(AV7:AV44)</f>
        <v>444438214.01499999</v>
      </c>
      <c r="AW6" s="517">
        <f t="shared" si="4"/>
        <v>5229062</v>
      </c>
      <c r="AX6" s="517">
        <f t="shared" si="4"/>
        <v>139178292</v>
      </c>
      <c r="AY6" s="517">
        <f t="shared" si="4"/>
        <v>4876379</v>
      </c>
      <c r="AZ6" s="517">
        <f t="shared" si="4"/>
        <v>126600112.006</v>
      </c>
      <c r="BA6" s="517">
        <f t="shared" si="4"/>
        <v>2124188.000366</v>
      </c>
      <c r="BB6" s="517">
        <f t="shared" si="4"/>
        <v>63903725.009000003</v>
      </c>
      <c r="BC6" s="517">
        <f t="shared" si="4"/>
        <v>4021330</v>
      </c>
      <c r="BD6" s="518">
        <f t="shared" si="4"/>
        <v>114756085</v>
      </c>
      <c r="BF6" s="501">
        <f>SUM(BF7:BF44)</f>
        <v>6969165</v>
      </c>
      <c r="BG6" s="514">
        <f t="shared" ref="BG6:BO6" si="5">SUM(BG7:BG44)</f>
        <v>129078479</v>
      </c>
      <c r="BH6" s="517">
        <f t="shared" si="5"/>
        <v>1952291</v>
      </c>
      <c r="BI6" s="517">
        <f t="shared" si="5"/>
        <v>36629661</v>
      </c>
      <c r="BJ6" s="517">
        <f t="shared" si="5"/>
        <v>1457959</v>
      </c>
      <c r="BK6" s="517">
        <f t="shared" si="5"/>
        <v>27910455</v>
      </c>
      <c r="BL6" s="517">
        <f t="shared" si="5"/>
        <v>1149553</v>
      </c>
      <c r="BM6" s="517">
        <f t="shared" si="5"/>
        <v>21087196</v>
      </c>
      <c r="BN6" s="517">
        <f t="shared" si="5"/>
        <v>2409362</v>
      </c>
      <c r="BO6" s="518">
        <f t="shared" si="5"/>
        <v>43451167</v>
      </c>
      <c r="BQ6" s="501">
        <f>SUM(BQ7:BQ44)</f>
        <v>5609405.8600000003</v>
      </c>
      <c r="BR6" s="514">
        <f t="shared" ref="BR6:BZ6" si="6">SUM(BR7:BR44)</f>
        <v>132679570</v>
      </c>
      <c r="BS6" s="517">
        <f t="shared" si="6"/>
        <v>2015782.33</v>
      </c>
      <c r="BT6" s="517">
        <f t="shared" si="6"/>
        <v>47859178</v>
      </c>
      <c r="BU6" s="517">
        <f t="shared" si="6"/>
        <v>1536995.73</v>
      </c>
      <c r="BV6" s="517">
        <f t="shared" si="6"/>
        <v>36373713</v>
      </c>
      <c r="BW6" s="517">
        <f t="shared" si="6"/>
        <v>622864.24</v>
      </c>
      <c r="BX6" s="517">
        <f t="shared" si="6"/>
        <v>14289913</v>
      </c>
      <c r="BY6" s="517">
        <f t="shared" si="6"/>
        <v>1433763.56</v>
      </c>
      <c r="BZ6" s="518">
        <f t="shared" si="6"/>
        <v>34156766</v>
      </c>
      <c r="CB6" s="501">
        <f>SUM(CB7:CB44)</f>
        <v>1442332993.2170777</v>
      </c>
      <c r="CC6" s="514">
        <f t="shared" ref="CC6:CK6" si="7">SUM(CC7:CC44)</f>
        <v>21538229550.790459</v>
      </c>
      <c r="CD6" s="517">
        <f t="shared" si="7"/>
        <v>330112456.6872229</v>
      </c>
      <c r="CE6" s="517">
        <f t="shared" si="7"/>
        <v>5603264024.4083328</v>
      </c>
      <c r="CF6" s="517">
        <f t="shared" si="7"/>
        <v>350946945.5762316</v>
      </c>
      <c r="CG6" s="517">
        <f t="shared" si="7"/>
        <v>5440004666.3943243</v>
      </c>
      <c r="CH6" s="517">
        <f t="shared" si="7"/>
        <v>384636551.36981368</v>
      </c>
      <c r="CI6" s="517">
        <f t="shared" si="7"/>
        <v>5241823556.004549</v>
      </c>
      <c r="CJ6" s="517">
        <f t="shared" si="7"/>
        <v>376637039.58380955</v>
      </c>
      <c r="CK6" s="518">
        <f t="shared" si="7"/>
        <v>5253137303.9832497</v>
      </c>
    </row>
    <row r="7" spans="1:89">
      <c r="A7" s="509"/>
      <c r="B7" s="484" t="s">
        <v>137</v>
      </c>
      <c r="C7" s="502">
        <f>SUM(E7,G7,I7,K7)</f>
        <v>0</v>
      </c>
      <c r="D7" s="512">
        <f>SUM(F7,H7,J7,L7)</f>
        <v>0</v>
      </c>
      <c r="E7" s="519">
        <f>SUMIFS('P &amp; NP'!$C$7:$WL$7,'P &amp; NP'!$C$5:$WL$5,"PL",'P &amp; NP'!$C$2:$WL$2,"Bangkalan")</f>
        <v>0</v>
      </c>
      <c r="F7" s="519">
        <f>SUMIFS('P &amp; NP'!$C$7:$WL$7,'P &amp; NP'!$C$5:$WL$5,"NPL",'P &amp; NP'!$C$2:$WL$2,"Bangkalan")</f>
        <v>0</v>
      </c>
      <c r="G7" s="519">
        <f>SUMIFS('P &amp; NP'!$C$8:$WL$8,'P &amp; NP'!$C$5:$WL$5,"PS",'P &amp; NP'!$C$2:$WL$2,"Bangkalan")</f>
        <v>0</v>
      </c>
      <c r="H7" s="519">
        <f>SUMIFS('P &amp; NP'!$C$8:$WL$8,'P &amp; NP'!$C$5:$WL$5,"NPL",'P &amp; NP'!$C$2:$WL$2,"Bangkalan")</f>
        <v>0</v>
      </c>
      <c r="I7" s="519">
        <f>SUMIFS('P &amp; NP'!$C$9:$WL$9,'P &amp; NP'!$C$5:$WL$5,"PL",'P &amp; NP'!$C$2:$WL$2,"Bangkalan")</f>
        <v>0</v>
      </c>
      <c r="J7" s="519">
        <f>SUMIFS('P &amp; NP'!$C$9:$WL$9,'P &amp; NP'!$C$5:$WL$5,"NPL",'P &amp; NP'!$C$2:$WL$2,"Bangkalan")</f>
        <v>0</v>
      </c>
      <c r="K7" s="519">
        <f>SUMIFS('P &amp; NP'!$C$10:$WL$10,'P &amp; NP'!$C$5:$WL$5,"PL",'P &amp; NP'!$C$2:$WL$2,"Bangkalan")</f>
        <v>0</v>
      </c>
      <c r="L7" s="519">
        <f>SUMIFS('P &amp; NP'!$C$10:$WL$10,'P &amp; NP'!$C$5:$WL$5,"NPL",'P &amp; NP'!$C$2:$WL$2,"Bangkalan")</f>
        <v>0</v>
      </c>
      <c r="N7" s="502">
        <f>SUM(P7,R7,T7,V7)</f>
        <v>14223257</v>
      </c>
      <c r="O7" s="512">
        <f>SUM(Q7,S7,U7,W7)</f>
        <v>530450673.60000002</v>
      </c>
      <c r="P7" s="519">
        <f>SUMIFS('P &amp; NP'!$C$7:$WL$7,'P &amp; NP'!$C$5:$WL$5,"PT",'P &amp; NP'!$C$2:$WL$2,"Bangkalan")</f>
        <v>4615502</v>
      </c>
      <c r="Q7" s="519">
        <f>SUMIFS('P &amp; NP'!$C$7:$WL$7,'P &amp; NP'!$C$5:$WL$5,"NPT",'P &amp; NP'!$C$2:$WL$2,"Bangkalan")</f>
        <v>153546333.579</v>
      </c>
      <c r="R7" s="519">
        <f>SUMIFS('P &amp; NP'!$C$8:$WL$8,'P &amp; NP'!$C$5:$WL$5,"PT",'P &amp; NP'!$C$2:$WL$2,"Bangkalan")</f>
        <v>1895935</v>
      </c>
      <c r="S7" s="519">
        <f>SUMIFS('P &amp; NP'!$C$8:$WL$8,'P &amp; NP'!$C$5:$WL$5,"NPT",'P &amp; NP'!$C$2:$WL$2,"Bangkalan")</f>
        <v>62525054.509000003</v>
      </c>
      <c r="T7" s="519">
        <f>SUMIFS('P &amp; NP'!$C$9:$WL$9,'P &amp; NP'!$C$5:$WL$5,"PT",'P &amp; NP'!$C$2:$WL$2,"Bangkalan")</f>
        <v>1617720</v>
      </c>
      <c r="U7" s="519">
        <f>SUMIFS('P &amp; NP'!$C$9:$WL$9,'P &amp; NP'!$C$5:$WL$5,"NPT",'P &amp; NP'!$C$2:$WL$2,"Bangkalan")</f>
        <v>56674285.511999995</v>
      </c>
      <c r="V7" s="519">
        <f>SUMIFS('P &amp; NP'!$C$10:$WL$10,'P &amp; NP'!$C$5:$WL$5,"PT",'P &amp; NP'!$C$2:$WL$2,"Bangkalan")</f>
        <v>6094100</v>
      </c>
      <c r="W7" s="519">
        <f>SUMIFS('P &amp; NP'!$C$10:$WL$10,'P &amp; NP'!$C$5:$WL$5,"NPT",'P &amp; NP'!$C$2:$WL$2,"Bangkalan")</f>
        <v>257705000</v>
      </c>
      <c r="Y7" s="502">
        <f>SUMIF(AA5:$AH$5,$Y$1,AA7:AH7)</f>
        <v>0</v>
      </c>
      <c r="Z7" s="512">
        <f>SUMIF($AA$5:$AH$5,$Z$1,AA7:AH7)</f>
        <v>0</v>
      </c>
      <c r="AA7" s="519">
        <f>SUMIFS('P &amp; NP'!$C$7:$WL$7,'P &amp; NP'!$C$5:$WL$5,"PS",'P &amp; NP'!$C$2:$WL$2,"Bangkalan")</f>
        <v>0</v>
      </c>
      <c r="AB7" s="519">
        <f>SUMIFS('P &amp; NP'!$C$7:$WL$7,'P &amp; NP'!$C$5:$WL$5,"NPS",'P &amp; NP'!$C$2:$WL$2,"Bangkalan")</f>
        <v>0</v>
      </c>
      <c r="AC7" s="519">
        <f>SUMIFS('P &amp; NP'!$C$8:$WL$8,'P &amp; NP'!$C$5:$WL$5,"PS",'P &amp; NP'!$C$2:$WL$2,"Bangkalan")</f>
        <v>0</v>
      </c>
      <c r="AD7" s="519">
        <f>SUMIFS('P &amp; NP'!$C$8:$WL$8,'P &amp; NP'!$C$5:$WL$5,"NPS",'P &amp; NP'!$C$2:$WL$2,"Bangkalan")</f>
        <v>0</v>
      </c>
      <c r="AE7" s="519">
        <f>SUMIFS('P &amp; NP'!$C$9:$WL$9,'P &amp; NP'!$C$5:$WL$5,"PS",'P &amp; NP'!$C$2:$WL$2,"Bangkalan")</f>
        <v>0</v>
      </c>
      <c r="AF7" s="519">
        <f>SUMIFS('P &amp; NP'!$C$9:$WL$9,'P &amp; NP'!$C$5:$WL$5,"NPS",'P &amp; NP'!$C$2:$WL$2,"Bangkalan")</f>
        <v>0</v>
      </c>
      <c r="AG7" s="519">
        <f>SUMIFS('P &amp; NP'!$C$10:$WL$10,'P &amp; NP'!$C$5:$WL$5,"PS",'P &amp; NP'!$C$2:$WL$2,"Bangkalan")</f>
        <v>0</v>
      </c>
      <c r="AH7" s="519">
        <f>SUMIFS('P &amp; NP'!$C$10:$WL$10,'P &amp; NP'!$C$5:$WL$5,"NPS",'P &amp; NP'!$C$2:$WL$2,"Bangkalan")</f>
        <v>0</v>
      </c>
      <c r="AJ7" s="502">
        <f>SUM(AL7,AN7,AP7,AR7)</f>
        <v>853750</v>
      </c>
      <c r="AK7" s="512">
        <f>SUM(AM7,AO7,AQ7,AS7)</f>
        <v>19204750</v>
      </c>
      <c r="AL7" s="519">
        <f>SUMIFS('P &amp; NP'!$C$7:$WL$7,'P &amp; NP'!$C$5:$WL$5,"PK",'P &amp; NP'!$C$2:$WL$2,"Bangkalan")</f>
        <v>338750</v>
      </c>
      <c r="AM7" s="519">
        <f>SUMIFS('P &amp; NP'!$C$7:$WL$7,'P &amp; NP'!$C$5:$WL$5,"NPK",'P &amp; NP'!$C$2:$WL$2,"Bangkalan")</f>
        <v>7611950</v>
      </c>
      <c r="AN7" s="519">
        <f>SUMIFS('P &amp; NP'!$C$8:$WL$8,'P &amp; NP'!$C$5:$WL$5,"PK",'P &amp; NP'!$C$2:$WL$2,"Bangkalan")</f>
        <v>139550</v>
      </c>
      <c r="AO7" s="519">
        <f>SUMIFS('P &amp; NP'!$C$8:$WL$8,'P &amp; NP'!$C$5:$WL$5,"NPK",'P &amp; NP'!$C$2:$WL$2,"Bangkalan")</f>
        <v>3135250</v>
      </c>
      <c r="AP7" s="519">
        <f>SUMIFS('P &amp; NP'!$C$9:$WL$9,'P &amp; NP'!$C$5:$WL$5,"PK",'P &amp; NP'!$C$2:$WL$2,"Bangkalan")</f>
        <v>138350</v>
      </c>
      <c r="AQ7" s="519">
        <f>SUMIFS('P &amp; NP'!$C$9:$WL$9,'P &amp; NP'!$C$5:$WL$5,"NPK",'P &amp; NP'!$C$2:$WL$2,"Bangkalan")</f>
        <v>3128650</v>
      </c>
      <c r="AR7" s="519">
        <f>SUMIFS('P &amp; NP'!$C$10:$WL$10,'P &amp; NP'!$C$5:$WL$5,"PK",'P &amp; NP'!$C$2:$WL$2,"Bangkalan")</f>
        <v>237100</v>
      </c>
      <c r="AS7" s="519">
        <f>SUMIFS('P &amp; NP'!$C$10:$WL$10,'P &amp; NP'!$C$5:$WL$5,"NPK",'P &amp; NP'!$C$2:$WL$2,"Bangkalan")</f>
        <v>5328900</v>
      </c>
      <c r="AU7" s="502">
        <f>SUM(AW7,AY7,BA7,BC7)</f>
        <v>0</v>
      </c>
      <c r="AV7" s="512">
        <f>SUM(AX7,AZ7,BB7,BD7)</f>
        <v>0</v>
      </c>
      <c r="AW7" s="519">
        <f>SUMIFS('P &amp; NP'!$C$7:$WL$7,'P &amp; NP'!$C$5:$WL$5,"PM",'P &amp; NP'!$C$2:$WL$2,"Bangkalan")</f>
        <v>0</v>
      </c>
      <c r="AX7" s="519">
        <f>SUMIFS('P &amp; NP'!$C$7:$WL$7,'P &amp; NP'!$C$5:$WL$5,"NPM",'P &amp; NP'!$C$2:$WL$2,"Bangkalan")</f>
        <v>0</v>
      </c>
      <c r="AY7" s="519">
        <f>SUMIFS('P &amp; NP'!$C$8:$WL$8,'P &amp; NP'!$C$5:$WL$5,"PM",'P &amp; NP'!$C$2:$WL$2,"Bangkalan")</f>
        <v>0</v>
      </c>
      <c r="AZ7" s="519">
        <f>SUMIFS('P &amp; NP'!$C$8:$WL$8,'P &amp; NP'!$C$5:$WL$5,"NPM",'P &amp; NP'!$C$2:$WL$2,"Bangkalan")</f>
        <v>0</v>
      </c>
      <c r="BA7" s="519">
        <f>SUMIFS('P &amp; NP'!$C$9:$WL$9,'P &amp; NP'!$C$5:$WL$5,"PM",'P &amp; NP'!$C$2:$WL$2,"Bangkalan")</f>
        <v>0</v>
      </c>
      <c r="BB7" s="519">
        <f>SUMIFS('P &amp; NP'!$C$9:$WL$9,'P &amp; NP'!$C$5:$WL$5,"NPM",'P &amp; NP'!$C$2:$WL$2,"Bangkalan")</f>
        <v>0</v>
      </c>
      <c r="BC7" s="519">
        <f>SUMIFS('P &amp; NP'!$C$10:$WL$10,'P &amp; NP'!$C$5:$WL$5,"PM",'P &amp; NP'!$C$2:$WL$2,"Bangkalan")</f>
        <v>0</v>
      </c>
      <c r="BD7" s="519">
        <f>SUMIFS('P &amp; NP'!$C$10:$WL$10,'P &amp; NP'!$C$5:$WL$5,"NPM",'P &amp; NP'!$C$2:$WL$2,"Bangkalan")</f>
        <v>0</v>
      </c>
      <c r="BF7" s="502">
        <f>SUM(BH7,BJ7,BL7,BN7)</f>
        <v>4600</v>
      </c>
      <c r="BG7" s="512">
        <f>SUM(BI7,BK7,BM7,BO7)</f>
        <v>92000</v>
      </c>
      <c r="BH7" s="519">
        <f>SUMIFS('P &amp; NP'!$C$7:$WL$7,'P &amp; NP'!$C$5:$WL$5,"PB",'P &amp; NP'!$C$2:$WL$2,"Bangkalan")</f>
        <v>1300</v>
      </c>
      <c r="BI7" s="519">
        <f>SUMIFS('P &amp; NP'!$C$7:$WL$7,'P &amp; NP'!$C$5:$WL$5,"NPB",'P &amp; NP'!$C$2:$WL$2,"Bangkalan")</f>
        <v>26000</v>
      </c>
      <c r="BJ7" s="519">
        <f>SUMIFS('P &amp; NP'!$C$8:$WL$8,'P &amp; NP'!$C$5:$WL$5,"PB",'P &amp; NP'!$C$2:$WL$2,"Bangkalan")</f>
        <v>800</v>
      </c>
      <c r="BK7" s="519">
        <f>SUMIFS('P &amp; NP'!$C$8:$WL$8,'P &amp; NP'!$C$5:$WL$5,"NPB",'P &amp; NP'!$C$2:$WL$2,"Bangkalan")</f>
        <v>16000</v>
      </c>
      <c r="BL7" s="519">
        <f>SUMIFS('P &amp; NP'!$C$9:$WL$9,'P &amp; NP'!$C$5:$WL$5,"PB",'P &amp; NP'!$C$2:$WL$2,"Bangkalan")</f>
        <v>700</v>
      </c>
      <c r="BM7" s="519">
        <f>SUMIFS('P &amp; NP'!$C$9:$WL$9,'P &amp; NP'!$C$5:$WL$5,"NPB",'P &amp; NP'!$C$2:$WL$2,"Bangkalan")</f>
        <v>14000</v>
      </c>
      <c r="BN7" s="519">
        <f>SUMIFS('P &amp; NP'!$C$10:$WL$10,'P &amp; NP'!$C$5:$WL$5,"PB",'P &amp; NP'!$C$2:$WL$2,"Bangkalan")</f>
        <v>1800</v>
      </c>
      <c r="BO7" s="519">
        <f>SUMIFS('P &amp; NP'!$C$10:$WL$10,'P &amp; NP'!$C$5:$WL$5,"NPB",'P &amp; NP'!$C$2:$WL$2,"Bangkalan")</f>
        <v>36000</v>
      </c>
      <c r="BQ7" s="502">
        <f>SUM(BS7,BU7,BW7,BY7)</f>
        <v>0</v>
      </c>
      <c r="BR7" s="512">
        <f>SUM(BT7,BV7,BX7,BZ7)</f>
        <v>0</v>
      </c>
      <c r="BS7" s="519">
        <f>SUMIFS('P &amp; NP'!$C$7:$WL$7,'P &amp; NP'!$C$5:$WL$5,"PJ",'P &amp; NP'!$C$2:$WL$2,"Bangkalan")</f>
        <v>0</v>
      </c>
      <c r="BT7" s="519">
        <f>SUMIFS('P &amp; NP'!$C$7:$WL$7,'P &amp; NP'!$C$5:$WL$5,"NPJ",'P &amp; NP'!$C$2:$WL$2,"Bangkalan")</f>
        <v>0</v>
      </c>
      <c r="BU7" s="519">
        <f>SUMIFS('P &amp; NP'!$C$8:$WL$8,'P &amp; NP'!$C$5:$WL$5,"PJ",'P &amp; NP'!$C$2:$WL$2,"Bangkalan")</f>
        <v>0</v>
      </c>
      <c r="BV7" s="519">
        <f>SUMIFS('P &amp; NP'!$C$8:$WL$8,'P &amp; NP'!$C$5:$WL$5,"NPJ",'P &amp; NP'!$C$2:$WL$2,"Bangkalan")</f>
        <v>0</v>
      </c>
      <c r="BW7" s="519">
        <f>SUMIFS('P &amp; NP'!$C$9:$WL$9,'P &amp; NP'!$C$5:$WL$5,"PJ",'P &amp; NP'!$C$2:$WL$2,"Bangkalan")</f>
        <v>0</v>
      </c>
      <c r="BX7" s="519">
        <f>SUMIFS('P &amp; NP'!$C$9:$WL$9,'P &amp; NP'!$C$5:$WL$5,"NPJ",'P &amp; NP'!$C$2:$WL$2,"Bangkalan")</f>
        <v>0</v>
      </c>
      <c r="BY7" s="519">
        <f>SUMIFS('P &amp; NP'!$C$10:$WL$10,'P &amp; NP'!$C$5:$WL$5,"PJ",'P &amp; NP'!$C$2:$WL$2,"Bangkalan")</f>
        <v>0</v>
      </c>
      <c r="BZ7" s="519">
        <f>SUMIFS('P &amp; NP'!$C$10:$WL$10,'P &amp; NP'!$C$5:$WL$5,"NPJ",'P &amp; NP'!$C$2:$WL$2,"Bangkalan")</f>
        <v>0</v>
      </c>
      <c r="CB7" s="502">
        <f>SUM(CD7,CF7,CH7,CJ7)</f>
        <v>15081607</v>
      </c>
      <c r="CC7" s="512">
        <f>SUM(CE7,CG7,CI7,CK7)</f>
        <v>549747423.60000002</v>
      </c>
      <c r="CD7" s="519">
        <f>SUMIFS(C7:BZ7,$C$5:$BZ$5,"P",$C$47:$BZ$47,"TW1")</f>
        <v>4955552</v>
      </c>
      <c r="CE7" s="519">
        <f>SUMIFS(C7:BZ7,$C$5:$BZ$5,"NP",$C$47:$BZ$47,"TW1")</f>
        <v>161184283.579</v>
      </c>
      <c r="CF7" s="519">
        <f>SUMIFS(C7:BZ7,$C$5:$BZ$5,"P",$C$47:$BZ$47,"TW2")</f>
        <v>2036285</v>
      </c>
      <c r="CG7" s="519">
        <f>SUMIFS(C7:BZ7,$C$5:$BZ$5,"NP",$C$47:$BZ$47,"TW2")</f>
        <v>65676304.509000003</v>
      </c>
      <c r="CH7" s="519">
        <f>SUMIFS(C7:BZ7,$C$5:$BZ$5,"P",$C$47:$BZ$47,"TW3")</f>
        <v>1756770</v>
      </c>
      <c r="CI7" s="519">
        <f>SUMIFS(C7:BZ7,$C$5:$BZ$5,"NP",$C$47:$BZ$47,"TW3")</f>
        <v>59816935.511999995</v>
      </c>
      <c r="CJ7" s="519">
        <f>SUMIFS(C7:BZ7,$C$5:$BZ$5,"P",$C$47:$BZ$47,"TW4")</f>
        <v>6333000</v>
      </c>
      <c r="CK7" s="519">
        <f>SUMIFS(C7:BZ7,$C$5:$BZ$5,"NP",$C$47:$BZ$47,"TW4")</f>
        <v>263069900</v>
      </c>
    </row>
    <row r="8" spans="1:89">
      <c r="A8" s="509"/>
      <c r="B8" s="484" t="s">
        <v>121</v>
      </c>
      <c r="C8" s="502">
        <f t="shared" ref="C8:C44" si="8">SUM(E8,G8,I8,K8)</f>
        <v>48260</v>
      </c>
      <c r="D8" s="512">
        <f t="shared" ref="D8:D44" si="9">SUM(F8,H8,J8,L8)</f>
        <v>5721650</v>
      </c>
      <c r="E8" s="519">
        <f>SUMIFS('P &amp; NP'!$C$7:$WL$7,'P &amp; NP'!$C$5:$WL$5,"PL",'P &amp; NP'!$C$2:$WL$2,"BANYUWANGI")</f>
        <v>13430</v>
      </c>
      <c r="F8" s="519">
        <f>SUMIFS('P &amp; NP'!$C$7:$WL$7,'P &amp; NP'!$C$5:$WL$5,"NPL",'P &amp; NP'!$C$2:$WL$2,"BANYUWANGI")</f>
        <v>1763450</v>
      </c>
      <c r="G8" s="519">
        <f>SUMIFS('P &amp; NP'!$C$8:$WL$8,'P &amp; NP'!$C$5:$WL$5,"PL",'P &amp; NP'!$C$2:$WL$2,"BANYUWANGI")</f>
        <v>18470</v>
      </c>
      <c r="H8" s="519">
        <f>SUMIFS('P &amp; NP'!$C$8:$WL$8,'P &amp; NP'!$C$5:$WL$5,"NPL",'P &amp; NP'!$C$2:$WL$2,"BANYUWANGI")</f>
        <v>1961025</v>
      </c>
      <c r="I8" s="519">
        <f>SUMIFS('P &amp; NP'!$C$9:$WL$9,'P &amp; NP'!$C$5:$WL$5,"PL",'P &amp; NP'!$C$2:$WL$2,"BANYUWANGI")</f>
        <v>7080</v>
      </c>
      <c r="J8" s="519">
        <f>SUMIFS('P &amp; NP'!$C$9:$WL$9,'P &amp; NP'!$C$5:$WL$5,"NPL",'P &amp; NP'!$C$2:$WL$2,"BANYUWANGI")</f>
        <v>868300</v>
      </c>
      <c r="K8" s="519">
        <f>SUMIFS('P &amp; NP'!$C$10:$WL$10,'P &amp; NP'!$C$5:$WL$5,"PL",'P &amp; NP'!$C$2:$WL$2,"BANYUWANGI")</f>
        <v>9280</v>
      </c>
      <c r="L8" s="519">
        <f>SUMIFS('P &amp; NP'!$C$10:$WL$10,'P &amp; NP'!$C$5:$WL$5,"NPL",'P &amp; NP'!$C$2:$WL$2,"BANYUWANGI")</f>
        <v>1128875</v>
      </c>
      <c r="N8" s="502">
        <f t="shared" ref="N8:N44" si="10">SUM(P8,R8,T8,V8)</f>
        <v>20072390</v>
      </c>
      <c r="O8" s="512">
        <f t="shared" ref="O8:O44" si="11">SUM(Q8,S8,U8,W8)</f>
        <v>1036698610</v>
      </c>
      <c r="P8" s="519">
        <f>SUMIFS('P &amp; NP'!$C$7:$WL$7,'P &amp; NP'!$C$5:$WL$5,"PT",'P &amp; NP'!$C$2:$WL$2,"BANYUWANGI")</f>
        <v>4745625</v>
      </c>
      <c r="Q8" s="519">
        <f>SUMIFS('P &amp; NP'!$C$7:$WL$7,'P &amp; NP'!$C$5:$WL$5,"NPT",'P &amp; NP'!$C$2:$WL$2,"BANYUWANGI")</f>
        <v>236836650</v>
      </c>
      <c r="R8" s="519">
        <f>SUMIFS('P &amp; NP'!$C$8:$WL$8,'P &amp; NP'!$C$5:$WL$5,"PT",'P &amp; NP'!$C$2:$WL$2,"BANYUWANGI")</f>
        <v>5146690</v>
      </c>
      <c r="S8" s="519">
        <f>SUMIFS('P &amp; NP'!$C$8:$WL$8,'P &amp; NP'!$C$5:$WL$5,"NPT",'P &amp; NP'!$C$2:$WL$2,"BANYUWANGI")</f>
        <v>268176460</v>
      </c>
      <c r="T8" s="519">
        <f>SUMIFS('P &amp; NP'!$C$9:$WL$9,'P &amp; NP'!$C$5:$WL$5,"PT",'P &amp; NP'!$C$2:$WL$2,"BANYUWANGI")</f>
        <v>5040640</v>
      </c>
      <c r="U8" s="519">
        <f>SUMIFS('P &amp; NP'!$C$9:$WL$9,'P &amp; NP'!$C$5:$WL$5,"NPT",'P &amp; NP'!$C$2:$WL$2,"BANYUWANGI")</f>
        <v>275695725</v>
      </c>
      <c r="V8" s="519">
        <f>SUMIFS('P &amp; NP'!$C$10:$WL$10,'P &amp; NP'!$C$5:$WL$5,"PT",'P &amp; NP'!$C$2:$WL$2,"BANYUWANGI")</f>
        <v>5139435</v>
      </c>
      <c r="W8" s="519">
        <f>SUMIFS('P &amp; NP'!$C$10:$WL$10,'P &amp; NP'!$C$5:$WL$5,"NPT",'P &amp; NP'!$C$2:$WL$2,"BANYUWANGI")</f>
        <v>255989775</v>
      </c>
      <c r="Y8" s="502">
        <f ca="1">SUMIF(AA$5:$AH6,$Y$1,AA8:AH8)</f>
        <v>0</v>
      </c>
      <c r="Z8" s="512">
        <f t="shared" ref="Z8:Z44" si="12">SUMIF($AA$5:$AH$5,$Z$1,AA8:AH8)</f>
        <v>0</v>
      </c>
      <c r="AA8" s="519">
        <f>SUMIFS('P &amp; NP'!$C$7:$WL$7,'P &amp; NP'!$C$5:$WL$5,"PS",'P &amp; NP'!$C$2:$WL$2,"BANYUWANGI")</f>
        <v>0</v>
      </c>
      <c r="AB8" s="519">
        <f>SUMIFS('P &amp; NP'!$C$7:$WL$7,'P &amp; NP'!$C$5:$WL$5,"NPS",'P &amp; NP'!$C$2:$WL$2,"BANYUWANGI")</f>
        <v>0</v>
      </c>
      <c r="AC8" s="519">
        <f>SUMIFS('P &amp; NP'!$C$8:$WL$8,'P &amp; NP'!$C$5:$WL$5,"PS",'P &amp; NP'!$C$2:$WL$2,"BANYUWANGI")</f>
        <v>0</v>
      </c>
      <c r="AD8" s="519">
        <f>SUMIFS('P &amp; NP'!$C$8:$WL$8,'P &amp; NP'!$C$5:$WL$5,"NPS",'P &amp; NP'!$C$2:$WL$2,"BANYUWANGI")</f>
        <v>0</v>
      </c>
      <c r="AE8" s="519">
        <f>SUMIFS('P &amp; NP'!$C$9:$WL$9,'P &amp; NP'!$C$5:$WL$5,"PS",'P &amp; NP'!$C$2:$WL$2,"BANYUWANGI")</f>
        <v>0</v>
      </c>
      <c r="AF8" s="519">
        <f>SUMIFS('P &amp; NP'!$C$9:$WL$9,'P &amp; NP'!$C$5:$WL$5,"NPS",'P &amp; NP'!$C$2:$WL$2,"BANYUWANGI")</f>
        <v>0</v>
      </c>
      <c r="AG8" s="519">
        <f>SUMIFS('P &amp; NP'!$C$10:$WL$10,'P &amp; NP'!$C$5:$WL$5,"PS",'P &amp; NP'!$C$2:$WL$2,"BANYUWANGI")</f>
        <v>0</v>
      </c>
      <c r="AH8" s="519">
        <f>SUMIFS('P &amp; NP'!$C$10:$WL$10,'P &amp; NP'!$C$5:$WL$5,"NPS",'P &amp; NP'!$C$2:$WL$2,"BANYUWANGI")</f>
        <v>0</v>
      </c>
      <c r="AJ8" s="502">
        <f t="shared" ref="AJ8:AJ44" si="13">SUM(AL8,AN8,AP8,AR8)</f>
        <v>10385735</v>
      </c>
      <c r="AK8" s="512">
        <f t="shared" ref="AK8:AK44" si="14">SUM(AM8,AO8,AQ8,AS8)</f>
        <v>211580220</v>
      </c>
      <c r="AL8" s="519">
        <f>SUMIFS('P &amp; NP'!$C$7:$WL$7,'P &amp; NP'!$C$5:$WL$5,"PK",'P &amp; NP'!$C$2:$WL$2,"BANYUWANGI")</f>
        <v>2508160</v>
      </c>
      <c r="AM8" s="519">
        <f>SUMIFS('P &amp; NP'!$C$7:$WL$7,'P &amp; NP'!$C$5:$WL$5,"NPK",'P &amp; NP'!$C$2:$WL$2,"BANYUWANGI")</f>
        <v>50955415</v>
      </c>
      <c r="AN8" s="519">
        <f>SUMIFS('P &amp; NP'!$C$8:$WL$8,'P &amp; NP'!$C$5:$WL$5,"PK",'P &amp; NP'!$C$2:$WL$2,"BANYUWANGI")</f>
        <v>2350479</v>
      </c>
      <c r="AO8" s="519">
        <f>SUMIFS('P &amp; NP'!$C$8:$WL$8,'P &amp; NP'!$C$5:$WL$5,"NPK",'P &amp; NP'!$C$2:$WL$2,"BANYUWANGI")</f>
        <v>47920575</v>
      </c>
      <c r="AP8" s="519">
        <f>SUMIFS('P &amp; NP'!$C$9:$WL$9,'P &amp; NP'!$C$5:$WL$5,"PK",'P &amp; NP'!$C$2:$WL$2,"BANYUWANGI")</f>
        <v>2639395</v>
      </c>
      <c r="AQ8" s="519">
        <f>SUMIFS('P &amp; NP'!$C$9:$WL$9,'P &amp; NP'!$C$5:$WL$5,"NPK",'P &amp; NP'!$C$2:$WL$2,"BANYUWANGI")</f>
        <v>53757590</v>
      </c>
      <c r="AR8" s="519">
        <f>SUMIFS('P &amp; NP'!$C$10:$WL$10,'P &amp; NP'!$C$5:$WL$5,"PK",'P &amp; NP'!$C$2:$WL$2,"BANYUWANGI")</f>
        <v>2887701</v>
      </c>
      <c r="AS8" s="519">
        <f>SUMIFS('P &amp; NP'!$C$10:$WL$10,'P &amp; NP'!$C$5:$WL$5,"NPK",'P &amp; NP'!$C$2:$WL$2,"BANYUWANGI")</f>
        <v>58946640</v>
      </c>
      <c r="AU8" s="502">
        <f t="shared" ref="AU8:AU44" si="15">SUM(AW8,AY8,BA8,BC8)</f>
        <v>68205</v>
      </c>
      <c r="AV8" s="512">
        <f t="shared" ref="AV8:AV44" si="16">SUM(AX8,AZ8,BB8,BD8)</f>
        <v>1867275</v>
      </c>
      <c r="AW8" s="519">
        <f>SUMIFS('P &amp; NP'!$C$7:$WL$7,'P &amp; NP'!$C$5:$WL$5,"PM",'P &amp; NP'!$C$2:$WL$2,"BANYUWANGI")</f>
        <v>18740</v>
      </c>
      <c r="AX8" s="519">
        <f>SUMIFS('P &amp; NP'!$C$7:$WL$7,'P &amp; NP'!$C$5:$WL$5,"NPM",'P &amp; NP'!$C$2:$WL$2,"BANYUWANGI")</f>
        <v>510625</v>
      </c>
      <c r="AY8" s="519">
        <f>SUMIFS('P &amp; NP'!$C$8:$WL$8,'P &amp; NP'!$C$5:$WL$5,"PM",'P &amp; NP'!$C$2:$WL$2,"BANYUWANGI")</f>
        <v>15950</v>
      </c>
      <c r="AZ8" s="519">
        <f>SUMIFS('P &amp; NP'!$C$8:$WL$8,'P &amp; NP'!$C$5:$WL$5,"NPM",'P &amp; NP'!$C$2:$WL$2,"BANYUWANGI")</f>
        <v>436300</v>
      </c>
      <c r="BA8" s="519">
        <f>SUMIFS('P &amp; NP'!$C$9:$WL$9,'P &amp; NP'!$C$5:$WL$5,"PM",'P &amp; NP'!$C$2:$WL$2,"BANYUWANGI")</f>
        <v>17280</v>
      </c>
      <c r="BB8" s="519">
        <f>SUMIFS('P &amp; NP'!$C$9:$WL$9,'P &amp; NP'!$C$5:$WL$5,"NPM",'P &amp; NP'!$C$2:$WL$2,"BANYUWANGI")</f>
        <v>472200</v>
      </c>
      <c r="BC8" s="519">
        <f>SUMIFS('P &amp; NP'!$C$10:$WL$10,'P &amp; NP'!$C$5:$WL$5,"PM",'P &amp; NP'!$C$2:$WL$2,"BANYUWANGI")</f>
        <v>16235</v>
      </c>
      <c r="BD8" s="519">
        <f>SUMIFS('P &amp; NP'!$C$10:$WL$10,'P &amp; NP'!$C$5:$WL$5,"NPM",'P &amp; NP'!$C$2:$WL$2,"BANYUWANGI")</f>
        <v>448150</v>
      </c>
      <c r="BF8" s="502">
        <f t="shared" ref="BF8:BF44" si="17">SUM(BH8,BJ8,BL8,BN8)</f>
        <v>47815</v>
      </c>
      <c r="BG8" s="512">
        <f t="shared" ref="BG8:BG44" si="18">SUM(BI8,BK8,BM8,BO8)</f>
        <v>1317575</v>
      </c>
      <c r="BH8" s="519">
        <f>SUMIFS('P &amp; NP'!$C$7:$WL$7,'P &amp; NP'!$C$5:$WL$5,"PB",'P &amp; NP'!$C$2:$WL$2,"BANYUWANGI")</f>
        <v>10610</v>
      </c>
      <c r="BI8" s="519">
        <f>SUMIFS('P &amp; NP'!$C$7:$WL$7,'P &amp; NP'!$C$5:$WL$5,"NPB",'P &amp; NP'!$C$2:$WL$2,"BANYUWANGI")</f>
        <v>292075</v>
      </c>
      <c r="BJ8" s="519">
        <f>SUMIFS('P &amp; NP'!$C$8:$WL$8,'P &amp; NP'!$C$5:$WL$5,"PB",'P &amp; NP'!$C$2:$WL$2,"BANYUWANGI")</f>
        <v>9645</v>
      </c>
      <c r="BK8" s="519">
        <f>SUMIFS('P &amp; NP'!$C$8:$WL$8,'P &amp; NP'!$C$5:$WL$5,"NPB",'P &amp; NP'!$C$2:$WL$2,"BANYUWANGI")</f>
        <v>266925</v>
      </c>
      <c r="BL8" s="519">
        <f>SUMIFS('P &amp; NP'!$C$9:$WL$9,'P &amp; NP'!$C$5:$WL$5,"PB",'P &amp; NP'!$C$2:$WL$2,"BANYUWANGI")</f>
        <v>13305</v>
      </c>
      <c r="BM8" s="519">
        <f>SUMIFS('P &amp; NP'!$C$9:$WL$9,'P &amp; NP'!$C$5:$WL$5,"NPB",'P &amp; NP'!$C$2:$WL$2,"BANYUWANGI")</f>
        <v>363750</v>
      </c>
      <c r="BN8" s="519">
        <f>SUMIFS('P &amp; NP'!$C$10:$WL$10,'P &amp; NP'!$C$5:$WL$5,"PB",'P &amp; NP'!$C$2:$WL$2,"BANYUWANGI")</f>
        <v>14255</v>
      </c>
      <c r="BO8" s="519">
        <f>SUMIFS('P &amp; NP'!$C$10:$WL$10,'P &amp; NP'!$C$5:$WL$5,"NPB",'P &amp; NP'!$C$2:$WL$2,"BANYUWANGI")</f>
        <v>394825</v>
      </c>
      <c r="BQ8" s="502">
        <f t="shared" ref="BQ8:BQ44" si="19">SUM(BS8,BU8,BW8,BY8)</f>
        <v>24030</v>
      </c>
      <c r="BR8" s="512">
        <f t="shared" ref="BR8:BR44" si="20">SUM(BT8,BV8,BX8,BZ8)</f>
        <v>547725</v>
      </c>
      <c r="BS8" s="519">
        <f>SUMIFS('P &amp; NP'!$C$7:$WL$7,'P &amp; NP'!$C$5:$WL$5,"PJ",'P &amp; NP'!$C$2:$WL$2,"BANYUWANGI")</f>
        <v>5605</v>
      </c>
      <c r="BT8" s="519">
        <f>SUMIFS('P &amp; NP'!$C$7:$WL$7,'P &amp; NP'!$C$5:$WL$5,"NPJ",'P &amp; NP'!$C$2:$WL$2,"BANYUWANGI")</f>
        <v>136175</v>
      </c>
      <c r="BU8" s="519">
        <f>SUMIFS('P &amp; NP'!$C$8:$WL$8,'P &amp; NP'!$C$5:$WL$5,"PJ",'P &amp; NP'!$C$2:$WL$2,"BANYUWANGI")</f>
        <v>7620</v>
      </c>
      <c r="BV8" s="519">
        <f>SUMIFS('P &amp; NP'!$C$8:$WL$8,'P &amp; NP'!$C$5:$WL$5,"NPJ",'P &amp; NP'!$C$2:$WL$2,"BANYUWANGI")</f>
        <v>175725</v>
      </c>
      <c r="BW8" s="519">
        <f>SUMIFS('P &amp; NP'!$C$9:$WL$9,'P &amp; NP'!$C$5:$WL$5,"PJ",'P &amp; NP'!$C$2:$WL$2,"BANYUWANGI")</f>
        <v>4650</v>
      </c>
      <c r="BX8" s="519">
        <f>SUMIFS('P &amp; NP'!$C$9:$WL$9,'P &amp; NP'!$C$5:$WL$5,"NPJ",'P &amp; NP'!$C$2:$WL$2,"BANYUWANGI")</f>
        <v>102900</v>
      </c>
      <c r="BY8" s="519">
        <f>SUMIFS('P &amp; NP'!$C$10:$WL$10,'P &amp; NP'!$C$5:$WL$5,"PJ",'P &amp; NP'!$C$2:$WL$2,"BANYUWANGI")</f>
        <v>6155</v>
      </c>
      <c r="BZ8" s="519">
        <f>SUMIFS('P &amp; NP'!$C$10:$WL$10,'P &amp; NP'!$C$5:$WL$5,"NPJ",'P &amp; NP'!$C$2:$WL$2,"BANYUWANGI")</f>
        <v>132925</v>
      </c>
      <c r="CB8" s="502">
        <f t="shared" ref="CB8:CB44" si="21">SUM(CD8,CF8,CH8,CJ8)</f>
        <v>30646435</v>
      </c>
      <c r="CC8" s="512">
        <f t="shared" ref="CC8:CC44" si="22">SUM(CE8,CG8,CI8,CK8)</f>
        <v>1257733055</v>
      </c>
      <c r="CD8" s="519">
        <f t="shared" ref="CD8:CD44" si="23">SUMIFS(C8:BZ8,$C$5:$BZ$5,"P",$C$47:$BZ$47,"TW1")</f>
        <v>7302170</v>
      </c>
      <c r="CE8" s="519">
        <f t="shared" ref="CE8:CE44" si="24">SUMIFS(C8:BZ8,$C$5:$BZ$5,"NP",$C$47:$BZ$47,"TW1")</f>
        <v>290494390</v>
      </c>
      <c r="CF8" s="519">
        <f t="shared" ref="CF8:CF44" si="25">SUMIFS(C8:BZ8,$C$5:$BZ$5,"P",$C$47:$BZ$47,"TW2")</f>
        <v>7548854</v>
      </c>
      <c r="CG8" s="519">
        <f t="shared" ref="CG8:CG44" si="26">SUMIFS(C8:BZ8,$C$5:$BZ$5,"NP",$C$47:$BZ$47,"TW2")</f>
        <v>318937010</v>
      </c>
      <c r="CH8" s="519">
        <f t="shared" ref="CH8:CH44" si="27">SUMIFS(C8:BZ8,$C$5:$BZ$5,"P",$C$47:$BZ$47,"TW3")</f>
        <v>7722350</v>
      </c>
      <c r="CI8" s="519">
        <f t="shared" ref="CI8:CI44" si="28">SUMIFS(C8:BZ8,$C$5:$BZ$5,"NP",$C$47:$BZ$47,"TW3")</f>
        <v>331260465</v>
      </c>
      <c r="CJ8" s="519">
        <f t="shared" ref="CJ8:CJ44" si="29">SUMIFS(C8:BZ8,$C$5:$BZ$5,"P",$C$47:$BZ$47,"TW4")</f>
        <v>8073061</v>
      </c>
      <c r="CK8" s="519">
        <f t="shared" ref="CK8:CK44" si="30">SUMIFS(C8:BZ8,$C$5:$BZ$5,"NP",$C$47:$BZ$47,"TW4")</f>
        <v>317041190</v>
      </c>
    </row>
    <row r="9" spans="1:89">
      <c r="A9" s="509"/>
      <c r="B9" s="484" t="s">
        <v>116</v>
      </c>
      <c r="C9" s="502">
        <f t="shared" si="8"/>
        <v>0</v>
      </c>
      <c r="D9" s="512">
        <f t="shared" si="9"/>
        <v>0</v>
      </c>
      <c r="E9" s="519">
        <f>SUMIFS('P &amp; NP'!$C$7:$WL$7,'P &amp; NP'!$C$5:$WL$5,"PL",'P &amp; NP'!$C$2:$WL$2,"BLITAR")</f>
        <v>0</v>
      </c>
      <c r="F9" s="519">
        <f>SUMIFS('P &amp; NP'!$C$7:$WL$7,'P &amp; NP'!$C$5:$WL$5,"NPL",'P &amp; NP'!$C$2:$WL$2,"BLITAR")</f>
        <v>0</v>
      </c>
      <c r="G9" s="519">
        <f>SUMIFS('P &amp; NP'!$C$8:$WL$8,'P &amp; NP'!$C$5:$WL$5,"PL",'P &amp; NP'!$C$2:$WL$2,"BLITAR")</f>
        <v>0</v>
      </c>
      <c r="H9" s="519">
        <f>SUMIFS('P &amp; NP'!$C$8:$WL$8,'P &amp; NP'!$C$5:$WL$5,"NPL",'P &amp; NP'!$C$2:$WL$2,"BLITAR")</f>
        <v>0</v>
      </c>
      <c r="I9" s="519">
        <f>SUMIFS('P &amp; NP'!$C$9:$WL$9,'P &amp; NP'!$C$5:$WL$5,"PL",'P &amp; NP'!$C$2:$WL$2,"BLITAR")</f>
        <v>0</v>
      </c>
      <c r="J9" s="519">
        <f>SUMIFS('P &amp; NP'!$C$9:$WL$9,'P &amp; NP'!$C$5:$WL$5,"NPL",'P &amp; NP'!$C$2:$WL$2,"BLITAR")</f>
        <v>0</v>
      </c>
      <c r="K9" s="519">
        <f>SUMIFS('P &amp; NP'!$C$10:$WL$10,'P &amp; NP'!$C$5:$WL$5,"PL",'P &amp; NP'!$C$2:$WL$2,"BLITAR")</f>
        <v>0</v>
      </c>
      <c r="L9" s="519">
        <f>SUMIFS('P &amp; NP'!$C$10:$WL$10,'P &amp; NP'!$C$5:$WL$5,"NPL",'P &amp; NP'!$C$2:$WL$2,"BLITAR")</f>
        <v>0</v>
      </c>
      <c r="N9" s="502">
        <f t="shared" si="10"/>
        <v>436100</v>
      </c>
      <c r="O9" s="512">
        <f t="shared" si="11"/>
        <v>28346500</v>
      </c>
      <c r="P9" s="519">
        <f>SUMIFS('P &amp; NP'!$C$7:$WL$7,'P &amp; NP'!$C$5:$WL$5,"PT",'P &amp; NP'!$C$2:$WL$2,"BLITAR")</f>
        <v>105000</v>
      </c>
      <c r="Q9" s="519">
        <f>SUMIFS('P &amp; NP'!$C$7:$WL$7,'P &amp; NP'!$C$5:$WL$5,"NPT",'P &amp; NP'!$C$2:$WL$2,"BLITAR")</f>
        <v>6825000</v>
      </c>
      <c r="R9" s="519">
        <f>SUMIFS('P &amp; NP'!$C$8:$WL$8,'P &amp; NP'!$C$5:$WL$5,"PT",'P &amp; NP'!$C$2:$WL$2,"BLITAR")</f>
        <v>109000</v>
      </c>
      <c r="S9" s="519">
        <f>SUMIFS('P &amp; NP'!$C$8:$WL$8,'P &amp; NP'!$C$5:$WL$5,"NPT",'P &amp; NP'!$C$2:$WL$2,"BLITAR")</f>
        <v>7085000</v>
      </c>
      <c r="T9" s="519">
        <f>SUMIFS('P &amp; NP'!$C$9:$WL$9,'P &amp; NP'!$C$5:$WL$5,"PT",'P &amp; NP'!$C$2:$WL$2,"BLITAR")</f>
        <v>112800</v>
      </c>
      <c r="U9" s="519">
        <f>SUMIFS('P &amp; NP'!$C$9:$WL$9,'P &amp; NP'!$C$5:$WL$5,"NPT",'P &amp; NP'!$C$2:$WL$2,"BLITAR")</f>
        <v>7332000</v>
      </c>
      <c r="V9" s="519">
        <f>SUMIFS('P &amp; NP'!$C$10:$WL$10,'P &amp; NP'!$C$5:$WL$5,"PT",'P &amp; NP'!$C$2:$WL$2,"BLITAR")</f>
        <v>109300</v>
      </c>
      <c r="W9" s="519">
        <f>SUMIFS('P &amp; NP'!$C$10:$WL$10,'P &amp; NP'!$C$5:$WL$5,"NPT",'P &amp; NP'!$C$2:$WL$2,"BLITAR")</f>
        <v>7104500</v>
      </c>
      <c r="Y9" s="502">
        <f ca="1">SUMIF(AA$5:$AH7,$Y$1,AA9:AH9)</f>
        <v>0</v>
      </c>
      <c r="Z9" s="512">
        <f t="shared" si="12"/>
        <v>0</v>
      </c>
      <c r="AA9" s="519">
        <f>SUMIFS('P &amp; NP'!$C$7:$WL$7,'P &amp; NP'!$C$5:$WL$5,"PS",'P &amp; NP'!$C$2:$WL$2,"BLITAR")</f>
        <v>0</v>
      </c>
      <c r="AB9" s="519">
        <f>SUMIFS('P &amp; NP'!$C$7:$WL$7,'P &amp; NP'!$C$5:$WL$5,"NPS",'P &amp; NP'!$C$2:$WL$2,"BLITAR")</f>
        <v>0</v>
      </c>
      <c r="AC9" s="519">
        <f>SUMIFS('P &amp; NP'!$C$8:$WL$8,'P &amp; NP'!$C$5:$WL$5,"PS",'P &amp; NP'!$C$2:$WL$2,"BLITAR")</f>
        <v>0</v>
      </c>
      <c r="AD9" s="519">
        <f>SUMIFS('P &amp; NP'!$C$8:$WL$8,'P &amp; NP'!$C$5:$WL$5,"NPS",'P &amp; NP'!$C$2:$WL$2,"BLITAR")</f>
        <v>0</v>
      </c>
      <c r="AE9" s="519">
        <f>SUMIFS('P &amp; NP'!$C$9:$WL$9,'P &amp; NP'!$C$5:$WL$5,"PS",'P &amp; NP'!$C$2:$WL$2,"BLITAR")</f>
        <v>0</v>
      </c>
      <c r="AF9" s="519">
        <f>SUMIFS('P &amp; NP'!$C$9:$WL$9,'P &amp; NP'!$C$5:$WL$5,"NPS",'P &amp; NP'!$C$2:$WL$2,"BLITAR")</f>
        <v>0</v>
      </c>
      <c r="AG9" s="519">
        <f>SUMIFS('P &amp; NP'!$C$10:$WL$10,'P &amp; NP'!$C$5:$WL$5,"PS",'P &amp; NP'!$C$2:$WL$2,"BLITAR")</f>
        <v>0</v>
      </c>
      <c r="AH9" s="519">
        <f>SUMIFS('P &amp; NP'!$C$10:$WL$10,'P &amp; NP'!$C$5:$WL$5,"NPS",'P &amp; NP'!$C$2:$WL$2,"BLITAR")</f>
        <v>0</v>
      </c>
      <c r="AJ9" s="502">
        <f t="shared" si="13"/>
        <v>17270300</v>
      </c>
      <c r="AK9" s="512">
        <f t="shared" si="14"/>
        <v>385112100</v>
      </c>
      <c r="AL9" s="519">
        <f>SUMIFS('P &amp; NP'!$C$7:$WL$7,'P &amp; NP'!$C$5:$WL$5,"PK",'P &amp; NP'!$C$2:$WL$2,"BLITAR")</f>
        <v>4025700</v>
      </c>
      <c r="AM9" s="519">
        <f>SUMIFS('P &amp; NP'!$C$7:$WL$7,'P &amp; NP'!$C$5:$WL$5,"NPK",'P &amp; NP'!$C$2:$WL$2,"BLITAR")</f>
        <v>88022700</v>
      </c>
      <c r="AN9" s="519">
        <f>SUMIFS('P &amp; NP'!$C$8:$WL$8,'P &amp; NP'!$C$5:$WL$5,"PK",'P &amp; NP'!$C$2:$WL$2,"BLITAR")</f>
        <v>4329200</v>
      </c>
      <c r="AO9" s="519">
        <f>SUMIFS('P &amp; NP'!$C$8:$WL$8,'P &amp; NP'!$C$5:$WL$5,"NPK",'P &amp; NP'!$C$2:$WL$2,"BLITAR")</f>
        <v>95119800</v>
      </c>
      <c r="AP9" s="519">
        <f>SUMIFS('P &amp; NP'!$C$9:$WL$9,'P &amp; NP'!$C$5:$WL$5,"PK",'P &amp; NP'!$C$2:$WL$2,"BLITAR")</f>
        <v>4160200</v>
      </c>
      <c r="AQ9" s="519">
        <f>SUMIFS('P &amp; NP'!$C$9:$WL$9,'P &amp; NP'!$C$5:$WL$5,"NPK",'P &amp; NP'!$C$2:$WL$2,"BLITAR")</f>
        <v>93506500</v>
      </c>
      <c r="AR9" s="519">
        <f>SUMIFS('P &amp; NP'!$C$10:$WL$10,'P &amp; NP'!$C$5:$WL$5,"PK",'P &amp; NP'!$C$2:$WL$2,"BLITAR")</f>
        <v>4755200</v>
      </c>
      <c r="AS9" s="519">
        <f>SUMIFS('P &amp; NP'!$C$10:$WL$10,'P &amp; NP'!$C$5:$WL$5,"NPK",'P &amp; NP'!$C$2:$WL$2,"BLITAR")</f>
        <v>108463100</v>
      </c>
      <c r="AU9" s="502">
        <f t="shared" si="15"/>
        <v>1820</v>
      </c>
      <c r="AV9" s="512">
        <f t="shared" si="16"/>
        <v>43900</v>
      </c>
      <c r="AW9" s="519">
        <f>SUMIFS('P &amp; NP'!$C$7:$WL$7,'P &amp; NP'!$C$5:$WL$5,"PM",'P &amp; NP'!$C$2:$WL$2,"BLITAR")</f>
        <v>420</v>
      </c>
      <c r="AX9" s="519">
        <f>SUMIFS('P &amp; NP'!$C$7:$WL$7,'P &amp; NP'!$C$5:$WL$5,"NPM",'P &amp; NP'!$C$2:$WL$2,"BLITAR")</f>
        <v>10300</v>
      </c>
      <c r="AY9" s="519">
        <f>SUMIFS('P &amp; NP'!$C$8:$WL$8,'P &amp; NP'!$C$5:$WL$5,"PM",'P &amp; NP'!$C$2:$WL$2,"BLITAR")</f>
        <v>550</v>
      </c>
      <c r="AZ9" s="519">
        <f>SUMIFS('P &amp; NP'!$C$8:$WL$8,'P &amp; NP'!$C$5:$WL$5,"NPM",'P &amp; NP'!$C$2:$WL$2,"BLITAR")</f>
        <v>13200</v>
      </c>
      <c r="BA9" s="519">
        <f>SUMIFS('P &amp; NP'!$C$9:$WL$9,'P &amp; NP'!$C$5:$WL$5,"PM",'P &amp; NP'!$C$2:$WL$2,"BLITAR")</f>
        <v>470</v>
      </c>
      <c r="BB9" s="519">
        <f>SUMIFS('P &amp; NP'!$C$9:$WL$9,'P &amp; NP'!$C$5:$WL$5,"NPM",'P &amp; NP'!$C$2:$WL$2,"BLITAR")</f>
        <v>11280</v>
      </c>
      <c r="BC9" s="519">
        <f>SUMIFS('P &amp; NP'!$C$10:$WL$10,'P &amp; NP'!$C$5:$WL$5,"PM",'P &amp; NP'!$C$2:$WL$2,"BLITAR")</f>
        <v>380</v>
      </c>
      <c r="BD9" s="519">
        <f>SUMIFS('P &amp; NP'!$C$10:$WL$10,'P &amp; NP'!$C$5:$WL$5,"NPM",'P &amp; NP'!$C$2:$WL$2,"BLITAR")</f>
        <v>9120</v>
      </c>
      <c r="BF9" s="502">
        <f t="shared" si="17"/>
        <v>0</v>
      </c>
      <c r="BG9" s="512">
        <f t="shared" si="18"/>
        <v>0</v>
      </c>
      <c r="BH9" s="519">
        <f>SUMIFS('P &amp; NP'!$C$7:$WL$7,'P &amp; NP'!$C$5:$WL$5,"PB",'P &amp; NP'!$C$2:$WL$2,"BLITAR")</f>
        <v>0</v>
      </c>
      <c r="BI9" s="519">
        <f>SUMIFS('P &amp; NP'!$C$7:$WL$7,'P &amp; NP'!$C$5:$WL$5,"NPB",'P &amp; NP'!$C$2:$WL$2,"BLITAR")</f>
        <v>0</v>
      </c>
      <c r="BJ9" s="519">
        <f>SUMIFS('P &amp; NP'!$C$8:$WL$8,'P &amp; NP'!$C$5:$WL$5,"PB",'P &amp; NP'!$C$2:$WL$2,"BLITAR")</f>
        <v>0</v>
      </c>
      <c r="BK9" s="519">
        <f>SUMIFS('P &amp; NP'!$C$8:$WL$8,'P &amp; NP'!$C$5:$WL$5,"NPB",'P &amp; NP'!$C$2:$WL$2,"BLITAR")</f>
        <v>0</v>
      </c>
      <c r="BL9" s="519">
        <f>SUMIFS('P &amp; NP'!$C$9:$WL$9,'P &amp; NP'!$C$5:$WL$5,"PB",'P &amp; NP'!$C$2:$WL$2,"BLITAR")</f>
        <v>0</v>
      </c>
      <c r="BM9" s="519">
        <f>SUMIFS('P &amp; NP'!$C$9:$WL$9,'P &amp; NP'!$C$5:$WL$5,"NPB",'P &amp; NP'!$C$2:$WL$2,"BLITAR")</f>
        <v>0</v>
      </c>
      <c r="BN9" s="519">
        <f>SUMIFS('P &amp; NP'!$C$10:$WL$10,'P &amp; NP'!$C$5:$WL$5,"PB",'P &amp; NP'!$C$2:$WL$2,"BLITAR")</f>
        <v>0</v>
      </c>
      <c r="BO9" s="519">
        <f>SUMIFS('P &amp; NP'!$C$10:$WL$10,'P &amp; NP'!$C$5:$WL$5,"NPB",'P &amp; NP'!$C$2:$WL$2,"BLITAR")</f>
        <v>0</v>
      </c>
      <c r="BQ9" s="502">
        <f t="shared" si="19"/>
        <v>28205</v>
      </c>
      <c r="BR9" s="512">
        <f t="shared" si="20"/>
        <v>681420</v>
      </c>
      <c r="BS9" s="519">
        <f>SUMIFS('P &amp; NP'!$C$7:$WL$7,'P &amp; NP'!$C$5:$WL$5,"PJ",'P &amp; NP'!$C$2:$WL$2,"BLITAR")</f>
        <v>7060</v>
      </c>
      <c r="BT9" s="519">
        <f>SUMIFS('P &amp; NP'!$C$7:$WL$7,'P &amp; NP'!$C$5:$WL$5,"NPJ",'P &amp; NP'!$C$2:$WL$2,"BLITAR")</f>
        <v>173940</v>
      </c>
      <c r="BU9" s="519">
        <f>SUMIFS('P &amp; NP'!$C$8:$WL$8,'P &amp; NP'!$C$5:$WL$5,"PJ",'P &amp; NP'!$C$2:$WL$2,"BLITAR")</f>
        <v>8990</v>
      </c>
      <c r="BV9" s="519">
        <f>SUMIFS('P &amp; NP'!$C$8:$WL$8,'P &amp; NP'!$C$5:$WL$5,"NPJ",'P &amp; NP'!$C$2:$WL$2,"BLITAR")</f>
        <v>215760</v>
      </c>
      <c r="BW9" s="519">
        <f>SUMIFS('P &amp; NP'!$C$9:$WL$9,'P &amp; NP'!$C$5:$WL$5,"PJ",'P &amp; NP'!$C$2:$WL$2,"BLITAR")</f>
        <v>6390</v>
      </c>
      <c r="BX9" s="519">
        <f>SUMIFS('P &amp; NP'!$C$9:$WL$9,'P &amp; NP'!$C$5:$WL$5,"NPJ",'P &amp; NP'!$C$2:$WL$2,"BLITAR")</f>
        <v>153360</v>
      </c>
      <c r="BY9" s="519">
        <f>SUMIFS('P &amp; NP'!$C$10:$WL$10,'P &amp; NP'!$C$5:$WL$5,"PJ",'P &amp; NP'!$C$2:$WL$2,"BLITAR")</f>
        <v>5765</v>
      </c>
      <c r="BZ9" s="519">
        <f>SUMIFS('P &amp; NP'!$C$10:$WL$10,'P &amp; NP'!$C$5:$WL$5,"NPJ",'P &amp; NP'!$C$2:$WL$2,"BLITAR")</f>
        <v>138360</v>
      </c>
      <c r="CB9" s="502">
        <f t="shared" si="21"/>
        <v>17736425</v>
      </c>
      <c r="CC9" s="512">
        <f t="shared" si="22"/>
        <v>414183920</v>
      </c>
      <c r="CD9" s="519">
        <f t="shared" si="23"/>
        <v>4138180</v>
      </c>
      <c r="CE9" s="519">
        <f t="shared" si="24"/>
        <v>95031940</v>
      </c>
      <c r="CF9" s="519">
        <f t="shared" si="25"/>
        <v>4447740</v>
      </c>
      <c r="CG9" s="519">
        <f t="shared" si="26"/>
        <v>102433760</v>
      </c>
      <c r="CH9" s="519">
        <f t="shared" si="27"/>
        <v>4279860</v>
      </c>
      <c r="CI9" s="519">
        <f t="shared" si="28"/>
        <v>101003140</v>
      </c>
      <c r="CJ9" s="519">
        <f t="shared" si="29"/>
        <v>4870645</v>
      </c>
      <c r="CK9" s="519">
        <f t="shared" si="30"/>
        <v>115715080</v>
      </c>
    </row>
    <row r="10" spans="1:89">
      <c r="A10" s="509"/>
      <c r="B10" s="484" t="s">
        <v>133</v>
      </c>
      <c r="C10" s="502">
        <f t="shared" si="8"/>
        <v>0</v>
      </c>
      <c r="D10" s="512">
        <f t="shared" si="9"/>
        <v>0</v>
      </c>
      <c r="E10" s="519">
        <f>SUMIFS('P &amp; NP'!$C$7:$WL$7,'P &amp; NP'!$C$5:$WL$5,"PL",'P &amp; NP'!$C$2:$WL$2,"BOJONEGORO")</f>
        <v>0</v>
      </c>
      <c r="F10" s="519">
        <f>SUMIFS('P &amp; NP'!$C$7:$WL$7,'P &amp; NP'!$C$5:$WL$5,"NPL",'P &amp; NP'!$C$2:$WL$2,"BOJONEGORO")</f>
        <v>0</v>
      </c>
      <c r="G10" s="519">
        <f>SUMIFS('P &amp; NP'!$C$8:$WL$8,'P &amp; NP'!$C$5:$WL$5,"PL",'P &amp; NP'!$C$2:$WL$2,"BOJONEGORO")</f>
        <v>0</v>
      </c>
      <c r="H10" s="519">
        <f>SUMIFS('P &amp; NP'!$C$8:$WL$8,'P &amp; NP'!$C$5:$WL$5,"NPL",'P &amp; NP'!$C$2:$WL$2,"BOJONEGORO")</f>
        <v>0</v>
      </c>
      <c r="I10" s="519">
        <f>SUMIFS('P &amp; NP'!$C$9:$WL$9,'P &amp; NP'!$C$5:$WL$5,"PL",'P &amp; NP'!$C$2:$WL$2,"BOJONEGORO")</f>
        <v>0</v>
      </c>
      <c r="J10" s="519">
        <f>SUMIFS('P &amp; NP'!$C$9:$WL$9,'P &amp; NP'!$C$5:$WL$5,"NPL",'P &amp; NP'!$C$2:$WL$2,"BOJONEGORO")</f>
        <v>0</v>
      </c>
      <c r="K10" s="519">
        <f>SUMIFS('P &amp; NP'!$C$10:$WL$10,'P &amp; NP'!$C$5:$WL$5,"PL",'P &amp; NP'!$C$2:$WL$2,"BOJONEGORO")</f>
        <v>0</v>
      </c>
      <c r="L10" s="519">
        <f>SUMIFS('P &amp; NP'!$C$10:$WL$10,'P &amp; NP'!$C$5:$WL$5,"NPL",'P &amp; NP'!$C$2:$WL$2,"BOJONEGORO")</f>
        <v>0</v>
      </c>
      <c r="N10" s="502">
        <f t="shared" si="10"/>
        <v>0</v>
      </c>
      <c r="O10" s="512">
        <f t="shared" si="11"/>
        <v>0</v>
      </c>
      <c r="P10" s="519">
        <f>SUMIFS('P &amp; NP'!$C$7:$WL$7,'P &amp; NP'!$C$5:$WL$5,"PT",'P &amp; NP'!$C$2:$WL$2,"BOJONEGORO")</f>
        <v>0</v>
      </c>
      <c r="Q10" s="519">
        <f>SUMIFS('P &amp; NP'!$C$7:$WL$7,'P &amp; NP'!$C$5:$WL$5,"NPT",'P &amp; NP'!$C$2:$WL$2,"BOJONEGORO")</f>
        <v>0</v>
      </c>
      <c r="R10" s="519">
        <f>SUMIFS('P &amp; NP'!$C$8:$WL$8,'P &amp; NP'!$C$5:$WL$5,"PT",'P &amp; NP'!$C$2:$WL$2,"BOJONEGORO")</f>
        <v>0</v>
      </c>
      <c r="S10" s="519">
        <f>SUMIFS('P &amp; NP'!$C$8:$WL$8,'P &amp; NP'!$C$5:$WL$5,"NPT",'P &amp; NP'!$C$2:$WL$2,"BOJONEGORO")</f>
        <v>0</v>
      </c>
      <c r="T10" s="519">
        <f>SUMIFS('P &amp; NP'!$C$9:$WL$9,'P &amp; NP'!$C$5:$WL$5,"PT",'P &amp; NP'!$C$2:$WL$2,"BOJONEGORO")</f>
        <v>0</v>
      </c>
      <c r="U10" s="519">
        <f>SUMIFS('P &amp; NP'!$C$9:$WL$9,'P &amp; NP'!$C$5:$WL$5,"NPT",'P &amp; NP'!$C$2:$WL$2,"BOJONEGORO")</f>
        <v>0</v>
      </c>
      <c r="V10" s="519">
        <f>SUMIFS('P &amp; NP'!$C$10:$WL$10,'P &amp; NP'!$C$5:$WL$5,"PT",'P &amp; NP'!$C$2:$WL$2,"BOJONEGORO")</f>
        <v>0</v>
      </c>
      <c r="W10" s="519">
        <f>SUMIFS('P &amp; NP'!$C$10:$WL$10,'P &amp; NP'!$C$5:$WL$5,"NPT",'P &amp; NP'!$C$2:$WL$2,"BOJONEGORO")</f>
        <v>0</v>
      </c>
      <c r="Y10" s="502">
        <f ca="1">SUMIF(AA$5:$AH8,$Y$1,AA10:AH10)</f>
        <v>0</v>
      </c>
      <c r="Z10" s="512">
        <f t="shared" si="12"/>
        <v>0</v>
      </c>
      <c r="AA10" s="519">
        <f>SUMIFS('P &amp; NP'!$C$7:$WL$7,'P &amp; NP'!$C$5:$WL$5,"PS",'P &amp; NP'!$C$2:$WL$2,"BOJONEGORO")</f>
        <v>0</v>
      </c>
      <c r="AB10" s="519">
        <f>SUMIFS('P &amp; NP'!$C$7:$WL$7,'P &amp; NP'!$C$5:$WL$5,"NPS",'P &amp; NP'!$C$2:$WL$2,"BOJONEGORO")</f>
        <v>0</v>
      </c>
      <c r="AC10" s="519">
        <f>SUMIFS('P &amp; NP'!$C$8:$WL$8,'P &amp; NP'!$C$5:$WL$5,"PS",'P &amp; NP'!$C$2:$WL$2,"BOJONEGORO")</f>
        <v>0</v>
      </c>
      <c r="AD10" s="519">
        <f>SUMIFS('P &amp; NP'!$C$8:$WL$8,'P &amp; NP'!$C$5:$WL$5,"NPS",'P &amp; NP'!$C$2:$WL$2,"BOJONEGORO")</f>
        <v>0</v>
      </c>
      <c r="AE10" s="519">
        <f>SUMIFS('P &amp; NP'!$C$9:$WL$9,'P &amp; NP'!$C$5:$WL$5,"PS",'P &amp; NP'!$C$2:$WL$2,"BOJONEGORO")</f>
        <v>0</v>
      </c>
      <c r="AF10" s="519">
        <f>SUMIFS('P &amp; NP'!$C$9:$WL$9,'P &amp; NP'!$C$5:$WL$5,"NPS",'P &amp; NP'!$C$2:$WL$2,"BOJONEGORO")</f>
        <v>0</v>
      </c>
      <c r="AG10" s="519">
        <f>SUMIFS('P &amp; NP'!$C$10:$WL$10,'P &amp; NP'!$C$5:$WL$5,"PS",'P &amp; NP'!$C$2:$WL$2,"BOJONEGORO")</f>
        <v>0</v>
      </c>
      <c r="AH10" s="519">
        <f>SUMIFS('P &amp; NP'!$C$10:$WL$10,'P &amp; NP'!$C$5:$WL$5,"NPS",'P &amp; NP'!$C$2:$WL$2,"BOJONEGORO")</f>
        <v>0</v>
      </c>
      <c r="AJ10" s="502">
        <f t="shared" si="13"/>
        <v>5268405</v>
      </c>
      <c r="AK10" s="512">
        <f t="shared" si="14"/>
        <v>105656405.5</v>
      </c>
      <c r="AL10" s="519">
        <f>SUMIFS('P &amp; NP'!$C$7:$WL$7,'P &amp; NP'!$C$5:$WL$5,"PK",'P &amp; NP'!$C$2:$WL$2,"BOJONEGORO")</f>
        <v>1542739</v>
      </c>
      <c r="AM10" s="519">
        <f>SUMIFS('P &amp; NP'!$C$7:$WL$7,'P &amp; NP'!$C$5:$WL$5,"NPK",'P &amp; NP'!$C$2:$WL$2,"BOJONEGORO")</f>
        <v>30910241</v>
      </c>
      <c r="AN10" s="519">
        <f>SUMIFS('P &amp; NP'!$C$8:$WL$8,'P &amp; NP'!$C$5:$WL$5,"PK",'P &amp; NP'!$C$2:$WL$2,"BOJONEGORO")</f>
        <v>1238113</v>
      </c>
      <c r="AO10" s="519">
        <f>SUMIFS('P &amp; NP'!$C$8:$WL$8,'P &amp; NP'!$C$5:$WL$5,"NPK",'P &amp; NP'!$C$2:$WL$2,"BOJONEGORO")</f>
        <v>25122915</v>
      </c>
      <c r="AP10" s="519">
        <f>SUMIFS('P &amp; NP'!$C$9:$WL$9,'P &amp; NP'!$C$5:$WL$5,"PK",'P &amp; NP'!$C$2:$WL$2,"BOJONEGORO")</f>
        <v>1059256</v>
      </c>
      <c r="AQ10" s="519">
        <f>SUMIFS('P &amp; NP'!$C$9:$WL$9,'P &amp; NP'!$C$5:$WL$5,"NPK",'P &amp; NP'!$C$2:$WL$2,"BOJONEGORO")</f>
        <v>21421481.5</v>
      </c>
      <c r="AR10" s="519">
        <f>SUMIFS('P &amp; NP'!$C$10:$WL$10,'P &amp; NP'!$C$5:$WL$5,"PK",'P &amp; NP'!$C$2:$WL$2,"BOJONEGORO")</f>
        <v>1428297</v>
      </c>
      <c r="AS10" s="519">
        <f>SUMIFS('P &amp; NP'!$C$10:$WL$10,'P &amp; NP'!$C$5:$WL$5,"NPK",'P &amp; NP'!$C$2:$WL$2,"BOJONEGORO")</f>
        <v>28201768</v>
      </c>
      <c r="AU10" s="502">
        <f t="shared" si="15"/>
        <v>84222</v>
      </c>
      <c r="AV10" s="512">
        <f t="shared" si="16"/>
        <v>1680599</v>
      </c>
      <c r="AW10" s="519">
        <f>SUMIFS('P &amp; NP'!$C$7:$WL$7,'P &amp; NP'!$C$5:$WL$5,"PM",'P &amp; NP'!$C$2:$WL$2,"BOJONEGORO")</f>
        <v>56772</v>
      </c>
      <c r="AX10" s="519">
        <f>SUMIFS('P &amp; NP'!$C$7:$WL$7,'P &amp; NP'!$C$5:$WL$5,"NPM",'P &amp; NP'!$C$2:$WL$2,"BOJONEGORO")</f>
        <v>1050747</v>
      </c>
      <c r="AY10" s="519">
        <f>SUMIFS('P &amp; NP'!$C$8:$WL$8,'P &amp; NP'!$C$5:$WL$5,"PM",'P &amp; NP'!$C$2:$WL$2,"BOJONEGORO")</f>
        <v>23055</v>
      </c>
      <c r="AZ10" s="519">
        <f>SUMIFS('P &amp; NP'!$C$8:$WL$8,'P &amp; NP'!$C$5:$WL$5,"NPM",'P &amp; NP'!$C$2:$WL$2,"BOJONEGORO")</f>
        <v>526427</v>
      </c>
      <c r="BA10" s="519">
        <f>SUMIFS('P &amp; NP'!$C$9:$WL$9,'P &amp; NP'!$C$5:$WL$5,"PM",'P &amp; NP'!$C$2:$WL$2,"BOJONEGORO")</f>
        <v>1303</v>
      </c>
      <c r="BB10" s="519">
        <f>SUMIFS('P &amp; NP'!$C$9:$WL$9,'P &amp; NP'!$C$5:$WL$5,"NPM",'P &amp; NP'!$C$2:$WL$2,"BOJONEGORO")</f>
        <v>32575</v>
      </c>
      <c r="BC10" s="519">
        <f>SUMIFS('P &amp; NP'!$C$10:$WL$10,'P &amp; NP'!$C$5:$WL$5,"PM",'P &amp; NP'!$C$2:$WL$2,"BOJONEGORO")</f>
        <v>3092</v>
      </c>
      <c r="BD10" s="519">
        <f>SUMIFS('P &amp; NP'!$C$10:$WL$10,'P &amp; NP'!$C$5:$WL$5,"NPM",'P &amp; NP'!$C$2:$WL$2,"BOJONEGORO")</f>
        <v>70850</v>
      </c>
      <c r="BF10" s="502">
        <f t="shared" si="17"/>
        <v>0</v>
      </c>
      <c r="BG10" s="512">
        <f t="shared" si="18"/>
        <v>0</v>
      </c>
      <c r="BH10" s="519">
        <f>SUMIFS('P &amp; NP'!$C$7:$WL$7,'P &amp; NP'!$C$5:$WL$5,"PB",'P &amp; NP'!$C$2:$WL$2,"BOJONEGORO")</f>
        <v>0</v>
      </c>
      <c r="BI10" s="519">
        <f>SUMIFS('P &amp; NP'!$C$7:$WL$7,'P &amp; NP'!$C$5:$WL$5,"NPB",'P &amp; NP'!$C$2:$WL$2,"BOJONEGORO")</f>
        <v>0</v>
      </c>
      <c r="BJ10" s="519">
        <f>SUMIFS('P &amp; NP'!$C$8:$WL$8,'P &amp; NP'!$C$5:$WL$5,"PB",'P &amp; NP'!$C$2:$WL$2,"BOJONEGORO")</f>
        <v>0</v>
      </c>
      <c r="BK10" s="519">
        <f>SUMIFS('P &amp; NP'!$C$8:$WL$8,'P &amp; NP'!$C$5:$WL$5,"NPB",'P &amp; NP'!$C$2:$WL$2,"BOJONEGORO")</f>
        <v>0</v>
      </c>
      <c r="BL10" s="519">
        <f>SUMIFS('P &amp; NP'!$C$9:$WL$9,'P &amp; NP'!$C$5:$WL$5,"PB",'P &amp; NP'!$C$2:$WL$2,"BOJONEGORO")</f>
        <v>0</v>
      </c>
      <c r="BM10" s="519">
        <f>SUMIFS('P &amp; NP'!$C$9:$WL$9,'P &amp; NP'!$C$5:$WL$5,"NPB",'P &amp; NP'!$C$2:$WL$2,"BOJONEGORO")</f>
        <v>0</v>
      </c>
      <c r="BN10" s="519">
        <f>SUMIFS('P &amp; NP'!$C$10:$WL$10,'P &amp; NP'!$C$5:$WL$5,"PB",'P &amp; NP'!$C$2:$WL$2,"BOJONEGORO")</f>
        <v>0</v>
      </c>
      <c r="BO10" s="519">
        <f>SUMIFS('P &amp; NP'!$C$10:$WL$10,'P &amp; NP'!$C$5:$WL$5,"NPB",'P &amp; NP'!$C$2:$WL$2,"BOJONEGORO")</f>
        <v>0</v>
      </c>
      <c r="BQ10" s="502">
        <f t="shared" si="19"/>
        <v>31501</v>
      </c>
      <c r="BR10" s="512">
        <f t="shared" si="20"/>
        <v>524223</v>
      </c>
      <c r="BS10" s="519">
        <f>SUMIFS('P &amp; NP'!$C$7:$WL$7,'P &amp; NP'!$C$5:$WL$5,"PJ",'P &amp; NP'!$C$2:$WL$2,"BOJONEGORO")</f>
        <v>11524</v>
      </c>
      <c r="BT10" s="519">
        <f>SUMIFS('P &amp; NP'!$C$7:$WL$7,'P &amp; NP'!$C$5:$WL$5,"NPJ",'P &amp; NP'!$C$2:$WL$2,"BOJONEGORO")</f>
        <v>193931</v>
      </c>
      <c r="BU10" s="519">
        <f>SUMIFS('P &amp; NP'!$C$8:$WL$8,'P &amp; NP'!$C$5:$WL$5,"PJ",'P &amp; NP'!$C$2:$WL$2,"BOJONEGORO")</f>
        <v>5538</v>
      </c>
      <c r="BV10" s="519">
        <f>SUMIFS('P &amp; NP'!$C$8:$WL$8,'P &amp; NP'!$C$5:$WL$5,"NPJ",'P &amp; NP'!$C$2:$WL$2,"BOJONEGORO")</f>
        <v>95166</v>
      </c>
      <c r="BW10" s="519">
        <f>SUMIFS('P &amp; NP'!$C$9:$WL$9,'P &amp; NP'!$C$5:$WL$5,"PJ",'P &amp; NP'!$C$2:$WL$2,"BOJONEGORO")</f>
        <v>3263</v>
      </c>
      <c r="BX10" s="519">
        <f>SUMIFS('P &amp; NP'!$C$9:$WL$9,'P &amp; NP'!$C$5:$WL$5,"NPJ",'P &amp; NP'!$C$2:$WL$2,"BOJONEGORO")</f>
        <v>55040</v>
      </c>
      <c r="BY10" s="519">
        <f>SUMIFS('P &amp; NP'!$C$10:$WL$10,'P &amp; NP'!$C$5:$WL$5,"PJ",'P &amp; NP'!$C$2:$WL$2,"BOJONEGORO")</f>
        <v>11176</v>
      </c>
      <c r="BZ10" s="519">
        <f>SUMIFS('P &amp; NP'!$C$10:$WL$10,'P &amp; NP'!$C$5:$WL$5,"NPJ",'P &amp; NP'!$C$2:$WL$2,"BOJONEGORO")</f>
        <v>180086</v>
      </c>
      <c r="CB10" s="502">
        <f t="shared" si="21"/>
        <v>5384128</v>
      </c>
      <c r="CC10" s="512">
        <f t="shared" si="22"/>
        <v>107861227.5</v>
      </c>
      <c r="CD10" s="519">
        <f t="shared" si="23"/>
        <v>1611035</v>
      </c>
      <c r="CE10" s="519">
        <f t="shared" si="24"/>
        <v>32154919</v>
      </c>
      <c r="CF10" s="519">
        <f t="shared" si="25"/>
        <v>1266706</v>
      </c>
      <c r="CG10" s="519">
        <f t="shared" si="26"/>
        <v>25744508</v>
      </c>
      <c r="CH10" s="519">
        <f t="shared" si="27"/>
        <v>1063822</v>
      </c>
      <c r="CI10" s="519">
        <f t="shared" si="28"/>
        <v>21509096.5</v>
      </c>
      <c r="CJ10" s="519">
        <f t="shared" si="29"/>
        <v>1442565</v>
      </c>
      <c r="CK10" s="519">
        <f t="shared" si="30"/>
        <v>28452704</v>
      </c>
    </row>
    <row r="11" spans="1:89">
      <c r="A11" s="509"/>
      <c r="B11" s="484" t="s">
        <v>122</v>
      </c>
      <c r="C11" s="502">
        <f t="shared" si="8"/>
        <v>0</v>
      </c>
      <c r="D11" s="512">
        <f t="shared" si="9"/>
        <v>0</v>
      </c>
      <c r="E11" s="519">
        <f>SUMIFS('P &amp; NP'!$C$7:$WL$7,'P &amp; NP'!$C$5:$WL$5,"PL",'P &amp; NP'!$C$2:$WL$2,"BONDOWOSO")</f>
        <v>0</v>
      </c>
      <c r="F11" s="519">
        <f>SUMIFS('P &amp; NP'!$C$7:$WL$7,'P &amp; NP'!$C$5:$WL$5,"NPL",'P &amp; NP'!$C$2:$WL$2,"BONDOWOSO")</f>
        <v>0</v>
      </c>
      <c r="G11" s="519">
        <f>SUMIFS('P &amp; NP'!$C$8:$WL$8,'P &amp; NP'!$C$5:$WL$5,"PL",'P &amp; NP'!$C$2:$WL$2,"BONDOWOSO")</f>
        <v>0</v>
      </c>
      <c r="H11" s="519">
        <f>SUMIFS('P &amp; NP'!$C$8:$WL$8,'P &amp; NP'!$C$5:$WL$5,"NPL",'P &amp; NP'!$C$2:$WL$2,"BONDOWOSO")</f>
        <v>0</v>
      </c>
      <c r="I11" s="519">
        <f>SUMIFS('P &amp; NP'!$C$9:$WL$9,'P &amp; NP'!$C$5:$WL$5,"PL",'P &amp; NP'!$C$2:$WL$2,"BONDOWOSO")</f>
        <v>0</v>
      </c>
      <c r="J11" s="519">
        <f>SUMIFS('P &amp; NP'!$C$9:$WL$9,'P &amp; NP'!$C$5:$WL$5,"NPL",'P &amp; NP'!$C$2:$WL$2,"BONDOWOSO")</f>
        <v>0</v>
      </c>
      <c r="K11" s="519">
        <f>SUMIFS('P &amp; NP'!$C$10:$WL$10,'P &amp; NP'!$C$5:$WL$5,"PL",'P &amp; NP'!$C$2:$WL$2,"BONDOWOSO")</f>
        <v>0</v>
      </c>
      <c r="L11" s="519">
        <f>SUMIFS('P &amp; NP'!$C$10:$WL$10,'P &amp; NP'!$C$5:$WL$5,"NPL",'P &amp; NP'!$C$2:$WL$2,"BONDOWOSO")</f>
        <v>0</v>
      </c>
      <c r="N11" s="502">
        <f t="shared" si="10"/>
        <v>0</v>
      </c>
      <c r="O11" s="512">
        <f t="shared" si="11"/>
        <v>0</v>
      </c>
      <c r="P11" s="519">
        <f>SUMIFS('P &amp; NP'!$C$7:$WL$7,'P &amp; NP'!$C$5:$WL$5,"PT",'P &amp; NP'!$C$2:$WL$2,"BONDOWOSO")</f>
        <v>0</v>
      </c>
      <c r="Q11" s="519">
        <f>SUMIFS('P &amp; NP'!$C$7:$WL$7,'P &amp; NP'!$C$5:$WL$5,"NPT",'P &amp; NP'!$C$2:$WL$2,"BONDOWOSO")</f>
        <v>0</v>
      </c>
      <c r="R11" s="519">
        <f>SUMIFS('P &amp; NP'!$C$8:$WL$8,'P &amp; NP'!$C$5:$WL$5,"PT",'P &amp; NP'!$C$2:$WL$2,"BONDOWOSO")</f>
        <v>0</v>
      </c>
      <c r="S11" s="519">
        <f>SUMIFS('P &amp; NP'!$C$8:$WL$8,'P &amp; NP'!$C$5:$WL$5,"NPT",'P &amp; NP'!$C$2:$WL$2,"BONDOWOSO")</f>
        <v>0</v>
      </c>
      <c r="T11" s="519">
        <f>SUMIFS('P &amp; NP'!$C$9:$WL$9,'P &amp; NP'!$C$5:$WL$5,"PT",'P &amp; NP'!$C$2:$WL$2,"BONDOWOSO")</f>
        <v>0</v>
      </c>
      <c r="U11" s="519">
        <f>SUMIFS('P &amp; NP'!$C$9:$WL$9,'P &amp; NP'!$C$5:$WL$5,"NPT",'P &amp; NP'!$C$2:$WL$2,"BONDOWOSO")</f>
        <v>0</v>
      </c>
      <c r="V11" s="519">
        <f>SUMIFS('P &amp; NP'!$C$10:$WL$10,'P &amp; NP'!$C$5:$WL$5,"PT",'P &amp; NP'!$C$2:$WL$2,"BONDOWOSO")</f>
        <v>0</v>
      </c>
      <c r="W11" s="519">
        <f>SUMIFS('P &amp; NP'!$C$10:$WL$10,'P &amp; NP'!$C$5:$WL$5,"NPT",'P &amp; NP'!$C$2:$WL$2,"BONDOWOSO")</f>
        <v>0</v>
      </c>
      <c r="Y11" s="502">
        <f ca="1">SUMIF(AA$5:$AH9,$Y$1,AA11:AH11)</f>
        <v>0</v>
      </c>
      <c r="Z11" s="512">
        <f t="shared" si="12"/>
        <v>0</v>
      </c>
      <c r="AA11" s="519">
        <f>SUMIFS('P &amp; NP'!$C$7:$WL$7,'P &amp; NP'!$C$5:$WL$5,"PS",'P &amp; NP'!$C$2:$WL$2,"BONDOWOSO")</f>
        <v>0</v>
      </c>
      <c r="AB11" s="519">
        <f>SUMIFS('P &amp; NP'!$C$7:$WL$7,'P &amp; NP'!$C$5:$WL$5,"NPS",'P &amp; NP'!$C$2:$WL$2,"BONDOWOSO")</f>
        <v>0</v>
      </c>
      <c r="AC11" s="519">
        <f>SUMIFS('P &amp; NP'!$C$8:$WL$8,'P &amp; NP'!$C$5:$WL$5,"PS",'P &amp; NP'!$C$2:$WL$2,"BONDOWOSO")</f>
        <v>0</v>
      </c>
      <c r="AD11" s="519">
        <f>SUMIFS('P &amp; NP'!$C$8:$WL$8,'P &amp; NP'!$C$5:$WL$5,"NPS",'P &amp; NP'!$C$2:$WL$2,"BONDOWOSO")</f>
        <v>0</v>
      </c>
      <c r="AE11" s="519">
        <f>SUMIFS('P &amp; NP'!$C$9:$WL$9,'P &amp; NP'!$C$5:$WL$5,"PS",'P &amp; NP'!$C$2:$WL$2,"BONDOWOSO")</f>
        <v>0</v>
      </c>
      <c r="AF11" s="519">
        <f>SUMIFS('P &amp; NP'!$C$9:$WL$9,'P &amp; NP'!$C$5:$WL$5,"NPS",'P &amp; NP'!$C$2:$WL$2,"BONDOWOSO")</f>
        <v>0</v>
      </c>
      <c r="AG11" s="519">
        <f>SUMIFS('P &amp; NP'!$C$10:$WL$10,'P &amp; NP'!$C$5:$WL$5,"PS",'P &amp; NP'!$C$2:$WL$2,"BONDOWOSO")</f>
        <v>0</v>
      </c>
      <c r="AH11" s="519">
        <f>SUMIFS('P &amp; NP'!$C$10:$WL$10,'P &amp; NP'!$C$5:$WL$5,"NPS",'P &amp; NP'!$C$2:$WL$2,"BONDOWOSO")</f>
        <v>0</v>
      </c>
      <c r="AJ11" s="502">
        <f t="shared" si="13"/>
        <v>849316</v>
      </c>
      <c r="AK11" s="512">
        <f t="shared" si="14"/>
        <v>18251469</v>
      </c>
      <c r="AL11" s="519">
        <f>SUMIFS('P &amp; NP'!$C$7:$WL$7,'P &amp; NP'!$C$5:$WL$5,"PK",'P &amp; NP'!$C$2:$WL$2,"BONDOWOSO")</f>
        <v>226594</v>
      </c>
      <c r="AM11" s="519">
        <f>SUMIFS('P &amp; NP'!$C$7:$WL$7,'P &amp; NP'!$C$5:$WL$5,"NPK",'P &amp; NP'!$C$2:$WL$2,"BONDOWOSO")</f>
        <v>4871029</v>
      </c>
      <c r="AN11" s="519">
        <f>SUMIFS('P &amp; NP'!$C$8:$WL$8,'P &amp; NP'!$C$5:$WL$5,"PK",'P &amp; NP'!$C$2:$WL$2,"BONDOWOSO")</f>
        <v>206553</v>
      </c>
      <c r="AO11" s="519">
        <f>SUMIFS('P &amp; NP'!$C$8:$WL$8,'P &amp; NP'!$C$5:$WL$5,"NPK",'P &amp; NP'!$C$2:$WL$2,"BONDOWOSO")</f>
        <v>4431970</v>
      </c>
      <c r="AP11" s="519">
        <f>SUMIFS('P &amp; NP'!$C$9:$WL$9,'P &amp; NP'!$C$5:$WL$5,"PK",'P &amp; NP'!$C$2:$WL$2,"BONDOWOSO")</f>
        <v>202717</v>
      </c>
      <c r="AQ11" s="519">
        <f>SUMIFS('P &amp; NP'!$C$9:$WL$9,'P &amp; NP'!$C$5:$WL$5,"NPK",'P &amp; NP'!$C$2:$WL$2,"BONDOWOSO")</f>
        <v>4353094</v>
      </c>
      <c r="AR11" s="519">
        <f>SUMIFS('P &amp; NP'!$C$10:$WL$10,'P &amp; NP'!$C$5:$WL$5,"PK",'P &amp; NP'!$C$2:$WL$2,"BONDOWOSO")</f>
        <v>213452</v>
      </c>
      <c r="AS11" s="519">
        <f>SUMIFS('P &amp; NP'!$C$10:$WL$10,'P &amp; NP'!$C$5:$WL$5,"NPK",'P &amp; NP'!$C$2:$WL$2,"BONDOWOSO")</f>
        <v>4595376</v>
      </c>
      <c r="AU11" s="502">
        <f t="shared" si="15"/>
        <v>0</v>
      </c>
      <c r="AV11" s="512">
        <f t="shared" si="16"/>
        <v>0</v>
      </c>
      <c r="AW11" s="519">
        <f>SUMIFS('P &amp; NP'!$C$7:$WL$7,'P &amp; NP'!$C$5:$WL$5,"PM",'P &amp; NP'!$C$2:$WL$2,"BONDOWOSO")</f>
        <v>0</v>
      </c>
      <c r="AX11" s="519">
        <f>SUMIFS('P &amp; NP'!$C$7:$WL$7,'P &amp; NP'!$C$5:$WL$5,"NPM",'P &amp; NP'!$C$2:$WL$2,"BONDOWOSO")</f>
        <v>0</v>
      </c>
      <c r="AY11" s="519">
        <f>SUMIFS('P &amp; NP'!$C$8:$WL$8,'P &amp; NP'!$C$5:$WL$5,"PM",'P &amp; NP'!$C$2:$WL$2,"BONDOWOSO")</f>
        <v>0</v>
      </c>
      <c r="AZ11" s="519">
        <f>SUMIFS('P &amp; NP'!$C$8:$WL$8,'P &amp; NP'!$C$5:$WL$5,"NPM",'P &amp; NP'!$C$2:$WL$2,"BONDOWOSO")</f>
        <v>0</v>
      </c>
      <c r="BA11" s="519">
        <f>SUMIFS('P &amp; NP'!$C$9:$WL$9,'P &amp; NP'!$C$5:$WL$5,"PM",'P &amp; NP'!$C$2:$WL$2,"BONDOWOSO")</f>
        <v>0</v>
      </c>
      <c r="BB11" s="519">
        <f>SUMIFS('P &amp; NP'!$C$9:$WL$9,'P &amp; NP'!$C$5:$WL$5,"NPM",'P &amp; NP'!$C$2:$WL$2,"BONDOWOSO")</f>
        <v>0</v>
      </c>
      <c r="BC11" s="519">
        <f>SUMIFS('P &amp; NP'!$C$10:$WL$10,'P &amp; NP'!$C$5:$WL$5,"PM",'P &amp; NP'!$C$2:$WL$2,"BONDOWOSO")</f>
        <v>0</v>
      </c>
      <c r="BD11" s="519">
        <f>SUMIFS('P &amp; NP'!$C$10:$WL$10,'P &amp; NP'!$C$5:$WL$5,"NPM",'P &amp; NP'!$C$2:$WL$2,"BONDOWOSO")</f>
        <v>0</v>
      </c>
      <c r="BF11" s="502">
        <f t="shared" si="17"/>
        <v>0</v>
      </c>
      <c r="BG11" s="512">
        <f t="shared" si="18"/>
        <v>0</v>
      </c>
      <c r="BH11" s="519">
        <f>SUMIFS('P &amp; NP'!$C$7:$WL$7,'P &amp; NP'!$C$5:$WL$5,"PB",'P &amp; NP'!$C$2:$WL$2,"BONDOWOSO")</f>
        <v>0</v>
      </c>
      <c r="BI11" s="519">
        <f>SUMIFS('P &amp; NP'!$C$7:$WL$7,'P &amp; NP'!$C$5:$WL$5,"NPB",'P &amp; NP'!$C$2:$WL$2,"BONDOWOSO")</f>
        <v>0</v>
      </c>
      <c r="BJ11" s="519">
        <f>SUMIFS('P &amp; NP'!$C$8:$WL$8,'P &amp; NP'!$C$5:$WL$5,"PB",'P &amp; NP'!$C$2:$WL$2,"BONDOWOSO")</f>
        <v>0</v>
      </c>
      <c r="BK11" s="519">
        <f>SUMIFS('P &amp; NP'!$C$8:$WL$8,'P &amp; NP'!$C$5:$WL$5,"NPB",'P &amp; NP'!$C$2:$WL$2,"BONDOWOSO")</f>
        <v>0</v>
      </c>
      <c r="BL11" s="519">
        <f>SUMIFS('P &amp; NP'!$C$9:$WL$9,'P &amp; NP'!$C$5:$WL$5,"PB",'P &amp; NP'!$C$2:$WL$2,"BONDOWOSO")</f>
        <v>0</v>
      </c>
      <c r="BM11" s="519">
        <f>SUMIFS('P &amp; NP'!$C$9:$WL$9,'P &amp; NP'!$C$5:$WL$5,"NPB",'P &amp; NP'!$C$2:$WL$2,"BONDOWOSO")</f>
        <v>0</v>
      </c>
      <c r="BN11" s="519">
        <f>SUMIFS('P &amp; NP'!$C$10:$WL$10,'P &amp; NP'!$C$5:$WL$5,"PB",'P &amp; NP'!$C$2:$WL$2,"BONDOWOSO")</f>
        <v>0</v>
      </c>
      <c r="BO11" s="519">
        <f>SUMIFS('P &amp; NP'!$C$10:$WL$10,'P &amp; NP'!$C$5:$WL$5,"NPB",'P &amp; NP'!$C$2:$WL$2,"BONDOWOSO")</f>
        <v>0</v>
      </c>
      <c r="BQ11" s="502">
        <f t="shared" si="19"/>
        <v>0</v>
      </c>
      <c r="BR11" s="512">
        <f t="shared" si="20"/>
        <v>0</v>
      </c>
      <c r="BS11" s="519">
        <f>SUMIFS('P &amp; NP'!$C$7:$WL$7,'P &amp; NP'!$C$5:$WL$5,"PJ",'P &amp; NP'!$C$2:$WL$2,"BONDOWOSO")</f>
        <v>0</v>
      </c>
      <c r="BT11" s="519">
        <f>SUMIFS('P &amp; NP'!$C$7:$WL$7,'P &amp; NP'!$C$5:$WL$5,"NPJ",'P &amp; NP'!$C$2:$WL$2,"BONDOWOSO")</f>
        <v>0</v>
      </c>
      <c r="BU11" s="519">
        <f>SUMIFS('P &amp; NP'!$C$8:$WL$8,'P &amp; NP'!$C$5:$WL$5,"PJ",'P &amp; NP'!$C$2:$WL$2,"BONDOWOSO")</f>
        <v>0</v>
      </c>
      <c r="BV11" s="519">
        <f>SUMIFS('P &amp; NP'!$C$8:$WL$8,'P &amp; NP'!$C$5:$WL$5,"NPJ",'P &amp; NP'!$C$2:$WL$2,"BONDOWOSO")</f>
        <v>0</v>
      </c>
      <c r="BW11" s="519">
        <f>SUMIFS('P &amp; NP'!$C$9:$WL$9,'P &amp; NP'!$C$5:$WL$5,"PJ",'P &amp; NP'!$C$2:$WL$2,"BONDOWOSO")</f>
        <v>0</v>
      </c>
      <c r="BX11" s="519">
        <f>SUMIFS('P &amp; NP'!$C$9:$WL$9,'P &amp; NP'!$C$5:$WL$5,"NPJ",'P &amp; NP'!$C$2:$WL$2,"BONDOWOSO")</f>
        <v>0</v>
      </c>
      <c r="BY11" s="519">
        <f>SUMIFS('P &amp; NP'!$C$10:$WL$10,'P &amp; NP'!$C$5:$WL$5,"PJ",'P &amp; NP'!$C$2:$WL$2,"BONDOWOSO")</f>
        <v>0</v>
      </c>
      <c r="BZ11" s="519">
        <f>SUMIFS('P &amp; NP'!$C$10:$WL$10,'P &amp; NP'!$C$5:$WL$5,"NPJ",'P &amp; NP'!$C$2:$WL$2,"BONDOWOSO")</f>
        <v>0</v>
      </c>
      <c r="CB11" s="502">
        <f t="shared" si="21"/>
        <v>849316</v>
      </c>
      <c r="CC11" s="512">
        <f t="shared" si="22"/>
        <v>18251469</v>
      </c>
      <c r="CD11" s="519">
        <f t="shared" si="23"/>
        <v>226594</v>
      </c>
      <c r="CE11" s="519">
        <f t="shared" si="24"/>
        <v>4871029</v>
      </c>
      <c r="CF11" s="519">
        <f t="shared" si="25"/>
        <v>206553</v>
      </c>
      <c r="CG11" s="519">
        <f t="shared" si="26"/>
        <v>4431970</v>
      </c>
      <c r="CH11" s="519">
        <f t="shared" si="27"/>
        <v>202717</v>
      </c>
      <c r="CI11" s="519">
        <f t="shared" si="28"/>
        <v>4353094</v>
      </c>
      <c r="CJ11" s="519">
        <f t="shared" si="29"/>
        <v>213452</v>
      </c>
      <c r="CK11" s="519">
        <f t="shared" si="30"/>
        <v>4595376</v>
      </c>
    </row>
    <row r="12" spans="1:89">
      <c r="A12" s="509"/>
      <c r="B12" s="484" t="s">
        <v>136</v>
      </c>
      <c r="C12" s="502">
        <f t="shared" si="8"/>
        <v>13740678.926078347</v>
      </c>
      <c r="D12" s="512">
        <f t="shared" si="9"/>
        <v>53413466.486336268</v>
      </c>
      <c r="E12" s="519">
        <f>SUMIFS('P &amp; NP'!$C$7:$WL$7,'P &amp; NP'!$C$5:$WL$5,"PL",'P &amp; NP'!$C$2:$WL$2,"GRESIK")</f>
        <v>1178368</v>
      </c>
      <c r="F12" s="519">
        <f>SUMIFS('P &amp; NP'!$C$7:$WL$7,'P &amp; NP'!$C$5:$WL$5,"NPL",'P &amp; NP'!$C$2:$WL$2,"GRESIK")</f>
        <v>4868226</v>
      </c>
      <c r="G12" s="519">
        <f>SUMIFS('P &amp; NP'!$C$8:$WL$8,'P &amp; NP'!$C$5:$WL$5,"PL",'P &amp; NP'!$C$2:$WL$2,"GRESIK")</f>
        <v>1407506.6906785597</v>
      </c>
      <c r="H12" s="519">
        <f>SUMIFS('P &amp; NP'!$C$8:$WL$8,'P &amp; NP'!$C$5:$WL$5,"NPL",'P &amp; NP'!$C$2:$WL$2,"GRESIK")</f>
        <v>7037534.453392799</v>
      </c>
      <c r="I12" s="519">
        <f>SUMIFS('P &amp; NP'!$C$9:$WL$9,'P &amp; NP'!$C$5:$WL$5,"PL",'P &amp; NP'!$C$2:$WL$2,"GRESIK")</f>
        <v>4684302</v>
      </c>
      <c r="J12" s="519">
        <f>SUMIFS('P &amp; NP'!$C$9:$WL$9,'P &amp; NP'!$C$5:$WL$5,"NPL",'P &amp; NP'!$C$2:$WL$2,"GRESIK")</f>
        <v>18737206.061000001</v>
      </c>
      <c r="K12" s="519">
        <f>SUMIFS('P &amp; NP'!$C$10:$WL$10,'P &amp; NP'!$C$5:$WL$5,"PL",'P &amp; NP'!$C$2:$WL$2,"GRESIK")</f>
        <v>6470502.2353997882</v>
      </c>
      <c r="L12" s="519">
        <f>SUMIFS('P &amp; NP'!$C$10:$WL$10,'P &amp; NP'!$C$5:$WL$5,"NPL",'P &amp; NP'!$C$2:$WL$2,"GRESIK")</f>
        <v>22770499.971943468</v>
      </c>
      <c r="N12" s="502">
        <f t="shared" si="10"/>
        <v>82445960.751360208</v>
      </c>
      <c r="O12" s="512">
        <f t="shared" si="11"/>
        <v>2385261859.7672052</v>
      </c>
      <c r="P12" s="519">
        <f>SUMIFS('P &amp; NP'!$C$7:$WL$7,'P &amp; NP'!$C$5:$WL$5,"PT",'P &amp; NP'!$C$2:$WL$2,"GRESIK")</f>
        <v>22615979.346231226</v>
      </c>
      <c r="Q12" s="519">
        <f>SUMIFS('P &amp; NP'!$C$7:$WL$7,'P &amp; NP'!$C$5:$WL$5,"NPT",'P &amp; NP'!$C$2:$WL$2,"GRESIK")</f>
        <v>649282857.08653629</v>
      </c>
      <c r="R12" s="519">
        <f>SUMIFS('P &amp; NP'!$C$8:$WL$8,'P &amp; NP'!$C$5:$WL$5,"PT",'P &amp; NP'!$C$2:$WL$2,"GRESIK")</f>
        <v>20887418.777108952</v>
      </c>
      <c r="S12" s="519">
        <f>SUMIFS('P &amp; NP'!$C$8:$WL$8,'P &amp; NP'!$C$5:$WL$5,"NPT",'P &amp; NP'!$C$2:$WL$2,"GRESIK")</f>
        <v>636253211.06608498</v>
      </c>
      <c r="T12" s="519">
        <f>SUMIFS('P &amp; NP'!$C$9:$WL$9,'P &amp; NP'!$C$5:$WL$5,"PT",'P &amp; NP'!$C$2:$WL$2,"GRESIK")</f>
        <v>20040735.342798188</v>
      </c>
      <c r="U12" s="519">
        <f>SUMIFS('P &amp; NP'!$C$9:$WL$9,'P &amp; NP'!$C$5:$WL$5,"NPT",'P &amp; NP'!$C$2:$WL$2,"GRESIK")</f>
        <v>588780871.63413942</v>
      </c>
      <c r="V12" s="519">
        <f>SUMIFS('P &amp; NP'!$C$10:$WL$10,'P &amp; NP'!$C$5:$WL$5,"PT",'P &amp; NP'!$C$2:$WL$2,"GRESIK")</f>
        <v>18901827.285221849</v>
      </c>
      <c r="W12" s="519">
        <f>SUMIFS('P &amp; NP'!$C$10:$WL$10,'P &amp; NP'!$C$5:$WL$5,"NPT",'P &amp; NP'!$C$2:$WL$2,"GRESIK")</f>
        <v>510944919.98044419</v>
      </c>
      <c r="Y12" s="502">
        <f ca="1">SUMIF(AA$5:$AH10,$Y$1,AA12:AH12)</f>
        <v>0</v>
      </c>
      <c r="Z12" s="512">
        <f t="shared" si="12"/>
        <v>0</v>
      </c>
      <c r="AA12" s="519">
        <f>SUMIFS('P &amp; NP'!$C$7:$WL$7,'P &amp; NP'!$C$5:$WL$5,"PS",'P &amp; NP'!$C$2:$WL$2,"GRESIK")</f>
        <v>0</v>
      </c>
      <c r="AB12" s="519">
        <f>SUMIFS('P &amp; NP'!$C$7:$WL$7,'P &amp; NP'!$C$5:$WL$5,"NPS",'P &amp; NP'!$C$2:$WL$2,"GRESIK")</f>
        <v>0</v>
      </c>
      <c r="AC12" s="519">
        <f>SUMIFS('P &amp; NP'!$C$8:$WL$8,'P &amp; NP'!$C$5:$WL$5,"PS",'P &amp; NP'!$C$2:$WL$2,"GRESIK")</f>
        <v>0</v>
      </c>
      <c r="AD12" s="519">
        <f>SUMIFS('P &amp; NP'!$C$8:$WL$8,'P &amp; NP'!$C$5:$WL$5,"NPS",'P &amp; NP'!$C$2:$WL$2,"GRESIK")</f>
        <v>0</v>
      </c>
      <c r="AE12" s="519">
        <f>SUMIFS('P &amp; NP'!$C$9:$WL$9,'P &amp; NP'!$C$5:$WL$5,"PS",'P &amp; NP'!$C$2:$WL$2,"GRESIK")</f>
        <v>0</v>
      </c>
      <c r="AF12" s="519">
        <f>SUMIFS('P &amp; NP'!$C$9:$WL$9,'P &amp; NP'!$C$5:$WL$5,"NPS",'P &amp; NP'!$C$2:$WL$2,"GRESIK")</f>
        <v>0</v>
      </c>
      <c r="AG12" s="519">
        <f>SUMIFS('P &amp; NP'!$C$10:$WL$10,'P &amp; NP'!$C$5:$WL$5,"PS",'P &amp; NP'!$C$2:$WL$2,"GRESIK")</f>
        <v>0</v>
      </c>
      <c r="AH12" s="519">
        <f>SUMIFS('P &amp; NP'!$C$10:$WL$10,'P &amp; NP'!$C$5:$WL$5,"NPS",'P &amp; NP'!$C$2:$WL$2,"GRESIK")</f>
        <v>0</v>
      </c>
      <c r="AJ12" s="502">
        <f t="shared" si="13"/>
        <v>64252434.849478066</v>
      </c>
      <c r="AK12" s="512">
        <f t="shared" si="14"/>
        <v>1106280395.0529156</v>
      </c>
      <c r="AL12" s="519">
        <f>SUMIFS('P &amp; NP'!$C$7:$WL$7,'P &amp; NP'!$C$5:$WL$5,"PK",'P &amp; NP'!$C$2:$WL$2,"GRESIK")</f>
        <v>17050061</v>
      </c>
      <c r="AM12" s="519">
        <f>SUMIFS('P &amp; NP'!$C$7:$WL$7,'P &amp; NP'!$C$5:$WL$5,"NPK",'P &amp; NP'!$C$2:$WL$2,"GRESIK")</f>
        <v>283692372.50579751</v>
      </c>
      <c r="AN12" s="519">
        <f>SUMIFS('P &amp; NP'!$C$8:$WL$8,'P &amp; NP'!$C$5:$WL$5,"PK",'P &amp; NP'!$C$2:$WL$2,"GRESIK")</f>
        <v>18549094.52009362</v>
      </c>
      <c r="AO12" s="519">
        <f>SUMIFS('P &amp; NP'!$C$8:$WL$8,'P &amp; NP'!$C$5:$WL$5,"NPK",'P &amp; NP'!$C$2:$WL$2,"GRESIK")</f>
        <v>318103575.39284652</v>
      </c>
      <c r="AP12" s="519">
        <f>SUMIFS('P &amp; NP'!$C$9:$WL$9,'P &amp; NP'!$C$5:$WL$5,"PK",'P &amp; NP'!$C$2:$WL$2,"GRESIK")</f>
        <v>15276247</v>
      </c>
      <c r="AQ12" s="519">
        <f>SUMIFS('P &amp; NP'!$C$9:$WL$9,'P &amp; NP'!$C$5:$WL$5,"NPK",'P &amp; NP'!$C$2:$WL$2,"GRESIK")</f>
        <v>248916922.27640975</v>
      </c>
      <c r="AR12" s="519">
        <f>SUMIFS('P &amp; NP'!$C$10:$WL$10,'P &amp; NP'!$C$5:$WL$5,"PK",'P &amp; NP'!$C$2:$WL$2,"GRESIK")</f>
        <v>13377032.32938445</v>
      </c>
      <c r="AS12" s="519">
        <f>SUMIFS('P &amp; NP'!$C$10:$WL$10,'P &amp; NP'!$C$5:$WL$5,"NPK",'P &amp; NP'!$C$2:$WL$2,"GRESIK")</f>
        <v>255567524.87786174</v>
      </c>
      <c r="AU12" s="502">
        <f t="shared" si="15"/>
        <v>0</v>
      </c>
      <c r="AV12" s="512">
        <f t="shared" si="16"/>
        <v>0</v>
      </c>
      <c r="AW12" s="519">
        <f>SUMIFS('P &amp; NP'!$C$7:$WL$7,'P &amp; NP'!$C$5:$WL$5,"PM",'P &amp; NP'!$C$2:$WL$2,"GRESIK")</f>
        <v>0</v>
      </c>
      <c r="AX12" s="519">
        <f>SUMIFS('P &amp; NP'!$C$7:$WL$7,'P &amp; NP'!$C$5:$WL$5,"NPM",'P &amp; NP'!$C$2:$WL$2,"GRESIK")</f>
        <v>0</v>
      </c>
      <c r="AY12" s="519">
        <f>SUMIFS('P &amp; NP'!$C$8:$WL$8,'P &amp; NP'!$C$5:$WL$5,"PM",'P &amp; NP'!$C$2:$WL$2,"GRESIK")</f>
        <v>0</v>
      </c>
      <c r="AZ12" s="519">
        <f>SUMIFS('P &amp; NP'!$C$8:$WL$8,'P &amp; NP'!$C$5:$WL$5,"NPM",'P &amp; NP'!$C$2:$WL$2,"GRESIK")</f>
        <v>0</v>
      </c>
      <c r="BA12" s="519">
        <f>SUMIFS('P &amp; NP'!$C$9:$WL$9,'P &amp; NP'!$C$5:$WL$5,"PM",'P &amp; NP'!$C$2:$WL$2,"GRESIK")</f>
        <v>0</v>
      </c>
      <c r="BB12" s="519">
        <f>SUMIFS('P &amp; NP'!$C$9:$WL$9,'P &amp; NP'!$C$5:$WL$5,"NPM",'P &amp; NP'!$C$2:$WL$2,"GRESIK")</f>
        <v>0</v>
      </c>
      <c r="BC12" s="519">
        <f>SUMIFS('P &amp; NP'!$C$10:$WL$10,'P &amp; NP'!$C$5:$WL$5,"PM",'P &amp; NP'!$C$2:$WL$2,"GRESIK")</f>
        <v>0</v>
      </c>
      <c r="BD12" s="519">
        <f>SUMIFS('P &amp; NP'!$C$10:$WL$10,'P &amp; NP'!$C$5:$WL$5,"NPM",'P &amp; NP'!$C$2:$WL$2,"GRESIK")</f>
        <v>0</v>
      </c>
      <c r="BF12" s="502">
        <f t="shared" si="17"/>
        <v>0</v>
      </c>
      <c r="BG12" s="512">
        <f t="shared" si="18"/>
        <v>0</v>
      </c>
      <c r="BH12" s="519">
        <f>SUMIFS('P &amp; NP'!$C$7:$WL$7,'P &amp; NP'!$C$5:$WL$5,"PB",'P &amp; NP'!$C$2:$WL$2,"GRESIK")</f>
        <v>0</v>
      </c>
      <c r="BI12" s="519">
        <f>SUMIFS('P &amp; NP'!$C$7:$WL$7,'P &amp; NP'!$C$5:$WL$5,"NPB",'P &amp; NP'!$C$2:$WL$2,"GRESIK")</f>
        <v>0</v>
      </c>
      <c r="BJ12" s="519">
        <f>SUMIFS('P &amp; NP'!$C$8:$WL$8,'P &amp; NP'!$C$5:$WL$5,"PB",'P &amp; NP'!$C$2:$WL$2,"GRESIK")</f>
        <v>0</v>
      </c>
      <c r="BK12" s="519">
        <f>SUMIFS('P &amp; NP'!$C$8:$WL$8,'P &amp; NP'!$C$5:$WL$5,"NPB",'P &amp; NP'!$C$2:$WL$2,"GRESIK")</f>
        <v>0</v>
      </c>
      <c r="BL12" s="519">
        <f>SUMIFS('P &amp; NP'!$C$9:$WL$9,'P &amp; NP'!$C$5:$WL$5,"PB",'P &amp; NP'!$C$2:$WL$2,"GRESIK")</f>
        <v>0</v>
      </c>
      <c r="BM12" s="519">
        <f>SUMIFS('P &amp; NP'!$C$9:$WL$9,'P &amp; NP'!$C$5:$WL$5,"NPB",'P &amp; NP'!$C$2:$WL$2,"GRESIK")</f>
        <v>0</v>
      </c>
      <c r="BN12" s="519">
        <f>SUMIFS('P &amp; NP'!$C$10:$WL$10,'P &amp; NP'!$C$5:$WL$5,"PB",'P &amp; NP'!$C$2:$WL$2,"GRESIK")</f>
        <v>0</v>
      </c>
      <c r="BO12" s="519">
        <f>SUMIFS('P &amp; NP'!$C$10:$WL$10,'P &amp; NP'!$C$5:$WL$5,"NPB",'P &amp; NP'!$C$2:$WL$2,"GRESIK")</f>
        <v>0</v>
      </c>
      <c r="BQ12" s="502">
        <f t="shared" si="19"/>
        <v>0</v>
      </c>
      <c r="BR12" s="512">
        <f t="shared" si="20"/>
        <v>0</v>
      </c>
      <c r="BS12" s="519">
        <f>SUMIFS('P &amp; NP'!$C$7:$WL$7,'P &amp; NP'!$C$5:$WL$5,"PJ",'P &amp; NP'!$C$2:$WL$2,"GRESIK")</f>
        <v>0</v>
      </c>
      <c r="BT12" s="519">
        <f>SUMIFS('P &amp; NP'!$C$7:$WL$7,'P &amp; NP'!$C$5:$WL$5,"NPJ",'P &amp; NP'!$C$2:$WL$2,"GRESIK")</f>
        <v>0</v>
      </c>
      <c r="BU12" s="519">
        <f>SUMIFS('P &amp; NP'!$C$8:$WL$8,'P &amp; NP'!$C$5:$WL$5,"PJ",'P &amp; NP'!$C$2:$WL$2,"GRESIK")</f>
        <v>0</v>
      </c>
      <c r="BV12" s="519">
        <f>SUMIFS('P &amp; NP'!$C$8:$WL$8,'P &amp; NP'!$C$5:$WL$5,"NPJ",'P &amp; NP'!$C$2:$WL$2,"GRESIK")</f>
        <v>0</v>
      </c>
      <c r="BW12" s="519">
        <f>SUMIFS('P &amp; NP'!$C$9:$WL$9,'P &amp; NP'!$C$5:$WL$5,"PJ",'P &amp; NP'!$C$2:$WL$2,"GRESIK")</f>
        <v>0</v>
      </c>
      <c r="BX12" s="519">
        <f>SUMIFS('P &amp; NP'!$C$9:$WL$9,'P &amp; NP'!$C$5:$WL$5,"NPJ",'P &amp; NP'!$C$2:$WL$2,"GRESIK")</f>
        <v>0</v>
      </c>
      <c r="BY12" s="519">
        <f>SUMIFS('P &amp; NP'!$C$10:$WL$10,'P &amp; NP'!$C$5:$WL$5,"PJ",'P &amp; NP'!$C$2:$WL$2,"GRESIK")</f>
        <v>0</v>
      </c>
      <c r="BZ12" s="519">
        <f>SUMIFS('P &amp; NP'!$C$10:$WL$10,'P &amp; NP'!$C$5:$WL$5,"NPJ",'P &amp; NP'!$C$2:$WL$2,"GRESIK")</f>
        <v>0</v>
      </c>
      <c r="CB12" s="502">
        <f t="shared" si="21"/>
        <v>160439074.52691662</v>
      </c>
      <c r="CC12" s="512">
        <f t="shared" si="22"/>
        <v>3544955721.3064566</v>
      </c>
      <c r="CD12" s="519">
        <f t="shared" si="23"/>
        <v>40844408.346231222</v>
      </c>
      <c r="CE12" s="519">
        <f t="shared" si="24"/>
        <v>937843455.59233379</v>
      </c>
      <c r="CF12" s="519">
        <f t="shared" si="25"/>
        <v>40844019.987881131</v>
      </c>
      <c r="CG12" s="519">
        <f t="shared" si="26"/>
        <v>961394320.91232419</v>
      </c>
      <c r="CH12" s="519">
        <f t="shared" si="27"/>
        <v>40001284.342798188</v>
      </c>
      <c r="CI12" s="519">
        <f t="shared" si="28"/>
        <v>856434999.97154915</v>
      </c>
      <c r="CJ12" s="519">
        <f t="shared" si="29"/>
        <v>38749361.850006089</v>
      </c>
      <c r="CK12" s="519">
        <f t="shared" si="30"/>
        <v>789282944.83024943</v>
      </c>
    </row>
    <row r="13" spans="1:89">
      <c r="A13" s="509"/>
      <c r="B13" s="484" t="s">
        <v>120</v>
      </c>
      <c r="C13" s="502">
        <f t="shared" si="8"/>
        <v>0</v>
      </c>
      <c r="D13" s="512">
        <f t="shared" si="9"/>
        <v>0</v>
      </c>
      <c r="E13" s="519">
        <f>SUMIFS('P &amp; NP'!$C$7:$WL$7,'P &amp; NP'!$C$5:$WL$5,"PL",'P &amp; NP'!$C$2:$WL$2,"JEMBER")</f>
        <v>0</v>
      </c>
      <c r="F13" s="519">
        <f>SUMIFS('P &amp; NP'!$C$7:$WL$7,'P &amp; NP'!$C$5:$WL$5,"NPL",'P &amp; NP'!$C$2:$WL$2,"JEMBER")</f>
        <v>0</v>
      </c>
      <c r="G13" s="519">
        <f>SUMIFS('P &amp; NP'!$C$8:$WL$8,'P &amp; NP'!$C$5:$WL$5,"PL",'P &amp; NP'!$C$2:$WL$2,"JEMBER")</f>
        <v>0</v>
      </c>
      <c r="H13" s="519">
        <f>SUMIFS('P &amp; NP'!$C$8:$WL$8,'P &amp; NP'!$C$5:$WL$5,"NPL",'P &amp; NP'!$C$2:$WL$2,"JEMBER")</f>
        <v>0</v>
      </c>
      <c r="I13" s="519">
        <f>SUMIFS('P &amp; NP'!$C$9:$WL$9,'P &amp; NP'!$C$5:$WL$5,"PL",'P &amp; NP'!$C$2:$WL$2,"JEMBER")</f>
        <v>0</v>
      </c>
      <c r="J13" s="519">
        <f>SUMIFS('P &amp; NP'!$C$9:$WL$9,'P &amp; NP'!$C$5:$WL$5,"NPL",'P &amp; NP'!$C$2:$WL$2,"JEMBER")</f>
        <v>0</v>
      </c>
      <c r="K13" s="519">
        <f>SUMIFS('P &amp; NP'!$C$10:$WL$10,'P &amp; NP'!$C$5:$WL$5,"PL",'P &amp; NP'!$C$2:$WL$2,"JEMBER")</f>
        <v>0</v>
      </c>
      <c r="L13" s="519">
        <f>SUMIFS('P &amp; NP'!$C$10:$WL$10,'P &amp; NP'!$C$5:$WL$5,"NPL",'P &amp; NP'!$C$2:$WL$2,"JEMBER")</f>
        <v>0</v>
      </c>
      <c r="N13" s="502">
        <f t="shared" si="10"/>
        <v>3938067.9328566566</v>
      </c>
      <c r="O13" s="512">
        <f t="shared" si="11"/>
        <v>235205864.45300001</v>
      </c>
      <c r="P13" s="519">
        <f>SUMIFS('P &amp; NP'!$C$7:$WL$7,'P &amp; NP'!$C$5:$WL$5,"PT",'P &amp; NP'!$C$2:$WL$2,"JEMBER")</f>
        <v>368555.00099170511</v>
      </c>
      <c r="Q13" s="519">
        <f>SUMIFS('P &amp; NP'!$C$7:$WL$7,'P &amp; NP'!$C$5:$WL$5,"NPT",'P &amp; NP'!$C$2:$WL$2,"JEMBER")</f>
        <v>25496371.024999999</v>
      </c>
      <c r="R13" s="519">
        <f>SUMIFS('P &amp; NP'!$C$8:$WL$8,'P &amp; NP'!$C$5:$WL$5,"PT",'P &amp; NP'!$C$2:$WL$2,"JEMBER")</f>
        <v>899842.99584063143</v>
      </c>
      <c r="S13" s="519">
        <f>SUMIFS('P &amp; NP'!$C$8:$WL$8,'P &amp; NP'!$C$5:$WL$5,"NPT",'P &amp; NP'!$C$2:$WL$2,"JEMBER")</f>
        <v>55274378.995999999</v>
      </c>
      <c r="T13" s="519">
        <f>SUMIFS('P &amp; NP'!$C$9:$WL$9,'P &amp; NP'!$C$5:$WL$5,"PT",'P &amp; NP'!$C$2:$WL$2,"JEMBER")</f>
        <v>1361309.9366494976</v>
      </c>
      <c r="U13" s="519">
        <f>SUMIFS('P &amp; NP'!$C$9:$WL$9,'P &amp; NP'!$C$5:$WL$5,"NPT",'P &amp; NP'!$C$2:$WL$2,"JEMBER")</f>
        <v>78790058.811000004</v>
      </c>
      <c r="V13" s="519">
        <f>SUMIFS('P &amp; NP'!$C$10:$WL$10,'P &amp; NP'!$C$5:$WL$5,"PT",'P &amp; NP'!$C$2:$WL$2,"JEMBER")</f>
        <v>1308359.9993748225</v>
      </c>
      <c r="W13" s="519">
        <f>SUMIFS('P &amp; NP'!$C$10:$WL$10,'P &amp; NP'!$C$5:$WL$5,"NPT",'P &amp; NP'!$C$2:$WL$2,"JEMBER")</f>
        <v>75645055.620999992</v>
      </c>
      <c r="Y13" s="502">
        <f ca="1">SUMIF(AA$5:$AH11,$Y$1,AA13:AH13)</f>
        <v>0</v>
      </c>
      <c r="Z13" s="512">
        <f t="shared" si="12"/>
        <v>0</v>
      </c>
      <c r="AA13" s="519">
        <f>SUMIFS('P &amp; NP'!$C$7:$WL$7,'P &amp; NP'!$C$5:$WL$5,"PS",'P &amp; NP'!$C$2:$WL$2,"JEMBER")</f>
        <v>0</v>
      </c>
      <c r="AB13" s="519">
        <f>SUMIFS('P &amp; NP'!$C$7:$WL$7,'P &amp; NP'!$C$5:$WL$5,"NPS",'P &amp; NP'!$C$2:$WL$2,"JEMBER")</f>
        <v>0</v>
      </c>
      <c r="AC13" s="519">
        <f>SUMIFS('P &amp; NP'!$C$8:$WL$8,'P &amp; NP'!$C$5:$WL$5,"PS",'P &amp; NP'!$C$2:$WL$2,"JEMBER")</f>
        <v>0</v>
      </c>
      <c r="AD13" s="519">
        <f>SUMIFS('P &amp; NP'!$C$8:$WL$8,'P &amp; NP'!$C$5:$WL$5,"NPS",'P &amp; NP'!$C$2:$WL$2,"JEMBER")</f>
        <v>0</v>
      </c>
      <c r="AE13" s="519">
        <f>SUMIFS('P &amp; NP'!$C$9:$WL$9,'P &amp; NP'!$C$5:$WL$5,"PS",'P &amp; NP'!$C$2:$WL$2,"JEMBER")</f>
        <v>0</v>
      </c>
      <c r="AF13" s="519">
        <f>SUMIFS('P &amp; NP'!$C$9:$WL$9,'P &amp; NP'!$C$5:$WL$5,"NPS",'P &amp; NP'!$C$2:$WL$2,"JEMBER")</f>
        <v>0</v>
      </c>
      <c r="AG13" s="519">
        <f>SUMIFS('P &amp; NP'!$C$10:$WL$10,'P &amp; NP'!$C$5:$WL$5,"PS",'P &amp; NP'!$C$2:$WL$2,"JEMBER")</f>
        <v>0</v>
      </c>
      <c r="AH13" s="519">
        <f>SUMIFS('P &amp; NP'!$C$10:$WL$10,'P &amp; NP'!$C$5:$WL$5,"NPS",'P &amp; NP'!$C$2:$WL$2,"JEMBER")</f>
        <v>0</v>
      </c>
      <c r="AJ13" s="502">
        <f t="shared" si="13"/>
        <v>12436925.536938429</v>
      </c>
      <c r="AK13" s="512">
        <f t="shared" si="14"/>
        <v>272994871.54900002</v>
      </c>
      <c r="AL13" s="519">
        <f>SUMIFS('P &amp; NP'!$C$7:$WL$7,'P &amp; NP'!$C$5:$WL$5,"PK",'P &amp; NP'!$C$2:$WL$2,"JEMBER")</f>
        <v>3844033</v>
      </c>
      <c r="AM13" s="519">
        <f>SUMIFS('P &amp; NP'!$C$7:$WL$7,'P &amp; NP'!$C$5:$WL$5,"NPK",'P &amp; NP'!$C$2:$WL$2,"JEMBER")</f>
        <v>84800377.998999998</v>
      </c>
      <c r="AN13" s="519">
        <f>SUMIFS('P &amp; NP'!$C$8:$WL$8,'P &amp; NP'!$C$5:$WL$5,"PK",'P &amp; NP'!$C$2:$WL$2,"JEMBER")</f>
        <v>2424928.0025097998</v>
      </c>
      <c r="AO13" s="519">
        <f>SUMIFS('P &amp; NP'!$C$8:$WL$8,'P &amp; NP'!$C$5:$WL$5,"NPK",'P &amp; NP'!$C$2:$WL$2,"JEMBER")</f>
        <v>53354066.046999998</v>
      </c>
      <c r="AP13" s="519">
        <f>SUMIFS('P &amp; NP'!$C$9:$WL$9,'P &amp; NP'!$C$5:$WL$5,"PK",'P &amp; NP'!$C$2:$WL$2,"JEMBER")</f>
        <v>3021985</v>
      </c>
      <c r="AQ13" s="519">
        <f>SUMIFS('P &amp; NP'!$C$9:$WL$9,'P &amp; NP'!$C$5:$WL$5,"NPK",'P &amp; NP'!$C$2:$WL$2,"JEMBER")</f>
        <v>66662525.001000002</v>
      </c>
      <c r="AR13" s="519">
        <f>SUMIFS('P &amp; NP'!$C$10:$WL$10,'P &amp; NP'!$C$5:$WL$5,"PK",'P &amp; NP'!$C$2:$WL$2,"JEMBER")</f>
        <v>3145979.534428631</v>
      </c>
      <c r="AS13" s="519">
        <f>SUMIFS('P &amp; NP'!$C$10:$WL$10,'P &amp; NP'!$C$5:$WL$5,"NPK",'P &amp; NP'!$C$2:$WL$2,"JEMBER")</f>
        <v>68177902.502000004</v>
      </c>
      <c r="AU13" s="502">
        <f t="shared" si="15"/>
        <v>35722.000366</v>
      </c>
      <c r="AV13" s="512">
        <f t="shared" si="16"/>
        <v>879880.01500000001</v>
      </c>
      <c r="AW13" s="519">
        <f>SUMIFS('P &amp; NP'!$C$7:$WL$7,'P &amp; NP'!$C$5:$WL$5,"PM",'P &amp; NP'!$C$2:$WL$2,"JEMBER")</f>
        <v>16400</v>
      </c>
      <c r="AX13" s="519">
        <f>SUMIFS('P &amp; NP'!$C$7:$WL$7,'P &amp; NP'!$C$5:$WL$5,"NPM",'P &amp; NP'!$C$2:$WL$2,"JEMBER")</f>
        <v>429250</v>
      </c>
      <c r="AY13" s="519">
        <f>SUMIFS('P &amp; NP'!$C$8:$WL$8,'P &amp; NP'!$C$5:$WL$5,"PM",'P &amp; NP'!$C$2:$WL$2,"JEMBER")</f>
        <v>7354</v>
      </c>
      <c r="AZ13" s="519">
        <f>SUMIFS('P &amp; NP'!$C$8:$WL$8,'P &amp; NP'!$C$5:$WL$5,"NPM",'P &amp; NP'!$C$2:$WL$2,"JEMBER")</f>
        <v>167145.00599999999</v>
      </c>
      <c r="BA13" s="519">
        <f>SUMIFS('P &amp; NP'!$C$9:$WL$9,'P &amp; NP'!$C$5:$WL$5,"PM",'P &amp; NP'!$C$2:$WL$2,"JEMBER")</f>
        <v>5545.0003660000002</v>
      </c>
      <c r="BB13" s="519">
        <f>SUMIFS('P &amp; NP'!$C$9:$WL$9,'P &amp; NP'!$C$5:$WL$5,"NPM",'P &amp; NP'!$C$2:$WL$2,"JEMBER")</f>
        <v>123910.00899999999</v>
      </c>
      <c r="BC13" s="519">
        <f>SUMIFS('P &amp; NP'!$C$10:$WL$10,'P &amp; NP'!$C$5:$WL$5,"PM",'P &amp; NP'!$C$2:$WL$2,"JEMBER")</f>
        <v>6423</v>
      </c>
      <c r="BD13" s="519">
        <f>SUMIFS('P &amp; NP'!$C$10:$WL$10,'P &amp; NP'!$C$5:$WL$5,"NPM",'P &amp; NP'!$C$2:$WL$2,"JEMBER")</f>
        <v>159575</v>
      </c>
      <c r="BF13" s="502">
        <f t="shared" si="17"/>
        <v>0</v>
      </c>
      <c r="BG13" s="512">
        <f t="shared" si="18"/>
        <v>0</v>
      </c>
      <c r="BH13" s="519">
        <f>SUMIFS('P &amp; NP'!$C$7:$WL$7,'P &amp; NP'!$C$5:$WL$5,"PB",'P &amp; NP'!$C$2:$WL$2,"JEMBER")</f>
        <v>0</v>
      </c>
      <c r="BI13" s="519">
        <f>SUMIFS('P &amp; NP'!$C$7:$WL$7,'P &amp; NP'!$C$5:$WL$5,"NPB",'P &amp; NP'!$C$2:$WL$2,"JEMBER")</f>
        <v>0</v>
      </c>
      <c r="BJ13" s="519">
        <f>SUMIFS('P &amp; NP'!$C$8:$WL$8,'P &amp; NP'!$C$5:$WL$5,"PB",'P &amp; NP'!$C$2:$WL$2,"JEMBER")</f>
        <v>0</v>
      </c>
      <c r="BK13" s="519">
        <f>SUMIFS('P &amp; NP'!$C$8:$WL$8,'P &amp; NP'!$C$5:$WL$5,"NPB",'P &amp; NP'!$C$2:$WL$2,"JEMBER")</f>
        <v>0</v>
      </c>
      <c r="BL13" s="519">
        <f>SUMIFS('P &amp; NP'!$C$9:$WL$9,'P &amp; NP'!$C$5:$WL$5,"PB",'P &amp; NP'!$C$2:$WL$2,"JEMBER")</f>
        <v>0</v>
      </c>
      <c r="BM13" s="519">
        <f>SUMIFS('P &amp; NP'!$C$9:$WL$9,'P &amp; NP'!$C$5:$WL$5,"NPB",'P &amp; NP'!$C$2:$WL$2,"JEMBER")</f>
        <v>0</v>
      </c>
      <c r="BN13" s="519">
        <f>SUMIFS('P &amp; NP'!$C$10:$WL$10,'P &amp; NP'!$C$5:$WL$5,"PB",'P &amp; NP'!$C$2:$WL$2,"JEMBER")</f>
        <v>0</v>
      </c>
      <c r="BO13" s="519">
        <f>SUMIFS('P &amp; NP'!$C$10:$WL$10,'P &amp; NP'!$C$5:$WL$5,"NPB",'P &amp; NP'!$C$2:$WL$2,"JEMBER")</f>
        <v>0</v>
      </c>
      <c r="BQ13" s="502">
        <f t="shared" si="19"/>
        <v>0</v>
      </c>
      <c r="BR13" s="512">
        <f t="shared" si="20"/>
        <v>0</v>
      </c>
      <c r="BS13" s="519">
        <f>SUMIFS('P &amp; NP'!$C$7:$WL$7,'P &amp; NP'!$C$5:$WL$5,"PJ",'P &amp; NP'!$C$2:$WL$2,"JEMBER")</f>
        <v>0</v>
      </c>
      <c r="BT13" s="519">
        <f>SUMIFS('P &amp; NP'!$C$7:$WL$7,'P &amp; NP'!$C$5:$WL$5,"NPJ",'P &amp; NP'!$C$2:$WL$2,"JEMBER")</f>
        <v>0</v>
      </c>
      <c r="BU13" s="519">
        <f>SUMIFS('P &amp; NP'!$C$8:$WL$8,'P &amp; NP'!$C$5:$WL$5,"PJ",'P &amp; NP'!$C$2:$WL$2,"JEMBER")</f>
        <v>0</v>
      </c>
      <c r="BV13" s="519">
        <f>SUMIFS('P &amp; NP'!$C$8:$WL$8,'P &amp; NP'!$C$5:$WL$5,"NPJ",'P &amp; NP'!$C$2:$WL$2,"JEMBER")</f>
        <v>0</v>
      </c>
      <c r="BW13" s="519">
        <f>SUMIFS('P &amp; NP'!$C$9:$WL$9,'P &amp; NP'!$C$5:$WL$5,"PJ",'P &amp; NP'!$C$2:$WL$2,"JEMBER")</f>
        <v>0</v>
      </c>
      <c r="BX13" s="519">
        <f>SUMIFS('P &amp; NP'!$C$9:$WL$9,'P &amp; NP'!$C$5:$WL$5,"NPJ",'P &amp; NP'!$C$2:$WL$2,"JEMBER")</f>
        <v>0</v>
      </c>
      <c r="BY13" s="519">
        <f>SUMIFS('P &amp; NP'!$C$10:$WL$10,'P &amp; NP'!$C$5:$WL$5,"PJ",'P &amp; NP'!$C$2:$WL$2,"JEMBER")</f>
        <v>0</v>
      </c>
      <c r="BZ13" s="519">
        <f>SUMIFS('P &amp; NP'!$C$10:$WL$10,'P &amp; NP'!$C$5:$WL$5,"NPJ",'P &amp; NP'!$C$2:$WL$2,"JEMBER")</f>
        <v>0</v>
      </c>
      <c r="CB13" s="502">
        <f t="shared" si="21"/>
        <v>16410715.470161088</v>
      </c>
      <c r="CC13" s="512">
        <f t="shared" si="22"/>
        <v>509080616.01699996</v>
      </c>
      <c r="CD13" s="519">
        <f t="shared" si="23"/>
        <v>4228988.0009917049</v>
      </c>
      <c r="CE13" s="519">
        <f t="shared" si="24"/>
        <v>110725999.02399999</v>
      </c>
      <c r="CF13" s="519">
        <f t="shared" si="25"/>
        <v>3332124.9983504312</v>
      </c>
      <c r="CG13" s="519">
        <f t="shared" si="26"/>
        <v>108795590.04899999</v>
      </c>
      <c r="CH13" s="519">
        <f t="shared" si="27"/>
        <v>4388839.9370154981</v>
      </c>
      <c r="CI13" s="519">
        <f t="shared" si="28"/>
        <v>145576493.82100001</v>
      </c>
      <c r="CJ13" s="519">
        <f t="shared" si="29"/>
        <v>4460762.5338034537</v>
      </c>
      <c r="CK13" s="519">
        <f t="shared" si="30"/>
        <v>143982533.123</v>
      </c>
    </row>
    <row r="14" spans="1:89">
      <c r="A14" s="509"/>
      <c r="B14" s="484" t="s">
        <v>128</v>
      </c>
      <c r="C14" s="502">
        <f t="shared" si="8"/>
        <v>0</v>
      </c>
      <c r="D14" s="512">
        <f t="shared" si="9"/>
        <v>0</v>
      </c>
      <c r="E14" s="519">
        <f>SUMIFS('P &amp; NP'!$C$7:$WL$7,'P &amp; NP'!$C$5:$WL$5,"PL",'P &amp; NP'!$C$2:$WL$2,"JOMBANG")</f>
        <v>0</v>
      </c>
      <c r="F14" s="519">
        <f>SUMIFS('P &amp; NP'!$C$7:$WL$7,'P &amp; NP'!$C$5:$WL$5,"NPL",'P &amp; NP'!$C$2:$WL$2,"JOMBANG")</f>
        <v>0</v>
      </c>
      <c r="G14" s="519">
        <f>SUMIFS('P &amp; NP'!$C$8:$WL$8,'P &amp; NP'!$C$5:$WL$5,"PL",'P &amp; NP'!$C$2:$WL$2,"JOMBANG")</f>
        <v>0</v>
      </c>
      <c r="H14" s="519">
        <f>SUMIFS('P &amp; NP'!$C$8:$WL$8,'P &amp; NP'!$C$5:$WL$5,"NPL",'P &amp; NP'!$C$2:$WL$2,"JOMBANG")</f>
        <v>0</v>
      </c>
      <c r="I14" s="519">
        <f>SUMIFS('P &amp; NP'!$C$9:$WL$9,'P &amp; NP'!$C$5:$WL$5,"PL",'P &amp; NP'!$C$2:$WL$2,"JOMBANG")</f>
        <v>0</v>
      </c>
      <c r="J14" s="519">
        <f>SUMIFS('P &amp; NP'!$C$9:$WL$9,'P &amp; NP'!$C$5:$WL$5,"NPL",'P &amp; NP'!$C$2:$WL$2,"JOMBANG")</f>
        <v>0</v>
      </c>
      <c r="K14" s="519">
        <f>SUMIFS('P &amp; NP'!$C$10:$WL$10,'P &amp; NP'!$C$5:$WL$5,"PL",'P &amp; NP'!$C$2:$WL$2,"JOMBANG")</f>
        <v>0</v>
      </c>
      <c r="L14" s="519">
        <f>SUMIFS('P &amp; NP'!$C$10:$WL$10,'P &amp; NP'!$C$5:$WL$5,"NPL",'P &amp; NP'!$C$2:$WL$2,"JOMBANG")</f>
        <v>0</v>
      </c>
      <c r="N14" s="502">
        <f t="shared" si="10"/>
        <v>0</v>
      </c>
      <c r="O14" s="512">
        <f t="shared" si="11"/>
        <v>0</v>
      </c>
      <c r="P14" s="519">
        <f>SUMIFS('P &amp; NP'!$C$7:$WL$7,'P &amp; NP'!$C$5:$WL$5,"PT",'P &amp; NP'!$C$2:$WL$2,"JOMBANG")</f>
        <v>0</v>
      </c>
      <c r="Q14" s="519">
        <f>SUMIFS('P &amp; NP'!$C$7:$WL$7,'P &amp; NP'!$C$5:$WL$5,"NPT",'P &amp; NP'!$C$2:$WL$2,"JOMBANG")</f>
        <v>0</v>
      </c>
      <c r="R14" s="519">
        <f>SUMIFS('P &amp; NP'!$C$8:$WL$8,'P &amp; NP'!$C$5:$WL$5,"PT",'P &amp; NP'!$C$2:$WL$2,"JOMBANG")</f>
        <v>0</v>
      </c>
      <c r="S14" s="519">
        <f>SUMIFS('P &amp; NP'!$C$8:$WL$8,'P &amp; NP'!$C$5:$WL$5,"NPT",'P &amp; NP'!$C$2:$WL$2,"JOMBANG")</f>
        <v>0</v>
      </c>
      <c r="T14" s="519">
        <f>SUMIFS('P &amp; NP'!$C$9:$WL$9,'P &amp; NP'!$C$5:$WL$5,"PT",'P &amp; NP'!$C$2:$WL$2,"JOMBANG")</f>
        <v>0</v>
      </c>
      <c r="U14" s="519">
        <f>SUMIFS('P &amp; NP'!$C$9:$WL$9,'P &amp; NP'!$C$5:$WL$5,"NPT",'P &amp; NP'!$C$2:$WL$2,"JOMBANG")</f>
        <v>0</v>
      </c>
      <c r="V14" s="519">
        <f>SUMIFS('P &amp; NP'!$C$10:$WL$10,'P &amp; NP'!$C$5:$WL$5,"PT",'P &amp; NP'!$C$2:$WL$2,"JOMBANG")</f>
        <v>0</v>
      </c>
      <c r="W14" s="519">
        <f>SUMIFS('P &amp; NP'!$C$10:$WL$10,'P &amp; NP'!$C$5:$WL$5,"NPT",'P &amp; NP'!$C$2:$WL$2,"JOMBANG")</f>
        <v>0</v>
      </c>
      <c r="Y14" s="502">
        <f ca="1">SUMIF(AA$5:$AH12,$Y$1,AA14:AH14)</f>
        <v>0</v>
      </c>
      <c r="Z14" s="512">
        <f t="shared" si="12"/>
        <v>0</v>
      </c>
      <c r="AA14" s="519">
        <f>SUMIFS('P &amp; NP'!$C$7:$WL$7,'P &amp; NP'!$C$5:$WL$5,"PS",'P &amp; NP'!$C$2:$WL$2,"JOMBANG")</f>
        <v>0</v>
      </c>
      <c r="AB14" s="519">
        <f>SUMIFS('P &amp; NP'!$C$7:$WL$7,'P &amp; NP'!$C$5:$WL$5,"NPS",'P &amp; NP'!$C$2:$WL$2,"JOMBANG")</f>
        <v>0</v>
      </c>
      <c r="AC14" s="519">
        <f>SUMIFS('P &amp; NP'!$C$8:$WL$8,'P &amp; NP'!$C$5:$WL$5,"PS",'P &amp; NP'!$C$2:$WL$2,"JOMBANG")</f>
        <v>0</v>
      </c>
      <c r="AD14" s="519">
        <f>SUMIFS('P &amp; NP'!$C$8:$WL$8,'P &amp; NP'!$C$5:$WL$5,"NPS",'P &amp; NP'!$C$2:$WL$2,"JOMBANG")</f>
        <v>0</v>
      </c>
      <c r="AE14" s="519">
        <f>SUMIFS('P &amp; NP'!$C$9:$WL$9,'P &amp; NP'!$C$5:$WL$5,"PS",'P &amp; NP'!$C$2:$WL$2,"JOMBANG")</f>
        <v>0</v>
      </c>
      <c r="AF14" s="519">
        <f>SUMIFS('P &amp; NP'!$C$9:$WL$9,'P &amp; NP'!$C$5:$WL$5,"NPS",'P &amp; NP'!$C$2:$WL$2,"JOMBANG")</f>
        <v>0</v>
      </c>
      <c r="AG14" s="519">
        <f>SUMIFS('P &amp; NP'!$C$10:$WL$10,'P &amp; NP'!$C$5:$WL$5,"PS",'P &amp; NP'!$C$2:$WL$2,"JOMBANG")</f>
        <v>0</v>
      </c>
      <c r="AH14" s="519">
        <f>SUMIFS('P &amp; NP'!$C$10:$WL$10,'P &amp; NP'!$C$5:$WL$5,"NPS",'P &amp; NP'!$C$2:$WL$2,"JOMBANG")</f>
        <v>0</v>
      </c>
      <c r="AJ14" s="502">
        <f t="shared" si="13"/>
        <v>14792000</v>
      </c>
      <c r="AK14" s="512">
        <f t="shared" si="14"/>
        <v>269622700</v>
      </c>
      <c r="AL14" s="519">
        <f>SUMIFS('P &amp; NP'!$C$7:$WL$7,'P &amp; NP'!$C$5:$WL$5,"PK",'P &amp; NP'!$C$2:$WL$2,"JOMBANG")</f>
        <v>3845700</v>
      </c>
      <c r="AM14" s="519">
        <f>SUMIFS('P &amp; NP'!$C$7:$WL$7,'P &amp; NP'!$C$5:$WL$5,"NPK",'P &amp; NP'!$C$2:$WL$2,"JOMBANG")</f>
        <v>68454750</v>
      </c>
      <c r="AN14" s="519">
        <f>SUMIFS('P &amp; NP'!$C$8:$WL$8,'P &amp; NP'!$C$5:$WL$5,"PK",'P &amp; NP'!$C$2:$WL$2,"JOMBANG")</f>
        <v>3727800</v>
      </c>
      <c r="AO14" s="519">
        <f>SUMIFS('P &amp; NP'!$C$8:$WL$8,'P &amp; NP'!$C$5:$WL$5,"NPK",'P &amp; NP'!$C$2:$WL$2,"JOMBANG")</f>
        <v>66539750</v>
      </c>
      <c r="AP14" s="519">
        <f>SUMIFS('P &amp; NP'!$C$9:$WL$9,'P &amp; NP'!$C$5:$WL$5,"PK",'P &amp; NP'!$C$2:$WL$2,"JOMBANG")</f>
        <v>3551900</v>
      </c>
      <c r="AQ14" s="519">
        <f>SUMIFS('P &amp; NP'!$C$9:$WL$9,'P &amp; NP'!$C$5:$WL$5,"NPK",'P &amp; NP'!$C$2:$WL$2,"JOMBANG")</f>
        <v>63831100</v>
      </c>
      <c r="AR14" s="519">
        <f>SUMIFS('P &amp; NP'!$C$10:$WL$10,'P &amp; NP'!$C$5:$WL$5,"PK",'P &amp; NP'!$C$2:$WL$2,"JOMBANG")</f>
        <v>3666600</v>
      </c>
      <c r="AS14" s="519">
        <f>SUMIFS('P &amp; NP'!$C$10:$WL$10,'P &amp; NP'!$C$5:$WL$5,"NPK",'P &amp; NP'!$C$2:$WL$2,"JOMBANG")</f>
        <v>70797100</v>
      </c>
      <c r="AU14" s="502">
        <f t="shared" si="15"/>
        <v>0</v>
      </c>
      <c r="AV14" s="512">
        <f t="shared" si="16"/>
        <v>0</v>
      </c>
      <c r="AW14" s="519">
        <f>SUMIFS('P &amp; NP'!$C$7:$WL$7,'P &amp; NP'!$C$5:$WL$5,"PM",'P &amp; NP'!$C$2:$WL$2,"JOMBANG")</f>
        <v>0</v>
      </c>
      <c r="AX14" s="519">
        <f>SUMIFS('P &amp; NP'!$C$7:$WL$7,'P &amp; NP'!$C$5:$WL$5,"NPM",'P &amp; NP'!$C$2:$WL$2,"JOMBANG")</f>
        <v>0</v>
      </c>
      <c r="AY14" s="519">
        <f>SUMIFS('P &amp; NP'!$C$8:$WL$8,'P &amp; NP'!$C$5:$WL$5,"PM",'P &amp; NP'!$C$2:$WL$2,"JOMBANG")</f>
        <v>0</v>
      </c>
      <c r="AZ14" s="519">
        <f>SUMIFS('P &amp; NP'!$C$8:$WL$8,'P &amp; NP'!$C$5:$WL$5,"NPM",'P &amp; NP'!$C$2:$WL$2,"JOMBANG")</f>
        <v>0</v>
      </c>
      <c r="BA14" s="519">
        <f>SUMIFS('P &amp; NP'!$C$9:$WL$9,'P &amp; NP'!$C$5:$WL$5,"PM",'P &amp; NP'!$C$2:$WL$2,"JOMBANG")</f>
        <v>0</v>
      </c>
      <c r="BB14" s="519">
        <f>SUMIFS('P &amp; NP'!$C$9:$WL$9,'P &amp; NP'!$C$5:$WL$5,"NPM",'P &amp; NP'!$C$2:$WL$2,"JOMBANG")</f>
        <v>0</v>
      </c>
      <c r="BC14" s="519">
        <f>SUMIFS('P &amp; NP'!$C$10:$WL$10,'P &amp; NP'!$C$5:$WL$5,"PM",'P &amp; NP'!$C$2:$WL$2,"JOMBANG")</f>
        <v>0</v>
      </c>
      <c r="BD14" s="519">
        <f>SUMIFS('P &amp; NP'!$C$10:$WL$10,'P &amp; NP'!$C$5:$WL$5,"NPM",'P &amp; NP'!$C$2:$WL$2,"JOMBANG")</f>
        <v>0</v>
      </c>
      <c r="BF14" s="502">
        <f t="shared" si="17"/>
        <v>0</v>
      </c>
      <c r="BG14" s="512">
        <f t="shared" si="18"/>
        <v>0</v>
      </c>
      <c r="BH14" s="519">
        <f>SUMIFS('P &amp; NP'!$C$7:$WL$7,'P &amp; NP'!$C$5:$WL$5,"PB",'P &amp; NP'!$C$2:$WL$2,"JOMBANG")</f>
        <v>0</v>
      </c>
      <c r="BI14" s="519">
        <f>SUMIFS('P &amp; NP'!$C$7:$WL$7,'P &amp; NP'!$C$5:$WL$5,"NPB",'P &amp; NP'!$C$2:$WL$2,"JOMBANG")</f>
        <v>0</v>
      </c>
      <c r="BJ14" s="519">
        <f>SUMIFS('P &amp; NP'!$C$8:$WL$8,'P &amp; NP'!$C$5:$WL$5,"PB",'P &amp; NP'!$C$2:$WL$2,"JOMBANG")</f>
        <v>0</v>
      </c>
      <c r="BK14" s="519">
        <f>SUMIFS('P &amp; NP'!$C$8:$WL$8,'P &amp; NP'!$C$5:$WL$5,"NPB",'P &amp; NP'!$C$2:$WL$2,"JOMBANG")</f>
        <v>0</v>
      </c>
      <c r="BL14" s="519">
        <f>SUMIFS('P &amp; NP'!$C$9:$WL$9,'P &amp; NP'!$C$5:$WL$5,"PB",'P &amp; NP'!$C$2:$WL$2,"JOMBANG")</f>
        <v>0</v>
      </c>
      <c r="BM14" s="519">
        <f>SUMIFS('P &amp; NP'!$C$9:$WL$9,'P &amp; NP'!$C$5:$WL$5,"NPB",'P &amp; NP'!$C$2:$WL$2,"JOMBANG")</f>
        <v>0</v>
      </c>
      <c r="BN14" s="519">
        <f>SUMIFS('P &amp; NP'!$C$10:$WL$10,'P &amp; NP'!$C$5:$WL$5,"PB",'P &amp; NP'!$C$2:$WL$2,"JOMBANG")</f>
        <v>0</v>
      </c>
      <c r="BO14" s="519">
        <f>SUMIFS('P &amp; NP'!$C$10:$WL$10,'P &amp; NP'!$C$5:$WL$5,"NPB",'P &amp; NP'!$C$2:$WL$2,"JOMBANG")</f>
        <v>0</v>
      </c>
      <c r="BQ14" s="502">
        <f t="shared" si="19"/>
        <v>0</v>
      </c>
      <c r="BR14" s="512">
        <f t="shared" si="20"/>
        <v>0</v>
      </c>
      <c r="BS14" s="519">
        <f>SUMIFS('P &amp; NP'!$C$7:$WL$7,'P &amp; NP'!$C$5:$WL$5,"PJ",'P &amp; NP'!$C$2:$WL$2,"JOMBANG")</f>
        <v>0</v>
      </c>
      <c r="BT14" s="519">
        <f>SUMIFS('P &amp; NP'!$C$7:$WL$7,'P &amp; NP'!$C$5:$WL$5,"NPJ",'P &amp; NP'!$C$2:$WL$2,"JOMBANG")</f>
        <v>0</v>
      </c>
      <c r="BU14" s="519">
        <f>SUMIFS('P &amp; NP'!$C$8:$WL$8,'P &amp; NP'!$C$5:$WL$5,"PJ",'P &amp; NP'!$C$2:$WL$2,"JOMBANG")</f>
        <v>0</v>
      </c>
      <c r="BV14" s="519">
        <f>SUMIFS('P &amp; NP'!$C$8:$WL$8,'P &amp; NP'!$C$5:$WL$5,"NPJ",'P &amp; NP'!$C$2:$WL$2,"JOMBANG")</f>
        <v>0</v>
      </c>
      <c r="BW14" s="519">
        <f>SUMIFS('P &amp; NP'!$C$9:$WL$9,'P &amp; NP'!$C$5:$WL$5,"PJ",'P &amp; NP'!$C$2:$WL$2,"JOMBANG")</f>
        <v>0</v>
      </c>
      <c r="BX14" s="519">
        <f>SUMIFS('P &amp; NP'!$C$9:$WL$9,'P &amp; NP'!$C$5:$WL$5,"NPJ",'P &amp; NP'!$C$2:$WL$2,"JOMBANG")</f>
        <v>0</v>
      </c>
      <c r="BY14" s="519">
        <f>SUMIFS('P &amp; NP'!$C$10:$WL$10,'P &amp; NP'!$C$5:$WL$5,"PJ",'P &amp; NP'!$C$2:$WL$2,"JOMBANG")</f>
        <v>0</v>
      </c>
      <c r="BZ14" s="519">
        <f>SUMIFS('P &amp; NP'!$C$10:$WL$10,'P &amp; NP'!$C$5:$WL$5,"NPJ",'P &amp; NP'!$C$2:$WL$2,"JOMBANG")</f>
        <v>0</v>
      </c>
      <c r="CB14" s="502">
        <f t="shared" si="21"/>
        <v>14792000</v>
      </c>
      <c r="CC14" s="512">
        <f t="shared" si="22"/>
        <v>269622700</v>
      </c>
      <c r="CD14" s="519">
        <f t="shared" si="23"/>
        <v>3845700</v>
      </c>
      <c r="CE14" s="519">
        <f t="shared" si="24"/>
        <v>68454750</v>
      </c>
      <c r="CF14" s="519">
        <f t="shared" si="25"/>
        <v>3727800</v>
      </c>
      <c r="CG14" s="519">
        <f t="shared" si="26"/>
        <v>66539750</v>
      </c>
      <c r="CH14" s="519">
        <f t="shared" si="27"/>
        <v>3551900</v>
      </c>
      <c r="CI14" s="519">
        <f t="shared" si="28"/>
        <v>63831100</v>
      </c>
      <c r="CJ14" s="519">
        <f t="shared" si="29"/>
        <v>3666600</v>
      </c>
      <c r="CK14" s="519">
        <f t="shared" si="30"/>
        <v>70797100</v>
      </c>
    </row>
    <row r="15" spans="1:89">
      <c r="A15" s="509"/>
      <c r="B15" s="484" t="s">
        <v>117</v>
      </c>
      <c r="C15" s="502">
        <f t="shared" si="8"/>
        <v>0</v>
      </c>
      <c r="D15" s="512">
        <f t="shared" si="9"/>
        <v>0</v>
      </c>
      <c r="E15" s="519">
        <f>SUMIFS('P &amp; NP'!$C$7:$WL$7,'P &amp; NP'!$C$5:$WL$5,"PL",'P &amp; NP'!$C$2:$WL$2,"KEDIRI")</f>
        <v>0</v>
      </c>
      <c r="F15" s="519">
        <f>SUMIFS('P &amp; NP'!$C$7:$WL$7,'P &amp; NP'!$C$5:$WL$5,"NPL",'P &amp; NP'!$C$2:$WL$2,"KEDIRI")</f>
        <v>0</v>
      </c>
      <c r="G15" s="519">
        <f>SUMIFS('P &amp; NP'!$C$8:$WL$8,'P &amp; NP'!$C$5:$WL$5,"PL",'P &amp; NP'!$C$2:$WL$2,"KEDIRI")</f>
        <v>0</v>
      </c>
      <c r="H15" s="519">
        <f>SUMIFS('P &amp; NP'!$C$8:$WL$8,'P &amp; NP'!$C$5:$WL$5,"NPL",'P &amp; NP'!$C$2:$WL$2,"KEDIRI")</f>
        <v>0</v>
      </c>
      <c r="I15" s="519">
        <f>SUMIFS('P &amp; NP'!$C$9:$WL$9,'P &amp; NP'!$C$5:$WL$5,"PL",'P &amp; NP'!$C$2:$WL$2,"KEDIRI")</f>
        <v>0</v>
      </c>
      <c r="J15" s="519">
        <f>SUMIFS('P &amp; NP'!$C$9:$WL$9,'P &amp; NP'!$C$5:$WL$5,"NPL",'P &amp; NP'!$C$2:$WL$2,"KEDIRI")</f>
        <v>0</v>
      </c>
      <c r="K15" s="519">
        <f>SUMIFS('P &amp; NP'!$C$10:$WL$10,'P &amp; NP'!$C$5:$WL$5,"PL",'P &amp; NP'!$C$2:$WL$2,"KEDIRI")</f>
        <v>0</v>
      </c>
      <c r="L15" s="519">
        <f>SUMIFS('P &amp; NP'!$C$10:$WL$10,'P &amp; NP'!$C$5:$WL$5,"NPL",'P &amp; NP'!$C$2:$WL$2,"KEDIRI")</f>
        <v>0</v>
      </c>
      <c r="N15" s="502">
        <f t="shared" si="10"/>
        <v>0</v>
      </c>
      <c r="O15" s="512">
        <f t="shared" si="11"/>
        <v>0</v>
      </c>
      <c r="P15" s="519">
        <f>SUMIFS('P &amp; NP'!$C$7:$WL$7,'P &amp; NP'!$C$5:$WL$5,"PT",'P &amp; NP'!$C$2:$WL$2,"KEDIRI")</f>
        <v>0</v>
      </c>
      <c r="Q15" s="519">
        <f>SUMIFS('P &amp; NP'!$C$7:$WL$7,'P &amp; NP'!$C$5:$WL$5,"NPT",'P &amp; NP'!$C$2:$WL$2,"KEDIRI")</f>
        <v>0</v>
      </c>
      <c r="R15" s="519">
        <f>SUMIFS('P &amp; NP'!$C$8:$WL$8,'P &amp; NP'!$C$5:$WL$5,"PT",'P &amp; NP'!$C$2:$WL$2,"KEDIRI")</f>
        <v>0</v>
      </c>
      <c r="S15" s="519">
        <f>SUMIFS('P &amp; NP'!$C$8:$WL$8,'P &amp; NP'!$C$5:$WL$5,"NPT",'P &amp; NP'!$C$2:$WL$2,"KEDIRI")</f>
        <v>0</v>
      </c>
      <c r="T15" s="519">
        <f>SUMIFS('P &amp; NP'!$C$9:$WL$9,'P &amp; NP'!$C$5:$WL$5,"PT",'P &amp; NP'!$C$2:$WL$2,"KEDIRI")</f>
        <v>0</v>
      </c>
      <c r="U15" s="519">
        <f>SUMIFS('P &amp; NP'!$C$9:$WL$9,'P &amp; NP'!$C$5:$WL$5,"NPT",'P &amp; NP'!$C$2:$WL$2,"KEDIRI")</f>
        <v>0</v>
      </c>
      <c r="V15" s="519">
        <f>SUMIFS('P &amp; NP'!$C$10:$WL$10,'P &amp; NP'!$C$5:$WL$5,"PT",'P &amp; NP'!$C$2:$WL$2,"KEDIRI")</f>
        <v>0</v>
      </c>
      <c r="W15" s="519">
        <f>SUMIFS('P &amp; NP'!$C$10:$WL$10,'P &amp; NP'!$C$5:$WL$5,"NPT",'P &amp; NP'!$C$2:$WL$2,"KEDIRI")</f>
        <v>0</v>
      </c>
      <c r="Y15" s="502">
        <f ca="1">SUMIF(AA$5:$AH13,$Y$1,AA15:AH15)</f>
        <v>0</v>
      </c>
      <c r="Z15" s="512">
        <f t="shared" si="12"/>
        <v>0</v>
      </c>
      <c r="AA15" s="519">
        <f>SUMIFS('P &amp; NP'!$C$7:$WL$7,'P &amp; NP'!$C$5:$WL$5,"PS",'P &amp; NP'!$C$2:$WL$2,"KEDIRI")</f>
        <v>0</v>
      </c>
      <c r="AB15" s="519">
        <f>SUMIFS('P &amp; NP'!$C$7:$WL$7,'P &amp; NP'!$C$5:$WL$5,"NPS",'P &amp; NP'!$C$2:$WL$2,"KEDIRI")</f>
        <v>0</v>
      </c>
      <c r="AC15" s="519">
        <f>SUMIFS('P &amp; NP'!$C$8:$WL$8,'P &amp; NP'!$C$5:$WL$5,"PS",'P &amp; NP'!$C$2:$WL$2,"KEDIRI")</f>
        <v>0</v>
      </c>
      <c r="AD15" s="519">
        <f>SUMIFS('P &amp; NP'!$C$8:$WL$8,'P &amp; NP'!$C$5:$WL$5,"NPS",'P &amp; NP'!$C$2:$WL$2,"KEDIRI")</f>
        <v>0</v>
      </c>
      <c r="AE15" s="519">
        <f>SUMIFS('P &amp; NP'!$C$9:$WL$9,'P &amp; NP'!$C$5:$WL$5,"PS",'P &amp; NP'!$C$2:$WL$2,"KEDIRI")</f>
        <v>0</v>
      </c>
      <c r="AF15" s="519">
        <f>SUMIFS('P &amp; NP'!$C$9:$WL$9,'P &amp; NP'!$C$5:$WL$5,"NPS",'P &amp; NP'!$C$2:$WL$2,"KEDIRI")</f>
        <v>0</v>
      </c>
      <c r="AG15" s="519">
        <f>SUMIFS('P &amp; NP'!$C$10:$WL$10,'P &amp; NP'!$C$5:$WL$5,"PS",'P &amp; NP'!$C$2:$WL$2,"KEDIRI")</f>
        <v>0</v>
      </c>
      <c r="AH15" s="519">
        <f>SUMIFS('P &amp; NP'!$C$10:$WL$10,'P &amp; NP'!$C$5:$WL$5,"NPS",'P &amp; NP'!$C$2:$WL$2,"KEDIRI")</f>
        <v>0</v>
      </c>
      <c r="AJ15" s="502">
        <f t="shared" si="13"/>
        <v>25514275</v>
      </c>
      <c r="AK15" s="512">
        <f t="shared" si="14"/>
        <v>482643365</v>
      </c>
      <c r="AL15" s="519">
        <f>SUMIFS('P &amp; NP'!$C$7:$WL$7,'P &amp; NP'!$C$5:$WL$5,"PK",'P &amp; NP'!$C$2:$WL$2,"KEDIRI")</f>
        <v>6417120</v>
      </c>
      <c r="AM15" s="519">
        <f>SUMIFS('P &amp; NP'!$C$7:$WL$7,'P &amp; NP'!$C$5:$WL$5,"NPK",'P &amp; NP'!$C$2:$WL$2,"KEDIRI")</f>
        <v>120453120</v>
      </c>
      <c r="AN15" s="519">
        <f>SUMIFS('P &amp; NP'!$C$8:$WL$8,'P &amp; NP'!$C$5:$WL$5,"PK",'P &amp; NP'!$C$2:$WL$2,"KEDIRI")</f>
        <v>6917120</v>
      </c>
      <c r="AO15" s="519">
        <f>SUMIFS('P &amp; NP'!$C$8:$WL$8,'P &amp; NP'!$C$5:$WL$5,"NPK",'P &amp; NP'!$C$2:$WL$2,"KEDIRI")</f>
        <v>129541360</v>
      </c>
      <c r="AP15" s="519">
        <f>SUMIFS('P &amp; NP'!$C$9:$WL$9,'P &amp; NP'!$C$5:$WL$5,"PK",'P &amp; NP'!$C$2:$WL$2,"KEDIRI")</f>
        <v>6098785</v>
      </c>
      <c r="AQ15" s="519">
        <f>SUMIFS('P &amp; NP'!$C$9:$WL$9,'P &amp; NP'!$C$5:$WL$5,"NPK",'P &amp; NP'!$C$2:$WL$2,"KEDIRI")</f>
        <v>114743815</v>
      </c>
      <c r="AR15" s="519">
        <f>SUMIFS('P &amp; NP'!$C$10:$WL$10,'P &amp; NP'!$C$5:$WL$5,"PK",'P &amp; NP'!$C$2:$WL$2,"KEDIRI")</f>
        <v>6081250</v>
      </c>
      <c r="AS15" s="519">
        <f>SUMIFS('P &amp; NP'!$C$10:$WL$10,'P &amp; NP'!$C$5:$WL$5,"NPK",'P &amp; NP'!$C$2:$WL$2,"KEDIRI")</f>
        <v>117905070</v>
      </c>
      <c r="AU15" s="502">
        <f t="shared" si="15"/>
        <v>0</v>
      </c>
      <c r="AV15" s="512">
        <f t="shared" si="16"/>
        <v>0</v>
      </c>
      <c r="AW15" s="519">
        <f>SUMIFS('P &amp; NP'!$C$7:$WL$7,'P &amp; NP'!$C$5:$WL$5,"PM",'P &amp; NP'!$C$2:$WL$2,"KEDIRI")</f>
        <v>0</v>
      </c>
      <c r="AX15" s="519">
        <f>SUMIFS('P &amp; NP'!$C$7:$WL$7,'P &amp; NP'!$C$5:$WL$5,"NPM",'P &amp; NP'!$C$2:$WL$2,"KEDIRI")</f>
        <v>0</v>
      </c>
      <c r="AY15" s="519">
        <f>SUMIFS('P &amp; NP'!$C$8:$WL$8,'P &amp; NP'!$C$5:$WL$5,"PM",'P &amp; NP'!$C$2:$WL$2,"KEDIRI")</f>
        <v>0</v>
      </c>
      <c r="AZ15" s="519">
        <f>SUMIFS('P &amp; NP'!$C$8:$WL$8,'P &amp; NP'!$C$5:$WL$5,"NPM",'P &amp; NP'!$C$2:$WL$2,"KEDIRI")</f>
        <v>0</v>
      </c>
      <c r="BA15" s="519">
        <f>SUMIFS('P &amp; NP'!$C$9:$WL$9,'P &amp; NP'!$C$5:$WL$5,"PM",'P &amp; NP'!$C$2:$WL$2,"KEDIRI")</f>
        <v>0</v>
      </c>
      <c r="BB15" s="519">
        <f>SUMIFS('P &amp; NP'!$C$9:$WL$9,'P &amp; NP'!$C$5:$WL$5,"NPM",'P &amp; NP'!$C$2:$WL$2,"KEDIRI")</f>
        <v>0</v>
      </c>
      <c r="BC15" s="519">
        <f>SUMIFS('P &amp; NP'!$C$10:$WL$10,'P &amp; NP'!$C$5:$WL$5,"PM",'P &amp; NP'!$C$2:$WL$2,"KEDIRI")</f>
        <v>0</v>
      </c>
      <c r="BD15" s="519">
        <f>SUMIFS('P &amp; NP'!$C$10:$WL$10,'P &amp; NP'!$C$5:$WL$5,"NPM",'P &amp; NP'!$C$2:$WL$2,"KEDIRI")</f>
        <v>0</v>
      </c>
      <c r="BF15" s="502">
        <f t="shared" si="17"/>
        <v>0</v>
      </c>
      <c r="BG15" s="512">
        <f t="shared" si="18"/>
        <v>0</v>
      </c>
      <c r="BH15" s="519">
        <f>SUMIFS('P &amp; NP'!$C$7:$WL$7,'P &amp; NP'!$C$5:$WL$5,"PB",'P &amp; NP'!$C$2:$WL$2,"KEDIRI")</f>
        <v>0</v>
      </c>
      <c r="BI15" s="519">
        <f>SUMIFS('P &amp; NP'!$C$7:$WL$7,'P &amp; NP'!$C$5:$WL$5,"NPB",'P &amp; NP'!$C$2:$WL$2,"KEDIRI")</f>
        <v>0</v>
      </c>
      <c r="BJ15" s="519">
        <f>SUMIFS('P &amp; NP'!$C$8:$WL$8,'P &amp; NP'!$C$5:$WL$5,"PB",'P &amp; NP'!$C$2:$WL$2,"KEDIRI")</f>
        <v>0</v>
      </c>
      <c r="BK15" s="519">
        <f>SUMIFS('P &amp; NP'!$C$8:$WL$8,'P &amp; NP'!$C$5:$WL$5,"NPB",'P &amp; NP'!$C$2:$WL$2,"KEDIRI")</f>
        <v>0</v>
      </c>
      <c r="BL15" s="519">
        <f>SUMIFS('P &amp; NP'!$C$9:$WL$9,'P &amp; NP'!$C$5:$WL$5,"PB",'P &amp; NP'!$C$2:$WL$2,"KEDIRI")</f>
        <v>0</v>
      </c>
      <c r="BM15" s="519">
        <f>SUMIFS('P &amp; NP'!$C$9:$WL$9,'P &amp; NP'!$C$5:$WL$5,"NPB",'P &amp; NP'!$C$2:$WL$2,"KEDIRI")</f>
        <v>0</v>
      </c>
      <c r="BN15" s="519">
        <f>SUMIFS('P &amp; NP'!$C$10:$WL$10,'P &amp; NP'!$C$5:$WL$5,"PB",'P &amp; NP'!$C$2:$WL$2,"KEDIRI")</f>
        <v>0</v>
      </c>
      <c r="BO15" s="519">
        <f>SUMIFS('P &amp; NP'!$C$10:$WL$10,'P &amp; NP'!$C$5:$WL$5,"NPB",'P &amp; NP'!$C$2:$WL$2,"KEDIRI")</f>
        <v>0</v>
      </c>
      <c r="BQ15" s="502">
        <f t="shared" si="19"/>
        <v>0</v>
      </c>
      <c r="BR15" s="512">
        <f t="shared" si="20"/>
        <v>0</v>
      </c>
      <c r="BS15" s="519">
        <f>SUMIFS('P &amp; NP'!$C$7:$WL$7,'P &amp; NP'!$C$5:$WL$5,"PJ",'P &amp; NP'!$C$2:$WL$2,"KEDIRI")</f>
        <v>0</v>
      </c>
      <c r="BT15" s="519">
        <f>SUMIFS('P &amp; NP'!$C$7:$WL$7,'P &amp; NP'!$C$5:$WL$5,"NPJ",'P &amp; NP'!$C$2:$WL$2,"KEDIRI")</f>
        <v>0</v>
      </c>
      <c r="BU15" s="519">
        <f>SUMIFS('P &amp; NP'!$C$8:$WL$8,'P &amp; NP'!$C$5:$WL$5,"PJ",'P &amp; NP'!$C$2:$WL$2,"KEDIRI")</f>
        <v>0</v>
      </c>
      <c r="BV15" s="519">
        <f>SUMIFS('P &amp; NP'!$C$8:$WL$8,'P &amp; NP'!$C$5:$WL$5,"NPJ",'P &amp; NP'!$C$2:$WL$2,"KEDIRI")</f>
        <v>0</v>
      </c>
      <c r="BW15" s="519">
        <f>SUMIFS('P &amp; NP'!$C$9:$WL$9,'P &amp; NP'!$C$5:$WL$5,"PJ",'P &amp; NP'!$C$2:$WL$2,"KEDIRI")</f>
        <v>0</v>
      </c>
      <c r="BX15" s="519">
        <f>SUMIFS('P &amp; NP'!$C$9:$WL$9,'P &amp; NP'!$C$5:$WL$5,"NPJ",'P &amp; NP'!$C$2:$WL$2,"KEDIRI")</f>
        <v>0</v>
      </c>
      <c r="BY15" s="519">
        <f>SUMIFS('P &amp; NP'!$C$10:$WL$10,'P &amp; NP'!$C$5:$WL$5,"PJ",'P &amp; NP'!$C$2:$WL$2,"KEDIRI")</f>
        <v>0</v>
      </c>
      <c r="BZ15" s="519">
        <f>SUMIFS('P &amp; NP'!$C$10:$WL$10,'P &amp; NP'!$C$5:$WL$5,"NPJ",'P &amp; NP'!$C$2:$WL$2,"KEDIRI")</f>
        <v>0</v>
      </c>
      <c r="CB15" s="502">
        <f t="shared" si="21"/>
        <v>25514275</v>
      </c>
      <c r="CC15" s="512">
        <f t="shared" si="22"/>
        <v>482643365</v>
      </c>
      <c r="CD15" s="519">
        <f t="shared" si="23"/>
        <v>6417120</v>
      </c>
      <c r="CE15" s="519">
        <f t="shared" si="24"/>
        <v>120453120</v>
      </c>
      <c r="CF15" s="519">
        <f t="shared" si="25"/>
        <v>6917120</v>
      </c>
      <c r="CG15" s="519">
        <f t="shared" si="26"/>
        <v>129541360</v>
      </c>
      <c r="CH15" s="519">
        <f t="shared" si="27"/>
        <v>6098785</v>
      </c>
      <c r="CI15" s="519">
        <f t="shared" si="28"/>
        <v>114743815</v>
      </c>
      <c r="CJ15" s="519">
        <f t="shared" si="29"/>
        <v>6081250</v>
      </c>
      <c r="CK15" s="519">
        <f t="shared" si="30"/>
        <v>117905070</v>
      </c>
    </row>
    <row r="16" spans="1:89">
      <c r="A16" s="509"/>
      <c r="B16" s="484" t="s">
        <v>135</v>
      </c>
      <c r="C16" s="502">
        <f t="shared" si="8"/>
        <v>0</v>
      </c>
      <c r="D16" s="512">
        <f t="shared" si="9"/>
        <v>0</v>
      </c>
      <c r="E16" s="519">
        <f>SUMIFS('P &amp; NP'!$C$7:$WL$7,'P &amp; NP'!$C$5:$WL$5,"PL",'P &amp; NP'!$C$2:$WL$2,"LAMONGAN")</f>
        <v>0</v>
      </c>
      <c r="F16" s="519">
        <f>SUMIFS('P &amp; NP'!$C$7:$WL$7,'P &amp; NP'!$C$5:$WL$5,"NPL",'P &amp; NP'!$C$2:$WL$2,"LAMONGAN")</f>
        <v>0</v>
      </c>
      <c r="G16" s="519">
        <f>SUMIFS('P &amp; NP'!$C$8:$WL$8,'P &amp; NP'!$C$5:$WL$5,"PL",'P &amp; NP'!$C$2:$WL$2,"LAMONGAN")</f>
        <v>0</v>
      </c>
      <c r="H16" s="519">
        <f>SUMIFS('P &amp; NP'!$C$8:$WL$8,'P &amp; NP'!$C$5:$WL$5,"NPL",'P &amp; NP'!$C$2:$WL$2,"LAMONGAN")</f>
        <v>0</v>
      </c>
      <c r="I16" s="519">
        <f>SUMIFS('P &amp; NP'!$C$9:$WL$9,'P &amp; NP'!$C$5:$WL$5,"PL",'P &amp; NP'!$C$2:$WL$2,"LAMONGAN")</f>
        <v>0</v>
      </c>
      <c r="J16" s="519">
        <f>SUMIFS('P &amp; NP'!$C$9:$WL$9,'P &amp; NP'!$C$5:$WL$5,"NPL",'P &amp; NP'!$C$2:$WL$2,"LAMONGAN")</f>
        <v>0</v>
      </c>
      <c r="K16" s="519">
        <f>SUMIFS('P &amp; NP'!$C$10:$WL$10,'P &amp; NP'!$C$5:$WL$5,"PL",'P &amp; NP'!$C$2:$WL$2,"LAMONGAN")</f>
        <v>0</v>
      </c>
      <c r="L16" s="519">
        <f>SUMIFS('P &amp; NP'!$C$10:$WL$10,'P &amp; NP'!$C$5:$WL$5,"NPL",'P &amp; NP'!$C$2:$WL$2,"LAMONGAN")</f>
        <v>0</v>
      </c>
      <c r="N16" s="502">
        <f t="shared" si="10"/>
        <v>4881277</v>
      </c>
      <c r="O16" s="512">
        <f t="shared" si="11"/>
        <v>296519672</v>
      </c>
      <c r="P16" s="519">
        <f>SUMIFS('P &amp; NP'!$C$7:$WL$7,'P &amp; NP'!$C$5:$WL$5,"PT",'P &amp; NP'!$C$2:$WL$2,"LAMONGAN")</f>
        <v>1248695</v>
      </c>
      <c r="Q16" s="519">
        <f>SUMIFS('P &amp; NP'!$C$7:$WL$7,'P &amp; NP'!$C$5:$WL$5,"NPT",'P &amp; NP'!$C$2:$WL$2,"LAMONGAN")</f>
        <v>77754145</v>
      </c>
      <c r="R16" s="519">
        <f>SUMIFS('P &amp; NP'!$C$8:$WL$8,'P &amp; NP'!$C$5:$WL$5,"PT",'P &amp; NP'!$C$2:$WL$2,"LAMONGAN")</f>
        <v>1598331</v>
      </c>
      <c r="S16" s="519">
        <f>SUMIFS('P &amp; NP'!$C$8:$WL$8,'P &amp; NP'!$C$5:$WL$5,"NPT",'P &amp; NP'!$C$2:$WL$2,"LAMONGAN")</f>
        <v>101722343</v>
      </c>
      <c r="T16" s="519">
        <f>SUMIFS('P &amp; NP'!$C$9:$WL$9,'P &amp; NP'!$C$5:$WL$5,"PT",'P &amp; NP'!$C$2:$WL$2,"LAMONGAN")</f>
        <v>963980</v>
      </c>
      <c r="U16" s="519">
        <f>SUMIFS('P &amp; NP'!$C$9:$WL$9,'P &amp; NP'!$C$5:$WL$5,"NPT",'P &amp; NP'!$C$2:$WL$2,"LAMONGAN")</f>
        <v>53607654</v>
      </c>
      <c r="V16" s="519">
        <f>SUMIFS('P &amp; NP'!$C$10:$WL$10,'P &amp; NP'!$C$5:$WL$5,"PT",'P &amp; NP'!$C$2:$WL$2,"LAMONGAN")</f>
        <v>1070271</v>
      </c>
      <c r="W16" s="519">
        <f>SUMIFS('P &amp; NP'!$C$10:$WL$10,'P &amp; NP'!$C$5:$WL$5,"NPT",'P &amp; NP'!$C$2:$WL$2,"LAMONGAN")</f>
        <v>63435530</v>
      </c>
      <c r="Y16" s="502">
        <f ca="1">SUMIF(AA$5:$AH14,$Y$1,AA16:AH16)</f>
        <v>0</v>
      </c>
      <c r="Z16" s="512">
        <f t="shared" si="12"/>
        <v>0</v>
      </c>
      <c r="AA16" s="519">
        <f>SUMIFS('P &amp; NP'!$C$7:$WL$7,'P &amp; NP'!$C$5:$WL$5,"PS",'P &amp; NP'!$C$2:$WL$2,"LAMONGAN")</f>
        <v>0</v>
      </c>
      <c r="AB16" s="519">
        <f>SUMIFS('P &amp; NP'!$C$7:$WL$7,'P &amp; NP'!$C$5:$WL$5,"NPS",'P &amp; NP'!$C$2:$WL$2,"LAMONGAN")</f>
        <v>0</v>
      </c>
      <c r="AC16" s="519">
        <f>SUMIFS('P &amp; NP'!$C$8:$WL$8,'P &amp; NP'!$C$5:$WL$5,"PS",'P &amp; NP'!$C$2:$WL$2,"LAMONGAN")</f>
        <v>0</v>
      </c>
      <c r="AD16" s="519">
        <f>SUMIFS('P &amp; NP'!$C$8:$WL$8,'P &amp; NP'!$C$5:$WL$5,"NPS",'P &amp; NP'!$C$2:$WL$2,"LAMONGAN")</f>
        <v>0</v>
      </c>
      <c r="AE16" s="519">
        <f>SUMIFS('P &amp; NP'!$C$9:$WL$9,'P &amp; NP'!$C$5:$WL$5,"PS",'P &amp; NP'!$C$2:$WL$2,"LAMONGAN")</f>
        <v>0</v>
      </c>
      <c r="AF16" s="519">
        <f>SUMIFS('P &amp; NP'!$C$9:$WL$9,'P &amp; NP'!$C$5:$WL$5,"NPS",'P &amp; NP'!$C$2:$WL$2,"LAMONGAN")</f>
        <v>0</v>
      </c>
      <c r="AG16" s="519">
        <f>SUMIFS('P &amp; NP'!$C$10:$WL$10,'P &amp; NP'!$C$5:$WL$5,"PS",'P &amp; NP'!$C$2:$WL$2,"LAMONGAN")</f>
        <v>0</v>
      </c>
      <c r="AH16" s="519">
        <f>SUMIFS('P &amp; NP'!$C$10:$WL$10,'P &amp; NP'!$C$5:$WL$5,"NPS",'P &amp; NP'!$C$2:$WL$2,"LAMONGAN")</f>
        <v>0</v>
      </c>
      <c r="AJ16" s="502">
        <f t="shared" si="13"/>
        <v>41981324</v>
      </c>
      <c r="AK16" s="512">
        <f t="shared" si="14"/>
        <v>1131862037</v>
      </c>
      <c r="AL16" s="519">
        <f>SUMIFS('P &amp; NP'!$C$7:$WL$7,'P &amp; NP'!$C$5:$WL$5,"PK",'P &amp; NP'!$C$2:$WL$2,"LAMONGAN")</f>
        <v>12692278</v>
      </c>
      <c r="AM16" s="519">
        <f>SUMIFS('P &amp; NP'!$C$7:$WL$7,'P &amp; NP'!$C$5:$WL$5,"NPK",'P &amp; NP'!$C$2:$WL$2,"LAMONGAN")</f>
        <v>391849110</v>
      </c>
      <c r="AN16" s="519">
        <f>SUMIFS('P &amp; NP'!$C$8:$WL$8,'P &amp; NP'!$C$5:$WL$5,"PK",'P &amp; NP'!$C$2:$WL$2,"LAMONGAN")</f>
        <v>26542376</v>
      </c>
      <c r="AO16" s="519">
        <f>SUMIFS('P &amp; NP'!$C$8:$WL$8,'P &amp; NP'!$C$5:$WL$5,"NPK",'P &amp; NP'!$C$2:$WL$2,"LAMONGAN")</f>
        <v>669147034</v>
      </c>
      <c r="AP16" s="519">
        <f>SUMIFS('P &amp; NP'!$C$9:$WL$9,'P &amp; NP'!$C$5:$WL$5,"PK",'P &amp; NP'!$C$2:$WL$2,"LAMONGAN")</f>
        <v>2039032</v>
      </c>
      <c r="AQ16" s="519">
        <f>SUMIFS('P &amp; NP'!$C$9:$WL$9,'P &amp; NP'!$C$5:$WL$5,"NPK",'P &amp; NP'!$C$2:$WL$2,"LAMONGAN")</f>
        <v>52820908</v>
      </c>
      <c r="AR16" s="519">
        <f>SUMIFS('P &amp; NP'!$C$10:$WL$10,'P &amp; NP'!$C$5:$WL$5,"PK",'P &amp; NP'!$C$2:$WL$2,"LAMONGAN")</f>
        <v>707638</v>
      </c>
      <c r="AS16" s="519">
        <f>SUMIFS('P &amp; NP'!$C$10:$WL$10,'P &amp; NP'!$C$5:$WL$5,"NPK",'P &amp; NP'!$C$2:$WL$2,"LAMONGAN")</f>
        <v>18044985</v>
      </c>
      <c r="AU16" s="502">
        <f t="shared" si="15"/>
        <v>0</v>
      </c>
      <c r="AV16" s="512">
        <f t="shared" si="16"/>
        <v>0</v>
      </c>
      <c r="AW16" s="519">
        <f>SUMIFS('P &amp; NP'!$C$7:$WL$7,'P &amp; NP'!$C$5:$WL$5,"PM",'P &amp; NP'!$C$2:$WL$2,"LAMONGAN")</f>
        <v>0</v>
      </c>
      <c r="AX16" s="519">
        <f>SUMIFS('P &amp; NP'!$C$7:$WL$7,'P &amp; NP'!$C$5:$WL$5,"NPM",'P &amp; NP'!$C$2:$WL$2,"LAMONGAN")</f>
        <v>0</v>
      </c>
      <c r="AY16" s="519">
        <f>SUMIFS('P &amp; NP'!$C$8:$WL$8,'P &amp; NP'!$C$5:$WL$5,"PM",'P &amp; NP'!$C$2:$WL$2,"LAMONGAN")</f>
        <v>0</v>
      </c>
      <c r="AZ16" s="519">
        <f>SUMIFS('P &amp; NP'!$C$8:$WL$8,'P &amp; NP'!$C$5:$WL$5,"NPM",'P &amp; NP'!$C$2:$WL$2,"LAMONGAN")</f>
        <v>0</v>
      </c>
      <c r="BA16" s="519">
        <f>SUMIFS('P &amp; NP'!$C$9:$WL$9,'P &amp; NP'!$C$5:$WL$5,"PM",'P &amp; NP'!$C$2:$WL$2,"LAMONGAN")</f>
        <v>0</v>
      </c>
      <c r="BB16" s="519">
        <f>SUMIFS('P &amp; NP'!$C$9:$WL$9,'P &amp; NP'!$C$5:$WL$5,"NPM",'P &amp; NP'!$C$2:$WL$2,"LAMONGAN")</f>
        <v>0</v>
      </c>
      <c r="BC16" s="519">
        <f>SUMIFS('P &amp; NP'!$C$10:$WL$10,'P &amp; NP'!$C$5:$WL$5,"PM",'P &amp; NP'!$C$2:$WL$2,"LAMONGAN")</f>
        <v>0</v>
      </c>
      <c r="BD16" s="519">
        <f>SUMIFS('P &amp; NP'!$C$10:$WL$10,'P &amp; NP'!$C$5:$WL$5,"NPM",'P &amp; NP'!$C$2:$WL$2,"LAMONGAN")</f>
        <v>0</v>
      </c>
      <c r="BF16" s="502">
        <f t="shared" si="17"/>
        <v>74030</v>
      </c>
      <c r="BG16" s="512">
        <f t="shared" si="18"/>
        <v>1375104</v>
      </c>
      <c r="BH16" s="519">
        <f>SUMIFS('P &amp; NP'!$C$7:$WL$7,'P &amp; NP'!$C$5:$WL$5,"PB",'P &amp; NP'!$C$2:$WL$2,"LAMONGAN")</f>
        <v>18506</v>
      </c>
      <c r="BI16" s="519">
        <f>SUMIFS('P &amp; NP'!$C$7:$WL$7,'P &amp; NP'!$C$5:$WL$5,"NPB",'P &amp; NP'!$C$2:$WL$2,"LAMONGAN")</f>
        <v>407132</v>
      </c>
      <c r="BJ16" s="519">
        <f>SUMIFS('P &amp; NP'!$C$8:$WL$8,'P &amp; NP'!$C$5:$WL$5,"PB",'P &amp; NP'!$C$2:$WL$2,"LAMONGAN")</f>
        <v>37012</v>
      </c>
      <c r="BK16" s="519">
        <f>SUMIFS('P &amp; NP'!$C$8:$WL$8,'P &amp; NP'!$C$5:$WL$5,"NPB",'P &amp; NP'!$C$2:$WL$2,"LAMONGAN")</f>
        <v>629204</v>
      </c>
      <c r="BL16" s="519">
        <f>SUMIFS('P &amp; NP'!$C$9:$WL$9,'P &amp; NP'!$C$5:$WL$5,"PB",'P &amp; NP'!$C$2:$WL$2,"LAMONGAN")</f>
        <v>11104</v>
      </c>
      <c r="BM16" s="519">
        <f>SUMIFS('P &amp; NP'!$C$9:$WL$9,'P &amp; NP'!$C$5:$WL$5,"NPB",'P &amp; NP'!$C$2:$WL$2,"LAMONGAN")</f>
        <v>205424</v>
      </c>
      <c r="BN16" s="519">
        <f>SUMIFS('P &amp; NP'!$C$10:$WL$10,'P &amp; NP'!$C$5:$WL$5,"PB",'P &amp; NP'!$C$2:$WL$2,"LAMONGAN")</f>
        <v>7408</v>
      </c>
      <c r="BO16" s="519">
        <f>SUMIFS('P &amp; NP'!$C$10:$WL$10,'P &amp; NP'!$C$5:$WL$5,"NPB",'P &amp; NP'!$C$2:$WL$2,"LAMONGAN")</f>
        <v>133344</v>
      </c>
      <c r="BQ16" s="502">
        <f t="shared" si="19"/>
        <v>5216</v>
      </c>
      <c r="BR16" s="512">
        <f t="shared" si="20"/>
        <v>96712</v>
      </c>
      <c r="BS16" s="519">
        <f>SUMIFS('P &amp; NP'!$C$7:$WL$7,'P &amp; NP'!$C$5:$WL$5,"PJ",'P &amp; NP'!$C$2:$WL$2,"LAMONGAN")</f>
        <v>1301</v>
      </c>
      <c r="BT16" s="519">
        <f>SUMIFS('P &amp; NP'!$C$7:$WL$7,'P &amp; NP'!$C$5:$WL$5,"NPJ",'P &amp; NP'!$C$2:$WL$2,"LAMONGAN")</f>
        <v>32525</v>
      </c>
      <c r="BU16" s="519">
        <f>SUMIFS('P &amp; NP'!$C$8:$WL$8,'P &amp; NP'!$C$5:$WL$5,"PJ",'P &amp; NP'!$C$2:$WL$2,"LAMONGAN")</f>
        <v>2187</v>
      </c>
      <c r="BV16" s="519">
        <f>SUMIFS('P &amp; NP'!$C$8:$WL$8,'P &amp; NP'!$C$5:$WL$5,"NPJ",'P &amp; NP'!$C$2:$WL$2,"LAMONGAN")</f>
        <v>28431</v>
      </c>
      <c r="BW16" s="519">
        <f>SUMIFS('P &amp; NP'!$C$9:$WL$9,'P &amp; NP'!$C$5:$WL$5,"PJ",'P &amp; NP'!$C$2:$WL$2,"LAMONGAN")</f>
        <v>1197</v>
      </c>
      <c r="BX16" s="519">
        <f>SUMIFS('P &amp; NP'!$C$9:$WL$9,'P &amp; NP'!$C$5:$WL$5,"NPJ",'P &amp; NP'!$C$2:$WL$2,"LAMONGAN")</f>
        <v>25136</v>
      </c>
      <c r="BY16" s="519">
        <f>SUMIFS('P &amp; NP'!$C$10:$WL$10,'P &amp; NP'!$C$5:$WL$5,"PJ",'P &amp; NP'!$C$2:$WL$2,"LAMONGAN")</f>
        <v>531</v>
      </c>
      <c r="BZ16" s="519">
        <f>SUMIFS('P &amp; NP'!$C$10:$WL$10,'P &amp; NP'!$C$5:$WL$5,"NPJ",'P &amp; NP'!$C$2:$WL$2,"LAMONGAN")</f>
        <v>10620</v>
      </c>
      <c r="CB16" s="502">
        <f t="shared" si="21"/>
        <v>46941847</v>
      </c>
      <c r="CC16" s="512">
        <f t="shared" si="22"/>
        <v>1429853525</v>
      </c>
      <c r="CD16" s="519">
        <f t="shared" si="23"/>
        <v>13960780</v>
      </c>
      <c r="CE16" s="519">
        <f t="shared" si="24"/>
        <v>470042912</v>
      </c>
      <c r="CF16" s="519">
        <f t="shared" si="25"/>
        <v>28179906</v>
      </c>
      <c r="CG16" s="519">
        <f t="shared" si="26"/>
        <v>771527012</v>
      </c>
      <c r="CH16" s="519">
        <f t="shared" si="27"/>
        <v>3015313</v>
      </c>
      <c r="CI16" s="519">
        <f t="shared" si="28"/>
        <v>106659122</v>
      </c>
      <c r="CJ16" s="519">
        <f t="shared" si="29"/>
        <v>1785848</v>
      </c>
      <c r="CK16" s="519">
        <f t="shared" si="30"/>
        <v>81624479</v>
      </c>
    </row>
    <row r="17" spans="1:89">
      <c r="A17" s="509"/>
      <c r="B17" s="484" t="s">
        <v>119</v>
      </c>
      <c r="C17" s="502">
        <f t="shared" si="8"/>
        <v>0</v>
      </c>
      <c r="D17" s="512">
        <f t="shared" si="9"/>
        <v>0</v>
      </c>
      <c r="E17" s="519">
        <f>SUMIFS('P &amp; NP'!$C$7:$WL$7,'P &amp; NP'!$C$5:$WL$5,"PL",'P &amp; NP'!$C$2:$WL$2,"LUMAJANG")</f>
        <v>0</v>
      </c>
      <c r="F17" s="519">
        <f>SUMIFS('P &amp; NP'!$C$7:$WL$7,'P &amp; NP'!$C$5:$WL$5,"NPL",'P &amp; NP'!$C$2:$WL$2,"LUMAJANG")</f>
        <v>0</v>
      </c>
      <c r="G17" s="519">
        <f>SUMIFS('P &amp; NP'!$C$8:$WL$8,'P &amp; NP'!$C$5:$WL$5,"PL",'P &amp; NP'!$C$2:$WL$2,"LUMAJANG")</f>
        <v>0</v>
      </c>
      <c r="H17" s="519">
        <f>SUMIFS('P &amp; NP'!$C$8:$WL$8,'P &amp; NP'!$C$5:$WL$5,"NPL",'P &amp; NP'!$C$2:$WL$2,"LUMAJANG")</f>
        <v>0</v>
      </c>
      <c r="I17" s="519">
        <f>SUMIFS('P &amp; NP'!$C$9:$WL$9,'P &amp; NP'!$C$5:$WL$5,"PL",'P &amp; NP'!$C$2:$WL$2,"LUMAJANG")</f>
        <v>0</v>
      </c>
      <c r="J17" s="519">
        <f>SUMIFS('P &amp; NP'!$C$9:$WL$9,'P &amp; NP'!$C$5:$WL$5,"NPL",'P &amp; NP'!$C$2:$WL$2,"LUMAJANG")</f>
        <v>0</v>
      </c>
      <c r="K17" s="519">
        <f>SUMIFS('P &amp; NP'!$C$10:$WL$10,'P &amp; NP'!$C$5:$WL$5,"PL",'P &amp; NP'!$C$2:$WL$2,"LUMAJANG")</f>
        <v>0</v>
      </c>
      <c r="L17" s="519">
        <f>SUMIFS('P &amp; NP'!$C$10:$WL$10,'P &amp; NP'!$C$5:$WL$5,"NPL",'P &amp; NP'!$C$2:$WL$2,"LUMAJANG")</f>
        <v>0</v>
      </c>
      <c r="N17" s="502">
        <f t="shared" si="10"/>
        <v>1490000</v>
      </c>
      <c r="O17" s="512">
        <f t="shared" si="11"/>
        <v>89400000</v>
      </c>
      <c r="P17" s="519">
        <f>SUMIFS('P &amp; NP'!$C$7:$WL$7,'P &amp; NP'!$C$5:$WL$5,"PT",'P &amp; NP'!$C$2:$WL$2,"LUMAJANG")</f>
        <v>385000</v>
      </c>
      <c r="Q17" s="519">
        <f>SUMIFS('P &amp; NP'!$C$7:$WL$7,'P &amp; NP'!$C$5:$WL$5,"NPT",'P &amp; NP'!$C$2:$WL$2,"LUMAJANG")</f>
        <v>23100000</v>
      </c>
      <c r="R17" s="519">
        <f>SUMIFS('P &amp; NP'!$C$8:$WL$8,'P &amp; NP'!$C$5:$WL$5,"PT",'P &amp; NP'!$C$2:$WL$2,"LUMAJANG")</f>
        <v>370000</v>
      </c>
      <c r="S17" s="519">
        <f>SUMIFS('P &amp; NP'!$C$8:$WL$8,'P &amp; NP'!$C$5:$WL$5,"NPT",'P &amp; NP'!$C$2:$WL$2,"LUMAJANG")</f>
        <v>22200000</v>
      </c>
      <c r="T17" s="519">
        <f>SUMIFS('P &amp; NP'!$C$9:$WL$9,'P &amp; NP'!$C$5:$WL$5,"PT",'P &amp; NP'!$C$2:$WL$2,"LUMAJANG")</f>
        <v>360000</v>
      </c>
      <c r="U17" s="519">
        <f>SUMIFS('P &amp; NP'!$C$9:$WL$9,'P &amp; NP'!$C$5:$WL$5,"NPT",'P &amp; NP'!$C$2:$WL$2,"LUMAJANG")</f>
        <v>21600000</v>
      </c>
      <c r="V17" s="519">
        <f>SUMIFS('P &amp; NP'!$C$10:$WL$10,'P &amp; NP'!$C$5:$WL$5,"PT",'P &amp; NP'!$C$2:$WL$2,"LUMAJANG")</f>
        <v>375000</v>
      </c>
      <c r="W17" s="519">
        <f>SUMIFS('P &amp; NP'!$C$10:$WL$10,'P &amp; NP'!$C$5:$WL$5,"NPT",'P &amp; NP'!$C$2:$WL$2,"LUMAJANG")</f>
        <v>22500000</v>
      </c>
      <c r="Y17" s="502">
        <f ca="1">SUMIF(AA$5:$AH15,$Y$1,AA17:AH17)</f>
        <v>0</v>
      </c>
      <c r="Z17" s="512">
        <f t="shared" si="12"/>
        <v>0</v>
      </c>
      <c r="AA17" s="519">
        <f>SUMIFS('P &amp; NP'!$C$7:$WL$7,'P &amp; NP'!$C$5:$WL$5,"PS",'P &amp; NP'!$C$2:$WL$2,"LUMAJANG")</f>
        <v>0</v>
      </c>
      <c r="AB17" s="519">
        <f>SUMIFS('P &amp; NP'!$C$7:$WL$7,'P &amp; NP'!$C$5:$WL$5,"NPS",'P &amp; NP'!$C$2:$WL$2,"LUMAJANG")</f>
        <v>0</v>
      </c>
      <c r="AC17" s="519">
        <f>SUMIFS('P &amp; NP'!$C$8:$WL$8,'P &amp; NP'!$C$5:$WL$5,"PS",'P &amp; NP'!$C$2:$WL$2,"LUMAJANG")</f>
        <v>0</v>
      </c>
      <c r="AD17" s="519">
        <f>SUMIFS('P &amp; NP'!$C$8:$WL$8,'P &amp; NP'!$C$5:$WL$5,"NPS",'P &amp; NP'!$C$2:$WL$2,"LUMAJANG")</f>
        <v>0</v>
      </c>
      <c r="AE17" s="519">
        <f>SUMIFS('P &amp; NP'!$C$9:$WL$9,'P &amp; NP'!$C$5:$WL$5,"PS",'P &amp; NP'!$C$2:$WL$2,"LUMAJANG")</f>
        <v>0</v>
      </c>
      <c r="AF17" s="519">
        <f>SUMIFS('P &amp; NP'!$C$9:$WL$9,'P &amp; NP'!$C$5:$WL$5,"NPS",'P &amp; NP'!$C$2:$WL$2,"LUMAJANG")</f>
        <v>0</v>
      </c>
      <c r="AG17" s="519">
        <f>SUMIFS('P &amp; NP'!$C$10:$WL$10,'P &amp; NP'!$C$5:$WL$5,"PS",'P &amp; NP'!$C$2:$WL$2,"LUMAJANG")</f>
        <v>0</v>
      </c>
      <c r="AH17" s="519">
        <f>SUMIFS('P &amp; NP'!$C$10:$WL$10,'P &amp; NP'!$C$5:$WL$5,"NPS",'P &amp; NP'!$C$2:$WL$2,"LUMAJANG")</f>
        <v>0</v>
      </c>
      <c r="AJ17" s="502">
        <f t="shared" si="13"/>
        <v>2736500.4</v>
      </c>
      <c r="AK17" s="512">
        <f t="shared" si="14"/>
        <v>69421076.5</v>
      </c>
      <c r="AL17" s="519">
        <f>SUMIFS('P &amp; NP'!$C$7:$WL$7,'P &amp; NP'!$C$5:$WL$5,"PK",'P &amp; NP'!$C$2:$WL$2,"LUMAJANG")</f>
        <v>692000.4</v>
      </c>
      <c r="AM17" s="519">
        <f>SUMIFS('P &amp; NP'!$C$7:$WL$7,'P &amp; NP'!$C$5:$WL$5,"NPK",'P &amp; NP'!$C$2:$WL$2,"LUMAJANG")</f>
        <v>17966047</v>
      </c>
      <c r="AN17" s="519">
        <f>SUMIFS('P &amp; NP'!$C$8:$WL$8,'P &amp; NP'!$C$5:$WL$5,"PK",'P &amp; NP'!$C$2:$WL$2,"LUMAJANG")</f>
        <v>679232</v>
      </c>
      <c r="AO17" s="519">
        <f>SUMIFS('P &amp; NP'!$C$8:$WL$8,'P &amp; NP'!$C$5:$WL$5,"NPK",'P &amp; NP'!$C$2:$WL$2,"LUMAJANG")</f>
        <v>17078612</v>
      </c>
      <c r="AP17" s="519">
        <f>SUMIFS('P &amp; NP'!$C$9:$WL$9,'P &amp; NP'!$C$5:$WL$5,"PK",'P &amp; NP'!$C$2:$WL$2,"LUMAJANG")</f>
        <v>680268</v>
      </c>
      <c r="AQ17" s="519">
        <f>SUMIFS('P &amp; NP'!$C$9:$WL$9,'P &amp; NP'!$C$5:$WL$5,"NPK",'P &amp; NP'!$C$2:$WL$2,"LUMAJANG")</f>
        <v>17075895</v>
      </c>
      <c r="AR17" s="519">
        <f>SUMIFS('P &amp; NP'!$C$10:$WL$10,'P &amp; NP'!$C$5:$WL$5,"PK",'P &amp; NP'!$C$2:$WL$2,"LUMAJANG")</f>
        <v>685000</v>
      </c>
      <c r="AS17" s="519">
        <f>SUMIFS('P &amp; NP'!$C$10:$WL$10,'P &amp; NP'!$C$5:$WL$5,"NPK",'P &amp; NP'!$C$2:$WL$2,"LUMAJANG")</f>
        <v>17300522.5</v>
      </c>
      <c r="AU17" s="502">
        <f t="shared" si="15"/>
        <v>0</v>
      </c>
      <c r="AV17" s="512">
        <f t="shared" si="16"/>
        <v>0</v>
      </c>
      <c r="AW17" s="519">
        <f>SUMIFS('P &amp; NP'!$C$7:$WL$7,'P &amp; NP'!$C$5:$WL$5,"PM",'P &amp; NP'!$C$2:$WL$2,"LUMAJANG")</f>
        <v>0</v>
      </c>
      <c r="AX17" s="519">
        <f>SUMIFS('P &amp; NP'!$C$7:$WL$7,'P &amp; NP'!$C$5:$WL$5,"NPM",'P &amp; NP'!$C$2:$WL$2,"LUMAJANG")</f>
        <v>0</v>
      </c>
      <c r="AY17" s="519">
        <f>SUMIFS('P &amp; NP'!$C$8:$WL$8,'P &amp; NP'!$C$5:$WL$5,"PM",'P &amp; NP'!$C$2:$WL$2,"LUMAJANG")</f>
        <v>0</v>
      </c>
      <c r="AZ17" s="519">
        <f>SUMIFS('P &amp; NP'!$C$8:$WL$8,'P &amp; NP'!$C$5:$WL$5,"NPM",'P &amp; NP'!$C$2:$WL$2,"LUMAJANG")</f>
        <v>0</v>
      </c>
      <c r="BA17" s="519">
        <f>SUMIFS('P &amp; NP'!$C$9:$WL$9,'P &amp; NP'!$C$5:$WL$5,"PM",'P &amp; NP'!$C$2:$WL$2,"LUMAJANG")</f>
        <v>0</v>
      </c>
      <c r="BB17" s="519">
        <f>SUMIFS('P &amp; NP'!$C$9:$WL$9,'P &amp; NP'!$C$5:$WL$5,"NPM",'P &amp; NP'!$C$2:$WL$2,"LUMAJANG")</f>
        <v>0</v>
      </c>
      <c r="BC17" s="519">
        <f>SUMIFS('P &amp; NP'!$C$10:$WL$10,'P &amp; NP'!$C$5:$WL$5,"PM",'P &amp; NP'!$C$2:$WL$2,"LUMAJANG")</f>
        <v>0</v>
      </c>
      <c r="BD17" s="519">
        <f>SUMIFS('P &amp; NP'!$C$10:$WL$10,'P &amp; NP'!$C$5:$WL$5,"NPM",'P &amp; NP'!$C$2:$WL$2,"LUMAJANG")</f>
        <v>0</v>
      </c>
      <c r="BF17" s="502">
        <f t="shared" si="17"/>
        <v>0</v>
      </c>
      <c r="BG17" s="512">
        <f t="shared" si="18"/>
        <v>0</v>
      </c>
      <c r="BH17" s="519">
        <f>SUMIFS('P &amp; NP'!$C$7:$WL$7,'P &amp; NP'!$C$5:$WL$5,"PB",'P &amp; NP'!$C$2:$WL$2,"LUMAJANG")</f>
        <v>0</v>
      </c>
      <c r="BI17" s="519">
        <f>SUMIFS('P &amp; NP'!$C$7:$WL$7,'P &amp; NP'!$C$5:$WL$5,"NPB",'P &amp; NP'!$C$2:$WL$2,"LUMAJANG")</f>
        <v>0</v>
      </c>
      <c r="BJ17" s="519">
        <f>SUMIFS('P &amp; NP'!$C$8:$WL$8,'P &amp; NP'!$C$5:$WL$5,"PB",'P &amp; NP'!$C$2:$WL$2,"LUMAJANG")</f>
        <v>0</v>
      </c>
      <c r="BK17" s="519">
        <f>SUMIFS('P &amp; NP'!$C$8:$WL$8,'P &amp; NP'!$C$5:$WL$5,"NPB",'P &amp; NP'!$C$2:$WL$2,"LUMAJANG")</f>
        <v>0</v>
      </c>
      <c r="BL17" s="519">
        <f>SUMIFS('P &amp; NP'!$C$9:$WL$9,'P &amp; NP'!$C$5:$WL$5,"PB",'P &amp; NP'!$C$2:$WL$2,"LUMAJANG")</f>
        <v>0</v>
      </c>
      <c r="BM17" s="519">
        <f>SUMIFS('P &amp; NP'!$C$9:$WL$9,'P &amp; NP'!$C$5:$WL$5,"NPB",'P &amp; NP'!$C$2:$WL$2,"LUMAJANG")</f>
        <v>0</v>
      </c>
      <c r="BN17" s="519">
        <f>SUMIFS('P &amp; NP'!$C$10:$WL$10,'P &amp; NP'!$C$5:$WL$5,"PB",'P &amp; NP'!$C$2:$WL$2,"LUMAJANG")</f>
        <v>0</v>
      </c>
      <c r="BO17" s="519">
        <f>SUMIFS('P &amp; NP'!$C$10:$WL$10,'P &amp; NP'!$C$5:$WL$5,"NPB",'P &amp; NP'!$C$2:$WL$2,"LUMAJANG")</f>
        <v>0</v>
      </c>
      <c r="BQ17" s="502">
        <f t="shared" si="19"/>
        <v>885096</v>
      </c>
      <c r="BR17" s="512">
        <f t="shared" si="20"/>
        <v>25850858</v>
      </c>
      <c r="BS17" s="519">
        <f>SUMIFS('P &amp; NP'!$C$7:$WL$7,'P &amp; NP'!$C$5:$WL$5,"PJ",'P &amp; NP'!$C$2:$WL$2,"LUMAJANG")</f>
        <v>235000</v>
      </c>
      <c r="BT17" s="519">
        <f>SUMIFS('P &amp; NP'!$C$7:$WL$7,'P &amp; NP'!$C$5:$WL$5,"NPJ",'P &amp; NP'!$C$2:$WL$2,"LUMAJANG")</f>
        <v>7050000</v>
      </c>
      <c r="BU17" s="519">
        <f>SUMIFS('P &amp; NP'!$C$8:$WL$8,'P &amp; NP'!$C$5:$WL$5,"PJ",'P &amp; NP'!$C$2:$WL$2,"LUMAJANG")</f>
        <v>214085</v>
      </c>
      <c r="BV17" s="519">
        <f>SUMIFS('P &amp; NP'!$C$8:$WL$8,'P &amp; NP'!$C$5:$WL$5,"NPJ",'P &amp; NP'!$C$2:$WL$2,"LUMAJANG")</f>
        <v>6422550</v>
      </c>
      <c r="BW17" s="519">
        <f>SUMIFS('P &amp; NP'!$C$9:$WL$9,'P &amp; NP'!$C$5:$WL$5,"PJ",'P &amp; NP'!$C$2:$WL$2,"LUMAJANG")</f>
        <v>210625</v>
      </c>
      <c r="BX17" s="519">
        <f>SUMIFS('P &amp; NP'!$C$9:$WL$9,'P &amp; NP'!$C$5:$WL$5,"NPJ",'P &amp; NP'!$C$2:$WL$2,"LUMAJANG")</f>
        <v>5897500</v>
      </c>
      <c r="BY17" s="519">
        <f>SUMIFS('P &amp; NP'!$C$10:$WL$10,'P &amp; NP'!$C$5:$WL$5,"PJ",'P &amp; NP'!$C$2:$WL$2,"LUMAJANG")</f>
        <v>225386</v>
      </c>
      <c r="BZ17" s="519">
        <f>SUMIFS('P &amp; NP'!$C$10:$WL$10,'P &amp; NP'!$C$5:$WL$5,"NPJ",'P &amp; NP'!$C$2:$WL$2,"LUMAJANG")</f>
        <v>6480808</v>
      </c>
      <c r="CB17" s="502">
        <f t="shared" si="21"/>
        <v>5111596.4000000004</v>
      </c>
      <c r="CC17" s="512">
        <f t="shared" si="22"/>
        <v>184671934.5</v>
      </c>
      <c r="CD17" s="519">
        <f t="shared" si="23"/>
        <v>1312000.3999999999</v>
      </c>
      <c r="CE17" s="519">
        <f t="shared" si="24"/>
        <v>48116047</v>
      </c>
      <c r="CF17" s="519">
        <f t="shared" si="25"/>
        <v>1263317</v>
      </c>
      <c r="CG17" s="519">
        <f t="shared" si="26"/>
        <v>45701162</v>
      </c>
      <c r="CH17" s="519">
        <f t="shared" si="27"/>
        <v>1250893</v>
      </c>
      <c r="CI17" s="519">
        <f t="shared" si="28"/>
        <v>44573395</v>
      </c>
      <c r="CJ17" s="519">
        <f t="shared" si="29"/>
        <v>1285386</v>
      </c>
      <c r="CK17" s="519">
        <f t="shared" si="30"/>
        <v>46281330.5</v>
      </c>
    </row>
    <row r="18" spans="1:89">
      <c r="A18" s="509"/>
      <c r="B18" s="484" t="s">
        <v>130</v>
      </c>
      <c r="C18" s="502">
        <f t="shared" si="8"/>
        <v>0</v>
      </c>
      <c r="D18" s="512">
        <f t="shared" si="9"/>
        <v>0</v>
      </c>
      <c r="E18" s="519">
        <f>SUMIFS('P &amp; NP'!$C$7:$WL$7,'P &amp; NP'!$C$5:$WL$5,"PL",'P &amp; NP'!$C$2:$WL$2,"MADIUN")</f>
        <v>0</v>
      </c>
      <c r="F18" s="519">
        <f>SUMIFS('P &amp; NP'!$C$7:$WL$7,'P &amp; NP'!$C$5:$WL$5,"NPL",'P &amp; NP'!$C$2:$WL$2,"MADIUN")</f>
        <v>0</v>
      </c>
      <c r="G18" s="519">
        <f>SUMIFS('P &amp; NP'!$C$8:$WL$8,'P &amp; NP'!$C$5:$WL$5,"PL",'P &amp; NP'!$C$2:$WL$2,"MADIUN")</f>
        <v>0</v>
      </c>
      <c r="H18" s="519">
        <f>SUMIFS('P &amp; NP'!$C$8:$WL$8,'P &amp; NP'!$C$5:$WL$5,"NPL",'P &amp; NP'!$C$2:$WL$2,"MADIUN")</f>
        <v>0</v>
      </c>
      <c r="I18" s="519">
        <f>SUMIFS('P &amp; NP'!$C$9:$WL$9,'P &amp; NP'!$C$5:$WL$5,"PL",'P &amp; NP'!$C$2:$WL$2,"MADIUN")</f>
        <v>0</v>
      </c>
      <c r="J18" s="519">
        <f>SUMIFS('P &amp; NP'!$C$9:$WL$9,'P &amp; NP'!$C$5:$WL$5,"NPL",'P &amp; NP'!$C$2:$WL$2,"MADIUN")</f>
        <v>0</v>
      </c>
      <c r="K18" s="519">
        <f>SUMIFS('P &amp; NP'!$C$10:$WL$10,'P &amp; NP'!$C$5:$WL$5,"PL",'P &amp; NP'!$C$2:$WL$2,"MADIUN")</f>
        <v>0</v>
      </c>
      <c r="L18" s="519">
        <f>SUMIFS('P &amp; NP'!$C$10:$WL$10,'P &amp; NP'!$C$5:$WL$5,"NPL",'P &amp; NP'!$C$2:$WL$2,"MADIUN")</f>
        <v>0</v>
      </c>
      <c r="N18" s="502">
        <f t="shared" si="10"/>
        <v>0</v>
      </c>
      <c r="O18" s="512">
        <f t="shared" si="11"/>
        <v>0</v>
      </c>
      <c r="P18" s="519">
        <f>SUMIFS('P &amp; NP'!$C$7:$WL$7,'P &amp; NP'!$C$5:$WL$5,"PT",'P &amp; NP'!$C$2:$WL$2,"MADIUN")</f>
        <v>0</v>
      </c>
      <c r="Q18" s="519">
        <f>SUMIFS('P &amp; NP'!$C$7:$WL$7,'P &amp; NP'!$C$5:$WL$5,"NPT",'P &amp; NP'!$C$2:$WL$2,"MADIUN")</f>
        <v>0</v>
      </c>
      <c r="R18" s="519">
        <f>SUMIFS('P &amp; NP'!$C$8:$WL$8,'P &amp; NP'!$C$5:$WL$5,"PT",'P &amp; NP'!$C$2:$WL$2,"MADIUN")</f>
        <v>0</v>
      </c>
      <c r="S18" s="519">
        <f>SUMIFS('P &amp; NP'!$C$8:$WL$8,'P &amp; NP'!$C$5:$WL$5,"NPT",'P &amp; NP'!$C$2:$WL$2,"MADIUN")</f>
        <v>0</v>
      </c>
      <c r="T18" s="519">
        <f>SUMIFS('P &amp; NP'!$C$9:$WL$9,'P &amp; NP'!$C$5:$WL$5,"PT",'P &amp; NP'!$C$2:$WL$2,"MADIUN")</f>
        <v>0</v>
      </c>
      <c r="U18" s="519">
        <f>SUMIFS('P &amp; NP'!$C$9:$WL$9,'P &amp; NP'!$C$5:$WL$5,"NPT",'P &amp; NP'!$C$2:$WL$2,"MADIUN")</f>
        <v>0</v>
      </c>
      <c r="V18" s="519">
        <f>SUMIFS('P &amp; NP'!$C$10:$WL$10,'P &amp; NP'!$C$5:$WL$5,"PT",'P &amp; NP'!$C$2:$WL$2,"MADIUN")</f>
        <v>0</v>
      </c>
      <c r="W18" s="519">
        <f>SUMIFS('P &amp; NP'!$C$10:$WL$10,'P &amp; NP'!$C$5:$WL$5,"NPT",'P &amp; NP'!$C$2:$WL$2,"MADIUN")</f>
        <v>0</v>
      </c>
      <c r="Y18" s="502">
        <f ca="1">SUMIF(AA$5:$AH16,$Y$1,AA18:AH18)</f>
        <v>0</v>
      </c>
      <c r="Z18" s="512">
        <f t="shared" si="12"/>
        <v>0</v>
      </c>
      <c r="AA18" s="519">
        <f>SUMIFS('P &amp; NP'!$C$7:$WL$7,'P &amp; NP'!$C$5:$WL$5,"PS",'P &amp; NP'!$C$2:$WL$2,"MADIUN")</f>
        <v>0</v>
      </c>
      <c r="AB18" s="519">
        <f>SUMIFS('P &amp; NP'!$C$7:$WL$7,'P &amp; NP'!$C$5:$WL$5,"NPS",'P &amp; NP'!$C$2:$WL$2,"MADIUN")</f>
        <v>0</v>
      </c>
      <c r="AC18" s="519">
        <f>SUMIFS('P &amp; NP'!$C$8:$WL$8,'P &amp; NP'!$C$5:$WL$5,"PS",'P &amp; NP'!$C$2:$WL$2,"MADIUN")</f>
        <v>0</v>
      </c>
      <c r="AD18" s="519">
        <f>SUMIFS('P &amp; NP'!$C$8:$WL$8,'P &amp; NP'!$C$5:$WL$5,"NPS",'P &amp; NP'!$C$2:$WL$2,"MADIUN")</f>
        <v>0</v>
      </c>
      <c r="AE18" s="519">
        <f>SUMIFS('P &amp; NP'!$C$9:$WL$9,'P &amp; NP'!$C$5:$WL$5,"PS",'P &amp; NP'!$C$2:$WL$2,"MADIUN")</f>
        <v>0</v>
      </c>
      <c r="AF18" s="519">
        <f>SUMIFS('P &amp; NP'!$C$9:$WL$9,'P &amp; NP'!$C$5:$WL$5,"NPS",'P &amp; NP'!$C$2:$WL$2,"MADIUN")</f>
        <v>0</v>
      </c>
      <c r="AG18" s="519">
        <f>SUMIFS('P &amp; NP'!$C$10:$WL$10,'P &amp; NP'!$C$5:$WL$5,"PS",'P &amp; NP'!$C$2:$WL$2,"MADIUN")</f>
        <v>0</v>
      </c>
      <c r="AH18" s="519">
        <f>SUMIFS('P &amp; NP'!$C$10:$WL$10,'P &amp; NP'!$C$5:$WL$5,"NPS",'P &amp; NP'!$C$2:$WL$2,"MADIUN")</f>
        <v>0</v>
      </c>
      <c r="AJ18" s="502">
        <f t="shared" si="13"/>
        <v>3850100</v>
      </c>
      <c r="AK18" s="512">
        <f t="shared" si="14"/>
        <v>79363625</v>
      </c>
      <c r="AL18" s="519">
        <f>SUMIFS('P &amp; NP'!$C$7:$WL$7,'P &amp; NP'!$C$5:$WL$5,"PK",'P &amp; NP'!$C$2:$WL$2,"MADIUN")</f>
        <v>983300</v>
      </c>
      <c r="AM18" s="519">
        <f>SUMIFS('P &amp; NP'!$C$7:$WL$7,'P &amp; NP'!$C$5:$WL$5,"NPK",'P &amp; NP'!$C$2:$WL$2,"MADIUN")</f>
        <v>20204450</v>
      </c>
      <c r="AN18" s="519">
        <f>SUMIFS('P &amp; NP'!$C$8:$WL$8,'P &amp; NP'!$C$5:$WL$5,"PK",'P &amp; NP'!$C$2:$WL$2,"MADIUN")</f>
        <v>990800</v>
      </c>
      <c r="AO18" s="519">
        <f>SUMIFS('P &amp; NP'!$C$8:$WL$8,'P &amp; NP'!$C$5:$WL$5,"NPK",'P &amp; NP'!$C$2:$WL$2,"MADIUN")</f>
        <v>20675625</v>
      </c>
      <c r="AP18" s="519">
        <f>SUMIFS('P &amp; NP'!$C$9:$WL$9,'P &amp; NP'!$C$5:$WL$5,"PK",'P &amp; NP'!$C$2:$WL$2,"MADIUN")</f>
        <v>881450</v>
      </c>
      <c r="AQ18" s="519">
        <f>SUMIFS('P &amp; NP'!$C$9:$WL$9,'P &amp; NP'!$C$5:$WL$5,"NPK",'P &amp; NP'!$C$2:$WL$2,"MADIUN")</f>
        <v>17667500</v>
      </c>
      <c r="AR18" s="519">
        <f>SUMIFS('P &amp; NP'!$C$10:$WL$10,'P &amp; NP'!$C$5:$WL$5,"PK",'P &amp; NP'!$C$2:$WL$2,"MADIUN")</f>
        <v>994550</v>
      </c>
      <c r="AS18" s="519">
        <f>SUMIFS('P &amp; NP'!$C$10:$WL$10,'P &amp; NP'!$C$5:$WL$5,"NPK",'P &amp; NP'!$C$2:$WL$2,"MADIUN")</f>
        <v>20816050</v>
      </c>
      <c r="AU18" s="502">
        <f t="shared" si="15"/>
        <v>0</v>
      </c>
      <c r="AV18" s="512">
        <f t="shared" si="16"/>
        <v>0</v>
      </c>
      <c r="AW18" s="519">
        <f>SUMIFS('P &amp; NP'!$C$7:$WL$7,'P &amp; NP'!$C$5:$WL$5,"PM",'P &amp; NP'!$C$2:$WL$2,"MADIUN")</f>
        <v>0</v>
      </c>
      <c r="AX18" s="519">
        <f>SUMIFS('P &amp; NP'!$C$7:$WL$7,'P &amp; NP'!$C$5:$WL$5,"NPM",'P &amp; NP'!$C$2:$WL$2,"MADIUN")</f>
        <v>0</v>
      </c>
      <c r="AY18" s="519">
        <f>SUMIFS('P &amp; NP'!$C$8:$WL$8,'P &amp; NP'!$C$5:$WL$5,"PM",'P &amp; NP'!$C$2:$WL$2,"MADIUN")</f>
        <v>0</v>
      </c>
      <c r="AZ18" s="519">
        <f>SUMIFS('P &amp; NP'!$C$8:$WL$8,'P &amp; NP'!$C$5:$WL$5,"NPM",'P &amp; NP'!$C$2:$WL$2,"MADIUN")</f>
        <v>0</v>
      </c>
      <c r="BA18" s="519">
        <f>SUMIFS('P &amp; NP'!$C$9:$WL$9,'P &amp; NP'!$C$5:$WL$5,"PM",'P &amp; NP'!$C$2:$WL$2,"MADIUN")</f>
        <v>0</v>
      </c>
      <c r="BB18" s="519">
        <f>SUMIFS('P &amp; NP'!$C$9:$WL$9,'P &amp; NP'!$C$5:$WL$5,"NPM",'P &amp; NP'!$C$2:$WL$2,"MADIUN")</f>
        <v>0</v>
      </c>
      <c r="BC18" s="519">
        <f>SUMIFS('P &amp; NP'!$C$10:$WL$10,'P &amp; NP'!$C$5:$WL$5,"PM",'P &amp; NP'!$C$2:$WL$2,"MADIUN")</f>
        <v>0</v>
      </c>
      <c r="BD18" s="519">
        <f>SUMIFS('P &amp; NP'!$C$10:$WL$10,'P &amp; NP'!$C$5:$WL$5,"NPM",'P &amp; NP'!$C$2:$WL$2,"MADIUN")</f>
        <v>0</v>
      </c>
      <c r="BF18" s="502">
        <f t="shared" si="17"/>
        <v>0</v>
      </c>
      <c r="BG18" s="512">
        <f t="shared" si="18"/>
        <v>0</v>
      </c>
      <c r="BH18" s="519">
        <f>SUMIFS('P &amp; NP'!$C$7:$WL$7,'P &amp; NP'!$C$5:$WL$5,"PB",'P &amp; NP'!$C$2:$WL$2,"MADIUN")</f>
        <v>0</v>
      </c>
      <c r="BI18" s="519">
        <f>SUMIFS('P &amp; NP'!$C$7:$WL$7,'P &amp; NP'!$C$5:$WL$5,"NPB",'P &amp; NP'!$C$2:$WL$2,"MADIUN")</f>
        <v>0</v>
      </c>
      <c r="BJ18" s="519">
        <f>SUMIFS('P &amp; NP'!$C$8:$WL$8,'P &amp; NP'!$C$5:$WL$5,"PB",'P &amp; NP'!$C$2:$WL$2,"MADIUN")</f>
        <v>0</v>
      </c>
      <c r="BK18" s="519">
        <f>SUMIFS('P &amp; NP'!$C$8:$WL$8,'P &amp; NP'!$C$5:$WL$5,"NPB",'P &amp; NP'!$C$2:$WL$2,"MADIUN")</f>
        <v>0</v>
      </c>
      <c r="BL18" s="519">
        <f>SUMIFS('P &amp; NP'!$C$9:$WL$9,'P &amp; NP'!$C$5:$WL$5,"PB",'P &amp; NP'!$C$2:$WL$2,"MADIUN")</f>
        <v>0</v>
      </c>
      <c r="BM18" s="519">
        <f>SUMIFS('P &amp; NP'!$C$9:$WL$9,'P &amp; NP'!$C$5:$WL$5,"NPB",'P &amp; NP'!$C$2:$WL$2,"MADIUN")</f>
        <v>0</v>
      </c>
      <c r="BN18" s="519">
        <f>SUMIFS('P &amp; NP'!$C$10:$WL$10,'P &amp; NP'!$C$5:$WL$5,"PB",'P &amp; NP'!$C$2:$WL$2,"MADIUN")</f>
        <v>0</v>
      </c>
      <c r="BO18" s="519">
        <f>SUMIFS('P &amp; NP'!$C$10:$WL$10,'P &amp; NP'!$C$5:$WL$5,"NPB",'P &amp; NP'!$C$2:$WL$2,"MADIUN")</f>
        <v>0</v>
      </c>
      <c r="BQ18" s="502">
        <f t="shared" si="19"/>
        <v>0</v>
      </c>
      <c r="BR18" s="512">
        <f t="shared" si="20"/>
        <v>0</v>
      </c>
      <c r="BS18" s="519">
        <f>SUMIFS('P &amp; NP'!$C$7:$WL$7,'P &amp; NP'!$C$5:$WL$5,"PJ",'P &amp; NP'!$C$2:$WL$2,"MADIUN")</f>
        <v>0</v>
      </c>
      <c r="BT18" s="519">
        <f>SUMIFS('P &amp; NP'!$C$7:$WL$7,'P &amp; NP'!$C$5:$WL$5,"NPJ",'P &amp; NP'!$C$2:$WL$2,"MADIUN")</f>
        <v>0</v>
      </c>
      <c r="BU18" s="519">
        <f>SUMIFS('P &amp; NP'!$C$8:$WL$8,'P &amp; NP'!$C$5:$WL$5,"PJ",'P &amp; NP'!$C$2:$WL$2,"MADIUN")</f>
        <v>0</v>
      </c>
      <c r="BV18" s="519">
        <f>SUMIFS('P &amp; NP'!$C$8:$WL$8,'P &amp; NP'!$C$5:$WL$5,"NPJ",'P &amp; NP'!$C$2:$WL$2,"MADIUN")</f>
        <v>0</v>
      </c>
      <c r="BW18" s="519">
        <f>SUMIFS('P &amp; NP'!$C$9:$WL$9,'P &amp; NP'!$C$5:$WL$5,"PJ",'P &amp; NP'!$C$2:$WL$2,"MADIUN")</f>
        <v>0</v>
      </c>
      <c r="BX18" s="519">
        <f>SUMIFS('P &amp; NP'!$C$9:$WL$9,'P &amp; NP'!$C$5:$WL$5,"NPJ",'P &amp; NP'!$C$2:$WL$2,"MADIUN")</f>
        <v>0</v>
      </c>
      <c r="BY18" s="519">
        <f>SUMIFS('P &amp; NP'!$C$10:$WL$10,'P &amp; NP'!$C$5:$WL$5,"PJ",'P &amp; NP'!$C$2:$WL$2,"MADIUN")</f>
        <v>0</v>
      </c>
      <c r="BZ18" s="519">
        <f>SUMIFS('P &amp; NP'!$C$10:$WL$10,'P &amp; NP'!$C$5:$WL$5,"NPJ",'P &amp; NP'!$C$2:$WL$2,"MADIUN")</f>
        <v>0</v>
      </c>
      <c r="CB18" s="502">
        <f t="shared" si="21"/>
        <v>3850100</v>
      </c>
      <c r="CC18" s="512">
        <f t="shared" si="22"/>
        <v>79363625</v>
      </c>
      <c r="CD18" s="519">
        <f t="shared" si="23"/>
        <v>983300</v>
      </c>
      <c r="CE18" s="519">
        <f t="shared" si="24"/>
        <v>20204450</v>
      </c>
      <c r="CF18" s="519">
        <f t="shared" si="25"/>
        <v>990800</v>
      </c>
      <c r="CG18" s="519">
        <f t="shared" si="26"/>
        <v>20675625</v>
      </c>
      <c r="CH18" s="519">
        <f t="shared" si="27"/>
        <v>881450</v>
      </c>
      <c r="CI18" s="519">
        <f t="shared" si="28"/>
        <v>17667500</v>
      </c>
      <c r="CJ18" s="519">
        <f t="shared" si="29"/>
        <v>994550</v>
      </c>
      <c r="CK18" s="519">
        <f t="shared" si="30"/>
        <v>20816050</v>
      </c>
    </row>
    <row r="19" spans="1:89">
      <c r="A19" s="509"/>
      <c r="B19" s="484" t="s">
        <v>131</v>
      </c>
      <c r="C19" s="502">
        <f t="shared" si="8"/>
        <v>0</v>
      </c>
      <c r="D19" s="512">
        <f t="shared" si="9"/>
        <v>0</v>
      </c>
      <c r="E19" s="519">
        <f>SUMIFS('P &amp; NP'!$C$7:$WL$7,'P &amp; NP'!$C$5:$WL$5,"PL",'P &amp; NP'!$C$2:$WL$2,"MAGETAN")</f>
        <v>0</v>
      </c>
      <c r="F19" s="519">
        <f>SUMIFS('P &amp; NP'!$C$7:$WL$7,'P &amp; NP'!$C$5:$WL$5,"NPL",'P &amp; NP'!$C$2:$WL$2,"MAGETAN")</f>
        <v>0</v>
      </c>
      <c r="G19" s="519">
        <f>SUMIFS('P &amp; NP'!$C$8:$WL$8,'P &amp; NP'!$C$5:$WL$5,"PL",'P &amp; NP'!$C$2:$WL$2,"MAGETAN")</f>
        <v>0</v>
      </c>
      <c r="H19" s="519">
        <f>SUMIFS('P &amp; NP'!$C$8:$WL$8,'P &amp; NP'!$C$5:$WL$5,"NPL",'P &amp; NP'!$C$2:$WL$2,"MAGETAN")</f>
        <v>0</v>
      </c>
      <c r="I19" s="519">
        <f>SUMIFS('P &amp; NP'!$C$9:$WL$9,'P &amp; NP'!$C$5:$WL$5,"PL",'P &amp; NP'!$C$2:$WL$2,"MAGETAN")</f>
        <v>0</v>
      </c>
      <c r="J19" s="519">
        <f>SUMIFS('P &amp; NP'!$C$9:$WL$9,'P &amp; NP'!$C$5:$WL$5,"NPL",'P &amp; NP'!$C$2:$WL$2,"MAGETAN")</f>
        <v>0</v>
      </c>
      <c r="K19" s="519">
        <f>SUMIFS('P &amp; NP'!$C$10:$WL$10,'P &amp; NP'!$C$5:$WL$5,"PL",'P &amp; NP'!$C$2:$WL$2,"MAGETAN")</f>
        <v>0</v>
      </c>
      <c r="L19" s="519">
        <f>SUMIFS('P &amp; NP'!$C$10:$WL$10,'P &amp; NP'!$C$5:$WL$5,"NPL",'P &amp; NP'!$C$2:$WL$2,"MAGETAN")</f>
        <v>0</v>
      </c>
      <c r="N19" s="502">
        <f t="shared" si="10"/>
        <v>0</v>
      </c>
      <c r="O19" s="512">
        <f t="shared" si="11"/>
        <v>0</v>
      </c>
      <c r="P19" s="519">
        <f>SUMIFS('P &amp; NP'!$C$7:$WL$7,'P &amp; NP'!$C$5:$WL$5,"PT",'P &amp; NP'!$C$2:$WL$2,"MAGETAN")</f>
        <v>0</v>
      </c>
      <c r="Q19" s="519">
        <f>SUMIFS('P &amp; NP'!$C$7:$WL$7,'P &amp; NP'!$C$5:$WL$5,"NPT",'P &amp; NP'!$C$2:$WL$2,"MAGETAN")</f>
        <v>0</v>
      </c>
      <c r="R19" s="519">
        <f>SUMIFS('P &amp; NP'!$C$8:$WL$8,'P &amp; NP'!$C$5:$WL$5,"PT",'P &amp; NP'!$C$2:$WL$2,"MAGETAN")</f>
        <v>0</v>
      </c>
      <c r="S19" s="519">
        <f>SUMIFS('P &amp; NP'!$C$8:$WL$8,'P &amp; NP'!$C$5:$WL$5,"NPT",'P &amp; NP'!$C$2:$WL$2,"MAGETAN")</f>
        <v>0</v>
      </c>
      <c r="T19" s="519">
        <f>SUMIFS('P &amp; NP'!$C$9:$WL$9,'P &amp; NP'!$C$5:$WL$5,"PT",'P &amp; NP'!$C$2:$WL$2,"MAGETAN")</f>
        <v>0</v>
      </c>
      <c r="U19" s="519">
        <f>SUMIFS('P &amp; NP'!$C$9:$WL$9,'P &amp; NP'!$C$5:$WL$5,"NPT",'P &amp; NP'!$C$2:$WL$2,"MAGETAN")</f>
        <v>0</v>
      </c>
      <c r="V19" s="519">
        <f>SUMIFS('P &amp; NP'!$C$10:$WL$10,'P &amp; NP'!$C$5:$WL$5,"PT",'P &amp; NP'!$C$2:$WL$2,"MAGETAN")</f>
        <v>0</v>
      </c>
      <c r="W19" s="519">
        <f>SUMIFS('P &amp; NP'!$C$10:$WL$10,'P &amp; NP'!$C$5:$WL$5,"NPT",'P &amp; NP'!$C$2:$WL$2,"MAGETAN")</f>
        <v>0</v>
      </c>
      <c r="Y19" s="502">
        <f ca="1">SUMIF(AA$5:$AH17,$Y$1,AA19:AH19)</f>
        <v>0</v>
      </c>
      <c r="Z19" s="512">
        <f t="shared" si="12"/>
        <v>0</v>
      </c>
      <c r="AA19" s="519">
        <f>SUMIFS('P &amp; NP'!$C$7:$WL$7,'P &amp; NP'!$C$5:$WL$5,"PS",'P &amp; NP'!$C$2:$WL$2,"MAGETAN")</f>
        <v>0</v>
      </c>
      <c r="AB19" s="519">
        <f>SUMIFS('P &amp; NP'!$C$7:$WL$7,'P &amp; NP'!$C$5:$WL$5,"NPS",'P &amp; NP'!$C$2:$WL$2,"MAGETAN")</f>
        <v>0</v>
      </c>
      <c r="AC19" s="519">
        <f>SUMIFS('P &amp; NP'!$C$8:$WL$8,'P &amp; NP'!$C$5:$WL$5,"PS",'P &amp; NP'!$C$2:$WL$2,"MAGETAN")</f>
        <v>0</v>
      </c>
      <c r="AD19" s="519">
        <f>SUMIFS('P &amp; NP'!$C$8:$WL$8,'P &amp; NP'!$C$5:$WL$5,"NPS",'P &amp; NP'!$C$2:$WL$2,"MAGETAN")</f>
        <v>0</v>
      </c>
      <c r="AE19" s="519">
        <f>SUMIFS('P &amp; NP'!$C$9:$WL$9,'P &amp; NP'!$C$5:$WL$5,"PS",'P &amp; NP'!$C$2:$WL$2,"MAGETAN")</f>
        <v>0</v>
      </c>
      <c r="AF19" s="519">
        <f>SUMIFS('P &amp; NP'!$C$9:$WL$9,'P &amp; NP'!$C$5:$WL$5,"NPS",'P &amp; NP'!$C$2:$WL$2,"MAGETAN")</f>
        <v>0</v>
      </c>
      <c r="AG19" s="519">
        <f>SUMIFS('P &amp; NP'!$C$10:$WL$10,'P &amp; NP'!$C$5:$WL$5,"PS",'P &amp; NP'!$C$2:$WL$2,"MAGETAN")</f>
        <v>0</v>
      </c>
      <c r="AH19" s="519">
        <f>SUMIFS('P &amp; NP'!$C$10:$WL$10,'P &amp; NP'!$C$5:$WL$5,"NPS",'P &amp; NP'!$C$2:$WL$2,"MAGETAN")</f>
        <v>0</v>
      </c>
      <c r="AJ19" s="502">
        <f t="shared" si="13"/>
        <v>1858550</v>
      </c>
      <c r="AK19" s="512">
        <f t="shared" si="14"/>
        <v>36091175</v>
      </c>
      <c r="AL19" s="519">
        <f>SUMIFS('P &amp; NP'!$C$7:$WL$7,'P &amp; NP'!$C$5:$WL$5,"PK",'P &amp; NP'!$C$2:$WL$2,"MAGETAN")</f>
        <v>483050</v>
      </c>
      <c r="AM19" s="519">
        <f>SUMIFS('P &amp; NP'!$C$7:$WL$7,'P &amp; NP'!$C$5:$WL$5,"NPK",'P &amp; NP'!$C$2:$WL$2,"MAGETAN")</f>
        <v>9441975</v>
      </c>
      <c r="AN19" s="519">
        <f>SUMIFS('P &amp; NP'!$C$8:$WL$8,'P &amp; NP'!$C$5:$WL$5,"PK",'P &amp; NP'!$C$2:$WL$2,"MAGETAN")</f>
        <v>483300</v>
      </c>
      <c r="AO19" s="519">
        <f>SUMIFS('P &amp; NP'!$C$8:$WL$8,'P &amp; NP'!$C$5:$WL$5,"NPK",'P &amp; NP'!$C$2:$WL$2,"MAGETAN")</f>
        <v>9431600</v>
      </c>
      <c r="AP19" s="519">
        <f>SUMIFS('P &amp; NP'!$C$9:$WL$9,'P &amp; NP'!$C$5:$WL$5,"PK",'P &amp; NP'!$C$2:$WL$2,"MAGETAN")</f>
        <v>430600</v>
      </c>
      <c r="AQ19" s="519">
        <f>SUMIFS('P &amp; NP'!$C$9:$WL$9,'P &amp; NP'!$C$5:$WL$5,"NPK",'P &amp; NP'!$C$2:$WL$2,"MAGETAN")</f>
        <v>8337450</v>
      </c>
      <c r="AR19" s="519">
        <f>SUMIFS('P &amp; NP'!$C$10:$WL$10,'P &amp; NP'!$C$5:$WL$5,"PK",'P &amp; NP'!$C$2:$WL$2,"MAGETAN")</f>
        <v>461600</v>
      </c>
      <c r="AS19" s="519">
        <f>SUMIFS('P &amp; NP'!$C$10:$WL$10,'P &amp; NP'!$C$5:$WL$5,"NPK",'P &amp; NP'!$C$2:$WL$2,"MAGETAN")</f>
        <v>8880150</v>
      </c>
      <c r="AU19" s="502">
        <f t="shared" si="15"/>
        <v>0</v>
      </c>
      <c r="AV19" s="512">
        <f t="shared" si="16"/>
        <v>0</v>
      </c>
      <c r="AW19" s="519">
        <f>SUMIFS('P &amp; NP'!$C$7:$WL$7,'P &amp; NP'!$C$5:$WL$5,"PM",'P &amp; NP'!$C$2:$WL$2,"MAGETAN")</f>
        <v>0</v>
      </c>
      <c r="AX19" s="519">
        <f>SUMIFS('P &amp; NP'!$C$7:$WL$7,'P &amp; NP'!$C$5:$WL$5,"NPM",'P &amp; NP'!$C$2:$WL$2,"MAGETAN")</f>
        <v>0</v>
      </c>
      <c r="AY19" s="519">
        <f>SUMIFS('P &amp; NP'!$C$8:$WL$8,'P &amp; NP'!$C$5:$WL$5,"PM",'P &amp; NP'!$C$2:$WL$2,"MAGETAN")</f>
        <v>0</v>
      </c>
      <c r="AZ19" s="519">
        <f>SUMIFS('P &amp; NP'!$C$8:$WL$8,'P &amp; NP'!$C$5:$WL$5,"NPM",'P &amp; NP'!$C$2:$WL$2,"MAGETAN")</f>
        <v>0</v>
      </c>
      <c r="BA19" s="519">
        <f>SUMIFS('P &amp; NP'!$C$9:$WL$9,'P &amp; NP'!$C$5:$WL$5,"PM",'P &amp; NP'!$C$2:$WL$2,"MAGETAN")</f>
        <v>0</v>
      </c>
      <c r="BB19" s="519">
        <f>SUMIFS('P &amp; NP'!$C$9:$WL$9,'P &amp; NP'!$C$5:$WL$5,"NPM",'P &amp; NP'!$C$2:$WL$2,"MAGETAN")</f>
        <v>0</v>
      </c>
      <c r="BC19" s="519">
        <f>SUMIFS('P &amp; NP'!$C$10:$WL$10,'P &amp; NP'!$C$5:$WL$5,"PM",'P &amp; NP'!$C$2:$WL$2,"MAGETAN")</f>
        <v>0</v>
      </c>
      <c r="BD19" s="519">
        <f>SUMIFS('P &amp; NP'!$C$10:$WL$10,'P &amp; NP'!$C$5:$WL$5,"NPM",'P &amp; NP'!$C$2:$WL$2,"MAGETAN")</f>
        <v>0</v>
      </c>
      <c r="BF19" s="502">
        <f t="shared" si="17"/>
        <v>0</v>
      </c>
      <c r="BG19" s="512">
        <f t="shared" si="18"/>
        <v>0</v>
      </c>
      <c r="BH19" s="519">
        <f>SUMIFS('P &amp; NP'!$C$7:$WL$7,'P &amp; NP'!$C$5:$WL$5,"PB",'P &amp; NP'!$C$2:$WL$2,"MAGETAN")</f>
        <v>0</v>
      </c>
      <c r="BI19" s="519">
        <f>SUMIFS('P &amp; NP'!$C$7:$WL$7,'P &amp; NP'!$C$5:$WL$5,"NPB",'P &amp; NP'!$C$2:$WL$2,"MAGETAN")</f>
        <v>0</v>
      </c>
      <c r="BJ19" s="519">
        <f>SUMIFS('P &amp; NP'!$C$8:$WL$8,'P &amp; NP'!$C$5:$WL$5,"PB",'P &amp; NP'!$C$2:$WL$2,"MAGETAN")</f>
        <v>0</v>
      </c>
      <c r="BK19" s="519">
        <f>SUMIFS('P &amp; NP'!$C$8:$WL$8,'P &amp; NP'!$C$5:$WL$5,"NPB",'P &amp; NP'!$C$2:$WL$2,"MAGETAN")</f>
        <v>0</v>
      </c>
      <c r="BL19" s="519">
        <f>SUMIFS('P &amp; NP'!$C$9:$WL$9,'P &amp; NP'!$C$5:$WL$5,"PB",'P &amp; NP'!$C$2:$WL$2,"MAGETAN")</f>
        <v>0</v>
      </c>
      <c r="BM19" s="519">
        <f>SUMIFS('P &amp; NP'!$C$9:$WL$9,'P &amp; NP'!$C$5:$WL$5,"NPB",'P &amp; NP'!$C$2:$WL$2,"MAGETAN")</f>
        <v>0</v>
      </c>
      <c r="BN19" s="519">
        <f>SUMIFS('P &amp; NP'!$C$10:$WL$10,'P &amp; NP'!$C$5:$WL$5,"PB",'P &amp; NP'!$C$2:$WL$2,"MAGETAN")</f>
        <v>0</v>
      </c>
      <c r="BO19" s="519">
        <f>SUMIFS('P &amp; NP'!$C$10:$WL$10,'P &amp; NP'!$C$5:$WL$5,"NPB",'P &amp; NP'!$C$2:$WL$2,"MAGETAN")</f>
        <v>0</v>
      </c>
      <c r="BQ19" s="502">
        <f t="shared" si="19"/>
        <v>1730</v>
      </c>
      <c r="BR19" s="512">
        <f t="shared" si="20"/>
        <v>47980</v>
      </c>
      <c r="BS19" s="519">
        <f>SUMIFS('P &amp; NP'!$C$7:$WL$7,'P &amp; NP'!$C$5:$WL$5,"PJ",'P &amp; NP'!$C$2:$WL$2,"MAGETAN")</f>
        <v>530</v>
      </c>
      <c r="BT19" s="519">
        <f>SUMIFS('P &amp; NP'!$C$7:$WL$7,'P &amp; NP'!$C$5:$WL$5,"NPJ",'P &amp; NP'!$C$2:$WL$2,"MAGETAN")</f>
        <v>14550</v>
      </c>
      <c r="BU19" s="519">
        <f>SUMIFS('P &amp; NP'!$C$8:$WL$8,'P &amp; NP'!$C$5:$WL$5,"PJ",'P &amp; NP'!$C$2:$WL$2,"MAGETAN")</f>
        <v>400</v>
      </c>
      <c r="BV19" s="519">
        <f>SUMIFS('P &amp; NP'!$C$8:$WL$8,'P &amp; NP'!$C$5:$WL$5,"NPJ",'P &amp; NP'!$C$2:$WL$2,"MAGETAN")</f>
        <v>10850</v>
      </c>
      <c r="BW19" s="519">
        <f>SUMIFS('P &amp; NP'!$C$9:$WL$9,'P &amp; NP'!$C$5:$WL$5,"PJ",'P &amp; NP'!$C$2:$WL$2,"MAGETAN")</f>
        <v>390</v>
      </c>
      <c r="BX19" s="519">
        <f>SUMIFS('P &amp; NP'!$C$9:$WL$9,'P &amp; NP'!$C$5:$WL$5,"NPJ",'P &amp; NP'!$C$2:$WL$2,"MAGETAN")</f>
        <v>11135</v>
      </c>
      <c r="BY19" s="519">
        <f>SUMIFS('P &amp; NP'!$C$10:$WL$10,'P &amp; NP'!$C$5:$WL$5,"PJ",'P &amp; NP'!$C$2:$WL$2,"MAGETAN")</f>
        <v>410</v>
      </c>
      <c r="BZ19" s="519">
        <f>SUMIFS('P &amp; NP'!$C$10:$WL$10,'P &amp; NP'!$C$5:$WL$5,"NPJ",'P &amp; NP'!$C$2:$WL$2,"MAGETAN")</f>
        <v>11445</v>
      </c>
      <c r="CB19" s="502">
        <f t="shared" si="21"/>
        <v>1860280</v>
      </c>
      <c r="CC19" s="512">
        <f t="shared" si="22"/>
        <v>36139155</v>
      </c>
      <c r="CD19" s="519">
        <f t="shared" si="23"/>
        <v>483580</v>
      </c>
      <c r="CE19" s="519">
        <f t="shared" si="24"/>
        <v>9456525</v>
      </c>
      <c r="CF19" s="519">
        <f t="shared" si="25"/>
        <v>483700</v>
      </c>
      <c r="CG19" s="519">
        <f t="shared" si="26"/>
        <v>9442450</v>
      </c>
      <c r="CH19" s="519">
        <f t="shared" si="27"/>
        <v>430990</v>
      </c>
      <c r="CI19" s="519">
        <f t="shared" si="28"/>
        <v>8348585</v>
      </c>
      <c r="CJ19" s="519">
        <f t="shared" si="29"/>
        <v>462010</v>
      </c>
      <c r="CK19" s="519">
        <f t="shared" si="30"/>
        <v>8891595</v>
      </c>
    </row>
    <row r="20" spans="1:89">
      <c r="A20" s="509"/>
      <c r="B20" s="484" t="s">
        <v>118</v>
      </c>
      <c r="C20" s="502">
        <f t="shared" si="8"/>
        <v>0</v>
      </c>
      <c r="D20" s="512">
        <f t="shared" si="9"/>
        <v>0</v>
      </c>
      <c r="E20" s="519">
        <f>SUMIFS('P &amp; NP'!$C$7:$WL$7,'P &amp; NP'!$C$5:$WL$5,"PL",'P &amp; NP'!$C$2:$WL$2,"MALANG")</f>
        <v>0</v>
      </c>
      <c r="F20" s="519">
        <f>SUMIFS('P &amp; NP'!$C$7:$WL$7,'P &amp; NP'!$C$5:$WL$5,"NPL",'P &amp; NP'!$C$2:$WL$2,"MALANG")</f>
        <v>0</v>
      </c>
      <c r="G20" s="519">
        <f>SUMIFS('P &amp; NP'!$C$8:$WL$8,'P &amp; NP'!$C$5:$WL$5,"PL",'P &amp; NP'!$C$2:$WL$2,"MALANG")</f>
        <v>0</v>
      </c>
      <c r="H20" s="519">
        <f>SUMIFS('P &amp; NP'!$C$8:$WL$8,'P &amp; NP'!$C$5:$WL$5,"NPL",'P &amp; NP'!$C$2:$WL$2,"MALANG")</f>
        <v>0</v>
      </c>
      <c r="I20" s="519">
        <f>SUMIFS('P &amp; NP'!$C$9:$WL$9,'P &amp; NP'!$C$5:$WL$5,"PL",'P &amp; NP'!$C$2:$WL$2,"MALANG")</f>
        <v>0</v>
      </c>
      <c r="J20" s="519">
        <f>SUMIFS('P &amp; NP'!$C$9:$WL$9,'P &amp; NP'!$C$5:$WL$5,"NPL",'P &amp; NP'!$C$2:$WL$2,"MALANG")</f>
        <v>0</v>
      </c>
      <c r="K20" s="519">
        <f>SUMIFS('P &amp; NP'!$C$10:$WL$10,'P &amp; NP'!$C$5:$WL$5,"PL",'P &amp; NP'!$C$2:$WL$2,"MALANG")</f>
        <v>0</v>
      </c>
      <c r="L20" s="519">
        <f>SUMIFS('P &amp; NP'!$C$10:$WL$10,'P &amp; NP'!$C$5:$WL$5,"NPL",'P &amp; NP'!$C$2:$WL$2,"MALANG")</f>
        <v>0</v>
      </c>
      <c r="N20" s="502">
        <f t="shared" si="10"/>
        <v>1640000</v>
      </c>
      <c r="O20" s="512">
        <f t="shared" si="11"/>
        <v>104135000</v>
      </c>
      <c r="P20" s="519">
        <f>SUMIFS('P &amp; NP'!$C$7:$WL$7,'P &amp; NP'!$C$5:$WL$5,"PT",'P &amp; NP'!$C$2:$WL$2,"MALANG")</f>
        <v>310000</v>
      </c>
      <c r="Q20" s="519">
        <f>SUMIFS('P &amp; NP'!$C$7:$WL$7,'P &amp; NP'!$C$5:$WL$5,"NPT",'P &amp; NP'!$C$2:$WL$2,"MALANG")</f>
        <v>16825000</v>
      </c>
      <c r="R20" s="519">
        <f>SUMIFS('P &amp; NP'!$C$8:$WL$8,'P &amp; NP'!$C$5:$WL$5,"PT",'P &amp; NP'!$C$2:$WL$2,"MALANG")</f>
        <v>435000</v>
      </c>
      <c r="S20" s="519">
        <f>SUMIFS('P &amp; NP'!$C$8:$WL$8,'P &amp; NP'!$C$5:$WL$5,"NPT",'P &amp; NP'!$C$2:$WL$2,"MALANG")</f>
        <v>25580000</v>
      </c>
      <c r="T20" s="519">
        <f>SUMIFS('P &amp; NP'!$C$9:$WL$9,'P &amp; NP'!$C$5:$WL$5,"PT",'P &amp; NP'!$C$2:$WL$2,"MALANG")</f>
        <v>425000</v>
      </c>
      <c r="U20" s="519">
        <f>SUMIFS('P &amp; NP'!$C$9:$WL$9,'P &amp; NP'!$C$5:$WL$5,"NPT",'P &amp; NP'!$C$2:$WL$2,"MALANG")</f>
        <v>29750000</v>
      </c>
      <c r="V20" s="519">
        <f>SUMIFS('P &amp; NP'!$C$10:$WL$10,'P &amp; NP'!$C$5:$WL$5,"PT",'P &amp; NP'!$C$2:$WL$2,"MALANG")</f>
        <v>470000</v>
      </c>
      <c r="W20" s="519">
        <f>SUMIFS('P &amp; NP'!$C$10:$WL$10,'P &amp; NP'!$C$5:$WL$5,"NPT",'P &amp; NP'!$C$2:$WL$2,"MALANG")</f>
        <v>31980000</v>
      </c>
      <c r="Y20" s="502">
        <f ca="1">SUMIF(AA$5:$AH18,$Y$1,AA20:AH20)</f>
        <v>0</v>
      </c>
      <c r="Z20" s="512">
        <f t="shared" si="12"/>
        <v>0</v>
      </c>
      <c r="AA20" s="519">
        <f>SUMIFS('P &amp; NP'!$C$7:$WL$7,'P &amp; NP'!$C$5:$WL$5,"PS",'P &amp; NP'!$C$2:$WL$2,"MALANG")</f>
        <v>0</v>
      </c>
      <c r="AB20" s="519">
        <f>SUMIFS('P &amp; NP'!$C$7:$WL$7,'P &amp; NP'!$C$5:$WL$5,"NPS",'P &amp; NP'!$C$2:$WL$2,"MALANG")</f>
        <v>0</v>
      </c>
      <c r="AC20" s="519">
        <f>SUMIFS('P &amp; NP'!$C$8:$WL$8,'P &amp; NP'!$C$5:$WL$5,"PS",'P &amp; NP'!$C$2:$WL$2,"MALANG")</f>
        <v>0</v>
      </c>
      <c r="AD20" s="519">
        <f>SUMIFS('P &amp; NP'!$C$8:$WL$8,'P &amp; NP'!$C$5:$WL$5,"NPS",'P &amp; NP'!$C$2:$WL$2,"MALANG")</f>
        <v>0</v>
      </c>
      <c r="AE20" s="519">
        <f>SUMIFS('P &amp; NP'!$C$9:$WL$9,'P &amp; NP'!$C$5:$WL$5,"PS",'P &amp; NP'!$C$2:$WL$2,"MALANG")</f>
        <v>0</v>
      </c>
      <c r="AF20" s="519">
        <f>SUMIFS('P &amp; NP'!$C$9:$WL$9,'P &amp; NP'!$C$5:$WL$5,"NPS",'P &amp; NP'!$C$2:$WL$2,"MALANG")</f>
        <v>0</v>
      </c>
      <c r="AG20" s="519">
        <f>SUMIFS('P &amp; NP'!$C$10:$WL$10,'P &amp; NP'!$C$5:$WL$5,"PS",'P &amp; NP'!$C$2:$WL$2,"MALANG")</f>
        <v>0</v>
      </c>
      <c r="AH20" s="519">
        <f>SUMIFS('P &amp; NP'!$C$10:$WL$10,'P &amp; NP'!$C$5:$WL$5,"NPS",'P &amp; NP'!$C$2:$WL$2,"MALANG")</f>
        <v>0</v>
      </c>
      <c r="AJ20" s="502">
        <f t="shared" si="13"/>
        <v>7364300</v>
      </c>
      <c r="AK20" s="512">
        <f t="shared" si="14"/>
        <v>134808000</v>
      </c>
      <c r="AL20" s="519">
        <f>SUMIFS('P &amp; NP'!$C$7:$WL$7,'P &amp; NP'!$C$5:$WL$5,"PK",'P &amp; NP'!$C$2:$WL$2,"MALANG")</f>
        <v>1861300</v>
      </c>
      <c r="AM20" s="519">
        <f>SUMIFS('P &amp; NP'!$C$7:$WL$7,'P &amp; NP'!$C$5:$WL$5,"NPK",'P &amp; NP'!$C$2:$WL$2,"MALANG")</f>
        <v>32617500</v>
      </c>
      <c r="AN20" s="519">
        <f>SUMIFS('P &amp; NP'!$C$8:$WL$8,'P &amp; NP'!$C$5:$WL$5,"PK",'P &amp; NP'!$C$2:$WL$2,"MALANG")</f>
        <v>1786500</v>
      </c>
      <c r="AO20" s="519">
        <f>SUMIFS('P &amp; NP'!$C$8:$WL$8,'P &amp; NP'!$C$5:$WL$5,"NPK",'P &amp; NP'!$C$2:$WL$2,"MALANG")</f>
        <v>33131500</v>
      </c>
      <c r="AP20" s="519">
        <f>SUMIFS('P &amp; NP'!$C$9:$WL$9,'P &amp; NP'!$C$5:$WL$5,"PK",'P &amp; NP'!$C$2:$WL$2,"MALANG")</f>
        <v>1682000</v>
      </c>
      <c r="AQ20" s="519">
        <f>SUMIFS('P &amp; NP'!$C$9:$WL$9,'P &amp; NP'!$C$5:$WL$5,"NPK",'P &amp; NP'!$C$2:$WL$2,"MALANG")</f>
        <v>30770000</v>
      </c>
      <c r="AR20" s="519">
        <f>SUMIFS('P &amp; NP'!$C$10:$WL$10,'P &amp; NP'!$C$5:$WL$5,"PK",'P &amp; NP'!$C$2:$WL$2,"MALANG")</f>
        <v>2034500</v>
      </c>
      <c r="AS20" s="519">
        <f>SUMIFS('P &amp; NP'!$C$10:$WL$10,'P &amp; NP'!$C$5:$WL$5,"NPK",'P &amp; NP'!$C$2:$WL$2,"MALANG")</f>
        <v>38289000</v>
      </c>
      <c r="AU20" s="502">
        <f t="shared" si="15"/>
        <v>0</v>
      </c>
      <c r="AV20" s="512">
        <f t="shared" si="16"/>
        <v>0</v>
      </c>
      <c r="AW20" s="519">
        <f>SUMIFS('P &amp; NP'!$C$7:$WL$7,'P &amp; NP'!$C$5:$WL$5,"PM",'P &amp; NP'!$C$2:$WL$2,"MALANG")</f>
        <v>0</v>
      </c>
      <c r="AX20" s="519">
        <f>SUMIFS('P &amp; NP'!$C$7:$WL$7,'P &amp; NP'!$C$5:$WL$5,"NPM",'P &amp; NP'!$C$2:$WL$2,"MALANG")</f>
        <v>0</v>
      </c>
      <c r="AY20" s="519">
        <f>SUMIFS('P &amp; NP'!$C$8:$WL$8,'P &amp; NP'!$C$5:$WL$5,"PM",'P &amp; NP'!$C$2:$WL$2,"MALANG")</f>
        <v>0</v>
      </c>
      <c r="AZ20" s="519">
        <f>SUMIFS('P &amp; NP'!$C$8:$WL$8,'P &amp; NP'!$C$5:$WL$5,"NPM",'P &amp; NP'!$C$2:$WL$2,"MALANG")</f>
        <v>0</v>
      </c>
      <c r="BA20" s="519">
        <f>SUMIFS('P &amp; NP'!$C$9:$WL$9,'P &amp; NP'!$C$5:$WL$5,"PM",'P &amp; NP'!$C$2:$WL$2,"MALANG")</f>
        <v>0</v>
      </c>
      <c r="BB20" s="519">
        <f>SUMIFS('P &amp; NP'!$C$9:$WL$9,'P &amp; NP'!$C$5:$WL$5,"NPM",'P &amp; NP'!$C$2:$WL$2,"MALANG")</f>
        <v>0</v>
      </c>
      <c r="BC20" s="519">
        <f>SUMIFS('P &amp; NP'!$C$10:$WL$10,'P &amp; NP'!$C$5:$WL$5,"PM",'P &amp; NP'!$C$2:$WL$2,"MALANG")</f>
        <v>0</v>
      </c>
      <c r="BD20" s="519">
        <f>SUMIFS('P &amp; NP'!$C$10:$WL$10,'P &amp; NP'!$C$5:$WL$5,"NPM",'P &amp; NP'!$C$2:$WL$2,"MALANG")</f>
        <v>0</v>
      </c>
      <c r="BF20" s="502">
        <f t="shared" si="17"/>
        <v>0</v>
      </c>
      <c r="BG20" s="512">
        <f t="shared" si="18"/>
        <v>0</v>
      </c>
      <c r="BH20" s="519">
        <f>SUMIFS('P &amp; NP'!$C$7:$WL$7,'P &amp; NP'!$C$5:$WL$5,"PB",'P &amp; NP'!$C$2:$WL$2,"MALANG")</f>
        <v>0</v>
      </c>
      <c r="BI20" s="519">
        <f>SUMIFS('P &amp; NP'!$C$7:$WL$7,'P &amp; NP'!$C$5:$WL$5,"NPB",'P &amp; NP'!$C$2:$WL$2,"MALANG")</f>
        <v>0</v>
      </c>
      <c r="BJ20" s="519">
        <f>SUMIFS('P &amp; NP'!$C$8:$WL$8,'P &amp; NP'!$C$5:$WL$5,"PB",'P &amp; NP'!$C$2:$WL$2,"MALANG")</f>
        <v>0</v>
      </c>
      <c r="BK20" s="519">
        <f>SUMIFS('P &amp; NP'!$C$8:$WL$8,'P &amp; NP'!$C$5:$WL$5,"NPB",'P &amp; NP'!$C$2:$WL$2,"MALANG")</f>
        <v>0</v>
      </c>
      <c r="BL20" s="519">
        <f>SUMIFS('P &amp; NP'!$C$9:$WL$9,'P &amp; NP'!$C$5:$WL$5,"PB",'P &amp; NP'!$C$2:$WL$2,"MALANG")</f>
        <v>0</v>
      </c>
      <c r="BM20" s="519">
        <f>SUMIFS('P &amp; NP'!$C$9:$WL$9,'P &amp; NP'!$C$5:$WL$5,"NPB",'P &amp; NP'!$C$2:$WL$2,"MALANG")</f>
        <v>0</v>
      </c>
      <c r="BN20" s="519">
        <f>SUMIFS('P &amp; NP'!$C$10:$WL$10,'P &amp; NP'!$C$5:$WL$5,"PB",'P &amp; NP'!$C$2:$WL$2,"MALANG")</f>
        <v>0</v>
      </c>
      <c r="BO20" s="519">
        <f>SUMIFS('P &amp; NP'!$C$10:$WL$10,'P &amp; NP'!$C$5:$WL$5,"NPB",'P &amp; NP'!$C$2:$WL$2,"MALANG")</f>
        <v>0</v>
      </c>
      <c r="BQ20" s="502">
        <f t="shared" si="19"/>
        <v>4260000</v>
      </c>
      <c r="BR20" s="512">
        <f t="shared" si="20"/>
        <v>96700000</v>
      </c>
      <c r="BS20" s="519">
        <f>SUMIFS('P &amp; NP'!$C$7:$WL$7,'P &amp; NP'!$C$5:$WL$5,"PJ",'P &amp; NP'!$C$2:$WL$2,"MALANG")</f>
        <v>1650000</v>
      </c>
      <c r="BT20" s="519">
        <f>SUMIFS('P &amp; NP'!$C$7:$WL$7,'P &amp; NP'!$C$5:$WL$5,"NPJ",'P &amp; NP'!$C$2:$WL$2,"MALANG")</f>
        <v>37950000</v>
      </c>
      <c r="BU20" s="519">
        <f>SUMIFS('P &amp; NP'!$C$8:$WL$8,'P &amp; NP'!$C$5:$WL$5,"PJ",'P &amp; NP'!$C$2:$WL$2,"MALANG")</f>
        <v>1200000</v>
      </c>
      <c r="BV20" s="519">
        <f>SUMIFS('P &amp; NP'!$C$8:$WL$8,'P &amp; NP'!$C$5:$WL$5,"NPJ",'P &amp; NP'!$C$2:$WL$2,"MALANG")</f>
        <v>27250000</v>
      </c>
      <c r="BW20" s="519">
        <f>SUMIFS('P &amp; NP'!$C$9:$WL$9,'P &amp; NP'!$C$5:$WL$5,"PJ",'P &amp; NP'!$C$2:$WL$2,"MALANG")</f>
        <v>310000</v>
      </c>
      <c r="BX20" s="519">
        <f>SUMIFS('P &amp; NP'!$C$9:$WL$9,'P &amp; NP'!$C$5:$WL$5,"NPJ",'P &amp; NP'!$C$2:$WL$2,"MALANG")</f>
        <v>6200000</v>
      </c>
      <c r="BY20" s="519">
        <f>SUMIFS('P &amp; NP'!$C$10:$WL$10,'P &amp; NP'!$C$5:$WL$5,"PJ",'P &amp; NP'!$C$2:$WL$2,"MALANG")</f>
        <v>1100000</v>
      </c>
      <c r="BZ20" s="519">
        <f>SUMIFS('P &amp; NP'!$C$10:$WL$10,'P &amp; NP'!$C$5:$WL$5,"NPJ",'P &amp; NP'!$C$2:$WL$2,"MALANG")</f>
        <v>25300000</v>
      </c>
      <c r="CB20" s="502">
        <f t="shared" si="21"/>
        <v>13264300</v>
      </c>
      <c r="CC20" s="512">
        <f t="shared" si="22"/>
        <v>335643000</v>
      </c>
      <c r="CD20" s="519">
        <f t="shared" si="23"/>
        <v>3821300</v>
      </c>
      <c r="CE20" s="519">
        <f t="shared" si="24"/>
        <v>87392500</v>
      </c>
      <c r="CF20" s="519">
        <f t="shared" si="25"/>
        <v>3421500</v>
      </c>
      <c r="CG20" s="519">
        <f t="shared" si="26"/>
        <v>85961500</v>
      </c>
      <c r="CH20" s="519">
        <f t="shared" si="27"/>
        <v>2417000</v>
      </c>
      <c r="CI20" s="519">
        <f t="shared" si="28"/>
        <v>66720000</v>
      </c>
      <c r="CJ20" s="519">
        <f t="shared" si="29"/>
        <v>3604500</v>
      </c>
      <c r="CK20" s="519">
        <f t="shared" si="30"/>
        <v>95569000</v>
      </c>
    </row>
    <row r="21" spans="1:89">
      <c r="A21" s="509"/>
      <c r="B21" s="484" t="s">
        <v>127</v>
      </c>
      <c r="C21" s="502">
        <f t="shared" si="8"/>
        <v>0</v>
      </c>
      <c r="D21" s="512">
        <f t="shared" si="9"/>
        <v>0</v>
      </c>
      <c r="E21" s="519">
        <f>SUMIFS('P &amp; NP'!$C$7:$WL$7,'P &amp; NP'!$C$5:$WL$5,"PL",'P &amp; NP'!$C$2:$WL$2,"MOJOKERTO")</f>
        <v>0</v>
      </c>
      <c r="F21" s="519">
        <f>SUMIFS('P &amp; NP'!$C$7:$WL$7,'P &amp; NP'!$C$5:$WL$5,"NPL",'P &amp; NP'!$C$2:$WL$2,"MOJOKERTO")</f>
        <v>0</v>
      </c>
      <c r="G21" s="519">
        <f>SUMIFS('P &amp; NP'!$C$8:$WL$8,'P &amp; NP'!$C$5:$WL$5,"PL",'P &amp; NP'!$C$2:$WL$2,"MOJOKERTO")</f>
        <v>0</v>
      </c>
      <c r="H21" s="519">
        <f>SUMIFS('P &amp; NP'!$C$8:$WL$8,'P &amp; NP'!$C$5:$WL$5,"NPL",'P &amp; NP'!$C$2:$WL$2,"MOJOKERTO")</f>
        <v>0</v>
      </c>
      <c r="I21" s="519">
        <f>SUMIFS('P &amp; NP'!$C$9:$WL$9,'P &amp; NP'!$C$5:$WL$5,"PL",'P &amp; NP'!$C$2:$WL$2,"MOJOKERTO")</f>
        <v>0</v>
      </c>
      <c r="J21" s="519">
        <f>SUMIFS('P &amp; NP'!$C$9:$WL$9,'P &amp; NP'!$C$5:$WL$5,"NPL",'P &amp; NP'!$C$2:$WL$2,"MOJOKERTO")</f>
        <v>0</v>
      </c>
      <c r="K21" s="519">
        <f>SUMIFS('P &amp; NP'!$C$10:$WL$10,'P &amp; NP'!$C$5:$WL$5,"PL",'P &amp; NP'!$C$2:$WL$2,"MOJOKERTO")</f>
        <v>0</v>
      </c>
      <c r="L21" s="519">
        <f>SUMIFS('P &amp; NP'!$C$10:$WL$10,'P &amp; NP'!$C$5:$WL$5,"NPL",'P &amp; NP'!$C$2:$WL$2,"MOJOKERTO")</f>
        <v>0</v>
      </c>
      <c r="N21" s="502">
        <f t="shared" si="10"/>
        <v>0</v>
      </c>
      <c r="O21" s="512">
        <f t="shared" si="11"/>
        <v>0</v>
      </c>
      <c r="P21" s="519">
        <f>SUMIFS('P &amp; NP'!$C$7:$WL$7,'P &amp; NP'!$C$5:$WL$5,"PT",'P &amp; NP'!$C$2:$WL$2,"MOJOKERTO")</f>
        <v>0</v>
      </c>
      <c r="Q21" s="519">
        <f>SUMIFS('P &amp; NP'!$C$7:$WL$7,'P &amp; NP'!$C$5:$WL$5,"NPT",'P &amp; NP'!$C$2:$WL$2,"MOJOKERTO")</f>
        <v>0</v>
      </c>
      <c r="R21" s="519">
        <f>SUMIFS('P &amp; NP'!$C$8:$WL$8,'P &amp; NP'!$C$5:$WL$5,"PT",'P &amp; NP'!$C$2:$WL$2,"MOJOKERTO")</f>
        <v>0</v>
      </c>
      <c r="S21" s="519">
        <f>SUMIFS('P &amp; NP'!$C$8:$WL$8,'P &amp; NP'!$C$5:$WL$5,"NPT",'P &amp; NP'!$C$2:$WL$2,"MOJOKERTO")</f>
        <v>0</v>
      </c>
      <c r="T21" s="519">
        <f>SUMIFS('P &amp; NP'!$C$9:$WL$9,'P &amp; NP'!$C$5:$WL$5,"PT",'P &amp; NP'!$C$2:$WL$2,"MOJOKERTO")</f>
        <v>0</v>
      </c>
      <c r="U21" s="519">
        <f>SUMIFS('P &amp; NP'!$C$9:$WL$9,'P &amp; NP'!$C$5:$WL$5,"NPT",'P &amp; NP'!$C$2:$WL$2,"MOJOKERTO")</f>
        <v>0</v>
      </c>
      <c r="V21" s="519">
        <f>SUMIFS('P &amp; NP'!$C$10:$WL$10,'P &amp; NP'!$C$5:$WL$5,"PT",'P &amp; NP'!$C$2:$WL$2,"MOJOKERTO")</f>
        <v>0</v>
      </c>
      <c r="W21" s="519">
        <f>SUMIFS('P &amp; NP'!$C$10:$WL$10,'P &amp; NP'!$C$5:$WL$5,"NPT",'P &amp; NP'!$C$2:$WL$2,"MOJOKERTO")</f>
        <v>0</v>
      </c>
      <c r="Y21" s="502">
        <f ca="1">SUMIF(AA$5:$AH19,$Y$1,AA21:AH21)</f>
        <v>0</v>
      </c>
      <c r="Z21" s="512">
        <f t="shared" si="12"/>
        <v>0</v>
      </c>
      <c r="AA21" s="519">
        <f>SUMIFS('P &amp; NP'!$C$7:$WL$7,'P &amp; NP'!$C$5:$WL$5,"PS",'P &amp; NP'!$C$2:$WL$2,"MOJOKERTO")</f>
        <v>0</v>
      </c>
      <c r="AB21" s="519">
        <f>SUMIFS('P &amp; NP'!$C$7:$WL$7,'P &amp; NP'!$C$5:$WL$5,"NPS",'P &amp; NP'!$C$2:$WL$2,"MOJOKERTO")</f>
        <v>0</v>
      </c>
      <c r="AC21" s="519">
        <f>SUMIFS('P &amp; NP'!$C$8:$WL$8,'P &amp; NP'!$C$5:$WL$5,"PS",'P &amp; NP'!$C$2:$WL$2,"MOJOKERTO")</f>
        <v>0</v>
      </c>
      <c r="AD21" s="519">
        <f>SUMIFS('P &amp; NP'!$C$8:$WL$8,'P &amp; NP'!$C$5:$WL$5,"NPS",'P &amp; NP'!$C$2:$WL$2,"MOJOKERTO")</f>
        <v>0</v>
      </c>
      <c r="AE21" s="519">
        <f>SUMIFS('P &amp; NP'!$C$9:$WL$9,'P &amp; NP'!$C$5:$WL$5,"PS",'P &amp; NP'!$C$2:$WL$2,"MOJOKERTO")</f>
        <v>0</v>
      </c>
      <c r="AF21" s="519">
        <f>SUMIFS('P &amp; NP'!$C$9:$WL$9,'P &amp; NP'!$C$5:$WL$5,"NPS",'P &amp; NP'!$C$2:$WL$2,"MOJOKERTO")</f>
        <v>0</v>
      </c>
      <c r="AG21" s="519">
        <f>SUMIFS('P &amp; NP'!$C$10:$WL$10,'P &amp; NP'!$C$5:$WL$5,"PS",'P &amp; NP'!$C$2:$WL$2,"MOJOKERTO")</f>
        <v>0</v>
      </c>
      <c r="AH21" s="519">
        <f>SUMIFS('P &amp; NP'!$C$10:$WL$10,'P &amp; NP'!$C$5:$WL$5,"NPS",'P &amp; NP'!$C$2:$WL$2,"MOJOKERTO")</f>
        <v>0</v>
      </c>
      <c r="AJ21" s="502">
        <f t="shared" si="13"/>
        <v>1813118</v>
      </c>
      <c r="AK21" s="512">
        <f t="shared" si="14"/>
        <v>34905400</v>
      </c>
      <c r="AL21" s="519">
        <f>SUMIFS('P &amp; NP'!$C$7:$WL$7,'P &amp; NP'!$C$5:$WL$5,"PK",'P &amp; NP'!$C$2:$WL$2,"MOJOKERTO")</f>
        <v>459900</v>
      </c>
      <c r="AM21" s="519">
        <f>SUMIFS('P &amp; NP'!$C$7:$WL$7,'P &amp; NP'!$C$5:$WL$5,"NPK",'P &amp; NP'!$C$2:$WL$2,"MOJOKERTO")</f>
        <v>9548430</v>
      </c>
      <c r="AN21" s="519">
        <f>SUMIFS('P &amp; NP'!$C$8:$WL$8,'P &amp; NP'!$C$5:$WL$5,"PK",'P &amp; NP'!$C$2:$WL$2,"MOJOKERTO")</f>
        <v>444160</v>
      </c>
      <c r="AO21" s="519">
        <f>SUMIFS('P &amp; NP'!$C$8:$WL$8,'P &amp; NP'!$C$5:$WL$5,"NPK",'P &amp; NP'!$C$2:$WL$2,"MOJOKERTO")</f>
        <v>8292256</v>
      </c>
      <c r="AP21" s="519">
        <f>SUMIFS('P &amp; NP'!$C$9:$WL$9,'P &amp; NP'!$C$5:$WL$5,"PK",'P &amp; NP'!$C$2:$WL$2,"MOJOKERTO")</f>
        <v>446698</v>
      </c>
      <c r="AQ21" s="519">
        <f>SUMIFS('P &amp; NP'!$C$9:$WL$9,'P &amp; NP'!$C$5:$WL$5,"NPK",'P &amp; NP'!$C$2:$WL$2,"MOJOKERTO")</f>
        <v>8461614</v>
      </c>
      <c r="AR21" s="519">
        <f>SUMIFS('P &amp; NP'!$C$10:$WL$10,'P &amp; NP'!$C$5:$WL$5,"PK",'P &amp; NP'!$C$2:$WL$2,"MOJOKERTO")</f>
        <v>462360</v>
      </c>
      <c r="AS21" s="519">
        <f>SUMIFS('P &amp; NP'!$C$10:$WL$10,'P &amp; NP'!$C$5:$WL$5,"NPK",'P &amp; NP'!$C$2:$WL$2,"MOJOKERTO")</f>
        <v>8603100</v>
      </c>
      <c r="AU21" s="502">
        <f t="shared" si="15"/>
        <v>0</v>
      </c>
      <c r="AV21" s="512">
        <f t="shared" si="16"/>
        <v>0</v>
      </c>
      <c r="AW21" s="519">
        <f>SUMIFS('P &amp; NP'!$C$7:$WL$7,'P &amp; NP'!$C$5:$WL$5,"PM",'P &amp; NP'!$C$2:$WL$2,"MOJOKERTO")</f>
        <v>0</v>
      </c>
      <c r="AX21" s="519">
        <f>SUMIFS('P &amp; NP'!$C$7:$WL$7,'P &amp; NP'!$C$5:$WL$5,"NPM",'P &amp; NP'!$C$2:$WL$2,"MOJOKERTO")</f>
        <v>0</v>
      </c>
      <c r="AY21" s="519">
        <f>SUMIFS('P &amp; NP'!$C$8:$WL$8,'P &amp; NP'!$C$5:$WL$5,"PM",'P &amp; NP'!$C$2:$WL$2,"MOJOKERTO")</f>
        <v>0</v>
      </c>
      <c r="AZ21" s="519">
        <f>SUMIFS('P &amp; NP'!$C$8:$WL$8,'P &amp; NP'!$C$5:$WL$5,"NPM",'P &amp; NP'!$C$2:$WL$2,"MOJOKERTO")</f>
        <v>0</v>
      </c>
      <c r="BA21" s="519">
        <f>SUMIFS('P &amp; NP'!$C$9:$WL$9,'P &amp; NP'!$C$5:$WL$5,"PM",'P &amp; NP'!$C$2:$WL$2,"MOJOKERTO")</f>
        <v>0</v>
      </c>
      <c r="BB21" s="519">
        <f>SUMIFS('P &amp; NP'!$C$9:$WL$9,'P &amp; NP'!$C$5:$WL$5,"NPM",'P &amp; NP'!$C$2:$WL$2,"MOJOKERTO")</f>
        <v>0</v>
      </c>
      <c r="BC21" s="519">
        <f>SUMIFS('P &amp; NP'!$C$10:$WL$10,'P &amp; NP'!$C$5:$WL$5,"PM",'P &amp; NP'!$C$2:$WL$2,"MOJOKERTO")</f>
        <v>0</v>
      </c>
      <c r="BD21" s="519">
        <f>SUMIFS('P &amp; NP'!$C$10:$WL$10,'P &amp; NP'!$C$5:$WL$5,"NPM",'P &amp; NP'!$C$2:$WL$2,"MOJOKERTO")</f>
        <v>0</v>
      </c>
      <c r="BF21" s="502">
        <f t="shared" si="17"/>
        <v>1800</v>
      </c>
      <c r="BG21" s="512">
        <f t="shared" si="18"/>
        <v>45400</v>
      </c>
      <c r="BH21" s="519">
        <f>SUMIFS('P &amp; NP'!$C$7:$WL$7,'P &amp; NP'!$C$5:$WL$5,"PB",'P &amp; NP'!$C$2:$WL$2,"MOJOKERTO")</f>
        <v>600</v>
      </c>
      <c r="BI21" s="519">
        <f>SUMIFS('P &amp; NP'!$C$7:$WL$7,'P &amp; NP'!$C$5:$WL$5,"NPB",'P &amp; NP'!$C$2:$WL$2,"MOJOKERTO")</f>
        <v>15000</v>
      </c>
      <c r="BJ21" s="519">
        <f>SUMIFS('P &amp; NP'!$C$8:$WL$8,'P &amp; NP'!$C$5:$WL$5,"PB",'P &amp; NP'!$C$2:$WL$2,"MOJOKERTO")</f>
        <v>400</v>
      </c>
      <c r="BK21" s="519">
        <f>SUMIFS('P &amp; NP'!$C$8:$WL$8,'P &amp; NP'!$C$5:$WL$5,"NPB",'P &amp; NP'!$C$2:$WL$2,"MOJOKERTO")</f>
        <v>8000</v>
      </c>
      <c r="BL21" s="519">
        <f>SUMIFS('P &amp; NP'!$C$9:$WL$9,'P &amp; NP'!$C$5:$WL$5,"PB",'P &amp; NP'!$C$2:$WL$2,"MOJOKERTO")</f>
        <v>800</v>
      </c>
      <c r="BM21" s="519">
        <f>SUMIFS('P &amp; NP'!$C$9:$WL$9,'P &amp; NP'!$C$5:$WL$5,"NPB",'P &amp; NP'!$C$2:$WL$2,"MOJOKERTO")</f>
        <v>22400</v>
      </c>
      <c r="BN21" s="519">
        <f>SUMIFS('P &amp; NP'!$C$10:$WL$10,'P &amp; NP'!$C$5:$WL$5,"PB",'P &amp; NP'!$C$2:$WL$2,"MOJOKERTO")</f>
        <v>0</v>
      </c>
      <c r="BO21" s="519">
        <f>SUMIFS('P &amp; NP'!$C$10:$WL$10,'P &amp; NP'!$C$5:$WL$5,"NPB",'P &amp; NP'!$C$2:$WL$2,"MOJOKERTO")</f>
        <v>0</v>
      </c>
      <c r="BQ21" s="502">
        <f t="shared" si="19"/>
        <v>1700</v>
      </c>
      <c r="BR21" s="512">
        <f t="shared" si="20"/>
        <v>36500</v>
      </c>
      <c r="BS21" s="519">
        <f>SUMIFS('P &amp; NP'!$C$7:$WL$7,'P &amp; NP'!$C$5:$WL$5,"PJ",'P &amp; NP'!$C$2:$WL$2,"MOJOKERTO")</f>
        <v>0</v>
      </c>
      <c r="BT21" s="519">
        <f>SUMIFS('P &amp; NP'!$C$7:$WL$7,'P &amp; NP'!$C$5:$WL$5,"NPJ",'P &amp; NP'!$C$2:$WL$2,"MOJOKERTO")</f>
        <v>0</v>
      </c>
      <c r="BU21" s="519">
        <f>SUMIFS('P &amp; NP'!$C$8:$WL$8,'P &amp; NP'!$C$5:$WL$5,"PJ",'P &amp; NP'!$C$2:$WL$2,"MOJOKERTO")</f>
        <v>1200</v>
      </c>
      <c r="BV21" s="519">
        <f>SUMIFS('P &amp; NP'!$C$8:$WL$8,'P &amp; NP'!$C$5:$WL$5,"NPJ",'P &amp; NP'!$C$2:$WL$2,"MOJOKERTO")</f>
        <v>24000</v>
      </c>
      <c r="BW21" s="519">
        <f>SUMIFS('P &amp; NP'!$C$9:$WL$9,'P &amp; NP'!$C$5:$WL$5,"PJ",'P &amp; NP'!$C$2:$WL$2,"MOJOKERTO")</f>
        <v>0</v>
      </c>
      <c r="BX21" s="519">
        <f>SUMIFS('P &amp; NP'!$C$9:$WL$9,'P &amp; NP'!$C$5:$WL$5,"NPJ",'P &amp; NP'!$C$2:$WL$2,"MOJOKERTO")</f>
        <v>0</v>
      </c>
      <c r="BY21" s="519">
        <f>SUMIFS('P &amp; NP'!$C$10:$WL$10,'P &amp; NP'!$C$5:$WL$5,"PJ",'P &amp; NP'!$C$2:$WL$2,"MOJOKERTO")</f>
        <v>500</v>
      </c>
      <c r="BZ21" s="519">
        <f>SUMIFS('P &amp; NP'!$C$10:$WL$10,'P &amp; NP'!$C$5:$WL$5,"NPJ",'P &amp; NP'!$C$2:$WL$2,"MOJOKERTO")</f>
        <v>12500</v>
      </c>
      <c r="CB21" s="502">
        <f t="shared" si="21"/>
        <v>1816618</v>
      </c>
      <c r="CC21" s="512">
        <f t="shared" si="22"/>
        <v>34987300</v>
      </c>
      <c r="CD21" s="519">
        <f t="shared" si="23"/>
        <v>460500</v>
      </c>
      <c r="CE21" s="519">
        <f t="shared" si="24"/>
        <v>9563430</v>
      </c>
      <c r="CF21" s="519">
        <f t="shared" si="25"/>
        <v>445760</v>
      </c>
      <c r="CG21" s="519">
        <f t="shared" si="26"/>
        <v>8324256</v>
      </c>
      <c r="CH21" s="519">
        <f t="shared" si="27"/>
        <v>447498</v>
      </c>
      <c r="CI21" s="519">
        <f t="shared" si="28"/>
        <v>8484014</v>
      </c>
      <c r="CJ21" s="519">
        <f t="shared" si="29"/>
        <v>462860</v>
      </c>
      <c r="CK21" s="519">
        <f t="shared" si="30"/>
        <v>8615600</v>
      </c>
    </row>
    <row r="22" spans="1:89">
      <c r="A22" s="509"/>
      <c r="B22" s="484" t="s">
        <v>129</v>
      </c>
      <c r="C22" s="502">
        <f t="shared" si="8"/>
        <v>0</v>
      </c>
      <c r="D22" s="512">
        <f t="shared" si="9"/>
        <v>0</v>
      </c>
      <c r="E22" s="519">
        <f>SUMIFS('P &amp; NP'!$C$7:$WL$7,'P &amp; NP'!$C$5:$WL$5,"PL",'P &amp; NP'!$C$2:$WL$2,"NGANJUK")</f>
        <v>0</v>
      </c>
      <c r="F22" s="519">
        <f>SUMIFS('P &amp; NP'!$C$7:$WL$7,'P &amp; NP'!$C$5:$WL$5,"NPL",'P &amp; NP'!$C$2:$WL$2,"NGANJUK")</f>
        <v>0</v>
      </c>
      <c r="G22" s="519">
        <f>SUMIFS('P &amp; NP'!$C$8:$WL$8,'P &amp; NP'!$C$5:$WL$5,"PL",'P &amp; NP'!$C$2:$WL$2,"NGANJUK")</f>
        <v>0</v>
      </c>
      <c r="H22" s="519">
        <f>SUMIFS('P &amp; NP'!$C$8:$WL$8,'P &amp; NP'!$C$5:$WL$5,"NPL",'P &amp; NP'!$C$2:$WL$2,"NGANJUK")</f>
        <v>0</v>
      </c>
      <c r="I22" s="519">
        <f>SUMIFS('P &amp; NP'!$C$9:$WL$9,'P &amp; NP'!$C$5:$WL$5,"PL",'P &amp; NP'!$C$2:$WL$2,"NGANJUK")</f>
        <v>0</v>
      </c>
      <c r="J22" s="519">
        <f>SUMIFS('P &amp; NP'!$C$9:$WL$9,'P &amp; NP'!$C$5:$WL$5,"NPL",'P &amp; NP'!$C$2:$WL$2,"NGANJUK")</f>
        <v>0</v>
      </c>
      <c r="K22" s="519">
        <f>SUMIFS('P &amp; NP'!$C$10:$WL$10,'P &amp; NP'!$C$5:$WL$5,"PL",'P &amp; NP'!$C$2:$WL$2,"NGANJUK")</f>
        <v>0</v>
      </c>
      <c r="L22" s="519">
        <f>SUMIFS('P &amp; NP'!$C$10:$WL$10,'P &amp; NP'!$C$5:$WL$5,"NPL",'P &amp; NP'!$C$2:$WL$2,"NGANJUK")</f>
        <v>0</v>
      </c>
      <c r="N22" s="502">
        <f t="shared" si="10"/>
        <v>0</v>
      </c>
      <c r="O22" s="512">
        <f t="shared" si="11"/>
        <v>0</v>
      </c>
      <c r="P22" s="519">
        <f>SUMIFS('P &amp; NP'!$C$7:$WL$7,'P &amp; NP'!$C$5:$WL$5,"PT",'P &amp; NP'!$C$2:$WL$2,"NGANJUK")</f>
        <v>0</v>
      </c>
      <c r="Q22" s="519">
        <f>SUMIFS('P &amp; NP'!$C$7:$WL$7,'P &amp; NP'!$C$5:$WL$5,"NPT",'P &amp; NP'!$C$2:$WL$2,"NGANJUK")</f>
        <v>0</v>
      </c>
      <c r="R22" s="519">
        <f>SUMIFS('P &amp; NP'!$C$8:$WL$8,'P &amp; NP'!$C$5:$WL$5,"PT",'P &amp; NP'!$C$2:$WL$2,"NGANJUK")</f>
        <v>0</v>
      </c>
      <c r="S22" s="519">
        <f>SUMIFS('P &amp; NP'!$C$8:$WL$8,'P &amp; NP'!$C$5:$WL$5,"NPT",'P &amp; NP'!$C$2:$WL$2,"NGANJUK")</f>
        <v>0</v>
      </c>
      <c r="T22" s="519">
        <f>SUMIFS('P &amp; NP'!$C$9:$WL$9,'P &amp; NP'!$C$5:$WL$5,"PT",'P &amp; NP'!$C$2:$WL$2,"NGANJUK")</f>
        <v>0</v>
      </c>
      <c r="U22" s="519">
        <f>SUMIFS('P &amp; NP'!$C$9:$WL$9,'P &amp; NP'!$C$5:$WL$5,"NPT",'P &amp; NP'!$C$2:$WL$2,"NGANJUK")</f>
        <v>0</v>
      </c>
      <c r="V22" s="519">
        <f>SUMIFS('P &amp; NP'!$C$10:$WL$10,'P &amp; NP'!$C$5:$WL$5,"PT",'P &amp; NP'!$C$2:$WL$2,"NGANJUK")</f>
        <v>0</v>
      </c>
      <c r="W22" s="519">
        <f>SUMIFS('P &amp; NP'!$C$10:$WL$10,'P &amp; NP'!$C$5:$WL$5,"NPT",'P &amp; NP'!$C$2:$WL$2,"NGANJUK")</f>
        <v>0</v>
      </c>
      <c r="Y22" s="502">
        <f ca="1">SUMIF(AA$5:$AH20,$Y$1,AA22:AH22)</f>
        <v>0</v>
      </c>
      <c r="Z22" s="512">
        <f t="shared" si="12"/>
        <v>0</v>
      </c>
      <c r="AA22" s="519">
        <f>SUMIFS('P &amp; NP'!$C$7:$WL$7,'P &amp; NP'!$C$5:$WL$5,"PS",'P &amp; NP'!$C$2:$WL$2,"NGANJUK")</f>
        <v>0</v>
      </c>
      <c r="AB22" s="519">
        <f>SUMIFS('P &amp; NP'!$C$7:$WL$7,'P &amp; NP'!$C$5:$WL$5,"NPS",'P &amp; NP'!$C$2:$WL$2,"NGANJUK")</f>
        <v>0</v>
      </c>
      <c r="AC22" s="519">
        <f>SUMIFS('P &amp; NP'!$C$8:$WL$8,'P &amp; NP'!$C$5:$WL$5,"PS",'P &amp; NP'!$C$2:$WL$2,"NGANJUK")</f>
        <v>0</v>
      </c>
      <c r="AD22" s="519">
        <f>SUMIFS('P &amp; NP'!$C$8:$WL$8,'P &amp; NP'!$C$5:$WL$5,"NPS",'P &amp; NP'!$C$2:$WL$2,"NGANJUK")</f>
        <v>0</v>
      </c>
      <c r="AE22" s="519">
        <f>SUMIFS('P &amp; NP'!$C$9:$WL$9,'P &amp; NP'!$C$5:$WL$5,"PS",'P &amp; NP'!$C$2:$WL$2,"NGANJUK")</f>
        <v>0</v>
      </c>
      <c r="AF22" s="519">
        <f>SUMIFS('P &amp; NP'!$C$9:$WL$9,'P &amp; NP'!$C$5:$WL$5,"NPS",'P &amp; NP'!$C$2:$WL$2,"NGANJUK")</f>
        <v>0</v>
      </c>
      <c r="AG22" s="519">
        <f>SUMIFS('P &amp; NP'!$C$10:$WL$10,'P &amp; NP'!$C$5:$WL$5,"PS",'P &amp; NP'!$C$2:$WL$2,"NGANJUK")</f>
        <v>0</v>
      </c>
      <c r="AH22" s="519">
        <f>SUMIFS('P &amp; NP'!$C$10:$WL$10,'P &amp; NP'!$C$5:$WL$5,"NPS",'P &amp; NP'!$C$2:$WL$2,"NGANJUK")</f>
        <v>0</v>
      </c>
      <c r="AJ22" s="502">
        <f t="shared" si="13"/>
        <v>11030000</v>
      </c>
      <c r="AK22" s="512">
        <f t="shared" si="14"/>
        <v>217798004</v>
      </c>
      <c r="AL22" s="519">
        <f>SUMIFS('P &amp; NP'!$C$7:$WL$7,'P &amp; NP'!$C$5:$WL$5,"PK",'P &amp; NP'!$C$2:$WL$2,"NGANJUK")</f>
        <v>3007000</v>
      </c>
      <c r="AM22" s="519">
        <f>SUMIFS('P &amp; NP'!$C$7:$WL$7,'P &amp; NP'!$C$5:$WL$5,"NPK",'P &amp; NP'!$C$2:$WL$2,"NGANJUK")</f>
        <v>58594480</v>
      </c>
      <c r="AN22" s="519">
        <f>SUMIFS('P &amp; NP'!$C$8:$WL$8,'P &amp; NP'!$C$5:$WL$5,"PK",'P &amp; NP'!$C$2:$WL$2,"NGANJUK")</f>
        <v>2898000</v>
      </c>
      <c r="AO22" s="519">
        <f>SUMIFS('P &amp; NP'!$C$8:$WL$8,'P &amp; NP'!$C$5:$WL$5,"NPK",'P &amp; NP'!$C$2:$WL$2,"NGANJUK")</f>
        <v>58688025</v>
      </c>
      <c r="AP22" s="519">
        <f>SUMIFS('P &amp; NP'!$C$9:$WL$9,'P &amp; NP'!$C$5:$WL$5,"PK",'P &amp; NP'!$C$2:$WL$2,"NGANJUK")</f>
        <v>2520000</v>
      </c>
      <c r="AQ22" s="519">
        <f>SUMIFS('P &amp; NP'!$C$9:$WL$9,'P &amp; NP'!$C$5:$WL$5,"NPK",'P &amp; NP'!$C$2:$WL$2,"NGANJUK")</f>
        <v>48442539</v>
      </c>
      <c r="AR22" s="519">
        <f>SUMIFS('P &amp; NP'!$C$10:$WL$10,'P &amp; NP'!$C$5:$WL$5,"PK",'P &amp; NP'!$C$2:$WL$2,"NGANJUK")</f>
        <v>2605000</v>
      </c>
      <c r="AS22" s="519">
        <f>SUMIFS('P &amp; NP'!$C$10:$WL$10,'P &amp; NP'!$C$5:$WL$5,"NPK",'P &amp; NP'!$C$2:$WL$2,"NGANJUK")</f>
        <v>52072960</v>
      </c>
      <c r="AU22" s="502">
        <f t="shared" si="15"/>
        <v>0</v>
      </c>
      <c r="AV22" s="512">
        <f t="shared" si="16"/>
        <v>0</v>
      </c>
      <c r="AW22" s="519">
        <f>SUMIFS('P &amp; NP'!$C$7:$WL$7,'P &amp; NP'!$C$5:$WL$5,"PM",'P &amp; NP'!$C$2:$WL$2,"NGANJUK")</f>
        <v>0</v>
      </c>
      <c r="AX22" s="519">
        <f>SUMIFS('P &amp; NP'!$C$7:$WL$7,'P &amp; NP'!$C$5:$WL$5,"NPM",'P &amp; NP'!$C$2:$WL$2,"NGANJUK")</f>
        <v>0</v>
      </c>
      <c r="AY22" s="519">
        <f>SUMIFS('P &amp; NP'!$C$8:$WL$8,'P &amp; NP'!$C$5:$WL$5,"PM",'P &amp; NP'!$C$2:$WL$2,"NGANJUK")</f>
        <v>0</v>
      </c>
      <c r="AZ22" s="519">
        <f>SUMIFS('P &amp; NP'!$C$8:$WL$8,'P &amp; NP'!$C$5:$WL$5,"NPM",'P &amp; NP'!$C$2:$WL$2,"NGANJUK")</f>
        <v>0</v>
      </c>
      <c r="BA22" s="519">
        <f>SUMIFS('P &amp; NP'!$C$9:$WL$9,'P &amp; NP'!$C$5:$WL$5,"PM",'P &amp; NP'!$C$2:$WL$2,"NGANJUK")</f>
        <v>0</v>
      </c>
      <c r="BB22" s="519">
        <f>SUMIFS('P &amp; NP'!$C$9:$WL$9,'P &amp; NP'!$C$5:$WL$5,"NPM",'P &amp; NP'!$C$2:$WL$2,"NGANJUK")</f>
        <v>0</v>
      </c>
      <c r="BC22" s="519">
        <f>SUMIFS('P &amp; NP'!$C$10:$WL$10,'P &amp; NP'!$C$5:$WL$5,"PM",'P &amp; NP'!$C$2:$WL$2,"NGANJUK")</f>
        <v>0</v>
      </c>
      <c r="BD22" s="519">
        <f>SUMIFS('P &amp; NP'!$C$10:$WL$10,'P &amp; NP'!$C$5:$WL$5,"NPM",'P &amp; NP'!$C$2:$WL$2,"NGANJUK")</f>
        <v>0</v>
      </c>
      <c r="BF22" s="502">
        <f t="shared" si="17"/>
        <v>0</v>
      </c>
      <c r="BG22" s="512">
        <f t="shared" si="18"/>
        <v>0</v>
      </c>
      <c r="BH22" s="519">
        <f>SUMIFS('P &amp; NP'!$C$7:$WL$7,'P &amp; NP'!$C$5:$WL$5,"PB",'P &amp; NP'!$C$2:$WL$2,"NGANJUK")</f>
        <v>0</v>
      </c>
      <c r="BI22" s="519">
        <f>SUMIFS('P &amp; NP'!$C$7:$WL$7,'P &amp; NP'!$C$5:$WL$5,"NPB",'P &amp; NP'!$C$2:$WL$2,"NGANJUK")</f>
        <v>0</v>
      </c>
      <c r="BJ22" s="519">
        <f>SUMIFS('P &amp; NP'!$C$8:$WL$8,'P &amp; NP'!$C$5:$WL$5,"PB",'P &amp; NP'!$C$2:$WL$2,"NGANJUK")</f>
        <v>0</v>
      </c>
      <c r="BK22" s="519">
        <f>SUMIFS('P &amp; NP'!$C$8:$WL$8,'P &amp; NP'!$C$5:$WL$5,"NPB",'P &amp; NP'!$C$2:$WL$2,"NGANJUK")</f>
        <v>0</v>
      </c>
      <c r="BL22" s="519">
        <f>SUMIFS('P &amp; NP'!$C$9:$WL$9,'P &amp; NP'!$C$5:$WL$5,"PB",'P &amp; NP'!$C$2:$WL$2,"NGANJUK")</f>
        <v>0</v>
      </c>
      <c r="BM22" s="519">
        <f>SUMIFS('P &amp; NP'!$C$9:$WL$9,'P &amp; NP'!$C$5:$WL$5,"NPB",'P &amp; NP'!$C$2:$WL$2,"NGANJUK")</f>
        <v>0</v>
      </c>
      <c r="BN22" s="519">
        <f>SUMIFS('P &amp; NP'!$C$10:$WL$10,'P &amp; NP'!$C$5:$WL$5,"PB",'P &amp; NP'!$C$2:$WL$2,"NGANJUK")</f>
        <v>0</v>
      </c>
      <c r="BO22" s="519">
        <f>SUMIFS('P &amp; NP'!$C$10:$WL$10,'P &amp; NP'!$C$5:$WL$5,"NPB",'P &amp; NP'!$C$2:$WL$2,"NGANJUK")</f>
        <v>0</v>
      </c>
      <c r="BQ22" s="502">
        <f t="shared" si="19"/>
        <v>0</v>
      </c>
      <c r="BR22" s="512">
        <f t="shared" si="20"/>
        <v>0</v>
      </c>
      <c r="BS22" s="519">
        <f>SUMIFS('P &amp; NP'!$C$7:$WL$7,'P &amp; NP'!$C$5:$WL$5,"PJ",'P &amp; NP'!$C$2:$WL$2,"NGANJUK")</f>
        <v>0</v>
      </c>
      <c r="BT22" s="519">
        <f>SUMIFS('P &amp; NP'!$C$7:$WL$7,'P &amp; NP'!$C$5:$WL$5,"NPJ",'P &amp; NP'!$C$2:$WL$2,"NGANJUK")</f>
        <v>0</v>
      </c>
      <c r="BU22" s="519">
        <f>SUMIFS('P &amp; NP'!$C$8:$WL$8,'P &amp; NP'!$C$5:$WL$5,"PJ",'P &amp; NP'!$C$2:$WL$2,"NGANJUK")</f>
        <v>0</v>
      </c>
      <c r="BV22" s="519">
        <f>SUMIFS('P &amp; NP'!$C$8:$WL$8,'P &amp; NP'!$C$5:$WL$5,"NPJ",'P &amp; NP'!$C$2:$WL$2,"NGANJUK")</f>
        <v>0</v>
      </c>
      <c r="BW22" s="519">
        <f>SUMIFS('P &amp; NP'!$C$9:$WL$9,'P &amp; NP'!$C$5:$WL$5,"PJ",'P &amp; NP'!$C$2:$WL$2,"NGANJUK")</f>
        <v>0</v>
      </c>
      <c r="BX22" s="519">
        <f>SUMIFS('P &amp; NP'!$C$9:$WL$9,'P &amp; NP'!$C$5:$WL$5,"NPJ",'P &amp; NP'!$C$2:$WL$2,"NGANJUK")</f>
        <v>0</v>
      </c>
      <c r="BY22" s="519">
        <f>SUMIFS('P &amp; NP'!$C$10:$WL$10,'P &amp; NP'!$C$5:$WL$5,"PJ",'P &amp; NP'!$C$2:$WL$2,"NGANJUK")</f>
        <v>0</v>
      </c>
      <c r="BZ22" s="519">
        <f>SUMIFS('P &amp; NP'!$C$10:$WL$10,'P &amp; NP'!$C$5:$WL$5,"NPJ",'P &amp; NP'!$C$2:$WL$2,"NGANJUK")</f>
        <v>0</v>
      </c>
      <c r="CB22" s="502">
        <f t="shared" si="21"/>
        <v>11030000</v>
      </c>
      <c r="CC22" s="512">
        <f t="shared" si="22"/>
        <v>217798004</v>
      </c>
      <c r="CD22" s="519">
        <f t="shared" si="23"/>
        <v>3007000</v>
      </c>
      <c r="CE22" s="519">
        <f t="shared" si="24"/>
        <v>58594480</v>
      </c>
      <c r="CF22" s="519">
        <f t="shared" si="25"/>
        <v>2898000</v>
      </c>
      <c r="CG22" s="519">
        <f t="shared" si="26"/>
        <v>58688025</v>
      </c>
      <c r="CH22" s="519">
        <f t="shared" si="27"/>
        <v>2520000</v>
      </c>
      <c r="CI22" s="519">
        <f t="shared" si="28"/>
        <v>48442539</v>
      </c>
      <c r="CJ22" s="519">
        <f t="shared" si="29"/>
        <v>2605000</v>
      </c>
      <c r="CK22" s="519">
        <f t="shared" si="30"/>
        <v>52072960</v>
      </c>
    </row>
    <row r="23" spans="1:89">
      <c r="A23" s="509"/>
      <c r="B23" s="484" t="s">
        <v>132</v>
      </c>
      <c r="C23" s="502">
        <f t="shared" si="8"/>
        <v>0</v>
      </c>
      <c r="D23" s="512">
        <f t="shared" si="9"/>
        <v>0</v>
      </c>
      <c r="E23" s="519">
        <f>SUMIFS('P &amp; NP'!$C$7:$WL$7,'P &amp; NP'!$C$5:$WL$5,"PL",'P &amp; NP'!$C$2:$WL$2,"NGAWI")</f>
        <v>0</v>
      </c>
      <c r="F23" s="519">
        <f>SUMIFS('P &amp; NP'!$C$7:$WL$7,'P &amp; NP'!$C$5:$WL$5,"NPL",'P &amp; NP'!$C$2:$WL$2,"NGAWI")</f>
        <v>0</v>
      </c>
      <c r="G23" s="519">
        <f>SUMIFS('P &amp; NP'!$C$8:$WL$8,'P &amp; NP'!$C$5:$WL$5,"PL",'P &amp; NP'!$C$2:$WL$2,"NGAWI")</f>
        <v>0</v>
      </c>
      <c r="H23" s="519">
        <f>SUMIFS('P &amp; NP'!$C$8:$WL$8,'P &amp; NP'!$C$5:$WL$5,"NPL",'P &amp; NP'!$C$2:$WL$2,"NGAWI")</f>
        <v>0</v>
      </c>
      <c r="I23" s="519">
        <f>SUMIFS('P &amp; NP'!$C$9:$WL$9,'P &amp; NP'!$C$5:$WL$5,"PL",'P &amp; NP'!$C$2:$WL$2,"NGAWI")</f>
        <v>0</v>
      </c>
      <c r="J23" s="519">
        <f>SUMIFS('P &amp; NP'!$C$9:$WL$9,'P &amp; NP'!$C$5:$WL$5,"NPL",'P &amp; NP'!$C$2:$WL$2,"NGAWI")</f>
        <v>0</v>
      </c>
      <c r="K23" s="519">
        <f>SUMIFS('P &amp; NP'!$C$10:$WL$10,'P &amp; NP'!$C$5:$WL$5,"PL",'P &amp; NP'!$C$2:$WL$2,"NGAWI")</f>
        <v>0</v>
      </c>
      <c r="L23" s="519">
        <f>SUMIFS('P &amp; NP'!$C$10:$WL$10,'P &amp; NP'!$C$5:$WL$5,"NPL",'P &amp; NP'!$C$2:$WL$2,"NGAWI")</f>
        <v>0</v>
      </c>
      <c r="N23" s="502">
        <f t="shared" si="10"/>
        <v>0</v>
      </c>
      <c r="O23" s="512">
        <f t="shared" si="11"/>
        <v>0</v>
      </c>
      <c r="P23" s="519">
        <f>SUMIFS('P &amp; NP'!$C$7:$WL$7,'P &amp; NP'!$C$5:$WL$5,"PT",'P &amp; NP'!$C$2:$WL$2,"NGAWI")</f>
        <v>0</v>
      </c>
      <c r="Q23" s="519">
        <f>SUMIFS('P &amp; NP'!$C$7:$WL$7,'P &amp; NP'!$C$5:$WL$5,"NPT",'P &amp; NP'!$C$2:$WL$2,"NGAWI")</f>
        <v>0</v>
      </c>
      <c r="R23" s="519">
        <f>SUMIFS('P &amp; NP'!$C$8:$WL$8,'P &amp; NP'!$C$5:$WL$5,"PT",'P &amp; NP'!$C$2:$WL$2,"NGAWI")</f>
        <v>0</v>
      </c>
      <c r="S23" s="519">
        <f>SUMIFS('P &amp; NP'!$C$8:$WL$8,'P &amp; NP'!$C$5:$WL$5,"NPT",'P &amp; NP'!$C$2:$WL$2,"NGAWI")</f>
        <v>0</v>
      </c>
      <c r="T23" s="519">
        <f>SUMIFS('P &amp; NP'!$C$9:$WL$9,'P &amp; NP'!$C$5:$WL$5,"PT",'P &amp; NP'!$C$2:$WL$2,"NGAWI")</f>
        <v>0</v>
      </c>
      <c r="U23" s="519">
        <f>SUMIFS('P &amp; NP'!$C$9:$WL$9,'P &amp; NP'!$C$5:$WL$5,"NPT",'P &amp; NP'!$C$2:$WL$2,"NGAWI")</f>
        <v>0</v>
      </c>
      <c r="V23" s="519">
        <f>SUMIFS('P &amp; NP'!$C$10:$WL$10,'P &amp; NP'!$C$5:$WL$5,"PT",'P &amp; NP'!$C$2:$WL$2,"NGAWI")</f>
        <v>0</v>
      </c>
      <c r="W23" s="519">
        <f>SUMIFS('P &amp; NP'!$C$10:$WL$10,'P &amp; NP'!$C$5:$WL$5,"NPT",'P &amp; NP'!$C$2:$WL$2,"NGAWI")</f>
        <v>0</v>
      </c>
      <c r="Y23" s="502">
        <f ca="1">SUMIF(AA$5:$AH21,$Y$1,AA23:AH23)</f>
        <v>0</v>
      </c>
      <c r="Z23" s="512">
        <f t="shared" si="12"/>
        <v>0</v>
      </c>
      <c r="AA23" s="519">
        <f>SUMIFS('P &amp; NP'!$C$7:$WL$7,'P &amp; NP'!$C$5:$WL$5,"PS",'P &amp; NP'!$C$2:$WL$2,"NGAWI")</f>
        <v>0</v>
      </c>
      <c r="AB23" s="519">
        <f>SUMIFS('P &amp; NP'!$C$7:$WL$7,'P &amp; NP'!$C$5:$WL$5,"NPS",'P &amp; NP'!$C$2:$WL$2,"NGAWI")</f>
        <v>0</v>
      </c>
      <c r="AC23" s="519">
        <f>SUMIFS('P &amp; NP'!$C$8:$WL$8,'P &amp; NP'!$C$5:$WL$5,"PS",'P &amp; NP'!$C$2:$WL$2,"NGAWI")</f>
        <v>0</v>
      </c>
      <c r="AD23" s="519">
        <f>SUMIFS('P &amp; NP'!$C$8:$WL$8,'P &amp; NP'!$C$5:$WL$5,"NPS",'P &amp; NP'!$C$2:$WL$2,"NGAWI")</f>
        <v>0</v>
      </c>
      <c r="AE23" s="519">
        <f>SUMIFS('P &amp; NP'!$C$9:$WL$9,'P &amp; NP'!$C$5:$WL$5,"PS",'P &amp; NP'!$C$2:$WL$2,"NGAWI")</f>
        <v>0</v>
      </c>
      <c r="AF23" s="519">
        <f>SUMIFS('P &amp; NP'!$C$9:$WL$9,'P &amp; NP'!$C$5:$WL$5,"NPS",'P &amp; NP'!$C$2:$WL$2,"NGAWI")</f>
        <v>0</v>
      </c>
      <c r="AG23" s="519">
        <f>SUMIFS('P &amp; NP'!$C$10:$WL$10,'P &amp; NP'!$C$5:$WL$5,"PS",'P &amp; NP'!$C$2:$WL$2,"NGAWI")</f>
        <v>0</v>
      </c>
      <c r="AH23" s="519">
        <f>SUMIFS('P &amp; NP'!$C$10:$WL$10,'P &amp; NP'!$C$5:$WL$5,"NPS",'P &amp; NP'!$C$2:$WL$2,"NGAWI")</f>
        <v>0</v>
      </c>
      <c r="AJ23" s="502">
        <f t="shared" si="13"/>
        <v>4406525</v>
      </c>
      <c r="AK23" s="512">
        <f t="shared" si="14"/>
        <v>83744202</v>
      </c>
      <c r="AL23" s="519">
        <f>SUMIFS('P &amp; NP'!$C$7:$WL$7,'P &amp; NP'!$C$5:$WL$5,"PK",'P &amp; NP'!$C$2:$WL$2,"NGAWI")</f>
        <v>1097544</v>
      </c>
      <c r="AM23" s="519">
        <f>SUMIFS('P &amp; NP'!$C$7:$WL$7,'P &amp; NP'!$C$5:$WL$5,"NPK",'P &amp; NP'!$C$2:$WL$2,"NGAWI")</f>
        <v>20878467</v>
      </c>
      <c r="AN23" s="519">
        <f>SUMIFS('P &amp; NP'!$C$8:$WL$8,'P &amp; NP'!$C$5:$WL$5,"PK",'P &amp; NP'!$C$2:$WL$2,"NGAWI")</f>
        <v>1117767</v>
      </c>
      <c r="AO23" s="519">
        <f>SUMIFS('P &amp; NP'!$C$8:$WL$8,'P &amp; NP'!$C$5:$WL$5,"NPK",'P &amp; NP'!$C$2:$WL$2,"NGAWI")</f>
        <v>21222625</v>
      </c>
      <c r="AP23" s="519">
        <f>SUMIFS('P &amp; NP'!$C$9:$WL$9,'P &amp; NP'!$C$5:$WL$5,"PK",'P &amp; NP'!$C$2:$WL$2,"NGAWI")</f>
        <v>1113152</v>
      </c>
      <c r="AQ23" s="519">
        <f>SUMIFS('P &amp; NP'!$C$9:$WL$9,'P &amp; NP'!$C$5:$WL$5,"NPK",'P &amp; NP'!$C$2:$WL$2,"NGAWI")</f>
        <v>21152144</v>
      </c>
      <c r="AR23" s="519">
        <f>SUMIFS('P &amp; NP'!$C$10:$WL$10,'P &amp; NP'!$C$5:$WL$5,"PK",'P &amp; NP'!$C$2:$WL$2,"NGAWI")</f>
        <v>1078062</v>
      </c>
      <c r="AS23" s="519">
        <f>SUMIFS('P &amp; NP'!$C$10:$WL$10,'P &amp; NP'!$C$5:$WL$5,"NPK",'P &amp; NP'!$C$2:$WL$2,"NGAWI")</f>
        <v>20490966</v>
      </c>
      <c r="AU23" s="502">
        <f t="shared" si="15"/>
        <v>0</v>
      </c>
      <c r="AV23" s="512">
        <f t="shared" si="16"/>
        <v>0</v>
      </c>
      <c r="AW23" s="519">
        <f>SUMIFS('P &amp; NP'!$C$7:$WL$7,'P &amp; NP'!$C$5:$WL$5,"PM",'P &amp; NP'!$C$2:$WL$2,"NGAWI")</f>
        <v>0</v>
      </c>
      <c r="AX23" s="519">
        <f>SUMIFS('P &amp; NP'!$C$7:$WL$7,'P &amp; NP'!$C$5:$WL$5,"NPM",'P &amp; NP'!$C$2:$WL$2,"NGAWI")</f>
        <v>0</v>
      </c>
      <c r="AY23" s="519">
        <f>SUMIFS('P &amp; NP'!$C$8:$WL$8,'P &amp; NP'!$C$5:$WL$5,"PM",'P &amp; NP'!$C$2:$WL$2,"NGAWI")</f>
        <v>0</v>
      </c>
      <c r="AZ23" s="519">
        <f>SUMIFS('P &amp; NP'!$C$8:$WL$8,'P &amp; NP'!$C$5:$WL$5,"NPM",'P &amp; NP'!$C$2:$WL$2,"NGAWI")</f>
        <v>0</v>
      </c>
      <c r="BA23" s="519">
        <f>SUMIFS('P &amp; NP'!$C$9:$WL$9,'P &amp; NP'!$C$5:$WL$5,"PM",'P &amp; NP'!$C$2:$WL$2,"NGAWI")</f>
        <v>0</v>
      </c>
      <c r="BB23" s="519">
        <f>SUMIFS('P &amp; NP'!$C$9:$WL$9,'P &amp; NP'!$C$5:$WL$5,"NPM",'P &amp; NP'!$C$2:$WL$2,"NGAWI")</f>
        <v>0</v>
      </c>
      <c r="BC23" s="519">
        <f>SUMIFS('P &amp; NP'!$C$10:$WL$10,'P &amp; NP'!$C$5:$WL$5,"PM",'P &amp; NP'!$C$2:$WL$2,"NGAWI")</f>
        <v>0</v>
      </c>
      <c r="BD23" s="519">
        <f>SUMIFS('P &amp; NP'!$C$10:$WL$10,'P &amp; NP'!$C$5:$WL$5,"NPM",'P &amp; NP'!$C$2:$WL$2,"NGAWI")</f>
        <v>0</v>
      </c>
      <c r="BF23" s="502">
        <f t="shared" si="17"/>
        <v>0</v>
      </c>
      <c r="BG23" s="512">
        <f t="shared" si="18"/>
        <v>0</v>
      </c>
      <c r="BH23" s="519">
        <f>SUMIFS('P &amp; NP'!$C$7:$WL$7,'P &amp; NP'!$C$5:$WL$5,"PB",'P &amp; NP'!$C$2:$WL$2,"NGAWI")</f>
        <v>0</v>
      </c>
      <c r="BI23" s="519">
        <f>SUMIFS('P &amp; NP'!$C$7:$WL$7,'P &amp; NP'!$C$5:$WL$5,"NPB",'P &amp; NP'!$C$2:$WL$2,"NGAWI")</f>
        <v>0</v>
      </c>
      <c r="BJ23" s="519">
        <f>SUMIFS('P &amp; NP'!$C$8:$WL$8,'P &amp; NP'!$C$5:$WL$5,"PB",'P &amp; NP'!$C$2:$WL$2,"NGAWI")</f>
        <v>0</v>
      </c>
      <c r="BK23" s="519">
        <f>SUMIFS('P &amp; NP'!$C$8:$WL$8,'P &amp; NP'!$C$5:$WL$5,"NPB",'P &amp; NP'!$C$2:$WL$2,"NGAWI")</f>
        <v>0</v>
      </c>
      <c r="BL23" s="519">
        <f>SUMIFS('P &amp; NP'!$C$9:$WL$9,'P &amp; NP'!$C$5:$WL$5,"PB",'P &amp; NP'!$C$2:$WL$2,"NGAWI")</f>
        <v>0</v>
      </c>
      <c r="BM23" s="519">
        <f>SUMIFS('P &amp; NP'!$C$9:$WL$9,'P &amp; NP'!$C$5:$WL$5,"NPB",'P &amp; NP'!$C$2:$WL$2,"NGAWI")</f>
        <v>0</v>
      </c>
      <c r="BN23" s="519">
        <f>SUMIFS('P &amp; NP'!$C$10:$WL$10,'P &amp; NP'!$C$5:$WL$5,"PB",'P &amp; NP'!$C$2:$WL$2,"NGAWI")</f>
        <v>0</v>
      </c>
      <c r="BO23" s="519">
        <f>SUMIFS('P &amp; NP'!$C$10:$WL$10,'P &amp; NP'!$C$5:$WL$5,"NPB",'P &amp; NP'!$C$2:$WL$2,"NGAWI")</f>
        <v>0</v>
      </c>
      <c r="BQ23" s="502">
        <f t="shared" si="19"/>
        <v>106933</v>
      </c>
      <c r="BR23" s="512">
        <f t="shared" si="20"/>
        <v>2042282</v>
      </c>
      <c r="BS23" s="519">
        <f>SUMIFS('P &amp; NP'!$C$7:$WL$7,'P &amp; NP'!$C$5:$WL$5,"PJ",'P &amp; NP'!$C$2:$WL$2,"NGAWI")</f>
        <v>31713</v>
      </c>
      <c r="BT23" s="519">
        <f>SUMIFS('P &amp; NP'!$C$7:$WL$7,'P &amp; NP'!$C$5:$WL$5,"NPJ",'P &amp; NP'!$C$2:$WL$2,"NGAWI")</f>
        <v>624462</v>
      </c>
      <c r="BU23" s="519">
        <f>SUMIFS('P &amp; NP'!$C$8:$WL$8,'P &amp; NP'!$C$5:$WL$5,"PJ",'P &amp; NP'!$C$2:$WL$2,"NGAWI")</f>
        <v>28680</v>
      </c>
      <c r="BV23" s="519">
        <f>SUMIFS('P &amp; NP'!$C$8:$WL$8,'P &amp; NP'!$C$5:$WL$5,"NPJ",'P &amp; NP'!$C$2:$WL$2,"NGAWI")</f>
        <v>545610</v>
      </c>
      <c r="BW23" s="519">
        <f>SUMIFS('P &amp; NP'!$C$9:$WL$9,'P &amp; NP'!$C$5:$WL$5,"PJ",'P &amp; NP'!$C$2:$WL$2,"NGAWI")</f>
        <v>27860</v>
      </c>
      <c r="BX23" s="519">
        <f>SUMIFS('P &amp; NP'!$C$9:$WL$9,'P &amp; NP'!$C$5:$WL$5,"NPJ",'P &amp; NP'!$C$2:$WL$2,"NGAWI")</f>
        <v>521570</v>
      </c>
      <c r="BY23" s="519">
        <f>SUMIFS('P &amp; NP'!$C$10:$WL$10,'P &amp; NP'!$C$5:$WL$5,"PJ",'P &amp; NP'!$C$2:$WL$2,"NGAWI")</f>
        <v>18680</v>
      </c>
      <c r="BZ23" s="519">
        <f>SUMIFS('P &amp; NP'!$C$10:$WL$10,'P &amp; NP'!$C$5:$WL$5,"NPJ",'P &amp; NP'!$C$2:$WL$2,"NGAWI")</f>
        <v>350640</v>
      </c>
      <c r="CB23" s="502">
        <f t="shared" si="21"/>
        <v>4513458</v>
      </c>
      <c r="CC23" s="512">
        <f t="shared" si="22"/>
        <v>85786484</v>
      </c>
      <c r="CD23" s="519">
        <f t="shared" si="23"/>
        <v>1129257</v>
      </c>
      <c r="CE23" s="519">
        <f t="shared" si="24"/>
        <v>21502929</v>
      </c>
      <c r="CF23" s="519">
        <f t="shared" si="25"/>
        <v>1146447</v>
      </c>
      <c r="CG23" s="519">
        <f t="shared" si="26"/>
        <v>21768235</v>
      </c>
      <c r="CH23" s="519">
        <f t="shared" si="27"/>
        <v>1141012</v>
      </c>
      <c r="CI23" s="519">
        <f t="shared" si="28"/>
        <v>21673714</v>
      </c>
      <c r="CJ23" s="519">
        <f t="shared" si="29"/>
        <v>1096742</v>
      </c>
      <c r="CK23" s="519">
        <f t="shared" si="30"/>
        <v>20841606</v>
      </c>
    </row>
    <row r="24" spans="1:89">
      <c r="A24" s="509"/>
      <c r="B24" s="484" t="s">
        <v>112</v>
      </c>
      <c r="C24" s="502">
        <f t="shared" si="8"/>
        <v>0</v>
      </c>
      <c r="D24" s="512">
        <f t="shared" si="9"/>
        <v>0</v>
      </c>
      <c r="E24" s="519">
        <f>SUMIFS('P &amp; NP'!$C$7:$WL$7,'P &amp; NP'!$C$5:$WL$5,"PL",'P &amp; NP'!$C$2:$WL$2,"PACITAN")</f>
        <v>0</v>
      </c>
      <c r="F24" s="519">
        <f>SUMIFS('P &amp; NP'!$C$7:$WL$7,'P &amp; NP'!$C$5:$WL$5,"NPL",'P &amp; NP'!$C$2:$WL$2,"PACITAN")</f>
        <v>0</v>
      </c>
      <c r="G24" s="519">
        <f>SUMIFS('P &amp; NP'!$C$8:$WL$8,'P &amp; NP'!$C$5:$WL$5,"PL",'P &amp; NP'!$C$2:$WL$2,"PACITAN")</f>
        <v>0</v>
      </c>
      <c r="H24" s="519">
        <f>SUMIFS('P &amp; NP'!$C$8:$WL$8,'P &amp; NP'!$C$5:$WL$5,"NPL",'P &amp; NP'!$C$2:$WL$2,"PACITAN")</f>
        <v>0</v>
      </c>
      <c r="I24" s="519">
        <f>SUMIFS('P &amp; NP'!$C$9:$WL$9,'P &amp; NP'!$C$5:$WL$5,"PL",'P &amp; NP'!$C$2:$WL$2,"PACITAN")</f>
        <v>0</v>
      </c>
      <c r="J24" s="519">
        <f>SUMIFS('P &amp; NP'!$C$9:$WL$9,'P &amp; NP'!$C$5:$WL$5,"NPL",'P &amp; NP'!$C$2:$WL$2,"PACITAN")</f>
        <v>0</v>
      </c>
      <c r="K24" s="519">
        <f>SUMIFS('P &amp; NP'!$C$10:$WL$10,'P &amp; NP'!$C$5:$WL$5,"PL",'P &amp; NP'!$C$2:$WL$2,"PACITAN")</f>
        <v>0</v>
      </c>
      <c r="L24" s="519">
        <f>SUMIFS('P &amp; NP'!$C$10:$WL$10,'P &amp; NP'!$C$5:$WL$5,"NPL",'P &amp; NP'!$C$2:$WL$2,"PACITAN")</f>
        <v>0</v>
      </c>
      <c r="N24" s="502">
        <f t="shared" si="10"/>
        <v>1732575</v>
      </c>
      <c r="O24" s="512">
        <f t="shared" si="11"/>
        <v>137502608</v>
      </c>
      <c r="P24" s="519">
        <f>SUMIFS('P &amp; NP'!$C$7:$WL$7,'P &amp; NP'!$C$5:$WL$5,"PT",'P &amp; NP'!$C$2:$WL$2,"PACITAN")</f>
        <v>385521</v>
      </c>
      <c r="Q24" s="519">
        <f>SUMIFS('P &amp; NP'!$C$7:$WL$7,'P &amp; NP'!$C$5:$WL$5,"NPT",'P &amp; NP'!$C$2:$WL$2,"PACITAN")</f>
        <v>29688188</v>
      </c>
      <c r="R24" s="519">
        <f>SUMIFS('P &amp; NP'!$C$8:$WL$8,'P &amp; NP'!$C$5:$WL$5,"PT",'P &amp; NP'!$C$2:$WL$2,"PACITAN")</f>
        <v>354589</v>
      </c>
      <c r="S24" s="519">
        <f>SUMIFS('P &amp; NP'!$C$8:$WL$8,'P &amp; NP'!$C$5:$WL$5,"NPT",'P &amp; NP'!$C$2:$WL$2,"PACITAN")</f>
        <v>28378120</v>
      </c>
      <c r="T24" s="519">
        <f>SUMIFS('P &amp; NP'!$C$9:$WL$9,'P &amp; NP'!$C$5:$WL$5,"PT",'P &amp; NP'!$C$2:$WL$2,"PACITAN")</f>
        <v>496821</v>
      </c>
      <c r="U24" s="519">
        <f>SUMIFS('P &amp; NP'!$C$9:$WL$9,'P &amp; NP'!$C$5:$WL$5,"NPT",'P &amp; NP'!$C$2:$WL$2,"PACITAN")</f>
        <v>39770680</v>
      </c>
      <c r="V24" s="519">
        <f>SUMIFS('P &amp; NP'!$C$10:$WL$10,'P &amp; NP'!$C$5:$WL$5,"PT",'P &amp; NP'!$C$2:$WL$2,"PACITAN")</f>
        <v>495644</v>
      </c>
      <c r="W24" s="519">
        <f>SUMIFS('P &amp; NP'!$C$10:$WL$10,'P &amp; NP'!$C$5:$WL$5,"NPT",'P &amp; NP'!$C$2:$WL$2,"PACITAN")</f>
        <v>39665620</v>
      </c>
      <c r="Y24" s="502">
        <f ca="1">SUMIF(AA$5:$AH22,$Y$1,AA24:AH24)</f>
        <v>0</v>
      </c>
      <c r="Z24" s="512">
        <f t="shared" si="12"/>
        <v>0</v>
      </c>
      <c r="AA24" s="519">
        <f>SUMIFS('P &amp; NP'!$C$7:$WL$7,'P &amp; NP'!$C$5:$WL$5,"PS",'P &amp; NP'!$C$2:$WL$2,"PACITAN")</f>
        <v>0</v>
      </c>
      <c r="AB24" s="519">
        <f>SUMIFS('P &amp; NP'!$C$7:$WL$7,'P &amp; NP'!$C$5:$WL$5,"NPS",'P &amp; NP'!$C$2:$WL$2,"PACITAN")</f>
        <v>0</v>
      </c>
      <c r="AC24" s="519">
        <f>SUMIFS('P &amp; NP'!$C$8:$WL$8,'P &amp; NP'!$C$5:$WL$5,"PS",'P &amp; NP'!$C$2:$WL$2,"PACITAN")</f>
        <v>0</v>
      </c>
      <c r="AD24" s="519">
        <f>SUMIFS('P &amp; NP'!$C$8:$WL$8,'P &amp; NP'!$C$5:$WL$5,"NPS",'P &amp; NP'!$C$2:$WL$2,"PACITAN")</f>
        <v>0</v>
      </c>
      <c r="AE24" s="519">
        <f>SUMIFS('P &amp; NP'!$C$9:$WL$9,'P &amp; NP'!$C$5:$WL$5,"PS",'P &amp; NP'!$C$2:$WL$2,"PACITAN")</f>
        <v>0</v>
      </c>
      <c r="AF24" s="519">
        <f>SUMIFS('P &amp; NP'!$C$9:$WL$9,'P &amp; NP'!$C$5:$WL$5,"NPS",'P &amp; NP'!$C$2:$WL$2,"PACITAN")</f>
        <v>0</v>
      </c>
      <c r="AG24" s="519">
        <f>SUMIFS('P &amp; NP'!$C$10:$WL$10,'P &amp; NP'!$C$5:$WL$5,"PS",'P &amp; NP'!$C$2:$WL$2,"PACITAN")</f>
        <v>0</v>
      </c>
      <c r="AH24" s="519">
        <f>SUMIFS('P &amp; NP'!$C$10:$WL$10,'P &amp; NP'!$C$5:$WL$5,"NPS",'P &amp; NP'!$C$2:$WL$2,"PACITAN")</f>
        <v>0</v>
      </c>
      <c r="AJ24" s="502">
        <f t="shared" si="13"/>
        <v>930887</v>
      </c>
      <c r="AK24" s="512">
        <f t="shared" si="14"/>
        <v>24238782</v>
      </c>
      <c r="AL24" s="519">
        <f>SUMIFS('P &amp; NP'!$C$7:$WL$7,'P &amp; NP'!$C$5:$WL$5,"PK",'P &amp; NP'!$C$2:$WL$2,"PACITAN")</f>
        <v>161747</v>
      </c>
      <c r="AM24" s="519">
        <f>SUMIFS('P &amp; NP'!$C$7:$WL$7,'P &amp; NP'!$C$5:$WL$5,"NPK",'P &amp; NP'!$C$2:$WL$2,"PACITAN")</f>
        <v>4166102</v>
      </c>
      <c r="AN24" s="519">
        <f>SUMIFS('P &amp; NP'!$C$8:$WL$8,'P &amp; NP'!$C$5:$WL$5,"PK",'P &amp; NP'!$C$2:$WL$2,"PACITAN")</f>
        <v>233995</v>
      </c>
      <c r="AO24" s="519">
        <f>SUMIFS('P &amp; NP'!$C$8:$WL$8,'P &amp; NP'!$C$5:$WL$5,"NPK",'P &amp; NP'!$C$2:$WL$2,"PACITAN")</f>
        <v>6032362</v>
      </c>
      <c r="AP24" s="519">
        <f>SUMIFS('P &amp; NP'!$C$9:$WL$9,'P &amp; NP'!$C$5:$WL$5,"PK",'P &amp; NP'!$C$2:$WL$2,"PACITAN")</f>
        <v>245090</v>
      </c>
      <c r="AQ24" s="519">
        <f>SUMIFS('P &amp; NP'!$C$9:$WL$9,'P &amp; NP'!$C$5:$WL$5,"NPK",'P &amp; NP'!$C$2:$WL$2,"PACITAN")</f>
        <v>6352654</v>
      </c>
      <c r="AR24" s="519">
        <f>SUMIFS('P &amp; NP'!$C$10:$WL$10,'P &amp; NP'!$C$5:$WL$5,"PK",'P &amp; NP'!$C$2:$WL$2,"PACITAN")</f>
        <v>290055</v>
      </c>
      <c r="AS24" s="519">
        <f>SUMIFS('P &amp; NP'!$C$10:$WL$10,'P &amp; NP'!$C$5:$WL$5,"NPK",'P &amp; NP'!$C$2:$WL$2,"PACITAN")</f>
        <v>7687664</v>
      </c>
      <c r="AU24" s="502">
        <f t="shared" si="15"/>
        <v>0</v>
      </c>
      <c r="AV24" s="512">
        <f t="shared" si="16"/>
        <v>0</v>
      </c>
      <c r="AW24" s="519">
        <f>SUMIFS('P &amp; NP'!$C$7:$WL$7,'P &amp; NP'!$C$5:$WL$5,"PM",'P &amp; NP'!$C$2:$WL$2,"PACITAN")</f>
        <v>0</v>
      </c>
      <c r="AX24" s="519">
        <f>SUMIFS('P &amp; NP'!$C$7:$WL$7,'P &amp; NP'!$C$5:$WL$5,"NPM",'P &amp; NP'!$C$2:$WL$2,"PACITAN")</f>
        <v>0</v>
      </c>
      <c r="AY24" s="519">
        <f>SUMIFS('P &amp; NP'!$C$8:$WL$8,'P &amp; NP'!$C$5:$WL$5,"PM",'P &amp; NP'!$C$2:$WL$2,"PACITAN")</f>
        <v>0</v>
      </c>
      <c r="AZ24" s="519">
        <f>SUMIFS('P &amp; NP'!$C$8:$WL$8,'P &amp; NP'!$C$5:$WL$5,"NPM",'P &amp; NP'!$C$2:$WL$2,"PACITAN")</f>
        <v>0</v>
      </c>
      <c r="BA24" s="519">
        <f>SUMIFS('P &amp; NP'!$C$9:$WL$9,'P &amp; NP'!$C$5:$WL$5,"PM",'P &amp; NP'!$C$2:$WL$2,"PACITAN")</f>
        <v>0</v>
      </c>
      <c r="BB24" s="519">
        <f>SUMIFS('P &amp; NP'!$C$9:$WL$9,'P &amp; NP'!$C$5:$WL$5,"NPM",'P &amp; NP'!$C$2:$WL$2,"PACITAN")</f>
        <v>0</v>
      </c>
      <c r="BC24" s="519">
        <f>SUMIFS('P &amp; NP'!$C$10:$WL$10,'P &amp; NP'!$C$5:$WL$5,"PM",'P &amp; NP'!$C$2:$WL$2,"PACITAN")</f>
        <v>0</v>
      </c>
      <c r="BD24" s="519">
        <f>SUMIFS('P &amp; NP'!$C$10:$WL$10,'P &amp; NP'!$C$5:$WL$5,"NPM",'P &amp; NP'!$C$2:$WL$2,"PACITAN")</f>
        <v>0</v>
      </c>
      <c r="BF24" s="502">
        <f t="shared" si="17"/>
        <v>0</v>
      </c>
      <c r="BG24" s="512">
        <f t="shared" si="18"/>
        <v>0</v>
      </c>
      <c r="BH24" s="519">
        <f>SUMIFS('P &amp; NP'!$C$7:$WL$7,'P &amp; NP'!$C$5:$WL$5,"PB",'P &amp; NP'!$C$2:$WL$2,"PACITAN")</f>
        <v>0</v>
      </c>
      <c r="BI24" s="519">
        <f>SUMIFS('P &amp; NP'!$C$7:$WL$7,'P &amp; NP'!$C$5:$WL$5,"NPB",'P &amp; NP'!$C$2:$WL$2,"PACITAN")</f>
        <v>0</v>
      </c>
      <c r="BJ24" s="519">
        <f>SUMIFS('P &amp; NP'!$C$8:$WL$8,'P &amp; NP'!$C$5:$WL$5,"PB",'P &amp; NP'!$C$2:$WL$2,"PACITAN")</f>
        <v>0</v>
      </c>
      <c r="BK24" s="519">
        <f>SUMIFS('P &amp; NP'!$C$8:$WL$8,'P &amp; NP'!$C$5:$WL$5,"NPB",'P &amp; NP'!$C$2:$WL$2,"PACITAN")</f>
        <v>0</v>
      </c>
      <c r="BL24" s="519">
        <f>SUMIFS('P &amp; NP'!$C$9:$WL$9,'P &amp; NP'!$C$5:$WL$5,"PB",'P &amp; NP'!$C$2:$WL$2,"PACITAN")</f>
        <v>0</v>
      </c>
      <c r="BM24" s="519">
        <f>SUMIFS('P &amp; NP'!$C$9:$WL$9,'P &amp; NP'!$C$5:$WL$5,"NPB",'P &amp; NP'!$C$2:$WL$2,"PACITAN")</f>
        <v>0</v>
      </c>
      <c r="BN24" s="519">
        <f>SUMIFS('P &amp; NP'!$C$10:$WL$10,'P &amp; NP'!$C$5:$WL$5,"PB",'P &amp; NP'!$C$2:$WL$2,"PACITAN")</f>
        <v>0</v>
      </c>
      <c r="BO24" s="519">
        <f>SUMIFS('P &amp; NP'!$C$10:$WL$10,'P &amp; NP'!$C$5:$WL$5,"NPB",'P &amp; NP'!$C$2:$WL$2,"PACITAN")</f>
        <v>0</v>
      </c>
      <c r="BQ24" s="502">
        <f t="shared" si="19"/>
        <v>0</v>
      </c>
      <c r="BR24" s="512">
        <f t="shared" si="20"/>
        <v>0</v>
      </c>
      <c r="BS24" s="519">
        <f>SUMIFS('P &amp; NP'!$C$7:$WL$7,'P &amp; NP'!$C$5:$WL$5,"PJ",'P &amp; NP'!$C$2:$WL$2,"PACITAN")</f>
        <v>0</v>
      </c>
      <c r="BT24" s="519">
        <f>SUMIFS('P &amp; NP'!$C$7:$WL$7,'P &amp; NP'!$C$5:$WL$5,"NPJ",'P &amp; NP'!$C$2:$WL$2,"PACITAN")</f>
        <v>0</v>
      </c>
      <c r="BU24" s="519">
        <f>SUMIFS('P &amp; NP'!$C$8:$WL$8,'P &amp; NP'!$C$5:$WL$5,"PJ",'P &amp; NP'!$C$2:$WL$2,"PACITAN")</f>
        <v>0</v>
      </c>
      <c r="BV24" s="519">
        <f>SUMIFS('P &amp; NP'!$C$8:$WL$8,'P &amp; NP'!$C$5:$WL$5,"NPJ",'P &amp; NP'!$C$2:$WL$2,"PACITAN")</f>
        <v>0</v>
      </c>
      <c r="BW24" s="519">
        <f>SUMIFS('P &amp; NP'!$C$9:$WL$9,'P &amp; NP'!$C$5:$WL$5,"PJ",'P &amp; NP'!$C$2:$WL$2,"PACITAN")</f>
        <v>0</v>
      </c>
      <c r="BX24" s="519">
        <f>SUMIFS('P &amp; NP'!$C$9:$WL$9,'P &amp; NP'!$C$5:$WL$5,"NPJ",'P &amp; NP'!$C$2:$WL$2,"PACITAN")</f>
        <v>0</v>
      </c>
      <c r="BY24" s="519">
        <f>SUMIFS('P &amp; NP'!$C$10:$WL$10,'P &amp; NP'!$C$5:$WL$5,"PJ",'P &amp; NP'!$C$2:$WL$2,"PACITAN")</f>
        <v>0</v>
      </c>
      <c r="BZ24" s="519">
        <f>SUMIFS('P &amp; NP'!$C$10:$WL$10,'P &amp; NP'!$C$5:$WL$5,"NPJ",'P &amp; NP'!$C$2:$WL$2,"PACITAN")</f>
        <v>0</v>
      </c>
      <c r="CB24" s="502">
        <f t="shared" si="21"/>
        <v>2663462</v>
      </c>
      <c r="CC24" s="512">
        <f t="shared" si="22"/>
        <v>161741390</v>
      </c>
      <c r="CD24" s="519">
        <f t="shared" si="23"/>
        <v>547268</v>
      </c>
      <c r="CE24" s="519">
        <f t="shared" si="24"/>
        <v>33854290</v>
      </c>
      <c r="CF24" s="519">
        <f t="shared" si="25"/>
        <v>588584</v>
      </c>
      <c r="CG24" s="519">
        <f t="shared" si="26"/>
        <v>34410482</v>
      </c>
      <c r="CH24" s="519">
        <f t="shared" si="27"/>
        <v>741911</v>
      </c>
      <c r="CI24" s="519">
        <f t="shared" si="28"/>
        <v>46123334</v>
      </c>
      <c r="CJ24" s="519">
        <f t="shared" si="29"/>
        <v>785699</v>
      </c>
      <c r="CK24" s="519">
        <f t="shared" si="30"/>
        <v>47353284</v>
      </c>
    </row>
    <row r="25" spans="1:89">
      <c r="A25" s="509"/>
      <c r="B25" s="484" t="s">
        <v>139</v>
      </c>
      <c r="C25" s="502">
        <f t="shared" si="8"/>
        <v>0</v>
      </c>
      <c r="D25" s="512">
        <f t="shared" si="9"/>
        <v>0</v>
      </c>
      <c r="E25" s="519">
        <f>SUMIFS('P &amp; NP'!$C$7:$WL$7,'P &amp; NP'!$C$5:$WL$5,"PL",'P &amp; NP'!$C$2:$WL$2,"PAMEKASAN")</f>
        <v>0</v>
      </c>
      <c r="F25" s="519">
        <f>SUMIFS('P &amp; NP'!$C$7:$WL$7,'P &amp; NP'!$C$5:$WL$5,"NPL",'P &amp; NP'!$C$2:$WL$2,"PAMEKASAN")</f>
        <v>0</v>
      </c>
      <c r="G25" s="519">
        <f>SUMIFS('P &amp; NP'!$C$8:$WL$8,'P &amp; NP'!$C$5:$WL$5,"PL",'P &amp; NP'!$C$2:$WL$2,"PAMEKASAN")</f>
        <v>0</v>
      </c>
      <c r="H25" s="519">
        <f>SUMIFS('P &amp; NP'!$C$8:$WL$8,'P &amp; NP'!$C$5:$WL$5,"NPL",'P &amp; NP'!$C$2:$WL$2,"PAMEKASAN")</f>
        <v>0</v>
      </c>
      <c r="I25" s="519">
        <f>SUMIFS('P &amp; NP'!$C$9:$WL$9,'P &amp; NP'!$C$5:$WL$5,"PL",'P &amp; NP'!$C$2:$WL$2,"PAMEKASAN")</f>
        <v>0</v>
      </c>
      <c r="J25" s="519">
        <f>SUMIFS('P &amp; NP'!$C$9:$WL$9,'P &amp; NP'!$C$5:$WL$5,"NPL",'P &amp; NP'!$C$2:$WL$2,"PAMEKASAN")</f>
        <v>0</v>
      </c>
      <c r="K25" s="519">
        <f>SUMIFS('P &amp; NP'!$C$10:$WL$10,'P &amp; NP'!$C$5:$WL$5,"PL",'P &amp; NP'!$C$2:$WL$2,"PAMEKASAN")</f>
        <v>0</v>
      </c>
      <c r="L25" s="519">
        <f>SUMIFS('P &amp; NP'!$C$10:$WL$10,'P &amp; NP'!$C$5:$WL$5,"NPL",'P &amp; NP'!$C$2:$WL$2,"PAMEKASAN")</f>
        <v>0</v>
      </c>
      <c r="N25" s="502">
        <f t="shared" si="10"/>
        <v>515643</v>
      </c>
      <c r="O25" s="512">
        <f t="shared" si="11"/>
        <v>33231010</v>
      </c>
      <c r="P25" s="519">
        <f>SUMIFS('P &amp; NP'!$C$7:$WL$7,'P &amp; NP'!$C$5:$WL$5,"PT",'P &amp; NP'!$C$2:$WL$2,"PAMEKASAN")</f>
        <v>142429</v>
      </c>
      <c r="Q25" s="519">
        <f>SUMIFS('P &amp; NP'!$C$7:$WL$7,'P &amp; NP'!$C$5:$WL$5,"NPT",'P &amp; NP'!$C$2:$WL$2,"PAMEKASAN")</f>
        <v>9935474</v>
      </c>
      <c r="R25" s="519">
        <f>SUMIFS('P &amp; NP'!$C$8:$WL$8,'P &amp; NP'!$C$5:$WL$5,"PT",'P &amp; NP'!$C$2:$WL$2,"PAMEKASAN")</f>
        <v>96109</v>
      </c>
      <c r="S25" s="519">
        <f>SUMIFS('P &amp; NP'!$C$8:$WL$8,'P &amp; NP'!$C$5:$WL$5,"NPT",'P &amp; NP'!$C$2:$WL$2,"PAMEKASAN")</f>
        <v>5913065</v>
      </c>
      <c r="T25" s="519">
        <f>SUMIFS('P &amp; NP'!$C$9:$WL$9,'P &amp; NP'!$C$5:$WL$5,"PT",'P &amp; NP'!$C$2:$WL$2,"PAMEKASAN")</f>
        <v>111994</v>
      </c>
      <c r="U25" s="519">
        <f>SUMIFS('P &amp; NP'!$C$9:$WL$9,'P &amp; NP'!$C$5:$WL$5,"NPT",'P &amp; NP'!$C$2:$WL$2,"PAMEKASAN")</f>
        <v>7175374</v>
      </c>
      <c r="V25" s="519">
        <f>SUMIFS('P &amp; NP'!$C$10:$WL$10,'P &amp; NP'!$C$5:$WL$5,"PT",'P &amp; NP'!$C$2:$WL$2,"PAMEKASAN")</f>
        <v>165111</v>
      </c>
      <c r="W25" s="519">
        <f>SUMIFS('P &amp; NP'!$C$10:$WL$10,'P &amp; NP'!$C$5:$WL$5,"NPT",'P &amp; NP'!$C$2:$WL$2,"PAMEKASAN")</f>
        <v>10207097</v>
      </c>
      <c r="Y25" s="502">
        <f ca="1">SUMIF(AA$5:$AH23,$Y$1,AA25:AH25)</f>
        <v>0</v>
      </c>
      <c r="Z25" s="512">
        <f t="shared" si="12"/>
        <v>0</v>
      </c>
      <c r="AA25" s="519">
        <f>SUMIFS('P &amp; NP'!$C$7:$WL$7,'P &amp; NP'!$C$5:$WL$5,"PS",'P &amp; NP'!$C$2:$WL$2,"PAMEKASAN")</f>
        <v>0</v>
      </c>
      <c r="AB25" s="519">
        <f>SUMIFS('P &amp; NP'!$C$7:$WL$7,'P &amp; NP'!$C$5:$WL$5,"NPS",'P &amp; NP'!$C$2:$WL$2,"PAMEKASAN")</f>
        <v>0</v>
      </c>
      <c r="AC25" s="519">
        <f>SUMIFS('P &amp; NP'!$C$8:$WL$8,'P &amp; NP'!$C$5:$WL$5,"PS",'P &amp; NP'!$C$2:$WL$2,"PAMEKASAN")</f>
        <v>0</v>
      </c>
      <c r="AD25" s="519">
        <f>SUMIFS('P &amp; NP'!$C$8:$WL$8,'P &amp; NP'!$C$5:$WL$5,"NPS",'P &amp; NP'!$C$2:$WL$2,"PAMEKASAN")</f>
        <v>0</v>
      </c>
      <c r="AE25" s="519">
        <f>SUMIFS('P &amp; NP'!$C$9:$WL$9,'P &amp; NP'!$C$5:$WL$5,"PS",'P &amp; NP'!$C$2:$WL$2,"PAMEKASAN")</f>
        <v>0</v>
      </c>
      <c r="AF25" s="519">
        <f>SUMIFS('P &amp; NP'!$C$9:$WL$9,'P &amp; NP'!$C$5:$WL$5,"NPS",'P &amp; NP'!$C$2:$WL$2,"PAMEKASAN")</f>
        <v>0</v>
      </c>
      <c r="AG25" s="519">
        <f>SUMIFS('P &amp; NP'!$C$10:$WL$10,'P &amp; NP'!$C$5:$WL$5,"PS",'P &amp; NP'!$C$2:$WL$2,"PAMEKASAN")</f>
        <v>0</v>
      </c>
      <c r="AH25" s="519">
        <f>SUMIFS('P &amp; NP'!$C$10:$WL$10,'P &amp; NP'!$C$5:$WL$5,"NPS",'P &amp; NP'!$C$2:$WL$2,"PAMEKASAN")</f>
        <v>0</v>
      </c>
      <c r="AJ25" s="502">
        <f t="shared" si="13"/>
        <v>800050</v>
      </c>
      <c r="AK25" s="512">
        <f t="shared" si="14"/>
        <v>16075010</v>
      </c>
      <c r="AL25" s="519">
        <f>SUMIFS('P &amp; NP'!$C$7:$WL$7,'P &amp; NP'!$C$5:$WL$5,"PK",'P &amp; NP'!$C$2:$WL$2,"PAMEKASAN")</f>
        <v>172635</v>
      </c>
      <c r="AM25" s="519">
        <f>SUMIFS('P &amp; NP'!$C$7:$WL$7,'P &amp; NP'!$C$5:$WL$5,"NPK",'P &amp; NP'!$C$2:$WL$2,"PAMEKASAN")</f>
        <v>3469045</v>
      </c>
      <c r="AN25" s="519">
        <f>SUMIFS('P &amp; NP'!$C$8:$WL$8,'P &amp; NP'!$C$5:$WL$5,"PK",'P &amp; NP'!$C$2:$WL$2,"PAMEKASAN")</f>
        <v>180372</v>
      </c>
      <c r="AO25" s="519">
        <f>SUMIFS('P &amp; NP'!$C$8:$WL$8,'P &amp; NP'!$C$5:$WL$5,"NPK",'P &amp; NP'!$C$2:$WL$2,"PAMEKASAN")</f>
        <v>3622735</v>
      </c>
      <c r="AP25" s="519">
        <f>SUMIFS('P &amp; NP'!$C$9:$WL$9,'P &amp; NP'!$C$5:$WL$5,"PK",'P &amp; NP'!$C$2:$WL$2,"PAMEKASAN")</f>
        <v>178016</v>
      </c>
      <c r="AQ25" s="519">
        <f>SUMIFS('P &amp; NP'!$C$9:$WL$9,'P &amp; NP'!$C$5:$WL$5,"NPK",'P &amp; NP'!$C$2:$WL$2,"PAMEKASAN")</f>
        <v>3576265</v>
      </c>
      <c r="AR25" s="519">
        <f>SUMIFS('P &amp; NP'!$C$10:$WL$10,'P &amp; NP'!$C$5:$WL$5,"PK",'P &amp; NP'!$C$2:$WL$2,"PAMEKASAN")</f>
        <v>269027</v>
      </c>
      <c r="AS25" s="519">
        <f>SUMIFS('P &amp; NP'!$C$10:$WL$10,'P &amp; NP'!$C$5:$WL$5,"NPK",'P &amp; NP'!$C$2:$WL$2,"PAMEKASAN")</f>
        <v>5406965</v>
      </c>
      <c r="AU25" s="502">
        <f t="shared" si="15"/>
        <v>0</v>
      </c>
      <c r="AV25" s="512">
        <f t="shared" si="16"/>
        <v>0</v>
      </c>
      <c r="AW25" s="519">
        <f>SUMIFS('P &amp; NP'!$C$7:$WL$7,'P &amp; NP'!$C$5:$WL$5,"PM",'P &amp; NP'!$C$2:$WL$2,"PAMEKASAN")</f>
        <v>0</v>
      </c>
      <c r="AX25" s="519">
        <f>SUMIFS('P &amp; NP'!$C$7:$WL$7,'P &amp; NP'!$C$5:$WL$5,"NPM",'P &amp; NP'!$C$2:$WL$2,"PAMEKASAN")</f>
        <v>0</v>
      </c>
      <c r="AY25" s="519">
        <f>SUMIFS('P &amp; NP'!$C$8:$WL$8,'P &amp; NP'!$C$5:$WL$5,"PM",'P &amp; NP'!$C$2:$WL$2,"PAMEKASAN")</f>
        <v>0</v>
      </c>
      <c r="AZ25" s="519">
        <f>SUMIFS('P &amp; NP'!$C$8:$WL$8,'P &amp; NP'!$C$5:$WL$5,"NPM",'P &amp; NP'!$C$2:$WL$2,"PAMEKASAN")</f>
        <v>0</v>
      </c>
      <c r="BA25" s="519">
        <f>SUMIFS('P &amp; NP'!$C$9:$WL$9,'P &amp; NP'!$C$5:$WL$5,"PM",'P &amp; NP'!$C$2:$WL$2,"PAMEKASAN")</f>
        <v>0</v>
      </c>
      <c r="BB25" s="519">
        <f>SUMIFS('P &amp; NP'!$C$9:$WL$9,'P &amp; NP'!$C$5:$WL$5,"NPM",'P &amp; NP'!$C$2:$WL$2,"PAMEKASAN")</f>
        <v>0</v>
      </c>
      <c r="BC25" s="519">
        <f>SUMIFS('P &amp; NP'!$C$10:$WL$10,'P &amp; NP'!$C$5:$WL$5,"PM",'P &amp; NP'!$C$2:$WL$2,"PAMEKASAN")</f>
        <v>0</v>
      </c>
      <c r="BD25" s="519">
        <f>SUMIFS('P &amp; NP'!$C$10:$WL$10,'P &amp; NP'!$C$5:$WL$5,"NPM",'P &amp; NP'!$C$2:$WL$2,"PAMEKASAN")</f>
        <v>0</v>
      </c>
      <c r="BF25" s="502">
        <f t="shared" si="17"/>
        <v>0</v>
      </c>
      <c r="BG25" s="512">
        <f t="shared" si="18"/>
        <v>0</v>
      </c>
      <c r="BH25" s="519">
        <f>SUMIFS('P &amp; NP'!$C$7:$WL$7,'P &amp; NP'!$C$5:$WL$5,"PB",'P &amp; NP'!$C$2:$WL$2,"PAMEKASAN")</f>
        <v>0</v>
      </c>
      <c r="BI25" s="519">
        <f>SUMIFS('P &amp; NP'!$C$7:$WL$7,'P &amp; NP'!$C$5:$WL$5,"NPB",'P &amp; NP'!$C$2:$WL$2,"PAMEKASAN")</f>
        <v>0</v>
      </c>
      <c r="BJ25" s="519">
        <f>SUMIFS('P &amp; NP'!$C$8:$WL$8,'P &amp; NP'!$C$5:$WL$5,"PB",'P &amp; NP'!$C$2:$WL$2,"PAMEKASAN")</f>
        <v>0</v>
      </c>
      <c r="BK25" s="519">
        <f>SUMIFS('P &amp; NP'!$C$8:$WL$8,'P &amp; NP'!$C$5:$WL$5,"NPB",'P &amp; NP'!$C$2:$WL$2,"PAMEKASAN")</f>
        <v>0</v>
      </c>
      <c r="BL25" s="519">
        <f>SUMIFS('P &amp; NP'!$C$9:$WL$9,'P &amp; NP'!$C$5:$WL$5,"PB",'P &amp; NP'!$C$2:$WL$2,"PAMEKASAN")</f>
        <v>0</v>
      </c>
      <c r="BM25" s="519">
        <f>SUMIFS('P &amp; NP'!$C$9:$WL$9,'P &amp; NP'!$C$5:$WL$5,"NPB",'P &amp; NP'!$C$2:$WL$2,"PAMEKASAN")</f>
        <v>0</v>
      </c>
      <c r="BN25" s="519">
        <f>SUMIFS('P &amp; NP'!$C$10:$WL$10,'P &amp; NP'!$C$5:$WL$5,"PB",'P &amp; NP'!$C$2:$WL$2,"PAMEKASAN")</f>
        <v>0</v>
      </c>
      <c r="BO25" s="519">
        <f>SUMIFS('P &amp; NP'!$C$10:$WL$10,'P &amp; NP'!$C$5:$WL$5,"NPB",'P &amp; NP'!$C$2:$WL$2,"PAMEKASAN")</f>
        <v>0</v>
      </c>
      <c r="BQ25" s="502">
        <f t="shared" si="19"/>
        <v>0</v>
      </c>
      <c r="BR25" s="512">
        <f t="shared" si="20"/>
        <v>0</v>
      </c>
      <c r="BS25" s="519">
        <f>SUMIFS('P &amp; NP'!$C$7:$WL$7,'P &amp; NP'!$C$5:$WL$5,"PJ",'P &amp; NP'!$C$2:$WL$2,"PAMEKASAN")</f>
        <v>0</v>
      </c>
      <c r="BT25" s="519">
        <f>SUMIFS('P &amp; NP'!$C$7:$WL$7,'P &amp; NP'!$C$5:$WL$5,"NPJ",'P &amp; NP'!$C$2:$WL$2,"PAMEKASAN")</f>
        <v>0</v>
      </c>
      <c r="BU25" s="519">
        <f>SUMIFS('P &amp; NP'!$C$8:$WL$8,'P &amp; NP'!$C$5:$WL$5,"PJ",'P &amp; NP'!$C$2:$WL$2,"PAMEKASAN")</f>
        <v>0</v>
      </c>
      <c r="BV25" s="519">
        <f>SUMIFS('P &amp; NP'!$C$8:$WL$8,'P &amp; NP'!$C$5:$WL$5,"NPJ",'P &amp; NP'!$C$2:$WL$2,"PAMEKASAN")</f>
        <v>0</v>
      </c>
      <c r="BW25" s="519">
        <f>SUMIFS('P &amp; NP'!$C$9:$WL$9,'P &amp; NP'!$C$5:$WL$5,"PJ",'P &amp; NP'!$C$2:$WL$2,"PAMEKASAN")</f>
        <v>0</v>
      </c>
      <c r="BX25" s="519">
        <f>SUMIFS('P &amp; NP'!$C$9:$WL$9,'P &amp; NP'!$C$5:$WL$5,"NPJ",'P &amp; NP'!$C$2:$WL$2,"PAMEKASAN")</f>
        <v>0</v>
      </c>
      <c r="BY25" s="519">
        <f>SUMIFS('P &amp; NP'!$C$10:$WL$10,'P &amp; NP'!$C$5:$WL$5,"PJ",'P &amp; NP'!$C$2:$WL$2,"PAMEKASAN")</f>
        <v>0</v>
      </c>
      <c r="BZ25" s="519">
        <f>SUMIFS('P &amp; NP'!$C$10:$WL$10,'P &amp; NP'!$C$5:$WL$5,"NPJ",'P &amp; NP'!$C$2:$WL$2,"PAMEKASAN")</f>
        <v>0</v>
      </c>
      <c r="CB25" s="502">
        <f t="shared" si="21"/>
        <v>1315693</v>
      </c>
      <c r="CC25" s="512">
        <f t="shared" si="22"/>
        <v>49306020</v>
      </c>
      <c r="CD25" s="519">
        <f t="shared" si="23"/>
        <v>315064</v>
      </c>
      <c r="CE25" s="519">
        <f t="shared" si="24"/>
        <v>13404519</v>
      </c>
      <c r="CF25" s="519">
        <f t="shared" si="25"/>
        <v>276481</v>
      </c>
      <c r="CG25" s="519">
        <f t="shared" si="26"/>
        <v>9535800</v>
      </c>
      <c r="CH25" s="519">
        <f t="shared" si="27"/>
        <v>290010</v>
      </c>
      <c r="CI25" s="519">
        <f t="shared" si="28"/>
        <v>10751639</v>
      </c>
      <c r="CJ25" s="519">
        <f t="shared" si="29"/>
        <v>434138</v>
      </c>
      <c r="CK25" s="519">
        <f t="shared" si="30"/>
        <v>15614062</v>
      </c>
    </row>
    <row r="26" spans="1:89">
      <c r="A26" s="509"/>
      <c r="B26" s="484" t="s">
        <v>125</v>
      </c>
      <c r="C26" s="502">
        <f t="shared" si="8"/>
        <v>0</v>
      </c>
      <c r="D26" s="512">
        <f t="shared" si="9"/>
        <v>0</v>
      </c>
      <c r="E26" s="519">
        <f>SUMIFS('P &amp; NP'!$C$7:$WL$7,'P &amp; NP'!$C$5:$WL$5,"PL",'P &amp; NP'!$C$2:$WL$2,"PASURUAN")</f>
        <v>0</v>
      </c>
      <c r="F26" s="519">
        <f>SUMIFS('P &amp; NP'!$C$7:$WL$7,'P &amp; NP'!$C$5:$WL$5,"NPL",'P &amp; NP'!$C$2:$WL$2,"PASURUAN")</f>
        <v>0</v>
      </c>
      <c r="G26" s="519">
        <f>SUMIFS('P &amp; NP'!$C$8:$WL$8,'P &amp; NP'!$C$5:$WL$5,"PL",'P &amp; NP'!$C$2:$WL$2,"PASURUAN")</f>
        <v>0</v>
      </c>
      <c r="H26" s="519">
        <f>SUMIFS('P &amp; NP'!$C$8:$WL$8,'P &amp; NP'!$C$5:$WL$5,"NPL",'P &amp; NP'!$C$2:$WL$2,"PASURUAN")</f>
        <v>0</v>
      </c>
      <c r="I26" s="519">
        <f>SUMIFS('P &amp; NP'!$C$9:$WL$9,'P &amp; NP'!$C$5:$WL$5,"PL",'P &amp; NP'!$C$2:$WL$2,"PASURUAN")</f>
        <v>0</v>
      </c>
      <c r="J26" s="519">
        <f>SUMIFS('P &amp; NP'!$C$9:$WL$9,'P &amp; NP'!$C$5:$WL$5,"NPL",'P &amp; NP'!$C$2:$WL$2,"PASURUAN")</f>
        <v>0</v>
      </c>
      <c r="K26" s="519">
        <f>SUMIFS('P &amp; NP'!$C$10:$WL$10,'P &amp; NP'!$C$5:$WL$5,"PL",'P &amp; NP'!$C$2:$WL$2,"PASURUAN")</f>
        <v>0</v>
      </c>
      <c r="L26" s="519">
        <f>SUMIFS('P &amp; NP'!$C$10:$WL$10,'P &amp; NP'!$C$5:$WL$5,"NPL",'P &amp; NP'!$C$2:$WL$2,"PASURUAN")</f>
        <v>0</v>
      </c>
      <c r="N26" s="502">
        <f t="shared" si="10"/>
        <v>9211002.7800000012</v>
      </c>
      <c r="O26" s="512">
        <f t="shared" si="11"/>
        <v>151727484</v>
      </c>
      <c r="P26" s="519">
        <f>SUMIFS('P &amp; NP'!$C$7:$WL$7,'P &amp; NP'!$C$5:$WL$5,"PT",'P &amp; NP'!$C$2:$WL$2,"PASURUAN")</f>
        <v>1847043.1599999997</v>
      </c>
      <c r="Q26" s="519">
        <f>SUMIFS('P &amp; NP'!$C$7:$WL$7,'P &amp; NP'!$C$5:$WL$5,"NPT",'P &amp; NP'!$C$2:$WL$2,"PASURUAN")</f>
        <v>36040176</v>
      </c>
      <c r="R26" s="519">
        <f>SUMIFS('P &amp; NP'!$C$8:$WL$8,'P &amp; NP'!$C$5:$WL$5,"PT",'P &amp; NP'!$C$2:$WL$2,"PASURUAN")</f>
        <v>1811606.2500000002</v>
      </c>
      <c r="S26" s="519">
        <f>SUMIFS('P &amp; NP'!$C$8:$WL$8,'P &amp; NP'!$C$5:$WL$5,"NPT",'P &amp; NP'!$C$2:$WL$2,"PASURUAN")</f>
        <v>33031470</v>
      </c>
      <c r="T26" s="519">
        <f>SUMIFS('P &amp; NP'!$C$9:$WL$9,'P &amp; NP'!$C$5:$WL$5,"PT",'P &amp; NP'!$C$2:$WL$2,"PASURUAN")</f>
        <v>2969482.66</v>
      </c>
      <c r="U26" s="519">
        <f>SUMIFS('P &amp; NP'!$C$9:$WL$9,'P &amp; NP'!$C$5:$WL$5,"NPT",'P &amp; NP'!$C$2:$WL$2,"PASURUAN")</f>
        <v>39055107</v>
      </c>
      <c r="V26" s="519">
        <f>SUMIFS('P &amp; NP'!$C$10:$WL$10,'P &amp; NP'!$C$5:$WL$5,"PT",'P &amp; NP'!$C$2:$WL$2,"PASURUAN")</f>
        <v>2582870.71</v>
      </c>
      <c r="W26" s="519">
        <f>SUMIFS('P &amp; NP'!$C$10:$WL$10,'P &amp; NP'!$C$5:$WL$5,"NPT",'P &amp; NP'!$C$2:$WL$2,"PASURUAN")</f>
        <v>43600731</v>
      </c>
      <c r="Y26" s="502">
        <f ca="1">SUMIF(AA$5:$AH24,$Y$1,AA26:AH26)</f>
        <v>0</v>
      </c>
      <c r="Z26" s="512">
        <f t="shared" si="12"/>
        <v>0</v>
      </c>
      <c r="AA26" s="519">
        <f>SUMIFS('P &amp; NP'!$C$7:$WL$7,'P &amp; NP'!$C$5:$WL$5,"PS",'P &amp; NP'!$C$2:$WL$2,"PASURUAN")</f>
        <v>0</v>
      </c>
      <c r="AB26" s="519">
        <f>SUMIFS('P &amp; NP'!$C$7:$WL$7,'P &amp; NP'!$C$5:$WL$5,"NPS",'P &amp; NP'!$C$2:$WL$2,"PASURUAN")</f>
        <v>0</v>
      </c>
      <c r="AC26" s="519">
        <f>SUMIFS('P &amp; NP'!$C$8:$WL$8,'P &amp; NP'!$C$5:$WL$5,"PS",'P &amp; NP'!$C$2:$WL$2,"PASURUAN")</f>
        <v>0</v>
      </c>
      <c r="AD26" s="519">
        <f>SUMIFS('P &amp; NP'!$C$8:$WL$8,'P &amp; NP'!$C$5:$WL$5,"NPS",'P &amp; NP'!$C$2:$WL$2,"PASURUAN")</f>
        <v>0</v>
      </c>
      <c r="AE26" s="519">
        <f>SUMIFS('P &amp; NP'!$C$9:$WL$9,'P &amp; NP'!$C$5:$WL$5,"PS",'P &amp; NP'!$C$2:$WL$2,"PASURUAN")</f>
        <v>0</v>
      </c>
      <c r="AF26" s="519">
        <f>SUMIFS('P &amp; NP'!$C$9:$WL$9,'P &amp; NP'!$C$5:$WL$5,"NPS",'P &amp; NP'!$C$2:$WL$2,"PASURUAN")</f>
        <v>0</v>
      </c>
      <c r="AG26" s="519">
        <f>SUMIFS('P &amp; NP'!$C$10:$WL$10,'P &amp; NP'!$C$5:$WL$5,"PS",'P &amp; NP'!$C$2:$WL$2,"PASURUAN")</f>
        <v>0</v>
      </c>
      <c r="AH26" s="519">
        <f>SUMIFS('P &amp; NP'!$C$10:$WL$10,'P &amp; NP'!$C$5:$WL$5,"NPS",'P &amp; NP'!$C$2:$WL$2,"PASURUAN")</f>
        <v>0</v>
      </c>
      <c r="AJ26" s="502">
        <f t="shared" si="13"/>
        <v>15942118.630000001</v>
      </c>
      <c r="AK26" s="512">
        <f t="shared" si="14"/>
        <v>291949904</v>
      </c>
      <c r="AL26" s="519">
        <f>SUMIFS('P &amp; NP'!$C$7:$WL$7,'P &amp; NP'!$C$5:$WL$5,"PK",'P &amp; NP'!$C$2:$WL$2,"PASURUAN")</f>
        <v>4556757.07</v>
      </c>
      <c r="AM26" s="519">
        <f>SUMIFS('P &amp; NP'!$C$7:$WL$7,'P &amp; NP'!$C$5:$WL$5,"NPK",'P &amp; NP'!$C$2:$WL$2,"PASURUAN")</f>
        <v>85424793</v>
      </c>
      <c r="AN26" s="519">
        <f>SUMIFS('P &amp; NP'!$C$8:$WL$8,'P &amp; NP'!$C$5:$WL$5,"PK",'P &amp; NP'!$C$2:$WL$2,"PASURUAN")</f>
        <v>4087087.1400000006</v>
      </c>
      <c r="AO26" s="519">
        <f>SUMIFS('P &amp; NP'!$C$8:$WL$8,'P &amp; NP'!$C$5:$WL$5,"NPK",'P &amp; NP'!$C$2:$WL$2,"PASURUAN")</f>
        <v>74211786</v>
      </c>
      <c r="AP26" s="519">
        <f>SUMIFS('P &amp; NP'!$C$9:$WL$9,'P &amp; NP'!$C$5:$WL$5,"PK",'P &amp; NP'!$C$2:$WL$2,"PASURUAN")</f>
        <v>3877398.49</v>
      </c>
      <c r="AQ26" s="519">
        <f>SUMIFS('P &amp; NP'!$C$9:$WL$9,'P &amp; NP'!$C$5:$WL$5,"NPK",'P &amp; NP'!$C$2:$WL$2,"PASURUAN")</f>
        <v>70139968</v>
      </c>
      <c r="AR26" s="519">
        <f>SUMIFS('P &amp; NP'!$C$10:$WL$10,'P &amp; NP'!$C$5:$WL$5,"PK",'P &amp; NP'!$C$2:$WL$2,"PASURUAN")</f>
        <v>3420875.93</v>
      </c>
      <c r="AS26" s="519">
        <f>SUMIFS('P &amp; NP'!$C$10:$WL$10,'P &amp; NP'!$C$5:$WL$5,"NPK",'P &amp; NP'!$C$2:$WL$2,"PASURUAN")</f>
        <v>62173357</v>
      </c>
      <c r="AU26" s="502">
        <f t="shared" si="15"/>
        <v>0</v>
      </c>
      <c r="AV26" s="512">
        <f t="shared" si="16"/>
        <v>0</v>
      </c>
      <c r="AW26" s="519">
        <f>SUMIFS('P &amp; NP'!$C$7:$WL$7,'P &amp; NP'!$C$5:$WL$5,"PM",'P &amp; NP'!$C$2:$WL$2,"PASURUAN")</f>
        <v>0</v>
      </c>
      <c r="AX26" s="519">
        <f>SUMIFS('P &amp; NP'!$C$7:$WL$7,'P &amp; NP'!$C$5:$WL$5,"NPM",'P &amp; NP'!$C$2:$WL$2,"PASURUAN")</f>
        <v>0</v>
      </c>
      <c r="AY26" s="519">
        <f>SUMIFS('P &amp; NP'!$C$8:$WL$8,'P &amp; NP'!$C$5:$WL$5,"PM",'P &amp; NP'!$C$2:$WL$2,"PASURUAN")</f>
        <v>0</v>
      </c>
      <c r="AZ26" s="519">
        <f>SUMIFS('P &amp; NP'!$C$8:$WL$8,'P &amp; NP'!$C$5:$WL$5,"NPM",'P &amp; NP'!$C$2:$WL$2,"PASURUAN")</f>
        <v>0</v>
      </c>
      <c r="BA26" s="519">
        <f>SUMIFS('P &amp; NP'!$C$9:$WL$9,'P &amp; NP'!$C$5:$WL$5,"PM",'P &amp; NP'!$C$2:$WL$2,"PASURUAN")</f>
        <v>0</v>
      </c>
      <c r="BB26" s="519">
        <f>SUMIFS('P &amp; NP'!$C$9:$WL$9,'P &amp; NP'!$C$5:$WL$5,"NPM",'P &amp; NP'!$C$2:$WL$2,"PASURUAN")</f>
        <v>0</v>
      </c>
      <c r="BC26" s="519">
        <f>SUMIFS('P &amp; NP'!$C$10:$WL$10,'P &amp; NP'!$C$5:$WL$5,"PM",'P &amp; NP'!$C$2:$WL$2,"PASURUAN")</f>
        <v>0</v>
      </c>
      <c r="BD26" s="519">
        <f>SUMIFS('P &amp; NP'!$C$10:$WL$10,'P &amp; NP'!$C$5:$WL$5,"NPM",'P &amp; NP'!$C$2:$WL$2,"PASURUAN")</f>
        <v>0</v>
      </c>
      <c r="BF26" s="502">
        <f t="shared" si="17"/>
        <v>0</v>
      </c>
      <c r="BG26" s="512">
        <f t="shared" si="18"/>
        <v>0</v>
      </c>
      <c r="BH26" s="519">
        <f>SUMIFS('P &amp; NP'!$C$7:$WL$7,'P &amp; NP'!$C$5:$WL$5,"PB",'P &amp; NP'!$C$2:$WL$2,"PASURUAN")</f>
        <v>0</v>
      </c>
      <c r="BI26" s="519">
        <f>SUMIFS('P &amp; NP'!$C$7:$WL$7,'P &amp; NP'!$C$5:$WL$5,"NPB",'P &amp; NP'!$C$2:$WL$2,"PASURUAN")</f>
        <v>0</v>
      </c>
      <c r="BJ26" s="519">
        <f>SUMIFS('P &amp; NP'!$C$8:$WL$8,'P &amp; NP'!$C$5:$WL$5,"PB",'P &amp; NP'!$C$2:$WL$2,"PASURUAN")</f>
        <v>0</v>
      </c>
      <c r="BK26" s="519">
        <f>SUMIFS('P &amp; NP'!$C$8:$WL$8,'P &amp; NP'!$C$5:$WL$5,"NPB",'P &amp; NP'!$C$2:$WL$2,"PASURUAN")</f>
        <v>0</v>
      </c>
      <c r="BL26" s="519">
        <f>SUMIFS('P &amp; NP'!$C$9:$WL$9,'P &amp; NP'!$C$5:$WL$5,"PB",'P &amp; NP'!$C$2:$WL$2,"PASURUAN")</f>
        <v>0</v>
      </c>
      <c r="BM26" s="519">
        <f>SUMIFS('P &amp; NP'!$C$9:$WL$9,'P &amp; NP'!$C$5:$WL$5,"NPB",'P &amp; NP'!$C$2:$WL$2,"PASURUAN")</f>
        <v>0</v>
      </c>
      <c r="BN26" s="519">
        <f>SUMIFS('P &amp; NP'!$C$10:$WL$10,'P &amp; NP'!$C$5:$WL$5,"PB",'P &amp; NP'!$C$2:$WL$2,"PASURUAN")</f>
        <v>0</v>
      </c>
      <c r="BO26" s="519">
        <f>SUMIFS('P &amp; NP'!$C$10:$WL$10,'P &amp; NP'!$C$5:$WL$5,"NPB",'P &amp; NP'!$C$2:$WL$2,"PASURUAN")</f>
        <v>0</v>
      </c>
      <c r="BQ26" s="502">
        <f t="shared" si="19"/>
        <v>142052.85999999999</v>
      </c>
      <c r="BR26" s="512">
        <f t="shared" si="20"/>
        <v>3441218</v>
      </c>
      <c r="BS26" s="519">
        <f>SUMIFS('P &amp; NP'!$C$7:$WL$7,'P &amp; NP'!$C$5:$WL$5,"PJ",'P &amp; NP'!$C$2:$WL$2,"PASURUAN")</f>
        <v>34857.33</v>
      </c>
      <c r="BT26" s="519">
        <f>SUMIFS('P &amp; NP'!$C$7:$WL$7,'P &amp; NP'!$C$5:$WL$5,"NPJ",'P &amp; NP'!$C$2:$WL$2,"PASURUAN")</f>
        <v>836573</v>
      </c>
      <c r="BU26" s="519">
        <f>SUMIFS('P &amp; NP'!$C$8:$WL$8,'P &amp; NP'!$C$5:$WL$5,"PJ",'P &amp; NP'!$C$2:$WL$2,"PASURUAN")</f>
        <v>37981.729999999996</v>
      </c>
      <c r="BV26" s="519">
        <f>SUMIFS('P &amp; NP'!$C$8:$WL$8,'P &amp; NP'!$C$5:$WL$5,"NPJ",'P &amp; NP'!$C$2:$WL$2,"PASURUAN")</f>
        <v>888663</v>
      </c>
      <c r="BW26" s="519">
        <f>SUMIFS('P &amp; NP'!$C$9:$WL$9,'P &amp; NP'!$C$5:$WL$5,"PJ",'P &amp; NP'!$C$2:$WL$2,"PASURUAN")</f>
        <v>33438.239999999998</v>
      </c>
      <c r="BX26" s="519">
        <f>SUMIFS('P &amp; NP'!$C$9:$WL$9,'P &amp; NP'!$C$5:$WL$5,"NPJ",'P &amp; NP'!$C$2:$WL$2,"PASURUAN")</f>
        <v>785820</v>
      </c>
      <c r="BY26" s="519">
        <f>SUMIFS('P &amp; NP'!$C$10:$WL$10,'P &amp; NP'!$C$5:$WL$5,"PJ",'P &amp; NP'!$C$2:$WL$2,"PASURUAN")</f>
        <v>35775.56</v>
      </c>
      <c r="BZ26" s="519">
        <f>SUMIFS('P &amp; NP'!$C$10:$WL$10,'P &amp; NP'!$C$5:$WL$5,"NPJ",'P &amp; NP'!$C$2:$WL$2,"PASURUAN")</f>
        <v>930162</v>
      </c>
      <c r="CB26" s="502">
        <f t="shared" si="21"/>
        <v>25295174.27</v>
      </c>
      <c r="CC26" s="512">
        <f t="shared" si="22"/>
        <v>447118606</v>
      </c>
      <c r="CD26" s="519">
        <f t="shared" si="23"/>
        <v>6438657.5600000005</v>
      </c>
      <c r="CE26" s="519">
        <f t="shared" si="24"/>
        <v>122301542</v>
      </c>
      <c r="CF26" s="519">
        <f t="shared" si="25"/>
        <v>5936675.120000001</v>
      </c>
      <c r="CG26" s="519">
        <f t="shared" si="26"/>
        <v>108131919</v>
      </c>
      <c r="CH26" s="519">
        <f t="shared" si="27"/>
        <v>6880319.3900000006</v>
      </c>
      <c r="CI26" s="519">
        <f t="shared" si="28"/>
        <v>109980895</v>
      </c>
      <c r="CJ26" s="519">
        <f t="shared" si="29"/>
        <v>6039522.2000000002</v>
      </c>
      <c r="CK26" s="519">
        <f t="shared" si="30"/>
        <v>106704250</v>
      </c>
    </row>
    <row r="27" spans="1:89">
      <c r="A27" s="509"/>
      <c r="B27" s="484" t="s">
        <v>113</v>
      </c>
      <c r="C27" s="502">
        <f t="shared" si="8"/>
        <v>0</v>
      </c>
      <c r="D27" s="512">
        <f t="shared" si="9"/>
        <v>0</v>
      </c>
      <c r="E27" s="519">
        <f>SUMIFS('P &amp; NP'!$C$7:$WL$7,'P &amp; NP'!$C$5:$WL$5,"PL",'P &amp; NP'!$C$2:$WL$2,"PONOROGO")</f>
        <v>0</v>
      </c>
      <c r="F27" s="519">
        <f>SUMIFS('P &amp; NP'!$C$7:$WL$7,'P &amp; NP'!$C$5:$WL$5,"NPL",'P &amp; NP'!$C$2:$WL$2,"PONOROGO")</f>
        <v>0</v>
      </c>
      <c r="G27" s="519">
        <f>SUMIFS('P &amp; NP'!$C$8:$WL$8,'P &amp; NP'!$C$5:$WL$5,"PL",'P &amp; NP'!$C$2:$WL$2,"PONOROGO")</f>
        <v>0</v>
      </c>
      <c r="H27" s="519">
        <f>SUMIFS('P &amp; NP'!$C$8:$WL$8,'P &amp; NP'!$C$5:$WL$5,"NPL",'P &amp; NP'!$C$2:$WL$2,"PONOROGO")</f>
        <v>0</v>
      </c>
      <c r="I27" s="519">
        <f>SUMIFS('P &amp; NP'!$C$9:$WL$9,'P &amp; NP'!$C$5:$WL$5,"PL",'P &amp; NP'!$C$2:$WL$2,"PONOROGO")</f>
        <v>0</v>
      </c>
      <c r="J27" s="519">
        <f>SUMIFS('P &amp; NP'!$C$9:$WL$9,'P &amp; NP'!$C$5:$WL$5,"NPL",'P &amp; NP'!$C$2:$WL$2,"PONOROGO")</f>
        <v>0</v>
      </c>
      <c r="K27" s="519">
        <f>SUMIFS('P &amp; NP'!$C$10:$WL$10,'P &amp; NP'!$C$5:$WL$5,"PL",'P &amp; NP'!$C$2:$WL$2,"PONOROGO")</f>
        <v>0</v>
      </c>
      <c r="L27" s="519">
        <f>SUMIFS('P &amp; NP'!$C$10:$WL$10,'P &amp; NP'!$C$5:$WL$5,"NPL",'P &amp; NP'!$C$2:$WL$2,"PONOROGO")</f>
        <v>0</v>
      </c>
      <c r="N27" s="502">
        <f t="shared" si="10"/>
        <v>0</v>
      </c>
      <c r="O27" s="512">
        <f t="shared" si="11"/>
        <v>0</v>
      </c>
      <c r="P27" s="519">
        <f>SUMIFS('P &amp; NP'!$C$7:$WL$7,'P &amp; NP'!$C$5:$WL$5,"PT",'P &amp; NP'!$C$2:$WL$2,"PONOROGO")</f>
        <v>0</v>
      </c>
      <c r="Q27" s="519">
        <f>SUMIFS('P &amp; NP'!$C$7:$WL$7,'P &amp; NP'!$C$5:$WL$5,"NPT",'P &amp; NP'!$C$2:$WL$2,"PONOROGO")</f>
        <v>0</v>
      </c>
      <c r="R27" s="519">
        <f>SUMIFS('P &amp; NP'!$C$8:$WL$8,'P &amp; NP'!$C$5:$WL$5,"PT",'P &amp; NP'!$C$2:$WL$2,"PONOROGO")</f>
        <v>0</v>
      </c>
      <c r="S27" s="519">
        <f>SUMIFS('P &amp; NP'!$C$8:$WL$8,'P &amp; NP'!$C$5:$WL$5,"NPT",'P &amp; NP'!$C$2:$WL$2,"PONOROGO")</f>
        <v>0</v>
      </c>
      <c r="T27" s="519">
        <f>SUMIFS('P &amp; NP'!$C$9:$WL$9,'P &amp; NP'!$C$5:$WL$5,"PT",'P &amp; NP'!$C$2:$WL$2,"PONOROGO")</f>
        <v>0</v>
      </c>
      <c r="U27" s="519">
        <f>SUMIFS('P &amp; NP'!$C$9:$WL$9,'P &amp; NP'!$C$5:$WL$5,"NPT",'P &amp; NP'!$C$2:$WL$2,"PONOROGO")</f>
        <v>0</v>
      </c>
      <c r="V27" s="519">
        <f>SUMIFS('P &amp; NP'!$C$10:$WL$10,'P &amp; NP'!$C$5:$WL$5,"PT",'P &amp; NP'!$C$2:$WL$2,"PONOROGO")</f>
        <v>0</v>
      </c>
      <c r="W27" s="519">
        <f>SUMIFS('P &amp; NP'!$C$10:$WL$10,'P &amp; NP'!$C$5:$WL$5,"NPT",'P &amp; NP'!$C$2:$WL$2,"PONOROGO")</f>
        <v>0</v>
      </c>
      <c r="Y27" s="502">
        <f ca="1">SUMIF(AA$5:$AH25,$Y$1,AA27:AH27)</f>
        <v>0</v>
      </c>
      <c r="Z27" s="512">
        <f t="shared" si="12"/>
        <v>0</v>
      </c>
      <c r="AA27" s="519">
        <f>SUMIFS('P &amp; NP'!$C$7:$WL$7,'P &amp; NP'!$C$5:$WL$5,"PS",'P &amp; NP'!$C$2:$WL$2,"PONOROGO")</f>
        <v>0</v>
      </c>
      <c r="AB27" s="519">
        <f>SUMIFS('P &amp; NP'!$C$7:$WL$7,'P &amp; NP'!$C$5:$WL$5,"NPS",'P &amp; NP'!$C$2:$WL$2,"PONOROGO")</f>
        <v>0</v>
      </c>
      <c r="AC27" s="519">
        <f>SUMIFS('P &amp; NP'!$C$8:$WL$8,'P &amp; NP'!$C$5:$WL$5,"PS",'P &amp; NP'!$C$2:$WL$2,"PONOROGO")</f>
        <v>0</v>
      </c>
      <c r="AD27" s="519">
        <f>SUMIFS('P &amp; NP'!$C$8:$WL$8,'P &amp; NP'!$C$5:$WL$5,"NPS",'P &amp; NP'!$C$2:$WL$2,"PONOROGO")</f>
        <v>0</v>
      </c>
      <c r="AE27" s="519">
        <f>SUMIFS('P &amp; NP'!$C$9:$WL$9,'P &amp; NP'!$C$5:$WL$5,"PS",'P &amp; NP'!$C$2:$WL$2,"PONOROGO")</f>
        <v>0</v>
      </c>
      <c r="AF27" s="519">
        <f>SUMIFS('P &amp; NP'!$C$9:$WL$9,'P &amp; NP'!$C$5:$WL$5,"NPS",'P &amp; NP'!$C$2:$WL$2,"PONOROGO")</f>
        <v>0</v>
      </c>
      <c r="AG27" s="519">
        <f>SUMIFS('P &amp; NP'!$C$10:$WL$10,'P &amp; NP'!$C$5:$WL$5,"PS",'P &amp; NP'!$C$2:$WL$2,"PONOROGO")</f>
        <v>0</v>
      </c>
      <c r="AH27" s="519">
        <f>SUMIFS('P &amp; NP'!$C$10:$WL$10,'P &amp; NP'!$C$5:$WL$5,"NPS",'P &amp; NP'!$C$2:$WL$2,"PONOROGO")</f>
        <v>0</v>
      </c>
      <c r="AJ27" s="502">
        <f t="shared" si="13"/>
        <v>2179713</v>
      </c>
      <c r="AK27" s="512">
        <f t="shared" si="14"/>
        <v>44477930.730000004</v>
      </c>
      <c r="AL27" s="519">
        <f>SUMIFS('P &amp; NP'!$C$7:$WL$7,'P &amp; NP'!$C$5:$WL$5,"PK",'P &amp; NP'!$C$2:$WL$2,"PONOROGO")</f>
        <v>567744</v>
      </c>
      <c r="AM27" s="519">
        <f>SUMIFS('P &amp; NP'!$C$7:$WL$7,'P &amp; NP'!$C$5:$WL$5,"NPK",'P &amp; NP'!$C$2:$WL$2,"PONOROGO")</f>
        <v>11515377.5</v>
      </c>
      <c r="AN27" s="519">
        <f>SUMIFS('P &amp; NP'!$C$8:$WL$8,'P &amp; NP'!$C$5:$WL$5,"PK",'P &amp; NP'!$C$2:$WL$2,"PONOROGO")</f>
        <v>571537</v>
      </c>
      <c r="AO27" s="519">
        <f>SUMIFS('P &amp; NP'!$C$8:$WL$8,'P &amp; NP'!$C$5:$WL$5,"NPK",'P &amp; NP'!$C$2:$WL$2,"PONOROGO")</f>
        <v>11743820.699999999</v>
      </c>
      <c r="AP27" s="519">
        <f>SUMIFS('P &amp; NP'!$C$9:$WL$9,'P &amp; NP'!$C$5:$WL$5,"PK",'P &amp; NP'!$C$2:$WL$2,"PONOROGO")</f>
        <v>513845</v>
      </c>
      <c r="AQ27" s="519">
        <f>SUMIFS('P &amp; NP'!$C$9:$WL$9,'P &amp; NP'!$C$5:$WL$5,"NPK",'P &amp; NP'!$C$2:$WL$2,"PONOROGO")</f>
        <v>10407826</v>
      </c>
      <c r="AR27" s="519">
        <f>SUMIFS('P &amp; NP'!$C$10:$WL$10,'P &amp; NP'!$C$5:$WL$5,"PK",'P &amp; NP'!$C$2:$WL$2,"PONOROGO")</f>
        <v>526587</v>
      </c>
      <c r="AS27" s="519">
        <f>SUMIFS('P &amp; NP'!$C$10:$WL$10,'P &amp; NP'!$C$5:$WL$5,"NPK",'P &amp; NP'!$C$2:$WL$2,"PONOROGO")</f>
        <v>10810906.530000001</v>
      </c>
      <c r="AU27" s="502">
        <f t="shared" si="15"/>
        <v>0</v>
      </c>
      <c r="AV27" s="512">
        <f t="shared" si="16"/>
        <v>0</v>
      </c>
      <c r="AW27" s="519">
        <f>SUMIFS('P &amp; NP'!$C$7:$WL$7,'P &amp; NP'!$C$5:$WL$5,"PM",'P &amp; NP'!$C$2:$WL$2,"PONOROGO")</f>
        <v>0</v>
      </c>
      <c r="AX27" s="519">
        <f>SUMIFS('P &amp; NP'!$C$7:$WL$7,'P &amp; NP'!$C$5:$WL$5,"NPM",'P &amp; NP'!$C$2:$WL$2,"PONOROGO")</f>
        <v>0</v>
      </c>
      <c r="AY27" s="519">
        <f>SUMIFS('P &amp; NP'!$C$8:$WL$8,'P &amp; NP'!$C$5:$WL$5,"PM",'P &amp; NP'!$C$2:$WL$2,"PONOROGO")</f>
        <v>0</v>
      </c>
      <c r="AZ27" s="519">
        <f>SUMIFS('P &amp; NP'!$C$8:$WL$8,'P &amp; NP'!$C$5:$WL$5,"NPM",'P &amp; NP'!$C$2:$WL$2,"PONOROGO")</f>
        <v>0</v>
      </c>
      <c r="BA27" s="519">
        <f>SUMIFS('P &amp; NP'!$C$9:$WL$9,'P &amp; NP'!$C$5:$WL$5,"PM",'P &amp; NP'!$C$2:$WL$2,"PONOROGO")</f>
        <v>0</v>
      </c>
      <c r="BB27" s="519">
        <f>SUMIFS('P &amp; NP'!$C$9:$WL$9,'P &amp; NP'!$C$5:$WL$5,"NPM",'P &amp; NP'!$C$2:$WL$2,"PONOROGO")</f>
        <v>0</v>
      </c>
      <c r="BC27" s="519">
        <f>SUMIFS('P &amp; NP'!$C$10:$WL$10,'P &amp; NP'!$C$5:$WL$5,"PM",'P &amp; NP'!$C$2:$WL$2,"PONOROGO")</f>
        <v>0</v>
      </c>
      <c r="BD27" s="519">
        <f>SUMIFS('P &amp; NP'!$C$10:$WL$10,'P &amp; NP'!$C$5:$WL$5,"NPM",'P &amp; NP'!$C$2:$WL$2,"PONOROGO")</f>
        <v>0</v>
      </c>
      <c r="BF27" s="502">
        <f t="shared" si="17"/>
        <v>0</v>
      </c>
      <c r="BG27" s="512">
        <f t="shared" si="18"/>
        <v>0</v>
      </c>
      <c r="BH27" s="519">
        <f>SUMIFS('P &amp; NP'!$C$7:$WL$7,'P &amp; NP'!$C$5:$WL$5,"PB",'P &amp; NP'!$C$2:$WL$2,"PONOROGO")</f>
        <v>0</v>
      </c>
      <c r="BI27" s="519">
        <f>SUMIFS('P &amp; NP'!$C$7:$WL$7,'P &amp; NP'!$C$5:$WL$5,"NPB",'P &amp; NP'!$C$2:$WL$2,"PONOROGO")</f>
        <v>0</v>
      </c>
      <c r="BJ27" s="519">
        <f>SUMIFS('P &amp; NP'!$C$8:$WL$8,'P &amp; NP'!$C$5:$WL$5,"PB",'P &amp; NP'!$C$2:$WL$2,"PONOROGO")</f>
        <v>0</v>
      </c>
      <c r="BK27" s="519">
        <f>SUMIFS('P &amp; NP'!$C$8:$WL$8,'P &amp; NP'!$C$5:$WL$5,"NPB",'P &amp; NP'!$C$2:$WL$2,"PONOROGO")</f>
        <v>0</v>
      </c>
      <c r="BL27" s="519">
        <f>SUMIFS('P &amp; NP'!$C$9:$WL$9,'P &amp; NP'!$C$5:$WL$5,"PB",'P &amp; NP'!$C$2:$WL$2,"PONOROGO")</f>
        <v>0</v>
      </c>
      <c r="BM27" s="519">
        <f>SUMIFS('P &amp; NP'!$C$9:$WL$9,'P &amp; NP'!$C$5:$WL$5,"NPB",'P &amp; NP'!$C$2:$WL$2,"PONOROGO")</f>
        <v>0</v>
      </c>
      <c r="BN27" s="519">
        <f>SUMIFS('P &amp; NP'!$C$10:$WL$10,'P &amp; NP'!$C$5:$WL$5,"PB",'P &amp; NP'!$C$2:$WL$2,"PONOROGO")</f>
        <v>0</v>
      </c>
      <c r="BO27" s="519">
        <f>SUMIFS('P &amp; NP'!$C$10:$WL$10,'P &amp; NP'!$C$5:$WL$5,"NPB",'P &amp; NP'!$C$2:$WL$2,"PONOROGO")</f>
        <v>0</v>
      </c>
      <c r="BQ27" s="502">
        <f t="shared" si="19"/>
        <v>17603</v>
      </c>
      <c r="BR27" s="512">
        <f t="shared" si="20"/>
        <v>569904</v>
      </c>
      <c r="BS27" s="519">
        <f>SUMIFS('P &amp; NP'!$C$7:$WL$7,'P &amp; NP'!$C$5:$WL$5,"PJ",'P &amp; NP'!$C$2:$WL$2,"PONOROGO")</f>
        <v>4729</v>
      </c>
      <c r="BT27" s="519">
        <f>SUMIFS('P &amp; NP'!$C$7:$WL$7,'P &amp; NP'!$C$5:$WL$5,"NPJ",'P &amp; NP'!$C$2:$WL$2,"PONOROGO")</f>
        <v>160786</v>
      </c>
      <c r="BU27" s="519">
        <f>SUMIFS('P &amp; NP'!$C$8:$WL$8,'P &amp; NP'!$C$5:$WL$5,"PJ",'P &amp; NP'!$C$2:$WL$2,"PONOROGO")</f>
        <v>6378</v>
      </c>
      <c r="BV27" s="519">
        <f>SUMIFS('P &amp; NP'!$C$8:$WL$8,'P &amp; NP'!$C$5:$WL$5,"NPJ",'P &amp; NP'!$C$2:$WL$2,"PONOROGO")</f>
        <v>207966</v>
      </c>
      <c r="BW27" s="519">
        <f>SUMIFS('P &amp; NP'!$C$9:$WL$9,'P &amp; NP'!$C$5:$WL$5,"PJ",'P &amp; NP'!$C$2:$WL$2,"PONOROGO")</f>
        <v>2731</v>
      </c>
      <c r="BX27" s="519">
        <f>SUMIFS('P &amp; NP'!$C$9:$WL$9,'P &amp; NP'!$C$5:$WL$5,"NPJ",'P &amp; NP'!$C$2:$WL$2,"PONOROGO")</f>
        <v>87392</v>
      </c>
      <c r="BY27" s="519">
        <f>SUMIFS('P &amp; NP'!$C$10:$WL$10,'P &amp; NP'!$C$5:$WL$5,"PJ",'P &amp; NP'!$C$2:$WL$2,"PONOROGO")</f>
        <v>3765</v>
      </c>
      <c r="BZ27" s="519">
        <f>SUMIFS('P &amp; NP'!$C$10:$WL$10,'P &amp; NP'!$C$5:$WL$5,"NPJ",'P &amp; NP'!$C$2:$WL$2,"PONOROGO")</f>
        <v>113760</v>
      </c>
      <c r="CB27" s="502">
        <f t="shared" si="21"/>
        <v>2197316</v>
      </c>
      <c r="CC27" s="512">
        <f t="shared" si="22"/>
        <v>45047834.730000004</v>
      </c>
      <c r="CD27" s="519">
        <f t="shared" si="23"/>
        <v>572473</v>
      </c>
      <c r="CE27" s="519">
        <f t="shared" si="24"/>
        <v>11676163.5</v>
      </c>
      <c r="CF27" s="519">
        <f t="shared" si="25"/>
        <v>577915</v>
      </c>
      <c r="CG27" s="519">
        <f t="shared" si="26"/>
        <v>11951786.699999999</v>
      </c>
      <c r="CH27" s="519">
        <f t="shared" si="27"/>
        <v>516576</v>
      </c>
      <c r="CI27" s="519">
        <f t="shared" si="28"/>
        <v>10495218</v>
      </c>
      <c r="CJ27" s="519">
        <f t="shared" si="29"/>
        <v>530352</v>
      </c>
      <c r="CK27" s="519">
        <f t="shared" si="30"/>
        <v>10924666.530000001</v>
      </c>
    </row>
    <row r="28" spans="1:89">
      <c r="A28" s="509"/>
      <c r="B28" s="484" t="s">
        <v>124</v>
      </c>
      <c r="C28" s="502">
        <f t="shared" si="8"/>
        <v>435150</v>
      </c>
      <c r="D28" s="512">
        <f t="shared" si="9"/>
        <v>36987750</v>
      </c>
      <c r="E28" s="519">
        <f>SUMIFS('P &amp; NP'!$C$7:$WL$7,'P &amp; NP'!$C$5:$WL$5,"PL",'P &amp; NP'!$C$2:$WL$2,"PROBOLINGGO")</f>
        <v>97800</v>
      </c>
      <c r="F28" s="519">
        <f>SUMIFS('P &amp; NP'!$C$7:$WL$7,'P &amp; NP'!$C$5:$WL$5,"NPL",'P &amp; NP'!$C$2:$WL$2,"PROBOLINGGO")</f>
        <v>8313000</v>
      </c>
      <c r="G28" s="519">
        <f>SUMIFS('P &amp; NP'!$C$8:$WL$8,'P &amp; NP'!$C$5:$WL$5,"PL",'P &amp; NP'!$C$2:$WL$2,"PROBOLINGGO")</f>
        <v>89600</v>
      </c>
      <c r="H28" s="519">
        <f>SUMIFS('P &amp; NP'!$C$8:$WL$8,'P &amp; NP'!$C$5:$WL$5,"NPL",'P &amp; NP'!$C$2:$WL$2,"PROBOLINGGO")</f>
        <v>7616000</v>
      </c>
      <c r="I28" s="519">
        <f>SUMIFS('P &amp; NP'!$C$9:$WL$9,'P &amp; NP'!$C$5:$WL$5,"PL",'P &amp; NP'!$C$2:$WL$2,"PROBOLINGGO")</f>
        <v>88650</v>
      </c>
      <c r="J28" s="519">
        <f>SUMIFS('P &amp; NP'!$C$9:$WL$9,'P &amp; NP'!$C$5:$WL$5,"NPL",'P &amp; NP'!$C$2:$WL$2,"PROBOLINGGO")</f>
        <v>7535250</v>
      </c>
      <c r="K28" s="519">
        <f>SUMIFS('P &amp; NP'!$C$10:$WL$10,'P &amp; NP'!$C$5:$WL$5,"PL",'P &amp; NP'!$C$2:$WL$2,"PROBOLINGGO")</f>
        <v>159100</v>
      </c>
      <c r="L28" s="519">
        <f>SUMIFS('P &amp; NP'!$C$10:$WL$10,'P &amp; NP'!$C$5:$WL$5,"NPL",'P &amp; NP'!$C$2:$WL$2,"PROBOLINGGO")</f>
        <v>13523500</v>
      </c>
      <c r="N28" s="502">
        <f t="shared" si="10"/>
        <v>14113148</v>
      </c>
      <c r="O28" s="512">
        <f t="shared" si="11"/>
        <v>730872720</v>
      </c>
      <c r="P28" s="519">
        <f>SUMIFS('P &amp; NP'!$C$7:$WL$7,'P &amp; NP'!$C$5:$WL$5,"PT",'P &amp; NP'!$C$2:$WL$2,"PROBOLINGGO")</f>
        <v>4384100</v>
      </c>
      <c r="Q28" s="519">
        <f>SUMIFS('P &amp; NP'!$C$7:$WL$7,'P &amp; NP'!$C$5:$WL$5,"NPT",'P &amp; NP'!$C$2:$WL$2,"PROBOLINGGO")</f>
        <v>244950200</v>
      </c>
      <c r="R28" s="519">
        <f>SUMIFS('P &amp; NP'!$C$8:$WL$8,'P &amp; NP'!$C$5:$WL$5,"PT",'P &amp; NP'!$C$2:$WL$2,"PROBOLINGGO")</f>
        <v>3588300</v>
      </c>
      <c r="S28" s="519">
        <f>SUMIFS('P &amp; NP'!$C$8:$WL$8,'P &amp; NP'!$C$5:$WL$5,"NPT",'P &amp; NP'!$C$2:$WL$2,"PROBOLINGGO")</f>
        <v>191850100</v>
      </c>
      <c r="T28" s="519">
        <f>SUMIFS('P &amp; NP'!$C$9:$WL$9,'P &amp; NP'!$C$5:$WL$5,"PT",'P &amp; NP'!$C$2:$WL$2,"PROBOLINGGO")</f>
        <v>3716888</v>
      </c>
      <c r="U28" s="519">
        <f>SUMIFS('P &amp; NP'!$C$9:$WL$9,'P &amp; NP'!$C$5:$WL$5,"NPT",'P &amp; NP'!$C$2:$WL$2,"PROBOLINGGO")</f>
        <v>175824930</v>
      </c>
      <c r="V28" s="519">
        <f>SUMIFS('P &amp; NP'!$C$10:$WL$10,'P &amp; NP'!$C$5:$WL$5,"PT",'P &amp; NP'!$C$2:$WL$2,"PROBOLINGGO")</f>
        <v>2423860</v>
      </c>
      <c r="W28" s="519">
        <f>SUMIFS('P &amp; NP'!$C$10:$WL$10,'P &amp; NP'!$C$5:$WL$5,"NPT",'P &amp; NP'!$C$2:$WL$2,"PROBOLINGGO")</f>
        <v>118247490</v>
      </c>
      <c r="Y28" s="502">
        <f ca="1">SUMIF(AA$5:$AH26,$Y$1,AA28:AH28)</f>
        <v>0</v>
      </c>
      <c r="Z28" s="512">
        <f t="shared" si="12"/>
        <v>0</v>
      </c>
      <c r="AA28" s="519">
        <f>SUMIFS('P &amp; NP'!$C$7:$WL$7,'P &amp; NP'!$C$5:$WL$5,"PS",'P &amp; NP'!$C$2:$WL$2,"PROBOLINGGO")</f>
        <v>0</v>
      </c>
      <c r="AB28" s="519">
        <f>SUMIFS('P &amp; NP'!$C$7:$WL$7,'P &amp; NP'!$C$5:$WL$5,"NPS",'P &amp; NP'!$C$2:$WL$2,"PROBOLINGGO")</f>
        <v>0</v>
      </c>
      <c r="AC28" s="519">
        <f>SUMIFS('P &amp; NP'!$C$8:$WL$8,'P &amp; NP'!$C$5:$WL$5,"PS",'P &amp; NP'!$C$2:$WL$2,"PROBOLINGGO")</f>
        <v>0</v>
      </c>
      <c r="AD28" s="519">
        <f>SUMIFS('P &amp; NP'!$C$8:$WL$8,'P &amp; NP'!$C$5:$WL$5,"NPS",'P &amp; NP'!$C$2:$WL$2,"PROBOLINGGO")</f>
        <v>0</v>
      </c>
      <c r="AE28" s="519">
        <f>SUMIFS('P &amp; NP'!$C$9:$WL$9,'P &amp; NP'!$C$5:$WL$5,"PS",'P &amp; NP'!$C$2:$WL$2,"PROBOLINGGO")</f>
        <v>0</v>
      </c>
      <c r="AF28" s="519">
        <f>SUMIFS('P &amp; NP'!$C$9:$WL$9,'P &amp; NP'!$C$5:$WL$5,"NPS",'P &amp; NP'!$C$2:$WL$2,"PROBOLINGGO")</f>
        <v>0</v>
      </c>
      <c r="AG28" s="519">
        <f>SUMIFS('P &amp; NP'!$C$10:$WL$10,'P &amp; NP'!$C$5:$WL$5,"PS",'P &amp; NP'!$C$2:$WL$2,"PROBOLINGGO")</f>
        <v>0</v>
      </c>
      <c r="AH28" s="519">
        <f>SUMIFS('P &amp; NP'!$C$10:$WL$10,'P &amp; NP'!$C$5:$WL$5,"NPS",'P &amp; NP'!$C$2:$WL$2,"PROBOLINGGO")</f>
        <v>0</v>
      </c>
      <c r="AJ28" s="502">
        <f t="shared" si="13"/>
        <v>856340</v>
      </c>
      <c r="AK28" s="512">
        <f t="shared" si="14"/>
        <v>15853965</v>
      </c>
      <c r="AL28" s="519">
        <f>SUMIFS('P &amp; NP'!$C$7:$WL$7,'P &amp; NP'!$C$5:$WL$5,"PK",'P &amp; NP'!$C$2:$WL$2,"PROBOLINGGO")</f>
        <v>223000</v>
      </c>
      <c r="AM28" s="519">
        <f>SUMIFS('P &amp; NP'!$C$7:$WL$7,'P &amp; NP'!$C$5:$WL$5,"NPK",'P &amp; NP'!$C$2:$WL$2,"PROBOLINGGO")</f>
        <v>4131050</v>
      </c>
      <c r="AN28" s="519">
        <f>SUMIFS('P &amp; NP'!$C$8:$WL$8,'P &amp; NP'!$C$5:$WL$5,"PK",'P &amp; NP'!$C$2:$WL$2,"PROBOLINGGO")</f>
        <v>204290</v>
      </c>
      <c r="AO28" s="519">
        <f>SUMIFS('P &amp; NP'!$C$8:$WL$8,'P &amp; NP'!$C$5:$WL$5,"NPK",'P &amp; NP'!$C$2:$WL$2,"PROBOLINGGO")</f>
        <v>3784130</v>
      </c>
      <c r="AP28" s="519">
        <f>SUMIFS('P &amp; NP'!$C$9:$WL$9,'P &amp; NP'!$C$5:$WL$5,"PK",'P &amp; NP'!$C$2:$WL$2,"PROBOLINGGO")</f>
        <v>216960</v>
      </c>
      <c r="AQ28" s="519">
        <f>SUMIFS('P &amp; NP'!$C$9:$WL$9,'P &amp; NP'!$C$5:$WL$5,"NPK",'P &amp; NP'!$C$2:$WL$2,"PROBOLINGGO")</f>
        <v>4013945</v>
      </c>
      <c r="AR28" s="519">
        <f>SUMIFS('P &amp; NP'!$C$10:$WL$10,'P &amp; NP'!$C$5:$WL$5,"PK",'P &amp; NP'!$C$2:$WL$2,"PROBOLINGGO")</f>
        <v>212090</v>
      </c>
      <c r="AS28" s="519">
        <f>SUMIFS('P &amp; NP'!$C$10:$WL$10,'P &amp; NP'!$C$5:$WL$5,"NPK",'P &amp; NP'!$C$2:$WL$2,"PROBOLINGGO")</f>
        <v>3924840</v>
      </c>
      <c r="AU28" s="502">
        <f t="shared" si="15"/>
        <v>0</v>
      </c>
      <c r="AV28" s="512">
        <f t="shared" si="16"/>
        <v>0</v>
      </c>
      <c r="AW28" s="519">
        <f>SUMIFS('P &amp; NP'!$C$7:$WL$7,'P &amp; NP'!$C$5:$WL$5,"PM",'P &amp; NP'!$C$2:$WL$2,"PROBOLINGGO")</f>
        <v>0</v>
      </c>
      <c r="AX28" s="519">
        <f>SUMIFS('P &amp; NP'!$C$7:$WL$7,'P &amp; NP'!$C$5:$WL$5,"NPM",'P &amp; NP'!$C$2:$WL$2,"PROBOLINGGO")</f>
        <v>0</v>
      </c>
      <c r="AY28" s="519">
        <f>SUMIFS('P &amp; NP'!$C$8:$WL$8,'P &amp; NP'!$C$5:$WL$5,"PM",'P &amp; NP'!$C$2:$WL$2,"PROBOLINGGO")</f>
        <v>0</v>
      </c>
      <c r="AZ28" s="519">
        <f>SUMIFS('P &amp; NP'!$C$8:$WL$8,'P &amp; NP'!$C$5:$WL$5,"NPM",'P &amp; NP'!$C$2:$WL$2,"PROBOLINGGO")</f>
        <v>0</v>
      </c>
      <c r="BA28" s="519">
        <f>SUMIFS('P &amp; NP'!$C$9:$WL$9,'P &amp; NP'!$C$5:$WL$5,"PM",'P &amp; NP'!$C$2:$WL$2,"PROBOLINGGO")</f>
        <v>0</v>
      </c>
      <c r="BB28" s="519">
        <f>SUMIFS('P &amp; NP'!$C$9:$WL$9,'P &amp; NP'!$C$5:$WL$5,"NPM",'P &amp; NP'!$C$2:$WL$2,"PROBOLINGGO")</f>
        <v>0</v>
      </c>
      <c r="BC28" s="519">
        <f>SUMIFS('P &amp; NP'!$C$10:$WL$10,'P &amp; NP'!$C$5:$WL$5,"PM",'P &amp; NP'!$C$2:$WL$2,"PROBOLINGGO")</f>
        <v>0</v>
      </c>
      <c r="BD28" s="519">
        <f>SUMIFS('P &amp; NP'!$C$10:$WL$10,'P &amp; NP'!$C$5:$WL$5,"NPM",'P &amp; NP'!$C$2:$WL$2,"PROBOLINGGO")</f>
        <v>0</v>
      </c>
      <c r="BF28" s="502">
        <f t="shared" si="17"/>
        <v>0</v>
      </c>
      <c r="BG28" s="512">
        <f t="shared" si="18"/>
        <v>0</v>
      </c>
      <c r="BH28" s="519">
        <f>SUMIFS('P &amp; NP'!$C$7:$WL$7,'P &amp; NP'!$C$5:$WL$5,"PB",'P &amp; NP'!$C$2:$WL$2,"PROBOLINGGO")</f>
        <v>0</v>
      </c>
      <c r="BI28" s="519">
        <f>SUMIFS('P &amp; NP'!$C$7:$WL$7,'P &amp; NP'!$C$5:$WL$5,"NPB",'P &amp; NP'!$C$2:$WL$2,"PROBOLINGGO")</f>
        <v>0</v>
      </c>
      <c r="BJ28" s="519">
        <f>SUMIFS('P &amp; NP'!$C$8:$WL$8,'P &amp; NP'!$C$5:$WL$5,"PB",'P &amp; NP'!$C$2:$WL$2,"PROBOLINGGO")</f>
        <v>0</v>
      </c>
      <c r="BK28" s="519">
        <f>SUMIFS('P &amp; NP'!$C$8:$WL$8,'P &amp; NP'!$C$5:$WL$5,"NPB",'P &amp; NP'!$C$2:$WL$2,"PROBOLINGGO")</f>
        <v>0</v>
      </c>
      <c r="BL28" s="519">
        <f>SUMIFS('P &amp; NP'!$C$9:$WL$9,'P &amp; NP'!$C$5:$WL$5,"PB",'P &amp; NP'!$C$2:$WL$2,"PROBOLINGGO")</f>
        <v>0</v>
      </c>
      <c r="BM28" s="519">
        <f>SUMIFS('P &amp; NP'!$C$9:$WL$9,'P &amp; NP'!$C$5:$WL$5,"NPB",'P &amp; NP'!$C$2:$WL$2,"PROBOLINGGO")</f>
        <v>0</v>
      </c>
      <c r="BN28" s="519">
        <f>SUMIFS('P &amp; NP'!$C$10:$WL$10,'P &amp; NP'!$C$5:$WL$5,"PB",'P &amp; NP'!$C$2:$WL$2,"PROBOLINGGO")</f>
        <v>0</v>
      </c>
      <c r="BO28" s="519">
        <f>SUMIFS('P &amp; NP'!$C$10:$WL$10,'P &amp; NP'!$C$5:$WL$5,"NPB",'P &amp; NP'!$C$2:$WL$2,"PROBOLINGGO")</f>
        <v>0</v>
      </c>
      <c r="BQ28" s="502">
        <f t="shared" si="19"/>
        <v>28930</v>
      </c>
      <c r="BR28" s="512">
        <f t="shared" si="20"/>
        <v>536740</v>
      </c>
      <c r="BS28" s="519">
        <f>SUMIFS('P &amp; NP'!$C$7:$WL$7,'P &amp; NP'!$C$5:$WL$5,"PJ",'P &amp; NP'!$C$2:$WL$2,"PROBOLINGGO")</f>
        <v>8000</v>
      </c>
      <c r="BT28" s="519">
        <f>SUMIFS('P &amp; NP'!$C$7:$WL$7,'P &amp; NP'!$C$5:$WL$5,"NPJ",'P &amp; NP'!$C$2:$WL$2,"PROBOLINGGO")</f>
        <v>160000</v>
      </c>
      <c r="BU28" s="519">
        <f>SUMIFS('P &amp; NP'!$C$8:$WL$8,'P &amp; NP'!$C$5:$WL$5,"PJ",'P &amp; NP'!$C$2:$WL$2,"PROBOLINGGO")</f>
        <v>4400</v>
      </c>
      <c r="BV28" s="519">
        <f>SUMIFS('P &amp; NP'!$C$8:$WL$8,'P &amp; NP'!$C$5:$WL$5,"NPJ",'P &amp; NP'!$C$2:$WL$2,"PROBOLINGGO")</f>
        <v>79200</v>
      </c>
      <c r="BW28" s="519">
        <f>SUMIFS('P &amp; NP'!$C$9:$WL$9,'P &amp; NP'!$C$5:$WL$5,"PJ",'P &amp; NP'!$C$2:$WL$2,"PROBOLINGGO")</f>
        <v>4710</v>
      </c>
      <c r="BX28" s="519">
        <f>SUMIFS('P &amp; NP'!$C$9:$WL$9,'P &amp; NP'!$C$5:$WL$5,"NPJ",'P &amp; NP'!$C$2:$WL$2,"PROBOLINGGO")</f>
        <v>84780</v>
      </c>
      <c r="BY28" s="519">
        <f>SUMIFS('P &amp; NP'!$C$10:$WL$10,'P &amp; NP'!$C$5:$WL$5,"PJ",'P &amp; NP'!$C$2:$WL$2,"PROBOLINGGO")</f>
        <v>11820</v>
      </c>
      <c r="BZ28" s="519">
        <f>SUMIFS('P &amp; NP'!$C$10:$WL$10,'P &amp; NP'!$C$5:$WL$5,"NPJ",'P &amp; NP'!$C$2:$WL$2,"PROBOLINGGO")</f>
        <v>212760</v>
      </c>
      <c r="CB28" s="502">
        <f t="shared" si="21"/>
        <v>15433568</v>
      </c>
      <c r="CC28" s="512">
        <f t="shared" si="22"/>
        <v>784251175</v>
      </c>
      <c r="CD28" s="519">
        <f t="shared" si="23"/>
        <v>4712900</v>
      </c>
      <c r="CE28" s="519">
        <f t="shared" si="24"/>
        <v>257554250</v>
      </c>
      <c r="CF28" s="519">
        <f t="shared" si="25"/>
        <v>3886590</v>
      </c>
      <c r="CG28" s="519">
        <f t="shared" si="26"/>
        <v>203329430</v>
      </c>
      <c r="CH28" s="519">
        <f t="shared" si="27"/>
        <v>4027208</v>
      </c>
      <c r="CI28" s="519">
        <f t="shared" si="28"/>
        <v>187458905</v>
      </c>
      <c r="CJ28" s="519">
        <f t="shared" si="29"/>
        <v>2806870</v>
      </c>
      <c r="CK28" s="519">
        <f t="shared" si="30"/>
        <v>135908590</v>
      </c>
    </row>
    <row r="29" spans="1:89">
      <c r="A29" s="509"/>
      <c r="B29" s="484" t="s">
        <v>138</v>
      </c>
      <c r="C29" s="502">
        <f t="shared" si="8"/>
        <v>0</v>
      </c>
      <c r="D29" s="512">
        <f t="shared" si="9"/>
        <v>0</v>
      </c>
      <c r="E29" s="519">
        <f>SUMIFS('P &amp; NP'!$C$7:$WL$7,'P &amp; NP'!$C$5:$WL$5,"PL",'P &amp; NP'!$C$2:$WL$2,"SAMPANG")</f>
        <v>0</v>
      </c>
      <c r="F29" s="519">
        <f>SUMIFS('P &amp; NP'!$C$7:$WL$7,'P &amp; NP'!$C$5:$WL$5,"NPL",'P &amp; NP'!$C$2:$WL$2,"SAMPANG")</f>
        <v>0</v>
      </c>
      <c r="G29" s="519">
        <f>SUMIFS('P &amp; NP'!$C$8:$WL$8,'P &amp; NP'!$C$5:$WL$5,"PL",'P &amp; NP'!$C$2:$WL$2,"SAMPANG")</f>
        <v>0</v>
      </c>
      <c r="H29" s="519">
        <f>SUMIFS('P &amp; NP'!$C$8:$WL$8,'P &amp; NP'!$C$5:$WL$5,"NPL",'P &amp; NP'!$C$2:$WL$2,"SAMPANG")</f>
        <v>0</v>
      </c>
      <c r="I29" s="519">
        <f>SUMIFS('P &amp; NP'!$C$9:$WL$9,'P &amp; NP'!$C$5:$WL$5,"PL",'P &amp; NP'!$C$2:$WL$2,"SAMPANG")</f>
        <v>0</v>
      </c>
      <c r="J29" s="519">
        <f>SUMIFS('P &amp; NP'!$C$9:$WL$9,'P &amp; NP'!$C$5:$WL$5,"NPL",'P &amp; NP'!$C$2:$WL$2,"SAMPANG")</f>
        <v>0</v>
      </c>
      <c r="K29" s="519">
        <f>SUMIFS('P &amp; NP'!$C$10:$WL$10,'P &amp; NP'!$C$5:$WL$5,"PL",'P &amp; NP'!$C$2:$WL$2,"SAMPANG")</f>
        <v>0</v>
      </c>
      <c r="L29" s="519">
        <f>SUMIFS('P &amp; NP'!$C$10:$WL$10,'P &amp; NP'!$C$5:$WL$5,"NPL",'P &amp; NP'!$C$2:$WL$2,"SAMPANG")</f>
        <v>0</v>
      </c>
      <c r="N29" s="502">
        <f t="shared" si="10"/>
        <v>854079</v>
      </c>
      <c r="O29" s="512">
        <f t="shared" si="11"/>
        <v>37876009</v>
      </c>
      <c r="P29" s="519">
        <f>SUMIFS('P &amp; NP'!$C$7:$WL$7,'P &amp; NP'!$C$5:$WL$5,"PT",'P &amp; NP'!$C$2:$WL$2,"SAMPANG")</f>
        <v>257642</v>
      </c>
      <c r="Q29" s="519">
        <f>SUMIFS('P &amp; NP'!$C$7:$WL$7,'P &amp; NP'!$C$5:$WL$5,"NPT",'P &amp; NP'!$C$2:$WL$2,"SAMPANG")</f>
        <v>12625689</v>
      </c>
      <c r="R29" s="519">
        <f>SUMIFS('P &amp; NP'!$C$8:$WL$8,'P &amp; NP'!$C$5:$WL$5,"PT",'P &amp; NP'!$C$2:$WL$2,"SAMPANG")</f>
        <v>302971</v>
      </c>
      <c r="S29" s="519">
        <f>SUMIFS('P &amp; NP'!$C$8:$WL$8,'P &amp; NP'!$C$5:$WL$5,"NPT",'P &amp; NP'!$C$2:$WL$2,"SAMPANG")</f>
        <v>15788788</v>
      </c>
      <c r="T29" s="519">
        <f>SUMIFS('P &amp; NP'!$C$9:$WL$9,'P &amp; NP'!$C$5:$WL$5,"PT",'P &amp; NP'!$C$2:$WL$2,"SAMPANG")</f>
        <v>96370</v>
      </c>
      <c r="U29" s="519">
        <f>SUMIFS('P &amp; NP'!$C$9:$WL$9,'P &amp; NP'!$C$5:$WL$5,"NPT",'P &amp; NP'!$C$2:$WL$2,"SAMPANG")</f>
        <v>4067600</v>
      </c>
      <c r="V29" s="519">
        <f>SUMIFS('P &amp; NP'!$C$10:$WL$10,'P &amp; NP'!$C$5:$WL$5,"PT",'P &amp; NP'!$C$2:$WL$2,"SAMPANG")</f>
        <v>197096</v>
      </c>
      <c r="W29" s="519">
        <f>SUMIFS('P &amp; NP'!$C$10:$WL$10,'P &amp; NP'!$C$5:$WL$5,"NPT",'P &amp; NP'!$C$2:$WL$2,"SAMPANG")</f>
        <v>5393932</v>
      </c>
      <c r="Y29" s="502">
        <f ca="1">SUMIF(AA$5:$AH27,$Y$1,AA29:AH29)</f>
        <v>0</v>
      </c>
      <c r="Z29" s="512">
        <f t="shared" si="12"/>
        <v>0</v>
      </c>
      <c r="AA29" s="519">
        <f>SUMIFS('P &amp; NP'!$C$7:$WL$7,'P &amp; NP'!$C$5:$WL$5,"PS",'P &amp; NP'!$C$2:$WL$2,"SAMPANG")</f>
        <v>0</v>
      </c>
      <c r="AB29" s="519">
        <f>SUMIFS('P &amp; NP'!$C$7:$WL$7,'P &amp; NP'!$C$5:$WL$5,"NPS",'P &amp; NP'!$C$2:$WL$2,"SAMPANG")</f>
        <v>0</v>
      </c>
      <c r="AC29" s="519">
        <f>SUMIFS('P &amp; NP'!$C$8:$WL$8,'P &amp; NP'!$C$5:$WL$5,"PS",'P &amp; NP'!$C$2:$WL$2,"SAMPANG")</f>
        <v>0</v>
      </c>
      <c r="AD29" s="519">
        <f>SUMIFS('P &amp; NP'!$C$8:$WL$8,'P &amp; NP'!$C$5:$WL$5,"NPS",'P &amp; NP'!$C$2:$WL$2,"SAMPANG")</f>
        <v>0</v>
      </c>
      <c r="AE29" s="519">
        <f>SUMIFS('P &amp; NP'!$C$9:$WL$9,'P &amp; NP'!$C$5:$WL$5,"PS",'P &amp; NP'!$C$2:$WL$2,"SAMPANG")</f>
        <v>0</v>
      </c>
      <c r="AF29" s="519">
        <f>SUMIFS('P &amp; NP'!$C$9:$WL$9,'P &amp; NP'!$C$5:$WL$5,"NPS",'P &amp; NP'!$C$2:$WL$2,"SAMPANG")</f>
        <v>0</v>
      </c>
      <c r="AG29" s="519">
        <f>SUMIFS('P &amp; NP'!$C$10:$WL$10,'P &amp; NP'!$C$5:$WL$5,"PS",'P &amp; NP'!$C$2:$WL$2,"SAMPANG")</f>
        <v>0</v>
      </c>
      <c r="AH29" s="519">
        <f>SUMIFS('P &amp; NP'!$C$10:$WL$10,'P &amp; NP'!$C$5:$WL$5,"NPS",'P &amp; NP'!$C$2:$WL$2,"SAMPANG")</f>
        <v>0</v>
      </c>
      <c r="AJ29" s="502">
        <f t="shared" si="13"/>
        <v>228949</v>
      </c>
      <c r="AK29" s="512">
        <f t="shared" si="14"/>
        <v>5273422</v>
      </c>
      <c r="AL29" s="519">
        <f>SUMIFS('P &amp; NP'!$C$7:$WL$7,'P &amp; NP'!$C$5:$WL$5,"PK",'P &amp; NP'!$C$2:$WL$2,"SAMPANG")</f>
        <v>57003</v>
      </c>
      <c r="AM29" s="519">
        <f>SUMIFS('P &amp; NP'!$C$7:$WL$7,'P &amp; NP'!$C$5:$WL$5,"NPK",'P &amp; NP'!$C$2:$WL$2,"SAMPANG")</f>
        <v>1317684</v>
      </c>
      <c r="AN29" s="519">
        <f>SUMIFS('P &amp; NP'!$C$8:$WL$8,'P &amp; NP'!$C$5:$WL$5,"PK",'P &amp; NP'!$C$2:$WL$2,"SAMPANG")</f>
        <v>54396</v>
      </c>
      <c r="AO29" s="519">
        <f>SUMIFS('P &amp; NP'!$C$8:$WL$8,'P &amp; NP'!$C$5:$WL$5,"NPK",'P &amp; NP'!$C$2:$WL$2,"SAMPANG")</f>
        <v>1251458</v>
      </c>
      <c r="AP29" s="519">
        <f>SUMIFS('P &amp; NP'!$C$9:$WL$9,'P &amp; NP'!$C$5:$WL$5,"PK",'P &amp; NP'!$C$2:$WL$2,"SAMPANG")</f>
        <v>51000</v>
      </c>
      <c r="AQ29" s="519">
        <f>SUMIFS('P &amp; NP'!$C$9:$WL$9,'P &amp; NP'!$C$5:$WL$5,"NPK",'P &amp; NP'!$C$2:$WL$2,"SAMPANG")</f>
        <v>1173000</v>
      </c>
      <c r="AR29" s="519">
        <f>SUMIFS('P &amp; NP'!$C$10:$WL$10,'P &amp; NP'!$C$5:$WL$5,"PK",'P &amp; NP'!$C$2:$WL$2,"SAMPANG")</f>
        <v>66550</v>
      </c>
      <c r="AS29" s="519">
        <f>SUMIFS('P &amp; NP'!$C$10:$WL$10,'P &amp; NP'!$C$5:$WL$5,"NPK",'P &amp; NP'!$C$2:$WL$2,"SAMPANG")</f>
        <v>1531280</v>
      </c>
      <c r="AU29" s="502">
        <f t="shared" si="15"/>
        <v>0</v>
      </c>
      <c r="AV29" s="512">
        <f t="shared" si="16"/>
        <v>0</v>
      </c>
      <c r="AW29" s="519">
        <f>SUMIFS('P &amp; NP'!$C$7:$WL$7,'P &amp; NP'!$C$5:$WL$5,"PM",'P &amp; NP'!$C$2:$WL$2,"SAMPANG")</f>
        <v>0</v>
      </c>
      <c r="AX29" s="519">
        <f>SUMIFS('P &amp; NP'!$C$7:$WL$7,'P &amp; NP'!$C$5:$WL$5,"NPM",'P &amp; NP'!$C$2:$WL$2,"SAMPANG")</f>
        <v>0</v>
      </c>
      <c r="AY29" s="519">
        <f>SUMIFS('P &amp; NP'!$C$8:$WL$8,'P &amp; NP'!$C$5:$WL$5,"PM",'P &amp; NP'!$C$2:$WL$2,"SAMPANG")</f>
        <v>0</v>
      </c>
      <c r="AZ29" s="519">
        <f>SUMIFS('P &amp; NP'!$C$8:$WL$8,'P &amp; NP'!$C$5:$WL$5,"NPM",'P &amp; NP'!$C$2:$WL$2,"SAMPANG")</f>
        <v>0</v>
      </c>
      <c r="BA29" s="519">
        <f>SUMIFS('P &amp; NP'!$C$9:$WL$9,'P &amp; NP'!$C$5:$WL$5,"PM",'P &amp; NP'!$C$2:$WL$2,"SAMPANG")</f>
        <v>0</v>
      </c>
      <c r="BB29" s="519">
        <f>SUMIFS('P &amp; NP'!$C$9:$WL$9,'P &amp; NP'!$C$5:$WL$5,"NPM",'P &amp; NP'!$C$2:$WL$2,"SAMPANG")</f>
        <v>0</v>
      </c>
      <c r="BC29" s="519">
        <f>SUMIFS('P &amp; NP'!$C$10:$WL$10,'P &amp; NP'!$C$5:$WL$5,"PM",'P &amp; NP'!$C$2:$WL$2,"SAMPANG")</f>
        <v>0</v>
      </c>
      <c r="BD29" s="519">
        <f>SUMIFS('P &amp; NP'!$C$10:$WL$10,'P &amp; NP'!$C$5:$WL$5,"NPM",'P &amp; NP'!$C$2:$WL$2,"SAMPANG")</f>
        <v>0</v>
      </c>
      <c r="BF29" s="502">
        <f t="shared" si="17"/>
        <v>0</v>
      </c>
      <c r="BG29" s="512">
        <f t="shared" si="18"/>
        <v>0</v>
      </c>
      <c r="BH29" s="519">
        <f>SUMIFS('P &amp; NP'!$C$7:$WL$7,'P &amp; NP'!$C$5:$WL$5,"PB",'P &amp; NP'!$C$2:$WL$2,"SAMPANG")</f>
        <v>0</v>
      </c>
      <c r="BI29" s="519">
        <f>SUMIFS('P &amp; NP'!$C$7:$WL$7,'P &amp; NP'!$C$5:$WL$5,"NPB",'P &amp; NP'!$C$2:$WL$2,"SAMPANG")</f>
        <v>0</v>
      </c>
      <c r="BJ29" s="519">
        <f>SUMIFS('P &amp; NP'!$C$8:$WL$8,'P &amp; NP'!$C$5:$WL$5,"PB",'P &amp; NP'!$C$2:$WL$2,"SAMPANG")</f>
        <v>0</v>
      </c>
      <c r="BK29" s="519">
        <f>SUMIFS('P &amp; NP'!$C$8:$WL$8,'P &amp; NP'!$C$5:$WL$5,"NPB",'P &amp; NP'!$C$2:$WL$2,"SAMPANG")</f>
        <v>0</v>
      </c>
      <c r="BL29" s="519">
        <f>SUMIFS('P &amp; NP'!$C$9:$WL$9,'P &amp; NP'!$C$5:$WL$5,"PB",'P &amp; NP'!$C$2:$WL$2,"SAMPANG")</f>
        <v>0</v>
      </c>
      <c r="BM29" s="519">
        <f>SUMIFS('P &amp; NP'!$C$9:$WL$9,'P &amp; NP'!$C$5:$WL$5,"NPB",'P &amp; NP'!$C$2:$WL$2,"SAMPANG")</f>
        <v>0</v>
      </c>
      <c r="BN29" s="519">
        <f>SUMIFS('P &amp; NP'!$C$10:$WL$10,'P &amp; NP'!$C$5:$WL$5,"PB",'P &amp; NP'!$C$2:$WL$2,"SAMPANG")</f>
        <v>0</v>
      </c>
      <c r="BO29" s="519">
        <f>SUMIFS('P &amp; NP'!$C$10:$WL$10,'P &amp; NP'!$C$5:$WL$5,"NPB",'P &amp; NP'!$C$2:$WL$2,"SAMPANG")</f>
        <v>0</v>
      </c>
      <c r="BQ29" s="502">
        <f t="shared" si="19"/>
        <v>0</v>
      </c>
      <c r="BR29" s="512">
        <f t="shared" si="20"/>
        <v>0</v>
      </c>
      <c r="BS29" s="519">
        <f>SUMIFS('P &amp; NP'!$C$7:$WL$7,'P &amp; NP'!$C$5:$WL$5,"PJ",'P &amp; NP'!$C$2:$WL$2,"SAMPANG")</f>
        <v>0</v>
      </c>
      <c r="BT29" s="519">
        <f>SUMIFS('P &amp; NP'!$C$7:$WL$7,'P &amp; NP'!$C$5:$WL$5,"NPJ",'P &amp; NP'!$C$2:$WL$2,"SAMPANG")</f>
        <v>0</v>
      </c>
      <c r="BU29" s="519">
        <f>SUMIFS('P &amp; NP'!$C$8:$WL$8,'P &amp; NP'!$C$5:$WL$5,"PJ",'P &amp; NP'!$C$2:$WL$2,"SAMPANG")</f>
        <v>0</v>
      </c>
      <c r="BV29" s="519">
        <f>SUMIFS('P &amp; NP'!$C$8:$WL$8,'P &amp; NP'!$C$5:$WL$5,"NPJ",'P &amp; NP'!$C$2:$WL$2,"SAMPANG")</f>
        <v>0</v>
      </c>
      <c r="BW29" s="519">
        <f>SUMIFS('P &amp; NP'!$C$9:$WL$9,'P &amp; NP'!$C$5:$WL$5,"PJ",'P &amp; NP'!$C$2:$WL$2,"SAMPANG")</f>
        <v>0</v>
      </c>
      <c r="BX29" s="519">
        <f>SUMIFS('P &amp; NP'!$C$9:$WL$9,'P &amp; NP'!$C$5:$WL$5,"NPJ",'P &amp; NP'!$C$2:$WL$2,"SAMPANG")</f>
        <v>0</v>
      </c>
      <c r="BY29" s="519">
        <f>SUMIFS('P &amp; NP'!$C$10:$WL$10,'P &amp; NP'!$C$5:$WL$5,"PJ",'P &amp; NP'!$C$2:$WL$2,"SAMPANG")</f>
        <v>0</v>
      </c>
      <c r="BZ29" s="519">
        <f>SUMIFS('P &amp; NP'!$C$10:$WL$10,'P &amp; NP'!$C$5:$WL$5,"NPJ",'P &amp; NP'!$C$2:$WL$2,"SAMPANG")</f>
        <v>0</v>
      </c>
      <c r="CB29" s="502">
        <f t="shared" si="21"/>
        <v>1083028</v>
      </c>
      <c r="CC29" s="512">
        <f t="shared" si="22"/>
        <v>43149431</v>
      </c>
      <c r="CD29" s="519">
        <f t="shared" si="23"/>
        <v>314645</v>
      </c>
      <c r="CE29" s="519">
        <f t="shared" si="24"/>
        <v>13943373</v>
      </c>
      <c r="CF29" s="519">
        <f t="shared" si="25"/>
        <v>357367</v>
      </c>
      <c r="CG29" s="519">
        <f t="shared" si="26"/>
        <v>17040246</v>
      </c>
      <c r="CH29" s="519">
        <f t="shared" si="27"/>
        <v>147370</v>
      </c>
      <c r="CI29" s="519">
        <f t="shared" si="28"/>
        <v>5240600</v>
      </c>
      <c r="CJ29" s="519">
        <f t="shared" si="29"/>
        <v>263646</v>
      </c>
      <c r="CK29" s="519">
        <f t="shared" si="30"/>
        <v>6925212</v>
      </c>
    </row>
    <row r="30" spans="1:89">
      <c r="A30" s="509"/>
      <c r="B30" s="484" t="s">
        <v>126</v>
      </c>
      <c r="C30" s="502">
        <f t="shared" si="8"/>
        <v>0</v>
      </c>
      <c r="D30" s="512">
        <f t="shared" si="9"/>
        <v>0</v>
      </c>
      <c r="E30" s="519">
        <f>SUMIFS('P &amp; NP'!$C$7:$WL$7,'P &amp; NP'!$C$5:$WL$5,"PL",'P &amp; NP'!$C$2:$WL$2,"SIDOARJO")</f>
        <v>0</v>
      </c>
      <c r="F30" s="519">
        <f>SUMIFS('P &amp; NP'!$C$7:$WL$7,'P &amp; NP'!$C$5:$WL$5,"NPL",'P &amp; NP'!$C$2:$WL$2,"SIDOARJO")</f>
        <v>0</v>
      </c>
      <c r="G30" s="519">
        <f>SUMIFS('P &amp; NP'!$C$8:$WL$8,'P &amp; NP'!$C$5:$WL$5,"PL",'P &amp; NP'!$C$2:$WL$2,"SIDOARJO")</f>
        <v>0</v>
      </c>
      <c r="H30" s="519">
        <f>SUMIFS('P &amp; NP'!$C$8:$WL$8,'P &amp; NP'!$C$5:$WL$5,"NPL",'P &amp; NP'!$C$2:$WL$2,"SIDOARJO")</f>
        <v>0</v>
      </c>
      <c r="I30" s="519">
        <f>SUMIFS('P &amp; NP'!$C$9:$WL$9,'P &amp; NP'!$C$5:$WL$5,"PL",'P &amp; NP'!$C$2:$WL$2,"SIDOARJO")</f>
        <v>0</v>
      </c>
      <c r="J30" s="519">
        <f>SUMIFS('P &amp; NP'!$C$9:$WL$9,'P &amp; NP'!$C$5:$WL$5,"NPL",'P &amp; NP'!$C$2:$WL$2,"SIDOARJO")</f>
        <v>0</v>
      </c>
      <c r="K30" s="519">
        <f>SUMIFS('P &amp; NP'!$C$10:$WL$10,'P &amp; NP'!$C$5:$WL$5,"PL",'P &amp; NP'!$C$2:$WL$2,"SIDOARJO")</f>
        <v>0</v>
      </c>
      <c r="L30" s="519">
        <f>SUMIFS('P &amp; NP'!$C$10:$WL$10,'P &amp; NP'!$C$5:$WL$5,"NPL",'P &amp; NP'!$C$2:$WL$2,"SIDOARJO")</f>
        <v>0</v>
      </c>
      <c r="N30" s="502">
        <f t="shared" si="10"/>
        <v>83044522</v>
      </c>
      <c r="O30" s="512">
        <f t="shared" si="11"/>
        <v>2026200713</v>
      </c>
      <c r="P30" s="519">
        <f>SUMIFS('P &amp; NP'!$C$7:$WL$7,'P &amp; NP'!$C$5:$WL$5,"PT",'P &amp; NP'!$C$2:$WL$2,"SIDOARJO")</f>
        <v>19097191</v>
      </c>
      <c r="Q30" s="519">
        <f>SUMIFS('P &amp; NP'!$C$7:$WL$7,'P &amp; NP'!$C$5:$WL$5,"NPT",'P &amp; NP'!$C$2:$WL$2,"SIDOARJO")</f>
        <v>529073575</v>
      </c>
      <c r="R30" s="519">
        <f>SUMIFS('P &amp; NP'!$C$8:$WL$8,'P &amp; NP'!$C$5:$WL$5,"PT",'P &amp; NP'!$C$2:$WL$2,"SIDOARJO")</f>
        <v>20184200</v>
      </c>
      <c r="S30" s="519">
        <f>SUMIFS('P &amp; NP'!$C$8:$WL$8,'P &amp; NP'!$C$5:$WL$5,"NPT",'P &amp; NP'!$C$2:$WL$2,"SIDOARJO")</f>
        <v>446802210</v>
      </c>
      <c r="T30" s="519">
        <f>SUMIFS('P &amp; NP'!$C$9:$WL$9,'P &amp; NP'!$C$5:$WL$5,"PT",'P &amp; NP'!$C$2:$WL$2,"SIDOARJO")</f>
        <v>25853300</v>
      </c>
      <c r="U30" s="519">
        <f>SUMIFS('P &amp; NP'!$C$9:$WL$9,'P &amp; NP'!$C$5:$WL$5,"NPT",'P &amp; NP'!$C$2:$WL$2,"SIDOARJO")</f>
        <v>592322410</v>
      </c>
      <c r="V30" s="519">
        <f>SUMIFS('P &amp; NP'!$C$10:$WL$10,'P &amp; NP'!$C$5:$WL$5,"PT",'P &amp; NP'!$C$2:$WL$2,"SIDOARJO")</f>
        <v>17909831</v>
      </c>
      <c r="W30" s="519">
        <f>SUMIFS('P &amp; NP'!$C$10:$WL$10,'P &amp; NP'!$C$5:$WL$5,"NPT",'P &amp; NP'!$C$2:$WL$2,"SIDOARJO")</f>
        <v>458002518</v>
      </c>
      <c r="Y30" s="502">
        <f ca="1">SUMIF(AA$5:$AH28,$Y$1,AA30:AH30)</f>
        <v>0</v>
      </c>
      <c r="Z30" s="512">
        <f t="shared" si="12"/>
        <v>0</v>
      </c>
      <c r="AA30" s="519">
        <f>SUMIFS('P &amp; NP'!$C$7:$WL$7,'P &amp; NP'!$C$5:$WL$5,"PS",'P &amp; NP'!$C$2:$WL$2,"SIDOARJO")</f>
        <v>0</v>
      </c>
      <c r="AB30" s="519">
        <f>SUMIFS('P &amp; NP'!$C$7:$WL$7,'P &amp; NP'!$C$5:$WL$5,"NPS",'P &amp; NP'!$C$2:$WL$2,"SIDOARJO")</f>
        <v>0</v>
      </c>
      <c r="AC30" s="519">
        <f>SUMIFS('P &amp; NP'!$C$8:$WL$8,'P &amp; NP'!$C$5:$WL$5,"PS",'P &amp; NP'!$C$2:$WL$2,"SIDOARJO")</f>
        <v>0</v>
      </c>
      <c r="AD30" s="519">
        <f>SUMIFS('P &amp; NP'!$C$8:$WL$8,'P &amp; NP'!$C$5:$WL$5,"NPS",'P &amp; NP'!$C$2:$WL$2,"SIDOARJO")</f>
        <v>0</v>
      </c>
      <c r="AE30" s="519">
        <f>SUMIFS('P &amp; NP'!$C$9:$WL$9,'P &amp; NP'!$C$5:$WL$5,"PS",'P &amp; NP'!$C$2:$WL$2,"SIDOARJO")</f>
        <v>0</v>
      </c>
      <c r="AF30" s="519">
        <f>SUMIFS('P &amp; NP'!$C$9:$WL$9,'P &amp; NP'!$C$5:$WL$5,"NPS",'P &amp; NP'!$C$2:$WL$2,"SIDOARJO")</f>
        <v>0</v>
      </c>
      <c r="AG30" s="519">
        <f>SUMIFS('P &amp; NP'!$C$10:$WL$10,'P &amp; NP'!$C$5:$WL$5,"PS",'P &amp; NP'!$C$2:$WL$2,"SIDOARJO")</f>
        <v>0</v>
      </c>
      <c r="AH30" s="519">
        <f>SUMIFS('P &amp; NP'!$C$10:$WL$10,'P &amp; NP'!$C$5:$WL$5,"NPS",'P &amp; NP'!$C$2:$WL$2,"SIDOARJO")</f>
        <v>0</v>
      </c>
      <c r="AJ30" s="502">
        <f t="shared" si="13"/>
        <v>26544645</v>
      </c>
      <c r="AK30" s="512">
        <f t="shared" si="14"/>
        <v>429100720</v>
      </c>
      <c r="AL30" s="519">
        <f>SUMIFS('P &amp; NP'!$C$7:$WL$7,'P &amp; NP'!$C$5:$WL$5,"PK",'P &amp; NP'!$C$2:$WL$2,"SIDOARJO")</f>
        <v>7253945</v>
      </c>
      <c r="AM30" s="519">
        <f>SUMIFS('P &amp; NP'!$C$7:$WL$7,'P &amp; NP'!$C$5:$WL$5,"NPK",'P &amp; NP'!$C$2:$WL$2,"SIDOARJO")</f>
        <v>117497520</v>
      </c>
      <c r="AN30" s="519">
        <f>SUMIFS('P &amp; NP'!$C$8:$WL$8,'P &amp; NP'!$C$5:$WL$5,"PK",'P &amp; NP'!$C$2:$WL$2,"SIDOARJO")</f>
        <v>6053500</v>
      </c>
      <c r="AO30" s="519">
        <f>SUMIFS('P &amp; NP'!$C$8:$WL$8,'P &amp; NP'!$C$5:$WL$5,"NPK",'P &amp; NP'!$C$2:$WL$2,"SIDOARJO")</f>
        <v>97639200</v>
      </c>
      <c r="AP30" s="519">
        <f>SUMIFS('P &amp; NP'!$C$9:$WL$9,'P &amp; NP'!$C$5:$WL$5,"PK",'P &amp; NP'!$C$2:$WL$2,"SIDOARJO")</f>
        <v>6058800</v>
      </c>
      <c r="AQ30" s="519">
        <f>SUMIFS('P &amp; NP'!$C$9:$WL$9,'P &amp; NP'!$C$5:$WL$5,"NPK",'P &amp; NP'!$C$2:$WL$2,"SIDOARJO")</f>
        <v>97720600</v>
      </c>
      <c r="AR30" s="519">
        <f>SUMIFS('P &amp; NP'!$C$10:$WL$10,'P &amp; NP'!$C$5:$WL$5,"PK",'P &amp; NP'!$C$2:$WL$2,"SIDOARJO")</f>
        <v>7178400</v>
      </c>
      <c r="AS30" s="519">
        <f>SUMIFS('P &amp; NP'!$C$10:$WL$10,'P &amp; NP'!$C$5:$WL$5,"NPK",'P &amp; NP'!$C$2:$WL$2,"SIDOARJO")</f>
        <v>116243400</v>
      </c>
      <c r="AU30" s="502">
        <f t="shared" si="15"/>
        <v>837900</v>
      </c>
      <c r="AV30" s="512">
        <f t="shared" si="16"/>
        <v>17875200</v>
      </c>
      <c r="AW30" s="519">
        <f>SUMIFS('P &amp; NP'!$C$7:$WL$7,'P &amp; NP'!$C$5:$WL$5,"PM",'P &amp; NP'!$C$2:$WL$2,"SIDOARJO")</f>
        <v>0</v>
      </c>
      <c r="AX30" s="519">
        <f>SUMIFS('P &amp; NP'!$C$7:$WL$7,'P &amp; NP'!$C$5:$WL$5,"NPM",'P &amp; NP'!$C$2:$WL$2,"SIDOARJO")</f>
        <v>0</v>
      </c>
      <c r="AY30" s="519">
        <f>SUMIFS('P &amp; NP'!$C$8:$WL$8,'P &amp; NP'!$C$5:$WL$5,"PM",'P &amp; NP'!$C$2:$WL$2,"SIDOARJO")</f>
        <v>335200</v>
      </c>
      <c r="AZ30" s="519">
        <f>SUMIFS('P &amp; NP'!$C$8:$WL$8,'P &amp; NP'!$C$5:$WL$5,"NPM",'P &amp; NP'!$C$2:$WL$2,"SIDOARJO")</f>
        <v>7150800</v>
      </c>
      <c r="BA30" s="519">
        <f>SUMIFS('P &amp; NP'!$C$9:$WL$9,'P &amp; NP'!$C$5:$WL$5,"PM",'P &amp; NP'!$C$2:$WL$2,"SIDOARJO")</f>
        <v>0</v>
      </c>
      <c r="BB30" s="519">
        <f>SUMIFS('P &amp; NP'!$C$9:$WL$9,'P &amp; NP'!$C$5:$WL$5,"NPM",'P &amp; NP'!$C$2:$WL$2,"SIDOARJO")</f>
        <v>0</v>
      </c>
      <c r="BC30" s="519">
        <f>SUMIFS('P &amp; NP'!$C$10:$WL$10,'P &amp; NP'!$C$5:$WL$5,"PM",'P &amp; NP'!$C$2:$WL$2,"SIDOARJO")</f>
        <v>502700</v>
      </c>
      <c r="BD30" s="519">
        <f>SUMIFS('P &amp; NP'!$C$10:$WL$10,'P &amp; NP'!$C$5:$WL$5,"NPM",'P &amp; NP'!$C$2:$WL$2,"SIDOARJO")</f>
        <v>10724400</v>
      </c>
      <c r="BF30" s="502">
        <f t="shared" si="17"/>
        <v>312620</v>
      </c>
      <c r="BG30" s="512">
        <f t="shared" si="18"/>
        <v>5690196</v>
      </c>
      <c r="BH30" s="519">
        <f>SUMIFS('P &amp; NP'!$C$7:$WL$7,'P &amp; NP'!$C$5:$WL$5,"PB",'P &amp; NP'!$C$2:$WL$2,"SIDOARJO")</f>
        <v>92245</v>
      </c>
      <c r="BI30" s="519">
        <f>SUMIFS('P &amp; NP'!$C$7:$WL$7,'P &amp; NP'!$C$5:$WL$5,"NPB",'P &amp; NP'!$C$2:$WL$2,"SIDOARJO")</f>
        <v>1678570</v>
      </c>
      <c r="BJ30" s="519">
        <f>SUMIFS('P &amp; NP'!$C$8:$WL$8,'P &amp; NP'!$C$5:$WL$5,"PB",'P &amp; NP'!$C$2:$WL$2,"SIDOARJO")</f>
        <v>66552</v>
      </c>
      <c r="BK30" s="519">
        <f>SUMIFS('P &amp; NP'!$C$8:$WL$8,'P &amp; NP'!$C$5:$WL$5,"NPB",'P &amp; NP'!$C$2:$WL$2,"SIDOARJO")</f>
        <v>1207796</v>
      </c>
      <c r="BL30" s="519">
        <f>SUMIFS('P &amp; NP'!$C$9:$WL$9,'P &amp; NP'!$C$5:$WL$5,"PB",'P &amp; NP'!$C$2:$WL$2,"SIDOARJO")</f>
        <v>72604</v>
      </c>
      <c r="BM30" s="519">
        <f>SUMIFS('P &amp; NP'!$C$9:$WL$9,'P &amp; NP'!$C$5:$WL$5,"NPB",'P &amp; NP'!$C$2:$WL$2,"SIDOARJO")</f>
        <v>1316992</v>
      </c>
      <c r="BN30" s="519">
        <f>SUMIFS('P &amp; NP'!$C$10:$WL$10,'P &amp; NP'!$C$5:$WL$5,"PB",'P &amp; NP'!$C$2:$WL$2,"SIDOARJO")</f>
        <v>81219</v>
      </c>
      <c r="BO30" s="519">
        <f>SUMIFS('P &amp; NP'!$C$10:$WL$10,'P &amp; NP'!$C$5:$WL$5,"NPB",'P &amp; NP'!$C$2:$WL$2,"SIDOARJO")</f>
        <v>1486838</v>
      </c>
      <c r="BQ30" s="502">
        <f t="shared" si="19"/>
        <v>0</v>
      </c>
      <c r="BR30" s="512">
        <f t="shared" si="20"/>
        <v>0</v>
      </c>
      <c r="BS30" s="519">
        <f>SUMIFS('P &amp; NP'!$C$7:$WL$7,'P &amp; NP'!$C$5:$WL$5,"PJ",'P &amp; NP'!$C$2:$WL$2,"SIDOARJO")</f>
        <v>0</v>
      </c>
      <c r="BT30" s="519">
        <f>SUMIFS('P &amp; NP'!$C$7:$WL$7,'P &amp; NP'!$C$5:$WL$5,"NPJ",'P &amp; NP'!$C$2:$WL$2,"SIDOARJO")</f>
        <v>0</v>
      </c>
      <c r="BU30" s="519">
        <f>SUMIFS('P &amp; NP'!$C$8:$WL$8,'P &amp; NP'!$C$5:$WL$5,"PJ",'P &amp; NP'!$C$2:$WL$2,"SIDOARJO")</f>
        <v>0</v>
      </c>
      <c r="BV30" s="519">
        <f>SUMIFS('P &amp; NP'!$C$8:$WL$8,'P &amp; NP'!$C$5:$WL$5,"NPJ",'P &amp; NP'!$C$2:$WL$2,"SIDOARJO")</f>
        <v>0</v>
      </c>
      <c r="BW30" s="519">
        <f>SUMIFS('P &amp; NP'!$C$9:$WL$9,'P &amp; NP'!$C$5:$WL$5,"PJ",'P &amp; NP'!$C$2:$WL$2,"SIDOARJO")</f>
        <v>0</v>
      </c>
      <c r="BX30" s="519">
        <f>SUMIFS('P &amp; NP'!$C$9:$WL$9,'P &amp; NP'!$C$5:$WL$5,"NPJ",'P &amp; NP'!$C$2:$WL$2,"SIDOARJO")</f>
        <v>0</v>
      </c>
      <c r="BY30" s="519">
        <f>SUMIFS('P &amp; NP'!$C$10:$WL$10,'P &amp; NP'!$C$5:$WL$5,"PJ",'P &amp; NP'!$C$2:$WL$2,"SIDOARJO")</f>
        <v>0</v>
      </c>
      <c r="BZ30" s="519">
        <f>SUMIFS('P &amp; NP'!$C$10:$WL$10,'P &amp; NP'!$C$5:$WL$5,"NPJ",'P &amp; NP'!$C$2:$WL$2,"SIDOARJO")</f>
        <v>0</v>
      </c>
      <c r="CB30" s="502">
        <f t="shared" si="21"/>
        <v>110739687</v>
      </c>
      <c r="CC30" s="512">
        <f t="shared" si="22"/>
        <v>2478866829</v>
      </c>
      <c r="CD30" s="519">
        <f t="shared" si="23"/>
        <v>26443381</v>
      </c>
      <c r="CE30" s="519">
        <f t="shared" si="24"/>
        <v>648249665</v>
      </c>
      <c r="CF30" s="519">
        <f t="shared" si="25"/>
        <v>26639452</v>
      </c>
      <c r="CG30" s="519">
        <f t="shared" si="26"/>
        <v>552800006</v>
      </c>
      <c r="CH30" s="519">
        <f t="shared" si="27"/>
        <v>31984704</v>
      </c>
      <c r="CI30" s="519">
        <f t="shared" si="28"/>
        <v>691360002</v>
      </c>
      <c r="CJ30" s="519">
        <f t="shared" si="29"/>
        <v>25672150</v>
      </c>
      <c r="CK30" s="519">
        <f t="shared" si="30"/>
        <v>586457156</v>
      </c>
    </row>
    <row r="31" spans="1:89">
      <c r="A31" s="509"/>
      <c r="B31" s="484" t="s">
        <v>123</v>
      </c>
      <c r="C31" s="502">
        <f t="shared" si="8"/>
        <v>59275</v>
      </c>
      <c r="D31" s="512">
        <f t="shared" si="9"/>
        <v>1977950</v>
      </c>
      <c r="E31" s="519">
        <f>SUMIFS('P &amp; NP'!$C$7:$WL$7,'P &amp; NP'!$C$5:$WL$5,"PL",'P &amp; NP'!$C$2:$WL$2,"SITUBONDO")</f>
        <v>11275</v>
      </c>
      <c r="F31" s="519">
        <f>SUMIFS('P &amp; NP'!$C$7:$WL$7,'P &amp; NP'!$C$5:$WL$5,"NPL",'P &amp; NP'!$C$2:$WL$2,"SITUBONDO")</f>
        <v>372250</v>
      </c>
      <c r="G31" s="519">
        <f>SUMIFS('P &amp; NP'!$C$8:$WL$8,'P &amp; NP'!$C$5:$WL$5,"PL",'P &amp; NP'!$C$2:$WL$2,"SITUBONDO")</f>
        <v>10470</v>
      </c>
      <c r="H31" s="519">
        <f>SUMIFS('P &amp; NP'!$C$8:$WL$8,'P &amp; NP'!$C$5:$WL$5,"NPL",'P &amp; NP'!$C$2:$WL$2,"SITUBONDO")</f>
        <v>481000</v>
      </c>
      <c r="I31" s="519">
        <f>SUMIFS('P &amp; NP'!$C$9:$WL$9,'P &amp; NP'!$C$5:$WL$5,"PL",'P &amp; NP'!$C$2:$WL$2,"SITUBONDO")</f>
        <v>14580</v>
      </c>
      <c r="J31" s="519">
        <f>SUMIFS('P &amp; NP'!$C$9:$WL$9,'P &amp; NP'!$C$5:$WL$5,"NPL",'P &amp; NP'!$C$2:$WL$2,"SITUBONDO")</f>
        <v>591500</v>
      </c>
      <c r="K31" s="519">
        <f>SUMIFS('P &amp; NP'!$C$10:$WL$10,'P &amp; NP'!$C$5:$WL$5,"PL",'P &amp; NP'!$C$2:$WL$2,"SITUBONDO")</f>
        <v>22950</v>
      </c>
      <c r="L31" s="519">
        <f>SUMIFS('P &amp; NP'!$C$10:$WL$10,'P &amp; NP'!$C$5:$WL$5,"NPL",'P &amp; NP'!$C$2:$WL$2,"SITUBONDO")</f>
        <v>533200</v>
      </c>
      <c r="N31" s="502">
        <f t="shared" si="10"/>
        <v>10978224</v>
      </c>
      <c r="O31" s="512">
        <f t="shared" si="11"/>
        <v>521622936</v>
      </c>
      <c r="P31" s="519">
        <f>SUMIFS('P &amp; NP'!$C$7:$WL$7,'P &amp; NP'!$C$5:$WL$5,"PT",'P &amp; NP'!$C$2:$WL$2,"SITUBONDO")</f>
        <v>2802637</v>
      </c>
      <c r="Q31" s="519">
        <f>SUMIFS('P &amp; NP'!$C$7:$WL$7,'P &amp; NP'!$C$5:$WL$5,"NPT",'P &amp; NP'!$C$2:$WL$2,"SITUBONDO")</f>
        <v>138104299</v>
      </c>
      <c r="R31" s="519">
        <f>SUMIFS('P &amp; NP'!$C$8:$WL$8,'P &amp; NP'!$C$5:$WL$5,"PT",'P &amp; NP'!$C$2:$WL$2,"SITUBONDO")</f>
        <v>2958002</v>
      </c>
      <c r="S31" s="519">
        <f>SUMIFS('P &amp; NP'!$C$8:$WL$8,'P &amp; NP'!$C$5:$WL$5,"NPT",'P &amp; NP'!$C$2:$WL$2,"SITUBONDO")</f>
        <v>146488070</v>
      </c>
      <c r="T31" s="519">
        <f>SUMIFS('P &amp; NP'!$C$9:$WL$9,'P &amp; NP'!$C$5:$WL$5,"PT",'P &amp; NP'!$C$2:$WL$2,"SITUBONDO")</f>
        <v>2947935</v>
      </c>
      <c r="U31" s="519">
        <f>SUMIFS('P &amp; NP'!$C$9:$WL$9,'P &amp; NP'!$C$5:$WL$5,"NPT",'P &amp; NP'!$C$2:$WL$2,"SITUBONDO")</f>
        <v>147230579</v>
      </c>
      <c r="V31" s="519">
        <f>SUMIFS('P &amp; NP'!$C$10:$WL$10,'P &amp; NP'!$C$5:$WL$5,"PT",'P &amp; NP'!$C$2:$WL$2,"SITUBONDO")</f>
        <v>2269650</v>
      </c>
      <c r="W31" s="519">
        <f>SUMIFS('P &amp; NP'!$C$10:$WL$10,'P &amp; NP'!$C$5:$WL$5,"NPT",'P &amp; NP'!$C$2:$WL$2,"SITUBONDO")</f>
        <v>89799988</v>
      </c>
      <c r="Y31" s="502">
        <f ca="1">SUMIF(AA$5:$AH29,$Y$1,AA31:AH31)</f>
        <v>0</v>
      </c>
      <c r="Z31" s="512">
        <f t="shared" si="12"/>
        <v>0</v>
      </c>
      <c r="AA31" s="519">
        <f>SUMIFS('P &amp; NP'!$C$7:$WL$7,'P &amp; NP'!$C$5:$WL$5,"PS",'P &amp; NP'!$C$2:$WL$2,"SITUBONDO")</f>
        <v>0</v>
      </c>
      <c r="AB31" s="519">
        <f>SUMIFS('P &amp; NP'!$C$7:$WL$7,'P &amp; NP'!$C$5:$WL$5,"NPS",'P &amp; NP'!$C$2:$WL$2,"SITUBONDO")</f>
        <v>0</v>
      </c>
      <c r="AC31" s="519">
        <f>SUMIFS('P &amp; NP'!$C$8:$WL$8,'P &amp; NP'!$C$5:$WL$5,"PS",'P &amp; NP'!$C$2:$WL$2,"SITUBONDO")</f>
        <v>0</v>
      </c>
      <c r="AD31" s="519">
        <f>SUMIFS('P &amp; NP'!$C$8:$WL$8,'P &amp; NP'!$C$5:$WL$5,"NPS",'P &amp; NP'!$C$2:$WL$2,"SITUBONDO")</f>
        <v>0</v>
      </c>
      <c r="AE31" s="519">
        <f>SUMIFS('P &amp; NP'!$C$9:$WL$9,'P &amp; NP'!$C$5:$WL$5,"PS",'P &amp; NP'!$C$2:$WL$2,"SITUBONDO")</f>
        <v>0</v>
      </c>
      <c r="AF31" s="519">
        <f>SUMIFS('P &amp; NP'!$C$9:$WL$9,'P &amp; NP'!$C$5:$WL$5,"NPS",'P &amp; NP'!$C$2:$WL$2,"SITUBONDO")</f>
        <v>0</v>
      </c>
      <c r="AG31" s="519">
        <f>SUMIFS('P &amp; NP'!$C$10:$WL$10,'P &amp; NP'!$C$5:$WL$5,"PS",'P &amp; NP'!$C$2:$WL$2,"SITUBONDO")</f>
        <v>0</v>
      </c>
      <c r="AH31" s="519">
        <f>SUMIFS('P &amp; NP'!$C$10:$WL$10,'P &amp; NP'!$C$5:$WL$5,"NPS",'P &amp; NP'!$C$2:$WL$2,"SITUBONDO")</f>
        <v>0</v>
      </c>
      <c r="AJ31" s="502">
        <f t="shared" si="13"/>
        <v>637829</v>
      </c>
      <c r="AK31" s="512">
        <f t="shared" si="14"/>
        <v>12175405</v>
      </c>
      <c r="AL31" s="519">
        <f>SUMIFS('P &amp; NP'!$C$7:$WL$7,'P &amp; NP'!$C$5:$WL$5,"PK",'P &amp; NP'!$C$2:$WL$2,"SITUBONDO")</f>
        <v>169815</v>
      </c>
      <c r="AM31" s="519">
        <f>SUMIFS('P &amp; NP'!$C$7:$WL$7,'P &amp; NP'!$C$5:$WL$5,"NPK",'P &amp; NP'!$C$2:$WL$2,"SITUBONDO")</f>
        <v>3232543</v>
      </c>
      <c r="AN31" s="519">
        <f>SUMIFS('P &amp; NP'!$C$8:$WL$8,'P &amp; NP'!$C$5:$WL$5,"PK",'P &amp; NP'!$C$2:$WL$2,"SITUBONDO")</f>
        <v>151683</v>
      </c>
      <c r="AO31" s="519">
        <f>SUMIFS('P &amp; NP'!$C$8:$WL$8,'P &amp; NP'!$C$5:$WL$5,"NPK",'P &amp; NP'!$C$2:$WL$2,"SITUBONDO")</f>
        <v>2892652</v>
      </c>
      <c r="AP31" s="519">
        <f>SUMIFS('P &amp; NP'!$C$9:$WL$9,'P &amp; NP'!$C$5:$WL$5,"PK",'P &amp; NP'!$C$2:$WL$2,"SITUBONDO")</f>
        <v>133895</v>
      </c>
      <c r="AQ31" s="519">
        <f>SUMIFS('P &amp; NP'!$C$9:$WL$9,'P &amp; NP'!$C$5:$WL$5,"NPK",'P &amp; NP'!$C$2:$WL$2,"SITUBONDO")</f>
        <v>2555555</v>
      </c>
      <c r="AR31" s="519">
        <f>SUMIFS('P &amp; NP'!$C$10:$WL$10,'P &amp; NP'!$C$5:$WL$5,"PK",'P &amp; NP'!$C$2:$WL$2,"SITUBONDO")</f>
        <v>182436</v>
      </c>
      <c r="AS31" s="519">
        <f>SUMIFS('P &amp; NP'!$C$10:$WL$10,'P &amp; NP'!$C$5:$WL$5,"NPK",'P &amp; NP'!$C$2:$WL$2,"SITUBONDO")</f>
        <v>3494655</v>
      </c>
      <c r="AU31" s="502">
        <f t="shared" si="15"/>
        <v>0</v>
      </c>
      <c r="AV31" s="512">
        <f t="shared" si="16"/>
        <v>0</v>
      </c>
      <c r="AW31" s="519">
        <f>SUMIFS('P &amp; NP'!$C$7:$WL$7,'P &amp; NP'!$C$5:$WL$5,"PM",'P &amp; NP'!$C$2:$WL$2,"SITUBONDO")</f>
        <v>0</v>
      </c>
      <c r="AX31" s="519">
        <f>SUMIFS('P &amp; NP'!$C$7:$WL$7,'P &amp; NP'!$C$5:$WL$5,"NPM",'P &amp; NP'!$C$2:$WL$2,"SITUBONDO")</f>
        <v>0</v>
      </c>
      <c r="AY31" s="519">
        <f>SUMIFS('P &amp; NP'!$C$8:$WL$8,'P &amp; NP'!$C$5:$WL$5,"PM",'P &amp; NP'!$C$2:$WL$2,"SITUBONDO")</f>
        <v>0</v>
      </c>
      <c r="AZ31" s="519">
        <f>SUMIFS('P &amp; NP'!$C$8:$WL$8,'P &amp; NP'!$C$5:$WL$5,"NPM",'P &amp; NP'!$C$2:$WL$2,"SITUBONDO")</f>
        <v>0</v>
      </c>
      <c r="BA31" s="519">
        <f>SUMIFS('P &amp; NP'!$C$9:$WL$9,'P &amp; NP'!$C$5:$WL$5,"PM",'P &amp; NP'!$C$2:$WL$2,"SITUBONDO")</f>
        <v>0</v>
      </c>
      <c r="BB31" s="519">
        <f>SUMIFS('P &amp; NP'!$C$9:$WL$9,'P &amp; NP'!$C$5:$WL$5,"NPM",'P &amp; NP'!$C$2:$WL$2,"SITUBONDO")</f>
        <v>0</v>
      </c>
      <c r="BC31" s="519">
        <f>SUMIFS('P &amp; NP'!$C$10:$WL$10,'P &amp; NP'!$C$5:$WL$5,"PM",'P &amp; NP'!$C$2:$WL$2,"SITUBONDO")</f>
        <v>0</v>
      </c>
      <c r="BD31" s="519">
        <f>SUMIFS('P &amp; NP'!$C$10:$WL$10,'P &amp; NP'!$C$5:$WL$5,"NPM",'P &amp; NP'!$C$2:$WL$2,"SITUBONDO")</f>
        <v>0</v>
      </c>
      <c r="BF31" s="502">
        <f t="shared" si="17"/>
        <v>0</v>
      </c>
      <c r="BG31" s="512">
        <f t="shared" si="18"/>
        <v>0</v>
      </c>
      <c r="BH31" s="519">
        <f>SUMIFS('P &amp; NP'!$C$7:$WL$7,'P &amp; NP'!$C$5:$WL$5,"PB",'P &amp; NP'!$C$2:$WL$2,"SITUBONDO")</f>
        <v>0</v>
      </c>
      <c r="BI31" s="519">
        <f>SUMIFS('P &amp; NP'!$C$7:$WL$7,'P &amp; NP'!$C$5:$WL$5,"NPB",'P &amp; NP'!$C$2:$WL$2,"SITUBONDO")</f>
        <v>0</v>
      </c>
      <c r="BJ31" s="519">
        <f>SUMIFS('P &amp; NP'!$C$8:$WL$8,'P &amp; NP'!$C$5:$WL$5,"PB",'P &amp; NP'!$C$2:$WL$2,"SITUBONDO")</f>
        <v>0</v>
      </c>
      <c r="BK31" s="519">
        <f>SUMIFS('P &amp; NP'!$C$8:$WL$8,'P &amp; NP'!$C$5:$WL$5,"NPB",'P &amp; NP'!$C$2:$WL$2,"SITUBONDO")</f>
        <v>0</v>
      </c>
      <c r="BL31" s="519">
        <f>SUMIFS('P &amp; NP'!$C$9:$WL$9,'P &amp; NP'!$C$5:$WL$5,"PB",'P &amp; NP'!$C$2:$WL$2,"SITUBONDO")</f>
        <v>0</v>
      </c>
      <c r="BM31" s="519">
        <f>SUMIFS('P &amp; NP'!$C$9:$WL$9,'P &amp; NP'!$C$5:$WL$5,"NPB",'P &amp; NP'!$C$2:$WL$2,"SITUBONDO")</f>
        <v>0</v>
      </c>
      <c r="BN31" s="519">
        <f>SUMIFS('P &amp; NP'!$C$10:$WL$10,'P &amp; NP'!$C$5:$WL$5,"PB",'P &amp; NP'!$C$2:$WL$2,"SITUBONDO")</f>
        <v>0</v>
      </c>
      <c r="BO31" s="519">
        <f>SUMIFS('P &amp; NP'!$C$10:$WL$10,'P &amp; NP'!$C$5:$WL$5,"NPB",'P &amp; NP'!$C$2:$WL$2,"SITUBONDO")</f>
        <v>0</v>
      </c>
      <c r="BQ31" s="502">
        <f t="shared" si="19"/>
        <v>0</v>
      </c>
      <c r="BR31" s="512">
        <f t="shared" si="20"/>
        <v>0</v>
      </c>
      <c r="BS31" s="519">
        <f>SUMIFS('P &amp; NP'!$C$7:$WL$7,'P &amp; NP'!$C$5:$WL$5,"PJ",'P &amp; NP'!$C$2:$WL$2,"SITUBONDO")</f>
        <v>0</v>
      </c>
      <c r="BT31" s="519">
        <f>SUMIFS('P &amp; NP'!$C$7:$WL$7,'P &amp; NP'!$C$5:$WL$5,"NPJ",'P &amp; NP'!$C$2:$WL$2,"SITUBONDO")</f>
        <v>0</v>
      </c>
      <c r="BU31" s="519">
        <f>SUMIFS('P &amp; NP'!$C$8:$WL$8,'P &amp; NP'!$C$5:$WL$5,"PJ",'P &amp; NP'!$C$2:$WL$2,"SITUBONDO")</f>
        <v>0</v>
      </c>
      <c r="BV31" s="519">
        <f>SUMIFS('P &amp; NP'!$C$8:$WL$8,'P &amp; NP'!$C$5:$WL$5,"NPJ",'P &amp; NP'!$C$2:$WL$2,"SITUBONDO")</f>
        <v>0</v>
      </c>
      <c r="BW31" s="519">
        <f>SUMIFS('P &amp; NP'!$C$9:$WL$9,'P &amp; NP'!$C$5:$WL$5,"PJ",'P &amp; NP'!$C$2:$WL$2,"SITUBONDO")</f>
        <v>0</v>
      </c>
      <c r="BX31" s="519">
        <f>SUMIFS('P &amp; NP'!$C$9:$WL$9,'P &amp; NP'!$C$5:$WL$5,"NPJ",'P &amp; NP'!$C$2:$WL$2,"SITUBONDO")</f>
        <v>0</v>
      </c>
      <c r="BY31" s="519">
        <f>SUMIFS('P &amp; NP'!$C$10:$WL$10,'P &amp; NP'!$C$5:$WL$5,"PJ",'P &amp; NP'!$C$2:$WL$2,"SITUBONDO")</f>
        <v>0</v>
      </c>
      <c r="BZ31" s="519">
        <f>SUMIFS('P &amp; NP'!$C$10:$WL$10,'P &amp; NP'!$C$5:$WL$5,"NPJ",'P &amp; NP'!$C$2:$WL$2,"SITUBONDO")</f>
        <v>0</v>
      </c>
      <c r="CB31" s="502">
        <f t="shared" si="21"/>
        <v>11675328</v>
      </c>
      <c r="CC31" s="512">
        <f t="shared" si="22"/>
        <v>535776291</v>
      </c>
      <c r="CD31" s="519">
        <f t="shared" si="23"/>
        <v>2983727</v>
      </c>
      <c r="CE31" s="519">
        <f t="shared" si="24"/>
        <v>141709092</v>
      </c>
      <c r="CF31" s="519">
        <f t="shared" si="25"/>
        <v>3120155</v>
      </c>
      <c r="CG31" s="519">
        <f t="shared" si="26"/>
        <v>149861722</v>
      </c>
      <c r="CH31" s="519">
        <f t="shared" si="27"/>
        <v>3096410</v>
      </c>
      <c r="CI31" s="519">
        <f t="shared" si="28"/>
        <v>150377634</v>
      </c>
      <c r="CJ31" s="519">
        <f t="shared" si="29"/>
        <v>2475036</v>
      </c>
      <c r="CK31" s="519">
        <f t="shared" si="30"/>
        <v>93827843</v>
      </c>
    </row>
    <row r="32" spans="1:89">
      <c r="A32" s="509"/>
      <c r="B32" s="484" t="s">
        <v>140</v>
      </c>
      <c r="C32" s="502">
        <f t="shared" si="8"/>
        <v>760127186</v>
      </c>
      <c r="D32" s="512">
        <f t="shared" si="9"/>
        <v>3895512472</v>
      </c>
      <c r="E32" s="519">
        <f>SUMIFS('P &amp; NP'!$C$7:$WL$7,'P &amp; NP'!$C$5:$WL$5,"PL",'P &amp; NP'!$C$2:$WL$2,"SUMENEP")</f>
        <v>155167300</v>
      </c>
      <c r="F32" s="519">
        <f>SUMIFS('P &amp; NP'!$C$7:$WL$7,'P &amp; NP'!$C$5:$WL$5,"NPL",'P &amp; NP'!$C$2:$WL$2,"SUMENEP")</f>
        <v>942970302</v>
      </c>
      <c r="G32" s="519">
        <f>SUMIFS('P &amp; NP'!$C$8:$WL$8,'P &amp; NP'!$C$5:$WL$5,"PL",'P &amp; NP'!$C$2:$WL$2,"SUMENEP")</f>
        <v>168023284</v>
      </c>
      <c r="H32" s="519">
        <f>SUMIFS('P &amp; NP'!$C$8:$WL$8,'P &amp; NP'!$C$5:$WL$5,"NPL",'P &amp; NP'!$C$2:$WL$2,"SUMENEP")</f>
        <v>712478770</v>
      </c>
      <c r="I32" s="519">
        <f>SUMIFS('P &amp; NP'!$C$9:$WL$9,'P &amp; NP'!$C$5:$WL$5,"PL",'P &amp; NP'!$C$2:$WL$2,"SUMENEP")</f>
        <v>222997002</v>
      </c>
      <c r="J32" s="519">
        <f>SUMIFS('P &amp; NP'!$C$9:$WL$9,'P &amp; NP'!$C$5:$WL$5,"NPL",'P &amp; NP'!$C$2:$WL$2,"SUMENEP")</f>
        <v>1154648400</v>
      </c>
      <c r="K32" s="519">
        <f>SUMIFS('P &amp; NP'!$C$10:$WL$10,'P &amp; NP'!$C$5:$WL$5,"PL",'P &amp; NP'!$C$2:$WL$2,"SUMENEP")</f>
        <v>213939600</v>
      </c>
      <c r="L32" s="519">
        <f>SUMIFS('P &amp; NP'!$C$10:$WL$10,'P &amp; NP'!$C$5:$WL$5,"NPL",'P &amp; NP'!$C$2:$WL$2,"SUMENEP")</f>
        <v>1085415000</v>
      </c>
      <c r="N32" s="502">
        <f t="shared" si="10"/>
        <v>7596034</v>
      </c>
      <c r="O32" s="512">
        <f t="shared" si="11"/>
        <v>452829082</v>
      </c>
      <c r="P32" s="519">
        <f>SUMIFS('P &amp; NP'!$C$7:$WL$7,'P &amp; NP'!$C$5:$WL$5,"PT",'P &amp; NP'!$C$2:$WL$2,"SUMENEP")</f>
        <v>1712277</v>
      </c>
      <c r="Q32" s="519">
        <f>SUMIFS('P &amp; NP'!$C$7:$WL$7,'P &amp; NP'!$C$5:$WL$5,"NPT",'P &amp; NP'!$C$2:$WL$2,"SUMENEP")</f>
        <v>99081975</v>
      </c>
      <c r="R32" s="519">
        <f>SUMIFS('P &amp; NP'!$C$8:$WL$8,'P &amp; NP'!$C$5:$WL$5,"PT",'P &amp; NP'!$C$2:$WL$2,"SUMENEP")</f>
        <v>1400130</v>
      </c>
      <c r="S32" s="519">
        <f>SUMIFS('P &amp; NP'!$C$8:$WL$8,'P &amp; NP'!$C$5:$WL$5,"NPT",'P &amp; NP'!$C$2:$WL$2,"SUMENEP")</f>
        <v>80106971</v>
      </c>
      <c r="T32" s="519">
        <f>SUMIFS('P &amp; NP'!$C$9:$WL$9,'P &amp; NP'!$C$5:$WL$5,"PT",'P &amp; NP'!$C$2:$WL$2,"SUMENEP")</f>
        <v>2915240</v>
      </c>
      <c r="U32" s="519">
        <f>SUMIFS('P &amp; NP'!$C$9:$WL$9,'P &amp; NP'!$C$5:$WL$5,"NPT",'P &amp; NP'!$C$2:$WL$2,"SUMENEP")</f>
        <v>176128314.99999997</v>
      </c>
      <c r="V32" s="519">
        <f>SUMIFS('P &amp; NP'!$C$10:$WL$10,'P &amp; NP'!$C$5:$WL$5,"PT",'P &amp; NP'!$C$2:$WL$2,"SUMENEP")</f>
        <v>1568387</v>
      </c>
      <c r="W32" s="519">
        <f>SUMIFS('P &amp; NP'!$C$10:$WL$10,'P &amp; NP'!$C$5:$WL$5,"NPT",'P &amp; NP'!$C$2:$WL$2,"SUMENEP")</f>
        <v>97511821</v>
      </c>
      <c r="Y32" s="502">
        <f ca="1">SUMIF(AA$5:$AH30,$Y$1,AA32:AH32)</f>
        <v>0</v>
      </c>
      <c r="Z32" s="512">
        <f t="shared" si="12"/>
        <v>0</v>
      </c>
      <c r="AA32" s="519">
        <f>SUMIFS('P &amp; NP'!$C$7:$WL$7,'P &amp; NP'!$C$5:$WL$5,"PS",'P &amp; NP'!$C$2:$WL$2,"SUMENEP")</f>
        <v>0</v>
      </c>
      <c r="AB32" s="519">
        <f>SUMIFS('P &amp; NP'!$C$7:$WL$7,'P &amp; NP'!$C$5:$WL$5,"NPS",'P &amp; NP'!$C$2:$WL$2,"SUMENEP")</f>
        <v>0</v>
      </c>
      <c r="AC32" s="519">
        <f>SUMIFS('P &amp; NP'!$C$8:$WL$8,'P &amp; NP'!$C$5:$WL$5,"PS",'P &amp; NP'!$C$2:$WL$2,"SUMENEP")</f>
        <v>0</v>
      </c>
      <c r="AD32" s="519">
        <f>SUMIFS('P &amp; NP'!$C$8:$WL$8,'P &amp; NP'!$C$5:$WL$5,"NPS",'P &amp; NP'!$C$2:$WL$2,"SUMENEP")</f>
        <v>0</v>
      </c>
      <c r="AE32" s="519">
        <f>SUMIFS('P &amp; NP'!$C$9:$WL$9,'P &amp; NP'!$C$5:$WL$5,"PS",'P &amp; NP'!$C$2:$WL$2,"SUMENEP")</f>
        <v>0</v>
      </c>
      <c r="AF32" s="519">
        <f>SUMIFS('P &amp; NP'!$C$9:$WL$9,'P &amp; NP'!$C$5:$WL$5,"NPS",'P &amp; NP'!$C$2:$WL$2,"SUMENEP")</f>
        <v>0</v>
      </c>
      <c r="AG32" s="519">
        <f>SUMIFS('P &amp; NP'!$C$10:$WL$10,'P &amp; NP'!$C$5:$WL$5,"PS",'P &amp; NP'!$C$2:$WL$2,"SUMENEP")</f>
        <v>0</v>
      </c>
      <c r="AH32" s="519">
        <f>SUMIFS('P &amp; NP'!$C$10:$WL$10,'P &amp; NP'!$C$5:$WL$5,"NPS",'P &amp; NP'!$C$2:$WL$2,"SUMENEP")</f>
        <v>0</v>
      </c>
      <c r="AJ32" s="502">
        <f t="shared" si="13"/>
        <v>2548876.4000000004</v>
      </c>
      <c r="AK32" s="512">
        <f t="shared" si="14"/>
        <v>24139934.900000002</v>
      </c>
      <c r="AL32" s="519">
        <f>SUMIFS('P &amp; NP'!$C$7:$WL$7,'P &amp; NP'!$C$5:$WL$5,"PK",'P &amp; NP'!$C$2:$WL$2,"SUMENEP")</f>
        <v>93958.2</v>
      </c>
      <c r="AM32" s="519">
        <f>SUMIFS('P &amp; NP'!$C$7:$WL$7,'P &amp; NP'!$C$5:$WL$5,"NPK",'P &amp; NP'!$C$2:$WL$2,"SUMENEP")</f>
        <v>2131162.2000000002</v>
      </c>
      <c r="AN32" s="519">
        <f>SUMIFS('P &amp; NP'!$C$8:$WL$8,'P &amp; NP'!$C$5:$WL$5,"PK",'P &amp; NP'!$C$2:$WL$2,"SUMENEP")</f>
        <v>105639.5</v>
      </c>
      <c r="AO32" s="519">
        <f>SUMIFS('P &amp; NP'!$C$8:$WL$8,'P &amp; NP'!$C$5:$WL$5,"NPK",'P &amp; NP'!$C$2:$WL$2,"SUMENEP")</f>
        <v>2306270.5</v>
      </c>
      <c r="AP32" s="519">
        <f>SUMIFS('P &amp; NP'!$C$9:$WL$9,'P &amp; NP'!$C$5:$WL$5,"PK",'P &amp; NP'!$C$2:$WL$2,"SUMENEP")</f>
        <v>2230122.7000000002</v>
      </c>
      <c r="AQ32" s="519">
        <f>SUMIFS('P &amp; NP'!$C$9:$WL$9,'P &amp; NP'!$C$5:$WL$5,"NPK",'P &amp; NP'!$C$2:$WL$2,"SUMENEP")</f>
        <v>17082026.200000003</v>
      </c>
      <c r="AR32" s="519">
        <f>SUMIFS('P &amp; NP'!$C$10:$WL$10,'P &amp; NP'!$C$5:$WL$5,"PK",'P &amp; NP'!$C$2:$WL$2,"SUMENEP")</f>
        <v>119156</v>
      </c>
      <c r="AS32" s="519">
        <f>SUMIFS('P &amp; NP'!$C$10:$WL$10,'P &amp; NP'!$C$5:$WL$5,"NPK",'P &amp; NP'!$C$2:$WL$2,"SUMENEP")</f>
        <v>2620476</v>
      </c>
      <c r="AU32" s="502">
        <f t="shared" si="15"/>
        <v>0</v>
      </c>
      <c r="AV32" s="512">
        <f t="shared" si="16"/>
        <v>0</v>
      </c>
      <c r="AW32" s="519">
        <f>SUMIFS('P &amp; NP'!$C$7:$WL$7,'P &amp; NP'!$C$5:$WL$5,"PM",'P &amp; NP'!$C$2:$WL$2,"SUMENEP")</f>
        <v>0</v>
      </c>
      <c r="AX32" s="519">
        <f>SUMIFS('P &amp; NP'!$C$7:$WL$7,'P &amp; NP'!$C$5:$WL$5,"NPM",'P &amp; NP'!$C$2:$WL$2,"SUMENEP")</f>
        <v>0</v>
      </c>
      <c r="AY32" s="519">
        <f>SUMIFS('P &amp; NP'!$C$8:$WL$8,'P &amp; NP'!$C$5:$WL$5,"PM",'P &amp; NP'!$C$2:$WL$2,"SUMENEP")</f>
        <v>0</v>
      </c>
      <c r="AZ32" s="519">
        <f>SUMIFS('P &amp; NP'!$C$8:$WL$8,'P &amp; NP'!$C$5:$WL$5,"NPM",'P &amp; NP'!$C$2:$WL$2,"SUMENEP")</f>
        <v>0</v>
      </c>
      <c r="BA32" s="519">
        <f>SUMIFS('P &amp; NP'!$C$9:$WL$9,'P &amp; NP'!$C$5:$WL$5,"PM",'P &amp; NP'!$C$2:$WL$2,"SUMENEP")</f>
        <v>0</v>
      </c>
      <c r="BB32" s="519">
        <f>SUMIFS('P &amp; NP'!$C$9:$WL$9,'P &amp; NP'!$C$5:$WL$5,"NPM",'P &amp; NP'!$C$2:$WL$2,"SUMENEP")</f>
        <v>0</v>
      </c>
      <c r="BC32" s="519">
        <f>SUMIFS('P &amp; NP'!$C$10:$WL$10,'P &amp; NP'!$C$5:$WL$5,"PM",'P &amp; NP'!$C$2:$WL$2,"SUMENEP")</f>
        <v>0</v>
      </c>
      <c r="BD32" s="519">
        <f>SUMIFS('P &amp; NP'!$C$10:$WL$10,'P &amp; NP'!$C$5:$WL$5,"NPM",'P &amp; NP'!$C$2:$WL$2,"SUMENEP")</f>
        <v>0</v>
      </c>
      <c r="BF32" s="502">
        <f t="shared" si="17"/>
        <v>0</v>
      </c>
      <c r="BG32" s="512">
        <f t="shared" si="18"/>
        <v>0</v>
      </c>
      <c r="BH32" s="519">
        <f>SUMIFS('P &amp; NP'!$C$7:$WL$7,'P &amp; NP'!$C$5:$WL$5,"PB",'P &amp; NP'!$C$2:$WL$2,"SUMENEP")</f>
        <v>0</v>
      </c>
      <c r="BI32" s="519">
        <f>SUMIFS('P &amp; NP'!$C$7:$WL$7,'P &amp; NP'!$C$5:$WL$5,"NPB",'P &amp; NP'!$C$2:$WL$2,"SUMENEP")</f>
        <v>0</v>
      </c>
      <c r="BJ32" s="519">
        <f>SUMIFS('P &amp; NP'!$C$8:$WL$8,'P &amp; NP'!$C$5:$WL$5,"PB",'P &amp; NP'!$C$2:$WL$2,"SUMENEP")</f>
        <v>0</v>
      </c>
      <c r="BK32" s="519">
        <f>SUMIFS('P &amp; NP'!$C$8:$WL$8,'P &amp; NP'!$C$5:$WL$5,"NPB",'P &amp; NP'!$C$2:$WL$2,"SUMENEP")</f>
        <v>0</v>
      </c>
      <c r="BL32" s="519">
        <f>SUMIFS('P &amp; NP'!$C$9:$WL$9,'P &amp; NP'!$C$5:$WL$5,"PB",'P &amp; NP'!$C$2:$WL$2,"SUMENEP")</f>
        <v>0</v>
      </c>
      <c r="BM32" s="519">
        <f>SUMIFS('P &amp; NP'!$C$9:$WL$9,'P &amp; NP'!$C$5:$WL$5,"NPB",'P &amp; NP'!$C$2:$WL$2,"SUMENEP")</f>
        <v>0</v>
      </c>
      <c r="BN32" s="519">
        <f>SUMIFS('P &amp; NP'!$C$10:$WL$10,'P &amp; NP'!$C$5:$WL$5,"PB",'P &amp; NP'!$C$2:$WL$2,"SUMENEP")</f>
        <v>0</v>
      </c>
      <c r="BO32" s="519">
        <f>SUMIFS('P &amp; NP'!$C$10:$WL$10,'P &amp; NP'!$C$5:$WL$5,"NPB",'P &amp; NP'!$C$2:$WL$2,"SUMENEP")</f>
        <v>0</v>
      </c>
      <c r="BQ32" s="502">
        <f t="shared" si="19"/>
        <v>0</v>
      </c>
      <c r="BR32" s="512">
        <f t="shared" si="20"/>
        <v>0</v>
      </c>
      <c r="BS32" s="519">
        <f>SUMIFS('P &amp; NP'!$C$7:$WL$7,'P &amp; NP'!$C$5:$WL$5,"PJ",'P &amp; NP'!$C$2:$WL$2,"SUMENEP")</f>
        <v>0</v>
      </c>
      <c r="BT32" s="519">
        <f>SUMIFS('P &amp; NP'!$C$7:$WL$7,'P &amp; NP'!$C$5:$WL$5,"NPJ",'P &amp; NP'!$C$2:$WL$2,"SUMENEP")</f>
        <v>0</v>
      </c>
      <c r="BU32" s="519">
        <f>SUMIFS('P &amp; NP'!$C$8:$WL$8,'P &amp; NP'!$C$5:$WL$5,"PJ",'P &amp; NP'!$C$2:$WL$2,"SUMENEP")</f>
        <v>0</v>
      </c>
      <c r="BV32" s="519">
        <f>SUMIFS('P &amp; NP'!$C$8:$WL$8,'P &amp; NP'!$C$5:$WL$5,"NPJ",'P &amp; NP'!$C$2:$WL$2,"SUMENEP")</f>
        <v>0</v>
      </c>
      <c r="BW32" s="519">
        <f>SUMIFS('P &amp; NP'!$C$9:$WL$9,'P &amp; NP'!$C$5:$WL$5,"PJ",'P &amp; NP'!$C$2:$WL$2,"SUMENEP")</f>
        <v>0</v>
      </c>
      <c r="BX32" s="519">
        <f>SUMIFS('P &amp; NP'!$C$9:$WL$9,'P &amp; NP'!$C$5:$WL$5,"NPJ",'P &amp; NP'!$C$2:$WL$2,"SUMENEP")</f>
        <v>0</v>
      </c>
      <c r="BY32" s="519">
        <f>SUMIFS('P &amp; NP'!$C$10:$WL$10,'P &amp; NP'!$C$5:$WL$5,"PJ",'P &amp; NP'!$C$2:$WL$2,"SUMENEP")</f>
        <v>0</v>
      </c>
      <c r="BZ32" s="519">
        <f>SUMIFS('P &amp; NP'!$C$10:$WL$10,'P &amp; NP'!$C$5:$WL$5,"NPJ",'P &amp; NP'!$C$2:$WL$2,"SUMENEP")</f>
        <v>0</v>
      </c>
      <c r="CB32" s="502">
        <f t="shared" si="21"/>
        <v>770272096.39999998</v>
      </c>
      <c r="CC32" s="512">
        <f t="shared" si="22"/>
        <v>4372481488.8999996</v>
      </c>
      <c r="CD32" s="519">
        <f t="shared" si="23"/>
        <v>156973535.19999999</v>
      </c>
      <c r="CE32" s="519">
        <f t="shared" si="24"/>
        <v>1044183439.2</v>
      </c>
      <c r="CF32" s="519">
        <f t="shared" si="25"/>
        <v>169529053.5</v>
      </c>
      <c r="CG32" s="519">
        <f t="shared" si="26"/>
        <v>794892011.5</v>
      </c>
      <c r="CH32" s="519">
        <f t="shared" si="27"/>
        <v>228142364.69999999</v>
      </c>
      <c r="CI32" s="519">
        <f t="shared" si="28"/>
        <v>1347858741.2</v>
      </c>
      <c r="CJ32" s="519">
        <f t="shared" si="29"/>
        <v>215627143</v>
      </c>
      <c r="CK32" s="519">
        <f t="shared" si="30"/>
        <v>1185547297</v>
      </c>
    </row>
    <row r="33" spans="1:89">
      <c r="A33" s="509"/>
      <c r="B33" s="484" t="s">
        <v>114</v>
      </c>
      <c r="C33" s="502">
        <f t="shared" si="8"/>
        <v>2009</v>
      </c>
      <c r="D33" s="512">
        <f t="shared" si="9"/>
        <v>150921.5</v>
      </c>
      <c r="E33" s="519">
        <f>SUMIFS('P &amp; NP'!$C$7:$WL$7,'P &amp; NP'!$C$5:$WL$5,"PL",'P &amp; NP'!$C$2:$WL$2,"TRENGGALEK")</f>
        <v>678</v>
      </c>
      <c r="F33" s="519">
        <f>SUMIFS('P &amp; NP'!$C$7:$WL$7,'P &amp; NP'!$C$5:$WL$5,"NPL",'P &amp; NP'!$C$2:$WL$2,"TRENGGALEK")</f>
        <v>40680</v>
      </c>
      <c r="G33" s="519">
        <f>SUMIFS('P &amp; NP'!$C$8:$WL$8,'P &amp; NP'!$C$5:$WL$5,"PL",'P &amp; NP'!$C$2:$WL$2,"TRENGGALEK")</f>
        <v>441</v>
      </c>
      <c r="H33" s="519">
        <f>SUMIFS('P &amp; NP'!$C$8:$WL$8,'P &amp; NP'!$C$5:$WL$5,"NPL",'P &amp; NP'!$C$2:$WL$2,"TRENGGALEK")</f>
        <v>27721.5</v>
      </c>
      <c r="I33" s="519">
        <f>SUMIFS('P &amp; NP'!$C$9:$WL$9,'P &amp; NP'!$C$5:$WL$5,"PL",'P &amp; NP'!$C$2:$WL$2,"TRENGGALEK")</f>
        <v>705</v>
      </c>
      <c r="J33" s="519">
        <f>SUMIFS('P &amp; NP'!$C$9:$WL$9,'P &amp; NP'!$C$5:$WL$5,"NPL",'P &amp; NP'!$C$2:$WL$2,"TRENGGALEK")</f>
        <v>72345</v>
      </c>
      <c r="K33" s="519">
        <f>SUMIFS('P &amp; NP'!$C$10:$WL$10,'P &amp; NP'!$C$5:$WL$5,"PL",'P &amp; NP'!$C$2:$WL$2,"TRENGGALEK")</f>
        <v>185</v>
      </c>
      <c r="L33" s="519">
        <f>SUMIFS('P &amp; NP'!$C$10:$WL$10,'P &amp; NP'!$C$5:$WL$5,"NPL",'P &amp; NP'!$C$2:$WL$2,"TRENGGALEK")</f>
        <v>10175</v>
      </c>
      <c r="N33" s="502">
        <f t="shared" si="10"/>
        <v>273436</v>
      </c>
      <c r="O33" s="512">
        <f t="shared" si="11"/>
        <v>16905242</v>
      </c>
      <c r="P33" s="519">
        <f>SUMIFS('P &amp; NP'!$C$7:$WL$7,'P &amp; NP'!$C$5:$WL$5,"PT",'P &amp; NP'!$C$2:$WL$2,"TRENGGALEK")</f>
        <v>104712</v>
      </c>
      <c r="Q33" s="519">
        <f>SUMIFS('P &amp; NP'!$C$7:$WL$7,'P &amp; NP'!$C$5:$WL$5,"NPT",'P &amp; NP'!$C$2:$WL$2,"TRENGGALEK")</f>
        <v>5272102</v>
      </c>
      <c r="R33" s="519">
        <f>SUMIFS('P &amp; NP'!$C$8:$WL$8,'P &amp; NP'!$C$5:$WL$5,"PT",'P &amp; NP'!$C$2:$WL$2,"TRENGGALEK")</f>
        <v>76281</v>
      </c>
      <c r="S33" s="519">
        <f>SUMIFS('P &amp; NP'!$C$8:$WL$8,'P &amp; NP'!$C$5:$WL$5,"NPT",'P &amp; NP'!$C$2:$WL$2,"TRENGGALEK")</f>
        <v>5624345</v>
      </c>
      <c r="T33" s="519">
        <f>SUMIFS('P &amp; NP'!$C$9:$WL$9,'P &amp; NP'!$C$5:$WL$5,"PT",'P &amp; NP'!$C$2:$WL$2,"TRENGGALEK")</f>
        <v>49997</v>
      </c>
      <c r="U33" s="519">
        <f>SUMIFS('P &amp; NP'!$C$9:$WL$9,'P &amp; NP'!$C$5:$WL$5,"NPT",'P &amp; NP'!$C$2:$WL$2,"TRENGGALEK")</f>
        <v>3249805</v>
      </c>
      <c r="V33" s="519">
        <f>SUMIFS('P &amp; NP'!$C$10:$WL$10,'P &amp; NP'!$C$5:$WL$5,"PT",'P &amp; NP'!$C$2:$WL$2,"TRENGGALEK")</f>
        <v>42446</v>
      </c>
      <c r="W33" s="519">
        <f>SUMIFS('P &amp; NP'!$C$10:$WL$10,'P &amp; NP'!$C$5:$WL$5,"NPT",'P &amp; NP'!$C$2:$WL$2,"TRENGGALEK")</f>
        <v>2758990</v>
      </c>
      <c r="Y33" s="502">
        <f ca="1">SUMIF(AA$5:$AH31,$Y$1,AA33:AH33)</f>
        <v>0</v>
      </c>
      <c r="Z33" s="512">
        <f t="shared" si="12"/>
        <v>0</v>
      </c>
      <c r="AA33" s="519">
        <f>SUMIFS('P &amp; NP'!$C$7:$WL$7,'P &amp; NP'!$C$5:$WL$5,"PS",'P &amp; NP'!$C$2:$WL$2,"TRENGGALEK")</f>
        <v>0</v>
      </c>
      <c r="AB33" s="519">
        <f>SUMIFS('P &amp; NP'!$C$7:$WL$7,'P &amp; NP'!$C$5:$WL$5,"NPS",'P &amp; NP'!$C$2:$WL$2,"TRENGGALEK")</f>
        <v>0</v>
      </c>
      <c r="AC33" s="519">
        <f>SUMIFS('P &amp; NP'!$C$8:$WL$8,'P &amp; NP'!$C$5:$WL$5,"PS",'P &amp; NP'!$C$2:$WL$2,"TRENGGALEK")</f>
        <v>0</v>
      </c>
      <c r="AD33" s="519">
        <f>SUMIFS('P &amp; NP'!$C$8:$WL$8,'P &amp; NP'!$C$5:$WL$5,"NPS",'P &amp; NP'!$C$2:$WL$2,"TRENGGALEK")</f>
        <v>0</v>
      </c>
      <c r="AE33" s="519">
        <f>SUMIFS('P &amp; NP'!$C$9:$WL$9,'P &amp; NP'!$C$5:$WL$5,"PS",'P &amp; NP'!$C$2:$WL$2,"TRENGGALEK")</f>
        <v>0</v>
      </c>
      <c r="AF33" s="519">
        <f>SUMIFS('P &amp; NP'!$C$9:$WL$9,'P &amp; NP'!$C$5:$WL$5,"NPS",'P &amp; NP'!$C$2:$WL$2,"TRENGGALEK")</f>
        <v>0</v>
      </c>
      <c r="AG33" s="519">
        <f>SUMIFS('P &amp; NP'!$C$10:$WL$10,'P &amp; NP'!$C$5:$WL$5,"PS",'P &amp; NP'!$C$2:$WL$2,"TRENGGALEK")</f>
        <v>0</v>
      </c>
      <c r="AH33" s="519">
        <f>SUMIFS('P &amp; NP'!$C$10:$WL$10,'P &amp; NP'!$C$5:$WL$5,"NPS",'P &amp; NP'!$C$2:$WL$2,"TRENGGALEK")</f>
        <v>0</v>
      </c>
      <c r="AJ33" s="502">
        <f t="shared" si="13"/>
        <v>4813018</v>
      </c>
      <c r="AK33" s="512">
        <f t="shared" si="14"/>
        <v>86957019</v>
      </c>
      <c r="AL33" s="519">
        <f>SUMIFS('P &amp; NP'!$C$7:$WL$7,'P &amp; NP'!$C$5:$WL$5,"PK",'P &amp; NP'!$C$2:$WL$2,"TRENGGALEK")</f>
        <v>1225424</v>
      </c>
      <c r="AM33" s="519">
        <f>SUMIFS('P &amp; NP'!$C$7:$WL$7,'P &amp; NP'!$C$5:$WL$5,"NPK",'P &amp; NP'!$C$2:$WL$2,"TRENGGALEK")</f>
        <v>21451777</v>
      </c>
      <c r="AN33" s="519">
        <f>SUMIFS('P &amp; NP'!$C$8:$WL$8,'P &amp; NP'!$C$5:$WL$5,"PK",'P &amp; NP'!$C$2:$WL$2,"TRENGGALEK")</f>
        <v>1319814</v>
      </c>
      <c r="AO33" s="519">
        <f>SUMIFS('P &amp; NP'!$C$8:$WL$8,'P &amp; NP'!$C$5:$WL$5,"NPK",'P &amp; NP'!$C$2:$WL$2,"TRENGGALEK")</f>
        <v>24320910</v>
      </c>
      <c r="AP33" s="519">
        <f>SUMIFS('P &amp; NP'!$C$9:$WL$9,'P &amp; NP'!$C$5:$WL$5,"PK",'P &amp; NP'!$C$2:$WL$2,"TRENGGALEK")</f>
        <v>1185743</v>
      </c>
      <c r="AQ33" s="519">
        <f>SUMIFS('P &amp; NP'!$C$9:$WL$9,'P &amp; NP'!$C$5:$WL$5,"NPK",'P &amp; NP'!$C$2:$WL$2,"TRENGGALEK")</f>
        <v>21373000</v>
      </c>
      <c r="AR33" s="519">
        <f>SUMIFS('P &amp; NP'!$C$10:$WL$10,'P &amp; NP'!$C$5:$WL$5,"PK",'P &amp; NP'!$C$2:$WL$2,"TRENGGALEK")</f>
        <v>1082037</v>
      </c>
      <c r="AS33" s="519">
        <f>SUMIFS('P &amp; NP'!$C$10:$WL$10,'P &amp; NP'!$C$5:$WL$5,"NPK",'P &amp; NP'!$C$2:$WL$2,"TRENGGALEK")</f>
        <v>19811332</v>
      </c>
      <c r="AU33" s="502">
        <f t="shared" si="15"/>
        <v>0</v>
      </c>
      <c r="AV33" s="512">
        <f t="shared" si="16"/>
        <v>0</v>
      </c>
      <c r="AW33" s="519">
        <f>SUMIFS('P &amp; NP'!$C$7:$WL$7,'P &amp; NP'!$C$5:$WL$5,"PM",'P &amp; NP'!$C$2:$WL$2,"TRENGGALEK")</f>
        <v>0</v>
      </c>
      <c r="AX33" s="519">
        <f>SUMIFS('P &amp; NP'!$C$7:$WL$7,'P &amp; NP'!$C$5:$WL$5,"NPM",'P &amp; NP'!$C$2:$WL$2,"TRENGGALEK")</f>
        <v>0</v>
      </c>
      <c r="AY33" s="519">
        <f>SUMIFS('P &amp; NP'!$C$8:$WL$8,'P &amp; NP'!$C$5:$WL$5,"PM",'P &amp; NP'!$C$2:$WL$2,"TRENGGALEK")</f>
        <v>0</v>
      </c>
      <c r="AZ33" s="519">
        <f>SUMIFS('P &amp; NP'!$C$8:$WL$8,'P &amp; NP'!$C$5:$WL$5,"NPM",'P &amp; NP'!$C$2:$WL$2,"TRENGGALEK")</f>
        <v>0</v>
      </c>
      <c r="BA33" s="519">
        <f>SUMIFS('P &amp; NP'!$C$9:$WL$9,'P &amp; NP'!$C$5:$WL$5,"PM",'P &amp; NP'!$C$2:$WL$2,"TRENGGALEK")</f>
        <v>0</v>
      </c>
      <c r="BB33" s="519">
        <f>SUMIFS('P &amp; NP'!$C$9:$WL$9,'P &amp; NP'!$C$5:$WL$5,"NPM",'P &amp; NP'!$C$2:$WL$2,"TRENGGALEK")</f>
        <v>0</v>
      </c>
      <c r="BC33" s="519">
        <f>SUMIFS('P &amp; NP'!$C$10:$WL$10,'P &amp; NP'!$C$5:$WL$5,"PM",'P &amp; NP'!$C$2:$WL$2,"TRENGGALEK")</f>
        <v>0</v>
      </c>
      <c r="BD33" s="519">
        <f>SUMIFS('P &amp; NP'!$C$10:$WL$10,'P &amp; NP'!$C$5:$WL$5,"NPM",'P &amp; NP'!$C$2:$WL$2,"TRENGGALEK")</f>
        <v>0</v>
      </c>
      <c r="BF33" s="502">
        <f t="shared" si="17"/>
        <v>0</v>
      </c>
      <c r="BG33" s="512">
        <f t="shared" si="18"/>
        <v>0</v>
      </c>
      <c r="BH33" s="519">
        <f>SUMIFS('P &amp; NP'!$C$7:$WL$7,'P &amp; NP'!$C$5:$WL$5,"PB",'P &amp; NP'!$C$2:$WL$2,"TRENGGALEK")</f>
        <v>0</v>
      </c>
      <c r="BI33" s="519">
        <f>SUMIFS('P &amp; NP'!$C$7:$WL$7,'P &amp; NP'!$C$5:$WL$5,"NPB",'P &amp; NP'!$C$2:$WL$2,"TRENGGALEK")</f>
        <v>0</v>
      </c>
      <c r="BJ33" s="519">
        <f>SUMIFS('P &amp; NP'!$C$8:$WL$8,'P &amp; NP'!$C$5:$WL$5,"PB",'P &amp; NP'!$C$2:$WL$2,"TRENGGALEK")</f>
        <v>0</v>
      </c>
      <c r="BK33" s="519">
        <f>SUMIFS('P &amp; NP'!$C$8:$WL$8,'P &amp; NP'!$C$5:$WL$5,"NPB",'P &amp; NP'!$C$2:$WL$2,"TRENGGALEK")</f>
        <v>0</v>
      </c>
      <c r="BL33" s="519">
        <f>SUMIFS('P &amp; NP'!$C$9:$WL$9,'P &amp; NP'!$C$5:$WL$5,"PB",'P &amp; NP'!$C$2:$WL$2,"TRENGGALEK")</f>
        <v>0</v>
      </c>
      <c r="BM33" s="519">
        <f>SUMIFS('P &amp; NP'!$C$9:$WL$9,'P &amp; NP'!$C$5:$WL$5,"NPB",'P &amp; NP'!$C$2:$WL$2,"TRENGGALEK")</f>
        <v>0</v>
      </c>
      <c r="BN33" s="519">
        <f>SUMIFS('P &amp; NP'!$C$10:$WL$10,'P &amp; NP'!$C$5:$WL$5,"PB",'P &amp; NP'!$C$2:$WL$2,"TRENGGALEK")</f>
        <v>0</v>
      </c>
      <c r="BO33" s="519">
        <f>SUMIFS('P &amp; NP'!$C$10:$WL$10,'P &amp; NP'!$C$5:$WL$5,"NPB",'P &amp; NP'!$C$2:$WL$2,"TRENGGALEK")</f>
        <v>0</v>
      </c>
      <c r="BQ33" s="502">
        <f t="shared" si="19"/>
        <v>0</v>
      </c>
      <c r="BR33" s="512">
        <f t="shared" si="20"/>
        <v>0</v>
      </c>
      <c r="BS33" s="519">
        <f>SUMIFS('P &amp; NP'!$C$7:$WL$7,'P &amp; NP'!$C$5:$WL$5,"PJ",'P &amp; NP'!$C$2:$WL$2,"TRENGGALEK")</f>
        <v>0</v>
      </c>
      <c r="BT33" s="519">
        <f>SUMIFS('P &amp; NP'!$C$7:$WL$7,'P &amp; NP'!$C$5:$WL$5,"NPJ",'P &amp; NP'!$C$2:$WL$2,"TRENGGALEK")</f>
        <v>0</v>
      </c>
      <c r="BU33" s="519">
        <f>SUMIFS('P &amp; NP'!$C$8:$WL$8,'P &amp; NP'!$C$5:$WL$5,"PJ",'P &amp; NP'!$C$2:$WL$2,"TRENGGALEK")</f>
        <v>0</v>
      </c>
      <c r="BV33" s="519">
        <f>SUMIFS('P &amp; NP'!$C$8:$WL$8,'P &amp; NP'!$C$5:$WL$5,"NPJ",'P &amp; NP'!$C$2:$WL$2,"TRENGGALEK")</f>
        <v>0</v>
      </c>
      <c r="BW33" s="519">
        <f>SUMIFS('P &amp; NP'!$C$9:$WL$9,'P &amp; NP'!$C$5:$WL$5,"PJ",'P &amp; NP'!$C$2:$WL$2,"TRENGGALEK")</f>
        <v>0</v>
      </c>
      <c r="BX33" s="519">
        <f>SUMIFS('P &amp; NP'!$C$9:$WL$9,'P &amp; NP'!$C$5:$WL$5,"NPJ",'P &amp; NP'!$C$2:$WL$2,"TRENGGALEK")</f>
        <v>0</v>
      </c>
      <c r="BY33" s="519">
        <f>SUMIFS('P &amp; NP'!$C$10:$WL$10,'P &amp; NP'!$C$5:$WL$5,"PJ",'P &amp; NP'!$C$2:$WL$2,"TRENGGALEK")</f>
        <v>0</v>
      </c>
      <c r="BZ33" s="519">
        <f>SUMIFS('P &amp; NP'!$C$10:$WL$10,'P &amp; NP'!$C$5:$WL$5,"NPJ",'P &amp; NP'!$C$2:$WL$2,"TRENGGALEK")</f>
        <v>0</v>
      </c>
      <c r="CB33" s="502">
        <f t="shared" si="21"/>
        <v>5088463</v>
      </c>
      <c r="CC33" s="512">
        <f t="shared" si="22"/>
        <v>104013182.5</v>
      </c>
      <c r="CD33" s="519">
        <f t="shared" si="23"/>
        <v>1330814</v>
      </c>
      <c r="CE33" s="519">
        <f t="shared" si="24"/>
        <v>26764559</v>
      </c>
      <c r="CF33" s="519">
        <f t="shared" si="25"/>
        <v>1396536</v>
      </c>
      <c r="CG33" s="519">
        <f t="shared" si="26"/>
        <v>29972976.5</v>
      </c>
      <c r="CH33" s="519">
        <f t="shared" si="27"/>
        <v>1236445</v>
      </c>
      <c r="CI33" s="519">
        <f t="shared" si="28"/>
        <v>24695150</v>
      </c>
      <c r="CJ33" s="519">
        <f t="shared" si="29"/>
        <v>1124668</v>
      </c>
      <c r="CK33" s="519">
        <f t="shared" si="30"/>
        <v>22580497</v>
      </c>
    </row>
    <row r="34" spans="1:89">
      <c r="A34" s="509"/>
      <c r="B34" s="484" t="s">
        <v>134</v>
      </c>
      <c r="C34" s="502">
        <f t="shared" si="8"/>
        <v>2600</v>
      </c>
      <c r="D34" s="512">
        <f t="shared" si="9"/>
        <v>276950</v>
      </c>
      <c r="E34" s="519">
        <f>SUMIFS('P &amp; NP'!$C$7:$WL$7,'P &amp; NP'!$C$5:$WL$5,"PL",'P &amp; NP'!$C$2:$WL$2,"TUBAN")</f>
        <v>280</v>
      </c>
      <c r="F34" s="519">
        <f>SUMIFS('P &amp; NP'!$C$7:$WL$7,'P &amp; NP'!$C$5:$WL$5,"NPL",'P &amp; NP'!$C$2:$WL$2,"TUBAN")</f>
        <v>28000</v>
      </c>
      <c r="G34" s="519">
        <f>SUMIFS('P &amp; NP'!$C$8:$WL$8,'P &amp; NP'!$C$5:$WL$5,"PL",'P &amp; NP'!$C$2:$WL$2,"TUBAN")</f>
        <v>500</v>
      </c>
      <c r="H34" s="519">
        <f>SUMIFS('P &amp; NP'!$C$8:$WL$8,'P &amp; NP'!$C$5:$WL$5,"NPL",'P &amp; NP'!$C$2:$WL$2,"TUBAN")</f>
        <v>55000</v>
      </c>
      <c r="I34" s="519">
        <f>SUMIFS('P &amp; NP'!$C$9:$WL$9,'P &amp; NP'!$C$5:$WL$5,"PL",'P &amp; NP'!$C$2:$WL$2,"TUBAN")</f>
        <v>570</v>
      </c>
      <c r="J34" s="519">
        <f>SUMIFS('P &amp; NP'!$C$9:$WL$9,'P &amp; NP'!$C$5:$WL$5,"NPL",'P &amp; NP'!$C$2:$WL$2,"TUBAN")</f>
        <v>62700</v>
      </c>
      <c r="K34" s="519">
        <f>SUMIFS('P &amp; NP'!$C$10:$WL$10,'P &amp; NP'!$C$5:$WL$5,"PL",'P &amp; NP'!$C$2:$WL$2,"TUBAN")</f>
        <v>1250</v>
      </c>
      <c r="L34" s="519">
        <f>SUMIFS('P &amp; NP'!$C$10:$WL$10,'P &amp; NP'!$C$5:$WL$5,"NPL",'P &amp; NP'!$C$2:$WL$2,"TUBAN")</f>
        <v>131250</v>
      </c>
      <c r="N34" s="502">
        <f t="shared" si="10"/>
        <v>16478460</v>
      </c>
      <c r="O34" s="512">
        <f t="shared" si="11"/>
        <v>623211510</v>
      </c>
      <c r="P34" s="519">
        <f>SUMIFS('P &amp; NP'!$C$7:$WL$7,'P &amp; NP'!$C$5:$WL$5,"PT",'P &amp; NP'!$C$2:$WL$2,"TUBAN")</f>
        <v>3851740</v>
      </c>
      <c r="Q34" s="519">
        <f>SUMIFS('P &amp; NP'!$C$7:$WL$7,'P &amp; NP'!$C$5:$WL$5,"NPT",'P &amp; NP'!$C$2:$WL$2,"TUBAN")</f>
        <v>157151810</v>
      </c>
      <c r="R34" s="519">
        <f>SUMIFS('P &amp; NP'!$C$8:$WL$8,'P &amp; NP'!$C$5:$WL$5,"PT",'P &amp; NP'!$C$2:$WL$2,"TUBAN")</f>
        <v>3179330</v>
      </c>
      <c r="S34" s="519">
        <f>SUMIFS('P &amp; NP'!$C$8:$WL$8,'P &amp; NP'!$C$5:$WL$5,"NPT",'P &amp; NP'!$C$2:$WL$2,"TUBAN")</f>
        <v>125314760</v>
      </c>
      <c r="T34" s="519">
        <f>SUMIFS('P &amp; NP'!$C$9:$WL$9,'P &amp; NP'!$C$5:$WL$5,"PT",'P &amp; NP'!$C$2:$WL$2,"TUBAN")</f>
        <v>3481160</v>
      </c>
      <c r="U34" s="519">
        <f>SUMIFS('P &amp; NP'!$C$9:$WL$9,'P &amp; NP'!$C$5:$WL$5,"NPT",'P &amp; NP'!$C$2:$WL$2,"TUBAN")</f>
        <v>150191590</v>
      </c>
      <c r="V34" s="519">
        <f>SUMIFS('P &amp; NP'!$C$10:$WL$10,'P &amp; NP'!$C$5:$WL$5,"PT",'P &amp; NP'!$C$2:$WL$2,"TUBAN")</f>
        <v>5966230</v>
      </c>
      <c r="W34" s="519">
        <f>SUMIFS('P &amp; NP'!$C$10:$WL$10,'P &amp; NP'!$C$5:$WL$5,"NPT",'P &amp; NP'!$C$2:$WL$2,"TUBAN")</f>
        <v>190553350</v>
      </c>
      <c r="Y34" s="502">
        <f ca="1">SUMIF(AA$5:$AH32,$Y$1,AA34:AH34)</f>
        <v>0</v>
      </c>
      <c r="Z34" s="512">
        <f t="shared" si="12"/>
        <v>0</v>
      </c>
      <c r="AA34" s="519">
        <f>SUMIFS('P &amp; NP'!$C$7:$WL$7,'P &amp; NP'!$C$5:$WL$5,"PS",'P &amp; NP'!$C$2:$WL$2,"TUBAN")</f>
        <v>0</v>
      </c>
      <c r="AB34" s="519">
        <f>SUMIFS('P &amp; NP'!$C$7:$WL$7,'P &amp; NP'!$C$5:$WL$5,"NPS",'P &amp; NP'!$C$2:$WL$2,"TUBAN")</f>
        <v>0</v>
      </c>
      <c r="AC34" s="519">
        <f>SUMIFS('P &amp; NP'!$C$8:$WL$8,'P &amp; NP'!$C$5:$WL$5,"PS",'P &amp; NP'!$C$2:$WL$2,"TUBAN")</f>
        <v>0</v>
      </c>
      <c r="AD34" s="519">
        <f>SUMIFS('P &amp; NP'!$C$8:$WL$8,'P &amp; NP'!$C$5:$WL$5,"NPS",'P &amp; NP'!$C$2:$WL$2,"TUBAN")</f>
        <v>0</v>
      </c>
      <c r="AE34" s="519">
        <f>SUMIFS('P &amp; NP'!$C$9:$WL$9,'P &amp; NP'!$C$5:$WL$5,"PS",'P &amp; NP'!$C$2:$WL$2,"TUBAN")</f>
        <v>0</v>
      </c>
      <c r="AF34" s="519">
        <f>SUMIFS('P &amp; NP'!$C$9:$WL$9,'P &amp; NP'!$C$5:$WL$5,"NPS",'P &amp; NP'!$C$2:$WL$2,"TUBAN")</f>
        <v>0</v>
      </c>
      <c r="AG34" s="519">
        <f>SUMIFS('P &amp; NP'!$C$10:$WL$10,'P &amp; NP'!$C$5:$WL$5,"PS",'P &amp; NP'!$C$2:$WL$2,"TUBAN")</f>
        <v>0</v>
      </c>
      <c r="AH34" s="519">
        <f>SUMIFS('P &amp; NP'!$C$10:$WL$10,'P &amp; NP'!$C$5:$WL$5,"NPS",'P &amp; NP'!$C$2:$WL$2,"TUBAN")</f>
        <v>0</v>
      </c>
      <c r="AJ34" s="502">
        <f t="shared" si="13"/>
        <v>15105580</v>
      </c>
      <c r="AK34" s="512">
        <f t="shared" si="14"/>
        <v>283634856.41100001</v>
      </c>
      <c r="AL34" s="519">
        <f>SUMIFS('P &amp; NP'!$C$7:$WL$7,'P &amp; NP'!$C$5:$WL$5,"PK",'P &amp; NP'!$C$2:$WL$2,"TUBAN")</f>
        <v>3589460</v>
      </c>
      <c r="AM34" s="519">
        <f>SUMIFS('P &amp; NP'!$C$7:$WL$7,'P &amp; NP'!$C$5:$WL$5,"NPK",'P &amp; NP'!$C$2:$WL$2,"TUBAN")</f>
        <v>66951041.410999998</v>
      </c>
      <c r="AN34" s="519">
        <f>SUMIFS('P &amp; NP'!$C$8:$WL$8,'P &amp; NP'!$C$5:$WL$5,"PK",'P &amp; NP'!$C$2:$WL$2,"TUBAN")</f>
        <v>3333670</v>
      </c>
      <c r="AO34" s="519">
        <f>SUMIFS('P &amp; NP'!$C$8:$WL$8,'P &amp; NP'!$C$5:$WL$5,"NPK",'P &amp; NP'!$C$2:$WL$2,"TUBAN")</f>
        <v>67631660</v>
      </c>
      <c r="AP34" s="519">
        <f>SUMIFS('P &amp; NP'!$C$9:$WL$9,'P &amp; NP'!$C$5:$WL$5,"PK",'P &amp; NP'!$C$2:$WL$2,"TUBAN")</f>
        <v>3144510</v>
      </c>
      <c r="AQ34" s="519">
        <f>SUMIFS('P &amp; NP'!$C$9:$WL$9,'P &amp; NP'!$C$5:$WL$5,"NPK",'P &amp; NP'!$C$2:$WL$2,"TUBAN")</f>
        <v>56775615</v>
      </c>
      <c r="AR34" s="519">
        <f>SUMIFS('P &amp; NP'!$C$10:$WL$10,'P &amp; NP'!$C$5:$WL$5,"PK",'P &amp; NP'!$C$2:$WL$2,"TUBAN")</f>
        <v>5037940</v>
      </c>
      <c r="AS34" s="519">
        <f>SUMIFS('P &amp; NP'!$C$10:$WL$10,'P &amp; NP'!$C$5:$WL$5,"NPK",'P &amp; NP'!$C$2:$WL$2,"TUBAN")</f>
        <v>92276540</v>
      </c>
      <c r="AU34" s="502">
        <f t="shared" si="15"/>
        <v>15223090</v>
      </c>
      <c r="AV34" s="512">
        <f t="shared" si="16"/>
        <v>422091360</v>
      </c>
      <c r="AW34" s="519">
        <f>SUMIFS('P &amp; NP'!$C$7:$WL$7,'P &amp; NP'!$C$5:$WL$5,"PM",'P &amp; NP'!$C$2:$WL$2,"TUBAN")</f>
        <v>5136730</v>
      </c>
      <c r="AX34" s="519">
        <f>SUMIFS('P &amp; NP'!$C$7:$WL$7,'P &amp; NP'!$C$5:$WL$5,"NPM",'P &amp; NP'!$C$2:$WL$2,"TUBAN")</f>
        <v>137177370</v>
      </c>
      <c r="AY34" s="519">
        <f>SUMIFS('P &amp; NP'!$C$8:$WL$8,'P &amp; NP'!$C$5:$WL$5,"PM",'P &amp; NP'!$C$2:$WL$2,"TUBAN")</f>
        <v>4494270</v>
      </c>
      <c r="AZ34" s="519">
        <f>SUMIFS('P &amp; NP'!$C$8:$WL$8,'P &amp; NP'!$C$5:$WL$5,"NPM",'P &amp; NP'!$C$2:$WL$2,"TUBAN")</f>
        <v>118306240</v>
      </c>
      <c r="BA34" s="519">
        <f>SUMIFS('P &amp; NP'!$C$9:$WL$9,'P &amp; NP'!$C$5:$WL$5,"PM",'P &amp; NP'!$C$2:$WL$2,"TUBAN")</f>
        <v>2099590</v>
      </c>
      <c r="BB34" s="519">
        <f>SUMIFS('P &amp; NP'!$C$9:$WL$9,'P &amp; NP'!$C$5:$WL$5,"NPM",'P &amp; NP'!$C$2:$WL$2,"TUBAN")</f>
        <v>63263760</v>
      </c>
      <c r="BC34" s="519">
        <f>SUMIFS('P &amp; NP'!$C$10:$WL$10,'P &amp; NP'!$C$5:$WL$5,"PM",'P &amp; NP'!$C$2:$WL$2,"TUBAN")</f>
        <v>3492500</v>
      </c>
      <c r="BD34" s="519">
        <f>SUMIFS('P &amp; NP'!$C$10:$WL$10,'P &amp; NP'!$C$5:$WL$5,"NPM",'P &amp; NP'!$C$2:$WL$2,"TUBAN")</f>
        <v>103343990</v>
      </c>
      <c r="BF34" s="502">
        <f t="shared" si="17"/>
        <v>6509700</v>
      </c>
      <c r="BG34" s="512">
        <f t="shared" si="18"/>
        <v>119961954</v>
      </c>
      <c r="BH34" s="519">
        <f>SUMIFS('P &amp; NP'!$C$7:$WL$7,'P &amp; NP'!$C$5:$WL$5,"PB",'P &amp; NP'!$C$2:$WL$2,"TUBAN")</f>
        <v>1826530</v>
      </c>
      <c r="BI34" s="519">
        <f>SUMIFS('P &amp; NP'!$C$7:$WL$7,'P &amp; NP'!$C$5:$WL$5,"NPB",'P &amp; NP'!$C$2:$WL$2,"TUBAN")</f>
        <v>34130134</v>
      </c>
      <c r="BJ34" s="519">
        <f>SUMIFS('P &amp; NP'!$C$8:$WL$8,'P &amp; NP'!$C$5:$WL$5,"PB",'P &amp; NP'!$C$2:$WL$2,"TUBAN")</f>
        <v>1339150</v>
      </c>
      <c r="BK34" s="519">
        <f>SUMIFS('P &amp; NP'!$C$8:$WL$8,'P &amp; NP'!$C$5:$WL$5,"NPB",'P &amp; NP'!$C$2:$WL$2,"TUBAN")</f>
        <v>25639530</v>
      </c>
      <c r="BL34" s="519">
        <f>SUMIFS('P &amp; NP'!$C$9:$WL$9,'P &amp; NP'!$C$5:$WL$5,"PB",'P &amp; NP'!$C$2:$WL$2,"TUBAN")</f>
        <v>1048840</v>
      </c>
      <c r="BM34" s="519">
        <f>SUMIFS('P &amp; NP'!$C$9:$WL$9,'P &amp; NP'!$C$5:$WL$5,"NPB",'P &amp; NP'!$C$2:$WL$2,"TUBAN")</f>
        <v>19092130</v>
      </c>
      <c r="BN34" s="519">
        <f>SUMIFS('P &amp; NP'!$C$10:$WL$10,'P &amp; NP'!$C$5:$WL$5,"PB",'P &amp; NP'!$C$2:$WL$2,"TUBAN")</f>
        <v>2295180</v>
      </c>
      <c r="BO34" s="519">
        <f>SUMIFS('P &amp; NP'!$C$10:$WL$10,'P &amp; NP'!$C$5:$WL$5,"NPB",'P &amp; NP'!$C$2:$WL$2,"TUBAN")</f>
        <v>41100160</v>
      </c>
      <c r="BQ34" s="502">
        <f t="shared" si="19"/>
        <v>0</v>
      </c>
      <c r="BR34" s="512">
        <f t="shared" si="20"/>
        <v>0</v>
      </c>
      <c r="BS34" s="519">
        <f>SUMIFS('P &amp; NP'!$C$7:$WL$7,'P &amp; NP'!$C$5:$WL$5,"PJ",'P &amp; NP'!$C$2:$WL$2,"TUBAN")</f>
        <v>0</v>
      </c>
      <c r="BT34" s="519">
        <f>SUMIFS('P &amp; NP'!$C$7:$WL$7,'P &amp; NP'!$C$5:$WL$5,"NPJ",'P &amp; NP'!$C$2:$WL$2,"TUBAN")</f>
        <v>0</v>
      </c>
      <c r="BU34" s="519">
        <f>SUMIFS('P &amp; NP'!$C$8:$WL$8,'P &amp; NP'!$C$5:$WL$5,"PJ",'P &amp; NP'!$C$2:$WL$2,"TUBAN")</f>
        <v>0</v>
      </c>
      <c r="BV34" s="519">
        <f>SUMIFS('P &amp; NP'!$C$8:$WL$8,'P &amp; NP'!$C$5:$WL$5,"NPJ",'P &amp; NP'!$C$2:$WL$2,"TUBAN")</f>
        <v>0</v>
      </c>
      <c r="BW34" s="519">
        <f>SUMIFS('P &amp; NP'!$C$9:$WL$9,'P &amp; NP'!$C$5:$WL$5,"PJ",'P &amp; NP'!$C$2:$WL$2,"TUBAN")</f>
        <v>0</v>
      </c>
      <c r="BX34" s="519">
        <f>SUMIFS('P &amp; NP'!$C$9:$WL$9,'P &amp; NP'!$C$5:$WL$5,"NPJ",'P &amp; NP'!$C$2:$WL$2,"TUBAN")</f>
        <v>0</v>
      </c>
      <c r="BY34" s="519">
        <f>SUMIFS('P &amp; NP'!$C$10:$WL$10,'P &amp; NP'!$C$5:$WL$5,"PJ",'P &amp; NP'!$C$2:$WL$2,"TUBAN")</f>
        <v>0</v>
      </c>
      <c r="BZ34" s="519">
        <f>SUMIFS('P &amp; NP'!$C$10:$WL$10,'P &amp; NP'!$C$5:$WL$5,"NPJ",'P &amp; NP'!$C$2:$WL$2,"TUBAN")</f>
        <v>0</v>
      </c>
      <c r="CB34" s="502">
        <f t="shared" si="21"/>
        <v>53319430</v>
      </c>
      <c r="CC34" s="512">
        <f t="shared" si="22"/>
        <v>1449176630.411</v>
      </c>
      <c r="CD34" s="519">
        <f t="shared" si="23"/>
        <v>14404740</v>
      </c>
      <c r="CE34" s="519">
        <f t="shared" si="24"/>
        <v>395438355.41100001</v>
      </c>
      <c r="CF34" s="519">
        <f t="shared" si="25"/>
        <v>12346920</v>
      </c>
      <c r="CG34" s="519">
        <f t="shared" si="26"/>
        <v>336947190</v>
      </c>
      <c r="CH34" s="519">
        <f t="shared" si="27"/>
        <v>9774670</v>
      </c>
      <c r="CI34" s="519">
        <f t="shared" si="28"/>
        <v>289385795</v>
      </c>
      <c r="CJ34" s="519">
        <f t="shared" si="29"/>
        <v>16793100</v>
      </c>
      <c r="CK34" s="519">
        <f t="shared" si="30"/>
        <v>427405290</v>
      </c>
    </row>
    <row r="35" spans="1:89">
      <c r="A35" s="509"/>
      <c r="B35" s="484" t="s">
        <v>115</v>
      </c>
      <c r="C35" s="502">
        <f t="shared" si="8"/>
        <v>0</v>
      </c>
      <c r="D35" s="512">
        <f t="shared" si="9"/>
        <v>0</v>
      </c>
      <c r="E35" s="519">
        <f>SUMIFS('P &amp; NP'!$C$7:$WL$7,'P &amp; NP'!$C$5:$WL$5,"PL",'P &amp; NP'!$C$2:$WL$2,"TULUNGAGUNG")</f>
        <v>0</v>
      </c>
      <c r="F35" s="519">
        <f>SUMIFS('P &amp; NP'!$C$7:$WL$7,'P &amp; NP'!$C$5:$WL$5,"NPL",'P &amp; NP'!$C$2:$WL$2,"TULUNGAGUNG")</f>
        <v>0</v>
      </c>
      <c r="G35" s="519">
        <f>SUMIFS('P &amp; NP'!$C$8:$WL$8,'P &amp; NP'!$C$5:$WL$5,"PL",'P &amp; NP'!$C$2:$WL$2,"TULUNGAGUNG")</f>
        <v>0</v>
      </c>
      <c r="H35" s="519">
        <f>SUMIFS('P &amp; NP'!$C$8:$WL$8,'P &amp; NP'!$C$5:$WL$5,"NPL",'P &amp; NP'!$C$2:$WL$2,"TULUNGAGUNG")</f>
        <v>0</v>
      </c>
      <c r="I35" s="519">
        <f>SUMIFS('P &amp; NP'!$C$9:$WL$9,'P &amp; NP'!$C$5:$WL$5,"PL",'P &amp; NP'!$C$2:$WL$2,"TULUNGAGUNG")</f>
        <v>0</v>
      </c>
      <c r="J35" s="519">
        <f>SUMIFS('P &amp; NP'!$C$9:$WL$9,'P &amp; NP'!$C$5:$WL$5,"NPL",'P &amp; NP'!$C$2:$WL$2,"TULUNGAGUNG")</f>
        <v>0</v>
      </c>
      <c r="K35" s="519">
        <f>SUMIFS('P &amp; NP'!$C$10:$WL$10,'P &amp; NP'!$C$5:$WL$5,"PL",'P &amp; NP'!$C$2:$WL$2,"TULUNGAGUNG")</f>
        <v>0</v>
      </c>
      <c r="L35" s="519">
        <f>SUMIFS('P &amp; NP'!$C$10:$WL$10,'P &amp; NP'!$C$5:$WL$5,"NPL",'P &amp; NP'!$C$2:$WL$2,"TULUNGAGUNG")</f>
        <v>0</v>
      </c>
      <c r="N35" s="502">
        <f t="shared" si="10"/>
        <v>350000</v>
      </c>
      <c r="O35" s="512">
        <f t="shared" si="11"/>
        <v>21000000</v>
      </c>
      <c r="P35" s="519">
        <f>SUMIFS('P &amp; NP'!$C$7:$WL$7,'P &amp; NP'!$C$5:$WL$5,"PT",'P &amp; NP'!$C$2:$WL$2,"TULUNGAGUNG")</f>
        <v>0</v>
      </c>
      <c r="Q35" s="519">
        <f>SUMIFS('P &amp; NP'!$C$7:$WL$7,'P &amp; NP'!$C$5:$WL$5,"NPT",'P &amp; NP'!$C$2:$WL$2,"TULUNGAGUNG")</f>
        <v>0</v>
      </c>
      <c r="R35" s="519">
        <f>SUMIFS('P &amp; NP'!$C$8:$WL$8,'P &amp; NP'!$C$5:$WL$5,"PT",'P &amp; NP'!$C$2:$WL$2,"TULUNGAGUNG")</f>
        <v>175000</v>
      </c>
      <c r="S35" s="519">
        <f>SUMIFS('P &amp; NP'!$C$8:$WL$8,'P &amp; NP'!$C$5:$WL$5,"NPT",'P &amp; NP'!$C$2:$WL$2,"TULUNGAGUNG")</f>
        <v>10500000</v>
      </c>
      <c r="T35" s="519">
        <f>SUMIFS('P &amp; NP'!$C$9:$WL$9,'P &amp; NP'!$C$5:$WL$5,"PT",'P &amp; NP'!$C$2:$WL$2,"TULUNGAGUNG")</f>
        <v>0</v>
      </c>
      <c r="U35" s="519">
        <f>SUMIFS('P &amp; NP'!$C$9:$WL$9,'P &amp; NP'!$C$5:$WL$5,"NPT",'P &amp; NP'!$C$2:$WL$2,"TULUNGAGUNG")</f>
        <v>0</v>
      </c>
      <c r="V35" s="519">
        <f>SUMIFS('P &amp; NP'!$C$10:$WL$10,'P &amp; NP'!$C$5:$WL$5,"PT",'P &amp; NP'!$C$2:$WL$2,"TULUNGAGUNG")</f>
        <v>175000</v>
      </c>
      <c r="W35" s="519">
        <f>SUMIFS('P &amp; NP'!$C$10:$WL$10,'P &amp; NP'!$C$5:$WL$5,"NPT",'P &amp; NP'!$C$2:$WL$2,"TULUNGAGUNG")</f>
        <v>10500000</v>
      </c>
      <c r="Y35" s="502">
        <f ca="1">SUMIF(AA$5:$AH33,$Y$1,AA35:AH35)</f>
        <v>0</v>
      </c>
      <c r="Z35" s="512">
        <f t="shared" si="12"/>
        <v>0</v>
      </c>
      <c r="AA35" s="519">
        <f>SUMIFS('P &amp; NP'!$C$7:$WL$7,'P &amp; NP'!$C$5:$WL$5,"PS",'P &amp; NP'!$C$2:$WL$2,"TULUNGAGUNG")</f>
        <v>0</v>
      </c>
      <c r="AB35" s="519">
        <f>SUMIFS('P &amp; NP'!$C$7:$WL$7,'P &amp; NP'!$C$5:$WL$5,"NPS",'P &amp; NP'!$C$2:$WL$2,"TULUNGAGUNG")</f>
        <v>0</v>
      </c>
      <c r="AC35" s="519">
        <f>SUMIFS('P &amp; NP'!$C$8:$WL$8,'P &amp; NP'!$C$5:$WL$5,"PS",'P &amp; NP'!$C$2:$WL$2,"TULUNGAGUNG")</f>
        <v>0</v>
      </c>
      <c r="AD35" s="519">
        <f>SUMIFS('P &amp; NP'!$C$8:$WL$8,'P &amp; NP'!$C$5:$WL$5,"NPS",'P &amp; NP'!$C$2:$WL$2,"TULUNGAGUNG")</f>
        <v>0</v>
      </c>
      <c r="AE35" s="519">
        <f>SUMIFS('P &amp; NP'!$C$9:$WL$9,'P &amp; NP'!$C$5:$WL$5,"PS",'P &amp; NP'!$C$2:$WL$2,"TULUNGAGUNG")</f>
        <v>0</v>
      </c>
      <c r="AF35" s="519">
        <f>SUMIFS('P &amp; NP'!$C$9:$WL$9,'P &amp; NP'!$C$5:$WL$5,"NPS",'P &amp; NP'!$C$2:$WL$2,"TULUNGAGUNG")</f>
        <v>0</v>
      </c>
      <c r="AG35" s="519">
        <f>SUMIFS('P &amp; NP'!$C$10:$WL$10,'P &amp; NP'!$C$5:$WL$5,"PS",'P &amp; NP'!$C$2:$WL$2,"TULUNGAGUNG")</f>
        <v>0</v>
      </c>
      <c r="AH35" s="519">
        <f>SUMIFS('P &amp; NP'!$C$10:$WL$10,'P &amp; NP'!$C$5:$WL$5,"NPS",'P &amp; NP'!$C$2:$WL$2,"TULUNGAGUNG")</f>
        <v>0</v>
      </c>
      <c r="AJ35" s="502">
        <f t="shared" si="13"/>
        <v>53401500</v>
      </c>
      <c r="AK35" s="512">
        <f t="shared" si="14"/>
        <v>1124622500</v>
      </c>
      <c r="AL35" s="519">
        <f>SUMIFS('P &amp; NP'!$C$7:$WL$7,'P &amp; NP'!$C$5:$WL$5,"PK",'P &amp; NP'!$C$2:$WL$2,"TULUNGAGUNG")</f>
        <v>12372000</v>
      </c>
      <c r="AM35" s="519">
        <f>SUMIFS('P &amp; NP'!$C$7:$WL$7,'P &amp; NP'!$C$5:$WL$5,"NPK",'P &amp; NP'!$C$2:$WL$2,"TULUNGAGUNG")</f>
        <v>238251000</v>
      </c>
      <c r="AN35" s="519">
        <f>SUMIFS('P &amp; NP'!$C$8:$WL$8,'P &amp; NP'!$C$5:$WL$5,"PK",'P &amp; NP'!$C$2:$WL$2,"TULUNGAGUNG")</f>
        <v>13644500</v>
      </c>
      <c r="AO35" s="519">
        <f>SUMIFS('P &amp; NP'!$C$8:$WL$8,'P &amp; NP'!$C$5:$WL$5,"NPK",'P &amp; NP'!$C$2:$WL$2,"TULUNGAGUNG")</f>
        <v>289513000</v>
      </c>
      <c r="AP35" s="519">
        <f>SUMIFS('P &amp; NP'!$C$9:$WL$9,'P &amp; NP'!$C$5:$WL$5,"PK",'P &amp; NP'!$C$2:$WL$2,"TULUNGAGUNG")</f>
        <v>13208500</v>
      </c>
      <c r="AQ35" s="519">
        <f>SUMIFS('P &amp; NP'!$C$9:$WL$9,'P &amp; NP'!$C$5:$WL$5,"NPK",'P &amp; NP'!$C$2:$WL$2,"TULUNGAGUNG")</f>
        <v>265912500</v>
      </c>
      <c r="AR35" s="519">
        <f>SUMIFS('P &amp; NP'!$C$10:$WL$10,'P &amp; NP'!$C$5:$WL$5,"PK",'P &amp; NP'!$C$2:$WL$2,"TULUNGAGUNG")</f>
        <v>14176500</v>
      </c>
      <c r="AS35" s="519">
        <f>SUMIFS('P &amp; NP'!$C$10:$WL$10,'P &amp; NP'!$C$5:$WL$5,"NPK",'P &amp; NP'!$C$2:$WL$2,"TULUNGAGUNG")</f>
        <v>330946000</v>
      </c>
      <c r="AU35" s="502">
        <f t="shared" si="15"/>
        <v>0</v>
      </c>
      <c r="AV35" s="512">
        <f t="shared" si="16"/>
        <v>0</v>
      </c>
      <c r="AW35" s="519">
        <f>SUMIFS('P &amp; NP'!$C$7:$WL$7,'P &amp; NP'!$C$5:$WL$5,"PM",'P &amp; NP'!$C$2:$WL$2,"TULUNGAGUNG")</f>
        <v>0</v>
      </c>
      <c r="AX35" s="519">
        <f>SUMIFS('P &amp; NP'!$C$7:$WL$7,'P &amp; NP'!$C$5:$WL$5,"NPM",'P &amp; NP'!$C$2:$WL$2,"TULUNGAGUNG")</f>
        <v>0</v>
      </c>
      <c r="AY35" s="519">
        <f>SUMIFS('P &amp; NP'!$C$8:$WL$8,'P &amp; NP'!$C$5:$WL$5,"PM",'P &amp; NP'!$C$2:$WL$2,"TULUNGAGUNG")</f>
        <v>0</v>
      </c>
      <c r="AZ35" s="519">
        <f>SUMIFS('P &amp; NP'!$C$8:$WL$8,'P &amp; NP'!$C$5:$WL$5,"NPM",'P &amp; NP'!$C$2:$WL$2,"TULUNGAGUNG")</f>
        <v>0</v>
      </c>
      <c r="BA35" s="519">
        <f>SUMIFS('P &amp; NP'!$C$9:$WL$9,'P &amp; NP'!$C$5:$WL$5,"PM",'P &amp; NP'!$C$2:$WL$2,"TULUNGAGUNG")</f>
        <v>0</v>
      </c>
      <c r="BB35" s="519">
        <f>SUMIFS('P &amp; NP'!$C$9:$WL$9,'P &amp; NP'!$C$5:$WL$5,"NPM",'P &amp; NP'!$C$2:$WL$2,"TULUNGAGUNG")</f>
        <v>0</v>
      </c>
      <c r="BC35" s="519">
        <f>SUMIFS('P &amp; NP'!$C$10:$WL$10,'P &amp; NP'!$C$5:$WL$5,"PM",'P &amp; NP'!$C$2:$WL$2,"TULUNGAGUNG")</f>
        <v>0</v>
      </c>
      <c r="BD35" s="519">
        <f>SUMIFS('P &amp; NP'!$C$10:$WL$10,'P &amp; NP'!$C$5:$WL$5,"NPM",'P &amp; NP'!$C$2:$WL$2,"TULUNGAGUNG")</f>
        <v>0</v>
      </c>
      <c r="BF35" s="502">
        <f t="shared" si="17"/>
        <v>0</v>
      </c>
      <c r="BG35" s="512">
        <f t="shared" si="18"/>
        <v>0</v>
      </c>
      <c r="BH35" s="519">
        <f>SUMIFS('P &amp; NP'!$C$7:$WL$7,'P &amp; NP'!$C$5:$WL$5,"PB",'P &amp; NP'!$C$2:$WL$2,"TULUNGAGUNG")</f>
        <v>0</v>
      </c>
      <c r="BI35" s="519">
        <f>SUMIFS('P &amp; NP'!$C$7:$WL$7,'P &amp; NP'!$C$5:$WL$5,"NPB",'P &amp; NP'!$C$2:$WL$2,"TULUNGAGUNG")</f>
        <v>0</v>
      </c>
      <c r="BJ35" s="519">
        <f>SUMIFS('P &amp; NP'!$C$8:$WL$8,'P &amp; NP'!$C$5:$WL$5,"PB",'P &amp; NP'!$C$2:$WL$2,"TULUNGAGUNG")</f>
        <v>0</v>
      </c>
      <c r="BK35" s="519">
        <f>SUMIFS('P &amp; NP'!$C$8:$WL$8,'P &amp; NP'!$C$5:$WL$5,"NPB",'P &amp; NP'!$C$2:$WL$2,"TULUNGAGUNG")</f>
        <v>0</v>
      </c>
      <c r="BL35" s="519">
        <f>SUMIFS('P &amp; NP'!$C$9:$WL$9,'P &amp; NP'!$C$5:$WL$5,"PB",'P &amp; NP'!$C$2:$WL$2,"TULUNGAGUNG")</f>
        <v>0</v>
      </c>
      <c r="BM35" s="519">
        <f>SUMIFS('P &amp; NP'!$C$9:$WL$9,'P &amp; NP'!$C$5:$WL$5,"NPB",'P &amp; NP'!$C$2:$WL$2,"TULUNGAGUNG")</f>
        <v>0</v>
      </c>
      <c r="BN35" s="519">
        <f>SUMIFS('P &amp; NP'!$C$10:$WL$10,'P &amp; NP'!$C$5:$WL$5,"PB",'P &amp; NP'!$C$2:$WL$2,"TULUNGAGUNG")</f>
        <v>0</v>
      </c>
      <c r="BO35" s="519">
        <f>SUMIFS('P &amp; NP'!$C$10:$WL$10,'P &amp; NP'!$C$5:$WL$5,"NPB",'P &amp; NP'!$C$2:$WL$2,"TULUNGAGUNG")</f>
        <v>0</v>
      </c>
      <c r="BQ35" s="502">
        <f t="shared" si="19"/>
        <v>0</v>
      </c>
      <c r="BR35" s="512">
        <f t="shared" si="20"/>
        <v>0</v>
      </c>
      <c r="BS35" s="519">
        <f>SUMIFS('P &amp; NP'!$C$7:$WL$7,'P &amp; NP'!$C$5:$WL$5,"PJ",'P &amp; NP'!$C$2:$WL$2,"TULUNGAGUNG")</f>
        <v>0</v>
      </c>
      <c r="BT35" s="519">
        <f>SUMIFS('P &amp; NP'!$C$7:$WL$7,'P &amp; NP'!$C$5:$WL$5,"NPJ",'P &amp; NP'!$C$2:$WL$2,"TULUNGAGUNG")</f>
        <v>0</v>
      </c>
      <c r="BU35" s="519">
        <f>SUMIFS('P &amp; NP'!$C$8:$WL$8,'P &amp; NP'!$C$5:$WL$5,"PJ",'P &amp; NP'!$C$2:$WL$2,"TULUNGAGUNG")</f>
        <v>0</v>
      </c>
      <c r="BV35" s="519">
        <f>SUMIFS('P &amp; NP'!$C$8:$WL$8,'P &amp; NP'!$C$5:$WL$5,"NPJ",'P &amp; NP'!$C$2:$WL$2,"TULUNGAGUNG")</f>
        <v>0</v>
      </c>
      <c r="BW35" s="519">
        <f>SUMIFS('P &amp; NP'!$C$9:$WL$9,'P &amp; NP'!$C$5:$WL$5,"PJ",'P &amp; NP'!$C$2:$WL$2,"TULUNGAGUNG")</f>
        <v>0</v>
      </c>
      <c r="BX35" s="519">
        <f>SUMIFS('P &amp; NP'!$C$9:$WL$9,'P &amp; NP'!$C$5:$WL$5,"NPJ",'P &amp; NP'!$C$2:$WL$2,"TULUNGAGUNG")</f>
        <v>0</v>
      </c>
      <c r="BY35" s="519">
        <f>SUMIFS('P &amp; NP'!$C$10:$WL$10,'P &amp; NP'!$C$5:$WL$5,"PJ",'P &amp; NP'!$C$2:$WL$2,"TULUNGAGUNG")</f>
        <v>0</v>
      </c>
      <c r="BZ35" s="519">
        <f>SUMIFS('P &amp; NP'!$C$10:$WL$10,'P &amp; NP'!$C$5:$WL$5,"NPJ",'P &amp; NP'!$C$2:$WL$2,"TULUNGAGUNG")</f>
        <v>0</v>
      </c>
      <c r="CB35" s="502">
        <f t="shared" si="21"/>
        <v>53751500</v>
      </c>
      <c r="CC35" s="512">
        <f t="shared" si="22"/>
        <v>1145622500</v>
      </c>
      <c r="CD35" s="519">
        <f t="shared" si="23"/>
        <v>12372000</v>
      </c>
      <c r="CE35" s="519">
        <f t="shared" si="24"/>
        <v>238251000</v>
      </c>
      <c r="CF35" s="519">
        <f t="shared" si="25"/>
        <v>13819500</v>
      </c>
      <c r="CG35" s="519">
        <f t="shared" si="26"/>
        <v>300013000</v>
      </c>
      <c r="CH35" s="519">
        <f t="shared" si="27"/>
        <v>13208500</v>
      </c>
      <c r="CI35" s="519">
        <f t="shared" si="28"/>
        <v>265912500</v>
      </c>
      <c r="CJ35" s="519">
        <f t="shared" si="29"/>
        <v>14351500</v>
      </c>
      <c r="CK35" s="519">
        <f t="shared" si="30"/>
        <v>341446000</v>
      </c>
    </row>
    <row r="36" spans="1:89">
      <c r="A36" s="509"/>
      <c r="B36" s="484" t="s">
        <v>149</v>
      </c>
      <c r="C36" s="502">
        <f t="shared" si="8"/>
        <v>0</v>
      </c>
      <c r="D36" s="512">
        <f t="shared" si="9"/>
        <v>0</v>
      </c>
      <c r="E36" s="519">
        <f>SUMIFS('P &amp; NP'!$C$7:$WL$7,'P &amp; NP'!$C$5:$WL$5,"PL",'P &amp; NP'!$C$2:$WL$2,"KOTA BATU")</f>
        <v>0</v>
      </c>
      <c r="F36" s="519">
        <f>SUMIFS('P &amp; NP'!$C$7:$WL$7,'P &amp; NP'!$C$5:$WL$5,"NPL",'P &amp; NP'!$C$2:$WL$2,"KOTA BATU")</f>
        <v>0</v>
      </c>
      <c r="G36" s="519">
        <f>SUMIFS('P &amp; NP'!$C$8:$WL$8,'P &amp; NP'!$C$5:$WL$5,"PL",'P &amp; NP'!$C$2:$WL$2,"KOTA BATU")</f>
        <v>0</v>
      </c>
      <c r="H36" s="519">
        <f>SUMIFS('P &amp; NP'!$C$8:$WL$8,'P &amp; NP'!$C$5:$WL$5,"NPL",'P &amp; NP'!$C$2:$WL$2,"KOTA BATU")</f>
        <v>0</v>
      </c>
      <c r="I36" s="519">
        <f>SUMIFS('P &amp; NP'!$C$9:$WL$9,'P &amp; NP'!$C$5:$WL$5,"PL",'P &amp; NP'!$C$2:$WL$2,"KOTA BATU")</f>
        <v>0</v>
      </c>
      <c r="J36" s="519">
        <f>SUMIFS('P &amp; NP'!$C$9:$WL$9,'P &amp; NP'!$C$5:$WL$5,"NPL",'P &amp; NP'!$C$2:$WL$2,"KOTA BATU")</f>
        <v>0</v>
      </c>
      <c r="K36" s="519">
        <f>SUMIFS('P &amp; NP'!$C$10:$WL$10,'P &amp; NP'!$C$5:$WL$5,"PL",'P &amp; NP'!$C$2:$WL$2,"KOTA BATU")</f>
        <v>0</v>
      </c>
      <c r="L36" s="519">
        <f>SUMIFS('P &amp; NP'!$C$10:$WL$10,'P &amp; NP'!$C$5:$WL$5,"NPL",'P &amp; NP'!$C$2:$WL$2,"KOTA BATU")</f>
        <v>0</v>
      </c>
      <c r="N36" s="502">
        <f t="shared" si="10"/>
        <v>0</v>
      </c>
      <c r="O36" s="512">
        <f t="shared" si="11"/>
        <v>0</v>
      </c>
      <c r="P36" s="519">
        <f>SUMIFS('P &amp; NP'!$C$7:$WL$7,'P &amp; NP'!$C$5:$WL$5,"PT",'P &amp; NP'!$C$2:$WL$2,"KOTA BATU")</f>
        <v>0</v>
      </c>
      <c r="Q36" s="519">
        <f>SUMIFS('P &amp; NP'!$C$7:$WL$7,'P &amp; NP'!$C$5:$WL$5,"NPT",'P &amp; NP'!$C$2:$WL$2,"KOTA BATU")</f>
        <v>0</v>
      </c>
      <c r="R36" s="519">
        <f>SUMIFS('P &amp; NP'!$C$8:$WL$8,'P &amp; NP'!$C$5:$WL$5,"PT",'P &amp; NP'!$C$2:$WL$2,"KOTA BATU")</f>
        <v>0</v>
      </c>
      <c r="S36" s="519">
        <f>SUMIFS('P &amp; NP'!$C$8:$WL$8,'P &amp; NP'!$C$5:$WL$5,"NPT",'P &amp; NP'!$C$2:$WL$2,"KOTA BATU")</f>
        <v>0</v>
      </c>
      <c r="T36" s="519">
        <f>SUMIFS('P &amp; NP'!$C$9:$WL$9,'P &amp; NP'!$C$5:$WL$5,"PT",'P &amp; NP'!$C$2:$WL$2,"KOTA BATU")</f>
        <v>0</v>
      </c>
      <c r="U36" s="519">
        <f>SUMIFS('P &amp; NP'!$C$9:$WL$9,'P &amp; NP'!$C$5:$WL$5,"NPT",'P &amp; NP'!$C$2:$WL$2,"KOTA BATU")</f>
        <v>0</v>
      </c>
      <c r="V36" s="519">
        <f>SUMIFS('P &amp; NP'!$C$10:$WL$10,'P &amp; NP'!$C$5:$WL$5,"PT",'P &amp; NP'!$C$2:$WL$2,"KOTA BATU")</f>
        <v>0</v>
      </c>
      <c r="W36" s="519">
        <f>SUMIFS('P &amp; NP'!$C$10:$WL$10,'P &amp; NP'!$C$5:$WL$5,"NPT",'P &amp; NP'!$C$2:$WL$2,"KOTA BATU")</f>
        <v>0</v>
      </c>
      <c r="Y36" s="502">
        <f ca="1">SUMIF(AA$5:$AH34,$Y$1,AA36:AH36)</f>
        <v>0</v>
      </c>
      <c r="Z36" s="512">
        <f t="shared" si="12"/>
        <v>0</v>
      </c>
      <c r="AA36" s="519">
        <f>SUMIFS('P &amp; NP'!$C$7:$WL$7,'P &amp; NP'!$C$5:$WL$5,"PS",'P &amp; NP'!$C$2:$WL$2,"KOTA BATU")</f>
        <v>0</v>
      </c>
      <c r="AB36" s="519">
        <f>SUMIFS('P &amp; NP'!$C$7:$WL$7,'P &amp; NP'!$C$5:$WL$5,"NPS",'P &amp; NP'!$C$2:$WL$2,"KOTA BATU")</f>
        <v>0</v>
      </c>
      <c r="AC36" s="519">
        <f>SUMIFS('P &amp; NP'!$C$8:$WL$8,'P &amp; NP'!$C$5:$WL$5,"PS",'P &amp; NP'!$C$2:$WL$2,"KOTA BATU")</f>
        <v>0</v>
      </c>
      <c r="AD36" s="519">
        <f>SUMIFS('P &amp; NP'!$C$8:$WL$8,'P &amp; NP'!$C$5:$WL$5,"NPS",'P &amp; NP'!$C$2:$WL$2,"KOTA BATU")</f>
        <v>0</v>
      </c>
      <c r="AE36" s="519">
        <f>SUMIFS('P &amp; NP'!$C$9:$WL$9,'P &amp; NP'!$C$5:$WL$5,"PS",'P &amp; NP'!$C$2:$WL$2,"KOTA BATU")</f>
        <v>0</v>
      </c>
      <c r="AF36" s="519">
        <f>SUMIFS('P &amp; NP'!$C$9:$WL$9,'P &amp; NP'!$C$5:$WL$5,"NPS",'P &amp; NP'!$C$2:$WL$2,"KOTA BATU")</f>
        <v>0</v>
      </c>
      <c r="AG36" s="519">
        <f>SUMIFS('P &amp; NP'!$C$10:$WL$10,'P &amp; NP'!$C$5:$WL$5,"PS",'P &amp; NP'!$C$2:$WL$2,"KOTA BATU")</f>
        <v>0</v>
      </c>
      <c r="AH36" s="519">
        <f>SUMIFS('P &amp; NP'!$C$10:$WL$10,'P &amp; NP'!$C$5:$WL$5,"NPS",'P &amp; NP'!$C$2:$WL$2,"KOTA BATU")</f>
        <v>0</v>
      </c>
      <c r="AJ36" s="502">
        <f t="shared" si="13"/>
        <v>65339</v>
      </c>
      <c r="AK36" s="512">
        <f t="shared" si="14"/>
        <v>1575859</v>
      </c>
      <c r="AL36" s="519">
        <f>SUMIFS('P &amp; NP'!$C$7:$WL$7,'P &amp; NP'!$C$5:$WL$5,"PK",'P &amp; NP'!$C$2:$WL$2,"KOTA BATU")</f>
        <v>15201</v>
      </c>
      <c r="AM36" s="519">
        <f>SUMIFS('P &amp; NP'!$C$7:$WL$7,'P &amp; NP'!$C$5:$WL$5,"NPK",'P &amp; NP'!$C$2:$WL$2,"KOTA BATU")</f>
        <v>373093</v>
      </c>
      <c r="AN36" s="519">
        <f>SUMIFS('P &amp; NP'!$C$8:$WL$8,'P &amp; NP'!$C$5:$WL$5,"PK",'P &amp; NP'!$C$2:$WL$2,"KOTA BATU")</f>
        <v>15830</v>
      </c>
      <c r="AO36" s="519">
        <f>SUMIFS('P &amp; NP'!$C$8:$WL$8,'P &amp; NP'!$C$5:$WL$5,"NPK",'P &amp; NP'!$C$2:$WL$2,"KOTA BATU")</f>
        <v>378610</v>
      </c>
      <c r="AP36" s="519">
        <f>SUMIFS('P &amp; NP'!$C$9:$WL$9,'P &amp; NP'!$C$5:$WL$5,"PK",'P &amp; NP'!$C$2:$WL$2,"KOTA BATU")</f>
        <v>16883</v>
      </c>
      <c r="AQ36" s="519">
        <f>SUMIFS('P &amp; NP'!$C$9:$WL$9,'P &amp; NP'!$C$5:$WL$5,"NPK",'P &amp; NP'!$C$2:$WL$2,"KOTA BATU")</f>
        <v>405511</v>
      </c>
      <c r="AR36" s="519">
        <f>SUMIFS('P &amp; NP'!$C$10:$WL$10,'P &amp; NP'!$C$5:$WL$5,"PK",'P &amp; NP'!$C$2:$WL$2,"KOTA BATU")</f>
        <v>17425</v>
      </c>
      <c r="AS36" s="519">
        <f>SUMIFS('P &amp; NP'!$C$10:$WL$10,'P &amp; NP'!$C$5:$WL$5,"NPK",'P &amp; NP'!$C$2:$WL$2,"KOTA BATU")</f>
        <v>418645</v>
      </c>
      <c r="AU36" s="502">
        <f t="shared" si="15"/>
        <v>0</v>
      </c>
      <c r="AV36" s="512">
        <f t="shared" si="16"/>
        <v>0</v>
      </c>
      <c r="AW36" s="519">
        <f>SUMIFS('P &amp; NP'!$C$7:$WL$7,'P &amp; NP'!$C$5:$WL$5,"PM",'P &amp; NP'!$C$2:$WL$2,"KOTA BATU")</f>
        <v>0</v>
      </c>
      <c r="AX36" s="519">
        <f>SUMIFS('P &amp; NP'!$C$7:$WL$7,'P &amp; NP'!$C$5:$WL$5,"NPM",'P &amp; NP'!$C$2:$WL$2,"KOTA BATU")</f>
        <v>0</v>
      </c>
      <c r="AY36" s="519">
        <f>SUMIFS('P &amp; NP'!$C$8:$WL$8,'P &amp; NP'!$C$5:$WL$5,"PM",'P &amp; NP'!$C$2:$WL$2,"KOTA BATU")</f>
        <v>0</v>
      </c>
      <c r="AZ36" s="519">
        <f>SUMIFS('P &amp; NP'!$C$8:$WL$8,'P &amp; NP'!$C$5:$WL$5,"NPM",'P &amp; NP'!$C$2:$WL$2,"KOTA BATU")</f>
        <v>0</v>
      </c>
      <c r="BA36" s="519">
        <f>SUMIFS('P &amp; NP'!$C$9:$WL$9,'P &amp; NP'!$C$5:$WL$5,"PM",'P &amp; NP'!$C$2:$WL$2,"KOTA BATU")</f>
        <v>0</v>
      </c>
      <c r="BB36" s="519">
        <f>SUMIFS('P &amp; NP'!$C$9:$WL$9,'P &amp; NP'!$C$5:$WL$5,"NPM",'P &amp; NP'!$C$2:$WL$2,"KOTA BATU")</f>
        <v>0</v>
      </c>
      <c r="BC36" s="519">
        <f>SUMIFS('P &amp; NP'!$C$10:$WL$10,'P &amp; NP'!$C$5:$WL$5,"PM",'P &amp; NP'!$C$2:$WL$2,"KOTA BATU")</f>
        <v>0</v>
      </c>
      <c r="BD36" s="519">
        <f>SUMIFS('P &amp; NP'!$C$10:$WL$10,'P &amp; NP'!$C$5:$WL$5,"NPM",'P &amp; NP'!$C$2:$WL$2,"KOTA BATU")</f>
        <v>0</v>
      </c>
      <c r="BF36" s="502">
        <f t="shared" si="17"/>
        <v>0</v>
      </c>
      <c r="BG36" s="512">
        <f t="shared" si="18"/>
        <v>0</v>
      </c>
      <c r="BH36" s="519">
        <f>SUMIFS('P &amp; NP'!$C$7:$WL$7,'P &amp; NP'!$C$5:$WL$5,"PB",'P &amp; NP'!$C$2:$WL$2,"KOTA BATU")</f>
        <v>0</v>
      </c>
      <c r="BI36" s="519">
        <f>SUMIFS('P &amp; NP'!$C$7:$WL$7,'P &amp; NP'!$C$5:$WL$5,"NPB",'P &amp; NP'!$C$2:$WL$2,"KOTA BATU")</f>
        <v>0</v>
      </c>
      <c r="BJ36" s="519">
        <f>SUMIFS('P &amp; NP'!$C$8:$WL$8,'P &amp; NP'!$C$5:$WL$5,"PB",'P &amp; NP'!$C$2:$WL$2,"KOTA BATU")</f>
        <v>0</v>
      </c>
      <c r="BK36" s="519">
        <f>SUMIFS('P &amp; NP'!$C$8:$WL$8,'P &amp; NP'!$C$5:$WL$5,"NPB",'P &amp; NP'!$C$2:$WL$2,"KOTA BATU")</f>
        <v>0</v>
      </c>
      <c r="BL36" s="519">
        <f>SUMIFS('P &amp; NP'!$C$9:$WL$9,'P &amp; NP'!$C$5:$WL$5,"PB",'P &amp; NP'!$C$2:$WL$2,"KOTA BATU")</f>
        <v>0</v>
      </c>
      <c r="BM36" s="519">
        <f>SUMIFS('P &amp; NP'!$C$9:$WL$9,'P &amp; NP'!$C$5:$WL$5,"NPB",'P &amp; NP'!$C$2:$WL$2,"KOTA BATU")</f>
        <v>0</v>
      </c>
      <c r="BN36" s="519">
        <f>SUMIFS('P &amp; NP'!$C$10:$WL$10,'P &amp; NP'!$C$5:$WL$5,"PB",'P &amp; NP'!$C$2:$WL$2,"KOTA BATU")</f>
        <v>0</v>
      </c>
      <c r="BO36" s="519">
        <f>SUMIFS('P &amp; NP'!$C$10:$WL$10,'P &amp; NP'!$C$5:$WL$5,"NPB",'P &amp; NP'!$C$2:$WL$2,"KOTA BATU")</f>
        <v>0</v>
      </c>
      <c r="BQ36" s="502">
        <f t="shared" si="19"/>
        <v>0</v>
      </c>
      <c r="BR36" s="512">
        <f t="shared" si="20"/>
        <v>0</v>
      </c>
      <c r="BS36" s="519">
        <f>SUMIFS('P &amp; NP'!$C$7:$WL$7,'P &amp; NP'!$C$5:$WL$5,"PJ",'P &amp; NP'!$C$2:$WL$2,"KOTA BATU")</f>
        <v>0</v>
      </c>
      <c r="BT36" s="519">
        <f>SUMIFS('P &amp; NP'!$C$7:$WL$7,'P &amp; NP'!$C$5:$WL$5,"NPJ",'P &amp; NP'!$C$2:$WL$2,"KOTA BATU")</f>
        <v>0</v>
      </c>
      <c r="BU36" s="519">
        <f>SUMIFS('P &amp; NP'!$C$8:$WL$8,'P &amp; NP'!$C$5:$WL$5,"PJ",'P &amp; NP'!$C$2:$WL$2,"KOTA BATU")</f>
        <v>0</v>
      </c>
      <c r="BV36" s="519">
        <f>SUMIFS('P &amp; NP'!$C$8:$WL$8,'P &amp; NP'!$C$5:$WL$5,"NPJ",'P &amp; NP'!$C$2:$WL$2,"KOTA BATU")</f>
        <v>0</v>
      </c>
      <c r="BW36" s="519">
        <f>SUMIFS('P &amp; NP'!$C$9:$WL$9,'P &amp; NP'!$C$5:$WL$5,"PJ",'P &amp; NP'!$C$2:$WL$2,"KOTA BATU")</f>
        <v>0</v>
      </c>
      <c r="BX36" s="519">
        <f>SUMIFS('P &amp; NP'!$C$9:$WL$9,'P &amp; NP'!$C$5:$WL$5,"NPJ",'P &amp; NP'!$C$2:$WL$2,"KOTA BATU")</f>
        <v>0</v>
      </c>
      <c r="BY36" s="519">
        <f>SUMIFS('P &amp; NP'!$C$10:$WL$10,'P &amp; NP'!$C$5:$WL$5,"PJ",'P &amp; NP'!$C$2:$WL$2,"KOTA BATU")</f>
        <v>0</v>
      </c>
      <c r="BZ36" s="519">
        <f>SUMIFS('P &amp; NP'!$C$10:$WL$10,'P &amp; NP'!$C$5:$WL$5,"NPJ",'P &amp; NP'!$C$2:$WL$2,"KOTA BATU")</f>
        <v>0</v>
      </c>
      <c r="CB36" s="502">
        <f t="shared" si="21"/>
        <v>65339</v>
      </c>
      <c r="CC36" s="512">
        <f t="shared" si="22"/>
        <v>1575859</v>
      </c>
      <c r="CD36" s="519">
        <f t="shared" si="23"/>
        <v>15201</v>
      </c>
      <c r="CE36" s="519">
        <f t="shared" si="24"/>
        <v>373093</v>
      </c>
      <c r="CF36" s="519">
        <f t="shared" si="25"/>
        <v>15830</v>
      </c>
      <c r="CG36" s="519">
        <f t="shared" si="26"/>
        <v>378610</v>
      </c>
      <c r="CH36" s="519">
        <f t="shared" si="27"/>
        <v>16883</v>
      </c>
      <c r="CI36" s="519">
        <f t="shared" si="28"/>
        <v>405511</v>
      </c>
      <c r="CJ36" s="519">
        <f t="shared" si="29"/>
        <v>17425</v>
      </c>
      <c r="CK36" s="519">
        <f t="shared" si="30"/>
        <v>418645</v>
      </c>
    </row>
    <row r="37" spans="1:89">
      <c r="A37" s="509"/>
      <c r="B37" s="484" t="s">
        <v>142</v>
      </c>
      <c r="C37" s="502">
        <f t="shared" si="8"/>
        <v>0</v>
      </c>
      <c r="D37" s="512">
        <f t="shared" si="9"/>
        <v>0</v>
      </c>
      <c r="E37" s="519">
        <f>SUMIFS('P &amp; NP'!$C$7:$WL$7,'P &amp; NP'!$C$5:$WL$5,"PL",'P &amp; NP'!$C$2:$WL$2,"KOTA BLITAR")</f>
        <v>0</v>
      </c>
      <c r="F37" s="519">
        <f>SUMIFS('P &amp; NP'!$C$7:$WL$7,'P &amp; NP'!$C$5:$WL$5,"NPL",'P &amp; NP'!$C$2:$WL$2,"KOTA BLITAR")</f>
        <v>0</v>
      </c>
      <c r="G37" s="519">
        <f>SUMIFS('P &amp; NP'!$C$8:$WL$8,'P &amp; NP'!$C$5:$WL$5,"PL",'P &amp; NP'!$C$2:$WL$2,"KOTA BLITAR")</f>
        <v>0</v>
      </c>
      <c r="H37" s="519">
        <f>SUMIFS('P &amp; NP'!$C$8:$WL$8,'P &amp; NP'!$C$5:$WL$5,"NPL",'P &amp; NP'!$C$2:$WL$2,"KOTA BLITAR")</f>
        <v>0</v>
      </c>
      <c r="I37" s="519">
        <f>SUMIFS('P &amp; NP'!$C$9:$WL$9,'P &amp; NP'!$C$5:$WL$5,"PL",'P &amp; NP'!$C$2:$WL$2,"KOTA BLITAR")</f>
        <v>0</v>
      </c>
      <c r="J37" s="519">
        <f>SUMIFS('P &amp; NP'!$C$9:$WL$9,'P &amp; NP'!$C$5:$WL$5,"NPL",'P &amp; NP'!$C$2:$WL$2,"KOTA BLITAR")</f>
        <v>0</v>
      </c>
      <c r="K37" s="519">
        <f>SUMIFS('P &amp; NP'!$C$10:$WL$10,'P &amp; NP'!$C$5:$WL$5,"PL",'P &amp; NP'!$C$2:$WL$2,"KOTA BLITAR")</f>
        <v>0</v>
      </c>
      <c r="L37" s="519">
        <f>SUMIFS('P &amp; NP'!$C$10:$WL$10,'P &amp; NP'!$C$5:$WL$5,"NPL",'P &amp; NP'!$C$2:$WL$2,"KOTA BLITAR")</f>
        <v>0</v>
      </c>
      <c r="N37" s="502">
        <f t="shared" si="10"/>
        <v>0</v>
      </c>
      <c r="O37" s="512">
        <f t="shared" si="11"/>
        <v>0</v>
      </c>
      <c r="P37" s="519">
        <f>SUMIFS('P &amp; NP'!$C$7:$WL$7,'P &amp; NP'!$C$5:$WL$5,"PT",'P &amp; NP'!$C$2:$WL$2,"KOTA BLITAR")</f>
        <v>0</v>
      </c>
      <c r="Q37" s="519">
        <f>SUMIFS('P &amp; NP'!$C$7:$WL$7,'P &amp; NP'!$C$5:$WL$5,"NPT",'P &amp; NP'!$C$2:$WL$2,"KOTA BLITAR")</f>
        <v>0</v>
      </c>
      <c r="R37" s="519">
        <f>SUMIFS('P &amp; NP'!$C$8:$WL$8,'P &amp; NP'!$C$5:$WL$5,"PT",'P &amp; NP'!$C$2:$WL$2,"KOTA BLITAR")</f>
        <v>0</v>
      </c>
      <c r="S37" s="519">
        <f>SUMIFS('P &amp; NP'!$C$8:$WL$8,'P &amp; NP'!$C$5:$WL$5,"NPT",'P &amp; NP'!$C$2:$WL$2,"KOTA BLITAR")</f>
        <v>0</v>
      </c>
      <c r="T37" s="519">
        <f>SUMIFS('P &amp; NP'!$C$9:$WL$9,'P &amp; NP'!$C$5:$WL$5,"PT",'P &amp; NP'!$C$2:$WL$2,"KOTA BLITAR")</f>
        <v>0</v>
      </c>
      <c r="U37" s="519">
        <f>SUMIFS('P &amp; NP'!$C$9:$WL$9,'P &amp; NP'!$C$5:$WL$5,"NPT",'P &amp; NP'!$C$2:$WL$2,"KOTA BLITAR")</f>
        <v>0</v>
      </c>
      <c r="V37" s="519">
        <f>SUMIFS('P &amp; NP'!$C$10:$WL$10,'P &amp; NP'!$C$5:$WL$5,"PT",'P &amp; NP'!$C$2:$WL$2,"KOTA BLITAR")</f>
        <v>0</v>
      </c>
      <c r="W37" s="519">
        <f>SUMIFS('P &amp; NP'!$C$10:$WL$10,'P &amp; NP'!$C$5:$WL$5,"NPT",'P &amp; NP'!$C$2:$WL$2,"KOTA BLITAR")</f>
        <v>0</v>
      </c>
      <c r="Y37" s="502">
        <f ca="1">SUMIF(AA$5:$AH35,$Y$1,AA37:AH37)</f>
        <v>0</v>
      </c>
      <c r="Z37" s="512">
        <f t="shared" si="12"/>
        <v>0</v>
      </c>
      <c r="AA37" s="519">
        <f>SUMIFS('P &amp; NP'!$C$7:$WL$7,'P &amp; NP'!$C$5:$WL$5,"PS",'P &amp; NP'!$C$2:$WL$2,"KOTA BLITAR")</f>
        <v>0</v>
      </c>
      <c r="AB37" s="519">
        <f>SUMIFS('P &amp; NP'!$C$7:$WL$7,'P &amp; NP'!$C$5:$WL$5,"NPS",'P &amp; NP'!$C$2:$WL$2,"KOTA BLITAR")</f>
        <v>0</v>
      </c>
      <c r="AC37" s="519">
        <f>SUMIFS('P &amp; NP'!$C$8:$WL$8,'P &amp; NP'!$C$5:$WL$5,"PS",'P &amp; NP'!$C$2:$WL$2,"KOTA BLITAR")</f>
        <v>0</v>
      </c>
      <c r="AD37" s="519">
        <f>SUMIFS('P &amp; NP'!$C$8:$WL$8,'P &amp; NP'!$C$5:$WL$5,"NPS",'P &amp; NP'!$C$2:$WL$2,"KOTA BLITAR")</f>
        <v>0</v>
      </c>
      <c r="AE37" s="519">
        <f>SUMIFS('P &amp; NP'!$C$9:$WL$9,'P &amp; NP'!$C$5:$WL$5,"PS",'P &amp; NP'!$C$2:$WL$2,"KOTA BLITAR")</f>
        <v>0</v>
      </c>
      <c r="AF37" s="519">
        <f>SUMIFS('P &amp; NP'!$C$9:$WL$9,'P &amp; NP'!$C$5:$WL$5,"NPS",'P &amp; NP'!$C$2:$WL$2,"KOTA BLITAR")</f>
        <v>0</v>
      </c>
      <c r="AG37" s="519">
        <f>SUMIFS('P &amp; NP'!$C$10:$WL$10,'P &amp; NP'!$C$5:$WL$5,"PS",'P &amp; NP'!$C$2:$WL$2,"KOTA BLITAR")</f>
        <v>0</v>
      </c>
      <c r="AH37" s="519">
        <f>SUMIFS('P &amp; NP'!$C$10:$WL$10,'P &amp; NP'!$C$5:$WL$5,"NPS",'P &amp; NP'!$C$2:$WL$2,"KOTA BLITAR")</f>
        <v>0</v>
      </c>
      <c r="AJ37" s="502">
        <f t="shared" si="13"/>
        <v>244780</v>
      </c>
      <c r="AK37" s="512">
        <f t="shared" si="14"/>
        <v>5157835</v>
      </c>
      <c r="AL37" s="519">
        <f>SUMIFS('P &amp; NP'!$C$7:$WL$7,'P &amp; NP'!$C$5:$WL$5,"PK",'P &amp; NP'!$C$2:$WL$2,"KOTA BLITAR")</f>
        <v>68430</v>
      </c>
      <c r="AM37" s="519">
        <f>SUMIFS('P &amp; NP'!$C$7:$WL$7,'P &amp; NP'!$C$5:$WL$5,"NPK",'P &amp; NP'!$C$2:$WL$2,"KOTA BLITAR")</f>
        <v>1410230</v>
      </c>
      <c r="AN37" s="519">
        <f>SUMIFS('P &amp; NP'!$C$8:$WL$8,'P &amp; NP'!$C$5:$WL$5,"PK",'P &amp; NP'!$C$2:$WL$2,"KOTA BLITAR")</f>
        <v>62700</v>
      </c>
      <c r="AO37" s="519">
        <f>SUMIFS('P &amp; NP'!$C$8:$WL$8,'P &amp; NP'!$C$5:$WL$5,"NPK",'P &amp; NP'!$C$2:$WL$2,"KOTA BLITAR")</f>
        <v>1294500</v>
      </c>
      <c r="AP37" s="519">
        <f>SUMIFS('P &amp; NP'!$C$9:$WL$9,'P &amp; NP'!$C$5:$WL$5,"PK",'P &amp; NP'!$C$2:$WL$2,"KOTA BLITAR")</f>
        <v>61140</v>
      </c>
      <c r="AQ37" s="519">
        <f>SUMIFS('P &amp; NP'!$C$9:$WL$9,'P &amp; NP'!$C$5:$WL$5,"NPK",'P &amp; NP'!$C$2:$WL$2,"KOTA BLITAR")</f>
        <v>1339425</v>
      </c>
      <c r="AR37" s="519">
        <f>SUMIFS('P &amp; NP'!$C$10:$WL$10,'P &amp; NP'!$C$5:$WL$5,"PK",'P &amp; NP'!$C$2:$WL$2,"KOTA BLITAR")</f>
        <v>52510</v>
      </c>
      <c r="AS37" s="519">
        <f>SUMIFS('P &amp; NP'!$C$10:$WL$10,'P &amp; NP'!$C$5:$WL$5,"NPK",'P &amp; NP'!$C$2:$WL$2,"KOTA BLITAR")</f>
        <v>1113680</v>
      </c>
      <c r="AU37" s="502">
        <f t="shared" si="15"/>
        <v>0</v>
      </c>
      <c r="AV37" s="512">
        <f t="shared" si="16"/>
        <v>0</v>
      </c>
      <c r="AW37" s="519">
        <f>SUMIFS('P &amp; NP'!$C$7:$WL$7,'P &amp; NP'!$C$5:$WL$5,"PM",'P &amp; NP'!$C$2:$WL$2,"KOTA BLITAR")</f>
        <v>0</v>
      </c>
      <c r="AX37" s="519">
        <f>SUMIFS('P &amp; NP'!$C$7:$WL$7,'P &amp; NP'!$C$5:$WL$5,"NPM",'P &amp; NP'!$C$2:$WL$2,"KOTA BLITAR")</f>
        <v>0</v>
      </c>
      <c r="AY37" s="519">
        <f>SUMIFS('P &amp; NP'!$C$8:$WL$8,'P &amp; NP'!$C$5:$WL$5,"PM",'P &amp; NP'!$C$2:$WL$2,"KOTA BLITAR")</f>
        <v>0</v>
      </c>
      <c r="AZ37" s="519">
        <f>SUMIFS('P &amp; NP'!$C$8:$WL$8,'P &amp; NP'!$C$5:$WL$5,"NPM",'P &amp; NP'!$C$2:$WL$2,"KOTA BLITAR")</f>
        <v>0</v>
      </c>
      <c r="BA37" s="519">
        <f>SUMIFS('P &amp; NP'!$C$9:$WL$9,'P &amp; NP'!$C$5:$WL$5,"PM",'P &amp; NP'!$C$2:$WL$2,"KOTA BLITAR")</f>
        <v>0</v>
      </c>
      <c r="BB37" s="519">
        <f>SUMIFS('P &amp; NP'!$C$9:$WL$9,'P &amp; NP'!$C$5:$WL$5,"NPM",'P &amp; NP'!$C$2:$WL$2,"KOTA BLITAR")</f>
        <v>0</v>
      </c>
      <c r="BC37" s="519">
        <f>SUMIFS('P &amp; NP'!$C$10:$WL$10,'P &amp; NP'!$C$5:$WL$5,"PM",'P &amp; NP'!$C$2:$WL$2,"KOTA BLITAR")</f>
        <v>0</v>
      </c>
      <c r="BD37" s="519">
        <f>SUMIFS('P &amp; NP'!$C$10:$WL$10,'P &amp; NP'!$C$5:$WL$5,"NPM",'P &amp; NP'!$C$2:$WL$2,"KOTA BLITAR")</f>
        <v>0</v>
      </c>
      <c r="BF37" s="502">
        <f t="shared" si="17"/>
        <v>0</v>
      </c>
      <c r="BG37" s="512">
        <f t="shared" si="18"/>
        <v>0</v>
      </c>
      <c r="BH37" s="519">
        <f>SUMIFS('P &amp; NP'!$C$7:$WL$7,'P &amp; NP'!$C$5:$WL$5,"PB",'P &amp; NP'!$C$2:$WL$2,"KOTA BLITAR")</f>
        <v>0</v>
      </c>
      <c r="BI37" s="519">
        <f>SUMIFS('P &amp; NP'!$C$7:$WL$7,'P &amp; NP'!$C$5:$WL$5,"NPB",'P &amp; NP'!$C$2:$WL$2,"KOTA BLITAR")</f>
        <v>0</v>
      </c>
      <c r="BJ37" s="519">
        <f>SUMIFS('P &amp; NP'!$C$8:$WL$8,'P &amp; NP'!$C$5:$WL$5,"PB",'P &amp; NP'!$C$2:$WL$2,"KOTA BLITAR")</f>
        <v>0</v>
      </c>
      <c r="BK37" s="519">
        <f>SUMIFS('P &amp; NP'!$C$8:$WL$8,'P &amp; NP'!$C$5:$WL$5,"NPB",'P &amp; NP'!$C$2:$WL$2,"KOTA BLITAR")</f>
        <v>0</v>
      </c>
      <c r="BL37" s="519">
        <f>SUMIFS('P &amp; NP'!$C$9:$WL$9,'P &amp; NP'!$C$5:$WL$5,"PB",'P &amp; NP'!$C$2:$WL$2,"KOTA BLITAR")</f>
        <v>0</v>
      </c>
      <c r="BM37" s="519">
        <f>SUMIFS('P &amp; NP'!$C$9:$WL$9,'P &amp; NP'!$C$5:$WL$5,"NPB",'P &amp; NP'!$C$2:$WL$2,"KOTA BLITAR")</f>
        <v>0</v>
      </c>
      <c r="BN37" s="519">
        <f>SUMIFS('P &amp; NP'!$C$10:$WL$10,'P &amp; NP'!$C$5:$WL$5,"PB",'P &amp; NP'!$C$2:$WL$2,"KOTA BLITAR")</f>
        <v>0</v>
      </c>
      <c r="BO37" s="519">
        <f>SUMIFS('P &amp; NP'!$C$10:$WL$10,'P &amp; NP'!$C$5:$WL$5,"NPB",'P &amp; NP'!$C$2:$WL$2,"KOTA BLITAR")</f>
        <v>0</v>
      </c>
      <c r="BQ37" s="502">
        <f t="shared" si="19"/>
        <v>0</v>
      </c>
      <c r="BR37" s="512">
        <f t="shared" si="20"/>
        <v>0</v>
      </c>
      <c r="BS37" s="519">
        <f>SUMIFS('P &amp; NP'!$C$7:$WL$7,'P &amp; NP'!$C$5:$WL$5,"PJ",'P &amp; NP'!$C$2:$WL$2,"KOTA BLITAR")</f>
        <v>0</v>
      </c>
      <c r="BT37" s="519">
        <f>SUMIFS('P &amp; NP'!$C$7:$WL$7,'P &amp; NP'!$C$5:$WL$5,"NPJ",'P &amp; NP'!$C$2:$WL$2,"KOTA BLITAR")</f>
        <v>0</v>
      </c>
      <c r="BU37" s="519">
        <f>SUMIFS('P &amp; NP'!$C$8:$WL$8,'P &amp; NP'!$C$5:$WL$5,"PJ",'P &amp; NP'!$C$2:$WL$2,"KOTA BLITAR")</f>
        <v>0</v>
      </c>
      <c r="BV37" s="519">
        <f>SUMIFS('P &amp; NP'!$C$8:$WL$8,'P &amp; NP'!$C$5:$WL$5,"NPJ",'P &amp; NP'!$C$2:$WL$2,"KOTA BLITAR")</f>
        <v>0</v>
      </c>
      <c r="BW37" s="519">
        <f>SUMIFS('P &amp; NP'!$C$9:$WL$9,'P &amp; NP'!$C$5:$WL$5,"PJ",'P &amp; NP'!$C$2:$WL$2,"KOTA BLITAR")</f>
        <v>0</v>
      </c>
      <c r="BX37" s="519">
        <f>SUMIFS('P &amp; NP'!$C$9:$WL$9,'P &amp; NP'!$C$5:$WL$5,"NPJ",'P &amp; NP'!$C$2:$WL$2,"KOTA BLITAR")</f>
        <v>0</v>
      </c>
      <c r="BY37" s="519">
        <f>SUMIFS('P &amp; NP'!$C$10:$WL$10,'P &amp; NP'!$C$5:$WL$5,"PJ",'P &amp; NP'!$C$2:$WL$2,"KOTA BLITAR")</f>
        <v>0</v>
      </c>
      <c r="BZ37" s="519">
        <f>SUMIFS('P &amp; NP'!$C$10:$WL$10,'P &amp; NP'!$C$5:$WL$5,"NPJ",'P &amp; NP'!$C$2:$WL$2,"KOTA BLITAR")</f>
        <v>0</v>
      </c>
      <c r="CB37" s="502">
        <f t="shared" si="21"/>
        <v>244780</v>
      </c>
      <c r="CC37" s="512">
        <f t="shared" si="22"/>
        <v>5157835</v>
      </c>
      <c r="CD37" s="519">
        <f t="shared" si="23"/>
        <v>68430</v>
      </c>
      <c r="CE37" s="519">
        <f t="shared" si="24"/>
        <v>1410230</v>
      </c>
      <c r="CF37" s="519">
        <f t="shared" si="25"/>
        <v>62700</v>
      </c>
      <c r="CG37" s="519">
        <f t="shared" si="26"/>
        <v>1294500</v>
      </c>
      <c r="CH37" s="519">
        <f t="shared" si="27"/>
        <v>61140</v>
      </c>
      <c r="CI37" s="519">
        <f t="shared" si="28"/>
        <v>1339425</v>
      </c>
      <c r="CJ37" s="519">
        <f t="shared" si="29"/>
        <v>52510</v>
      </c>
      <c r="CK37" s="519">
        <f t="shared" si="30"/>
        <v>1113680</v>
      </c>
    </row>
    <row r="38" spans="1:89">
      <c r="A38" s="509"/>
      <c r="B38" s="484" t="s">
        <v>141</v>
      </c>
      <c r="C38" s="502">
        <f t="shared" si="8"/>
        <v>0</v>
      </c>
      <c r="D38" s="512">
        <f t="shared" si="9"/>
        <v>0</v>
      </c>
      <c r="E38" s="519">
        <f>SUMIFS('P &amp; NP'!$C$7:$WL$7,'P &amp; NP'!$C$5:$WL$5,"PL",'P &amp; NP'!$C$2:$WL$2,"KOTA KEDIRI")</f>
        <v>0</v>
      </c>
      <c r="F38" s="519">
        <f>SUMIFS('P &amp; NP'!$C$7:$WL$7,'P &amp; NP'!$C$5:$WL$5,"NPL",'P &amp; NP'!$C$2:$WL$2,"KOTA KEDIRI")</f>
        <v>0</v>
      </c>
      <c r="G38" s="519">
        <f>SUMIFS('P &amp; NP'!$C$8:$WL$8,'P &amp; NP'!$C$5:$WL$5,"PL",'P &amp; NP'!$C$2:$WL$2,"KOTA KEDIRI")</f>
        <v>0</v>
      </c>
      <c r="H38" s="519">
        <f>SUMIFS('P &amp; NP'!$C$8:$WL$8,'P &amp; NP'!$C$5:$WL$5,"NPL",'P &amp; NP'!$C$2:$WL$2,"KOTA KEDIRI")</f>
        <v>0</v>
      </c>
      <c r="I38" s="519">
        <f>SUMIFS('P &amp; NP'!$C$9:$WL$9,'P &amp; NP'!$C$5:$WL$5,"PL",'P &amp; NP'!$C$2:$WL$2,"KOTA KEDIRI")</f>
        <v>0</v>
      </c>
      <c r="J38" s="519">
        <f>SUMIFS('P &amp; NP'!$C$9:$WL$9,'P &amp; NP'!$C$5:$WL$5,"NPL",'P &amp; NP'!$C$2:$WL$2,"KOTA KEDIRI")</f>
        <v>0</v>
      </c>
      <c r="K38" s="519">
        <f>SUMIFS('P &amp; NP'!$C$10:$WL$10,'P &amp; NP'!$C$5:$WL$5,"PL",'P &amp; NP'!$C$2:$WL$2,"KOTA KEDIRI")</f>
        <v>0</v>
      </c>
      <c r="L38" s="519">
        <f>SUMIFS('P &amp; NP'!$C$10:$WL$10,'P &amp; NP'!$C$5:$WL$5,"NPL",'P &amp; NP'!$C$2:$WL$2,"KOTA KEDIRI")</f>
        <v>0</v>
      </c>
      <c r="N38" s="502">
        <f t="shared" si="10"/>
        <v>0</v>
      </c>
      <c r="O38" s="512">
        <f t="shared" si="11"/>
        <v>0</v>
      </c>
      <c r="P38" s="519">
        <f>SUMIFS('P &amp; NP'!$C$7:$WL$7,'P &amp; NP'!$C$5:$WL$5,"PT",'P &amp; NP'!$C$2:$WL$2,"KOTA KEDIRI")</f>
        <v>0</v>
      </c>
      <c r="Q38" s="519">
        <f>SUMIFS('P &amp; NP'!$C$7:$WL$7,'P &amp; NP'!$C$5:$WL$5,"NPT",'P &amp; NP'!$C$2:$WL$2,"KOTA KEDIRI")</f>
        <v>0</v>
      </c>
      <c r="R38" s="519">
        <f>SUMIFS('P &amp; NP'!$C$8:$WL$8,'P &amp; NP'!$C$5:$WL$5,"PT",'P &amp; NP'!$C$2:$WL$2,"KOTA KEDIRI")</f>
        <v>0</v>
      </c>
      <c r="S38" s="519">
        <f>SUMIFS('P &amp; NP'!$C$8:$WL$8,'P &amp; NP'!$C$5:$WL$5,"NPT",'P &amp; NP'!$C$2:$WL$2,"KOTA KEDIRI")</f>
        <v>0</v>
      </c>
      <c r="T38" s="519">
        <f>SUMIFS('P &amp; NP'!$C$9:$WL$9,'P &amp; NP'!$C$5:$WL$5,"PT",'P &amp; NP'!$C$2:$WL$2,"KOTA KEDIRI")</f>
        <v>0</v>
      </c>
      <c r="U38" s="519">
        <f>SUMIFS('P &amp; NP'!$C$9:$WL$9,'P &amp; NP'!$C$5:$WL$5,"NPT",'P &amp; NP'!$C$2:$WL$2,"KOTA KEDIRI")</f>
        <v>0</v>
      </c>
      <c r="V38" s="519">
        <f>SUMIFS('P &amp; NP'!$C$10:$WL$10,'P &amp; NP'!$C$5:$WL$5,"PT",'P &amp; NP'!$C$2:$WL$2,"KOTA KEDIRI")</f>
        <v>0</v>
      </c>
      <c r="W38" s="519">
        <f>SUMIFS('P &amp; NP'!$C$10:$WL$10,'P &amp; NP'!$C$5:$WL$5,"NPT",'P &amp; NP'!$C$2:$WL$2,"KOTA KEDIRI")</f>
        <v>0</v>
      </c>
      <c r="Y38" s="502">
        <f ca="1">SUMIF(AA$5:$AH36,$Y$1,AA38:AH38)</f>
        <v>0</v>
      </c>
      <c r="Z38" s="512">
        <f t="shared" si="12"/>
        <v>0</v>
      </c>
      <c r="AA38" s="519">
        <f>SUMIFS('P &amp; NP'!$C$7:$WL$7,'P &amp; NP'!$C$5:$WL$5,"PS",'P &amp; NP'!$C$2:$WL$2,"KOTA KEDIRI")</f>
        <v>0</v>
      </c>
      <c r="AB38" s="519">
        <f>SUMIFS('P &amp; NP'!$C$7:$WL$7,'P &amp; NP'!$C$5:$WL$5,"NPS",'P &amp; NP'!$C$2:$WL$2,"KOTA KEDIRI")</f>
        <v>0</v>
      </c>
      <c r="AC38" s="519">
        <f>SUMIFS('P &amp; NP'!$C$8:$WL$8,'P &amp; NP'!$C$5:$WL$5,"PS",'P &amp; NP'!$C$2:$WL$2,"KOTA KEDIRI")</f>
        <v>0</v>
      </c>
      <c r="AD38" s="519">
        <f>SUMIFS('P &amp; NP'!$C$8:$WL$8,'P &amp; NP'!$C$5:$WL$5,"NPS",'P &amp; NP'!$C$2:$WL$2,"KOTA KEDIRI")</f>
        <v>0</v>
      </c>
      <c r="AE38" s="519">
        <f>SUMIFS('P &amp; NP'!$C$9:$WL$9,'P &amp; NP'!$C$5:$WL$5,"PS",'P &amp; NP'!$C$2:$WL$2,"KOTA KEDIRI")</f>
        <v>0</v>
      </c>
      <c r="AF38" s="519">
        <f>SUMIFS('P &amp; NP'!$C$9:$WL$9,'P &amp; NP'!$C$5:$WL$5,"NPS",'P &amp; NP'!$C$2:$WL$2,"KOTA KEDIRI")</f>
        <v>0</v>
      </c>
      <c r="AG38" s="519">
        <f>SUMIFS('P &amp; NP'!$C$10:$WL$10,'P &amp; NP'!$C$5:$WL$5,"PS",'P &amp; NP'!$C$2:$WL$2,"KOTA KEDIRI")</f>
        <v>0</v>
      </c>
      <c r="AH38" s="519">
        <f>SUMIFS('P &amp; NP'!$C$10:$WL$10,'P &amp; NP'!$C$5:$WL$5,"NPS",'P &amp; NP'!$C$2:$WL$2,"KOTA KEDIRI")</f>
        <v>0</v>
      </c>
      <c r="AJ38" s="502">
        <f t="shared" si="13"/>
        <v>193100</v>
      </c>
      <c r="AK38" s="512">
        <f t="shared" si="14"/>
        <v>3685600</v>
      </c>
      <c r="AL38" s="519">
        <f>SUMIFS('P &amp; NP'!$C$7:$WL$7,'P &amp; NP'!$C$5:$WL$5,"PK",'P &amp; NP'!$C$2:$WL$2,"KOTA KEDIRI")</f>
        <v>50900</v>
      </c>
      <c r="AM38" s="519">
        <f>SUMIFS('P &amp; NP'!$C$7:$WL$7,'P &amp; NP'!$C$5:$WL$5,"NPK",'P &amp; NP'!$C$2:$WL$2,"KOTA KEDIRI")</f>
        <v>974300</v>
      </c>
      <c r="AN38" s="519">
        <f>SUMIFS('P &amp; NP'!$C$8:$WL$8,'P &amp; NP'!$C$5:$WL$5,"PK",'P &amp; NP'!$C$2:$WL$2,"KOTA KEDIRI")</f>
        <v>47600</v>
      </c>
      <c r="AO38" s="519">
        <f>SUMIFS('P &amp; NP'!$C$8:$WL$8,'P &amp; NP'!$C$5:$WL$5,"NPK",'P &amp; NP'!$C$2:$WL$2,"KOTA KEDIRI")</f>
        <v>915600</v>
      </c>
      <c r="AP38" s="519">
        <f>SUMIFS('P &amp; NP'!$C$9:$WL$9,'P &amp; NP'!$C$5:$WL$5,"PK",'P &amp; NP'!$C$2:$WL$2,"KOTA KEDIRI")</f>
        <v>46300</v>
      </c>
      <c r="AQ38" s="519">
        <f>SUMIFS('P &amp; NP'!$C$9:$WL$9,'P &amp; NP'!$C$5:$WL$5,"NPK",'P &amp; NP'!$C$2:$WL$2,"KOTA KEDIRI")</f>
        <v>896950</v>
      </c>
      <c r="AR38" s="519">
        <f>SUMIFS('P &amp; NP'!$C$10:$WL$10,'P &amp; NP'!$C$5:$WL$5,"PK",'P &amp; NP'!$C$2:$WL$2,"KOTA KEDIRI")</f>
        <v>48300</v>
      </c>
      <c r="AS38" s="519">
        <f>SUMIFS('P &amp; NP'!$C$10:$WL$10,'P &amp; NP'!$C$5:$WL$5,"NPK",'P &amp; NP'!$C$2:$WL$2,"KOTA KEDIRI")</f>
        <v>898750</v>
      </c>
      <c r="AU38" s="502">
        <f t="shared" si="15"/>
        <v>0</v>
      </c>
      <c r="AV38" s="512">
        <f t="shared" si="16"/>
        <v>0</v>
      </c>
      <c r="AW38" s="519">
        <f>SUMIFS('P &amp; NP'!$C$7:$WL$7,'P &amp; NP'!$C$5:$WL$5,"PM",'P &amp; NP'!$C$2:$WL$2,"KOTA KEDIRI")</f>
        <v>0</v>
      </c>
      <c r="AX38" s="519">
        <f>SUMIFS('P &amp; NP'!$C$7:$WL$7,'P &amp; NP'!$C$5:$WL$5,"NPM",'P &amp; NP'!$C$2:$WL$2,"KOTA KEDIRI")</f>
        <v>0</v>
      </c>
      <c r="AY38" s="519">
        <f>SUMIFS('P &amp; NP'!$C$8:$WL$8,'P &amp; NP'!$C$5:$WL$5,"PM",'P &amp; NP'!$C$2:$WL$2,"KOTA KEDIRI")</f>
        <v>0</v>
      </c>
      <c r="AZ38" s="519">
        <f>SUMIFS('P &amp; NP'!$C$8:$WL$8,'P &amp; NP'!$C$5:$WL$5,"NPM",'P &amp; NP'!$C$2:$WL$2,"KOTA KEDIRI")</f>
        <v>0</v>
      </c>
      <c r="BA38" s="519">
        <f>SUMIFS('P &amp; NP'!$C$9:$WL$9,'P &amp; NP'!$C$5:$WL$5,"PM",'P &amp; NP'!$C$2:$WL$2,"KOTA KEDIRI")</f>
        <v>0</v>
      </c>
      <c r="BB38" s="519">
        <f>SUMIFS('P &amp; NP'!$C$9:$WL$9,'P &amp; NP'!$C$5:$WL$5,"NPM",'P &amp; NP'!$C$2:$WL$2,"KOTA KEDIRI")</f>
        <v>0</v>
      </c>
      <c r="BC38" s="519">
        <f>SUMIFS('P &amp; NP'!$C$10:$WL$10,'P &amp; NP'!$C$5:$WL$5,"PM",'P &amp; NP'!$C$2:$WL$2,"KOTA KEDIRI")</f>
        <v>0</v>
      </c>
      <c r="BD38" s="519">
        <f>SUMIFS('P &amp; NP'!$C$10:$WL$10,'P &amp; NP'!$C$5:$WL$5,"NPM",'P &amp; NP'!$C$2:$WL$2,"KOTA KEDIRI")</f>
        <v>0</v>
      </c>
      <c r="BF38" s="502">
        <f t="shared" si="17"/>
        <v>0</v>
      </c>
      <c r="BG38" s="512">
        <f t="shared" si="18"/>
        <v>0</v>
      </c>
      <c r="BH38" s="519">
        <f>SUMIFS('P &amp; NP'!$C$7:$WL$7,'P &amp; NP'!$C$5:$WL$5,"PB",'P &amp; NP'!$C$2:$WL$2,"KOTA KEDIRI")</f>
        <v>0</v>
      </c>
      <c r="BI38" s="519">
        <f>SUMIFS('P &amp; NP'!$C$7:$WL$7,'P &amp; NP'!$C$5:$WL$5,"NPB",'P &amp; NP'!$C$2:$WL$2,"KOTA KEDIRI")</f>
        <v>0</v>
      </c>
      <c r="BJ38" s="519">
        <f>SUMIFS('P &amp; NP'!$C$8:$WL$8,'P &amp; NP'!$C$5:$WL$5,"PB",'P &amp; NP'!$C$2:$WL$2,"KOTA KEDIRI")</f>
        <v>0</v>
      </c>
      <c r="BK38" s="519">
        <f>SUMIFS('P &amp; NP'!$C$8:$WL$8,'P &amp; NP'!$C$5:$WL$5,"NPB",'P &amp; NP'!$C$2:$WL$2,"KOTA KEDIRI")</f>
        <v>0</v>
      </c>
      <c r="BL38" s="519">
        <f>SUMIFS('P &amp; NP'!$C$9:$WL$9,'P &amp; NP'!$C$5:$WL$5,"PB",'P &amp; NP'!$C$2:$WL$2,"KOTA KEDIRI")</f>
        <v>0</v>
      </c>
      <c r="BM38" s="519">
        <f>SUMIFS('P &amp; NP'!$C$9:$WL$9,'P &amp; NP'!$C$5:$WL$5,"NPB",'P &amp; NP'!$C$2:$WL$2,"KOTA KEDIRI")</f>
        <v>0</v>
      </c>
      <c r="BN38" s="519">
        <f>SUMIFS('P &amp; NP'!$C$10:$WL$10,'P &amp; NP'!$C$5:$WL$5,"PB",'P &amp; NP'!$C$2:$WL$2,"KOTA KEDIRI")</f>
        <v>0</v>
      </c>
      <c r="BO38" s="519">
        <f>SUMIFS('P &amp; NP'!$C$10:$WL$10,'P &amp; NP'!$C$5:$WL$5,"NPB",'P &amp; NP'!$C$2:$WL$2,"KOTA KEDIRI")</f>
        <v>0</v>
      </c>
      <c r="BQ38" s="502">
        <f t="shared" si="19"/>
        <v>0</v>
      </c>
      <c r="BR38" s="512">
        <f t="shared" si="20"/>
        <v>0</v>
      </c>
      <c r="BS38" s="519">
        <f>SUMIFS('P &amp; NP'!$C$7:$WL$7,'P &amp; NP'!$C$5:$WL$5,"PJ",'P &amp; NP'!$C$2:$WL$2,"KOTA KEDIRI")</f>
        <v>0</v>
      </c>
      <c r="BT38" s="519">
        <f>SUMIFS('P &amp; NP'!$C$7:$WL$7,'P &amp; NP'!$C$5:$WL$5,"NPJ",'P &amp; NP'!$C$2:$WL$2,"KOTA KEDIRI")</f>
        <v>0</v>
      </c>
      <c r="BU38" s="519">
        <f>SUMIFS('P &amp; NP'!$C$8:$WL$8,'P &amp; NP'!$C$5:$WL$5,"PJ",'P &amp; NP'!$C$2:$WL$2,"KOTA KEDIRI")</f>
        <v>0</v>
      </c>
      <c r="BV38" s="519">
        <f>SUMIFS('P &amp; NP'!$C$8:$WL$8,'P &amp; NP'!$C$5:$WL$5,"NPJ",'P &amp; NP'!$C$2:$WL$2,"KOTA KEDIRI")</f>
        <v>0</v>
      </c>
      <c r="BW38" s="519">
        <f>SUMIFS('P &amp; NP'!$C$9:$WL$9,'P &amp; NP'!$C$5:$WL$5,"PJ",'P &amp; NP'!$C$2:$WL$2,"KOTA KEDIRI")</f>
        <v>0</v>
      </c>
      <c r="BX38" s="519">
        <f>SUMIFS('P &amp; NP'!$C$9:$WL$9,'P &amp; NP'!$C$5:$WL$5,"NPJ",'P &amp; NP'!$C$2:$WL$2,"KOTA KEDIRI")</f>
        <v>0</v>
      </c>
      <c r="BY38" s="519">
        <f>SUMIFS('P &amp; NP'!$C$10:$WL$10,'P &amp; NP'!$C$5:$WL$5,"PJ",'P &amp; NP'!$C$2:$WL$2,"KOTA KEDIRI")</f>
        <v>0</v>
      </c>
      <c r="BZ38" s="519">
        <f>SUMIFS('P &amp; NP'!$C$10:$WL$10,'P &amp; NP'!$C$5:$WL$5,"NPJ",'P &amp; NP'!$C$2:$WL$2,"KOTA KEDIRI")</f>
        <v>0</v>
      </c>
      <c r="CB38" s="502">
        <f t="shared" si="21"/>
        <v>193100</v>
      </c>
      <c r="CC38" s="512">
        <f t="shared" si="22"/>
        <v>3685600</v>
      </c>
      <c r="CD38" s="519">
        <f t="shared" si="23"/>
        <v>50900</v>
      </c>
      <c r="CE38" s="519">
        <f t="shared" si="24"/>
        <v>974300</v>
      </c>
      <c r="CF38" s="519">
        <f t="shared" si="25"/>
        <v>47600</v>
      </c>
      <c r="CG38" s="519">
        <f t="shared" si="26"/>
        <v>915600</v>
      </c>
      <c r="CH38" s="519">
        <f t="shared" si="27"/>
        <v>46300</v>
      </c>
      <c r="CI38" s="519">
        <f t="shared" si="28"/>
        <v>896950</v>
      </c>
      <c r="CJ38" s="519">
        <f t="shared" si="29"/>
        <v>48300</v>
      </c>
      <c r="CK38" s="519">
        <f t="shared" si="30"/>
        <v>898750</v>
      </c>
    </row>
    <row r="39" spans="1:89">
      <c r="A39" s="509"/>
      <c r="B39" s="484" t="s">
        <v>147</v>
      </c>
      <c r="C39" s="502">
        <f t="shared" si="8"/>
        <v>0</v>
      </c>
      <c r="D39" s="512">
        <f t="shared" si="9"/>
        <v>0</v>
      </c>
      <c r="E39" s="519">
        <f>SUMIFS('P &amp; NP'!$C$7:$WL$7,'P &amp; NP'!$C$5:$WL$5,"PL",'P &amp; NP'!$C$2:$WL$2,"KOTA MADIUN")</f>
        <v>0</v>
      </c>
      <c r="F39" s="519">
        <f>SUMIFS('P &amp; NP'!$C$7:$WL$7,'P &amp; NP'!$C$5:$WL$5,"NPL",'P &amp; NP'!$C$2:$WL$2,"KOTA MADIUN")</f>
        <v>0</v>
      </c>
      <c r="G39" s="519">
        <f>SUMIFS('P &amp; NP'!$C$8:$WL$8,'P &amp; NP'!$C$5:$WL$5,"PL",'P &amp; NP'!$C$2:$WL$2,"KOTA MADIUN")</f>
        <v>0</v>
      </c>
      <c r="H39" s="519">
        <f>SUMIFS('P &amp; NP'!$C$8:$WL$8,'P &amp; NP'!$C$5:$WL$5,"NPL",'P &amp; NP'!$C$2:$WL$2,"KOTA MADIUN")</f>
        <v>0</v>
      </c>
      <c r="I39" s="519">
        <f>SUMIFS('P &amp; NP'!$C$9:$WL$9,'P &amp; NP'!$C$5:$WL$5,"PL",'P &amp; NP'!$C$2:$WL$2,"KOTA MADIUN")</f>
        <v>0</v>
      </c>
      <c r="J39" s="519">
        <f>SUMIFS('P &amp; NP'!$C$9:$WL$9,'P &amp; NP'!$C$5:$WL$5,"NPL",'P &amp; NP'!$C$2:$WL$2,"KOTA MADIUN")</f>
        <v>0</v>
      </c>
      <c r="K39" s="519">
        <f>SUMIFS('P &amp; NP'!$C$10:$WL$10,'P &amp; NP'!$C$5:$WL$5,"PL",'P &amp; NP'!$C$2:$WL$2,"KOTA MADIUN")</f>
        <v>0</v>
      </c>
      <c r="L39" s="519">
        <f>SUMIFS('P &amp; NP'!$C$10:$WL$10,'P &amp; NP'!$C$5:$WL$5,"NPL",'P &amp; NP'!$C$2:$WL$2,"KOTA MADIUN")</f>
        <v>0</v>
      </c>
      <c r="N39" s="502">
        <f t="shared" si="10"/>
        <v>0</v>
      </c>
      <c r="O39" s="512">
        <f t="shared" si="11"/>
        <v>0</v>
      </c>
      <c r="P39" s="519">
        <f>SUMIFS('P &amp; NP'!$C$7:$WL$7,'P &amp; NP'!$C$5:$WL$5,"PT",'P &amp; NP'!$C$2:$WL$2,"KOTA MADIUN")</f>
        <v>0</v>
      </c>
      <c r="Q39" s="519">
        <f>SUMIFS('P &amp; NP'!$C$7:$WL$7,'P &amp; NP'!$C$5:$WL$5,"NPT",'P &amp; NP'!$C$2:$WL$2,"KOTA MADIUN")</f>
        <v>0</v>
      </c>
      <c r="R39" s="519">
        <f>SUMIFS('P &amp; NP'!$C$8:$WL$8,'P &amp; NP'!$C$5:$WL$5,"PT",'P &amp; NP'!$C$2:$WL$2,"KOTA MADIUN")</f>
        <v>0</v>
      </c>
      <c r="S39" s="519">
        <f>SUMIFS('P &amp; NP'!$C$8:$WL$8,'P &amp; NP'!$C$5:$WL$5,"NPT",'P &amp; NP'!$C$2:$WL$2,"KOTA MADIUN")</f>
        <v>0</v>
      </c>
      <c r="T39" s="519">
        <f>SUMIFS('P &amp; NP'!$C$9:$WL$9,'P &amp; NP'!$C$5:$WL$5,"PT",'P &amp; NP'!$C$2:$WL$2,"KOTA MADIUN")</f>
        <v>0</v>
      </c>
      <c r="U39" s="519">
        <f>SUMIFS('P &amp; NP'!$C$9:$WL$9,'P &amp; NP'!$C$5:$WL$5,"NPT",'P &amp; NP'!$C$2:$WL$2,"KOTA MADIUN")</f>
        <v>0</v>
      </c>
      <c r="V39" s="519">
        <f>SUMIFS('P &amp; NP'!$C$10:$WL$10,'P &amp; NP'!$C$5:$WL$5,"PT",'P &amp; NP'!$C$2:$WL$2,"KOTA MADIUN")</f>
        <v>0</v>
      </c>
      <c r="W39" s="519">
        <f>SUMIFS('P &amp; NP'!$C$10:$WL$10,'P &amp; NP'!$C$5:$WL$5,"NPT",'P &amp; NP'!$C$2:$WL$2,"KOTA MADIUN")</f>
        <v>0</v>
      </c>
      <c r="Y39" s="502">
        <f ca="1">SUMIF(AA$5:$AH37,$Y$1,AA39:AH39)</f>
        <v>0</v>
      </c>
      <c r="Z39" s="512">
        <f t="shared" si="12"/>
        <v>0</v>
      </c>
      <c r="AA39" s="519">
        <f>SUMIFS('P &amp; NP'!$C$7:$WL$7,'P &amp; NP'!$C$5:$WL$5,"PS",'P &amp; NP'!$C$2:$WL$2,"KOTA MADIUN")</f>
        <v>0</v>
      </c>
      <c r="AB39" s="519">
        <f>SUMIFS('P &amp; NP'!$C$7:$WL$7,'P &amp; NP'!$C$5:$WL$5,"NPS",'P &amp; NP'!$C$2:$WL$2,"KOTA MADIUN")</f>
        <v>0</v>
      </c>
      <c r="AC39" s="519">
        <f>SUMIFS('P &amp; NP'!$C$8:$WL$8,'P &amp; NP'!$C$5:$WL$5,"PS",'P &amp; NP'!$C$2:$WL$2,"KOTA MADIUN")</f>
        <v>0</v>
      </c>
      <c r="AD39" s="519">
        <f>SUMIFS('P &amp; NP'!$C$8:$WL$8,'P &amp; NP'!$C$5:$WL$5,"NPS",'P &amp; NP'!$C$2:$WL$2,"KOTA MADIUN")</f>
        <v>0</v>
      </c>
      <c r="AE39" s="519">
        <f>SUMIFS('P &amp; NP'!$C$9:$WL$9,'P &amp; NP'!$C$5:$WL$5,"PS",'P &amp; NP'!$C$2:$WL$2,"KOTA MADIUN")</f>
        <v>0</v>
      </c>
      <c r="AF39" s="519">
        <f>SUMIFS('P &amp; NP'!$C$9:$WL$9,'P &amp; NP'!$C$5:$WL$5,"NPS",'P &amp; NP'!$C$2:$WL$2,"KOTA MADIUN")</f>
        <v>0</v>
      </c>
      <c r="AG39" s="519">
        <f>SUMIFS('P &amp; NP'!$C$10:$WL$10,'P &amp; NP'!$C$5:$WL$5,"PS",'P &amp; NP'!$C$2:$WL$2,"KOTA MADIUN")</f>
        <v>0</v>
      </c>
      <c r="AH39" s="519">
        <f>SUMIFS('P &amp; NP'!$C$10:$WL$10,'P &amp; NP'!$C$5:$WL$5,"NPS",'P &amp; NP'!$C$2:$WL$2,"KOTA MADIUN")</f>
        <v>0</v>
      </c>
      <c r="AJ39" s="502">
        <f t="shared" si="13"/>
        <v>290624.95</v>
      </c>
      <c r="AK39" s="512">
        <f t="shared" si="14"/>
        <v>6407714.6219999995</v>
      </c>
      <c r="AL39" s="519">
        <f>SUMIFS('P &amp; NP'!$C$7:$WL$7,'P &amp; NP'!$C$5:$WL$5,"PK",'P &amp; NP'!$C$2:$WL$2,"KOTA MADIUN")</f>
        <v>91944.98</v>
      </c>
      <c r="AM39" s="519">
        <f>SUMIFS('P &amp; NP'!$C$7:$WL$7,'P &amp; NP'!$C$5:$WL$5,"NPK",'P &amp; NP'!$C$2:$WL$2,"KOTA MADIUN")</f>
        <v>2034943.4</v>
      </c>
      <c r="AN39" s="519">
        <f>SUMIFS('P &amp; NP'!$C$8:$WL$8,'P &amp; NP'!$C$5:$WL$5,"PK",'P &amp; NP'!$C$2:$WL$2,"KOTA MADIUN")</f>
        <v>82789.97</v>
      </c>
      <c r="AO39" s="519">
        <f>SUMIFS('P &amp; NP'!$C$8:$WL$8,'P &amp; NP'!$C$5:$WL$5,"NPK",'P &amp; NP'!$C$2:$WL$2,"KOTA MADIUN")</f>
        <v>1872530.2220000001</v>
      </c>
      <c r="AP39" s="519">
        <f>SUMIFS('P &amp; NP'!$C$9:$WL$9,'P &amp; NP'!$C$5:$WL$5,"PK",'P &amp; NP'!$C$2:$WL$2,"KOTA MADIUN")</f>
        <v>55365</v>
      </c>
      <c r="AQ39" s="519">
        <f>SUMIFS('P &amp; NP'!$C$9:$WL$9,'P &amp; NP'!$C$5:$WL$5,"NPK",'P &amp; NP'!$C$2:$WL$2,"KOTA MADIUN")</f>
        <v>1204346</v>
      </c>
      <c r="AR39" s="519">
        <f>SUMIFS('P &amp; NP'!$C$10:$WL$10,'P &amp; NP'!$C$5:$WL$5,"PK",'P &amp; NP'!$C$2:$WL$2,"KOTA MADIUN")</f>
        <v>60525</v>
      </c>
      <c r="AS39" s="519">
        <f>SUMIFS('P &amp; NP'!$C$10:$WL$10,'P &amp; NP'!$C$5:$WL$5,"NPK",'P &amp; NP'!$C$2:$WL$2,"KOTA MADIUN")</f>
        <v>1295895</v>
      </c>
      <c r="AU39" s="502">
        <f t="shared" si="15"/>
        <v>0</v>
      </c>
      <c r="AV39" s="512">
        <f t="shared" si="16"/>
        <v>0</v>
      </c>
      <c r="AW39" s="519">
        <f>SUMIFS('P &amp; NP'!$C$7:$WL$7,'P &amp; NP'!$C$5:$WL$5,"PM",'P &amp; NP'!$C$2:$WL$2,"KOTA MADIUN")</f>
        <v>0</v>
      </c>
      <c r="AX39" s="519">
        <f>SUMIFS('P &amp; NP'!$C$7:$WL$7,'P &amp; NP'!$C$5:$WL$5,"NPM",'P &amp; NP'!$C$2:$WL$2,"KOTA MADIUN")</f>
        <v>0</v>
      </c>
      <c r="AY39" s="519">
        <f>SUMIFS('P &amp; NP'!$C$8:$WL$8,'P &amp; NP'!$C$5:$WL$5,"PM",'P &amp; NP'!$C$2:$WL$2,"KOTA MADIUN")</f>
        <v>0</v>
      </c>
      <c r="AZ39" s="519">
        <f>SUMIFS('P &amp; NP'!$C$8:$WL$8,'P &amp; NP'!$C$5:$WL$5,"NPM",'P &amp; NP'!$C$2:$WL$2,"KOTA MADIUN")</f>
        <v>0</v>
      </c>
      <c r="BA39" s="519">
        <f>SUMIFS('P &amp; NP'!$C$9:$WL$9,'P &amp; NP'!$C$5:$WL$5,"PM",'P &amp; NP'!$C$2:$WL$2,"KOTA MADIUN")</f>
        <v>0</v>
      </c>
      <c r="BB39" s="519">
        <f>SUMIFS('P &amp; NP'!$C$9:$WL$9,'P &amp; NP'!$C$5:$WL$5,"NPM",'P &amp; NP'!$C$2:$WL$2,"KOTA MADIUN")</f>
        <v>0</v>
      </c>
      <c r="BC39" s="519">
        <f>SUMIFS('P &amp; NP'!$C$10:$WL$10,'P &amp; NP'!$C$5:$WL$5,"PM",'P &amp; NP'!$C$2:$WL$2,"KOTA MADIUN")</f>
        <v>0</v>
      </c>
      <c r="BD39" s="519">
        <f>SUMIFS('P &amp; NP'!$C$10:$WL$10,'P &amp; NP'!$C$5:$WL$5,"NPM",'P &amp; NP'!$C$2:$WL$2,"KOTA MADIUN")</f>
        <v>0</v>
      </c>
      <c r="BF39" s="502">
        <f t="shared" si="17"/>
        <v>0</v>
      </c>
      <c r="BG39" s="512">
        <f t="shared" si="18"/>
        <v>0</v>
      </c>
      <c r="BH39" s="519">
        <f>SUMIFS('P &amp; NP'!$C$7:$WL$7,'P &amp; NP'!$C$5:$WL$5,"PB",'P &amp; NP'!$C$2:$WL$2,"KOTA MADIUN")</f>
        <v>0</v>
      </c>
      <c r="BI39" s="519">
        <f>SUMIFS('P &amp; NP'!$C$7:$WL$7,'P &amp; NP'!$C$5:$WL$5,"NPB",'P &amp; NP'!$C$2:$WL$2,"KOTA MADIUN")</f>
        <v>0</v>
      </c>
      <c r="BJ39" s="519">
        <f>SUMIFS('P &amp; NP'!$C$8:$WL$8,'P &amp; NP'!$C$5:$WL$5,"PB",'P &amp; NP'!$C$2:$WL$2,"KOTA MADIUN")</f>
        <v>0</v>
      </c>
      <c r="BK39" s="519">
        <f>SUMIFS('P &amp; NP'!$C$8:$WL$8,'P &amp; NP'!$C$5:$WL$5,"NPB",'P &amp; NP'!$C$2:$WL$2,"KOTA MADIUN")</f>
        <v>0</v>
      </c>
      <c r="BL39" s="519">
        <f>SUMIFS('P &amp; NP'!$C$9:$WL$9,'P &amp; NP'!$C$5:$WL$5,"PB",'P &amp; NP'!$C$2:$WL$2,"KOTA MADIUN")</f>
        <v>0</v>
      </c>
      <c r="BM39" s="519">
        <f>SUMIFS('P &amp; NP'!$C$9:$WL$9,'P &amp; NP'!$C$5:$WL$5,"NPB",'P &amp; NP'!$C$2:$WL$2,"KOTA MADIUN")</f>
        <v>0</v>
      </c>
      <c r="BN39" s="519">
        <f>SUMIFS('P &amp; NP'!$C$10:$WL$10,'P &amp; NP'!$C$5:$WL$5,"PB",'P &amp; NP'!$C$2:$WL$2,"KOTA MADIUN")</f>
        <v>0</v>
      </c>
      <c r="BO39" s="519">
        <f>SUMIFS('P &amp; NP'!$C$10:$WL$10,'P &amp; NP'!$C$5:$WL$5,"NPB",'P &amp; NP'!$C$2:$WL$2,"KOTA MADIUN")</f>
        <v>0</v>
      </c>
      <c r="BQ39" s="502">
        <f t="shared" si="19"/>
        <v>0</v>
      </c>
      <c r="BR39" s="512">
        <f t="shared" si="20"/>
        <v>0</v>
      </c>
      <c r="BS39" s="519">
        <f>SUMIFS('P &amp; NP'!$C$7:$WL$7,'P &amp; NP'!$C$5:$WL$5,"PJ",'P &amp; NP'!$C$2:$WL$2,"KOTA MADIUN")</f>
        <v>0</v>
      </c>
      <c r="BT39" s="519">
        <f>SUMIFS('P &amp; NP'!$C$7:$WL$7,'P &amp; NP'!$C$5:$WL$5,"NPJ",'P &amp; NP'!$C$2:$WL$2,"KOTA MADIUN")</f>
        <v>0</v>
      </c>
      <c r="BU39" s="519">
        <f>SUMIFS('P &amp; NP'!$C$8:$WL$8,'P &amp; NP'!$C$5:$WL$5,"PJ",'P &amp; NP'!$C$2:$WL$2,"KOTA MADIUN")</f>
        <v>0</v>
      </c>
      <c r="BV39" s="519">
        <f>SUMIFS('P &amp; NP'!$C$8:$WL$8,'P &amp; NP'!$C$5:$WL$5,"NPJ",'P &amp; NP'!$C$2:$WL$2,"KOTA MADIUN")</f>
        <v>0</v>
      </c>
      <c r="BW39" s="519">
        <f>SUMIFS('P &amp; NP'!$C$9:$WL$9,'P &amp; NP'!$C$5:$WL$5,"PJ",'P &amp; NP'!$C$2:$WL$2,"KOTA MADIUN")</f>
        <v>0</v>
      </c>
      <c r="BX39" s="519">
        <f>SUMIFS('P &amp; NP'!$C$9:$WL$9,'P &amp; NP'!$C$5:$WL$5,"NPJ",'P &amp; NP'!$C$2:$WL$2,"KOTA MADIUN")</f>
        <v>0</v>
      </c>
      <c r="BY39" s="519">
        <f>SUMIFS('P &amp; NP'!$C$10:$WL$10,'P &amp; NP'!$C$5:$WL$5,"PJ",'P &amp; NP'!$C$2:$WL$2,"KOTA MADIUN")</f>
        <v>0</v>
      </c>
      <c r="BZ39" s="519">
        <f>SUMIFS('P &amp; NP'!$C$10:$WL$10,'P &amp; NP'!$C$5:$WL$5,"NPJ",'P &amp; NP'!$C$2:$WL$2,"KOTA MADIUN")</f>
        <v>0</v>
      </c>
      <c r="CB39" s="502">
        <f t="shared" si="21"/>
        <v>290624.95</v>
      </c>
      <c r="CC39" s="512">
        <f t="shared" si="22"/>
        <v>6407714.6219999995</v>
      </c>
      <c r="CD39" s="519">
        <f t="shared" si="23"/>
        <v>91944.98</v>
      </c>
      <c r="CE39" s="519">
        <f t="shared" si="24"/>
        <v>2034943.4</v>
      </c>
      <c r="CF39" s="519">
        <f t="shared" si="25"/>
        <v>82789.97</v>
      </c>
      <c r="CG39" s="519">
        <f t="shared" si="26"/>
        <v>1872530.2220000001</v>
      </c>
      <c r="CH39" s="519">
        <f t="shared" si="27"/>
        <v>55365</v>
      </c>
      <c r="CI39" s="519">
        <f t="shared" si="28"/>
        <v>1204346</v>
      </c>
      <c r="CJ39" s="519">
        <f t="shared" si="29"/>
        <v>60525</v>
      </c>
      <c r="CK39" s="519">
        <f t="shared" si="30"/>
        <v>1295895</v>
      </c>
    </row>
    <row r="40" spans="1:89">
      <c r="A40" s="509"/>
      <c r="B40" s="484" t="s">
        <v>143</v>
      </c>
      <c r="C40" s="502">
        <f t="shared" si="8"/>
        <v>0</v>
      </c>
      <c r="D40" s="512">
        <f t="shared" si="9"/>
        <v>0</v>
      </c>
      <c r="E40" s="519">
        <f>SUMIFS('P &amp; NP'!$C$7:$WL$7,'P &amp; NP'!$C$5:$WL$5,"PL",'P &amp; NP'!$C$2:$WL$2,"KOTA MALANG")</f>
        <v>0</v>
      </c>
      <c r="F40" s="519">
        <f>SUMIFS('P &amp; NP'!$C$7:$WL$7,'P &amp; NP'!$C$5:$WL$5,"NPL",'P &amp; NP'!$C$2:$WL$2,"KOTA MALANG")</f>
        <v>0</v>
      </c>
      <c r="G40" s="519">
        <f>SUMIFS('P &amp; NP'!$C$8:$WL$8,'P &amp; NP'!$C$5:$WL$5,"PL",'P &amp; NP'!$C$2:$WL$2,"KOTA MALANG")</f>
        <v>0</v>
      </c>
      <c r="H40" s="519">
        <f>SUMIFS('P &amp; NP'!$C$8:$WL$8,'P &amp; NP'!$C$5:$WL$5,"NPL",'P &amp; NP'!$C$2:$WL$2,"KOTA MALANG")</f>
        <v>0</v>
      </c>
      <c r="I40" s="519">
        <f>SUMIFS('P &amp; NP'!$C$9:$WL$9,'P &amp; NP'!$C$5:$WL$5,"PL",'P &amp; NP'!$C$2:$WL$2,"KOTA MALANG")</f>
        <v>0</v>
      </c>
      <c r="J40" s="519">
        <f>SUMIFS('P &amp; NP'!$C$9:$WL$9,'P &amp; NP'!$C$5:$WL$5,"NPL",'P &amp; NP'!$C$2:$WL$2,"KOTA MALANG")</f>
        <v>0</v>
      </c>
      <c r="K40" s="519">
        <f>SUMIFS('P &amp; NP'!$C$10:$WL$10,'P &amp; NP'!$C$5:$WL$5,"PL",'P &amp; NP'!$C$2:$WL$2,"KOTA MALANG")</f>
        <v>0</v>
      </c>
      <c r="L40" s="519">
        <f>SUMIFS('P &amp; NP'!$C$10:$WL$10,'P &amp; NP'!$C$5:$WL$5,"NPL",'P &amp; NP'!$C$2:$WL$2,"KOTA MALANG")</f>
        <v>0</v>
      </c>
      <c r="N40" s="502">
        <f t="shared" si="10"/>
        <v>0</v>
      </c>
      <c r="O40" s="512">
        <f t="shared" si="11"/>
        <v>0</v>
      </c>
      <c r="P40" s="519">
        <f>SUMIFS('P &amp; NP'!$C$7:$WL$7,'P &amp; NP'!$C$5:$WL$5,"PT",'P &amp; NP'!$C$2:$WL$2,"KOTA MALANG")</f>
        <v>0</v>
      </c>
      <c r="Q40" s="519">
        <f>SUMIFS('P &amp; NP'!$C$7:$WL$7,'P &amp; NP'!$C$5:$WL$5,"NPT",'P &amp; NP'!$C$2:$WL$2,"KOTA MALANG")</f>
        <v>0</v>
      </c>
      <c r="R40" s="519">
        <f>SUMIFS('P &amp; NP'!$C$8:$WL$8,'P &amp; NP'!$C$5:$WL$5,"PT",'P &amp; NP'!$C$2:$WL$2,"KOTA MALANG")</f>
        <v>0</v>
      </c>
      <c r="S40" s="519">
        <f>SUMIFS('P &amp; NP'!$C$8:$WL$8,'P &amp; NP'!$C$5:$WL$5,"NPT",'P &amp; NP'!$C$2:$WL$2,"KOTA MALANG")</f>
        <v>0</v>
      </c>
      <c r="T40" s="519">
        <f>SUMIFS('P &amp; NP'!$C$9:$WL$9,'P &amp; NP'!$C$5:$WL$5,"PT",'P &amp; NP'!$C$2:$WL$2,"KOTA MALANG")</f>
        <v>0</v>
      </c>
      <c r="U40" s="519">
        <f>SUMIFS('P &amp; NP'!$C$9:$WL$9,'P &amp; NP'!$C$5:$WL$5,"NPT",'P &amp; NP'!$C$2:$WL$2,"KOTA MALANG")</f>
        <v>0</v>
      </c>
      <c r="V40" s="519">
        <f>SUMIFS('P &amp; NP'!$C$10:$WL$10,'P &amp; NP'!$C$5:$WL$5,"PT",'P &amp; NP'!$C$2:$WL$2,"KOTA MALANG")</f>
        <v>0</v>
      </c>
      <c r="W40" s="519">
        <f>SUMIFS('P &amp; NP'!$C$10:$WL$10,'P &amp; NP'!$C$5:$WL$5,"NPT",'P &amp; NP'!$C$2:$WL$2,"KOTA MALANG")</f>
        <v>0</v>
      </c>
      <c r="Y40" s="502">
        <f ca="1">SUMIF(AA$5:$AH38,$Y$1,AA40:AH40)</f>
        <v>0</v>
      </c>
      <c r="Z40" s="512">
        <f t="shared" si="12"/>
        <v>0</v>
      </c>
      <c r="AA40" s="519">
        <f>SUMIFS('P &amp; NP'!$C$7:$WL$7,'P &amp; NP'!$C$5:$WL$5,"PS",'P &amp; NP'!$C$2:$WL$2,"KOTA MALANG")</f>
        <v>0</v>
      </c>
      <c r="AB40" s="519">
        <f>SUMIFS('P &amp; NP'!$C$7:$WL$7,'P &amp; NP'!$C$5:$WL$5,"NPS",'P &amp; NP'!$C$2:$WL$2,"KOTA MALANG")</f>
        <v>0</v>
      </c>
      <c r="AC40" s="519">
        <f>SUMIFS('P &amp; NP'!$C$8:$WL$8,'P &amp; NP'!$C$5:$WL$5,"PS",'P &amp; NP'!$C$2:$WL$2,"KOTA MALANG")</f>
        <v>0</v>
      </c>
      <c r="AD40" s="519">
        <f>SUMIFS('P &amp; NP'!$C$8:$WL$8,'P &amp; NP'!$C$5:$WL$5,"NPS",'P &amp; NP'!$C$2:$WL$2,"KOTA MALANG")</f>
        <v>0</v>
      </c>
      <c r="AE40" s="519">
        <f>SUMIFS('P &amp; NP'!$C$9:$WL$9,'P &amp; NP'!$C$5:$WL$5,"PS",'P &amp; NP'!$C$2:$WL$2,"KOTA MALANG")</f>
        <v>0</v>
      </c>
      <c r="AF40" s="519">
        <f>SUMIFS('P &amp; NP'!$C$9:$WL$9,'P &amp; NP'!$C$5:$WL$5,"NPS",'P &amp; NP'!$C$2:$WL$2,"KOTA MALANG")</f>
        <v>0</v>
      </c>
      <c r="AG40" s="519">
        <f>SUMIFS('P &amp; NP'!$C$10:$WL$10,'P &amp; NP'!$C$5:$WL$5,"PS",'P &amp; NP'!$C$2:$WL$2,"KOTA MALANG")</f>
        <v>0</v>
      </c>
      <c r="AH40" s="519">
        <f>SUMIFS('P &amp; NP'!$C$10:$WL$10,'P &amp; NP'!$C$5:$WL$5,"NPS",'P &amp; NP'!$C$2:$WL$2,"KOTA MALANG")</f>
        <v>0</v>
      </c>
      <c r="AJ40" s="502">
        <f t="shared" si="13"/>
        <v>143400</v>
      </c>
      <c r="AK40" s="512">
        <f t="shared" si="14"/>
        <v>2955300</v>
      </c>
      <c r="AL40" s="519">
        <f>SUMIFS('P &amp; NP'!$C$7:$WL$7,'P &amp; NP'!$C$5:$WL$5,"PK",'P &amp; NP'!$C$2:$WL$2,"KOTA MALANG")</f>
        <v>44500</v>
      </c>
      <c r="AM40" s="519">
        <f>SUMIFS('P &amp; NP'!$C$7:$WL$7,'P &amp; NP'!$C$5:$WL$5,"NPK",'P &amp; NP'!$C$2:$WL$2,"KOTA MALANG")</f>
        <v>932500</v>
      </c>
      <c r="AN40" s="519">
        <f>SUMIFS('P &amp; NP'!$C$8:$WL$8,'P &amp; NP'!$C$5:$WL$5,"PK",'P &amp; NP'!$C$2:$WL$2,"KOTA MALANG")</f>
        <v>30600</v>
      </c>
      <c r="AO40" s="519">
        <f>SUMIFS('P &amp; NP'!$C$8:$WL$8,'P &amp; NP'!$C$5:$WL$5,"NPK",'P &amp; NP'!$C$2:$WL$2,"KOTA MALANG")</f>
        <v>631800</v>
      </c>
      <c r="AP40" s="519">
        <f>SUMIFS('P &amp; NP'!$C$9:$WL$9,'P &amp; NP'!$C$5:$WL$5,"PK",'P &amp; NP'!$C$2:$WL$2,"KOTA MALANG")</f>
        <v>22800</v>
      </c>
      <c r="AQ40" s="519">
        <f>SUMIFS('P &amp; NP'!$C$9:$WL$9,'P &amp; NP'!$C$5:$WL$5,"NPK",'P &amp; NP'!$C$2:$WL$2,"KOTA MALANG")</f>
        <v>462000</v>
      </c>
      <c r="AR40" s="519">
        <f>SUMIFS('P &amp; NP'!$C$10:$WL$10,'P &amp; NP'!$C$5:$WL$5,"PK",'P &amp; NP'!$C$2:$WL$2,"KOTA MALANG")</f>
        <v>45500</v>
      </c>
      <c r="AS40" s="519">
        <f>SUMIFS('P &amp; NP'!$C$10:$WL$10,'P &amp; NP'!$C$5:$WL$5,"NPK",'P &amp; NP'!$C$2:$WL$2,"KOTA MALANG")</f>
        <v>929000</v>
      </c>
      <c r="AU40" s="502">
        <f t="shared" si="15"/>
        <v>0</v>
      </c>
      <c r="AV40" s="512">
        <f t="shared" si="16"/>
        <v>0</v>
      </c>
      <c r="AW40" s="519">
        <f>SUMIFS('P &amp; NP'!$C$7:$WL$7,'P &amp; NP'!$C$5:$WL$5,"PM",'P &amp; NP'!$C$2:$WL$2,"KOTA MALANG")</f>
        <v>0</v>
      </c>
      <c r="AX40" s="519">
        <f>SUMIFS('P &amp; NP'!$C$7:$WL$7,'P &amp; NP'!$C$5:$WL$5,"NPM",'P &amp; NP'!$C$2:$WL$2,"KOTA MALANG")</f>
        <v>0</v>
      </c>
      <c r="AY40" s="519">
        <f>SUMIFS('P &amp; NP'!$C$8:$WL$8,'P &amp; NP'!$C$5:$WL$5,"PM",'P &amp; NP'!$C$2:$WL$2,"KOTA MALANG")</f>
        <v>0</v>
      </c>
      <c r="AZ40" s="519">
        <f>SUMIFS('P &amp; NP'!$C$8:$WL$8,'P &amp; NP'!$C$5:$WL$5,"NPM",'P &amp; NP'!$C$2:$WL$2,"KOTA MALANG")</f>
        <v>0</v>
      </c>
      <c r="BA40" s="519">
        <f>SUMIFS('P &amp; NP'!$C$9:$WL$9,'P &amp; NP'!$C$5:$WL$5,"PM",'P &amp; NP'!$C$2:$WL$2,"KOTA MALANG")</f>
        <v>0</v>
      </c>
      <c r="BB40" s="519">
        <f>SUMIFS('P &amp; NP'!$C$9:$WL$9,'P &amp; NP'!$C$5:$WL$5,"NPM",'P &amp; NP'!$C$2:$WL$2,"KOTA MALANG")</f>
        <v>0</v>
      </c>
      <c r="BC40" s="519">
        <f>SUMIFS('P &amp; NP'!$C$10:$WL$10,'P &amp; NP'!$C$5:$WL$5,"PM",'P &amp; NP'!$C$2:$WL$2,"KOTA MALANG")</f>
        <v>0</v>
      </c>
      <c r="BD40" s="519">
        <f>SUMIFS('P &amp; NP'!$C$10:$WL$10,'P &amp; NP'!$C$5:$WL$5,"NPM",'P &amp; NP'!$C$2:$WL$2,"KOTA MALANG")</f>
        <v>0</v>
      </c>
      <c r="BF40" s="502">
        <f t="shared" si="17"/>
        <v>18600</v>
      </c>
      <c r="BG40" s="512">
        <f t="shared" si="18"/>
        <v>596250</v>
      </c>
      <c r="BH40" s="519">
        <f>SUMIFS('P &amp; NP'!$C$7:$WL$7,'P &amp; NP'!$C$5:$WL$5,"PB",'P &amp; NP'!$C$2:$WL$2,"KOTA MALANG")</f>
        <v>2500</v>
      </c>
      <c r="BI40" s="519">
        <f>SUMIFS('P &amp; NP'!$C$7:$WL$7,'P &amp; NP'!$C$5:$WL$5,"NPB",'P &amp; NP'!$C$2:$WL$2,"KOTA MALANG")</f>
        <v>80750</v>
      </c>
      <c r="BJ40" s="519">
        <f>SUMIFS('P &amp; NP'!$C$8:$WL$8,'P &amp; NP'!$C$5:$WL$5,"PB",'P &amp; NP'!$C$2:$WL$2,"KOTA MALANG")</f>
        <v>4400</v>
      </c>
      <c r="BK40" s="519">
        <f>SUMIFS('P &amp; NP'!$C$8:$WL$8,'P &amp; NP'!$C$5:$WL$5,"NPB",'P &amp; NP'!$C$2:$WL$2,"KOTA MALANG")</f>
        <v>143000</v>
      </c>
      <c r="BL40" s="519">
        <f>SUMIFS('P &amp; NP'!$C$9:$WL$9,'P &amp; NP'!$C$5:$WL$5,"PB",'P &amp; NP'!$C$2:$WL$2,"KOTA MALANG")</f>
        <v>2200</v>
      </c>
      <c r="BM40" s="519">
        <f>SUMIFS('P &amp; NP'!$C$9:$WL$9,'P &amp; NP'!$C$5:$WL$5,"NPB",'P &amp; NP'!$C$2:$WL$2,"KOTA MALANG")</f>
        <v>72500</v>
      </c>
      <c r="BN40" s="519">
        <f>SUMIFS('P &amp; NP'!$C$10:$WL$10,'P &amp; NP'!$C$5:$WL$5,"PB",'P &amp; NP'!$C$2:$WL$2,"KOTA MALANG")</f>
        <v>9500</v>
      </c>
      <c r="BO40" s="519">
        <f>SUMIFS('P &amp; NP'!$C$10:$WL$10,'P &amp; NP'!$C$5:$WL$5,"NPB",'P &amp; NP'!$C$2:$WL$2,"KOTA MALANG")</f>
        <v>300000</v>
      </c>
      <c r="BQ40" s="502">
        <f t="shared" si="19"/>
        <v>0</v>
      </c>
      <c r="BR40" s="512">
        <f t="shared" si="20"/>
        <v>0</v>
      </c>
      <c r="BS40" s="519">
        <f>SUMIFS('P &amp; NP'!$C$7:$WL$7,'P &amp; NP'!$C$5:$WL$5,"PJ",'P &amp; NP'!$C$2:$WL$2,"KOTA MALANG")</f>
        <v>0</v>
      </c>
      <c r="BT40" s="519">
        <f>SUMIFS('P &amp; NP'!$C$7:$WL$7,'P &amp; NP'!$C$5:$WL$5,"NPJ",'P &amp; NP'!$C$2:$WL$2,"KOTA MALANG")</f>
        <v>0</v>
      </c>
      <c r="BU40" s="519">
        <f>SUMIFS('P &amp; NP'!$C$8:$WL$8,'P &amp; NP'!$C$5:$WL$5,"PJ",'P &amp; NP'!$C$2:$WL$2,"KOTA MALANG")</f>
        <v>0</v>
      </c>
      <c r="BV40" s="519">
        <f>SUMIFS('P &amp; NP'!$C$8:$WL$8,'P &amp; NP'!$C$5:$WL$5,"NPJ",'P &amp; NP'!$C$2:$WL$2,"KOTA MALANG")</f>
        <v>0</v>
      </c>
      <c r="BW40" s="519">
        <f>SUMIFS('P &amp; NP'!$C$9:$WL$9,'P &amp; NP'!$C$5:$WL$5,"PJ",'P &amp; NP'!$C$2:$WL$2,"KOTA MALANG")</f>
        <v>0</v>
      </c>
      <c r="BX40" s="519">
        <f>SUMIFS('P &amp; NP'!$C$9:$WL$9,'P &amp; NP'!$C$5:$WL$5,"NPJ",'P &amp; NP'!$C$2:$WL$2,"KOTA MALANG")</f>
        <v>0</v>
      </c>
      <c r="BY40" s="519">
        <f>SUMIFS('P &amp; NP'!$C$10:$WL$10,'P &amp; NP'!$C$5:$WL$5,"PJ",'P &amp; NP'!$C$2:$WL$2,"KOTA MALANG")</f>
        <v>0</v>
      </c>
      <c r="BZ40" s="519">
        <f>SUMIFS('P &amp; NP'!$C$10:$WL$10,'P &amp; NP'!$C$5:$WL$5,"NPJ",'P &amp; NP'!$C$2:$WL$2,"KOTA MALANG")</f>
        <v>0</v>
      </c>
      <c r="CB40" s="502">
        <f t="shared" si="21"/>
        <v>162000</v>
      </c>
      <c r="CC40" s="512">
        <f t="shared" si="22"/>
        <v>3551550</v>
      </c>
      <c r="CD40" s="519">
        <f t="shared" si="23"/>
        <v>47000</v>
      </c>
      <c r="CE40" s="519">
        <f t="shared" si="24"/>
        <v>1013250</v>
      </c>
      <c r="CF40" s="519">
        <f t="shared" si="25"/>
        <v>35000</v>
      </c>
      <c r="CG40" s="519">
        <f t="shared" si="26"/>
        <v>774800</v>
      </c>
      <c r="CH40" s="519">
        <f t="shared" si="27"/>
        <v>25000</v>
      </c>
      <c r="CI40" s="519">
        <f t="shared" si="28"/>
        <v>534500</v>
      </c>
      <c r="CJ40" s="519">
        <f t="shared" si="29"/>
        <v>55000</v>
      </c>
      <c r="CK40" s="519">
        <f t="shared" si="30"/>
        <v>1229000</v>
      </c>
    </row>
    <row r="41" spans="1:89">
      <c r="A41" s="509"/>
      <c r="B41" s="484" t="s">
        <v>146</v>
      </c>
      <c r="C41" s="502">
        <f t="shared" si="8"/>
        <v>0</v>
      </c>
      <c r="D41" s="512">
        <f t="shared" si="9"/>
        <v>0</v>
      </c>
      <c r="E41" s="519">
        <f>SUMIFS('P &amp; NP'!$C$7:$WL$7,'P &amp; NP'!$C$5:$WL$5,"PL",'P &amp; NP'!$C$2:$WL$2,"KOTA MOJOKERTO")</f>
        <v>0</v>
      </c>
      <c r="F41" s="519">
        <f>SUMIFS('P &amp; NP'!$C$7:$WL$7,'P &amp; NP'!$C$5:$WL$5,"NPL",'P &amp; NP'!$C$2:$WL$2,"KOTA MOJOKERTO")</f>
        <v>0</v>
      </c>
      <c r="G41" s="519">
        <f>SUMIFS('P &amp; NP'!$C$8:$WL$8,'P &amp; NP'!$C$5:$WL$5,"PL",'P &amp; NP'!$C$2:$WL$2,"KOTA MOJOKERTO")</f>
        <v>0</v>
      </c>
      <c r="H41" s="519">
        <f>SUMIFS('P &amp; NP'!$C$8:$WL$8,'P &amp; NP'!$C$5:$WL$5,"NPL",'P &amp; NP'!$C$2:$WL$2,"KOTA MOJOKERTO")</f>
        <v>0</v>
      </c>
      <c r="I41" s="519">
        <f>SUMIFS('P &amp; NP'!$C$9:$WL$9,'P &amp; NP'!$C$5:$WL$5,"PL",'P &amp; NP'!$C$2:$WL$2,"KOTA MOJOKERTO")</f>
        <v>0</v>
      </c>
      <c r="J41" s="519">
        <f>SUMIFS('P &amp; NP'!$C$9:$WL$9,'P &amp; NP'!$C$5:$WL$5,"NPL",'P &amp; NP'!$C$2:$WL$2,"KOTA MOJOKERTO")</f>
        <v>0</v>
      </c>
      <c r="K41" s="519">
        <f>SUMIFS('P &amp; NP'!$C$10:$WL$10,'P &amp; NP'!$C$5:$WL$5,"PL",'P &amp; NP'!$C$2:$WL$2,"KOTA MOJOKERTO")</f>
        <v>0</v>
      </c>
      <c r="L41" s="519">
        <f>SUMIFS('P &amp; NP'!$C$10:$WL$10,'P &amp; NP'!$C$5:$WL$5,"NPL",'P &amp; NP'!$C$2:$WL$2,"KOTA MOJOKERTO")</f>
        <v>0</v>
      </c>
      <c r="N41" s="502">
        <f t="shared" si="10"/>
        <v>0</v>
      </c>
      <c r="O41" s="512">
        <f t="shared" si="11"/>
        <v>0</v>
      </c>
      <c r="P41" s="519">
        <f>SUMIFS('P &amp; NP'!$C$7:$WL$7,'P &amp; NP'!$C$5:$WL$5,"PT",'P &amp; NP'!$C$2:$WL$2,"KOTA MOJOKERTO")</f>
        <v>0</v>
      </c>
      <c r="Q41" s="519">
        <f>SUMIFS('P &amp; NP'!$C$7:$WL$7,'P &amp; NP'!$C$5:$WL$5,"NPT",'P &amp; NP'!$C$2:$WL$2,"KOTA MOJOKERTO")</f>
        <v>0</v>
      </c>
      <c r="R41" s="519">
        <f>SUMIFS('P &amp; NP'!$C$8:$WL$8,'P &amp; NP'!$C$5:$WL$5,"PT",'P &amp; NP'!$C$2:$WL$2,"KOTA MOJOKERTO")</f>
        <v>0</v>
      </c>
      <c r="S41" s="519">
        <f>SUMIFS('P &amp; NP'!$C$8:$WL$8,'P &amp; NP'!$C$5:$WL$5,"NPT",'P &amp; NP'!$C$2:$WL$2,"KOTA MOJOKERTO")</f>
        <v>0</v>
      </c>
      <c r="T41" s="519">
        <f>SUMIFS('P &amp; NP'!$C$9:$WL$9,'P &amp; NP'!$C$5:$WL$5,"PT",'P &amp; NP'!$C$2:$WL$2,"KOTA MOJOKERTO")</f>
        <v>0</v>
      </c>
      <c r="U41" s="519">
        <f>SUMIFS('P &amp; NP'!$C$9:$WL$9,'P &amp; NP'!$C$5:$WL$5,"NPT",'P &amp; NP'!$C$2:$WL$2,"KOTA MOJOKERTO")</f>
        <v>0</v>
      </c>
      <c r="V41" s="519">
        <f>SUMIFS('P &amp; NP'!$C$10:$WL$10,'P &amp; NP'!$C$5:$WL$5,"PT",'P &amp; NP'!$C$2:$WL$2,"KOTA MOJOKERTO")</f>
        <v>0</v>
      </c>
      <c r="W41" s="519">
        <f>SUMIFS('P &amp; NP'!$C$10:$WL$10,'P &amp; NP'!$C$5:$WL$5,"NPT",'P &amp; NP'!$C$2:$WL$2,"KOTA MOJOKERTO")</f>
        <v>0</v>
      </c>
      <c r="Y41" s="502">
        <f ca="1">SUMIF(AA$5:$AH39,$Y$1,AA41:AH41)</f>
        <v>0</v>
      </c>
      <c r="Z41" s="512">
        <f t="shared" si="12"/>
        <v>0</v>
      </c>
      <c r="AA41" s="519">
        <f>SUMIFS('P &amp; NP'!$C$7:$WL$7,'P &amp; NP'!$C$5:$WL$5,"PS",'P &amp; NP'!$C$2:$WL$2,"KOTA MOJOKERTO")</f>
        <v>0</v>
      </c>
      <c r="AB41" s="519">
        <f>SUMIFS('P &amp; NP'!$C$7:$WL$7,'P &amp; NP'!$C$5:$WL$5,"NPS",'P &amp; NP'!$C$2:$WL$2,"KOTA MOJOKERTO")</f>
        <v>0</v>
      </c>
      <c r="AC41" s="519">
        <f>SUMIFS('P &amp; NP'!$C$8:$WL$8,'P &amp; NP'!$C$5:$WL$5,"PS",'P &amp; NP'!$C$2:$WL$2,"KOTA MOJOKERTO")</f>
        <v>0</v>
      </c>
      <c r="AD41" s="519">
        <f>SUMIFS('P &amp; NP'!$C$8:$WL$8,'P &amp; NP'!$C$5:$WL$5,"NPS",'P &amp; NP'!$C$2:$WL$2,"KOTA MOJOKERTO")</f>
        <v>0</v>
      </c>
      <c r="AE41" s="519">
        <f>SUMIFS('P &amp; NP'!$C$9:$WL$9,'P &amp; NP'!$C$5:$WL$5,"PS",'P &amp; NP'!$C$2:$WL$2,"KOTA MOJOKERTO")</f>
        <v>0</v>
      </c>
      <c r="AF41" s="519">
        <f>SUMIFS('P &amp; NP'!$C$9:$WL$9,'P &amp; NP'!$C$5:$WL$5,"NPS",'P &amp; NP'!$C$2:$WL$2,"KOTA MOJOKERTO")</f>
        <v>0</v>
      </c>
      <c r="AG41" s="519">
        <f>SUMIFS('P &amp; NP'!$C$10:$WL$10,'P &amp; NP'!$C$5:$WL$5,"PS",'P &amp; NP'!$C$2:$WL$2,"KOTA MOJOKERTO")</f>
        <v>0</v>
      </c>
      <c r="AH41" s="519">
        <f>SUMIFS('P &amp; NP'!$C$10:$WL$10,'P &amp; NP'!$C$5:$WL$5,"NPS",'P &amp; NP'!$C$2:$WL$2,"KOTA MOJOKERTO")</f>
        <v>0</v>
      </c>
      <c r="AJ41" s="502">
        <f t="shared" si="13"/>
        <v>228711</v>
      </c>
      <c r="AK41" s="512">
        <f t="shared" si="14"/>
        <v>4188392.0039999997</v>
      </c>
      <c r="AL41" s="519">
        <f>SUMIFS('P &amp; NP'!$C$7:$WL$7,'P &amp; NP'!$C$5:$WL$5,"PK",'P &amp; NP'!$C$2:$WL$2,"KOTA MOJOKERTO")</f>
        <v>57330</v>
      </c>
      <c r="AM41" s="519">
        <f>SUMIFS('P &amp; NP'!$C$7:$WL$7,'P &amp; NP'!$C$5:$WL$5,"NPK",'P &amp; NP'!$C$2:$WL$2,"KOTA MOJOKERTO")</f>
        <v>1049882.0019999999</v>
      </c>
      <c r="AN41" s="519">
        <f>SUMIFS('P &amp; NP'!$C$8:$WL$8,'P &amp; NP'!$C$5:$WL$5,"PK",'P &amp; NP'!$C$2:$WL$2,"KOTA MOJOKERTO")</f>
        <v>56644</v>
      </c>
      <c r="AO41" s="519">
        <f>SUMIFS('P &amp; NP'!$C$8:$WL$8,'P &amp; NP'!$C$5:$WL$5,"NPK",'P &amp; NP'!$C$2:$WL$2,"KOTA MOJOKERTO")</f>
        <v>1036437.002</v>
      </c>
      <c r="AP41" s="519">
        <f>SUMIFS('P &amp; NP'!$C$9:$WL$9,'P &amp; NP'!$C$5:$WL$5,"PK",'P &amp; NP'!$C$2:$WL$2,"KOTA MOJOKERTO")</f>
        <v>56868</v>
      </c>
      <c r="AQ41" s="519">
        <f>SUMIFS('P &amp; NP'!$C$9:$WL$9,'P &amp; NP'!$C$5:$WL$5,"NPK",'P &amp; NP'!$C$2:$WL$2,"KOTA MOJOKERTO")</f>
        <v>1040735</v>
      </c>
      <c r="AR41" s="519">
        <f>SUMIFS('P &amp; NP'!$C$10:$WL$10,'P &amp; NP'!$C$5:$WL$5,"PK",'P &amp; NP'!$C$2:$WL$2,"KOTA MOJOKERTO")</f>
        <v>57869</v>
      </c>
      <c r="AS41" s="519">
        <f>SUMIFS('P &amp; NP'!$C$10:$WL$10,'P &amp; NP'!$C$5:$WL$5,"NPK",'P &amp; NP'!$C$2:$WL$2,"KOTA MOJOKERTO")</f>
        <v>1061338</v>
      </c>
      <c r="AU41" s="502">
        <f t="shared" si="15"/>
        <v>0</v>
      </c>
      <c r="AV41" s="512">
        <f t="shared" si="16"/>
        <v>0</v>
      </c>
      <c r="AW41" s="519">
        <f>SUMIFS('P &amp; NP'!$C$7:$WL$7,'P &amp; NP'!$C$5:$WL$5,"PM",'P &amp; NP'!$C$2:$WL$2,"KOTA MOJOKERTO")</f>
        <v>0</v>
      </c>
      <c r="AX41" s="519">
        <f>SUMIFS('P &amp; NP'!$C$7:$WL$7,'P &amp; NP'!$C$5:$WL$5,"NPM",'P &amp; NP'!$C$2:$WL$2,"KOTA MOJOKERTO")</f>
        <v>0</v>
      </c>
      <c r="AY41" s="519">
        <f>SUMIFS('P &amp; NP'!$C$8:$WL$8,'P &amp; NP'!$C$5:$WL$5,"PM",'P &amp; NP'!$C$2:$WL$2,"KOTA MOJOKERTO")</f>
        <v>0</v>
      </c>
      <c r="AZ41" s="519">
        <f>SUMIFS('P &amp; NP'!$C$8:$WL$8,'P &amp; NP'!$C$5:$WL$5,"NPM",'P &amp; NP'!$C$2:$WL$2,"KOTA MOJOKERTO")</f>
        <v>0</v>
      </c>
      <c r="BA41" s="519">
        <f>SUMIFS('P &amp; NP'!$C$9:$WL$9,'P &amp; NP'!$C$5:$WL$5,"PM",'P &amp; NP'!$C$2:$WL$2,"KOTA MOJOKERTO")</f>
        <v>0</v>
      </c>
      <c r="BB41" s="519">
        <f>SUMIFS('P &amp; NP'!$C$9:$WL$9,'P &amp; NP'!$C$5:$WL$5,"NPM",'P &amp; NP'!$C$2:$WL$2,"KOTA MOJOKERTO")</f>
        <v>0</v>
      </c>
      <c r="BC41" s="519">
        <f>SUMIFS('P &amp; NP'!$C$10:$WL$10,'P &amp; NP'!$C$5:$WL$5,"PM",'P &amp; NP'!$C$2:$WL$2,"KOTA MOJOKERTO")</f>
        <v>0</v>
      </c>
      <c r="BD41" s="519">
        <f>SUMIFS('P &amp; NP'!$C$10:$WL$10,'P &amp; NP'!$C$5:$WL$5,"NPM",'P &amp; NP'!$C$2:$WL$2,"KOTA MOJOKERTO")</f>
        <v>0</v>
      </c>
      <c r="BF41" s="502">
        <f t="shared" si="17"/>
        <v>0</v>
      </c>
      <c r="BG41" s="512">
        <f t="shared" si="18"/>
        <v>0</v>
      </c>
      <c r="BH41" s="519">
        <f>SUMIFS('P &amp; NP'!$C$7:$WL$7,'P &amp; NP'!$C$5:$WL$5,"PB",'P &amp; NP'!$C$2:$WL$2,"KOTA MOJOKERTO")</f>
        <v>0</v>
      </c>
      <c r="BI41" s="519">
        <f>SUMIFS('P &amp; NP'!$C$7:$WL$7,'P &amp; NP'!$C$5:$WL$5,"NPB",'P &amp; NP'!$C$2:$WL$2,"KOTA MOJOKERTO")</f>
        <v>0</v>
      </c>
      <c r="BJ41" s="519">
        <f>SUMIFS('P &amp; NP'!$C$8:$WL$8,'P &amp; NP'!$C$5:$WL$5,"PB",'P &amp; NP'!$C$2:$WL$2,"KOTA MOJOKERTO")</f>
        <v>0</v>
      </c>
      <c r="BK41" s="519">
        <f>SUMIFS('P &amp; NP'!$C$8:$WL$8,'P &amp; NP'!$C$5:$WL$5,"NPB",'P &amp; NP'!$C$2:$WL$2,"KOTA MOJOKERTO")</f>
        <v>0</v>
      </c>
      <c r="BL41" s="519">
        <f>SUMIFS('P &amp; NP'!$C$9:$WL$9,'P &amp; NP'!$C$5:$WL$5,"PB",'P &amp; NP'!$C$2:$WL$2,"KOTA MOJOKERTO")</f>
        <v>0</v>
      </c>
      <c r="BM41" s="519">
        <f>SUMIFS('P &amp; NP'!$C$9:$WL$9,'P &amp; NP'!$C$5:$WL$5,"NPB",'P &amp; NP'!$C$2:$WL$2,"KOTA MOJOKERTO")</f>
        <v>0</v>
      </c>
      <c r="BN41" s="519">
        <f>SUMIFS('P &amp; NP'!$C$10:$WL$10,'P &amp; NP'!$C$5:$WL$5,"PB",'P &amp; NP'!$C$2:$WL$2,"KOTA MOJOKERTO")</f>
        <v>0</v>
      </c>
      <c r="BO41" s="519">
        <f>SUMIFS('P &amp; NP'!$C$10:$WL$10,'P &amp; NP'!$C$5:$WL$5,"NPB",'P &amp; NP'!$C$2:$WL$2,"KOTA MOJOKERTO")</f>
        <v>0</v>
      </c>
      <c r="BQ41" s="502">
        <f t="shared" si="19"/>
        <v>0</v>
      </c>
      <c r="BR41" s="512">
        <f t="shared" si="20"/>
        <v>0</v>
      </c>
      <c r="BS41" s="519">
        <f>SUMIFS('P &amp; NP'!$C$7:$WL$7,'P &amp; NP'!$C$5:$WL$5,"PJ",'P &amp; NP'!$C$2:$WL$2,"KOTA MOJOKERTO")</f>
        <v>0</v>
      </c>
      <c r="BT41" s="519">
        <f>SUMIFS('P &amp; NP'!$C$7:$WL$7,'P &amp; NP'!$C$5:$WL$5,"NPJ",'P &amp; NP'!$C$2:$WL$2,"KOTA MOJOKERTO")</f>
        <v>0</v>
      </c>
      <c r="BU41" s="519">
        <f>SUMIFS('P &amp; NP'!$C$8:$WL$8,'P &amp; NP'!$C$5:$WL$5,"PJ",'P &amp; NP'!$C$2:$WL$2,"KOTA MOJOKERTO")</f>
        <v>0</v>
      </c>
      <c r="BV41" s="519">
        <f>SUMIFS('P &amp; NP'!$C$8:$WL$8,'P &amp; NP'!$C$5:$WL$5,"NPJ",'P &amp; NP'!$C$2:$WL$2,"KOTA MOJOKERTO")</f>
        <v>0</v>
      </c>
      <c r="BW41" s="519">
        <f>SUMIFS('P &amp; NP'!$C$9:$WL$9,'P &amp; NP'!$C$5:$WL$5,"PJ",'P &amp; NP'!$C$2:$WL$2,"KOTA MOJOKERTO")</f>
        <v>0</v>
      </c>
      <c r="BX41" s="519">
        <f>SUMIFS('P &amp; NP'!$C$9:$WL$9,'P &amp; NP'!$C$5:$WL$5,"NPJ",'P &amp; NP'!$C$2:$WL$2,"KOTA MOJOKERTO")</f>
        <v>0</v>
      </c>
      <c r="BY41" s="519">
        <f>SUMIFS('P &amp; NP'!$C$10:$WL$10,'P &amp; NP'!$C$5:$WL$5,"PJ",'P &amp; NP'!$C$2:$WL$2,"KOTA MOJOKERTO")</f>
        <v>0</v>
      </c>
      <c r="BZ41" s="519">
        <f>SUMIFS('P &amp; NP'!$C$10:$WL$10,'P &amp; NP'!$C$5:$WL$5,"NPJ",'P &amp; NP'!$C$2:$WL$2,"KOTA MOJOKERTO")</f>
        <v>0</v>
      </c>
      <c r="CB41" s="502">
        <f t="shared" si="21"/>
        <v>228711</v>
      </c>
      <c r="CC41" s="512">
        <f t="shared" si="22"/>
        <v>4188392.0039999997</v>
      </c>
      <c r="CD41" s="519">
        <f t="shared" si="23"/>
        <v>57330</v>
      </c>
      <c r="CE41" s="519">
        <f t="shared" si="24"/>
        <v>1049882.0019999999</v>
      </c>
      <c r="CF41" s="519">
        <f t="shared" si="25"/>
        <v>56644</v>
      </c>
      <c r="CG41" s="519">
        <f t="shared" si="26"/>
        <v>1036437.002</v>
      </c>
      <c r="CH41" s="519">
        <f t="shared" si="27"/>
        <v>56868</v>
      </c>
      <c r="CI41" s="519">
        <f t="shared" si="28"/>
        <v>1040735</v>
      </c>
      <c r="CJ41" s="519">
        <f t="shared" si="29"/>
        <v>57869</v>
      </c>
      <c r="CK41" s="519">
        <f t="shared" si="30"/>
        <v>1061338</v>
      </c>
    </row>
    <row r="42" spans="1:89">
      <c r="A42" s="509"/>
      <c r="B42" s="484" t="s">
        <v>145</v>
      </c>
      <c r="C42" s="502">
        <f t="shared" si="8"/>
        <v>0</v>
      </c>
      <c r="D42" s="512">
        <f t="shared" si="9"/>
        <v>0</v>
      </c>
      <c r="E42" s="519">
        <f>SUMIFS('P &amp; NP'!$C$7:$WL$7,'P &amp; NP'!$C$5:$WL$5,"PL",'P &amp; NP'!$C$2:$WL$2,"KOTA PASURUAN")</f>
        <v>0</v>
      </c>
      <c r="F42" s="519">
        <f>SUMIFS('P &amp; NP'!$C$7:$WL$7,'P &amp; NP'!$C$5:$WL$5,"NPL",'P &amp; NP'!$C$2:$WL$2,"KOTA PASURUAN")</f>
        <v>0</v>
      </c>
      <c r="G42" s="519">
        <f>SUMIFS('P &amp; NP'!$C$8:$WL$8,'P &amp; NP'!$C$5:$WL$5,"PL",'P &amp; NP'!$C$2:$WL$2,"KOTA PASURUAN")</f>
        <v>0</v>
      </c>
      <c r="H42" s="519">
        <f>SUMIFS('P &amp; NP'!$C$8:$WL$8,'P &amp; NP'!$C$5:$WL$5,"NPL",'P &amp; NP'!$C$2:$WL$2,"KOTA PASURUAN")</f>
        <v>0</v>
      </c>
      <c r="I42" s="519">
        <f>SUMIFS('P &amp; NP'!$C$9:$WL$9,'P &amp; NP'!$C$5:$WL$5,"PL",'P &amp; NP'!$C$2:$WL$2,"KOTA PASURUAN")</f>
        <v>0</v>
      </c>
      <c r="J42" s="519">
        <f>SUMIFS('P &amp; NP'!$C$9:$WL$9,'P &amp; NP'!$C$5:$WL$5,"NPL",'P &amp; NP'!$C$2:$WL$2,"KOTA PASURUAN")</f>
        <v>0</v>
      </c>
      <c r="K42" s="519">
        <f>SUMIFS('P &amp; NP'!$C$10:$WL$10,'P &amp; NP'!$C$5:$WL$5,"PL",'P &amp; NP'!$C$2:$WL$2,"KOTA PASURUAN")</f>
        <v>0</v>
      </c>
      <c r="L42" s="519">
        <f>SUMIFS('P &amp; NP'!$C$10:$WL$10,'P &amp; NP'!$C$5:$WL$5,"NPL",'P &amp; NP'!$C$2:$WL$2,"KOTA PASURUAN")</f>
        <v>0</v>
      </c>
      <c r="N42" s="502">
        <f t="shared" si="10"/>
        <v>2627052</v>
      </c>
      <c r="O42" s="512">
        <f t="shared" si="11"/>
        <v>22829529</v>
      </c>
      <c r="P42" s="519">
        <f>SUMIFS('P &amp; NP'!$C$7:$WL$7,'P &amp; NP'!$C$5:$WL$5,"PT",'P &amp; NP'!$C$2:$WL$2,"KOTA PASURUAN")</f>
        <v>643783</v>
      </c>
      <c r="Q42" s="519">
        <f>SUMIFS('P &amp; NP'!$C$7:$WL$7,'P &amp; NP'!$C$5:$WL$5,"NPT",'P &amp; NP'!$C$2:$WL$2,"KOTA PASURUAN")</f>
        <v>5615728</v>
      </c>
      <c r="R42" s="519">
        <f>SUMIFS('P &amp; NP'!$C$8:$WL$8,'P &amp; NP'!$C$5:$WL$5,"PT",'P &amp; NP'!$C$2:$WL$2,"KOTA PASURUAN")</f>
        <v>648319</v>
      </c>
      <c r="S42" s="519">
        <f>SUMIFS('P &amp; NP'!$C$8:$WL$8,'P &amp; NP'!$C$5:$WL$5,"NPT",'P &amp; NP'!$C$2:$WL$2,"KOTA PASURUAN")</f>
        <v>5826384</v>
      </c>
      <c r="T42" s="519">
        <f>SUMIFS('P &amp; NP'!$C$9:$WL$9,'P &amp; NP'!$C$5:$WL$5,"PT",'P &amp; NP'!$C$2:$WL$2,"KOTA PASURUAN")</f>
        <v>730900</v>
      </c>
      <c r="U42" s="519">
        <f>SUMIFS('P &amp; NP'!$C$9:$WL$9,'P &amp; NP'!$C$5:$WL$5,"NPT",'P &amp; NP'!$C$2:$WL$2,"KOTA PASURUAN")</f>
        <v>5333417</v>
      </c>
      <c r="V42" s="519">
        <f>SUMIFS('P &amp; NP'!$C$10:$WL$10,'P &amp; NP'!$C$5:$WL$5,"PT",'P &amp; NP'!$C$2:$WL$2,"KOTA PASURUAN")</f>
        <v>604050</v>
      </c>
      <c r="W42" s="519">
        <f>SUMIFS('P &amp; NP'!$C$10:$WL$10,'P &amp; NP'!$C$5:$WL$5,"NPT",'P &amp; NP'!$C$2:$WL$2,"KOTA PASURUAN")</f>
        <v>6054000</v>
      </c>
      <c r="Y42" s="502">
        <f ca="1">SUMIF(AA$5:$AH40,$Y$1,AA42:AH42)</f>
        <v>0</v>
      </c>
      <c r="Z42" s="512">
        <f t="shared" si="12"/>
        <v>0</v>
      </c>
      <c r="AA42" s="519">
        <f>SUMIFS('P &amp; NP'!$C$7:$WL$7,'P &amp; NP'!$C$5:$WL$5,"PS",'P &amp; NP'!$C$2:$WL$2,"KOTA PASURUAN")</f>
        <v>0</v>
      </c>
      <c r="AB42" s="519">
        <f>SUMIFS('P &amp; NP'!$C$7:$WL$7,'P &amp; NP'!$C$5:$WL$5,"NPS",'P &amp; NP'!$C$2:$WL$2,"KOTA PASURUAN")</f>
        <v>0</v>
      </c>
      <c r="AC42" s="519">
        <f>SUMIFS('P &amp; NP'!$C$8:$WL$8,'P &amp; NP'!$C$5:$WL$5,"PS",'P &amp; NP'!$C$2:$WL$2,"KOTA PASURUAN")</f>
        <v>0</v>
      </c>
      <c r="AD42" s="519">
        <f>SUMIFS('P &amp; NP'!$C$8:$WL$8,'P &amp; NP'!$C$5:$WL$5,"NPS",'P &amp; NP'!$C$2:$WL$2,"KOTA PASURUAN")</f>
        <v>0</v>
      </c>
      <c r="AE42" s="519">
        <f>SUMIFS('P &amp; NP'!$C$9:$WL$9,'P &amp; NP'!$C$5:$WL$5,"PS",'P &amp; NP'!$C$2:$WL$2,"KOTA PASURUAN")</f>
        <v>0</v>
      </c>
      <c r="AF42" s="519">
        <f>SUMIFS('P &amp; NP'!$C$9:$WL$9,'P &amp; NP'!$C$5:$WL$5,"NPS",'P &amp; NP'!$C$2:$WL$2,"KOTA PASURUAN")</f>
        <v>0</v>
      </c>
      <c r="AG42" s="519">
        <f>SUMIFS('P &amp; NP'!$C$10:$WL$10,'P &amp; NP'!$C$5:$WL$5,"PS",'P &amp; NP'!$C$2:$WL$2,"KOTA PASURUAN")</f>
        <v>0</v>
      </c>
      <c r="AH42" s="519">
        <f>SUMIFS('P &amp; NP'!$C$10:$WL$10,'P &amp; NP'!$C$5:$WL$5,"NPS",'P &amp; NP'!$C$2:$WL$2,"KOTA PASURUAN")</f>
        <v>0</v>
      </c>
      <c r="AJ42" s="502">
        <f t="shared" si="13"/>
        <v>35863</v>
      </c>
      <c r="AK42" s="512">
        <f t="shared" si="14"/>
        <v>689827</v>
      </c>
      <c r="AL42" s="519">
        <f>SUMIFS('P &amp; NP'!$C$7:$WL$7,'P &amp; NP'!$C$5:$WL$5,"PK",'P &amp; NP'!$C$2:$WL$2,"KOTA PASURUAN")</f>
        <v>12483</v>
      </c>
      <c r="AM42" s="519">
        <f>SUMIFS('P &amp; NP'!$C$7:$WL$7,'P &amp; NP'!$C$5:$WL$5,"NPK",'P &amp; NP'!$C$2:$WL$2,"KOTA PASURUAN")</f>
        <v>237267</v>
      </c>
      <c r="AN42" s="519">
        <f>SUMIFS('P &amp; NP'!$C$8:$WL$8,'P &amp; NP'!$C$5:$WL$5,"PK",'P &amp; NP'!$C$2:$WL$2,"KOTA PASURUAN")</f>
        <v>10423</v>
      </c>
      <c r="AO42" s="519">
        <f>SUMIFS('P &amp; NP'!$C$8:$WL$8,'P &amp; NP'!$C$5:$WL$5,"NPK",'P &amp; NP'!$C$2:$WL$2,"KOTA PASURUAN")</f>
        <v>204960</v>
      </c>
      <c r="AP42" s="519">
        <f>SUMIFS('P &amp; NP'!$C$9:$WL$9,'P &amp; NP'!$C$5:$WL$5,"PK",'P &amp; NP'!$C$2:$WL$2,"KOTA PASURUAN")</f>
        <v>5277</v>
      </c>
      <c r="AQ42" s="519">
        <f>SUMIFS('P &amp; NP'!$C$9:$WL$9,'P &amp; NP'!$C$5:$WL$5,"NPK",'P &amp; NP'!$C$2:$WL$2,"KOTA PASURUAN")</f>
        <v>101680</v>
      </c>
      <c r="AR42" s="519">
        <f>SUMIFS('P &amp; NP'!$C$10:$WL$10,'P &amp; NP'!$C$5:$WL$5,"PK",'P &amp; NP'!$C$2:$WL$2,"KOTA PASURUAN")</f>
        <v>7680</v>
      </c>
      <c r="AS42" s="519">
        <f>SUMIFS('P &amp; NP'!$C$10:$WL$10,'P &amp; NP'!$C$5:$WL$5,"NPK",'P &amp; NP'!$C$2:$WL$2,"KOTA PASURUAN")</f>
        <v>145920</v>
      </c>
      <c r="AU42" s="502">
        <f t="shared" si="15"/>
        <v>0</v>
      </c>
      <c r="AV42" s="512">
        <f t="shared" si="16"/>
        <v>0</v>
      </c>
      <c r="AW42" s="519">
        <f>SUMIFS('P &amp; NP'!$C$7:$WL$7,'P &amp; NP'!$C$5:$WL$5,"PM",'P &amp; NP'!$C$2:$WL$2,"KOTA PASURUAN")</f>
        <v>0</v>
      </c>
      <c r="AX42" s="519">
        <f>SUMIFS('P &amp; NP'!$C$7:$WL$7,'P &amp; NP'!$C$5:$WL$5,"NPM",'P &amp; NP'!$C$2:$WL$2,"KOTA PASURUAN")</f>
        <v>0</v>
      </c>
      <c r="AY42" s="519">
        <f>SUMIFS('P &amp; NP'!$C$8:$WL$8,'P &amp; NP'!$C$5:$WL$5,"PM",'P &amp; NP'!$C$2:$WL$2,"KOTA PASURUAN")</f>
        <v>0</v>
      </c>
      <c r="AZ42" s="519">
        <f>SUMIFS('P &amp; NP'!$C$8:$WL$8,'P &amp; NP'!$C$5:$WL$5,"NPM",'P &amp; NP'!$C$2:$WL$2,"KOTA PASURUAN")</f>
        <v>0</v>
      </c>
      <c r="BA42" s="519">
        <f>SUMIFS('P &amp; NP'!$C$9:$WL$9,'P &amp; NP'!$C$5:$WL$5,"PM",'P &amp; NP'!$C$2:$WL$2,"KOTA PASURUAN")</f>
        <v>0</v>
      </c>
      <c r="BB42" s="519">
        <f>SUMIFS('P &amp; NP'!$C$9:$WL$9,'P &amp; NP'!$C$5:$WL$5,"NPM",'P &amp; NP'!$C$2:$WL$2,"KOTA PASURUAN")</f>
        <v>0</v>
      </c>
      <c r="BC42" s="519">
        <f>SUMIFS('P &amp; NP'!$C$10:$WL$10,'P &amp; NP'!$C$5:$WL$5,"PM",'P &amp; NP'!$C$2:$WL$2,"KOTA PASURUAN")</f>
        <v>0</v>
      </c>
      <c r="BD42" s="519">
        <f>SUMIFS('P &amp; NP'!$C$10:$WL$10,'P &amp; NP'!$C$5:$WL$5,"NPM",'P &amp; NP'!$C$2:$WL$2,"KOTA PASURUAN")</f>
        <v>0</v>
      </c>
      <c r="BF42" s="502">
        <f t="shared" si="17"/>
        <v>0</v>
      </c>
      <c r="BG42" s="512">
        <f t="shared" si="18"/>
        <v>0</v>
      </c>
      <c r="BH42" s="519">
        <f>SUMIFS('P &amp; NP'!$C$7:$WL$7,'P &amp; NP'!$C$5:$WL$5,"PB",'P &amp; NP'!$C$2:$WL$2,"KOTA PASURUAN")</f>
        <v>0</v>
      </c>
      <c r="BI42" s="519">
        <f>SUMIFS('P &amp; NP'!$C$7:$WL$7,'P &amp; NP'!$C$5:$WL$5,"NPB",'P &amp; NP'!$C$2:$WL$2,"KOTA PASURUAN")</f>
        <v>0</v>
      </c>
      <c r="BJ42" s="519">
        <f>SUMIFS('P &amp; NP'!$C$8:$WL$8,'P &amp; NP'!$C$5:$WL$5,"PB",'P &amp; NP'!$C$2:$WL$2,"KOTA PASURUAN")</f>
        <v>0</v>
      </c>
      <c r="BK42" s="519">
        <f>SUMIFS('P &amp; NP'!$C$8:$WL$8,'P &amp; NP'!$C$5:$WL$5,"NPB",'P &amp; NP'!$C$2:$WL$2,"KOTA PASURUAN")</f>
        <v>0</v>
      </c>
      <c r="BL42" s="519">
        <f>SUMIFS('P &amp; NP'!$C$9:$WL$9,'P &amp; NP'!$C$5:$WL$5,"PB",'P &amp; NP'!$C$2:$WL$2,"KOTA PASURUAN")</f>
        <v>0</v>
      </c>
      <c r="BM42" s="519">
        <f>SUMIFS('P &amp; NP'!$C$9:$WL$9,'P &amp; NP'!$C$5:$WL$5,"NPB",'P &amp; NP'!$C$2:$WL$2,"KOTA PASURUAN")</f>
        <v>0</v>
      </c>
      <c r="BN42" s="519">
        <f>SUMIFS('P &amp; NP'!$C$10:$WL$10,'P &amp; NP'!$C$5:$WL$5,"PB",'P &amp; NP'!$C$2:$WL$2,"KOTA PASURUAN")</f>
        <v>0</v>
      </c>
      <c r="BO42" s="519">
        <f>SUMIFS('P &amp; NP'!$C$10:$WL$10,'P &amp; NP'!$C$5:$WL$5,"NPB",'P &amp; NP'!$C$2:$WL$2,"KOTA PASURUAN")</f>
        <v>0</v>
      </c>
      <c r="BQ42" s="502">
        <f t="shared" si="19"/>
        <v>0</v>
      </c>
      <c r="BR42" s="512">
        <f t="shared" si="20"/>
        <v>0</v>
      </c>
      <c r="BS42" s="519">
        <f>SUMIFS('P &amp; NP'!$C$7:$WL$7,'P &amp; NP'!$C$5:$WL$5,"PJ",'P &amp; NP'!$C$2:$WL$2,"KOTA PASURUAN")</f>
        <v>0</v>
      </c>
      <c r="BT42" s="519">
        <f>SUMIFS('P &amp; NP'!$C$7:$WL$7,'P &amp; NP'!$C$5:$WL$5,"NPJ",'P &amp; NP'!$C$2:$WL$2,"KOTA PASURUAN")</f>
        <v>0</v>
      </c>
      <c r="BU42" s="519">
        <f>SUMIFS('P &amp; NP'!$C$8:$WL$8,'P &amp; NP'!$C$5:$WL$5,"PJ",'P &amp; NP'!$C$2:$WL$2,"KOTA PASURUAN")</f>
        <v>0</v>
      </c>
      <c r="BV42" s="519">
        <f>SUMIFS('P &amp; NP'!$C$8:$WL$8,'P &amp; NP'!$C$5:$WL$5,"NPJ",'P &amp; NP'!$C$2:$WL$2,"KOTA PASURUAN")</f>
        <v>0</v>
      </c>
      <c r="BW42" s="519">
        <f>SUMIFS('P &amp; NP'!$C$9:$WL$9,'P &amp; NP'!$C$5:$WL$5,"PJ",'P &amp; NP'!$C$2:$WL$2,"KOTA PASURUAN")</f>
        <v>0</v>
      </c>
      <c r="BX42" s="519">
        <f>SUMIFS('P &amp; NP'!$C$9:$WL$9,'P &amp; NP'!$C$5:$WL$5,"NPJ",'P &amp; NP'!$C$2:$WL$2,"KOTA PASURUAN")</f>
        <v>0</v>
      </c>
      <c r="BY42" s="519">
        <f>SUMIFS('P &amp; NP'!$C$10:$WL$10,'P &amp; NP'!$C$5:$WL$5,"PJ",'P &amp; NP'!$C$2:$WL$2,"KOTA PASURUAN")</f>
        <v>0</v>
      </c>
      <c r="BZ42" s="519">
        <f>SUMIFS('P &amp; NP'!$C$10:$WL$10,'P &amp; NP'!$C$5:$WL$5,"NPJ",'P &amp; NP'!$C$2:$WL$2,"KOTA PASURUAN")</f>
        <v>0</v>
      </c>
      <c r="CB42" s="502">
        <f t="shared" si="21"/>
        <v>2662915</v>
      </c>
      <c r="CC42" s="512">
        <f t="shared" si="22"/>
        <v>23519356</v>
      </c>
      <c r="CD42" s="519">
        <f t="shared" si="23"/>
        <v>656266</v>
      </c>
      <c r="CE42" s="519">
        <f t="shared" si="24"/>
        <v>5852995</v>
      </c>
      <c r="CF42" s="519">
        <f t="shared" si="25"/>
        <v>658742</v>
      </c>
      <c r="CG42" s="519">
        <f t="shared" si="26"/>
        <v>6031344</v>
      </c>
      <c r="CH42" s="519">
        <f t="shared" si="27"/>
        <v>736177</v>
      </c>
      <c r="CI42" s="519">
        <f t="shared" si="28"/>
        <v>5435097</v>
      </c>
      <c r="CJ42" s="519">
        <f t="shared" si="29"/>
        <v>611730</v>
      </c>
      <c r="CK42" s="519">
        <f t="shared" si="30"/>
        <v>6199920</v>
      </c>
    </row>
    <row r="43" spans="1:89">
      <c r="A43" s="509"/>
      <c r="B43" s="484" t="s">
        <v>144</v>
      </c>
      <c r="C43" s="502">
        <f t="shared" si="8"/>
        <v>0</v>
      </c>
      <c r="D43" s="512">
        <f t="shared" si="9"/>
        <v>0</v>
      </c>
      <c r="E43" s="519">
        <f>SUMIFS('P &amp; NP'!$C$7:$WL$7,'P &amp; NP'!$C$5:$WL$5,"PL",'P &amp; NP'!$C$2:$WL$2,"KOTA PROBOLINGGO")</f>
        <v>0</v>
      </c>
      <c r="F43" s="519">
        <f>SUMIFS('P &amp; NP'!$C$7:$WL$7,'P &amp; NP'!$C$5:$WL$5,"NPL",'P &amp; NP'!$C$2:$WL$2,"KOTA PROBOLINGGO")</f>
        <v>0</v>
      </c>
      <c r="G43" s="519">
        <f>SUMIFS('P &amp; NP'!$C$8:$WL$8,'P &amp; NP'!$C$5:$WL$5,"PL",'P &amp; NP'!$C$2:$WL$2,"KOTA PROBOLINGGO")</f>
        <v>0</v>
      </c>
      <c r="H43" s="519">
        <f>SUMIFS('P &amp; NP'!$C$8:$WL$8,'P &amp; NP'!$C$5:$WL$5,"NPL",'P &amp; NP'!$C$2:$WL$2,"KOTA PROBOLINGGO")</f>
        <v>0</v>
      </c>
      <c r="I43" s="519">
        <f>SUMIFS('P &amp; NP'!$C$9:$WL$9,'P &amp; NP'!$C$5:$WL$5,"PL",'P &amp; NP'!$C$2:$WL$2,"KOTA PROBOLINGGO")</f>
        <v>0</v>
      </c>
      <c r="J43" s="519">
        <f>SUMIFS('P &amp; NP'!$C$9:$WL$9,'P &amp; NP'!$C$5:$WL$5,"NPL",'P &amp; NP'!$C$2:$WL$2,"KOTA PROBOLINGGO")</f>
        <v>0</v>
      </c>
      <c r="K43" s="519">
        <f>SUMIFS('P &amp; NP'!$C$10:$WL$10,'P &amp; NP'!$C$5:$WL$5,"PL",'P &amp; NP'!$C$2:$WL$2,"KOTA PROBOLINGGO")</f>
        <v>0</v>
      </c>
      <c r="L43" s="519">
        <f>SUMIFS('P &amp; NP'!$C$10:$WL$10,'P &amp; NP'!$C$5:$WL$5,"NPL",'P &amp; NP'!$C$2:$WL$2,"KOTA PROBOLINGGO")</f>
        <v>0</v>
      </c>
      <c r="N43" s="502">
        <f t="shared" si="10"/>
        <v>229970</v>
      </c>
      <c r="O43" s="512">
        <f t="shared" si="11"/>
        <v>9979736.6999999993</v>
      </c>
      <c r="P43" s="519">
        <f>SUMIFS('P &amp; NP'!$C$7:$WL$7,'P &amp; NP'!$C$5:$WL$5,"PT",'P &amp; NP'!$C$2:$WL$2,"KOTA PROBOLINGGO")</f>
        <v>39428</v>
      </c>
      <c r="Q43" s="519">
        <f>SUMIFS('P &amp; NP'!$C$7:$WL$7,'P &amp; NP'!$C$5:$WL$5,"NPT",'P &amp; NP'!$C$2:$WL$2,"KOTA PROBOLINGGO")</f>
        <v>1711452.7</v>
      </c>
      <c r="R43" s="519">
        <f>SUMIFS('P &amp; NP'!$C$8:$WL$8,'P &amp; NP'!$C$5:$WL$5,"PT",'P &amp; NP'!$C$2:$WL$2,"KOTA PROBOLINGGO")</f>
        <v>38153</v>
      </c>
      <c r="S43" s="519">
        <f>SUMIFS('P &amp; NP'!$C$8:$WL$8,'P &amp; NP'!$C$5:$WL$5,"NPT",'P &amp; NP'!$C$2:$WL$2,"KOTA PROBOLINGGO")</f>
        <v>1727530</v>
      </c>
      <c r="T43" s="519">
        <f>SUMIFS('P &amp; NP'!$C$9:$WL$9,'P &amp; NP'!$C$5:$WL$5,"PT",'P &amp; NP'!$C$2:$WL$2,"KOTA PROBOLINGGO")</f>
        <v>18305</v>
      </c>
      <c r="U43" s="519">
        <f>SUMIFS('P &amp; NP'!$C$9:$WL$9,'P &amp; NP'!$C$5:$WL$5,"NPT",'P &amp; NP'!$C$2:$WL$2,"KOTA PROBOLINGGO")</f>
        <v>849679</v>
      </c>
      <c r="V43" s="519">
        <f>SUMIFS('P &amp; NP'!$C$10:$WL$10,'P &amp; NP'!$C$5:$WL$5,"PT",'P &amp; NP'!$C$2:$WL$2,"KOTA PROBOLINGGO")</f>
        <v>134084</v>
      </c>
      <c r="W43" s="519">
        <f>SUMIFS('P &amp; NP'!$C$10:$WL$10,'P &amp; NP'!$C$5:$WL$5,"NPT",'P &amp; NP'!$C$2:$WL$2,"KOTA PROBOLINGGO")</f>
        <v>5691075</v>
      </c>
      <c r="Y43" s="502">
        <f ca="1">SUMIF(AA$5:$AH41,$Y$1,AA43:AH43)</f>
        <v>0</v>
      </c>
      <c r="Z43" s="512">
        <f t="shared" si="12"/>
        <v>0</v>
      </c>
      <c r="AA43" s="519">
        <f>SUMIFS('P &amp; NP'!$C$7:$WL$7,'P &amp; NP'!$C$5:$WL$5,"PS",'P &amp; NP'!$C$2:$WL$2,"KOTA PROBOLINGGO")</f>
        <v>0</v>
      </c>
      <c r="AB43" s="519">
        <f>SUMIFS('P &amp; NP'!$C$7:$WL$7,'P &amp; NP'!$C$5:$WL$5,"NPS",'P &amp; NP'!$C$2:$WL$2,"KOTA PROBOLINGGO")</f>
        <v>0</v>
      </c>
      <c r="AC43" s="519">
        <f>SUMIFS('P &amp; NP'!$C$8:$WL$8,'P &amp; NP'!$C$5:$WL$5,"PS",'P &amp; NP'!$C$2:$WL$2,"KOTA PROBOLINGGO")</f>
        <v>0</v>
      </c>
      <c r="AD43" s="519">
        <f>SUMIFS('P &amp; NP'!$C$8:$WL$8,'P &amp; NP'!$C$5:$WL$5,"NPS",'P &amp; NP'!$C$2:$WL$2,"KOTA PROBOLINGGO")</f>
        <v>0</v>
      </c>
      <c r="AE43" s="519">
        <f>SUMIFS('P &amp; NP'!$C$9:$WL$9,'P &amp; NP'!$C$5:$WL$5,"PS",'P &amp; NP'!$C$2:$WL$2,"KOTA PROBOLINGGO")</f>
        <v>0</v>
      </c>
      <c r="AF43" s="519">
        <f>SUMIFS('P &amp; NP'!$C$9:$WL$9,'P &amp; NP'!$C$5:$WL$5,"NPS",'P &amp; NP'!$C$2:$WL$2,"KOTA PROBOLINGGO")</f>
        <v>0</v>
      </c>
      <c r="AG43" s="519">
        <f>SUMIFS('P &amp; NP'!$C$10:$WL$10,'P &amp; NP'!$C$5:$WL$5,"PS",'P &amp; NP'!$C$2:$WL$2,"KOTA PROBOLINGGO")</f>
        <v>0</v>
      </c>
      <c r="AH43" s="519">
        <f>SUMIFS('P &amp; NP'!$C$10:$WL$10,'P &amp; NP'!$C$5:$WL$5,"NPS",'P &amp; NP'!$C$2:$WL$2,"KOTA PROBOLINGGO")</f>
        <v>0</v>
      </c>
      <c r="AJ43" s="502">
        <f t="shared" si="13"/>
        <v>199112.2</v>
      </c>
      <c r="AK43" s="512">
        <f t="shared" si="14"/>
        <v>4056530</v>
      </c>
      <c r="AL43" s="519">
        <f>SUMIFS('P &amp; NP'!$C$7:$WL$7,'P &amp; NP'!$C$5:$WL$5,"PK",'P &amp; NP'!$C$2:$WL$2,"KOTA PROBOLINGGO")</f>
        <v>54587.199999999997</v>
      </c>
      <c r="AM43" s="519">
        <f>SUMIFS('P &amp; NP'!$C$7:$WL$7,'P &amp; NP'!$C$5:$WL$5,"NPK",'P &amp; NP'!$C$2:$WL$2,"KOTA PROBOLINGGO")</f>
        <v>1096417</v>
      </c>
      <c r="AN43" s="519">
        <f>SUMIFS('P &amp; NP'!$C$8:$WL$8,'P &amp; NP'!$C$5:$WL$5,"PK",'P &amp; NP'!$C$2:$WL$2,"KOTA PROBOLINGGO")</f>
        <v>44995</v>
      </c>
      <c r="AO43" s="519">
        <f>SUMIFS('P &amp; NP'!$C$8:$WL$8,'P &amp; NP'!$C$5:$WL$5,"NPK",'P &amp; NP'!$C$2:$WL$2,"KOTA PROBOLINGGO")</f>
        <v>903367</v>
      </c>
      <c r="AP43" s="519">
        <f>SUMIFS('P &amp; NP'!$C$9:$WL$9,'P &amp; NP'!$C$5:$WL$5,"PK",'P &amp; NP'!$C$2:$WL$2,"KOTA PROBOLINGGO")</f>
        <v>41301</v>
      </c>
      <c r="AQ43" s="519">
        <f>SUMIFS('P &amp; NP'!$C$9:$WL$9,'P &amp; NP'!$C$5:$WL$5,"NPK",'P &amp; NP'!$C$2:$WL$2,"KOTA PROBOLINGGO")</f>
        <v>835281</v>
      </c>
      <c r="AR43" s="519">
        <f>SUMIFS('P &amp; NP'!$C$10:$WL$10,'P &amp; NP'!$C$5:$WL$5,"PK",'P &amp; NP'!$C$2:$WL$2,"KOTA PROBOLINGGO")</f>
        <v>58229</v>
      </c>
      <c r="AS43" s="519">
        <f>SUMIFS('P &amp; NP'!$C$10:$WL$10,'P &amp; NP'!$C$5:$WL$5,"NPK",'P &amp; NP'!$C$2:$WL$2,"KOTA PROBOLINGGO")</f>
        <v>1221465</v>
      </c>
      <c r="AU43" s="502">
        <f t="shared" si="15"/>
        <v>0</v>
      </c>
      <c r="AV43" s="512">
        <f t="shared" si="16"/>
        <v>0</v>
      </c>
      <c r="AW43" s="519">
        <f>SUMIFS('P &amp; NP'!$C$7:$WL$7,'P &amp; NP'!$C$5:$WL$5,"PM",'P &amp; NP'!$C$2:$WL$2,"KOTA PROBOLINGGO")</f>
        <v>0</v>
      </c>
      <c r="AX43" s="519">
        <f>SUMIFS('P &amp; NP'!$C$7:$WL$7,'P &amp; NP'!$C$5:$WL$5,"NPM",'P &amp; NP'!$C$2:$WL$2,"KOTA PROBOLINGGO")</f>
        <v>0</v>
      </c>
      <c r="AY43" s="519">
        <f>SUMIFS('P &amp; NP'!$C$8:$WL$8,'P &amp; NP'!$C$5:$WL$5,"PM",'P &amp; NP'!$C$2:$WL$2,"KOTA PROBOLINGGO")</f>
        <v>0</v>
      </c>
      <c r="AZ43" s="519">
        <f>SUMIFS('P &amp; NP'!$C$8:$WL$8,'P &amp; NP'!$C$5:$WL$5,"NPM",'P &amp; NP'!$C$2:$WL$2,"KOTA PROBOLINGGO")</f>
        <v>0</v>
      </c>
      <c r="BA43" s="519">
        <f>SUMIFS('P &amp; NP'!$C$9:$WL$9,'P &amp; NP'!$C$5:$WL$5,"PM",'P &amp; NP'!$C$2:$WL$2,"KOTA PROBOLINGGO")</f>
        <v>0</v>
      </c>
      <c r="BB43" s="519">
        <f>SUMIFS('P &amp; NP'!$C$9:$WL$9,'P &amp; NP'!$C$5:$WL$5,"NPM",'P &amp; NP'!$C$2:$WL$2,"KOTA PROBOLINGGO")</f>
        <v>0</v>
      </c>
      <c r="BC43" s="519">
        <f>SUMIFS('P &amp; NP'!$C$10:$WL$10,'P &amp; NP'!$C$5:$WL$5,"PM",'P &amp; NP'!$C$2:$WL$2,"KOTA PROBOLINGGO")</f>
        <v>0</v>
      </c>
      <c r="BD43" s="519">
        <f>SUMIFS('P &amp; NP'!$C$10:$WL$10,'P &amp; NP'!$C$5:$WL$5,"NPM",'P &amp; NP'!$C$2:$WL$2,"KOTA PROBOLINGGO")</f>
        <v>0</v>
      </c>
      <c r="BF43" s="502">
        <f t="shared" si="17"/>
        <v>0</v>
      </c>
      <c r="BG43" s="512">
        <f t="shared" si="18"/>
        <v>0</v>
      </c>
      <c r="BH43" s="519">
        <f>SUMIFS('P &amp; NP'!$C$7:$WL$7,'P &amp; NP'!$C$5:$WL$5,"PB",'P &amp; NP'!$C$2:$WL$2,"KOTA PROBOLINGGO")</f>
        <v>0</v>
      </c>
      <c r="BI43" s="519">
        <f>SUMIFS('P &amp; NP'!$C$7:$WL$7,'P &amp; NP'!$C$5:$WL$5,"NPB",'P &amp; NP'!$C$2:$WL$2,"KOTA PROBOLINGGO")</f>
        <v>0</v>
      </c>
      <c r="BJ43" s="519">
        <f>SUMIFS('P &amp; NP'!$C$8:$WL$8,'P &amp; NP'!$C$5:$WL$5,"PB",'P &amp; NP'!$C$2:$WL$2,"KOTA PROBOLINGGO")</f>
        <v>0</v>
      </c>
      <c r="BK43" s="519">
        <f>SUMIFS('P &amp; NP'!$C$8:$WL$8,'P &amp; NP'!$C$5:$WL$5,"NPB",'P &amp; NP'!$C$2:$WL$2,"KOTA PROBOLINGGO")</f>
        <v>0</v>
      </c>
      <c r="BL43" s="519">
        <f>SUMIFS('P &amp; NP'!$C$9:$WL$9,'P &amp; NP'!$C$5:$WL$5,"PB",'P &amp; NP'!$C$2:$WL$2,"KOTA PROBOLINGGO")</f>
        <v>0</v>
      </c>
      <c r="BM43" s="519">
        <f>SUMIFS('P &amp; NP'!$C$9:$WL$9,'P &amp; NP'!$C$5:$WL$5,"NPB",'P &amp; NP'!$C$2:$WL$2,"KOTA PROBOLINGGO")</f>
        <v>0</v>
      </c>
      <c r="BN43" s="519">
        <f>SUMIFS('P &amp; NP'!$C$10:$WL$10,'P &amp; NP'!$C$5:$WL$5,"PB",'P &amp; NP'!$C$2:$WL$2,"KOTA PROBOLINGGO")</f>
        <v>0</v>
      </c>
      <c r="BO43" s="519">
        <f>SUMIFS('P &amp; NP'!$C$10:$WL$10,'P &amp; NP'!$C$5:$WL$5,"NPB",'P &amp; NP'!$C$2:$WL$2,"KOTA PROBOLINGGO")</f>
        <v>0</v>
      </c>
      <c r="BQ43" s="502">
        <f t="shared" si="19"/>
        <v>0</v>
      </c>
      <c r="BR43" s="512">
        <f t="shared" si="20"/>
        <v>0</v>
      </c>
      <c r="BS43" s="519">
        <f>SUMIFS('P &amp; NP'!$C$7:$WL$7,'P &amp; NP'!$C$5:$WL$5,"PJ",'P &amp; NP'!$C$2:$WL$2,"KOTA PROBOLINGGO")</f>
        <v>0</v>
      </c>
      <c r="BT43" s="519">
        <f>SUMIFS('P &amp; NP'!$C$7:$WL$7,'P &amp; NP'!$C$5:$WL$5,"NPJ",'P &amp; NP'!$C$2:$WL$2,"KOTA PROBOLINGGO")</f>
        <v>0</v>
      </c>
      <c r="BU43" s="519">
        <f>SUMIFS('P &amp; NP'!$C$8:$WL$8,'P &amp; NP'!$C$5:$WL$5,"PJ",'P &amp; NP'!$C$2:$WL$2,"KOTA PROBOLINGGO")</f>
        <v>0</v>
      </c>
      <c r="BV43" s="519">
        <f>SUMIFS('P &amp; NP'!$C$8:$WL$8,'P &amp; NP'!$C$5:$WL$5,"NPJ",'P &amp; NP'!$C$2:$WL$2,"KOTA PROBOLINGGO")</f>
        <v>0</v>
      </c>
      <c r="BW43" s="519">
        <f>SUMIFS('P &amp; NP'!$C$9:$WL$9,'P &amp; NP'!$C$5:$WL$5,"PJ",'P &amp; NP'!$C$2:$WL$2,"KOTA PROBOLINGGO")</f>
        <v>0</v>
      </c>
      <c r="BX43" s="519">
        <f>SUMIFS('P &amp; NP'!$C$9:$WL$9,'P &amp; NP'!$C$5:$WL$5,"NPJ",'P &amp; NP'!$C$2:$WL$2,"KOTA PROBOLINGGO")</f>
        <v>0</v>
      </c>
      <c r="BY43" s="519">
        <f>SUMIFS('P &amp; NP'!$C$10:$WL$10,'P &amp; NP'!$C$5:$WL$5,"PJ",'P &amp; NP'!$C$2:$WL$2,"KOTA PROBOLINGGO")</f>
        <v>0</v>
      </c>
      <c r="BZ43" s="519">
        <f>SUMIFS('P &amp; NP'!$C$10:$WL$10,'P &amp; NP'!$C$5:$WL$5,"NPJ",'P &amp; NP'!$C$2:$WL$2,"KOTA PROBOLINGGO")</f>
        <v>0</v>
      </c>
      <c r="CB43" s="502">
        <f t="shared" si="21"/>
        <v>429082.2</v>
      </c>
      <c r="CC43" s="512">
        <f t="shared" si="22"/>
        <v>14036266.699999999</v>
      </c>
      <c r="CD43" s="519">
        <f t="shared" si="23"/>
        <v>94015.2</v>
      </c>
      <c r="CE43" s="519">
        <f t="shared" si="24"/>
        <v>2807869.7</v>
      </c>
      <c r="CF43" s="519">
        <f t="shared" si="25"/>
        <v>83148</v>
      </c>
      <c r="CG43" s="519">
        <f t="shared" si="26"/>
        <v>2630897</v>
      </c>
      <c r="CH43" s="519">
        <f t="shared" si="27"/>
        <v>59606</v>
      </c>
      <c r="CI43" s="519">
        <f t="shared" si="28"/>
        <v>1684960</v>
      </c>
      <c r="CJ43" s="519">
        <f t="shared" si="29"/>
        <v>192313</v>
      </c>
      <c r="CK43" s="519">
        <f t="shared" si="30"/>
        <v>6912540</v>
      </c>
    </row>
    <row r="44" spans="1:89" ht="15" thickBot="1">
      <c r="A44" s="509"/>
      <c r="B44" s="510" t="s">
        <v>148</v>
      </c>
      <c r="C44" s="503">
        <f t="shared" si="8"/>
        <v>0</v>
      </c>
      <c r="D44" s="508">
        <f t="shared" si="9"/>
        <v>0</v>
      </c>
      <c r="E44" s="520">
        <f>SUMIFS('P &amp; NP'!$C$7:$WL$7,'P &amp; NP'!$C$5:$WL$5,"PL",'P &amp; NP'!$C$2:$WL$2,"KOTA SURABAYA")</f>
        <v>0</v>
      </c>
      <c r="F44" s="520">
        <f>SUMIFS('P &amp; NP'!$C$7:$WL$7,'P &amp; NP'!$C$5:$WL$5,"NPL",'P &amp; NP'!$C$2:$WL$2,"KOTA SURABAYA")</f>
        <v>0</v>
      </c>
      <c r="G44" s="520">
        <f>SUMIFS('P &amp; NP'!$C$8:$WL$8,'P &amp; NP'!$C$5:$WL$5,"PL",'P &amp; NP'!$C$2:$WL$2,"KOTA SURABAYA")</f>
        <v>0</v>
      </c>
      <c r="H44" s="520">
        <f>SUMIFS('P &amp; NP'!$C$8:$WL$8,'P &amp; NP'!$C$5:$WL$5,"NPL",'P &amp; NP'!$C$2:$WL$2,"KOTA SURABAYA")</f>
        <v>0</v>
      </c>
      <c r="I44" s="520">
        <f>SUMIFS('P &amp; NP'!$C$9:$WL$9,'P &amp; NP'!$C$5:$WL$5,"PL",'P &amp; NP'!$C$2:$WL$2,"KOTA SURABAYA")</f>
        <v>0</v>
      </c>
      <c r="J44" s="520">
        <f>SUMIFS('P &amp; NP'!$C$9:$WL$9,'P &amp; NP'!$C$5:$WL$5,"NPL",'P &amp; NP'!$C$2:$WL$2,"KOTA SURABAYA")</f>
        <v>0</v>
      </c>
      <c r="K44" s="520">
        <f>SUMIFS('P &amp; NP'!$C$10:$WL$10,'P &amp; NP'!$C$5:$WL$5,"PL",'P &amp; NP'!$C$2:$WL$2,"KOTA SURABAYA")</f>
        <v>0</v>
      </c>
      <c r="L44" s="520">
        <f>SUMIFS('P &amp; NP'!$C$10:$WL$10,'P &amp; NP'!$C$5:$WL$5,"NPL",'P &amp; NP'!$C$2:$WL$2,"KOTA SURABAYA")</f>
        <v>0</v>
      </c>
      <c r="N44" s="503">
        <f t="shared" si="10"/>
        <v>5228433</v>
      </c>
      <c r="O44" s="508">
        <f t="shared" si="11"/>
        <v>185596500</v>
      </c>
      <c r="P44" s="520">
        <f>SUMIFS('P &amp; NP'!$C$7:$WL$7,'P &amp; NP'!$C$5:$WL$5,"PT",'P &amp; NP'!$C$2:$WL$2,"KOTA SURABAYA")</f>
        <v>1610523</v>
      </c>
      <c r="Q44" s="520">
        <f>SUMIFS('P &amp; NP'!$C$7:$WL$7,'P &amp; NP'!$C$5:$WL$5,"NPT",'P &amp; NP'!$C$2:$WL$2,"KOTA SURABAYA")</f>
        <v>61228988</v>
      </c>
      <c r="R44" s="520">
        <f>SUMIFS('P &amp; NP'!$C$8:$WL$8,'P &amp; NP'!$C$5:$WL$5,"PT",'P &amp; NP'!$C$2:$WL$2,"KOTA SURABAYA")</f>
        <v>1208000</v>
      </c>
      <c r="S44" s="520">
        <f>SUMIFS('P &amp; NP'!$C$8:$WL$8,'P &amp; NP'!$C$5:$WL$5,"NPT",'P &amp; NP'!$C$2:$WL$2,"KOTA SURABAYA")</f>
        <v>43446012</v>
      </c>
      <c r="T44" s="520">
        <f>SUMIFS('P &amp; NP'!$C$9:$WL$9,'P &amp; NP'!$C$5:$WL$5,"PT",'P &amp; NP'!$C$2:$WL$2,"KOTA SURABAYA")</f>
        <v>1181320</v>
      </c>
      <c r="U44" s="520">
        <f>SUMIFS('P &amp; NP'!$C$9:$WL$9,'P &amp; NP'!$C$5:$WL$5,"NPT",'P &amp; NP'!$C$2:$WL$2,"KOTA SURABAYA")</f>
        <v>40065480</v>
      </c>
      <c r="V44" s="520">
        <f>SUMIFS('P &amp; NP'!$C$10:$WL$10,'P &amp; NP'!$C$5:$WL$5,"PT",'P &amp; NP'!$C$2:$WL$2,"KOTA SURABAYA")</f>
        <v>1228590</v>
      </c>
      <c r="W44" s="520">
        <f>SUMIFS('P &amp; NP'!$C$10:$WL$10,'P &amp; NP'!$C$5:$WL$5,"NPT",'P &amp; NP'!$C$2:$WL$2,"KOTA SURABAYA")</f>
        <v>40856020</v>
      </c>
      <c r="Y44" s="502">
        <f ca="1">SUMIF(AA$5:$AH42,$Y$1,AA44:AH44)</f>
        <v>0</v>
      </c>
      <c r="Z44" s="512">
        <f t="shared" si="12"/>
        <v>0</v>
      </c>
      <c r="AA44" s="520">
        <f>SUMIFS('P &amp; NP'!$C$7:$WL$7,'P &amp; NP'!$C$5:$WL$5,"PS",'P &amp; NP'!$C$2:$WL$2,"KOTA SURABAYA")</f>
        <v>0</v>
      </c>
      <c r="AB44" s="520">
        <f>SUMIFS('P &amp; NP'!$C$7:$WL$7,'P &amp; NP'!$C$5:$WL$5,"NPS",'P &amp; NP'!$C$2:$WL$2,"KOTA SURABAYA")</f>
        <v>0</v>
      </c>
      <c r="AC44" s="520">
        <f>SUMIFS('P &amp; NP'!$C$8:$WL$8,'P &amp; NP'!$C$5:$WL$5,"PS",'P &amp; NP'!$C$2:$WL$2,"KOTA SURABAYA")</f>
        <v>0</v>
      </c>
      <c r="AD44" s="520">
        <f>SUMIFS('P &amp; NP'!$C$8:$WL$8,'P &amp; NP'!$C$5:$WL$5,"NPS",'P &amp; NP'!$C$2:$WL$2,"KOTA SURABAYA")</f>
        <v>0</v>
      </c>
      <c r="AE44" s="520">
        <f>SUMIFS('P &amp; NP'!$C$9:$WL$9,'P &amp; NP'!$C$5:$WL$5,"PS",'P &amp; NP'!$C$2:$WL$2,"KOTA SURABAYA")</f>
        <v>0</v>
      </c>
      <c r="AF44" s="520">
        <f>SUMIFS('P &amp; NP'!$C$9:$WL$9,'P &amp; NP'!$C$5:$WL$5,"NPS",'P &amp; NP'!$C$2:$WL$2,"KOTA SURABAYA")</f>
        <v>0</v>
      </c>
      <c r="AG44" s="520">
        <f>SUMIFS('P &amp; NP'!$C$10:$WL$10,'P &amp; NP'!$C$5:$WL$5,"PS",'P &amp; NP'!$C$2:$WL$2,"KOTA SURABAYA")</f>
        <v>0</v>
      </c>
      <c r="AH44" s="520">
        <f>SUMIFS('P &amp; NP'!$C$10:$WL$10,'P &amp; NP'!$C$5:$WL$5,"NPS",'P &amp; NP'!$C$2:$WL$2,"KOTA SURABAYA")</f>
        <v>0</v>
      </c>
      <c r="AJ44" s="503">
        <f t="shared" si="13"/>
        <v>4674678</v>
      </c>
      <c r="AK44" s="508">
        <f t="shared" si="14"/>
        <v>114032566</v>
      </c>
      <c r="AL44" s="520">
        <f>SUMIFS('P &amp; NP'!$C$7:$WL$7,'P &amp; NP'!$C$5:$WL$5,"PK",'P &amp; NP'!$C$2:$WL$2,"KOTA SURABAYA")</f>
        <v>1258714</v>
      </c>
      <c r="AM44" s="520">
        <f>SUMIFS('P &amp; NP'!$C$7:$WL$7,'P &amp; NP'!$C$5:$WL$5,"NPK",'P &amp; NP'!$C$2:$WL$2,"KOTA SURABAYA")</f>
        <v>32574830</v>
      </c>
      <c r="AN44" s="520">
        <f>SUMIFS('P &amp; NP'!$C$8:$WL$8,'P &amp; NP'!$C$5:$WL$5,"PK",'P &amp; NP'!$C$2:$WL$2,"KOTA SURABAYA")</f>
        <v>1045094</v>
      </c>
      <c r="AO44" s="520">
        <f>SUMIFS('P &amp; NP'!$C$8:$WL$8,'P &amp; NP'!$C$5:$WL$5,"NPK",'P &amp; NP'!$C$2:$WL$2,"KOTA SURABAYA")</f>
        <v>26724736</v>
      </c>
      <c r="AP44" s="520">
        <f>SUMIFS('P &amp; NP'!$C$9:$WL$9,'P &amp; NP'!$C$5:$WL$5,"PK",'P &amp; NP'!$C$2:$WL$2,"KOTA SURABAYA")</f>
        <v>1163310</v>
      </c>
      <c r="AQ44" s="520">
        <f>SUMIFS('P &amp; NP'!$C$9:$WL$9,'P &amp; NP'!$C$5:$WL$5,"NPK",'P &amp; NP'!$C$2:$WL$2,"KOTA SURABAYA")</f>
        <v>28112850</v>
      </c>
      <c r="AR44" s="520">
        <f>SUMIFS('P &amp; NP'!$C$10:$WL$10,'P &amp; NP'!$C$5:$WL$5,"PK",'P &amp; NP'!$C$2:$WL$2,"KOTA SURABAYA")</f>
        <v>1207560</v>
      </c>
      <c r="AS44" s="520">
        <f>SUMIFS('P &amp; NP'!$C$10:$WL$10,'P &amp; NP'!$C$5:$WL$5,"NPK",'P &amp; NP'!$C$2:$WL$2,"KOTA SURABAYA")</f>
        <v>26620150</v>
      </c>
      <c r="AU44" s="503">
        <f t="shared" si="15"/>
        <v>0</v>
      </c>
      <c r="AV44" s="508">
        <f t="shared" si="16"/>
        <v>0</v>
      </c>
      <c r="AW44" s="520">
        <f>SUMIFS('P &amp; NP'!$C$7:$WL$7,'P &amp; NP'!$C$5:$WL$5,"PM",'P &amp; NP'!$C$2:$WL$2,"KOTA SURABAYA")</f>
        <v>0</v>
      </c>
      <c r="AX44" s="520">
        <f>SUMIFS('P &amp; NP'!$C$7:$WL$7,'P &amp; NP'!$C$5:$WL$5,"NPM",'P &amp; NP'!$C$2:$WL$2,"KOTA SURABAYA")</f>
        <v>0</v>
      </c>
      <c r="AY44" s="520">
        <f>SUMIFS('P &amp; NP'!$C$8:$WL$8,'P &amp; NP'!$C$5:$WL$5,"PM",'P &amp; NP'!$C$2:$WL$2,"KOTA SURABAYA")</f>
        <v>0</v>
      </c>
      <c r="AZ44" s="520">
        <f>SUMIFS('P &amp; NP'!$C$8:$WL$8,'P &amp; NP'!$C$5:$WL$5,"NPM",'P &amp; NP'!$C$2:$WL$2,"KOTA SURABAYA")</f>
        <v>0</v>
      </c>
      <c r="BA44" s="520">
        <f>SUMIFS('P &amp; NP'!$C$9:$WL$9,'P &amp; NP'!$C$5:$WL$5,"PM",'P &amp; NP'!$C$2:$WL$2,"KOTA SURABAYA")</f>
        <v>0</v>
      </c>
      <c r="BB44" s="520">
        <f>SUMIFS('P &amp; NP'!$C$9:$WL$9,'P &amp; NP'!$C$5:$WL$5,"NPM",'P &amp; NP'!$C$2:$WL$2,"KOTA SURABAYA")</f>
        <v>0</v>
      </c>
      <c r="BC44" s="520">
        <f>SUMIFS('P &amp; NP'!$C$10:$WL$10,'P &amp; NP'!$C$5:$WL$5,"PM",'P &amp; NP'!$C$2:$WL$2,"KOTA SURABAYA")</f>
        <v>0</v>
      </c>
      <c r="BD44" s="520">
        <f>SUMIFS('P &amp; NP'!$C$10:$WL$10,'P &amp; NP'!$C$5:$WL$5,"NPM",'P &amp; NP'!$C$2:$WL$2,"KOTA SURABAYA")</f>
        <v>0</v>
      </c>
      <c r="BF44" s="503">
        <f t="shared" si="17"/>
        <v>0</v>
      </c>
      <c r="BG44" s="508">
        <f t="shared" si="18"/>
        <v>0</v>
      </c>
      <c r="BH44" s="520">
        <f>SUMIFS('P &amp; NP'!$C$7:$WL$7,'P &amp; NP'!$C$5:$WL$5,"PB",'P &amp; NP'!$C$2:$WL$2,"KOTA SURABAYA")</f>
        <v>0</v>
      </c>
      <c r="BI44" s="520">
        <f>SUMIFS('P &amp; NP'!$C$7:$WL$7,'P &amp; NP'!$C$5:$WL$5,"NPB",'P &amp; NP'!$C$2:$WL$2,"KOTA SURABAYA")</f>
        <v>0</v>
      </c>
      <c r="BJ44" s="520">
        <f>SUMIFS('P &amp; NP'!$C$8:$WL$8,'P &amp; NP'!$C$5:$WL$5,"PB",'P &amp; NP'!$C$2:$WL$2,"KOTA SURABAYA")</f>
        <v>0</v>
      </c>
      <c r="BK44" s="520">
        <f>SUMIFS('P &amp; NP'!$C$8:$WL$8,'P &amp; NP'!$C$5:$WL$5,"NPB",'P &amp; NP'!$C$2:$WL$2,"KOTA SURABAYA")</f>
        <v>0</v>
      </c>
      <c r="BL44" s="520">
        <f>SUMIFS('P &amp; NP'!$C$9:$WL$9,'P &amp; NP'!$C$5:$WL$5,"PB",'P &amp; NP'!$C$2:$WL$2,"KOTA SURABAYA")</f>
        <v>0</v>
      </c>
      <c r="BM44" s="520">
        <f>SUMIFS('P &amp; NP'!$C$9:$WL$9,'P &amp; NP'!$C$5:$WL$5,"NPB",'P &amp; NP'!$C$2:$WL$2,"KOTA SURABAYA")</f>
        <v>0</v>
      </c>
      <c r="BN44" s="520">
        <f>SUMIFS('P &amp; NP'!$C$10:$WL$10,'P &amp; NP'!$C$5:$WL$5,"PB",'P &amp; NP'!$C$2:$WL$2,"KOTA SURABAYA")</f>
        <v>0</v>
      </c>
      <c r="BO44" s="520">
        <f>SUMIFS('P &amp; NP'!$C$10:$WL$10,'P &amp; NP'!$C$5:$WL$5,"NPB",'P &amp; NP'!$C$2:$WL$2,"KOTA SURABAYA")</f>
        <v>0</v>
      </c>
      <c r="BQ44" s="503">
        <f t="shared" si="19"/>
        <v>76409</v>
      </c>
      <c r="BR44" s="508">
        <f t="shared" si="20"/>
        <v>1604008</v>
      </c>
      <c r="BS44" s="520">
        <f>SUMIFS('P &amp; NP'!$C$7:$WL$7,'P &amp; NP'!$C$5:$WL$5,"PJ",'P &amp; NP'!$C$2:$WL$2,"KOTA SURABAYA")</f>
        <v>25463</v>
      </c>
      <c r="BT44" s="520">
        <f>SUMIFS('P &amp; NP'!$C$7:$WL$7,'P &amp; NP'!$C$5:$WL$5,"NPJ",'P &amp; NP'!$C$2:$WL$2,"KOTA SURABAYA")</f>
        <v>526236</v>
      </c>
      <c r="BU44" s="520">
        <f>SUMIFS('P &amp; NP'!$C$8:$WL$8,'P &amp; NP'!$C$5:$WL$5,"PJ",'P &amp; NP'!$C$2:$WL$2,"KOTA SURABAYA")</f>
        <v>19536</v>
      </c>
      <c r="BV44" s="520">
        <f>SUMIFS('P &amp; NP'!$C$8:$WL$8,'P &amp; NP'!$C$5:$WL$5,"NPJ",'P &amp; NP'!$C$2:$WL$2,"KOTA SURABAYA")</f>
        <v>429792</v>
      </c>
      <c r="BW44" s="520">
        <f>SUMIFS('P &amp; NP'!$C$9:$WL$9,'P &amp; NP'!$C$5:$WL$5,"PJ",'P &amp; NP'!$C$2:$WL$2,"KOTA SURABAYA")</f>
        <v>17610</v>
      </c>
      <c r="BX44" s="520">
        <f>SUMIFS('P &amp; NP'!$C$9:$WL$9,'P &amp; NP'!$C$5:$WL$5,"NPJ",'P &amp; NP'!$C$2:$WL$2,"KOTA SURABAYA")</f>
        <v>365280</v>
      </c>
      <c r="BY44" s="520">
        <f>SUMIFS('P &amp; NP'!$C$10:$WL$10,'P &amp; NP'!$C$5:$WL$5,"PJ",'P &amp; NP'!$C$2:$WL$2,"KOTA SURABAYA")</f>
        <v>13800</v>
      </c>
      <c r="BZ44" s="520">
        <f>SUMIFS('P &amp; NP'!$C$10:$WL$10,'P &amp; NP'!$C$5:$WL$5,"NPJ",'P &amp; NP'!$C$2:$WL$2,"KOTA SURABAYA")</f>
        <v>282700</v>
      </c>
      <c r="CB44" s="503">
        <f t="shared" si="21"/>
        <v>9979520</v>
      </c>
      <c r="CC44" s="508">
        <f t="shared" si="22"/>
        <v>301233074</v>
      </c>
      <c r="CD44" s="519">
        <f t="shared" si="23"/>
        <v>2894700</v>
      </c>
      <c r="CE44" s="519">
        <f t="shared" si="24"/>
        <v>94330054</v>
      </c>
      <c r="CF44" s="519">
        <f t="shared" si="25"/>
        <v>2272630</v>
      </c>
      <c r="CG44" s="519">
        <f t="shared" si="26"/>
        <v>70600540</v>
      </c>
      <c r="CH44" s="519">
        <f t="shared" si="27"/>
        <v>2362240</v>
      </c>
      <c r="CI44" s="519">
        <f t="shared" si="28"/>
        <v>68543610</v>
      </c>
      <c r="CJ44" s="519">
        <f t="shared" si="29"/>
        <v>2449950</v>
      </c>
      <c r="CK44" s="519">
        <f t="shared" si="30"/>
        <v>67758870</v>
      </c>
    </row>
    <row r="45" spans="1:89" s="168" customFormat="1">
      <c r="G45" s="165"/>
      <c r="H45" s="165"/>
      <c r="I45" s="165"/>
      <c r="J45" s="165"/>
      <c r="K45" s="165"/>
      <c r="L45" s="165"/>
    </row>
    <row r="46" spans="1:89">
      <c r="E46" s="114" t="s">
        <v>513</v>
      </c>
      <c r="F46" s="114" t="s">
        <v>514</v>
      </c>
      <c r="G46" s="114" t="s">
        <v>513</v>
      </c>
      <c r="H46" s="114" t="s">
        <v>514</v>
      </c>
      <c r="I46" s="114" t="s">
        <v>513</v>
      </c>
      <c r="J46" s="114" t="s">
        <v>514</v>
      </c>
      <c r="K46" s="114" t="s">
        <v>513</v>
      </c>
      <c r="L46" s="114" t="s">
        <v>514</v>
      </c>
      <c r="P46" s="114" t="s">
        <v>515</v>
      </c>
      <c r="Q46" s="114" t="s">
        <v>516</v>
      </c>
      <c r="R46" s="114" t="s">
        <v>515</v>
      </c>
      <c r="S46" s="114" t="s">
        <v>516</v>
      </c>
      <c r="T46" s="114" t="s">
        <v>515</v>
      </c>
      <c r="U46" s="114" t="s">
        <v>516</v>
      </c>
      <c r="V46" s="114" t="s">
        <v>515</v>
      </c>
      <c r="W46" s="114" t="s">
        <v>516</v>
      </c>
      <c r="AA46" s="114" t="s">
        <v>519</v>
      </c>
      <c r="AB46" s="114" t="s">
        <v>520</v>
      </c>
      <c r="AC46" s="114" t="s">
        <v>519</v>
      </c>
      <c r="AD46" s="114" t="s">
        <v>520</v>
      </c>
      <c r="AE46" s="114" t="s">
        <v>519</v>
      </c>
      <c r="AF46" s="114" t="s">
        <v>520</v>
      </c>
      <c r="AG46" s="114" t="s">
        <v>519</v>
      </c>
      <c r="AH46" s="114" t="s">
        <v>520</v>
      </c>
      <c r="AL46" s="114" t="s">
        <v>517</v>
      </c>
      <c r="AM46" s="114" t="s">
        <v>518</v>
      </c>
      <c r="AN46" s="114" t="s">
        <v>517</v>
      </c>
      <c r="AO46" s="114" t="s">
        <v>518</v>
      </c>
      <c r="AP46" s="114" t="s">
        <v>517</v>
      </c>
      <c r="AQ46" s="114" t="s">
        <v>518</v>
      </c>
      <c r="AR46" s="114" t="s">
        <v>517</v>
      </c>
      <c r="AS46" s="114" t="s">
        <v>518</v>
      </c>
      <c r="AW46" s="114" t="s">
        <v>521</v>
      </c>
      <c r="AX46" s="114" t="s">
        <v>522</v>
      </c>
      <c r="AY46" s="114" t="s">
        <v>521</v>
      </c>
      <c r="AZ46" s="114" t="s">
        <v>522</v>
      </c>
      <c r="BA46" s="114" t="s">
        <v>521</v>
      </c>
      <c r="BB46" s="114" t="s">
        <v>522</v>
      </c>
      <c r="BC46" s="114" t="s">
        <v>521</v>
      </c>
      <c r="BD46" s="114" t="s">
        <v>522</v>
      </c>
      <c r="BH46" s="114" t="s">
        <v>559</v>
      </c>
      <c r="BI46" s="114" t="s">
        <v>560</v>
      </c>
      <c r="BJ46" s="114" t="s">
        <v>559</v>
      </c>
      <c r="BK46" s="114" t="s">
        <v>560</v>
      </c>
      <c r="BL46" s="114" t="s">
        <v>559</v>
      </c>
      <c r="BM46" s="114" t="s">
        <v>560</v>
      </c>
      <c r="BN46" s="114" t="s">
        <v>559</v>
      </c>
      <c r="BO46" s="114" t="s">
        <v>560</v>
      </c>
      <c r="BS46" s="114" t="s">
        <v>523</v>
      </c>
      <c r="BT46" s="114" t="s">
        <v>524</v>
      </c>
      <c r="BU46" s="114" t="s">
        <v>523</v>
      </c>
      <c r="BV46" s="114" t="s">
        <v>524</v>
      </c>
      <c r="BW46" s="114" t="s">
        <v>523</v>
      </c>
      <c r="BX46" s="114" t="s">
        <v>524</v>
      </c>
      <c r="BY46" s="114" t="s">
        <v>523</v>
      </c>
      <c r="BZ46" s="114" t="s">
        <v>524</v>
      </c>
    </row>
    <row r="47" spans="1:89">
      <c r="E47" s="114" t="s">
        <v>530</v>
      </c>
      <c r="F47" s="114" t="s">
        <v>530</v>
      </c>
      <c r="G47" s="114" t="s">
        <v>532</v>
      </c>
      <c r="H47" s="114" t="s">
        <v>532</v>
      </c>
      <c r="I47" s="114" t="s">
        <v>535</v>
      </c>
      <c r="J47" s="114" t="s">
        <v>535</v>
      </c>
      <c r="K47" s="114" t="s">
        <v>536</v>
      </c>
      <c r="L47" s="114" t="s">
        <v>536</v>
      </c>
      <c r="P47" s="114" t="s">
        <v>530</v>
      </c>
      <c r="Q47" s="114" t="s">
        <v>530</v>
      </c>
      <c r="R47" s="114" t="s">
        <v>532</v>
      </c>
      <c r="S47" s="114" t="s">
        <v>532</v>
      </c>
      <c r="T47" s="114" t="s">
        <v>535</v>
      </c>
      <c r="U47" s="114" t="s">
        <v>535</v>
      </c>
      <c r="V47" s="114" t="s">
        <v>536</v>
      </c>
      <c r="W47" s="114" t="s">
        <v>536</v>
      </c>
      <c r="AA47" s="114" t="s">
        <v>530</v>
      </c>
      <c r="AB47" s="114" t="s">
        <v>530</v>
      </c>
      <c r="AC47" s="114" t="s">
        <v>532</v>
      </c>
      <c r="AD47" s="114" t="s">
        <v>532</v>
      </c>
      <c r="AE47" s="114" t="s">
        <v>535</v>
      </c>
      <c r="AF47" s="114" t="s">
        <v>535</v>
      </c>
      <c r="AG47" s="114" t="s">
        <v>536</v>
      </c>
      <c r="AH47" s="114" t="s">
        <v>536</v>
      </c>
      <c r="AL47" s="114" t="s">
        <v>530</v>
      </c>
      <c r="AM47" s="114" t="s">
        <v>530</v>
      </c>
      <c r="AN47" s="114" t="s">
        <v>532</v>
      </c>
      <c r="AO47" s="114" t="s">
        <v>532</v>
      </c>
      <c r="AP47" s="114" t="s">
        <v>535</v>
      </c>
      <c r="AQ47" s="114" t="s">
        <v>535</v>
      </c>
      <c r="AR47" s="114" t="s">
        <v>536</v>
      </c>
      <c r="AS47" s="114" t="s">
        <v>536</v>
      </c>
      <c r="AW47" s="114" t="s">
        <v>530</v>
      </c>
      <c r="AX47" s="114" t="s">
        <v>530</v>
      </c>
      <c r="AY47" s="114" t="s">
        <v>532</v>
      </c>
      <c r="AZ47" s="114" t="s">
        <v>532</v>
      </c>
      <c r="BA47" s="114" t="s">
        <v>535</v>
      </c>
      <c r="BB47" s="114" t="s">
        <v>535</v>
      </c>
      <c r="BC47" s="114" t="s">
        <v>536</v>
      </c>
      <c r="BD47" s="114" t="s">
        <v>536</v>
      </c>
      <c r="BH47" s="114" t="s">
        <v>530</v>
      </c>
      <c r="BI47" s="114" t="s">
        <v>530</v>
      </c>
      <c r="BJ47" s="114" t="s">
        <v>532</v>
      </c>
      <c r="BK47" s="114" t="s">
        <v>532</v>
      </c>
      <c r="BL47" s="114" t="s">
        <v>535</v>
      </c>
      <c r="BM47" s="114" t="s">
        <v>535</v>
      </c>
      <c r="BN47" s="114" t="s">
        <v>536</v>
      </c>
      <c r="BO47" s="114" t="s">
        <v>536</v>
      </c>
      <c r="BS47" s="114" t="s">
        <v>530</v>
      </c>
      <c r="BT47" s="114" t="s">
        <v>530</v>
      </c>
      <c r="BU47" s="114" t="s">
        <v>532</v>
      </c>
      <c r="BV47" s="114" t="s">
        <v>532</v>
      </c>
      <c r="BW47" s="114" t="s">
        <v>535</v>
      </c>
      <c r="BX47" s="114" t="s">
        <v>535</v>
      </c>
      <c r="BY47" s="114" t="s">
        <v>536</v>
      </c>
      <c r="BZ47" s="114" t="s">
        <v>536</v>
      </c>
      <c r="CD47" s="114" t="s">
        <v>530</v>
      </c>
      <c r="CE47" s="114" t="s">
        <v>530</v>
      </c>
      <c r="CF47" s="114" t="s">
        <v>532</v>
      </c>
      <c r="CG47" s="114" t="s">
        <v>532</v>
      </c>
      <c r="CH47" s="114" t="s">
        <v>535</v>
      </c>
      <c r="CI47" s="114" t="s">
        <v>535</v>
      </c>
      <c r="CJ47" s="114" t="s">
        <v>536</v>
      </c>
      <c r="CK47" s="114" t="s">
        <v>536</v>
      </c>
    </row>
  </sheetData>
  <sortState xmlns:xlrd2="http://schemas.microsoft.com/office/spreadsheetml/2017/richdata2" ref="B7:B44">
    <sortCondition ref="B7:B44"/>
  </sortState>
  <mergeCells count="48">
    <mergeCell ref="CD3:CK3"/>
    <mergeCell ref="CB4:CC4"/>
    <mergeCell ref="CD4:CE4"/>
    <mergeCell ref="CF4:CG4"/>
    <mergeCell ref="CH4:CI4"/>
    <mergeCell ref="CJ4:CK4"/>
    <mergeCell ref="E3:L3"/>
    <mergeCell ref="C4:D4"/>
    <mergeCell ref="E4:F4"/>
    <mergeCell ref="G4:H4"/>
    <mergeCell ref="I4:J4"/>
    <mergeCell ref="K4:L4"/>
    <mergeCell ref="P3:W3"/>
    <mergeCell ref="N4:O4"/>
    <mergeCell ref="P4:Q4"/>
    <mergeCell ref="R4:S4"/>
    <mergeCell ref="T4:U4"/>
    <mergeCell ref="V4:W4"/>
    <mergeCell ref="AL3:AS3"/>
    <mergeCell ref="AJ4:AK4"/>
    <mergeCell ref="AL4:AM4"/>
    <mergeCell ref="AN4:AO4"/>
    <mergeCell ref="AP4:AQ4"/>
    <mergeCell ref="AR4:AS4"/>
    <mergeCell ref="AW3:BD3"/>
    <mergeCell ref="AU4:AV4"/>
    <mergeCell ref="AW4:AX4"/>
    <mergeCell ref="AY4:AZ4"/>
    <mergeCell ref="BA4:BB4"/>
    <mergeCell ref="BC4:BD4"/>
    <mergeCell ref="BH3:BO3"/>
    <mergeCell ref="BF4:BG4"/>
    <mergeCell ref="BH4:BI4"/>
    <mergeCell ref="BJ4:BK4"/>
    <mergeCell ref="BL4:BM4"/>
    <mergeCell ref="BN4:BO4"/>
    <mergeCell ref="BS3:BZ3"/>
    <mergeCell ref="BQ4:BR4"/>
    <mergeCell ref="BS4:BT4"/>
    <mergeCell ref="BU4:BV4"/>
    <mergeCell ref="BW4:BX4"/>
    <mergeCell ref="BY4:BZ4"/>
    <mergeCell ref="AA3:AH3"/>
    <mergeCell ref="Y4:Z4"/>
    <mergeCell ref="AA4:AB4"/>
    <mergeCell ref="AC4:AD4"/>
    <mergeCell ref="AE4:AF4"/>
    <mergeCell ref="AG4:AH4"/>
  </mergeCells>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B1:AF147"/>
  <sheetViews>
    <sheetView zoomScale="80" zoomScaleNormal="80" workbookViewId="0">
      <pane xSplit="4" ySplit="5" topLeftCell="E6" activePane="bottomRight" state="frozen"/>
      <selection pane="topRight" activeCell="E1" sqref="E1"/>
      <selection pane="bottomLeft" activeCell="A6" sqref="A6"/>
      <selection pane="bottomRight" activeCell="D2" sqref="D2"/>
    </sheetView>
  </sheetViews>
  <sheetFormatPr defaultRowHeight="14.5"/>
  <cols>
    <col min="2" max="2" width="27.1796875" customWidth="1"/>
    <col min="3" max="3" width="15.1796875" style="90" customWidth="1"/>
    <col min="4" max="4" width="17.81640625" style="90" customWidth="1"/>
    <col min="5" max="5" width="15.1796875" style="579" customWidth="1"/>
    <col min="6" max="6" width="16.453125" style="579" bestFit="1" customWidth="1"/>
    <col min="7" max="7" width="15.1796875" style="579" customWidth="1"/>
    <col min="8" max="8" width="16.453125" style="579" bestFit="1" customWidth="1"/>
    <col min="9" max="9" width="15.1796875" style="579" customWidth="1"/>
    <col min="10" max="10" width="18.1796875" style="579" bestFit="1" customWidth="1"/>
    <col min="11" max="16" width="15.1796875" style="90" customWidth="1"/>
    <col min="17" max="22" width="15.1796875" style="579" customWidth="1"/>
    <col min="23" max="28" width="15.1796875" style="90" customWidth="1"/>
    <col min="30" max="31" width="15.1796875" style="90" customWidth="1"/>
    <col min="32" max="32" width="18.1796875" customWidth="1"/>
  </cols>
  <sheetData>
    <row r="1" spans="2:32">
      <c r="G1" s="874" t="s">
        <v>41</v>
      </c>
      <c r="H1" s="874"/>
      <c r="I1" s="581">
        <f>SUM(E5,G5,I5)</f>
        <v>327807038.95667869</v>
      </c>
      <c r="J1" s="581">
        <f>SUM(F5,H5,J5)</f>
        <v>5580937658.6404209</v>
      </c>
      <c r="M1" s="875" t="s">
        <v>42</v>
      </c>
      <c r="N1" s="875"/>
      <c r="O1" s="581">
        <f>SUM(K5,M5,O5)</f>
        <v>349488828.08579087</v>
      </c>
      <c r="P1" s="581">
        <f>SUM(L5,N5,P5)</f>
        <v>5430192905.9421206</v>
      </c>
      <c r="S1" s="875" t="s">
        <v>44</v>
      </c>
      <c r="T1" s="875"/>
      <c r="U1" s="581">
        <f>SUM(Q5,S5,U5)</f>
        <v>382071206.28689998</v>
      </c>
      <c r="V1" s="581">
        <f>SUM(R5,T5,V5)</f>
        <v>5230924606.3955574</v>
      </c>
      <c r="Y1" s="875" t="s">
        <v>43</v>
      </c>
      <c r="Z1" s="875"/>
      <c r="AA1" s="581">
        <f>SUM(W5,Y5,AA5)</f>
        <v>375255554.52356821</v>
      </c>
      <c r="AB1" s="581">
        <f>SUM(X5,Z5,AB5)</f>
        <v>5245455525.9704647</v>
      </c>
      <c r="AD1" s="581"/>
      <c r="AE1" s="581"/>
    </row>
    <row r="2" spans="2:32">
      <c r="C2" s="90">
        <f>'P &amp; NP'!XB11</f>
        <v>1442332993.2170775</v>
      </c>
      <c r="D2" s="90">
        <f>'P &amp; NP'!XC11</f>
        <v>21538229550.790455</v>
      </c>
      <c r="E2" s="579">
        <f>'P &amp; NP'!XB13</f>
        <v>100101994.44623122</v>
      </c>
      <c r="F2" s="579">
        <f>'P &amp; NP'!XC13</f>
        <v>1708824660.6726377</v>
      </c>
      <c r="G2" s="579">
        <f>'P &amp; NP'!XB51</f>
        <v>109536390.1904958</v>
      </c>
      <c r="H2" s="579">
        <f>'P &amp; NP'!XC51</f>
        <v>1876742205.043</v>
      </c>
      <c r="I2" s="579">
        <f>'P &amp; NP'!XB89</f>
        <v>120474072.05049588</v>
      </c>
      <c r="J2" s="579">
        <f>'P &amp; NP'!XC89</f>
        <v>2017697158.6926963</v>
      </c>
      <c r="K2" s="90">
        <f>'P &amp; NP'!XB127</f>
        <v>117859121.10047056</v>
      </c>
      <c r="L2" s="90">
        <f>'P &amp; NP'!XC127</f>
        <v>1927245268.5372601</v>
      </c>
    </row>
    <row r="3" spans="2:32">
      <c r="C3" s="862" t="s">
        <v>165</v>
      </c>
      <c r="D3" s="862"/>
      <c r="E3" s="876" t="s">
        <v>251</v>
      </c>
      <c r="F3" s="876"/>
      <c r="G3" s="876" t="s">
        <v>252</v>
      </c>
      <c r="H3" s="876"/>
      <c r="I3" s="876" t="s">
        <v>47</v>
      </c>
      <c r="J3" s="876"/>
      <c r="K3" s="862" t="s">
        <v>48</v>
      </c>
      <c r="L3" s="862"/>
      <c r="M3" s="862" t="s">
        <v>49</v>
      </c>
      <c r="N3" s="862"/>
      <c r="O3" s="862" t="s">
        <v>50</v>
      </c>
      <c r="P3" s="862"/>
      <c r="Q3" s="876" t="s">
        <v>51</v>
      </c>
      <c r="R3" s="876"/>
      <c r="S3" s="876" t="s">
        <v>52</v>
      </c>
      <c r="T3" s="876"/>
      <c r="U3" s="876" t="s">
        <v>53</v>
      </c>
      <c r="V3" s="876"/>
      <c r="W3" s="862" t="s">
        <v>54</v>
      </c>
      <c r="X3" s="862"/>
      <c r="Y3" s="862" t="s">
        <v>253</v>
      </c>
      <c r="Z3" s="862"/>
      <c r="AA3" s="862" t="s">
        <v>56</v>
      </c>
      <c r="AB3" s="862"/>
      <c r="AD3" s="862"/>
      <c r="AE3" s="862"/>
    </row>
    <row r="4" spans="2:32">
      <c r="C4" s="87" t="s">
        <v>27</v>
      </c>
      <c r="D4" s="87" t="s">
        <v>28</v>
      </c>
      <c r="E4" s="580" t="s">
        <v>27</v>
      </c>
      <c r="F4" s="580" t="s">
        <v>28</v>
      </c>
      <c r="G4" s="580" t="s">
        <v>27</v>
      </c>
      <c r="H4" s="580" t="s">
        <v>28</v>
      </c>
      <c r="I4" s="580" t="s">
        <v>27</v>
      </c>
      <c r="J4" s="580" t="s">
        <v>28</v>
      </c>
      <c r="K4" s="87" t="s">
        <v>27</v>
      </c>
      <c r="L4" s="87" t="s">
        <v>28</v>
      </c>
      <c r="M4" s="87" t="s">
        <v>27</v>
      </c>
      <c r="N4" s="87" t="s">
        <v>28</v>
      </c>
      <c r="O4" s="87" t="s">
        <v>27</v>
      </c>
      <c r="P4" s="87" t="s">
        <v>28</v>
      </c>
      <c r="Q4" s="580" t="s">
        <v>27</v>
      </c>
      <c r="R4" s="580" t="s">
        <v>28</v>
      </c>
      <c r="S4" s="580" t="s">
        <v>27</v>
      </c>
      <c r="T4" s="580" t="s">
        <v>28</v>
      </c>
      <c r="U4" s="580" t="s">
        <v>27</v>
      </c>
      <c r="V4" s="580" t="s">
        <v>28</v>
      </c>
      <c r="W4" s="87" t="s">
        <v>27</v>
      </c>
      <c r="X4" s="87" t="s">
        <v>28</v>
      </c>
      <c r="Y4" s="87" t="s">
        <v>27</v>
      </c>
      <c r="Z4" s="87" t="s">
        <v>28</v>
      </c>
      <c r="AA4" s="87" t="s">
        <v>27</v>
      </c>
      <c r="AB4" s="87" t="s">
        <v>28</v>
      </c>
      <c r="AD4" s="87" t="s">
        <v>504</v>
      </c>
      <c r="AE4" s="87" t="s">
        <v>505</v>
      </c>
      <c r="AF4" s="87" t="s">
        <v>506</v>
      </c>
    </row>
    <row r="5" spans="2:32" s="577" customFormat="1">
      <c r="B5" s="575" t="s">
        <v>104</v>
      </c>
      <c r="C5" s="576">
        <f t="shared" ref="C5:AB5" si="0">SUM(C6:C34)</f>
        <v>1434622627.8529379</v>
      </c>
      <c r="D5" s="576">
        <f t="shared" si="0"/>
        <v>21487510696.948566</v>
      </c>
      <c r="E5" s="576">
        <f t="shared" si="0"/>
        <v>99089565.715687007</v>
      </c>
      <c r="F5" s="576">
        <f t="shared" si="0"/>
        <v>1693995265.9047248</v>
      </c>
      <c r="G5" s="576">
        <f t="shared" si="0"/>
        <v>109003151.1904958</v>
      </c>
      <c r="H5" s="576">
        <f t="shared" si="0"/>
        <v>1873571984.043</v>
      </c>
      <c r="I5" s="576">
        <f t="shared" si="0"/>
        <v>119714322.05049588</v>
      </c>
      <c r="J5" s="576">
        <f t="shared" si="0"/>
        <v>2013370408.6926963</v>
      </c>
      <c r="K5" s="576">
        <f t="shared" si="0"/>
        <v>117451163.10047056</v>
      </c>
      <c r="L5" s="576">
        <f t="shared" si="0"/>
        <v>1924440329.5372601</v>
      </c>
      <c r="M5" s="576">
        <f t="shared" si="0"/>
        <v>120324000.62826431</v>
      </c>
      <c r="N5" s="576">
        <f t="shared" si="0"/>
        <v>1913403170.5359998</v>
      </c>
      <c r="O5" s="576">
        <f t="shared" si="0"/>
        <v>111713664.35705605</v>
      </c>
      <c r="P5" s="576">
        <f t="shared" si="0"/>
        <v>1592349405.8688605</v>
      </c>
      <c r="Q5" s="576">
        <f t="shared" si="0"/>
        <v>124471992.36990422</v>
      </c>
      <c r="R5" s="576">
        <f t="shared" si="0"/>
        <v>1691568996.5795577</v>
      </c>
      <c r="S5" s="576">
        <f t="shared" si="0"/>
        <v>124597935.48561127</v>
      </c>
      <c r="T5" s="576">
        <f t="shared" si="0"/>
        <v>1735259511.2839999</v>
      </c>
      <c r="U5" s="576">
        <f t="shared" si="0"/>
        <v>133001278.43138452</v>
      </c>
      <c r="V5" s="576">
        <f t="shared" si="0"/>
        <v>1804096098.5319998</v>
      </c>
      <c r="W5" s="576">
        <f t="shared" si="0"/>
        <v>119693539.81799743</v>
      </c>
      <c r="X5" s="576">
        <f t="shared" si="0"/>
        <v>1620254314.3555934</v>
      </c>
      <c r="Y5" s="576">
        <f t="shared" si="0"/>
        <v>122095227.08580345</v>
      </c>
      <c r="Z5" s="576">
        <f t="shared" si="0"/>
        <v>1715748770.9722257</v>
      </c>
      <c r="AA5" s="576">
        <f t="shared" si="0"/>
        <v>133466787.61976735</v>
      </c>
      <c r="AB5" s="576">
        <f t="shared" si="0"/>
        <v>1909452440.6426463</v>
      </c>
      <c r="AD5" s="576"/>
      <c r="AE5" s="576"/>
    </row>
    <row r="6" spans="2:32">
      <c r="B6" s="116" t="str">
        <f>'P &amp; NP'!B14</f>
        <v xml:space="preserve">Bandeng </v>
      </c>
      <c r="C6" s="90">
        <f>SUMIF($E$4:$AB$4,$C$4,E6:AB6)</f>
        <v>167576960.45556366</v>
      </c>
      <c r="D6" s="90">
        <f>SUMIF($E$4:$AB$4,$D$4,E6:AB6)</f>
        <v>3645094470.8809285</v>
      </c>
      <c r="E6" s="579">
        <f>'P &amp; NP'!XB14</f>
        <v>13740168.330849607</v>
      </c>
      <c r="F6" s="579">
        <f>'P &amp; NP'!XC14</f>
        <v>283249988.13563472</v>
      </c>
      <c r="G6" s="579">
        <f>'P &amp; NP'!XB52</f>
        <v>16364848.010473404</v>
      </c>
      <c r="H6" s="579">
        <f>'P &amp; NP'!XC52</f>
        <v>343358219.01300001</v>
      </c>
      <c r="I6" s="579">
        <f>'P &amp; NP'!XB90</f>
        <v>17019349.980475336</v>
      </c>
      <c r="J6" s="579">
        <f>'P &amp; NP'!XC90</f>
        <v>390517595.01100004</v>
      </c>
      <c r="K6" s="90">
        <f>'P &amp; NP'!XB128</f>
        <v>15562880.7804312</v>
      </c>
      <c r="L6" s="90">
        <f>'P &amp; NP'!XC128</f>
        <v>343887027.00999999</v>
      </c>
      <c r="M6" s="90">
        <f>'P &amp; NP'!XB166</f>
        <v>16229578.31643191</v>
      </c>
      <c r="N6" s="90">
        <f>'P &amp; NP'!XC166</f>
        <v>343020823.32999998</v>
      </c>
      <c r="O6" s="90">
        <f>'P &amp; NP'!XB204</f>
        <v>14518387.528249526</v>
      </c>
      <c r="P6" s="90">
        <f>'P &amp; NP'!XC204</f>
        <v>297162285.18220234</v>
      </c>
      <c r="Q6" s="579">
        <f>'P &amp; NP'!XB242</f>
        <v>12099036.65983066</v>
      </c>
      <c r="R6" s="579">
        <f>'P &amp; NP'!XC242</f>
        <v>257205281.63883436</v>
      </c>
      <c r="S6" s="579">
        <f>'P &amp; NP'!XB280</f>
        <v>12626058.605606697</v>
      </c>
      <c r="T6" s="579">
        <f>'P &amp; NP'!XC280</f>
        <v>275636699.38199997</v>
      </c>
      <c r="U6" s="579">
        <f>'P &amp; NP'!XB318</f>
        <v>13368106.641342066</v>
      </c>
      <c r="V6" s="579">
        <f>'P &amp; NP'!XC318</f>
        <v>292805515.42799997</v>
      </c>
      <c r="W6" s="90">
        <f>'P &amp; NP'!XB356</f>
        <v>11534248.459231924</v>
      </c>
      <c r="X6" s="90">
        <f>'P &amp; NP'!XC356</f>
        <v>263253175.333</v>
      </c>
      <c r="Y6" s="90">
        <f>'P &amp; NP'!XB394</f>
        <v>11870190.534029365</v>
      </c>
      <c r="Z6" s="90">
        <f>'P &amp; NP'!XC394</f>
        <v>269761373.00161064</v>
      </c>
      <c r="AA6" s="90">
        <f>'P &amp; NP'!XB432</f>
        <v>12644106.60861196</v>
      </c>
      <c r="AB6" s="90">
        <f>'P &amp; NP'!XC432</f>
        <v>285236488.41564626</v>
      </c>
      <c r="AD6" s="90">
        <f>SUM(E6,G6,I6,K6,M6,O6,Q6,S6,U6,W6,Y6,AA6)</f>
        <v>167576960.45556366</v>
      </c>
      <c r="AE6" s="90">
        <f>SUM(F6,H6,J6,L6,N6,P6,R6,T6,V6,X6,Z6,AB6)</f>
        <v>3645094470.8809285</v>
      </c>
      <c r="AF6" s="116">
        <f>AE6/AD6*1000</f>
        <v>21751.763852092885</v>
      </c>
    </row>
    <row r="7" spans="2:32">
      <c r="B7" s="116" t="str">
        <f>'P &amp; NP'!B15</f>
        <v xml:space="preserve">Bawal </v>
      </c>
      <c r="C7" s="90">
        <f t="shared" ref="C7:C34" si="1">SUMIF($E$4:$AB$4,$C$4,E7:AB7)</f>
        <v>5963205</v>
      </c>
      <c r="D7" s="90">
        <f t="shared" ref="D7:D34" si="2">SUMIF($E$4:$AB$4,$D$4,E7:AB7)</f>
        <v>93511174</v>
      </c>
      <c r="E7" s="579">
        <f>'P &amp; NP'!XB15</f>
        <v>500095</v>
      </c>
      <c r="F7" s="579">
        <f>'P &amp; NP'!XC15</f>
        <v>7761670</v>
      </c>
      <c r="G7" s="579">
        <f>'P &amp; NP'!XB53</f>
        <v>495820</v>
      </c>
      <c r="H7" s="579">
        <f>'P &amp; NP'!XC53</f>
        <v>7688280</v>
      </c>
      <c r="I7" s="579">
        <f>'P &amp; NP'!XB91</f>
        <v>570635</v>
      </c>
      <c r="J7" s="579">
        <f>'P &amp; NP'!XC91</f>
        <v>8859850</v>
      </c>
      <c r="K7" s="90">
        <f>'P &amp; NP'!XB129</f>
        <v>505850</v>
      </c>
      <c r="L7" s="90">
        <f>'P &amp; NP'!XC129</f>
        <v>7596990</v>
      </c>
      <c r="M7" s="90">
        <f>'P &amp; NP'!XB167</f>
        <v>537695</v>
      </c>
      <c r="N7" s="90">
        <f>'P &amp; NP'!XC167</f>
        <v>8455700</v>
      </c>
      <c r="O7" s="90">
        <f>'P &amp; NP'!XB205</f>
        <v>521807</v>
      </c>
      <c r="P7" s="90">
        <f>'P &amp; NP'!XC205</f>
        <v>7659976</v>
      </c>
      <c r="Q7" s="579">
        <f>'P &amp; NP'!XB243</f>
        <v>529090</v>
      </c>
      <c r="R7" s="579">
        <f>'P &amp; NP'!XC243</f>
        <v>8491110</v>
      </c>
      <c r="S7" s="579">
        <f>'P &amp; NP'!XB281</f>
        <v>411719</v>
      </c>
      <c r="T7" s="579">
        <f>'P &amp; NP'!XC281</f>
        <v>6589686</v>
      </c>
      <c r="U7" s="579">
        <f>'P &amp; NP'!XB319</f>
        <v>394897</v>
      </c>
      <c r="V7" s="579">
        <f>'P &amp; NP'!XC319</f>
        <v>6409756</v>
      </c>
      <c r="W7" s="90">
        <f>'P &amp; NP'!XB357</f>
        <v>542284</v>
      </c>
      <c r="X7" s="90">
        <f>'P &amp; NP'!XC357</f>
        <v>8674592</v>
      </c>
      <c r="Y7" s="90">
        <f>'P &amp; NP'!XB395</f>
        <v>447865</v>
      </c>
      <c r="Z7" s="90">
        <f>'P &amp; NP'!XC395</f>
        <v>7114180</v>
      </c>
      <c r="AA7" s="90">
        <f>'P &amp; NP'!XB433</f>
        <v>505448</v>
      </c>
      <c r="AB7" s="90">
        <f>'P &amp; NP'!XC433</f>
        <v>8209384</v>
      </c>
      <c r="AD7" s="90">
        <f t="shared" ref="AD7:AD34" si="3">SUM(E7,G7,I7,K7,M7,O7,Q7,S7,U7,W7,Y7,AA7)</f>
        <v>5963205</v>
      </c>
      <c r="AE7" s="90">
        <f t="shared" ref="AE7:AE34" si="4">SUM(F7,H7,J7,L7,N7,P7,R7,T7,V7,X7,Z7,AB7)</f>
        <v>93511174</v>
      </c>
      <c r="AF7" s="116">
        <f t="shared" ref="AF7:AF34" si="5">AE7/AD7*1000</f>
        <v>15681.36161678158</v>
      </c>
    </row>
    <row r="8" spans="2:32">
      <c r="B8" s="116" t="str">
        <f>'P &amp; NP'!B16</f>
        <v xml:space="preserve">Belanak </v>
      </c>
      <c r="C8" s="90">
        <f t="shared" si="1"/>
        <v>1355843</v>
      </c>
      <c r="D8" s="90">
        <f t="shared" si="2"/>
        <v>36575446</v>
      </c>
      <c r="E8" s="579">
        <f>'P &amp; NP'!XB16</f>
        <v>168240</v>
      </c>
      <c r="F8" s="579">
        <f>'P &amp; NP'!XC16</f>
        <v>4077080</v>
      </c>
      <c r="G8" s="579">
        <f>'P &amp; NP'!XB54</f>
        <v>166770</v>
      </c>
      <c r="H8" s="579">
        <f>'P &amp; NP'!XC54</f>
        <v>4168140</v>
      </c>
      <c r="I8" s="579">
        <f>'P &amp; NP'!XB92</f>
        <v>175820</v>
      </c>
      <c r="J8" s="579">
        <f>'P &amp; NP'!XC92</f>
        <v>4393340</v>
      </c>
      <c r="K8" s="90">
        <f>'P &amp; NP'!XB130</f>
        <v>81962</v>
      </c>
      <c r="L8" s="90">
        <f>'P &amp; NP'!XC130</f>
        <v>1963164</v>
      </c>
      <c r="M8" s="90">
        <f>'P &amp; NP'!XB168</f>
        <v>68050</v>
      </c>
      <c r="N8" s="90">
        <f>'P &amp; NP'!XC168</f>
        <v>1699600</v>
      </c>
      <c r="O8" s="90">
        <f>'P &amp; NP'!XB206</f>
        <v>76950</v>
      </c>
      <c r="P8" s="90">
        <f>'P &amp; NP'!XC206</f>
        <v>2082300</v>
      </c>
      <c r="Q8" s="579">
        <f>'P &amp; NP'!XB244</f>
        <v>60150</v>
      </c>
      <c r="R8" s="579">
        <f>'P &amp; NP'!XC244</f>
        <v>1803300</v>
      </c>
      <c r="S8" s="579">
        <f>'P &amp; NP'!XB282</f>
        <v>61110</v>
      </c>
      <c r="T8" s="579">
        <f>'P &amp; NP'!XC282</f>
        <v>1747720</v>
      </c>
      <c r="U8" s="579">
        <f>'P &amp; NP'!XB320</f>
        <v>66170</v>
      </c>
      <c r="V8" s="579">
        <f>'P &amp; NP'!XC320</f>
        <v>1739540</v>
      </c>
      <c r="W8" s="90">
        <f>'P &amp; NP'!XB358</f>
        <v>144473</v>
      </c>
      <c r="X8" s="90">
        <f>'P &amp; NP'!XC358</f>
        <v>4324406</v>
      </c>
      <c r="Y8" s="90">
        <f>'P &amp; NP'!XB396</f>
        <v>123023</v>
      </c>
      <c r="Z8" s="90">
        <f>'P &amp; NP'!XC396</f>
        <v>3687306</v>
      </c>
      <c r="AA8" s="90">
        <f>'P &amp; NP'!XB434</f>
        <v>163125</v>
      </c>
      <c r="AB8" s="90">
        <f>'P &amp; NP'!XC434</f>
        <v>4889550</v>
      </c>
      <c r="AD8" s="90">
        <f t="shared" si="3"/>
        <v>1355843</v>
      </c>
      <c r="AE8" s="90">
        <f t="shared" si="4"/>
        <v>36575446</v>
      </c>
      <c r="AF8" s="116">
        <f t="shared" si="5"/>
        <v>26976.166119528589</v>
      </c>
    </row>
    <row r="9" spans="2:32">
      <c r="B9" s="116" t="str">
        <f>'P &amp; NP'!B17</f>
        <v xml:space="preserve">Eucheuma cottonii </v>
      </c>
      <c r="C9" s="90">
        <f t="shared" si="1"/>
        <v>759882881</v>
      </c>
      <c r="D9" s="90">
        <f t="shared" si="2"/>
        <v>3814877372</v>
      </c>
      <c r="E9" s="579">
        <f>'P &amp; NP'!XB17</f>
        <v>46883920</v>
      </c>
      <c r="F9" s="579">
        <f>'P &amp; NP'!XC17</f>
        <v>281297520</v>
      </c>
      <c r="G9" s="579">
        <f>'P &amp; NP'!XB55</f>
        <v>50665238</v>
      </c>
      <c r="H9" s="579">
        <f>'P &amp; NP'!XC55</f>
        <v>303985428</v>
      </c>
      <c r="I9" s="579">
        <f>'P &amp; NP'!XB93</f>
        <v>57565459</v>
      </c>
      <c r="J9" s="579">
        <f>'P &amp; NP'!XC93</f>
        <v>345386754</v>
      </c>
      <c r="K9" s="90">
        <f>'P &amp; NP'!XB131</f>
        <v>55621050</v>
      </c>
      <c r="L9" s="90">
        <f>'P &amp; NP'!XC131</f>
        <v>278101750</v>
      </c>
      <c r="M9" s="90">
        <f>'P &amp; NP'!XB169</f>
        <v>56493754</v>
      </c>
      <c r="N9" s="90">
        <f>'P &amp; NP'!XC169</f>
        <v>282468770</v>
      </c>
      <c r="O9" s="90">
        <f>'P &amp; NP'!XB207</f>
        <v>55854400</v>
      </c>
      <c r="P9" s="90">
        <f>'P &amp; NP'!XC207</f>
        <v>139641850</v>
      </c>
      <c r="Q9" s="579">
        <f>'P &amp; NP'!XB245</f>
        <v>73951410</v>
      </c>
      <c r="R9" s="579">
        <f>'P &amp; NP'!XC245</f>
        <v>369757050</v>
      </c>
      <c r="S9" s="579">
        <f>'P &amp; NP'!XB283</f>
        <v>70429730</v>
      </c>
      <c r="T9" s="579">
        <f>'P &amp; NP'!XC283</f>
        <v>352148650</v>
      </c>
      <c r="U9" s="579">
        <f>'P &amp; NP'!XB321</f>
        <v>78539080</v>
      </c>
      <c r="V9" s="579">
        <f>'P &amp; NP'!XC321</f>
        <v>392695400</v>
      </c>
      <c r="W9" s="90">
        <f>'P &amp; NP'!XB359</f>
        <v>66735270</v>
      </c>
      <c r="X9" s="90">
        <f>'P &amp; NP'!XC359</f>
        <v>333676350</v>
      </c>
      <c r="Y9" s="90">
        <f>'P &amp; NP'!XB397</f>
        <v>70465020</v>
      </c>
      <c r="Z9" s="90">
        <f>'P &amp; NP'!XC397</f>
        <v>352325100</v>
      </c>
      <c r="AA9" s="90">
        <f>'P &amp; NP'!XB435</f>
        <v>76678550</v>
      </c>
      <c r="AB9" s="90">
        <f>'P &amp; NP'!XC435</f>
        <v>383392750</v>
      </c>
      <c r="AD9" s="90">
        <f t="shared" si="3"/>
        <v>759882881</v>
      </c>
      <c r="AE9" s="90">
        <f t="shared" si="4"/>
        <v>3814877372</v>
      </c>
      <c r="AF9" s="116">
        <f t="shared" si="5"/>
        <v>5020.3491450941101</v>
      </c>
    </row>
    <row r="10" spans="2:32">
      <c r="B10" s="116" t="str">
        <f>'P &amp; NP'!B18</f>
        <v xml:space="preserve">Gabus </v>
      </c>
      <c r="C10" s="90">
        <f t="shared" si="1"/>
        <v>216504</v>
      </c>
      <c r="D10" s="90">
        <f t="shared" si="2"/>
        <v>9522809</v>
      </c>
      <c r="E10" s="579">
        <f>'P &amp; NP'!XB18</f>
        <v>11754</v>
      </c>
      <c r="F10" s="579">
        <f>'P &amp; NP'!XC18</f>
        <v>462400</v>
      </c>
      <c r="G10" s="579">
        <f>'P &amp; NP'!XB56</f>
        <v>12181</v>
      </c>
      <c r="H10" s="579">
        <f>'P &amp; NP'!XC56</f>
        <v>485390</v>
      </c>
      <c r="I10" s="579">
        <f>'P &amp; NP'!XB94</f>
        <v>12482</v>
      </c>
      <c r="J10" s="579">
        <f>'P &amp; NP'!XC94</f>
        <v>532870</v>
      </c>
      <c r="K10" s="90">
        <f>'P &amp; NP'!XB132</f>
        <v>50688</v>
      </c>
      <c r="L10" s="90">
        <f>'P &amp; NP'!XC132</f>
        <v>2393860</v>
      </c>
      <c r="M10" s="90">
        <f>'P &amp; NP'!XB170</f>
        <v>50967</v>
      </c>
      <c r="N10" s="90">
        <f>'P &amp; NP'!XC170</f>
        <v>2416074</v>
      </c>
      <c r="O10" s="90">
        <f>'P &amp; NP'!XB208</f>
        <v>34736</v>
      </c>
      <c r="P10" s="90">
        <f>'P &amp; NP'!XC208</f>
        <v>1633175</v>
      </c>
      <c r="Q10" s="579">
        <f>'P &amp; NP'!XB246</f>
        <v>6903</v>
      </c>
      <c r="R10" s="579">
        <f>'P &amp; NP'!XC246</f>
        <v>237965</v>
      </c>
      <c r="S10" s="579">
        <f>'P &amp; NP'!XB284</f>
        <v>7072</v>
      </c>
      <c r="T10" s="579">
        <f>'P &amp; NP'!XC284</f>
        <v>270110</v>
      </c>
      <c r="U10" s="579">
        <f>'P &amp; NP'!XB322</f>
        <v>7146</v>
      </c>
      <c r="V10" s="579">
        <f>'P &amp; NP'!XC322</f>
        <v>274720</v>
      </c>
      <c r="W10" s="90">
        <f>'P &amp; NP'!XB360</f>
        <v>8371</v>
      </c>
      <c r="X10" s="90">
        <f>'P &amp; NP'!XC360</f>
        <v>298975</v>
      </c>
      <c r="Y10" s="90">
        <f>'P &amp; NP'!XB398</f>
        <v>6219</v>
      </c>
      <c r="Z10" s="90">
        <f>'P &amp; NP'!XC398</f>
        <v>230765</v>
      </c>
      <c r="AA10" s="90">
        <f>'P &amp; NP'!XB436</f>
        <v>7985</v>
      </c>
      <c r="AB10" s="90">
        <f>'P &amp; NP'!XC436</f>
        <v>286505</v>
      </c>
      <c r="AD10" s="90">
        <f t="shared" si="3"/>
        <v>216504</v>
      </c>
      <c r="AE10" s="90">
        <f t="shared" si="4"/>
        <v>9522809</v>
      </c>
      <c r="AF10" s="116">
        <f t="shared" si="5"/>
        <v>43984.448324280384</v>
      </c>
    </row>
    <row r="11" spans="2:32">
      <c r="B11" s="116" t="str">
        <f>'P &amp; NP'!B19</f>
        <v xml:space="preserve">Gracilaria verrucosa </v>
      </c>
      <c r="C11" s="90">
        <f t="shared" si="1"/>
        <v>23010701.938114382</v>
      </c>
      <c r="D11" s="90">
        <f t="shared" si="2"/>
        <v>51804029.592139453</v>
      </c>
      <c r="E11" s="579">
        <f>'P &amp; NP'!XB19</f>
        <v>1134787.9573909</v>
      </c>
      <c r="F11" s="579">
        <f>'P &amp; NP'!XC19</f>
        <v>2260238.4947818001</v>
      </c>
      <c r="G11" s="579">
        <f>'P &amp; NP'!XB57</f>
        <v>571081.23</v>
      </c>
      <c r="H11" s="579">
        <f>'P &amp; NP'!XC57</f>
        <v>1614744</v>
      </c>
      <c r="I11" s="579">
        <f>'P &amp; NP'!XB95</f>
        <v>726881.2</v>
      </c>
      <c r="J11" s="579">
        <f>'P &amp; NP'!XC95</f>
        <v>1595318</v>
      </c>
      <c r="K11" s="90">
        <f>'P &amp; NP'!XB133</f>
        <v>1528618.3599999999</v>
      </c>
      <c r="L11" s="90">
        <f>'P &amp; NP'!XC133</f>
        <v>3394699</v>
      </c>
      <c r="M11" s="90">
        <f>'P &amp; NP'!XB171</f>
        <v>2203746.9900000002</v>
      </c>
      <c r="N11" s="90">
        <f>'P &amp; NP'!XC171</f>
        <v>4907053</v>
      </c>
      <c r="O11" s="90">
        <f>'P &amp; NP'!XB209</f>
        <v>1996914.83027113</v>
      </c>
      <c r="P11" s="90">
        <f>'P &amp; NP'!XC209</f>
        <v>5194774.3616267797</v>
      </c>
      <c r="Q11" s="579">
        <f>'P &amp; NP'!XB247</f>
        <v>2653869.8912523501</v>
      </c>
      <c r="R11" s="579">
        <f>'P &amp; NP'!XC247</f>
        <v>5543652.0781308748</v>
      </c>
      <c r="S11" s="579">
        <f>'P &amp; NP'!XB285</f>
        <v>3446483.9</v>
      </c>
      <c r="T11" s="579">
        <f>'P &amp; NP'!XC285</f>
        <v>7563267</v>
      </c>
      <c r="U11" s="579">
        <f>'P &amp; NP'!XB323</f>
        <v>2553356.27</v>
      </c>
      <c r="V11" s="579">
        <f>'P &amp; NP'!XC323</f>
        <v>5639929</v>
      </c>
      <c r="W11" s="90">
        <f>'P &amp; NP'!XB361</f>
        <v>2643983.31</v>
      </c>
      <c r="X11" s="90">
        <f>'P &amp; NP'!XC361</f>
        <v>6034916</v>
      </c>
      <c r="Y11" s="90">
        <f>'P &amp; NP'!XB399</f>
        <v>1802071.1392000001</v>
      </c>
      <c r="Z11" s="90">
        <f>'P &amp; NP'!XC399</f>
        <v>4128516.6575999996</v>
      </c>
      <c r="AA11" s="90">
        <f>'P &amp; NP'!XB437</f>
        <v>1748906.86</v>
      </c>
      <c r="AB11" s="90">
        <f>'P &amp; NP'!XC437</f>
        <v>3926922</v>
      </c>
      <c r="AD11" s="90">
        <f t="shared" si="3"/>
        <v>23010701.938114382</v>
      </c>
      <c r="AE11" s="90">
        <f t="shared" si="4"/>
        <v>51804029.592139453</v>
      </c>
      <c r="AF11" s="116">
        <f t="shared" si="5"/>
        <v>2251.301578346573</v>
      </c>
    </row>
    <row r="12" spans="2:32">
      <c r="B12" s="116" t="str">
        <f>'P &amp; NP'!B20</f>
        <v xml:space="preserve">Gurame, Gurami </v>
      </c>
      <c r="C12" s="90">
        <f t="shared" si="1"/>
        <v>39288355.986463733</v>
      </c>
      <c r="D12" s="90">
        <f t="shared" si="2"/>
        <v>1073271737.622541</v>
      </c>
      <c r="E12" s="579">
        <f>'P &amp; NP'!XB20</f>
        <v>3106814.09</v>
      </c>
      <c r="F12" s="579">
        <f>'P &amp; NP'!XC20</f>
        <v>81280351.011851519</v>
      </c>
      <c r="G12" s="579">
        <f>'P &amp; NP'!XB58</f>
        <v>3017894.52</v>
      </c>
      <c r="H12" s="579">
        <f>'P &amp; NP'!XC58</f>
        <v>78693390</v>
      </c>
      <c r="I12" s="579">
        <f>'P &amp; NP'!XB96</f>
        <v>3249317.5</v>
      </c>
      <c r="J12" s="579">
        <f>'P &amp; NP'!XC96</f>
        <v>83986529.724507123</v>
      </c>
      <c r="K12" s="90">
        <f>'P &amp; NP'!XB134</f>
        <v>3400577.1900000004</v>
      </c>
      <c r="L12" s="90">
        <f>'P &amp; NP'!XC134</f>
        <v>92699469.670000002</v>
      </c>
      <c r="M12" s="90">
        <f>'P &amp; NP'!XB172</f>
        <v>3435012.84</v>
      </c>
      <c r="N12" s="90">
        <f>'P &amp; NP'!XC172</f>
        <v>101510940</v>
      </c>
      <c r="O12" s="90">
        <f>'P &amp; NP'!XB210</f>
        <v>3439178.1250028005</v>
      </c>
      <c r="P12" s="90">
        <f>'P &amp; NP'!XC210</f>
        <v>101951797.12507001</v>
      </c>
      <c r="Q12" s="579">
        <f>'P &amp; NP'!XB248</f>
        <v>3209158.55</v>
      </c>
      <c r="R12" s="579">
        <f>'P &amp; NP'!XC248</f>
        <v>84671179</v>
      </c>
      <c r="S12" s="579">
        <f>'P &amp; NP'!XB286</f>
        <v>3159469.05</v>
      </c>
      <c r="T12" s="579">
        <f>'P &amp; NP'!XC286</f>
        <v>81896209</v>
      </c>
      <c r="U12" s="579">
        <f>'P &amp; NP'!XB324</f>
        <v>3139077.16</v>
      </c>
      <c r="V12" s="579">
        <f>'P &amp; NP'!XC324</f>
        <v>81208206</v>
      </c>
      <c r="W12" s="90">
        <f>'P &amp; NP'!XB362</f>
        <v>3158850.099696558</v>
      </c>
      <c r="X12" s="90">
        <f>'P &amp; NP'!XC362</f>
        <v>84274338.659000009</v>
      </c>
      <c r="Y12" s="90">
        <f>'P &amp; NP'!XB400</f>
        <v>3405466.5177370738</v>
      </c>
      <c r="Z12" s="90">
        <f>'P &amp; NP'!XC400</f>
        <v>97509731.432112217</v>
      </c>
      <c r="AA12" s="90">
        <f>'P &amp; NP'!XB438</f>
        <v>3567540.3440272938</v>
      </c>
      <c r="AB12" s="90">
        <f>'P &amp; NP'!XC438</f>
        <v>103589596</v>
      </c>
      <c r="AD12" s="90">
        <f t="shared" si="3"/>
        <v>39288355.986463733</v>
      </c>
      <c r="AE12" s="90">
        <f t="shared" si="4"/>
        <v>1073271737.622541</v>
      </c>
      <c r="AF12" s="116">
        <f t="shared" si="5"/>
        <v>27317.807291104829</v>
      </c>
    </row>
    <row r="13" spans="2:32">
      <c r="B13" s="116" t="str">
        <f>'P &amp; NP'!B21</f>
        <v>Kakap Putih</v>
      </c>
      <c r="C13" s="90">
        <f t="shared" si="1"/>
        <v>1817003.0758633555</v>
      </c>
      <c r="D13" s="90">
        <f t="shared" si="2"/>
        <v>110974737.86546618</v>
      </c>
      <c r="E13" s="579">
        <f>'P &amp; NP'!XB21</f>
        <v>187252.23380237288</v>
      </c>
      <c r="F13" s="579">
        <f>'P &amp; NP'!XC21</f>
        <v>11877106.014071187</v>
      </c>
      <c r="G13" s="579">
        <f>'P &amp; NP'!XB59</f>
        <v>216062.91</v>
      </c>
      <c r="H13" s="579">
        <f>'P &amp; NP'!XC59</f>
        <v>13996817</v>
      </c>
      <c r="I13" s="579">
        <f>'P &amp; NP'!XB97</f>
        <v>226098</v>
      </c>
      <c r="J13" s="579">
        <f>'P &amp; NP'!XC97</f>
        <v>13943605</v>
      </c>
      <c r="K13" s="90">
        <f>'P &amp; NP'!XB135</f>
        <v>110975.67</v>
      </c>
      <c r="L13" s="90">
        <f>'P &amp; NP'!XC135</f>
        <v>7175535</v>
      </c>
      <c r="M13" s="90">
        <f>'P &amp; NP'!XB173</f>
        <v>112111.24</v>
      </c>
      <c r="N13" s="90">
        <f>'P &amp; NP'!XC173</f>
        <v>6947392</v>
      </c>
      <c r="O13" s="90">
        <f>'P &amp; NP'!XB211</f>
        <v>122582.16864292529</v>
      </c>
      <c r="P13" s="90">
        <f>'P &amp; NP'!XC211</f>
        <v>7406440.0592877585</v>
      </c>
      <c r="Q13" s="579">
        <f>'P &amp; NP'!XB249</f>
        <v>82083.002205931494</v>
      </c>
      <c r="R13" s="579">
        <f>'P &amp; NP'!XC249</f>
        <v>4959425.0772076026</v>
      </c>
      <c r="S13" s="579">
        <f>'P &amp; NP'!XB287</f>
        <v>86505</v>
      </c>
      <c r="T13" s="579">
        <f>'P &amp; NP'!XC287</f>
        <v>5102981</v>
      </c>
      <c r="U13" s="579">
        <f>'P &amp; NP'!XB325</f>
        <v>93940</v>
      </c>
      <c r="V13" s="579">
        <f>'P &amp; NP'!XC325</f>
        <v>5633724</v>
      </c>
      <c r="W13" s="90">
        <f>'P &amp; NP'!XB363</f>
        <v>179337.35244356512</v>
      </c>
      <c r="X13" s="90">
        <f>'P &amp; NP'!XC363</f>
        <v>10493980.007999999</v>
      </c>
      <c r="Y13" s="90">
        <f>'P &amp; NP'!XB401</f>
        <v>163134.24876856065</v>
      </c>
      <c r="Z13" s="90">
        <f>'P &amp; NP'!XC401</f>
        <v>9524933.7068996225</v>
      </c>
      <c r="AA13" s="90">
        <f>'P &amp; NP'!XB439</f>
        <v>236921.25</v>
      </c>
      <c r="AB13" s="90">
        <f>'P &amp; NP'!XC439</f>
        <v>13912799</v>
      </c>
      <c r="AD13" s="90">
        <f t="shared" si="3"/>
        <v>1817003.0758633555</v>
      </c>
      <c r="AE13" s="90">
        <f t="shared" si="4"/>
        <v>110974737.86546618</v>
      </c>
      <c r="AF13" s="116">
        <f t="shared" si="5"/>
        <v>61075.701708835099</v>
      </c>
    </row>
    <row r="14" spans="2:32">
      <c r="B14" s="116" t="str">
        <f>'P &amp; NP'!B22</f>
        <v>Kepiting  Bakau</v>
      </c>
      <c r="C14" s="90">
        <f t="shared" si="1"/>
        <v>721293.96853126388</v>
      </c>
      <c r="D14" s="90">
        <f t="shared" si="2"/>
        <v>37889402.250673778</v>
      </c>
      <c r="E14" s="579">
        <f>'P &amp; NP'!XB22</f>
        <v>51209.101996384925</v>
      </c>
      <c r="F14" s="579">
        <f>'P &amp; NP'!XC22</f>
        <v>3066546.1197830951</v>
      </c>
      <c r="G14" s="579">
        <f>'P &amp; NP'!XB60</f>
        <v>60198</v>
      </c>
      <c r="H14" s="579">
        <f>'P &amp; NP'!XC60</f>
        <v>3208478</v>
      </c>
      <c r="I14" s="579">
        <f>'P &amp; NP'!XB98</f>
        <v>74813</v>
      </c>
      <c r="J14" s="579">
        <f>'P &amp; NP'!XC98</f>
        <v>3456178</v>
      </c>
      <c r="K14" s="90">
        <f>'P &amp; NP'!XB136</f>
        <v>63881</v>
      </c>
      <c r="L14" s="90">
        <f>'P &amp; NP'!XC136</f>
        <v>3568124</v>
      </c>
      <c r="M14" s="90">
        <f>'P &amp; NP'!XB174</f>
        <v>61257</v>
      </c>
      <c r="N14" s="90">
        <f>'P &amp; NP'!XC174</f>
        <v>2842496</v>
      </c>
      <c r="O14" s="90">
        <f>'P &amp; NP'!XB212</f>
        <v>44878.185599999997</v>
      </c>
      <c r="P14" s="90">
        <f>'P &amp; NP'!XC212</f>
        <v>4049047.84</v>
      </c>
      <c r="Q14" s="579">
        <f>'P &amp; NP'!XB250</f>
        <v>61473.247586301375</v>
      </c>
      <c r="R14" s="579">
        <f>'P &amp; NP'!XC250</f>
        <v>2609838.6655205479</v>
      </c>
      <c r="S14" s="579">
        <f>'P &amp; NP'!XB288</f>
        <v>62360</v>
      </c>
      <c r="T14" s="579">
        <f>'P &amp; NP'!XC288</f>
        <v>2837967</v>
      </c>
      <c r="U14" s="579">
        <f>'P &amp; NP'!XB326</f>
        <v>74935</v>
      </c>
      <c r="V14" s="579">
        <f>'P &amp; NP'!XC326</f>
        <v>3451512</v>
      </c>
      <c r="W14" s="90">
        <f>'P &amp; NP'!XB364</f>
        <v>59497.195442408753</v>
      </c>
      <c r="X14" s="90">
        <f>'P &amp; NP'!XC364</f>
        <v>2823625.551</v>
      </c>
      <c r="Y14" s="90">
        <f>'P &amp; NP'!XB402</f>
        <v>52861.917906168892</v>
      </c>
      <c r="Z14" s="90">
        <f>'P &amp; NP'!XC402</f>
        <v>2855620.0743701337</v>
      </c>
      <c r="AA14" s="90">
        <f>'P &amp; NP'!XB440</f>
        <v>53930.32</v>
      </c>
      <c r="AB14" s="90">
        <f>'P &amp; NP'!XC440</f>
        <v>3119969</v>
      </c>
      <c r="AD14" s="90">
        <f t="shared" si="3"/>
        <v>721293.96853126388</v>
      </c>
      <c r="AE14" s="90">
        <f t="shared" si="4"/>
        <v>37889402.250673778</v>
      </c>
      <c r="AF14" s="116">
        <f t="shared" si="5"/>
        <v>52529.764428539645</v>
      </c>
    </row>
    <row r="15" spans="2:32">
      <c r="B15" s="116" t="str">
        <f>'P &amp; NP'!B23</f>
        <v xml:space="preserve">Kerang Hijau </v>
      </c>
      <c r="C15" s="90">
        <f t="shared" si="1"/>
        <v>13740678.926078347</v>
      </c>
      <c r="D15" s="90">
        <f t="shared" si="2"/>
        <v>53413466.486336268</v>
      </c>
      <c r="E15" s="579">
        <f>'P &amp; NP'!XB23</f>
        <v>154755</v>
      </c>
      <c r="F15" s="579">
        <f>'P &amp; NP'!XC23</f>
        <v>773776</v>
      </c>
      <c r="G15" s="579">
        <f>'P &amp; NP'!XB61</f>
        <v>424871</v>
      </c>
      <c r="H15" s="579">
        <f>'P &amp; NP'!XC61</f>
        <v>1699483</v>
      </c>
      <c r="I15" s="579">
        <f>'P &amp; NP'!XB99</f>
        <v>598742</v>
      </c>
      <c r="J15" s="579">
        <f>'P &amp; NP'!XC99</f>
        <v>2394967</v>
      </c>
      <c r="K15" s="90">
        <f>'P &amp; NP'!XB137</f>
        <v>231117</v>
      </c>
      <c r="L15" s="90">
        <f>'P &amp; NP'!XC137</f>
        <v>1155587</v>
      </c>
      <c r="M15" s="90">
        <f>'P &amp; NP'!XB175</f>
        <v>532414</v>
      </c>
      <c r="N15" s="90">
        <f>'P &amp; NP'!XC175</f>
        <v>2662069</v>
      </c>
      <c r="O15" s="90">
        <f>'P &amp; NP'!XB213</f>
        <v>643975.69067855983</v>
      </c>
      <c r="P15" s="90">
        <f>'P &amp; NP'!XC213</f>
        <v>3219878.453392799</v>
      </c>
      <c r="Q15" s="579">
        <f>'P &amp; NP'!XB251</f>
        <v>904887</v>
      </c>
      <c r="R15" s="579">
        <f>'P &amp; NP'!XC251</f>
        <v>3619548.0610000002</v>
      </c>
      <c r="S15" s="579">
        <f>'P &amp; NP'!XB289</f>
        <v>1868475</v>
      </c>
      <c r="T15" s="579">
        <f>'P &amp; NP'!XC289</f>
        <v>7473898</v>
      </c>
      <c r="U15" s="579">
        <f>'P &amp; NP'!XB327</f>
        <v>1910940</v>
      </c>
      <c r="V15" s="579">
        <f>'P &amp; NP'!XC327</f>
        <v>7643760</v>
      </c>
      <c r="W15" s="90">
        <f>'P &amp; NP'!XB365</f>
        <v>3111508.6221356886</v>
      </c>
      <c r="X15" s="90">
        <f>'P &amp; NP'!XC365</f>
        <v>9334525.8664070666</v>
      </c>
      <c r="Y15" s="90">
        <f>'P &amp; NP'!XB403</f>
        <v>1767741.0263840999</v>
      </c>
      <c r="Z15" s="90">
        <f>'P &amp; NP'!XC403</f>
        <v>7070964.1055363994</v>
      </c>
      <c r="AA15" s="90">
        <f>'P &amp; NP'!XB441</f>
        <v>1591252.5868800001</v>
      </c>
      <c r="AB15" s="90">
        <f>'P &amp; NP'!XC441</f>
        <v>6365010</v>
      </c>
      <c r="AD15" s="90">
        <f t="shared" si="3"/>
        <v>13740678.926078347</v>
      </c>
      <c r="AE15" s="90">
        <f t="shared" si="4"/>
        <v>53413466.486336268</v>
      </c>
      <c r="AF15" s="116">
        <f t="shared" si="5"/>
        <v>3887.2508974038528</v>
      </c>
    </row>
    <row r="16" spans="2:32">
      <c r="B16" s="116" t="str">
        <f>'P &amp; NP'!B24</f>
        <v>Kerapu Cantang</v>
      </c>
      <c r="C16" s="90">
        <f t="shared" si="1"/>
        <v>1634206.1465787925</v>
      </c>
      <c r="D16" s="90">
        <f t="shared" si="2"/>
        <v>147034874.74082008</v>
      </c>
      <c r="E16" s="579">
        <f>'P &amp; NP'!XB24</f>
        <v>55608.009698730821</v>
      </c>
      <c r="F16" s="579">
        <f>'P &amp; NP'!XC24</f>
        <v>4795321.0668603899</v>
      </c>
      <c r="G16" s="579">
        <f>'P &amp; NP'!XB62</f>
        <v>70243</v>
      </c>
      <c r="H16" s="579">
        <f>'P &amp; NP'!XC62</f>
        <v>5693192</v>
      </c>
      <c r="I16" s="579">
        <f>'P &amp; NP'!XB100</f>
        <v>72398</v>
      </c>
      <c r="J16" s="579">
        <f>'P &amp; NP'!XC100</f>
        <v>5873836</v>
      </c>
      <c r="K16" s="90">
        <f>'P &amp; NP'!XB138</f>
        <v>109049</v>
      </c>
      <c r="L16" s="90">
        <f>'P &amp; NP'!XC138</f>
        <v>11309904</v>
      </c>
      <c r="M16" s="90">
        <f>'P &amp; NP'!XB176</f>
        <v>90552</v>
      </c>
      <c r="N16" s="90">
        <f>'P &amp; NP'!XC176</f>
        <v>9273129.5</v>
      </c>
      <c r="O16" s="90">
        <f>'P &amp; NP'!XB214</f>
        <v>83739.335172195002</v>
      </c>
      <c r="P16" s="90">
        <f>'P &amp; NP'!XC214</f>
        <v>8675296.9241073001</v>
      </c>
      <c r="Q16" s="579">
        <f>'P &amp; NP'!XB252</f>
        <v>194770.21068954543</v>
      </c>
      <c r="R16" s="579">
        <f>'P &amp; NP'!XC252</f>
        <v>16236550.282745451</v>
      </c>
      <c r="S16" s="579">
        <f>'P &amp; NP'!XB290</f>
        <v>191798</v>
      </c>
      <c r="T16" s="579">
        <f>'P &amp; NP'!XC290</f>
        <v>15682699</v>
      </c>
      <c r="U16" s="579">
        <f>'P &amp; NP'!XB328</f>
        <v>192222</v>
      </c>
      <c r="V16" s="579">
        <f>'P &amp; NP'!XC328</f>
        <v>16359442</v>
      </c>
      <c r="W16" s="90">
        <f>'P &amp; NP'!XB366</f>
        <v>205829</v>
      </c>
      <c r="X16" s="90">
        <f>'P &amp; NP'!XC366</f>
        <v>18689835</v>
      </c>
      <c r="Y16" s="90">
        <f>'P &amp; NP'!XB404</f>
        <v>190998.59101832123</v>
      </c>
      <c r="Z16" s="90">
        <f>'P &amp; NP'!XC404</f>
        <v>17673837.967106938</v>
      </c>
      <c r="AA16" s="90">
        <f>'P &amp; NP'!XB442</f>
        <v>176999</v>
      </c>
      <c r="AB16" s="90">
        <f>'P &amp; NP'!XC442</f>
        <v>16771831</v>
      </c>
      <c r="AD16" s="90">
        <f t="shared" si="3"/>
        <v>1634206.1465787925</v>
      </c>
      <c r="AE16" s="90">
        <f t="shared" si="4"/>
        <v>147034874.74082008</v>
      </c>
      <c r="AF16" s="116">
        <f t="shared" si="5"/>
        <v>89973.272373645959</v>
      </c>
    </row>
    <row r="17" spans="2:32">
      <c r="B17" s="116" t="str">
        <f>'P &amp; NP'!B25</f>
        <v>Kerapu Macan</v>
      </c>
      <c r="C17" s="90">
        <f t="shared" si="1"/>
        <v>1346985.9829788271</v>
      </c>
      <c r="D17" s="90">
        <f t="shared" si="2"/>
        <v>187191175.873</v>
      </c>
      <c r="E17" s="579">
        <f>'P &amp; NP'!XB25</f>
        <v>180083</v>
      </c>
      <c r="F17" s="579">
        <f>'P &amp; NP'!XC25</f>
        <v>19197805</v>
      </c>
      <c r="G17" s="579">
        <f>'P &amp; NP'!XB63</f>
        <v>200867</v>
      </c>
      <c r="H17" s="579">
        <f>'P &amp; NP'!XC63</f>
        <v>20951890</v>
      </c>
      <c r="I17" s="579">
        <f>'P &amp; NP'!XB101</f>
        <v>138388</v>
      </c>
      <c r="J17" s="579">
        <f>'P &amp; NP'!XC101</f>
        <v>15664130</v>
      </c>
      <c r="K17" s="90">
        <f>'P &amp; NP'!XB139</f>
        <v>224289</v>
      </c>
      <c r="L17" s="90">
        <f>'P &amp; NP'!XC139</f>
        <v>25380045</v>
      </c>
      <c r="M17" s="90">
        <f>'P &amp; NP'!XB177</f>
        <v>219671</v>
      </c>
      <c r="N17" s="90">
        <f>'P &amp; NP'!XC177</f>
        <v>25012955</v>
      </c>
      <c r="O17" s="90">
        <f>'P &amp; NP'!XB215</f>
        <v>203317</v>
      </c>
      <c r="P17" s="90">
        <f>'P &amp; NP'!XC215</f>
        <v>23411685</v>
      </c>
      <c r="Q17" s="579">
        <f>'P &amp; NP'!XB253</f>
        <v>27354</v>
      </c>
      <c r="R17" s="579">
        <f>'P &amp; NP'!XC253</f>
        <v>16412400</v>
      </c>
      <c r="S17" s="579">
        <f>'P &amp; NP'!XB291</f>
        <v>29157</v>
      </c>
      <c r="T17" s="579">
        <f>'P &amp; NP'!XC291</f>
        <v>17494200</v>
      </c>
      <c r="U17" s="579">
        <f>'P &amp; NP'!XB329</f>
        <v>30971</v>
      </c>
      <c r="V17" s="579">
        <f>'P &amp; NP'!XC329</f>
        <v>6194200</v>
      </c>
      <c r="W17" s="90">
        <f>'P &amp; NP'!XB367</f>
        <v>38888.982978827138</v>
      </c>
      <c r="X17" s="90">
        <f>'P &amp; NP'!XC367</f>
        <v>6671865.8729999997</v>
      </c>
      <c r="Y17" s="90">
        <f>'P &amp; NP'!XB405</f>
        <v>26770</v>
      </c>
      <c r="Z17" s="90">
        <f>'P &amp; NP'!XC405</f>
        <v>5354000</v>
      </c>
      <c r="AA17" s="90">
        <f>'P &amp; NP'!XB443</f>
        <v>27230</v>
      </c>
      <c r="AB17" s="90">
        <f>'P &amp; NP'!XC443</f>
        <v>5446000</v>
      </c>
      <c r="AD17" s="90">
        <f t="shared" si="3"/>
        <v>1346985.9829788271</v>
      </c>
      <c r="AE17" s="90">
        <f t="shared" si="4"/>
        <v>187191175.873</v>
      </c>
      <c r="AF17" s="116">
        <f t="shared" si="5"/>
        <v>138970.39630585557</v>
      </c>
    </row>
    <row r="18" spans="2:32">
      <c r="B18" s="116" t="str">
        <f>'P &amp; NP'!B26</f>
        <v>Kerong Kerong</v>
      </c>
      <c r="C18" s="90">
        <f t="shared" si="1"/>
        <v>535465</v>
      </c>
      <c r="D18" s="90">
        <f t="shared" si="2"/>
        <v>10693740</v>
      </c>
      <c r="E18" s="579">
        <f>'P &amp; NP'!XB26</f>
        <v>0</v>
      </c>
      <c r="F18" s="579">
        <f>'P &amp; NP'!XC26</f>
        <v>0</v>
      </c>
      <c r="G18" s="579">
        <f>'P &amp; NP'!XB64</f>
        <v>0</v>
      </c>
      <c r="H18" s="579">
        <f>'P &amp; NP'!XC64</f>
        <v>0</v>
      </c>
      <c r="I18" s="579">
        <f>'P &amp; NP'!XB102</f>
        <v>0</v>
      </c>
      <c r="J18" s="579">
        <f>'P &amp; NP'!XC102</f>
        <v>0</v>
      </c>
      <c r="K18" s="90">
        <f>'P &amp; NP'!XB140</f>
        <v>0</v>
      </c>
      <c r="L18" s="90">
        <f>'P &amp; NP'!XC140</f>
        <v>0</v>
      </c>
      <c r="M18" s="90">
        <f>'P &amp; NP'!XB178</f>
        <v>519905</v>
      </c>
      <c r="N18" s="90">
        <f>'P &amp; NP'!XC178</f>
        <v>10398100</v>
      </c>
      <c r="O18" s="90">
        <f>'P &amp; NP'!XB216</f>
        <v>15560</v>
      </c>
      <c r="P18" s="90">
        <f>'P &amp; NP'!XC216</f>
        <v>295640</v>
      </c>
      <c r="Q18" s="579">
        <f>'P &amp; NP'!XB254</f>
        <v>0</v>
      </c>
      <c r="R18" s="579">
        <f>'P &amp; NP'!XC254</f>
        <v>0</v>
      </c>
      <c r="S18" s="579">
        <f>'P &amp; NP'!XB292</f>
        <v>0</v>
      </c>
      <c r="T18" s="579">
        <f>'P &amp; NP'!XC292</f>
        <v>0</v>
      </c>
      <c r="U18" s="579">
        <f>'P &amp; NP'!XB330</f>
        <v>0</v>
      </c>
      <c r="V18" s="579">
        <f>'P &amp; NP'!XC330</f>
        <v>0</v>
      </c>
      <c r="W18" s="90">
        <f>'P &amp; NP'!XB368</f>
        <v>0</v>
      </c>
      <c r="X18" s="90">
        <f>'P &amp; NP'!XC368</f>
        <v>0</v>
      </c>
      <c r="Y18" s="90">
        <f>'P &amp; NP'!XB406</f>
        <v>0</v>
      </c>
      <c r="Z18" s="90">
        <f>'P &amp; NP'!XC406</f>
        <v>0</v>
      </c>
      <c r="AA18" s="90">
        <f>'P &amp; NP'!XB444</f>
        <v>0</v>
      </c>
      <c r="AB18" s="90">
        <f>'P &amp; NP'!XC444</f>
        <v>0</v>
      </c>
      <c r="AD18" s="90">
        <f t="shared" si="3"/>
        <v>535465</v>
      </c>
      <c r="AE18" s="90">
        <f t="shared" si="4"/>
        <v>10693740</v>
      </c>
      <c r="AF18" s="116">
        <f t="shared" si="5"/>
        <v>19970.941144612629</v>
      </c>
    </row>
    <row r="19" spans="2:32">
      <c r="B19" s="116" t="str">
        <f>'P &amp; NP'!B27</f>
        <v xml:space="preserve">Lele </v>
      </c>
      <c r="C19" s="90">
        <f t="shared" si="1"/>
        <v>165954786.60557088</v>
      </c>
      <c r="D19" s="90">
        <f t="shared" si="2"/>
        <v>2964529979.2117858</v>
      </c>
      <c r="E19" s="579">
        <f>'P &amp; NP'!XB27</f>
        <v>14066447.789999999</v>
      </c>
      <c r="F19" s="579">
        <f>'P &amp; NP'!XC27</f>
        <v>255578110.69638854</v>
      </c>
      <c r="G19" s="579">
        <f>'P &amp; NP'!XB65</f>
        <v>14721167.810000001</v>
      </c>
      <c r="H19" s="579">
        <f>'P &amp; NP'!XC65</f>
        <v>266479434.5</v>
      </c>
      <c r="I19" s="579">
        <f>'P &amp; NP'!XB103</f>
        <v>15209262.43</v>
      </c>
      <c r="J19" s="579">
        <f>'P &amp; NP'!XC103</f>
        <v>275279976.699</v>
      </c>
      <c r="K19" s="90">
        <f>'P &amp; NP'!XB141</f>
        <v>14795882.810000001</v>
      </c>
      <c r="L19" s="90">
        <f>'P &amp; NP'!XC141</f>
        <v>265631521.01699999</v>
      </c>
      <c r="M19" s="90">
        <f>'P &amp; NP'!XB179</f>
        <v>12784560.6025098</v>
      </c>
      <c r="N19" s="90">
        <f>'P &amp; NP'!XC179</f>
        <v>228255157.54699999</v>
      </c>
      <c r="O19" s="90">
        <f>'P &amp; NP'!XB217</f>
        <v>12396336.833440319</v>
      </c>
      <c r="P19" s="90">
        <f>'P &amp; NP'!XC217</f>
        <v>223526583.05536607</v>
      </c>
      <c r="Q19" s="579">
        <f>'P &amp; NP'!XB255</f>
        <v>13026077.029999999</v>
      </c>
      <c r="R19" s="579">
        <f>'P &amp; NP'!XC255</f>
        <v>226324703.70099998</v>
      </c>
      <c r="S19" s="579">
        <f>'P &amp; NP'!XB293</f>
        <v>14032863.83</v>
      </c>
      <c r="T19" s="579">
        <f>'P &amp; NP'!XC293</f>
        <v>243020275.90000001</v>
      </c>
      <c r="U19" s="579">
        <f>'P &amp; NP'!XB331</f>
        <v>13608130.35</v>
      </c>
      <c r="V19" s="579">
        <f>'P &amp; NP'!XC331</f>
        <v>236699810.09999999</v>
      </c>
      <c r="W19" s="90">
        <f>'P &amp; NP'!XB369</f>
        <v>13016503.667330544</v>
      </c>
      <c r="X19" s="90">
        <f>'P &amp; NP'!XC369</f>
        <v>233312553.11199999</v>
      </c>
      <c r="Y19" s="90">
        <f>'P &amp; NP'!XB407</f>
        <v>13825743.375251949</v>
      </c>
      <c r="Z19" s="90">
        <f>'P &amp; NP'!XC407</f>
        <v>248970758.88403118</v>
      </c>
      <c r="AA19" s="90">
        <f>'P &amp; NP'!XB445</f>
        <v>14471810.07703829</v>
      </c>
      <c r="AB19" s="90">
        <f>'P &amp; NP'!XC445</f>
        <v>261451094</v>
      </c>
      <c r="AD19" s="90">
        <f t="shared" si="3"/>
        <v>165954786.60557088</v>
      </c>
      <c r="AE19" s="90">
        <f t="shared" si="4"/>
        <v>2964529979.2117858</v>
      </c>
      <c r="AF19" s="116">
        <f t="shared" si="5"/>
        <v>17863.479805844123</v>
      </c>
    </row>
    <row r="20" spans="2:32">
      <c r="B20" s="116" t="str">
        <f>'P &amp; NP'!B28</f>
        <v xml:space="preserve">Lobster Air Laut </v>
      </c>
      <c r="C20" s="90">
        <f t="shared" si="1"/>
        <v>12733</v>
      </c>
      <c r="D20" s="90">
        <f t="shared" si="2"/>
        <v>4328440</v>
      </c>
      <c r="E20" s="579">
        <f>'P &amp; NP'!XB28</f>
        <v>1325</v>
      </c>
      <c r="F20" s="579">
        <f>'P &amp; NP'!XC28</f>
        <v>455000</v>
      </c>
      <c r="G20" s="579">
        <f>'P &amp; NP'!XB66</f>
        <v>1200</v>
      </c>
      <c r="H20" s="579">
        <f>'P &amp; NP'!XC66</f>
        <v>412500</v>
      </c>
      <c r="I20" s="579">
        <f>'P &amp; NP'!XB104</f>
        <v>1210</v>
      </c>
      <c r="J20" s="579">
        <f>'P &amp; NP'!XC104</f>
        <v>413500</v>
      </c>
      <c r="K20" s="90">
        <f>'P &amp; NP'!XB142</f>
        <v>1110</v>
      </c>
      <c r="L20" s="90">
        <f>'P &amp; NP'!XC142</f>
        <v>388500</v>
      </c>
      <c r="M20" s="90">
        <f>'P &amp; NP'!XB180</f>
        <v>1055</v>
      </c>
      <c r="N20" s="90">
        <f>'P &amp; NP'!XC180</f>
        <v>369250</v>
      </c>
      <c r="O20" s="90">
        <f>'P &amp; NP'!XB218</f>
        <v>1125</v>
      </c>
      <c r="P20" s="90">
        <f>'P &amp; NP'!XC218</f>
        <v>393750</v>
      </c>
      <c r="Q20" s="579">
        <f>'P &amp; NP'!XB256</f>
        <v>1085</v>
      </c>
      <c r="R20" s="579">
        <f>'P &amp; NP'!XC256</f>
        <v>379750</v>
      </c>
      <c r="S20" s="579">
        <f>'P &amp; NP'!XB294</f>
        <v>488</v>
      </c>
      <c r="T20" s="579">
        <f>'P &amp; NP'!XC294</f>
        <v>118440</v>
      </c>
      <c r="U20" s="579">
        <f>'P &amp; NP'!XB332</f>
        <v>1015</v>
      </c>
      <c r="V20" s="579">
        <f>'P &amp; NP'!XC332</f>
        <v>305750</v>
      </c>
      <c r="W20" s="90">
        <f>'P &amp; NP'!XB370</f>
        <v>1095</v>
      </c>
      <c r="X20" s="90">
        <f>'P &amp; NP'!XC370</f>
        <v>383250</v>
      </c>
      <c r="Y20" s="90">
        <f>'P &amp; NP'!XB408</f>
        <v>945</v>
      </c>
      <c r="Z20" s="90">
        <f>'P &amp; NP'!XC408</f>
        <v>330750</v>
      </c>
      <c r="AA20" s="90">
        <f>'P &amp; NP'!XB446</f>
        <v>1080</v>
      </c>
      <c r="AB20" s="90">
        <f>'P &amp; NP'!XC446</f>
        <v>378000</v>
      </c>
      <c r="AD20" s="90">
        <f t="shared" si="3"/>
        <v>12733</v>
      </c>
      <c r="AE20" s="90">
        <f t="shared" si="4"/>
        <v>4328440</v>
      </c>
      <c r="AF20" s="116">
        <f t="shared" si="5"/>
        <v>339938.74185188091</v>
      </c>
    </row>
    <row r="21" spans="2:32">
      <c r="B21" s="116" t="str">
        <f>'P &amp; NP'!B29</f>
        <v xml:space="preserve">Lobster Air Tawar, Cherax </v>
      </c>
      <c r="C21" s="90">
        <f t="shared" si="1"/>
        <v>2650</v>
      </c>
      <c r="D21" s="90">
        <f t="shared" si="2"/>
        <v>284500</v>
      </c>
      <c r="E21" s="579">
        <f>'P &amp; NP'!XB29</f>
        <v>200</v>
      </c>
      <c r="F21" s="579">
        <f>'P &amp; NP'!XC29</f>
        <v>21000</v>
      </c>
      <c r="G21" s="579">
        <f>'P &amp; NP'!XB67</f>
        <v>250</v>
      </c>
      <c r="H21" s="579">
        <f>'P &amp; NP'!XC67</f>
        <v>26250</v>
      </c>
      <c r="I21" s="579">
        <f>'P &amp; NP'!XB105</f>
        <v>250</v>
      </c>
      <c r="J21" s="579">
        <f>'P &amp; NP'!XC105</f>
        <v>26250</v>
      </c>
      <c r="K21" s="90">
        <f>'P &amp; NP'!XB143</f>
        <v>300</v>
      </c>
      <c r="L21" s="90">
        <f>'P &amp; NP'!XC143</f>
        <v>31500</v>
      </c>
      <c r="M21" s="90">
        <f>'P &amp; NP'!XB181</f>
        <v>200</v>
      </c>
      <c r="N21" s="90">
        <f>'P &amp; NP'!XC181</f>
        <v>21000</v>
      </c>
      <c r="O21" s="90">
        <f>'P &amp; NP'!XB219</f>
        <v>200</v>
      </c>
      <c r="P21" s="90">
        <f>'P &amp; NP'!XC219</f>
        <v>21000</v>
      </c>
      <c r="Q21" s="579">
        <f>'P &amp; NP'!XB257</f>
        <v>0</v>
      </c>
      <c r="R21" s="579">
        <f>'P &amp; NP'!XC257</f>
        <v>0</v>
      </c>
      <c r="S21" s="579">
        <f>'P &amp; NP'!XB295</f>
        <v>250</v>
      </c>
      <c r="T21" s="579">
        <f>'P &amp; NP'!XC295</f>
        <v>27500</v>
      </c>
      <c r="U21" s="579">
        <f>'P &amp; NP'!XB333</f>
        <v>200</v>
      </c>
      <c r="V21" s="579">
        <f>'P &amp; NP'!XC333</f>
        <v>22000</v>
      </c>
      <c r="W21" s="90">
        <f>'P &amp; NP'!XB371</f>
        <v>250</v>
      </c>
      <c r="X21" s="90">
        <f>'P &amp; NP'!XC371</f>
        <v>27500</v>
      </c>
      <c r="Y21" s="90">
        <f>'P &amp; NP'!XB409</f>
        <v>250</v>
      </c>
      <c r="Z21" s="90">
        <f>'P &amp; NP'!XC409</f>
        <v>27500</v>
      </c>
      <c r="AA21" s="90">
        <f>'P &amp; NP'!XB447</f>
        <v>300</v>
      </c>
      <c r="AB21" s="90">
        <f>'P &amp; NP'!XC447</f>
        <v>33000</v>
      </c>
      <c r="AD21" s="90">
        <f t="shared" si="3"/>
        <v>2650</v>
      </c>
      <c r="AE21" s="90">
        <f t="shared" si="4"/>
        <v>284500</v>
      </c>
      <c r="AF21" s="116">
        <f t="shared" si="5"/>
        <v>107358.49056603773</v>
      </c>
    </row>
    <row r="22" spans="2:32">
      <c r="B22" s="116" t="str">
        <f>'P &amp; NP'!B30</f>
        <v xml:space="preserve">Mas, Ikan Mas, Karper </v>
      </c>
      <c r="C22" s="90">
        <f t="shared" si="1"/>
        <v>9215813.6226296294</v>
      </c>
      <c r="D22" s="90">
        <f t="shared" si="2"/>
        <v>151428904.21178997</v>
      </c>
      <c r="E22" s="579">
        <f>'P &amp; NP'!XB30</f>
        <v>757356</v>
      </c>
      <c r="F22" s="579">
        <f>'P &amp; NP'!XC30</f>
        <v>13755255.102260355</v>
      </c>
      <c r="G22" s="579">
        <f>'P &amp; NP'!XB68</f>
        <v>917711</v>
      </c>
      <c r="H22" s="579">
        <f>'P &amp; NP'!XC68</f>
        <v>16040175</v>
      </c>
      <c r="I22" s="579">
        <f>'P &amp; NP'!XB106</f>
        <v>737418</v>
      </c>
      <c r="J22" s="579">
        <f>'P &amp; NP'!XC106</f>
        <v>13503883</v>
      </c>
      <c r="K22" s="90">
        <f>'P &amp; NP'!XB144</f>
        <v>1141350</v>
      </c>
      <c r="L22" s="90">
        <f>'P &amp; NP'!XC144</f>
        <v>17444654.102260355</v>
      </c>
      <c r="M22" s="90">
        <f>'P &amp; NP'!XB182</f>
        <v>1280078</v>
      </c>
      <c r="N22" s="90">
        <f>'P &amp; NP'!XC182</f>
        <v>17651766</v>
      </c>
      <c r="O22" s="90">
        <f>'P &amp; NP'!XB220</f>
        <v>821893.58056122996</v>
      </c>
      <c r="P22" s="90">
        <f>'P &amp; NP'!XC220</f>
        <v>12529077.127857219</v>
      </c>
      <c r="Q22" s="579">
        <f>'P &amp; NP'!XB258</f>
        <v>477880</v>
      </c>
      <c r="R22" s="579">
        <f>'P &amp; NP'!XC258</f>
        <v>7999368.9161593448</v>
      </c>
      <c r="S22" s="579">
        <f>'P &amp; NP'!XB296</f>
        <v>381900</v>
      </c>
      <c r="T22" s="579">
        <f>'P &amp; NP'!XC296</f>
        <v>6209833</v>
      </c>
      <c r="U22" s="579">
        <f>'P &amp; NP'!XB334</f>
        <v>462246</v>
      </c>
      <c r="V22" s="579">
        <f>'P &amp; NP'!XC334</f>
        <v>7178211</v>
      </c>
      <c r="W22" s="90">
        <f>'P &amp; NP'!XB372</f>
        <v>683958.97968219151</v>
      </c>
      <c r="X22" s="90">
        <f>'P &amp; NP'!XC372</f>
        <v>10932574.756186297</v>
      </c>
      <c r="Y22" s="90">
        <f>'P &amp; NP'!XB410</f>
        <v>628838.87187410798</v>
      </c>
      <c r="Z22" s="90">
        <f>'P &amp; NP'!XC410</f>
        <v>11429409.207066404</v>
      </c>
      <c r="AA22" s="90">
        <f>'P &amp; NP'!XB448</f>
        <v>925183.1905121</v>
      </c>
      <c r="AB22" s="90">
        <f>'P &amp; NP'!XC448</f>
        <v>16754697</v>
      </c>
      <c r="AD22" s="90">
        <f t="shared" si="3"/>
        <v>9215813.6226296294</v>
      </c>
      <c r="AE22" s="90">
        <f t="shared" si="4"/>
        <v>151428904.21178997</v>
      </c>
      <c r="AF22" s="116">
        <f t="shared" si="5"/>
        <v>16431.419993124971</v>
      </c>
    </row>
    <row r="23" spans="2:32">
      <c r="B23" s="116" t="str">
        <f>'P &amp; NP'!B31</f>
        <v xml:space="preserve">Mujair </v>
      </c>
      <c r="C23" s="90">
        <f t="shared" si="1"/>
        <v>17155072.01719179</v>
      </c>
      <c r="D23" s="90">
        <f t="shared" si="2"/>
        <v>188245698.0022234</v>
      </c>
      <c r="E23" s="579">
        <f>'P &amp; NP'!XB31</f>
        <v>895735.24733379297</v>
      </c>
      <c r="F23" s="579">
        <f>'P &amp; NP'!XC31</f>
        <v>11942824.917037074</v>
      </c>
      <c r="G23" s="579">
        <f>'P &amp; NP'!XB69</f>
        <v>1515284</v>
      </c>
      <c r="H23" s="579">
        <f>'P &amp; NP'!XC69</f>
        <v>16979743</v>
      </c>
      <c r="I23" s="579">
        <f>'P &amp; NP'!XB107</f>
        <v>2582959</v>
      </c>
      <c r="J23" s="579">
        <f>'P &amp; NP'!XC107</f>
        <v>25763659.199999999</v>
      </c>
      <c r="K23" s="90">
        <f>'P &amp; NP'!XB145</f>
        <v>1632088</v>
      </c>
      <c r="L23" s="90">
        <f>'P &amp; NP'!XC145</f>
        <v>18114085</v>
      </c>
      <c r="M23" s="90">
        <f>'P &amp; NP'!XB183</f>
        <v>1401971</v>
      </c>
      <c r="N23" s="90">
        <f>'P &amp; NP'!XC183</f>
        <v>15030784</v>
      </c>
      <c r="O23" s="90">
        <f>'P &amp; NP'!XB221</f>
        <v>1674210.0813704843</v>
      </c>
      <c r="P23" s="90">
        <f>'P &amp; NP'!XC221</f>
        <v>18316790.673018269</v>
      </c>
      <c r="Q23" s="579">
        <f>'P &amp; NP'!XB259</f>
        <v>1021763.1254365474</v>
      </c>
      <c r="R23" s="579">
        <f>'P &amp; NP'!XC259</f>
        <v>11434383.128928926</v>
      </c>
      <c r="S23" s="579">
        <f>'P &amp; NP'!XB297</f>
        <v>878803</v>
      </c>
      <c r="T23" s="579">
        <f>'P &amp; NP'!XC297</f>
        <v>11343598</v>
      </c>
      <c r="U23" s="579">
        <f>'P &amp; NP'!XB335</f>
        <v>1393751</v>
      </c>
      <c r="V23" s="579">
        <f>'P &amp; NP'!XC335</f>
        <v>15985243</v>
      </c>
      <c r="W23" s="90">
        <f>'P &amp; NP'!XB373</f>
        <v>2234660.02</v>
      </c>
      <c r="X23" s="90">
        <f>'P &amp; NP'!XC373</f>
        <v>19108212.836000003</v>
      </c>
      <c r="Y23" s="90">
        <f>'P &amp; NP'!XB411</f>
        <v>745854.8052487945</v>
      </c>
      <c r="Z23" s="90">
        <f>'P &amp; NP'!XC411</f>
        <v>9418971.2472391501</v>
      </c>
      <c r="AA23" s="90">
        <f>'P &amp; NP'!XB449</f>
        <v>1177992.7378021688</v>
      </c>
      <c r="AB23" s="90">
        <f>'P &amp; NP'!XC449</f>
        <v>14807403</v>
      </c>
      <c r="AD23" s="90">
        <f t="shared" si="3"/>
        <v>17155072.01719179</v>
      </c>
      <c r="AE23" s="90">
        <f t="shared" si="4"/>
        <v>188245698.0022234</v>
      </c>
      <c r="AF23" s="116">
        <f t="shared" si="5"/>
        <v>10973.180282401308</v>
      </c>
    </row>
    <row r="24" spans="2:32">
      <c r="B24" s="116" t="str">
        <f>'P &amp; NP'!B32</f>
        <v xml:space="preserve">Nila </v>
      </c>
      <c r="C24" s="90">
        <f t="shared" si="1"/>
        <v>57138275.387842461</v>
      </c>
      <c r="D24" s="90">
        <f t="shared" si="2"/>
        <v>1124816471.5551541</v>
      </c>
      <c r="E24" s="579">
        <f>'P &amp; NP'!XB32</f>
        <v>4227559.1572783506</v>
      </c>
      <c r="F24" s="579">
        <f>'P &amp; NP'!XC32</f>
        <v>91029867.919807747</v>
      </c>
      <c r="G24" s="579">
        <f>'P &amp; NP'!XB70</f>
        <v>4991182.1399999997</v>
      </c>
      <c r="H24" s="579">
        <f>'P &amp; NP'!XC70</f>
        <v>107518299</v>
      </c>
      <c r="I24" s="579">
        <f>'P &amp; NP'!XB108</f>
        <v>5957633.8800000008</v>
      </c>
      <c r="J24" s="579">
        <f>'P &amp; NP'!XC108</f>
        <v>126662790.20580712</v>
      </c>
      <c r="K24" s="90">
        <f>'P &amp; NP'!XB146</f>
        <v>6653448.6000000006</v>
      </c>
      <c r="L24" s="90">
        <f>'P &amp; NP'!XC146</f>
        <v>131303560.735</v>
      </c>
      <c r="M24" s="90">
        <f>'P &amp; NP'!XB184</f>
        <v>7973750.1800000006</v>
      </c>
      <c r="N24" s="90">
        <f>'P &amp; NP'!XC184</f>
        <v>132808511.501</v>
      </c>
      <c r="O24" s="90">
        <f>'P &amp; NP'!XB222</f>
        <v>5006411.2958571017</v>
      </c>
      <c r="P24" s="90">
        <f>'P &amp; NP'!XC222</f>
        <v>89560621.836003125</v>
      </c>
      <c r="Q24" s="579">
        <f>'P &amp; NP'!XB260</f>
        <v>3185458.7095971983</v>
      </c>
      <c r="R24" s="579">
        <f>'P &amp; NP'!XC260</f>
        <v>62883390.947467983</v>
      </c>
      <c r="S24" s="579">
        <f>'P &amp; NP'!XB298</f>
        <v>3682818.4</v>
      </c>
      <c r="T24" s="579">
        <f>'P &amp; NP'!XC298</f>
        <v>72735548</v>
      </c>
      <c r="U24" s="579">
        <f>'P &amp; NP'!XB336</f>
        <v>3688776.8000000003</v>
      </c>
      <c r="V24" s="579">
        <f>'P &amp; NP'!XC336</f>
        <v>72025678</v>
      </c>
      <c r="W24" s="90">
        <f>'P &amp; NP'!XB374</f>
        <v>3141185.3591674753</v>
      </c>
      <c r="X24" s="90">
        <f>'P &amp; NP'!XC374</f>
        <v>64706996.164999999</v>
      </c>
      <c r="Y24" s="90">
        <f>'P &amp; NP'!XB412</f>
        <v>3651374.3280593338</v>
      </c>
      <c r="Z24" s="90">
        <f>'P &amp; NP'!XC412</f>
        <v>74801254.245068014</v>
      </c>
      <c r="AA24" s="90">
        <f>'P &amp; NP'!XB450</f>
        <v>4978676.5378829995</v>
      </c>
      <c r="AB24" s="90">
        <f>'P &amp; NP'!XC450</f>
        <v>98779953</v>
      </c>
      <c r="AD24" s="90">
        <f t="shared" si="3"/>
        <v>57138275.387842461</v>
      </c>
      <c r="AE24" s="90">
        <f t="shared" si="4"/>
        <v>1124816471.5551541</v>
      </c>
      <c r="AF24" s="116">
        <f t="shared" si="5"/>
        <v>19685.866679036761</v>
      </c>
    </row>
    <row r="25" spans="2:32">
      <c r="B25" s="116" t="str">
        <f>'P &amp; NP'!B33</f>
        <v xml:space="preserve">Patin </v>
      </c>
      <c r="C25" s="90">
        <f t="shared" si="1"/>
        <v>29693529.598126553</v>
      </c>
      <c r="D25" s="90">
        <f t="shared" si="2"/>
        <v>530188580.49985033</v>
      </c>
      <c r="E25" s="579">
        <f>'P &amp; NP'!XB33</f>
        <v>2151504.04</v>
      </c>
      <c r="F25" s="579">
        <f>'P &amp; NP'!XC33</f>
        <v>34516024.061235949</v>
      </c>
      <c r="G25" s="579">
        <f>'P &amp; NP'!XB71</f>
        <v>2145066</v>
      </c>
      <c r="H25" s="579">
        <f>'P &amp; NP'!XC71</f>
        <v>34182433</v>
      </c>
      <c r="I25" s="579">
        <f>'P &amp; NP'!XB109</f>
        <v>2218678.4</v>
      </c>
      <c r="J25" s="579">
        <f>'P &amp; NP'!XC109</f>
        <v>35539908.849382021</v>
      </c>
      <c r="K25" s="90">
        <f>'P &amp; NP'!XB147</f>
        <v>2555264</v>
      </c>
      <c r="L25" s="90">
        <f>'P &amp; NP'!XC147</f>
        <v>41102004</v>
      </c>
      <c r="M25" s="90">
        <f>'P &amp; NP'!XB185</f>
        <v>2631305.06</v>
      </c>
      <c r="N25" s="90">
        <f>'P &amp; NP'!XC185</f>
        <v>42432813.001000002</v>
      </c>
      <c r="O25" s="90">
        <f>'P &amp; NP'!XB223</f>
        <v>2625041.5024428749</v>
      </c>
      <c r="P25" s="90">
        <f>'P &amp; NP'!XC223</f>
        <v>42207409.048857495</v>
      </c>
      <c r="Q25" s="579">
        <f>'P &amp; NP'!XB261</f>
        <v>2488262.7799999998</v>
      </c>
      <c r="R25" s="579">
        <f>'P &amp; NP'!XC261</f>
        <v>39990449</v>
      </c>
      <c r="S25" s="579">
        <f>'P &amp; NP'!XB299</f>
        <v>2512875</v>
      </c>
      <c r="T25" s="579">
        <f>'P &amp; NP'!XC299</f>
        <v>41120074</v>
      </c>
      <c r="U25" s="579">
        <f>'P &amp; NP'!XB337</f>
        <v>2456089.04</v>
      </c>
      <c r="V25" s="579">
        <f>'P &amp; NP'!XC337</f>
        <v>43781697</v>
      </c>
      <c r="W25" s="90">
        <f>'P &amp; NP'!XB375</f>
        <v>2437382.4580112305</v>
      </c>
      <c r="X25" s="90">
        <f>'P &amp; NP'!XC375</f>
        <v>50019155.056000002</v>
      </c>
      <c r="Y25" s="90">
        <f>'P &amp; NP'!XB413</f>
        <v>2733409.9157430464</v>
      </c>
      <c r="Z25" s="90">
        <f>'P &amp; NP'!XC413</f>
        <v>62617386.483374842</v>
      </c>
      <c r="AA25" s="90">
        <f>'P &amp; NP'!XB451</f>
        <v>2738651.4019293999</v>
      </c>
      <c r="AB25" s="90">
        <f>'P &amp; NP'!XC451</f>
        <v>62679227</v>
      </c>
      <c r="AD25" s="90">
        <f t="shared" si="3"/>
        <v>29693529.598126553</v>
      </c>
      <c r="AE25" s="90">
        <f t="shared" si="4"/>
        <v>530188580.49985033</v>
      </c>
      <c r="AF25" s="116">
        <f t="shared" si="5"/>
        <v>17855.357300915195</v>
      </c>
    </row>
    <row r="26" spans="2:32">
      <c r="B26" s="116" t="str">
        <f>'P &amp; NP'!B34</f>
        <v xml:space="preserve">Rajungan </v>
      </c>
      <c r="C26" s="90">
        <f t="shared" si="1"/>
        <v>0</v>
      </c>
      <c r="D26" s="90">
        <f t="shared" si="2"/>
        <v>0</v>
      </c>
      <c r="E26" s="579">
        <f>'P &amp; NP'!XB34</f>
        <v>0</v>
      </c>
      <c r="F26" s="579">
        <f>'P &amp; NP'!XC34</f>
        <v>0</v>
      </c>
      <c r="G26" s="579">
        <f>'P &amp; NP'!XB72</f>
        <v>0</v>
      </c>
      <c r="H26" s="579">
        <f>'P &amp; NP'!XC72</f>
        <v>0</v>
      </c>
      <c r="I26" s="579">
        <f>'P &amp; NP'!XB110</f>
        <v>0</v>
      </c>
      <c r="J26" s="579">
        <f>'P &amp; NP'!XC110</f>
        <v>0</v>
      </c>
      <c r="K26" s="90">
        <f>'P &amp; NP'!XB148</f>
        <v>0</v>
      </c>
      <c r="L26" s="90">
        <f>'P &amp; NP'!XC148</f>
        <v>0</v>
      </c>
      <c r="M26" s="90">
        <f>'P &amp; NP'!XB186</f>
        <v>0</v>
      </c>
      <c r="N26" s="90">
        <f>'P &amp; NP'!XC186</f>
        <v>0</v>
      </c>
      <c r="O26" s="90">
        <f>'P &amp; NP'!XB224</f>
        <v>0</v>
      </c>
      <c r="P26" s="90">
        <f>'P &amp; NP'!XC224</f>
        <v>0</v>
      </c>
      <c r="Q26" s="579">
        <f>'P &amp; NP'!XB262</f>
        <v>0</v>
      </c>
      <c r="R26" s="579">
        <f>'P &amp; NP'!XC262</f>
        <v>0</v>
      </c>
      <c r="S26" s="579">
        <f>'P &amp; NP'!XB300</f>
        <v>0</v>
      </c>
      <c r="T26" s="579">
        <f>'P &amp; NP'!XC300</f>
        <v>0</v>
      </c>
      <c r="U26" s="579">
        <f>'P &amp; NP'!XB338</f>
        <v>0</v>
      </c>
      <c r="V26" s="579">
        <f>'P &amp; NP'!XC338</f>
        <v>0</v>
      </c>
      <c r="W26" s="90">
        <f>'P &amp; NP'!XB376</f>
        <v>0</v>
      </c>
      <c r="X26" s="90">
        <f>'P &amp; NP'!XC376</f>
        <v>0</v>
      </c>
      <c r="Y26" s="90">
        <f>'P &amp; NP'!XB414</f>
        <v>0</v>
      </c>
      <c r="Z26" s="90">
        <f>'P &amp; NP'!XC414</f>
        <v>0</v>
      </c>
      <c r="AA26" s="90">
        <f>'P &amp; NP'!XB452</f>
        <v>0</v>
      </c>
      <c r="AB26" s="90">
        <f>'P &amp; NP'!XC452</f>
        <v>0</v>
      </c>
      <c r="AD26" s="90">
        <f t="shared" si="3"/>
        <v>0</v>
      </c>
      <c r="AE26" s="90">
        <f t="shared" si="4"/>
        <v>0</v>
      </c>
      <c r="AF26" s="116" t="e">
        <f t="shared" si="5"/>
        <v>#DIV/0!</v>
      </c>
    </row>
    <row r="27" spans="2:32">
      <c r="B27" s="116" t="str">
        <f>'P &amp; NP'!B35</f>
        <v>Tawes</v>
      </c>
      <c r="C27" s="90">
        <f t="shared" si="1"/>
        <v>9034211.3146035727</v>
      </c>
      <c r="D27" s="90">
        <f t="shared" si="2"/>
        <v>124359641.15618733</v>
      </c>
      <c r="E27" s="579">
        <f>'P &amp; NP'!XB35</f>
        <v>511638</v>
      </c>
      <c r="F27" s="579">
        <f>'P &amp; NP'!XC35</f>
        <v>7107430.1411988754</v>
      </c>
      <c r="G27" s="579">
        <f>'P &amp; NP'!XB73</f>
        <v>1223018</v>
      </c>
      <c r="H27" s="579">
        <f>'P &amp; NP'!XC73</f>
        <v>16721711</v>
      </c>
      <c r="I27" s="579">
        <f>'P &amp; NP'!XB111</f>
        <v>991891</v>
      </c>
      <c r="J27" s="579">
        <f>'P &amp; NP'!XC111</f>
        <v>14086285</v>
      </c>
      <c r="K27" s="90">
        <f>'P &amp; NP'!XB149</f>
        <v>1089570</v>
      </c>
      <c r="L27" s="90">
        <f>'P &amp; NP'!XC149</f>
        <v>15997884</v>
      </c>
      <c r="M27" s="90">
        <f>'P &amp; NP'!XB187</f>
        <v>1346438</v>
      </c>
      <c r="N27" s="90">
        <f>'P &amp; NP'!XC187</f>
        <v>17981150</v>
      </c>
      <c r="O27" s="90">
        <f>'P &amp; NP'!XB225</f>
        <v>891327.94508609502</v>
      </c>
      <c r="P27" s="90">
        <f>'P &amp; NP'!XC225</f>
        <v>12264069.286119234</v>
      </c>
      <c r="Q27" s="579">
        <f>'P &amp; NP'!XB263</f>
        <v>506759</v>
      </c>
      <c r="R27" s="579">
        <f>'P &amp; NP'!XC263</f>
        <v>6074327</v>
      </c>
      <c r="S27" s="579">
        <f>'P &amp; NP'!XB301</f>
        <v>477268</v>
      </c>
      <c r="T27" s="579">
        <f>'P &amp; NP'!XC301</f>
        <v>6234011</v>
      </c>
      <c r="U27" s="579">
        <f>'P &amp; NP'!XB339</f>
        <v>523803</v>
      </c>
      <c r="V27" s="579">
        <f>'P &amp; NP'!XC339</f>
        <v>6728163</v>
      </c>
      <c r="W27" s="90">
        <f>'P &amp; NP'!XB377</f>
        <v>539519.37485952978</v>
      </c>
      <c r="X27" s="90">
        <f>'P &amp; NP'!XC377</f>
        <v>7431329.0089999996</v>
      </c>
      <c r="Y27" s="90">
        <f>'P &amp; NP'!XB415</f>
        <v>529579.91465794714</v>
      </c>
      <c r="Z27" s="90">
        <f>'P &amp; NP'!XC415</f>
        <v>7970782.7198692076</v>
      </c>
      <c r="AA27" s="90">
        <f>'P &amp; NP'!XB453</f>
        <v>403399.08</v>
      </c>
      <c r="AB27" s="90">
        <f>'P &amp; NP'!XC453</f>
        <v>5762499</v>
      </c>
      <c r="AD27" s="90">
        <f t="shared" si="3"/>
        <v>9034211.3146035727</v>
      </c>
      <c r="AE27" s="90">
        <f t="shared" si="4"/>
        <v>124359641.15618733</v>
      </c>
      <c r="AF27" s="116">
        <f t="shared" si="5"/>
        <v>13765.412034934707</v>
      </c>
    </row>
    <row r="28" spans="2:32">
      <c r="B28" s="116" t="str">
        <f>'P &amp; NP'!B36</f>
        <v>Teri</v>
      </c>
      <c r="C28" s="90">
        <f t="shared" si="1"/>
        <v>26700</v>
      </c>
      <c r="D28" s="90">
        <f t="shared" si="2"/>
        <v>80100</v>
      </c>
      <c r="E28" s="579">
        <f>'P &amp; NP'!XB36</f>
        <v>0</v>
      </c>
      <c r="F28" s="579">
        <f>'P &amp; NP'!XC36</f>
        <v>0</v>
      </c>
      <c r="G28" s="579">
        <f>'P &amp; NP'!XB74</f>
        <v>0</v>
      </c>
      <c r="H28" s="579">
        <f>'P &amp; NP'!XC74</f>
        <v>0</v>
      </c>
      <c r="I28" s="579">
        <f>'P &amp; NP'!XB112</f>
        <v>0</v>
      </c>
      <c r="J28" s="579">
        <f>'P &amp; NP'!XC112</f>
        <v>0</v>
      </c>
      <c r="K28" s="90">
        <f>'P &amp; NP'!XB150</f>
        <v>17000</v>
      </c>
      <c r="L28" s="90">
        <f>'P &amp; NP'!XC150</f>
        <v>51000</v>
      </c>
      <c r="M28" s="90">
        <f>'P &amp; NP'!XB188</f>
        <v>0</v>
      </c>
      <c r="N28" s="90">
        <f>'P &amp; NP'!XC188</f>
        <v>0</v>
      </c>
      <c r="O28" s="90">
        <f>'P &amp; NP'!XB226</f>
        <v>9700</v>
      </c>
      <c r="P28" s="90">
        <f>'P &amp; NP'!XC226</f>
        <v>29100</v>
      </c>
      <c r="Q28" s="579">
        <f>'P &amp; NP'!XB264</f>
        <v>0</v>
      </c>
      <c r="R28" s="579">
        <f>'P &amp; NP'!XC264</f>
        <v>0</v>
      </c>
      <c r="S28" s="579">
        <f>'P &amp; NP'!XB302</f>
        <v>0</v>
      </c>
      <c r="T28" s="579">
        <f>'P &amp; NP'!XC302</f>
        <v>0</v>
      </c>
      <c r="U28" s="579">
        <f>'P &amp; NP'!XB340</f>
        <v>0</v>
      </c>
      <c r="V28" s="579">
        <f>'P &amp; NP'!XC340</f>
        <v>0</v>
      </c>
      <c r="W28" s="90">
        <f>'P &amp; NP'!XB378</f>
        <v>0</v>
      </c>
      <c r="X28" s="90">
        <f>'P &amp; NP'!XC378</f>
        <v>0</v>
      </c>
      <c r="Y28" s="90">
        <f>'P &amp; NP'!XB416</f>
        <v>0</v>
      </c>
      <c r="Z28" s="90">
        <f>'P &amp; NP'!XC416</f>
        <v>0</v>
      </c>
      <c r="AA28" s="90">
        <f>'P &amp; NP'!XB454</f>
        <v>0</v>
      </c>
      <c r="AB28" s="90">
        <f>'P &amp; NP'!XC454</f>
        <v>0</v>
      </c>
      <c r="AD28" s="90">
        <f t="shared" si="3"/>
        <v>26700</v>
      </c>
      <c r="AE28" s="90">
        <f t="shared" si="4"/>
        <v>80100</v>
      </c>
      <c r="AF28" s="116">
        <f t="shared" si="5"/>
        <v>3000</v>
      </c>
    </row>
    <row r="29" spans="2:32">
      <c r="B29" s="116" t="str">
        <f>'P &amp; NP'!B37</f>
        <v xml:space="preserve">Udang Galah </v>
      </c>
      <c r="C29" s="90">
        <f t="shared" si="1"/>
        <v>0</v>
      </c>
      <c r="D29" s="90">
        <f t="shared" si="2"/>
        <v>0</v>
      </c>
      <c r="E29" s="579">
        <f>'P &amp; NP'!XB37</f>
        <v>0</v>
      </c>
      <c r="F29" s="579">
        <f>'P &amp; NP'!XC37</f>
        <v>0</v>
      </c>
      <c r="G29" s="579">
        <f>'P &amp; NP'!XB75</f>
        <v>0</v>
      </c>
      <c r="H29" s="579">
        <f>'P &amp; NP'!XC75</f>
        <v>0</v>
      </c>
      <c r="I29" s="579">
        <f>'P &amp; NP'!XB113</f>
        <v>0</v>
      </c>
      <c r="J29" s="579">
        <f>'P &amp; NP'!XC113</f>
        <v>0</v>
      </c>
      <c r="K29" s="90">
        <f>'P &amp; NP'!XB151</f>
        <v>0</v>
      </c>
      <c r="L29" s="90">
        <f>'P &amp; NP'!XC151</f>
        <v>0</v>
      </c>
      <c r="M29" s="90">
        <f>'P &amp; NP'!XB189</f>
        <v>0</v>
      </c>
      <c r="N29" s="90">
        <f>'P &amp; NP'!XC189</f>
        <v>0</v>
      </c>
      <c r="O29" s="90">
        <f>'P &amp; NP'!XB227</f>
        <v>0</v>
      </c>
      <c r="P29" s="90">
        <f>'P &amp; NP'!XC227</f>
        <v>0</v>
      </c>
      <c r="Q29" s="579">
        <f>'P &amp; NP'!XB265</f>
        <v>0</v>
      </c>
      <c r="R29" s="579">
        <f>'P &amp; NP'!XC265</f>
        <v>0</v>
      </c>
      <c r="S29" s="579">
        <f>'P &amp; NP'!XB303</f>
        <v>0</v>
      </c>
      <c r="T29" s="579">
        <f>'P &amp; NP'!XC303</f>
        <v>0</v>
      </c>
      <c r="U29" s="579">
        <f>'P &amp; NP'!XB341</f>
        <v>0</v>
      </c>
      <c r="V29" s="579">
        <f>'P &amp; NP'!XC341</f>
        <v>0</v>
      </c>
      <c r="W29" s="90">
        <f>'P &amp; NP'!XB379</f>
        <v>0</v>
      </c>
      <c r="X29" s="90">
        <f>'P &amp; NP'!XC379</f>
        <v>0</v>
      </c>
      <c r="Y29" s="90">
        <f>'P &amp; NP'!XB417</f>
        <v>0</v>
      </c>
      <c r="Z29" s="90">
        <f>'P &amp; NP'!XC417</f>
        <v>0</v>
      </c>
      <c r="AA29" s="90">
        <f>'P &amp; NP'!XB455</f>
        <v>0</v>
      </c>
      <c r="AB29" s="90">
        <f>'P &amp; NP'!XC455</f>
        <v>0</v>
      </c>
      <c r="AD29" s="90">
        <f t="shared" si="3"/>
        <v>0</v>
      </c>
      <c r="AE29" s="90">
        <f t="shared" si="4"/>
        <v>0</v>
      </c>
      <c r="AF29" s="116" t="e">
        <f t="shared" si="5"/>
        <v>#DIV/0!</v>
      </c>
    </row>
    <row r="30" spans="2:32">
      <c r="B30" s="116" t="str">
        <f>'P &amp; NP'!B38</f>
        <v>Udang Putih</v>
      </c>
      <c r="C30" s="90">
        <f t="shared" si="1"/>
        <v>3327924.8</v>
      </c>
      <c r="D30" s="90">
        <f t="shared" si="2"/>
        <v>139269710</v>
      </c>
      <c r="E30" s="579">
        <f>'P &amp; NP'!XB38</f>
        <v>360915.8</v>
      </c>
      <c r="F30" s="579">
        <f>'P &amp; NP'!XC38</f>
        <v>14825790</v>
      </c>
      <c r="G30" s="579">
        <f>'P &amp; NP'!XB76</f>
        <v>451671</v>
      </c>
      <c r="H30" s="579">
        <f>'P &amp; NP'!XC76</f>
        <v>19824550</v>
      </c>
      <c r="I30" s="579">
        <f>'P &amp; NP'!XB114</f>
        <v>363246</v>
      </c>
      <c r="J30" s="579">
        <f>'P &amp; NP'!XC114</f>
        <v>14834300</v>
      </c>
      <c r="K30" s="90">
        <f>'P &amp; NP'!XB152</f>
        <v>227005</v>
      </c>
      <c r="L30" s="90">
        <f>'P &amp; NP'!XC152</f>
        <v>9517750</v>
      </c>
      <c r="M30" s="90">
        <f>'P &amp; NP'!XB190</f>
        <v>224205</v>
      </c>
      <c r="N30" s="90">
        <f>'P &amp; NP'!XC190</f>
        <v>9473250</v>
      </c>
      <c r="O30" s="90">
        <f>'P &amp; NP'!XB228</f>
        <v>208563</v>
      </c>
      <c r="P30" s="90">
        <f>'P &amp; NP'!XC228</f>
        <v>8822150</v>
      </c>
      <c r="Q30" s="579">
        <f>'P &amp; NP'!XB266</f>
        <v>173093</v>
      </c>
      <c r="R30" s="579">
        <f>'P &amp; NP'!XC266</f>
        <v>7218770</v>
      </c>
      <c r="S30" s="579">
        <f>'P &amp; NP'!XB304</f>
        <v>204246</v>
      </c>
      <c r="T30" s="579">
        <f>'P &amp; NP'!XC304</f>
        <v>8679200</v>
      </c>
      <c r="U30" s="579">
        <f>'P &amp; NP'!XB342</f>
        <v>197887</v>
      </c>
      <c r="V30" s="579">
        <f>'P &amp; NP'!XC342</f>
        <v>8428550</v>
      </c>
      <c r="W30" s="90">
        <f>'P &amp; NP'!XB380</f>
        <v>298625</v>
      </c>
      <c r="X30" s="90">
        <f>'P &amp; NP'!XC380</f>
        <v>12222700</v>
      </c>
      <c r="Y30" s="90">
        <f>'P &amp; NP'!XB418</f>
        <v>260126</v>
      </c>
      <c r="Z30" s="90">
        <f>'P &amp; NP'!XC418</f>
        <v>10666950</v>
      </c>
      <c r="AA30" s="90">
        <f>'P &amp; NP'!XB456</f>
        <v>358342</v>
      </c>
      <c r="AB30" s="90">
        <f>'P &amp; NP'!XC456</f>
        <v>14755750</v>
      </c>
      <c r="AD30" s="90">
        <f t="shared" si="3"/>
        <v>3327924.8</v>
      </c>
      <c r="AE30" s="90">
        <f t="shared" si="4"/>
        <v>139269710</v>
      </c>
      <c r="AF30" s="116">
        <f t="shared" si="5"/>
        <v>41848.815213613001</v>
      </c>
    </row>
    <row r="31" spans="2:32">
      <c r="B31" s="116" t="str">
        <f>'P &amp; NP'!B39</f>
        <v xml:space="preserve">Udang Vaname </v>
      </c>
      <c r="C31" s="90">
        <f t="shared" si="1"/>
        <v>116295654.49784365</v>
      </c>
      <c r="D31" s="90">
        <f t="shared" si="2"/>
        <v>6235022826.2099533</v>
      </c>
      <c r="E31" s="579">
        <f>'P &amp; NP'!XB39</f>
        <v>9138044.6208974794</v>
      </c>
      <c r="F31" s="579">
        <f>'P &amp; NP'!XC39</f>
        <v>498690616.07987404</v>
      </c>
      <c r="G31" s="579">
        <f>'P &amp; NP'!XB77</f>
        <v>9845534.3300224133</v>
      </c>
      <c r="H31" s="579">
        <f>'P &amp; NP'!XC77</f>
        <v>538434938.52999997</v>
      </c>
      <c r="I31" s="579">
        <f>'P &amp; NP'!XB115</f>
        <v>10160882.34002055</v>
      </c>
      <c r="J31" s="579">
        <f>'P &amp; NP'!XC115</f>
        <v>547408123.00300002</v>
      </c>
      <c r="K31" s="90">
        <f>'P &amp; NP'!XB153</f>
        <v>11029193.260039363</v>
      </c>
      <c r="L31" s="90">
        <f>'P &amp; NP'!XC153</f>
        <v>586145884.00300002</v>
      </c>
      <c r="M31" s="90">
        <f>'P &amp; NP'!XB191</f>
        <v>11421081.96932259</v>
      </c>
      <c r="N31" s="90">
        <f>'P &amp; NP'!XC191</f>
        <v>594291453.65700006</v>
      </c>
      <c r="O31" s="90">
        <f>'P &amp; NP'!XB229</f>
        <v>9827732.9016543049</v>
      </c>
      <c r="P31" s="90">
        <f>'P &amp; NP'!XC229</f>
        <v>529769611.59330297</v>
      </c>
      <c r="Q31" s="579">
        <f>'P &amp; NP'!XB267</f>
        <v>9174422.415202789</v>
      </c>
      <c r="R31" s="579">
        <f>'P &amp; NP'!XC267</f>
        <v>505568906.27227283</v>
      </c>
      <c r="S31" s="579">
        <f>'P &amp; NP'!XB305</f>
        <v>9202392.6800045688</v>
      </c>
      <c r="T31" s="579">
        <f>'P &amp; NP'!XC305</f>
        <v>504884468.00199997</v>
      </c>
      <c r="U31" s="579">
        <f>'P &amp; NP'!XB343</f>
        <v>9268162.1500424631</v>
      </c>
      <c r="V31" s="579">
        <f>'P &amp; NP'!XC343</f>
        <v>509833260.00400001</v>
      </c>
      <c r="W31" s="90">
        <f>'P &amp; NP'!XB381</f>
        <v>8215179.0031268066</v>
      </c>
      <c r="X31" s="90">
        <f>'P &amp; NP'!XC381</f>
        <v>414072355.639</v>
      </c>
      <c r="Y31" s="90">
        <f>'P &amp; NP'!XB419</f>
        <v>8755689.0769141838</v>
      </c>
      <c r="Z31" s="90">
        <f>'P &amp; NP'!XC419</f>
        <v>462334875.1995033</v>
      </c>
      <c r="AA31" s="90">
        <f>'P &amp; NP'!XB457</f>
        <v>10257339.750596158</v>
      </c>
      <c r="AB31" s="90">
        <f>'P &amp; NP'!XC457</f>
        <v>543588334.227</v>
      </c>
      <c r="AD31" s="90">
        <f t="shared" si="3"/>
        <v>116295654.49784365</v>
      </c>
      <c r="AE31" s="90">
        <f t="shared" si="4"/>
        <v>6235022826.2099533</v>
      </c>
      <c r="AF31" s="116">
        <f t="shared" si="5"/>
        <v>53613.549475535758</v>
      </c>
    </row>
    <row r="32" spans="2:32">
      <c r="B32" s="116" t="str">
        <f>'P &amp; NP'!B40</f>
        <v xml:space="preserve">Udang Windu </v>
      </c>
      <c r="C32" s="90">
        <f t="shared" si="1"/>
        <v>7148560.528956959</v>
      </c>
      <c r="D32" s="90">
        <f t="shared" si="2"/>
        <v>649707624.78971636</v>
      </c>
      <c r="E32" s="579">
        <f>'P &amp; NP'!XB40</f>
        <v>598953.33643939416</v>
      </c>
      <c r="F32" s="579">
        <f>'P &amp; NP'!XC40</f>
        <v>57575545.143939428</v>
      </c>
      <c r="G32" s="579">
        <f>'P &amp; NP'!XB78</f>
        <v>745992.24</v>
      </c>
      <c r="H32" s="579">
        <f>'P &amp; NP'!XC78</f>
        <v>64103499</v>
      </c>
      <c r="I32" s="579">
        <f>'P &amp; NP'!XB116</f>
        <v>889307.32000000007</v>
      </c>
      <c r="J32" s="579">
        <f>'P &amp; NP'!XC116</f>
        <v>76248760</v>
      </c>
      <c r="K32" s="90">
        <f>'P &amp; NP'!XB154</f>
        <v>494413.43</v>
      </c>
      <c r="L32" s="90">
        <f>'P &amp; NP'!XC154</f>
        <v>46924832</v>
      </c>
      <c r="M32" s="90">
        <f>'P &amp; NP'!XB192</f>
        <v>455741.43</v>
      </c>
      <c r="N32" s="90">
        <f>'P &amp; NP'!XC192</f>
        <v>43265433</v>
      </c>
      <c r="O32" s="90">
        <f>'P &amp; NP'!XB230</f>
        <v>454496.35302649252</v>
      </c>
      <c r="P32" s="90">
        <f>'P &amp; NP'!XC230</f>
        <v>42678097.302649245</v>
      </c>
      <c r="Q32" s="579">
        <f>'P &amp; NP'!XB268</f>
        <v>490545.74810289929</v>
      </c>
      <c r="R32" s="579">
        <f>'P &amp; NP'!XC268</f>
        <v>46142747.810289934</v>
      </c>
      <c r="S32" s="579">
        <f>'P &amp; NP'!XB306</f>
        <v>595033.02</v>
      </c>
      <c r="T32" s="579">
        <f>'P &amp; NP'!XC306</f>
        <v>56226577</v>
      </c>
      <c r="U32" s="579">
        <f>'P &amp; NP'!XB344</f>
        <v>778357.02</v>
      </c>
      <c r="V32" s="579">
        <f>'P &amp; NP'!XC344</f>
        <v>72715232</v>
      </c>
      <c r="W32" s="90">
        <f>'P &amp; NP'!XB382</f>
        <v>615529.93389070057</v>
      </c>
      <c r="X32" s="90">
        <f>'P &amp; NP'!XC382</f>
        <v>53462587.491999999</v>
      </c>
      <c r="Y32" s="90">
        <f>'P &amp; NP'!XB420</f>
        <v>505268.82301047188</v>
      </c>
      <c r="Z32" s="90">
        <f>'P &amp; NP'!XC420</f>
        <v>44342420.04083775</v>
      </c>
      <c r="AA32" s="90">
        <f>'P &amp; NP'!XB458</f>
        <v>524921.87448700005</v>
      </c>
      <c r="AB32" s="90">
        <f>'P &amp; NP'!XC458</f>
        <v>46021894</v>
      </c>
      <c r="AD32" s="90">
        <f t="shared" si="3"/>
        <v>7148560.528956959</v>
      </c>
      <c r="AE32" s="90">
        <f t="shared" si="4"/>
        <v>649707624.78971636</v>
      </c>
      <c r="AF32" s="116">
        <f t="shared" si="5"/>
        <v>90886.496960880424</v>
      </c>
    </row>
    <row r="33" spans="2:32">
      <c r="B33" s="116" t="str">
        <f>'P &amp; NP'!B41</f>
        <v xml:space="preserve">Udang_01 (Udang Api-Api) </v>
      </c>
      <c r="C33" s="90">
        <f t="shared" si="1"/>
        <v>816631</v>
      </c>
      <c r="D33" s="90">
        <f t="shared" si="2"/>
        <v>34993745</v>
      </c>
      <c r="E33" s="579">
        <f>'P &amp; NP'!XB41</f>
        <v>62900</v>
      </c>
      <c r="F33" s="579">
        <f>'P &amp; NP'!XC41</f>
        <v>2706000</v>
      </c>
      <c r="G33" s="579">
        <f>'P &amp; NP'!XB79</f>
        <v>72400</v>
      </c>
      <c r="H33" s="579">
        <f>'P &amp; NP'!XC79</f>
        <v>3041000</v>
      </c>
      <c r="I33" s="579">
        <f>'P &amp; NP'!XB117</f>
        <v>60500</v>
      </c>
      <c r="J33" s="579">
        <f>'P &amp; NP'!XC117</f>
        <v>2570000</v>
      </c>
      <c r="K33" s="90">
        <f>'P &amp; NP'!XB155</f>
        <v>164700</v>
      </c>
      <c r="L33" s="90">
        <f>'P &amp; NP'!XC155</f>
        <v>6805000</v>
      </c>
      <c r="M33" s="90">
        <f>'P &amp; NP'!XB193</f>
        <v>64700</v>
      </c>
      <c r="N33" s="90">
        <f>'P &amp; NP'!XC193</f>
        <v>2839500</v>
      </c>
      <c r="O33" s="90">
        <f>'P &amp; NP'!XB231</f>
        <v>65300</v>
      </c>
      <c r="P33" s="90">
        <f>'P &amp; NP'!XC231</f>
        <v>2851000</v>
      </c>
      <c r="Q33" s="579">
        <f>'P &amp; NP'!XB269</f>
        <v>39360</v>
      </c>
      <c r="R33" s="579">
        <f>'P &amp; NP'!XC269</f>
        <v>1720900</v>
      </c>
      <c r="S33" s="579">
        <f>'P &amp; NP'!XB307</f>
        <v>63260</v>
      </c>
      <c r="T33" s="579">
        <f>'P &amp; NP'!XC307</f>
        <v>2783900</v>
      </c>
      <c r="U33" s="579">
        <f>'P &amp; NP'!XB345</f>
        <v>64720</v>
      </c>
      <c r="V33" s="579">
        <f>'P &amp; NP'!XC345</f>
        <v>2844800</v>
      </c>
      <c r="W33" s="90">
        <f>'P &amp; NP'!XB383</f>
        <v>45443</v>
      </c>
      <c r="X33" s="90">
        <f>'P &amp; NP'!XC383</f>
        <v>1957835</v>
      </c>
      <c r="Y33" s="90">
        <f>'P &amp; NP'!XB421</f>
        <v>40719</v>
      </c>
      <c r="Z33" s="90">
        <f>'P &amp; NP'!XC421</f>
        <v>1758705</v>
      </c>
      <c r="AA33" s="90">
        <f>'P &amp; NP'!XB459</f>
        <v>72629</v>
      </c>
      <c r="AB33" s="90">
        <f>'P &amp; NP'!XC459</f>
        <v>3115105</v>
      </c>
      <c r="AD33" s="90">
        <f t="shared" si="3"/>
        <v>816631</v>
      </c>
      <c r="AE33" s="90">
        <f t="shared" si="4"/>
        <v>34993745</v>
      </c>
      <c r="AF33" s="116">
        <f t="shared" si="5"/>
        <v>42851.355140816355</v>
      </c>
    </row>
    <row r="34" spans="2:32">
      <c r="B34" s="116" t="str">
        <f>'P &amp; NP'!B42</f>
        <v xml:space="preserve">Udang_02 (Udang Rebon) </v>
      </c>
      <c r="C34" s="90">
        <f t="shared" si="1"/>
        <v>1710001</v>
      </c>
      <c r="D34" s="90">
        <f t="shared" si="2"/>
        <v>68400040</v>
      </c>
      <c r="E34" s="579">
        <f>'P &amp; NP'!XB42</f>
        <v>142300</v>
      </c>
      <c r="F34" s="579">
        <f>'P &amp; NP'!XC42</f>
        <v>5692000</v>
      </c>
      <c r="G34" s="579">
        <f>'P &amp; NP'!XB80</f>
        <v>106600</v>
      </c>
      <c r="H34" s="579">
        <f>'P &amp; NP'!XC80</f>
        <v>4264000</v>
      </c>
      <c r="I34" s="579">
        <f>'P &amp; NP'!XB118</f>
        <v>110700</v>
      </c>
      <c r="J34" s="579">
        <f>'P &amp; NP'!XC118</f>
        <v>4428000</v>
      </c>
      <c r="K34" s="90">
        <f>'P &amp; NP'!XB156</f>
        <v>158900</v>
      </c>
      <c r="L34" s="90">
        <f>'P &amp; NP'!XC156</f>
        <v>6356000</v>
      </c>
      <c r="M34" s="90">
        <f>'P &amp; NP'!XB194</f>
        <v>184200</v>
      </c>
      <c r="N34" s="90">
        <f>'P &amp; NP'!XC194</f>
        <v>7368000</v>
      </c>
      <c r="O34" s="90">
        <f>'P &amp; NP'!XB232</f>
        <v>174900</v>
      </c>
      <c r="P34" s="90">
        <f>'P &amp; NP'!XC232</f>
        <v>6996000</v>
      </c>
      <c r="Q34" s="579">
        <f>'P &amp; NP'!XB270</f>
        <v>107100</v>
      </c>
      <c r="R34" s="579">
        <f>'P &amp; NP'!XC270</f>
        <v>4284000</v>
      </c>
      <c r="S34" s="579">
        <f>'P &amp; NP'!XB308</f>
        <v>185800</v>
      </c>
      <c r="T34" s="579">
        <f>'P &amp; NP'!XC308</f>
        <v>7432000</v>
      </c>
      <c r="U34" s="579">
        <f>'P &amp; NP'!XB346</f>
        <v>187300</v>
      </c>
      <c r="V34" s="579">
        <f>'P &amp; NP'!XC346</f>
        <v>7492000</v>
      </c>
      <c r="W34" s="90">
        <f>'P &amp; NP'!XB384</f>
        <v>101667</v>
      </c>
      <c r="X34" s="90">
        <f>'P &amp; NP'!XC384</f>
        <v>4066680</v>
      </c>
      <c r="Y34" s="90">
        <f>'P &amp; NP'!XB422</f>
        <v>96067</v>
      </c>
      <c r="Z34" s="90">
        <f>'P &amp; NP'!XC422</f>
        <v>3842680</v>
      </c>
      <c r="AA34" s="90">
        <f>'P &amp; NP'!XB460</f>
        <v>154467</v>
      </c>
      <c r="AB34" s="90">
        <f>'P &amp; NP'!XC460</f>
        <v>6178680</v>
      </c>
      <c r="AD34" s="90">
        <f t="shared" si="3"/>
        <v>1710001</v>
      </c>
      <c r="AE34" s="90">
        <f t="shared" si="4"/>
        <v>68400040</v>
      </c>
      <c r="AF34" s="116">
        <f t="shared" si="5"/>
        <v>40000</v>
      </c>
    </row>
    <row r="35" spans="2:32">
      <c r="B35" s="116" t="str">
        <f>'P &amp; NP'!B43</f>
        <v xml:space="preserve">Belut Sawah </v>
      </c>
      <c r="C35" s="90">
        <f>SUMIF($E$4:$AB$4,$C$4,E35:AB35)</f>
        <v>260</v>
      </c>
      <c r="D35" s="90">
        <f>SUMIF($E$4:$AB$4,$D$4,E35:AB35)</f>
        <v>19500</v>
      </c>
      <c r="E35" s="579">
        <f>'P &amp; NP'!XB43</f>
        <v>0</v>
      </c>
      <c r="F35" s="579">
        <f>'P &amp; NP'!XC43</f>
        <v>0</v>
      </c>
      <c r="G35" s="579">
        <f>'P &amp; NP'!XB81</f>
        <v>0</v>
      </c>
      <c r="H35" s="579">
        <f>'P &amp; NP'!XC81</f>
        <v>0</v>
      </c>
      <c r="I35" s="579">
        <f>'P &amp; NP'!XB119</f>
        <v>0</v>
      </c>
      <c r="J35" s="579">
        <f>'P &amp; NP'!XC119</f>
        <v>0</v>
      </c>
      <c r="K35" s="90">
        <f>'P &amp; NP'!XB157</f>
        <v>0</v>
      </c>
      <c r="L35" s="90">
        <f>'P &amp; NP'!XC157</f>
        <v>0</v>
      </c>
      <c r="M35" s="90">
        <f>'P &amp; NP'!XB195</f>
        <v>0</v>
      </c>
      <c r="N35" s="90">
        <f>'P &amp; NP'!XC195</f>
        <v>0</v>
      </c>
      <c r="O35" s="90">
        <f>'P &amp; NP'!XB233</f>
        <v>0</v>
      </c>
      <c r="P35" s="90">
        <f>'P &amp; NP'!XC233</f>
        <v>0</v>
      </c>
      <c r="Q35" s="579">
        <f>'P &amp; NP'!XB271</f>
        <v>35</v>
      </c>
      <c r="R35" s="579">
        <f>'P &amp; NP'!XC271</f>
        <v>2625</v>
      </c>
      <c r="S35" s="579">
        <f>'P &amp; NP'!XB309</f>
        <v>25</v>
      </c>
      <c r="T35" s="579">
        <f>'P &amp; NP'!XC309</f>
        <v>1875</v>
      </c>
      <c r="U35" s="579">
        <f>'P &amp; NP'!XB347</f>
        <v>0</v>
      </c>
      <c r="V35" s="579">
        <f>'P &amp; NP'!XC347</f>
        <v>0</v>
      </c>
      <c r="W35" s="90">
        <f>'P &amp; NP'!XB385</f>
        <v>0</v>
      </c>
      <c r="X35" s="90">
        <f>'P &amp; NP'!XC385</f>
        <v>0</v>
      </c>
      <c r="Y35" s="90">
        <f>'P &amp; NP'!XB423</f>
        <v>75</v>
      </c>
      <c r="Z35" s="90">
        <f>'P &amp; NP'!XC423</f>
        <v>5625</v>
      </c>
      <c r="AA35" s="90">
        <f>'P &amp; NP'!XB461</f>
        <v>125</v>
      </c>
      <c r="AB35" s="90">
        <f>'P &amp; NP'!XC461</f>
        <v>9375</v>
      </c>
      <c r="AF35" s="116"/>
    </row>
    <row r="36" spans="2:32">
      <c r="B36" s="116" t="str">
        <f>'P &amp; NP'!B44</f>
        <v xml:space="preserve">Udang_04 (Udang Lainnya) </v>
      </c>
      <c r="C36" s="90">
        <f t="shared" ref="C36:C42" si="6">SUMIF($E$4:$AB$4,$C$4,E36:AB36)</f>
        <v>0</v>
      </c>
      <c r="D36" s="90">
        <f t="shared" ref="D36:D42" si="7">SUMIF($E$4:$AB$4,$D$4,E36:AB36)</f>
        <v>0</v>
      </c>
      <c r="E36" s="579">
        <f>'P &amp; NP'!XB44</f>
        <v>0</v>
      </c>
      <c r="F36" s="579">
        <f>'P &amp; NP'!XC44</f>
        <v>0</v>
      </c>
      <c r="G36" s="579">
        <f>'P &amp; NP'!XB82</f>
        <v>0</v>
      </c>
      <c r="H36" s="579">
        <f>'P &amp; NP'!XC82</f>
        <v>0</v>
      </c>
      <c r="I36" s="579">
        <f>'P &amp; NP'!XB120</f>
        <v>0</v>
      </c>
      <c r="J36" s="579">
        <f>'P &amp; NP'!XC120</f>
        <v>0</v>
      </c>
      <c r="K36" s="90">
        <f>'P &amp; NP'!XB158</f>
        <v>0</v>
      </c>
      <c r="L36" s="90">
        <f>'P &amp; NP'!XC158</f>
        <v>0</v>
      </c>
      <c r="M36" s="90">
        <f>'P &amp; NP'!XB196</f>
        <v>0</v>
      </c>
      <c r="N36" s="90">
        <f>'P &amp; NP'!XC196</f>
        <v>0</v>
      </c>
      <c r="O36" s="90">
        <f>'P &amp; NP'!XB234</f>
        <v>0</v>
      </c>
      <c r="P36" s="90">
        <f>'P &amp; NP'!XC234</f>
        <v>0</v>
      </c>
      <c r="Q36" s="579">
        <f>'P &amp; NP'!XB272</f>
        <v>0</v>
      </c>
      <c r="R36" s="579">
        <f>'P &amp; NP'!XC272</f>
        <v>0</v>
      </c>
      <c r="S36" s="579">
        <f>'P &amp; NP'!XB310</f>
        <v>0</v>
      </c>
      <c r="T36" s="579">
        <f>'P &amp; NP'!XC310</f>
        <v>0</v>
      </c>
      <c r="U36" s="579">
        <f>'P &amp; NP'!XB348</f>
        <v>0</v>
      </c>
      <c r="V36" s="579">
        <f>'P &amp; NP'!XC348</f>
        <v>0</v>
      </c>
      <c r="W36" s="90">
        <f>'P &amp; NP'!XB386</f>
        <v>0</v>
      </c>
      <c r="X36" s="90">
        <f>'P &amp; NP'!XC386</f>
        <v>0</v>
      </c>
      <c r="Y36" s="90">
        <f>'P &amp; NP'!XB424</f>
        <v>0</v>
      </c>
      <c r="Z36" s="90">
        <f>'P &amp; NP'!XC424</f>
        <v>0</v>
      </c>
      <c r="AA36" s="90">
        <f>'P &amp; NP'!XB462</f>
        <v>0</v>
      </c>
      <c r="AB36" s="90">
        <f>'P &amp; NP'!XC462</f>
        <v>0</v>
      </c>
      <c r="AF36" s="116"/>
    </row>
    <row r="37" spans="2:32">
      <c r="B37" s="116" t="str">
        <f>'P &amp; NP'!B45</f>
        <v xml:space="preserve">Udang_05 (Udang Lainnya) </v>
      </c>
      <c r="C37" s="90">
        <f t="shared" si="6"/>
        <v>0</v>
      </c>
      <c r="D37" s="90">
        <f t="shared" si="7"/>
        <v>0</v>
      </c>
      <c r="E37" s="579">
        <f>'P &amp; NP'!XB45</f>
        <v>0</v>
      </c>
      <c r="F37" s="579">
        <f>'P &amp; NP'!XC45</f>
        <v>0</v>
      </c>
      <c r="G37" s="579">
        <f>'P &amp; NP'!XB83</f>
        <v>0</v>
      </c>
      <c r="H37" s="579">
        <f>'P &amp; NP'!XC83</f>
        <v>0</v>
      </c>
      <c r="I37" s="579">
        <f>'P &amp; NP'!XB121</f>
        <v>0</v>
      </c>
      <c r="J37" s="579">
        <f>'P &amp; NP'!XC121</f>
        <v>0</v>
      </c>
      <c r="K37" s="90">
        <f>'P &amp; NP'!XB159</f>
        <v>0</v>
      </c>
      <c r="L37" s="90">
        <f>'P &amp; NP'!XC159</f>
        <v>0</v>
      </c>
      <c r="M37" s="90">
        <f>'P &amp; NP'!XB197</f>
        <v>0</v>
      </c>
      <c r="N37" s="90">
        <f>'P &amp; NP'!XC197</f>
        <v>0</v>
      </c>
      <c r="O37" s="90">
        <f>'P &amp; NP'!XB235</f>
        <v>0</v>
      </c>
      <c r="P37" s="90">
        <f>'P &amp; NP'!XC235</f>
        <v>0</v>
      </c>
      <c r="Q37" s="579">
        <f>'P &amp; NP'!XB273</f>
        <v>0</v>
      </c>
      <c r="R37" s="579">
        <f>'P &amp; NP'!XC273</f>
        <v>0</v>
      </c>
      <c r="S37" s="579">
        <f>'P &amp; NP'!XB311</f>
        <v>0</v>
      </c>
      <c r="T37" s="579">
        <f>'P &amp; NP'!XC311</f>
        <v>0</v>
      </c>
      <c r="U37" s="579">
        <f>'P &amp; NP'!XB349</f>
        <v>0</v>
      </c>
      <c r="V37" s="579">
        <f>'P &amp; NP'!XC349</f>
        <v>0</v>
      </c>
      <c r="W37" s="90">
        <f>'P &amp; NP'!XB387</f>
        <v>0</v>
      </c>
      <c r="X37" s="90">
        <f>'P &amp; NP'!XC387</f>
        <v>0</v>
      </c>
      <c r="Y37" s="90">
        <f>'P &amp; NP'!XB425</f>
        <v>0</v>
      </c>
      <c r="Z37" s="90">
        <f>'P &amp; NP'!XC425</f>
        <v>0</v>
      </c>
      <c r="AA37" s="90">
        <f>'P &amp; NP'!XB463</f>
        <v>0</v>
      </c>
      <c r="AB37" s="90">
        <f>'P &amp; NP'!XC463</f>
        <v>0</v>
      </c>
      <c r="AF37" s="116"/>
    </row>
    <row r="38" spans="2:32">
      <c r="B38" s="116" t="str">
        <f>'P &amp; NP'!B46</f>
        <v>Ikan_01 (Ikan Lainnya)</v>
      </c>
      <c r="C38" s="90">
        <f t="shared" si="6"/>
        <v>5925960.3641398381</v>
      </c>
      <c r="D38" s="90">
        <f t="shared" si="7"/>
        <v>24409803.841891561</v>
      </c>
      <c r="E38" s="579">
        <f>'P &amp; NP'!XB46</f>
        <v>315298.73054421326</v>
      </c>
      <c r="F38" s="579">
        <f>'P &amp; NP'!XC46</f>
        <v>1555794.767912817</v>
      </c>
      <c r="G38" s="579">
        <f>'P &amp; NP'!XB84</f>
        <v>461009</v>
      </c>
      <c r="H38" s="579">
        <f>'P &amp; NP'!XC84</f>
        <v>2305921</v>
      </c>
      <c r="I38" s="579">
        <f>'P &amp; NP'!XB122</f>
        <v>683950</v>
      </c>
      <c r="J38" s="579">
        <f>'P &amp; NP'!XC122</f>
        <v>3419750</v>
      </c>
      <c r="K38" s="90">
        <f>'P &amp; NP'!XB160</f>
        <v>298388</v>
      </c>
      <c r="L38" s="90">
        <f>'P &amp; NP'!XC160</f>
        <v>1492439</v>
      </c>
      <c r="M38" s="90">
        <f>'P &amp; NP'!XB198</f>
        <v>326175</v>
      </c>
      <c r="N38" s="90">
        <f>'P &amp; NP'!XC198</f>
        <v>1655874</v>
      </c>
      <c r="O38" s="90">
        <f>'P &amp; NP'!XB236</f>
        <v>476454.49044065998</v>
      </c>
      <c r="P38" s="90">
        <f>'P &amp; NP'!XC236</f>
        <v>2385647.4522032999</v>
      </c>
      <c r="Q38" s="579">
        <f>'P &amp; NP'!XB274</f>
        <v>559995.08291367115</v>
      </c>
      <c r="R38" s="579">
        <f>'P &amp; NP'!XC274</f>
        <v>1679985.6089914157</v>
      </c>
      <c r="S38" s="579">
        <f>'P &amp; NP'!XB312</f>
        <v>614221</v>
      </c>
      <c r="T38" s="579">
        <f>'P &amp; NP'!XC312</f>
        <v>2066478</v>
      </c>
      <c r="U38" s="579">
        <f>'P &amp; NP'!XB350</f>
        <v>1059729</v>
      </c>
      <c r="V38" s="579">
        <f>'P &amp; NP'!XC350</f>
        <v>3179186</v>
      </c>
      <c r="W38" s="90">
        <f>'P &amp; NP'!XB388</f>
        <v>70</v>
      </c>
      <c r="X38" s="90">
        <f>'P &amp; NP'!XC388</f>
        <v>2100</v>
      </c>
      <c r="Y38" s="90">
        <f>'P &amp; NP'!XB426</f>
        <v>527068.47430492775</v>
      </c>
      <c r="Z38" s="90">
        <f>'P &amp; NP'!XC426</f>
        <v>2018438.0127840287</v>
      </c>
      <c r="AA38" s="90">
        <f>'P &amp; NP'!XB464</f>
        <v>603601.58593636565</v>
      </c>
      <c r="AB38" s="90">
        <f>'P &amp; NP'!XC464</f>
        <v>2648190</v>
      </c>
      <c r="AF38" s="116"/>
    </row>
    <row r="39" spans="2:32">
      <c r="B39" s="116" t="str">
        <f>'P &amp; NP'!B47</f>
        <v>Ikan_02 (Tiram)</v>
      </c>
      <c r="C39" s="90">
        <f t="shared" si="6"/>
        <v>15415</v>
      </c>
      <c r="D39" s="90">
        <f t="shared" si="7"/>
        <v>154150</v>
      </c>
      <c r="E39" s="579">
        <f>'P &amp; NP'!XB47</f>
        <v>1300</v>
      </c>
      <c r="F39" s="579">
        <f>'P &amp; NP'!XC47</f>
        <v>13000</v>
      </c>
      <c r="G39" s="579">
        <f>'P &amp; NP'!XB85</f>
        <v>1230</v>
      </c>
      <c r="H39" s="579">
        <f>'P &amp; NP'!XC85</f>
        <v>12300</v>
      </c>
      <c r="I39" s="579">
        <f>'P &amp; NP'!XB123</f>
        <v>1300</v>
      </c>
      <c r="J39" s="579">
        <f>'P &amp; NP'!XC123</f>
        <v>13000</v>
      </c>
      <c r="K39" s="90">
        <f>'P &amp; NP'!XB161</f>
        <v>1170</v>
      </c>
      <c r="L39" s="90">
        <f>'P &amp; NP'!XC161</f>
        <v>11700</v>
      </c>
      <c r="M39" s="90">
        <f>'P &amp; NP'!XB199</f>
        <v>1240</v>
      </c>
      <c r="N39" s="90">
        <f>'P &amp; NP'!XC199</f>
        <v>12400</v>
      </c>
      <c r="O39" s="90">
        <f>'P &amp; NP'!XB237</f>
        <v>1290</v>
      </c>
      <c r="P39" s="90">
        <f>'P &amp; NP'!XC237</f>
        <v>12900</v>
      </c>
      <c r="Q39" s="579">
        <f>'P &amp; NP'!XB275</f>
        <v>1255</v>
      </c>
      <c r="R39" s="579">
        <f>'P &amp; NP'!XC275</f>
        <v>12550</v>
      </c>
      <c r="S39" s="579">
        <f>'P &amp; NP'!XB313</f>
        <v>1145</v>
      </c>
      <c r="T39" s="579">
        <f>'P &amp; NP'!XC313</f>
        <v>11450</v>
      </c>
      <c r="U39" s="579">
        <f>'P &amp; NP'!XB351</f>
        <v>1240</v>
      </c>
      <c r="V39" s="579">
        <f>'P &amp; NP'!XC351</f>
        <v>12400</v>
      </c>
      <c r="W39" s="90">
        <f>'P &amp; NP'!XB389</f>
        <v>1400</v>
      </c>
      <c r="X39" s="90">
        <f>'P &amp; NP'!XC389</f>
        <v>14000</v>
      </c>
      <c r="Y39" s="90">
        <f>'P &amp; NP'!XB427</f>
        <v>1415</v>
      </c>
      <c r="Z39" s="90">
        <f>'P &amp; NP'!XC427</f>
        <v>14150</v>
      </c>
      <c r="AA39" s="90">
        <f>'P &amp; NP'!XB465</f>
        <v>1430</v>
      </c>
      <c r="AB39" s="90">
        <f>'P &amp; NP'!XC465</f>
        <v>14300</v>
      </c>
      <c r="AF39" s="116"/>
    </row>
    <row r="40" spans="2:32">
      <c r="B40" s="116" t="str">
        <f>'P &amp; NP'!B48</f>
        <v>Ikan_03 (Kerang Darah)</v>
      </c>
      <c r="C40" s="90">
        <f t="shared" si="6"/>
        <v>800</v>
      </c>
      <c r="D40" s="90">
        <f t="shared" si="7"/>
        <v>80000</v>
      </c>
      <c r="E40" s="579">
        <f>'P &amp; NP'!XB48</f>
        <v>800</v>
      </c>
      <c r="F40" s="579">
        <f>'P &amp; NP'!XC48</f>
        <v>80000</v>
      </c>
      <c r="G40" s="579">
        <f>'P &amp; NP'!XB86</f>
        <v>0</v>
      </c>
      <c r="H40" s="579">
        <f>'P &amp; NP'!XC86</f>
        <v>0</v>
      </c>
      <c r="I40" s="579">
        <f>'P &amp; NP'!XB124</f>
        <v>0</v>
      </c>
      <c r="J40" s="579">
        <f>'P &amp; NP'!XC124</f>
        <v>0</v>
      </c>
      <c r="K40" s="90">
        <f>'P &amp; NP'!XB162</f>
        <v>0</v>
      </c>
      <c r="L40" s="90">
        <f>'P &amp; NP'!XC162</f>
        <v>0</v>
      </c>
      <c r="M40" s="90">
        <f>'P &amp; NP'!XB200</f>
        <v>0</v>
      </c>
      <c r="N40" s="90">
        <f>'P &amp; NP'!XC200</f>
        <v>0</v>
      </c>
      <c r="O40" s="90">
        <f>'P &amp; NP'!XB238</f>
        <v>0</v>
      </c>
      <c r="P40" s="90">
        <f>'P &amp; NP'!XC238</f>
        <v>0</v>
      </c>
      <c r="Q40" s="579">
        <f>'P &amp; NP'!XB276</f>
        <v>0</v>
      </c>
      <c r="R40" s="579">
        <f>'P &amp; NP'!XC276</f>
        <v>0</v>
      </c>
      <c r="S40" s="579">
        <f>'P &amp; NP'!XB314</f>
        <v>0</v>
      </c>
      <c r="T40" s="579">
        <f>'P &amp; NP'!XC314</f>
        <v>0</v>
      </c>
      <c r="U40" s="579">
        <f>'P &amp; NP'!XB352</f>
        <v>0</v>
      </c>
      <c r="V40" s="579">
        <f>'P &amp; NP'!XC352</f>
        <v>0</v>
      </c>
      <c r="W40" s="90">
        <f>'P &amp; NP'!XB390</f>
        <v>0</v>
      </c>
      <c r="X40" s="90">
        <f>'P &amp; NP'!XC390</f>
        <v>0</v>
      </c>
      <c r="Y40" s="90">
        <f>'P &amp; NP'!XB428</f>
        <v>0</v>
      </c>
      <c r="Z40" s="90">
        <f>'P &amp; NP'!XC428</f>
        <v>0</v>
      </c>
      <c r="AA40" s="90">
        <f>'P &amp; NP'!XB466</f>
        <v>0</v>
      </c>
      <c r="AB40" s="90">
        <f>'P &amp; NP'!XC466</f>
        <v>0</v>
      </c>
      <c r="AF40" s="116"/>
    </row>
    <row r="41" spans="2:32">
      <c r="B41" s="116" t="str">
        <f>'P &amp; NP'!B49</f>
        <v>Ikan_04 (Ikan Keting)</v>
      </c>
      <c r="C41" s="90">
        <f t="shared" si="6"/>
        <v>1162900</v>
      </c>
      <c r="D41" s="90">
        <f t="shared" si="7"/>
        <v>13954800</v>
      </c>
      <c r="E41" s="579">
        <f>'P &amp; NP'!XB49</f>
        <v>90000</v>
      </c>
      <c r="F41" s="579">
        <f>'P &amp; NP'!XC49</f>
        <v>1080000</v>
      </c>
      <c r="G41" s="579">
        <f>'P &amp; NP'!XB87</f>
        <v>71000</v>
      </c>
      <c r="H41" s="579">
        <f>'P &amp; NP'!XC87</f>
        <v>852000</v>
      </c>
      <c r="I41" s="579">
        <f>'P &amp; NP'!XB125</f>
        <v>74500</v>
      </c>
      <c r="J41" s="579">
        <f>'P &amp; NP'!XC125</f>
        <v>894000</v>
      </c>
      <c r="K41" s="90">
        <f>'P &amp; NP'!XB163</f>
        <v>108400</v>
      </c>
      <c r="L41" s="90">
        <f>'P &amp; NP'!XC163</f>
        <v>1300800</v>
      </c>
      <c r="M41" s="90">
        <f>'P &amp; NP'!XB201</f>
        <v>125700</v>
      </c>
      <c r="N41" s="90">
        <f>'P &amp; NP'!XC201</f>
        <v>1508400</v>
      </c>
      <c r="O41" s="90">
        <f>'P &amp; NP'!XB239</f>
        <v>119300</v>
      </c>
      <c r="P41" s="90">
        <f>'P &amp; NP'!XC239</f>
        <v>1431600</v>
      </c>
      <c r="Q41" s="579">
        <f>'P &amp; NP'!XB277</f>
        <v>73100</v>
      </c>
      <c r="R41" s="579">
        <f>'P &amp; NP'!XC277</f>
        <v>877200</v>
      </c>
      <c r="S41" s="579">
        <f>'P &amp; NP'!XB315</f>
        <v>126800</v>
      </c>
      <c r="T41" s="579">
        <f>'P &amp; NP'!XC315</f>
        <v>1521600</v>
      </c>
      <c r="U41" s="579">
        <f>'P &amp; NP'!XB353</f>
        <v>127800</v>
      </c>
      <c r="V41" s="579">
        <f>'P &amp; NP'!XC353</f>
        <v>1533600</v>
      </c>
      <c r="W41" s="90">
        <f>'P &amp; NP'!XB391</f>
        <v>71400</v>
      </c>
      <c r="X41" s="90">
        <f>'P &amp; NP'!XC391</f>
        <v>856800</v>
      </c>
      <c r="Y41" s="90">
        <f>'P &amp; NP'!XB429</f>
        <v>67500</v>
      </c>
      <c r="Z41" s="90">
        <f>'P &amp; NP'!XC429</f>
        <v>810000</v>
      </c>
      <c r="AA41" s="90">
        <f>'P &amp; NP'!XB467</f>
        <v>107400</v>
      </c>
      <c r="AB41" s="90">
        <f>'P &amp; NP'!XC467</f>
        <v>1288800</v>
      </c>
      <c r="AF41" s="116"/>
    </row>
    <row r="42" spans="2:32">
      <c r="B42" s="116" t="str">
        <f>'P &amp; NP'!B50</f>
        <v>Ikan_05 (Ikan betutu)</v>
      </c>
      <c r="C42" s="90">
        <f t="shared" si="6"/>
        <v>605030</v>
      </c>
      <c r="D42" s="90">
        <f t="shared" si="7"/>
        <v>12100600</v>
      </c>
      <c r="E42" s="579">
        <f>'P &amp; NP'!XB50</f>
        <v>605030</v>
      </c>
      <c r="F42" s="579">
        <f>'P &amp; NP'!XC50</f>
        <v>12100600</v>
      </c>
      <c r="G42" s="579">
        <f>'P &amp; NP'!XB88</f>
        <v>0</v>
      </c>
      <c r="H42" s="579">
        <f>'P &amp; NP'!XC88</f>
        <v>0</v>
      </c>
      <c r="I42" s="579">
        <f>'P &amp; NP'!XB126</f>
        <v>0</v>
      </c>
      <c r="J42" s="579">
        <f>'P &amp; NP'!XC126</f>
        <v>0</v>
      </c>
      <c r="K42" s="90">
        <f>'P &amp; NP'!XB164</f>
        <v>0</v>
      </c>
      <c r="L42" s="90">
        <f>'P &amp; NP'!XC164</f>
        <v>0</v>
      </c>
      <c r="M42" s="90">
        <f>'P &amp; NP'!XB202</f>
        <v>0</v>
      </c>
      <c r="N42" s="90">
        <f>'P &amp; NP'!XC202</f>
        <v>0</v>
      </c>
      <c r="O42" s="90">
        <f>'P &amp; NP'!XB240</f>
        <v>0</v>
      </c>
      <c r="P42" s="90">
        <f>'P &amp; NP'!XC240</f>
        <v>0</v>
      </c>
      <c r="Q42" s="579">
        <f>'P &amp; NP'!XB278</f>
        <v>0</v>
      </c>
      <c r="R42" s="579">
        <f>'P &amp; NP'!XC278</f>
        <v>0</v>
      </c>
      <c r="S42" s="579">
        <f>'P &amp; NP'!XB316</f>
        <v>0</v>
      </c>
      <c r="T42" s="579">
        <f>'P &amp; NP'!XC316</f>
        <v>0</v>
      </c>
      <c r="U42" s="579">
        <f>'P &amp; NP'!XB354</f>
        <v>0</v>
      </c>
      <c r="V42" s="579">
        <f>'P &amp; NP'!XC354</f>
        <v>0</v>
      </c>
      <c r="W42" s="90">
        <f>'P &amp; NP'!XB392</f>
        <v>0</v>
      </c>
      <c r="X42" s="90">
        <f>'P &amp; NP'!XC392</f>
        <v>0</v>
      </c>
      <c r="Y42" s="90">
        <f>'P &amp; NP'!XB430</f>
        <v>0</v>
      </c>
      <c r="Z42" s="90">
        <f>'P &amp; NP'!XC430</f>
        <v>0</v>
      </c>
      <c r="AA42" s="90">
        <f>'P &amp; NP'!XB468</f>
        <v>0</v>
      </c>
      <c r="AB42" s="90">
        <f>'P &amp; NP'!XC468</f>
        <v>0</v>
      </c>
      <c r="AF42" s="116"/>
    </row>
    <row r="43" spans="2:32" s="168" customFormat="1">
      <c r="B43" s="165"/>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D43" s="102"/>
      <c r="AE43" s="102"/>
    </row>
    <row r="44" spans="2:32">
      <c r="C44" s="862" t="s">
        <v>165</v>
      </c>
      <c r="D44" s="862"/>
      <c r="E44" s="876" t="s">
        <v>251</v>
      </c>
      <c r="F44" s="876"/>
      <c r="G44" s="876" t="s">
        <v>252</v>
      </c>
      <c r="H44" s="876"/>
      <c r="I44" s="876" t="s">
        <v>47</v>
      </c>
      <c r="J44" s="876"/>
      <c r="K44" s="862" t="s">
        <v>48</v>
      </c>
      <c r="L44" s="862"/>
      <c r="M44" s="862" t="s">
        <v>49</v>
      </c>
      <c r="N44" s="862"/>
      <c r="O44" s="862" t="s">
        <v>50</v>
      </c>
      <c r="P44" s="862"/>
      <c r="Q44" s="876" t="s">
        <v>51</v>
      </c>
      <c r="R44" s="876"/>
      <c r="S44" s="876" t="s">
        <v>52</v>
      </c>
      <c r="T44" s="876"/>
      <c r="U44" s="876" t="s">
        <v>53</v>
      </c>
      <c r="V44" s="876"/>
      <c r="W44" s="862" t="s">
        <v>54</v>
      </c>
      <c r="X44" s="862"/>
      <c r="Y44" s="862" t="s">
        <v>253</v>
      </c>
      <c r="Z44" s="862"/>
      <c r="AA44" s="862" t="s">
        <v>56</v>
      </c>
      <c r="AB44" s="862"/>
      <c r="AD44" s="862"/>
      <c r="AE44" s="862"/>
    </row>
    <row r="45" spans="2:32">
      <c r="C45" s="87" t="s">
        <v>27</v>
      </c>
      <c r="D45" s="87" t="s">
        <v>28</v>
      </c>
      <c r="E45" s="580" t="s">
        <v>27</v>
      </c>
      <c r="F45" s="580" t="s">
        <v>28</v>
      </c>
      <c r="G45" s="580" t="s">
        <v>27</v>
      </c>
      <c r="H45" s="580" t="s">
        <v>28</v>
      </c>
      <c r="I45" s="580" t="s">
        <v>27</v>
      </c>
      <c r="J45" s="580" t="s">
        <v>28</v>
      </c>
      <c r="K45" s="87" t="s">
        <v>27</v>
      </c>
      <c r="L45" s="87" t="s">
        <v>28</v>
      </c>
      <c r="M45" s="87" t="s">
        <v>27</v>
      </c>
      <c r="N45" s="87" t="s">
        <v>28</v>
      </c>
      <c r="O45" s="87" t="s">
        <v>27</v>
      </c>
      <c r="P45" s="87" t="s">
        <v>28</v>
      </c>
      <c r="Q45" s="580" t="s">
        <v>27</v>
      </c>
      <c r="R45" s="580" t="s">
        <v>28</v>
      </c>
      <c r="S45" s="580" t="s">
        <v>27</v>
      </c>
      <c r="T45" s="580" t="s">
        <v>28</v>
      </c>
      <c r="U45" s="580" t="s">
        <v>27</v>
      </c>
      <c r="V45" s="580" t="s">
        <v>28</v>
      </c>
      <c r="W45" s="87" t="s">
        <v>27</v>
      </c>
      <c r="X45" s="87" t="s">
        <v>28</v>
      </c>
      <c r="Y45" s="87" t="s">
        <v>27</v>
      </c>
      <c r="Z45" s="87" t="s">
        <v>28</v>
      </c>
      <c r="AA45" s="87" t="s">
        <v>27</v>
      </c>
      <c r="AB45" s="87" t="s">
        <v>28</v>
      </c>
      <c r="AD45" s="87" t="s">
        <v>504</v>
      </c>
      <c r="AE45" s="87" t="s">
        <v>505</v>
      </c>
      <c r="AF45" s="87" t="s">
        <v>506</v>
      </c>
    </row>
    <row r="46" spans="2:32" s="577" customFormat="1">
      <c r="B46" s="575" t="s">
        <v>104</v>
      </c>
      <c r="C46" s="576">
        <f t="shared" ref="C46" si="8">SUM(E46,G46,I46,K46,M46,O46,Q46,S46,U46,W46,Y46,AA46)</f>
        <v>1266070969.9141607</v>
      </c>
      <c r="D46" s="576">
        <f t="shared" ref="D46" si="9">SUM(F46,H46,J46,L46,N46,P46,R46,T46,V46,X46,Z46,AB46)</f>
        <v>17830359163.820763</v>
      </c>
      <c r="E46" s="576">
        <v>96116762.978277475</v>
      </c>
      <c r="F46" s="576">
        <v>1376003191.63135</v>
      </c>
      <c r="G46" s="576">
        <v>112450558.90239832</v>
      </c>
      <c r="H46" s="576">
        <v>1682374969.5840302</v>
      </c>
      <c r="I46" s="576">
        <v>105199646.88475534</v>
      </c>
      <c r="J46" s="576">
        <v>1708242465.5802839</v>
      </c>
      <c r="K46" s="576">
        <v>113408751.28952475</v>
      </c>
      <c r="L46" s="576">
        <v>1567837813.1869829</v>
      </c>
      <c r="M46" s="576">
        <v>114475151.06462391</v>
      </c>
      <c r="N46" s="576">
        <v>1594125116.7265608</v>
      </c>
      <c r="O46" s="576">
        <v>104402151.18228778</v>
      </c>
      <c r="P46" s="576">
        <v>1425298805.4330456</v>
      </c>
      <c r="Q46" s="576">
        <v>123407065.54930234</v>
      </c>
      <c r="R46" s="576">
        <v>1449286307.5501955</v>
      </c>
      <c r="S46" s="576">
        <v>114993604.00322807</v>
      </c>
      <c r="T46" s="576">
        <v>1458037491.5300803</v>
      </c>
      <c r="U46" s="576">
        <v>103581683.20968816</v>
      </c>
      <c r="V46" s="576">
        <v>1454299008.2922812</v>
      </c>
      <c r="W46" s="576">
        <v>90605684.95910491</v>
      </c>
      <c r="X46" s="576">
        <v>1303915058.0628445</v>
      </c>
      <c r="Y46" s="576">
        <v>90077606.079325691</v>
      </c>
      <c r="Z46" s="576">
        <v>1385565742.3212941</v>
      </c>
      <c r="AA46" s="576">
        <v>97352303.81164372</v>
      </c>
      <c r="AB46" s="576">
        <v>1425373193.9218104</v>
      </c>
      <c r="AD46" s="576"/>
      <c r="AE46" s="576"/>
    </row>
    <row r="47" spans="2:32">
      <c r="B47" s="116" t="s">
        <v>1</v>
      </c>
      <c r="C47" s="90">
        <f t="shared" ref="C47:C71" si="10">SUM(E47,G47,I47,K47,M47,O47,Q47,S47,U47,W47,Y47,AA47)</f>
        <v>167344491.32974586</v>
      </c>
      <c r="D47" s="90">
        <f t="shared" ref="D47:D72" si="11">SUM(F47,H47,J47,L47,N47,P47,R47,T47,V47,X47,Z47,AB47)</f>
        <v>2979524252.7660999</v>
      </c>
      <c r="E47" s="579">
        <v>13388550.718016699</v>
      </c>
      <c r="F47" s="579">
        <v>246200600.14249998</v>
      </c>
      <c r="G47" s="579">
        <v>18245904.262445502</v>
      </c>
      <c r="H47" s="579">
        <v>356913301.52349997</v>
      </c>
      <c r="I47" s="579">
        <v>16613553.33752</v>
      </c>
      <c r="J47" s="579">
        <v>296891896.89999998</v>
      </c>
      <c r="K47" s="90">
        <v>16118143.503055211</v>
      </c>
      <c r="L47" s="90">
        <v>261770048.7071</v>
      </c>
      <c r="M47" s="90">
        <v>16249697.91102655</v>
      </c>
      <c r="N47" s="90">
        <v>257882454.3188</v>
      </c>
      <c r="O47" s="90">
        <v>13455230.695674077</v>
      </c>
      <c r="P47" s="90">
        <v>221327973.58199999</v>
      </c>
      <c r="Q47" s="579">
        <v>12932559.212103181</v>
      </c>
      <c r="R47" s="579">
        <v>223283113.54769999</v>
      </c>
      <c r="S47" s="579">
        <v>12704905.788270336</v>
      </c>
      <c r="T47" s="579">
        <v>222973509.05499998</v>
      </c>
      <c r="U47" s="579">
        <v>12660592.271720137</v>
      </c>
      <c r="V47" s="579">
        <v>225175265.8021</v>
      </c>
      <c r="W47" s="90">
        <v>10982674.994197503</v>
      </c>
      <c r="X47" s="90">
        <v>208709641.0966</v>
      </c>
      <c r="Y47" s="90">
        <v>11580521.412206382</v>
      </c>
      <c r="Z47" s="90">
        <v>220042891.91670001</v>
      </c>
      <c r="AA47" s="90">
        <v>12412157.223510273</v>
      </c>
      <c r="AB47" s="90">
        <v>238353556.17410001</v>
      </c>
      <c r="AD47" s="90">
        <v>167344491.32974586</v>
      </c>
      <c r="AE47" s="90">
        <v>2979524252.7660999</v>
      </c>
      <c r="AF47">
        <v>17804.734587259656</v>
      </c>
    </row>
    <row r="48" spans="2:32">
      <c r="B48" s="116" t="s">
        <v>2</v>
      </c>
      <c r="C48" s="90">
        <f t="shared" si="10"/>
        <v>7530550</v>
      </c>
      <c r="D48" s="90">
        <f t="shared" si="11"/>
        <v>104404189</v>
      </c>
      <c r="E48" s="579">
        <v>686656</v>
      </c>
      <c r="F48" s="579">
        <v>9817052</v>
      </c>
      <c r="G48" s="579">
        <v>682979</v>
      </c>
      <c r="H48" s="579">
        <v>9989307</v>
      </c>
      <c r="I48" s="579">
        <v>428724</v>
      </c>
      <c r="J48" s="579">
        <v>5911710</v>
      </c>
      <c r="K48" s="90">
        <v>528831</v>
      </c>
      <c r="L48" s="90">
        <v>7287020</v>
      </c>
      <c r="M48" s="90">
        <v>580717</v>
      </c>
      <c r="N48" s="90">
        <v>8065690</v>
      </c>
      <c r="O48" s="90">
        <v>743573</v>
      </c>
      <c r="P48" s="90">
        <v>10369410</v>
      </c>
      <c r="Q48" s="579">
        <v>787540</v>
      </c>
      <c r="R48" s="579">
        <v>10580060</v>
      </c>
      <c r="S48" s="579">
        <v>546597</v>
      </c>
      <c r="T48" s="579">
        <v>7447660</v>
      </c>
      <c r="U48" s="579">
        <v>591260</v>
      </c>
      <c r="V48" s="579">
        <v>8034540</v>
      </c>
      <c r="W48" s="90">
        <v>732495</v>
      </c>
      <c r="X48" s="90">
        <v>9962454</v>
      </c>
      <c r="Y48" s="90">
        <v>617470</v>
      </c>
      <c r="Z48" s="90">
        <v>8667350</v>
      </c>
      <c r="AA48" s="90">
        <v>603708</v>
      </c>
      <c r="AB48" s="90">
        <v>8271936</v>
      </c>
      <c r="AD48" s="90">
        <v>7530550</v>
      </c>
      <c r="AE48" s="90">
        <v>104404189</v>
      </c>
      <c r="AF48">
        <v>13864.08549176355</v>
      </c>
    </row>
    <row r="49" spans="2:32">
      <c r="B49" s="116" t="s">
        <v>3</v>
      </c>
      <c r="C49" s="90">
        <f t="shared" si="10"/>
        <v>983497</v>
      </c>
      <c r="D49" s="90">
        <f t="shared" si="11"/>
        <v>15413946.5</v>
      </c>
      <c r="E49" s="579">
        <v>136743</v>
      </c>
      <c r="F49" s="579">
        <v>2138332.5</v>
      </c>
      <c r="G49" s="579">
        <v>129806</v>
      </c>
      <c r="H49" s="579">
        <v>2056725</v>
      </c>
      <c r="I49" s="579">
        <v>166035</v>
      </c>
      <c r="J49" s="579">
        <v>2516745</v>
      </c>
      <c r="K49" s="90">
        <v>130481</v>
      </c>
      <c r="L49" s="90">
        <v>1758339</v>
      </c>
      <c r="M49" s="90">
        <v>92010</v>
      </c>
      <c r="N49" s="90">
        <v>1283500</v>
      </c>
      <c r="O49" s="90">
        <v>38935</v>
      </c>
      <c r="P49" s="90">
        <v>606075</v>
      </c>
      <c r="Q49" s="579">
        <v>33607</v>
      </c>
      <c r="R49" s="579">
        <v>520405</v>
      </c>
      <c r="S49" s="579">
        <v>30940</v>
      </c>
      <c r="T49" s="579">
        <v>538100</v>
      </c>
      <c r="U49" s="579">
        <v>28875</v>
      </c>
      <c r="V49" s="579">
        <v>503700</v>
      </c>
      <c r="W49" s="90">
        <v>59505</v>
      </c>
      <c r="X49" s="90">
        <v>1058225</v>
      </c>
      <c r="Y49" s="90">
        <v>64060</v>
      </c>
      <c r="Z49" s="90">
        <v>1139300</v>
      </c>
      <c r="AA49" s="90">
        <v>72500</v>
      </c>
      <c r="AB49" s="90">
        <v>1294500</v>
      </c>
      <c r="AD49" s="90">
        <v>983497</v>
      </c>
      <c r="AE49" s="90">
        <v>15413946.5</v>
      </c>
      <c r="AF49">
        <v>15672.591273791379</v>
      </c>
    </row>
    <row r="50" spans="2:32">
      <c r="B50" s="116" t="s">
        <v>4</v>
      </c>
      <c r="C50" s="90">
        <f t="shared" si="10"/>
        <v>687606465</v>
      </c>
      <c r="D50" s="90">
        <f t="shared" si="11"/>
        <v>3214299148.5</v>
      </c>
      <c r="E50" s="579">
        <v>51152142.499999993</v>
      </c>
      <c r="F50" s="579">
        <v>255398722.5</v>
      </c>
      <c r="G50" s="579">
        <v>58006478</v>
      </c>
      <c r="H50" s="579">
        <v>289275790</v>
      </c>
      <c r="I50" s="579">
        <v>51530124</v>
      </c>
      <c r="J50" s="579">
        <v>257208780</v>
      </c>
      <c r="K50" s="90">
        <v>61073946.5</v>
      </c>
      <c r="L50" s="90">
        <v>304702438.5</v>
      </c>
      <c r="M50" s="90">
        <v>60376834</v>
      </c>
      <c r="N50" s="90">
        <v>301122770</v>
      </c>
      <c r="O50" s="90">
        <v>55911795</v>
      </c>
      <c r="P50" s="90">
        <v>139705925</v>
      </c>
      <c r="Q50" s="579">
        <v>80354375</v>
      </c>
      <c r="R50" s="579">
        <v>400509625</v>
      </c>
      <c r="S50" s="579">
        <v>69899970</v>
      </c>
      <c r="T50" s="579">
        <v>348282290</v>
      </c>
      <c r="U50" s="579">
        <v>56247630</v>
      </c>
      <c r="V50" s="579">
        <v>238207680</v>
      </c>
      <c r="W50" s="90">
        <v>45592250</v>
      </c>
      <c r="X50" s="90">
        <v>226633637.5</v>
      </c>
      <c r="Y50" s="90">
        <v>45942870</v>
      </c>
      <c r="Z50" s="90">
        <v>228482350</v>
      </c>
      <c r="AA50" s="90">
        <v>51518049.999999993</v>
      </c>
      <c r="AB50" s="90">
        <v>224769140</v>
      </c>
      <c r="AD50" s="90">
        <v>687606465</v>
      </c>
      <c r="AE50" s="90">
        <v>3214299148.5</v>
      </c>
      <c r="AF50">
        <v>4674.6203127976696</v>
      </c>
    </row>
    <row r="51" spans="2:32">
      <c r="B51" s="116" t="s">
        <v>5</v>
      </c>
      <c r="C51" s="90">
        <f t="shared" si="10"/>
        <v>86661</v>
      </c>
      <c r="D51" s="90">
        <f t="shared" si="11"/>
        <v>389974.5</v>
      </c>
      <c r="E51" s="579">
        <v>10972.5</v>
      </c>
      <c r="F51" s="579">
        <v>49376.25</v>
      </c>
      <c r="G51" s="579">
        <v>0</v>
      </c>
      <c r="H51" s="579">
        <v>0</v>
      </c>
      <c r="I51" s="579">
        <v>28385</v>
      </c>
      <c r="J51" s="579">
        <v>127732.5</v>
      </c>
      <c r="K51" s="90">
        <v>31678.5</v>
      </c>
      <c r="L51" s="90">
        <v>142553.25</v>
      </c>
      <c r="M51" s="90">
        <v>2450</v>
      </c>
      <c r="N51" s="90">
        <v>11025</v>
      </c>
      <c r="O51" s="90">
        <v>3325</v>
      </c>
      <c r="P51" s="90">
        <v>14962.5</v>
      </c>
      <c r="Q51" s="579">
        <v>0</v>
      </c>
      <c r="R51" s="579">
        <v>0</v>
      </c>
      <c r="S51" s="579">
        <v>0</v>
      </c>
      <c r="T51" s="579">
        <v>0</v>
      </c>
      <c r="U51" s="579">
        <v>0</v>
      </c>
      <c r="V51" s="579">
        <v>0</v>
      </c>
      <c r="W51" s="90">
        <v>3350</v>
      </c>
      <c r="X51" s="90">
        <v>15075</v>
      </c>
      <c r="Y51" s="90">
        <v>3750</v>
      </c>
      <c r="Z51" s="90">
        <v>16875</v>
      </c>
      <c r="AA51" s="90">
        <v>2750</v>
      </c>
      <c r="AB51" s="90">
        <v>12375</v>
      </c>
      <c r="AD51" s="90">
        <v>86661</v>
      </c>
      <c r="AE51" s="90">
        <v>389974.5</v>
      </c>
      <c r="AF51">
        <v>4500</v>
      </c>
    </row>
    <row r="52" spans="2:32">
      <c r="B52" s="116" t="s">
        <v>6</v>
      </c>
      <c r="C52" s="90">
        <f t="shared" si="10"/>
        <v>115660</v>
      </c>
      <c r="D52" s="90">
        <f t="shared" si="11"/>
        <v>3386445</v>
      </c>
      <c r="E52" s="579">
        <v>6668</v>
      </c>
      <c r="F52" s="579">
        <v>240460</v>
      </c>
      <c r="G52" s="579">
        <v>9525</v>
      </c>
      <c r="H52" s="579">
        <v>293950</v>
      </c>
      <c r="I52" s="579">
        <v>14765</v>
      </c>
      <c r="J52" s="579">
        <v>372600</v>
      </c>
      <c r="K52" s="90">
        <v>15916</v>
      </c>
      <c r="L52" s="90">
        <v>440100</v>
      </c>
      <c r="M52" s="90">
        <v>18219</v>
      </c>
      <c r="N52" s="90">
        <v>461775</v>
      </c>
      <c r="O52" s="90">
        <v>11537</v>
      </c>
      <c r="P52" s="90">
        <v>334575</v>
      </c>
      <c r="Q52" s="579">
        <v>11348</v>
      </c>
      <c r="R52" s="579">
        <v>330200</v>
      </c>
      <c r="S52" s="579">
        <v>8092</v>
      </c>
      <c r="T52" s="579">
        <v>237000</v>
      </c>
      <c r="U52" s="579">
        <v>5530</v>
      </c>
      <c r="V52" s="579">
        <v>176320</v>
      </c>
      <c r="W52" s="90">
        <v>4622</v>
      </c>
      <c r="X52" s="90">
        <v>165405</v>
      </c>
      <c r="Y52" s="90">
        <v>5350</v>
      </c>
      <c r="Z52" s="90">
        <v>198140</v>
      </c>
      <c r="AA52" s="90">
        <v>4088</v>
      </c>
      <c r="AB52" s="90">
        <v>135920</v>
      </c>
      <c r="AD52" s="90">
        <v>115660</v>
      </c>
      <c r="AE52" s="90">
        <v>3386445</v>
      </c>
      <c r="AF52">
        <v>29279.31004668857</v>
      </c>
    </row>
    <row r="53" spans="2:32">
      <c r="B53" s="116" t="s">
        <v>7</v>
      </c>
      <c r="C53" s="90">
        <f t="shared" si="10"/>
        <v>11341775</v>
      </c>
      <c r="D53" s="90">
        <f t="shared" si="11"/>
        <v>29084283.699999999</v>
      </c>
      <c r="E53" s="579">
        <v>595216</v>
      </c>
      <c r="F53" s="579">
        <v>1395634</v>
      </c>
      <c r="G53" s="579">
        <v>287090</v>
      </c>
      <c r="H53" s="579">
        <v>687969.1</v>
      </c>
      <c r="I53" s="579">
        <v>335463</v>
      </c>
      <c r="J53" s="579">
        <v>725392.1</v>
      </c>
      <c r="K53" s="90">
        <v>926413</v>
      </c>
      <c r="L53" s="90">
        <v>2392922.5</v>
      </c>
      <c r="M53" s="90">
        <v>1422406</v>
      </c>
      <c r="N53" s="90">
        <v>3509480</v>
      </c>
      <c r="O53" s="90">
        <v>1324821</v>
      </c>
      <c r="P53" s="90">
        <v>3405886</v>
      </c>
      <c r="Q53" s="579">
        <v>1876240</v>
      </c>
      <c r="R53" s="579">
        <v>4551160</v>
      </c>
      <c r="S53" s="579">
        <v>1675257</v>
      </c>
      <c r="T53" s="579">
        <v>4159323.5</v>
      </c>
      <c r="U53" s="579">
        <v>1076752</v>
      </c>
      <c r="V53" s="579">
        <v>2868941</v>
      </c>
      <c r="W53" s="90">
        <v>1179991</v>
      </c>
      <c r="X53" s="90">
        <v>3045095.5</v>
      </c>
      <c r="Y53" s="90">
        <v>415120</v>
      </c>
      <c r="Z53" s="90">
        <v>950400</v>
      </c>
      <c r="AA53" s="90">
        <v>227006</v>
      </c>
      <c r="AB53" s="90">
        <v>1392080</v>
      </c>
      <c r="AD53" s="90">
        <v>11341775</v>
      </c>
      <c r="AE53" s="90">
        <v>29084283.699999999</v>
      </c>
      <c r="AF53">
        <v>2564.3502626352579</v>
      </c>
    </row>
    <row r="54" spans="2:32">
      <c r="B54" s="116" t="s">
        <v>8</v>
      </c>
      <c r="C54" s="90">
        <f t="shared" si="10"/>
        <v>23273555.07277181</v>
      </c>
      <c r="D54" s="90">
        <f t="shared" si="11"/>
        <v>583873918.98467624</v>
      </c>
      <c r="E54" s="579">
        <v>3136093.6834449964</v>
      </c>
      <c r="F54" s="579">
        <v>83374367.358671904</v>
      </c>
      <c r="G54" s="579">
        <v>2943282.0749994963</v>
      </c>
      <c r="H54" s="579">
        <v>77809744.314671904</v>
      </c>
      <c r="I54" s="579">
        <v>1841002.5044312482</v>
      </c>
      <c r="J54" s="579">
        <v>48315343.424335994</v>
      </c>
      <c r="K54" s="90">
        <v>1624711.0395346233</v>
      </c>
      <c r="L54" s="90">
        <v>38523161.132510103</v>
      </c>
      <c r="M54" s="90">
        <v>1831282.3170774484</v>
      </c>
      <c r="N54" s="90">
        <v>43777049.903360099</v>
      </c>
      <c r="O54" s="90">
        <v>1957004.3334437448</v>
      </c>
      <c r="P54" s="90">
        <v>47761833.496697098</v>
      </c>
      <c r="Q54" s="579">
        <v>1476060</v>
      </c>
      <c r="R54" s="579">
        <v>34235502</v>
      </c>
      <c r="S54" s="579">
        <v>1657534.1116233519</v>
      </c>
      <c r="T54" s="579">
        <v>38885663.148769058</v>
      </c>
      <c r="U54" s="579">
        <v>1484962.19</v>
      </c>
      <c r="V54" s="579">
        <v>33126689</v>
      </c>
      <c r="W54" s="90">
        <v>1697416.0784630566</v>
      </c>
      <c r="X54" s="90">
        <v>40939685.113356002</v>
      </c>
      <c r="Y54" s="90">
        <v>1755453.1084805459</v>
      </c>
      <c r="Z54" s="90">
        <v>46732496.533104002</v>
      </c>
      <c r="AA54" s="90">
        <v>1868753.6312732999</v>
      </c>
      <c r="AB54" s="90">
        <v>50392383.559199996</v>
      </c>
      <c r="AD54" s="90">
        <v>23273555.07277181</v>
      </c>
      <c r="AE54" s="90">
        <v>583873918.98467624</v>
      </c>
      <c r="AF54">
        <v>25087.440107839899</v>
      </c>
    </row>
    <row r="55" spans="2:32">
      <c r="B55" s="116" t="s">
        <v>9</v>
      </c>
      <c r="C55" s="90">
        <f t="shared" si="10"/>
        <v>18990</v>
      </c>
      <c r="D55" s="90">
        <f t="shared" si="11"/>
        <v>826695</v>
      </c>
      <c r="E55" s="579">
        <v>0</v>
      </c>
      <c r="F55" s="579">
        <v>0</v>
      </c>
      <c r="G55" s="579">
        <v>0</v>
      </c>
      <c r="H55" s="579">
        <v>0</v>
      </c>
      <c r="I55" s="579">
        <v>0</v>
      </c>
      <c r="J55" s="579">
        <v>0</v>
      </c>
      <c r="K55" s="90">
        <v>3200</v>
      </c>
      <c r="L55" s="90">
        <v>128000</v>
      </c>
      <c r="M55" s="90">
        <v>3400</v>
      </c>
      <c r="N55" s="90">
        <v>136000</v>
      </c>
      <c r="O55" s="90">
        <v>0</v>
      </c>
      <c r="P55" s="90">
        <v>0</v>
      </c>
      <c r="Q55" s="579">
        <v>0</v>
      </c>
      <c r="R55" s="579">
        <v>0</v>
      </c>
      <c r="S55" s="579">
        <v>1155</v>
      </c>
      <c r="T55" s="579">
        <v>34650</v>
      </c>
      <c r="U55" s="579">
        <v>1100</v>
      </c>
      <c r="V55" s="579">
        <v>51700</v>
      </c>
      <c r="W55" s="90">
        <v>1120</v>
      </c>
      <c r="X55" s="90">
        <v>52640</v>
      </c>
      <c r="Y55" s="90">
        <v>2515</v>
      </c>
      <c r="Z55" s="90">
        <v>118205</v>
      </c>
      <c r="AA55" s="90">
        <v>6500</v>
      </c>
      <c r="AB55" s="90">
        <v>305500</v>
      </c>
      <c r="AD55" s="90">
        <v>18990</v>
      </c>
      <c r="AE55" s="90">
        <v>826695</v>
      </c>
      <c r="AF55">
        <v>43533.175355450243</v>
      </c>
    </row>
    <row r="56" spans="2:32">
      <c r="B56" s="116" t="s">
        <v>10</v>
      </c>
      <c r="C56" s="90">
        <f t="shared" si="10"/>
        <v>631261.86737531947</v>
      </c>
      <c r="D56" s="90">
        <f t="shared" si="11"/>
        <v>27906649.450538795</v>
      </c>
      <c r="E56" s="579">
        <v>78743.606682400001</v>
      </c>
      <c r="F56" s="579">
        <v>3888258.4720000001</v>
      </c>
      <c r="G56" s="579">
        <v>81071.903634999995</v>
      </c>
      <c r="H56" s="579">
        <v>4090782.875</v>
      </c>
      <c r="I56" s="579">
        <v>73379.890630195005</v>
      </c>
      <c r="J56" s="579">
        <v>3652112.7548750001</v>
      </c>
      <c r="K56" s="90">
        <v>40503.246043250001</v>
      </c>
      <c r="L56" s="90">
        <v>1659847.2974999999</v>
      </c>
      <c r="M56" s="90">
        <v>43269.210901375001</v>
      </c>
      <c r="N56" s="90">
        <v>1860396.04125</v>
      </c>
      <c r="O56" s="90">
        <v>41446.325083345975</v>
      </c>
      <c r="P56" s="90">
        <v>1632114.5003792001</v>
      </c>
      <c r="Q56" s="579">
        <v>33303.084522404504</v>
      </c>
      <c r="R56" s="579">
        <v>1312152.2841575001</v>
      </c>
      <c r="S56" s="579">
        <v>34170.802207018176</v>
      </c>
      <c r="T56" s="579">
        <v>1440925.6245817998</v>
      </c>
      <c r="U56" s="579">
        <v>32125.947953594303</v>
      </c>
      <c r="V56" s="579">
        <v>1322200.5150178</v>
      </c>
      <c r="W56" s="90">
        <v>52208.464471336498</v>
      </c>
      <c r="X56" s="90">
        <v>2140381.4967775</v>
      </c>
      <c r="Y56" s="90">
        <v>56385.5299504</v>
      </c>
      <c r="Z56" s="90">
        <v>2294393.264</v>
      </c>
      <c r="AA56" s="90">
        <v>64653.855295000001</v>
      </c>
      <c r="AB56" s="90">
        <v>2613084.3250000002</v>
      </c>
      <c r="AD56" s="90">
        <v>631261.86737531947</v>
      </c>
      <c r="AE56" s="90">
        <v>27906649.450538795</v>
      </c>
      <c r="AF56">
        <v>44207.722488560801</v>
      </c>
    </row>
    <row r="57" spans="2:32">
      <c r="B57" s="116" t="s">
        <v>231</v>
      </c>
      <c r="C57" s="90">
        <f t="shared" si="10"/>
        <v>458630.56506869209</v>
      </c>
      <c r="D57" s="90">
        <f t="shared" si="11"/>
        <v>28440981.737845</v>
      </c>
      <c r="E57" s="579">
        <v>41272.456420000002</v>
      </c>
      <c r="F57" s="579">
        <v>6056532</v>
      </c>
      <c r="G57" s="579">
        <v>41283.581336399999</v>
      </c>
      <c r="H57" s="579">
        <v>1865678.456</v>
      </c>
      <c r="I57" s="579">
        <v>40419.636099999996</v>
      </c>
      <c r="J57" s="579">
        <v>1639125.5</v>
      </c>
      <c r="K57" s="90">
        <v>37384.022616900002</v>
      </c>
      <c r="L57" s="90">
        <v>1609923.176</v>
      </c>
      <c r="M57" s="90">
        <v>33220.059273749997</v>
      </c>
      <c r="N57" s="90">
        <v>1405207.95</v>
      </c>
      <c r="O57" s="90">
        <v>33196.428363610001</v>
      </c>
      <c r="P57" s="90">
        <v>1937797.5444</v>
      </c>
      <c r="Q57" s="579">
        <v>34837.262458627498</v>
      </c>
      <c r="R57" s="579">
        <v>2116996.638237</v>
      </c>
      <c r="S57" s="579">
        <v>38345.132421797498</v>
      </c>
      <c r="T57" s="579">
        <v>2344755.980887</v>
      </c>
      <c r="U57" s="579">
        <v>38423.406738975616</v>
      </c>
      <c r="V57" s="579">
        <v>2371053.2539030001</v>
      </c>
      <c r="W57" s="90">
        <v>38687.278176963504</v>
      </c>
      <c r="X57" s="90">
        <v>2320029.9633579999</v>
      </c>
      <c r="Y57" s="90">
        <v>42454.699273667997</v>
      </c>
      <c r="Z57" s="90">
        <v>2543611.3150599999</v>
      </c>
      <c r="AA57" s="90">
        <v>39106.601887999997</v>
      </c>
      <c r="AB57" s="90">
        <v>2230269.96</v>
      </c>
      <c r="AD57" s="90">
        <v>458630.56506869209</v>
      </c>
      <c r="AE57" s="90">
        <v>28440981.737845</v>
      </c>
      <c r="AF57">
        <v>62012.835393090754</v>
      </c>
    </row>
    <row r="58" spans="2:32">
      <c r="B58" t="s">
        <v>11</v>
      </c>
      <c r="C58" s="90">
        <f t="shared" si="10"/>
        <v>10505321</v>
      </c>
      <c r="D58" s="90">
        <f t="shared" si="11"/>
        <v>52286270</v>
      </c>
      <c r="E58" s="579">
        <v>0</v>
      </c>
      <c r="F58" s="579">
        <v>0</v>
      </c>
      <c r="G58" s="579">
        <v>0</v>
      </c>
      <c r="H58" s="579">
        <v>0</v>
      </c>
      <c r="I58" s="579">
        <v>0</v>
      </c>
      <c r="J58" s="579">
        <v>0</v>
      </c>
      <c r="K58" s="90">
        <v>105724.5</v>
      </c>
      <c r="L58" s="90">
        <v>422898</v>
      </c>
      <c r="M58" s="90">
        <v>134610.70000000001</v>
      </c>
      <c r="N58" s="90">
        <v>538443</v>
      </c>
      <c r="O58" s="90">
        <v>339343.8</v>
      </c>
      <c r="P58" s="90">
        <v>1696719</v>
      </c>
      <c r="Q58" s="579">
        <v>435270</v>
      </c>
      <c r="R58" s="579">
        <v>2176350</v>
      </c>
      <c r="S58" s="579">
        <v>1298890</v>
      </c>
      <c r="T58" s="579">
        <v>6494450</v>
      </c>
      <c r="U58" s="579">
        <v>3361340</v>
      </c>
      <c r="V58" s="579">
        <v>16806700</v>
      </c>
      <c r="W58" s="90">
        <v>3864000</v>
      </c>
      <c r="X58" s="90">
        <v>19320000</v>
      </c>
      <c r="Y58" s="90">
        <v>966142</v>
      </c>
      <c r="Z58" s="90">
        <v>4830710</v>
      </c>
      <c r="AA58" s="90">
        <v>0</v>
      </c>
      <c r="AB58" s="90">
        <v>0</v>
      </c>
      <c r="AD58" s="90">
        <v>10505321</v>
      </c>
      <c r="AE58" s="90">
        <v>52286270</v>
      </c>
      <c r="AF58">
        <v>4977.1225458032177</v>
      </c>
    </row>
    <row r="59" spans="2:32">
      <c r="B59" s="116" t="s">
        <v>12</v>
      </c>
      <c r="C59" s="90">
        <f t="shared" si="10"/>
        <v>2037599.1742260158</v>
      </c>
      <c r="D59" s="90">
        <f t="shared" si="11"/>
        <v>248235198.24261796</v>
      </c>
      <c r="E59" s="579">
        <v>131236.13496825</v>
      </c>
      <c r="F59" s="579">
        <v>14107770.237500001</v>
      </c>
      <c r="G59" s="579">
        <v>162541.99397464999</v>
      </c>
      <c r="H59" s="579">
        <v>16541509.1975</v>
      </c>
      <c r="I59" s="579">
        <v>178534.6707825</v>
      </c>
      <c r="J59" s="579">
        <v>17167605.375</v>
      </c>
      <c r="K59" s="90">
        <v>242185.41003363</v>
      </c>
      <c r="L59" s="90">
        <v>22108384.035599999</v>
      </c>
      <c r="M59" s="90">
        <v>217964.9720515025</v>
      </c>
      <c r="N59" s="90">
        <v>20097771.180299997</v>
      </c>
      <c r="O59" s="90">
        <v>281714.79518373474</v>
      </c>
      <c r="P59" s="90">
        <v>22821474.373470001</v>
      </c>
      <c r="Q59" s="579">
        <v>206917.68734416884</v>
      </c>
      <c r="R59" s="579">
        <v>29019381.221845999</v>
      </c>
      <c r="S59" s="579">
        <v>177755.21530097871</v>
      </c>
      <c r="T59" s="579">
        <v>26569732.078297999</v>
      </c>
      <c r="U59" s="579">
        <v>150471.75657076022</v>
      </c>
      <c r="V59" s="579">
        <v>26921870.660818994</v>
      </c>
      <c r="W59" s="90">
        <v>129591.060538775</v>
      </c>
      <c r="X59" s="90">
        <v>21228765.795874998</v>
      </c>
      <c r="Y59" s="90">
        <v>94814.782655666</v>
      </c>
      <c r="Z59" s="90">
        <v>17140026.73161</v>
      </c>
      <c r="AA59" s="90">
        <v>63870.6948214</v>
      </c>
      <c r="AB59" s="90">
        <v>14510907.354800001</v>
      </c>
      <c r="AD59" s="90">
        <v>2037599.1742260158</v>
      </c>
      <c r="AE59" s="90">
        <v>248235198.24261796</v>
      </c>
      <c r="AF59">
        <v>121827.29625266479</v>
      </c>
    </row>
    <row r="60" spans="2:32">
      <c r="B60" s="116" t="s">
        <v>13</v>
      </c>
      <c r="C60" s="90">
        <f t="shared" si="10"/>
        <v>129113156.56010649</v>
      </c>
      <c r="D60" s="90">
        <f t="shared" si="11"/>
        <v>1986719762.259655</v>
      </c>
      <c r="E60" s="579">
        <v>11031116.863387832</v>
      </c>
      <c r="F60" s="579">
        <v>171200561.19395199</v>
      </c>
      <c r="G60" s="579">
        <v>12144476.016487831</v>
      </c>
      <c r="H60" s="579">
        <v>188208647.79395199</v>
      </c>
      <c r="I60" s="579">
        <v>10670103.64652097</v>
      </c>
      <c r="J60" s="579">
        <v>161863199.0988847</v>
      </c>
      <c r="K60" s="90">
        <v>10278423.583078584</v>
      </c>
      <c r="L60" s="90">
        <v>157639090.7983788</v>
      </c>
      <c r="M60" s="90">
        <v>9963546.2936255839</v>
      </c>
      <c r="N60" s="90">
        <v>152555920.40337878</v>
      </c>
      <c r="O60" s="90">
        <v>9306160.027405791</v>
      </c>
      <c r="P60" s="90">
        <v>142731387.5064888</v>
      </c>
      <c r="Q60" s="579">
        <v>9336981.0665591154</v>
      </c>
      <c r="R60" s="579">
        <v>143294158.28894001</v>
      </c>
      <c r="S60" s="579">
        <v>10356550.961645812</v>
      </c>
      <c r="T60" s="579">
        <v>159764511.37265</v>
      </c>
      <c r="U60" s="579">
        <v>10166658.399902413</v>
      </c>
      <c r="V60" s="579">
        <v>156249427.78015</v>
      </c>
      <c r="W60" s="90">
        <v>11239353.40755075</v>
      </c>
      <c r="X60" s="90">
        <v>173315989.38438001</v>
      </c>
      <c r="Y60" s="90">
        <v>11811076.7464622</v>
      </c>
      <c r="Z60" s="90">
        <v>182253943.1435</v>
      </c>
      <c r="AA60" s="90">
        <v>12808709.5474796</v>
      </c>
      <c r="AB60" s="90">
        <v>197642925.495</v>
      </c>
      <c r="AD60" s="90">
        <v>129113156.56010649</v>
      </c>
      <c r="AE60" s="90">
        <v>1986719762.259655</v>
      </c>
      <c r="AF60">
        <v>15387.43080248968</v>
      </c>
    </row>
    <row r="61" spans="2:32">
      <c r="B61" s="116" t="s">
        <v>14</v>
      </c>
      <c r="C61" s="90">
        <f t="shared" si="10"/>
        <v>8486912.3873680606</v>
      </c>
      <c r="D61" s="90">
        <f t="shared" si="11"/>
        <v>124204174.87193</v>
      </c>
      <c r="E61" s="579">
        <v>714866.08466964494</v>
      </c>
      <c r="F61" s="579">
        <v>11786427.37503</v>
      </c>
      <c r="G61" s="579">
        <v>942654.01084099989</v>
      </c>
      <c r="H61" s="579">
        <v>15302464.774</v>
      </c>
      <c r="I61" s="579">
        <v>940396.16849657497</v>
      </c>
      <c r="J61" s="579">
        <v>14947778.95205</v>
      </c>
      <c r="K61" s="90">
        <v>964560.37009320001</v>
      </c>
      <c r="L61" s="90">
        <v>13688083.3048</v>
      </c>
      <c r="M61" s="90">
        <v>966397.74249487254</v>
      </c>
      <c r="N61" s="90">
        <v>12943458.92822</v>
      </c>
      <c r="O61" s="90">
        <v>638068.20281342464</v>
      </c>
      <c r="P61" s="90">
        <v>8896484.5745199993</v>
      </c>
      <c r="Q61" s="579">
        <v>536243</v>
      </c>
      <c r="R61" s="579">
        <v>6550903</v>
      </c>
      <c r="S61" s="579">
        <v>485614.85095932614</v>
      </c>
      <c r="T61" s="579">
        <v>6120124.1949499995</v>
      </c>
      <c r="U61" s="579">
        <v>396136.28073180758</v>
      </c>
      <c r="V61" s="579">
        <v>5113253.4885600004</v>
      </c>
      <c r="W61" s="90">
        <v>581441.19924147497</v>
      </c>
      <c r="X61" s="90">
        <v>8829650.5525400005</v>
      </c>
      <c r="Y61" s="90">
        <v>588506.02396340598</v>
      </c>
      <c r="Z61" s="90">
        <v>8856799.6889500003</v>
      </c>
      <c r="AA61" s="90">
        <v>732028.45306333003</v>
      </c>
      <c r="AB61" s="90">
        <v>11168746.038309999</v>
      </c>
      <c r="AD61" s="90">
        <v>8486912.3873680606</v>
      </c>
      <c r="AE61" s="90">
        <v>124204174.87193</v>
      </c>
      <c r="AF61">
        <v>14634.789332430928</v>
      </c>
    </row>
    <row r="62" spans="2:32">
      <c r="B62" t="s">
        <v>15</v>
      </c>
      <c r="C62" s="90">
        <f t="shared" si="10"/>
        <v>17429814.240966499</v>
      </c>
      <c r="D62" s="90">
        <f t="shared" si="11"/>
        <v>200750575.78368002</v>
      </c>
      <c r="E62" s="579">
        <v>1618053.4256673749</v>
      </c>
      <c r="F62" s="579">
        <v>20300827.810229998</v>
      </c>
      <c r="G62" s="579">
        <v>1820242.0529906251</v>
      </c>
      <c r="H62" s="579">
        <v>19506951.381250001</v>
      </c>
      <c r="I62" s="579">
        <v>1848055.50633675</v>
      </c>
      <c r="J62" s="579">
        <v>20439060.057750002</v>
      </c>
      <c r="K62" s="90">
        <v>1664481.8980991249</v>
      </c>
      <c r="L62" s="90">
        <v>16525855.89212</v>
      </c>
      <c r="M62" s="90">
        <v>1848147.0409994426</v>
      </c>
      <c r="N62" s="90">
        <v>18610395.99498</v>
      </c>
      <c r="O62" s="90">
        <v>1601019.6431696778</v>
      </c>
      <c r="P62" s="90">
        <v>15987131.35743</v>
      </c>
      <c r="Q62" s="579">
        <v>1211056.8868740662</v>
      </c>
      <c r="R62" s="579">
        <v>13088717.740660001</v>
      </c>
      <c r="S62" s="579">
        <v>1235136.5022603746</v>
      </c>
      <c r="T62" s="579">
        <v>14177681.900739999</v>
      </c>
      <c r="U62" s="579">
        <v>1133204.4015211486</v>
      </c>
      <c r="V62" s="579">
        <v>13132941.92977</v>
      </c>
      <c r="W62" s="90">
        <v>1016592.7250060861</v>
      </c>
      <c r="X62" s="90">
        <v>14367271.0913</v>
      </c>
      <c r="Y62" s="90">
        <v>1086993.1322227502</v>
      </c>
      <c r="Z62" s="90">
        <v>15407390.341250001</v>
      </c>
      <c r="AA62" s="90">
        <v>1346831.02581908</v>
      </c>
      <c r="AB62" s="90">
        <v>19206350.286200002</v>
      </c>
      <c r="AD62" s="90">
        <v>17429814.240966499</v>
      </c>
      <c r="AE62" s="90">
        <v>200750575.78368002</v>
      </c>
      <c r="AF62">
        <v>11517.654348366035</v>
      </c>
    </row>
    <row r="63" spans="2:32">
      <c r="B63" t="s">
        <v>16</v>
      </c>
      <c r="C63" s="90">
        <f t="shared" si="10"/>
        <v>53064691.786478177</v>
      </c>
      <c r="D63" s="90">
        <f t="shared" si="11"/>
        <v>974652585.66381443</v>
      </c>
      <c r="E63" s="579">
        <v>3454382.714551344</v>
      </c>
      <c r="F63" s="579">
        <v>71733394.517359674</v>
      </c>
      <c r="G63" s="579">
        <v>4239281.6038720841</v>
      </c>
      <c r="H63" s="579">
        <v>87114929.341919675</v>
      </c>
      <c r="I63" s="579">
        <v>5630656.0462106094</v>
      </c>
      <c r="J63" s="579">
        <v>95307782.014899835</v>
      </c>
      <c r="K63" s="90">
        <v>5862713.3959731385</v>
      </c>
      <c r="L63" s="90">
        <v>98071654.697565109</v>
      </c>
      <c r="M63" s="90">
        <v>6559017.9784679636</v>
      </c>
      <c r="N63" s="90">
        <v>110361010.4363651</v>
      </c>
      <c r="O63" s="90">
        <v>4235142.0410581026</v>
      </c>
      <c r="P63" s="90">
        <v>72964360.698315099</v>
      </c>
      <c r="Q63" s="579">
        <v>3786095.6417207541</v>
      </c>
      <c r="R63" s="579">
        <v>69414728.649049997</v>
      </c>
      <c r="S63" s="579">
        <v>4334427.1168977888</v>
      </c>
      <c r="T63" s="579">
        <v>81532547.631200001</v>
      </c>
      <c r="U63" s="579">
        <v>4133868.5539567294</v>
      </c>
      <c r="V63" s="579">
        <v>75208937.632200003</v>
      </c>
      <c r="W63" s="90">
        <v>3414557.3557227659</v>
      </c>
      <c r="X63" s="90">
        <v>66100863.841499999</v>
      </c>
      <c r="Y63" s="90">
        <v>3364864.2588714161</v>
      </c>
      <c r="Z63" s="90">
        <v>65819007.07124</v>
      </c>
      <c r="AA63" s="90">
        <v>4049685.0791754797</v>
      </c>
      <c r="AB63" s="90">
        <v>81023369.132200003</v>
      </c>
      <c r="AD63" s="90">
        <v>53064691.786478177</v>
      </c>
      <c r="AE63" s="90">
        <v>974652585.66381443</v>
      </c>
      <c r="AF63">
        <v>18367.252364069573</v>
      </c>
    </row>
    <row r="64" spans="2:32">
      <c r="B64" t="s">
        <v>17</v>
      </c>
      <c r="C64" s="90">
        <f t="shared" si="10"/>
        <v>14545057.079414325</v>
      </c>
      <c r="D64" s="90">
        <f t="shared" si="11"/>
        <v>215768943.51887435</v>
      </c>
      <c r="E64" s="579">
        <v>1157281.5215126229</v>
      </c>
      <c r="F64" s="579">
        <v>17465781.885456599</v>
      </c>
      <c r="G64" s="579">
        <v>1164087.150031423</v>
      </c>
      <c r="H64" s="579">
        <v>17607542.629856598</v>
      </c>
      <c r="I64" s="579">
        <v>752655.41399271146</v>
      </c>
      <c r="J64" s="579">
        <v>11284466.42642829</v>
      </c>
      <c r="K64" s="90">
        <v>939868.1228994485</v>
      </c>
      <c r="L64" s="90">
        <v>13677082.014996031</v>
      </c>
      <c r="M64" s="90">
        <v>955091.34423137107</v>
      </c>
      <c r="N64" s="90">
        <v>13903729.022833532</v>
      </c>
      <c r="O64" s="90">
        <v>851974.64692793763</v>
      </c>
      <c r="P64" s="90">
        <v>12165078.47133333</v>
      </c>
      <c r="Q64" s="579">
        <v>1330766</v>
      </c>
      <c r="R64" s="579">
        <v>19161495.5</v>
      </c>
      <c r="S64" s="579">
        <v>1381164.8530673464</v>
      </c>
      <c r="T64" s="579">
        <v>20027158.365417499</v>
      </c>
      <c r="U64" s="579">
        <v>1329742.3316153313</v>
      </c>
      <c r="V64" s="579">
        <v>19593847.660542499</v>
      </c>
      <c r="W64" s="90">
        <v>1381601.1404715001</v>
      </c>
      <c r="X64" s="90">
        <v>21464850.072500002</v>
      </c>
      <c r="Y64" s="90">
        <v>1733015.5941072339</v>
      </c>
      <c r="Z64" s="90">
        <v>25983993.608509999</v>
      </c>
      <c r="AA64" s="90">
        <v>1567808.9605574</v>
      </c>
      <c r="AB64" s="90">
        <v>23433917.861000001</v>
      </c>
      <c r="AD64" s="90">
        <v>14545057.079414325</v>
      </c>
      <c r="AE64" s="90">
        <v>215768943.51887435</v>
      </c>
      <c r="AF64">
        <v>14834.520231911152</v>
      </c>
    </row>
    <row r="65" spans="2:32">
      <c r="B65" t="s">
        <v>18</v>
      </c>
      <c r="C65" s="90">
        <f t="shared" si="10"/>
        <v>17435</v>
      </c>
      <c r="D65" s="90">
        <f t="shared" si="11"/>
        <v>871750</v>
      </c>
      <c r="E65" s="579">
        <v>1470</v>
      </c>
      <c r="F65" s="579">
        <v>73500</v>
      </c>
      <c r="G65" s="579">
        <v>1700</v>
      </c>
      <c r="H65" s="579">
        <v>85000</v>
      </c>
      <c r="I65" s="579">
        <v>930</v>
      </c>
      <c r="J65" s="579">
        <v>46500</v>
      </c>
      <c r="K65" s="90">
        <v>1880</v>
      </c>
      <c r="L65" s="90">
        <v>94000</v>
      </c>
      <c r="M65" s="90">
        <v>2170</v>
      </c>
      <c r="N65" s="90">
        <v>108500</v>
      </c>
      <c r="O65" s="90">
        <v>1530</v>
      </c>
      <c r="P65" s="90">
        <v>76500</v>
      </c>
      <c r="Q65" s="579">
        <v>3080</v>
      </c>
      <c r="R65" s="579">
        <v>154000</v>
      </c>
      <c r="S65" s="579">
        <v>1400</v>
      </c>
      <c r="T65" s="579">
        <v>70000</v>
      </c>
      <c r="U65" s="579">
        <v>1900</v>
      </c>
      <c r="V65" s="579">
        <v>95000</v>
      </c>
      <c r="W65" s="90">
        <v>175</v>
      </c>
      <c r="X65" s="90">
        <v>8750</v>
      </c>
      <c r="Y65" s="90">
        <v>650</v>
      </c>
      <c r="Z65" s="90">
        <v>32500</v>
      </c>
      <c r="AA65" s="90">
        <v>550</v>
      </c>
      <c r="AB65" s="90">
        <v>27500</v>
      </c>
      <c r="AD65" s="90">
        <v>17435</v>
      </c>
      <c r="AE65" s="90">
        <v>871750</v>
      </c>
      <c r="AF65">
        <v>50000</v>
      </c>
    </row>
    <row r="66" spans="2:32">
      <c r="B66" t="s">
        <v>19</v>
      </c>
      <c r="C66" s="90">
        <f t="shared" si="10"/>
        <v>70585</v>
      </c>
      <c r="D66" s="90">
        <f t="shared" si="11"/>
        <v>12215750</v>
      </c>
      <c r="E66" s="579">
        <v>9405</v>
      </c>
      <c r="F66" s="579">
        <v>1885250</v>
      </c>
      <c r="G66" s="579">
        <v>4080</v>
      </c>
      <c r="H66" s="579">
        <v>816000</v>
      </c>
      <c r="I66" s="579">
        <v>720</v>
      </c>
      <c r="J66" s="579">
        <v>144000</v>
      </c>
      <c r="K66" s="90">
        <v>27650</v>
      </c>
      <c r="L66" s="90">
        <v>4280000</v>
      </c>
      <c r="M66" s="90">
        <v>1335</v>
      </c>
      <c r="N66" s="90">
        <v>267000</v>
      </c>
      <c r="O66" s="90">
        <v>14800</v>
      </c>
      <c r="P66" s="90">
        <v>2360000</v>
      </c>
      <c r="Q66" s="579">
        <v>2026</v>
      </c>
      <c r="R66" s="579">
        <v>365200</v>
      </c>
      <c r="S66" s="579">
        <v>1529</v>
      </c>
      <c r="T66" s="579">
        <v>305800</v>
      </c>
      <c r="U66" s="579">
        <v>530</v>
      </c>
      <c r="V66" s="579">
        <v>93500</v>
      </c>
      <c r="W66" s="90">
        <v>3815</v>
      </c>
      <c r="X66" s="90">
        <v>760000</v>
      </c>
      <c r="Y66" s="90">
        <v>1690</v>
      </c>
      <c r="Z66" s="90">
        <v>338000</v>
      </c>
      <c r="AA66" s="90">
        <v>3005</v>
      </c>
      <c r="AB66" s="90">
        <v>601000</v>
      </c>
      <c r="AD66" s="90">
        <v>70585</v>
      </c>
      <c r="AE66" s="90">
        <v>12215750</v>
      </c>
      <c r="AF66">
        <v>173064.390451229</v>
      </c>
    </row>
    <row r="67" spans="2:32">
      <c r="B67" t="s">
        <v>20</v>
      </c>
      <c r="C67" s="90">
        <f t="shared" si="10"/>
        <v>10620466.854707833</v>
      </c>
      <c r="D67" s="90">
        <f t="shared" si="11"/>
        <v>117752052.92183</v>
      </c>
      <c r="E67" s="579">
        <v>760957.30820275005</v>
      </c>
      <c r="F67" s="579">
        <v>10347661.635749999</v>
      </c>
      <c r="G67" s="579">
        <v>1215042.282535</v>
      </c>
      <c r="H67" s="579">
        <v>16785137.954999998</v>
      </c>
      <c r="I67" s="579">
        <v>1219875.0337060411</v>
      </c>
      <c r="J67" s="579">
        <v>9906182</v>
      </c>
      <c r="K67" s="90">
        <v>1157845.9240425001</v>
      </c>
      <c r="L67" s="90">
        <v>12826537.5525</v>
      </c>
      <c r="M67" s="90">
        <v>1170513.22703042</v>
      </c>
      <c r="N67" s="90">
        <v>13207480.39546</v>
      </c>
      <c r="O67" s="90">
        <v>898967.33020941168</v>
      </c>
      <c r="P67" s="90">
        <v>9977660.5129400007</v>
      </c>
      <c r="Q67" s="579">
        <v>746270</v>
      </c>
      <c r="R67" s="579">
        <v>6753172</v>
      </c>
      <c r="S67" s="579">
        <v>680158.27306101366</v>
      </c>
      <c r="T67" s="579">
        <v>6214828.4271</v>
      </c>
      <c r="U67" s="579">
        <v>576899.04392130359</v>
      </c>
      <c r="V67" s="579">
        <v>5061281.4491300005</v>
      </c>
      <c r="W67" s="90">
        <v>599899.012089225</v>
      </c>
      <c r="X67" s="90">
        <v>7016344.8922499996</v>
      </c>
      <c r="Y67" s="90">
        <v>840863.75055657001</v>
      </c>
      <c r="Z67" s="90">
        <v>10528202.5657</v>
      </c>
      <c r="AA67" s="90">
        <v>753175.66935360001</v>
      </c>
      <c r="AB67" s="90">
        <v>9127563.5360000003</v>
      </c>
      <c r="AD67" s="90">
        <v>10620466.854707833</v>
      </c>
      <c r="AE67" s="90">
        <v>117752052.92183</v>
      </c>
      <c r="AF67">
        <v>11087.276532446684</v>
      </c>
    </row>
    <row r="68" spans="2:32">
      <c r="B68" t="s">
        <v>21</v>
      </c>
      <c r="C68" s="90">
        <f t="shared" si="10"/>
        <v>576</v>
      </c>
      <c r="D68" s="90">
        <f t="shared" si="11"/>
        <v>5182.25</v>
      </c>
      <c r="E68" s="579">
        <v>0</v>
      </c>
      <c r="F68" s="579">
        <v>0</v>
      </c>
      <c r="G68" s="579">
        <v>0</v>
      </c>
      <c r="H68" s="579">
        <v>0</v>
      </c>
      <c r="I68" s="579">
        <v>0</v>
      </c>
      <c r="J68" s="579">
        <v>0</v>
      </c>
      <c r="K68" s="90">
        <v>90</v>
      </c>
      <c r="L68" s="90">
        <v>778.5</v>
      </c>
      <c r="M68" s="90">
        <v>120</v>
      </c>
      <c r="N68" s="90">
        <v>1038</v>
      </c>
      <c r="O68" s="90">
        <v>95</v>
      </c>
      <c r="P68" s="90">
        <v>821.75</v>
      </c>
      <c r="Q68" s="579">
        <v>56</v>
      </c>
      <c r="R68" s="579">
        <v>504</v>
      </c>
      <c r="S68" s="579">
        <v>45</v>
      </c>
      <c r="T68" s="579">
        <v>405</v>
      </c>
      <c r="U68" s="579">
        <v>65</v>
      </c>
      <c r="V68" s="579">
        <v>585</v>
      </c>
      <c r="W68" s="90">
        <v>35</v>
      </c>
      <c r="X68" s="90">
        <v>350</v>
      </c>
      <c r="Y68" s="90">
        <v>25</v>
      </c>
      <c r="Z68" s="90">
        <v>250</v>
      </c>
      <c r="AA68" s="90">
        <v>45</v>
      </c>
      <c r="AB68" s="90">
        <v>450</v>
      </c>
      <c r="AD68" s="90">
        <v>576</v>
      </c>
      <c r="AE68" s="90">
        <v>5182.25</v>
      </c>
      <c r="AF68">
        <v>8996.9618055555547</v>
      </c>
    </row>
    <row r="69" spans="2:32">
      <c r="B69" s="116" t="s">
        <v>22</v>
      </c>
      <c r="C69" s="90">
        <f t="shared" si="10"/>
        <v>98780031.792737067</v>
      </c>
      <c r="D69" s="90">
        <f t="shared" si="11"/>
        <v>5744948675.1845989</v>
      </c>
      <c r="E69" s="579">
        <v>6447091.7900985349</v>
      </c>
      <c r="F69" s="579">
        <v>360438729.92680001</v>
      </c>
      <c r="G69" s="579">
        <v>8430396.3944981508</v>
      </c>
      <c r="H69" s="579">
        <v>466237019.90750003</v>
      </c>
      <c r="I69" s="579">
        <v>10994609.36957375</v>
      </c>
      <c r="J69" s="579">
        <v>551357360.81870008</v>
      </c>
      <c r="K69" s="90">
        <v>9932760.0984520838</v>
      </c>
      <c r="L69" s="90">
        <v>536877726.9375</v>
      </c>
      <c r="M69" s="90">
        <v>10221241.410013583</v>
      </c>
      <c r="N69" s="90">
        <v>561332148.01250005</v>
      </c>
      <c r="O69" s="90">
        <v>9412892.9387076702</v>
      </c>
      <c r="P69" s="90">
        <v>562507779.71689999</v>
      </c>
      <c r="Q69" s="579">
        <v>6843257.3445349429</v>
      </c>
      <c r="R69" s="579">
        <v>414477088.7471</v>
      </c>
      <c r="S69" s="579">
        <v>6768258.0111346394</v>
      </c>
      <c r="T69" s="579">
        <v>430302684.73199999</v>
      </c>
      <c r="U69" s="579">
        <v>8353860.9662682973</v>
      </c>
      <c r="V69" s="579">
        <v>532354053.61489999</v>
      </c>
      <c r="W69" s="90">
        <v>6521296.1064159181</v>
      </c>
      <c r="X69" s="90">
        <v>403602208.79589999</v>
      </c>
      <c r="Y69" s="90">
        <v>7525128.36909144</v>
      </c>
      <c r="Z69" s="90">
        <v>470908031.57200003</v>
      </c>
      <c r="AA69" s="90">
        <v>7329238.9939480554</v>
      </c>
      <c r="AB69" s="90">
        <v>454553842.40280002</v>
      </c>
      <c r="AD69" s="90">
        <v>98780031.792737067</v>
      </c>
      <c r="AE69" s="90">
        <v>5744948675.1845989</v>
      </c>
      <c r="AF69">
        <v>58159.008161070502</v>
      </c>
    </row>
    <row r="70" spans="2:32">
      <c r="B70" s="116" t="s">
        <v>23</v>
      </c>
      <c r="C70" s="90">
        <f t="shared" si="10"/>
        <v>8228623.2147023268</v>
      </c>
      <c r="D70" s="90">
        <f t="shared" si="11"/>
        <v>816155712.93970001</v>
      </c>
      <c r="E70" s="579">
        <v>663232.96120580006</v>
      </c>
      <c r="F70" s="579">
        <v>63816956.579999998</v>
      </c>
      <c r="G70" s="579">
        <v>895790.09292187495</v>
      </c>
      <c r="H70" s="579">
        <v>86140959.1875</v>
      </c>
      <c r="I70" s="579">
        <v>780086.53492250002</v>
      </c>
      <c r="J70" s="579">
        <v>184132992</v>
      </c>
      <c r="K70" s="90">
        <v>621502.729345</v>
      </c>
      <c r="L70" s="90">
        <v>48695182.600000001</v>
      </c>
      <c r="M70" s="90">
        <v>582001.62289849995</v>
      </c>
      <c r="N70" s="90">
        <v>45427657.879999995</v>
      </c>
      <c r="O70" s="90">
        <v>582304.10887482506</v>
      </c>
      <c r="P70" s="90">
        <v>47566338.986000001</v>
      </c>
      <c r="Q70" s="579">
        <v>634117.02051139344</v>
      </c>
      <c r="R70" s="579">
        <v>51791823.911499999</v>
      </c>
      <c r="S70" s="579">
        <v>701723.73979719006</v>
      </c>
      <c r="T70" s="579">
        <v>57845849.775199994</v>
      </c>
      <c r="U70" s="579">
        <v>849761.28153431509</v>
      </c>
      <c r="V70" s="579">
        <v>69168325.745200008</v>
      </c>
      <c r="W70" s="90">
        <v>629387.25324225053</v>
      </c>
      <c r="X70" s="90">
        <v>52398933.380000003</v>
      </c>
      <c r="Y70" s="90">
        <v>620057.20214866195</v>
      </c>
      <c r="Z70" s="90">
        <v>52528669.892999999</v>
      </c>
      <c r="AA70" s="90">
        <v>668658.66730001604</v>
      </c>
      <c r="AB70" s="90">
        <v>56642023.0013</v>
      </c>
      <c r="AD70" s="90">
        <v>8228623.2147023268</v>
      </c>
      <c r="AE70" s="90">
        <v>816155712.93970001</v>
      </c>
      <c r="AF70">
        <v>99184.965898238021</v>
      </c>
    </row>
    <row r="71" spans="2:32">
      <c r="B71" s="116" t="s">
        <v>507</v>
      </c>
      <c r="C71" s="90">
        <f t="shared" si="10"/>
        <v>3741230.6136390157</v>
      </c>
      <c r="D71" s="90">
        <f t="shared" si="11"/>
        <v>26102756.685542002</v>
      </c>
      <c r="E71" s="579">
        <v>115534</v>
      </c>
      <c r="F71" s="579">
        <v>1234376</v>
      </c>
      <c r="G71" s="579">
        <v>108365</v>
      </c>
      <c r="H71" s="579">
        <v>994757</v>
      </c>
      <c r="I71" s="579">
        <v>113262</v>
      </c>
      <c r="J71" s="579">
        <v>1042536</v>
      </c>
      <c r="K71" s="608">
        <v>157086</v>
      </c>
      <c r="L71" s="608">
        <v>1576587</v>
      </c>
      <c r="M71" s="608">
        <v>185516</v>
      </c>
      <c r="N71" s="608">
        <v>1814042</v>
      </c>
      <c r="O71" s="608">
        <v>507346.86537243525</v>
      </c>
      <c r="P71" s="608">
        <v>3168813.8621720001</v>
      </c>
      <c r="Q71" s="579">
        <v>436583.34267366846</v>
      </c>
      <c r="R71" s="579">
        <v>1926109.021005</v>
      </c>
      <c r="S71" s="579">
        <v>480467.64458109572</v>
      </c>
      <c r="T71" s="579">
        <v>2510375.7432869999</v>
      </c>
      <c r="U71" s="579">
        <v>140748</v>
      </c>
      <c r="V71" s="579">
        <v>1551789</v>
      </c>
      <c r="W71" s="608">
        <v>424810.88351730251</v>
      </c>
      <c r="X71" s="608">
        <v>2692507.5865080003</v>
      </c>
      <c r="Y71" s="608">
        <v>415313.46933533403</v>
      </c>
      <c r="Z71" s="608">
        <v>2587086.67667</v>
      </c>
      <c r="AA71" s="608">
        <v>656197.40815918008</v>
      </c>
      <c r="AB71" s="608">
        <v>5003776.7959000003</v>
      </c>
    </row>
    <row r="72" spans="2:32">
      <c r="B72" s="116" t="s">
        <v>503</v>
      </c>
      <c r="C72" s="90">
        <f>SUM(E72,G72,I72,K72,M72,O72,Q72,S72,U72,W72,Y72,AA72)</f>
        <v>10056922.374852935</v>
      </c>
      <c r="D72" s="90">
        <f t="shared" si="11"/>
        <v>322965983.35935497</v>
      </c>
      <c r="E72" s="579">
        <v>779076.70944921998</v>
      </c>
      <c r="F72" s="579">
        <v>23052619.246100001</v>
      </c>
      <c r="G72" s="579">
        <v>894482.48182927503</v>
      </c>
      <c r="H72" s="579">
        <v>24050802.14638</v>
      </c>
      <c r="I72" s="579">
        <v>997911.1255314725</v>
      </c>
      <c r="J72" s="579">
        <v>23241564.657359999</v>
      </c>
      <c r="K72" s="608">
        <v>923971.44625808252</v>
      </c>
      <c r="L72" s="608">
        <v>21067598.290413</v>
      </c>
      <c r="M72" s="608">
        <v>1017372.2345315556</v>
      </c>
      <c r="N72" s="608">
        <v>23577173.259112999</v>
      </c>
      <c r="O72" s="608">
        <v>2209928</v>
      </c>
      <c r="P72" s="608">
        <v>95281702</v>
      </c>
      <c r="Q72" s="579">
        <v>358476</v>
      </c>
      <c r="R72" s="579">
        <v>13673461</v>
      </c>
      <c r="S72" s="579">
        <v>494671</v>
      </c>
      <c r="T72" s="579">
        <v>19792115</v>
      </c>
      <c r="U72" s="579">
        <v>820346.37725332961</v>
      </c>
      <c r="V72" s="579">
        <v>21161104.759989001</v>
      </c>
      <c r="W72" s="608">
        <v>455930</v>
      </c>
      <c r="X72" s="608">
        <v>17818943</v>
      </c>
      <c r="Y72" s="608">
        <v>545031</v>
      </c>
      <c r="Z72" s="608">
        <v>17283323</v>
      </c>
      <c r="AA72" s="608">
        <v>559726</v>
      </c>
      <c r="AB72" s="608">
        <v>22965577</v>
      </c>
    </row>
    <row r="73" spans="2:32">
      <c r="B73" s="116"/>
      <c r="K73" s="608"/>
      <c r="L73" s="608"/>
      <c r="M73" s="608"/>
      <c r="N73" s="608"/>
      <c r="O73" s="608"/>
      <c r="P73" s="608"/>
      <c r="W73" s="608"/>
      <c r="X73" s="608"/>
      <c r="Y73" s="608"/>
      <c r="Z73" s="608"/>
      <c r="AA73" s="608"/>
      <c r="AB73" s="608"/>
    </row>
    <row r="74" spans="2:32">
      <c r="B74" s="116"/>
    </row>
    <row r="75" spans="2:32">
      <c r="B75" s="116"/>
    </row>
    <row r="76" spans="2:32">
      <c r="B76" s="116"/>
    </row>
    <row r="77" spans="2:32">
      <c r="B77" s="116"/>
    </row>
    <row r="78" spans="2:32">
      <c r="B78" s="116"/>
    </row>
    <row r="79" spans="2:32">
      <c r="B79" s="116"/>
    </row>
    <row r="80" spans="2:32">
      <c r="B80" s="116"/>
    </row>
    <row r="81" spans="2:2">
      <c r="B81" s="116"/>
    </row>
    <row r="82" spans="2:2">
      <c r="B82" s="116"/>
    </row>
    <row r="83" spans="2:2">
      <c r="B83" s="116"/>
    </row>
    <row r="84" spans="2:2">
      <c r="B84" s="116"/>
    </row>
    <row r="85" spans="2:2">
      <c r="B85" s="116"/>
    </row>
    <row r="86" spans="2:2">
      <c r="B86" s="116"/>
    </row>
    <row r="87" spans="2:2">
      <c r="B87" s="116"/>
    </row>
    <row r="88" spans="2:2">
      <c r="B88" s="116"/>
    </row>
    <row r="89" spans="2:2">
      <c r="B89" s="116"/>
    </row>
    <row r="90" spans="2:2">
      <c r="B90" s="116"/>
    </row>
    <row r="91" spans="2:2">
      <c r="B91" s="116"/>
    </row>
    <row r="92" spans="2:2">
      <c r="B92" s="116"/>
    </row>
    <row r="93" spans="2:2">
      <c r="B93" s="116"/>
    </row>
    <row r="94" spans="2:2">
      <c r="B94" s="116"/>
    </row>
    <row r="95" spans="2:2">
      <c r="B95" s="116"/>
    </row>
    <row r="96" spans="2:2">
      <c r="B96" s="116"/>
    </row>
    <row r="97" spans="2:2">
      <c r="B97" s="116"/>
    </row>
    <row r="98" spans="2:2">
      <c r="B98" s="116"/>
    </row>
    <row r="99" spans="2:2">
      <c r="B99" s="116"/>
    </row>
    <row r="100" spans="2:2">
      <c r="B100" s="116"/>
    </row>
    <row r="101" spans="2:2">
      <c r="B101" s="116"/>
    </row>
    <row r="102" spans="2:2">
      <c r="B102" s="116"/>
    </row>
    <row r="103" spans="2:2">
      <c r="B103" s="116"/>
    </row>
    <row r="104" spans="2:2">
      <c r="B104" s="116"/>
    </row>
    <row r="105" spans="2:2">
      <c r="B105" s="116"/>
    </row>
    <row r="106" spans="2:2">
      <c r="B106" s="116"/>
    </row>
    <row r="107" spans="2:2">
      <c r="B107" s="116"/>
    </row>
    <row r="108" spans="2:2">
      <c r="B108" s="116"/>
    </row>
    <row r="109" spans="2:2">
      <c r="B109" s="116"/>
    </row>
    <row r="110" spans="2:2">
      <c r="B110" s="116"/>
    </row>
    <row r="111" spans="2:2">
      <c r="B111" s="116"/>
    </row>
    <row r="112" spans="2:2">
      <c r="B112" s="116"/>
    </row>
    <row r="113" spans="2:2">
      <c r="B113" s="116"/>
    </row>
    <row r="114" spans="2:2">
      <c r="B114" s="116"/>
    </row>
    <row r="115" spans="2:2">
      <c r="B115" s="116"/>
    </row>
    <row r="116" spans="2:2">
      <c r="B116" s="116"/>
    </row>
    <row r="117" spans="2:2">
      <c r="B117" s="116"/>
    </row>
    <row r="118" spans="2:2">
      <c r="B118" s="116"/>
    </row>
    <row r="119" spans="2:2">
      <c r="B119" s="116"/>
    </row>
    <row r="120" spans="2:2">
      <c r="B120" s="116"/>
    </row>
    <row r="121" spans="2:2">
      <c r="B121" s="116"/>
    </row>
    <row r="122" spans="2:2">
      <c r="B122" s="116"/>
    </row>
    <row r="123" spans="2:2">
      <c r="B123" s="116"/>
    </row>
    <row r="124" spans="2:2">
      <c r="B124" s="116"/>
    </row>
    <row r="125" spans="2:2">
      <c r="B125" s="116"/>
    </row>
    <row r="126" spans="2:2">
      <c r="B126" s="116"/>
    </row>
    <row r="127" spans="2:2">
      <c r="B127" s="116"/>
    </row>
    <row r="128" spans="2:2">
      <c r="B128" s="116"/>
    </row>
    <row r="129" spans="2:2">
      <c r="B129" s="116"/>
    </row>
    <row r="130" spans="2:2">
      <c r="B130" s="116"/>
    </row>
    <row r="131" spans="2:2">
      <c r="B131" s="116"/>
    </row>
    <row r="132" spans="2:2">
      <c r="B132" s="116"/>
    </row>
    <row r="133" spans="2:2">
      <c r="B133" s="116"/>
    </row>
    <row r="134" spans="2:2">
      <c r="B134" s="116"/>
    </row>
    <row r="135" spans="2:2">
      <c r="B135" s="116"/>
    </row>
    <row r="136" spans="2:2">
      <c r="B136" s="116"/>
    </row>
    <row r="137" spans="2:2">
      <c r="B137" s="116"/>
    </row>
    <row r="138" spans="2:2">
      <c r="B138" s="116"/>
    </row>
    <row r="139" spans="2:2">
      <c r="B139" s="116"/>
    </row>
    <row r="140" spans="2:2">
      <c r="B140" s="116"/>
    </row>
    <row r="141" spans="2:2">
      <c r="B141" s="116"/>
    </row>
    <row r="142" spans="2:2">
      <c r="B142" s="116"/>
    </row>
    <row r="143" spans="2:2">
      <c r="B143" s="116"/>
    </row>
    <row r="144" spans="2:2">
      <c r="B144" s="116"/>
    </row>
    <row r="145" spans="2:2">
      <c r="B145" s="116"/>
    </row>
    <row r="146" spans="2:2">
      <c r="B146" s="116"/>
    </row>
    <row r="147" spans="2:2">
      <c r="B147" s="116"/>
    </row>
  </sheetData>
  <mergeCells count="32">
    <mergeCell ref="C44:D44"/>
    <mergeCell ref="E44:F44"/>
    <mergeCell ref="I44:J44"/>
    <mergeCell ref="K44:L44"/>
    <mergeCell ref="O44:P44"/>
    <mergeCell ref="G44:H44"/>
    <mergeCell ref="M44:N44"/>
    <mergeCell ref="Q44:R44"/>
    <mergeCell ref="U44:V44"/>
    <mergeCell ref="W44:X44"/>
    <mergeCell ref="AA44:AB44"/>
    <mergeCell ref="AD44:AE44"/>
    <mergeCell ref="S44:T44"/>
    <mergeCell ref="Y44:Z44"/>
    <mergeCell ref="AD3:AE3"/>
    <mergeCell ref="AA3:AB3"/>
    <mergeCell ref="C3:D3"/>
    <mergeCell ref="E3:F3"/>
    <mergeCell ref="G3:H3"/>
    <mergeCell ref="I3:J3"/>
    <mergeCell ref="K3:L3"/>
    <mergeCell ref="M3:N3"/>
    <mergeCell ref="O3:P3"/>
    <mergeCell ref="Q3:R3"/>
    <mergeCell ref="S3:T3"/>
    <mergeCell ref="G1:H1"/>
    <mergeCell ref="M1:N1"/>
    <mergeCell ref="S1:T1"/>
    <mergeCell ref="Y1:Z1"/>
    <mergeCell ref="U3:V3"/>
    <mergeCell ref="W3:X3"/>
    <mergeCell ref="Y3:Z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N61"/>
  <sheetViews>
    <sheetView topLeftCell="B12" zoomScale="63" workbookViewId="0">
      <selection activeCell="E45" sqref="E45"/>
    </sheetView>
  </sheetViews>
  <sheetFormatPr defaultColWidth="9.1796875" defaultRowHeight="14.5"/>
  <cols>
    <col min="1" max="1" width="6.1796875" customWidth="1"/>
    <col min="2" max="2" width="30.1796875" customWidth="1"/>
    <col min="3" max="4" width="23.54296875" hidden="1" customWidth="1"/>
    <col min="5" max="12" width="22.1796875" customWidth="1"/>
    <col min="13" max="14" width="22.1796875" style="803" customWidth="1"/>
  </cols>
  <sheetData>
    <row r="2" spans="1:14" ht="15" thickBot="1">
      <c r="E2" s="116">
        <f>'P NP BLN'!I1</f>
        <v>327807038.95667869</v>
      </c>
      <c r="F2" s="116">
        <f>'P NP BLN'!J1</f>
        <v>5580937658.6404209</v>
      </c>
      <c r="G2" s="116">
        <f>'P NP BLN'!O1</f>
        <v>349488828.08579087</v>
      </c>
      <c r="H2" s="116">
        <f>'P NP BLN'!P1</f>
        <v>5430192905.9421206</v>
      </c>
      <c r="I2" s="116">
        <f>'P NP BLN'!U1</f>
        <v>382071206.28689998</v>
      </c>
      <c r="J2" s="116">
        <f>'P NP BLN'!V1</f>
        <v>5230924606.3955574</v>
      </c>
      <c r="K2" s="116">
        <f>'P NP BLN'!AA1</f>
        <v>375255554.52356821</v>
      </c>
      <c r="L2" s="116">
        <f>'P NP BLN'!AB1</f>
        <v>5245455525.9704647</v>
      </c>
      <c r="M2" s="802">
        <f>'P NP BLN'!AC1</f>
        <v>0</v>
      </c>
      <c r="N2" s="802">
        <f>'P NP BLN'!AD1</f>
        <v>0</v>
      </c>
    </row>
    <row r="3" spans="1:14">
      <c r="A3" s="889" t="s">
        <v>0</v>
      </c>
      <c r="B3" s="880" t="s">
        <v>168</v>
      </c>
      <c r="C3" s="881" t="s">
        <v>104</v>
      </c>
      <c r="D3" s="882"/>
      <c r="E3" s="883" t="s">
        <v>102</v>
      </c>
      <c r="F3" s="884"/>
      <c r="G3" s="885"/>
      <c r="H3" s="885"/>
      <c r="I3" s="885"/>
      <c r="J3" s="885"/>
      <c r="K3" s="885"/>
      <c r="L3" s="886"/>
    </row>
    <row r="4" spans="1:14">
      <c r="A4" s="889"/>
      <c r="B4" s="880"/>
      <c r="C4" s="887" t="s">
        <v>106</v>
      </c>
      <c r="D4" s="888"/>
      <c r="E4" s="890" t="s">
        <v>107</v>
      </c>
      <c r="F4" s="890"/>
      <c r="G4" s="890" t="s">
        <v>108</v>
      </c>
      <c r="H4" s="890"/>
      <c r="I4" s="890" t="s">
        <v>109</v>
      </c>
      <c r="J4" s="890"/>
      <c r="K4" s="890" t="s">
        <v>110</v>
      </c>
      <c r="L4" s="891"/>
      <c r="M4" s="892" t="s">
        <v>165</v>
      </c>
      <c r="N4" s="893"/>
    </row>
    <row r="5" spans="1:14">
      <c r="A5" s="889"/>
      <c r="B5" s="880"/>
      <c r="C5" s="593" t="s">
        <v>27</v>
      </c>
      <c r="D5" s="593" t="s">
        <v>28</v>
      </c>
      <c r="E5" s="593" t="s">
        <v>27</v>
      </c>
      <c r="F5" s="593" t="s">
        <v>28</v>
      </c>
      <c r="G5" s="593" t="s">
        <v>27</v>
      </c>
      <c r="H5" s="593" t="s">
        <v>28</v>
      </c>
      <c r="I5" s="593" t="s">
        <v>27</v>
      </c>
      <c r="J5" s="593" t="s">
        <v>28</v>
      </c>
      <c r="K5" s="593" t="s">
        <v>27</v>
      </c>
      <c r="L5" s="594" t="s">
        <v>28</v>
      </c>
      <c r="M5" s="799" t="s">
        <v>27</v>
      </c>
      <c r="N5" s="800" t="s">
        <v>28</v>
      </c>
    </row>
    <row r="6" spans="1:14">
      <c r="A6" s="889"/>
      <c r="B6" s="880"/>
      <c r="C6" s="15" t="s">
        <v>29</v>
      </c>
      <c r="D6" s="15" t="s">
        <v>30</v>
      </c>
      <c r="E6" s="15" t="s">
        <v>29</v>
      </c>
      <c r="F6" s="15" t="s">
        <v>30</v>
      </c>
      <c r="G6" s="15" t="s">
        <v>29</v>
      </c>
      <c r="H6" s="15" t="s">
        <v>30</v>
      </c>
      <c r="I6" s="15" t="s">
        <v>29</v>
      </c>
      <c r="J6" s="15" t="s">
        <v>30</v>
      </c>
      <c r="K6" s="15" t="s">
        <v>29</v>
      </c>
      <c r="L6" s="595" t="s">
        <v>30</v>
      </c>
      <c r="M6" s="804" t="s">
        <v>515</v>
      </c>
      <c r="N6" s="805" t="s">
        <v>516</v>
      </c>
    </row>
    <row r="7" spans="1:14">
      <c r="A7" s="889"/>
      <c r="B7" s="880"/>
      <c r="C7" s="591"/>
      <c r="D7" s="591">
        <f t="shared" ref="D7:L7" si="0">SUM(D8:D36)</f>
        <v>21487510696.948566</v>
      </c>
      <c r="E7" s="18">
        <f t="shared" si="0"/>
        <v>327807038.95667869</v>
      </c>
      <c r="F7" s="18">
        <f t="shared" si="0"/>
        <v>5580937658.64042</v>
      </c>
      <c r="G7" s="18">
        <f t="shared" si="0"/>
        <v>349488828.08579093</v>
      </c>
      <c r="H7" s="18">
        <f t="shared" si="0"/>
        <v>5430192905.9421225</v>
      </c>
      <c r="I7" s="18">
        <f t="shared" si="0"/>
        <v>382071206.28689998</v>
      </c>
      <c r="J7" s="18">
        <f t="shared" si="0"/>
        <v>5230924606.3955584</v>
      </c>
      <c r="K7" s="18">
        <f t="shared" si="0"/>
        <v>375255554.52356839</v>
      </c>
      <c r="L7" s="181">
        <f t="shared" si="0"/>
        <v>5245455525.9704657</v>
      </c>
      <c r="M7" s="300">
        <f t="shared" ref="M7:N7" si="1">SUM(M8:M36)</f>
        <v>1434622627.8529379</v>
      </c>
      <c r="N7" s="801">
        <f t="shared" si="1"/>
        <v>21487510696.948566</v>
      </c>
    </row>
    <row r="8" spans="1:14" ht="15.5">
      <c r="A8" s="74">
        <v>1</v>
      </c>
      <c r="B8" s="116" t="str">
        <f>'P &amp; NP'!B14</f>
        <v xml:space="preserve">Bandeng </v>
      </c>
      <c r="C8" s="597">
        <f>SUM(E8,G8,I8,K8)</f>
        <v>167576960.45556366</v>
      </c>
      <c r="D8" s="597">
        <f>SUM(F8,H8,J8,L8)</f>
        <v>3645094470.8809285</v>
      </c>
      <c r="E8" s="185">
        <f>SUM('P NP BLN'!E6,'P NP BLN'!G6,'P NP BLN'!I6)</f>
        <v>47124366.321798347</v>
      </c>
      <c r="F8" s="185">
        <f>SUM('P NP BLN'!F6,'P NP BLN'!H6,'P NP BLN'!J6)</f>
        <v>1017125802.1596347</v>
      </c>
      <c r="G8" s="185">
        <f>SUM('P NP BLN'!K6,'P NP BLN'!M6,'P NP BLN'!O6)</f>
        <v>46310846.625112638</v>
      </c>
      <c r="H8" s="185">
        <f>SUM('P NP BLN'!L6,'P NP BLN'!N6,'P NP BLN'!P6)</f>
        <v>984070135.52220225</v>
      </c>
      <c r="I8" s="185">
        <f>SUM('P NP BLN'!Q6,'P NP BLN'!S6,'P NP BLN'!U6)</f>
        <v>38093201.906779423</v>
      </c>
      <c r="J8" s="185">
        <f>SUM('P NP BLN'!R6,'P NP BLN'!T6,'P NP BLN'!V6)</f>
        <v>825647496.4488343</v>
      </c>
      <c r="K8" s="592">
        <f>SUM('P NP BLN'!W6,'P NP BLN'!Y6,'P NP BLN'!AA6)</f>
        <v>36048545.601873249</v>
      </c>
      <c r="L8" s="596">
        <f>SUM('P NP BLN'!X6,'P NP BLN'!Z6,'P NP BLN'!AB6)</f>
        <v>818251036.7502569</v>
      </c>
      <c r="M8" s="806">
        <f>SUMIF($E$5:$L$5,$M$5,$E8:$L8)</f>
        <v>167576960.45556366</v>
      </c>
      <c r="N8" s="807">
        <f>SUMIF($E$5:$L$5,$N$5,$E8:$L8)</f>
        <v>3645094470.8809285</v>
      </c>
    </row>
    <row r="9" spans="1:14" ht="15.5">
      <c r="A9" s="74">
        <v>2</v>
      </c>
      <c r="B9" s="116" t="str">
        <f>'P &amp; NP'!B15</f>
        <v xml:space="preserve">Bawal </v>
      </c>
      <c r="C9" s="185">
        <f t="shared" ref="C9:C36" si="2">SUM(E9,G9,I9,K9)</f>
        <v>5963205</v>
      </c>
      <c r="D9" s="185">
        <f t="shared" ref="D9:D36" si="3">SUM(F9,H9,J9,L9)</f>
        <v>93511174</v>
      </c>
      <c r="E9" s="185">
        <f>SUM('P NP BLN'!E7,'P NP BLN'!G7,'P NP BLN'!I7)</f>
        <v>1566550</v>
      </c>
      <c r="F9" s="185">
        <f>SUM('P NP BLN'!F7,'P NP BLN'!H7,'P NP BLN'!J7)</f>
        <v>24309800</v>
      </c>
      <c r="G9" s="185">
        <f>SUM('P NP BLN'!K7,'P NP BLN'!M7,'P NP BLN'!O7)</f>
        <v>1565352</v>
      </c>
      <c r="H9" s="185">
        <f>SUM('P NP BLN'!L7,'P NP BLN'!N7,'P NP BLN'!P7)</f>
        <v>23712666</v>
      </c>
      <c r="I9" s="185">
        <f>SUM('P NP BLN'!Q7,'P NP BLN'!S7,'P NP BLN'!U7)</f>
        <v>1335706</v>
      </c>
      <c r="J9" s="185">
        <f>SUM('P NP BLN'!R7,'P NP BLN'!T7,'P NP BLN'!V7)</f>
        <v>21490552</v>
      </c>
      <c r="K9" s="592">
        <f>SUM('P NP BLN'!W7,'P NP BLN'!Y7,'P NP BLN'!AA7)</f>
        <v>1495597</v>
      </c>
      <c r="L9" s="596">
        <f>SUM('P NP BLN'!X7,'P NP BLN'!Z7,'P NP BLN'!AB7)</f>
        <v>23998156</v>
      </c>
      <c r="M9" s="808">
        <f t="shared" ref="M9:M36" si="4">SUMIF($E$5:$L$5,$M$5,$E9:$L9)</f>
        <v>5963205</v>
      </c>
      <c r="N9" s="809">
        <f t="shared" ref="N9:N36" si="5">SUMIF($E$5:$L$5,$N$5,$E9:$L9)</f>
        <v>93511174</v>
      </c>
    </row>
    <row r="10" spans="1:14" ht="15.5">
      <c r="A10" s="74">
        <v>3</v>
      </c>
      <c r="B10" s="116" t="str">
        <f>'P &amp; NP'!B16</f>
        <v xml:space="preserve">Belanak </v>
      </c>
      <c r="C10" s="185">
        <f t="shared" si="2"/>
        <v>1355843</v>
      </c>
      <c r="D10" s="185">
        <f t="shared" si="3"/>
        <v>36575446</v>
      </c>
      <c r="E10" s="185">
        <f>SUM('P NP BLN'!E8,'P NP BLN'!G8,'P NP BLN'!I8)</f>
        <v>510830</v>
      </c>
      <c r="F10" s="185">
        <f>SUM('P NP BLN'!F8,'P NP BLN'!H8,'P NP BLN'!J8)</f>
        <v>12638560</v>
      </c>
      <c r="G10" s="185">
        <f>SUM('P NP BLN'!K8,'P NP BLN'!M8,'P NP BLN'!O8)</f>
        <v>226962</v>
      </c>
      <c r="H10" s="185">
        <f>SUM('P NP BLN'!L8,'P NP BLN'!N8,'P NP BLN'!P8)</f>
        <v>5745064</v>
      </c>
      <c r="I10" s="185">
        <f>SUM('P NP BLN'!Q8,'P NP BLN'!S8,'P NP BLN'!U8)</f>
        <v>187430</v>
      </c>
      <c r="J10" s="185">
        <f>SUM('P NP BLN'!R8,'P NP BLN'!T8,'P NP BLN'!V8)</f>
        <v>5290560</v>
      </c>
      <c r="K10" s="592">
        <f>SUM('P NP BLN'!W8,'P NP BLN'!Y8,'P NP BLN'!AA8)</f>
        <v>430621</v>
      </c>
      <c r="L10" s="596">
        <f>SUM('P NP BLN'!X8,'P NP BLN'!Z8,'P NP BLN'!AB8)</f>
        <v>12901262</v>
      </c>
      <c r="M10" s="808">
        <f t="shared" si="4"/>
        <v>1355843</v>
      </c>
      <c r="N10" s="809">
        <f t="shared" si="5"/>
        <v>36575446</v>
      </c>
    </row>
    <row r="11" spans="1:14" ht="15.5">
      <c r="A11" s="74">
        <v>4</v>
      </c>
      <c r="B11" s="116" t="str">
        <f>'P &amp; NP'!B17</f>
        <v xml:space="preserve">Eucheuma cottonii </v>
      </c>
      <c r="C11" s="185">
        <f t="shared" si="2"/>
        <v>759882881</v>
      </c>
      <c r="D11" s="185">
        <f t="shared" si="3"/>
        <v>3814877372</v>
      </c>
      <c r="E11" s="185">
        <f>SUM('P NP BLN'!E9,'P NP BLN'!G9,'P NP BLN'!I9)</f>
        <v>155114617</v>
      </c>
      <c r="F11" s="185">
        <f>SUM('P NP BLN'!F9,'P NP BLN'!H9,'P NP BLN'!J9)</f>
        <v>930669702</v>
      </c>
      <c r="G11" s="185">
        <f>SUM('P NP BLN'!K9,'P NP BLN'!M9,'P NP BLN'!O9)</f>
        <v>167969204</v>
      </c>
      <c r="H11" s="185">
        <f>SUM('P NP BLN'!L9,'P NP BLN'!N9,'P NP BLN'!P9)</f>
        <v>700212370</v>
      </c>
      <c r="I11" s="185">
        <f>SUM('P NP BLN'!Q9,'P NP BLN'!S9,'P NP BLN'!U9)</f>
        <v>222920220</v>
      </c>
      <c r="J11" s="185">
        <f>SUM('P NP BLN'!R9,'P NP BLN'!T9,'P NP BLN'!V9)</f>
        <v>1114601100</v>
      </c>
      <c r="K11" s="592">
        <f>SUM('P NP BLN'!W9,'P NP BLN'!Y9,'P NP BLN'!AA9)</f>
        <v>213878840</v>
      </c>
      <c r="L11" s="596">
        <f>SUM('P NP BLN'!X9,'P NP BLN'!Z9,'P NP BLN'!AB9)</f>
        <v>1069394200</v>
      </c>
      <c r="M11" s="808">
        <f t="shared" si="4"/>
        <v>759882881</v>
      </c>
      <c r="N11" s="809">
        <f t="shared" si="5"/>
        <v>3814877372</v>
      </c>
    </row>
    <row r="12" spans="1:14" ht="15.5">
      <c r="A12" s="74">
        <v>5</v>
      </c>
      <c r="B12" s="116" t="str">
        <f>'P &amp; NP'!B18</f>
        <v xml:space="preserve">Gabus </v>
      </c>
      <c r="C12" s="185">
        <f t="shared" si="2"/>
        <v>216504</v>
      </c>
      <c r="D12" s="185">
        <f t="shared" si="3"/>
        <v>9522809</v>
      </c>
      <c r="E12" s="185">
        <f>SUM('P NP BLN'!E10,'P NP BLN'!G10,'P NP BLN'!I10)</f>
        <v>36417</v>
      </c>
      <c r="F12" s="185">
        <f>SUM('P NP BLN'!F10,'P NP BLN'!H10,'P NP BLN'!J10)</f>
        <v>1480660</v>
      </c>
      <c r="G12" s="185">
        <f>SUM('P NP BLN'!K10,'P NP BLN'!M10,'P NP BLN'!O10)</f>
        <v>136391</v>
      </c>
      <c r="H12" s="185">
        <f>SUM('P NP BLN'!L10,'P NP BLN'!N10,'P NP BLN'!P10)</f>
        <v>6443109</v>
      </c>
      <c r="I12" s="185">
        <f>SUM('P NP BLN'!Q10,'P NP BLN'!S10,'P NP BLN'!U10)</f>
        <v>21121</v>
      </c>
      <c r="J12" s="185">
        <f>SUM('P NP BLN'!R10,'P NP BLN'!T10,'P NP BLN'!V10)</f>
        <v>782795</v>
      </c>
      <c r="K12" s="592">
        <f>SUM('P NP BLN'!W10,'P NP BLN'!Y10,'P NP BLN'!AA10)</f>
        <v>22575</v>
      </c>
      <c r="L12" s="596">
        <f>SUM('P NP BLN'!X10,'P NP BLN'!Z10,'P NP BLN'!AB10)</f>
        <v>816245</v>
      </c>
      <c r="M12" s="808">
        <f t="shared" si="4"/>
        <v>216504</v>
      </c>
      <c r="N12" s="809">
        <f t="shared" si="5"/>
        <v>9522809</v>
      </c>
    </row>
    <row r="13" spans="1:14" ht="15.5">
      <c r="A13" s="74">
        <v>6</v>
      </c>
      <c r="B13" s="116" t="str">
        <f>'P &amp; NP'!B19</f>
        <v xml:space="preserve">Gracilaria verrucosa </v>
      </c>
      <c r="C13" s="185">
        <f t="shared" si="2"/>
        <v>23010701.938114379</v>
      </c>
      <c r="D13" s="185">
        <f t="shared" si="3"/>
        <v>51804029.592139453</v>
      </c>
      <c r="E13" s="185">
        <f>SUM('P NP BLN'!E11,'P NP BLN'!G11,'P NP BLN'!I11)</f>
        <v>2432750.3873908999</v>
      </c>
      <c r="F13" s="185">
        <f>SUM('P NP BLN'!F11,'P NP BLN'!H11,'P NP BLN'!J11)</f>
        <v>5470300.4947817996</v>
      </c>
      <c r="G13" s="185">
        <f>SUM('P NP BLN'!K11,'P NP BLN'!M11,'P NP BLN'!O11)</f>
        <v>5729280.1802711301</v>
      </c>
      <c r="H13" s="185">
        <f>SUM('P NP BLN'!L11,'P NP BLN'!N11,'P NP BLN'!P11)</f>
        <v>13496526.36162678</v>
      </c>
      <c r="I13" s="185">
        <f>SUM('P NP BLN'!Q11,'P NP BLN'!S11,'P NP BLN'!U11)</f>
        <v>8653710.06125235</v>
      </c>
      <c r="J13" s="185">
        <f>SUM('P NP BLN'!R11,'P NP BLN'!T11,'P NP BLN'!V11)</f>
        <v>18746848.078130875</v>
      </c>
      <c r="K13" s="592">
        <f>SUM('P NP BLN'!W11,'P NP BLN'!Y11,'P NP BLN'!AA11)</f>
        <v>6194961.3092000009</v>
      </c>
      <c r="L13" s="596">
        <f>SUM('P NP BLN'!X11,'P NP BLN'!Z11,'P NP BLN'!AB11)</f>
        <v>14090354.657600001</v>
      </c>
      <c r="M13" s="808">
        <f t="shared" si="4"/>
        <v>23010701.938114379</v>
      </c>
      <c r="N13" s="809">
        <f t="shared" si="5"/>
        <v>51804029.592139453</v>
      </c>
    </row>
    <row r="14" spans="1:14" ht="15.5">
      <c r="A14" s="74">
        <v>7</v>
      </c>
      <c r="B14" s="116" t="str">
        <f>'P &amp; NP'!B20</f>
        <v xml:space="preserve">Gurame, Gurami </v>
      </c>
      <c r="C14" s="185">
        <f t="shared" si="2"/>
        <v>39288355.986463726</v>
      </c>
      <c r="D14" s="185">
        <f t="shared" si="3"/>
        <v>1073271737.622541</v>
      </c>
      <c r="E14" s="185">
        <f>SUM('P NP BLN'!E12,'P NP BLN'!G12,'P NP BLN'!I12)</f>
        <v>9374026.1099999994</v>
      </c>
      <c r="F14" s="185">
        <f>SUM('P NP BLN'!F12,'P NP BLN'!H12,'P NP BLN'!J12)</f>
        <v>243960270.73635864</v>
      </c>
      <c r="G14" s="185">
        <f>SUM('P NP BLN'!K12,'P NP BLN'!M12,'P NP BLN'!O12)</f>
        <v>10274768.155002801</v>
      </c>
      <c r="H14" s="185">
        <f>SUM('P NP BLN'!L12,'P NP BLN'!N12,'P NP BLN'!P12)</f>
        <v>296162206.79507005</v>
      </c>
      <c r="I14" s="185">
        <f>SUM('P NP BLN'!Q12,'P NP BLN'!S12,'P NP BLN'!U12)</f>
        <v>9507704.7599999998</v>
      </c>
      <c r="J14" s="185">
        <f>SUM('P NP BLN'!R12,'P NP BLN'!T12,'P NP BLN'!V12)</f>
        <v>247775594</v>
      </c>
      <c r="K14" s="592">
        <f>SUM('P NP BLN'!W12,'P NP BLN'!Y12,'P NP BLN'!AA12)</f>
        <v>10131856.961460926</v>
      </c>
      <c r="L14" s="596">
        <f>SUM('P NP BLN'!X12,'P NP BLN'!Z12,'P NP BLN'!AB12)</f>
        <v>285373666.09111226</v>
      </c>
      <c r="M14" s="808">
        <f t="shared" si="4"/>
        <v>39288355.986463726</v>
      </c>
      <c r="N14" s="809">
        <f t="shared" si="5"/>
        <v>1073271737.622541</v>
      </c>
    </row>
    <row r="15" spans="1:14" ht="15.5">
      <c r="A15" s="74">
        <v>8</v>
      </c>
      <c r="B15" s="116" t="str">
        <f>'P &amp; NP'!B21</f>
        <v>Kakap Putih</v>
      </c>
      <c r="C15" s="185">
        <f t="shared" si="2"/>
        <v>1817003.0758633553</v>
      </c>
      <c r="D15" s="185">
        <f t="shared" si="3"/>
        <v>110974737.86546618</v>
      </c>
      <c r="E15" s="185">
        <f>SUM('P NP BLN'!E13,'P NP BLN'!G13,'P NP BLN'!I13)</f>
        <v>629413.14380237286</v>
      </c>
      <c r="F15" s="185">
        <f>SUM('P NP BLN'!F13,'P NP BLN'!H13,'P NP BLN'!J13)</f>
        <v>39817528.014071189</v>
      </c>
      <c r="G15" s="185">
        <f>SUM('P NP BLN'!K13,'P NP BLN'!M13,'P NP BLN'!O13)</f>
        <v>345669.07864292531</v>
      </c>
      <c r="H15" s="185">
        <f>SUM('P NP BLN'!L13,'P NP BLN'!N13,'P NP BLN'!P13)</f>
        <v>21529367.059287757</v>
      </c>
      <c r="I15" s="185">
        <f>SUM('P NP BLN'!Q13,'P NP BLN'!S13,'P NP BLN'!U13)</f>
        <v>262528.00220593147</v>
      </c>
      <c r="J15" s="185">
        <f>SUM('P NP BLN'!R13,'P NP BLN'!T13,'P NP BLN'!V13)</f>
        <v>15696130.077207603</v>
      </c>
      <c r="K15" s="592">
        <f>SUM('P NP BLN'!W13,'P NP BLN'!Y13,'P NP BLN'!AA13)</f>
        <v>579392.85121212574</v>
      </c>
      <c r="L15" s="596">
        <f>SUM('P NP BLN'!X13,'P NP BLN'!Z13,'P NP BLN'!AB13)</f>
        <v>33931712.714899622</v>
      </c>
      <c r="M15" s="808">
        <f t="shared" si="4"/>
        <v>1817003.0758633553</v>
      </c>
      <c r="N15" s="809">
        <f t="shared" si="5"/>
        <v>110974737.86546618</v>
      </c>
    </row>
    <row r="16" spans="1:14" ht="15.5">
      <c r="A16" s="74">
        <v>9</v>
      </c>
      <c r="B16" s="116" t="str">
        <f>'P &amp; NP'!B22</f>
        <v>Kepiting  Bakau</v>
      </c>
      <c r="C16" s="185">
        <f t="shared" si="2"/>
        <v>721293.96853126399</v>
      </c>
      <c r="D16" s="185">
        <f t="shared" si="3"/>
        <v>37889402.250673778</v>
      </c>
      <c r="E16" s="185">
        <f>SUM('P NP BLN'!E14,'P NP BLN'!G14,'P NP BLN'!I14)</f>
        <v>186220.10199638491</v>
      </c>
      <c r="F16" s="185">
        <f>SUM('P NP BLN'!F14,'P NP BLN'!H14,'P NP BLN'!J14)</f>
        <v>9731202.119783096</v>
      </c>
      <c r="G16" s="185">
        <f>SUM('P NP BLN'!K14,'P NP BLN'!M14,'P NP BLN'!O14)</f>
        <v>170016.1856</v>
      </c>
      <c r="H16" s="185">
        <f>SUM('P NP BLN'!L14,'P NP BLN'!N14,'P NP BLN'!P14)</f>
        <v>10459667.84</v>
      </c>
      <c r="I16" s="185">
        <f>SUM('P NP BLN'!Q14,'P NP BLN'!S14,'P NP BLN'!U14)</f>
        <v>198768.24758630138</v>
      </c>
      <c r="J16" s="185">
        <f>SUM('P NP BLN'!R14,'P NP BLN'!T14,'P NP BLN'!V14)</f>
        <v>8899317.6655205488</v>
      </c>
      <c r="K16" s="592">
        <f>SUM('P NP BLN'!W14,'P NP BLN'!Y14,'P NP BLN'!AA14)</f>
        <v>166289.43334857764</v>
      </c>
      <c r="L16" s="596">
        <f>SUM('P NP BLN'!X14,'P NP BLN'!Z14,'P NP BLN'!AB14)</f>
        <v>8799214.6253701337</v>
      </c>
      <c r="M16" s="808">
        <f t="shared" si="4"/>
        <v>721293.96853126399</v>
      </c>
      <c r="N16" s="809">
        <f t="shared" si="5"/>
        <v>37889402.250673778</v>
      </c>
    </row>
    <row r="17" spans="1:14" ht="15.5">
      <c r="A17" s="74">
        <v>10</v>
      </c>
      <c r="B17" s="116" t="str">
        <f>'P &amp; NP'!B23</f>
        <v xml:space="preserve">Kerang Hijau </v>
      </c>
      <c r="C17" s="185">
        <f t="shared" si="2"/>
        <v>13740678.926078347</v>
      </c>
      <c r="D17" s="185">
        <f t="shared" si="3"/>
        <v>53413466.486336268</v>
      </c>
      <c r="E17" s="185">
        <f>SUM('P NP BLN'!E15,'P NP BLN'!G15,'P NP BLN'!I15)</f>
        <v>1178368</v>
      </c>
      <c r="F17" s="185">
        <f>SUM('P NP BLN'!F15,'P NP BLN'!H15,'P NP BLN'!J15)</f>
        <v>4868226</v>
      </c>
      <c r="G17" s="185">
        <f>SUM('P NP BLN'!K15,'P NP BLN'!M15,'P NP BLN'!O15)</f>
        <v>1407506.6906785597</v>
      </c>
      <c r="H17" s="185">
        <f>SUM('P NP BLN'!L15,'P NP BLN'!N15,'P NP BLN'!P15)</f>
        <v>7037534.453392799</v>
      </c>
      <c r="I17" s="185">
        <f>SUM('P NP BLN'!Q15,'P NP BLN'!S15,'P NP BLN'!U15)</f>
        <v>4684302</v>
      </c>
      <c r="J17" s="185">
        <f>SUM('P NP BLN'!R15,'P NP BLN'!T15,'P NP BLN'!V15)</f>
        <v>18737206.061000001</v>
      </c>
      <c r="K17" s="592">
        <f>SUM('P NP BLN'!W15,'P NP BLN'!Y15,'P NP BLN'!AA15)</f>
        <v>6470502.2353997882</v>
      </c>
      <c r="L17" s="596">
        <f>SUM('P NP BLN'!X15,'P NP BLN'!Z15,'P NP BLN'!AB15)</f>
        <v>22770499.971943468</v>
      </c>
      <c r="M17" s="808">
        <f t="shared" si="4"/>
        <v>13740678.926078347</v>
      </c>
      <c r="N17" s="809">
        <f t="shared" si="5"/>
        <v>53413466.486336268</v>
      </c>
    </row>
    <row r="18" spans="1:14" ht="15.5">
      <c r="A18" s="74">
        <v>11</v>
      </c>
      <c r="B18" s="116" t="str">
        <f>'P &amp; NP'!B24</f>
        <v>Kerapu Cantang</v>
      </c>
      <c r="C18" s="185">
        <f t="shared" si="2"/>
        <v>1634206.1465787925</v>
      </c>
      <c r="D18" s="185">
        <f t="shared" si="3"/>
        <v>147034874.74082008</v>
      </c>
      <c r="E18" s="185">
        <f>SUM('P NP BLN'!E16,'P NP BLN'!G16,'P NP BLN'!I16)</f>
        <v>198249.00969873084</v>
      </c>
      <c r="F18" s="185">
        <f>SUM('P NP BLN'!F16,'P NP BLN'!H16,'P NP BLN'!J16)</f>
        <v>16362349.066860389</v>
      </c>
      <c r="G18" s="185">
        <f>SUM('P NP BLN'!K16,'P NP BLN'!M16,'P NP BLN'!O16)</f>
        <v>283340.33517219499</v>
      </c>
      <c r="H18" s="185">
        <f>SUM('P NP BLN'!L16,'P NP BLN'!N16,'P NP BLN'!P16)</f>
        <v>29258330.424107298</v>
      </c>
      <c r="I18" s="185">
        <f>SUM('P NP BLN'!Q16,'P NP BLN'!S16,'P NP BLN'!U16)</f>
        <v>578790.21068954538</v>
      </c>
      <c r="J18" s="185">
        <f>SUM('P NP BLN'!R16,'P NP BLN'!T16,'P NP BLN'!V16)</f>
        <v>48278691.282745451</v>
      </c>
      <c r="K18" s="592">
        <f>SUM('P NP BLN'!W16,'P NP BLN'!Y16,'P NP BLN'!AA16)</f>
        <v>573826.59101832123</v>
      </c>
      <c r="L18" s="596">
        <f>SUM('P NP BLN'!X16,'P NP BLN'!Z16,'P NP BLN'!AB16)</f>
        <v>53135503.967106938</v>
      </c>
      <c r="M18" s="808">
        <f t="shared" si="4"/>
        <v>1634206.1465787925</v>
      </c>
      <c r="N18" s="809">
        <f t="shared" si="5"/>
        <v>147034874.74082008</v>
      </c>
    </row>
    <row r="19" spans="1:14" ht="15.5">
      <c r="A19" s="74">
        <v>12</v>
      </c>
      <c r="B19" s="116" t="str">
        <f>'P &amp; NP'!B25</f>
        <v>Kerapu Macan</v>
      </c>
      <c r="C19" s="185">
        <f t="shared" si="2"/>
        <v>1346985.9829788271</v>
      </c>
      <c r="D19" s="185">
        <f t="shared" si="3"/>
        <v>187191175.873</v>
      </c>
      <c r="E19" s="185">
        <f>SUM('P NP BLN'!E17,'P NP BLN'!G17,'P NP BLN'!I17)</f>
        <v>519338</v>
      </c>
      <c r="F19" s="185">
        <f>SUM('P NP BLN'!F17,'P NP BLN'!H17,'P NP BLN'!J17)</f>
        <v>55813825</v>
      </c>
      <c r="G19" s="185">
        <f>SUM('P NP BLN'!K17,'P NP BLN'!M17,'P NP BLN'!O17)</f>
        <v>647277</v>
      </c>
      <c r="H19" s="185">
        <f>SUM('P NP BLN'!L17,'P NP BLN'!N17,'P NP BLN'!P17)</f>
        <v>73804685</v>
      </c>
      <c r="I19" s="185">
        <f>SUM('P NP BLN'!Q17,'P NP BLN'!S17,'P NP BLN'!U17)</f>
        <v>87482</v>
      </c>
      <c r="J19" s="185">
        <f>SUM('P NP BLN'!R17,'P NP BLN'!T17,'P NP BLN'!V17)</f>
        <v>40100800</v>
      </c>
      <c r="K19" s="592">
        <f>SUM('P NP BLN'!W17,'P NP BLN'!Y17,'P NP BLN'!AA17)</f>
        <v>92888.982978827145</v>
      </c>
      <c r="L19" s="596">
        <f>SUM('P NP BLN'!X17,'P NP BLN'!Z17,'P NP BLN'!AB17)</f>
        <v>17471865.873</v>
      </c>
      <c r="M19" s="808">
        <f t="shared" si="4"/>
        <v>1346985.9829788271</v>
      </c>
      <c r="N19" s="809">
        <f t="shared" si="5"/>
        <v>187191175.873</v>
      </c>
    </row>
    <row r="20" spans="1:14" ht="15.5">
      <c r="A20" s="74">
        <v>13</v>
      </c>
      <c r="B20" s="116" t="str">
        <f>'P &amp; NP'!B26</f>
        <v>Kerong Kerong</v>
      </c>
      <c r="C20" s="185">
        <f t="shared" si="2"/>
        <v>535465</v>
      </c>
      <c r="D20" s="185">
        <f t="shared" si="3"/>
        <v>10693740</v>
      </c>
      <c r="E20" s="185">
        <f>SUM('P NP BLN'!E18,'P NP BLN'!G18,'P NP BLN'!I18)</f>
        <v>0</v>
      </c>
      <c r="F20" s="185">
        <f>SUM('P NP BLN'!F18,'P NP BLN'!H18,'P NP BLN'!J18)</f>
        <v>0</v>
      </c>
      <c r="G20" s="185">
        <f>SUM('P NP BLN'!K18,'P NP BLN'!M18,'P NP BLN'!O18)</f>
        <v>535465</v>
      </c>
      <c r="H20" s="185">
        <f>SUM('P NP BLN'!L18,'P NP BLN'!N18,'P NP BLN'!P18)</f>
        <v>10693740</v>
      </c>
      <c r="I20" s="185">
        <f>SUM('P NP BLN'!Q18,'P NP BLN'!S18,'P NP BLN'!U18)</f>
        <v>0</v>
      </c>
      <c r="J20" s="185">
        <f>SUM('P NP BLN'!R18,'P NP BLN'!T18,'P NP BLN'!V18)</f>
        <v>0</v>
      </c>
      <c r="K20" s="592">
        <f>SUM('P NP BLN'!W18,'P NP BLN'!Y18,'P NP BLN'!AA18)</f>
        <v>0</v>
      </c>
      <c r="L20" s="596">
        <f>SUM('P NP BLN'!X18,'P NP BLN'!Z18,'P NP BLN'!AB18)</f>
        <v>0</v>
      </c>
      <c r="M20" s="808">
        <f t="shared" si="4"/>
        <v>535465</v>
      </c>
      <c r="N20" s="809">
        <f t="shared" si="5"/>
        <v>10693740</v>
      </c>
    </row>
    <row r="21" spans="1:14" ht="15.5">
      <c r="A21" s="74">
        <v>14</v>
      </c>
      <c r="B21" s="116" t="str">
        <f>'P &amp; NP'!B27</f>
        <v xml:space="preserve">Lele </v>
      </c>
      <c r="C21" s="185">
        <f t="shared" si="2"/>
        <v>165954786.60557091</v>
      </c>
      <c r="D21" s="185">
        <f t="shared" si="3"/>
        <v>2964529979.2117858</v>
      </c>
      <c r="E21" s="185">
        <f>SUM('P NP BLN'!E19,'P NP BLN'!G19,'P NP BLN'!I19)</f>
        <v>43996878.030000001</v>
      </c>
      <c r="F21" s="185">
        <f>SUM('P NP BLN'!F19,'P NP BLN'!H19,'P NP BLN'!J19)</f>
        <v>797337521.8953886</v>
      </c>
      <c r="G21" s="185">
        <f>SUM('P NP BLN'!K19,'P NP BLN'!M19,'P NP BLN'!O19)</f>
        <v>39976780.245950118</v>
      </c>
      <c r="H21" s="185">
        <f>SUM('P NP BLN'!L19,'P NP BLN'!N19,'P NP BLN'!P19)</f>
        <v>717413261.61936605</v>
      </c>
      <c r="I21" s="185">
        <f>SUM('P NP BLN'!Q19,'P NP BLN'!S19,'P NP BLN'!U19)</f>
        <v>40667071.210000001</v>
      </c>
      <c r="J21" s="185">
        <f>SUM('P NP BLN'!R19,'P NP BLN'!T19,'P NP BLN'!V19)</f>
        <v>706044789.70099998</v>
      </c>
      <c r="K21" s="592">
        <f>SUM('P NP BLN'!W19,'P NP BLN'!Y19,'P NP BLN'!AA19)</f>
        <v>41314057.119620785</v>
      </c>
      <c r="L21" s="596">
        <f>SUM('P NP BLN'!X19,'P NP BLN'!Z19,'P NP BLN'!AB19)</f>
        <v>743734405.99603117</v>
      </c>
      <c r="M21" s="808">
        <f t="shared" si="4"/>
        <v>165954786.60557091</v>
      </c>
      <c r="N21" s="809">
        <f t="shared" si="5"/>
        <v>2964529979.2117858</v>
      </c>
    </row>
    <row r="22" spans="1:14" ht="15.5">
      <c r="A22" s="74">
        <v>15</v>
      </c>
      <c r="B22" s="116" t="str">
        <f>'P &amp; NP'!B28</f>
        <v xml:space="preserve">Lobster Air Laut </v>
      </c>
      <c r="C22" s="185">
        <f t="shared" si="2"/>
        <v>12733</v>
      </c>
      <c r="D22" s="185">
        <f t="shared" si="3"/>
        <v>4328440</v>
      </c>
      <c r="E22" s="185">
        <f>SUM('P NP BLN'!E20,'P NP BLN'!G20,'P NP BLN'!I20)</f>
        <v>3735</v>
      </c>
      <c r="F22" s="185">
        <f>SUM('P NP BLN'!F20,'P NP BLN'!H20,'P NP BLN'!J20)</f>
        <v>1281000</v>
      </c>
      <c r="G22" s="185">
        <f>SUM('P NP BLN'!K20,'P NP BLN'!M20,'P NP BLN'!O20)</f>
        <v>3290</v>
      </c>
      <c r="H22" s="185">
        <f>SUM('P NP BLN'!L20,'P NP BLN'!N20,'P NP BLN'!P20)</f>
        <v>1151500</v>
      </c>
      <c r="I22" s="185">
        <f>SUM('P NP BLN'!Q20,'P NP BLN'!S20,'P NP BLN'!U20)</f>
        <v>2588</v>
      </c>
      <c r="J22" s="185">
        <f>SUM('P NP BLN'!R20,'P NP BLN'!T20,'P NP BLN'!V20)</f>
        <v>803940</v>
      </c>
      <c r="K22" s="592">
        <f>SUM('P NP BLN'!W20,'P NP BLN'!Y20,'P NP BLN'!AA20)</f>
        <v>3120</v>
      </c>
      <c r="L22" s="596">
        <f>SUM('P NP BLN'!X20,'P NP BLN'!Z20,'P NP BLN'!AB20)</f>
        <v>1092000</v>
      </c>
      <c r="M22" s="808">
        <f t="shared" si="4"/>
        <v>12733</v>
      </c>
      <c r="N22" s="809">
        <f t="shared" si="5"/>
        <v>4328440</v>
      </c>
    </row>
    <row r="23" spans="1:14" ht="15.5">
      <c r="A23" s="74">
        <v>16</v>
      </c>
      <c r="B23" s="116" t="str">
        <f>'P &amp; NP'!B29</f>
        <v xml:space="preserve">Lobster Air Tawar, Cherax </v>
      </c>
      <c r="C23" s="185">
        <f t="shared" si="2"/>
        <v>2650</v>
      </c>
      <c r="D23" s="185">
        <f t="shared" si="3"/>
        <v>284500</v>
      </c>
      <c r="E23" s="185">
        <f>SUM('P NP BLN'!E21,'P NP BLN'!G21,'P NP BLN'!I21)</f>
        <v>700</v>
      </c>
      <c r="F23" s="185">
        <f>SUM('P NP BLN'!F21,'P NP BLN'!H21,'P NP BLN'!J21)</f>
        <v>73500</v>
      </c>
      <c r="G23" s="185">
        <f>SUM('P NP BLN'!K21,'P NP BLN'!M21,'P NP BLN'!O21)</f>
        <v>700</v>
      </c>
      <c r="H23" s="185">
        <f>SUM('P NP BLN'!L21,'P NP BLN'!N21,'P NP BLN'!P21)</f>
        <v>73500</v>
      </c>
      <c r="I23" s="185">
        <f>SUM('P NP BLN'!Q21,'P NP BLN'!S21,'P NP BLN'!U21)</f>
        <v>450</v>
      </c>
      <c r="J23" s="185">
        <f>SUM('P NP BLN'!R21,'P NP BLN'!T21,'P NP BLN'!V21)</f>
        <v>49500</v>
      </c>
      <c r="K23" s="592">
        <f>SUM('P NP BLN'!W21,'P NP BLN'!Y21,'P NP BLN'!AA21)</f>
        <v>800</v>
      </c>
      <c r="L23" s="596">
        <f>SUM('P NP BLN'!X21,'P NP BLN'!Z21,'P NP BLN'!AB21)</f>
        <v>88000</v>
      </c>
      <c r="M23" s="808">
        <f t="shared" si="4"/>
        <v>2650</v>
      </c>
      <c r="N23" s="809">
        <f t="shared" si="5"/>
        <v>284500</v>
      </c>
    </row>
    <row r="24" spans="1:14" ht="15.5">
      <c r="A24" s="74">
        <v>17</v>
      </c>
      <c r="B24" s="116" t="str">
        <f>'P &amp; NP'!B30</f>
        <v xml:space="preserve">Mas, Ikan Mas, Karper </v>
      </c>
      <c r="C24" s="185">
        <f t="shared" si="2"/>
        <v>9215813.6226296294</v>
      </c>
      <c r="D24" s="185">
        <f t="shared" si="3"/>
        <v>151428904.21178997</v>
      </c>
      <c r="E24" s="185">
        <f>SUM('P NP BLN'!E22,'P NP BLN'!G22,'P NP BLN'!I22)</f>
        <v>2412485</v>
      </c>
      <c r="F24" s="185">
        <f>SUM('P NP BLN'!F22,'P NP BLN'!H22,'P NP BLN'!J22)</f>
        <v>43299313.102260351</v>
      </c>
      <c r="G24" s="185">
        <f>SUM('P NP BLN'!K22,'P NP BLN'!M22,'P NP BLN'!O22)</f>
        <v>3243321.58056123</v>
      </c>
      <c r="H24" s="185">
        <f>SUM('P NP BLN'!L22,'P NP BLN'!N22,'P NP BLN'!P22)</f>
        <v>47625497.230117574</v>
      </c>
      <c r="I24" s="185">
        <f>SUM('P NP BLN'!Q22,'P NP BLN'!S22,'P NP BLN'!U22)</f>
        <v>1322026</v>
      </c>
      <c r="J24" s="185">
        <f>SUM('P NP BLN'!R22,'P NP BLN'!T22,'P NP BLN'!V22)</f>
        <v>21387412.916159347</v>
      </c>
      <c r="K24" s="592">
        <f>SUM('P NP BLN'!W22,'P NP BLN'!Y22,'P NP BLN'!AA22)</f>
        <v>2237981.0420683995</v>
      </c>
      <c r="L24" s="596">
        <f>SUM('P NP BLN'!X22,'P NP BLN'!Z22,'P NP BLN'!AB22)</f>
        <v>39116680.963252701</v>
      </c>
      <c r="M24" s="808">
        <f t="shared" si="4"/>
        <v>9215813.6226296294</v>
      </c>
      <c r="N24" s="809">
        <f t="shared" si="5"/>
        <v>151428904.21178997</v>
      </c>
    </row>
    <row r="25" spans="1:14" ht="15.5">
      <c r="A25" s="74">
        <v>18</v>
      </c>
      <c r="B25" s="116" t="str">
        <f>'P &amp; NP'!B31</f>
        <v xml:space="preserve">Mujair </v>
      </c>
      <c r="C25" s="185">
        <f t="shared" si="2"/>
        <v>17155072.017191786</v>
      </c>
      <c r="D25" s="185">
        <f t="shared" si="3"/>
        <v>188245698.00222343</v>
      </c>
      <c r="E25" s="185">
        <f>SUM('P NP BLN'!E23,'P NP BLN'!G23,'P NP BLN'!I23)</f>
        <v>4993978.247333793</v>
      </c>
      <c r="F25" s="185">
        <f>SUM('P NP BLN'!F23,'P NP BLN'!H23,'P NP BLN'!J23)</f>
        <v>54686227.117037073</v>
      </c>
      <c r="G25" s="185">
        <f>SUM('P NP BLN'!K23,'P NP BLN'!M23,'P NP BLN'!O23)</f>
        <v>4708269.0813704841</v>
      </c>
      <c r="H25" s="185">
        <f>SUM('P NP BLN'!L23,'P NP BLN'!N23,'P NP BLN'!P23)</f>
        <v>51461659.673018269</v>
      </c>
      <c r="I25" s="185">
        <f>SUM('P NP BLN'!Q23,'P NP BLN'!S23,'P NP BLN'!U23)</f>
        <v>3294317.1254365472</v>
      </c>
      <c r="J25" s="185">
        <f>SUM('P NP BLN'!R23,'P NP BLN'!T23,'P NP BLN'!V23)</f>
        <v>38763224.12892893</v>
      </c>
      <c r="K25" s="592">
        <f>SUM('P NP BLN'!W23,'P NP BLN'!Y23,'P NP BLN'!AA23)</f>
        <v>4158507.5630509635</v>
      </c>
      <c r="L25" s="596">
        <f>SUM('P NP BLN'!X23,'P NP BLN'!Z23,'P NP BLN'!AB23)</f>
        <v>43334587.083239153</v>
      </c>
      <c r="M25" s="808">
        <f t="shared" si="4"/>
        <v>17155072.017191786</v>
      </c>
      <c r="N25" s="809">
        <f t="shared" si="5"/>
        <v>188245698.00222343</v>
      </c>
    </row>
    <row r="26" spans="1:14" ht="15.5">
      <c r="A26" s="74">
        <v>19</v>
      </c>
      <c r="B26" s="116" t="str">
        <f>'P &amp; NP'!B32</f>
        <v xml:space="preserve">Nila </v>
      </c>
      <c r="C26" s="185">
        <f t="shared" si="2"/>
        <v>57138275.387842469</v>
      </c>
      <c r="D26" s="185">
        <f t="shared" si="3"/>
        <v>1124816471.5551541</v>
      </c>
      <c r="E26" s="185">
        <f>SUM('P NP BLN'!E24,'P NP BLN'!G24,'P NP BLN'!I24)</f>
        <v>15176375.177278351</v>
      </c>
      <c r="F26" s="185">
        <f>SUM('P NP BLN'!F24,'P NP BLN'!H24,'P NP BLN'!J24)</f>
        <v>325210957.12561488</v>
      </c>
      <c r="G26" s="185">
        <f>SUM('P NP BLN'!K24,'P NP BLN'!M24,'P NP BLN'!O24)</f>
        <v>19633610.075857103</v>
      </c>
      <c r="H26" s="185">
        <f>SUM('P NP BLN'!L24,'P NP BLN'!N24,'P NP BLN'!P24)</f>
        <v>353672694.07200313</v>
      </c>
      <c r="I26" s="185">
        <f>SUM('P NP BLN'!Q24,'P NP BLN'!S24,'P NP BLN'!U24)</f>
        <v>10557053.909597199</v>
      </c>
      <c r="J26" s="185">
        <f>SUM('P NP BLN'!R24,'P NP BLN'!T24,'P NP BLN'!V24)</f>
        <v>207644616.94746798</v>
      </c>
      <c r="K26" s="592">
        <f>SUM('P NP BLN'!W24,'P NP BLN'!Y24,'P NP BLN'!AA24)</f>
        <v>11771236.225109808</v>
      </c>
      <c r="L26" s="596">
        <f>SUM('P NP BLN'!X24,'P NP BLN'!Z24,'P NP BLN'!AB24)</f>
        <v>238288203.41006801</v>
      </c>
      <c r="M26" s="808">
        <f t="shared" si="4"/>
        <v>57138275.387842469</v>
      </c>
      <c r="N26" s="809">
        <f t="shared" si="5"/>
        <v>1124816471.5551541</v>
      </c>
    </row>
    <row r="27" spans="1:14" ht="15.5">
      <c r="A27" s="74">
        <v>20</v>
      </c>
      <c r="B27" s="116" t="str">
        <f>'P &amp; NP'!B33</f>
        <v xml:space="preserve">Patin </v>
      </c>
      <c r="C27" s="185">
        <f t="shared" si="2"/>
        <v>29693529.598126553</v>
      </c>
      <c r="D27" s="185">
        <f t="shared" si="3"/>
        <v>530188580.49985027</v>
      </c>
      <c r="E27" s="185">
        <f>SUM('P NP BLN'!E25,'P NP BLN'!G25,'P NP BLN'!I25)</f>
        <v>6515248.4399999995</v>
      </c>
      <c r="F27" s="185">
        <f>SUM('P NP BLN'!F25,'P NP BLN'!H25,'P NP BLN'!J25)</f>
        <v>104238365.91061798</v>
      </c>
      <c r="G27" s="185">
        <f>SUM('P NP BLN'!K25,'P NP BLN'!M25,'P NP BLN'!O25)</f>
        <v>7811610.5624428755</v>
      </c>
      <c r="H27" s="185">
        <f>SUM('P NP BLN'!L25,'P NP BLN'!N25,'P NP BLN'!P25)</f>
        <v>125742226.0498575</v>
      </c>
      <c r="I27" s="185">
        <f>SUM('P NP BLN'!Q25,'P NP BLN'!S25,'P NP BLN'!U25)</f>
        <v>7457226.8199999994</v>
      </c>
      <c r="J27" s="185">
        <f>SUM('P NP BLN'!R25,'P NP BLN'!T25,'P NP BLN'!V25)</f>
        <v>124892220</v>
      </c>
      <c r="K27" s="592">
        <f>SUM('P NP BLN'!W25,'P NP BLN'!Y25,'P NP BLN'!AA25)</f>
        <v>7909443.7756836768</v>
      </c>
      <c r="L27" s="596">
        <f>SUM('P NP BLN'!X25,'P NP BLN'!Z25,'P NP BLN'!AB25)</f>
        <v>175315768.53937483</v>
      </c>
      <c r="M27" s="808">
        <f t="shared" si="4"/>
        <v>29693529.598126553</v>
      </c>
      <c r="N27" s="809">
        <f t="shared" si="5"/>
        <v>530188580.49985027</v>
      </c>
    </row>
    <row r="28" spans="1:14" ht="15.5">
      <c r="A28" s="74">
        <v>21</v>
      </c>
      <c r="B28" s="116" t="str">
        <f>'P &amp; NP'!B34</f>
        <v xml:space="preserve">Rajungan </v>
      </c>
      <c r="C28" s="185">
        <f t="shared" si="2"/>
        <v>0</v>
      </c>
      <c r="D28" s="185">
        <f t="shared" si="3"/>
        <v>0</v>
      </c>
      <c r="E28" s="185">
        <f>SUM('P NP BLN'!E26,'P NP BLN'!G26,'P NP BLN'!I26)</f>
        <v>0</v>
      </c>
      <c r="F28" s="185">
        <f>SUM('P NP BLN'!F26,'P NP BLN'!H26,'P NP BLN'!J26)</f>
        <v>0</v>
      </c>
      <c r="G28" s="185">
        <f>SUM('P NP BLN'!K26,'P NP BLN'!M26,'P NP BLN'!O26)</f>
        <v>0</v>
      </c>
      <c r="H28" s="185">
        <f>SUM('P NP BLN'!L26,'P NP BLN'!N26,'P NP BLN'!P26)</f>
        <v>0</v>
      </c>
      <c r="I28" s="185">
        <f>SUM('P NP BLN'!Q26,'P NP BLN'!S26,'P NP BLN'!U26)</f>
        <v>0</v>
      </c>
      <c r="J28" s="185">
        <f>SUM('P NP BLN'!R26,'P NP BLN'!T26,'P NP BLN'!V26)</f>
        <v>0</v>
      </c>
      <c r="K28" s="592">
        <f>SUM('P NP BLN'!W26,'P NP BLN'!Y26,'P NP BLN'!AA26)</f>
        <v>0</v>
      </c>
      <c r="L28" s="596">
        <f>SUM('P NP BLN'!X26,'P NP BLN'!Z26,'P NP BLN'!AB26)</f>
        <v>0</v>
      </c>
      <c r="M28" s="808">
        <f t="shared" si="4"/>
        <v>0</v>
      </c>
      <c r="N28" s="809">
        <f t="shared" si="5"/>
        <v>0</v>
      </c>
    </row>
    <row r="29" spans="1:14" ht="15.5">
      <c r="A29" s="74">
        <v>22</v>
      </c>
      <c r="B29" s="116" t="str">
        <f>'P &amp; NP'!B35</f>
        <v>Tawes</v>
      </c>
      <c r="C29" s="185">
        <f t="shared" si="2"/>
        <v>9034211.3146035727</v>
      </c>
      <c r="D29" s="185">
        <f t="shared" si="3"/>
        <v>124359641.15618733</v>
      </c>
      <c r="E29" s="185">
        <f>SUM('P NP BLN'!E27,'P NP BLN'!G27,'P NP BLN'!I27)</f>
        <v>2726547</v>
      </c>
      <c r="F29" s="185">
        <f>SUM('P NP BLN'!F27,'P NP BLN'!H27,'P NP BLN'!J27)</f>
        <v>37915426.141198874</v>
      </c>
      <c r="G29" s="185">
        <f>SUM('P NP BLN'!K27,'P NP BLN'!M27,'P NP BLN'!O27)</f>
        <v>3327335.945086095</v>
      </c>
      <c r="H29" s="185">
        <f>SUM('P NP BLN'!L27,'P NP BLN'!N27,'P NP BLN'!P27)</f>
        <v>46243103.286119238</v>
      </c>
      <c r="I29" s="185">
        <f>SUM('P NP BLN'!Q27,'P NP BLN'!S27,'P NP BLN'!U27)</f>
        <v>1507830</v>
      </c>
      <c r="J29" s="185">
        <f>SUM('P NP BLN'!R27,'P NP BLN'!T27,'P NP BLN'!V27)</f>
        <v>19036501</v>
      </c>
      <c r="K29" s="592">
        <f>SUM('P NP BLN'!W27,'P NP BLN'!Y27,'P NP BLN'!AA27)</f>
        <v>1472498.369517477</v>
      </c>
      <c r="L29" s="596">
        <f>SUM('P NP BLN'!X27,'P NP BLN'!Z27,'P NP BLN'!AB27)</f>
        <v>21164610.728869207</v>
      </c>
      <c r="M29" s="808">
        <f t="shared" si="4"/>
        <v>9034211.3146035727</v>
      </c>
      <c r="N29" s="809">
        <f t="shared" si="5"/>
        <v>124359641.15618733</v>
      </c>
    </row>
    <row r="30" spans="1:14" ht="15.5">
      <c r="A30" s="74">
        <v>23</v>
      </c>
      <c r="B30" s="116" t="str">
        <f>'P &amp; NP'!B36</f>
        <v>Teri</v>
      </c>
      <c r="C30" s="185">
        <f t="shared" si="2"/>
        <v>26700</v>
      </c>
      <c r="D30" s="185">
        <f t="shared" si="3"/>
        <v>80100</v>
      </c>
      <c r="E30" s="185">
        <f>SUM('P NP BLN'!E28,'P NP BLN'!G28,'P NP BLN'!I28)</f>
        <v>0</v>
      </c>
      <c r="F30" s="185">
        <f>SUM('P NP BLN'!F28,'P NP BLN'!H28,'P NP BLN'!J28)</f>
        <v>0</v>
      </c>
      <c r="G30" s="185">
        <f>SUM('P NP BLN'!K28,'P NP BLN'!M28,'P NP BLN'!O28)</f>
        <v>26700</v>
      </c>
      <c r="H30" s="185">
        <f>SUM('P NP BLN'!L28,'P NP BLN'!N28,'P NP BLN'!P28)</f>
        <v>80100</v>
      </c>
      <c r="I30" s="185">
        <f>SUM('P NP BLN'!Q28,'P NP BLN'!S28,'P NP BLN'!U28)</f>
        <v>0</v>
      </c>
      <c r="J30" s="185">
        <f>SUM('P NP BLN'!R28,'P NP BLN'!T28,'P NP BLN'!V28)</f>
        <v>0</v>
      </c>
      <c r="K30" s="592">
        <f>SUM('P NP BLN'!W28,'P NP BLN'!Y28,'P NP BLN'!AA28)</f>
        <v>0</v>
      </c>
      <c r="L30" s="596">
        <f>SUM('P NP BLN'!X28,'P NP BLN'!Z28,'P NP BLN'!AB28)</f>
        <v>0</v>
      </c>
      <c r="M30" s="808">
        <f t="shared" si="4"/>
        <v>26700</v>
      </c>
      <c r="N30" s="809">
        <f t="shared" si="5"/>
        <v>80100</v>
      </c>
    </row>
    <row r="31" spans="1:14" ht="15.5">
      <c r="A31" s="74">
        <v>24</v>
      </c>
      <c r="B31" s="116" t="str">
        <f>'P &amp; NP'!B37</f>
        <v xml:space="preserve">Udang Galah </v>
      </c>
      <c r="C31" s="185">
        <f t="shared" si="2"/>
        <v>0</v>
      </c>
      <c r="D31" s="185">
        <f t="shared" si="3"/>
        <v>0</v>
      </c>
      <c r="E31" s="185">
        <f>SUM('P NP BLN'!E29,'P NP BLN'!G29,'P NP BLN'!I29)</f>
        <v>0</v>
      </c>
      <c r="F31" s="185">
        <f>SUM('P NP BLN'!F29,'P NP BLN'!H29,'P NP BLN'!J29)</f>
        <v>0</v>
      </c>
      <c r="G31" s="185">
        <f>SUM('P NP BLN'!K29,'P NP BLN'!M29,'P NP BLN'!O29)</f>
        <v>0</v>
      </c>
      <c r="H31" s="185">
        <f>SUM('P NP BLN'!L29,'P NP BLN'!N29,'P NP BLN'!P29)</f>
        <v>0</v>
      </c>
      <c r="I31" s="185">
        <f>SUM('P NP BLN'!Q29,'P NP BLN'!S29,'P NP BLN'!U29)</f>
        <v>0</v>
      </c>
      <c r="J31" s="185">
        <f>SUM('P NP BLN'!R29,'P NP BLN'!T29,'P NP BLN'!V29)</f>
        <v>0</v>
      </c>
      <c r="K31" s="592">
        <f>SUM('P NP BLN'!W29,'P NP BLN'!Y29,'P NP BLN'!AA29)</f>
        <v>0</v>
      </c>
      <c r="L31" s="596">
        <f>SUM('P NP BLN'!X29,'P NP BLN'!Z29,'P NP BLN'!AB29)</f>
        <v>0</v>
      </c>
      <c r="M31" s="808">
        <f t="shared" si="4"/>
        <v>0</v>
      </c>
      <c r="N31" s="809">
        <f t="shared" si="5"/>
        <v>0</v>
      </c>
    </row>
    <row r="32" spans="1:14" ht="15.5">
      <c r="A32" s="74">
        <v>25</v>
      </c>
      <c r="B32" s="116" t="str">
        <f>'P &amp; NP'!B38</f>
        <v>Udang Putih</v>
      </c>
      <c r="C32" s="185">
        <f t="shared" si="2"/>
        <v>3327924.8</v>
      </c>
      <c r="D32" s="185">
        <f t="shared" si="3"/>
        <v>139269710</v>
      </c>
      <c r="E32" s="185">
        <f>SUM('P NP BLN'!E30,'P NP BLN'!G30,'P NP BLN'!I30)</f>
        <v>1175832.8</v>
      </c>
      <c r="F32" s="185">
        <f>SUM('P NP BLN'!F30,'P NP BLN'!H30,'P NP BLN'!J30)</f>
        <v>49484640</v>
      </c>
      <c r="G32" s="185">
        <f>SUM('P NP BLN'!K30,'P NP BLN'!M30,'P NP BLN'!O30)</f>
        <v>659773</v>
      </c>
      <c r="H32" s="185">
        <f>SUM('P NP BLN'!L30,'P NP BLN'!N30,'P NP BLN'!P30)</f>
        <v>27813150</v>
      </c>
      <c r="I32" s="185">
        <f>SUM('P NP BLN'!Q30,'P NP BLN'!S30,'P NP BLN'!U30)</f>
        <v>575226</v>
      </c>
      <c r="J32" s="185">
        <f>SUM('P NP BLN'!R30,'P NP BLN'!T30,'P NP BLN'!V30)</f>
        <v>24326520</v>
      </c>
      <c r="K32" s="592">
        <f>SUM('P NP BLN'!W30,'P NP BLN'!Y30,'P NP BLN'!AA30)</f>
        <v>917093</v>
      </c>
      <c r="L32" s="596">
        <f>SUM('P NP BLN'!X30,'P NP BLN'!Z30,'P NP BLN'!AB30)</f>
        <v>37645400</v>
      </c>
      <c r="M32" s="808">
        <f t="shared" si="4"/>
        <v>3327924.8</v>
      </c>
      <c r="N32" s="809">
        <f t="shared" si="5"/>
        <v>139269710</v>
      </c>
    </row>
    <row r="33" spans="1:14" ht="15.5">
      <c r="A33" s="74">
        <v>26</v>
      </c>
      <c r="B33" s="116" t="str">
        <f>'P &amp; NP'!B39</f>
        <v xml:space="preserve">Udang Vaname </v>
      </c>
      <c r="C33" s="185">
        <f t="shared" si="2"/>
        <v>116295654.49784365</v>
      </c>
      <c r="D33" s="185">
        <f t="shared" si="3"/>
        <v>6235022826.2099533</v>
      </c>
      <c r="E33" s="185">
        <f>SUM('P NP BLN'!E31,'P NP BLN'!G31,'P NP BLN'!I31)</f>
        <v>29144461.290940441</v>
      </c>
      <c r="F33" s="185">
        <f>SUM('P NP BLN'!F31,'P NP BLN'!H31,'P NP BLN'!J31)</f>
        <v>1584533677.612874</v>
      </c>
      <c r="G33" s="185">
        <f>SUM('P NP BLN'!K31,'P NP BLN'!M31,'P NP BLN'!O31)</f>
        <v>32278008.131016254</v>
      </c>
      <c r="H33" s="185">
        <f>SUM('P NP BLN'!L31,'P NP BLN'!N31,'P NP BLN'!P31)</f>
        <v>1710206949.2533031</v>
      </c>
      <c r="I33" s="185">
        <f>SUM('P NP BLN'!Q31,'P NP BLN'!S31,'P NP BLN'!U31)</f>
        <v>27644977.245249819</v>
      </c>
      <c r="J33" s="185">
        <f>SUM('P NP BLN'!R31,'P NP BLN'!T31,'P NP BLN'!V31)</f>
        <v>1520286634.2782729</v>
      </c>
      <c r="K33" s="592">
        <f>SUM('P NP BLN'!W31,'P NP BLN'!Y31,'P NP BLN'!AA31)</f>
        <v>27228207.83063715</v>
      </c>
      <c r="L33" s="596">
        <f>SUM('P NP BLN'!X31,'P NP BLN'!Z31,'P NP BLN'!AB31)</f>
        <v>1419995565.0655034</v>
      </c>
      <c r="M33" s="808">
        <f t="shared" si="4"/>
        <v>116295654.49784365</v>
      </c>
      <c r="N33" s="809">
        <f t="shared" si="5"/>
        <v>6235022826.2099533</v>
      </c>
    </row>
    <row r="34" spans="1:14" ht="15.5">
      <c r="A34" s="74">
        <v>27</v>
      </c>
      <c r="B34" s="116" t="str">
        <f>'P &amp; NP'!B40</f>
        <v xml:space="preserve">Udang Windu </v>
      </c>
      <c r="C34" s="185">
        <f t="shared" si="2"/>
        <v>7148560.5289569581</v>
      </c>
      <c r="D34" s="185">
        <f t="shared" si="3"/>
        <v>649707624.78971636</v>
      </c>
      <c r="E34" s="185">
        <f>SUM('P NP BLN'!E32,'P NP BLN'!G32,'P NP BLN'!I32)</f>
        <v>2234252.896439394</v>
      </c>
      <c r="F34" s="185">
        <f>SUM('P NP BLN'!F32,'P NP BLN'!H32,'P NP BLN'!J32)</f>
        <v>197927804.14393944</v>
      </c>
      <c r="G34" s="185">
        <f>SUM('P NP BLN'!K32,'P NP BLN'!M32,'P NP BLN'!O32)</f>
        <v>1404651.2130264924</v>
      </c>
      <c r="H34" s="185">
        <f>SUM('P NP BLN'!L32,'P NP BLN'!N32,'P NP BLN'!P32)</f>
        <v>132868362.30264924</v>
      </c>
      <c r="I34" s="185">
        <f>SUM('P NP BLN'!Q32,'P NP BLN'!S32,'P NP BLN'!U32)</f>
        <v>1863935.7881028992</v>
      </c>
      <c r="J34" s="185">
        <f>SUM('P NP BLN'!R32,'P NP BLN'!T32,'P NP BLN'!V32)</f>
        <v>175084556.81028992</v>
      </c>
      <c r="K34" s="592">
        <f>SUM('P NP BLN'!W32,'P NP BLN'!Y32,'P NP BLN'!AA32)</f>
        <v>1645720.6313881725</v>
      </c>
      <c r="L34" s="596">
        <f>SUM('P NP BLN'!X32,'P NP BLN'!Z32,'P NP BLN'!AB32)</f>
        <v>143826901.53283775</v>
      </c>
      <c r="M34" s="808">
        <f t="shared" si="4"/>
        <v>7148560.5289569581</v>
      </c>
      <c r="N34" s="809">
        <f t="shared" si="5"/>
        <v>649707624.78971636</v>
      </c>
    </row>
    <row r="35" spans="1:14" ht="15.5">
      <c r="A35" s="74">
        <v>28</v>
      </c>
      <c r="B35" s="116" t="str">
        <f>'P &amp; NP'!B41</f>
        <v xml:space="preserve">Udang_01 (Udang Api-Api) </v>
      </c>
      <c r="C35" s="185">
        <f t="shared" si="2"/>
        <v>816631</v>
      </c>
      <c r="D35" s="185">
        <f t="shared" si="3"/>
        <v>34993745</v>
      </c>
      <c r="E35" s="185">
        <f>SUM('P NP BLN'!E33,'P NP BLN'!G33,'P NP BLN'!I33)</f>
        <v>195800</v>
      </c>
      <c r="F35" s="185">
        <f>SUM('P NP BLN'!F33,'P NP BLN'!H33,'P NP BLN'!J33)</f>
        <v>8317000</v>
      </c>
      <c r="G35" s="185">
        <f>SUM('P NP BLN'!K33,'P NP BLN'!M33,'P NP BLN'!O33)</f>
        <v>294700</v>
      </c>
      <c r="H35" s="185">
        <f>SUM('P NP BLN'!L33,'P NP BLN'!N33,'P NP BLN'!P33)</f>
        <v>12495500</v>
      </c>
      <c r="I35" s="185">
        <f>SUM('P NP BLN'!Q33,'P NP BLN'!S33,'P NP BLN'!U33)</f>
        <v>167340</v>
      </c>
      <c r="J35" s="185">
        <f>SUM('P NP BLN'!R33,'P NP BLN'!T33,'P NP BLN'!V33)</f>
        <v>7349600</v>
      </c>
      <c r="K35" s="592">
        <f>SUM('P NP BLN'!W33,'P NP BLN'!Y33,'P NP BLN'!AA33)</f>
        <v>158791</v>
      </c>
      <c r="L35" s="596">
        <f>SUM('P NP BLN'!X33,'P NP BLN'!Z33,'P NP BLN'!AB33)</f>
        <v>6831645</v>
      </c>
      <c r="M35" s="808">
        <f t="shared" si="4"/>
        <v>816631</v>
      </c>
      <c r="N35" s="809">
        <f t="shared" si="5"/>
        <v>34993745</v>
      </c>
    </row>
    <row r="36" spans="1:14" ht="16" thickBot="1">
      <c r="A36" s="649">
        <v>29</v>
      </c>
      <c r="B36" s="650" t="str">
        <f>'P &amp; NP'!B50</f>
        <v>Ikan_05 (Ikan betutu)</v>
      </c>
      <c r="C36" s="651">
        <f t="shared" si="2"/>
        <v>1710001</v>
      </c>
      <c r="D36" s="651">
        <f t="shared" si="3"/>
        <v>68400040</v>
      </c>
      <c r="E36" s="651">
        <f>SUM('P NP BLN'!E34,'P NP BLN'!G34,'P NP BLN'!I34)</f>
        <v>359600</v>
      </c>
      <c r="F36" s="651">
        <f>SUM('P NP BLN'!F34,'P NP BLN'!H34,'P NP BLN'!J34)</f>
        <v>14384000</v>
      </c>
      <c r="G36" s="651">
        <f>SUM('P NP BLN'!K34,'P NP BLN'!M34,'P NP BLN'!O34)</f>
        <v>518000</v>
      </c>
      <c r="H36" s="651">
        <f>SUM('P NP BLN'!L34,'P NP BLN'!N34,'P NP BLN'!P34)</f>
        <v>20720000</v>
      </c>
      <c r="I36" s="651">
        <f>SUM('P NP BLN'!Q34,'P NP BLN'!S34,'P NP BLN'!U34)</f>
        <v>480200</v>
      </c>
      <c r="J36" s="651">
        <f>SUM('P NP BLN'!R34,'P NP BLN'!T34,'P NP BLN'!V34)</f>
        <v>19208000</v>
      </c>
      <c r="K36" s="652">
        <f>SUM('P NP BLN'!W34,'P NP BLN'!Y34,'P NP BLN'!AA34)</f>
        <v>352201</v>
      </c>
      <c r="L36" s="653">
        <f>SUM('P NP BLN'!X34,'P NP BLN'!Z34,'P NP BLN'!AB34)</f>
        <v>14088040</v>
      </c>
      <c r="M36" s="810">
        <f t="shared" si="4"/>
        <v>1710001</v>
      </c>
      <c r="N36" s="811">
        <f t="shared" si="5"/>
        <v>68400040</v>
      </c>
    </row>
    <row r="39" spans="1:14" ht="15" thickBot="1">
      <c r="A39" s="108" t="s">
        <v>502</v>
      </c>
      <c r="E39" s="116" t="e">
        <f>E2-E44</f>
        <v>#N/A</v>
      </c>
      <c r="F39" s="116" t="e">
        <f>F2-F44</f>
        <v>#REF!</v>
      </c>
    </row>
    <row r="40" spans="1:14">
      <c r="A40" s="877" t="s">
        <v>0</v>
      </c>
      <c r="B40" s="879" t="s">
        <v>168</v>
      </c>
      <c r="C40" s="881" t="s">
        <v>104</v>
      </c>
      <c r="D40" s="882"/>
      <c r="E40" s="883" t="s">
        <v>102</v>
      </c>
      <c r="F40" s="884"/>
      <c r="G40" s="885"/>
      <c r="H40" s="885"/>
      <c r="I40" s="885"/>
      <c r="J40" s="885"/>
      <c r="K40" s="885"/>
      <c r="L40" s="886"/>
    </row>
    <row r="41" spans="1:14">
      <c r="A41" s="878"/>
      <c r="B41" s="880"/>
      <c r="C41" s="887" t="s">
        <v>106</v>
      </c>
      <c r="D41" s="888"/>
      <c r="E41" s="890" t="s">
        <v>107</v>
      </c>
      <c r="F41" s="890"/>
      <c r="G41" s="890" t="s">
        <v>108</v>
      </c>
      <c r="H41" s="890"/>
      <c r="I41" s="890" t="s">
        <v>109</v>
      </c>
      <c r="J41" s="890"/>
      <c r="K41" s="890" t="s">
        <v>110</v>
      </c>
      <c r="L41" s="891"/>
      <c r="M41" s="892" t="s">
        <v>110</v>
      </c>
      <c r="N41" s="893"/>
    </row>
    <row r="42" spans="1:14">
      <c r="A42" s="878"/>
      <c r="B42" s="880"/>
      <c r="C42" s="593" t="s">
        <v>27</v>
      </c>
      <c r="D42" s="593" t="s">
        <v>28</v>
      </c>
      <c r="E42" s="593" t="s">
        <v>27</v>
      </c>
      <c r="F42" s="593" t="s">
        <v>28</v>
      </c>
      <c r="G42" s="593" t="s">
        <v>27</v>
      </c>
      <c r="H42" s="593" t="s">
        <v>28</v>
      </c>
      <c r="I42" s="593" t="s">
        <v>27</v>
      </c>
      <c r="J42" s="593" t="s">
        <v>28</v>
      </c>
      <c r="K42" s="593" t="s">
        <v>27</v>
      </c>
      <c r="L42" s="594" t="s">
        <v>28</v>
      </c>
      <c r="M42" s="799" t="s">
        <v>27</v>
      </c>
      <c r="N42" s="800" t="s">
        <v>28</v>
      </c>
    </row>
    <row r="43" spans="1:14">
      <c r="A43" s="878"/>
      <c r="B43" s="880"/>
      <c r="C43" s="15" t="s">
        <v>29</v>
      </c>
      <c r="D43" s="15" t="s">
        <v>30</v>
      </c>
      <c r="E43" s="15" t="s">
        <v>29</v>
      </c>
      <c r="F43" s="15" t="s">
        <v>30</v>
      </c>
      <c r="G43" s="15" t="s">
        <v>29</v>
      </c>
      <c r="H43" s="15" t="s">
        <v>30</v>
      </c>
      <c r="I43" s="15" t="s">
        <v>29</v>
      </c>
      <c r="J43" s="15" t="s">
        <v>30</v>
      </c>
      <c r="K43" s="15" t="s">
        <v>29</v>
      </c>
      <c r="L43" s="595" t="s">
        <v>30</v>
      </c>
      <c r="M43" s="804" t="s">
        <v>29</v>
      </c>
      <c r="N43" s="805" t="s">
        <v>30</v>
      </c>
    </row>
    <row r="44" spans="1:14">
      <c r="A44" s="878"/>
      <c r="B44" s="880"/>
      <c r="C44" s="591"/>
      <c r="D44" s="591">
        <f>SUM(D46:D83)</f>
        <v>0</v>
      </c>
      <c r="E44" s="18" t="e">
        <f>SUM(E45:E61)</f>
        <v>#N/A</v>
      </c>
      <c r="F44" s="18" t="e">
        <f t="shared" ref="F44:L44" si="6">SUM(F45:F61)</f>
        <v>#REF!</v>
      </c>
      <c r="G44" s="18" t="e">
        <f t="shared" si="6"/>
        <v>#REF!</v>
      </c>
      <c r="H44" s="18" t="e">
        <f t="shared" si="6"/>
        <v>#REF!</v>
      </c>
      <c r="I44" s="18" t="e">
        <f t="shared" si="6"/>
        <v>#REF!</v>
      </c>
      <c r="J44" s="18" t="e">
        <f t="shared" si="6"/>
        <v>#REF!</v>
      </c>
      <c r="K44" s="18" t="e">
        <f t="shared" si="6"/>
        <v>#REF!</v>
      </c>
      <c r="L44" s="18" t="e">
        <f t="shared" si="6"/>
        <v>#REF!</v>
      </c>
      <c r="M44" s="300" t="e">
        <f t="shared" ref="M44:N44" si="7">SUM(M45:M61)</f>
        <v>#REF!</v>
      </c>
      <c r="N44" s="300" t="e">
        <f t="shared" si="7"/>
        <v>#REF!</v>
      </c>
    </row>
    <row r="45" spans="1:14">
      <c r="A45" s="602">
        <v>1</v>
      </c>
      <c r="B45" s="598" t="s">
        <v>486</v>
      </c>
      <c r="C45" s="600"/>
      <c r="D45" s="600"/>
      <c r="E45" s="606" t="e">
        <f>VLOOKUP($B45,$B$8:$F$36,2,0)</f>
        <v>#N/A</v>
      </c>
      <c r="F45" s="606" t="e">
        <f>#REF!</f>
        <v>#REF!</v>
      </c>
      <c r="G45" s="606" t="e">
        <f>#REF!</f>
        <v>#REF!</v>
      </c>
      <c r="H45" s="606" t="e">
        <f>#REF!</f>
        <v>#REF!</v>
      </c>
      <c r="I45" s="606" t="e">
        <f>#REF!</f>
        <v>#REF!</v>
      </c>
      <c r="J45" s="606" t="e">
        <f>#REF!</f>
        <v>#REF!</v>
      </c>
      <c r="K45" s="606" t="e">
        <f>#REF!</f>
        <v>#REF!</v>
      </c>
      <c r="L45" s="606" t="e">
        <f>#REF!</f>
        <v>#REF!</v>
      </c>
      <c r="M45" s="812" t="e">
        <f>#REF!</f>
        <v>#REF!</v>
      </c>
      <c r="N45" s="812" t="e">
        <f>#REF!</f>
        <v>#REF!</v>
      </c>
    </row>
    <row r="46" spans="1:14">
      <c r="A46" s="603">
        <v>2</v>
      </c>
      <c r="B46" s="599" t="s">
        <v>487</v>
      </c>
      <c r="C46" s="601"/>
      <c r="D46" s="601"/>
      <c r="E46" s="519" t="e">
        <f>#REF!</f>
        <v>#REF!</v>
      </c>
      <c r="F46" s="519" t="e">
        <f>#REF!</f>
        <v>#REF!</v>
      </c>
      <c r="G46" s="519" t="e">
        <f>#REF!</f>
        <v>#REF!</v>
      </c>
      <c r="H46" s="519" t="e">
        <f>#REF!</f>
        <v>#REF!</v>
      </c>
      <c r="I46" s="519" t="e">
        <f>#REF!</f>
        <v>#REF!</v>
      </c>
      <c r="J46" s="519" t="e">
        <f>#REF!</f>
        <v>#REF!</v>
      </c>
      <c r="K46" s="519" t="e">
        <f>#REF!</f>
        <v>#REF!</v>
      </c>
      <c r="L46" s="519" t="e">
        <f>#REF!</f>
        <v>#REF!</v>
      </c>
      <c r="M46" s="813" t="e">
        <f>#REF!</f>
        <v>#REF!</v>
      </c>
      <c r="N46" s="813" t="e">
        <f>#REF!</f>
        <v>#REF!</v>
      </c>
    </row>
    <row r="47" spans="1:14">
      <c r="A47" s="603">
        <v>3</v>
      </c>
      <c r="B47" s="599" t="s">
        <v>488</v>
      </c>
      <c r="C47" s="601"/>
      <c r="D47" s="601"/>
      <c r="E47" s="519" t="e">
        <f>SUM(#REF!,#REF!,#REF!,#REF!,#REF!,#REF!)</f>
        <v>#REF!</v>
      </c>
      <c r="F47" s="519" t="e">
        <f>SUM(#REF!,#REF!,#REF!,#REF!,#REF!,#REF!)</f>
        <v>#REF!</v>
      </c>
      <c r="G47" s="519" t="e">
        <f>SUM(#REF!,#REF!,#REF!,#REF!,#REF!,#REF!)</f>
        <v>#REF!</v>
      </c>
      <c r="H47" s="519" t="e">
        <f>SUM(#REF!,#REF!,#REF!,#REF!,#REF!,#REF!)</f>
        <v>#REF!</v>
      </c>
      <c r="I47" s="519" t="e">
        <f>SUM(#REF!,#REF!,#REF!,#REF!,#REF!,#REF!)</f>
        <v>#REF!</v>
      </c>
      <c r="J47" s="519" t="e">
        <f>SUM(#REF!,#REF!,#REF!,#REF!,#REF!,#REF!)</f>
        <v>#REF!</v>
      </c>
      <c r="K47" s="519" t="e">
        <f>SUM(#REF!,#REF!,#REF!,#REF!,#REF!,#REF!)</f>
        <v>#REF!</v>
      </c>
      <c r="L47" s="519" t="e">
        <f>SUM(#REF!,#REF!,#REF!,#REF!,#REF!,#REF!)</f>
        <v>#REF!</v>
      </c>
      <c r="M47" s="813" t="e">
        <f>SUM(#REF!,#REF!,#REF!,#REF!,#REF!,#REF!)</f>
        <v>#REF!</v>
      </c>
      <c r="N47" s="813" t="e">
        <f>SUM(#REF!,#REF!,#REF!,#REF!,#REF!,#REF!)</f>
        <v>#REF!</v>
      </c>
    </row>
    <row r="48" spans="1:14">
      <c r="A48" s="603">
        <v>4</v>
      </c>
      <c r="B48" s="599" t="s">
        <v>489</v>
      </c>
      <c r="C48" s="601"/>
      <c r="D48" s="601"/>
      <c r="E48" s="519">
        <f t="shared" ref="E48:L48" si="8">SUM(E29,E30)</f>
        <v>2726547</v>
      </c>
      <c r="F48" s="519">
        <f t="shared" si="8"/>
        <v>37915426.141198874</v>
      </c>
      <c r="G48" s="519">
        <f t="shared" si="8"/>
        <v>3354035.945086095</v>
      </c>
      <c r="H48" s="519">
        <f t="shared" si="8"/>
        <v>46323203.286119238</v>
      </c>
      <c r="I48" s="519">
        <f t="shared" si="8"/>
        <v>1507830</v>
      </c>
      <c r="J48" s="519">
        <f t="shared" si="8"/>
        <v>19036501</v>
      </c>
      <c r="K48" s="519">
        <f t="shared" si="8"/>
        <v>1472498.369517477</v>
      </c>
      <c r="L48" s="519">
        <f t="shared" si="8"/>
        <v>21164610.728869207</v>
      </c>
      <c r="M48" s="813">
        <f t="shared" ref="M48:N48" si="9">SUM(M29,M30)</f>
        <v>9060911.3146035727</v>
      </c>
      <c r="N48" s="813">
        <f t="shared" si="9"/>
        <v>124439741.15618733</v>
      </c>
    </row>
    <row r="49" spans="1:14">
      <c r="A49" s="603">
        <v>5</v>
      </c>
      <c r="B49" s="599" t="s">
        <v>490</v>
      </c>
      <c r="C49" s="601"/>
      <c r="D49" s="601"/>
      <c r="E49" s="519" t="e">
        <f>SUM(E18,E19,E21,#REF!,#REF!)</f>
        <v>#REF!</v>
      </c>
      <c r="F49" s="519" t="e">
        <f>SUM(F18,F19,F21,#REF!,#REF!)</f>
        <v>#REF!</v>
      </c>
      <c r="G49" s="519" t="e">
        <f>SUM(G18,G19,G21,#REF!,#REF!)</f>
        <v>#REF!</v>
      </c>
      <c r="H49" s="519" t="e">
        <f>SUM(H18,H19,H21,#REF!,#REF!)</f>
        <v>#REF!</v>
      </c>
      <c r="I49" s="519" t="e">
        <f>SUM(I18,I19,I21,#REF!,#REF!)</f>
        <v>#REF!</v>
      </c>
      <c r="J49" s="519" t="e">
        <f>SUM(J18,J19,J21,#REF!,#REF!)</f>
        <v>#REF!</v>
      </c>
      <c r="K49" s="519" t="e">
        <f>SUM(K18,K19,K21,#REF!,#REF!)</f>
        <v>#REF!</v>
      </c>
      <c r="L49" s="519" t="e">
        <f>SUM(L18,L19,L21,#REF!,#REF!)</f>
        <v>#REF!</v>
      </c>
      <c r="M49" s="813" t="e">
        <f>SUM(M18,M19,M21,#REF!,#REF!)</f>
        <v>#REF!</v>
      </c>
      <c r="N49" s="813" t="e">
        <f>SUM(N18,N19,N21,#REF!,#REF!)</f>
        <v>#REF!</v>
      </c>
    </row>
    <row r="50" spans="1:14">
      <c r="A50" s="603">
        <v>6</v>
      </c>
      <c r="B50" s="599" t="s">
        <v>491</v>
      </c>
      <c r="C50" s="601"/>
      <c r="D50" s="601"/>
      <c r="E50" s="519" t="e">
        <f>#REF!</f>
        <v>#REF!</v>
      </c>
      <c r="F50" s="519" t="e">
        <f>#REF!</f>
        <v>#REF!</v>
      </c>
      <c r="G50" s="519" t="e">
        <f>#REF!</f>
        <v>#REF!</v>
      </c>
      <c r="H50" s="519" t="e">
        <f>#REF!</f>
        <v>#REF!</v>
      </c>
      <c r="I50" s="519" t="e">
        <f>#REF!</f>
        <v>#REF!</v>
      </c>
      <c r="J50" s="519" t="e">
        <f>#REF!</f>
        <v>#REF!</v>
      </c>
      <c r="K50" s="519" t="e">
        <f>#REF!</f>
        <v>#REF!</v>
      </c>
      <c r="L50" s="519" t="e">
        <f>#REF!</f>
        <v>#REF!</v>
      </c>
      <c r="M50" s="813" t="e">
        <f>#REF!</f>
        <v>#REF!</v>
      </c>
      <c r="N50" s="813" t="e">
        <f>#REF!</f>
        <v>#REF!</v>
      </c>
    </row>
    <row r="51" spans="1:14">
      <c r="A51" s="603">
        <v>7</v>
      </c>
      <c r="B51" s="599" t="s">
        <v>492</v>
      </c>
      <c r="C51" s="601"/>
      <c r="D51" s="601"/>
      <c r="E51" s="519" t="e">
        <f>#REF!</f>
        <v>#REF!</v>
      </c>
      <c r="F51" s="519" t="e">
        <f>#REF!</f>
        <v>#REF!</v>
      </c>
      <c r="G51" s="519" t="e">
        <f>#REF!</f>
        <v>#REF!</v>
      </c>
      <c r="H51" s="519" t="e">
        <f>#REF!</f>
        <v>#REF!</v>
      </c>
      <c r="I51" s="519" t="e">
        <f>#REF!</f>
        <v>#REF!</v>
      </c>
      <c r="J51" s="519" t="e">
        <f>#REF!</f>
        <v>#REF!</v>
      </c>
      <c r="K51" s="519" t="e">
        <f>#REF!</f>
        <v>#REF!</v>
      </c>
      <c r="L51" s="519" t="e">
        <f>#REF!</f>
        <v>#REF!</v>
      </c>
      <c r="M51" s="813" t="e">
        <f>#REF!</f>
        <v>#REF!</v>
      </c>
      <c r="N51" s="813" t="e">
        <f>#REF!</f>
        <v>#REF!</v>
      </c>
    </row>
    <row r="52" spans="1:14">
      <c r="A52" s="603">
        <v>8</v>
      </c>
      <c r="B52" s="599" t="s">
        <v>493</v>
      </c>
      <c r="C52" s="601"/>
      <c r="D52" s="601"/>
      <c r="E52" s="519">
        <f t="shared" ref="E52:L52" si="10">E8</f>
        <v>47124366.321798347</v>
      </c>
      <c r="F52" s="519">
        <f t="shared" si="10"/>
        <v>1017125802.1596347</v>
      </c>
      <c r="G52" s="519">
        <f t="shared" si="10"/>
        <v>46310846.625112638</v>
      </c>
      <c r="H52" s="519">
        <f t="shared" si="10"/>
        <v>984070135.52220225</v>
      </c>
      <c r="I52" s="519">
        <f t="shared" si="10"/>
        <v>38093201.906779423</v>
      </c>
      <c r="J52" s="519">
        <f t="shared" si="10"/>
        <v>825647496.4488343</v>
      </c>
      <c r="K52" s="519">
        <f t="shared" si="10"/>
        <v>36048545.601873249</v>
      </c>
      <c r="L52" s="519">
        <f t="shared" si="10"/>
        <v>818251036.7502569</v>
      </c>
      <c r="M52" s="813">
        <f t="shared" ref="M52:N52" si="11">M8</f>
        <v>167576960.45556366</v>
      </c>
      <c r="N52" s="813">
        <f t="shared" si="11"/>
        <v>3645094470.8809285</v>
      </c>
    </row>
    <row r="53" spans="1:14">
      <c r="A53" s="603">
        <v>9</v>
      </c>
      <c r="B53" s="599" t="s">
        <v>494</v>
      </c>
      <c r="C53" s="601"/>
      <c r="D53" s="601"/>
      <c r="E53" s="519">
        <f t="shared" ref="E53:L53" si="12">SUM(E24,E25)</f>
        <v>7406463.247333793</v>
      </c>
      <c r="F53" s="519">
        <f t="shared" si="12"/>
        <v>97985540.219297424</v>
      </c>
      <c r="G53" s="519">
        <f t="shared" si="12"/>
        <v>7951590.661931714</v>
      </c>
      <c r="H53" s="519">
        <f t="shared" si="12"/>
        <v>99087156.903135836</v>
      </c>
      <c r="I53" s="519">
        <f t="shared" si="12"/>
        <v>4616343.1254365472</v>
      </c>
      <c r="J53" s="519">
        <f t="shared" si="12"/>
        <v>60150637.045088276</v>
      </c>
      <c r="K53" s="519">
        <f t="shared" si="12"/>
        <v>6396488.6051193625</v>
      </c>
      <c r="L53" s="519">
        <f t="shared" si="12"/>
        <v>82451268.046491861</v>
      </c>
      <c r="M53" s="813">
        <f t="shared" ref="M53:N53" si="13">SUM(M24,M25)</f>
        <v>26370885.639821418</v>
      </c>
      <c r="N53" s="813">
        <f t="shared" si="13"/>
        <v>339674602.2140134</v>
      </c>
    </row>
    <row r="54" spans="1:14">
      <c r="A54" s="603">
        <v>10</v>
      </c>
      <c r="B54" s="599" t="s">
        <v>495</v>
      </c>
      <c r="C54" s="601"/>
      <c r="D54" s="601"/>
      <c r="E54" s="519" t="e">
        <f>#REF!</f>
        <v>#REF!</v>
      </c>
      <c r="F54" s="519" t="e">
        <f>#REF!</f>
        <v>#REF!</v>
      </c>
      <c r="G54" s="519" t="e">
        <f>#REF!</f>
        <v>#REF!</v>
      </c>
      <c r="H54" s="519" t="e">
        <f>#REF!</f>
        <v>#REF!</v>
      </c>
      <c r="I54" s="519" t="e">
        <f>#REF!</f>
        <v>#REF!</v>
      </c>
      <c r="J54" s="519" t="e">
        <f>#REF!</f>
        <v>#REF!</v>
      </c>
      <c r="K54" s="519" t="e">
        <f>#REF!</f>
        <v>#REF!</v>
      </c>
      <c r="L54" s="519" t="e">
        <f>#REF!</f>
        <v>#REF!</v>
      </c>
      <c r="M54" s="813" t="e">
        <f>#REF!</f>
        <v>#REF!</v>
      </c>
      <c r="N54" s="813" t="e">
        <f>#REF!</f>
        <v>#REF!</v>
      </c>
    </row>
    <row r="55" spans="1:14">
      <c r="A55" s="603">
        <v>11</v>
      </c>
      <c r="B55" s="599" t="s">
        <v>496</v>
      </c>
      <c r="C55" s="601"/>
      <c r="D55" s="601"/>
      <c r="E55" s="519">
        <f t="shared" ref="E55:L55" si="14">E35</f>
        <v>195800</v>
      </c>
      <c r="F55" s="519">
        <f t="shared" si="14"/>
        <v>8317000</v>
      </c>
      <c r="G55" s="519">
        <f t="shared" si="14"/>
        <v>294700</v>
      </c>
      <c r="H55" s="519">
        <f t="shared" si="14"/>
        <v>12495500</v>
      </c>
      <c r="I55" s="519">
        <f t="shared" si="14"/>
        <v>167340</v>
      </c>
      <c r="J55" s="519">
        <f t="shared" si="14"/>
        <v>7349600</v>
      </c>
      <c r="K55" s="519">
        <f t="shared" si="14"/>
        <v>158791</v>
      </c>
      <c r="L55" s="519">
        <f t="shared" si="14"/>
        <v>6831645</v>
      </c>
      <c r="M55" s="813">
        <f t="shared" ref="M55:N55" si="15">M35</f>
        <v>816631</v>
      </c>
      <c r="N55" s="813">
        <f t="shared" si="15"/>
        <v>34993745</v>
      </c>
    </row>
    <row r="56" spans="1:14">
      <c r="A56" s="603">
        <v>12</v>
      </c>
      <c r="B56" s="599" t="s">
        <v>497</v>
      </c>
      <c r="C56" s="601"/>
      <c r="D56" s="601"/>
      <c r="E56" s="519">
        <f t="shared" ref="E56:L56" si="16">E22</f>
        <v>3735</v>
      </c>
      <c r="F56" s="519">
        <f t="shared" si="16"/>
        <v>1281000</v>
      </c>
      <c r="G56" s="519">
        <f t="shared" si="16"/>
        <v>3290</v>
      </c>
      <c r="H56" s="519">
        <f t="shared" si="16"/>
        <v>1151500</v>
      </c>
      <c r="I56" s="519">
        <f t="shared" si="16"/>
        <v>2588</v>
      </c>
      <c r="J56" s="519">
        <f t="shared" si="16"/>
        <v>803940</v>
      </c>
      <c r="K56" s="519">
        <f t="shared" si="16"/>
        <v>3120</v>
      </c>
      <c r="L56" s="519">
        <f t="shared" si="16"/>
        <v>1092000</v>
      </c>
      <c r="M56" s="813">
        <f t="shared" ref="M56:N56" si="17">M22</f>
        <v>12733</v>
      </c>
      <c r="N56" s="813">
        <f t="shared" si="17"/>
        <v>4328440</v>
      </c>
    </row>
    <row r="57" spans="1:14">
      <c r="A57" s="603">
        <v>13</v>
      </c>
      <c r="B57" s="599" t="s">
        <v>498</v>
      </c>
      <c r="C57" s="601"/>
      <c r="D57" s="601"/>
      <c r="E57" s="519">
        <f t="shared" ref="E57:L57" si="18">SUM(E27,E28)</f>
        <v>6515248.4399999995</v>
      </c>
      <c r="F57" s="519">
        <f t="shared" si="18"/>
        <v>104238365.91061798</v>
      </c>
      <c r="G57" s="519">
        <f t="shared" si="18"/>
        <v>7811610.5624428755</v>
      </c>
      <c r="H57" s="519">
        <f t="shared" si="18"/>
        <v>125742226.0498575</v>
      </c>
      <c r="I57" s="519">
        <f t="shared" si="18"/>
        <v>7457226.8199999994</v>
      </c>
      <c r="J57" s="519">
        <f t="shared" si="18"/>
        <v>124892220</v>
      </c>
      <c r="K57" s="519">
        <f t="shared" si="18"/>
        <v>7909443.7756836768</v>
      </c>
      <c r="L57" s="519">
        <f t="shared" si="18"/>
        <v>175315768.53937483</v>
      </c>
      <c r="M57" s="813">
        <f t="shared" ref="M57:N57" si="19">SUM(M27,M28)</f>
        <v>29693529.598126553</v>
      </c>
      <c r="N57" s="813">
        <f t="shared" si="19"/>
        <v>530188580.49985027</v>
      </c>
    </row>
    <row r="58" spans="1:14">
      <c r="A58" s="603">
        <v>14</v>
      </c>
      <c r="B58" s="599" t="s">
        <v>499</v>
      </c>
      <c r="C58" s="601"/>
      <c r="D58" s="601"/>
      <c r="E58" s="519" t="e">
        <f>SUM(E26,#REF!)</f>
        <v>#REF!</v>
      </c>
      <c r="F58" s="519" t="e">
        <f>SUM(F26,#REF!)</f>
        <v>#REF!</v>
      </c>
      <c r="G58" s="519" t="e">
        <f>SUM(G26,#REF!)</f>
        <v>#REF!</v>
      </c>
      <c r="H58" s="519" t="e">
        <f>SUM(H26,#REF!)</f>
        <v>#REF!</v>
      </c>
      <c r="I58" s="519" t="e">
        <f>SUM(I26,#REF!)</f>
        <v>#REF!</v>
      </c>
      <c r="J58" s="519" t="e">
        <f>SUM(J26,#REF!)</f>
        <v>#REF!</v>
      </c>
      <c r="K58" s="519" t="e">
        <f>SUM(K26,#REF!)</f>
        <v>#REF!</v>
      </c>
      <c r="L58" s="519" t="e">
        <f>SUM(L26,#REF!)</f>
        <v>#REF!</v>
      </c>
      <c r="M58" s="813" t="e">
        <f>SUM(M26,#REF!)</f>
        <v>#REF!</v>
      </c>
      <c r="N58" s="813" t="e">
        <f>SUM(N26,#REF!)</f>
        <v>#REF!</v>
      </c>
    </row>
    <row r="59" spans="1:14">
      <c r="A59" s="603">
        <v>15</v>
      </c>
      <c r="B59" s="599" t="s">
        <v>500</v>
      </c>
      <c r="C59" s="601"/>
      <c r="D59" s="601"/>
      <c r="E59" s="519" t="e">
        <f>#REF!</f>
        <v>#REF!</v>
      </c>
      <c r="F59" s="519" t="e">
        <f>#REF!</f>
        <v>#REF!</v>
      </c>
      <c r="G59" s="519" t="e">
        <f>#REF!</f>
        <v>#REF!</v>
      </c>
      <c r="H59" s="519" t="e">
        <f>#REF!</f>
        <v>#REF!</v>
      </c>
      <c r="I59" s="519" t="e">
        <f>#REF!</f>
        <v>#REF!</v>
      </c>
      <c r="J59" s="519" t="e">
        <f>#REF!</f>
        <v>#REF!</v>
      </c>
      <c r="K59" s="519" t="e">
        <f>#REF!</f>
        <v>#REF!</v>
      </c>
      <c r="L59" s="519" t="e">
        <f>#REF!</f>
        <v>#REF!</v>
      </c>
      <c r="M59" s="813" t="e">
        <f>#REF!</f>
        <v>#REF!</v>
      </c>
      <c r="N59" s="813" t="e">
        <f>#REF!</f>
        <v>#REF!</v>
      </c>
    </row>
    <row r="60" spans="1:14">
      <c r="A60" s="603">
        <v>16</v>
      </c>
      <c r="B60" s="599" t="s">
        <v>501</v>
      </c>
      <c r="C60" s="601"/>
      <c r="D60" s="601"/>
      <c r="E60" s="519">
        <f t="shared" ref="E60:L60" si="20">E20</f>
        <v>0</v>
      </c>
      <c r="F60" s="519">
        <f t="shared" si="20"/>
        <v>0</v>
      </c>
      <c r="G60" s="519">
        <f t="shared" si="20"/>
        <v>535465</v>
      </c>
      <c r="H60" s="519">
        <f t="shared" si="20"/>
        <v>10693740</v>
      </c>
      <c r="I60" s="519">
        <f t="shared" si="20"/>
        <v>0</v>
      </c>
      <c r="J60" s="519">
        <f t="shared" si="20"/>
        <v>0</v>
      </c>
      <c r="K60" s="519">
        <f t="shared" si="20"/>
        <v>0</v>
      </c>
      <c r="L60" s="519">
        <f t="shared" si="20"/>
        <v>0</v>
      </c>
      <c r="M60" s="813">
        <f t="shared" ref="M60:N60" si="21">M20</f>
        <v>535465</v>
      </c>
      <c r="N60" s="813">
        <f t="shared" si="21"/>
        <v>10693740</v>
      </c>
    </row>
    <row r="61" spans="1:14" ht="15" thickBot="1">
      <c r="A61" s="604">
        <f t="shared" ref="A61" si="22">A60+1</f>
        <v>17</v>
      </c>
      <c r="B61" s="605" t="s">
        <v>197</v>
      </c>
      <c r="C61" s="65"/>
      <c r="D61" s="65"/>
      <c r="E61" s="520" t="e">
        <f>SUM(E9,E10,E11,E12,E13,E14,E15,E16,E17,E23,E30,E31,E32,E33,E34,E36,#REF!,#REF!,#REF!,#REF!,#REF!,#REF!,#REF!,#REF!,#REF!,#REF!,#REF!,#REF!,#REF!,#REF!,#REF!,#REF!,#REF!,#REF!,#REF!,#REF!,#REF!)</f>
        <v>#REF!</v>
      </c>
      <c r="F61" s="520" t="e">
        <f>SUM(F9,F10,F11,F12,F13,F14,F15,F16,F17,F23,F30,F31,F32,F33,F34,F36,#REF!,#REF!,#REF!,#REF!,#REF!,#REF!,#REF!,#REF!,#REF!,#REF!,#REF!,#REF!,#REF!,#REF!,#REF!,#REF!,#REF!,#REF!,#REF!,#REF!,#REF!)</f>
        <v>#REF!</v>
      </c>
      <c r="G61" s="520" t="e">
        <f>SUM(G9,G10,G11,G12,G13,G14,G15,G16,G17,G23,G30,G31,G32,G33,G34,G36,#REF!,#REF!,#REF!,#REF!,#REF!,#REF!,#REF!,#REF!,#REF!,#REF!,#REF!,#REF!,#REF!,#REF!,#REF!,#REF!,#REF!,#REF!,#REF!,#REF!,#REF!)</f>
        <v>#REF!</v>
      </c>
      <c r="H61" s="520" t="e">
        <f>SUM(H9,H10,H11,H12,H13,H14,H15,H16,H17,H23,H30,H31,H32,H33,H34,H36,#REF!,#REF!,#REF!,#REF!,#REF!,#REF!,#REF!,#REF!,#REF!,#REF!,#REF!,#REF!,#REF!,#REF!,#REF!,#REF!,#REF!,#REF!,#REF!,#REF!,#REF!)</f>
        <v>#REF!</v>
      </c>
      <c r="I61" s="520" t="e">
        <f>SUM(I9,I10,I11,I12,I13,I14,I15,I16,I17,I23,I30,I31,I32,I33,I34,I36,#REF!,#REF!,#REF!,#REF!,#REF!,#REF!,#REF!,#REF!,#REF!,#REF!,#REF!,#REF!,#REF!,#REF!,#REF!,#REF!,#REF!,#REF!,#REF!,#REF!,#REF!)</f>
        <v>#REF!</v>
      </c>
      <c r="J61" s="520" t="e">
        <f>SUM(J9,J10,J11,J12,J13,J14,J15,J16,J17,J23,J30,J31,J32,J33,J34,J36,#REF!,#REF!,#REF!,#REF!,#REF!,#REF!,#REF!,#REF!,#REF!,#REF!,#REF!,#REF!,#REF!,#REF!,#REF!,#REF!,#REF!,#REF!,#REF!,#REF!,#REF!)</f>
        <v>#REF!</v>
      </c>
      <c r="K61" s="520" t="e">
        <f>SUM(K9,K10,K11,K12,K13,K14,K15,K16,K17,K23,K30,K31,K32,K33,K34,K36,#REF!,#REF!,#REF!,#REF!,#REF!,#REF!,#REF!,#REF!,#REF!,#REF!,#REF!,#REF!,#REF!,#REF!,#REF!,#REF!,#REF!,#REF!,#REF!,#REF!,#REF!)</f>
        <v>#REF!</v>
      </c>
      <c r="L61" s="520" t="e">
        <f>SUM(L9,L10,L11,L12,L13,L14,L15,L16,L17,L23,L30,L31,L32,L33,L34,L36,#REF!,#REF!,#REF!,#REF!,#REF!,#REF!,#REF!,#REF!,#REF!,#REF!,#REF!,#REF!,#REF!,#REF!,#REF!,#REF!,#REF!,#REF!,#REF!,#REF!,#REF!)</f>
        <v>#REF!</v>
      </c>
      <c r="M61" s="814" t="e">
        <f>SUM(M9,M10,M11,M12,M13,M14,M15,M16,M17,M23,M30,M31,M32,M33,M34,M36,#REF!,#REF!,#REF!,#REF!,#REF!,#REF!,#REF!,#REF!,#REF!,#REF!,#REF!,#REF!,#REF!,#REF!,#REF!,#REF!,#REF!,#REF!,#REF!,#REF!,#REF!)</f>
        <v>#REF!</v>
      </c>
      <c r="N61" s="814" t="e">
        <f>SUM(N9,N10,N11,N12,N13,N14,N15,N16,N17,N23,N30,N31,N32,N33,N34,N36,#REF!,#REF!,#REF!,#REF!,#REF!,#REF!,#REF!,#REF!,#REF!,#REF!,#REF!,#REF!,#REF!,#REF!,#REF!,#REF!,#REF!,#REF!,#REF!,#REF!,#REF!)</f>
        <v>#REF!</v>
      </c>
    </row>
  </sheetData>
  <mergeCells count="20">
    <mergeCell ref="M4:N4"/>
    <mergeCell ref="M41:N41"/>
    <mergeCell ref="E3:L3"/>
    <mergeCell ref="A3:A7"/>
    <mergeCell ref="B3:B7"/>
    <mergeCell ref="E4:F4"/>
    <mergeCell ref="G4:H4"/>
    <mergeCell ref="I4:J4"/>
    <mergeCell ref="K4:L4"/>
    <mergeCell ref="C3:D3"/>
    <mergeCell ref="C4:D4"/>
    <mergeCell ref="A40:A44"/>
    <mergeCell ref="B40:B44"/>
    <mergeCell ref="C40:D40"/>
    <mergeCell ref="E40:L40"/>
    <mergeCell ref="C41:D41"/>
    <mergeCell ref="E41:F41"/>
    <mergeCell ref="G41:H41"/>
    <mergeCell ref="I41:J41"/>
    <mergeCell ref="K41:L41"/>
  </mergeCells>
  <pageMargins left="0.7" right="0.7" top="0.75" bottom="0.75" header="0.3" footer="0.3"/>
  <pageSetup paperSize="5" orientation="landscape"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84E69-D841-4DC4-B28E-41A85317B809}">
  <sheetPr>
    <tabColor rgb="FF00B0F0"/>
  </sheetPr>
  <dimension ref="A1:I33"/>
  <sheetViews>
    <sheetView topLeftCell="A5" workbookViewId="0">
      <selection activeCell="H11" sqref="H11"/>
    </sheetView>
  </sheetViews>
  <sheetFormatPr defaultRowHeight="14.5"/>
  <cols>
    <col min="1" max="1" width="24.26953125" customWidth="1"/>
    <col min="2" max="2" width="20.36328125" customWidth="1"/>
    <col min="3" max="3" width="13.453125" bestFit="1" customWidth="1"/>
    <col min="4" max="4" width="10.453125" bestFit="1" customWidth="1"/>
    <col min="5" max="6" width="18.6328125" customWidth="1"/>
    <col min="7" max="7" width="20.36328125" bestFit="1" customWidth="1"/>
    <col min="8" max="8" width="18.1796875" bestFit="1" customWidth="1"/>
    <col min="9" max="9" width="13.90625" customWidth="1"/>
  </cols>
  <sheetData>
    <row r="1" spans="1:9" ht="15.5">
      <c r="A1" s="660" t="s">
        <v>564</v>
      </c>
      <c r="B1" s="660"/>
      <c r="C1" s="660"/>
      <c r="D1" s="660"/>
      <c r="E1" s="660"/>
      <c r="F1" s="660"/>
      <c r="G1" s="660"/>
      <c r="H1" s="660"/>
      <c r="I1" s="661"/>
    </row>
    <row r="2" spans="1:9" ht="15.5">
      <c r="A2" s="662" t="s">
        <v>565</v>
      </c>
      <c r="B2" s="660"/>
      <c r="C2" s="660"/>
      <c r="D2" s="660"/>
      <c r="E2" s="660"/>
      <c r="F2" s="660"/>
      <c r="G2" s="660"/>
      <c r="H2" s="660"/>
      <c r="I2" s="661"/>
    </row>
    <row r="3" spans="1:9" ht="15.5">
      <c r="A3" s="660"/>
      <c r="B3" s="660"/>
      <c r="C3" s="660"/>
      <c r="D3" s="660"/>
      <c r="E3" s="662"/>
      <c r="F3" s="660"/>
      <c r="G3" s="660"/>
      <c r="H3" s="660"/>
      <c r="I3" s="661"/>
    </row>
    <row r="4" spans="1:9" ht="16" thickBot="1">
      <c r="A4" s="660"/>
      <c r="B4" s="660"/>
      <c r="C4" s="660"/>
      <c r="D4" s="660"/>
      <c r="E4" s="660"/>
      <c r="F4" s="660"/>
      <c r="G4" s="660"/>
      <c r="H4" s="660"/>
      <c r="I4" s="661"/>
    </row>
    <row r="5" spans="1:9" ht="15.5">
      <c r="A5" s="663"/>
      <c r="B5" s="664"/>
      <c r="C5" s="664"/>
      <c r="D5" s="664"/>
      <c r="E5" s="664"/>
      <c r="F5" s="664"/>
      <c r="G5" s="664"/>
      <c r="H5" s="665"/>
      <c r="I5" s="661"/>
    </row>
    <row r="6" spans="1:9" ht="15.5">
      <c r="A6" s="666"/>
      <c r="B6" s="667"/>
      <c r="C6" s="894" t="s">
        <v>566</v>
      </c>
      <c r="D6" s="895"/>
      <c r="E6" s="895"/>
      <c r="F6" s="895"/>
      <c r="G6" s="895"/>
      <c r="H6" s="896"/>
      <c r="I6" s="661"/>
    </row>
    <row r="7" spans="1:9" ht="15.5">
      <c r="A7" s="668"/>
      <c r="B7" s="669"/>
      <c r="C7" s="670"/>
      <c r="D7" s="669"/>
      <c r="E7" s="671" t="s">
        <v>567</v>
      </c>
      <c r="F7" s="672"/>
      <c r="G7" s="671" t="s">
        <v>568</v>
      </c>
      <c r="H7" s="673"/>
      <c r="I7" s="661"/>
    </row>
    <row r="8" spans="1:9" ht="15.5">
      <c r="A8" s="668" t="s">
        <v>569</v>
      </c>
      <c r="B8" s="669"/>
      <c r="C8" s="723"/>
      <c r="D8" s="674" t="s">
        <v>570</v>
      </c>
      <c r="E8" s="675"/>
      <c r="F8" s="669"/>
      <c r="G8" s="671" t="s">
        <v>571</v>
      </c>
      <c r="H8" s="673"/>
      <c r="I8" s="661"/>
    </row>
    <row r="9" spans="1:9" ht="15.5">
      <c r="A9" s="668"/>
      <c r="B9" s="669"/>
      <c r="C9" s="670" t="s">
        <v>572</v>
      </c>
      <c r="D9" s="669"/>
      <c r="E9" s="675" t="s">
        <v>573</v>
      </c>
      <c r="F9" s="669" t="s">
        <v>574</v>
      </c>
      <c r="G9" s="669" t="s">
        <v>575</v>
      </c>
      <c r="H9" s="676" t="s">
        <v>576</v>
      </c>
      <c r="I9" s="661"/>
    </row>
    <row r="10" spans="1:9" ht="15.5">
      <c r="A10" s="677"/>
      <c r="B10" s="672"/>
      <c r="C10" s="678" t="s">
        <v>201</v>
      </c>
      <c r="D10" s="672"/>
      <c r="E10" s="679"/>
      <c r="F10" s="672"/>
      <c r="G10" s="672" t="s">
        <v>577</v>
      </c>
      <c r="H10" s="673" t="s">
        <v>578</v>
      </c>
      <c r="I10" s="661"/>
    </row>
    <row r="11" spans="1:9" ht="16" thickBot="1">
      <c r="A11" s="680" t="s">
        <v>579</v>
      </c>
      <c r="B11" s="681"/>
      <c r="C11" s="682">
        <v>262838</v>
      </c>
      <c r="D11" s="682">
        <f>SUM(D12:D20)</f>
        <v>106408</v>
      </c>
      <c r="E11" s="683">
        <f>SUM(E13:E19)</f>
        <v>364941.81288650003</v>
      </c>
      <c r="F11" s="683">
        <f>SUM(F13:F19)</f>
        <v>273546.38541420002</v>
      </c>
      <c r="G11" s="683">
        <f>SUM(G12:G19)</f>
        <v>1442332.9932170778</v>
      </c>
      <c r="H11" s="729">
        <f>SUM(H12:H19)</f>
        <v>21538229.550790455</v>
      </c>
      <c r="I11" s="661"/>
    </row>
    <row r="12" spans="1:9" ht="15.5">
      <c r="A12" s="684"/>
      <c r="B12" s="669"/>
      <c r="C12" s="685"/>
      <c r="D12" s="685"/>
      <c r="E12" s="686"/>
      <c r="F12" s="686"/>
      <c r="G12" s="687"/>
      <c r="H12" s="688"/>
      <c r="I12" s="689"/>
    </row>
    <row r="13" spans="1:9" ht="15.5" customHeight="1">
      <c r="A13" s="897"/>
      <c r="B13" s="669" t="s">
        <v>580</v>
      </c>
      <c r="C13" s="690">
        <v>86953</v>
      </c>
      <c r="D13" s="690">
        <v>5462</v>
      </c>
      <c r="E13" s="690">
        <v>293111.96470000001</v>
      </c>
      <c r="F13" s="690">
        <v>209162.52979999999</v>
      </c>
      <c r="G13" s="691">
        <f>'P &amp; NP'!WN11/1000</f>
        <v>774415.15892607835</v>
      </c>
      <c r="H13" s="691">
        <f>'P &amp; NP'!WO11/1000</f>
        <v>3994041.1599863362</v>
      </c>
      <c r="I13" s="689"/>
    </row>
    <row r="14" spans="1:9" ht="15.5" customHeight="1">
      <c r="A14" s="897"/>
      <c r="B14" s="669" t="s">
        <v>581</v>
      </c>
      <c r="C14" s="690">
        <v>30693</v>
      </c>
      <c r="D14" s="690">
        <v>19781</v>
      </c>
      <c r="E14" s="690">
        <v>55541.362446500003</v>
      </c>
      <c r="F14" s="690">
        <v>48376.673457200006</v>
      </c>
      <c r="G14" s="691">
        <f>'P &amp; NP'!WP11/1000</f>
        <v>282359.6314642168</v>
      </c>
      <c r="H14" s="691">
        <f>'P &amp; NP'!WQ11/1000</f>
        <v>9677403.2595202066</v>
      </c>
      <c r="I14" s="689"/>
    </row>
    <row r="15" spans="1:9" ht="15.5" customHeight="1">
      <c r="A15" s="897"/>
      <c r="B15" s="669" t="s">
        <v>611</v>
      </c>
      <c r="C15" s="690"/>
      <c r="D15" s="690"/>
      <c r="E15" s="690"/>
      <c r="F15" s="690"/>
      <c r="G15" s="691">
        <f>'P &amp; NP'!WR11/1000</f>
        <v>0</v>
      </c>
      <c r="H15" s="691">
        <f>'P &amp; NP'!WS11/1000</f>
        <v>0</v>
      </c>
      <c r="I15" s="689"/>
    </row>
    <row r="16" spans="1:9" ht="15.5" customHeight="1">
      <c r="A16" s="897"/>
      <c r="B16" s="669" t="s">
        <v>582</v>
      </c>
      <c r="C16" s="690">
        <v>91364</v>
      </c>
      <c r="D16" s="690">
        <v>74456</v>
      </c>
      <c r="E16" s="690">
        <v>16288.485740000004</v>
      </c>
      <c r="F16" s="690">
        <v>15888.672156999997</v>
      </c>
      <c r="G16" s="691">
        <f>'P &amp; NP'!WT11/1000</f>
        <v>356728.67296641646</v>
      </c>
      <c r="H16" s="691">
        <f>'P &amp; NP'!WU11/1000</f>
        <v>7160588.8682689145</v>
      </c>
      <c r="I16" s="692"/>
    </row>
    <row r="17" spans="1:9" ht="15.5" customHeight="1">
      <c r="A17" s="897"/>
      <c r="B17" s="669" t="s">
        <v>585</v>
      </c>
      <c r="C17" s="690"/>
      <c r="D17" s="690"/>
      <c r="E17" s="690"/>
      <c r="F17" s="690"/>
      <c r="G17" s="691">
        <f>'P &amp; NP'!WV11/1000</f>
        <v>16250.959000366</v>
      </c>
      <c r="H17" s="691">
        <f>'P &amp; NP'!WW11/1000</f>
        <v>444438.21401499998</v>
      </c>
      <c r="I17" s="692"/>
    </row>
    <row r="18" spans="1:9" ht="15.5" customHeight="1">
      <c r="A18" s="897"/>
      <c r="B18" s="669" t="s">
        <v>583</v>
      </c>
      <c r="C18" s="690">
        <v>344</v>
      </c>
      <c r="D18" s="690">
        <v>421</v>
      </c>
      <c r="E18" s="690">
        <v>0</v>
      </c>
      <c r="F18" s="691">
        <v>3.23</v>
      </c>
      <c r="G18" s="691">
        <f>'P &amp; NP'!WX11/1000</f>
        <v>6969.165</v>
      </c>
      <c r="H18" s="691">
        <f>'P &amp; NP'!WY11/1000</f>
        <v>129078.47900000001</v>
      </c>
      <c r="I18" s="689"/>
    </row>
    <row r="19" spans="1:9" ht="15.5" customHeight="1">
      <c r="A19" s="897"/>
      <c r="B19" s="670" t="s">
        <v>584</v>
      </c>
      <c r="C19" s="690">
        <v>1263</v>
      </c>
      <c r="D19" s="690">
        <v>1171</v>
      </c>
      <c r="E19" s="690">
        <v>0</v>
      </c>
      <c r="F19" s="691">
        <v>115.28</v>
      </c>
      <c r="G19" s="691">
        <f>'P &amp; NP'!WZ11/1000</f>
        <v>5609.4058600000008</v>
      </c>
      <c r="H19" s="691">
        <f>'P &amp; NP'!XA11/1000</f>
        <v>132679.57</v>
      </c>
      <c r="I19" s="689"/>
    </row>
    <row r="20" spans="1:9" ht="18" customHeight="1">
      <c r="A20" s="693"/>
      <c r="B20" s="669" t="s">
        <v>586</v>
      </c>
      <c r="C20" s="690">
        <v>5129</v>
      </c>
      <c r="D20" s="690">
        <v>5117</v>
      </c>
      <c r="E20" s="691">
        <v>116.8882</v>
      </c>
      <c r="F20" s="691">
        <v>95.664900000000003</v>
      </c>
      <c r="G20" s="691">
        <v>675873.59199999983</v>
      </c>
      <c r="H20" s="724">
        <v>1385500961.5</v>
      </c>
      <c r="I20" s="689"/>
    </row>
    <row r="21" spans="1:9" ht="18">
      <c r="A21" s="693"/>
      <c r="B21" s="669" t="s">
        <v>587</v>
      </c>
      <c r="C21" s="690">
        <v>8212</v>
      </c>
      <c r="D21" s="690">
        <v>0</v>
      </c>
      <c r="E21" s="690">
        <v>0</v>
      </c>
      <c r="F21" s="690">
        <v>0</v>
      </c>
      <c r="G21" s="691">
        <v>35800789.334999993</v>
      </c>
      <c r="H21" s="724">
        <v>2186232313.6059999</v>
      </c>
      <c r="I21" s="689"/>
    </row>
    <row r="22" spans="1:9" ht="16" thickBot="1">
      <c r="A22" s="694"/>
      <c r="B22" s="695"/>
      <c r="C22" s="696"/>
      <c r="D22" s="696"/>
      <c r="E22" s="697"/>
      <c r="F22" s="697"/>
      <c r="G22" s="697"/>
      <c r="H22" s="698"/>
      <c r="I22" s="689"/>
    </row>
    <row r="23" spans="1:9" ht="15.5">
      <c r="A23" s="898" t="s">
        <v>588</v>
      </c>
      <c r="B23" s="900" t="s">
        <v>589</v>
      </c>
      <c r="C23" s="900"/>
      <c r="D23" s="900"/>
      <c r="E23" s="900"/>
      <c r="F23" s="900"/>
      <c r="G23" s="699" t="s">
        <v>575</v>
      </c>
      <c r="H23" s="700" t="s">
        <v>576</v>
      </c>
      <c r="I23" s="661"/>
    </row>
    <row r="24" spans="1:9" ht="15.5">
      <c r="A24" s="899"/>
      <c r="B24" s="701" t="s">
        <v>590</v>
      </c>
      <c r="C24" s="701" t="s">
        <v>591</v>
      </c>
      <c r="D24" s="702" t="s">
        <v>592</v>
      </c>
      <c r="E24" s="702" t="s">
        <v>593</v>
      </c>
      <c r="F24" s="702" t="s">
        <v>594</v>
      </c>
      <c r="G24" s="703" t="s">
        <v>595</v>
      </c>
      <c r="H24" s="704" t="s">
        <v>578</v>
      </c>
      <c r="I24" s="661"/>
    </row>
    <row r="25" spans="1:9" ht="16" thickBot="1">
      <c r="A25" s="705" t="s">
        <v>596</v>
      </c>
      <c r="B25" s="706">
        <f>SUM(B26:B27)</f>
        <v>64</v>
      </c>
      <c r="C25" s="706">
        <f>SUM(C26:C27)</f>
        <v>7368</v>
      </c>
      <c r="D25" s="706">
        <f>SUM(D26:D27)</f>
        <v>294</v>
      </c>
      <c r="E25" s="706">
        <f>SUM(E26:E27)</f>
        <v>58</v>
      </c>
      <c r="F25" s="707">
        <v>0</v>
      </c>
      <c r="G25" s="708">
        <f>SUM(G26:G27)</f>
        <v>35800789.334999993</v>
      </c>
      <c r="H25" s="709">
        <f>SUM(H26:H27)</f>
        <v>2186232313.6059999</v>
      </c>
      <c r="I25" s="661"/>
    </row>
    <row r="26" spans="1:9" ht="15.5">
      <c r="A26" s="710" t="s">
        <v>597</v>
      </c>
      <c r="B26" s="711">
        <v>56</v>
      </c>
      <c r="C26" s="711">
        <v>7368</v>
      </c>
      <c r="D26" s="711">
        <v>0</v>
      </c>
      <c r="E26" s="711">
        <v>1</v>
      </c>
      <c r="F26" s="712">
        <v>0</v>
      </c>
      <c r="G26" s="713">
        <v>22081229.184999999</v>
      </c>
      <c r="H26" s="714">
        <v>1791980722.4200001</v>
      </c>
      <c r="I26" s="661"/>
    </row>
    <row r="27" spans="1:9" ht="16" thickBot="1">
      <c r="A27" s="715" t="s">
        <v>598</v>
      </c>
      <c r="B27" s="716">
        <v>8</v>
      </c>
      <c r="C27" s="716">
        <v>0</v>
      </c>
      <c r="D27" s="716">
        <v>294</v>
      </c>
      <c r="E27" s="716">
        <v>57</v>
      </c>
      <c r="F27" s="717">
        <v>0</v>
      </c>
      <c r="G27" s="718">
        <v>13719560.149999999</v>
      </c>
      <c r="H27" s="719">
        <v>394251591.18599993</v>
      </c>
      <c r="I27" s="661"/>
    </row>
    <row r="28" spans="1:9" ht="15.5">
      <c r="A28" s="661"/>
      <c r="B28" s="661"/>
      <c r="C28" s="689"/>
      <c r="D28" s="689"/>
      <c r="E28" s="720"/>
      <c r="F28" s="720"/>
      <c r="G28" s="720"/>
      <c r="H28" s="720"/>
      <c r="I28" s="661"/>
    </row>
    <row r="29" spans="1:9" ht="15.5">
      <c r="A29" s="661"/>
      <c r="B29" s="661"/>
      <c r="C29" s="661"/>
      <c r="D29" s="661"/>
      <c r="E29" s="661"/>
      <c r="F29" s="721"/>
      <c r="G29" s="721"/>
      <c r="H29" s="721"/>
      <c r="I29" s="721"/>
    </row>
    <row r="30" spans="1:9" ht="15.5">
      <c r="A30" s="661"/>
      <c r="B30" s="661"/>
      <c r="C30" s="661"/>
      <c r="D30" s="661"/>
      <c r="E30" s="661"/>
      <c r="F30" s="721"/>
      <c r="G30" s="721"/>
      <c r="H30" s="721"/>
      <c r="I30" s="721"/>
    </row>
    <row r="31" spans="1:9" ht="15.5">
      <c r="A31" s="661"/>
      <c r="B31" s="661"/>
      <c r="C31" s="661"/>
      <c r="D31" s="661"/>
      <c r="E31" s="661"/>
      <c r="F31" s="721"/>
      <c r="G31" s="721"/>
      <c r="H31" s="721"/>
      <c r="I31" s="721"/>
    </row>
    <row r="32" spans="1:9" ht="15.5">
      <c r="A32" s="661"/>
      <c r="B32" s="661"/>
      <c r="C32" s="661"/>
      <c r="D32" s="661"/>
      <c r="E32" s="661"/>
      <c r="F32" s="722"/>
      <c r="G32" s="722"/>
      <c r="H32" s="722"/>
      <c r="I32" s="722"/>
    </row>
    <row r="33" spans="1:9" ht="15.5">
      <c r="A33" s="901" t="s">
        <v>599</v>
      </c>
      <c r="B33" s="902"/>
      <c r="C33" s="902"/>
      <c r="D33" s="902"/>
      <c r="E33" s="902"/>
      <c r="F33" s="902"/>
      <c r="G33" s="902"/>
      <c r="H33" s="902"/>
      <c r="I33" s="661"/>
    </row>
  </sheetData>
  <mergeCells count="5">
    <mergeCell ref="C6:H6"/>
    <mergeCell ref="A13:A19"/>
    <mergeCell ref="A23:A24"/>
    <mergeCell ref="B23:F23"/>
    <mergeCell ref="A33:H33"/>
  </mergeCells>
  <pageMargins left="0.7" right="0.7" top="0.75" bottom="0.75" header="0.3" footer="0.3"/>
  <pageSetup paperSize="9" orientation="portrait" horizontalDpi="4294967293"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K94"/>
  <sheetViews>
    <sheetView zoomScaleNormal="100" workbookViewId="0">
      <pane xSplit="2" ySplit="7" topLeftCell="C8" activePane="bottomRight" state="frozen"/>
      <selection pane="topRight" activeCell="C1" sqref="C1"/>
      <selection pane="bottomLeft" activeCell="A7" sqref="A7"/>
      <selection pane="bottomRight" activeCell="D9" sqref="D9"/>
    </sheetView>
  </sheetViews>
  <sheetFormatPr defaultRowHeight="14.5"/>
  <cols>
    <col min="1" max="1" width="34.81640625" customWidth="1"/>
    <col min="2" max="4" width="18.1796875" customWidth="1"/>
    <col min="5" max="5" width="20" customWidth="1"/>
    <col min="6" max="9" width="18.1796875" customWidth="1"/>
    <col min="11" max="11" width="16.81640625" style="90" customWidth="1"/>
  </cols>
  <sheetData>
    <row r="1" spans="1:10" ht="20">
      <c r="A1" s="903" t="s">
        <v>600</v>
      </c>
      <c r="B1" s="903"/>
      <c r="C1" s="903"/>
      <c r="D1" s="903"/>
      <c r="E1" s="903"/>
      <c r="F1" s="903"/>
      <c r="G1" s="903"/>
      <c r="H1" s="903"/>
      <c r="I1" s="903"/>
      <c r="J1" s="177" t="s">
        <v>245</v>
      </c>
    </row>
    <row r="2" spans="1:10">
      <c r="A2" s="907" t="s">
        <v>601</v>
      </c>
      <c r="B2" s="907"/>
      <c r="C2" s="907"/>
      <c r="D2" s="907"/>
      <c r="E2" s="907"/>
      <c r="F2" s="907"/>
      <c r="G2" s="907"/>
      <c r="H2" s="907"/>
      <c r="I2" s="907"/>
    </row>
    <row r="3" spans="1:10" ht="15" thickBot="1">
      <c r="A3" s="2"/>
      <c r="B3" s="2"/>
      <c r="C3" s="2"/>
      <c r="D3" s="2"/>
      <c r="E3" s="2"/>
      <c r="F3" s="2"/>
      <c r="G3" s="2"/>
      <c r="H3" s="2"/>
      <c r="I3" s="3" t="s">
        <v>263</v>
      </c>
    </row>
    <row r="4" spans="1:10">
      <c r="A4" s="4"/>
      <c r="B4" s="5"/>
      <c r="C4" s="904" t="s">
        <v>256</v>
      </c>
      <c r="D4" s="885"/>
      <c r="E4" s="885"/>
      <c r="F4" s="885"/>
      <c r="G4" s="885"/>
      <c r="H4" s="885"/>
      <c r="I4" s="886"/>
    </row>
    <row r="5" spans="1:10">
      <c r="A5" s="6" t="s">
        <v>103</v>
      </c>
      <c r="B5" s="7" t="s">
        <v>104</v>
      </c>
      <c r="C5" s="8" t="s">
        <v>152</v>
      </c>
      <c r="D5" s="8" t="s">
        <v>31</v>
      </c>
      <c r="E5" s="725" t="s">
        <v>558</v>
      </c>
      <c r="F5" s="8" t="s">
        <v>32</v>
      </c>
      <c r="G5" s="28" t="s">
        <v>153</v>
      </c>
      <c r="H5" s="8" t="s">
        <v>33</v>
      </c>
      <c r="I5" s="9" t="s">
        <v>154</v>
      </c>
    </row>
    <row r="6" spans="1:10">
      <c r="A6" s="10" t="s">
        <v>105</v>
      </c>
      <c r="B6" s="11" t="s">
        <v>106</v>
      </c>
      <c r="C6" s="23" t="s">
        <v>155</v>
      </c>
      <c r="D6" s="23" t="s">
        <v>156</v>
      </c>
      <c r="E6" s="23" t="s">
        <v>156</v>
      </c>
      <c r="F6" s="23" t="s">
        <v>157</v>
      </c>
      <c r="G6" s="27"/>
      <c r="H6" s="23" t="s">
        <v>158</v>
      </c>
      <c r="I6" s="24" t="s">
        <v>159</v>
      </c>
    </row>
    <row r="7" spans="1:10">
      <c r="A7" s="12"/>
      <c r="B7" s="13"/>
      <c r="C7" s="14"/>
      <c r="D7" s="15" t="s">
        <v>160</v>
      </c>
      <c r="E7" s="15" t="s">
        <v>160</v>
      </c>
      <c r="F7" s="14"/>
      <c r="G7" s="15"/>
      <c r="H7" s="14"/>
      <c r="I7" s="16"/>
    </row>
    <row r="8" spans="1:10">
      <c r="A8" s="17" t="s">
        <v>111</v>
      </c>
      <c r="B8" s="18">
        <f t="shared" ref="B8:I8" si="0">SUM(B9:B46)</f>
        <v>1442332993.2170777</v>
      </c>
      <c r="C8" s="18">
        <f t="shared" si="0"/>
        <v>774415158.92607832</v>
      </c>
      <c r="D8" s="18">
        <f t="shared" si="0"/>
        <v>282359631.46421683</v>
      </c>
      <c r="E8" s="18"/>
      <c r="F8" s="18">
        <f t="shared" si="0"/>
        <v>356728672.96641648</v>
      </c>
      <c r="G8" s="18">
        <f t="shared" si="0"/>
        <v>16250959.000366</v>
      </c>
      <c r="H8" s="25">
        <f t="shared" si="0"/>
        <v>6969165</v>
      </c>
      <c r="I8" s="31">
        <f t="shared" si="0"/>
        <v>5609405.8600000003</v>
      </c>
    </row>
    <row r="9" spans="1:10">
      <c r="A9" s="19" t="s">
        <v>137</v>
      </c>
      <c r="B9" s="20">
        <f t="shared" ref="B9:B46" si="1">SUM(C9:I9)</f>
        <v>15081607</v>
      </c>
      <c r="C9" s="753">
        <f>SUMIFS('P &amp; NP'!$C$11:$WL$11,'P &amp; NP'!$C$5:$WL$5,"PL",'P &amp; NP'!$C$2:$WL$2,"BANGKALAN")</f>
        <v>0</v>
      </c>
      <c r="D9" s="753">
        <f>SUMIFS('P &amp; NP'!$C$11:$WL$11,'P &amp; NP'!$C$5:$WL$5,"PT",'P &amp; NP'!$C$2:$WL$2,"BANGKALAN")</f>
        <v>14223257</v>
      </c>
      <c r="E9" s="753">
        <f>SUMIFS('P &amp; NP'!$C$11:$WL$11,'P &amp; NP'!$C$5:$WL$5,"PS",'P &amp; NP'!$C$2:$WL$2,"BANGKALAN")</f>
        <v>0</v>
      </c>
      <c r="F9" s="753">
        <f>SUMIFS('P &amp; NP'!$C$11:$WL$11,'P &amp; NP'!$C$5:$WL$5,"PK",'P &amp; NP'!$C$2:$WL$2,"BANGKALAN")</f>
        <v>853750</v>
      </c>
      <c r="G9" s="753">
        <f>SUMIFS('P &amp; NP'!$C$11:$WL$11,'P &amp; NP'!$C$5:$WL$5,"PM",'P &amp; NP'!$C$2:$WL$2,"BANGKALAN")</f>
        <v>0</v>
      </c>
      <c r="H9" s="753">
        <f>SUMIFS('P &amp; NP'!$C$11:$WL$11,'P &amp; NP'!$C$5:$WL$5,"PB",'P &amp; NP'!$C$2:$WL$2,"BANGKALAN")</f>
        <v>4600</v>
      </c>
      <c r="I9" s="757">
        <f>SUMIFS('P &amp; NP'!$C$11:$WL$11,'P &amp; NP'!$C$5:$WL$5,"PJ",'P &amp; NP'!$C$2:$WL$2,"BANGKALAN")</f>
        <v>0</v>
      </c>
    </row>
    <row r="10" spans="1:10">
      <c r="A10" s="19" t="s">
        <v>121</v>
      </c>
      <c r="B10" s="20">
        <f t="shared" si="1"/>
        <v>30646435</v>
      </c>
      <c r="C10" s="20">
        <f>SUMIFS('P &amp; NP'!$C$11:$WL$11,'P &amp; NP'!$C$5:$WL$5,"PL",'P &amp; NP'!$C$2:$WL$2,"BANYUWANGI")</f>
        <v>48260</v>
      </c>
      <c r="D10" s="20">
        <f>SUMIFS('P &amp; NP'!$C$11:$WL$11,'P &amp; NP'!$C$5:$WL$5,"PT",'P &amp; NP'!$C$2:$WL$2,"BANYUWANGI")</f>
        <v>20072390</v>
      </c>
      <c r="E10" s="20">
        <f>SUMIFS('P &amp; NP'!$C$11:$WL$11,'P &amp; NP'!$C$5:$WL$5,"PS",'P &amp; NP'!$C$2:$WL$2,"BANYUWANGI")</f>
        <v>0</v>
      </c>
      <c r="F10" s="20">
        <f>SUMIFS('P &amp; NP'!$C$11:$WL$11,'P &amp; NP'!$C$5:$WL$5,"PK",'P &amp; NP'!$C$2:$WL$2,"BANYUWANGI")</f>
        <v>10385735</v>
      </c>
      <c r="G10" s="20">
        <f>SUMIFS('P &amp; NP'!$C$11:$WL$11,'P &amp; NP'!$C$5:$WL$5,"PM",'P &amp; NP'!$C$2:$WL$2,"BANYUWANGI")</f>
        <v>68205</v>
      </c>
      <c r="H10" s="20">
        <f>SUMIFS('P &amp; NP'!$C$11:$WL$11,'P &amp; NP'!$C$5:$WL$5,"PB",'P &amp; NP'!$C$2:$WL$2,"BANYUWANGI")</f>
        <v>47815</v>
      </c>
      <c r="I10" s="758">
        <f>SUMIFS('P &amp; NP'!$C$11:$WL$11,'P &amp; NP'!$C$5:$WL$5,"PJ",'P &amp; NP'!$C$2:$WL$2,"BANYUWANGI")</f>
        <v>24030</v>
      </c>
    </row>
    <row r="11" spans="1:10">
      <c r="A11" s="19" t="s">
        <v>116</v>
      </c>
      <c r="B11" s="20">
        <f t="shared" si="1"/>
        <v>17736425</v>
      </c>
      <c r="C11" s="20">
        <f>SUMIFS('P &amp; NP'!$C$11:$WL$11,'P &amp; NP'!$C$5:$WL$5,"PL",'P &amp; NP'!$C$2:$WL$2,"BLITAR")</f>
        <v>0</v>
      </c>
      <c r="D11" s="20">
        <f>SUMIFS('P &amp; NP'!$C$11:$WL$11,'P &amp; NP'!$C$5:$WL$5,"PT",'P &amp; NP'!$C$2:$WL$2,"BLITAR")</f>
        <v>436100</v>
      </c>
      <c r="E11" s="20">
        <f>SUMIFS('P &amp; NP'!$C$11:$WL$11,'P &amp; NP'!$C$5:$WL$5,"PS",'P &amp; NP'!$C$2:$WL$2,"BLITAR")</f>
        <v>0</v>
      </c>
      <c r="F11" s="20">
        <f>SUMIFS('P &amp; NP'!$C$11:$WL$11,'P &amp; NP'!$C$5:$WL$5,"PK",'P &amp; NP'!$C$2:$WL$2,"BLITAR")</f>
        <v>17270300</v>
      </c>
      <c r="G11" s="20">
        <f>SUMIFS('P &amp; NP'!$C$11:$WL$11,'P &amp; NP'!$C$5:$WL$5,"PM",'P &amp; NP'!$C$2:$WL$2,"BLITAR")</f>
        <v>1820</v>
      </c>
      <c r="H11" s="20">
        <f>SUMIFS('P &amp; NP'!$C$11:$WL$11,'P &amp; NP'!$C$5:$WL$5,"PB",'P &amp; NP'!$C$2:$WL$2,"BLITAR")</f>
        <v>0</v>
      </c>
      <c r="I11" s="758">
        <f>SUMIFS('P &amp; NP'!$C$11:$WL$11,'P &amp; NP'!$C$5:$WL$5,"PJ",'P &amp; NP'!$C$2:$WL$2,"BLITAR")</f>
        <v>28205</v>
      </c>
    </row>
    <row r="12" spans="1:10">
      <c r="A12" s="19" t="s">
        <v>133</v>
      </c>
      <c r="B12" s="20">
        <f t="shared" si="1"/>
        <v>5384128</v>
      </c>
      <c r="C12" s="20">
        <f>SUMIFS('P &amp; NP'!$C$11:$WL$11,'P &amp; NP'!$C$5:$WL$5,"PL",'P &amp; NP'!$C$2:$WL$2,"BOJONEGORO")</f>
        <v>0</v>
      </c>
      <c r="D12" s="20">
        <f>SUMIFS('P &amp; NP'!$C$11:$WL$11,'P &amp; NP'!$C$5:$WL$5,"PT",'P &amp; NP'!$C$2:$WL$2,"BOJONEGORO")</f>
        <v>0</v>
      </c>
      <c r="E12" s="20">
        <f>SUMIFS('P &amp; NP'!$C$11:$WL$11,'P &amp; NP'!$C$5:$WL$5,"PS",'P &amp; NP'!$C$2:$WL$2,"BOJONEGORO")</f>
        <v>0</v>
      </c>
      <c r="F12" s="20">
        <f>SUMIFS('P &amp; NP'!$C$11:$WL$11,'P &amp; NP'!$C$5:$WL$5,"PK",'P &amp; NP'!$C$2:$WL$2,"BOJONEGORO")</f>
        <v>5268405</v>
      </c>
      <c r="G12" s="20">
        <f>SUMIFS('P &amp; NP'!$C$11:$WL$11,'P &amp; NP'!$C$5:$WL$5,"PM",'P &amp; NP'!$C$2:$WL$2,"BOJONEGORO")</f>
        <v>84222</v>
      </c>
      <c r="H12" s="20">
        <f>SUMIFS('P &amp; NP'!$C$11:$WL$11,'P &amp; NP'!$C$5:$WL$5,"PB",'P &amp; NP'!$C$2:$WL$2,"BOJONEGORO")</f>
        <v>0</v>
      </c>
      <c r="I12" s="755">
        <f>SUMIFS('P &amp; NP'!$C$11:$WL$11,'P &amp; NP'!$C$5:$WL$5,"PJ",'P &amp; NP'!$C$2:$WL$2,"BOJONEGORO")</f>
        <v>31501</v>
      </c>
    </row>
    <row r="13" spans="1:10">
      <c r="A13" s="19" t="s">
        <v>122</v>
      </c>
      <c r="B13" s="20">
        <f t="shared" si="1"/>
        <v>849316</v>
      </c>
      <c r="C13" s="20">
        <f>SUMIFS('P &amp; NP'!$C$11:$WL$11,'P &amp; NP'!$C$5:$WL$5,"PL",'P &amp; NP'!$C$2:$WL$2,"BONDOWOSO")</f>
        <v>0</v>
      </c>
      <c r="D13" s="20">
        <f>SUMIFS('P &amp; NP'!$C$11:$WL$11,'P &amp; NP'!$C$5:$WL$5,"PT",'P &amp; NP'!$C$2:$WL$2,"BONDOWOSO")</f>
        <v>0</v>
      </c>
      <c r="E13" s="20">
        <f>SUMIFS('P &amp; NP'!$C$11:$WL$11,'P &amp; NP'!$C$5:$WL$5,"PS",'P &amp; NP'!$C$2:$WL$2,"BONDOWOSO")</f>
        <v>0</v>
      </c>
      <c r="F13" s="20">
        <f>SUMIFS('P &amp; NP'!$C$11:$WL$11,'P &amp; NP'!$C$5:$WL$5,"PK",'P &amp; NP'!$C$2:$WL$2,"BONDOWOSO")</f>
        <v>849316</v>
      </c>
      <c r="G13" s="20">
        <f>SUMIFS('P &amp; NP'!$C$11:$WL$11,'P &amp; NP'!$C$5:$WL$5,"PM",'P &amp; NP'!$C$2:$WL$2,"BONDOWOSO")</f>
        <v>0</v>
      </c>
      <c r="H13" s="20">
        <f>SUMIFS('P &amp; NP'!$C$11:$WL$11,'P &amp; NP'!$C$5:$WL$5,"PB",'P &amp; NP'!$C$2:$WL$2,"BONDOWOSO")</f>
        <v>0</v>
      </c>
      <c r="I13" s="755">
        <f>SUMIFS('P &amp; NP'!$C$11:$WL$11,'P &amp; NP'!$C$5:$WL$5,"PJ",'P &amp; NP'!$C$2:$WL$2,"BONDOWOSO")</f>
        <v>0</v>
      </c>
    </row>
    <row r="14" spans="1:10">
      <c r="A14" s="19" t="s">
        <v>136</v>
      </c>
      <c r="B14" s="20">
        <f t="shared" si="1"/>
        <v>160439074.52691662</v>
      </c>
      <c r="C14" s="20">
        <f>SUMIFS('P &amp; NP'!$C$11:$WL$11,'P &amp; NP'!$C$5:$WL$5,"PL",'P &amp; NP'!$C$2:$WL$2,"GRESIK")</f>
        <v>13740678.926078347</v>
      </c>
      <c r="D14" s="20">
        <f>SUMIFS('P &amp; NP'!$C$11:$WL$11,'P &amp; NP'!$C$5:$WL$5,"PT",'P &amp; NP'!$C$2:$WL$2,"GRESIK")</f>
        <v>82445960.751360208</v>
      </c>
      <c r="E14" s="20">
        <f>SUMIFS('P &amp; NP'!$C$11:$WL$11,'P &amp; NP'!$C$5:$WL$5,"PS",'P &amp; NP'!$C$2:$WL$2,"GRESIK")</f>
        <v>0</v>
      </c>
      <c r="F14" s="20">
        <f>SUMIFS('P &amp; NP'!$C$11:$WL$11,'P &amp; NP'!$C$5:$WL$5,"PK",'P &amp; NP'!$C$2:$WL$2,"GRESIK")</f>
        <v>64252434.849478066</v>
      </c>
      <c r="G14" s="20">
        <f>SUMIFS('P &amp; NP'!$C$11:$WL$11,'P &amp; NP'!$C$5:$WL$5,"PM",'P &amp; NP'!$C$2:$WL$2,"GRESIK")</f>
        <v>0</v>
      </c>
      <c r="H14" s="20">
        <f>SUMIFS('P &amp; NP'!$C$11:$WL$11,'P &amp; NP'!$C$5:$WL$5,"PB",'P &amp; NP'!$C$2:$WL$2,"GRESIK")</f>
        <v>0</v>
      </c>
      <c r="I14" s="755">
        <f>SUMIFS('P &amp; NP'!$C$11:$WL$11,'P &amp; NP'!$C$5:$WL$5,"PJ",'P &amp; NP'!$C$2:$WL$2,"GRESIK")</f>
        <v>0</v>
      </c>
    </row>
    <row r="15" spans="1:10">
      <c r="A15" s="19" t="s">
        <v>120</v>
      </c>
      <c r="B15" s="20">
        <f t="shared" si="1"/>
        <v>16410715.470161086</v>
      </c>
      <c r="C15" s="20">
        <f>SUMIFS('P &amp; NP'!$C$11:$WL$11,'P &amp; NP'!$C$5:$WL$5,"PL",'P &amp; NP'!$C$2:$WL$2,"JEMBER")</f>
        <v>0</v>
      </c>
      <c r="D15" s="20">
        <f>SUMIFS('P &amp; NP'!$C$11:$WL$11,'P &amp; NP'!$C$5:$WL$5,"PT",'P &amp; NP'!$C$2:$WL$2,"JEMBER")</f>
        <v>3938067.9328566566</v>
      </c>
      <c r="E15" s="20">
        <f>SUMIFS('P &amp; NP'!$C$11:$WL$11,'P &amp; NP'!$C$5:$WL$5,"PS",'P &amp; NP'!$C$2:$WL$2,"JEMBER")</f>
        <v>0</v>
      </c>
      <c r="F15" s="20">
        <f>SUMIFS('P &amp; NP'!$C$11:$WL$11,'P &amp; NP'!$C$5:$WL$5,"PK",'P &amp; NP'!$C$2:$WL$2,"JEMBER")</f>
        <v>12436925.536938429</v>
      </c>
      <c r="G15" s="20">
        <f>SUMIFS('P &amp; NP'!$C$11:$WL$11,'P &amp; NP'!$C$5:$WL$5,"PM",'P &amp; NP'!$C$2:$WL$2,"JEMBER")</f>
        <v>35722.000366</v>
      </c>
      <c r="H15" s="20">
        <f>SUMIFS('P &amp; NP'!$C$11:$WL$11,'P &amp; NP'!$C$5:$WL$5,"PB",'P &amp; NP'!$C$2:$WL$2,"JEMBER")</f>
        <v>0</v>
      </c>
      <c r="I15" s="755">
        <f>SUMIFS('P &amp; NP'!$C$11:$WL$11,'P &amp; NP'!$C$5:$WL$5,"PJ",'P &amp; NP'!$C$2:$WL$2,"JEMBER")</f>
        <v>0</v>
      </c>
    </row>
    <row r="16" spans="1:10">
      <c r="A16" s="19" t="s">
        <v>128</v>
      </c>
      <c r="B16" s="20">
        <f t="shared" si="1"/>
        <v>14792000</v>
      </c>
      <c r="C16" s="20">
        <f>SUMIFS('P &amp; NP'!$C$11:$WL$11,'P &amp; NP'!$C$5:$WL$5,"PL",'P &amp; NP'!$C$2:$WL$2,"JOMBANG")</f>
        <v>0</v>
      </c>
      <c r="D16" s="20">
        <f>SUMIFS('P &amp; NP'!$C$11:$WL$11,'P &amp; NP'!$C$5:$WL$5,"PT",'P &amp; NP'!$C$2:$WL$2,"JOMBANG")</f>
        <v>0</v>
      </c>
      <c r="E16" s="20">
        <f>SUMIFS('P &amp; NP'!$C$11:$WL$11,'P &amp; NP'!$C$5:$WL$5,"PS",'P &amp; NP'!$C$2:$WL$2,"JOMBANG")</f>
        <v>0</v>
      </c>
      <c r="F16" s="20">
        <f>SUMIFS('P &amp; NP'!$C$11:$WL$11,'P &amp; NP'!$C$5:$WL$5,"PK",'P &amp; NP'!$C$2:$WL$2,"JOMBANG")</f>
        <v>14792000</v>
      </c>
      <c r="G16" s="20">
        <f>SUMIFS('P &amp; NP'!$C$11:$WL$11,'P &amp; NP'!$C$5:$WL$5,"PM",'P &amp; NP'!$C$2:$WL$2,"JOMBANG")</f>
        <v>0</v>
      </c>
      <c r="H16" s="20">
        <f>SUMIFS('P &amp; NP'!$C$11:$WL$11,'P &amp; NP'!$C$5:$WL$5,"PB",'P &amp; NP'!$C$2:$WL$2,"JOMBANG")</f>
        <v>0</v>
      </c>
      <c r="I16" s="755">
        <f>SUMIFS('P &amp; NP'!$C$11:$WL$11,'P &amp; NP'!$C$5:$WL$5,"PJ",'P &amp; NP'!$C$2:$WL$2,"JOMBANG")</f>
        <v>0</v>
      </c>
    </row>
    <row r="17" spans="1:9">
      <c r="A17" s="19" t="s">
        <v>117</v>
      </c>
      <c r="B17" s="20">
        <f t="shared" si="1"/>
        <v>25514275</v>
      </c>
      <c r="C17" s="20">
        <f>SUMIFS('P &amp; NP'!$C$11:$WL$11,'P &amp; NP'!$C$5:$WL$5,"PL",'P &amp; NP'!$C$2:$WL$2,"KEDIRI")</f>
        <v>0</v>
      </c>
      <c r="D17" s="20">
        <f>SUMIFS('P &amp; NP'!$C$11:$WL$11,'P &amp; NP'!$C$5:$WL$5,"PT",'P &amp; NP'!$C$2:$WL$2,"KEDIRI")</f>
        <v>0</v>
      </c>
      <c r="E17" s="20">
        <f>SUMIFS('P &amp; NP'!$C$11:$WL$11,'P &amp; NP'!$C$5:$WL$5,"PS",'P &amp; NP'!$C$2:$WL$2,"KEDIRI")</f>
        <v>0</v>
      </c>
      <c r="F17" s="20">
        <f>SUMIFS('P &amp; NP'!$C$11:$WL$11,'P &amp; NP'!$C$5:$WL$5,"PK",'P &amp; NP'!$C$2:$WL$2,"KEDIRI")</f>
        <v>25514275</v>
      </c>
      <c r="G17" s="20">
        <f>SUMIFS('P &amp; NP'!$C$11:$WL$11,'P &amp; NP'!$C$5:$WL$5,"PM",'P &amp; NP'!$C$2:$WL$2,"KEDIRI")</f>
        <v>0</v>
      </c>
      <c r="H17" s="20">
        <f>SUMIFS('P &amp; NP'!$C$11:$WL$11,'P &amp; NP'!$C$5:$WL$5,"PB",'P &amp; NP'!$C$2:$WL$2,"KEDIRI")</f>
        <v>0</v>
      </c>
      <c r="I17" s="755">
        <f>SUMIFS('P &amp; NP'!$C$11:$WL$11,'P &amp; NP'!$C$5:$WL$5,"PJ",'P &amp; NP'!$C$2:$WL$2,"KEDIRI")</f>
        <v>0</v>
      </c>
    </row>
    <row r="18" spans="1:9">
      <c r="A18" s="19" t="s">
        <v>135</v>
      </c>
      <c r="B18" s="20">
        <f t="shared" si="1"/>
        <v>46941847</v>
      </c>
      <c r="C18" s="20">
        <f>SUMIFS('P &amp; NP'!$C$11:$WL$11,'P &amp; NP'!$C$5:$WL$5,"PL",'P &amp; NP'!$C$2:$WL$2,"LAMONGAN")</f>
        <v>0</v>
      </c>
      <c r="D18" s="20">
        <f>SUMIFS('P &amp; NP'!$C$11:$WL$11,'P &amp; NP'!$C$5:$WL$5,"PT",'P &amp; NP'!$C$2:$WL$2,"LAMONGAN")</f>
        <v>4881277</v>
      </c>
      <c r="E18" s="20">
        <f>SUMIFS('P &amp; NP'!$C$11:$WL$11,'P &amp; NP'!$C$5:$WL$5,"PS",'P &amp; NP'!$C$2:$WL$2,"LAMONGAN")</f>
        <v>0</v>
      </c>
      <c r="F18" s="20">
        <f>SUMIFS('P &amp; NP'!$C$11:$WL$11,'P &amp; NP'!$C$5:$WL$5,"PK",'P &amp; NP'!$C$2:$WL$2,"LAMONGAN")</f>
        <v>41981324</v>
      </c>
      <c r="G18" s="20">
        <f>SUMIFS('P &amp; NP'!$C$11:$WL$11,'P &amp; NP'!$C$5:$WL$5,"PM",'P &amp; NP'!$C$2:$WL$2,"LAMONGAN")</f>
        <v>0</v>
      </c>
      <c r="H18" s="20">
        <f>SUMIFS('P &amp; NP'!$C$11:$WL$11,'P &amp; NP'!$C$5:$WL$5,"PB",'P &amp; NP'!$C$2:$WL$2,"LAMONGAN")</f>
        <v>74030</v>
      </c>
      <c r="I18" s="755">
        <f>SUMIFS('P &amp; NP'!$C$11:$WL$11,'P &amp; NP'!$C$5:$WL$5,"PJ",'P &amp; NP'!$C$2:$WL$2,"LAMONGAN")</f>
        <v>5216</v>
      </c>
    </row>
    <row r="19" spans="1:9">
      <c r="A19" s="19" t="s">
        <v>119</v>
      </c>
      <c r="B19" s="20">
        <f t="shared" si="1"/>
        <v>5111596.4000000004</v>
      </c>
      <c r="C19" s="20">
        <f>SUMIFS('P &amp; NP'!$C$11:$WL$11,'P &amp; NP'!$C$5:$WL$5,"PL",'P &amp; NP'!$C$2:$WL$2,"LUMAJANG")</f>
        <v>0</v>
      </c>
      <c r="D19" s="20">
        <f>SUMIFS('P &amp; NP'!$C$11:$WL$11,'P &amp; NP'!$C$5:$WL$5,"PT",'P &amp; NP'!$C$2:$WL$2,"LUMAJANG")</f>
        <v>1490000</v>
      </c>
      <c r="E19" s="20">
        <f>SUMIFS('P &amp; NP'!$C$11:$WL$11,'P &amp; NP'!$C$5:$WL$5,"PS",'P &amp; NP'!$C$2:$WL$2,"LUMAJANG")</f>
        <v>0</v>
      </c>
      <c r="F19" s="20">
        <f>SUMIFS('P &amp; NP'!$C$11:$WL$11,'P &amp; NP'!$C$5:$WL$5,"PK",'P &amp; NP'!$C$2:$WL$2,"LUMAJANG")</f>
        <v>2736500.4</v>
      </c>
      <c r="G19" s="20">
        <f>SUMIFS('P &amp; NP'!$C$11:$WL$11,'P &amp; NP'!$C$5:$WL$5,"PM",'P &amp; NP'!$C$2:$WL$2,"LUMAJANG")</f>
        <v>0</v>
      </c>
      <c r="H19" s="20">
        <f>SUMIFS('P &amp; NP'!$C$11:$WL$11,'P &amp; NP'!$C$5:$WL$5,"PB",'P &amp; NP'!$C$2:$WL$2,"LUMAJANG")</f>
        <v>0</v>
      </c>
      <c r="I19" s="755">
        <f>SUMIFS('P &amp; NP'!$C$11:$WL$11,'P &amp; NP'!$C$5:$WL$5,"PJ",'P &amp; NP'!$C$2:$WL$2,"LUMAJANG")</f>
        <v>885096</v>
      </c>
    </row>
    <row r="20" spans="1:9">
      <c r="A20" s="19" t="s">
        <v>130</v>
      </c>
      <c r="B20" s="20">
        <f t="shared" si="1"/>
        <v>3850100</v>
      </c>
      <c r="C20" s="20">
        <f>SUMIFS('P &amp; NP'!$C$11:$WL$11,'P &amp; NP'!$C$5:$WL$5,"PL",'P &amp; NP'!$C$2:$WL$2,"MADIUN")</f>
        <v>0</v>
      </c>
      <c r="D20" s="20">
        <f>SUMIFS('P &amp; NP'!$C$11:$WL$11,'P &amp; NP'!$C$5:$WL$5,"PT",'P &amp; NP'!$C$2:$WL$2,"MADIUN")</f>
        <v>0</v>
      </c>
      <c r="E20" s="20">
        <f>SUMIFS('P &amp; NP'!$C$11:$WL$11,'P &amp; NP'!$C$5:$WL$5,"PS",'P &amp; NP'!$C$2:$WL$2,"MADIUN")</f>
        <v>0</v>
      </c>
      <c r="F20" s="20">
        <f>SUMIFS('P &amp; NP'!$C$11:$WL$11,'P &amp; NP'!$C$5:$WL$5,"PK",'P &amp; NP'!$C$2:$WL$2,"MADIUN")</f>
        <v>3850100</v>
      </c>
      <c r="G20" s="20">
        <f>SUMIFS('P &amp; NP'!$C$11:$WL$11,'P &amp; NP'!$C$5:$WL$5,"PM",'P &amp; NP'!$C$2:$WL$2,"MADIUN")</f>
        <v>0</v>
      </c>
      <c r="H20" s="20">
        <f>SUMIFS('P &amp; NP'!$C$11:$WL$11,'P &amp; NP'!$C$5:$WL$5,"PB",'P &amp; NP'!$C$2:$WL$2,"MADIUN")</f>
        <v>0</v>
      </c>
      <c r="I20" s="755">
        <f>SUMIFS('P &amp; NP'!$C$11:$WL$11,'P &amp; NP'!$C$5:$WL$5,"PJ",'P &amp; NP'!$C$2:$WL$2,"MADIUN")</f>
        <v>0</v>
      </c>
    </row>
    <row r="21" spans="1:9">
      <c r="A21" s="19" t="s">
        <v>131</v>
      </c>
      <c r="B21" s="20">
        <f t="shared" si="1"/>
        <v>1860280</v>
      </c>
      <c r="C21" s="20">
        <f>SUMIFS('P &amp; NP'!$C$11:$WL$11,'P &amp; NP'!$C$5:$WL$5,"PL",'P &amp; NP'!$C$2:$WL$2,"MAGETAN")</f>
        <v>0</v>
      </c>
      <c r="D21" s="20">
        <f>SUMIFS('P &amp; NP'!$C$11:$WL$11,'P &amp; NP'!$C$5:$WL$5,"PT",'P &amp; NP'!$C$2:$WL$2,"MAGETAN")</f>
        <v>0</v>
      </c>
      <c r="E21" s="20">
        <f>SUMIFS('P &amp; NP'!$C$11:$WL$11,'P &amp; NP'!$C$5:$WL$5,"PS",'P &amp; NP'!$C$2:$WL$2,"MAGETAN")</f>
        <v>0</v>
      </c>
      <c r="F21" s="20">
        <f>SUMIFS('P &amp; NP'!$C$11:$WL$11,'P &amp; NP'!$C$5:$WL$5,"PK",'P &amp; NP'!$C$2:$WL$2,"MAGETAN")</f>
        <v>1858550</v>
      </c>
      <c r="G21" s="20">
        <f>SUMIFS('P &amp; NP'!$C$11:$WL$11,'P &amp; NP'!$C$5:$WL$5,"PM",'P &amp; NP'!$C$2:$WL$2,"MAGETAN")</f>
        <v>0</v>
      </c>
      <c r="H21" s="20">
        <f>SUMIFS('P &amp; NP'!$C$11:$WL$11,'P &amp; NP'!$C$5:$WL$5,"PB",'P &amp; NP'!$C$2:$WL$2,"MAGETAN")</f>
        <v>0</v>
      </c>
      <c r="I21" s="755">
        <f>SUMIFS('P &amp; NP'!$C$11:$WL$11,'P &amp; NP'!$C$5:$WL$5,"PJ",'P &amp; NP'!$C$2:$WL$2,"MAGETAN")</f>
        <v>1730</v>
      </c>
    </row>
    <row r="22" spans="1:9">
      <c r="A22" s="19" t="s">
        <v>118</v>
      </c>
      <c r="B22" s="20">
        <f t="shared" si="1"/>
        <v>13264300</v>
      </c>
      <c r="C22" s="20">
        <f>SUMIFS('P &amp; NP'!$C$11:$WL$11,'P &amp; NP'!$C$5:$WL$5,"PL",'P &amp; NP'!$C$2:$WL$2,"MALANG")</f>
        <v>0</v>
      </c>
      <c r="D22" s="20">
        <f>SUMIFS('P &amp; NP'!$C$11:$WL$11,'P &amp; NP'!$C$5:$WL$5,"PT",'P &amp; NP'!$C$2:$WL$2,"MALANG")</f>
        <v>1640000</v>
      </c>
      <c r="E22" s="20">
        <f>SUMIFS('P &amp; NP'!$C$11:$WL$11,'P &amp; NP'!$C$5:$WL$5,"PS",'P &amp; NP'!$C$2:$WL$2,"MALANG")</f>
        <v>0</v>
      </c>
      <c r="F22" s="20">
        <f>SUMIFS('P &amp; NP'!$C$11:$WL$11,'P &amp; NP'!$C$5:$WL$5,"PK",'P &amp; NP'!$C$2:$WL$2,"MALANG")</f>
        <v>7364300</v>
      </c>
      <c r="G22" s="20">
        <f>SUMIFS('P &amp; NP'!$C$11:$WL$11,'P &amp; NP'!$C$5:$WL$5,"PM",'P &amp; NP'!$C$2:$WL$2,"MALANG")</f>
        <v>0</v>
      </c>
      <c r="H22" s="20">
        <f>SUMIFS('P &amp; NP'!$C$11:$WL$11,'P &amp; NP'!$C$5:$WL$5,"PB",'P &amp; NP'!$C$2:$WL$2,"MALANG")</f>
        <v>0</v>
      </c>
      <c r="I22" s="755">
        <f>SUMIFS('P &amp; NP'!$C$11:$WL$11,'P &amp; NP'!$C$5:$WL$5,"PJ",'P &amp; NP'!$C$2:$WL$2,"MALANG")</f>
        <v>4260000</v>
      </c>
    </row>
    <row r="23" spans="1:9">
      <c r="A23" s="19" t="s">
        <v>127</v>
      </c>
      <c r="B23" s="20">
        <f t="shared" si="1"/>
        <v>1816618</v>
      </c>
      <c r="C23" s="20">
        <f>SUMIFS('P &amp; NP'!$C$11:$WL$11,'P &amp; NP'!$C$5:$WL$5,"PL",'P &amp; NP'!$C$2:$WL$2,"MOJOKERTO")</f>
        <v>0</v>
      </c>
      <c r="D23" s="20">
        <f>SUMIFS('P &amp; NP'!$C$11:$WL$11,'P &amp; NP'!$C$5:$WL$5,"PT",'P &amp; NP'!$C$2:$WL$2,"MOJOKERTO")</f>
        <v>0</v>
      </c>
      <c r="E23" s="20">
        <f>SUMIFS('P &amp; NP'!$C$11:$WL$11,'P &amp; NP'!$C$5:$WL$5,"PS",'P &amp; NP'!$C$2:$WL$2,"MOJOKERTO")</f>
        <v>0</v>
      </c>
      <c r="F23" s="20">
        <f>SUMIFS('P &amp; NP'!$C$11:$WL$11,'P &amp; NP'!$C$5:$WL$5,"PK",'P &amp; NP'!$C$2:$WL$2,"MOJOKERTO")</f>
        <v>1813118</v>
      </c>
      <c r="G23" s="20">
        <f>SUMIFS('P &amp; NP'!$C$11:$WL$11,'P &amp; NP'!$C$5:$WL$5,"PM",'P &amp; NP'!$C$2:$WL$2,"MOJOKERTO")</f>
        <v>0</v>
      </c>
      <c r="H23" s="20">
        <f>SUMIFS('P &amp; NP'!$C$11:$WL$11,'P &amp; NP'!$C$5:$WL$5,"PB",'P &amp; NP'!$C$2:$WL$2,"MOJOKERTO")</f>
        <v>1800</v>
      </c>
      <c r="I23" s="755">
        <f>SUMIFS('P &amp; NP'!$C$11:$WL$11,'P &amp; NP'!$C$5:$WL$5,"PJ",'P &amp; NP'!$C$2:$WL$2,"MOJOKERTO")</f>
        <v>1700</v>
      </c>
    </row>
    <row r="24" spans="1:9">
      <c r="A24" s="19" t="s">
        <v>129</v>
      </c>
      <c r="B24" s="20">
        <f t="shared" si="1"/>
        <v>11030000</v>
      </c>
      <c r="C24" s="20">
        <f>SUMIFS('P &amp; NP'!$C$11:$WL$11,'P &amp; NP'!$C$5:$WL$5,"PL",'P &amp; NP'!$C$2:$WL$2,"NGANJUK")</f>
        <v>0</v>
      </c>
      <c r="D24" s="20">
        <f>SUMIFS('P &amp; NP'!$C$11:$WL$11,'P &amp; NP'!$C$5:$WL$5,"PT",'P &amp; NP'!$C$2:$WL$2,"NGANJUK")</f>
        <v>0</v>
      </c>
      <c r="E24" s="20">
        <f>SUMIFS('P &amp; NP'!$C$11:$WL$11,'P &amp; NP'!$C$5:$WL$5,"PS",'P &amp; NP'!$C$2:$WL$2,"NGANJUK")</f>
        <v>0</v>
      </c>
      <c r="F24" s="20">
        <f>SUMIFS('P &amp; NP'!$C$11:$WL$11,'P &amp; NP'!$C$5:$WL$5,"PK",'P &amp; NP'!$C$2:$WL$2,"NGANJUK")</f>
        <v>11030000</v>
      </c>
      <c r="G24" s="20">
        <f>SUMIFS('P &amp; NP'!$C$11:$WL$11,'P &amp; NP'!$C$5:$WL$5,"PM",'P &amp; NP'!$C$2:$WL$2,"NGANJUK")</f>
        <v>0</v>
      </c>
      <c r="H24" s="20">
        <f>SUMIFS('P &amp; NP'!$C$11:$WL$11,'P &amp; NP'!$C$5:$WL$5,"PB",'P &amp; NP'!$C$2:$WL$2,"NGANJUK")</f>
        <v>0</v>
      </c>
      <c r="I24" s="755">
        <f>SUMIFS('P &amp; NP'!$C$11:$WL$11,'P &amp; NP'!$C$5:$WL$5,"PJ",'P &amp; NP'!$C$2:$WL$2,"NGANJUK")</f>
        <v>0</v>
      </c>
    </row>
    <row r="25" spans="1:9">
      <c r="A25" s="19" t="s">
        <v>132</v>
      </c>
      <c r="B25" s="20">
        <f t="shared" si="1"/>
        <v>4513458</v>
      </c>
      <c r="C25" s="20">
        <f>SUMIFS('P &amp; NP'!$C$11:$WL$11,'P &amp; NP'!$C$5:$WL$5,"PL",'P &amp; NP'!$C$2:$WL$2,"NGAWI")</f>
        <v>0</v>
      </c>
      <c r="D25" s="20">
        <f>SUMIFS('P &amp; NP'!$C$11:$WL$11,'P &amp; NP'!$C$5:$WL$5,"PT",'P &amp; NP'!$C$2:$WL$2,"NGAWI")</f>
        <v>0</v>
      </c>
      <c r="E25" s="20">
        <f>SUMIFS('P &amp; NP'!$C$11:$WL$11,'P &amp; NP'!$C$5:$WL$5,"PS",'P &amp; NP'!$C$2:$WL$2,"NGAWI")</f>
        <v>0</v>
      </c>
      <c r="F25" s="20">
        <f>SUMIFS('P &amp; NP'!$C$11:$WL$11,'P &amp; NP'!$C$5:$WL$5,"PK",'P &amp; NP'!$C$2:$WL$2,"NGAWI")</f>
        <v>4406525</v>
      </c>
      <c r="G25" s="20">
        <f>SUMIFS('P &amp; NP'!$C$11:$WL$11,'P &amp; NP'!$C$5:$WL$5,"PM",'P &amp; NP'!$C$2:$WL$2,"NGAWI")</f>
        <v>0</v>
      </c>
      <c r="H25" s="20">
        <f>SUMIFS('P &amp; NP'!$C$11:$WL$11,'P &amp; NP'!$C$5:$WL$5,"PB",'P &amp; NP'!$C$2:$WL$2,"NGAWI")</f>
        <v>0</v>
      </c>
      <c r="I25" s="755">
        <f>SUMIFS('P &amp; NP'!$C$11:$WL$11,'P &amp; NP'!$C$5:$WL$5,"PJ",'P &amp; NP'!$C$2:$WL$2,"NGAWI")</f>
        <v>106933</v>
      </c>
    </row>
    <row r="26" spans="1:9">
      <c r="A26" s="19" t="s">
        <v>112</v>
      </c>
      <c r="B26" s="20">
        <f t="shared" si="1"/>
        <v>2663462</v>
      </c>
      <c r="C26" s="20">
        <f>SUMIFS('P &amp; NP'!$C$11:$WL$11,'P &amp; NP'!$C$5:$WL$5,"PL",'P &amp; NP'!$C$2:$WL$2,"PACITAN")</f>
        <v>0</v>
      </c>
      <c r="D26" s="20">
        <f>SUMIFS('P &amp; NP'!$C$11:$WL$11,'P &amp; NP'!$C$5:$WL$5,"PT",'P &amp; NP'!$C$2:$WL$2,"PACITAN")</f>
        <v>1732575</v>
      </c>
      <c r="E26" s="20">
        <f>SUMIFS('P &amp; NP'!$C$11:$WL$11,'P &amp; NP'!$C$5:$WL$5,"PS",'P &amp; NP'!$C$2:$WL$2,"PACITAN")</f>
        <v>0</v>
      </c>
      <c r="F26" s="20">
        <f>SUMIFS('P &amp; NP'!$C$11:$WL$11,'P &amp; NP'!$C$5:$WL$5,"PK",'P &amp; NP'!$C$2:$WL$2,"PACITAN")</f>
        <v>930887</v>
      </c>
      <c r="G26" s="20">
        <f>SUMIFS('P &amp; NP'!$C$11:$WL$11,'P &amp; NP'!$C$5:$WL$5,"PM",'P &amp; NP'!$C$2:$WL$2,"PACITAN")</f>
        <v>0</v>
      </c>
      <c r="H26" s="20">
        <f>SUMIFS('P &amp; NP'!$C$11:$WL$11,'P &amp; NP'!$C$5:$WL$5,"PB",'P &amp; NP'!$C$2:$WL$2,"PACITAN")</f>
        <v>0</v>
      </c>
      <c r="I26" s="755">
        <f>SUMIFS('P &amp; NP'!$C$11:$WL$11,'P &amp; NP'!$C$5:$WL$5,"PJ",'P &amp; NP'!$C$2:$WL$2,"PACITAN")</f>
        <v>0</v>
      </c>
    </row>
    <row r="27" spans="1:9">
      <c r="A27" s="19" t="s">
        <v>139</v>
      </c>
      <c r="B27" s="20">
        <f t="shared" si="1"/>
        <v>1315693</v>
      </c>
      <c r="C27" s="20">
        <f>SUMIFS('P &amp; NP'!$C$11:$WL$11,'P &amp; NP'!$C$5:$WL$5,"PL",'P &amp; NP'!$C$2:$WL$2,"PAMEKASAN")</f>
        <v>0</v>
      </c>
      <c r="D27" s="20">
        <f>SUMIFS('P &amp; NP'!$C$11:$WL$11,'P &amp; NP'!$C$5:$WL$5,"PT",'P &amp; NP'!$C$2:$WL$2,"PAMEKASAN")</f>
        <v>515643</v>
      </c>
      <c r="E27" s="20">
        <f>SUMIFS('P &amp; NP'!$C$11:$WL$11,'P &amp; NP'!$C$5:$WL$5,"PS",'P &amp; NP'!$C$2:$WL$2,"PAMEKASAN")</f>
        <v>0</v>
      </c>
      <c r="F27" s="20">
        <f>SUMIFS('P &amp; NP'!$C$11:$WL$11,'P &amp; NP'!$C$5:$WL$5,"PK",'P &amp; NP'!$C$2:$WL$2,"PAMEKASAN")</f>
        <v>800050</v>
      </c>
      <c r="G27" s="20">
        <f>SUMIFS('P &amp; NP'!$C$11:$WL$11,'P &amp; NP'!$C$5:$WL$5,"PM",'P &amp; NP'!$C$2:$WL$2,"PAMEKASAN")</f>
        <v>0</v>
      </c>
      <c r="H27" s="20">
        <f>SUMIFS('P &amp; NP'!$C$11:$WL$11,'P &amp; NP'!$C$5:$WL$5,"PB",'P &amp; NP'!$C$2:$WL$2,"PAMEKASAN")</f>
        <v>0</v>
      </c>
      <c r="I27" s="755">
        <f>SUMIFS('P &amp; NP'!$C$11:$WL$11,'P &amp; NP'!$C$5:$WL$5,"PJ",'P &amp; NP'!$C$2:$WL$2,"PAMEKASAN")</f>
        <v>0</v>
      </c>
    </row>
    <row r="28" spans="1:9">
      <c r="A28" s="19" t="s">
        <v>125</v>
      </c>
      <c r="B28" s="20">
        <f t="shared" si="1"/>
        <v>25295174.270000003</v>
      </c>
      <c r="C28" s="20">
        <f>SUMIFS('P &amp; NP'!$C$11:$WL$11,'P &amp; NP'!$C$5:$WL$5,"PL",'P &amp; NP'!$C$2:$WL$2,"PASURUAN")</f>
        <v>0</v>
      </c>
      <c r="D28" s="20">
        <f>SUMIFS('P &amp; NP'!$C$11:$WL$11,'P &amp; NP'!$C$5:$WL$5,"PT",'P &amp; NP'!$C$2:$WL$2,"PASURUAN")</f>
        <v>9211002.7800000012</v>
      </c>
      <c r="E28" s="20">
        <f>SUMIFS('P &amp; NP'!$C$11:$WL$11,'P &amp; NP'!$C$5:$WL$5,"PS",'P &amp; NP'!$C$2:$WL$2,"PASURUAN")</f>
        <v>0</v>
      </c>
      <c r="F28" s="20">
        <f>SUMIFS('P &amp; NP'!$C$11:$WL$11,'P &amp; NP'!$C$5:$WL$5,"PK",'P &amp; NP'!$C$2:$WL$2,"PASURUAN")</f>
        <v>15942118.630000001</v>
      </c>
      <c r="G28" s="20">
        <f>SUMIFS('P &amp; NP'!$C$11:$WL$11,'P &amp; NP'!$C$5:$WL$5,"PM",'P &amp; NP'!$C$2:$WL$2,"PASURUAN")</f>
        <v>0</v>
      </c>
      <c r="H28" s="20">
        <f>SUMIFS('P &amp; NP'!$C$11:$WL$11,'P &amp; NP'!$C$5:$WL$5,"PB",'P &amp; NP'!$C$2:$WL$2,"PASURUAN")</f>
        <v>0</v>
      </c>
      <c r="I28" s="755">
        <f>SUMIFS('P &amp; NP'!$C$11:$WL$11,'P &amp; NP'!$C$5:$WL$5,"PJ",'P &amp; NP'!$C$2:$WL$2,"PASURUAN")</f>
        <v>142052.85999999999</v>
      </c>
    </row>
    <row r="29" spans="1:9">
      <c r="A29" s="19" t="s">
        <v>113</v>
      </c>
      <c r="B29" s="20">
        <f t="shared" si="1"/>
        <v>2197316</v>
      </c>
      <c r="C29" s="20">
        <f>SUMIFS('P &amp; NP'!$C$11:$WL$11,'P &amp; NP'!$C$5:$WL$5,"PL",'P &amp; NP'!$C$2:$WL$2,"PONOROGO")</f>
        <v>0</v>
      </c>
      <c r="D29" s="20">
        <f>SUMIFS('P &amp; NP'!$C$11:$WL$11,'P &amp; NP'!$C$5:$WL$5,"PT",'P &amp; NP'!$C$2:$WL$2,"PONOROGO")</f>
        <v>0</v>
      </c>
      <c r="E29" s="20">
        <f>SUMIFS('P &amp; NP'!$C$11:$WL$11,'P &amp; NP'!$C$5:$WL$5,"PS",'P &amp; NP'!$C$2:$WL$2,"PONOROGO")</f>
        <v>0</v>
      </c>
      <c r="F29" s="20">
        <f>SUMIFS('P &amp; NP'!$C$11:$WL$11,'P &amp; NP'!$C$5:$WL$5,"PK",'P &amp; NP'!$C$2:$WL$2,"PONOROGO")</f>
        <v>2179713</v>
      </c>
      <c r="G29" s="20">
        <f>SUMIFS('P &amp; NP'!$C$11:$WL$11,'P &amp; NP'!$C$5:$WL$5,"PM",'P &amp; NP'!$C$2:$WL$2,"PONOROGO")</f>
        <v>0</v>
      </c>
      <c r="H29" s="20">
        <f>SUMIFS('P &amp; NP'!$C$11:$WL$11,'P &amp; NP'!$C$5:$WL$5,"PB",'P &amp; NP'!$C$2:$WL$2,"PONOROGO")</f>
        <v>0</v>
      </c>
      <c r="I29" s="755">
        <f>SUMIFS('P &amp; NP'!$C$11:$WL$11,'P &amp; NP'!$C$5:$WL$5,"PJ",'P &amp; NP'!$C$2:$WL$2,"PONOROGO")</f>
        <v>17603</v>
      </c>
    </row>
    <row r="30" spans="1:9">
      <c r="A30" s="19" t="s">
        <v>124</v>
      </c>
      <c r="B30" s="20">
        <f t="shared" si="1"/>
        <v>15433568</v>
      </c>
      <c r="C30" s="20">
        <f>SUMIFS('P &amp; NP'!$C$11:$WL$11,'P &amp; NP'!$C$5:$WL$5,"PL",'P &amp; NP'!$C$2:$WL$2,"PROBOLINGGO")</f>
        <v>435150</v>
      </c>
      <c r="D30" s="20">
        <f>SUMIFS('P &amp; NP'!$C$11:$WL$11,'P &amp; NP'!$C$5:$WL$5,"PT",'P &amp; NP'!$C$2:$WL$2,"PROBOLINGGO")</f>
        <v>14113148</v>
      </c>
      <c r="E30" s="20">
        <f>SUMIFS('P &amp; NP'!$C$11:$WL$11,'P &amp; NP'!$C$5:$WL$5,"PS",'P &amp; NP'!$C$2:$WL$2,"PROBOLINGGO")</f>
        <v>0</v>
      </c>
      <c r="F30" s="20">
        <f>SUMIFS('P &amp; NP'!$C$11:$WL$11,'P &amp; NP'!$C$5:$WL$5,"PK",'P &amp; NP'!$C$2:$WL$2,"PROBOLINGGO")</f>
        <v>856340</v>
      </c>
      <c r="G30" s="20">
        <f>SUMIFS('P &amp; NP'!$C$11:$WL$11,'P &amp; NP'!$C$5:$WL$5,"PM",'P &amp; NP'!$C$2:$WL$2,"PROBOLINGGO")</f>
        <v>0</v>
      </c>
      <c r="H30" s="20">
        <f>SUMIFS('P &amp; NP'!$C$11:$WL$11,'P &amp; NP'!$C$5:$WL$5,"PB",'P &amp; NP'!$C$2:$WL$2,"PROBOLINGGO")</f>
        <v>0</v>
      </c>
      <c r="I30" s="755">
        <f>SUMIFS('P &amp; NP'!$C$11:$WL$11,'P &amp; NP'!$C$5:$WL$5,"PJ",'P &amp; NP'!$C$2:$WL$2,"PROBOLINGGO")</f>
        <v>28930</v>
      </c>
    </row>
    <row r="31" spans="1:9">
      <c r="A31" s="19" t="s">
        <v>138</v>
      </c>
      <c r="B31" s="20">
        <f t="shared" si="1"/>
        <v>1083028</v>
      </c>
      <c r="C31" s="20">
        <f>SUMIFS('P &amp; NP'!$C$11:$WL$11,'P &amp; NP'!$C$5:$WL$5,"PL",'P &amp; NP'!$C$2:$WL$2,"SAMPANG")</f>
        <v>0</v>
      </c>
      <c r="D31" s="20">
        <f>SUMIFS('P &amp; NP'!$C$11:$WL$11,'P &amp; NP'!$C$5:$WL$5,"PT",'P &amp; NP'!$C$2:$WL$2,"SAMPANG")</f>
        <v>854079</v>
      </c>
      <c r="E31" s="20">
        <f>SUMIFS('P &amp; NP'!$C$11:$WL$11,'P &amp; NP'!$C$5:$WL$5,"PS",'P &amp; NP'!$C$2:$WL$2,"SAMPANG")</f>
        <v>0</v>
      </c>
      <c r="F31" s="20">
        <f>SUMIFS('P &amp; NP'!$C$11:$WL$11,'P &amp; NP'!$C$5:$WL$5,"PK",'P &amp; NP'!$C$2:$WL$2,"SAMPANG")</f>
        <v>228949</v>
      </c>
      <c r="G31" s="20">
        <f>SUMIFS('P &amp; NP'!$C$11:$WL$11,'P &amp; NP'!$C$5:$WL$5,"PM",'P &amp; NP'!$C$2:$WL$2,"SAMPANG")</f>
        <v>0</v>
      </c>
      <c r="H31" s="20">
        <f>SUMIFS('P &amp; NP'!$C$11:$WL$11,'P &amp; NP'!$C$5:$WL$5,"PB",'P &amp; NP'!$C$2:$WL$2,"SAMPANG")</f>
        <v>0</v>
      </c>
      <c r="I31" s="755">
        <f>SUMIFS('P &amp; NP'!$C$11:$WL$11,'P &amp; NP'!$C$5:$WL$5,"PJ",'P &amp; NP'!$C$2:$WL$2,"SAMPANG")</f>
        <v>0</v>
      </c>
    </row>
    <row r="32" spans="1:9">
      <c r="A32" s="19" t="s">
        <v>126</v>
      </c>
      <c r="B32" s="20">
        <f t="shared" si="1"/>
        <v>110739687</v>
      </c>
      <c r="C32" s="20">
        <f>SUMIFS('P &amp; NP'!$C$11:$WL$11,'P &amp; NP'!$C$5:$WL$5,"PL",'P &amp; NP'!$C$2:$WL$2,"SIDOARJO")</f>
        <v>0</v>
      </c>
      <c r="D32" s="20">
        <f>SUMIFS('P &amp; NP'!$C$11:$WL$11,'P &amp; NP'!$C$5:$WL$5,"PT",'P &amp; NP'!$C$2:$WL$2,"SIDOARJO")</f>
        <v>83044522</v>
      </c>
      <c r="E32" s="20">
        <f>SUMIFS('P &amp; NP'!$C$11:$WL$11,'P &amp; NP'!$C$5:$WL$5,"PS",'P &amp; NP'!$C$2:$WL$2,"SIDOARJO")</f>
        <v>0</v>
      </c>
      <c r="F32" s="20">
        <f>SUMIFS('P &amp; NP'!$C$11:$WL$11,'P &amp; NP'!$C$5:$WL$5,"PK",'P &amp; NP'!$C$2:$WL$2,"SIDOARJO")</f>
        <v>26544645</v>
      </c>
      <c r="G32" s="20">
        <f>SUMIFS('P &amp; NP'!$C$11:$WL$11,'P &amp; NP'!$C$5:$WL$5,"PM",'P &amp; NP'!$C$2:$WL$2,"SIDOARJO")</f>
        <v>837900</v>
      </c>
      <c r="H32" s="20">
        <f>SUMIFS('P &amp; NP'!$C$11:$WL$11,'P &amp; NP'!$C$5:$WL$5,"PB",'P &amp; NP'!$C$2:$WL$2,"SIDOARJO")</f>
        <v>312620</v>
      </c>
      <c r="I32" s="755">
        <f>SUMIFS('P &amp; NP'!$C$11:$WL$11,'P &amp; NP'!$C$5:$WL$5,"PJ",'P &amp; NP'!$C$2:$WL$2,"SIDOARJO")</f>
        <v>0</v>
      </c>
    </row>
    <row r="33" spans="1:9">
      <c r="A33" s="19" t="s">
        <v>123</v>
      </c>
      <c r="B33" s="20">
        <f t="shared" si="1"/>
        <v>11675328</v>
      </c>
      <c r="C33" s="20">
        <f>SUMIFS('P &amp; NP'!$C$11:$WL$11,'P &amp; NP'!$C$5:$WL$5,"PL",'P &amp; NP'!$C$2:$WL$2,"SITUBONDO")</f>
        <v>59275</v>
      </c>
      <c r="D33" s="20">
        <f>SUMIFS('P &amp; NP'!$C$11:$WL$11,'P &amp; NP'!$C$5:$WL$5,"PT",'P &amp; NP'!$C$2:$WL$2,"SITUBONDO")</f>
        <v>10978224</v>
      </c>
      <c r="E33" s="20">
        <f>SUMIFS('P &amp; NP'!$C$11:$WL$11,'P &amp; NP'!$C$5:$WL$5,"PS",'P &amp; NP'!$C$2:$WL$2,"SITUBONDO")</f>
        <v>0</v>
      </c>
      <c r="F33" s="20">
        <f>SUMIFS('P &amp; NP'!$C$11:$WL$11,'P &amp; NP'!$C$5:$WL$5,"PK",'P &amp; NP'!$C$2:$WL$2,"SITUBONDO")</f>
        <v>637829</v>
      </c>
      <c r="G33" s="20">
        <f>SUMIFS('P &amp; NP'!$C$11:$WL$11,'P &amp; NP'!$C$5:$WL$5,"PM",'P &amp; NP'!$C$2:$WL$2,"SITUBONDO")</f>
        <v>0</v>
      </c>
      <c r="H33" s="20">
        <f>SUMIFS('P &amp; NP'!$C$11:$WL$11,'P &amp; NP'!$C$5:$WL$5,"PB",'P &amp; NP'!$C$2:$WL$2,"SITUBONDO")</f>
        <v>0</v>
      </c>
      <c r="I33" s="755">
        <f>SUMIFS('P &amp; NP'!$C$11:$WL$11,'P &amp; NP'!$C$5:$WL$5,"PJ",'P &amp; NP'!$C$2:$WL$2,"SITUBONDO")</f>
        <v>0</v>
      </c>
    </row>
    <row r="34" spans="1:9">
      <c r="A34" s="19" t="s">
        <v>140</v>
      </c>
      <c r="B34" s="20">
        <f t="shared" si="1"/>
        <v>770272096.39999998</v>
      </c>
      <c r="C34" s="20">
        <f>SUMIFS('P &amp; NP'!$C$11:$WL$11,'P &amp; NP'!$C$5:$WL$5,"PL",'P &amp; NP'!$C$2:$WL$2,"SUMENEP")</f>
        <v>760127186</v>
      </c>
      <c r="D34" s="20">
        <f>SUMIFS('P &amp; NP'!$C$11:$WL$11,'P &amp; NP'!$C$5:$WL$5,"PT",'P &amp; NP'!$C$2:$WL$2,"SUMENEP")</f>
        <v>7596034</v>
      </c>
      <c r="E34" s="20">
        <f>SUMIFS('P &amp; NP'!$C$11:$WL$11,'P &amp; NP'!$C$5:$WL$5,"PS",'P &amp; NP'!$C$2:$WL$2,"SUMENEP")</f>
        <v>0</v>
      </c>
      <c r="F34" s="20">
        <f>SUMIFS('P &amp; NP'!$C$11:$WL$11,'P &amp; NP'!$C$5:$WL$5,"PK",'P &amp; NP'!$C$2:$WL$2,"SUMENEP")</f>
        <v>2548876.4000000004</v>
      </c>
      <c r="G34" s="20">
        <f>SUMIFS('P &amp; NP'!$C$11:$WL$11,'P &amp; NP'!$C$5:$WL$5,"PM",'P &amp; NP'!$C$2:$WL$2,"SUMENEP")</f>
        <v>0</v>
      </c>
      <c r="H34" s="20">
        <f>SUMIFS('P &amp; NP'!$C$11:$WL$11,'P &amp; NP'!$C$5:$WL$5,"PB",'P &amp; NP'!$C$2:$WL$2,"SUMENEP")</f>
        <v>0</v>
      </c>
      <c r="I34" s="755">
        <f>SUMIFS('P &amp; NP'!$C$11:$WL$11,'P &amp; NP'!$C$5:$WL$5,"PJ",'P &amp; NP'!$C$2:$WL$2,"SUMENEP")</f>
        <v>0</v>
      </c>
    </row>
    <row r="35" spans="1:9">
      <c r="A35" s="19" t="s">
        <v>114</v>
      </c>
      <c r="B35" s="20">
        <f t="shared" si="1"/>
        <v>5088463</v>
      </c>
      <c r="C35" s="20">
        <f>SUMIFS('P &amp; NP'!$C$11:$WL$11,'P &amp; NP'!$C$5:$WL$5,"PL",'P &amp; NP'!$C$2:$WL$2,"TRENGGALEK")</f>
        <v>2009</v>
      </c>
      <c r="D35" s="20">
        <f>SUMIFS('P &amp; NP'!$C$11:$WL$11,'P &amp; NP'!$C$5:$WL$5,"PT",'P &amp; NP'!$C$2:$WL$2,"TRENGGALEK")</f>
        <v>273436</v>
      </c>
      <c r="E35" s="20">
        <f>SUMIFS('P &amp; NP'!$C$11:$WL$11,'P &amp; NP'!$C$5:$WL$5,"PS",'P &amp; NP'!$C$2:$WL$2,"TRENGGALEK")</f>
        <v>0</v>
      </c>
      <c r="F35" s="20">
        <f>SUMIFS('P &amp; NP'!$C$11:$WL$11,'P &amp; NP'!$C$5:$WL$5,"PK",'P &amp; NP'!$C$2:$WL$2,"TRENGGALEK")</f>
        <v>4813018</v>
      </c>
      <c r="G35" s="20">
        <f>SUMIFS('P &amp; NP'!$C$11:$WL$11,'P &amp; NP'!$C$5:$WL$5,"PM",'P &amp; NP'!$C$2:$WL$2,"TRENGGALEK")</f>
        <v>0</v>
      </c>
      <c r="H35" s="20">
        <f>SUMIFS('P &amp; NP'!$C$11:$WL$11,'P &amp; NP'!$C$5:$WL$5,"PB",'P &amp; NP'!$C$2:$WL$2,"TRENGGALEK")</f>
        <v>0</v>
      </c>
      <c r="I35" s="755">
        <f>SUMIFS('P &amp; NP'!$C$11:$WL$11,'P &amp; NP'!$C$5:$WL$5,"PJ",'P &amp; NP'!$C$2:$WL$2,"TRENGGALEK")</f>
        <v>0</v>
      </c>
    </row>
    <row r="36" spans="1:9">
      <c r="A36" s="19" t="s">
        <v>134</v>
      </c>
      <c r="B36" s="20">
        <f t="shared" si="1"/>
        <v>53319430</v>
      </c>
      <c r="C36" s="20">
        <f>SUMIFS('P &amp; NP'!$C$11:$WL$11,'P &amp; NP'!$C$5:$WL$5,"PL",'P &amp; NP'!$C$2:$WL$2,"TUBAN")</f>
        <v>2600</v>
      </c>
      <c r="D36" s="20">
        <f>SUMIFS('P &amp; NP'!$C$11:$WL$11,'P &amp; NP'!$C$5:$WL$5,"PT",'P &amp; NP'!$C$2:$WL$2,"TUBAN")</f>
        <v>16478460</v>
      </c>
      <c r="E36" s="20">
        <f>SUMIFS('P &amp; NP'!$C$11:$WL$11,'P &amp; NP'!$C$5:$WL$5,"PS",'P &amp; NP'!$C$2:$WL$2,"TUBAN")</f>
        <v>0</v>
      </c>
      <c r="F36" s="20">
        <f>SUMIFS('P &amp; NP'!$C$11:$WL$11,'P &amp; NP'!$C$5:$WL$5,"PK",'P &amp; NP'!$C$2:$WL$2,"TUBAN")</f>
        <v>15105580</v>
      </c>
      <c r="G36" s="20">
        <f>SUMIFS('P &amp; NP'!$C$11:$WL$11,'P &amp; NP'!$C$5:$WL$5,"PM",'P &amp; NP'!$C$2:$WL$2,"TUBAN")</f>
        <v>15223090</v>
      </c>
      <c r="H36" s="20">
        <f>SUMIFS('P &amp; NP'!$C$11:$WL$11,'P &amp; NP'!$C$5:$WL$5,"PB",'P &amp; NP'!$C$2:$WL$2,"TUBAN")</f>
        <v>6509700</v>
      </c>
      <c r="I36" s="755">
        <f>SUMIFS('P &amp; NP'!$C$11:$WL$11,'P &amp; NP'!$C$5:$WL$5,"PJ",'P &amp; NP'!$C$2:$WL$2,"TUBAN")</f>
        <v>0</v>
      </c>
    </row>
    <row r="37" spans="1:9">
      <c r="A37" s="19" t="s">
        <v>115</v>
      </c>
      <c r="B37" s="20">
        <f t="shared" si="1"/>
        <v>53751500</v>
      </c>
      <c r="C37" s="20">
        <f>SUMIFS('P &amp; NP'!$C$11:$WL$11,'P &amp; NP'!$C$5:$WL$5,"PL",'P &amp; NP'!$C$2:$WL$2,"TULUNGAGUNG")</f>
        <v>0</v>
      </c>
      <c r="D37" s="20">
        <f>SUMIFS('P &amp; NP'!$C$11:$WL$11,'P &amp; NP'!$C$5:$WL$5,"PT",'P &amp; NP'!$C$2:$WL$2,"TULUNGAGUNG")</f>
        <v>350000</v>
      </c>
      <c r="E37" s="20">
        <f>SUMIFS('P &amp; NP'!$C$11:$WL$11,'P &amp; NP'!$C$5:$WL$5,"PS",'P &amp; NP'!$C$2:$WL$2,"TULUNGAGUNG")</f>
        <v>0</v>
      </c>
      <c r="F37" s="20">
        <f>SUMIFS('P &amp; NP'!$C$11:$WL$11,'P &amp; NP'!$C$5:$WL$5,"PK",'P &amp; NP'!$C$2:$WL$2,"TULUNGAGUNG")</f>
        <v>53401500</v>
      </c>
      <c r="G37" s="20">
        <f>SUMIFS('P &amp; NP'!$C$11:$WL$11,'P &amp; NP'!$C$5:$WL$5,"PM",'P &amp; NP'!$C$2:$WL$2,"TULUNGAGUNG")</f>
        <v>0</v>
      </c>
      <c r="H37" s="20">
        <f>SUMIFS('P &amp; NP'!$C$11:$WL$11,'P &amp; NP'!$C$5:$WL$5,"PB",'P &amp; NP'!$C$2:$WL$2,"TULUNGAGUNG")</f>
        <v>0</v>
      </c>
      <c r="I37" s="755">
        <f>SUMIFS('P &amp; NP'!$C$11:$WL$11,'P &amp; NP'!$C$5:$WL$5,"PJ",'P &amp; NP'!$C$2:$WL$2,"TULUNGAGUNG")</f>
        <v>0</v>
      </c>
    </row>
    <row r="38" spans="1:9">
      <c r="A38" s="19" t="s">
        <v>149</v>
      </c>
      <c r="B38" s="20">
        <f t="shared" si="1"/>
        <v>65339</v>
      </c>
      <c r="C38" s="20">
        <f>SUMIFS('P &amp; NP'!$C$11:$WL$11,'P &amp; NP'!$C$5:$WL$5,"PL",'P &amp; NP'!$C$2:$WL$2,"KOTA BATU")</f>
        <v>0</v>
      </c>
      <c r="D38" s="20">
        <f>SUMIFS('P &amp; NP'!$C$11:$WL$11,'P &amp; NP'!$C$5:$WL$5,"PT",'P &amp; NP'!$C$2:$WL$2,"KOTA BATU")</f>
        <v>0</v>
      </c>
      <c r="E38" s="20">
        <f>SUMIFS('P &amp; NP'!$C$11:$WL$11,'P &amp; NP'!$C$5:$WL$5,"PS",'P &amp; NP'!$C$2:$WL$2,"KOTA BATU")</f>
        <v>0</v>
      </c>
      <c r="F38" s="20">
        <f>SUMIFS('P &amp; NP'!$C$11:$WL$11,'P &amp; NP'!$C$5:$WL$5,"PK",'P &amp; NP'!$C$2:$WL$2,"KOTA BATU")</f>
        <v>65339</v>
      </c>
      <c r="G38" s="20">
        <f>SUMIFS('P &amp; NP'!$C$11:$WL$11,'P &amp; NP'!$C$5:$WL$5,"PM",'P &amp; NP'!$C$2:$WL$2,"KOTA BATU")</f>
        <v>0</v>
      </c>
      <c r="H38" s="20">
        <f>SUMIFS('P &amp; NP'!$C$11:$WL$11,'P &amp; NP'!$C$5:$WL$5,"PB",'P &amp; NP'!$C$2:$WL$2,"KOTA BATU")</f>
        <v>0</v>
      </c>
      <c r="I38" s="755">
        <f>SUMIFS('P &amp; NP'!$C$11:$WL$11,'P &amp; NP'!$C$5:$WL$5,"PJ",'P &amp; NP'!$C$2:$WL$2,"KOTA BATU")</f>
        <v>0</v>
      </c>
    </row>
    <row r="39" spans="1:9">
      <c r="A39" s="19" t="s">
        <v>142</v>
      </c>
      <c r="B39" s="20">
        <f t="shared" si="1"/>
        <v>244780</v>
      </c>
      <c r="C39" s="20">
        <f>SUMIFS('P &amp; NP'!$C$11:$WL$11,'P &amp; NP'!$C$5:$WL$5,"PL",'P &amp; NP'!$C$2:$WL$2,"KOTA BLITAR")</f>
        <v>0</v>
      </c>
      <c r="D39" s="20">
        <f>SUMIFS('P &amp; NP'!$C$11:$WL$11,'P &amp; NP'!$C$5:$WL$5,"PT",'P &amp; NP'!$C$2:$WL$2,"KOTA BLITAR")</f>
        <v>0</v>
      </c>
      <c r="E39" s="20">
        <f>SUMIFS('P &amp; NP'!$C$11:$WL$11,'P &amp; NP'!$C$5:$WL$5,"PS",'P &amp; NP'!$C$2:$WL$2,"KOTA BLITAR")</f>
        <v>0</v>
      </c>
      <c r="F39" s="20">
        <f>SUMIFS('P &amp; NP'!$C$11:$WL$11,'P &amp; NP'!$C$5:$WL$5,"PK",'P &amp; NP'!$C$2:$WL$2,"KOTA BLITAR")</f>
        <v>244780</v>
      </c>
      <c r="G39" s="20">
        <f>SUMIFS('P &amp; NP'!$C$11:$WL$11,'P &amp; NP'!$C$5:$WL$5,"PM",'P &amp; NP'!$C$2:$WL$2,"KOTA BLITAR")</f>
        <v>0</v>
      </c>
      <c r="H39" s="20">
        <f>SUMIFS('P &amp; NP'!$C$11:$WL$11,'P &amp; NP'!$C$5:$WL$5,"PB",'P &amp; NP'!$C$2:$WL$2,"KOTA BLITAR")</f>
        <v>0</v>
      </c>
      <c r="I39" s="755">
        <f>SUMIFS('P &amp; NP'!$C$11:$WL$11,'P &amp; NP'!$C$5:$WL$5,"PJ",'P &amp; NP'!$C$2:$WL$2,"KOTA BLITAR")</f>
        <v>0</v>
      </c>
    </row>
    <row r="40" spans="1:9">
      <c r="A40" s="19" t="s">
        <v>141</v>
      </c>
      <c r="B40" s="20">
        <f t="shared" si="1"/>
        <v>193100</v>
      </c>
      <c r="C40" s="20">
        <f>SUMIFS('P &amp; NP'!$C$11:$WL$11,'P &amp; NP'!$C$5:$WL$5,"PL",'P &amp; NP'!$C$2:$WL$2,"KOTA KEDIRI")</f>
        <v>0</v>
      </c>
      <c r="D40" s="20">
        <f>SUMIFS('P &amp; NP'!$C$11:$WL$11,'P &amp; NP'!$C$5:$WL$5,"PT",'P &amp; NP'!$C$2:$WL$2,"KOTA KEDIRI")</f>
        <v>0</v>
      </c>
      <c r="E40" s="20">
        <f>SUMIFS('P &amp; NP'!$C$11:$WL$11,'P &amp; NP'!$C$5:$WL$5,"PS",'P &amp; NP'!$C$2:$WL$2,"KOTA KEDIRI")</f>
        <v>0</v>
      </c>
      <c r="F40" s="20">
        <f>SUMIFS('P &amp; NP'!$C$11:$WL$11,'P &amp; NP'!$C$5:$WL$5,"PK",'P &amp; NP'!$C$2:$WL$2,"KOTA KEDIRI")</f>
        <v>193100</v>
      </c>
      <c r="G40" s="20">
        <f>SUMIFS('P &amp; NP'!$C$11:$WL$11,'P &amp; NP'!$C$5:$WL$5,"PM",'P &amp; NP'!$C$2:$WL$2,"KOTA KEDIRI")</f>
        <v>0</v>
      </c>
      <c r="H40" s="20">
        <f>SUMIFS('P &amp; NP'!$C$11:$WL$11,'P &amp; NP'!$C$5:$WL$5,"PB",'P &amp; NP'!$C$2:$WL$2,"KOTA KEDIRI")</f>
        <v>0</v>
      </c>
      <c r="I40" s="755">
        <f>SUMIFS('P &amp; NP'!$C$11:$WL$11,'P &amp; NP'!$C$5:$WL$5,"PJ",'P &amp; NP'!$C$2:$WL$2,"KOTA KEDIRI")</f>
        <v>0</v>
      </c>
    </row>
    <row r="41" spans="1:9">
      <c r="A41" s="19" t="s">
        <v>147</v>
      </c>
      <c r="B41" s="20">
        <f t="shared" si="1"/>
        <v>290624.95</v>
      </c>
      <c r="C41" s="20">
        <f>SUMIFS('P &amp; NP'!$C$11:$WL$11,'P &amp; NP'!$C$5:$WL$5,"PL",'P &amp; NP'!$C$2:$WL$2,"KOTA MADIUN")</f>
        <v>0</v>
      </c>
      <c r="D41" s="20">
        <f>SUMIFS('P &amp; NP'!$C$11:$WL$11,'P &amp; NP'!$C$5:$WL$5,"PT",'P &amp; NP'!$C$2:$WL$2,"KOTA MADIUN")</f>
        <v>0</v>
      </c>
      <c r="E41" s="20">
        <f>SUMIFS('P &amp; NP'!$C$11:$WL$11,'P &amp; NP'!$C$5:$WL$5,"PS",'P &amp; NP'!$C$2:$WL$2,"KOTA MADIUN")</f>
        <v>0</v>
      </c>
      <c r="F41" s="20">
        <f>SUMIFS('P &amp; NP'!$C$11:$WL$11,'P &amp; NP'!$C$5:$WL$5,"PK",'P &amp; NP'!$C$2:$WL$2,"KOTA MADIUN")</f>
        <v>290624.95</v>
      </c>
      <c r="G41" s="20">
        <f>SUMIFS('P &amp; NP'!$C$11:$WL$11,'P &amp; NP'!$C$5:$WL$5,"PM",'P &amp; NP'!$C$2:$WL$2,"KOTA MADIUN")</f>
        <v>0</v>
      </c>
      <c r="H41" s="20">
        <f>SUMIFS('P &amp; NP'!$C$11:$WL$11,'P &amp; NP'!$C$5:$WL$5,"PB",'P &amp; NP'!$C$2:$WL$2,"KOTA MADIUN")</f>
        <v>0</v>
      </c>
      <c r="I41" s="755">
        <f>SUMIFS('P &amp; NP'!$C$11:$WL$11,'P &amp; NP'!$C$5:$WL$5,"PJ",'P &amp; NP'!$C$2:$WL$2,"KOTA MADIUN")</f>
        <v>0</v>
      </c>
    </row>
    <row r="42" spans="1:9">
      <c r="A42" s="19" t="s">
        <v>143</v>
      </c>
      <c r="B42" s="20">
        <f t="shared" si="1"/>
        <v>162000</v>
      </c>
      <c r="C42" s="20">
        <f>SUMIFS('P &amp; NP'!$C$11:$WL$11,'P &amp; NP'!$C$5:$WL$5,"PL",'P &amp; NP'!$C$2:$WL$2,"KOTA MALANG")</f>
        <v>0</v>
      </c>
      <c r="D42" s="20">
        <f>SUMIFS('P &amp; NP'!$C$11:$WL$11,'P &amp; NP'!$C$5:$WL$5,"PT",'P &amp; NP'!$C$2:$WL$2,"KOTA MALANG")</f>
        <v>0</v>
      </c>
      <c r="E42" s="20">
        <f>SUMIFS('P &amp; NP'!$C$11:$WL$11,'P &amp; NP'!$C$5:$WL$5,"PS",'P &amp; NP'!$C$2:$WL$2,"KOTA MALANG")</f>
        <v>0</v>
      </c>
      <c r="F42" s="20">
        <f>SUMIFS('P &amp; NP'!$C$11:$WL$11,'P &amp; NP'!$C$5:$WL$5,"PK",'P &amp; NP'!$C$2:$WL$2,"KOTA MALANG")</f>
        <v>143400</v>
      </c>
      <c r="G42" s="20">
        <f>SUMIFS('P &amp; NP'!$C$11:$WL$11,'P &amp; NP'!$C$5:$WL$5,"PM",'P &amp; NP'!$C$2:$WL$2,"KOTA MALANG")</f>
        <v>0</v>
      </c>
      <c r="H42" s="20">
        <f>SUMIFS('P &amp; NP'!$C$11:$WL$11,'P &amp; NP'!$C$5:$WL$5,"PB",'P &amp; NP'!$C$2:$WL$2,"KOTA MALANG")</f>
        <v>18600</v>
      </c>
      <c r="I42" s="755">
        <f>SUMIFS('P &amp; NP'!$C$11:$WL$11,'P &amp; NP'!$C$5:$WL$5,"PJ",'P &amp; NP'!$C$2:$WL$2,"KOTA MALANG")</f>
        <v>0</v>
      </c>
    </row>
    <row r="43" spans="1:9">
      <c r="A43" s="19" t="s">
        <v>146</v>
      </c>
      <c r="B43" s="20">
        <f t="shared" si="1"/>
        <v>228711</v>
      </c>
      <c r="C43" s="20">
        <f>SUMIFS('P &amp; NP'!$C$11:$WL$11,'P &amp; NP'!$C$5:$WL$5,"PL",'P &amp; NP'!$C$2:$WL$2,"KOTA MOJOKERTO")</f>
        <v>0</v>
      </c>
      <c r="D43" s="20">
        <f>SUMIFS('P &amp; NP'!$C$11:$WL$11,'P &amp; NP'!$C$5:$WL$5,"PT",'P &amp; NP'!$C$2:$WL$2,"KOTA MOJOKERTO")</f>
        <v>0</v>
      </c>
      <c r="E43" s="20">
        <f>SUMIFS('P &amp; NP'!$C$11:$WL$11,'P &amp; NP'!$C$5:$WL$5,"PS",'P &amp; NP'!$C$2:$WL$2,"KOTA MOJOKERTO")</f>
        <v>0</v>
      </c>
      <c r="F43" s="20">
        <f>SUMIFS('P &amp; NP'!$C$11:$WL$11,'P &amp; NP'!$C$5:$WL$5,"PK",'P &amp; NP'!$C$2:$WL$2,"KOTA MOJOKERTO")</f>
        <v>228711</v>
      </c>
      <c r="G43" s="20">
        <f>SUMIFS('P &amp; NP'!$C$11:$WL$11,'P &amp; NP'!$C$5:$WL$5,"PM",'P &amp; NP'!$C$2:$WL$2,"KOTA MOJOKERTO")</f>
        <v>0</v>
      </c>
      <c r="H43" s="20">
        <f>SUMIFS('P &amp; NP'!$C$11:$WL$11,'P &amp; NP'!$C$5:$WL$5,"PB",'P &amp; NP'!$C$2:$WL$2,"KOTA MOJOKERTO")</f>
        <v>0</v>
      </c>
      <c r="I43" s="755">
        <f>SUMIFS('P &amp; NP'!$C$11:$WL$11,'P &amp; NP'!$C$5:$WL$5,"PJ",'P &amp; NP'!$C$2:$WL$2,"KOTA MOJOKERTO")</f>
        <v>0</v>
      </c>
    </row>
    <row r="44" spans="1:9">
      <c r="A44" s="19" t="s">
        <v>145</v>
      </c>
      <c r="B44" s="20">
        <f t="shared" si="1"/>
        <v>2662915</v>
      </c>
      <c r="C44" s="20">
        <f>SUMIFS('P &amp; NP'!$C$11:$WL$11,'P &amp; NP'!$C$5:$WL$5,"PL",'P &amp; NP'!$C$2:$WL$2,"KOTA PASURUAN")</f>
        <v>0</v>
      </c>
      <c r="D44" s="20">
        <f>SUMIFS('P &amp; NP'!$C$11:$WL$11,'P &amp; NP'!$C$5:$WL$5,"PT",'P &amp; NP'!$C$2:$WL$2,"KOTA PASURUAN")</f>
        <v>2627052</v>
      </c>
      <c r="E44" s="20">
        <f>SUMIFS('P &amp; NP'!$C$11:$WL$11,'P &amp; NP'!$C$5:$WL$5,"PS",'P &amp; NP'!$C$2:$WL$2,"KOTA PASURUAN")</f>
        <v>0</v>
      </c>
      <c r="F44" s="20">
        <f>SUMIFS('P &amp; NP'!$C$11:$WL$11,'P &amp; NP'!$C$5:$WL$5,"PK",'P &amp; NP'!$C$2:$WL$2,"KOTA PASURUAN")</f>
        <v>35863</v>
      </c>
      <c r="G44" s="20">
        <f>SUMIFS('P &amp; NP'!$C$11:$WL$11,'P &amp; NP'!$C$5:$WL$5,"PM",'P &amp; NP'!$C$2:$WL$2,"KOTA PASURUAN")</f>
        <v>0</v>
      </c>
      <c r="H44" s="20">
        <f>SUMIFS('P &amp; NP'!$C$11:$WL$11,'P &amp; NP'!$C$5:$WL$5,"PB",'P &amp; NP'!$C$2:$WL$2,"KOTA PASURUAN")</f>
        <v>0</v>
      </c>
      <c r="I44" s="755">
        <f>SUMIFS('P &amp; NP'!$C$11:$WL$11,'P &amp; NP'!$C$5:$WL$5,"PJ",'P &amp; NP'!$C$2:$WL$2,"KOTA PASURUAN")</f>
        <v>0</v>
      </c>
    </row>
    <row r="45" spans="1:9">
      <c r="A45" s="19" t="s">
        <v>144</v>
      </c>
      <c r="B45" s="20">
        <f t="shared" si="1"/>
        <v>429082.2</v>
      </c>
      <c r="C45" s="20">
        <f>SUMIFS('P &amp; NP'!$C$11:$WL$11,'P &amp; NP'!$C$5:$WL$5,"PL",'P &amp; NP'!$C$2:$WL$2,"KOTA PROBOLINGGO")</f>
        <v>0</v>
      </c>
      <c r="D45" s="20">
        <f>SUMIFS('P &amp; NP'!$C$11:$WL$11,'P &amp; NP'!$C$5:$WL$5,"PT",'P &amp; NP'!$C$2:$WL$2,"KOTA PROBOLINGGO")</f>
        <v>229970</v>
      </c>
      <c r="E45" s="20">
        <f>SUMIFS('P &amp; NP'!$C$11:$WL$11,'P &amp; NP'!$C$5:$WL$5,"PS",'P &amp; NP'!$C$2:$WL$2,"KOTA PROBOLINGGO")</f>
        <v>0</v>
      </c>
      <c r="F45" s="20">
        <f>SUMIFS('P &amp; NP'!$C$11:$WL$11,'P &amp; NP'!$C$5:$WL$5,"PK",'P &amp; NP'!$C$2:$WL$2,"KOTA PROBOLINGGO")</f>
        <v>199112.2</v>
      </c>
      <c r="G45" s="20">
        <f>SUMIFS('P &amp; NP'!$C$11:$WL$11,'P &amp; NP'!$C$5:$WL$5,"PM",'P &amp; NP'!$C$2:$WL$2,"KOTA PROBOLINGGO")</f>
        <v>0</v>
      </c>
      <c r="H45" s="20">
        <f>SUMIFS('P &amp; NP'!$C$11:$WL$11,'P &amp; NP'!$C$5:$WL$5,"PB",'P &amp; NP'!$C$2:$WL$2,"KOTA PROBOLINGGO")</f>
        <v>0</v>
      </c>
      <c r="I45" s="755">
        <f>SUMIFS('P &amp; NP'!$C$11:$WL$11,'P &amp; NP'!$C$5:$WL$5,"PJ",'P &amp; NP'!$C$2:$WL$2,"KOTA PROBOLINGGO")</f>
        <v>0</v>
      </c>
    </row>
    <row r="46" spans="1:9" ht="15" thickBot="1">
      <c r="A46" s="21" t="s">
        <v>148</v>
      </c>
      <c r="B46" s="22">
        <f t="shared" si="1"/>
        <v>9979520</v>
      </c>
      <c r="C46" s="754">
        <f>SUMIFS('P &amp; NP'!$C$11:$WL$11,'P &amp; NP'!$C$5:$WL$5,"PL",'P &amp; NP'!$C$2:$WL$2,"KOTA SURABAYA")</f>
        <v>0</v>
      </c>
      <c r="D46" s="754">
        <f>SUMIFS('P &amp; NP'!$C$11:$WL$11,'P &amp; NP'!$C$5:$WL$5,"PT",'P &amp; NP'!$C$2:$WL$2,"KOTA SURABAYA")</f>
        <v>5228433</v>
      </c>
      <c r="E46" s="754">
        <f>SUMIFS('P &amp; NP'!$C$11:$WL$11,'P &amp; NP'!$C$5:$WL$5,"PS",'P &amp; NP'!$C$2:$WL$2,"KOTA SURABAYA")</f>
        <v>0</v>
      </c>
      <c r="F46" s="754">
        <f>SUMIFS('P &amp; NP'!$C$11:$WL$11,'P &amp; NP'!$C$5:$WL$5,"PK",'P &amp; NP'!$C$2:$WL$2,"KOTA SURABAYA")</f>
        <v>4674678</v>
      </c>
      <c r="G46" s="754">
        <f>SUMIFS('P &amp; NP'!$C$11:$WL$11,'P &amp; NP'!$C$5:$WL$5,"PM",'P &amp; NP'!$C$2:$WL$2,"KOTA SURABAYA")</f>
        <v>0</v>
      </c>
      <c r="H46" s="754">
        <f>SUMIFS('P &amp; NP'!$C$11:$WL$11,'P &amp; NP'!$C$5:$WL$5,"PB",'P &amp; NP'!$C$2:$WL$2,"KOTA SURABAYA")</f>
        <v>0</v>
      </c>
      <c r="I46" s="756">
        <f>SUMIFS('P &amp; NP'!$C$11:$WL$11,'P &amp; NP'!$C$5:$WL$5,"PJ",'P &amp; NP'!$C$2:$WL$2,"KOTA SURABAYA")</f>
        <v>76409</v>
      </c>
    </row>
    <row r="47" spans="1:9">
      <c r="A47" s="905" t="s">
        <v>161</v>
      </c>
      <c r="B47" s="906"/>
      <c r="C47" s="906"/>
      <c r="D47" s="906"/>
      <c r="E47" s="906"/>
      <c r="F47" s="906"/>
      <c r="G47" s="906"/>
      <c r="H47" s="906"/>
      <c r="I47" s="906"/>
    </row>
    <row r="48" spans="1:9">
      <c r="A48" s="29"/>
      <c r="B48" s="30"/>
      <c r="C48" s="30"/>
      <c r="D48" s="30"/>
      <c r="E48" s="30"/>
      <c r="F48" s="30"/>
      <c r="G48" s="30"/>
      <c r="H48" s="30"/>
      <c r="I48" s="30"/>
    </row>
    <row r="49" spans="1:11">
      <c r="A49" s="29"/>
      <c r="B49" s="30"/>
      <c r="C49" s="30"/>
      <c r="D49" s="30"/>
      <c r="E49" s="30"/>
      <c r="F49" s="30"/>
      <c r="G49" s="30"/>
      <c r="H49" s="30"/>
      <c r="I49" s="30"/>
    </row>
    <row r="50" spans="1:11" ht="20">
      <c r="A50" s="903" t="s">
        <v>656</v>
      </c>
      <c r="B50" s="903"/>
      <c r="C50" s="903"/>
      <c r="D50" s="903"/>
      <c r="E50" s="903"/>
      <c r="F50" s="903"/>
      <c r="G50" s="903"/>
      <c r="H50" s="903"/>
      <c r="I50" s="903"/>
    </row>
    <row r="51" spans="1:11" ht="15" thickBot="1">
      <c r="A51" s="2"/>
      <c r="B51" s="2"/>
      <c r="C51" s="2"/>
      <c r="D51" s="2"/>
      <c r="E51" s="2"/>
      <c r="F51" s="2"/>
      <c r="G51" s="2"/>
      <c r="H51" s="2"/>
      <c r="I51" s="3" t="s">
        <v>162</v>
      </c>
    </row>
    <row r="52" spans="1:11">
      <c r="A52" s="4"/>
      <c r="B52" s="5"/>
      <c r="C52" s="904" t="s">
        <v>256</v>
      </c>
      <c r="D52" s="885"/>
      <c r="E52" s="885"/>
      <c r="F52" s="885"/>
      <c r="G52" s="885"/>
      <c r="H52" s="885"/>
      <c r="I52" s="886"/>
    </row>
    <row r="53" spans="1:11">
      <c r="A53" s="6" t="s">
        <v>103</v>
      </c>
      <c r="B53" s="7" t="s">
        <v>104</v>
      </c>
      <c r="C53" s="8" t="s">
        <v>152</v>
      </c>
      <c r="D53" s="8" t="s">
        <v>31</v>
      </c>
      <c r="E53" s="8"/>
      <c r="F53" s="8" t="s">
        <v>32</v>
      </c>
      <c r="G53" s="8" t="s">
        <v>153</v>
      </c>
      <c r="H53" s="8" t="s">
        <v>33</v>
      </c>
      <c r="I53" s="9" t="s">
        <v>154</v>
      </c>
    </row>
    <row r="54" spans="1:11">
      <c r="A54" s="10" t="s">
        <v>105</v>
      </c>
      <c r="B54" s="11" t="s">
        <v>106</v>
      </c>
      <c r="C54" s="23" t="s">
        <v>155</v>
      </c>
      <c r="D54" s="23" t="s">
        <v>156</v>
      </c>
      <c r="E54" s="23"/>
      <c r="F54" s="23" t="s">
        <v>157</v>
      </c>
      <c r="G54" s="23"/>
      <c r="H54" s="23" t="s">
        <v>158</v>
      </c>
      <c r="I54" s="24" t="s">
        <v>159</v>
      </c>
    </row>
    <row r="55" spans="1:11">
      <c r="A55" s="12"/>
      <c r="B55" s="13"/>
      <c r="C55" s="14"/>
      <c r="D55" s="15" t="s">
        <v>160</v>
      </c>
      <c r="E55" s="15"/>
      <c r="F55" s="14"/>
      <c r="G55" s="15"/>
      <c r="H55" s="14"/>
      <c r="I55" s="16"/>
    </row>
    <row r="56" spans="1:11">
      <c r="A56" s="17" t="s">
        <v>111</v>
      </c>
      <c r="B56" s="18">
        <f t="shared" ref="B56:I56" si="2">SUM(B57:B94)</f>
        <v>21538229550.790462</v>
      </c>
      <c r="C56" s="18">
        <f t="shared" si="2"/>
        <v>3994041159.9863362</v>
      </c>
      <c r="D56" s="18">
        <f t="shared" si="2"/>
        <v>9677403259.5202065</v>
      </c>
      <c r="E56" s="18"/>
      <c r="F56" s="18">
        <f t="shared" si="2"/>
        <v>7160588868.2689142</v>
      </c>
      <c r="G56" s="18">
        <f>SUM(G57:G94)</f>
        <v>444438214.01499999</v>
      </c>
      <c r="H56" s="25">
        <f t="shared" si="2"/>
        <v>129078479</v>
      </c>
      <c r="I56" s="31">
        <f t="shared" si="2"/>
        <v>132679570</v>
      </c>
    </row>
    <row r="57" spans="1:11">
      <c r="A57" s="19" t="s">
        <v>137</v>
      </c>
      <c r="B57" s="20">
        <f>SUM(C57:I57)</f>
        <v>549747423.60000002</v>
      </c>
      <c r="C57" s="753">
        <f>SUMIFS('P &amp; NP'!$C$11:$WL$11,'P &amp; NP'!$C$5:$WL$5,"NPL",'P &amp; NP'!$C$2:$WL$2,"BANGKALAN")</f>
        <v>0</v>
      </c>
      <c r="D57" s="753">
        <f>SUMIFS('P &amp; NP'!$C$11:$WL$11,'P &amp; NP'!$C$5:$WL$5,"NPT",'P &amp; NP'!$C$2:$WL$2,"BANGKALAN")</f>
        <v>530450673.60000002</v>
      </c>
      <c r="E57" s="753">
        <f>SUMIFS('P &amp; NP'!$C$11:$WL$11,'P &amp; NP'!$C$5:$WL$5,"NPS",'P &amp; NP'!$C$2:$WL$2,"BANGKALAN")</f>
        <v>0</v>
      </c>
      <c r="F57" s="753">
        <f>SUMIFS('P &amp; NP'!$C$11:$WL$11,'P &amp; NP'!$C$5:$WL$5,"NPK",'P &amp; NP'!$C$2:$WL$2,"BANGKALAN")</f>
        <v>19204750</v>
      </c>
      <c r="G57" s="753">
        <f>SUMIFS('P &amp; NP'!$C$11:$WL$11,'P &amp; NP'!$C$5:$WL$5,"NPM",'P &amp; NP'!$C$2:$WL$2,"BANGKALAN")</f>
        <v>0</v>
      </c>
      <c r="H57" s="753">
        <f>SUMIFS('P &amp; NP'!$C$11:$WL$11,'P &amp; NP'!$C$5:$WL$5,"NPB",'P &amp; NP'!$C$2:$WL$2,"BANGKALAN")</f>
        <v>92000</v>
      </c>
      <c r="I57" s="757">
        <f>SUMIFS('P &amp; NP'!$C$11:$WL$11,'P &amp; NP'!$C$5:$WL$5,"NPJ",'P &amp; NP'!$C$2:$WL$2,"BANGKALAN")</f>
        <v>0</v>
      </c>
      <c r="K57" s="90">
        <v>72448473.625</v>
      </c>
    </row>
    <row r="58" spans="1:11">
      <c r="A58" s="19" t="s">
        <v>121</v>
      </c>
      <c r="B58" s="20">
        <f>SUM(C58:I58)</f>
        <v>1257733055</v>
      </c>
      <c r="C58" s="20">
        <f>SUMIFS('P &amp; NP'!$C$11:$WL$11,'P &amp; NP'!$C$5:$WL$5,"NPL",'P &amp; NP'!$C$2:$WL$2,"BANYUWANGI")</f>
        <v>5721650</v>
      </c>
      <c r="D58" s="20">
        <f>SUMIFS('P &amp; NP'!$C$11:$WL$11,'P &amp; NP'!$C$5:$WL$5,"NPT",'P &amp; NP'!$C$2:$WL$2,"BANYUWANGI")</f>
        <v>1036698610</v>
      </c>
      <c r="E58" s="20">
        <f>SUMIFS('P &amp; NP'!$C$11:$WL$11,'P &amp; NP'!$C$5:$WL$5,"NPS",'P &amp; NP'!$C$2:$WL$2,"BANYUWANGI")</f>
        <v>0</v>
      </c>
      <c r="F58" s="20">
        <f>SUMIFS('P &amp; NP'!$C$11:$WL$11,'P &amp; NP'!$C$5:$WL$5,"NPK",'P &amp; NP'!$C$2:$WL$2,"BANYUWANGI")</f>
        <v>211580220</v>
      </c>
      <c r="G58" s="20">
        <f>SUMIFS('P &amp; NP'!$C$11:$WL$11,'P &amp; NP'!$C$5:$WL$5,"NPM",'P &amp; NP'!$C$2:$WL$2,"BANYUWANGI")</f>
        <v>1867275</v>
      </c>
      <c r="H58" s="20">
        <f>SUMIFS('P &amp; NP'!$C$11:$WL$11,'P &amp; NP'!$C$5:$WL$5,"NPB",'P &amp; NP'!$C$2:$WL$2,"BANYUWANGI")</f>
        <v>1317575</v>
      </c>
      <c r="I58" s="758">
        <f>SUMIFS('P &amp; NP'!$C$11:$WL$11,'P &amp; NP'!$C$5:$WL$5,"NPJ",'P &amp; NP'!$C$2:$WL$2,"BANYUWANGI")</f>
        <v>547725</v>
      </c>
      <c r="K58" s="90">
        <v>35719620</v>
      </c>
    </row>
    <row r="59" spans="1:11">
      <c r="A59" s="19" t="s">
        <v>116</v>
      </c>
      <c r="B59" s="20">
        <f t="shared" ref="B59:B94" si="3">SUM(C59:I59)</f>
        <v>414183920</v>
      </c>
      <c r="C59" s="20">
        <f>SUMIFS('P &amp; NP'!$C$11:$WL$11,'P &amp; NP'!$C$5:$WL$5,"NPL",'P &amp; NP'!$C$2:$WL$2,"BLITAR")</f>
        <v>0</v>
      </c>
      <c r="D59" s="20">
        <f>SUMIFS('P &amp; NP'!$C$11:$WL$11,'P &amp; NP'!$C$5:$WL$5,"NPT",'P &amp; NP'!$C$2:$WL$2,"BLITAR")</f>
        <v>28346500</v>
      </c>
      <c r="E59" s="20">
        <f>SUMIFS('P &amp; NP'!$C$11:$WL$11,'P &amp; NP'!$C$5:$WL$5,"NPS",'P &amp; NP'!$C$2:$WL$2,"BLITAR")</f>
        <v>0</v>
      </c>
      <c r="F59" s="20">
        <f>SUMIFS('P &amp; NP'!$C$11:$WL$11,'P &amp; NP'!$C$5:$WL$5,"NPK",'P &amp; NP'!$C$2:$WL$2,"BLITAR")</f>
        <v>385112100</v>
      </c>
      <c r="G59" s="20">
        <f>SUMIFS('P &amp; NP'!$C$11:$WL$11,'P &amp; NP'!$C$5:$WL$5,"NPM",'P &amp; NP'!$C$2:$WL$2,"BLITAR")</f>
        <v>43900</v>
      </c>
      <c r="H59" s="20">
        <f>SUMIFS('P &amp; NP'!$C$11:$WL$11,'P &amp; NP'!$C$5:$WL$5,"NPB",'P &amp; NP'!$C$2:$WL$2,"BLITAR")</f>
        <v>0</v>
      </c>
      <c r="I59" s="758">
        <f>SUMIFS('P &amp; NP'!$C$11:$WL$11,'P &amp; NP'!$C$5:$WL$5,"NPJ",'P &amp; NP'!$C$2:$WL$2,"BLITAR")</f>
        <v>681420</v>
      </c>
      <c r="K59" s="90">
        <v>89090655.763999999</v>
      </c>
    </row>
    <row r="60" spans="1:11">
      <c r="A60" s="19" t="s">
        <v>133</v>
      </c>
      <c r="B60" s="20">
        <f t="shared" si="3"/>
        <v>107861227.5</v>
      </c>
      <c r="C60" s="20">
        <f>SUMIFS('P &amp; NP'!$C$11:$WL$11,'P &amp; NP'!$C$5:$WL$5,"NPL",'P &amp; NP'!$C$2:$WL$2,"BOJONEGORO")</f>
        <v>0</v>
      </c>
      <c r="D60" s="20">
        <f>SUMIFS('P &amp; NP'!$C$11:$WL$11,'P &amp; NP'!$C$5:$WL$5,"NPT",'P &amp; NP'!$C$2:$WL$2,"BOJONEGORO")</f>
        <v>0</v>
      </c>
      <c r="E60" s="20">
        <f>SUMIFS('P &amp; NP'!$C$11:$WL$11,'P &amp; NP'!$C$5:$WL$5,"NPS",'P &amp; NP'!$C$2:$WL$2,"BOJONEGORO")</f>
        <v>0</v>
      </c>
      <c r="F60" s="20">
        <f>SUMIFS('P &amp; NP'!$C$11:$WL$11,'P &amp; NP'!$C$5:$WL$5,"NPK",'P &amp; NP'!$C$2:$WL$2,"BOJONEGORO")</f>
        <v>105656405.5</v>
      </c>
      <c r="G60" s="20">
        <f>SUMIFS('P &amp; NP'!$C$11:$WL$11,'P &amp; NP'!$C$5:$WL$5,"NPM",'P &amp; NP'!$C$2:$WL$2,"BOJONEGORO")</f>
        <v>1680599</v>
      </c>
      <c r="H60" s="20">
        <f>SUMIFS('P &amp; NP'!$C$11:$WL$11,'P &amp; NP'!$C$5:$WL$5,"NPB",'P &amp; NP'!$C$2:$WL$2,"BOJONEGORO")</f>
        <v>0</v>
      </c>
      <c r="I60" s="758">
        <f>SUMIFS('P &amp; NP'!$C$11:$WL$11,'P &amp; NP'!$C$5:$WL$5,"NPJ",'P &amp; NP'!$C$2:$WL$2,"BOJONEGORO")</f>
        <v>524223</v>
      </c>
      <c r="K60" s="90">
        <v>913042060.79324603</v>
      </c>
    </row>
    <row r="61" spans="1:11">
      <c r="A61" s="19" t="s">
        <v>122</v>
      </c>
      <c r="B61" s="26">
        <f t="shared" si="3"/>
        <v>18251469</v>
      </c>
      <c r="C61" s="20">
        <f>SUMIFS('P &amp; NP'!$C$11:$WL$11,'P &amp; NP'!$C$5:$WL$5,"NPL",'P &amp; NP'!$C$2:$WL$2,"BONDOWOSO")</f>
        <v>0</v>
      </c>
      <c r="D61" s="20">
        <f>SUMIFS('P &amp; NP'!$C$11:$WL$11,'P &amp; NP'!$C$5:$WL$5,"NPT",'P &amp; NP'!$C$2:$WL$2,"BONDOWOSO")</f>
        <v>0</v>
      </c>
      <c r="E61" s="20">
        <f>SUMIFS('P &amp; NP'!$C$11:$WL$11,'P &amp; NP'!$C$5:$WL$5,"NPS",'P &amp; NP'!$C$2:$WL$2,"BONDOWOSO")</f>
        <v>0</v>
      </c>
      <c r="F61" s="20">
        <f>SUMIFS('P &amp; NP'!$C$11:$WL$11,'P &amp; NP'!$C$5:$WL$5,"NPK",'P &amp; NP'!$C$2:$WL$2,"BONDOWOSO")</f>
        <v>18251469</v>
      </c>
      <c r="G61" s="20">
        <f>SUMIFS('P &amp; NP'!$C$11:$WL$11,'P &amp; NP'!$C$5:$WL$5,"NPM",'P &amp; NP'!$C$2:$WL$2,"BONDOWOSO")</f>
        <v>0</v>
      </c>
      <c r="H61" s="20">
        <f>SUMIFS('P &amp; NP'!$C$11:$WL$11,'P &amp; NP'!$C$5:$WL$5,"NPB",'P &amp; NP'!$C$2:$WL$2,"BONDOWOSO")</f>
        <v>0</v>
      </c>
      <c r="I61" s="758">
        <f>SUMIFS('P &amp; NP'!$C$11:$WL$11,'P &amp; NP'!$C$5:$WL$5,"NPJ",'P &amp; NP'!$C$2:$WL$2,"BONDOWOSO")</f>
        <v>0</v>
      </c>
      <c r="K61" s="90">
        <v>356723660</v>
      </c>
    </row>
    <row r="62" spans="1:11">
      <c r="A62" s="19" t="s">
        <v>136</v>
      </c>
      <c r="B62" s="26">
        <f t="shared" si="3"/>
        <v>3544955721.306457</v>
      </c>
      <c r="C62" s="20">
        <f>SUMIFS('P &amp; NP'!$C$11:$WL$11,'P &amp; NP'!$C$5:$WL$5,"NPL",'P &amp; NP'!$C$2:$WL$2,"GRESIK")</f>
        <v>53413466.486336268</v>
      </c>
      <c r="D62" s="20">
        <f>SUMIFS('P &amp; NP'!$C$11:$WL$11,'P &amp; NP'!$C$5:$WL$5,"NPT",'P &amp; NP'!$C$2:$WL$2,"GRESIK")</f>
        <v>2385261859.7672052</v>
      </c>
      <c r="E62" s="20">
        <f>SUMIFS('P &amp; NP'!$C$11:$WL$11,'P &amp; NP'!$C$5:$WL$5,"NPS",'P &amp; NP'!$C$2:$WL$2,"GRESIK")</f>
        <v>0</v>
      </c>
      <c r="F62" s="20">
        <f>SUMIFS('P &amp; NP'!$C$11:$WL$11,'P &amp; NP'!$C$5:$WL$5,"NPK",'P &amp; NP'!$C$2:$WL$2,"GRESIK")</f>
        <v>1106280395.0529156</v>
      </c>
      <c r="G62" s="20">
        <f>SUMIFS('P &amp; NP'!$C$11:$WL$11,'P &amp; NP'!$C$5:$WL$5,"NPM",'P &amp; NP'!$C$2:$WL$2,"GRESIK")</f>
        <v>0</v>
      </c>
      <c r="H62" s="20">
        <f>SUMIFS('P &amp; NP'!$C$11:$WL$11,'P &amp; NP'!$C$5:$WL$5,"NPB",'P &amp; NP'!$C$2:$WL$2,"GRESIK")</f>
        <v>0</v>
      </c>
      <c r="I62" s="758">
        <f>SUMIFS('P &amp; NP'!$C$11:$WL$11,'P &amp; NP'!$C$5:$WL$5,"NPJ",'P &amp; NP'!$C$2:$WL$2,"GRESIK")</f>
        <v>0</v>
      </c>
      <c r="K62" s="90">
        <v>282965950</v>
      </c>
    </row>
    <row r="63" spans="1:11">
      <c r="A63" s="19" t="s">
        <v>120</v>
      </c>
      <c r="B63" s="26">
        <f t="shared" si="3"/>
        <v>509080616.01700002</v>
      </c>
      <c r="C63" s="20">
        <f>SUMIFS('P &amp; NP'!$C$11:$WL$11,'P &amp; NP'!$C$5:$WL$5,"NPL",'P &amp; NP'!$C$2:$WL$2,"JEMBER")</f>
        <v>0</v>
      </c>
      <c r="D63" s="20">
        <f>SUMIFS('P &amp; NP'!$C$11:$WL$11,'P &amp; NP'!$C$5:$WL$5,"NPT",'P &amp; NP'!$C$2:$WL$2,"JEMBER")</f>
        <v>235205864.45300001</v>
      </c>
      <c r="E63" s="20">
        <f>SUMIFS('P &amp; NP'!$C$11:$WL$11,'P &amp; NP'!$C$5:$WL$5,"NPS",'P &amp; NP'!$C$2:$WL$2,"JEMBER")</f>
        <v>0</v>
      </c>
      <c r="F63" s="20">
        <f>SUMIFS('P &amp; NP'!$C$11:$WL$11,'P &amp; NP'!$C$5:$WL$5,"NPK",'P &amp; NP'!$C$2:$WL$2,"JEMBER")</f>
        <v>272994871.54900002</v>
      </c>
      <c r="G63" s="20">
        <f>SUMIFS('P &amp; NP'!$C$11:$WL$11,'P &amp; NP'!$C$5:$WL$5,"NPM",'P &amp; NP'!$C$2:$WL$2,"JEMBER")</f>
        <v>879880.01500000001</v>
      </c>
      <c r="H63" s="20">
        <f>SUMIFS('P &amp; NP'!$C$11:$WL$11,'P &amp; NP'!$C$5:$WL$5,"NPB",'P &amp; NP'!$C$2:$WL$2,"JEMBER")</f>
        <v>0</v>
      </c>
      <c r="I63" s="758">
        <f>SUMIFS('P &amp; NP'!$C$11:$WL$11,'P &amp; NP'!$C$5:$WL$5,"NPJ",'P &amp; NP'!$C$2:$WL$2,"JEMBER")</f>
        <v>0</v>
      </c>
      <c r="K63" s="90">
        <v>420236950</v>
      </c>
    </row>
    <row r="64" spans="1:11">
      <c r="A64" s="19" t="s">
        <v>128</v>
      </c>
      <c r="B64" s="26">
        <f t="shared" si="3"/>
        <v>269622700</v>
      </c>
      <c r="C64" s="20">
        <f>SUMIFS('P &amp; NP'!$C$11:$WL$11,'P &amp; NP'!$C$5:$WL$5,"NPL",'P &amp; NP'!$C$2:$WL$2,"JOMBANG")</f>
        <v>0</v>
      </c>
      <c r="D64" s="20">
        <f>SUMIFS('P &amp; NP'!$C$11:$WL$11,'P &amp; NP'!$C$5:$WL$5,"NPT",'P &amp; NP'!$C$2:$WL$2,"JOMBANG")</f>
        <v>0</v>
      </c>
      <c r="E64" s="20">
        <f>SUMIFS('P &amp; NP'!$C$11:$WL$11,'P &amp; NP'!$C$5:$WL$5,"NPS",'P &amp; NP'!$C$2:$WL$2,"JOMBANG")</f>
        <v>0</v>
      </c>
      <c r="F64" s="20">
        <f>SUMIFS('P &amp; NP'!$C$11:$WL$11,'P &amp; NP'!$C$5:$WL$5,"NPK",'P &amp; NP'!$C$2:$WL$2,"JOMBANG")</f>
        <v>269622700</v>
      </c>
      <c r="G64" s="20">
        <f>SUMIFS('P &amp; NP'!$C$11:$WL$11,'P &amp; NP'!$C$5:$WL$5,"NPM",'P &amp; NP'!$C$2:$WL$2,"JOMBANG")</f>
        <v>0</v>
      </c>
      <c r="H64" s="20">
        <f>SUMIFS('P &amp; NP'!$C$11:$WL$11,'P &amp; NP'!$C$5:$WL$5,"NPB",'P &amp; NP'!$C$2:$WL$2,"JOMBANG")</f>
        <v>0</v>
      </c>
      <c r="I64" s="758">
        <f>SUMIFS('P &amp; NP'!$C$11:$WL$11,'P &amp; NP'!$C$5:$WL$5,"NPJ",'P &amp; NP'!$C$2:$WL$2,"JOMBANG")</f>
        <v>0</v>
      </c>
      <c r="K64" s="90">
        <v>99204935</v>
      </c>
    </row>
    <row r="65" spans="1:11">
      <c r="A65" s="19" t="s">
        <v>117</v>
      </c>
      <c r="B65" s="26">
        <f t="shared" si="3"/>
        <v>482643365</v>
      </c>
      <c r="C65" s="20">
        <f>SUMIFS('P &amp; NP'!$C$11:$WL$11,'P &amp; NP'!$C$5:$WL$5,"NPL",'P &amp; NP'!$C$2:$WL$2,"KEDIRI")</f>
        <v>0</v>
      </c>
      <c r="D65" s="20">
        <f>SUMIFS('P &amp; NP'!$C$11:$WL$11,'P &amp; NP'!$C$5:$WL$5,"NPT",'P &amp; NP'!$C$2:$WL$2,"KEDIRI")</f>
        <v>0</v>
      </c>
      <c r="E65" s="20">
        <f>SUMIFS('P &amp; NP'!$C$11:$WL$11,'P &amp; NP'!$C$5:$WL$5,"NPS",'P &amp; NP'!$C$2:$WL$2,"KEDIRI")</f>
        <v>0</v>
      </c>
      <c r="F65" s="20">
        <f>SUMIFS('P &amp; NP'!$C$11:$WL$11,'P &amp; NP'!$C$5:$WL$5,"NPK",'P &amp; NP'!$C$2:$WL$2,"KEDIRI")</f>
        <v>482643365</v>
      </c>
      <c r="G65" s="20">
        <f>SUMIFS('P &amp; NP'!$C$11:$WL$11,'P &amp; NP'!$C$5:$WL$5,"NPM",'P &amp; NP'!$C$2:$WL$2,"KEDIRI")</f>
        <v>0</v>
      </c>
      <c r="H65" s="20">
        <f>SUMIFS('P &amp; NP'!$C$11:$WL$11,'P &amp; NP'!$C$5:$WL$5,"NPB",'P &amp; NP'!$C$2:$WL$2,"KEDIRI")</f>
        <v>0</v>
      </c>
      <c r="I65" s="758">
        <f>SUMIFS('P &amp; NP'!$C$11:$WL$11,'P &amp; NP'!$C$5:$WL$5,"NPJ",'P &amp; NP'!$C$2:$WL$2,"KEDIRI")</f>
        <v>0</v>
      </c>
      <c r="K65" s="90">
        <v>336121200</v>
      </c>
    </row>
    <row r="66" spans="1:11">
      <c r="A66" s="19" t="s">
        <v>135</v>
      </c>
      <c r="B66" s="26">
        <f t="shared" si="3"/>
        <v>1429853525</v>
      </c>
      <c r="C66" s="20">
        <f>SUMIFS('P &amp; NP'!$C$11:$WL$11,'P &amp; NP'!$C$5:$WL$5,"NPL",'P &amp; NP'!$C$2:$WL$2,"LAMONGAN")</f>
        <v>0</v>
      </c>
      <c r="D66" s="20">
        <f>SUMIFS('P &amp; NP'!$C$11:$WL$11,'P &amp; NP'!$C$5:$WL$5,"NPT",'P &amp; NP'!$C$2:$WL$2,"LAMONGAN")</f>
        <v>296519672</v>
      </c>
      <c r="E66" s="20">
        <f>SUMIFS('P &amp; NP'!$C$11:$WL$11,'P &amp; NP'!$C$5:$WL$5,"NPS",'P &amp; NP'!$C$2:$WL$2,"LAMONGAN")</f>
        <v>0</v>
      </c>
      <c r="F66" s="20">
        <f>SUMIFS('P &amp; NP'!$C$11:$WL$11,'P &amp; NP'!$C$5:$WL$5,"NPK",'P &amp; NP'!$C$2:$WL$2,"LAMONGAN")</f>
        <v>1131862037</v>
      </c>
      <c r="G66" s="20">
        <f>SUMIFS('P &amp; NP'!$C$11:$WL$11,'P &amp; NP'!$C$5:$WL$5,"NPM",'P &amp; NP'!$C$2:$WL$2,"LAMONGAN")</f>
        <v>0</v>
      </c>
      <c r="H66" s="20">
        <f>SUMIFS('P &amp; NP'!$C$11:$WL$11,'P &amp; NP'!$C$5:$WL$5,"NPB",'P &amp; NP'!$C$2:$WL$2,"LAMONGAN")</f>
        <v>1375104</v>
      </c>
      <c r="I66" s="758">
        <f>SUMIFS('P &amp; NP'!$C$11:$WL$11,'P &amp; NP'!$C$5:$WL$5,"NPJ",'P &amp; NP'!$C$2:$WL$2,"LAMONGAN")</f>
        <v>96712</v>
      </c>
      <c r="K66" s="90">
        <v>1332403247</v>
      </c>
    </row>
    <row r="67" spans="1:11">
      <c r="A67" s="19" t="s">
        <v>119</v>
      </c>
      <c r="B67" s="26">
        <f t="shared" si="3"/>
        <v>184671934.5</v>
      </c>
      <c r="C67" s="20">
        <f>SUMIFS('P &amp; NP'!$C$11:$WL$11,'P &amp; NP'!$C$5:$WL$5,"NPL",'P &amp; NP'!$C$2:$WL$2,"LUMAJANG")</f>
        <v>0</v>
      </c>
      <c r="D67" s="20">
        <f>SUMIFS('P &amp; NP'!$C$11:$WL$11,'P &amp; NP'!$C$5:$WL$5,"NPT",'P &amp; NP'!$C$2:$WL$2,"LUMAJANG")</f>
        <v>89400000</v>
      </c>
      <c r="E67" s="20">
        <f>SUMIFS('P &amp; NP'!$C$11:$WL$11,'P &amp; NP'!$C$5:$WL$5,"NPS",'P &amp; NP'!$C$2:$WL$2,"LUMAJANG")</f>
        <v>0</v>
      </c>
      <c r="F67" s="20">
        <f>SUMIFS('P &amp; NP'!$C$11:$WL$11,'P &amp; NP'!$C$5:$WL$5,"NPK",'P &amp; NP'!$C$2:$WL$2,"LUMAJANG")</f>
        <v>69421076.5</v>
      </c>
      <c r="G67" s="20">
        <f>SUMIFS('P &amp; NP'!$C$11:$WL$11,'P &amp; NP'!$C$5:$WL$5,"NPM",'P &amp; NP'!$C$2:$WL$2,"LUMAJANG")</f>
        <v>0</v>
      </c>
      <c r="H67" s="20">
        <f>SUMIFS('P &amp; NP'!$C$11:$WL$11,'P &amp; NP'!$C$5:$WL$5,"NPB",'P &amp; NP'!$C$2:$WL$2,"LUMAJANG")</f>
        <v>0</v>
      </c>
      <c r="I67" s="758">
        <f>SUMIFS('P &amp; NP'!$C$11:$WL$11,'P &amp; NP'!$C$5:$WL$5,"NPJ",'P &amp; NP'!$C$2:$WL$2,"LUMAJANG")</f>
        <v>25850858</v>
      </c>
      <c r="K67" s="90">
        <v>24194067</v>
      </c>
    </row>
    <row r="68" spans="1:11">
      <c r="A68" s="19" t="s">
        <v>130</v>
      </c>
      <c r="B68" s="26">
        <f t="shared" si="3"/>
        <v>79363625</v>
      </c>
      <c r="C68" s="20">
        <f>SUMIFS('P &amp; NP'!$C$11:$WL$11,'P &amp; NP'!$C$5:$WL$5,"NPL",'P &amp; NP'!$C$2:$WL$2,"MADIUN")</f>
        <v>0</v>
      </c>
      <c r="D68" s="20">
        <f>SUMIFS('P &amp; NP'!$C$11:$WL$11,'P &amp; NP'!$C$5:$WL$5,"NPT",'P &amp; NP'!$C$2:$WL$2,"MADIUN")</f>
        <v>0</v>
      </c>
      <c r="E68" s="20">
        <f>SUMIFS('P &amp; NP'!$C$11:$WL$11,'P &amp; NP'!$C$5:$WL$5,"NPS",'P &amp; NP'!$C$2:$WL$2,"MADIUN")</f>
        <v>0</v>
      </c>
      <c r="F68" s="20">
        <f>SUMIFS('P &amp; NP'!$C$11:$WL$11,'P &amp; NP'!$C$5:$WL$5,"NPK",'P &amp; NP'!$C$2:$WL$2,"MADIUN")</f>
        <v>79363625</v>
      </c>
      <c r="G68" s="20">
        <f>SUMIFS('P &amp; NP'!$C$11:$WL$11,'P &amp; NP'!$C$5:$WL$5,"NPM",'P &amp; NP'!$C$2:$WL$2,"MADIUN")</f>
        <v>0</v>
      </c>
      <c r="H68" s="20">
        <f>SUMIFS('P &amp; NP'!$C$11:$WL$11,'P &amp; NP'!$C$5:$WL$5,"NPB",'P &amp; NP'!$C$2:$WL$2,"MADIUN")</f>
        <v>0</v>
      </c>
      <c r="I68" s="758">
        <f>SUMIFS('P &amp; NP'!$C$11:$WL$11,'P &amp; NP'!$C$5:$WL$5,"NPJ",'P &amp; NP'!$C$2:$WL$2,"MADIUN")</f>
        <v>0</v>
      </c>
      <c r="K68" s="90">
        <v>743921847.0999999</v>
      </c>
    </row>
    <row r="69" spans="1:11">
      <c r="A69" s="19" t="s">
        <v>131</v>
      </c>
      <c r="B69" s="26">
        <f t="shared" si="3"/>
        <v>36139155</v>
      </c>
      <c r="C69" s="20">
        <f>SUMIFS('P &amp; NP'!$C$11:$WL$11,'P &amp; NP'!$C$5:$WL$5,"NPL",'P &amp; NP'!$C$2:$WL$2,"MAGETAN")</f>
        <v>0</v>
      </c>
      <c r="D69" s="20">
        <f>SUMIFS('P &amp; NP'!$C$11:$WL$11,'P &amp; NP'!$C$5:$WL$5,"NPT",'P &amp; NP'!$C$2:$WL$2,"MAGETAN")</f>
        <v>0</v>
      </c>
      <c r="E69" s="20">
        <f>SUMIFS('P &amp; NP'!$C$11:$WL$11,'P &amp; NP'!$C$5:$WL$5,"NPS",'P &amp; NP'!$C$2:$WL$2,"MAGETAN")</f>
        <v>0</v>
      </c>
      <c r="F69" s="20">
        <f>SUMIFS('P &amp; NP'!$C$11:$WL$11,'P &amp; NP'!$C$5:$WL$5,"NPK",'P &amp; NP'!$C$2:$WL$2,"MAGETAN")</f>
        <v>36091175</v>
      </c>
      <c r="G69" s="20">
        <f>SUMIFS('P &amp; NP'!$C$11:$WL$11,'P &amp; NP'!$C$5:$WL$5,"NPM",'P &amp; NP'!$C$2:$WL$2,"MAGETAN")</f>
        <v>0</v>
      </c>
      <c r="H69" s="20">
        <f>SUMIFS('P &amp; NP'!$C$11:$WL$11,'P &amp; NP'!$C$5:$WL$5,"NPB",'P &amp; NP'!$C$2:$WL$2,"MAGETAN")</f>
        <v>0</v>
      </c>
      <c r="I69" s="758">
        <f>SUMIFS('P &amp; NP'!$C$11:$WL$11,'P &amp; NP'!$C$5:$WL$5,"NPJ",'P &amp; NP'!$C$2:$WL$2,"MAGETAN")</f>
        <v>47980</v>
      </c>
      <c r="K69" s="90">
        <v>737239900</v>
      </c>
    </row>
    <row r="70" spans="1:11">
      <c r="A70" s="19" t="s">
        <v>118</v>
      </c>
      <c r="B70" s="26">
        <f t="shared" si="3"/>
        <v>335643000</v>
      </c>
      <c r="C70" s="20">
        <f>SUMIFS('P &amp; NP'!$C$11:$WL$11,'P &amp; NP'!$C$5:$WL$5,"NPL",'P &amp; NP'!$C$2:$WL$2,"MALANG")</f>
        <v>0</v>
      </c>
      <c r="D70" s="20">
        <f>SUMIFS('P &amp; NP'!$C$11:$WL$11,'P &amp; NP'!$C$5:$WL$5,"NPT",'P &amp; NP'!$C$2:$WL$2,"MALANG")</f>
        <v>104135000</v>
      </c>
      <c r="E70" s="20">
        <f>SUMIFS('P &amp; NP'!$C$11:$WL$11,'P &amp; NP'!$C$5:$WL$5,"NPS",'P &amp; NP'!$C$2:$WL$2,"MALANG")</f>
        <v>0</v>
      </c>
      <c r="F70" s="20">
        <f>SUMIFS('P &amp; NP'!$C$11:$WL$11,'P &amp; NP'!$C$5:$WL$5,"NPK",'P &amp; NP'!$C$2:$WL$2,"MALANG")</f>
        <v>134808000</v>
      </c>
      <c r="G70" s="20">
        <f>SUMIFS('P &amp; NP'!$C$11:$WL$11,'P &amp; NP'!$C$5:$WL$5,"NPM",'P &amp; NP'!$C$2:$WL$2,"MALANG")</f>
        <v>0</v>
      </c>
      <c r="H70" s="20">
        <f>SUMIFS('P &amp; NP'!$C$11:$WL$11,'P &amp; NP'!$C$5:$WL$5,"NPB",'P &amp; NP'!$C$2:$WL$2,"MALANG")</f>
        <v>0</v>
      </c>
      <c r="I70" s="758">
        <f>SUMIFS('P &amp; NP'!$C$11:$WL$11,'P &amp; NP'!$C$5:$WL$5,"NPJ",'P &amp; NP'!$C$2:$WL$2,"MALANG")</f>
        <v>96700000</v>
      </c>
      <c r="K70" s="90">
        <v>519542854</v>
      </c>
    </row>
    <row r="71" spans="1:11">
      <c r="A71" s="19" t="s">
        <v>127</v>
      </c>
      <c r="B71" s="26">
        <f t="shared" si="3"/>
        <v>34987300</v>
      </c>
      <c r="C71" s="20">
        <f>SUMIFS('P &amp; NP'!$C$11:$WL$11,'P &amp; NP'!$C$5:$WL$5,"NPL",'P &amp; NP'!$C$2:$WL$2,"MOJOKERTO")</f>
        <v>0</v>
      </c>
      <c r="D71" s="20">
        <f>SUMIFS('P &amp; NP'!$C$11:$WL$11,'P &amp; NP'!$C$5:$WL$5,"NPT",'P &amp; NP'!$C$2:$WL$2,"MOJOKERTO")</f>
        <v>0</v>
      </c>
      <c r="E71" s="20">
        <f>SUMIFS('P &amp; NP'!$C$11:$WL$11,'P &amp; NP'!$C$5:$WL$5,"NPS",'P &amp; NP'!$C$2:$WL$2,"MOJOKERTO")</f>
        <v>0</v>
      </c>
      <c r="F71" s="20">
        <f>SUMIFS('P &amp; NP'!$C$11:$WL$11,'P &amp; NP'!$C$5:$WL$5,"NPK",'P &amp; NP'!$C$2:$WL$2,"MOJOKERTO")</f>
        <v>34905400</v>
      </c>
      <c r="G71" s="20">
        <f>SUMIFS('P &amp; NP'!$C$11:$WL$11,'P &amp; NP'!$C$5:$WL$5,"NPM",'P &amp; NP'!$C$2:$WL$2,"MOJOKERTO")</f>
        <v>0</v>
      </c>
      <c r="H71" s="20">
        <f>SUMIFS('P &amp; NP'!$C$11:$WL$11,'P &amp; NP'!$C$5:$WL$5,"NPB",'P &amp; NP'!$C$2:$WL$2,"MOJOKERTO")</f>
        <v>45400</v>
      </c>
      <c r="I71" s="758">
        <f>SUMIFS('P &amp; NP'!$C$11:$WL$11,'P &amp; NP'!$C$5:$WL$5,"NPJ",'P &amp; NP'!$C$2:$WL$2,"MOJOKERTO")</f>
        <v>36500</v>
      </c>
      <c r="K71" s="90">
        <v>2561984722</v>
      </c>
    </row>
    <row r="72" spans="1:11">
      <c r="A72" s="19" t="s">
        <v>129</v>
      </c>
      <c r="B72" s="26">
        <f t="shared" si="3"/>
        <v>217798004</v>
      </c>
      <c r="C72" s="20">
        <f>SUMIFS('P &amp; NP'!$C$11:$WL$11,'P &amp; NP'!$C$5:$WL$5,"NPL",'P &amp; NP'!$C$2:$WL$2,"NGANJUK")</f>
        <v>0</v>
      </c>
      <c r="D72" s="20">
        <f>SUMIFS('P &amp; NP'!$C$11:$WL$11,'P &amp; NP'!$C$5:$WL$5,"NPT",'P &amp; NP'!$C$2:$WL$2,"NGANJUK")</f>
        <v>0</v>
      </c>
      <c r="E72" s="20">
        <f>SUMIFS('P &amp; NP'!$C$11:$WL$11,'P &amp; NP'!$C$5:$WL$5,"NPS",'P &amp; NP'!$C$2:$WL$2,"NGANJUK")</f>
        <v>0</v>
      </c>
      <c r="F72" s="20">
        <f>SUMIFS('P &amp; NP'!$C$11:$WL$11,'P &amp; NP'!$C$5:$WL$5,"NPK",'P &amp; NP'!$C$2:$WL$2,"NGANJUK")</f>
        <v>217798004</v>
      </c>
      <c r="G72" s="20">
        <f>SUMIFS('P &amp; NP'!$C$11:$WL$11,'P &amp; NP'!$C$5:$WL$5,"NPM",'P &amp; NP'!$C$2:$WL$2,"NGANJUK")</f>
        <v>0</v>
      </c>
      <c r="H72" s="20">
        <f>SUMIFS('P &amp; NP'!$C$11:$WL$11,'P &amp; NP'!$C$5:$WL$5,"NPB",'P &amp; NP'!$C$2:$WL$2,"NGANJUK")</f>
        <v>0</v>
      </c>
      <c r="I72" s="758">
        <f>SUMIFS('P &amp; NP'!$C$11:$WL$11,'P &amp; NP'!$C$5:$WL$5,"NPJ",'P &amp; NP'!$C$2:$WL$2,"NGANJUK")</f>
        <v>0</v>
      </c>
      <c r="K72" s="90">
        <v>17681385</v>
      </c>
    </row>
    <row r="73" spans="1:11">
      <c r="A73" s="19" t="s">
        <v>132</v>
      </c>
      <c r="B73" s="26">
        <f t="shared" si="3"/>
        <v>85786484</v>
      </c>
      <c r="C73" s="20">
        <f>SUMIFS('P &amp; NP'!$C$11:$WL$11,'P &amp; NP'!$C$5:$WL$5,"NPL",'P &amp; NP'!$C$2:$WL$2,"NGAWI")</f>
        <v>0</v>
      </c>
      <c r="D73" s="20">
        <f>SUMIFS('P &amp; NP'!$C$11:$WL$11,'P &amp; NP'!$C$5:$WL$5,"NPT",'P &amp; NP'!$C$2:$WL$2,"NGAWI")</f>
        <v>0</v>
      </c>
      <c r="E73" s="20">
        <f>SUMIFS('P &amp; NP'!$C$11:$WL$11,'P &amp; NP'!$C$5:$WL$5,"NPS",'P &amp; NP'!$C$2:$WL$2,"NGAWI")</f>
        <v>0</v>
      </c>
      <c r="F73" s="20">
        <f>SUMIFS('P &amp; NP'!$C$11:$WL$11,'P &amp; NP'!$C$5:$WL$5,"NPK",'P &amp; NP'!$C$2:$WL$2,"NGAWI")</f>
        <v>83744202</v>
      </c>
      <c r="G73" s="20">
        <f>SUMIFS('P &amp; NP'!$C$11:$WL$11,'P &amp; NP'!$C$5:$WL$5,"NPM",'P &amp; NP'!$C$2:$WL$2,"NGAWI")</f>
        <v>0</v>
      </c>
      <c r="H73" s="20">
        <f>SUMIFS('P &amp; NP'!$C$11:$WL$11,'P &amp; NP'!$C$5:$WL$5,"NPB",'P &amp; NP'!$C$2:$WL$2,"NGAWI")</f>
        <v>0</v>
      </c>
      <c r="I73" s="758">
        <f>SUMIFS('P &amp; NP'!$C$11:$WL$11,'P &amp; NP'!$C$5:$WL$5,"NPJ",'P &amp; NP'!$C$2:$WL$2,"NGAWI")</f>
        <v>2042282</v>
      </c>
      <c r="K73" s="90">
        <v>258840750</v>
      </c>
    </row>
    <row r="74" spans="1:11">
      <c r="A74" s="19" t="s">
        <v>112</v>
      </c>
      <c r="B74" s="26">
        <f t="shared" si="3"/>
        <v>161741390</v>
      </c>
      <c r="C74" s="20">
        <f>SUMIFS('P &amp; NP'!$C$11:$WL$11,'P &amp; NP'!$C$5:$WL$5,"NPL",'P &amp; NP'!$C$2:$WL$2,"PACITAN")</f>
        <v>0</v>
      </c>
      <c r="D74" s="20">
        <f>SUMIFS('P &amp; NP'!$C$11:$WL$11,'P &amp; NP'!$C$5:$WL$5,"NPT",'P &amp; NP'!$C$2:$WL$2,"PACITAN")</f>
        <v>137502608</v>
      </c>
      <c r="E74" s="20">
        <f>SUMIFS('P &amp; NP'!$C$11:$WL$11,'P &amp; NP'!$C$5:$WL$5,"NPS",'P &amp; NP'!$C$2:$WL$2,"PACITAN")</f>
        <v>0</v>
      </c>
      <c r="F74" s="20">
        <f>SUMIFS('P &amp; NP'!$C$11:$WL$11,'P &amp; NP'!$C$5:$WL$5,"NPK",'P &amp; NP'!$C$2:$WL$2,"PACITAN")</f>
        <v>24238782</v>
      </c>
      <c r="G74" s="20">
        <f>SUMIFS('P &amp; NP'!$C$11:$WL$11,'P &amp; NP'!$C$5:$WL$5,"NPM",'P &amp; NP'!$C$2:$WL$2,"PACITAN")</f>
        <v>0</v>
      </c>
      <c r="H74" s="20">
        <f>SUMIFS('P &amp; NP'!$C$11:$WL$11,'P &amp; NP'!$C$5:$WL$5,"NPB",'P &amp; NP'!$C$2:$WL$2,"PACITAN")</f>
        <v>0</v>
      </c>
      <c r="I74" s="758">
        <f>SUMIFS('P &amp; NP'!$C$11:$WL$11,'P &amp; NP'!$C$5:$WL$5,"NPJ",'P &amp; NP'!$C$2:$WL$2,"PACITAN")</f>
        <v>0</v>
      </c>
      <c r="K74" s="90">
        <v>151056780</v>
      </c>
    </row>
    <row r="75" spans="1:11">
      <c r="A75" s="19" t="s">
        <v>139</v>
      </c>
      <c r="B75" s="26">
        <f t="shared" si="3"/>
        <v>49306020</v>
      </c>
      <c r="C75" s="20">
        <f>SUMIFS('P &amp; NP'!$C$11:$WL$11,'P &amp; NP'!$C$5:$WL$5,"NPL",'P &amp; NP'!$C$2:$WL$2,"PAMEKASAN")</f>
        <v>0</v>
      </c>
      <c r="D75" s="20">
        <f>SUMIFS('P &amp; NP'!$C$11:$WL$11,'P &amp; NP'!$C$5:$WL$5,"NPT",'P &amp; NP'!$C$2:$WL$2,"PAMEKASAN")</f>
        <v>33231010</v>
      </c>
      <c r="E75" s="20">
        <f>SUMIFS('P &amp; NP'!$C$11:$WL$11,'P &amp; NP'!$C$5:$WL$5,"NPS",'P &amp; NP'!$C$2:$WL$2,"PAMEKASAN")</f>
        <v>0</v>
      </c>
      <c r="F75" s="20">
        <f>SUMIFS('P &amp; NP'!$C$11:$WL$11,'P &amp; NP'!$C$5:$WL$5,"NPK",'P &amp; NP'!$C$2:$WL$2,"PAMEKASAN")</f>
        <v>16075010</v>
      </c>
      <c r="G75" s="20">
        <f>SUMIFS('P &amp; NP'!$C$11:$WL$11,'P &amp; NP'!$C$5:$WL$5,"NPM",'P &amp; NP'!$C$2:$WL$2,"PAMEKASAN")</f>
        <v>0</v>
      </c>
      <c r="H75" s="20">
        <f>SUMIFS('P &amp; NP'!$C$11:$WL$11,'P &amp; NP'!$C$5:$WL$5,"NPB",'P &amp; NP'!$C$2:$WL$2,"PAMEKASAN")</f>
        <v>0</v>
      </c>
      <c r="I75" s="758">
        <f>SUMIFS('P &amp; NP'!$C$11:$WL$11,'P &amp; NP'!$C$5:$WL$5,"NPJ",'P &amp; NP'!$C$2:$WL$2,"PAMEKASAN")</f>
        <v>0</v>
      </c>
      <c r="K75" s="90">
        <v>61795990</v>
      </c>
    </row>
    <row r="76" spans="1:11">
      <c r="A76" s="19" t="s">
        <v>125</v>
      </c>
      <c r="B76" s="26">
        <f t="shared" si="3"/>
        <v>447118606</v>
      </c>
      <c r="C76" s="20">
        <f>SUMIFS('P &amp; NP'!$C$11:$WL$11,'P &amp; NP'!$C$5:$WL$5,"NPL",'P &amp; NP'!$C$2:$WL$2,"PASURUAN")</f>
        <v>0</v>
      </c>
      <c r="D76" s="20">
        <f>SUMIFS('P &amp; NP'!$C$11:$WL$11,'P &amp; NP'!$C$5:$WL$5,"NPT",'P &amp; NP'!$C$2:$WL$2,"PASURUAN")</f>
        <v>151727484</v>
      </c>
      <c r="E76" s="20">
        <f>SUMIFS('P &amp; NP'!$C$11:$WL$11,'P &amp; NP'!$C$5:$WL$5,"NPS",'P &amp; NP'!$C$2:$WL$2,"PASURUAN")</f>
        <v>0</v>
      </c>
      <c r="F76" s="20">
        <f>SUMIFS('P &amp; NP'!$C$11:$WL$11,'P &amp; NP'!$C$5:$WL$5,"NPK",'P &amp; NP'!$C$2:$WL$2,"PASURUAN")</f>
        <v>291949904</v>
      </c>
      <c r="G76" s="20">
        <f>SUMIFS('P &amp; NP'!$C$11:$WL$11,'P &amp; NP'!$C$5:$WL$5,"NPM",'P &amp; NP'!$C$2:$WL$2,"PASURUAN")</f>
        <v>0</v>
      </c>
      <c r="H76" s="20">
        <f>SUMIFS('P &amp; NP'!$C$11:$WL$11,'P &amp; NP'!$C$5:$WL$5,"NPB",'P &amp; NP'!$C$2:$WL$2,"PASURUAN")</f>
        <v>0</v>
      </c>
      <c r="I76" s="758">
        <f>SUMIFS('P &amp; NP'!$C$11:$WL$11,'P &amp; NP'!$C$5:$WL$5,"NPJ",'P &amp; NP'!$C$2:$WL$2,"PASURUAN")</f>
        <v>3441218</v>
      </c>
      <c r="K76" s="90">
        <v>30840525</v>
      </c>
    </row>
    <row r="77" spans="1:11">
      <c r="A77" s="19" t="s">
        <v>113</v>
      </c>
      <c r="B77" s="26">
        <f t="shared" si="3"/>
        <v>45047834.730000004</v>
      </c>
      <c r="C77" s="20">
        <f>SUMIFS('P &amp; NP'!$C$11:$WL$11,'P &amp; NP'!$C$5:$WL$5,"NPL",'P &amp; NP'!$C$2:$WL$2,"PONOROGO")</f>
        <v>0</v>
      </c>
      <c r="D77" s="20">
        <f>SUMIFS('P &amp; NP'!$C$11:$WL$11,'P &amp; NP'!$C$5:$WL$5,"NPT",'P &amp; NP'!$C$2:$WL$2,"PONOROGO")</f>
        <v>0</v>
      </c>
      <c r="E77" s="20">
        <f>SUMIFS('P &amp; NP'!$C$11:$WL$11,'P &amp; NP'!$C$5:$WL$5,"NPS",'P &amp; NP'!$C$2:$WL$2,"PONOROGO")</f>
        <v>0</v>
      </c>
      <c r="F77" s="20">
        <f>SUMIFS('P &amp; NP'!$C$11:$WL$11,'P &amp; NP'!$C$5:$WL$5,"NPK",'P &amp; NP'!$C$2:$WL$2,"PONOROGO")</f>
        <v>44477930.730000004</v>
      </c>
      <c r="G77" s="20">
        <f>SUMIFS('P &amp; NP'!$C$11:$WL$11,'P &amp; NP'!$C$5:$WL$5,"NPM",'P &amp; NP'!$C$2:$WL$2,"PONOROGO")</f>
        <v>0</v>
      </c>
      <c r="H77" s="20">
        <f>SUMIFS('P &amp; NP'!$C$11:$WL$11,'P &amp; NP'!$C$5:$WL$5,"NPB",'P &amp; NP'!$C$2:$WL$2,"PONOROGO")</f>
        <v>0</v>
      </c>
      <c r="I77" s="758">
        <f>SUMIFS('P &amp; NP'!$C$11:$WL$11,'P &amp; NP'!$C$5:$WL$5,"NPJ",'P &amp; NP'!$C$2:$WL$2,"PONOROGO")</f>
        <v>569904</v>
      </c>
      <c r="K77" s="90">
        <v>55512820</v>
      </c>
    </row>
    <row r="78" spans="1:11">
      <c r="A78" s="19" t="s">
        <v>124</v>
      </c>
      <c r="B78" s="26">
        <f t="shared" si="3"/>
        <v>784251175</v>
      </c>
      <c r="C78" s="20">
        <f>SUMIFS('P &amp; NP'!$C$11:$WL$11,'P &amp; NP'!$C$5:$WL$5,"NPL",'P &amp; NP'!$C$2:$WL$2,"PROBOLINGGO")</f>
        <v>36987750</v>
      </c>
      <c r="D78" s="20">
        <f>SUMIFS('P &amp; NP'!$C$11:$WL$11,'P &amp; NP'!$C$5:$WL$5,"NPT",'P &amp; NP'!$C$2:$WL$2,"PROBOLINGGO")</f>
        <v>730872720</v>
      </c>
      <c r="E78" s="20">
        <f>SUMIFS('P &amp; NP'!$C$11:$WL$11,'P &amp; NP'!$C$5:$WL$5,"NPS",'P &amp; NP'!$C$2:$WL$2,"PROBOLINGGO")</f>
        <v>0</v>
      </c>
      <c r="F78" s="20">
        <f>SUMIFS('P &amp; NP'!$C$11:$WL$11,'P &amp; NP'!$C$5:$WL$5,"NPK",'P &amp; NP'!$C$2:$WL$2,"PROBOLINGGO")</f>
        <v>15853965</v>
      </c>
      <c r="G78" s="20">
        <f>SUMIFS('P &amp; NP'!$C$11:$WL$11,'P &amp; NP'!$C$5:$WL$5,"NPM",'P &amp; NP'!$C$2:$WL$2,"PROBOLINGGO")</f>
        <v>0</v>
      </c>
      <c r="H78" s="20">
        <f>SUMIFS('P &amp; NP'!$C$11:$WL$11,'P &amp; NP'!$C$5:$WL$5,"NPB",'P &amp; NP'!$C$2:$WL$2,"PROBOLINGGO")</f>
        <v>0</v>
      </c>
      <c r="I78" s="758">
        <f>SUMIFS('P &amp; NP'!$C$11:$WL$11,'P &amp; NP'!$C$5:$WL$5,"NPJ",'P &amp; NP'!$C$2:$WL$2,"PROBOLINGGO")</f>
        <v>536740</v>
      </c>
      <c r="K78" s="90">
        <v>79796082.5</v>
      </c>
    </row>
    <row r="79" spans="1:11">
      <c r="A79" s="19" t="s">
        <v>138</v>
      </c>
      <c r="B79" s="26">
        <f t="shared" si="3"/>
        <v>43149431</v>
      </c>
      <c r="C79" s="20">
        <f>SUMIFS('P &amp; NP'!$C$11:$WL$11,'P &amp; NP'!$C$5:$WL$5,"NPL",'P &amp; NP'!$C$2:$WL$2,"SAMPANG")</f>
        <v>0</v>
      </c>
      <c r="D79" s="20">
        <f>SUMIFS('P &amp; NP'!$C$11:$WL$11,'P &amp; NP'!$C$5:$WL$5,"NPT",'P &amp; NP'!$C$2:$WL$2,"SAMPANG")</f>
        <v>37876009</v>
      </c>
      <c r="E79" s="20">
        <f>SUMIFS('P &amp; NP'!$C$11:$WL$11,'P &amp; NP'!$C$5:$WL$5,"NPS",'P &amp; NP'!$C$2:$WL$2,"SAMPANG")</f>
        <v>0</v>
      </c>
      <c r="F79" s="20">
        <f>SUMIFS('P &amp; NP'!$C$11:$WL$11,'P &amp; NP'!$C$5:$WL$5,"NPK",'P &amp; NP'!$C$2:$WL$2,"SAMPANG")</f>
        <v>5273422</v>
      </c>
      <c r="G79" s="20">
        <f>SUMIFS('P &amp; NP'!$C$11:$WL$11,'P &amp; NP'!$C$5:$WL$5,"NPM",'P &amp; NP'!$C$2:$WL$2,"SAMPANG")</f>
        <v>0</v>
      </c>
      <c r="H79" s="20">
        <f>SUMIFS('P &amp; NP'!$C$11:$WL$11,'P &amp; NP'!$C$5:$WL$5,"NPB",'P &amp; NP'!$C$2:$WL$2,"SAMPANG")</f>
        <v>0</v>
      </c>
      <c r="I79" s="758">
        <f>SUMIFS('P &amp; NP'!$C$11:$WL$11,'P &amp; NP'!$C$5:$WL$5,"NPJ",'P &amp; NP'!$C$2:$WL$2,"SAMPANG")</f>
        <v>0</v>
      </c>
      <c r="K79" s="90">
        <v>977298509</v>
      </c>
    </row>
    <row r="80" spans="1:11">
      <c r="A80" s="19" t="s">
        <v>126</v>
      </c>
      <c r="B80" s="26">
        <f t="shared" si="3"/>
        <v>2478866829</v>
      </c>
      <c r="C80" s="20">
        <f>SUMIFS('P &amp; NP'!$C$11:$WL$11,'P &amp; NP'!$C$5:$WL$5,"NPL",'P &amp; NP'!$C$2:$WL$2,"SIDOARJO")</f>
        <v>0</v>
      </c>
      <c r="D80" s="20">
        <f>SUMIFS('P &amp; NP'!$C$11:$WL$11,'P &amp; NP'!$C$5:$WL$5,"NPT",'P &amp; NP'!$C$2:$WL$2,"SIDOARJO")</f>
        <v>2026200713</v>
      </c>
      <c r="E80" s="20">
        <f>SUMIFS('P &amp; NP'!$C$11:$WL$11,'P &amp; NP'!$C$5:$WL$5,"NPS",'P &amp; NP'!$C$2:$WL$2,"SIDOARJO")</f>
        <v>0</v>
      </c>
      <c r="F80" s="20">
        <f>SUMIFS('P &amp; NP'!$C$11:$WL$11,'P &amp; NP'!$C$5:$WL$5,"NPK",'P &amp; NP'!$C$2:$WL$2,"SIDOARJO")</f>
        <v>429100720</v>
      </c>
      <c r="G80" s="20">
        <f>SUMIFS('P &amp; NP'!$C$11:$WL$11,'P &amp; NP'!$C$5:$WL$5,"NPM",'P &amp; NP'!$C$2:$WL$2,"SIDOARJO")</f>
        <v>17875200</v>
      </c>
      <c r="H80" s="20">
        <f>SUMIFS('P &amp; NP'!$C$11:$WL$11,'P &amp; NP'!$C$5:$WL$5,"NPB",'P &amp; NP'!$C$2:$WL$2,"SIDOARJO")</f>
        <v>5690196</v>
      </c>
      <c r="I80" s="758">
        <f>SUMIFS('P &amp; NP'!$C$11:$WL$11,'P &amp; NP'!$C$5:$WL$5,"NPJ",'P &amp; NP'!$C$2:$WL$2,"SIDOARJO")</f>
        <v>0</v>
      </c>
      <c r="K80" s="90">
        <v>1375631534</v>
      </c>
    </row>
    <row r="81" spans="1:11">
      <c r="A81" s="19" t="s">
        <v>123</v>
      </c>
      <c r="B81" s="26">
        <f t="shared" si="3"/>
        <v>535776291</v>
      </c>
      <c r="C81" s="20">
        <f>SUMIFS('P &amp; NP'!$C$11:$WL$11,'P &amp; NP'!$C$5:$WL$5,"NPL",'P &amp; NP'!$C$2:$WL$2,"SITUBONDO")</f>
        <v>1977950</v>
      </c>
      <c r="D81" s="20">
        <f>SUMIFS('P &amp; NP'!$C$11:$WL$11,'P &amp; NP'!$C$5:$WL$5,"NPT",'P &amp; NP'!$C$2:$WL$2,"SITUBONDO")</f>
        <v>521622936</v>
      </c>
      <c r="E81" s="20">
        <f>SUMIFS('P &amp; NP'!$C$11:$WL$11,'P &amp; NP'!$C$5:$WL$5,"NPS",'P &amp; NP'!$C$2:$WL$2,"SITUBONDO")</f>
        <v>0</v>
      </c>
      <c r="F81" s="20">
        <f>SUMIFS('P &amp; NP'!$C$11:$WL$11,'P &amp; NP'!$C$5:$WL$5,"NPK",'P &amp; NP'!$C$2:$WL$2,"SITUBONDO")</f>
        <v>12175405</v>
      </c>
      <c r="G81" s="20">
        <f>SUMIFS('P &amp; NP'!$C$11:$WL$11,'P &amp; NP'!$C$5:$WL$5,"NPM",'P &amp; NP'!$C$2:$WL$2,"SITUBONDO")</f>
        <v>0</v>
      </c>
      <c r="H81" s="20">
        <f>SUMIFS('P &amp; NP'!$C$11:$WL$11,'P &amp; NP'!$C$5:$WL$5,"NPB",'P &amp; NP'!$C$2:$WL$2,"SITUBONDO")</f>
        <v>0</v>
      </c>
      <c r="I81" s="758">
        <f>SUMIFS('P &amp; NP'!$C$11:$WL$11,'P &amp; NP'!$C$5:$WL$5,"NPJ",'P &amp; NP'!$C$2:$WL$2,"SITUBONDO")</f>
        <v>0</v>
      </c>
      <c r="K81" s="90">
        <v>2564279888.4993329</v>
      </c>
    </row>
    <row r="82" spans="1:11">
      <c r="A82" s="19" t="s">
        <v>140</v>
      </c>
      <c r="B82" s="26">
        <f t="shared" si="3"/>
        <v>4372481488.8999996</v>
      </c>
      <c r="C82" s="20">
        <f>SUMIFS('P &amp; NP'!$C$11:$WL$11,'P &amp; NP'!$C$5:$WL$5,"NPL",'P &amp; NP'!$C$2:$WL$2,"SUMENEP")</f>
        <v>3895512472</v>
      </c>
      <c r="D82" s="20">
        <f>SUMIFS('P &amp; NP'!$C$11:$WL$11,'P &amp; NP'!$C$5:$WL$5,"NPT",'P &amp; NP'!$C$2:$WL$2,"SUMENEP")</f>
        <v>452829082</v>
      </c>
      <c r="E82" s="20">
        <f>SUMIFS('P &amp; NP'!$C$11:$WL$11,'P &amp; NP'!$C$5:$WL$5,"NPS",'P &amp; NP'!$C$2:$WL$2,"SUMENEP")</f>
        <v>0</v>
      </c>
      <c r="F82" s="20">
        <f>SUMIFS('P &amp; NP'!$C$11:$WL$11,'P &amp; NP'!$C$5:$WL$5,"NPK",'P &amp; NP'!$C$2:$WL$2,"SUMENEP")</f>
        <v>24139934.900000002</v>
      </c>
      <c r="G82" s="20">
        <f>SUMIFS('P &amp; NP'!$C$11:$WL$11,'P &amp; NP'!$C$5:$WL$5,"NPM",'P &amp; NP'!$C$2:$WL$2,"SUMENEP")</f>
        <v>0</v>
      </c>
      <c r="H82" s="20">
        <f>SUMIFS('P &amp; NP'!$C$11:$WL$11,'P &amp; NP'!$C$5:$WL$5,"NPB",'P &amp; NP'!$C$2:$WL$2,"SUMENEP")</f>
        <v>0</v>
      </c>
      <c r="I82" s="758">
        <f>SUMIFS('P &amp; NP'!$C$11:$WL$11,'P &amp; NP'!$C$5:$WL$5,"NPJ",'P &amp; NP'!$C$2:$WL$2,"SUMENEP")</f>
        <v>0</v>
      </c>
      <c r="K82" s="193">
        <v>101123162</v>
      </c>
    </row>
    <row r="83" spans="1:11">
      <c r="A83" s="19" t="s">
        <v>114</v>
      </c>
      <c r="B83" s="26">
        <f t="shared" si="3"/>
        <v>104013182.5</v>
      </c>
      <c r="C83" s="20">
        <f>SUMIFS('P &amp; NP'!$C$11:$WL$11,'P &amp; NP'!$C$5:$WL$5,"NPL",'P &amp; NP'!$C$2:$WL$2,"TRENGGALEK")</f>
        <v>150921.5</v>
      </c>
      <c r="D83" s="20">
        <f>SUMIFS('P &amp; NP'!$C$11:$WL$11,'P &amp; NP'!$C$5:$WL$5,"NPT",'P &amp; NP'!$C$2:$WL$2,"TRENGGALEK")</f>
        <v>16905242</v>
      </c>
      <c r="E83" s="20">
        <f>SUMIFS('P &amp; NP'!$C$11:$WL$11,'P &amp; NP'!$C$5:$WL$5,"NPS",'P &amp; NP'!$C$2:$WL$2,"TRENGGALEK")</f>
        <v>0</v>
      </c>
      <c r="F83" s="20">
        <f>SUMIFS('P &amp; NP'!$C$11:$WL$11,'P &amp; NP'!$C$5:$WL$5,"NPK",'P &amp; NP'!$C$2:$WL$2,"TRENGGALEK")</f>
        <v>86957019</v>
      </c>
      <c r="G83" s="20">
        <f>SUMIFS('P &amp; NP'!$C$11:$WL$11,'P &amp; NP'!$C$5:$WL$5,"NPM",'P &amp; NP'!$C$2:$WL$2,"TRENGGALEK")</f>
        <v>0</v>
      </c>
      <c r="H83" s="20">
        <f>SUMIFS('P &amp; NP'!$C$11:$WL$11,'P &amp; NP'!$C$5:$WL$5,"NPB",'P &amp; NP'!$C$2:$WL$2,"TRENGGALEK")</f>
        <v>0</v>
      </c>
      <c r="I83" s="758">
        <f>SUMIFS('P &amp; NP'!$C$11:$WL$11,'P &amp; NP'!$C$5:$WL$5,"NPJ",'P &amp; NP'!$C$2:$WL$2,"TRENGGALEK")</f>
        <v>0</v>
      </c>
      <c r="K83" s="90">
        <v>26744375</v>
      </c>
    </row>
    <row r="84" spans="1:11">
      <c r="A84" s="19" t="s">
        <v>134</v>
      </c>
      <c r="B84" s="26">
        <f t="shared" si="3"/>
        <v>1449176630.411</v>
      </c>
      <c r="C84" s="20">
        <f>SUMIFS('P &amp; NP'!$C$11:$WL$11,'P &amp; NP'!$C$5:$WL$5,"NPL",'P &amp; NP'!$C$2:$WL$2,"TUBAN")</f>
        <v>276950</v>
      </c>
      <c r="D84" s="20">
        <f>SUMIFS('P &amp; NP'!$C$11:$WL$11,'P &amp; NP'!$C$5:$WL$5,"NPT",'P &amp; NP'!$C$2:$WL$2,"TUBAN")</f>
        <v>623211510</v>
      </c>
      <c r="E84" s="20">
        <f>SUMIFS('P &amp; NP'!$C$11:$WL$11,'P &amp; NP'!$C$5:$WL$5,"NPS",'P &amp; NP'!$C$2:$WL$2,"TUBAN")</f>
        <v>0</v>
      </c>
      <c r="F84" s="20">
        <f>SUMIFS('P &amp; NP'!$C$11:$WL$11,'P &amp; NP'!$C$5:$WL$5,"NPK",'P &amp; NP'!$C$2:$WL$2,"TUBAN")</f>
        <v>283634856.41100001</v>
      </c>
      <c r="G84" s="20">
        <f>SUMIFS('P &amp; NP'!$C$11:$WL$11,'P &amp; NP'!$C$5:$WL$5,"NPM",'P &amp; NP'!$C$2:$WL$2,"TUBAN")</f>
        <v>422091360</v>
      </c>
      <c r="H84" s="20">
        <f>SUMIFS('P &amp; NP'!$C$11:$WL$11,'P &amp; NP'!$C$5:$WL$5,"NPB",'P &amp; NP'!$C$2:$WL$2,"TUBAN")</f>
        <v>119961954</v>
      </c>
      <c r="I84" s="758">
        <f>SUMIFS('P &amp; NP'!$C$11:$WL$11,'P &amp; NP'!$C$5:$WL$5,"NPJ",'P &amp; NP'!$C$2:$WL$2,"TUBAN")</f>
        <v>0</v>
      </c>
      <c r="K84" s="90">
        <v>25155027.931000002</v>
      </c>
    </row>
    <row r="85" spans="1:11">
      <c r="A85" s="19" t="s">
        <v>115</v>
      </c>
      <c r="B85" s="26">
        <f t="shared" si="3"/>
        <v>1145622500</v>
      </c>
      <c r="C85" s="20">
        <f>SUMIFS('P &amp; NP'!$C$11:$WL$11,'P &amp; NP'!$C$5:$WL$5,"NPL",'P &amp; NP'!$C$2:$WL$2,"TULUNGAGUNG")</f>
        <v>0</v>
      </c>
      <c r="D85" s="20">
        <f>SUMIFS('P &amp; NP'!$C$11:$WL$11,'P &amp; NP'!$C$5:$WL$5,"NPT",'P &amp; NP'!$C$2:$WL$2,"TULUNGAGUNG")</f>
        <v>21000000</v>
      </c>
      <c r="E85" s="20">
        <f>SUMIFS('P &amp; NP'!$C$11:$WL$11,'P &amp; NP'!$C$5:$WL$5,"NPS",'P &amp; NP'!$C$2:$WL$2,"TULUNGAGUNG")</f>
        <v>0</v>
      </c>
      <c r="F85" s="20">
        <f>SUMIFS('P &amp; NP'!$C$11:$WL$11,'P &amp; NP'!$C$5:$WL$5,"NPK",'P &amp; NP'!$C$2:$WL$2,"TULUNGAGUNG")</f>
        <v>1124622500</v>
      </c>
      <c r="G85" s="20">
        <f>SUMIFS('P &amp; NP'!$C$11:$WL$11,'P &amp; NP'!$C$5:$WL$5,"NPM",'P &amp; NP'!$C$2:$WL$2,"TULUNGAGUNG")</f>
        <v>0</v>
      </c>
      <c r="H85" s="20">
        <f>SUMIFS('P &amp; NP'!$C$11:$WL$11,'P &amp; NP'!$C$5:$WL$5,"NPB",'P &amp; NP'!$C$2:$WL$2,"TULUNGAGUNG")</f>
        <v>0</v>
      </c>
      <c r="I85" s="758">
        <f>SUMIFS('P &amp; NP'!$C$11:$WL$11,'P &amp; NP'!$C$5:$WL$5,"NPJ",'P &amp; NP'!$C$2:$WL$2,"TULUNGAGUNG")</f>
        <v>0</v>
      </c>
      <c r="K85" s="90">
        <v>3371040043.3999996</v>
      </c>
    </row>
    <row r="86" spans="1:11">
      <c r="A86" s="19" t="s">
        <v>149</v>
      </c>
      <c r="B86" s="26">
        <f t="shared" si="3"/>
        <v>1575859</v>
      </c>
      <c r="C86" s="20">
        <f>SUMIFS('P &amp; NP'!$C$11:$WL$11,'P &amp; NP'!$C$5:$WL$5,"NPL",'P &amp; NP'!$C$2:$WL$2,"KOTA BATU")</f>
        <v>0</v>
      </c>
      <c r="D86" s="20">
        <f>SUMIFS('P &amp; NP'!$C$11:$WL$11,'P &amp; NP'!$C$5:$WL$5,"NPT",'P &amp; NP'!$C$2:$WL$2,"KOTA BATU")</f>
        <v>0</v>
      </c>
      <c r="E86" s="20">
        <f>SUMIFS('P &amp; NP'!$C$11:$WL$11,'P &amp; NP'!$C$5:$WL$5,"NPS",'P &amp; NP'!$C$2:$WL$2,"KOTA BATU")</f>
        <v>0</v>
      </c>
      <c r="F86" s="20">
        <f>SUMIFS('P &amp; NP'!$C$11:$WL$11,'P &amp; NP'!$C$5:$WL$5,"NPK",'P &amp; NP'!$C$2:$WL$2,"KOTA BATU")</f>
        <v>1575859</v>
      </c>
      <c r="G86" s="20">
        <f>SUMIFS('P &amp; NP'!$C$11:$WL$11,'P &amp; NP'!$C$5:$WL$5,"NPM",'P &amp; NP'!$C$2:$WL$2,"KOTA BATU")</f>
        <v>0</v>
      </c>
      <c r="H86" s="20">
        <f>SUMIFS('P &amp; NP'!$C$11:$WL$11,'P &amp; NP'!$C$5:$WL$5,"NPB",'P &amp; NP'!$C$2:$WL$2,"KOTA BATU")</f>
        <v>0</v>
      </c>
      <c r="I86" s="758">
        <f>SUMIFS('P &amp; NP'!$C$11:$WL$11,'P &amp; NP'!$C$5:$WL$5,"NPJ",'P &amp; NP'!$C$2:$WL$2,"KOTA BATU")</f>
        <v>0</v>
      </c>
      <c r="K86" s="90">
        <v>3312000</v>
      </c>
    </row>
    <row r="87" spans="1:11">
      <c r="A87" s="19" t="s">
        <v>142</v>
      </c>
      <c r="B87" s="26">
        <f t="shared" si="3"/>
        <v>5157835</v>
      </c>
      <c r="C87" s="20">
        <f>SUMIFS('P &amp; NP'!$C$11:$WL$11,'P &amp; NP'!$C$5:$WL$5,"NPL",'P &amp; NP'!$C$2:$WL$2,"KOTA BLITAR")</f>
        <v>0</v>
      </c>
      <c r="D87" s="20">
        <f>SUMIFS('P &amp; NP'!$C$11:$WL$11,'P &amp; NP'!$C$5:$WL$5,"NPT",'P &amp; NP'!$C$2:$WL$2,"KOTA BLITAR")</f>
        <v>0</v>
      </c>
      <c r="E87" s="20">
        <f>SUMIFS('P &amp; NP'!$C$11:$WL$11,'P &amp; NP'!$C$5:$WL$5,"NPS",'P &amp; NP'!$C$2:$WL$2,"KOTA BLITAR")</f>
        <v>0</v>
      </c>
      <c r="F87" s="20">
        <f>SUMIFS('P &amp; NP'!$C$11:$WL$11,'P &amp; NP'!$C$5:$WL$5,"NPK",'P &amp; NP'!$C$2:$WL$2,"KOTA BLITAR")</f>
        <v>5157835</v>
      </c>
      <c r="G87" s="20">
        <f>SUMIFS('P &amp; NP'!$C$11:$WL$11,'P &amp; NP'!$C$5:$WL$5,"NPM",'P &amp; NP'!$C$2:$WL$2,"KOTA BLITAR")</f>
        <v>0</v>
      </c>
      <c r="H87" s="20">
        <f>SUMIFS('P &amp; NP'!$C$11:$WL$11,'P &amp; NP'!$C$5:$WL$5,"NPB",'P &amp; NP'!$C$2:$WL$2,"KOTA BLITAR")</f>
        <v>0</v>
      </c>
      <c r="I87" s="758">
        <f>SUMIFS('P &amp; NP'!$C$11:$WL$11,'P &amp; NP'!$C$5:$WL$5,"NPJ",'P &amp; NP'!$C$2:$WL$2,"KOTA BLITAR")</f>
        <v>0</v>
      </c>
      <c r="K87" s="90">
        <v>4572910</v>
      </c>
    </row>
    <row r="88" spans="1:11">
      <c r="A88" s="19" t="s">
        <v>141</v>
      </c>
      <c r="B88" s="26">
        <f t="shared" si="3"/>
        <v>3685600</v>
      </c>
      <c r="C88" s="20">
        <f>SUMIFS('P &amp; NP'!$C$11:$WL$11,'P &amp; NP'!$C$5:$WL$5,"NPL",'P &amp; NP'!$C$2:$WL$2,"KOTA KEDIRI")</f>
        <v>0</v>
      </c>
      <c r="D88" s="20">
        <f>SUMIFS('P &amp; NP'!$C$11:$WL$11,'P &amp; NP'!$C$5:$WL$5,"NPT",'P &amp; NP'!$C$2:$WL$2,"KOTA KEDIRI")</f>
        <v>0</v>
      </c>
      <c r="E88" s="20">
        <f>SUMIFS('P &amp; NP'!$C$11:$WL$11,'P &amp; NP'!$C$5:$WL$5,"NPS",'P &amp; NP'!$C$2:$WL$2,"KOTA KEDIRI")</f>
        <v>0</v>
      </c>
      <c r="F88" s="20">
        <f>SUMIFS('P &amp; NP'!$C$11:$WL$11,'P &amp; NP'!$C$5:$WL$5,"NPK",'P &amp; NP'!$C$2:$WL$2,"KOTA KEDIRI")</f>
        <v>3685600</v>
      </c>
      <c r="G88" s="20">
        <f>SUMIFS('P &amp; NP'!$C$11:$WL$11,'P &amp; NP'!$C$5:$WL$5,"NPM",'P &amp; NP'!$C$2:$WL$2,"KOTA KEDIRI")</f>
        <v>0</v>
      </c>
      <c r="H88" s="20">
        <f>SUMIFS('P &amp; NP'!$C$11:$WL$11,'P &amp; NP'!$C$5:$WL$5,"NPB",'P &amp; NP'!$C$2:$WL$2,"KOTA KEDIRI")</f>
        <v>0</v>
      </c>
      <c r="I88" s="758">
        <f>SUMIFS('P &amp; NP'!$C$11:$WL$11,'P &amp; NP'!$C$5:$WL$5,"NPJ",'P &amp; NP'!$C$2:$WL$2,"KOTA KEDIRI")</f>
        <v>0</v>
      </c>
      <c r="K88" s="90">
        <v>2333629</v>
      </c>
    </row>
    <row r="89" spans="1:11">
      <c r="A89" s="19" t="s">
        <v>147</v>
      </c>
      <c r="B89" s="26">
        <f t="shared" si="3"/>
        <v>6407714.6219999995</v>
      </c>
      <c r="C89" s="20">
        <f>SUMIFS('P &amp; NP'!$C$11:$WL$11,'P &amp; NP'!$C$5:$WL$5,"NPL",'P &amp; NP'!$C$2:$WL$2,"KOTA MADIUN")</f>
        <v>0</v>
      </c>
      <c r="D89" s="20">
        <f>SUMIFS('P &amp; NP'!$C$11:$WL$11,'P &amp; NP'!$C$5:$WL$5,"NPT",'P &amp; NP'!$C$2:$WL$2,"KOTA MADIUN")</f>
        <v>0</v>
      </c>
      <c r="E89" s="20">
        <f>SUMIFS('P &amp; NP'!$C$11:$WL$11,'P &amp; NP'!$C$5:$WL$5,"NPS",'P &amp; NP'!$C$2:$WL$2,"KOTA MADIUN")</f>
        <v>0</v>
      </c>
      <c r="F89" s="20">
        <f>SUMIFS('P &amp; NP'!$C$11:$WL$11,'P &amp; NP'!$C$5:$WL$5,"NPK",'P &amp; NP'!$C$2:$WL$2,"KOTA MADIUN")</f>
        <v>6407714.6219999995</v>
      </c>
      <c r="G89" s="20">
        <f>SUMIFS('P &amp; NP'!$C$11:$WL$11,'P &amp; NP'!$C$5:$WL$5,"NPM",'P &amp; NP'!$C$2:$WL$2,"KOTA MADIUN")</f>
        <v>0</v>
      </c>
      <c r="H89" s="20">
        <f>SUMIFS('P &amp; NP'!$C$11:$WL$11,'P &amp; NP'!$C$5:$WL$5,"NPB",'P &amp; NP'!$C$2:$WL$2,"KOTA MADIUN")</f>
        <v>0</v>
      </c>
      <c r="I89" s="758">
        <f>SUMIFS('P &amp; NP'!$C$11:$WL$11,'P &amp; NP'!$C$5:$WL$5,"NPJ",'P &amp; NP'!$C$2:$WL$2,"KOTA MADIUN")</f>
        <v>0</v>
      </c>
      <c r="K89" s="90">
        <v>8369780</v>
      </c>
    </row>
    <row r="90" spans="1:11">
      <c r="A90" s="19" t="s">
        <v>143</v>
      </c>
      <c r="B90" s="26">
        <f t="shared" si="3"/>
        <v>3551550</v>
      </c>
      <c r="C90" s="20">
        <f>SUMIFS('P &amp; NP'!$C$11:$WL$11,'P &amp; NP'!$C$5:$WL$5,"NPL",'P &amp; NP'!$C$2:$WL$2,"KOTA MALANG")</f>
        <v>0</v>
      </c>
      <c r="D90" s="20">
        <f>SUMIFS('P &amp; NP'!$C$11:$WL$11,'P &amp; NP'!$C$5:$WL$5,"NPT",'P &amp; NP'!$C$2:$WL$2,"KOTA MALANG")</f>
        <v>0</v>
      </c>
      <c r="E90" s="20">
        <f>SUMIFS('P &amp; NP'!$C$11:$WL$11,'P &amp; NP'!$C$5:$WL$5,"NPS",'P &amp; NP'!$C$2:$WL$2,"KOTA MALANG")</f>
        <v>0</v>
      </c>
      <c r="F90" s="20">
        <f>SUMIFS('P &amp; NP'!$C$11:$WL$11,'P &amp; NP'!$C$5:$WL$5,"NPK",'P &amp; NP'!$C$2:$WL$2,"KOTA MALANG")</f>
        <v>2955300</v>
      </c>
      <c r="G90" s="20">
        <f>SUMIFS('P &amp; NP'!$C$11:$WL$11,'P &amp; NP'!$C$5:$WL$5,"NPM",'P &amp; NP'!$C$2:$WL$2,"KOTA MALANG")</f>
        <v>0</v>
      </c>
      <c r="H90" s="20">
        <f>SUMIFS('P &amp; NP'!$C$11:$WL$11,'P &amp; NP'!$C$5:$WL$5,"NPB",'P &amp; NP'!$C$2:$WL$2,"KOTA MALANG")</f>
        <v>596250</v>
      </c>
      <c r="I90" s="758">
        <f>SUMIFS('P &amp; NP'!$C$11:$WL$11,'P &amp; NP'!$C$5:$WL$5,"NPJ",'P &amp; NP'!$C$2:$WL$2,"KOTA MALANG")</f>
        <v>0</v>
      </c>
      <c r="K90" s="90">
        <v>20206449.510000002</v>
      </c>
    </row>
    <row r="91" spans="1:11">
      <c r="A91" s="19" t="s">
        <v>146</v>
      </c>
      <c r="B91" s="26">
        <f t="shared" si="3"/>
        <v>4188392.0039999997</v>
      </c>
      <c r="C91" s="20">
        <f>SUMIFS('P &amp; NP'!$C$11:$WL$11,'P &amp; NP'!$C$5:$WL$5,"NPL",'P &amp; NP'!$C$2:$WL$2,"KOTA MOJOKERTO")</f>
        <v>0</v>
      </c>
      <c r="D91" s="20">
        <f>SUMIFS('P &amp; NP'!$C$11:$WL$11,'P &amp; NP'!$C$5:$WL$5,"NPT",'P &amp; NP'!$C$2:$WL$2,"KOTA MOJOKERTO")</f>
        <v>0</v>
      </c>
      <c r="E91" s="20">
        <f>SUMIFS('P &amp; NP'!$C$11:$WL$11,'P &amp; NP'!$C$5:$WL$5,"NPS",'P &amp; NP'!$C$2:$WL$2,"KOTA MOJOKERTO")</f>
        <v>0</v>
      </c>
      <c r="F91" s="20">
        <f>SUMIFS('P &amp; NP'!$C$11:$WL$11,'P &amp; NP'!$C$5:$WL$5,"NPK",'P &amp; NP'!$C$2:$WL$2,"KOTA MOJOKERTO")</f>
        <v>4188392.0039999997</v>
      </c>
      <c r="G91" s="20">
        <f>SUMIFS('P &amp; NP'!$C$11:$WL$11,'P &amp; NP'!$C$5:$WL$5,"NPM",'P &amp; NP'!$C$2:$WL$2,"KOTA MOJOKERTO")</f>
        <v>0</v>
      </c>
      <c r="H91" s="20">
        <f>SUMIFS('P &amp; NP'!$C$11:$WL$11,'P &amp; NP'!$C$5:$WL$5,"NPB",'P &amp; NP'!$C$2:$WL$2,"KOTA MOJOKERTO")</f>
        <v>0</v>
      </c>
      <c r="I91" s="758">
        <f>SUMIFS('P &amp; NP'!$C$11:$WL$11,'P &amp; NP'!$C$5:$WL$5,"NPJ",'P &amp; NP'!$C$2:$WL$2,"KOTA MOJOKERTO")</f>
        <v>0</v>
      </c>
      <c r="K91" s="90">
        <v>6552229</v>
      </c>
    </row>
    <row r="92" spans="1:11">
      <c r="A92" s="19" t="s">
        <v>145</v>
      </c>
      <c r="B92" s="26">
        <f t="shared" si="3"/>
        <v>23519356</v>
      </c>
      <c r="C92" s="20">
        <f>SUMIFS('P &amp; NP'!$C$11:$WL$11,'P &amp; NP'!$C$5:$WL$5,"NPL",'P &amp; NP'!$C$2:$WL$2,"KOTA PASURUAN")</f>
        <v>0</v>
      </c>
      <c r="D92" s="20">
        <f>SUMIFS('P &amp; NP'!$C$11:$WL$11,'P &amp; NP'!$C$5:$WL$5,"NPT",'P &amp; NP'!$C$2:$WL$2,"KOTA PASURUAN")</f>
        <v>22829529</v>
      </c>
      <c r="E92" s="20">
        <f>SUMIFS('P &amp; NP'!$C$11:$WL$11,'P &amp; NP'!$C$5:$WL$5,"NPS",'P &amp; NP'!$C$2:$WL$2,"KOTA PASURUAN")</f>
        <v>0</v>
      </c>
      <c r="F92" s="20">
        <f>SUMIFS('P &amp; NP'!$C$11:$WL$11,'P &amp; NP'!$C$5:$WL$5,"NPK",'P &amp; NP'!$C$2:$WL$2,"KOTA PASURUAN")</f>
        <v>689827</v>
      </c>
      <c r="G92" s="20">
        <f>SUMIFS('P &amp; NP'!$C$11:$WL$11,'P &amp; NP'!$C$5:$WL$5,"NPM",'P &amp; NP'!$C$2:$WL$2,"KOTA PASURUAN")</f>
        <v>0</v>
      </c>
      <c r="H92" s="20">
        <f>SUMIFS('P &amp; NP'!$C$11:$WL$11,'P &amp; NP'!$C$5:$WL$5,"NPB",'P &amp; NP'!$C$2:$WL$2,"KOTA PASURUAN")</f>
        <v>0</v>
      </c>
      <c r="I92" s="758">
        <f>SUMIFS('P &amp; NP'!$C$11:$WL$11,'P &amp; NP'!$C$5:$WL$5,"NPJ",'P &amp; NP'!$C$2:$WL$2,"KOTA PASURUAN")</f>
        <v>0</v>
      </c>
      <c r="K92" s="90">
        <v>5220000</v>
      </c>
    </row>
    <row r="93" spans="1:11">
      <c r="A93" s="19" t="s">
        <v>144</v>
      </c>
      <c r="B93" s="26">
        <f t="shared" si="3"/>
        <v>14036266.699999999</v>
      </c>
      <c r="C93" s="20">
        <f>SUMIFS('P &amp; NP'!$C$11:$WL$11,'P &amp; NP'!$C$5:$WL$5,"NPL",'P &amp; NP'!$C$2:$WL$2,"KOTA PROBOLINGGO")</f>
        <v>0</v>
      </c>
      <c r="D93" s="20">
        <f>SUMIFS('P &amp; NP'!$C$11:$WL$11,'P &amp; NP'!$C$5:$WL$5,"NPT",'P &amp; NP'!$C$2:$WL$2,"KOTA PROBOLINGGO")</f>
        <v>9979736.6999999993</v>
      </c>
      <c r="E93" s="20">
        <f>SUMIFS('P &amp; NP'!$C$11:$WL$11,'P &amp; NP'!$C$5:$WL$5,"NPS",'P &amp; NP'!$C$2:$WL$2,"KOTA PROBOLINGGO")</f>
        <v>0</v>
      </c>
      <c r="F93" s="20">
        <f>SUMIFS('P &amp; NP'!$C$11:$WL$11,'P &amp; NP'!$C$5:$WL$5,"NPK",'P &amp; NP'!$C$2:$WL$2,"KOTA PROBOLINGGO")</f>
        <v>4056530</v>
      </c>
      <c r="G93" s="20">
        <f>SUMIFS('P &amp; NP'!$C$11:$WL$11,'P &amp; NP'!$C$5:$WL$5,"NPM",'P &amp; NP'!$C$2:$WL$2,"KOTA PROBOLINGGO")</f>
        <v>0</v>
      </c>
      <c r="H93" s="20">
        <f>SUMIFS('P &amp; NP'!$C$11:$WL$11,'P &amp; NP'!$C$5:$WL$5,"NPB",'P &amp; NP'!$C$2:$WL$2,"KOTA PROBOLINGGO")</f>
        <v>0</v>
      </c>
      <c r="I93" s="758">
        <f>SUMIFS('P &amp; NP'!$C$11:$WL$11,'P &amp; NP'!$C$5:$WL$5,"NPJ",'P &amp; NP'!$C$2:$WL$2,"KOTA PROBOLINGGO")</f>
        <v>0</v>
      </c>
      <c r="K93" s="90">
        <v>310280742.5</v>
      </c>
    </row>
    <row r="94" spans="1:11" ht="15" thickBot="1">
      <c r="A94" s="21" t="s">
        <v>148</v>
      </c>
      <c r="B94" s="32">
        <f t="shared" si="3"/>
        <v>301233074</v>
      </c>
      <c r="C94" s="754">
        <f>SUMIFS('P &amp; NP'!$C$11:$WL$11,'P &amp; NP'!$C$5:$WL$5,"NPL",'P &amp; NP'!$C$2:$WL$2,"KOTA SURABAYA")</f>
        <v>0</v>
      </c>
      <c r="D94" s="754">
        <f>SUMIFS('P &amp; NP'!$C$11:$WL$11,'P &amp; NP'!$C$5:$WL$5,"NPT",'P &amp; NP'!$C$2:$WL$2,"KOTA SURABAYA")</f>
        <v>185596500</v>
      </c>
      <c r="E94" s="754">
        <f>SUMIFS('P &amp; NP'!$C$11:$WL$11,'P &amp; NP'!$C$5:$WL$5,"NPS",'P &amp; NP'!$C$2:$WL$2,"KOTA SURABAYA")</f>
        <v>0</v>
      </c>
      <c r="F94" s="754">
        <f>SUMIFS('P &amp; NP'!$C$11:$WL$11,'P &amp; NP'!$C$5:$WL$5,"NPK",'P &amp; NP'!$C$2:$WL$2,"KOTA SURABAYA")</f>
        <v>114032566</v>
      </c>
      <c r="G94" s="754">
        <f>SUMIFS('P &amp; NP'!$C$11:$WL$11,'P &amp; NP'!$C$5:$WL$5,"NPM",'P &amp; NP'!$C$2:$WL$2,"KOTA SURABAYA")</f>
        <v>0</v>
      </c>
      <c r="H94" s="754">
        <f>SUMIFS('P &amp; NP'!$C$11:$WL$11,'P &amp; NP'!$C$5:$WL$5,"NPB",'P &amp; NP'!$C$2:$WL$2,"KOTA SURABAYA")</f>
        <v>0</v>
      </c>
      <c r="I94" s="759">
        <f>SUMIFS('P &amp; NP'!$C$11:$WL$11,'P &amp; NP'!$C$5:$WL$5,"NPJ",'P &amp; NP'!$C$2:$WL$2,"KOTA SURABAYA")</f>
        <v>1604008</v>
      </c>
      <c r="K94" s="90">
        <v>1386159</v>
      </c>
    </row>
  </sheetData>
  <sortState xmlns:xlrd2="http://schemas.microsoft.com/office/spreadsheetml/2017/richdata2" ref="A57:A94">
    <sortCondition ref="A57:A94"/>
  </sortState>
  <mergeCells count="6">
    <mergeCell ref="A1:I1"/>
    <mergeCell ref="C4:I4"/>
    <mergeCell ref="A47:I47"/>
    <mergeCell ref="A50:I50"/>
    <mergeCell ref="C52:I52"/>
    <mergeCell ref="A2:I2"/>
  </mergeCells>
  <hyperlinks>
    <hyperlink ref="J1" location="'DAFTAR ISI'!A1" display="BACK" xr:uid="{00000000-0004-0000-0900-000000000000}"/>
  </hyperlink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H38"/>
  <sheetViews>
    <sheetView view="pageBreakPreview" zoomScale="90" zoomScaleNormal="100" zoomScaleSheetLayoutView="90" workbookViewId="0">
      <selection activeCell="D10" sqref="D10"/>
    </sheetView>
  </sheetViews>
  <sheetFormatPr defaultRowHeight="14.5"/>
  <cols>
    <col min="1" max="1" width="4" customWidth="1"/>
    <col min="2" max="2" width="28.1796875" customWidth="1"/>
    <col min="3" max="3" width="19" customWidth="1"/>
    <col min="4" max="7" width="17.81640625" customWidth="1"/>
  </cols>
  <sheetData>
    <row r="1" spans="1:8" ht="21">
      <c r="A1" s="908" t="s">
        <v>654</v>
      </c>
      <c r="B1" s="908"/>
      <c r="C1" s="908"/>
      <c r="D1" s="908"/>
      <c r="E1" s="908"/>
      <c r="F1" s="908"/>
      <c r="G1" s="908"/>
      <c r="H1" s="175" t="s">
        <v>245</v>
      </c>
    </row>
    <row r="2" spans="1:8">
      <c r="A2" t="s">
        <v>163</v>
      </c>
    </row>
    <row r="3" spans="1:8" ht="15" thickBot="1">
      <c r="A3" s="33"/>
      <c r="B3" s="33"/>
      <c r="G3" s="1" t="s">
        <v>263</v>
      </c>
    </row>
    <row r="4" spans="1:8">
      <c r="A4" s="34"/>
      <c r="B4" s="35"/>
      <c r="C4" s="36"/>
      <c r="D4" s="37"/>
      <c r="E4" s="37"/>
      <c r="F4" s="37"/>
      <c r="G4" s="38"/>
    </row>
    <row r="5" spans="1:8">
      <c r="A5" s="909" t="s">
        <v>164</v>
      </c>
      <c r="B5" s="910"/>
      <c r="C5" s="39" t="s">
        <v>104</v>
      </c>
      <c r="D5" s="911" t="s">
        <v>102</v>
      </c>
      <c r="E5" s="912"/>
      <c r="F5" s="912"/>
      <c r="G5" s="913"/>
    </row>
    <row r="6" spans="1:8">
      <c r="A6" s="909"/>
      <c r="B6" s="910"/>
      <c r="C6" s="39"/>
      <c r="D6" s="40" t="s">
        <v>107</v>
      </c>
      <c r="E6" s="40" t="s">
        <v>108</v>
      </c>
      <c r="F6" s="40" t="s">
        <v>109</v>
      </c>
      <c r="G6" s="41" t="s">
        <v>110</v>
      </c>
    </row>
    <row r="7" spans="1:8">
      <c r="A7" s="909"/>
      <c r="B7" s="910"/>
      <c r="C7" s="42">
        <f>SUM(C10:C16)</f>
        <v>1442332.9932170778</v>
      </c>
      <c r="D7" s="43">
        <f>SUM(D10:D16)</f>
        <v>330112.45668722299</v>
      </c>
      <c r="E7" s="43">
        <f>SUM(E10:E16)</f>
        <v>350946.94557623158</v>
      </c>
      <c r="F7" s="43">
        <f>SUM(F10:F16)</f>
        <v>384636.55136981368</v>
      </c>
      <c r="G7" s="44">
        <f>SUM(G10:G16)</f>
        <v>376637.03958380956</v>
      </c>
    </row>
    <row r="8" spans="1:8" ht="15" thickBot="1">
      <c r="A8" s="45"/>
      <c r="B8" s="46"/>
      <c r="C8" s="47"/>
      <c r="D8" s="48"/>
      <c r="E8" s="49"/>
      <c r="F8" s="49"/>
      <c r="G8" s="50"/>
    </row>
    <row r="9" spans="1:8" ht="15" thickTop="1">
      <c r="A9" s="51"/>
      <c r="B9" s="52"/>
      <c r="C9" s="53"/>
      <c r="D9" s="54"/>
      <c r="E9" s="39"/>
      <c r="F9" s="39"/>
      <c r="G9" s="55"/>
    </row>
    <row r="10" spans="1:8">
      <c r="A10" s="56">
        <v>1</v>
      </c>
      <c r="B10" s="57" t="s">
        <v>34</v>
      </c>
      <c r="C10" s="58">
        <f t="shared" ref="C10:C16" si="0">SUM(D10:G10)</f>
        <v>774415.15892607835</v>
      </c>
      <c r="D10" s="59">
        <f>'P &amp; NP'!$WN$7/1000</f>
        <v>156469.13099999999</v>
      </c>
      <c r="E10" s="59">
        <f>'P &amp; NP'!$WN$8/1000</f>
        <v>169550.27169067858</v>
      </c>
      <c r="F10" s="59">
        <f>'P &amp; NP'!$WN$9/1000</f>
        <v>227792.889</v>
      </c>
      <c r="G10" s="60">
        <f>'P &amp; NP'!$WN$10/1000</f>
        <v>220602.86723539978</v>
      </c>
    </row>
    <row r="11" spans="1:8">
      <c r="A11" s="56">
        <v>2</v>
      </c>
      <c r="B11" s="57" t="s">
        <v>31</v>
      </c>
      <c r="C11" s="58">
        <f t="shared" si="0"/>
        <v>282359.63146421686</v>
      </c>
      <c r="D11" s="59">
        <f>'P &amp; NP'!$WP$7/1000</f>
        <v>71273.382507222923</v>
      </c>
      <c r="E11" s="59">
        <f>'P &amp; NP'!$WP$8/1000</f>
        <v>67363.208022949577</v>
      </c>
      <c r="F11" s="59">
        <f>'P &amp; NP'!$WP$9/1000</f>
        <v>74491.897939447692</v>
      </c>
      <c r="G11" s="60">
        <f>'P &amp; NP'!$WP$10/1000</f>
        <v>69231.142994596667</v>
      </c>
    </row>
    <row r="12" spans="1:8">
      <c r="A12" s="56">
        <v>3</v>
      </c>
      <c r="B12" s="57" t="s">
        <v>558</v>
      </c>
      <c r="C12" s="58">
        <f t="shared" si="0"/>
        <v>0</v>
      </c>
      <c r="D12" s="59">
        <f>'P &amp; NP'!$WR$7/1000</f>
        <v>0</v>
      </c>
      <c r="E12" s="59">
        <f>'P &amp; NP'!$WR$8/1000</f>
        <v>0</v>
      </c>
      <c r="F12" s="59">
        <f>'P &amp; NP'!$WR$9/1000</f>
        <v>0</v>
      </c>
      <c r="G12" s="59">
        <f>'P &amp; NP'!$WR$10/1000</f>
        <v>0</v>
      </c>
    </row>
    <row r="13" spans="1:8">
      <c r="A13" s="56">
        <v>4</v>
      </c>
      <c r="B13" s="57" t="s">
        <v>32</v>
      </c>
      <c r="C13" s="58">
        <f t="shared" si="0"/>
        <v>356728.67296641646</v>
      </c>
      <c r="D13" s="59">
        <f>'P &amp; NP'!$WT$7/1000</f>
        <v>93172.807850000012</v>
      </c>
      <c r="E13" s="59">
        <f>'P &amp; NP'!$WT$8/1000</f>
        <v>106162.13213260342</v>
      </c>
      <c r="F13" s="59">
        <f>'P &amp; NP'!$WT$9/1000</f>
        <v>78455.159189999991</v>
      </c>
      <c r="G13" s="60">
        <f>'P &amp; NP'!$WT$10/1000</f>
        <v>78938.573793813077</v>
      </c>
    </row>
    <row r="14" spans="1:8">
      <c r="A14" s="56">
        <v>5</v>
      </c>
      <c r="B14" s="57" t="s">
        <v>561</v>
      </c>
      <c r="C14" s="61">
        <f>SUM(D14:G14)</f>
        <v>16250.959000366</v>
      </c>
      <c r="D14" s="59">
        <f>'P &amp; NP'!$WV$7/1000</f>
        <v>5229.0619999999999</v>
      </c>
      <c r="E14" s="59">
        <f>'P &amp; NP'!$WV$8/1000</f>
        <v>4876.3789999999999</v>
      </c>
      <c r="F14" s="59">
        <f>'P &amp; NP'!$WV$9/1000</f>
        <v>2124.1880003659999</v>
      </c>
      <c r="G14" s="60">
        <f>'P &amp; NP'!$WV$10/1000</f>
        <v>4021.33</v>
      </c>
    </row>
    <row r="15" spans="1:8">
      <c r="A15" s="56">
        <v>6</v>
      </c>
      <c r="B15" s="57" t="s">
        <v>33</v>
      </c>
      <c r="C15" s="61">
        <f t="shared" si="0"/>
        <v>6969.165</v>
      </c>
      <c r="D15" s="59">
        <f>'P &amp; NP'!$WX$7/1000</f>
        <v>1952.2909999999999</v>
      </c>
      <c r="E15" s="59">
        <f>'P &amp; NP'!$WX$8/1000</f>
        <v>1457.9590000000001</v>
      </c>
      <c r="F15" s="59">
        <f>'P &amp; NP'!$WX$9/1000</f>
        <v>1149.5530000000001</v>
      </c>
      <c r="G15" s="60">
        <f>'P &amp; NP'!$WX$10/1000</f>
        <v>2409.3620000000001</v>
      </c>
    </row>
    <row r="16" spans="1:8">
      <c r="A16" s="56">
        <v>7</v>
      </c>
      <c r="B16" s="57" t="s">
        <v>35</v>
      </c>
      <c r="C16" s="61">
        <f t="shared" si="0"/>
        <v>5609.4058600000008</v>
      </c>
      <c r="D16" s="59">
        <f>'P &amp; NP'!$WZ$7/1000</f>
        <v>2015.78233</v>
      </c>
      <c r="E16" s="59">
        <f>'P &amp; NP'!$WZ$8/1000</f>
        <v>1536.9957300000001</v>
      </c>
      <c r="F16" s="59">
        <f>'P &amp; NP'!$WZ$9/1000</f>
        <v>622.86424</v>
      </c>
      <c r="G16" s="60">
        <f>'P &amp; NP'!$WZ$10/1000</f>
        <v>1433.7635600000001</v>
      </c>
    </row>
    <row r="17" spans="1:7" ht="15" thickBot="1">
      <c r="A17" s="62"/>
      <c r="B17" s="63"/>
      <c r="C17" s="64"/>
      <c r="D17" s="63"/>
      <c r="E17" s="65"/>
      <c r="F17" s="65"/>
      <c r="G17" s="66"/>
    </row>
    <row r="19" spans="1:7">
      <c r="D19" s="90"/>
      <c r="E19" s="90"/>
      <c r="F19" s="90"/>
      <c r="G19" s="90"/>
    </row>
    <row r="20" spans="1:7">
      <c r="D20" s="116"/>
    </row>
    <row r="21" spans="1:7" ht="20">
      <c r="A21" s="908" t="s">
        <v>167</v>
      </c>
      <c r="B21" s="908"/>
      <c r="C21" s="908"/>
      <c r="D21" s="908"/>
      <c r="E21" s="908"/>
      <c r="F21" s="908"/>
      <c r="G21" s="908"/>
    </row>
    <row r="22" spans="1:7" ht="20">
      <c r="A22" s="908" t="s">
        <v>655</v>
      </c>
      <c r="B22" s="908"/>
      <c r="C22" s="908"/>
      <c r="D22" s="908"/>
      <c r="E22" s="908"/>
      <c r="F22" s="908"/>
      <c r="G22" s="908"/>
    </row>
    <row r="23" spans="1:7">
      <c r="A23" s="33"/>
      <c r="B23" s="33"/>
      <c r="G23" s="1"/>
    </row>
    <row r="24" spans="1:7" ht="15" thickBot="1">
      <c r="A24" s="33"/>
      <c r="B24" s="33"/>
      <c r="G24" s="1" t="s">
        <v>151</v>
      </c>
    </row>
    <row r="25" spans="1:7">
      <c r="A25" s="34"/>
      <c r="B25" s="35"/>
      <c r="C25" s="36"/>
      <c r="D25" s="37"/>
      <c r="E25" s="37"/>
      <c r="F25" s="37"/>
      <c r="G25" s="38"/>
    </row>
    <row r="26" spans="1:7">
      <c r="A26" s="909" t="s">
        <v>164</v>
      </c>
      <c r="B26" s="910"/>
      <c r="C26" s="39" t="s">
        <v>104</v>
      </c>
      <c r="D26" s="911" t="s">
        <v>102</v>
      </c>
      <c r="E26" s="912"/>
      <c r="F26" s="912"/>
      <c r="G26" s="913"/>
    </row>
    <row r="27" spans="1:7">
      <c r="A27" s="909"/>
      <c r="B27" s="910"/>
      <c r="C27" s="39"/>
      <c r="D27" s="40" t="s">
        <v>107</v>
      </c>
      <c r="E27" s="40" t="s">
        <v>108</v>
      </c>
      <c r="F27" s="40" t="s">
        <v>109</v>
      </c>
      <c r="G27" s="41" t="s">
        <v>110</v>
      </c>
    </row>
    <row r="28" spans="1:7">
      <c r="A28" s="909"/>
      <c r="B28" s="910"/>
      <c r="C28" s="42">
        <f>SUM(C31:C37)</f>
        <v>21538229550.790455</v>
      </c>
      <c r="D28" s="43">
        <f>SUM(D31:D37)</f>
        <v>5603264024.4083338</v>
      </c>
      <c r="E28" s="43">
        <f>SUM(E31:E37)</f>
        <v>5440004666.3943243</v>
      </c>
      <c r="F28" s="43">
        <f>SUM(F31:F37)</f>
        <v>5241823556.00455</v>
      </c>
      <c r="G28" s="44">
        <f>SUM(G31:G37)</f>
        <v>5253137303.9832497</v>
      </c>
    </row>
    <row r="29" spans="1:7" ht="15" thickBot="1">
      <c r="A29" s="45"/>
      <c r="B29" s="46"/>
      <c r="C29" s="47"/>
      <c r="D29" s="48"/>
      <c r="E29" s="49"/>
      <c r="F29" s="49"/>
      <c r="G29" s="50"/>
    </row>
    <row r="30" spans="1:7" ht="15" thickTop="1">
      <c r="A30" s="51"/>
      <c r="B30" s="52"/>
      <c r="C30" s="53"/>
      <c r="D30" s="54"/>
      <c r="E30" s="39"/>
      <c r="F30" s="39"/>
      <c r="G30" s="55"/>
    </row>
    <row r="31" spans="1:7">
      <c r="A31" s="56">
        <v>1</v>
      </c>
      <c r="B31" s="57" t="s">
        <v>34</v>
      </c>
      <c r="C31" s="58">
        <f t="shared" ref="C31:C37" si="1">SUM(D31:G31)</f>
        <v>3994041159.9863362</v>
      </c>
      <c r="D31" s="59">
        <f>'P &amp; NP'!$WO$7</f>
        <v>958355908</v>
      </c>
      <c r="E31" s="59">
        <f>'P &amp; NP'!$WO$8</f>
        <v>729657050.95339274</v>
      </c>
      <c r="F31" s="59">
        <f>'P &amp; NP'!$WO$9</f>
        <v>1182515701.0610001</v>
      </c>
      <c r="G31" s="60">
        <f>'P &amp; NP'!$WO$10</f>
        <v>1123512499.9719434</v>
      </c>
    </row>
    <row r="32" spans="1:7">
      <c r="A32" s="56">
        <v>2</v>
      </c>
      <c r="B32" s="57" t="s">
        <v>31</v>
      </c>
      <c r="C32" s="58">
        <f t="shared" si="1"/>
        <v>9677403259.5202045</v>
      </c>
      <c r="D32" s="59">
        <f>'P &amp; NP'!$WQ$7</f>
        <v>2520146013.3905363</v>
      </c>
      <c r="E32" s="59">
        <f>'P &amp; NP'!$WQ$8</f>
        <v>2319614272.571085</v>
      </c>
      <c r="F32" s="59">
        <f>'P &amp; NP'!$WQ$9</f>
        <v>2493495560.9571395</v>
      </c>
      <c r="G32" s="60">
        <f>'P &amp; NP'!$WQ$10</f>
        <v>2344147412.6014442</v>
      </c>
    </row>
    <row r="33" spans="1:7">
      <c r="A33" s="56">
        <v>3</v>
      </c>
      <c r="B33" s="57" t="s">
        <v>558</v>
      </c>
      <c r="C33" s="58">
        <f t="shared" si="1"/>
        <v>0</v>
      </c>
      <c r="D33" s="59">
        <f>'P &amp; NP'!$WS$7</f>
        <v>0</v>
      </c>
      <c r="E33" s="59">
        <f>'P &amp; NP'!$WS$8</f>
        <v>0</v>
      </c>
      <c r="F33" s="59">
        <f>'P &amp; NP'!$WS$9</f>
        <v>0</v>
      </c>
      <c r="G33" s="59">
        <f>'P &amp; NP'!$WS$10</f>
        <v>0</v>
      </c>
    </row>
    <row r="34" spans="1:7">
      <c r="A34" s="56">
        <v>4</v>
      </c>
      <c r="B34" s="57" t="s">
        <v>32</v>
      </c>
      <c r="C34" s="58">
        <f t="shared" si="1"/>
        <v>7160588868.2689161</v>
      </c>
      <c r="D34" s="59">
        <f>'P &amp; NP'!$WU$7</f>
        <v>1901094972.0177977</v>
      </c>
      <c r="E34" s="59">
        <f>'P &amp; NP'!$WU$8</f>
        <v>2199849062.8638468</v>
      </c>
      <c r="F34" s="59">
        <f>'P &amp; NP'!$WU$9</f>
        <v>1466531459.9774098</v>
      </c>
      <c r="G34" s="60">
        <f>'P &amp; NP'!$WU$10</f>
        <v>1593113373.4098616</v>
      </c>
    </row>
    <row r="35" spans="1:7">
      <c r="A35" s="56">
        <v>5</v>
      </c>
      <c r="B35" s="57" t="s">
        <v>561</v>
      </c>
      <c r="C35" s="61">
        <f t="shared" si="1"/>
        <v>444438214.01499999</v>
      </c>
      <c r="D35" s="59">
        <f>'P &amp; NP'!$WW$7</f>
        <v>139178292</v>
      </c>
      <c r="E35" s="59">
        <f>'P &amp; NP'!$WW$8</f>
        <v>126600112.006</v>
      </c>
      <c r="F35" s="59">
        <f>'P &amp; NP'!$WW$9</f>
        <v>63903725.009000003</v>
      </c>
      <c r="G35" s="60">
        <f>'P &amp; NP'!$WW$10</f>
        <v>114756085</v>
      </c>
    </row>
    <row r="36" spans="1:7">
      <c r="A36" s="56">
        <v>6</v>
      </c>
      <c r="B36" s="57" t="s">
        <v>33</v>
      </c>
      <c r="C36" s="61">
        <f t="shared" si="1"/>
        <v>129078479</v>
      </c>
      <c r="D36" s="59">
        <f>'P &amp; NP'!$WY$7</f>
        <v>36629661</v>
      </c>
      <c r="E36" s="59">
        <f>'P &amp; NP'!$WY$8</f>
        <v>27910455</v>
      </c>
      <c r="F36" s="59">
        <f>'P &amp; NP'!$WY$9</f>
        <v>21087196</v>
      </c>
      <c r="G36" s="60">
        <f>'P &amp; NP'!$WY$10</f>
        <v>43451167</v>
      </c>
    </row>
    <row r="37" spans="1:7">
      <c r="A37" s="56">
        <v>7</v>
      </c>
      <c r="B37" s="57" t="s">
        <v>35</v>
      </c>
      <c r="C37" s="61">
        <f t="shared" si="1"/>
        <v>132679570</v>
      </c>
      <c r="D37" s="59">
        <f>'P &amp; NP'!$XA$7</f>
        <v>47859178</v>
      </c>
      <c r="E37" s="59">
        <f>'P &amp; NP'!$XA$8</f>
        <v>36373713</v>
      </c>
      <c r="F37" s="59">
        <f>'P &amp; NP'!$XA$9</f>
        <v>14289913</v>
      </c>
      <c r="G37" s="60">
        <f>'P &amp; NP'!$XA$10</f>
        <v>34156766</v>
      </c>
    </row>
    <row r="38" spans="1:7" ht="15" thickBot="1">
      <c r="A38" s="62"/>
      <c r="B38" s="63"/>
      <c r="C38" s="64"/>
      <c r="D38" s="63"/>
      <c r="E38" s="65"/>
      <c r="F38" s="65"/>
      <c r="G38" s="66"/>
    </row>
  </sheetData>
  <mergeCells count="7">
    <mergeCell ref="A1:G1"/>
    <mergeCell ref="A5:B7"/>
    <mergeCell ref="D5:G5"/>
    <mergeCell ref="A21:G21"/>
    <mergeCell ref="A26:B28"/>
    <mergeCell ref="D26:G26"/>
    <mergeCell ref="A22:G22"/>
  </mergeCells>
  <hyperlinks>
    <hyperlink ref="H1" location="'DAFTAR ISI'!A1" display="BACK" xr:uid="{00000000-0004-0000-0700-000000000000}"/>
  </hyperlinks>
  <pageMargins left="0.7" right="0.7" top="0.75" bottom="0.75" header="0.3" footer="0.3"/>
  <pageSetup paperSize="9" scale="71" orientation="portrait" horizontalDpi="4294967293"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M93"/>
  <sheetViews>
    <sheetView view="pageBreakPreview" zoomScale="80" zoomScaleNormal="50" zoomScaleSheetLayoutView="75" workbookViewId="0">
      <pane xSplit="2" ySplit="6" topLeftCell="C7" activePane="bottomRight" state="frozen"/>
      <selection pane="topRight" activeCell="C1" sqref="C1"/>
      <selection pane="bottomLeft" activeCell="A7" sqref="A7"/>
      <selection pane="bottomRight" activeCell="B20" sqref="B20"/>
    </sheetView>
  </sheetViews>
  <sheetFormatPr defaultColWidth="9.1796875" defaultRowHeight="15.5"/>
  <cols>
    <col min="1" max="1" width="37.54296875" style="119" customWidth="1"/>
    <col min="2" max="2" width="23.54296875" style="119" customWidth="1"/>
    <col min="3" max="6" width="22.1796875" style="119" customWidth="1"/>
    <col min="7" max="7" width="15.54296875" style="119" bestFit="1" customWidth="1"/>
    <col min="8" max="8" width="14.54296875" style="119" bestFit="1" customWidth="1"/>
    <col min="9" max="9" width="20.81640625" style="119" customWidth="1"/>
    <col min="10" max="10" width="15.81640625" style="119" bestFit="1" customWidth="1"/>
    <col min="11" max="11" width="22.1796875" style="119" bestFit="1" customWidth="1"/>
    <col min="12" max="12" width="15.90625" style="119" bestFit="1" customWidth="1"/>
    <col min="13" max="13" width="17.54296875" style="119" bestFit="1" customWidth="1"/>
    <col min="14" max="16384" width="9.1796875" style="119"/>
  </cols>
  <sheetData>
    <row r="1" spans="1:13" ht="21">
      <c r="A1" s="903" t="s">
        <v>659</v>
      </c>
      <c r="B1" s="903"/>
      <c r="C1" s="903"/>
      <c r="D1" s="903"/>
      <c r="E1" s="903"/>
      <c r="F1" s="903"/>
      <c r="H1" s="175" t="s">
        <v>245</v>
      </c>
    </row>
    <row r="2" spans="1:13" ht="16" thickBot="1">
      <c r="A2" s="2"/>
      <c r="B2" s="2"/>
      <c r="C2" s="2"/>
      <c r="D2" s="2"/>
      <c r="E2" s="2"/>
      <c r="F2" s="3" t="s">
        <v>263</v>
      </c>
    </row>
    <row r="3" spans="1:13">
      <c r="A3" s="4"/>
      <c r="B3" s="5"/>
      <c r="C3" s="904" t="s">
        <v>102</v>
      </c>
      <c r="D3" s="885"/>
      <c r="E3" s="885"/>
      <c r="F3" s="886"/>
    </row>
    <row r="4" spans="1:13" ht="15.75" customHeight="1">
      <c r="A4" s="6" t="s">
        <v>103</v>
      </c>
      <c r="B4" s="7" t="s">
        <v>104</v>
      </c>
      <c r="C4" s="8"/>
      <c r="D4" s="8"/>
      <c r="E4" s="8"/>
      <c r="F4" s="9"/>
      <c r="I4" s="191"/>
    </row>
    <row r="5" spans="1:13">
      <c r="A5" s="10" t="s">
        <v>105</v>
      </c>
      <c r="B5" s="11" t="s">
        <v>106</v>
      </c>
      <c r="C5" s="612" t="s">
        <v>107</v>
      </c>
      <c r="D5" s="612" t="s">
        <v>108</v>
      </c>
      <c r="E5" s="612" t="s">
        <v>109</v>
      </c>
      <c r="F5" s="613" t="s">
        <v>110</v>
      </c>
      <c r="G5" s="787" t="s">
        <v>675</v>
      </c>
      <c r="H5" s="787" t="s">
        <v>676</v>
      </c>
      <c r="I5" s="127"/>
    </row>
    <row r="6" spans="1:13">
      <c r="A6" s="12"/>
      <c r="B6" s="13"/>
      <c r="C6" s="14"/>
      <c r="D6" s="15"/>
      <c r="E6" s="14"/>
      <c r="F6" s="16"/>
      <c r="G6" s="790">
        <f>SUM(G8:G45)</f>
        <v>1410765351.4589999</v>
      </c>
      <c r="H6" s="787">
        <v>2025</v>
      </c>
      <c r="I6" s="127"/>
    </row>
    <row r="7" spans="1:13">
      <c r="A7" s="17" t="s">
        <v>111</v>
      </c>
      <c r="B7" s="18">
        <f>SUM(B8:B45)</f>
        <v>1442332.9932170778</v>
      </c>
      <c r="C7" s="18">
        <f>SUM(C8:C45)</f>
        <v>330112.45668722299</v>
      </c>
      <c r="D7" s="18">
        <f>SUM(D8:D45)</f>
        <v>350946.94557623152</v>
      </c>
      <c r="E7" s="18">
        <f>SUM(E8:E45)</f>
        <v>384636.55136981368</v>
      </c>
      <c r="F7" s="181">
        <f>SUM(F8:F45)</f>
        <v>376637.03958380956</v>
      </c>
      <c r="J7" s="614"/>
      <c r="K7" s="615"/>
    </row>
    <row r="8" spans="1:13">
      <c r="A8" s="150" t="s">
        <v>137</v>
      </c>
      <c r="B8" s="185">
        <f>SUM(C8:F8)</f>
        <v>15081.607</v>
      </c>
      <c r="C8" s="765">
        <f>'P NP TW'!CD7/1000</f>
        <v>4955.5519999999997</v>
      </c>
      <c r="D8" s="765">
        <f>'P NP TW'!CF7/1000</f>
        <v>2036.2850000000001</v>
      </c>
      <c r="E8" s="766">
        <f>'P NP TW'!CH7/1000</f>
        <v>1756.77</v>
      </c>
      <c r="F8" s="767">
        <f>'P NP TW'!CJ7/1000</f>
        <v>6333</v>
      </c>
      <c r="G8" s="788">
        <v>13400000</v>
      </c>
      <c r="H8" s="792">
        <f>B8*1000/G8</f>
        <v>1.1254930597014925</v>
      </c>
      <c r="I8" s="616"/>
      <c r="J8" s="617"/>
      <c r="K8" s="618"/>
      <c r="L8" s="578"/>
    </row>
    <row r="9" spans="1:13">
      <c r="A9" s="150" t="s">
        <v>121</v>
      </c>
      <c r="B9" s="185">
        <f t="shared" ref="B9:B45" si="0">SUM(C9:F9)</f>
        <v>30646.435000000005</v>
      </c>
      <c r="C9" s="765">
        <f>'P NP TW'!CD8/1000</f>
        <v>7302.17</v>
      </c>
      <c r="D9" s="765">
        <f>'P NP TW'!CF8/1000</f>
        <v>7548.8540000000003</v>
      </c>
      <c r="E9" s="766">
        <f>'P NP TW'!CH8/1000</f>
        <v>7722.35</v>
      </c>
      <c r="F9" s="768">
        <f>'P NP TW'!CJ8/1000</f>
        <v>8073.0609999999997</v>
      </c>
      <c r="G9" s="619">
        <v>30610000</v>
      </c>
      <c r="H9" s="792">
        <f t="shared" ref="H9:H45" si="1">B9*1000/G9</f>
        <v>1.0011902972884679</v>
      </c>
      <c r="I9" s="620"/>
      <c r="J9" s="614"/>
      <c r="K9" s="621"/>
    </row>
    <row r="10" spans="1:13">
      <c r="A10" s="150" t="s">
        <v>116</v>
      </c>
      <c r="B10" s="185">
        <f t="shared" si="0"/>
        <v>17736.424999999999</v>
      </c>
      <c r="C10" s="765">
        <f>'P NP TW'!CD9/1000</f>
        <v>4138.18</v>
      </c>
      <c r="D10" s="765">
        <f>'P NP TW'!CF9/1000</f>
        <v>4447.74</v>
      </c>
      <c r="E10" s="766">
        <f>'P NP TW'!CH9/1000</f>
        <v>4279.8599999999997</v>
      </c>
      <c r="F10" s="768">
        <f>'P NP TW'!CJ9/1000</f>
        <v>4870.6450000000004</v>
      </c>
      <c r="G10" s="619">
        <v>17319000</v>
      </c>
      <c r="H10" s="792">
        <f t="shared" si="1"/>
        <v>1.0241021421560137</v>
      </c>
      <c r="I10" s="620"/>
      <c r="J10" s="622"/>
      <c r="K10" s="622"/>
    </row>
    <row r="11" spans="1:13">
      <c r="A11" s="150" t="s">
        <v>133</v>
      </c>
      <c r="B11" s="185">
        <f t="shared" si="0"/>
        <v>5384.1280000000006</v>
      </c>
      <c r="C11" s="765">
        <f>'P NP TW'!CD10/1000</f>
        <v>1611.0350000000001</v>
      </c>
      <c r="D11" s="765">
        <f>'P NP TW'!CF10/1000</f>
        <v>1266.7059999999999</v>
      </c>
      <c r="E11" s="766">
        <f>'P NP TW'!CH10/1000</f>
        <v>1063.8219999999999</v>
      </c>
      <c r="F11" s="768">
        <f>'P NP TW'!CJ10/1000</f>
        <v>1442.5650000000001</v>
      </c>
      <c r="G11" s="789">
        <v>5363000</v>
      </c>
      <c r="H11" s="792">
        <f t="shared" si="1"/>
        <v>1.0039395860525826</v>
      </c>
      <c r="I11" s="620"/>
      <c r="J11" s="620"/>
      <c r="K11" s="620"/>
      <c r="L11" s="620"/>
      <c r="M11" s="623"/>
    </row>
    <row r="12" spans="1:13">
      <c r="A12" s="150" t="s">
        <v>122</v>
      </c>
      <c r="B12" s="185">
        <f t="shared" si="0"/>
        <v>849.31600000000003</v>
      </c>
      <c r="C12" s="765">
        <f>'P NP TW'!CD11/1000</f>
        <v>226.59399999999999</v>
      </c>
      <c r="D12" s="765">
        <f>'P NP TW'!CF11/1000</f>
        <v>206.553</v>
      </c>
      <c r="E12" s="766">
        <f>'P NP TW'!CH11/1000</f>
        <v>202.71700000000001</v>
      </c>
      <c r="F12" s="768">
        <f>'P NP TW'!CJ11/1000</f>
        <v>213.452</v>
      </c>
      <c r="G12" s="619">
        <v>829140</v>
      </c>
      <c r="H12" s="792">
        <f t="shared" si="1"/>
        <v>1.0243336469112574</v>
      </c>
      <c r="I12" s="620"/>
    </row>
    <row r="13" spans="1:13">
      <c r="A13" s="150" t="s">
        <v>136</v>
      </c>
      <c r="B13" s="185">
        <f t="shared" si="0"/>
        <v>160439.07452691664</v>
      </c>
      <c r="C13" s="765">
        <f>'P NP TW'!CD12/1000</f>
        <v>40844.408346231219</v>
      </c>
      <c r="D13" s="765">
        <f>'P NP TW'!CF12/1000</f>
        <v>40844.019987881133</v>
      </c>
      <c r="E13" s="766">
        <f>'P NP TW'!CH12/1000</f>
        <v>40001.284342798186</v>
      </c>
      <c r="F13" s="768">
        <f>'P NP TW'!CJ12/1000</f>
        <v>38749.361850006091</v>
      </c>
      <c r="G13" s="789">
        <v>160651000</v>
      </c>
      <c r="H13" s="792">
        <f t="shared" si="1"/>
        <v>0.99868083315333622</v>
      </c>
      <c r="I13" s="620"/>
    </row>
    <row r="14" spans="1:13">
      <c r="A14" s="150" t="s">
        <v>120</v>
      </c>
      <c r="B14" s="185">
        <f t="shared" si="0"/>
        <v>16410.715470161089</v>
      </c>
      <c r="C14" s="765">
        <f>'P NP TW'!CD13/1000</f>
        <v>4228.9880009917051</v>
      </c>
      <c r="D14" s="765">
        <f>'P NP TW'!CF13/1000</f>
        <v>3332.1249983504313</v>
      </c>
      <c r="E14" s="766">
        <f>'P NP TW'!CH13/1000</f>
        <v>4388.8399370154984</v>
      </c>
      <c r="F14" s="768">
        <f>'P NP TW'!CJ13/1000</f>
        <v>4460.7625338034541</v>
      </c>
      <c r="G14" s="619">
        <v>16073000</v>
      </c>
      <c r="H14" s="792">
        <f t="shared" si="1"/>
        <v>1.0210113525888813</v>
      </c>
    </row>
    <row r="15" spans="1:13">
      <c r="A15" s="150" t="s">
        <v>128</v>
      </c>
      <c r="B15" s="185">
        <f t="shared" si="0"/>
        <v>14792</v>
      </c>
      <c r="C15" s="765">
        <f>'P NP TW'!CD14/1000</f>
        <v>3845.7</v>
      </c>
      <c r="D15" s="765">
        <f>'P NP TW'!CF14/1000</f>
        <v>3727.8</v>
      </c>
      <c r="E15" s="766">
        <f>'P NP TW'!CH14/1000</f>
        <v>3551.9</v>
      </c>
      <c r="F15" s="768">
        <f>'P NP TW'!CJ14/1000</f>
        <v>3666.6</v>
      </c>
      <c r="G15" s="619">
        <v>14789700</v>
      </c>
      <c r="H15" s="792">
        <f t="shared" si="1"/>
        <v>1.0001555136344888</v>
      </c>
      <c r="I15" s="620"/>
    </row>
    <row r="16" spans="1:13">
      <c r="A16" s="150" t="s">
        <v>117</v>
      </c>
      <c r="B16" s="185">
        <f t="shared" si="0"/>
        <v>25514.275000000001</v>
      </c>
      <c r="C16" s="765">
        <f>'P NP TW'!CD15/1000</f>
        <v>6417.12</v>
      </c>
      <c r="D16" s="765">
        <f>'P NP TW'!CF15/1000</f>
        <v>6917.12</v>
      </c>
      <c r="E16" s="766">
        <f>'P NP TW'!CH15/1000</f>
        <v>6098.7849999999999</v>
      </c>
      <c r="F16" s="768">
        <f>'P NP TW'!CJ15/1000</f>
        <v>6081.25</v>
      </c>
      <c r="G16" s="789">
        <v>25448995</v>
      </c>
      <c r="H16" s="792">
        <f t="shared" si="1"/>
        <v>1.0025651307644958</v>
      </c>
    </row>
    <row r="17" spans="1:9">
      <c r="A17" s="150" t="s">
        <v>135</v>
      </c>
      <c r="B17" s="185">
        <f t="shared" si="0"/>
        <v>46941.847000000002</v>
      </c>
      <c r="C17" s="765">
        <f>'P NP TW'!CD16/1000</f>
        <v>13960.78</v>
      </c>
      <c r="D17" s="765">
        <f>'P NP TW'!CF16/1000</f>
        <v>28179.905999999999</v>
      </c>
      <c r="E17" s="766">
        <f>'P NP TW'!CH16/1000</f>
        <v>3015.3130000000001</v>
      </c>
      <c r="F17" s="768">
        <f>'P NP TW'!CJ16/1000</f>
        <v>1785.848</v>
      </c>
      <c r="G17" s="789">
        <v>46928200</v>
      </c>
      <c r="H17" s="792">
        <f t="shared" si="1"/>
        <v>1.0002908059546285</v>
      </c>
    </row>
    <row r="18" spans="1:9">
      <c r="A18" s="150" t="s">
        <v>119</v>
      </c>
      <c r="B18" s="185">
        <f t="shared" si="0"/>
        <v>5111.5964000000004</v>
      </c>
      <c r="C18" s="765">
        <f>'P NP TW'!CD17/1000</f>
        <v>1312.0003999999999</v>
      </c>
      <c r="D18" s="765">
        <f>'P NP TW'!CF17/1000</f>
        <v>1263.317</v>
      </c>
      <c r="E18" s="766">
        <f>'P NP TW'!CH17/1000</f>
        <v>1250.893</v>
      </c>
      <c r="F18" s="768">
        <f>'P NP TW'!CJ17/1000</f>
        <v>1285.386</v>
      </c>
      <c r="G18" s="789">
        <v>4961132</v>
      </c>
      <c r="H18" s="792">
        <f t="shared" si="1"/>
        <v>1.0303286427371818</v>
      </c>
    </row>
    <row r="19" spans="1:9">
      <c r="A19" s="150" t="s">
        <v>130</v>
      </c>
      <c r="B19" s="185">
        <f t="shared" si="0"/>
        <v>3850.1000000000004</v>
      </c>
      <c r="C19" s="765">
        <f>'P NP TW'!CD18/1000</f>
        <v>983.3</v>
      </c>
      <c r="D19" s="765">
        <f>'P NP TW'!CF18/1000</f>
        <v>990.8</v>
      </c>
      <c r="E19" s="766">
        <f>'P NP TW'!CH18/1000</f>
        <v>881.45</v>
      </c>
      <c r="F19" s="768">
        <f>'P NP TW'!CJ18/1000</f>
        <v>994.55</v>
      </c>
      <c r="G19" s="619">
        <v>3843940</v>
      </c>
      <c r="H19" s="792">
        <f t="shared" si="1"/>
        <v>1.0016025224119005</v>
      </c>
    </row>
    <row r="20" spans="1:9">
      <c r="A20" s="150" t="s">
        <v>131</v>
      </c>
      <c r="B20" s="185">
        <f t="shared" si="0"/>
        <v>1860.28</v>
      </c>
      <c r="C20" s="765">
        <f>'P NP TW'!CD19/1000</f>
        <v>483.58</v>
      </c>
      <c r="D20" s="765">
        <f>'P NP TW'!CF19/1000</f>
        <v>483.7</v>
      </c>
      <c r="E20" s="766">
        <f>'P NP TW'!CH19/1000</f>
        <v>430.99</v>
      </c>
      <c r="F20" s="768">
        <f>'P NP TW'!CJ19/1000</f>
        <v>462.01</v>
      </c>
      <c r="G20" s="789">
        <v>1852000</v>
      </c>
      <c r="H20" s="792">
        <f t="shared" si="1"/>
        <v>1.0044708423326134</v>
      </c>
    </row>
    <row r="21" spans="1:9">
      <c r="A21" s="150" t="s">
        <v>118</v>
      </c>
      <c r="B21" s="185">
        <f t="shared" si="0"/>
        <v>13264.3</v>
      </c>
      <c r="C21" s="765">
        <f>'P NP TW'!CD20/1000</f>
        <v>3821.3</v>
      </c>
      <c r="D21" s="765">
        <f>'P NP TW'!CF20/1000</f>
        <v>3421.5</v>
      </c>
      <c r="E21" s="766">
        <f>'P NP TW'!CH20/1000</f>
        <v>2417</v>
      </c>
      <c r="F21" s="768">
        <f>'P NP TW'!CJ20/1000</f>
        <v>3604.5</v>
      </c>
      <c r="G21" s="789">
        <v>12632000</v>
      </c>
      <c r="H21" s="792">
        <f t="shared" si="1"/>
        <v>1.050055414819506</v>
      </c>
    </row>
    <row r="22" spans="1:9">
      <c r="A22" s="150" t="s">
        <v>127</v>
      </c>
      <c r="B22" s="185">
        <f t="shared" si="0"/>
        <v>1816.6179999999999</v>
      </c>
      <c r="C22" s="765">
        <f>'P NP TW'!CD21/1000</f>
        <v>460.5</v>
      </c>
      <c r="D22" s="765">
        <f>'P NP TW'!CF21/1000</f>
        <v>445.76</v>
      </c>
      <c r="E22" s="766">
        <f>'P NP TW'!CH21/1000</f>
        <v>447.49799999999999</v>
      </c>
      <c r="F22" s="768">
        <f>'P NP TW'!CJ21/1000</f>
        <v>462.86</v>
      </c>
      <c r="G22" s="619">
        <v>1787000</v>
      </c>
      <c r="H22" s="792">
        <f t="shared" si="1"/>
        <v>1.0165741466144376</v>
      </c>
    </row>
    <row r="23" spans="1:9">
      <c r="A23" s="150" t="s">
        <v>129</v>
      </c>
      <c r="B23" s="185">
        <f t="shared" si="0"/>
        <v>11030</v>
      </c>
      <c r="C23" s="765">
        <f>'P NP TW'!CD22/1000</f>
        <v>3007</v>
      </c>
      <c r="D23" s="765">
        <f>'P NP TW'!CF22/1000</f>
        <v>2898</v>
      </c>
      <c r="E23" s="766">
        <f>'P NP TW'!CH22/1000</f>
        <v>2520</v>
      </c>
      <c r="F23" s="768">
        <f>'P NP TW'!CJ22/1000</f>
        <v>2605</v>
      </c>
      <c r="G23" s="619">
        <v>10800000</v>
      </c>
      <c r="H23" s="792">
        <f t="shared" si="1"/>
        <v>1.0212962962962964</v>
      </c>
    </row>
    <row r="24" spans="1:9">
      <c r="A24" s="150" t="s">
        <v>132</v>
      </c>
      <c r="B24" s="185">
        <f t="shared" si="0"/>
        <v>4513.4579999999996</v>
      </c>
      <c r="C24" s="765">
        <f>'P NP TW'!CD23/1000</f>
        <v>1129.2570000000001</v>
      </c>
      <c r="D24" s="765">
        <f>'P NP TW'!CF23/1000</f>
        <v>1146.4469999999999</v>
      </c>
      <c r="E24" s="766">
        <f>'P NP TW'!CH23/1000</f>
        <v>1141.0119999999999</v>
      </c>
      <c r="F24" s="768">
        <f>'P NP TW'!CJ23/1000</f>
        <v>1096.742</v>
      </c>
      <c r="G24" s="789">
        <v>4509340</v>
      </c>
      <c r="H24" s="792">
        <f t="shared" si="1"/>
        <v>1.0009132156812306</v>
      </c>
    </row>
    <row r="25" spans="1:9">
      <c r="A25" s="150" t="s">
        <v>112</v>
      </c>
      <c r="B25" s="185">
        <f t="shared" si="0"/>
        <v>2663.462</v>
      </c>
      <c r="C25" s="765">
        <f>'P NP TW'!CD24/1000</f>
        <v>547.26800000000003</v>
      </c>
      <c r="D25" s="765">
        <f>'P NP TW'!CF24/1000</f>
        <v>588.58399999999995</v>
      </c>
      <c r="E25" s="766">
        <f>'P NP TW'!CH24/1000</f>
        <v>741.91099999999994</v>
      </c>
      <c r="F25" s="768">
        <f>'P NP TW'!CJ24/1000</f>
        <v>785.69899999999996</v>
      </c>
      <c r="G25" s="619">
        <v>1448090</v>
      </c>
      <c r="H25" s="792">
        <f t="shared" si="1"/>
        <v>1.8392931378574535</v>
      </c>
    </row>
    <row r="26" spans="1:9">
      <c r="A26" s="150" t="s">
        <v>139</v>
      </c>
      <c r="B26" s="185">
        <f t="shared" si="0"/>
        <v>1315.693</v>
      </c>
      <c r="C26" s="765">
        <f>'P NP TW'!CD25/1000</f>
        <v>315.06400000000002</v>
      </c>
      <c r="D26" s="765">
        <f>'P NP TW'!CF25/1000</f>
        <v>276.48099999999999</v>
      </c>
      <c r="E26" s="766">
        <f>'P NP TW'!CH25/1000</f>
        <v>290.01</v>
      </c>
      <c r="F26" s="768">
        <f>'P NP TW'!CJ25/1000</f>
        <v>434.13799999999998</v>
      </c>
      <c r="G26" s="619">
        <v>1174440</v>
      </c>
      <c r="H26" s="792">
        <f t="shared" si="1"/>
        <v>1.1202726405776371</v>
      </c>
      <c r="I26" s="620"/>
    </row>
    <row r="27" spans="1:9">
      <c r="A27" s="150" t="s">
        <v>125</v>
      </c>
      <c r="B27" s="185">
        <f t="shared" si="0"/>
        <v>25295.174270000003</v>
      </c>
      <c r="C27" s="765">
        <f>'P NP TW'!CD26/1000</f>
        <v>6438.6575600000006</v>
      </c>
      <c r="D27" s="765">
        <f>'P NP TW'!CF26/1000</f>
        <v>5936.6751200000008</v>
      </c>
      <c r="E27" s="766">
        <f>'P NP TW'!CH26/1000</f>
        <v>6880.3193900000006</v>
      </c>
      <c r="F27" s="768">
        <f>'P NP TW'!CJ26/1000</f>
        <v>6039.5222000000003</v>
      </c>
      <c r="G27" s="789">
        <v>24014705.100000001</v>
      </c>
      <c r="H27" s="792">
        <f t="shared" si="1"/>
        <v>1.0533202121228631</v>
      </c>
      <c r="I27" s="620"/>
    </row>
    <row r="28" spans="1:9">
      <c r="A28" s="150" t="s">
        <v>113</v>
      </c>
      <c r="B28" s="185">
        <f t="shared" si="0"/>
        <v>2197.3159999999998</v>
      </c>
      <c r="C28" s="765">
        <f>'P NP TW'!CD27/1000</f>
        <v>572.47299999999996</v>
      </c>
      <c r="D28" s="765">
        <f>'P NP TW'!CF27/1000</f>
        <v>577.91499999999996</v>
      </c>
      <c r="E28" s="766">
        <f>'P NP TW'!CH27/1000</f>
        <v>516.57600000000002</v>
      </c>
      <c r="F28" s="768">
        <f>'P NP TW'!CJ27/1000</f>
        <v>530.35199999999998</v>
      </c>
      <c r="G28" s="619">
        <v>2192697</v>
      </c>
      <c r="H28" s="792">
        <f t="shared" si="1"/>
        <v>1.002106538203865</v>
      </c>
      <c r="I28" s="620"/>
    </row>
    <row r="29" spans="1:9">
      <c r="A29" s="150" t="s">
        <v>124</v>
      </c>
      <c r="B29" s="185">
        <f t="shared" si="0"/>
        <v>15433.567999999999</v>
      </c>
      <c r="C29" s="765">
        <f>'P NP TW'!CD28/1000</f>
        <v>4712.8999999999996</v>
      </c>
      <c r="D29" s="765">
        <f>'P NP TW'!CF28/1000</f>
        <v>3886.59</v>
      </c>
      <c r="E29" s="766">
        <f>'P NP TW'!CH28/1000</f>
        <v>4027.2080000000001</v>
      </c>
      <c r="F29" s="768">
        <f>'P NP TW'!CJ28/1000</f>
        <v>2806.87</v>
      </c>
      <c r="G29" s="619">
        <v>15443077</v>
      </c>
      <c r="H29" s="792">
        <f t="shared" si="1"/>
        <v>0.99938425483470683</v>
      </c>
      <c r="I29" s="620"/>
    </row>
    <row r="30" spans="1:9">
      <c r="A30" s="150" t="s">
        <v>138</v>
      </c>
      <c r="B30" s="185">
        <f t="shared" si="0"/>
        <v>1083.028</v>
      </c>
      <c r="C30" s="765">
        <f>'P NP TW'!CD29/1000</f>
        <v>314.64499999999998</v>
      </c>
      <c r="D30" s="765">
        <f>'P NP TW'!CF29/1000</f>
        <v>357.36700000000002</v>
      </c>
      <c r="E30" s="766">
        <f>'P NP TW'!CH29/1000</f>
        <v>147.37</v>
      </c>
      <c r="F30" s="768">
        <f>'P NP TW'!CJ29/1000</f>
        <v>263.64600000000002</v>
      </c>
      <c r="G30" s="789">
        <v>1071531</v>
      </c>
      <c r="H30" s="792">
        <f t="shared" si="1"/>
        <v>1.0107295075924074</v>
      </c>
      <c r="I30" s="620"/>
    </row>
    <row r="31" spans="1:9">
      <c r="A31" s="150" t="s">
        <v>126</v>
      </c>
      <c r="B31" s="185">
        <f t="shared" si="0"/>
        <v>110739.68700000001</v>
      </c>
      <c r="C31" s="765">
        <f>'P NP TW'!CD30/1000</f>
        <v>26443.381000000001</v>
      </c>
      <c r="D31" s="765">
        <f>'P NP TW'!CF30/1000</f>
        <v>26639.452000000001</v>
      </c>
      <c r="E31" s="766">
        <f>'P NP TW'!CH30/1000</f>
        <v>31984.704000000002</v>
      </c>
      <c r="F31" s="768">
        <f>'P NP TW'!CJ30/1000</f>
        <v>25672.15</v>
      </c>
      <c r="G31" s="789">
        <v>100624526.2</v>
      </c>
      <c r="H31" s="792">
        <f t="shared" si="1"/>
        <v>1.100523810466399</v>
      </c>
      <c r="I31" s="620"/>
    </row>
    <row r="32" spans="1:9">
      <c r="A32" s="150" t="s">
        <v>123</v>
      </c>
      <c r="B32" s="185">
        <f t="shared" si="0"/>
        <v>11675.328</v>
      </c>
      <c r="C32" s="765">
        <f>'P NP TW'!CD31/1000</f>
        <v>2983.7269999999999</v>
      </c>
      <c r="D32" s="765">
        <f>'P NP TW'!CF31/1000</f>
        <v>3120.1550000000002</v>
      </c>
      <c r="E32" s="766">
        <f>'P NP TW'!CH31/1000</f>
        <v>3096.41</v>
      </c>
      <c r="F32" s="768">
        <f>'P NP TW'!CJ31/1000</f>
        <v>2475.0360000000001</v>
      </c>
      <c r="G32" s="789">
        <v>11892001</v>
      </c>
      <c r="H32" s="792">
        <f t="shared" si="1"/>
        <v>0.9817799376236177</v>
      </c>
      <c r="I32" s="620"/>
    </row>
    <row r="33" spans="1:9">
      <c r="A33" s="150" t="s">
        <v>140</v>
      </c>
      <c r="B33" s="185">
        <f t="shared" si="0"/>
        <v>770272.09640000004</v>
      </c>
      <c r="C33" s="765">
        <f>'P NP TW'!CD32/1000</f>
        <v>156973.53519999998</v>
      </c>
      <c r="D33" s="765">
        <f>'P NP TW'!CF32/1000</f>
        <v>169529.05350000001</v>
      </c>
      <c r="E33" s="766">
        <f>'P NP TW'!CH32/1000</f>
        <v>228142.36469999998</v>
      </c>
      <c r="F33" s="768">
        <f>'P NP TW'!CJ32/1000</f>
        <v>215627.14300000001</v>
      </c>
      <c r="G33" s="619">
        <v>767278520</v>
      </c>
      <c r="H33" s="792">
        <f t="shared" si="1"/>
        <v>1.0039015511603271</v>
      </c>
      <c r="I33" s="620"/>
    </row>
    <row r="34" spans="1:9">
      <c r="A34" s="150" t="s">
        <v>114</v>
      </c>
      <c r="B34" s="185">
        <f t="shared" si="0"/>
        <v>5088.4629999999997</v>
      </c>
      <c r="C34" s="765">
        <f>'P NP TW'!CD33/1000</f>
        <v>1330.8140000000001</v>
      </c>
      <c r="D34" s="765">
        <f>'P NP TW'!CF33/1000</f>
        <v>1396.5360000000001</v>
      </c>
      <c r="E34" s="766">
        <f>'P NP TW'!CH33/1000</f>
        <v>1236.4449999999999</v>
      </c>
      <c r="F34" s="768">
        <f>'P NP TW'!CJ33/1000</f>
        <v>1124.6679999999999</v>
      </c>
      <c r="G34" s="619">
        <v>4991623</v>
      </c>
      <c r="H34" s="792">
        <f t="shared" si="1"/>
        <v>1.0194005036037377</v>
      </c>
      <c r="I34" s="620"/>
    </row>
    <row r="35" spans="1:9">
      <c r="A35" s="150" t="s">
        <v>134</v>
      </c>
      <c r="B35" s="185">
        <f t="shared" si="0"/>
        <v>53319.43</v>
      </c>
      <c r="C35" s="765">
        <f>'P NP TW'!CD34/1000</f>
        <v>14404.74</v>
      </c>
      <c r="D35" s="765">
        <f>'P NP TW'!CF34/1000</f>
        <v>12346.92</v>
      </c>
      <c r="E35" s="766">
        <f>'P NP TW'!CH34/1000</f>
        <v>9774.67</v>
      </c>
      <c r="F35" s="768">
        <f>'P NP TW'!CJ34/1000</f>
        <v>16793.099999999999</v>
      </c>
      <c r="G35" s="619">
        <v>50104747.799999997</v>
      </c>
      <c r="H35" s="792">
        <f t="shared" si="1"/>
        <v>1.0641592332293908</v>
      </c>
      <c r="I35" s="620"/>
    </row>
    <row r="36" spans="1:9">
      <c r="A36" s="150" t="s">
        <v>115</v>
      </c>
      <c r="B36" s="185">
        <f t="shared" si="0"/>
        <v>53751.5</v>
      </c>
      <c r="C36" s="765">
        <f>'P NP TW'!CD35/1000</f>
        <v>12372</v>
      </c>
      <c r="D36" s="765">
        <f>'P NP TW'!CF35/1000</f>
        <v>13819.5</v>
      </c>
      <c r="E36" s="766">
        <f>'P NP TW'!CH35/1000</f>
        <v>13208.5</v>
      </c>
      <c r="F36" s="768">
        <f>'P NP TW'!CJ35/1000</f>
        <v>14351.5</v>
      </c>
      <c r="G36" s="619">
        <v>46137624</v>
      </c>
      <c r="H36" s="792">
        <f t="shared" si="1"/>
        <v>1.1650253164315527</v>
      </c>
    </row>
    <row r="37" spans="1:9">
      <c r="A37" s="150" t="s">
        <v>149</v>
      </c>
      <c r="B37" s="185">
        <f t="shared" si="0"/>
        <v>65.338999999999999</v>
      </c>
      <c r="C37" s="765">
        <f>'P NP TW'!CD36/1000</f>
        <v>15.201000000000001</v>
      </c>
      <c r="D37" s="765">
        <f>'P NP TW'!CF36/1000</f>
        <v>15.83</v>
      </c>
      <c r="E37" s="766">
        <f>'P NP TW'!CH36/1000</f>
        <v>16.882999999999999</v>
      </c>
      <c r="F37" s="768">
        <f>'P NP TW'!CJ36/1000</f>
        <v>17.425000000000001</v>
      </c>
      <c r="G37" s="619">
        <v>63463</v>
      </c>
      <c r="H37" s="792">
        <f t="shared" si="1"/>
        <v>1.0295605313332177</v>
      </c>
    </row>
    <row r="38" spans="1:9">
      <c r="A38" s="150" t="s">
        <v>142</v>
      </c>
      <c r="B38" s="185">
        <f t="shared" si="0"/>
        <v>244.77999999999997</v>
      </c>
      <c r="C38" s="765">
        <f>'P NP TW'!CD37/1000</f>
        <v>68.430000000000007</v>
      </c>
      <c r="D38" s="765">
        <f>'P NP TW'!CF37/1000</f>
        <v>62.7</v>
      </c>
      <c r="E38" s="766">
        <f>'P NP TW'!CH37/1000</f>
        <v>61.14</v>
      </c>
      <c r="F38" s="768">
        <f>'P NP TW'!CJ37/1000</f>
        <v>52.51</v>
      </c>
      <c r="G38" s="789">
        <v>244370</v>
      </c>
      <c r="H38" s="792">
        <f t="shared" si="1"/>
        <v>1.0016777836886688</v>
      </c>
    </row>
    <row r="39" spans="1:9">
      <c r="A39" s="150" t="s">
        <v>141</v>
      </c>
      <c r="B39" s="185">
        <f t="shared" si="0"/>
        <v>193.10000000000002</v>
      </c>
      <c r="C39" s="765">
        <f>'P NP TW'!CD38/1000</f>
        <v>50.9</v>
      </c>
      <c r="D39" s="765">
        <f>'P NP TW'!CF38/1000</f>
        <v>47.6</v>
      </c>
      <c r="E39" s="766">
        <f>'P NP TW'!CH38/1000</f>
        <v>46.3</v>
      </c>
      <c r="F39" s="768">
        <f>'P NP TW'!CJ38/1000</f>
        <v>48.3</v>
      </c>
      <c r="G39" s="619">
        <v>182802</v>
      </c>
      <c r="H39" s="792">
        <f t="shared" si="1"/>
        <v>1.0563341757748823</v>
      </c>
    </row>
    <row r="40" spans="1:9">
      <c r="A40" s="150" t="s">
        <v>147</v>
      </c>
      <c r="B40" s="185">
        <f t="shared" si="0"/>
        <v>290.62495000000001</v>
      </c>
      <c r="C40" s="765">
        <f>'P NP TW'!CD39/1000</f>
        <v>91.944980000000001</v>
      </c>
      <c r="D40" s="765">
        <f>'P NP TW'!CF39/1000</f>
        <v>82.789969999999997</v>
      </c>
      <c r="E40" s="766">
        <f>'P NP TW'!CH39/1000</f>
        <v>55.365000000000002</v>
      </c>
      <c r="F40" s="768">
        <f>'P NP TW'!CJ39/1000</f>
        <v>60.524999999999999</v>
      </c>
      <c r="G40" s="619">
        <v>290500</v>
      </c>
      <c r="H40" s="792">
        <f t="shared" si="1"/>
        <v>1.0004301204819277</v>
      </c>
    </row>
    <row r="41" spans="1:9">
      <c r="A41" s="150" t="s">
        <v>143</v>
      </c>
      <c r="B41" s="185">
        <f t="shared" si="0"/>
        <v>162</v>
      </c>
      <c r="C41" s="765">
        <f>'P NP TW'!CD40/1000</f>
        <v>47</v>
      </c>
      <c r="D41" s="765">
        <f>'P NP TW'!CF40/1000</f>
        <v>35</v>
      </c>
      <c r="E41" s="766">
        <f>'P NP TW'!CH40/1000</f>
        <v>25</v>
      </c>
      <c r="F41" s="768">
        <f>'P NP TW'!CJ40/1000</f>
        <v>55</v>
      </c>
      <c r="G41" s="619">
        <v>150000</v>
      </c>
      <c r="H41" s="792">
        <f t="shared" si="1"/>
        <v>1.08</v>
      </c>
    </row>
    <row r="42" spans="1:9">
      <c r="A42" s="150" t="s">
        <v>146</v>
      </c>
      <c r="B42" s="185">
        <f t="shared" si="0"/>
        <v>228.71099999999998</v>
      </c>
      <c r="C42" s="765">
        <f>'P NP TW'!CD41/1000</f>
        <v>57.33</v>
      </c>
      <c r="D42" s="765">
        <f>'P NP TW'!CF41/1000</f>
        <v>56.643999999999998</v>
      </c>
      <c r="E42" s="766">
        <f>'P NP TW'!CH41/1000</f>
        <v>56.868000000000002</v>
      </c>
      <c r="F42" s="768">
        <f>'P NP TW'!CJ41/1000</f>
        <v>57.869</v>
      </c>
      <c r="G42" s="619">
        <v>234000</v>
      </c>
      <c r="H42" s="792">
        <f t="shared" si="1"/>
        <v>0.97739743589743577</v>
      </c>
    </row>
    <row r="43" spans="1:9">
      <c r="A43" s="150" t="s">
        <v>145</v>
      </c>
      <c r="B43" s="185">
        <f t="shared" si="0"/>
        <v>2662.915</v>
      </c>
      <c r="C43" s="765">
        <f>'P NP TW'!CD42/1000</f>
        <v>656.26599999999996</v>
      </c>
      <c r="D43" s="765">
        <f>'P NP TW'!CF42/1000</f>
        <v>658.74199999999996</v>
      </c>
      <c r="E43" s="766">
        <f>'P NP TW'!CH42/1000</f>
        <v>736.17700000000002</v>
      </c>
      <c r="F43" s="768">
        <f>'P NP TW'!CJ42/1000</f>
        <v>611.73</v>
      </c>
      <c r="G43" s="789">
        <v>1233213</v>
      </c>
      <c r="H43" s="792">
        <f t="shared" si="1"/>
        <v>2.1593309509387266</v>
      </c>
    </row>
    <row r="44" spans="1:9">
      <c r="A44" s="150" t="s">
        <v>144</v>
      </c>
      <c r="B44" s="185">
        <f t="shared" si="0"/>
        <v>429.08219999999994</v>
      </c>
      <c r="C44" s="765">
        <f>'P NP TW'!CD43/1000</f>
        <v>94.015199999999993</v>
      </c>
      <c r="D44" s="765">
        <f>'P NP TW'!CF43/1000</f>
        <v>83.147999999999996</v>
      </c>
      <c r="E44" s="766">
        <f>'P NP TW'!CH43/1000</f>
        <v>59.606000000000002</v>
      </c>
      <c r="F44" s="768">
        <f>'P NP TW'!CJ43/1000</f>
        <v>192.31299999999999</v>
      </c>
      <c r="G44" s="619">
        <v>365464.359</v>
      </c>
      <c r="H44" s="792">
        <f t="shared" si="1"/>
        <v>1.1740739949965955</v>
      </c>
    </row>
    <row r="45" spans="1:9" ht="16" thickBot="1">
      <c r="A45" s="153" t="s">
        <v>148</v>
      </c>
      <c r="B45" s="186">
        <f t="shared" si="0"/>
        <v>9979.52</v>
      </c>
      <c r="C45" s="769">
        <f>'P NP TW'!CD44/1000</f>
        <v>2894.7</v>
      </c>
      <c r="D45" s="769">
        <f>'P NP TW'!CF44/1000</f>
        <v>2272.63</v>
      </c>
      <c r="E45" s="770">
        <f>'P NP TW'!CH44/1000</f>
        <v>2362.2399999999998</v>
      </c>
      <c r="F45" s="771">
        <f>'P NP TW'!CJ44/1000</f>
        <v>2449.9499999999998</v>
      </c>
      <c r="G45" s="789">
        <v>9830510</v>
      </c>
      <c r="H45" s="792">
        <f t="shared" si="1"/>
        <v>1.0151579114410136</v>
      </c>
    </row>
    <row r="46" spans="1:9">
      <c r="B46" s="127"/>
      <c r="C46" s="127"/>
    </row>
    <row r="47" spans="1:9">
      <c r="G47" s="191"/>
    </row>
    <row r="49" spans="1:9" ht="20">
      <c r="A49" s="903" t="s">
        <v>657</v>
      </c>
      <c r="B49" s="903"/>
      <c r="C49" s="903"/>
      <c r="D49" s="903"/>
      <c r="E49" s="903"/>
      <c r="F49" s="903"/>
    </row>
    <row r="50" spans="1:9" ht="16" thickBot="1">
      <c r="A50" s="2"/>
      <c r="B50" s="2"/>
      <c r="C50" s="2"/>
      <c r="D50" s="2"/>
      <c r="E50" s="2"/>
      <c r="F50" s="3" t="s">
        <v>151</v>
      </c>
    </row>
    <row r="51" spans="1:9">
      <c r="A51" s="4"/>
      <c r="B51" s="5"/>
      <c r="C51" s="904" t="s">
        <v>102</v>
      </c>
      <c r="D51" s="885"/>
      <c r="E51" s="885"/>
      <c r="F51" s="886"/>
    </row>
    <row r="52" spans="1:9">
      <c r="A52" s="6" t="s">
        <v>103</v>
      </c>
      <c r="B52" s="7" t="s">
        <v>104</v>
      </c>
      <c r="C52" s="8"/>
      <c r="D52" s="8"/>
      <c r="E52" s="8"/>
      <c r="F52" s="9"/>
    </row>
    <row r="53" spans="1:9">
      <c r="A53" s="10" t="s">
        <v>105</v>
      </c>
      <c r="B53" s="11" t="s">
        <v>106</v>
      </c>
      <c r="C53" s="612" t="s">
        <v>107</v>
      </c>
      <c r="D53" s="612" t="s">
        <v>108</v>
      </c>
      <c r="E53" s="612" t="s">
        <v>109</v>
      </c>
      <c r="F53" s="613" t="s">
        <v>110</v>
      </c>
    </row>
    <row r="54" spans="1:9">
      <c r="A54" s="12"/>
      <c r="B54" s="13"/>
      <c r="C54" s="14"/>
      <c r="D54" s="15"/>
      <c r="E54" s="14"/>
      <c r="F54" s="16"/>
    </row>
    <row r="55" spans="1:9">
      <c r="A55" s="17" t="s">
        <v>111</v>
      </c>
      <c r="B55" s="18">
        <f>SUM(B56:B93)</f>
        <v>21538229550.790459</v>
      </c>
      <c r="C55" s="18">
        <f>SUM(C56:C93)</f>
        <v>5603264024.4083328</v>
      </c>
      <c r="D55" s="18">
        <f>SUM(D56:D93)</f>
        <v>5440004666.3943243</v>
      </c>
      <c r="E55" s="18">
        <f>SUM(E56:E93)</f>
        <v>5241823556.004549</v>
      </c>
      <c r="F55" s="181">
        <f>SUM(F56:F93)</f>
        <v>5253137303.9832497</v>
      </c>
      <c r="I55" s="624"/>
    </row>
    <row r="56" spans="1:9">
      <c r="A56" s="150" t="s">
        <v>137</v>
      </c>
      <c r="B56" s="151">
        <f t="shared" ref="B56:B93" si="2">SUM(C56:F56)</f>
        <v>549747423.60000002</v>
      </c>
      <c r="C56" s="151">
        <f>'P NP TW'!CE7</f>
        <v>161184283.579</v>
      </c>
      <c r="D56" s="151">
        <f>'P NP TW'!CG7</f>
        <v>65676304.509000003</v>
      </c>
      <c r="E56" s="151">
        <f>'P NP TW'!CI7</f>
        <v>59816935.511999995</v>
      </c>
      <c r="F56" s="152">
        <f>'P NP TW'!CK7</f>
        <v>263069900</v>
      </c>
    </row>
    <row r="57" spans="1:9">
      <c r="A57" s="150" t="s">
        <v>121</v>
      </c>
      <c r="B57" s="151">
        <f t="shared" si="2"/>
        <v>1257733055</v>
      </c>
      <c r="C57" s="151">
        <f>'P NP TW'!CE8</f>
        <v>290494390</v>
      </c>
      <c r="D57" s="151">
        <f>'P NP TW'!CG8</f>
        <v>318937010</v>
      </c>
      <c r="E57" s="151">
        <f>'P NP TW'!CI8</f>
        <v>331260465</v>
      </c>
      <c r="F57" s="152">
        <f>'P NP TW'!CK8</f>
        <v>317041190</v>
      </c>
    </row>
    <row r="58" spans="1:9">
      <c r="A58" s="150" t="s">
        <v>116</v>
      </c>
      <c r="B58" s="151">
        <f t="shared" si="2"/>
        <v>414183920</v>
      </c>
      <c r="C58" s="151">
        <f>'P NP TW'!CE9</f>
        <v>95031940</v>
      </c>
      <c r="D58" s="151">
        <f>'P NP TW'!CG9</f>
        <v>102433760</v>
      </c>
      <c r="E58" s="151">
        <f>'P NP TW'!CI9</f>
        <v>101003140</v>
      </c>
      <c r="F58" s="152">
        <f>'P NP TW'!CK9</f>
        <v>115715080</v>
      </c>
    </row>
    <row r="59" spans="1:9">
      <c r="A59" s="150" t="s">
        <v>133</v>
      </c>
      <c r="B59" s="151">
        <f t="shared" si="2"/>
        <v>107861227.5</v>
      </c>
      <c r="C59" s="151">
        <f>'P NP TW'!CE10</f>
        <v>32154919</v>
      </c>
      <c r="D59" s="151">
        <f>'P NP TW'!CG10</f>
        <v>25744508</v>
      </c>
      <c r="E59" s="151">
        <f>'P NP TW'!CI10</f>
        <v>21509096.5</v>
      </c>
      <c r="F59" s="152">
        <f>'P NP TW'!CK10</f>
        <v>28452704</v>
      </c>
    </row>
    <row r="60" spans="1:9">
      <c r="A60" s="150" t="s">
        <v>122</v>
      </c>
      <c r="B60" s="151">
        <f t="shared" si="2"/>
        <v>18251469</v>
      </c>
      <c r="C60" s="151">
        <f>'P NP TW'!CE11</f>
        <v>4871029</v>
      </c>
      <c r="D60" s="151">
        <f>'P NP TW'!CG11</f>
        <v>4431970</v>
      </c>
      <c r="E60" s="151">
        <f>'P NP TW'!CI11</f>
        <v>4353094</v>
      </c>
      <c r="F60" s="152">
        <f>'P NP TW'!CK11</f>
        <v>4595376</v>
      </c>
    </row>
    <row r="61" spans="1:9">
      <c r="A61" s="150" t="s">
        <v>136</v>
      </c>
      <c r="B61" s="151">
        <f t="shared" si="2"/>
        <v>3544955721.3064566</v>
      </c>
      <c r="C61" s="151">
        <f>'P NP TW'!CE12</f>
        <v>937843455.59233379</v>
      </c>
      <c r="D61" s="151">
        <f>'P NP TW'!CG12</f>
        <v>961394320.91232419</v>
      </c>
      <c r="E61" s="151">
        <f>'P NP TW'!CI12</f>
        <v>856434999.97154915</v>
      </c>
      <c r="F61" s="152">
        <f>'P NP TW'!CK12</f>
        <v>789282944.83024943</v>
      </c>
    </row>
    <row r="62" spans="1:9">
      <c r="A62" s="150" t="s">
        <v>120</v>
      </c>
      <c r="B62" s="151">
        <f t="shared" si="2"/>
        <v>509080616.01699996</v>
      </c>
      <c r="C62" s="151">
        <f>'P NP TW'!CE13</f>
        <v>110725999.02399999</v>
      </c>
      <c r="D62" s="151">
        <f>'P NP TW'!CG13</f>
        <v>108795590.04899999</v>
      </c>
      <c r="E62" s="151">
        <f>'P NP TW'!CI13</f>
        <v>145576493.82100001</v>
      </c>
      <c r="F62" s="152">
        <f>'P NP TW'!CK13</f>
        <v>143982533.123</v>
      </c>
    </row>
    <row r="63" spans="1:9">
      <c r="A63" s="150" t="s">
        <v>128</v>
      </c>
      <c r="B63" s="151">
        <f t="shared" si="2"/>
        <v>269622700</v>
      </c>
      <c r="C63" s="151">
        <f>'P NP TW'!CE14</f>
        <v>68454750</v>
      </c>
      <c r="D63" s="151">
        <f>'P NP TW'!CG14</f>
        <v>66539750</v>
      </c>
      <c r="E63" s="151">
        <f>'P NP TW'!CI14</f>
        <v>63831100</v>
      </c>
      <c r="F63" s="152">
        <f>'P NP TW'!CK14</f>
        <v>70797100</v>
      </c>
    </row>
    <row r="64" spans="1:9">
      <c r="A64" s="150" t="s">
        <v>117</v>
      </c>
      <c r="B64" s="151">
        <f t="shared" si="2"/>
        <v>482643365</v>
      </c>
      <c r="C64" s="151">
        <f>'P NP TW'!CE15</f>
        <v>120453120</v>
      </c>
      <c r="D64" s="151">
        <f>'P NP TW'!CG15</f>
        <v>129541360</v>
      </c>
      <c r="E64" s="151">
        <f>'P NP TW'!CI15</f>
        <v>114743815</v>
      </c>
      <c r="F64" s="152">
        <f>'P NP TW'!CK15</f>
        <v>117905070</v>
      </c>
    </row>
    <row r="65" spans="1:6">
      <c r="A65" s="150" t="s">
        <v>135</v>
      </c>
      <c r="B65" s="151">
        <f t="shared" si="2"/>
        <v>1429853525</v>
      </c>
      <c r="C65" s="151">
        <f>'P NP TW'!CE16</f>
        <v>470042912</v>
      </c>
      <c r="D65" s="151">
        <f>'P NP TW'!CG16</f>
        <v>771527012</v>
      </c>
      <c r="E65" s="151">
        <f>'P NP TW'!CI16</f>
        <v>106659122</v>
      </c>
      <c r="F65" s="152">
        <f>'P NP TW'!CK16</f>
        <v>81624479</v>
      </c>
    </row>
    <row r="66" spans="1:6">
      <c r="A66" s="150" t="s">
        <v>119</v>
      </c>
      <c r="B66" s="151">
        <f t="shared" si="2"/>
        <v>184671934.5</v>
      </c>
      <c r="C66" s="151">
        <f>'P NP TW'!CE17</f>
        <v>48116047</v>
      </c>
      <c r="D66" s="151">
        <f>'P NP TW'!CG17</f>
        <v>45701162</v>
      </c>
      <c r="E66" s="151">
        <f>'P NP TW'!CI17</f>
        <v>44573395</v>
      </c>
      <c r="F66" s="152">
        <f>'P NP TW'!CK17</f>
        <v>46281330.5</v>
      </c>
    </row>
    <row r="67" spans="1:6">
      <c r="A67" s="150" t="s">
        <v>130</v>
      </c>
      <c r="B67" s="151">
        <f t="shared" si="2"/>
        <v>79363625</v>
      </c>
      <c r="C67" s="151">
        <f>'P NP TW'!CE18</f>
        <v>20204450</v>
      </c>
      <c r="D67" s="151">
        <f>'P NP TW'!CG18</f>
        <v>20675625</v>
      </c>
      <c r="E67" s="151">
        <f>'P NP TW'!CI18</f>
        <v>17667500</v>
      </c>
      <c r="F67" s="152">
        <f>'P NP TW'!CK18</f>
        <v>20816050</v>
      </c>
    </row>
    <row r="68" spans="1:6">
      <c r="A68" s="150" t="s">
        <v>131</v>
      </c>
      <c r="B68" s="151">
        <f t="shared" si="2"/>
        <v>36139155</v>
      </c>
      <c r="C68" s="151">
        <f>'P NP TW'!CE19</f>
        <v>9456525</v>
      </c>
      <c r="D68" s="151">
        <f>'P NP TW'!CG19</f>
        <v>9442450</v>
      </c>
      <c r="E68" s="151">
        <f>'P NP TW'!CI19</f>
        <v>8348585</v>
      </c>
      <c r="F68" s="152">
        <f>'P NP TW'!CK19</f>
        <v>8891595</v>
      </c>
    </row>
    <row r="69" spans="1:6">
      <c r="A69" s="150" t="s">
        <v>118</v>
      </c>
      <c r="B69" s="151">
        <f t="shared" si="2"/>
        <v>335643000</v>
      </c>
      <c r="C69" s="151">
        <f>'P NP TW'!CE20</f>
        <v>87392500</v>
      </c>
      <c r="D69" s="151">
        <f>'P NP TW'!CG20</f>
        <v>85961500</v>
      </c>
      <c r="E69" s="151">
        <f>'P NP TW'!CI20</f>
        <v>66720000</v>
      </c>
      <c r="F69" s="152">
        <f>'P NP TW'!CK20</f>
        <v>95569000</v>
      </c>
    </row>
    <row r="70" spans="1:6">
      <c r="A70" s="150" t="s">
        <v>127</v>
      </c>
      <c r="B70" s="151">
        <f t="shared" si="2"/>
        <v>34987300</v>
      </c>
      <c r="C70" s="151">
        <f>'P NP TW'!CE21</f>
        <v>9563430</v>
      </c>
      <c r="D70" s="151">
        <f>'P NP TW'!CG21</f>
        <v>8324256</v>
      </c>
      <c r="E70" s="151">
        <f>'P NP TW'!CI21</f>
        <v>8484014</v>
      </c>
      <c r="F70" s="152">
        <f>'P NP TW'!CK21</f>
        <v>8615600</v>
      </c>
    </row>
    <row r="71" spans="1:6">
      <c r="A71" s="150" t="s">
        <v>129</v>
      </c>
      <c r="B71" s="151">
        <f t="shared" si="2"/>
        <v>217798004</v>
      </c>
      <c r="C71" s="151">
        <f>'P NP TW'!CE22</f>
        <v>58594480</v>
      </c>
      <c r="D71" s="151">
        <f>'P NP TW'!CG22</f>
        <v>58688025</v>
      </c>
      <c r="E71" s="151">
        <f>'P NP TW'!CI22</f>
        <v>48442539</v>
      </c>
      <c r="F71" s="152">
        <f>'P NP TW'!CK22</f>
        <v>52072960</v>
      </c>
    </row>
    <row r="72" spans="1:6">
      <c r="A72" s="150" t="s">
        <v>132</v>
      </c>
      <c r="B72" s="151">
        <f t="shared" si="2"/>
        <v>85786484</v>
      </c>
      <c r="C72" s="151">
        <f>'P NP TW'!CE23</f>
        <v>21502929</v>
      </c>
      <c r="D72" s="151">
        <f>'P NP TW'!CG23</f>
        <v>21768235</v>
      </c>
      <c r="E72" s="151">
        <f>'P NP TW'!CI23</f>
        <v>21673714</v>
      </c>
      <c r="F72" s="152">
        <f>'P NP TW'!CK23</f>
        <v>20841606</v>
      </c>
    </row>
    <row r="73" spans="1:6">
      <c r="A73" s="150" t="s">
        <v>112</v>
      </c>
      <c r="B73" s="151">
        <f t="shared" si="2"/>
        <v>161741390</v>
      </c>
      <c r="C73" s="151">
        <f>'P NP TW'!CE24</f>
        <v>33854290</v>
      </c>
      <c r="D73" s="151">
        <f>'P NP TW'!CG24</f>
        <v>34410482</v>
      </c>
      <c r="E73" s="151">
        <f>'P NP TW'!CI24</f>
        <v>46123334</v>
      </c>
      <c r="F73" s="152">
        <f>'P NP TW'!CK24</f>
        <v>47353284</v>
      </c>
    </row>
    <row r="74" spans="1:6">
      <c r="A74" s="150" t="s">
        <v>139</v>
      </c>
      <c r="B74" s="151">
        <f t="shared" si="2"/>
        <v>49306020</v>
      </c>
      <c r="C74" s="151">
        <f>'P NP TW'!CE25</f>
        <v>13404519</v>
      </c>
      <c r="D74" s="151">
        <f>'P NP TW'!CG25</f>
        <v>9535800</v>
      </c>
      <c r="E74" s="151">
        <f>'P NP TW'!CI25</f>
        <v>10751639</v>
      </c>
      <c r="F74" s="152">
        <f>'P NP TW'!CK25</f>
        <v>15614062</v>
      </c>
    </row>
    <row r="75" spans="1:6">
      <c r="A75" s="150" t="s">
        <v>125</v>
      </c>
      <c r="B75" s="151">
        <f t="shared" si="2"/>
        <v>447118606</v>
      </c>
      <c r="C75" s="151">
        <f>'P NP TW'!CE26</f>
        <v>122301542</v>
      </c>
      <c r="D75" s="151">
        <f>'P NP TW'!CG26</f>
        <v>108131919</v>
      </c>
      <c r="E75" s="151">
        <f>'P NP TW'!CI26</f>
        <v>109980895</v>
      </c>
      <c r="F75" s="152">
        <f>'P NP TW'!CK26</f>
        <v>106704250</v>
      </c>
    </row>
    <row r="76" spans="1:6">
      <c r="A76" s="150" t="s">
        <v>113</v>
      </c>
      <c r="B76" s="151">
        <f t="shared" si="2"/>
        <v>45047834.730000004</v>
      </c>
      <c r="C76" s="151">
        <f>'P NP TW'!CE27</f>
        <v>11676163.5</v>
      </c>
      <c r="D76" s="151">
        <f>'P NP TW'!CG27</f>
        <v>11951786.699999999</v>
      </c>
      <c r="E76" s="151">
        <f>'P NP TW'!CI27</f>
        <v>10495218</v>
      </c>
      <c r="F76" s="152">
        <f>'P NP TW'!CK27</f>
        <v>10924666.530000001</v>
      </c>
    </row>
    <row r="77" spans="1:6">
      <c r="A77" s="150" t="s">
        <v>124</v>
      </c>
      <c r="B77" s="151">
        <f t="shared" si="2"/>
        <v>784251175</v>
      </c>
      <c r="C77" s="151">
        <f>'P NP TW'!CE28</f>
        <v>257554250</v>
      </c>
      <c r="D77" s="151">
        <f>'P NP TW'!CG28</f>
        <v>203329430</v>
      </c>
      <c r="E77" s="151">
        <f>'P NP TW'!CI28</f>
        <v>187458905</v>
      </c>
      <c r="F77" s="152">
        <f>'P NP TW'!CK28</f>
        <v>135908590</v>
      </c>
    </row>
    <row r="78" spans="1:6">
      <c r="A78" s="150" t="s">
        <v>138</v>
      </c>
      <c r="B78" s="151">
        <f t="shared" si="2"/>
        <v>43149431</v>
      </c>
      <c r="C78" s="151">
        <f>'P NP TW'!CE29</f>
        <v>13943373</v>
      </c>
      <c r="D78" s="151">
        <f>'P NP TW'!CG29</f>
        <v>17040246</v>
      </c>
      <c r="E78" s="151">
        <f>'P NP TW'!CI29</f>
        <v>5240600</v>
      </c>
      <c r="F78" s="152">
        <f>'P NP TW'!CK29</f>
        <v>6925212</v>
      </c>
    </row>
    <row r="79" spans="1:6">
      <c r="A79" s="150" t="s">
        <v>126</v>
      </c>
      <c r="B79" s="151">
        <f t="shared" si="2"/>
        <v>2478866829</v>
      </c>
      <c r="C79" s="151">
        <f>'P NP TW'!CE30</f>
        <v>648249665</v>
      </c>
      <c r="D79" s="151">
        <f>'P NP TW'!CG30</f>
        <v>552800006</v>
      </c>
      <c r="E79" s="151">
        <f>'P NP TW'!CI30</f>
        <v>691360002</v>
      </c>
      <c r="F79" s="152">
        <f>'P NP TW'!CK30</f>
        <v>586457156</v>
      </c>
    </row>
    <row r="80" spans="1:6">
      <c r="A80" s="150" t="s">
        <v>123</v>
      </c>
      <c r="B80" s="151">
        <f t="shared" si="2"/>
        <v>535776291</v>
      </c>
      <c r="C80" s="151">
        <f>'P NP TW'!CE31</f>
        <v>141709092</v>
      </c>
      <c r="D80" s="151">
        <f>'P NP TW'!CG31</f>
        <v>149861722</v>
      </c>
      <c r="E80" s="151">
        <f>'P NP TW'!CI31</f>
        <v>150377634</v>
      </c>
      <c r="F80" s="152">
        <f>'P NP TW'!CK31</f>
        <v>93827843</v>
      </c>
    </row>
    <row r="81" spans="1:6">
      <c r="A81" s="150" t="s">
        <v>140</v>
      </c>
      <c r="B81" s="151">
        <f t="shared" si="2"/>
        <v>4372481488.8999996</v>
      </c>
      <c r="C81" s="151">
        <f>'P NP TW'!CE32</f>
        <v>1044183439.2</v>
      </c>
      <c r="D81" s="151">
        <f>'P NP TW'!CG32</f>
        <v>794892011.5</v>
      </c>
      <c r="E81" s="151">
        <f>'P NP TW'!CI32</f>
        <v>1347858741.2</v>
      </c>
      <c r="F81" s="152">
        <f>'P NP TW'!CK32</f>
        <v>1185547297</v>
      </c>
    </row>
    <row r="82" spans="1:6">
      <c r="A82" s="150" t="s">
        <v>114</v>
      </c>
      <c r="B82" s="151">
        <f t="shared" si="2"/>
        <v>104013182.5</v>
      </c>
      <c r="C82" s="151">
        <f>'P NP TW'!CE33</f>
        <v>26764559</v>
      </c>
      <c r="D82" s="151">
        <f>'P NP TW'!CG33</f>
        <v>29972976.5</v>
      </c>
      <c r="E82" s="151">
        <f>'P NP TW'!CI33</f>
        <v>24695150</v>
      </c>
      <c r="F82" s="152">
        <f>'P NP TW'!CK33</f>
        <v>22580497</v>
      </c>
    </row>
    <row r="83" spans="1:6">
      <c r="A83" s="150" t="s">
        <v>134</v>
      </c>
      <c r="B83" s="151">
        <f t="shared" si="2"/>
        <v>1449176630.411</v>
      </c>
      <c r="C83" s="151">
        <f>'P NP TW'!CE34</f>
        <v>395438355.41100001</v>
      </c>
      <c r="D83" s="151">
        <f>'P NP TW'!CG34</f>
        <v>336947190</v>
      </c>
      <c r="E83" s="151">
        <f>'P NP TW'!CI34</f>
        <v>289385795</v>
      </c>
      <c r="F83" s="152">
        <f>'P NP TW'!CK34</f>
        <v>427405290</v>
      </c>
    </row>
    <row r="84" spans="1:6">
      <c r="A84" s="150" t="s">
        <v>115</v>
      </c>
      <c r="B84" s="151">
        <f t="shared" si="2"/>
        <v>1145622500</v>
      </c>
      <c r="C84" s="151">
        <f>'P NP TW'!CE35</f>
        <v>238251000</v>
      </c>
      <c r="D84" s="151">
        <f>'P NP TW'!CG35</f>
        <v>300013000</v>
      </c>
      <c r="E84" s="151">
        <f>'P NP TW'!CI35</f>
        <v>265912500</v>
      </c>
      <c r="F84" s="152">
        <f>'P NP TW'!CK35</f>
        <v>341446000</v>
      </c>
    </row>
    <row r="85" spans="1:6">
      <c r="A85" s="150" t="s">
        <v>149</v>
      </c>
      <c r="B85" s="151">
        <f t="shared" si="2"/>
        <v>1575859</v>
      </c>
      <c r="C85" s="151">
        <f>'P NP TW'!CE36</f>
        <v>373093</v>
      </c>
      <c r="D85" s="151">
        <f>'P NP TW'!CG36</f>
        <v>378610</v>
      </c>
      <c r="E85" s="151">
        <f>'P NP TW'!CI36</f>
        <v>405511</v>
      </c>
      <c r="F85" s="152">
        <f>'P NP TW'!CK36</f>
        <v>418645</v>
      </c>
    </row>
    <row r="86" spans="1:6">
      <c r="A86" s="150" t="s">
        <v>142</v>
      </c>
      <c r="B86" s="151">
        <f t="shared" si="2"/>
        <v>5157835</v>
      </c>
      <c r="C86" s="151">
        <f>'P NP TW'!CE37</f>
        <v>1410230</v>
      </c>
      <c r="D86" s="151">
        <f>'P NP TW'!CG37</f>
        <v>1294500</v>
      </c>
      <c r="E86" s="151">
        <f>'P NP TW'!CI37</f>
        <v>1339425</v>
      </c>
      <c r="F86" s="152">
        <f>'P NP TW'!CK37</f>
        <v>1113680</v>
      </c>
    </row>
    <row r="87" spans="1:6">
      <c r="A87" s="150" t="s">
        <v>141</v>
      </c>
      <c r="B87" s="151">
        <f t="shared" si="2"/>
        <v>3685600</v>
      </c>
      <c r="C87" s="151">
        <f>'P NP TW'!CE38</f>
        <v>974300</v>
      </c>
      <c r="D87" s="151">
        <f>'P NP TW'!CG38</f>
        <v>915600</v>
      </c>
      <c r="E87" s="151">
        <f>'P NP TW'!CI38</f>
        <v>896950</v>
      </c>
      <c r="F87" s="152">
        <f>'P NP TW'!CK38</f>
        <v>898750</v>
      </c>
    </row>
    <row r="88" spans="1:6">
      <c r="A88" s="150" t="s">
        <v>147</v>
      </c>
      <c r="B88" s="151">
        <f t="shared" si="2"/>
        <v>6407714.6219999995</v>
      </c>
      <c r="C88" s="151">
        <f>'P NP TW'!CE39</f>
        <v>2034943.4</v>
      </c>
      <c r="D88" s="151">
        <f>'P NP TW'!CG39</f>
        <v>1872530.2220000001</v>
      </c>
      <c r="E88" s="151">
        <f>'P NP TW'!CI39</f>
        <v>1204346</v>
      </c>
      <c r="F88" s="152">
        <f>'P NP TW'!CK39</f>
        <v>1295895</v>
      </c>
    </row>
    <row r="89" spans="1:6">
      <c r="A89" s="150" t="s">
        <v>143</v>
      </c>
      <c r="B89" s="151">
        <f t="shared" si="2"/>
        <v>3551550</v>
      </c>
      <c r="C89" s="151">
        <f>'P NP TW'!CE40</f>
        <v>1013250</v>
      </c>
      <c r="D89" s="151">
        <f>'P NP TW'!CG40</f>
        <v>774800</v>
      </c>
      <c r="E89" s="151">
        <f>'P NP TW'!CI40</f>
        <v>534500</v>
      </c>
      <c r="F89" s="152">
        <f>'P NP TW'!CK40</f>
        <v>1229000</v>
      </c>
    </row>
    <row r="90" spans="1:6">
      <c r="A90" s="150" t="s">
        <v>146</v>
      </c>
      <c r="B90" s="151">
        <f t="shared" si="2"/>
        <v>4188392.0039999997</v>
      </c>
      <c r="C90" s="151">
        <f>'P NP TW'!CE41</f>
        <v>1049882.0019999999</v>
      </c>
      <c r="D90" s="151">
        <f>'P NP TW'!CG41</f>
        <v>1036437.002</v>
      </c>
      <c r="E90" s="151">
        <f>'P NP TW'!CI41</f>
        <v>1040735</v>
      </c>
      <c r="F90" s="152">
        <f>'P NP TW'!CK41</f>
        <v>1061338</v>
      </c>
    </row>
    <row r="91" spans="1:6">
      <c r="A91" s="150" t="s">
        <v>145</v>
      </c>
      <c r="B91" s="151">
        <f t="shared" si="2"/>
        <v>23519356</v>
      </c>
      <c r="C91" s="151">
        <f>'P NP TW'!CE42</f>
        <v>5852995</v>
      </c>
      <c r="D91" s="151">
        <f>'P NP TW'!CG42</f>
        <v>6031344</v>
      </c>
      <c r="E91" s="151">
        <f>'P NP TW'!CI42</f>
        <v>5435097</v>
      </c>
      <c r="F91" s="152">
        <f>'P NP TW'!CK42</f>
        <v>6199920</v>
      </c>
    </row>
    <row r="92" spans="1:6">
      <c r="A92" s="150" t="s">
        <v>144</v>
      </c>
      <c r="B92" s="151">
        <f t="shared" si="2"/>
        <v>14036266.699999999</v>
      </c>
      <c r="C92" s="151">
        <f>'P NP TW'!CE43</f>
        <v>2807869.7</v>
      </c>
      <c r="D92" s="151">
        <f>'P NP TW'!CG43</f>
        <v>2630897</v>
      </c>
      <c r="E92" s="151">
        <f>'P NP TW'!CI43</f>
        <v>1684960</v>
      </c>
      <c r="F92" s="152">
        <f>'P NP TW'!CK43</f>
        <v>6912540</v>
      </c>
    </row>
    <row r="93" spans="1:6" ht="16" thickBot="1">
      <c r="A93" s="153" t="s">
        <v>148</v>
      </c>
      <c r="B93" s="154">
        <f t="shared" si="2"/>
        <v>301233074</v>
      </c>
      <c r="C93" s="154">
        <f>'P NP TW'!CE44</f>
        <v>94330054</v>
      </c>
      <c r="D93" s="154">
        <f>'P NP TW'!CG44</f>
        <v>70600540</v>
      </c>
      <c r="E93" s="154">
        <f>'P NP TW'!CI44</f>
        <v>68543610</v>
      </c>
      <c r="F93" s="155">
        <f>'P NP TW'!CK44</f>
        <v>67758870</v>
      </c>
    </row>
  </sheetData>
  <sortState xmlns:xlrd2="http://schemas.microsoft.com/office/spreadsheetml/2017/richdata2" ref="A56:F93">
    <sortCondition ref="A56:A93"/>
  </sortState>
  <mergeCells count="4">
    <mergeCell ref="A49:F49"/>
    <mergeCell ref="C51:F51"/>
    <mergeCell ref="A1:F1"/>
    <mergeCell ref="C3:F3"/>
  </mergeCells>
  <conditionalFormatting sqref="H8:H45">
    <cfRule type="cellIs" dxfId="0" priority="1" operator="greaterThan">
      <formula>1</formula>
    </cfRule>
  </conditionalFormatting>
  <hyperlinks>
    <hyperlink ref="H1" location="'DAFTAR ISI'!A1" display="BACK" xr:uid="{00000000-0004-0000-0600-000000000000}"/>
  </hyperlinks>
  <pageMargins left="2.13" right="0.70866141732283472" top="0.31496062992125984" bottom="0.27559055118110237" header="0.19685039370078741" footer="0.11811023622047245"/>
  <pageSetup paperSize="5" scale="75" orientation="landscape" horizontalDpi="4294967293" verticalDpi="360" r:id="rId1"/>
  <rowBreaks count="1" manualBreakCount="1">
    <brk id="45" max="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R91"/>
  <sheetViews>
    <sheetView view="pageBreakPreview" zoomScale="80" zoomScaleNormal="100" zoomScaleSheetLayoutView="80" workbookViewId="0">
      <pane xSplit="2" ySplit="5" topLeftCell="C29" activePane="bottomRight" state="frozen"/>
      <selection pane="topRight" activeCell="C1" sqref="C1"/>
      <selection pane="bottomLeft" activeCell="A6" sqref="A6"/>
      <selection pane="bottomRight" activeCell="F39" sqref="F39"/>
    </sheetView>
  </sheetViews>
  <sheetFormatPr defaultRowHeight="15.5"/>
  <cols>
    <col min="1" max="1" width="6.1796875" customWidth="1"/>
    <col min="2" max="2" width="29.453125" customWidth="1"/>
    <col min="3" max="3" width="20.1796875" customWidth="1"/>
    <col min="4" max="5" width="19.1796875" customWidth="1"/>
    <col min="6" max="6" width="19.81640625" bestFit="1" customWidth="1"/>
    <col min="7" max="7" width="17.453125" bestFit="1" customWidth="1"/>
    <col min="8" max="8" width="16.1796875" bestFit="1" customWidth="1"/>
    <col min="9" max="9" width="17.453125" bestFit="1" customWidth="1"/>
    <col min="10" max="10" width="23.81640625" customWidth="1"/>
    <col min="11" max="11" width="15.08984375" bestFit="1" customWidth="1"/>
    <col min="12" max="12" width="5.1796875" style="119" bestFit="1" customWidth="1"/>
    <col min="13" max="13" width="21.1796875" style="119" bestFit="1" customWidth="1"/>
    <col min="14" max="14" width="15.7265625" style="119" customWidth="1"/>
    <col min="15" max="15" width="15.08984375" bestFit="1" customWidth="1"/>
    <col min="16" max="16" width="17.90625" bestFit="1" customWidth="1"/>
    <col min="17" max="17" width="20.1796875" bestFit="1" customWidth="1"/>
  </cols>
  <sheetData>
    <row r="1" spans="1:18" ht="18.5">
      <c r="A1" s="916" t="s">
        <v>658</v>
      </c>
      <c r="B1" s="916"/>
      <c r="C1" s="916"/>
      <c r="D1" s="916"/>
      <c r="E1" s="916"/>
      <c r="F1" s="916"/>
      <c r="G1" s="916"/>
      <c r="H1" s="916"/>
      <c r="I1" s="916"/>
      <c r="J1" s="916"/>
      <c r="K1" s="176" t="s">
        <v>245</v>
      </c>
    </row>
    <row r="2" spans="1:18" ht="16" thickBot="1">
      <c r="A2" s="67"/>
      <c r="B2" s="68"/>
      <c r="C2" s="68"/>
      <c r="D2" s="68"/>
      <c r="E2" s="68"/>
      <c r="F2" s="68"/>
      <c r="G2" s="68"/>
      <c r="H2" s="68"/>
      <c r="I2" s="68"/>
      <c r="J2" s="69" t="s">
        <v>263</v>
      </c>
      <c r="M2" s="191">
        <f>J44</f>
        <v>1442332.9932170778</v>
      </c>
    </row>
    <row r="3" spans="1:18">
      <c r="A3" s="877" t="s">
        <v>0</v>
      </c>
      <c r="B3" s="917" t="s">
        <v>168</v>
      </c>
      <c r="C3" s="920" t="s">
        <v>169</v>
      </c>
      <c r="D3" s="921"/>
      <c r="E3" s="921"/>
      <c r="F3" s="921"/>
      <c r="G3" s="921"/>
      <c r="H3" s="921"/>
      <c r="I3" s="921"/>
      <c r="J3" s="924" t="s">
        <v>104</v>
      </c>
      <c r="L3" s="914" t="s">
        <v>0</v>
      </c>
      <c r="M3" s="915" t="s">
        <v>168</v>
      </c>
    </row>
    <row r="4" spans="1:18" ht="8.5" customHeight="1">
      <c r="A4" s="878"/>
      <c r="B4" s="918"/>
      <c r="C4" s="922"/>
      <c r="D4" s="923"/>
      <c r="E4" s="923"/>
      <c r="F4" s="923"/>
      <c r="G4" s="923"/>
      <c r="H4" s="923"/>
      <c r="I4" s="923"/>
      <c r="J4" s="925"/>
      <c r="L4" s="914"/>
      <c r="M4" s="915"/>
      <c r="O4">
        <v>1000</v>
      </c>
    </row>
    <row r="5" spans="1:18" s="79" customFormat="1" ht="28.5" customHeight="1">
      <c r="A5" s="878"/>
      <c r="B5" s="919"/>
      <c r="C5" s="77" t="s">
        <v>152</v>
      </c>
      <c r="D5" s="77" t="s">
        <v>31</v>
      </c>
      <c r="E5" s="748" t="s">
        <v>558</v>
      </c>
      <c r="F5" s="77" t="s">
        <v>32</v>
      </c>
      <c r="G5" s="77" t="s">
        <v>153</v>
      </c>
      <c r="H5" s="77" t="s">
        <v>33</v>
      </c>
      <c r="I5" s="78" t="s">
        <v>154</v>
      </c>
      <c r="J5" s="926"/>
      <c r="L5" s="914"/>
      <c r="M5" s="915"/>
      <c r="N5" s="149" t="s">
        <v>510</v>
      </c>
      <c r="O5" s="79" t="s">
        <v>511</v>
      </c>
      <c r="P5" s="79" t="s">
        <v>509</v>
      </c>
      <c r="Q5" s="79" t="s">
        <v>512</v>
      </c>
    </row>
    <row r="6" spans="1:18">
      <c r="A6" s="70"/>
      <c r="B6" s="71"/>
      <c r="C6" s="72"/>
      <c r="D6" s="72"/>
      <c r="E6" s="72"/>
      <c r="F6" s="72"/>
      <c r="G6" s="72"/>
      <c r="H6" s="72"/>
      <c r="I6" s="72"/>
      <c r="J6" s="73"/>
      <c r="L6" s="587">
        <v>1</v>
      </c>
      <c r="M6" s="588" t="s">
        <v>486</v>
      </c>
      <c r="N6" s="191" t="e">
        <f>#REF!</f>
        <v>#REF!</v>
      </c>
      <c r="O6" s="590" t="e">
        <f>N6/$O$4</f>
        <v>#REF!</v>
      </c>
      <c r="P6" s="116" t="e">
        <f>#REF!</f>
        <v>#REF!</v>
      </c>
      <c r="R6" t="e">
        <f>P6/O6</f>
        <v>#REF!</v>
      </c>
    </row>
    <row r="7" spans="1:18">
      <c r="A7" s="74">
        <v>1</v>
      </c>
      <c r="B7" s="116" t="str">
        <f>'P &amp; NP'!B14</f>
        <v xml:space="preserve">Bandeng </v>
      </c>
      <c r="C7" s="815">
        <f>'P &amp; NP'!$WN485/1000</f>
        <v>1.31</v>
      </c>
      <c r="D7" s="75">
        <f>'P &amp; NP'!$WP485/1000</f>
        <v>107891.69065975488</v>
      </c>
      <c r="E7" s="75">
        <f>'P &amp; NP'!$WR485/1000</f>
        <v>0</v>
      </c>
      <c r="F7" s="75">
        <f>'P &amp; NP'!$WT485/1000</f>
        <v>54653.657795808766</v>
      </c>
      <c r="G7" s="75">
        <f>'P &amp; NP'!$WV485/1000</f>
        <v>5030.3019999999997</v>
      </c>
      <c r="H7" s="75">
        <f>'P &amp; NP'!$WX485/1000</f>
        <v>0</v>
      </c>
      <c r="I7" s="75">
        <f>'P &amp; NP'!$WZ485/1000</f>
        <v>0</v>
      </c>
      <c r="J7" s="76">
        <f>SUM(C7:I7)</f>
        <v>167576.96045556365</v>
      </c>
      <c r="K7" s="817">
        <v>0</v>
      </c>
      <c r="L7" s="587">
        <f t="shared" ref="L7:L22" si="0">L6+1</f>
        <v>2</v>
      </c>
      <c r="M7" s="588" t="s">
        <v>487</v>
      </c>
      <c r="N7" s="191" t="e">
        <f>#REF!</f>
        <v>#REF!</v>
      </c>
      <c r="O7" s="590" t="e">
        <f t="shared" ref="O7:O24" si="1">N7/$O$4</f>
        <v>#REF!</v>
      </c>
      <c r="P7" s="116" t="e">
        <f>#REF!</f>
        <v>#REF!</v>
      </c>
    </row>
    <row r="8" spans="1:18">
      <c r="A8" s="74">
        <v>2</v>
      </c>
      <c r="B8" s="116" t="str">
        <f>'P &amp; NP'!B15</f>
        <v xml:space="preserve">Bawal </v>
      </c>
      <c r="C8" s="75">
        <f>'P &amp; NP'!$WN486/1000</f>
        <v>0</v>
      </c>
      <c r="D8" s="75">
        <f>'P &amp; NP'!$WP486/1000</f>
        <v>0</v>
      </c>
      <c r="E8" s="75">
        <f>'P &amp; NP'!$WR486/1000</f>
        <v>0</v>
      </c>
      <c r="F8" s="75">
        <f>'P &amp; NP'!$WT486/1000</f>
        <v>5691.9170000000004</v>
      </c>
      <c r="G8" s="75">
        <f>'P &amp; NP'!$WV486/1000</f>
        <v>0</v>
      </c>
      <c r="H8" s="75">
        <f>'P &amp; NP'!$WX486/1000</f>
        <v>271.28800000000001</v>
      </c>
      <c r="I8" s="75">
        <f>'P &amp; NP'!$WZ486/1000</f>
        <v>0</v>
      </c>
      <c r="J8" s="76">
        <f t="shared" ref="J8:J43" si="2">SUM(C8:I8)</f>
        <v>5963.2049999999999</v>
      </c>
      <c r="K8" s="817">
        <v>0</v>
      </c>
      <c r="L8" s="587">
        <f t="shared" si="0"/>
        <v>3</v>
      </c>
      <c r="M8" s="588" t="s">
        <v>488</v>
      </c>
      <c r="N8" s="191" t="e">
        <f>SUM(#REF!,#REF!,#REF!,#REF!,#REF!,#REF!)</f>
        <v>#REF!</v>
      </c>
      <c r="O8" s="590" t="e">
        <f t="shared" si="1"/>
        <v>#REF!</v>
      </c>
      <c r="P8" s="590" t="e">
        <f>SUM(#REF!,#REF!,)</f>
        <v>#REF!</v>
      </c>
    </row>
    <row r="9" spans="1:18">
      <c r="A9" s="74">
        <v>3</v>
      </c>
      <c r="B9" s="116" t="str">
        <f>'P &amp; NP'!B16</f>
        <v xml:space="preserve">Belanak </v>
      </c>
      <c r="C9" s="75">
        <f>'P &amp; NP'!$WN487/1000</f>
        <v>0</v>
      </c>
      <c r="D9" s="75">
        <f>'P &amp; NP'!$WP487/1000</f>
        <v>1355.8430000000001</v>
      </c>
      <c r="E9" s="75">
        <f>'P &amp; NP'!$WR487/1000</f>
        <v>0</v>
      </c>
      <c r="F9" s="815">
        <f>'P &amp; NP'!$WT487/1000</f>
        <v>0</v>
      </c>
      <c r="G9" s="75">
        <f>'P &amp; NP'!$WV487/1000</f>
        <v>0</v>
      </c>
      <c r="H9" s="75">
        <f>'P &amp; NP'!$WX487/1000</f>
        <v>0</v>
      </c>
      <c r="I9" s="75">
        <f>'P &amp; NP'!$WZ487/1000</f>
        <v>0</v>
      </c>
      <c r="J9" s="76">
        <f t="shared" si="2"/>
        <v>1355.8430000000001</v>
      </c>
      <c r="K9" s="817">
        <v>0</v>
      </c>
      <c r="L9" s="587">
        <f t="shared" si="0"/>
        <v>4</v>
      </c>
      <c r="M9" s="588" t="s">
        <v>489</v>
      </c>
      <c r="N9" s="191">
        <f>J28</f>
        <v>9034.2113146035717</v>
      </c>
      <c r="O9" s="590">
        <f t="shared" si="1"/>
        <v>9.0342113146035725</v>
      </c>
      <c r="P9" s="590">
        <f>J75</f>
        <v>124359641.15618733</v>
      </c>
    </row>
    <row r="10" spans="1:18">
      <c r="A10" s="74">
        <v>4</v>
      </c>
      <c r="B10" s="116" t="str">
        <f>'P &amp; NP'!B17</f>
        <v xml:space="preserve">Eucheuma cottonii </v>
      </c>
      <c r="C10" s="75">
        <f>'P &amp; NP'!$WN488/1000</f>
        <v>759882.88100000005</v>
      </c>
      <c r="D10" s="75">
        <f>'P &amp; NP'!$WP488/1000</f>
        <v>0</v>
      </c>
      <c r="E10" s="75">
        <f>'P &amp; NP'!$WR488/1000</f>
        <v>0</v>
      </c>
      <c r="F10" s="75">
        <f>'P &amp; NP'!$WT488/1000</f>
        <v>0</v>
      </c>
      <c r="G10" s="75">
        <f>'P &amp; NP'!$WV488/1000</f>
        <v>0</v>
      </c>
      <c r="H10" s="75">
        <f>'P &amp; NP'!$WX488/1000</f>
        <v>0</v>
      </c>
      <c r="I10" s="75">
        <f>'P &amp; NP'!$WZ488/1000</f>
        <v>0</v>
      </c>
      <c r="J10" s="76">
        <f t="shared" si="2"/>
        <v>759882.88100000005</v>
      </c>
      <c r="K10" s="817">
        <v>281297520</v>
      </c>
      <c r="L10" s="587">
        <f t="shared" si="0"/>
        <v>5</v>
      </c>
      <c r="M10" s="588" t="s">
        <v>490</v>
      </c>
      <c r="N10" s="191" t="e">
        <f>SUM(J17,J20,#REF!)</f>
        <v>#REF!</v>
      </c>
      <c r="O10" s="590" t="e">
        <f t="shared" si="1"/>
        <v>#REF!</v>
      </c>
      <c r="P10" s="590">
        <f>J64+J67</f>
        <v>3111564853.9526057</v>
      </c>
    </row>
    <row r="11" spans="1:18">
      <c r="A11" s="74">
        <v>5</v>
      </c>
      <c r="B11" s="116" t="str">
        <f>'P &amp; NP'!B18</f>
        <v xml:space="preserve">Gabus </v>
      </c>
      <c r="C11" s="75">
        <f>'P &amp; NP'!$WN489/1000</f>
        <v>0</v>
      </c>
      <c r="D11" s="75">
        <f>'P &amp; NP'!$WP489/1000</f>
        <v>0</v>
      </c>
      <c r="E11" s="75">
        <f>'P &amp; NP'!$WR489/1000</f>
        <v>0</v>
      </c>
      <c r="F11" s="75">
        <f>'P &amp; NP'!$WT489/1000</f>
        <v>216.50399999999999</v>
      </c>
      <c r="G11" s="75">
        <f>'P &amp; NP'!$WV489/1000</f>
        <v>0</v>
      </c>
      <c r="H11" s="75">
        <f>'P &amp; NP'!$WX489/1000</f>
        <v>0</v>
      </c>
      <c r="I11" s="75">
        <f>'P &amp; NP'!$WZ489/1000</f>
        <v>0</v>
      </c>
      <c r="J11" s="76">
        <f t="shared" si="2"/>
        <v>216.50399999999999</v>
      </c>
      <c r="K11" s="817">
        <v>0</v>
      </c>
      <c r="L11" s="587">
        <f t="shared" si="0"/>
        <v>6</v>
      </c>
      <c r="M11" s="588" t="s">
        <v>491</v>
      </c>
      <c r="N11" s="191">
        <f>J40</f>
        <v>15.414999999999999</v>
      </c>
      <c r="O11" s="590">
        <f t="shared" si="1"/>
        <v>1.5415E-2</v>
      </c>
      <c r="P11" s="590">
        <f>J40</f>
        <v>15.414999999999999</v>
      </c>
    </row>
    <row r="12" spans="1:18">
      <c r="A12" s="74">
        <v>6</v>
      </c>
      <c r="B12" s="116" t="str">
        <f>'P &amp; NP'!B19</f>
        <v xml:space="preserve">Gracilaria verrucosa </v>
      </c>
      <c r="C12" s="75">
        <f>'P &amp; NP'!$WN490/1000</f>
        <v>0</v>
      </c>
      <c r="D12" s="75">
        <f>'P &amp; NP'!$WP490/1000</f>
        <v>23010.701938114384</v>
      </c>
      <c r="E12" s="75">
        <f>'P &amp; NP'!$WR490/1000</f>
        <v>0</v>
      </c>
      <c r="F12" s="75">
        <f>'P &amp; NP'!$WT490/1000</f>
        <v>0</v>
      </c>
      <c r="G12" s="75">
        <f>'P &amp; NP'!$WV490/1000</f>
        <v>0</v>
      </c>
      <c r="H12" s="75">
        <f>'P &amp; NP'!$WX490/1000</f>
        <v>0</v>
      </c>
      <c r="I12" s="75">
        <f>'P &amp; NP'!$WZ490/1000</f>
        <v>0</v>
      </c>
      <c r="J12" s="76">
        <f t="shared" si="2"/>
        <v>23010.701938114384</v>
      </c>
      <c r="K12" s="817">
        <v>0</v>
      </c>
      <c r="L12" s="587">
        <f t="shared" si="0"/>
        <v>7</v>
      </c>
      <c r="M12" s="588" t="s">
        <v>492</v>
      </c>
      <c r="N12" s="191">
        <f>J37</f>
        <v>0</v>
      </c>
      <c r="O12" s="590">
        <f t="shared" si="1"/>
        <v>0</v>
      </c>
      <c r="P12" s="590">
        <f>J37</f>
        <v>0</v>
      </c>
    </row>
    <row r="13" spans="1:18">
      <c r="A13" s="74">
        <v>7</v>
      </c>
      <c r="B13" s="116" t="str">
        <f>'P &amp; NP'!B20</f>
        <v xml:space="preserve">Gurame, Gurami </v>
      </c>
      <c r="C13" s="75">
        <f>'P &amp; NP'!$WN491/1000</f>
        <v>0</v>
      </c>
      <c r="D13" s="75">
        <f>'P &amp; NP'!$WP491/1000</f>
        <v>0</v>
      </c>
      <c r="E13" s="75">
        <f>'P &amp; NP'!$WR491/1000</f>
        <v>0</v>
      </c>
      <c r="F13" s="75">
        <f>'P &amp; NP'!$WT491/1000</f>
        <v>39153.167986463719</v>
      </c>
      <c r="G13" s="75">
        <f>'P &amp; NP'!$WV491/1000</f>
        <v>0</v>
      </c>
      <c r="H13" s="75">
        <f>'P &amp; NP'!$WX491/1000</f>
        <v>135.18799999999999</v>
      </c>
      <c r="I13" s="75">
        <f>'P &amp; NP'!$WZ491/1000</f>
        <v>0</v>
      </c>
      <c r="J13" s="76">
        <f t="shared" si="2"/>
        <v>39288.355986463721</v>
      </c>
      <c r="K13" s="817">
        <v>0</v>
      </c>
      <c r="L13" s="587">
        <f t="shared" si="0"/>
        <v>8</v>
      </c>
      <c r="M13" s="588" t="s">
        <v>493</v>
      </c>
      <c r="N13" s="191">
        <f>J7</f>
        <v>167576.96045556365</v>
      </c>
      <c r="O13" s="590">
        <f t="shared" si="1"/>
        <v>167.57696045556364</v>
      </c>
      <c r="P13" s="590">
        <f>J7</f>
        <v>167576.96045556365</v>
      </c>
      <c r="Q13" s="590">
        <f>P13/1000</f>
        <v>167.57696045556364</v>
      </c>
    </row>
    <row r="14" spans="1:18">
      <c r="A14" s="74">
        <v>8</v>
      </c>
      <c r="B14" s="116" t="str">
        <f>'P &amp; NP'!B21</f>
        <v>Kakap Putih</v>
      </c>
      <c r="C14" s="815">
        <f>'P &amp; NP'!$WN492/1000</f>
        <v>4.97</v>
      </c>
      <c r="D14" s="75">
        <f>'P &amp; NP'!$WP492/1000</f>
        <v>1812.0330758633554</v>
      </c>
      <c r="E14" s="75">
        <f>'P &amp; NP'!$WR492/1000</f>
        <v>0</v>
      </c>
      <c r="F14" s="75">
        <f>'P &amp; NP'!$WT492/1000</f>
        <v>0</v>
      </c>
      <c r="G14" s="75">
        <f>'P &amp; NP'!$WV492/1000</f>
        <v>0</v>
      </c>
      <c r="H14" s="75">
        <f>'P &amp; NP'!$WX492/1000</f>
        <v>0</v>
      </c>
      <c r="I14" s="75">
        <f>'P &amp; NP'!$WZ492/1000</f>
        <v>0</v>
      </c>
      <c r="J14" s="76">
        <f t="shared" si="2"/>
        <v>1817.0030758633554</v>
      </c>
      <c r="K14" s="817">
        <v>25250</v>
      </c>
      <c r="L14" s="587">
        <f t="shared" si="0"/>
        <v>9</v>
      </c>
      <c r="M14" s="588" t="s">
        <v>494</v>
      </c>
      <c r="N14" s="191">
        <f>SUM(J23:J24)</f>
        <v>26370.885639821419</v>
      </c>
      <c r="O14" s="590">
        <f t="shared" si="1"/>
        <v>26.37088563982142</v>
      </c>
      <c r="P14" s="590">
        <f>J70+J71</f>
        <v>339674602.2140134</v>
      </c>
      <c r="Q14" s="590">
        <f t="shared" ref="Q14:Q22" si="3">P14/1000</f>
        <v>339674.6022140134</v>
      </c>
    </row>
    <row r="15" spans="1:18">
      <c r="A15" s="74">
        <v>9</v>
      </c>
      <c r="B15" s="116" t="str">
        <f>'P &amp; NP'!B22</f>
        <v>Kepiting  Bakau</v>
      </c>
      <c r="C15" s="815">
        <f>'P &amp; NP'!$WN493/1000</f>
        <v>0</v>
      </c>
      <c r="D15" s="75">
        <f>'P &amp; NP'!$WP493/1000</f>
        <v>721.293968531264</v>
      </c>
      <c r="E15" s="75">
        <f>'P &amp; NP'!$WR493/1000</f>
        <v>0</v>
      </c>
      <c r="F15" s="75">
        <f>'P &amp; NP'!$WT493/1000</f>
        <v>0</v>
      </c>
      <c r="G15" s="75">
        <f>'P &amp; NP'!$WV493/1000</f>
        <v>0</v>
      </c>
      <c r="H15" s="75">
        <f>'P &amp; NP'!$WX493/1000</f>
        <v>0</v>
      </c>
      <c r="I15" s="75">
        <f>'P &amp; NP'!$WZ493/1000</f>
        <v>0</v>
      </c>
      <c r="J15" s="76">
        <f t="shared" si="2"/>
        <v>721.293968531264</v>
      </c>
      <c r="K15" s="817">
        <v>0</v>
      </c>
      <c r="L15" s="587">
        <f t="shared" si="0"/>
        <v>10</v>
      </c>
      <c r="M15" s="588" t="s">
        <v>495</v>
      </c>
      <c r="N15" s="191">
        <f>J42</f>
        <v>1162.9000000000001</v>
      </c>
      <c r="O15" s="590">
        <f t="shared" si="1"/>
        <v>1.1629</v>
      </c>
      <c r="P15" s="590">
        <f>J89</f>
        <v>13954800</v>
      </c>
      <c r="Q15" s="590">
        <f t="shared" si="3"/>
        <v>13954.8</v>
      </c>
    </row>
    <row r="16" spans="1:18">
      <c r="A16" s="74">
        <v>10</v>
      </c>
      <c r="B16" s="116" t="str">
        <f>'P &amp; NP'!B23</f>
        <v xml:space="preserve">Kerang Hijau </v>
      </c>
      <c r="C16" s="75">
        <f>'P &amp; NP'!$WN494/1000</f>
        <v>13740.678926078348</v>
      </c>
      <c r="D16" s="75">
        <f>'P &amp; NP'!$WP494/1000</f>
        <v>0</v>
      </c>
      <c r="E16" s="75">
        <f>'P &amp; NP'!$WR494/1000</f>
        <v>0</v>
      </c>
      <c r="F16" s="75">
        <f>'P &amp; NP'!$WT494/1000</f>
        <v>0</v>
      </c>
      <c r="G16" s="75">
        <f>'P &amp; NP'!$WV494/1000</f>
        <v>0</v>
      </c>
      <c r="H16" s="75">
        <f>'P &amp; NP'!$WX494/1000</f>
        <v>0</v>
      </c>
      <c r="I16" s="75">
        <f>'P &amp; NP'!$WZ494/1000</f>
        <v>0</v>
      </c>
      <c r="J16" s="76">
        <f t="shared" si="2"/>
        <v>13740.678926078348</v>
      </c>
      <c r="K16" s="817">
        <v>773776</v>
      </c>
      <c r="L16" s="587">
        <f t="shared" si="0"/>
        <v>11</v>
      </c>
      <c r="M16" s="588" t="s">
        <v>496</v>
      </c>
      <c r="N16" s="191">
        <f>J34</f>
        <v>816.63099999999997</v>
      </c>
      <c r="O16" s="590">
        <f t="shared" si="1"/>
        <v>0.816631</v>
      </c>
      <c r="P16" s="590">
        <f>J81</f>
        <v>34993745</v>
      </c>
      <c r="Q16" s="590">
        <f t="shared" si="3"/>
        <v>34993.745000000003</v>
      </c>
    </row>
    <row r="17" spans="1:17">
      <c r="A17" s="74">
        <v>11</v>
      </c>
      <c r="B17" s="116" t="str">
        <f>'P &amp; NP'!B24</f>
        <v>Kerapu Cantang</v>
      </c>
      <c r="C17" s="75">
        <f>'P &amp; NP'!$WN495/1000</f>
        <v>465.28100000000001</v>
      </c>
      <c r="D17" s="75">
        <f>'P &amp; NP'!$WP495/1000</f>
        <v>1168.9251465787925</v>
      </c>
      <c r="E17" s="75">
        <f>'P &amp; NP'!$WR495/1000</f>
        <v>0</v>
      </c>
      <c r="F17" s="75">
        <f>'P &amp; NP'!$WT495/1000</f>
        <v>0</v>
      </c>
      <c r="G17" s="75">
        <f>'P &amp; NP'!$WV495/1000</f>
        <v>0</v>
      </c>
      <c r="H17" s="75">
        <f>'P &amp; NP'!$WX495/1000</f>
        <v>0</v>
      </c>
      <c r="I17" s="75">
        <f>'P &amp; NP'!$WZ495/1000</f>
        <v>0</v>
      </c>
      <c r="J17" s="76">
        <f t="shared" si="2"/>
        <v>1634.2061465787924</v>
      </c>
      <c r="K17" s="817">
        <v>2820700</v>
      </c>
      <c r="L17" s="587">
        <f t="shared" si="0"/>
        <v>12</v>
      </c>
      <c r="M17" s="588" t="s">
        <v>497</v>
      </c>
      <c r="N17" s="191">
        <f>J21</f>
        <v>12.733000000000001</v>
      </c>
      <c r="O17" s="590">
        <f t="shared" si="1"/>
        <v>1.2733000000000001E-2</v>
      </c>
      <c r="P17" s="590">
        <f>J68</f>
        <v>4328440</v>
      </c>
      <c r="Q17" s="590">
        <f t="shared" si="3"/>
        <v>4328.4399999999996</v>
      </c>
    </row>
    <row r="18" spans="1:17">
      <c r="A18" s="74">
        <v>12</v>
      </c>
      <c r="B18" s="116" t="str">
        <f>'P &amp; NP'!B25</f>
        <v>Kerapu Macan</v>
      </c>
      <c r="C18" s="75">
        <f>'P &amp; NP'!$WN496/1000</f>
        <v>291.245</v>
      </c>
      <c r="D18" s="75">
        <f>'P &amp; NP'!$WP496/1000</f>
        <v>1055.7409829788271</v>
      </c>
      <c r="E18" s="75">
        <f>'P &amp; NP'!$WR496/1000</f>
        <v>0</v>
      </c>
      <c r="F18" s="75">
        <f>'P &amp; NP'!$WT496/1000</f>
        <v>0</v>
      </c>
      <c r="G18" s="75">
        <f>'P &amp; NP'!$WV496/1000</f>
        <v>0</v>
      </c>
      <c r="H18" s="75">
        <f>'P &amp; NP'!$WX496/1000</f>
        <v>0</v>
      </c>
      <c r="I18" s="75">
        <f>'P &amp; NP'!$WZ496/1000</f>
        <v>0</v>
      </c>
      <c r="J18" s="76">
        <f t="shared" si="2"/>
        <v>1346.985982978827</v>
      </c>
      <c r="K18" s="817">
        <v>3980800</v>
      </c>
      <c r="L18" s="587">
        <f t="shared" si="0"/>
        <v>13</v>
      </c>
      <c r="M18" s="588" t="s">
        <v>498</v>
      </c>
      <c r="N18" s="191">
        <f>SUM(J26:J27)</f>
        <v>29693.529598126552</v>
      </c>
      <c r="O18" s="590">
        <f t="shared" si="1"/>
        <v>29.693529598126553</v>
      </c>
      <c r="P18" s="590">
        <f>J74</f>
        <v>0</v>
      </c>
      <c r="Q18" s="590">
        <f t="shared" si="3"/>
        <v>0</v>
      </c>
    </row>
    <row r="19" spans="1:17">
      <c r="A19" s="74">
        <v>13</v>
      </c>
      <c r="B19" s="116" t="str">
        <f>'P &amp; NP'!B26</f>
        <v>Kerong Kerong</v>
      </c>
      <c r="C19" s="75">
        <f>'P &amp; NP'!$WN497/1000</f>
        <v>0</v>
      </c>
      <c r="D19" s="75">
        <f>'P &amp; NP'!$WP497/1000</f>
        <v>0</v>
      </c>
      <c r="E19" s="75">
        <f>'P &amp; NP'!$WR497/1000</f>
        <v>0</v>
      </c>
      <c r="F19" s="75">
        <f>'P &amp; NP'!$WT497/1000</f>
        <v>535.46500000000003</v>
      </c>
      <c r="G19" s="75">
        <f>'P &amp; NP'!$WV497/1000</f>
        <v>0</v>
      </c>
      <c r="H19" s="75">
        <f>'P &amp; NP'!$WX497/1000</f>
        <v>0</v>
      </c>
      <c r="I19" s="75">
        <f>'P &amp; NP'!$WZ497/1000</f>
        <v>0</v>
      </c>
      <c r="J19" s="76">
        <f t="shared" si="2"/>
        <v>535.46500000000003</v>
      </c>
      <c r="K19" s="817">
        <v>0</v>
      </c>
      <c r="L19" s="587">
        <f t="shared" si="0"/>
        <v>14</v>
      </c>
      <c r="M19" s="588" t="s">
        <v>499</v>
      </c>
      <c r="N19" s="191">
        <f>J25</f>
        <v>57138.275387842463</v>
      </c>
      <c r="O19" s="590">
        <f t="shared" si="1"/>
        <v>57.138275387842462</v>
      </c>
      <c r="P19" s="590">
        <f>J72</f>
        <v>1124816471.5551538</v>
      </c>
      <c r="Q19" s="590">
        <f t="shared" si="3"/>
        <v>1124816.4715551538</v>
      </c>
    </row>
    <row r="20" spans="1:17">
      <c r="A20" s="74">
        <v>14</v>
      </c>
      <c r="B20" s="116" t="str">
        <f>'P &amp; NP'!B27</f>
        <v xml:space="preserve">Lele </v>
      </c>
      <c r="C20" s="75">
        <f>'P &amp; NP'!$WN498/1000</f>
        <v>0</v>
      </c>
      <c r="D20" s="75">
        <f>'P &amp; NP'!$WP498/1000</f>
        <v>0</v>
      </c>
      <c r="E20" s="75">
        <f>'P &amp; NP'!$WR498/1000</f>
        <v>0</v>
      </c>
      <c r="F20" s="75">
        <f>'P &amp; NP'!$WT498/1000</f>
        <v>163103.18460557092</v>
      </c>
      <c r="G20" s="75">
        <f>'P &amp; NP'!$WV498/1000</f>
        <v>0</v>
      </c>
      <c r="H20" s="75">
        <f>'P &amp; NP'!$WX498/1000</f>
        <v>2768.39</v>
      </c>
      <c r="I20" s="75">
        <f>'P &amp; NP'!$WZ498/1000</f>
        <v>83.212000000000003</v>
      </c>
      <c r="J20" s="76">
        <f t="shared" si="2"/>
        <v>165954.78660557093</v>
      </c>
      <c r="K20" s="817">
        <v>0</v>
      </c>
      <c r="L20" s="587">
        <f t="shared" si="0"/>
        <v>15</v>
      </c>
      <c r="M20" s="589" t="s">
        <v>500</v>
      </c>
      <c r="N20" s="191" t="e">
        <f>#REF!</f>
        <v>#REF!</v>
      </c>
      <c r="O20" s="590" t="e">
        <f t="shared" si="1"/>
        <v>#REF!</v>
      </c>
      <c r="P20" s="590" t="e">
        <f>#REF!</f>
        <v>#REF!</v>
      </c>
      <c r="Q20" s="590" t="e">
        <f t="shared" si="3"/>
        <v>#REF!</v>
      </c>
    </row>
    <row r="21" spans="1:17">
      <c r="A21" s="74">
        <v>15</v>
      </c>
      <c r="B21" s="116" t="str">
        <f>'P &amp; NP'!B28</f>
        <v xml:space="preserve">Lobster Air Laut </v>
      </c>
      <c r="C21" s="75">
        <f>'P &amp; NP'!$WN499/1000</f>
        <v>12.733000000000001</v>
      </c>
      <c r="D21" s="75">
        <f>'P &amp; NP'!$WP499/1000</f>
        <v>0</v>
      </c>
      <c r="E21" s="75">
        <f>'P &amp; NP'!$WR499/1000</f>
        <v>0</v>
      </c>
      <c r="F21" s="75">
        <f>'P &amp; NP'!$WT499/1000</f>
        <v>0</v>
      </c>
      <c r="G21" s="75">
        <f>'P &amp; NP'!$WV499/1000</f>
        <v>0</v>
      </c>
      <c r="H21" s="75">
        <f>'P &amp; NP'!$WX499/1000</f>
        <v>0</v>
      </c>
      <c r="I21" s="75">
        <f>'P &amp; NP'!$WZ499/1000</f>
        <v>0</v>
      </c>
      <c r="J21" s="816">
        <f t="shared" si="2"/>
        <v>12.733000000000001</v>
      </c>
      <c r="K21" s="817">
        <v>455000</v>
      </c>
      <c r="L21" s="587">
        <f t="shared" si="0"/>
        <v>16</v>
      </c>
      <c r="M21" s="589" t="s">
        <v>501</v>
      </c>
      <c r="N21" s="191">
        <f>J19</f>
        <v>535.46500000000003</v>
      </c>
      <c r="O21" s="590">
        <f t="shared" si="1"/>
        <v>0.53546500000000008</v>
      </c>
      <c r="P21" s="590">
        <f>J66</f>
        <v>10693740</v>
      </c>
      <c r="Q21" s="590">
        <f t="shared" si="3"/>
        <v>10693.74</v>
      </c>
    </row>
    <row r="22" spans="1:17">
      <c r="A22" s="74">
        <v>16</v>
      </c>
      <c r="B22" s="116" t="str">
        <f>'P &amp; NP'!B29</f>
        <v xml:space="preserve">Lobster Air Tawar, Cherax </v>
      </c>
      <c r="C22" s="75">
        <f>'P &amp; NP'!$WN500/1000</f>
        <v>0</v>
      </c>
      <c r="D22" s="75">
        <f>'P &amp; NP'!$WP500/1000</f>
        <v>0</v>
      </c>
      <c r="E22" s="75">
        <f>'P &amp; NP'!$WR500/1000</f>
        <v>0</v>
      </c>
      <c r="F22" s="815">
        <f>'P &amp; NP'!$WT500/1000</f>
        <v>2.65</v>
      </c>
      <c r="G22" s="75">
        <f>'P &amp; NP'!$WV500/1000</f>
        <v>0</v>
      </c>
      <c r="H22" s="75">
        <f>'P &amp; NP'!$WX500/1000</f>
        <v>0</v>
      </c>
      <c r="I22" s="75">
        <f>'P &amp; NP'!$WZ500/1000</f>
        <v>0</v>
      </c>
      <c r="J22" s="816">
        <f t="shared" si="2"/>
        <v>2.65</v>
      </c>
      <c r="K22" s="817">
        <v>0</v>
      </c>
      <c r="L22" s="587">
        <f t="shared" si="0"/>
        <v>17</v>
      </c>
      <c r="M22" s="588" t="s">
        <v>197</v>
      </c>
      <c r="N22" s="191" t="e">
        <f>SUM(J10,J12,J38,#REF!,#REF!,#REF!,#REF!,#REF!,#REF!,#REF!,#REF!)</f>
        <v>#REF!</v>
      </c>
      <c r="O22" s="590" t="e">
        <f t="shared" si="1"/>
        <v>#REF!</v>
      </c>
      <c r="P22" s="590" t="e">
        <f>SUM(J57,J59,J82,J83,J85,J88,#REF!,#REF!,#REF!,#REF!,#REF!,#REF!,#REF!)</f>
        <v>#REF!</v>
      </c>
      <c r="Q22" s="590" t="e">
        <f t="shared" si="3"/>
        <v>#REF!</v>
      </c>
    </row>
    <row r="23" spans="1:17">
      <c r="A23" s="74">
        <v>17</v>
      </c>
      <c r="B23" s="116" t="str">
        <f>'P &amp; NP'!B30</f>
        <v xml:space="preserve">Mas, Ikan Mas, Karper </v>
      </c>
      <c r="C23" s="75">
        <f>'P &amp; NP'!$WN501/1000</f>
        <v>0</v>
      </c>
      <c r="D23" s="815">
        <f>'P &amp; NP'!$WP501/1000</f>
        <v>3.6999999999999998E-2</v>
      </c>
      <c r="E23" s="75">
        <f>'P &amp; NP'!$WR501/1000</f>
        <v>0</v>
      </c>
      <c r="F23" s="75">
        <f>'P &amp; NP'!$WT501/1000</f>
        <v>6048.446622629629</v>
      </c>
      <c r="G23" s="75">
        <f>'P &amp; NP'!$WV501/1000</f>
        <v>1714.01</v>
      </c>
      <c r="H23" s="75">
        <f>'P &amp; NP'!$WX501/1000</f>
        <v>1448.3150000000001</v>
      </c>
      <c r="I23" s="75">
        <f>'P &amp; NP'!$WZ501/1000</f>
        <v>5.0049999999999999</v>
      </c>
      <c r="J23" s="76">
        <f t="shared" si="2"/>
        <v>9215.8136226296283</v>
      </c>
      <c r="K23" s="817">
        <v>0</v>
      </c>
      <c r="L23" s="587"/>
      <c r="M23" s="588"/>
      <c r="O23" s="590"/>
    </row>
    <row r="24" spans="1:17">
      <c r="A24" s="74">
        <v>18</v>
      </c>
      <c r="B24" s="116" t="str">
        <f>'P &amp; NP'!B31</f>
        <v xml:space="preserve">Mujair </v>
      </c>
      <c r="C24" s="75">
        <f>'P &amp; NP'!$WN502/1000</f>
        <v>0</v>
      </c>
      <c r="D24" s="75">
        <f>'P &amp; NP'!$WP502/1000</f>
        <v>9712.1653068862397</v>
      </c>
      <c r="E24" s="75">
        <f>'P &amp; NP'!$WR502/1000</f>
        <v>0</v>
      </c>
      <c r="F24" s="75">
        <f>'P &amp; NP'!$WT502/1000</f>
        <v>7407.7867103055487</v>
      </c>
      <c r="G24" s="75">
        <f>'P &amp; NP'!$WV502/1000</f>
        <v>35.119999999999997</v>
      </c>
      <c r="H24" s="75">
        <f>'P &amp; NP'!$WX502/1000</f>
        <v>0</v>
      </c>
      <c r="I24" s="75">
        <f>'P &amp; NP'!$WZ502/1000</f>
        <v>0</v>
      </c>
      <c r="J24" s="76">
        <f t="shared" si="2"/>
        <v>17155.072017191789</v>
      </c>
      <c r="K24" s="817">
        <v>0</v>
      </c>
      <c r="L24" s="587"/>
      <c r="M24" s="588"/>
      <c r="N24" s="191" t="e">
        <f>SUM(N6:N22)</f>
        <v>#REF!</v>
      </c>
      <c r="O24" s="590" t="e">
        <f t="shared" si="1"/>
        <v>#REF!</v>
      </c>
      <c r="P24" s="590">
        <f>J91</f>
        <v>21538229550.790459</v>
      </c>
      <c r="Q24" s="590">
        <f>P24/1000</f>
        <v>21538229.550790459</v>
      </c>
    </row>
    <row r="25" spans="1:17">
      <c r="A25" s="74">
        <v>19</v>
      </c>
      <c r="B25" s="116" t="str">
        <f>'P &amp; NP'!B32</f>
        <v xml:space="preserve">Nila </v>
      </c>
      <c r="C25" s="75">
        <f>'P &amp; NP'!$WN503/1000</f>
        <v>0</v>
      </c>
      <c r="D25" s="75">
        <f>'P &amp; NP'!$WP503/1000</f>
        <v>19709.732647203982</v>
      </c>
      <c r="E25" s="75">
        <f>'P &amp; NP'!$WR503/1000</f>
        <v>0</v>
      </c>
      <c r="F25" s="75">
        <f>'P &amp; NP'!$WT503/1000</f>
        <v>27568.836800272475</v>
      </c>
      <c r="G25" s="75">
        <f>'P &amp; NP'!$WV503/1000</f>
        <v>2684.9860003660001</v>
      </c>
      <c r="H25" s="75">
        <f>'P &amp; NP'!$WX503/1000</f>
        <v>1750.51</v>
      </c>
      <c r="I25" s="75">
        <f>'P &amp; NP'!$WZ503/1000</f>
        <v>5424.2099400000006</v>
      </c>
      <c r="J25" s="76">
        <f t="shared" si="2"/>
        <v>57138.275387842463</v>
      </c>
      <c r="K25" s="817">
        <v>0</v>
      </c>
    </row>
    <row r="26" spans="1:17">
      <c r="A26" s="74">
        <v>20</v>
      </c>
      <c r="B26" s="116" t="str">
        <f>'P &amp; NP'!B33</f>
        <v xml:space="preserve">Patin </v>
      </c>
      <c r="C26" s="75">
        <f>'P &amp; NP'!$WN504/1000</f>
        <v>0</v>
      </c>
      <c r="D26" s="75">
        <f>'P &amp; NP'!$WP504/1000</f>
        <v>0</v>
      </c>
      <c r="E26" s="75">
        <f>'P &amp; NP'!$WR504/1000</f>
        <v>0</v>
      </c>
      <c r="F26" s="75">
        <f>'P &amp; NP'!$WT504/1000</f>
        <v>29004.035678126551</v>
      </c>
      <c r="G26" s="75">
        <f>'P &amp; NP'!$WV504/1000</f>
        <v>12.99</v>
      </c>
      <c r="H26" s="75">
        <f>'P &amp; NP'!$WX504/1000</f>
        <v>593.52200000000005</v>
      </c>
      <c r="I26" s="75">
        <f>'P &amp; NP'!$WZ504/1000</f>
        <v>82.981920000000002</v>
      </c>
      <c r="J26" s="76">
        <f t="shared" si="2"/>
        <v>29693.529598126552</v>
      </c>
      <c r="K26" s="817">
        <v>0</v>
      </c>
    </row>
    <row r="27" spans="1:17">
      <c r="A27" s="74">
        <v>21</v>
      </c>
      <c r="B27" s="116" t="str">
        <f>'P &amp; NP'!B34</f>
        <v xml:space="preserve">Rajungan </v>
      </c>
      <c r="C27" s="75">
        <f>'P &amp; NP'!$WN505/1000</f>
        <v>0</v>
      </c>
      <c r="D27" s="75">
        <f>'P &amp; NP'!$WP505/1000</f>
        <v>0</v>
      </c>
      <c r="E27" s="75">
        <f>'P &amp; NP'!$WR505/1000</f>
        <v>0</v>
      </c>
      <c r="F27" s="75">
        <f>'P &amp; NP'!$WT505/1000</f>
        <v>0</v>
      </c>
      <c r="G27" s="75">
        <f>'P &amp; NP'!$WV505/1000</f>
        <v>0</v>
      </c>
      <c r="H27" s="75">
        <f>'P &amp; NP'!$WX505/1000</f>
        <v>0</v>
      </c>
      <c r="I27" s="75">
        <f>'P &amp; NP'!$WZ505/1000</f>
        <v>0</v>
      </c>
      <c r="J27" s="76">
        <f t="shared" si="2"/>
        <v>0</v>
      </c>
      <c r="K27" s="817">
        <v>0</v>
      </c>
    </row>
    <row r="28" spans="1:17">
      <c r="A28" s="74">
        <v>22</v>
      </c>
      <c r="B28" s="116" t="str">
        <f>'P &amp; NP'!B35</f>
        <v>Tawes</v>
      </c>
      <c r="C28" s="75">
        <f>'P &amp; NP'!$WN506/1000</f>
        <v>0</v>
      </c>
      <c r="D28" s="75">
        <f>'P &amp; NP'!$WP506/1000</f>
        <v>0</v>
      </c>
      <c r="E28" s="75">
        <f>'P &amp; NP'!$WR506/1000</f>
        <v>0</v>
      </c>
      <c r="F28" s="75">
        <f>'P &amp; NP'!$WT506/1000</f>
        <v>7466.0613146035721</v>
      </c>
      <c r="G28" s="75">
        <f>'P &amp; NP'!$WV506/1000</f>
        <v>1552.201</v>
      </c>
      <c r="H28" s="815">
        <f>'P &amp; NP'!$WX506/1000</f>
        <v>1.952</v>
      </c>
      <c r="I28" s="75">
        <f>'P &amp; NP'!$WZ506/1000</f>
        <v>13.997</v>
      </c>
      <c r="J28" s="76">
        <f t="shared" si="2"/>
        <v>9034.2113146035717</v>
      </c>
      <c r="K28" s="817">
        <v>0</v>
      </c>
    </row>
    <row r="29" spans="1:17">
      <c r="A29" s="74">
        <v>23</v>
      </c>
      <c r="B29" s="116" t="str">
        <f>'P &amp; NP'!B36</f>
        <v>Teri</v>
      </c>
      <c r="C29" s="75">
        <f>'P &amp; NP'!$WN507/1000</f>
        <v>0</v>
      </c>
      <c r="D29" s="75">
        <f>'P &amp; NP'!$WP507/1000</f>
        <v>26.7</v>
      </c>
      <c r="E29" s="75">
        <f>'P &amp; NP'!$WR507/1000</f>
        <v>0</v>
      </c>
      <c r="F29" s="815">
        <f>'P &amp; NP'!$WT507/1000</f>
        <v>0</v>
      </c>
      <c r="G29" s="75">
        <f>'P &amp; NP'!$WV507/1000</f>
        <v>0</v>
      </c>
      <c r="H29" s="75">
        <f>'P &amp; NP'!$WX507/1000</f>
        <v>0</v>
      </c>
      <c r="I29" s="75">
        <f>'P &amp; NP'!$WZ507/1000</f>
        <v>0</v>
      </c>
      <c r="J29" s="76">
        <f t="shared" si="2"/>
        <v>26.7</v>
      </c>
      <c r="K29" s="817">
        <v>0</v>
      </c>
    </row>
    <row r="30" spans="1:17">
      <c r="A30" s="74">
        <v>24</v>
      </c>
      <c r="B30" s="116" t="str">
        <f>'P &amp; NP'!B37</f>
        <v xml:space="preserve">Udang Galah </v>
      </c>
      <c r="C30" s="75">
        <f>'P &amp; NP'!$WN508/1000</f>
        <v>0</v>
      </c>
      <c r="D30" s="75">
        <f>'P &amp; NP'!$WP508/1000</f>
        <v>0</v>
      </c>
      <c r="E30" s="75">
        <f>'P &amp; NP'!$WR508/1000</f>
        <v>0</v>
      </c>
      <c r="F30" s="75">
        <f>'P &amp; NP'!$WT508/1000</f>
        <v>0</v>
      </c>
      <c r="G30" s="75">
        <f>'P &amp; NP'!$WV508/1000</f>
        <v>0</v>
      </c>
      <c r="H30" s="75">
        <f>'P &amp; NP'!$WX508/1000</f>
        <v>0</v>
      </c>
      <c r="I30" s="75">
        <f>'P &amp; NP'!$WZ508/1000</f>
        <v>0</v>
      </c>
      <c r="J30" s="76">
        <f t="shared" si="2"/>
        <v>0</v>
      </c>
      <c r="K30" s="817">
        <v>0</v>
      </c>
    </row>
    <row r="31" spans="1:17">
      <c r="A31" s="74">
        <v>25</v>
      </c>
      <c r="B31" s="116" t="str">
        <f>'P &amp; NP'!B38</f>
        <v>Udang Putih</v>
      </c>
      <c r="C31" s="75">
        <f>'P &amp; NP'!$WN509/1000</f>
        <v>0</v>
      </c>
      <c r="D31" s="75">
        <f>'P &amp; NP'!$WP509/1000</f>
        <v>3327.9247999999998</v>
      </c>
      <c r="E31" s="75">
        <f>'P &amp; NP'!$WR509/1000</f>
        <v>0</v>
      </c>
      <c r="F31" s="75">
        <f>'P &amp; NP'!$WT509/1000</f>
        <v>0</v>
      </c>
      <c r="G31" s="75">
        <f>'P &amp; NP'!$WV509/1000</f>
        <v>0</v>
      </c>
      <c r="H31" s="75">
        <f>'P &amp; NP'!$WX509/1000</f>
        <v>0</v>
      </c>
      <c r="I31" s="75">
        <f>'P &amp; NP'!$WZ509/1000</f>
        <v>0</v>
      </c>
      <c r="J31" s="76">
        <f t="shared" si="2"/>
        <v>3327.9247999999998</v>
      </c>
      <c r="K31" s="817">
        <v>0</v>
      </c>
    </row>
    <row r="32" spans="1:17">
      <c r="A32" s="74">
        <v>26</v>
      </c>
      <c r="B32" s="116" t="str">
        <f>'P &amp; NP'!B39</f>
        <v xml:space="preserve">Udang Vaname </v>
      </c>
      <c r="C32" s="75">
        <f>'P &amp; NP'!$WN510/1000</f>
        <v>0</v>
      </c>
      <c r="D32" s="75">
        <f>'P &amp; NP'!$WP510/1000</f>
        <v>99298.900497843671</v>
      </c>
      <c r="E32" s="75">
        <f>'P &amp; NP'!$WR510/1000</f>
        <v>0</v>
      </c>
      <c r="F32" s="75">
        <f>'P &amp; NP'!$WT510/1000</f>
        <v>12380.433999999999</v>
      </c>
      <c r="G32" s="75">
        <f>'P &amp; NP'!$WV510/1000</f>
        <v>4616.32</v>
      </c>
      <c r="H32" s="75">
        <f>'P &amp; NP'!$WX510/1000</f>
        <v>0</v>
      </c>
      <c r="I32" s="75">
        <f>'P &amp; NP'!$WZ510/1000</f>
        <v>0</v>
      </c>
      <c r="J32" s="76">
        <f t="shared" si="2"/>
        <v>116295.65449784367</v>
      </c>
      <c r="K32" s="817">
        <v>0</v>
      </c>
    </row>
    <row r="33" spans="1:13">
      <c r="A33" s="74">
        <v>27</v>
      </c>
      <c r="B33" s="116" t="str">
        <f>'P &amp; NP'!B40</f>
        <v xml:space="preserve">Udang Windu </v>
      </c>
      <c r="C33" s="75">
        <f>'P &amp; NP'!$WN511/1000</f>
        <v>0</v>
      </c>
      <c r="D33" s="75">
        <f>'P &amp; NP'!$WP511/1000</f>
        <v>7148.5605289569585</v>
      </c>
      <c r="E33" s="75">
        <f>'P &amp; NP'!$WR511/1000</f>
        <v>0</v>
      </c>
      <c r="F33" s="75">
        <f>'P &amp; NP'!$WT511/1000</f>
        <v>0</v>
      </c>
      <c r="G33" s="75">
        <f>'P &amp; NP'!$WV511/1000</f>
        <v>0</v>
      </c>
      <c r="H33" s="75">
        <f>'P &amp; NP'!$WX511/1000</f>
        <v>0</v>
      </c>
      <c r="I33" s="75">
        <f>'P &amp; NP'!$WZ511/1000</f>
        <v>0</v>
      </c>
      <c r="J33" s="76">
        <f t="shared" si="2"/>
        <v>7148.5605289569585</v>
      </c>
      <c r="K33" s="817">
        <v>0</v>
      </c>
    </row>
    <row r="34" spans="1:13">
      <c r="A34" s="74">
        <v>28</v>
      </c>
      <c r="B34" s="116" t="str">
        <f>'P &amp; NP'!B41</f>
        <v xml:space="preserve">Udang_01 (Udang Api-Api) </v>
      </c>
      <c r="C34" s="75">
        <f>'P &amp; NP'!$WN512/1000</f>
        <v>0</v>
      </c>
      <c r="D34" s="75">
        <f>'P &amp; NP'!$WP512/1000</f>
        <v>816.63099999999997</v>
      </c>
      <c r="E34" s="75">
        <f>'P &amp; NP'!$WR512/1000</f>
        <v>0</v>
      </c>
      <c r="F34" s="75">
        <f>'P &amp; NP'!$WT512/1000</f>
        <v>0</v>
      </c>
      <c r="G34" s="75">
        <f>'P &amp; NP'!$WV512/1000</f>
        <v>0</v>
      </c>
      <c r="H34" s="75">
        <f>'P &amp; NP'!$WX512/1000</f>
        <v>0</v>
      </c>
      <c r="I34" s="75">
        <f>'P &amp; NP'!$WZ512/1000</f>
        <v>0</v>
      </c>
      <c r="J34" s="76">
        <f t="shared" si="2"/>
        <v>816.63099999999997</v>
      </c>
      <c r="K34" s="817">
        <v>0</v>
      </c>
    </row>
    <row r="35" spans="1:13">
      <c r="A35" s="74">
        <v>29</v>
      </c>
      <c r="B35" s="116" t="str">
        <f>'P &amp; NP'!B42</f>
        <v xml:space="preserve">Udang_02 (Udang Rebon) </v>
      </c>
      <c r="C35" s="75">
        <f>'P &amp; NP'!$WN513/1000</f>
        <v>0</v>
      </c>
      <c r="D35" s="75">
        <f>'P &amp; NP'!$WP513/1000</f>
        <v>1710.001</v>
      </c>
      <c r="E35" s="75">
        <f>'P &amp; NP'!$WR513/1000</f>
        <v>0</v>
      </c>
      <c r="F35" s="75">
        <f>'P &amp; NP'!$WT513/1000</f>
        <v>0</v>
      </c>
      <c r="G35" s="75">
        <f>'P &amp; NP'!$WV513/1000</f>
        <v>0</v>
      </c>
      <c r="H35" s="75">
        <f>'P &amp; NP'!$WX513/1000</f>
        <v>0</v>
      </c>
      <c r="I35" s="75">
        <f>'P &amp; NP'!$WZ513/1000</f>
        <v>0</v>
      </c>
      <c r="J35" s="76">
        <f t="shared" si="2"/>
        <v>1710.001</v>
      </c>
      <c r="K35" s="817">
        <v>0</v>
      </c>
    </row>
    <row r="36" spans="1:13">
      <c r="A36" s="74">
        <v>30</v>
      </c>
      <c r="B36" s="116" t="str">
        <f>'P &amp; NP'!B43</f>
        <v xml:space="preserve">Belut Sawah </v>
      </c>
      <c r="C36" s="75">
        <f>'P &amp; NP'!$WN514/1000</f>
        <v>0</v>
      </c>
      <c r="D36" s="75">
        <f>'P &amp; NP'!$WP514/1000</f>
        <v>0</v>
      </c>
      <c r="E36" s="75">
        <f>'P &amp; NP'!$WR514/1000</f>
        <v>0</v>
      </c>
      <c r="F36" s="75">
        <f>'P &amp; NP'!$WT514/1000</f>
        <v>0.26</v>
      </c>
      <c r="G36" s="75">
        <f>'P &amp; NP'!$WV514/1000</f>
        <v>0</v>
      </c>
      <c r="H36" s="75">
        <f>'P &amp; NP'!$WX514/1000</f>
        <v>0</v>
      </c>
      <c r="I36" s="75">
        <f>'P &amp; NP'!$WZ514/1000</f>
        <v>0</v>
      </c>
      <c r="J36" s="76">
        <f t="shared" si="2"/>
        <v>0.26</v>
      </c>
      <c r="K36" s="817">
        <v>0</v>
      </c>
    </row>
    <row r="37" spans="1:13">
      <c r="A37" s="74">
        <v>31</v>
      </c>
      <c r="B37" s="116" t="str">
        <f>'P &amp; NP'!B44</f>
        <v xml:space="preserve">Udang_04 (Udang Lainnya) </v>
      </c>
      <c r="C37" s="75">
        <f>'P &amp; NP'!$WN515/1000</f>
        <v>0</v>
      </c>
      <c r="D37" s="75">
        <f>'P &amp; NP'!$WP515/1000</f>
        <v>0</v>
      </c>
      <c r="E37" s="75">
        <f>'P &amp; NP'!$WR515/1000</f>
        <v>0</v>
      </c>
      <c r="F37" s="75">
        <f>'P &amp; NP'!$WT515/1000</f>
        <v>0</v>
      </c>
      <c r="G37" s="75">
        <f>'P &amp; NP'!$WV515/1000</f>
        <v>0</v>
      </c>
      <c r="H37" s="75">
        <f>'P &amp; NP'!$WX515/1000</f>
        <v>0</v>
      </c>
      <c r="I37" s="75">
        <f>'P &amp; NP'!$WZ515/1000</f>
        <v>0</v>
      </c>
      <c r="J37" s="76">
        <f t="shared" si="2"/>
        <v>0</v>
      </c>
      <c r="K37" s="817">
        <v>0</v>
      </c>
    </row>
    <row r="38" spans="1:13">
      <c r="A38" s="74">
        <v>32</v>
      </c>
      <c r="B38" s="116" t="str">
        <f>'P &amp; NP'!B45</f>
        <v xml:space="preserve">Udang_05 (Udang Lainnya) </v>
      </c>
      <c r="C38" s="75">
        <f>'P &amp; NP'!$WN516/1000</f>
        <v>0</v>
      </c>
      <c r="D38" s="75">
        <f>'P &amp; NP'!$WP516/1000</f>
        <v>0</v>
      </c>
      <c r="E38" s="75">
        <f>'P &amp; NP'!$WR516/1000</f>
        <v>0</v>
      </c>
      <c r="F38" s="75">
        <f>'P &amp; NP'!$WT516/1000</f>
        <v>0</v>
      </c>
      <c r="G38" s="75">
        <f>'P &amp; NP'!$WV516/1000</f>
        <v>0</v>
      </c>
      <c r="H38" s="75">
        <f>'P &amp; NP'!$WX516/1000</f>
        <v>0</v>
      </c>
      <c r="I38" s="75">
        <f>'P &amp; NP'!$WZ516/1000</f>
        <v>0</v>
      </c>
      <c r="J38" s="76">
        <f t="shared" si="2"/>
        <v>0</v>
      </c>
      <c r="K38" s="817">
        <v>0</v>
      </c>
    </row>
    <row r="39" spans="1:13">
      <c r="A39" s="74">
        <v>33</v>
      </c>
      <c r="B39" s="116" t="str">
        <f>'P &amp; NP'!B46</f>
        <v>Ikan_01 (Ikan Lainnya)</v>
      </c>
      <c r="C39" s="815">
        <f>'P &amp; NP'!$WN517/1000</f>
        <v>0.64500000000000002</v>
      </c>
      <c r="D39" s="75">
        <f>'P &amp; NP'!$WP517/1000</f>
        <v>2429.0499115045072</v>
      </c>
      <c r="E39" s="75">
        <f>'P &amp; NP'!$WR517/1000</f>
        <v>0</v>
      </c>
      <c r="F39" s="75">
        <f>'P &amp; NP'!$WT517/1000</f>
        <v>3496.2654526353308</v>
      </c>
      <c r="G39" s="75">
        <f>'P &amp; NP'!$WV517/1000</f>
        <v>0</v>
      </c>
      <c r="H39" s="75">
        <f>'P &amp; NP'!$WX517/1000</f>
        <v>0</v>
      </c>
      <c r="I39" s="75">
        <f>'P &amp; NP'!$WZ517/1000</f>
        <v>0</v>
      </c>
      <c r="J39" s="76">
        <f t="shared" si="2"/>
        <v>5925.960364139838</v>
      </c>
      <c r="K39" s="817">
        <v>0</v>
      </c>
    </row>
    <row r="40" spans="1:13">
      <c r="A40" s="74">
        <v>34</v>
      </c>
      <c r="B40" s="116" t="str">
        <f>'P &amp; NP'!B47</f>
        <v>Ikan_02 (Tiram)</v>
      </c>
      <c r="C40" s="75">
        <f>'P &amp; NP'!$WN518/1000</f>
        <v>15.414999999999999</v>
      </c>
      <c r="D40" s="75">
        <f>'P &amp; NP'!$WP518/1000</f>
        <v>0</v>
      </c>
      <c r="E40" s="75">
        <f>'P &amp; NP'!$WR518/1000</f>
        <v>0</v>
      </c>
      <c r="F40" s="75">
        <f>'P &amp; NP'!$WT518/1000</f>
        <v>0</v>
      </c>
      <c r="G40" s="75">
        <f>'P &amp; NP'!$WV518/1000</f>
        <v>0</v>
      </c>
      <c r="H40" s="75">
        <f>'P &amp; NP'!$WX518/1000</f>
        <v>0</v>
      </c>
      <c r="I40" s="75">
        <f>'P &amp; NP'!$WZ518/1000</f>
        <v>0</v>
      </c>
      <c r="J40" s="816">
        <f>SUM(C40:I40)</f>
        <v>15.414999999999999</v>
      </c>
      <c r="K40" s="817">
        <v>13000</v>
      </c>
    </row>
    <row r="41" spans="1:13">
      <c r="A41" s="74">
        <v>35</v>
      </c>
      <c r="B41" s="116" t="str">
        <f>'P &amp; NP'!B48</f>
        <v>Ikan_03 (Kerang Darah)</v>
      </c>
      <c r="C41" s="75">
        <f>'P &amp; NP'!$WN519/1000</f>
        <v>0</v>
      </c>
      <c r="D41" s="815">
        <f>'P &amp; NP'!$WP519/1000</f>
        <v>0.8</v>
      </c>
      <c r="E41" s="75">
        <f>'P &amp; NP'!$WR519/1000</f>
        <v>0</v>
      </c>
      <c r="F41" s="75">
        <f>'P &amp; NP'!$WT519/1000</f>
        <v>0</v>
      </c>
      <c r="G41" s="75">
        <f>'P &amp; NP'!$WV519/1000</f>
        <v>0</v>
      </c>
      <c r="H41" s="75">
        <f>'P &amp; NP'!$WX519/1000</f>
        <v>0</v>
      </c>
      <c r="I41" s="75">
        <f>'P &amp; NP'!$WZ519/1000</f>
        <v>0</v>
      </c>
      <c r="J41" s="816">
        <f t="shared" si="2"/>
        <v>0.8</v>
      </c>
      <c r="K41" s="817">
        <v>0</v>
      </c>
    </row>
    <row r="42" spans="1:13">
      <c r="A42" s="74">
        <v>36</v>
      </c>
      <c r="B42" s="116" t="str">
        <f>'P &amp; NP'!B49</f>
        <v>Ikan_04 (Ikan Keting)</v>
      </c>
      <c r="C42" s="75">
        <f>'P &amp; NP'!$WN520/1000</f>
        <v>0</v>
      </c>
      <c r="D42" s="75">
        <f>'P &amp; NP'!$WP520/1000</f>
        <v>1162.9000000000001</v>
      </c>
      <c r="E42" s="75">
        <f>'P &amp; NP'!$WR520/1000</f>
        <v>0</v>
      </c>
      <c r="F42" s="75">
        <f>'P &amp; NP'!$WT520/1000</f>
        <v>0</v>
      </c>
      <c r="G42" s="75">
        <f>'P &amp; NP'!$WV520/1000</f>
        <v>0</v>
      </c>
      <c r="H42" s="75">
        <f>'P &amp; NP'!$WX520/1000</f>
        <v>0</v>
      </c>
      <c r="I42" s="75">
        <f>'P &amp; NP'!$WZ520/1000</f>
        <v>0</v>
      </c>
      <c r="J42" s="76">
        <f t="shared" si="2"/>
        <v>1162.9000000000001</v>
      </c>
      <c r="K42" s="817">
        <v>0</v>
      </c>
    </row>
    <row r="43" spans="1:13" ht="16" thickBot="1">
      <c r="A43" s="74">
        <v>37</v>
      </c>
      <c r="B43" s="116" t="str">
        <f>'P &amp; NP'!B50</f>
        <v>Ikan_05 (Ikan betutu)</v>
      </c>
      <c r="C43" s="75">
        <f>'P &amp; NP'!$WN521/1000</f>
        <v>0</v>
      </c>
      <c r="D43" s="75">
        <f>'P &amp; NP'!$WP521/1000</f>
        <v>0</v>
      </c>
      <c r="E43" s="75">
        <f>'P &amp; NP'!$WR521/1000</f>
        <v>0</v>
      </c>
      <c r="F43" s="75">
        <f>'P &amp; NP'!$WT521/1000</f>
        <v>0</v>
      </c>
      <c r="G43" s="75">
        <f>'P &amp; NP'!$WV521/1000</f>
        <v>605.03</v>
      </c>
      <c r="H43" s="75">
        <f>'P &amp; NP'!$WX521/1000</f>
        <v>0</v>
      </c>
      <c r="I43" s="75">
        <f>'P &amp; NP'!$WZ521/1000</f>
        <v>0</v>
      </c>
      <c r="J43" s="76">
        <f t="shared" si="2"/>
        <v>605.03</v>
      </c>
      <c r="K43" s="817">
        <v>0</v>
      </c>
    </row>
    <row r="44" spans="1:13" s="83" customFormat="1" ht="27" customHeight="1" thickTop="1" thickBot="1">
      <c r="A44" s="80"/>
      <c r="B44" s="81" t="s">
        <v>104</v>
      </c>
      <c r="C44" s="82">
        <f t="shared" ref="C44:J44" si="4">SUM(C7:C43)</f>
        <v>774415.15892607847</v>
      </c>
      <c r="D44" s="82">
        <f t="shared" si="4"/>
        <v>282359.63146421686</v>
      </c>
      <c r="E44" s="82">
        <f t="shared" si="4"/>
        <v>0</v>
      </c>
      <c r="F44" s="82">
        <f t="shared" si="4"/>
        <v>356728.67296641658</v>
      </c>
      <c r="G44" s="82">
        <f t="shared" si="4"/>
        <v>16250.959000366</v>
      </c>
      <c r="H44" s="82">
        <f t="shared" si="4"/>
        <v>6969.1650000000009</v>
      </c>
      <c r="I44" s="82">
        <f t="shared" si="4"/>
        <v>5609.4058600000008</v>
      </c>
      <c r="J44" s="84">
        <f t="shared" si="4"/>
        <v>1442332.9932170778</v>
      </c>
      <c r="M44" s="626">
        <v>751632.68680211832</v>
      </c>
    </row>
    <row r="45" spans="1:13">
      <c r="C45" s="58"/>
      <c r="D45" s="58"/>
      <c r="E45" s="58"/>
      <c r="F45" s="58"/>
      <c r="G45" s="61"/>
      <c r="H45" s="61"/>
      <c r="I45" s="61"/>
      <c r="M45" s="627">
        <v>278560.49653227261</v>
      </c>
    </row>
    <row r="46" spans="1:13">
      <c r="M46" s="627">
        <v>306821.85029850143</v>
      </c>
    </row>
    <row r="47" spans="1:13">
      <c r="M47" s="627">
        <v>55154.750999999997</v>
      </c>
    </row>
    <row r="48" spans="1:13">
      <c r="A48" s="916" t="s">
        <v>508</v>
      </c>
      <c r="B48" s="916"/>
      <c r="C48" s="916"/>
      <c r="D48" s="916"/>
      <c r="E48" s="916"/>
      <c r="F48" s="916"/>
      <c r="G48" s="916"/>
      <c r="H48" s="916"/>
      <c r="I48" s="916"/>
      <c r="J48" s="916"/>
      <c r="M48" s="627">
        <v>6954.5140000000001</v>
      </c>
    </row>
    <row r="49" spans="1:13" ht="16" thickBot="1">
      <c r="A49" s="67"/>
      <c r="B49" s="68"/>
      <c r="C49" s="68"/>
      <c r="D49" s="68"/>
      <c r="E49" s="68"/>
      <c r="F49" s="68"/>
      <c r="G49" s="68"/>
      <c r="H49" s="68"/>
      <c r="I49" s="68"/>
      <c r="J49" s="69" t="s">
        <v>151</v>
      </c>
      <c r="M49" s="627">
        <v>5556.6275999999998</v>
      </c>
    </row>
    <row r="50" spans="1:13">
      <c r="A50" s="877" t="s">
        <v>0</v>
      </c>
      <c r="B50" s="917" t="s">
        <v>168</v>
      </c>
      <c r="C50" s="920" t="s">
        <v>169</v>
      </c>
      <c r="D50" s="921"/>
      <c r="E50" s="921"/>
      <c r="F50" s="921"/>
      <c r="G50" s="921"/>
      <c r="H50" s="921"/>
      <c r="I50" s="921"/>
      <c r="J50" s="924" t="s">
        <v>104</v>
      </c>
    </row>
    <row r="51" spans="1:13">
      <c r="A51" s="878"/>
      <c r="B51" s="918"/>
      <c r="C51" s="922"/>
      <c r="D51" s="923"/>
      <c r="E51" s="923"/>
      <c r="F51" s="923"/>
      <c r="G51" s="923"/>
      <c r="H51" s="923"/>
      <c r="I51" s="923"/>
      <c r="J51" s="925"/>
    </row>
    <row r="52" spans="1:13" ht="28">
      <c r="A52" s="878"/>
      <c r="B52" s="919"/>
      <c r="C52" s="77" t="s">
        <v>152</v>
      </c>
      <c r="D52" s="77" t="s">
        <v>31</v>
      </c>
      <c r="E52" s="748" t="s">
        <v>558</v>
      </c>
      <c r="F52" s="77" t="s">
        <v>32</v>
      </c>
      <c r="G52" s="77" t="s">
        <v>153</v>
      </c>
      <c r="H52" s="77" t="s">
        <v>33</v>
      </c>
      <c r="I52" s="78" t="s">
        <v>154</v>
      </c>
      <c r="J52" s="926"/>
      <c r="M52" s="625">
        <f>M45-278102.68</f>
        <v>457.81653227261268</v>
      </c>
    </row>
    <row r="53" spans="1:13">
      <c r="A53" s="70"/>
      <c r="B53" s="71"/>
      <c r="C53" s="72"/>
      <c r="D53" s="72"/>
      <c r="E53" s="72"/>
      <c r="F53" s="72"/>
      <c r="G53" s="72"/>
      <c r="H53" s="72"/>
      <c r="I53" s="72"/>
      <c r="J53" s="73"/>
    </row>
    <row r="54" spans="1:13">
      <c r="A54" s="74">
        <v>1</v>
      </c>
      <c r="B54" s="116" t="str">
        <f>B7</f>
        <v xml:space="preserve">Bandeng </v>
      </c>
      <c r="C54" s="75">
        <f>'P &amp; NP'!$WO485</f>
        <v>82950</v>
      </c>
      <c r="D54" s="75">
        <f>'P &amp; NP'!$WQ485</f>
        <v>2418077722.0250087</v>
      </c>
      <c r="E54" s="75">
        <f>'P &amp; NP'!$WS485</f>
        <v>0</v>
      </c>
      <c r="F54" s="75">
        <f>'P &amp; NP'!$WU485</f>
        <v>1127615914.8559194</v>
      </c>
      <c r="G54" s="75">
        <f>'P &amp; NP'!$WW485</f>
        <v>99317884</v>
      </c>
      <c r="H54" s="75">
        <f>'P &amp; NP'!$WY485</f>
        <v>0</v>
      </c>
      <c r="I54" s="75">
        <f>'P &amp; NP'!$XA485</f>
        <v>0</v>
      </c>
      <c r="J54" s="76">
        <f>SUM(C54:I54)</f>
        <v>3645094470.880928</v>
      </c>
    </row>
    <row r="55" spans="1:13">
      <c r="A55" s="74">
        <v>2</v>
      </c>
      <c r="B55" s="116" t="str">
        <f t="shared" ref="B55:B89" si="5">B8</f>
        <v xml:space="preserve">Bawal </v>
      </c>
      <c r="C55" s="75">
        <f>'P &amp; NP'!$WO486</f>
        <v>0</v>
      </c>
      <c r="D55" s="75">
        <f>'P &amp; NP'!$WQ486</f>
        <v>0</v>
      </c>
      <c r="E55" s="75">
        <f>'P &amp; NP'!$WS486</f>
        <v>0</v>
      </c>
      <c r="F55" s="75">
        <f>'P &amp; NP'!$WU486</f>
        <v>88378650</v>
      </c>
      <c r="G55" s="75">
        <f>'P &amp; NP'!$WW486</f>
        <v>0</v>
      </c>
      <c r="H55" s="75">
        <f>'P &amp; NP'!$WY486</f>
        <v>5132524</v>
      </c>
      <c r="I55" s="75">
        <f>'P &amp; NP'!$XA486</f>
        <v>0</v>
      </c>
      <c r="J55" s="76">
        <f t="shared" ref="J55:J90" si="6">SUM(C55:I55)</f>
        <v>93511174</v>
      </c>
    </row>
    <row r="56" spans="1:13">
      <c r="A56" s="74">
        <v>3</v>
      </c>
      <c r="B56" s="116" t="str">
        <f t="shared" si="5"/>
        <v xml:space="preserve">Belanak </v>
      </c>
      <c r="C56" s="75">
        <f>'P &amp; NP'!$WO487</f>
        <v>0</v>
      </c>
      <c r="D56" s="75">
        <f>'P &amp; NP'!$WQ487</f>
        <v>36575446</v>
      </c>
      <c r="E56" s="75">
        <f>'P &amp; NP'!$WS487</f>
        <v>0</v>
      </c>
      <c r="F56" s="75">
        <f>'P &amp; NP'!$WU487</f>
        <v>0</v>
      </c>
      <c r="G56" s="75">
        <f>'P &amp; NP'!$WW487</f>
        <v>0</v>
      </c>
      <c r="H56" s="75">
        <f>'P &amp; NP'!$WY487</f>
        <v>0</v>
      </c>
      <c r="I56" s="75">
        <f>'P &amp; NP'!$XA487</f>
        <v>0</v>
      </c>
      <c r="J56" s="76">
        <f t="shared" si="6"/>
        <v>36575446</v>
      </c>
    </row>
    <row r="57" spans="1:13">
      <c r="A57" s="74">
        <v>4</v>
      </c>
      <c r="B57" s="116" t="str">
        <f t="shared" si="5"/>
        <v xml:space="preserve">Eucheuma cottonii </v>
      </c>
      <c r="C57" s="75">
        <f>'P &amp; NP'!$WO488</f>
        <v>3814877372</v>
      </c>
      <c r="D57" s="75">
        <f>'P &amp; NP'!$WQ488</f>
        <v>0</v>
      </c>
      <c r="E57" s="75">
        <f>'P &amp; NP'!$WS488</f>
        <v>0</v>
      </c>
      <c r="F57" s="75">
        <f>'P &amp; NP'!$WU488</f>
        <v>0</v>
      </c>
      <c r="G57" s="75">
        <f>'P &amp; NP'!$WW488</f>
        <v>0</v>
      </c>
      <c r="H57" s="75">
        <f>'P &amp; NP'!$WY488</f>
        <v>0</v>
      </c>
      <c r="I57" s="75">
        <f>'P &amp; NP'!$XA488</f>
        <v>0</v>
      </c>
      <c r="J57" s="76">
        <f t="shared" si="6"/>
        <v>3814877372</v>
      </c>
    </row>
    <row r="58" spans="1:13">
      <c r="A58" s="74">
        <v>5</v>
      </c>
      <c r="B58" s="116" t="str">
        <f t="shared" si="5"/>
        <v xml:space="preserve">Gabus </v>
      </c>
      <c r="C58" s="75">
        <f>'P &amp; NP'!$WO489</f>
        <v>0</v>
      </c>
      <c r="D58" s="75">
        <f>'P &amp; NP'!$WQ489</f>
        <v>0</v>
      </c>
      <c r="E58" s="75">
        <f>'P &amp; NP'!$WS489</f>
        <v>0</v>
      </c>
      <c r="F58" s="75">
        <f>'P &amp; NP'!$WU489</f>
        <v>9522809</v>
      </c>
      <c r="G58" s="75">
        <f>'P &amp; NP'!$WW489</f>
        <v>0</v>
      </c>
      <c r="H58" s="75">
        <f>'P &amp; NP'!$WY489</f>
        <v>0</v>
      </c>
      <c r="I58" s="75">
        <f>'P &amp; NP'!$XA489</f>
        <v>0</v>
      </c>
      <c r="J58" s="76">
        <f t="shared" si="6"/>
        <v>9522809</v>
      </c>
    </row>
    <row r="59" spans="1:13">
      <c r="A59" s="74">
        <v>6</v>
      </c>
      <c r="B59" s="116" t="str">
        <f t="shared" si="5"/>
        <v xml:space="preserve">Gracilaria verrucosa </v>
      </c>
      <c r="C59" s="75">
        <f>'P &amp; NP'!$WO490</f>
        <v>0</v>
      </c>
      <c r="D59" s="75">
        <f>'P &amp; NP'!$WQ490</f>
        <v>51803979.592139453</v>
      </c>
      <c r="E59" s="75">
        <f>'P &amp; NP'!$WS490</f>
        <v>0</v>
      </c>
      <c r="F59" s="75">
        <f>'P &amp; NP'!$WU490</f>
        <v>50</v>
      </c>
      <c r="G59" s="75">
        <f>'P &amp; NP'!$WW490</f>
        <v>0</v>
      </c>
      <c r="H59" s="75">
        <f>'P &amp; NP'!$WY490</f>
        <v>0</v>
      </c>
      <c r="I59" s="75">
        <f>'P &amp; NP'!$XA490</f>
        <v>0</v>
      </c>
      <c r="J59" s="76">
        <f t="shared" si="6"/>
        <v>51804029.592139453</v>
      </c>
    </row>
    <row r="60" spans="1:13">
      <c r="A60" s="74">
        <v>7</v>
      </c>
      <c r="B60" s="116" t="str">
        <f t="shared" si="5"/>
        <v xml:space="preserve">Gurame, Gurami </v>
      </c>
      <c r="C60" s="75">
        <f>'P &amp; NP'!$WO491</f>
        <v>0</v>
      </c>
      <c r="D60" s="75">
        <f>'P &amp; NP'!$WQ491</f>
        <v>0</v>
      </c>
      <c r="E60" s="75">
        <f>'P &amp; NP'!$WS491</f>
        <v>0</v>
      </c>
      <c r="F60" s="75">
        <f>'P &amp; NP'!$WU491</f>
        <v>1068931897.6225408</v>
      </c>
      <c r="G60" s="75">
        <f>'P &amp; NP'!$WW491</f>
        <v>0</v>
      </c>
      <c r="H60" s="75">
        <f>'P &amp; NP'!$WY491</f>
        <v>4339840</v>
      </c>
      <c r="I60" s="75">
        <f>'P &amp; NP'!$XA491</f>
        <v>0</v>
      </c>
      <c r="J60" s="76">
        <f t="shared" si="6"/>
        <v>1073271737.6225408</v>
      </c>
    </row>
    <row r="61" spans="1:13">
      <c r="A61" s="74">
        <v>8</v>
      </c>
      <c r="B61" s="116" t="str">
        <f t="shared" si="5"/>
        <v>Kakap Putih</v>
      </c>
      <c r="C61" s="75">
        <f>'P &amp; NP'!$WO492</f>
        <v>374525</v>
      </c>
      <c r="D61" s="75">
        <f>'P &amp; NP'!$WQ492</f>
        <v>110600212.86546618</v>
      </c>
      <c r="E61" s="75">
        <f>'P &amp; NP'!$WS492</f>
        <v>0</v>
      </c>
      <c r="F61" s="75">
        <f>'P &amp; NP'!$WU492</f>
        <v>0</v>
      </c>
      <c r="G61" s="75">
        <f>'P &amp; NP'!$WW492</f>
        <v>0</v>
      </c>
      <c r="H61" s="75">
        <f>'P &amp; NP'!$WY492</f>
        <v>0</v>
      </c>
      <c r="I61" s="75">
        <f>'P &amp; NP'!$XA492</f>
        <v>0</v>
      </c>
      <c r="J61" s="76">
        <f t="shared" si="6"/>
        <v>110974737.86546618</v>
      </c>
    </row>
    <row r="62" spans="1:13">
      <c r="A62" s="74">
        <v>9</v>
      </c>
      <c r="B62" s="116" t="str">
        <f t="shared" si="5"/>
        <v>Kepiting  Bakau</v>
      </c>
      <c r="C62" s="75">
        <f>'P &amp; NP'!$WO493</f>
        <v>0</v>
      </c>
      <c r="D62" s="75">
        <f>'P &amp; NP'!$WQ493</f>
        <v>37889402.250673778</v>
      </c>
      <c r="E62" s="75">
        <f>'P &amp; NP'!$WS493</f>
        <v>0</v>
      </c>
      <c r="F62" s="75">
        <f>'P &amp; NP'!$WU493</f>
        <v>0</v>
      </c>
      <c r="G62" s="75">
        <f>'P &amp; NP'!$WW493</f>
        <v>0</v>
      </c>
      <c r="H62" s="75">
        <f>'P &amp; NP'!$WY493</f>
        <v>0</v>
      </c>
      <c r="I62" s="75">
        <f>'P &amp; NP'!$XA493</f>
        <v>0</v>
      </c>
      <c r="J62" s="76">
        <f t="shared" si="6"/>
        <v>37889402.250673778</v>
      </c>
    </row>
    <row r="63" spans="1:13">
      <c r="A63" s="74">
        <v>10</v>
      </c>
      <c r="B63" s="116" t="str">
        <f t="shared" si="5"/>
        <v xml:space="preserve">Kerang Hijau </v>
      </c>
      <c r="C63" s="75">
        <f>'P &amp; NP'!$WO494</f>
        <v>53413466.486336268</v>
      </c>
      <c r="D63" s="75">
        <f>'P &amp; NP'!$WQ494</f>
        <v>0</v>
      </c>
      <c r="E63" s="75">
        <f>'P &amp; NP'!$WS494</f>
        <v>0</v>
      </c>
      <c r="F63" s="75">
        <f>'P &amp; NP'!$WU494</f>
        <v>0</v>
      </c>
      <c r="G63" s="75">
        <f>'P &amp; NP'!$WW494</f>
        <v>0</v>
      </c>
      <c r="H63" s="75">
        <f>'P &amp; NP'!$WY494</f>
        <v>0</v>
      </c>
      <c r="I63" s="75">
        <f>'P &amp; NP'!$XA494</f>
        <v>0</v>
      </c>
      <c r="J63" s="76">
        <f t="shared" si="6"/>
        <v>53413466.486336268</v>
      </c>
    </row>
    <row r="64" spans="1:13">
      <c r="A64" s="74">
        <v>11</v>
      </c>
      <c r="B64" s="116" t="str">
        <f t="shared" si="5"/>
        <v>Kerapu Cantang</v>
      </c>
      <c r="C64" s="75">
        <f>'P &amp; NP'!$WO495</f>
        <v>39731106.5</v>
      </c>
      <c r="D64" s="75">
        <f>'P &amp; NP'!$WQ495</f>
        <v>107303768.24082008</v>
      </c>
      <c r="E64" s="75">
        <f>'P &amp; NP'!$WS495</f>
        <v>0</v>
      </c>
      <c r="F64" s="75">
        <f>'P &amp; NP'!$WU495</f>
        <v>0</v>
      </c>
      <c r="G64" s="75">
        <f>'P &amp; NP'!$WW495</f>
        <v>0</v>
      </c>
      <c r="H64" s="75">
        <f>'P &amp; NP'!$WY495</f>
        <v>0</v>
      </c>
      <c r="I64" s="75">
        <f>'P &amp; NP'!$XA495</f>
        <v>0</v>
      </c>
      <c r="J64" s="76">
        <f t="shared" si="6"/>
        <v>147034874.74082008</v>
      </c>
    </row>
    <row r="65" spans="1:10">
      <c r="A65" s="74">
        <v>12</v>
      </c>
      <c r="B65" s="116" t="str">
        <f t="shared" si="5"/>
        <v>Kerapu Macan</v>
      </c>
      <c r="C65" s="75">
        <f>'P &amp; NP'!$WO496</f>
        <v>80853400</v>
      </c>
      <c r="D65" s="75">
        <f>'P &amp; NP'!$WQ496</f>
        <v>106337775.873</v>
      </c>
      <c r="E65" s="75">
        <f>'P &amp; NP'!$WS496</f>
        <v>0</v>
      </c>
      <c r="F65" s="75">
        <f>'P &amp; NP'!$WU496</f>
        <v>0</v>
      </c>
      <c r="G65" s="75">
        <f>'P &amp; NP'!$WW496</f>
        <v>0</v>
      </c>
      <c r="H65" s="75">
        <f>'P &amp; NP'!$WY496</f>
        <v>0</v>
      </c>
      <c r="I65" s="75">
        <f>'P &amp; NP'!$XA496</f>
        <v>0</v>
      </c>
      <c r="J65" s="76">
        <f t="shared" si="6"/>
        <v>187191175.873</v>
      </c>
    </row>
    <row r="66" spans="1:10">
      <c r="A66" s="74">
        <v>13</v>
      </c>
      <c r="B66" s="116" t="str">
        <f t="shared" si="5"/>
        <v>Kerong Kerong</v>
      </c>
      <c r="C66" s="75">
        <f>'P &amp; NP'!$WO497</f>
        <v>0</v>
      </c>
      <c r="D66" s="75">
        <f>'P &amp; NP'!$WQ497</f>
        <v>0</v>
      </c>
      <c r="E66" s="75">
        <f>'P &amp; NP'!$WS497</f>
        <v>0</v>
      </c>
      <c r="F66" s="75">
        <f>'P &amp; NP'!$WU497</f>
        <v>10693740</v>
      </c>
      <c r="G66" s="75">
        <f>'P &amp; NP'!$WW497</f>
        <v>0</v>
      </c>
      <c r="H66" s="75">
        <f>'P &amp; NP'!$WY497</f>
        <v>0</v>
      </c>
      <c r="I66" s="75">
        <f>'P &amp; NP'!$XA497</f>
        <v>0</v>
      </c>
      <c r="J66" s="76">
        <f t="shared" si="6"/>
        <v>10693740</v>
      </c>
    </row>
    <row r="67" spans="1:10">
      <c r="A67" s="74">
        <v>14</v>
      </c>
      <c r="B67" s="116" t="str">
        <f t="shared" si="5"/>
        <v xml:space="preserve">Lele </v>
      </c>
      <c r="C67" s="75">
        <f>'P &amp; NP'!$WO498</f>
        <v>0</v>
      </c>
      <c r="D67" s="75">
        <f>'P &amp; NP'!$WQ498</f>
        <v>0</v>
      </c>
      <c r="E67" s="75">
        <f>'P &amp; NP'!$WS498</f>
        <v>0</v>
      </c>
      <c r="F67" s="75">
        <f>'P &amp; NP'!$WU498</f>
        <v>2911529171.2117858</v>
      </c>
      <c r="G67" s="75">
        <f>'P &amp; NP'!$WW498</f>
        <v>0</v>
      </c>
      <c r="H67" s="75">
        <f>'P &amp; NP'!$WY498</f>
        <v>51249004</v>
      </c>
      <c r="I67" s="75">
        <f>'P &amp; NP'!$XA498</f>
        <v>1751804</v>
      </c>
      <c r="J67" s="76">
        <f t="shared" si="6"/>
        <v>2964529979.2117858</v>
      </c>
    </row>
    <row r="68" spans="1:10">
      <c r="A68" s="74">
        <v>15</v>
      </c>
      <c r="B68" s="116" t="str">
        <f t="shared" si="5"/>
        <v xml:space="preserve">Lobster Air Laut </v>
      </c>
      <c r="C68" s="75">
        <f>'P &amp; NP'!$WO499</f>
        <v>4328440</v>
      </c>
      <c r="D68" s="75">
        <f>'P &amp; NP'!$WQ499</f>
        <v>0</v>
      </c>
      <c r="E68" s="75">
        <f>'P &amp; NP'!$WS499</f>
        <v>0</v>
      </c>
      <c r="F68" s="75">
        <f>'P &amp; NP'!$WU499</f>
        <v>0</v>
      </c>
      <c r="G68" s="75">
        <f>'P &amp; NP'!$WW499</f>
        <v>0</v>
      </c>
      <c r="H68" s="75">
        <f>'P &amp; NP'!$WY499</f>
        <v>0</v>
      </c>
      <c r="I68" s="75">
        <f>'P &amp; NP'!$XA499</f>
        <v>0</v>
      </c>
      <c r="J68" s="76">
        <f t="shared" si="6"/>
        <v>4328440</v>
      </c>
    </row>
    <row r="69" spans="1:10">
      <c r="A69" s="74">
        <v>16</v>
      </c>
      <c r="B69" s="116" t="str">
        <f t="shared" si="5"/>
        <v xml:space="preserve">Lobster Air Tawar, Cherax </v>
      </c>
      <c r="C69" s="75">
        <f>'P &amp; NP'!$WO500</f>
        <v>0</v>
      </c>
      <c r="D69" s="75">
        <f>'P &amp; NP'!$WQ500</f>
        <v>0</v>
      </c>
      <c r="E69" s="75">
        <f>'P &amp; NP'!$WS500</f>
        <v>0</v>
      </c>
      <c r="F69" s="75">
        <f>'P &amp; NP'!$WU500</f>
        <v>284500</v>
      </c>
      <c r="G69" s="75">
        <f>'P &amp; NP'!$WW500</f>
        <v>0</v>
      </c>
      <c r="H69" s="75">
        <f>'P &amp; NP'!$WY500</f>
        <v>0</v>
      </c>
      <c r="I69" s="75">
        <f>'P &amp; NP'!$XA500</f>
        <v>0</v>
      </c>
      <c r="J69" s="76">
        <f t="shared" si="6"/>
        <v>284500</v>
      </c>
    </row>
    <row r="70" spans="1:10">
      <c r="A70" s="74">
        <v>17</v>
      </c>
      <c r="B70" s="116" t="str">
        <f t="shared" si="5"/>
        <v xml:space="preserve">Mas, Ikan Mas, Karper </v>
      </c>
      <c r="C70" s="75">
        <f>'P &amp; NP'!$WO501</f>
        <v>0</v>
      </c>
      <c r="D70" s="75">
        <f>'P &amp; NP'!$WQ501</f>
        <v>333</v>
      </c>
      <c r="E70" s="75">
        <f>'P &amp; NP'!$WS501</f>
        <v>0</v>
      </c>
      <c r="F70" s="75">
        <f>'P &amp; NP'!$WU501</f>
        <v>93205662.211789981</v>
      </c>
      <c r="G70" s="75">
        <f>'P &amp; NP'!$WW501</f>
        <v>31442409</v>
      </c>
      <c r="H70" s="75">
        <f>'P &amp; NP'!$WY501</f>
        <v>26609165</v>
      </c>
      <c r="I70" s="75">
        <f>'P &amp; NP'!$XA501</f>
        <v>171335</v>
      </c>
      <c r="J70" s="76">
        <f t="shared" si="6"/>
        <v>151428904.21178997</v>
      </c>
    </row>
    <row r="71" spans="1:10">
      <c r="A71" s="74">
        <v>18</v>
      </c>
      <c r="B71" s="116" t="str">
        <f t="shared" si="5"/>
        <v xml:space="preserve">Mujair </v>
      </c>
      <c r="C71" s="75">
        <f>'P &amp; NP'!$WO502</f>
        <v>0</v>
      </c>
      <c r="D71" s="75">
        <f>'P &amp; NP'!$WQ502</f>
        <v>125581675.64999387</v>
      </c>
      <c r="E71" s="75">
        <f>'P &amp; NP'!$WS502</f>
        <v>0</v>
      </c>
      <c r="F71" s="75">
        <f>'P &amp; NP'!$WU502</f>
        <v>62242582.352229565</v>
      </c>
      <c r="G71" s="75">
        <f>'P &amp; NP'!$WW502</f>
        <v>421440</v>
      </c>
      <c r="H71" s="75">
        <f>'P &amp; NP'!$WY502</f>
        <v>0</v>
      </c>
      <c r="I71" s="75">
        <f>'P &amp; NP'!$XA502</f>
        <v>0</v>
      </c>
      <c r="J71" s="76">
        <f t="shared" si="6"/>
        <v>188245698.00222343</v>
      </c>
    </row>
    <row r="72" spans="1:10">
      <c r="A72" s="74">
        <v>19</v>
      </c>
      <c r="B72" s="116" t="str">
        <f t="shared" si="5"/>
        <v xml:space="preserve">Nila </v>
      </c>
      <c r="C72" s="75">
        <f>'P &amp; NP'!$WO503</f>
        <v>0</v>
      </c>
      <c r="D72" s="75">
        <f>'P &amp; NP'!$WQ503</f>
        <v>363974007.48519802</v>
      </c>
      <c r="E72" s="75">
        <f>'P &amp; NP'!$WS503</f>
        <v>0</v>
      </c>
      <c r="F72" s="75">
        <f>'P &amp; NP'!$WU503</f>
        <v>551418462.05495596</v>
      </c>
      <c r="G72" s="75">
        <f>'P &amp; NP'!$WW503</f>
        <v>48664051.015000001</v>
      </c>
      <c r="H72" s="75">
        <f>'P &amp; NP'!$WY503</f>
        <v>31609520</v>
      </c>
      <c r="I72" s="75">
        <f>'P &amp; NP'!$XA503</f>
        <v>129150431</v>
      </c>
      <c r="J72" s="76">
        <f t="shared" si="6"/>
        <v>1124816471.5551538</v>
      </c>
    </row>
    <row r="73" spans="1:10">
      <c r="A73" s="74">
        <v>20</v>
      </c>
      <c r="B73" s="116" t="str">
        <f t="shared" si="5"/>
        <v xml:space="preserve">Patin </v>
      </c>
      <c r="C73" s="75">
        <f>'P &amp; NP'!$WO504</f>
        <v>0</v>
      </c>
      <c r="D73" s="75">
        <f>'P &amp; NP'!$WQ504</f>
        <v>0</v>
      </c>
      <c r="E73" s="75">
        <f>'P &amp; NP'!$WS504</f>
        <v>0</v>
      </c>
      <c r="F73" s="75">
        <f>'P &amp; NP'!$WU504</f>
        <v>518420506.49985027</v>
      </c>
      <c r="G73" s="75">
        <f>'P &amp; NP'!$WW504</f>
        <v>194850</v>
      </c>
      <c r="H73" s="75">
        <f>'P &amp; NP'!$WY504</f>
        <v>10107194</v>
      </c>
      <c r="I73" s="75">
        <f>'P &amp; NP'!$XA504</f>
        <v>1466030</v>
      </c>
      <c r="J73" s="76">
        <f t="shared" si="6"/>
        <v>530188580.49985027</v>
      </c>
    </row>
    <row r="74" spans="1:10">
      <c r="A74" s="74">
        <v>21</v>
      </c>
      <c r="B74" s="116" t="str">
        <f t="shared" si="5"/>
        <v xml:space="preserve">Rajungan </v>
      </c>
      <c r="C74" s="75">
        <f>'P &amp; NP'!$WO505</f>
        <v>0</v>
      </c>
      <c r="D74" s="75">
        <f>'P &amp; NP'!$WQ505</f>
        <v>0</v>
      </c>
      <c r="E74" s="75">
        <f>'P &amp; NP'!$WS505</f>
        <v>0</v>
      </c>
      <c r="F74" s="75">
        <f>'P &amp; NP'!$WU505</f>
        <v>0</v>
      </c>
      <c r="G74" s="75">
        <f>'P &amp; NP'!$WW505</f>
        <v>0</v>
      </c>
      <c r="H74" s="75">
        <f>'P &amp; NP'!$WY505</f>
        <v>0</v>
      </c>
      <c r="I74" s="75">
        <f>'P &amp; NP'!$XA505</f>
        <v>0</v>
      </c>
      <c r="J74" s="76">
        <f t="shared" si="6"/>
        <v>0</v>
      </c>
    </row>
    <row r="75" spans="1:10">
      <c r="A75" s="74">
        <v>22</v>
      </c>
      <c r="B75" s="116" t="str">
        <f t="shared" si="5"/>
        <v>Tawes</v>
      </c>
      <c r="C75" s="75">
        <f>'P &amp; NP'!$WO506</f>
        <v>0</v>
      </c>
      <c r="D75" s="75">
        <f>'P &amp; NP'!$WQ506</f>
        <v>0</v>
      </c>
      <c r="E75" s="75">
        <f>'P &amp; NP'!$WS506</f>
        <v>0</v>
      </c>
      <c r="F75" s="75">
        <f>'P &amp; NP'!$WU506</f>
        <v>101838359.15618733</v>
      </c>
      <c r="G75" s="75">
        <f>'P &amp; NP'!$WW506</f>
        <v>22350080</v>
      </c>
      <c r="H75" s="75">
        <f>'P &amp; NP'!$WY506</f>
        <v>31232</v>
      </c>
      <c r="I75" s="75">
        <f>'P &amp; NP'!$XA506</f>
        <v>139970</v>
      </c>
      <c r="J75" s="76">
        <f t="shared" si="6"/>
        <v>124359641.15618733</v>
      </c>
    </row>
    <row r="76" spans="1:10">
      <c r="A76" s="74">
        <v>23</v>
      </c>
      <c r="B76" s="116" t="str">
        <f t="shared" si="5"/>
        <v>Teri</v>
      </c>
      <c r="C76" s="75">
        <f>'P &amp; NP'!$WO507</f>
        <v>0</v>
      </c>
      <c r="D76" s="75">
        <f>'P &amp; NP'!$WQ507</f>
        <v>80100</v>
      </c>
      <c r="E76" s="75">
        <f>'P &amp; NP'!$WS507</f>
        <v>0</v>
      </c>
      <c r="F76" s="75">
        <f>'P &amp; NP'!$WU507</f>
        <v>0</v>
      </c>
      <c r="G76" s="75">
        <f>'P &amp; NP'!$WW507</f>
        <v>0</v>
      </c>
      <c r="H76" s="75">
        <f>'P &amp; NP'!$WY507</f>
        <v>0</v>
      </c>
      <c r="I76" s="75">
        <f>'P &amp; NP'!$XA507</f>
        <v>0</v>
      </c>
      <c r="J76" s="76">
        <f t="shared" si="6"/>
        <v>80100</v>
      </c>
    </row>
    <row r="77" spans="1:10">
      <c r="A77" s="74">
        <v>24</v>
      </c>
      <c r="B77" s="116" t="str">
        <f t="shared" si="5"/>
        <v xml:space="preserve">Udang Galah </v>
      </c>
      <c r="C77" s="75">
        <f>'P &amp; NP'!$WO508</f>
        <v>0</v>
      </c>
      <c r="D77" s="75">
        <f>'P &amp; NP'!$WQ508</f>
        <v>0</v>
      </c>
      <c r="E77" s="75">
        <f>'P &amp; NP'!$WS508</f>
        <v>0</v>
      </c>
      <c r="F77" s="75">
        <f>'P &amp; NP'!$WU508</f>
        <v>0</v>
      </c>
      <c r="G77" s="75">
        <f>'P &amp; NP'!$WW508</f>
        <v>0</v>
      </c>
      <c r="H77" s="75">
        <f>'P &amp; NP'!$WY508</f>
        <v>0</v>
      </c>
      <c r="I77" s="75">
        <f>'P &amp; NP'!$XA508</f>
        <v>0</v>
      </c>
      <c r="J77" s="76">
        <f t="shared" si="6"/>
        <v>0</v>
      </c>
    </row>
    <row r="78" spans="1:10">
      <c r="A78" s="74">
        <v>25</v>
      </c>
      <c r="B78" s="116" t="str">
        <f t="shared" si="5"/>
        <v>Udang Putih</v>
      </c>
      <c r="C78" s="75">
        <f>'P &amp; NP'!$WO509</f>
        <v>0</v>
      </c>
      <c r="D78" s="75">
        <f>'P &amp; NP'!$WQ509</f>
        <v>139269710</v>
      </c>
      <c r="E78" s="75">
        <f>'P &amp; NP'!$WS509</f>
        <v>0</v>
      </c>
      <c r="F78" s="75">
        <f>'P &amp; NP'!$WU509</f>
        <v>0</v>
      </c>
      <c r="G78" s="75">
        <f>'P &amp; NP'!$WW509</f>
        <v>0</v>
      </c>
      <c r="H78" s="75">
        <f>'P &amp; NP'!$WY509</f>
        <v>0</v>
      </c>
      <c r="I78" s="75">
        <f>'P &amp; NP'!$XA509</f>
        <v>0</v>
      </c>
      <c r="J78" s="76">
        <f t="shared" si="6"/>
        <v>139269710</v>
      </c>
    </row>
    <row r="79" spans="1:10">
      <c r="A79" s="74">
        <v>26</v>
      </c>
      <c r="B79" s="116" t="str">
        <f t="shared" si="5"/>
        <v xml:space="preserve">Udang Vaname </v>
      </c>
      <c r="C79" s="75">
        <f>'P &amp; NP'!$WO510</f>
        <v>0</v>
      </c>
      <c r="D79" s="75">
        <f>'P &amp; NP'!$WQ510</f>
        <v>5403050248.2099533</v>
      </c>
      <c r="E79" s="75">
        <f>'P &amp; NP'!$WS510</f>
        <v>0</v>
      </c>
      <c r="F79" s="75">
        <f>'P &amp; NP'!$WU510</f>
        <v>602025678</v>
      </c>
      <c r="G79" s="75">
        <f>'P &amp; NP'!$WW510</f>
        <v>229946900</v>
      </c>
      <c r="H79" s="75">
        <f>'P &amp; NP'!$WY510</f>
        <v>0</v>
      </c>
      <c r="I79" s="75">
        <f>'P &amp; NP'!$XA510</f>
        <v>0</v>
      </c>
      <c r="J79" s="76">
        <f t="shared" si="6"/>
        <v>6235022826.2099533</v>
      </c>
    </row>
    <row r="80" spans="1:10">
      <c r="A80" s="74">
        <v>27</v>
      </c>
      <c r="B80" s="116" t="str">
        <f t="shared" si="5"/>
        <v xml:space="preserve">Udang Windu </v>
      </c>
      <c r="C80" s="75">
        <f>'P &amp; NP'!$WO511</f>
        <v>0</v>
      </c>
      <c r="D80" s="75">
        <f>'P &amp; NP'!$WQ511</f>
        <v>649707624.78971636</v>
      </c>
      <c r="E80" s="75">
        <f>'P &amp; NP'!$WS511</f>
        <v>0</v>
      </c>
      <c r="F80" s="75">
        <f>'P &amp; NP'!$WU511</f>
        <v>0</v>
      </c>
      <c r="G80" s="75">
        <f>'P &amp; NP'!$WW511</f>
        <v>0</v>
      </c>
      <c r="H80" s="75">
        <f>'P &amp; NP'!$WY511</f>
        <v>0</v>
      </c>
      <c r="I80" s="75">
        <f>'P &amp; NP'!$XA511</f>
        <v>0</v>
      </c>
      <c r="J80" s="76">
        <f t="shared" si="6"/>
        <v>649707624.78971636</v>
      </c>
    </row>
    <row r="81" spans="1:10">
      <c r="A81" s="74">
        <v>28</v>
      </c>
      <c r="B81" s="116" t="str">
        <f t="shared" si="5"/>
        <v xml:space="preserve">Udang_01 (Udang Api-Api) </v>
      </c>
      <c r="C81" s="75">
        <f>'P &amp; NP'!$WO512</f>
        <v>0</v>
      </c>
      <c r="D81" s="75">
        <f>'P &amp; NP'!$WQ512</f>
        <v>34993745</v>
      </c>
      <c r="E81" s="75">
        <f>'P &amp; NP'!$WS512</f>
        <v>0</v>
      </c>
      <c r="F81" s="75">
        <f>'P &amp; NP'!$WU512</f>
        <v>0</v>
      </c>
      <c r="G81" s="75">
        <f>'P &amp; NP'!$WW512</f>
        <v>0</v>
      </c>
      <c r="H81" s="75">
        <f>'P &amp; NP'!$WY512</f>
        <v>0</v>
      </c>
      <c r="I81" s="75">
        <f>'P &amp; NP'!$XA512</f>
        <v>0</v>
      </c>
      <c r="J81" s="76">
        <f t="shared" si="6"/>
        <v>34993745</v>
      </c>
    </row>
    <row r="82" spans="1:10">
      <c r="A82" s="74">
        <v>29</v>
      </c>
      <c r="B82" s="116" t="str">
        <f t="shared" si="5"/>
        <v xml:space="preserve">Udang_02 (Udang Rebon) </v>
      </c>
      <c r="C82" s="75">
        <f>'P &amp; NP'!$WO513</f>
        <v>0</v>
      </c>
      <c r="D82" s="75">
        <f>'P &amp; NP'!$WQ513</f>
        <v>68400040</v>
      </c>
      <c r="E82" s="75">
        <f>'P &amp; NP'!$WS513</f>
        <v>0</v>
      </c>
      <c r="F82" s="75">
        <f>'P &amp; NP'!$WU513</f>
        <v>0</v>
      </c>
      <c r="G82" s="75">
        <f>'P &amp; NP'!$WW513</f>
        <v>0</v>
      </c>
      <c r="H82" s="75">
        <f>'P &amp; NP'!$WY513</f>
        <v>0</v>
      </c>
      <c r="I82" s="75">
        <f>'P &amp; NP'!$XA513</f>
        <v>0</v>
      </c>
      <c r="J82" s="76">
        <f t="shared" si="6"/>
        <v>68400040</v>
      </c>
    </row>
    <row r="83" spans="1:10">
      <c r="A83" s="74">
        <v>30</v>
      </c>
      <c r="B83" s="116" t="str">
        <f t="shared" si="5"/>
        <v xml:space="preserve">Belut Sawah </v>
      </c>
      <c r="C83" s="75">
        <f>'P &amp; NP'!$WO514</f>
        <v>0</v>
      </c>
      <c r="D83" s="75">
        <f>'P &amp; NP'!$WQ514</f>
        <v>0</v>
      </c>
      <c r="E83" s="75">
        <f>'P &amp; NP'!$WS514</f>
        <v>0</v>
      </c>
      <c r="F83" s="75">
        <f>'P &amp; NP'!$WU514</f>
        <v>19500</v>
      </c>
      <c r="G83" s="75">
        <f>'P &amp; NP'!$WW514</f>
        <v>0</v>
      </c>
      <c r="H83" s="75">
        <f>'P &amp; NP'!$WY514</f>
        <v>0</v>
      </c>
      <c r="I83" s="75">
        <f>'P &amp; NP'!$XA514</f>
        <v>0</v>
      </c>
      <c r="J83" s="76">
        <f t="shared" si="6"/>
        <v>19500</v>
      </c>
    </row>
    <row r="84" spans="1:10">
      <c r="A84" s="74">
        <v>31</v>
      </c>
      <c r="B84" s="116" t="str">
        <f t="shared" si="5"/>
        <v xml:space="preserve">Udang_04 (Udang Lainnya) </v>
      </c>
      <c r="C84" s="75">
        <f>'P &amp; NP'!$WO515</f>
        <v>0</v>
      </c>
      <c r="D84" s="75">
        <f>'P &amp; NP'!$WQ515</f>
        <v>0</v>
      </c>
      <c r="E84" s="75">
        <f>'P &amp; NP'!$WS515</f>
        <v>0</v>
      </c>
      <c r="F84" s="75">
        <f>'P &amp; NP'!$WU515</f>
        <v>0</v>
      </c>
      <c r="G84" s="75">
        <f>'P &amp; NP'!$WW515</f>
        <v>0</v>
      </c>
      <c r="H84" s="75">
        <f>'P &amp; NP'!$WY515</f>
        <v>0</v>
      </c>
      <c r="I84" s="75">
        <f>'P &amp; NP'!$XA515</f>
        <v>0</v>
      </c>
      <c r="J84" s="76">
        <f t="shared" si="6"/>
        <v>0</v>
      </c>
    </row>
    <row r="85" spans="1:10">
      <c r="A85" s="74">
        <v>32</v>
      </c>
      <c r="B85" s="116" t="str">
        <f t="shared" si="5"/>
        <v xml:space="preserve">Udang_05 (Udang Lainnya) </v>
      </c>
      <c r="C85" s="75">
        <f>'P &amp; NP'!$WO516</f>
        <v>0</v>
      </c>
      <c r="D85" s="75">
        <f>'P &amp; NP'!$WQ516</f>
        <v>0</v>
      </c>
      <c r="E85" s="75">
        <f>'P &amp; NP'!$WS516</f>
        <v>0</v>
      </c>
      <c r="F85" s="75">
        <f>'P &amp; NP'!$WU516</f>
        <v>0</v>
      </c>
      <c r="G85" s="75">
        <f>'P &amp; NP'!$WW516</f>
        <v>0</v>
      </c>
      <c r="H85" s="75">
        <f>'P &amp; NP'!$WY516</f>
        <v>0</v>
      </c>
      <c r="I85" s="75">
        <f>'P &amp; NP'!$XA516</f>
        <v>0</v>
      </c>
      <c r="J85" s="76">
        <f t="shared" si="6"/>
        <v>0</v>
      </c>
    </row>
    <row r="86" spans="1:10">
      <c r="A86" s="74">
        <v>33</v>
      </c>
      <c r="B86" s="116" t="str">
        <f t="shared" si="5"/>
        <v>Ikan_01 (Ikan Lainnya)</v>
      </c>
      <c r="C86" s="75">
        <f>'P &amp; NP'!$WO517</f>
        <v>225750</v>
      </c>
      <c r="D86" s="75">
        <f>'P &amp; NP'!$WQ517</f>
        <v>9722668.538235195</v>
      </c>
      <c r="E86" s="75">
        <f>'P &amp; NP'!$WS517</f>
        <v>0</v>
      </c>
      <c r="F86" s="75">
        <f>'P &amp; NP'!$WU517</f>
        <v>14461385.303656366</v>
      </c>
      <c r="G86" s="75">
        <f>'P &amp; NP'!$WW517</f>
        <v>0</v>
      </c>
      <c r="H86" s="75">
        <f>'P &amp; NP'!$WY517</f>
        <v>0</v>
      </c>
      <c r="I86" s="75">
        <f>'P &amp; NP'!$XA517</f>
        <v>0</v>
      </c>
      <c r="J86" s="76">
        <f t="shared" si="6"/>
        <v>24409803.841891561</v>
      </c>
    </row>
    <row r="87" spans="1:10">
      <c r="A87" s="74">
        <v>34</v>
      </c>
      <c r="B87" s="116" t="str">
        <f t="shared" si="5"/>
        <v>Ikan_02 (Tiram)</v>
      </c>
      <c r="C87" s="75">
        <f>'P &amp; NP'!$WO518</f>
        <v>154150</v>
      </c>
      <c r="D87" s="75">
        <f>'P &amp; NP'!$WQ518</f>
        <v>0</v>
      </c>
      <c r="E87" s="75">
        <f>'P &amp; NP'!$WS518</f>
        <v>0</v>
      </c>
      <c r="F87" s="75">
        <f>'P &amp; NP'!$WU518</f>
        <v>0</v>
      </c>
      <c r="G87" s="75">
        <f>'P &amp; NP'!$WW518</f>
        <v>0</v>
      </c>
      <c r="H87" s="75">
        <f>'P &amp; NP'!$WY518</f>
        <v>0</v>
      </c>
      <c r="I87" s="75">
        <f>'P &amp; NP'!$XA518</f>
        <v>0</v>
      </c>
      <c r="J87" s="76">
        <f t="shared" si="6"/>
        <v>154150</v>
      </c>
    </row>
    <row r="88" spans="1:10">
      <c r="A88" s="74">
        <v>35</v>
      </c>
      <c r="B88" s="116" t="str">
        <f t="shared" si="5"/>
        <v>Ikan_03 (Kerang Darah)</v>
      </c>
      <c r="C88" s="75">
        <f>'P &amp; NP'!$WO519</f>
        <v>0</v>
      </c>
      <c r="D88" s="75">
        <f>'P &amp; NP'!$WQ519</f>
        <v>80000</v>
      </c>
      <c r="E88" s="75">
        <f>'P &amp; NP'!$WS519</f>
        <v>0</v>
      </c>
      <c r="F88" s="75">
        <f>'P &amp; NP'!$WU519</f>
        <v>0</v>
      </c>
      <c r="G88" s="75">
        <f>'P &amp; NP'!$WW519</f>
        <v>0</v>
      </c>
      <c r="H88" s="75">
        <f>'P &amp; NP'!$WY519</f>
        <v>0</v>
      </c>
      <c r="I88" s="75">
        <f>'P &amp; NP'!$XA519</f>
        <v>0</v>
      </c>
      <c r="J88" s="76">
        <f t="shared" si="6"/>
        <v>80000</v>
      </c>
    </row>
    <row r="89" spans="1:10">
      <c r="A89" s="74">
        <v>36</v>
      </c>
      <c r="B89" s="116" t="str">
        <f t="shared" si="5"/>
        <v>Ikan_04 (Ikan Keting)</v>
      </c>
      <c r="C89" s="75">
        <f>'P &amp; NP'!$WO520</f>
        <v>0</v>
      </c>
      <c r="D89" s="75">
        <f>'P &amp; NP'!$WQ520</f>
        <v>13954800</v>
      </c>
      <c r="E89" s="75">
        <f>'P &amp; NP'!$WS520</f>
        <v>0</v>
      </c>
      <c r="F89" s="75">
        <f>'P &amp; NP'!$WU520</f>
        <v>0</v>
      </c>
      <c r="G89" s="75">
        <f>'P &amp; NP'!$WW520</f>
        <v>0</v>
      </c>
      <c r="H89" s="75">
        <f>'P &amp; NP'!$WY520</f>
        <v>0</v>
      </c>
      <c r="I89" s="75">
        <f>'P &amp; NP'!$XA520</f>
        <v>0</v>
      </c>
      <c r="J89" s="76">
        <f t="shared" si="6"/>
        <v>13954800</v>
      </c>
    </row>
    <row r="90" spans="1:10" ht="16" thickBot="1">
      <c r="A90" s="74">
        <v>37</v>
      </c>
      <c r="B90" s="116" t="str">
        <f>B43</f>
        <v>Ikan_05 (Ikan betutu)</v>
      </c>
      <c r="C90" s="75">
        <f>'P &amp; NP'!$WO521</f>
        <v>0</v>
      </c>
      <c r="D90" s="75">
        <f>'P &amp; NP'!$WQ521</f>
        <v>0</v>
      </c>
      <c r="E90" s="75">
        <f>'P &amp; NP'!$WS521</f>
        <v>0</v>
      </c>
      <c r="F90" s="75">
        <f>'P &amp; NP'!$WU521</f>
        <v>0</v>
      </c>
      <c r="G90" s="75">
        <f>'P &amp; NP'!$WW521</f>
        <v>12100600</v>
      </c>
      <c r="H90" s="75">
        <f>'P &amp; NP'!$WY521</f>
        <v>0</v>
      </c>
      <c r="I90" s="75">
        <f>'P &amp; NP'!$XA521</f>
        <v>0</v>
      </c>
      <c r="J90" s="76">
        <f t="shared" si="6"/>
        <v>12100600</v>
      </c>
    </row>
    <row r="91" spans="1:10" ht="16.5" thickTop="1" thickBot="1">
      <c r="A91" s="80"/>
      <c r="B91" s="81" t="s">
        <v>104</v>
      </c>
      <c r="C91" s="82">
        <f>SUM(C54:C90)</f>
        <v>3994041159.9863362</v>
      </c>
      <c r="D91" s="82">
        <f>SUM(D54:D90)</f>
        <v>9677403259.5202045</v>
      </c>
      <c r="E91" s="82"/>
      <c r="F91" s="82">
        <f>SUM(F54:F90)</f>
        <v>7160588868.2689152</v>
      </c>
      <c r="G91" s="82">
        <f>SUM(G54:G90)</f>
        <v>444438214.01499999</v>
      </c>
      <c r="H91" s="82">
        <f>SUM(H54:H90)</f>
        <v>129078479</v>
      </c>
      <c r="I91" s="82">
        <f>SUM(I54:I90)</f>
        <v>132679570</v>
      </c>
      <c r="J91" s="84">
        <f>SUM(J54:J90)</f>
        <v>21538229550.790459</v>
      </c>
    </row>
  </sheetData>
  <mergeCells count="12">
    <mergeCell ref="A1:J1"/>
    <mergeCell ref="A3:A5"/>
    <mergeCell ref="B3:B5"/>
    <mergeCell ref="C3:I4"/>
    <mergeCell ref="J3:J5"/>
    <mergeCell ref="L3:L5"/>
    <mergeCell ref="M3:M5"/>
    <mergeCell ref="A48:J48"/>
    <mergeCell ref="A50:A52"/>
    <mergeCell ref="B50:B52"/>
    <mergeCell ref="C50:I51"/>
    <mergeCell ref="J50:J52"/>
  </mergeCells>
  <hyperlinks>
    <hyperlink ref="K1" location="'DAFTAR ISI'!A1" display="BACK" xr:uid="{00000000-0004-0000-0800-000000000000}"/>
  </hyperlinks>
  <pageMargins left="0.7" right="0.7" top="0.75" bottom="0.75" header="0.3" footer="0.3"/>
  <pageSetup paperSize="9" scale="49" orientation="portrait" horizontalDpi="4294967293" verticalDpi="360" r:id="rId1"/>
  <rowBreaks count="1" manualBreakCount="1">
    <brk id="4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785A7-D26F-4D58-86A7-A887CA6FC06A}">
  <sheetPr syncVertical="1" syncRef="C20" transitionEvaluation="1">
    <tabColor rgb="FF00B0F0"/>
  </sheetPr>
  <dimension ref="A1:AB98"/>
  <sheetViews>
    <sheetView showGridLines="0" view="pageBreakPreview" zoomScale="80" zoomScaleNormal="100" zoomScaleSheetLayoutView="80" workbookViewId="0">
      <pane xSplit="2" ySplit="8" topLeftCell="C20" activePane="bottomRight" state="frozen"/>
      <selection pane="topRight" activeCell="C1" sqref="C1"/>
      <selection pane="bottomLeft" activeCell="A9" sqref="A9"/>
      <selection pane="bottomRight" activeCell="D20" sqref="D20"/>
    </sheetView>
  </sheetViews>
  <sheetFormatPr defaultColWidth="10.1796875" defaultRowHeight="14"/>
  <cols>
    <col min="1" max="1" width="35" style="210" customWidth="1"/>
    <col min="2" max="2" width="19.453125" style="210" customWidth="1"/>
    <col min="3" max="3" width="18" style="210" customWidth="1"/>
    <col min="4" max="4" width="15.1796875" style="210" customWidth="1"/>
    <col min="5" max="5" width="15.81640625" style="210" bestFit="1" customWidth="1"/>
    <col min="6" max="6" width="14.453125" style="210" customWidth="1"/>
    <col min="7" max="7" width="14.81640625" style="210" customWidth="1"/>
    <col min="8" max="8" width="18.1796875" style="210" bestFit="1" customWidth="1"/>
    <col min="9" max="9" width="16.81640625" style="210" bestFit="1" customWidth="1"/>
    <col min="10" max="10" width="13.1796875" style="210" bestFit="1" customWidth="1"/>
    <col min="11" max="11" width="15.1796875" style="210" bestFit="1" customWidth="1"/>
    <col min="12" max="12" width="18.81640625" style="210" customWidth="1"/>
    <col min="13" max="13" width="15.81640625" style="210" customWidth="1"/>
    <col min="14" max="14" width="15.453125" style="210" customWidth="1"/>
    <col min="15" max="15" width="16.1796875" style="210" bestFit="1" customWidth="1"/>
    <col min="16" max="16" width="18.1796875" style="210" bestFit="1" customWidth="1"/>
    <col min="17" max="17" width="15.1796875" style="210" bestFit="1" customWidth="1"/>
    <col min="18" max="18" width="15.54296875" style="210" customWidth="1"/>
    <col min="19" max="19" width="15.1796875" style="210" bestFit="1" customWidth="1"/>
    <col min="20" max="20" width="12.81640625" style="210" customWidth="1"/>
    <col min="21" max="21" width="13.1796875" style="210" customWidth="1"/>
    <col min="22" max="22" width="16.1796875" style="210" customWidth="1"/>
    <col min="23" max="23" width="18.81640625" style="210" customWidth="1"/>
    <col min="24" max="24" width="30.54296875" style="210" customWidth="1"/>
    <col min="25" max="25" width="29.1796875" style="210" customWidth="1"/>
    <col min="26" max="26" width="29.81640625" style="210" customWidth="1"/>
    <col min="27" max="27" width="29.453125" style="210" customWidth="1"/>
    <col min="28" max="28" width="29.1796875" style="210" customWidth="1"/>
    <col min="29" max="256" width="10.1796875" style="210"/>
    <col min="257" max="257" width="35" style="210" customWidth="1"/>
    <col min="258" max="258" width="19.453125" style="210" customWidth="1"/>
    <col min="259" max="259" width="18" style="210" customWidth="1"/>
    <col min="260" max="260" width="14.453125" style="210" customWidth="1"/>
    <col min="261" max="261" width="15.81640625" style="210" bestFit="1" customWidth="1"/>
    <col min="262" max="262" width="14.453125" style="210" customWidth="1"/>
    <col min="263" max="263" width="13.1796875" style="210" bestFit="1" customWidth="1"/>
    <col min="264" max="264" width="18.1796875" style="210" bestFit="1" customWidth="1"/>
    <col min="265" max="265" width="16.81640625" style="210" bestFit="1" customWidth="1"/>
    <col min="266" max="266" width="13.1796875" style="210" bestFit="1" customWidth="1"/>
    <col min="267" max="267" width="15.1796875" style="210" bestFit="1" customWidth="1"/>
    <col min="268" max="268" width="18.81640625" style="210" customWidth="1"/>
    <col min="269" max="269" width="15.81640625" style="210" customWidth="1"/>
    <col min="270" max="270" width="15.453125" style="210" customWidth="1"/>
    <col min="271" max="271" width="16.1796875" style="210" bestFit="1" customWidth="1"/>
    <col min="272" max="272" width="18.1796875" style="210" bestFit="1" customWidth="1"/>
    <col min="273" max="273" width="15.1796875" style="210" bestFit="1" customWidth="1"/>
    <col min="274" max="274" width="15.54296875" style="210" customWidth="1"/>
    <col min="275" max="275" width="15.1796875" style="210" bestFit="1" customWidth="1"/>
    <col min="276" max="276" width="12.81640625" style="210" customWidth="1"/>
    <col min="277" max="277" width="13.1796875" style="210" customWidth="1"/>
    <col min="278" max="278" width="16.1796875" style="210" customWidth="1"/>
    <col min="279" max="279" width="12" style="210" bestFit="1" customWidth="1"/>
    <col min="280" max="512" width="10.1796875" style="210"/>
    <col min="513" max="513" width="35" style="210" customWidth="1"/>
    <col min="514" max="514" width="19.453125" style="210" customWidth="1"/>
    <col min="515" max="515" width="18" style="210" customWidth="1"/>
    <col min="516" max="516" width="14.453125" style="210" customWidth="1"/>
    <col min="517" max="517" width="15.81640625" style="210" bestFit="1" customWidth="1"/>
    <col min="518" max="518" width="14.453125" style="210" customWidth="1"/>
    <col min="519" max="519" width="13.1796875" style="210" bestFit="1" customWidth="1"/>
    <col min="520" max="520" width="18.1796875" style="210" bestFit="1" customWidth="1"/>
    <col min="521" max="521" width="16.81640625" style="210" bestFit="1" customWidth="1"/>
    <col min="522" max="522" width="13.1796875" style="210" bestFit="1" customWidth="1"/>
    <col min="523" max="523" width="15.1796875" style="210" bestFit="1" customWidth="1"/>
    <col min="524" max="524" width="18.81640625" style="210" customWidth="1"/>
    <col min="525" max="525" width="15.81640625" style="210" customWidth="1"/>
    <col min="526" max="526" width="15.453125" style="210" customWidth="1"/>
    <col min="527" max="527" width="16.1796875" style="210" bestFit="1" customWidth="1"/>
    <col min="528" max="528" width="18.1796875" style="210" bestFit="1" customWidth="1"/>
    <col min="529" max="529" width="15.1796875" style="210" bestFit="1" customWidth="1"/>
    <col min="530" max="530" width="15.54296875" style="210" customWidth="1"/>
    <col min="531" max="531" width="15.1796875" style="210" bestFit="1" customWidth="1"/>
    <col min="532" max="532" width="12.81640625" style="210" customWidth="1"/>
    <col min="533" max="533" width="13.1796875" style="210" customWidth="1"/>
    <col min="534" max="534" width="16.1796875" style="210" customWidth="1"/>
    <col min="535" max="535" width="12" style="210" bestFit="1" customWidth="1"/>
    <col min="536" max="768" width="10.1796875" style="210"/>
    <col min="769" max="769" width="35" style="210" customWidth="1"/>
    <col min="770" max="770" width="19.453125" style="210" customWidth="1"/>
    <col min="771" max="771" width="18" style="210" customWidth="1"/>
    <col min="772" max="772" width="14.453125" style="210" customWidth="1"/>
    <col min="773" max="773" width="15.81640625" style="210" bestFit="1" customWidth="1"/>
    <col min="774" max="774" width="14.453125" style="210" customWidth="1"/>
    <col min="775" max="775" width="13.1796875" style="210" bestFit="1" customWidth="1"/>
    <col min="776" max="776" width="18.1796875" style="210" bestFit="1" customWidth="1"/>
    <col min="777" max="777" width="16.81640625" style="210" bestFit="1" customWidth="1"/>
    <col min="778" max="778" width="13.1796875" style="210" bestFit="1" customWidth="1"/>
    <col min="779" max="779" width="15.1796875" style="210" bestFit="1" customWidth="1"/>
    <col min="780" max="780" width="18.81640625" style="210" customWidth="1"/>
    <col min="781" max="781" width="15.81640625" style="210" customWidth="1"/>
    <col min="782" max="782" width="15.453125" style="210" customWidth="1"/>
    <col min="783" max="783" width="16.1796875" style="210" bestFit="1" customWidth="1"/>
    <col min="784" max="784" width="18.1796875" style="210" bestFit="1" customWidth="1"/>
    <col min="785" max="785" width="15.1796875" style="210" bestFit="1" customWidth="1"/>
    <col min="786" max="786" width="15.54296875" style="210" customWidth="1"/>
    <col min="787" max="787" width="15.1796875" style="210" bestFit="1" customWidth="1"/>
    <col min="788" max="788" width="12.81640625" style="210" customWidth="1"/>
    <col min="789" max="789" width="13.1796875" style="210" customWidth="1"/>
    <col min="790" max="790" width="16.1796875" style="210" customWidth="1"/>
    <col min="791" max="791" width="12" style="210" bestFit="1" customWidth="1"/>
    <col min="792" max="1024" width="10.1796875" style="210"/>
    <col min="1025" max="1025" width="35" style="210" customWidth="1"/>
    <col min="1026" max="1026" width="19.453125" style="210" customWidth="1"/>
    <col min="1027" max="1027" width="18" style="210" customWidth="1"/>
    <col min="1028" max="1028" width="14.453125" style="210" customWidth="1"/>
    <col min="1029" max="1029" width="15.81640625" style="210" bestFit="1" customWidth="1"/>
    <col min="1030" max="1030" width="14.453125" style="210" customWidth="1"/>
    <col min="1031" max="1031" width="13.1796875" style="210" bestFit="1" customWidth="1"/>
    <col min="1032" max="1032" width="18.1796875" style="210" bestFit="1" customWidth="1"/>
    <col min="1033" max="1033" width="16.81640625" style="210" bestFit="1" customWidth="1"/>
    <col min="1034" max="1034" width="13.1796875" style="210" bestFit="1" customWidth="1"/>
    <col min="1035" max="1035" width="15.1796875" style="210" bestFit="1" customWidth="1"/>
    <col min="1036" max="1036" width="18.81640625" style="210" customWidth="1"/>
    <col min="1037" max="1037" width="15.81640625" style="210" customWidth="1"/>
    <col min="1038" max="1038" width="15.453125" style="210" customWidth="1"/>
    <col min="1039" max="1039" width="16.1796875" style="210" bestFit="1" customWidth="1"/>
    <col min="1040" max="1040" width="18.1796875" style="210" bestFit="1" customWidth="1"/>
    <col min="1041" max="1041" width="15.1796875" style="210" bestFit="1" customWidth="1"/>
    <col min="1042" max="1042" width="15.54296875" style="210" customWidth="1"/>
    <col min="1043" max="1043" width="15.1796875" style="210" bestFit="1" customWidth="1"/>
    <col min="1044" max="1044" width="12.81640625" style="210" customWidth="1"/>
    <col min="1045" max="1045" width="13.1796875" style="210" customWidth="1"/>
    <col min="1046" max="1046" width="16.1796875" style="210" customWidth="1"/>
    <col min="1047" max="1047" width="12" style="210" bestFit="1" customWidth="1"/>
    <col min="1048" max="1280" width="10.1796875" style="210"/>
    <col min="1281" max="1281" width="35" style="210" customWidth="1"/>
    <col min="1282" max="1282" width="19.453125" style="210" customWidth="1"/>
    <col min="1283" max="1283" width="18" style="210" customWidth="1"/>
    <col min="1284" max="1284" width="14.453125" style="210" customWidth="1"/>
    <col min="1285" max="1285" width="15.81640625" style="210" bestFit="1" customWidth="1"/>
    <col min="1286" max="1286" width="14.453125" style="210" customWidth="1"/>
    <col min="1287" max="1287" width="13.1796875" style="210" bestFit="1" customWidth="1"/>
    <col min="1288" max="1288" width="18.1796875" style="210" bestFit="1" customWidth="1"/>
    <col min="1289" max="1289" width="16.81640625" style="210" bestFit="1" customWidth="1"/>
    <col min="1290" max="1290" width="13.1796875" style="210" bestFit="1" customWidth="1"/>
    <col min="1291" max="1291" width="15.1796875" style="210" bestFit="1" customWidth="1"/>
    <col min="1292" max="1292" width="18.81640625" style="210" customWidth="1"/>
    <col min="1293" max="1293" width="15.81640625" style="210" customWidth="1"/>
    <col min="1294" max="1294" width="15.453125" style="210" customWidth="1"/>
    <col min="1295" max="1295" width="16.1796875" style="210" bestFit="1" customWidth="1"/>
    <col min="1296" max="1296" width="18.1796875" style="210" bestFit="1" customWidth="1"/>
    <col min="1297" max="1297" width="15.1796875" style="210" bestFit="1" customWidth="1"/>
    <col min="1298" max="1298" width="15.54296875" style="210" customWidth="1"/>
    <col min="1299" max="1299" width="15.1796875" style="210" bestFit="1" customWidth="1"/>
    <col min="1300" max="1300" width="12.81640625" style="210" customWidth="1"/>
    <col min="1301" max="1301" width="13.1796875" style="210" customWidth="1"/>
    <col min="1302" max="1302" width="16.1796875" style="210" customWidth="1"/>
    <col min="1303" max="1303" width="12" style="210" bestFit="1" customWidth="1"/>
    <col min="1304" max="1536" width="10.1796875" style="210"/>
    <col min="1537" max="1537" width="35" style="210" customWidth="1"/>
    <col min="1538" max="1538" width="19.453125" style="210" customWidth="1"/>
    <col min="1539" max="1539" width="18" style="210" customWidth="1"/>
    <col min="1540" max="1540" width="14.453125" style="210" customWidth="1"/>
    <col min="1541" max="1541" width="15.81640625" style="210" bestFit="1" customWidth="1"/>
    <col min="1542" max="1542" width="14.453125" style="210" customWidth="1"/>
    <col min="1543" max="1543" width="13.1796875" style="210" bestFit="1" customWidth="1"/>
    <col min="1544" max="1544" width="18.1796875" style="210" bestFit="1" customWidth="1"/>
    <col min="1545" max="1545" width="16.81640625" style="210" bestFit="1" customWidth="1"/>
    <col min="1546" max="1546" width="13.1796875" style="210" bestFit="1" customWidth="1"/>
    <col min="1547" max="1547" width="15.1796875" style="210" bestFit="1" customWidth="1"/>
    <col min="1548" max="1548" width="18.81640625" style="210" customWidth="1"/>
    <col min="1549" max="1549" width="15.81640625" style="210" customWidth="1"/>
    <col min="1550" max="1550" width="15.453125" style="210" customWidth="1"/>
    <col min="1551" max="1551" width="16.1796875" style="210" bestFit="1" customWidth="1"/>
    <col min="1552" max="1552" width="18.1796875" style="210" bestFit="1" customWidth="1"/>
    <col min="1553" max="1553" width="15.1796875" style="210" bestFit="1" customWidth="1"/>
    <col min="1554" max="1554" width="15.54296875" style="210" customWidth="1"/>
    <col min="1555" max="1555" width="15.1796875" style="210" bestFit="1" customWidth="1"/>
    <col min="1556" max="1556" width="12.81640625" style="210" customWidth="1"/>
    <col min="1557" max="1557" width="13.1796875" style="210" customWidth="1"/>
    <col min="1558" max="1558" width="16.1796875" style="210" customWidth="1"/>
    <col min="1559" max="1559" width="12" style="210" bestFit="1" customWidth="1"/>
    <col min="1560" max="1792" width="10.1796875" style="210"/>
    <col min="1793" max="1793" width="35" style="210" customWidth="1"/>
    <col min="1794" max="1794" width="19.453125" style="210" customWidth="1"/>
    <col min="1795" max="1795" width="18" style="210" customWidth="1"/>
    <col min="1796" max="1796" width="14.453125" style="210" customWidth="1"/>
    <col min="1797" max="1797" width="15.81640625" style="210" bestFit="1" customWidth="1"/>
    <col min="1798" max="1798" width="14.453125" style="210" customWidth="1"/>
    <col min="1799" max="1799" width="13.1796875" style="210" bestFit="1" customWidth="1"/>
    <col min="1800" max="1800" width="18.1796875" style="210" bestFit="1" customWidth="1"/>
    <col min="1801" max="1801" width="16.81640625" style="210" bestFit="1" customWidth="1"/>
    <col min="1802" max="1802" width="13.1796875" style="210" bestFit="1" customWidth="1"/>
    <col min="1803" max="1803" width="15.1796875" style="210" bestFit="1" customWidth="1"/>
    <col min="1804" max="1804" width="18.81640625" style="210" customWidth="1"/>
    <col min="1805" max="1805" width="15.81640625" style="210" customWidth="1"/>
    <col min="1806" max="1806" width="15.453125" style="210" customWidth="1"/>
    <col min="1807" max="1807" width="16.1796875" style="210" bestFit="1" customWidth="1"/>
    <col min="1808" max="1808" width="18.1796875" style="210" bestFit="1" customWidth="1"/>
    <col min="1809" max="1809" width="15.1796875" style="210" bestFit="1" customWidth="1"/>
    <col min="1810" max="1810" width="15.54296875" style="210" customWidth="1"/>
    <col min="1811" max="1811" width="15.1796875" style="210" bestFit="1" customWidth="1"/>
    <col min="1812" max="1812" width="12.81640625" style="210" customWidth="1"/>
    <col min="1813" max="1813" width="13.1796875" style="210" customWidth="1"/>
    <col min="1814" max="1814" width="16.1796875" style="210" customWidth="1"/>
    <col min="1815" max="1815" width="12" style="210" bestFit="1" customWidth="1"/>
    <col min="1816" max="2048" width="10.1796875" style="210"/>
    <col min="2049" max="2049" width="35" style="210" customWidth="1"/>
    <col min="2050" max="2050" width="19.453125" style="210" customWidth="1"/>
    <col min="2051" max="2051" width="18" style="210" customWidth="1"/>
    <col min="2052" max="2052" width="14.453125" style="210" customWidth="1"/>
    <col min="2053" max="2053" width="15.81640625" style="210" bestFit="1" customWidth="1"/>
    <col min="2054" max="2054" width="14.453125" style="210" customWidth="1"/>
    <col min="2055" max="2055" width="13.1796875" style="210" bestFit="1" customWidth="1"/>
    <col min="2056" max="2056" width="18.1796875" style="210" bestFit="1" customWidth="1"/>
    <col min="2057" max="2057" width="16.81640625" style="210" bestFit="1" customWidth="1"/>
    <col min="2058" max="2058" width="13.1796875" style="210" bestFit="1" customWidth="1"/>
    <col min="2059" max="2059" width="15.1796875" style="210" bestFit="1" customWidth="1"/>
    <col min="2060" max="2060" width="18.81640625" style="210" customWidth="1"/>
    <col min="2061" max="2061" width="15.81640625" style="210" customWidth="1"/>
    <col min="2062" max="2062" width="15.453125" style="210" customWidth="1"/>
    <col min="2063" max="2063" width="16.1796875" style="210" bestFit="1" customWidth="1"/>
    <col min="2064" max="2064" width="18.1796875" style="210" bestFit="1" customWidth="1"/>
    <col min="2065" max="2065" width="15.1796875" style="210" bestFit="1" customWidth="1"/>
    <col min="2066" max="2066" width="15.54296875" style="210" customWidth="1"/>
    <col min="2067" max="2067" width="15.1796875" style="210" bestFit="1" customWidth="1"/>
    <col min="2068" max="2068" width="12.81640625" style="210" customWidth="1"/>
    <col min="2069" max="2069" width="13.1796875" style="210" customWidth="1"/>
    <col min="2070" max="2070" width="16.1796875" style="210" customWidth="1"/>
    <col min="2071" max="2071" width="12" style="210" bestFit="1" customWidth="1"/>
    <col min="2072" max="2304" width="10.1796875" style="210"/>
    <col min="2305" max="2305" width="35" style="210" customWidth="1"/>
    <col min="2306" max="2306" width="19.453125" style="210" customWidth="1"/>
    <col min="2307" max="2307" width="18" style="210" customWidth="1"/>
    <col min="2308" max="2308" width="14.453125" style="210" customWidth="1"/>
    <col min="2309" max="2309" width="15.81640625" style="210" bestFit="1" customWidth="1"/>
    <col min="2310" max="2310" width="14.453125" style="210" customWidth="1"/>
    <col min="2311" max="2311" width="13.1796875" style="210" bestFit="1" customWidth="1"/>
    <col min="2312" max="2312" width="18.1796875" style="210" bestFit="1" customWidth="1"/>
    <col min="2313" max="2313" width="16.81640625" style="210" bestFit="1" customWidth="1"/>
    <col min="2314" max="2314" width="13.1796875" style="210" bestFit="1" customWidth="1"/>
    <col min="2315" max="2315" width="15.1796875" style="210" bestFit="1" customWidth="1"/>
    <col min="2316" max="2316" width="18.81640625" style="210" customWidth="1"/>
    <col min="2317" max="2317" width="15.81640625" style="210" customWidth="1"/>
    <col min="2318" max="2318" width="15.453125" style="210" customWidth="1"/>
    <col min="2319" max="2319" width="16.1796875" style="210" bestFit="1" customWidth="1"/>
    <col min="2320" max="2320" width="18.1796875" style="210" bestFit="1" customWidth="1"/>
    <col min="2321" max="2321" width="15.1796875" style="210" bestFit="1" customWidth="1"/>
    <col min="2322" max="2322" width="15.54296875" style="210" customWidth="1"/>
    <col min="2323" max="2323" width="15.1796875" style="210" bestFit="1" customWidth="1"/>
    <col min="2324" max="2324" width="12.81640625" style="210" customWidth="1"/>
    <col min="2325" max="2325" width="13.1796875" style="210" customWidth="1"/>
    <col min="2326" max="2326" width="16.1796875" style="210" customWidth="1"/>
    <col min="2327" max="2327" width="12" style="210" bestFit="1" customWidth="1"/>
    <col min="2328" max="2560" width="10.1796875" style="210"/>
    <col min="2561" max="2561" width="35" style="210" customWidth="1"/>
    <col min="2562" max="2562" width="19.453125" style="210" customWidth="1"/>
    <col min="2563" max="2563" width="18" style="210" customWidth="1"/>
    <col min="2564" max="2564" width="14.453125" style="210" customWidth="1"/>
    <col min="2565" max="2565" width="15.81640625" style="210" bestFit="1" customWidth="1"/>
    <col min="2566" max="2566" width="14.453125" style="210" customWidth="1"/>
    <col min="2567" max="2567" width="13.1796875" style="210" bestFit="1" customWidth="1"/>
    <col min="2568" max="2568" width="18.1796875" style="210" bestFit="1" customWidth="1"/>
    <col min="2569" max="2569" width="16.81640625" style="210" bestFit="1" customWidth="1"/>
    <col min="2570" max="2570" width="13.1796875" style="210" bestFit="1" customWidth="1"/>
    <col min="2571" max="2571" width="15.1796875" style="210" bestFit="1" customWidth="1"/>
    <col min="2572" max="2572" width="18.81640625" style="210" customWidth="1"/>
    <col min="2573" max="2573" width="15.81640625" style="210" customWidth="1"/>
    <col min="2574" max="2574" width="15.453125" style="210" customWidth="1"/>
    <col min="2575" max="2575" width="16.1796875" style="210" bestFit="1" customWidth="1"/>
    <col min="2576" max="2576" width="18.1796875" style="210" bestFit="1" customWidth="1"/>
    <col min="2577" max="2577" width="15.1796875" style="210" bestFit="1" customWidth="1"/>
    <col min="2578" max="2578" width="15.54296875" style="210" customWidth="1"/>
    <col min="2579" max="2579" width="15.1796875" style="210" bestFit="1" customWidth="1"/>
    <col min="2580" max="2580" width="12.81640625" style="210" customWidth="1"/>
    <col min="2581" max="2581" width="13.1796875" style="210" customWidth="1"/>
    <col min="2582" max="2582" width="16.1796875" style="210" customWidth="1"/>
    <col min="2583" max="2583" width="12" style="210" bestFit="1" customWidth="1"/>
    <col min="2584" max="2816" width="10.1796875" style="210"/>
    <col min="2817" max="2817" width="35" style="210" customWidth="1"/>
    <col min="2818" max="2818" width="19.453125" style="210" customWidth="1"/>
    <col min="2819" max="2819" width="18" style="210" customWidth="1"/>
    <col min="2820" max="2820" width="14.453125" style="210" customWidth="1"/>
    <col min="2821" max="2821" width="15.81640625" style="210" bestFit="1" customWidth="1"/>
    <col min="2822" max="2822" width="14.453125" style="210" customWidth="1"/>
    <col min="2823" max="2823" width="13.1796875" style="210" bestFit="1" customWidth="1"/>
    <col min="2824" max="2824" width="18.1796875" style="210" bestFit="1" customWidth="1"/>
    <col min="2825" max="2825" width="16.81640625" style="210" bestFit="1" customWidth="1"/>
    <col min="2826" max="2826" width="13.1796875" style="210" bestFit="1" customWidth="1"/>
    <col min="2827" max="2827" width="15.1796875" style="210" bestFit="1" customWidth="1"/>
    <col min="2828" max="2828" width="18.81640625" style="210" customWidth="1"/>
    <col min="2829" max="2829" width="15.81640625" style="210" customWidth="1"/>
    <col min="2830" max="2830" width="15.453125" style="210" customWidth="1"/>
    <col min="2831" max="2831" width="16.1796875" style="210" bestFit="1" customWidth="1"/>
    <col min="2832" max="2832" width="18.1796875" style="210" bestFit="1" customWidth="1"/>
    <col min="2833" max="2833" width="15.1796875" style="210" bestFit="1" customWidth="1"/>
    <col min="2834" max="2834" width="15.54296875" style="210" customWidth="1"/>
    <col min="2835" max="2835" width="15.1796875" style="210" bestFit="1" customWidth="1"/>
    <col min="2836" max="2836" width="12.81640625" style="210" customWidth="1"/>
    <col min="2837" max="2837" width="13.1796875" style="210" customWidth="1"/>
    <col min="2838" max="2838" width="16.1796875" style="210" customWidth="1"/>
    <col min="2839" max="2839" width="12" style="210" bestFit="1" customWidth="1"/>
    <col min="2840" max="3072" width="10.1796875" style="210"/>
    <col min="3073" max="3073" width="35" style="210" customWidth="1"/>
    <col min="3074" max="3074" width="19.453125" style="210" customWidth="1"/>
    <col min="3075" max="3075" width="18" style="210" customWidth="1"/>
    <col min="3076" max="3076" width="14.453125" style="210" customWidth="1"/>
    <col min="3077" max="3077" width="15.81640625" style="210" bestFit="1" customWidth="1"/>
    <col min="3078" max="3078" width="14.453125" style="210" customWidth="1"/>
    <col min="3079" max="3079" width="13.1796875" style="210" bestFit="1" customWidth="1"/>
    <col min="3080" max="3080" width="18.1796875" style="210" bestFit="1" customWidth="1"/>
    <col min="3081" max="3081" width="16.81640625" style="210" bestFit="1" customWidth="1"/>
    <col min="3082" max="3082" width="13.1796875" style="210" bestFit="1" customWidth="1"/>
    <col min="3083" max="3083" width="15.1796875" style="210" bestFit="1" customWidth="1"/>
    <col min="3084" max="3084" width="18.81640625" style="210" customWidth="1"/>
    <col min="3085" max="3085" width="15.81640625" style="210" customWidth="1"/>
    <col min="3086" max="3086" width="15.453125" style="210" customWidth="1"/>
    <col min="3087" max="3087" width="16.1796875" style="210" bestFit="1" customWidth="1"/>
    <col min="3088" max="3088" width="18.1796875" style="210" bestFit="1" customWidth="1"/>
    <col min="3089" max="3089" width="15.1796875" style="210" bestFit="1" customWidth="1"/>
    <col min="3090" max="3090" width="15.54296875" style="210" customWidth="1"/>
    <col min="3091" max="3091" width="15.1796875" style="210" bestFit="1" customWidth="1"/>
    <col min="3092" max="3092" width="12.81640625" style="210" customWidth="1"/>
    <col min="3093" max="3093" width="13.1796875" style="210" customWidth="1"/>
    <col min="3094" max="3094" width="16.1796875" style="210" customWidth="1"/>
    <col min="3095" max="3095" width="12" style="210" bestFit="1" customWidth="1"/>
    <col min="3096" max="3328" width="10.1796875" style="210"/>
    <col min="3329" max="3329" width="35" style="210" customWidth="1"/>
    <col min="3330" max="3330" width="19.453125" style="210" customWidth="1"/>
    <col min="3331" max="3331" width="18" style="210" customWidth="1"/>
    <col min="3332" max="3332" width="14.453125" style="210" customWidth="1"/>
    <col min="3333" max="3333" width="15.81640625" style="210" bestFit="1" customWidth="1"/>
    <col min="3334" max="3334" width="14.453125" style="210" customWidth="1"/>
    <col min="3335" max="3335" width="13.1796875" style="210" bestFit="1" customWidth="1"/>
    <col min="3336" max="3336" width="18.1796875" style="210" bestFit="1" customWidth="1"/>
    <col min="3337" max="3337" width="16.81640625" style="210" bestFit="1" customWidth="1"/>
    <col min="3338" max="3338" width="13.1796875" style="210" bestFit="1" customWidth="1"/>
    <col min="3339" max="3339" width="15.1796875" style="210" bestFit="1" customWidth="1"/>
    <col min="3340" max="3340" width="18.81640625" style="210" customWidth="1"/>
    <col min="3341" max="3341" width="15.81640625" style="210" customWidth="1"/>
    <col min="3342" max="3342" width="15.453125" style="210" customWidth="1"/>
    <col min="3343" max="3343" width="16.1796875" style="210" bestFit="1" customWidth="1"/>
    <col min="3344" max="3344" width="18.1796875" style="210" bestFit="1" customWidth="1"/>
    <col min="3345" max="3345" width="15.1796875" style="210" bestFit="1" customWidth="1"/>
    <col min="3346" max="3346" width="15.54296875" style="210" customWidth="1"/>
    <col min="3347" max="3347" width="15.1796875" style="210" bestFit="1" customWidth="1"/>
    <col min="3348" max="3348" width="12.81640625" style="210" customWidth="1"/>
    <col min="3349" max="3349" width="13.1796875" style="210" customWidth="1"/>
    <col min="3350" max="3350" width="16.1796875" style="210" customWidth="1"/>
    <col min="3351" max="3351" width="12" style="210" bestFit="1" customWidth="1"/>
    <col min="3352" max="3584" width="10.1796875" style="210"/>
    <col min="3585" max="3585" width="35" style="210" customWidth="1"/>
    <col min="3586" max="3586" width="19.453125" style="210" customWidth="1"/>
    <col min="3587" max="3587" width="18" style="210" customWidth="1"/>
    <col min="3588" max="3588" width="14.453125" style="210" customWidth="1"/>
    <col min="3589" max="3589" width="15.81640625" style="210" bestFit="1" customWidth="1"/>
    <col min="3590" max="3590" width="14.453125" style="210" customWidth="1"/>
    <col min="3591" max="3591" width="13.1796875" style="210" bestFit="1" customWidth="1"/>
    <col min="3592" max="3592" width="18.1796875" style="210" bestFit="1" customWidth="1"/>
    <col min="3593" max="3593" width="16.81640625" style="210" bestFit="1" customWidth="1"/>
    <col min="3594" max="3594" width="13.1796875" style="210" bestFit="1" customWidth="1"/>
    <col min="3595" max="3595" width="15.1796875" style="210" bestFit="1" customWidth="1"/>
    <col min="3596" max="3596" width="18.81640625" style="210" customWidth="1"/>
    <col min="3597" max="3597" width="15.81640625" style="210" customWidth="1"/>
    <col min="3598" max="3598" width="15.453125" style="210" customWidth="1"/>
    <col min="3599" max="3599" width="16.1796875" style="210" bestFit="1" customWidth="1"/>
    <col min="3600" max="3600" width="18.1796875" style="210" bestFit="1" customWidth="1"/>
    <col min="3601" max="3601" width="15.1796875" style="210" bestFit="1" customWidth="1"/>
    <col min="3602" max="3602" width="15.54296875" style="210" customWidth="1"/>
    <col min="3603" max="3603" width="15.1796875" style="210" bestFit="1" customWidth="1"/>
    <col min="3604" max="3604" width="12.81640625" style="210" customWidth="1"/>
    <col min="3605" max="3605" width="13.1796875" style="210" customWidth="1"/>
    <col min="3606" max="3606" width="16.1796875" style="210" customWidth="1"/>
    <col min="3607" max="3607" width="12" style="210" bestFit="1" customWidth="1"/>
    <col min="3608" max="3840" width="10.1796875" style="210"/>
    <col min="3841" max="3841" width="35" style="210" customWidth="1"/>
    <col min="3842" max="3842" width="19.453125" style="210" customWidth="1"/>
    <col min="3843" max="3843" width="18" style="210" customWidth="1"/>
    <col min="3844" max="3844" width="14.453125" style="210" customWidth="1"/>
    <col min="3845" max="3845" width="15.81640625" style="210" bestFit="1" customWidth="1"/>
    <col min="3846" max="3846" width="14.453125" style="210" customWidth="1"/>
    <col min="3847" max="3847" width="13.1796875" style="210" bestFit="1" customWidth="1"/>
    <col min="3848" max="3848" width="18.1796875" style="210" bestFit="1" customWidth="1"/>
    <col min="3849" max="3849" width="16.81640625" style="210" bestFit="1" customWidth="1"/>
    <col min="3850" max="3850" width="13.1796875" style="210" bestFit="1" customWidth="1"/>
    <col min="3851" max="3851" width="15.1796875" style="210" bestFit="1" customWidth="1"/>
    <col min="3852" max="3852" width="18.81640625" style="210" customWidth="1"/>
    <col min="3853" max="3853" width="15.81640625" style="210" customWidth="1"/>
    <col min="3854" max="3854" width="15.453125" style="210" customWidth="1"/>
    <col min="3855" max="3855" width="16.1796875" style="210" bestFit="1" customWidth="1"/>
    <col min="3856" max="3856" width="18.1796875" style="210" bestFit="1" customWidth="1"/>
    <col min="3857" max="3857" width="15.1796875" style="210" bestFit="1" customWidth="1"/>
    <col min="3858" max="3858" width="15.54296875" style="210" customWidth="1"/>
    <col min="3859" max="3859" width="15.1796875" style="210" bestFit="1" customWidth="1"/>
    <col min="3860" max="3860" width="12.81640625" style="210" customWidth="1"/>
    <col min="3861" max="3861" width="13.1796875" style="210" customWidth="1"/>
    <col min="3862" max="3862" width="16.1796875" style="210" customWidth="1"/>
    <col min="3863" max="3863" width="12" style="210" bestFit="1" customWidth="1"/>
    <col min="3864" max="4096" width="10.1796875" style="210"/>
    <col min="4097" max="4097" width="35" style="210" customWidth="1"/>
    <col min="4098" max="4098" width="19.453125" style="210" customWidth="1"/>
    <col min="4099" max="4099" width="18" style="210" customWidth="1"/>
    <col min="4100" max="4100" width="14.453125" style="210" customWidth="1"/>
    <col min="4101" max="4101" width="15.81640625" style="210" bestFit="1" customWidth="1"/>
    <col min="4102" max="4102" width="14.453125" style="210" customWidth="1"/>
    <col min="4103" max="4103" width="13.1796875" style="210" bestFit="1" customWidth="1"/>
    <col min="4104" max="4104" width="18.1796875" style="210" bestFit="1" customWidth="1"/>
    <col min="4105" max="4105" width="16.81640625" style="210" bestFit="1" customWidth="1"/>
    <col min="4106" max="4106" width="13.1796875" style="210" bestFit="1" customWidth="1"/>
    <col min="4107" max="4107" width="15.1796875" style="210" bestFit="1" customWidth="1"/>
    <col min="4108" max="4108" width="18.81640625" style="210" customWidth="1"/>
    <col min="4109" max="4109" width="15.81640625" style="210" customWidth="1"/>
    <col min="4110" max="4110" width="15.453125" style="210" customWidth="1"/>
    <col min="4111" max="4111" width="16.1796875" style="210" bestFit="1" customWidth="1"/>
    <col min="4112" max="4112" width="18.1796875" style="210" bestFit="1" customWidth="1"/>
    <col min="4113" max="4113" width="15.1796875" style="210" bestFit="1" customWidth="1"/>
    <col min="4114" max="4114" width="15.54296875" style="210" customWidth="1"/>
    <col min="4115" max="4115" width="15.1796875" style="210" bestFit="1" customWidth="1"/>
    <col min="4116" max="4116" width="12.81640625" style="210" customWidth="1"/>
    <col min="4117" max="4117" width="13.1796875" style="210" customWidth="1"/>
    <col min="4118" max="4118" width="16.1796875" style="210" customWidth="1"/>
    <col min="4119" max="4119" width="12" style="210" bestFit="1" customWidth="1"/>
    <col min="4120" max="4352" width="10.1796875" style="210"/>
    <col min="4353" max="4353" width="35" style="210" customWidth="1"/>
    <col min="4354" max="4354" width="19.453125" style="210" customWidth="1"/>
    <col min="4355" max="4355" width="18" style="210" customWidth="1"/>
    <col min="4356" max="4356" width="14.453125" style="210" customWidth="1"/>
    <col min="4357" max="4357" width="15.81640625" style="210" bestFit="1" customWidth="1"/>
    <col min="4358" max="4358" width="14.453125" style="210" customWidth="1"/>
    <col min="4359" max="4359" width="13.1796875" style="210" bestFit="1" customWidth="1"/>
    <col min="4360" max="4360" width="18.1796875" style="210" bestFit="1" customWidth="1"/>
    <col min="4361" max="4361" width="16.81640625" style="210" bestFit="1" customWidth="1"/>
    <col min="4362" max="4362" width="13.1796875" style="210" bestFit="1" customWidth="1"/>
    <col min="4363" max="4363" width="15.1796875" style="210" bestFit="1" customWidth="1"/>
    <col min="4364" max="4364" width="18.81640625" style="210" customWidth="1"/>
    <col min="4365" max="4365" width="15.81640625" style="210" customWidth="1"/>
    <col min="4366" max="4366" width="15.453125" style="210" customWidth="1"/>
    <col min="4367" max="4367" width="16.1796875" style="210" bestFit="1" customWidth="1"/>
    <col min="4368" max="4368" width="18.1796875" style="210" bestFit="1" customWidth="1"/>
    <col min="4369" max="4369" width="15.1796875" style="210" bestFit="1" customWidth="1"/>
    <col min="4370" max="4370" width="15.54296875" style="210" customWidth="1"/>
    <col min="4371" max="4371" width="15.1796875" style="210" bestFit="1" customWidth="1"/>
    <col min="4372" max="4372" width="12.81640625" style="210" customWidth="1"/>
    <col min="4373" max="4373" width="13.1796875" style="210" customWidth="1"/>
    <col min="4374" max="4374" width="16.1796875" style="210" customWidth="1"/>
    <col min="4375" max="4375" width="12" style="210" bestFit="1" customWidth="1"/>
    <col min="4376" max="4608" width="10.1796875" style="210"/>
    <col min="4609" max="4609" width="35" style="210" customWidth="1"/>
    <col min="4610" max="4610" width="19.453125" style="210" customWidth="1"/>
    <col min="4611" max="4611" width="18" style="210" customWidth="1"/>
    <col min="4612" max="4612" width="14.453125" style="210" customWidth="1"/>
    <col min="4613" max="4613" width="15.81640625" style="210" bestFit="1" customWidth="1"/>
    <col min="4614" max="4614" width="14.453125" style="210" customWidth="1"/>
    <col min="4615" max="4615" width="13.1796875" style="210" bestFit="1" customWidth="1"/>
    <col min="4616" max="4616" width="18.1796875" style="210" bestFit="1" customWidth="1"/>
    <col min="4617" max="4617" width="16.81640625" style="210" bestFit="1" customWidth="1"/>
    <col min="4618" max="4618" width="13.1796875" style="210" bestFit="1" customWidth="1"/>
    <col min="4619" max="4619" width="15.1796875" style="210" bestFit="1" customWidth="1"/>
    <col min="4620" max="4620" width="18.81640625" style="210" customWidth="1"/>
    <col min="4621" max="4621" width="15.81640625" style="210" customWidth="1"/>
    <col min="4622" max="4622" width="15.453125" style="210" customWidth="1"/>
    <col min="4623" max="4623" width="16.1796875" style="210" bestFit="1" customWidth="1"/>
    <col min="4624" max="4624" width="18.1796875" style="210" bestFit="1" customWidth="1"/>
    <col min="4625" max="4625" width="15.1796875" style="210" bestFit="1" customWidth="1"/>
    <col min="4626" max="4626" width="15.54296875" style="210" customWidth="1"/>
    <col min="4627" max="4627" width="15.1796875" style="210" bestFit="1" customWidth="1"/>
    <col min="4628" max="4628" width="12.81640625" style="210" customWidth="1"/>
    <col min="4629" max="4629" width="13.1796875" style="210" customWidth="1"/>
    <col min="4630" max="4630" width="16.1796875" style="210" customWidth="1"/>
    <col min="4631" max="4631" width="12" style="210" bestFit="1" customWidth="1"/>
    <col min="4632" max="4864" width="10.1796875" style="210"/>
    <col min="4865" max="4865" width="35" style="210" customWidth="1"/>
    <col min="4866" max="4866" width="19.453125" style="210" customWidth="1"/>
    <col min="4867" max="4867" width="18" style="210" customWidth="1"/>
    <col min="4868" max="4868" width="14.453125" style="210" customWidth="1"/>
    <col min="4869" max="4869" width="15.81640625" style="210" bestFit="1" customWidth="1"/>
    <col min="4870" max="4870" width="14.453125" style="210" customWidth="1"/>
    <col min="4871" max="4871" width="13.1796875" style="210" bestFit="1" customWidth="1"/>
    <col min="4872" max="4872" width="18.1796875" style="210" bestFit="1" customWidth="1"/>
    <col min="4873" max="4873" width="16.81640625" style="210" bestFit="1" customWidth="1"/>
    <col min="4874" max="4874" width="13.1796875" style="210" bestFit="1" customWidth="1"/>
    <col min="4875" max="4875" width="15.1796875" style="210" bestFit="1" customWidth="1"/>
    <col min="4876" max="4876" width="18.81640625" style="210" customWidth="1"/>
    <col min="4877" max="4877" width="15.81640625" style="210" customWidth="1"/>
    <col min="4878" max="4878" width="15.453125" style="210" customWidth="1"/>
    <col min="4879" max="4879" width="16.1796875" style="210" bestFit="1" customWidth="1"/>
    <col min="4880" max="4880" width="18.1796875" style="210" bestFit="1" customWidth="1"/>
    <col min="4881" max="4881" width="15.1796875" style="210" bestFit="1" customWidth="1"/>
    <col min="4882" max="4882" width="15.54296875" style="210" customWidth="1"/>
    <col min="4883" max="4883" width="15.1796875" style="210" bestFit="1" customWidth="1"/>
    <col min="4884" max="4884" width="12.81640625" style="210" customWidth="1"/>
    <col min="4885" max="4885" width="13.1796875" style="210" customWidth="1"/>
    <col min="4886" max="4886" width="16.1796875" style="210" customWidth="1"/>
    <col min="4887" max="4887" width="12" style="210" bestFit="1" customWidth="1"/>
    <col min="4888" max="5120" width="10.1796875" style="210"/>
    <col min="5121" max="5121" width="35" style="210" customWidth="1"/>
    <col min="5122" max="5122" width="19.453125" style="210" customWidth="1"/>
    <col min="5123" max="5123" width="18" style="210" customWidth="1"/>
    <col min="5124" max="5124" width="14.453125" style="210" customWidth="1"/>
    <col min="5125" max="5125" width="15.81640625" style="210" bestFit="1" customWidth="1"/>
    <col min="5126" max="5126" width="14.453125" style="210" customWidth="1"/>
    <col min="5127" max="5127" width="13.1796875" style="210" bestFit="1" customWidth="1"/>
    <col min="5128" max="5128" width="18.1796875" style="210" bestFit="1" customWidth="1"/>
    <col min="5129" max="5129" width="16.81640625" style="210" bestFit="1" customWidth="1"/>
    <col min="5130" max="5130" width="13.1796875" style="210" bestFit="1" customWidth="1"/>
    <col min="5131" max="5131" width="15.1796875" style="210" bestFit="1" customWidth="1"/>
    <col min="5132" max="5132" width="18.81640625" style="210" customWidth="1"/>
    <col min="5133" max="5133" width="15.81640625" style="210" customWidth="1"/>
    <col min="5134" max="5134" width="15.453125" style="210" customWidth="1"/>
    <col min="5135" max="5135" width="16.1796875" style="210" bestFit="1" customWidth="1"/>
    <col min="5136" max="5136" width="18.1796875" style="210" bestFit="1" customWidth="1"/>
    <col min="5137" max="5137" width="15.1796875" style="210" bestFit="1" customWidth="1"/>
    <col min="5138" max="5138" width="15.54296875" style="210" customWidth="1"/>
    <col min="5139" max="5139" width="15.1796875" style="210" bestFit="1" customWidth="1"/>
    <col min="5140" max="5140" width="12.81640625" style="210" customWidth="1"/>
    <col min="5141" max="5141" width="13.1796875" style="210" customWidth="1"/>
    <col min="5142" max="5142" width="16.1796875" style="210" customWidth="1"/>
    <col min="5143" max="5143" width="12" style="210" bestFit="1" customWidth="1"/>
    <col min="5144" max="5376" width="10.1796875" style="210"/>
    <col min="5377" max="5377" width="35" style="210" customWidth="1"/>
    <col min="5378" max="5378" width="19.453125" style="210" customWidth="1"/>
    <col min="5379" max="5379" width="18" style="210" customWidth="1"/>
    <col min="5380" max="5380" width="14.453125" style="210" customWidth="1"/>
    <col min="5381" max="5381" width="15.81640625" style="210" bestFit="1" customWidth="1"/>
    <col min="5382" max="5382" width="14.453125" style="210" customWidth="1"/>
    <col min="5383" max="5383" width="13.1796875" style="210" bestFit="1" customWidth="1"/>
    <col min="5384" max="5384" width="18.1796875" style="210" bestFit="1" customWidth="1"/>
    <col min="5385" max="5385" width="16.81640625" style="210" bestFit="1" customWidth="1"/>
    <col min="5386" max="5386" width="13.1796875" style="210" bestFit="1" customWidth="1"/>
    <col min="5387" max="5387" width="15.1796875" style="210" bestFit="1" customWidth="1"/>
    <col min="5388" max="5388" width="18.81640625" style="210" customWidth="1"/>
    <col min="5389" max="5389" width="15.81640625" style="210" customWidth="1"/>
    <col min="5390" max="5390" width="15.453125" style="210" customWidth="1"/>
    <col min="5391" max="5391" width="16.1796875" style="210" bestFit="1" customWidth="1"/>
    <col min="5392" max="5392" width="18.1796875" style="210" bestFit="1" customWidth="1"/>
    <col min="5393" max="5393" width="15.1796875" style="210" bestFit="1" customWidth="1"/>
    <col min="5394" max="5394" width="15.54296875" style="210" customWidth="1"/>
    <col min="5395" max="5395" width="15.1796875" style="210" bestFit="1" customWidth="1"/>
    <col min="5396" max="5396" width="12.81640625" style="210" customWidth="1"/>
    <col min="5397" max="5397" width="13.1796875" style="210" customWidth="1"/>
    <col min="5398" max="5398" width="16.1796875" style="210" customWidth="1"/>
    <col min="5399" max="5399" width="12" style="210" bestFit="1" customWidth="1"/>
    <col min="5400" max="5632" width="10.1796875" style="210"/>
    <col min="5633" max="5633" width="35" style="210" customWidth="1"/>
    <col min="5634" max="5634" width="19.453125" style="210" customWidth="1"/>
    <col min="5635" max="5635" width="18" style="210" customWidth="1"/>
    <col min="5636" max="5636" width="14.453125" style="210" customWidth="1"/>
    <col min="5637" max="5637" width="15.81640625" style="210" bestFit="1" customWidth="1"/>
    <col min="5638" max="5638" width="14.453125" style="210" customWidth="1"/>
    <col min="5639" max="5639" width="13.1796875" style="210" bestFit="1" customWidth="1"/>
    <col min="5640" max="5640" width="18.1796875" style="210" bestFit="1" customWidth="1"/>
    <col min="5641" max="5641" width="16.81640625" style="210" bestFit="1" customWidth="1"/>
    <col min="5642" max="5642" width="13.1796875" style="210" bestFit="1" customWidth="1"/>
    <col min="5643" max="5643" width="15.1796875" style="210" bestFit="1" customWidth="1"/>
    <col min="5644" max="5644" width="18.81640625" style="210" customWidth="1"/>
    <col min="5645" max="5645" width="15.81640625" style="210" customWidth="1"/>
    <col min="5646" max="5646" width="15.453125" style="210" customWidth="1"/>
    <col min="5647" max="5647" width="16.1796875" style="210" bestFit="1" customWidth="1"/>
    <col min="5648" max="5648" width="18.1796875" style="210" bestFit="1" customWidth="1"/>
    <col min="5649" max="5649" width="15.1796875" style="210" bestFit="1" customWidth="1"/>
    <col min="5650" max="5650" width="15.54296875" style="210" customWidth="1"/>
    <col min="5651" max="5651" width="15.1796875" style="210" bestFit="1" customWidth="1"/>
    <col min="5652" max="5652" width="12.81640625" style="210" customWidth="1"/>
    <col min="5653" max="5653" width="13.1796875" style="210" customWidth="1"/>
    <col min="5654" max="5654" width="16.1796875" style="210" customWidth="1"/>
    <col min="5655" max="5655" width="12" style="210" bestFit="1" customWidth="1"/>
    <col min="5656" max="5888" width="10.1796875" style="210"/>
    <col min="5889" max="5889" width="35" style="210" customWidth="1"/>
    <col min="5890" max="5890" width="19.453125" style="210" customWidth="1"/>
    <col min="5891" max="5891" width="18" style="210" customWidth="1"/>
    <col min="5892" max="5892" width="14.453125" style="210" customWidth="1"/>
    <col min="5893" max="5893" width="15.81640625" style="210" bestFit="1" customWidth="1"/>
    <col min="5894" max="5894" width="14.453125" style="210" customWidth="1"/>
    <col min="5895" max="5895" width="13.1796875" style="210" bestFit="1" customWidth="1"/>
    <col min="5896" max="5896" width="18.1796875" style="210" bestFit="1" customWidth="1"/>
    <col min="5897" max="5897" width="16.81640625" style="210" bestFit="1" customWidth="1"/>
    <col min="5898" max="5898" width="13.1796875" style="210" bestFit="1" customWidth="1"/>
    <col min="5899" max="5899" width="15.1796875" style="210" bestFit="1" customWidth="1"/>
    <col min="5900" max="5900" width="18.81640625" style="210" customWidth="1"/>
    <col min="5901" max="5901" width="15.81640625" style="210" customWidth="1"/>
    <col min="5902" max="5902" width="15.453125" style="210" customWidth="1"/>
    <col min="5903" max="5903" width="16.1796875" style="210" bestFit="1" customWidth="1"/>
    <col min="5904" max="5904" width="18.1796875" style="210" bestFit="1" customWidth="1"/>
    <col min="5905" max="5905" width="15.1796875" style="210" bestFit="1" customWidth="1"/>
    <col min="5906" max="5906" width="15.54296875" style="210" customWidth="1"/>
    <col min="5907" max="5907" width="15.1796875" style="210" bestFit="1" customWidth="1"/>
    <col min="5908" max="5908" width="12.81640625" style="210" customWidth="1"/>
    <col min="5909" max="5909" width="13.1796875" style="210" customWidth="1"/>
    <col min="5910" max="5910" width="16.1796875" style="210" customWidth="1"/>
    <col min="5911" max="5911" width="12" style="210" bestFit="1" customWidth="1"/>
    <col min="5912" max="6144" width="10.1796875" style="210"/>
    <col min="6145" max="6145" width="35" style="210" customWidth="1"/>
    <col min="6146" max="6146" width="19.453125" style="210" customWidth="1"/>
    <col min="6147" max="6147" width="18" style="210" customWidth="1"/>
    <col min="6148" max="6148" width="14.453125" style="210" customWidth="1"/>
    <col min="6149" max="6149" width="15.81640625" style="210" bestFit="1" customWidth="1"/>
    <col min="6150" max="6150" width="14.453125" style="210" customWidth="1"/>
    <col min="6151" max="6151" width="13.1796875" style="210" bestFit="1" customWidth="1"/>
    <col min="6152" max="6152" width="18.1796875" style="210" bestFit="1" customWidth="1"/>
    <col min="6153" max="6153" width="16.81640625" style="210" bestFit="1" customWidth="1"/>
    <col min="6154" max="6154" width="13.1796875" style="210" bestFit="1" customWidth="1"/>
    <col min="6155" max="6155" width="15.1796875" style="210" bestFit="1" customWidth="1"/>
    <col min="6156" max="6156" width="18.81640625" style="210" customWidth="1"/>
    <col min="6157" max="6157" width="15.81640625" style="210" customWidth="1"/>
    <col min="6158" max="6158" width="15.453125" style="210" customWidth="1"/>
    <col min="6159" max="6159" width="16.1796875" style="210" bestFit="1" customWidth="1"/>
    <col min="6160" max="6160" width="18.1796875" style="210" bestFit="1" customWidth="1"/>
    <col min="6161" max="6161" width="15.1796875" style="210" bestFit="1" customWidth="1"/>
    <col min="6162" max="6162" width="15.54296875" style="210" customWidth="1"/>
    <col min="6163" max="6163" width="15.1796875" style="210" bestFit="1" customWidth="1"/>
    <col min="6164" max="6164" width="12.81640625" style="210" customWidth="1"/>
    <col min="6165" max="6165" width="13.1796875" style="210" customWidth="1"/>
    <col min="6166" max="6166" width="16.1796875" style="210" customWidth="1"/>
    <col min="6167" max="6167" width="12" style="210" bestFit="1" customWidth="1"/>
    <col min="6168" max="6400" width="10.1796875" style="210"/>
    <col min="6401" max="6401" width="35" style="210" customWidth="1"/>
    <col min="6402" max="6402" width="19.453125" style="210" customWidth="1"/>
    <col min="6403" max="6403" width="18" style="210" customWidth="1"/>
    <col min="6404" max="6404" width="14.453125" style="210" customWidth="1"/>
    <col min="6405" max="6405" width="15.81640625" style="210" bestFit="1" customWidth="1"/>
    <col min="6406" max="6406" width="14.453125" style="210" customWidth="1"/>
    <col min="6407" max="6407" width="13.1796875" style="210" bestFit="1" customWidth="1"/>
    <col min="6408" max="6408" width="18.1796875" style="210" bestFit="1" customWidth="1"/>
    <col min="6409" max="6409" width="16.81640625" style="210" bestFit="1" customWidth="1"/>
    <col min="6410" max="6410" width="13.1796875" style="210" bestFit="1" customWidth="1"/>
    <col min="6411" max="6411" width="15.1796875" style="210" bestFit="1" customWidth="1"/>
    <col min="6412" max="6412" width="18.81640625" style="210" customWidth="1"/>
    <col min="6413" max="6413" width="15.81640625" style="210" customWidth="1"/>
    <col min="6414" max="6414" width="15.453125" style="210" customWidth="1"/>
    <col min="6415" max="6415" width="16.1796875" style="210" bestFit="1" customWidth="1"/>
    <col min="6416" max="6416" width="18.1796875" style="210" bestFit="1" customWidth="1"/>
    <col min="6417" max="6417" width="15.1796875" style="210" bestFit="1" customWidth="1"/>
    <col min="6418" max="6418" width="15.54296875" style="210" customWidth="1"/>
    <col min="6419" max="6419" width="15.1796875" style="210" bestFit="1" customWidth="1"/>
    <col min="6420" max="6420" width="12.81640625" style="210" customWidth="1"/>
    <col min="6421" max="6421" width="13.1796875" style="210" customWidth="1"/>
    <col min="6422" max="6422" width="16.1796875" style="210" customWidth="1"/>
    <col min="6423" max="6423" width="12" style="210" bestFit="1" customWidth="1"/>
    <col min="6424" max="6656" width="10.1796875" style="210"/>
    <col min="6657" max="6657" width="35" style="210" customWidth="1"/>
    <col min="6658" max="6658" width="19.453125" style="210" customWidth="1"/>
    <col min="6659" max="6659" width="18" style="210" customWidth="1"/>
    <col min="6660" max="6660" width="14.453125" style="210" customWidth="1"/>
    <col min="6661" max="6661" width="15.81640625" style="210" bestFit="1" customWidth="1"/>
    <col min="6662" max="6662" width="14.453125" style="210" customWidth="1"/>
    <col min="6663" max="6663" width="13.1796875" style="210" bestFit="1" customWidth="1"/>
    <col min="6664" max="6664" width="18.1796875" style="210" bestFit="1" customWidth="1"/>
    <col min="6665" max="6665" width="16.81640625" style="210" bestFit="1" customWidth="1"/>
    <col min="6666" max="6666" width="13.1796875" style="210" bestFit="1" customWidth="1"/>
    <col min="6667" max="6667" width="15.1796875" style="210" bestFit="1" customWidth="1"/>
    <col min="6668" max="6668" width="18.81640625" style="210" customWidth="1"/>
    <col min="6669" max="6669" width="15.81640625" style="210" customWidth="1"/>
    <col min="6670" max="6670" width="15.453125" style="210" customWidth="1"/>
    <col min="6671" max="6671" width="16.1796875" style="210" bestFit="1" customWidth="1"/>
    <col min="6672" max="6672" width="18.1796875" style="210" bestFit="1" customWidth="1"/>
    <col min="6673" max="6673" width="15.1796875" style="210" bestFit="1" customWidth="1"/>
    <col min="6674" max="6674" width="15.54296875" style="210" customWidth="1"/>
    <col min="6675" max="6675" width="15.1796875" style="210" bestFit="1" customWidth="1"/>
    <col min="6676" max="6676" width="12.81640625" style="210" customWidth="1"/>
    <col min="6677" max="6677" width="13.1796875" style="210" customWidth="1"/>
    <col min="6678" max="6678" width="16.1796875" style="210" customWidth="1"/>
    <col min="6679" max="6679" width="12" style="210" bestFit="1" customWidth="1"/>
    <col min="6680" max="6912" width="10.1796875" style="210"/>
    <col min="6913" max="6913" width="35" style="210" customWidth="1"/>
    <col min="6914" max="6914" width="19.453125" style="210" customWidth="1"/>
    <col min="6915" max="6915" width="18" style="210" customWidth="1"/>
    <col min="6916" max="6916" width="14.453125" style="210" customWidth="1"/>
    <col min="6917" max="6917" width="15.81640625" style="210" bestFit="1" customWidth="1"/>
    <col min="6918" max="6918" width="14.453125" style="210" customWidth="1"/>
    <col min="6919" max="6919" width="13.1796875" style="210" bestFit="1" customWidth="1"/>
    <col min="6920" max="6920" width="18.1796875" style="210" bestFit="1" customWidth="1"/>
    <col min="6921" max="6921" width="16.81640625" style="210" bestFit="1" customWidth="1"/>
    <col min="6922" max="6922" width="13.1796875" style="210" bestFit="1" customWidth="1"/>
    <col min="6923" max="6923" width="15.1796875" style="210" bestFit="1" customWidth="1"/>
    <col min="6924" max="6924" width="18.81640625" style="210" customWidth="1"/>
    <col min="6925" max="6925" width="15.81640625" style="210" customWidth="1"/>
    <col min="6926" max="6926" width="15.453125" style="210" customWidth="1"/>
    <col min="6927" max="6927" width="16.1796875" style="210" bestFit="1" customWidth="1"/>
    <col min="6928" max="6928" width="18.1796875" style="210" bestFit="1" customWidth="1"/>
    <col min="6929" max="6929" width="15.1796875" style="210" bestFit="1" customWidth="1"/>
    <col min="6930" max="6930" width="15.54296875" style="210" customWidth="1"/>
    <col min="6931" max="6931" width="15.1796875" style="210" bestFit="1" customWidth="1"/>
    <col min="6932" max="6932" width="12.81640625" style="210" customWidth="1"/>
    <col min="6933" max="6933" width="13.1796875" style="210" customWidth="1"/>
    <col min="6934" max="6934" width="16.1796875" style="210" customWidth="1"/>
    <col min="6935" max="6935" width="12" style="210" bestFit="1" customWidth="1"/>
    <col min="6936" max="7168" width="10.1796875" style="210"/>
    <col min="7169" max="7169" width="35" style="210" customWidth="1"/>
    <col min="7170" max="7170" width="19.453125" style="210" customWidth="1"/>
    <col min="7171" max="7171" width="18" style="210" customWidth="1"/>
    <col min="7172" max="7172" width="14.453125" style="210" customWidth="1"/>
    <col min="7173" max="7173" width="15.81640625" style="210" bestFit="1" customWidth="1"/>
    <col min="7174" max="7174" width="14.453125" style="210" customWidth="1"/>
    <col min="7175" max="7175" width="13.1796875" style="210" bestFit="1" customWidth="1"/>
    <col min="7176" max="7176" width="18.1796875" style="210" bestFit="1" customWidth="1"/>
    <col min="7177" max="7177" width="16.81640625" style="210" bestFit="1" customWidth="1"/>
    <col min="7178" max="7178" width="13.1796875" style="210" bestFit="1" customWidth="1"/>
    <col min="7179" max="7179" width="15.1796875" style="210" bestFit="1" customWidth="1"/>
    <col min="7180" max="7180" width="18.81640625" style="210" customWidth="1"/>
    <col min="7181" max="7181" width="15.81640625" style="210" customWidth="1"/>
    <col min="7182" max="7182" width="15.453125" style="210" customWidth="1"/>
    <col min="7183" max="7183" width="16.1796875" style="210" bestFit="1" customWidth="1"/>
    <col min="7184" max="7184" width="18.1796875" style="210" bestFit="1" customWidth="1"/>
    <col min="7185" max="7185" width="15.1796875" style="210" bestFit="1" customWidth="1"/>
    <col min="7186" max="7186" width="15.54296875" style="210" customWidth="1"/>
    <col min="7187" max="7187" width="15.1796875" style="210" bestFit="1" customWidth="1"/>
    <col min="7188" max="7188" width="12.81640625" style="210" customWidth="1"/>
    <col min="7189" max="7189" width="13.1796875" style="210" customWidth="1"/>
    <col min="7190" max="7190" width="16.1796875" style="210" customWidth="1"/>
    <col min="7191" max="7191" width="12" style="210" bestFit="1" customWidth="1"/>
    <col min="7192" max="7424" width="10.1796875" style="210"/>
    <col min="7425" max="7425" width="35" style="210" customWidth="1"/>
    <col min="7426" max="7426" width="19.453125" style="210" customWidth="1"/>
    <col min="7427" max="7427" width="18" style="210" customWidth="1"/>
    <col min="7428" max="7428" width="14.453125" style="210" customWidth="1"/>
    <col min="7429" max="7429" width="15.81640625" style="210" bestFit="1" customWidth="1"/>
    <col min="7430" max="7430" width="14.453125" style="210" customWidth="1"/>
    <col min="7431" max="7431" width="13.1796875" style="210" bestFit="1" customWidth="1"/>
    <col min="7432" max="7432" width="18.1796875" style="210" bestFit="1" customWidth="1"/>
    <col min="7433" max="7433" width="16.81640625" style="210" bestFit="1" customWidth="1"/>
    <col min="7434" max="7434" width="13.1796875" style="210" bestFit="1" customWidth="1"/>
    <col min="7435" max="7435" width="15.1796875" style="210" bestFit="1" customWidth="1"/>
    <col min="7436" max="7436" width="18.81640625" style="210" customWidth="1"/>
    <col min="7437" max="7437" width="15.81640625" style="210" customWidth="1"/>
    <col min="7438" max="7438" width="15.453125" style="210" customWidth="1"/>
    <col min="7439" max="7439" width="16.1796875" style="210" bestFit="1" customWidth="1"/>
    <col min="7440" max="7440" width="18.1796875" style="210" bestFit="1" customWidth="1"/>
    <col min="7441" max="7441" width="15.1796875" style="210" bestFit="1" customWidth="1"/>
    <col min="7442" max="7442" width="15.54296875" style="210" customWidth="1"/>
    <col min="7443" max="7443" width="15.1796875" style="210" bestFit="1" customWidth="1"/>
    <col min="7444" max="7444" width="12.81640625" style="210" customWidth="1"/>
    <col min="7445" max="7445" width="13.1796875" style="210" customWidth="1"/>
    <col min="7446" max="7446" width="16.1796875" style="210" customWidth="1"/>
    <col min="7447" max="7447" width="12" style="210" bestFit="1" customWidth="1"/>
    <col min="7448" max="7680" width="10.1796875" style="210"/>
    <col min="7681" max="7681" width="35" style="210" customWidth="1"/>
    <col min="7682" max="7682" width="19.453125" style="210" customWidth="1"/>
    <col min="7683" max="7683" width="18" style="210" customWidth="1"/>
    <col min="7684" max="7684" width="14.453125" style="210" customWidth="1"/>
    <col min="7685" max="7685" width="15.81640625" style="210" bestFit="1" customWidth="1"/>
    <col min="7686" max="7686" width="14.453125" style="210" customWidth="1"/>
    <col min="7687" max="7687" width="13.1796875" style="210" bestFit="1" customWidth="1"/>
    <col min="7688" max="7688" width="18.1796875" style="210" bestFit="1" customWidth="1"/>
    <col min="7689" max="7689" width="16.81640625" style="210" bestFit="1" customWidth="1"/>
    <col min="7690" max="7690" width="13.1796875" style="210" bestFit="1" customWidth="1"/>
    <col min="7691" max="7691" width="15.1796875" style="210" bestFit="1" customWidth="1"/>
    <col min="7692" max="7692" width="18.81640625" style="210" customWidth="1"/>
    <col min="7693" max="7693" width="15.81640625" style="210" customWidth="1"/>
    <col min="7694" max="7694" width="15.453125" style="210" customWidth="1"/>
    <col min="7695" max="7695" width="16.1796875" style="210" bestFit="1" customWidth="1"/>
    <col min="7696" max="7696" width="18.1796875" style="210" bestFit="1" customWidth="1"/>
    <col min="7697" max="7697" width="15.1796875" style="210" bestFit="1" customWidth="1"/>
    <col min="7698" max="7698" width="15.54296875" style="210" customWidth="1"/>
    <col min="7699" max="7699" width="15.1796875" style="210" bestFit="1" customWidth="1"/>
    <col min="7700" max="7700" width="12.81640625" style="210" customWidth="1"/>
    <col min="7701" max="7701" width="13.1796875" style="210" customWidth="1"/>
    <col min="7702" max="7702" width="16.1796875" style="210" customWidth="1"/>
    <col min="7703" max="7703" width="12" style="210" bestFit="1" customWidth="1"/>
    <col min="7704" max="7936" width="10.1796875" style="210"/>
    <col min="7937" max="7937" width="35" style="210" customWidth="1"/>
    <col min="7938" max="7938" width="19.453125" style="210" customWidth="1"/>
    <col min="7939" max="7939" width="18" style="210" customWidth="1"/>
    <col min="7940" max="7940" width="14.453125" style="210" customWidth="1"/>
    <col min="7941" max="7941" width="15.81640625" style="210" bestFit="1" customWidth="1"/>
    <col min="7942" max="7942" width="14.453125" style="210" customWidth="1"/>
    <col min="7943" max="7943" width="13.1796875" style="210" bestFit="1" customWidth="1"/>
    <col min="7944" max="7944" width="18.1796875" style="210" bestFit="1" customWidth="1"/>
    <col min="7945" max="7945" width="16.81640625" style="210" bestFit="1" customWidth="1"/>
    <col min="7946" max="7946" width="13.1796875" style="210" bestFit="1" customWidth="1"/>
    <col min="7947" max="7947" width="15.1796875" style="210" bestFit="1" customWidth="1"/>
    <col min="7948" max="7948" width="18.81640625" style="210" customWidth="1"/>
    <col min="7949" max="7949" width="15.81640625" style="210" customWidth="1"/>
    <col min="7950" max="7950" width="15.453125" style="210" customWidth="1"/>
    <col min="7951" max="7951" width="16.1796875" style="210" bestFit="1" customWidth="1"/>
    <col min="7952" max="7952" width="18.1796875" style="210" bestFit="1" customWidth="1"/>
    <col min="7953" max="7953" width="15.1796875" style="210" bestFit="1" customWidth="1"/>
    <col min="7954" max="7954" width="15.54296875" style="210" customWidth="1"/>
    <col min="7955" max="7955" width="15.1796875" style="210" bestFit="1" customWidth="1"/>
    <col min="7956" max="7956" width="12.81640625" style="210" customWidth="1"/>
    <col min="7957" max="7957" width="13.1796875" style="210" customWidth="1"/>
    <col min="7958" max="7958" width="16.1796875" style="210" customWidth="1"/>
    <col min="7959" max="7959" width="12" style="210" bestFit="1" customWidth="1"/>
    <col min="7960" max="8192" width="10.1796875" style="210"/>
    <col min="8193" max="8193" width="35" style="210" customWidth="1"/>
    <col min="8194" max="8194" width="19.453125" style="210" customWidth="1"/>
    <col min="8195" max="8195" width="18" style="210" customWidth="1"/>
    <col min="8196" max="8196" width="14.453125" style="210" customWidth="1"/>
    <col min="8197" max="8197" width="15.81640625" style="210" bestFit="1" customWidth="1"/>
    <col min="8198" max="8198" width="14.453125" style="210" customWidth="1"/>
    <col min="8199" max="8199" width="13.1796875" style="210" bestFit="1" customWidth="1"/>
    <col min="8200" max="8200" width="18.1796875" style="210" bestFit="1" customWidth="1"/>
    <col min="8201" max="8201" width="16.81640625" style="210" bestFit="1" customWidth="1"/>
    <col min="8202" max="8202" width="13.1796875" style="210" bestFit="1" customWidth="1"/>
    <col min="8203" max="8203" width="15.1796875" style="210" bestFit="1" customWidth="1"/>
    <col min="8204" max="8204" width="18.81640625" style="210" customWidth="1"/>
    <col min="8205" max="8205" width="15.81640625" style="210" customWidth="1"/>
    <col min="8206" max="8206" width="15.453125" style="210" customWidth="1"/>
    <col min="8207" max="8207" width="16.1796875" style="210" bestFit="1" customWidth="1"/>
    <col min="8208" max="8208" width="18.1796875" style="210" bestFit="1" customWidth="1"/>
    <col min="8209" max="8209" width="15.1796875" style="210" bestFit="1" customWidth="1"/>
    <col min="8210" max="8210" width="15.54296875" style="210" customWidth="1"/>
    <col min="8211" max="8211" width="15.1796875" style="210" bestFit="1" customWidth="1"/>
    <col min="8212" max="8212" width="12.81640625" style="210" customWidth="1"/>
    <col min="8213" max="8213" width="13.1796875" style="210" customWidth="1"/>
    <col min="8214" max="8214" width="16.1796875" style="210" customWidth="1"/>
    <col min="8215" max="8215" width="12" style="210" bestFit="1" customWidth="1"/>
    <col min="8216" max="8448" width="10.1796875" style="210"/>
    <col min="8449" max="8449" width="35" style="210" customWidth="1"/>
    <col min="8450" max="8450" width="19.453125" style="210" customWidth="1"/>
    <col min="8451" max="8451" width="18" style="210" customWidth="1"/>
    <col min="8452" max="8452" width="14.453125" style="210" customWidth="1"/>
    <col min="8453" max="8453" width="15.81640625" style="210" bestFit="1" customWidth="1"/>
    <col min="8454" max="8454" width="14.453125" style="210" customWidth="1"/>
    <col min="8455" max="8455" width="13.1796875" style="210" bestFit="1" customWidth="1"/>
    <col min="8456" max="8456" width="18.1796875" style="210" bestFit="1" customWidth="1"/>
    <col min="8457" max="8457" width="16.81640625" style="210" bestFit="1" customWidth="1"/>
    <col min="8458" max="8458" width="13.1796875" style="210" bestFit="1" customWidth="1"/>
    <col min="8459" max="8459" width="15.1796875" style="210" bestFit="1" customWidth="1"/>
    <col min="8460" max="8460" width="18.81640625" style="210" customWidth="1"/>
    <col min="8461" max="8461" width="15.81640625" style="210" customWidth="1"/>
    <col min="8462" max="8462" width="15.453125" style="210" customWidth="1"/>
    <col min="8463" max="8463" width="16.1796875" style="210" bestFit="1" customWidth="1"/>
    <col min="8464" max="8464" width="18.1796875" style="210" bestFit="1" customWidth="1"/>
    <col min="8465" max="8465" width="15.1796875" style="210" bestFit="1" customWidth="1"/>
    <col min="8466" max="8466" width="15.54296875" style="210" customWidth="1"/>
    <col min="8467" max="8467" width="15.1796875" style="210" bestFit="1" customWidth="1"/>
    <col min="8468" max="8468" width="12.81640625" style="210" customWidth="1"/>
    <col min="8469" max="8469" width="13.1796875" style="210" customWidth="1"/>
    <col min="8470" max="8470" width="16.1796875" style="210" customWidth="1"/>
    <col min="8471" max="8471" width="12" style="210" bestFit="1" customWidth="1"/>
    <col min="8472" max="8704" width="10.1796875" style="210"/>
    <col min="8705" max="8705" width="35" style="210" customWidth="1"/>
    <col min="8706" max="8706" width="19.453125" style="210" customWidth="1"/>
    <col min="8707" max="8707" width="18" style="210" customWidth="1"/>
    <col min="8708" max="8708" width="14.453125" style="210" customWidth="1"/>
    <col min="8709" max="8709" width="15.81640625" style="210" bestFit="1" customWidth="1"/>
    <col min="8710" max="8710" width="14.453125" style="210" customWidth="1"/>
    <col min="8711" max="8711" width="13.1796875" style="210" bestFit="1" customWidth="1"/>
    <col min="8712" max="8712" width="18.1796875" style="210" bestFit="1" customWidth="1"/>
    <col min="8713" max="8713" width="16.81640625" style="210" bestFit="1" customWidth="1"/>
    <col min="8714" max="8714" width="13.1796875" style="210" bestFit="1" customWidth="1"/>
    <col min="8715" max="8715" width="15.1796875" style="210" bestFit="1" customWidth="1"/>
    <col min="8716" max="8716" width="18.81640625" style="210" customWidth="1"/>
    <col min="8717" max="8717" width="15.81640625" style="210" customWidth="1"/>
    <col min="8718" max="8718" width="15.453125" style="210" customWidth="1"/>
    <col min="8719" max="8719" width="16.1796875" style="210" bestFit="1" customWidth="1"/>
    <col min="8720" max="8720" width="18.1796875" style="210" bestFit="1" customWidth="1"/>
    <col min="8721" max="8721" width="15.1796875" style="210" bestFit="1" customWidth="1"/>
    <col min="8722" max="8722" width="15.54296875" style="210" customWidth="1"/>
    <col min="8723" max="8723" width="15.1796875" style="210" bestFit="1" customWidth="1"/>
    <col min="8724" max="8724" width="12.81640625" style="210" customWidth="1"/>
    <col min="8725" max="8725" width="13.1796875" style="210" customWidth="1"/>
    <col min="8726" max="8726" width="16.1796875" style="210" customWidth="1"/>
    <col min="8727" max="8727" width="12" style="210" bestFit="1" customWidth="1"/>
    <col min="8728" max="8960" width="10.1796875" style="210"/>
    <col min="8961" max="8961" width="35" style="210" customWidth="1"/>
    <col min="8962" max="8962" width="19.453125" style="210" customWidth="1"/>
    <col min="8963" max="8963" width="18" style="210" customWidth="1"/>
    <col min="8964" max="8964" width="14.453125" style="210" customWidth="1"/>
    <col min="8965" max="8965" width="15.81640625" style="210" bestFit="1" customWidth="1"/>
    <col min="8966" max="8966" width="14.453125" style="210" customWidth="1"/>
    <col min="8967" max="8967" width="13.1796875" style="210" bestFit="1" customWidth="1"/>
    <col min="8968" max="8968" width="18.1796875" style="210" bestFit="1" customWidth="1"/>
    <col min="8969" max="8969" width="16.81640625" style="210" bestFit="1" customWidth="1"/>
    <col min="8970" max="8970" width="13.1796875" style="210" bestFit="1" customWidth="1"/>
    <col min="8971" max="8971" width="15.1796875" style="210" bestFit="1" customWidth="1"/>
    <col min="8972" max="8972" width="18.81640625" style="210" customWidth="1"/>
    <col min="8973" max="8973" width="15.81640625" style="210" customWidth="1"/>
    <col min="8974" max="8974" width="15.453125" style="210" customWidth="1"/>
    <col min="8975" max="8975" width="16.1796875" style="210" bestFit="1" customWidth="1"/>
    <col min="8976" max="8976" width="18.1796875" style="210" bestFit="1" customWidth="1"/>
    <col min="8977" max="8977" width="15.1796875" style="210" bestFit="1" customWidth="1"/>
    <col min="8978" max="8978" width="15.54296875" style="210" customWidth="1"/>
    <col min="8979" max="8979" width="15.1796875" style="210" bestFit="1" customWidth="1"/>
    <col min="8980" max="8980" width="12.81640625" style="210" customWidth="1"/>
    <col min="8981" max="8981" width="13.1796875" style="210" customWidth="1"/>
    <col min="8982" max="8982" width="16.1796875" style="210" customWidth="1"/>
    <col min="8983" max="8983" width="12" style="210" bestFit="1" customWidth="1"/>
    <col min="8984" max="9216" width="10.1796875" style="210"/>
    <col min="9217" max="9217" width="35" style="210" customWidth="1"/>
    <col min="9218" max="9218" width="19.453125" style="210" customWidth="1"/>
    <col min="9219" max="9219" width="18" style="210" customWidth="1"/>
    <col min="9220" max="9220" width="14.453125" style="210" customWidth="1"/>
    <col min="9221" max="9221" width="15.81640625" style="210" bestFit="1" customWidth="1"/>
    <col min="9222" max="9222" width="14.453125" style="210" customWidth="1"/>
    <col min="9223" max="9223" width="13.1796875" style="210" bestFit="1" customWidth="1"/>
    <col min="9224" max="9224" width="18.1796875" style="210" bestFit="1" customWidth="1"/>
    <col min="9225" max="9225" width="16.81640625" style="210" bestFit="1" customWidth="1"/>
    <col min="9226" max="9226" width="13.1796875" style="210" bestFit="1" customWidth="1"/>
    <col min="9227" max="9227" width="15.1796875" style="210" bestFit="1" customWidth="1"/>
    <col min="9228" max="9228" width="18.81640625" style="210" customWidth="1"/>
    <col min="9229" max="9229" width="15.81640625" style="210" customWidth="1"/>
    <col min="9230" max="9230" width="15.453125" style="210" customWidth="1"/>
    <col min="9231" max="9231" width="16.1796875" style="210" bestFit="1" customWidth="1"/>
    <col min="9232" max="9232" width="18.1796875" style="210" bestFit="1" customWidth="1"/>
    <col min="9233" max="9233" width="15.1796875" style="210" bestFit="1" customWidth="1"/>
    <col min="9234" max="9234" width="15.54296875" style="210" customWidth="1"/>
    <col min="9235" max="9235" width="15.1796875" style="210" bestFit="1" customWidth="1"/>
    <col min="9236" max="9236" width="12.81640625" style="210" customWidth="1"/>
    <col min="9237" max="9237" width="13.1796875" style="210" customWidth="1"/>
    <col min="9238" max="9238" width="16.1796875" style="210" customWidth="1"/>
    <col min="9239" max="9239" width="12" style="210" bestFit="1" customWidth="1"/>
    <col min="9240" max="9472" width="10.1796875" style="210"/>
    <col min="9473" max="9473" width="35" style="210" customWidth="1"/>
    <col min="9474" max="9474" width="19.453125" style="210" customWidth="1"/>
    <col min="9475" max="9475" width="18" style="210" customWidth="1"/>
    <col min="9476" max="9476" width="14.453125" style="210" customWidth="1"/>
    <col min="9477" max="9477" width="15.81640625" style="210" bestFit="1" customWidth="1"/>
    <col min="9478" max="9478" width="14.453125" style="210" customWidth="1"/>
    <col min="9479" max="9479" width="13.1796875" style="210" bestFit="1" customWidth="1"/>
    <col min="9480" max="9480" width="18.1796875" style="210" bestFit="1" customWidth="1"/>
    <col min="9481" max="9481" width="16.81640625" style="210" bestFit="1" customWidth="1"/>
    <col min="9482" max="9482" width="13.1796875" style="210" bestFit="1" customWidth="1"/>
    <col min="9483" max="9483" width="15.1796875" style="210" bestFit="1" customWidth="1"/>
    <col min="9484" max="9484" width="18.81640625" style="210" customWidth="1"/>
    <col min="9485" max="9485" width="15.81640625" style="210" customWidth="1"/>
    <col min="9486" max="9486" width="15.453125" style="210" customWidth="1"/>
    <col min="9487" max="9487" width="16.1796875" style="210" bestFit="1" customWidth="1"/>
    <col min="9488" max="9488" width="18.1796875" style="210" bestFit="1" customWidth="1"/>
    <col min="9489" max="9489" width="15.1796875" style="210" bestFit="1" customWidth="1"/>
    <col min="9490" max="9490" width="15.54296875" style="210" customWidth="1"/>
    <col min="9491" max="9491" width="15.1796875" style="210" bestFit="1" customWidth="1"/>
    <col min="9492" max="9492" width="12.81640625" style="210" customWidth="1"/>
    <col min="9493" max="9493" width="13.1796875" style="210" customWidth="1"/>
    <col min="9494" max="9494" width="16.1796875" style="210" customWidth="1"/>
    <col min="9495" max="9495" width="12" style="210" bestFit="1" customWidth="1"/>
    <col min="9496" max="9728" width="10.1796875" style="210"/>
    <col min="9729" max="9729" width="35" style="210" customWidth="1"/>
    <col min="9730" max="9730" width="19.453125" style="210" customWidth="1"/>
    <col min="9731" max="9731" width="18" style="210" customWidth="1"/>
    <col min="9732" max="9732" width="14.453125" style="210" customWidth="1"/>
    <col min="9733" max="9733" width="15.81640625" style="210" bestFit="1" customWidth="1"/>
    <col min="9734" max="9734" width="14.453125" style="210" customWidth="1"/>
    <col min="9735" max="9735" width="13.1796875" style="210" bestFit="1" customWidth="1"/>
    <col min="9736" max="9736" width="18.1796875" style="210" bestFit="1" customWidth="1"/>
    <col min="9737" max="9737" width="16.81640625" style="210" bestFit="1" customWidth="1"/>
    <col min="9738" max="9738" width="13.1796875" style="210" bestFit="1" customWidth="1"/>
    <col min="9739" max="9739" width="15.1796875" style="210" bestFit="1" customWidth="1"/>
    <col min="9740" max="9740" width="18.81640625" style="210" customWidth="1"/>
    <col min="9741" max="9741" width="15.81640625" style="210" customWidth="1"/>
    <col min="9742" max="9742" width="15.453125" style="210" customWidth="1"/>
    <col min="9743" max="9743" width="16.1796875" style="210" bestFit="1" customWidth="1"/>
    <col min="9744" max="9744" width="18.1796875" style="210" bestFit="1" customWidth="1"/>
    <col min="9745" max="9745" width="15.1796875" style="210" bestFit="1" customWidth="1"/>
    <col min="9746" max="9746" width="15.54296875" style="210" customWidth="1"/>
    <col min="9747" max="9747" width="15.1796875" style="210" bestFit="1" customWidth="1"/>
    <col min="9748" max="9748" width="12.81640625" style="210" customWidth="1"/>
    <col min="9749" max="9749" width="13.1796875" style="210" customWidth="1"/>
    <col min="9750" max="9750" width="16.1796875" style="210" customWidth="1"/>
    <col min="9751" max="9751" width="12" style="210" bestFit="1" customWidth="1"/>
    <col min="9752" max="9984" width="10.1796875" style="210"/>
    <col min="9985" max="9985" width="35" style="210" customWidth="1"/>
    <col min="9986" max="9986" width="19.453125" style="210" customWidth="1"/>
    <col min="9987" max="9987" width="18" style="210" customWidth="1"/>
    <col min="9988" max="9988" width="14.453125" style="210" customWidth="1"/>
    <col min="9989" max="9989" width="15.81640625" style="210" bestFit="1" customWidth="1"/>
    <col min="9990" max="9990" width="14.453125" style="210" customWidth="1"/>
    <col min="9991" max="9991" width="13.1796875" style="210" bestFit="1" customWidth="1"/>
    <col min="9992" max="9992" width="18.1796875" style="210" bestFit="1" customWidth="1"/>
    <col min="9993" max="9993" width="16.81640625" style="210" bestFit="1" customWidth="1"/>
    <col min="9994" max="9994" width="13.1796875" style="210" bestFit="1" customWidth="1"/>
    <col min="9995" max="9995" width="15.1796875" style="210" bestFit="1" customWidth="1"/>
    <col min="9996" max="9996" width="18.81640625" style="210" customWidth="1"/>
    <col min="9997" max="9997" width="15.81640625" style="210" customWidth="1"/>
    <col min="9998" max="9998" width="15.453125" style="210" customWidth="1"/>
    <col min="9999" max="9999" width="16.1796875" style="210" bestFit="1" customWidth="1"/>
    <col min="10000" max="10000" width="18.1796875" style="210" bestFit="1" customWidth="1"/>
    <col min="10001" max="10001" width="15.1796875" style="210" bestFit="1" customWidth="1"/>
    <col min="10002" max="10002" width="15.54296875" style="210" customWidth="1"/>
    <col min="10003" max="10003" width="15.1796875" style="210" bestFit="1" customWidth="1"/>
    <col min="10004" max="10004" width="12.81640625" style="210" customWidth="1"/>
    <col min="10005" max="10005" width="13.1796875" style="210" customWidth="1"/>
    <col min="10006" max="10006" width="16.1796875" style="210" customWidth="1"/>
    <col min="10007" max="10007" width="12" style="210" bestFit="1" customWidth="1"/>
    <col min="10008" max="10240" width="10.1796875" style="210"/>
    <col min="10241" max="10241" width="35" style="210" customWidth="1"/>
    <col min="10242" max="10242" width="19.453125" style="210" customWidth="1"/>
    <col min="10243" max="10243" width="18" style="210" customWidth="1"/>
    <col min="10244" max="10244" width="14.453125" style="210" customWidth="1"/>
    <col min="10245" max="10245" width="15.81640625" style="210" bestFit="1" customWidth="1"/>
    <col min="10246" max="10246" width="14.453125" style="210" customWidth="1"/>
    <col min="10247" max="10247" width="13.1796875" style="210" bestFit="1" customWidth="1"/>
    <col min="10248" max="10248" width="18.1796875" style="210" bestFit="1" customWidth="1"/>
    <col min="10249" max="10249" width="16.81640625" style="210" bestFit="1" customWidth="1"/>
    <col min="10250" max="10250" width="13.1796875" style="210" bestFit="1" customWidth="1"/>
    <col min="10251" max="10251" width="15.1796875" style="210" bestFit="1" customWidth="1"/>
    <col min="10252" max="10252" width="18.81640625" style="210" customWidth="1"/>
    <col min="10253" max="10253" width="15.81640625" style="210" customWidth="1"/>
    <col min="10254" max="10254" width="15.453125" style="210" customWidth="1"/>
    <col min="10255" max="10255" width="16.1796875" style="210" bestFit="1" customWidth="1"/>
    <col min="10256" max="10256" width="18.1796875" style="210" bestFit="1" customWidth="1"/>
    <col min="10257" max="10257" width="15.1796875" style="210" bestFit="1" customWidth="1"/>
    <col min="10258" max="10258" width="15.54296875" style="210" customWidth="1"/>
    <col min="10259" max="10259" width="15.1796875" style="210" bestFit="1" customWidth="1"/>
    <col min="10260" max="10260" width="12.81640625" style="210" customWidth="1"/>
    <col min="10261" max="10261" width="13.1796875" style="210" customWidth="1"/>
    <col min="10262" max="10262" width="16.1796875" style="210" customWidth="1"/>
    <col min="10263" max="10263" width="12" style="210" bestFit="1" customWidth="1"/>
    <col min="10264" max="10496" width="10.1796875" style="210"/>
    <col min="10497" max="10497" width="35" style="210" customWidth="1"/>
    <col min="10498" max="10498" width="19.453125" style="210" customWidth="1"/>
    <col min="10499" max="10499" width="18" style="210" customWidth="1"/>
    <col min="10500" max="10500" width="14.453125" style="210" customWidth="1"/>
    <col min="10501" max="10501" width="15.81640625" style="210" bestFit="1" customWidth="1"/>
    <col min="10502" max="10502" width="14.453125" style="210" customWidth="1"/>
    <col min="10503" max="10503" width="13.1796875" style="210" bestFit="1" customWidth="1"/>
    <col min="10504" max="10504" width="18.1796875" style="210" bestFit="1" customWidth="1"/>
    <col min="10505" max="10505" width="16.81640625" style="210" bestFit="1" customWidth="1"/>
    <col min="10506" max="10506" width="13.1796875" style="210" bestFit="1" customWidth="1"/>
    <col min="10507" max="10507" width="15.1796875" style="210" bestFit="1" customWidth="1"/>
    <col min="10508" max="10508" width="18.81640625" style="210" customWidth="1"/>
    <col min="10509" max="10509" width="15.81640625" style="210" customWidth="1"/>
    <col min="10510" max="10510" width="15.453125" style="210" customWidth="1"/>
    <col min="10511" max="10511" width="16.1796875" style="210" bestFit="1" customWidth="1"/>
    <col min="10512" max="10512" width="18.1796875" style="210" bestFit="1" customWidth="1"/>
    <col min="10513" max="10513" width="15.1796875" style="210" bestFit="1" customWidth="1"/>
    <col min="10514" max="10514" width="15.54296875" style="210" customWidth="1"/>
    <col min="10515" max="10515" width="15.1796875" style="210" bestFit="1" customWidth="1"/>
    <col min="10516" max="10516" width="12.81640625" style="210" customWidth="1"/>
    <col min="10517" max="10517" width="13.1796875" style="210" customWidth="1"/>
    <col min="10518" max="10518" width="16.1796875" style="210" customWidth="1"/>
    <col min="10519" max="10519" width="12" style="210" bestFit="1" customWidth="1"/>
    <col min="10520" max="10752" width="10.1796875" style="210"/>
    <col min="10753" max="10753" width="35" style="210" customWidth="1"/>
    <col min="10754" max="10754" width="19.453125" style="210" customWidth="1"/>
    <col min="10755" max="10755" width="18" style="210" customWidth="1"/>
    <col min="10756" max="10756" width="14.453125" style="210" customWidth="1"/>
    <col min="10757" max="10757" width="15.81640625" style="210" bestFit="1" customWidth="1"/>
    <col min="10758" max="10758" width="14.453125" style="210" customWidth="1"/>
    <col min="10759" max="10759" width="13.1796875" style="210" bestFit="1" customWidth="1"/>
    <col min="10760" max="10760" width="18.1796875" style="210" bestFit="1" customWidth="1"/>
    <col min="10761" max="10761" width="16.81640625" style="210" bestFit="1" customWidth="1"/>
    <col min="10762" max="10762" width="13.1796875" style="210" bestFit="1" customWidth="1"/>
    <col min="10763" max="10763" width="15.1796875" style="210" bestFit="1" customWidth="1"/>
    <col min="10764" max="10764" width="18.81640625" style="210" customWidth="1"/>
    <col min="10765" max="10765" width="15.81640625" style="210" customWidth="1"/>
    <col min="10766" max="10766" width="15.453125" style="210" customWidth="1"/>
    <col min="10767" max="10767" width="16.1796875" style="210" bestFit="1" customWidth="1"/>
    <col min="10768" max="10768" width="18.1796875" style="210" bestFit="1" customWidth="1"/>
    <col min="10769" max="10769" width="15.1796875" style="210" bestFit="1" customWidth="1"/>
    <col min="10770" max="10770" width="15.54296875" style="210" customWidth="1"/>
    <col min="10771" max="10771" width="15.1796875" style="210" bestFit="1" customWidth="1"/>
    <col min="10772" max="10772" width="12.81640625" style="210" customWidth="1"/>
    <col min="10773" max="10773" width="13.1796875" style="210" customWidth="1"/>
    <col min="10774" max="10774" width="16.1796875" style="210" customWidth="1"/>
    <col min="10775" max="10775" width="12" style="210" bestFit="1" customWidth="1"/>
    <col min="10776" max="11008" width="10.1796875" style="210"/>
    <col min="11009" max="11009" width="35" style="210" customWidth="1"/>
    <col min="11010" max="11010" width="19.453125" style="210" customWidth="1"/>
    <col min="11011" max="11011" width="18" style="210" customWidth="1"/>
    <col min="11012" max="11012" width="14.453125" style="210" customWidth="1"/>
    <col min="11013" max="11013" width="15.81640625" style="210" bestFit="1" customWidth="1"/>
    <col min="11014" max="11014" width="14.453125" style="210" customWidth="1"/>
    <col min="11015" max="11015" width="13.1796875" style="210" bestFit="1" customWidth="1"/>
    <col min="11016" max="11016" width="18.1796875" style="210" bestFit="1" customWidth="1"/>
    <col min="11017" max="11017" width="16.81640625" style="210" bestFit="1" customWidth="1"/>
    <col min="11018" max="11018" width="13.1796875" style="210" bestFit="1" customWidth="1"/>
    <col min="11019" max="11019" width="15.1796875" style="210" bestFit="1" customWidth="1"/>
    <col min="11020" max="11020" width="18.81640625" style="210" customWidth="1"/>
    <col min="11021" max="11021" width="15.81640625" style="210" customWidth="1"/>
    <col min="11022" max="11022" width="15.453125" style="210" customWidth="1"/>
    <col min="11023" max="11023" width="16.1796875" style="210" bestFit="1" customWidth="1"/>
    <col min="11024" max="11024" width="18.1796875" style="210" bestFit="1" customWidth="1"/>
    <col min="11025" max="11025" width="15.1796875" style="210" bestFit="1" customWidth="1"/>
    <col min="11026" max="11026" width="15.54296875" style="210" customWidth="1"/>
    <col min="11027" max="11027" width="15.1796875" style="210" bestFit="1" customWidth="1"/>
    <col min="11028" max="11028" width="12.81640625" style="210" customWidth="1"/>
    <col min="11029" max="11029" width="13.1796875" style="210" customWidth="1"/>
    <col min="11030" max="11030" width="16.1796875" style="210" customWidth="1"/>
    <col min="11031" max="11031" width="12" style="210" bestFit="1" customWidth="1"/>
    <col min="11032" max="11264" width="10.1796875" style="210"/>
    <col min="11265" max="11265" width="35" style="210" customWidth="1"/>
    <col min="11266" max="11266" width="19.453125" style="210" customWidth="1"/>
    <col min="11267" max="11267" width="18" style="210" customWidth="1"/>
    <col min="11268" max="11268" width="14.453125" style="210" customWidth="1"/>
    <col min="11269" max="11269" width="15.81640625" style="210" bestFit="1" customWidth="1"/>
    <col min="11270" max="11270" width="14.453125" style="210" customWidth="1"/>
    <col min="11271" max="11271" width="13.1796875" style="210" bestFit="1" customWidth="1"/>
    <col min="11272" max="11272" width="18.1796875" style="210" bestFit="1" customWidth="1"/>
    <col min="11273" max="11273" width="16.81640625" style="210" bestFit="1" customWidth="1"/>
    <col min="11274" max="11274" width="13.1796875" style="210" bestFit="1" customWidth="1"/>
    <col min="11275" max="11275" width="15.1796875" style="210" bestFit="1" customWidth="1"/>
    <col min="11276" max="11276" width="18.81640625" style="210" customWidth="1"/>
    <col min="11277" max="11277" width="15.81640625" style="210" customWidth="1"/>
    <col min="11278" max="11278" width="15.453125" style="210" customWidth="1"/>
    <col min="11279" max="11279" width="16.1796875" style="210" bestFit="1" customWidth="1"/>
    <col min="11280" max="11280" width="18.1796875" style="210" bestFit="1" customWidth="1"/>
    <col min="11281" max="11281" width="15.1796875" style="210" bestFit="1" customWidth="1"/>
    <col min="11282" max="11282" width="15.54296875" style="210" customWidth="1"/>
    <col min="11283" max="11283" width="15.1796875" style="210" bestFit="1" customWidth="1"/>
    <col min="11284" max="11284" width="12.81640625" style="210" customWidth="1"/>
    <col min="11285" max="11285" width="13.1796875" style="210" customWidth="1"/>
    <col min="11286" max="11286" width="16.1796875" style="210" customWidth="1"/>
    <col min="11287" max="11287" width="12" style="210" bestFit="1" customWidth="1"/>
    <col min="11288" max="11520" width="10.1796875" style="210"/>
    <col min="11521" max="11521" width="35" style="210" customWidth="1"/>
    <col min="11522" max="11522" width="19.453125" style="210" customWidth="1"/>
    <col min="11523" max="11523" width="18" style="210" customWidth="1"/>
    <col min="11524" max="11524" width="14.453125" style="210" customWidth="1"/>
    <col min="11525" max="11525" width="15.81640625" style="210" bestFit="1" customWidth="1"/>
    <col min="11526" max="11526" width="14.453125" style="210" customWidth="1"/>
    <col min="11527" max="11527" width="13.1796875" style="210" bestFit="1" customWidth="1"/>
    <col min="11528" max="11528" width="18.1796875" style="210" bestFit="1" customWidth="1"/>
    <col min="11529" max="11529" width="16.81640625" style="210" bestFit="1" customWidth="1"/>
    <col min="11530" max="11530" width="13.1796875" style="210" bestFit="1" customWidth="1"/>
    <col min="11531" max="11531" width="15.1796875" style="210" bestFit="1" customWidth="1"/>
    <col min="11532" max="11532" width="18.81640625" style="210" customWidth="1"/>
    <col min="11533" max="11533" width="15.81640625" style="210" customWidth="1"/>
    <col min="11534" max="11534" width="15.453125" style="210" customWidth="1"/>
    <col min="11535" max="11535" width="16.1796875" style="210" bestFit="1" customWidth="1"/>
    <col min="11536" max="11536" width="18.1796875" style="210" bestFit="1" customWidth="1"/>
    <col min="11537" max="11537" width="15.1796875" style="210" bestFit="1" customWidth="1"/>
    <col min="11538" max="11538" width="15.54296875" style="210" customWidth="1"/>
    <col min="11539" max="11539" width="15.1796875" style="210" bestFit="1" customWidth="1"/>
    <col min="11540" max="11540" width="12.81640625" style="210" customWidth="1"/>
    <col min="11541" max="11541" width="13.1796875" style="210" customWidth="1"/>
    <col min="11542" max="11542" width="16.1796875" style="210" customWidth="1"/>
    <col min="11543" max="11543" width="12" style="210" bestFit="1" customWidth="1"/>
    <col min="11544" max="11776" width="10.1796875" style="210"/>
    <col min="11777" max="11777" width="35" style="210" customWidth="1"/>
    <col min="11778" max="11778" width="19.453125" style="210" customWidth="1"/>
    <col min="11779" max="11779" width="18" style="210" customWidth="1"/>
    <col min="11780" max="11780" width="14.453125" style="210" customWidth="1"/>
    <col min="11781" max="11781" width="15.81640625" style="210" bestFit="1" customWidth="1"/>
    <col min="11782" max="11782" width="14.453125" style="210" customWidth="1"/>
    <col min="11783" max="11783" width="13.1796875" style="210" bestFit="1" customWidth="1"/>
    <col min="11784" max="11784" width="18.1796875" style="210" bestFit="1" customWidth="1"/>
    <col min="11785" max="11785" width="16.81640625" style="210" bestFit="1" customWidth="1"/>
    <col min="11786" max="11786" width="13.1796875" style="210" bestFit="1" customWidth="1"/>
    <col min="11787" max="11787" width="15.1796875" style="210" bestFit="1" customWidth="1"/>
    <col min="11788" max="11788" width="18.81640625" style="210" customWidth="1"/>
    <col min="11789" max="11789" width="15.81640625" style="210" customWidth="1"/>
    <col min="11790" max="11790" width="15.453125" style="210" customWidth="1"/>
    <col min="11791" max="11791" width="16.1796875" style="210" bestFit="1" customWidth="1"/>
    <col min="11792" max="11792" width="18.1796875" style="210" bestFit="1" customWidth="1"/>
    <col min="11793" max="11793" width="15.1796875" style="210" bestFit="1" customWidth="1"/>
    <col min="11794" max="11794" width="15.54296875" style="210" customWidth="1"/>
    <col min="11795" max="11795" width="15.1796875" style="210" bestFit="1" customWidth="1"/>
    <col min="11796" max="11796" width="12.81640625" style="210" customWidth="1"/>
    <col min="11797" max="11797" width="13.1796875" style="210" customWidth="1"/>
    <col min="11798" max="11798" width="16.1796875" style="210" customWidth="1"/>
    <col min="11799" max="11799" width="12" style="210" bestFit="1" customWidth="1"/>
    <col min="11800" max="12032" width="10.1796875" style="210"/>
    <col min="12033" max="12033" width="35" style="210" customWidth="1"/>
    <col min="12034" max="12034" width="19.453125" style="210" customWidth="1"/>
    <col min="12035" max="12035" width="18" style="210" customWidth="1"/>
    <col min="12036" max="12036" width="14.453125" style="210" customWidth="1"/>
    <col min="12037" max="12037" width="15.81640625" style="210" bestFit="1" customWidth="1"/>
    <col min="12038" max="12038" width="14.453125" style="210" customWidth="1"/>
    <col min="12039" max="12039" width="13.1796875" style="210" bestFit="1" customWidth="1"/>
    <col min="12040" max="12040" width="18.1796875" style="210" bestFit="1" customWidth="1"/>
    <col min="12041" max="12041" width="16.81640625" style="210" bestFit="1" customWidth="1"/>
    <col min="12042" max="12042" width="13.1796875" style="210" bestFit="1" customWidth="1"/>
    <col min="12043" max="12043" width="15.1796875" style="210" bestFit="1" customWidth="1"/>
    <col min="12044" max="12044" width="18.81640625" style="210" customWidth="1"/>
    <col min="12045" max="12045" width="15.81640625" style="210" customWidth="1"/>
    <col min="12046" max="12046" width="15.453125" style="210" customWidth="1"/>
    <col min="12047" max="12047" width="16.1796875" style="210" bestFit="1" customWidth="1"/>
    <col min="12048" max="12048" width="18.1796875" style="210" bestFit="1" customWidth="1"/>
    <col min="12049" max="12049" width="15.1796875" style="210" bestFit="1" customWidth="1"/>
    <col min="12050" max="12050" width="15.54296875" style="210" customWidth="1"/>
    <col min="12051" max="12051" width="15.1796875" style="210" bestFit="1" customWidth="1"/>
    <col min="12052" max="12052" width="12.81640625" style="210" customWidth="1"/>
    <col min="12053" max="12053" width="13.1796875" style="210" customWidth="1"/>
    <col min="12054" max="12054" width="16.1796875" style="210" customWidth="1"/>
    <col min="12055" max="12055" width="12" style="210" bestFit="1" customWidth="1"/>
    <col min="12056" max="12288" width="10.1796875" style="210"/>
    <col min="12289" max="12289" width="35" style="210" customWidth="1"/>
    <col min="12290" max="12290" width="19.453125" style="210" customWidth="1"/>
    <col min="12291" max="12291" width="18" style="210" customWidth="1"/>
    <col min="12292" max="12292" width="14.453125" style="210" customWidth="1"/>
    <col min="12293" max="12293" width="15.81640625" style="210" bestFit="1" customWidth="1"/>
    <col min="12294" max="12294" width="14.453125" style="210" customWidth="1"/>
    <col min="12295" max="12295" width="13.1796875" style="210" bestFit="1" customWidth="1"/>
    <col min="12296" max="12296" width="18.1796875" style="210" bestFit="1" customWidth="1"/>
    <col min="12297" max="12297" width="16.81640625" style="210" bestFit="1" customWidth="1"/>
    <col min="12298" max="12298" width="13.1796875" style="210" bestFit="1" customWidth="1"/>
    <col min="12299" max="12299" width="15.1796875" style="210" bestFit="1" customWidth="1"/>
    <col min="12300" max="12300" width="18.81640625" style="210" customWidth="1"/>
    <col min="12301" max="12301" width="15.81640625" style="210" customWidth="1"/>
    <col min="12302" max="12302" width="15.453125" style="210" customWidth="1"/>
    <col min="12303" max="12303" width="16.1796875" style="210" bestFit="1" customWidth="1"/>
    <col min="12304" max="12304" width="18.1796875" style="210" bestFit="1" customWidth="1"/>
    <col min="12305" max="12305" width="15.1796875" style="210" bestFit="1" customWidth="1"/>
    <col min="12306" max="12306" width="15.54296875" style="210" customWidth="1"/>
    <col min="12307" max="12307" width="15.1796875" style="210" bestFit="1" customWidth="1"/>
    <col min="12308" max="12308" width="12.81640625" style="210" customWidth="1"/>
    <col min="12309" max="12309" width="13.1796875" style="210" customWidth="1"/>
    <col min="12310" max="12310" width="16.1796875" style="210" customWidth="1"/>
    <col min="12311" max="12311" width="12" style="210" bestFit="1" customWidth="1"/>
    <col min="12312" max="12544" width="10.1796875" style="210"/>
    <col min="12545" max="12545" width="35" style="210" customWidth="1"/>
    <col min="12546" max="12546" width="19.453125" style="210" customWidth="1"/>
    <col min="12547" max="12547" width="18" style="210" customWidth="1"/>
    <col min="12548" max="12548" width="14.453125" style="210" customWidth="1"/>
    <col min="12549" max="12549" width="15.81640625" style="210" bestFit="1" customWidth="1"/>
    <col min="12550" max="12550" width="14.453125" style="210" customWidth="1"/>
    <col min="12551" max="12551" width="13.1796875" style="210" bestFit="1" customWidth="1"/>
    <col min="12552" max="12552" width="18.1796875" style="210" bestFit="1" customWidth="1"/>
    <col min="12553" max="12553" width="16.81640625" style="210" bestFit="1" customWidth="1"/>
    <col min="12554" max="12554" width="13.1796875" style="210" bestFit="1" customWidth="1"/>
    <col min="12555" max="12555" width="15.1796875" style="210" bestFit="1" customWidth="1"/>
    <col min="12556" max="12556" width="18.81640625" style="210" customWidth="1"/>
    <col min="12557" max="12557" width="15.81640625" style="210" customWidth="1"/>
    <col min="12558" max="12558" width="15.453125" style="210" customWidth="1"/>
    <col min="12559" max="12559" width="16.1796875" style="210" bestFit="1" customWidth="1"/>
    <col min="12560" max="12560" width="18.1796875" style="210" bestFit="1" customWidth="1"/>
    <col min="12561" max="12561" width="15.1796875" style="210" bestFit="1" customWidth="1"/>
    <col min="12562" max="12562" width="15.54296875" style="210" customWidth="1"/>
    <col min="12563" max="12563" width="15.1796875" style="210" bestFit="1" customWidth="1"/>
    <col min="12564" max="12564" width="12.81640625" style="210" customWidth="1"/>
    <col min="12565" max="12565" width="13.1796875" style="210" customWidth="1"/>
    <col min="12566" max="12566" width="16.1796875" style="210" customWidth="1"/>
    <col min="12567" max="12567" width="12" style="210" bestFit="1" customWidth="1"/>
    <col min="12568" max="12800" width="10.1796875" style="210"/>
    <col min="12801" max="12801" width="35" style="210" customWidth="1"/>
    <col min="12802" max="12802" width="19.453125" style="210" customWidth="1"/>
    <col min="12803" max="12803" width="18" style="210" customWidth="1"/>
    <col min="12804" max="12804" width="14.453125" style="210" customWidth="1"/>
    <col min="12805" max="12805" width="15.81640625" style="210" bestFit="1" customWidth="1"/>
    <col min="12806" max="12806" width="14.453125" style="210" customWidth="1"/>
    <col min="12807" max="12807" width="13.1796875" style="210" bestFit="1" customWidth="1"/>
    <col min="12808" max="12808" width="18.1796875" style="210" bestFit="1" customWidth="1"/>
    <col min="12809" max="12809" width="16.81640625" style="210" bestFit="1" customWidth="1"/>
    <col min="12810" max="12810" width="13.1796875" style="210" bestFit="1" customWidth="1"/>
    <col min="12811" max="12811" width="15.1796875" style="210" bestFit="1" customWidth="1"/>
    <col min="12812" max="12812" width="18.81640625" style="210" customWidth="1"/>
    <col min="12813" max="12813" width="15.81640625" style="210" customWidth="1"/>
    <col min="12814" max="12814" width="15.453125" style="210" customWidth="1"/>
    <col min="12815" max="12815" width="16.1796875" style="210" bestFit="1" customWidth="1"/>
    <col min="12816" max="12816" width="18.1796875" style="210" bestFit="1" customWidth="1"/>
    <col min="12817" max="12817" width="15.1796875" style="210" bestFit="1" customWidth="1"/>
    <col min="12818" max="12818" width="15.54296875" style="210" customWidth="1"/>
    <col min="12819" max="12819" width="15.1796875" style="210" bestFit="1" customWidth="1"/>
    <col min="12820" max="12820" width="12.81640625" style="210" customWidth="1"/>
    <col min="12821" max="12821" width="13.1796875" style="210" customWidth="1"/>
    <col min="12822" max="12822" width="16.1796875" style="210" customWidth="1"/>
    <col min="12823" max="12823" width="12" style="210" bestFit="1" customWidth="1"/>
    <col min="12824" max="13056" width="10.1796875" style="210"/>
    <col min="13057" max="13057" width="35" style="210" customWidth="1"/>
    <col min="13058" max="13058" width="19.453125" style="210" customWidth="1"/>
    <col min="13059" max="13059" width="18" style="210" customWidth="1"/>
    <col min="13060" max="13060" width="14.453125" style="210" customWidth="1"/>
    <col min="13061" max="13061" width="15.81640625" style="210" bestFit="1" customWidth="1"/>
    <col min="13062" max="13062" width="14.453125" style="210" customWidth="1"/>
    <col min="13063" max="13063" width="13.1796875" style="210" bestFit="1" customWidth="1"/>
    <col min="13064" max="13064" width="18.1796875" style="210" bestFit="1" customWidth="1"/>
    <col min="13065" max="13065" width="16.81640625" style="210" bestFit="1" customWidth="1"/>
    <col min="13066" max="13066" width="13.1796875" style="210" bestFit="1" customWidth="1"/>
    <col min="13067" max="13067" width="15.1796875" style="210" bestFit="1" customWidth="1"/>
    <col min="13068" max="13068" width="18.81640625" style="210" customWidth="1"/>
    <col min="13069" max="13069" width="15.81640625" style="210" customWidth="1"/>
    <col min="13070" max="13070" width="15.453125" style="210" customWidth="1"/>
    <col min="13071" max="13071" width="16.1796875" style="210" bestFit="1" customWidth="1"/>
    <col min="13072" max="13072" width="18.1796875" style="210" bestFit="1" customWidth="1"/>
    <col min="13073" max="13073" width="15.1796875" style="210" bestFit="1" customWidth="1"/>
    <col min="13074" max="13074" width="15.54296875" style="210" customWidth="1"/>
    <col min="13075" max="13075" width="15.1796875" style="210" bestFit="1" customWidth="1"/>
    <col min="13076" max="13076" width="12.81640625" style="210" customWidth="1"/>
    <col min="13077" max="13077" width="13.1796875" style="210" customWidth="1"/>
    <col min="13078" max="13078" width="16.1796875" style="210" customWidth="1"/>
    <col min="13079" max="13079" width="12" style="210" bestFit="1" customWidth="1"/>
    <col min="13080" max="13312" width="10.1796875" style="210"/>
    <col min="13313" max="13313" width="35" style="210" customWidth="1"/>
    <col min="13314" max="13314" width="19.453125" style="210" customWidth="1"/>
    <col min="13315" max="13315" width="18" style="210" customWidth="1"/>
    <col min="13316" max="13316" width="14.453125" style="210" customWidth="1"/>
    <col min="13317" max="13317" width="15.81640625" style="210" bestFit="1" customWidth="1"/>
    <col min="13318" max="13318" width="14.453125" style="210" customWidth="1"/>
    <col min="13319" max="13319" width="13.1796875" style="210" bestFit="1" customWidth="1"/>
    <col min="13320" max="13320" width="18.1796875" style="210" bestFit="1" customWidth="1"/>
    <col min="13321" max="13321" width="16.81640625" style="210" bestFit="1" customWidth="1"/>
    <col min="13322" max="13322" width="13.1796875" style="210" bestFit="1" customWidth="1"/>
    <col min="13323" max="13323" width="15.1796875" style="210" bestFit="1" customWidth="1"/>
    <col min="13324" max="13324" width="18.81640625" style="210" customWidth="1"/>
    <col min="13325" max="13325" width="15.81640625" style="210" customWidth="1"/>
    <col min="13326" max="13326" width="15.453125" style="210" customWidth="1"/>
    <col min="13327" max="13327" width="16.1796875" style="210" bestFit="1" customWidth="1"/>
    <col min="13328" max="13328" width="18.1796875" style="210" bestFit="1" customWidth="1"/>
    <col min="13329" max="13329" width="15.1796875" style="210" bestFit="1" customWidth="1"/>
    <col min="13330" max="13330" width="15.54296875" style="210" customWidth="1"/>
    <col min="13331" max="13331" width="15.1796875" style="210" bestFit="1" customWidth="1"/>
    <col min="13332" max="13332" width="12.81640625" style="210" customWidth="1"/>
    <col min="13333" max="13333" width="13.1796875" style="210" customWidth="1"/>
    <col min="13334" max="13334" width="16.1796875" style="210" customWidth="1"/>
    <col min="13335" max="13335" width="12" style="210" bestFit="1" customWidth="1"/>
    <col min="13336" max="13568" width="10.1796875" style="210"/>
    <col min="13569" max="13569" width="35" style="210" customWidth="1"/>
    <col min="13570" max="13570" width="19.453125" style="210" customWidth="1"/>
    <col min="13571" max="13571" width="18" style="210" customWidth="1"/>
    <col min="13572" max="13572" width="14.453125" style="210" customWidth="1"/>
    <col min="13573" max="13573" width="15.81640625" style="210" bestFit="1" customWidth="1"/>
    <col min="13574" max="13574" width="14.453125" style="210" customWidth="1"/>
    <col min="13575" max="13575" width="13.1796875" style="210" bestFit="1" customWidth="1"/>
    <col min="13576" max="13576" width="18.1796875" style="210" bestFit="1" customWidth="1"/>
    <col min="13577" max="13577" width="16.81640625" style="210" bestFit="1" customWidth="1"/>
    <col min="13578" max="13578" width="13.1796875" style="210" bestFit="1" customWidth="1"/>
    <col min="13579" max="13579" width="15.1796875" style="210" bestFit="1" customWidth="1"/>
    <col min="13580" max="13580" width="18.81640625" style="210" customWidth="1"/>
    <col min="13581" max="13581" width="15.81640625" style="210" customWidth="1"/>
    <col min="13582" max="13582" width="15.453125" style="210" customWidth="1"/>
    <col min="13583" max="13583" width="16.1796875" style="210" bestFit="1" customWidth="1"/>
    <col min="13584" max="13584" width="18.1796875" style="210" bestFit="1" customWidth="1"/>
    <col min="13585" max="13585" width="15.1796875" style="210" bestFit="1" customWidth="1"/>
    <col min="13586" max="13586" width="15.54296875" style="210" customWidth="1"/>
    <col min="13587" max="13587" width="15.1796875" style="210" bestFit="1" customWidth="1"/>
    <col min="13588" max="13588" width="12.81640625" style="210" customWidth="1"/>
    <col min="13589" max="13589" width="13.1796875" style="210" customWidth="1"/>
    <col min="13590" max="13590" width="16.1796875" style="210" customWidth="1"/>
    <col min="13591" max="13591" width="12" style="210" bestFit="1" customWidth="1"/>
    <col min="13592" max="13824" width="10.1796875" style="210"/>
    <col min="13825" max="13825" width="35" style="210" customWidth="1"/>
    <col min="13826" max="13826" width="19.453125" style="210" customWidth="1"/>
    <col min="13827" max="13827" width="18" style="210" customWidth="1"/>
    <col min="13828" max="13828" width="14.453125" style="210" customWidth="1"/>
    <col min="13829" max="13829" width="15.81640625" style="210" bestFit="1" customWidth="1"/>
    <col min="13830" max="13830" width="14.453125" style="210" customWidth="1"/>
    <col min="13831" max="13831" width="13.1796875" style="210" bestFit="1" customWidth="1"/>
    <col min="13832" max="13832" width="18.1796875" style="210" bestFit="1" customWidth="1"/>
    <col min="13833" max="13833" width="16.81640625" style="210" bestFit="1" customWidth="1"/>
    <col min="13834" max="13834" width="13.1796875" style="210" bestFit="1" customWidth="1"/>
    <col min="13835" max="13835" width="15.1796875" style="210" bestFit="1" customWidth="1"/>
    <col min="13836" max="13836" width="18.81640625" style="210" customWidth="1"/>
    <col min="13837" max="13837" width="15.81640625" style="210" customWidth="1"/>
    <col min="13838" max="13838" width="15.453125" style="210" customWidth="1"/>
    <col min="13839" max="13839" width="16.1796875" style="210" bestFit="1" customWidth="1"/>
    <col min="13840" max="13840" width="18.1796875" style="210" bestFit="1" customWidth="1"/>
    <col min="13841" max="13841" width="15.1796875" style="210" bestFit="1" customWidth="1"/>
    <col min="13842" max="13842" width="15.54296875" style="210" customWidth="1"/>
    <col min="13843" max="13843" width="15.1796875" style="210" bestFit="1" customWidth="1"/>
    <col min="13844" max="13844" width="12.81640625" style="210" customWidth="1"/>
    <col min="13845" max="13845" width="13.1796875" style="210" customWidth="1"/>
    <col min="13846" max="13846" width="16.1796875" style="210" customWidth="1"/>
    <col min="13847" max="13847" width="12" style="210" bestFit="1" customWidth="1"/>
    <col min="13848" max="14080" width="10.1796875" style="210"/>
    <col min="14081" max="14081" width="35" style="210" customWidth="1"/>
    <col min="14082" max="14082" width="19.453125" style="210" customWidth="1"/>
    <col min="14083" max="14083" width="18" style="210" customWidth="1"/>
    <col min="14084" max="14084" width="14.453125" style="210" customWidth="1"/>
    <col min="14085" max="14085" width="15.81640625" style="210" bestFit="1" customWidth="1"/>
    <col min="14086" max="14086" width="14.453125" style="210" customWidth="1"/>
    <col min="14087" max="14087" width="13.1796875" style="210" bestFit="1" customWidth="1"/>
    <col min="14088" max="14088" width="18.1796875" style="210" bestFit="1" customWidth="1"/>
    <col min="14089" max="14089" width="16.81640625" style="210" bestFit="1" customWidth="1"/>
    <col min="14090" max="14090" width="13.1796875" style="210" bestFit="1" customWidth="1"/>
    <col min="14091" max="14091" width="15.1796875" style="210" bestFit="1" customWidth="1"/>
    <col min="14092" max="14092" width="18.81640625" style="210" customWidth="1"/>
    <col min="14093" max="14093" width="15.81640625" style="210" customWidth="1"/>
    <col min="14094" max="14094" width="15.453125" style="210" customWidth="1"/>
    <col min="14095" max="14095" width="16.1796875" style="210" bestFit="1" customWidth="1"/>
    <col min="14096" max="14096" width="18.1796875" style="210" bestFit="1" customWidth="1"/>
    <col min="14097" max="14097" width="15.1796875" style="210" bestFit="1" customWidth="1"/>
    <col min="14098" max="14098" width="15.54296875" style="210" customWidth="1"/>
    <col min="14099" max="14099" width="15.1796875" style="210" bestFit="1" customWidth="1"/>
    <col min="14100" max="14100" width="12.81640625" style="210" customWidth="1"/>
    <col min="14101" max="14101" width="13.1796875" style="210" customWidth="1"/>
    <col min="14102" max="14102" width="16.1796875" style="210" customWidth="1"/>
    <col min="14103" max="14103" width="12" style="210" bestFit="1" customWidth="1"/>
    <col min="14104" max="14336" width="10.1796875" style="210"/>
    <col min="14337" max="14337" width="35" style="210" customWidth="1"/>
    <col min="14338" max="14338" width="19.453125" style="210" customWidth="1"/>
    <col min="14339" max="14339" width="18" style="210" customWidth="1"/>
    <col min="14340" max="14340" width="14.453125" style="210" customWidth="1"/>
    <col min="14341" max="14341" width="15.81640625" style="210" bestFit="1" customWidth="1"/>
    <col min="14342" max="14342" width="14.453125" style="210" customWidth="1"/>
    <col min="14343" max="14343" width="13.1796875" style="210" bestFit="1" customWidth="1"/>
    <col min="14344" max="14344" width="18.1796875" style="210" bestFit="1" customWidth="1"/>
    <col min="14345" max="14345" width="16.81640625" style="210" bestFit="1" customWidth="1"/>
    <col min="14346" max="14346" width="13.1796875" style="210" bestFit="1" customWidth="1"/>
    <col min="14347" max="14347" width="15.1796875" style="210" bestFit="1" customWidth="1"/>
    <col min="14348" max="14348" width="18.81640625" style="210" customWidth="1"/>
    <col min="14349" max="14349" width="15.81640625" style="210" customWidth="1"/>
    <col min="14350" max="14350" width="15.453125" style="210" customWidth="1"/>
    <col min="14351" max="14351" width="16.1796875" style="210" bestFit="1" customWidth="1"/>
    <col min="14352" max="14352" width="18.1796875" style="210" bestFit="1" customWidth="1"/>
    <col min="14353" max="14353" width="15.1796875" style="210" bestFit="1" customWidth="1"/>
    <col min="14354" max="14354" width="15.54296875" style="210" customWidth="1"/>
    <col min="14355" max="14355" width="15.1796875" style="210" bestFit="1" customWidth="1"/>
    <col min="14356" max="14356" width="12.81640625" style="210" customWidth="1"/>
    <col min="14357" max="14357" width="13.1796875" style="210" customWidth="1"/>
    <col min="14358" max="14358" width="16.1796875" style="210" customWidth="1"/>
    <col min="14359" max="14359" width="12" style="210" bestFit="1" customWidth="1"/>
    <col min="14360" max="14592" width="10.1796875" style="210"/>
    <col min="14593" max="14593" width="35" style="210" customWidth="1"/>
    <col min="14594" max="14594" width="19.453125" style="210" customWidth="1"/>
    <col min="14595" max="14595" width="18" style="210" customWidth="1"/>
    <col min="14596" max="14596" width="14.453125" style="210" customWidth="1"/>
    <col min="14597" max="14597" width="15.81640625" style="210" bestFit="1" customWidth="1"/>
    <col min="14598" max="14598" width="14.453125" style="210" customWidth="1"/>
    <col min="14599" max="14599" width="13.1796875" style="210" bestFit="1" customWidth="1"/>
    <col min="14600" max="14600" width="18.1796875" style="210" bestFit="1" customWidth="1"/>
    <col min="14601" max="14601" width="16.81640625" style="210" bestFit="1" customWidth="1"/>
    <col min="14602" max="14602" width="13.1796875" style="210" bestFit="1" customWidth="1"/>
    <col min="14603" max="14603" width="15.1796875" style="210" bestFit="1" customWidth="1"/>
    <col min="14604" max="14604" width="18.81640625" style="210" customWidth="1"/>
    <col min="14605" max="14605" width="15.81640625" style="210" customWidth="1"/>
    <col min="14606" max="14606" width="15.453125" style="210" customWidth="1"/>
    <col min="14607" max="14607" width="16.1796875" style="210" bestFit="1" customWidth="1"/>
    <col min="14608" max="14608" width="18.1796875" style="210" bestFit="1" customWidth="1"/>
    <col min="14609" max="14609" width="15.1796875" style="210" bestFit="1" customWidth="1"/>
    <col min="14610" max="14610" width="15.54296875" style="210" customWidth="1"/>
    <col min="14611" max="14611" width="15.1796875" style="210" bestFit="1" customWidth="1"/>
    <col min="14612" max="14612" width="12.81640625" style="210" customWidth="1"/>
    <col min="14613" max="14613" width="13.1796875" style="210" customWidth="1"/>
    <col min="14614" max="14614" width="16.1796875" style="210" customWidth="1"/>
    <col min="14615" max="14615" width="12" style="210" bestFit="1" customWidth="1"/>
    <col min="14616" max="14848" width="10.1796875" style="210"/>
    <col min="14849" max="14849" width="35" style="210" customWidth="1"/>
    <col min="14850" max="14850" width="19.453125" style="210" customWidth="1"/>
    <col min="14851" max="14851" width="18" style="210" customWidth="1"/>
    <col min="14852" max="14852" width="14.453125" style="210" customWidth="1"/>
    <col min="14853" max="14853" width="15.81640625" style="210" bestFit="1" customWidth="1"/>
    <col min="14854" max="14854" width="14.453125" style="210" customWidth="1"/>
    <col min="14855" max="14855" width="13.1796875" style="210" bestFit="1" customWidth="1"/>
    <col min="14856" max="14856" width="18.1796875" style="210" bestFit="1" customWidth="1"/>
    <col min="14857" max="14857" width="16.81640625" style="210" bestFit="1" customWidth="1"/>
    <col min="14858" max="14858" width="13.1796875" style="210" bestFit="1" customWidth="1"/>
    <col min="14859" max="14859" width="15.1796875" style="210" bestFit="1" customWidth="1"/>
    <col min="14860" max="14860" width="18.81640625" style="210" customWidth="1"/>
    <col min="14861" max="14861" width="15.81640625" style="210" customWidth="1"/>
    <col min="14862" max="14862" width="15.453125" style="210" customWidth="1"/>
    <col min="14863" max="14863" width="16.1796875" style="210" bestFit="1" customWidth="1"/>
    <col min="14864" max="14864" width="18.1796875" style="210" bestFit="1" customWidth="1"/>
    <col min="14865" max="14865" width="15.1796875" style="210" bestFit="1" customWidth="1"/>
    <col min="14866" max="14866" width="15.54296875" style="210" customWidth="1"/>
    <col min="14867" max="14867" width="15.1796875" style="210" bestFit="1" customWidth="1"/>
    <col min="14868" max="14868" width="12.81640625" style="210" customWidth="1"/>
    <col min="14869" max="14869" width="13.1796875" style="210" customWidth="1"/>
    <col min="14870" max="14870" width="16.1796875" style="210" customWidth="1"/>
    <col min="14871" max="14871" width="12" style="210" bestFit="1" customWidth="1"/>
    <col min="14872" max="15104" width="10.1796875" style="210"/>
    <col min="15105" max="15105" width="35" style="210" customWidth="1"/>
    <col min="15106" max="15106" width="19.453125" style="210" customWidth="1"/>
    <col min="15107" max="15107" width="18" style="210" customWidth="1"/>
    <col min="15108" max="15108" width="14.453125" style="210" customWidth="1"/>
    <col min="15109" max="15109" width="15.81640625" style="210" bestFit="1" customWidth="1"/>
    <col min="15110" max="15110" width="14.453125" style="210" customWidth="1"/>
    <col min="15111" max="15111" width="13.1796875" style="210" bestFit="1" customWidth="1"/>
    <col min="15112" max="15112" width="18.1796875" style="210" bestFit="1" customWidth="1"/>
    <col min="15113" max="15113" width="16.81640625" style="210" bestFit="1" customWidth="1"/>
    <col min="15114" max="15114" width="13.1796875" style="210" bestFit="1" customWidth="1"/>
    <col min="15115" max="15115" width="15.1796875" style="210" bestFit="1" customWidth="1"/>
    <col min="15116" max="15116" width="18.81640625" style="210" customWidth="1"/>
    <col min="15117" max="15117" width="15.81640625" style="210" customWidth="1"/>
    <col min="15118" max="15118" width="15.453125" style="210" customWidth="1"/>
    <col min="15119" max="15119" width="16.1796875" style="210" bestFit="1" customWidth="1"/>
    <col min="15120" max="15120" width="18.1796875" style="210" bestFit="1" customWidth="1"/>
    <col min="15121" max="15121" width="15.1796875" style="210" bestFit="1" customWidth="1"/>
    <col min="15122" max="15122" width="15.54296875" style="210" customWidth="1"/>
    <col min="15123" max="15123" width="15.1796875" style="210" bestFit="1" customWidth="1"/>
    <col min="15124" max="15124" width="12.81640625" style="210" customWidth="1"/>
    <col min="15125" max="15125" width="13.1796875" style="210" customWidth="1"/>
    <col min="15126" max="15126" width="16.1796875" style="210" customWidth="1"/>
    <col min="15127" max="15127" width="12" style="210" bestFit="1" customWidth="1"/>
    <col min="15128" max="15360" width="10.1796875" style="210"/>
    <col min="15361" max="15361" width="35" style="210" customWidth="1"/>
    <col min="15362" max="15362" width="19.453125" style="210" customWidth="1"/>
    <col min="15363" max="15363" width="18" style="210" customWidth="1"/>
    <col min="15364" max="15364" width="14.453125" style="210" customWidth="1"/>
    <col min="15365" max="15365" width="15.81640625" style="210" bestFit="1" customWidth="1"/>
    <col min="15366" max="15366" width="14.453125" style="210" customWidth="1"/>
    <col min="15367" max="15367" width="13.1796875" style="210" bestFit="1" customWidth="1"/>
    <col min="15368" max="15368" width="18.1796875" style="210" bestFit="1" customWidth="1"/>
    <col min="15369" max="15369" width="16.81640625" style="210" bestFit="1" customWidth="1"/>
    <col min="15370" max="15370" width="13.1796875" style="210" bestFit="1" customWidth="1"/>
    <col min="15371" max="15371" width="15.1796875" style="210" bestFit="1" customWidth="1"/>
    <col min="15372" max="15372" width="18.81640625" style="210" customWidth="1"/>
    <col min="15373" max="15373" width="15.81640625" style="210" customWidth="1"/>
    <col min="15374" max="15374" width="15.453125" style="210" customWidth="1"/>
    <col min="15375" max="15375" width="16.1796875" style="210" bestFit="1" customWidth="1"/>
    <col min="15376" max="15376" width="18.1796875" style="210" bestFit="1" customWidth="1"/>
    <col min="15377" max="15377" width="15.1796875" style="210" bestFit="1" customWidth="1"/>
    <col min="15378" max="15378" width="15.54296875" style="210" customWidth="1"/>
    <col min="15379" max="15379" width="15.1796875" style="210" bestFit="1" customWidth="1"/>
    <col min="15380" max="15380" width="12.81640625" style="210" customWidth="1"/>
    <col min="15381" max="15381" width="13.1796875" style="210" customWidth="1"/>
    <col min="15382" max="15382" width="16.1796875" style="210" customWidth="1"/>
    <col min="15383" max="15383" width="12" style="210" bestFit="1" customWidth="1"/>
    <col min="15384" max="15616" width="10.1796875" style="210"/>
    <col min="15617" max="15617" width="35" style="210" customWidth="1"/>
    <col min="15618" max="15618" width="19.453125" style="210" customWidth="1"/>
    <col min="15619" max="15619" width="18" style="210" customWidth="1"/>
    <col min="15620" max="15620" width="14.453125" style="210" customWidth="1"/>
    <col min="15621" max="15621" width="15.81640625" style="210" bestFit="1" customWidth="1"/>
    <col min="15622" max="15622" width="14.453125" style="210" customWidth="1"/>
    <col min="15623" max="15623" width="13.1796875" style="210" bestFit="1" customWidth="1"/>
    <col min="15624" max="15624" width="18.1796875" style="210" bestFit="1" customWidth="1"/>
    <col min="15625" max="15625" width="16.81640625" style="210" bestFit="1" customWidth="1"/>
    <col min="15626" max="15626" width="13.1796875" style="210" bestFit="1" customWidth="1"/>
    <col min="15627" max="15627" width="15.1796875" style="210" bestFit="1" customWidth="1"/>
    <col min="15628" max="15628" width="18.81640625" style="210" customWidth="1"/>
    <col min="15629" max="15629" width="15.81640625" style="210" customWidth="1"/>
    <col min="15630" max="15630" width="15.453125" style="210" customWidth="1"/>
    <col min="15631" max="15631" width="16.1796875" style="210" bestFit="1" customWidth="1"/>
    <col min="15632" max="15632" width="18.1796875" style="210" bestFit="1" customWidth="1"/>
    <col min="15633" max="15633" width="15.1796875" style="210" bestFit="1" customWidth="1"/>
    <col min="15634" max="15634" width="15.54296875" style="210" customWidth="1"/>
    <col min="15635" max="15635" width="15.1796875" style="210" bestFit="1" customWidth="1"/>
    <col min="15636" max="15636" width="12.81640625" style="210" customWidth="1"/>
    <col min="15637" max="15637" width="13.1796875" style="210" customWidth="1"/>
    <col min="15638" max="15638" width="16.1796875" style="210" customWidth="1"/>
    <col min="15639" max="15639" width="12" style="210" bestFit="1" customWidth="1"/>
    <col min="15640" max="15872" width="10.1796875" style="210"/>
    <col min="15873" max="15873" width="35" style="210" customWidth="1"/>
    <col min="15874" max="15874" width="19.453125" style="210" customWidth="1"/>
    <col min="15875" max="15875" width="18" style="210" customWidth="1"/>
    <col min="15876" max="15876" width="14.453125" style="210" customWidth="1"/>
    <col min="15877" max="15877" width="15.81640625" style="210" bestFit="1" customWidth="1"/>
    <col min="15878" max="15878" width="14.453125" style="210" customWidth="1"/>
    <col min="15879" max="15879" width="13.1796875" style="210" bestFit="1" customWidth="1"/>
    <col min="15880" max="15880" width="18.1796875" style="210" bestFit="1" customWidth="1"/>
    <col min="15881" max="15881" width="16.81640625" style="210" bestFit="1" customWidth="1"/>
    <col min="15882" max="15882" width="13.1796875" style="210" bestFit="1" customWidth="1"/>
    <col min="15883" max="15883" width="15.1796875" style="210" bestFit="1" customWidth="1"/>
    <col min="15884" max="15884" width="18.81640625" style="210" customWidth="1"/>
    <col min="15885" max="15885" width="15.81640625" style="210" customWidth="1"/>
    <col min="15886" max="15886" width="15.453125" style="210" customWidth="1"/>
    <col min="15887" max="15887" width="16.1796875" style="210" bestFit="1" customWidth="1"/>
    <col min="15888" max="15888" width="18.1796875" style="210" bestFit="1" customWidth="1"/>
    <col min="15889" max="15889" width="15.1796875" style="210" bestFit="1" customWidth="1"/>
    <col min="15890" max="15890" width="15.54296875" style="210" customWidth="1"/>
    <col min="15891" max="15891" width="15.1796875" style="210" bestFit="1" customWidth="1"/>
    <col min="15892" max="15892" width="12.81640625" style="210" customWidth="1"/>
    <col min="15893" max="15893" width="13.1796875" style="210" customWidth="1"/>
    <col min="15894" max="15894" width="16.1796875" style="210" customWidth="1"/>
    <col min="15895" max="15895" width="12" style="210" bestFit="1" customWidth="1"/>
    <col min="15896" max="16128" width="10.1796875" style="210"/>
    <col min="16129" max="16129" width="35" style="210" customWidth="1"/>
    <col min="16130" max="16130" width="19.453125" style="210" customWidth="1"/>
    <col min="16131" max="16131" width="18" style="210" customWidth="1"/>
    <col min="16132" max="16132" width="14.453125" style="210" customWidth="1"/>
    <col min="16133" max="16133" width="15.81640625" style="210" bestFit="1" customWidth="1"/>
    <col min="16134" max="16134" width="14.453125" style="210" customWidth="1"/>
    <col min="16135" max="16135" width="13.1796875" style="210" bestFit="1" customWidth="1"/>
    <col min="16136" max="16136" width="18.1796875" style="210" bestFit="1" customWidth="1"/>
    <col min="16137" max="16137" width="16.81640625" style="210" bestFit="1" customWidth="1"/>
    <col min="16138" max="16138" width="13.1796875" style="210" bestFit="1" customWidth="1"/>
    <col min="16139" max="16139" width="15.1796875" style="210" bestFit="1" customWidth="1"/>
    <col min="16140" max="16140" width="18.81640625" style="210" customWidth="1"/>
    <col min="16141" max="16141" width="15.81640625" style="210" customWidth="1"/>
    <col min="16142" max="16142" width="15.453125" style="210" customWidth="1"/>
    <col min="16143" max="16143" width="16.1796875" style="210" bestFit="1" customWidth="1"/>
    <col min="16144" max="16144" width="18.1796875" style="210" bestFit="1" customWidth="1"/>
    <col min="16145" max="16145" width="15.1796875" style="210" bestFit="1" customWidth="1"/>
    <col min="16146" max="16146" width="15.54296875" style="210" customWidth="1"/>
    <col min="16147" max="16147" width="15.1796875" style="210" bestFit="1" customWidth="1"/>
    <col min="16148" max="16148" width="12.81640625" style="210" customWidth="1"/>
    <col min="16149" max="16149" width="13.1796875" style="210" customWidth="1"/>
    <col min="16150" max="16150" width="16.1796875" style="210" customWidth="1"/>
    <col min="16151" max="16151" width="12" style="210" bestFit="1" customWidth="1"/>
    <col min="16152" max="16384" width="10.1796875" style="210"/>
  </cols>
  <sheetData>
    <row r="1" spans="1:28">
      <c r="B1" s="211" t="s">
        <v>314</v>
      </c>
      <c r="C1" s="212" t="s">
        <v>315</v>
      </c>
      <c r="J1" s="213"/>
      <c r="L1" s="212"/>
      <c r="S1" s="334"/>
      <c r="X1" s="525" t="s">
        <v>467</v>
      </c>
      <c r="Y1" s="526" t="s">
        <v>468</v>
      </c>
      <c r="Z1" s="527"/>
      <c r="AA1" s="527"/>
      <c r="AB1" s="528"/>
    </row>
    <row r="2" spans="1:28" ht="14.5">
      <c r="B2" s="214"/>
      <c r="C2" s="215" t="s">
        <v>316</v>
      </c>
      <c r="D2" s="216"/>
      <c r="E2" s="216"/>
      <c r="F2" s="216"/>
      <c r="G2" s="216"/>
      <c r="H2" s="216"/>
      <c r="I2" s="216"/>
      <c r="J2" s="216"/>
      <c r="K2" s="216"/>
      <c r="L2" s="214"/>
      <c r="M2" s="216"/>
      <c r="N2" s="216"/>
      <c r="O2" s="216"/>
      <c r="P2" s="216"/>
      <c r="Q2" s="216"/>
      <c r="R2" s="216"/>
      <c r="S2" s="240"/>
      <c r="T2" s="216"/>
      <c r="U2" s="216"/>
      <c r="V2" s="216"/>
      <c r="X2" s="529"/>
      <c r="Y2" s="530" t="s">
        <v>469</v>
      </c>
      <c r="Z2" s="531"/>
      <c r="AA2" s="527"/>
      <c r="AB2" s="531"/>
    </row>
    <row r="3" spans="1:28">
      <c r="A3" s="356" t="e">
        <f>'P NP TAMBAK KAB'!C5-'TBK SEDERHANA'!B57</f>
        <v>#REF!</v>
      </c>
      <c r="K3" s="217" t="s">
        <v>263</v>
      </c>
      <c r="T3" s="929" t="s">
        <v>263</v>
      </c>
      <c r="U3" s="929"/>
      <c r="V3" s="929"/>
      <c r="X3" s="527"/>
      <c r="Y3" s="527"/>
      <c r="Z3" s="527"/>
      <c r="AA3" s="527"/>
      <c r="AB3" s="532" t="s">
        <v>263</v>
      </c>
    </row>
    <row r="4" spans="1:28" ht="15" thickBot="1">
      <c r="A4" s="219"/>
      <c r="B4" s="631"/>
      <c r="K4" s="220" t="s">
        <v>264</v>
      </c>
      <c r="T4" s="930" t="s">
        <v>264</v>
      </c>
      <c r="U4" s="930"/>
      <c r="V4" s="930"/>
      <c r="X4" s="527"/>
      <c r="Y4" s="527"/>
      <c r="Z4" s="527"/>
      <c r="AA4" s="527"/>
      <c r="AB4" s="533" t="s">
        <v>264</v>
      </c>
    </row>
    <row r="5" spans="1:28" ht="14.5">
      <c r="A5" s="221"/>
      <c r="B5" s="335"/>
      <c r="C5" s="223"/>
      <c r="D5" s="223"/>
      <c r="E5" s="223"/>
      <c r="F5" s="228" t="s">
        <v>317</v>
      </c>
      <c r="G5" s="336" t="s">
        <v>318</v>
      </c>
      <c r="H5" s="223"/>
      <c r="I5" s="223"/>
      <c r="J5" s="223"/>
      <c r="K5" s="284"/>
      <c r="L5" s="227"/>
      <c r="M5" s="223"/>
      <c r="N5" s="337" t="s">
        <v>319</v>
      </c>
      <c r="O5" s="223"/>
      <c r="P5" s="223"/>
      <c r="Q5" s="338" t="s">
        <v>320</v>
      </c>
      <c r="R5" s="339"/>
      <c r="S5" s="223"/>
      <c r="T5" s="223"/>
      <c r="U5" s="340"/>
      <c r="V5" s="226"/>
      <c r="X5" s="546"/>
      <c r="Y5" s="535" t="s">
        <v>266</v>
      </c>
      <c r="Z5" s="536" t="s">
        <v>267</v>
      </c>
      <c r="AA5" s="534"/>
      <c r="AB5" s="537"/>
    </row>
    <row r="6" spans="1:28">
      <c r="A6" s="230" t="s">
        <v>103</v>
      </c>
      <c r="B6" s="341" t="s">
        <v>104</v>
      </c>
      <c r="C6" s="233" t="s">
        <v>321</v>
      </c>
      <c r="D6" s="233" t="s">
        <v>12</v>
      </c>
      <c r="E6" s="233" t="s">
        <v>15</v>
      </c>
      <c r="F6" s="233" t="s">
        <v>20</v>
      </c>
      <c r="G6" s="233" t="s">
        <v>322</v>
      </c>
      <c r="H6" s="233" t="s">
        <v>1</v>
      </c>
      <c r="I6" s="233" t="s">
        <v>16</v>
      </c>
      <c r="J6" s="233" t="s">
        <v>3</v>
      </c>
      <c r="K6" s="288" t="s">
        <v>274</v>
      </c>
      <c r="L6" s="237" t="s">
        <v>321</v>
      </c>
      <c r="M6" s="233" t="s">
        <v>323</v>
      </c>
      <c r="N6" s="233" t="s">
        <v>324</v>
      </c>
      <c r="O6" s="233" t="s">
        <v>325</v>
      </c>
      <c r="P6" s="233" t="s">
        <v>326</v>
      </c>
      <c r="Q6" s="233" t="s">
        <v>327</v>
      </c>
      <c r="R6" s="233" t="s">
        <v>328</v>
      </c>
      <c r="S6" s="234" t="s">
        <v>329</v>
      </c>
      <c r="T6" s="235" t="s">
        <v>18</v>
      </c>
      <c r="U6" s="235" t="s">
        <v>274</v>
      </c>
      <c r="V6" s="342" t="s">
        <v>330</v>
      </c>
      <c r="X6" s="547" t="s">
        <v>104</v>
      </c>
      <c r="Y6" s="538" t="s">
        <v>275</v>
      </c>
      <c r="Z6" s="538" t="s">
        <v>276</v>
      </c>
      <c r="AA6" s="538" t="s">
        <v>277</v>
      </c>
      <c r="AB6" s="539" t="s">
        <v>278</v>
      </c>
    </row>
    <row r="7" spans="1:28">
      <c r="A7" s="239" t="s">
        <v>105</v>
      </c>
      <c r="B7" s="245" t="s">
        <v>106</v>
      </c>
      <c r="C7" s="241" t="s">
        <v>331</v>
      </c>
      <c r="D7" s="241" t="s">
        <v>332</v>
      </c>
      <c r="E7" s="241" t="s">
        <v>333</v>
      </c>
      <c r="F7" s="241" t="s">
        <v>283</v>
      </c>
      <c r="G7" s="241" t="s">
        <v>334</v>
      </c>
      <c r="H7" s="241" t="s">
        <v>285</v>
      </c>
      <c r="I7" s="241" t="s">
        <v>280</v>
      </c>
      <c r="J7" s="241" t="s">
        <v>335</v>
      </c>
      <c r="K7" s="292" t="s">
        <v>289</v>
      </c>
      <c r="L7" s="244" t="s">
        <v>336</v>
      </c>
      <c r="M7" s="241" t="s">
        <v>337</v>
      </c>
      <c r="N7" s="241" t="s">
        <v>338</v>
      </c>
      <c r="O7" s="241" t="s">
        <v>339</v>
      </c>
      <c r="P7" s="241" t="s">
        <v>340</v>
      </c>
      <c r="Q7" s="241" t="s">
        <v>341</v>
      </c>
      <c r="R7" s="241" t="s">
        <v>342</v>
      </c>
      <c r="S7" s="245" t="s">
        <v>343</v>
      </c>
      <c r="T7" s="241" t="s">
        <v>344</v>
      </c>
      <c r="U7" s="241" t="s">
        <v>345</v>
      </c>
      <c r="V7" s="243" t="s">
        <v>346</v>
      </c>
      <c r="X7" s="548" t="s">
        <v>106</v>
      </c>
      <c r="Y7" s="540" t="s">
        <v>293</v>
      </c>
      <c r="Z7" s="540" t="s">
        <v>294</v>
      </c>
      <c r="AA7" s="540" t="s">
        <v>295</v>
      </c>
      <c r="AB7" s="541" t="s">
        <v>296</v>
      </c>
    </row>
    <row r="8" spans="1:28">
      <c r="A8" s="246"/>
      <c r="B8" s="250"/>
      <c r="C8" s="249"/>
      <c r="D8" s="249"/>
      <c r="E8" s="248" t="s">
        <v>297</v>
      </c>
      <c r="F8" s="249"/>
      <c r="G8" s="249"/>
      <c r="H8" s="248"/>
      <c r="I8" s="248"/>
      <c r="J8" s="249"/>
      <c r="K8" s="297"/>
      <c r="L8" s="254"/>
      <c r="M8" s="249"/>
      <c r="N8" s="249"/>
      <c r="O8" s="249"/>
      <c r="P8" s="249"/>
      <c r="Q8" s="249"/>
      <c r="R8" s="249"/>
      <c r="S8" s="249"/>
      <c r="T8" s="250"/>
      <c r="U8" s="343" t="s">
        <v>347</v>
      </c>
      <c r="V8" s="253"/>
      <c r="X8" s="549"/>
      <c r="Y8" s="542"/>
      <c r="Z8" s="542"/>
      <c r="AA8" s="542"/>
      <c r="AB8" s="543"/>
    </row>
    <row r="9" spans="1:28" ht="16" customHeight="1">
      <c r="A9" s="255" t="s">
        <v>111</v>
      </c>
      <c r="B9" s="257" t="e">
        <f t="shared" ref="B9:V9" si="0">SUM(B10:B47)</f>
        <v>#REF!</v>
      </c>
      <c r="C9" s="257" t="e">
        <f>SUM(C10:C47)</f>
        <v>#REF!</v>
      </c>
      <c r="D9" s="257">
        <f t="shared" si="0"/>
        <v>0</v>
      </c>
      <c r="E9" s="257">
        <f t="shared" si="0"/>
        <v>0</v>
      </c>
      <c r="F9" s="257" t="e">
        <f t="shared" si="0"/>
        <v>#REF!</v>
      </c>
      <c r="G9" s="257">
        <f t="shared" si="0"/>
        <v>9712.2023068862381</v>
      </c>
      <c r="H9" s="257">
        <f t="shared" si="0"/>
        <v>107891.69065975488</v>
      </c>
      <c r="I9" s="344">
        <f>SUM(I10:I47)</f>
        <v>0</v>
      </c>
      <c r="J9" s="344">
        <f t="shared" si="0"/>
        <v>23010.70193811438</v>
      </c>
      <c r="K9" s="345" t="e">
        <f t="shared" si="0"/>
        <v>#REF!</v>
      </c>
      <c r="L9" s="259" t="e">
        <f t="shared" si="0"/>
        <v>#REF!</v>
      </c>
      <c r="M9" s="257" t="e">
        <f t="shared" si="0"/>
        <v>#REF!</v>
      </c>
      <c r="N9" s="257" t="e">
        <f t="shared" si="0"/>
        <v>#REF!</v>
      </c>
      <c r="O9" s="257" t="e">
        <f t="shared" si="0"/>
        <v>#REF!</v>
      </c>
      <c r="P9" s="257" t="e">
        <f t="shared" si="0"/>
        <v>#REF!</v>
      </c>
      <c r="Q9" s="257" t="e">
        <f t="shared" si="0"/>
        <v>#REF!</v>
      </c>
      <c r="R9" s="257" t="e">
        <f t="shared" si="0"/>
        <v>#REF!</v>
      </c>
      <c r="S9" s="257">
        <f t="shared" si="0"/>
        <v>19709.732647203982</v>
      </c>
      <c r="T9" s="257" t="e">
        <f t="shared" si="0"/>
        <v>#REF!</v>
      </c>
      <c r="U9" s="257" t="e">
        <f>SUM(U10:U47)</f>
        <v>#REF!</v>
      </c>
      <c r="V9" s="258" t="e">
        <f t="shared" si="0"/>
        <v>#REF!</v>
      </c>
      <c r="X9" s="550">
        <f>SUM(X10:X47)</f>
        <v>282359.63146421692</v>
      </c>
      <c r="Y9" s="544">
        <f>SUM(Y10:Y47)</f>
        <v>71273.382507222937</v>
      </c>
      <c r="Z9" s="544">
        <f>SUM(Z10:Z47)</f>
        <v>67363.208022949591</v>
      </c>
      <c r="AA9" s="544">
        <f>SUM(AA10:AA47)</f>
        <v>74491.897939447692</v>
      </c>
      <c r="AB9" s="545">
        <f>SUM(AB10:AB47)</f>
        <v>69231.142994596681</v>
      </c>
    </row>
    <row r="10" spans="1:28" ht="14.15" customHeight="1">
      <c r="A10" s="346" t="s">
        <v>137</v>
      </c>
      <c r="B10" s="267" t="e">
        <f>C10+L10</f>
        <v>#REF!</v>
      </c>
      <c r="C10" s="267" t="e">
        <f>SUM(D10:K10)</f>
        <v>#REF!</v>
      </c>
      <c r="D10" s="267">
        <f>'P NP TAMBAK KAB'!AT6/1000</f>
        <v>0</v>
      </c>
      <c r="E10" s="267">
        <f>'P NP TAMBAK KAB'!BN6/1000</f>
        <v>0</v>
      </c>
      <c r="F10" s="267" t="e">
        <f>'P NP TAMBAK KAB'!#REF!/1000</f>
        <v>#REF!</v>
      </c>
      <c r="G10" s="267">
        <f>('P NP TAMBAK KAB'!AJ6+'P NP TAMBAK KAB'!AL6)/1000</f>
        <v>2215.5</v>
      </c>
      <c r="H10" s="267">
        <f>'P NP TAMBAK KAB'!D6/1000</f>
        <v>4561.7</v>
      </c>
      <c r="I10" s="267">
        <f>'P NP TAMBAK KAB'!BR6/1000</f>
        <v>0</v>
      </c>
      <c r="J10" s="267">
        <f>'P NP TAMBAK KAB'!N6/1000</f>
        <v>0</v>
      </c>
      <c r="K10" s="268" t="e">
        <f>(SUM('P NP TAMBAK KAB'!F6,'P NP TAMBAK KAB'!H6,'P NP TAMBAK KAB'!J6,'P NP TAMBAK KAB'!L6,'P NP TAMBAK KAB'!P6,'P NP TAMBAK KAB'!R6,'P NP TAMBAK KAB'!T6,'P NP TAMBAK KAB'!R6,'P NP TAMBAK KAB'!V6,'P NP TAMBAK KAB'!AB6,'P NP TAMBAK KAB'!AF6,'P NP TAMBAK KAB'!AF6,'P NP TAMBAK KAB'!AF6,'P NP TAMBAK KAB'!AH6,'P NP TAMBAK KAB'!AV6,'P NP TAMBAK KAB'!AX6,'P NP TAMBAK KAB'!AZ6,'P NP TAMBAK KAB'!BB6,'P NP TAMBAK KAB'!BD6,'P NP TAMBAK KAB'!BF6,'P NP TAMBAK KAB'!BL6,'P NP TAMBAK KAB'!BP6,'P NP TAMBAK KAB'!BT6,'P NP TAMBAK KAB'!BV6,'P NP TAMBAK KAB'!BX6,'P NP TAMBAK KAB'!#REF!,'P NP TAMBAK KAB'!#REF!,'P NP TAMBAK KAB'!#REF!,'P NP TAMBAK KAB'!#REF!,'P NP TAMBAK KAB'!#REF!,'P NP TAMBAK KAB'!#REF!,'P NP TAMBAK KAB'!#REF!,'P NP TAMBAK KAB'!#REF!))/1000</f>
        <v>#REF!</v>
      </c>
      <c r="L10" s="264" t="e">
        <f>SUM(M10:V10)</f>
        <v>#REF!</v>
      </c>
      <c r="M10" s="262" t="e">
        <f>'P NP TAMBAK KAB'!#REF!/1000</f>
        <v>#REF!</v>
      </c>
      <c r="N10" s="262" t="e">
        <f>'P NP TAMBAK KAB'!#REF!/1000</f>
        <v>#REF!</v>
      </c>
      <c r="O10" s="262" t="e">
        <f>'P NP TAMBAK KAB'!#REF!/1000</f>
        <v>#REF!</v>
      </c>
      <c r="P10" s="262" t="e">
        <f>'P NP TAMBAK KAB'!#REF!/1000</f>
        <v>#REF!</v>
      </c>
      <c r="Q10" s="262" t="e">
        <f>'P NP TAMBAK KAB'!#REF!/1000</f>
        <v>#REF!</v>
      </c>
      <c r="R10" s="262" t="e">
        <f>(SUM('P NP TAMBAK KAB'!BH6,'P NP TAMBAK KAB'!BJ6,'P NP TAMBAK KAB'!#REF!,'P NP TAMBAK KAB'!#REF!,'P NP TAMBAK KAB'!#REF!,'P NP TAMBAK KAB'!#REF!))/1000</f>
        <v>#REF!</v>
      </c>
      <c r="S10" s="262">
        <f>'P NP TAMBAK KAB'!AN6/1000</f>
        <v>0</v>
      </c>
      <c r="T10" s="262" t="e">
        <f>'P NP TAMBAK KAB'!#REF!/1000</f>
        <v>#REF!</v>
      </c>
      <c r="U10" s="262" t="e">
        <f>(SUM('P NP TAMBAK KAB'!R6,'P NP TAMBAK KAB'!AP6,'P NP TAMBAK KAB'!AR6,'P NP TAMBAK KAB'!#REF!,'P NP TAMBAK KAB'!#REF!,'P NP TAMBAK KAB'!#REF!,'P NP TAMBAK KAB'!#REF!,'P NP TAMBAK KAB'!#REF!,'P NP TAMBAK KAB'!#REF!,'P NP TAMBAK KAB'!#REF!))/1000</f>
        <v>#REF!</v>
      </c>
      <c r="V10" s="263" t="e">
        <f>(SUM('P NP TAMBAK KAB'!X6,'P NP TAMBAK KAB'!Z6,'P NP TAMBAK KAB'!AD6,'P NP TAMBAK KAB'!#REF!,'P NP TAMBAK KAB'!#REF!))/1000</f>
        <v>#REF!</v>
      </c>
      <c r="X10" s="264">
        <f>SUM(Y10:AB10)</f>
        <v>14223.257000000001</v>
      </c>
      <c r="Y10" s="262">
        <f>'P NP TW'!P7/1000</f>
        <v>4615.5020000000004</v>
      </c>
      <c r="Z10" s="262">
        <f>'P NP TW'!R7/1000</f>
        <v>1895.9349999999999</v>
      </c>
      <c r="AA10" s="262">
        <f>'P NP TW'!T7/1000</f>
        <v>1617.72</v>
      </c>
      <c r="AB10" s="263">
        <f>'P NP TW'!V7/1000</f>
        <v>6094.1</v>
      </c>
    </row>
    <row r="11" spans="1:28">
      <c r="A11" s="346" t="s">
        <v>121</v>
      </c>
      <c r="B11" s="267" t="e">
        <f t="shared" ref="B11:B47" si="1">C11+L11</f>
        <v>#REF!</v>
      </c>
      <c r="C11" s="267" t="e">
        <f t="shared" ref="C11:C47" si="2">SUM(D11:K11)</f>
        <v>#REF!</v>
      </c>
      <c r="D11" s="267">
        <f>'P NP TAMBAK KAB'!AT7/1000</f>
        <v>0</v>
      </c>
      <c r="E11" s="267">
        <f>'P NP TAMBAK KAB'!BN7/1000</f>
        <v>0</v>
      </c>
      <c r="F11" s="267" t="e">
        <f>'P NP TAMBAK KAB'!#REF!/1000</f>
        <v>#REF!</v>
      </c>
      <c r="G11" s="267">
        <f>('P NP TAMBAK KAB'!AJ7+'P NP TAMBAK KAB'!AL7)/1000</f>
        <v>87.495000000000005</v>
      </c>
      <c r="H11" s="267">
        <f>'P NP TAMBAK KAB'!D7/1000</f>
        <v>41.674999999999997</v>
      </c>
      <c r="I11" s="267">
        <f>'P NP TAMBAK KAB'!BR7/1000</f>
        <v>0</v>
      </c>
      <c r="J11" s="267">
        <f>'P NP TAMBAK KAB'!N7/1000</f>
        <v>0</v>
      </c>
      <c r="K11" s="268" t="e">
        <f>(SUM('P NP TAMBAK KAB'!F7,'P NP TAMBAK KAB'!H7,'P NP TAMBAK KAB'!J7,'P NP TAMBAK KAB'!L7,'P NP TAMBAK KAB'!P7,'P NP TAMBAK KAB'!R7,'P NP TAMBAK KAB'!T7,'P NP TAMBAK KAB'!R7,'P NP TAMBAK KAB'!V7,'P NP TAMBAK KAB'!AB7,'P NP TAMBAK KAB'!AF7,'P NP TAMBAK KAB'!AF7,'P NP TAMBAK KAB'!AF7,'P NP TAMBAK KAB'!AH7,'P NP TAMBAK KAB'!AV7,'P NP TAMBAK KAB'!AX7,'P NP TAMBAK KAB'!AZ7,'P NP TAMBAK KAB'!BB7,'P NP TAMBAK KAB'!BD7,'P NP TAMBAK KAB'!BF7,'P NP TAMBAK KAB'!BL7,'P NP TAMBAK KAB'!BP7,'P NP TAMBAK KAB'!BT7,'P NP TAMBAK KAB'!BV7,'P NP TAMBAK KAB'!BX7,'P NP TAMBAK KAB'!#REF!,'P NP TAMBAK KAB'!#REF!,'P NP TAMBAK KAB'!#REF!,'P NP TAMBAK KAB'!#REF!,'P NP TAMBAK KAB'!#REF!,'P NP TAMBAK KAB'!#REF!,'P NP TAMBAK KAB'!#REF!,'P NP TAMBAK KAB'!#REF!))/1000</f>
        <v>#REF!</v>
      </c>
      <c r="L11" s="264" t="e">
        <f t="shared" ref="L11:L47" si="3">SUM(M11:V11)</f>
        <v>#REF!</v>
      </c>
      <c r="M11" s="267" t="e">
        <f>'P NP TAMBAK KAB'!#REF!/1000</f>
        <v>#REF!</v>
      </c>
      <c r="N11" s="267" t="e">
        <f>'P NP TAMBAK KAB'!#REF!/1000</f>
        <v>#REF!</v>
      </c>
      <c r="O11" s="267" t="e">
        <f>'P NP TAMBAK KAB'!#REF!/1000</f>
        <v>#REF!</v>
      </c>
      <c r="P11" s="267" t="e">
        <f>'P NP TAMBAK KAB'!#REF!/1000</f>
        <v>#REF!</v>
      </c>
      <c r="Q11" s="267" t="e">
        <f>'P NP TAMBAK KAB'!#REF!/1000</f>
        <v>#REF!</v>
      </c>
      <c r="R11" s="267" t="e">
        <f>(SUM('P NP TAMBAK KAB'!BH7,'P NP TAMBAK KAB'!BJ7,'P NP TAMBAK KAB'!#REF!,'P NP TAMBAK KAB'!#REF!,'P NP TAMBAK KAB'!#REF!,'P NP TAMBAK KAB'!#REF!))/1000</f>
        <v>#REF!</v>
      </c>
      <c r="S11" s="267">
        <f>'P NP TAMBAK KAB'!AN7/1000</f>
        <v>118.605</v>
      </c>
      <c r="T11" s="267" t="e">
        <f>'P NP TAMBAK KAB'!#REF!/1000</f>
        <v>#REF!</v>
      </c>
      <c r="U11" s="267" t="e">
        <f>(SUM('P NP TAMBAK KAB'!R7,'P NP TAMBAK KAB'!AP7,'P NP TAMBAK KAB'!AR7,'P NP TAMBAK KAB'!#REF!,'P NP TAMBAK KAB'!#REF!,'P NP TAMBAK KAB'!#REF!,'P NP TAMBAK KAB'!#REF!,'P NP TAMBAK KAB'!#REF!,'P NP TAMBAK KAB'!#REF!,'P NP TAMBAK KAB'!#REF!))/1000</f>
        <v>#REF!</v>
      </c>
      <c r="V11" s="268" t="e">
        <f>(SUM('P NP TAMBAK KAB'!X7,'P NP TAMBAK KAB'!Z7,'P NP TAMBAK KAB'!AD7,'P NP TAMBAK KAB'!#REF!,'P NP TAMBAK KAB'!#REF!))/1000</f>
        <v>#REF!</v>
      </c>
      <c r="X11" s="264">
        <f>SUM(Y11:AB11)</f>
        <v>20072.39</v>
      </c>
      <c r="Y11" s="267">
        <f>'P NP TW'!P8/1000</f>
        <v>4745.625</v>
      </c>
      <c r="Z11" s="267">
        <f>'P NP TW'!R8/1000</f>
        <v>5146.6899999999996</v>
      </c>
      <c r="AA11" s="267">
        <f>'P NP TW'!T8/1000</f>
        <v>5040.6400000000003</v>
      </c>
      <c r="AB11" s="268">
        <f>'P NP TW'!V8/1000</f>
        <v>5139.4350000000004</v>
      </c>
    </row>
    <row r="12" spans="1:28">
      <c r="A12" s="346" t="s">
        <v>116</v>
      </c>
      <c r="B12" s="267" t="e">
        <f t="shared" si="1"/>
        <v>#REF!</v>
      </c>
      <c r="C12" s="267" t="e">
        <f t="shared" si="2"/>
        <v>#REF!</v>
      </c>
      <c r="D12" s="267">
        <f>'P NP TAMBAK KAB'!AT8/1000</f>
        <v>0</v>
      </c>
      <c r="E12" s="267">
        <f>'P NP TAMBAK KAB'!BN8/1000</f>
        <v>0</v>
      </c>
      <c r="F12" s="267" t="e">
        <f>'P NP TAMBAK KAB'!#REF!/1000</f>
        <v>#REF!</v>
      </c>
      <c r="G12" s="267">
        <f>('P NP TAMBAK KAB'!AJ8+'P NP TAMBAK KAB'!AL8)/1000</f>
        <v>0</v>
      </c>
      <c r="H12" s="267">
        <f>'P NP TAMBAK KAB'!D8/1000</f>
        <v>0</v>
      </c>
      <c r="I12" s="267">
        <f>'P NP TAMBAK KAB'!BR8/1000</f>
        <v>0</v>
      </c>
      <c r="J12" s="267">
        <f>'P NP TAMBAK KAB'!N8/1000</f>
        <v>0</v>
      </c>
      <c r="K12" s="268" t="e">
        <f>(SUM('P NP TAMBAK KAB'!F8,'P NP TAMBAK KAB'!H8,'P NP TAMBAK KAB'!J8,'P NP TAMBAK KAB'!L8,'P NP TAMBAK KAB'!P8,'P NP TAMBAK KAB'!R8,'P NP TAMBAK KAB'!T8,'P NP TAMBAK KAB'!R8,'P NP TAMBAK KAB'!V8,'P NP TAMBAK KAB'!AB8,'P NP TAMBAK KAB'!AF8,'P NP TAMBAK KAB'!AF8,'P NP TAMBAK KAB'!AF8,'P NP TAMBAK KAB'!AH8,'P NP TAMBAK KAB'!AV8,'P NP TAMBAK KAB'!AX8,'P NP TAMBAK KAB'!AZ8,'P NP TAMBAK KAB'!BB8,'P NP TAMBAK KAB'!BD8,'P NP TAMBAK KAB'!BF8,'P NP TAMBAK KAB'!BL8,'P NP TAMBAK KAB'!BP8,'P NP TAMBAK KAB'!BT8,'P NP TAMBAK KAB'!BV8,'P NP TAMBAK KAB'!BX8,'P NP TAMBAK KAB'!#REF!,'P NP TAMBAK KAB'!#REF!,'P NP TAMBAK KAB'!#REF!,'P NP TAMBAK KAB'!#REF!,'P NP TAMBAK KAB'!#REF!,'P NP TAMBAK KAB'!#REF!,'P NP TAMBAK KAB'!#REF!,'P NP TAMBAK KAB'!#REF!))/1000</f>
        <v>#REF!</v>
      </c>
      <c r="L12" s="264" t="e">
        <f t="shared" si="3"/>
        <v>#REF!</v>
      </c>
      <c r="M12" s="267" t="e">
        <f>'P NP TAMBAK KAB'!#REF!/1000</f>
        <v>#REF!</v>
      </c>
      <c r="N12" s="267" t="e">
        <f>'P NP TAMBAK KAB'!#REF!/1000</f>
        <v>#REF!</v>
      </c>
      <c r="O12" s="267" t="e">
        <f>'P NP TAMBAK KAB'!#REF!/1000</f>
        <v>#REF!</v>
      </c>
      <c r="P12" s="267" t="e">
        <f>'P NP TAMBAK KAB'!#REF!/1000</f>
        <v>#REF!</v>
      </c>
      <c r="Q12" s="267" t="e">
        <f>'P NP TAMBAK KAB'!#REF!/1000</f>
        <v>#REF!</v>
      </c>
      <c r="R12" s="267" t="e">
        <f>(SUM('P NP TAMBAK KAB'!BH8,'P NP TAMBAK KAB'!BJ8,'P NP TAMBAK KAB'!#REF!,'P NP TAMBAK KAB'!#REF!,'P NP TAMBAK KAB'!#REF!,'P NP TAMBAK KAB'!#REF!))/1000</f>
        <v>#REF!</v>
      </c>
      <c r="S12" s="267">
        <f>'P NP TAMBAK KAB'!AN8/1000</f>
        <v>0</v>
      </c>
      <c r="T12" s="267" t="e">
        <f>'P NP TAMBAK KAB'!#REF!/1000</f>
        <v>#REF!</v>
      </c>
      <c r="U12" s="267" t="e">
        <f>(SUM('P NP TAMBAK KAB'!R8,'P NP TAMBAK KAB'!AP8,'P NP TAMBAK KAB'!AR8,'P NP TAMBAK KAB'!#REF!,'P NP TAMBAK KAB'!#REF!,'P NP TAMBAK KAB'!#REF!,'P NP TAMBAK KAB'!#REF!,'P NP TAMBAK KAB'!#REF!,'P NP TAMBAK KAB'!#REF!,'P NP TAMBAK KAB'!#REF!))/1000</f>
        <v>#REF!</v>
      </c>
      <c r="V12" s="268" t="e">
        <f>(SUM('P NP TAMBAK KAB'!X8,'P NP TAMBAK KAB'!Z8,'P NP TAMBAK KAB'!AD8,'P NP TAMBAK KAB'!#REF!,'P NP TAMBAK KAB'!#REF!))/1000</f>
        <v>#REF!</v>
      </c>
      <c r="X12" s="264">
        <f t="shared" ref="X12:X47" si="4">SUM(Y12:AB12)</f>
        <v>436.1</v>
      </c>
      <c r="Y12" s="267">
        <f>'P NP TW'!P9/1000</f>
        <v>105</v>
      </c>
      <c r="Z12" s="267">
        <f>'P NP TW'!R9/1000</f>
        <v>109</v>
      </c>
      <c r="AA12" s="267">
        <f>'P NP TW'!T9/1000</f>
        <v>112.8</v>
      </c>
      <c r="AB12" s="268">
        <f>'P NP TW'!V9/1000</f>
        <v>109.3</v>
      </c>
    </row>
    <row r="13" spans="1:28">
      <c r="A13" s="346" t="s">
        <v>133</v>
      </c>
      <c r="B13" s="267" t="e">
        <f t="shared" si="1"/>
        <v>#REF!</v>
      </c>
      <c r="C13" s="267" t="e">
        <f t="shared" si="2"/>
        <v>#REF!</v>
      </c>
      <c r="D13" s="267">
        <f>'P NP TAMBAK KAB'!AT9/1000</f>
        <v>0</v>
      </c>
      <c r="E13" s="267">
        <f>'P NP TAMBAK KAB'!BN9/1000</f>
        <v>0</v>
      </c>
      <c r="F13" s="267" t="e">
        <f>'P NP TAMBAK KAB'!#REF!/1000</f>
        <v>#REF!</v>
      </c>
      <c r="G13" s="267">
        <f>('P NP TAMBAK KAB'!AJ9+'P NP TAMBAK KAB'!AL9)/1000</f>
        <v>0</v>
      </c>
      <c r="H13" s="267">
        <f>'P NP TAMBAK KAB'!D9/1000</f>
        <v>0</v>
      </c>
      <c r="I13" s="267">
        <f>'P NP TAMBAK KAB'!BR9/1000</f>
        <v>0</v>
      </c>
      <c r="J13" s="267">
        <f>'P NP TAMBAK KAB'!N9/1000</f>
        <v>0</v>
      </c>
      <c r="K13" s="268" t="e">
        <f>(SUM('P NP TAMBAK KAB'!F9,'P NP TAMBAK KAB'!H9,'P NP TAMBAK KAB'!J9,'P NP TAMBAK KAB'!L9,'P NP TAMBAK KAB'!P9,'P NP TAMBAK KAB'!R9,'P NP TAMBAK KAB'!T9,'P NP TAMBAK KAB'!R9,'P NP TAMBAK KAB'!V9,'P NP TAMBAK KAB'!AB9,'P NP TAMBAK KAB'!AF9,'P NP TAMBAK KAB'!AF9,'P NP TAMBAK KAB'!AF9,'P NP TAMBAK KAB'!AH9,'P NP TAMBAK KAB'!AV9,'P NP TAMBAK KAB'!AX9,'P NP TAMBAK KAB'!AZ9,'P NP TAMBAK KAB'!BB9,'P NP TAMBAK KAB'!BD9,'P NP TAMBAK KAB'!BF9,'P NP TAMBAK KAB'!BL9,'P NP TAMBAK KAB'!BP9,'P NP TAMBAK KAB'!BT9,'P NP TAMBAK KAB'!BV9,'P NP TAMBAK KAB'!BX9,'P NP TAMBAK KAB'!#REF!,'P NP TAMBAK KAB'!#REF!,'P NP TAMBAK KAB'!#REF!,'P NP TAMBAK KAB'!#REF!,'P NP TAMBAK KAB'!#REF!,'P NP TAMBAK KAB'!#REF!,'P NP TAMBAK KAB'!#REF!,'P NP TAMBAK KAB'!#REF!))/1000</f>
        <v>#REF!</v>
      </c>
      <c r="L13" s="264" t="e">
        <f t="shared" si="3"/>
        <v>#REF!</v>
      </c>
      <c r="M13" s="267" t="e">
        <f>'P NP TAMBAK KAB'!#REF!/1000</f>
        <v>#REF!</v>
      </c>
      <c r="N13" s="267" t="e">
        <f>'P NP TAMBAK KAB'!#REF!/1000</f>
        <v>#REF!</v>
      </c>
      <c r="O13" s="267" t="e">
        <f>'P NP TAMBAK KAB'!#REF!/1000</f>
        <v>#REF!</v>
      </c>
      <c r="P13" s="267" t="e">
        <f>'P NP TAMBAK KAB'!#REF!/1000</f>
        <v>#REF!</v>
      </c>
      <c r="Q13" s="267" t="e">
        <f>'P NP TAMBAK KAB'!#REF!/1000</f>
        <v>#REF!</v>
      </c>
      <c r="R13" s="267" t="e">
        <f>(SUM('P NP TAMBAK KAB'!BH9,'P NP TAMBAK KAB'!BJ9,'P NP TAMBAK KAB'!#REF!,'P NP TAMBAK KAB'!#REF!,'P NP TAMBAK KAB'!#REF!,'P NP TAMBAK KAB'!#REF!))/1000</f>
        <v>#REF!</v>
      </c>
      <c r="S13" s="267">
        <f>'P NP TAMBAK KAB'!AN9/1000</f>
        <v>0</v>
      </c>
      <c r="T13" s="267" t="e">
        <f>'P NP TAMBAK KAB'!#REF!/1000</f>
        <v>#REF!</v>
      </c>
      <c r="U13" s="267" t="e">
        <f>(SUM('P NP TAMBAK KAB'!R9,'P NP TAMBAK KAB'!AP9,'P NP TAMBAK KAB'!AR9,'P NP TAMBAK KAB'!#REF!,'P NP TAMBAK KAB'!#REF!,'P NP TAMBAK KAB'!#REF!,'P NP TAMBAK KAB'!#REF!,'P NP TAMBAK KAB'!#REF!,'P NP TAMBAK KAB'!#REF!,'P NP TAMBAK KAB'!#REF!))/1000</f>
        <v>#REF!</v>
      </c>
      <c r="V13" s="268" t="e">
        <f>(SUM('P NP TAMBAK KAB'!X9,'P NP TAMBAK KAB'!Z9,'P NP TAMBAK KAB'!AD9,'P NP TAMBAK KAB'!#REF!,'P NP TAMBAK KAB'!#REF!))/1000</f>
        <v>#REF!</v>
      </c>
      <c r="X13" s="264">
        <f t="shared" si="4"/>
        <v>0</v>
      </c>
      <c r="Y13" s="267">
        <f>'P NP TW'!P10/1000</f>
        <v>0</v>
      </c>
      <c r="Z13" s="267">
        <f>'P NP TW'!R10/1000</f>
        <v>0</v>
      </c>
      <c r="AA13" s="267">
        <f>'P NP TW'!T10/1000</f>
        <v>0</v>
      </c>
      <c r="AB13" s="268">
        <f>'P NP TW'!V10/1000</f>
        <v>0</v>
      </c>
    </row>
    <row r="14" spans="1:28">
      <c r="A14" s="346" t="s">
        <v>122</v>
      </c>
      <c r="B14" s="267" t="e">
        <f t="shared" si="1"/>
        <v>#REF!</v>
      </c>
      <c r="C14" s="267" t="e">
        <f t="shared" si="2"/>
        <v>#REF!</v>
      </c>
      <c r="D14" s="267">
        <f>'P NP TAMBAK KAB'!AT10/1000</f>
        <v>0</v>
      </c>
      <c r="E14" s="267">
        <f>'P NP TAMBAK KAB'!BN10/1000</f>
        <v>0</v>
      </c>
      <c r="F14" s="267" t="e">
        <f>'P NP TAMBAK KAB'!#REF!/1000</f>
        <v>#REF!</v>
      </c>
      <c r="G14" s="267">
        <f>('P NP TAMBAK KAB'!AJ10+'P NP TAMBAK KAB'!AL10)/1000</f>
        <v>0</v>
      </c>
      <c r="H14" s="267">
        <f>'P NP TAMBAK KAB'!D10/1000</f>
        <v>0</v>
      </c>
      <c r="I14" s="267">
        <f>'P NP TAMBAK KAB'!BR10/1000</f>
        <v>0</v>
      </c>
      <c r="J14" s="267">
        <f>'P NP TAMBAK KAB'!N10/1000</f>
        <v>0</v>
      </c>
      <c r="K14" s="268" t="e">
        <f>(SUM('P NP TAMBAK KAB'!F10,'P NP TAMBAK KAB'!H10,'P NP TAMBAK KAB'!J10,'P NP TAMBAK KAB'!L10,'P NP TAMBAK KAB'!P10,'P NP TAMBAK KAB'!R10,'P NP TAMBAK KAB'!T10,'P NP TAMBAK KAB'!R10,'P NP TAMBAK KAB'!V10,'P NP TAMBAK KAB'!AB10,'P NP TAMBAK KAB'!AF10,'P NP TAMBAK KAB'!AF10,'P NP TAMBAK KAB'!AF10,'P NP TAMBAK KAB'!AH10,'P NP TAMBAK KAB'!AV10,'P NP TAMBAK KAB'!AX10,'P NP TAMBAK KAB'!AZ10,'P NP TAMBAK KAB'!BB10,'P NP TAMBAK KAB'!BD10,'P NP TAMBAK KAB'!BF10,'P NP TAMBAK KAB'!BL10,'P NP TAMBAK KAB'!BP10,'P NP TAMBAK KAB'!BT10,'P NP TAMBAK KAB'!BV10,'P NP TAMBAK KAB'!BX10,'P NP TAMBAK KAB'!#REF!,'P NP TAMBAK KAB'!#REF!,'P NP TAMBAK KAB'!#REF!,'P NP TAMBAK KAB'!#REF!,'P NP TAMBAK KAB'!#REF!,'P NP TAMBAK KAB'!#REF!,'P NP TAMBAK KAB'!#REF!,'P NP TAMBAK KAB'!#REF!))/1000</f>
        <v>#REF!</v>
      </c>
      <c r="L14" s="264" t="e">
        <f t="shared" si="3"/>
        <v>#REF!</v>
      </c>
      <c r="M14" s="267" t="e">
        <f>'P NP TAMBAK KAB'!#REF!/1000</f>
        <v>#REF!</v>
      </c>
      <c r="N14" s="267" t="e">
        <f>'P NP TAMBAK KAB'!#REF!/1000</f>
        <v>#REF!</v>
      </c>
      <c r="O14" s="267" t="e">
        <f>'P NP TAMBAK KAB'!#REF!/1000</f>
        <v>#REF!</v>
      </c>
      <c r="P14" s="267" t="e">
        <f>'P NP TAMBAK KAB'!#REF!/1000</f>
        <v>#REF!</v>
      </c>
      <c r="Q14" s="267" t="e">
        <f>'P NP TAMBAK KAB'!#REF!/1000</f>
        <v>#REF!</v>
      </c>
      <c r="R14" s="267" t="e">
        <f>(SUM('P NP TAMBAK KAB'!BH10,'P NP TAMBAK KAB'!BJ10,'P NP TAMBAK KAB'!#REF!,'P NP TAMBAK KAB'!#REF!,'P NP TAMBAK KAB'!#REF!,'P NP TAMBAK KAB'!#REF!))/1000</f>
        <v>#REF!</v>
      </c>
      <c r="S14" s="267">
        <f>'P NP TAMBAK KAB'!AN10/1000</f>
        <v>0</v>
      </c>
      <c r="T14" s="267" t="e">
        <f>'P NP TAMBAK KAB'!#REF!/1000</f>
        <v>#REF!</v>
      </c>
      <c r="U14" s="267" t="e">
        <f>(SUM('P NP TAMBAK KAB'!R10,'P NP TAMBAK KAB'!AP10,'P NP TAMBAK KAB'!AR10,'P NP TAMBAK KAB'!#REF!,'P NP TAMBAK KAB'!#REF!,'P NP TAMBAK KAB'!#REF!,'P NP TAMBAK KAB'!#REF!,'P NP TAMBAK KAB'!#REF!,'P NP TAMBAK KAB'!#REF!,'P NP TAMBAK KAB'!#REF!))/1000</f>
        <v>#REF!</v>
      </c>
      <c r="V14" s="268" t="e">
        <f>(SUM('P NP TAMBAK KAB'!X10,'P NP TAMBAK KAB'!Z10,'P NP TAMBAK KAB'!AD10,'P NP TAMBAK KAB'!#REF!,'P NP TAMBAK KAB'!#REF!))/1000</f>
        <v>#REF!</v>
      </c>
      <c r="X14" s="264">
        <f t="shared" si="4"/>
        <v>0</v>
      </c>
      <c r="Y14" s="267">
        <f>'P NP TW'!P11/1000</f>
        <v>0</v>
      </c>
      <c r="Z14" s="267">
        <f>'P NP TW'!R11/1000</f>
        <v>0</v>
      </c>
      <c r="AA14" s="267">
        <f>'P NP TW'!T11/1000</f>
        <v>0</v>
      </c>
      <c r="AB14" s="268">
        <f>'P NP TW'!V11/1000</f>
        <v>0</v>
      </c>
    </row>
    <row r="15" spans="1:28">
      <c r="A15" s="346" t="s">
        <v>136</v>
      </c>
      <c r="B15" s="267" t="e">
        <f t="shared" si="1"/>
        <v>#REF!</v>
      </c>
      <c r="C15" s="267" t="e">
        <f t="shared" si="2"/>
        <v>#REF!</v>
      </c>
      <c r="D15" s="267">
        <f>'P NP TAMBAK KAB'!AT11/1000</f>
        <v>0</v>
      </c>
      <c r="E15" s="267">
        <f>'P NP TAMBAK KAB'!BN11/1000</f>
        <v>0</v>
      </c>
      <c r="F15" s="267" t="e">
        <f>'P NP TAMBAK KAB'!#REF!/1000</f>
        <v>#REF!</v>
      </c>
      <c r="G15" s="267">
        <f>('P NP TAMBAK KAB'!AJ11+'P NP TAMBAK KAB'!AL11)/1000</f>
        <v>3354.8153068862393</v>
      </c>
      <c r="H15" s="267">
        <f>'P NP TAMBAK KAB'!D11/1000</f>
        <v>49897.644895697384</v>
      </c>
      <c r="I15" s="267">
        <f>'P NP TAMBAK KAB'!BR11/1000</f>
        <v>0</v>
      </c>
      <c r="J15" s="267">
        <f>'P NP TAMBAK KAB'!N11/1000</f>
        <v>4242.2240781143801</v>
      </c>
      <c r="K15" s="268" t="e">
        <f>(SUM('P NP TAMBAK KAB'!F11,'P NP TAMBAK KAB'!H11,'P NP TAMBAK KAB'!J11,'P NP TAMBAK KAB'!L11,'P NP TAMBAK KAB'!P11,'P NP TAMBAK KAB'!R11,'P NP TAMBAK KAB'!T11,'P NP TAMBAK KAB'!R11,'P NP TAMBAK KAB'!V11,'P NP TAMBAK KAB'!AB11,'P NP TAMBAK KAB'!AF11,'P NP TAMBAK KAB'!AF11,'P NP TAMBAK KAB'!AF11,'P NP TAMBAK KAB'!AH11,'P NP TAMBAK KAB'!AV11,'P NP TAMBAK KAB'!AX11,'P NP TAMBAK KAB'!AZ11,'P NP TAMBAK KAB'!BB11,'P NP TAMBAK KAB'!BD11,'P NP TAMBAK KAB'!BF11,'P NP TAMBAK KAB'!BL11,'P NP TAMBAK KAB'!BP11,'P NP TAMBAK KAB'!BT11,'P NP TAMBAK KAB'!BV11,'P NP TAMBAK KAB'!BX11,'P NP TAMBAK KAB'!#REF!,'P NP TAMBAK KAB'!#REF!,'P NP TAMBAK KAB'!#REF!,'P NP TAMBAK KAB'!#REF!,'P NP TAMBAK KAB'!#REF!,'P NP TAMBAK KAB'!#REF!,'P NP TAMBAK KAB'!#REF!,'P NP TAMBAK KAB'!#REF!))/1000</f>
        <v>#REF!</v>
      </c>
      <c r="L15" s="264" t="e">
        <f t="shared" si="3"/>
        <v>#REF!</v>
      </c>
      <c r="M15" s="267" t="e">
        <f>'P NP TAMBAK KAB'!#REF!/1000</f>
        <v>#REF!</v>
      </c>
      <c r="N15" s="267" t="e">
        <f>'P NP TAMBAK KAB'!#REF!/1000</f>
        <v>#REF!</v>
      </c>
      <c r="O15" s="267" t="e">
        <f>'P NP TAMBAK KAB'!#REF!/1000</f>
        <v>#REF!</v>
      </c>
      <c r="P15" s="267" t="e">
        <f>'P NP TAMBAK KAB'!#REF!/1000</f>
        <v>#REF!</v>
      </c>
      <c r="Q15" s="267" t="e">
        <f>'P NP TAMBAK KAB'!#REF!/1000</f>
        <v>#REF!</v>
      </c>
      <c r="R15" s="267" t="e">
        <f>(SUM('P NP TAMBAK KAB'!BH11,'P NP TAMBAK KAB'!BJ11,'P NP TAMBAK KAB'!#REF!,'P NP TAMBAK KAB'!#REF!,'P NP TAMBAK KAB'!#REF!,'P NP TAMBAK KAB'!#REF!))/1000</f>
        <v>#REF!</v>
      </c>
      <c r="S15" s="267">
        <f>'P NP TAMBAK KAB'!AN11/1000</f>
        <v>684.87524720398198</v>
      </c>
      <c r="T15" s="267" t="e">
        <f>'P NP TAMBAK KAB'!#REF!/1000</f>
        <v>#REF!</v>
      </c>
      <c r="U15" s="267" t="e">
        <f>(SUM('P NP TAMBAK KAB'!R11,'P NP TAMBAK KAB'!AP11,'P NP TAMBAK KAB'!AR11,'P NP TAMBAK KAB'!#REF!,'P NP TAMBAK KAB'!#REF!,'P NP TAMBAK KAB'!#REF!,'P NP TAMBAK KAB'!#REF!,'P NP TAMBAK KAB'!#REF!,'P NP TAMBAK KAB'!#REF!,'P NP TAMBAK KAB'!#REF!))/1000</f>
        <v>#REF!</v>
      </c>
      <c r="V15" s="268" t="e">
        <f>(SUM('P NP TAMBAK KAB'!X11,'P NP TAMBAK KAB'!Z11,'P NP TAMBAK KAB'!AD11,'P NP TAMBAK KAB'!#REF!,'P NP TAMBAK KAB'!#REF!))/1000</f>
        <v>#REF!</v>
      </c>
      <c r="X15" s="264">
        <f t="shared" si="4"/>
        <v>82445.96075136021</v>
      </c>
      <c r="Y15" s="267">
        <f>'P NP TW'!P12/1000</f>
        <v>22615.979346231226</v>
      </c>
      <c r="Z15" s="267">
        <f>'P NP TW'!R12/1000</f>
        <v>20887.418777108953</v>
      </c>
      <c r="AA15" s="267">
        <f>'P NP TW'!T12/1000</f>
        <v>20040.735342798187</v>
      </c>
      <c r="AB15" s="268">
        <f>'P NP TW'!V12/1000</f>
        <v>18901.827285221847</v>
      </c>
    </row>
    <row r="16" spans="1:28">
      <c r="A16" s="346" t="s">
        <v>120</v>
      </c>
      <c r="B16" s="267" t="e">
        <f t="shared" si="1"/>
        <v>#REF!</v>
      </c>
      <c r="C16" s="267" t="e">
        <f t="shared" si="2"/>
        <v>#REF!</v>
      </c>
      <c r="D16" s="267">
        <f>'P NP TAMBAK KAB'!AT12/1000</f>
        <v>0</v>
      </c>
      <c r="E16" s="267">
        <f>'P NP TAMBAK KAB'!BN12/1000</f>
        <v>0</v>
      </c>
      <c r="F16" s="267" t="e">
        <f>'P NP TAMBAK KAB'!#REF!/1000</f>
        <v>#REF!</v>
      </c>
      <c r="G16" s="267">
        <f>('P NP TAMBAK KAB'!AJ12+'P NP TAMBAK KAB'!AL12)/1000</f>
        <v>0</v>
      </c>
      <c r="H16" s="267">
        <f>'P NP TAMBAK KAB'!D12/1000</f>
        <v>45.890414057510256</v>
      </c>
      <c r="I16" s="267">
        <f>'P NP TAMBAK KAB'!BR12/1000</f>
        <v>0</v>
      </c>
      <c r="J16" s="267">
        <f>'P NP TAMBAK KAB'!N12/1000</f>
        <v>0</v>
      </c>
      <c r="K16" s="268" t="e">
        <f>(SUM('P NP TAMBAK KAB'!F12,'P NP TAMBAK KAB'!H12,'P NP TAMBAK KAB'!J12,'P NP TAMBAK KAB'!L12,'P NP TAMBAK KAB'!P12,'P NP TAMBAK KAB'!R12,'P NP TAMBAK KAB'!T12,'P NP TAMBAK KAB'!R12,'P NP TAMBAK KAB'!V12,'P NP TAMBAK KAB'!AB12,'P NP TAMBAK KAB'!AF12,'P NP TAMBAK KAB'!AF12,'P NP TAMBAK KAB'!AF12,'P NP TAMBAK KAB'!AH12,'P NP TAMBAK KAB'!AV12,'P NP TAMBAK KAB'!AX12,'P NP TAMBAK KAB'!AZ12,'P NP TAMBAK KAB'!BB12,'P NP TAMBAK KAB'!BD12,'P NP TAMBAK KAB'!BF12,'P NP TAMBAK KAB'!BL12,'P NP TAMBAK KAB'!BP12,'P NP TAMBAK KAB'!BT12,'P NP TAMBAK KAB'!BV12,'P NP TAMBAK KAB'!BX12,'P NP TAMBAK KAB'!#REF!,'P NP TAMBAK KAB'!#REF!,'P NP TAMBAK KAB'!#REF!,'P NP TAMBAK KAB'!#REF!,'P NP TAMBAK KAB'!#REF!,'P NP TAMBAK KAB'!#REF!,'P NP TAMBAK KAB'!#REF!,'P NP TAMBAK KAB'!#REF!))/1000</f>
        <v>#REF!</v>
      </c>
      <c r="L16" s="264" t="e">
        <f t="shared" si="3"/>
        <v>#REF!</v>
      </c>
      <c r="M16" s="267" t="e">
        <f>'P NP TAMBAK KAB'!#REF!/1000</f>
        <v>#REF!</v>
      </c>
      <c r="N16" s="267" t="e">
        <f>'P NP TAMBAK KAB'!#REF!/1000</f>
        <v>#REF!</v>
      </c>
      <c r="O16" s="267" t="e">
        <f>'P NP TAMBAK KAB'!#REF!/1000</f>
        <v>#REF!</v>
      </c>
      <c r="P16" s="267" t="e">
        <f>'P NP TAMBAK KAB'!#REF!/1000</f>
        <v>#REF!</v>
      </c>
      <c r="Q16" s="267" t="e">
        <f>'P NP TAMBAK KAB'!#REF!/1000</f>
        <v>#REF!</v>
      </c>
      <c r="R16" s="267" t="e">
        <f>(SUM('P NP TAMBAK KAB'!BH12,'P NP TAMBAK KAB'!BJ12,'P NP TAMBAK KAB'!#REF!,'P NP TAMBAK KAB'!#REF!,'P NP TAMBAK KAB'!#REF!,'P NP TAMBAK KAB'!#REF!))/1000</f>
        <v>#REF!</v>
      </c>
      <c r="S16" s="267">
        <f>'P NP TAMBAK KAB'!AN12/1000</f>
        <v>0</v>
      </c>
      <c r="T16" s="267" t="e">
        <f>'P NP TAMBAK KAB'!#REF!/1000</f>
        <v>#REF!</v>
      </c>
      <c r="U16" s="267" t="e">
        <f>(SUM('P NP TAMBAK KAB'!R12,'P NP TAMBAK KAB'!AP12,'P NP TAMBAK KAB'!AR12,'P NP TAMBAK KAB'!#REF!,'P NP TAMBAK KAB'!#REF!,'P NP TAMBAK KAB'!#REF!,'P NP TAMBAK KAB'!#REF!,'P NP TAMBAK KAB'!#REF!,'P NP TAMBAK KAB'!#REF!,'P NP TAMBAK KAB'!#REF!))/1000</f>
        <v>#REF!</v>
      </c>
      <c r="V16" s="268" t="e">
        <f>(SUM('P NP TAMBAK KAB'!X12,'P NP TAMBAK KAB'!Z12,'P NP TAMBAK KAB'!AD12,'P NP TAMBAK KAB'!#REF!,'P NP TAMBAK KAB'!#REF!))/1000</f>
        <v>#REF!</v>
      </c>
      <c r="X16" s="264">
        <f t="shared" si="4"/>
        <v>3938.0679328566566</v>
      </c>
      <c r="Y16" s="267">
        <f>'P NP TW'!P13/1000</f>
        <v>368.55500099170513</v>
      </c>
      <c r="Z16" s="267">
        <f>'P NP TW'!R13/1000</f>
        <v>899.84299584063137</v>
      </c>
      <c r="AA16" s="267">
        <f>'P NP TW'!T13/1000</f>
        <v>1361.3099366494976</v>
      </c>
      <c r="AB16" s="268">
        <f>'P NP TW'!V13/1000</f>
        <v>1308.3599993748226</v>
      </c>
    </row>
    <row r="17" spans="1:28" ht="13.5" customHeight="1">
      <c r="A17" s="346" t="s">
        <v>128</v>
      </c>
      <c r="B17" s="267" t="e">
        <f t="shared" si="1"/>
        <v>#REF!</v>
      </c>
      <c r="C17" s="267" t="e">
        <f t="shared" si="2"/>
        <v>#REF!</v>
      </c>
      <c r="D17" s="267">
        <f>'P NP TAMBAK KAB'!AT13/1000</f>
        <v>0</v>
      </c>
      <c r="E17" s="267">
        <f>'P NP TAMBAK KAB'!BN13/1000</f>
        <v>0</v>
      </c>
      <c r="F17" s="267" t="e">
        <f>'P NP TAMBAK KAB'!#REF!/1000</f>
        <v>#REF!</v>
      </c>
      <c r="G17" s="267">
        <f>('P NP TAMBAK KAB'!AJ13+'P NP TAMBAK KAB'!AL13)/1000</f>
        <v>0</v>
      </c>
      <c r="H17" s="267">
        <f>'P NP TAMBAK KAB'!D13/1000</f>
        <v>0</v>
      </c>
      <c r="I17" s="267">
        <f>'P NP TAMBAK KAB'!BR13/1000</f>
        <v>0</v>
      </c>
      <c r="J17" s="267">
        <f>'P NP TAMBAK KAB'!N13/1000</f>
        <v>0</v>
      </c>
      <c r="K17" s="268" t="e">
        <f>(SUM('P NP TAMBAK KAB'!F13,'P NP TAMBAK KAB'!H13,'P NP TAMBAK KAB'!J13,'P NP TAMBAK KAB'!L13,'P NP TAMBAK KAB'!P13,'P NP TAMBAK KAB'!R13,'P NP TAMBAK KAB'!T13,'P NP TAMBAK KAB'!R13,'P NP TAMBAK KAB'!V13,'P NP TAMBAK KAB'!AB13,'P NP TAMBAK KAB'!AF13,'P NP TAMBAK KAB'!AF13,'P NP TAMBAK KAB'!AF13,'P NP TAMBAK KAB'!AH13,'P NP TAMBAK KAB'!AV13,'P NP TAMBAK KAB'!AX13,'P NP TAMBAK KAB'!AZ13,'P NP TAMBAK KAB'!BB13,'P NP TAMBAK KAB'!BD13,'P NP TAMBAK KAB'!BF13,'P NP TAMBAK KAB'!BL13,'P NP TAMBAK KAB'!BP13,'P NP TAMBAK KAB'!BT13,'P NP TAMBAK KAB'!BV13,'P NP TAMBAK KAB'!BX13,'P NP TAMBAK KAB'!#REF!,'P NP TAMBAK KAB'!#REF!,'P NP TAMBAK KAB'!#REF!,'P NP TAMBAK KAB'!#REF!,'P NP TAMBAK KAB'!#REF!,'P NP TAMBAK KAB'!#REF!,'P NP TAMBAK KAB'!#REF!,'P NP TAMBAK KAB'!#REF!))/1000</f>
        <v>#REF!</v>
      </c>
      <c r="L17" s="264" t="e">
        <f t="shared" si="3"/>
        <v>#REF!</v>
      </c>
      <c r="M17" s="267" t="e">
        <f>'P NP TAMBAK KAB'!#REF!/1000</f>
        <v>#REF!</v>
      </c>
      <c r="N17" s="267" t="e">
        <f>'P NP TAMBAK KAB'!#REF!/1000</f>
        <v>#REF!</v>
      </c>
      <c r="O17" s="267" t="e">
        <f>'P NP TAMBAK KAB'!#REF!/1000</f>
        <v>#REF!</v>
      </c>
      <c r="P17" s="267" t="e">
        <f>'P NP TAMBAK KAB'!#REF!/1000</f>
        <v>#REF!</v>
      </c>
      <c r="Q17" s="267" t="e">
        <f>'P NP TAMBAK KAB'!#REF!/1000</f>
        <v>#REF!</v>
      </c>
      <c r="R17" s="267" t="e">
        <f>(SUM('P NP TAMBAK KAB'!BH13,'P NP TAMBAK KAB'!BJ13,'P NP TAMBAK KAB'!#REF!,'P NP TAMBAK KAB'!#REF!,'P NP TAMBAK KAB'!#REF!,'P NP TAMBAK KAB'!#REF!))/1000</f>
        <v>#REF!</v>
      </c>
      <c r="S17" s="267">
        <f>'P NP TAMBAK KAB'!AN13/1000</f>
        <v>0</v>
      </c>
      <c r="T17" s="267" t="e">
        <f>'P NP TAMBAK KAB'!#REF!/1000</f>
        <v>#REF!</v>
      </c>
      <c r="U17" s="267" t="e">
        <f>(SUM('P NP TAMBAK KAB'!R13,'P NP TAMBAK KAB'!AP13,'P NP TAMBAK KAB'!AR13,'P NP TAMBAK KAB'!#REF!,'P NP TAMBAK KAB'!#REF!,'P NP TAMBAK KAB'!#REF!,'P NP TAMBAK KAB'!#REF!,'P NP TAMBAK KAB'!#REF!,'P NP TAMBAK KAB'!#REF!,'P NP TAMBAK KAB'!#REF!))/1000</f>
        <v>#REF!</v>
      </c>
      <c r="V17" s="268" t="e">
        <f>(SUM('P NP TAMBAK KAB'!X13,'P NP TAMBAK KAB'!Z13,'P NP TAMBAK KAB'!AD13,'P NP TAMBAK KAB'!#REF!,'P NP TAMBAK KAB'!#REF!))/1000</f>
        <v>#REF!</v>
      </c>
      <c r="X17" s="264">
        <f t="shared" si="4"/>
        <v>0</v>
      </c>
      <c r="Y17" s="267">
        <f>'P NP TW'!P14/1000</f>
        <v>0</v>
      </c>
      <c r="Z17" s="267">
        <f>'P NP TW'!R14/1000</f>
        <v>0</v>
      </c>
      <c r="AA17" s="267">
        <f>'P NP TW'!T14/1000</f>
        <v>0</v>
      </c>
      <c r="AB17" s="268">
        <f>'P NP TW'!V14/1000</f>
        <v>0</v>
      </c>
    </row>
    <row r="18" spans="1:28">
      <c r="A18" s="346" t="s">
        <v>117</v>
      </c>
      <c r="B18" s="267" t="e">
        <f t="shared" si="1"/>
        <v>#REF!</v>
      </c>
      <c r="C18" s="267" t="e">
        <f t="shared" si="2"/>
        <v>#REF!</v>
      </c>
      <c r="D18" s="267">
        <f>'P NP TAMBAK KAB'!AT14/1000</f>
        <v>0</v>
      </c>
      <c r="E18" s="267">
        <f>'P NP TAMBAK KAB'!BN14/1000</f>
        <v>0</v>
      </c>
      <c r="F18" s="267" t="e">
        <f>'P NP TAMBAK KAB'!#REF!/1000</f>
        <v>#REF!</v>
      </c>
      <c r="G18" s="267">
        <f>('P NP TAMBAK KAB'!AJ14+'P NP TAMBAK KAB'!AL14)/1000</f>
        <v>0</v>
      </c>
      <c r="H18" s="267">
        <f>'P NP TAMBAK KAB'!D14/1000</f>
        <v>0</v>
      </c>
      <c r="I18" s="267">
        <f>'P NP TAMBAK KAB'!BR14/1000</f>
        <v>0</v>
      </c>
      <c r="J18" s="267">
        <f>'P NP TAMBAK KAB'!N14/1000</f>
        <v>0</v>
      </c>
      <c r="K18" s="268" t="e">
        <f>(SUM('P NP TAMBAK KAB'!F14,'P NP TAMBAK KAB'!H14,'P NP TAMBAK KAB'!J14,'P NP TAMBAK KAB'!L14,'P NP TAMBAK KAB'!P14,'P NP TAMBAK KAB'!R14,'P NP TAMBAK KAB'!T14,'P NP TAMBAK KAB'!R14,'P NP TAMBAK KAB'!V14,'P NP TAMBAK KAB'!AB14,'P NP TAMBAK KAB'!AF14,'P NP TAMBAK KAB'!AF14,'P NP TAMBAK KAB'!AF14,'P NP TAMBAK KAB'!AH14,'P NP TAMBAK KAB'!AV14,'P NP TAMBAK KAB'!AX14,'P NP TAMBAK KAB'!AZ14,'P NP TAMBAK KAB'!BB14,'P NP TAMBAK KAB'!BD14,'P NP TAMBAK KAB'!BF14,'P NP TAMBAK KAB'!BL14,'P NP TAMBAK KAB'!BP14,'P NP TAMBAK KAB'!BT14,'P NP TAMBAK KAB'!BV14,'P NP TAMBAK KAB'!BX14,'P NP TAMBAK KAB'!#REF!,'P NP TAMBAK KAB'!#REF!,'P NP TAMBAK KAB'!#REF!,'P NP TAMBAK KAB'!#REF!,'P NP TAMBAK KAB'!#REF!,'P NP TAMBAK KAB'!#REF!,'P NP TAMBAK KAB'!#REF!,'P NP TAMBAK KAB'!#REF!))/1000</f>
        <v>#REF!</v>
      </c>
      <c r="L18" s="264" t="e">
        <f t="shared" si="3"/>
        <v>#REF!</v>
      </c>
      <c r="M18" s="267" t="e">
        <f>'P NP TAMBAK KAB'!#REF!/1000</f>
        <v>#REF!</v>
      </c>
      <c r="N18" s="267" t="e">
        <f>'P NP TAMBAK KAB'!#REF!/1000</f>
        <v>#REF!</v>
      </c>
      <c r="O18" s="267" t="e">
        <f>'P NP TAMBAK KAB'!#REF!/1000</f>
        <v>#REF!</v>
      </c>
      <c r="P18" s="267" t="e">
        <f>'P NP TAMBAK KAB'!#REF!/1000</f>
        <v>#REF!</v>
      </c>
      <c r="Q18" s="267" t="e">
        <f>'P NP TAMBAK KAB'!#REF!/1000</f>
        <v>#REF!</v>
      </c>
      <c r="R18" s="267" t="e">
        <f>(SUM('P NP TAMBAK KAB'!BH14,'P NP TAMBAK KAB'!BJ14,'P NP TAMBAK KAB'!#REF!,'P NP TAMBAK KAB'!#REF!,'P NP TAMBAK KAB'!#REF!,'P NP TAMBAK KAB'!#REF!))/1000</f>
        <v>#REF!</v>
      </c>
      <c r="S18" s="267">
        <f>'P NP TAMBAK KAB'!AN14/1000</f>
        <v>0</v>
      </c>
      <c r="T18" s="267" t="e">
        <f>'P NP TAMBAK KAB'!#REF!/1000</f>
        <v>#REF!</v>
      </c>
      <c r="U18" s="267" t="e">
        <f>(SUM('P NP TAMBAK KAB'!R14,'P NP TAMBAK KAB'!AP14,'P NP TAMBAK KAB'!AR14,'P NP TAMBAK KAB'!#REF!,'P NP TAMBAK KAB'!#REF!,'P NP TAMBAK KAB'!#REF!,'P NP TAMBAK KAB'!#REF!,'P NP TAMBAK KAB'!#REF!,'P NP TAMBAK KAB'!#REF!,'P NP TAMBAK KAB'!#REF!))/1000</f>
        <v>#REF!</v>
      </c>
      <c r="V18" s="268" t="e">
        <f>(SUM('P NP TAMBAK KAB'!X14,'P NP TAMBAK KAB'!Z14,'P NP TAMBAK KAB'!AD14,'P NP TAMBAK KAB'!#REF!,'P NP TAMBAK KAB'!#REF!))/1000</f>
        <v>#REF!</v>
      </c>
      <c r="X18" s="264">
        <f t="shared" si="4"/>
        <v>0</v>
      </c>
      <c r="Y18" s="267">
        <f>'P NP TW'!P15/1000</f>
        <v>0</v>
      </c>
      <c r="Z18" s="267">
        <f>'P NP TW'!R15/1000</f>
        <v>0</v>
      </c>
      <c r="AA18" s="267">
        <f>'P NP TW'!T15/1000</f>
        <v>0</v>
      </c>
      <c r="AB18" s="268">
        <f>'P NP TW'!V15/1000</f>
        <v>0</v>
      </c>
    </row>
    <row r="19" spans="1:28">
      <c r="A19" s="346" t="s">
        <v>135</v>
      </c>
      <c r="B19" s="267" t="e">
        <f t="shared" si="1"/>
        <v>#REF!</v>
      </c>
      <c r="C19" s="267" t="e">
        <f t="shared" si="2"/>
        <v>#REF!</v>
      </c>
      <c r="D19" s="267">
        <f>'P NP TAMBAK KAB'!AT15/1000</f>
        <v>0</v>
      </c>
      <c r="E19" s="267">
        <f>'P NP TAMBAK KAB'!BN15/1000</f>
        <v>0</v>
      </c>
      <c r="F19" s="267" t="e">
        <f>'P NP TAMBAK KAB'!#REF!/1000</f>
        <v>#REF!</v>
      </c>
      <c r="G19" s="267">
        <f>('P NP TAMBAK KAB'!AJ15+'P NP TAMBAK KAB'!AL15)/1000</f>
        <v>12.016999999999999</v>
      </c>
      <c r="H19" s="267">
        <f>'P NP TAMBAK KAB'!D15/1000</f>
        <v>518.23599999999999</v>
      </c>
      <c r="I19" s="267">
        <f>'P NP TAMBAK KAB'!BR15/1000</f>
        <v>0</v>
      </c>
      <c r="J19" s="267">
        <f>'P NP TAMBAK KAB'!N15/1000</f>
        <v>0</v>
      </c>
      <c r="K19" s="268" t="e">
        <f>(SUM('P NP TAMBAK KAB'!F15,'P NP TAMBAK KAB'!H15,'P NP TAMBAK KAB'!J15,'P NP TAMBAK KAB'!L15,'P NP TAMBAK KAB'!P15,'P NP TAMBAK KAB'!R15,'P NP TAMBAK KAB'!T15,'P NP TAMBAK KAB'!R15,'P NP TAMBAK KAB'!V15,'P NP TAMBAK KAB'!AB15,'P NP TAMBAK KAB'!AF15,'P NP TAMBAK KAB'!AF15,'P NP TAMBAK KAB'!AF15,'P NP TAMBAK KAB'!AH15,'P NP TAMBAK KAB'!AV15,'P NP TAMBAK KAB'!AX15,'P NP TAMBAK KAB'!AZ15,'P NP TAMBAK KAB'!BB15,'P NP TAMBAK KAB'!BD15,'P NP TAMBAK KAB'!BF15,'P NP TAMBAK KAB'!BL15,'P NP TAMBAK KAB'!BP15,'P NP TAMBAK KAB'!BT15,'P NP TAMBAK KAB'!BV15,'P NP TAMBAK KAB'!BX15,'P NP TAMBAK KAB'!#REF!,'P NP TAMBAK KAB'!#REF!,'P NP TAMBAK KAB'!#REF!,'P NP TAMBAK KAB'!#REF!,'P NP TAMBAK KAB'!#REF!,'P NP TAMBAK KAB'!#REF!,'P NP TAMBAK KAB'!#REF!,'P NP TAMBAK KAB'!#REF!))/1000</f>
        <v>#REF!</v>
      </c>
      <c r="L19" s="264" t="e">
        <f t="shared" si="3"/>
        <v>#REF!</v>
      </c>
      <c r="M19" s="267" t="e">
        <f>'P NP TAMBAK KAB'!#REF!/1000</f>
        <v>#REF!</v>
      </c>
      <c r="N19" s="267" t="e">
        <f>'P NP TAMBAK KAB'!#REF!/1000</f>
        <v>#REF!</v>
      </c>
      <c r="O19" s="267" t="e">
        <f>'P NP TAMBAK KAB'!#REF!/1000</f>
        <v>#REF!</v>
      </c>
      <c r="P19" s="267" t="e">
        <f>'P NP TAMBAK KAB'!#REF!/1000</f>
        <v>#REF!</v>
      </c>
      <c r="Q19" s="267" t="e">
        <f>'P NP TAMBAK KAB'!#REF!/1000</f>
        <v>#REF!</v>
      </c>
      <c r="R19" s="267" t="e">
        <f>(SUM('P NP TAMBAK KAB'!BH15,'P NP TAMBAK KAB'!BJ15,'P NP TAMBAK KAB'!#REF!,'P NP TAMBAK KAB'!#REF!,'P NP TAMBAK KAB'!#REF!,'P NP TAMBAK KAB'!#REF!))/1000</f>
        <v>#REF!</v>
      </c>
      <c r="S19" s="267">
        <f>'P NP TAMBAK KAB'!AN15/1000</f>
        <v>287.98200000000003</v>
      </c>
      <c r="T19" s="267" t="e">
        <f>'P NP TAMBAK KAB'!#REF!/1000</f>
        <v>#REF!</v>
      </c>
      <c r="U19" s="267" t="e">
        <f>(SUM('P NP TAMBAK KAB'!R15,'P NP TAMBAK KAB'!AP15,'P NP TAMBAK KAB'!AR15,'P NP TAMBAK KAB'!#REF!,'P NP TAMBAK KAB'!#REF!,'P NP TAMBAK KAB'!#REF!,'P NP TAMBAK KAB'!#REF!,'P NP TAMBAK KAB'!#REF!,'P NP TAMBAK KAB'!#REF!,'P NP TAMBAK KAB'!#REF!))/1000</f>
        <v>#REF!</v>
      </c>
      <c r="V19" s="268" t="e">
        <f>(SUM('P NP TAMBAK KAB'!X15,'P NP TAMBAK KAB'!Z15,'P NP TAMBAK KAB'!AD15,'P NP TAMBAK KAB'!#REF!,'P NP TAMBAK KAB'!#REF!))/1000</f>
        <v>#REF!</v>
      </c>
      <c r="X19" s="264">
        <f>SUM(Y19:AB19)</f>
        <v>4881.277</v>
      </c>
      <c r="Y19" s="267">
        <f>'P NP TW'!P16/1000</f>
        <v>1248.6949999999999</v>
      </c>
      <c r="Z19" s="267">
        <f>'P NP TW'!R16/1000</f>
        <v>1598.3309999999999</v>
      </c>
      <c r="AA19" s="267">
        <f>'P NP TW'!T16/1000</f>
        <v>963.98</v>
      </c>
      <c r="AB19" s="268">
        <f>'P NP TW'!V16/1000</f>
        <v>1070.271</v>
      </c>
    </row>
    <row r="20" spans="1:28">
      <c r="A20" s="346" t="s">
        <v>119</v>
      </c>
      <c r="B20" s="267" t="e">
        <f t="shared" si="1"/>
        <v>#REF!</v>
      </c>
      <c r="C20" s="267" t="e">
        <f t="shared" si="2"/>
        <v>#REF!</v>
      </c>
      <c r="D20" s="267">
        <f>'P NP TAMBAK KAB'!AT16/1000</f>
        <v>0</v>
      </c>
      <c r="E20" s="267">
        <f>'P NP TAMBAK KAB'!BN16/1000</f>
        <v>0</v>
      </c>
      <c r="F20" s="267" t="e">
        <f>'P NP TAMBAK KAB'!#REF!/1000</f>
        <v>#REF!</v>
      </c>
      <c r="G20" s="267">
        <f>('P NP TAMBAK KAB'!AJ16+'P NP TAMBAK KAB'!AL16)/1000</f>
        <v>0</v>
      </c>
      <c r="H20" s="267">
        <f>'P NP TAMBAK KAB'!D16/1000</f>
        <v>0</v>
      </c>
      <c r="I20" s="267">
        <f>'P NP TAMBAK KAB'!BR16/1000</f>
        <v>0</v>
      </c>
      <c r="J20" s="267">
        <f>'P NP TAMBAK KAB'!N16/1000</f>
        <v>0</v>
      </c>
      <c r="K20" s="268" t="e">
        <f>(SUM('P NP TAMBAK KAB'!F16,'P NP TAMBAK KAB'!H16,'P NP TAMBAK KAB'!J16,'P NP TAMBAK KAB'!L16,'P NP TAMBAK KAB'!P16,'P NP TAMBAK KAB'!R16,'P NP TAMBAK KAB'!T16,'P NP TAMBAK KAB'!R16,'P NP TAMBAK KAB'!V16,'P NP TAMBAK KAB'!AB16,'P NP TAMBAK KAB'!AF16,'P NP TAMBAK KAB'!AF16,'P NP TAMBAK KAB'!AF16,'P NP TAMBAK KAB'!AH16,'P NP TAMBAK KAB'!AV16,'P NP TAMBAK KAB'!AX16,'P NP TAMBAK KAB'!AZ16,'P NP TAMBAK KAB'!BB16,'P NP TAMBAK KAB'!BD16,'P NP TAMBAK KAB'!BF16,'P NP TAMBAK KAB'!BL16,'P NP TAMBAK KAB'!BP16,'P NP TAMBAK KAB'!BT16,'P NP TAMBAK KAB'!BV16,'P NP TAMBAK KAB'!BX16,'P NP TAMBAK KAB'!#REF!,'P NP TAMBAK KAB'!#REF!,'P NP TAMBAK KAB'!#REF!,'P NP TAMBAK KAB'!#REF!,'P NP TAMBAK KAB'!#REF!,'P NP TAMBAK KAB'!#REF!,'P NP TAMBAK KAB'!#REF!,'P NP TAMBAK KAB'!#REF!))/1000</f>
        <v>#REF!</v>
      </c>
      <c r="L20" s="264" t="e">
        <f t="shared" si="3"/>
        <v>#REF!</v>
      </c>
      <c r="M20" s="267" t="e">
        <f>'P NP TAMBAK KAB'!#REF!/1000</f>
        <v>#REF!</v>
      </c>
      <c r="N20" s="267" t="e">
        <f>'P NP TAMBAK KAB'!#REF!/1000</f>
        <v>#REF!</v>
      </c>
      <c r="O20" s="267" t="e">
        <f>'P NP TAMBAK KAB'!#REF!/1000</f>
        <v>#REF!</v>
      </c>
      <c r="P20" s="267" t="e">
        <f>'P NP TAMBAK KAB'!#REF!/1000</f>
        <v>#REF!</v>
      </c>
      <c r="Q20" s="267" t="e">
        <f>'P NP TAMBAK KAB'!#REF!/1000</f>
        <v>#REF!</v>
      </c>
      <c r="R20" s="267" t="e">
        <f>(SUM('P NP TAMBAK KAB'!BH16,'P NP TAMBAK KAB'!BJ16,'P NP TAMBAK KAB'!#REF!,'P NP TAMBAK KAB'!#REF!,'P NP TAMBAK KAB'!#REF!,'P NP TAMBAK KAB'!#REF!))/1000</f>
        <v>#REF!</v>
      </c>
      <c r="S20" s="267">
        <f>'P NP TAMBAK KAB'!AN16/1000</f>
        <v>0</v>
      </c>
      <c r="T20" s="267" t="e">
        <f>'P NP TAMBAK KAB'!#REF!/1000</f>
        <v>#REF!</v>
      </c>
      <c r="U20" s="267" t="e">
        <f>(SUM('P NP TAMBAK KAB'!R16,'P NP TAMBAK KAB'!AP16,'P NP TAMBAK KAB'!AR16,'P NP TAMBAK KAB'!#REF!,'P NP TAMBAK KAB'!#REF!,'P NP TAMBAK KAB'!#REF!,'P NP TAMBAK KAB'!#REF!,'P NP TAMBAK KAB'!#REF!,'P NP TAMBAK KAB'!#REF!,'P NP TAMBAK KAB'!#REF!))/1000</f>
        <v>#REF!</v>
      </c>
      <c r="V20" s="268" t="e">
        <f>(SUM('P NP TAMBAK KAB'!X16,'P NP TAMBAK KAB'!Z16,'P NP TAMBAK KAB'!AD16,'P NP TAMBAK KAB'!#REF!,'P NP TAMBAK KAB'!#REF!))/1000</f>
        <v>#REF!</v>
      </c>
      <c r="X20" s="264">
        <f t="shared" si="4"/>
        <v>1490</v>
      </c>
      <c r="Y20" s="267">
        <f>'P NP TW'!P17/1000</f>
        <v>385</v>
      </c>
      <c r="Z20" s="267">
        <f>'P NP TW'!R17/1000</f>
        <v>370</v>
      </c>
      <c r="AA20" s="267">
        <f>'P NP TW'!T17/1000</f>
        <v>360</v>
      </c>
      <c r="AB20" s="268">
        <f>'P NP TW'!V17/1000</f>
        <v>375</v>
      </c>
    </row>
    <row r="21" spans="1:28">
      <c r="A21" s="346" t="s">
        <v>130</v>
      </c>
      <c r="B21" s="267" t="e">
        <f t="shared" si="1"/>
        <v>#REF!</v>
      </c>
      <c r="C21" s="267" t="e">
        <f t="shared" si="2"/>
        <v>#REF!</v>
      </c>
      <c r="D21" s="267">
        <f>'P NP TAMBAK KAB'!AT17/1000</f>
        <v>0</v>
      </c>
      <c r="E21" s="267">
        <f>'P NP TAMBAK KAB'!BN17/1000</f>
        <v>0</v>
      </c>
      <c r="F21" s="267" t="e">
        <f>'P NP TAMBAK KAB'!#REF!/1000</f>
        <v>#REF!</v>
      </c>
      <c r="G21" s="267">
        <f>('P NP TAMBAK KAB'!AJ17+'P NP TAMBAK KAB'!AL17)/1000</f>
        <v>0</v>
      </c>
      <c r="H21" s="267">
        <f>'P NP TAMBAK KAB'!D17/1000</f>
        <v>0</v>
      </c>
      <c r="I21" s="267">
        <f>'P NP TAMBAK KAB'!BR17/1000</f>
        <v>0</v>
      </c>
      <c r="J21" s="267">
        <f>'P NP TAMBAK KAB'!N17/1000</f>
        <v>0</v>
      </c>
      <c r="K21" s="268" t="e">
        <f>(SUM('P NP TAMBAK KAB'!F17,'P NP TAMBAK KAB'!H17,'P NP TAMBAK KAB'!J17,'P NP TAMBAK KAB'!L17,'P NP TAMBAK KAB'!P17,'P NP TAMBAK KAB'!R17,'P NP TAMBAK KAB'!T17,'P NP TAMBAK KAB'!R17,'P NP TAMBAK KAB'!V17,'P NP TAMBAK KAB'!AB17,'P NP TAMBAK KAB'!AF17,'P NP TAMBAK KAB'!AF17,'P NP TAMBAK KAB'!AF17,'P NP TAMBAK KAB'!AH17,'P NP TAMBAK KAB'!AV17,'P NP TAMBAK KAB'!AX17,'P NP TAMBAK KAB'!AZ17,'P NP TAMBAK KAB'!BB17,'P NP TAMBAK KAB'!BD17,'P NP TAMBAK KAB'!BF17,'P NP TAMBAK KAB'!BL17,'P NP TAMBAK KAB'!BP17,'P NP TAMBAK KAB'!BT17,'P NP TAMBAK KAB'!BV17,'P NP TAMBAK KAB'!BX17,'P NP TAMBAK KAB'!#REF!,'P NP TAMBAK KAB'!#REF!,'P NP TAMBAK KAB'!#REF!,'P NP TAMBAK KAB'!#REF!,'P NP TAMBAK KAB'!#REF!,'P NP TAMBAK KAB'!#REF!,'P NP TAMBAK KAB'!#REF!,'P NP TAMBAK KAB'!#REF!))/1000</f>
        <v>#REF!</v>
      </c>
      <c r="L21" s="264" t="e">
        <f t="shared" si="3"/>
        <v>#REF!</v>
      </c>
      <c r="M21" s="267" t="e">
        <f>'P NP TAMBAK KAB'!#REF!/1000</f>
        <v>#REF!</v>
      </c>
      <c r="N21" s="267" t="e">
        <f>'P NP TAMBAK KAB'!#REF!/1000</f>
        <v>#REF!</v>
      </c>
      <c r="O21" s="267" t="e">
        <f>'P NP TAMBAK KAB'!#REF!/1000</f>
        <v>#REF!</v>
      </c>
      <c r="P21" s="267" t="e">
        <f>'P NP TAMBAK KAB'!#REF!/1000</f>
        <v>#REF!</v>
      </c>
      <c r="Q21" s="267" t="e">
        <f>'P NP TAMBAK KAB'!#REF!/1000</f>
        <v>#REF!</v>
      </c>
      <c r="R21" s="267" t="e">
        <f>(SUM('P NP TAMBAK KAB'!BH17,'P NP TAMBAK KAB'!BJ17,'P NP TAMBAK KAB'!#REF!,'P NP TAMBAK KAB'!#REF!,'P NP TAMBAK KAB'!#REF!,'P NP TAMBAK KAB'!#REF!))/1000</f>
        <v>#REF!</v>
      </c>
      <c r="S21" s="267">
        <f>'P NP TAMBAK KAB'!AN17/1000</f>
        <v>0</v>
      </c>
      <c r="T21" s="267" t="e">
        <f>'P NP TAMBAK KAB'!#REF!/1000</f>
        <v>#REF!</v>
      </c>
      <c r="U21" s="267" t="e">
        <f>(SUM('P NP TAMBAK KAB'!R17,'P NP TAMBAK KAB'!AP17,'P NP TAMBAK KAB'!AR17,'P NP TAMBAK KAB'!#REF!,'P NP TAMBAK KAB'!#REF!,'P NP TAMBAK KAB'!#REF!,'P NP TAMBAK KAB'!#REF!,'P NP TAMBAK KAB'!#REF!,'P NP TAMBAK KAB'!#REF!,'P NP TAMBAK KAB'!#REF!))/1000</f>
        <v>#REF!</v>
      </c>
      <c r="V21" s="268" t="e">
        <f>(SUM('P NP TAMBAK KAB'!X17,'P NP TAMBAK KAB'!Z17,'P NP TAMBAK KAB'!AD17,'P NP TAMBAK KAB'!#REF!,'P NP TAMBAK KAB'!#REF!))/1000</f>
        <v>#REF!</v>
      </c>
      <c r="X21" s="264">
        <f t="shared" si="4"/>
        <v>0</v>
      </c>
      <c r="Y21" s="267">
        <f>'P NP TW'!P18/1000</f>
        <v>0</v>
      </c>
      <c r="Z21" s="267">
        <f>'P NP TW'!R18/1000</f>
        <v>0</v>
      </c>
      <c r="AA21" s="267">
        <f>'P NP TW'!T18/1000</f>
        <v>0</v>
      </c>
      <c r="AB21" s="268">
        <f>'P NP TW'!V18/1000</f>
        <v>0</v>
      </c>
    </row>
    <row r="22" spans="1:28">
      <c r="A22" s="346" t="s">
        <v>131</v>
      </c>
      <c r="B22" s="267" t="e">
        <f t="shared" si="1"/>
        <v>#REF!</v>
      </c>
      <c r="C22" s="267" t="e">
        <f t="shared" si="2"/>
        <v>#REF!</v>
      </c>
      <c r="D22" s="267">
        <f>'P NP TAMBAK KAB'!AT18/1000</f>
        <v>0</v>
      </c>
      <c r="E22" s="267">
        <f>'P NP TAMBAK KAB'!BN18/1000</f>
        <v>0</v>
      </c>
      <c r="F22" s="267" t="e">
        <f>'P NP TAMBAK KAB'!#REF!/1000</f>
        <v>#REF!</v>
      </c>
      <c r="G22" s="267">
        <f>('P NP TAMBAK KAB'!AJ18+'P NP TAMBAK KAB'!AL18)/1000</f>
        <v>0</v>
      </c>
      <c r="H22" s="267">
        <f>'P NP TAMBAK KAB'!D18/1000</f>
        <v>0</v>
      </c>
      <c r="I22" s="267">
        <f>'P NP TAMBAK KAB'!BR18/1000</f>
        <v>0</v>
      </c>
      <c r="J22" s="267">
        <f>'P NP TAMBAK KAB'!N18/1000</f>
        <v>0</v>
      </c>
      <c r="K22" s="268" t="e">
        <f>(SUM('P NP TAMBAK KAB'!F18,'P NP TAMBAK KAB'!H18,'P NP TAMBAK KAB'!J18,'P NP TAMBAK KAB'!L18,'P NP TAMBAK KAB'!P18,'P NP TAMBAK KAB'!R18,'P NP TAMBAK KAB'!T18,'P NP TAMBAK KAB'!R18,'P NP TAMBAK KAB'!V18,'P NP TAMBAK KAB'!AB18,'P NP TAMBAK KAB'!AF18,'P NP TAMBAK KAB'!AF18,'P NP TAMBAK KAB'!AF18,'P NP TAMBAK KAB'!AH18,'P NP TAMBAK KAB'!AV18,'P NP TAMBAK KAB'!AX18,'P NP TAMBAK KAB'!AZ18,'P NP TAMBAK KAB'!BB18,'P NP TAMBAK KAB'!BD18,'P NP TAMBAK KAB'!BF18,'P NP TAMBAK KAB'!BL18,'P NP TAMBAK KAB'!BP18,'P NP TAMBAK KAB'!BT18,'P NP TAMBAK KAB'!BV18,'P NP TAMBAK KAB'!BX18,'P NP TAMBAK KAB'!#REF!,'P NP TAMBAK KAB'!#REF!,'P NP TAMBAK KAB'!#REF!,'P NP TAMBAK KAB'!#REF!,'P NP TAMBAK KAB'!#REF!,'P NP TAMBAK KAB'!#REF!,'P NP TAMBAK KAB'!#REF!,'P NP TAMBAK KAB'!#REF!))/1000</f>
        <v>#REF!</v>
      </c>
      <c r="L22" s="264" t="e">
        <f t="shared" si="3"/>
        <v>#REF!</v>
      </c>
      <c r="M22" s="267" t="e">
        <f>'P NP TAMBAK KAB'!#REF!/1000</f>
        <v>#REF!</v>
      </c>
      <c r="N22" s="267" t="e">
        <f>'P NP TAMBAK KAB'!#REF!/1000</f>
        <v>#REF!</v>
      </c>
      <c r="O22" s="267" t="e">
        <f>'P NP TAMBAK KAB'!#REF!/1000</f>
        <v>#REF!</v>
      </c>
      <c r="P22" s="267" t="e">
        <f>'P NP TAMBAK KAB'!#REF!/1000</f>
        <v>#REF!</v>
      </c>
      <c r="Q22" s="267" t="e">
        <f>'P NP TAMBAK KAB'!#REF!/1000</f>
        <v>#REF!</v>
      </c>
      <c r="R22" s="267" t="e">
        <f>(SUM('P NP TAMBAK KAB'!BH18,'P NP TAMBAK KAB'!BJ18,'P NP TAMBAK KAB'!#REF!,'P NP TAMBAK KAB'!#REF!,'P NP TAMBAK KAB'!#REF!,'P NP TAMBAK KAB'!#REF!))/1000</f>
        <v>#REF!</v>
      </c>
      <c r="S22" s="267">
        <f>'P NP TAMBAK KAB'!AN18/1000</f>
        <v>0</v>
      </c>
      <c r="T22" s="267" t="e">
        <f>'P NP TAMBAK KAB'!#REF!/1000</f>
        <v>#REF!</v>
      </c>
      <c r="U22" s="267" t="e">
        <f>(SUM('P NP TAMBAK KAB'!R18,'P NP TAMBAK KAB'!AP18,'P NP TAMBAK KAB'!AR18,'P NP TAMBAK KAB'!#REF!,'P NP TAMBAK KAB'!#REF!,'P NP TAMBAK KAB'!#REF!,'P NP TAMBAK KAB'!#REF!,'P NP TAMBAK KAB'!#REF!,'P NP TAMBAK KAB'!#REF!,'P NP TAMBAK KAB'!#REF!))/1000</f>
        <v>#REF!</v>
      </c>
      <c r="V22" s="268" t="e">
        <f>(SUM('P NP TAMBAK KAB'!X18,'P NP TAMBAK KAB'!Z18,'P NP TAMBAK KAB'!AD18,'P NP TAMBAK KAB'!#REF!,'P NP TAMBAK KAB'!#REF!))/1000</f>
        <v>#REF!</v>
      </c>
      <c r="X22" s="264">
        <f t="shared" si="4"/>
        <v>0</v>
      </c>
      <c r="Y22" s="267">
        <f>'P NP TW'!P19/1000</f>
        <v>0</v>
      </c>
      <c r="Z22" s="267">
        <f>'P NP TW'!R19/1000</f>
        <v>0</v>
      </c>
      <c r="AA22" s="267">
        <f>'P NP TW'!T19/1000</f>
        <v>0</v>
      </c>
      <c r="AB22" s="268">
        <f>'P NP TW'!V19/1000</f>
        <v>0</v>
      </c>
    </row>
    <row r="23" spans="1:28">
      <c r="A23" s="346" t="s">
        <v>118</v>
      </c>
      <c r="B23" s="267" t="e">
        <f t="shared" si="1"/>
        <v>#REF!</v>
      </c>
      <c r="C23" s="267" t="e">
        <f t="shared" si="2"/>
        <v>#REF!</v>
      </c>
      <c r="D23" s="267">
        <f>'P NP TAMBAK KAB'!AT19/1000</f>
        <v>0</v>
      </c>
      <c r="E23" s="267">
        <f>'P NP TAMBAK KAB'!BN19/1000</f>
        <v>0</v>
      </c>
      <c r="F23" s="267" t="e">
        <f>'P NP TAMBAK KAB'!#REF!/1000</f>
        <v>#REF!</v>
      </c>
      <c r="G23" s="267">
        <f>('P NP TAMBAK KAB'!AJ19+'P NP TAMBAK KAB'!AL19)/1000</f>
        <v>0</v>
      </c>
      <c r="H23" s="267">
        <f>'P NP TAMBAK KAB'!D19/1000</f>
        <v>0</v>
      </c>
      <c r="I23" s="267">
        <f>'P NP TAMBAK KAB'!BR19/1000</f>
        <v>0</v>
      </c>
      <c r="J23" s="267">
        <f>'P NP TAMBAK KAB'!N19/1000</f>
        <v>0</v>
      </c>
      <c r="K23" s="268" t="e">
        <f>(SUM('P NP TAMBAK KAB'!F19,'P NP TAMBAK KAB'!H19,'P NP TAMBAK KAB'!J19,'P NP TAMBAK KAB'!L19,'P NP TAMBAK KAB'!P19,'P NP TAMBAK KAB'!R19,'P NP TAMBAK KAB'!T19,'P NP TAMBAK KAB'!R19,'P NP TAMBAK KAB'!V19,'P NP TAMBAK KAB'!AB19,'P NP TAMBAK KAB'!AF19,'P NP TAMBAK KAB'!AF19,'P NP TAMBAK KAB'!AF19,'P NP TAMBAK KAB'!AH19,'P NP TAMBAK KAB'!AV19,'P NP TAMBAK KAB'!AX19,'P NP TAMBAK KAB'!AZ19,'P NP TAMBAK KAB'!BB19,'P NP TAMBAK KAB'!BD19,'P NP TAMBAK KAB'!BF19,'P NP TAMBAK KAB'!BL19,'P NP TAMBAK KAB'!BP19,'P NP TAMBAK KAB'!BT19,'P NP TAMBAK KAB'!BV19,'P NP TAMBAK KAB'!BX19,'P NP TAMBAK KAB'!#REF!,'P NP TAMBAK KAB'!#REF!,'P NP TAMBAK KAB'!#REF!,'P NP TAMBAK KAB'!#REF!,'P NP TAMBAK KAB'!#REF!,'P NP TAMBAK KAB'!#REF!,'P NP TAMBAK KAB'!#REF!,'P NP TAMBAK KAB'!#REF!))/1000</f>
        <v>#REF!</v>
      </c>
      <c r="L23" s="264" t="e">
        <f t="shared" si="3"/>
        <v>#REF!</v>
      </c>
      <c r="M23" s="267" t="e">
        <f>'P NP TAMBAK KAB'!#REF!/1000</f>
        <v>#REF!</v>
      </c>
      <c r="N23" s="267" t="e">
        <f>'P NP TAMBAK KAB'!#REF!/1000</f>
        <v>#REF!</v>
      </c>
      <c r="O23" s="267" t="e">
        <f>'P NP TAMBAK KAB'!#REF!/1000</f>
        <v>#REF!</v>
      </c>
      <c r="P23" s="267" t="e">
        <f>'P NP TAMBAK KAB'!#REF!/1000</f>
        <v>#REF!</v>
      </c>
      <c r="Q23" s="267" t="e">
        <f>'P NP TAMBAK KAB'!#REF!/1000</f>
        <v>#REF!</v>
      </c>
      <c r="R23" s="267" t="e">
        <f>(SUM('P NP TAMBAK KAB'!BH19,'P NP TAMBAK KAB'!BJ19,'P NP TAMBAK KAB'!#REF!,'P NP TAMBAK KAB'!#REF!,'P NP TAMBAK KAB'!#REF!,'P NP TAMBAK KAB'!#REF!))/1000</f>
        <v>#REF!</v>
      </c>
      <c r="S23" s="267">
        <f>'P NP TAMBAK KAB'!AN19/1000</f>
        <v>0</v>
      </c>
      <c r="T23" s="267" t="e">
        <f>'P NP TAMBAK KAB'!#REF!/1000</f>
        <v>#REF!</v>
      </c>
      <c r="U23" s="267" t="e">
        <f>(SUM('P NP TAMBAK KAB'!R19,'P NP TAMBAK KAB'!AP19,'P NP TAMBAK KAB'!AR19,'P NP TAMBAK KAB'!#REF!,'P NP TAMBAK KAB'!#REF!,'P NP TAMBAK KAB'!#REF!,'P NP TAMBAK KAB'!#REF!,'P NP TAMBAK KAB'!#REF!,'P NP TAMBAK KAB'!#REF!,'P NP TAMBAK KAB'!#REF!))/1000</f>
        <v>#REF!</v>
      </c>
      <c r="V23" s="268" t="e">
        <f>(SUM('P NP TAMBAK KAB'!X19,'P NP TAMBAK KAB'!Z19,'P NP TAMBAK KAB'!AD19,'P NP TAMBAK KAB'!#REF!,'P NP TAMBAK KAB'!#REF!))/1000</f>
        <v>#REF!</v>
      </c>
      <c r="X23" s="264">
        <f t="shared" si="4"/>
        <v>1640</v>
      </c>
      <c r="Y23" s="267">
        <f>'P NP TW'!P20/1000</f>
        <v>310</v>
      </c>
      <c r="Z23" s="267">
        <f>'P NP TW'!R20/1000</f>
        <v>435</v>
      </c>
      <c r="AA23" s="267">
        <f>'P NP TW'!T20/1000</f>
        <v>425</v>
      </c>
      <c r="AB23" s="268">
        <f>'P NP TW'!V20/1000</f>
        <v>470</v>
      </c>
    </row>
    <row r="24" spans="1:28">
      <c r="A24" s="346" t="s">
        <v>127</v>
      </c>
      <c r="B24" s="267" t="e">
        <f t="shared" si="1"/>
        <v>#REF!</v>
      </c>
      <c r="C24" s="267" t="e">
        <f t="shared" si="2"/>
        <v>#REF!</v>
      </c>
      <c r="D24" s="267">
        <f>'P NP TAMBAK KAB'!AT20/1000</f>
        <v>0</v>
      </c>
      <c r="E24" s="267">
        <f>'P NP TAMBAK KAB'!BN20/1000</f>
        <v>0</v>
      </c>
      <c r="F24" s="267" t="e">
        <f>'P NP TAMBAK KAB'!#REF!/1000</f>
        <v>#REF!</v>
      </c>
      <c r="G24" s="267">
        <f>('P NP TAMBAK KAB'!AJ20+'P NP TAMBAK KAB'!AL20)/1000</f>
        <v>0</v>
      </c>
      <c r="H24" s="267">
        <f>'P NP TAMBAK KAB'!D20/1000</f>
        <v>0</v>
      </c>
      <c r="I24" s="267">
        <f>'P NP TAMBAK KAB'!BR20/1000</f>
        <v>0</v>
      </c>
      <c r="J24" s="267">
        <f>'P NP TAMBAK KAB'!N20/1000</f>
        <v>0</v>
      </c>
      <c r="K24" s="268" t="e">
        <f>(SUM('P NP TAMBAK KAB'!F20,'P NP TAMBAK KAB'!H20,'P NP TAMBAK KAB'!J20,'P NP TAMBAK KAB'!L20,'P NP TAMBAK KAB'!P20,'P NP TAMBAK KAB'!R20,'P NP TAMBAK KAB'!T20,'P NP TAMBAK KAB'!R20,'P NP TAMBAK KAB'!V20,'P NP TAMBAK KAB'!AB20,'P NP TAMBAK KAB'!AF20,'P NP TAMBAK KAB'!AF20,'P NP TAMBAK KAB'!AF20,'P NP TAMBAK KAB'!AH20,'P NP TAMBAK KAB'!AV20,'P NP TAMBAK KAB'!AX20,'P NP TAMBAK KAB'!AZ20,'P NP TAMBAK KAB'!BB20,'P NP TAMBAK KAB'!BD20,'P NP TAMBAK KAB'!BF20,'P NP TAMBAK KAB'!BL20,'P NP TAMBAK KAB'!BP20,'P NP TAMBAK KAB'!BT20,'P NP TAMBAK KAB'!BV20,'P NP TAMBAK KAB'!BX20,'P NP TAMBAK KAB'!#REF!,'P NP TAMBAK KAB'!#REF!,'P NP TAMBAK KAB'!#REF!,'P NP TAMBAK KAB'!#REF!,'P NP TAMBAK KAB'!#REF!,'P NP TAMBAK KAB'!#REF!,'P NP TAMBAK KAB'!#REF!,'P NP TAMBAK KAB'!#REF!))/1000</f>
        <v>#REF!</v>
      </c>
      <c r="L24" s="264" t="e">
        <f t="shared" si="3"/>
        <v>#REF!</v>
      </c>
      <c r="M24" s="267" t="e">
        <f>'P NP TAMBAK KAB'!#REF!/1000</f>
        <v>#REF!</v>
      </c>
      <c r="N24" s="267" t="e">
        <f>'P NP TAMBAK KAB'!#REF!/1000</f>
        <v>#REF!</v>
      </c>
      <c r="O24" s="267" t="e">
        <f>'P NP TAMBAK KAB'!#REF!/1000</f>
        <v>#REF!</v>
      </c>
      <c r="P24" s="267" t="e">
        <f>'P NP TAMBAK KAB'!#REF!/1000</f>
        <v>#REF!</v>
      </c>
      <c r="Q24" s="267" t="e">
        <f>'P NP TAMBAK KAB'!#REF!/1000</f>
        <v>#REF!</v>
      </c>
      <c r="R24" s="267" t="e">
        <f>(SUM('P NP TAMBAK KAB'!BH20,'P NP TAMBAK KAB'!BJ20,'P NP TAMBAK KAB'!#REF!,'P NP TAMBAK KAB'!#REF!,'P NP TAMBAK KAB'!#REF!,'P NP TAMBAK KAB'!#REF!))/1000</f>
        <v>#REF!</v>
      </c>
      <c r="S24" s="267">
        <f>'P NP TAMBAK KAB'!AN20/1000</f>
        <v>0</v>
      </c>
      <c r="T24" s="267" t="e">
        <f>'P NP TAMBAK KAB'!#REF!/1000</f>
        <v>#REF!</v>
      </c>
      <c r="U24" s="267" t="e">
        <f>(SUM('P NP TAMBAK KAB'!R20,'P NP TAMBAK KAB'!AP20,'P NP TAMBAK KAB'!AR20,'P NP TAMBAK KAB'!#REF!,'P NP TAMBAK KAB'!#REF!,'P NP TAMBAK KAB'!#REF!,'P NP TAMBAK KAB'!#REF!,'P NP TAMBAK KAB'!#REF!,'P NP TAMBAK KAB'!#REF!,'P NP TAMBAK KAB'!#REF!))/1000</f>
        <v>#REF!</v>
      </c>
      <c r="V24" s="268" t="e">
        <f>(SUM('P NP TAMBAK KAB'!X20,'P NP TAMBAK KAB'!Z20,'P NP TAMBAK KAB'!AD20,'P NP TAMBAK KAB'!#REF!,'P NP TAMBAK KAB'!#REF!))/1000</f>
        <v>#REF!</v>
      </c>
      <c r="X24" s="264">
        <f t="shared" si="4"/>
        <v>0</v>
      </c>
      <c r="Y24" s="267">
        <f>'P NP TW'!P21/1000</f>
        <v>0</v>
      </c>
      <c r="Z24" s="267">
        <f>'P NP TW'!R21/1000</f>
        <v>0</v>
      </c>
      <c r="AA24" s="267">
        <f>'P NP TW'!T21/1000</f>
        <v>0</v>
      </c>
      <c r="AB24" s="268">
        <f>'P NP TW'!V21/1000</f>
        <v>0</v>
      </c>
    </row>
    <row r="25" spans="1:28">
      <c r="A25" s="346" t="s">
        <v>129</v>
      </c>
      <c r="B25" s="267" t="e">
        <f t="shared" si="1"/>
        <v>#REF!</v>
      </c>
      <c r="C25" s="267" t="e">
        <f t="shared" si="2"/>
        <v>#REF!</v>
      </c>
      <c r="D25" s="267">
        <f>'P NP TAMBAK KAB'!AT21/1000</f>
        <v>0</v>
      </c>
      <c r="E25" s="267">
        <f>'P NP TAMBAK KAB'!BN21/1000</f>
        <v>0</v>
      </c>
      <c r="F25" s="267" t="e">
        <f>'P NP TAMBAK KAB'!#REF!/1000</f>
        <v>#REF!</v>
      </c>
      <c r="G25" s="267">
        <f>('P NP TAMBAK KAB'!AJ21+'P NP TAMBAK KAB'!AL21)/1000</f>
        <v>0</v>
      </c>
      <c r="H25" s="267">
        <f>'P NP TAMBAK KAB'!D21/1000</f>
        <v>0</v>
      </c>
      <c r="I25" s="267">
        <f>'P NP TAMBAK KAB'!BR21/1000</f>
        <v>0</v>
      </c>
      <c r="J25" s="267">
        <f>'P NP TAMBAK KAB'!N21/1000</f>
        <v>0</v>
      </c>
      <c r="K25" s="268" t="e">
        <f>(SUM('P NP TAMBAK KAB'!F21,'P NP TAMBAK KAB'!H21,'P NP TAMBAK KAB'!J21,'P NP TAMBAK KAB'!L21,'P NP TAMBAK KAB'!P21,'P NP TAMBAK KAB'!R21,'P NP TAMBAK KAB'!T21,'P NP TAMBAK KAB'!R21,'P NP TAMBAK KAB'!V21,'P NP TAMBAK KAB'!AB21,'P NP TAMBAK KAB'!AF21,'P NP TAMBAK KAB'!AF21,'P NP TAMBAK KAB'!AF21,'P NP TAMBAK KAB'!AH21,'P NP TAMBAK KAB'!AV21,'P NP TAMBAK KAB'!AX21,'P NP TAMBAK KAB'!AZ21,'P NP TAMBAK KAB'!BB21,'P NP TAMBAK KAB'!BD21,'P NP TAMBAK KAB'!BF21,'P NP TAMBAK KAB'!BL21,'P NP TAMBAK KAB'!BP21,'P NP TAMBAK KAB'!BT21,'P NP TAMBAK KAB'!BV21,'P NP TAMBAK KAB'!BX21,'P NP TAMBAK KAB'!#REF!,'P NP TAMBAK KAB'!#REF!,'P NP TAMBAK KAB'!#REF!,'P NP TAMBAK KAB'!#REF!,'P NP TAMBAK KAB'!#REF!,'P NP TAMBAK KAB'!#REF!,'P NP TAMBAK KAB'!#REF!,'P NP TAMBAK KAB'!#REF!))/1000</f>
        <v>#REF!</v>
      </c>
      <c r="L25" s="264" t="e">
        <f t="shared" si="3"/>
        <v>#REF!</v>
      </c>
      <c r="M25" s="267" t="e">
        <f>'P NP TAMBAK KAB'!#REF!/1000</f>
        <v>#REF!</v>
      </c>
      <c r="N25" s="267" t="e">
        <f>'P NP TAMBAK KAB'!#REF!/1000</f>
        <v>#REF!</v>
      </c>
      <c r="O25" s="267" t="e">
        <f>'P NP TAMBAK KAB'!#REF!/1000</f>
        <v>#REF!</v>
      </c>
      <c r="P25" s="267" t="e">
        <f>'P NP TAMBAK KAB'!#REF!/1000</f>
        <v>#REF!</v>
      </c>
      <c r="Q25" s="267" t="e">
        <f>'P NP TAMBAK KAB'!#REF!/1000</f>
        <v>#REF!</v>
      </c>
      <c r="R25" s="267" t="e">
        <f>(SUM('P NP TAMBAK KAB'!BH21,'P NP TAMBAK KAB'!BJ21,'P NP TAMBAK KAB'!#REF!,'P NP TAMBAK KAB'!#REF!,'P NP TAMBAK KAB'!#REF!,'P NP TAMBAK KAB'!#REF!))/1000</f>
        <v>#REF!</v>
      </c>
      <c r="S25" s="267">
        <f>'P NP TAMBAK KAB'!AN21/1000</f>
        <v>0</v>
      </c>
      <c r="T25" s="267" t="e">
        <f>'P NP TAMBAK KAB'!#REF!/1000</f>
        <v>#REF!</v>
      </c>
      <c r="U25" s="267" t="e">
        <f>(SUM('P NP TAMBAK KAB'!R21,'P NP TAMBAK KAB'!AP21,'P NP TAMBAK KAB'!AR21,'P NP TAMBAK KAB'!#REF!,'P NP TAMBAK KAB'!#REF!,'P NP TAMBAK KAB'!#REF!,'P NP TAMBAK KAB'!#REF!,'P NP TAMBAK KAB'!#REF!,'P NP TAMBAK KAB'!#REF!,'P NP TAMBAK KAB'!#REF!))/1000</f>
        <v>#REF!</v>
      </c>
      <c r="V25" s="268" t="e">
        <f>(SUM('P NP TAMBAK KAB'!X21,'P NP TAMBAK KAB'!Z21,'P NP TAMBAK KAB'!AD21,'P NP TAMBAK KAB'!#REF!,'P NP TAMBAK KAB'!#REF!))/1000</f>
        <v>#REF!</v>
      </c>
      <c r="X25" s="264">
        <f t="shared" si="4"/>
        <v>0</v>
      </c>
      <c r="Y25" s="267">
        <f>'P NP TW'!P22/1000</f>
        <v>0</v>
      </c>
      <c r="Z25" s="267">
        <f>'P NP TW'!R22/1000</f>
        <v>0</v>
      </c>
      <c r="AA25" s="267">
        <f>'P NP TW'!T22/1000</f>
        <v>0</v>
      </c>
      <c r="AB25" s="268">
        <f>'P NP TW'!V22/1000</f>
        <v>0</v>
      </c>
    </row>
    <row r="26" spans="1:28">
      <c r="A26" s="346" t="s">
        <v>132</v>
      </c>
      <c r="B26" s="267" t="e">
        <f t="shared" si="1"/>
        <v>#REF!</v>
      </c>
      <c r="C26" s="267" t="e">
        <f t="shared" si="2"/>
        <v>#REF!</v>
      </c>
      <c r="D26" s="267">
        <f>'P NP TAMBAK KAB'!AT22/1000</f>
        <v>0</v>
      </c>
      <c r="E26" s="267">
        <f>'P NP TAMBAK KAB'!BN22/1000</f>
        <v>0</v>
      </c>
      <c r="F26" s="267" t="e">
        <f>'P NP TAMBAK KAB'!#REF!/1000</f>
        <v>#REF!</v>
      </c>
      <c r="G26" s="267">
        <f>('P NP TAMBAK KAB'!AJ22+'P NP TAMBAK KAB'!AL22)/1000</f>
        <v>0</v>
      </c>
      <c r="H26" s="267">
        <f>'P NP TAMBAK KAB'!D22/1000</f>
        <v>0</v>
      </c>
      <c r="I26" s="267">
        <f>'P NP TAMBAK KAB'!BR22/1000</f>
        <v>0</v>
      </c>
      <c r="J26" s="267">
        <f>'P NP TAMBAK KAB'!N22/1000</f>
        <v>0</v>
      </c>
      <c r="K26" s="268" t="e">
        <f>(SUM('P NP TAMBAK KAB'!F22,'P NP TAMBAK KAB'!H22,'P NP TAMBAK KAB'!J22,'P NP TAMBAK KAB'!L22,'P NP TAMBAK KAB'!P22,'P NP TAMBAK KAB'!R22,'P NP TAMBAK KAB'!T22,'P NP TAMBAK KAB'!R22,'P NP TAMBAK KAB'!V22,'P NP TAMBAK KAB'!AB22,'P NP TAMBAK KAB'!AF22,'P NP TAMBAK KAB'!AF22,'P NP TAMBAK KAB'!AF22,'P NP TAMBAK KAB'!AH22,'P NP TAMBAK KAB'!AV22,'P NP TAMBAK KAB'!AX22,'P NP TAMBAK KAB'!AZ22,'P NP TAMBAK KAB'!BB22,'P NP TAMBAK KAB'!BD22,'P NP TAMBAK KAB'!BF22,'P NP TAMBAK KAB'!BL22,'P NP TAMBAK KAB'!BP22,'P NP TAMBAK KAB'!BT22,'P NP TAMBAK KAB'!BV22,'P NP TAMBAK KAB'!BX22,'P NP TAMBAK KAB'!#REF!,'P NP TAMBAK KAB'!#REF!,'P NP TAMBAK KAB'!#REF!,'P NP TAMBAK KAB'!#REF!,'P NP TAMBAK KAB'!#REF!,'P NP TAMBAK KAB'!#REF!,'P NP TAMBAK KAB'!#REF!,'P NP TAMBAK KAB'!#REF!))/1000</f>
        <v>#REF!</v>
      </c>
      <c r="L26" s="264" t="e">
        <f t="shared" si="3"/>
        <v>#REF!</v>
      </c>
      <c r="M26" s="267" t="e">
        <f>'P NP TAMBAK KAB'!#REF!/1000</f>
        <v>#REF!</v>
      </c>
      <c r="N26" s="267" t="e">
        <f>'P NP TAMBAK KAB'!#REF!/1000</f>
        <v>#REF!</v>
      </c>
      <c r="O26" s="267" t="e">
        <f>'P NP TAMBAK KAB'!#REF!/1000</f>
        <v>#REF!</v>
      </c>
      <c r="P26" s="267" t="e">
        <f>'P NP TAMBAK KAB'!#REF!/1000</f>
        <v>#REF!</v>
      </c>
      <c r="Q26" s="267" t="e">
        <f>'P NP TAMBAK KAB'!#REF!/1000</f>
        <v>#REF!</v>
      </c>
      <c r="R26" s="267" t="e">
        <f>(SUM('P NP TAMBAK KAB'!BH22,'P NP TAMBAK KAB'!BJ22,'P NP TAMBAK KAB'!#REF!,'P NP TAMBAK KAB'!#REF!,'P NP TAMBAK KAB'!#REF!,'P NP TAMBAK KAB'!#REF!))/1000</f>
        <v>#REF!</v>
      </c>
      <c r="S26" s="267">
        <f>'P NP TAMBAK KAB'!AN22/1000</f>
        <v>0</v>
      </c>
      <c r="T26" s="267" t="e">
        <f>'P NP TAMBAK KAB'!#REF!/1000</f>
        <v>#REF!</v>
      </c>
      <c r="U26" s="267" t="e">
        <f>(SUM('P NP TAMBAK KAB'!R22,'P NP TAMBAK KAB'!AP22,'P NP TAMBAK KAB'!AR22,'P NP TAMBAK KAB'!#REF!,'P NP TAMBAK KAB'!#REF!,'P NP TAMBAK KAB'!#REF!,'P NP TAMBAK KAB'!#REF!,'P NP TAMBAK KAB'!#REF!,'P NP TAMBAK KAB'!#REF!,'P NP TAMBAK KAB'!#REF!))/1000</f>
        <v>#REF!</v>
      </c>
      <c r="V26" s="268" t="e">
        <f>(SUM('P NP TAMBAK KAB'!X22,'P NP TAMBAK KAB'!Z22,'P NP TAMBAK KAB'!AD22,'P NP TAMBAK KAB'!#REF!,'P NP TAMBAK KAB'!#REF!))/1000</f>
        <v>#REF!</v>
      </c>
      <c r="X26" s="264">
        <f t="shared" si="4"/>
        <v>0</v>
      </c>
      <c r="Y26" s="267">
        <f>'P NP TW'!P23/1000</f>
        <v>0</v>
      </c>
      <c r="Z26" s="267">
        <f>'P NP TW'!R23/1000</f>
        <v>0</v>
      </c>
      <c r="AA26" s="267">
        <f>'P NP TW'!T23/1000</f>
        <v>0</v>
      </c>
      <c r="AB26" s="268">
        <f>'P NP TW'!V23/1000</f>
        <v>0</v>
      </c>
    </row>
    <row r="27" spans="1:28">
      <c r="A27" s="346" t="s">
        <v>112</v>
      </c>
      <c r="B27" s="267" t="e">
        <f t="shared" si="1"/>
        <v>#REF!</v>
      </c>
      <c r="C27" s="267" t="e">
        <f t="shared" si="2"/>
        <v>#REF!</v>
      </c>
      <c r="D27" s="267">
        <f>'P NP TAMBAK KAB'!AT23/1000</f>
        <v>0</v>
      </c>
      <c r="E27" s="267">
        <f>'P NP TAMBAK KAB'!BN23/1000</f>
        <v>0</v>
      </c>
      <c r="F27" s="267" t="e">
        <f>'P NP TAMBAK KAB'!#REF!/1000</f>
        <v>#REF!</v>
      </c>
      <c r="G27" s="267">
        <f>('P NP TAMBAK KAB'!AJ23+'P NP TAMBAK KAB'!AL23)/1000</f>
        <v>0</v>
      </c>
      <c r="H27" s="267">
        <f>'P NP TAMBAK KAB'!D23/1000</f>
        <v>0</v>
      </c>
      <c r="I27" s="267">
        <f>'P NP TAMBAK KAB'!BR23/1000</f>
        <v>0</v>
      </c>
      <c r="J27" s="267">
        <f>'P NP TAMBAK KAB'!N23/1000</f>
        <v>0</v>
      </c>
      <c r="K27" s="268" t="e">
        <f>(SUM('P NP TAMBAK KAB'!F23,'P NP TAMBAK KAB'!H23,'P NP TAMBAK KAB'!J23,'P NP TAMBAK KAB'!L23,'P NP TAMBAK KAB'!P23,'P NP TAMBAK KAB'!R23,'P NP TAMBAK KAB'!T23,'P NP TAMBAK KAB'!R23,'P NP TAMBAK KAB'!V23,'P NP TAMBAK KAB'!AB23,'P NP TAMBAK KAB'!AF23,'P NP TAMBAK KAB'!AF23,'P NP TAMBAK KAB'!AF23,'P NP TAMBAK KAB'!AH23,'P NP TAMBAK KAB'!AV23,'P NP TAMBAK KAB'!AX23,'P NP TAMBAK KAB'!AZ23,'P NP TAMBAK KAB'!BB23,'P NP TAMBAK KAB'!BD23,'P NP TAMBAK KAB'!BF23,'P NP TAMBAK KAB'!BL23,'P NP TAMBAK KAB'!BP23,'P NP TAMBAK KAB'!BT23,'P NP TAMBAK KAB'!BV23,'P NP TAMBAK KAB'!BX23,'P NP TAMBAK KAB'!#REF!,'P NP TAMBAK KAB'!#REF!,'P NP TAMBAK KAB'!#REF!,'P NP TAMBAK KAB'!#REF!,'P NP TAMBAK KAB'!#REF!,'P NP TAMBAK KAB'!#REF!,'P NP TAMBAK KAB'!#REF!,'P NP TAMBAK KAB'!#REF!))/1000</f>
        <v>#REF!</v>
      </c>
      <c r="L27" s="264" t="e">
        <f t="shared" si="3"/>
        <v>#REF!</v>
      </c>
      <c r="M27" s="267" t="e">
        <f>'P NP TAMBAK KAB'!#REF!/1000</f>
        <v>#REF!</v>
      </c>
      <c r="N27" s="267" t="e">
        <f>'P NP TAMBAK KAB'!#REF!/1000</f>
        <v>#REF!</v>
      </c>
      <c r="O27" s="267" t="e">
        <f>'P NP TAMBAK KAB'!#REF!/1000</f>
        <v>#REF!</v>
      </c>
      <c r="P27" s="267" t="e">
        <f>'P NP TAMBAK KAB'!#REF!/1000</f>
        <v>#REF!</v>
      </c>
      <c r="Q27" s="267" t="e">
        <f>'P NP TAMBAK KAB'!#REF!/1000</f>
        <v>#REF!</v>
      </c>
      <c r="R27" s="267" t="e">
        <f>(SUM('P NP TAMBAK KAB'!BH23,'P NP TAMBAK KAB'!BJ23,'P NP TAMBAK KAB'!#REF!,'P NP TAMBAK KAB'!#REF!,'P NP TAMBAK KAB'!#REF!,'P NP TAMBAK KAB'!#REF!))/1000</f>
        <v>#REF!</v>
      </c>
      <c r="S27" s="267">
        <f>'P NP TAMBAK KAB'!AN23/1000</f>
        <v>0</v>
      </c>
      <c r="T27" s="267" t="e">
        <f>'P NP TAMBAK KAB'!#REF!/1000</f>
        <v>#REF!</v>
      </c>
      <c r="U27" s="267" t="e">
        <f>(SUM('P NP TAMBAK KAB'!R23,'P NP TAMBAK KAB'!AP23,'P NP TAMBAK KAB'!AR23,'P NP TAMBAK KAB'!#REF!,'P NP TAMBAK KAB'!#REF!,'P NP TAMBAK KAB'!#REF!,'P NP TAMBAK KAB'!#REF!,'P NP TAMBAK KAB'!#REF!,'P NP TAMBAK KAB'!#REF!,'P NP TAMBAK KAB'!#REF!))/1000</f>
        <v>#REF!</v>
      </c>
      <c r="V27" s="268" t="e">
        <f>(SUM('P NP TAMBAK KAB'!X23,'P NP TAMBAK KAB'!Z23,'P NP TAMBAK KAB'!AD23,'P NP TAMBAK KAB'!#REF!,'P NP TAMBAK KAB'!#REF!))/1000</f>
        <v>#REF!</v>
      </c>
      <c r="X27" s="264">
        <f t="shared" si="4"/>
        <v>1732.575</v>
      </c>
      <c r="Y27" s="267">
        <f>'P NP TW'!P24/1000</f>
        <v>385.52100000000002</v>
      </c>
      <c r="Z27" s="267">
        <f>'P NP TW'!R24/1000</f>
        <v>354.589</v>
      </c>
      <c r="AA27" s="267">
        <f>'P NP TW'!T24/1000</f>
        <v>496.82100000000003</v>
      </c>
      <c r="AB27" s="268">
        <f>'P NP TW'!V24/1000</f>
        <v>495.64400000000001</v>
      </c>
    </row>
    <row r="28" spans="1:28">
      <c r="A28" s="346" t="s">
        <v>139</v>
      </c>
      <c r="B28" s="267" t="e">
        <f t="shared" si="1"/>
        <v>#REF!</v>
      </c>
      <c r="C28" s="267" t="e">
        <f t="shared" si="2"/>
        <v>#REF!</v>
      </c>
      <c r="D28" s="267">
        <f>'P NP TAMBAK KAB'!AT24/1000</f>
        <v>0</v>
      </c>
      <c r="E28" s="267">
        <f>'P NP TAMBAK KAB'!BN24/1000</f>
        <v>0</v>
      </c>
      <c r="F28" s="267" t="e">
        <f>'P NP TAMBAK KAB'!#REF!/1000</f>
        <v>#REF!</v>
      </c>
      <c r="G28" s="267">
        <f>('P NP TAMBAK KAB'!AJ24+'P NP TAMBAK KAB'!AL24)/1000</f>
        <v>0</v>
      </c>
      <c r="H28" s="267">
        <f>'P NP TAMBAK KAB'!D24/1000</f>
        <v>3.2429999999999999</v>
      </c>
      <c r="I28" s="267">
        <f>'P NP TAMBAK KAB'!BR24/1000</f>
        <v>0</v>
      </c>
      <c r="J28" s="267">
        <f>'P NP TAMBAK KAB'!N24/1000</f>
        <v>0</v>
      </c>
      <c r="K28" s="268" t="e">
        <f>(SUM('P NP TAMBAK KAB'!F24,'P NP TAMBAK KAB'!H24,'P NP TAMBAK KAB'!J24,'P NP TAMBAK KAB'!L24,'P NP TAMBAK KAB'!P24,'P NP TAMBAK KAB'!R24,'P NP TAMBAK KAB'!T24,'P NP TAMBAK KAB'!R24,'P NP TAMBAK KAB'!V24,'P NP TAMBAK KAB'!AB24,'P NP TAMBAK KAB'!AF24,'P NP TAMBAK KAB'!AF24,'P NP TAMBAK KAB'!AF24,'P NP TAMBAK KAB'!AH24,'P NP TAMBAK KAB'!AV24,'P NP TAMBAK KAB'!AX24,'P NP TAMBAK KAB'!AZ24,'P NP TAMBAK KAB'!BB24,'P NP TAMBAK KAB'!BD24,'P NP TAMBAK KAB'!BF24,'P NP TAMBAK KAB'!BL24,'P NP TAMBAK KAB'!BP24,'P NP TAMBAK KAB'!BT24,'P NP TAMBAK KAB'!BV24,'P NP TAMBAK KAB'!BX24,'P NP TAMBAK KAB'!#REF!,'P NP TAMBAK KAB'!#REF!,'P NP TAMBAK KAB'!#REF!,'P NP TAMBAK KAB'!#REF!,'P NP TAMBAK KAB'!#REF!,'P NP TAMBAK KAB'!#REF!,'P NP TAMBAK KAB'!#REF!,'P NP TAMBAK KAB'!#REF!))/1000</f>
        <v>#REF!</v>
      </c>
      <c r="L28" s="264" t="e">
        <f t="shared" si="3"/>
        <v>#REF!</v>
      </c>
      <c r="M28" s="267" t="e">
        <f>'P NP TAMBAK KAB'!#REF!/1000</f>
        <v>#REF!</v>
      </c>
      <c r="N28" s="267" t="e">
        <f>'P NP TAMBAK KAB'!#REF!/1000</f>
        <v>#REF!</v>
      </c>
      <c r="O28" s="267" t="e">
        <f>'P NP TAMBAK KAB'!#REF!/1000</f>
        <v>#REF!</v>
      </c>
      <c r="P28" s="267" t="e">
        <f>'P NP TAMBAK KAB'!#REF!/1000</f>
        <v>#REF!</v>
      </c>
      <c r="Q28" s="267" t="e">
        <f>'P NP TAMBAK KAB'!#REF!/1000</f>
        <v>#REF!</v>
      </c>
      <c r="R28" s="267" t="e">
        <f>(SUM('P NP TAMBAK KAB'!BH24,'P NP TAMBAK KAB'!BJ24,'P NP TAMBAK KAB'!#REF!,'P NP TAMBAK KAB'!#REF!,'P NP TAMBAK KAB'!#REF!,'P NP TAMBAK KAB'!#REF!))/1000</f>
        <v>#REF!</v>
      </c>
      <c r="S28" s="267">
        <f>'P NP TAMBAK KAB'!AN24/1000</f>
        <v>0</v>
      </c>
      <c r="T28" s="267" t="e">
        <f>'P NP TAMBAK KAB'!#REF!/1000</f>
        <v>#REF!</v>
      </c>
      <c r="U28" s="267" t="e">
        <f>(SUM('P NP TAMBAK KAB'!R24,'P NP TAMBAK KAB'!AP24,'P NP TAMBAK KAB'!AR24,'P NP TAMBAK KAB'!#REF!,'P NP TAMBAK KAB'!#REF!,'P NP TAMBAK KAB'!#REF!,'P NP TAMBAK KAB'!#REF!,'P NP TAMBAK KAB'!#REF!,'P NP TAMBAK KAB'!#REF!,'P NP TAMBAK KAB'!#REF!))/1000</f>
        <v>#REF!</v>
      </c>
      <c r="V28" s="268" t="e">
        <f>(SUM('P NP TAMBAK KAB'!X24,'P NP TAMBAK KAB'!Z24,'P NP TAMBAK KAB'!AD24,'P NP TAMBAK KAB'!#REF!,'P NP TAMBAK KAB'!#REF!))/1000</f>
        <v>#REF!</v>
      </c>
      <c r="X28" s="264">
        <f t="shared" si="4"/>
        <v>515.64300000000003</v>
      </c>
      <c r="Y28" s="267">
        <f>'P NP TW'!P25/1000</f>
        <v>142.429</v>
      </c>
      <c r="Z28" s="267">
        <f>'P NP TW'!R25/1000</f>
        <v>96.108999999999995</v>
      </c>
      <c r="AA28" s="267">
        <f>'P NP TW'!T25/1000</f>
        <v>111.994</v>
      </c>
      <c r="AB28" s="268">
        <f>'P NP TW'!V25/1000</f>
        <v>165.11099999999999</v>
      </c>
    </row>
    <row r="29" spans="1:28">
      <c r="A29" s="346" t="s">
        <v>125</v>
      </c>
      <c r="B29" s="267" t="e">
        <f t="shared" si="1"/>
        <v>#REF!</v>
      </c>
      <c r="C29" s="267" t="e">
        <f t="shared" si="2"/>
        <v>#REF!</v>
      </c>
      <c r="D29" s="267">
        <f>'P NP TAMBAK KAB'!AT25/1000</f>
        <v>0</v>
      </c>
      <c r="E29" s="267">
        <f>'P NP TAMBAK KAB'!BN25/1000</f>
        <v>0</v>
      </c>
      <c r="F29" s="267" t="e">
        <f>'P NP TAMBAK KAB'!#REF!/1000</f>
        <v>#REF!</v>
      </c>
      <c r="G29" s="267">
        <f>('P NP TAMBAK KAB'!AJ25+'P NP TAMBAK KAB'!AL25)/1000</f>
        <v>0</v>
      </c>
      <c r="H29" s="267">
        <f>'P NP TAMBAK KAB'!D25/1000</f>
        <v>4701.8526500000007</v>
      </c>
      <c r="I29" s="267">
        <f>'P NP TAMBAK KAB'!BR25/1000</f>
        <v>0</v>
      </c>
      <c r="J29" s="267">
        <f>'P NP TAMBAK KAB'!N25/1000</f>
        <v>3173.31086</v>
      </c>
      <c r="K29" s="268" t="e">
        <f>(SUM('P NP TAMBAK KAB'!F25,'P NP TAMBAK KAB'!H25,'P NP TAMBAK KAB'!J25,'P NP TAMBAK KAB'!L25,'P NP TAMBAK KAB'!P25,'P NP TAMBAK KAB'!R25,'P NP TAMBAK KAB'!T25,'P NP TAMBAK KAB'!R25,'P NP TAMBAK KAB'!V25,'P NP TAMBAK KAB'!AB25,'P NP TAMBAK KAB'!AF25,'P NP TAMBAK KAB'!AF25,'P NP TAMBAK KAB'!AF25,'P NP TAMBAK KAB'!AH25,'P NP TAMBAK KAB'!AV25,'P NP TAMBAK KAB'!AX25,'P NP TAMBAK KAB'!AZ25,'P NP TAMBAK KAB'!BB25,'P NP TAMBAK KAB'!BD25,'P NP TAMBAK KAB'!BF25,'P NP TAMBAK KAB'!BL25,'P NP TAMBAK KAB'!BP25,'P NP TAMBAK KAB'!BT25,'P NP TAMBAK KAB'!BV25,'P NP TAMBAK KAB'!BX25,'P NP TAMBAK KAB'!#REF!,'P NP TAMBAK KAB'!#REF!,'P NP TAMBAK KAB'!#REF!,'P NP TAMBAK KAB'!#REF!,'P NP TAMBAK KAB'!#REF!,'P NP TAMBAK KAB'!#REF!,'P NP TAMBAK KAB'!#REF!,'P NP TAMBAK KAB'!#REF!))/1000</f>
        <v>#REF!</v>
      </c>
      <c r="L29" s="264" t="e">
        <f t="shared" si="3"/>
        <v>#REF!</v>
      </c>
      <c r="M29" s="267" t="e">
        <f>'P NP TAMBAK KAB'!#REF!/1000</f>
        <v>#REF!</v>
      </c>
      <c r="N29" s="267" t="e">
        <f>'P NP TAMBAK KAB'!#REF!/1000</f>
        <v>#REF!</v>
      </c>
      <c r="O29" s="267" t="e">
        <f>'P NP TAMBAK KAB'!#REF!/1000</f>
        <v>#REF!</v>
      </c>
      <c r="P29" s="267" t="e">
        <f>'P NP TAMBAK KAB'!#REF!/1000</f>
        <v>#REF!</v>
      </c>
      <c r="Q29" s="267" t="e">
        <f>'P NP TAMBAK KAB'!#REF!/1000</f>
        <v>#REF!</v>
      </c>
      <c r="R29" s="267" t="e">
        <f>(SUM('P NP TAMBAK KAB'!BH25,'P NP TAMBAK KAB'!BJ25,'P NP TAMBAK KAB'!#REF!,'P NP TAMBAK KAB'!#REF!,'P NP TAMBAK KAB'!#REF!,'P NP TAMBAK KAB'!#REF!))/1000</f>
        <v>#REF!</v>
      </c>
      <c r="S29" s="267">
        <f>'P NP TAMBAK KAB'!AN25/1000</f>
        <v>267.18089999999995</v>
      </c>
      <c r="T29" s="267" t="e">
        <f>'P NP TAMBAK KAB'!#REF!/1000</f>
        <v>#REF!</v>
      </c>
      <c r="U29" s="267" t="e">
        <f>(SUM('P NP TAMBAK KAB'!R25,'P NP TAMBAK KAB'!AP25,'P NP TAMBAK KAB'!AR25,'P NP TAMBAK KAB'!#REF!,'P NP TAMBAK KAB'!#REF!,'P NP TAMBAK KAB'!#REF!,'P NP TAMBAK KAB'!#REF!,'P NP TAMBAK KAB'!#REF!,'P NP TAMBAK KAB'!#REF!,'P NP TAMBAK KAB'!#REF!))/1000</f>
        <v>#REF!</v>
      </c>
      <c r="V29" s="268" t="e">
        <f>(SUM('P NP TAMBAK KAB'!X25,'P NP TAMBAK KAB'!Z25,'P NP TAMBAK KAB'!AD25,'P NP TAMBAK KAB'!#REF!,'P NP TAMBAK KAB'!#REF!))/1000</f>
        <v>#REF!</v>
      </c>
      <c r="X29" s="264">
        <f t="shared" si="4"/>
        <v>9211.0027799999989</v>
      </c>
      <c r="Y29" s="267">
        <f>'P NP TW'!P26/1000</f>
        <v>1847.0431599999997</v>
      </c>
      <c r="Z29" s="267">
        <f>'P NP TW'!R26/1000</f>
        <v>1811.6062500000003</v>
      </c>
      <c r="AA29" s="267">
        <f>'P NP TW'!T26/1000</f>
        <v>2969.4826600000001</v>
      </c>
      <c r="AB29" s="268">
        <f>'P NP TW'!V26/1000</f>
        <v>2582.8707100000001</v>
      </c>
    </row>
    <row r="30" spans="1:28">
      <c r="A30" s="346" t="s">
        <v>113</v>
      </c>
      <c r="B30" s="267" t="e">
        <f t="shared" si="1"/>
        <v>#REF!</v>
      </c>
      <c r="C30" s="267" t="e">
        <f t="shared" si="2"/>
        <v>#REF!</v>
      </c>
      <c r="D30" s="267">
        <f>'P NP TAMBAK KAB'!AT26/1000</f>
        <v>0</v>
      </c>
      <c r="E30" s="267">
        <f>'P NP TAMBAK KAB'!BN26/1000</f>
        <v>0</v>
      </c>
      <c r="F30" s="267" t="e">
        <f>'P NP TAMBAK KAB'!#REF!/1000</f>
        <v>#REF!</v>
      </c>
      <c r="G30" s="267">
        <f>('P NP TAMBAK KAB'!AJ26+'P NP TAMBAK KAB'!AL26)/1000</f>
        <v>0</v>
      </c>
      <c r="H30" s="267">
        <f>'P NP TAMBAK KAB'!D26/1000</f>
        <v>0</v>
      </c>
      <c r="I30" s="267">
        <f>'P NP TAMBAK KAB'!BR26/1000</f>
        <v>0</v>
      </c>
      <c r="J30" s="267">
        <f>'P NP TAMBAK KAB'!N26/1000</f>
        <v>0</v>
      </c>
      <c r="K30" s="268" t="e">
        <f>(SUM('P NP TAMBAK KAB'!F26,'P NP TAMBAK KAB'!H26,'P NP TAMBAK KAB'!J26,'P NP TAMBAK KAB'!L26,'P NP TAMBAK KAB'!P26,'P NP TAMBAK KAB'!R26,'P NP TAMBAK KAB'!T26,'P NP TAMBAK KAB'!R26,'P NP TAMBAK KAB'!V26,'P NP TAMBAK KAB'!AB26,'P NP TAMBAK KAB'!AF26,'P NP TAMBAK KAB'!AF26,'P NP TAMBAK KAB'!AF26,'P NP TAMBAK KAB'!AH26,'P NP TAMBAK KAB'!AV26,'P NP TAMBAK KAB'!AX26,'P NP TAMBAK KAB'!AZ26,'P NP TAMBAK KAB'!BB26,'P NP TAMBAK KAB'!BD26,'P NP TAMBAK KAB'!BF26,'P NP TAMBAK KAB'!BL26,'P NP TAMBAK KAB'!BP26,'P NP TAMBAK KAB'!BT26,'P NP TAMBAK KAB'!BV26,'P NP TAMBAK KAB'!BX26,'P NP TAMBAK KAB'!#REF!,'P NP TAMBAK KAB'!#REF!,'P NP TAMBAK KAB'!#REF!,'P NP TAMBAK KAB'!#REF!,'P NP TAMBAK KAB'!#REF!,'P NP TAMBAK KAB'!#REF!,'P NP TAMBAK KAB'!#REF!,'P NP TAMBAK KAB'!#REF!))/1000</f>
        <v>#REF!</v>
      </c>
      <c r="L30" s="264" t="e">
        <f t="shared" si="3"/>
        <v>#REF!</v>
      </c>
      <c r="M30" s="267" t="e">
        <f>'P NP TAMBAK KAB'!#REF!/1000</f>
        <v>#REF!</v>
      </c>
      <c r="N30" s="267" t="e">
        <f>'P NP TAMBAK KAB'!#REF!/1000</f>
        <v>#REF!</v>
      </c>
      <c r="O30" s="267" t="e">
        <f>'P NP TAMBAK KAB'!#REF!/1000</f>
        <v>#REF!</v>
      </c>
      <c r="P30" s="267" t="e">
        <f>'P NP TAMBAK KAB'!#REF!/1000</f>
        <v>#REF!</v>
      </c>
      <c r="Q30" s="267" t="e">
        <f>'P NP TAMBAK KAB'!#REF!/1000</f>
        <v>#REF!</v>
      </c>
      <c r="R30" s="267" t="e">
        <f>(SUM('P NP TAMBAK KAB'!BH26,'P NP TAMBAK KAB'!BJ26,'P NP TAMBAK KAB'!#REF!,'P NP TAMBAK KAB'!#REF!,'P NP TAMBAK KAB'!#REF!,'P NP TAMBAK KAB'!#REF!))/1000</f>
        <v>#REF!</v>
      </c>
      <c r="S30" s="267">
        <f>'P NP TAMBAK KAB'!AN26/1000</f>
        <v>0</v>
      </c>
      <c r="T30" s="267" t="e">
        <f>'P NP TAMBAK KAB'!#REF!/1000</f>
        <v>#REF!</v>
      </c>
      <c r="U30" s="267" t="e">
        <f>(SUM('P NP TAMBAK KAB'!R26,'P NP TAMBAK KAB'!AP26,'P NP TAMBAK KAB'!AR26,'P NP TAMBAK KAB'!#REF!,'P NP TAMBAK KAB'!#REF!,'P NP TAMBAK KAB'!#REF!,'P NP TAMBAK KAB'!#REF!,'P NP TAMBAK KAB'!#REF!,'P NP TAMBAK KAB'!#REF!,'P NP TAMBAK KAB'!#REF!))/1000</f>
        <v>#REF!</v>
      </c>
      <c r="V30" s="268" t="e">
        <f>(SUM('P NP TAMBAK KAB'!X26,'P NP TAMBAK KAB'!Z26,'P NP TAMBAK KAB'!AD26,'P NP TAMBAK KAB'!#REF!,'P NP TAMBAK KAB'!#REF!))/1000</f>
        <v>#REF!</v>
      </c>
      <c r="X30" s="264">
        <f t="shared" si="4"/>
        <v>0</v>
      </c>
      <c r="Y30" s="267">
        <f>'P NP TW'!P27/1000</f>
        <v>0</v>
      </c>
      <c r="Z30" s="267">
        <f>'P NP TW'!R27/1000</f>
        <v>0</v>
      </c>
      <c r="AA30" s="267">
        <f>'P NP TW'!T27/1000</f>
        <v>0</v>
      </c>
      <c r="AB30" s="268">
        <f>'P NP TW'!V27/1000</f>
        <v>0</v>
      </c>
    </row>
    <row r="31" spans="1:28">
      <c r="A31" s="346" t="s">
        <v>124</v>
      </c>
      <c r="B31" s="267" t="e">
        <f t="shared" si="1"/>
        <v>#REF!</v>
      </c>
      <c r="C31" s="267" t="e">
        <f t="shared" si="2"/>
        <v>#REF!</v>
      </c>
      <c r="D31" s="267">
        <f>'P NP TAMBAK KAB'!AT27/1000</f>
        <v>0</v>
      </c>
      <c r="E31" s="267">
        <f>'P NP TAMBAK KAB'!BN27/1000</f>
        <v>0</v>
      </c>
      <c r="F31" s="267" t="e">
        <f>'P NP TAMBAK KAB'!#REF!/1000</f>
        <v>#REF!</v>
      </c>
      <c r="G31" s="267">
        <f>('P NP TAMBAK KAB'!AJ27+'P NP TAMBAK KAB'!AL27)/1000</f>
        <v>69.989999999999995</v>
      </c>
      <c r="H31" s="267">
        <f>'P NP TAMBAK KAB'!D27/1000</f>
        <v>1020.4</v>
      </c>
      <c r="I31" s="267">
        <f>'P NP TAMBAK KAB'!BR27/1000</f>
        <v>0</v>
      </c>
      <c r="J31" s="267">
        <f>'P NP TAMBAK KAB'!N27/1000</f>
        <v>0</v>
      </c>
      <c r="K31" s="268" t="e">
        <f>(SUM('P NP TAMBAK KAB'!F27,'P NP TAMBAK KAB'!H27,'P NP TAMBAK KAB'!J27,'P NP TAMBAK KAB'!L27,'P NP TAMBAK KAB'!P27,'P NP TAMBAK KAB'!R27,'P NP TAMBAK KAB'!T27,'P NP TAMBAK KAB'!R27,'P NP TAMBAK KAB'!V27,'P NP TAMBAK KAB'!AB27,'P NP TAMBAK KAB'!AF27,'P NP TAMBAK KAB'!AF27,'P NP TAMBAK KAB'!AF27,'P NP TAMBAK KAB'!AH27,'P NP TAMBAK KAB'!AV27,'P NP TAMBAK KAB'!AX27,'P NP TAMBAK KAB'!AZ27,'P NP TAMBAK KAB'!BB27,'P NP TAMBAK KAB'!BD27,'P NP TAMBAK KAB'!BF27,'P NP TAMBAK KAB'!BL27,'P NP TAMBAK KAB'!BP27,'P NP TAMBAK KAB'!BT27,'P NP TAMBAK KAB'!BV27,'P NP TAMBAK KAB'!BX27,'P NP TAMBAK KAB'!#REF!,'P NP TAMBAK KAB'!#REF!,'P NP TAMBAK KAB'!#REF!,'P NP TAMBAK KAB'!#REF!,'P NP TAMBAK KAB'!#REF!,'P NP TAMBAK KAB'!#REF!,'P NP TAMBAK KAB'!#REF!,'P NP TAMBAK KAB'!#REF!))/1000</f>
        <v>#REF!</v>
      </c>
      <c r="L31" s="264" t="e">
        <f t="shared" si="3"/>
        <v>#REF!</v>
      </c>
      <c r="M31" s="267" t="e">
        <f>'P NP TAMBAK KAB'!#REF!/1000</f>
        <v>#REF!</v>
      </c>
      <c r="N31" s="267" t="e">
        <f>'P NP TAMBAK KAB'!#REF!/1000</f>
        <v>#REF!</v>
      </c>
      <c r="O31" s="267" t="e">
        <f>'P NP TAMBAK KAB'!#REF!/1000</f>
        <v>#REF!</v>
      </c>
      <c r="P31" s="267" t="e">
        <f>'P NP TAMBAK KAB'!#REF!/1000</f>
        <v>#REF!</v>
      </c>
      <c r="Q31" s="267" t="e">
        <f>'P NP TAMBAK KAB'!#REF!/1000</f>
        <v>#REF!</v>
      </c>
      <c r="R31" s="267" t="e">
        <f>(SUM('P NP TAMBAK KAB'!BH27,'P NP TAMBAK KAB'!BJ27,'P NP TAMBAK KAB'!#REF!,'P NP TAMBAK KAB'!#REF!,'P NP TAMBAK KAB'!#REF!,'P NP TAMBAK KAB'!#REF!))/1000</f>
        <v>#REF!</v>
      </c>
      <c r="S31" s="267">
        <f>'P NP TAMBAK KAB'!AN27/1000</f>
        <v>27.72</v>
      </c>
      <c r="T31" s="267" t="e">
        <f>'P NP TAMBAK KAB'!#REF!/1000</f>
        <v>#REF!</v>
      </c>
      <c r="U31" s="267" t="e">
        <f>(SUM('P NP TAMBAK KAB'!R27,'P NP TAMBAK KAB'!AP27,'P NP TAMBAK KAB'!AR27,'P NP TAMBAK KAB'!#REF!,'P NP TAMBAK KAB'!#REF!,'P NP TAMBAK KAB'!#REF!,'P NP TAMBAK KAB'!#REF!,'P NP TAMBAK KAB'!#REF!,'P NP TAMBAK KAB'!#REF!,'P NP TAMBAK KAB'!#REF!))/1000</f>
        <v>#REF!</v>
      </c>
      <c r="V31" s="268" t="e">
        <f>(SUM('P NP TAMBAK KAB'!X27,'P NP TAMBAK KAB'!Z27,'P NP TAMBAK KAB'!AD27,'P NP TAMBAK KAB'!#REF!,'P NP TAMBAK KAB'!#REF!))/1000</f>
        <v>#REF!</v>
      </c>
      <c r="X31" s="264">
        <f t="shared" si="4"/>
        <v>14113.148000000001</v>
      </c>
      <c r="Y31" s="267">
        <f>'P NP TW'!P28/1000</f>
        <v>4384.1000000000004</v>
      </c>
      <c r="Z31" s="267">
        <f>'P NP TW'!R28/1000</f>
        <v>3588.3</v>
      </c>
      <c r="AA31" s="267">
        <f>'P NP TW'!T28/1000</f>
        <v>3716.8879999999999</v>
      </c>
      <c r="AB31" s="268">
        <f>'P NP TW'!V28/1000</f>
        <v>2423.86</v>
      </c>
    </row>
    <row r="32" spans="1:28">
      <c r="A32" s="346" t="s">
        <v>138</v>
      </c>
      <c r="B32" s="267" t="e">
        <f t="shared" si="1"/>
        <v>#REF!</v>
      </c>
      <c r="C32" s="267" t="e">
        <f t="shared" si="2"/>
        <v>#REF!</v>
      </c>
      <c r="D32" s="267">
        <f>'P NP TAMBAK KAB'!AT28/1000</f>
        <v>0</v>
      </c>
      <c r="E32" s="267">
        <f>'P NP TAMBAK KAB'!BN28/1000</f>
        <v>0</v>
      </c>
      <c r="F32" s="267" t="e">
        <f>'P NP TAMBAK KAB'!#REF!/1000</f>
        <v>#REF!</v>
      </c>
      <c r="G32" s="267">
        <f>('P NP TAMBAK KAB'!AJ28+'P NP TAMBAK KAB'!AL28)/1000</f>
        <v>14.744999999999999</v>
      </c>
      <c r="H32" s="267">
        <f>'P NP TAMBAK KAB'!D28/1000</f>
        <v>421.87599999999998</v>
      </c>
      <c r="I32" s="267">
        <f>'P NP TAMBAK KAB'!BR28/1000</f>
        <v>0</v>
      </c>
      <c r="J32" s="267">
        <f>'P NP TAMBAK KAB'!N28/1000</f>
        <v>20</v>
      </c>
      <c r="K32" s="268" t="e">
        <f>(SUM('P NP TAMBAK KAB'!F28,'P NP TAMBAK KAB'!H28,'P NP TAMBAK KAB'!J28,'P NP TAMBAK KAB'!L28,'P NP TAMBAK KAB'!P28,'P NP TAMBAK KAB'!R28,'P NP TAMBAK KAB'!T28,'P NP TAMBAK KAB'!R28,'P NP TAMBAK KAB'!V28,'P NP TAMBAK KAB'!AB28,'P NP TAMBAK KAB'!AF28,'P NP TAMBAK KAB'!AF28,'P NP TAMBAK KAB'!AF28,'P NP TAMBAK KAB'!AH28,'P NP TAMBAK KAB'!AV28,'P NP TAMBAK KAB'!AX28,'P NP TAMBAK KAB'!AZ28,'P NP TAMBAK KAB'!BB28,'P NP TAMBAK KAB'!BD28,'P NP TAMBAK KAB'!BF28,'P NP TAMBAK KAB'!BL28,'P NP TAMBAK KAB'!BP28,'P NP TAMBAK KAB'!BT28,'P NP TAMBAK KAB'!BV28,'P NP TAMBAK KAB'!BX28,'P NP TAMBAK KAB'!#REF!,'P NP TAMBAK KAB'!#REF!,'P NP TAMBAK KAB'!#REF!,'P NP TAMBAK KAB'!#REF!,'P NP TAMBAK KAB'!#REF!,'P NP TAMBAK KAB'!#REF!,'P NP TAMBAK KAB'!#REF!,'P NP TAMBAK KAB'!#REF!))/1000</f>
        <v>#REF!</v>
      </c>
      <c r="L32" s="264" t="e">
        <f t="shared" si="3"/>
        <v>#REF!</v>
      </c>
      <c r="M32" s="267" t="e">
        <f>'P NP TAMBAK KAB'!#REF!/1000</f>
        <v>#REF!</v>
      </c>
      <c r="N32" s="267" t="e">
        <f>'P NP TAMBAK KAB'!#REF!/1000</f>
        <v>#REF!</v>
      </c>
      <c r="O32" s="267" t="e">
        <f>'P NP TAMBAK KAB'!#REF!/1000</f>
        <v>#REF!</v>
      </c>
      <c r="P32" s="267" t="e">
        <f>'P NP TAMBAK KAB'!#REF!/1000</f>
        <v>#REF!</v>
      </c>
      <c r="Q32" s="267" t="e">
        <f>'P NP TAMBAK KAB'!#REF!/1000</f>
        <v>#REF!</v>
      </c>
      <c r="R32" s="267" t="e">
        <f>(SUM('P NP TAMBAK KAB'!BH28,'P NP TAMBAK KAB'!BJ28,'P NP TAMBAK KAB'!#REF!,'P NP TAMBAK KAB'!#REF!,'P NP TAMBAK KAB'!#REF!,'P NP TAMBAK KAB'!#REF!))/1000</f>
        <v>#REF!</v>
      </c>
      <c r="S32" s="267">
        <f>'P NP TAMBAK KAB'!AN28/1000</f>
        <v>0</v>
      </c>
      <c r="T32" s="267" t="e">
        <f>'P NP TAMBAK KAB'!#REF!/1000</f>
        <v>#REF!</v>
      </c>
      <c r="U32" s="267" t="e">
        <f>(SUM('P NP TAMBAK KAB'!R28,'P NP TAMBAK KAB'!AP28,'P NP TAMBAK KAB'!AR28,'P NP TAMBAK KAB'!#REF!,'P NP TAMBAK KAB'!#REF!,'P NP TAMBAK KAB'!#REF!,'P NP TAMBAK KAB'!#REF!,'P NP TAMBAK KAB'!#REF!,'P NP TAMBAK KAB'!#REF!,'P NP TAMBAK KAB'!#REF!))/1000</f>
        <v>#REF!</v>
      </c>
      <c r="V32" s="268" t="e">
        <f>(SUM('P NP TAMBAK KAB'!X28,'P NP TAMBAK KAB'!Z28,'P NP TAMBAK KAB'!AD28,'P NP TAMBAK KAB'!#REF!,'P NP TAMBAK KAB'!#REF!))/1000</f>
        <v>#REF!</v>
      </c>
      <c r="X32" s="264">
        <f t="shared" si="4"/>
        <v>854.07900000000006</v>
      </c>
      <c r="Y32" s="267">
        <f>'P NP TW'!P29/1000</f>
        <v>257.642</v>
      </c>
      <c r="Z32" s="267">
        <f>'P NP TW'!R29/1000</f>
        <v>302.971</v>
      </c>
      <c r="AA32" s="267">
        <f>'P NP TW'!T29/1000</f>
        <v>96.37</v>
      </c>
      <c r="AB32" s="268">
        <f>'P NP TW'!V29/1000</f>
        <v>197.096</v>
      </c>
    </row>
    <row r="33" spans="1:28">
      <c r="A33" s="346" t="s">
        <v>126</v>
      </c>
      <c r="B33" s="267" t="e">
        <f t="shared" si="1"/>
        <v>#REF!</v>
      </c>
      <c r="C33" s="267" t="e">
        <f t="shared" si="2"/>
        <v>#REF!</v>
      </c>
      <c r="D33" s="267">
        <f>'P NP TAMBAK KAB'!AT29/1000</f>
        <v>0</v>
      </c>
      <c r="E33" s="267">
        <f>'P NP TAMBAK KAB'!BN29/1000</f>
        <v>0</v>
      </c>
      <c r="F33" s="267" t="e">
        <f>'P NP TAMBAK KAB'!#REF!/1000</f>
        <v>#REF!</v>
      </c>
      <c r="G33" s="267">
        <f>('P NP TAMBAK KAB'!AJ29+'P NP TAMBAK KAB'!AL29)/1000</f>
        <v>3415.7</v>
      </c>
      <c r="H33" s="267">
        <f>'P NP TAMBAK KAB'!D29/1000</f>
        <v>35358</v>
      </c>
      <c r="I33" s="267">
        <f>'P NP TAMBAK KAB'!BR29/1000</f>
        <v>0</v>
      </c>
      <c r="J33" s="267">
        <f>'P NP TAMBAK KAB'!N29/1000</f>
        <v>13977.8</v>
      </c>
      <c r="K33" s="268" t="e">
        <f>(SUM('P NP TAMBAK KAB'!F29,'P NP TAMBAK KAB'!H29,'P NP TAMBAK KAB'!J29,'P NP TAMBAK KAB'!L29,'P NP TAMBAK KAB'!P29,'P NP TAMBAK KAB'!R29,'P NP TAMBAK KAB'!T29,'P NP TAMBAK KAB'!R29,'P NP TAMBAK KAB'!V29,'P NP TAMBAK KAB'!AB29,'P NP TAMBAK KAB'!AF29,'P NP TAMBAK KAB'!AF29,'P NP TAMBAK KAB'!AF29,'P NP TAMBAK KAB'!AH29,'P NP TAMBAK KAB'!AV29,'P NP TAMBAK KAB'!AX29,'P NP TAMBAK KAB'!AZ29,'P NP TAMBAK KAB'!BB29,'P NP TAMBAK KAB'!BD29,'P NP TAMBAK KAB'!BF29,'P NP TAMBAK KAB'!BL29,'P NP TAMBAK KAB'!BP29,'P NP TAMBAK KAB'!BT29,'P NP TAMBAK KAB'!BV29,'P NP TAMBAK KAB'!BX29,'P NP TAMBAK KAB'!#REF!,'P NP TAMBAK KAB'!#REF!,'P NP TAMBAK KAB'!#REF!,'P NP TAMBAK KAB'!#REF!,'P NP TAMBAK KAB'!#REF!,'P NP TAMBAK KAB'!#REF!,'P NP TAMBAK KAB'!#REF!,'P NP TAMBAK KAB'!#REF!))/1000</f>
        <v>#REF!</v>
      </c>
      <c r="L33" s="264" t="e">
        <f t="shared" si="3"/>
        <v>#REF!</v>
      </c>
      <c r="M33" s="267" t="e">
        <f>'P NP TAMBAK KAB'!#REF!/1000</f>
        <v>#REF!</v>
      </c>
      <c r="N33" s="267" t="e">
        <f>'P NP TAMBAK KAB'!#REF!/1000</f>
        <v>#REF!</v>
      </c>
      <c r="O33" s="267" t="e">
        <f>'P NP TAMBAK KAB'!#REF!/1000</f>
        <v>#REF!</v>
      </c>
      <c r="P33" s="267" t="e">
        <f>'P NP TAMBAK KAB'!#REF!/1000</f>
        <v>#REF!</v>
      </c>
      <c r="Q33" s="267" t="e">
        <f>'P NP TAMBAK KAB'!#REF!/1000</f>
        <v>#REF!</v>
      </c>
      <c r="R33" s="267" t="e">
        <f>(SUM('P NP TAMBAK KAB'!BH29,'P NP TAMBAK KAB'!BJ29,'P NP TAMBAK KAB'!#REF!,'P NP TAMBAK KAB'!#REF!,'P NP TAMBAK KAB'!#REF!,'P NP TAMBAK KAB'!#REF!))/1000</f>
        <v>#REF!</v>
      </c>
      <c r="S33" s="267">
        <f>'P NP TAMBAK KAB'!AN29/1000</f>
        <v>15712.210999999999</v>
      </c>
      <c r="T33" s="267" t="e">
        <f>'P NP TAMBAK KAB'!#REF!/1000</f>
        <v>#REF!</v>
      </c>
      <c r="U33" s="267" t="e">
        <f>(SUM('P NP TAMBAK KAB'!R29,'P NP TAMBAK KAB'!AP29,'P NP TAMBAK KAB'!AR29,'P NP TAMBAK KAB'!#REF!,'P NP TAMBAK KAB'!#REF!,'P NP TAMBAK KAB'!#REF!,'P NP TAMBAK KAB'!#REF!,'P NP TAMBAK KAB'!#REF!,'P NP TAMBAK KAB'!#REF!,'P NP TAMBAK KAB'!#REF!))/1000</f>
        <v>#REF!</v>
      </c>
      <c r="V33" s="268" t="e">
        <f>(SUM('P NP TAMBAK KAB'!X29,'P NP TAMBAK KAB'!Z29,'P NP TAMBAK KAB'!AD29,'P NP TAMBAK KAB'!#REF!,'P NP TAMBAK KAB'!#REF!))/1000</f>
        <v>#REF!</v>
      </c>
      <c r="X33" s="264">
        <f t="shared" si="4"/>
        <v>83044.521999999997</v>
      </c>
      <c r="Y33" s="267">
        <f>'P NP TW'!P30/1000</f>
        <v>19097.190999999999</v>
      </c>
      <c r="Z33" s="267">
        <f>'P NP TW'!R30/1000</f>
        <v>20184.2</v>
      </c>
      <c r="AA33" s="267">
        <f>'P NP TW'!T30/1000</f>
        <v>25853.3</v>
      </c>
      <c r="AB33" s="268">
        <f>'P NP TW'!V30/1000</f>
        <v>17909.830999999998</v>
      </c>
    </row>
    <row r="34" spans="1:28">
      <c r="A34" s="346" t="s">
        <v>123</v>
      </c>
      <c r="B34" s="267" t="e">
        <f t="shared" si="1"/>
        <v>#REF!</v>
      </c>
      <c r="C34" s="267" t="e">
        <f t="shared" si="2"/>
        <v>#REF!</v>
      </c>
      <c r="D34" s="267">
        <f>'P NP TAMBAK KAB'!AT30/1000</f>
        <v>0</v>
      </c>
      <c r="E34" s="267">
        <f>'P NP TAMBAK KAB'!BN30/1000</f>
        <v>0</v>
      </c>
      <c r="F34" s="267" t="e">
        <f>'P NP TAMBAK KAB'!#REF!/1000</f>
        <v>#REF!</v>
      </c>
      <c r="G34" s="267">
        <f>('P NP TAMBAK KAB'!AJ30+'P NP TAMBAK KAB'!AL30)/1000</f>
        <v>0</v>
      </c>
      <c r="H34" s="267">
        <f>'P NP TAMBAK KAB'!D30/1000</f>
        <v>1.91</v>
      </c>
      <c r="I34" s="267">
        <f>'P NP TAMBAK KAB'!BR30/1000</f>
        <v>0</v>
      </c>
      <c r="J34" s="267">
        <f>'P NP TAMBAK KAB'!N30/1000</f>
        <v>124.517</v>
      </c>
      <c r="K34" s="268" t="e">
        <f>(SUM('P NP TAMBAK KAB'!F30,'P NP TAMBAK KAB'!H30,'P NP TAMBAK KAB'!J30,'P NP TAMBAK KAB'!L30,'P NP TAMBAK KAB'!P30,'P NP TAMBAK KAB'!R30,'P NP TAMBAK KAB'!T30,'P NP TAMBAK KAB'!R30,'P NP TAMBAK KAB'!V30,'P NP TAMBAK KAB'!AB30,'P NP TAMBAK KAB'!AF30,'P NP TAMBAK KAB'!AF30,'P NP TAMBAK KAB'!AF30,'P NP TAMBAK KAB'!AH30,'P NP TAMBAK KAB'!AV30,'P NP TAMBAK KAB'!AX30,'P NP TAMBAK KAB'!AZ30,'P NP TAMBAK KAB'!BB30,'P NP TAMBAK KAB'!BD30,'P NP TAMBAK KAB'!BF30,'P NP TAMBAK KAB'!BL30,'P NP TAMBAK KAB'!BP30,'P NP TAMBAK KAB'!BT30,'P NP TAMBAK KAB'!BV30,'P NP TAMBAK KAB'!BX30,'P NP TAMBAK KAB'!#REF!,'P NP TAMBAK KAB'!#REF!,'P NP TAMBAK KAB'!#REF!,'P NP TAMBAK KAB'!#REF!,'P NP TAMBAK KAB'!#REF!,'P NP TAMBAK KAB'!#REF!,'P NP TAMBAK KAB'!#REF!,'P NP TAMBAK KAB'!#REF!))/1000</f>
        <v>#REF!</v>
      </c>
      <c r="L34" s="264" t="e">
        <f t="shared" si="3"/>
        <v>#REF!</v>
      </c>
      <c r="M34" s="267" t="e">
        <f>'P NP TAMBAK KAB'!#REF!/1000</f>
        <v>#REF!</v>
      </c>
      <c r="N34" s="267" t="e">
        <f>'P NP TAMBAK KAB'!#REF!/1000</f>
        <v>#REF!</v>
      </c>
      <c r="O34" s="267" t="e">
        <f>'P NP TAMBAK KAB'!#REF!/1000</f>
        <v>#REF!</v>
      </c>
      <c r="P34" s="267" t="e">
        <f>'P NP TAMBAK KAB'!#REF!/1000</f>
        <v>#REF!</v>
      </c>
      <c r="Q34" s="267" t="e">
        <f>'P NP TAMBAK KAB'!#REF!/1000</f>
        <v>#REF!</v>
      </c>
      <c r="R34" s="267" t="e">
        <f>(SUM('P NP TAMBAK KAB'!BH30,'P NP TAMBAK KAB'!BJ30,'P NP TAMBAK KAB'!#REF!,'P NP TAMBAK KAB'!#REF!,'P NP TAMBAK KAB'!#REF!,'P NP TAMBAK KAB'!#REF!))/1000</f>
        <v>#REF!</v>
      </c>
      <c r="S34" s="267">
        <f>'P NP TAMBAK KAB'!AN30/1000</f>
        <v>0</v>
      </c>
      <c r="T34" s="267" t="e">
        <f>'P NP TAMBAK KAB'!#REF!/1000</f>
        <v>#REF!</v>
      </c>
      <c r="U34" s="267" t="e">
        <f>(SUM('P NP TAMBAK KAB'!R30,'P NP TAMBAK KAB'!AP30,'P NP TAMBAK KAB'!AR30,'P NP TAMBAK KAB'!#REF!,'P NP TAMBAK KAB'!#REF!,'P NP TAMBAK KAB'!#REF!,'P NP TAMBAK KAB'!#REF!,'P NP TAMBAK KAB'!#REF!,'P NP TAMBAK KAB'!#REF!,'P NP TAMBAK KAB'!#REF!))/1000</f>
        <v>#REF!</v>
      </c>
      <c r="V34" s="268" t="e">
        <f>(SUM('P NP TAMBAK KAB'!X30,'P NP TAMBAK KAB'!Z30,'P NP TAMBAK KAB'!AD30,'P NP TAMBAK KAB'!#REF!,'P NP TAMBAK KAB'!#REF!))/1000</f>
        <v>#REF!</v>
      </c>
      <c r="X34" s="264">
        <f t="shared" si="4"/>
        <v>10978.224</v>
      </c>
      <c r="Y34" s="267">
        <f>'P NP TW'!P31/1000</f>
        <v>2802.6370000000002</v>
      </c>
      <c r="Z34" s="267">
        <f>'P NP TW'!R31/1000</f>
        <v>2958.002</v>
      </c>
      <c r="AA34" s="267">
        <f>'P NP TW'!T31/1000</f>
        <v>2947.9349999999999</v>
      </c>
      <c r="AB34" s="268">
        <f>'P NP TW'!V31/1000</f>
        <v>2269.65</v>
      </c>
    </row>
    <row r="35" spans="1:28">
      <c r="A35" s="346" t="s">
        <v>140</v>
      </c>
      <c r="B35" s="267" t="e">
        <f t="shared" si="1"/>
        <v>#REF!</v>
      </c>
      <c r="C35" s="267" t="e">
        <f t="shared" si="2"/>
        <v>#REF!</v>
      </c>
      <c r="D35" s="267">
        <f>'P NP TAMBAK KAB'!AT31/1000</f>
        <v>0</v>
      </c>
      <c r="E35" s="267">
        <f>'P NP TAMBAK KAB'!BN31/1000</f>
        <v>0</v>
      </c>
      <c r="F35" s="267" t="e">
        <f>'P NP TAMBAK KAB'!#REF!/1000</f>
        <v>#REF!</v>
      </c>
      <c r="G35" s="267">
        <f>('P NP TAMBAK KAB'!AJ31+'P NP TAMBAK KAB'!AL31)/1000</f>
        <v>0</v>
      </c>
      <c r="H35" s="267">
        <f>'P NP TAMBAK KAB'!D31/1000</f>
        <v>513.76300000000003</v>
      </c>
      <c r="I35" s="267">
        <f>'P NP TAMBAK KAB'!BR31/1000</f>
        <v>0</v>
      </c>
      <c r="J35" s="267">
        <f>'P NP TAMBAK KAB'!N31/1000</f>
        <v>0</v>
      </c>
      <c r="K35" s="268" t="e">
        <f>(SUM('P NP TAMBAK KAB'!F31,'P NP TAMBAK KAB'!H31,'P NP TAMBAK KAB'!J31,'P NP TAMBAK KAB'!L31,'P NP TAMBAK KAB'!P31,'P NP TAMBAK KAB'!R31,'P NP TAMBAK KAB'!T31,'P NP TAMBAK KAB'!R31,'P NP TAMBAK KAB'!V31,'P NP TAMBAK KAB'!AB31,'P NP TAMBAK KAB'!AF31,'P NP TAMBAK KAB'!AF31,'P NP TAMBAK KAB'!AF31,'P NP TAMBAK KAB'!AH31,'P NP TAMBAK KAB'!AV31,'P NP TAMBAK KAB'!AX31,'P NP TAMBAK KAB'!AZ31,'P NP TAMBAK KAB'!BB31,'P NP TAMBAK KAB'!BD31,'P NP TAMBAK KAB'!BF31,'P NP TAMBAK KAB'!BL31,'P NP TAMBAK KAB'!BP31,'P NP TAMBAK KAB'!BT31,'P NP TAMBAK KAB'!BV31,'P NP TAMBAK KAB'!BX31,'P NP TAMBAK KAB'!#REF!,'P NP TAMBAK KAB'!#REF!,'P NP TAMBAK KAB'!#REF!,'P NP TAMBAK KAB'!#REF!,'P NP TAMBAK KAB'!#REF!,'P NP TAMBAK KAB'!#REF!,'P NP TAMBAK KAB'!#REF!,'P NP TAMBAK KAB'!#REF!))/1000</f>
        <v>#REF!</v>
      </c>
      <c r="L35" s="264" t="e">
        <f t="shared" si="3"/>
        <v>#REF!</v>
      </c>
      <c r="M35" s="267" t="e">
        <f>'P NP TAMBAK KAB'!#REF!/1000</f>
        <v>#REF!</v>
      </c>
      <c r="N35" s="267" t="e">
        <f>'P NP TAMBAK KAB'!#REF!/1000</f>
        <v>#REF!</v>
      </c>
      <c r="O35" s="267" t="e">
        <f>'P NP TAMBAK KAB'!#REF!/1000</f>
        <v>#REF!</v>
      </c>
      <c r="P35" s="267" t="e">
        <f>'P NP TAMBAK KAB'!#REF!/1000</f>
        <v>#REF!</v>
      </c>
      <c r="Q35" s="267" t="e">
        <f>'P NP TAMBAK KAB'!#REF!/1000</f>
        <v>#REF!</v>
      </c>
      <c r="R35" s="267" t="e">
        <f>(SUM('P NP TAMBAK KAB'!BH31,'P NP TAMBAK KAB'!BJ31,'P NP TAMBAK KAB'!#REF!,'P NP TAMBAK KAB'!#REF!,'P NP TAMBAK KAB'!#REF!,'P NP TAMBAK KAB'!#REF!))/1000</f>
        <v>#REF!</v>
      </c>
      <c r="S35" s="267">
        <f>'P NP TAMBAK KAB'!AN31/1000</f>
        <v>52.064</v>
      </c>
      <c r="T35" s="267" t="e">
        <f>'P NP TAMBAK KAB'!#REF!/1000</f>
        <v>#REF!</v>
      </c>
      <c r="U35" s="267" t="e">
        <f>(SUM('P NP TAMBAK KAB'!R31,'P NP TAMBAK KAB'!AP31,'P NP TAMBAK KAB'!AR31,'P NP TAMBAK KAB'!#REF!,'P NP TAMBAK KAB'!#REF!,'P NP TAMBAK KAB'!#REF!,'P NP TAMBAK KAB'!#REF!,'P NP TAMBAK KAB'!#REF!,'P NP TAMBAK KAB'!#REF!,'P NP TAMBAK KAB'!#REF!))/1000</f>
        <v>#REF!</v>
      </c>
      <c r="V35" s="268" t="e">
        <f>(SUM('P NP TAMBAK KAB'!X31,'P NP TAMBAK KAB'!Z31,'P NP TAMBAK KAB'!AD31,'P NP TAMBAK KAB'!#REF!,'P NP TAMBAK KAB'!#REF!))/1000</f>
        <v>#REF!</v>
      </c>
      <c r="X35" s="264">
        <f t="shared" si="4"/>
        <v>7596.0339999999997</v>
      </c>
      <c r="Y35" s="267">
        <f>'P NP TW'!P32/1000</f>
        <v>1712.277</v>
      </c>
      <c r="Z35" s="267">
        <f>'P NP TW'!R32/1000</f>
        <v>1400.13</v>
      </c>
      <c r="AA35" s="267">
        <f>'P NP TW'!T32/1000</f>
        <v>2915.24</v>
      </c>
      <c r="AB35" s="268">
        <f>'P NP TW'!V32/1000</f>
        <v>1568.3869999999999</v>
      </c>
    </row>
    <row r="36" spans="1:28">
      <c r="A36" s="346" t="s">
        <v>114</v>
      </c>
      <c r="B36" s="267" t="e">
        <f t="shared" si="1"/>
        <v>#REF!</v>
      </c>
      <c r="C36" s="267" t="e">
        <f t="shared" si="2"/>
        <v>#REF!</v>
      </c>
      <c r="D36" s="267">
        <f>'P NP TAMBAK KAB'!AT32/1000</f>
        <v>0</v>
      </c>
      <c r="E36" s="267">
        <f>'P NP TAMBAK KAB'!BN32/1000</f>
        <v>0</v>
      </c>
      <c r="F36" s="267" t="e">
        <f>'P NP TAMBAK KAB'!#REF!/1000</f>
        <v>#REF!</v>
      </c>
      <c r="G36" s="267">
        <f>('P NP TAMBAK KAB'!AJ32+'P NP TAMBAK KAB'!AL32)/1000</f>
        <v>0</v>
      </c>
      <c r="H36" s="267">
        <f>'P NP TAMBAK KAB'!D32/1000</f>
        <v>0</v>
      </c>
      <c r="I36" s="267">
        <f>'P NP TAMBAK KAB'!BR32/1000</f>
        <v>0</v>
      </c>
      <c r="J36" s="267">
        <f>'P NP TAMBAK KAB'!N32/1000</f>
        <v>26.95</v>
      </c>
      <c r="K36" s="268" t="e">
        <f>(SUM('P NP TAMBAK KAB'!F32,'P NP TAMBAK KAB'!H32,'P NP TAMBAK KAB'!J32,'P NP TAMBAK KAB'!L32,'P NP TAMBAK KAB'!P32,'P NP TAMBAK KAB'!R32,'P NP TAMBAK KAB'!T32,'P NP TAMBAK KAB'!R32,'P NP TAMBAK KAB'!V32,'P NP TAMBAK KAB'!AB32,'P NP TAMBAK KAB'!AF32,'P NP TAMBAK KAB'!AF32,'P NP TAMBAK KAB'!AF32,'P NP TAMBAK KAB'!AH32,'P NP TAMBAK KAB'!AV32,'P NP TAMBAK KAB'!AX32,'P NP TAMBAK KAB'!AZ32,'P NP TAMBAK KAB'!BB32,'P NP TAMBAK KAB'!BD32,'P NP TAMBAK KAB'!BF32,'P NP TAMBAK KAB'!BL32,'P NP TAMBAK KAB'!BP32,'P NP TAMBAK KAB'!BT32,'P NP TAMBAK KAB'!BV32,'P NP TAMBAK KAB'!BX32,'P NP TAMBAK KAB'!#REF!,'P NP TAMBAK KAB'!#REF!,'P NP TAMBAK KAB'!#REF!,'P NP TAMBAK KAB'!#REF!,'P NP TAMBAK KAB'!#REF!,'P NP TAMBAK KAB'!#REF!,'P NP TAMBAK KAB'!#REF!,'P NP TAMBAK KAB'!#REF!))/1000</f>
        <v>#REF!</v>
      </c>
      <c r="L36" s="264" t="e">
        <f t="shared" si="3"/>
        <v>#REF!</v>
      </c>
      <c r="M36" s="267" t="e">
        <f>'P NP TAMBAK KAB'!#REF!/1000</f>
        <v>#REF!</v>
      </c>
      <c r="N36" s="267" t="e">
        <f>'P NP TAMBAK KAB'!#REF!/1000</f>
        <v>#REF!</v>
      </c>
      <c r="O36" s="267" t="e">
        <f>'P NP TAMBAK KAB'!#REF!/1000</f>
        <v>#REF!</v>
      </c>
      <c r="P36" s="267" t="e">
        <f>'P NP TAMBAK KAB'!#REF!/1000</f>
        <v>#REF!</v>
      </c>
      <c r="Q36" s="267" t="e">
        <f>'P NP TAMBAK KAB'!#REF!/1000</f>
        <v>#REF!</v>
      </c>
      <c r="R36" s="267" t="e">
        <f>(SUM('P NP TAMBAK KAB'!BH32,'P NP TAMBAK KAB'!BJ32,'P NP TAMBAK KAB'!#REF!,'P NP TAMBAK KAB'!#REF!,'P NP TAMBAK KAB'!#REF!,'P NP TAMBAK KAB'!#REF!))/1000</f>
        <v>#REF!</v>
      </c>
      <c r="S36" s="267">
        <f>'P NP TAMBAK KAB'!AN32/1000</f>
        <v>0</v>
      </c>
      <c r="T36" s="267" t="e">
        <f>'P NP TAMBAK KAB'!#REF!/1000</f>
        <v>#REF!</v>
      </c>
      <c r="U36" s="267" t="e">
        <f>(SUM('P NP TAMBAK KAB'!R32,'P NP TAMBAK KAB'!AP32,'P NP TAMBAK KAB'!AR32,'P NP TAMBAK KAB'!#REF!,'P NP TAMBAK KAB'!#REF!,'P NP TAMBAK KAB'!#REF!,'P NP TAMBAK KAB'!#REF!,'P NP TAMBAK KAB'!#REF!,'P NP TAMBAK KAB'!#REF!,'P NP TAMBAK KAB'!#REF!))/1000</f>
        <v>#REF!</v>
      </c>
      <c r="V36" s="268" t="e">
        <f>(SUM('P NP TAMBAK KAB'!X32,'P NP TAMBAK KAB'!Z32,'P NP TAMBAK KAB'!AD32,'P NP TAMBAK KAB'!#REF!,'P NP TAMBAK KAB'!#REF!))/1000</f>
        <v>#REF!</v>
      </c>
      <c r="X36" s="264">
        <f t="shared" si="4"/>
        <v>273.43600000000004</v>
      </c>
      <c r="Y36" s="267">
        <f>'P NP TW'!P33/1000</f>
        <v>104.712</v>
      </c>
      <c r="Z36" s="267">
        <f>'P NP TW'!R33/1000</f>
        <v>76.281000000000006</v>
      </c>
      <c r="AA36" s="267">
        <f>'P NP TW'!T33/1000</f>
        <v>49.997</v>
      </c>
      <c r="AB36" s="268">
        <f>'P NP TW'!V33/1000</f>
        <v>42.445999999999998</v>
      </c>
    </row>
    <row r="37" spans="1:28">
      <c r="A37" s="346" t="s">
        <v>134</v>
      </c>
      <c r="B37" s="267" t="e">
        <f t="shared" si="1"/>
        <v>#REF!</v>
      </c>
      <c r="C37" s="267" t="e">
        <f t="shared" si="2"/>
        <v>#REF!</v>
      </c>
      <c r="D37" s="267">
        <f>'P NP TAMBAK KAB'!AT33/1000</f>
        <v>0</v>
      </c>
      <c r="E37" s="267">
        <f>'P NP TAMBAK KAB'!BN33/1000</f>
        <v>0</v>
      </c>
      <c r="F37" s="267" t="e">
        <f>'P NP TAMBAK KAB'!#REF!/1000</f>
        <v>#REF!</v>
      </c>
      <c r="G37" s="267">
        <f>('P NP TAMBAK KAB'!AJ33+'P NP TAMBAK KAB'!AL33)/1000</f>
        <v>541.37</v>
      </c>
      <c r="H37" s="267">
        <f>'P NP TAMBAK KAB'!D33/1000</f>
        <v>6012.42</v>
      </c>
      <c r="I37" s="267">
        <f>'P NP TAMBAK KAB'!BR33/1000</f>
        <v>0</v>
      </c>
      <c r="J37" s="267">
        <f>'P NP TAMBAK KAB'!N33/1000</f>
        <v>0</v>
      </c>
      <c r="K37" s="268" t="e">
        <f>(SUM('P NP TAMBAK KAB'!F33,'P NP TAMBAK KAB'!H33,'P NP TAMBAK KAB'!J33,'P NP TAMBAK KAB'!L33,'P NP TAMBAK KAB'!P33,'P NP TAMBAK KAB'!R33,'P NP TAMBAK KAB'!T33,'P NP TAMBAK KAB'!R33,'P NP TAMBAK KAB'!V33,'P NP TAMBAK KAB'!AB33,'P NP TAMBAK KAB'!AF33,'P NP TAMBAK KAB'!AF33,'P NP TAMBAK KAB'!AF33,'P NP TAMBAK KAB'!AH33,'P NP TAMBAK KAB'!AV33,'P NP TAMBAK KAB'!AX33,'P NP TAMBAK KAB'!AZ33,'P NP TAMBAK KAB'!BB33,'P NP TAMBAK KAB'!BD33,'P NP TAMBAK KAB'!BF33,'P NP TAMBAK KAB'!BL33,'P NP TAMBAK KAB'!BP33,'P NP TAMBAK KAB'!BT33,'P NP TAMBAK KAB'!BV33,'P NP TAMBAK KAB'!BX33,'P NP TAMBAK KAB'!#REF!,'P NP TAMBAK KAB'!#REF!,'P NP TAMBAK KAB'!#REF!,'P NP TAMBAK KAB'!#REF!,'P NP TAMBAK KAB'!#REF!,'P NP TAMBAK KAB'!#REF!,'P NP TAMBAK KAB'!#REF!,'P NP TAMBAK KAB'!#REF!))/1000</f>
        <v>#REF!</v>
      </c>
      <c r="L37" s="264" t="e">
        <f t="shared" si="3"/>
        <v>#REF!</v>
      </c>
      <c r="M37" s="267" t="e">
        <f>'P NP TAMBAK KAB'!#REF!/1000</f>
        <v>#REF!</v>
      </c>
      <c r="N37" s="267" t="e">
        <f>'P NP TAMBAK KAB'!#REF!/1000</f>
        <v>#REF!</v>
      </c>
      <c r="O37" s="267" t="e">
        <f>'P NP TAMBAK KAB'!#REF!/1000</f>
        <v>#REF!</v>
      </c>
      <c r="P37" s="267" t="e">
        <f>'P NP TAMBAK KAB'!#REF!/1000</f>
        <v>#REF!</v>
      </c>
      <c r="Q37" s="267" t="e">
        <f>'P NP TAMBAK KAB'!#REF!/1000</f>
        <v>#REF!</v>
      </c>
      <c r="R37" s="267" t="e">
        <f>(SUM('P NP TAMBAK KAB'!BH33,'P NP TAMBAK KAB'!BJ33,'P NP TAMBAK KAB'!#REF!,'P NP TAMBAK KAB'!#REF!,'P NP TAMBAK KAB'!#REF!,'P NP TAMBAK KAB'!#REF!))/1000</f>
        <v>#REF!</v>
      </c>
      <c r="S37" s="267">
        <f>'P NP TAMBAK KAB'!AN33/1000</f>
        <v>1759.18</v>
      </c>
      <c r="T37" s="267" t="e">
        <f>'P NP TAMBAK KAB'!#REF!/1000</f>
        <v>#REF!</v>
      </c>
      <c r="U37" s="267" t="e">
        <f>(SUM('P NP TAMBAK KAB'!R33,'P NP TAMBAK KAB'!AP33,'P NP TAMBAK KAB'!AR33,'P NP TAMBAK KAB'!#REF!,'P NP TAMBAK KAB'!#REF!,'P NP TAMBAK KAB'!#REF!,'P NP TAMBAK KAB'!#REF!,'P NP TAMBAK KAB'!#REF!,'P NP TAMBAK KAB'!#REF!,'P NP TAMBAK KAB'!#REF!))/1000</f>
        <v>#REF!</v>
      </c>
      <c r="V37" s="268" t="e">
        <f>(SUM('P NP TAMBAK KAB'!X33,'P NP TAMBAK KAB'!Z33,'P NP TAMBAK KAB'!AD33,'P NP TAMBAK KAB'!#REF!,'P NP TAMBAK KAB'!#REF!))/1000</f>
        <v>#REF!</v>
      </c>
      <c r="X37" s="264">
        <f t="shared" si="4"/>
        <v>16478.46</v>
      </c>
      <c r="Y37" s="267">
        <f>'P NP TW'!P34/1000</f>
        <v>3851.74</v>
      </c>
      <c r="Z37" s="267">
        <f>'P NP TW'!R34/1000</f>
        <v>3179.33</v>
      </c>
      <c r="AA37" s="267">
        <f>'P NP TW'!T34/1000</f>
        <v>3481.16</v>
      </c>
      <c r="AB37" s="268">
        <f>'P NP TW'!V34/1000</f>
        <v>5966.23</v>
      </c>
    </row>
    <row r="38" spans="1:28">
      <c r="A38" s="346" t="s">
        <v>115</v>
      </c>
      <c r="B38" s="267" t="e">
        <f t="shared" si="1"/>
        <v>#REF!</v>
      </c>
      <c r="C38" s="267" t="e">
        <f t="shared" si="2"/>
        <v>#REF!</v>
      </c>
      <c r="D38" s="267">
        <f>'P NP TAMBAK KAB'!AT34/1000</f>
        <v>0</v>
      </c>
      <c r="E38" s="267">
        <f>'P NP TAMBAK KAB'!BN34/1000</f>
        <v>0</v>
      </c>
      <c r="F38" s="267" t="e">
        <f>'P NP TAMBAK KAB'!#REF!/1000</f>
        <v>#REF!</v>
      </c>
      <c r="G38" s="267">
        <f>('P NP TAMBAK KAB'!AJ34+'P NP TAMBAK KAB'!AL34)/1000</f>
        <v>0</v>
      </c>
      <c r="H38" s="267">
        <f>'P NP TAMBAK KAB'!D34/1000</f>
        <v>0</v>
      </c>
      <c r="I38" s="267">
        <f>'P NP TAMBAK KAB'!BR34/1000</f>
        <v>0</v>
      </c>
      <c r="J38" s="267">
        <f>'P NP TAMBAK KAB'!N34/1000</f>
        <v>0</v>
      </c>
      <c r="K38" s="268" t="e">
        <f>(SUM('P NP TAMBAK KAB'!F34,'P NP TAMBAK KAB'!H34,'P NP TAMBAK KAB'!J34,'P NP TAMBAK KAB'!L34,'P NP TAMBAK KAB'!P34,'P NP TAMBAK KAB'!R34,'P NP TAMBAK KAB'!T34,'P NP TAMBAK KAB'!R34,'P NP TAMBAK KAB'!V34,'P NP TAMBAK KAB'!AB34,'P NP TAMBAK KAB'!AF34,'P NP TAMBAK KAB'!AF34,'P NP TAMBAK KAB'!AF34,'P NP TAMBAK KAB'!AH34,'P NP TAMBAK KAB'!AV34,'P NP TAMBAK KAB'!AX34,'P NP TAMBAK KAB'!AZ34,'P NP TAMBAK KAB'!BB34,'P NP TAMBAK KAB'!BD34,'P NP TAMBAK KAB'!BF34,'P NP TAMBAK KAB'!BL34,'P NP TAMBAK KAB'!BP34,'P NP TAMBAK KAB'!BT34,'P NP TAMBAK KAB'!BV34,'P NP TAMBAK KAB'!BX34,'P NP TAMBAK KAB'!#REF!,'P NP TAMBAK KAB'!#REF!,'P NP TAMBAK KAB'!#REF!,'P NP TAMBAK KAB'!#REF!,'P NP TAMBAK KAB'!#REF!,'P NP TAMBAK KAB'!#REF!,'P NP TAMBAK KAB'!#REF!,'P NP TAMBAK KAB'!#REF!))/1000</f>
        <v>#REF!</v>
      </c>
      <c r="L38" s="264" t="e">
        <f t="shared" si="3"/>
        <v>#REF!</v>
      </c>
      <c r="M38" s="267" t="e">
        <f>'P NP TAMBAK KAB'!#REF!/1000</f>
        <v>#REF!</v>
      </c>
      <c r="N38" s="267" t="e">
        <f>'P NP TAMBAK KAB'!#REF!/1000</f>
        <v>#REF!</v>
      </c>
      <c r="O38" s="267" t="e">
        <f>'P NP TAMBAK KAB'!#REF!/1000</f>
        <v>#REF!</v>
      </c>
      <c r="P38" s="267" t="e">
        <f>'P NP TAMBAK KAB'!#REF!/1000</f>
        <v>#REF!</v>
      </c>
      <c r="Q38" s="267" t="e">
        <f>'P NP TAMBAK KAB'!#REF!/1000</f>
        <v>#REF!</v>
      </c>
      <c r="R38" s="267" t="e">
        <f>(SUM('P NP TAMBAK KAB'!BH34,'P NP TAMBAK KAB'!BJ34,'P NP TAMBAK KAB'!#REF!,'P NP TAMBAK KAB'!#REF!,'P NP TAMBAK KAB'!#REF!,'P NP TAMBAK KAB'!#REF!))/1000</f>
        <v>#REF!</v>
      </c>
      <c r="S38" s="267">
        <f>'P NP TAMBAK KAB'!AN34/1000</f>
        <v>0</v>
      </c>
      <c r="T38" s="267" t="e">
        <f>'P NP TAMBAK KAB'!#REF!/1000</f>
        <v>#REF!</v>
      </c>
      <c r="U38" s="267" t="e">
        <f>(SUM('P NP TAMBAK KAB'!R34,'P NP TAMBAK KAB'!AP34,'P NP TAMBAK KAB'!AR34,'P NP TAMBAK KAB'!#REF!,'P NP TAMBAK KAB'!#REF!,'P NP TAMBAK KAB'!#REF!,'P NP TAMBAK KAB'!#REF!,'P NP TAMBAK KAB'!#REF!,'P NP TAMBAK KAB'!#REF!,'P NP TAMBAK KAB'!#REF!))/1000</f>
        <v>#REF!</v>
      </c>
      <c r="V38" s="268" t="e">
        <f>(SUM('P NP TAMBAK KAB'!X34,'P NP TAMBAK KAB'!Z34,'P NP TAMBAK KAB'!AD34,'P NP TAMBAK KAB'!#REF!,'P NP TAMBAK KAB'!#REF!))/1000</f>
        <v>#REF!</v>
      </c>
      <c r="X38" s="264">
        <f t="shared" si="4"/>
        <v>350</v>
      </c>
      <c r="Y38" s="267">
        <f>'P NP TW'!P35/1000</f>
        <v>0</v>
      </c>
      <c r="Z38" s="267">
        <f>'P NP TW'!R35/1000</f>
        <v>175</v>
      </c>
      <c r="AA38" s="267">
        <f>'P NP TW'!T35/1000</f>
        <v>0</v>
      </c>
      <c r="AB38" s="268">
        <f>'P NP TW'!V35/1000</f>
        <v>175</v>
      </c>
    </row>
    <row r="39" spans="1:28">
      <c r="A39" s="346" t="s">
        <v>149</v>
      </c>
      <c r="B39" s="267" t="e">
        <f t="shared" si="1"/>
        <v>#REF!</v>
      </c>
      <c r="C39" s="267" t="e">
        <f t="shared" si="2"/>
        <v>#REF!</v>
      </c>
      <c r="D39" s="267">
        <f>'P NP TAMBAK KAB'!AT35/1000</f>
        <v>0</v>
      </c>
      <c r="E39" s="267">
        <f>'P NP TAMBAK KAB'!BN35/1000</f>
        <v>0</v>
      </c>
      <c r="F39" s="267" t="e">
        <f>'P NP TAMBAK KAB'!#REF!/1000</f>
        <v>#REF!</v>
      </c>
      <c r="G39" s="267">
        <f>('P NP TAMBAK KAB'!AJ35+'P NP TAMBAK KAB'!AL35)/1000</f>
        <v>0</v>
      </c>
      <c r="H39" s="267">
        <f>'P NP TAMBAK KAB'!D35/1000</f>
        <v>0</v>
      </c>
      <c r="I39" s="267">
        <f>'P NP TAMBAK KAB'!BR35/1000</f>
        <v>0</v>
      </c>
      <c r="J39" s="267">
        <f>'P NP TAMBAK KAB'!N35/1000</f>
        <v>0</v>
      </c>
      <c r="K39" s="268" t="e">
        <f>(SUM('P NP TAMBAK KAB'!F35,'P NP TAMBAK KAB'!H35,'P NP TAMBAK KAB'!J35,'P NP TAMBAK KAB'!L35,'P NP TAMBAK KAB'!P35,'P NP TAMBAK KAB'!R35,'P NP TAMBAK KAB'!T35,'P NP TAMBAK KAB'!R35,'P NP TAMBAK KAB'!V35,'P NP TAMBAK KAB'!AB35,'P NP TAMBAK KAB'!AF35,'P NP TAMBAK KAB'!AF35,'P NP TAMBAK KAB'!AF35,'P NP TAMBAK KAB'!AH35,'P NP TAMBAK KAB'!AV35,'P NP TAMBAK KAB'!AX35,'P NP TAMBAK KAB'!AZ35,'P NP TAMBAK KAB'!BB35,'P NP TAMBAK KAB'!BD35,'P NP TAMBAK KAB'!BF35,'P NP TAMBAK KAB'!BL35,'P NP TAMBAK KAB'!BP35,'P NP TAMBAK KAB'!BT35,'P NP TAMBAK KAB'!BV35,'P NP TAMBAK KAB'!BX35,'P NP TAMBAK KAB'!#REF!,'P NP TAMBAK KAB'!#REF!,'P NP TAMBAK KAB'!#REF!,'P NP TAMBAK KAB'!#REF!,'P NP TAMBAK KAB'!#REF!,'P NP TAMBAK KAB'!#REF!,'P NP TAMBAK KAB'!#REF!,'P NP TAMBAK KAB'!#REF!))/1000</f>
        <v>#REF!</v>
      </c>
      <c r="L39" s="264" t="e">
        <f t="shared" si="3"/>
        <v>#REF!</v>
      </c>
      <c r="M39" s="267" t="e">
        <f>'P NP TAMBAK KAB'!#REF!/1000</f>
        <v>#REF!</v>
      </c>
      <c r="N39" s="267" t="e">
        <f>'P NP TAMBAK KAB'!#REF!/1000</f>
        <v>#REF!</v>
      </c>
      <c r="O39" s="267" t="e">
        <f>'P NP TAMBAK KAB'!#REF!/1000</f>
        <v>#REF!</v>
      </c>
      <c r="P39" s="267" t="e">
        <f>'P NP TAMBAK KAB'!#REF!/1000</f>
        <v>#REF!</v>
      </c>
      <c r="Q39" s="267" t="e">
        <f>'P NP TAMBAK KAB'!#REF!/1000</f>
        <v>#REF!</v>
      </c>
      <c r="R39" s="267" t="e">
        <f>(SUM('P NP TAMBAK KAB'!BH35,'P NP TAMBAK KAB'!BJ35,'P NP TAMBAK KAB'!#REF!,'P NP TAMBAK KAB'!#REF!,'P NP TAMBAK KAB'!#REF!,'P NP TAMBAK KAB'!#REF!))/1000</f>
        <v>#REF!</v>
      </c>
      <c r="S39" s="267">
        <f>'P NP TAMBAK KAB'!AN35/1000</f>
        <v>0</v>
      </c>
      <c r="T39" s="267" t="e">
        <f>'P NP TAMBAK KAB'!#REF!/1000</f>
        <v>#REF!</v>
      </c>
      <c r="U39" s="267" t="e">
        <f>(SUM('P NP TAMBAK KAB'!R35,'P NP TAMBAK KAB'!AP35,'P NP TAMBAK KAB'!AR35,'P NP TAMBAK KAB'!#REF!,'P NP TAMBAK KAB'!#REF!,'P NP TAMBAK KAB'!#REF!,'P NP TAMBAK KAB'!#REF!,'P NP TAMBAK KAB'!#REF!,'P NP TAMBAK KAB'!#REF!,'P NP TAMBAK KAB'!#REF!))/1000</f>
        <v>#REF!</v>
      </c>
      <c r="V39" s="268" t="e">
        <f>(SUM('P NP TAMBAK KAB'!X35,'P NP TAMBAK KAB'!Z35,'P NP TAMBAK KAB'!AD35,'P NP TAMBAK KAB'!#REF!,'P NP TAMBAK KAB'!#REF!))/1000</f>
        <v>#REF!</v>
      </c>
      <c r="X39" s="264">
        <f t="shared" si="4"/>
        <v>0</v>
      </c>
      <c r="Y39" s="267">
        <f>'P NP TW'!P36/1000</f>
        <v>0</v>
      </c>
      <c r="Z39" s="267">
        <f>'P NP TW'!R36/1000</f>
        <v>0</v>
      </c>
      <c r="AA39" s="267">
        <f>'P NP TW'!T36/1000</f>
        <v>0</v>
      </c>
      <c r="AB39" s="268">
        <f>'P NP TW'!V36/1000</f>
        <v>0</v>
      </c>
    </row>
    <row r="40" spans="1:28">
      <c r="A40" s="346" t="s">
        <v>142</v>
      </c>
      <c r="B40" s="267" t="e">
        <f t="shared" si="1"/>
        <v>#REF!</v>
      </c>
      <c r="C40" s="267" t="e">
        <f t="shared" si="2"/>
        <v>#REF!</v>
      </c>
      <c r="D40" s="267">
        <f>'P NP TAMBAK KAB'!AT36/1000</f>
        <v>0</v>
      </c>
      <c r="E40" s="267">
        <f>'P NP TAMBAK KAB'!BN36/1000</f>
        <v>0</v>
      </c>
      <c r="F40" s="267" t="e">
        <f>'P NP TAMBAK KAB'!#REF!/1000</f>
        <v>#REF!</v>
      </c>
      <c r="G40" s="267">
        <f>('P NP TAMBAK KAB'!AJ36+'P NP TAMBAK KAB'!AL36)/1000</f>
        <v>0</v>
      </c>
      <c r="H40" s="267">
        <f>'P NP TAMBAK KAB'!D36/1000</f>
        <v>0</v>
      </c>
      <c r="I40" s="267">
        <f>'P NP TAMBAK KAB'!BR36/1000</f>
        <v>0</v>
      </c>
      <c r="J40" s="267">
        <f>'P NP TAMBAK KAB'!N36/1000</f>
        <v>0</v>
      </c>
      <c r="K40" s="268" t="e">
        <f>(SUM('P NP TAMBAK KAB'!F36,'P NP TAMBAK KAB'!H36,'P NP TAMBAK KAB'!J36,'P NP TAMBAK KAB'!L36,'P NP TAMBAK KAB'!P36,'P NP TAMBAK KAB'!R36,'P NP TAMBAK KAB'!T36,'P NP TAMBAK KAB'!R36,'P NP TAMBAK KAB'!V36,'P NP TAMBAK KAB'!AB36,'P NP TAMBAK KAB'!AF36,'P NP TAMBAK KAB'!AF36,'P NP TAMBAK KAB'!AF36,'P NP TAMBAK KAB'!AH36,'P NP TAMBAK KAB'!AV36,'P NP TAMBAK KAB'!AX36,'P NP TAMBAK KAB'!AZ36,'P NP TAMBAK KAB'!BB36,'P NP TAMBAK KAB'!BD36,'P NP TAMBAK KAB'!BF36,'P NP TAMBAK KAB'!BL36,'P NP TAMBAK KAB'!BP36,'P NP TAMBAK KAB'!BT36,'P NP TAMBAK KAB'!BV36,'P NP TAMBAK KAB'!BX36,'P NP TAMBAK KAB'!#REF!,'P NP TAMBAK KAB'!#REF!,'P NP TAMBAK KAB'!#REF!,'P NP TAMBAK KAB'!#REF!,'P NP TAMBAK KAB'!#REF!,'P NP TAMBAK KAB'!#REF!,'P NP TAMBAK KAB'!#REF!,'P NP TAMBAK KAB'!#REF!))/1000</f>
        <v>#REF!</v>
      </c>
      <c r="L40" s="264" t="e">
        <f t="shared" si="3"/>
        <v>#REF!</v>
      </c>
      <c r="M40" s="267" t="e">
        <f>'P NP TAMBAK KAB'!#REF!/1000</f>
        <v>#REF!</v>
      </c>
      <c r="N40" s="267" t="e">
        <f>'P NP TAMBAK KAB'!#REF!/1000</f>
        <v>#REF!</v>
      </c>
      <c r="O40" s="267" t="e">
        <f>'P NP TAMBAK KAB'!#REF!/1000</f>
        <v>#REF!</v>
      </c>
      <c r="P40" s="267" t="e">
        <f>'P NP TAMBAK KAB'!#REF!/1000</f>
        <v>#REF!</v>
      </c>
      <c r="Q40" s="267" t="e">
        <f>'P NP TAMBAK KAB'!#REF!/1000</f>
        <v>#REF!</v>
      </c>
      <c r="R40" s="267" t="e">
        <f>(SUM('P NP TAMBAK KAB'!BH36,'P NP TAMBAK KAB'!BJ36,'P NP TAMBAK KAB'!#REF!,'P NP TAMBAK KAB'!#REF!,'P NP TAMBAK KAB'!#REF!,'P NP TAMBAK KAB'!#REF!))/1000</f>
        <v>#REF!</v>
      </c>
      <c r="S40" s="267">
        <f>'P NP TAMBAK KAB'!AN36/1000</f>
        <v>0</v>
      </c>
      <c r="T40" s="267" t="e">
        <f>'P NP TAMBAK KAB'!#REF!/1000</f>
        <v>#REF!</v>
      </c>
      <c r="U40" s="267" t="e">
        <f>(SUM('P NP TAMBAK KAB'!R36,'P NP TAMBAK KAB'!AP36,'P NP TAMBAK KAB'!AR36,'P NP TAMBAK KAB'!#REF!,'P NP TAMBAK KAB'!#REF!,'P NP TAMBAK KAB'!#REF!,'P NP TAMBAK KAB'!#REF!,'P NP TAMBAK KAB'!#REF!,'P NP TAMBAK KAB'!#REF!,'P NP TAMBAK KAB'!#REF!))/1000</f>
        <v>#REF!</v>
      </c>
      <c r="V40" s="268" t="e">
        <f>(SUM('P NP TAMBAK KAB'!X36,'P NP TAMBAK KAB'!Z36,'P NP TAMBAK KAB'!AD36,'P NP TAMBAK KAB'!#REF!,'P NP TAMBAK KAB'!#REF!))/1000</f>
        <v>#REF!</v>
      </c>
      <c r="X40" s="264">
        <f t="shared" si="4"/>
        <v>0</v>
      </c>
      <c r="Y40" s="267">
        <f>'P NP TW'!P37/1000</f>
        <v>0</v>
      </c>
      <c r="Z40" s="267">
        <f>'P NP TW'!R37/1000</f>
        <v>0</v>
      </c>
      <c r="AA40" s="267">
        <f>'P NP TW'!T37/1000</f>
        <v>0</v>
      </c>
      <c r="AB40" s="268">
        <f>'P NP TW'!V37/1000</f>
        <v>0</v>
      </c>
    </row>
    <row r="41" spans="1:28">
      <c r="A41" s="346" t="s">
        <v>141</v>
      </c>
      <c r="B41" s="267" t="e">
        <f t="shared" si="1"/>
        <v>#REF!</v>
      </c>
      <c r="C41" s="267" t="e">
        <f t="shared" si="2"/>
        <v>#REF!</v>
      </c>
      <c r="D41" s="267">
        <f>'P NP TAMBAK KAB'!AT37/1000</f>
        <v>0</v>
      </c>
      <c r="E41" s="267">
        <f>'P NP TAMBAK KAB'!BN37/1000</f>
        <v>0</v>
      </c>
      <c r="F41" s="267" t="e">
        <f>'P NP TAMBAK KAB'!#REF!/1000</f>
        <v>#REF!</v>
      </c>
      <c r="G41" s="267">
        <f>('P NP TAMBAK KAB'!AJ37+'P NP TAMBAK KAB'!AL37)/1000</f>
        <v>0</v>
      </c>
      <c r="H41" s="267">
        <f>'P NP TAMBAK KAB'!D37/1000</f>
        <v>0</v>
      </c>
      <c r="I41" s="267">
        <f>'P NP TAMBAK KAB'!BR37/1000</f>
        <v>0</v>
      </c>
      <c r="J41" s="267">
        <f>'P NP TAMBAK KAB'!N37/1000</f>
        <v>0</v>
      </c>
      <c r="K41" s="268" t="e">
        <f>(SUM('P NP TAMBAK KAB'!F37,'P NP TAMBAK KAB'!H37,'P NP TAMBAK KAB'!J37,'P NP TAMBAK KAB'!L37,'P NP TAMBAK KAB'!P37,'P NP TAMBAK KAB'!R37,'P NP TAMBAK KAB'!T37,'P NP TAMBAK KAB'!R37,'P NP TAMBAK KAB'!V37,'P NP TAMBAK KAB'!AB37,'P NP TAMBAK KAB'!AF37,'P NP TAMBAK KAB'!AF37,'P NP TAMBAK KAB'!AF37,'P NP TAMBAK KAB'!AH37,'P NP TAMBAK KAB'!AV37,'P NP TAMBAK KAB'!AX37,'P NP TAMBAK KAB'!AZ37,'P NP TAMBAK KAB'!BB37,'P NP TAMBAK KAB'!BD37,'P NP TAMBAK KAB'!BF37,'P NP TAMBAK KAB'!BL37,'P NP TAMBAK KAB'!BP37,'P NP TAMBAK KAB'!BT37,'P NP TAMBAK KAB'!BV37,'P NP TAMBAK KAB'!BX37,'P NP TAMBAK KAB'!#REF!,'P NP TAMBAK KAB'!#REF!,'P NP TAMBAK KAB'!#REF!,'P NP TAMBAK KAB'!#REF!,'P NP TAMBAK KAB'!#REF!,'P NP TAMBAK KAB'!#REF!,'P NP TAMBAK KAB'!#REF!,'P NP TAMBAK KAB'!#REF!))/1000</f>
        <v>#REF!</v>
      </c>
      <c r="L41" s="264" t="e">
        <f t="shared" si="3"/>
        <v>#REF!</v>
      </c>
      <c r="M41" s="267" t="e">
        <f>'P NP TAMBAK KAB'!#REF!/1000</f>
        <v>#REF!</v>
      </c>
      <c r="N41" s="267" t="e">
        <f>'P NP TAMBAK KAB'!#REF!/1000</f>
        <v>#REF!</v>
      </c>
      <c r="O41" s="267" t="e">
        <f>'P NP TAMBAK KAB'!#REF!/1000</f>
        <v>#REF!</v>
      </c>
      <c r="P41" s="267" t="e">
        <f>'P NP TAMBAK KAB'!#REF!/1000</f>
        <v>#REF!</v>
      </c>
      <c r="Q41" s="267" t="e">
        <f>'P NP TAMBAK KAB'!#REF!/1000</f>
        <v>#REF!</v>
      </c>
      <c r="R41" s="267" t="e">
        <f>(SUM('P NP TAMBAK KAB'!BH37,'P NP TAMBAK KAB'!BJ37,'P NP TAMBAK KAB'!#REF!,'P NP TAMBAK KAB'!#REF!,'P NP TAMBAK KAB'!#REF!,'P NP TAMBAK KAB'!#REF!))/1000</f>
        <v>#REF!</v>
      </c>
      <c r="S41" s="267">
        <f>'P NP TAMBAK KAB'!AN37/1000</f>
        <v>0</v>
      </c>
      <c r="T41" s="267" t="e">
        <f>'P NP TAMBAK KAB'!#REF!/1000</f>
        <v>#REF!</v>
      </c>
      <c r="U41" s="267" t="e">
        <f>(SUM('P NP TAMBAK KAB'!R37,'P NP TAMBAK KAB'!AP37,'P NP TAMBAK KAB'!AR37,'P NP TAMBAK KAB'!#REF!,'P NP TAMBAK KAB'!#REF!,'P NP TAMBAK KAB'!#REF!,'P NP TAMBAK KAB'!#REF!,'P NP TAMBAK KAB'!#REF!,'P NP TAMBAK KAB'!#REF!,'P NP TAMBAK KAB'!#REF!))/1000</f>
        <v>#REF!</v>
      </c>
      <c r="V41" s="268" t="e">
        <f>(SUM('P NP TAMBAK KAB'!X37,'P NP TAMBAK KAB'!Z37,'P NP TAMBAK KAB'!AD37,'P NP TAMBAK KAB'!#REF!,'P NP TAMBAK KAB'!#REF!))/1000</f>
        <v>#REF!</v>
      </c>
      <c r="X41" s="264">
        <f t="shared" si="4"/>
        <v>0</v>
      </c>
      <c r="Y41" s="267">
        <f>'P NP TW'!P38/1000</f>
        <v>0</v>
      </c>
      <c r="Z41" s="267">
        <f>'P NP TW'!R38/1000</f>
        <v>0</v>
      </c>
      <c r="AA41" s="267">
        <f>'P NP TW'!T38/1000</f>
        <v>0</v>
      </c>
      <c r="AB41" s="268">
        <f>'P NP TW'!V38/1000</f>
        <v>0</v>
      </c>
    </row>
    <row r="42" spans="1:28">
      <c r="A42" s="346" t="s">
        <v>147</v>
      </c>
      <c r="B42" s="267" t="e">
        <f t="shared" si="1"/>
        <v>#REF!</v>
      </c>
      <c r="C42" s="267" t="e">
        <f t="shared" si="2"/>
        <v>#REF!</v>
      </c>
      <c r="D42" s="267">
        <f>'P NP TAMBAK KAB'!AT38/1000</f>
        <v>0</v>
      </c>
      <c r="E42" s="267">
        <f>'P NP TAMBAK KAB'!BN38/1000</f>
        <v>0</v>
      </c>
      <c r="F42" s="267" t="e">
        <f>'P NP TAMBAK KAB'!#REF!/1000</f>
        <v>#REF!</v>
      </c>
      <c r="G42" s="267">
        <f>('P NP TAMBAK KAB'!AJ38+'P NP TAMBAK KAB'!AL38)/1000</f>
        <v>0</v>
      </c>
      <c r="H42" s="267">
        <f>'P NP TAMBAK KAB'!D38/1000</f>
        <v>0</v>
      </c>
      <c r="I42" s="267">
        <f>'P NP TAMBAK KAB'!BR38/1000</f>
        <v>0</v>
      </c>
      <c r="J42" s="267">
        <f>'P NP TAMBAK KAB'!N38/1000</f>
        <v>0</v>
      </c>
      <c r="K42" s="268" t="e">
        <f>(SUM('P NP TAMBAK KAB'!F38,'P NP TAMBAK KAB'!H38,'P NP TAMBAK KAB'!J38,'P NP TAMBAK KAB'!L38,'P NP TAMBAK KAB'!P38,'P NP TAMBAK KAB'!R38,'P NP TAMBAK KAB'!T38,'P NP TAMBAK KAB'!R38,'P NP TAMBAK KAB'!V38,'P NP TAMBAK KAB'!AB38,'P NP TAMBAK KAB'!AF38,'P NP TAMBAK KAB'!AF38,'P NP TAMBAK KAB'!AF38,'P NP TAMBAK KAB'!AH38,'P NP TAMBAK KAB'!AV38,'P NP TAMBAK KAB'!AX38,'P NP TAMBAK KAB'!AZ38,'P NP TAMBAK KAB'!BB38,'P NP TAMBAK KAB'!BD38,'P NP TAMBAK KAB'!BF38,'P NP TAMBAK KAB'!BL38,'P NP TAMBAK KAB'!BP38,'P NP TAMBAK KAB'!BT38,'P NP TAMBAK KAB'!BV38,'P NP TAMBAK KAB'!BX38,'P NP TAMBAK KAB'!#REF!,'P NP TAMBAK KAB'!#REF!,'P NP TAMBAK KAB'!#REF!,'P NP TAMBAK KAB'!#REF!,'P NP TAMBAK KAB'!#REF!,'P NP TAMBAK KAB'!#REF!,'P NP TAMBAK KAB'!#REF!,'P NP TAMBAK KAB'!#REF!))/1000</f>
        <v>#REF!</v>
      </c>
      <c r="L42" s="264" t="e">
        <f t="shared" si="3"/>
        <v>#REF!</v>
      </c>
      <c r="M42" s="267" t="e">
        <f>'P NP TAMBAK KAB'!#REF!/1000</f>
        <v>#REF!</v>
      </c>
      <c r="N42" s="267" t="e">
        <f>'P NP TAMBAK KAB'!#REF!/1000</f>
        <v>#REF!</v>
      </c>
      <c r="O42" s="267" t="e">
        <f>'P NP TAMBAK KAB'!#REF!/1000</f>
        <v>#REF!</v>
      </c>
      <c r="P42" s="267" t="e">
        <f>'P NP TAMBAK KAB'!#REF!/1000</f>
        <v>#REF!</v>
      </c>
      <c r="Q42" s="267" t="e">
        <f>'P NP TAMBAK KAB'!#REF!/1000</f>
        <v>#REF!</v>
      </c>
      <c r="R42" s="267" t="e">
        <f>(SUM('P NP TAMBAK KAB'!BH38,'P NP TAMBAK KAB'!BJ38,'P NP TAMBAK KAB'!#REF!,'P NP TAMBAK KAB'!#REF!,'P NP TAMBAK KAB'!#REF!,'P NP TAMBAK KAB'!#REF!))/1000</f>
        <v>#REF!</v>
      </c>
      <c r="S42" s="267">
        <f>'P NP TAMBAK KAB'!AN38/1000</f>
        <v>0</v>
      </c>
      <c r="T42" s="267" t="e">
        <f>'P NP TAMBAK KAB'!#REF!/1000</f>
        <v>#REF!</v>
      </c>
      <c r="U42" s="267" t="e">
        <f>(SUM('P NP TAMBAK KAB'!R38,'P NP TAMBAK KAB'!AP38,'P NP TAMBAK KAB'!AR38,'P NP TAMBAK KAB'!#REF!,'P NP TAMBAK KAB'!#REF!,'P NP TAMBAK KAB'!#REF!,'P NP TAMBAK KAB'!#REF!,'P NP TAMBAK KAB'!#REF!,'P NP TAMBAK KAB'!#REF!,'P NP TAMBAK KAB'!#REF!))/1000</f>
        <v>#REF!</v>
      </c>
      <c r="V42" s="268" t="e">
        <f>(SUM('P NP TAMBAK KAB'!X38,'P NP TAMBAK KAB'!Z38,'P NP TAMBAK KAB'!AD38,'P NP TAMBAK KAB'!#REF!,'P NP TAMBAK KAB'!#REF!))/1000</f>
        <v>#REF!</v>
      </c>
      <c r="X42" s="264">
        <f t="shared" si="4"/>
        <v>0</v>
      </c>
      <c r="Y42" s="267">
        <f>'P NP TW'!P39/1000</f>
        <v>0</v>
      </c>
      <c r="Z42" s="267">
        <f>'P NP TW'!R39/1000</f>
        <v>0</v>
      </c>
      <c r="AA42" s="267">
        <f>'P NP TW'!T39/1000</f>
        <v>0</v>
      </c>
      <c r="AB42" s="268">
        <f>'P NP TW'!V39/1000</f>
        <v>0</v>
      </c>
    </row>
    <row r="43" spans="1:28">
      <c r="A43" s="346" t="s">
        <v>143</v>
      </c>
      <c r="B43" s="267" t="e">
        <f t="shared" si="1"/>
        <v>#REF!</v>
      </c>
      <c r="C43" s="267" t="e">
        <f t="shared" si="2"/>
        <v>#REF!</v>
      </c>
      <c r="D43" s="267">
        <f>'P NP TAMBAK KAB'!AT39/1000</f>
        <v>0</v>
      </c>
      <c r="E43" s="267">
        <f>'P NP TAMBAK KAB'!BN39/1000</f>
        <v>0</v>
      </c>
      <c r="F43" s="267" t="e">
        <f>'P NP TAMBAK KAB'!#REF!/1000</f>
        <v>#REF!</v>
      </c>
      <c r="G43" s="267">
        <f>('P NP TAMBAK KAB'!AJ39+'P NP TAMBAK KAB'!AL39)/1000</f>
        <v>0</v>
      </c>
      <c r="H43" s="267">
        <f>'P NP TAMBAK KAB'!D39/1000</f>
        <v>0</v>
      </c>
      <c r="I43" s="267">
        <f>'P NP TAMBAK KAB'!BR39/1000</f>
        <v>0</v>
      </c>
      <c r="J43" s="267">
        <f>'P NP TAMBAK KAB'!N39/1000</f>
        <v>0</v>
      </c>
      <c r="K43" s="268" t="e">
        <f>(SUM('P NP TAMBAK KAB'!F39,'P NP TAMBAK KAB'!H39,'P NP TAMBAK KAB'!J39,'P NP TAMBAK KAB'!L39,'P NP TAMBAK KAB'!P39,'P NP TAMBAK KAB'!R39,'P NP TAMBAK KAB'!T39,'P NP TAMBAK KAB'!R39,'P NP TAMBAK KAB'!V39,'P NP TAMBAK KAB'!AB39,'P NP TAMBAK KAB'!AF39,'P NP TAMBAK KAB'!AF39,'P NP TAMBAK KAB'!AF39,'P NP TAMBAK KAB'!AH39,'P NP TAMBAK KAB'!AV39,'P NP TAMBAK KAB'!AX39,'P NP TAMBAK KAB'!AZ39,'P NP TAMBAK KAB'!BB39,'P NP TAMBAK KAB'!BD39,'P NP TAMBAK KAB'!BF39,'P NP TAMBAK KAB'!BL39,'P NP TAMBAK KAB'!BP39,'P NP TAMBAK KAB'!BT39,'P NP TAMBAK KAB'!BV39,'P NP TAMBAK KAB'!BX39,'P NP TAMBAK KAB'!#REF!,'P NP TAMBAK KAB'!#REF!,'P NP TAMBAK KAB'!#REF!,'P NP TAMBAK KAB'!#REF!,'P NP TAMBAK KAB'!#REF!,'P NP TAMBAK KAB'!#REF!,'P NP TAMBAK KAB'!#REF!,'P NP TAMBAK KAB'!#REF!))/1000</f>
        <v>#REF!</v>
      </c>
      <c r="L43" s="264" t="e">
        <f t="shared" si="3"/>
        <v>#REF!</v>
      </c>
      <c r="M43" s="267" t="e">
        <f>'P NP TAMBAK KAB'!#REF!/1000</f>
        <v>#REF!</v>
      </c>
      <c r="N43" s="267" t="e">
        <f>'P NP TAMBAK KAB'!#REF!/1000</f>
        <v>#REF!</v>
      </c>
      <c r="O43" s="267" t="e">
        <f>'P NP TAMBAK KAB'!#REF!/1000</f>
        <v>#REF!</v>
      </c>
      <c r="P43" s="267" t="e">
        <f>'P NP TAMBAK KAB'!#REF!/1000</f>
        <v>#REF!</v>
      </c>
      <c r="Q43" s="267" t="e">
        <f>'P NP TAMBAK KAB'!#REF!/1000</f>
        <v>#REF!</v>
      </c>
      <c r="R43" s="267" t="e">
        <f>(SUM('P NP TAMBAK KAB'!BH39,'P NP TAMBAK KAB'!BJ39,'P NP TAMBAK KAB'!#REF!,'P NP TAMBAK KAB'!#REF!,'P NP TAMBAK KAB'!#REF!,'P NP TAMBAK KAB'!#REF!))/1000</f>
        <v>#REF!</v>
      </c>
      <c r="S43" s="267">
        <f>'P NP TAMBAK KAB'!AN39/1000</f>
        <v>0</v>
      </c>
      <c r="T43" s="267" t="e">
        <f>'P NP TAMBAK KAB'!#REF!/1000</f>
        <v>#REF!</v>
      </c>
      <c r="U43" s="267" t="e">
        <f>(SUM('P NP TAMBAK KAB'!R39,'P NP TAMBAK KAB'!AP39,'P NP TAMBAK KAB'!AR39,'P NP TAMBAK KAB'!#REF!,'P NP TAMBAK KAB'!#REF!,'P NP TAMBAK KAB'!#REF!,'P NP TAMBAK KAB'!#REF!,'P NP TAMBAK KAB'!#REF!,'P NP TAMBAK KAB'!#REF!,'P NP TAMBAK KAB'!#REF!))/1000</f>
        <v>#REF!</v>
      </c>
      <c r="V43" s="268" t="e">
        <f>(SUM('P NP TAMBAK KAB'!X39,'P NP TAMBAK KAB'!Z39,'P NP TAMBAK KAB'!AD39,'P NP TAMBAK KAB'!#REF!,'P NP TAMBAK KAB'!#REF!))/1000</f>
        <v>#REF!</v>
      </c>
      <c r="X43" s="551">
        <f t="shared" si="4"/>
        <v>0</v>
      </c>
      <c r="Y43" s="267">
        <f>'P NP TW'!P40/1000</f>
        <v>0</v>
      </c>
      <c r="Z43" s="267">
        <f>'P NP TW'!R40/1000</f>
        <v>0</v>
      </c>
      <c r="AA43" s="267">
        <f>'P NP TW'!T40/1000</f>
        <v>0</v>
      </c>
      <c r="AB43" s="268">
        <f>'P NP TW'!V40/1000</f>
        <v>0</v>
      </c>
    </row>
    <row r="44" spans="1:28">
      <c r="A44" s="346" t="s">
        <v>146</v>
      </c>
      <c r="B44" s="267" t="e">
        <f t="shared" si="1"/>
        <v>#REF!</v>
      </c>
      <c r="C44" s="267" t="e">
        <f t="shared" si="2"/>
        <v>#REF!</v>
      </c>
      <c r="D44" s="267">
        <f>'P NP TAMBAK KAB'!AT40/1000</f>
        <v>0</v>
      </c>
      <c r="E44" s="267">
        <f>'P NP TAMBAK KAB'!BN40/1000</f>
        <v>0</v>
      </c>
      <c r="F44" s="267" t="e">
        <f>'P NP TAMBAK KAB'!#REF!/1000</f>
        <v>#REF!</v>
      </c>
      <c r="G44" s="267">
        <f>('P NP TAMBAK KAB'!AJ40+'P NP TAMBAK KAB'!AL40)/1000</f>
        <v>0</v>
      </c>
      <c r="H44" s="267">
        <f>'P NP TAMBAK KAB'!D40/1000</f>
        <v>0</v>
      </c>
      <c r="I44" s="267">
        <f>'P NP TAMBAK KAB'!BR40/1000</f>
        <v>0</v>
      </c>
      <c r="J44" s="267">
        <f>'P NP TAMBAK KAB'!N40/1000</f>
        <v>0</v>
      </c>
      <c r="K44" s="268" t="e">
        <f>(SUM('P NP TAMBAK KAB'!F40,'P NP TAMBAK KAB'!H40,'P NP TAMBAK KAB'!J40,'P NP TAMBAK KAB'!L40,'P NP TAMBAK KAB'!P40,'P NP TAMBAK KAB'!R40,'P NP TAMBAK KAB'!T40,'P NP TAMBAK KAB'!R40,'P NP TAMBAK KAB'!V40,'P NP TAMBAK KAB'!AB40,'P NP TAMBAK KAB'!AF40,'P NP TAMBAK KAB'!AF40,'P NP TAMBAK KAB'!AF40,'P NP TAMBAK KAB'!AH40,'P NP TAMBAK KAB'!AV40,'P NP TAMBAK KAB'!AX40,'P NP TAMBAK KAB'!AZ40,'P NP TAMBAK KAB'!BB40,'P NP TAMBAK KAB'!BD40,'P NP TAMBAK KAB'!BF40,'P NP TAMBAK KAB'!BL40,'P NP TAMBAK KAB'!BP40,'P NP TAMBAK KAB'!BT40,'P NP TAMBAK KAB'!BV40,'P NP TAMBAK KAB'!BX40,'P NP TAMBAK KAB'!#REF!,'P NP TAMBAK KAB'!#REF!,'P NP TAMBAK KAB'!#REF!,'P NP TAMBAK KAB'!#REF!,'P NP TAMBAK KAB'!#REF!,'P NP TAMBAK KAB'!#REF!,'P NP TAMBAK KAB'!#REF!,'P NP TAMBAK KAB'!#REF!))/1000</f>
        <v>#REF!</v>
      </c>
      <c r="L44" s="264" t="e">
        <f t="shared" si="3"/>
        <v>#REF!</v>
      </c>
      <c r="M44" s="267" t="e">
        <f>'P NP TAMBAK KAB'!#REF!/1000</f>
        <v>#REF!</v>
      </c>
      <c r="N44" s="267" t="e">
        <f>'P NP TAMBAK KAB'!#REF!/1000</f>
        <v>#REF!</v>
      </c>
      <c r="O44" s="267" t="e">
        <f>'P NP TAMBAK KAB'!#REF!/1000</f>
        <v>#REF!</v>
      </c>
      <c r="P44" s="267" t="e">
        <f>'P NP TAMBAK KAB'!#REF!/1000</f>
        <v>#REF!</v>
      </c>
      <c r="Q44" s="267" t="e">
        <f>'P NP TAMBAK KAB'!#REF!/1000</f>
        <v>#REF!</v>
      </c>
      <c r="R44" s="267" t="e">
        <f>(SUM('P NP TAMBAK KAB'!BH40,'P NP TAMBAK KAB'!BJ40,'P NP TAMBAK KAB'!#REF!,'P NP TAMBAK KAB'!#REF!,'P NP TAMBAK KAB'!#REF!,'P NP TAMBAK KAB'!#REF!))/1000</f>
        <v>#REF!</v>
      </c>
      <c r="S44" s="267">
        <f>'P NP TAMBAK KAB'!AN40/1000</f>
        <v>0</v>
      </c>
      <c r="T44" s="267" t="e">
        <f>'P NP TAMBAK KAB'!#REF!/1000</f>
        <v>#REF!</v>
      </c>
      <c r="U44" s="267" t="e">
        <f>(SUM('P NP TAMBAK KAB'!R40,'P NP TAMBAK KAB'!AP40,'P NP TAMBAK KAB'!AR40,'P NP TAMBAK KAB'!#REF!,'P NP TAMBAK KAB'!#REF!,'P NP TAMBAK KAB'!#REF!,'P NP TAMBAK KAB'!#REF!,'P NP TAMBAK KAB'!#REF!,'P NP TAMBAK KAB'!#REF!,'P NP TAMBAK KAB'!#REF!))/1000</f>
        <v>#REF!</v>
      </c>
      <c r="V44" s="268" t="e">
        <f>(SUM('P NP TAMBAK KAB'!X40,'P NP TAMBAK KAB'!Z40,'P NP TAMBAK KAB'!AD40,'P NP TAMBAK KAB'!#REF!,'P NP TAMBAK KAB'!#REF!))/1000</f>
        <v>#REF!</v>
      </c>
      <c r="X44" s="551">
        <f t="shared" si="4"/>
        <v>0</v>
      </c>
      <c r="Y44" s="267">
        <f>'P NP TW'!P41/1000</f>
        <v>0</v>
      </c>
      <c r="Z44" s="267">
        <f>'P NP TW'!R41/1000</f>
        <v>0</v>
      </c>
      <c r="AA44" s="267">
        <f>'P NP TW'!T41/1000</f>
        <v>0</v>
      </c>
      <c r="AB44" s="268">
        <f>'P NP TW'!V41/1000</f>
        <v>0</v>
      </c>
    </row>
    <row r="45" spans="1:28">
      <c r="A45" s="346" t="s">
        <v>145</v>
      </c>
      <c r="B45" s="267" t="e">
        <f t="shared" si="1"/>
        <v>#REF!</v>
      </c>
      <c r="C45" s="267" t="e">
        <f t="shared" si="2"/>
        <v>#REF!</v>
      </c>
      <c r="D45" s="267">
        <f>'P NP TAMBAK KAB'!AT41/1000</f>
        <v>0</v>
      </c>
      <c r="E45" s="267">
        <f>'P NP TAMBAK KAB'!BN41/1000</f>
        <v>0</v>
      </c>
      <c r="F45" s="267" t="e">
        <f>'P NP TAMBAK KAB'!#REF!/1000</f>
        <v>#REF!</v>
      </c>
      <c r="G45" s="267">
        <f>('P NP TAMBAK KAB'!AJ41+'P NP TAMBAK KAB'!AL41)/1000</f>
        <v>0</v>
      </c>
      <c r="H45" s="267">
        <f>'P NP TAMBAK KAB'!D41/1000</f>
        <v>1133.0899999999999</v>
      </c>
      <c r="I45" s="267">
        <f>'P NP TAMBAK KAB'!BR41/1000</f>
        <v>0</v>
      </c>
      <c r="J45" s="267">
        <f>'P NP TAMBAK KAB'!N41/1000</f>
        <v>1445.9</v>
      </c>
      <c r="K45" s="268" t="e">
        <f>(SUM('P NP TAMBAK KAB'!F41,'P NP TAMBAK KAB'!H41,'P NP TAMBAK KAB'!J41,'P NP TAMBAK KAB'!L41,'P NP TAMBAK KAB'!P41,'P NP TAMBAK KAB'!R41,'P NP TAMBAK KAB'!T41,'P NP TAMBAK KAB'!R41,'P NP TAMBAK KAB'!V41,'P NP TAMBAK KAB'!AB41,'P NP TAMBAK KAB'!AF41,'P NP TAMBAK KAB'!AF41,'P NP TAMBAK KAB'!AF41,'P NP TAMBAK KAB'!AH41,'P NP TAMBAK KAB'!AV41,'P NP TAMBAK KAB'!AX41,'P NP TAMBAK KAB'!AZ41,'P NP TAMBAK KAB'!BB41,'P NP TAMBAK KAB'!BD41,'P NP TAMBAK KAB'!BF41,'P NP TAMBAK KAB'!BL41,'P NP TAMBAK KAB'!BP41,'P NP TAMBAK KAB'!BT41,'P NP TAMBAK KAB'!BV41,'P NP TAMBAK KAB'!BX41,'P NP TAMBAK KAB'!#REF!,'P NP TAMBAK KAB'!#REF!,'P NP TAMBAK KAB'!#REF!,'P NP TAMBAK KAB'!#REF!,'P NP TAMBAK KAB'!#REF!,'P NP TAMBAK KAB'!#REF!,'P NP TAMBAK KAB'!#REF!,'P NP TAMBAK KAB'!#REF!))/1000</f>
        <v>#REF!</v>
      </c>
      <c r="L45" s="264" t="e">
        <f t="shared" si="3"/>
        <v>#REF!</v>
      </c>
      <c r="M45" s="267" t="e">
        <f>'P NP TAMBAK KAB'!#REF!/1000</f>
        <v>#REF!</v>
      </c>
      <c r="N45" s="267" t="e">
        <f>'P NP TAMBAK KAB'!#REF!/1000</f>
        <v>#REF!</v>
      </c>
      <c r="O45" s="267" t="e">
        <f>'P NP TAMBAK KAB'!#REF!/1000</f>
        <v>#REF!</v>
      </c>
      <c r="P45" s="267" t="e">
        <f>'P NP TAMBAK KAB'!#REF!/1000</f>
        <v>#REF!</v>
      </c>
      <c r="Q45" s="267" t="e">
        <f>'P NP TAMBAK KAB'!#REF!/1000</f>
        <v>#REF!</v>
      </c>
      <c r="R45" s="267" t="e">
        <f>(SUM('P NP TAMBAK KAB'!BH41,'P NP TAMBAK KAB'!BJ41,'P NP TAMBAK KAB'!#REF!,'P NP TAMBAK KAB'!#REF!,'P NP TAMBAK KAB'!#REF!,'P NP TAMBAK KAB'!#REF!))/1000</f>
        <v>#REF!</v>
      </c>
      <c r="S45" s="267">
        <f>'P NP TAMBAK KAB'!AN41/1000</f>
        <v>5.58</v>
      </c>
      <c r="T45" s="267" t="e">
        <f>'P NP TAMBAK KAB'!#REF!/1000</f>
        <v>#REF!</v>
      </c>
      <c r="U45" s="267" t="e">
        <f>(SUM('P NP TAMBAK KAB'!R41,'P NP TAMBAK KAB'!AP41,'P NP TAMBAK KAB'!AR41,'P NP TAMBAK KAB'!#REF!,'P NP TAMBAK KAB'!#REF!,'P NP TAMBAK KAB'!#REF!,'P NP TAMBAK KAB'!#REF!,'P NP TAMBAK KAB'!#REF!,'P NP TAMBAK KAB'!#REF!,'P NP TAMBAK KAB'!#REF!))/1000</f>
        <v>#REF!</v>
      </c>
      <c r="V45" s="268" t="e">
        <f>(SUM('P NP TAMBAK KAB'!X41,'P NP TAMBAK KAB'!Z41,'P NP TAMBAK KAB'!AD41,'P NP TAMBAK KAB'!#REF!,'P NP TAMBAK KAB'!#REF!))/1000</f>
        <v>#REF!</v>
      </c>
      <c r="X45" s="551">
        <f t="shared" si="4"/>
        <v>2627.0519999999997</v>
      </c>
      <c r="Y45" s="267">
        <f>'P NP TW'!P42/1000</f>
        <v>643.78300000000002</v>
      </c>
      <c r="Z45" s="267">
        <f>'P NP TW'!R42/1000</f>
        <v>648.31899999999996</v>
      </c>
      <c r="AA45" s="267">
        <f>'P NP TW'!T42/1000</f>
        <v>730.9</v>
      </c>
      <c r="AB45" s="268">
        <f>'P NP TW'!V42/1000</f>
        <v>604.04999999999995</v>
      </c>
    </row>
    <row r="46" spans="1:28">
      <c r="A46" s="346" t="s">
        <v>144</v>
      </c>
      <c r="B46" s="267" t="e">
        <f t="shared" si="1"/>
        <v>#REF!</v>
      </c>
      <c r="C46" s="267" t="e">
        <f t="shared" si="2"/>
        <v>#REF!</v>
      </c>
      <c r="D46" s="267">
        <f>'P NP TAMBAK KAB'!AT42/1000</f>
        <v>0</v>
      </c>
      <c r="E46" s="267">
        <f>'P NP TAMBAK KAB'!BN42/1000</f>
        <v>0</v>
      </c>
      <c r="F46" s="267" t="e">
        <f>'P NP TAMBAK KAB'!#REF!/1000</f>
        <v>#REF!</v>
      </c>
      <c r="G46" s="267">
        <f>('P NP TAMBAK KAB'!AJ42+'P NP TAMBAK KAB'!AL42)/1000</f>
        <v>0.56999999999999995</v>
      </c>
      <c r="H46" s="267">
        <f>'P NP TAMBAK KAB'!D42/1000</f>
        <v>60.320699999999995</v>
      </c>
      <c r="I46" s="267">
        <f>'P NP TAMBAK KAB'!BR42/1000</f>
        <v>0</v>
      </c>
      <c r="J46" s="267">
        <f>'P NP TAMBAK KAB'!N42/1000</f>
        <v>0</v>
      </c>
      <c r="K46" s="268" t="e">
        <f>(SUM('P NP TAMBAK KAB'!F42,'P NP TAMBAK KAB'!H42,'P NP TAMBAK KAB'!J42,'P NP TAMBAK KAB'!L42,'P NP TAMBAK KAB'!P42,'P NP TAMBAK KAB'!R42,'P NP TAMBAK KAB'!T42,'P NP TAMBAK KAB'!R42,'P NP TAMBAK KAB'!V42,'P NP TAMBAK KAB'!AB42,'P NP TAMBAK KAB'!AF42,'P NP TAMBAK KAB'!AF42,'P NP TAMBAK KAB'!AF42,'P NP TAMBAK KAB'!AH42,'P NP TAMBAK KAB'!AV42,'P NP TAMBAK KAB'!AX42,'P NP TAMBAK KAB'!AZ42,'P NP TAMBAK KAB'!BB42,'P NP TAMBAK KAB'!BD42,'P NP TAMBAK KAB'!BF42,'P NP TAMBAK KAB'!BL42,'P NP TAMBAK KAB'!BP42,'P NP TAMBAK KAB'!BT42,'P NP TAMBAK KAB'!BV42,'P NP TAMBAK KAB'!BX42,'P NP TAMBAK KAB'!#REF!,'P NP TAMBAK KAB'!#REF!,'P NP TAMBAK KAB'!#REF!,'P NP TAMBAK KAB'!#REF!,'P NP TAMBAK KAB'!#REF!,'P NP TAMBAK KAB'!#REF!,'P NP TAMBAK KAB'!#REF!,'P NP TAMBAK KAB'!#REF!))/1000</f>
        <v>#REF!</v>
      </c>
      <c r="L46" s="264" t="e">
        <f t="shared" si="3"/>
        <v>#REF!</v>
      </c>
      <c r="M46" s="267" t="e">
        <f>'P NP TAMBAK KAB'!#REF!/1000</f>
        <v>#REF!</v>
      </c>
      <c r="N46" s="267" t="e">
        <f>'P NP TAMBAK KAB'!#REF!/1000</f>
        <v>#REF!</v>
      </c>
      <c r="O46" s="267" t="e">
        <f>'P NP TAMBAK KAB'!#REF!/1000</f>
        <v>#REF!</v>
      </c>
      <c r="P46" s="267" t="e">
        <f>'P NP TAMBAK KAB'!#REF!/1000</f>
        <v>#REF!</v>
      </c>
      <c r="Q46" s="267" t="e">
        <f>'P NP TAMBAK KAB'!#REF!/1000</f>
        <v>#REF!</v>
      </c>
      <c r="R46" s="267" t="e">
        <f>(SUM('P NP TAMBAK KAB'!BH42,'P NP TAMBAK KAB'!BJ42,'P NP TAMBAK KAB'!#REF!,'P NP TAMBAK KAB'!#REF!,'P NP TAMBAK KAB'!#REF!,'P NP TAMBAK KAB'!#REF!))/1000</f>
        <v>#REF!</v>
      </c>
      <c r="S46" s="267">
        <f>'P NP TAMBAK KAB'!AN42/1000</f>
        <v>9.4194999999999993</v>
      </c>
      <c r="T46" s="267" t="e">
        <f>'P NP TAMBAK KAB'!#REF!/1000</f>
        <v>#REF!</v>
      </c>
      <c r="U46" s="267" t="e">
        <f>(SUM('P NP TAMBAK KAB'!R42,'P NP TAMBAK KAB'!AP42,'P NP TAMBAK KAB'!AR42,'P NP TAMBAK KAB'!#REF!,'P NP TAMBAK KAB'!#REF!,'P NP TAMBAK KAB'!#REF!,'P NP TAMBAK KAB'!#REF!,'P NP TAMBAK KAB'!#REF!,'P NP TAMBAK KAB'!#REF!,'P NP TAMBAK KAB'!#REF!))/1000</f>
        <v>#REF!</v>
      </c>
      <c r="V46" s="268" t="e">
        <f>(SUM('P NP TAMBAK KAB'!X42,'P NP TAMBAK KAB'!Z42,'P NP TAMBAK KAB'!AD42,'P NP TAMBAK KAB'!#REF!,'P NP TAMBAK KAB'!#REF!))/1000</f>
        <v>#REF!</v>
      </c>
      <c r="X46" s="551">
        <f t="shared" si="4"/>
        <v>229.97</v>
      </c>
      <c r="Y46" s="267">
        <f>'P NP TW'!P43/1000</f>
        <v>39.427999999999997</v>
      </c>
      <c r="Z46" s="267">
        <f>'P NP TW'!R43/1000</f>
        <v>38.152999999999999</v>
      </c>
      <c r="AA46" s="267">
        <f>'P NP TW'!T43/1000</f>
        <v>18.305</v>
      </c>
      <c r="AB46" s="268">
        <f>'P NP TW'!V43/1000</f>
        <v>134.084</v>
      </c>
    </row>
    <row r="47" spans="1:28" ht="14.5" thickBot="1">
      <c r="A47" s="347" t="s">
        <v>148</v>
      </c>
      <c r="B47" s="274" t="e">
        <f t="shared" si="1"/>
        <v>#REF!</v>
      </c>
      <c r="C47" s="328" t="e">
        <f t="shared" si="2"/>
        <v>#REF!</v>
      </c>
      <c r="D47" s="328">
        <f>'P NP TAMBAK KAB'!AT43/1000</f>
        <v>0</v>
      </c>
      <c r="E47" s="328">
        <f>'P NP TAMBAK KAB'!BN43/1000</f>
        <v>0</v>
      </c>
      <c r="F47" s="328" t="e">
        <f>'P NP TAMBAK KAB'!#REF!/1000</f>
        <v>#REF!</v>
      </c>
      <c r="G47" s="328">
        <f>('P NP TAMBAK KAB'!AJ43+'P NP TAMBAK KAB'!AL43)/1000</f>
        <v>0</v>
      </c>
      <c r="H47" s="328">
        <f>'P NP TAMBAK KAB'!D43/1000</f>
        <v>3599.6689999999999</v>
      </c>
      <c r="I47" s="328">
        <f>'P NP TAMBAK KAB'!BR43/1000</f>
        <v>0</v>
      </c>
      <c r="J47" s="328">
        <f>'P NP TAMBAK KAB'!N43/1000</f>
        <v>0</v>
      </c>
      <c r="K47" s="328" t="e">
        <f>(SUM('P NP TAMBAK KAB'!F43,'P NP TAMBAK KAB'!H43,'P NP TAMBAK KAB'!J43,'P NP TAMBAK KAB'!L43,'P NP TAMBAK KAB'!P43,'P NP TAMBAK KAB'!R43,'P NP TAMBAK KAB'!T43,'P NP TAMBAK KAB'!R43,'P NP TAMBAK KAB'!V43,'P NP TAMBAK KAB'!AB43,'P NP TAMBAK KAB'!AF43,'P NP TAMBAK KAB'!AF43,'P NP TAMBAK KAB'!AF43,'P NP TAMBAK KAB'!AH43,'P NP TAMBAK KAB'!AV43,'P NP TAMBAK KAB'!AX43,'P NP TAMBAK KAB'!AZ43,'P NP TAMBAK KAB'!BB43,'P NP TAMBAK KAB'!BD43,'P NP TAMBAK KAB'!BF43,'P NP TAMBAK KAB'!BL43,'P NP TAMBAK KAB'!BP43,'P NP TAMBAK KAB'!BT43,'P NP TAMBAK KAB'!BV43,'P NP TAMBAK KAB'!BX43,'P NP TAMBAK KAB'!#REF!,'P NP TAMBAK KAB'!#REF!,'P NP TAMBAK KAB'!#REF!,'P NP TAMBAK KAB'!#REF!,'P NP TAMBAK KAB'!#REF!,'P NP TAMBAK KAB'!#REF!,'P NP TAMBAK KAB'!#REF!,'P NP TAMBAK KAB'!#REF!))/1000</f>
        <v>#REF!</v>
      </c>
      <c r="L47" s="276" t="e">
        <f t="shared" si="3"/>
        <v>#REF!</v>
      </c>
      <c r="M47" s="328" t="e">
        <f>'P NP TAMBAK KAB'!#REF!/1000</f>
        <v>#REF!</v>
      </c>
      <c r="N47" s="328" t="e">
        <f>'P NP TAMBAK KAB'!#REF!/1000</f>
        <v>#REF!</v>
      </c>
      <c r="O47" s="328" t="e">
        <f>'P NP TAMBAK KAB'!#REF!/1000</f>
        <v>#REF!</v>
      </c>
      <c r="P47" s="328" t="e">
        <f>'P NP TAMBAK KAB'!#REF!/1000</f>
        <v>#REF!</v>
      </c>
      <c r="Q47" s="328" t="e">
        <f>'P NP TAMBAK KAB'!#REF!/1000</f>
        <v>#REF!</v>
      </c>
      <c r="R47" s="328" t="e">
        <f>(SUM('P NP TAMBAK KAB'!BH43,'P NP TAMBAK KAB'!BJ43,'P NP TAMBAK KAB'!#REF!,'P NP TAMBAK KAB'!#REF!,'P NP TAMBAK KAB'!#REF!,'P NP TAMBAK KAB'!#REF!))/1000</f>
        <v>#REF!</v>
      </c>
      <c r="S47" s="328">
        <f>'P NP TAMBAK KAB'!AN43/1000</f>
        <v>784.91499999999996</v>
      </c>
      <c r="T47" s="328" t="e">
        <f>'P NP TAMBAK KAB'!#REF!/1000</f>
        <v>#REF!</v>
      </c>
      <c r="U47" s="328" t="e">
        <f>(SUM('P NP TAMBAK KAB'!R43,'P NP TAMBAK KAB'!AP43,'P NP TAMBAK KAB'!AR43,'P NP TAMBAK KAB'!#REF!,'P NP TAMBAK KAB'!#REF!,'P NP TAMBAK KAB'!#REF!,'P NP TAMBAK KAB'!#REF!,'P NP TAMBAK KAB'!#REF!,'P NP TAMBAK KAB'!#REF!,'P NP TAMBAK KAB'!#REF!))/1000</f>
        <v>#REF!</v>
      </c>
      <c r="V47" s="329" t="e">
        <f>(SUM('P NP TAMBAK KAB'!X43,'P NP TAMBAK KAB'!Z43,'P NP TAMBAK KAB'!AD43,'P NP TAMBAK KAB'!#REF!,'P NP TAMBAK KAB'!#REF!))/1000</f>
        <v>#REF!</v>
      </c>
      <c r="X47" s="552">
        <f t="shared" si="4"/>
        <v>5228.433</v>
      </c>
      <c r="Y47" s="274">
        <f>'P NP TW'!P44/1000</f>
        <v>1610.5229999999999</v>
      </c>
      <c r="Z47" s="274">
        <f>'P NP TW'!R44/1000</f>
        <v>1208</v>
      </c>
      <c r="AA47" s="274">
        <f>'P NP TW'!T44/1000</f>
        <v>1181.32</v>
      </c>
      <c r="AB47" s="275">
        <f>'P NP TW'!V44/1000</f>
        <v>1228.5899999999999</v>
      </c>
    </row>
    <row r="48" spans="1:28" ht="18" customHeight="1">
      <c r="A48" s="931" t="s">
        <v>348</v>
      </c>
      <c r="B48" s="932"/>
      <c r="C48" s="932"/>
      <c r="D48" s="932"/>
      <c r="E48" s="932"/>
      <c r="F48" s="932"/>
      <c r="G48" s="932"/>
      <c r="H48" s="932"/>
      <c r="I48" s="932"/>
      <c r="J48" s="932"/>
      <c r="K48" s="932"/>
      <c r="L48" s="931" t="s">
        <v>349</v>
      </c>
      <c r="M48" s="931"/>
      <c r="N48" s="931"/>
      <c r="O48" s="931"/>
      <c r="P48" s="931"/>
      <c r="Q48" s="931"/>
      <c r="R48" s="931"/>
      <c r="S48" s="931"/>
      <c r="X48" s="933" t="s">
        <v>470</v>
      </c>
      <c r="Y48" s="934"/>
      <c r="Z48" s="934"/>
      <c r="AA48" s="934"/>
      <c r="AB48" s="527"/>
    </row>
    <row r="49" spans="1:28">
      <c r="B49" s="211" t="s">
        <v>350</v>
      </c>
      <c r="C49" s="212" t="s">
        <v>351</v>
      </c>
      <c r="J49" s="213"/>
      <c r="L49" s="212"/>
      <c r="S49" s="213"/>
      <c r="X49" s="525" t="s">
        <v>471</v>
      </c>
      <c r="Y49" s="526" t="s">
        <v>472</v>
      </c>
      <c r="Z49" s="527"/>
      <c r="AA49" s="527"/>
      <c r="AB49" s="528"/>
    </row>
    <row r="50" spans="1:28" ht="14.5">
      <c r="B50" s="214"/>
      <c r="C50" s="215" t="s">
        <v>352</v>
      </c>
      <c r="D50" s="216"/>
      <c r="E50" s="216"/>
      <c r="F50" s="216"/>
      <c r="G50" s="216"/>
      <c r="H50" s="216"/>
      <c r="I50" s="216"/>
      <c r="J50" s="216"/>
      <c r="K50" s="216"/>
      <c r="L50" s="214"/>
      <c r="M50" s="216"/>
      <c r="N50" s="216"/>
      <c r="O50" s="216"/>
      <c r="P50" s="216"/>
      <c r="Q50" s="216"/>
      <c r="R50" s="216"/>
      <c r="S50" s="216"/>
      <c r="T50" s="216"/>
      <c r="U50" s="216"/>
      <c r="V50" s="216"/>
      <c r="X50" s="529"/>
      <c r="Y50" s="530" t="s">
        <v>473</v>
      </c>
      <c r="Z50" s="531"/>
      <c r="AA50" s="527"/>
      <c r="AB50" s="531"/>
    </row>
    <row r="51" spans="1:28" ht="12" customHeight="1">
      <c r="J51" s="929" t="s">
        <v>309</v>
      </c>
      <c r="K51" s="929"/>
      <c r="S51" s="929" t="s">
        <v>309</v>
      </c>
      <c r="T51" s="929"/>
      <c r="U51" s="929"/>
      <c r="V51" s="929"/>
      <c r="X51" s="307"/>
      <c r="Y51" s="527"/>
      <c r="Z51" s="527"/>
      <c r="AA51" s="527"/>
      <c r="AB51" s="532" t="s">
        <v>309</v>
      </c>
    </row>
    <row r="52" spans="1:28" ht="15" thickBot="1">
      <c r="A52" s="348"/>
      <c r="B52" s="632">
        <v>401118773</v>
      </c>
      <c r="C52" s="349"/>
      <c r="D52" s="349"/>
      <c r="E52" s="349"/>
      <c r="F52" s="349"/>
      <c r="G52" s="349"/>
      <c r="H52" s="349"/>
      <c r="I52" s="349"/>
      <c r="J52" s="930" t="s">
        <v>310</v>
      </c>
      <c r="K52" s="930"/>
      <c r="T52" s="930" t="s">
        <v>310</v>
      </c>
      <c r="U52" s="930"/>
      <c r="V52" s="930"/>
      <c r="X52" s="527"/>
      <c r="Y52" s="527"/>
      <c r="Z52" s="527"/>
      <c r="AA52" s="527"/>
      <c r="AB52" s="533" t="s">
        <v>310</v>
      </c>
    </row>
    <row r="53" spans="1:28" ht="16" customHeight="1">
      <c r="A53" s="221"/>
      <c r="B53" s="335"/>
      <c r="C53" s="223"/>
      <c r="D53" s="223"/>
      <c r="E53" s="223"/>
      <c r="F53" s="228" t="s">
        <v>317</v>
      </c>
      <c r="G53" s="336" t="s">
        <v>318</v>
      </c>
      <c r="H53" s="223"/>
      <c r="I53" s="223"/>
      <c r="J53" s="223"/>
      <c r="K53" s="226"/>
      <c r="L53" s="227"/>
      <c r="M53" s="223"/>
      <c r="N53" s="337" t="s">
        <v>319</v>
      </c>
      <c r="O53" s="223"/>
      <c r="P53" s="223"/>
      <c r="Q53" s="338" t="s">
        <v>320</v>
      </c>
      <c r="R53" s="339"/>
      <c r="S53" s="223"/>
      <c r="T53" s="223"/>
      <c r="U53" s="340"/>
      <c r="V53" s="226"/>
      <c r="X53" s="553"/>
      <c r="Y53" s="535" t="s">
        <v>266</v>
      </c>
      <c r="Z53" s="536" t="s">
        <v>267</v>
      </c>
      <c r="AA53" s="534"/>
      <c r="AB53" s="537"/>
    </row>
    <row r="54" spans="1:28" ht="14.15" customHeight="1">
      <c r="A54" s="230" t="s">
        <v>103</v>
      </c>
      <c r="B54" s="341" t="s">
        <v>104</v>
      </c>
      <c r="C54" s="233" t="s">
        <v>321</v>
      </c>
      <c r="D54" s="233" t="s">
        <v>12</v>
      </c>
      <c r="E54" s="233" t="s">
        <v>15</v>
      </c>
      <c r="F54" s="233" t="s">
        <v>20</v>
      </c>
      <c r="G54" s="233" t="s">
        <v>322</v>
      </c>
      <c r="H54" s="233" t="s">
        <v>1</v>
      </c>
      <c r="I54" s="233" t="s">
        <v>16</v>
      </c>
      <c r="J54" s="233" t="s">
        <v>3</v>
      </c>
      <c r="K54" s="288" t="s">
        <v>274</v>
      </c>
      <c r="L54" s="237" t="s">
        <v>321</v>
      </c>
      <c r="M54" s="233" t="s">
        <v>323</v>
      </c>
      <c r="N54" s="233" t="s">
        <v>324</v>
      </c>
      <c r="O54" s="233" t="s">
        <v>325</v>
      </c>
      <c r="P54" s="233" t="s">
        <v>326</v>
      </c>
      <c r="Q54" s="233" t="s">
        <v>327</v>
      </c>
      <c r="R54" s="233" t="s">
        <v>328</v>
      </c>
      <c r="S54" s="234" t="s">
        <v>329</v>
      </c>
      <c r="T54" s="235" t="s">
        <v>18</v>
      </c>
      <c r="U54" s="235" t="s">
        <v>274</v>
      </c>
      <c r="V54" s="342" t="s">
        <v>330</v>
      </c>
      <c r="X54" s="554" t="s">
        <v>104</v>
      </c>
      <c r="Y54" s="538" t="s">
        <v>275</v>
      </c>
      <c r="Z54" s="538" t="s">
        <v>276</v>
      </c>
      <c r="AA54" s="538" t="s">
        <v>277</v>
      </c>
      <c r="AB54" s="539" t="s">
        <v>278</v>
      </c>
    </row>
    <row r="55" spans="1:28">
      <c r="A55" s="239" t="s">
        <v>105</v>
      </c>
      <c r="B55" s="245" t="s">
        <v>106</v>
      </c>
      <c r="C55" s="241" t="s">
        <v>331</v>
      </c>
      <c r="D55" s="241" t="s">
        <v>332</v>
      </c>
      <c r="E55" s="241" t="s">
        <v>333</v>
      </c>
      <c r="F55" s="241" t="s">
        <v>283</v>
      </c>
      <c r="G55" s="241" t="s">
        <v>334</v>
      </c>
      <c r="H55" s="241" t="s">
        <v>285</v>
      </c>
      <c r="I55" s="241" t="s">
        <v>280</v>
      </c>
      <c r="J55" s="241" t="s">
        <v>335</v>
      </c>
      <c r="K55" s="292" t="s">
        <v>289</v>
      </c>
      <c r="L55" s="244" t="s">
        <v>336</v>
      </c>
      <c r="M55" s="241" t="s">
        <v>337</v>
      </c>
      <c r="N55" s="241" t="s">
        <v>338</v>
      </c>
      <c r="O55" s="241" t="s">
        <v>339</v>
      </c>
      <c r="P55" s="241" t="s">
        <v>340</v>
      </c>
      <c r="Q55" s="241" t="s">
        <v>341</v>
      </c>
      <c r="R55" s="241" t="s">
        <v>342</v>
      </c>
      <c r="S55" s="245" t="s">
        <v>343</v>
      </c>
      <c r="T55" s="241" t="s">
        <v>344</v>
      </c>
      <c r="U55" s="241" t="s">
        <v>345</v>
      </c>
      <c r="V55" s="243" t="s">
        <v>346</v>
      </c>
      <c r="W55" s="293"/>
      <c r="X55" s="555" t="s">
        <v>106</v>
      </c>
      <c r="Y55" s="540" t="s">
        <v>293</v>
      </c>
      <c r="Z55" s="540" t="s">
        <v>294</v>
      </c>
      <c r="AA55" s="540" t="s">
        <v>295</v>
      </c>
      <c r="AB55" s="541" t="s">
        <v>296</v>
      </c>
    </row>
    <row r="56" spans="1:28">
      <c r="A56" s="246"/>
      <c r="B56" s="250"/>
      <c r="C56" s="249"/>
      <c r="D56" s="249"/>
      <c r="E56" s="248" t="s">
        <v>297</v>
      </c>
      <c r="F56" s="249"/>
      <c r="G56" s="249"/>
      <c r="H56" s="248"/>
      <c r="I56" s="249"/>
      <c r="J56" s="249"/>
      <c r="K56" s="297"/>
      <c r="L56" s="254"/>
      <c r="M56" s="249"/>
      <c r="N56" s="249"/>
      <c r="O56" s="249"/>
      <c r="P56" s="249"/>
      <c r="Q56" s="249"/>
      <c r="R56" s="249"/>
      <c r="S56" s="249"/>
      <c r="T56" s="250"/>
      <c r="U56" s="343" t="s">
        <v>347</v>
      </c>
      <c r="V56" s="253"/>
      <c r="W56" s="293"/>
      <c r="X56" s="556"/>
      <c r="Y56" s="542"/>
      <c r="Z56" s="542"/>
      <c r="AA56" s="542"/>
      <c r="AB56" s="543"/>
    </row>
    <row r="57" spans="1:28">
      <c r="A57" s="255" t="s">
        <v>111</v>
      </c>
      <c r="B57" s="300" t="e">
        <f>SUM(B58:B95)</f>
        <v>#REF!</v>
      </c>
      <c r="C57" s="300" t="e">
        <f>SUM(C58:C95)</f>
        <v>#REF!</v>
      </c>
      <c r="D57" s="300">
        <f>SUM(D58:D95)</f>
        <v>0</v>
      </c>
      <c r="E57" s="300">
        <f t="shared" ref="E57:K57" si="5">SUM(E58:E95)</f>
        <v>0</v>
      </c>
      <c r="F57" s="300" t="e">
        <f t="shared" si="5"/>
        <v>#REF!</v>
      </c>
      <c r="G57" s="300">
        <f t="shared" si="5"/>
        <v>125582008.64999387</v>
      </c>
      <c r="H57" s="300">
        <f t="shared" si="5"/>
        <v>2418077722.0250087</v>
      </c>
      <c r="I57" s="300">
        <f>SUM(I58:I95)</f>
        <v>0</v>
      </c>
      <c r="J57" s="300">
        <f t="shared" si="5"/>
        <v>51803979.592139453</v>
      </c>
      <c r="K57" s="301" t="e">
        <f t="shared" si="5"/>
        <v>#REF!</v>
      </c>
      <c r="L57" s="302" t="e">
        <f>SUM(L58:L95)</f>
        <v>#REF!</v>
      </c>
      <c r="M57" s="300" t="e">
        <f t="shared" ref="M57:V57" si="6">SUM(M58:M95)</f>
        <v>#REF!</v>
      </c>
      <c r="N57" s="300" t="e">
        <f t="shared" si="6"/>
        <v>#REF!</v>
      </c>
      <c r="O57" s="300" t="e">
        <f t="shared" si="6"/>
        <v>#REF!</v>
      </c>
      <c r="P57" s="300" t="e">
        <f t="shared" si="6"/>
        <v>#REF!</v>
      </c>
      <c r="Q57" s="300" t="e">
        <f t="shared" si="6"/>
        <v>#REF!</v>
      </c>
      <c r="R57" s="300" t="e">
        <f t="shared" si="6"/>
        <v>#REF!</v>
      </c>
      <c r="S57" s="300">
        <f t="shared" si="6"/>
        <v>363974007.48519802</v>
      </c>
      <c r="T57" s="300" t="e">
        <f t="shared" si="6"/>
        <v>#REF!</v>
      </c>
      <c r="U57" s="300" t="e">
        <f t="shared" si="6"/>
        <v>#REF!</v>
      </c>
      <c r="V57" s="301" t="e">
        <f t="shared" si="6"/>
        <v>#REF!</v>
      </c>
      <c r="X57" s="299">
        <f>SUM(Y57:AB57)</f>
        <v>6709305463.6280003</v>
      </c>
      <c r="Y57" s="300">
        <f>SUM(Y58:Y95)</f>
        <v>1770940280.3</v>
      </c>
      <c r="Z57" s="300">
        <f>SUM(Z58:Z95)</f>
        <v>1447957269.26</v>
      </c>
      <c r="AA57" s="300">
        <f>SUM(AA58:AA95)</f>
        <v>1715745238.0650001</v>
      </c>
      <c r="AB57" s="301">
        <f>SUM(AB58:AB95)</f>
        <v>1774662676.003</v>
      </c>
    </row>
    <row r="58" spans="1:28">
      <c r="A58" s="346" t="s">
        <v>137</v>
      </c>
      <c r="B58" s="350" t="e">
        <f t="shared" ref="B58:B95" si="7">C58+L58+V58</f>
        <v>#REF!</v>
      </c>
      <c r="C58" s="350" t="e">
        <f t="shared" ref="C58:C95" si="8">SUM(D58:K58)</f>
        <v>#REF!</v>
      </c>
      <c r="D58" s="350">
        <f>'P NP TAMBAK KAB'!AU6</f>
        <v>0</v>
      </c>
      <c r="E58" s="350">
        <f>'P NP TAMBAK KAB'!BO6</f>
        <v>0</v>
      </c>
      <c r="F58" s="350" t="e">
        <f>'P NP TAMBAK KAB'!#REF!</f>
        <v>#REF!</v>
      </c>
      <c r="G58" s="350">
        <f>'P NP TAMBAK KAB'!AK6+'P NP TAMBAK KAB'!AM6</f>
        <v>33232500</v>
      </c>
      <c r="H58" s="350">
        <f>'P NP TAMBAK KAB'!E6</f>
        <v>132359200</v>
      </c>
      <c r="I58" s="350">
        <f>'P NP TAMBAK KAB'!BS6</f>
        <v>0</v>
      </c>
      <c r="J58" s="350">
        <f>'P NP TAMBAK KAB'!O6</f>
        <v>0</v>
      </c>
      <c r="K58" s="351" t="e">
        <f>SUM('P NP TAMBAK KAB'!G6,'P NP TAMBAK KAB'!I6,'P NP TAMBAK KAB'!K6,'P NP TAMBAK KAB'!M6,'P NP TAMBAK KAB'!Q6,'P NP TAMBAK KAB'!U6,'P NP TAMBAK KAB'!W6,'P NP TAMBAK KAB'!AC6,'P NP TAMBAK KAB'!AG6,'P NP TAMBAK KAB'!AI6,'P NP TAMBAK KAB'!AW6,'P NP TAMBAK KAB'!AY6,'P NP TAMBAK KAB'!BA6,'P NP TAMBAK KAB'!BC6,'P NP TAMBAK KAB'!BE6,'P NP TAMBAK KAB'!BG6,'P NP TAMBAK KAB'!BM6,'P NP TAMBAK KAB'!BQ6,'P NP TAMBAK KAB'!BU6,'P NP TAMBAK KAB'!BW6,'P NP TAMBAK KAB'!BY6,'P NP TAMBAK KAB'!#REF!,'P NP TAMBAK KAB'!#REF!,'P NP TAMBAK KAB'!#REF!,'P NP TAMBAK KAB'!#REF!,'P NP TAMBAK KAB'!#REF!,'P NP TAMBAK KAB'!#REF!,'P NP TAMBAK KAB'!#REF!)</f>
        <v>#REF!</v>
      </c>
      <c r="L58" s="352" t="e">
        <f t="shared" ref="L58:L77" si="9">SUM(M58:U58)</f>
        <v>#REF!</v>
      </c>
      <c r="M58" s="350" t="e">
        <f>'P NP TAMBAK KAB'!#REF!</f>
        <v>#REF!</v>
      </c>
      <c r="N58" s="350" t="e">
        <f>'P NP TAMBAK KAB'!#REF!</f>
        <v>#REF!</v>
      </c>
      <c r="O58" s="350" t="e">
        <f>'P NP TAMBAK KAB'!#REF!</f>
        <v>#REF!</v>
      </c>
      <c r="P58" s="350" t="e">
        <f>'P NP TAMBAK KAB'!#REF!</f>
        <v>#REF!</v>
      </c>
      <c r="Q58" s="350" t="e">
        <f>'P NP TAMBAK KAB'!#REF!</f>
        <v>#REF!</v>
      </c>
      <c r="R58" s="350" t="e">
        <f>SUM('P NP TAMBAK KAB'!BI6,'P NP TAMBAK KAB'!BK6,'P NP TAMBAK KAB'!#REF!,'P NP TAMBAK KAB'!#REF!,'P NP TAMBAK KAB'!#REF!,'P NP TAMBAK KAB'!#REF!)</f>
        <v>#REF!</v>
      </c>
      <c r="S58" s="350">
        <f>'P NP TAMBAK KAB'!AO6</f>
        <v>0</v>
      </c>
      <c r="T58" s="350" t="e">
        <f>'P NP TAMBAK KAB'!#REF!</f>
        <v>#REF!</v>
      </c>
      <c r="U58" s="350" t="e">
        <f>SUM('P NP TAMBAK KAB'!S6,'P NP TAMBAK KAB'!AQ6,'P NP TAMBAK KAB'!AS6,'P NP TAMBAK KAB'!#REF!,'P NP TAMBAK KAB'!#REF!,'P NP TAMBAK KAB'!#REF!,'P NP TAMBAK KAB'!#REF!,'P NP TAMBAK KAB'!#REF!,'P NP TAMBAK KAB'!#REF!,'P NP TAMBAK KAB'!#REF!)</f>
        <v>#REF!</v>
      </c>
      <c r="V58" s="351" t="e">
        <f>SUM('P NP TAMBAK KAB'!Y6,'P NP TAMBAK KAB'!AA6,'P NP TAMBAK KAB'!AE6,'P NP TAMBAK KAB'!#REF!,'P NP TAMBAK KAB'!#REF!)</f>
        <v>#REF!</v>
      </c>
      <c r="W58" s="307"/>
      <c r="X58" s="557">
        <f>SUM(Y58:AB58)</f>
        <v>23653933</v>
      </c>
      <c r="Y58" s="350">
        <v>6504000</v>
      </c>
      <c r="Z58" s="350">
        <v>5871623</v>
      </c>
      <c r="AA58" s="350">
        <v>5679510</v>
      </c>
      <c r="AB58" s="351">
        <v>5598800</v>
      </c>
    </row>
    <row r="59" spans="1:28">
      <c r="A59" s="346" t="s">
        <v>121</v>
      </c>
      <c r="B59" s="350" t="e">
        <f t="shared" si="7"/>
        <v>#REF!</v>
      </c>
      <c r="C59" s="350" t="e">
        <f t="shared" si="8"/>
        <v>#REF!</v>
      </c>
      <c r="D59" s="350">
        <f>'P NP TAMBAK KAB'!AU7</f>
        <v>0</v>
      </c>
      <c r="E59" s="350">
        <f>'P NP TAMBAK KAB'!BO7</f>
        <v>0</v>
      </c>
      <c r="F59" s="350" t="e">
        <f>'P NP TAMBAK KAB'!#REF!</f>
        <v>#REF!</v>
      </c>
      <c r="G59" s="350">
        <f>'P NP TAMBAK KAB'!AK7+'P NP TAMBAK KAB'!AM7</f>
        <v>1312425</v>
      </c>
      <c r="H59" s="350">
        <f>'P NP TAMBAK KAB'!E7</f>
        <v>833500</v>
      </c>
      <c r="I59" s="350">
        <f>'P NP TAMBAK KAB'!BS7</f>
        <v>0</v>
      </c>
      <c r="J59" s="350">
        <f>'P NP TAMBAK KAB'!O7</f>
        <v>0</v>
      </c>
      <c r="K59" s="351" t="e">
        <f>SUM('P NP TAMBAK KAB'!G7,'P NP TAMBAK KAB'!I7,'P NP TAMBAK KAB'!K7,'P NP TAMBAK KAB'!M7,'P NP TAMBAK KAB'!Q7,'P NP TAMBAK KAB'!U7,'P NP TAMBAK KAB'!W7,'P NP TAMBAK KAB'!AC7,'P NP TAMBAK KAB'!AG7,'P NP TAMBAK KAB'!AI7,'P NP TAMBAK KAB'!AW7,'P NP TAMBAK KAB'!AY7,'P NP TAMBAK KAB'!BA7,'P NP TAMBAK KAB'!BC7,'P NP TAMBAK KAB'!BE7,'P NP TAMBAK KAB'!BG7,'P NP TAMBAK KAB'!BM7,'P NP TAMBAK KAB'!BQ7,'P NP TAMBAK KAB'!BU7,'P NP TAMBAK KAB'!BW7,'P NP TAMBAK KAB'!BY7,'P NP TAMBAK KAB'!#REF!,'P NP TAMBAK KAB'!#REF!,'P NP TAMBAK KAB'!#REF!,'P NP TAMBAK KAB'!#REF!,'P NP TAMBAK KAB'!#REF!,'P NP TAMBAK KAB'!#REF!,'P NP TAMBAK KAB'!#REF!)</f>
        <v>#REF!</v>
      </c>
      <c r="L59" s="352" t="e">
        <f t="shared" si="9"/>
        <v>#REF!</v>
      </c>
      <c r="M59" s="350" t="e">
        <f>'P NP TAMBAK KAB'!#REF!</f>
        <v>#REF!</v>
      </c>
      <c r="N59" s="350" t="e">
        <f>'P NP TAMBAK KAB'!#REF!</f>
        <v>#REF!</v>
      </c>
      <c r="O59" s="350" t="e">
        <f>'P NP TAMBAK KAB'!#REF!</f>
        <v>#REF!</v>
      </c>
      <c r="P59" s="350" t="e">
        <f>'P NP TAMBAK KAB'!#REF!</f>
        <v>#REF!</v>
      </c>
      <c r="Q59" s="350" t="e">
        <f>'P NP TAMBAK KAB'!#REF!</f>
        <v>#REF!</v>
      </c>
      <c r="R59" s="350" t="e">
        <f>SUM('P NP TAMBAK KAB'!BI7,'P NP TAMBAK KAB'!BK7,'P NP TAMBAK KAB'!#REF!,'P NP TAMBAK KAB'!#REF!,'P NP TAMBAK KAB'!#REF!,'P NP TAMBAK KAB'!#REF!)</f>
        <v>#REF!</v>
      </c>
      <c r="S59" s="350">
        <f>'P NP TAMBAK KAB'!AO7</f>
        <v>2372100</v>
      </c>
      <c r="T59" s="350" t="e">
        <f>'P NP TAMBAK KAB'!#REF!</f>
        <v>#REF!</v>
      </c>
      <c r="U59" s="350" t="e">
        <f>SUM('P NP TAMBAK KAB'!S7,'P NP TAMBAK KAB'!AQ7,'P NP TAMBAK KAB'!AS7,'P NP TAMBAK KAB'!#REF!,'P NP TAMBAK KAB'!#REF!,'P NP TAMBAK KAB'!#REF!,'P NP TAMBAK KAB'!#REF!,'P NP TAMBAK KAB'!#REF!,'P NP TAMBAK KAB'!#REF!,'P NP TAMBAK KAB'!#REF!)</f>
        <v>#REF!</v>
      </c>
      <c r="V59" s="351" t="e">
        <f>SUM('P NP TAMBAK KAB'!Y7,'P NP TAMBAK KAB'!AA7,'P NP TAMBAK KAB'!AE7,'P NP TAMBAK KAB'!#REF!,'P NP TAMBAK KAB'!#REF!)</f>
        <v>#REF!</v>
      </c>
      <c r="W59" s="306"/>
      <c r="X59" s="557">
        <f>SUM(Y59:AB59)</f>
        <v>0</v>
      </c>
      <c r="Y59" s="350">
        <v>0</v>
      </c>
      <c r="Z59" s="350">
        <v>0</v>
      </c>
      <c r="AA59" s="350">
        <v>0</v>
      </c>
      <c r="AB59" s="351">
        <v>0</v>
      </c>
    </row>
    <row r="60" spans="1:28">
      <c r="A60" s="346" t="s">
        <v>116</v>
      </c>
      <c r="B60" s="350" t="e">
        <f t="shared" si="7"/>
        <v>#REF!</v>
      </c>
      <c r="C60" s="350" t="e">
        <f t="shared" si="8"/>
        <v>#REF!</v>
      </c>
      <c r="D60" s="350">
        <f>'P NP TAMBAK KAB'!AU8</f>
        <v>0</v>
      </c>
      <c r="E60" s="350">
        <f>'P NP TAMBAK KAB'!BO8</f>
        <v>0</v>
      </c>
      <c r="F60" s="350" t="e">
        <f>'P NP TAMBAK KAB'!#REF!</f>
        <v>#REF!</v>
      </c>
      <c r="G60" s="350">
        <f>'P NP TAMBAK KAB'!AK8+'P NP TAMBAK KAB'!AM8</f>
        <v>0</v>
      </c>
      <c r="H60" s="350">
        <f>'P NP TAMBAK KAB'!E8</f>
        <v>0</v>
      </c>
      <c r="I60" s="350">
        <f>'P NP TAMBAK KAB'!BS8</f>
        <v>0</v>
      </c>
      <c r="J60" s="350">
        <f>'P NP TAMBAK KAB'!O8</f>
        <v>0</v>
      </c>
      <c r="K60" s="351" t="e">
        <f>SUM('P NP TAMBAK KAB'!G8,'P NP TAMBAK KAB'!I8,'P NP TAMBAK KAB'!K8,'P NP TAMBAK KAB'!M8,'P NP TAMBAK KAB'!Q8,'P NP TAMBAK KAB'!U8,'P NP TAMBAK KAB'!W8,'P NP TAMBAK KAB'!AC8,'P NP TAMBAK KAB'!AG8,'P NP TAMBAK KAB'!AI8,'P NP TAMBAK KAB'!AW8,'P NP TAMBAK KAB'!AY8,'P NP TAMBAK KAB'!BA8,'P NP TAMBAK KAB'!BC8,'P NP TAMBAK KAB'!BE8,'P NP TAMBAK KAB'!BG8,'P NP TAMBAK KAB'!BM8,'P NP TAMBAK KAB'!BQ8,'P NP TAMBAK KAB'!BU8,'P NP TAMBAK KAB'!BW8,'P NP TAMBAK KAB'!BY8,'P NP TAMBAK KAB'!#REF!,'P NP TAMBAK KAB'!#REF!,'P NP TAMBAK KAB'!#REF!,'P NP TAMBAK KAB'!#REF!,'P NP TAMBAK KAB'!#REF!,'P NP TAMBAK KAB'!#REF!,'P NP TAMBAK KAB'!#REF!)</f>
        <v>#REF!</v>
      </c>
      <c r="L60" s="352" t="e">
        <f t="shared" si="9"/>
        <v>#REF!</v>
      </c>
      <c r="M60" s="350" t="e">
        <f>'P NP TAMBAK KAB'!#REF!</f>
        <v>#REF!</v>
      </c>
      <c r="N60" s="350" t="e">
        <f>'P NP TAMBAK KAB'!#REF!</f>
        <v>#REF!</v>
      </c>
      <c r="O60" s="350" t="e">
        <f>'P NP TAMBAK KAB'!#REF!</f>
        <v>#REF!</v>
      </c>
      <c r="P60" s="350" t="e">
        <f>'P NP TAMBAK KAB'!#REF!</f>
        <v>#REF!</v>
      </c>
      <c r="Q60" s="350" t="e">
        <f>'P NP TAMBAK KAB'!#REF!</f>
        <v>#REF!</v>
      </c>
      <c r="R60" s="350" t="e">
        <f>SUM('P NP TAMBAK KAB'!BI8,'P NP TAMBAK KAB'!BK8,'P NP TAMBAK KAB'!#REF!,'P NP TAMBAK KAB'!#REF!,'P NP TAMBAK KAB'!#REF!,'P NP TAMBAK KAB'!#REF!)</f>
        <v>#REF!</v>
      </c>
      <c r="S60" s="350">
        <f>'P NP TAMBAK KAB'!AO8</f>
        <v>0</v>
      </c>
      <c r="T60" s="350" t="e">
        <f>'P NP TAMBAK KAB'!#REF!</f>
        <v>#REF!</v>
      </c>
      <c r="U60" s="350" t="e">
        <f>SUM('P NP TAMBAK KAB'!S8,'P NP TAMBAK KAB'!AQ8,'P NP TAMBAK KAB'!AS8,'P NP TAMBAK KAB'!#REF!,'P NP TAMBAK KAB'!#REF!,'P NP TAMBAK KAB'!#REF!,'P NP TAMBAK KAB'!#REF!,'P NP TAMBAK KAB'!#REF!,'P NP TAMBAK KAB'!#REF!,'P NP TAMBAK KAB'!#REF!)</f>
        <v>#REF!</v>
      </c>
      <c r="V60" s="351" t="e">
        <f>SUM('P NP TAMBAK KAB'!Y8,'P NP TAMBAK KAB'!AA8,'P NP TAMBAK KAB'!AE8,'P NP TAMBAK KAB'!#REF!,'P NP TAMBAK KAB'!#REF!)</f>
        <v>#REF!</v>
      </c>
      <c r="W60" s="306"/>
      <c r="X60" s="557">
        <f t="shared" ref="X60:X95" si="10">SUM(Y60:AB60)</f>
        <v>0</v>
      </c>
      <c r="Y60" s="350">
        <v>0</v>
      </c>
      <c r="Z60" s="350">
        <v>0</v>
      </c>
      <c r="AA60" s="350">
        <v>0</v>
      </c>
      <c r="AB60" s="351">
        <v>0</v>
      </c>
    </row>
    <row r="61" spans="1:28">
      <c r="A61" s="346" t="s">
        <v>133</v>
      </c>
      <c r="B61" s="350" t="e">
        <f t="shared" si="7"/>
        <v>#REF!</v>
      </c>
      <c r="C61" s="350" t="e">
        <f t="shared" si="8"/>
        <v>#REF!</v>
      </c>
      <c r="D61" s="350">
        <f>'P NP TAMBAK KAB'!AU9</f>
        <v>0</v>
      </c>
      <c r="E61" s="350">
        <f>'P NP TAMBAK KAB'!BO9</f>
        <v>0</v>
      </c>
      <c r="F61" s="350" t="e">
        <f>'P NP TAMBAK KAB'!#REF!</f>
        <v>#REF!</v>
      </c>
      <c r="G61" s="350">
        <f>'P NP TAMBAK KAB'!AK9+'P NP TAMBAK KAB'!AM9</f>
        <v>0</v>
      </c>
      <c r="H61" s="350">
        <f>'P NP TAMBAK KAB'!E9</f>
        <v>0</v>
      </c>
      <c r="I61" s="350">
        <f>'P NP TAMBAK KAB'!BS9</f>
        <v>0</v>
      </c>
      <c r="J61" s="350">
        <f>'P NP TAMBAK KAB'!O9</f>
        <v>0</v>
      </c>
      <c r="K61" s="351" t="e">
        <f>SUM('P NP TAMBAK KAB'!G9,'P NP TAMBAK KAB'!I9,'P NP TAMBAK KAB'!K9,'P NP TAMBAK KAB'!M9,'P NP TAMBAK KAB'!Q9,'P NP TAMBAK KAB'!U9,'P NP TAMBAK KAB'!W9,'P NP TAMBAK KAB'!AC9,'P NP TAMBAK KAB'!AG9,'P NP TAMBAK KAB'!AI9,'P NP TAMBAK KAB'!AW9,'P NP TAMBAK KAB'!AY9,'P NP TAMBAK KAB'!BA9,'P NP TAMBAK KAB'!BC9,'P NP TAMBAK KAB'!BE9,'P NP TAMBAK KAB'!BG9,'P NP TAMBAK KAB'!BM9,'P NP TAMBAK KAB'!BQ9,'P NP TAMBAK KAB'!BU9,'P NP TAMBAK KAB'!BW9,'P NP TAMBAK KAB'!BY9,'P NP TAMBAK KAB'!#REF!,'P NP TAMBAK KAB'!#REF!,'P NP TAMBAK KAB'!#REF!,'P NP TAMBAK KAB'!#REF!,'P NP TAMBAK KAB'!#REF!,'P NP TAMBAK KAB'!#REF!,'P NP TAMBAK KAB'!#REF!)</f>
        <v>#REF!</v>
      </c>
      <c r="L61" s="352" t="e">
        <f t="shared" si="9"/>
        <v>#REF!</v>
      </c>
      <c r="M61" s="350" t="e">
        <f>'P NP TAMBAK KAB'!#REF!</f>
        <v>#REF!</v>
      </c>
      <c r="N61" s="350" t="e">
        <f>'P NP TAMBAK KAB'!#REF!</f>
        <v>#REF!</v>
      </c>
      <c r="O61" s="350" t="e">
        <f>'P NP TAMBAK KAB'!#REF!</f>
        <v>#REF!</v>
      </c>
      <c r="P61" s="350" t="e">
        <f>'P NP TAMBAK KAB'!#REF!</f>
        <v>#REF!</v>
      </c>
      <c r="Q61" s="350" t="e">
        <f>'P NP TAMBAK KAB'!#REF!</f>
        <v>#REF!</v>
      </c>
      <c r="R61" s="350" t="e">
        <f>SUM('P NP TAMBAK KAB'!BI9,'P NP TAMBAK KAB'!BK9,'P NP TAMBAK KAB'!#REF!,'P NP TAMBAK KAB'!#REF!,'P NP TAMBAK KAB'!#REF!,'P NP TAMBAK KAB'!#REF!)</f>
        <v>#REF!</v>
      </c>
      <c r="S61" s="350">
        <f>'P NP TAMBAK KAB'!AO9</f>
        <v>0</v>
      </c>
      <c r="T61" s="350" t="e">
        <f>'P NP TAMBAK KAB'!#REF!</f>
        <v>#REF!</v>
      </c>
      <c r="U61" s="350" t="e">
        <f>SUM('P NP TAMBAK KAB'!S9,'P NP TAMBAK KAB'!AQ9,'P NP TAMBAK KAB'!AS9,'P NP TAMBAK KAB'!#REF!,'P NP TAMBAK KAB'!#REF!,'P NP TAMBAK KAB'!#REF!,'P NP TAMBAK KAB'!#REF!,'P NP TAMBAK KAB'!#REF!,'P NP TAMBAK KAB'!#REF!,'P NP TAMBAK KAB'!#REF!)</f>
        <v>#REF!</v>
      </c>
      <c r="V61" s="351" t="e">
        <f>SUM('P NP TAMBAK KAB'!Y9,'P NP TAMBAK KAB'!AA9,'P NP TAMBAK KAB'!AE9,'P NP TAMBAK KAB'!#REF!,'P NP TAMBAK KAB'!#REF!)</f>
        <v>#REF!</v>
      </c>
      <c r="W61" s="306"/>
      <c r="X61" s="557">
        <f t="shared" si="10"/>
        <v>10487400</v>
      </c>
      <c r="Y61" s="350">
        <v>0</v>
      </c>
      <c r="Z61" s="350">
        <v>0</v>
      </c>
      <c r="AA61" s="350">
        <v>0</v>
      </c>
      <c r="AB61" s="351">
        <v>10487400</v>
      </c>
    </row>
    <row r="62" spans="1:28">
      <c r="A62" s="346" t="s">
        <v>122</v>
      </c>
      <c r="B62" s="350" t="e">
        <f t="shared" si="7"/>
        <v>#REF!</v>
      </c>
      <c r="C62" s="350" t="e">
        <f t="shared" si="8"/>
        <v>#REF!</v>
      </c>
      <c r="D62" s="350">
        <f>'P NP TAMBAK KAB'!AU10</f>
        <v>0</v>
      </c>
      <c r="E62" s="350">
        <f>'P NP TAMBAK KAB'!BO10</f>
        <v>0</v>
      </c>
      <c r="F62" s="350" t="e">
        <f>'P NP TAMBAK KAB'!#REF!</f>
        <v>#REF!</v>
      </c>
      <c r="G62" s="350">
        <f>'P NP TAMBAK KAB'!AK10+'P NP TAMBAK KAB'!AM10</f>
        <v>0</v>
      </c>
      <c r="H62" s="350">
        <f>'P NP TAMBAK KAB'!E10</f>
        <v>0</v>
      </c>
      <c r="I62" s="350">
        <f>'P NP TAMBAK KAB'!BS10</f>
        <v>0</v>
      </c>
      <c r="J62" s="350">
        <f>'P NP TAMBAK KAB'!O10</f>
        <v>0</v>
      </c>
      <c r="K62" s="351" t="e">
        <f>SUM('P NP TAMBAK KAB'!G10,'P NP TAMBAK KAB'!I10,'P NP TAMBAK KAB'!K10,'P NP TAMBAK KAB'!M10,'P NP TAMBAK KAB'!Q10,'P NP TAMBAK KAB'!U10,'P NP TAMBAK KAB'!W10,'P NP TAMBAK KAB'!AC10,'P NP TAMBAK KAB'!AG10,'P NP TAMBAK KAB'!AI10,'P NP TAMBAK KAB'!AW10,'P NP TAMBAK KAB'!AY10,'P NP TAMBAK KAB'!BA10,'P NP TAMBAK KAB'!BC10,'P NP TAMBAK KAB'!BE10,'P NP TAMBAK KAB'!BG10,'P NP TAMBAK KAB'!BM10,'P NP TAMBAK KAB'!BQ10,'P NP TAMBAK KAB'!BU10,'P NP TAMBAK KAB'!BW10,'P NP TAMBAK KAB'!BY10,'P NP TAMBAK KAB'!#REF!,'P NP TAMBAK KAB'!#REF!,'P NP TAMBAK KAB'!#REF!,'P NP TAMBAK KAB'!#REF!,'P NP TAMBAK KAB'!#REF!,'P NP TAMBAK KAB'!#REF!,'P NP TAMBAK KAB'!#REF!)</f>
        <v>#REF!</v>
      </c>
      <c r="L62" s="352" t="e">
        <f t="shared" si="9"/>
        <v>#REF!</v>
      </c>
      <c r="M62" s="350" t="e">
        <f>'P NP TAMBAK KAB'!#REF!</f>
        <v>#REF!</v>
      </c>
      <c r="N62" s="350" t="e">
        <f>'P NP TAMBAK KAB'!#REF!</f>
        <v>#REF!</v>
      </c>
      <c r="O62" s="350" t="e">
        <f>'P NP TAMBAK KAB'!#REF!</f>
        <v>#REF!</v>
      </c>
      <c r="P62" s="350" t="e">
        <f>'P NP TAMBAK KAB'!#REF!</f>
        <v>#REF!</v>
      </c>
      <c r="Q62" s="350" t="e">
        <f>'P NP TAMBAK KAB'!#REF!</f>
        <v>#REF!</v>
      </c>
      <c r="R62" s="350" t="e">
        <f>SUM('P NP TAMBAK KAB'!BI10,'P NP TAMBAK KAB'!BK10,'P NP TAMBAK KAB'!#REF!,'P NP TAMBAK KAB'!#REF!,'P NP TAMBAK KAB'!#REF!,'P NP TAMBAK KAB'!#REF!)</f>
        <v>#REF!</v>
      </c>
      <c r="S62" s="350">
        <f>'P NP TAMBAK KAB'!AO10</f>
        <v>0</v>
      </c>
      <c r="T62" s="350" t="e">
        <f>'P NP TAMBAK KAB'!#REF!</f>
        <v>#REF!</v>
      </c>
      <c r="U62" s="350" t="e">
        <f>SUM('P NP TAMBAK KAB'!S10,'P NP TAMBAK KAB'!AQ10,'P NP TAMBAK KAB'!AS10,'P NP TAMBAK KAB'!#REF!,'P NP TAMBAK KAB'!#REF!,'P NP TAMBAK KAB'!#REF!,'P NP TAMBAK KAB'!#REF!,'P NP TAMBAK KAB'!#REF!,'P NP TAMBAK KAB'!#REF!,'P NP TAMBAK KAB'!#REF!)</f>
        <v>#REF!</v>
      </c>
      <c r="V62" s="351" t="e">
        <f>SUM('P NP TAMBAK KAB'!Y10,'P NP TAMBAK KAB'!AA10,'P NP TAMBAK KAB'!AE10,'P NP TAMBAK KAB'!#REF!,'P NP TAMBAK KAB'!#REF!)</f>
        <v>#REF!</v>
      </c>
      <c r="W62" s="306"/>
      <c r="X62" s="557">
        <f t="shared" si="10"/>
        <v>16100000</v>
      </c>
      <c r="Y62" s="350">
        <v>4105500</v>
      </c>
      <c r="Z62" s="350">
        <v>3864000</v>
      </c>
      <c r="AA62" s="350">
        <v>4515000</v>
      </c>
      <c r="AB62" s="351">
        <v>3615500</v>
      </c>
    </row>
    <row r="63" spans="1:28">
      <c r="A63" s="346" t="s">
        <v>136</v>
      </c>
      <c r="B63" s="350" t="e">
        <f t="shared" si="7"/>
        <v>#REF!</v>
      </c>
      <c r="C63" s="350" t="e">
        <f t="shared" si="8"/>
        <v>#REF!</v>
      </c>
      <c r="D63" s="350">
        <f>'P NP TAMBAK KAB'!AU11</f>
        <v>0</v>
      </c>
      <c r="E63" s="350">
        <f>'P NP TAMBAK KAB'!BO11</f>
        <v>0</v>
      </c>
      <c r="F63" s="350" t="e">
        <f>'P NP TAMBAK KAB'!#REF!</f>
        <v>#REF!</v>
      </c>
      <c r="G63" s="350">
        <f>'P NP TAMBAK KAB'!AK11+'P NP TAMBAK KAB'!AM11</f>
        <v>29091073.649993859</v>
      </c>
      <c r="H63" s="350">
        <f>'P NP TAMBAK KAB'!E11</f>
        <v>1115896731.3740089</v>
      </c>
      <c r="I63" s="350">
        <f>'P NP TAMBAK KAB'!BS11</f>
        <v>0</v>
      </c>
      <c r="J63" s="350">
        <f>'P NP TAMBAK KAB'!O11</f>
        <v>12822727.592139456</v>
      </c>
      <c r="K63" s="351" t="e">
        <f>SUM('P NP TAMBAK KAB'!G11,'P NP TAMBAK KAB'!I11,'P NP TAMBAK KAB'!K11,'P NP TAMBAK KAB'!M11,'P NP TAMBAK KAB'!Q11,'P NP TAMBAK KAB'!U11,'P NP TAMBAK KAB'!W11,'P NP TAMBAK KAB'!AC11,'P NP TAMBAK KAB'!AG11,'P NP TAMBAK KAB'!AI11,'P NP TAMBAK KAB'!AW11,'P NP TAMBAK KAB'!AY11,'P NP TAMBAK KAB'!BA11,'P NP TAMBAK KAB'!BC11,'P NP TAMBAK KAB'!BE11,'P NP TAMBAK KAB'!BG11,'P NP TAMBAK KAB'!BM11,'P NP TAMBAK KAB'!BQ11,'P NP TAMBAK KAB'!BU11,'P NP TAMBAK KAB'!BW11,'P NP TAMBAK KAB'!BY11,'P NP TAMBAK KAB'!#REF!,'P NP TAMBAK KAB'!#REF!,'P NP TAMBAK KAB'!#REF!,'P NP TAMBAK KAB'!#REF!,'P NP TAMBAK KAB'!#REF!,'P NP TAMBAK KAB'!#REF!,'P NP TAMBAK KAB'!#REF!)</f>
        <v>#REF!</v>
      </c>
      <c r="L63" s="352" t="e">
        <f t="shared" si="9"/>
        <v>#REF!</v>
      </c>
      <c r="M63" s="350" t="e">
        <f>'P NP TAMBAK KAB'!#REF!</f>
        <v>#REF!</v>
      </c>
      <c r="N63" s="350" t="e">
        <f>'P NP TAMBAK KAB'!#REF!</f>
        <v>#REF!</v>
      </c>
      <c r="O63" s="350" t="e">
        <f>'P NP TAMBAK KAB'!#REF!</f>
        <v>#REF!</v>
      </c>
      <c r="P63" s="350" t="e">
        <f>'P NP TAMBAK KAB'!#REF!</f>
        <v>#REF!</v>
      </c>
      <c r="Q63" s="350" t="e">
        <f>'P NP TAMBAK KAB'!#REF!</f>
        <v>#REF!</v>
      </c>
      <c r="R63" s="350" t="e">
        <f>SUM('P NP TAMBAK KAB'!BI11,'P NP TAMBAK KAB'!BK11,'P NP TAMBAK KAB'!#REF!,'P NP TAMBAK KAB'!#REF!,'P NP TAMBAK KAB'!#REF!,'P NP TAMBAK KAB'!#REF!)</f>
        <v>#REF!</v>
      </c>
      <c r="S63" s="350">
        <f>'P NP TAMBAK KAB'!AO11</f>
        <v>10910704.985198008</v>
      </c>
      <c r="T63" s="350" t="e">
        <f>'P NP TAMBAK KAB'!#REF!</f>
        <v>#REF!</v>
      </c>
      <c r="U63" s="350" t="e">
        <f>SUM('P NP TAMBAK KAB'!S11,'P NP TAMBAK KAB'!AQ11,'P NP TAMBAK KAB'!AS11,'P NP TAMBAK KAB'!#REF!,'P NP TAMBAK KAB'!#REF!,'P NP TAMBAK KAB'!#REF!,'P NP TAMBAK KAB'!#REF!,'P NP TAMBAK KAB'!#REF!,'P NP TAMBAK KAB'!#REF!,'P NP TAMBAK KAB'!#REF!)</f>
        <v>#REF!</v>
      </c>
      <c r="V63" s="351" t="e">
        <f>SUM('P NP TAMBAK KAB'!Y11,'P NP TAMBAK KAB'!AA11,'P NP TAMBAK KAB'!AE11,'P NP TAMBAK KAB'!#REF!,'P NP TAMBAK KAB'!#REF!)</f>
        <v>#REF!</v>
      </c>
      <c r="W63" s="306"/>
      <c r="X63" s="557">
        <f t="shared" si="10"/>
        <v>0</v>
      </c>
      <c r="Y63" s="350">
        <v>0</v>
      </c>
      <c r="Z63" s="350">
        <v>0</v>
      </c>
      <c r="AA63" s="350">
        <v>0</v>
      </c>
      <c r="AB63" s="351">
        <v>0</v>
      </c>
    </row>
    <row r="64" spans="1:28">
      <c r="A64" s="346" t="s">
        <v>120</v>
      </c>
      <c r="B64" s="350" t="e">
        <f t="shared" si="7"/>
        <v>#REF!</v>
      </c>
      <c r="C64" s="350" t="e">
        <f t="shared" si="8"/>
        <v>#REF!</v>
      </c>
      <c r="D64" s="350">
        <f>'P NP TAMBAK KAB'!AU12</f>
        <v>0</v>
      </c>
      <c r="E64" s="350">
        <f>'P NP TAMBAK KAB'!BO12</f>
        <v>0</v>
      </c>
      <c r="F64" s="350" t="e">
        <f>'P NP TAMBAK KAB'!#REF!</f>
        <v>#REF!</v>
      </c>
      <c r="G64" s="350">
        <f>'P NP TAMBAK KAB'!AK12+'P NP TAMBAK KAB'!AM12</f>
        <v>0</v>
      </c>
      <c r="H64" s="350">
        <f>'P NP TAMBAK KAB'!E12</f>
        <v>898038.451</v>
      </c>
      <c r="I64" s="350">
        <f>'P NP TAMBAK KAB'!BS12</f>
        <v>0</v>
      </c>
      <c r="J64" s="350">
        <f>'P NP TAMBAK KAB'!O12</f>
        <v>0</v>
      </c>
      <c r="K64" s="351" t="e">
        <f>SUM('P NP TAMBAK KAB'!G12,'P NP TAMBAK KAB'!I12,'P NP TAMBAK KAB'!K12,'P NP TAMBAK KAB'!M12,'P NP TAMBAK KAB'!Q12,'P NP TAMBAK KAB'!U12,'P NP TAMBAK KAB'!W12,'P NP TAMBAK KAB'!AC12,'P NP TAMBAK KAB'!AG12,'P NP TAMBAK KAB'!AI12,'P NP TAMBAK KAB'!AW12,'P NP TAMBAK KAB'!AY12,'P NP TAMBAK KAB'!BA12,'P NP TAMBAK KAB'!BC12,'P NP TAMBAK KAB'!BE12,'P NP TAMBAK KAB'!BG12,'P NP TAMBAK KAB'!BM12,'P NP TAMBAK KAB'!BQ12,'P NP TAMBAK KAB'!BU12,'P NP TAMBAK KAB'!BW12,'P NP TAMBAK KAB'!BY12,'P NP TAMBAK KAB'!#REF!,'P NP TAMBAK KAB'!#REF!,'P NP TAMBAK KAB'!#REF!,'P NP TAMBAK KAB'!#REF!,'P NP TAMBAK KAB'!#REF!,'P NP TAMBAK KAB'!#REF!,'P NP TAMBAK KAB'!#REF!)</f>
        <v>#REF!</v>
      </c>
      <c r="L64" s="352" t="e">
        <f t="shared" si="9"/>
        <v>#REF!</v>
      </c>
      <c r="M64" s="350" t="e">
        <f>'P NP TAMBAK KAB'!#REF!</f>
        <v>#REF!</v>
      </c>
      <c r="N64" s="350" t="e">
        <f>'P NP TAMBAK KAB'!#REF!</f>
        <v>#REF!</v>
      </c>
      <c r="O64" s="350" t="e">
        <f>'P NP TAMBAK KAB'!#REF!</f>
        <v>#REF!</v>
      </c>
      <c r="P64" s="350" t="e">
        <f>'P NP TAMBAK KAB'!#REF!</f>
        <v>#REF!</v>
      </c>
      <c r="Q64" s="350" t="e">
        <f>'P NP TAMBAK KAB'!#REF!</f>
        <v>#REF!</v>
      </c>
      <c r="R64" s="350" t="e">
        <f>SUM('P NP TAMBAK KAB'!BI12,'P NP TAMBAK KAB'!BK12,'P NP TAMBAK KAB'!#REF!,'P NP TAMBAK KAB'!#REF!,'P NP TAMBAK KAB'!#REF!,'P NP TAMBAK KAB'!#REF!)</f>
        <v>#REF!</v>
      </c>
      <c r="S64" s="350">
        <f>'P NP TAMBAK KAB'!AO12</f>
        <v>0</v>
      </c>
      <c r="T64" s="350" t="e">
        <f>'P NP TAMBAK KAB'!#REF!</f>
        <v>#REF!</v>
      </c>
      <c r="U64" s="350" t="e">
        <f>SUM('P NP TAMBAK KAB'!S12,'P NP TAMBAK KAB'!AQ12,'P NP TAMBAK KAB'!AS12,'P NP TAMBAK KAB'!#REF!,'P NP TAMBAK KAB'!#REF!,'P NP TAMBAK KAB'!#REF!,'P NP TAMBAK KAB'!#REF!,'P NP TAMBAK KAB'!#REF!,'P NP TAMBAK KAB'!#REF!,'P NP TAMBAK KAB'!#REF!)</f>
        <v>#REF!</v>
      </c>
      <c r="V64" s="351" t="e">
        <f>SUM('P NP TAMBAK KAB'!Y12,'P NP TAMBAK KAB'!AA12,'P NP TAMBAK KAB'!AE12,'P NP TAMBAK KAB'!#REF!,'P NP TAMBAK KAB'!#REF!)</f>
        <v>#REF!</v>
      </c>
      <c r="W64" s="306"/>
      <c r="X64" s="557">
        <f t="shared" si="10"/>
        <v>181327387</v>
      </c>
      <c r="Y64" s="350">
        <v>9944320</v>
      </c>
      <c r="Z64" s="350">
        <v>29479167</v>
      </c>
      <c r="AA64" s="350">
        <v>62013600</v>
      </c>
      <c r="AB64" s="351">
        <v>79890300</v>
      </c>
    </row>
    <row r="65" spans="1:28">
      <c r="A65" s="346" t="s">
        <v>128</v>
      </c>
      <c r="B65" s="350" t="e">
        <f t="shared" si="7"/>
        <v>#REF!</v>
      </c>
      <c r="C65" s="350" t="e">
        <f t="shared" si="8"/>
        <v>#REF!</v>
      </c>
      <c r="D65" s="350">
        <f>'P NP TAMBAK KAB'!AU13</f>
        <v>0</v>
      </c>
      <c r="E65" s="350">
        <f>'P NP TAMBAK KAB'!BO13</f>
        <v>0</v>
      </c>
      <c r="F65" s="350" t="e">
        <f>'P NP TAMBAK KAB'!#REF!</f>
        <v>#REF!</v>
      </c>
      <c r="G65" s="350">
        <f>'P NP TAMBAK KAB'!AK13+'P NP TAMBAK KAB'!AM13</f>
        <v>0</v>
      </c>
      <c r="H65" s="350">
        <f>'P NP TAMBAK KAB'!E13</f>
        <v>0</v>
      </c>
      <c r="I65" s="350">
        <f>'P NP TAMBAK KAB'!BS13</f>
        <v>0</v>
      </c>
      <c r="J65" s="350">
        <f>'P NP TAMBAK KAB'!O13</f>
        <v>0</v>
      </c>
      <c r="K65" s="351" t="e">
        <f>SUM('P NP TAMBAK KAB'!G13,'P NP TAMBAK KAB'!I13,'P NP TAMBAK KAB'!K13,'P NP TAMBAK KAB'!M13,'P NP TAMBAK KAB'!Q13,'P NP TAMBAK KAB'!U13,'P NP TAMBAK KAB'!W13,'P NP TAMBAK KAB'!AC13,'P NP TAMBAK KAB'!AG13,'P NP TAMBAK KAB'!AI13,'P NP TAMBAK KAB'!AW13,'P NP TAMBAK KAB'!AY13,'P NP TAMBAK KAB'!BA13,'P NP TAMBAK KAB'!BC13,'P NP TAMBAK KAB'!BE13,'P NP TAMBAK KAB'!BG13,'P NP TAMBAK KAB'!BM13,'P NP TAMBAK KAB'!BQ13,'P NP TAMBAK KAB'!BU13,'P NP TAMBAK KAB'!BW13,'P NP TAMBAK KAB'!BY13,'P NP TAMBAK KAB'!#REF!,'P NP TAMBAK KAB'!#REF!,'P NP TAMBAK KAB'!#REF!,'P NP TAMBAK KAB'!#REF!,'P NP TAMBAK KAB'!#REF!,'P NP TAMBAK KAB'!#REF!,'P NP TAMBAK KAB'!#REF!)</f>
        <v>#REF!</v>
      </c>
      <c r="L65" s="352" t="e">
        <f t="shared" si="9"/>
        <v>#REF!</v>
      </c>
      <c r="M65" s="350" t="e">
        <f>'P NP TAMBAK KAB'!#REF!</f>
        <v>#REF!</v>
      </c>
      <c r="N65" s="350" t="e">
        <f>'P NP TAMBAK KAB'!#REF!</f>
        <v>#REF!</v>
      </c>
      <c r="O65" s="350" t="e">
        <f>'P NP TAMBAK KAB'!#REF!</f>
        <v>#REF!</v>
      </c>
      <c r="P65" s="350" t="e">
        <f>'P NP TAMBAK KAB'!#REF!</f>
        <v>#REF!</v>
      </c>
      <c r="Q65" s="350" t="e">
        <f>'P NP TAMBAK KAB'!#REF!</f>
        <v>#REF!</v>
      </c>
      <c r="R65" s="350" t="e">
        <f>SUM('P NP TAMBAK KAB'!BI13,'P NP TAMBAK KAB'!BK13,'P NP TAMBAK KAB'!#REF!,'P NP TAMBAK KAB'!#REF!,'P NP TAMBAK KAB'!#REF!,'P NP TAMBAK KAB'!#REF!)</f>
        <v>#REF!</v>
      </c>
      <c r="S65" s="350">
        <f>'P NP TAMBAK KAB'!AO13</f>
        <v>0</v>
      </c>
      <c r="T65" s="350" t="e">
        <f>'P NP TAMBAK KAB'!#REF!</f>
        <v>#REF!</v>
      </c>
      <c r="U65" s="350" t="e">
        <f>SUM('P NP TAMBAK KAB'!S13,'P NP TAMBAK KAB'!AQ13,'P NP TAMBAK KAB'!AS13,'P NP TAMBAK KAB'!#REF!,'P NP TAMBAK KAB'!#REF!,'P NP TAMBAK KAB'!#REF!,'P NP TAMBAK KAB'!#REF!,'P NP TAMBAK KAB'!#REF!,'P NP TAMBAK KAB'!#REF!,'P NP TAMBAK KAB'!#REF!)</f>
        <v>#REF!</v>
      </c>
      <c r="V65" s="351" t="e">
        <f>SUM('P NP TAMBAK KAB'!Y13,'P NP TAMBAK KAB'!AA13,'P NP TAMBAK KAB'!AE13,'P NP TAMBAK KAB'!#REF!,'P NP TAMBAK KAB'!#REF!)</f>
        <v>#REF!</v>
      </c>
      <c r="W65" s="306"/>
      <c r="X65" s="557">
        <f t="shared" si="10"/>
        <v>45250100</v>
      </c>
      <c r="Y65" s="350">
        <v>10455000</v>
      </c>
      <c r="Z65" s="350">
        <v>11513600</v>
      </c>
      <c r="AA65" s="350">
        <v>12196250</v>
      </c>
      <c r="AB65" s="351">
        <v>11085250</v>
      </c>
    </row>
    <row r="66" spans="1:28">
      <c r="A66" s="346" t="s">
        <v>117</v>
      </c>
      <c r="B66" s="350" t="e">
        <f t="shared" si="7"/>
        <v>#REF!</v>
      </c>
      <c r="C66" s="350" t="e">
        <f>SUM(D66:K66)</f>
        <v>#REF!</v>
      </c>
      <c r="D66" s="350">
        <f>'P NP TAMBAK KAB'!AU14</f>
        <v>0</v>
      </c>
      <c r="E66" s="350">
        <f>'P NP TAMBAK KAB'!BO14</f>
        <v>0</v>
      </c>
      <c r="F66" s="350" t="e">
        <f>'P NP TAMBAK KAB'!#REF!</f>
        <v>#REF!</v>
      </c>
      <c r="G66" s="350">
        <f>'P NP TAMBAK KAB'!AK14+'P NP TAMBAK KAB'!AM14</f>
        <v>0</v>
      </c>
      <c r="H66" s="350">
        <f>'P NP TAMBAK KAB'!E14</f>
        <v>0</v>
      </c>
      <c r="I66" s="350">
        <f>'P NP TAMBAK KAB'!BS14</f>
        <v>0</v>
      </c>
      <c r="J66" s="350">
        <f>'P NP TAMBAK KAB'!O14</f>
        <v>0</v>
      </c>
      <c r="K66" s="351" t="e">
        <f>SUM('P NP TAMBAK KAB'!G14,'P NP TAMBAK KAB'!I14,'P NP TAMBAK KAB'!K14,'P NP TAMBAK KAB'!M14,'P NP TAMBAK KAB'!Q14,'P NP TAMBAK KAB'!U14,'P NP TAMBAK KAB'!W14,'P NP TAMBAK KAB'!AC14,'P NP TAMBAK KAB'!AG14,'P NP TAMBAK KAB'!AI14,'P NP TAMBAK KAB'!AW14,'P NP TAMBAK KAB'!AY14,'P NP TAMBAK KAB'!BA14,'P NP TAMBAK KAB'!BC14,'P NP TAMBAK KAB'!BE14,'P NP TAMBAK KAB'!BG14,'P NP TAMBAK KAB'!BM14,'P NP TAMBAK KAB'!BQ14,'P NP TAMBAK KAB'!BU14,'P NP TAMBAK KAB'!BW14,'P NP TAMBAK KAB'!BY14,'P NP TAMBAK KAB'!#REF!,'P NP TAMBAK KAB'!#REF!,'P NP TAMBAK KAB'!#REF!,'P NP TAMBAK KAB'!#REF!,'P NP TAMBAK KAB'!#REF!,'P NP TAMBAK KAB'!#REF!,'P NP TAMBAK KAB'!#REF!)</f>
        <v>#REF!</v>
      </c>
      <c r="L66" s="352" t="e">
        <f t="shared" si="9"/>
        <v>#REF!</v>
      </c>
      <c r="M66" s="350" t="e">
        <f>'P NP TAMBAK KAB'!#REF!</f>
        <v>#REF!</v>
      </c>
      <c r="N66" s="350" t="e">
        <f>'P NP TAMBAK KAB'!#REF!</f>
        <v>#REF!</v>
      </c>
      <c r="O66" s="350" t="e">
        <f>'P NP TAMBAK KAB'!#REF!</f>
        <v>#REF!</v>
      </c>
      <c r="P66" s="350" t="e">
        <f>'P NP TAMBAK KAB'!#REF!</f>
        <v>#REF!</v>
      </c>
      <c r="Q66" s="350" t="e">
        <f>'P NP TAMBAK KAB'!#REF!</f>
        <v>#REF!</v>
      </c>
      <c r="R66" s="350" t="e">
        <f>SUM('P NP TAMBAK KAB'!BI14,'P NP TAMBAK KAB'!BK14,'P NP TAMBAK KAB'!#REF!,'P NP TAMBAK KAB'!#REF!,'P NP TAMBAK KAB'!#REF!,'P NP TAMBAK KAB'!#REF!)</f>
        <v>#REF!</v>
      </c>
      <c r="S66" s="350">
        <f>'P NP TAMBAK KAB'!AO14</f>
        <v>0</v>
      </c>
      <c r="T66" s="350" t="e">
        <f>'P NP TAMBAK KAB'!#REF!</f>
        <v>#REF!</v>
      </c>
      <c r="U66" s="350" t="e">
        <f>SUM('P NP TAMBAK KAB'!S14,'P NP TAMBAK KAB'!AQ14,'P NP TAMBAK KAB'!AS14,'P NP TAMBAK KAB'!#REF!,'P NP TAMBAK KAB'!#REF!,'P NP TAMBAK KAB'!#REF!,'P NP TAMBAK KAB'!#REF!,'P NP TAMBAK KAB'!#REF!,'P NP TAMBAK KAB'!#REF!,'P NP TAMBAK KAB'!#REF!)</f>
        <v>#REF!</v>
      </c>
      <c r="V66" s="351" t="e">
        <f>SUM('P NP TAMBAK KAB'!Y14,'P NP TAMBAK KAB'!AA14,'P NP TAMBAK KAB'!AE14,'P NP TAMBAK KAB'!#REF!,'P NP TAMBAK KAB'!#REF!)</f>
        <v>#REF!</v>
      </c>
      <c r="W66" s="306"/>
      <c r="X66" s="557">
        <f t="shared" si="10"/>
        <v>65099862.5</v>
      </c>
      <c r="Y66" s="350">
        <v>18164200</v>
      </c>
      <c r="Z66" s="350">
        <v>19372100</v>
      </c>
      <c r="AA66" s="350">
        <v>119062.5</v>
      </c>
      <c r="AB66" s="351">
        <v>27444500</v>
      </c>
    </row>
    <row r="67" spans="1:28">
      <c r="A67" s="346" t="s">
        <v>135</v>
      </c>
      <c r="B67" s="350" t="e">
        <f t="shared" si="7"/>
        <v>#REF!</v>
      </c>
      <c r="C67" s="350" t="e">
        <f>SUM(D67:K67)</f>
        <v>#REF!</v>
      </c>
      <c r="D67" s="350">
        <f>'P NP TAMBAK KAB'!AU15</f>
        <v>0</v>
      </c>
      <c r="E67" s="350">
        <f>'P NP TAMBAK KAB'!BO15</f>
        <v>0</v>
      </c>
      <c r="F67" s="350" t="e">
        <f>'P NP TAMBAK KAB'!#REF!</f>
        <v>#REF!</v>
      </c>
      <c r="G67" s="350">
        <f>'P NP TAMBAK KAB'!AK15+'P NP TAMBAK KAB'!AM15</f>
        <v>60085</v>
      </c>
      <c r="H67" s="350">
        <f>'P NP TAMBAK KAB'!E15</f>
        <v>10872286</v>
      </c>
      <c r="I67" s="350">
        <f>'P NP TAMBAK KAB'!BS15</f>
        <v>0</v>
      </c>
      <c r="J67" s="350">
        <f>'P NP TAMBAK KAB'!O15</f>
        <v>0</v>
      </c>
      <c r="K67" s="351" t="e">
        <f>SUM('P NP TAMBAK KAB'!G15,'P NP TAMBAK KAB'!I15,'P NP TAMBAK KAB'!K15,'P NP TAMBAK KAB'!M15,'P NP TAMBAK KAB'!Q15,'P NP TAMBAK KAB'!U15,'P NP TAMBAK KAB'!W15,'P NP TAMBAK KAB'!AC15,'P NP TAMBAK KAB'!AG15,'P NP TAMBAK KAB'!AI15,'P NP TAMBAK KAB'!AW15,'P NP TAMBAK KAB'!AY15,'P NP TAMBAK KAB'!BA15,'P NP TAMBAK KAB'!BC15,'P NP TAMBAK KAB'!BE15,'P NP TAMBAK KAB'!BG15,'P NP TAMBAK KAB'!BM15,'P NP TAMBAK KAB'!BQ15,'P NP TAMBAK KAB'!BU15,'P NP TAMBAK KAB'!BW15,'P NP TAMBAK KAB'!BY15,'P NP TAMBAK KAB'!#REF!,'P NP TAMBAK KAB'!#REF!,'P NP TAMBAK KAB'!#REF!,'P NP TAMBAK KAB'!#REF!,'P NP TAMBAK KAB'!#REF!,'P NP TAMBAK KAB'!#REF!,'P NP TAMBAK KAB'!#REF!)</f>
        <v>#REF!</v>
      </c>
      <c r="L67" s="352" t="e">
        <f t="shared" si="9"/>
        <v>#REF!</v>
      </c>
      <c r="M67" s="350" t="e">
        <f>'P NP TAMBAK KAB'!#REF!</f>
        <v>#REF!</v>
      </c>
      <c r="N67" s="350" t="e">
        <f>'P NP TAMBAK KAB'!#REF!</f>
        <v>#REF!</v>
      </c>
      <c r="O67" s="350" t="e">
        <f>'P NP TAMBAK KAB'!#REF!</f>
        <v>#REF!</v>
      </c>
      <c r="P67" s="350" t="e">
        <f>'P NP TAMBAK KAB'!#REF!</f>
        <v>#REF!</v>
      </c>
      <c r="Q67" s="350" t="e">
        <f>'P NP TAMBAK KAB'!#REF!</f>
        <v>#REF!</v>
      </c>
      <c r="R67" s="350" t="e">
        <f>SUM('P NP TAMBAK KAB'!BI15,'P NP TAMBAK KAB'!BK15,'P NP TAMBAK KAB'!#REF!,'P NP TAMBAK KAB'!#REF!,'P NP TAMBAK KAB'!#REF!,'P NP TAMBAK KAB'!#REF!)</f>
        <v>#REF!</v>
      </c>
      <c r="S67" s="350">
        <f>'P NP TAMBAK KAB'!AO15</f>
        <v>6584664</v>
      </c>
      <c r="T67" s="350" t="e">
        <f>'P NP TAMBAK KAB'!#REF!</f>
        <v>#REF!</v>
      </c>
      <c r="U67" s="350" t="e">
        <f>SUM('P NP TAMBAK KAB'!S15,'P NP TAMBAK KAB'!AQ15,'P NP TAMBAK KAB'!AS15,'P NP TAMBAK KAB'!#REF!,'P NP TAMBAK KAB'!#REF!,'P NP TAMBAK KAB'!#REF!,'P NP TAMBAK KAB'!#REF!,'P NP TAMBAK KAB'!#REF!,'P NP TAMBAK KAB'!#REF!,'P NP TAMBAK KAB'!#REF!)</f>
        <v>#REF!</v>
      </c>
      <c r="V67" s="351" t="e">
        <f>SUM('P NP TAMBAK KAB'!Y15,'P NP TAMBAK KAB'!AA15,'P NP TAMBAK KAB'!AE15,'P NP TAMBAK KAB'!#REF!,'P NP TAMBAK KAB'!#REF!)</f>
        <v>#REF!</v>
      </c>
      <c r="W67" s="306"/>
      <c r="X67" s="557">
        <f t="shared" si="10"/>
        <v>912149368</v>
      </c>
      <c r="Y67" s="350">
        <v>219796418</v>
      </c>
      <c r="Z67" s="350">
        <v>195818685</v>
      </c>
      <c r="AA67" s="350">
        <v>211666670</v>
      </c>
      <c r="AB67" s="351">
        <v>284867595</v>
      </c>
    </row>
    <row r="68" spans="1:28">
      <c r="A68" s="346" t="s">
        <v>119</v>
      </c>
      <c r="B68" s="350" t="e">
        <f t="shared" si="7"/>
        <v>#REF!</v>
      </c>
      <c r="C68" s="350" t="e">
        <f t="shared" si="8"/>
        <v>#REF!</v>
      </c>
      <c r="D68" s="350">
        <f>'P NP TAMBAK KAB'!AU16</f>
        <v>0</v>
      </c>
      <c r="E68" s="350">
        <f>'P NP TAMBAK KAB'!BO16</f>
        <v>0</v>
      </c>
      <c r="F68" s="350" t="e">
        <f>'P NP TAMBAK KAB'!#REF!</f>
        <v>#REF!</v>
      </c>
      <c r="G68" s="350">
        <f>'P NP TAMBAK KAB'!AK16+'P NP TAMBAK KAB'!AM16</f>
        <v>0</v>
      </c>
      <c r="H68" s="350">
        <f>'P NP TAMBAK KAB'!E16</f>
        <v>0</v>
      </c>
      <c r="I68" s="350">
        <f>'P NP TAMBAK KAB'!BS16</f>
        <v>0</v>
      </c>
      <c r="J68" s="350">
        <f>'P NP TAMBAK KAB'!O16</f>
        <v>0</v>
      </c>
      <c r="K68" s="351" t="e">
        <f>SUM('P NP TAMBAK KAB'!G16,'P NP TAMBAK KAB'!I16,'P NP TAMBAK KAB'!K16,'P NP TAMBAK KAB'!M16,'P NP TAMBAK KAB'!Q16,'P NP TAMBAK KAB'!U16,'P NP TAMBAK KAB'!W16,'P NP TAMBAK KAB'!AC16,'P NP TAMBAK KAB'!AG16,'P NP TAMBAK KAB'!AI16,'P NP TAMBAK KAB'!AW16,'P NP TAMBAK KAB'!AY16,'P NP TAMBAK KAB'!BA16,'P NP TAMBAK KAB'!BC16,'P NP TAMBAK KAB'!BE16,'P NP TAMBAK KAB'!BG16,'P NP TAMBAK KAB'!BM16,'P NP TAMBAK KAB'!BQ16,'P NP TAMBAK KAB'!BU16,'P NP TAMBAK KAB'!BW16,'P NP TAMBAK KAB'!BY16,'P NP TAMBAK KAB'!#REF!,'P NP TAMBAK KAB'!#REF!,'P NP TAMBAK KAB'!#REF!,'P NP TAMBAK KAB'!#REF!,'P NP TAMBAK KAB'!#REF!,'P NP TAMBAK KAB'!#REF!,'P NP TAMBAK KAB'!#REF!)</f>
        <v>#REF!</v>
      </c>
      <c r="L68" s="352" t="e">
        <f t="shared" si="9"/>
        <v>#REF!</v>
      </c>
      <c r="M68" s="350" t="e">
        <f>'P NP TAMBAK KAB'!#REF!</f>
        <v>#REF!</v>
      </c>
      <c r="N68" s="350" t="e">
        <f>'P NP TAMBAK KAB'!#REF!</f>
        <v>#REF!</v>
      </c>
      <c r="O68" s="350" t="e">
        <f>'P NP TAMBAK KAB'!#REF!</f>
        <v>#REF!</v>
      </c>
      <c r="P68" s="350" t="e">
        <f>'P NP TAMBAK KAB'!#REF!</f>
        <v>#REF!</v>
      </c>
      <c r="Q68" s="350" t="e">
        <f>'P NP TAMBAK KAB'!#REF!</f>
        <v>#REF!</v>
      </c>
      <c r="R68" s="350" t="e">
        <f>SUM('P NP TAMBAK KAB'!BI16,'P NP TAMBAK KAB'!BK16,'P NP TAMBAK KAB'!#REF!,'P NP TAMBAK KAB'!#REF!,'P NP TAMBAK KAB'!#REF!,'P NP TAMBAK KAB'!#REF!)</f>
        <v>#REF!</v>
      </c>
      <c r="S68" s="350">
        <f>'P NP TAMBAK KAB'!AO16</f>
        <v>0</v>
      </c>
      <c r="T68" s="350" t="e">
        <f>'P NP TAMBAK KAB'!#REF!</f>
        <v>#REF!</v>
      </c>
      <c r="U68" s="350" t="e">
        <f>SUM('P NP TAMBAK KAB'!S16,'P NP TAMBAK KAB'!AQ16,'P NP TAMBAK KAB'!AS16,'P NP TAMBAK KAB'!#REF!,'P NP TAMBAK KAB'!#REF!,'P NP TAMBAK KAB'!#REF!,'P NP TAMBAK KAB'!#REF!,'P NP TAMBAK KAB'!#REF!,'P NP TAMBAK KAB'!#REF!,'P NP TAMBAK KAB'!#REF!)</f>
        <v>#REF!</v>
      </c>
      <c r="V68" s="351" t="e">
        <f>SUM('P NP TAMBAK KAB'!Y16,'P NP TAMBAK KAB'!AA16,'P NP TAMBAK KAB'!AE16,'P NP TAMBAK KAB'!#REF!,'P NP TAMBAK KAB'!#REF!)</f>
        <v>#REF!</v>
      </c>
      <c r="W68" s="306"/>
      <c r="X68" s="557">
        <f t="shared" si="10"/>
        <v>0</v>
      </c>
      <c r="Y68" s="350">
        <v>0</v>
      </c>
      <c r="Z68" s="350">
        <v>0</v>
      </c>
      <c r="AA68" s="350">
        <v>0</v>
      </c>
      <c r="AB68" s="351">
        <v>0</v>
      </c>
    </row>
    <row r="69" spans="1:28">
      <c r="A69" s="346" t="s">
        <v>130</v>
      </c>
      <c r="B69" s="350" t="e">
        <f t="shared" si="7"/>
        <v>#REF!</v>
      </c>
      <c r="C69" s="350" t="e">
        <f t="shared" si="8"/>
        <v>#REF!</v>
      </c>
      <c r="D69" s="350">
        <f>'P NP TAMBAK KAB'!AU17</f>
        <v>0</v>
      </c>
      <c r="E69" s="350">
        <f>'P NP TAMBAK KAB'!BO17</f>
        <v>0</v>
      </c>
      <c r="F69" s="350" t="e">
        <f>'P NP TAMBAK KAB'!#REF!</f>
        <v>#REF!</v>
      </c>
      <c r="G69" s="350">
        <f>'P NP TAMBAK KAB'!AK17+'P NP TAMBAK KAB'!AM17</f>
        <v>0</v>
      </c>
      <c r="H69" s="350">
        <f>'P NP TAMBAK KAB'!E17</f>
        <v>0</v>
      </c>
      <c r="I69" s="350">
        <f>'P NP TAMBAK KAB'!BS17</f>
        <v>0</v>
      </c>
      <c r="J69" s="350">
        <f>'P NP TAMBAK KAB'!O17</f>
        <v>0</v>
      </c>
      <c r="K69" s="351" t="e">
        <f>SUM('P NP TAMBAK KAB'!G17,'P NP TAMBAK KAB'!I17,'P NP TAMBAK KAB'!K17,'P NP TAMBAK KAB'!M17,'P NP TAMBAK KAB'!Q17,'P NP TAMBAK KAB'!U17,'P NP TAMBAK KAB'!W17,'P NP TAMBAK KAB'!AC17,'P NP TAMBAK KAB'!AG17,'P NP TAMBAK KAB'!AI17,'P NP TAMBAK KAB'!AW17,'P NP TAMBAK KAB'!AY17,'P NP TAMBAK KAB'!BA17,'P NP TAMBAK KAB'!BC17,'P NP TAMBAK KAB'!BE17,'P NP TAMBAK KAB'!BG17,'P NP TAMBAK KAB'!BM17,'P NP TAMBAK KAB'!BQ17,'P NP TAMBAK KAB'!BU17,'P NP TAMBAK KAB'!BW17,'P NP TAMBAK KAB'!BY17,'P NP TAMBAK KAB'!#REF!,'P NP TAMBAK KAB'!#REF!,'P NP TAMBAK KAB'!#REF!,'P NP TAMBAK KAB'!#REF!,'P NP TAMBAK KAB'!#REF!,'P NP TAMBAK KAB'!#REF!,'P NP TAMBAK KAB'!#REF!)</f>
        <v>#REF!</v>
      </c>
      <c r="L69" s="352" t="e">
        <f t="shared" si="9"/>
        <v>#REF!</v>
      </c>
      <c r="M69" s="350" t="e">
        <f>'P NP TAMBAK KAB'!#REF!</f>
        <v>#REF!</v>
      </c>
      <c r="N69" s="350" t="e">
        <f>'P NP TAMBAK KAB'!#REF!</f>
        <v>#REF!</v>
      </c>
      <c r="O69" s="350" t="e">
        <f>'P NP TAMBAK KAB'!#REF!</f>
        <v>#REF!</v>
      </c>
      <c r="P69" s="350" t="e">
        <f>'P NP TAMBAK KAB'!#REF!</f>
        <v>#REF!</v>
      </c>
      <c r="Q69" s="350" t="e">
        <f>'P NP TAMBAK KAB'!#REF!</f>
        <v>#REF!</v>
      </c>
      <c r="R69" s="350" t="e">
        <f>SUM('P NP TAMBAK KAB'!BI17,'P NP TAMBAK KAB'!BK17,'P NP TAMBAK KAB'!#REF!,'P NP TAMBAK KAB'!#REF!,'P NP TAMBAK KAB'!#REF!,'P NP TAMBAK KAB'!#REF!)</f>
        <v>#REF!</v>
      </c>
      <c r="S69" s="350">
        <f>'P NP TAMBAK KAB'!AO17</f>
        <v>0</v>
      </c>
      <c r="T69" s="350" t="e">
        <f>'P NP TAMBAK KAB'!#REF!</f>
        <v>#REF!</v>
      </c>
      <c r="U69" s="350" t="e">
        <f>SUM('P NP TAMBAK KAB'!S17,'P NP TAMBAK KAB'!AQ17,'P NP TAMBAK KAB'!AS17,'P NP TAMBAK KAB'!#REF!,'P NP TAMBAK KAB'!#REF!,'P NP TAMBAK KAB'!#REF!,'P NP TAMBAK KAB'!#REF!,'P NP TAMBAK KAB'!#REF!,'P NP TAMBAK KAB'!#REF!,'P NP TAMBAK KAB'!#REF!)</f>
        <v>#REF!</v>
      </c>
      <c r="V69" s="351" t="e">
        <f>SUM('P NP TAMBAK KAB'!Y17,'P NP TAMBAK KAB'!AA17,'P NP TAMBAK KAB'!AE17,'P NP TAMBAK KAB'!#REF!,'P NP TAMBAK KAB'!#REF!)</f>
        <v>#REF!</v>
      </c>
      <c r="W69" s="357"/>
      <c r="X69" s="557">
        <f t="shared" si="10"/>
        <v>554933505.89999998</v>
      </c>
      <c r="Y69" s="350">
        <v>203353260</v>
      </c>
      <c r="Z69" s="350">
        <v>154763481</v>
      </c>
      <c r="AA69" s="350">
        <v>74529053.400000006</v>
      </c>
      <c r="AB69" s="351">
        <v>122287711.5</v>
      </c>
    </row>
    <row r="70" spans="1:28">
      <c r="A70" s="346" t="s">
        <v>131</v>
      </c>
      <c r="B70" s="350" t="e">
        <f t="shared" si="7"/>
        <v>#REF!</v>
      </c>
      <c r="C70" s="350" t="e">
        <f t="shared" si="8"/>
        <v>#REF!</v>
      </c>
      <c r="D70" s="350">
        <f>'P NP TAMBAK KAB'!AU18</f>
        <v>0</v>
      </c>
      <c r="E70" s="350">
        <f>'P NP TAMBAK KAB'!BO18</f>
        <v>0</v>
      </c>
      <c r="F70" s="350" t="e">
        <f>'P NP TAMBAK KAB'!#REF!</f>
        <v>#REF!</v>
      </c>
      <c r="G70" s="350">
        <f>'P NP TAMBAK KAB'!AK18+'P NP TAMBAK KAB'!AM18</f>
        <v>0</v>
      </c>
      <c r="H70" s="350">
        <f>'P NP TAMBAK KAB'!E18</f>
        <v>0</v>
      </c>
      <c r="I70" s="350">
        <f>'P NP TAMBAK KAB'!BS18</f>
        <v>0</v>
      </c>
      <c r="J70" s="350">
        <f>'P NP TAMBAK KAB'!O18</f>
        <v>0</v>
      </c>
      <c r="K70" s="351" t="e">
        <f>SUM('P NP TAMBAK KAB'!G18,'P NP TAMBAK KAB'!I18,'P NP TAMBAK KAB'!K18,'P NP TAMBAK KAB'!M18,'P NP TAMBAK KAB'!Q18,'P NP TAMBAK KAB'!U18,'P NP TAMBAK KAB'!W18,'P NP TAMBAK KAB'!AC18,'P NP TAMBAK KAB'!AG18,'P NP TAMBAK KAB'!AI18,'P NP TAMBAK KAB'!AW18,'P NP TAMBAK KAB'!AY18,'P NP TAMBAK KAB'!BA18,'P NP TAMBAK KAB'!BC18,'P NP TAMBAK KAB'!BE18,'P NP TAMBAK KAB'!BG18,'P NP TAMBAK KAB'!BM18,'P NP TAMBAK KAB'!BQ18,'P NP TAMBAK KAB'!BU18,'P NP TAMBAK KAB'!BW18,'P NP TAMBAK KAB'!BY18,'P NP TAMBAK KAB'!#REF!,'P NP TAMBAK KAB'!#REF!,'P NP TAMBAK KAB'!#REF!,'P NP TAMBAK KAB'!#REF!,'P NP TAMBAK KAB'!#REF!,'P NP TAMBAK KAB'!#REF!,'P NP TAMBAK KAB'!#REF!)</f>
        <v>#REF!</v>
      </c>
      <c r="L70" s="352" t="e">
        <f t="shared" si="9"/>
        <v>#REF!</v>
      </c>
      <c r="M70" s="350" t="e">
        <f>'P NP TAMBAK KAB'!#REF!</f>
        <v>#REF!</v>
      </c>
      <c r="N70" s="350" t="e">
        <f>'P NP TAMBAK KAB'!#REF!</f>
        <v>#REF!</v>
      </c>
      <c r="O70" s="350" t="e">
        <f>'P NP TAMBAK KAB'!#REF!</f>
        <v>#REF!</v>
      </c>
      <c r="P70" s="350" t="e">
        <f>'P NP TAMBAK KAB'!#REF!</f>
        <v>#REF!</v>
      </c>
      <c r="Q70" s="350" t="e">
        <f>'P NP TAMBAK KAB'!#REF!</f>
        <v>#REF!</v>
      </c>
      <c r="R70" s="350" t="e">
        <f>SUM('P NP TAMBAK KAB'!BI18,'P NP TAMBAK KAB'!BK18,'P NP TAMBAK KAB'!#REF!,'P NP TAMBAK KAB'!#REF!,'P NP TAMBAK KAB'!#REF!,'P NP TAMBAK KAB'!#REF!)</f>
        <v>#REF!</v>
      </c>
      <c r="S70" s="350">
        <f>'P NP TAMBAK KAB'!AO18</f>
        <v>0</v>
      </c>
      <c r="T70" s="350" t="e">
        <f>'P NP TAMBAK KAB'!#REF!</f>
        <v>#REF!</v>
      </c>
      <c r="U70" s="350" t="e">
        <f>SUM('P NP TAMBAK KAB'!S18,'P NP TAMBAK KAB'!AQ18,'P NP TAMBAK KAB'!AS18,'P NP TAMBAK KAB'!#REF!,'P NP TAMBAK KAB'!#REF!,'P NP TAMBAK KAB'!#REF!,'P NP TAMBAK KAB'!#REF!,'P NP TAMBAK KAB'!#REF!,'P NP TAMBAK KAB'!#REF!,'P NP TAMBAK KAB'!#REF!)</f>
        <v>#REF!</v>
      </c>
      <c r="V70" s="351" t="e">
        <f>SUM('P NP TAMBAK KAB'!Y18,'P NP TAMBAK KAB'!AA18,'P NP TAMBAK KAB'!AE18,'P NP TAMBAK KAB'!#REF!,'P NP TAMBAK KAB'!#REF!)</f>
        <v>#REF!</v>
      </c>
      <c r="W70" s="358"/>
      <c r="X70" s="557">
        <f t="shared" si="10"/>
        <v>628155210</v>
      </c>
      <c r="Y70" s="350">
        <v>114121000</v>
      </c>
      <c r="Z70" s="350">
        <v>172969870</v>
      </c>
      <c r="AA70" s="350">
        <v>135832200</v>
      </c>
      <c r="AB70" s="351">
        <v>205232140</v>
      </c>
    </row>
    <row r="71" spans="1:28">
      <c r="A71" s="346" t="s">
        <v>118</v>
      </c>
      <c r="B71" s="350" t="e">
        <f t="shared" si="7"/>
        <v>#REF!</v>
      </c>
      <c r="C71" s="350" t="e">
        <f t="shared" si="8"/>
        <v>#REF!</v>
      </c>
      <c r="D71" s="350">
        <f>'P NP TAMBAK KAB'!AU19</f>
        <v>0</v>
      </c>
      <c r="E71" s="350">
        <f>'P NP TAMBAK KAB'!BO19</f>
        <v>0</v>
      </c>
      <c r="F71" s="350" t="e">
        <f>'P NP TAMBAK KAB'!#REF!</f>
        <v>#REF!</v>
      </c>
      <c r="G71" s="350">
        <f>'P NP TAMBAK KAB'!AK19+'P NP TAMBAK KAB'!AM19</f>
        <v>0</v>
      </c>
      <c r="H71" s="350">
        <f>'P NP TAMBAK KAB'!E19</f>
        <v>0</v>
      </c>
      <c r="I71" s="350">
        <f>'P NP TAMBAK KAB'!BS19</f>
        <v>0</v>
      </c>
      <c r="J71" s="350">
        <f>'P NP TAMBAK KAB'!O19</f>
        <v>0</v>
      </c>
      <c r="K71" s="351" t="e">
        <f>SUM('P NP TAMBAK KAB'!G19,'P NP TAMBAK KAB'!I19,'P NP TAMBAK KAB'!K19,'P NP TAMBAK KAB'!M19,'P NP TAMBAK KAB'!Q19,'P NP TAMBAK KAB'!U19,'P NP TAMBAK KAB'!W19,'P NP TAMBAK KAB'!AC19,'P NP TAMBAK KAB'!AG19,'P NP TAMBAK KAB'!AI19,'P NP TAMBAK KAB'!AW19,'P NP TAMBAK KAB'!AY19,'P NP TAMBAK KAB'!BA19,'P NP TAMBAK KAB'!BC19,'P NP TAMBAK KAB'!BE19,'P NP TAMBAK KAB'!BG19,'P NP TAMBAK KAB'!BM19,'P NP TAMBAK KAB'!BQ19,'P NP TAMBAK KAB'!BU19,'P NP TAMBAK KAB'!BW19,'P NP TAMBAK KAB'!BY19,'P NP TAMBAK KAB'!#REF!,'P NP TAMBAK KAB'!#REF!,'P NP TAMBAK KAB'!#REF!,'P NP TAMBAK KAB'!#REF!,'P NP TAMBAK KAB'!#REF!,'P NP TAMBAK KAB'!#REF!,'P NP TAMBAK KAB'!#REF!)</f>
        <v>#REF!</v>
      </c>
      <c r="L71" s="352" t="e">
        <f t="shared" si="9"/>
        <v>#REF!</v>
      </c>
      <c r="M71" s="350" t="e">
        <f>'P NP TAMBAK KAB'!#REF!</f>
        <v>#REF!</v>
      </c>
      <c r="N71" s="350" t="e">
        <f>'P NP TAMBAK KAB'!#REF!</f>
        <v>#REF!</v>
      </c>
      <c r="O71" s="350" t="e">
        <f>'P NP TAMBAK KAB'!#REF!</f>
        <v>#REF!</v>
      </c>
      <c r="P71" s="350" t="e">
        <f>'P NP TAMBAK KAB'!#REF!</f>
        <v>#REF!</v>
      </c>
      <c r="Q71" s="350" t="e">
        <f>'P NP TAMBAK KAB'!#REF!</f>
        <v>#REF!</v>
      </c>
      <c r="R71" s="350" t="e">
        <f>SUM('P NP TAMBAK KAB'!BI19,'P NP TAMBAK KAB'!BK19,'P NP TAMBAK KAB'!#REF!,'P NP TAMBAK KAB'!#REF!,'P NP TAMBAK KAB'!#REF!,'P NP TAMBAK KAB'!#REF!)</f>
        <v>#REF!</v>
      </c>
      <c r="S71" s="350">
        <f>'P NP TAMBAK KAB'!AO19</f>
        <v>0</v>
      </c>
      <c r="T71" s="350" t="e">
        <f>'P NP TAMBAK KAB'!#REF!</f>
        <v>#REF!</v>
      </c>
      <c r="U71" s="350" t="e">
        <f>SUM('P NP TAMBAK KAB'!S19,'P NP TAMBAK KAB'!AQ19,'P NP TAMBAK KAB'!AS19,'P NP TAMBAK KAB'!#REF!,'P NP TAMBAK KAB'!#REF!,'P NP TAMBAK KAB'!#REF!,'P NP TAMBAK KAB'!#REF!,'P NP TAMBAK KAB'!#REF!,'P NP TAMBAK KAB'!#REF!,'P NP TAMBAK KAB'!#REF!)</f>
        <v>#REF!</v>
      </c>
      <c r="V71" s="351" t="e">
        <f>SUM('P NP TAMBAK KAB'!Y19,'P NP TAMBAK KAB'!AA19,'P NP TAMBAK KAB'!AE19,'P NP TAMBAK KAB'!#REF!,'P NP TAMBAK KAB'!#REF!)</f>
        <v>#REF!</v>
      </c>
      <c r="W71" s="358"/>
      <c r="X71" s="557">
        <f t="shared" si="10"/>
        <v>384359881.50300002</v>
      </c>
      <c r="Y71" s="350">
        <v>80331678.5</v>
      </c>
      <c r="Z71" s="350">
        <v>100219420.5</v>
      </c>
      <c r="AA71" s="350">
        <v>89104995.5</v>
      </c>
      <c r="AB71" s="351">
        <v>114703787.00299999</v>
      </c>
    </row>
    <row r="72" spans="1:28">
      <c r="A72" s="346" t="s">
        <v>127</v>
      </c>
      <c r="B72" s="350" t="e">
        <f t="shared" si="7"/>
        <v>#REF!</v>
      </c>
      <c r="C72" s="350" t="e">
        <f t="shared" si="8"/>
        <v>#REF!</v>
      </c>
      <c r="D72" s="350">
        <f>'P NP TAMBAK KAB'!AU20</f>
        <v>0</v>
      </c>
      <c r="E72" s="350">
        <f>'P NP TAMBAK KAB'!BO20</f>
        <v>0</v>
      </c>
      <c r="F72" s="350" t="e">
        <f>'P NP TAMBAK KAB'!#REF!</f>
        <v>#REF!</v>
      </c>
      <c r="G72" s="350">
        <f>'P NP TAMBAK KAB'!AK20+'P NP TAMBAK KAB'!AM20</f>
        <v>0</v>
      </c>
      <c r="H72" s="350">
        <f>'P NP TAMBAK KAB'!E20</f>
        <v>0</v>
      </c>
      <c r="I72" s="350">
        <f>'P NP TAMBAK KAB'!BS20</f>
        <v>0</v>
      </c>
      <c r="J72" s="350">
        <f>'P NP TAMBAK KAB'!O20</f>
        <v>0</v>
      </c>
      <c r="K72" s="351" t="e">
        <f>SUM('P NP TAMBAK KAB'!G20,'P NP TAMBAK KAB'!I20,'P NP TAMBAK KAB'!K20,'P NP TAMBAK KAB'!M20,'P NP TAMBAK KAB'!Q20,'P NP TAMBAK KAB'!U20,'P NP TAMBAK KAB'!W20,'P NP TAMBAK KAB'!AC20,'P NP TAMBAK KAB'!AG20,'P NP TAMBAK KAB'!AI20,'P NP TAMBAK KAB'!AW20,'P NP TAMBAK KAB'!AY20,'P NP TAMBAK KAB'!BA20,'P NP TAMBAK KAB'!BC20,'P NP TAMBAK KAB'!BE20,'P NP TAMBAK KAB'!BG20,'P NP TAMBAK KAB'!BM20,'P NP TAMBAK KAB'!BQ20,'P NP TAMBAK KAB'!BU20,'P NP TAMBAK KAB'!BW20,'P NP TAMBAK KAB'!BY20,'P NP TAMBAK KAB'!#REF!,'P NP TAMBAK KAB'!#REF!,'P NP TAMBAK KAB'!#REF!,'P NP TAMBAK KAB'!#REF!,'P NP TAMBAK KAB'!#REF!,'P NP TAMBAK KAB'!#REF!,'P NP TAMBAK KAB'!#REF!)</f>
        <v>#REF!</v>
      </c>
      <c r="L72" s="352" t="e">
        <f t="shared" si="9"/>
        <v>#REF!</v>
      </c>
      <c r="M72" s="350" t="e">
        <f>'P NP TAMBAK KAB'!#REF!</f>
        <v>#REF!</v>
      </c>
      <c r="N72" s="350" t="e">
        <f>'P NP TAMBAK KAB'!#REF!</f>
        <v>#REF!</v>
      </c>
      <c r="O72" s="350" t="e">
        <f>'P NP TAMBAK KAB'!#REF!</f>
        <v>#REF!</v>
      </c>
      <c r="P72" s="350" t="e">
        <f>'P NP TAMBAK KAB'!#REF!</f>
        <v>#REF!</v>
      </c>
      <c r="Q72" s="350" t="e">
        <f>'P NP TAMBAK KAB'!#REF!</f>
        <v>#REF!</v>
      </c>
      <c r="R72" s="350" t="e">
        <f>SUM('P NP TAMBAK KAB'!BI20,'P NP TAMBAK KAB'!BK20,'P NP TAMBAK KAB'!#REF!,'P NP TAMBAK KAB'!#REF!,'P NP TAMBAK KAB'!#REF!,'P NP TAMBAK KAB'!#REF!)</f>
        <v>#REF!</v>
      </c>
      <c r="S72" s="350">
        <f>'P NP TAMBAK KAB'!AO20</f>
        <v>0</v>
      </c>
      <c r="T72" s="350" t="e">
        <f>'P NP TAMBAK KAB'!#REF!</f>
        <v>#REF!</v>
      </c>
      <c r="U72" s="350" t="e">
        <f>SUM('P NP TAMBAK KAB'!S20,'P NP TAMBAK KAB'!AQ20,'P NP TAMBAK KAB'!AS20,'P NP TAMBAK KAB'!#REF!,'P NP TAMBAK KAB'!#REF!,'P NP TAMBAK KAB'!#REF!,'P NP TAMBAK KAB'!#REF!,'P NP TAMBAK KAB'!#REF!,'P NP TAMBAK KAB'!#REF!,'P NP TAMBAK KAB'!#REF!)</f>
        <v>#REF!</v>
      </c>
      <c r="V72" s="351" t="e">
        <f>SUM('P NP TAMBAK KAB'!Y20,'P NP TAMBAK KAB'!AA20,'P NP TAMBAK KAB'!AE20,'P NP TAMBAK KAB'!#REF!,'P NP TAMBAK KAB'!#REF!)</f>
        <v>#REF!</v>
      </c>
      <c r="W72" s="306"/>
      <c r="X72" s="557">
        <f t="shared" si="10"/>
        <v>1672453790</v>
      </c>
      <c r="Y72" s="350">
        <v>533846210</v>
      </c>
      <c r="Z72" s="350">
        <v>161357830</v>
      </c>
      <c r="AA72" s="350">
        <v>587235720</v>
      </c>
      <c r="AB72" s="351">
        <v>390014030</v>
      </c>
    </row>
    <row r="73" spans="1:28">
      <c r="A73" s="346" t="s">
        <v>129</v>
      </c>
      <c r="B73" s="350" t="e">
        <f t="shared" si="7"/>
        <v>#REF!</v>
      </c>
      <c r="C73" s="350" t="e">
        <f t="shared" si="8"/>
        <v>#REF!</v>
      </c>
      <c r="D73" s="350">
        <f>'P NP TAMBAK KAB'!AU21</f>
        <v>0</v>
      </c>
      <c r="E73" s="350">
        <f>'P NP TAMBAK KAB'!BO21</f>
        <v>0</v>
      </c>
      <c r="F73" s="350" t="e">
        <f>'P NP TAMBAK KAB'!#REF!</f>
        <v>#REF!</v>
      </c>
      <c r="G73" s="350">
        <f>'P NP TAMBAK KAB'!AK21+'P NP TAMBAK KAB'!AM21</f>
        <v>0</v>
      </c>
      <c r="H73" s="350">
        <f>'P NP TAMBAK KAB'!E21</f>
        <v>0</v>
      </c>
      <c r="I73" s="350">
        <f>'P NP TAMBAK KAB'!BS21</f>
        <v>0</v>
      </c>
      <c r="J73" s="350">
        <f>'P NP TAMBAK KAB'!O21</f>
        <v>0</v>
      </c>
      <c r="K73" s="351" t="e">
        <f>SUM('P NP TAMBAK KAB'!G21,'P NP TAMBAK KAB'!I21,'P NP TAMBAK KAB'!K21,'P NP TAMBAK KAB'!M21,'P NP TAMBAK KAB'!Q21,'P NP TAMBAK KAB'!U21,'P NP TAMBAK KAB'!W21,'P NP TAMBAK KAB'!AC21,'P NP TAMBAK KAB'!AG21,'P NP TAMBAK KAB'!AI21,'P NP TAMBAK KAB'!AW21,'P NP TAMBAK KAB'!AY21,'P NP TAMBAK KAB'!BA21,'P NP TAMBAK KAB'!BC21,'P NP TAMBAK KAB'!BE21,'P NP TAMBAK KAB'!BG21,'P NP TAMBAK KAB'!BM21,'P NP TAMBAK KAB'!BQ21,'P NP TAMBAK KAB'!BU21,'P NP TAMBAK KAB'!BW21,'P NP TAMBAK KAB'!BY21,'P NP TAMBAK KAB'!#REF!,'P NP TAMBAK KAB'!#REF!,'P NP TAMBAK KAB'!#REF!,'P NP TAMBAK KAB'!#REF!,'P NP TAMBAK KAB'!#REF!,'P NP TAMBAK KAB'!#REF!,'P NP TAMBAK KAB'!#REF!)</f>
        <v>#REF!</v>
      </c>
      <c r="L73" s="352" t="e">
        <f t="shared" si="9"/>
        <v>#REF!</v>
      </c>
      <c r="M73" s="350" t="e">
        <f>'P NP TAMBAK KAB'!#REF!</f>
        <v>#REF!</v>
      </c>
      <c r="N73" s="350" t="e">
        <f>'P NP TAMBAK KAB'!#REF!</f>
        <v>#REF!</v>
      </c>
      <c r="O73" s="350" t="e">
        <f>'P NP TAMBAK KAB'!#REF!</f>
        <v>#REF!</v>
      </c>
      <c r="P73" s="350" t="e">
        <f>'P NP TAMBAK KAB'!#REF!</f>
        <v>#REF!</v>
      </c>
      <c r="Q73" s="350" t="e">
        <f>'P NP TAMBAK KAB'!#REF!</f>
        <v>#REF!</v>
      </c>
      <c r="R73" s="350" t="e">
        <f>SUM('P NP TAMBAK KAB'!BI21,'P NP TAMBAK KAB'!BK21,'P NP TAMBAK KAB'!#REF!,'P NP TAMBAK KAB'!#REF!,'P NP TAMBAK KAB'!#REF!,'P NP TAMBAK KAB'!#REF!)</f>
        <v>#REF!</v>
      </c>
      <c r="S73" s="350">
        <f>'P NP TAMBAK KAB'!AO21</f>
        <v>0</v>
      </c>
      <c r="T73" s="350" t="e">
        <f>'P NP TAMBAK KAB'!#REF!</f>
        <v>#REF!</v>
      </c>
      <c r="U73" s="350" t="e">
        <f>SUM('P NP TAMBAK KAB'!S21,'P NP TAMBAK KAB'!AQ21,'P NP TAMBAK KAB'!AS21,'P NP TAMBAK KAB'!#REF!,'P NP TAMBAK KAB'!#REF!,'P NP TAMBAK KAB'!#REF!,'P NP TAMBAK KAB'!#REF!,'P NP TAMBAK KAB'!#REF!,'P NP TAMBAK KAB'!#REF!,'P NP TAMBAK KAB'!#REF!)</f>
        <v>#REF!</v>
      </c>
      <c r="V73" s="351" t="e">
        <f>SUM('P NP TAMBAK KAB'!Y21,'P NP TAMBAK KAB'!AA21,'P NP TAMBAK KAB'!AE21,'P NP TAMBAK KAB'!#REF!,'P NP TAMBAK KAB'!#REF!)</f>
        <v>#REF!</v>
      </c>
      <c r="W73" s="306"/>
      <c r="X73" s="557">
        <f t="shared" si="10"/>
        <v>0</v>
      </c>
      <c r="Y73" s="350">
        <v>0</v>
      </c>
      <c r="Z73" s="350">
        <v>0</v>
      </c>
      <c r="AA73" s="350">
        <v>0</v>
      </c>
      <c r="AB73" s="351">
        <v>0</v>
      </c>
    </row>
    <row r="74" spans="1:28">
      <c r="A74" s="346" t="s">
        <v>132</v>
      </c>
      <c r="B74" s="350" t="e">
        <f t="shared" si="7"/>
        <v>#REF!</v>
      </c>
      <c r="C74" s="350" t="e">
        <f t="shared" si="8"/>
        <v>#REF!</v>
      </c>
      <c r="D74" s="350">
        <f>'P NP TAMBAK KAB'!AU22</f>
        <v>0</v>
      </c>
      <c r="E74" s="350">
        <f>'P NP TAMBAK KAB'!BO22</f>
        <v>0</v>
      </c>
      <c r="F74" s="350" t="e">
        <f>'P NP TAMBAK KAB'!#REF!</f>
        <v>#REF!</v>
      </c>
      <c r="G74" s="350">
        <f>'P NP TAMBAK KAB'!AK22+'P NP TAMBAK KAB'!AM22</f>
        <v>0</v>
      </c>
      <c r="H74" s="350">
        <f>'P NP TAMBAK KAB'!E22</f>
        <v>0</v>
      </c>
      <c r="I74" s="350">
        <f>'P NP TAMBAK KAB'!BS22</f>
        <v>0</v>
      </c>
      <c r="J74" s="350">
        <f>'P NP TAMBAK KAB'!O22</f>
        <v>0</v>
      </c>
      <c r="K74" s="351" t="e">
        <f>SUM('P NP TAMBAK KAB'!G22,'P NP TAMBAK KAB'!I22,'P NP TAMBAK KAB'!K22,'P NP TAMBAK KAB'!M22,'P NP TAMBAK KAB'!Q22,'P NP TAMBAK KAB'!U22,'P NP TAMBAK KAB'!W22,'P NP TAMBAK KAB'!AC22,'P NP TAMBAK KAB'!AG22,'P NP TAMBAK KAB'!AI22,'P NP TAMBAK KAB'!AW22,'P NP TAMBAK KAB'!AY22,'P NP TAMBAK KAB'!BA22,'P NP TAMBAK KAB'!BC22,'P NP TAMBAK KAB'!BE22,'P NP TAMBAK KAB'!BG22,'P NP TAMBAK KAB'!BM22,'P NP TAMBAK KAB'!BQ22,'P NP TAMBAK KAB'!BU22,'P NP TAMBAK KAB'!BW22,'P NP TAMBAK KAB'!BY22,'P NP TAMBAK KAB'!#REF!,'P NP TAMBAK KAB'!#REF!,'P NP TAMBAK KAB'!#REF!,'P NP TAMBAK KAB'!#REF!,'P NP TAMBAK KAB'!#REF!,'P NP TAMBAK KAB'!#REF!,'P NP TAMBAK KAB'!#REF!)</f>
        <v>#REF!</v>
      </c>
      <c r="L74" s="352" t="e">
        <f t="shared" si="9"/>
        <v>#REF!</v>
      </c>
      <c r="M74" s="350" t="e">
        <f>'P NP TAMBAK KAB'!#REF!</f>
        <v>#REF!</v>
      </c>
      <c r="N74" s="350" t="e">
        <f>'P NP TAMBAK KAB'!#REF!</f>
        <v>#REF!</v>
      </c>
      <c r="O74" s="350" t="e">
        <f>'P NP TAMBAK KAB'!#REF!</f>
        <v>#REF!</v>
      </c>
      <c r="P74" s="350" t="e">
        <f>'P NP TAMBAK KAB'!#REF!</f>
        <v>#REF!</v>
      </c>
      <c r="Q74" s="350" t="e">
        <f>'P NP TAMBAK KAB'!#REF!</f>
        <v>#REF!</v>
      </c>
      <c r="R74" s="350" t="e">
        <f>SUM('P NP TAMBAK KAB'!BI22,'P NP TAMBAK KAB'!BK22,'P NP TAMBAK KAB'!#REF!,'P NP TAMBAK KAB'!#REF!,'P NP TAMBAK KAB'!#REF!,'P NP TAMBAK KAB'!#REF!)</f>
        <v>#REF!</v>
      </c>
      <c r="S74" s="350">
        <f>'P NP TAMBAK KAB'!AO22</f>
        <v>0</v>
      </c>
      <c r="T74" s="350" t="e">
        <f>'P NP TAMBAK KAB'!#REF!</f>
        <v>#REF!</v>
      </c>
      <c r="U74" s="350" t="e">
        <f>SUM('P NP TAMBAK KAB'!S22,'P NP TAMBAK KAB'!AQ22,'P NP TAMBAK KAB'!AS22,'P NP TAMBAK KAB'!#REF!,'P NP TAMBAK KAB'!#REF!,'P NP TAMBAK KAB'!#REF!,'P NP TAMBAK KAB'!#REF!,'P NP TAMBAK KAB'!#REF!,'P NP TAMBAK KAB'!#REF!,'P NP TAMBAK KAB'!#REF!)</f>
        <v>#REF!</v>
      </c>
      <c r="V74" s="351" t="e">
        <f>SUM('P NP TAMBAK KAB'!Y22,'P NP TAMBAK KAB'!AA22,'P NP TAMBAK KAB'!AE22,'P NP TAMBAK KAB'!#REF!,'P NP TAMBAK KAB'!#REF!)</f>
        <v>#REF!</v>
      </c>
      <c r="W74" s="306"/>
      <c r="X74" s="557">
        <f t="shared" si="10"/>
        <v>0</v>
      </c>
      <c r="Y74" s="350">
        <v>0</v>
      </c>
      <c r="Z74" s="350">
        <v>0</v>
      </c>
      <c r="AA74" s="350">
        <v>0</v>
      </c>
      <c r="AB74" s="351">
        <v>0</v>
      </c>
    </row>
    <row r="75" spans="1:28">
      <c r="A75" s="346" t="s">
        <v>112</v>
      </c>
      <c r="B75" s="350" t="e">
        <f t="shared" si="7"/>
        <v>#REF!</v>
      </c>
      <c r="C75" s="350" t="e">
        <f t="shared" si="8"/>
        <v>#REF!</v>
      </c>
      <c r="D75" s="350">
        <f>'P NP TAMBAK KAB'!AU23</f>
        <v>0</v>
      </c>
      <c r="E75" s="350">
        <f>'P NP TAMBAK KAB'!BO23</f>
        <v>0</v>
      </c>
      <c r="F75" s="350" t="e">
        <f>'P NP TAMBAK KAB'!#REF!</f>
        <v>#REF!</v>
      </c>
      <c r="G75" s="350">
        <f>'P NP TAMBAK KAB'!AK23+'P NP TAMBAK KAB'!AM23</f>
        <v>0</v>
      </c>
      <c r="H75" s="350">
        <f>'P NP TAMBAK KAB'!E23</f>
        <v>0</v>
      </c>
      <c r="I75" s="350">
        <f>'P NP TAMBAK KAB'!BS23</f>
        <v>0</v>
      </c>
      <c r="J75" s="350">
        <f>'P NP TAMBAK KAB'!O23</f>
        <v>0</v>
      </c>
      <c r="K75" s="351" t="e">
        <f>SUM('P NP TAMBAK KAB'!G23,'P NP TAMBAK KAB'!I23,'P NP TAMBAK KAB'!K23,'P NP TAMBAK KAB'!M23,'P NP TAMBAK KAB'!Q23,'P NP TAMBAK KAB'!U23,'P NP TAMBAK KAB'!W23,'P NP TAMBAK KAB'!AC23,'P NP TAMBAK KAB'!AG23,'P NP TAMBAK KAB'!AI23,'P NP TAMBAK KAB'!AW23,'P NP TAMBAK KAB'!AY23,'P NP TAMBAK KAB'!BA23,'P NP TAMBAK KAB'!BC23,'P NP TAMBAK KAB'!BE23,'P NP TAMBAK KAB'!BG23,'P NP TAMBAK KAB'!BM23,'P NP TAMBAK KAB'!BQ23,'P NP TAMBAK KAB'!BU23,'P NP TAMBAK KAB'!BW23,'P NP TAMBAK KAB'!BY23,'P NP TAMBAK KAB'!#REF!,'P NP TAMBAK KAB'!#REF!,'P NP TAMBAK KAB'!#REF!,'P NP TAMBAK KAB'!#REF!,'P NP TAMBAK KAB'!#REF!,'P NP TAMBAK KAB'!#REF!,'P NP TAMBAK KAB'!#REF!)</f>
        <v>#REF!</v>
      </c>
      <c r="L75" s="352" t="e">
        <f t="shared" si="9"/>
        <v>#REF!</v>
      </c>
      <c r="M75" s="350" t="e">
        <f>'P NP TAMBAK KAB'!#REF!</f>
        <v>#REF!</v>
      </c>
      <c r="N75" s="350" t="e">
        <f>'P NP TAMBAK KAB'!#REF!</f>
        <v>#REF!</v>
      </c>
      <c r="O75" s="350" t="e">
        <f>'P NP TAMBAK KAB'!#REF!</f>
        <v>#REF!</v>
      </c>
      <c r="P75" s="350" t="e">
        <f>'P NP TAMBAK KAB'!#REF!</f>
        <v>#REF!</v>
      </c>
      <c r="Q75" s="350" t="e">
        <f>'P NP TAMBAK KAB'!#REF!</f>
        <v>#REF!</v>
      </c>
      <c r="R75" s="350" t="e">
        <f>SUM('P NP TAMBAK KAB'!BI23,'P NP TAMBAK KAB'!BK23,'P NP TAMBAK KAB'!#REF!,'P NP TAMBAK KAB'!#REF!,'P NP TAMBAK KAB'!#REF!,'P NP TAMBAK KAB'!#REF!)</f>
        <v>#REF!</v>
      </c>
      <c r="S75" s="350">
        <f>'P NP TAMBAK KAB'!AO23</f>
        <v>0</v>
      </c>
      <c r="T75" s="350" t="e">
        <f>'P NP TAMBAK KAB'!#REF!</f>
        <v>#REF!</v>
      </c>
      <c r="U75" s="350" t="e">
        <f>SUM('P NP TAMBAK KAB'!S23,'P NP TAMBAK KAB'!AQ23,'P NP TAMBAK KAB'!AS23,'P NP TAMBAK KAB'!#REF!,'P NP TAMBAK KAB'!#REF!,'P NP TAMBAK KAB'!#REF!,'P NP TAMBAK KAB'!#REF!,'P NP TAMBAK KAB'!#REF!,'P NP TAMBAK KAB'!#REF!,'P NP TAMBAK KAB'!#REF!)</f>
        <v>#REF!</v>
      </c>
      <c r="V75" s="351" t="e">
        <f>SUM('P NP TAMBAK KAB'!Y23,'P NP TAMBAK KAB'!AA23,'P NP TAMBAK KAB'!AE23,'P NP TAMBAK KAB'!#REF!,'P NP TAMBAK KAB'!#REF!)</f>
        <v>#REF!</v>
      </c>
      <c r="W75" s="306"/>
      <c r="X75" s="557">
        <f t="shared" si="10"/>
        <v>0</v>
      </c>
      <c r="Y75" s="350">
        <v>0</v>
      </c>
      <c r="Z75" s="350">
        <v>0</v>
      </c>
      <c r="AA75" s="350">
        <v>0</v>
      </c>
      <c r="AB75" s="351">
        <v>0</v>
      </c>
    </row>
    <row r="76" spans="1:28">
      <c r="A76" s="346" t="s">
        <v>139</v>
      </c>
      <c r="B76" s="350" t="e">
        <f t="shared" si="7"/>
        <v>#REF!</v>
      </c>
      <c r="C76" s="350" t="e">
        <f t="shared" si="8"/>
        <v>#REF!</v>
      </c>
      <c r="D76" s="350">
        <f>'P NP TAMBAK KAB'!AU24</f>
        <v>0</v>
      </c>
      <c r="E76" s="350">
        <f>'P NP TAMBAK KAB'!BO24</f>
        <v>0</v>
      </c>
      <c r="F76" s="350" t="e">
        <f>'P NP TAMBAK KAB'!#REF!</f>
        <v>#REF!</v>
      </c>
      <c r="G76" s="350">
        <f>'P NP TAMBAK KAB'!AK24+'P NP TAMBAK KAB'!AM24</f>
        <v>0</v>
      </c>
      <c r="H76" s="350">
        <f>'P NP TAMBAK KAB'!E24</f>
        <v>97290</v>
      </c>
      <c r="I76" s="350">
        <f>'P NP TAMBAK KAB'!BS24</f>
        <v>0</v>
      </c>
      <c r="J76" s="350">
        <f>'P NP TAMBAK KAB'!O24</f>
        <v>0</v>
      </c>
      <c r="K76" s="351" t="e">
        <f>SUM('P NP TAMBAK KAB'!G24,'P NP TAMBAK KAB'!I24,'P NP TAMBAK KAB'!K24,'P NP TAMBAK KAB'!M24,'P NP TAMBAK KAB'!Q24,'P NP TAMBAK KAB'!U24,'P NP TAMBAK KAB'!W24,'P NP TAMBAK KAB'!AC24,'P NP TAMBAK KAB'!AG24,'P NP TAMBAK KAB'!AI24,'P NP TAMBAK KAB'!AW24,'P NP TAMBAK KAB'!AY24,'P NP TAMBAK KAB'!BA24,'P NP TAMBAK KAB'!BC24,'P NP TAMBAK KAB'!BE24,'P NP TAMBAK KAB'!BG24,'P NP TAMBAK KAB'!BM24,'P NP TAMBAK KAB'!BQ24,'P NP TAMBAK KAB'!BU24,'P NP TAMBAK KAB'!BW24,'P NP TAMBAK KAB'!BY24,'P NP TAMBAK KAB'!#REF!,'P NP TAMBAK KAB'!#REF!,'P NP TAMBAK KAB'!#REF!,'P NP TAMBAK KAB'!#REF!,'P NP TAMBAK KAB'!#REF!,'P NP TAMBAK KAB'!#REF!,'P NP TAMBAK KAB'!#REF!)</f>
        <v>#REF!</v>
      </c>
      <c r="L76" s="352" t="e">
        <f t="shared" si="9"/>
        <v>#REF!</v>
      </c>
      <c r="M76" s="350" t="e">
        <f>'P NP TAMBAK KAB'!#REF!</f>
        <v>#REF!</v>
      </c>
      <c r="N76" s="350" t="e">
        <f>'P NP TAMBAK KAB'!#REF!</f>
        <v>#REF!</v>
      </c>
      <c r="O76" s="350" t="e">
        <f>'P NP TAMBAK KAB'!#REF!</f>
        <v>#REF!</v>
      </c>
      <c r="P76" s="350" t="e">
        <f>'P NP TAMBAK KAB'!#REF!</f>
        <v>#REF!</v>
      </c>
      <c r="Q76" s="350" t="e">
        <f>'P NP TAMBAK KAB'!#REF!</f>
        <v>#REF!</v>
      </c>
      <c r="R76" s="350" t="e">
        <f>SUM('P NP TAMBAK KAB'!BI24,'P NP TAMBAK KAB'!BK24,'P NP TAMBAK KAB'!#REF!,'P NP TAMBAK KAB'!#REF!,'P NP TAMBAK KAB'!#REF!,'P NP TAMBAK KAB'!#REF!)</f>
        <v>#REF!</v>
      </c>
      <c r="S76" s="350">
        <f>'P NP TAMBAK KAB'!AO24</f>
        <v>0</v>
      </c>
      <c r="T76" s="350" t="e">
        <f>'P NP TAMBAK KAB'!#REF!</f>
        <v>#REF!</v>
      </c>
      <c r="U76" s="350" t="e">
        <f>SUM('P NP TAMBAK KAB'!S24,'P NP TAMBAK KAB'!AQ24,'P NP TAMBAK KAB'!AS24,'P NP TAMBAK KAB'!#REF!,'P NP TAMBAK KAB'!#REF!,'P NP TAMBAK KAB'!#REF!,'P NP TAMBAK KAB'!#REF!,'P NP TAMBAK KAB'!#REF!,'P NP TAMBAK KAB'!#REF!,'P NP TAMBAK KAB'!#REF!)</f>
        <v>#REF!</v>
      </c>
      <c r="V76" s="351" t="e">
        <f>SUM('P NP TAMBAK KAB'!Y24,'P NP TAMBAK KAB'!AA24,'P NP TAMBAK KAB'!AE24,'P NP TAMBAK KAB'!#REF!,'P NP TAMBAK KAB'!#REF!)</f>
        <v>#REF!</v>
      </c>
      <c r="W76" s="306"/>
      <c r="X76" s="557">
        <f t="shared" si="10"/>
        <v>0</v>
      </c>
      <c r="Y76" s="350">
        <v>0</v>
      </c>
      <c r="Z76" s="350">
        <v>0</v>
      </c>
      <c r="AA76" s="350">
        <v>0</v>
      </c>
      <c r="AB76" s="351">
        <v>0</v>
      </c>
    </row>
    <row r="77" spans="1:28">
      <c r="A77" s="346" t="s">
        <v>125</v>
      </c>
      <c r="B77" s="350" t="e">
        <f t="shared" si="7"/>
        <v>#REF!</v>
      </c>
      <c r="C77" s="350" t="e">
        <f t="shared" si="8"/>
        <v>#REF!</v>
      </c>
      <c r="D77" s="350">
        <f>'P NP TAMBAK KAB'!AU25</f>
        <v>0</v>
      </c>
      <c r="E77" s="350">
        <f>'P NP TAMBAK KAB'!BO25</f>
        <v>0</v>
      </c>
      <c r="F77" s="350" t="e">
        <f>'P NP TAMBAK KAB'!#REF!</f>
        <v>#REF!</v>
      </c>
      <c r="G77" s="350">
        <f>'P NP TAMBAK KAB'!AK25+'P NP TAMBAK KAB'!AM25</f>
        <v>0</v>
      </c>
      <c r="H77" s="350">
        <f>'P NP TAMBAK KAB'!E25</f>
        <v>83738548</v>
      </c>
      <c r="I77" s="350">
        <f>'P NP TAMBAK KAB'!BS25</f>
        <v>0</v>
      </c>
      <c r="J77" s="350">
        <f>'P NP TAMBAK KAB'!O25</f>
        <v>4759959</v>
      </c>
      <c r="K77" s="351" t="e">
        <f>SUM('P NP TAMBAK KAB'!G25,'P NP TAMBAK KAB'!I25,'P NP TAMBAK KAB'!K25,'P NP TAMBAK KAB'!M25,'P NP TAMBAK KAB'!Q25,'P NP TAMBAK KAB'!U25,'P NP TAMBAK KAB'!W25,'P NP TAMBAK KAB'!AC25,'P NP TAMBAK KAB'!AG25,'P NP TAMBAK KAB'!AI25,'P NP TAMBAK KAB'!AW25,'P NP TAMBAK KAB'!AY25,'P NP TAMBAK KAB'!BA25,'P NP TAMBAK KAB'!BC25,'P NP TAMBAK KAB'!BE25,'P NP TAMBAK KAB'!BG25,'P NP TAMBAK KAB'!BM25,'P NP TAMBAK KAB'!BQ25,'P NP TAMBAK KAB'!BU25,'P NP TAMBAK KAB'!BW25,'P NP TAMBAK KAB'!BY25,'P NP TAMBAK KAB'!#REF!,'P NP TAMBAK KAB'!#REF!,'P NP TAMBAK KAB'!#REF!,'P NP TAMBAK KAB'!#REF!,'P NP TAMBAK KAB'!#REF!,'P NP TAMBAK KAB'!#REF!,'P NP TAMBAK KAB'!#REF!)</f>
        <v>#REF!</v>
      </c>
      <c r="L77" s="352" t="e">
        <f t="shared" si="9"/>
        <v>#REF!</v>
      </c>
      <c r="M77" s="350" t="e">
        <f>'P NP TAMBAK KAB'!#REF!</f>
        <v>#REF!</v>
      </c>
      <c r="N77" s="350" t="e">
        <f>'P NP TAMBAK KAB'!#REF!</f>
        <v>#REF!</v>
      </c>
      <c r="O77" s="350" t="e">
        <f>'P NP TAMBAK KAB'!#REF!</f>
        <v>#REF!</v>
      </c>
      <c r="P77" s="350" t="e">
        <f>'P NP TAMBAK KAB'!#REF!</f>
        <v>#REF!</v>
      </c>
      <c r="Q77" s="350" t="e">
        <f>'P NP TAMBAK KAB'!#REF!</f>
        <v>#REF!</v>
      </c>
      <c r="R77" s="350" t="e">
        <f>SUM('P NP TAMBAK KAB'!BI25,'P NP TAMBAK KAB'!BK25,'P NP TAMBAK KAB'!#REF!,'P NP TAMBAK KAB'!#REF!,'P NP TAMBAK KAB'!#REF!,'P NP TAMBAK KAB'!#REF!)</f>
        <v>#REF!</v>
      </c>
      <c r="S77" s="350">
        <f>'P NP TAMBAK KAB'!AO25</f>
        <v>4836897</v>
      </c>
      <c r="T77" s="350" t="e">
        <f>'P NP TAMBAK KAB'!#REF!</f>
        <v>#REF!</v>
      </c>
      <c r="U77" s="350" t="e">
        <f>SUM('P NP TAMBAK KAB'!S25,'P NP TAMBAK KAB'!AQ25,'P NP TAMBAK KAB'!AS25,'P NP TAMBAK KAB'!#REF!,'P NP TAMBAK KAB'!#REF!,'P NP TAMBAK KAB'!#REF!,'P NP TAMBAK KAB'!#REF!,'P NP TAMBAK KAB'!#REF!,'P NP TAMBAK KAB'!#REF!,'P NP TAMBAK KAB'!#REF!)</f>
        <v>#REF!</v>
      </c>
      <c r="V77" s="351" t="e">
        <f>SUM('P NP TAMBAK KAB'!Y25,'P NP TAMBAK KAB'!AA25,'P NP TAMBAK KAB'!AE25,'P NP TAMBAK KAB'!#REF!,'P NP TAMBAK KAB'!#REF!)</f>
        <v>#REF!</v>
      </c>
      <c r="W77" s="306"/>
      <c r="X77" s="557">
        <f t="shared" si="10"/>
        <v>0</v>
      </c>
      <c r="Y77" s="350">
        <v>0</v>
      </c>
      <c r="Z77" s="350">
        <v>0</v>
      </c>
      <c r="AA77" s="350">
        <v>0</v>
      </c>
      <c r="AB77" s="351">
        <v>0</v>
      </c>
    </row>
    <row r="78" spans="1:28">
      <c r="A78" s="346" t="s">
        <v>113</v>
      </c>
      <c r="B78" s="350" t="e">
        <f t="shared" si="7"/>
        <v>#REF!</v>
      </c>
      <c r="C78" s="350" t="e">
        <f t="shared" si="8"/>
        <v>#REF!</v>
      </c>
      <c r="D78" s="350">
        <f>'P NP TAMBAK KAB'!AU26</f>
        <v>0</v>
      </c>
      <c r="E78" s="350">
        <f>'P NP TAMBAK KAB'!BO26</f>
        <v>0</v>
      </c>
      <c r="F78" s="350" t="e">
        <f>'P NP TAMBAK KAB'!#REF!</f>
        <v>#REF!</v>
      </c>
      <c r="G78" s="350">
        <f>'P NP TAMBAK KAB'!AK26+'P NP TAMBAK KAB'!AM26</f>
        <v>0</v>
      </c>
      <c r="H78" s="350">
        <f>'P NP TAMBAK KAB'!E26</f>
        <v>0</v>
      </c>
      <c r="I78" s="350">
        <f>'P NP TAMBAK KAB'!BS26</f>
        <v>0</v>
      </c>
      <c r="J78" s="350">
        <f>'P NP TAMBAK KAB'!O26</f>
        <v>0</v>
      </c>
      <c r="K78" s="351" t="e">
        <f>SUM('P NP TAMBAK KAB'!G26,'P NP TAMBAK KAB'!I26,'P NP TAMBAK KAB'!K26,'P NP TAMBAK KAB'!M26,'P NP TAMBAK KAB'!Q26,'P NP TAMBAK KAB'!U26,'P NP TAMBAK KAB'!W26,'P NP TAMBAK KAB'!AC26,'P NP TAMBAK KAB'!AG26,'P NP TAMBAK KAB'!AI26,'P NP TAMBAK KAB'!AW26,'P NP TAMBAK KAB'!AY26,'P NP TAMBAK KAB'!BA26,'P NP TAMBAK KAB'!BC26,'P NP TAMBAK KAB'!BE26,'P NP TAMBAK KAB'!BG26,'P NP TAMBAK KAB'!BM26,'P NP TAMBAK KAB'!BQ26,'P NP TAMBAK KAB'!BU26,'P NP TAMBAK KAB'!BW26,'P NP TAMBAK KAB'!BY26,'P NP TAMBAK KAB'!#REF!,'P NP TAMBAK KAB'!#REF!,'P NP TAMBAK KAB'!#REF!,'P NP TAMBAK KAB'!#REF!,'P NP TAMBAK KAB'!#REF!,'P NP TAMBAK KAB'!#REF!,'P NP TAMBAK KAB'!#REF!)</f>
        <v>#REF!</v>
      </c>
      <c r="L78" s="352" t="e">
        <f>SUM(M78:U78)</f>
        <v>#REF!</v>
      </c>
      <c r="M78" s="350" t="e">
        <f>'P NP TAMBAK KAB'!#REF!</f>
        <v>#REF!</v>
      </c>
      <c r="N78" s="350" t="e">
        <f>'P NP TAMBAK KAB'!#REF!</f>
        <v>#REF!</v>
      </c>
      <c r="O78" s="350" t="e">
        <f>'P NP TAMBAK KAB'!#REF!</f>
        <v>#REF!</v>
      </c>
      <c r="P78" s="350" t="e">
        <f>'P NP TAMBAK KAB'!#REF!</f>
        <v>#REF!</v>
      </c>
      <c r="Q78" s="350" t="e">
        <f>'P NP TAMBAK KAB'!#REF!</f>
        <v>#REF!</v>
      </c>
      <c r="R78" s="350" t="e">
        <f>SUM('P NP TAMBAK KAB'!BI26,'P NP TAMBAK KAB'!BK26,'P NP TAMBAK KAB'!#REF!,'P NP TAMBAK KAB'!#REF!,'P NP TAMBAK KAB'!#REF!,'P NP TAMBAK KAB'!#REF!)</f>
        <v>#REF!</v>
      </c>
      <c r="S78" s="350">
        <f>'P NP TAMBAK KAB'!AO26</f>
        <v>0</v>
      </c>
      <c r="T78" s="350" t="e">
        <f>'P NP TAMBAK KAB'!#REF!</f>
        <v>#REF!</v>
      </c>
      <c r="U78" s="350" t="e">
        <f>SUM('P NP TAMBAK KAB'!S26,'P NP TAMBAK KAB'!AQ26,'P NP TAMBAK KAB'!AS26,'P NP TAMBAK KAB'!#REF!,'P NP TAMBAK KAB'!#REF!,'P NP TAMBAK KAB'!#REF!,'P NP TAMBAK KAB'!#REF!,'P NP TAMBAK KAB'!#REF!,'P NP TAMBAK KAB'!#REF!,'P NP TAMBAK KAB'!#REF!)</f>
        <v>#REF!</v>
      </c>
      <c r="V78" s="351" t="e">
        <f>SUM('P NP TAMBAK KAB'!Y26,'P NP TAMBAK KAB'!AA26,'P NP TAMBAK KAB'!AE26,'P NP TAMBAK KAB'!#REF!,'P NP TAMBAK KAB'!#REF!)</f>
        <v>#REF!</v>
      </c>
      <c r="W78" s="306"/>
      <c r="X78" s="557">
        <f t="shared" si="10"/>
        <v>0</v>
      </c>
      <c r="Y78" s="350">
        <v>0</v>
      </c>
      <c r="Z78" s="350">
        <v>0</v>
      </c>
      <c r="AA78" s="350">
        <v>0</v>
      </c>
      <c r="AB78" s="351">
        <v>0</v>
      </c>
    </row>
    <row r="79" spans="1:28">
      <c r="A79" s="346" t="s">
        <v>124</v>
      </c>
      <c r="B79" s="350" t="e">
        <f t="shared" si="7"/>
        <v>#REF!</v>
      </c>
      <c r="C79" s="350" t="e">
        <f t="shared" si="8"/>
        <v>#REF!</v>
      </c>
      <c r="D79" s="350">
        <f>'P NP TAMBAK KAB'!AU27</f>
        <v>0</v>
      </c>
      <c r="E79" s="350">
        <f>'P NP TAMBAK KAB'!BO27</f>
        <v>0</v>
      </c>
      <c r="F79" s="350" t="e">
        <f>'P NP TAMBAK KAB'!#REF!</f>
        <v>#REF!</v>
      </c>
      <c r="G79" s="350">
        <f>'P NP TAMBAK KAB'!AK27+'P NP TAMBAK KAB'!AM27</f>
        <v>699900</v>
      </c>
      <c r="H79" s="350">
        <f>'P NP TAMBAK KAB'!E27</f>
        <v>15306000</v>
      </c>
      <c r="I79" s="350">
        <f>'P NP TAMBAK KAB'!BS27</f>
        <v>0</v>
      </c>
      <c r="J79" s="350">
        <f>'P NP TAMBAK KAB'!O27</f>
        <v>0</v>
      </c>
      <c r="K79" s="351" t="e">
        <f>SUM('P NP TAMBAK KAB'!G27,'P NP TAMBAK KAB'!I27,'P NP TAMBAK KAB'!K27,'P NP TAMBAK KAB'!M27,'P NP TAMBAK KAB'!Q27,'P NP TAMBAK KAB'!U27,'P NP TAMBAK KAB'!W27,'P NP TAMBAK KAB'!AC27,'P NP TAMBAK KAB'!AG27,'P NP TAMBAK KAB'!AI27,'P NP TAMBAK KAB'!AW27,'P NP TAMBAK KAB'!AY27,'P NP TAMBAK KAB'!BA27,'P NP TAMBAK KAB'!BC27,'P NP TAMBAK KAB'!BE27,'P NP TAMBAK KAB'!BG27,'P NP TAMBAK KAB'!BM27,'P NP TAMBAK KAB'!BQ27,'P NP TAMBAK KAB'!BU27,'P NP TAMBAK KAB'!BW27,'P NP TAMBAK KAB'!BY27,'P NP TAMBAK KAB'!#REF!,'P NP TAMBAK KAB'!#REF!,'P NP TAMBAK KAB'!#REF!,'P NP TAMBAK KAB'!#REF!,'P NP TAMBAK KAB'!#REF!,'P NP TAMBAK KAB'!#REF!,'P NP TAMBAK KAB'!#REF!)</f>
        <v>#REF!</v>
      </c>
      <c r="L79" s="352" t="e">
        <f>SUM(M79:U79)</f>
        <v>#REF!</v>
      </c>
      <c r="M79" s="350" t="e">
        <f>'P NP TAMBAK KAB'!#REF!</f>
        <v>#REF!</v>
      </c>
      <c r="N79" s="350" t="e">
        <f>'P NP TAMBAK KAB'!#REF!</f>
        <v>#REF!</v>
      </c>
      <c r="O79" s="350" t="e">
        <f>'P NP TAMBAK KAB'!#REF!</f>
        <v>#REF!</v>
      </c>
      <c r="P79" s="350" t="e">
        <f>'P NP TAMBAK KAB'!#REF!</f>
        <v>#REF!</v>
      </c>
      <c r="Q79" s="350" t="e">
        <f>'P NP TAMBAK KAB'!#REF!</f>
        <v>#REF!</v>
      </c>
      <c r="R79" s="350" t="e">
        <f>SUM('P NP TAMBAK KAB'!BI27,'P NP TAMBAK KAB'!BK27,'P NP TAMBAK KAB'!#REF!,'P NP TAMBAK KAB'!#REF!,'P NP TAMBAK KAB'!#REF!,'P NP TAMBAK KAB'!#REF!)</f>
        <v>#REF!</v>
      </c>
      <c r="S79" s="350">
        <f>'P NP TAMBAK KAB'!AO27</f>
        <v>506760</v>
      </c>
      <c r="T79" s="350" t="e">
        <f>'P NP TAMBAK KAB'!#REF!</f>
        <v>#REF!</v>
      </c>
      <c r="U79" s="350" t="e">
        <f>SUM('P NP TAMBAK KAB'!S27,'P NP TAMBAK KAB'!AQ27,'P NP TAMBAK KAB'!AS27,'P NP TAMBAK KAB'!#REF!,'P NP TAMBAK KAB'!#REF!,'P NP TAMBAK KAB'!#REF!,'P NP TAMBAK KAB'!#REF!,'P NP TAMBAK KAB'!#REF!,'P NP TAMBAK KAB'!#REF!,'P NP TAMBAK KAB'!#REF!)</f>
        <v>#REF!</v>
      </c>
      <c r="V79" s="351" t="e">
        <f>SUM('P NP TAMBAK KAB'!Y27,'P NP TAMBAK KAB'!AA27,'P NP TAMBAK KAB'!AE27,'P NP TAMBAK KAB'!#REF!,'P NP TAMBAK KAB'!#REF!)</f>
        <v>#REF!</v>
      </c>
      <c r="W79" s="306"/>
      <c r="X79" s="557">
        <f t="shared" si="10"/>
        <v>0</v>
      </c>
      <c r="Y79" s="350">
        <v>0</v>
      </c>
      <c r="Z79" s="350">
        <v>0</v>
      </c>
      <c r="AA79" s="350">
        <v>0</v>
      </c>
      <c r="AB79" s="351">
        <v>0</v>
      </c>
    </row>
    <row r="80" spans="1:28">
      <c r="A80" s="346" t="s">
        <v>138</v>
      </c>
      <c r="B80" s="350" t="e">
        <f t="shared" si="7"/>
        <v>#REF!</v>
      </c>
      <c r="C80" s="350" t="e">
        <f t="shared" si="8"/>
        <v>#REF!</v>
      </c>
      <c r="D80" s="350">
        <f>'P NP TAMBAK KAB'!AU28</f>
        <v>0</v>
      </c>
      <c r="E80" s="350">
        <f>'P NP TAMBAK KAB'!BO28</f>
        <v>0</v>
      </c>
      <c r="F80" s="350" t="e">
        <f>'P NP TAMBAK KAB'!#REF!</f>
        <v>#REF!</v>
      </c>
      <c r="G80" s="350">
        <f>'P NP TAMBAK KAB'!AK28+'P NP TAMBAK KAB'!AM28</f>
        <v>368625</v>
      </c>
      <c r="H80" s="350">
        <f>'P NP TAMBAK KAB'!E28</f>
        <v>11812528</v>
      </c>
      <c r="I80" s="350">
        <f>'P NP TAMBAK KAB'!BS28</f>
        <v>0</v>
      </c>
      <c r="J80" s="350">
        <f>'P NP TAMBAK KAB'!O28</f>
        <v>70000</v>
      </c>
      <c r="K80" s="351" t="e">
        <f>SUM('P NP TAMBAK KAB'!G28,'P NP TAMBAK KAB'!I28,'P NP TAMBAK KAB'!K28,'P NP TAMBAK KAB'!M28,'P NP TAMBAK KAB'!Q28,'P NP TAMBAK KAB'!U28,'P NP TAMBAK KAB'!W28,'P NP TAMBAK KAB'!AC28,'P NP TAMBAK KAB'!AG28,'P NP TAMBAK KAB'!AI28,'P NP TAMBAK KAB'!AW28,'P NP TAMBAK KAB'!AY28,'P NP TAMBAK KAB'!BA28,'P NP TAMBAK KAB'!BC28,'P NP TAMBAK KAB'!BE28,'P NP TAMBAK KAB'!BG28,'P NP TAMBAK KAB'!BM28,'P NP TAMBAK KAB'!BQ28,'P NP TAMBAK KAB'!BU28,'P NP TAMBAK KAB'!BW28,'P NP TAMBAK KAB'!BY28,'P NP TAMBAK KAB'!#REF!,'P NP TAMBAK KAB'!#REF!,'P NP TAMBAK KAB'!#REF!,'P NP TAMBAK KAB'!#REF!,'P NP TAMBAK KAB'!#REF!,'P NP TAMBAK KAB'!#REF!,'P NP TAMBAK KAB'!#REF!)</f>
        <v>#REF!</v>
      </c>
      <c r="L80" s="352" t="e">
        <f>SUM(M80:U80)</f>
        <v>#REF!</v>
      </c>
      <c r="M80" s="350" t="e">
        <f>'P NP TAMBAK KAB'!#REF!</f>
        <v>#REF!</v>
      </c>
      <c r="N80" s="350" t="e">
        <f>'P NP TAMBAK KAB'!#REF!</f>
        <v>#REF!</v>
      </c>
      <c r="O80" s="350" t="e">
        <f>'P NP TAMBAK KAB'!#REF!</f>
        <v>#REF!</v>
      </c>
      <c r="P80" s="350" t="e">
        <f>'P NP TAMBAK KAB'!#REF!</f>
        <v>#REF!</v>
      </c>
      <c r="Q80" s="350" t="e">
        <f>'P NP TAMBAK KAB'!#REF!</f>
        <v>#REF!</v>
      </c>
      <c r="R80" s="350" t="e">
        <f>SUM('P NP TAMBAK KAB'!BI28,'P NP TAMBAK KAB'!BK28,'P NP TAMBAK KAB'!#REF!,'P NP TAMBAK KAB'!#REF!,'P NP TAMBAK KAB'!#REF!,'P NP TAMBAK KAB'!#REF!)</f>
        <v>#REF!</v>
      </c>
      <c r="S80" s="350">
        <f>'P NP TAMBAK KAB'!AO28</f>
        <v>0</v>
      </c>
      <c r="T80" s="350" t="e">
        <f>'P NP TAMBAK KAB'!#REF!</f>
        <v>#REF!</v>
      </c>
      <c r="U80" s="350" t="e">
        <f>SUM('P NP TAMBAK KAB'!S28,'P NP TAMBAK KAB'!AQ28,'P NP TAMBAK KAB'!AS28,'P NP TAMBAK KAB'!#REF!,'P NP TAMBAK KAB'!#REF!,'P NP TAMBAK KAB'!#REF!,'P NP TAMBAK KAB'!#REF!,'P NP TAMBAK KAB'!#REF!,'P NP TAMBAK KAB'!#REF!,'P NP TAMBAK KAB'!#REF!)</f>
        <v>#REF!</v>
      </c>
      <c r="V80" s="351" t="e">
        <f>SUM('P NP TAMBAK KAB'!Y28,'P NP TAMBAK KAB'!AA28,'P NP TAMBAK KAB'!AE28,'P NP TAMBAK KAB'!#REF!,'P NP TAMBAK KAB'!#REF!)</f>
        <v>#REF!</v>
      </c>
      <c r="W80" s="358"/>
      <c r="X80" s="557">
        <f t="shared" si="10"/>
        <v>433221493.31499994</v>
      </c>
      <c r="Y80" s="350">
        <v>52544916</v>
      </c>
      <c r="Z80" s="350">
        <v>69982473.060000002</v>
      </c>
      <c r="AA80" s="350">
        <v>199684241.75499997</v>
      </c>
      <c r="AB80" s="351">
        <v>111009862.5</v>
      </c>
    </row>
    <row r="81" spans="1:28">
      <c r="A81" s="346" t="s">
        <v>126</v>
      </c>
      <c r="B81" s="350" t="e">
        <f t="shared" si="7"/>
        <v>#REF!</v>
      </c>
      <c r="C81" s="350" t="e">
        <f t="shared" si="8"/>
        <v>#REF!</v>
      </c>
      <c r="D81" s="350">
        <f>'P NP TAMBAK KAB'!AU29</f>
        <v>0</v>
      </c>
      <c r="E81" s="350">
        <f>'P NP TAMBAK KAB'!BO29</f>
        <v>0</v>
      </c>
      <c r="F81" s="350" t="e">
        <f>'P NP TAMBAK KAB'!#REF!</f>
        <v>#REF!</v>
      </c>
      <c r="G81" s="350">
        <f>'P NP TAMBAK KAB'!AK29+'P NP TAMBAK KAB'!AM29</f>
        <v>54651200</v>
      </c>
      <c r="H81" s="350">
        <f>'P NP TAMBAK KAB'!E29</f>
        <v>777876000</v>
      </c>
      <c r="I81" s="350">
        <f>'P NP TAMBAK KAB'!BS29</f>
        <v>0</v>
      </c>
      <c r="J81" s="350">
        <f>'P NP TAMBAK KAB'!O29</f>
        <v>32148940</v>
      </c>
      <c r="K81" s="351" t="e">
        <f>SUM('P NP TAMBAK KAB'!G29,'P NP TAMBAK KAB'!I29,'P NP TAMBAK KAB'!K29,'P NP TAMBAK KAB'!M29,'P NP TAMBAK KAB'!Q29,'P NP TAMBAK KAB'!U29,'P NP TAMBAK KAB'!W29,'P NP TAMBAK KAB'!AC29,'P NP TAMBAK KAB'!AG29,'P NP TAMBAK KAB'!AI29,'P NP TAMBAK KAB'!AW29,'P NP TAMBAK KAB'!AY29,'P NP TAMBAK KAB'!BA29,'P NP TAMBAK KAB'!BC29,'P NP TAMBAK KAB'!BE29,'P NP TAMBAK KAB'!BG29,'P NP TAMBAK KAB'!BM29,'P NP TAMBAK KAB'!BQ29,'P NP TAMBAK KAB'!BU29,'P NP TAMBAK KAB'!BW29,'P NP TAMBAK KAB'!BY29,'P NP TAMBAK KAB'!#REF!,'P NP TAMBAK KAB'!#REF!,'P NP TAMBAK KAB'!#REF!,'P NP TAMBAK KAB'!#REF!,'P NP TAMBAK KAB'!#REF!,'P NP TAMBAK KAB'!#REF!,'P NP TAMBAK KAB'!#REF!)</f>
        <v>#REF!</v>
      </c>
      <c r="L81" s="352" t="e">
        <f t="shared" ref="L81:L95" si="11">SUM(M81:U81)</f>
        <v>#REF!</v>
      </c>
      <c r="M81" s="350" t="e">
        <f>'P NP TAMBAK KAB'!#REF!</f>
        <v>#REF!</v>
      </c>
      <c r="N81" s="350" t="e">
        <f>'P NP TAMBAK KAB'!#REF!</f>
        <v>#REF!</v>
      </c>
      <c r="O81" s="350" t="e">
        <f>'P NP TAMBAK KAB'!#REF!</f>
        <v>#REF!</v>
      </c>
      <c r="P81" s="350" t="e">
        <f>'P NP TAMBAK KAB'!#REF!</f>
        <v>#REF!</v>
      </c>
      <c r="Q81" s="350" t="e">
        <f>'P NP TAMBAK KAB'!#REF!</f>
        <v>#REF!</v>
      </c>
      <c r="R81" s="350" t="e">
        <f>SUM('P NP TAMBAK KAB'!BI29,'P NP TAMBAK KAB'!BK29,'P NP TAMBAK KAB'!#REF!,'P NP TAMBAK KAB'!#REF!,'P NP TAMBAK KAB'!#REF!,'P NP TAMBAK KAB'!#REF!)</f>
        <v>#REF!</v>
      </c>
      <c r="S81" s="350">
        <f>'P NP TAMBAK KAB'!AO29</f>
        <v>282819798</v>
      </c>
      <c r="T81" s="350" t="e">
        <f>'P NP TAMBAK KAB'!#REF!</f>
        <v>#REF!</v>
      </c>
      <c r="U81" s="350" t="e">
        <f>SUM('P NP TAMBAK KAB'!S29,'P NP TAMBAK KAB'!AQ29,'P NP TAMBAK KAB'!AS29,'P NP TAMBAK KAB'!#REF!,'P NP TAMBAK KAB'!#REF!,'P NP TAMBAK KAB'!#REF!,'P NP TAMBAK KAB'!#REF!,'P NP TAMBAK KAB'!#REF!,'P NP TAMBAK KAB'!#REF!,'P NP TAMBAK KAB'!#REF!)</f>
        <v>#REF!</v>
      </c>
      <c r="V81" s="351" t="e">
        <f>SUM('P NP TAMBAK KAB'!Y29,'P NP TAMBAK KAB'!AA29,'P NP TAMBAK KAB'!AE29,'P NP TAMBAK KAB'!#REF!,'P NP TAMBAK KAB'!#REF!)</f>
        <v>#REF!</v>
      </c>
      <c r="W81" s="358"/>
      <c r="X81" s="557">
        <f t="shared" si="10"/>
        <v>212148142</v>
      </c>
      <c r="Y81" s="350">
        <v>65582152</v>
      </c>
      <c r="Z81" s="350">
        <v>81632693</v>
      </c>
      <c r="AA81" s="350">
        <v>43204622</v>
      </c>
      <c r="AB81" s="351">
        <v>21728675</v>
      </c>
    </row>
    <row r="82" spans="1:28">
      <c r="A82" s="346" t="s">
        <v>123</v>
      </c>
      <c r="B82" s="350" t="e">
        <f t="shared" si="7"/>
        <v>#REF!</v>
      </c>
      <c r="C82" s="350" t="e">
        <f t="shared" si="8"/>
        <v>#REF!</v>
      </c>
      <c r="D82" s="350">
        <f>'P NP TAMBAK KAB'!AU30</f>
        <v>0</v>
      </c>
      <c r="E82" s="350">
        <f>'P NP TAMBAK KAB'!BO30</f>
        <v>0</v>
      </c>
      <c r="F82" s="350" t="e">
        <f>'P NP TAMBAK KAB'!#REF!</f>
        <v>#REF!</v>
      </c>
      <c r="G82" s="350">
        <f>'P NP TAMBAK KAB'!AK30+'P NP TAMBAK KAB'!AM30</f>
        <v>0</v>
      </c>
      <c r="H82" s="350">
        <f>'P NP TAMBAK KAB'!E30</f>
        <v>34380</v>
      </c>
      <c r="I82" s="350">
        <f>'P NP TAMBAK KAB'!BS30</f>
        <v>0</v>
      </c>
      <c r="J82" s="350">
        <f>'P NP TAMBAK KAB'!O30</f>
        <v>373551</v>
      </c>
      <c r="K82" s="351" t="e">
        <f>SUM('P NP TAMBAK KAB'!G30,'P NP TAMBAK KAB'!I30,'P NP TAMBAK KAB'!K30,'P NP TAMBAK KAB'!M30,'P NP TAMBAK KAB'!Q30,'P NP TAMBAK KAB'!U30,'P NP TAMBAK KAB'!W30,'P NP TAMBAK KAB'!AC30,'P NP TAMBAK KAB'!AG30,'P NP TAMBAK KAB'!AI30,'P NP TAMBAK KAB'!AW30,'P NP TAMBAK KAB'!AY30,'P NP TAMBAK KAB'!BA30,'P NP TAMBAK KAB'!BC30,'P NP TAMBAK KAB'!BE30,'P NP TAMBAK KAB'!BG30,'P NP TAMBAK KAB'!BM30,'P NP TAMBAK KAB'!BQ30,'P NP TAMBAK KAB'!BU30,'P NP TAMBAK KAB'!BW30,'P NP TAMBAK KAB'!BY30,'P NP TAMBAK KAB'!#REF!,'P NP TAMBAK KAB'!#REF!,'P NP TAMBAK KAB'!#REF!,'P NP TAMBAK KAB'!#REF!,'P NP TAMBAK KAB'!#REF!,'P NP TAMBAK KAB'!#REF!,'P NP TAMBAK KAB'!#REF!)</f>
        <v>#REF!</v>
      </c>
      <c r="L82" s="352" t="e">
        <f t="shared" si="11"/>
        <v>#REF!</v>
      </c>
      <c r="M82" s="350" t="e">
        <f>'P NP TAMBAK KAB'!#REF!</f>
        <v>#REF!</v>
      </c>
      <c r="N82" s="350" t="e">
        <f>'P NP TAMBAK KAB'!#REF!</f>
        <v>#REF!</v>
      </c>
      <c r="O82" s="350" t="e">
        <f>'P NP TAMBAK KAB'!#REF!</f>
        <v>#REF!</v>
      </c>
      <c r="P82" s="350" t="e">
        <f>'P NP TAMBAK KAB'!#REF!</f>
        <v>#REF!</v>
      </c>
      <c r="Q82" s="350" t="e">
        <f>'P NP TAMBAK KAB'!#REF!</f>
        <v>#REF!</v>
      </c>
      <c r="R82" s="350" t="e">
        <f>SUM('P NP TAMBAK KAB'!BI30,'P NP TAMBAK KAB'!BK30,'P NP TAMBAK KAB'!#REF!,'P NP TAMBAK KAB'!#REF!,'P NP TAMBAK KAB'!#REF!,'P NP TAMBAK KAB'!#REF!)</f>
        <v>#REF!</v>
      </c>
      <c r="S82" s="350">
        <f>'P NP TAMBAK KAB'!AO30</f>
        <v>0</v>
      </c>
      <c r="T82" s="350" t="e">
        <f>'P NP TAMBAK KAB'!#REF!</f>
        <v>#REF!</v>
      </c>
      <c r="U82" s="350" t="e">
        <f>SUM('P NP TAMBAK KAB'!S30,'P NP TAMBAK KAB'!AQ30,'P NP TAMBAK KAB'!AS30,'P NP TAMBAK KAB'!#REF!,'P NP TAMBAK KAB'!#REF!,'P NP TAMBAK KAB'!#REF!,'P NP TAMBAK KAB'!#REF!,'P NP TAMBAK KAB'!#REF!,'P NP TAMBAK KAB'!#REF!,'P NP TAMBAK KAB'!#REF!)</f>
        <v>#REF!</v>
      </c>
      <c r="V82" s="351" t="e">
        <f>SUM('P NP TAMBAK KAB'!Y30,'P NP TAMBAK KAB'!AA30,'P NP TAMBAK KAB'!AE30,'P NP TAMBAK KAB'!#REF!,'P NP TAMBAK KAB'!#REF!)</f>
        <v>#REF!</v>
      </c>
      <c r="W82" s="358"/>
      <c r="X82" s="557">
        <f t="shared" si="10"/>
        <v>1055170261</v>
      </c>
      <c r="Y82" s="350">
        <v>307798613</v>
      </c>
      <c r="Z82" s="350">
        <v>287399628</v>
      </c>
      <c r="AA82" s="350">
        <v>216410034</v>
      </c>
      <c r="AB82" s="351">
        <v>243561986</v>
      </c>
    </row>
    <row r="83" spans="1:28">
      <c r="A83" s="346" t="s">
        <v>140</v>
      </c>
      <c r="B83" s="350" t="e">
        <f t="shared" si="7"/>
        <v>#REF!</v>
      </c>
      <c r="C83" s="350" t="e">
        <f t="shared" si="8"/>
        <v>#REF!</v>
      </c>
      <c r="D83" s="350">
        <f>'P NP TAMBAK KAB'!AU31</f>
        <v>0</v>
      </c>
      <c r="E83" s="350">
        <f>'P NP TAMBAK KAB'!BO31</f>
        <v>0</v>
      </c>
      <c r="F83" s="350" t="e">
        <f>'P NP TAMBAK KAB'!#REF!</f>
        <v>#REF!</v>
      </c>
      <c r="G83" s="350">
        <f>'P NP TAMBAK KAB'!AK31+'P NP TAMBAK KAB'!AM31</f>
        <v>0</v>
      </c>
      <c r="H83" s="350">
        <f>'P NP TAMBAK KAB'!E31</f>
        <v>14293740</v>
      </c>
      <c r="I83" s="350">
        <f>'P NP TAMBAK KAB'!BS31</f>
        <v>0</v>
      </c>
      <c r="J83" s="350">
        <f>'P NP TAMBAK KAB'!O31</f>
        <v>0</v>
      </c>
      <c r="K83" s="351" t="e">
        <f>SUM('P NP TAMBAK KAB'!G31,'P NP TAMBAK KAB'!I31,'P NP TAMBAK KAB'!K31,'P NP TAMBAK KAB'!M31,'P NP TAMBAK KAB'!Q31,'P NP TAMBAK KAB'!U31,'P NP TAMBAK KAB'!W31,'P NP TAMBAK KAB'!AC31,'P NP TAMBAK KAB'!AG31,'P NP TAMBAK KAB'!AI31,'P NP TAMBAK KAB'!AW31,'P NP TAMBAK KAB'!AY31,'P NP TAMBAK KAB'!BA31,'P NP TAMBAK KAB'!BC31,'P NP TAMBAK KAB'!BE31,'P NP TAMBAK KAB'!BG31,'P NP TAMBAK KAB'!BM31,'P NP TAMBAK KAB'!BQ31,'P NP TAMBAK KAB'!BU31,'P NP TAMBAK KAB'!BW31,'P NP TAMBAK KAB'!BY31,'P NP TAMBAK KAB'!#REF!,'P NP TAMBAK KAB'!#REF!,'P NP TAMBAK KAB'!#REF!,'P NP TAMBAK KAB'!#REF!,'P NP TAMBAK KAB'!#REF!,'P NP TAMBAK KAB'!#REF!,'P NP TAMBAK KAB'!#REF!)</f>
        <v>#REF!</v>
      </c>
      <c r="L83" s="352" t="e">
        <f t="shared" si="11"/>
        <v>#REF!</v>
      </c>
      <c r="M83" s="350" t="e">
        <f>'P NP TAMBAK KAB'!#REF!</f>
        <v>#REF!</v>
      </c>
      <c r="N83" s="350" t="e">
        <f>'P NP TAMBAK KAB'!#REF!</f>
        <v>#REF!</v>
      </c>
      <c r="O83" s="350" t="e">
        <f>'P NP TAMBAK KAB'!#REF!</f>
        <v>#REF!</v>
      </c>
      <c r="P83" s="350" t="e">
        <f>'P NP TAMBAK KAB'!#REF!</f>
        <v>#REF!</v>
      </c>
      <c r="Q83" s="350" t="e">
        <f>'P NP TAMBAK KAB'!#REF!</f>
        <v>#REF!</v>
      </c>
      <c r="R83" s="350" t="e">
        <f>SUM('P NP TAMBAK KAB'!BI31,'P NP TAMBAK KAB'!BK31,'P NP TAMBAK KAB'!#REF!,'P NP TAMBAK KAB'!#REF!,'P NP TAMBAK KAB'!#REF!,'P NP TAMBAK KAB'!#REF!)</f>
        <v>#REF!</v>
      </c>
      <c r="S83" s="350">
        <f>'P NP TAMBAK KAB'!AO31</f>
        <v>1822240</v>
      </c>
      <c r="T83" s="350" t="e">
        <f>'P NP TAMBAK KAB'!#REF!</f>
        <v>#REF!</v>
      </c>
      <c r="U83" s="350" t="e">
        <f>SUM('P NP TAMBAK KAB'!S31,'P NP TAMBAK KAB'!AQ31,'P NP TAMBAK KAB'!AS31,'P NP TAMBAK KAB'!#REF!,'P NP TAMBAK KAB'!#REF!,'P NP TAMBAK KAB'!#REF!,'P NP TAMBAK KAB'!#REF!,'P NP TAMBAK KAB'!#REF!,'P NP TAMBAK KAB'!#REF!,'P NP TAMBAK KAB'!#REF!)</f>
        <v>#REF!</v>
      </c>
      <c r="V83" s="351" t="e">
        <f>SUM('P NP TAMBAK KAB'!Y31,'P NP TAMBAK KAB'!AA31,'P NP TAMBAK KAB'!AE31,'P NP TAMBAK KAB'!#REF!,'P NP TAMBAK KAB'!#REF!)</f>
        <v>#REF!</v>
      </c>
      <c r="W83" s="306"/>
      <c r="X83" s="557">
        <f t="shared" si="10"/>
        <v>124365683</v>
      </c>
      <c r="Y83" s="350">
        <v>42325350</v>
      </c>
      <c r="Z83" s="350">
        <v>21301380</v>
      </c>
      <c r="AA83" s="350">
        <v>15490475</v>
      </c>
      <c r="AB83" s="351">
        <v>45248478</v>
      </c>
    </row>
    <row r="84" spans="1:28">
      <c r="A84" s="346" t="s">
        <v>114</v>
      </c>
      <c r="B84" s="350" t="e">
        <f t="shared" si="7"/>
        <v>#REF!</v>
      </c>
      <c r="C84" s="350" t="e">
        <f t="shared" si="8"/>
        <v>#REF!</v>
      </c>
      <c r="D84" s="350">
        <f>'P NP TAMBAK KAB'!AU32</f>
        <v>0</v>
      </c>
      <c r="E84" s="350">
        <f>'P NP TAMBAK KAB'!BO32</f>
        <v>0</v>
      </c>
      <c r="F84" s="350" t="e">
        <f>'P NP TAMBAK KAB'!#REF!</f>
        <v>#REF!</v>
      </c>
      <c r="G84" s="350">
        <f>'P NP TAMBAK KAB'!AK32+'P NP TAMBAK KAB'!AM32</f>
        <v>0</v>
      </c>
      <c r="H84" s="350">
        <f>'P NP TAMBAK KAB'!E32</f>
        <v>0</v>
      </c>
      <c r="I84" s="350">
        <f>'P NP TAMBAK KAB'!BS32</f>
        <v>0</v>
      </c>
      <c r="J84" s="350">
        <f>'P NP TAMBAK KAB'!O32</f>
        <v>606382</v>
      </c>
      <c r="K84" s="351" t="e">
        <f>SUM('P NP TAMBAK KAB'!G32,'P NP TAMBAK KAB'!I32,'P NP TAMBAK KAB'!K32,'P NP TAMBAK KAB'!M32,'P NP TAMBAK KAB'!Q32,'P NP TAMBAK KAB'!U32,'P NP TAMBAK KAB'!W32,'P NP TAMBAK KAB'!AC32,'P NP TAMBAK KAB'!AG32,'P NP TAMBAK KAB'!AI32,'P NP TAMBAK KAB'!AW32,'P NP TAMBAK KAB'!AY32,'P NP TAMBAK KAB'!BA32,'P NP TAMBAK KAB'!BC32,'P NP TAMBAK KAB'!BE32,'P NP TAMBAK KAB'!BG32,'P NP TAMBAK KAB'!BM32,'P NP TAMBAK KAB'!BQ32,'P NP TAMBAK KAB'!BU32,'P NP TAMBAK KAB'!BW32,'P NP TAMBAK KAB'!BY32,'P NP TAMBAK KAB'!#REF!,'P NP TAMBAK KAB'!#REF!,'P NP TAMBAK KAB'!#REF!,'P NP TAMBAK KAB'!#REF!,'P NP TAMBAK KAB'!#REF!,'P NP TAMBAK KAB'!#REF!,'P NP TAMBAK KAB'!#REF!)</f>
        <v>#REF!</v>
      </c>
      <c r="L84" s="352" t="e">
        <f t="shared" si="11"/>
        <v>#REF!</v>
      </c>
      <c r="M84" s="350" t="e">
        <f>'P NP TAMBAK KAB'!#REF!</f>
        <v>#REF!</v>
      </c>
      <c r="N84" s="350" t="e">
        <f>'P NP TAMBAK KAB'!#REF!</f>
        <v>#REF!</v>
      </c>
      <c r="O84" s="350" t="e">
        <f>'P NP TAMBAK KAB'!#REF!</f>
        <v>#REF!</v>
      </c>
      <c r="P84" s="350" t="e">
        <f>'P NP TAMBAK KAB'!#REF!</f>
        <v>#REF!</v>
      </c>
      <c r="Q84" s="350" t="e">
        <f>'P NP TAMBAK KAB'!#REF!</f>
        <v>#REF!</v>
      </c>
      <c r="R84" s="350" t="e">
        <f>SUM('P NP TAMBAK KAB'!BI32,'P NP TAMBAK KAB'!BK32,'P NP TAMBAK KAB'!#REF!,'P NP TAMBAK KAB'!#REF!,'P NP TAMBAK KAB'!#REF!,'P NP TAMBAK KAB'!#REF!)</f>
        <v>#REF!</v>
      </c>
      <c r="S84" s="350">
        <f>'P NP TAMBAK KAB'!AO32</f>
        <v>0</v>
      </c>
      <c r="T84" s="350" t="e">
        <f>'P NP TAMBAK KAB'!#REF!</f>
        <v>#REF!</v>
      </c>
      <c r="U84" s="350" t="e">
        <f>SUM('P NP TAMBAK KAB'!S32,'P NP TAMBAK KAB'!AQ32,'P NP TAMBAK KAB'!AS32,'P NP TAMBAK KAB'!#REF!,'P NP TAMBAK KAB'!#REF!,'P NP TAMBAK KAB'!#REF!,'P NP TAMBAK KAB'!#REF!,'P NP TAMBAK KAB'!#REF!,'P NP TAMBAK KAB'!#REF!,'P NP TAMBAK KAB'!#REF!)</f>
        <v>#REF!</v>
      </c>
      <c r="V84" s="351" t="e">
        <f>SUM('P NP TAMBAK KAB'!Y32,'P NP TAMBAK KAB'!AA32,'P NP TAMBAK KAB'!AE32,'P NP TAMBAK KAB'!#REF!,'P NP TAMBAK KAB'!#REF!)</f>
        <v>#REF!</v>
      </c>
      <c r="W84" s="358"/>
      <c r="X84" s="557">
        <f t="shared" si="10"/>
        <v>16203637</v>
      </c>
      <c r="Y84" s="350">
        <v>2382787</v>
      </c>
      <c r="Z84" s="350">
        <v>9701019</v>
      </c>
      <c r="AA84" s="350">
        <v>1524276</v>
      </c>
      <c r="AB84" s="351">
        <v>2595555</v>
      </c>
    </row>
    <row r="85" spans="1:28">
      <c r="A85" s="346" t="s">
        <v>134</v>
      </c>
      <c r="B85" s="350" t="e">
        <f t="shared" si="7"/>
        <v>#REF!</v>
      </c>
      <c r="C85" s="350" t="e">
        <f t="shared" si="8"/>
        <v>#REF!</v>
      </c>
      <c r="D85" s="350">
        <f>'P NP TAMBAK KAB'!AU33</f>
        <v>0</v>
      </c>
      <c r="E85" s="350">
        <f>'P NP TAMBAK KAB'!BO33</f>
        <v>0</v>
      </c>
      <c r="F85" s="350" t="e">
        <f>'P NP TAMBAK KAB'!#REF!</f>
        <v>#REF!</v>
      </c>
      <c r="G85" s="350">
        <f>'P NP TAMBAK KAB'!AK33+'P NP TAMBAK KAB'!AM33</f>
        <v>6161070</v>
      </c>
      <c r="H85" s="350">
        <f>'P NP TAMBAK KAB'!E33</f>
        <v>115564700</v>
      </c>
      <c r="I85" s="350">
        <f>'P NP TAMBAK KAB'!BS33</f>
        <v>0</v>
      </c>
      <c r="J85" s="350">
        <f>'P NP TAMBAK KAB'!O33</f>
        <v>0</v>
      </c>
      <c r="K85" s="351" t="e">
        <f>SUM('P NP TAMBAK KAB'!G33,'P NP TAMBAK KAB'!I33,'P NP TAMBAK KAB'!K33,'P NP TAMBAK KAB'!M33,'P NP TAMBAK KAB'!Q33,'P NP TAMBAK KAB'!U33,'P NP TAMBAK KAB'!W33,'P NP TAMBAK KAB'!AC33,'P NP TAMBAK KAB'!AG33,'P NP TAMBAK KAB'!AI33,'P NP TAMBAK KAB'!AW33,'P NP TAMBAK KAB'!AY33,'P NP TAMBAK KAB'!BA33,'P NP TAMBAK KAB'!BC33,'P NP TAMBAK KAB'!BE33,'P NP TAMBAK KAB'!BG33,'P NP TAMBAK KAB'!BM33,'P NP TAMBAK KAB'!BQ33,'P NP TAMBAK KAB'!BU33,'P NP TAMBAK KAB'!BW33,'P NP TAMBAK KAB'!BY33,'P NP TAMBAK KAB'!#REF!,'P NP TAMBAK KAB'!#REF!,'P NP TAMBAK KAB'!#REF!,'P NP TAMBAK KAB'!#REF!,'P NP TAMBAK KAB'!#REF!,'P NP TAMBAK KAB'!#REF!,'P NP TAMBAK KAB'!#REF!)</f>
        <v>#REF!</v>
      </c>
      <c r="L85" s="352" t="e">
        <f t="shared" si="11"/>
        <v>#REF!</v>
      </c>
      <c r="M85" s="350" t="e">
        <f>'P NP TAMBAK KAB'!#REF!</f>
        <v>#REF!</v>
      </c>
      <c r="N85" s="350" t="e">
        <f>'P NP TAMBAK KAB'!#REF!</f>
        <v>#REF!</v>
      </c>
      <c r="O85" s="350" t="e">
        <f>'P NP TAMBAK KAB'!#REF!</f>
        <v>#REF!</v>
      </c>
      <c r="P85" s="350" t="e">
        <f>'P NP TAMBAK KAB'!#REF!</f>
        <v>#REF!</v>
      </c>
      <c r="Q85" s="350" t="e">
        <f>'P NP TAMBAK KAB'!#REF!</f>
        <v>#REF!</v>
      </c>
      <c r="R85" s="350" t="e">
        <f>SUM('P NP TAMBAK KAB'!BI33,'P NP TAMBAK KAB'!BK33,'P NP TAMBAK KAB'!#REF!,'P NP TAMBAK KAB'!#REF!,'P NP TAMBAK KAB'!#REF!,'P NP TAMBAK KAB'!#REF!)</f>
        <v>#REF!</v>
      </c>
      <c r="S85" s="350">
        <f>'P NP TAMBAK KAB'!AO33</f>
        <v>31665240</v>
      </c>
      <c r="T85" s="350" t="e">
        <f>'P NP TAMBAK KAB'!#REF!</f>
        <v>#REF!</v>
      </c>
      <c r="U85" s="350" t="e">
        <f>SUM('P NP TAMBAK KAB'!S33,'P NP TAMBAK KAB'!AQ33,'P NP TAMBAK KAB'!AS33,'P NP TAMBAK KAB'!#REF!,'P NP TAMBAK KAB'!#REF!,'P NP TAMBAK KAB'!#REF!,'P NP TAMBAK KAB'!#REF!,'P NP TAMBAK KAB'!#REF!,'P NP TAMBAK KAB'!#REF!,'P NP TAMBAK KAB'!#REF!)</f>
        <v>#REF!</v>
      </c>
      <c r="V85" s="351" t="e">
        <f>SUM('P NP TAMBAK KAB'!Y33,'P NP TAMBAK KAB'!AA33,'P NP TAMBAK KAB'!AE33,'P NP TAMBAK KAB'!#REF!,'P NP TAMBAK KAB'!#REF!)</f>
        <v>#REF!</v>
      </c>
      <c r="W85" s="306"/>
      <c r="X85" s="557">
        <f t="shared" si="10"/>
        <v>36197397</v>
      </c>
      <c r="Y85" s="350">
        <v>9187584</v>
      </c>
      <c r="Z85" s="350">
        <v>8050408</v>
      </c>
      <c r="AA85" s="350">
        <v>10371200</v>
      </c>
      <c r="AB85" s="351">
        <v>8588205</v>
      </c>
    </row>
    <row r="86" spans="1:28">
      <c r="A86" s="346" t="s">
        <v>115</v>
      </c>
      <c r="B86" s="350" t="e">
        <f t="shared" si="7"/>
        <v>#REF!</v>
      </c>
      <c r="C86" s="350" t="e">
        <f t="shared" si="8"/>
        <v>#REF!</v>
      </c>
      <c r="D86" s="350">
        <f>'P NP TAMBAK KAB'!AU34</f>
        <v>0</v>
      </c>
      <c r="E86" s="350">
        <f>'P NP TAMBAK KAB'!BO34</f>
        <v>0</v>
      </c>
      <c r="F86" s="350" t="e">
        <f>'P NP TAMBAK KAB'!#REF!</f>
        <v>#REF!</v>
      </c>
      <c r="G86" s="350">
        <f>'P NP TAMBAK KAB'!AK34+'P NP TAMBAK KAB'!AM34</f>
        <v>0</v>
      </c>
      <c r="H86" s="350">
        <f>'P NP TAMBAK KAB'!E34</f>
        <v>0</v>
      </c>
      <c r="I86" s="350">
        <f>'P NP TAMBAK KAB'!BS34</f>
        <v>0</v>
      </c>
      <c r="J86" s="350">
        <f>'P NP TAMBAK KAB'!O34</f>
        <v>0</v>
      </c>
      <c r="K86" s="351" t="e">
        <f>SUM('P NP TAMBAK KAB'!G34,'P NP TAMBAK KAB'!I34,'P NP TAMBAK KAB'!K34,'P NP TAMBAK KAB'!M34,'P NP TAMBAK KAB'!Q34,'P NP TAMBAK KAB'!U34,'P NP TAMBAK KAB'!W34,'P NP TAMBAK KAB'!AC34,'P NP TAMBAK KAB'!AG34,'P NP TAMBAK KAB'!AI34,'P NP TAMBAK KAB'!AW34,'P NP TAMBAK KAB'!AY34,'P NP TAMBAK KAB'!BA34,'P NP TAMBAK KAB'!BC34,'P NP TAMBAK KAB'!BE34,'P NP TAMBAK KAB'!BG34,'P NP TAMBAK KAB'!BM34,'P NP TAMBAK KAB'!BQ34,'P NP TAMBAK KAB'!BU34,'P NP TAMBAK KAB'!BW34,'P NP TAMBAK KAB'!BY34,'P NP TAMBAK KAB'!#REF!,'P NP TAMBAK KAB'!#REF!,'P NP TAMBAK KAB'!#REF!,'P NP TAMBAK KAB'!#REF!,'P NP TAMBAK KAB'!#REF!,'P NP TAMBAK KAB'!#REF!,'P NP TAMBAK KAB'!#REF!)</f>
        <v>#REF!</v>
      </c>
      <c r="L86" s="352" t="e">
        <f t="shared" si="11"/>
        <v>#REF!</v>
      </c>
      <c r="M86" s="350" t="e">
        <f>'P NP TAMBAK KAB'!#REF!</f>
        <v>#REF!</v>
      </c>
      <c r="N86" s="350" t="e">
        <f>'P NP TAMBAK KAB'!#REF!</f>
        <v>#REF!</v>
      </c>
      <c r="O86" s="350" t="e">
        <f>'P NP TAMBAK KAB'!#REF!</f>
        <v>#REF!</v>
      </c>
      <c r="P86" s="350" t="e">
        <f>'P NP TAMBAK KAB'!#REF!</f>
        <v>#REF!</v>
      </c>
      <c r="Q86" s="350" t="e">
        <f>'P NP TAMBAK KAB'!#REF!</f>
        <v>#REF!</v>
      </c>
      <c r="R86" s="350" t="e">
        <f>SUM('P NP TAMBAK KAB'!BI34,'P NP TAMBAK KAB'!BK34,'P NP TAMBAK KAB'!#REF!,'P NP TAMBAK KAB'!#REF!,'P NP TAMBAK KAB'!#REF!,'P NP TAMBAK KAB'!#REF!)</f>
        <v>#REF!</v>
      </c>
      <c r="S86" s="350">
        <f>'P NP TAMBAK KAB'!AO34</f>
        <v>0</v>
      </c>
      <c r="T86" s="350" t="e">
        <f>'P NP TAMBAK KAB'!#REF!</f>
        <v>#REF!</v>
      </c>
      <c r="U86" s="350" t="e">
        <f>SUM('P NP TAMBAK KAB'!S34,'P NP TAMBAK KAB'!AQ34,'P NP TAMBAK KAB'!AS34,'P NP TAMBAK KAB'!#REF!,'P NP TAMBAK KAB'!#REF!,'P NP TAMBAK KAB'!#REF!,'P NP TAMBAK KAB'!#REF!,'P NP TAMBAK KAB'!#REF!,'P NP TAMBAK KAB'!#REF!,'P NP TAMBAK KAB'!#REF!)</f>
        <v>#REF!</v>
      </c>
      <c r="V86" s="351" t="e">
        <f>SUM('P NP TAMBAK KAB'!Y34,'P NP TAMBAK KAB'!AA34,'P NP TAMBAK KAB'!AE34,'P NP TAMBAK KAB'!#REF!,'P NP TAMBAK KAB'!#REF!)</f>
        <v>#REF!</v>
      </c>
      <c r="W86" s="306"/>
      <c r="X86" s="557">
        <f t="shared" si="10"/>
        <v>71214335</v>
      </c>
      <c r="Y86" s="350">
        <v>7818725</v>
      </c>
      <c r="Z86" s="350">
        <v>42085705</v>
      </c>
      <c r="AA86" s="350">
        <v>4627200</v>
      </c>
      <c r="AB86" s="351">
        <v>16682705</v>
      </c>
    </row>
    <row r="87" spans="1:28">
      <c r="A87" s="346" t="s">
        <v>149</v>
      </c>
      <c r="B87" s="350" t="e">
        <f t="shared" si="7"/>
        <v>#REF!</v>
      </c>
      <c r="C87" s="350" t="e">
        <f t="shared" si="8"/>
        <v>#REF!</v>
      </c>
      <c r="D87" s="350">
        <f>'P NP TAMBAK KAB'!AU35</f>
        <v>0</v>
      </c>
      <c r="E87" s="350">
        <f>'P NP TAMBAK KAB'!BO35</f>
        <v>0</v>
      </c>
      <c r="F87" s="350" t="e">
        <f>'P NP TAMBAK KAB'!#REF!</f>
        <v>#REF!</v>
      </c>
      <c r="G87" s="350">
        <f>'P NP TAMBAK KAB'!AK35+'P NP TAMBAK KAB'!AM35</f>
        <v>0</v>
      </c>
      <c r="H87" s="350">
        <f>'P NP TAMBAK KAB'!E35</f>
        <v>0</v>
      </c>
      <c r="I87" s="350">
        <f>'P NP TAMBAK KAB'!BS35</f>
        <v>0</v>
      </c>
      <c r="J87" s="350">
        <f>'P NP TAMBAK KAB'!O35</f>
        <v>0</v>
      </c>
      <c r="K87" s="351" t="e">
        <f>SUM('P NP TAMBAK KAB'!G35,'P NP TAMBAK KAB'!I35,'P NP TAMBAK KAB'!K35,'P NP TAMBAK KAB'!M35,'P NP TAMBAK KAB'!Q35,'P NP TAMBAK KAB'!U35,'P NP TAMBAK KAB'!W35,'P NP TAMBAK KAB'!AC35,'P NP TAMBAK KAB'!AG35,'P NP TAMBAK KAB'!AI35,'P NP TAMBAK KAB'!AW35,'P NP TAMBAK KAB'!AY35,'P NP TAMBAK KAB'!BA35,'P NP TAMBAK KAB'!BC35,'P NP TAMBAK KAB'!BE35,'P NP TAMBAK KAB'!BG35,'P NP TAMBAK KAB'!BM35,'P NP TAMBAK KAB'!BQ35,'P NP TAMBAK KAB'!BU35,'P NP TAMBAK KAB'!BW35,'P NP TAMBAK KAB'!BY35,'P NP TAMBAK KAB'!#REF!,'P NP TAMBAK KAB'!#REF!,'P NP TAMBAK KAB'!#REF!,'P NP TAMBAK KAB'!#REF!,'P NP TAMBAK KAB'!#REF!,'P NP TAMBAK KAB'!#REF!,'P NP TAMBAK KAB'!#REF!)</f>
        <v>#REF!</v>
      </c>
      <c r="L87" s="352" t="e">
        <f t="shared" si="11"/>
        <v>#REF!</v>
      </c>
      <c r="M87" s="350" t="e">
        <f>'P NP TAMBAK KAB'!#REF!</f>
        <v>#REF!</v>
      </c>
      <c r="N87" s="350" t="e">
        <f>'P NP TAMBAK KAB'!#REF!</f>
        <v>#REF!</v>
      </c>
      <c r="O87" s="350" t="e">
        <f>'P NP TAMBAK KAB'!#REF!</f>
        <v>#REF!</v>
      </c>
      <c r="P87" s="350" t="e">
        <f>'P NP TAMBAK KAB'!#REF!</f>
        <v>#REF!</v>
      </c>
      <c r="Q87" s="350" t="e">
        <f>'P NP TAMBAK KAB'!#REF!</f>
        <v>#REF!</v>
      </c>
      <c r="R87" s="350" t="e">
        <f>SUM('P NP TAMBAK KAB'!BI35,'P NP TAMBAK KAB'!BK35,'P NP TAMBAK KAB'!#REF!,'P NP TAMBAK KAB'!#REF!,'P NP TAMBAK KAB'!#REF!,'P NP TAMBAK KAB'!#REF!)</f>
        <v>#REF!</v>
      </c>
      <c r="S87" s="350">
        <f>'P NP TAMBAK KAB'!AO35</f>
        <v>0</v>
      </c>
      <c r="T87" s="350" t="e">
        <f>'P NP TAMBAK KAB'!#REF!</f>
        <v>#REF!</v>
      </c>
      <c r="U87" s="350" t="e">
        <f>SUM('P NP TAMBAK KAB'!S35,'P NP TAMBAK KAB'!AQ35,'P NP TAMBAK KAB'!AS35,'P NP TAMBAK KAB'!#REF!,'P NP TAMBAK KAB'!#REF!,'P NP TAMBAK KAB'!#REF!,'P NP TAMBAK KAB'!#REF!,'P NP TAMBAK KAB'!#REF!,'P NP TAMBAK KAB'!#REF!,'P NP TAMBAK KAB'!#REF!)</f>
        <v>#REF!</v>
      </c>
      <c r="V87" s="351" t="e">
        <f>SUM('P NP TAMBAK KAB'!Y35,'P NP TAMBAK KAB'!AA35,'P NP TAMBAK KAB'!AE35,'P NP TAMBAK KAB'!#REF!,'P NP TAMBAK KAB'!#REF!)</f>
        <v>#REF!</v>
      </c>
      <c r="W87" s="306"/>
      <c r="X87" s="557">
        <f t="shared" si="10"/>
        <v>0</v>
      </c>
      <c r="Y87" s="350">
        <v>0</v>
      </c>
      <c r="Z87" s="350">
        <v>0</v>
      </c>
      <c r="AA87" s="350">
        <v>0</v>
      </c>
      <c r="AB87" s="351">
        <v>0</v>
      </c>
    </row>
    <row r="88" spans="1:28">
      <c r="A88" s="346" t="s">
        <v>142</v>
      </c>
      <c r="B88" s="350" t="e">
        <f t="shared" si="7"/>
        <v>#REF!</v>
      </c>
      <c r="C88" s="350" t="e">
        <f t="shared" si="8"/>
        <v>#REF!</v>
      </c>
      <c r="D88" s="350">
        <f>'P NP TAMBAK KAB'!AU36</f>
        <v>0</v>
      </c>
      <c r="E88" s="350">
        <f>'P NP TAMBAK KAB'!BO36</f>
        <v>0</v>
      </c>
      <c r="F88" s="350" t="e">
        <f>'P NP TAMBAK KAB'!#REF!</f>
        <v>#REF!</v>
      </c>
      <c r="G88" s="350">
        <f>'P NP TAMBAK KAB'!AK36+'P NP TAMBAK KAB'!AM36</f>
        <v>0</v>
      </c>
      <c r="H88" s="350">
        <f>'P NP TAMBAK KAB'!E36</f>
        <v>0</v>
      </c>
      <c r="I88" s="350">
        <f>'P NP TAMBAK KAB'!BS36</f>
        <v>0</v>
      </c>
      <c r="J88" s="350">
        <f>'P NP TAMBAK KAB'!O36</f>
        <v>0</v>
      </c>
      <c r="K88" s="351" t="e">
        <f>SUM('P NP TAMBAK KAB'!G36,'P NP TAMBAK KAB'!I36,'P NP TAMBAK KAB'!K36,'P NP TAMBAK KAB'!M36,'P NP TAMBAK KAB'!Q36,'P NP TAMBAK KAB'!U36,'P NP TAMBAK KAB'!W36,'P NP TAMBAK KAB'!AC36,'P NP TAMBAK KAB'!AG36,'P NP TAMBAK KAB'!AI36,'P NP TAMBAK KAB'!AW36,'P NP TAMBAK KAB'!AY36,'P NP TAMBAK KAB'!BA36,'P NP TAMBAK KAB'!BC36,'P NP TAMBAK KAB'!BE36,'P NP TAMBAK KAB'!BG36,'P NP TAMBAK KAB'!BM36,'P NP TAMBAK KAB'!BQ36,'P NP TAMBAK KAB'!BU36,'P NP TAMBAK KAB'!BW36,'P NP TAMBAK KAB'!BY36,'P NP TAMBAK KAB'!#REF!,'P NP TAMBAK KAB'!#REF!,'P NP TAMBAK KAB'!#REF!,'P NP TAMBAK KAB'!#REF!,'P NP TAMBAK KAB'!#REF!,'P NP TAMBAK KAB'!#REF!,'P NP TAMBAK KAB'!#REF!)</f>
        <v>#REF!</v>
      </c>
      <c r="L88" s="352" t="e">
        <f t="shared" si="11"/>
        <v>#REF!</v>
      </c>
      <c r="M88" s="350" t="e">
        <f>'P NP TAMBAK KAB'!#REF!</f>
        <v>#REF!</v>
      </c>
      <c r="N88" s="350" t="e">
        <f>'P NP TAMBAK KAB'!#REF!</f>
        <v>#REF!</v>
      </c>
      <c r="O88" s="350" t="e">
        <f>'P NP TAMBAK KAB'!#REF!</f>
        <v>#REF!</v>
      </c>
      <c r="P88" s="350" t="e">
        <f>'P NP TAMBAK KAB'!#REF!</f>
        <v>#REF!</v>
      </c>
      <c r="Q88" s="350" t="e">
        <f>'P NP TAMBAK KAB'!#REF!</f>
        <v>#REF!</v>
      </c>
      <c r="R88" s="350" t="e">
        <f>SUM('P NP TAMBAK KAB'!BI36,'P NP TAMBAK KAB'!BK36,'P NP TAMBAK KAB'!#REF!,'P NP TAMBAK KAB'!#REF!,'P NP TAMBAK KAB'!#REF!,'P NP TAMBAK KAB'!#REF!)</f>
        <v>#REF!</v>
      </c>
      <c r="S88" s="350">
        <f>'P NP TAMBAK KAB'!AO36</f>
        <v>0</v>
      </c>
      <c r="T88" s="350" t="e">
        <f>'P NP TAMBAK KAB'!#REF!</f>
        <v>#REF!</v>
      </c>
      <c r="U88" s="350" t="e">
        <f>SUM('P NP TAMBAK KAB'!S36,'P NP TAMBAK KAB'!AQ36,'P NP TAMBAK KAB'!AS36,'P NP TAMBAK KAB'!#REF!,'P NP TAMBAK KAB'!#REF!,'P NP TAMBAK KAB'!#REF!,'P NP TAMBAK KAB'!#REF!,'P NP TAMBAK KAB'!#REF!,'P NP TAMBAK KAB'!#REF!,'P NP TAMBAK KAB'!#REF!)</f>
        <v>#REF!</v>
      </c>
      <c r="V88" s="351" t="e">
        <f>SUM('P NP TAMBAK KAB'!Y36,'P NP TAMBAK KAB'!AA36,'P NP TAMBAK KAB'!AE36,'P NP TAMBAK KAB'!#REF!,'P NP TAMBAK KAB'!#REF!)</f>
        <v>#REF!</v>
      </c>
      <c r="W88" s="306"/>
      <c r="X88" s="557">
        <f t="shared" si="10"/>
        <v>0</v>
      </c>
      <c r="Y88" s="350">
        <v>0</v>
      </c>
      <c r="Z88" s="350">
        <v>0</v>
      </c>
      <c r="AA88" s="350">
        <v>0</v>
      </c>
      <c r="AB88" s="351">
        <v>0</v>
      </c>
    </row>
    <row r="89" spans="1:28">
      <c r="A89" s="346" t="s">
        <v>141</v>
      </c>
      <c r="B89" s="350" t="e">
        <f t="shared" si="7"/>
        <v>#REF!</v>
      </c>
      <c r="C89" s="350" t="e">
        <f t="shared" si="8"/>
        <v>#REF!</v>
      </c>
      <c r="D89" s="350">
        <f>'P NP TAMBAK KAB'!AU37</f>
        <v>0</v>
      </c>
      <c r="E89" s="350">
        <f>'P NP TAMBAK KAB'!BO37</f>
        <v>0</v>
      </c>
      <c r="F89" s="350" t="e">
        <f>'P NP TAMBAK KAB'!#REF!</f>
        <v>#REF!</v>
      </c>
      <c r="G89" s="350">
        <f>'P NP TAMBAK KAB'!AK37+'P NP TAMBAK KAB'!AM37</f>
        <v>0</v>
      </c>
      <c r="H89" s="350">
        <f>'P NP TAMBAK KAB'!E37</f>
        <v>0</v>
      </c>
      <c r="I89" s="350">
        <f>'P NP TAMBAK KAB'!BS37</f>
        <v>0</v>
      </c>
      <c r="J89" s="350">
        <f>'P NP TAMBAK KAB'!O37</f>
        <v>0</v>
      </c>
      <c r="K89" s="351" t="e">
        <f>SUM('P NP TAMBAK KAB'!G37,'P NP TAMBAK KAB'!I37,'P NP TAMBAK KAB'!K37,'P NP TAMBAK KAB'!M37,'P NP TAMBAK KAB'!Q37,'P NP TAMBAK KAB'!U37,'P NP TAMBAK KAB'!W37,'P NP TAMBAK KAB'!AC37,'P NP TAMBAK KAB'!AG37,'P NP TAMBAK KAB'!AI37,'P NP TAMBAK KAB'!AW37,'P NP TAMBAK KAB'!AY37,'P NP TAMBAK KAB'!BA37,'P NP TAMBAK KAB'!BC37,'P NP TAMBAK KAB'!BE37,'P NP TAMBAK KAB'!BG37,'P NP TAMBAK KAB'!BM37,'P NP TAMBAK KAB'!BQ37,'P NP TAMBAK KAB'!BU37,'P NP TAMBAK KAB'!BW37,'P NP TAMBAK KAB'!BY37,'P NP TAMBAK KAB'!#REF!,'P NP TAMBAK KAB'!#REF!,'P NP TAMBAK KAB'!#REF!,'P NP TAMBAK KAB'!#REF!,'P NP TAMBAK KAB'!#REF!,'P NP TAMBAK KAB'!#REF!,'P NP TAMBAK KAB'!#REF!)</f>
        <v>#REF!</v>
      </c>
      <c r="L89" s="352" t="e">
        <f t="shared" si="11"/>
        <v>#REF!</v>
      </c>
      <c r="M89" s="350" t="e">
        <f>'P NP TAMBAK KAB'!#REF!</f>
        <v>#REF!</v>
      </c>
      <c r="N89" s="350" t="e">
        <f>'P NP TAMBAK KAB'!#REF!</f>
        <v>#REF!</v>
      </c>
      <c r="O89" s="350" t="e">
        <f>'P NP TAMBAK KAB'!#REF!</f>
        <v>#REF!</v>
      </c>
      <c r="P89" s="350" t="e">
        <f>'P NP TAMBAK KAB'!#REF!</f>
        <v>#REF!</v>
      </c>
      <c r="Q89" s="350" t="e">
        <f>'P NP TAMBAK KAB'!#REF!</f>
        <v>#REF!</v>
      </c>
      <c r="R89" s="350" t="e">
        <f>SUM('P NP TAMBAK KAB'!BI37,'P NP TAMBAK KAB'!BK37,'P NP TAMBAK KAB'!#REF!,'P NP TAMBAK KAB'!#REF!,'P NP TAMBAK KAB'!#REF!,'P NP TAMBAK KAB'!#REF!)</f>
        <v>#REF!</v>
      </c>
      <c r="S89" s="350">
        <f>'P NP TAMBAK KAB'!AO37</f>
        <v>0</v>
      </c>
      <c r="T89" s="350" t="e">
        <f>'P NP TAMBAK KAB'!#REF!</f>
        <v>#REF!</v>
      </c>
      <c r="U89" s="350" t="e">
        <f>SUM('P NP TAMBAK KAB'!S37,'P NP TAMBAK KAB'!AQ37,'P NP TAMBAK KAB'!AS37,'P NP TAMBAK KAB'!#REF!,'P NP TAMBAK KAB'!#REF!,'P NP TAMBAK KAB'!#REF!,'P NP TAMBAK KAB'!#REF!,'P NP TAMBAK KAB'!#REF!,'P NP TAMBAK KAB'!#REF!,'P NP TAMBAK KAB'!#REF!)</f>
        <v>#REF!</v>
      </c>
      <c r="V89" s="351" t="e">
        <f>SUM('P NP TAMBAK KAB'!Y37,'P NP TAMBAK KAB'!AA37,'P NP TAMBAK KAB'!AE37,'P NP TAMBAK KAB'!#REF!,'P NP TAMBAK KAB'!#REF!)</f>
        <v>#REF!</v>
      </c>
      <c r="W89" s="306"/>
      <c r="X89" s="557">
        <f t="shared" si="10"/>
        <v>0</v>
      </c>
      <c r="Y89" s="350">
        <v>0</v>
      </c>
      <c r="Z89" s="350">
        <v>0</v>
      </c>
      <c r="AA89" s="350">
        <v>0</v>
      </c>
      <c r="AB89" s="351">
        <v>0</v>
      </c>
    </row>
    <row r="90" spans="1:28">
      <c r="A90" s="346" t="s">
        <v>147</v>
      </c>
      <c r="B90" s="350" t="e">
        <f t="shared" si="7"/>
        <v>#REF!</v>
      </c>
      <c r="C90" s="350" t="e">
        <f t="shared" si="8"/>
        <v>#REF!</v>
      </c>
      <c r="D90" s="350">
        <f>'P NP TAMBAK KAB'!AU38</f>
        <v>0</v>
      </c>
      <c r="E90" s="350">
        <f>'P NP TAMBAK KAB'!BO38</f>
        <v>0</v>
      </c>
      <c r="F90" s="350" t="e">
        <f>'P NP TAMBAK KAB'!#REF!</f>
        <v>#REF!</v>
      </c>
      <c r="G90" s="350">
        <f>'P NP TAMBAK KAB'!AK38+'P NP TAMBAK KAB'!AM38</f>
        <v>0</v>
      </c>
      <c r="H90" s="350">
        <f>'P NP TAMBAK KAB'!E38</f>
        <v>0</v>
      </c>
      <c r="I90" s="350">
        <f>'P NP TAMBAK KAB'!BS38</f>
        <v>0</v>
      </c>
      <c r="J90" s="350">
        <f>'P NP TAMBAK KAB'!O38</f>
        <v>0</v>
      </c>
      <c r="K90" s="351" t="e">
        <f>SUM('P NP TAMBAK KAB'!G38,'P NP TAMBAK KAB'!I38,'P NP TAMBAK KAB'!K38,'P NP TAMBAK KAB'!M38,'P NP TAMBAK KAB'!Q38,'P NP TAMBAK KAB'!U38,'P NP TAMBAK KAB'!W38,'P NP TAMBAK KAB'!AC38,'P NP TAMBAK KAB'!AG38,'P NP TAMBAK KAB'!AI38,'P NP TAMBAK KAB'!AW38,'P NP TAMBAK KAB'!AY38,'P NP TAMBAK KAB'!BA38,'P NP TAMBAK KAB'!BC38,'P NP TAMBAK KAB'!BE38,'P NP TAMBAK KAB'!BG38,'P NP TAMBAK KAB'!BM38,'P NP TAMBAK KAB'!BQ38,'P NP TAMBAK KAB'!BU38,'P NP TAMBAK KAB'!BW38,'P NP TAMBAK KAB'!BY38,'P NP TAMBAK KAB'!#REF!,'P NP TAMBAK KAB'!#REF!,'P NP TAMBAK KAB'!#REF!,'P NP TAMBAK KAB'!#REF!,'P NP TAMBAK KAB'!#REF!,'P NP TAMBAK KAB'!#REF!,'P NP TAMBAK KAB'!#REF!)</f>
        <v>#REF!</v>
      </c>
      <c r="L90" s="352" t="e">
        <f t="shared" si="11"/>
        <v>#REF!</v>
      </c>
      <c r="M90" s="350" t="e">
        <f>'P NP TAMBAK KAB'!#REF!</f>
        <v>#REF!</v>
      </c>
      <c r="N90" s="350" t="e">
        <f>'P NP TAMBAK KAB'!#REF!</f>
        <v>#REF!</v>
      </c>
      <c r="O90" s="350" t="e">
        <f>'P NP TAMBAK KAB'!#REF!</f>
        <v>#REF!</v>
      </c>
      <c r="P90" s="350" t="e">
        <f>'P NP TAMBAK KAB'!#REF!</f>
        <v>#REF!</v>
      </c>
      <c r="Q90" s="350" t="e">
        <f>'P NP TAMBAK KAB'!#REF!</f>
        <v>#REF!</v>
      </c>
      <c r="R90" s="350" t="e">
        <f>SUM('P NP TAMBAK KAB'!BI38,'P NP TAMBAK KAB'!BK38,'P NP TAMBAK KAB'!#REF!,'P NP TAMBAK KAB'!#REF!,'P NP TAMBAK KAB'!#REF!,'P NP TAMBAK KAB'!#REF!)</f>
        <v>#REF!</v>
      </c>
      <c r="S90" s="350">
        <f>'P NP TAMBAK KAB'!AO38</f>
        <v>0</v>
      </c>
      <c r="T90" s="350" t="e">
        <f>'P NP TAMBAK KAB'!#REF!</f>
        <v>#REF!</v>
      </c>
      <c r="U90" s="350" t="e">
        <f>SUM('P NP TAMBAK KAB'!S38,'P NP TAMBAK KAB'!AQ38,'P NP TAMBAK KAB'!AS38,'P NP TAMBAK KAB'!#REF!,'P NP TAMBAK KAB'!#REF!,'P NP TAMBAK KAB'!#REF!,'P NP TAMBAK KAB'!#REF!,'P NP TAMBAK KAB'!#REF!,'P NP TAMBAK KAB'!#REF!,'P NP TAMBAK KAB'!#REF!)</f>
        <v>#REF!</v>
      </c>
      <c r="V90" s="351" t="e">
        <f>SUM('P NP TAMBAK KAB'!Y38,'P NP TAMBAK KAB'!AA38,'P NP TAMBAK KAB'!AE38,'P NP TAMBAK KAB'!#REF!,'P NP TAMBAK KAB'!#REF!)</f>
        <v>#REF!</v>
      </c>
      <c r="W90" s="306"/>
      <c r="X90" s="557">
        <f t="shared" si="10"/>
        <v>6779390</v>
      </c>
      <c r="Y90" s="350">
        <v>1530470</v>
      </c>
      <c r="Z90" s="350">
        <v>1987450</v>
      </c>
      <c r="AA90" s="350">
        <v>1718120</v>
      </c>
      <c r="AB90" s="351">
        <v>1543350</v>
      </c>
    </row>
    <row r="91" spans="1:28">
      <c r="A91" s="346" t="s">
        <v>143</v>
      </c>
      <c r="B91" s="350" t="e">
        <f t="shared" si="7"/>
        <v>#REF!</v>
      </c>
      <c r="C91" s="350" t="e">
        <f t="shared" si="8"/>
        <v>#REF!</v>
      </c>
      <c r="D91" s="350">
        <f>'P NP TAMBAK KAB'!AU39</f>
        <v>0</v>
      </c>
      <c r="E91" s="350">
        <f>'P NP TAMBAK KAB'!BO39</f>
        <v>0</v>
      </c>
      <c r="F91" s="350" t="e">
        <f>'P NP TAMBAK KAB'!#REF!</f>
        <v>#REF!</v>
      </c>
      <c r="G91" s="350">
        <f>'P NP TAMBAK KAB'!AK39+'P NP TAMBAK KAB'!AM39</f>
        <v>0</v>
      </c>
      <c r="H91" s="350">
        <f>'P NP TAMBAK KAB'!E39</f>
        <v>0</v>
      </c>
      <c r="I91" s="350">
        <f>'P NP TAMBAK KAB'!BS39</f>
        <v>0</v>
      </c>
      <c r="J91" s="350">
        <f>'P NP TAMBAK KAB'!O39</f>
        <v>0</v>
      </c>
      <c r="K91" s="351" t="e">
        <f>SUM('P NP TAMBAK KAB'!G39,'P NP TAMBAK KAB'!I39,'P NP TAMBAK KAB'!K39,'P NP TAMBAK KAB'!M39,'P NP TAMBAK KAB'!Q39,'P NP TAMBAK KAB'!U39,'P NP TAMBAK KAB'!W39,'P NP TAMBAK KAB'!AC39,'P NP TAMBAK KAB'!AG39,'P NP TAMBAK KAB'!AI39,'P NP TAMBAK KAB'!AW39,'P NP TAMBAK KAB'!AY39,'P NP TAMBAK KAB'!BA39,'P NP TAMBAK KAB'!BC39,'P NP TAMBAK KAB'!BE39,'P NP TAMBAK KAB'!BG39,'P NP TAMBAK KAB'!BM39,'P NP TAMBAK KAB'!BQ39,'P NP TAMBAK KAB'!BU39,'P NP TAMBAK KAB'!BW39,'P NP TAMBAK KAB'!BY39,'P NP TAMBAK KAB'!#REF!,'P NP TAMBAK KAB'!#REF!,'P NP TAMBAK KAB'!#REF!,'P NP TAMBAK KAB'!#REF!,'P NP TAMBAK KAB'!#REF!,'P NP TAMBAK KAB'!#REF!,'P NP TAMBAK KAB'!#REF!)</f>
        <v>#REF!</v>
      </c>
      <c r="L91" s="352" t="e">
        <f t="shared" si="11"/>
        <v>#REF!</v>
      </c>
      <c r="M91" s="350" t="e">
        <f>'P NP TAMBAK KAB'!#REF!</f>
        <v>#REF!</v>
      </c>
      <c r="N91" s="350" t="e">
        <f>'P NP TAMBAK KAB'!#REF!</f>
        <v>#REF!</v>
      </c>
      <c r="O91" s="350" t="e">
        <f>'P NP TAMBAK KAB'!#REF!</f>
        <v>#REF!</v>
      </c>
      <c r="P91" s="350" t="e">
        <f>'P NP TAMBAK KAB'!#REF!</f>
        <v>#REF!</v>
      </c>
      <c r="Q91" s="350" t="e">
        <f>'P NP TAMBAK KAB'!#REF!</f>
        <v>#REF!</v>
      </c>
      <c r="R91" s="350" t="e">
        <f>SUM('P NP TAMBAK KAB'!BI39,'P NP TAMBAK KAB'!BK39,'P NP TAMBAK KAB'!#REF!,'P NP TAMBAK KAB'!#REF!,'P NP TAMBAK KAB'!#REF!,'P NP TAMBAK KAB'!#REF!)</f>
        <v>#REF!</v>
      </c>
      <c r="S91" s="350">
        <f>'P NP TAMBAK KAB'!AO39</f>
        <v>0</v>
      </c>
      <c r="T91" s="350" t="e">
        <f>'P NP TAMBAK KAB'!#REF!</f>
        <v>#REF!</v>
      </c>
      <c r="U91" s="350" t="e">
        <f>SUM('P NP TAMBAK KAB'!S39,'P NP TAMBAK KAB'!AQ39,'P NP TAMBAK KAB'!AS39,'P NP TAMBAK KAB'!#REF!,'P NP TAMBAK KAB'!#REF!,'P NP TAMBAK KAB'!#REF!,'P NP TAMBAK KAB'!#REF!,'P NP TAMBAK KAB'!#REF!,'P NP TAMBAK KAB'!#REF!,'P NP TAMBAK KAB'!#REF!)</f>
        <v>#REF!</v>
      </c>
      <c r="V91" s="351" t="e">
        <f>SUM('P NP TAMBAK KAB'!Y39,'P NP TAMBAK KAB'!AA39,'P NP TAMBAK KAB'!AE39,'P NP TAMBAK KAB'!#REF!,'P NP TAMBAK KAB'!#REF!)</f>
        <v>#REF!</v>
      </c>
      <c r="W91" s="358"/>
      <c r="X91" s="557">
        <f t="shared" si="10"/>
        <v>17213389.41</v>
      </c>
      <c r="Y91" s="350">
        <v>3899896.3</v>
      </c>
      <c r="Z91" s="350">
        <v>4765197.2</v>
      </c>
      <c r="AA91" s="350">
        <v>5162481.91</v>
      </c>
      <c r="AB91" s="351">
        <v>3385814</v>
      </c>
    </row>
    <row r="92" spans="1:28">
      <c r="A92" s="346" t="s">
        <v>146</v>
      </c>
      <c r="B92" s="350" t="e">
        <f t="shared" si="7"/>
        <v>#REF!</v>
      </c>
      <c r="C92" s="350" t="e">
        <f t="shared" si="8"/>
        <v>#REF!</v>
      </c>
      <c r="D92" s="350">
        <f>'P NP TAMBAK KAB'!AU40</f>
        <v>0</v>
      </c>
      <c r="E92" s="350">
        <f>'P NP TAMBAK KAB'!BO40</f>
        <v>0</v>
      </c>
      <c r="F92" s="350" t="e">
        <f>'P NP TAMBAK KAB'!#REF!</f>
        <v>#REF!</v>
      </c>
      <c r="G92" s="350">
        <f>'P NP TAMBAK KAB'!AK40+'P NP TAMBAK KAB'!AM40</f>
        <v>0</v>
      </c>
      <c r="H92" s="350">
        <f>'P NP TAMBAK KAB'!E40</f>
        <v>0</v>
      </c>
      <c r="I92" s="350">
        <f>'P NP TAMBAK KAB'!BS40</f>
        <v>0</v>
      </c>
      <c r="J92" s="350">
        <f>'P NP TAMBAK KAB'!O40</f>
        <v>0</v>
      </c>
      <c r="K92" s="351" t="e">
        <f>SUM('P NP TAMBAK KAB'!G40,'P NP TAMBAK KAB'!I40,'P NP TAMBAK KAB'!K40,'P NP TAMBAK KAB'!M40,'P NP TAMBAK KAB'!Q40,'P NP TAMBAK KAB'!U40,'P NP TAMBAK KAB'!W40,'P NP TAMBAK KAB'!AC40,'P NP TAMBAK KAB'!AG40,'P NP TAMBAK KAB'!AI40,'P NP TAMBAK KAB'!AW40,'P NP TAMBAK KAB'!AY40,'P NP TAMBAK KAB'!BA40,'P NP TAMBAK KAB'!BC40,'P NP TAMBAK KAB'!BE40,'P NP TAMBAK KAB'!BG40,'P NP TAMBAK KAB'!BM40,'P NP TAMBAK KAB'!BQ40,'P NP TAMBAK KAB'!BU40,'P NP TAMBAK KAB'!BW40,'P NP TAMBAK KAB'!BY40,'P NP TAMBAK KAB'!#REF!,'P NP TAMBAK KAB'!#REF!,'P NP TAMBAK KAB'!#REF!,'P NP TAMBAK KAB'!#REF!,'P NP TAMBAK KAB'!#REF!,'P NP TAMBAK KAB'!#REF!,'P NP TAMBAK KAB'!#REF!)</f>
        <v>#REF!</v>
      </c>
      <c r="L92" s="352" t="e">
        <f t="shared" si="11"/>
        <v>#REF!</v>
      </c>
      <c r="M92" s="350" t="e">
        <f>'P NP TAMBAK KAB'!#REF!</f>
        <v>#REF!</v>
      </c>
      <c r="N92" s="350" t="e">
        <f>'P NP TAMBAK KAB'!#REF!</f>
        <v>#REF!</v>
      </c>
      <c r="O92" s="350" t="e">
        <f>'P NP TAMBAK KAB'!#REF!</f>
        <v>#REF!</v>
      </c>
      <c r="P92" s="350" t="e">
        <f>'P NP TAMBAK KAB'!#REF!</f>
        <v>#REF!</v>
      </c>
      <c r="Q92" s="350" t="e">
        <f>'P NP TAMBAK KAB'!#REF!</f>
        <v>#REF!</v>
      </c>
      <c r="R92" s="350" t="e">
        <f>SUM('P NP TAMBAK KAB'!BI40,'P NP TAMBAK KAB'!BK40,'P NP TAMBAK KAB'!#REF!,'P NP TAMBAK KAB'!#REF!,'P NP TAMBAK KAB'!#REF!,'P NP TAMBAK KAB'!#REF!)</f>
        <v>#REF!</v>
      </c>
      <c r="S92" s="350">
        <f>'P NP TAMBAK KAB'!AO40</f>
        <v>0</v>
      </c>
      <c r="T92" s="350" t="e">
        <f>'P NP TAMBAK KAB'!#REF!</f>
        <v>#REF!</v>
      </c>
      <c r="U92" s="350" t="e">
        <f>SUM('P NP TAMBAK KAB'!S40,'P NP TAMBAK KAB'!AQ40,'P NP TAMBAK KAB'!AS40,'P NP TAMBAK KAB'!#REF!,'P NP TAMBAK KAB'!#REF!,'P NP TAMBAK KAB'!#REF!,'P NP TAMBAK KAB'!#REF!,'P NP TAMBAK KAB'!#REF!,'P NP TAMBAK KAB'!#REF!,'P NP TAMBAK KAB'!#REF!)</f>
        <v>#REF!</v>
      </c>
      <c r="V92" s="351" t="e">
        <f>SUM('P NP TAMBAK KAB'!Y40,'P NP TAMBAK KAB'!AA40,'P NP TAMBAK KAB'!AE40,'P NP TAMBAK KAB'!#REF!,'P NP TAMBAK KAB'!#REF!)</f>
        <v>#REF!</v>
      </c>
      <c r="W92" s="306"/>
      <c r="X92" s="557">
        <f t="shared" si="10"/>
        <v>0</v>
      </c>
      <c r="Y92" s="350">
        <v>0</v>
      </c>
      <c r="Z92" s="350">
        <v>0</v>
      </c>
      <c r="AA92" s="350">
        <v>0</v>
      </c>
      <c r="AB92" s="351">
        <v>0</v>
      </c>
    </row>
    <row r="93" spans="1:28">
      <c r="A93" s="346" t="s">
        <v>145</v>
      </c>
      <c r="B93" s="350" t="e">
        <f t="shared" si="7"/>
        <v>#REF!</v>
      </c>
      <c r="C93" s="350" t="e">
        <f t="shared" si="8"/>
        <v>#REF!</v>
      </c>
      <c r="D93" s="350">
        <f>'P NP TAMBAK KAB'!AU41</f>
        <v>0</v>
      </c>
      <c r="E93" s="350">
        <f>'P NP TAMBAK KAB'!BO41</f>
        <v>0</v>
      </c>
      <c r="F93" s="350" t="e">
        <f>'P NP TAMBAK KAB'!#REF!</f>
        <v>#REF!</v>
      </c>
      <c r="G93" s="350">
        <f>'P NP TAMBAK KAB'!AK41+'P NP TAMBAK KAB'!AM41</f>
        <v>0</v>
      </c>
      <c r="H93" s="350">
        <f>'P NP TAMBAK KAB'!E41</f>
        <v>18816404</v>
      </c>
      <c r="I93" s="350">
        <f>'P NP TAMBAK KAB'!BS41</f>
        <v>0</v>
      </c>
      <c r="J93" s="350">
        <f>'P NP TAMBAK KAB'!O41</f>
        <v>1022420</v>
      </c>
      <c r="K93" s="351" t="e">
        <f>SUM('P NP TAMBAK KAB'!G41,'P NP TAMBAK KAB'!I41,'P NP TAMBAK KAB'!K41,'P NP TAMBAK KAB'!M41,'P NP TAMBAK KAB'!Q41,'P NP TAMBAK KAB'!U41,'P NP TAMBAK KAB'!W41,'P NP TAMBAK KAB'!AC41,'P NP TAMBAK KAB'!AG41,'P NP TAMBAK KAB'!AI41,'P NP TAMBAK KAB'!AW41,'P NP TAMBAK KAB'!AY41,'P NP TAMBAK KAB'!BA41,'P NP TAMBAK KAB'!BC41,'P NP TAMBAK KAB'!BE41,'P NP TAMBAK KAB'!BG41,'P NP TAMBAK KAB'!BM41,'P NP TAMBAK KAB'!BQ41,'P NP TAMBAK KAB'!BU41,'P NP TAMBAK KAB'!BW41,'P NP TAMBAK KAB'!BY41,'P NP TAMBAK KAB'!#REF!,'P NP TAMBAK KAB'!#REF!,'P NP TAMBAK KAB'!#REF!,'P NP TAMBAK KAB'!#REF!,'P NP TAMBAK KAB'!#REF!,'P NP TAMBAK KAB'!#REF!,'P NP TAMBAK KAB'!#REF!)</f>
        <v>#REF!</v>
      </c>
      <c r="L93" s="352" t="e">
        <f t="shared" si="11"/>
        <v>#REF!</v>
      </c>
      <c r="M93" s="350" t="e">
        <f>'P NP TAMBAK KAB'!#REF!</f>
        <v>#REF!</v>
      </c>
      <c r="N93" s="350" t="e">
        <f>'P NP TAMBAK KAB'!#REF!</f>
        <v>#REF!</v>
      </c>
      <c r="O93" s="350" t="e">
        <f>'P NP TAMBAK KAB'!#REF!</f>
        <v>#REF!</v>
      </c>
      <c r="P93" s="350" t="e">
        <f>'P NP TAMBAK KAB'!#REF!</f>
        <v>#REF!</v>
      </c>
      <c r="Q93" s="350" t="e">
        <f>'P NP TAMBAK KAB'!#REF!</f>
        <v>#REF!</v>
      </c>
      <c r="R93" s="350" t="e">
        <f>SUM('P NP TAMBAK KAB'!BI41,'P NP TAMBAK KAB'!BK41,'P NP TAMBAK KAB'!#REF!,'P NP TAMBAK KAB'!#REF!,'P NP TAMBAK KAB'!#REF!,'P NP TAMBAK KAB'!#REF!)</f>
        <v>#REF!</v>
      </c>
      <c r="S93" s="350">
        <f>'P NP TAMBAK KAB'!AO41</f>
        <v>142375</v>
      </c>
      <c r="T93" s="350" t="e">
        <f>'P NP TAMBAK KAB'!#REF!</f>
        <v>#REF!</v>
      </c>
      <c r="U93" s="350" t="e">
        <f>SUM('P NP TAMBAK KAB'!S41,'P NP TAMBAK KAB'!AQ41,'P NP TAMBAK KAB'!AS41,'P NP TAMBAK KAB'!#REF!,'P NP TAMBAK KAB'!#REF!,'P NP TAMBAK KAB'!#REF!,'P NP TAMBAK KAB'!#REF!,'P NP TAMBAK KAB'!#REF!,'P NP TAMBAK KAB'!#REF!,'P NP TAMBAK KAB'!#REF!)</f>
        <v>#REF!</v>
      </c>
      <c r="V93" s="351" t="e">
        <f>SUM('P NP TAMBAK KAB'!Y41,'P NP TAMBAK KAB'!AA41,'P NP TAMBAK KAB'!AE41,'P NP TAMBAK KAB'!#REF!,'P NP TAMBAK KAB'!#REF!)</f>
        <v>#REF!</v>
      </c>
      <c r="W93" s="306"/>
      <c r="X93" s="557">
        <f t="shared" si="10"/>
        <v>0</v>
      </c>
      <c r="Y93" s="350">
        <v>0</v>
      </c>
      <c r="Z93" s="350">
        <v>0</v>
      </c>
      <c r="AA93" s="350">
        <v>0</v>
      </c>
      <c r="AB93" s="351">
        <v>0</v>
      </c>
    </row>
    <row r="94" spans="1:28">
      <c r="A94" s="346" t="s">
        <v>144</v>
      </c>
      <c r="B94" s="350" t="e">
        <f t="shared" si="7"/>
        <v>#REF!</v>
      </c>
      <c r="C94" s="350" t="e">
        <f t="shared" si="8"/>
        <v>#REF!</v>
      </c>
      <c r="D94" s="350">
        <f>'P NP TAMBAK KAB'!AU42</f>
        <v>0</v>
      </c>
      <c r="E94" s="350">
        <f>'P NP TAMBAK KAB'!BO42</f>
        <v>0</v>
      </c>
      <c r="F94" s="350" t="e">
        <f>'P NP TAMBAK KAB'!#REF!</f>
        <v>#REF!</v>
      </c>
      <c r="G94" s="350">
        <f>'P NP TAMBAK KAB'!AK42+'P NP TAMBAK KAB'!AM42</f>
        <v>5130</v>
      </c>
      <c r="H94" s="350">
        <f>'P NP TAMBAK KAB'!E42</f>
        <v>965131.2</v>
      </c>
      <c r="I94" s="350">
        <f>'P NP TAMBAK KAB'!BS42</f>
        <v>0</v>
      </c>
      <c r="J94" s="350">
        <f>'P NP TAMBAK KAB'!O42</f>
        <v>0</v>
      </c>
      <c r="K94" s="351" t="e">
        <f>SUM('P NP TAMBAK KAB'!G42,'P NP TAMBAK KAB'!I42,'P NP TAMBAK KAB'!K42,'P NP TAMBAK KAB'!M42,'P NP TAMBAK KAB'!Q42,'P NP TAMBAK KAB'!U42,'P NP TAMBAK KAB'!W42,'P NP TAMBAK KAB'!AC42,'P NP TAMBAK KAB'!AG42,'P NP TAMBAK KAB'!AI42,'P NP TAMBAK KAB'!AW42,'P NP TAMBAK KAB'!AY42,'P NP TAMBAK KAB'!BA42,'P NP TAMBAK KAB'!BC42,'P NP TAMBAK KAB'!BE42,'P NP TAMBAK KAB'!BG42,'P NP TAMBAK KAB'!BM42,'P NP TAMBAK KAB'!BQ42,'P NP TAMBAK KAB'!BU42,'P NP TAMBAK KAB'!BW42,'P NP TAMBAK KAB'!BY42,'P NP TAMBAK KAB'!#REF!,'P NP TAMBAK KAB'!#REF!,'P NP TAMBAK KAB'!#REF!,'P NP TAMBAK KAB'!#REF!,'P NP TAMBAK KAB'!#REF!,'P NP TAMBAK KAB'!#REF!,'P NP TAMBAK KAB'!#REF!)</f>
        <v>#REF!</v>
      </c>
      <c r="L94" s="352" t="e">
        <f t="shared" si="11"/>
        <v>#REF!</v>
      </c>
      <c r="M94" s="350" t="e">
        <f>'P NP TAMBAK KAB'!#REF!</f>
        <v>#REF!</v>
      </c>
      <c r="N94" s="350" t="e">
        <f>'P NP TAMBAK KAB'!#REF!</f>
        <v>#REF!</v>
      </c>
      <c r="O94" s="350" t="e">
        <f>'P NP TAMBAK KAB'!#REF!</f>
        <v>#REF!</v>
      </c>
      <c r="P94" s="350" t="e">
        <f>'P NP TAMBAK KAB'!#REF!</f>
        <v>#REF!</v>
      </c>
      <c r="Q94" s="350" t="e">
        <f>'P NP TAMBAK KAB'!#REF!</f>
        <v>#REF!</v>
      </c>
      <c r="R94" s="350" t="e">
        <f>SUM('P NP TAMBAK KAB'!BI42,'P NP TAMBAK KAB'!BK42,'P NP TAMBAK KAB'!#REF!,'P NP TAMBAK KAB'!#REF!,'P NP TAMBAK KAB'!#REF!,'P NP TAMBAK KAB'!#REF!)</f>
        <v>#REF!</v>
      </c>
      <c r="S94" s="350">
        <f>'P NP TAMBAK KAB'!AO42</f>
        <v>228448.5</v>
      </c>
      <c r="T94" s="350" t="e">
        <f>'P NP TAMBAK KAB'!#REF!</f>
        <v>#REF!</v>
      </c>
      <c r="U94" s="350" t="e">
        <f>SUM('P NP TAMBAK KAB'!S42,'P NP TAMBAK KAB'!AQ42,'P NP TAMBAK KAB'!AS42,'P NP TAMBAK KAB'!#REF!,'P NP TAMBAK KAB'!#REF!,'P NP TAMBAK KAB'!#REF!,'P NP TAMBAK KAB'!#REF!,'P NP TAMBAK KAB'!#REF!,'P NP TAMBAK KAB'!#REF!,'P NP TAMBAK KAB'!#REF!)</f>
        <v>#REF!</v>
      </c>
      <c r="V94" s="351" t="e">
        <f>SUM('P NP TAMBAK KAB'!Y42,'P NP TAMBAK KAB'!AA42,'P NP TAMBAK KAB'!AE42,'P NP TAMBAK KAB'!#REF!,'P NP TAMBAK KAB'!#REF!)</f>
        <v>#REF!</v>
      </c>
      <c r="W94" s="306"/>
      <c r="X94" s="557">
        <f t="shared" si="10"/>
        <v>242821298</v>
      </c>
      <c r="Y94" s="350">
        <v>77248200.5</v>
      </c>
      <c r="Z94" s="350">
        <v>65821539.5</v>
      </c>
      <c r="AA94" s="350">
        <v>34660526</v>
      </c>
      <c r="AB94" s="351">
        <v>65091032</v>
      </c>
    </row>
    <row r="95" spans="1:28" ht="14.5" thickBot="1">
      <c r="A95" s="347" t="s">
        <v>148</v>
      </c>
      <c r="B95" s="353" t="e">
        <f t="shared" si="7"/>
        <v>#REF!</v>
      </c>
      <c r="C95" s="353" t="e">
        <f t="shared" si="8"/>
        <v>#REF!</v>
      </c>
      <c r="D95" s="353">
        <f>'P NP TAMBAK KAB'!AU43</f>
        <v>0</v>
      </c>
      <c r="E95" s="353">
        <f>'P NP TAMBAK KAB'!BO43</f>
        <v>0</v>
      </c>
      <c r="F95" s="353" t="e">
        <f>'P NP TAMBAK KAB'!#REF!</f>
        <v>#REF!</v>
      </c>
      <c r="G95" s="353">
        <f>'P NP TAMBAK KAB'!AK43+'P NP TAMBAK KAB'!AM43</f>
        <v>0</v>
      </c>
      <c r="H95" s="353">
        <f>'P NP TAMBAK KAB'!E43</f>
        <v>118713245</v>
      </c>
      <c r="I95" s="353">
        <f>'P NP TAMBAK KAB'!BS43</f>
        <v>0</v>
      </c>
      <c r="J95" s="353">
        <f>'P NP TAMBAK KAB'!O43</f>
        <v>0</v>
      </c>
      <c r="K95" s="354" t="e">
        <f>SUM('P NP TAMBAK KAB'!G43,'P NP TAMBAK KAB'!I43,'P NP TAMBAK KAB'!K43,'P NP TAMBAK KAB'!M43,'P NP TAMBAK KAB'!Q43,'P NP TAMBAK KAB'!U43,'P NP TAMBAK KAB'!W43,'P NP TAMBAK KAB'!AC43,'P NP TAMBAK KAB'!AG43,'P NP TAMBAK KAB'!AI43,'P NP TAMBAK KAB'!AW43,'P NP TAMBAK KAB'!AY43,'P NP TAMBAK KAB'!BA43,'P NP TAMBAK KAB'!BC43,'P NP TAMBAK KAB'!BE43,'P NP TAMBAK KAB'!BG43,'P NP TAMBAK KAB'!BM43,'P NP TAMBAK KAB'!BQ43,'P NP TAMBAK KAB'!BU43,'P NP TAMBAK KAB'!BW43,'P NP TAMBAK KAB'!BY43,'P NP TAMBAK KAB'!#REF!,'P NP TAMBAK KAB'!#REF!,'P NP TAMBAK KAB'!#REF!,'P NP TAMBAK KAB'!#REF!,'P NP TAMBAK KAB'!#REF!,'P NP TAMBAK KAB'!#REF!,'P NP TAMBAK KAB'!#REF!)</f>
        <v>#REF!</v>
      </c>
      <c r="L95" s="355" t="e">
        <f t="shared" si="11"/>
        <v>#REF!</v>
      </c>
      <c r="M95" s="353" t="e">
        <f>'P NP TAMBAK KAB'!#REF!</f>
        <v>#REF!</v>
      </c>
      <c r="N95" s="353" t="e">
        <f>'P NP TAMBAK KAB'!#REF!</f>
        <v>#REF!</v>
      </c>
      <c r="O95" s="353" t="e">
        <f>'P NP TAMBAK KAB'!#REF!</f>
        <v>#REF!</v>
      </c>
      <c r="P95" s="353" t="e">
        <f>'P NP TAMBAK KAB'!#REF!</f>
        <v>#REF!</v>
      </c>
      <c r="Q95" s="353" t="e">
        <f>'P NP TAMBAK KAB'!#REF!</f>
        <v>#REF!</v>
      </c>
      <c r="R95" s="353" t="e">
        <f>SUM('P NP TAMBAK KAB'!BI43,'P NP TAMBAK KAB'!BK43,'P NP TAMBAK KAB'!#REF!,'P NP TAMBAK KAB'!#REF!,'P NP TAMBAK KAB'!#REF!,'P NP TAMBAK KAB'!#REF!)</f>
        <v>#REF!</v>
      </c>
      <c r="S95" s="353">
        <f>'P NP TAMBAK KAB'!AO43</f>
        <v>22084780</v>
      </c>
      <c r="T95" s="353" t="e">
        <f>'P NP TAMBAK KAB'!#REF!</f>
        <v>#REF!</v>
      </c>
      <c r="U95" s="353" t="e">
        <f>SUM('P NP TAMBAK KAB'!S43,'P NP TAMBAK KAB'!AQ43,'P NP TAMBAK KAB'!AS43,'P NP TAMBAK KAB'!#REF!,'P NP TAMBAK KAB'!#REF!,'P NP TAMBAK KAB'!#REF!,'P NP TAMBAK KAB'!#REF!,'P NP TAMBAK KAB'!#REF!,'P NP TAMBAK KAB'!#REF!,'P NP TAMBAK KAB'!#REF!)</f>
        <v>#REF!</v>
      </c>
      <c r="V95" s="354" t="e">
        <f>SUM('P NP TAMBAK KAB'!Y43,'P NP TAMBAK KAB'!AA43,'P NP TAMBAK KAB'!AE43,'P NP TAMBAK KAB'!#REF!,'P NP TAMBAK KAB'!#REF!)</f>
        <v>#REF!</v>
      </c>
      <c r="W95" s="306"/>
      <c r="X95" s="558">
        <f t="shared" si="10"/>
        <v>0</v>
      </c>
      <c r="Y95" s="353">
        <v>0</v>
      </c>
      <c r="Z95" s="353">
        <v>0</v>
      </c>
      <c r="AA95" s="353">
        <v>0</v>
      </c>
      <c r="AB95" s="354">
        <v>0</v>
      </c>
    </row>
    <row r="96" spans="1:28" ht="18" customHeight="1">
      <c r="A96" s="931" t="s">
        <v>353</v>
      </c>
      <c r="B96" s="932"/>
      <c r="C96" s="932"/>
      <c r="D96" s="932"/>
      <c r="E96" s="932"/>
      <c r="F96" s="932"/>
      <c r="G96" s="932"/>
      <c r="H96" s="932"/>
      <c r="I96" s="932"/>
      <c r="J96" s="932"/>
      <c r="K96" s="932"/>
      <c r="L96" s="931" t="s">
        <v>354</v>
      </c>
      <c r="M96" s="931"/>
      <c r="N96" s="931"/>
      <c r="O96" s="931"/>
      <c r="P96" s="931"/>
      <c r="Q96" s="931"/>
      <c r="R96" s="931"/>
      <c r="S96" s="931"/>
      <c r="W96" s="307"/>
      <c r="X96" s="927" t="s">
        <v>474</v>
      </c>
      <c r="Y96" s="928"/>
      <c r="Z96" s="928"/>
      <c r="AA96" s="928"/>
      <c r="AB96" s="527"/>
    </row>
    <row r="97" spans="23:23">
      <c r="W97" s="307"/>
    </row>
    <row r="98" spans="23:23">
      <c r="W98" s="307"/>
    </row>
  </sheetData>
  <mergeCells count="12">
    <mergeCell ref="X96:AA96"/>
    <mergeCell ref="T3:V3"/>
    <mergeCell ref="T4:V4"/>
    <mergeCell ref="A48:K48"/>
    <mergeCell ref="L48:S48"/>
    <mergeCell ref="X48:AA48"/>
    <mergeCell ref="J51:K51"/>
    <mergeCell ref="S51:V51"/>
    <mergeCell ref="J52:K52"/>
    <mergeCell ref="T52:V52"/>
    <mergeCell ref="A96:K96"/>
    <mergeCell ref="L96:S96"/>
  </mergeCells>
  <printOptions horizontalCentered="1"/>
  <pageMargins left="0.5" right="0.25" top="0.35" bottom="0.1" header="0.5" footer="0.5"/>
  <pageSetup paperSize="9" scale="63" orientation="landscape" horizontalDpi="4294967293" r:id="rId1"/>
  <headerFooter alignWithMargins="0"/>
  <rowBreaks count="1" manualBreakCount="1">
    <brk id="48" max="27" man="1"/>
  </rowBreaks>
  <colBreaks count="1" manualBreakCount="1">
    <brk id="11" max="9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syncVertical="1" syncRef="O9" transitionEvaluation="1">
    <tabColor rgb="FF00B0F0"/>
  </sheetPr>
  <dimension ref="A1:Y120"/>
  <sheetViews>
    <sheetView showGridLines="0" zoomScale="90" zoomScaleNormal="90" zoomScaleSheetLayoutView="100" workbookViewId="0">
      <pane xSplit="2" ySplit="8" topLeftCell="O9" activePane="bottomRight" state="frozen"/>
      <selection pane="topRight" activeCell="C1" sqref="C1"/>
      <selection pane="bottomLeft" activeCell="A9" sqref="A9"/>
      <selection pane="bottomRight" activeCell="B58" sqref="B58"/>
    </sheetView>
  </sheetViews>
  <sheetFormatPr defaultColWidth="10.1796875" defaultRowHeight="14"/>
  <cols>
    <col min="1" max="1" width="36.81640625" style="210" customWidth="1"/>
    <col min="2" max="2" width="22.81640625" style="210" customWidth="1"/>
    <col min="3" max="3" width="17" style="210" customWidth="1"/>
    <col min="4" max="4" width="17.1796875" style="210" customWidth="1"/>
    <col min="5" max="5" width="18" style="210" customWidth="1"/>
    <col min="6" max="6" width="17.54296875" style="210" customWidth="1"/>
    <col min="7" max="7" width="15.81640625" style="210" customWidth="1"/>
    <col min="8" max="8" width="18.54296875" style="210" customWidth="1"/>
    <col min="9" max="9" width="22.81640625" style="210" customWidth="1"/>
    <col min="10" max="10" width="15.1796875" style="210" customWidth="1"/>
    <col min="11" max="11" width="13.54296875" style="210" customWidth="1"/>
    <col min="12" max="12" width="15.453125" style="210" bestFit="1" customWidth="1"/>
    <col min="13" max="13" width="13.453125" style="210" customWidth="1"/>
    <col min="14" max="14" width="14.54296875" style="210" customWidth="1"/>
    <col min="15" max="15" width="19.1796875" style="210" bestFit="1" customWidth="1"/>
    <col min="16" max="16" width="30.54296875" style="210" customWidth="1"/>
    <col min="17" max="17" width="29.1796875" style="210" customWidth="1"/>
    <col min="18" max="18" width="29.81640625" style="210" customWidth="1"/>
    <col min="19" max="19" width="29.453125" style="210" customWidth="1"/>
    <col min="20" max="20" width="29.1796875" style="210" customWidth="1"/>
    <col min="21" max="21" width="12" style="210" bestFit="1" customWidth="1"/>
    <col min="22" max="25" width="14.1796875" style="210" bestFit="1" customWidth="1"/>
    <col min="26" max="252" width="10.1796875" style="210"/>
    <col min="253" max="253" width="36.81640625" style="210" customWidth="1"/>
    <col min="254" max="254" width="22.81640625" style="210" customWidth="1"/>
    <col min="255" max="255" width="17" style="210" customWidth="1"/>
    <col min="256" max="256" width="17.1796875" style="210" customWidth="1"/>
    <col min="257" max="257" width="18" style="210" customWidth="1"/>
    <col min="258" max="258" width="17.54296875" style="210" customWidth="1"/>
    <col min="259" max="259" width="15.81640625" style="210" customWidth="1"/>
    <col min="260" max="260" width="16.81640625" style="210" customWidth="1"/>
    <col min="261" max="261" width="18.54296875" style="210" customWidth="1"/>
    <col min="262" max="262" width="22.81640625" style="210" customWidth="1"/>
    <col min="263" max="263" width="14.81640625" style="210" customWidth="1"/>
    <col min="264" max="264" width="15.1796875" style="210" customWidth="1"/>
    <col min="265" max="265" width="13.54296875" style="210" customWidth="1"/>
    <col min="266" max="266" width="13.81640625" style="210" customWidth="1"/>
    <col min="267" max="267" width="15.453125" style="210" bestFit="1" customWidth="1"/>
    <col min="268" max="268" width="15.1796875" style="210" customWidth="1"/>
    <col min="269" max="269" width="13.453125" style="210" customWidth="1"/>
    <col min="270" max="270" width="14.54296875" style="210" customWidth="1"/>
    <col min="271" max="271" width="19.1796875" style="210" bestFit="1" customWidth="1"/>
    <col min="272" max="272" width="30.54296875" style="210" customWidth="1"/>
    <col min="273" max="273" width="29.1796875" style="210" customWidth="1"/>
    <col min="274" max="274" width="29.81640625" style="210" customWidth="1"/>
    <col min="275" max="275" width="29.453125" style="210" customWidth="1"/>
    <col min="276" max="276" width="29.1796875" style="210" customWidth="1"/>
    <col min="277" max="277" width="12" style="210" bestFit="1" customWidth="1"/>
    <col min="278" max="281" width="14.1796875" style="210" bestFit="1" customWidth="1"/>
    <col min="282" max="508" width="10.1796875" style="210"/>
    <col min="509" max="509" width="36.81640625" style="210" customWidth="1"/>
    <col min="510" max="510" width="22.81640625" style="210" customWidth="1"/>
    <col min="511" max="511" width="17" style="210" customWidth="1"/>
    <col min="512" max="512" width="17.1796875" style="210" customWidth="1"/>
    <col min="513" max="513" width="18" style="210" customWidth="1"/>
    <col min="514" max="514" width="17.54296875" style="210" customWidth="1"/>
    <col min="515" max="515" width="15.81640625" style="210" customWidth="1"/>
    <col min="516" max="516" width="16.81640625" style="210" customWidth="1"/>
    <col min="517" max="517" width="18.54296875" style="210" customWidth="1"/>
    <col min="518" max="518" width="22.81640625" style="210" customWidth="1"/>
    <col min="519" max="519" width="14.81640625" style="210" customWidth="1"/>
    <col min="520" max="520" width="15.1796875" style="210" customWidth="1"/>
    <col min="521" max="521" width="13.54296875" style="210" customWidth="1"/>
    <col min="522" max="522" width="13.81640625" style="210" customWidth="1"/>
    <col min="523" max="523" width="15.453125" style="210" bestFit="1" customWidth="1"/>
    <col min="524" max="524" width="15.1796875" style="210" customWidth="1"/>
    <col min="525" max="525" width="13.453125" style="210" customWidth="1"/>
    <col min="526" max="526" width="14.54296875" style="210" customWidth="1"/>
    <col min="527" max="527" width="19.1796875" style="210" bestFit="1" customWidth="1"/>
    <col min="528" max="528" width="30.54296875" style="210" customWidth="1"/>
    <col min="529" max="529" width="29.1796875" style="210" customWidth="1"/>
    <col min="530" max="530" width="29.81640625" style="210" customWidth="1"/>
    <col min="531" max="531" width="29.453125" style="210" customWidth="1"/>
    <col min="532" max="532" width="29.1796875" style="210" customWidth="1"/>
    <col min="533" max="533" width="12" style="210" bestFit="1" customWidth="1"/>
    <col min="534" max="537" width="14.1796875" style="210" bestFit="1" customWidth="1"/>
    <col min="538" max="764" width="10.1796875" style="210"/>
    <col min="765" max="765" width="36.81640625" style="210" customWidth="1"/>
    <col min="766" max="766" width="22.81640625" style="210" customWidth="1"/>
    <col min="767" max="767" width="17" style="210" customWidth="1"/>
    <col min="768" max="768" width="17.1796875" style="210" customWidth="1"/>
    <col min="769" max="769" width="18" style="210" customWidth="1"/>
    <col min="770" max="770" width="17.54296875" style="210" customWidth="1"/>
    <col min="771" max="771" width="15.81640625" style="210" customWidth="1"/>
    <col min="772" max="772" width="16.81640625" style="210" customWidth="1"/>
    <col min="773" max="773" width="18.54296875" style="210" customWidth="1"/>
    <col min="774" max="774" width="22.81640625" style="210" customWidth="1"/>
    <col min="775" max="775" width="14.81640625" style="210" customWidth="1"/>
    <col min="776" max="776" width="15.1796875" style="210" customWidth="1"/>
    <col min="777" max="777" width="13.54296875" style="210" customWidth="1"/>
    <col min="778" max="778" width="13.81640625" style="210" customWidth="1"/>
    <col min="779" max="779" width="15.453125" style="210" bestFit="1" customWidth="1"/>
    <col min="780" max="780" width="15.1796875" style="210" customWidth="1"/>
    <col min="781" max="781" width="13.453125" style="210" customWidth="1"/>
    <col min="782" max="782" width="14.54296875" style="210" customWidth="1"/>
    <col min="783" max="783" width="19.1796875" style="210" bestFit="1" customWidth="1"/>
    <col min="784" max="784" width="30.54296875" style="210" customWidth="1"/>
    <col min="785" max="785" width="29.1796875" style="210" customWidth="1"/>
    <col min="786" max="786" width="29.81640625" style="210" customWidth="1"/>
    <col min="787" max="787" width="29.453125" style="210" customWidth="1"/>
    <col min="788" max="788" width="29.1796875" style="210" customWidth="1"/>
    <col min="789" max="789" width="12" style="210" bestFit="1" customWidth="1"/>
    <col min="790" max="793" width="14.1796875" style="210" bestFit="1" customWidth="1"/>
    <col min="794" max="1020" width="10.1796875" style="210"/>
    <col min="1021" max="1021" width="36.81640625" style="210" customWidth="1"/>
    <col min="1022" max="1022" width="22.81640625" style="210" customWidth="1"/>
    <col min="1023" max="1023" width="17" style="210" customWidth="1"/>
    <col min="1024" max="1024" width="17.1796875" style="210" customWidth="1"/>
    <col min="1025" max="1025" width="18" style="210" customWidth="1"/>
    <col min="1026" max="1026" width="17.54296875" style="210" customWidth="1"/>
    <col min="1027" max="1027" width="15.81640625" style="210" customWidth="1"/>
    <col min="1028" max="1028" width="16.81640625" style="210" customWidth="1"/>
    <col min="1029" max="1029" width="18.54296875" style="210" customWidth="1"/>
    <col min="1030" max="1030" width="22.81640625" style="210" customWidth="1"/>
    <col min="1031" max="1031" width="14.81640625" style="210" customWidth="1"/>
    <col min="1032" max="1032" width="15.1796875" style="210" customWidth="1"/>
    <col min="1033" max="1033" width="13.54296875" style="210" customWidth="1"/>
    <col min="1034" max="1034" width="13.81640625" style="210" customWidth="1"/>
    <col min="1035" max="1035" width="15.453125" style="210" bestFit="1" customWidth="1"/>
    <col min="1036" max="1036" width="15.1796875" style="210" customWidth="1"/>
    <col min="1037" max="1037" width="13.453125" style="210" customWidth="1"/>
    <col min="1038" max="1038" width="14.54296875" style="210" customWidth="1"/>
    <col min="1039" max="1039" width="19.1796875" style="210" bestFit="1" customWidth="1"/>
    <col min="1040" max="1040" width="30.54296875" style="210" customWidth="1"/>
    <col min="1041" max="1041" width="29.1796875" style="210" customWidth="1"/>
    <col min="1042" max="1042" width="29.81640625" style="210" customWidth="1"/>
    <col min="1043" max="1043" width="29.453125" style="210" customWidth="1"/>
    <col min="1044" max="1044" width="29.1796875" style="210" customWidth="1"/>
    <col min="1045" max="1045" width="12" style="210" bestFit="1" customWidth="1"/>
    <col min="1046" max="1049" width="14.1796875" style="210" bestFit="1" customWidth="1"/>
    <col min="1050" max="1276" width="10.1796875" style="210"/>
    <col min="1277" max="1277" width="36.81640625" style="210" customWidth="1"/>
    <col min="1278" max="1278" width="22.81640625" style="210" customWidth="1"/>
    <col min="1279" max="1279" width="17" style="210" customWidth="1"/>
    <col min="1280" max="1280" width="17.1796875" style="210" customWidth="1"/>
    <col min="1281" max="1281" width="18" style="210" customWidth="1"/>
    <col min="1282" max="1282" width="17.54296875" style="210" customWidth="1"/>
    <col min="1283" max="1283" width="15.81640625" style="210" customWidth="1"/>
    <col min="1284" max="1284" width="16.81640625" style="210" customWidth="1"/>
    <col min="1285" max="1285" width="18.54296875" style="210" customWidth="1"/>
    <col min="1286" max="1286" width="22.81640625" style="210" customWidth="1"/>
    <col min="1287" max="1287" width="14.81640625" style="210" customWidth="1"/>
    <col min="1288" max="1288" width="15.1796875" style="210" customWidth="1"/>
    <col min="1289" max="1289" width="13.54296875" style="210" customWidth="1"/>
    <col min="1290" max="1290" width="13.81640625" style="210" customWidth="1"/>
    <col min="1291" max="1291" width="15.453125" style="210" bestFit="1" customWidth="1"/>
    <col min="1292" max="1292" width="15.1796875" style="210" customWidth="1"/>
    <col min="1293" max="1293" width="13.453125" style="210" customWidth="1"/>
    <col min="1294" max="1294" width="14.54296875" style="210" customWidth="1"/>
    <col min="1295" max="1295" width="19.1796875" style="210" bestFit="1" customWidth="1"/>
    <col min="1296" max="1296" width="30.54296875" style="210" customWidth="1"/>
    <col min="1297" max="1297" width="29.1796875" style="210" customWidth="1"/>
    <col min="1298" max="1298" width="29.81640625" style="210" customWidth="1"/>
    <col min="1299" max="1299" width="29.453125" style="210" customWidth="1"/>
    <col min="1300" max="1300" width="29.1796875" style="210" customWidth="1"/>
    <col min="1301" max="1301" width="12" style="210" bestFit="1" customWidth="1"/>
    <col min="1302" max="1305" width="14.1796875" style="210" bestFit="1" customWidth="1"/>
    <col min="1306" max="1532" width="10.1796875" style="210"/>
    <col min="1533" max="1533" width="36.81640625" style="210" customWidth="1"/>
    <col min="1534" max="1534" width="22.81640625" style="210" customWidth="1"/>
    <col min="1535" max="1535" width="17" style="210" customWidth="1"/>
    <col min="1536" max="1536" width="17.1796875" style="210" customWidth="1"/>
    <col min="1537" max="1537" width="18" style="210" customWidth="1"/>
    <col min="1538" max="1538" width="17.54296875" style="210" customWidth="1"/>
    <col min="1539" max="1539" width="15.81640625" style="210" customWidth="1"/>
    <col min="1540" max="1540" width="16.81640625" style="210" customWidth="1"/>
    <col min="1541" max="1541" width="18.54296875" style="210" customWidth="1"/>
    <col min="1542" max="1542" width="22.81640625" style="210" customWidth="1"/>
    <col min="1543" max="1543" width="14.81640625" style="210" customWidth="1"/>
    <col min="1544" max="1544" width="15.1796875" style="210" customWidth="1"/>
    <col min="1545" max="1545" width="13.54296875" style="210" customWidth="1"/>
    <col min="1546" max="1546" width="13.81640625" style="210" customWidth="1"/>
    <col min="1547" max="1547" width="15.453125" style="210" bestFit="1" customWidth="1"/>
    <col min="1548" max="1548" width="15.1796875" style="210" customWidth="1"/>
    <col min="1549" max="1549" width="13.453125" style="210" customWidth="1"/>
    <col min="1550" max="1550" width="14.54296875" style="210" customWidth="1"/>
    <col min="1551" max="1551" width="19.1796875" style="210" bestFit="1" customWidth="1"/>
    <col min="1552" max="1552" width="30.54296875" style="210" customWidth="1"/>
    <col min="1553" max="1553" width="29.1796875" style="210" customWidth="1"/>
    <col min="1554" max="1554" width="29.81640625" style="210" customWidth="1"/>
    <col min="1555" max="1555" width="29.453125" style="210" customWidth="1"/>
    <col min="1556" max="1556" width="29.1796875" style="210" customWidth="1"/>
    <col min="1557" max="1557" width="12" style="210" bestFit="1" customWidth="1"/>
    <col min="1558" max="1561" width="14.1796875" style="210" bestFit="1" customWidth="1"/>
    <col min="1562" max="1788" width="10.1796875" style="210"/>
    <col min="1789" max="1789" width="36.81640625" style="210" customWidth="1"/>
    <col min="1790" max="1790" width="22.81640625" style="210" customWidth="1"/>
    <col min="1791" max="1791" width="17" style="210" customWidth="1"/>
    <col min="1792" max="1792" width="17.1796875" style="210" customWidth="1"/>
    <col min="1793" max="1793" width="18" style="210" customWidth="1"/>
    <col min="1794" max="1794" width="17.54296875" style="210" customWidth="1"/>
    <col min="1795" max="1795" width="15.81640625" style="210" customWidth="1"/>
    <col min="1796" max="1796" width="16.81640625" style="210" customWidth="1"/>
    <col min="1797" max="1797" width="18.54296875" style="210" customWidth="1"/>
    <col min="1798" max="1798" width="22.81640625" style="210" customWidth="1"/>
    <col min="1799" max="1799" width="14.81640625" style="210" customWidth="1"/>
    <col min="1800" max="1800" width="15.1796875" style="210" customWidth="1"/>
    <col min="1801" max="1801" width="13.54296875" style="210" customWidth="1"/>
    <col min="1802" max="1802" width="13.81640625" style="210" customWidth="1"/>
    <col min="1803" max="1803" width="15.453125" style="210" bestFit="1" customWidth="1"/>
    <col min="1804" max="1804" width="15.1796875" style="210" customWidth="1"/>
    <col min="1805" max="1805" width="13.453125" style="210" customWidth="1"/>
    <col min="1806" max="1806" width="14.54296875" style="210" customWidth="1"/>
    <col min="1807" max="1807" width="19.1796875" style="210" bestFit="1" customWidth="1"/>
    <col min="1808" max="1808" width="30.54296875" style="210" customWidth="1"/>
    <col min="1809" max="1809" width="29.1796875" style="210" customWidth="1"/>
    <col min="1810" max="1810" width="29.81640625" style="210" customWidth="1"/>
    <col min="1811" max="1811" width="29.453125" style="210" customWidth="1"/>
    <col min="1812" max="1812" width="29.1796875" style="210" customWidth="1"/>
    <col min="1813" max="1813" width="12" style="210" bestFit="1" customWidth="1"/>
    <col min="1814" max="1817" width="14.1796875" style="210" bestFit="1" customWidth="1"/>
    <col min="1818" max="2044" width="10.1796875" style="210"/>
    <col min="2045" max="2045" width="36.81640625" style="210" customWidth="1"/>
    <col min="2046" max="2046" width="22.81640625" style="210" customWidth="1"/>
    <col min="2047" max="2047" width="17" style="210" customWidth="1"/>
    <col min="2048" max="2048" width="17.1796875" style="210" customWidth="1"/>
    <col min="2049" max="2049" width="18" style="210" customWidth="1"/>
    <col min="2050" max="2050" width="17.54296875" style="210" customWidth="1"/>
    <col min="2051" max="2051" width="15.81640625" style="210" customWidth="1"/>
    <col min="2052" max="2052" width="16.81640625" style="210" customWidth="1"/>
    <col min="2053" max="2053" width="18.54296875" style="210" customWidth="1"/>
    <col min="2054" max="2054" width="22.81640625" style="210" customWidth="1"/>
    <col min="2055" max="2055" width="14.81640625" style="210" customWidth="1"/>
    <col min="2056" max="2056" width="15.1796875" style="210" customWidth="1"/>
    <col min="2057" max="2057" width="13.54296875" style="210" customWidth="1"/>
    <col min="2058" max="2058" width="13.81640625" style="210" customWidth="1"/>
    <col min="2059" max="2059" width="15.453125" style="210" bestFit="1" customWidth="1"/>
    <col min="2060" max="2060" width="15.1796875" style="210" customWidth="1"/>
    <col min="2061" max="2061" width="13.453125" style="210" customWidth="1"/>
    <col min="2062" max="2062" width="14.54296875" style="210" customWidth="1"/>
    <col min="2063" max="2063" width="19.1796875" style="210" bestFit="1" customWidth="1"/>
    <col min="2064" max="2064" width="30.54296875" style="210" customWidth="1"/>
    <col min="2065" max="2065" width="29.1796875" style="210" customWidth="1"/>
    <col min="2066" max="2066" width="29.81640625" style="210" customWidth="1"/>
    <col min="2067" max="2067" width="29.453125" style="210" customWidth="1"/>
    <col min="2068" max="2068" width="29.1796875" style="210" customWidth="1"/>
    <col min="2069" max="2069" width="12" style="210" bestFit="1" customWidth="1"/>
    <col min="2070" max="2073" width="14.1796875" style="210" bestFit="1" customWidth="1"/>
    <col min="2074" max="2300" width="10.1796875" style="210"/>
    <col min="2301" max="2301" width="36.81640625" style="210" customWidth="1"/>
    <col min="2302" max="2302" width="22.81640625" style="210" customWidth="1"/>
    <col min="2303" max="2303" width="17" style="210" customWidth="1"/>
    <col min="2304" max="2304" width="17.1796875" style="210" customWidth="1"/>
    <col min="2305" max="2305" width="18" style="210" customWidth="1"/>
    <col min="2306" max="2306" width="17.54296875" style="210" customWidth="1"/>
    <col min="2307" max="2307" width="15.81640625" style="210" customWidth="1"/>
    <col min="2308" max="2308" width="16.81640625" style="210" customWidth="1"/>
    <col min="2309" max="2309" width="18.54296875" style="210" customWidth="1"/>
    <col min="2310" max="2310" width="22.81640625" style="210" customWidth="1"/>
    <col min="2311" max="2311" width="14.81640625" style="210" customWidth="1"/>
    <col min="2312" max="2312" width="15.1796875" style="210" customWidth="1"/>
    <col min="2313" max="2313" width="13.54296875" style="210" customWidth="1"/>
    <col min="2314" max="2314" width="13.81640625" style="210" customWidth="1"/>
    <col min="2315" max="2315" width="15.453125" style="210" bestFit="1" customWidth="1"/>
    <col min="2316" max="2316" width="15.1796875" style="210" customWidth="1"/>
    <col min="2317" max="2317" width="13.453125" style="210" customWidth="1"/>
    <col min="2318" max="2318" width="14.54296875" style="210" customWidth="1"/>
    <col min="2319" max="2319" width="19.1796875" style="210" bestFit="1" customWidth="1"/>
    <col min="2320" max="2320" width="30.54296875" style="210" customWidth="1"/>
    <col min="2321" max="2321" width="29.1796875" style="210" customWidth="1"/>
    <col min="2322" max="2322" width="29.81640625" style="210" customWidth="1"/>
    <col min="2323" max="2323" width="29.453125" style="210" customWidth="1"/>
    <col min="2324" max="2324" width="29.1796875" style="210" customWidth="1"/>
    <col min="2325" max="2325" width="12" style="210" bestFit="1" customWidth="1"/>
    <col min="2326" max="2329" width="14.1796875" style="210" bestFit="1" customWidth="1"/>
    <col min="2330" max="2556" width="10.1796875" style="210"/>
    <col min="2557" max="2557" width="36.81640625" style="210" customWidth="1"/>
    <col min="2558" max="2558" width="22.81640625" style="210" customWidth="1"/>
    <col min="2559" max="2559" width="17" style="210" customWidth="1"/>
    <col min="2560" max="2560" width="17.1796875" style="210" customWidth="1"/>
    <col min="2561" max="2561" width="18" style="210" customWidth="1"/>
    <col min="2562" max="2562" width="17.54296875" style="210" customWidth="1"/>
    <col min="2563" max="2563" width="15.81640625" style="210" customWidth="1"/>
    <col min="2564" max="2564" width="16.81640625" style="210" customWidth="1"/>
    <col min="2565" max="2565" width="18.54296875" style="210" customWidth="1"/>
    <col min="2566" max="2566" width="22.81640625" style="210" customWidth="1"/>
    <col min="2567" max="2567" width="14.81640625" style="210" customWidth="1"/>
    <col min="2568" max="2568" width="15.1796875" style="210" customWidth="1"/>
    <col min="2569" max="2569" width="13.54296875" style="210" customWidth="1"/>
    <col min="2570" max="2570" width="13.81640625" style="210" customWidth="1"/>
    <col min="2571" max="2571" width="15.453125" style="210" bestFit="1" customWidth="1"/>
    <col min="2572" max="2572" width="15.1796875" style="210" customWidth="1"/>
    <col min="2573" max="2573" width="13.453125" style="210" customWidth="1"/>
    <col min="2574" max="2574" width="14.54296875" style="210" customWidth="1"/>
    <col min="2575" max="2575" width="19.1796875" style="210" bestFit="1" customWidth="1"/>
    <col min="2576" max="2576" width="30.54296875" style="210" customWidth="1"/>
    <col min="2577" max="2577" width="29.1796875" style="210" customWidth="1"/>
    <col min="2578" max="2578" width="29.81640625" style="210" customWidth="1"/>
    <col min="2579" max="2579" width="29.453125" style="210" customWidth="1"/>
    <col min="2580" max="2580" width="29.1796875" style="210" customWidth="1"/>
    <col min="2581" max="2581" width="12" style="210" bestFit="1" customWidth="1"/>
    <col min="2582" max="2585" width="14.1796875" style="210" bestFit="1" customWidth="1"/>
    <col min="2586" max="2812" width="10.1796875" style="210"/>
    <col min="2813" max="2813" width="36.81640625" style="210" customWidth="1"/>
    <col min="2814" max="2814" width="22.81640625" style="210" customWidth="1"/>
    <col min="2815" max="2815" width="17" style="210" customWidth="1"/>
    <col min="2816" max="2816" width="17.1796875" style="210" customWidth="1"/>
    <col min="2817" max="2817" width="18" style="210" customWidth="1"/>
    <col min="2818" max="2818" width="17.54296875" style="210" customWidth="1"/>
    <col min="2819" max="2819" width="15.81640625" style="210" customWidth="1"/>
    <col min="2820" max="2820" width="16.81640625" style="210" customWidth="1"/>
    <col min="2821" max="2821" width="18.54296875" style="210" customWidth="1"/>
    <col min="2822" max="2822" width="22.81640625" style="210" customWidth="1"/>
    <col min="2823" max="2823" width="14.81640625" style="210" customWidth="1"/>
    <col min="2824" max="2824" width="15.1796875" style="210" customWidth="1"/>
    <col min="2825" max="2825" width="13.54296875" style="210" customWidth="1"/>
    <col min="2826" max="2826" width="13.81640625" style="210" customWidth="1"/>
    <col min="2827" max="2827" width="15.453125" style="210" bestFit="1" customWidth="1"/>
    <col min="2828" max="2828" width="15.1796875" style="210" customWidth="1"/>
    <col min="2829" max="2829" width="13.453125" style="210" customWidth="1"/>
    <col min="2830" max="2830" width="14.54296875" style="210" customWidth="1"/>
    <col min="2831" max="2831" width="19.1796875" style="210" bestFit="1" customWidth="1"/>
    <col min="2832" max="2832" width="30.54296875" style="210" customWidth="1"/>
    <col min="2833" max="2833" width="29.1796875" style="210" customWidth="1"/>
    <col min="2834" max="2834" width="29.81640625" style="210" customWidth="1"/>
    <col min="2835" max="2835" width="29.453125" style="210" customWidth="1"/>
    <col min="2836" max="2836" width="29.1796875" style="210" customWidth="1"/>
    <col min="2837" max="2837" width="12" style="210" bestFit="1" customWidth="1"/>
    <col min="2838" max="2841" width="14.1796875" style="210" bestFit="1" customWidth="1"/>
    <col min="2842" max="3068" width="10.1796875" style="210"/>
    <col min="3069" max="3069" width="36.81640625" style="210" customWidth="1"/>
    <col min="3070" max="3070" width="22.81640625" style="210" customWidth="1"/>
    <col min="3071" max="3071" width="17" style="210" customWidth="1"/>
    <col min="3072" max="3072" width="17.1796875" style="210" customWidth="1"/>
    <col min="3073" max="3073" width="18" style="210" customWidth="1"/>
    <col min="3074" max="3074" width="17.54296875" style="210" customWidth="1"/>
    <col min="3075" max="3075" width="15.81640625" style="210" customWidth="1"/>
    <col min="3076" max="3076" width="16.81640625" style="210" customWidth="1"/>
    <col min="3077" max="3077" width="18.54296875" style="210" customWidth="1"/>
    <col min="3078" max="3078" width="22.81640625" style="210" customWidth="1"/>
    <col min="3079" max="3079" width="14.81640625" style="210" customWidth="1"/>
    <col min="3080" max="3080" width="15.1796875" style="210" customWidth="1"/>
    <col min="3081" max="3081" width="13.54296875" style="210" customWidth="1"/>
    <col min="3082" max="3082" width="13.81640625" style="210" customWidth="1"/>
    <col min="3083" max="3083" width="15.453125" style="210" bestFit="1" customWidth="1"/>
    <col min="3084" max="3084" width="15.1796875" style="210" customWidth="1"/>
    <col min="3085" max="3085" width="13.453125" style="210" customWidth="1"/>
    <col min="3086" max="3086" width="14.54296875" style="210" customWidth="1"/>
    <col min="3087" max="3087" width="19.1796875" style="210" bestFit="1" customWidth="1"/>
    <col min="3088" max="3088" width="30.54296875" style="210" customWidth="1"/>
    <col min="3089" max="3089" width="29.1796875" style="210" customWidth="1"/>
    <col min="3090" max="3090" width="29.81640625" style="210" customWidth="1"/>
    <col min="3091" max="3091" width="29.453125" style="210" customWidth="1"/>
    <col min="3092" max="3092" width="29.1796875" style="210" customWidth="1"/>
    <col min="3093" max="3093" width="12" style="210" bestFit="1" customWidth="1"/>
    <col min="3094" max="3097" width="14.1796875" style="210" bestFit="1" customWidth="1"/>
    <col min="3098" max="3324" width="10.1796875" style="210"/>
    <col min="3325" max="3325" width="36.81640625" style="210" customWidth="1"/>
    <col min="3326" max="3326" width="22.81640625" style="210" customWidth="1"/>
    <col min="3327" max="3327" width="17" style="210" customWidth="1"/>
    <col min="3328" max="3328" width="17.1796875" style="210" customWidth="1"/>
    <col min="3329" max="3329" width="18" style="210" customWidth="1"/>
    <col min="3330" max="3330" width="17.54296875" style="210" customWidth="1"/>
    <col min="3331" max="3331" width="15.81640625" style="210" customWidth="1"/>
    <col min="3332" max="3332" width="16.81640625" style="210" customWidth="1"/>
    <col min="3333" max="3333" width="18.54296875" style="210" customWidth="1"/>
    <col min="3334" max="3334" width="22.81640625" style="210" customWidth="1"/>
    <col min="3335" max="3335" width="14.81640625" style="210" customWidth="1"/>
    <col min="3336" max="3336" width="15.1796875" style="210" customWidth="1"/>
    <col min="3337" max="3337" width="13.54296875" style="210" customWidth="1"/>
    <col min="3338" max="3338" width="13.81640625" style="210" customWidth="1"/>
    <col min="3339" max="3339" width="15.453125" style="210" bestFit="1" customWidth="1"/>
    <col min="3340" max="3340" width="15.1796875" style="210" customWidth="1"/>
    <col min="3341" max="3341" width="13.453125" style="210" customWidth="1"/>
    <col min="3342" max="3342" width="14.54296875" style="210" customWidth="1"/>
    <col min="3343" max="3343" width="19.1796875" style="210" bestFit="1" customWidth="1"/>
    <col min="3344" max="3344" width="30.54296875" style="210" customWidth="1"/>
    <col min="3345" max="3345" width="29.1796875" style="210" customWidth="1"/>
    <col min="3346" max="3346" width="29.81640625" style="210" customWidth="1"/>
    <col min="3347" max="3347" width="29.453125" style="210" customWidth="1"/>
    <col min="3348" max="3348" width="29.1796875" style="210" customWidth="1"/>
    <col min="3349" max="3349" width="12" style="210" bestFit="1" customWidth="1"/>
    <col min="3350" max="3353" width="14.1796875" style="210" bestFit="1" customWidth="1"/>
    <col min="3354" max="3580" width="10.1796875" style="210"/>
    <col min="3581" max="3581" width="36.81640625" style="210" customWidth="1"/>
    <col min="3582" max="3582" width="22.81640625" style="210" customWidth="1"/>
    <col min="3583" max="3583" width="17" style="210" customWidth="1"/>
    <col min="3584" max="3584" width="17.1796875" style="210" customWidth="1"/>
    <col min="3585" max="3585" width="18" style="210" customWidth="1"/>
    <col min="3586" max="3586" width="17.54296875" style="210" customWidth="1"/>
    <col min="3587" max="3587" width="15.81640625" style="210" customWidth="1"/>
    <col min="3588" max="3588" width="16.81640625" style="210" customWidth="1"/>
    <col min="3589" max="3589" width="18.54296875" style="210" customWidth="1"/>
    <col min="3590" max="3590" width="22.81640625" style="210" customWidth="1"/>
    <col min="3591" max="3591" width="14.81640625" style="210" customWidth="1"/>
    <col min="3592" max="3592" width="15.1796875" style="210" customWidth="1"/>
    <col min="3593" max="3593" width="13.54296875" style="210" customWidth="1"/>
    <col min="3594" max="3594" width="13.81640625" style="210" customWidth="1"/>
    <col min="3595" max="3595" width="15.453125" style="210" bestFit="1" customWidth="1"/>
    <col min="3596" max="3596" width="15.1796875" style="210" customWidth="1"/>
    <col min="3597" max="3597" width="13.453125" style="210" customWidth="1"/>
    <col min="3598" max="3598" width="14.54296875" style="210" customWidth="1"/>
    <col min="3599" max="3599" width="19.1796875" style="210" bestFit="1" customWidth="1"/>
    <col min="3600" max="3600" width="30.54296875" style="210" customWidth="1"/>
    <col min="3601" max="3601" width="29.1796875" style="210" customWidth="1"/>
    <col min="3602" max="3602" width="29.81640625" style="210" customWidth="1"/>
    <col min="3603" max="3603" width="29.453125" style="210" customWidth="1"/>
    <col min="3604" max="3604" width="29.1796875" style="210" customWidth="1"/>
    <col min="3605" max="3605" width="12" style="210" bestFit="1" customWidth="1"/>
    <col min="3606" max="3609" width="14.1796875" style="210" bestFit="1" customWidth="1"/>
    <col min="3610" max="3836" width="10.1796875" style="210"/>
    <col min="3837" max="3837" width="36.81640625" style="210" customWidth="1"/>
    <col min="3838" max="3838" width="22.81640625" style="210" customWidth="1"/>
    <col min="3839" max="3839" width="17" style="210" customWidth="1"/>
    <col min="3840" max="3840" width="17.1796875" style="210" customWidth="1"/>
    <col min="3841" max="3841" width="18" style="210" customWidth="1"/>
    <col min="3842" max="3842" width="17.54296875" style="210" customWidth="1"/>
    <col min="3843" max="3843" width="15.81640625" style="210" customWidth="1"/>
    <col min="3844" max="3844" width="16.81640625" style="210" customWidth="1"/>
    <col min="3845" max="3845" width="18.54296875" style="210" customWidth="1"/>
    <col min="3846" max="3846" width="22.81640625" style="210" customWidth="1"/>
    <col min="3847" max="3847" width="14.81640625" style="210" customWidth="1"/>
    <col min="3848" max="3848" width="15.1796875" style="210" customWidth="1"/>
    <col min="3849" max="3849" width="13.54296875" style="210" customWidth="1"/>
    <col min="3850" max="3850" width="13.81640625" style="210" customWidth="1"/>
    <col min="3851" max="3851" width="15.453125" style="210" bestFit="1" customWidth="1"/>
    <col min="3852" max="3852" width="15.1796875" style="210" customWidth="1"/>
    <col min="3853" max="3853" width="13.453125" style="210" customWidth="1"/>
    <col min="3854" max="3854" width="14.54296875" style="210" customWidth="1"/>
    <col min="3855" max="3855" width="19.1796875" style="210" bestFit="1" customWidth="1"/>
    <col min="3856" max="3856" width="30.54296875" style="210" customWidth="1"/>
    <col min="3857" max="3857" width="29.1796875" style="210" customWidth="1"/>
    <col min="3858" max="3858" width="29.81640625" style="210" customWidth="1"/>
    <col min="3859" max="3859" width="29.453125" style="210" customWidth="1"/>
    <col min="3860" max="3860" width="29.1796875" style="210" customWidth="1"/>
    <col min="3861" max="3861" width="12" style="210" bestFit="1" customWidth="1"/>
    <col min="3862" max="3865" width="14.1796875" style="210" bestFit="1" customWidth="1"/>
    <col min="3866" max="4092" width="10.1796875" style="210"/>
    <col min="4093" max="4093" width="36.81640625" style="210" customWidth="1"/>
    <col min="4094" max="4094" width="22.81640625" style="210" customWidth="1"/>
    <col min="4095" max="4095" width="17" style="210" customWidth="1"/>
    <col min="4096" max="4096" width="17.1796875" style="210" customWidth="1"/>
    <col min="4097" max="4097" width="18" style="210" customWidth="1"/>
    <col min="4098" max="4098" width="17.54296875" style="210" customWidth="1"/>
    <col min="4099" max="4099" width="15.81640625" style="210" customWidth="1"/>
    <col min="4100" max="4100" width="16.81640625" style="210" customWidth="1"/>
    <col min="4101" max="4101" width="18.54296875" style="210" customWidth="1"/>
    <col min="4102" max="4102" width="22.81640625" style="210" customWidth="1"/>
    <col min="4103" max="4103" width="14.81640625" style="210" customWidth="1"/>
    <col min="4104" max="4104" width="15.1796875" style="210" customWidth="1"/>
    <col min="4105" max="4105" width="13.54296875" style="210" customWidth="1"/>
    <col min="4106" max="4106" width="13.81640625" style="210" customWidth="1"/>
    <col min="4107" max="4107" width="15.453125" style="210" bestFit="1" customWidth="1"/>
    <col min="4108" max="4108" width="15.1796875" style="210" customWidth="1"/>
    <col min="4109" max="4109" width="13.453125" style="210" customWidth="1"/>
    <col min="4110" max="4110" width="14.54296875" style="210" customWidth="1"/>
    <col min="4111" max="4111" width="19.1796875" style="210" bestFit="1" customWidth="1"/>
    <col min="4112" max="4112" width="30.54296875" style="210" customWidth="1"/>
    <col min="4113" max="4113" width="29.1796875" style="210" customWidth="1"/>
    <col min="4114" max="4114" width="29.81640625" style="210" customWidth="1"/>
    <col min="4115" max="4115" width="29.453125" style="210" customWidth="1"/>
    <col min="4116" max="4116" width="29.1796875" style="210" customWidth="1"/>
    <col min="4117" max="4117" width="12" style="210" bestFit="1" customWidth="1"/>
    <col min="4118" max="4121" width="14.1796875" style="210" bestFit="1" customWidth="1"/>
    <col min="4122" max="4348" width="10.1796875" style="210"/>
    <col min="4349" max="4349" width="36.81640625" style="210" customWidth="1"/>
    <col min="4350" max="4350" width="22.81640625" style="210" customWidth="1"/>
    <col min="4351" max="4351" width="17" style="210" customWidth="1"/>
    <col min="4352" max="4352" width="17.1796875" style="210" customWidth="1"/>
    <col min="4353" max="4353" width="18" style="210" customWidth="1"/>
    <col min="4354" max="4354" width="17.54296875" style="210" customWidth="1"/>
    <col min="4355" max="4355" width="15.81640625" style="210" customWidth="1"/>
    <col min="4356" max="4356" width="16.81640625" style="210" customWidth="1"/>
    <col min="4357" max="4357" width="18.54296875" style="210" customWidth="1"/>
    <col min="4358" max="4358" width="22.81640625" style="210" customWidth="1"/>
    <col min="4359" max="4359" width="14.81640625" style="210" customWidth="1"/>
    <col min="4360" max="4360" width="15.1796875" style="210" customWidth="1"/>
    <col min="4361" max="4361" width="13.54296875" style="210" customWidth="1"/>
    <col min="4362" max="4362" width="13.81640625" style="210" customWidth="1"/>
    <col min="4363" max="4363" width="15.453125" style="210" bestFit="1" customWidth="1"/>
    <col min="4364" max="4364" width="15.1796875" style="210" customWidth="1"/>
    <col min="4365" max="4365" width="13.453125" style="210" customWidth="1"/>
    <col min="4366" max="4366" width="14.54296875" style="210" customWidth="1"/>
    <col min="4367" max="4367" width="19.1796875" style="210" bestFit="1" customWidth="1"/>
    <col min="4368" max="4368" width="30.54296875" style="210" customWidth="1"/>
    <col min="4369" max="4369" width="29.1796875" style="210" customWidth="1"/>
    <col min="4370" max="4370" width="29.81640625" style="210" customWidth="1"/>
    <col min="4371" max="4371" width="29.453125" style="210" customWidth="1"/>
    <col min="4372" max="4372" width="29.1796875" style="210" customWidth="1"/>
    <col min="4373" max="4373" width="12" style="210" bestFit="1" customWidth="1"/>
    <col min="4374" max="4377" width="14.1796875" style="210" bestFit="1" customWidth="1"/>
    <col min="4378" max="4604" width="10.1796875" style="210"/>
    <col min="4605" max="4605" width="36.81640625" style="210" customWidth="1"/>
    <col min="4606" max="4606" width="22.81640625" style="210" customWidth="1"/>
    <col min="4607" max="4607" width="17" style="210" customWidth="1"/>
    <col min="4608" max="4608" width="17.1796875" style="210" customWidth="1"/>
    <col min="4609" max="4609" width="18" style="210" customWidth="1"/>
    <col min="4610" max="4610" width="17.54296875" style="210" customWidth="1"/>
    <col min="4611" max="4611" width="15.81640625" style="210" customWidth="1"/>
    <col min="4612" max="4612" width="16.81640625" style="210" customWidth="1"/>
    <col min="4613" max="4613" width="18.54296875" style="210" customWidth="1"/>
    <col min="4614" max="4614" width="22.81640625" style="210" customWidth="1"/>
    <col min="4615" max="4615" width="14.81640625" style="210" customWidth="1"/>
    <col min="4616" max="4616" width="15.1796875" style="210" customWidth="1"/>
    <col min="4617" max="4617" width="13.54296875" style="210" customWidth="1"/>
    <col min="4618" max="4618" width="13.81640625" style="210" customWidth="1"/>
    <col min="4619" max="4619" width="15.453125" style="210" bestFit="1" customWidth="1"/>
    <col min="4620" max="4620" width="15.1796875" style="210" customWidth="1"/>
    <col min="4621" max="4621" width="13.453125" style="210" customWidth="1"/>
    <col min="4622" max="4622" width="14.54296875" style="210" customWidth="1"/>
    <col min="4623" max="4623" width="19.1796875" style="210" bestFit="1" customWidth="1"/>
    <col min="4624" max="4624" width="30.54296875" style="210" customWidth="1"/>
    <col min="4625" max="4625" width="29.1796875" style="210" customWidth="1"/>
    <col min="4626" max="4626" width="29.81640625" style="210" customWidth="1"/>
    <col min="4627" max="4627" width="29.453125" style="210" customWidth="1"/>
    <col min="4628" max="4628" width="29.1796875" style="210" customWidth="1"/>
    <col min="4629" max="4629" width="12" style="210" bestFit="1" customWidth="1"/>
    <col min="4630" max="4633" width="14.1796875" style="210" bestFit="1" customWidth="1"/>
    <col min="4634" max="4860" width="10.1796875" style="210"/>
    <col min="4861" max="4861" width="36.81640625" style="210" customWidth="1"/>
    <col min="4862" max="4862" width="22.81640625" style="210" customWidth="1"/>
    <col min="4863" max="4863" width="17" style="210" customWidth="1"/>
    <col min="4864" max="4864" width="17.1796875" style="210" customWidth="1"/>
    <col min="4865" max="4865" width="18" style="210" customWidth="1"/>
    <col min="4866" max="4866" width="17.54296875" style="210" customWidth="1"/>
    <col min="4867" max="4867" width="15.81640625" style="210" customWidth="1"/>
    <col min="4868" max="4868" width="16.81640625" style="210" customWidth="1"/>
    <col min="4869" max="4869" width="18.54296875" style="210" customWidth="1"/>
    <col min="4870" max="4870" width="22.81640625" style="210" customWidth="1"/>
    <col min="4871" max="4871" width="14.81640625" style="210" customWidth="1"/>
    <col min="4872" max="4872" width="15.1796875" style="210" customWidth="1"/>
    <col min="4873" max="4873" width="13.54296875" style="210" customWidth="1"/>
    <col min="4874" max="4874" width="13.81640625" style="210" customWidth="1"/>
    <col min="4875" max="4875" width="15.453125" style="210" bestFit="1" customWidth="1"/>
    <col min="4876" max="4876" width="15.1796875" style="210" customWidth="1"/>
    <col min="4877" max="4877" width="13.453125" style="210" customWidth="1"/>
    <col min="4878" max="4878" width="14.54296875" style="210" customWidth="1"/>
    <col min="4879" max="4879" width="19.1796875" style="210" bestFit="1" customWidth="1"/>
    <col min="4880" max="4880" width="30.54296875" style="210" customWidth="1"/>
    <col min="4881" max="4881" width="29.1796875" style="210" customWidth="1"/>
    <col min="4882" max="4882" width="29.81640625" style="210" customWidth="1"/>
    <col min="4883" max="4883" width="29.453125" style="210" customWidth="1"/>
    <col min="4884" max="4884" width="29.1796875" style="210" customWidth="1"/>
    <col min="4885" max="4885" width="12" style="210" bestFit="1" customWidth="1"/>
    <col min="4886" max="4889" width="14.1796875" style="210" bestFit="1" customWidth="1"/>
    <col min="4890" max="5116" width="10.1796875" style="210"/>
    <col min="5117" max="5117" width="36.81640625" style="210" customWidth="1"/>
    <col min="5118" max="5118" width="22.81640625" style="210" customWidth="1"/>
    <col min="5119" max="5119" width="17" style="210" customWidth="1"/>
    <col min="5120" max="5120" width="17.1796875" style="210" customWidth="1"/>
    <col min="5121" max="5121" width="18" style="210" customWidth="1"/>
    <col min="5122" max="5122" width="17.54296875" style="210" customWidth="1"/>
    <col min="5123" max="5123" width="15.81640625" style="210" customWidth="1"/>
    <col min="5124" max="5124" width="16.81640625" style="210" customWidth="1"/>
    <col min="5125" max="5125" width="18.54296875" style="210" customWidth="1"/>
    <col min="5126" max="5126" width="22.81640625" style="210" customWidth="1"/>
    <col min="5127" max="5127" width="14.81640625" style="210" customWidth="1"/>
    <col min="5128" max="5128" width="15.1796875" style="210" customWidth="1"/>
    <col min="5129" max="5129" width="13.54296875" style="210" customWidth="1"/>
    <col min="5130" max="5130" width="13.81640625" style="210" customWidth="1"/>
    <col min="5131" max="5131" width="15.453125" style="210" bestFit="1" customWidth="1"/>
    <col min="5132" max="5132" width="15.1796875" style="210" customWidth="1"/>
    <col min="5133" max="5133" width="13.453125" style="210" customWidth="1"/>
    <col min="5134" max="5134" width="14.54296875" style="210" customWidth="1"/>
    <col min="5135" max="5135" width="19.1796875" style="210" bestFit="1" customWidth="1"/>
    <col min="5136" max="5136" width="30.54296875" style="210" customWidth="1"/>
    <col min="5137" max="5137" width="29.1796875" style="210" customWidth="1"/>
    <col min="5138" max="5138" width="29.81640625" style="210" customWidth="1"/>
    <col min="5139" max="5139" width="29.453125" style="210" customWidth="1"/>
    <col min="5140" max="5140" width="29.1796875" style="210" customWidth="1"/>
    <col min="5141" max="5141" width="12" style="210" bestFit="1" customWidth="1"/>
    <col min="5142" max="5145" width="14.1796875" style="210" bestFit="1" customWidth="1"/>
    <col min="5146" max="5372" width="10.1796875" style="210"/>
    <col min="5373" max="5373" width="36.81640625" style="210" customWidth="1"/>
    <col min="5374" max="5374" width="22.81640625" style="210" customWidth="1"/>
    <col min="5375" max="5375" width="17" style="210" customWidth="1"/>
    <col min="5376" max="5376" width="17.1796875" style="210" customWidth="1"/>
    <col min="5377" max="5377" width="18" style="210" customWidth="1"/>
    <col min="5378" max="5378" width="17.54296875" style="210" customWidth="1"/>
    <col min="5379" max="5379" width="15.81640625" style="210" customWidth="1"/>
    <col min="5380" max="5380" width="16.81640625" style="210" customWidth="1"/>
    <col min="5381" max="5381" width="18.54296875" style="210" customWidth="1"/>
    <col min="5382" max="5382" width="22.81640625" style="210" customWidth="1"/>
    <col min="5383" max="5383" width="14.81640625" style="210" customWidth="1"/>
    <col min="5384" max="5384" width="15.1796875" style="210" customWidth="1"/>
    <col min="5385" max="5385" width="13.54296875" style="210" customWidth="1"/>
    <col min="5386" max="5386" width="13.81640625" style="210" customWidth="1"/>
    <col min="5387" max="5387" width="15.453125" style="210" bestFit="1" customWidth="1"/>
    <col min="5388" max="5388" width="15.1796875" style="210" customWidth="1"/>
    <col min="5389" max="5389" width="13.453125" style="210" customWidth="1"/>
    <col min="5390" max="5390" width="14.54296875" style="210" customWidth="1"/>
    <col min="5391" max="5391" width="19.1796875" style="210" bestFit="1" customWidth="1"/>
    <col min="5392" max="5392" width="30.54296875" style="210" customWidth="1"/>
    <col min="5393" max="5393" width="29.1796875" style="210" customWidth="1"/>
    <col min="5394" max="5394" width="29.81640625" style="210" customWidth="1"/>
    <col min="5395" max="5395" width="29.453125" style="210" customWidth="1"/>
    <col min="5396" max="5396" width="29.1796875" style="210" customWidth="1"/>
    <col min="5397" max="5397" width="12" style="210" bestFit="1" customWidth="1"/>
    <col min="5398" max="5401" width="14.1796875" style="210" bestFit="1" customWidth="1"/>
    <col min="5402" max="5628" width="10.1796875" style="210"/>
    <col min="5629" max="5629" width="36.81640625" style="210" customWidth="1"/>
    <col min="5630" max="5630" width="22.81640625" style="210" customWidth="1"/>
    <col min="5631" max="5631" width="17" style="210" customWidth="1"/>
    <col min="5632" max="5632" width="17.1796875" style="210" customWidth="1"/>
    <col min="5633" max="5633" width="18" style="210" customWidth="1"/>
    <col min="5634" max="5634" width="17.54296875" style="210" customWidth="1"/>
    <col min="5635" max="5635" width="15.81640625" style="210" customWidth="1"/>
    <col min="5636" max="5636" width="16.81640625" style="210" customWidth="1"/>
    <col min="5637" max="5637" width="18.54296875" style="210" customWidth="1"/>
    <col min="5638" max="5638" width="22.81640625" style="210" customWidth="1"/>
    <col min="5639" max="5639" width="14.81640625" style="210" customWidth="1"/>
    <col min="5640" max="5640" width="15.1796875" style="210" customWidth="1"/>
    <col min="5641" max="5641" width="13.54296875" style="210" customWidth="1"/>
    <col min="5642" max="5642" width="13.81640625" style="210" customWidth="1"/>
    <col min="5643" max="5643" width="15.453125" style="210" bestFit="1" customWidth="1"/>
    <col min="5644" max="5644" width="15.1796875" style="210" customWidth="1"/>
    <col min="5645" max="5645" width="13.453125" style="210" customWidth="1"/>
    <col min="5646" max="5646" width="14.54296875" style="210" customWidth="1"/>
    <col min="5647" max="5647" width="19.1796875" style="210" bestFit="1" customWidth="1"/>
    <col min="5648" max="5648" width="30.54296875" style="210" customWidth="1"/>
    <col min="5649" max="5649" width="29.1796875" style="210" customWidth="1"/>
    <col min="5650" max="5650" width="29.81640625" style="210" customWidth="1"/>
    <col min="5651" max="5651" width="29.453125" style="210" customWidth="1"/>
    <col min="5652" max="5652" width="29.1796875" style="210" customWidth="1"/>
    <col min="5653" max="5653" width="12" style="210" bestFit="1" customWidth="1"/>
    <col min="5654" max="5657" width="14.1796875" style="210" bestFit="1" customWidth="1"/>
    <col min="5658" max="5884" width="10.1796875" style="210"/>
    <col min="5885" max="5885" width="36.81640625" style="210" customWidth="1"/>
    <col min="5886" max="5886" width="22.81640625" style="210" customWidth="1"/>
    <col min="5887" max="5887" width="17" style="210" customWidth="1"/>
    <col min="5888" max="5888" width="17.1796875" style="210" customWidth="1"/>
    <col min="5889" max="5889" width="18" style="210" customWidth="1"/>
    <col min="5890" max="5890" width="17.54296875" style="210" customWidth="1"/>
    <col min="5891" max="5891" width="15.81640625" style="210" customWidth="1"/>
    <col min="5892" max="5892" width="16.81640625" style="210" customWidth="1"/>
    <col min="5893" max="5893" width="18.54296875" style="210" customWidth="1"/>
    <col min="5894" max="5894" width="22.81640625" style="210" customWidth="1"/>
    <col min="5895" max="5895" width="14.81640625" style="210" customWidth="1"/>
    <col min="5896" max="5896" width="15.1796875" style="210" customWidth="1"/>
    <col min="5897" max="5897" width="13.54296875" style="210" customWidth="1"/>
    <col min="5898" max="5898" width="13.81640625" style="210" customWidth="1"/>
    <col min="5899" max="5899" width="15.453125" style="210" bestFit="1" customWidth="1"/>
    <col min="5900" max="5900" width="15.1796875" style="210" customWidth="1"/>
    <col min="5901" max="5901" width="13.453125" style="210" customWidth="1"/>
    <col min="5902" max="5902" width="14.54296875" style="210" customWidth="1"/>
    <col min="5903" max="5903" width="19.1796875" style="210" bestFit="1" customWidth="1"/>
    <col min="5904" max="5904" width="30.54296875" style="210" customWidth="1"/>
    <col min="5905" max="5905" width="29.1796875" style="210" customWidth="1"/>
    <col min="5906" max="5906" width="29.81640625" style="210" customWidth="1"/>
    <col min="5907" max="5907" width="29.453125" style="210" customWidth="1"/>
    <col min="5908" max="5908" width="29.1796875" style="210" customWidth="1"/>
    <col min="5909" max="5909" width="12" style="210" bestFit="1" customWidth="1"/>
    <col min="5910" max="5913" width="14.1796875" style="210" bestFit="1" customWidth="1"/>
    <col min="5914" max="6140" width="10.1796875" style="210"/>
    <col min="6141" max="6141" width="36.81640625" style="210" customWidth="1"/>
    <col min="6142" max="6142" width="22.81640625" style="210" customWidth="1"/>
    <col min="6143" max="6143" width="17" style="210" customWidth="1"/>
    <col min="6144" max="6144" width="17.1796875" style="210" customWidth="1"/>
    <col min="6145" max="6145" width="18" style="210" customWidth="1"/>
    <col min="6146" max="6146" width="17.54296875" style="210" customWidth="1"/>
    <col min="6147" max="6147" width="15.81640625" style="210" customWidth="1"/>
    <col min="6148" max="6148" width="16.81640625" style="210" customWidth="1"/>
    <col min="6149" max="6149" width="18.54296875" style="210" customWidth="1"/>
    <col min="6150" max="6150" width="22.81640625" style="210" customWidth="1"/>
    <col min="6151" max="6151" width="14.81640625" style="210" customWidth="1"/>
    <col min="6152" max="6152" width="15.1796875" style="210" customWidth="1"/>
    <col min="6153" max="6153" width="13.54296875" style="210" customWidth="1"/>
    <col min="6154" max="6154" width="13.81640625" style="210" customWidth="1"/>
    <col min="6155" max="6155" width="15.453125" style="210" bestFit="1" customWidth="1"/>
    <col min="6156" max="6156" width="15.1796875" style="210" customWidth="1"/>
    <col min="6157" max="6157" width="13.453125" style="210" customWidth="1"/>
    <col min="6158" max="6158" width="14.54296875" style="210" customWidth="1"/>
    <col min="6159" max="6159" width="19.1796875" style="210" bestFit="1" customWidth="1"/>
    <col min="6160" max="6160" width="30.54296875" style="210" customWidth="1"/>
    <col min="6161" max="6161" width="29.1796875" style="210" customWidth="1"/>
    <col min="6162" max="6162" width="29.81640625" style="210" customWidth="1"/>
    <col min="6163" max="6163" width="29.453125" style="210" customWidth="1"/>
    <col min="6164" max="6164" width="29.1796875" style="210" customWidth="1"/>
    <col min="6165" max="6165" width="12" style="210" bestFit="1" customWidth="1"/>
    <col min="6166" max="6169" width="14.1796875" style="210" bestFit="1" customWidth="1"/>
    <col min="6170" max="6396" width="10.1796875" style="210"/>
    <col min="6397" max="6397" width="36.81640625" style="210" customWidth="1"/>
    <col min="6398" max="6398" width="22.81640625" style="210" customWidth="1"/>
    <col min="6399" max="6399" width="17" style="210" customWidth="1"/>
    <col min="6400" max="6400" width="17.1796875" style="210" customWidth="1"/>
    <col min="6401" max="6401" width="18" style="210" customWidth="1"/>
    <col min="6402" max="6402" width="17.54296875" style="210" customWidth="1"/>
    <col min="6403" max="6403" width="15.81640625" style="210" customWidth="1"/>
    <col min="6404" max="6404" width="16.81640625" style="210" customWidth="1"/>
    <col min="6405" max="6405" width="18.54296875" style="210" customWidth="1"/>
    <col min="6406" max="6406" width="22.81640625" style="210" customWidth="1"/>
    <col min="6407" max="6407" width="14.81640625" style="210" customWidth="1"/>
    <col min="6408" max="6408" width="15.1796875" style="210" customWidth="1"/>
    <col min="6409" max="6409" width="13.54296875" style="210" customWidth="1"/>
    <col min="6410" max="6410" width="13.81640625" style="210" customWidth="1"/>
    <col min="6411" max="6411" width="15.453125" style="210" bestFit="1" customWidth="1"/>
    <col min="6412" max="6412" width="15.1796875" style="210" customWidth="1"/>
    <col min="6413" max="6413" width="13.453125" style="210" customWidth="1"/>
    <col min="6414" max="6414" width="14.54296875" style="210" customWidth="1"/>
    <col min="6415" max="6415" width="19.1796875" style="210" bestFit="1" customWidth="1"/>
    <col min="6416" max="6416" width="30.54296875" style="210" customWidth="1"/>
    <col min="6417" max="6417" width="29.1796875" style="210" customWidth="1"/>
    <col min="6418" max="6418" width="29.81640625" style="210" customWidth="1"/>
    <col min="6419" max="6419" width="29.453125" style="210" customWidth="1"/>
    <col min="6420" max="6420" width="29.1796875" style="210" customWidth="1"/>
    <col min="6421" max="6421" width="12" style="210" bestFit="1" customWidth="1"/>
    <col min="6422" max="6425" width="14.1796875" style="210" bestFit="1" customWidth="1"/>
    <col min="6426" max="6652" width="10.1796875" style="210"/>
    <col min="6653" max="6653" width="36.81640625" style="210" customWidth="1"/>
    <col min="6654" max="6654" width="22.81640625" style="210" customWidth="1"/>
    <col min="6655" max="6655" width="17" style="210" customWidth="1"/>
    <col min="6656" max="6656" width="17.1796875" style="210" customWidth="1"/>
    <col min="6657" max="6657" width="18" style="210" customWidth="1"/>
    <col min="6658" max="6658" width="17.54296875" style="210" customWidth="1"/>
    <col min="6659" max="6659" width="15.81640625" style="210" customWidth="1"/>
    <col min="6660" max="6660" width="16.81640625" style="210" customWidth="1"/>
    <col min="6661" max="6661" width="18.54296875" style="210" customWidth="1"/>
    <col min="6662" max="6662" width="22.81640625" style="210" customWidth="1"/>
    <col min="6663" max="6663" width="14.81640625" style="210" customWidth="1"/>
    <col min="6664" max="6664" width="15.1796875" style="210" customWidth="1"/>
    <col min="6665" max="6665" width="13.54296875" style="210" customWidth="1"/>
    <col min="6666" max="6666" width="13.81640625" style="210" customWidth="1"/>
    <col min="6667" max="6667" width="15.453125" style="210" bestFit="1" customWidth="1"/>
    <col min="6668" max="6668" width="15.1796875" style="210" customWidth="1"/>
    <col min="6669" max="6669" width="13.453125" style="210" customWidth="1"/>
    <col min="6670" max="6670" width="14.54296875" style="210" customWidth="1"/>
    <col min="6671" max="6671" width="19.1796875" style="210" bestFit="1" customWidth="1"/>
    <col min="6672" max="6672" width="30.54296875" style="210" customWidth="1"/>
    <col min="6673" max="6673" width="29.1796875" style="210" customWidth="1"/>
    <col min="6674" max="6674" width="29.81640625" style="210" customWidth="1"/>
    <col min="6675" max="6675" width="29.453125" style="210" customWidth="1"/>
    <col min="6676" max="6676" width="29.1796875" style="210" customWidth="1"/>
    <col min="6677" max="6677" width="12" style="210" bestFit="1" customWidth="1"/>
    <col min="6678" max="6681" width="14.1796875" style="210" bestFit="1" customWidth="1"/>
    <col min="6682" max="6908" width="10.1796875" style="210"/>
    <col min="6909" max="6909" width="36.81640625" style="210" customWidth="1"/>
    <col min="6910" max="6910" width="22.81640625" style="210" customWidth="1"/>
    <col min="6911" max="6911" width="17" style="210" customWidth="1"/>
    <col min="6912" max="6912" width="17.1796875" style="210" customWidth="1"/>
    <col min="6913" max="6913" width="18" style="210" customWidth="1"/>
    <col min="6914" max="6914" width="17.54296875" style="210" customWidth="1"/>
    <col min="6915" max="6915" width="15.81640625" style="210" customWidth="1"/>
    <col min="6916" max="6916" width="16.81640625" style="210" customWidth="1"/>
    <col min="6917" max="6917" width="18.54296875" style="210" customWidth="1"/>
    <col min="6918" max="6918" width="22.81640625" style="210" customWidth="1"/>
    <col min="6919" max="6919" width="14.81640625" style="210" customWidth="1"/>
    <col min="6920" max="6920" width="15.1796875" style="210" customWidth="1"/>
    <col min="6921" max="6921" width="13.54296875" style="210" customWidth="1"/>
    <col min="6922" max="6922" width="13.81640625" style="210" customWidth="1"/>
    <col min="6923" max="6923" width="15.453125" style="210" bestFit="1" customWidth="1"/>
    <col min="6924" max="6924" width="15.1796875" style="210" customWidth="1"/>
    <col min="6925" max="6925" width="13.453125" style="210" customWidth="1"/>
    <col min="6926" max="6926" width="14.54296875" style="210" customWidth="1"/>
    <col min="6927" max="6927" width="19.1796875" style="210" bestFit="1" customWidth="1"/>
    <col min="6928" max="6928" width="30.54296875" style="210" customWidth="1"/>
    <col min="6929" max="6929" width="29.1796875" style="210" customWidth="1"/>
    <col min="6930" max="6930" width="29.81640625" style="210" customWidth="1"/>
    <col min="6931" max="6931" width="29.453125" style="210" customWidth="1"/>
    <col min="6932" max="6932" width="29.1796875" style="210" customWidth="1"/>
    <col min="6933" max="6933" width="12" style="210" bestFit="1" customWidth="1"/>
    <col min="6934" max="6937" width="14.1796875" style="210" bestFit="1" customWidth="1"/>
    <col min="6938" max="7164" width="10.1796875" style="210"/>
    <col min="7165" max="7165" width="36.81640625" style="210" customWidth="1"/>
    <col min="7166" max="7166" width="22.81640625" style="210" customWidth="1"/>
    <col min="7167" max="7167" width="17" style="210" customWidth="1"/>
    <col min="7168" max="7168" width="17.1796875" style="210" customWidth="1"/>
    <col min="7169" max="7169" width="18" style="210" customWidth="1"/>
    <col min="7170" max="7170" width="17.54296875" style="210" customWidth="1"/>
    <col min="7171" max="7171" width="15.81640625" style="210" customWidth="1"/>
    <col min="7172" max="7172" width="16.81640625" style="210" customWidth="1"/>
    <col min="7173" max="7173" width="18.54296875" style="210" customWidth="1"/>
    <col min="7174" max="7174" width="22.81640625" style="210" customWidth="1"/>
    <col min="7175" max="7175" width="14.81640625" style="210" customWidth="1"/>
    <col min="7176" max="7176" width="15.1796875" style="210" customWidth="1"/>
    <col min="7177" max="7177" width="13.54296875" style="210" customWidth="1"/>
    <col min="7178" max="7178" width="13.81640625" style="210" customWidth="1"/>
    <col min="7179" max="7179" width="15.453125" style="210" bestFit="1" customWidth="1"/>
    <col min="7180" max="7180" width="15.1796875" style="210" customWidth="1"/>
    <col min="7181" max="7181" width="13.453125" style="210" customWidth="1"/>
    <col min="7182" max="7182" width="14.54296875" style="210" customWidth="1"/>
    <col min="7183" max="7183" width="19.1796875" style="210" bestFit="1" customWidth="1"/>
    <col min="7184" max="7184" width="30.54296875" style="210" customWidth="1"/>
    <col min="7185" max="7185" width="29.1796875" style="210" customWidth="1"/>
    <col min="7186" max="7186" width="29.81640625" style="210" customWidth="1"/>
    <col min="7187" max="7187" width="29.453125" style="210" customWidth="1"/>
    <col min="7188" max="7188" width="29.1796875" style="210" customWidth="1"/>
    <col min="7189" max="7189" width="12" style="210" bestFit="1" customWidth="1"/>
    <col min="7190" max="7193" width="14.1796875" style="210" bestFit="1" customWidth="1"/>
    <col min="7194" max="7420" width="10.1796875" style="210"/>
    <col min="7421" max="7421" width="36.81640625" style="210" customWidth="1"/>
    <col min="7422" max="7422" width="22.81640625" style="210" customWidth="1"/>
    <col min="7423" max="7423" width="17" style="210" customWidth="1"/>
    <col min="7424" max="7424" width="17.1796875" style="210" customWidth="1"/>
    <col min="7425" max="7425" width="18" style="210" customWidth="1"/>
    <col min="7426" max="7426" width="17.54296875" style="210" customWidth="1"/>
    <col min="7427" max="7427" width="15.81640625" style="210" customWidth="1"/>
    <col min="7428" max="7428" width="16.81640625" style="210" customWidth="1"/>
    <col min="7429" max="7429" width="18.54296875" style="210" customWidth="1"/>
    <col min="7430" max="7430" width="22.81640625" style="210" customWidth="1"/>
    <col min="7431" max="7431" width="14.81640625" style="210" customWidth="1"/>
    <col min="7432" max="7432" width="15.1796875" style="210" customWidth="1"/>
    <col min="7433" max="7433" width="13.54296875" style="210" customWidth="1"/>
    <col min="7434" max="7434" width="13.81640625" style="210" customWidth="1"/>
    <col min="7435" max="7435" width="15.453125" style="210" bestFit="1" customWidth="1"/>
    <col min="7436" max="7436" width="15.1796875" style="210" customWidth="1"/>
    <col min="7437" max="7437" width="13.453125" style="210" customWidth="1"/>
    <col min="7438" max="7438" width="14.54296875" style="210" customWidth="1"/>
    <col min="7439" max="7439" width="19.1796875" style="210" bestFit="1" customWidth="1"/>
    <col min="7440" max="7440" width="30.54296875" style="210" customWidth="1"/>
    <col min="7441" max="7441" width="29.1796875" style="210" customWidth="1"/>
    <col min="7442" max="7442" width="29.81640625" style="210" customWidth="1"/>
    <col min="7443" max="7443" width="29.453125" style="210" customWidth="1"/>
    <col min="7444" max="7444" width="29.1796875" style="210" customWidth="1"/>
    <col min="7445" max="7445" width="12" style="210" bestFit="1" customWidth="1"/>
    <col min="7446" max="7449" width="14.1796875" style="210" bestFit="1" customWidth="1"/>
    <col min="7450" max="7676" width="10.1796875" style="210"/>
    <col min="7677" max="7677" width="36.81640625" style="210" customWidth="1"/>
    <col min="7678" max="7678" width="22.81640625" style="210" customWidth="1"/>
    <col min="7679" max="7679" width="17" style="210" customWidth="1"/>
    <col min="7680" max="7680" width="17.1796875" style="210" customWidth="1"/>
    <col min="7681" max="7681" width="18" style="210" customWidth="1"/>
    <col min="7682" max="7682" width="17.54296875" style="210" customWidth="1"/>
    <col min="7683" max="7683" width="15.81640625" style="210" customWidth="1"/>
    <col min="7684" max="7684" width="16.81640625" style="210" customWidth="1"/>
    <col min="7685" max="7685" width="18.54296875" style="210" customWidth="1"/>
    <col min="7686" max="7686" width="22.81640625" style="210" customWidth="1"/>
    <col min="7687" max="7687" width="14.81640625" style="210" customWidth="1"/>
    <col min="7688" max="7688" width="15.1796875" style="210" customWidth="1"/>
    <col min="7689" max="7689" width="13.54296875" style="210" customWidth="1"/>
    <col min="7690" max="7690" width="13.81640625" style="210" customWidth="1"/>
    <col min="7691" max="7691" width="15.453125" style="210" bestFit="1" customWidth="1"/>
    <col min="7692" max="7692" width="15.1796875" style="210" customWidth="1"/>
    <col min="7693" max="7693" width="13.453125" style="210" customWidth="1"/>
    <col min="7694" max="7694" width="14.54296875" style="210" customWidth="1"/>
    <col min="7695" max="7695" width="19.1796875" style="210" bestFit="1" customWidth="1"/>
    <col min="7696" max="7696" width="30.54296875" style="210" customWidth="1"/>
    <col min="7697" max="7697" width="29.1796875" style="210" customWidth="1"/>
    <col min="7698" max="7698" width="29.81640625" style="210" customWidth="1"/>
    <col min="7699" max="7699" width="29.453125" style="210" customWidth="1"/>
    <col min="7700" max="7700" width="29.1796875" style="210" customWidth="1"/>
    <col min="7701" max="7701" width="12" style="210" bestFit="1" customWidth="1"/>
    <col min="7702" max="7705" width="14.1796875" style="210" bestFit="1" customWidth="1"/>
    <col min="7706" max="7932" width="10.1796875" style="210"/>
    <col min="7933" max="7933" width="36.81640625" style="210" customWidth="1"/>
    <col min="7934" max="7934" width="22.81640625" style="210" customWidth="1"/>
    <col min="7935" max="7935" width="17" style="210" customWidth="1"/>
    <col min="7936" max="7936" width="17.1796875" style="210" customWidth="1"/>
    <col min="7937" max="7937" width="18" style="210" customWidth="1"/>
    <col min="7938" max="7938" width="17.54296875" style="210" customWidth="1"/>
    <col min="7939" max="7939" width="15.81640625" style="210" customWidth="1"/>
    <col min="7940" max="7940" width="16.81640625" style="210" customWidth="1"/>
    <col min="7941" max="7941" width="18.54296875" style="210" customWidth="1"/>
    <col min="7942" max="7942" width="22.81640625" style="210" customWidth="1"/>
    <col min="7943" max="7943" width="14.81640625" style="210" customWidth="1"/>
    <col min="7944" max="7944" width="15.1796875" style="210" customWidth="1"/>
    <col min="7945" max="7945" width="13.54296875" style="210" customWidth="1"/>
    <col min="7946" max="7946" width="13.81640625" style="210" customWidth="1"/>
    <col min="7947" max="7947" width="15.453125" style="210" bestFit="1" customWidth="1"/>
    <col min="7948" max="7948" width="15.1796875" style="210" customWidth="1"/>
    <col min="7949" max="7949" width="13.453125" style="210" customWidth="1"/>
    <col min="7950" max="7950" width="14.54296875" style="210" customWidth="1"/>
    <col min="7951" max="7951" width="19.1796875" style="210" bestFit="1" customWidth="1"/>
    <col min="7952" max="7952" width="30.54296875" style="210" customWidth="1"/>
    <col min="7953" max="7953" width="29.1796875" style="210" customWidth="1"/>
    <col min="7954" max="7954" width="29.81640625" style="210" customWidth="1"/>
    <col min="7955" max="7955" width="29.453125" style="210" customWidth="1"/>
    <col min="7956" max="7956" width="29.1796875" style="210" customWidth="1"/>
    <col min="7957" max="7957" width="12" style="210" bestFit="1" customWidth="1"/>
    <col min="7958" max="7961" width="14.1796875" style="210" bestFit="1" customWidth="1"/>
    <col min="7962" max="8188" width="10.1796875" style="210"/>
    <col min="8189" max="8189" width="36.81640625" style="210" customWidth="1"/>
    <col min="8190" max="8190" width="22.81640625" style="210" customWidth="1"/>
    <col min="8191" max="8191" width="17" style="210" customWidth="1"/>
    <col min="8192" max="8192" width="17.1796875" style="210" customWidth="1"/>
    <col min="8193" max="8193" width="18" style="210" customWidth="1"/>
    <col min="8194" max="8194" width="17.54296875" style="210" customWidth="1"/>
    <col min="8195" max="8195" width="15.81640625" style="210" customWidth="1"/>
    <col min="8196" max="8196" width="16.81640625" style="210" customWidth="1"/>
    <col min="8197" max="8197" width="18.54296875" style="210" customWidth="1"/>
    <col min="8198" max="8198" width="22.81640625" style="210" customWidth="1"/>
    <col min="8199" max="8199" width="14.81640625" style="210" customWidth="1"/>
    <col min="8200" max="8200" width="15.1796875" style="210" customWidth="1"/>
    <col min="8201" max="8201" width="13.54296875" style="210" customWidth="1"/>
    <col min="8202" max="8202" width="13.81640625" style="210" customWidth="1"/>
    <col min="8203" max="8203" width="15.453125" style="210" bestFit="1" customWidth="1"/>
    <col min="8204" max="8204" width="15.1796875" style="210" customWidth="1"/>
    <col min="8205" max="8205" width="13.453125" style="210" customWidth="1"/>
    <col min="8206" max="8206" width="14.54296875" style="210" customWidth="1"/>
    <col min="8207" max="8207" width="19.1796875" style="210" bestFit="1" customWidth="1"/>
    <col min="8208" max="8208" width="30.54296875" style="210" customWidth="1"/>
    <col min="8209" max="8209" width="29.1796875" style="210" customWidth="1"/>
    <col min="8210" max="8210" width="29.81640625" style="210" customWidth="1"/>
    <col min="8211" max="8211" width="29.453125" style="210" customWidth="1"/>
    <col min="8212" max="8212" width="29.1796875" style="210" customWidth="1"/>
    <col min="8213" max="8213" width="12" style="210" bestFit="1" customWidth="1"/>
    <col min="8214" max="8217" width="14.1796875" style="210" bestFit="1" customWidth="1"/>
    <col min="8218" max="8444" width="10.1796875" style="210"/>
    <col min="8445" max="8445" width="36.81640625" style="210" customWidth="1"/>
    <col min="8446" max="8446" width="22.81640625" style="210" customWidth="1"/>
    <col min="8447" max="8447" width="17" style="210" customWidth="1"/>
    <col min="8448" max="8448" width="17.1796875" style="210" customWidth="1"/>
    <col min="8449" max="8449" width="18" style="210" customWidth="1"/>
    <col min="8450" max="8450" width="17.54296875" style="210" customWidth="1"/>
    <col min="8451" max="8451" width="15.81640625" style="210" customWidth="1"/>
    <col min="8452" max="8452" width="16.81640625" style="210" customWidth="1"/>
    <col min="8453" max="8453" width="18.54296875" style="210" customWidth="1"/>
    <col min="8454" max="8454" width="22.81640625" style="210" customWidth="1"/>
    <col min="8455" max="8455" width="14.81640625" style="210" customWidth="1"/>
    <col min="8456" max="8456" width="15.1796875" style="210" customWidth="1"/>
    <col min="8457" max="8457" width="13.54296875" style="210" customWidth="1"/>
    <col min="8458" max="8458" width="13.81640625" style="210" customWidth="1"/>
    <col min="8459" max="8459" width="15.453125" style="210" bestFit="1" customWidth="1"/>
    <col min="8460" max="8460" width="15.1796875" style="210" customWidth="1"/>
    <col min="8461" max="8461" width="13.453125" style="210" customWidth="1"/>
    <col min="8462" max="8462" width="14.54296875" style="210" customWidth="1"/>
    <col min="8463" max="8463" width="19.1796875" style="210" bestFit="1" customWidth="1"/>
    <col min="8464" max="8464" width="30.54296875" style="210" customWidth="1"/>
    <col min="8465" max="8465" width="29.1796875" style="210" customWidth="1"/>
    <col min="8466" max="8466" width="29.81640625" style="210" customWidth="1"/>
    <col min="8467" max="8467" width="29.453125" style="210" customWidth="1"/>
    <col min="8468" max="8468" width="29.1796875" style="210" customWidth="1"/>
    <col min="8469" max="8469" width="12" style="210" bestFit="1" customWidth="1"/>
    <col min="8470" max="8473" width="14.1796875" style="210" bestFit="1" customWidth="1"/>
    <col min="8474" max="8700" width="10.1796875" style="210"/>
    <col min="8701" max="8701" width="36.81640625" style="210" customWidth="1"/>
    <col min="8702" max="8702" width="22.81640625" style="210" customWidth="1"/>
    <col min="8703" max="8703" width="17" style="210" customWidth="1"/>
    <col min="8704" max="8704" width="17.1796875" style="210" customWidth="1"/>
    <col min="8705" max="8705" width="18" style="210" customWidth="1"/>
    <col min="8706" max="8706" width="17.54296875" style="210" customWidth="1"/>
    <col min="8707" max="8707" width="15.81640625" style="210" customWidth="1"/>
    <col min="8708" max="8708" width="16.81640625" style="210" customWidth="1"/>
    <col min="8709" max="8709" width="18.54296875" style="210" customWidth="1"/>
    <col min="8710" max="8710" width="22.81640625" style="210" customWidth="1"/>
    <col min="8711" max="8711" width="14.81640625" style="210" customWidth="1"/>
    <col min="8712" max="8712" width="15.1796875" style="210" customWidth="1"/>
    <col min="8713" max="8713" width="13.54296875" style="210" customWidth="1"/>
    <col min="8714" max="8714" width="13.81640625" style="210" customWidth="1"/>
    <col min="8715" max="8715" width="15.453125" style="210" bestFit="1" customWidth="1"/>
    <col min="8716" max="8716" width="15.1796875" style="210" customWidth="1"/>
    <col min="8717" max="8717" width="13.453125" style="210" customWidth="1"/>
    <col min="8718" max="8718" width="14.54296875" style="210" customWidth="1"/>
    <col min="8719" max="8719" width="19.1796875" style="210" bestFit="1" customWidth="1"/>
    <col min="8720" max="8720" width="30.54296875" style="210" customWidth="1"/>
    <col min="8721" max="8721" width="29.1796875" style="210" customWidth="1"/>
    <col min="8722" max="8722" width="29.81640625" style="210" customWidth="1"/>
    <col min="8723" max="8723" width="29.453125" style="210" customWidth="1"/>
    <col min="8724" max="8724" width="29.1796875" style="210" customWidth="1"/>
    <col min="8725" max="8725" width="12" style="210" bestFit="1" customWidth="1"/>
    <col min="8726" max="8729" width="14.1796875" style="210" bestFit="1" customWidth="1"/>
    <col min="8730" max="8956" width="10.1796875" style="210"/>
    <col min="8957" max="8957" width="36.81640625" style="210" customWidth="1"/>
    <col min="8958" max="8958" width="22.81640625" style="210" customWidth="1"/>
    <col min="8959" max="8959" width="17" style="210" customWidth="1"/>
    <col min="8960" max="8960" width="17.1796875" style="210" customWidth="1"/>
    <col min="8961" max="8961" width="18" style="210" customWidth="1"/>
    <col min="8962" max="8962" width="17.54296875" style="210" customWidth="1"/>
    <col min="8963" max="8963" width="15.81640625" style="210" customWidth="1"/>
    <col min="8964" max="8964" width="16.81640625" style="210" customWidth="1"/>
    <col min="8965" max="8965" width="18.54296875" style="210" customWidth="1"/>
    <col min="8966" max="8966" width="22.81640625" style="210" customWidth="1"/>
    <col min="8967" max="8967" width="14.81640625" style="210" customWidth="1"/>
    <col min="8968" max="8968" width="15.1796875" style="210" customWidth="1"/>
    <col min="8969" max="8969" width="13.54296875" style="210" customWidth="1"/>
    <col min="8970" max="8970" width="13.81640625" style="210" customWidth="1"/>
    <col min="8971" max="8971" width="15.453125" style="210" bestFit="1" customWidth="1"/>
    <col min="8972" max="8972" width="15.1796875" style="210" customWidth="1"/>
    <col min="8973" max="8973" width="13.453125" style="210" customWidth="1"/>
    <col min="8974" max="8974" width="14.54296875" style="210" customWidth="1"/>
    <col min="8975" max="8975" width="19.1796875" style="210" bestFit="1" customWidth="1"/>
    <col min="8976" max="8976" width="30.54296875" style="210" customWidth="1"/>
    <col min="8977" max="8977" width="29.1796875" style="210" customWidth="1"/>
    <col min="8978" max="8978" width="29.81640625" style="210" customWidth="1"/>
    <col min="8979" max="8979" width="29.453125" style="210" customWidth="1"/>
    <col min="8980" max="8980" width="29.1796875" style="210" customWidth="1"/>
    <col min="8981" max="8981" width="12" style="210" bestFit="1" customWidth="1"/>
    <col min="8982" max="8985" width="14.1796875" style="210" bestFit="1" customWidth="1"/>
    <col min="8986" max="9212" width="10.1796875" style="210"/>
    <col min="9213" max="9213" width="36.81640625" style="210" customWidth="1"/>
    <col min="9214" max="9214" width="22.81640625" style="210" customWidth="1"/>
    <col min="9215" max="9215" width="17" style="210" customWidth="1"/>
    <col min="9216" max="9216" width="17.1796875" style="210" customWidth="1"/>
    <col min="9217" max="9217" width="18" style="210" customWidth="1"/>
    <col min="9218" max="9218" width="17.54296875" style="210" customWidth="1"/>
    <col min="9219" max="9219" width="15.81640625" style="210" customWidth="1"/>
    <col min="9220" max="9220" width="16.81640625" style="210" customWidth="1"/>
    <col min="9221" max="9221" width="18.54296875" style="210" customWidth="1"/>
    <col min="9222" max="9222" width="22.81640625" style="210" customWidth="1"/>
    <col min="9223" max="9223" width="14.81640625" style="210" customWidth="1"/>
    <col min="9224" max="9224" width="15.1796875" style="210" customWidth="1"/>
    <col min="9225" max="9225" width="13.54296875" style="210" customWidth="1"/>
    <col min="9226" max="9226" width="13.81640625" style="210" customWidth="1"/>
    <col min="9227" max="9227" width="15.453125" style="210" bestFit="1" customWidth="1"/>
    <col min="9228" max="9228" width="15.1796875" style="210" customWidth="1"/>
    <col min="9229" max="9229" width="13.453125" style="210" customWidth="1"/>
    <col min="9230" max="9230" width="14.54296875" style="210" customWidth="1"/>
    <col min="9231" max="9231" width="19.1796875" style="210" bestFit="1" customWidth="1"/>
    <col min="9232" max="9232" width="30.54296875" style="210" customWidth="1"/>
    <col min="9233" max="9233" width="29.1796875" style="210" customWidth="1"/>
    <col min="9234" max="9234" width="29.81640625" style="210" customWidth="1"/>
    <col min="9235" max="9235" width="29.453125" style="210" customWidth="1"/>
    <col min="9236" max="9236" width="29.1796875" style="210" customWidth="1"/>
    <col min="9237" max="9237" width="12" style="210" bestFit="1" customWidth="1"/>
    <col min="9238" max="9241" width="14.1796875" style="210" bestFit="1" customWidth="1"/>
    <col min="9242" max="9468" width="10.1796875" style="210"/>
    <col min="9469" max="9469" width="36.81640625" style="210" customWidth="1"/>
    <col min="9470" max="9470" width="22.81640625" style="210" customWidth="1"/>
    <col min="9471" max="9471" width="17" style="210" customWidth="1"/>
    <col min="9472" max="9472" width="17.1796875" style="210" customWidth="1"/>
    <col min="9473" max="9473" width="18" style="210" customWidth="1"/>
    <col min="9474" max="9474" width="17.54296875" style="210" customWidth="1"/>
    <col min="9475" max="9475" width="15.81640625" style="210" customWidth="1"/>
    <col min="9476" max="9476" width="16.81640625" style="210" customWidth="1"/>
    <col min="9477" max="9477" width="18.54296875" style="210" customWidth="1"/>
    <col min="9478" max="9478" width="22.81640625" style="210" customWidth="1"/>
    <col min="9479" max="9479" width="14.81640625" style="210" customWidth="1"/>
    <col min="9480" max="9480" width="15.1796875" style="210" customWidth="1"/>
    <col min="9481" max="9481" width="13.54296875" style="210" customWidth="1"/>
    <col min="9482" max="9482" width="13.81640625" style="210" customWidth="1"/>
    <col min="9483" max="9483" width="15.453125" style="210" bestFit="1" customWidth="1"/>
    <col min="9484" max="9484" width="15.1796875" style="210" customWidth="1"/>
    <col min="9485" max="9485" width="13.453125" style="210" customWidth="1"/>
    <col min="9486" max="9486" width="14.54296875" style="210" customWidth="1"/>
    <col min="9487" max="9487" width="19.1796875" style="210" bestFit="1" customWidth="1"/>
    <col min="9488" max="9488" width="30.54296875" style="210" customWidth="1"/>
    <col min="9489" max="9489" width="29.1796875" style="210" customWidth="1"/>
    <col min="9490" max="9490" width="29.81640625" style="210" customWidth="1"/>
    <col min="9491" max="9491" width="29.453125" style="210" customWidth="1"/>
    <col min="9492" max="9492" width="29.1796875" style="210" customWidth="1"/>
    <col min="9493" max="9493" width="12" style="210" bestFit="1" customWidth="1"/>
    <col min="9494" max="9497" width="14.1796875" style="210" bestFit="1" customWidth="1"/>
    <col min="9498" max="9724" width="10.1796875" style="210"/>
    <col min="9725" max="9725" width="36.81640625" style="210" customWidth="1"/>
    <col min="9726" max="9726" width="22.81640625" style="210" customWidth="1"/>
    <col min="9727" max="9727" width="17" style="210" customWidth="1"/>
    <col min="9728" max="9728" width="17.1796875" style="210" customWidth="1"/>
    <col min="9729" max="9729" width="18" style="210" customWidth="1"/>
    <col min="9730" max="9730" width="17.54296875" style="210" customWidth="1"/>
    <col min="9731" max="9731" width="15.81640625" style="210" customWidth="1"/>
    <col min="9732" max="9732" width="16.81640625" style="210" customWidth="1"/>
    <col min="9733" max="9733" width="18.54296875" style="210" customWidth="1"/>
    <col min="9734" max="9734" width="22.81640625" style="210" customWidth="1"/>
    <col min="9735" max="9735" width="14.81640625" style="210" customWidth="1"/>
    <col min="9736" max="9736" width="15.1796875" style="210" customWidth="1"/>
    <col min="9737" max="9737" width="13.54296875" style="210" customWidth="1"/>
    <col min="9738" max="9738" width="13.81640625" style="210" customWidth="1"/>
    <col min="9739" max="9739" width="15.453125" style="210" bestFit="1" customWidth="1"/>
    <col min="9740" max="9740" width="15.1796875" style="210" customWidth="1"/>
    <col min="9741" max="9741" width="13.453125" style="210" customWidth="1"/>
    <col min="9742" max="9742" width="14.54296875" style="210" customWidth="1"/>
    <col min="9743" max="9743" width="19.1796875" style="210" bestFit="1" customWidth="1"/>
    <col min="9744" max="9744" width="30.54296875" style="210" customWidth="1"/>
    <col min="9745" max="9745" width="29.1796875" style="210" customWidth="1"/>
    <col min="9746" max="9746" width="29.81640625" style="210" customWidth="1"/>
    <col min="9747" max="9747" width="29.453125" style="210" customWidth="1"/>
    <col min="9748" max="9748" width="29.1796875" style="210" customWidth="1"/>
    <col min="9749" max="9749" width="12" style="210" bestFit="1" customWidth="1"/>
    <col min="9750" max="9753" width="14.1796875" style="210" bestFit="1" customWidth="1"/>
    <col min="9754" max="9980" width="10.1796875" style="210"/>
    <col min="9981" max="9981" width="36.81640625" style="210" customWidth="1"/>
    <col min="9982" max="9982" width="22.81640625" style="210" customWidth="1"/>
    <col min="9983" max="9983" width="17" style="210" customWidth="1"/>
    <col min="9984" max="9984" width="17.1796875" style="210" customWidth="1"/>
    <col min="9985" max="9985" width="18" style="210" customWidth="1"/>
    <col min="9986" max="9986" width="17.54296875" style="210" customWidth="1"/>
    <col min="9987" max="9987" width="15.81640625" style="210" customWidth="1"/>
    <col min="9988" max="9988" width="16.81640625" style="210" customWidth="1"/>
    <col min="9989" max="9989" width="18.54296875" style="210" customWidth="1"/>
    <col min="9990" max="9990" width="22.81640625" style="210" customWidth="1"/>
    <col min="9991" max="9991" width="14.81640625" style="210" customWidth="1"/>
    <col min="9992" max="9992" width="15.1796875" style="210" customWidth="1"/>
    <col min="9993" max="9993" width="13.54296875" style="210" customWidth="1"/>
    <col min="9994" max="9994" width="13.81640625" style="210" customWidth="1"/>
    <col min="9995" max="9995" width="15.453125" style="210" bestFit="1" customWidth="1"/>
    <col min="9996" max="9996" width="15.1796875" style="210" customWidth="1"/>
    <col min="9997" max="9997" width="13.453125" style="210" customWidth="1"/>
    <col min="9998" max="9998" width="14.54296875" style="210" customWidth="1"/>
    <col min="9999" max="9999" width="19.1796875" style="210" bestFit="1" customWidth="1"/>
    <col min="10000" max="10000" width="30.54296875" style="210" customWidth="1"/>
    <col min="10001" max="10001" width="29.1796875" style="210" customWidth="1"/>
    <col min="10002" max="10002" width="29.81640625" style="210" customWidth="1"/>
    <col min="10003" max="10003" width="29.453125" style="210" customWidth="1"/>
    <col min="10004" max="10004" width="29.1796875" style="210" customWidth="1"/>
    <col min="10005" max="10005" width="12" style="210" bestFit="1" customWidth="1"/>
    <col min="10006" max="10009" width="14.1796875" style="210" bestFit="1" customWidth="1"/>
    <col min="10010" max="10236" width="10.1796875" style="210"/>
    <col min="10237" max="10237" width="36.81640625" style="210" customWidth="1"/>
    <col min="10238" max="10238" width="22.81640625" style="210" customWidth="1"/>
    <col min="10239" max="10239" width="17" style="210" customWidth="1"/>
    <col min="10240" max="10240" width="17.1796875" style="210" customWidth="1"/>
    <col min="10241" max="10241" width="18" style="210" customWidth="1"/>
    <col min="10242" max="10242" width="17.54296875" style="210" customWidth="1"/>
    <col min="10243" max="10243" width="15.81640625" style="210" customWidth="1"/>
    <col min="10244" max="10244" width="16.81640625" style="210" customWidth="1"/>
    <col min="10245" max="10245" width="18.54296875" style="210" customWidth="1"/>
    <col min="10246" max="10246" width="22.81640625" style="210" customWidth="1"/>
    <col min="10247" max="10247" width="14.81640625" style="210" customWidth="1"/>
    <col min="10248" max="10248" width="15.1796875" style="210" customWidth="1"/>
    <col min="10249" max="10249" width="13.54296875" style="210" customWidth="1"/>
    <col min="10250" max="10250" width="13.81640625" style="210" customWidth="1"/>
    <col min="10251" max="10251" width="15.453125" style="210" bestFit="1" customWidth="1"/>
    <col min="10252" max="10252" width="15.1796875" style="210" customWidth="1"/>
    <col min="10253" max="10253" width="13.453125" style="210" customWidth="1"/>
    <col min="10254" max="10254" width="14.54296875" style="210" customWidth="1"/>
    <col min="10255" max="10255" width="19.1796875" style="210" bestFit="1" customWidth="1"/>
    <col min="10256" max="10256" width="30.54296875" style="210" customWidth="1"/>
    <col min="10257" max="10257" width="29.1796875" style="210" customWidth="1"/>
    <col min="10258" max="10258" width="29.81640625" style="210" customWidth="1"/>
    <col min="10259" max="10259" width="29.453125" style="210" customWidth="1"/>
    <col min="10260" max="10260" width="29.1796875" style="210" customWidth="1"/>
    <col min="10261" max="10261" width="12" style="210" bestFit="1" customWidth="1"/>
    <col min="10262" max="10265" width="14.1796875" style="210" bestFit="1" customWidth="1"/>
    <col min="10266" max="10492" width="10.1796875" style="210"/>
    <col min="10493" max="10493" width="36.81640625" style="210" customWidth="1"/>
    <col min="10494" max="10494" width="22.81640625" style="210" customWidth="1"/>
    <col min="10495" max="10495" width="17" style="210" customWidth="1"/>
    <col min="10496" max="10496" width="17.1796875" style="210" customWidth="1"/>
    <col min="10497" max="10497" width="18" style="210" customWidth="1"/>
    <col min="10498" max="10498" width="17.54296875" style="210" customWidth="1"/>
    <col min="10499" max="10499" width="15.81640625" style="210" customWidth="1"/>
    <col min="10500" max="10500" width="16.81640625" style="210" customWidth="1"/>
    <col min="10501" max="10501" width="18.54296875" style="210" customWidth="1"/>
    <col min="10502" max="10502" width="22.81640625" style="210" customWidth="1"/>
    <col min="10503" max="10503" width="14.81640625" style="210" customWidth="1"/>
    <col min="10504" max="10504" width="15.1796875" style="210" customWidth="1"/>
    <col min="10505" max="10505" width="13.54296875" style="210" customWidth="1"/>
    <col min="10506" max="10506" width="13.81640625" style="210" customWidth="1"/>
    <col min="10507" max="10507" width="15.453125" style="210" bestFit="1" customWidth="1"/>
    <col min="10508" max="10508" width="15.1796875" style="210" customWidth="1"/>
    <col min="10509" max="10509" width="13.453125" style="210" customWidth="1"/>
    <col min="10510" max="10510" width="14.54296875" style="210" customWidth="1"/>
    <col min="10511" max="10511" width="19.1796875" style="210" bestFit="1" customWidth="1"/>
    <col min="10512" max="10512" width="30.54296875" style="210" customWidth="1"/>
    <col min="10513" max="10513" width="29.1796875" style="210" customWidth="1"/>
    <col min="10514" max="10514" width="29.81640625" style="210" customWidth="1"/>
    <col min="10515" max="10515" width="29.453125" style="210" customWidth="1"/>
    <col min="10516" max="10516" width="29.1796875" style="210" customWidth="1"/>
    <col min="10517" max="10517" width="12" style="210" bestFit="1" customWidth="1"/>
    <col min="10518" max="10521" width="14.1796875" style="210" bestFit="1" customWidth="1"/>
    <col min="10522" max="10748" width="10.1796875" style="210"/>
    <col min="10749" max="10749" width="36.81640625" style="210" customWidth="1"/>
    <col min="10750" max="10750" width="22.81640625" style="210" customWidth="1"/>
    <col min="10751" max="10751" width="17" style="210" customWidth="1"/>
    <col min="10752" max="10752" width="17.1796875" style="210" customWidth="1"/>
    <col min="10753" max="10753" width="18" style="210" customWidth="1"/>
    <col min="10754" max="10754" width="17.54296875" style="210" customWidth="1"/>
    <col min="10755" max="10755" width="15.81640625" style="210" customWidth="1"/>
    <col min="10756" max="10756" width="16.81640625" style="210" customWidth="1"/>
    <col min="10757" max="10757" width="18.54296875" style="210" customWidth="1"/>
    <col min="10758" max="10758" width="22.81640625" style="210" customWidth="1"/>
    <col min="10759" max="10759" width="14.81640625" style="210" customWidth="1"/>
    <col min="10760" max="10760" width="15.1796875" style="210" customWidth="1"/>
    <col min="10761" max="10761" width="13.54296875" style="210" customWidth="1"/>
    <col min="10762" max="10762" width="13.81640625" style="210" customWidth="1"/>
    <col min="10763" max="10763" width="15.453125" style="210" bestFit="1" customWidth="1"/>
    <col min="10764" max="10764" width="15.1796875" style="210" customWidth="1"/>
    <col min="10765" max="10765" width="13.453125" style="210" customWidth="1"/>
    <col min="10766" max="10766" width="14.54296875" style="210" customWidth="1"/>
    <col min="10767" max="10767" width="19.1796875" style="210" bestFit="1" customWidth="1"/>
    <col min="10768" max="10768" width="30.54296875" style="210" customWidth="1"/>
    <col min="10769" max="10769" width="29.1796875" style="210" customWidth="1"/>
    <col min="10770" max="10770" width="29.81640625" style="210" customWidth="1"/>
    <col min="10771" max="10771" width="29.453125" style="210" customWidth="1"/>
    <col min="10772" max="10772" width="29.1796875" style="210" customWidth="1"/>
    <col min="10773" max="10773" width="12" style="210" bestFit="1" customWidth="1"/>
    <col min="10774" max="10777" width="14.1796875" style="210" bestFit="1" customWidth="1"/>
    <col min="10778" max="11004" width="10.1796875" style="210"/>
    <col min="11005" max="11005" width="36.81640625" style="210" customWidth="1"/>
    <col min="11006" max="11006" width="22.81640625" style="210" customWidth="1"/>
    <col min="11007" max="11007" width="17" style="210" customWidth="1"/>
    <col min="11008" max="11008" width="17.1796875" style="210" customWidth="1"/>
    <col min="11009" max="11009" width="18" style="210" customWidth="1"/>
    <col min="11010" max="11010" width="17.54296875" style="210" customWidth="1"/>
    <col min="11011" max="11011" width="15.81640625" style="210" customWidth="1"/>
    <col min="11012" max="11012" width="16.81640625" style="210" customWidth="1"/>
    <col min="11013" max="11013" width="18.54296875" style="210" customWidth="1"/>
    <col min="11014" max="11014" width="22.81640625" style="210" customWidth="1"/>
    <col min="11015" max="11015" width="14.81640625" style="210" customWidth="1"/>
    <col min="11016" max="11016" width="15.1796875" style="210" customWidth="1"/>
    <col min="11017" max="11017" width="13.54296875" style="210" customWidth="1"/>
    <col min="11018" max="11018" width="13.81640625" style="210" customWidth="1"/>
    <col min="11019" max="11019" width="15.453125" style="210" bestFit="1" customWidth="1"/>
    <col min="11020" max="11020" width="15.1796875" style="210" customWidth="1"/>
    <col min="11021" max="11021" width="13.453125" style="210" customWidth="1"/>
    <col min="11022" max="11022" width="14.54296875" style="210" customWidth="1"/>
    <col min="11023" max="11023" width="19.1796875" style="210" bestFit="1" customWidth="1"/>
    <col min="11024" max="11024" width="30.54296875" style="210" customWidth="1"/>
    <col min="11025" max="11025" width="29.1796875" style="210" customWidth="1"/>
    <col min="11026" max="11026" width="29.81640625" style="210" customWidth="1"/>
    <col min="11027" max="11027" width="29.453125" style="210" customWidth="1"/>
    <col min="11028" max="11028" width="29.1796875" style="210" customWidth="1"/>
    <col min="11029" max="11029" width="12" style="210" bestFit="1" customWidth="1"/>
    <col min="11030" max="11033" width="14.1796875" style="210" bestFit="1" customWidth="1"/>
    <col min="11034" max="11260" width="10.1796875" style="210"/>
    <col min="11261" max="11261" width="36.81640625" style="210" customWidth="1"/>
    <col min="11262" max="11262" width="22.81640625" style="210" customWidth="1"/>
    <col min="11263" max="11263" width="17" style="210" customWidth="1"/>
    <col min="11264" max="11264" width="17.1796875" style="210" customWidth="1"/>
    <col min="11265" max="11265" width="18" style="210" customWidth="1"/>
    <col min="11266" max="11266" width="17.54296875" style="210" customWidth="1"/>
    <col min="11267" max="11267" width="15.81640625" style="210" customWidth="1"/>
    <col min="11268" max="11268" width="16.81640625" style="210" customWidth="1"/>
    <col min="11269" max="11269" width="18.54296875" style="210" customWidth="1"/>
    <col min="11270" max="11270" width="22.81640625" style="210" customWidth="1"/>
    <col min="11271" max="11271" width="14.81640625" style="210" customWidth="1"/>
    <col min="11272" max="11272" width="15.1796875" style="210" customWidth="1"/>
    <col min="11273" max="11273" width="13.54296875" style="210" customWidth="1"/>
    <col min="11274" max="11274" width="13.81640625" style="210" customWidth="1"/>
    <col min="11275" max="11275" width="15.453125" style="210" bestFit="1" customWidth="1"/>
    <col min="11276" max="11276" width="15.1796875" style="210" customWidth="1"/>
    <col min="11277" max="11277" width="13.453125" style="210" customWidth="1"/>
    <col min="11278" max="11278" width="14.54296875" style="210" customWidth="1"/>
    <col min="11279" max="11279" width="19.1796875" style="210" bestFit="1" customWidth="1"/>
    <col min="11280" max="11280" width="30.54296875" style="210" customWidth="1"/>
    <col min="11281" max="11281" width="29.1796875" style="210" customWidth="1"/>
    <col min="11282" max="11282" width="29.81640625" style="210" customWidth="1"/>
    <col min="11283" max="11283" width="29.453125" style="210" customWidth="1"/>
    <col min="11284" max="11284" width="29.1796875" style="210" customWidth="1"/>
    <col min="11285" max="11285" width="12" style="210" bestFit="1" customWidth="1"/>
    <col min="11286" max="11289" width="14.1796875" style="210" bestFit="1" customWidth="1"/>
    <col min="11290" max="11516" width="10.1796875" style="210"/>
    <col min="11517" max="11517" width="36.81640625" style="210" customWidth="1"/>
    <col min="11518" max="11518" width="22.81640625" style="210" customWidth="1"/>
    <col min="11519" max="11519" width="17" style="210" customWidth="1"/>
    <col min="11520" max="11520" width="17.1796875" style="210" customWidth="1"/>
    <col min="11521" max="11521" width="18" style="210" customWidth="1"/>
    <col min="11522" max="11522" width="17.54296875" style="210" customWidth="1"/>
    <col min="11523" max="11523" width="15.81640625" style="210" customWidth="1"/>
    <col min="11524" max="11524" width="16.81640625" style="210" customWidth="1"/>
    <col min="11525" max="11525" width="18.54296875" style="210" customWidth="1"/>
    <col min="11526" max="11526" width="22.81640625" style="210" customWidth="1"/>
    <col min="11527" max="11527" width="14.81640625" style="210" customWidth="1"/>
    <col min="11528" max="11528" width="15.1796875" style="210" customWidth="1"/>
    <col min="11529" max="11529" width="13.54296875" style="210" customWidth="1"/>
    <col min="11530" max="11530" width="13.81640625" style="210" customWidth="1"/>
    <col min="11531" max="11531" width="15.453125" style="210" bestFit="1" customWidth="1"/>
    <col min="11532" max="11532" width="15.1796875" style="210" customWidth="1"/>
    <col min="11533" max="11533" width="13.453125" style="210" customWidth="1"/>
    <col min="11534" max="11534" width="14.54296875" style="210" customWidth="1"/>
    <col min="11535" max="11535" width="19.1796875" style="210" bestFit="1" customWidth="1"/>
    <col min="11536" max="11536" width="30.54296875" style="210" customWidth="1"/>
    <col min="11537" max="11537" width="29.1796875" style="210" customWidth="1"/>
    <col min="11538" max="11538" width="29.81640625" style="210" customWidth="1"/>
    <col min="11539" max="11539" width="29.453125" style="210" customWidth="1"/>
    <col min="11540" max="11540" width="29.1796875" style="210" customWidth="1"/>
    <col min="11541" max="11541" width="12" style="210" bestFit="1" customWidth="1"/>
    <col min="11542" max="11545" width="14.1796875" style="210" bestFit="1" customWidth="1"/>
    <col min="11546" max="11772" width="10.1796875" style="210"/>
    <col min="11773" max="11773" width="36.81640625" style="210" customWidth="1"/>
    <col min="11774" max="11774" width="22.81640625" style="210" customWidth="1"/>
    <col min="11775" max="11775" width="17" style="210" customWidth="1"/>
    <col min="11776" max="11776" width="17.1796875" style="210" customWidth="1"/>
    <col min="11777" max="11777" width="18" style="210" customWidth="1"/>
    <col min="11778" max="11778" width="17.54296875" style="210" customWidth="1"/>
    <col min="11779" max="11779" width="15.81640625" style="210" customWidth="1"/>
    <col min="11780" max="11780" width="16.81640625" style="210" customWidth="1"/>
    <col min="11781" max="11781" width="18.54296875" style="210" customWidth="1"/>
    <col min="11782" max="11782" width="22.81640625" style="210" customWidth="1"/>
    <col min="11783" max="11783" width="14.81640625" style="210" customWidth="1"/>
    <col min="11784" max="11784" width="15.1796875" style="210" customWidth="1"/>
    <col min="11785" max="11785" width="13.54296875" style="210" customWidth="1"/>
    <col min="11786" max="11786" width="13.81640625" style="210" customWidth="1"/>
    <col min="11787" max="11787" width="15.453125" style="210" bestFit="1" customWidth="1"/>
    <col min="11788" max="11788" width="15.1796875" style="210" customWidth="1"/>
    <col min="11789" max="11789" width="13.453125" style="210" customWidth="1"/>
    <col min="11790" max="11790" width="14.54296875" style="210" customWidth="1"/>
    <col min="11791" max="11791" width="19.1796875" style="210" bestFit="1" customWidth="1"/>
    <col min="11792" max="11792" width="30.54296875" style="210" customWidth="1"/>
    <col min="11793" max="11793" width="29.1796875" style="210" customWidth="1"/>
    <col min="11794" max="11794" width="29.81640625" style="210" customWidth="1"/>
    <col min="11795" max="11795" width="29.453125" style="210" customWidth="1"/>
    <col min="11796" max="11796" width="29.1796875" style="210" customWidth="1"/>
    <col min="11797" max="11797" width="12" style="210" bestFit="1" customWidth="1"/>
    <col min="11798" max="11801" width="14.1796875" style="210" bestFit="1" customWidth="1"/>
    <col min="11802" max="12028" width="10.1796875" style="210"/>
    <col min="12029" max="12029" width="36.81640625" style="210" customWidth="1"/>
    <col min="12030" max="12030" width="22.81640625" style="210" customWidth="1"/>
    <col min="12031" max="12031" width="17" style="210" customWidth="1"/>
    <col min="12032" max="12032" width="17.1796875" style="210" customWidth="1"/>
    <col min="12033" max="12033" width="18" style="210" customWidth="1"/>
    <col min="12034" max="12034" width="17.54296875" style="210" customWidth="1"/>
    <col min="12035" max="12035" width="15.81640625" style="210" customWidth="1"/>
    <col min="12036" max="12036" width="16.81640625" style="210" customWidth="1"/>
    <col min="12037" max="12037" width="18.54296875" style="210" customWidth="1"/>
    <col min="12038" max="12038" width="22.81640625" style="210" customWidth="1"/>
    <col min="12039" max="12039" width="14.81640625" style="210" customWidth="1"/>
    <col min="12040" max="12040" width="15.1796875" style="210" customWidth="1"/>
    <col min="12041" max="12041" width="13.54296875" style="210" customWidth="1"/>
    <col min="12042" max="12042" width="13.81640625" style="210" customWidth="1"/>
    <col min="12043" max="12043" width="15.453125" style="210" bestFit="1" customWidth="1"/>
    <col min="12044" max="12044" width="15.1796875" style="210" customWidth="1"/>
    <col min="12045" max="12045" width="13.453125" style="210" customWidth="1"/>
    <col min="12046" max="12046" width="14.54296875" style="210" customWidth="1"/>
    <col min="12047" max="12047" width="19.1796875" style="210" bestFit="1" customWidth="1"/>
    <col min="12048" max="12048" width="30.54296875" style="210" customWidth="1"/>
    <col min="12049" max="12049" width="29.1796875" style="210" customWidth="1"/>
    <col min="12050" max="12050" width="29.81640625" style="210" customWidth="1"/>
    <col min="12051" max="12051" width="29.453125" style="210" customWidth="1"/>
    <col min="12052" max="12052" width="29.1796875" style="210" customWidth="1"/>
    <col min="12053" max="12053" width="12" style="210" bestFit="1" customWidth="1"/>
    <col min="12054" max="12057" width="14.1796875" style="210" bestFit="1" customWidth="1"/>
    <col min="12058" max="12284" width="10.1796875" style="210"/>
    <col min="12285" max="12285" width="36.81640625" style="210" customWidth="1"/>
    <col min="12286" max="12286" width="22.81640625" style="210" customWidth="1"/>
    <col min="12287" max="12287" width="17" style="210" customWidth="1"/>
    <col min="12288" max="12288" width="17.1796875" style="210" customWidth="1"/>
    <col min="12289" max="12289" width="18" style="210" customWidth="1"/>
    <col min="12290" max="12290" width="17.54296875" style="210" customWidth="1"/>
    <col min="12291" max="12291" width="15.81640625" style="210" customWidth="1"/>
    <col min="12292" max="12292" width="16.81640625" style="210" customWidth="1"/>
    <col min="12293" max="12293" width="18.54296875" style="210" customWidth="1"/>
    <col min="12294" max="12294" width="22.81640625" style="210" customWidth="1"/>
    <col min="12295" max="12295" width="14.81640625" style="210" customWidth="1"/>
    <col min="12296" max="12296" width="15.1796875" style="210" customWidth="1"/>
    <col min="12297" max="12297" width="13.54296875" style="210" customWidth="1"/>
    <col min="12298" max="12298" width="13.81640625" style="210" customWidth="1"/>
    <col min="12299" max="12299" width="15.453125" style="210" bestFit="1" customWidth="1"/>
    <col min="12300" max="12300" width="15.1796875" style="210" customWidth="1"/>
    <col min="12301" max="12301" width="13.453125" style="210" customWidth="1"/>
    <col min="12302" max="12302" width="14.54296875" style="210" customWidth="1"/>
    <col min="12303" max="12303" width="19.1796875" style="210" bestFit="1" customWidth="1"/>
    <col min="12304" max="12304" width="30.54296875" style="210" customWidth="1"/>
    <col min="12305" max="12305" width="29.1796875" style="210" customWidth="1"/>
    <col min="12306" max="12306" width="29.81640625" style="210" customWidth="1"/>
    <col min="12307" max="12307" width="29.453125" style="210" customWidth="1"/>
    <col min="12308" max="12308" width="29.1796875" style="210" customWidth="1"/>
    <col min="12309" max="12309" width="12" style="210" bestFit="1" customWidth="1"/>
    <col min="12310" max="12313" width="14.1796875" style="210" bestFit="1" customWidth="1"/>
    <col min="12314" max="12540" width="10.1796875" style="210"/>
    <col min="12541" max="12541" width="36.81640625" style="210" customWidth="1"/>
    <col min="12542" max="12542" width="22.81640625" style="210" customWidth="1"/>
    <col min="12543" max="12543" width="17" style="210" customWidth="1"/>
    <col min="12544" max="12544" width="17.1796875" style="210" customWidth="1"/>
    <col min="12545" max="12545" width="18" style="210" customWidth="1"/>
    <col min="12546" max="12546" width="17.54296875" style="210" customWidth="1"/>
    <col min="12547" max="12547" width="15.81640625" style="210" customWidth="1"/>
    <col min="12548" max="12548" width="16.81640625" style="210" customWidth="1"/>
    <col min="12549" max="12549" width="18.54296875" style="210" customWidth="1"/>
    <col min="12550" max="12550" width="22.81640625" style="210" customWidth="1"/>
    <col min="12551" max="12551" width="14.81640625" style="210" customWidth="1"/>
    <col min="12552" max="12552" width="15.1796875" style="210" customWidth="1"/>
    <col min="12553" max="12553" width="13.54296875" style="210" customWidth="1"/>
    <col min="12554" max="12554" width="13.81640625" style="210" customWidth="1"/>
    <col min="12555" max="12555" width="15.453125" style="210" bestFit="1" customWidth="1"/>
    <col min="12556" max="12556" width="15.1796875" style="210" customWidth="1"/>
    <col min="12557" max="12557" width="13.453125" style="210" customWidth="1"/>
    <col min="12558" max="12558" width="14.54296875" style="210" customWidth="1"/>
    <col min="12559" max="12559" width="19.1796875" style="210" bestFit="1" customWidth="1"/>
    <col min="12560" max="12560" width="30.54296875" style="210" customWidth="1"/>
    <col min="12561" max="12561" width="29.1796875" style="210" customWidth="1"/>
    <col min="12562" max="12562" width="29.81640625" style="210" customWidth="1"/>
    <col min="12563" max="12563" width="29.453125" style="210" customWidth="1"/>
    <col min="12564" max="12564" width="29.1796875" style="210" customWidth="1"/>
    <col min="12565" max="12565" width="12" style="210" bestFit="1" customWidth="1"/>
    <col min="12566" max="12569" width="14.1796875" style="210" bestFit="1" customWidth="1"/>
    <col min="12570" max="12796" width="10.1796875" style="210"/>
    <col min="12797" max="12797" width="36.81640625" style="210" customWidth="1"/>
    <col min="12798" max="12798" width="22.81640625" style="210" customWidth="1"/>
    <col min="12799" max="12799" width="17" style="210" customWidth="1"/>
    <col min="12800" max="12800" width="17.1796875" style="210" customWidth="1"/>
    <col min="12801" max="12801" width="18" style="210" customWidth="1"/>
    <col min="12802" max="12802" width="17.54296875" style="210" customWidth="1"/>
    <col min="12803" max="12803" width="15.81640625" style="210" customWidth="1"/>
    <col min="12804" max="12804" width="16.81640625" style="210" customWidth="1"/>
    <col min="12805" max="12805" width="18.54296875" style="210" customWidth="1"/>
    <col min="12806" max="12806" width="22.81640625" style="210" customWidth="1"/>
    <col min="12807" max="12807" width="14.81640625" style="210" customWidth="1"/>
    <col min="12808" max="12808" width="15.1796875" style="210" customWidth="1"/>
    <col min="12809" max="12809" width="13.54296875" style="210" customWidth="1"/>
    <col min="12810" max="12810" width="13.81640625" style="210" customWidth="1"/>
    <col min="12811" max="12811" width="15.453125" style="210" bestFit="1" customWidth="1"/>
    <col min="12812" max="12812" width="15.1796875" style="210" customWidth="1"/>
    <col min="12813" max="12813" width="13.453125" style="210" customWidth="1"/>
    <col min="12814" max="12814" width="14.54296875" style="210" customWidth="1"/>
    <col min="12815" max="12815" width="19.1796875" style="210" bestFit="1" customWidth="1"/>
    <col min="12816" max="12816" width="30.54296875" style="210" customWidth="1"/>
    <col min="12817" max="12817" width="29.1796875" style="210" customWidth="1"/>
    <col min="12818" max="12818" width="29.81640625" style="210" customWidth="1"/>
    <col min="12819" max="12819" width="29.453125" style="210" customWidth="1"/>
    <col min="12820" max="12820" width="29.1796875" style="210" customWidth="1"/>
    <col min="12821" max="12821" width="12" style="210" bestFit="1" customWidth="1"/>
    <col min="12822" max="12825" width="14.1796875" style="210" bestFit="1" customWidth="1"/>
    <col min="12826" max="13052" width="10.1796875" style="210"/>
    <col min="13053" max="13053" width="36.81640625" style="210" customWidth="1"/>
    <col min="13054" max="13054" width="22.81640625" style="210" customWidth="1"/>
    <col min="13055" max="13055" width="17" style="210" customWidth="1"/>
    <col min="13056" max="13056" width="17.1796875" style="210" customWidth="1"/>
    <col min="13057" max="13057" width="18" style="210" customWidth="1"/>
    <col min="13058" max="13058" width="17.54296875" style="210" customWidth="1"/>
    <col min="13059" max="13059" width="15.81640625" style="210" customWidth="1"/>
    <col min="13060" max="13060" width="16.81640625" style="210" customWidth="1"/>
    <col min="13061" max="13061" width="18.54296875" style="210" customWidth="1"/>
    <col min="13062" max="13062" width="22.81640625" style="210" customWidth="1"/>
    <col min="13063" max="13063" width="14.81640625" style="210" customWidth="1"/>
    <col min="13064" max="13064" width="15.1796875" style="210" customWidth="1"/>
    <col min="13065" max="13065" width="13.54296875" style="210" customWidth="1"/>
    <col min="13066" max="13066" width="13.81640625" style="210" customWidth="1"/>
    <col min="13067" max="13067" width="15.453125" style="210" bestFit="1" customWidth="1"/>
    <col min="13068" max="13068" width="15.1796875" style="210" customWidth="1"/>
    <col min="13069" max="13069" width="13.453125" style="210" customWidth="1"/>
    <col min="13070" max="13070" width="14.54296875" style="210" customWidth="1"/>
    <col min="13071" max="13071" width="19.1796875" style="210" bestFit="1" customWidth="1"/>
    <col min="13072" max="13072" width="30.54296875" style="210" customWidth="1"/>
    <col min="13073" max="13073" width="29.1796875" style="210" customWidth="1"/>
    <col min="13074" max="13074" width="29.81640625" style="210" customWidth="1"/>
    <col min="13075" max="13075" width="29.453125" style="210" customWidth="1"/>
    <col min="13076" max="13076" width="29.1796875" style="210" customWidth="1"/>
    <col min="13077" max="13077" width="12" style="210" bestFit="1" customWidth="1"/>
    <col min="13078" max="13081" width="14.1796875" style="210" bestFit="1" customWidth="1"/>
    <col min="13082" max="13308" width="10.1796875" style="210"/>
    <col min="13309" max="13309" width="36.81640625" style="210" customWidth="1"/>
    <col min="13310" max="13310" width="22.81640625" style="210" customWidth="1"/>
    <col min="13311" max="13311" width="17" style="210" customWidth="1"/>
    <col min="13312" max="13312" width="17.1796875" style="210" customWidth="1"/>
    <col min="13313" max="13313" width="18" style="210" customWidth="1"/>
    <col min="13314" max="13314" width="17.54296875" style="210" customWidth="1"/>
    <col min="13315" max="13315" width="15.81640625" style="210" customWidth="1"/>
    <col min="13316" max="13316" width="16.81640625" style="210" customWidth="1"/>
    <col min="13317" max="13317" width="18.54296875" style="210" customWidth="1"/>
    <col min="13318" max="13318" width="22.81640625" style="210" customWidth="1"/>
    <col min="13319" max="13319" width="14.81640625" style="210" customWidth="1"/>
    <col min="13320" max="13320" width="15.1796875" style="210" customWidth="1"/>
    <col min="13321" max="13321" width="13.54296875" style="210" customWidth="1"/>
    <col min="13322" max="13322" width="13.81640625" style="210" customWidth="1"/>
    <col min="13323" max="13323" width="15.453125" style="210" bestFit="1" customWidth="1"/>
    <col min="13324" max="13324" width="15.1796875" style="210" customWidth="1"/>
    <col min="13325" max="13325" width="13.453125" style="210" customWidth="1"/>
    <col min="13326" max="13326" width="14.54296875" style="210" customWidth="1"/>
    <col min="13327" max="13327" width="19.1796875" style="210" bestFit="1" customWidth="1"/>
    <col min="13328" max="13328" width="30.54296875" style="210" customWidth="1"/>
    <col min="13329" max="13329" width="29.1796875" style="210" customWidth="1"/>
    <col min="13330" max="13330" width="29.81640625" style="210" customWidth="1"/>
    <col min="13331" max="13331" width="29.453125" style="210" customWidth="1"/>
    <col min="13332" max="13332" width="29.1796875" style="210" customWidth="1"/>
    <col min="13333" max="13333" width="12" style="210" bestFit="1" customWidth="1"/>
    <col min="13334" max="13337" width="14.1796875" style="210" bestFit="1" customWidth="1"/>
    <col min="13338" max="13564" width="10.1796875" style="210"/>
    <col min="13565" max="13565" width="36.81640625" style="210" customWidth="1"/>
    <col min="13566" max="13566" width="22.81640625" style="210" customWidth="1"/>
    <col min="13567" max="13567" width="17" style="210" customWidth="1"/>
    <col min="13568" max="13568" width="17.1796875" style="210" customWidth="1"/>
    <col min="13569" max="13569" width="18" style="210" customWidth="1"/>
    <col min="13570" max="13570" width="17.54296875" style="210" customWidth="1"/>
    <col min="13571" max="13571" width="15.81640625" style="210" customWidth="1"/>
    <col min="13572" max="13572" width="16.81640625" style="210" customWidth="1"/>
    <col min="13573" max="13573" width="18.54296875" style="210" customWidth="1"/>
    <col min="13574" max="13574" width="22.81640625" style="210" customWidth="1"/>
    <col min="13575" max="13575" width="14.81640625" style="210" customWidth="1"/>
    <col min="13576" max="13576" width="15.1796875" style="210" customWidth="1"/>
    <col min="13577" max="13577" width="13.54296875" style="210" customWidth="1"/>
    <col min="13578" max="13578" width="13.81640625" style="210" customWidth="1"/>
    <col min="13579" max="13579" width="15.453125" style="210" bestFit="1" customWidth="1"/>
    <col min="13580" max="13580" width="15.1796875" style="210" customWidth="1"/>
    <col min="13581" max="13581" width="13.453125" style="210" customWidth="1"/>
    <col min="13582" max="13582" width="14.54296875" style="210" customWidth="1"/>
    <col min="13583" max="13583" width="19.1796875" style="210" bestFit="1" customWidth="1"/>
    <col min="13584" max="13584" width="30.54296875" style="210" customWidth="1"/>
    <col min="13585" max="13585" width="29.1796875" style="210" customWidth="1"/>
    <col min="13586" max="13586" width="29.81640625" style="210" customWidth="1"/>
    <col min="13587" max="13587" width="29.453125" style="210" customWidth="1"/>
    <col min="13588" max="13588" width="29.1796875" style="210" customWidth="1"/>
    <col min="13589" max="13589" width="12" style="210" bestFit="1" customWidth="1"/>
    <col min="13590" max="13593" width="14.1796875" style="210" bestFit="1" customWidth="1"/>
    <col min="13594" max="13820" width="10.1796875" style="210"/>
    <col min="13821" max="13821" width="36.81640625" style="210" customWidth="1"/>
    <col min="13822" max="13822" width="22.81640625" style="210" customWidth="1"/>
    <col min="13823" max="13823" width="17" style="210" customWidth="1"/>
    <col min="13824" max="13824" width="17.1796875" style="210" customWidth="1"/>
    <col min="13825" max="13825" width="18" style="210" customWidth="1"/>
    <col min="13826" max="13826" width="17.54296875" style="210" customWidth="1"/>
    <col min="13827" max="13827" width="15.81640625" style="210" customWidth="1"/>
    <col min="13828" max="13828" width="16.81640625" style="210" customWidth="1"/>
    <col min="13829" max="13829" width="18.54296875" style="210" customWidth="1"/>
    <col min="13830" max="13830" width="22.81640625" style="210" customWidth="1"/>
    <col min="13831" max="13831" width="14.81640625" style="210" customWidth="1"/>
    <col min="13832" max="13832" width="15.1796875" style="210" customWidth="1"/>
    <col min="13833" max="13833" width="13.54296875" style="210" customWidth="1"/>
    <col min="13834" max="13834" width="13.81640625" style="210" customWidth="1"/>
    <col min="13835" max="13835" width="15.453125" style="210" bestFit="1" customWidth="1"/>
    <col min="13836" max="13836" width="15.1796875" style="210" customWidth="1"/>
    <col min="13837" max="13837" width="13.453125" style="210" customWidth="1"/>
    <col min="13838" max="13838" width="14.54296875" style="210" customWidth="1"/>
    <col min="13839" max="13839" width="19.1796875" style="210" bestFit="1" customWidth="1"/>
    <col min="13840" max="13840" width="30.54296875" style="210" customWidth="1"/>
    <col min="13841" max="13841" width="29.1796875" style="210" customWidth="1"/>
    <col min="13842" max="13842" width="29.81640625" style="210" customWidth="1"/>
    <col min="13843" max="13843" width="29.453125" style="210" customWidth="1"/>
    <col min="13844" max="13844" width="29.1796875" style="210" customWidth="1"/>
    <col min="13845" max="13845" width="12" style="210" bestFit="1" customWidth="1"/>
    <col min="13846" max="13849" width="14.1796875" style="210" bestFit="1" customWidth="1"/>
    <col min="13850" max="14076" width="10.1796875" style="210"/>
    <col min="14077" max="14077" width="36.81640625" style="210" customWidth="1"/>
    <col min="14078" max="14078" width="22.81640625" style="210" customWidth="1"/>
    <col min="14079" max="14079" width="17" style="210" customWidth="1"/>
    <col min="14080" max="14080" width="17.1796875" style="210" customWidth="1"/>
    <col min="14081" max="14081" width="18" style="210" customWidth="1"/>
    <col min="14082" max="14082" width="17.54296875" style="210" customWidth="1"/>
    <col min="14083" max="14083" width="15.81640625" style="210" customWidth="1"/>
    <col min="14084" max="14084" width="16.81640625" style="210" customWidth="1"/>
    <col min="14085" max="14085" width="18.54296875" style="210" customWidth="1"/>
    <col min="14086" max="14086" width="22.81640625" style="210" customWidth="1"/>
    <col min="14087" max="14087" width="14.81640625" style="210" customWidth="1"/>
    <col min="14088" max="14088" width="15.1796875" style="210" customWidth="1"/>
    <col min="14089" max="14089" width="13.54296875" style="210" customWidth="1"/>
    <col min="14090" max="14090" width="13.81640625" style="210" customWidth="1"/>
    <col min="14091" max="14091" width="15.453125" style="210" bestFit="1" customWidth="1"/>
    <col min="14092" max="14092" width="15.1796875" style="210" customWidth="1"/>
    <col min="14093" max="14093" width="13.453125" style="210" customWidth="1"/>
    <col min="14094" max="14094" width="14.54296875" style="210" customWidth="1"/>
    <col min="14095" max="14095" width="19.1796875" style="210" bestFit="1" customWidth="1"/>
    <col min="14096" max="14096" width="30.54296875" style="210" customWidth="1"/>
    <col min="14097" max="14097" width="29.1796875" style="210" customWidth="1"/>
    <col min="14098" max="14098" width="29.81640625" style="210" customWidth="1"/>
    <col min="14099" max="14099" width="29.453125" style="210" customWidth="1"/>
    <col min="14100" max="14100" width="29.1796875" style="210" customWidth="1"/>
    <col min="14101" max="14101" width="12" style="210" bestFit="1" customWidth="1"/>
    <col min="14102" max="14105" width="14.1796875" style="210" bestFit="1" customWidth="1"/>
    <col min="14106" max="14332" width="10.1796875" style="210"/>
    <col min="14333" max="14333" width="36.81640625" style="210" customWidth="1"/>
    <col min="14334" max="14334" width="22.81640625" style="210" customWidth="1"/>
    <col min="14335" max="14335" width="17" style="210" customWidth="1"/>
    <col min="14336" max="14336" width="17.1796875" style="210" customWidth="1"/>
    <col min="14337" max="14337" width="18" style="210" customWidth="1"/>
    <col min="14338" max="14338" width="17.54296875" style="210" customWidth="1"/>
    <col min="14339" max="14339" width="15.81640625" style="210" customWidth="1"/>
    <col min="14340" max="14340" width="16.81640625" style="210" customWidth="1"/>
    <col min="14341" max="14341" width="18.54296875" style="210" customWidth="1"/>
    <col min="14342" max="14342" width="22.81640625" style="210" customWidth="1"/>
    <col min="14343" max="14343" width="14.81640625" style="210" customWidth="1"/>
    <col min="14344" max="14344" width="15.1796875" style="210" customWidth="1"/>
    <col min="14345" max="14345" width="13.54296875" style="210" customWidth="1"/>
    <col min="14346" max="14346" width="13.81640625" style="210" customWidth="1"/>
    <col min="14347" max="14347" width="15.453125" style="210" bestFit="1" customWidth="1"/>
    <col min="14348" max="14348" width="15.1796875" style="210" customWidth="1"/>
    <col min="14349" max="14349" width="13.453125" style="210" customWidth="1"/>
    <col min="14350" max="14350" width="14.54296875" style="210" customWidth="1"/>
    <col min="14351" max="14351" width="19.1796875" style="210" bestFit="1" customWidth="1"/>
    <col min="14352" max="14352" width="30.54296875" style="210" customWidth="1"/>
    <col min="14353" max="14353" width="29.1796875" style="210" customWidth="1"/>
    <col min="14354" max="14354" width="29.81640625" style="210" customWidth="1"/>
    <col min="14355" max="14355" width="29.453125" style="210" customWidth="1"/>
    <col min="14356" max="14356" width="29.1796875" style="210" customWidth="1"/>
    <col min="14357" max="14357" width="12" style="210" bestFit="1" customWidth="1"/>
    <col min="14358" max="14361" width="14.1796875" style="210" bestFit="1" customWidth="1"/>
    <col min="14362" max="14588" width="10.1796875" style="210"/>
    <col min="14589" max="14589" width="36.81640625" style="210" customWidth="1"/>
    <col min="14590" max="14590" width="22.81640625" style="210" customWidth="1"/>
    <col min="14591" max="14591" width="17" style="210" customWidth="1"/>
    <col min="14592" max="14592" width="17.1796875" style="210" customWidth="1"/>
    <col min="14593" max="14593" width="18" style="210" customWidth="1"/>
    <col min="14594" max="14594" width="17.54296875" style="210" customWidth="1"/>
    <col min="14595" max="14595" width="15.81640625" style="210" customWidth="1"/>
    <col min="14596" max="14596" width="16.81640625" style="210" customWidth="1"/>
    <col min="14597" max="14597" width="18.54296875" style="210" customWidth="1"/>
    <col min="14598" max="14598" width="22.81640625" style="210" customWidth="1"/>
    <col min="14599" max="14599" width="14.81640625" style="210" customWidth="1"/>
    <col min="14600" max="14600" width="15.1796875" style="210" customWidth="1"/>
    <col min="14601" max="14601" width="13.54296875" style="210" customWidth="1"/>
    <col min="14602" max="14602" width="13.81640625" style="210" customWidth="1"/>
    <col min="14603" max="14603" width="15.453125" style="210" bestFit="1" customWidth="1"/>
    <col min="14604" max="14604" width="15.1796875" style="210" customWidth="1"/>
    <col min="14605" max="14605" width="13.453125" style="210" customWidth="1"/>
    <col min="14606" max="14606" width="14.54296875" style="210" customWidth="1"/>
    <col min="14607" max="14607" width="19.1796875" style="210" bestFit="1" customWidth="1"/>
    <col min="14608" max="14608" width="30.54296875" style="210" customWidth="1"/>
    <col min="14609" max="14609" width="29.1796875" style="210" customWidth="1"/>
    <col min="14610" max="14610" width="29.81640625" style="210" customWidth="1"/>
    <col min="14611" max="14611" width="29.453125" style="210" customWidth="1"/>
    <col min="14612" max="14612" width="29.1796875" style="210" customWidth="1"/>
    <col min="14613" max="14613" width="12" style="210" bestFit="1" customWidth="1"/>
    <col min="14614" max="14617" width="14.1796875" style="210" bestFit="1" customWidth="1"/>
    <col min="14618" max="14844" width="10.1796875" style="210"/>
    <col min="14845" max="14845" width="36.81640625" style="210" customWidth="1"/>
    <col min="14846" max="14846" width="22.81640625" style="210" customWidth="1"/>
    <col min="14847" max="14847" width="17" style="210" customWidth="1"/>
    <col min="14848" max="14848" width="17.1796875" style="210" customWidth="1"/>
    <col min="14849" max="14849" width="18" style="210" customWidth="1"/>
    <col min="14850" max="14850" width="17.54296875" style="210" customWidth="1"/>
    <col min="14851" max="14851" width="15.81640625" style="210" customWidth="1"/>
    <col min="14852" max="14852" width="16.81640625" style="210" customWidth="1"/>
    <col min="14853" max="14853" width="18.54296875" style="210" customWidth="1"/>
    <col min="14854" max="14854" width="22.81640625" style="210" customWidth="1"/>
    <col min="14855" max="14855" width="14.81640625" style="210" customWidth="1"/>
    <col min="14856" max="14856" width="15.1796875" style="210" customWidth="1"/>
    <col min="14857" max="14857" width="13.54296875" style="210" customWidth="1"/>
    <col min="14858" max="14858" width="13.81640625" style="210" customWidth="1"/>
    <col min="14859" max="14859" width="15.453125" style="210" bestFit="1" customWidth="1"/>
    <col min="14860" max="14860" width="15.1796875" style="210" customWidth="1"/>
    <col min="14861" max="14861" width="13.453125" style="210" customWidth="1"/>
    <col min="14862" max="14862" width="14.54296875" style="210" customWidth="1"/>
    <col min="14863" max="14863" width="19.1796875" style="210" bestFit="1" customWidth="1"/>
    <col min="14864" max="14864" width="30.54296875" style="210" customWidth="1"/>
    <col min="14865" max="14865" width="29.1796875" style="210" customWidth="1"/>
    <col min="14866" max="14866" width="29.81640625" style="210" customWidth="1"/>
    <col min="14867" max="14867" width="29.453125" style="210" customWidth="1"/>
    <col min="14868" max="14868" width="29.1796875" style="210" customWidth="1"/>
    <col min="14869" max="14869" width="12" style="210" bestFit="1" customWidth="1"/>
    <col min="14870" max="14873" width="14.1796875" style="210" bestFit="1" customWidth="1"/>
    <col min="14874" max="15100" width="10.1796875" style="210"/>
    <col min="15101" max="15101" width="36.81640625" style="210" customWidth="1"/>
    <col min="15102" max="15102" width="22.81640625" style="210" customWidth="1"/>
    <col min="15103" max="15103" width="17" style="210" customWidth="1"/>
    <col min="15104" max="15104" width="17.1796875" style="210" customWidth="1"/>
    <col min="15105" max="15105" width="18" style="210" customWidth="1"/>
    <col min="15106" max="15106" width="17.54296875" style="210" customWidth="1"/>
    <col min="15107" max="15107" width="15.81640625" style="210" customWidth="1"/>
    <col min="15108" max="15108" width="16.81640625" style="210" customWidth="1"/>
    <col min="15109" max="15109" width="18.54296875" style="210" customWidth="1"/>
    <col min="15110" max="15110" width="22.81640625" style="210" customWidth="1"/>
    <col min="15111" max="15111" width="14.81640625" style="210" customWidth="1"/>
    <col min="15112" max="15112" width="15.1796875" style="210" customWidth="1"/>
    <col min="15113" max="15113" width="13.54296875" style="210" customWidth="1"/>
    <col min="15114" max="15114" width="13.81640625" style="210" customWidth="1"/>
    <col min="15115" max="15115" width="15.453125" style="210" bestFit="1" customWidth="1"/>
    <col min="15116" max="15116" width="15.1796875" style="210" customWidth="1"/>
    <col min="15117" max="15117" width="13.453125" style="210" customWidth="1"/>
    <col min="15118" max="15118" width="14.54296875" style="210" customWidth="1"/>
    <col min="15119" max="15119" width="19.1796875" style="210" bestFit="1" customWidth="1"/>
    <col min="15120" max="15120" width="30.54296875" style="210" customWidth="1"/>
    <col min="15121" max="15121" width="29.1796875" style="210" customWidth="1"/>
    <col min="15122" max="15122" width="29.81640625" style="210" customWidth="1"/>
    <col min="15123" max="15123" width="29.453125" style="210" customWidth="1"/>
    <col min="15124" max="15124" width="29.1796875" style="210" customWidth="1"/>
    <col min="15125" max="15125" width="12" style="210" bestFit="1" customWidth="1"/>
    <col min="15126" max="15129" width="14.1796875" style="210" bestFit="1" customWidth="1"/>
    <col min="15130" max="15356" width="10.1796875" style="210"/>
    <col min="15357" max="15357" width="36.81640625" style="210" customWidth="1"/>
    <col min="15358" max="15358" width="22.81640625" style="210" customWidth="1"/>
    <col min="15359" max="15359" width="17" style="210" customWidth="1"/>
    <col min="15360" max="15360" width="17.1796875" style="210" customWidth="1"/>
    <col min="15361" max="15361" width="18" style="210" customWidth="1"/>
    <col min="15362" max="15362" width="17.54296875" style="210" customWidth="1"/>
    <col min="15363" max="15363" width="15.81640625" style="210" customWidth="1"/>
    <col min="15364" max="15364" width="16.81640625" style="210" customWidth="1"/>
    <col min="15365" max="15365" width="18.54296875" style="210" customWidth="1"/>
    <col min="15366" max="15366" width="22.81640625" style="210" customWidth="1"/>
    <col min="15367" max="15367" width="14.81640625" style="210" customWidth="1"/>
    <col min="15368" max="15368" width="15.1796875" style="210" customWidth="1"/>
    <col min="15369" max="15369" width="13.54296875" style="210" customWidth="1"/>
    <col min="15370" max="15370" width="13.81640625" style="210" customWidth="1"/>
    <col min="15371" max="15371" width="15.453125" style="210" bestFit="1" customWidth="1"/>
    <col min="15372" max="15372" width="15.1796875" style="210" customWidth="1"/>
    <col min="15373" max="15373" width="13.453125" style="210" customWidth="1"/>
    <col min="15374" max="15374" width="14.54296875" style="210" customWidth="1"/>
    <col min="15375" max="15375" width="19.1796875" style="210" bestFit="1" customWidth="1"/>
    <col min="15376" max="15376" width="30.54296875" style="210" customWidth="1"/>
    <col min="15377" max="15377" width="29.1796875" style="210" customWidth="1"/>
    <col min="15378" max="15378" width="29.81640625" style="210" customWidth="1"/>
    <col min="15379" max="15379" width="29.453125" style="210" customWidth="1"/>
    <col min="15380" max="15380" width="29.1796875" style="210" customWidth="1"/>
    <col min="15381" max="15381" width="12" style="210" bestFit="1" customWidth="1"/>
    <col min="15382" max="15385" width="14.1796875" style="210" bestFit="1" customWidth="1"/>
    <col min="15386" max="15612" width="10.1796875" style="210"/>
    <col min="15613" max="15613" width="36.81640625" style="210" customWidth="1"/>
    <col min="15614" max="15614" width="22.81640625" style="210" customWidth="1"/>
    <col min="15615" max="15615" width="17" style="210" customWidth="1"/>
    <col min="15616" max="15616" width="17.1796875" style="210" customWidth="1"/>
    <col min="15617" max="15617" width="18" style="210" customWidth="1"/>
    <col min="15618" max="15618" width="17.54296875" style="210" customWidth="1"/>
    <col min="15619" max="15619" width="15.81640625" style="210" customWidth="1"/>
    <col min="15620" max="15620" width="16.81640625" style="210" customWidth="1"/>
    <col min="15621" max="15621" width="18.54296875" style="210" customWidth="1"/>
    <col min="15622" max="15622" width="22.81640625" style="210" customWidth="1"/>
    <col min="15623" max="15623" width="14.81640625" style="210" customWidth="1"/>
    <col min="15624" max="15624" width="15.1796875" style="210" customWidth="1"/>
    <col min="15625" max="15625" width="13.54296875" style="210" customWidth="1"/>
    <col min="15626" max="15626" width="13.81640625" style="210" customWidth="1"/>
    <col min="15627" max="15627" width="15.453125" style="210" bestFit="1" customWidth="1"/>
    <col min="15628" max="15628" width="15.1796875" style="210" customWidth="1"/>
    <col min="15629" max="15629" width="13.453125" style="210" customWidth="1"/>
    <col min="15630" max="15630" width="14.54296875" style="210" customWidth="1"/>
    <col min="15631" max="15631" width="19.1796875" style="210" bestFit="1" customWidth="1"/>
    <col min="15632" max="15632" width="30.54296875" style="210" customWidth="1"/>
    <col min="15633" max="15633" width="29.1796875" style="210" customWidth="1"/>
    <col min="15634" max="15634" width="29.81640625" style="210" customWidth="1"/>
    <col min="15635" max="15635" width="29.453125" style="210" customWidth="1"/>
    <col min="15636" max="15636" width="29.1796875" style="210" customWidth="1"/>
    <col min="15637" max="15637" width="12" style="210" bestFit="1" customWidth="1"/>
    <col min="15638" max="15641" width="14.1796875" style="210" bestFit="1" customWidth="1"/>
    <col min="15642" max="15868" width="10.1796875" style="210"/>
    <col min="15869" max="15869" width="36.81640625" style="210" customWidth="1"/>
    <col min="15870" max="15870" width="22.81640625" style="210" customWidth="1"/>
    <col min="15871" max="15871" width="17" style="210" customWidth="1"/>
    <col min="15872" max="15872" width="17.1796875" style="210" customWidth="1"/>
    <col min="15873" max="15873" width="18" style="210" customWidth="1"/>
    <col min="15874" max="15874" width="17.54296875" style="210" customWidth="1"/>
    <col min="15875" max="15875" width="15.81640625" style="210" customWidth="1"/>
    <col min="15876" max="15876" width="16.81640625" style="210" customWidth="1"/>
    <col min="15877" max="15877" width="18.54296875" style="210" customWidth="1"/>
    <col min="15878" max="15878" width="22.81640625" style="210" customWidth="1"/>
    <col min="15879" max="15879" width="14.81640625" style="210" customWidth="1"/>
    <col min="15880" max="15880" width="15.1796875" style="210" customWidth="1"/>
    <col min="15881" max="15881" width="13.54296875" style="210" customWidth="1"/>
    <col min="15882" max="15882" width="13.81640625" style="210" customWidth="1"/>
    <col min="15883" max="15883" width="15.453125" style="210" bestFit="1" customWidth="1"/>
    <col min="15884" max="15884" width="15.1796875" style="210" customWidth="1"/>
    <col min="15885" max="15885" width="13.453125" style="210" customWidth="1"/>
    <col min="15886" max="15886" width="14.54296875" style="210" customWidth="1"/>
    <col min="15887" max="15887" width="19.1796875" style="210" bestFit="1" customWidth="1"/>
    <col min="15888" max="15888" width="30.54296875" style="210" customWidth="1"/>
    <col min="15889" max="15889" width="29.1796875" style="210" customWidth="1"/>
    <col min="15890" max="15890" width="29.81640625" style="210" customWidth="1"/>
    <col min="15891" max="15891" width="29.453125" style="210" customWidth="1"/>
    <col min="15892" max="15892" width="29.1796875" style="210" customWidth="1"/>
    <col min="15893" max="15893" width="12" style="210" bestFit="1" customWidth="1"/>
    <col min="15894" max="15897" width="14.1796875" style="210" bestFit="1" customWidth="1"/>
    <col min="15898" max="16124" width="10.1796875" style="210"/>
    <col min="16125" max="16125" width="36.81640625" style="210" customWidth="1"/>
    <col min="16126" max="16126" width="22.81640625" style="210" customWidth="1"/>
    <col min="16127" max="16127" width="17" style="210" customWidth="1"/>
    <col min="16128" max="16128" width="17.1796875" style="210" customWidth="1"/>
    <col min="16129" max="16129" width="18" style="210" customWidth="1"/>
    <col min="16130" max="16130" width="17.54296875" style="210" customWidth="1"/>
    <col min="16131" max="16131" width="15.81640625" style="210" customWidth="1"/>
    <col min="16132" max="16132" width="16.81640625" style="210" customWidth="1"/>
    <col min="16133" max="16133" width="18.54296875" style="210" customWidth="1"/>
    <col min="16134" max="16134" width="22.81640625" style="210" customWidth="1"/>
    <col min="16135" max="16135" width="14.81640625" style="210" customWidth="1"/>
    <col min="16136" max="16136" width="15.1796875" style="210" customWidth="1"/>
    <col min="16137" max="16137" width="13.54296875" style="210" customWidth="1"/>
    <col min="16138" max="16138" width="13.81640625" style="210" customWidth="1"/>
    <col min="16139" max="16139" width="15.453125" style="210" bestFit="1" customWidth="1"/>
    <col min="16140" max="16140" width="15.1796875" style="210" customWidth="1"/>
    <col min="16141" max="16141" width="13.453125" style="210" customWidth="1"/>
    <col min="16142" max="16142" width="14.54296875" style="210" customWidth="1"/>
    <col min="16143" max="16143" width="19.1796875" style="210" bestFit="1" customWidth="1"/>
    <col min="16144" max="16144" width="30.54296875" style="210" customWidth="1"/>
    <col min="16145" max="16145" width="29.1796875" style="210" customWidth="1"/>
    <col min="16146" max="16146" width="29.81640625" style="210" customWidth="1"/>
    <col min="16147" max="16147" width="29.453125" style="210" customWidth="1"/>
    <col min="16148" max="16148" width="29.1796875" style="210" customWidth="1"/>
    <col min="16149" max="16149" width="12" style="210" bestFit="1" customWidth="1"/>
    <col min="16150" max="16153" width="14.1796875" style="210" bestFit="1" customWidth="1"/>
    <col min="16154" max="16384" width="10.1796875" style="210"/>
  </cols>
  <sheetData>
    <row r="1" spans="1:25">
      <c r="B1" s="211" t="s">
        <v>435</v>
      </c>
      <c r="C1" s="212" t="s">
        <v>436</v>
      </c>
      <c r="I1" s="212"/>
      <c r="J1" s="212" t="s">
        <v>436</v>
      </c>
      <c r="M1" s="334"/>
      <c r="P1" s="211" t="s">
        <v>437</v>
      </c>
      <c r="Q1" s="212" t="s">
        <v>438</v>
      </c>
      <c r="T1" s="213"/>
    </row>
    <row r="2" spans="1:25" ht="14.5">
      <c r="B2" s="214"/>
      <c r="C2" s="215" t="s">
        <v>439</v>
      </c>
      <c r="D2" s="216"/>
      <c r="E2" s="216"/>
      <c r="F2" s="216"/>
      <c r="G2" s="216"/>
      <c r="H2" s="216"/>
      <c r="I2" s="214"/>
      <c r="J2" s="216"/>
      <c r="K2" s="216"/>
      <c r="L2" s="216"/>
      <c r="M2" s="240"/>
      <c r="N2" s="216"/>
      <c r="O2" s="216"/>
      <c r="P2" s="214"/>
      <c r="Q2" s="215" t="s">
        <v>440</v>
      </c>
      <c r="R2" s="216"/>
      <c r="T2" s="216"/>
    </row>
    <row r="3" spans="1:25">
      <c r="H3" s="217" t="s">
        <v>263</v>
      </c>
      <c r="N3" s="929" t="s">
        <v>263</v>
      </c>
      <c r="O3" s="929"/>
      <c r="T3" s="217" t="s">
        <v>263</v>
      </c>
    </row>
    <row r="4" spans="1:25" ht="15" thickBot="1">
      <c r="A4" s="219"/>
      <c r="H4" s="220" t="s">
        <v>441</v>
      </c>
      <c r="N4" s="938" t="s">
        <v>442</v>
      </c>
      <c r="O4" s="938"/>
      <c r="T4" s="220" t="s">
        <v>443</v>
      </c>
    </row>
    <row r="5" spans="1:25" ht="14.5">
      <c r="A5" s="221"/>
      <c r="B5" s="335"/>
      <c r="C5" s="223"/>
      <c r="D5" s="223"/>
      <c r="E5" s="223"/>
      <c r="F5" s="228" t="s">
        <v>317</v>
      </c>
      <c r="G5" s="336" t="s">
        <v>318</v>
      </c>
      <c r="H5" s="226"/>
      <c r="I5" s="281"/>
      <c r="J5" s="939"/>
      <c r="K5" s="939"/>
      <c r="L5" s="940"/>
      <c r="M5" s="940"/>
      <c r="N5" s="941"/>
      <c r="O5" s="488"/>
      <c r="P5" s="227"/>
      <c r="Q5" s="228" t="s">
        <v>266</v>
      </c>
      <c r="R5" s="229" t="s">
        <v>267</v>
      </c>
      <c r="S5" s="223"/>
      <c r="T5" s="226"/>
    </row>
    <row r="6" spans="1:25">
      <c r="A6" s="230" t="s">
        <v>103</v>
      </c>
      <c r="B6" s="341" t="s">
        <v>104</v>
      </c>
      <c r="C6" s="233" t="s">
        <v>321</v>
      </c>
      <c r="D6" s="233" t="s">
        <v>1</v>
      </c>
      <c r="E6" s="233" t="s">
        <v>3</v>
      </c>
      <c r="F6" s="233" t="s">
        <v>12</v>
      </c>
      <c r="G6" s="233" t="s">
        <v>322</v>
      </c>
      <c r="H6" s="236" t="s">
        <v>274</v>
      </c>
      <c r="I6" s="286" t="s">
        <v>321</v>
      </c>
      <c r="J6" s="233" t="s">
        <v>677</v>
      </c>
      <c r="K6" s="233" t="s">
        <v>18</v>
      </c>
      <c r="L6" s="233" t="s">
        <v>444</v>
      </c>
      <c r="M6" s="234" t="s">
        <v>445</v>
      </c>
      <c r="N6" s="233" t="s">
        <v>274</v>
      </c>
      <c r="O6" s="236" t="s">
        <v>446</v>
      </c>
      <c r="P6" s="238" t="s">
        <v>104</v>
      </c>
      <c r="Q6" s="234" t="s">
        <v>275</v>
      </c>
      <c r="R6" s="234" t="s">
        <v>276</v>
      </c>
      <c r="S6" s="234" t="s">
        <v>277</v>
      </c>
      <c r="T6" s="236" t="s">
        <v>278</v>
      </c>
    </row>
    <row r="7" spans="1:25">
      <c r="A7" s="239" t="s">
        <v>105</v>
      </c>
      <c r="B7" s="245" t="s">
        <v>106</v>
      </c>
      <c r="C7" s="241" t="s">
        <v>331</v>
      </c>
      <c r="D7" s="241" t="s">
        <v>285</v>
      </c>
      <c r="E7" s="291" t="s">
        <v>335</v>
      </c>
      <c r="F7" s="241" t="s">
        <v>447</v>
      </c>
      <c r="G7" s="291" t="s">
        <v>448</v>
      </c>
      <c r="H7" s="243" t="s">
        <v>449</v>
      </c>
      <c r="I7" s="290" t="s">
        <v>336</v>
      </c>
      <c r="J7" s="241" t="s">
        <v>678</v>
      </c>
      <c r="K7" s="241" t="s">
        <v>450</v>
      </c>
      <c r="L7" s="241" t="s">
        <v>451</v>
      </c>
      <c r="M7" s="245" t="s">
        <v>452</v>
      </c>
      <c r="N7" s="241" t="s">
        <v>289</v>
      </c>
      <c r="O7" s="243" t="s">
        <v>346</v>
      </c>
      <c r="P7" s="239" t="s">
        <v>106</v>
      </c>
      <c r="Q7" s="245" t="s">
        <v>293</v>
      </c>
      <c r="R7" s="245" t="s">
        <v>294</v>
      </c>
      <c r="S7" s="245" t="s">
        <v>295</v>
      </c>
      <c r="T7" s="243" t="s">
        <v>296</v>
      </c>
    </row>
    <row r="8" spans="1:25">
      <c r="A8" s="246"/>
      <c r="B8" s="250"/>
      <c r="C8" s="249"/>
      <c r="D8" s="249"/>
      <c r="E8" s="248"/>
      <c r="F8" s="249"/>
      <c r="G8" s="489" t="s">
        <v>453</v>
      </c>
      <c r="H8" s="253"/>
      <c r="I8" s="295"/>
      <c r="J8" s="249"/>
      <c r="K8" s="248" t="s">
        <v>454</v>
      </c>
      <c r="L8" s="249"/>
      <c r="M8" s="249"/>
      <c r="N8" s="250"/>
      <c r="O8" s="253"/>
      <c r="P8" s="246"/>
      <c r="Q8" s="250"/>
      <c r="R8" s="250"/>
      <c r="S8" s="250"/>
      <c r="T8" s="253"/>
    </row>
    <row r="9" spans="1:25" ht="16" customHeight="1">
      <c r="A9" s="255" t="s">
        <v>111</v>
      </c>
      <c r="B9" s="257">
        <f>SUM(B10:B47)</f>
        <v>774415.15892607823</v>
      </c>
      <c r="C9" s="257">
        <f t="shared" ref="C9:O9" si="0">SUM(C10:C47)</f>
        <v>763.45100000000002</v>
      </c>
      <c r="D9" s="257">
        <f t="shared" si="0"/>
        <v>1.31</v>
      </c>
      <c r="E9" s="257">
        <f t="shared" si="0"/>
        <v>0</v>
      </c>
      <c r="F9" s="257">
        <f t="shared" si="0"/>
        <v>756.52600000000007</v>
      </c>
      <c r="G9" s="257">
        <f t="shared" si="0"/>
        <v>4.9700000000000006</v>
      </c>
      <c r="H9" s="258">
        <f t="shared" si="0"/>
        <v>0.64500000000000002</v>
      </c>
      <c r="I9" s="490">
        <f t="shared" si="0"/>
        <v>773651.70792607835</v>
      </c>
      <c r="J9" s="257">
        <f t="shared" si="0"/>
        <v>12.733000000000001</v>
      </c>
      <c r="K9" s="257">
        <f t="shared" si="0"/>
        <v>0</v>
      </c>
      <c r="L9" s="257">
        <f t="shared" si="0"/>
        <v>13740.678926078348</v>
      </c>
      <c r="M9" s="257">
        <f t="shared" si="0"/>
        <v>15.414999999999999</v>
      </c>
      <c r="N9" s="257">
        <f t="shared" si="0"/>
        <v>0</v>
      </c>
      <c r="O9" s="258">
        <f t="shared" si="0"/>
        <v>759882.88099999994</v>
      </c>
      <c r="P9" s="259">
        <f>SUM(P10:P47)</f>
        <v>774415.15892607823</v>
      </c>
      <c r="Q9" s="257">
        <f>SUM(Q10:Q47)</f>
        <v>156469.13099999999</v>
      </c>
      <c r="R9" s="257">
        <f>SUM(R10:R47)</f>
        <v>169550.27169067858</v>
      </c>
      <c r="S9" s="257">
        <f>SUM(S10:S47)</f>
        <v>227792.889</v>
      </c>
      <c r="T9" s="258">
        <f>SUM(T10:T47)</f>
        <v>220602.86723539978</v>
      </c>
    </row>
    <row r="10" spans="1:25" ht="14.15" customHeight="1">
      <c r="A10" s="260" t="s">
        <v>137</v>
      </c>
      <c r="B10" s="267">
        <f t="shared" ref="B10:B46" si="1">C10+I10</f>
        <v>0</v>
      </c>
      <c r="C10" s="267">
        <f t="shared" ref="C10:C47" si="2">SUM(D10:H10)</f>
        <v>0</v>
      </c>
      <c r="D10" s="267">
        <f>'P NP LAUT KAB'!$D6/1000</f>
        <v>0</v>
      </c>
      <c r="E10" s="267">
        <f>'P NP LAUT KAB'!$H6/1000</f>
        <v>0</v>
      </c>
      <c r="F10" s="267">
        <f>('P NP LAUT KAB'!$X6+'P NP LAUT KAB'!$Z6)/1000</f>
        <v>0</v>
      </c>
      <c r="G10" s="267">
        <f>'P NP LAUT KAB'!$R6/1000</f>
        <v>0</v>
      </c>
      <c r="H10" s="267">
        <f>'P NP LAUT KAB'!$BP6/1000</f>
        <v>0</v>
      </c>
      <c r="I10" s="491">
        <f t="shared" ref="I10:I47" si="3">SUM(J10:O10)</f>
        <v>0</v>
      </c>
      <c r="J10" s="492">
        <f>'P NP LAUT KAB'!$AF6/1000</f>
        <v>0</v>
      </c>
      <c r="K10" s="573">
        <f>'P NP LAUT KAB'!$AR6/1000</f>
        <v>0</v>
      </c>
      <c r="L10" s="262">
        <f>'P NP LAUT KAB'!$V6/1000</f>
        <v>0</v>
      </c>
      <c r="M10" s="492">
        <f>'P NP LAUT KAB'!$BR6/1000</f>
        <v>0</v>
      </c>
      <c r="N10" s="818">
        <f>SUM('P NP LAUT KAB'!$BF6/1000)</f>
        <v>0</v>
      </c>
      <c r="O10" s="267">
        <f>SUMIFS('P NP LAUT KAB'!D6:BY6,'P NP LAUT KAB'!$D$4:$BY$4,"P",'P NP LAUT KAB'!$D$1:$BY$1,"E. Cottonii")/1000</f>
        <v>0</v>
      </c>
      <c r="P10" s="264">
        <f>SUM(Q10:T10)</f>
        <v>0</v>
      </c>
      <c r="Q10" s="267">
        <f>'P NP TW'!E7/1000</f>
        <v>0</v>
      </c>
      <c r="R10" s="267">
        <f>'P NP TW'!G7/1000</f>
        <v>0</v>
      </c>
      <c r="S10" s="267">
        <f>'P NP TW'!I7/1000</f>
        <v>0</v>
      </c>
      <c r="T10" s="268">
        <f>'P NP TW'!K7/1000</f>
        <v>0</v>
      </c>
      <c r="V10" s="271"/>
      <c r="W10" s="271"/>
      <c r="X10" s="271"/>
      <c r="Y10" s="271"/>
    </row>
    <row r="11" spans="1:25">
      <c r="A11" s="260" t="s">
        <v>121</v>
      </c>
      <c r="B11" s="267">
        <f t="shared" si="1"/>
        <v>48.26</v>
      </c>
      <c r="C11" s="267">
        <f t="shared" si="2"/>
        <v>23.134999999999998</v>
      </c>
      <c r="D11" s="267">
        <f>'P NP LAUT KAB'!$D7/1000</f>
        <v>0</v>
      </c>
      <c r="E11" s="267">
        <f>'P NP LAUT KAB'!$H7/1000</f>
        <v>0</v>
      </c>
      <c r="F11" s="267">
        <f>('P NP LAUT KAB'!$X7+'P NP LAUT KAB'!$Z7)/1000</f>
        <v>20.184999999999999</v>
      </c>
      <c r="G11" s="267">
        <f>'P NP LAUT KAB'!$R7/1000</f>
        <v>2.3050000000000002</v>
      </c>
      <c r="H11" s="267">
        <f>'P NP LAUT KAB'!$BP7/1000</f>
        <v>0.64500000000000002</v>
      </c>
      <c r="I11" s="491">
        <f t="shared" si="3"/>
        <v>25.125</v>
      </c>
      <c r="J11" s="493">
        <f>'P NP LAUT KAB'!$AF7/1000</f>
        <v>9.7100000000000009</v>
      </c>
      <c r="K11" s="363">
        <f>'P NP LAUT KAB'!$AR7/1000</f>
        <v>0</v>
      </c>
      <c r="L11" s="267">
        <f>'P NP LAUT KAB'!$V7/1000</f>
        <v>0</v>
      </c>
      <c r="M11" s="493">
        <f>'P NP LAUT KAB'!$BR7/1000</f>
        <v>15.414999999999999</v>
      </c>
      <c r="N11" s="819">
        <f>SUM('P NP LAUT KAB'!$BF7/1000)</f>
        <v>0</v>
      </c>
      <c r="O11" s="267">
        <f>SUMIFS('P NP LAUT KAB'!D7:BY7,'P NP LAUT KAB'!$D$4:$BY$4,"P",'P NP LAUT KAB'!$D$1:$BY$1,"E. Cottonii")/1000</f>
        <v>0</v>
      </c>
      <c r="P11" s="264">
        <f>SUM(Q11:T11)</f>
        <v>48.26</v>
      </c>
      <c r="Q11" s="267">
        <f>'P NP TW'!E8/1000</f>
        <v>13.43</v>
      </c>
      <c r="R11" s="267">
        <f>'P NP TW'!G8/1000</f>
        <v>18.47</v>
      </c>
      <c r="S11" s="267">
        <f>'P NP TW'!I8/1000</f>
        <v>7.08</v>
      </c>
      <c r="T11" s="268">
        <f>'P NP TW'!K8/1000</f>
        <v>9.2799999999999994</v>
      </c>
      <c r="V11" s="271"/>
      <c r="W11" s="271"/>
      <c r="X11" s="271"/>
      <c r="Y11" s="271"/>
    </row>
    <row r="12" spans="1:25">
      <c r="A12" s="260" t="s">
        <v>116</v>
      </c>
      <c r="B12" s="267">
        <f t="shared" si="1"/>
        <v>0</v>
      </c>
      <c r="C12" s="267">
        <f t="shared" si="2"/>
        <v>0</v>
      </c>
      <c r="D12" s="267">
        <f>'P NP LAUT KAB'!$D8/1000</f>
        <v>0</v>
      </c>
      <c r="E12" s="267">
        <f>'P NP LAUT KAB'!$H8/1000</f>
        <v>0</v>
      </c>
      <c r="F12" s="267">
        <f>('P NP LAUT KAB'!$X8+'P NP LAUT KAB'!$Z8)/1000</f>
        <v>0</v>
      </c>
      <c r="G12" s="267">
        <f>'P NP LAUT KAB'!$R8/1000</f>
        <v>0</v>
      </c>
      <c r="H12" s="267">
        <f>'P NP LAUT KAB'!$BP8/1000</f>
        <v>0</v>
      </c>
      <c r="I12" s="491">
        <f t="shared" si="3"/>
        <v>0</v>
      </c>
      <c r="J12" s="493">
        <f>'P NP LAUT KAB'!$AF8/1000</f>
        <v>0</v>
      </c>
      <c r="K12" s="363">
        <f>'P NP LAUT KAB'!$AR8/1000</f>
        <v>0</v>
      </c>
      <c r="L12" s="267">
        <f>'P NP LAUT KAB'!$V8/1000</f>
        <v>0</v>
      </c>
      <c r="M12" s="493">
        <f>'P NP LAUT KAB'!$BR8/1000</f>
        <v>0</v>
      </c>
      <c r="N12" s="819">
        <f>SUM('P NP LAUT KAB'!$BF8/1000)</f>
        <v>0</v>
      </c>
      <c r="O12" s="267">
        <f>SUMIFS('P NP LAUT KAB'!D8:BY8,'P NP LAUT KAB'!$D$4:$BY$4,"P",'P NP LAUT KAB'!$D$1:$BY$1,"E. Cottonii")/1000</f>
        <v>0</v>
      </c>
      <c r="P12" s="264">
        <f t="shared" ref="P12:P47" si="4">SUM(Q12:T12)</f>
        <v>0</v>
      </c>
      <c r="Q12" s="267">
        <f>'P NP TW'!E9/1000</f>
        <v>0</v>
      </c>
      <c r="R12" s="267">
        <f>'P NP TW'!G9/1000</f>
        <v>0</v>
      </c>
      <c r="S12" s="267">
        <f>'P NP TW'!I9/1000</f>
        <v>0</v>
      </c>
      <c r="T12" s="268">
        <f>'P NP TW'!K9/1000</f>
        <v>0</v>
      </c>
      <c r="V12" s="271"/>
      <c r="W12" s="271"/>
      <c r="X12" s="271"/>
      <c r="Y12" s="271"/>
    </row>
    <row r="13" spans="1:25">
      <c r="A13" s="260" t="s">
        <v>133</v>
      </c>
      <c r="B13" s="267">
        <f t="shared" si="1"/>
        <v>0</v>
      </c>
      <c r="C13" s="267">
        <f t="shared" si="2"/>
        <v>0</v>
      </c>
      <c r="D13" s="267">
        <f>'P NP LAUT KAB'!$D9/1000</f>
        <v>0</v>
      </c>
      <c r="E13" s="267">
        <f>'P NP LAUT KAB'!$H9/1000</f>
        <v>0</v>
      </c>
      <c r="F13" s="267">
        <f>('P NP LAUT KAB'!$X9+'P NP LAUT KAB'!$Z9)/1000</f>
        <v>0</v>
      </c>
      <c r="G13" s="267">
        <f>'P NP LAUT KAB'!$R9/1000</f>
        <v>0</v>
      </c>
      <c r="H13" s="267">
        <f>'P NP LAUT KAB'!$BP9/1000</f>
        <v>0</v>
      </c>
      <c r="I13" s="491">
        <f t="shared" si="3"/>
        <v>0</v>
      </c>
      <c r="J13" s="493">
        <f>'P NP LAUT KAB'!$AF9/1000</f>
        <v>0</v>
      </c>
      <c r="K13" s="363">
        <f>'P NP LAUT KAB'!$AR9/1000</f>
        <v>0</v>
      </c>
      <c r="L13" s="267">
        <f>'P NP LAUT KAB'!$V9/1000</f>
        <v>0</v>
      </c>
      <c r="M13" s="493">
        <f>'P NP LAUT KAB'!$BR9/1000</f>
        <v>0</v>
      </c>
      <c r="N13" s="819">
        <f>SUM('P NP LAUT KAB'!$BF9/1000)</f>
        <v>0</v>
      </c>
      <c r="O13" s="267">
        <f>SUMIFS('P NP LAUT KAB'!D9:BY9,'P NP LAUT KAB'!$D$4:$BY$4,"P",'P NP LAUT KAB'!$D$1:$BY$1,"E. Cottonii")/1000</f>
        <v>0</v>
      </c>
      <c r="P13" s="264">
        <f t="shared" si="4"/>
        <v>0</v>
      </c>
      <c r="Q13" s="267">
        <f>'P NP TW'!E10/1000</f>
        <v>0</v>
      </c>
      <c r="R13" s="267">
        <f>'P NP TW'!G10/1000</f>
        <v>0</v>
      </c>
      <c r="S13" s="267">
        <f>'P NP TW'!I10/1000</f>
        <v>0</v>
      </c>
      <c r="T13" s="268">
        <f>'P NP TW'!K10/1000</f>
        <v>0</v>
      </c>
      <c r="V13" s="271"/>
      <c r="W13" s="271"/>
      <c r="X13" s="271"/>
      <c r="Y13" s="271"/>
    </row>
    <row r="14" spans="1:25">
      <c r="A14" s="260" t="s">
        <v>122</v>
      </c>
      <c r="B14" s="267">
        <f t="shared" si="1"/>
        <v>0</v>
      </c>
      <c r="C14" s="267">
        <f t="shared" si="2"/>
        <v>0</v>
      </c>
      <c r="D14" s="267">
        <f>'P NP LAUT KAB'!$D10/1000</f>
        <v>0</v>
      </c>
      <c r="E14" s="267">
        <f>'P NP LAUT KAB'!$H10/1000</f>
        <v>0</v>
      </c>
      <c r="F14" s="267">
        <f>('P NP LAUT KAB'!$X10+'P NP LAUT KAB'!$Z10)/1000</f>
        <v>0</v>
      </c>
      <c r="G14" s="267">
        <f>'P NP LAUT KAB'!$R10/1000</f>
        <v>0</v>
      </c>
      <c r="H14" s="267">
        <f>'P NP LAUT KAB'!$BP10/1000</f>
        <v>0</v>
      </c>
      <c r="I14" s="491">
        <f t="shared" si="3"/>
        <v>0</v>
      </c>
      <c r="J14" s="493">
        <f>'P NP LAUT KAB'!$AF10/1000</f>
        <v>0</v>
      </c>
      <c r="K14" s="363">
        <f>'P NP LAUT KAB'!$AR10/1000</f>
        <v>0</v>
      </c>
      <c r="L14" s="267">
        <f>'P NP LAUT KAB'!$V10/1000</f>
        <v>0</v>
      </c>
      <c r="M14" s="493">
        <f>'P NP LAUT KAB'!$BR10/1000</f>
        <v>0</v>
      </c>
      <c r="N14" s="819">
        <f>SUM('P NP LAUT KAB'!$BF10/1000)</f>
        <v>0</v>
      </c>
      <c r="O14" s="267">
        <f>SUMIFS('P NP LAUT KAB'!D10:BY10,'P NP LAUT KAB'!$D$4:$BY$4,"P",'P NP LAUT KAB'!$D$1:$BY$1,"E. Cottonii")/1000</f>
        <v>0</v>
      </c>
      <c r="P14" s="264">
        <f t="shared" si="4"/>
        <v>0</v>
      </c>
      <c r="Q14" s="267">
        <f>'P NP TW'!E11/1000</f>
        <v>0</v>
      </c>
      <c r="R14" s="267">
        <f>'P NP TW'!G11/1000</f>
        <v>0</v>
      </c>
      <c r="S14" s="267">
        <f>'P NP TW'!I11/1000</f>
        <v>0</v>
      </c>
      <c r="T14" s="268">
        <f>'P NP TW'!K11/1000</f>
        <v>0</v>
      </c>
      <c r="V14" s="271"/>
      <c r="W14" s="271"/>
      <c r="X14" s="271"/>
      <c r="Y14" s="271"/>
    </row>
    <row r="15" spans="1:25">
      <c r="A15" s="260" t="s">
        <v>136</v>
      </c>
      <c r="B15" s="267">
        <f t="shared" si="1"/>
        <v>13740.678926078348</v>
      </c>
      <c r="C15" s="267">
        <f t="shared" si="2"/>
        <v>0</v>
      </c>
      <c r="D15" s="267">
        <f>'P NP LAUT KAB'!$D11/1000</f>
        <v>0</v>
      </c>
      <c r="E15" s="267">
        <f>'P NP LAUT KAB'!$H11/1000</f>
        <v>0</v>
      </c>
      <c r="F15" s="267">
        <f>('P NP LAUT KAB'!$X11+'P NP LAUT KAB'!$Z11)/1000</f>
        <v>0</v>
      </c>
      <c r="G15" s="267">
        <f>'P NP LAUT KAB'!$R11/1000</f>
        <v>0</v>
      </c>
      <c r="H15" s="267">
        <f>'P NP LAUT KAB'!$BP11/1000</f>
        <v>0</v>
      </c>
      <c r="I15" s="491">
        <f t="shared" si="3"/>
        <v>13740.678926078348</v>
      </c>
      <c r="J15" s="493">
        <f>'P NP LAUT KAB'!$AF11/1000</f>
        <v>0</v>
      </c>
      <c r="K15" s="363">
        <f>'P NP LAUT KAB'!$AR11/1000</f>
        <v>0</v>
      </c>
      <c r="L15" s="267">
        <f>'P NP LAUT KAB'!$V11/1000</f>
        <v>13740.678926078348</v>
      </c>
      <c r="M15" s="493">
        <f>'P NP LAUT KAB'!$BR11/1000</f>
        <v>0</v>
      </c>
      <c r="N15" s="819">
        <f>SUM('P NP LAUT KAB'!$BF11/1000)</f>
        <v>0</v>
      </c>
      <c r="O15" s="267">
        <f>SUMIFS('P NP LAUT KAB'!D11:BY11,'P NP LAUT KAB'!$D$4:$BY$4,"P",'P NP LAUT KAB'!$D$1:$BY$1,"E. Cottonii")/1000</f>
        <v>0</v>
      </c>
      <c r="P15" s="264">
        <f t="shared" si="4"/>
        <v>13740.678926078348</v>
      </c>
      <c r="Q15" s="267">
        <f>'P NP TW'!E12/1000</f>
        <v>1178.3679999999999</v>
      </c>
      <c r="R15" s="267">
        <f>'P NP TW'!G12/1000</f>
        <v>1407.5066906785596</v>
      </c>
      <c r="S15" s="267">
        <f>'P NP TW'!I12/1000</f>
        <v>4684.3019999999997</v>
      </c>
      <c r="T15" s="268">
        <f>'P NP TW'!K12/1000</f>
        <v>6470.5022353997883</v>
      </c>
      <c r="V15" s="271"/>
      <c r="W15" s="271"/>
      <c r="X15" s="271"/>
      <c r="Y15" s="271"/>
    </row>
    <row r="16" spans="1:25">
      <c r="A16" s="260" t="s">
        <v>120</v>
      </c>
      <c r="B16" s="267">
        <f t="shared" si="1"/>
        <v>0</v>
      </c>
      <c r="C16" s="267">
        <f t="shared" si="2"/>
        <v>0</v>
      </c>
      <c r="D16" s="267">
        <f>'P NP LAUT KAB'!$D12/1000</f>
        <v>0</v>
      </c>
      <c r="E16" s="267">
        <f>'P NP LAUT KAB'!$H12/1000</f>
        <v>0</v>
      </c>
      <c r="F16" s="267">
        <f>('P NP LAUT KAB'!$X12+'P NP LAUT KAB'!$Z12)/1000</f>
        <v>0</v>
      </c>
      <c r="G16" s="267">
        <f>'P NP LAUT KAB'!$R12/1000</f>
        <v>0</v>
      </c>
      <c r="H16" s="267">
        <f>'P NP LAUT KAB'!$BP12/1000</f>
        <v>0</v>
      </c>
      <c r="I16" s="491">
        <f t="shared" si="3"/>
        <v>0</v>
      </c>
      <c r="J16" s="493">
        <f>'P NP LAUT KAB'!$AF12/1000</f>
        <v>0</v>
      </c>
      <c r="K16" s="363">
        <f>'P NP LAUT KAB'!$AR12/1000</f>
        <v>0</v>
      </c>
      <c r="L16" s="267">
        <f>'P NP LAUT KAB'!$V12/1000</f>
        <v>0</v>
      </c>
      <c r="M16" s="493">
        <f>'P NP LAUT KAB'!$BR12/1000</f>
        <v>0</v>
      </c>
      <c r="N16" s="819">
        <f>SUM('P NP LAUT KAB'!$BF12/1000)</f>
        <v>0</v>
      </c>
      <c r="O16" s="267">
        <f>SUMIFS('P NP LAUT KAB'!D12:BY12,'P NP LAUT KAB'!$D$4:$BY$4,"P",'P NP LAUT KAB'!$D$1:$BY$1,"E. Cottonii")/1000</f>
        <v>0</v>
      </c>
      <c r="P16" s="264">
        <f t="shared" si="4"/>
        <v>0</v>
      </c>
      <c r="Q16" s="267">
        <f>'P NP TW'!E13/1000</f>
        <v>0</v>
      </c>
      <c r="R16" s="267">
        <f>'P NP TW'!G13/1000</f>
        <v>0</v>
      </c>
      <c r="S16" s="267">
        <f>'P NP TW'!I13/1000</f>
        <v>0</v>
      </c>
      <c r="T16" s="268">
        <f>'P NP TW'!K13/1000</f>
        <v>0</v>
      </c>
      <c r="V16" s="271"/>
      <c r="W16" s="271"/>
      <c r="X16" s="271"/>
      <c r="Y16" s="271"/>
    </row>
    <row r="17" spans="1:25" ht="13.5" customHeight="1">
      <c r="A17" s="260" t="s">
        <v>128</v>
      </c>
      <c r="B17" s="267">
        <f t="shared" si="1"/>
        <v>0</v>
      </c>
      <c r="C17" s="267">
        <f t="shared" si="2"/>
        <v>0</v>
      </c>
      <c r="D17" s="267">
        <f>'P NP LAUT KAB'!$D13/1000</f>
        <v>0</v>
      </c>
      <c r="E17" s="267">
        <f>'P NP LAUT KAB'!$H13/1000</f>
        <v>0</v>
      </c>
      <c r="F17" s="267">
        <f>('P NP LAUT KAB'!$X13+'P NP LAUT KAB'!$Z13)/1000</f>
        <v>0</v>
      </c>
      <c r="G17" s="267">
        <f>'P NP LAUT KAB'!$R13/1000</f>
        <v>0</v>
      </c>
      <c r="H17" s="267">
        <f>'P NP LAUT KAB'!$BP13/1000</f>
        <v>0</v>
      </c>
      <c r="I17" s="491">
        <f t="shared" si="3"/>
        <v>0</v>
      </c>
      <c r="J17" s="493">
        <f>'P NP LAUT KAB'!$AF13/1000</f>
        <v>0</v>
      </c>
      <c r="K17" s="363">
        <f>'P NP LAUT KAB'!$AR13/1000</f>
        <v>0</v>
      </c>
      <c r="L17" s="267">
        <f>'P NP LAUT KAB'!$V13/1000</f>
        <v>0</v>
      </c>
      <c r="M17" s="493">
        <f>'P NP LAUT KAB'!$BR13/1000</f>
        <v>0</v>
      </c>
      <c r="N17" s="819">
        <f>SUM('P NP LAUT KAB'!$BF13/1000)</f>
        <v>0</v>
      </c>
      <c r="O17" s="267">
        <f>SUMIFS('P NP LAUT KAB'!D13:BY13,'P NP LAUT KAB'!$D$4:$BY$4,"P",'P NP LAUT KAB'!$D$1:$BY$1,"E. Cottonii")/1000</f>
        <v>0</v>
      </c>
      <c r="P17" s="264">
        <f t="shared" si="4"/>
        <v>0</v>
      </c>
      <c r="Q17" s="267">
        <f>'P NP TW'!E14/1000</f>
        <v>0</v>
      </c>
      <c r="R17" s="267">
        <f>'P NP TW'!G14/1000</f>
        <v>0</v>
      </c>
      <c r="S17" s="267">
        <f>'P NP TW'!I14/1000</f>
        <v>0</v>
      </c>
      <c r="T17" s="268">
        <f>'P NP TW'!K14/1000</f>
        <v>0</v>
      </c>
      <c r="V17" s="271"/>
      <c r="W17" s="271"/>
      <c r="X17" s="271"/>
      <c r="Y17" s="271"/>
    </row>
    <row r="18" spans="1:25">
      <c r="A18" s="260" t="s">
        <v>117</v>
      </c>
      <c r="B18" s="267">
        <f t="shared" si="1"/>
        <v>0</v>
      </c>
      <c r="C18" s="267">
        <f t="shared" si="2"/>
        <v>0</v>
      </c>
      <c r="D18" s="267">
        <f>'P NP LAUT KAB'!$D14/1000</f>
        <v>0</v>
      </c>
      <c r="E18" s="267">
        <f>'P NP LAUT KAB'!$H14/1000</f>
        <v>0</v>
      </c>
      <c r="F18" s="267">
        <f>('P NP LAUT KAB'!$X14+'P NP LAUT KAB'!$Z14)/1000</f>
        <v>0</v>
      </c>
      <c r="G18" s="267">
        <f>'P NP LAUT KAB'!$R14/1000</f>
        <v>0</v>
      </c>
      <c r="H18" s="267">
        <f>'P NP LAUT KAB'!$BP14/1000</f>
        <v>0</v>
      </c>
      <c r="I18" s="491">
        <f t="shared" si="3"/>
        <v>0</v>
      </c>
      <c r="J18" s="493">
        <f>'P NP LAUT KAB'!$AF14/1000</f>
        <v>0</v>
      </c>
      <c r="K18" s="363">
        <f>'P NP LAUT KAB'!$AR14/1000</f>
        <v>0</v>
      </c>
      <c r="L18" s="267">
        <f>'P NP LAUT KAB'!$V14/1000</f>
        <v>0</v>
      </c>
      <c r="M18" s="493">
        <f>'P NP LAUT KAB'!$BR14/1000</f>
        <v>0</v>
      </c>
      <c r="N18" s="819">
        <f>SUM('P NP LAUT KAB'!$BF14/1000)</f>
        <v>0</v>
      </c>
      <c r="O18" s="267">
        <f>SUMIFS('P NP LAUT KAB'!D14:BY14,'P NP LAUT KAB'!$D$4:$BY$4,"P",'P NP LAUT KAB'!$D$1:$BY$1,"E. Cottonii")/1000</f>
        <v>0</v>
      </c>
      <c r="P18" s="264">
        <f t="shared" si="4"/>
        <v>0</v>
      </c>
      <c r="Q18" s="267">
        <f>'P NP TW'!E15/1000</f>
        <v>0</v>
      </c>
      <c r="R18" s="267">
        <f>'P NP TW'!G15/1000</f>
        <v>0</v>
      </c>
      <c r="S18" s="267">
        <f>'P NP TW'!I15/1000</f>
        <v>0</v>
      </c>
      <c r="T18" s="268">
        <f>'P NP TW'!K15/1000</f>
        <v>0</v>
      </c>
      <c r="V18" s="271"/>
      <c r="W18" s="271"/>
      <c r="X18" s="271"/>
      <c r="Y18" s="271"/>
    </row>
    <row r="19" spans="1:25">
      <c r="A19" s="260" t="s">
        <v>135</v>
      </c>
      <c r="B19" s="267">
        <f t="shared" si="1"/>
        <v>0</v>
      </c>
      <c r="C19" s="267">
        <f t="shared" si="2"/>
        <v>0</v>
      </c>
      <c r="D19" s="267">
        <f>'P NP LAUT KAB'!$D15/1000</f>
        <v>0</v>
      </c>
      <c r="E19" s="267">
        <f>'P NP LAUT KAB'!$H15/1000</f>
        <v>0</v>
      </c>
      <c r="F19" s="267">
        <f>('P NP LAUT KAB'!$X15+'P NP LAUT KAB'!$Z15)/1000</f>
        <v>0</v>
      </c>
      <c r="G19" s="267">
        <f>'P NP LAUT KAB'!$R15/1000</f>
        <v>0</v>
      </c>
      <c r="H19" s="267">
        <f>'P NP LAUT KAB'!$BP15/1000</f>
        <v>0</v>
      </c>
      <c r="I19" s="491">
        <f t="shared" si="3"/>
        <v>0</v>
      </c>
      <c r="J19" s="493">
        <f>'P NP LAUT KAB'!$AF15/1000</f>
        <v>0</v>
      </c>
      <c r="K19" s="363">
        <f>'P NP LAUT KAB'!$AR15/1000</f>
        <v>0</v>
      </c>
      <c r="L19" s="267">
        <f>'P NP LAUT KAB'!$V15/1000</f>
        <v>0</v>
      </c>
      <c r="M19" s="493">
        <f>'P NP LAUT KAB'!$BR15/1000</f>
        <v>0</v>
      </c>
      <c r="N19" s="819">
        <f>SUM('P NP LAUT KAB'!$BF15/1000)</f>
        <v>0</v>
      </c>
      <c r="O19" s="267">
        <f>SUMIFS('P NP LAUT KAB'!D15:BY15,'P NP LAUT KAB'!$D$4:$BY$4,"P",'P NP LAUT KAB'!$D$1:$BY$1,"E. Cottonii")/1000</f>
        <v>0</v>
      </c>
      <c r="P19" s="264">
        <f t="shared" si="4"/>
        <v>0</v>
      </c>
      <c r="Q19" s="267">
        <f>'P NP TW'!E16/1000</f>
        <v>0</v>
      </c>
      <c r="R19" s="267">
        <f>'P NP TW'!G16/1000</f>
        <v>0</v>
      </c>
      <c r="S19" s="267">
        <f>'P NP TW'!I16/1000</f>
        <v>0</v>
      </c>
      <c r="T19" s="268">
        <f>'P NP TW'!K16/1000</f>
        <v>0</v>
      </c>
      <c r="V19" s="271"/>
      <c r="W19" s="271"/>
      <c r="X19" s="271"/>
      <c r="Y19" s="271"/>
    </row>
    <row r="20" spans="1:25">
      <c r="A20" s="260" t="s">
        <v>119</v>
      </c>
      <c r="B20" s="267">
        <f t="shared" si="1"/>
        <v>0</v>
      </c>
      <c r="C20" s="267">
        <f t="shared" si="2"/>
        <v>0</v>
      </c>
      <c r="D20" s="267">
        <f>'P NP LAUT KAB'!$D16/1000</f>
        <v>0</v>
      </c>
      <c r="E20" s="267">
        <f>'P NP LAUT KAB'!$H16/1000</f>
        <v>0</v>
      </c>
      <c r="F20" s="267">
        <f>('P NP LAUT KAB'!$X16+'P NP LAUT KAB'!$Z16)/1000</f>
        <v>0</v>
      </c>
      <c r="G20" s="267">
        <f>'P NP LAUT KAB'!$R16/1000</f>
        <v>0</v>
      </c>
      <c r="H20" s="267">
        <f>'P NP LAUT KAB'!$BP16/1000</f>
        <v>0</v>
      </c>
      <c r="I20" s="491">
        <f t="shared" si="3"/>
        <v>0</v>
      </c>
      <c r="J20" s="493">
        <f>'P NP LAUT KAB'!$AF16/1000</f>
        <v>0</v>
      </c>
      <c r="K20" s="363">
        <f>'P NP LAUT KAB'!$AR16/1000</f>
        <v>0</v>
      </c>
      <c r="L20" s="267">
        <f>'P NP LAUT KAB'!$V16/1000</f>
        <v>0</v>
      </c>
      <c r="M20" s="493">
        <f>'P NP LAUT KAB'!$BR16/1000</f>
        <v>0</v>
      </c>
      <c r="N20" s="819">
        <f>SUM('P NP LAUT KAB'!$BF16/1000)</f>
        <v>0</v>
      </c>
      <c r="O20" s="267">
        <f>SUMIFS('P NP LAUT KAB'!D16:BY16,'P NP LAUT KAB'!$D$4:$BY$4,"P",'P NP LAUT KAB'!$D$1:$BY$1,"E. Cottonii")/1000</f>
        <v>0</v>
      </c>
      <c r="P20" s="264">
        <f t="shared" si="4"/>
        <v>0</v>
      </c>
      <c r="Q20" s="267">
        <f>'P NP TW'!E17/1000</f>
        <v>0</v>
      </c>
      <c r="R20" s="267">
        <f>'P NP TW'!G17/1000</f>
        <v>0</v>
      </c>
      <c r="S20" s="267">
        <f>'P NP TW'!I17/1000</f>
        <v>0</v>
      </c>
      <c r="T20" s="268">
        <f>'P NP TW'!K17/1000</f>
        <v>0</v>
      </c>
      <c r="V20" s="271"/>
      <c r="W20" s="271"/>
      <c r="X20" s="271"/>
      <c r="Y20" s="271"/>
    </row>
    <row r="21" spans="1:25">
      <c r="A21" s="260" t="s">
        <v>130</v>
      </c>
      <c r="B21" s="267">
        <f t="shared" si="1"/>
        <v>0</v>
      </c>
      <c r="C21" s="267">
        <f t="shared" si="2"/>
        <v>0</v>
      </c>
      <c r="D21" s="267">
        <f>'P NP LAUT KAB'!$D17/1000</f>
        <v>0</v>
      </c>
      <c r="E21" s="267">
        <f>'P NP LAUT KAB'!$H17/1000</f>
        <v>0</v>
      </c>
      <c r="F21" s="267">
        <f>('P NP LAUT KAB'!$X17+'P NP LAUT KAB'!$Z17)/1000</f>
        <v>0</v>
      </c>
      <c r="G21" s="267">
        <f>'P NP LAUT KAB'!$R17/1000</f>
        <v>0</v>
      </c>
      <c r="H21" s="267">
        <f>'P NP LAUT KAB'!$BP17/1000</f>
        <v>0</v>
      </c>
      <c r="I21" s="491">
        <f t="shared" si="3"/>
        <v>0</v>
      </c>
      <c r="J21" s="493">
        <f>'P NP LAUT KAB'!$AF17/1000</f>
        <v>0</v>
      </c>
      <c r="K21" s="363">
        <f>'P NP LAUT KAB'!$AR17/1000</f>
        <v>0</v>
      </c>
      <c r="L21" s="267">
        <f>'P NP LAUT KAB'!$V17/1000</f>
        <v>0</v>
      </c>
      <c r="M21" s="493">
        <f>'P NP LAUT KAB'!$BR17/1000</f>
        <v>0</v>
      </c>
      <c r="N21" s="819">
        <f>SUM('P NP LAUT KAB'!$BF17/1000)</f>
        <v>0</v>
      </c>
      <c r="O21" s="267">
        <f>SUMIFS('P NP LAUT KAB'!D17:BY17,'P NP LAUT KAB'!$D$4:$BY$4,"P",'P NP LAUT KAB'!$D$1:$BY$1,"E. Cottonii")/1000</f>
        <v>0</v>
      </c>
      <c r="P21" s="264">
        <f t="shared" si="4"/>
        <v>0</v>
      </c>
      <c r="Q21" s="267">
        <f>'P NP TW'!E18/1000</f>
        <v>0</v>
      </c>
      <c r="R21" s="267">
        <f>'P NP TW'!G18/1000</f>
        <v>0</v>
      </c>
      <c r="S21" s="267">
        <f>'P NP TW'!I18/1000</f>
        <v>0</v>
      </c>
      <c r="T21" s="268">
        <f>'P NP TW'!K18/1000</f>
        <v>0</v>
      </c>
      <c r="V21" s="271"/>
      <c r="W21" s="271"/>
      <c r="X21" s="271"/>
      <c r="Y21" s="271"/>
    </row>
    <row r="22" spans="1:25">
      <c r="A22" s="260" t="s">
        <v>131</v>
      </c>
      <c r="B22" s="267">
        <f t="shared" si="1"/>
        <v>0</v>
      </c>
      <c r="C22" s="267">
        <f t="shared" si="2"/>
        <v>0</v>
      </c>
      <c r="D22" s="267">
        <f>'P NP LAUT KAB'!$D18/1000</f>
        <v>0</v>
      </c>
      <c r="E22" s="267">
        <f>'P NP LAUT KAB'!$H18/1000</f>
        <v>0</v>
      </c>
      <c r="F22" s="267">
        <f>('P NP LAUT KAB'!$X18+'P NP LAUT KAB'!$Z18)/1000</f>
        <v>0</v>
      </c>
      <c r="G22" s="267">
        <f>'P NP LAUT KAB'!$R18/1000</f>
        <v>0</v>
      </c>
      <c r="H22" s="267">
        <f>'P NP LAUT KAB'!$BP18/1000</f>
        <v>0</v>
      </c>
      <c r="I22" s="491">
        <f t="shared" si="3"/>
        <v>0</v>
      </c>
      <c r="J22" s="493">
        <f>'P NP LAUT KAB'!$AF18/1000</f>
        <v>0</v>
      </c>
      <c r="K22" s="363">
        <f>'P NP LAUT KAB'!$AR18/1000</f>
        <v>0</v>
      </c>
      <c r="L22" s="267">
        <f>'P NP LAUT KAB'!$V18/1000</f>
        <v>0</v>
      </c>
      <c r="M22" s="493">
        <f>'P NP LAUT KAB'!$BR18/1000</f>
        <v>0</v>
      </c>
      <c r="N22" s="819">
        <f>SUM('P NP LAUT KAB'!$BF18/1000)</f>
        <v>0</v>
      </c>
      <c r="O22" s="267">
        <f>SUMIFS('P NP LAUT KAB'!D18:BY18,'P NP LAUT KAB'!$D$4:$BY$4,"P",'P NP LAUT KAB'!$D$1:$BY$1,"E. Cottonii")/1000</f>
        <v>0</v>
      </c>
      <c r="P22" s="264">
        <f t="shared" si="4"/>
        <v>0</v>
      </c>
      <c r="Q22" s="267">
        <f>'P NP TW'!E19/1000</f>
        <v>0</v>
      </c>
      <c r="R22" s="267">
        <f>'P NP TW'!G19/1000</f>
        <v>0</v>
      </c>
      <c r="S22" s="267">
        <f>'P NP TW'!I19/1000</f>
        <v>0</v>
      </c>
      <c r="T22" s="268">
        <f>'P NP TW'!K19/1000</f>
        <v>0</v>
      </c>
      <c r="V22" s="271"/>
      <c r="W22" s="271"/>
      <c r="X22" s="271"/>
      <c r="Y22" s="271"/>
    </row>
    <row r="23" spans="1:25">
      <c r="A23" s="260" t="s">
        <v>118</v>
      </c>
      <c r="B23" s="267">
        <f t="shared" si="1"/>
        <v>0</v>
      </c>
      <c r="C23" s="267">
        <f t="shared" si="2"/>
        <v>0</v>
      </c>
      <c r="D23" s="267">
        <f>'P NP LAUT KAB'!$D19/1000</f>
        <v>0</v>
      </c>
      <c r="E23" s="267">
        <f>'P NP LAUT KAB'!$H19/1000</f>
        <v>0</v>
      </c>
      <c r="F23" s="267">
        <f>('P NP LAUT KAB'!$X19+'P NP LAUT KAB'!$Z19)/1000</f>
        <v>0</v>
      </c>
      <c r="G23" s="267">
        <f>'P NP LAUT KAB'!$R19/1000</f>
        <v>0</v>
      </c>
      <c r="H23" s="267">
        <f>'P NP LAUT KAB'!$BP19/1000</f>
        <v>0</v>
      </c>
      <c r="I23" s="491">
        <f t="shared" si="3"/>
        <v>0</v>
      </c>
      <c r="J23" s="493">
        <f>'P NP LAUT KAB'!$AF19/1000</f>
        <v>0</v>
      </c>
      <c r="K23" s="363">
        <f>'P NP LAUT KAB'!$AR19/1000</f>
        <v>0</v>
      </c>
      <c r="L23" s="267">
        <f>'P NP LAUT KAB'!$V19/1000</f>
        <v>0</v>
      </c>
      <c r="M23" s="493">
        <f>'P NP LAUT KAB'!$BR19/1000</f>
        <v>0</v>
      </c>
      <c r="N23" s="819">
        <f>SUM('P NP LAUT KAB'!$BF19/1000)</f>
        <v>0</v>
      </c>
      <c r="O23" s="267">
        <f>SUMIFS('P NP LAUT KAB'!D19:BY19,'P NP LAUT KAB'!$D$4:$BY$4,"P",'P NP LAUT KAB'!$D$1:$BY$1,"E. Cottonii")/1000</f>
        <v>0</v>
      </c>
      <c r="P23" s="264">
        <f t="shared" si="4"/>
        <v>0</v>
      </c>
      <c r="Q23" s="267">
        <f>'P NP TW'!E20/1000</f>
        <v>0</v>
      </c>
      <c r="R23" s="267">
        <f>'P NP TW'!G20/1000</f>
        <v>0</v>
      </c>
      <c r="S23" s="267">
        <f>'P NP TW'!I20/1000</f>
        <v>0</v>
      </c>
      <c r="T23" s="268">
        <f>'P NP TW'!K20/1000</f>
        <v>0</v>
      </c>
      <c r="V23" s="271"/>
      <c r="W23" s="271"/>
      <c r="X23" s="271"/>
      <c r="Y23" s="271"/>
    </row>
    <row r="24" spans="1:25">
      <c r="A24" s="260" t="s">
        <v>127</v>
      </c>
      <c r="B24" s="267">
        <f t="shared" si="1"/>
        <v>0</v>
      </c>
      <c r="C24" s="267">
        <f t="shared" si="2"/>
        <v>0</v>
      </c>
      <c r="D24" s="267">
        <f>'P NP LAUT KAB'!$D20/1000</f>
        <v>0</v>
      </c>
      <c r="E24" s="267">
        <f>'P NP LAUT KAB'!$H20/1000</f>
        <v>0</v>
      </c>
      <c r="F24" s="267">
        <f>('P NP LAUT KAB'!$X20+'P NP LAUT KAB'!$Z20)/1000</f>
        <v>0</v>
      </c>
      <c r="G24" s="267">
        <f>'P NP LAUT KAB'!$R20/1000</f>
        <v>0</v>
      </c>
      <c r="H24" s="267">
        <f>'P NP LAUT KAB'!$BP20/1000</f>
        <v>0</v>
      </c>
      <c r="I24" s="491">
        <f t="shared" si="3"/>
        <v>0</v>
      </c>
      <c r="J24" s="493">
        <f>'P NP LAUT KAB'!$AF20/1000</f>
        <v>0</v>
      </c>
      <c r="K24" s="363">
        <f>'P NP LAUT KAB'!$AR20/1000</f>
        <v>0</v>
      </c>
      <c r="L24" s="267">
        <f>'P NP LAUT KAB'!$V20/1000</f>
        <v>0</v>
      </c>
      <c r="M24" s="493">
        <f>'P NP LAUT KAB'!$BR20/1000</f>
        <v>0</v>
      </c>
      <c r="N24" s="819">
        <f>SUM('P NP LAUT KAB'!$BF20/1000)</f>
        <v>0</v>
      </c>
      <c r="O24" s="267">
        <f>SUMIFS('P NP LAUT KAB'!D20:BY20,'P NP LAUT KAB'!$D$4:$BY$4,"P",'P NP LAUT KAB'!$D$1:$BY$1,"E. Cottonii")/1000</f>
        <v>0</v>
      </c>
      <c r="P24" s="264">
        <f t="shared" si="4"/>
        <v>0</v>
      </c>
      <c r="Q24" s="267">
        <f>'P NP TW'!E21/1000</f>
        <v>0</v>
      </c>
      <c r="R24" s="267">
        <f>'P NP TW'!G21/1000</f>
        <v>0</v>
      </c>
      <c r="S24" s="267">
        <f>'P NP TW'!I21/1000</f>
        <v>0</v>
      </c>
      <c r="T24" s="268">
        <f>'P NP TW'!K21/1000</f>
        <v>0</v>
      </c>
      <c r="V24" s="271"/>
      <c r="W24" s="271"/>
      <c r="X24" s="271"/>
      <c r="Y24" s="271"/>
    </row>
    <row r="25" spans="1:25">
      <c r="A25" s="260" t="s">
        <v>129</v>
      </c>
      <c r="B25" s="267">
        <f t="shared" si="1"/>
        <v>0</v>
      </c>
      <c r="C25" s="267">
        <f t="shared" si="2"/>
        <v>0</v>
      </c>
      <c r="D25" s="267">
        <f>'P NP LAUT KAB'!$D21/1000</f>
        <v>0</v>
      </c>
      <c r="E25" s="267">
        <f>'P NP LAUT KAB'!$H21/1000</f>
        <v>0</v>
      </c>
      <c r="F25" s="267">
        <f>('P NP LAUT KAB'!$X21+'P NP LAUT KAB'!$Z21)/1000</f>
        <v>0</v>
      </c>
      <c r="G25" s="267">
        <f>'P NP LAUT KAB'!$R21/1000</f>
        <v>0</v>
      </c>
      <c r="H25" s="267">
        <f>'P NP LAUT KAB'!$BP21/1000</f>
        <v>0</v>
      </c>
      <c r="I25" s="491">
        <f t="shared" si="3"/>
        <v>0</v>
      </c>
      <c r="J25" s="493">
        <f>'P NP LAUT KAB'!$AF21/1000</f>
        <v>0</v>
      </c>
      <c r="K25" s="363">
        <f>'P NP LAUT KAB'!$AR21/1000</f>
        <v>0</v>
      </c>
      <c r="L25" s="267">
        <f>'P NP LAUT KAB'!$V21/1000</f>
        <v>0</v>
      </c>
      <c r="M25" s="493">
        <f>'P NP LAUT KAB'!$BR21/1000</f>
        <v>0</v>
      </c>
      <c r="N25" s="819">
        <f>SUM('P NP LAUT KAB'!$BF21/1000)</f>
        <v>0</v>
      </c>
      <c r="O25" s="267">
        <f>SUMIFS('P NP LAUT KAB'!D21:BY21,'P NP LAUT KAB'!$D$4:$BY$4,"P",'P NP LAUT KAB'!$D$1:$BY$1,"E. Cottonii")/1000</f>
        <v>0</v>
      </c>
      <c r="P25" s="264">
        <f t="shared" si="4"/>
        <v>0</v>
      </c>
      <c r="Q25" s="267">
        <f>'P NP TW'!E22/1000</f>
        <v>0</v>
      </c>
      <c r="R25" s="267">
        <f>'P NP TW'!G22/1000</f>
        <v>0</v>
      </c>
      <c r="S25" s="267">
        <f>'P NP TW'!I22/1000</f>
        <v>0</v>
      </c>
      <c r="T25" s="268">
        <f>'P NP TW'!K22/1000</f>
        <v>0</v>
      </c>
      <c r="V25" s="271"/>
      <c r="W25" s="271"/>
      <c r="X25" s="271"/>
      <c r="Y25" s="271"/>
    </row>
    <row r="26" spans="1:25">
      <c r="A26" s="260" t="s">
        <v>132</v>
      </c>
      <c r="B26" s="267">
        <f t="shared" si="1"/>
        <v>0</v>
      </c>
      <c r="C26" s="267">
        <f t="shared" si="2"/>
        <v>0</v>
      </c>
      <c r="D26" s="267">
        <f>'P NP LAUT KAB'!$D22/1000</f>
        <v>0</v>
      </c>
      <c r="E26" s="267">
        <f>'P NP LAUT KAB'!$H22/1000</f>
        <v>0</v>
      </c>
      <c r="F26" s="267">
        <f>('P NP LAUT KAB'!$X22+'P NP LAUT KAB'!$Z22)/1000</f>
        <v>0</v>
      </c>
      <c r="G26" s="267">
        <f>'P NP LAUT KAB'!$R22/1000</f>
        <v>0</v>
      </c>
      <c r="H26" s="267">
        <f>'P NP LAUT KAB'!$BP22/1000</f>
        <v>0</v>
      </c>
      <c r="I26" s="491">
        <f t="shared" si="3"/>
        <v>0</v>
      </c>
      <c r="J26" s="493">
        <f>'P NP LAUT KAB'!$AF22/1000</f>
        <v>0</v>
      </c>
      <c r="K26" s="363">
        <f>'P NP LAUT KAB'!$AR22/1000</f>
        <v>0</v>
      </c>
      <c r="L26" s="267">
        <f>'P NP LAUT KAB'!$V22/1000</f>
        <v>0</v>
      </c>
      <c r="M26" s="493">
        <f>'P NP LAUT KAB'!$BR22/1000</f>
        <v>0</v>
      </c>
      <c r="N26" s="819">
        <f>SUM('P NP LAUT KAB'!$BF22/1000)</f>
        <v>0</v>
      </c>
      <c r="O26" s="267">
        <f>SUMIFS('P NP LAUT KAB'!D22:BY22,'P NP LAUT KAB'!$D$4:$BY$4,"P",'P NP LAUT KAB'!$D$1:$BY$1,"E. Cottonii")/1000</f>
        <v>0</v>
      </c>
      <c r="P26" s="264">
        <f t="shared" si="4"/>
        <v>0</v>
      </c>
      <c r="Q26" s="267">
        <f>'P NP TW'!E23/1000</f>
        <v>0</v>
      </c>
      <c r="R26" s="267">
        <f>'P NP TW'!G23/1000</f>
        <v>0</v>
      </c>
      <c r="S26" s="267">
        <f>'P NP TW'!I23/1000</f>
        <v>0</v>
      </c>
      <c r="T26" s="268">
        <f>'P NP TW'!K23/1000</f>
        <v>0</v>
      </c>
      <c r="V26" s="271"/>
      <c r="W26" s="271"/>
      <c r="X26" s="271"/>
      <c r="Y26" s="271"/>
    </row>
    <row r="27" spans="1:25">
      <c r="A27" s="260" t="s">
        <v>112</v>
      </c>
      <c r="B27" s="267">
        <f t="shared" si="1"/>
        <v>0</v>
      </c>
      <c r="C27" s="267">
        <f t="shared" si="2"/>
        <v>0</v>
      </c>
      <c r="D27" s="267">
        <f>'P NP LAUT KAB'!$D23/1000</f>
        <v>0</v>
      </c>
      <c r="E27" s="267">
        <f>'P NP LAUT KAB'!$H23/1000</f>
        <v>0</v>
      </c>
      <c r="F27" s="267">
        <f>('P NP LAUT KAB'!$X23+'P NP LAUT KAB'!$Z23)/1000</f>
        <v>0</v>
      </c>
      <c r="G27" s="267">
        <f>'P NP LAUT KAB'!$R23/1000</f>
        <v>0</v>
      </c>
      <c r="H27" s="267">
        <f>'P NP LAUT KAB'!$BP23/1000</f>
        <v>0</v>
      </c>
      <c r="I27" s="491">
        <f t="shared" si="3"/>
        <v>0</v>
      </c>
      <c r="J27" s="493">
        <f>'P NP LAUT KAB'!$AF23/1000</f>
        <v>0</v>
      </c>
      <c r="K27" s="363">
        <f>'P NP LAUT KAB'!$AR23/1000</f>
        <v>0</v>
      </c>
      <c r="L27" s="267">
        <f>'P NP LAUT KAB'!$V23/1000</f>
        <v>0</v>
      </c>
      <c r="M27" s="493">
        <f>'P NP LAUT KAB'!$BR23/1000</f>
        <v>0</v>
      </c>
      <c r="N27" s="819">
        <f>SUM('P NP LAUT KAB'!$BF23/1000)</f>
        <v>0</v>
      </c>
      <c r="O27" s="267">
        <f>SUMIFS('P NP LAUT KAB'!D23:BY23,'P NP LAUT KAB'!$D$4:$BY$4,"P",'P NP LAUT KAB'!$D$1:$BY$1,"E. Cottonii")/1000</f>
        <v>0</v>
      </c>
      <c r="P27" s="264">
        <f t="shared" si="4"/>
        <v>0</v>
      </c>
      <c r="Q27" s="267">
        <f>'P NP TW'!E24/1000</f>
        <v>0</v>
      </c>
      <c r="R27" s="267">
        <f>'P NP TW'!G24/1000</f>
        <v>0</v>
      </c>
      <c r="S27" s="267">
        <f>'P NP TW'!I24/1000</f>
        <v>0</v>
      </c>
      <c r="T27" s="268">
        <f>'P NP TW'!K24/1000</f>
        <v>0</v>
      </c>
      <c r="V27" s="271"/>
      <c r="W27" s="271"/>
      <c r="X27" s="271"/>
      <c r="Y27" s="271"/>
    </row>
    <row r="28" spans="1:25">
      <c r="A28" s="260" t="s">
        <v>139</v>
      </c>
      <c r="B28" s="267">
        <f t="shared" si="1"/>
        <v>0</v>
      </c>
      <c r="C28" s="267">
        <f t="shared" si="2"/>
        <v>0</v>
      </c>
      <c r="D28" s="267">
        <f>'P NP LAUT KAB'!$D24/1000</f>
        <v>0</v>
      </c>
      <c r="E28" s="267">
        <f>'P NP LAUT KAB'!$H24/1000</f>
        <v>0</v>
      </c>
      <c r="F28" s="267">
        <f>('P NP LAUT KAB'!$X24+'P NP LAUT KAB'!$Z24)/1000</f>
        <v>0</v>
      </c>
      <c r="G28" s="267">
        <f>'P NP LAUT KAB'!$R24/1000</f>
        <v>0</v>
      </c>
      <c r="H28" s="267">
        <f>'P NP LAUT KAB'!$BP24/1000</f>
        <v>0</v>
      </c>
      <c r="I28" s="491">
        <f t="shared" si="3"/>
        <v>0</v>
      </c>
      <c r="J28" s="493">
        <f>'P NP LAUT KAB'!$AF24/1000</f>
        <v>0</v>
      </c>
      <c r="K28" s="363">
        <f>'P NP LAUT KAB'!$AR24/1000</f>
        <v>0</v>
      </c>
      <c r="L28" s="267">
        <f>'P NP LAUT KAB'!$V24/1000</f>
        <v>0</v>
      </c>
      <c r="M28" s="493">
        <f>'P NP LAUT KAB'!$BR24/1000</f>
        <v>0</v>
      </c>
      <c r="N28" s="819">
        <f>SUM('P NP LAUT KAB'!$BF24/1000)</f>
        <v>0</v>
      </c>
      <c r="O28" s="267">
        <f>SUMIFS('P NP LAUT KAB'!D24:BY24,'P NP LAUT KAB'!$D$4:$BY$4,"P",'P NP LAUT KAB'!$D$1:$BY$1,"E. Cottonii")/1000</f>
        <v>0</v>
      </c>
      <c r="P28" s="264">
        <f t="shared" si="4"/>
        <v>0</v>
      </c>
      <c r="Q28" s="267">
        <f>'P NP TW'!E25/1000</f>
        <v>0</v>
      </c>
      <c r="R28" s="267">
        <f>'P NP TW'!G25/1000</f>
        <v>0</v>
      </c>
      <c r="S28" s="267">
        <f>'P NP TW'!I25/1000</f>
        <v>0</v>
      </c>
      <c r="T28" s="268">
        <f>'P NP TW'!K25/1000</f>
        <v>0</v>
      </c>
      <c r="V28" s="271"/>
      <c r="W28" s="271"/>
      <c r="X28" s="271"/>
      <c r="Y28" s="271"/>
    </row>
    <row r="29" spans="1:25">
      <c r="A29" s="260" t="s">
        <v>125</v>
      </c>
      <c r="B29" s="267">
        <f t="shared" si="1"/>
        <v>0</v>
      </c>
      <c r="C29" s="267">
        <f t="shared" si="2"/>
        <v>0</v>
      </c>
      <c r="D29" s="267">
        <f>'P NP LAUT KAB'!$D25/1000</f>
        <v>0</v>
      </c>
      <c r="E29" s="267">
        <f>'P NP LAUT KAB'!$H25/1000</f>
        <v>0</v>
      </c>
      <c r="F29" s="267">
        <f>('P NP LAUT KAB'!$X25+'P NP LAUT KAB'!$Z25)/1000</f>
        <v>0</v>
      </c>
      <c r="G29" s="267">
        <f>'P NP LAUT KAB'!$R25/1000</f>
        <v>0</v>
      </c>
      <c r="H29" s="267">
        <f>'P NP LAUT KAB'!$BP25/1000</f>
        <v>0</v>
      </c>
      <c r="I29" s="491">
        <f t="shared" si="3"/>
        <v>0</v>
      </c>
      <c r="J29" s="493">
        <f>'P NP LAUT KAB'!$AF25/1000</f>
        <v>0</v>
      </c>
      <c r="K29" s="363">
        <f>'P NP LAUT KAB'!$AR25/1000</f>
        <v>0</v>
      </c>
      <c r="L29" s="267">
        <f>'P NP LAUT KAB'!$V25/1000</f>
        <v>0</v>
      </c>
      <c r="M29" s="493">
        <f>'P NP LAUT KAB'!$BR25/1000</f>
        <v>0</v>
      </c>
      <c r="N29" s="819">
        <f>SUM('P NP LAUT KAB'!$BF25/1000)</f>
        <v>0</v>
      </c>
      <c r="O29" s="267">
        <f>SUMIFS('P NP LAUT KAB'!D25:BY25,'P NP LAUT KAB'!$D$4:$BY$4,"P",'P NP LAUT KAB'!$D$1:$BY$1,"E. Cottonii")/1000</f>
        <v>0</v>
      </c>
      <c r="P29" s="264">
        <f t="shared" si="4"/>
        <v>0</v>
      </c>
      <c r="Q29" s="267">
        <f>'P NP TW'!E26/1000</f>
        <v>0</v>
      </c>
      <c r="R29" s="267">
        <f>'P NP TW'!G26/1000</f>
        <v>0</v>
      </c>
      <c r="S29" s="267">
        <f>'P NP TW'!I26/1000</f>
        <v>0</v>
      </c>
      <c r="T29" s="268">
        <f>'P NP TW'!K26/1000</f>
        <v>0</v>
      </c>
      <c r="V29" s="271"/>
      <c r="W29" s="271"/>
      <c r="X29" s="271"/>
      <c r="Y29" s="271"/>
    </row>
    <row r="30" spans="1:25">
      <c r="A30" s="260" t="s">
        <v>113</v>
      </c>
      <c r="B30" s="267">
        <f t="shared" si="1"/>
        <v>0</v>
      </c>
      <c r="C30" s="267">
        <f t="shared" si="2"/>
        <v>0</v>
      </c>
      <c r="D30" s="267">
        <f>'P NP LAUT KAB'!$D26/1000</f>
        <v>0</v>
      </c>
      <c r="E30" s="267">
        <f>'P NP LAUT KAB'!$H26/1000</f>
        <v>0</v>
      </c>
      <c r="F30" s="267">
        <f>('P NP LAUT KAB'!$X26+'P NP LAUT KAB'!$Z26)/1000</f>
        <v>0</v>
      </c>
      <c r="G30" s="267">
        <f>'P NP LAUT KAB'!$R26/1000</f>
        <v>0</v>
      </c>
      <c r="H30" s="267">
        <f>'P NP LAUT KAB'!$BP26/1000</f>
        <v>0</v>
      </c>
      <c r="I30" s="491">
        <f t="shared" si="3"/>
        <v>0</v>
      </c>
      <c r="J30" s="493">
        <f>'P NP LAUT KAB'!$AF26/1000</f>
        <v>0</v>
      </c>
      <c r="K30" s="363">
        <f>'P NP LAUT KAB'!$AR26/1000</f>
        <v>0</v>
      </c>
      <c r="L30" s="267">
        <f>'P NP LAUT KAB'!$V26/1000</f>
        <v>0</v>
      </c>
      <c r="M30" s="493">
        <f>'P NP LAUT KAB'!$BR26/1000</f>
        <v>0</v>
      </c>
      <c r="N30" s="819">
        <f>SUM('P NP LAUT KAB'!$BF26/1000)</f>
        <v>0</v>
      </c>
      <c r="O30" s="267">
        <f>SUMIFS('P NP LAUT KAB'!D26:BY26,'P NP LAUT KAB'!$D$4:$BY$4,"P",'P NP LAUT KAB'!$D$1:$BY$1,"E. Cottonii")/1000</f>
        <v>0</v>
      </c>
      <c r="P30" s="264">
        <f t="shared" si="4"/>
        <v>0</v>
      </c>
      <c r="Q30" s="267">
        <f>'P NP TW'!E27/1000</f>
        <v>0</v>
      </c>
      <c r="R30" s="267">
        <f>'P NP TW'!G27/1000</f>
        <v>0</v>
      </c>
      <c r="S30" s="267">
        <f>'P NP TW'!I27/1000</f>
        <v>0</v>
      </c>
      <c r="T30" s="268">
        <f>'P NP TW'!K27/1000</f>
        <v>0</v>
      </c>
      <c r="V30" s="271"/>
      <c r="W30" s="271"/>
      <c r="X30" s="271"/>
      <c r="Y30" s="271"/>
    </row>
    <row r="31" spans="1:25">
      <c r="A31" s="260" t="s">
        <v>124</v>
      </c>
      <c r="B31" s="267">
        <f t="shared" si="1"/>
        <v>435.15</v>
      </c>
      <c r="C31" s="267">
        <f t="shared" si="2"/>
        <v>435.15</v>
      </c>
      <c r="D31" s="267">
        <f>'P NP LAUT KAB'!$D27/1000</f>
        <v>0</v>
      </c>
      <c r="E31" s="267">
        <f>'P NP LAUT KAB'!$H27/1000</f>
        <v>0</v>
      </c>
      <c r="F31" s="267">
        <f>('P NP LAUT KAB'!$X27+'P NP LAUT KAB'!$Z27)/1000</f>
        <v>435.15</v>
      </c>
      <c r="G31" s="267">
        <f>'P NP LAUT KAB'!$R27/1000</f>
        <v>0</v>
      </c>
      <c r="H31" s="267">
        <f>'P NP LAUT KAB'!$BP27/1000</f>
        <v>0</v>
      </c>
      <c r="I31" s="491">
        <f t="shared" si="3"/>
        <v>0</v>
      </c>
      <c r="J31" s="493">
        <f>'P NP LAUT KAB'!$AF27/1000</f>
        <v>0</v>
      </c>
      <c r="K31" s="363">
        <f>'P NP LAUT KAB'!$AR27/1000</f>
        <v>0</v>
      </c>
      <c r="L31" s="267">
        <f>'P NP LAUT KAB'!$V27/1000</f>
        <v>0</v>
      </c>
      <c r="M31" s="493">
        <f>'P NP LAUT KAB'!$BR27/1000</f>
        <v>0</v>
      </c>
      <c r="N31" s="819">
        <f>SUM('P NP LAUT KAB'!$BF27/1000)</f>
        <v>0</v>
      </c>
      <c r="O31" s="267">
        <f>SUMIFS('P NP LAUT KAB'!D27:BY27,'P NP LAUT KAB'!$D$4:$BY$4,"P",'P NP LAUT KAB'!$D$1:$BY$1,"E. Cottonii")/1000</f>
        <v>0</v>
      </c>
      <c r="P31" s="264">
        <f t="shared" si="4"/>
        <v>435.15</v>
      </c>
      <c r="Q31" s="267">
        <f>'P NP TW'!E28/1000</f>
        <v>97.8</v>
      </c>
      <c r="R31" s="267">
        <f>'P NP TW'!G28/1000</f>
        <v>89.6</v>
      </c>
      <c r="S31" s="267">
        <f>'P NP TW'!I28/1000</f>
        <v>88.65</v>
      </c>
      <c r="T31" s="268">
        <f>'P NP TW'!K28/1000</f>
        <v>159.1</v>
      </c>
      <c r="V31" s="271"/>
      <c r="W31" s="271"/>
      <c r="X31" s="271"/>
      <c r="Y31" s="271"/>
    </row>
    <row r="32" spans="1:25">
      <c r="A32" s="260" t="s">
        <v>138</v>
      </c>
      <c r="B32" s="267">
        <f t="shared" si="1"/>
        <v>0</v>
      </c>
      <c r="C32" s="267">
        <f t="shared" si="2"/>
        <v>0</v>
      </c>
      <c r="D32" s="267">
        <f>'P NP LAUT KAB'!$D28/1000</f>
        <v>0</v>
      </c>
      <c r="E32" s="267">
        <f>'P NP LAUT KAB'!$H28/1000</f>
        <v>0</v>
      </c>
      <c r="F32" s="267">
        <f>('P NP LAUT KAB'!$X28+'P NP LAUT KAB'!$Z28)/1000</f>
        <v>0</v>
      </c>
      <c r="G32" s="267">
        <f>'P NP LAUT KAB'!$R28/1000</f>
        <v>0</v>
      </c>
      <c r="H32" s="267">
        <f>'P NP LAUT KAB'!$BP28/1000</f>
        <v>0</v>
      </c>
      <c r="I32" s="491">
        <f t="shared" si="3"/>
        <v>0</v>
      </c>
      <c r="J32" s="493">
        <f>'P NP LAUT KAB'!$AF28/1000</f>
        <v>0</v>
      </c>
      <c r="K32" s="363">
        <f>'P NP LAUT KAB'!$AR28/1000</f>
        <v>0</v>
      </c>
      <c r="L32" s="267">
        <f>'P NP LAUT KAB'!$V28/1000</f>
        <v>0</v>
      </c>
      <c r="M32" s="493">
        <f>'P NP LAUT KAB'!$BR28/1000</f>
        <v>0</v>
      </c>
      <c r="N32" s="819">
        <f>SUM('P NP LAUT KAB'!$BF28/1000)</f>
        <v>0</v>
      </c>
      <c r="O32" s="267">
        <f>SUMIFS('P NP LAUT KAB'!D28:BY28,'P NP LAUT KAB'!$D$4:$BY$4,"P",'P NP LAUT KAB'!$D$1:$BY$1,"E. Cottonii")/1000</f>
        <v>0</v>
      </c>
      <c r="P32" s="264">
        <f t="shared" si="4"/>
        <v>0</v>
      </c>
      <c r="Q32" s="267">
        <f>'P NP TW'!E29/1000</f>
        <v>0</v>
      </c>
      <c r="R32" s="267">
        <f>'P NP TW'!G29/1000</f>
        <v>0</v>
      </c>
      <c r="S32" s="267">
        <f>'P NP TW'!I29/1000</f>
        <v>0</v>
      </c>
      <c r="T32" s="268">
        <f>'P NP TW'!K29/1000</f>
        <v>0</v>
      </c>
      <c r="V32" s="271"/>
      <c r="W32" s="271"/>
      <c r="X32" s="271"/>
      <c r="Y32" s="271"/>
    </row>
    <row r="33" spans="1:25">
      <c r="A33" s="260" t="s">
        <v>126</v>
      </c>
      <c r="B33" s="267">
        <f t="shared" si="1"/>
        <v>0</v>
      </c>
      <c r="C33" s="267">
        <f t="shared" si="2"/>
        <v>0</v>
      </c>
      <c r="D33" s="267">
        <f>'P NP LAUT KAB'!$D29/1000</f>
        <v>0</v>
      </c>
      <c r="E33" s="267">
        <f>'P NP LAUT KAB'!$H29/1000</f>
        <v>0</v>
      </c>
      <c r="F33" s="267">
        <f>('P NP LAUT KAB'!$X29+'P NP LAUT KAB'!$Z29)/1000</f>
        <v>0</v>
      </c>
      <c r="G33" s="267">
        <f>'P NP LAUT KAB'!$R29/1000</f>
        <v>0</v>
      </c>
      <c r="H33" s="267">
        <f>'P NP LAUT KAB'!$BP29/1000</f>
        <v>0</v>
      </c>
      <c r="I33" s="491">
        <f t="shared" si="3"/>
        <v>0</v>
      </c>
      <c r="J33" s="493">
        <f>'P NP LAUT KAB'!$AF29/1000</f>
        <v>0</v>
      </c>
      <c r="K33" s="363">
        <f>'P NP LAUT KAB'!$AR29/1000</f>
        <v>0</v>
      </c>
      <c r="L33" s="267">
        <f>'P NP LAUT KAB'!$V29/1000</f>
        <v>0</v>
      </c>
      <c r="M33" s="493">
        <f>'P NP LAUT KAB'!$BR29/1000</f>
        <v>0</v>
      </c>
      <c r="N33" s="819">
        <f>SUM('P NP LAUT KAB'!$BF29/1000)</f>
        <v>0</v>
      </c>
      <c r="O33" s="267">
        <f>SUMIFS('P NP LAUT KAB'!D29:BY29,'P NP LAUT KAB'!$D$4:$BY$4,"P",'P NP LAUT KAB'!$D$1:$BY$1,"E. Cottonii")/1000</f>
        <v>0</v>
      </c>
      <c r="P33" s="264">
        <f t="shared" si="4"/>
        <v>0</v>
      </c>
      <c r="Q33" s="267">
        <f>'P NP TW'!E30/1000</f>
        <v>0</v>
      </c>
      <c r="R33" s="267">
        <f>'P NP TW'!G30/1000</f>
        <v>0</v>
      </c>
      <c r="S33" s="267">
        <f>'P NP TW'!I30/1000</f>
        <v>0</v>
      </c>
      <c r="T33" s="268">
        <f>'P NP TW'!K30/1000</f>
        <v>0</v>
      </c>
      <c r="V33" s="271"/>
      <c r="W33" s="271"/>
      <c r="X33" s="271"/>
      <c r="Y33" s="271"/>
    </row>
    <row r="34" spans="1:25">
      <c r="A34" s="260" t="s">
        <v>123</v>
      </c>
      <c r="B34" s="267">
        <f t="shared" si="1"/>
        <v>59.274999999999999</v>
      </c>
      <c r="C34" s="267">
        <f t="shared" si="2"/>
        <v>9.7749999999999986</v>
      </c>
      <c r="D34" s="267">
        <f>'P NP LAUT KAB'!$D30/1000</f>
        <v>1.31</v>
      </c>
      <c r="E34" s="267">
        <f>'P NP LAUT KAB'!$H30/1000</f>
        <v>0</v>
      </c>
      <c r="F34" s="267">
        <f>('P NP LAUT KAB'!$X30+'P NP LAUT KAB'!$Z30)/1000</f>
        <v>5.8</v>
      </c>
      <c r="G34" s="267">
        <f>'P NP LAUT KAB'!$R30/1000</f>
        <v>2.665</v>
      </c>
      <c r="H34" s="267">
        <f>'P NP LAUT KAB'!$BP30/1000</f>
        <v>0</v>
      </c>
      <c r="I34" s="491">
        <f t="shared" si="3"/>
        <v>49.5</v>
      </c>
      <c r="J34" s="493">
        <f>'P NP LAUT KAB'!$AF30/1000</f>
        <v>2.56</v>
      </c>
      <c r="K34" s="363">
        <f>'P NP LAUT KAB'!$AR30/1000</f>
        <v>0</v>
      </c>
      <c r="L34" s="267">
        <f>'P NP LAUT KAB'!$V30/1000</f>
        <v>0</v>
      </c>
      <c r="M34" s="493">
        <f>'P NP LAUT KAB'!$BR30/1000</f>
        <v>0</v>
      </c>
      <c r="N34" s="819">
        <f>SUM('P NP LAUT KAB'!$BF30/1000)</f>
        <v>0</v>
      </c>
      <c r="O34" s="267">
        <f>SUMIFS('P NP LAUT KAB'!D30:BY30,'P NP LAUT KAB'!$D$4:$BY$4,"P",'P NP LAUT KAB'!$D$1:$BY$1,"E. Cottonii")/1000</f>
        <v>46.94</v>
      </c>
      <c r="P34" s="264">
        <f t="shared" si="4"/>
        <v>59.275000000000006</v>
      </c>
      <c r="Q34" s="267">
        <f>'P NP TW'!E31/1000</f>
        <v>11.275</v>
      </c>
      <c r="R34" s="267">
        <f>'P NP TW'!G31/1000</f>
        <v>10.47</v>
      </c>
      <c r="S34" s="267">
        <f>'P NP TW'!I31/1000</f>
        <v>14.58</v>
      </c>
      <c r="T34" s="268">
        <f>'P NP TW'!K31/1000</f>
        <v>22.95</v>
      </c>
      <c r="V34" s="271"/>
      <c r="W34" s="271"/>
      <c r="X34" s="271"/>
      <c r="Y34" s="271"/>
    </row>
    <row r="35" spans="1:25">
      <c r="A35" s="260" t="s">
        <v>140</v>
      </c>
      <c r="B35" s="267">
        <f t="shared" si="1"/>
        <v>760127.18599999999</v>
      </c>
      <c r="C35" s="267">
        <f t="shared" si="2"/>
        <v>291.245</v>
      </c>
      <c r="D35" s="267">
        <f>'P NP LAUT KAB'!$D31/1000</f>
        <v>0</v>
      </c>
      <c r="E35" s="267">
        <f>'P NP LAUT KAB'!$H31/1000</f>
        <v>0</v>
      </c>
      <c r="F35" s="267">
        <f>('P NP LAUT KAB'!$X31+'P NP LAUT KAB'!$Z31)/1000</f>
        <v>291.245</v>
      </c>
      <c r="G35" s="267">
        <f>'P NP LAUT KAB'!$R31/1000</f>
        <v>0</v>
      </c>
      <c r="H35" s="267">
        <f>'P NP LAUT KAB'!$BP31/1000</f>
        <v>0</v>
      </c>
      <c r="I35" s="491">
        <f t="shared" si="3"/>
        <v>759835.94099999999</v>
      </c>
      <c r="J35" s="493">
        <f>'P NP LAUT KAB'!$AF31/1000</f>
        <v>0</v>
      </c>
      <c r="K35" s="363">
        <f>'P NP LAUT KAB'!$AR31/1000</f>
        <v>0</v>
      </c>
      <c r="L35" s="267">
        <f>'P NP LAUT KAB'!$V31/1000</f>
        <v>0</v>
      </c>
      <c r="M35" s="493">
        <f>'P NP LAUT KAB'!$BR31/1000</f>
        <v>0</v>
      </c>
      <c r="N35" s="819">
        <f>SUM('P NP LAUT KAB'!$BF31/1000)</f>
        <v>0</v>
      </c>
      <c r="O35" s="267">
        <f>SUMIFS('P NP LAUT KAB'!D31:BY31,'P NP LAUT KAB'!$D$4:$BY$4,"P",'P NP LAUT KAB'!$D$1:$BY$1,"E. Cottonii")/1000</f>
        <v>759835.94099999999</v>
      </c>
      <c r="P35" s="264">
        <f t="shared" si="4"/>
        <v>760127.18599999999</v>
      </c>
      <c r="Q35" s="267">
        <f>'P NP TW'!E32/1000</f>
        <v>155167.29999999999</v>
      </c>
      <c r="R35" s="267">
        <f>'P NP TW'!G32/1000</f>
        <v>168023.28400000001</v>
      </c>
      <c r="S35" s="267">
        <f>'P NP TW'!I32/1000</f>
        <v>222997.00200000001</v>
      </c>
      <c r="T35" s="268">
        <f>'P NP TW'!K32/1000</f>
        <v>213939.6</v>
      </c>
      <c r="V35" s="271"/>
      <c r="W35" s="271"/>
      <c r="X35" s="271"/>
      <c r="Y35" s="271"/>
    </row>
    <row r="36" spans="1:25">
      <c r="A36" s="260" t="s">
        <v>114</v>
      </c>
      <c r="B36" s="267">
        <f t="shared" si="1"/>
        <v>2.0089999999999999</v>
      </c>
      <c r="C36" s="267">
        <f t="shared" si="2"/>
        <v>1.546</v>
      </c>
      <c r="D36" s="267">
        <f>'P NP LAUT KAB'!$D32/1000</f>
        <v>0</v>
      </c>
      <c r="E36" s="267">
        <f>'P NP LAUT KAB'!$H32/1000</f>
        <v>0</v>
      </c>
      <c r="F36" s="267">
        <f>('P NP LAUT KAB'!$X32+'P NP LAUT KAB'!$Z32)/1000</f>
        <v>1.546</v>
      </c>
      <c r="G36" s="267">
        <f>'P NP LAUT KAB'!$R32/1000</f>
        <v>0</v>
      </c>
      <c r="H36" s="267">
        <f>'P NP LAUT KAB'!$BP32/1000</f>
        <v>0</v>
      </c>
      <c r="I36" s="491">
        <f t="shared" si="3"/>
        <v>0.46300000000000002</v>
      </c>
      <c r="J36" s="493">
        <f>'P NP LAUT KAB'!$AF32/1000</f>
        <v>0.46300000000000002</v>
      </c>
      <c r="K36" s="363">
        <f>'P NP LAUT KAB'!$AR32/1000</f>
        <v>0</v>
      </c>
      <c r="L36" s="267">
        <f>'P NP LAUT KAB'!$V32/1000</f>
        <v>0</v>
      </c>
      <c r="M36" s="493">
        <f>'P NP LAUT KAB'!$BR32/1000</f>
        <v>0</v>
      </c>
      <c r="N36" s="819">
        <f>SUM('P NP LAUT KAB'!$BF32/1000)</f>
        <v>0</v>
      </c>
      <c r="O36" s="267">
        <f>SUMIFS('P NP LAUT KAB'!D32:BY32,'P NP LAUT KAB'!$D$4:$BY$4,"P",'P NP LAUT KAB'!$D$1:$BY$1,"E. Cottonii")/1000</f>
        <v>0</v>
      </c>
      <c r="P36" s="264">
        <f t="shared" si="4"/>
        <v>2.0089999999999999</v>
      </c>
      <c r="Q36" s="267">
        <f>'P NP TW'!E33/1000</f>
        <v>0.67800000000000005</v>
      </c>
      <c r="R36" s="267">
        <f>'P NP TW'!G33/1000</f>
        <v>0.441</v>
      </c>
      <c r="S36" s="267">
        <f>'P NP TW'!I33/1000</f>
        <v>0.70499999999999996</v>
      </c>
      <c r="T36" s="268">
        <f>'P NP TW'!K33/1000</f>
        <v>0.185</v>
      </c>
      <c r="V36" s="271">
        <v>0</v>
      </c>
      <c r="W36" s="271">
        <v>0</v>
      </c>
      <c r="X36" s="271">
        <v>0</v>
      </c>
      <c r="Y36" s="271">
        <v>0</v>
      </c>
    </row>
    <row r="37" spans="1:25">
      <c r="A37" s="260" t="s">
        <v>134</v>
      </c>
      <c r="B37" s="267">
        <f t="shared" si="1"/>
        <v>2.6</v>
      </c>
      <c r="C37" s="267">
        <f t="shared" si="2"/>
        <v>2.6</v>
      </c>
      <c r="D37" s="267">
        <f>'P NP LAUT KAB'!$D33/1000</f>
        <v>0</v>
      </c>
      <c r="E37" s="267">
        <f>'P NP LAUT KAB'!$H33/1000</f>
        <v>0</v>
      </c>
      <c r="F37" s="267">
        <f>('P NP LAUT KAB'!$X33+'P NP LAUT KAB'!$Z33)/1000</f>
        <v>2.6</v>
      </c>
      <c r="G37" s="267">
        <f>'P NP LAUT KAB'!$R33/1000</f>
        <v>0</v>
      </c>
      <c r="H37" s="267">
        <f>'P NP LAUT KAB'!$BP33/1000</f>
        <v>0</v>
      </c>
      <c r="I37" s="491">
        <f t="shared" si="3"/>
        <v>0</v>
      </c>
      <c r="J37" s="493">
        <f>'P NP LAUT KAB'!$AF33/1000</f>
        <v>0</v>
      </c>
      <c r="K37" s="363">
        <f>'P NP LAUT KAB'!$AR33/1000</f>
        <v>0</v>
      </c>
      <c r="L37" s="267">
        <f>'P NP LAUT KAB'!$V33/1000</f>
        <v>0</v>
      </c>
      <c r="M37" s="493">
        <f>'P NP LAUT KAB'!$BR33/1000</f>
        <v>0</v>
      </c>
      <c r="N37" s="819">
        <f>SUM('P NP LAUT KAB'!$BF33/1000)</f>
        <v>0</v>
      </c>
      <c r="O37" s="267">
        <f>SUMIFS('P NP LAUT KAB'!D33:BY33,'P NP LAUT KAB'!$D$4:$BY$4,"P",'P NP LAUT KAB'!$D$1:$BY$1,"E. Cottonii")/1000</f>
        <v>0</v>
      </c>
      <c r="P37" s="264">
        <f t="shared" si="4"/>
        <v>2.6</v>
      </c>
      <c r="Q37" s="267">
        <f>'P NP TW'!E34/1000</f>
        <v>0.28000000000000003</v>
      </c>
      <c r="R37" s="267">
        <f>'P NP TW'!G34/1000</f>
        <v>0.5</v>
      </c>
      <c r="S37" s="267">
        <f>'P NP TW'!I34/1000</f>
        <v>0.56999999999999995</v>
      </c>
      <c r="T37" s="268">
        <f>'P NP TW'!K34/1000</f>
        <v>1.25</v>
      </c>
      <c r="V37" s="271">
        <v>0</v>
      </c>
      <c r="W37" s="271">
        <v>0</v>
      </c>
      <c r="X37" s="271">
        <v>0</v>
      </c>
      <c r="Y37" s="271">
        <v>0</v>
      </c>
    </row>
    <row r="38" spans="1:25">
      <c r="A38" s="260" t="s">
        <v>115</v>
      </c>
      <c r="B38" s="267">
        <f t="shared" si="1"/>
        <v>0</v>
      </c>
      <c r="C38" s="267">
        <f t="shared" si="2"/>
        <v>0</v>
      </c>
      <c r="D38" s="267">
        <f>'P NP LAUT KAB'!$D34/1000</f>
        <v>0</v>
      </c>
      <c r="E38" s="267">
        <f>'P NP LAUT KAB'!$H34/1000</f>
        <v>0</v>
      </c>
      <c r="F38" s="267">
        <f>('P NP LAUT KAB'!$X34+'P NP LAUT KAB'!$Z34)/1000</f>
        <v>0</v>
      </c>
      <c r="G38" s="267">
        <f>'P NP LAUT KAB'!$R34/1000</f>
        <v>0</v>
      </c>
      <c r="H38" s="267">
        <f>'P NP LAUT KAB'!$BP34/1000</f>
        <v>0</v>
      </c>
      <c r="I38" s="491">
        <f t="shared" si="3"/>
        <v>0</v>
      </c>
      <c r="J38" s="493">
        <f>'P NP LAUT KAB'!$AF34/1000</f>
        <v>0</v>
      </c>
      <c r="K38" s="363">
        <f>'P NP LAUT KAB'!$AR34/1000</f>
        <v>0</v>
      </c>
      <c r="L38" s="267">
        <f>'P NP LAUT KAB'!$V34/1000</f>
        <v>0</v>
      </c>
      <c r="M38" s="493">
        <f>'P NP LAUT KAB'!$BR34/1000</f>
        <v>0</v>
      </c>
      <c r="N38" s="819">
        <f>SUM('P NP LAUT KAB'!$BF34/1000)</f>
        <v>0</v>
      </c>
      <c r="O38" s="267">
        <f>SUMIFS('P NP LAUT KAB'!D34:BY34,'P NP LAUT KAB'!$D$4:$BY$4,"P",'P NP LAUT KAB'!$D$1:$BY$1,"E. Cottonii")/1000</f>
        <v>0</v>
      </c>
      <c r="P38" s="264">
        <f t="shared" si="4"/>
        <v>0</v>
      </c>
      <c r="Q38" s="267">
        <f>'P NP TW'!E35/1000</f>
        <v>0</v>
      </c>
      <c r="R38" s="267">
        <f>'P NP TW'!G35/1000</f>
        <v>0</v>
      </c>
      <c r="S38" s="267">
        <f>'P NP TW'!I35/1000</f>
        <v>0</v>
      </c>
      <c r="T38" s="268">
        <f>'P NP TW'!K35/1000</f>
        <v>0</v>
      </c>
      <c r="V38" s="271">
        <v>0</v>
      </c>
      <c r="W38" s="271">
        <v>0</v>
      </c>
      <c r="X38" s="271">
        <v>0</v>
      </c>
      <c r="Y38" s="271">
        <v>0</v>
      </c>
    </row>
    <row r="39" spans="1:25">
      <c r="A39" s="260" t="s">
        <v>149</v>
      </c>
      <c r="B39" s="267">
        <f t="shared" si="1"/>
        <v>0</v>
      </c>
      <c r="C39" s="267">
        <f t="shared" si="2"/>
        <v>0</v>
      </c>
      <c r="D39" s="267">
        <f>'P NP LAUT KAB'!$D35/1000</f>
        <v>0</v>
      </c>
      <c r="E39" s="267">
        <f>'P NP LAUT KAB'!$H35/1000</f>
        <v>0</v>
      </c>
      <c r="F39" s="267">
        <f>('P NP LAUT KAB'!$X35+'P NP LAUT KAB'!$Z35)/1000</f>
        <v>0</v>
      </c>
      <c r="G39" s="267">
        <f>'P NP LAUT KAB'!$R35/1000</f>
        <v>0</v>
      </c>
      <c r="H39" s="267">
        <f>'P NP LAUT KAB'!$BP35/1000</f>
        <v>0</v>
      </c>
      <c r="I39" s="491">
        <f t="shared" si="3"/>
        <v>0</v>
      </c>
      <c r="J39" s="493">
        <f>'P NP LAUT KAB'!$AF35/1000</f>
        <v>0</v>
      </c>
      <c r="K39" s="363">
        <f>'P NP LAUT KAB'!$AR35/1000</f>
        <v>0</v>
      </c>
      <c r="L39" s="267">
        <f>'P NP LAUT KAB'!$V35/1000</f>
        <v>0</v>
      </c>
      <c r="M39" s="493">
        <f>'P NP LAUT KAB'!$BR35/1000</f>
        <v>0</v>
      </c>
      <c r="N39" s="819">
        <f>SUM('P NP LAUT KAB'!$BF35/1000)</f>
        <v>0</v>
      </c>
      <c r="O39" s="267">
        <f>SUMIFS('P NP LAUT KAB'!D35:BY35,'P NP LAUT KAB'!$D$4:$BY$4,"P",'P NP LAUT KAB'!$D$1:$BY$1,"E. Cottonii")/1000</f>
        <v>0</v>
      </c>
      <c r="P39" s="264">
        <f t="shared" si="4"/>
        <v>0</v>
      </c>
      <c r="Q39" s="267">
        <f>'P NP TW'!E36/1000</f>
        <v>0</v>
      </c>
      <c r="R39" s="267">
        <f>'P NP TW'!G36/1000</f>
        <v>0</v>
      </c>
      <c r="S39" s="267">
        <f>'P NP TW'!I36/1000</f>
        <v>0</v>
      </c>
      <c r="T39" s="268">
        <f>'P NP TW'!K36/1000</f>
        <v>0</v>
      </c>
      <c r="V39" s="271">
        <v>0</v>
      </c>
      <c r="W39" s="271">
        <v>0</v>
      </c>
      <c r="X39" s="271">
        <v>0</v>
      </c>
      <c r="Y39" s="271">
        <v>0</v>
      </c>
    </row>
    <row r="40" spans="1:25">
      <c r="A40" s="260" t="s">
        <v>142</v>
      </c>
      <c r="B40" s="267">
        <f t="shared" si="1"/>
        <v>0</v>
      </c>
      <c r="C40" s="267">
        <f t="shared" si="2"/>
        <v>0</v>
      </c>
      <c r="D40" s="267">
        <f>'P NP LAUT KAB'!$D36/1000</f>
        <v>0</v>
      </c>
      <c r="E40" s="267">
        <f>'P NP LAUT KAB'!$H36/1000</f>
        <v>0</v>
      </c>
      <c r="F40" s="267">
        <f>('P NP LAUT KAB'!$X36+'P NP LAUT KAB'!$Z36)/1000</f>
        <v>0</v>
      </c>
      <c r="G40" s="267">
        <f>'P NP LAUT KAB'!$R36/1000</f>
        <v>0</v>
      </c>
      <c r="H40" s="267">
        <f>'P NP LAUT KAB'!$BP36/1000</f>
        <v>0</v>
      </c>
      <c r="I40" s="491">
        <f t="shared" si="3"/>
        <v>0</v>
      </c>
      <c r="J40" s="493">
        <f>'P NP LAUT KAB'!$AF36/1000</f>
        <v>0</v>
      </c>
      <c r="K40" s="363">
        <f>'P NP LAUT KAB'!$AR36/1000</f>
        <v>0</v>
      </c>
      <c r="L40" s="267">
        <f>'P NP LAUT KAB'!$V36/1000</f>
        <v>0</v>
      </c>
      <c r="M40" s="493">
        <f>'P NP LAUT KAB'!$BR36/1000</f>
        <v>0</v>
      </c>
      <c r="N40" s="819">
        <f>SUM('P NP LAUT KAB'!$BF36/1000)</f>
        <v>0</v>
      </c>
      <c r="O40" s="267">
        <f>SUMIFS('P NP LAUT KAB'!D36:BY36,'P NP LAUT KAB'!$D$4:$BY$4,"P",'P NP LAUT KAB'!$D$1:$BY$1,"E. Cottonii")/1000</f>
        <v>0</v>
      </c>
      <c r="P40" s="264">
        <f t="shared" si="4"/>
        <v>0</v>
      </c>
      <c r="Q40" s="267">
        <f>'P NP TW'!E37/1000</f>
        <v>0</v>
      </c>
      <c r="R40" s="267">
        <f>'P NP TW'!G37/1000</f>
        <v>0</v>
      </c>
      <c r="S40" s="267">
        <f>'P NP TW'!I37/1000</f>
        <v>0</v>
      </c>
      <c r="T40" s="268">
        <f>'P NP TW'!K37/1000</f>
        <v>0</v>
      </c>
      <c r="V40" s="271">
        <v>0</v>
      </c>
      <c r="W40" s="271">
        <v>0</v>
      </c>
      <c r="X40" s="271">
        <v>0</v>
      </c>
      <c r="Y40" s="271">
        <v>0</v>
      </c>
    </row>
    <row r="41" spans="1:25">
      <c r="A41" s="260" t="s">
        <v>141</v>
      </c>
      <c r="B41" s="267">
        <f t="shared" si="1"/>
        <v>0</v>
      </c>
      <c r="C41" s="267">
        <f t="shared" si="2"/>
        <v>0</v>
      </c>
      <c r="D41" s="267">
        <f>'P NP LAUT KAB'!$D37/1000</f>
        <v>0</v>
      </c>
      <c r="E41" s="267">
        <f>'P NP LAUT KAB'!$H37/1000</f>
        <v>0</v>
      </c>
      <c r="F41" s="267">
        <f>('P NP LAUT KAB'!$X37+'P NP LAUT KAB'!$Z37)/1000</f>
        <v>0</v>
      </c>
      <c r="G41" s="267">
        <f>'P NP LAUT KAB'!$R37/1000</f>
        <v>0</v>
      </c>
      <c r="H41" s="267">
        <f>'P NP LAUT KAB'!$BP37/1000</f>
        <v>0</v>
      </c>
      <c r="I41" s="491">
        <f t="shared" si="3"/>
        <v>0</v>
      </c>
      <c r="J41" s="493">
        <f>'P NP LAUT KAB'!$AF37/1000</f>
        <v>0</v>
      </c>
      <c r="K41" s="363">
        <f>'P NP LAUT KAB'!$AR37/1000</f>
        <v>0</v>
      </c>
      <c r="L41" s="267">
        <f>'P NP LAUT KAB'!$V37/1000</f>
        <v>0</v>
      </c>
      <c r="M41" s="493">
        <f>'P NP LAUT KAB'!$BR37/1000</f>
        <v>0</v>
      </c>
      <c r="N41" s="819">
        <f>SUM('P NP LAUT KAB'!$BF37/1000)</f>
        <v>0</v>
      </c>
      <c r="O41" s="267">
        <f>SUMIFS('P NP LAUT KAB'!D37:BY37,'P NP LAUT KAB'!$D$4:$BY$4,"P",'P NP LAUT KAB'!$D$1:$BY$1,"E. Cottonii")/1000</f>
        <v>0</v>
      </c>
      <c r="P41" s="264">
        <f t="shared" si="4"/>
        <v>0</v>
      </c>
      <c r="Q41" s="267">
        <f>'P NP TW'!E38/1000</f>
        <v>0</v>
      </c>
      <c r="R41" s="267">
        <f>'P NP TW'!G38/1000</f>
        <v>0</v>
      </c>
      <c r="S41" s="267">
        <f>'P NP TW'!I38/1000</f>
        <v>0</v>
      </c>
      <c r="T41" s="268">
        <f>'P NP TW'!K38/1000</f>
        <v>0</v>
      </c>
      <c r="V41" s="271">
        <v>0</v>
      </c>
      <c r="W41" s="271">
        <v>0</v>
      </c>
      <c r="X41" s="271">
        <v>0</v>
      </c>
      <c r="Y41" s="271">
        <v>0</v>
      </c>
    </row>
    <row r="42" spans="1:25">
      <c r="A42" s="260" t="s">
        <v>147</v>
      </c>
      <c r="B42" s="267">
        <f t="shared" si="1"/>
        <v>0</v>
      </c>
      <c r="C42" s="267">
        <f t="shared" si="2"/>
        <v>0</v>
      </c>
      <c r="D42" s="267">
        <f>'P NP LAUT KAB'!$D38/1000</f>
        <v>0</v>
      </c>
      <c r="E42" s="267">
        <f>'P NP LAUT KAB'!$H38/1000</f>
        <v>0</v>
      </c>
      <c r="F42" s="267">
        <f>('P NP LAUT KAB'!$X38+'P NP LAUT KAB'!$Z38)/1000</f>
        <v>0</v>
      </c>
      <c r="G42" s="267">
        <f>'P NP LAUT KAB'!$R38/1000</f>
        <v>0</v>
      </c>
      <c r="H42" s="267">
        <f>'P NP LAUT KAB'!$BP38/1000</f>
        <v>0</v>
      </c>
      <c r="I42" s="491">
        <f t="shared" si="3"/>
        <v>0</v>
      </c>
      <c r="J42" s="493">
        <f>'P NP LAUT KAB'!$AF38/1000</f>
        <v>0</v>
      </c>
      <c r="K42" s="363">
        <f>'P NP LAUT KAB'!$AR38/1000</f>
        <v>0</v>
      </c>
      <c r="L42" s="267">
        <f>'P NP LAUT KAB'!$V38/1000</f>
        <v>0</v>
      </c>
      <c r="M42" s="493">
        <f>'P NP LAUT KAB'!$BR38/1000</f>
        <v>0</v>
      </c>
      <c r="N42" s="819">
        <f>SUM('P NP LAUT KAB'!$BF38/1000)</f>
        <v>0</v>
      </c>
      <c r="O42" s="267">
        <f>SUMIFS('P NP LAUT KAB'!D38:BY38,'P NP LAUT KAB'!$D$4:$BY$4,"P",'P NP LAUT KAB'!$D$1:$BY$1,"E. Cottonii")/1000</f>
        <v>0</v>
      </c>
      <c r="P42" s="264">
        <f t="shared" si="4"/>
        <v>0</v>
      </c>
      <c r="Q42" s="267">
        <f>'P NP TW'!E39/1000</f>
        <v>0</v>
      </c>
      <c r="R42" s="267">
        <f>'P NP TW'!G39/1000</f>
        <v>0</v>
      </c>
      <c r="S42" s="267">
        <f>'P NP TW'!I39/1000</f>
        <v>0</v>
      </c>
      <c r="T42" s="268">
        <f>'P NP TW'!K39/1000</f>
        <v>0</v>
      </c>
      <c r="V42" s="271">
        <v>0</v>
      </c>
      <c r="W42" s="271">
        <v>0</v>
      </c>
      <c r="X42" s="271">
        <v>0</v>
      </c>
      <c r="Y42" s="271">
        <v>0</v>
      </c>
    </row>
    <row r="43" spans="1:25">
      <c r="A43" s="260" t="s">
        <v>143</v>
      </c>
      <c r="B43" s="267">
        <f t="shared" si="1"/>
        <v>0</v>
      </c>
      <c r="C43" s="267">
        <f t="shared" si="2"/>
        <v>0</v>
      </c>
      <c r="D43" s="267">
        <f>'P NP LAUT KAB'!$D39/1000</f>
        <v>0</v>
      </c>
      <c r="E43" s="267">
        <f>'P NP LAUT KAB'!$H39/1000</f>
        <v>0</v>
      </c>
      <c r="F43" s="267">
        <f>('P NP LAUT KAB'!$X39+'P NP LAUT KAB'!$Z39)/1000</f>
        <v>0</v>
      </c>
      <c r="G43" s="267">
        <f>'P NP LAUT KAB'!$R39/1000</f>
        <v>0</v>
      </c>
      <c r="H43" s="267">
        <f>'P NP LAUT KAB'!$BP39/1000</f>
        <v>0</v>
      </c>
      <c r="I43" s="491">
        <f t="shared" si="3"/>
        <v>0</v>
      </c>
      <c r="J43" s="493">
        <f>'P NP LAUT KAB'!$AF39/1000</f>
        <v>0</v>
      </c>
      <c r="K43" s="363">
        <f>'P NP LAUT KAB'!$AR39/1000</f>
        <v>0</v>
      </c>
      <c r="L43" s="267">
        <f>'P NP LAUT KAB'!$V39/1000</f>
        <v>0</v>
      </c>
      <c r="M43" s="493">
        <f>'P NP LAUT KAB'!$BR39/1000</f>
        <v>0</v>
      </c>
      <c r="N43" s="819">
        <f>SUM('P NP LAUT KAB'!$BF39/1000)</f>
        <v>0</v>
      </c>
      <c r="O43" s="267">
        <f>SUMIFS('P NP LAUT KAB'!D39:BY39,'P NP LAUT KAB'!$D$4:$BY$4,"P",'P NP LAUT KAB'!$D$1:$BY$1,"E. Cottonii")/1000</f>
        <v>0</v>
      </c>
      <c r="P43" s="264">
        <f t="shared" si="4"/>
        <v>0</v>
      </c>
      <c r="Q43" s="267">
        <f>'P NP TW'!E40/1000</f>
        <v>0</v>
      </c>
      <c r="R43" s="267">
        <f>'P NP TW'!G40/1000</f>
        <v>0</v>
      </c>
      <c r="S43" s="267">
        <f>'P NP TW'!I40/1000</f>
        <v>0</v>
      </c>
      <c r="T43" s="268">
        <f>'P NP TW'!K40/1000</f>
        <v>0</v>
      </c>
      <c r="V43" s="271">
        <v>0</v>
      </c>
      <c r="W43" s="271">
        <v>0</v>
      </c>
      <c r="X43" s="271">
        <v>0</v>
      </c>
      <c r="Y43" s="271">
        <v>0</v>
      </c>
    </row>
    <row r="44" spans="1:25">
      <c r="A44" s="260" t="s">
        <v>146</v>
      </c>
      <c r="B44" s="267">
        <f t="shared" si="1"/>
        <v>0</v>
      </c>
      <c r="C44" s="267">
        <f t="shared" si="2"/>
        <v>0</v>
      </c>
      <c r="D44" s="267">
        <f>'P NP LAUT KAB'!$D40/1000</f>
        <v>0</v>
      </c>
      <c r="E44" s="267">
        <f>'P NP LAUT KAB'!$H40/1000</f>
        <v>0</v>
      </c>
      <c r="F44" s="267">
        <f>('P NP LAUT KAB'!$X40+'P NP LAUT KAB'!$Z40)/1000</f>
        <v>0</v>
      </c>
      <c r="G44" s="267">
        <f>'P NP LAUT KAB'!$R40/1000</f>
        <v>0</v>
      </c>
      <c r="H44" s="267">
        <f>'P NP LAUT KAB'!$BP40/1000</f>
        <v>0</v>
      </c>
      <c r="I44" s="491">
        <f t="shared" si="3"/>
        <v>0</v>
      </c>
      <c r="J44" s="493">
        <f>'P NP LAUT KAB'!$AF40/1000</f>
        <v>0</v>
      </c>
      <c r="K44" s="363">
        <f>'P NP LAUT KAB'!$AR40/1000</f>
        <v>0</v>
      </c>
      <c r="L44" s="267">
        <f>'P NP LAUT KAB'!$V40/1000</f>
        <v>0</v>
      </c>
      <c r="M44" s="493">
        <f>'P NP LAUT KAB'!$BR40/1000</f>
        <v>0</v>
      </c>
      <c r="N44" s="819">
        <f>SUM('P NP LAUT KAB'!$BF40/1000)</f>
        <v>0</v>
      </c>
      <c r="O44" s="267">
        <f>SUMIFS('P NP LAUT KAB'!D40:BY40,'P NP LAUT KAB'!$D$4:$BY$4,"P",'P NP LAUT KAB'!$D$1:$BY$1,"E. Cottonii")/1000</f>
        <v>0</v>
      </c>
      <c r="P44" s="264">
        <f t="shared" si="4"/>
        <v>0</v>
      </c>
      <c r="Q44" s="267">
        <f>'P NP TW'!E41/1000</f>
        <v>0</v>
      </c>
      <c r="R44" s="267">
        <f>'P NP TW'!G41/1000</f>
        <v>0</v>
      </c>
      <c r="S44" s="267">
        <f>'P NP TW'!I41/1000</f>
        <v>0</v>
      </c>
      <c r="T44" s="268">
        <f>'P NP TW'!K41/1000</f>
        <v>0</v>
      </c>
      <c r="V44" s="271">
        <v>0</v>
      </c>
      <c r="W44" s="271">
        <v>0</v>
      </c>
      <c r="X44" s="271">
        <v>0</v>
      </c>
      <c r="Y44" s="271">
        <v>0</v>
      </c>
    </row>
    <row r="45" spans="1:25">
      <c r="A45" s="260" t="s">
        <v>145</v>
      </c>
      <c r="B45" s="267">
        <f t="shared" si="1"/>
        <v>0</v>
      </c>
      <c r="C45" s="267">
        <f t="shared" si="2"/>
        <v>0</v>
      </c>
      <c r="D45" s="267">
        <f>'P NP LAUT KAB'!$D41/1000</f>
        <v>0</v>
      </c>
      <c r="E45" s="267">
        <f>'P NP LAUT KAB'!$H41/1000</f>
        <v>0</v>
      </c>
      <c r="F45" s="267">
        <f>('P NP LAUT KAB'!$X41+'P NP LAUT KAB'!$Z41)/1000</f>
        <v>0</v>
      </c>
      <c r="G45" s="267">
        <f>'P NP LAUT KAB'!$R41/1000</f>
        <v>0</v>
      </c>
      <c r="H45" s="267">
        <f>'P NP LAUT KAB'!$BP41/1000</f>
        <v>0</v>
      </c>
      <c r="I45" s="491">
        <f t="shared" si="3"/>
        <v>0</v>
      </c>
      <c r="J45" s="493">
        <f>'P NP LAUT KAB'!$AF41/1000</f>
        <v>0</v>
      </c>
      <c r="K45" s="363">
        <f>'P NP LAUT KAB'!$AR41/1000</f>
        <v>0</v>
      </c>
      <c r="L45" s="267">
        <f>'P NP LAUT KAB'!$V41/1000</f>
        <v>0</v>
      </c>
      <c r="M45" s="493">
        <f>'P NP LAUT KAB'!$BR41/1000</f>
        <v>0</v>
      </c>
      <c r="N45" s="819">
        <f>SUM('P NP LAUT KAB'!$BF41/1000)</f>
        <v>0</v>
      </c>
      <c r="O45" s="267">
        <f>SUMIFS('P NP LAUT KAB'!D41:BY41,'P NP LAUT KAB'!$D$4:$BY$4,"P",'P NP LAUT KAB'!$D$1:$BY$1,"E. Cottonii")/1000</f>
        <v>0</v>
      </c>
      <c r="P45" s="264">
        <f t="shared" si="4"/>
        <v>0</v>
      </c>
      <c r="Q45" s="267">
        <f>'P NP TW'!E42/1000</f>
        <v>0</v>
      </c>
      <c r="R45" s="267">
        <f>'P NP TW'!G42/1000</f>
        <v>0</v>
      </c>
      <c r="S45" s="267">
        <f>'P NP TW'!I42/1000</f>
        <v>0</v>
      </c>
      <c r="T45" s="268">
        <f>'P NP TW'!K42/1000</f>
        <v>0</v>
      </c>
      <c r="V45" s="271">
        <v>0</v>
      </c>
      <c r="W45" s="271">
        <v>0</v>
      </c>
      <c r="X45" s="271">
        <v>0</v>
      </c>
      <c r="Y45" s="271">
        <v>0</v>
      </c>
    </row>
    <row r="46" spans="1:25">
      <c r="A46" s="260" t="s">
        <v>144</v>
      </c>
      <c r="B46" s="267">
        <f t="shared" si="1"/>
        <v>0</v>
      </c>
      <c r="C46" s="267">
        <f t="shared" si="2"/>
        <v>0</v>
      </c>
      <c r="D46" s="267">
        <f>'P NP LAUT KAB'!$D42/1000</f>
        <v>0</v>
      </c>
      <c r="E46" s="267">
        <f>'P NP LAUT KAB'!$H42/1000</f>
        <v>0</v>
      </c>
      <c r="F46" s="267">
        <f>('P NP LAUT KAB'!$X42+'P NP LAUT KAB'!$Z42)/1000</f>
        <v>0</v>
      </c>
      <c r="G46" s="267">
        <f>'P NP LAUT KAB'!$R42/1000</f>
        <v>0</v>
      </c>
      <c r="H46" s="267">
        <f>'P NP LAUT KAB'!$BP42/1000</f>
        <v>0</v>
      </c>
      <c r="I46" s="491">
        <f t="shared" si="3"/>
        <v>0</v>
      </c>
      <c r="J46" s="493">
        <f>'P NP LAUT KAB'!$AF42/1000</f>
        <v>0</v>
      </c>
      <c r="K46" s="363">
        <f>'P NP LAUT KAB'!$AR42/1000</f>
        <v>0</v>
      </c>
      <c r="L46" s="267">
        <f>'P NP LAUT KAB'!$V42/1000</f>
        <v>0</v>
      </c>
      <c r="M46" s="493">
        <f>'P NP LAUT KAB'!$BR42/1000</f>
        <v>0</v>
      </c>
      <c r="N46" s="819">
        <f>SUM('P NP LAUT KAB'!$BF42/1000)</f>
        <v>0</v>
      </c>
      <c r="O46" s="267">
        <f>SUMIFS('P NP LAUT KAB'!D42:BY42,'P NP LAUT KAB'!$D$4:$BY$4,"P",'P NP LAUT KAB'!$D$1:$BY$1,"E. Cottonii")/1000</f>
        <v>0</v>
      </c>
      <c r="P46" s="264">
        <f t="shared" si="4"/>
        <v>0</v>
      </c>
      <c r="Q46" s="267">
        <f>'P NP TW'!E43/1000</f>
        <v>0</v>
      </c>
      <c r="R46" s="267">
        <f>'P NP TW'!G43/1000</f>
        <v>0</v>
      </c>
      <c r="S46" s="267">
        <f>'P NP TW'!I43/1000</f>
        <v>0</v>
      </c>
      <c r="T46" s="820">
        <f>'P NP TW'!K43/1000</f>
        <v>0</v>
      </c>
      <c r="V46" s="271">
        <v>0</v>
      </c>
      <c r="W46" s="271">
        <v>0</v>
      </c>
      <c r="X46" s="271">
        <v>0</v>
      </c>
      <c r="Y46" s="271">
        <v>0</v>
      </c>
    </row>
    <row r="47" spans="1:25" ht="14.5" thickBot="1">
      <c r="A47" s="272" t="s">
        <v>148</v>
      </c>
      <c r="B47" s="274">
        <f>C47+I47+O47</f>
        <v>0</v>
      </c>
      <c r="C47" s="274">
        <f t="shared" si="2"/>
        <v>0</v>
      </c>
      <c r="D47" s="274">
        <f>'P NP LAUT KAB'!$D43/1000</f>
        <v>0</v>
      </c>
      <c r="E47" s="274">
        <f>'P NP LAUT KAB'!$H43/1000</f>
        <v>0</v>
      </c>
      <c r="F47" s="274">
        <f>('P NP LAUT KAB'!$X43+'P NP LAUT KAB'!$Z43)/1000</f>
        <v>0</v>
      </c>
      <c r="G47" s="274">
        <f>'P NP LAUT KAB'!$R43/1000</f>
        <v>0</v>
      </c>
      <c r="H47" s="274">
        <f>'P NP LAUT KAB'!$BP43/1000</f>
        <v>0</v>
      </c>
      <c r="I47" s="310">
        <f t="shared" si="3"/>
        <v>0</v>
      </c>
      <c r="J47" s="494">
        <f>'P NP LAUT KAB'!$AF43/1000</f>
        <v>0</v>
      </c>
      <c r="K47" s="365">
        <f>'P NP LAUT KAB'!$AR43/1000</f>
        <v>0</v>
      </c>
      <c r="L47" s="274">
        <f>'P NP LAUT KAB'!$V43/1000</f>
        <v>0</v>
      </c>
      <c r="M47" s="494">
        <f>'P NP LAUT KAB'!$BR43/1000</f>
        <v>0</v>
      </c>
      <c r="N47" s="821">
        <f>SUM('P NP LAUT KAB'!$BF43/1000)</f>
        <v>0</v>
      </c>
      <c r="O47" s="274">
        <f>SUMIFS('P NP LAUT KAB'!D43:BY43,'P NP LAUT KAB'!$D$4:$BY$4,"P",'P NP LAUT KAB'!$D$1:$BY$1,"E. Cottonii")/1000</f>
        <v>0</v>
      </c>
      <c r="P47" s="276">
        <f t="shared" si="4"/>
        <v>0</v>
      </c>
      <c r="Q47" s="274">
        <f>'P NP TW'!E44/1000</f>
        <v>0</v>
      </c>
      <c r="R47" s="274">
        <f>'P NP TW'!G44/1000</f>
        <v>0</v>
      </c>
      <c r="S47" s="274">
        <f>'P NP TW'!I44/1000</f>
        <v>0</v>
      </c>
      <c r="T47" s="275">
        <f>'P NP TW'!K44/1000</f>
        <v>0</v>
      </c>
      <c r="V47" s="271">
        <v>0</v>
      </c>
      <c r="W47" s="271">
        <v>0</v>
      </c>
      <c r="X47" s="271">
        <v>0</v>
      </c>
      <c r="Y47" s="271">
        <v>0</v>
      </c>
    </row>
    <row r="48" spans="1:25" ht="18" customHeight="1">
      <c r="A48" s="931" t="s">
        <v>455</v>
      </c>
      <c r="B48" s="932"/>
      <c r="C48" s="932"/>
      <c r="D48" s="932"/>
      <c r="E48" s="932"/>
      <c r="F48" s="932"/>
      <c r="G48" s="932"/>
      <c r="H48" s="932"/>
      <c r="I48" s="931" t="s">
        <v>456</v>
      </c>
      <c r="J48" s="931"/>
      <c r="K48" s="931"/>
      <c r="L48" s="931"/>
      <c r="P48" s="936" t="s">
        <v>457</v>
      </c>
      <c r="Q48" s="937"/>
      <c r="R48" s="937"/>
      <c r="S48" s="937"/>
    </row>
    <row r="49" spans="1:23">
      <c r="B49" s="211" t="s">
        <v>458</v>
      </c>
      <c r="C49" s="212" t="s">
        <v>459</v>
      </c>
      <c r="I49" s="212"/>
      <c r="J49" s="212" t="s">
        <v>459</v>
      </c>
      <c r="M49" s="213"/>
      <c r="P49" s="211" t="s">
        <v>460</v>
      </c>
      <c r="Q49" s="212" t="s">
        <v>461</v>
      </c>
      <c r="T49" s="213"/>
    </row>
    <row r="50" spans="1:23" ht="14.5">
      <c r="B50" s="214"/>
      <c r="C50" s="215" t="s">
        <v>352</v>
      </c>
      <c r="D50" s="216"/>
      <c r="E50" s="216"/>
      <c r="F50" s="216"/>
      <c r="G50" s="216"/>
      <c r="H50" s="216"/>
      <c r="I50" s="214"/>
      <c r="J50" s="216"/>
      <c r="K50" s="216"/>
      <c r="L50" s="216"/>
      <c r="M50" s="216"/>
      <c r="N50" s="216"/>
      <c r="O50" s="216"/>
      <c r="P50" s="214"/>
      <c r="Q50" s="215" t="s">
        <v>462</v>
      </c>
      <c r="R50" s="216"/>
      <c r="T50" s="216"/>
    </row>
    <row r="51" spans="1:23" ht="12" customHeight="1">
      <c r="H51" s="217"/>
      <c r="M51" s="929" t="s">
        <v>309</v>
      </c>
      <c r="N51" s="929"/>
      <c r="O51" s="929"/>
      <c r="T51" s="217" t="s">
        <v>309</v>
      </c>
    </row>
    <row r="52" spans="1:23" ht="15" thickBot="1">
      <c r="A52" s="219"/>
      <c r="B52" s="629"/>
      <c r="H52" s="220"/>
      <c r="N52" s="938" t="s">
        <v>310</v>
      </c>
      <c r="O52" s="938"/>
      <c r="T52" s="220" t="s">
        <v>310</v>
      </c>
    </row>
    <row r="53" spans="1:23" ht="16" customHeight="1">
      <c r="A53" s="221"/>
      <c r="B53" s="335"/>
      <c r="C53" s="223"/>
      <c r="D53" s="223"/>
      <c r="E53" s="223"/>
      <c r="F53" s="228" t="s">
        <v>317</v>
      </c>
      <c r="G53" s="336" t="s">
        <v>318</v>
      </c>
      <c r="H53" s="226"/>
      <c r="I53" s="227"/>
      <c r="J53" s="939"/>
      <c r="K53" s="939"/>
      <c r="L53" s="940"/>
      <c r="M53" s="940"/>
      <c r="N53" s="941"/>
      <c r="O53" s="488"/>
      <c r="P53" s="227"/>
      <c r="Q53" s="228" t="s">
        <v>266</v>
      </c>
      <c r="R53" s="229" t="s">
        <v>267</v>
      </c>
      <c r="S53" s="223"/>
      <c r="T53" s="226"/>
    </row>
    <row r="54" spans="1:23" ht="14.15" customHeight="1">
      <c r="A54" s="230" t="s">
        <v>103</v>
      </c>
      <c r="B54" s="341" t="s">
        <v>104</v>
      </c>
      <c r="C54" s="233" t="s">
        <v>321</v>
      </c>
      <c r="D54" s="233" t="s">
        <v>1</v>
      </c>
      <c r="E54" s="233" t="s">
        <v>3</v>
      </c>
      <c r="F54" s="233" t="s">
        <v>12</v>
      </c>
      <c r="G54" s="233" t="s">
        <v>322</v>
      </c>
      <c r="H54" s="236" t="s">
        <v>274</v>
      </c>
      <c r="I54" s="286" t="s">
        <v>321</v>
      </c>
      <c r="J54" s="233" t="s">
        <v>677</v>
      </c>
      <c r="K54" s="233" t="s">
        <v>18</v>
      </c>
      <c r="L54" s="233" t="s">
        <v>444</v>
      </c>
      <c r="M54" s="234" t="s">
        <v>445</v>
      </c>
      <c r="N54" s="233" t="s">
        <v>274</v>
      </c>
      <c r="O54" s="236" t="s">
        <v>446</v>
      </c>
      <c r="P54" s="238" t="s">
        <v>104</v>
      </c>
      <c r="Q54" s="234" t="s">
        <v>275</v>
      </c>
      <c r="R54" s="234" t="s">
        <v>276</v>
      </c>
      <c r="S54" s="234" t="s">
        <v>277</v>
      </c>
      <c r="T54" s="236" t="s">
        <v>278</v>
      </c>
    </row>
    <row r="55" spans="1:23">
      <c r="A55" s="239" t="s">
        <v>105</v>
      </c>
      <c r="B55" s="245" t="s">
        <v>106</v>
      </c>
      <c r="C55" s="241" t="s">
        <v>331</v>
      </c>
      <c r="D55" s="241" t="s">
        <v>285</v>
      </c>
      <c r="E55" s="291" t="s">
        <v>335</v>
      </c>
      <c r="F55" s="241" t="s">
        <v>447</v>
      </c>
      <c r="G55" s="291" t="s">
        <v>448</v>
      </c>
      <c r="H55" s="243" t="s">
        <v>449</v>
      </c>
      <c r="I55" s="290" t="s">
        <v>336</v>
      </c>
      <c r="J55" s="241" t="s">
        <v>678</v>
      </c>
      <c r="K55" s="241" t="s">
        <v>450</v>
      </c>
      <c r="L55" s="241" t="s">
        <v>451</v>
      </c>
      <c r="M55" s="245" t="s">
        <v>452</v>
      </c>
      <c r="N55" s="241" t="s">
        <v>289</v>
      </c>
      <c r="O55" s="243" t="s">
        <v>346</v>
      </c>
      <c r="P55" s="239" t="s">
        <v>106</v>
      </c>
      <c r="Q55" s="245" t="s">
        <v>293</v>
      </c>
      <c r="R55" s="245" t="s">
        <v>294</v>
      </c>
      <c r="S55" s="245" t="s">
        <v>295</v>
      </c>
      <c r="T55" s="243" t="s">
        <v>296</v>
      </c>
      <c r="U55" s="293"/>
      <c r="V55" s="293"/>
      <c r="W55" s="293"/>
    </row>
    <row r="56" spans="1:23">
      <c r="A56" s="246"/>
      <c r="B56" s="250"/>
      <c r="C56" s="249"/>
      <c r="D56" s="249"/>
      <c r="E56" s="248"/>
      <c r="F56" s="249"/>
      <c r="G56" s="489" t="s">
        <v>453</v>
      </c>
      <c r="H56" s="253"/>
      <c r="I56" s="295"/>
      <c r="J56" s="249"/>
      <c r="K56" s="248" t="s">
        <v>454</v>
      </c>
      <c r="L56" s="249"/>
      <c r="M56" s="249"/>
      <c r="N56" s="250"/>
      <c r="O56" s="253"/>
      <c r="P56" s="246"/>
      <c r="Q56" s="250"/>
      <c r="R56" s="250"/>
      <c r="S56" s="250"/>
      <c r="T56" s="253"/>
      <c r="U56" s="293"/>
      <c r="V56" s="293"/>
      <c r="W56" s="293"/>
    </row>
    <row r="57" spans="1:23">
      <c r="A57" s="298" t="s">
        <v>111</v>
      </c>
      <c r="B57" s="300">
        <f>SUM(B58:B95)</f>
        <v>3994041159.9863362</v>
      </c>
      <c r="C57" s="300">
        <f t="shared" ref="C57:H57" si="5">SUM(C58:C95)</f>
        <v>121267731.5</v>
      </c>
      <c r="D57" s="300">
        <f t="shared" si="5"/>
        <v>82950</v>
      </c>
      <c r="E57" s="300">
        <f t="shared" si="5"/>
        <v>0</v>
      </c>
      <c r="F57" s="300">
        <f t="shared" si="5"/>
        <v>120584506.5</v>
      </c>
      <c r="G57" s="300">
        <f t="shared" si="5"/>
        <v>374525</v>
      </c>
      <c r="H57" s="301">
        <f t="shared" si="5"/>
        <v>225750</v>
      </c>
      <c r="I57" s="302">
        <f>SUM(I58:I95)</f>
        <v>3872773428.4863362</v>
      </c>
      <c r="J57" s="300">
        <f t="shared" ref="J57:O57" si="6">SUM(J58:J95)</f>
        <v>4328440</v>
      </c>
      <c r="K57" s="300">
        <f t="shared" si="6"/>
        <v>0</v>
      </c>
      <c r="L57" s="300">
        <f t="shared" si="6"/>
        <v>53413466.486336268</v>
      </c>
      <c r="M57" s="300">
        <f t="shared" si="6"/>
        <v>154150</v>
      </c>
      <c r="N57" s="300">
        <f t="shared" si="6"/>
        <v>0</v>
      </c>
      <c r="O57" s="301">
        <f t="shared" si="6"/>
        <v>3814877372</v>
      </c>
      <c r="P57" s="302">
        <f>SUM(P58:P95)</f>
        <v>3994041159.9863362</v>
      </c>
      <c r="Q57" s="300">
        <f>SUM(Q58:Q95)</f>
        <v>958355908</v>
      </c>
      <c r="R57" s="300">
        <f>SUM(R58:R95)</f>
        <v>729657050.95339274</v>
      </c>
      <c r="S57" s="300">
        <f>SUM(S58:S95)</f>
        <v>1182515701.0610001</v>
      </c>
      <c r="T57" s="301">
        <f>SUM(T58:T95)</f>
        <v>1123512499.9719434</v>
      </c>
    </row>
    <row r="58" spans="1:23">
      <c r="A58" s="260" t="s">
        <v>137</v>
      </c>
      <c r="B58" s="350">
        <f t="shared" ref="B58:B95" si="7">C58+I58</f>
        <v>0</v>
      </c>
      <c r="C58" s="350">
        <f t="shared" ref="C58:C95" si="8">SUM(D58:H58)</f>
        <v>0</v>
      </c>
      <c r="D58" s="267">
        <f>'P NP LAUT KAB'!E6</f>
        <v>0</v>
      </c>
      <c r="E58" s="267">
        <f>'P NP LAUT KAB'!O6</f>
        <v>0</v>
      </c>
      <c r="F58" s="267">
        <f>('P NP LAUT KAB'!$Y6+'P NP LAUT KAB'!$AA6)</f>
        <v>0</v>
      </c>
      <c r="G58" s="267">
        <f>'P NP LAUT KAB'!$S6</f>
        <v>0</v>
      </c>
      <c r="H58" s="267">
        <f>'P NP LAUT KAB'!$BQ6</f>
        <v>0</v>
      </c>
      <c r="I58" s="352">
        <f t="shared" ref="I58:I95" si="9">SUM(J58:O58)</f>
        <v>0</v>
      </c>
      <c r="J58" s="496">
        <f>'P NP LAUT KAB'!$AG6</f>
        <v>0</v>
      </c>
      <c r="K58" s="573">
        <f>'P NP LAUT KAB'!$AS6</f>
        <v>0</v>
      </c>
      <c r="L58" s="262">
        <f>'P NP LAUT KAB'!$W6</f>
        <v>0</v>
      </c>
      <c r="M58" s="492">
        <f>'P NP LAUT KAB'!$BS6</f>
        <v>0</v>
      </c>
      <c r="N58" s="818">
        <f>SUM('P NP LAUT KAB'!$BG6)</f>
        <v>0</v>
      </c>
      <c r="O58" s="822">
        <f>'P NP LAUT KAB'!K6</f>
        <v>0</v>
      </c>
      <c r="P58" s="352">
        <f>SUM(Q58:T58)</f>
        <v>0</v>
      </c>
      <c r="Q58" s="521">
        <f>'P NP TW'!F7</f>
        <v>0</v>
      </c>
      <c r="R58" s="521">
        <f>'P NP TW'!H7</f>
        <v>0</v>
      </c>
      <c r="S58" s="521">
        <f>'P NP TW'!J7</f>
        <v>0</v>
      </c>
      <c r="T58" s="522">
        <f>'P NP TW'!L7</f>
        <v>0</v>
      </c>
      <c r="V58" s="495"/>
    </row>
    <row r="59" spans="1:23">
      <c r="A59" s="260" t="s">
        <v>121</v>
      </c>
      <c r="B59" s="350">
        <f t="shared" si="7"/>
        <v>5721650</v>
      </c>
      <c r="C59" s="350">
        <f t="shared" si="8"/>
        <v>2169000</v>
      </c>
      <c r="D59" s="267">
        <f>'P NP LAUT KAB'!E7</f>
        <v>0</v>
      </c>
      <c r="E59" s="267">
        <f>'P NP LAUT KAB'!O7</f>
        <v>0</v>
      </c>
      <c r="F59" s="267">
        <f>('P NP LAUT KAB'!$Y7+'P NP LAUT KAB'!$AA7)</f>
        <v>1776925</v>
      </c>
      <c r="G59" s="267">
        <f>'P NP LAUT KAB'!$S7</f>
        <v>166325</v>
      </c>
      <c r="H59" s="267">
        <f>'P NP LAUT KAB'!$BQ7</f>
        <v>225750</v>
      </c>
      <c r="I59" s="352">
        <f t="shared" si="9"/>
        <v>3552650</v>
      </c>
      <c r="J59" s="497">
        <f>'P NP LAUT KAB'!$AG7</f>
        <v>3398500</v>
      </c>
      <c r="K59" s="363">
        <f>'P NP LAUT KAB'!$AS7</f>
        <v>0</v>
      </c>
      <c r="L59" s="267">
        <f>'P NP LAUT KAB'!$W7</f>
        <v>0</v>
      </c>
      <c r="M59" s="493">
        <f>'P NP LAUT KAB'!$BS7</f>
        <v>154150</v>
      </c>
      <c r="N59" s="819">
        <f>SUM('P NP LAUT KAB'!$BG7)</f>
        <v>0</v>
      </c>
      <c r="O59" s="820">
        <f>'P NP LAUT KAB'!K7</f>
        <v>0</v>
      </c>
      <c r="P59" s="352">
        <f>SUM(Q59:T59)</f>
        <v>5721650</v>
      </c>
      <c r="Q59" s="350">
        <f>'P NP TW'!F8</f>
        <v>1763450</v>
      </c>
      <c r="R59" s="350">
        <f>'P NP TW'!H8</f>
        <v>1961025</v>
      </c>
      <c r="S59" s="350">
        <f>'P NP TW'!J8</f>
        <v>868300</v>
      </c>
      <c r="T59" s="351">
        <f>'P NP TW'!L8</f>
        <v>1128875</v>
      </c>
      <c r="V59" s="309"/>
    </row>
    <row r="60" spans="1:23">
      <c r="A60" s="260" t="s">
        <v>116</v>
      </c>
      <c r="B60" s="350">
        <f t="shared" si="7"/>
        <v>0</v>
      </c>
      <c r="C60" s="350">
        <f t="shared" si="8"/>
        <v>0</v>
      </c>
      <c r="D60" s="267">
        <f>'P NP LAUT KAB'!E8</f>
        <v>0</v>
      </c>
      <c r="E60" s="267">
        <f>'P NP LAUT KAB'!O8</f>
        <v>0</v>
      </c>
      <c r="F60" s="267">
        <f>('P NP LAUT KAB'!$Y8+'P NP LAUT KAB'!$AA8)</f>
        <v>0</v>
      </c>
      <c r="G60" s="267">
        <f>'P NP LAUT KAB'!$S8</f>
        <v>0</v>
      </c>
      <c r="H60" s="267">
        <f>'P NP LAUT KAB'!$BQ8</f>
        <v>0</v>
      </c>
      <c r="I60" s="352">
        <f t="shared" si="9"/>
        <v>0</v>
      </c>
      <c r="J60" s="497">
        <f>'P NP LAUT KAB'!$AG8</f>
        <v>0</v>
      </c>
      <c r="K60" s="363">
        <f>'P NP LAUT KAB'!$AS8</f>
        <v>0</v>
      </c>
      <c r="L60" s="267">
        <f>'P NP LAUT KAB'!$W8</f>
        <v>0</v>
      </c>
      <c r="M60" s="493">
        <f>'P NP LAUT KAB'!$BS8</f>
        <v>0</v>
      </c>
      <c r="N60" s="819">
        <f>SUM('P NP LAUT KAB'!$BG8)</f>
        <v>0</v>
      </c>
      <c r="O60" s="820">
        <f>'P NP LAUT KAB'!K8</f>
        <v>0</v>
      </c>
      <c r="P60" s="352">
        <f t="shared" ref="P60:P95" si="10">SUM(Q60:T60)</f>
        <v>0</v>
      </c>
      <c r="Q60" s="350">
        <f>'P NP TW'!F9</f>
        <v>0</v>
      </c>
      <c r="R60" s="350">
        <f>'P NP TW'!H9</f>
        <v>0</v>
      </c>
      <c r="S60" s="350">
        <f>'P NP TW'!J9</f>
        <v>0</v>
      </c>
      <c r="T60" s="351">
        <f>'P NP TW'!L9</f>
        <v>0</v>
      </c>
      <c r="V60" s="309"/>
    </row>
    <row r="61" spans="1:23">
      <c r="A61" s="260" t="s">
        <v>133</v>
      </c>
      <c r="B61" s="350">
        <f t="shared" si="7"/>
        <v>0</v>
      </c>
      <c r="C61" s="350">
        <f t="shared" si="8"/>
        <v>0</v>
      </c>
      <c r="D61" s="267">
        <f>'P NP LAUT KAB'!E9</f>
        <v>0</v>
      </c>
      <c r="E61" s="267">
        <f>'P NP LAUT KAB'!O9</f>
        <v>0</v>
      </c>
      <c r="F61" s="267">
        <f>('P NP LAUT KAB'!$Y9+'P NP LAUT KAB'!$AA9)</f>
        <v>0</v>
      </c>
      <c r="G61" s="267">
        <f>'P NP LAUT KAB'!$S9</f>
        <v>0</v>
      </c>
      <c r="H61" s="267">
        <f>'P NP LAUT KAB'!$BQ9</f>
        <v>0</v>
      </c>
      <c r="I61" s="352">
        <f t="shared" si="9"/>
        <v>0</v>
      </c>
      <c r="J61" s="497">
        <f>'P NP LAUT KAB'!$AG9</f>
        <v>0</v>
      </c>
      <c r="K61" s="363">
        <f>'P NP LAUT KAB'!$AS9</f>
        <v>0</v>
      </c>
      <c r="L61" s="267">
        <f>'P NP LAUT KAB'!$W9</f>
        <v>0</v>
      </c>
      <c r="M61" s="493">
        <f>'P NP LAUT KAB'!$BS9</f>
        <v>0</v>
      </c>
      <c r="N61" s="819">
        <f>SUM('P NP LAUT KAB'!$BG9)</f>
        <v>0</v>
      </c>
      <c r="O61" s="820">
        <f>'P NP LAUT KAB'!K9</f>
        <v>0</v>
      </c>
      <c r="P61" s="352">
        <f t="shared" si="10"/>
        <v>0</v>
      </c>
      <c r="Q61" s="350">
        <f>'P NP TW'!F10</f>
        <v>0</v>
      </c>
      <c r="R61" s="350">
        <f>'P NP TW'!H10</f>
        <v>0</v>
      </c>
      <c r="S61" s="350">
        <f>'P NP TW'!J10</f>
        <v>0</v>
      </c>
      <c r="T61" s="351">
        <f>'P NP TW'!L10</f>
        <v>0</v>
      </c>
      <c r="V61" s="309"/>
    </row>
    <row r="62" spans="1:23">
      <c r="A62" s="260" t="s">
        <v>122</v>
      </c>
      <c r="B62" s="350">
        <f t="shared" si="7"/>
        <v>0</v>
      </c>
      <c r="C62" s="350">
        <f t="shared" si="8"/>
        <v>0</v>
      </c>
      <c r="D62" s="267">
        <f>'P NP LAUT KAB'!E10</f>
        <v>0</v>
      </c>
      <c r="E62" s="267">
        <f>'P NP LAUT KAB'!O10</f>
        <v>0</v>
      </c>
      <c r="F62" s="267">
        <f>('P NP LAUT KAB'!$Y10+'P NP LAUT KAB'!$AA10)</f>
        <v>0</v>
      </c>
      <c r="G62" s="267">
        <f>'P NP LAUT KAB'!$S10</f>
        <v>0</v>
      </c>
      <c r="H62" s="267">
        <f>'P NP LAUT KAB'!$BQ10</f>
        <v>0</v>
      </c>
      <c r="I62" s="352">
        <f t="shared" si="9"/>
        <v>0</v>
      </c>
      <c r="J62" s="497">
        <f>'P NP LAUT KAB'!$AG10</f>
        <v>0</v>
      </c>
      <c r="K62" s="363">
        <f>'P NP LAUT KAB'!$AS10</f>
        <v>0</v>
      </c>
      <c r="L62" s="267">
        <f>'P NP LAUT KAB'!$W10</f>
        <v>0</v>
      </c>
      <c r="M62" s="493">
        <f>'P NP LAUT KAB'!$BS10</f>
        <v>0</v>
      </c>
      <c r="N62" s="819">
        <f>SUM('P NP LAUT KAB'!$BG10)</f>
        <v>0</v>
      </c>
      <c r="O62" s="820">
        <f>'P NP LAUT KAB'!K10</f>
        <v>0</v>
      </c>
      <c r="P62" s="352">
        <f t="shared" si="10"/>
        <v>0</v>
      </c>
      <c r="Q62" s="350">
        <f>'P NP TW'!F11</f>
        <v>0</v>
      </c>
      <c r="R62" s="350">
        <f>'P NP TW'!H11</f>
        <v>0</v>
      </c>
      <c r="S62" s="350">
        <f>'P NP TW'!J11</f>
        <v>0</v>
      </c>
      <c r="T62" s="351">
        <f>'P NP TW'!L11</f>
        <v>0</v>
      </c>
      <c r="V62" s="309"/>
    </row>
    <row r="63" spans="1:23">
      <c r="A63" s="260" t="s">
        <v>136</v>
      </c>
      <c r="B63" s="350">
        <f t="shared" si="7"/>
        <v>53413466.486336268</v>
      </c>
      <c r="C63" s="350">
        <f t="shared" si="8"/>
        <v>0</v>
      </c>
      <c r="D63" s="267">
        <f>'P NP LAUT KAB'!E11</f>
        <v>0</v>
      </c>
      <c r="E63" s="267">
        <f>'P NP LAUT KAB'!O11</f>
        <v>0</v>
      </c>
      <c r="F63" s="267">
        <f>('P NP LAUT KAB'!$Y11+'P NP LAUT KAB'!$AA11)</f>
        <v>0</v>
      </c>
      <c r="G63" s="267">
        <f>'P NP LAUT KAB'!$S11</f>
        <v>0</v>
      </c>
      <c r="H63" s="267">
        <f>'P NP LAUT KAB'!$BQ11</f>
        <v>0</v>
      </c>
      <c r="I63" s="352">
        <f t="shared" si="9"/>
        <v>53413466.486336268</v>
      </c>
      <c r="J63" s="497">
        <f>'P NP LAUT KAB'!$AG11</f>
        <v>0</v>
      </c>
      <c r="K63" s="363">
        <f>'P NP LAUT KAB'!$AS11</f>
        <v>0</v>
      </c>
      <c r="L63" s="267">
        <f>'P NP LAUT KAB'!$W11</f>
        <v>53413466.486336268</v>
      </c>
      <c r="M63" s="493">
        <f>'P NP LAUT KAB'!$BS11</f>
        <v>0</v>
      </c>
      <c r="N63" s="819">
        <f>SUM('P NP LAUT KAB'!$BG11)</f>
        <v>0</v>
      </c>
      <c r="O63" s="820">
        <f>'P NP LAUT KAB'!K11</f>
        <v>0</v>
      </c>
      <c r="P63" s="352">
        <f t="shared" si="10"/>
        <v>53413466.486336268</v>
      </c>
      <c r="Q63" s="350">
        <f>'P NP TW'!F12</f>
        <v>4868226</v>
      </c>
      <c r="R63" s="350">
        <f>'P NP TW'!H12</f>
        <v>7037534.453392799</v>
      </c>
      <c r="S63" s="350">
        <f>'P NP TW'!J12</f>
        <v>18737206.061000001</v>
      </c>
      <c r="T63" s="351">
        <f>'P NP TW'!L12</f>
        <v>22770499.971943468</v>
      </c>
      <c r="V63" s="309"/>
    </row>
    <row r="64" spans="1:23">
      <c r="A64" s="260" t="s">
        <v>120</v>
      </c>
      <c r="B64" s="726">
        <f t="shared" si="7"/>
        <v>0</v>
      </c>
      <c r="C64" s="350">
        <f t="shared" si="8"/>
        <v>0</v>
      </c>
      <c r="D64" s="267">
        <f>'P NP LAUT KAB'!E12</f>
        <v>0</v>
      </c>
      <c r="E64" s="267">
        <f>'P NP LAUT KAB'!O12</f>
        <v>0</v>
      </c>
      <c r="F64" s="267">
        <f>('P NP LAUT KAB'!$Y12+'P NP LAUT KAB'!$AA12)</f>
        <v>0</v>
      </c>
      <c r="G64" s="267">
        <f>'P NP LAUT KAB'!$S12</f>
        <v>0</v>
      </c>
      <c r="H64" s="267">
        <f>'P NP LAUT KAB'!$BQ12</f>
        <v>0</v>
      </c>
      <c r="I64" s="352">
        <f t="shared" si="9"/>
        <v>0</v>
      </c>
      <c r="J64" s="497">
        <f>'P NP LAUT KAB'!$AG12</f>
        <v>0</v>
      </c>
      <c r="K64" s="363">
        <f>'P NP LAUT KAB'!$AS12</f>
        <v>0</v>
      </c>
      <c r="L64" s="267">
        <f>'P NP LAUT KAB'!$W12</f>
        <v>0</v>
      </c>
      <c r="M64" s="493">
        <f>'P NP LAUT KAB'!$BS12</f>
        <v>0</v>
      </c>
      <c r="N64" s="819">
        <f>SUM('P NP LAUT KAB'!$BG12)</f>
        <v>0</v>
      </c>
      <c r="O64" s="820">
        <f>'P NP LAUT KAB'!K12</f>
        <v>0</v>
      </c>
      <c r="P64" s="352">
        <f t="shared" si="10"/>
        <v>0</v>
      </c>
      <c r="Q64" s="350">
        <f>'P NP TW'!F13</f>
        <v>0</v>
      </c>
      <c r="R64" s="350">
        <f>'P NP TW'!H13</f>
        <v>0</v>
      </c>
      <c r="S64" s="350">
        <f>'P NP TW'!J13</f>
        <v>0</v>
      </c>
      <c r="T64" s="351">
        <f>'P NP TW'!L13</f>
        <v>0</v>
      </c>
      <c r="V64" s="309"/>
    </row>
    <row r="65" spans="1:23">
      <c r="A65" s="260" t="s">
        <v>128</v>
      </c>
      <c r="B65" s="350">
        <f t="shared" si="7"/>
        <v>0</v>
      </c>
      <c r="C65" s="350">
        <f t="shared" si="8"/>
        <v>0</v>
      </c>
      <c r="D65" s="267">
        <f>'P NP LAUT KAB'!E13</f>
        <v>0</v>
      </c>
      <c r="E65" s="267">
        <f>'P NP LAUT KAB'!O13</f>
        <v>0</v>
      </c>
      <c r="F65" s="267">
        <f>('P NP LAUT KAB'!$Y13+'P NP LAUT KAB'!$AA13)</f>
        <v>0</v>
      </c>
      <c r="G65" s="267">
        <f>'P NP LAUT KAB'!$S13</f>
        <v>0</v>
      </c>
      <c r="H65" s="267">
        <f>'P NP LAUT KAB'!$BQ13</f>
        <v>0</v>
      </c>
      <c r="I65" s="352">
        <f t="shared" si="9"/>
        <v>0</v>
      </c>
      <c r="J65" s="497">
        <f>'P NP LAUT KAB'!$AG13</f>
        <v>0</v>
      </c>
      <c r="K65" s="363">
        <f>'P NP LAUT KAB'!$AS13</f>
        <v>0</v>
      </c>
      <c r="L65" s="267">
        <f>'P NP LAUT KAB'!$W13</f>
        <v>0</v>
      </c>
      <c r="M65" s="493">
        <f>'P NP LAUT KAB'!$BS13</f>
        <v>0</v>
      </c>
      <c r="N65" s="819">
        <f>SUM('P NP LAUT KAB'!$BG13)</f>
        <v>0</v>
      </c>
      <c r="O65" s="820">
        <f>'P NP LAUT KAB'!K13</f>
        <v>0</v>
      </c>
      <c r="P65" s="352">
        <f t="shared" si="10"/>
        <v>0</v>
      </c>
      <c r="Q65" s="350">
        <f>'P NP TW'!F14</f>
        <v>0</v>
      </c>
      <c r="R65" s="350">
        <f>'P NP TW'!H14</f>
        <v>0</v>
      </c>
      <c r="S65" s="350">
        <f>'P NP TW'!J14</f>
        <v>0</v>
      </c>
      <c r="T65" s="351">
        <f>'P NP TW'!L14</f>
        <v>0</v>
      </c>
      <c r="U65" s="309"/>
      <c r="V65" s="309"/>
    </row>
    <row r="66" spans="1:23">
      <c r="A66" s="260" t="s">
        <v>117</v>
      </c>
      <c r="B66" s="350">
        <f t="shared" si="7"/>
        <v>0</v>
      </c>
      <c r="C66" s="350">
        <f t="shared" si="8"/>
        <v>0</v>
      </c>
      <c r="D66" s="267">
        <f>'P NP LAUT KAB'!E14</f>
        <v>0</v>
      </c>
      <c r="E66" s="267">
        <f>'P NP LAUT KAB'!O14</f>
        <v>0</v>
      </c>
      <c r="F66" s="267">
        <f>('P NP LAUT KAB'!$Y14+'P NP LAUT KAB'!$AA14)</f>
        <v>0</v>
      </c>
      <c r="G66" s="267">
        <f>'P NP LAUT KAB'!$S14</f>
        <v>0</v>
      </c>
      <c r="H66" s="267">
        <f>'P NP LAUT KAB'!$BQ14</f>
        <v>0</v>
      </c>
      <c r="I66" s="352">
        <f t="shared" si="9"/>
        <v>0</v>
      </c>
      <c r="J66" s="497">
        <f>'P NP LAUT KAB'!$AG14</f>
        <v>0</v>
      </c>
      <c r="K66" s="363">
        <f>'P NP LAUT KAB'!$AS14</f>
        <v>0</v>
      </c>
      <c r="L66" s="267">
        <f>'P NP LAUT KAB'!$W14</f>
        <v>0</v>
      </c>
      <c r="M66" s="493">
        <f>'P NP LAUT KAB'!$BS14</f>
        <v>0</v>
      </c>
      <c r="N66" s="819">
        <f>SUM('P NP LAUT KAB'!$BG14)</f>
        <v>0</v>
      </c>
      <c r="O66" s="820">
        <f>'P NP LAUT KAB'!K14</f>
        <v>0</v>
      </c>
      <c r="P66" s="352">
        <f t="shared" si="10"/>
        <v>0</v>
      </c>
      <c r="Q66" s="350">
        <f>'P NP TW'!F15</f>
        <v>0</v>
      </c>
      <c r="R66" s="350">
        <f>'P NP TW'!H15</f>
        <v>0</v>
      </c>
      <c r="S66" s="350">
        <f>'P NP TW'!J15</f>
        <v>0</v>
      </c>
      <c r="T66" s="351">
        <f>'P NP TW'!L15</f>
        <v>0</v>
      </c>
      <c r="U66" s="309"/>
      <c r="V66" s="309"/>
    </row>
    <row r="67" spans="1:23">
      <c r="A67" s="260" t="s">
        <v>135</v>
      </c>
      <c r="B67" s="350">
        <f t="shared" si="7"/>
        <v>0</v>
      </c>
      <c r="C67" s="350">
        <f t="shared" si="8"/>
        <v>0</v>
      </c>
      <c r="D67" s="267">
        <f>'P NP LAUT KAB'!E15</f>
        <v>0</v>
      </c>
      <c r="E67" s="267">
        <f>'P NP LAUT KAB'!O15</f>
        <v>0</v>
      </c>
      <c r="F67" s="267">
        <f>('P NP LAUT KAB'!$Y15+'P NP LAUT KAB'!$AA15)</f>
        <v>0</v>
      </c>
      <c r="G67" s="267">
        <f>'P NP LAUT KAB'!$S15</f>
        <v>0</v>
      </c>
      <c r="H67" s="267">
        <f>'P NP LAUT KAB'!$BQ15</f>
        <v>0</v>
      </c>
      <c r="I67" s="352">
        <f t="shared" si="9"/>
        <v>0</v>
      </c>
      <c r="J67" s="497">
        <f>'P NP LAUT KAB'!$AG15</f>
        <v>0</v>
      </c>
      <c r="K67" s="363">
        <f>'P NP LAUT KAB'!$AS15</f>
        <v>0</v>
      </c>
      <c r="L67" s="267">
        <f>'P NP LAUT KAB'!$W15</f>
        <v>0</v>
      </c>
      <c r="M67" s="493">
        <f>'P NP LAUT KAB'!$BS15</f>
        <v>0</v>
      </c>
      <c r="N67" s="819">
        <f>SUM('P NP LAUT KAB'!$BG15)</f>
        <v>0</v>
      </c>
      <c r="O67" s="820">
        <f>'P NP LAUT KAB'!K15</f>
        <v>0</v>
      </c>
      <c r="P67" s="352">
        <f t="shared" si="10"/>
        <v>0</v>
      </c>
      <c r="Q67" s="350">
        <f>'P NP TW'!F16</f>
        <v>0</v>
      </c>
      <c r="R67" s="350">
        <f>'P NP TW'!H16</f>
        <v>0</v>
      </c>
      <c r="S67" s="350">
        <f>'P NP TW'!J16</f>
        <v>0</v>
      </c>
      <c r="T67" s="351">
        <f>'P NP TW'!L16</f>
        <v>0</v>
      </c>
      <c r="U67" s="309"/>
      <c r="V67" s="309"/>
    </row>
    <row r="68" spans="1:23">
      <c r="A68" s="260" t="s">
        <v>119</v>
      </c>
      <c r="B68" s="350">
        <f t="shared" si="7"/>
        <v>0</v>
      </c>
      <c r="C68" s="350">
        <f t="shared" si="8"/>
        <v>0</v>
      </c>
      <c r="D68" s="267">
        <f>'P NP LAUT KAB'!E16</f>
        <v>0</v>
      </c>
      <c r="E68" s="267">
        <f>'P NP LAUT KAB'!O16</f>
        <v>0</v>
      </c>
      <c r="F68" s="267">
        <f>('P NP LAUT KAB'!$Y16+'P NP LAUT KAB'!$AA16)</f>
        <v>0</v>
      </c>
      <c r="G68" s="267">
        <f>'P NP LAUT KAB'!$S16</f>
        <v>0</v>
      </c>
      <c r="H68" s="267">
        <f>'P NP LAUT KAB'!$BQ16</f>
        <v>0</v>
      </c>
      <c r="I68" s="352">
        <f t="shared" si="9"/>
        <v>0</v>
      </c>
      <c r="J68" s="497">
        <f>'P NP LAUT KAB'!$AG16</f>
        <v>0</v>
      </c>
      <c r="K68" s="363">
        <f>'P NP LAUT KAB'!$AS16</f>
        <v>0</v>
      </c>
      <c r="L68" s="267">
        <f>'P NP LAUT KAB'!$W16</f>
        <v>0</v>
      </c>
      <c r="M68" s="493">
        <f>'P NP LAUT KAB'!$BS16</f>
        <v>0</v>
      </c>
      <c r="N68" s="819">
        <f>SUM('P NP LAUT KAB'!$BG16)</f>
        <v>0</v>
      </c>
      <c r="O68" s="820">
        <f>'P NP LAUT KAB'!K16</f>
        <v>0</v>
      </c>
      <c r="P68" s="352">
        <f t="shared" si="10"/>
        <v>0</v>
      </c>
      <c r="Q68" s="350">
        <f>'P NP TW'!F17</f>
        <v>0</v>
      </c>
      <c r="R68" s="350">
        <f>'P NP TW'!H17</f>
        <v>0</v>
      </c>
      <c r="S68" s="350">
        <f>'P NP TW'!J17</f>
        <v>0</v>
      </c>
      <c r="T68" s="351">
        <f>'P NP TW'!L17</f>
        <v>0</v>
      </c>
      <c r="U68" s="309"/>
      <c r="V68" s="309"/>
    </row>
    <row r="69" spans="1:23">
      <c r="A69" s="260" t="s">
        <v>130</v>
      </c>
      <c r="B69" s="350">
        <f t="shared" si="7"/>
        <v>0</v>
      </c>
      <c r="C69" s="350">
        <f t="shared" si="8"/>
        <v>0</v>
      </c>
      <c r="D69" s="267">
        <f>'P NP LAUT KAB'!E17</f>
        <v>0</v>
      </c>
      <c r="E69" s="267">
        <f>'P NP LAUT KAB'!O17</f>
        <v>0</v>
      </c>
      <c r="F69" s="267">
        <f>('P NP LAUT KAB'!$Y17+'P NP LAUT KAB'!$AA17)</f>
        <v>0</v>
      </c>
      <c r="G69" s="267">
        <f>'P NP LAUT KAB'!$S17</f>
        <v>0</v>
      </c>
      <c r="H69" s="267">
        <f>'P NP LAUT KAB'!$BQ17</f>
        <v>0</v>
      </c>
      <c r="I69" s="352">
        <f t="shared" si="9"/>
        <v>0</v>
      </c>
      <c r="J69" s="497">
        <f>'P NP LAUT KAB'!$AG17</f>
        <v>0</v>
      </c>
      <c r="K69" s="363">
        <f>'P NP LAUT KAB'!$AS17</f>
        <v>0</v>
      </c>
      <c r="L69" s="267">
        <f>'P NP LAUT KAB'!$W17</f>
        <v>0</v>
      </c>
      <c r="M69" s="493">
        <f>'P NP LAUT KAB'!$BS17</f>
        <v>0</v>
      </c>
      <c r="N69" s="819">
        <f>SUM('P NP LAUT KAB'!$BG17)</f>
        <v>0</v>
      </c>
      <c r="O69" s="820">
        <f>'P NP LAUT KAB'!K17</f>
        <v>0</v>
      </c>
      <c r="P69" s="352">
        <f t="shared" si="10"/>
        <v>0</v>
      </c>
      <c r="Q69" s="350">
        <f>'P NP TW'!F18</f>
        <v>0</v>
      </c>
      <c r="R69" s="350">
        <f>'P NP TW'!H18</f>
        <v>0</v>
      </c>
      <c r="S69" s="350">
        <f>'P NP TW'!J18</f>
        <v>0</v>
      </c>
      <c r="T69" s="351">
        <f>'P NP TW'!L18</f>
        <v>0</v>
      </c>
      <c r="U69" s="309"/>
      <c r="V69" s="309"/>
    </row>
    <row r="70" spans="1:23">
      <c r="A70" s="260" t="s">
        <v>131</v>
      </c>
      <c r="B70" s="350">
        <f t="shared" si="7"/>
        <v>0</v>
      </c>
      <c r="C70" s="350">
        <f t="shared" si="8"/>
        <v>0</v>
      </c>
      <c r="D70" s="267">
        <f>'P NP LAUT KAB'!E18</f>
        <v>0</v>
      </c>
      <c r="E70" s="267">
        <f>'P NP LAUT KAB'!O18</f>
        <v>0</v>
      </c>
      <c r="F70" s="267">
        <f>('P NP LAUT KAB'!$Y18+'P NP LAUT KAB'!$AA18)</f>
        <v>0</v>
      </c>
      <c r="G70" s="267">
        <f>'P NP LAUT KAB'!$S18</f>
        <v>0</v>
      </c>
      <c r="H70" s="267">
        <f>'P NP LAUT KAB'!$BQ18</f>
        <v>0</v>
      </c>
      <c r="I70" s="352">
        <f t="shared" si="9"/>
        <v>0</v>
      </c>
      <c r="J70" s="497">
        <f>'P NP LAUT KAB'!$AG18</f>
        <v>0</v>
      </c>
      <c r="K70" s="363">
        <f>'P NP LAUT KAB'!$AS18</f>
        <v>0</v>
      </c>
      <c r="L70" s="267">
        <f>'P NP LAUT KAB'!$W18</f>
        <v>0</v>
      </c>
      <c r="M70" s="493">
        <f>'P NP LAUT KAB'!$BS18</f>
        <v>0</v>
      </c>
      <c r="N70" s="819">
        <f>SUM('P NP LAUT KAB'!$BG18)</f>
        <v>0</v>
      </c>
      <c r="O70" s="820">
        <f>'P NP LAUT KAB'!K18</f>
        <v>0</v>
      </c>
      <c r="P70" s="352">
        <f t="shared" si="10"/>
        <v>0</v>
      </c>
      <c r="Q70" s="350">
        <f>'P NP TW'!F19</f>
        <v>0</v>
      </c>
      <c r="R70" s="350">
        <f>'P NP TW'!H19</f>
        <v>0</v>
      </c>
      <c r="S70" s="350">
        <f>'P NP TW'!J19</f>
        <v>0</v>
      </c>
      <c r="T70" s="351">
        <f>'P NP TW'!L19</f>
        <v>0</v>
      </c>
      <c r="U70" s="309"/>
      <c r="V70" s="309"/>
    </row>
    <row r="71" spans="1:23">
      <c r="A71" s="260" t="s">
        <v>118</v>
      </c>
      <c r="B71" s="350">
        <f t="shared" si="7"/>
        <v>0</v>
      </c>
      <c r="C71" s="350">
        <f t="shared" si="8"/>
        <v>0</v>
      </c>
      <c r="D71" s="267">
        <f>'P NP LAUT KAB'!E19</f>
        <v>0</v>
      </c>
      <c r="E71" s="267">
        <f>'P NP LAUT KAB'!O19</f>
        <v>0</v>
      </c>
      <c r="F71" s="267">
        <f>('P NP LAUT KAB'!$Y19+'P NP LAUT KAB'!$AA19)</f>
        <v>0</v>
      </c>
      <c r="G71" s="267">
        <f>'P NP LAUT KAB'!$S19</f>
        <v>0</v>
      </c>
      <c r="H71" s="267">
        <f>'P NP LAUT KAB'!$BQ19</f>
        <v>0</v>
      </c>
      <c r="I71" s="352">
        <f t="shared" si="9"/>
        <v>0</v>
      </c>
      <c r="J71" s="497">
        <f>'P NP LAUT KAB'!$AG19</f>
        <v>0</v>
      </c>
      <c r="K71" s="363">
        <f>'P NP LAUT KAB'!$AS19</f>
        <v>0</v>
      </c>
      <c r="L71" s="267">
        <f>'P NP LAUT KAB'!$W19</f>
        <v>0</v>
      </c>
      <c r="M71" s="493">
        <f>'P NP LAUT KAB'!$BS19</f>
        <v>0</v>
      </c>
      <c r="N71" s="819">
        <f>SUM('P NP LAUT KAB'!$BG19)</f>
        <v>0</v>
      </c>
      <c r="O71" s="820">
        <f>'P NP LAUT KAB'!K19</f>
        <v>0</v>
      </c>
      <c r="P71" s="352">
        <f t="shared" si="10"/>
        <v>0</v>
      </c>
      <c r="Q71" s="350">
        <f>'P NP TW'!F20</f>
        <v>0</v>
      </c>
      <c r="R71" s="350">
        <f>'P NP TW'!H20</f>
        <v>0</v>
      </c>
      <c r="S71" s="350">
        <f>'P NP TW'!J20</f>
        <v>0</v>
      </c>
      <c r="T71" s="351">
        <f>'P NP TW'!L20</f>
        <v>0</v>
      </c>
      <c r="U71" s="309"/>
      <c r="V71" s="309"/>
    </row>
    <row r="72" spans="1:23">
      <c r="A72" s="260" t="s">
        <v>127</v>
      </c>
      <c r="B72" s="350">
        <f t="shared" si="7"/>
        <v>0</v>
      </c>
      <c r="C72" s="350">
        <f t="shared" si="8"/>
        <v>0</v>
      </c>
      <c r="D72" s="267">
        <f>'P NP LAUT KAB'!E20</f>
        <v>0</v>
      </c>
      <c r="E72" s="267">
        <f>'P NP LAUT KAB'!O20</f>
        <v>0</v>
      </c>
      <c r="F72" s="267">
        <f>('P NP LAUT KAB'!$Y20+'P NP LAUT KAB'!$AA20)</f>
        <v>0</v>
      </c>
      <c r="G72" s="267">
        <f>'P NP LAUT KAB'!$S20</f>
        <v>0</v>
      </c>
      <c r="H72" s="267">
        <f>'P NP LAUT KAB'!$BQ20</f>
        <v>0</v>
      </c>
      <c r="I72" s="352">
        <f t="shared" si="9"/>
        <v>0</v>
      </c>
      <c r="J72" s="497">
        <f>'P NP LAUT KAB'!$AG20</f>
        <v>0</v>
      </c>
      <c r="K72" s="363">
        <f>'P NP LAUT KAB'!$AS20</f>
        <v>0</v>
      </c>
      <c r="L72" s="267">
        <f>'P NP LAUT KAB'!$W20</f>
        <v>0</v>
      </c>
      <c r="M72" s="493">
        <f>'P NP LAUT KAB'!$BS20</f>
        <v>0</v>
      </c>
      <c r="N72" s="819">
        <f>SUM('P NP LAUT KAB'!$BG20)</f>
        <v>0</v>
      </c>
      <c r="O72" s="820">
        <f>'P NP LAUT KAB'!K20</f>
        <v>0</v>
      </c>
      <c r="P72" s="352">
        <f t="shared" si="10"/>
        <v>0</v>
      </c>
      <c r="Q72" s="350">
        <f>'P NP TW'!F21</f>
        <v>0</v>
      </c>
      <c r="R72" s="350">
        <f>'P NP TW'!H21</f>
        <v>0</v>
      </c>
      <c r="S72" s="350">
        <f>'P NP TW'!J21</f>
        <v>0</v>
      </c>
      <c r="T72" s="351">
        <f>'P NP TW'!L21</f>
        <v>0</v>
      </c>
      <c r="U72" s="309"/>
      <c r="V72" s="309"/>
    </row>
    <row r="73" spans="1:23">
      <c r="A73" s="260" t="s">
        <v>129</v>
      </c>
      <c r="B73" s="350">
        <f t="shared" si="7"/>
        <v>0</v>
      </c>
      <c r="C73" s="350">
        <f t="shared" si="8"/>
        <v>0</v>
      </c>
      <c r="D73" s="267">
        <f>'P NP LAUT KAB'!E21</f>
        <v>0</v>
      </c>
      <c r="E73" s="267">
        <f>'P NP LAUT KAB'!O21</f>
        <v>0</v>
      </c>
      <c r="F73" s="267">
        <f>('P NP LAUT KAB'!$Y21+'P NP LAUT KAB'!$AA21)</f>
        <v>0</v>
      </c>
      <c r="G73" s="267">
        <f>'P NP LAUT KAB'!$S21</f>
        <v>0</v>
      </c>
      <c r="H73" s="267">
        <f>'P NP LAUT KAB'!$BQ21</f>
        <v>0</v>
      </c>
      <c r="I73" s="352">
        <f t="shared" si="9"/>
        <v>0</v>
      </c>
      <c r="J73" s="497">
        <f>'P NP LAUT KAB'!$AG21</f>
        <v>0</v>
      </c>
      <c r="K73" s="363">
        <f>'P NP LAUT KAB'!$AS21</f>
        <v>0</v>
      </c>
      <c r="L73" s="267">
        <f>'P NP LAUT KAB'!$W21</f>
        <v>0</v>
      </c>
      <c r="M73" s="493">
        <f>'P NP LAUT KAB'!$BS21</f>
        <v>0</v>
      </c>
      <c r="N73" s="819">
        <f>SUM('P NP LAUT KAB'!$BG21)</f>
        <v>0</v>
      </c>
      <c r="O73" s="820">
        <f>'P NP LAUT KAB'!K21</f>
        <v>0</v>
      </c>
      <c r="P73" s="352">
        <f t="shared" si="10"/>
        <v>0</v>
      </c>
      <c r="Q73" s="350">
        <f>'P NP TW'!F22</f>
        <v>0</v>
      </c>
      <c r="R73" s="350">
        <f>'P NP TW'!H22</f>
        <v>0</v>
      </c>
      <c r="S73" s="350">
        <f>'P NP TW'!J22</f>
        <v>0</v>
      </c>
      <c r="T73" s="351">
        <f>'P NP TW'!L22</f>
        <v>0</v>
      </c>
      <c r="V73" s="309"/>
    </row>
    <row r="74" spans="1:23">
      <c r="A74" s="260" t="s">
        <v>132</v>
      </c>
      <c r="B74" s="350">
        <f t="shared" si="7"/>
        <v>0</v>
      </c>
      <c r="C74" s="350">
        <f t="shared" si="8"/>
        <v>0</v>
      </c>
      <c r="D74" s="267">
        <f>'P NP LAUT KAB'!E22</f>
        <v>0</v>
      </c>
      <c r="E74" s="267">
        <f>'P NP LAUT KAB'!O22</f>
        <v>0</v>
      </c>
      <c r="F74" s="267">
        <f>('P NP LAUT KAB'!$Y22+'P NP LAUT KAB'!$AA22)</f>
        <v>0</v>
      </c>
      <c r="G74" s="267">
        <f>'P NP LAUT KAB'!$S22</f>
        <v>0</v>
      </c>
      <c r="H74" s="267">
        <f>'P NP LAUT KAB'!$BQ22</f>
        <v>0</v>
      </c>
      <c r="I74" s="352">
        <f t="shared" si="9"/>
        <v>0</v>
      </c>
      <c r="J74" s="497">
        <f>'P NP LAUT KAB'!$AG22</f>
        <v>0</v>
      </c>
      <c r="K74" s="363">
        <f>'P NP LAUT KAB'!$AS22</f>
        <v>0</v>
      </c>
      <c r="L74" s="267">
        <f>'P NP LAUT KAB'!$W22</f>
        <v>0</v>
      </c>
      <c r="M74" s="493">
        <f>'P NP LAUT KAB'!$BS22</f>
        <v>0</v>
      </c>
      <c r="N74" s="819">
        <f>SUM('P NP LAUT KAB'!$BG22)</f>
        <v>0</v>
      </c>
      <c r="O74" s="820">
        <f>'P NP LAUT KAB'!K22</f>
        <v>0</v>
      </c>
      <c r="P74" s="352">
        <f t="shared" si="10"/>
        <v>0</v>
      </c>
      <c r="Q74" s="350">
        <f>'P NP TW'!F23</f>
        <v>0</v>
      </c>
      <c r="R74" s="350">
        <f>'P NP TW'!H23</f>
        <v>0</v>
      </c>
      <c r="S74" s="350">
        <f>'P NP TW'!J23</f>
        <v>0</v>
      </c>
      <c r="T74" s="351">
        <f>'P NP TW'!L23</f>
        <v>0</v>
      </c>
      <c r="U74" s="487"/>
      <c r="V74" s="309"/>
      <c r="W74" s="487"/>
    </row>
    <row r="75" spans="1:23">
      <c r="A75" s="260" t="s">
        <v>112</v>
      </c>
      <c r="B75" s="350">
        <f t="shared" si="7"/>
        <v>0</v>
      </c>
      <c r="C75" s="350">
        <f t="shared" si="8"/>
        <v>0</v>
      </c>
      <c r="D75" s="267">
        <f>'P NP LAUT KAB'!E23</f>
        <v>0</v>
      </c>
      <c r="E75" s="267">
        <f>'P NP LAUT KAB'!O23</f>
        <v>0</v>
      </c>
      <c r="F75" s="267">
        <f>('P NP LAUT KAB'!$Y23+'P NP LAUT KAB'!$AA23)</f>
        <v>0</v>
      </c>
      <c r="G75" s="267">
        <f>'P NP LAUT KAB'!$S23</f>
        <v>0</v>
      </c>
      <c r="H75" s="267">
        <f>'P NP LAUT KAB'!$BQ23</f>
        <v>0</v>
      </c>
      <c r="I75" s="352">
        <f t="shared" si="9"/>
        <v>0</v>
      </c>
      <c r="J75" s="497">
        <f>'P NP LAUT KAB'!$AG23</f>
        <v>0</v>
      </c>
      <c r="K75" s="363">
        <f>'P NP LAUT KAB'!$AS23</f>
        <v>0</v>
      </c>
      <c r="L75" s="267">
        <f>'P NP LAUT KAB'!$W23</f>
        <v>0</v>
      </c>
      <c r="M75" s="493">
        <f>'P NP LAUT KAB'!$BS23</f>
        <v>0</v>
      </c>
      <c r="N75" s="819">
        <f>SUM('P NP LAUT KAB'!$BG23)</f>
        <v>0</v>
      </c>
      <c r="O75" s="820">
        <f>'P NP LAUT KAB'!K23</f>
        <v>0</v>
      </c>
      <c r="P75" s="352">
        <f t="shared" si="10"/>
        <v>0</v>
      </c>
      <c r="Q75" s="350">
        <f>'P NP TW'!F24</f>
        <v>0</v>
      </c>
      <c r="R75" s="350">
        <f>'P NP TW'!H24</f>
        <v>0</v>
      </c>
      <c r="S75" s="350">
        <f>'P NP TW'!J24</f>
        <v>0</v>
      </c>
      <c r="T75" s="351">
        <f>'P NP TW'!L24</f>
        <v>0</v>
      </c>
      <c r="V75" s="309"/>
    </row>
    <row r="76" spans="1:23">
      <c r="A76" s="260" t="s">
        <v>139</v>
      </c>
      <c r="B76" s="350">
        <f t="shared" si="7"/>
        <v>0</v>
      </c>
      <c r="C76" s="350">
        <f t="shared" si="8"/>
        <v>0</v>
      </c>
      <c r="D76" s="267">
        <f>'P NP LAUT KAB'!E24</f>
        <v>0</v>
      </c>
      <c r="E76" s="267">
        <f>'P NP LAUT KAB'!O24</f>
        <v>0</v>
      </c>
      <c r="F76" s="267">
        <f>('P NP LAUT KAB'!$Y24+'P NP LAUT KAB'!$AA24)</f>
        <v>0</v>
      </c>
      <c r="G76" s="267">
        <f>'P NP LAUT KAB'!$S24</f>
        <v>0</v>
      </c>
      <c r="H76" s="267">
        <f>'P NP LAUT KAB'!$BQ24</f>
        <v>0</v>
      </c>
      <c r="I76" s="352">
        <f t="shared" si="9"/>
        <v>0</v>
      </c>
      <c r="J76" s="497">
        <f>'P NP LAUT KAB'!$AG24</f>
        <v>0</v>
      </c>
      <c r="K76" s="363">
        <f>'P NP LAUT KAB'!$AS24</f>
        <v>0</v>
      </c>
      <c r="L76" s="267">
        <f>'P NP LAUT KAB'!$W24</f>
        <v>0</v>
      </c>
      <c r="M76" s="493">
        <f>'P NP LAUT KAB'!$BS24</f>
        <v>0</v>
      </c>
      <c r="N76" s="819">
        <f>SUM('P NP LAUT KAB'!$BG24)</f>
        <v>0</v>
      </c>
      <c r="O76" s="820">
        <f>'P NP LAUT KAB'!K24</f>
        <v>0</v>
      </c>
      <c r="P76" s="352">
        <f t="shared" si="10"/>
        <v>0</v>
      </c>
      <c r="Q76" s="350">
        <f>'P NP TW'!F25</f>
        <v>0</v>
      </c>
      <c r="R76" s="350">
        <f>'P NP TW'!H25</f>
        <v>0</v>
      </c>
      <c r="S76" s="350">
        <f>'P NP TW'!J25</f>
        <v>0</v>
      </c>
      <c r="T76" s="351">
        <f>'P NP TW'!L25</f>
        <v>0</v>
      </c>
      <c r="V76" s="309"/>
    </row>
    <row r="77" spans="1:23">
      <c r="A77" s="260" t="s">
        <v>125</v>
      </c>
      <c r="B77" s="350">
        <f t="shared" si="7"/>
        <v>0</v>
      </c>
      <c r="C77" s="350">
        <f t="shared" si="8"/>
        <v>0</v>
      </c>
      <c r="D77" s="267">
        <f>'P NP LAUT KAB'!E25</f>
        <v>0</v>
      </c>
      <c r="E77" s="267">
        <f>'P NP LAUT KAB'!O25</f>
        <v>0</v>
      </c>
      <c r="F77" s="267">
        <f>('P NP LAUT KAB'!$Y25+'P NP LAUT KAB'!$AA25)</f>
        <v>0</v>
      </c>
      <c r="G77" s="267">
        <f>'P NP LAUT KAB'!$S25</f>
        <v>0</v>
      </c>
      <c r="H77" s="267">
        <f>'P NP LAUT KAB'!$BQ25</f>
        <v>0</v>
      </c>
      <c r="I77" s="352">
        <f t="shared" si="9"/>
        <v>0</v>
      </c>
      <c r="J77" s="497">
        <f>'P NP LAUT KAB'!$AG25</f>
        <v>0</v>
      </c>
      <c r="K77" s="363">
        <f>'P NP LAUT KAB'!$AS25</f>
        <v>0</v>
      </c>
      <c r="L77" s="267">
        <f>'P NP LAUT KAB'!$W25</f>
        <v>0</v>
      </c>
      <c r="M77" s="493">
        <f>'P NP LAUT KAB'!$BS25</f>
        <v>0</v>
      </c>
      <c r="N77" s="819">
        <f>SUM('P NP LAUT KAB'!$BG25)</f>
        <v>0</v>
      </c>
      <c r="O77" s="820">
        <f>'P NP LAUT KAB'!K25</f>
        <v>0</v>
      </c>
      <c r="P77" s="352">
        <f t="shared" si="10"/>
        <v>0</v>
      </c>
      <c r="Q77" s="350">
        <f>'P NP TW'!F26</f>
        <v>0</v>
      </c>
      <c r="R77" s="350">
        <f>'P NP TW'!H26</f>
        <v>0</v>
      </c>
      <c r="S77" s="350">
        <f>'P NP TW'!J26</f>
        <v>0</v>
      </c>
      <c r="T77" s="351">
        <f>'P NP TW'!L26</f>
        <v>0</v>
      </c>
      <c r="V77" s="309"/>
    </row>
    <row r="78" spans="1:23">
      <c r="A78" s="260" t="s">
        <v>113</v>
      </c>
      <c r="B78" s="350">
        <f t="shared" si="7"/>
        <v>0</v>
      </c>
      <c r="C78" s="350">
        <f t="shared" si="8"/>
        <v>0</v>
      </c>
      <c r="D78" s="267">
        <f>'P NP LAUT KAB'!E26</f>
        <v>0</v>
      </c>
      <c r="E78" s="267">
        <f>'P NP LAUT KAB'!O26</f>
        <v>0</v>
      </c>
      <c r="F78" s="267">
        <f>('P NP LAUT KAB'!$Y26+'P NP LAUT KAB'!$AA26)</f>
        <v>0</v>
      </c>
      <c r="G78" s="267">
        <f>'P NP LAUT KAB'!$S26</f>
        <v>0</v>
      </c>
      <c r="H78" s="267">
        <f>'P NP LAUT KAB'!$BQ26</f>
        <v>0</v>
      </c>
      <c r="I78" s="352">
        <f t="shared" si="9"/>
        <v>0</v>
      </c>
      <c r="J78" s="497">
        <f>'P NP LAUT KAB'!$AG26</f>
        <v>0</v>
      </c>
      <c r="K78" s="363">
        <f>'P NP LAUT KAB'!$AS26</f>
        <v>0</v>
      </c>
      <c r="L78" s="267">
        <f>'P NP LAUT KAB'!$W26</f>
        <v>0</v>
      </c>
      <c r="M78" s="493">
        <f>'P NP LAUT KAB'!$BS26</f>
        <v>0</v>
      </c>
      <c r="N78" s="819">
        <f>SUM('P NP LAUT KAB'!$BG26)</f>
        <v>0</v>
      </c>
      <c r="O78" s="820">
        <f>'P NP LAUT KAB'!K26</f>
        <v>0</v>
      </c>
      <c r="P78" s="352">
        <f t="shared" si="10"/>
        <v>0</v>
      </c>
      <c r="Q78" s="350">
        <f>'P NP TW'!F27</f>
        <v>0</v>
      </c>
      <c r="R78" s="350">
        <f>'P NP TW'!H27</f>
        <v>0</v>
      </c>
      <c r="S78" s="350">
        <f>'P NP TW'!J27</f>
        <v>0</v>
      </c>
      <c r="T78" s="351">
        <f>'P NP TW'!L27</f>
        <v>0</v>
      </c>
      <c r="V78" s="309"/>
    </row>
    <row r="79" spans="1:23">
      <c r="A79" s="260" t="s">
        <v>124</v>
      </c>
      <c r="B79" s="350">
        <f t="shared" si="7"/>
        <v>36987750</v>
      </c>
      <c r="C79" s="350">
        <f t="shared" si="8"/>
        <v>36987750</v>
      </c>
      <c r="D79" s="267">
        <f>'P NP LAUT KAB'!E27</f>
        <v>0</v>
      </c>
      <c r="E79" s="267">
        <f>'P NP LAUT KAB'!O27</f>
        <v>0</v>
      </c>
      <c r="F79" s="267">
        <f>('P NP LAUT KAB'!$Y27+'P NP LAUT KAB'!$AA27)</f>
        <v>36987750</v>
      </c>
      <c r="G79" s="267">
        <f>'P NP LAUT KAB'!$S27</f>
        <v>0</v>
      </c>
      <c r="H79" s="267">
        <f>'P NP LAUT KAB'!$BQ27</f>
        <v>0</v>
      </c>
      <c r="I79" s="352">
        <f t="shared" si="9"/>
        <v>0</v>
      </c>
      <c r="J79" s="497">
        <f>'P NP LAUT KAB'!$AG27</f>
        <v>0</v>
      </c>
      <c r="K79" s="363">
        <f>'P NP LAUT KAB'!$AS27</f>
        <v>0</v>
      </c>
      <c r="L79" s="267">
        <f>'P NP LAUT KAB'!$W27</f>
        <v>0</v>
      </c>
      <c r="M79" s="493">
        <f>'P NP LAUT KAB'!$BS27</f>
        <v>0</v>
      </c>
      <c r="N79" s="819">
        <f>SUM('P NP LAUT KAB'!$BG27)</f>
        <v>0</v>
      </c>
      <c r="O79" s="820">
        <f>'P NP LAUT KAB'!K27</f>
        <v>0</v>
      </c>
      <c r="P79" s="352">
        <f t="shared" si="10"/>
        <v>36987750</v>
      </c>
      <c r="Q79" s="350">
        <f>'P NP TW'!F28</f>
        <v>8313000</v>
      </c>
      <c r="R79" s="350">
        <f>'P NP TW'!H28</f>
        <v>7616000</v>
      </c>
      <c r="S79" s="350">
        <f>'P NP TW'!J28</f>
        <v>7535250</v>
      </c>
      <c r="T79" s="351">
        <f>'P NP TW'!L28</f>
        <v>13523500</v>
      </c>
      <c r="V79" s="309"/>
    </row>
    <row r="80" spans="1:23">
      <c r="A80" s="260" t="s">
        <v>138</v>
      </c>
      <c r="B80" s="350">
        <f t="shared" si="7"/>
        <v>0</v>
      </c>
      <c r="C80" s="350">
        <f t="shared" si="8"/>
        <v>0</v>
      </c>
      <c r="D80" s="267">
        <f>'P NP LAUT KAB'!E28</f>
        <v>0</v>
      </c>
      <c r="E80" s="267">
        <f>'P NP LAUT KAB'!O28</f>
        <v>0</v>
      </c>
      <c r="F80" s="267">
        <f>('P NP LAUT KAB'!$Y28+'P NP LAUT KAB'!$AA28)</f>
        <v>0</v>
      </c>
      <c r="G80" s="267">
        <f>'P NP LAUT KAB'!$S28</f>
        <v>0</v>
      </c>
      <c r="H80" s="267">
        <f>'P NP LAUT KAB'!$BQ28</f>
        <v>0</v>
      </c>
      <c r="I80" s="352">
        <f t="shared" si="9"/>
        <v>0</v>
      </c>
      <c r="J80" s="497">
        <f>'P NP LAUT KAB'!$AG28</f>
        <v>0</v>
      </c>
      <c r="K80" s="363">
        <f>'P NP LAUT KAB'!$AS28</f>
        <v>0</v>
      </c>
      <c r="L80" s="267">
        <f>'P NP LAUT KAB'!$W28</f>
        <v>0</v>
      </c>
      <c r="M80" s="493">
        <f>'P NP LAUT KAB'!$BS28</f>
        <v>0</v>
      </c>
      <c r="N80" s="819">
        <f>SUM('P NP LAUT KAB'!$BG28)</f>
        <v>0</v>
      </c>
      <c r="O80" s="820">
        <f>'P NP LAUT KAB'!K28</f>
        <v>0</v>
      </c>
      <c r="P80" s="352">
        <f t="shared" si="10"/>
        <v>0</v>
      </c>
      <c r="Q80" s="350">
        <f>'P NP TW'!F29</f>
        <v>0</v>
      </c>
      <c r="R80" s="350">
        <f>'P NP TW'!H29</f>
        <v>0</v>
      </c>
      <c r="S80" s="350">
        <f>'P NP TW'!J29</f>
        <v>0</v>
      </c>
      <c r="T80" s="351">
        <f>'P NP TW'!L29</f>
        <v>0</v>
      </c>
      <c r="V80" s="309"/>
    </row>
    <row r="81" spans="1:22">
      <c r="A81" s="260" t="s">
        <v>126</v>
      </c>
      <c r="B81" s="350">
        <f t="shared" si="7"/>
        <v>0</v>
      </c>
      <c r="C81" s="350">
        <f t="shared" si="8"/>
        <v>0</v>
      </c>
      <c r="D81" s="267">
        <f>'P NP LAUT KAB'!E29</f>
        <v>0</v>
      </c>
      <c r="E81" s="267">
        <f>'P NP LAUT KAB'!O29</f>
        <v>0</v>
      </c>
      <c r="F81" s="267">
        <f>('P NP LAUT KAB'!$Y29+'P NP LAUT KAB'!$AA29)</f>
        <v>0</v>
      </c>
      <c r="G81" s="267">
        <f>'P NP LAUT KAB'!$S29</f>
        <v>0</v>
      </c>
      <c r="H81" s="267">
        <f>'P NP LAUT KAB'!$BQ29</f>
        <v>0</v>
      </c>
      <c r="I81" s="352">
        <f t="shared" si="9"/>
        <v>0</v>
      </c>
      <c r="J81" s="497">
        <f>'P NP LAUT KAB'!$AG29</f>
        <v>0</v>
      </c>
      <c r="K81" s="363">
        <f>'P NP LAUT KAB'!$AS29</f>
        <v>0</v>
      </c>
      <c r="L81" s="267">
        <f>'P NP LAUT KAB'!$W29</f>
        <v>0</v>
      </c>
      <c r="M81" s="493">
        <f>'P NP LAUT KAB'!$BS29</f>
        <v>0</v>
      </c>
      <c r="N81" s="819">
        <f>SUM('P NP LAUT KAB'!$BG29)</f>
        <v>0</v>
      </c>
      <c r="O81" s="820">
        <f>'P NP LAUT KAB'!K29</f>
        <v>0</v>
      </c>
      <c r="P81" s="352">
        <f t="shared" si="10"/>
        <v>0</v>
      </c>
      <c r="Q81" s="350">
        <f>'P NP TW'!F30</f>
        <v>0</v>
      </c>
      <c r="R81" s="350">
        <f>'P NP TW'!H30</f>
        <v>0</v>
      </c>
      <c r="S81" s="350">
        <f>'P NP TW'!J30</f>
        <v>0</v>
      </c>
      <c r="T81" s="351">
        <f>'P NP TW'!L30</f>
        <v>0</v>
      </c>
      <c r="V81" s="309"/>
    </row>
    <row r="82" spans="1:22">
      <c r="A82" s="260" t="s">
        <v>123</v>
      </c>
      <c r="B82" s="350">
        <f t="shared" si="7"/>
        <v>1977950</v>
      </c>
      <c r="C82" s="350">
        <f t="shared" si="8"/>
        <v>889900</v>
      </c>
      <c r="D82" s="267">
        <f>'P NP LAUT KAB'!E30</f>
        <v>82950</v>
      </c>
      <c r="E82" s="267">
        <f>'P NP LAUT KAB'!O30</f>
        <v>0</v>
      </c>
      <c r="F82" s="267">
        <f>('P NP LAUT KAB'!$Y30+'P NP LAUT KAB'!$AA30)</f>
        <v>598750</v>
      </c>
      <c r="G82" s="267">
        <f>'P NP LAUT KAB'!$S30</f>
        <v>208200</v>
      </c>
      <c r="H82" s="267">
        <f>'P NP LAUT KAB'!$BQ30</f>
        <v>0</v>
      </c>
      <c r="I82" s="352">
        <f t="shared" si="9"/>
        <v>1088050</v>
      </c>
      <c r="J82" s="497">
        <f>'P NP LAUT KAB'!$AG30</f>
        <v>869750</v>
      </c>
      <c r="K82" s="363">
        <f>'P NP LAUT KAB'!$AS30</f>
        <v>0</v>
      </c>
      <c r="L82" s="267">
        <f>'P NP LAUT KAB'!$W30</f>
        <v>0</v>
      </c>
      <c r="M82" s="493">
        <f>'P NP LAUT KAB'!$BS30</f>
        <v>0</v>
      </c>
      <c r="N82" s="819">
        <f>SUM('P NP LAUT KAB'!$BG30)</f>
        <v>0</v>
      </c>
      <c r="O82" s="820">
        <f>'P NP LAUT KAB'!K30</f>
        <v>218300</v>
      </c>
      <c r="P82" s="352">
        <f t="shared" si="10"/>
        <v>1977950</v>
      </c>
      <c r="Q82" s="350">
        <f>'P NP TW'!F31</f>
        <v>372250</v>
      </c>
      <c r="R82" s="350">
        <f>'P NP TW'!H31</f>
        <v>481000</v>
      </c>
      <c r="S82" s="350">
        <f>'P NP TW'!J31</f>
        <v>591500</v>
      </c>
      <c r="T82" s="351">
        <f>'P NP TW'!L31</f>
        <v>533200</v>
      </c>
      <c r="V82" s="309"/>
    </row>
    <row r="83" spans="1:22">
      <c r="A83" s="260" t="s">
        <v>140</v>
      </c>
      <c r="B83" s="350">
        <f t="shared" si="7"/>
        <v>3895512472</v>
      </c>
      <c r="C83" s="350">
        <f t="shared" si="8"/>
        <v>80853400</v>
      </c>
      <c r="D83" s="267">
        <f>'P NP LAUT KAB'!E31</f>
        <v>0</v>
      </c>
      <c r="E83" s="267">
        <f>'P NP LAUT KAB'!O31</f>
        <v>0</v>
      </c>
      <c r="F83" s="267">
        <f>('P NP LAUT KAB'!$Y31+'P NP LAUT KAB'!$AA31)</f>
        <v>80853400</v>
      </c>
      <c r="G83" s="267">
        <f>'P NP LAUT KAB'!$S31</f>
        <v>0</v>
      </c>
      <c r="H83" s="267">
        <f>'P NP LAUT KAB'!$BQ31</f>
        <v>0</v>
      </c>
      <c r="I83" s="352">
        <f t="shared" si="9"/>
        <v>3814659072</v>
      </c>
      <c r="J83" s="497">
        <f>'P NP LAUT KAB'!$AG31</f>
        <v>0</v>
      </c>
      <c r="K83" s="363">
        <f>'P NP LAUT KAB'!$AS31</f>
        <v>0</v>
      </c>
      <c r="L83" s="267">
        <f>'P NP LAUT KAB'!$W31</f>
        <v>0</v>
      </c>
      <c r="M83" s="493">
        <f>'P NP LAUT KAB'!$BS31</f>
        <v>0</v>
      </c>
      <c r="N83" s="819">
        <f>SUM('P NP LAUT KAB'!$BG31)</f>
        <v>0</v>
      </c>
      <c r="O83" s="820">
        <f>'P NP LAUT KAB'!K31</f>
        <v>3814659072</v>
      </c>
      <c r="P83" s="352">
        <f t="shared" si="10"/>
        <v>3895512472</v>
      </c>
      <c r="Q83" s="350">
        <f>'P NP TW'!F32</f>
        <v>942970302</v>
      </c>
      <c r="R83" s="350">
        <f>'P NP TW'!H32</f>
        <v>712478770</v>
      </c>
      <c r="S83" s="350">
        <f>'P NP TW'!J32</f>
        <v>1154648400</v>
      </c>
      <c r="T83" s="351">
        <f>'P NP TW'!L32</f>
        <v>1085415000</v>
      </c>
      <c r="V83" s="309"/>
    </row>
    <row r="84" spans="1:22">
      <c r="A84" s="260" t="s">
        <v>114</v>
      </c>
      <c r="B84" s="350">
        <f t="shared" si="7"/>
        <v>150921.5</v>
      </c>
      <c r="C84" s="350">
        <f t="shared" si="8"/>
        <v>90731.5</v>
      </c>
      <c r="D84" s="267">
        <f>'P NP LAUT KAB'!E32</f>
        <v>0</v>
      </c>
      <c r="E84" s="267">
        <f>'P NP LAUT KAB'!O32</f>
        <v>0</v>
      </c>
      <c r="F84" s="267">
        <f>('P NP LAUT KAB'!$Y32+'P NP LAUT KAB'!$AA32)</f>
        <v>90731.5</v>
      </c>
      <c r="G84" s="267">
        <f>'P NP LAUT KAB'!$S32</f>
        <v>0</v>
      </c>
      <c r="H84" s="267">
        <f>'P NP LAUT KAB'!$BQ32</f>
        <v>0</v>
      </c>
      <c r="I84" s="352">
        <f t="shared" si="9"/>
        <v>60190</v>
      </c>
      <c r="J84" s="497">
        <f>'P NP LAUT KAB'!$AG32</f>
        <v>60190</v>
      </c>
      <c r="K84" s="363">
        <f>'P NP LAUT KAB'!$AS32</f>
        <v>0</v>
      </c>
      <c r="L84" s="267">
        <f>'P NP LAUT KAB'!$W32</f>
        <v>0</v>
      </c>
      <c r="M84" s="493">
        <f>'P NP LAUT KAB'!$BS32</f>
        <v>0</v>
      </c>
      <c r="N84" s="819">
        <f>SUM('P NP LAUT KAB'!$BG32)</f>
        <v>0</v>
      </c>
      <c r="O84" s="820">
        <f>'P NP LAUT KAB'!K32</f>
        <v>0</v>
      </c>
      <c r="P84" s="352">
        <f t="shared" si="10"/>
        <v>150921.5</v>
      </c>
      <c r="Q84" s="350">
        <f>'P NP TW'!F33</f>
        <v>40680</v>
      </c>
      <c r="R84" s="350">
        <f>'P NP TW'!H33</f>
        <v>27721.5</v>
      </c>
      <c r="S84" s="350">
        <f>'P NP TW'!J33</f>
        <v>72345</v>
      </c>
      <c r="T84" s="351">
        <f>'P NP TW'!L33</f>
        <v>10175</v>
      </c>
      <c r="V84" s="309"/>
    </row>
    <row r="85" spans="1:22">
      <c r="A85" s="260" t="s">
        <v>134</v>
      </c>
      <c r="B85" s="350">
        <f t="shared" si="7"/>
        <v>276950</v>
      </c>
      <c r="C85" s="350">
        <f t="shared" si="8"/>
        <v>276950</v>
      </c>
      <c r="D85" s="267">
        <f>'P NP LAUT KAB'!E33</f>
        <v>0</v>
      </c>
      <c r="E85" s="267">
        <f>'P NP LAUT KAB'!O33</f>
        <v>0</v>
      </c>
      <c r="F85" s="267">
        <f>('P NP LAUT KAB'!$Y33+'P NP LAUT KAB'!$AA33)</f>
        <v>276950</v>
      </c>
      <c r="G85" s="267">
        <f>'P NP LAUT KAB'!$S33</f>
        <v>0</v>
      </c>
      <c r="H85" s="267">
        <f>'P NP LAUT KAB'!$BQ33</f>
        <v>0</v>
      </c>
      <c r="I85" s="352">
        <f t="shared" si="9"/>
        <v>0</v>
      </c>
      <c r="J85" s="497">
        <f>'P NP LAUT KAB'!$AG33</f>
        <v>0</v>
      </c>
      <c r="K85" s="363">
        <f>'P NP LAUT KAB'!$AS33</f>
        <v>0</v>
      </c>
      <c r="L85" s="267">
        <f>'P NP LAUT KAB'!$W33</f>
        <v>0</v>
      </c>
      <c r="M85" s="493">
        <f>'P NP LAUT KAB'!$BS33</f>
        <v>0</v>
      </c>
      <c r="N85" s="819">
        <f>SUM('P NP LAUT KAB'!$BG33)</f>
        <v>0</v>
      </c>
      <c r="O85" s="820">
        <f>'P NP LAUT KAB'!K33</f>
        <v>0</v>
      </c>
      <c r="P85" s="352">
        <f t="shared" si="10"/>
        <v>276950</v>
      </c>
      <c r="Q85" s="350">
        <f>'P NP TW'!F34</f>
        <v>28000</v>
      </c>
      <c r="R85" s="350">
        <f>'P NP TW'!H34</f>
        <v>55000</v>
      </c>
      <c r="S85" s="350">
        <f>'P NP TW'!J34</f>
        <v>62700</v>
      </c>
      <c r="T85" s="351">
        <f>'P NP TW'!L34</f>
        <v>131250</v>
      </c>
      <c r="V85" s="309"/>
    </row>
    <row r="86" spans="1:22">
      <c r="A86" s="260" t="s">
        <v>115</v>
      </c>
      <c r="B86" s="350">
        <f t="shared" si="7"/>
        <v>0</v>
      </c>
      <c r="C86" s="350">
        <f t="shared" si="8"/>
        <v>0</v>
      </c>
      <c r="D86" s="267">
        <f>'P NP LAUT KAB'!E34</f>
        <v>0</v>
      </c>
      <c r="E86" s="267">
        <f>'P NP LAUT KAB'!O34</f>
        <v>0</v>
      </c>
      <c r="F86" s="267">
        <f>('P NP LAUT KAB'!$Y34+'P NP LAUT KAB'!$AA34)</f>
        <v>0</v>
      </c>
      <c r="G86" s="267">
        <f>'P NP LAUT KAB'!$S34</f>
        <v>0</v>
      </c>
      <c r="H86" s="267">
        <f>'P NP LAUT KAB'!$BQ34</f>
        <v>0</v>
      </c>
      <c r="I86" s="352">
        <f t="shared" si="9"/>
        <v>0</v>
      </c>
      <c r="J86" s="497">
        <f>'P NP LAUT KAB'!$AG34</f>
        <v>0</v>
      </c>
      <c r="K86" s="363">
        <f>'P NP LAUT KAB'!$AS34</f>
        <v>0</v>
      </c>
      <c r="L86" s="267">
        <f>'P NP LAUT KAB'!$W34</f>
        <v>0</v>
      </c>
      <c r="M86" s="493">
        <f>'P NP LAUT KAB'!$BS34</f>
        <v>0</v>
      </c>
      <c r="N86" s="819">
        <f>SUM('P NP LAUT KAB'!$BG34)</f>
        <v>0</v>
      </c>
      <c r="O86" s="820">
        <f>'P NP LAUT KAB'!K34</f>
        <v>0</v>
      </c>
      <c r="P86" s="352">
        <f t="shared" si="10"/>
        <v>0</v>
      </c>
      <c r="Q86" s="350">
        <f>'P NP TW'!F35</f>
        <v>0</v>
      </c>
      <c r="R86" s="350">
        <f>'P NP TW'!H35</f>
        <v>0</v>
      </c>
      <c r="S86" s="350">
        <f>'P NP TW'!J35</f>
        <v>0</v>
      </c>
      <c r="T86" s="351">
        <f>'P NP TW'!L35</f>
        <v>0</v>
      </c>
      <c r="V86" s="309"/>
    </row>
    <row r="87" spans="1:22">
      <c r="A87" s="260" t="s">
        <v>149</v>
      </c>
      <c r="B87" s="350">
        <f t="shared" si="7"/>
        <v>0</v>
      </c>
      <c r="C87" s="350">
        <f t="shared" si="8"/>
        <v>0</v>
      </c>
      <c r="D87" s="267">
        <f>'P NP LAUT KAB'!E35</f>
        <v>0</v>
      </c>
      <c r="E87" s="267">
        <f>'P NP LAUT KAB'!O35</f>
        <v>0</v>
      </c>
      <c r="F87" s="267">
        <f>('P NP LAUT KAB'!$Y35+'P NP LAUT KAB'!$AA35)</f>
        <v>0</v>
      </c>
      <c r="G87" s="267">
        <f>'P NP LAUT KAB'!$S35</f>
        <v>0</v>
      </c>
      <c r="H87" s="267">
        <f>'P NP LAUT KAB'!$BQ35</f>
        <v>0</v>
      </c>
      <c r="I87" s="352">
        <f t="shared" si="9"/>
        <v>0</v>
      </c>
      <c r="J87" s="497">
        <f>'P NP LAUT KAB'!$AG35</f>
        <v>0</v>
      </c>
      <c r="K87" s="363">
        <f>'P NP LAUT KAB'!$AS35</f>
        <v>0</v>
      </c>
      <c r="L87" s="267">
        <f>'P NP LAUT KAB'!$W35</f>
        <v>0</v>
      </c>
      <c r="M87" s="493">
        <f>'P NP LAUT KAB'!$BS35</f>
        <v>0</v>
      </c>
      <c r="N87" s="819">
        <f>SUM('P NP LAUT KAB'!$BG35)</f>
        <v>0</v>
      </c>
      <c r="O87" s="820">
        <f>'P NP LAUT KAB'!K35</f>
        <v>0</v>
      </c>
      <c r="P87" s="352">
        <f t="shared" si="10"/>
        <v>0</v>
      </c>
      <c r="Q87" s="350">
        <f>'P NP TW'!F36</f>
        <v>0</v>
      </c>
      <c r="R87" s="350">
        <f>'P NP TW'!H36</f>
        <v>0</v>
      </c>
      <c r="S87" s="350">
        <f>'P NP TW'!J36</f>
        <v>0</v>
      </c>
      <c r="T87" s="351">
        <f>'P NP TW'!L36</f>
        <v>0</v>
      </c>
      <c r="V87" s="309"/>
    </row>
    <row r="88" spans="1:22">
      <c r="A88" s="260" t="s">
        <v>142</v>
      </c>
      <c r="B88" s="350">
        <f t="shared" si="7"/>
        <v>0</v>
      </c>
      <c r="C88" s="350">
        <f t="shared" si="8"/>
        <v>0</v>
      </c>
      <c r="D88" s="267">
        <f>'P NP LAUT KAB'!E36</f>
        <v>0</v>
      </c>
      <c r="E88" s="267">
        <f>'P NP LAUT KAB'!O36</f>
        <v>0</v>
      </c>
      <c r="F88" s="267">
        <f>('P NP LAUT KAB'!$Y36+'P NP LAUT KAB'!$AA36)</f>
        <v>0</v>
      </c>
      <c r="G88" s="267">
        <f>'P NP LAUT KAB'!$S36</f>
        <v>0</v>
      </c>
      <c r="H88" s="267">
        <f>'P NP LAUT KAB'!$BQ36</f>
        <v>0</v>
      </c>
      <c r="I88" s="352">
        <f t="shared" si="9"/>
        <v>0</v>
      </c>
      <c r="J88" s="497">
        <f>'P NP LAUT KAB'!$AG36</f>
        <v>0</v>
      </c>
      <c r="K88" s="363">
        <f>'P NP LAUT KAB'!$AS36</f>
        <v>0</v>
      </c>
      <c r="L88" s="267">
        <f>'P NP LAUT KAB'!$W36</f>
        <v>0</v>
      </c>
      <c r="M88" s="493">
        <f>'P NP LAUT KAB'!$BS36</f>
        <v>0</v>
      </c>
      <c r="N88" s="819">
        <f>SUM('P NP LAUT KAB'!$BG36)</f>
        <v>0</v>
      </c>
      <c r="O88" s="820">
        <f>'P NP LAUT KAB'!K36</f>
        <v>0</v>
      </c>
      <c r="P88" s="352">
        <f t="shared" si="10"/>
        <v>0</v>
      </c>
      <c r="Q88" s="350">
        <f>'P NP TW'!F37</f>
        <v>0</v>
      </c>
      <c r="R88" s="350">
        <f>'P NP TW'!H37</f>
        <v>0</v>
      </c>
      <c r="S88" s="350">
        <f>'P NP TW'!J37</f>
        <v>0</v>
      </c>
      <c r="T88" s="351">
        <f>'P NP TW'!L37</f>
        <v>0</v>
      </c>
      <c r="V88" s="309"/>
    </row>
    <row r="89" spans="1:22">
      <c r="A89" s="260" t="s">
        <v>141</v>
      </c>
      <c r="B89" s="350">
        <f t="shared" si="7"/>
        <v>0</v>
      </c>
      <c r="C89" s="350">
        <f t="shared" si="8"/>
        <v>0</v>
      </c>
      <c r="D89" s="267">
        <f>'P NP LAUT KAB'!E37</f>
        <v>0</v>
      </c>
      <c r="E89" s="267">
        <f>'P NP LAUT KAB'!O37</f>
        <v>0</v>
      </c>
      <c r="F89" s="267">
        <f>('P NP LAUT KAB'!$Y37+'P NP LAUT KAB'!$AA37)</f>
        <v>0</v>
      </c>
      <c r="G89" s="267">
        <f>'P NP LAUT KAB'!$S37</f>
        <v>0</v>
      </c>
      <c r="H89" s="267">
        <f>'P NP LAUT KAB'!$BQ37</f>
        <v>0</v>
      </c>
      <c r="I89" s="352">
        <f t="shared" si="9"/>
        <v>0</v>
      </c>
      <c r="J89" s="497">
        <f>'P NP LAUT KAB'!$AG37</f>
        <v>0</v>
      </c>
      <c r="K89" s="363">
        <f>'P NP LAUT KAB'!$AS37</f>
        <v>0</v>
      </c>
      <c r="L89" s="267">
        <f>'P NP LAUT KAB'!$W37</f>
        <v>0</v>
      </c>
      <c r="M89" s="493">
        <f>'P NP LAUT KAB'!$BS37</f>
        <v>0</v>
      </c>
      <c r="N89" s="819">
        <f>SUM('P NP LAUT KAB'!$BG37)</f>
        <v>0</v>
      </c>
      <c r="O89" s="820">
        <f>'P NP LAUT KAB'!K37</f>
        <v>0</v>
      </c>
      <c r="P89" s="352">
        <f t="shared" si="10"/>
        <v>0</v>
      </c>
      <c r="Q89" s="350">
        <f>'P NP TW'!F38</f>
        <v>0</v>
      </c>
      <c r="R89" s="350">
        <f>'P NP TW'!H38</f>
        <v>0</v>
      </c>
      <c r="S89" s="350">
        <f>'P NP TW'!J38</f>
        <v>0</v>
      </c>
      <c r="T89" s="351">
        <f>'P NP TW'!L38</f>
        <v>0</v>
      </c>
      <c r="V89" s="309"/>
    </row>
    <row r="90" spans="1:22">
      <c r="A90" s="260" t="s">
        <v>147</v>
      </c>
      <c r="B90" s="350">
        <f t="shared" si="7"/>
        <v>0</v>
      </c>
      <c r="C90" s="350">
        <f t="shared" si="8"/>
        <v>0</v>
      </c>
      <c r="D90" s="267">
        <f>'P NP LAUT KAB'!E38</f>
        <v>0</v>
      </c>
      <c r="E90" s="267">
        <f>'P NP LAUT KAB'!O38</f>
        <v>0</v>
      </c>
      <c r="F90" s="267">
        <f>('P NP LAUT KAB'!$Y38+'P NP LAUT KAB'!$AA38)</f>
        <v>0</v>
      </c>
      <c r="G90" s="267">
        <f>'P NP LAUT KAB'!$S38</f>
        <v>0</v>
      </c>
      <c r="H90" s="267">
        <f>'P NP LAUT KAB'!$BQ38</f>
        <v>0</v>
      </c>
      <c r="I90" s="352">
        <f t="shared" si="9"/>
        <v>0</v>
      </c>
      <c r="J90" s="497">
        <f>'P NP LAUT KAB'!$AG38</f>
        <v>0</v>
      </c>
      <c r="K90" s="363">
        <f>'P NP LAUT KAB'!$AS38</f>
        <v>0</v>
      </c>
      <c r="L90" s="267">
        <f>'P NP LAUT KAB'!$W38</f>
        <v>0</v>
      </c>
      <c r="M90" s="493">
        <f>'P NP LAUT KAB'!$BS38</f>
        <v>0</v>
      </c>
      <c r="N90" s="819">
        <f>SUM('P NP LAUT KAB'!$BG38)</f>
        <v>0</v>
      </c>
      <c r="O90" s="820">
        <f>'P NP LAUT KAB'!K38</f>
        <v>0</v>
      </c>
      <c r="P90" s="352">
        <f t="shared" si="10"/>
        <v>0</v>
      </c>
      <c r="Q90" s="350">
        <f>'P NP TW'!F39</f>
        <v>0</v>
      </c>
      <c r="R90" s="350">
        <f>'P NP TW'!H39</f>
        <v>0</v>
      </c>
      <c r="S90" s="350">
        <f>'P NP TW'!J39</f>
        <v>0</v>
      </c>
      <c r="T90" s="351">
        <f>'P NP TW'!L39</f>
        <v>0</v>
      </c>
      <c r="V90" s="309"/>
    </row>
    <row r="91" spans="1:22">
      <c r="A91" s="260" t="s">
        <v>143</v>
      </c>
      <c r="B91" s="350">
        <f t="shared" si="7"/>
        <v>0</v>
      </c>
      <c r="C91" s="350">
        <f t="shared" si="8"/>
        <v>0</v>
      </c>
      <c r="D91" s="267">
        <f>'P NP LAUT KAB'!E39</f>
        <v>0</v>
      </c>
      <c r="E91" s="267">
        <f>'P NP LAUT KAB'!O39</f>
        <v>0</v>
      </c>
      <c r="F91" s="267">
        <f>('P NP LAUT KAB'!$Y39+'P NP LAUT KAB'!$AA39)</f>
        <v>0</v>
      </c>
      <c r="G91" s="267">
        <f>'P NP LAUT KAB'!$S39</f>
        <v>0</v>
      </c>
      <c r="H91" s="267">
        <f>'P NP LAUT KAB'!$BQ39</f>
        <v>0</v>
      </c>
      <c r="I91" s="352">
        <f t="shared" si="9"/>
        <v>0</v>
      </c>
      <c r="J91" s="497">
        <f>'P NP LAUT KAB'!$AG39</f>
        <v>0</v>
      </c>
      <c r="K91" s="363">
        <f>'P NP LAUT KAB'!$AS39</f>
        <v>0</v>
      </c>
      <c r="L91" s="267">
        <f>'P NP LAUT KAB'!$W39</f>
        <v>0</v>
      </c>
      <c r="M91" s="493">
        <f>'P NP LAUT KAB'!$BS39</f>
        <v>0</v>
      </c>
      <c r="N91" s="819">
        <f>SUM('P NP LAUT KAB'!$BG39)</f>
        <v>0</v>
      </c>
      <c r="O91" s="820">
        <f>'P NP LAUT KAB'!K39</f>
        <v>0</v>
      </c>
      <c r="P91" s="352">
        <f t="shared" si="10"/>
        <v>0</v>
      </c>
      <c r="Q91" s="350">
        <f>'P NP TW'!F40</f>
        <v>0</v>
      </c>
      <c r="R91" s="350">
        <f>'P NP TW'!H40</f>
        <v>0</v>
      </c>
      <c r="S91" s="350">
        <f>'P NP TW'!J40</f>
        <v>0</v>
      </c>
      <c r="T91" s="351">
        <f>'P NP TW'!L40</f>
        <v>0</v>
      </c>
      <c r="V91" s="309"/>
    </row>
    <row r="92" spans="1:22">
      <c r="A92" s="260" t="s">
        <v>146</v>
      </c>
      <c r="B92" s="350">
        <f t="shared" si="7"/>
        <v>0</v>
      </c>
      <c r="C92" s="350">
        <f t="shared" si="8"/>
        <v>0</v>
      </c>
      <c r="D92" s="267">
        <f>'P NP LAUT KAB'!E40</f>
        <v>0</v>
      </c>
      <c r="E92" s="267">
        <f>'P NP LAUT KAB'!O40</f>
        <v>0</v>
      </c>
      <c r="F92" s="267">
        <f>('P NP LAUT KAB'!$Y40+'P NP LAUT KAB'!$AA40)</f>
        <v>0</v>
      </c>
      <c r="G92" s="267">
        <f>'P NP LAUT KAB'!$S40</f>
        <v>0</v>
      </c>
      <c r="H92" s="267">
        <f>'P NP LAUT KAB'!$BQ40</f>
        <v>0</v>
      </c>
      <c r="I92" s="352">
        <f t="shared" si="9"/>
        <v>0</v>
      </c>
      <c r="J92" s="497">
        <f>'P NP LAUT KAB'!$AG40</f>
        <v>0</v>
      </c>
      <c r="K92" s="363">
        <f>'P NP LAUT KAB'!$AS40</f>
        <v>0</v>
      </c>
      <c r="L92" s="267">
        <f>'P NP LAUT KAB'!$W40</f>
        <v>0</v>
      </c>
      <c r="M92" s="493">
        <f>'P NP LAUT KAB'!$BS40</f>
        <v>0</v>
      </c>
      <c r="N92" s="819">
        <f>SUM('P NP LAUT KAB'!$BG40)</f>
        <v>0</v>
      </c>
      <c r="O92" s="820">
        <f>'P NP LAUT KAB'!K40</f>
        <v>0</v>
      </c>
      <c r="P92" s="352">
        <f t="shared" si="10"/>
        <v>0</v>
      </c>
      <c r="Q92" s="350">
        <f>'P NP TW'!F41</f>
        <v>0</v>
      </c>
      <c r="R92" s="350">
        <f>'P NP TW'!H41</f>
        <v>0</v>
      </c>
      <c r="S92" s="350">
        <f>'P NP TW'!J41</f>
        <v>0</v>
      </c>
      <c r="T92" s="351">
        <f>'P NP TW'!L41</f>
        <v>0</v>
      </c>
      <c r="V92" s="309"/>
    </row>
    <row r="93" spans="1:22">
      <c r="A93" s="260" t="s">
        <v>145</v>
      </c>
      <c r="B93" s="350">
        <f t="shared" si="7"/>
        <v>0</v>
      </c>
      <c r="C93" s="350">
        <f t="shared" si="8"/>
        <v>0</v>
      </c>
      <c r="D93" s="267">
        <f>'P NP LAUT KAB'!E41</f>
        <v>0</v>
      </c>
      <c r="E93" s="267">
        <f>'P NP LAUT KAB'!O41</f>
        <v>0</v>
      </c>
      <c r="F93" s="267">
        <f>('P NP LAUT KAB'!$Y41+'P NP LAUT KAB'!$AA41)</f>
        <v>0</v>
      </c>
      <c r="G93" s="267">
        <f>'P NP LAUT KAB'!$S41</f>
        <v>0</v>
      </c>
      <c r="H93" s="267">
        <f>'P NP LAUT KAB'!$BQ41</f>
        <v>0</v>
      </c>
      <c r="I93" s="352">
        <f t="shared" si="9"/>
        <v>0</v>
      </c>
      <c r="J93" s="497">
        <f>'P NP LAUT KAB'!$AG41</f>
        <v>0</v>
      </c>
      <c r="K93" s="363">
        <f>'P NP LAUT KAB'!$AS41</f>
        <v>0</v>
      </c>
      <c r="L93" s="267">
        <f>'P NP LAUT KAB'!$W41</f>
        <v>0</v>
      </c>
      <c r="M93" s="493">
        <f>'P NP LAUT KAB'!$BS41</f>
        <v>0</v>
      </c>
      <c r="N93" s="819">
        <f>SUM('P NP LAUT KAB'!$BG41)</f>
        <v>0</v>
      </c>
      <c r="O93" s="820">
        <f>'P NP LAUT KAB'!K41</f>
        <v>0</v>
      </c>
      <c r="P93" s="352">
        <f t="shared" si="10"/>
        <v>0</v>
      </c>
      <c r="Q93" s="350">
        <f>'P NP TW'!F42</f>
        <v>0</v>
      </c>
      <c r="R93" s="350">
        <f>'P NP TW'!H42</f>
        <v>0</v>
      </c>
      <c r="S93" s="350">
        <f>'P NP TW'!J42</f>
        <v>0</v>
      </c>
      <c r="T93" s="351">
        <f>'P NP TW'!L42</f>
        <v>0</v>
      </c>
      <c r="V93" s="309"/>
    </row>
    <row r="94" spans="1:22">
      <c r="A94" s="260" t="s">
        <v>144</v>
      </c>
      <c r="B94" s="350">
        <f t="shared" si="7"/>
        <v>0</v>
      </c>
      <c r="C94" s="350">
        <f t="shared" si="8"/>
        <v>0</v>
      </c>
      <c r="D94" s="267">
        <f>'P NP LAUT KAB'!E42</f>
        <v>0</v>
      </c>
      <c r="E94" s="267">
        <f>'P NP LAUT KAB'!O42</f>
        <v>0</v>
      </c>
      <c r="F94" s="267">
        <f>('P NP LAUT KAB'!$Y42+'P NP LAUT KAB'!$AA42)</f>
        <v>0</v>
      </c>
      <c r="G94" s="267">
        <f>'P NP LAUT KAB'!$S42</f>
        <v>0</v>
      </c>
      <c r="H94" s="267">
        <f>'P NP LAUT KAB'!$BQ42</f>
        <v>0</v>
      </c>
      <c r="I94" s="352">
        <f t="shared" si="9"/>
        <v>0</v>
      </c>
      <c r="J94" s="497">
        <f>'P NP LAUT KAB'!$AG42</f>
        <v>0</v>
      </c>
      <c r="K94" s="363">
        <f>'P NP LAUT KAB'!$AS42</f>
        <v>0</v>
      </c>
      <c r="L94" s="267">
        <f>'P NP LAUT KAB'!$W42</f>
        <v>0</v>
      </c>
      <c r="M94" s="493">
        <f>'P NP LAUT KAB'!$BS42</f>
        <v>0</v>
      </c>
      <c r="N94" s="819">
        <f>SUM('P NP LAUT KAB'!$BG42)</f>
        <v>0</v>
      </c>
      <c r="O94" s="820">
        <f>'P NP LAUT KAB'!K42</f>
        <v>0</v>
      </c>
      <c r="P94" s="352">
        <f t="shared" si="10"/>
        <v>0</v>
      </c>
      <c r="Q94" s="350">
        <f>'P NP TW'!F43</f>
        <v>0</v>
      </c>
      <c r="R94" s="350">
        <f>'P NP TW'!H43</f>
        <v>0</v>
      </c>
      <c r="S94" s="350">
        <f>'P NP TW'!J43</f>
        <v>0</v>
      </c>
      <c r="T94" s="351">
        <f>'P NP TW'!L43</f>
        <v>0</v>
      </c>
      <c r="V94" s="309"/>
    </row>
    <row r="95" spans="1:22" ht="14.5" thickBot="1">
      <c r="A95" s="272" t="s">
        <v>148</v>
      </c>
      <c r="B95" s="353">
        <f t="shared" si="7"/>
        <v>0</v>
      </c>
      <c r="C95" s="498">
        <f t="shared" si="8"/>
        <v>0</v>
      </c>
      <c r="D95" s="328">
        <f>'P NP LAUT KAB'!E43</f>
        <v>0</v>
      </c>
      <c r="E95" s="328">
        <f>'P NP LAUT KAB'!O43</f>
        <v>0</v>
      </c>
      <c r="F95" s="267">
        <f>('P NP LAUT KAB'!$Y43+'P NP LAUT KAB'!$AA43)</f>
        <v>0</v>
      </c>
      <c r="G95" s="267">
        <f>'P NP LAUT KAB'!$S43</f>
        <v>0</v>
      </c>
      <c r="H95" s="267">
        <f>'P NP LAUT KAB'!$BQ43</f>
        <v>0</v>
      </c>
      <c r="I95" s="499">
        <f t="shared" si="9"/>
        <v>0</v>
      </c>
      <c r="J95" s="497">
        <f>'P NP LAUT KAB'!$AG43</f>
        <v>0</v>
      </c>
      <c r="K95" s="363">
        <f>'P NP LAUT KAB'!$AS43</f>
        <v>0</v>
      </c>
      <c r="L95" s="267">
        <f>'P NP LAUT KAB'!$W43</f>
        <v>0</v>
      </c>
      <c r="M95" s="493">
        <f>'P NP LAUT KAB'!$BS43</f>
        <v>0</v>
      </c>
      <c r="N95" s="819">
        <f>SUM('P NP LAUT KAB'!$BG43)</f>
        <v>0</v>
      </c>
      <c r="O95" s="820">
        <f>'P NP LAUT KAB'!K43</f>
        <v>0</v>
      </c>
      <c r="P95" s="355">
        <f t="shared" si="10"/>
        <v>0</v>
      </c>
      <c r="Q95" s="498">
        <f>'P NP TW'!F44</f>
        <v>0</v>
      </c>
      <c r="R95" s="498">
        <f>'P NP TW'!H44</f>
        <v>0</v>
      </c>
      <c r="S95" s="498">
        <f>'P NP TW'!J44</f>
        <v>0</v>
      </c>
      <c r="T95" s="523">
        <f>'P NP TW'!L44</f>
        <v>0</v>
      </c>
      <c r="V95" s="309"/>
    </row>
    <row r="96" spans="1:22" ht="18" customHeight="1">
      <c r="A96" s="931" t="s">
        <v>463</v>
      </c>
      <c r="B96" s="932"/>
      <c r="C96" s="932"/>
      <c r="D96" s="932"/>
      <c r="E96" s="932"/>
      <c r="F96" s="932"/>
      <c r="G96" s="932"/>
      <c r="H96" s="932"/>
      <c r="I96" s="935" t="s">
        <v>464</v>
      </c>
      <c r="J96" s="931"/>
      <c r="K96" s="931"/>
      <c r="L96" s="931"/>
      <c r="P96" s="936" t="s">
        <v>465</v>
      </c>
      <c r="Q96" s="937"/>
      <c r="R96" s="937"/>
      <c r="S96" s="937"/>
    </row>
    <row r="97" spans="16:19">
      <c r="P97" s="309"/>
      <c r="Q97" s="309"/>
      <c r="R97" s="309"/>
      <c r="S97" s="309"/>
    </row>
    <row r="98" spans="16:19">
      <c r="P98" s="309"/>
      <c r="Q98" s="309"/>
      <c r="R98" s="309"/>
      <c r="S98" s="309"/>
    </row>
    <row r="99" spans="16:19">
      <c r="P99" s="309"/>
      <c r="Q99" s="309"/>
      <c r="R99" s="309"/>
      <c r="S99" s="309"/>
    </row>
    <row r="100" spans="16:19">
      <c r="P100" s="309"/>
      <c r="Q100" s="309"/>
      <c r="R100" s="309"/>
      <c r="S100" s="309"/>
    </row>
    <row r="101" spans="16:19">
      <c r="P101" s="309"/>
      <c r="Q101" s="309"/>
      <c r="R101" s="309"/>
      <c r="S101" s="309"/>
    </row>
    <row r="102" spans="16:19">
      <c r="P102" s="309"/>
      <c r="Q102" s="309"/>
      <c r="R102" s="309"/>
      <c r="S102" s="309"/>
    </row>
    <row r="103" spans="16:19">
      <c r="P103" s="309"/>
      <c r="Q103" s="309"/>
      <c r="R103" s="309"/>
      <c r="S103" s="309"/>
    </row>
    <row r="104" spans="16:19">
      <c r="P104" s="309"/>
      <c r="Q104" s="309"/>
      <c r="R104" s="309"/>
      <c r="S104" s="309"/>
    </row>
    <row r="105" spans="16:19">
      <c r="P105" s="309"/>
      <c r="Q105" s="309"/>
      <c r="R105" s="309"/>
      <c r="S105" s="309"/>
    </row>
    <row r="106" spans="16:19">
      <c r="P106" s="309"/>
      <c r="Q106" s="309"/>
      <c r="R106" s="309"/>
      <c r="S106" s="309"/>
    </row>
    <row r="107" spans="16:19">
      <c r="P107" s="309"/>
      <c r="Q107" s="309"/>
      <c r="R107" s="309"/>
      <c r="S107" s="309"/>
    </row>
    <row r="108" spans="16:19">
      <c r="P108" s="309"/>
      <c r="Q108" s="309"/>
      <c r="R108" s="309"/>
      <c r="S108" s="309"/>
    </row>
    <row r="109" spans="16:19">
      <c r="P109" s="309"/>
      <c r="Q109" s="309"/>
      <c r="R109" s="309"/>
      <c r="S109" s="309"/>
    </row>
    <row r="110" spans="16:19">
      <c r="P110" s="309"/>
      <c r="Q110" s="309"/>
      <c r="R110" s="309"/>
      <c r="S110" s="309"/>
    </row>
    <row r="111" spans="16:19">
      <c r="P111" s="309"/>
      <c r="Q111" s="309"/>
      <c r="R111" s="309"/>
      <c r="S111" s="309"/>
    </row>
    <row r="112" spans="16:19">
      <c r="P112" s="309"/>
      <c r="Q112" s="309"/>
      <c r="R112" s="309"/>
      <c r="S112" s="309"/>
    </row>
    <row r="113" spans="16:19">
      <c r="P113" s="309"/>
      <c r="Q113" s="309"/>
      <c r="R113" s="309"/>
      <c r="S113" s="309"/>
    </row>
    <row r="114" spans="16:19">
      <c r="P114" s="309"/>
      <c r="Q114" s="309"/>
      <c r="R114" s="309"/>
      <c r="S114" s="309"/>
    </row>
    <row r="115" spans="16:19">
      <c r="P115" s="309"/>
      <c r="Q115" s="309"/>
      <c r="R115" s="309"/>
      <c r="S115" s="309"/>
    </row>
    <row r="116" spans="16:19">
      <c r="P116" s="309"/>
      <c r="Q116" s="309"/>
      <c r="R116" s="309"/>
      <c r="S116" s="309"/>
    </row>
    <row r="117" spans="16:19">
      <c r="P117" s="309"/>
    </row>
    <row r="118" spans="16:19">
      <c r="P118" s="309"/>
    </row>
    <row r="119" spans="16:19">
      <c r="P119" s="309"/>
    </row>
    <row r="120" spans="16:19">
      <c r="P120" s="309"/>
    </row>
  </sheetData>
  <sortState xmlns:xlrd2="http://schemas.microsoft.com/office/spreadsheetml/2017/richdata2" ref="A10:A47">
    <sortCondition ref="A10:A47"/>
  </sortState>
  <mergeCells count="14">
    <mergeCell ref="A96:H96"/>
    <mergeCell ref="I96:L96"/>
    <mergeCell ref="P96:S96"/>
    <mergeCell ref="N3:O3"/>
    <mergeCell ref="N4:O4"/>
    <mergeCell ref="J5:K5"/>
    <mergeCell ref="L5:N5"/>
    <mergeCell ref="A48:H48"/>
    <mergeCell ref="I48:L48"/>
    <mergeCell ref="P48:S48"/>
    <mergeCell ref="M51:O51"/>
    <mergeCell ref="N52:O52"/>
    <mergeCell ref="J53:K53"/>
    <mergeCell ref="L53:N53"/>
  </mergeCells>
  <printOptions horizontalCentered="1"/>
  <pageMargins left="0.5" right="0.25" top="0.35" bottom="0.15" header="0.5" footer="0.5"/>
  <pageSetup paperSize="9" scale="75" orientation="landscape" horizontalDpi="4294967293" r:id="rId1"/>
  <headerFooter alignWithMargins="0"/>
  <rowBreaks count="1" manualBreakCount="1">
    <brk id="48" max="23" man="1"/>
  </rowBreaks>
  <colBreaks count="2" manualBreakCount="2">
    <brk id="8" max="95" man="1"/>
    <brk id="15" max="9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yncVertical="1" syncRef="U51" transitionEvaluation="1">
    <tabColor rgb="FF00B0F0"/>
  </sheetPr>
  <dimension ref="A1:AA98"/>
  <sheetViews>
    <sheetView showGridLines="0" view="pageBreakPreview" zoomScale="80" zoomScaleNormal="100" zoomScaleSheetLayoutView="80" workbookViewId="0">
      <pane xSplit="2" ySplit="8" topLeftCell="U51" activePane="bottomRight" state="frozen"/>
      <selection pane="topRight" activeCell="C1" sqref="C1"/>
      <selection pane="bottomLeft" activeCell="A9" sqref="A9"/>
      <selection pane="bottomRight" activeCell="W63" sqref="W63"/>
    </sheetView>
  </sheetViews>
  <sheetFormatPr defaultColWidth="10.1796875" defaultRowHeight="14"/>
  <cols>
    <col min="1" max="1" width="35" style="210" customWidth="1"/>
    <col min="2" max="2" width="19.453125" style="210" customWidth="1"/>
    <col min="3" max="3" width="18" style="210" customWidth="1"/>
    <col min="4" max="4" width="15.1796875" style="210" customWidth="1"/>
    <col min="5" max="5" width="15.81640625" style="210" bestFit="1" customWidth="1"/>
    <col min="6" max="6" width="14.453125" style="210" customWidth="1"/>
    <col min="7" max="7" width="14.81640625" style="210" customWidth="1"/>
    <col min="8" max="8" width="18.1796875" style="210" bestFit="1" customWidth="1"/>
    <col min="9" max="9" width="16.81640625" style="210" bestFit="1" customWidth="1"/>
    <col min="10" max="10" width="14.453125" style="210" bestFit="1" customWidth="1"/>
    <col min="11" max="11" width="15.1796875" style="210" bestFit="1" customWidth="1"/>
    <col min="12" max="12" width="18.81640625" style="210" customWidth="1"/>
    <col min="13" max="13" width="15.81640625" style="210" customWidth="1"/>
    <col min="14" max="14" width="15.453125" style="210" customWidth="1"/>
    <col min="15" max="15" width="16.1796875" style="210" bestFit="1" customWidth="1"/>
    <col min="16" max="16" width="18.1796875" style="210" bestFit="1" customWidth="1"/>
    <col min="17" max="17" width="15.1796875" style="210" bestFit="1" customWidth="1"/>
    <col min="18" max="18" width="15.54296875" style="210" customWidth="1"/>
    <col min="19" max="19" width="15.1796875" style="210" bestFit="1" customWidth="1"/>
    <col min="20" max="20" width="13.1796875" style="210" customWidth="1"/>
    <col min="21" max="21" width="16.1796875" style="210" customWidth="1"/>
    <col min="22" max="22" width="18.81640625" style="210" customWidth="1"/>
    <col min="23" max="23" width="30.54296875" style="210" customWidth="1"/>
    <col min="24" max="24" width="29.1796875" style="210" customWidth="1"/>
    <col min="25" max="25" width="29.81640625" style="210" customWidth="1"/>
    <col min="26" max="26" width="29.453125" style="210" customWidth="1"/>
    <col min="27" max="27" width="29.1796875" style="210" customWidth="1"/>
    <col min="28" max="255" width="10.1796875" style="210"/>
    <col min="256" max="256" width="35" style="210" customWidth="1"/>
    <col min="257" max="257" width="19.453125" style="210" customWidth="1"/>
    <col min="258" max="258" width="18" style="210" customWidth="1"/>
    <col min="259" max="259" width="14.453125" style="210" customWidth="1"/>
    <col min="260" max="260" width="15.81640625" style="210" bestFit="1" customWidth="1"/>
    <col min="261" max="261" width="14.453125" style="210" customWidth="1"/>
    <col min="262" max="262" width="13.1796875" style="210" bestFit="1" customWidth="1"/>
    <col min="263" max="263" width="18.1796875" style="210" bestFit="1" customWidth="1"/>
    <col min="264" max="264" width="16.81640625" style="210" bestFit="1" customWidth="1"/>
    <col min="265" max="265" width="13.1796875" style="210" bestFit="1" customWidth="1"/>
    <col min="266" max="266" width="15.1796875" style="210" bestFit="1" customWidth="1"/>
    <col min="267" max="267" width="18.81640625" style="210" customWidth="1"/>
    <col min="268" max="268" width="15.81640625" style="210" customWidth="1"/>
    <col min="269" max="269" width="15.453125" style="210" customWidth="1"/>
    <col min="270" max="270" width="16.1796875" style="210" bestFit="1" customWidth="1"/>
    <col min="271" max="271" width="18.1796875" style="210" bestFit="1" customWidth="1"/>
    <col min="272" max="272" width="15.1796875" style="210" bestFit="1" customWidth="1"/>
    <col min="273" max="273" width="15.54296875" style="210" customWidth="1"/>
    <col min="274" max="274" width="15.1796875" style="210" bestFit="1" customWidth="1"/>
    <col min="275" max="275" width="12.81640625" style="210" customWidth="1"/>
    <col min="276" max="276" width="13.1796875" style="210" customWidth="1"/>
    <col min="277" max="277" width="16.1796875" style="210" customWidth="1"/>
    <col min="278" max="278" width="12" style="210" bestFit="1" customWidth="1"/>
    <col min="279" max="511" width="10.1796875" style="210"/>
    <col min="512" max="512" width="35" style="210" customWidth="1"/>
    <col min="513" max="513" width="19.453125" style="210" customWidth="1"/>
    <col min="514" max="514" width="18" style="210" customWidth="1"/>
    <col min="515" max="515" width="14.453125" style="210" customWidth="1"/>
    <col min="516" max="516" width="15.81640625" style="210" bestFit="1" customWidth="1"/>
    <col min="517" max="517" width="14.453125" style="210" customWidth="1"/>
    <col min="518" max="518" width="13.1796875" style="210" bestFit="1" customWidth="1"/>
    <col min="519" max="519" width="18.1796875" style="210" bestFit="1" customWidth="1"/>
    <col min="520" max="520" width="16.81640625" style="210" bestFit="1" customWidth="1"/>
    <col min="521" max="521" width="13.1796875" style="210" bestFit="1" customWidth="1"/>
    <col min="522" max="522" width="15.1796875" style="210" bestFit="1" customWidth="1"/>
    <col min="523" max="523" width="18.81640625" style="210" customWidth="1"/>
    <col min="524" max="524" width="15.81640625" style="210" customWidth="1"/>
    <col min="525" max="525" width="15.453125" style="210" customWidth="1"/>
    <col min="526" max="526" width="16.1796875" style="210" bestFit="1" customWidth="1"/>
    <col min="527" max="527" width="18.1796875" style="210" bestFit="1" customWidth="1"/>
    <col min="528" max="528" width="15.1796875" style="210" bestFit="1" customWidth="1"/>
    <col min="529" max="529" width="15.54296875" style="210" customWidth="1"/>
    <col min="530" max="530" width="15.1796875" style="210" bestFit="1" customWidth="1"/>
    <col min="531" max="531" width="12.81640625" style="210" customWidth="1"/>
    <col min="532" max="532" width="13.1796875" style="210" customWidth="1"/>
    <col min="533" max="533" width="16.1796875" style="210" customWidth="1"/>
    <col min="534" max="534" width="12" style="210" bestFit="1" customWidth="1"/>
    <col min="535" max="767" width="10.1796875" style="210"/>
    <col min="768" max="768" width="35" style="210" customWidth="1"/>
    <col min="769" max="769" width="19.453125" style="210" customWidth="1"/>
    <col min="770" max="770" width="18" style="210" customWidth="1"/>
    <col min="771" max="771" width="14.453125" style="210" customWidth="1"/>
    <col min="772" max="772" width="15.81640625" style="210" bestFit="1" customWidth="1"/>
    <col min="773" max="773" width="14.453125" style="210" customWidth="1"/>
    <col min="774" max="774" width="13.1796875" style="210" bestFit="1" customWidth="1"/>
    <col min="775" max="775" width="18.1796875" style="210" bestFit="1" customWidth="1"/>
    <col min="776" max="776" width="16.81640625" style="210" bestFit="1" customWidth="1"/>
    <col min="777" max="777" width="13.1796875" style="210" bestFit="1" customWidth="1"/>
    <col min="778" max="778" width="15.1796875" style="210" bestFit="1" customWidth="1"/>
    <col min="779" max="779" width="18.81640625" style="210" customWidth="1"/>
    <col min="780" max="780" width="15.81640625" style="210" customWidth="1"/>
    <col min="781" max="781" width="15.453125" style="210" customWidth="1"/>
    <col min="782" max="782" width="16.1796875" style="210" bestFit="1" customWidth="1"/>
    <col min="783" max="783" width="18.1796875" style="210" bestFit="1" customWidth="1"/>
    <col min="784" max="784" width="15.1796875" style="210" bestFit="1" customWidth="1"/>
    <col min="785" max="785" width="15.54296875" style="210" customWidth="1"/>
    <col min="786" max="786" width="15.1796875" style="210" bestFit="1" customWidth="1"/>
    <col min="787" max="787" width="12.81640625" style="210" customWidth="1"/>
    <col min="788" max="788" width="13.1796875" style="210" customWidth="1"/>
    <col min="789" max="789" width="16.1796875" style="210" customWidth="1"/>
    <col min="790" max="790" width="12" style="210" bestFit="1" customWidth="1"/>
    <col min="791" max="1023" width="10.1796875" style="210"/>
    <col min="1024" max="1024" width="35" style="210" customWidth="1"/>
    <col min="1025" max="1025" width="19.453125" style="210" customWidth="1"/>
    <col min="1026" max="1026" width="18" style="210" customWidth="1"/>
    <col min="1027" max="1027" width="14.453125" style="210" customWidth="1"/>
    <col min="1028" max="1028" width="15.81640625" style="210" bestFit="1" customWidth="1"/>
    <col min="1029" max="1029" width="14.453125" style="210" customWidth="1"/>
    <col min="1030" max="1030" width="13.1796875" style="210" bestFit="1" customWidth="1"/>
    <col min="1031" max="1031" width="18.1796875" style="210" bestFit="1" customWidth="1"/>
    <col min="1032" max="1032" width="16.81640625" style="210" bestFit="1" customWidth="1"/>
    <col min="1033" max="1033" width="13.1796875" style="210" bestFit="1" customWidth="1"/>
    <col min="1034" max="1034" width="15.1796875" style="210" bestFit="1" customWidth="1"/>
    <col min="1035" max="1035" width="18.81640625" style="210" customWidth="1"/>
    <col min="1036" max="1036" width="15.81640625" style="210" customWidth="1"/>
    <col min="1037" max="1037" width="15.453125" style="210" customWidth="1"/>
    <col min="1038" max="1038" width="16.1796875" style="210" bestFit="1" customWidth="1"/>
    <col min="1039" max="1039" width="18.1796875" style="210" bestFit="1" customWidth="1"/>
    <col min="1040" max="1040" width="15.1796875" style="210" bestFit="1" customWidth="1"/>
    <col min="1041" max="1041" width="15.54296875" style="210" customWidth="1"/>
    <col min="1042" max="1042" width="15.1796875" style="210" bestFit="1" customWidth="1"/>
    <col min="1043" max="1043" width="12.81640625" style="210" customWidth="1"/>
    <col min="1044" max="1044" width="13.1796875" style="210" customWidth="1"/>
    <col min="1045" max="1045" width="16.1796875" style="210" customWidth="1"/>
    <col min="1046" max="1046" width="12" style="210" bestFit="1" customWidth="1"/>
    <col min="1047" max="1279" width="10.1796875" style="210"/>
    <col min="1280" max="1280" width="35" style="210" customWidth="1"/>
    <col min="1281" max="1281" width="19.453125" style="210" customWidth="1"/>
    <col min="1282" max="1282" width="18" style="210" customWidth="1"/>
    <col min="1283" max="1283" width="14.453125" style="210" customWidth="1"/>
    <col min="1284" max="1284" width="15.81640625" style="210" bestFit="1" customWidth="1"/>
    <col min="1285" max="1285" width="14.453125" style="210" customWidth="1"/>
    <col min="1286" max="1286" width="13.1796875" style="210" bestFit="1" customWidth="1"/>
    <col min="1287" max="1287" width="18.1796875" style="210" bestFit="1" customWidth="1"/>
    <col min="1288" max="1288" width="16.81640625" style="210" bestFit="1" customWidth="1"/>
    <col min="1289" max="1289" width="13.1796875" style="210" bestFit="1" customWidth="1"/>
    <col min="1290" max="1290" width="15.1796875" style="210" bestFit="1" customWidth="1"/>
    <col min="1291" max="1291" width="18.81640625" style="210" customWidth="1"/>
    <col min="1292" max="1292" width="15.81640625" style="210" customWidth="1"/>
    <col min="1293" max="1293" width="15.453125" style="210" customWidth="1"/>
    <col min="1294" max="1294" width="16.1796875" style="210" bestFit="1" customWidth="1"/>
    <col min="1295" max="1295" width="18.1796875" style="210" bestFit="1" customWidth="1"/>
    <col min="1296" max="1296" width="15.1796875" style="210" bestFit="1" customWidth="1"/>
    <col min="1297" max="1297" width="15.54296875" style="210" customWidth="1"/>
    <col min="1298" max="1298" width="15.1796875" style="210" bestFit="1" customWidth="1"/>
    <col min="1299" max="1299" width="12.81640625" style="210" customWidth="1"/>
    <col min="1300" max="1300" width="13.1796875" style="210" customWidth="1"/>
    <col min="1301" max="1301" width="16.1796875" style="210" customWidth="1"/>
    <col min="1302" max="1302" width="12" style="210" bestFit="1" customWidth="1"/>
    <col min="1303" max="1535" width="10.1796875" style="210"/>
    <col min="1536" max="1536" width="35" style="210" customWidth="1"/>
    <col min="1537" max="1537" width="19.453125" style="210" customWidth="1"/>
    <col min="1538" max="1538" width="18" style="210" customWidth="1"/>
    <col min="1539" max="1539" width="14.453125" style="210" customWidth="1"/>
    <col min="1540" max="1540" width="15.81640625" style="210" bestFit="1" customWidth="1"/>
    <col min="1541" max="1541" width="14.453125" style="210" customWidth="1"/>
    <col min="1542" max="1542" width="13.1796875" style="210" bestFit="1" customWidth="1"/>
    <col min="1543" max="1543" width="18.1796875" style="210" bestFit="1" customWidth="1"/>
    <col min="1544" max="1544" width="16.81640625" style="210" bestFit="1" customWidth="1"/>
    <col min="1545" max="1545" width="13.1796875" style="210" bestFit="1" customWidth="1"/>
    <col min="1546" max="1546" width="15.1796875" style="210" bestFit="1" customWidth="1"/>
    <col min="1547" max="1547" width="18.81640625" style="210" customWidth="1"/>
    <col min="1548" max="1548" width="15.81640625" style="210" customWidth="1"/>
    <col min="1549" max="1549" width="15.453125" style="210" customWidth="1"/>
    <col min="1550" max="1550" width="16.1796875" style="210" bestFit="1" customWidth="1"/>
    <col min="1551" max="1551" width="18.1796875" style="210" bestFit="1" customWidth="1"/>
    <col min="1552" max="1552" width="15.1796875" style="210" bestFit="1" customWidth="1"/>
    <col min="1553" max="1553" width="15.54296875" style="210" customWidth="1"/>
    <col min="1554" max="1554" width="15.1796875" style="210" bestFit="1" customWidth="1"/>
    <col min="1555" max="1555" width="12.81640625" style="210" customWidth="1"/>
    <col min="1556" max="1556" width="13.1796875" style="210" customWidth="1"/>
    <col min="1557" max="1557" width="16.1796875" style="210" customWidth="1"/>
    <col min="1558" max="1558" width="12" style="210" bestFit="1" customWidth="1"/>
    <col min="1559" max="1791" width="10.1796875" style="210"/>
    <col min="1792" max="1792" width="35" style="210" customWidth="1"/>
    <col min="1793" max="1793" width="19.453125" style="210" customWidth="1"/>
    <col min="1794" max="1794" width="18" style="210" customWidth="1"/>
    <col min="1795" max="1795" width="14.453125" style="210" customWidth="1"/>
    <col min="1796" max="1796" width="15.81640625" style="210" bestFit="1" customWidth="1"/>
    <col min="1797" max="1797" width="14.453125" style="210" customWidth="1"/>
    <col min="1798" max="1798" width="13.1796875" style="210" bestFit="1" customWidth="1"/>
    <col min="1799" max="1799" width="18.1796875" style="210" bestFit="1" customWidth="1"/>
    <col min="1800" max="1800" width="16.81640625" style="210" bestFit="1" customWidth="1"/>
    <col min="1801" max="1801" width="13.1796875" style="210" bestFit="1" customWidth="1"/>
    <col min="1802" max="1802" width="15.1796875" style="210" bestFit="1" customWidth="1"/>
    <col min="1803" max="1803" width="18.81640625" style="210" customWidth="1"/>
    <col min="1804" max="1804" width="15.81640625" style="210" customWidth="1"/>
    <col min="1805" max="1805" width="15.453125" style="210" customWidth="1"/>
    <col min="1806" max="1806" width="16.1796875" style="210" bestFit="1" customWidth="1"/>
    <col min="1807" max="1807" width="18.1796875" style="210" bestFit="1" customWidth="1"/>
    <col min="1808" max="1808" width="15.1796875" style="210" bestFit="1" customWidth="1"/>
    <col min="1809" max="1809" width="15.54296875" style="210" customWidth="1"/>
    <col min="1810" max="1810" width="15.1796875" style="210" bestFit="1" customWidth="1"/>
    <col min="1811" max="1811" width="12.81640625" style="210" customWidth="1"/>
    <col min="1812" max="1812" width="13.1796875" style="210" customWidth="1"/>
    <col min="1813" max="1813" width="16.1796875" style="210" customWidth="1"/>
    <col min="1814" max="1814" width="12" style="210" bestFit="1" customWidth="1"/>
    <col min="1815" max="2047" width="10.1796875" style="210"/>
    <col min="2048" max="2048" width="35" style="210" customWidth="1"/>
    <col min="2049" max="2049" width="19.453125" style="210" customWidth="1"/>
    <col min="2050" max="2050" width="18" style="210" customWidth="1"/>
    <col min="2051" max="2051" width="14.453125" style="210" customWidth="1"/>
    <col min="2052" max="2052" width="15.81640625" style="210" bestFit="1" customWidth="1"/>
    <col min="2053" max="2053" width="14.453125" style="210" customWidth="1"/>
    <col min="2054" max="2054" width="13.1796875" style="210" bestFit="1" customWidth="1"/>
    <col min="2055" max="2055" width="18.1796875" style="210" bestFit="1" customWidth="1"/>
    <col min="2056" max="2056" width="16.81640625" style="210" bestFit="1" customWidth="1"/>
    <col min="2057" max="2057" width="13.1796875" style="210" bestFit="1" customWidth="1"/>
    <col min="2058" max="2058" width="15.1796875" style="210" bestFit="1" customWidth="1"/>
    <col min="2059" max="2059" width="18.81640625" style="210" customWidth="1"/>
    <col min="2060" max="2060" width="15.81640625" style="210" customWidth="1"/>
    <col min="2061" max="2061" width="15.453125" style="210" customWidth="1"/>
    <col min="2062" max="2062" width="16.1796875" style="210" bestFit="1" customWidth="1"/>
    <col min="2063" max="2063" width="18.1796875" style="210" bestFit="1" customWidth="1"/>
    <col min="2064" max="2064" width="15.1796875" style="210" bestFit="1" customWidth="1"/>
    <col min="2065" max="2065" width="15.54296875" style="210" customWidth="1"/>
    <col min="2066" max="2066" width="15.1796875" style="210" bestFit="1" customWidth="1"/>
    <col min="2067" max="2067" width="12.81640625" style="210" customWidth="1"/>
    <col min="2068" max="2068" width="13.1796875" style="210" customWidth="1"/>
    <col min="2069" max="2069" width="16.1796875" style="210" customWidth="1"/>
    <col min="2070" max="2070" width="12" style="210" bestFit="1" customWidth="1"/>
    <col min="2071" max="2303" width="10.1796875" style="210"/>
    <col min="2304" max="2304" width="35" style="210" customWidth="1"/>
    <col min="2305" max="2305" width="19.453125" style="210" customWidth="1"/>
    <col min="2306" max="2306" width="18" style="210" customWidth="1"/>
    <col min="2307" max="2307" width="14.453125" style="210" customWidth="1"/>
    <col min="2308" max="2308" width="15.81640625" style="210" bestFit="1" customWidth="1"/>
    <col min="2309" max="2309" width="14.453125" style="210" customWidth="1"/>
    <col min="2310" max="2310" width="13.1796875" style="210" bestFit="1" customWidth="1"/>
    <col min="2311" max="2311" width="18.1796875" style="210" bestFit="1" customWidth="1"/>
    <col min="2312" max="2312" width="16.81640625" style="210" bestFit="1" customWidth="1"/>
    <col min="2313" max="2313" width="13.1796875" style="210" bestFit="1" customWidth="1"/>
    <col min="2314" max="2314" width="15.1796875" style="210" bestFit="1" customWidth="1"/>
    <col min="2315" max="2315" width="18.81640625" style="210" customWidth="1"/>
    <col min="2316" max="2316" width="15.81640625" style="210" customWidth="1"/>
    <col min="2317" max="2317" width="15.453125" style="210" customWidth="1"/>
    <col min="2318" max="2318" width="16.1796875" style="210" bestFit="1" customWidth="1"/>
    <col min="2319" max="2319" width="18.1796875" style="210" bestFit="1" customWidth="1"/>
    <col min="2320" max="2320" width="15.1796875" style="210" bestFit="1" customWidth="1"/>
    <col min="2321" max="2321" width="15.54296875" style="210" customWidth="1"/>
    <col min="2322" max="2322" width="15.1796875" style="210" bestFit="1" customWidth="1"/>
    <col min="2323" max="2323" width="12.81640625" style="210" customWidth="1"/>
    <col min="2324" max="2324" width="13.1796875" style="210" customWidth="1"/>
    <col min="2325" max="2325" width="16.1796875" style="210" customWidth="1"/>
    <col min="2326" max="2326" width="12" style="210" bestFit="1" customWidth="1"/>
    <col min="2327" max="2559" width="10.1796875" style="210"/>
    <col min="2560" max="2560" width="35" style="210" customWidth="1"/>
    <col min="2561" max="2561" width="19.453125" style="210" customWidth="1"/>
    <col min="2562" max="2562" width="18" style="210" customWidth="1"/>
    <col min="2563" max="2563" width="14.453125" style="210" customWidth="1"/>
    <col min="2564" max="2564" width="15.81640625" style="210" bestFit="1" customWidth="1"/>
    <col min="2565" max="2565" width="14.453125" style="210" customWidth="1"/>
    <col min="2566" max="2566" width="13.1796875" style="210" bestFit="1" customWidth="1"/>
    <col min="2567" max="2567" width="18.1796875" style="210" bestFit="1" customWidth="1"/>
    <col min="2568" max="2568" width="16.81640625" style="210" bestFit="1" customWidth="1"/>
    <col min="2569" max="2569" width="13.1796875" style="210" bestFit="1" customWidth="1"/>
    <col min="2570" max="2570" width="15.1796875" style="210" bestFit="1" customWidth="1"/>
    <col min="2571" max="2571" width="18.81640625" style="210" customWidth="1"/>
    <col min="2572" max="2572" width="15.81640625" style="210" customWidth="1"/>
    <col min="2573" max="2573" width="15.453125" style="210" customWidth="1"/>
    <col min="2574" max="2574" width="16.1796875" style="210" bestFit="1" customWidth="1"/>
    <col min="2575" max="2575" width="18.1796875" style="210" bestFit="1" customWidth="1"/>
    <col min="2576" max="2576" width="15.1796875" style="210" bestFit="1" customWidth="1"/>
    <col min="2577" max="2577" width="15.54296875" style="210" customWidth="1"/>
    <col min="2578" max="2578" width="15.1796875" style="210" bestFit="1" customWidth="1"/>
    <col min="2579" max="2579" width="12.81640625" style="210" customWidth="1"/>
    <col min="2580" max="2580" width="13.1796875" style="210" customWidth="1"/>
    <col min="2581" max="2581" width="16.1796875" style="210" customWidth="1"/>
    <col min="2582" max="2582" width="12" style="210" bestFit="1" customWidth="1"/>
    <col min="2583" max="2815" width="10.1796875" style="210"/>
    <col min="2816" max="2816" width="35" style="210" customWidth="1"/>
    <col min="2817" max="2817" width="19.453125" style="210" customWidth="1"/>
    <col min="2818" max="2818" width="18" style="210" customWidth="1"/>
    <col min="2819" max="2819" width="14.453125" style="210" customWidth="1"/>
    <col min="2820" max="2820" width="15.81640625" style="210" bestFit="1" customWidth="1"/>
    <col min="2821" max="2821" width="14.453125" style="210" customWidth="1"/>
    <col min="2822" max="2822" width="13.1796875" style="210" bestFit="1" customWidth="1"/>
    <col min="2823" max="2823" width="18.1796875" style="210" bestFit="1" customWidth="1"/>
    <col min="2824" max="2824" width="16.81640625" style="210" bestFit="1" customWidth="1"/>
    <col min="2825" max="2825" width="13.1796875" style="210" bestFit="1" customWidth="1"/>
    <col min="2826" max="2826" width="15.1796875" style="210" bestFit="1" customWidth="1"/>
    <col min="2827" max="2827" width="18.81640625" style="210" customWidth="1"/>
    <col min="2828" max="2828" width="15.81640625" style="210" customWidth="1"/>
    <col min="2829" max="2829" width="15.453125" style="210" customWidth="1"/>
    <col min="2830" max="2830" width="16.1796875" style="210" bestFit="1" customWidth="1"/>
    <col min="2831" max="2831" width="18.1796875" style="210" bestFit="1" customWidth="1"/>
    <col min="2832" max="2832" width="15.1796875" style="210" bestFit="1" customWidth="1"/>
    <col min="2833" max="2833" width="15.54296875" style="210" customWidth="1"/>
    <col min="2834" max="2834" width="15.1796875" style="210" bestFit="1" customWidth="1"/>
    <col min="2835" max="2835" width="12.81640625" style="210" customWidth="1"/>
    <col min="2836" max="2836" width="13.1796875" style="210" customWidth="1"/>
    <col min="2837" max="2837" width="16.1796875" style="210" customWidth="1"/>
    <col min="2838" max="2838" width="12" style="210" bestFit="1" customWidth="1"/>
    <col min="2839" max="3071" width="10.1796875" style="210"/>
    <col min="3072" max="3072" width="35" style="210" customWidth="1"/>
    <col min="3073" max="3073" width="19.453125" style="210" customWidth="1"/>
    <col min="3074" max="3074" width="18" style="210" customWidth="1"/>
    <col min="3075" max="3075" width="14.453125" style="210" customWidth="1"/>
    <col min="3076" max="3076" width="15.81640625" style="210" bestFit="1" customWidth="1"/>
    <col min="3077" max="3077" width="14.453125" style="210" customWidth="1"/>
    <col min="3078" max="3078" width="13.1796875" style="210" bestFit="1" customWidth="1"/>
    <col min="3079" max="3079" width="18.1796875" style="210" bestFit="1" customWidth="1"/>
    <col min="3080" max="3080" width="16.81640625" style="210" bestFit="1" customWidth="1"/>
    <col min="3081" max="3081" width="13.1796875" style="210" bestFit="1" customWidth="1"/>
    <col min="3082" max="3082" width="15.1796875" style="210" bestFit="1" customWidth="1"/>
    <col min="3083" max="3083" width="18.81640625" style="210" customWidth="1"/>
    <col min="3084" max="3084" width="15.81640625" style="210" customWidth="1"/>
    <col min="3085" max="3085" width="15.453125" style="210" customWidth="1"/>
    <col min="3086" max="3086" width="16.1796875" style="210" bestFit="1" customWidth="1"/>
    <col min="3087" max="3087" width="18.1796875" style="210" bestFit="1" customWidth="1"/>
    <col min="3088" max="3088" width="15.1796875" style="210" bestFit="1" customWidth="1"/>
    <col min="3089" max="3089" width="15.54296875" style="210" customWidth="1"/>
    <col min="3090" max="3090" width="15.1796875" style="210" bestFit="1" customWidth="1"/>
    <col min="3091" max="3091" width="12.81640625" style="210" customWidth="1"/>
    <col min="3092" max="3092" width="13.1796875" style="210" customWidth="1"/>
    <col min="3093" max="3093" width="16.1796875" style="210" customWidth="1"/>
    <col min="3094" max="3094" width="12" style="210" bestFit="1" customWidth="1"/>
    <col min="3095" max="3327" width="10.1796875" style="210"/>
    <col min="3328" max="3328" width="35" style="210" customWidth="1"/>
    <col min="3329" max="3329" width="19.453125" style="210" customWidth="1"/>
    <col min="3330" max="3330" width="18" style="210" customWidth="1"/>
    <col min="3331" max="3331" width="14.453125" style="210" customWidth="1"/>
    <col min="3332" max="3332" width="15.81640625" style="210" bestFit="1" customWidth="1"/>
    <col min="3333" max="3333" width="14.453125" style="210" customWidth="1"/>
    <col min="3334" max="3334" width="13.1796875" style="210" bestFit="1" customWidth="1"/>
    <col min="3335" max="3335" width="18.1796875" style="210" bestFit="1" customWidth="1"/>
    <col min="3336" max="3336" width="16.81640625" style="210" bestFit="1" customWidth="1"/>
    <col min="3337" max="3337" width="13.1796875" style="210" bestFit="1" customWidth="1"/>
    <col min="3338" max="3338" width="15.1796875" style="210" bestFit="1" customWidth="1"/>
    <col min="3339" max="3339" width="18.81640625" style="210" customWidth="1"/>
    <col min="3340" max="3340" width="15.81640625" style="210" customWidth="1"/>
    <col min="3341" max="3341" width="15.453125" style="210" customWidth="1"/>
    <col min="3342" max="3342" width="16.1796875" style="210" bestFit="1" customWidth="1"/>
    <col min="3343" max="3343" width="18.1796875" style="210" bestFit="1" customWidth="1"/>
    <col min="3344" max="3344" width="15.1796875" style="210" bestFit="1" customWidth="1"/>
    <col min="3345" max="3345" width="15.54296875" style="210" customWidth="1"/>
    <col min="3346" max="3346" width="15.1796875" style="210" bestFit="1" customWidth="1"/>
    <col min="3347" max="3347" width="12.81640625" style="210" customWidth="1"/>
    <col min="3348" max="3348" width="13.1796875" style="210" customWidth="1"/>
    <col min="3349" max="3349" width="16.1796875" style="210" customWidth="1"/>
    <col min="3350" max="3350" width="12" style="210" bestFit="1" customWidth="1"/>
    <col min="3351" max="3583" width="10.1796875" style="210"/>
    <col min="3584" max="3584" width="35" style="210" customWidth="1"/>
    <col min="3585" max="3585" width="19.453125" style="210" customWidth="1"/>
    <col min="3586" max="3586" width="18" style="210" customWidth="1"/>
    <col min="3587" max="3587" width="14.453125" style="210" customWidth="1"/>
    <col min="3588" max="3588" width="15.81640625" style="210" bestFit="1" customWidth="1"/>
    <col min="3589" max="3589" width="14.453125" style="210" customWidth="1"/>
    <col min="3590" max="3590" width="13.1796875" style="210" bestFit="1" customWidth="1"/>
    <col min="3591" max="3591" width="18.1796875" style="210" bestFit="1" customWidth="1"/>
    <col min="3592" max="3592" width="16.81640625" style="210" bestFit="1" customWidth="1"/>
    <col min="3593" max="3593" width="13.1796875" style="210" bestFit="1" customWidth="1"/>
    <col min="3594" max="3594" width="15.1796875" style="210" bestFit="1" customWidth="1"/>
    <col min="3595" max="3595" width="18.81640625" style="210" customWidth="1"/>
    <col min="3596" max="3596" width="15.81640625" style="210" customWidth="1"/>
    <col min="3597" max="3597" width="15.453125" style="210" customWidth="1"/>
    <col min="3598" max="3598" width="16.1796875" style="210" bestFit="1" customWidth="1"/>
    <col min="3599" max="3599" width="18.1796875" style="210" bestFit="1" customWidth="1"/>
    <col min="3600" max="3600" width="15.1796875" style="210" bestFit="1" customWidth="1"/>
    <col min="3601" max="3601" width="15.54296875" style="210" customWidth="1"/>
    <col min="3602" max="3602" width="15.1796875" style="210" bestFit="1" customWidth="1"/>
    <col min="3603" max="3603" width="12.81640625" style="210" customWidth="1"/>
    <col min="3604" max="3604" width="13.1796875" style="210" customWidth="1"/>
    <col min="3605" max="3605" width="16.1796875" style="210" customWidth="1"/>
    <col min="3606" max="3606" width="12" style="210" bestFit="1" customWidth="1"/>
    <col min="3607" max="3839" width="10.1796875" style="210"/>
    <col min="3840" max="3840" width="35" style="210" customWidth="1"/>
    <col min="3841" max="3841" width="19.453125" style="210" customWidth="1"/>
    <col min="3842" max="3842" width="18" style="210" customWidth="1"/>
    <col min="3843" max="3843" width="14.453125" style="210" customWidth="1"/>
    <col min="3844" max="3844" width="15.81640625" style="210" bestFit="1" customWidth="1"/>
    <col min="3845" max="3845" width="14.453125" style="210" customWidth="1"/>
    <col min="3846" max="3846" width="13.1796875" style="210" bestFit="1" customWidth="1"/>
    <col min="3847" max="3847" width="18.1796875" style="210" bestFit="1" customWidth="1"/>
    <col min="3848" max="3848" width="16.81640625" style="210" bestFit="1" customWidth="1"/>
    <col min="3849" max="3849" width="13.1796875" style="210" bestFit="1" customWidth="1"/>
    <col min="3850" max="3850" width="15.1796875" style="210" bestFit="1" customWidth="1"/>
    <col min="3851" max="3851" width="18.81640625" style="210" customWidth="1"/>
    <col min="3852" max="3852" width="15.81640625" style="210" customWidth="1"/>
    <col min="3853" max="3853" width="15.453125" style="210" customWidth="1"/>
    <col min="3854" max="3854" width="16.1796875" style="210" bestFit="1" customWidth="1"/>
    <col min="3855" max="3855" width="18.1796875" style="210" bestFit="1" customWidth="1"/>
    <col min="3856" max="3856" width="15.1796875" style="210" bestFit="1" customWidth="1"/>
    <col min="3857" max="3857" width="15.54296875" style="210" customWidth="1"/>
    <col min="3858" max="3858" width="15.1796875" style="210" bestFit="1" customWidth="1"/>
    <col min="3859" max="3859" width="12.81640625" style="210" customWidth="1"/>
    <col min="3860" max="3860" width="13.1796875" style="210" customWidth="1"/>
    <col min="3861" max="3861" width="16.1796875" style="210" customWidth="1"/>
    <col min="3862" max="3862" width="12" style="210" bestFit="1" customWidth="1"/>
    <col min="3863" max="4095" width="10.1796875" style="210"/>
    <col min="4096" max="4096" width="35" style="210" customWidth="1"/>
    <col min="4097" max="4097" width="19.453125" style="210" customWidth="1"/>
    <col min="4098" max="4098" width="18" style="210" customWidth="1"/>
    <col min="4099" max="4099" width="14.453125" style="210" customWidth="1"/>
    <col min="4100" max="4100" width="15.81640625" style="210" bestFit="1" customWidth="1"/>
    <col min="4101" max="4101" width="14.453125" style="210" customWidth="1"/>
    <col min="4102" max="4102" width="13.1796875" style="210" bestFit="1" customWidth="1"/>
    <col min="4103" max="4103" width="18.1796875" style="210" bestFit="1" customWidth="1"/>
    <col min="4104" max="4104" width="16.81640625" style="210" bestFit="1" customWidth="1"/>
    <col min="4105" max="4105" width="13.1796875" style="210" bestFit="1" customWidth="1"/>
    <col min="4106" max="4106" width="15.1796875" style="210" bestFit="1" customWidth="1"/>
    <col min="4107" max="4107" width="18.81640625" style="210" customWidth="1"/>
    <col min="4108" max="4108" width="15.81640625" style="210" customWidth="1"/>
    <col min="4109" max="4109" width="15.453125" style="210" customWidth="1"/>
    <col min="4110" max="4110" width="16.1796875" style="210" bestFit="1" customWidth="1"/>
    <col min="4111" max="4111" width="18.1796875" style="210" bestFit="1" customWidth="1"/>
    <col min="4112" max="4112" width="15.1796875" style="210" bestFit="1" customWidth="1"/>
    <col min="4113" max="4113" width="15.54296875" style="210" customWidth="1"/>
    <col min="4114" max="4114" width="15.1796875" style="210" bestFit="1" customWidth="1"/>
    <col min="4115" max="4115" width="12.81640625" style="210" customWidth="1"/>
    <col min="4116" max="4116" width="13.1796875" style="210" customWidth="1"/>
    <col min="4117" max="4117" width="16.1796875" style="210" customWidth="1"/>
    <col min="4118" max="4118" width="12" style="210" bestFit="1" customWidth="1"/>
    <col min="4119" max="4351" width="10.1796875" style="210"/>
    <col min="4352" max="4352" width="35" style="210" customWidth="1"/>
    <col min="4353" max="4353" width="19.453125" style="210" customWidth="1"/>
    <col min="4354" max="4354" width="18" style="210" customWidth="1"/>
    <col min="4355" max="4355" width="14.453125" style="210" customWidth="1"/>
    <col min="4356" max="4356" width="15.81640625" style="210" bestFit="1" customWidth="1"/>
    <col min="4357" max="4357" width="14.453125" style="210" customWidth="1"/>
    <col min="4358" max="4358" width="13.1796875" style="210" bestFit="1" customWidth="1"/>
    <col min="4359" max="4359" width="18.1796875" style="210" bestFit="1" customWidth="1"/>
    <col min="4360" max="4360" width="16.81640625" style="210" bestFit="1" customWidth="1"/>
    <col min="4361" max="4361" width="13.1796875" style="210" bestFit="1" customWidth="1"/>
    <col min="4362" max="4362" width="15.1796875" style="210" bestFit="1" customWidth="1"/>
    <col min="4363" max="4363" width="18.81640625" style="210" customWidth="1"/>
    <col min="4364" max="4364" width="15.81640625" style="210" customWidth="1"/>
    <col min="4365" max="4365" width="15.453125" style="210" customWidth="1"/>
    <col min="4366" max="4366" width="16.1796875" style="210" bestFit="1" customWidth="1"/>
    <col min="4367" max="4367" width="18.1796875" style="210" bestFit="1" customWidth="1"/>
    <col min="4368" max="4368" width="15.1796875" style="210" bestFit="1" customWidth="1"/>
    <col min="4369" max="4369" width="15.54296875" style="210" customWidth="1"/>
    <col min="4370" max="4370" width="15.1796875" style="210" bestFit="1" customWidth="1"/>
    <col min="4371" max="4371" width="12.81640625" style="210" customWidth="1"/>
    <col min="4372" max="4372" width="13.1796875" style="210" customWidth="1"/>
    <col min="4373" max="4373" width="16.1796875" style="210" customWidth="1"/>
    <col min="4374" max="4374" width="12" style="210" bestFit="1" customWidth="1"/>
    <col min="4375" max="4607" width="10.1796875" style="210"/>
    <col min="4608" max="4608" width="35" style="210" customWidth="1"/>
    <col min="4609" max="4609" width="19.453125" style="210" customWidth="1"/>
    <col min="4610" max="4610" width="18" style="210" customWidth="1"/>
    <col min="4611" max="4611" width="14.453125" style="210" customWidth="1"/>
    <col min="4612" max="4612" width="15.81640625" style="210" bestFit="1" customWidth="1"/>
    <col min="4613" max="4613" width="14.453125" style="210" customWidth="1"/>
    <col min="4614" max="4614" width="13.1796875" style="210" bestFit="1" customWidth="1"/>
    <col min="4615" max="4615" width="18.1796875" style="210" bestFit="1" customWidth="1"/>
    <col min="4616" max="4616" width="16.81640625" style="210" bestFit="1" customWidth="1"/>
    <col min="4617" max="4617" width="13.1796875" style="210" bestFit="1" customWidth="1"/>
    <col min="4618" max="4618" width="15.1796875" style="210" bestFit="1" customWidth="1"/>
    <col min="4619" max="4619" width="18.81640625" style="210" customWidth="1"/>
    <col min="4620" max="4620" width="15.81640625" style="210" customWidth="1"/>
    <col min="4621" max="4621" width="15.453125" style="210" customWidth="1"/>
    <col min="4622" max="4622" width="16.1796875" style="210" bestFit="1" customWidth="1"/>
    <col min="4623" max="4623" width="18.1796875" style="210" bestFit="1" customWidth="1"/>
    <col min="4624" max="4624" width="15.1796875" style="210" bestFit="1" customWidth="1"/>
    <col min="4625" max="4625" width="15.54296875" style="210" customWidth="1"/>
    <col min="4626" max="4626" width="15.1796875" style="210" bestFit="1" customWidth="1"/>
    <col min="4627" max="4627" width="12.81640625" style="210" customWidth="1"/>
    <col min="4628" max="4628" width="13.1796875" style="210" customWidth="1"/>
    <col min="4629" max="4629" width="16.1796875" style="210" customWidth="1"/>
    <col min="4630" max="4630" width="12" style="210" bestFit="1" customWidth="1"/>
    <col min="4631" max="4863" width="10.1796875" style="210"/>
    <col min="4864" max="4864" width="35" style="210" customWidth="1"/>
    <col min="4865" max="4865" width="19.453125" style="210" customWidth="1"/>
    <col min="4866" max="4866" width="18" style="210" customWidth="1"/>
    <col min="4867" max="4867" width="14.453125" style="210" customWidth="1"/>
    <col min="4868" max="4868" width="15.81640625" style="210" bestFit="1" customWidth="1"/>
    <col min="4869" max="4869" width="14.453125" style="210" customWidth="1"/>
    <col min="4870" max="4870" width="13.1796875" style="210" bestFit="1" customWidth="1"/>
    <col min="4871" max="4871" width="18.1796875" style="210" bestFit="1" customWidth="1"/>
    <col min="4872" max="4872" width="16.81640625" style="210" bestFit="1" customWidth="1"/>
    <col min="4873" max="4873" width="13.1796875" style="210" bestFit="1" customWidth="1"/>
    <col min="4874" max="4874" width="15.1796875" style="210" bestFit="1" customWidth="1"/>
    <col min="4875" max="4875" width="18.81640625" style="210" customWidth="1"/>
    <col min="4876" max="4876" width="15.81640625" style="210" customWidth="1"/>
    <col min="4877" max="4877" width="15.453125" style="210" customWidth="1"/>
    <col min="4878" max="4878" width="16.1796875" style="210" bestFit="1" customWidth="1"/>
    <col min="4879" max="4879" width="18.1796875" style="210" bestFit="1" customWidth="1"/>
    <col min="4880" max="4880" width="15.1796875" style="210" bestFit="1" customWidth="1"/>
    <col min="4881" max="4881" width="15.54296875" style="210" customWidth="1"/>
    <col min="4882" max="4882" width="15.1796875" style="210" bestFit="1" customWidth="1"/>
    <col min="4883" max="4883" width="12.81640625" style="210" customWidth="1"/>
    <col min="4884" max="4884" width="13.1796875" style="210" customWidth="1"/>
    <col min="4885" max="4885" width="16.1796875" style="210" customWidth="1"/>
    <col min="4886" max="4886" width="12" style="210" bestFit="1" customWidth="1"/>
    <col min="4887" max="5119" width="10.1796875" style="210"/>
    <col min="5120" max="5120" width="35" style="210" customWidth="1"/>
    <col min="5121" max="5121" width="19.453125" style="210" customWidth="1"/>
    <col min="5122" max="5122" width="18" style="210" customWidth="1"/>
    <col min="5123" max="5123" width="14.453125" style="210" customWidth="1"/>
    <col min="5124" max="5124" width="15.81640625" style="210" bestFit="1" customWidth="1"/>
    <col min="5125" max="5125" width="14.453125" style="210" customWidth="1"/>
    <col min="5126" max="5126" width="13.1796875" style="210" bestFit="1" customWidth="1"/>
    <col min="5127" max="5127" width="18.1796875" style="210" bestFit="1" customWidth="1"/>
    <col min="5128" max="5128" width="16.81640625" style="210" bestFit="1" customWidth="1"/>
    <col min="5129" max="5129" width="13.1796875" style="210" bestFit="1" customWidth="1"/>
    <col min="5130" max="5130" width="15.1796875" style="210" bestFit="1" customWidth="1"/>
    <col min="5131" max="5131" width="18.81640625" style="210" customWidth="1"/>
    <col min="5132" max="5132" width="15.81640625" style="210" customWidth="1"/>
    <col min="5133" max="5133" width="15.453125" style="210" customWidth="1"/>
    <col min="5134" max="5134" width="16.1796875" style="210" bestFit="1" customWidth="1"/>
    <col min="5135" max="5135" width="18.1796875" style="210" bestFit="1" customWidth="1"/>
    <col min="5136" max="5136" width="15.1796875" style="210" bestFit="1" customWidth="1"/>
    <col min="5137" max="5137" width="15.54296875" style="210" customWidth="1"/>
    <col min="5138" max="5138" width="15.1796875" style="210" bestFit="1" customWidth="1"/>
    <col min="5139" max="5139" width="12.81640625" style="210" customWidth="1"/>
    <col min="5140" max="5140" width="13.1796875" style="210" customWidth="1"/>
    <col min="5141" max="5141" width="16.1796875" style="210" customWidth="1"/>
    <col min="5142" max="5142" width="12" style="210" bestFit="1" customWidth="1"/>
    <col min="5143" max="5375" width="10.1796875" style="210"/>
    <col min="5376" max="5376" width="35" style="210" customWidth="1"/>
    <col min="5377" max="5377" width="19.453125" style="210" customWidth="1"/>
    <col min="5378" max="5378" width="18" style="210" customWidth="1"/>
    <col min="5379" max="5379" width="14.453125" style="210" customWidth="1"/>
    <col min="5380" max="5380" width="15.81640625" style="210" bestFit="1" customWidth="1"/>
    <col min="5381" max="5381" width="14.453125" style="210" customWidth="1"/>
    <col min="5382" max="5382" width="13.1796875" style="210" bestFit="1" customWidth="1"/>
    <col min="5383" max="5383" width="18.1796875" style="210" bestFit="1" customWidth="1"/>
    <col min="5384" max="5384" width="16.81640625" style="210" bestFit="1" customWidth="1"/>
    <col min="5385" max="5385" width="13.1796875" style="210" bestFit="1" customWidth="1"/>
    <col min="5386" max="5386" width="15.1796875" style="210" bestFit="1" customWidth="1"/>
    <col min="5387" max="5387" width="18.81640625" style="210" customWidth="1"/>
    <col min="5388" max="5388" width="15.81640625" style="210" customWidth="1"/>
    <col min="5389" max="5389" width="15.453125" style="210" customWidth="1"/>
    <col min="5390" max="5390" width="16.1796875" style="210" bestFit="1" customWidth="1"/>
    <col min="5391" max="5391" width="18.1796875" style="210" bestFit="1" customWidth="1"/>
    <col min="5392" max="5392" width="15.1796875" style="210" bestFit="1" customWidth="1"/>
    <col min="5393" max="5393" width="15.54296875" style="210" customWidth="1"/>
    <col min="5394" max="5394" width="15.1796875" style="210" bestFit="1" customWidth="1"/>
    <col min="5395" max="5395" width="12.81640625" style="210" customWidth="1"/>
    <col min="5396" max="5396" width="13.1796875" style="210" customWidth="1"/>
    <col min="5397" max="5397" width="16.1796875" style="210" customWidth="1"/>
    <col min="5398" max="5398" width="12" style="210" bestFit="1" customWidth="1"/>
    <col min="5399" max="5631" width="10.1796875" style="210"/>
    <col min="5632" max="5632" width="35" style="210" customWidth="1"/>
    <col min="5633" max="5633" width="19.453125" style="210" customWidth="1"/>
    <col min="5634" max="5634" width="18" style="210" customWidth="1"/>
    <col min="5635" max="5635" width="14.453125" style="210" customWidth="1"/>
    <col min="5636" max="5636" width="15.81640625" style="210" bestFit="1" customWidth="1"/>
    <col min="5637" max="5637" width="14.453125" style="210" customWidth="1"/>
    <col min="5638" max="5638" width="13.1796875" style="210" bestFit="1" customWidth="1"/>
    <col min="5639" max="5639" width="18.1796875" style="210" bestFit="1" customWidth="1"/>
    <col min="5640" max="5640" width="16.81640625" style="210" bestFit="1" customWidth="1"/>
    <col min="5641" max="5641" width="13.1796875" style="210" bestFit="1" customWidth="1"/>
    <col min="5642" max="5642" width="15.1796875" style="210" bestFit="1" customWidth="1"/>
    <col min="5643" max="5643" width="18.81640625" style="210" customWidth="1"/>
    <col min="5644" max="5644" width="15.81640625" style="210" customWidth="1"/>
    <col min="5645" max="5645" width="15.453125" style="210" customWidth="1"/>
    <col min="5646" max="5646" width="16.1796875" style="210" bestFit="1" customWidth="1"/>
    <col min="5647" max="5647" width="18.1796875" style="210" bestFit="1" customWidth="1"/>
    <col min="5648" max="5648" width="15.1796875" style="210" bestFit="1" customWidth="1"/>
    <col min="5649" max="5649" width="15.54296875" style="210" customWidth="1"/>
    <col min="5650" max="5650" width="15.1796875" style="210" bestFit="1" customWidth="1"/>
    <col min="5651" max="5651" width="12.81640625" style="210" customWidth="1"/>
    <col min="5652" max="5652" width="13.1796875" style="210" customWidth="1"/>
    <col min="5653" max="5653" width="16.1796875" style="210" customWidth="1"/>
    <col min="5654" max="5654" width="12" style="210" bestFit="1" customWidth="1"/>
    <col min="5655" max="5887" width="10.1796875" style="210"/>
    <col min="5888" max="5888" width="35" style="210" customWidth="1"/>
    <col min="5889" max="5889" width="19.453125" style="210" customWidth="1"/>
    <col min="5890" max="5890" width="18" style="210" customWidth="1"/>
    <col min="5891" max="5891" width="14.453125" style="210" customWidth="1"/>
    <col min="5892" max="5892" width="15.81640625" style="210" bestFit="1" customWidth="1"/>
    <col min="5893" max="5893" width="14.453125" style="210" customWidth="1"/>
    <col min="5894" max="5894" width="13.1796875" style="210" bestFit="1" customWidth="1"/>
    <col min="5895" max="5895" width="18.1796875" style="210" bestFit="1" customWidth="1"/>
    <col min="5896" max="5896" width="16.81640625" style="210" bestFit="1" customWidth="1"/>
    <col min="5897" max="5897" width="13.1796875" style="210" bestFit="1" customWidth="1"/>
    <col min="5898" max="5898" width="15.1796875" style="210" bestFit="1" customWidth="1"/>
    <col min="5899" max="5899" width="18.81640625" style="210" customWidth="1"/>
    <col min="5900" max="5900" width="15.81640625" style="210" customWidth="1"/>
    <col min="5901" max="5901" width="15.453125" style="210" customWidth="1"/>
    <col min="5902" max="5902" width="16.1796875" style="210" bestFit="1" customWidth="1"/>
    <col min="5903" max="5903" width="18.1796875" style="210" bestFit="1" customWidth="1"/>
    <col min="5904" max="5904" width="15.1796875" style="210" bestFit="1" customWidth="1"/>
    <col min="5905" max="5905" width="15.54296875" style="210" customWidth="1"/>
    <col min="5906" max="5906" width="15.1796875" style="210" bestFit="1" customWidth="1"/>
    <col min="5907" max="5907" width="12.81640625" style="210" customWidth="1"/>
    <col min="5908" max="5908" width="13.1796875" style="210" customWidth="1"/>
    <col min="5909" max="5909" width="16.1796875" style="210" customWidth="1"/>
    <col min="5910" max="5910" width="12" style="210" bestFit="1" customWidth="1"/>
    <col min="5911" max="6143" width="10.1796875" style="210"/>
    <col min="6144" max="6144" width="35" style="210" customWidth="1"/>
    <col min="6145" max="6145" width="19.453125" style="210" customWidth="1"/>
    <col min="6146" max="6146" width="18" style="210" customWidth="1"/>
    <col min="6147" max="6147" width="14.453125" style="210" customWidth="1"/>
    <col min="6148" max="6148" width="15.81640625" style="210" bestFit="1" customWidth="1"/>
    <col min="6149" max="6149" width="14.453125" style="210" customWidth="1"/>
    <col min="6150" max="6150" width="13.1796875" style="210" bestFit="1" customWidth="1"/>
    <col min="6151" max="6151" width="18.1796875" style="210" bestFit="1" customWidth="1"/>
    <col min="6152" max="6152" width="16.81640625" style="210" bestFit="1" customWidth="1"/>
    <col min="6153" max="6153" width="13.1796875" style="210" bestFit="1" customWidth="1"/>
    <col min="6154" max="6154" width="15.1796875" style="210" bestFit="1" customWidth="1"/>
    <col min="6155" max="6155" width="18.81640625" style="210" customWidth="1"/>
    <col min="6156" max="6156" width="15.81640625" style="210" customWidth="1"/>
    <col min="6157" max="6157" width="15.453125" style="210" customWidth="1"/>
    <col min="6158" max="6158" width="16.1796875" style="210" bestFit="1" customWidth="1"/>
    <col min="6159" max="6159" width="18.1796875" style="210" bestFit="1" customWidth="1"/>
    <col min="6160" max="6160" width="15.1796875" style="210" bestFit="1" customWidth="1"/>
    <col min="6161" max="6161" width="15.54296875" style="210" customWidth="1"/>
    <col min="6162" max="6162" width="15.1796875" style="210" bestFit="1" customWidth="1"/>
    <col min="6163" max="6163" width="12.81640625" style="210" customWidth="1"/>
    <col min="6164" max="6164" width="13.1796875" style="210" customWidth="1"/>
    <col min="6165" max="6165" width="16.1796875" style="210" customWidth="1"/>
    <col min="6166" max="6166" width="12" style="210" bestFit="1" customWidth="1"/>
    <col min="6167" max="6399" width="10.1796875" style="210"/>
    <col min="6400" max="6400" width="35" style="210" customWidth="1"/>
    <col min="6401" max="6401" width="19.453125" style="210" customWidth="1"/>
    <col min="6402" max="6402" width="18" style="210" customWidth="1"/>
    <col min="6403" max="6403" width="14.453125" style="210" customWidth="1"/>
    <col min="6404" max="6404" width="15.81640625" style="210" bestFit="1" customWidth="1"/>
    <col min="6405" max="6405" width="14.453125" style="210" customWidth="1"/>
    <col min="6406" max="6406" width="13.1796875" style="210" bestFit="1" customWidth="1"/>
    <col min="6407" max="6407" width="18.1796875" style="210" bestFit="1" customWidth="1"/>
    <col min="6408" max="6408" width="16.81640625" style="210" bestFit="1" customWidth="1"/>
    <col min="6409" max="6409" width="13.1796875" style="210" bestFit="1" customWidth="1"/>
    <col min="6410" max="6410" width="15.1796875" style="210" bestFit="1" customWidth="1"/>
    <col min="6411" max="6411" width="18.81640625" style="210" customWidth="1"/>
    <col min="6412" max="6412" width="15.81640625" style="210" customWidth="1"/>
    <col min="6413" max="6413" width="15.453125" style="210" customWidth="1"/>
    <col min="6414" max="6414" width="16.1796875" style="210" bestFit="1" customWidth="1"/>
    <col min="6415" max="6415" width="18.1796875" style="210" bestFit="1" customWidth="1"/>
    <col min="6416" max="6416" width="15.1796875" style="210" bestFit="1" customWidth="1"/>
    <col min="6417" max="6417" width="15.54296875" style="210" customWidth="1"/>
    <col min="6418" max="6418" width="15.1796875" style="210" bestFit="1" customWidth="1"/>
    <col min="6419" max="6419" width="12.81640625" style="210" customWidth="1"/>
    <col min="6420" max="6420" width="13.1796875" style="210" customWidth="1"/>
    <col min="6421" max="6421" width="16.1796875" style="210" customWidth="1"/>
    <col min="6422" max="6422" width="12" style="210" bestFit="1" customWidth="1"/>
    <col min="6423" max="6655" width="10.1796875" style="210"/>
    <col min="6656" max="6656" width="35" style="210" customWidth="1"/>
    <col min="6657" max="6657" width="19.453125" style="210" customWidth="1"/>
    <col min="6658" max="6658" width="18" style="210" customWidth="1"/>
    <col min="6659" max="6659" width="14.453125" style="210" customWidth="1"/>
    <col min="6660" max="6660" width="15.81640625" style="210" bestFit="1" customWidth="1"/>
    <col min="6661" max="6661" width="14.453125" style="210" customWidth="1"/>
    <col min="6662" max="6662" width="13.1796875" style="210" bestFit="1" customWidth="1"/>
    <col min="6663" max="6663" width="18.1796875" style="210" bestFit="1" customWidth="1"/>
    <col min="6664" max="6664" width="16.81640625" style="210" bestFit="1" customWidth="1"/>
    <col min="6665" max="6665" width="13.1796875" style="210" bestFit="1" customWidth="1"/>
    <col min="6666" max="6666" width="15.1796875" style="210" bestFit="1" customWidth="1"/>
    <col min="6667" max="6667" width="18.81640625" style="210" customWidth="1"/>
    <col min="6668" max="6668" width="15.81640625" style="210" customWidth="1"/>
    <col min="6669" max="6669" width="15.453125" style="210" customWidth="1"/>
    <col min="6670" max="6670" width="16.1796875" style="210" bestFit="1" customWidth="1"/>
    <col min="6671" max="6671" width="18.1796875" style="210" bestFit="1" customWidth="1"/>
    <col min="6672" max="6672" width="15.1796875" style="210" bestFit="1" customWidth="1"/>
    <col min="6673" max="6673" width="15.54296875" style="210" customWidth="1"/>
    <col min="6674" max="6674" width="15.1796875" style="210" bestFit="1" customWidth="1"/>
    <col min="6675" max="6675" width="12.81640625" style="210" customWidth="1"/>
    <col min="6676" max="6676" width="13.1796875" style="210" customWidth="1"/>
    <col min="6677" max="6677" width="16.1796875" style="210" customWidth="1"/>
    <col min="6678" max="6678" width="12" style="210" bestFit="1" customWidth="1"/>
    <col min="6679" max="6911" width="10.1796875" style="210"/>
    <col min="6912" max="6912" width="35" style="210" customWidth="1"/>
    <col min="6913" max="6913" width="19.453125" style="210" customWidth="1"/>
    <col min="6914" max="6914" width="18" style="210" customWidth="1"/>
    <col min="6915" max="6915" width="14.453125" style="210" customWidth="1"/>
    <col min="6916" max="6916" width="15.81640625" style="210" bestFit="1" customWidth="1"/>
    <col min="6917" max="6917" width="14.453125" style="210" customWidth="1"/>
    <col min="6918" max="6918" width="13.1796875" style="210" bestFit="1" customWidth="1"/>
    <col min="6919" max="6919" width="18.1796875" style="210" bestFit="1" customWidth="1"/>
    <col min="6920" max="6920" width="16.81640625" style="210" bestFit="1" customWidth="1"/>
    <col min="6921" max="6921" width="13.1796875" style="210" bestFit="1" customWidth="1"/>
    <col min="6922" max="6922" width="15.1796875" style="210" bestFit="1" customWidth="1"/>
    <col min="6923" max="6923" width="18.81640625" style="210" customWidth="1"/>
    <col min="6924" max="6924" width="15.81640625" style="210" customWidth="1"/>
    <col min="6925" max="6925" width="15.453125" style="210" customWidth="1"/>
    <col min="6926" max="6926" width="16.1796875" style="210" bestFit="1" customWidth="1"/>
    <col min="6927" max="6927" width="18.1796875" style="210" bestFit="1" customWidth="1"/>
    <col min="6928" max="6928" width="15.1796875" style="210" bestFit="1" customWidth="1"/>
    <col min="6929" max="6929" width="15.54296875" style="210" customWidth="1"/>
    <col min="6930" max="6930" width="15.1796875" style="210" bestFit="1" customWidth="1"/>
    <col min="6931" max="6931" width="12.81640625" style="210" customWidth="1"/>
    <col min="6932" max="6932" width="13.1796875" style="210" customWidth="1"/>
    <col min="6933" max="6933" width="16.1796875" style="210" customWidth="1"/>
    <col min="6934" max="6934" width="12" style="210" bestFit="1" customWidth="1"/>
    <col min="6935" max="7167" width="10.1796875" style="210"/>
    <col min="7168" max="7168" width="35" style="210" customWidth="1"/>
    <col min="7169" max="7169" width="19.453125" style="210" customWidth="1"/>
    <col min="7170" max="7170" width="18" style="210" customWidth="1"/>
    <col min="7171" max="7171" width="14.453125" style="210" customWidth="1"/>
    <col min="7172" max="7172" width="15.81640625" style="210" bestFit="1" customWidth="1"/>
    <col min="7173" max="7173" width="14.453125" style="210" customWidth="1"/>
    <col min="7174" max="7174" width="13.1796875" style="210" bestFit="1" customWidth="1"/>
    <col min="7175" max="7175" width="18.1796875" style="210" bestFit="1" customWidth="1"/>
    <col min="7176" max="7176" width="16.81640625" style="210" bestFit="1" customWidth="1"/>
    <col min="7177" max="7177" width="13.1796875" style="210" bestFit="1" customWidth="1"/>
    <col min="7178" max="7178" width="15.1796875" style="210" bestFit="1" customWidth="1"/>
    <col min="7179" max="7179" width="18.81640625" style="210" customWidth="1"/>
    <col min="7180" max="7180" width="15.81640625" style="210" customWidth="1"/>
    <col min="7181" max="7181" width="15.453125" style="210" customWidth="1"/>
    <col min="7182" max="7182" width="16.1796875" style="210" bestFit="1" customWidth="1"/>
    <col min="7183" max="7183" width="18.1796875" style="210" bestFit="1" customWidth="1"/>
    <col min="7184" max="7184" width="15.1796875" style="210" bestFit="1" customWidth="1"/>
    <col min="7185" max="7185" width="15.54296875" style="210" customWidth="1"/>
    <col min="7186" max="7186" width="15.1796875" style="210" bestFit="1" customWidth="1"/>
    <col min="7187" max="7187" width="12.81640625" style="210" customWidth="1"/>
    <col min="7188" max="7188" width="13.1796875" style="210" customWidth="1"/>
    <col min="7189" max="7189" width="16.1796875" style="210" customWidth="1"/>
    <col min="7190" max="7190" width="12" style="210" bestFit="1" customWidth="1"/>
    <col min="7191" max="7423" width="10.1796875" style="210"/>
    <col min="7424" max="7424" width="35" style="210" customWidth="1"/>
    <col min="7425" max="7425" width="19.453125" style="210" customWidth="1"/>
    <col min="7426" max="7426" width="18" style="210" customWidth="1"/>
    <col min="7427" max="7427" width="14.453125" style="210" customWidth="1"/>
    <col min="7428" max="7428" width="15.81640625" style="210" bestFit="1" customWidth="1"/>
    <col min="7429" max="7429" width="14.453125" style="210" customWidth="1"/>
    <col min="7430" max="7430" width="13.1796875" style="210" bestFit="1" customWidth="1"/>
    <col min="7431" max="7431" width="18.1796875" style="210" bestFit="1" customWidth="1"/>
    <col min="7432" max="7432" width="16.81640625" style="210" bestFit="1" customWidth="1"/>
    <col min="7433" max="7433" width="13.1796875" style="210" bestFit="1" customWidth="1"/>
    <col min="7434" max="7434" width="15.1796875" style="210" bestFit="1" customWidth="1"/>
    <col min="7435" max="7435" width="18.81640625" style="210" customWidth="1"/>
    <col min="7436" max="7436" width="15.81640625" style="210" customWidth="1"/>
    <col min="7437" max="7437" width="15.453125" style="210" customWidth="1"/>
    <col min="7438" max="7438" width="16.1796875" style="210" bestFit="1" customWidth="1"/>
    <col min="7439" max="7439" width="18.1796875" style="210" bestFit="1" customWidth="1"/>
    <col min="7440" max="7440" width="15.1796875" style="210" bestFit="1" customWidth="1"/>
    <col min="7441" max="7441" width="15.54296875" style="210" customWidth="1"/>
    <col min="7442" max="7442" width="15.1796875" style="210" bestFit="1" customWidth="1"/>
    <col min="7443" max="7443" width="12.81640625" style="210" customWidth="1"/>
    <col min="7444" max="7444" width="13.1796875" style="210" customWidth="1"/>
    <col min="7445" max="7445" width="16.1796875" style="210" customWidth="1"/>
    <col min="7446" max="7446" width="12" style="210" bestFit="1" customWidth="1"/>
    <col min="7447" max="7679" width="10.1796875" style="210"/>
    <col min="7680" max="7680" width="35" style="210" customWidth="1"/>
    <col min="7681" max="7681" width="19.453125" style="210" customWidth="1"/>
    <col min="7682" max="7682" width="18" style="210" customWidth="1"/>
    <col min="7683" max="7683" width="14.453125" style="210" customWidth="1"/>
    <col min="7684" max="7684" width="15.81640625" style="210" bestFit="1" customWidth="1"/>
    <col min="7685" max="7685" width="14.453125" style="210" customWidth="1"/>
    <col min="7686" max="7686" width="13.1796875" style="210" bestFit="1" customWidth="1"/>
    <col min="7687" max="7687" width="18.1796875" style="210" bestFit="1" customWidth="1"/>
    <col min="7688" max="7688" width="16.81640625" style="210" bestFit="1" customWidth="1"/>
    <col min="7689" max="7689" width="13.1796875" style="210" bestFit="1" customWidth="1"/>
    <col min="7690" max="7690" width="15.1796875" style="210" bestFit="1" customWidth="1"/>
    <col min="7691" max="7691" width="18.81640625" style="210" customWidth="1"/>
    <col min="7692" max="7692" width="15.81640625" style="210" customWidth="1"/>
    <col min="7693" max="7693" width="15.453125" style="210" customWidth="1"/>
    <col min="7694" max="7694" width="16.1796875" style="210" bestFit="1" customWidth="1"/>
    <col min="7695" max="7695" width="18.1796875" style="210" bestFit="1" customWidth="1"/>
    <col min="7696" max="7696" width="15.1796875" style="210" bestFit="1" customWidth="1"/>
    <col min="7697" max="7697" width="15.54296875" style="210" customWidth="1"/>
    <col min="7698" max="7698" width="15.1796875" style="210" bestFit="1" customWidth="1"/>
    <col min="7699" max="7699" width="12.81640625" style="210" customWidth="1"/>
    <col min="7700" max="7700" width="13.1796875" style="210" customWidth="1"/>
    <col min="7701" max="7701" width="16.1796875" style="210" customWidth="1"/>
    <col min="7702" max="7702" width="12" style="210" bestFit="1" customWidth="1"/>
    <col min="7703" max="7935" width="10.1796875" style="210"/>
    <col min="7936" max="7936" width="35" style="210" customWidth="1"/>
    <col min="7937" max="7937" width="19.453125" style="210" customWidth="1"/>
    <col min="7938" max="7938" width="18" style="210" customWidth="1"/>
    <col min="7939" max="7939" width="14.453125" style="210" customWidth="1"/>
    <col min="7940" max="7940" width="15.81640625" style="210" bestFit="1" customWidth="1"/>
    <col min="7941" max="7941" width="14.453125" style="210" customWidth="1"/>
    <col min="7942" max="7942" width="13.1796875" style="210" bestFit="1" customWidth="1"/>
    <col min="7943" max="7943" width="18.1796875" style="210" bestFit="1" customWidth="1"/>
    <col min="7944" max="7944" width="16.81640625" style="210" bestFit="1" customWidth="1"/>
    <col min="7945" max="7945" width="13.1796875" style="210" bestFit="1" customWidth="1"/>
    <col min="7946" max="7946" width="15.1796875" style="210" bestFit="1" customWidth="1"/>
    <col min="7947" max="7947" width="18.81640625" style="210" customWidth="1"/>
    <col min="7948" max="7948" width="15.81640625" style="210" customWidth="1"/>
    <col min="7949" max="7949" width="15.453125" style="210" customWidth="1"/>
    <col min="7950" max="7950" width="16.1796875" style="210" bestFit="1" customWidth="1"/>
    <col min="7951" max="7951" width="18.1796875" style="210" bestFit="1" customWidth="1"/>
    <col min="7952" max="7952" width="15.1796875" style="210" bestFit="1" customWidth="1"/>
    <col min="7953" max="7953" width="15.54296875" style="210" customWidth="1"/>
    <col min="7954" max="7954" width="15.1796875" style="210" bestFit="1" customWidth="1"/>
    <col min="7955" max="7955" width="12.81640625" style="210" customWidth="1"/>
    <col min="7956" max="7956" width="13.1796875" style="210" customWidth="1"/>
    <col min="7957" max="7957" width="16.1796875" style="210" customWidth="1"/>
    <col min="7958" max="7958" width="12" style="210" bestFit="1" customWidth="1"/>
    <col min="7959" max="8191" width="10.1796875" style="210"/>
    <col min="8192" max="8192" width="35" style="210" customWidth="1"/>
    <col min="8193" max="8193" width="19.453125" style="210" customWidth="1"/>
    <col min="8194" max="8194" width="18" style="210" customWidth="1"/>
    <col min="8195" max="8195" width="14.453125" style="210" customWidth="1"/>
    <col min="8196" max="8196" width="15.81640625" style="210" bestFit="1" customWidth="1"/>
    <col min="8197" max="8197" width="14.453125" style="210" customWidth="1"/>
    <col min="8198" max="8198" width="13.1796875" style="210" bestFit="1" customWidth="1"/>
    <col min="8199" max="8199" width="18.1796875" style="210" bestFit="1" customWidth="1"/>
    <col min="8200" max="8200" width="16.81640625" style="210" bestFit="1" customWidth="1"/>
    <col min="8201" max="8201" width="13.1796875" style="210" bestFit="1" customWidth="1"/>
    <col min="8202" max="8202" width="15.1796875" style="210" bestFit="1" customWidth="1"/>
    <col min="8203" max="8203" width="18.81640625" style="210" customWidth="1"/>
    <col min="8204" max="8204" width="15.81640625" style="210" customWidth="1"/>
    <col min="8205" max="8205" width="15.453125" style="210" customWidth="1"/>
    <col min="8206" max="8206" width="16.1796875" style="210" bestFit="1" customWidth="1"/>
    <col min="8207" max="8207" width="18.1796875" style="210" bestFit="1" customWidth="1"/>
    <col min="8208" max="8208" width="15.1796875" style="210" bestFit="1" customWidth="1"/>
    <col min="8209" max="8209" width="15.54296875" style="210" customWidth="1"/>
    <col min="8210" max="8210" width="15.1796875" style="210" bestFit="1" customWidth="1"/>
    <col min="8211" max="8211" width="12.81640625" style="210" customWidth="1"/>
    <col min="8212" max="8212" width="13.1796875" style="210" customWidth="1"/>
    <col min="8213" max="8213" width="16.1796875" style="210" customWidth="1"/>
    <col min="8214" max="8214" width="12" style="210" bestFit="1" customWidth="1"/>
    <col min="8215" max="8447" width="10.1796875" style="210"/>
    <col min="8448" max="8448" width="35" style="210" customWidth="1"/>
    <col min="8449" max="8449" width="19.453125" style="210" customWidth="1"/>
    <col min="8450" max="8450" width="18" style="210" customWidth="1"/>
    <col min="8451" max="8451" width="14.453125" style="210" customWidth="1"/>
    <col min="8452" max="8452" width="15.81640625" style="210" bestFit="1" customWidth="1"/>
    <col min="8453" max="8453" width="14.453125" style="210" customWidth="1"/>
    <col min="8454" max="8454" width="13.1796875" style="210" bestFit="1" customWidth="1"/>
    <col min="8455" max="8455" width="18.1796875" style="210" bestFit="1" customWidth="1"/>
    <col min="8456" max="8456" width="16.81640625" style="210" bestFit="1" customWidth="1"/>
    <col min="8457" max="8457" width="13.1796875" style="210" bestFit="1" customWidth="1"/>
    <col min="8458" max="8458" width="15.1796875" style="210" bestFit="1" customWidth="1"/>
    <col min="8459" max="8459" width="18.81640625" style="210" customWidth="1"/>
    <col min="8460" max="8460" width="15.81640625" style="210" customWidth="1"/>
    <col min="8461" max="8461" width="15.453125" style="210" customWidth="1"/>
    <col min="8462" max="8462" width="16.1796875" style="210" bestFit="1" customWidth="1"/>
    <col min="8463" max="8463" width="18.1796875" style="210" bestFit="1" customWidth="1"/>
    <col min="8464" max="8464" width="15.1796875" style="210" bestFit="1" customWidth="1"/>
    <col min="8465" max="8465" width="15.54296875" style="210" customWidth="1"/>
    <col min="8466" max="8466" width="15.1796875" style="210" bestFit="1" customWidth="1"/>
    <col min="8467" max="8467" width="12.81640625" style="210" customWidth="1"/>
    <col min="8468" max="8468" width="13.1796875" style="210" customWidth="1"/>
    <col min="8469" max="8469" width="16.1796875" style="210" customWidth="1"/>
    <col min="8470" max="8470" width="12" style="210" bestFit="1" customWidth="1"/>
    <col min="8471" max="8703" width="10.1796875" style="210"/>
    <col min="8704" max="8704" width="35" style="210" customWidth="1"/>
    <col min="8705" max="8705" width="19.453125" style="210" customWidth="1"/>
    <col min="8706" max="8706" width="18" style="210" customWidth="1"/>
    <col min="8707" max="8707" width="14.453125" style="210" customWidth="1"/>
    <col min="8708" max="8708" width="15.81640625" style="210" bestFit="1" customWidth="1"/>
    <col min="8709" max="8709" width="14.453125" style="210" customWidth="1"/>
    <col min="8710" max="8710" width="13.1796875" style="210" bestFit="1" customWidth="1"/>
    <col min="8711" max="8711" width="18.1796875" style="210" bestFit="1" customWidth="1"/>
    <col min="8712" max="8712" width="16.81640625" style="210" bestFit="1" customWidth="1"/>
    <col min="8713" max="8713" width="13.1796875" style="210" bestFit="1" customWidth="1"/>
    <col min="8714" max="8714" width="15.1796875" style="210" bestFit="1" customWidth="1"/>
    <col min="8715" max="8715" width="18.81640625" style="210" customWidth="1"/>
    <col min="8716" max="8716" width="15.81640625" style="210" customWidth="1"/>
    <col min="8717" max="8717" width="15.453125" style="210" customWidth="1"/>
    <col min="8718" max="8718" width="16.1796875" style="210" bestFit="1" customWidth="1"/>
    <col min="8719" max="8719" width="18.1796875" style="210" bestFit="1" customWidth="1"/>
    <col min="8720" max="8720" width="15.1796875" style="210" bestFit="1" customWidth="1"/>
    <col min="8721" max="8721" width="15.54296875" style="210" customWidth="1"/>
    <col min="8722" max="8722" width="15.1796875" style="210" bestFit="1" customWidth="1"/>
    <col min="8723" max="8723" width="12.81640625" style="210" customWidth="1"/>
    <col min="8724" max="8724" width="13.1796875" style="210" customWidth="1"/>
    <col min="8725" max="8725" width="16.1796875" style="210" customWidth="1"/>
    <col min="8726" max="8726" width="12" style="210" bestFit="1" customWidth="1"/>
    <col min="8727" max="8959" width="10.1796875" style="210"/>
    <col min="8960" max="8960" width="35" style="210" customWidth="1"/>
    <col min="8961" max="8961" width="19.453125" style="210" customWidth="1"/>
    <col min="8962" max="8962" width="18" style="210" customWidth="1"/>
    <col min="8963" max="8963" width="14.453125" style="210" customWidth="1"/>
    <col min="8964" max="8964" width="15.81640625" style="210" bestFit="1" customWidth="1"/>
    <col min="8965" max="8965" width="14.453125" style="210" customWidth="1"/>
    <col min="8966" max="8966" width="13.1796875" style="210" bestFit="1" customWidth="1"/>
    <col min="8967" max="8967" width="18.1796875" style="210" bestFit="1" customWidth="1"/>
    <col min="8968" max="8968" width="16.81640625" style="210" bestFit="1" customWidth="1"/>
    <col min="8969" max="8969" width="13.1796875" style="210" bestFit="1" customWidth="1"/>
    <col min="8970" max="8970" width="15.1796875" style="210" bestFit="1" customWidth="1"/>
    <col min="8971" max="8971" width="18.81640625" style="210" customWidth="1"/>
    <col min="8972" max="8972" width="15.81640625" style="210" customWidth="1"/>
    <col min="8973" max="8973" width="15.453125" style="210" customWidth="1"/>
    <col min="8974" max="8974" width="16.1796875" style="210" bestFit="1" customWidth="1"/>
    <col min="8975" max="8975" width="18.1796875" style="210" bestFit="1" customWidth="1"/>
    <col min="8976" max="8976" width="15.1796875" style="210" bestFit="1" customWidth="1"/>
    <col min="8977" max="8977" width="15.54296875" style="210" customWidth="1"/>
    <col min="8978" max="8978" width="15.1796875" style="210" bestFit="1" customWidth="1"/>
    <col min="8979" max="8979" width="12.81640625" style="210" customWidth="1"/>
    <col min="8980" max="8980" width="13.1796875" style="210" customWidth="1"/>
    <col min="8981" max="8981" width="16.1796875" style="210" customWidth="1"/>
    <col min="8982" max="8982" width="12" style="210" bestFit="1" customWidth="1"/>
    <col min="8983" max="9215" width="10.1796875" style="210"/>
    <col min="9216" max="9216" width="35" style="210" customWidth="1"/>
    <col min="9217" max="9217" width="19.453125" style="210" customWidth="1"/>
    <col min="9218" max="9218" width="18" style="210" customWidth="1"/>
    <col min="9219" max="9219" width="14.453125" style="210" customWidth="1"/>
    <col min="9220" max="9220" width="15.81640625" style="210" bestFit="1" customWidth="1"/>
    <col min="9221" max="9221" width="14.453125" style="210" customWidth="1"/>
    <col min="9222" max="9222" width="13.1796875" style="210" bestFit="1" customWidth="1"/>
    <col min="9223" max="9223" width="18.1796875" style="210" bestFit="1" customWidth="1"/>
    <col min="9224" max="9224" width="16.81640625" style="210" bestFit="1" customWidth="1"/>
    <col min="9225" max="9225" width="13.1796875" style="210" bestFit="1" customWidth="1"/>
    <col min="9226" max="9226" width="15.1796875" style="210" bestFit="1" customWidth="1"/>
    <col min="9227" max="9227" width="18.81640625" style="210" customWidth="1"/>
    <col min="9228" max="9228" width="15.81640625" style="210" customWidth="1"/>
    <col min="9229" max="9229" width="15.453125" style="210" customWidth="1"/>
    <col min="9230" max="9230" width="16.1796875" style="210" bestFit="1" customWidth="1"/>
    <col min="9231" max="9231" width="18.1796875" style="210" bestFit="1" customWidth="1"/>
    <col min="9232" max="9232" width="15.1796875" style="210" bestFit="1" customWidth="1"/>
    <col min="9233" max="9233" width="15.54296875" style="210" customWidth="1"/>
    <col min="9234" max="9234" width="15.1796875" style="210" bestFit="1" customWidth="1"/>
    <col min="9235" max="9235" width="12.81640625" style="210" customWidth="1"/>
    <col min="9236" max="9236" width="13.1796875" style="210" customWidth="1"/>
    <col min="9237" max="9237" width="16.1796875" style="210" customWidth="1"/>
    <col min="9238" max="9238" width="12" style="210" bestFit="1" customWidth="1"/>
    <col min="9239" max="9471" width="10.1796875" style="210"/>
    <col min="9472" max="9472" width="35" style="210" customWidth="1"/>
    <col min="9473" max="9473" width="19.453125" style="210" customWidth="1"/>
    <col min="9474" max="9474" width="18" style="210" customWidth="1"/>
    <col min="9475" max="9475" width="14.453125" style="210" customWidth="1"/>
    <col min="9476" max="9476" width="15.81640625" style="210" bestFit="1" customWidth="1"/>
    <col min="9477" max="9477" width="14.453125" style="210" customWidth="1"/>
    <col min="9478" max="9478" width="13.1796875" style="210" bestFit="1" customWidth="1"/>
    <col min="9479" max="9479" width="18.1796875" style="210" bestFit="1" customWidth="1"/>
    <col min="9480" max="9480" width="16.81640625" style="210" bestFit="1" customWidth="1"/>
    <col min="9481" max="9481" width="13.1796875" style="210" bestFit="1" customWidth="1"/>
    <col min="9482" max="9482" width="15.1796875" style="210" bestFit="1" customWidth="1"/>
    <col min="9483" max="9483" width="18.81640625" style="210" customWidth="1"/>
    <col min="9484" max="9484" width="15.81640625" style="210" customWidth="1"/>
    <col min="9485" max="9485" width="15.453125" style="210" customWidth="1"/>
    <col min="9486" max="9486" width="16.1796875" style="210" bestFit="1" customWidth="1"/>
    <col min="9487" max="9487" width="18.1796875" style="210" bestFit="1" customWidth="1"/>
    <col min="9488" max="9488" width="15.1796875" style="210" bestFit="1" customWidth="1"/>
    <col min="9489" max="9489" width="15.54296875" style="210" customWidth="1"/>
    <col min="9490" max="9490" width="15.1796875" style="210" bestFit="1" customWidth="1"/>
    <col min="9491" max="9491" width="12.81640625" style="210" customWidth="1"/>
    <col min="9492" max="9492" width="13.1796875" style="210" customWidth="1"/>
    <col min="9493" max="9493" width="16.1796875" style="210" customWidth="1"/>
    <col min="9494" max="9494" width="12" style="210" bestFit="1" customWidth="1"/>
    <col min="9495" max="9727" width="10.1796875" style="210"/>
    <col min="9728" max="9728" width="35" style="210" customWidth="1"/>
    <col min="9729" max="9729" width="19.453125" style="210" customWidth="1"/>
    <col min="9730" max="9730" width="18" style="210" customWidth="1"/>
    <col min="9731" max="9731" width="14.453125" style="210" customWidth="1"/>
    <col min="9732" max="9732" width="15.81640625" style="210" bestFit="1" customWidth="1"/>
    <col min="9733" max="9733" width="14.453125" style="210" customWidth="1"/>
    <col min="9734" max="9734" width="13.1796875" style="210" bestFit="1" customWidth="1"/>
    <col min="9735" max="9735" width="18.1796875" style="210" bestFit="1" customWidth="1"/>
    <col min="9736" max="9736" width="16.81640625" style="210" bestFit="1" customWidth="1"/>
    <col min="9737" max="9737" width="13.1796875" style="210" bestFit="1" customWidth="1"/>
    <col min="9738" max="9738" width="15.1796875" style="210" bestFit="1" customWidth="1"/>
    <col min="9739" max="9739" width="18.81640625" style="210" customWidth="1"/>
    <col min="9740" max="9740" width="15.81640625" style="210" customWidth="1"/>
    <col min="9741" max="9741" width="15.453125" style="210" customWidth="1"/>
    <col min="9742" max="9742" width="16.1796875" style="210" bestFit="1" customWidth="1"/>
    <col min="9743" max="9743" width="18.1796875" style="210" bestFit="1" customWidth="1"/>
    <col min="9744" max="9744" width="15.1796875" style="210" bestFit="1" customWidth="1"/>
    <col min="9745" max="9745" width="15.54296875" style="210" customWidth="1"/>
    <col min="9746" max="9746" width="15.1796875" style="210" bestFit="1" customWidth="1"/>
    <col min="9747" max="9747" width="12.81640625" style="210" customWidth="1"/>
    <col min="9748" max="9748" width="13.1796875" style="210" customWidth="1"/>
    <col min="9749" max="9749" width="16.1796875" style="210" customWidth="1"/>
    <col min="9750" max="9750" width="12" style="210" bestFit="1" customWidth="1"/>
    <col min="9751" max="9983" width="10.1796875" style="210"/>
    <col min="9984" max="9984" width="35" style="210" customWidth="1"/>
    <col min="9985" max="9985" width="19.453125" style="210" customWidth="1"/>
    <col min="9986" max="9986" width="18" style="210" customWidth="1"/>
    <col min="9987" max="9987" width="14.453125" style="210" customWidth="1"/>
    <col min="9988" max="9988" width="15.81640625" style="210" bestFit="1" customWidth="1"/>
    <col min="9989" max="9989" width="14.453125" style="210" customWidth="1"/>
    <col min="9990" max="9990" width="13.1796875" style="210" bestFit="1" customWidth="1"/>
    <col min="9991" max="9991" width="18.1796875" style="210" bestFit="1" customWidth="1"/>
    <col min="9992" max="9992" width="16.81640625" style="210" bestFit="1" customWidth="1"/>
    <col min="9993" max="9993" width="13.1796875" style="210" bestFit="1" customWidth="1"/>
    <col min="9994" max="9994" width="15.1796875" style="210" bestFit="1" customWidth="1"/>
    <col min="9995" max="9995" width="18.81640625" style="210" customWidth="1"/>
    <col min="9996" max="9996" width="15.81640625" style="210" customWidth="1"/>
    <col min="9997" max="9997" width="15.453125" style="210" customWidth="1"/>
    <col min="9998" max="9998" width="16.1796875" style="210" bestFit="1" customWidth="1"/>
    <col min="9999" max="9999" width="18.1796875" style="210" bestFit="1" customWidth="1"/>
    <col min="10000" max="10000" width="15.1796875" style="210" bestFit="1" customWidth="1"/>
    <col min="10001" max="10001" width="15.54296875" style="210" customWidth="1"/>
    <col min="10002" max="10002" width="15.1796875" style="210" bestFit="1" customWidth="1"/>
    <col min="10003" max="10003" width="12.81640625" style="210" customWidth="1"/>
    <col min="10004" max="10004" width="13.1796875" style="210" customWidth="1"/>
    <col min="10005" max="10005" width="16.1796875" style="210" customWidth="1"/>
    <col min="10006" max="10006" width="12" style="210" bestFit="1" customWidth="1"/>
    <col min="10007" max="10239" width="10.1796875" style="210"/>
    <col min="10240" max="10240" width="35" style="210" customWidth="1"/>
    <col min="10241" max="10241" width="19.453125" style="210" customWidth="1"/>
    <col min="10242" max="10242" width="18" style="210" customWidth="1"/>
    <col min="10243" max="10243" width="14.453125" style="210" customWidth="1"/>
    <col min="10244" max="10244" width="15.81640625" style="210" bestFit="1" customWidth="1"/>
    <col min="10245" max="10245" width="14.453125" style="210" customWidth="1"/>
    <col min="10246" max="10246" width="13.1796875" style="210" bestFit="1" customWidth="1"/>
    <col min="10247" max="10247" width="18.1796875" style="210" bestFit="1" customWidth="1"/>
    <col min="10248" max="10248" width="16.81640625" style="210" bestFit="1" customWidth="1"/>
    <col min="10249" max="10249" width="13.1796875" style="210" bestFit="1" customWidth="1"/>
    <col min="10250" max="10250" width="15.1796875" style="210" bestFit="1" customWidth="1"/>
    <col min="10251" max="10251" width="18.81640625" style="210" customWidth="1"/>
    <col min="10252" max="10252" width="15.81640625" style="210" customWidth="1"/>
    <col min="10253" max="10253" width="15.453125" style="210" customWidth="1"/>
    <col min="10254" max="10254" width="16.1796875" style="210" bestFit="1" customWidth="1"/>
    <col min="10255" max="10255" width="18.1796875" style="210" bestFit="1" customWidth="1"/>
    <col min="10256" max="10256" width="15.1796875" style="210" bestFit="1" customWidth="1"/>
    <col min="10257" max="10257" width="15.54296875" style="210" customWidth="1"/>
    <col min="10258" max="10258" width="15.1796875" style="210" bestFit="1" customWidth="1"/>
    <col min="10259" max="10259" width="12.81640625" style="210" customWidth="1"/>
    <col min="10260" max="10260" width="13.1796875" style="210" customWidth="1"/>
    <col min="10261" max="10261" width="16.1796875" style="210" customWidth="1"/>
    <col min="10262" max="10262" width="12" style="210" bestFit="1" customWidth="1"/>
    <col min="10263" max="10495" width="10.1796875" style="210"/>
    <col min="10496" max="10496" width="35" style="210" customWidth="1"/>
    <col min="10497" max="10497" width="19.453125" style="210" customWidth="1"/>
    <col min="10498" max="10498" width="18" style="210" customWidth="1"/>
    <col min="10499" max="10499" width="14.453125" style="210" customWidth="1"/>
    <col min="10500" max="10500" width="15.81640625" style="210" bestFit="1" customWidth="1"/>
    <col min="10501" max="10501" width="14.453125" style="210" customWidth="1"/>
    <col min="10502" max="10502" width="13.1796875" style="210" bestFit="1" customWidth="1"/>
    <col min="10503" max="10503" width="18.1796875" style="210" bestFit="1" customWidth="1"/>
    <col min="10504" max="10504" width="16.81640625" style="210" bestFit="1" customWidth="1"/>
    <col min="10505" max="10505" width="13.1796875" style="210" bestFit="1" customWidth="1"/>
    <col min="10506" max="10506" width="15.1796875" style="210" bestFit="1" customWidth="1"/>
    <col min="10507" max="10507" width="18.81640625" style="210" customWidth="1"/>
    <col min="10508" max="10508" width="15.81640625" style="210" customWidth="1"/>
    <col min="10509" max="10509" width="15.453125" style="210" customWidth="1"/>
    <col min="10510" max="10510" width="16.1796875" style="210" bestFit="1" customWidth="1"/>
    <col min="10511" max="10511" width="18.1796875" style="210" bestFit="1" customWidth="1"/>
    <col min="10512" max="10512" width="15.1796875" style="210" bestFit="1" customWidth="1"/>
    <col min="10513" max="10513" width="15.54296875" style="210" customWidth="1"/>
    <col min="10514" max="10514" width="15.1796875" style="210" bestFit="1" customWidth="1"/>
    <col min="10515" max="10515" width="12.81640625" style="210" customWidth="1"/>
    <col min="10516" max="10516" width="13.1796875" style="210" customWidth="1"/>
    <col min="10517" max="10517" width="16.1796875" style="210" customWidth="1"/>
    <col min="10518" max="10518" width="12" style="210" bestFit="1" customWidth="1"/>
    <col min="10519" max="10751" width="10.1796875" style="210"/>
    <col min="10752" max="10752" width="35" style="210" customWidth="1"/>
    <col min="10753" max="10753" width="19.453125" style="210" customWidth="1"/>
    <col min="10754" max="10754" width="18" style="210" customWidth="1"/>
    <col min="10755" max="10755" width="14.453125" style="210" customWidth="1"/>
    <col min="10756" max="10756" width="15.81640625" style="210" bestFit="1" customWidth="1"/>
    <col min="10757" max="10757" width="14.453125" style="210" customWidth="1"/>
    <col min="10758" max="10758" width="13.1796875" style="210" bestFit="1" customWidth="1"/>
    <col min="10759" max="10759" width="18.1796875" style="210" bestFit="1" customWidth="1"/>
    <col min="10760" max="10760" width="16.81640625" style="210" bestFit="1" customWidth="1"/>
    <col min="10761" max="10761" width="13.1796875" style="210" bestFit="1" customWidth="1"/>
    <col min="10762" max="10762" width="15.1796875" style="210" bestFit="1" customWidth="1"/>
    <col min="10763" max="10763" width="18.81640625" style="210" customWidth="1"/>
    <col min="10764" max="10764" width="15.81640625" style="210" customWidth="1"/>
    <col min="10765" max="10765" width="15.453125" style="210" customWidth="1"/>
    <col min="10766" max="10766" width="16.1796875" style="210" bestFit="1" customWidth="1"/>
    <col min="10767" max="10767" width="18.1796875" style="210" bestFit="1" customWidth="1"/>
    <col min="10768" max="10768" width="15.1796875" style="210" bestFit="1" customWidth="1"/>
    <col min="10769" max="10769" width="15.54296875" style="210" customWidth="1"/>
    <col min="10770" max="10770" width="15.1796875" style="210" bestFit="1" customWidth="1"/>
    <col min="10771" max="10771" width="12.81640625" style="210" customWidth="1"/>
    <col min="10772" max="10772" width="13.1796875" style="210" customWidth="1"/>
    <col min="10773" max="10773" width="16.1796875" style="210" customWidth="1"/>
    <col min="10774" max="10774" width="12" style="210" bestFit="1" customWidth="1"/>
    <col min="10775" max="11007" width="10.1796875" style="210"/>
    <col min="11008" max="11008" width="35" style="210" customWidth="1"/>
    <col min="11009" max="11009" width="19.453125" style="210" customWidth="1"/>
    <col min="11010" max="11010" width="18" style="210" customWidth="1"/>
    <col min="11011" max="11011" width="14.453125" style="210" customWidth="1"/>
    <col min="11012" max="11012" width="15.81640625" style="210" bestFit="1" customWidth="1"/>
    <col min="11013" max="11013" width="14.453125" style="210" customWidth="1"/>
    <col min="11014" max="11014" width="13.1796875" style="210" bestFit="1" customWidth="1"/>
    <col min="11015" max="11015" width="18.1796875" style="210" bestFit="1" customWidth="1"/>
    <col min="11016" max="11016" width="16.81640625" style="210" bestFit="1" customWidth="1"/>
    <col min="11017" max="11017" width="13.1796875" style="210" bestFit="1" customWidth="1"/>
    <col min="11018" max="11018" width="15.1796875" style="210" bestFit="1" customWidth="1"/>
    <col min="11019" max="11019" width="18.81640625" style="210" customWidth="1"/>
    <col min="11020" max="11020" width="15.81640625" style="210" customWidth="1"/>
    <col min="11021" max="11021" width="15.453125" style="210" customWidth="1"/>
    <col min="11022" max="11022" width="16.1796875" style="210" bestFit="1" customWidth="1"/>
    <col min="11023" max="11023" width="18.1796875" style="210" bestFit="1" customWidth="1"/>
    <col min="11024" max="11024" width="15.1796875" style="210" bestFit="1" customWidth="1"/>
    <col min="11025" max="11025" width="15.54296875" style="210" customWidth="1"/>
    <col min="11026" max="11026" width="15.1796875" style="210" bestFit="1" customWidth="1"/>
    <col min="11027" max="11027" width="12.81640625" style="210" customWidth="1"/>
    <col min="11028" max="11028" width="13.1796875" style="210" customWidth="1"/>
    <col min="11029" max="11029" width="16.1796875" style="210" customWidth="1"/>
    <col min="11030" max="11030" width="12" style="210" bestFit="1" customWidth="1"/>
    <col min="11031" max="11263" width="10.1796875" style="210"/>
    <col min="11264" max="11264" width="35" style="210" customWidth="1"/>
    <col min="11265" max="11265" width="19.453125" style="210" customWidth="1"/>
    <col min="11266" max="11266" width="18" style="210" customWidth="1"/>
    <col min="11267" max="11267" width="14.453125" style="210" customWidth="1"/>
    <col min="11268" max="11268" width="15.81640625" style="210" bestFit="1" customWidth="1"/>
    <col min="11269" max="11269" width="14.453125" style="210" customWidth="1"/>
    <col min="11270" max="11270" width="13.1796875" style="210" bestFit="1" customWidth="1"/>
    <col min="11271" max="11271" width="18.1796875" style="210" bestFit="1" customWidth="1"/>
    <col min="11272" max="11272" width="16.81640625" style="210" bestFit="1" customWidth="1"/>
    <col min="11273" max="11273" width="13.1796875" style="210" bestFit="1" customWidth="1"/>
    <col min="11274" max="11274" width="15.1796875" style="210" bestFit="1" customWidth="1"/>
    <col min="11275" max="11275" width="18.81640625" style="210" customWidth="1"/>
    <col min="11276" max="11276" width="15.81640625" style="210" customWidth="1"/>
    <col min="11277" max="11277" width="15.453125" style="210" customWidth="1"/>
    <col min="11278" max="11278" width="16.1796875" style="210" bestFit="1" customWidth="1"/>
    <col min="11279" max="11279" width="18.1796875" style="210" bestFit="1" customWidth="1"/>
    <col min="11280" max="11280" width="15.1796875" style="210" bestFit="1" customWidth="1"/>
    <col min="11281" max="11281" width="15.54296875" style="210" customWidth="1"/>
    <col min="11282" max="11282" width="15.1796875" style="210" bestFit="1" customWidth="1"/>
    <col min="11283" max="11283" width="12.81640625" style="210" customWidth="1"/>
    <col min="11284" max="11284" width="13.1796875" style="210" customWidth="1"/>
    <col min="11285" max="11285" width="16.1796875" style="210" customWidth="1"/>
    <col min="11286" max="11286" width="12" style="210" bestFit="1" customWidth="1"/>
    <col min="11287" max="11519" width="10.1796875" style="210"/>
    <col min="11520" max="11520" width="35" style="210" customWidth="1"/>
    <col min="11521" max="11521" width="19.453125" style="210" customWidth="1"/>
    <col min="11522" max="11522" width="18" style="210" customWidth="1"/>
    <col min="11523" max="11523" width="14.453125" style="210" customWidth="1"/>
    <col min="11524" max="11524" width="15.81640625" style="210" bestFit="1" customWidth="1"/>
    <col min="11525" max="11525" width="14.453125" style="210" customWidth="1"/>
    <col min="11526" max="11526" width="13.1796875" style="210" bestFit="1" customWidth="1"/>
    <col min="11527" max="11527" width="18.1796875" style="210" bestFit="1" customWidth="1"/>
    <col min="11528" max="11528" width="16.81640625" style="210" bestFit="1" customWidth="1"/>
    <col min="11529" max="11529" width="13.1796875" style="210" bestFit="1" customWidth="1"/>
    <col min="11530" max="11530" width="15.1796875" style="210" bestFit="1" customWidth="1"/>
    <col min="11531" max="11531" width="18.81640625" style="210" customWidth="1"/>
    <col min="11532" max="11532" width="15.81640625" style="210" customWidth="1"/>
    <col min="11533" max="11533" width="15.453125" style="210" customWidth="1"/>
    <col min="11534" max="11534" width="16.1796875" style="210" bestFit="1" customWidth="1"/>
    <col min="11535" max="11535" width="18.1796875" style="210" bestFit="1" customWidth="1"/>
    <col min="11536" max="11536" width="15.1796875" style="210" bestFit="1" customWidth="1"/>
    <col min="11537" max="11537" width="15.54296875" style="210" customWidth="1"/>
    <col min="11538" max="11538" width="15.1796875" style="210" bestFit="1" customWidth="1"/>
    <col min="11539" max="11539" width="12.81640625" style="210" customWidth="1"/>
    <col min="11540" max="11540" width="13.1796875" style="210" customWidth="1"/>
    <col min="11541" max="11541" width="16.1796875" style="210" customWidth="1"/>
    <col min="11542" max="11542" width="12" style="210" bestFit="1" customWidth="1"/>
    <col min="11543" max="11775" width="10.1796875" style="210"/>
    <col min="11776" max="11776" width="35" style="210" customWidth="1"/>
    <col min="11777" max="11777" width="19.453125" style="210" customWidth="1"/>
    <col min="11778" max="11778" width="18" style="210" customWidth="1"/>
    <col min="11779" max="11779" width="14.453125" style="210" customWidth="1"/>
    <col min="11780" max="11780" width="15.81640625" style="210" bestFit="1" customWidth="1"/>
    <col min="11781" max="11781" width="14.453125" style="210" customWidth="1"/>
    <col min="11782" max="11782" width="13.1796875" style="210" bestFit="1" customWidth="1"/>
    <col min="11783" max="11783" width="18.1796875" style="210" bestFit="1" customWidth="1"/>
    <col min="11784" max="11784" width="16.81640625" style="210" bestFit="1" customWidth="1"/>
    <col min="11785" max="11785" width="13.1796875" style="210" bestFit="1" customWidth="1"/>
    <col min="11786" max="11786" width="15.1796875" style="210" bestFit="1" customWidth="1"/>
    <col min="11787" max="11787" width="18.81640625" style="210" customWidth="1"/>
    <col min="11788" max="11788" width="15.81640625" style="210" customWidth="1"/>
    <col min="11789" max="11789" width="15.453125" style="210" customWidth="1"/>
    <col min="11790" max="11790" width="16.1796875" style="210" bestFit="1" customWidth="1"/>
    <col min="11791" max="11791" width="18.1796875" style="210" bestFit="1" customWidth="1"/>
    <col min="11792" max="11792" width="15.1796875" style="210" bestFit="1" customWidth="1"/>
    <col min="11793" max="11793" width="15.54296875" style="210" customWidth="1"/>
    <col min="11794" max="11794" width="15.1796875" style="210" bestFit="1" customWidth="1"/>
    <col min="11795" max="11795" width="12.81640625" style="210" customWidth="1"/>
    <col min="11796" max="11796" width="13.1796875" style="210" customWidth="1"/>
    <col min="11797" max="11797" width="16.1796875" style="210" customWidth="1"/>
    <col min="11798" max="11798" width="12" style="210" bestFit="1" customWidth="1"/>
    <col min="11799" max="12031" width="10.1796875" style="210"/>
    <col min="12032" max="12032" width="35" style="210" customWidth="1"/>
    <col min="12033" max="12033" width="19.453125" style="210" customWidth="1"/>
    <col min="12034" max="12034" width="18" style="210" customWidth="1"/>
    <col min="12035" max="12035" width="14.453125" style="210" customWidth="1"/>
    <col min="12036" max="12036" width="15.81640625" style="210" bestFit="1" customWidth="1"/>
    <col min="12037" max="12037" width="14.453125" style="210" customWidth="1"/>
    <col min="12038" max="12038" width="13.1796875" style="210" bestFit="1" customWidth="1"/>
    <col min="12039" max="12039" width="18.1796875" style="210" bestFit="1" customWidth="1"/>
    <col min="12040" max="12040" width="16.81640625" style="210" bestFit="1" customWidth="1"/>
    <col min="12041" max="12041" width="13.1796875" style="210" bestFit="1" customWidth="1"/>
    <col min="12042" max="12042" width="15.1796875" style="210" bestFit="1" customWidth="1"/>
    <col min="12043" max="12043" width="18.81640625" style="210" customWidth="1"/>
    <col min="12044" max="12044" width="15.81640625" style="210" customWidth="1"/>
    <col min="12045" max="12045" width="15.453125" style="210" customWidth="1"/>
    <col min="12046" max="12046" width="16.1796875" style="210" bestFit="1" customWidth="1"/>
    <col min="12047" max="12047" width="18.1796875" style="210" bestFit="1" customWidth="1"/>
    <col min="12048" max="12048" width="15.1796875" style="210" bestFit="1" customWidth="1"/>
    <col min="12049" max="12049" width="15.54296875" style="210" customWidth="1"/>
    <col min="12050" max="12050" width="15.1796875" style="210" bestFit="1" customWidth="1"/>
    <col min="12051" max="12051" width="12.81640625" style="210" customWidth="1"/>
    <col min="12052" max="12052" width="13.1796875" style="210" customWidth="1"/>
    <col min="12053" max="12053" width="16.1796875" style="210" customWidth="1"/>
    <col min="12054" max="12054" width="12" style="210" bestFit="1" customWidth="1"/>
    <col min="12055" max="12287" width="10.1796875" style="210"/>
    <col min="12288" max="12288" width="35" style="210" customWidth="1"/>
    <col min="12289" max="12289" width="19.453125" style="210" customWidth="1"/>
    <col min="12290" max="12290" width="18" style="210" customWidth="1"/>
    <col min="12291" max="12291" width="14.453125" style="210" customWidth="1"/>
    <col min="12292" max="12292" width="15.81640625" style="210" bestFit="1" customWidth="1"/>
    <col min="12293" max="12293" width="14.453125" style="210" customWidth="1"/>
    <col min="12294" max="12294" width="13.1796875" style="210" bestFit="1" customWidth="1"/>
    <col min="12295" max="12295" width="18.1796875" style="210" bestFit="1" customWidth="1"/>
    <col min="12296" max="12296" width="16.81640625" style="210" bestFit="1" customWidth="1"/>
    <col min="12297" max="12297" width="13.1796875" style="210" bestFit="1" customWidth="1"/>
    <col min="12298" max="12298" width="15.1796875" style="210" bestFit="1" customWidth="1"/>
    <col min="12299" max="12299" width="18.81640625" style="210" customWidth="1"/>
    <col min="12300" max="12300" width="15.81640625" style="210" customWidth="1"/>
    <col min="12301" max="12301" width="15.453125" style="210" customWidth="1"/>
    <col min="12302" max="12302" width="16.1796875" style="210" bestFit="1" customWidth="1"/>
    <col min="12303" max="12303" width="18.1796875" style="210" bestFit="1" customWidth="1"/>
    <col min="12304" max="12304" width="15.1796875" style="210" bestFit="1" customWidth="1"/>
    <col min="12305" max="12305" width="15.54296875" style="210" customWidth="1"/>
    <col min="12306" max="12306" width="15.1796875" style="210" bestFit="1" customWidth="1"/>
    <col min="12307" max="12307" width="12.81640625" style="210" customWidth="1"/>
    <col min="12308" max="12308" width="13.1796875" style="210" customWidth="1"/>
    <col min="12309" max="12309" width="16.1796875" style="210" customWidth="1"/>
    <col min="12310" max="12310" width="12" style="210" bestFit="1" customWidth="1"/>
    <col min="12311" max="12543" width="10.1796875" style="210"/>
    <col min="12544" max="12544" width="35" style="210" customWidth="1"/>
    <col min="12545" max="12545" width="19.453125" style="210" customWidth="1"/>
    <col min="12546" max="12546" width="18" style="210" customWidth="1"/>
    <col min="12547" max="12547" width="14.453125" style="210" customWidth="1"/>
    <col min="12548" max="12548" width="15.81640625" style="210" bestFit="1" customWidth="1"/>
    <col min="12549" max="12549" width="14.453125" style="210" customWidth="1"/>
    <col min="12550" max="12550" width="13.1796875" style="210" bestFit="1" customWidth="1"/>
    <col min="12551" max="12551" width="18.1796875" style="210" bestFit="1" customWidth="1"/>
    <col min="12552" max="12552" width="16.81640625" style="210" bestFit="1" customWidth="1"/>
    <col min="12553" max="12553" width="13.1796875" style="210" bestFit="1" customWidth="1"/>
    <col min="12554" max="12554" width="15.1796875" style="210" bestFit="1" customWidth="1"/>
    <col min="12555" max="12555" width="18.81640625" style="210" customWidth="1"/>
    <col min="12556" max="12556" width="15.81640625" style="210" customWidth="1"/>
    <col min="12557" max="12557" width="15.453125" style="210" customWidth="1"/>
    <col min="12558" max="12558" width="16.1796875" style="210" bestFit="1" customWidth="1"/>
    <col min="12559" max="12559" width="18.1796875" style="210" bestFit="1" customWidth="1"/>
    <col min="12560" max="12560" width="15.1796875" style="210" bestFit="1" customWidth="1"/>
    <col min="12561" max="12561" width="15.54296875" style="210" customWidth="1"/>
    <col min="12562" max="12562" width="15.1796875" style="210" bestFit="1" customWidth="1"/>
    <col min="12563" max="12563" width="12.81640625" style="210" customWidth="1"/>
    <col min="12564" max="12564" width="13.1796875" style="210" customWidth="1"/>
    <col min="12565" max="12565" width="16.1796875" style="210" customWidth="1"/>
    <col min="12566" max="12566" width="12" style="210" bestFit="1" customWidth="1"/>
    <col min="12567" max="12799" width="10.1796875" style="210"/>
    <col min="12800" max="12800" width="35" style="210" customWidth="1"/>
    <col min="12801" max="12801" width="19.453125" style="210" customWidth="1"/>
    <col min="12802" max="12802" width="18" style="210" customWidth="1"/>
    <col min="12803" max="12803" width="14.453125" style="210" customWidth="1"/>
    <col min="12804" max="12804" width="15.81640625" style="210" bestFit="1" customWidth="1"/>
    <col min="12805" max="12805" width="14.453125" style="210" customWidth="1"/>
    <col min="12806" max="12806" width="13.1796875" style="210" bestFit="1" customWidth="1"/>
    <col min="12807" max="12807" width="18.1796875" style="210" bestFit="1" customWidth="1"/>
    <col min="12808" max="12808" width="16.81640625" style="210" bestFit="1" customWidth="1"/>
    <col min="12809" max="12809" width="13.1796875" style="210" bestFit="1" customWidth="1"/>
    <col min="12810" max="12810" width="15.1796875" style="210" bestFit="1" customWidth="1"/>
    <col min="12811" max="12811" width="18.81640625" style="210" customWidth="1"/>
    <col min="12812" max="12812" width="15.81640625" style="210" customWidth="1"/>
    <col min="12813" max="12813" width="15.453125" style="210" customWidth="1"/>
    <col min="12814" max="12814" width="16.1796875" style="210" bestFit="1" customWidth="1"/>
    <col min="12815" max="12815" width="18.1796875" style="210" bestFit="1" customWidth="1"/>
    <col min="12816" max="12816" width="15.1796875" style="210" bestFit="1" customWidth="1"/>
    <col min="12817" max="12817" width="15.54296875" style="210" customWidth="1"/>
    <col min="12818" max="12818" width="15.1796875" style="210" bestFit="1" customWidth="1"/>
    <col min="12819" max="12819" width="12.81640625" style="210" customWidth="1"/>
    <col min="12820" max="12820" width="13.1796875" style="210" customWidth="1"/>
    <col min="12821" max="12821" width="16.1796875" style="210" customWidth="1"/>
    <col min="12822" max="12822" width="12" style="210" bestFit="1" customWidth="1"/>
    <col min="12823" max="13055" width="10.1796875" style="210"/>
    <col min="13056" max="13056" width="35" style="210" customWidth="1"/>
    <col min="13057" max="13057" width="19.453125" style="210" customWidth="1"/>
    <col min="13058" max="13058" width="18" style="210" customWidth="1"/>
    <col min="13059" max="13059" width="14.453125" style="210" customWidth="1"/>
    <col min="13060" max="13060" width="15.81640625" style="210" bestFit="1" customWidth="1"/>
    <col min="13061" max="13061" width="14.453125" style="210" customWidth="1"/>
    <col min="13062" max="13062" width="13.1796875" style="210" bestFit="1" customWidth="1"/>
    <col min="13063" max="13063" width="18.1796875" style="210" bestFit="1" customWidth="1"/>
    <col min="13064" max="13064" width="16.81640625" style="210" bestFit="1" customWidth="1"/>
    <col min="13065" max="13065" width="13.1796875" style="210" bestFit="1" customWidth="1"/>
    <col min="13066" max="13066" width="15.1796875" style="210" bestFit="1" customWidth="1"/>
    <col min="13067" max="13067" width="18.81640625" style="210" customWidth="1"/>
    <col min="13068" max="13068" width="15.81640625" style="210" customWidth="1"/>
    <col min="13069" max="13069" width="15.453125" style="210" customWidth="1"/>
    <col min="13070" max="13070" width="16.1796875" style="210" bestFit="1" customWidth="1"/>
    <col min="13071" max="13071" width="18.1796875" style="210" bestFit="1" customWidth="1"/>
    <col min="13072" max="13072" width="15.1796875" style="210" bestFit="1" customWidth="1"/>
    <col min="13073" max="13073" width="15.54296875" style="210" customWidth="1"/>
    <col min="13074" max="13074" width="15.1796875" style="210" bestFit="1" customWidth="1"/>
    <col min="13075" max="13075" width="12.81640625" style="210" customWidth="1"/>
    <col min="13076" max="13076" width="13.1796875" style="210" customWidth="1"/>
    <col min="13077" max="13077" width="16.1796875" style="210" customWidth="1"/>
    <col min="13078" max="13078" width="12" style="210" bestFit="1" customWidth="1"/>
    <col min="13079" max="13311" width="10.1796875" style="210"/>
    <col min="13312" max="13312" width="35" style="210" customWidth="1"/>
    <col min="13313" max="13313" width="19.453125" style="210" customWidth="1"/>
    <col min="13314" max="13314" width="18" style="210" customWidth="1"/>
    <col min="13315" max="13315" width="14.453125" style="210" customWidth="1"/>
    <col min="13316" max="13316" width="15.81640625" style="210" bestFit="1" customWidth="1"/>
    <col min="13317" max="13317" width="14.453125" style="210" customWidth="1"/>
    <col min="13318" max="13318" width="13.1796875" style="210" bestFit="1" customWidth="1"/>
    <col min="13319" max="13319" width="18.1796875" style="210" bestFit="1" customWidth="1"/>
    <col min="13320" max="13320" width="16.81640625" style="210" bestFit="1" customWidth="1"/>
    <col min="13321" max="13321" width="13.1796875" style="210" bestFit="1" customWidth="1"/>
    <col min="13322" max="13322" width="15.1796875" style="210" bestFit="1" customWidth="1"/>
    <col min="13323" max="13323" width="18.81640625" style="210" customWidth="1"/>
    <col min="13324" max="13324" width="15.81640625" style="210" customWidth="1"/>
    <col min="13325" max="13325" width="15.453125" style="210" customWidth="1"/>
    <col min="13326" max="13326" width="16.1796875" style="210" bestFit="1" customWidth="1"/>
    <col min="13327" max="13327" width="18.1796875" style="210" bestFit="1" customWidth="1"/>
    <col min="13328" max="13328" width="15.1796875" style="210" bestFit="1" customWidth="1"/>
    <col min="13329" max="13329" width="15.54296875" style="210" customWidth="1"/>
    <col min="13330" max="13330" width="15.1796875" style="210" bestFit="1" customWidth="1"/>
    <col min="13331" max="13331" width="12.81640625" style="210" customWidth="1"/>
    <col min="13332" max="13332" width="13.1796875" style="210" customWidth="1"/>
    <col min="13333" max="13333" width="16.1796875" style="210" customWidth="1"/>
    <col min="13334" max="13334" width="12" style="210" bestFit="1" customWidth="1"/>
    <col min="13335" max="13567" width="10.1796875" style="210"/>
    <col min="13568" max="13568" width="35" style="210" customWidth="1"/>
    <col min="13569" max="13569" width="19.453125" style="210" customWidth="1"/>
    <col min="13570" max="13570" width="18" style="210" customWidth="1"/>
    <col min="13571" max="13571" width="14.453125" style="210" customWidth="1"/>
    <col min="13572" max="13572" width="15.81640625" style="210" bestFit="1" customWidth="1"/>
    <col min="13573" max="13573" width="14.453125" style="210" customWidth="1"/>
    <col min="13574" max="13574" width="13.1796875" style="210" bestFit="1" customWidth="1"/>
    <col min="13575" max="13575" width="18.1796875" style="210" bestFit="1" customWidth="1"/>
    <col min="13576" max="13576" width="16.81640625" style="210" bestFit="1" customWidth="1"/>
    <col min="13577" max="13577" width="13.1796875" style="210" bestFit="1" customWidth="1"/>
    <col min="13578" max="13578" width="15.1796875" style="210" bestFit="1" customWidth="1"/>
    <col min="13579" max="13579" width="18.81640625" style="210" customWidth="1"/>
    <col min="13580" max="13580" width="15.81640625" style="210" customWidth="1"/>
    <col min="13581" max="13581" width="15.453125" style="210" customWidth="1"/>
    <col min="13582" max="13582" width="16.1796875" style="210" bestFit="1" customWidth="1"/>
    <col min="13583" max="13583" width="18.1796875" style="210" bestFit="1" customWidth="1"/>
    <col min="13584" max="13584" width="15.1796875" style="210" bestFit="1" customWidth="1"/>
    <col min="13585" max="13585" width="15.54296875" style="210" customWidth="1"/>
    <col min="13586" max="13586" width="15.1796875" style="210" bestFit="1" customWidth="1"/>
    <col min="13587" max="13587" width="12.81640625" style="210" customWidth="1"/>
    <col min="13588" max="13588" width="13.1796875" style="210" customWidth="1"/>
    <col min="13589" max="13589" width="16.1796875" style="210" customWidth="1"/>
    <col min="13590" max="13590" width="12" style="210" bestFit="1" customWidth="1"/>
    <col min="13591" max="13823" width="10.1796875" style="210"/>
    <col min="13824" max="13824" width="35" style="210" customWidth="1"/>
    <col min="13825" max="13825" width="19.453125" style="210" customWidth="1"/>
    <col min="13826" max="13826" width="18" style="210" customWidth="1"/>
    <col min="13827" max="13827" width="14.453125" style="210" customWidth="1"/>
    <col min="13828" max="13828" width="15.81640625" style="210" bestFit="1" customWidth="1"/>
    <col min="13829" max="13829" width="14.453125" style="210" customWidth="1"/>
    <col min="13830" max="13830" width="13.1796875" style="210" bestFit="1" customWidth="1"/>
    <col min="13831" max="13831" width="18.1796875" style="210" bestFit="1" customWidth="1"/>
    <col min="13832" max="13832" width="16.81640625" style="210" bestFit="1" customWidth="1"/>
    <col min="13833" max="13833" width="13.1796875" style="210" bestFit="1" customWidth="1"/>
    <col min="13834" max="13834" width="15.1796875" style="210" bestFit="1" customWidth="1"/>
    <col min="13835" max="13835" width="18.81640625" style="210" customWidth="1"/>
    <col min="13836" max="13836" width="15.81640625" style="210" customWidth="1"/>
    <col min="13837" max="13837" width="15.453125" style="210" customWidth="1"/>
    <col min="13838" max="13838" width="16.1796875" style="210" bestFit="1" customWidth="1"/>
    <col min="13839" max="13839" width="18.1796875" style="210" bestFit="1" customWidth="1"/>
    <col min="13840" max="13840" width="15.1796875" style="210" bestFit="1" customWidth="1"/>
    <col min="13841" max="13841" width="15.54296875" style="210" customWidth="1"/>
    <col min="13842" max="13842" width="15.1796875" style="210" bestFit="1" customWidth="1"/>
    <col min="13843" max="13843" width="12.81640625" style="210" customWidth="1"/>
    <col min="13844" max="13844" width="13.1796875" style="210" customWidth="1"/>
    <col min="13845" max="13845" width="16.1796875" style="210" customWidth="1"/>
    <col min="13846" max="13846" width="12" style="210" bestFit="1" customWidth="1"/>
    <col min="13847" max="14079" width="10.1796875" style="210"/>
    <col min="14080" max="14080" width="35" style="210" customWidth="1"/>
    <col min="14081" max="14081" width="19.453125" style="210" customWidth="1"/>
    <col min="14082" max="14082" width="18" style="210" customWidth="1"/>
    <col min="14083" max="14083" width="14.453125" style="210" customWidth="1"/>
    <col min="14084" max="14084" width="15.81640625" style="210" bestFit="1" customWidth="1"/>
    <col min="14085" max="14085" width="14.453125" style="210" customWidth="1"/>
    <col min="14086" max="14086" width="13.1796875" style="210" bestFit="1" customWidth="1"/>
    <col min="14087" max="14087" width="18.1796875" style="210" bestFit="1" customWidth="1"/>
    <col min="14088" max="14088" width="16.81640625" style="210" bestFit="1" customWidth="1"/>
    <col min="14089" max="14089" width="13.1796875" style="210" bestFit="1" customWidth="1"/>
    <col min="14090" max="14090" width="15.1796875" style="210" bestFit="1" customWidth="1"/>
    <col min="14091" max="14091" width="18.81640625" style="210" customWidth="1"/>
    <col min="14092" max="14092" width="15.81640625" style="210" customWidth="1"/>
    <col min="14093" max="14093" width="15.453125" style="210" customWidth="1"/>
    <col min="14094" max="14094" width="16.1796875" style="210" bestFit="1" customWidth="1"/>
    <col min="14095" max="14095" width="18.1796875" style="210" bestFit="1" customWidth="1"/>
    <col min="14096" max="14096" width="15.1796875" style="210" bestFit="1" customWidth="1"/>
    <col min="14097" max="14097" width="15.54296875" style="210" customWidth="1"/>
    <col min="14098" max="14098" width="15.1796875" style="210" bestFit="1" customWidth="1"/>
    <col min="14099" max="14099" width="12.81640625" style="210" customWidth="1"/>
    <col min="14100" max="14100" width="13.1796875" style="210" customWidth="1"/>
    <col min="14101" max="14101" width="16.1796875" style="210" customWidth="1"/>
    <col min="14102" max="14102" width="12" style="210" bestFit="1" customWidth="1"/>
    <col min="14103" max="14335" width="10.1796875" style="210"/>
    <col min="14336" max="14336" width="35" style="210" customWidth="1"/>
    <col min="14337" max="14337" width="19.453125" style="210" customWidth="1"/>
    <col min="14338" max="14338" width="18" style="210" customWidth="1"/>
    <col min="14339" max="14339" width="14.453125" style="210" customWidth="1"/>
    <col min="14340" max="14340" width="15.81640625" style="210" bestFit="1" customWidth="1"/>
    <col min="14341" max="14341" width="14.453125" style="210" customWidth="1"/>
    <col min="14342" max="14342" width="13.1796875" style="210" bestFit="1" customWidth="1"/>
    <col min="14343" max="14343" width="18.1796875" style="210" bestFit="1" customWidth="1"/>
    <col min="14344" max="14344" width="16.81640625" style="210" bestFit="1" customWidth="1"/>
    <col min="14345" max="14345" width="13.1796875" style="210" bestFit="1" customWidth="1"/>
    <col min="14346" max="14346" width="15.1796875" style="210" bestFit="1" customWidth="1"/>
    <col min="14347" max="14347" width="18.81640625" style="210" customWidth="1"/>
    <col min="14348" max="14348" width="15.81640625" style="210" customWidth="1"/>
    <col min="14349" max="14349" width="15.453125" style="210" customWidth="1"/>
    <col min="14350" max="14350" width="16.1796875" style="210" bestFit="1" customWidth="1"/>
    <col min="14351" max="14351" width="18.1796875" style="210" bestFit="1" customWidth="1"/>
    <col min="14352" max="14352" width="15.1796875" style="210" bestFit="1" customWidth="1"/>
    <col min="14353" max="14353" width="15.54296875" style="210" customWidth="1"/>
    <col min="14354" max="14354" width="15.1796875" style="210" bestFit="1" customWidth="1"/>
    <col min="14355" max="14355" width="12.81640625" style="210" customWidth="1"/>
    <col min="14356" max="14356" width="13.1796875" style="210" customWidth="1"/>
    <col min="14357" max="14357" width="16.1796875" style="210" customWidth="1"/>
    <col min="14358" max="14358" width="12" style="210" bestFit="1" customWidth="1"/>
    <col min="14359" max="14591" width="10.1796875" style="210"/>
    <col min="14592" max="14592" width="35" style="210" customWidth="1"/>
    <col min="14593" max="14593" width="19.453125" style="210" customWidth="1"/>
    <col min="14594" max="14594" width="18" style="210" customWidth="1"/>
    <col min="14595" max="14595" width="14.453125" style="210" customWidth="1"/>
    <col min="14596" max="14596" width="15.81640625" style="210" bestFit="1" customWidth="1"/>
    <col min="14597" max="14597" width="14.453125" style="210" customWidth="1"/>
    <col min="14598" max="14598" width="13.1796875" style="210" bestFit="1" customWidth="1"/>
    <col min="14599" max="14599" width="18.1796875" style="210" bestFit="1" customWidth="1"/>
    <col min="14600" max="14600" width="16.81640625" style="210" bestFit="1" customWidth="1"/>
    <col min="14601" max="14601" width="13.1796875" style="210" bestFit="1" customWidth="1"/>
    <col min="14602" max="14602" width="15.1796875" style="210" bestFit="1" customWidth="1"/>
    <col min="14603" max="14603" width="18.81640625" style="210" customWidth="1"/>
    <col min="14604" max="14604" width="15.81640625" style="210" customWidth="1"/>
    <col min="14605" max="14605" width="15.453125" style="210" customWidth="1"/>
    <col min="14606" max="14606" width="16.1796875" style="210" bestFit="1" customWidth="1"/>
    <col min="14607" max="14607" width="18.1796875" style="210" bestFit="1" customWidth="1"/>
    <col min="14608" max="14608" width="15.1796875" style="210" bestFit="1" customWidth="1"/>
    <col min="14609" max="14609" width="15.54296875" style="210" customWidth="1"/>
    <col min="14610" max="14610" width="15.1796875" style="210" bestFit="1" customWidth="1"/>
    <col min="14611" max="14611" width="12.81640625" style="210" customWidth="1"/>
    <col min="14612" max="14612" width="13.1796875" style="210" customWidth="1"/>
    <col min="14613" max="14613" width="16.1796875" style="210" customWidth="1"/>
    <col min="14614" max="14614" width="12" style="210" bestFit="1" customWidth="1"/>
    <col min="14615" max="14847" width="10.1796875" style="210"/>
    <col min="14848" max="14848" width="35" style="210" customWidth="1"/>
    <col min="14849" max="14849" width="19.453125" style="210" customWidth="1"/>
    <col min="14850" max="14850" width="18" style="210" customWidth="1"/>
    <col min="14851" max="14851" width="14.453125" style="210" customWidth="1"/>
    <col min="14852" max="14852" width="15.81640625" style="210" bestFit="1" customWidth="1"/>
    <col min="14853" max="14853" width="14.453125" style="210" customWidth="1"/>
    <col min="14854" max="14854" width="13.1796875" style="210" bestFit="1" customWidth="1"/>
    <col min="14855" max="14855" width="18.1796875" style="210" bestFit="1" customWidth="1"/>
    <col min="14856" max="14856" width="16.81640625" style="210" bestFit="1" customWidth="1"/>
    <col min="14857" max="14857" width="13.1796875" style="210" bestFit="1" customWidth="1"/>
    <col min="14858" max="14858" width="15.1796875" style="210" bestFit="1" customWidth="1"/>
    <col min="14859" max="14859" width="18.81640625" style="210" customWidth="1"/>
    <col min="14860" max="14860" width="15.81640625" style="210" customWidth="1"/>
    <col min="14861" max="14861" width="15.453125" style="210" customWidth="1"/>
    <col min="14862" max="14862" width="16.1796875" style="210" bestFit="1" customWidth="1"/>
    <col min="14863" max="14863" width="18.1796875" style="210" bestFit="1" customWidth="1"/>
    <col min="14864" max="14864" width="15.1796875" style="210" bestFit="1" customWidth="1"/>
    <col min="14865" max="14865" width="15.54296875" style="210" customWidth="1"/>
    <col min="14866" max="14866" width="15.1796875" style="210" bestFit="1" customWidth="1"/>
    <col min="14867" max="14867" width="12.81640625" style="210" customWidth="1"/>
    <col min="14868" max="14868" width="13.1796875" style="210" customWidth="1"/>
    <col min="14869" max="14869" width="16.1796875" style="210" customWidth="1"/>
    <col min="14870" max="14870" width="12" style="210" bestFit="1" customWidth="1"/>
    <col min="14871" max="15103" width="10.1796875" style="210"/>
    <col min="15104" max="15104" width="35" style="210" customWidth="1"/>
    <col min="15105" max="15105" width="19.453125" style="210" customWidth="1"/>
    <col min="15106" max="15106" width="18" style="210" customWidth="1"/>
    <col min="15107" max="15107" width="14.453125" style="210" customWidth="1"/>
    <col min="15108" max="15108" width="15.81640625" style="210" bestFit="1" customWidth="1"/>
    <col min="15109" max="15109" width="14.453125" style="210" customWidth="1"/>
    <col min="15110" max="15110" width="13.1796875" style="210" bestFit="1" customWidth="1"/>
    <col min="15111" max="15111" width="18.1796875" style="210" bestFit="1" customWidth="1"/>
    <col min="15112" max="15112" width="16.81640625" style="210" bestFit="1" customWidth="1"/>
    <col min="15113" max="15113" width="13.1796875" style="210" bestFit="1" customWidth="1"/>
    <col min="15114" max="15114" width="15.1796875" style="210" bestFit="1" customWidth="1"/>
    <col min="15115" max="15115" width="18.81640625" style="210" customWidth="1"/>
    <col min="15116" max="15116" width="15.81640625" style="210" customWidth="1"/>
    <col min="15117" max="15117" width="15.453125" style="210" customWidth="1"/>
    <col min="15118" max="15118" width="16.1796875" style="210" bestFit="1" customWidth="1"/>
    <col min="15119" max="15119" width="18.1796875" style="210" bestFit="1" customWidth="1"/>
    <col min="15120" max="15120" width="15.1796875" style="210" bestFit="1" customWidth="1"/>
    <col min="15121" max="15121" width="15.54296875" style="210" customWidth="1"/>
    <col min="15122" max="15122" width="15.1796875" style="210" bestFit="1" customWidth="1"/>
    <col min="15123" max="15123" width="12.81640625" style="210" customWidth="1"/>
    <col min="15124" max="15124" width="13.1796875" style="210" customWidth="1"/>
    <col min="15125" max="15125" width="16.1796875" style="210" customWidth="1"/>
    <col min="15126" max="15126" width="12" style="210" bestFit="1" customWidth="1"/>
    <col min="15127" max="15359" width="10.1796875" style="210"/>
    <col min="15360" max="15360" width="35" style="210" customWidth="1"/>
    <col min="15361" max="15361" width="19.453125" style="210" customWidth="1"/>
    <col min="15362" max="15362" width="18" style="210" customWidth="1"/>
    <col min="15363" max="15363" width="14.453125" style="210" customWidth="1"/>
    <col min="15364" max="15364" width="15.81640625" style="210" bestFit="1" customWidth="1"/>
    <col min="15365" max="15365" width="14.453125" style="210" customWidth="1"/>
    <col min="15366" max="15366" width="13.1796875" style="210" bestFit="1" customWidth="1"/>
    <col min="15367" max="15367" width="18.1796875" style="210" bestFit="1" customWidth="1"/>
    <col min="15368" max="15368" width="16.81640625" style="210" bestFit="1" customWidth="1"/>
    <col min="15369" max="15369" width="13.1796875" style="210" bestFit="1" customWidth="1"/>
    <col min="15370" max="15370" width="15.1796875" style="210" bestFit="1" customWidth="1"/>
    <col min="15371" max="15371" width="18.81640625" style="210" customWidth="1"/>
    <col min="15372" max="15372" width="15.81640625" style="210" customWidth="1"/>
    <col min="15373" max="15373" width="15.453125" style="210" customWidth="1"/>
    <col min="15374" max="15374" width="16.1796875" style="210" bestFit="1" customWidth="1"/>
    <col min="15375" max="15375" width="18.1796875" style="210" bestFit="1" customWidth="1"/>
    <col min="15376" max="15376" width="15.1796875" style="210" bestFit="1" customWidth="1"/>
    <col min="15377" max="15377" width="15.54296875" style="210" customWidth="1"/>
    <col min="15378" max="15378" width="15.1796875" style="210" bestFit="1" customWidth="1"/>
    <col min="15379" max="15379" width="12.81640625" style="210" customWidth="1"/>
    <col min="15380" max="15380" width="13.1796875" style="210" customWidth="1"/>
    <col min="15381" max="15381" width="16.1796875" style="210" customWidth="1"/>
    <col min="15382" max="15382" width="12" style="210" bestFit="1" customWidth="1"/>
    <col min="15383" max="15615" width="10.1796875" style="210"/>
    <col min="15616" max="15616" width="35" style="210" customWidth="1"/>
    <col min="15617" max="15617" width="19.453125" style="210" customWidth="1"/>
    <col min="15618" max="15618" width="18" style="210" customWidth="1"/>
    <col min="15619" max="15619" width="14.453125" style="210" customWidth="1"/>
    <col min="15620" max="15620" width="15.81640625" style="210" bestFit="1" customWidth="1"/>
    <col min="15621" max="15621" width="14.453125" style="210" customWidth="1"/>
    <col min="15622" max="15622" width="13.1796875" style="210" bestFit="1" customWidth="1"/>
    <col min="15623" max="15623" width="18.1796875" style="210" bestFit="1" customWidth="1"/>
    <col min="15624" max="15624" width="16.81640625" style="210" bestFit="1" customWidth="1"/>
    <col min="15625" max="15625" width="13.1796875" style="210" bestFit="1" customWidth="1"/>
    <col min="15626" max="15626" width="15.1796875" style="210" bestFit="1" customWidth="1"/>
    <col min="15627" max="15627" width="18.81640625" style="210" customWidth="1"/>
    <col min="15628" max="15628" width="15.81640625" style="210" customWidth="1"/>
    <col min="15629" max="15629" width="15.453125" style="210" customWidth="1"/>
    <col min="15630" max="15630" width="16.1796875" style="210" bestFit="1" customWidth="1"/>
    <col min="15631" max="15631" width="18.1796875" style="210" bestFit="1" customWidth="1"/>
    <col min="15632" max="15632" width="15.1796875" style="210" bestFit="1" customWidth="1"/>
    <col min="15633" max="15633" width="15.54296875" style="210" customWidth="1"/>
    <col min="15634" max="15634" width="15.1796875" style="210" bestFit="1" customWidth="1"/>
    <col min="15635" max="15635" width="12.81640625" style="210" customWidth="1"/>
    <col min="15636" max="15636" width="13.1796875" style="210" customWidth="1"/>
    <col min="15637" max="15637" width="16.1796875" style="210" customWidth="1"/>
    <col min="15638" max="15638" width="12" style="210" bestFit="1" customWidth="1"/>
    <col min="15639" max="15871" width="10.1796875" style="210"/>
    <col min="15872" max="15872" width="35" style="210" customWidth="1"/>
    <col min="15873" max="15873" width="19.453125" style="210" customWidth="1"/>
    <col min="15874" max="15874" width="18" style="210" customWidth="1"/>
    <col min="15875" max="15875" width="14.453125" style="210" customWidth="1"/>
    <col min="15876" max="15876" width="15.81640625" style="210" bestFit="1" customWidth="1"/>
    <col min="15877" max="15877" width="14.453125" style="210" customWidth="1"/>
    <col min="15878" max="15878" width="13.1796875" style="210" bestFit="1" customWidth="1"/>
    <col min="15879" max="15879" width="18.1796875" style="210" bestFit="1" customWidth="1"/>
    <col min="15880" max="15880" width="16.81640625" style="210" bestFit="1" customWidth="1"/>
    <col min="15881" max="15881" width="13.1796875" style="210" bestFit="1" customWidth="1"/>
    <col min="15882" max="15882" width="15.1796875" style="210" bestFit="1" customWidth="1"/>
    <col min="15883" max="15883" width="18.81640625" style="210" customWidth="1"/>
    <col min="15884" max="15884" width="15.81640625" style="210" customWidth="1"/>
    <col min="15885" max="15885" width="15.453125" style="210" customWidth="1"/>
    <col min="15886" max="15886" width="16.1796875" style="210" bestFit="1" customWidth="1"/>
    <col min="15887" max="15887" width="18.1796875" style="210" bestFit="1" customWidth="1"/>
    <col min="15888" max="15888" width="15.1796875" style="210" bestFit="1" customWidth="1"/>
    <col min="15889" max="15889" width="15.54296875" style="210" customWidth="1"/>
    <col min="15890" max="15890" width="15.1796875" style="210" bestFit="1" customWidth="1"/>
    <col min="15891" max="15891" width="12.81640625" style="210" customWidth="1"/>
    <col min="15892" max="15892" width="13.1796875" style="210" customWidth="1"/>
    <col min="15893" max="15893" width="16.1796875" style="210" customWidth="1"/>
    <col min="15894" max="15894" width="12" style="210" bestFit="1" customWidth="1"/>
    <col min="15895" max="16127" width="10.1796875" style="210"/>
    <col min="16128" max="16128" width="35" style="210" customWidth="1"/>
    <col min="16129" max="16129" width="19.453125" style="210" customWidth="1"/>
    <col min="16130" max="16130" width="18" style="210" customWidth="1"/>
    <col min="16131" max="16131" width="14.453125" style="210" customWidth="1"/>
    <col min="16132" max="16132" width="15.81640625" style="210" bestFit="1" customWidth="1"/>
    <col min="16133" max="16133" width="14.453125" style="210" customWidth="1"/>
    <col min="16134" max="16134" width="13.1796875" style="210" bestFit="1" customWidth="1"/>
    <col min="16135" max="16135" width="18.1796875" style="210" bestFit="1" customWidth="1"/>
    <col min="16136" max="16136" width="16.81640625" style="210" bestFit="1" customWidth="1"/>
    <col min="16137" max="16137" width="13.1796875" style="210" bestFit="1" customWidth="1"/>
    <col min="16138" max="16138" width="15.1796875" style="210" bestFit="1" customWidth="1"/>
    <col min="16139" max="16139" width="18.81640625" style="210" customWidth="1"/>
    <col min="16140" max="16140" width="15.81640625" style="210" customWidth="1"/>
    <col min="16141" max="16141" width="15.453125" style="210" customWidth="1"/>
    <col min="16142" max="16142" width="16.1796875" style="210" bestFit="1" customWidth="1"/>
    <col min="16143" max="16143" width="18.1796875" style="210" bestFit="1" customWidth="1"/>
    <col min="16144" max="16144" width="15.1796875" style="210" bestFit="1" customWidth="1"/>
    <col min="16145" max="16145" width="15.54296875" style="210" customWidth="1"/>
    <col min="16146" max="16146" width="15.1796875" style="210" bestFit="1" customWidth="1"/>
    <col min="16147" max="16147" width="12.81640625" style="210" customWidth="1"/>
    <col min="16148" max="16148" width="13.1796875" style="210" customWidth="1"/>
    <col min="16149" max="16149" width="16.1796875" style="210" customWidth="1"/>
    <col min="16150" max="16150" width="12" style="210" bestFit="1" customWidth="1"/>
    <col min="16151" max="16384" width="10.1796875" style="210"/>
  </cols>
  <sheetData>
    <row r="1" spans="1:27">
      <c r="B1" s="211" t="s">
        <v>314</v>
      </c>
      <c r="C1" s="212" t="s">
        <v>315</v>
      </c>
      <c r="J1" s="213"/>
      <c r="L1" s="212"/>
      <c r="S1" s="334"/>
      <c r="W1" s="525" t="s">
        <v>467</v>
      </c>
      <c r="X1" s="526" t="s">
        <v>468</v>
      </c>
      <c r="Y1" s="527"/>
      <c r="Z1" s="527"/>
      <c r="AA1" s="528"/>
    </row>
    <row r="2" spans="1:27" ht="14.5">
      <c r="B2" s="214"/>
      <c r="C2" s="215" t="s">
        <v>316</v>
      </c>
      <c r="D2" s="216"/>
      <c r="E2" s="216"/>
      <c r="F2" s="216"/>
      <c r="G2" s="216"/>
      <c r="H2" s="216"/>
      <c r="I2" s="216"/>
      <c r="J2" s="216"/>
      <c r="K2" s="216"/>
      <c r="L2" s="214"/>
      <c r="M2" s="216"/>
      <c r="N2" s="216"/>
      <c r="O2" s="216"/>
      <c r="P2" s="216"/>
      <c r="Q2" s="216"/>
      <c r="R2" s="216"/>
      <c r="S2" s="240"/>
      <c r="T2" s="216"/>
      <c r="U2" s="216"/>
      <c r="W2" s="529"/>
      <c r="X2" s="530" t="s">
        <v>469</v>
      </c>
      <c r="Y2" s="531"/>
      <c r="Z2" s="527"/>
      <c r="AA2" s="531"/>
    </row>
    <row r="3" spans="1:27">
      <c r="A3" s="356"/>
      <c r="K3" s="217" t="s">
        <v>263</v>
      </c>
      <c r="T3" s="929"/>
      <c r="U3" s="929"/>
      <c r="W3" s="527"/>
      <c r="X3" s="527"/>
      <c r="Y3" s="527"/>
      <c r="Z3" s="527"/>
      <c r="AA3" s="532" t="s">
        <v>263</v>
      </c>
    </row>
    <row r="4" spans="1:27" ht="15" thickBot="1">
      <c r="A4" s="219"/>
      <c r="B4" s="631"/>
      <c r="K4" s="220" t="s">
        <v>264</v>
      </c>
      <c r="T4" s="930"/>
      <c r="U4" s="930"/>
      <c r="W4" s="527"/>
      <c r="X4" s="527"/>
      <c r="Y4" s="527"/>
      <c r="Z4" s="527"/>
      <c r="AA4" s="533" t="s">
        <v>264</v>
      </c>
    </row>
    <row r="5" spans="1:27" ht="14.5">
      <c r="A5" s="221"/>
      <c r="B5" s="335"/>
      <c r="C5" s="223"/>
      <c r="D5" s="223"/>
      <c r="E5" s="223"/>
      <c r="F5" s="228" t="s">
        <v>317</v>
      </c>
      <c r="G5" s="336" t="s">
        <v>318</v>
      </c>
      <c r="H5" s="223"/>
      <c r="I5" s="223"/>
      <c r="J5" s="223"/>
      <c r="K5" s="284"/>
      <c r="L5" s="227"/>
      <c r="M5" s="223"/>
      <c r="N5" s="337" t="s">
        <v>319</v>
      </c>
      <c r="O5" s="223"/>
      <c r="P5" s="223"/>
      <c r="Q5" s="338" t="s">
        <v>320</v>
      </c>
      <c r="R5" s="339"/>
      <c r="S5" s="223"/>
      <c r="T5" s="340"/>
      <c r="U5" s="226"/>
      <c r="W5" s="546"/>
      <c r="X5" s="535" t="s">
        <v>266</v>
      </c>
      <c r="Y5" s="536" t="s">
        <v>267</v>
      </c>
      <c r="Z5" s="534"/>
      <c r="AA5" s="537"/>
    </row>
    <row r="6" spans="1:27">
      <c r="A6" s="230" t="s">
        <v>103</v>
      </c>
      <c r="B6" s="341" t="s">
        <v>104</v>
      </c>
      <c r="C6" s="233" t="s">
        <v>321</v>
      </c>
      <c r="D6" s="233" t="s">
        <v>12</v>
      </c>
      <c r="E6" s="233" t="s">
        <v>15</v>
      </c>
      <c r="F6" s="233" t="s">
        <v>20</v>
      </c>
      <c r="G6" s="233" t="s">
        <v>322</v>
      </c>
      <c r="H6" s="233" t="s">
        <v>1</v>
      </c>
      <c r="I6" s="233" t="s">
        <v>16</v>
      </c>
      <c r="J6" s="233" t="s">
        <v>3</v>
      </c>
      <c r="K6" s="288" t="s">
        <v>274</v>
      </c>
      <c r="L6" s="237" t="s">
        <v>321</v>
      </c>
      <c r="M6" s="233" t="s">
        <v>323</v>
      </c>
      <c r="N6" s="233" t="s">
        <v>324</v>
      </c>
      <c r="O6" s="233" t="s">
        <v>325</v>
      </c>
      <c r="P6" s="233" t="s">
        <v>326</v>
      </c>
      <c r="Q6" s="233" t="s">
        <v>327</v>
      </c>
      <c r="R6" s="233" t="s">
        <v>328</v>
      </c>
      <c r="S6" s="234" t="s">
        <v>329</v>
      </c>
      <c r="T6" s="235" t="s">
        <v>274</v>
      </c>
      <c r="U6" s="342" t="s">
        <v>330</v>
      </c>
      <c r="W6" s="547" t="s">
        <v>104</v>
      </c>
      <c r="X6" s="538" t="s">
        <v>275</v>
      </c>
      <c r="Y6" s="538" t="s">
        <v>276</v>
      </c>
      <c r="Z6" s="538" t="s">
        <v>277</v>
      </c>
      <c r="AA6" s="539" t="s">
        <v>278</v>
      </c>
    </row>
    <row r="7" spans="1:27">
      <c r="A7" s="239" t="s">
        <v>105</v>
      </c>
      <c r="B7" s="245" t="s">
        <v>106</v>
      </c>
      <c r="C7" s="241" t="s">
        <v>331</v>
      </c>
      <c r="D7" s="241" t="s">
        <v>332</v>
      </c>
      <c r="E7" s="241" t="s">
        <v>333</v>
      </c>
      <c r="F7" s="241" t="s">
        <v>283</v>
      </c>
      <c r="G7" s="241" t="s">
        <v>334</v>
      </c>
      <c r="H7" s="241" t="s">
        <v>285</v>
      </c>
      <c r="I7" s="241" t="s">
        <v>280</v>
      </c>
      <c r="J7" s="241" t="s">
        <v>335</v>
      </c>
      <c r="K7" s="292" t="s">
        <v>289</v>
      </c>
      <c r="L7" s="244" t="s">
        <v>336</v>
      </c>
      <c r="M7" s="241" t="s">
        <v>337</v>
      </c>
      <c r="N7" s="241" t="s">
        <v>338</v>
      </c>
      <c r="O7" s="241" t="s">
        <v>339</v>
      </c>
      <c r="P7" s="241" t="s">
        <v>340</v>
      </c>
      <c r="Q7" s="241" t="s">
        <v>341</v>
      </c>
      <c r="R7" s="241" t="s">
        <v>342</v>
      </c>
      <c r="S7" s="245" t="s">
        <v>343</v>
      </c>
      <c r="T7" s="241" t="s">
        <v>345</v>
      </c>
      <c r="U7" s="243" t="s">
        <v>346</v>
      </c>
      <c r="W7" s="548" t="s">
        <v>106</v>
      </c>
      <c r="X7" s="540" t="s">
        <v>293</v>
      </c>
      <c r="Y7" s="540" t="s">
        <v>294</v>
      </c>
      <c r="Z7" s="540" t="s">
        <v>295</v>
      </c>
      <c r="AA7" s="541" t="s">
        <v>296</v>
      </c>
    </row>
    <row r="8" spans="1:27">
      <c r="A8" s="246"/>
      <c r="B8" s="250"/>
      <c r="C8" s="249"/>
      <c r="D8" s="249"/>
      <c r="E8" s="248" t="s">
        <v>297</v>
      </c>
      <c r="F8" s="249"/>
      <c r="G8" s="249"/>
      <c r="H8" s="248"/>
      <c r="I8" s="248"/>
      <c r="J8" s="249"/>
      <c r="K8" s="297"/>
      <c r="L8" s="254"/>
      <c r="M8" s="249"/>
      <c r="N8" s="249"/>
      <c r="O8" s="249"/>
      <c r="P8" s="249"/>
      <c r="Q8" s="249"/>
      <c r="R8" s="249"/>
      <c r="S8" s="249"/>
      <c r="T8" s="343" t="s">
        <v>347</v>
      </c>
      <c r="U8" s="253"/>
      <c r="W8" s="549"/>
      <c r="X8" s="542"/>
      <c r="Y8" s="542"/>
      <c r="Z8" s="542"/>
      <c r="AA8" s="543"/>
    </row>
    <row r="9" spans="1:27" ht="16" customHeight="1">
      <c r="A9" s="255" t="s">
        <v>111</v>
      </c>
      <c r="B9" s="257">
        <f t="shared" ref="B9:U9" si="0">SUM(B10:B47)</f>
        <v>282359.59446421691</v>
      </c>
      <c r="C9" s="257">
        <f>SUM(C10:C47)</f>
        <v>146324.78073077058</v>
      </c>
      <c r="D9" s="257">
        <f t="shared" si="0"/>
        <v>2224.6661295576196</v>
      </c>
      <c r="E9" s="257">
        <f t="shared" si="0"/>
        <v>9712.1653068862379</v>
      </c>
      <c r="F9" s="257">
        <f t="shared" si="0"/>
        <v>0</v>
      </c>
      <c r="G9" s="257">
        <f t="shared" si="0"/>
        <v>1812.0330758633559</v>
      </c>
      <c r="H9" s="257">
        <f t="shared" si="0"/>
        <v>107891.69065975488</v>
      </c>
      <c r="I9" s="344">
        <f>SUM(I10:I47)</f>
        <v>19709.732647203982</v>
      </c>
      <c r="J9" s="344">
        <f t="shared" si="0"/>
        <v>1355.8430000000001</v>
      </c>
      <c r="K9" s="345">
        <f t="shared" si="0"/>
        <v>3618.6499115045076</v>
      </c>
      <c r="L9" s="259">
        <f t="shared" si="0"/>
        <v>136034.81373344627</v>
      </c>
      <c r="M9" s="257">
        <f t="shared" si="0"/>
        <v>7148.5605289569585</v>
      </c>
      <c r="N9" s="257">
        <f t="shared" si="0"/>
        <v>3327.9247999999998</v>
      </c>
      <c r="O9" s="257">
        <f t="shared" si="0"/>
        <v>816.63100000000009</v>
      </c>
      <c r="P9" s="257">
        <f t="shared" si="0"/>
        <v>99298.900497843671</v>
      </c>
      <c r="Q9" s="257">
        <f t="shared" si="0"/>
        <v>1710.001</v>
      </c>
      <c r="R9" s="257">
        <f t="shared" si="0"/>
        <v>0</v>
      </c>
      <c r="S9" s="257">
        <f t="shared" si="0"/>
        <v>721.293968531264</v>
      </c>
      <c r="T9" s="257">
        <f>SUM(T10:T47)</f>
        <v>0.8</v>
      </c>
      <c r="U9" s="258">
        <f t="shared" si="0"/>
        <v>23010.70193811438</v>
      </c>
      <c r="W9" s="550">
        <f>SUM(W10:W47)</f>
        <v>282359.63146421692</v>
      </c>
      <c r="X9" s="544">
        <f>SUM(X10:X47)</f>
        <v>71273.382507222937</v>
      </c>
      <c r="Y9" s="544">
        <f>SUM(Y10:Y47)</f>
        <v>67363.208022949591</v>
      </c>
      <c r="Z9" s="544">
        <f>SUM(Z10:Z47)</f>
        <v>74491.897939447692</v>
      </c>
      <c r="AA9" s="545">
        <f>SUM(AA10:AA47)</f>
        <v>69231.142994596681</v>
      </c>
    </row>
    <row r="10" spans="1:27" ht="14.15" customHeight="1">
      <c r="A10" s="346" t="s">
        <v>137</v>
      </c>
      <c r="B10" s="267">
        <f>C10+L10</f>
        <v>14223.257</v>
      </c>
      <c r="C10" s="267">
        <f>SUM(D10:K10)</f>
        <v>9514.1</v>
      </c>
      <c r="D10" s="267">
        <f>SUM('P NP TAMBAK KAB'!$X6,'P NP TAMBAK KAB'!$Z6)/1000</f>
        <v>0</v>
      </c>
      <c r="E10" s="267">
        <f>'P NP TAMBAK KAB'!AL6/1000</f>
        <v>2215.5</v>
      </c>
      <c r="F10" s="267">
        <f>'P NP TAMBAK KAB'!AT6/1000</f>
        <v>0</v>
      </c>
      <c r="G10" s="267">
        <f>'P NP TAMBAK KAB'!R6/1000</f>
        <v>1433.7</v>
      </c>
      <c r="H10" s="267">
        <f>'P NP TAMBAK KAB'!D6/1000</f>
        <v>4561.7</v>
      </c>
      <c r="I10" s="267">
        <f>'P NP TAMBAK KAB'!AN6/1000</f>
        <v>0</v>
      </c>
      <c r="J10" s="267">
        <f>'P NP TAMBAK KAB'!H6/1000</f>
        <v>1303.2</v>
      </c>
      <c r="K10" s="268">
        <f>SUM('P NP TAMBAK KAB'!BP6,'P NP TAMBAK KAB'!BV6,'P NP TAMBAK KAB'!AV6)/1000</f>
        <v>0</v>
      </c>
      <c r="L10" s="264">
        <f t="shared" ref="L10:L47" si="1">SUM(M10:U10)</f>
        <v>4709.1569999999992</v>
      </c>
      <c r="M10" s="262">
        <f>'P NP TAMBAK KAB'!BD6/1000</f>
        <v>65.099999999999994</v>
      </c>
      <c r="N10" s="262">
        <f>'P NP TAMBAK KAB'!AZ6/1000</f>
        <v>2150.4499999999998</v>
      </c>
      <c r="O10" s="262">
        <f>'P NP TAMBAK KAB'!BF6/1000</f>
        <v>123.7</v>
      </c>
      <c r="P10" s="262">
        <f>'P NP TAMBAK KAB'!BB6/1000</f>
        <v>2360.3069999999998</v>
      </c>
      <c r="Q10" s="262">
        <f>'P NP TAMBAK KAB'!BH6/1000</f>
        <v>0</v>
      </c>
      <c r="R10" s="262">
        <f>'P NP TAMBAK KAB'!BL6/1000</f>
        <v>0</v>
      </c>
      <c r="S10" s="262">
        <f>'P NP TAMBAK KAB'!T6/1000</f>
        <v>8.8000000000000007</v>
      </c>
      <c r="T10" s="262">
        <f>'P NP TAMBAK KAB'!BT6/1000</f>
        <v>0.8</v>
      </c>
      <c r="U10" s="822">
        <f>'P NP TAMBAK KAB'!N6/1000</f>
        <v>0</v>
      </c>
      <c r="W10" s="264">
        <f>SUM(X10:AA10)</f>
        <v>14223.257000000001</v>
      </c>
      <c r="X10" s="262">
        <f>'P NP TW'!P7/1000</f>
        <v>4615.5020000000004</v>
      </c>
      <c r="Y10" s="262">
        <f>'P NP TW'!R7/1000</f>
        <v>1895.9349999999999</v>
      </c>
      <c r="Z10" s="262">
        <f>'P NP TW'!T7/1000</f>
        <v>1617.72</v>
      </c>
      <c r="AA10" s="263">
        <f>'P NP TW'!V7/1000</f>
        <v>6094.1</v>
      </c>
    </row>
    <row r="11" spans="1:27">
      <c r="A11" s="346" t="s">
        <v>121</v>
      </c>
      <c r="B11" s="267">
        <f t="shared" ref="B11:B47" si="2">C11+L11</f>
        <v>20072.39</v>
      </c>
      <c r="C11" s="267">
        <f t="shared" ref="C11:C47" si="3">SUM(D11:K11)</f>
        <v>472.64500000000004</v>
      </c>
      <c r="D11" s="267">
        <f>SUM('P NP TAMBAK KAB'!$X7,'P NP TAMBAK KAB'!$Z7)/1000</f>
        <v>43.125</v>
      </c>
      <c r="E11" s="267">
        <f>'P NP TAMBAK KAB'!AL7/1000</f>
        <v>87.495000000000005</v>
      </c>
      <c r="F11" s="267">
        <f>'P NP TAMBAK KAB'!AT7/1000</f>
        <v>0</v>
      </c>
      <c r="G11" s="267">
        <f>'P NP TAMBAK KAB'!R7/1000</f>
        <v>181.745</v>
      </c>
      <c r="H11" s="267">
        <f>'P NP TAMBAK KAB'!D7/1000</f>
        <v>41.674999999999997</v>
      </c>
      <c r="I11" s="267">
        <f>'P NP TAMBAK KAB'!AN7/1000</f>
        <v>118.605</v>
      </c>
      <c r="J11" s="267">
        <f>'P NP TAMBAK KAB'!H7/1000</f>
        <v>0</v>
      </c>
      <c r="K11" s="268">
        <f>SUM('P NP TAMBAK KAB'!BP7,'P NP TAMBAK KAB'!BV7,'P NP TAMBAK KAB'!AV7)/1000</f>
        <v>0</v>
      </c>
      <c r="L11" s="264">
        <f t="shared" si="1"/>
        <v>19599.744999999999</v>
      </c>
      <c r="M11" s="267">
        <f>'P NP TAMBAK KAB'!BD7/1000</f>
        <v>0</v>
      </c>
      <c r="N11" s="267">
        <f>'P NP TAMBAK KAB'!AZ7/1000</f>
        <v>0</v>
      </c>
      <c r="O11" s="267">
        <f>'P NP TAMBAK KAB'!BF7/1000</f>
        <v>0</v>
      </c>
      <c r="P11" s="267">
        <f>'P NP TAMBAK KAB'!BB7/1000</f>
        <v>19543.099999999999</v>
      </c>
      <c r="Q11" s="267">
        <f>'P NP TAMBAK KAB'!BH7/1000</f>
        <v>0</v>
      </c>
      <c r="R11" s="267">
        <f>'P NP TAMBAK KAB'!BL7/1000</f>
        <v>0</v>
      </c>
      <c r="S11" s="267">
        <f>'P NP TAMBAK KAB'!T7/1000</f>
        <v>56.645000000000003</v>
      </c>
      <c r="T11" s="267">
        <f>'P NP TAMBAK KAB'!BT7/1000</f>
        <v>0</v>
      </c>
      <c r="U11" s="820">
        <f>'P NP TAMBAK KAB'!N7/1000</f>
        <v>0</v>
      </c>
      <c r="W11" s="264">
        <f>SUM(X11:AA11)</f>
        <v>20072.39</v>
      </c>
      <c r="X11" s="267">
        <f>'P NP TW'!P8/1000</f>
        <v>4745.625</v>
      </c>
      <c r="Y11" s="267">
        <f>'P NP TW'!R8/1000</f>
        <v>5146.6899999999996</v>
      </c>
      <c r="Z11" s="267">
        <f>'P NP TW'!T8/1000</f>
        <v>5040.6400000000003</v>
      </c>
      <c r="AA11" s="268">
        <f>'P NP TW'!V8/1000</f>
        <v>5139.4350000000004</v>
      </c>
    </row>
    <row r="12" spans="1:27">
      <c r="A12" s="346" t="s">
        <v>116</v>
      </c>
      <c r="B12" s="267">
        <f t="shared" si="2"/>
        <v>436.1</v>
      </c>
      <c r="C12" s="267">
        <f t="shared" si="3"/>
        <v>0</v>
      </c>
      <c r="D12" s="267">
        <f>SUM('P NP TAMBAK KAB'!$X8,'P NP TAMBAK KAB'!$Z8)/1000</f>
        <v>0</v>
      </c>
      <c r="E12" s="267">
        <f>'P NP TAMBAK KAB'!AL8/1000</f>
        <v>0</v>
      </c>
      <c r="F12" s="267">
        <f>'P NP TAMBAK KAB'!AT8/1000</f>
        <v>0</v>
      </c>
      <c r="G12" s="267">
        <f>'P NP TAMBAK KAB'!R8/1000</f>
        <v>0</v>
      </c>
      <c r="H12" s="267">
        <f>'P NP TAMBAK KAB'!D8/1000</f>
        <v>0</v>
      </c>
      <c r="I12" s="267">
        <f>'P NP TAMBAK KAB'!AN8/1000</f>
        <v>0</v>
      </c>
      <c r="J12" s="267">
        <f>'P NP TAMBAK KAB'!H8/1000</f>
        <v>0</v>
      </c>
      <c r="K12" s="268">
        <f>SUM('P NP TAMBAK KAB'!BP8,'P NP TAMBAK KAB'!BV8,'P NP TAMBAK KAB'!AV8)/1000</f>
        <v>0</v>
      </c>
      <c r="L12" s="264">
        <f t="shared" si="1"/>
        <v>436.1</v>
      </c>
      <c r="M12" s="267">
        <f>'P NP TAMBAK KAB'!BD8/1000</f>
        <v>0</v>
      </c>
      <c r="N12" s="267">
        <f>'P NP TAMBAK KAB'!AZ8/1000</f>
        <v>0</v>
      </c>
      <c r="O12" s="267">
        <f>'P NP TAMBAK KAB'!BF8/1000</f>
        <v>0</v>
      </c>
      <c r="P12" s="267">
        <f>'P NP TAMBAK KAB'!BB8/1000</f>
        <v>436.1</v>
      </c>
      <c r="Q12" s="267">
        <f>'P NP TAMBAK KAB'!BH8/1000</f>
        <v>0</v>
      </c>
      <c r="R12" s="267">
        <f>'P NP TAMBAK KAB'!BL8/1000</f>
        <v>0</v>
      </c>
      <c r="S12" s="267">
        <f>'P NP TAMBAK KAB'!T8/1000</f>
        <v>0</v>
      </c>
      <c r="T12" s="267">
        <f>'P NP TAMBAK KAB'!BT8/1000</f>
        <v>0</v>
      </c>
      <c r="U12" s="820">
        <f>'P NP TAMBAK KAB'!N8/1000</f>
        <v>0</v>
      </c>
      <c r="W12" s="264">
        <f t="shared" ref="W12:W47" si="4">SUM(X12:AA12)</f>
        <v>436.1</v>
      </c>
      <c r="X12" s="267">
        <f>'P NP TW'!P9/1000</f>
        <v>105</v>
      </c>
      <c r="Y12" s="267">
        <f>'P NP TW'!R9/1000</f>
        <v>109</v>
      </c>
      <c r="Z12" s="267">
        <f>'P NP TW'!T9/1000</f>
        <v>112.8</v>
      </c>
      <c r="AA12" s="268">
        <f>'P NP TW'!V9/1000</f>
        <v>109.3</v>
      </c>
    </row>
    <row r="13" spans="1:27">
      <c r="A13" s="346" t="s">
        <v>133</v>
      </c>
      <c r="B13" s="267">
        <f t="shared" si="2"/>
        <v>0</v>
      </c>
      <c r="C13" s="267">
        <f t="shared" si="3"/>
        <v>0</v>
      </c>
      <c r="D13" s="267">
        <f>SUM('P NP TAMBAK KAB'!$X9,'P NP TAMBAK KAB'!$Z9)/1000</f>
        <v>0</v>
      </c>
      <c r="E13" s="267">
        <f>'P NP TAMBAK KAB'!AL9/1000</f>
        <v>0</v>
      </c>
      <c r="F13" s="267">
        <f>'P NP TAMBAK KAB'!AT9/1000</f>
        <v>0</v>
      </c>
      <c r="G13" s="267">
        <f>'P NP TAMBAK KAB'!R9/1000</f>
        <v>0</v>
      </c>
      <c r="H13" s="267">
        <f>'P NP TAMBAK KAB'!D9/1000</f>
        <v>0</v>
      </c>
      <c r="I13" s="267">
        <f>'P NP TAMBAK KAB'!AN9/1000</f>
        <v>0</v>
      </c>
      <c r="J13" s="267">
        <f>'P NP TAMBAK KAB'!H9/1000</f>
        <v>0</v>
      </c>
      <c r="K13" s="268">
        <f>SUM('P NP TAMBAK KAB'!BP9,'P NP TAMBAK KAB'!BV9,'P NP TAMBAK KAB'!AV9)/1000</f>
        <v>0</v>
      </c>
      <c r="L13" s="264">
        <f t="shared" si="1"/>
        <v>0</v>
      </c>
      <c r="M13" s="267">
        <f>'P NP TAMBAK KAB'!BD9/1000</f>
        <v>0</v>
      </c>
      <c r="N13" s="267">
        <f>'P NP TAMBAK KAB'!AZ9/1000</f>
        <v>0</v>
      </c>
      <c r="O13" s="267">
        <f>'P NP TAMBAK KAB'!BF9/1000</f>
        <v>0</v>
      </c>
      <c r="P13" s="267">
        <f>'P NP TAMBAK KAB'!BB9/1000</f>
        <v>0</v>
      </c>
      <c r="Q13" s="267">
        <f>'P NP TAMBAK KAB'!BH9/1000</f>
        <v>0</v>
      </c>
      <c r="R13" s="267">
        <f>'P NP TAMBAK KAB'!BL9/1000</f>
        <v>0</v>
      </c>
      <c r="S13" s="267">
        <f>'P NP TAMBAK KAB'!T9/1000</f>
        <v>0</v>
      </c>
      <c r="T13" s="267">
        <f>'P NP TAMBAK KAB'!BT9/1000</f>
        <v>0</v>
      </c>
      <c r="U13" s="820">
        <f>'P NP TAMBAK KAB'!N9/1000</f>
        <v>0</v>
      </c>
      <c r="W13" s="264">
        <f t="shared" si="4"/>
        <v>0</v>
      </c>
      <c r="X13" s="267">
        <f>'P NP TW'!P10/1000</f>
        <v>0</v>
      </c>
      <c r="Y13" s="267">
        <f>'P NP TW'!R10/1000</f>
        <v>0</v>
      </c>
      <c r="Z13" s="267">
        <f>'P NP TW'!T10/1000</f>
        <v>0</v>
      </c>
      <c r="AA13" s="268">
        <f>'P NP TW'!V10/1000</f>
        <v>0</v>
      </c>
    </row>
    <row r="14" spans="1:27">
      <c r="A14" s="346" t="s">
        <v>122</v>
      </c>
      <c r="B14" s="267">
        <f t="shared" si="2"/>
        <v>0</v>
      </c>
      <c r="C14" s="267">
        <f t="shared" si="3"/>
        <v>0</v>
      </c>
      <c r="D14" s="267">
        <f>SUM('P NP TAMBAK KAB'!$X10,'P NP TAMBAK KAB'!$Z10)/1000</f>
        <v>0</v>
      </c>
      <c r="E14" s="267">
        <f>'P NP TAMBAK KAB'!AL10/1000</f>
        <v>0</v>
      </c>
      <c r="F14" s="267">
        <f>'P NP TAMBAK KAB'!AT10/1000</f>
        <v>0</v>
      </c>
      <c r="G14" s="267">
        <f>'P NP TAMBAK KAB'!R10/1000</f>
        <v>0</v>
      </c>
      <c r="H14" s="267">
        <f>'P NP TAMBAK KAB'!D10/1000</f>
        <v>0</v>
      </c>
      <c r="I14" s="267">
        <f>'P NP TAMBAK KAB'!AN10/1000</f>
        <v>0</v>
      </c>
      <c r="J14" s="267">
        <f>'P NP TAMBAK KAB'!H10/1000</f>
        <v>0</v>
      </c>
      <c r="K14" s="268">
        <f>SUM('P NP TAMBAK KAB'!BP10,'P NP TAMBAK KAB'!BV10,'P NP TAMBAK KAB'!AV10)/1000</f>
        <v>0</v>
      </c>
      <c r="L14" s="264">
        <f t="shared" si="1"/>
        <v>0</v>
      </c>
      <c r="M14" s="267">
        <f>'P NP TAMBAK KAB'!BD10/1000</f>
        <v>0</v>
      </c>
      <c r="N14" s="267">
        <f>'P NP TAMBAK KAB'!AZ10/1000</f>
        <v>0</v>
      </c>
      <c r="O14" s="267">
        <f>'P NP TAMBAK KAB'!BF10/1000</f>
        <v>0</v>
      </c>
      <c r="P14" s="267">
        <f>'P NP TAMBAK KAB'!BB10/1000</f>
        <v>0</v>
      </c>
      <c r="Q14" s="267">
        <f>'P NP TAMBAK KAB'!BH10/1000</f>
        <v>0</v>
      </c>
      <c r="R14" s="267">
        <f>'P NP TAMBAK KAB'!BL10/1000</f>
        <v>0</v>
      </c>
      <c r="S14" s="267">
        <f>'P NP TAMBAK KAB'!T10/1000</f>
        <v>0</v>
      </c>
      <c r="T14" s="267">
        <f>'P NP TAMBAK KAB'!BT10/1000</f>
        <v>0</v>
      </c>
      <c r="U14" s="820">
        <f>'P NP TAMBAK KAB'!N10/1000</f>
        <v>0</v>
      </c>
      <c r="W14" s="264">
        <f t="shared" si="4"/>
        <v>0</v>
      </c>
      <c r="X14" s="267">
        <f>'P NP TW'!P11/1000</f>
        <v>0</v>
      </c>
      <c r="Y14" s="267">
        <f>'P NP TW'!R11/1000</f>
        <v>0</v>
      </c>
      <c r="Z14" s="267">
        <f>'P NP TW'!T11/1000</f>
        <v>0</v>
      </c>
      <c r="AA14" s="268">
        <f>'P NP TW'!V11/1000</f>
        <v>0</v>
      </c>
    </row>
    <row r="15" spans="1:27">
      <c r="A15" s="346" t="s">
        <v>136</v>
      </c>
      <c r="B15" s="267">
        <f t="shared" si="2"/>
        <v>82445.96075136021</v>
      </c>
      <c r="C15" s="267">
        <f t="shared" si="3"/>
        <v>56534.233666713088</v>
      </c>
      <c r="D15" s="267">
        <f>SUM('P NP TAMBAK KAB'!$X11,'P NP TAMBAK KAB'!$Z11)/1000</f>
        <v>147.79312955761961</v>
      </c>
      <c r="E15" s="267">
        <f>'P NP TAMBAK KAB'!AL11/1000</f>
        <v>3354.8153068862393</v>
      </c>
      <c r="F15" s="267">
        <f>'P NP TAMBAK KAB'!AT11/1000</f>
        <v>0</v>
      </c>
      <c r="G15" s="267">
        <f>'P NP TAMBAK KAB'!R11/1000</f>
        <v>33.060175863355454</v>
      </c>
      <c r="H15" s="267">
        <f>'P NP TAMBAK KAB'!D11/1000</f>
        <v>49897.644895697384</v>
      </c>
      <c r="I15" s="267">
        <f>'P NP TAMBAK KAB'!AN11/1000</f>
        <v>684.87524720398198</v>
      </c>
      <c r="J15" s="267">
        <f>'P NP TAMBAK KAB'!H11/1000</f>
        <v>0</v>
      </c>
      <c r="K15" s="268">
        <f>SUM('P NP TAMBAK KAB'!BP11,'P NP TAMBAK KAB'!BV11,'P NP TAMBAK KAB'!AV11)/1000</f>
        <v>2416.0449115045071</v>
      </c>
      <c r="L15" s="264">
        <f t="shared" si="1"/>
        <v>25911.727084647126</v>
      </c>
      <c r="M15" s="267">
        <f>'P NP TAMBAK KAB'!BD11/1000</f>
        <v>2921.8959489569579</v>
      </c>
      <c r="N15" s="267">
        <f>'P NP TAMBAK KAB'!AZ11/1000</f>
        <v>0</v>
      </c>
      <c r="O15" s="267">
        <f>'P NP TAMBAK KAB'!BF11/1000</f>
        <v>0</v>
      </c>
      <c r="P15" s="267">
        <f>'P NP TAMBAK KAB'!BB11/1000</f>
        <v>18401.978789044522</v>
      </c>
      <c r="Q15" s="267">
        <f>'P NP TAMBAK KAB'!BH11/1000</f>
        <v>0</v>
      </c>
      <c r="R15" s="267">
        <f>'P NP TAMBAK KAB'!BL11/1000</f>
        <v>0</v>
      </c>
      <c r="S15" s="267">
        <f>'P NP TAMBAK KAB'!T11/1000</f>
        <v>345.62826853126398</v>
      </c>
      <c r="T15" s="267">
        <f>'P NP TAMBAK KAB'!BT11/1000</f>
        <v>0</v>
      </c>
      <c r="U15" s="820">
        <f>'P NP TAMBAK KAB'!N11/1000</f>
        <v>4242.2240781143801</v>
      </c>
      <c r="W15" s="264">
        <f t="shared" si="4"/>
        <v>82445.96075136021</v>
      </c>
      <c r="X15" s="267">
        <f>'P NP TW'!P12/1000</f>
        <v>22615.979346231226</v>
      </c>
      <c r="Y15" s="267">
        <f>'P NP TW'!R12/1000</f>
        <v>20887.418777108953</v>
      </c>
      <c r="Z15" s="267">
        <f>'P NP TW'!T12/1000</f>
        <v>20040.735342798187</v>
      </c>
      <c r="AA15" s="268">
        <f>'P NP TW'!V12/1000</f>
        <v>18901.827285221847</v>
      </c>
    </row>
    <row r="16" spans="1:27">
      <c r="A16" s="346" t="s">
        <v>120</v>
      </c>
      <c r="B16" s="267">
        <f t="shared" si="2"/>
        <v>3938.0679328566566</v>
      </c>
      <c r="C16" s="267">
        <f t="shared" si="3"/>
        <v>45.890414057510256</v>
      </c>
      <c r="D16" s="267">
        <f>SUM('P NP TAMBAK KAB'!$X12,'P NP TAMBAK KAB'!$Z12)/1000</f>
        <v>0</v>
      </c>
      <c r="E16" s="267">
        <f>'P NP TAMBAK KAB'!AL12/1000</f>
        <v>0</v>
      </c>
      <c r="F16" s="267">
        <f>'P NP TAMBAK KAB'!AT12/1000</f>
        <v>0</v>
      </c>
      <c r="G16" s="267">
        <f>'P NP TAMBAK KAB'!R12/1000</f>
        <v>0</v>
      </c>
      <c r="H16" s="267">
        <f>'P NP TAMBAK KAB'!D12/1000</f>
        <v>45.890414057510256</v>
      </c>
      <c r="I16" s="267">
        <f>'P NP TAMBAK KAB'!AN12/1000</f>
        <v>0</v>
      </c>
      <c r="J16" s="267">
        <f>'P NP TAMBAK KAB'!H12/1000</f>
        <v>0</v>
      </c>
      <c r="K16" s="268">
        <f>SUM('P NP TAMBAK KAB'!BP12,'P NP TAMBAK KAB'!BV12,'P NP TAMBAK KAB'!AV12)/1000</f>
        <v>0</v>
      </c>
      <c r="L16" s="264">
        <f t="shared" si="1"/>
        <v>3892.1775187991466</v>
      </c>
      <c r="M16" s="267">
        <f>'P NP TAMBAK KAB'!BD12/1000</f>
        <v>0</v>
      </c>
      <c r="N16" s="267">
        <f>'P NP TAMBAK KAB'!AZ12/1000</f>
        <v>0</v>
      </c>
      <c r="O16" s="267">
        <f>'P NP TAMBAK KAB'!BF12/1000</f>
        <v>0</v>
      </c>
      <c r="P16" s="267">
        <f>'P NP TAMBAK KAB'!BB12/1000</f>
        <v>3892.1775187991466</v>
      </c>
      <c r="Q16" s="267">
        <f>'P NP TAMBAK KAB'!BH12/1000</f>
        <v>0</v>
      </c>
      <c r="R16" s="267">
        <f>'P NP TAMBAK KAB'!BL12/1000</f>
        <v>0</v>
      </c>
      <c r="S16" s="267">
        <f>'P NP TAMBAK KAB'!T12/1000</f>
        <v>0</v>
      </c>
      <c r="T16" s="267">
        <f>'P NP TAMBAK KAB'!BT12/1000</f>
        <v>0</v>
      </c>
      <c r="U16" s="820">
        <f>'P NP TAMBAK KAB'!N12/1000</f>
        <v>0</v>
      </c>
      <c r="W16" s="264">
        <f t="shared" si="4"/>
        <v>3938.0679328566566</v>
      </c>
      <c r="X16" s="267">
        <f>'P NP TW'!P13/1000</f>
        <v>368.55500099170513</v>
      </c>
      <c r="Y16" s="267">
        <f>'P NP TW'!R13/1000</f>
        <v>899.84299584063137</v>
      </c>
      <c r="Z16" s="267">
        <f>'P NP TW'!T13/1000</f>
        <v>1361.3099366494976</v>
      </c>
      <c r="AA16" s="268">
        <f>'P NP TW'!V13/1000</f>
        <v>1308.3599993748226</v>
      </c>
    </row>
    <row r="17" spans="1:27" ht="13.5" customHeight="1">
      <c r="A17" s="346" t="s">
        <v>128</v>
      </c>
      <c r="B17" s="267">
        <f t="shared" si="2"/>
        <v>0</v>
      </c>
      <c r="C17" s="267">
        <f t="shared" si="3"/>
        <v>0</v>
      </c>
      <c r="D17" s="267">
        <f>SUM('P NP TAMBAK KAB'!$X13,'P NP TAMBAK KAB'!$Z13)/1000</f>
        <v>0</v>
      </c>
      <c r="E17" s="267">
        <f>'P NP TAMBAK KAB'!AL13/1000</f>
        <v>0</v>
      </c>
      <c r="F17" s="267">
        <f>'P NP TAMBAK KAB'!AT13/1000</f>
        <v>0</v>
      </c>
      <c r="G17" s="267">
        <f>'P NP TAMBAK KAB'!R13/1000</f>
        <v>0</v>
      </c>
      <c r="H17" s="267">
        <f>'P NP TAMBAK KAB'!D13/1000</f>
        <v>0</v>
      </c>
      <c r="I17" s="267">
        <f>'P NP TAMBAK KAB'!AN13/1000</f>
        <v>0</v>
      </c>
      <c r="J17" s="267">
        <f>'P NP TAMBAK KAB'!H13/1000</f>
        <v>0</v>
      </c>
      <c r="K17" s="268">
        <f>SUM('P NP TAMBAK KAB'!BP13,'P NP TAMBAK KAB'!BV13,'P NP TAMBAK KAB'!AV13)/1000</f>
        <v>0</v>
      </c>
      <c r="L17" s="264">
        <f t="shared" si="1"/>
        <v>0</v>
      </c>
      <c r="M17" s="267">
        <f>'P NP TAMBAK KAB'!BD13/1000</f>
        <v>0</v>
      </c>
      <c r="N17" s="267">
        <f>'P NP TAMBAK KAB'!AZ13/1000</f>
        <v>0</v>
      </c>
      <c r="O17" s="267">
        <f>'P NP TAMBAK KAB'!BF13/1000</f>
        <v>0</v>
      </c>
      <c r="P17" s="267">
        <f>'P NP TAMBAK KAB'!BB13/1000</f>
        <v>0</v>
      </c>
      <c r="Q17" s="267">
        <f>'P NP TAMBAK KAB'!BH13/1000</f>
        <v>0</v>
      </c>
      <c r="R17" s="267">
        <f>'P NP TAMBAK KAB'!BL13/1000</f>
        <v>0</v>
      </c>
      <c r="S17" s="267">
        <f>'P NP TAMBAK KAB'!T13/1000</f>
        <v>0</v>
      </c>
      <c r="T17" s="267">
        <f>'P NP TAMBAK KAB'!BT13/1000</f>
        <v>0</v>
      </c>
      <c r="U17" s="820">
        <f>'P NP TAMBAK KAB'!N13/1000</f>
        <v>0</v>
      </c>
      <c r="W17" s="264">
        <f t="shared" si="4"/>
        <v>0</v>
      </c>
      <c r="X17" s="267">
        <f>'P NP TW'!P14/1000</f>
        <v>0</v>
      </c>
      <c r="Y17" s="267">
        <f>'P NP TW'!R14/1000</f>
        <v>0</v>
      </c>
      <c r="Z17" s="267">
        <f>'P NP TW'!T14/1000</f>
        <v>0</v>
      </c>
      <c r="AA17" s="268">
        <f>'P NP TW'!V14/1000</f>
        <v>0</v>
      </c>
    </row>
    <row r="18" spans="1:27">
      <c r="A18" s="346" t="s">
        <v>117</v>
      </c>
      <c r="B18" s="267">
        <f t="shared" si="2"/>
        <v>0</v>
      </c>
      <c r="C18" s="267">
        <f t="shared" si="3"/>
        <v>0</v>
      </c>
      <c r="D18" s="267">
        <f>SUM('P NP TAMBAK KAB'!$X14,'P NP TAMBAK KAB'!$Z14)/1000</f>
        <v>0</v>
      </c>
      <c r="E18" s="267">
        <f>'P NP TAMBAK KAB'!AL14/1000</f>
        <v>0</v>
      </c>
      <c r="F18" s="267">
        <f>'P NP TAMBAK KAB'!AT14/1000</f>
        <v>0</v>
      </c>
      <c r="G18" s="267">
        <f>'P NP TAMBAK KAB'!R14/1000</f>
        <v>0</v>
      </c>
      <c r="H18" s="267">
        <f>'P NP TAMBAK KAB'!D14/1000</f>
        <v>0</v>
      </c>
      <c r="I18" s="267">
        <f>'P NP TAMBAK KAB'!AN14/1000</f>
        <v>0</v>
      </c>
      <c r="J18" s="267">
        <f>'P NP TAMBAK KAB'!H14/1000</f>
        <v>0</v>
      </c>
      <c r="K18" s="268">
        <f>SUM('P NP TAMBAK KAB'!BP14,'P NP TAMBAK KAB'!BV14,'P NP TAMBAK KAB'!AV14)/1000</f>
        <v>0</v>
      </c>
      <c r="L18" s="264">
        <f t="shared" si="1"/>
        <v>0</v>
      </c>
      <c r="M18" s="267">
        <f>'P NP TAMBAK KAB'!BD14/1000</f>
        <v>0</v>
      </c>
      <c r="N18" s="267">
        <f>'P NP TAMBAK KAB'!AZ14/1000</f>
        <v>0</v>
      </c>
      <c r="O18" s="267">
        <f>'P NP TAMBAK KAB'!BF14/1000</f>
        <v>0</v>
      </c>
      <c r="P18" s="267">
        <f>'P NP TAMBAK KAB'!BB14/1000</f>
        <v>0</v>
      </c>
      <c r="Q18" s="267">
        <f>'P NP TAMBAK KAB'!BH14/1000</f>
        <v>0</v>
      </c>
      <c r="R18" s="267">
        <f>'P NP TAMBAK KAB'!BL14/1000</f>
        <v>0</v>
      </c>
      <c r="S18" s="267">
        <f>'P NP TAMBAK KAB'!T14/1000</f>
        <v>0</v>
      </c>
      <c r="T18" s="267">
        <f>'P NP TAMBAK KAB'!BT14/1000</f>
        <v>0</v>
      </c>
      <c r="U18" s="820">
        <f>'P NP TAMBAK KAB'!N14/1000</f>
        <v>0</v>
      </c>
      <c r="W18" s="264">
        <f t="shared" si="4"/>
        <v>0</v>
      </c>
      <c r="X18" s="267">
        <f>'P NP TW'!P15/1000</f>
        <v>0</v>
      </c>
      <c r="Y18" s="267">
        <f>'P NP TW'!R15/1000</f>
        <v>0</v>
      </c>
      <c r="Z18" s="267">
        <f>'P NP TW'!T15/1000</f>
        <v>0</v>
      </c>
      <c r="AA18" s="268">
        <f>'P NP TW'!V15/1000</f>
        <v>0</v>
      </c>
    </row>
    <row r="19" spans="1:27">
      <c r="A19" s="346" t="s">
        <v>135</v>
      </c>
      <c r="B19" s="267">
        <f t="shared" si="2"/>
        <v>4881.277</v>
      </c>
      <c r="C19" s="267">
        <f t="shared" si="3"/>
        <v>2648.8530000000001</v>
      </c>
      <c r="D19" s="267">
        <f>SUM('P NP TAMBAK KAB'!$X15,'P NP TAMBAK KAB'!$Z15)/1000</f>
        <v>1830.6179999999999</v>
      </c>
      <c r="E19" s="267">
        <f>'P NP TAMBAK KAB'!AL15/1000</f>
        <v>12.016999999999999</v>
      </c>
      <c r="F19" s="267">
        <f>'P NP TAMBAK KAB'!AT15/1000</f>
        <v>0</v>
      </c>
      <c r="G19" s="267">
        <f>'P NP TAMBAK KAB'!R15/1000</f>
        <v>0</v>
      </c>
      <c r="H19" s="267">
        <f>'P NP TAMBAK KAB'!D15/1000</f>
        <v>518.23599999999999</v>
      </c>
      <c r="I19" s="267">
        <f>'P NP TAMBAK KAB'!AN15/1000</f>
        <v>287.98200000000003</v>
      </c>
      <c r="J19" s="267">
        <f>'P NP TAMBAK KAB'!H15/1000</f>
        <v>0</v>
      </c>
      <c r="K19" s="268">
        <f>SUM('P NP TAMBAK KAB'!BP15,'P NP TAMBAK KAB'!BV15,'P NP TAMBAK KAB'!AV15)/1000</f>
        <v>0</v>
      </c>
      <c r="L19" s="264">
        <f t="shared" si="1"/>
        <v>2232.424</v>
      </c>
      <c r="M19" s="267">
        <f>'P NP TAMBAK KAB'!BD15/1000</f>
        <v>0</v>
      </c>
      <c r="N19" s="267">
        <f>'P NP TAMBAK KAB'!AZ15/1000</f>
        <v>0</v>
      </c>
      <c r="O19" s="267">
        <f>'P NP TAMBAK KAB'!BF15/1000</f>
        <v>0</v>
      </c>
      <c r="P19" s="267">
        <f>'P NP TAMBAK KAB'!BB15/1000</f>
        <v>2232.424</v>
      </c>
      <c r="Q19" s="267">
        <f>'P NP TAMBAK KAB'!BH15/1000</f>
        <v>0</v>
      </c>
      <c r="R19" s="267">
        <f>'P NP TAMBAK KAB'!BL15/1000</f>
        <v>0</v>
      </c>
      <c r="S19" s="267">
        <f>'P NP TAMBAK KAB'!T15/1000</f>
        <v>0</v>
      </c>
      <c r="T19" s="267">
        <f>'P NP TAMBAK KAB'!BT15/1000</f>
        <v>0</v>
      </c>
      <c r="U19" s="820">
        <f>'P NP TAMBAK KAB'!N15/1000</f>
        <v>0</v>
      </c>
      <c r="W19" s="264">
        <f>SUM(X19:AA19)</f>
        <v>4881.277</v>
      </c>
      <c r="X19" s="267">
        <f>'P NP TW'!P16/1000</f>
        <v>1248.6949999999999</v>
      </c>
      <c r="Y19" s="267">
        <f>'P NP TW'!R16/1000</f>
        <v>1598.3309999999999</v>
      </c>
      <c r="Z19" s="267">
        <f>'P NP TW'!T16/1000</f>
        <v>963.98</v>
      </c>
      <c r="AA19" s="268">
        <f>'P NP TW'!V16/1000</f>
        <v>1070.271</v>
      </c>
    </row>
    <row r="20" spans="1:27">
      <c r="A20" s="346" t="s">
        <v>119</v>
      </c>
      <c r="B20" s="267">
        <f t="shared" si="2"/>
        <v>1490</v>
      </c>
      <c r="C20" s="267">
        <f t="shared" si="3"/>
        <v>0</v>
      </c>
      <c r="D20" s="267">
        <f>SUM('P NP TAMBAK KAB'!$X16,'P NP TAMBAK KAB'!$Z16)/1000</f>
        <v>0</v>
      </c>
      <c r="E20" s="267">
        <f>'P NP TAMBAK KAB'!AL16/1000</f>
        <v>0</v>
      </c>
      <c r="F20" s="267">
        <f>'P NP TAMBAK KAB'!AT16/1000</f>
        <v>0</v>
      </c>
      <c r="G20" s="267">
        <f>'P NP TAMBAK KAB'!R16/1000</f>
        <v>0</v>
      </c>
      <c r="H20" s="267">
        <f>'P NP TAMBAK KAB'!D16/1000</f>
        <v>0</v>
      </c>
      <c r="I20" s="267">
        <f>'P NP TAMBAK KAB'!AN16/1000</f>
        <v>0</v>
      </c>
      <c r="J20" s="267">
        <f>'P NP TAMBAK KAB'!H16/1000</f>
        <v>0</v>
      </c>
      <c r="K20" s="268">
        <f>SUM('P NP TAMBAK KAB'!BP16,'P NP TAMBAK KAB'!BV16,'P NP TAMBAK KAB'!AV16)/1000</f>
        <v>0</v>
      </c>
      <c r="L20" s="264">
        <f t="shared" si="1"/>
        <v>1490</v>
      </c>
      <c r="M20" s="267">
        <f>'P NP TAMBAK KAB'!BD16/1000</f>
        <v>0</v>
      </c>
      <c r="N20" s="267">
        <f>'P NP TAMBAK KAB'!AZ16/1000</f>
        <v>0</v>
      </c>
      <c r="O20" s="267">
        <f>'P NP TAMBAK KAB'!BF16/1000</f>
        <v>0</v>
      </c>
      <c r="P20" s="267">
        <f>'P NP TAMBAK KAB'!BB16/1000</f>
        <v>1490</v>
      </c>
      <c r="Q20" s="267">
        <f>'P NP TAMBAK KAB'!BH16/1000</f>
        <v>0</v>
      </c>
      <c r="R20" s="267">
        <f>'P NP TAMBAK KAB'!BL16/1000</f>
        <v>0</v>
      </c>
      <c r="S20" s="267">
        <f>'P NP TAMBAK KAB'!T16/1000</f>
        <v>0</v>
      </c>
      <c r="T20" s="267">
        <f>'P NP TAMBAK KAB'!BT16/1000</f>
        <v>0</v>
      </c>
      <c r="U20" s="820">
        <f>'P NP TAMBAK KAB'!N16/1000</f>
        <v>0</v>
      </c>
      <c r="W20" s="264">
        <f t="shared" si="4"/>
        <v>1490</v>
      </c>
      <c r="X20" s="267">
        <f>'P NP TW'!P17/1000</f>
        <v>385</v>
      </c>
      <c r="Y20" s="267">
        <f>'P NP TW'!R17/1000</f>
        <v>370</v>
      </c>
      <c r="Z20" s="267">
        <f>'P NP TW'!T17/1000</f>
        <v>360</v>
      </c>
      <c r="AA20" s="268">
        <f>'P NP TW'!V17/1000</f>
        <v>375</v>
      </c>
    </row>
    <row r="21" spans="1:27">
      <c r="A21" s="346" t="s">
        <v>130</v>
      </c>
      <c r="B21" s="267">
        <f t="shared" si="2"/>
        <v>0</v>
      </c>
      <c r="C21" s="267">
        <f t="shared" si="3"/>
        <v>0</v>
      </c>
      <c r="D21" s="267">
        <f>SUM('P NP TAMBAK KAB'!$X17,'P NP TAMBAK KAB'!$Z17)/1000</f>
        <v>0</v>
      </c>
      <c r="E21" s="267">
        <f>'P NP TAMBAK KAB'!AL17/1000</f>
        <v>0</v>
      </c>
      <c r="F21" s="267">
        <f>'P NP TAMBAK KAB'!AT17/1000</f>
        <v>0</v>
      </c>
      <c r="G21" s="267">
        <f>'P NP TAMBAK KAB'!R17/1000</f>
        <v>0</v>
      </c>
      <c r="H21" s="267">
        <f>'P NP TAMBAK KAB'!D17/1000</f>
        <v>0</v>
      </c>
      <c r="I21" s="267">
        <f>'P NP TAMBAK KAB'!AN17/1000</f>
        <v>0</v>
      </c>
      <c r="J21" s="267">
        <f>'P NP TAMBAK KAB'!H17/1000</f>
        <v>0</v>
      </c>
      <c r="K21" s="268">
        <f>SUM('P NP TAMBAK KAB'!BP17,'P NP TAMBAK KAB'!BV17,'P NP TAMBAK KAB'!AV17)/1000</f>
        <v>0</v>
      </c>
      <c r="L21" s="264">
        <f t="shared" si="1"/>
        <v>0</v>
      </c>
      <c r="M21" s="267">
        <f>'P NP TAMBAK KAB'!BD17/1000</f>
        <v>0</v>
      </c>
      <c r="N21" s="267">
        <f>'P NP TAMBAK KAB'!AZ17/1000</f>
        <v>0</v>
      </c>
      <c r="O21" s="267">
        <f>'P NP TAMBAK KAB'!BF17/1000</f>
        <v>0</v>
      </c>
      <c r="P21" s="267">
        <f>'P NP TAMBAK KAB'!BB17/1000</f>
        <v>0</v>
      </c>
      <c r="Q21" s="267">
        <f>'P NP TAMBAK KAB'!BH17/1000</f>
        <v>0</v>
      </c>
      <c r="R21" s="267">
        <f>'P NP TAMBAK KAB'!BL17/1000</f>
        <v>0</v>
      </c>
      <c r="S21" s="267">
        <f>'P NP TAMBAK KAB'!T17/1000</f>
        <v>0</v>
      </c>
      <c r="T21" s="267">
        <f>'P NP TAMBAK KAB'!BT17/1000</f>
        <v>0</v>
      </c>
      <c r="U21" s="820">
        <f>'P NP TAMBAK KAB'!N17/1000</f>
        <v>0</v>
      </c>
      <c r="W21" s="264">
        <f t="shared" si="4"/>
        <v>0</v>
      </c>
      <c r="X21" s="267">
        <f>'P NP TW'!P18/1000</f>
        <v>0</v>
      </c>
      <c r="Y21" s="267">
        <f>'P NP TW'!R18/1000</f>
        <v>0</v>
      </c>
      <c r="Z21" s="267">
        <f>'P NP TW'!T18/1000</f>
        <v>0</v>
      </c>
      <c r="AA21" s="268">
        <f>'P NP TW'!V18/1000</f>
        <v>0</v>
      </c>
    </row>
    <row r="22" spans="1:27">
      <c r="A22" s="346" t="s">
        <v>131</v>
      </c>
      <c r="B22" s="267">
        <f t="shared" si="2"/>
        <v>0</v>
      </c>
      <c r="C22" s="267">
        <f t="shared" si="3"/>
        <v>0</v>
      </c>
      <c r="D22" s="267">
        <f>SUM('P NP TAMBAK KAB'!$X18,'P NP TAMBAK KAB'!$Z18)/1000</f>
        <v>0</v>
      </c>
      <c r="E22" s="267">
        <f>'P NP TAMBAK KAB'!AL18/1000</f>
        <v>0</v>
      </c>
      <c r="F22" s="267">
        <f>'P NP TAMBAK KAB'!AT18/1000</f>
        <v>0</v>
      </c>
      <c r="G22" s="267">
        <f>'P NP TAMBAK KAB'!R18/1000</f>
        <v>0</v>
      </c>
      <c r="H22" s="267">
        <f>'P NP TAMBAK KAB'!D18/1000</f>
        <v>0</v>
      </c>
      <c r="I22" s="267">
        <f>'P NP TAMBAK KAB'!AN18/1000</f>
        <v>0</v>
      </c>
      <c r="J22" s="267">
        <f>'P NP TAMBAK KAB'!H18/1000</f>
        <v>0</v>
      </c>
      <c r="K22" s="268">
        <f>SUM('P NP TAMBAK KAB'!BP18,'P NP TAMBAK KAB'!BV18,'P NP TAMBAK KAB'!AV18)/1000</f>
        <v>0</v>
      </c>
      <c r="L22" s="264">
        <f t="shared" si="1"/>
        <v>0</v>
      </c>
      <c r="M22" s="267">
        <f>'P NP TAMBAK KAB'!BD18/1000</f>
        <v>0</v>
      </c>
      <c r="N22" s="267">
        <f>'P NP TAMBAK KAB'!AZ18/1000</f>
        <v>0</v>
      </c>
      <c r="O22" s="267">
        <f>'P NP TAMBAK KAB'!BF18/1000</f>
        <v>0</v>
      </c>
      <c r="P22" s="267">
        <f>'P NP TAMBAK KAB'!BB18/1000</f>
        <v>0</v>
      </c>
      <c r="Q22" s="267">
        <f>'P NP TAMBAK KAB'!BH18/1000</f>
        <v>0</v>
      </c>
      <c r="R22" s="267">
        <f>'P NP TAMBAK KAB'!BL18/1000</f>
        <v>0</v>
      </c>
      <c r="S22" s="267">
        <f>'P NP TAMBAK KAB'!T18/1000</f>
        <v>0</v>
      </c>
      <c r="T22" s="267">
        <f>'P NP TAMBAK KAB'!BT18/1000</f>
        <v>0</v>
      </c>
      <c r="U22" s="820">
        <f>'P NP TAMBAK KAB'!N18/1000</f>
        <v>0</v>
      </c>
      <c r="W22" s="264">
        <f t="shared" si="4"/>
        <v>0</v>
      </c>
      <c r="X22" s="267">
        <f>'P NP TW'!P19/1000</f>
        <v>0</v>
      </c>
      <c r="Y22" s="267">
        <f>'P NP TW'!R19/1000</f>
        <v>0</v>
      </c>
      <c r="Z22" s="267">
        <f>'P NP TW'!T19/1000</f>
        <v>0</v>
      </c>
      <c r="AA22" s="268">
        <f>'P NP TW'!V19/1000</f>
        <v>0</v>
      </c>
    </row>
    <row r="23" spans="1:27">
      <c r="A23" s="346" t="s">
        <v>118</v>
      </c>
      <c r="B23" s="267">
        <f t="shared" si="2"/>
        <v>1640</v>
      </c>
      <c r="C23" s="267">
        <f t="shared" si="3"/>
        <v>0</v>
      </c>
      <c r="D23" s="267">
        <f>SUM('P NP TAMBAK KAB'!$X19,'P NP TAMBAK KAB'!$Z19)/1000</f>
        <v>0</v>
      </c>
      <c r="E23" s="267">
        <f>'P NP TAMBAK KAB'!AL19/1000</f>
        <v>0</v>
      </c>
      <c r="F23" s="267">
        <f>'P NP TAMBAK KAB'!AT19/1000</f>
        <v>0</v>
      </c>
      <c r="G23" s="267">
        <f>'P NP TAMBAK KAB'!R19/1000</f>
        <v>0</v>
      </c>
      <c r="H23" s="267">
        <f>'P NP TAMBAK KAB'!D19/1000</f>
        <v>0</v>
      </c>
      <c r="I23" s="267">
        <f>'P NP TAMBAK KAB'!AN19/1000</f>
        <v>0</v>
      </c>
      <c r="J23" s="267">
        <f>'P NP TAMBAK KAB'!H19/1000</f>
        <v>0</v>
      </c>
      <c r="K23" s="268">
        <f>SUM('P NP TAMBAK KAB'!BP19,'P NP TAMBAK KAB'!BV19,'P NP TAMBAK KAB'!AV19)/1000</f>
        <v>0</v>
      </c>
      <c r="L23" s="264">
        <f t="shared" si="1"/>
        <v>1640</v>
      </c>
      <c r="M23" s="267">
        <f>'P NP TAMBAK KAB'!BD19/1000</f>
        <v>0</v>
      </c>
      <c r="N23" s="267">
        <f>'P NP TAMBAK KAB'!AZ19/1000</f>
        <v>105</v>
      </c>
      <c r="O23" s="267">
        <f>'P NP TAMBAK KAB'!BF19/1000</f>
        <v>0</v>
      </c>
      <c r="P23" s="267">
        <f>'P NP TAMBAK KAB'!BB19/1000</f>
        <v>1535</v>
      </c>
      <c r="Q23" s="267">
        <f>'P NP TAMBAK KAB'!BH19/1000</f>
        <v>0</v>
      </c>
      <c r="R23" s="267">
        <f>'P NP TAMBAK KAB'!BL19/1000</f>
        <v>0</v>
      </c>
      <c r="S23" s="267">
        <f>'P NP TAMBAK KAB'!T19/1000</f>
        <v>0</v>
      </c>
      <c r="T23" s="267">
        <f>'P NP TAMBAK KAB'!BT19/1000</f>
        <v>0</v>
      </c>
      <c r="U23" s="820">
        <f>'P NP TAMBAK KAB'!N19/1000</f>
        <v>0</v>
      </c>
      <c r="W23" s="264">
        <f t="shared" si="4"/>
        <v>1640</v>
      </c>
      <c r="X23" s="267">
        <f>'P NP TW'!P20/1000</f>
        <v>310</v>
      </c>
      <c r="Y23" s="267">
        <f>'P NP TW'!R20/1000</f>
        <v>435</v>
      </c>
      <c r="Z23" s="267">
        <f>'P NP TW'!T20/1000</f>
        <v>425</v>
      </c>
      <c r="AA23" s="268">
        <f>'P NP TW'!V20/1000</f>
        <v>470</v>
      </c>
    </row>
    <row r="24" spans="1:27">
      <c r="A24" s="346" t="s">
        <v>127</v>
      </c>
      <c r="B24" s="267">
        <f t="shared" si="2"/>
        <v>0</v>
      </c>
      <c r="C24" s="267">
        <f t="shared" si="3"/>
        <v>0</v>
      </c>
      <c r="D24" s="267">
        <f>SUM('P NP TAMBAK KAB'!$X20,'P NP TAMBAK KAB'!$Z20)/1000</f>
        <v>0</v>
      </c>
      <c r="E24" s="267">
        <f>'P NP TAMBAK KAB'!AL20/1000</f>
        <v>0</v>
      </c>
      <c r="F24" s="267">
        <f>'P NP TAMBAK KAB'!AT20/1000</f>
        <v>0</v>
      </c>
      <c r="G24" s="267">
        <f>'P NP TAMBAK KAB'!R20/1000</f>
        <v>0</v>
      </c>
      <c r="H24" s="267">
        <f>'P NP TAMBAK KAB'!D20/1000</f>
        <v>0</v>
      </c>
      <c r="I24" s="267">
        <f>'P NP TAMBAK KAB'!AN20/1000</f>
        <v>0</v>
      </c>
      <c r="J24" s="267">
        <f>'P NP TAMBAK KAB'!H20/1000</f>
        <v>0</v>
      </c>
      <c r="K24" s="268">
        <f>SUM('P NP TAMBAK KAB'!BP20,'P NP TAMBAK KAB'!BV20,'P NP TAMBAK KAB'!AV20)/1000</f>
        <v>0</v>
      </c>
      <c r="L24" s="264">
        <f t="shared" si="1"/>
        <v>0</v>
      </c>
      <c r="M24" s="267">
        <f>'P NP TAMBAK KAB'!BD20/1000</f>
        <v>0</v>
      </c>
      <c r="N24" s="267">
        <f>'P NP TAMBAK KAB'!AZ20/1000</f>
        <v>0</v>
      </c>
      <c r="O24" s="267">
        <f>'P NP TAMBAK KAB'!BF20/1000</f>
        <v>0</v>
      </c>
      <c r="P24" s="267">
        <f>'P NP TAMBAK KAB'!BB20/1000</f>
        <v>0</v>
      </c>
      <c r="Q24" s="267">
        <f>'P NP TAMBAK KAB'!BH20/1000</f>
        <v>0</v>
      </c>
      <c r="R24" s="267">
        <f>'P NP TAMBAK KAB'!BL20/1000</f>
        <v>0</v>
      </c>
      <c r="S24" s="267">
        <f>'P NP TAMBAK KAB'!T20/1000</f>
        <v>0</v>
      </c>
      <c r="T24" s="267">
        <f>'P NP TAMBAK KAB'!BT20/1000</f>
        <v>0</v>
      </c>
      <c r="U24" s="820">
        <f>'P NP TAMBAK KAB'!N20/1000</f>
        <v>0</v>
      </c>
      <c r="W24" s="264">
        <f t="shared" si="4"/>
        <v>0</v>
      </c>
      <c r="X24" s="267">
        <f>'P NP TW'!P21/1000</f>
        <v>0</v>
      </c>
      <c r="Y24" s="267">
        <f>'P NP TW'!R21/1000</f>
        <v>0</v>
      </c>
      <c r="Z24" s="267">
        <f>'P NP TW'!T21/1000</f>
        <v>0</v>
      </c>
      <c r="AA24" s="268">
        <f>'P NP TW'!V21/1000</f>
        <v>0</v>
      </c>
    </row>
    <row r="25" spans="1:27">
      <c r="A25" s="346" t="s">
        <v>129</v>
      </c>
      <c r="B25" s="267">
        <f t="shared" si="2"/>
        <v>0</v>
      </c>
      <c r="C25" s="267">
        <f t="shared" si="3"/>
        <v>0</v>
      </c>
      <c r="D25" s="267">
        <f>SUM('P NP TAMBAK KAB'!$X21,'P NP TAMBAK KAB'!$Z21)/1000</f>
        <v>0</v>
      </c>
      <c r="E25" s="267">
        <f>'P NP TAMBAK KAB'!AL21/1000</f>
        <v>0</v>
      </c>
      <c r="F25" s="267">
        <f>'P NP TAMBAK KAB'!AT21/1000</f>
        <v>0</v>
      </c>
      <c r="G25" s="267">
        <f>'P NP TAMBAK KAB'!R21/1000</f>
        <v>0</v>
      </c>
      <c r="H25" s="267">
        <f>'P NP TAMBAK KAB'!D21/1000</f>
        <v>0</v>
      </c>
      <c r="I25" s="267">
        <f>'P NP TAMBAK KAB'!AN21/1000</f>
        <v>0</v>
      </c>
      <c r="J25" s="267">
        <f>'P NP TAMBAK KAB'!H21/1000</f>
        <v>0</v>
      </c>
      <c r="K25" s="268">
        <f>SUM('P NP TAMBAK KAB'!BP21,'P NP TAMBAK KAB'!BV21,'P NP TAMBAK KAB'!AV21)/1000</f>
        <v>0</v>
      </c>
      <c r="L25" s="264">
        <f t="shared" si="1"/>
        <v>0</v>
      </c>
      <c r="M25" s="267">
        <f>'P NP TAMBAK KAB'!BD21/1000</f>
        <v>0</v>
      </c>
      <c r="N25" s="267">
        <f>'P NP TAMBAK KAB'!AZ21/1000</f>
        <v>0</v>
      </c>
      <c r="O25" s="267">
        <f>'P NP TAMBAK KAB'!BF21/1000</f>
        <v>0</v>
      </c>
      <c r="P25" s="267">
        <f>'P NP TAMBAK KAB'!BB21/1000</f>
        <v>0</v>
      </c>
      <c r="Q25" s="267">
        <f>'P NP TAMBAK KAB'!BH21/1000</f>
        <v>0</v>
      </c>
      <c r="R25" s="267">
        <f>'P NP TAMBAK KAB'!BL21/1000</f>
        <v>0</v>
      </c>
      <c r="S25" s="267">
        <f>'P NP TAMBAK KAB'!T21/1000</f>
        <v>0</v>
      </c>
      <c r="T25" s="267">
        <f>'P NP TAMBAK KAB'!BT21/1000</f>
        <v>0</v>
      </c>
      <c r="U25" s="820">
        <f>'P NP TAMBAK KAB'!N21/1000</f>
        <v>0</v>
      </c>
      <c r="W25" s="264">
        <f t="shared" si="4"/>
        <v>0</v>
      </c>
      <c r="X25" s="267">
        <f>'P NP TW'!P22/1000</f>
        <v>0</v>
      </c>
      <c r="Y25" s="267">
        <f>'P NP TW'!R22/1000</f>
        <v>0</v>
      </c>
      <c r="Z25" s="267">
        <f>'P NP TW'!T22/1000</f>
        <v>0</v>
      </c>
      <c r="AA25" s="268">
        <f>'P NP TW'!V22/1000</f>
        <v>0</v>
      </c>
    </row>
    <row r="26" spans="1:27">
      <c r="A26" s="346" t="s">
        <v>132</v>
      </c>
      <c r="B26" s="267">
        <f t="shared" si="2"/>
        <v>0</v>
      </c>
      <c r="C26" s="267">
        <f t="shared" si="3"/>
        <v>0</v>
      </c>
      <c r="D26" s="267">
        <f>SUM('P NP TAMBAK KAB'!$X22,'P NP TAMBAK KAB'!$Z22)/1000</f>
        <v>0</v>
      </c>
      <c r="E26" s="267">
        <f>'P NP TAMBAK KAB'!AL22/1000</f>
        <v>0</v>
      </c>
      <c r="F26" s="267">
        <f>'P NP TAMBAK KAB'!AT22/1000</f>
        <v>0</v>
      </c>
      <c r="G26" s="267">
        <f>'P NP TAMBAK KAB'!R22/1000</f>
        <v>0</v>
      </c>
      <c r="H26" s="267">
        <f>'P NP TAMBAK KAB'!D22/1000</f>
        <v>0</v>
      </c>
      <c r="I26" s="267">
        <f>'P NP TAMBAK KAB'!AN22/1000</f>
        <v>0</v>
      </c>
      <c r="J26" s="267">
        <f>'P NP TAMBAK KAB'!H22/1000</f>
        <v>0</v>
      </c>
      <c r="K26" s="268">
        <f>SUM('P NP TAMBAK KAB'!BP22,'P NP TAMBAK KAB'!BV22,'P NP TAMBAK KAB'!AV22)/1000</f>
        <v>0</v>
      </c>
      <c r="L26" s="264">
        <f t="shared" si="1"/>
        <v>0</v>
      </c>
      <c r="M26" s="267">
        <f>'P NP TAMBAK KAB'!BD22/1000</f>
        <v>0</v>
      </c>
      <c r="N26" s="267">
        <f>'P NP TAMBAK KAB'!AZ22/1000</f>
        <v>0</v>
      </c>
      <c r="O26" s="267">
        <f>'P NP TAMBAK KAB'!BF22/1000</f>
        <v>0</v>
      </c>
      <c r="P26" s="267">
        <f>'P NP TAMBAK KAB'!BB22/1000</f>
        <v>0</v>
      </c>
      <c r="Q26" s="267">
        <f>'P NP TAMBAK KAB'!BH22/1000</f>
        <v>0</v>
      </c>
      <c r="R26" s="267">
        <f>'P NP TAMBAK KAB'!BL22/1000</f>
        <v>0</v>
      </c>
      <c r="S26" s="267">
        <f>'P NP TAMBAK KAB'!T22/1000</f>
        <v>0</v>
      </c>
      <c r="T26" s="267">
        <f>'P NP TAMBAK KAB'!BT22/1000</f>
        <v>0</v>
      </c>
      <c r="U26" s="820">
        <f>'P NP TAMBAK KAB'!N22/1000</f>
        <v>0</v>
      </c>
      <c r="W26" s="264">
        <f t="shared" si="4"/>
        <v>0</v>
      </c>
      <c r="X26" s="267">
        <f>'P NP TW'!P23/1000</f>
        <v>0</v>
      </c>
      <c r="Y26" s="267">
        <f>'P NP TW'!R23/1000</f>
        <v>0</v>
      </c>
      <c r="Z26" s="267">
        <f>'P NP TW'!T23/1000</f>
        <v>0</v>
      </c>
      <c r="AA26" s="268">
        <f>'P NP TW'!V23/1000</f>
        <v>0</v>
      </c>
    </row>
    <row r="27" spans="1:27">
      <c r="A27" s="346" t="s">
        <v>112</v>
      </c>
      <c r="B27" s="267">
        <f t="shared" si="2"/>
        <v>1732.575</v>
      </c>
      <c r="C27" s="267">
        <f t="shared" si="3"/>
        <v>0</v>
      </c>
      <c r="D27" s="267">
        <f>SUM('P NP TAMBAK KAB'!$X23,'P NP TAMBAK KAB'!$Z23)/1000</f>
        <v>0</v>
      </c>
      <c r="E27" s="267">
        <f>'P NP TAMBAK KAB'!AL23/1000</f>
        <v>0</v>
      </c>
      <c r="F27" s="267">
        <f>'P NP TAMBAK KAB'!AT23/1000</f>
        <v>0</v>
      </c>
      <c r="G27" s="267">
        <f>'P NP TAMBAK KAB'!R23/1000</f>
        <v>0</v>
      </c>
      <c r="H27" s="267">
        <f>'P NP TAMBAK KAB'!D23/1000</f>
        <v>0</v>
      </c>
      <c r="I27" s="267">
        <f>'P NP TAMBAK KAB'!AN23/1000</f>
        <v>0</v>
      </c>
      <c r="J27" s="267">
        <f>'P NP TAMBAK KAB'!H23/1000</f>
        <v>0</v>
      </c>
      <c r="K27" s="268">
        <f>SUM('P NP TAMBAK KAB'!BP23,'P NP TAMBAK KAB'!BV23,'P NP TAMBAK KAB'!AV23)/1000</f>
        <v>0</v>
      </c>
      <c r="L27" s="264">
        <f t="shared" si="1"/>
        <v>1732.575</v>
      </c>
      <c r="M27" s="267">
        <f>'P NP TAMBAK KAB'!BD23/1000</f>
        <v>0</v>
      </c>
      <c r="N27" s="267">
        <f>'P NP TAMBAK KAB'!AZ23/1000</f>
        <v>0</v>
      </c>
      <c r="O27" s="267">
        <f>'P NP TAMBAK KAB'!BF23/1000</f>
        <v>0</v>
      </c>
      <c r="P27" s="267">
        <f>'P NP TAMBAK KAB'!BB23/1000</f>
        <v>1731.9739999999999</v>
      </c>
      <c r="Q27" s="267">
        <f>'P NP TAMBAK KAB'!BH23/1000</f>
        <v>0</v>
      </c>
      <c r="R27" s="267">
        <f>'P NP TAMBAK KAB'!BL23/1000</f>
        <v>0</v>
      </c>
      <c r="S27" s="267">
        <f>'P NP TAMBAK KAB'!T23/1000</f>
        <v>0.60099999999999998</v>
      </c>
      <c r="T27" s="267">
        <f>'P NP TAMBAK KAB'!BT23/1000</f>
        <v>0</v>
      </c>
      <c r="U27" s="820">
        <f>'P NP TAMBAK KAB'!N23/1000</f>
        <v>0</v>
      </c>
      <c r="W27" s="264">
        <f t="shared" si="4"/>
        <v>1732.575</v>
      </c>
      <c r="X27" s="267">
        <f>'P NP TW'!P24/1000</f>
        <v>385.52100000000002</v>
      </c>
      <c r="Y27" s="267">
        <f>'P NP TW'!R24/1000</f>
        <v>354.589</v>
      </c>
      <c r="Z27" s="267">
        <f>'P NP TW'!T24/1000</f>
        <v>496.82100000000003</v>
      </c>
      <c r="AA27" s="268">
        <f>'P NP TW'!V24/1000</f>
        <v>495.64400000000001</v>
      </c>
    </row>
    <row r="28" spans="1:27">
      <c r="A28" s="346" t="s">
        <v>139</v>
      </c>
      <c r="B28" s="267">
        <f t="shared" si="2"/>
        <v>515.64300000000003</v>
      </c>
      <c r="C28" s="267">
        <f t="shared" si="3"/>
        <v>3.2429999999999999</v>
      </c>
      <c r="D28" s="267">
        <f>SUM('P NP TAMBAK KAB'!$X24,'P NP TAMBAK KAB'!$Z24)/1000</f>
        <v>0</v>
      </c>
      <c r="E28" s="267">
        <f>'P NP TAMBAK KAB'!AL24/1000</f>
        <v>0</v>
      </c>
      <c r="F28" s="267">
        <f>'P NP TAMBAK KAB'!AT24/1000</f>
        <v>0</v>
      </c>
      <c r="G28" s="267">
        <f>'P NP TAMBAK KAB'!R24/1000</f>
        <v>0</v>
      </c>
      <c r="H28" s="267">
        <f>'P NP TAMBAK KAB'!D24/1000</f>
        <v>3.2429999999999999</v>
      </c>
      <c r="I28" s="267">
        <f>'P NP TAMBAK KAB'!AN24/1000</f>
        <v>0</v>
      </c>
      <c r="J28" s="267">
        <f>'P NP TAMBAK KAB'!H24/1000</f>
        <v>0</v>
      </c>
      <c r="K28" s="268">
        <f>SUM('P NP TAMBAK KAB'!BP24,'P NP TAMBAK KAB'!BV24,'P NP TAMBAK KAB'!AV24)/1000</f>
        <v>0</v>
      </c>
      <c r="L28" s="264">
        <f t="shared" si="1"/>
        <v>512.4</v>
      </c>
      <c r="M28" s="267">
        <f>'P NP TAMBAK KAB'!BD24/1000</f>
        <v>0</v>
      </c>
      <c r="N28" s="267">
        <f>'P NP TAMBAK KAB'!AZ24/1000</f>
        <v>0</v>
      </c>
      <c r="O28" s="267">
        <f>'P NP TAMBAK KAB'!BF24/1000</f>
        <v>0</v>
      </c>
      <c r="P28" s="267">
        <f>'P NP TAMBAK KAB'!BB24/1000</f>
        <v>512.4</v>
      </c>
      <c r="Q28" s="267">
        <f>'P NP TAMBAK KAB'!BH24/1000</f>
        <v>0</v>
      </c>
      <c r="R28" s="267">
        <f>'P NP TAMBAK KAB'!BL24/1000</f>
        <v>0</v>
      </c>
      <c r="S28" s="267">
        <f>'P NP TAMBAK KAB'!T24/1000</f>
        <v>0</v>
      </c>
      <c r="T28" s="267">
        <f>'P NP TAMBAK KAB'!BT24/1000</f>
        <v>0</v>
      </c>
      <c r="U28" s="820">
        <f>'P NP TAMBAK KAB'!N24/1000</f>
        <v>0</v>
      </c>
      <c r="W28" s="264">
        <f t="shared" si="4"/>
        <v>515.64300000000003</v>
      </c>
      <c r="X28" s="267">
        <f>'P NP TW'!P25/1000</f>
        <v>142.429</v>
      </c>
      <c r="Y28" s="267">
        <f>'P NP TW'!R25/1000</f>
        <v>96.108999999999995</v>
      </c>
      <c r="Z28" s="267">
        <f>'P NP TW'!T25/1000</f>
        <v>111.994</v>
      </c>
      <c r="AA28" s="268">
        <f>'P NP TW'!V25/1000</f>
        <v>165.11099999999999</v>
      </c>
    </row>
    <row r="29" spans="1:27">
      <c r="A29" s="346" t="s">
        <v>125</v>
      </c>
      <c r="B29" s="267">
        <f t="shared" si="2"/>
        <v>9211.0027800000025</v>
      </c>
      <c r="C29" s="267">
        <f t="shared" si="3"/>
        <v>4969.033550000001</v>
      </c>
      <c r="D29" s="267">
        <f>SUM('P NP TAMBAK KAB'!$X25,'P NP TAMBAK KAB'!$Z25)/1000</f>
        <v>0</v>
      </c>
      <c r="E29" s="267">
        <f>'P NP TAMBAK KAB'!AL25/1000</f>
        <v>0</v>
      </c>
      <c r="F29" s="267">
        <f>'P NP TAMBAK KAB'!AT25/1000</f>
        <v>0</v>
      </c>
      <c r="G29" s="267">
        <f>'P NP TAMBAK KAB'!R25/1000</f>
        <v>0</v>
      </c>
      <c r="H29" s="267">
        <f>'P NP TAMBAK KAB'!D25/1000</f>
        <v>4701.8526500000007</v>
      </c>
      <c r="I29" s="267">
        <f>'P NP TAMBAK KAB'!AN25/1000</f>
        <v>267.18089999999995</v>
      </c>
      <c r="J29" s="267">
        <f>'P NP TAMBAK KAB'!H25/1000</f>
        <v>0</v>
      </c>
      <c r="K29" s="268">
        <f>SUM('P NP TAMBAK KAB'!BP25,'P NP TAMBAK KAB'!BV25,'P NP TAMBAK KAB'!AV25)/1000</f>
        <v>0</v>
      </c>
      <c r="L29" s="264">
        <f t="shared" si="1"/>
        <v>4241.9692300000006</v>
      </c>
      <c r="M29" s="267">
        <f>'P NP TAMBAK KAB'!BD25/1000</f>
        <v>31.873879999999993</v>
      </c>
      <c r="N29" s="267">
        <f>'P NP TAMBAK KAB'!AZ25/1000</f>
        <v>0</v>
      </c>
      <c r="O29" s="267">
        <f>'P NP TAMBAK KAB'!BF25/1000</f>
        <v>0</v>
      </c>
      <c r="P29" s="267">
        <f>'P NP TAMBAK KAB'!BB25/1000</f>
        <v>1036.78449</v>
      </c>
      <c r="Q29" s="267">
        <f>'P NP TAMBAK KAB'!BH25/1000</f>
        <v>0</v>
      </c>
      <c r="R29" s="267">
        <f>'P NP TAMBAK KAB'!BL25/1000</f>
        <v>0</v>
      </c>
      <c r="S29" s="267">
        <f>'P NP TAMBAK KAB'!T25/1000</f>
        <v>0</v>
      </c>
      <c r="T29" s="267">
        <f>'P NP TAMBAK KAB'!BT25/1000</f>
        <v>0</v>
      </c>
      <c r="U29" s="820">
        <f>'P NP TAMBAK KAB'!N25/1000</f>
        <v>3173.31086</v>
      </c>
      <c r="W29" s="264">
        <f t="shared" si="4"/>
        <v>9211.0027799999989</v>
      </c>
      <c r="X29" s="267">
        <f>'P NP TW'!P26/1000</f>
        <v>1847.0431599999997</v>
      </c>
      <c r="Y29" s="267">
        <f>'P NP TW'!R26/1000</f>
        <v>1811.6062500000003</v>
      </c>
      <c r="Z29" s="267">
        <f>'P NP TW'!T26/1000</f>
        <v>2969.4826600000001</v>
      </c>
      <c r="AA29" s="268">
        <f>'P NP TW'!V26/1000</f>
        <v>2582.8707100000001</v>
      </c>
    </row>
    <row r="30" spans="1:27">
      <c r="A30" s="346" t="s">
        <v>113</v>
      </c>
      <c r="B30" s="267">
        <f t="shared" si="2"/>
        <v>0</v>
      </c>
      <c r="C30" s="267">
        <f t="shared" si="3"/>
        <v>0</v>
      </c>
      <c r="D30" s="267">
        <f>SUM('P NP TAMBAK KAB'!$X26,'P NP TAMBAK KAB'!$Z26)/1000</f>
        <v>0</v>
      </c>
      <c r="E30" s="267">
        <f>'P NP TAMBAK KAB'!AL26/1000</f>
        <v>0</v>
      </c>
      <c r="F30" s="267">
        <f>'P NP TAMBAK KAB'!AT26/1000</f>
        <v>0</v>
      </c>
      <c r="G30" s="267">
        <f>'P NP TAMBAK KAB'!R26/1000</f>
        <v>0</v>
      </c>
      <c r="H30" s="267">
        <f>'P NP TAMBAK KAB'!D26/1000</f>
        <v>0</v>
      </c>
      <c r="I30" s="267">
        <f>'P NP TAMBAK KAB'!AN26/1000</f>
        <v>0</v>
      </c>
      <c r="J30" s="267">
        <f>'P NP TAMBAK KAB'!H26/1000</f>
        <v>0</v>
      </c>
      <c r="K30" s="268">
        <f>SUM('P NP TAMBAK KAB'!BP26,'P NP TAMBAK KAB'!BV26,'P NP TAMBAK KAB'!AV26)/1000</f>
        <v>0</v>
      </c>
      <c r="L30" s="264">
        <f t="shared" si="1"/>
        <v>0</v>
      </c>
      <c r="M30" s="267">
        <f>'P NP TAMBAK KAB'!BD26/1000</f>
        <v>0</v>
      </c>
      <c r="N30" s="267">
        <f>'P NP TAMBAK KAB'!AZ26/1000</f>
        <v>0</v>
      </c>
      <c r="O30" s="267">
        <f>'P NP TAMBAK KAB'!BF26/1000</f>
        <v>0</v>
      </c>
      <c r="P30" s="267">
        <f>'P NP TAMBAK KAB'!BB26/1000</f>
        <v>0</v>
      </c>
      <c r="Q30" s="267">
        <f>'P NP TAMBAK KAB'!BH26/1000</f>
        <v>0</v>
      </c>
      <c r="R30" s="267">
        <f>'P NP TAMBAK KAB'!BL26/1000</f>
        <v>0</v>
      </c>
      <c r="S30" s="267">
        <f>'P NP TAMBAK KAB'!T26/1000</f>
        <v>0</v>
      </c>
      <c r="T30" s="267">
        <f>'P NP TAMBAK KAB'!BT26/1000</f>
        <v>0</v>
      </c>
      <c r="U30" s="820">
        <f>'P NP TAMBAK KAB'!N26/1000</f>
        <v>0</v>
      </c>
      <c r="W30" s="264">
        <f t="shared" si="4"/>
        <v>0</v>
      </c>
      <c r="X30" s="267">
        <f>'P NP TW'!P27/1000</f>
        <v>0</v>
      </c>
      <c r="Y30" s="267">
        <f>'P NP TW'!R27/1000</f>
        <v>0</v>
      </c>
      <c r="Z30" s="267">
        <f>'P NP TW'!T27/1000</f>
        <v>0</v>
      </c>
      <c r="AA30" s="268">
        <f>'P NP TW'!V27/1000</f>
        <v>0</v>
      </c>
    </row>
    <row r="31" spans="1:27">
      <c r="A31" s="346" t="s">
        <v>124</v>
      </c>
      <c r="B31" s="267">
        <f t="shared" si="2"/>
        <v>14113.147999999999</v>
      </c>
      <c r="C31" s="267">
        <f t="shared" si="3"/>
        <v>1203.4799999999998</v>
      </c>
      <c r="D31" s="267">
        <f>SUM('P NP TAMBAK KAB'!$X27,'P NP TAMBAK KAB'!$Z27)/1000</f>
        <v>0</v>
      </c>
      <c r="E31" s="267">
        <f>'P NP TAMBAK KAB'!AL27/1000</f>
        <v>69.989999999999995</v>
      </c>
      <c r="F31" s="267">
        <f>'P NP TAMBAK KAB'!AT27/1000</f>
        <v>0</v>
      </c>
      <c r="G31" s="267">
        <f>'P NP TAMBAK KAB'!R27/1000</f>
        <v>0</v>
      </c>
      <c r="H31" s="267">
        <f>'P NP TAMBAK KAB'!D27/1000</f>
        <v>1020.4</v>
      </c>
      <c r="I31" s="267">
        <f>'P NP TAMBAK KAB'!AN27/1000</f>
        <v>27.72</v>
      </c>
      <c r="J31" s="267">
        <f>'P NP TAMBAK KAB'!H27/1000</f>
        <v>47.07</v>
      </c>
      <c r="K31" s="268">
        <f>SUM('P NP TAMBAK KAB'!BP27,'P NP TAMBAK KAB'!BV27,'P NP TAMBAK KAB'!AV27)/1000</f>
        <v>38.299999999999997</v>
      </c>
      <c r="L31" s="264">
        <f t="shared" si="1"/>
        <v>12909.668</v>
      </c>
      <c r="M31" s="267">
        <f>'P NP TAMBAK KAB'!BD27/1000</f>
        <v>0</v>
      </c>
      <c r="N31" s="267">
        <f>'P NP TAMBAK KAB'!AZ27/1000</f>
        <v>138.928</v>
      </c>
      <c r="O31" s="267">
        <f>'P NP TAMBAK KAB'!BF27/1000</f>
        <v>227.23</v>
      </c>
      <c r="P31" s="267">
        <f>'P NP TAMBAK KAB'!BB27/1000</f>
        <v>12471.84</v>
      </c>
      <c r="Q31" s="267">
        <f>'P NP TAMBAK KAB'!BH27/1000</f>
        <v>0</v>
      </c>
      <c r="R31" s="267">
        <f>'P NP TAMBAK KAB'!BL27/1000</f>
        <v>0</v>
      </c>
      <c r="S31" s="267">
        <f>'P NP TAMBAK KAB'!T27/1000</f>
        <v>71.67</v>
      </c>
      <c r="T31" s="267">
        <f>'P NP TAMBAK KAB'!BT27/1000</f>
        <v>0</v>
      </c>
      <c r="U31" s="820">
        <f>'P NP TAMBAK KAB'!N27/1000</f>
        <v>0</v>
      </c>
      <c r="W31" s="264">
        <f t="shared" si="4"/>
        <v>14113.148000000001</v>
      </c>
      <c r="X31" s="267">
        <f>'P NP TW'!P28/1000</f>
        <v>4384.1000000000004</v>
      </c>
      <c r="Y31" s="267">
        <f>'P NP TW'!R28/1000</f>
        <v>3588.3</v>
      </c>
      <c r="Z31" s="267">
        <f>'P NP TW'!T28/1000</f>
        <v>3716.8879999999999</v>
      </c>
      <c r="AA31" s="268">
        <f>'P NP TW'!V28/1000</f>
        <v>2423.86</v>
      </c>
    </row>
    <row r="32" spans="1:27">
      <c r="A32" s="346" t="s">
        <v>138</v>
      </c>
      <c r="B32" s="267">
        <f t="shared" si="2"/>
        <v>854.07899999999995</v>
      </c>
      <c r="C32" s="267">
        <f t="shared" si="3"/>
        <v>446.52899999999994</v>
      </c>
      <c r="D32" s="267">
        <f>SUM('P NP TAMBAK KAB'!$X28,'P NP TAMBAK KAB'!$Z28)/1000</f>
        <v>0</v>
      </c>
      <c r="E32" s="267">
        <f>'P NP TAMBAK KAB'!AL28/1000</f>
        <v>14.744999999999999</v>
      </c>
      <c r="F32" s="267">
        <f>'P NP TAMBAK KAB'!AT28/1000</f>
        <v>0</v>
      </c>
      <c r="G32" s="267">
        <f>'P NP TAMBAK KAB'!R28/1000</f>
        <v>2.93</v>
      </c>
      <c r="H32" s="267">
        <f>'P NP TAMBAK KAB'!D28/1000</f>
        <v>421.87599999999998</v>
      </c>
      <c r="I32" s="267">
        <f>'P NP TAMBAK KAB'!AN28/1000</f>
        <v>0</v>
      </c>
      <c r="J32" s="267">
        <f>'P NP TAMBAK KAB'!H28/1000</f>
        <v>5.5730000000000004</v>
      </c>
      <c r="K32" s="268">
        <f>SUM('P NP TAMBAK KAB'!BP28,'P NP TAMBAK KAB'!BV28,'P NP TAMBAK KAB'!AV28)/1000</f>
        <v>1.405</v>
      </c>
      <c r="L32" s="264">
        <f t="shared" si="1"/>
        <v>407.55</v>
      </c>
      <c r="M32" s="267">
        <f>'P NP TAMBAK KAB'!BD28/1000</f>
        <v>11</v>
      </c>
      <c r="N32" s="267">
        <f>'P NP TAMBAK KAB'!AZ28/1000</f>
        <v>0</v>
      </c>
      <c r="O32" s="267">
        <f>'P NP TAMBAK KAB'!BF28/1000</f>
        <v>0</v>
      </c>
      <c r="P32" s="267">
        <f>'P NP TAMBAK KAB'!BB28/1000</f>
        <v>376.08</v>
      </c>
      <c r="Q32" s="267">
        <f>'P NP TAMBAK KAB'!BH28/1000</f>
        <v>0</v>
      </c>
      <c r="R32" s="267">
        <f>'P NP TAMBAK KAB'!BL28/1000</f>
        <v>0</v>
      </c>
      <c r="S32" s="267">
        <f>'P NP TAMBAK KAB'!T28/1000</f>
        <v>0.47</v>
      </c>
      <c r="T32" s="267">
        <f>'P NP TAMBAK KAB'!BT28/1000</f>
        <v>0</v>
      </c>
      <c r="U32" s="820">
        <f>'P NP TAMBAK KAB'!N28/1000</f>
        <v>20</v>
      </c>
      <c r="W32" s="264">
        <f t="shared" si="4"/>
        <v>854.07900000000006</v>
      </c>
      <c r="X32" s="267">
        <f>'P NP TW'!P29/1000</f>
        <v>257.642</v>
      </c>
      <c r="Y32" s="267">
        <f>'P NP TW'!R29/1000</f>
        <v>302.971</v>
      </c>
      <c r="Z32" s="267">
        <f>'P NP TW'!T29/1000</f>
        <v>96.37</v>
      </c>
      <c r="AA32" s="268">
        <f>'P NP TW'!V29/1000</f>
        <v>197.096</v>
      </c>
    </row>
    <row r="33" spans="1:27">
      <c r="A33" s="346" t="s">
        <v>126</v>
      </c>
      <c r="B33" s="267">
        <f t="shared" si="2"/>
        <v>83044.521999999997</v>
      </c>
      <c r="C33" s="267">
        <f t="shared" si="3"/>
        <v>55719.367000000006</v>
      </c>
      <c r="D33" s="267">
        <f>SUM('P NP TAMBAK KAB'!$X29,'P NP TAMBAK KAB'!$Z29)/1000</f>
        <v>0</v>
      </c>
      <c r="E33" s="267">
        <f>'P NP TAMBAK KAB'!AL29/1000</f>
        <v>3415.7</v>
      </c>
      <c r="F33" s="267">
        <f>'P NP TAMBAK KAB'!AT29/1000</f>
        <v>0</v>
      </c>
      <c r="G33" s="267">
        <f>'P NP TAMBAK KAB'!R29/1000</f>
        <v>70.555999999999997</v>
      </c>
      <c r="H33" s="267">
        <f>'P NP TAMBAK KAB'!D29/1000</f>
        <v>35358</v>
      </c>
      <c r="I33" s="267">
        <f>'P NP TAMBAK KAB'!AN29/1000</f>
        <v>15712.210999999999</v>
      </c>
      <c r="J33" s="267">
        <f>'P NP TAMBAK KAB'!H29/1000</f>
        <v>0</v>
      </c>
      <c r="K33" s="268">
        <f>SUM('P NP TAMBAK KAB'!BP29,'P NP TAMBAK KAB'!BV29,'P NP TAMBAK KAB'!AV29)/1000</f>
        <v>1162.9000000000001</v>
      </c>
      <c r="L33" s="264">
        <f t="shared" si="1"/>
        <v>27325.154999999999</v>
      </c>
      <c r="M33" s="267">
        <f>'P NP TAMBAK KAB'!BD29/1000</f>
        <v>4042.5</v>
      </c>
      <c r="N33" s="267">
        <f>'P NP TAMBAK KAB'!AZ29/1000</f>
        <v>930.55</v>
      </c>
      <c r="O33" s="267">
        <f>'P NP TAMBAK KAB'!BF29/1000</f>
        <v>465.70100000000002</v>
      </c>
      <c r="P33" s="267">
        <f>'P NP TAMBAK KAB'!BB29/1000</f>
        <v>5964.0029999999997</v>
      </c>
      <c r="Q33" s="267">
        <f>'P NP TAMBAK KAB'!BH29/1000</f>
        <v>1710.001</v>
      </c>
      <c r="R33" s="267">
        <f>'P NP TAMBAK KAB'!BL29/1000</f>
        <v>0</v>
      </c>
      <c r="S33" s="267">
        <f>'P NP TAMBAK KAB'!T29/1000</f>
        <v>234.6</v>
      </c>
      <c r="T33" s="267">
        <f>'P NP TAMBAK KAB'!BT29/1000</f>
        <v>0</v>
      </c>
      <c r="U33" s="820">
        <f>'P NP TAMBAK KAB'!N29/1000</f>
        <v>13977.8</v>
      </c>
      <c r="W33" s="264">
        <f t="shared" si="4"/>
        <v>83044.521999999997</v>
      </c>
      <c r="X33" s="267">
        <f>'P NP TW'!P30/1000</f>
        <v>19097.190999999999</v>
      </c>
      <c r="Y33" s="267">
        <f>'P NP TW'!R30/1000</f>
        <v>20184.2</v>
      </c>
      <c r="Z33" s="267">
        <f>'P NP TW'!T30/1000</f>
        <v>25853.3</v>
      </c>
      <c r="AA33" s="268">
        <f>'P NP TW'!V30/1000</f>
        <v>17909.830999999998</v>
      </c>
    </row>
    <row r="34" spans="1:27">
      <c r="A34" s="346" t="s">
        <v>123</v>
      </c>
      <c r="B34" s="267">
        <f t="shared" si="2"/>
        <v>10978.224</v>
      </c>
      <c r="C34" s="267">
        <f t="shared" si="3"/>
        <v>56.222999999999999</v>
      </c>
      <c r="D34" s="267">
        <f>SUM('P NP TAMBAK KAB'!$X30,'P NP TAMBAK KAB'!$Z30)/1000</f>
        <v>0</v>
      </c>
      <c r="E34" s="267">
        <f>'P NP TAMBAK KAB'!AL30/1000</f>
        <v>0</v>
      </c>
      <c r="F34" s="267">
        <f>'P NP TAMBAK KAB'!AT30/1000</f>
        <v>0</v>
      </c>
      <c r="G34" s="267">
        <f>'P NP TAMBAK KAB'!R30/1000</f>
        <v>54.313000000000002</v>
      </c>
      <c r="H34" s="267">
        <f>'P NP TAMBAK KAB'!D30/1000</f>
        <v>1.91</v>
      </c>
      <c r="I34" s="267">
        <f>'P NP TAMBAK KAB'!AN30/1000</f>
        <v>0</v>
      </c>
      <c r="J34" s="267">
        <f>'P NP TAMBAK KAB'!H30/1000</f>
        <v>0</v>
      </c>
      <c r="K34" s="268">
        <f>SUM('P NP TAMBAK KAB'!BP30,'P NP TAMBAK KAB'!BV30,'P NP TAMBAK KAB'!AV30)/1000</f>
        <v>0</v>
      </c>
      <c r="L34" s="264">
        <f t="shared" si="1"/>
        <v>10922.001</v>
      </c>
      <c r="M34" s="267">
        <f>'P NP TAMBAK KAB'!BD30/1000</f>
        <v>0.69699999999999995</v>
      </c>
      <c r="N34" s="267">
        <f>'P NP TAMBAK KAB'!AZ30/1000</f>
        <v>0</v>
      </c>
      <c r="O34" s="267">
        <f>'P NP TAMBAK KAB'!BF30/1000</f>
        <v>0</v>
      </c>
      <c r="P34" s="267">
        <f>'P NP TAMBAK KAB'!BB30/1000</f>
        <v>10796.787</v>
      </c>
      <c r="Q34" s="267">
        <f>'P NP TAMBAK KAB'!BH30/1000</f>
        <v>0</v>
      </c>
      <c r="R34" s="267">
        <f>'P NP TAMBAK KAB'!BL30/1000</f>
        <v>0</v>
      </c>
      <c r="S34" s="267">
        <f>'P NP TAMBAK KAB'!T30/1000</f>
        <v>0</v>
      </c>
      <c r="T34" s="267">
        <f>'P NP TAMBAK KAB'!BT30/1000</f>
        <v>0</v>
      </c>
      <c r="U34" s="820">
        <f>'P NP TAMBAK KAB'!N30/1000</f>
        <v>124.517</v>
      </c>
      <c r="W34" s="264">
        <f t="shared" si="4"/>
        <v>10978.224</v>
      </c>
      <c r="X34" s="267">
        <f>'P NP TW'!P31/1000</f>
        <v>2802.6370000000002</v>
      </c>
      <c r="Y34" s="267">
        <f>'P NP TW'!R31/1000</f>
        <v>2958.002</v>
      </c>
      <c r="Z34" s="267">
        <f>'P NP TW'!T31/1000</f>
        <v>2947.9349999999999</v>
      </c>
      <c r="AA34" s="268">
        <f>'P NP TW'!V31/1000</f>
        <v>2269.65</v>
      </c>
    </row>
    <row r="35" spans="1:27">
      <c r="A35" s="346" t="s">
        <v>140</v>
      </c>
      <c r="B35" s="267">
        <f t="shared" si="2"/>
        <v>7596.0340000000006</v>
      </c>
      <c r="C35" s="267">
        <f t="shared" si="3"/>
        <v>565.827</v>
      </c>
      <c r="D35" s="267">
        <f>SUM('P NP TAMBAK KAB'!$X31,'P NP TAMBAK KAB'!$Z31)/1000</f>
        <v>0</v>
      </c>
      <c r="E35" s="267">
        <f>'P NP TAMBAK KAB'!AL31/1000</f>
        <v>0</v>
      </c>
      <c r="F35" s="267">
        <f>'P NP TAMBAK KAB'!AT31/1000</f>
        <v>0</v>
      </c>
      <c r="G35" s="267">
        <f>'P NP TAMBAK KAB'!R31/1000</f>
        <v>0</v>
      </c>
      <c r="H35" s="267">
        <f>'P NP TAMBAK KAB'!D31/1000</f>
        <v>513.76300000000003</v>
      </c>
      <c r="I35" s="267">
        <f>'P NP TAMBAK KAB'!AN31/1000</f>
        <v>52.064</v>
      </c>
      <c r="J35" s="267">
        <f>'P NP TAMBAK KAB'!H31/1000</f>
        <v>0</v>
      </c>
      <c r="K35" s="268">
        <f>SUM('P NP TAMBAK KAB'!BP31,'P NP TAMBAK KAB'!BV31,'P NP TAMBAK KAB'!AV31)/1000</f>
        <v>0</v>
      </c>
      <c r="L35" s="264">
        <f t="shared" si="1"/>
        <v>7030.2070000000003</v>
      </c>
      <c r="M35" s="267">
        <f>'P NP TAMBAK KAB'!BD31/1000</f>
        <v>0</v>
      </c>
      <c r="N35" s="267">
        <f>'P NP TAMBAK KAB'!AZ31/1000</f>
        <v>0</v>
      </c>
      <c r="O35" s="267">
        <f>'P NP TAMBAK KAB'!BF31/1000</f>
        <v>0</v>
      </c>
      <c r="P35" s="267">
        <f>'P NP TAMBAK KAB'!BB31/1000</f>
        <v>7030.2070000000003</v>
      </c>
      <c r="Q35" s="267">
        <f>'P NP TAMBAK KAB'!BH31/1000</f>
        <v>0</v>
      </c>
      <c r="R35" s="267">
        <f>'P NP TAMBAK KAB'!BL31/1000</f>
        <v>0</v>
      </c>
      <c r="S35" s="267">
        <f>'P NP TAMBAK KAB'!T31/1000</f>
        <v>0</v>
      </c>
      <c r="T35" s="267">
        <f>'P NP TAMBAK KAB'!BT31/1000</f>
        <v>0</v>
      </c>
      <c r="U35" s="820">
        <f>'P NP TAMBAK KAB'!N31/1000</f>
        <v>0</v>
      </c>
      <c r="W35" s="264">
        <f t="shared" si="4"/>
        <v>7596.0339999999997</v>
      </c>
      <c r="X35" s="267">
        <f>'P NP TW'!P32/1000</f>
        <v>1712.277</v>
      </c>
      <c r="Y35" s="267">
        <f>'P NP TW'!R32/1000</f>
        <v>1400.13</v>
      </c>
      <c r="Z35" s="267">
        <f>'P NP TW'!T32/1000</f>
        <v>2915.24</v>
      </c>
      <c r="AA35" s="268">
        <f>'P NP TW'!V32/1000</f>
        <v>1568.3869999999999</v>
      </c>
    </row>
    <row r="36" spans="1:27">
      <c r="A36" s="346" t="s">
        <v>114</v>
      </c>
      <c r="B36" s="267">
        <f t="shared" si="2"/>
        <v>273.43599999999998</v>
      </c>
      <c r="C36" s="267">
        <f t="shared" si="3"/>
        <v>0</v>
      </c>
      <c r="D36" s="267">
        <f>SUM('P NP TAMBAK KAB'!$X32,'P NP TAMBAK KAB'!$Z32)/1000</f>
        <v>0</v>
      </c>
      <c r="E36" s="267">
        <f>'P NP TAMBAK KAB'!AL32/1000</f>
        <v>0</v>
      </c>
      <c r="F36" s="267">
        <f>'P NP TAMBAK KAB'!AT32/1000</f>
        <v>0</v>
      </c>
      <c r="G36" s="267">
        <f>'P NP TAMBAK KAB'!R32/1000</f>
        <v>0</v>
      </c>
      <c r="H36" s="267">
        <f>'P NP TAMBAK KAB'!D32/1000</f>
        <v>0</v>
      </c>
      <c r="I36" s="267">
        <f>'P NP TAMBAK KAB'!AN32/1000</f>
        <v>0</v>
      </c>
      <c r="J36" s="267">
        <f>'P NP TAMBAK KAB'!H32/1000</f>
        <v>0</v>
      </c>
      <c r="K36" s="268">
        <f>SUM('P NP TAMBAK KAB'!BP32,'P NP TAMBAK KAB'!BV32,'P NP TAMBAK KAB'!AV32)/1000</f>
        <v>0</v>
      </c>
      <c r="L36" s="264">
        <f t="shared" si="1"/>
        <v>273.43599999999998</v>
      </c>
      <c r="M36" s="267">
        <f>'P NP TAMBAK KAB'!BD32/1000</f>
        <v>0</v>
      </c>
      <c r="N36" s="267">
        <f>'P NP TAMBAK KAB'!AZ32/1000</f>
        <v>0</v>
      </c>
      <c r="O36" s="267">
        <f>'P NP TAMBAK KAB'!BF32/1000</f>
        <v>0</v>
      </c>
      <c r="P36" s="267">
        <f>'P NP TAMBAK KAB'!BB32/1000</f>
        <v>246.48599999999999</v>
      </c>
      <c r="Q36" s="267">
        <f>'P NP TAMBAK KAB'!BH32/1000</f>
        <v>0</v>
      </c>
      <c r="R36" s="267">
        <f>'P NP TAMBAK KAB'!BL32/1000</f>
        <v>0</v>
      </c>
      <c r="S36" s="267">
        <f>'P NP TAMBAK KAB'!T32/1000</f>
        <v>0</v>
      </c>
      <c r="T36" s="267">
        <f>'P NP TAMBAK KAB'!BT32/1000</f>
        <v>0</v>
      </c>
      <c r="U36" s="820">
        <f>'P NP TAMBAK KAB'!N32/1000</f>
        <v>26.95</v>
      </c>
      <c r="W36" s="264">
        <f t="shared" si="4"/>
        <v>273.43600000000004</v>
      </c>
      <c r="X36" s="267">
        <f>'P NP TW'!P33/1000</f>
        <v>104.712</v>
      </c>
      <c r="Y36" s="267">
        <f>'P NP TW'!R33/1000</f>
        <v>76.281000000000006</v>
      </c>
      <c r="Z36" s="267">
        <f>'P NP TW'!T33/1000</f>
        <v>49.997</v>
      </c>
      <c r="AA36" s="268">
        <f>'P NP TW'!V33/1000</f>
        <v>42.445999999999998</v>
      </c>
    </row>
    <row r="37" spans="1:27">
      <c r="A37" s="346" t="s">
        <v>134</v>
      </c>
      <c r="B37" s="267">
        <f t="shared" si="2"/>
        <v>16478.46</v>
      </c>
      <c r="C37" s="267">
        <f t="shared" si="3"/>
        <v>8551.5</v>
      </c>
      <c r="D37" s="267">
        <f>SUM('P NP TAMBAK KAB'!$X33,'P NP TAMBAK KAB'!$Z33)/1000</f>
        <v>203.13</v>
      </c>
      <c r="E37" s="267">
        <f>'P NP TAMBAK KAB'!AL33/1000</f>
        <v>541.37</v>
      </c>
      <c r="F37" s="267">
        <f>'P NP TAMBAK KAB'!AT33/1000</f>
        <v>0</v>
      </c>
      <c r="G37" s="267">
        <f>'P NP TAMBAK KAB'!R33/1000</f>
        <v>35.4</v>
      </c>
      <c r="H37" s="267">
        <f>'P NP TAMBAK KAB'!D33/1000</f>
        <v>6012.42</v>
      </c>
      <c r="I37" s="267">
        <f>'P NP TAMBAK KAB'!AN33/1000</f>
        <v>1759.18</v>
      </c>
      <c r="J37" s="267">
        <f>'P NP TAMBAK KAB'!H33/1000</f>
        <v>0</v>
      </c>
      <c r="K37" s="268">
        <f>SUM('P NP TAMBAK KAB'!BP33,'P NP TAMBAK KAB'!BV33,'P NP TAMBAK KAB'!AV33)/1000</f>
        <v>0</v>
      </c>
      <c r="L37" s="264">
        <f t="shared" si="1"/>
        <v>7926.96</v>
      </c>
      <c r="M37" s="267">
        <f>'P NP TAMBAK KAB'!BD33/1000</f>
        <v>0</v>
      </c>
      <c r="N37" s="267">
        <f>'P NP TAMBAK KAB'!AZ33/1000</f>
        <v>0</v>
      </c>
      <c r="O37" s="267">
        <f>'P NP TAMBAK KAB'!BF33/1000</f>
        <v>0</v>
      </c>
      <c r="P37" s="267">
        <f>'P NP TAMBAK KAB'!BB33/1000</f>
        <v>7926.96</v>
      </c>
      <c r="Q37" s="267">
        <f>'P NP TAMBAK KAB'!BH33/1000</f>
        <v>0</v>
      </c>
      <c r="R37" s="267">
        <f>'P NP TAMBAK KAB'!BL33/1000</f>
        <v>0</v>
      </c>
      <c r="S37" s="267">
        <f>'P NP TAMBAK KAB'!T33/1000</f>
        <v>0</v>
      </c>
      <c r="T37" s="267">
        <f>'P NP TAMBAK KAB'!BT33/1000</f>
        <v>0</v>
      </c>
      <c r="U37" s="820">
        <f>'P NP TAMBAK KAB'!N33/1000</f>
        <v>0</v>
      </c>
      <c r="W37" s="264">
        <f t="shared" si="4"/>
        <v>16478.46</v>
      </c>
      <c r="X37" s="267">
        <f>'P NP TW'!P34/1000</f>
        <v>3851.74</v>
      </c>
      <c r="Y37" s="267">
        <f>'P NP TW'!R34/1000</f>
        <v>3179.33</v>
      </c>
      <c r="Z37" s="267">
        <f>'P NP TW'!T34/1000</f>
        <v>3481.16</v>
      </c>
      <c r="AA37" s="268">
        <f>'P NP TW'!V34/1000</f>
        <v>5966.23</v>
      </c>
    </row>
    <row r="38" spans="1:27">
      <c r="A38" s="346" t="s">
        <v>115</v>
      </c>
      <c r="B38" s="267">
        <f t="shared" si="2"/>
        <v>350</v>
      </c>
      <c r="C38" s="267">
        <f t="shared" si="3"/>
        <v>0</v>
      </c>
      <c r="D38" s="267">
        <f>SUM('P NP TAMBAK KAB'!$X34,'P NP TAMBAK KAB'!$Z34)/1000</f>
        <v>0</v>
      </c>
      <c r="E38" s="267">
        <f>'P NP TAMBAK KAB'!AL34/1000</f>
        <v>0</v>
      </c>
      <c r="F38" s="267">
        <f>'P NP TAMBAK KAB'!AT34/1000</f>
        <v>0</v>
      </c>
      <c r="G38" s="267">
        <f>'P NP TAMBAK KAB'!R34/1000</f>
        <v>0</v>
      </c>
      <c r="H38" s="267">
        <f>'P NP TAMBAK KAB'!D34/1000</f>
        <v>0</v>
      </c>
      <c r="I38" s="267">
        <f>'P NP TAMBAK KAB'!AN34/1000</f>
        <v>0</v>
      </c>
      <c r="J38" s="267">
        <f>'P NP TAMBAK KAB'!H34/1000</f>
        <v>0</v>
      </c>
      <c r="K38" s="268">
        <f>SUM('P NP TAMBAK KAB'!BP34,'P NP TAMBAK KAB'!BV34,'P NP TAMBAK KAB'!AV34)/1000</f>
        <v>0</v>
      </c>
      <c r="L38" s="264">
        <f t="shared" si="1"/>
        <v>350</v>
      </c>
      <c r="M38" s="267">
        <f>'P NP TAMBAK KAB'!BD34/1000</f>
        <v>0</v>
      </c>
      <c r="N38" s="267">
        <f>'P NP TAMBAK KAB'!AZ34/1000</f>
        <v>0</v>
      </c>
      <c r="O38" s="267">
        <f>'P NP TAMBAK KAB'!BF34/1000</f>
        <v>0</v>
      </c>
      <c r="P38" s="267">
        <f>'P NP TAMBAK KAB'!BB34/1000</f>
        <v>350</v>
      </c>
      <c r="Q38" s="267">
        <f>'P NP TAMBAK KAB'!BH34/1000</f>
        <v>0</v>
      </c>
      <c r="R38" s="267">
        <f>'P NP TAMBAK KAB'!BL34/1000</f>
        <v>0</v>
      </c>
      <c r="S38" s="267">
        <f>'P NP TAMBAK KAB'!T34/1000</f>
        <v>0</v>
      </c>
      <c r="T38" s="267">
        <f>'P NP TAMBAK KAB'!BT34/1000</f>
        <v>0</v>
      </c>
      <c r="U38" s="820">
        <f>'P NP TAMBAK KAB'!N34/1000</f>
        <v>0</v>
      </c>
      <c r="W38" s="264">
        <f t="shared" si="4"/>
        <v>350</v>
      </c>
      <c r="X38" s="267">
        <f>'P NP TW'!P35/1000</f>
        <v>0</v>
      </c>
      <c r="Y38" s="267">
        <f>'P NP TW'!R35/1000</f>
        <v>175</v>
      </c>
      <c r="Z38" s="267">
        <f>'P NP TW'!T35/1000</f>
        <v>0</v>
      </c>
      <c r="AA38" s="268">
        <f>'P NP TW'!V35/1000</f>
        <v>175</v>
      </c>
    </row>
    <row r="39" spans="1:27">
      <c r="A39" s="346" t="s">
        <v>149</v>
      </c>
      <c r="B39" s="267">
        <f t="shared" si="2"/>
        <v>0</v>
      </c>
      <c r="C39" s="267">
        <f t="shared" si="3"/>
        <v>0</v>
      </c>
      <c r="D39" s="267">
        <f>SUM('P NP TAMBAK KAB'!$X35,'P NP TAMBAK KAB'!$Z35)/1000</f>
        <v>0</v>
      </c>
      <c r="E39" s="267">
        <f>'P NP TAMBAK KAB'!AL35/1000</f>
        <v>0</v>
      </c>
      <c r="F39" s="267">
        <f>'P NP TAMBAK KAB'!AT35/1000</f>
        <v>0</v>
      </c>
      <c r="G39" s="267">
        <f>'P NP TAMBAK KAB'!R35/1000</f>
        <v>0</v>
      </c>
      <c r="H39" s="267">
        <f>'P NP TAMBAK KAB'!D35/1000</f>
        <v>0</v>
      </c>
      <c r="I39" s="267">
        <f>'P NP TAMBAK KAB'!AN35/1000</f>
        <v>0</v>
      </c>
      <c r="J39" s="267">
        <f>'P NP TAMBAK KAB'!H35/1000</f>
        <v>0</v>
      </c>
      <c r="K39" s="268">
        <f>SUM('P NP TAMBAK KAB'!BP35,'P NP TAMBAK KAB'!BV35,'P NP TAMBAK KAB'!AV35)/1000</f>
        <v>0</v>
      </c>
      <c r="L39" s="264">
        <f t="shared" si="1"/>
        <v>0</v>
      </c>
      <c r="M39" s="267">
        <f>'P NP TAMBAK KAB'!BD35/1000</f>
        <v>0</v>
      </c>
      <c r="N39" s="267">
        <f>'P NP TAMBAK KAB'!AZ35/1000</f>
        <v>0</v>
      </c>
      <c r="O39" s="267">
        <f>'P NP TAMBAK KAB'!BF35/1000</f>
        <v>0</v>
      </c>
      <c r="P39" s="267">
        <f>'P NP TAMBAK KAB'!BB35/1000</f>
        <v>0</v>
      </c>
      <c r="Q39" s="267">
        <f>'P NP TAMBAK KAB'!BH35/1000</f>
        <v>0</v>
      </c>
      <c r="R39" s="267">
        <f>'P NP TAMBAK KAB'!BL35/1000</f>
        <v>0</v>
      </c>
      <c r="S39" s="267">
        <f>'P NP TAMBAK KAB'!T35/1000</f>
        <v>0</v>
      </c>
      <c r="T39" s="267">
        <f>'P NP TAMBAK KAB'!BT35/1000</f>
        <v>0</v>
      </c>
      <c r="U39" s="820">
        <f>'P NP TAMBAK KAB'!N35/1000</f>
        <v>0</v>
      </c>
      <c r="W39" s="264">
        <f t="shared" si="4"/>
        <v>0</v>
      </c>
      <c r="X39" s="267">
        <f>'P NP TW'!P36/1000</f>
        <v>0</v>
      </c>
      <c r="Y39" s="267">
        <f>'P NP TW'!R36/1000</f>
        <v>0</v>
      </c>
      <c r="Z39" s="267">
        <f>'P NP TW'!T36/1000</f>
        <v>0</v>
      </c>
      <c r="AA39" s="268">
        <f>'P NP TW'!V36/1000</f>
        <v>0</v>
      </c>
    </row>
    <row r="40" spans="1:27">
      <c r="A40" s="346" t="s">
        <v>142</v>
      </c>
      <c r="B40" s="267">
        <f t="shared" si="2"/>
        <v>0</v>
      </c>
      <c r="C40" s="267">
        <f t="shared" si="3"/>
        <v>0</v>
      </c>
      <c r="D40" s="267">
        <f>SUM('P NP TAMBAK KAB'!$X36,'P NP TAMBAK KAB'!$Z36)/1000</f>
        <v>0</v>
      </c>
      <c r="E40" s="267">
        <f>'P NP TAMBAK KAB'!AL36/1000</f>
        <v>0</v>
      </c>
      <c r="F40" s="267">
        <f>'P NP TAMBAK KAB'!AT36/1000</f>
        <v>0</v>
      </c>
      <c r="G40" s="267">
        <f>'P NP TAMBAK KAB'!R36/1000</f>
        <v>0</v>
      </c>
      <c r="H40" s="267">
        <f>'P NP TAMBAK KAB'!D36/1000</f>
        <v>0</v>
      </c>
      <c r="I40" s="267">
        <f>'P NP TAMBAK KAB'!AN36/1000</f>
        <v>0</v>
      </c>
      <c r="J40" s="267">
        <f>'P NP TAMBAK KAB'!H36/1000</f>
        <v>0</v>
      </c>
      <c r="K40" s="268">
        <f>SUM('P NP TAMBAK KAB'!BP36,'P NP TAMBAK KAB'!BV36,'P NP TAMBAK KAB'!AV36)/1000</f>
        <v>0</v>
      </c>
      <c r="L40" s="264">
        <f t="shared" si="1"/>
        <v>0</v>
      </c>
      <c r="M40" s="267">
        <f>'P NP TAMBAK KAB'!BD36/1000</f>
        <v>0</v>
      </c>
      <c r="N40" s="267">
        <f>'P NP TAMBAK KAB'!AZ36/1000</f>
        <v>0</v>
      </c>
      <c r="O40" s="267">
        <f>'P NP TAMBAK KAB'!BF36/1000</f>
        <v>0</v>
      </c>
      <c r="P40" s="267">
        <f>'P NP TAMBAK KAB'!BB36/1000</f>
        <v>0</v>
      </c>
      <c r="Q40" s="267">
        <f>'P NP TAMBAK KAB'!BH36/1000</f>
        <v>0</v>
      </c>
      <c r="R40" s="267">
        <f>'P NP TAMBAK KAB'!BL36/1000</f>
        <v>0</v>
      </c>
      <c r="S40" s="267">
        <f>'P NP TAMBAK KAB'!T36/1000</f>
        <v>0</v>
      </c>
      <c r="T40" s="267">
        <f>'P NP TAMBAK KAB'!BT36/1000</f>
        <v>0</v>
      </c>
      <c r="U40" s="820">
        <f>'P NP TAMBAK KAB'!N36/1000</f>
        <v>0</v>
      </c>
      <c r="W40" s="264">
        <f t="shared" si="4"/>
        <v>0</v>
      </c>
      <c r="X40" s="267">
        <f>'P NP TW'!P37/1000</f>
        <v>0</v>
      </c>
      <c r="Y40" s="267">
        <f>'P NP TW'!R37/1000</f>
        <v>0</v>
      </c>
      <c r="Z40" s="267">
        <f>'P NP TW'!T37/1000</f>
        <v>0</v>
      </c>
      <c r="AA40" s="268">
        <f>'P NP TW'!V37/1000</f>
        <v>0</v>
      </c>
    </row>
    <row r="41" spans="1:27">
      <c r="A41" s="346" t="s">
        <v>141</v>
      </c>
      <c r="B41" s="267">
        <f t="shared" si="2"/>
        <v>0</v>
      </c>
      <c r="C41" s="267">
        <f t="shared" si="3"/>
        <v>0</v>
      </c>
      <c r="D41" s="267">
        <f>SUM('P NP TAMBAK KAB'!$X37,'P NP TAMBAK KAB'!$Z37)/1000</f>
        <v>0</v>
      </c>
      <c r="E41" s="267">
        <f>'P NP TAMBAK KAB'!AL37/1000</f>
        <v>0</v>
      </c>
      <c r="F41" s="267">
        <f>'P NP TAMBAK KAB'!AT37/1000</f>
        <v>0</v>
      </c>
      <c r="G41" s="267">
        <f>'P NP TAMBAK KAB'!R37/1000</f>
        <v>0</v>
      </c>
      <c r="H41" s="267">
        <f>'P NP TAMBAK KAB'!D37/1000</f>
        <v>0</v>
      </c>
      <c r="I41" s="267">
        <f>'P NP TAMBAK KAB'!AN37/1000</f>
        <v>0</v>
      </c>
      <c r="J41" s="267">
        <f>'P NP TAMBAK KAB'!H37/1000</f>
        <v>0</v>
      </c>
      <c r="K41" s="268">
        <f>SUM('P NP TAMBAK KAB'!BP37,'P NP TAMBAK KAB'!BV37,'P NP TAMBAK KAB'!AV37)/1000</f>
        <v>0</v>
      </c>
      <c r="L41" s="264">
        <f t="shared" si="1"/>
        <v>0</v>
      </c>
      <c r="M41" s="267">
        <f>'P NP TAMBAK KAB'!BD37/1000</f>
        <v>0</v>
      </c>
      <c r="N41" s="267">
        <f>'P NP TAMBAK KAB'!AZ37/1000</f>
        <v>0</v>
      </c>
      <c r="O41" s="267">
        <f>'P NP TAMBAK KAB'!BF37/1000</f>
        <v>0</v>
      </c>
      <c r="P41" s="267">
        <f>'P NP TAMBAK KAB'!BB37/1000</f>
        <v>0</v>
      </c>
      <c r="Q41" s="267">
        <f>'P NP TAMBAK KAB'!BH37/1000</f>
        <v>0</v>
      </c>
      <c r="R41" s="267">
        <f>'P NP TAMBAK KAB'!BL37/1000</f>
        <v>0</v>
      </c>
      <c r="S41" s="267">
        <f>'P NP TAMBAK KAB'!T37/1000</f>
        <v>0</v>
      </c>
      <c r="T41" s="267">
        <f>'P NP TAMBAK KAB'!BT37/1000</f>
        <v>0</v>
      </c>
      <c r="U41" s="820">
        <f>'P NP TAMBAK KAB'!N37/1000</f>
        <v>0</v>
      </c>
      <c r="W41" s="264">
        <f t="shared" si="4"/>
        <v>0</v>
      </c>
      <c r="X41" s="267">
        <f>'P NP TW'!P38/1000</f>
        <v>0</v>
      </c>
      <c r="Y41" s="267">
        <f>'P NP TW'!R38/1000</f>
        <v>0</v>
      </c>
      <c r="Z41" s="267">
        <f>'P NP TW'!T38/1000</f>
        <v>0</v>
      </c>
      <c r="AA41" s="268">
        <f>'P NP TW'!V38/1000</f>
        <v>0</v>
      </c>
    </row>
    <row r="42" spans="1:27">
      <c r="A42" s="346" t="s">
        <v>147</v>
      </c>
      <c r="B42" s="267">
        <f t="shared" si="2"/>
        <v>0</v>
      </c>
      <c r="C42" s="267">
        <f t="shared" si="3"/>
        <v>0</v>
      </c>
      <c r="D42" s="267">
        <f>SUM('P NP TAMBAK KAB'!$X38,'P NP TAMBAK KAB'!$Z38)/1000</f>
        <v>0</v>
      </c>
      <c r="E42" s="267">
        <f>'P NP TAMBAK KAB'!AL38/1000</f>
        <v>0</v>
      </c>
      <c r="F42" s="267">
        <f>'P NP TAMBAK KAB'!AT38/1000</f>
        <v>0</v>
      </c>
      <c r="G42" s="267">
        <f>'P NP TAMBAK KAB'!R38/1000</f>
        <v>0</v>
      </c>
      <c r="H42" s="267">
        <f>'P NP TAMBAK KAB'!D38/1000</f>
        <v>0</v>
      </c>
      <c r="I42" s="267">
        <f>'P NP TAMBAK KAB'!AN38/1000</f>
        <v>0</v>
      </c>
      <c r="J42" s="267">
        <f>'P NP TAMBAK KAB'!H38/1000</f>
        <v>0</v>
      </c>
      <c r="K42" s="268">
        <f>SUM('P NP TAMBAK KAB'!BP38,'P NP TAMBAK KAB'!BV38,'P NP TAMBAK KAB'!AV38)/1000</f>
        <v>0</v>
      </c>
      <c r="L42" s="264">
        <f t="shared" si="1"/>
        <v>0</v>
      </c>
      <c r="M42" s="267">
        <f>'P NP TAMBAK KAB'!BD38/1000</f>
        <v>0</v>
      </c>
      <c r="N42" s="267">
        <f>'P NP TAMBAK KAB'!AZ38/1000</f>
        <v>0</v>
      </c>
      <c r="O42" s="267">
        <f>'P NP TAMBAK KAB'!BF38/1000</f>
        <v>0</v>
      </c>
      <c r="P42" s="267">
        <f>'P NP TAMBAK KAB'!BB38/1000</f>
        <v>0</v>
      </c>
      <c r="Q42" s="267">
        <f>'P NP TAMBAK KAB'!BH38/1000</f>
        <v>0</v>
      </c>
      <c r="R42" s="267">
        <f>'P NP TAMBAK KAB'!BL38/1000</f>
        <v>0</v>
      </c>
      <c r="S42" s="267">
        <f>'P NP TAMBAK KAB'!T38/1000</f>
        <v>0</v>
      </c>
      <c r="T42" s="267">
        <f>'P NP TAMBAK KAB'!BT38/1000</f>
        <v>0</v>
      </c>
      <c r="U42" s="820">
        <f>'P NP TAMBAK KAB'!N38/1000</f>
        <v>0</v>
      </c>
      <c r="W42" s="264">
        <f t="shared" si="4"/>
        <v>0</v>
      </c>
      <c r="X42" s="267">
        <f>'P NP TW'!P39/1000</f>
        <v>0</v>
      </c>
      <c r="Y42" s="267">
        <f>'P NP TW'!R39/1000</f>
        <v>0</v>
      </c>
      <c r="Z42" s="267">
        <f>'P NP TW'!T39/1000</f>
        <v>0</v>
      </c>
      <c r="AA42" s="268">
        <f>'P NP TW'!V39/1000</f>
        <v>0</v>
      </c>
    </row>
    <row r="43" spans="1:27">
      <c r="A43" s="346" t="s">
        <v>143</v>
      </c>
      <c r="B43" s="267">
        <f t="shared" si="2"/>
        <v>0</v>
      </c>
      <c r="C43" s="267">
        <f t="shared" si="3"/>
        <v>0</v>
      </c>
      <c r="D43" s="267">
        <f>SUM('P NP TAMBAK KAB'!$X39,'P NP TAMBAK KAB'!$Z39)/1000</f>
        <v>0</v>
      </c>
      <c r="E43" s="267">
        <f>'P NP TAMBAK KAB'!AL39/1000</f>
        <v>0</v>
      </c>
      <c r="F43" s="267">
        <f>'P NP TAMBAK KAB'!AT39/1000</f>
        <v>0</v>
      </c>
      <c r="G43" s="267">
        <f>'P NP TAMBAK KAB'!R39/1000</f>
        <v>0</v>
      </c>
      <c r="H43" s="267">
        <f>'P NP TAMBAK KAB'!D39/1000</f>
        <v>0</v>
      </c>
      <c r="I43" s="267">
        <f>'P NP TAMBAK KAB'!AN39/1000</f>
        <v>0</v>
      </c>
      <c r="J43" s="267">
        <f>'P NP TAMBAK KAB'!H39/1000</f>
        <v>0</v>
      </c>
      <c r="K43" s="268">
        <f>SUM('P NP TAMBAK KAB'!BP39,'P NP TAMBAK KAB'!BV39,'P NP TAMBAK KAB'!AV39)/1000</f>
        <v>0</v>
      </c>
      <c r="L43" s="264">
        <f t="shared" si="1"/>
        <v>0</v>
      </c>
      <c r="M43" s="267">
        <f>'P NP TAMBAK KAB'!BD39/1000</f>
        <v>0</v>
      </c>
      <c r="N43" s="267">
        <f>'P NP TAMBAK KAB'!AZ39/1000</f>
        <v>0</v>
      </c>
      <c r="O43" s="267">
        <f>'P NP TAMBAK KAB'!BF39/1000</f>
        <v>0</v>
      </c>
      <c r="P43" s="267">
        <f>'P NP TAMBAK KAB'!BB39/1000</f>
        <v>0</v>
      </c>
      <c r="Q43" s="267">
        <f>'P NP TAMBAK KAB'!BH39/1000</f>
        <v>0</v>
      </c>
      <c r="R43" s="267">
        <f>'P NP TAMBAK KAB'!BL39/1000</f>
        <v>0</v>
      </c>
      <c r="S43" s="267">
        <f>'P NP TAMBAK KAB'!T39/1000</f>
        <v>0</v>
      </c>
      <c r="T43" s="267">
        <f>'P NP TAMBAK KAB'!BT39/1000</f>
        <v>0</v>
      </c>
      <c r="U43" s="820">
        <f>'P NP TAMBAK KAB'!N39/1000</f>
        <v>0</v>
      </c>
      <c r="W43" s="551">
        <f t="shared" si="4"/>
        <v>0</v>
      </c>
      <c r="X43" s="267">
        <f>'P NP TW'!P40/1000</f>
        <v>0</v>
      </c>
      <c r="Y43" s="267">
        <f>'P NP TW'!R40/1000</f>
        <v>0</v>
      </c>
      <c r="Z43" s="267">
        <f>'P NP TW'!T40/1000</f>
        <v>0</v>
      </c>
      <c r="AA43" s="268">
        <f>'P NP TW'!V40/1000</f>
        <v>0</v>
      </c>
    </row>
    <row r="44" spans="1:27">
      <c r="A44" s="346" t="s">
        <v>146</v>
      </c>
      <c r="B44" s="267">
        <f t="shared" si="2"/>
        <v>0</v>
      </c>
      <c r="C44" s="267">
        <f t="shared" si="3"/>
        <v>0</v>
      </c>
      <c r="D44" s="267">
        <f>SUM('P NP TAMBAK KAB'!$X40,'P NP TAMBAK KAB'!$Z40)/1000</f>
        <v>0</v>
      </c>
      <c r="E44" s="267">
        <f>'P NP TAMBAK KAB'!AL40/1000</f>
        <v>0</v>
      </c>
      <c r="F44" s="267">
        <f>'P NP TAMBAK KAB'!AT40/1000</f>
        <v>0</v>
      </c>
      <c r="G44" s="267">
        <f>'P NP TAMBAK KAB'!R40/1000</f>
        <v>0</v>
      </c>
      <c r="H44" s="267">
        <f>'P NP TAMBAK KAB'!D40/1000</f>
        <v>0</v>
      </c>
      <c r="I44" s="267">
        <f>'P NP TAMBAK KAB'!AN40/1000</f>
        <v>0</v>
      </c>
      <c r="J44" s="267">
        <f>'P NP TAMBAK KAB'!H40/1000</f>
        <v>0</v>
      </c>
      <c r="K44" s="268">
        <f>SUM('P NP TAMBAK KAB'!BP40,'P NP TAMBAK KAB'!BV40,'P NP TAMBAK KAB'!AV40)/1000</f>
        <v>0</v>
      </c>
      <c r="L44" s="264">
        <f t="shared" si="1"/>
        <v>0</v>
      </c>
      <c r="M44" s="267">
        <f>'P NP TAMBAK KAB'!BD40/1000</f>
        <v>0</v>
      </c>
      <c r="N44" s="267">
        <f>'P NP TAMBAK KAB'!AZ40/1000</f>
        <v>0</v>
      </c>
      <c r="O44" s="267">
        <f>'P NP TAMBAK KAB'!BF40/1000</f>
        <v>0</v>
      </c>
      <c r="P44" s="267">
        <f>'P NP TAMBAK KAB'!BB40/1000</f>
        <v>0</v>
      </c>
      <c r="Q44" s="267">
        <f>'P NP TAMBAK KAB'!BH40/1000</f>
        <v>0</v>
      </c>
      <c r="R44" s="267">
        <f>'P NP TAMBAK KAB'!BL40/1000</f>
        <v>0</v>
      </c>
      <c r="S44" s="267">
        <f>'P NP TAMBAK KAB'!T40/1000</f>
        <v>0</v>
      </c>
      <c r="T44" s="267">
        <f>'P NP TAMBAK KAB'!BT40/1000</f>
        <v>0</v>
      </c>
      <c r="U44" s="820">
        <f>'P NP TAMBAK KAB'!N40/1000</f>
        <v>0</v>
      </c>
      <c r="W44" s="551">
        <f t="shared" si="4"/>
        <v>0</v>
      </c>
      <c r="X44" s="267">
        <f>'P NP TW'!P41/1000</f>
        <v>0</v>
      </c>
      <c r="Y44" s="267">
        <f>'P NP TW'!R41/1000</f>
        <v>0</v>
      </c>
      <c r="Z44" s="267">
        <f>'P NP TW'!T41/1000</f>
        <v>0</v>
      </c>
      <c r="AA44" s="268">
        <f>'P NP TW'!V41/1000</f>
        <v>0</v>
      </c>
    </row>
    <row r="45" spans="1:27">
      <c r="A45" s="346" t="s">
        <v>145</v>
      </c>
      <c r="B45" s="267">
        <f t="shared" si="2"/>
        <v>2627.0519999999997</v>
      </c>
      <c r="C45" s="267">
        <f t="shared" si="3"/>
        <v>1138.6699999999998</v>
      </c>
      <c r="D45" s="267">
        <f>SUM('P NP TAMBAK KAB'!$X41,'P NP TAMBAK KAB'!$Z41)/1000</f>
        <v>0</v>
      </c>
      <c r="E45" s="267">
        <f>'P NP TAMBAK KAB'!AL41/1000</f>
        <v>0</v>
      </c>
      <c r="F45" s="267">
        <f>'P NP TAMBAK KAB'!AT41/1000</f>
        <v>0</v>
      </c>
      <c r="G45" s="267">
        <f>'P NP TAMBAK KAB'!R41/1000</f>
        <v>0</v>
      </c>
      <c r="H45" s="267">
        <f>'P NP TAMBAK KAB'!D41/1000</f>
        <v>1133.0899999999999</v>
      </c>
      <c r="I45" s="267">
        <f>'P NP TAMBAK KAB'!AN41/1000</f>
        <v>5.58</v>
      </c>
      <c r="J45" s="267">
        <f>'P NP TAMBAK KAB'!H41/1000</f>
        <v>0</v>
      </c>
      <c r="K45" s="268">
        <f>SUM('P NP TAMBAK KAB'!BP41,'P NP TAMBAK KAB'!BV41,'P NP TAMBAK KAB'!AV41)/1000</f>
        <v>0</v>
      </c>
      <c r="L45" s="264">
        <f t="shared" si="1"/>
        <v>1488.3820000000001</v>
      </c>
      <c r="M45" s="267">
        <f>'P NP TAMBAK KAB'!BD41/1000</f>
        <v>0</v>
      </c>
      <c r="N45" s="267">
        <f>'P NP TAMBAK KAB'!AZ41/1000</f>
        <v>0</v>
      </c>
      <c r="O45" s="267">
        <f>'P NP TAMBAK KAB'!BF41/1000</f>
        <v>0</v>
      </c>
      <c r="P45" s="267">
        <f>'P NP TAMBAK KAB'!BB41/1000</f>
        <v>42.481999999999999</v>
      </c>
      <c r="Q45" s="267">
        <f>'P NP TAMBAK KAB'!BH41/1000</f>
        <v>0</v>
      </c>
      <c r="R45" s="267">
        <f>'P NP TAMBAK KAB'!BL41/1000</f>
        <v>0</v>
      </c>
      <c r="S45" s="267">
        <f>'P NP TAMBAK KAB'!T41/1000</f>
        <v>0</v>
      </c>
      <c r="T45" s="267">
        <f>'P NP TAMBAK KAB'!BT41/1000</f>
        <v>0</v>
      </c>
      <c r="U45" s="820">
        <f>'P NP TAMBAK KAB'!N41/1000</f>
        <v>1445.9</v>
      </c>
      <c r="W45" s="551">
        <f t="shared" si="4"/>
        <v>2627.0519999999997</v>
      </c>
      <c r="X45" s="267">
        <f>'P NP TW'!P42/1000</f>
        <v>643.78300000000002</v>
      </c>
      <c r="Y45" s="267">
        <f>'P NP TW'!R42/1000</f>
        <v>648.31899999999996</v>
      </c>
      <c r="Z45" s="267">
        <f>'P NP TW'!T42/1000</f>
        <v>730.9</v>
      </c>
      <c r="AA45" s="268">
        <f>'P NP TW'!V42/1000</f>
        <v>604.04999999999995</v>
      </c>
    </row>
    <row r="46" spans="1:27">
      <c r="A46" s="346" t="s">
        <v>144</v>
      </c>
      <c r="B46" s="267">
        <f t="shared" si="2"/>
        <v>229.93300000000005</v>
      </c>
      <c r="C46" s="267">
        <f t="shared" si="3"/>
        <v>70.602099999999993</v>
      </c>
      <c r="D46" s="267">
        <f>SUM('P NP TAMBAK KAB'!$X42,'P NP TAMBAK KAB'!$Z42)/1000</f>
        <v>0</v>
      </c>
      <c r="E46" s="267">
        <f>'P NP TAMBAK KAB'!AL42/1000</f>
        <v>0.53300000000000003</v>
      </c>
      <c r="F46" s="267">
        <f>'P NP TAMBAK KAB'!AT42/1000</f>
        <v>0</v>
      </c>
      <c r="G46" s="267">
        <f>'P NP TAMBAK KAB'!R42/1000</f>
        <v>0.32889999999999997</v>
      </c>
      <c r="H46" s="267">
        <f>'P NP TAMBAK KAB'!D42/1000</f>
        <v>60.320699999999995</v>
      </c>
      <c r="I46" s="267">
        <f>'P NP TAMBAK KAB'!AN42/1000</f>
        <v>9.4194999999999993</v>
      </c>
      <c r="J46" s="267">
        <f>'P NP TAMBAK KAB'!H42/1000</f>
        <v>0</v>
      </c>
      <c r="K46" s="268">
        <f>SUM('P NP TAMBAK KAB'!BP42,'P NP TAMBAK KAB'!BV42,'P NP TAMBAK KAB'!AV42)/1000</f>
        <v>0</v>
      </c>
      <c r="L46" s="264">
        <f t="shared" si="1"/>
        <v>159.33090000000004</v>
      </c>
      <c r="M46" s="267">
        <f>'P NP TAMBAK KAB'!BD42/1000</f>
        <v>0.52570000000000006</v>
      </c>
      <c r="N46" s="267">
        <f>'P NP TAMBAK KAB'!AZ42/1000</f>
        <v>2.9968000000000004</v>
      </c>
      <c r="O46" s="267">
        <f>'P NP TAMBAK KAB'!BF42/1000</f>
        <v>0</v>
      </c>
      <c r="P46" s="267">
        <f>'P NP TAMBAK KAB'!BB42/1000</f>
        <v>152.92870000000002</v>
      </c>
      <c r="Q46" s="267">
        <f>'P NP TAMBAK KAB'!BH42/1000</f>
        <v>0</v>
      </c>
      <c r="R46" s="267">
        <f>'P NP TAMBAK KAB'!BL42/1000</f>
        <v>0</v>
      </c>
      <c r="S46" s="267">
        <f>'P NP TAMBAK KAB'!T42/1000</f>
        <v>2.8796999999999997</v>
      </c>
      <c r="T46" s="267">
        <f>'P NP TAMBAK KAB'!BT42/1000</f>
        <v>0</v>
      </c>
      <c r="U46" s="820">
        <f>'P NP TAMBAK KAB'!N42/1000</f>
        <v>0</v>
      </c>
      <c r="W46" s="551">
        <f t="shared" si="4"/>
        <v>229.97</v>
      </c>
      <c r="X46" s="267">
        <f>'P NP TW'!P43/1000</f>
        <v>39.427999999999997</v>
      </c>
      <c r="Y46" s="267">
        <f>'P NP TW'!R43/1000</f>
        <v>38.152999999999999</v>
      </c>
      <c r="Z46" s="267">
        <f>'P NP TW'!T43/1000</f>
        <v>18.305</v>
      </c>
      <c r="AA46" s="268">
        <f>'P NP TW'!V43/1000</f>
        <v>134.084</v>
      </c>
    </row>
    <row r="47" spans="1:27" ht="14.5" thickBot="1">
      <c r="A47" s="347" t="s">
        <v>148</v>
      </c>
      <c r="B47" s="274">
        <f t="shared" si="2"/>
        <v>5228.433</v>
      </c>
      <c r="C47" s="274">
        <f t="shared" si="3"/>
        <v>4384.5839999999998</v>
      </c>
      <c r="D47" s="274">
        <f>SUM('P NP TAMBAK KAB'!$X43,'P NP TAMBAK KAB'!$Z43)/1000</f>
        <v>0</v>
      </c>
      <c r="E47" s="274">
        <f>'P NP TAMBAK KAB'!AL43/1000</f>
        <v>0</v>
      </c>
      <c r="F47" s="274">
        <f>'P NP TAMBAK KAB'!AT43/1000</f>
        <v>0</v>
      </c>
      <c r="G47" s="274">
        <f>'P NP TAMBAK KAB'!R43/1000</f>
        <v>0</v>
      </c>
      <c r="H47" s="274">
        <f>'P NP TAMBAK KAB'!D43/1000</f>
        <v>3599.6689999999999</v>
      </c>
      <c r="I47" s="274">
        <f>'P NP TAMBAK KAB'!AN43/1000</f>
        <v>784.91499999999996</v>
      </c>
      <c r="J47" s="274">
        <f>'P NP TAMBAK KAB'!H43/1000</f>
        <v>0</v>
      </c>
      <c r="K47" s="275">
        <f>SUM('P NP TAMBAK KAB'!BP43,'P NP TAMBAK KAB'!BV43,'P NP TAMBAK KAB'!AV43)/1000</f>
        <v>0</v>
      </c>
      <c r="L47" s="276">
        <f t="shared" si="1"/>
        <v>843.84899999999993</v>
      </c>
      <c r="M47" s="274">
        <f>'P NP TAMBAK KAB'!BD43/1000</f>
        <v>74.968000000000004</v>
      </c>
      <c r="N47" s="274">
        <f>'P NP TAMBAK KAB'!AZ43/1000</f>
        <v>0</v>
      </c>
      <c r="O47" s="274">
        <f>'P NP TAMBAK KAB'!BF43/1000</f>
        <v>0</v>
      </c>
      <c r="P47" s="274">
        <f>'P NP TAMBAK KAB'!BB43/1000</f>
        <v>768.88099999999997</v>
      </c>
      <c r="Q47" s="274">
        <f>'P NP TAMBAK KAB'!BH43/1000</f>
        <v>0</v>
      </c>
      <c r="R47" s="274">
        <f>'P NP TAMBAK KAB'!BL43/1000</f>
        <v>0</v>
      </c>
      <c r="S47" s="274">
        <f>'P NP TAMBAK KAB'!T43/1000</f>
        <v>0</v>
      </c>
      <c r="T47" s="274">
        <f>'P NP TAMBAK KAB'!BT43/1000</f>
        <v>0</v>
      </c>
      <c r="U47" s="275">
        <f>'P NP TAMBAK KAB'!N43/1000</f>
        <v>0</v>
      </c>
      <c r="W47" s="552">
        <f t="shared" si="4"/>
        <v>5228.433</v>
      </c>
      <c r="X47" s="274">
        <f>'P NP TW'!P44/1000</f>
        <v>1610.5229999999999</v>
      </c>
      <c r="Y47" s="274">
        <f>'P NP TW'!R44/1000</f>
        <v>1208</v>
      </c>
      <c r="Z47" s="274">
        <f>'P NP TW'!T44/1000</f>
        <v>1181.32</v>
      </c>
      <c r="AA47" s="275">
        <f>'P NP TW'!V44/1000</f>
        <v>1228.5899999999999</v>
      </c>
    </row>
    <row r="48" spans="1:27" ht="18" customHeight="1">
      <c r="A48" s="931" t="s">
        <v>348</v>
      </c>
      <c r="B48" s="932"/>
      <c r="C48" s="932"/>
      <c r="D48" s="932"/>
      <c r="E48" s="932"/>
      <c r="F48" s="932"/>
      <c r="G48" s="932"/>
      <c r="H48" s="932"/>
      <c r="I48" s="932"/>
      <c r="J48" s="932"/>
      <c r="K48" s="932"/>
      <c r="L48" s="931" t="s">
        <v>349</v>
      </c>
      <c r="M48" s="931"/>
      <c r="N48" s="931"/>
      <c r="O48" s="931"/>
      <c r="P48" s="931"/>
      <c r="Q48" s="931"/>
      <c r="R48" s="931"/>
      <c r="S48" s="931"/>
      <c r="W48" s="933" t="s">
        <v>470</v>
      </c>
      <c r="X48" s="934"/>
      <c r="Y48" s="934"/>
      <c r="Z48" s="934"/>
      <c r="AA48" s="527"/>
    </row>
    <row r="49" spans="1:27">
      <c r="B49" s="211" t="s">
        <v>350</v>
      </c>
      <c r="C49" s="212" t="s">
        <v>351</v>
      </c>
      <c r="J49" s="213"/>
      <c r="L49" s="212"/>
      <c r="S49" s="213"/>
      <c r="W49" s="525" t="s">
        <v>471</v>
      </c>
      <c r="X49" s="526" t="s">
        <v>472</v>
      </c>
      <c r="Y49" s="527"/>
      <c r="Z49" s="527"/>
      <c r="AA49" s="528"/>
    </row>
    <row r="50" spans="1:27" ht="14.5">
      <c r="B50" s="214"/>
      <c r="C50" s="215" t="s">
        <v>352</v>
      </c>
      <c r="D50" s="216"/>
      <c r="E50" s="216"/>
      <c r="F50" s="216"/>
      <c r="G50" s="216"/>
      <c r="H50" s="216"/>
      <c r="I50" s="216"/>
      <c r="J50" s="216"/>
      <c r="K50" s="216"/>
      <c r="L50" s="214"/>
      <c r="M50" s="216"/>
      <c r="N50" s="216"/>
      <c r="O50" s="216"/>
      <c r="P50" s="216"/>
      <c r="Q50" s="216"/>
      <c r="R50" s="216"/>
      <c r="S50" s="216"/>
      <c r="T50" s="216"/>
      <c r="U50" s="216"/>
      <c r="W50" s="529"/>
      <c r="X50" s="530" t="s">
        <v>473</v>
      </c>
      <c r="Y50" s="531"/>
      <c r="Z50" s="527"/>
      <c r="AA50" s="531"/>
    </row>
    <row r="51" spans="1:27" ht="12" customHeight="1">
      <c r="J51" s="929" t="s">
        <v>309</v>
      </c>
      <c r="K51" s="929"/>
      <c r="S51" s="929" t="s">
        <v>309</v>
      </c>
      <c r="T51" s="929"/>
      <c r="U51" s="929"/>
      <c r="W51" s="307"/>
      <c r="X51" s="527"/>
      <c r="Y51" s="527"/>
      <c r="Z51" s="527"/>
      <c r="AA51" s="532" t="s">
        <v>309</v>
      </c>
    </row>
    <row r="52" spans="1:27" ht="15" thickBot="1">
      <c r="A52" s="348"/>
      <c r="B52" s="632">
        <v>401118773</v>
      </c>
      <c r="C52" s="349"/>
      <c r="D52" s="349"/>
      <c r="E52" s="349"/>
      <c r="F52" s="349"/>
      <c r="G52" s="349"/>
      <c r="H52" s="349"/>
      <c r="I52" s="349"/>
      <c r="J52" s="930" t="s">
        <v>310</v>
      </c>
      <c r="K52" s="930"/>
      <c r="T52" s="930"/>
      <c r="U52" s="930"/>
      <c r="W52" s="527"/>
      <c r="X52" s="527"/>
      <c r="Y52" s="527"/>
      <c r="Z52" s="527"/>
      <c r="AA52" s="533" t="s">
        <v>310</v>
      </c>
    </row>
    <row r="53" spans="1:27" ht="16" customHeight="1">
      <c r="A53" s="221"/>
      <c r="B53" s="335"/>
      <c r="C53" s="223"/>
      <c r="D53" s="223"/>
      <c r="E53" s="223"/>
      <c r="F53" s="228" t="s">
        <v>317</v>
      </c>
      <c r="G53" s="336" t="s">
        <v>318</v>
      </c>
      <c r="H53" s="223"/>
      <c r="I53" s="223"/>
      <c r="J53" s="223"/>
      <c r="K53" s="226"/>
      <c r="L53" s="227"/>
      <c r="M53" s="223"/>
      <c r="N53" s="337" t="s">
        <v>319</v>
      </c>
      <c r="O53" s="223"/>
      <c r="P53" s="223"/>
      <c r="Q53" s="338" t="s">
        <v>320</v>
      </c>
      <c r="R53" s="339"/>
      <c r="S53" s="223"/>
      <c r="T53" s="340"/>
      <c r="U53" s="226"/>
      <c r="W53" s="553"/>
      <c r="X53" s="535" t="s">
        <v>266</v>
      </c>
      <c r="Y53" s="536" t="s">
        <v>267</v>
      </c>
      <c r="Z53" s="534"/>
      <c r="AA53" s="537"/>
    </row>
    <row r="54" spans="1:27" ht="14.15" customHeight="1">
      <c r="A54" s="230" t="s">
        <v>103</v>
      </c>
      <c r="B54" s="341" t="s">
        <v>104</v>
      </c>
      <c r="C54" s="233" t="s">
        <v>321</v>
      </c>
      <c r="D54" s="233" t="s">
        <v>12</v>
      </c>
      <c r="E54" s="233" t="s">
        <v>15</v>
      </c>
      <c r="F54" s="233" t="s">
        <v>20</v>
      </c>
      <c r="G54" s="233" t="s">
        <v>322</v>
      </c>
      <c r="H54" s="233" t="s">
        <v>1</v>
      </c>
      <c r="I54" s="233" t="s">
        <v>16</v>
      </c>
      <c r="J54" s="233" t="s">
        <v>3</v>
      </c>
      <c r="K54" s="288" t="s">
        <v>274</v>
      </c>
      <c r="L54" s="237" t="s">
        <v>321</v>
      </c>
      <c r="M54" s="233" t="s">
        <v>323</v>
      </c>
      <c r="N54" s="233" t="s">
        <v>324</v>
      </c>
      <c r="O54" s="233" t="s">
        <v>325</v>
      </c>
      <c r="P54" s="233" t="s">
        <v>326</v>
      </c>
      <c r="Q54" s="233" t="s">
        <v>327</v>
      </c>
      <c r="R54" s="233" t="s">
        <v>328</v>
      </c>
      <c r="S54" s="234" t="s">
        <v>329</v>
      </c>
      <c r="T54" s="235" t="s">
        <v>274</v>
      </c>
      <c r="U54" s="342" t="s">
        <v>330</v>
      </c>
      <c r="W54" s="554" t="s">
        <v>104</v>
      </c>
      <c r="X54" s="538" t="s">
        <v>275</v>
      </c>
      <c r="Y54" s="538" t="s">
        <v>276</v>
      </c>
      <c r="Z54" s="538" t="s">
        <v>277</v>
      </c>
      <c r="AA54" s="539" t="s">
        <v>278</v>
      </c>
    </row>
    <row r="55" spans="1:27">
      <c r="A55" s="239" t="s">
        <v>105</v>
      </c>
      <c r="B55" s="245" t="s">
        <v>106</v>
      </c>
      <c r="C55" s="241" t="s">
        <v>331</v>
      </c>
      <c r="D55" s="241" t="s">
        <v>332</v>
      </c>
      <c r="E55" s="241" t="s">
        <v>333</v>
      </c>
      <c r="F55" s="241" t="s">
        <v>283</v>
      </c>
      <c r="G55" s="241" t="s">
        <v>334</v>
      </c>
      <c r="H55" s="241" t="s">
        <v>285</v>
      </c>
      <c r="I55" s="241" t="s">
        <v>280</v>
      </c>
      <c r="J55" s="241" t="s">
        <v>335</v>
      </c>
      <c r="K55" s="292" t="s">
        <v>289</v>
      </c>
      <c r="L55" s="244" t="s">
        <v>336</v>
      </c>
      <c r="M55" s="241" t="s">
        <v>337</v>
      </c>
      <c r="N55" s="241" t="s">
        <v>338</v>
      </c>
      <c r="O55" s="241" t="s">
        <v>339</v>
      </c>
      <c r="P55" s="241" t="s">
        <v>340</v>
      </c>
      <c r="Q55" s="241" t="s">
        <v>341</v>
      </c>
      <c r="R55" s="241" t="s">
        <v>342</v>
      </c>
      <c r="S55" s="245" t="s">
        <v>343</v>
      </c>
      <c r="T55" s="241" t="s">
        <v>345</v>
      </c>
      <c r="U55" s="243" t="s">
        <v>346</v>
      </c>
      <c r="V55" s="293"/>
      <c r="W55" s="555" t="s">
        <v>106</v>
      </c>
      <c r="X55" s="540" t="s">
        <v>293</v>
      </c>
      <c r="Y55" s="540" t="s">
        <v>294</v>
      </c>
      <c r="Z55" s="540" t="s">
        <v>295</v>
      </c>
      <c r="AA55" s="541" t="s">
        <v>296</v>
      </c>
    </row>
    <row r="56" spans="1:27">
      <c r="A56" s="246"/>
      <c r="B56" s="250"/>
      <c r="C56" s="249"/>
      <c r="D56" s="249"/>
      <c r="E56" s="248" t="s">
        <v>297</v>
      </c>
      <c r="F56" s="249"/>
      <c r="G56" s="249"/>
      <c r="H56" s="248"/>
      <c r="I56" s="249"/>
      <c r="J56" s="249"/>
      <c r="K56" s="297"/>
      <c r="L56" s="254"/>
      <c r="M56" s="249"/>
      <c r="N56" s="249"/>
      <c r="O56" s="249"/>
      <c r="P56" s="249"/>
      <c r="Q56" s="249"/>
      <c r="R56" s="249"/>
      <c r="S56" s="249"/>
      <c r="T56" s="343" t="s">
        <v>347</v>
      </c>
      <c r="U56" s="253"/>
      <c r="V56" s="293"/>
      <c r="W56" s="556"/>
      <c r="X56" s="542"/>
      <c r="Y56" s="542"/>
      <c r="Z56" s="542"/>
      <c r="AA56" s="543"/>
    </row>
    <row r="57" spans="1:27">
      <c r="A57" s="255" t="s">
        <v>111</v>
      </c>
      <c r="B57" s="300">
        <f>SUM(B58:B95)</f>
        <v>9677403259.5202045</v>
      </c>
      <c r="C57" s="300">
        <f>SUM(C58:C95)</f>
        <v>3292208509.677722</v>
      </c>
      <c r="D57" s="300">
        <f>SUM(D58:D95)</f>
        <v>213641544.11382008</v>
      </c>
      <c r="E57" s="300">
        <f t="shared" ref="E57:K57" si="5">SUM(E58:E95)</f>
        <v>125581675.64999387</v>
      </c>
      <c r="F57" s="300">
        <f t="shared" si="5"/>
        <v>0</v>
      </c>
      <c r="G57" s="300">
        <f t="shared" si="5"/>
        <v>110600212.86546618</v>
      </c>
      <c r="H57" s="300">
        <f t="shared" si="5"/>
        <v>2418077722.0250087</v>
      </c>
      <c r="I57" s="300">
        <f>SUM(I58:I95)</f>
        <v>363974007.48519802</v>
      </c>
      <c r="J57" s="300">
        <f t="shared" si="5"/>
        <v>36575446</v>
      </c>
      <c r="K57" s="301">
        <f t="shared" si="5"/>
        <v>23757901.538235195</v>
      </c>
      <c r="L57" s="302">
        <f>SUM(L58:L95)</f>
        <v>6333390770.2503433</v>
      </c>
      <c r="M57" s="300">
        <f t="shared" ref="M57:U57" si="6">SUM(M58:M95)</f>
        <v>649707624.78971636</v>
      </c>
      <c r="N57" s="300">
        <f t="shared" si="6"/>
        <v>139269710</v>
      </c>
      <c r="O57" s="300">
        <f t="shared" si="6"/>
        <v>34993745</v>
      </c>
      <c r="P57" s="300">
        <f t="shared" si="6"/>
        <v>5403050248.2099533</v>
      </c>
      <c r="Q57" s="300">
        <f t="shared" si="6"/>
        <v>68400040</v>
      </c>
      <c r="R57" s="300">
        <f t="shared" si="6"/>
        <v>0</v>
      </c>
      <c r="S57" s="300">
        <f t="shared" si="6"/>
        <v>37889402.250673778</v>
      </c>
      <c r="T57" s="300">
        <f t="shared" si="6"/>
        <v>80000</v>
      </c>
      <c r="U57" s="301">
        <f t="shared" si="6"/>
        <v>51803979.592139453</v>
      </c>
      <c r="W57" s="299">
        <f>SUM(X57:AA57)</f>
        <v>9677403259.5202045</v>
      </c>
      <c r="X57" s="300">
        <f>SUM(X58:X95)</f>
        <v>2520146013.3905363</v>
      </c>
      <c r="Y57" s="300">
        <f>SUM(Y58:Y95)</f>
        <v>2319614272.571085</v>
      </c>
      <c r="Z57" s="300">
        <f>SUM(Z58:Z95)</f>
        <v>2493495560.9571395</v>
      </c>
      <c r="AA57" s="301">
        <f>SUM(AA58:AA95)</f>
        <v>2344147412.6014442</v>
      </c>
    </row>
    <row r="58" spans="1:27">
      <c r="A58" s="346" t="s">
        <v>137</v>
      </c>
      <c r="B58" s="350">
        <f t="shared" ref="B58:B95" si="7">C58+L58+U58</f>
        <v>530450673.60000002</v>
      </c>
      <c r="C58" s="350">
        <f t="shared" ref="C58:C95" si="8">SUM(D58:K58)</f>
        <v>290659200</v>
      </c>
      <c r="D58" s="267">
        <f>SUM('P NP TAMBAK KAB'!Y6,'P NP TAMBAK KAB'!AA6)</f>
        <v>0</v>
      </c>
      <c r="E58" s="267">
        <f>'P NP TAMBAK KAB'!AM6</f>
        <v>33232500</v>
      </c>
      <c r="F58" s="267">
        <f>'P NP TAMBAK KAB'!AU6</f>
        <v>0</v>
      </c>
      <c r="G58" s="267">
        <f>'P NP TAMBAK KAB'!S6</f>
        <v>89179500</v>
      </c>
      <c r="H58" s="267">
        <f>'P NP TAMBAK KAB'!E6</f>
        <v>132359200</v>
      </c>
      <c r="I58" s="267">
        <f>'P NP TAMBAK KAB'!AO6</f>
        <v>0</v>
      </c>
      <c r="J58" s="267">
        <f>'P NP TAMBAK KAB'!I6</f>
        <v>35888000</v>
      </c>
      <c r="K58" s="268">
        <f>SUM('P NP TAMBAK KAB'!AK6,'P NP TAMBAK KAB'!AW6,'P NP TAMBAK KAB'!BQ6,'P NP TAMBAK KAB'!BW6)</f>
        <v>0</v>
      </c>
      <c r="L58" s="352">
        <f t="shared" ref="L58:L80" si="9">SUM(M58:T58)</f>
        <v>239791473.59999999</v>
      </c>
      <c r="M58" s="262">
        <f>'P NP TAMBAK KAB'!BE6</f>
        <v>8463000</v>
      </c>
      <c r="N58" s="262">
        <f>'P NP TAMBAK KAB'!BA6</f>
        <v>86018000</v>
      </c>
      <c r="O58" s="262">
        <f>'P NP TAMBAK KAB'!BG6</f>
        <v>4948000</v>
      </c>
      <c r="P58" s="262">
        <f>'P NP TAMBAK KAB'!BC6</f>
        <v>139402473.59999999</v>
      </c>
      <c r="Q58" s="262">
        <f>'P NP TAMBAK KAB'!BI6</f>
        <v>0</v>
      </c>
      <c r="R58" s="262">
        <f>'P NP TAMBAK KAB'!BM6</f>
        <v>0</v>
      </c>
      <c r="S58" s="262">
        <f>'P NP TAMBAK KAB'!U6</f>
        <v>880000</v>
      </c>
      <c r="T58" s="262">
        <f>'P NP TAMBAK KAB'!BU6</f>
        <v>80000</v>
      </c>
      <c r="U58" s="822">
        <f>'P NP TAMBAK KAB'!N6</f>
        <v>0</v>
      </c>
      <c r="V58" s="307"/>
      <c r="W58" s="557">
        <f>SUM(X58:AA58)</f>
        <v>530450673.60000002</v>
      </c>
      <c r="X58" s="350">
        <f>'P NP TW'!Q7</f>
        <v>153546333.579</v>
      </c>
      <c r="Y58" s="350">
        <f>'P NP TW'!S7</f>
        <v>62525054.509000003</v>
      </c>
      <c r="Z58" s="350">
        <f>'P NP TW'!U7</f>
        <v>56674285.511999995</v>
      </c>
      <c r="AA58" s="351">
        <f>'P NP TW'!W7</f>
        <v>257705000</v>
      </c>
    </row>
    <row r="59" spans="1:27">
      <c r="A59" s="346" t="s">
        <v>121</v>
      </c>
      <c r="B59" s="350">
        <f t="shared" si="7"/>
        <v>1036698610</v>
      </c>
      <c r="C59" s="350">
        <f t="shared" si="8"/>
        <v>21377225</v>
      </c>
      <c r="D59" s="267">
        <f>SUM('P NP TAMBAK KAB'!Y7,'P NP TAMBAK KAB'!AA7)</f>
        <v>3901525</v>
      </c>
      <c r="E59" s="267">
        <f>'P NP TAMBAK KAB'!AM7</f>
        <v>1312425</v>
      </c>
      <c r="F59" s="267">
        <f>'P NP TAMBAK KAB'!AU7</f>
        <v>0</v>
      </c>
      <c r="G59" s="267">
        <f>'P NP TAMBAK KAB'!S7</f>
        <v>12957675</v>
      </c>
      <c r="H59" s="267">
        <f>'P NP TAMBAK KAB'!E7</f>
        <v>833500</v>
      </c>
      <c r="I59" s="267">
        <f>'P NP TAMBAK KAB'!AO7</f>
        <v>2372100</v>
      </c>
      <c r="J59" s="267">
        <f>'P NP TAMBAK KAB'!I7</f>
        <v>0</v>
      </c>
      <c r="K59" s="268">
        <f>SUM('P NP TAMBAK KAB'!AK7,'P NP TAMBAK KAB'!AW7,'P NP TAMBAK KAB'!BQ7,'P NP TAMBAK KAB'!BW7)</f>
        <v>0</v>
      </c>
      <c r="L59" s="352">
        <f t="shared" si="9"/>
        <v>1015321385</v>
      </c>
      <c r="M59" s="267">
        <f>'P NP TAMBAK KAB'!BE7</f>
        <v>0</v>
      </c>
      <c r="N59" s="267">
        <f>'P NP TAMBAK KAB'!BA7</f>
        <v>0</v>
      </c>
      <c r="O59" s="267">
        <f>'P NP TAMBAK KAB'!BG7</f>
        <v>0</v>
      </c>
      <c r="P59" s="267">
        <f>'P NP TAMBAK KAB'!BC7</f>
        <v>1011802685</v>
      </c>
      <c r="Q59" s="267">
        <f>'P NP TAMBAK KAB'!BI7</f>
        <v>0</v>
      </c>
      <c r="R59" s="267">
        <f>'P NP TAMBAK KAB'!BM7</f>
        <v>0</v>
      </c>
      <c r="S59" s="267">
        <f>'P NP TAMBAK KAB'!U7</f>
        <v>3518700</v>
      </c>
      <c r="T59" s="267">
        <f>'P NP TAMBAK KAB'!BU7</f>
        <v>0</v>
      </c>
      <c r="U59" s="820">
        <f>'P NP TAMBAK KAB'!N7</f>
        <v>0</v>
      </c>
      <c r="V59" s="306"/>
      <c r="W59" s="557">
        <f>SUM(X59:AA59)</f>
        <v>1036698610</v>
      </c>
      <c r="X59" s="350">
        <f>'P NP TW'!Q8</f>
        <v>236836650</v>
      </c>
      <c r="Y59" s="350">
        <f>'P NP TW'!S8</f>
        <v>268176460</v>
      </c>
      <c r="Z59" s="350">
        <f>'P NP TW'!U8</f>
        <v>275695725</v>
      </c>
      <c r="AA59" s="351">
        <f>'P NP TW'!W8</f>
        <v>255989775</v>
      </c>
    </row>
    <row r="60" spans="1:27">
      <c r="A60" s="346" t="s">
        <v>116</v>
      </c>
      <c r="B60" s="350">
        <f t="shared" si="7"/>
        <v>28346500</v>
      </c>
      <c r="C60" s="350">
        <f t="shared" si="8"/>
        <v>0</v>
      </c>
      <c r="D60" s="267">
        <f>SUM('P NP TAMBAK KAB'!Y8,'P NP TAMBAK KAB'!AA8)</f>
        <v>0</v>
      </c>
      <c r="E60" s="267">
        <f>'P NP TAMBAK KAB'!AM8</f>
        <v>0</v>
      </c>
      <c r="F60" s="267">
        <f>'P NP TAMBAK KAB'!AU8</f>
        <v>0</v>
      </c>
      <c r="G60" s="267">
        <f>'P NP TAMBAK KAB'!S8</f>
        <v>0</v>
      </c>
      <c r="H60" s="267">
        <f>'P NP TAMBAK KAB'!E8</f>
        <v>0</v>
      </c>
      <c r="I60" s="267">
        <f>'P NP TAMBAK KAB'!AO8</f>
        <v>0</v>
      </c>
      <c r="J60" s="267">
        <f>'P NP TAMBAK KAB'!I8</f>
        <v>0</v>
      </c>
      <c r="K60" s="268">
        <f>SUM('P NP TAMBAK KAB'!AK8,'P NP TAMBAK KAB'!AW8,'P NP TAMBAK KAB'!BQ8,'P NP TAMBAK KAB'!BW8)</f>
        <v>0</v>
      </c>
      <c r="L60" s="352">
        <f t="shared" si="9"/>
        <v>28346500</v>
      </c>
      <c r="M60" s="267">
        <f>'P NP TAMBAK KAB'!BE8</f>
        <v>0</v>
      </c>
      <c r="N60" s="267">
        <f>'P NP TAMBAK KAB'!BA8</f>
        <v>0</v>
      </c>
      <c r="O60" s="267">
        <f>'P NP TAMBAK KAB'!BG8</f>
        <v>0</v>
      </c>
      <c r="P60" s="267">
        <f>'P NP TAMBAK KAB'!BC8</f>
        <v>28346500</v>
      </c>
      <c r="Q60" s="267">
        <f>'P NP TAMBAK KAB'!BI8</f>
        <v>0</v>
      </c>
      <c r="R60" s="267">
        <f>'P NP TAMBAK KAB'!BM8</f>
        <v>0</v>
      </c>
      <c r="S60" s="267">
        <f>'P NP TAMBAK KAB'!U8</f>
        <v>0</v>
      </c>
      <c r="T60" s="267">
        <f>'P NP TAMBAK KAB'!BU8</f>
        <v>0</v>
      </c>
      <c r="U60" s="820">
        <f>'P NP TAMBAK KAB'!N8</f>
        <v>0</v>
      </c>
      <c r="V60" s="306"/>
      <c r="W60" s="557">
        <f t="shared" ref="W60:W77" si="10">SUM(X60:AA60)</f>
        <v>28346500</v>
      </c>
      <c r="X60" s="350">
        <f>'P NP TW'!Q9</f>
        <v>6825000</v>
      </c>
      <c r="Y60" s="350">
        <f>'P NP TW'!S9</f>
        <v>7085000</v>
      </c>
      <c r="Z60" s="350">
        <f>'P NP TW'!U9</f>
        <v>7332000</v>
      </c>
      <c r="AA60" s="351">
        <f>'P NP TW'!W9</f>
        <v>7104500</v>
      </c>
    </row>
    <row r="61" spans="1:27">
      <c r="A61" s="346" t="s">
        <v>133</v>
      </c>
      <c r="B61" s="350">
        <f t="shared" si="7"/>
        <v>0</v>
      </c>
      <c r="C61" s="350">
        <f t="shared" si="8"/>
        <v>0</v>
      </c>
      <c r="D61" s="267">
        <f>SUM('P NP TAMBAK KAB'!Y9,'P NP TAMBAK KAB'!AA9)</f>
        <v>0</v>
      </c>
      <c r="E61" s="267">
        <f>'P NP TAMBAK KAB'!AM9</f>
        <v>0</v>
      </c>
      <c r="F61" s="267">
        <f>'P NP TAMBAK KAB'!AU9</f>
        <v>0</v>
      </c>
      <c r="G61" s="267">
        <f>'P NP TAMBAK KAB'!S9</f>
        <v>0</v>
      </c>
      <c r="H61" s="267">
        <f>'P NP TAMBAK KAB'!E9</f>
        <v>0</v>
      </c>
      <c r="I61" s="267">
        <f>'P NP TAMBAK KAB'!AO9</f>
        <v>0</v>
      </c>
      <c r="J61" s="267">
        <f>'P NP TAMBAK KAB'!I9</f>
        <v>0</v>
      </c>
      <c r="K61" s="268">
        <f>SUM('P NP TAMBAK KAB'!AK9,'P NP TAMBAK KAB'!AW9,'P NP TAMBAK KAB'!BQ9,'P NP TAMBAK KAB'!BW9)</f>
        <v>0</v>
      </c>
      <c r="L61" s="352">
        <f t="shared" si="9"/>
        <v>0</v>
      </c>
      <c r="M61" s="267">
        <f>'P NP TAMBAK KAB'!BE9</f>
        <v>0</v>
      </c>
      <c r="N61" s="267">
        <f>'P NP TAMBAK KAB'!BA9</f>
        <v>0</v>
      </c>
      <c r="O61" s="267">
        <f>'P NP TAMBAK KAB'!BG9</f>
        <v>0</v>
      </c>
      <c r="P61" s="267">
        <f>'P NP TAMBAK KAB'!BC9</f>
        <v>0</v>
      </c>
      <c r="Q61" s="267">
        <f>'P NP TAMBAK KAB'!BI9</f>
        <v>0</v>
      </c>
      <c r="R61" s="267">
        <f>'P NP TAMBAK KAB'!BM9</f>
        <v>0</v>
      </c>
      <c r="S61" s="267">
        <f>'P NP TAMBAK KAB'!U9</f>
        <v>0</v>
      </c>
      <c r="T61" s="267">
        <f>'P NP TAMBAK KAB'!BU9</f>
        <v>0</v>
      </c>
      <c r="U61" s="820">
        <f>'P NP TAMBAK KAB'!N9</f>
        <v>0</v>
      </c>
      <c r="V61" s="306"/>
      <c r="W61" s="557">
        <f t="shared" si="10"/>
        <v>0</v>
      </c>
      <c r="X61" s="350">
        <f>'P NP TW'!Q10</f>
        <v>0</v>
      </c>
      <c r="Y61" s="350">
        <f>'P NP TW'!S10</f>
        <v>0</v>
      </c>
      <c r="Z61" s="350">
        <f>'P NP TW'!U10</f>
        <v>0</v>
      </c>
      <c r="AA61" s="351">
        <f>'P NP TW'!W10</f>
        <v>0</v>
      </c>
    </row>
    <row r="62" spans="1:27">
      <c r="A62" s="346" t="s">
        <v>122</v>
      </c>
      <c r="B62" s="350">
        <f t="shared" si="7"/>
        <v>0</v>
      </c>
      <c r="C62" s="350">
        <f t="shared" si="8"/>
        <v>0</v>
      </c>
      <c r="D62" s="267">
        <f>SUM('P NP TAMBAK KAB'!Y10,'P NP TAMBAK KAB'!AA10)</f>
        <v>0</v>
      </c>
      <c r="E62" s="267">
        <f>'P NP TAMBAK KAB'!AM10</f>
        <v>0</v>
      </c>
      <c r="F62" s="267">
        <f>'P NP TAMBAK KAB'!AU10</f>
        <v>0</v>
      </c>
      <c r="G62" s="267">
        <f>'P NP TAMBAK KAB'!S10</f>
        <v>0</v>
      </c>
      <c r="H62" s="267">
        <f>'P NP TAMBAK KAB'!E10</f>
        <v>0</v>
      </c>
      <c r="I62" s="267">
        <f>'P NP TAMBAK KAB'!AO10</f>
        <v>0</v>
      </c>
      <c r="J62" s="267">
        <f>'P NP TAMBAK KAB'!I10</f>
        <v>0</v>
      </c>
      <c r="K62" s="268">
        <f>SUM('P NP TAMBAK KAB'!AK10,'P NP TAMBAK KAB'!AW10,'P NP TAMBAK KAB'!BQ10,'P NP TAMBAK KAB'!BW10)</f>
        <v>0</v>
      </c>
      <c r="L62" s="352">
        <f t="shared" si="9"/>
        <v>0</v>
      </c>
      <c r="M62" s="267">
        <f>'P NP TAMBAK KAB'!BE10</f>
        <v>0</v>
      </c>
      <c r="N62" s="267">
        <f>'P NP TAMBAK KAB'!BA10</f>
        <v>0</v>
      </c>
      <c r="O62" s="267">
        <f>'P NP TAMBAK KAB'!BG10</f>
        <v>0</v>
      </c>
      <c r="P62" s="267">
        <f>'P NP TAMBAK KAB'!BC10</f>
        <v>0</v>
      </c>
      <c r="Q62" s="267">
        <f>'P NP TAMBAK KAB'!BI10</f>
        <v>0</v>
      </c>
      <c r="R62" s="267">
        <f>'P NP TAMBAK KAB'!BM10</f>
        <v>0</v>
      </c>
      <c r="S62" s="267">
        <f>'P NP TAMBAK KAB'!U10</f>
        <v>0</v>
      </c>
      <c r="T62" s="267">
        <f>'P NP TAMBAK KAB'!BU10</f>
        <v>0</v>
      </c>
      <c r="U62" s="820">
        <f>'P NP TAMBAK KAB'!N10</f>
        <v>0</v>
      </c>
      <c r="V62" s="306"/>
      <c r="W62" s="557">
        <f t="shared" si="10"/>
        <v>0</v>
      </c>
      <c r="X62" s="350">
        <f>'P NP TW'!Q11</f>
        <v>0</v>
      </c>
      <c r="Y62" s="350">
        <f>'P NP TW'!S11</f>
        <v>0</v>
      </c>
      <c r="Z62" s="350">
        <f>'P NP TW'!U11</f>
        <v>0</v>
      </c>
      <c r="AA62" s="351">
        <f>'P NP TW'!W11</f>
        <v>0</v>
      </c>
    </row>
    <row r="63" spans="1:27">
      <c r="A63" s="346" t="s">
        <v>136</v>
      </c>
      <c r="B63" s="350">
        <f t="shared" si="7"/>
        <v>2385261859.7672043</v>
      </c>
      <c r="C63" s="350">
        <f t="shared" si="8"/>
        <v>1183074719.5267222</v>
      </c>
      <c r="D63" s="267">
        <f>SUM('P NP TAMBAK KAB'!Y11,'P NP TAMBAK KAB'!AA11)</f>
        <v>16494374.113820082</v>
      </c>
      <c r="E63" s="267">
        <f>'P NP TAMBAK KAB'!AM11</f>
        <v>29091073.649993859</v>
      </c>
      <c r="F63" s="267">
        <f>'P NP TAMBAK KAB'!AU11</f>
        <v>0</v>
      </c>
      <c r="G63" s="267">
        <f>'P NP TAMBAK KAB'!S11</f>
        <v>1036116.8654661704</v>
      </c>
      <c r="H63" s="267">
        <f>'P NP TAMBAK KAB'!E11</f>
        <v>1115896731.3740089</v>
      </c>
      <c r="I63" s="267">
        <f>'P NP TAMBAK KAB'!AO11</f>
        <v>10910704.985198008</v>
      </c>
      <c r="J63" s="267">
        <f>'P NP TAMBAK KAB'!I11</f>
        <v>0</v>
      </c>
      <c r="K63" s="268">
        <f>SUM('P NP TAMBAK KAB'!AK11,'P NP TAMBAK KAB'!AW11,'P NP TAMBAK KAB'!BQ11,'P NP TAMBAK KAB'!BW11)</f>
        <v>9645718.538235195</v>
      </c>
      <c r="L63" s="352">
        <f t="shared" si="9"/>
        <v>1189364412.6483431</v>
      </c>
      <c r="M63" s="267">
        <f>'P NP TAMBAK KAB'!BE11</f>
        <v>266867028.28971636</v>
      </c>
      <c r="N63" s="267">
        <f>'P NP TAMBAK KAB'!BA11</f>
        <v>0</v>
      </c>
      <c r="O63" s="267">
        <f>'P NP TAMBAK KAB'!BG11</f>
        <v>0</v>
      </c>
      <c r="P63" s="267">
        <f>'P NP TAMBAK KAB'!BC11</f>
        <v>905885644.10795295</v>
      </c>
      <c r="Q63" s="267">
        <f>'P NP TAMBAK KAB'!BI11</f>
        <v>0</v>
      </c>
      <c r="R63" s="267">
        <f>'P NP TAMBAK KAB'!BM11</f>
        <v>0</v>
      </c>
      <c r="S63" s="267">
        <f>'P NP TAMBAK KAB'!U11</f>
        <v>16611740.250673776</v>
      </c>
      <c r="T63" s="267">
        <f>'P NP TAMBAK KAB'!BU11</f>
        <v>0</v>
      </c>
      <c r="U63" s="820">
        <f>'P NP TAMBAK KAB'!O11</f>
        <v>12822727.592139456</v>
      </c>
      <c r="V63" s="306"/>
      <c r="W63" s="557">
        <f t="shared" si="10"/>
        <v>2385261859.7672052</v>
      </c>
      <c r="X63" s="350">
        <f>'P NP TW'!Q12</f>
        <v>649282857.08653629</v>
      </c>
      <c r="Y63" s="350">
        <f>'P NP TW'!S12</f>
        <v>636253211.06608498</v>
      </c>
      <c r="Z63" s="350">
        <f>'P NP TW'!U12</f>
        <v>588780871.63413942</v>
      </c>
      <c r="AA63" s="351">
        <f>'P NP TW'!W12</f>
        <v>510944919.98044419</v>
      </c>
    </row>
    <row r="64" spans="1:27">
      <c r="A64" s="346" t="s">
        <v>120</v>
      </c>
      <c r="B64" s="350">
        <f t="shared" si="7"/>
        <v>235205864.45300001</v>
      </c>
      <c r="C64" s="350">
        <f t="shared" si="8"/>
        <v>898038.451</v>
      </c>
      <c r="D64" s="267">
        <f>SUM('P NP TAMBAK KAB'!Y12,'P NP TAMBAK KAB'!AA12)</f>
        <v>0</v>
      </c>
      <c r="E64" s="267">
        <f>'P NP TAMBAK KAB'!AM12</f>
        <v>0</v>
      </c>
      <c r="F64" s="267">
        <f>'P NP TAMBAK KAB'!AU12</f>
        <v>0</v>
      </c>
      <c r="G64" s="267">
        <f>'P NP TAMBAK KAB'!S12</f>
        <v>0</v>
      </c>
      <c r="H64" s="267">
        <f>'P NP TAMBAK KAB'!E12</f>
        <v>898038.451</v>
      </c>
      <c r="I64" s="267">
        <f>'P NP TAMBAK KAB'!AO12</f>
        <v>0</v>
      </c>
      <c r="J64" s="267">
        <f>'P NP TAMBAK KAB'!I12</f>
        <v>0</v>
      </c>
      <c r="K64" s="268">
        <f>SUM('P NP TAMBAK KAB'!AK12,'P NP TAMBAK KAB'!AW12,'P NP TAMBAK KAB'!BQ12,'P NP TAMBAK KAB'!BW12)</f>
        <v>0</v>
      </c>
      <c r="L64" s="352">
        <f t="shared" si="9"/>
        <v>234307826.002</v>
      </c>
      <c r="M64" s="267">
        <f>'P NP TAMBAK KAB'!BE12</f>
        <v>0</v>
      </c>
      <c r="N64" s="267">
        <f>'P NP TAMBAK KAB'!BA12</f>
        <v>0</v>
      </c>
      <c r="O64" s="267">
        <f>'P NP TAMBAK KAB'!BG12</f>
        <v>0</v>
      </c>
      <c r="P64" s="267">
        <f>'P NP TAMBAK KAB'!BC12</f>
        <v>234307826.002</v>
      </c>
      <c r="Q64" s="267">
        <f>'P NP TAMBAK KAB'!BI12</f>
        <v>0</v>
      </c>
      <c r="R64" s="267">
        <f>'P NP TAMBAK KAB'!BM12</f>
        <v>0</v>
      </c>
      <c r="S64" s="267">
        <f>'P NP TAMBAK KAB'!U12</f>
        <v>0</v>
      </c>
      <c r="T64" s="267">
        <f>'P NP TAMBAK KAB'!BU12</f>
        <v>0</v>
      </c>
      <c r="U64" s="820">
        <f>'P NP TAMBAK KAB'!O12</f>
        <v>0</v>
      </c>
      <c r="V64" s="306"/>
      <c r="W64" s="557">
        <f t="shared" si="10"/>
        <v>235205864.45300001</v>
      </c>
      <c r="X64" s="350">
        <f>'P NP TW'!Q13</f>
        <v>25496371.024999999</v>
      </c>
      <c r="Y64" s="350">
        <f>'P NP TW'!S13</f>
        <v>55274378.995999999</v>
      </c>
      <c r="Z64" s="350">
        <f>'P NP TW'!U13</f>
        <v>78790058.811000004</v>
      </c>
      <c r="AA64" s="351">
        <f>'P NP TW'!W13</f>
        <v>75645055.620999992</v>
      </c>
    </row>
    <row r="65" spans="1:27">
      <c r="A65" s="346" t="s">
        <v>128</v>
      </c>
      <c r="B65" s="350">
        <f t="shared" si="7"/>
        <v>0</v>
      </c>
      <c r="C65" s="350">
        <f t="shared" si="8"/>
        <v>0</v>
      </c>
      <c r="D65" s="267">
        <f>SUM('P NP TAMBAK KAB'!Y13,'P NP TAMBAK KAB'!AA13)</f>
        <v>0</v>
      </c>
      <c r="E65" s="267">
        <f>'P NP TAMBAK KAB'!AM13</f>
        <v>0</v>
      </c>
      <c r="F65" s="267">
        <f>'P NP TAMBAK KAB'!AU13</f>
        <v>0</v>
      </c>
      <c r="G65" s="267">
        <f>'P NP TAMBAK KAB'!S13</f>
        <v>0</v>
      </c>
      <c r="H65" s="267">
        <f>'P NP TAMBAK KAB'!E13</f>
        <v>0</v>
      </c>
      <c r="I65" s="267">
        <f>'P NP TAMBAK KAB'!AO13</f>
        <v>0</v>
      </c>
      <c r="J65" s="267">
        <f>'P NP TAMBAK KAB'!I13</f>
        <v>0</v>
      </c>
      <c r="K65" s="268">
        <f>SUM('P NP TAMBAK KAB'!AK13,'P NP TAMBAK KAB'!AW13,'P NP TAMBAK KAB'!BQ13,'P NP TAMBAK KAB'!BW13)</f>
        <v>0</v>
      </c>
      <c r="L65" s="352">
        <f t="shared" si="9"/>
        <v>0</v>
      </c>
      <c r="M65" s="267">
        <f>'P NP TAMBAK KAB'!BE13</f>
        <v>0</v>
      </c>
      <c r="N65" s="267">
        <f>'P NP TAMBAK KAB'!BA13</f>
        <v>0</v>
      </c>
      <c r="O65" s="267">
        <f>'P NP TAMBAK KAB'!BG13</f>
        <v>0</v>
      </c>
      <c r="P65" s="267">
        <f>'P NP TAMBAK KAB'!BC13</f>
        <v>0</v>
      </c>
      <c r="Q65" s="267">
        <f>'P NP TAMBAK KAB'!BI13</f>
        <v>0</v>
      </c>
      <c r="R65" s="267">
        <f>'P NP TAMBAK KAB'!BM13</f>
        <v>0</v>
      </c>
      <c r="S65" s="267">
        <f>'P NP TAMBAK KAB'!U13</f>
        <v>0</v>
      </c>
      <c r="T65" s="267">
        <f>'P NP TAMBAK KAB'!BU13</f>
        <v>0</v>
      </c>
      <c r="U65" s="820">
        <f>'P NP TAMBAK KAB'!O13</f>
        <v>0</v>
      </c>
      <c r="V65" s="306"/>
      <c r="W65" s="557">
        <f t="shared" si="10"/>
        <v>0</v>
      </c>
      <c r="X65" s="350">
        <f>'P NP TW'!Q14</f>
        <v>0</v>
      </c>
      <c r="Y65" s="350">
        <f>'P NP TW'!S14</f>
        <v>0</v>
      </c>
      <c r="Z65" s="350">
        <f>'P NP TW'!U14</f>
        <v>0</v>
      </c>
      <c r="AA65" s="351">
        <f>'P NP TW'!W14</f>
        <v>0</v>
      </c>
    </row>
    <row r="66" spans="1:27">
      <c r="A66" s="346" t="s">
        <v>117</v>
      </c>
      <c r="B66" s="350">
        <f t="shared" si="7"/>
        <v>0</v>
      </c>
      <c r="C66" s="350">
        <f>SUM(D66:K66)</f>
        <v>0</v>
      </c>
      <c r="D66" s="267">
        <f>SUM('P NP TAMBAK KAB'!Y14,'P NP TAMBAK KAB'!AA14)</f>
        <v>0</v>
      </c>
      <c r="E66" s="267">
        <f>'P NP TAMBAK KAB'!AM14</f>
        <v>0</v>
      </c>
      <c r="F66" s="267">
        <f>'P NP TAMBAK KAB'!AU14</f>
        <v>0</v>
      </c>
      <c r="G66" s="267">
        <f>'P NP TAMBAK KAB'!S14</f>
        <v>0</v>
      </c>
      <c r="H66" s="267">
        <f>'P NP TAMBAK KAB'!E14</f>
        <v>0</v>
      </c>
      <c r="I66" s="267">
        <f>'P NP TAMBAK KAB'!AO14</f>
        <v>0</v>
      </c>
      <c r="J66" s="267">
        <f>'P NP TAMBAK KAB'!I14</f>
        <v>0</v>
      </c>
      <c r="K66" s="268">
        <f>SUM('P NP TAMBAK KAB'!AK14,'P NP TAMBAK KAB'!AW14,'P NP TAMBAK KAB'!BQ14,'P NP TAMBAK KAB'!BW14)</f>
        <v>0</v>
      </c>
      <c r="L66" s="352">
        <f t="shared" si="9"/>
        <v>0</v>
      </c>
      <c r="M66" s="267">
        <f>'P NP TAMBAK KAB'!BE14</f>
        <v>0</v>
      </c>
      <c r="N66" s="267">
        <f>'P NP TAMBAK KAB'!BA14</f>
        <v>0</v>
      </c>
      <c r="O66" s="267">
        <f>'P NP TAMBAK KAB'!BG14</f>
        <v>0</v>
      </c>
      <c r="P66" s="267">
        <f>'P NP TAMBAK KAB'!BC14</f>
        <v>0</v>
      </c>
      <c r="Q66" s="267">
        <f>'P NP TAMBAK KAB'!BI14</f>
        <v>0</v>
      </c>
      <c r="R66" s="267">
        <f>'P NP TAMBAK KAB'!BM14</f>
        <v>0</v>
      </c>
      <c r="S66" s="267">
        <f>'P NP TAMBAK KAB'!U14</f>
        <v>0</v>
      </c>
      <c r="T66" s="267">
        <f>'P NP TAMBAK KAB'!BU14</f>
        <v>0</v>
      </c>
      <c r="U66" s="820">
        <f>'P NP TAMBAK KAB'!O14</f>
        <v>0</v>
      </c>
      <c r="V66" s="306"/>
      <c r="W66" s="557">
        <f t="shared" si="10"/>
        <v>0</v>
      </c>
      <c r="X66" s="350">
        <f>'P NP TW'!Q15</f>
        <v>0</v>
      </c>
      <c r="Y66" s="350">
        <f>'P NP TW'!S15</f>
        <v>0</v>
      </c>
      <c r="Z66" s="350">
        <f>'P NP TW'!U15</f>
        <v>0</v>
      </c>
      <c r="AA66" s="351">
        <f>'P NP TW'!W15</f>
        <v>0</v>
      </c>
    </row>
    <row r="67" spans="1:27">
      <c r="A67" s="346" t="s">
        <v>135</v>
      </c>
      <c r="B67" s="350">
        <f t="shared" si="7"/>
        <v>296519672</v>
      </c>
      <c r="C67" s="350">
        <f>SUM(D67:K67)</f>
        <v>191641750</v>
      </c>
      <c r="D67" s="267">
        <f>SUM('P NP TAMBAK KAB'!Y15,'P NP TAMBAK KAB'!AA15)</f>
        <v>174124715</v>
      </c>
      <c r="E67" s="267">
        <f>'P NP TAMBAK KAB'!AM15</f>
        <v>60085</v>
      </c>
      <c r="F67" s="267">
        <f>'P NP TAMBAK KAB'!AU15</f>
        <v>0</v>
      </c>
      <c r="G67" s="267">
        <f>'P NP TAMBAK KAB'!S15</f>
        <v>0</v>
      </c>
      <c r="H67" s="267">
        <f>'P NP TAMBAK KAB'!E15</f>
        <v>10872286</v>
      </c>
      <c r="I67" s="267">
        <f>'P NP TAMBAK KAB'!AO15</f>
        <v>6584664</v>
      </c>
      <c r="J67" s="267">
        <f>'P NP TAMBAK KAB'!I15</f>
        <v>0</v>
      </c>
      <c r="K67" s="268">
        <f>SUM('P NP TAMBAK KAB'!AK15,'P NP TAMBAK KAB'!AW15,'P NP TAMBAK KAB'!BQ15,'P NP TAMBAK KAB'!BW15)</f>
        <v>0</v>
      </c>
      <c r="L67" s="352">
        <f t="shared" si="9"/>
        <v>104877922</v>
      </c>
      <c r="M67" s="267">
        <f>'P NP TAMBAK KAB'!BE15</f>
        <v>0</v>
      </c>
      <c r="N67" s="267">
        <f>'P NP TAMBAK KAB'!BA15</f>
        <v>0</v>
      </c>
      <c r="O67" s="267">
        <f>'P NP TAMBAK KAB'!BG15</f>
        <v>0</v>
      </c>
      <c r="P67" s="267">
        <f>'P NP TAMBAK KAB'!BC15</f>
        <v>104877922</v>
      </c>
      <c r="Q67" s="267">
        <f>'P NP TAMBAK KAB'!BI15</f>
        <v>0</v>
      </c>
      <c r="R67" s="267">
        <f>'P NP TAMBAK KAB'!BM15</f>
        <v>0</v>
      </c>
      <c r="S67" s="267">
        <f>'P NP TAMBAK KAB'!U15</f>
        <v>0</v>
      </c>
      <c r="T67" s="267">
        <f>'P NP TAMBAK KAB'!BU15</f>
        <v>0</v>
      </c>
      <c r="U67" s="820">
        <f>'P NP TAMBAK KAB'!O15</f>
        <v>0</v>
      </c>
      <c r="V67" s="306"/>
      <c r="W67" s="557">
        <f t="shared" si="10"/>
        <v>296519672</v>
      </c>
      <c r="X67" s="350">
        <f>'P NP TW'!Q16</f>
        <v>77754145</v>
      </c>
      <c r="Y67" s="350">
        <f>'P NP TW'!S16</f>
        <v>101722343</v>
      </c>
      <c r="Z67" s="350">
        <f>'P NP TW'!U16</f>
        <v>53607654</v>
      </c>
      <c r="AA67" s="351">
        <f>'P NP TW'!W16</f>
        <v>63435530</v>
      </c>
    </row>
    <row r="68" spans="1:27">
      <c r="A68" s="346" t="s">
        <v>119</v>
      </c>
      <c r="B68" s="350">
        <f t="shared" si="7"/>
        <v>89400000</v>
      </c>
      <c r="C68" s="350">
        <f t="shared" si="8"/>
        <v>0</v>
      </c>
      <c r="D68" s="267">
        <f>SUM('P NP TAMBAK KAB'!Y16,'P NP TAMBAK KAB'!AA16)</f>
        <v>0</v>
      </c>
      <c r="E68" s="267">
        <f>'P NP TAMBAK KAB'!AM16</f>
        <v>0</v>
      </c>
      <c r="F68" s="267">
        <f>'P NP TAMBAK KAB'!AU16</f>
        <v>0</v>
      </c>
      <c r="G68" s="267">
        <f>'P NP TAMBAK KAB'!S16</f>
        <v>0</v>
      </c>
      <c r="H68" s="267">
        <f>'P NP TAMBAK KAB'!E16</f>
        <v>0</v>
      </c>
      <c r="I68" s="267">
        <f>'P NP TAMBAK KAB'!AO16</f>
        <v>0</v>
      </c>
      <c r="J68" s="267">
        <f>'P NP TAMBAK KAB'!I16</f>
        <v>0</v>
      </c>
      <c r="K68" s="268">
        <f>SUM('P NP TAMBAK KAB'!AK16,'P NP TAMBAK KAB'!AW16,'P NP TAMBAK KAB'!BQ16,'P NP TAMBAK KAB'!BW16)</f>
        <v>0</v>
      </c>
      <c r="L68" s="352">
        <f t="shared" si="9"/>
        <v>89400000</v>
      </c>
      <c r="M68" s="267">
        <f>'P NP TAMBAK KAB'!BE16</f>
        <v>0</v>
      </c>
      <c r="N68" s="267">
        <f>'P NP TAMBAK KAB'!BA16</f>
        <v>0</v>
      </c>
      <c r="O68" s="267">
        <f>'P NP TAMBAK KAB'!BG16</f>
        <v>0</v>
      </c>
      <c r="P68" s="267">
        <f>'P NP TAMBAK KAB'!BC16</f>
        <v>89400000</v>
      </c>
      <c r="Q68" s="267">
        <f>'P NP TAMBAK KAB'!BI16</f>
        <v>0</v>
      </c>
      <c r="R68" s="267">
        <f>'P NP TAMBAK KAB'!BM16</f>
        <v>0</v>
      </c>
      <c r="S68" s="267">
        <f>'P NP TAMBAK KAB'!U16</f>
        <v>0</v>
      </c>
      <c r="T68" s="267">
        <f>'P NP TAMBAK KAB'!BU16</f>
        <v>0</v>
      </c>
      <c r="U68" s="820">
        <f>'P NP TAMBAK KAB'!O16</f>
        <v>0</v>
      </c>
      <c r="V68" s="306"/>
      <c r="W68" s="557">
        <f t="shared" si="10"/>
        <v>89400000</v>
      </c>
      <c r="X68" s="350">
        <f>'P NP TW'!Q17</f>
        <v>23100000</v>
      </c>
      <c r="Y68" s="350">
        <f>'P NP TW'!S17</f>
        <v>22200000</v>
      </c>
      <c r="Z68" s="350">
        <f>'P NP TW'!U17</f>
        <v>21600000</v>
      </c>
      <c r="AA68" s="351">
        <f>'P NP TW'!W17</f>
        <v>22500000</v>
      </c>
    </row>
    <row r="69" spans="1:27">
      <c r="A69" s="346" t="s">
        <v>130</v>
      </c>
      <c r="B69" s="350">
        <f t="shared" si="7"/>
        <v>0</v>
      </c>
      <c r="C69" s="350">
        <f t="shared" si="8"/>
        <v>0</v>
      </c>
      <c r="D69" s="267">
        <f>SUM('P NP TAMBAK KAB'!Y17,'P NP TAMBAK KAB'!AA17)</f>
        <v>0</v>
      </c>
      <c r="E69" s="267">
        <f>'P NP TAMBAK KAB'!AM17</f>
        <v>0</v>
      </c>
      <c r="F69" s="267">
        <f>'P NP TAMBAK KAB'!AU17</f>
        <v>0</v>
      </c>
      <c r="G69" s="267">
        <f>'P NP TAMBAK KAB'!S17</f>
        <v>0</v>
      </c>
      <c r="H69" s="267">
        <f>'P NP TAMBAK KAB'!E17</f>
        <v>0</v>
      </c>
      <c r="I69" s="267">
        <f>'P NP TAMBAK KAB'!AO17</f>
        <v>0</v>
      </c>
      <c r="J69" s="267">
        <f>'P NP TAMBAK KAB'!I17</f>
        <v>0</v>
      </c>
      <c r="K69" s="268">
        <f>SUM('P NP TAMBAK KAB'!AK17,'P NP TAMBAK KAB'!AW17,'P NP TAMBAK KAB'!BQ17,'P NP TAMBAK KAB'!BW17)</f>
        <v>0</v>
      </c>
      <c r="L69" s="352">
        <f t="shared" si="9"/>
        <v>0</v>
      </c>
      <c r="M69" s="267">
        <f>'P NP TAMBAK KAB'!BE17</f>
        <v>0</v>
      </c>
      <c r="N69" s="267">
        <f>'P NP TAMBAK KAB'!BA17</f>
        <v>0</v>
      </c>
      <c r="O69" s="267">
        <f>'P NP TAMBAK KAB'!BG17</f>
        <v>0</v>
      </c>
      <c r="P69" s="267">
        <f>'P NP TAMBAK KAB'!BC17</f>
        <v>0</v>
      </c>
      <c r="Q69" s="267">
        <f>'P NP TAMBAK KAB'!BI17</f>
        <v>0</v>
      </c>
      <c r="R69" s="267">
        <f>'P NP TAMBAK KAB'!BM17</f>
        <v>0</v>
      </c>
      <c r="S69" s="267">
        <f>'P NP TAMBAK KAB'!U17</f>
        <v>0</v>
      </c>
      <c r="T69" s="267">
        <f>'P NP TAMBAK KAB'!BU17</f>
        <v>0</v>
      </c>
      <c r="U69" s="820">
        <f>'P NP TAMBAK KAB'!O17</f>
        <v>0</v>
      </c>
      <c r="V69" s="357"/>
      <c r="W69" s="557">
        <f t="shared" si="10"/>
        <v>0</v>
      </c>
      <c r="X69" s="350">
        <f>'P NP TW'!Q18</f>
        <v>0</v>
      </c>
      <c r="Y69" s="350">
        <f>'P NP TW'!S18</f>
        <v>0</v>
      </c>
      <c r="Z69" s="350">
        <f>'P NP TW'!U18</f>
        <v>0</v>
      </c>
      <c r="AA69" s="351">
        <f>'P NP TW'!W18</f>
        <v>0</v>
      </c>
    </row>
    <row r="70" spans="1:27">
      <c r="A70" s="346" t="s">
        <v>131</v>
      </c>
      <c r="B70" s="350">
        <f t="shared" si="7"/>
        <v>0</v>
      </c>
      <c r="C70" s="350">
        <f t="shared" si="8"/>
        <v>0</v>
      </c>
      <c r="D70" s="267">
        <f>SUM('P NP TAMBAK KAB'!Y18,'P NP TAMBAK KAB'!AA18)</f>
        <v>0</v>
      </c>
      <c r="E70" s="267">
        <f>'P NP TAMBAK KAB'!AM18</f>
        <v>0</v>
      </c>
      <c r="F70" s="267">
        <f>'P NP TAMBAK KAB'!AU18</f>
        <v>0</v>
      </c>
      <c r="G70" s="267">
        <f>'P NP TAMBAK KAB'!S18</f>
        <v>0</v>
      </c>
      <c r="H70" s="267">
        <f>'P NP TAMBAK KAB'!E18</f>
        <v>0</v>
      </c>
      <c r="I70" s="267">
        <f>'P NP TAMBAK KAB'!AO18</f>
        <v>0</v>
      </c>
      <c r="J70" s="267">
        <f>'P NP TAMBAK KAB'!I18</f>
        <v>0</v>
      </c>
      <c r="K70" s="268">
        <f>SUM('P NP TAMBAK KAB'!AK18,'P NP TAMBAK KAB'!AW18,'P NP TAMBAK KAB'!BQ18,'P NP TAMBAK KAB'!BW18)</f>
        <v>0</v>
      </c>
      <c r="L70" s="352">
        <f t="shared" si="9"/>
        <v>0</v>
      </c>
      <c r="M70" s="267">
        <f>'P NP TAMBAK KAB'!BE18</f>
        <v>0</v>
      </c>
      <c r="N70" s="267">
        <f>'P NP TAMBAK KAB'!BA18</f>
        <v>0</v>
      </c>
      <c r="O70" s="267">
        <f>'P NP TAMBAK KAB'!BG18</f>
        <v>0</v>
      </c>
      <c r="P70" s="267">
        <f>'P NP TAMBAK KAB'!BC18</f>
        <v>0</v>
      </c>
      <c r="Q70" s="267">
        <f>'P NP TAMBAK KAB'!BI18</f>
        <v>0</v>
      </c>
      <c r="R70" s="267">
        <f>'P NP TAMBAK KAB'!BM18</f>
        <v>0</v>
      </c>
      <c r="S70" s="267">
        <f>'P NP TAMBAK KAB'!U18</f>
        <v>0</v>
      </c>
      <c r="T70" s="267">
        <f>'P NP TAMBAK KAB'!BU18</f>
        <v>0</v>
      </c>
      <c r="U70" s="820">
        <f>'P NP TAMBAK KAB'!O18</f>
        <v>0</v>
      </c>
      <c r="V70" s="358"/>
      <c r="W70" s="557">
        <f t="shared" si="10"/>
        <v>0</v>
      </c>
      <c r="X70" s="350">
        <f>'P NP TW'!Q19</f>
        <v>0</v>
      </c>
      <c r="Y70" s="350">
        <f>'P NP TW'!S19</f>
        <v>0</v>
      </c>
      <c r="Z70" s="350">
        <f>'P NP TW'!U19</f>
        <v>0</v>
      </c>
      <c r="AA70" s="351">
        <f>'P NP TW'!W19</f>
        <v>0</v>
      </c>
    </row>
    <row r="71" spans="1:27">
      <c r="A71" s="346" t="s">
        <v>118</v>
      </c>
      <c r="B71" s="350">
        <f t="shared" si="7"/>
        <v>104135000</v>
      </c>
      <c r="C71" s="350">
        <f t="shared" si="8"/>
        <v>0</v>
      </c>
      <c r="D71" s="267">
        <f>SUM('P NP TAMBAK KAB'!Y19,'P NP TAMBAK KAB'!AA19)</f>
        <v>0</v>
      </c>
      <c r="E71" s="267">
        <f>'P NP TAMBAK KAB'!AM19</f>
        <v>0</v>
      </c>
      <c r="F71" s="267">
        <f>'P NP TAMBAK KAB'!AU19</f>
        <v>0</v>
      </c>
      <c r="G71" s="267">
        <f>'P NP TAMBAK KAB'!S19</f>
        <v>0</v>
      </c>
      <c r="H71" s="267">
        <f>'P NP TAMBAK KAB'!E19</f>
        <v>0</v>
      </c>
      <c r="I71" s="267">
        <f>'P NP TAMBAK KAB'!AO19</f>
        <v>0</v>
      </c>
      <c r="J71" s="267">
        <f>'P NP TAMBAK KAB'!I19</f>
        <v>0</v>
      </c>
      <c r="K71" s="268">
        <f>SUM('P NP TAMBAK KAB'!AK19,'P NP TAMBAK KAB'!AW19,'P NP TAMBAK KAB'!BQ19,'P NP TAMBAK KAB'!BW19)</f>
        <v>0</v>
      </c>
      <c r="L71" s="352">
        <f t="shared" si="9"/>
        <v>104135000</v>
      </c>
      <c r="M71" s="267">
        <f>'P NP TAMBAK KAB'!BE19</f>
        <v>0</v>
      </c>
      <c r="N71" s="267">
        <f>'P NP TAMBAK KAB'!BA19</f>
        <v>5670000</v>
      </c>
      <c r="O71" s="267">
        <f>'P NP TAMBAK KAB'!BG19</f>
        <v>0</v>
      </c>
      <c r="P71" s="267">
        <f>'P NP TAMBAK KAB'!BC19</f>
        <v>98465000</v>
      </c>
      <c r="Q71" s="267">
        <f>'P NP TAMBAK KAB'!BI19</f>
        <v>0</v>
      </c>
      <c r="R71" s="267">
        <f>'P NP TAMBAK KAB'!BM19</f>
        <v>0</v>
      </c>
      <c r="S71" s="267">
        <f>'P NP TAMBAK KAB'!U19</f>
        <v>0</v>
      </c>
      <c r="T71" s="267">
        <f>'P NP TAMBAK KAB'!BU19</f>
        <v>0</v>
      </c>
      <c r="U71" s="820">
        <f>'P NP TAMBAK KAB'!O19</f>
        <v>0</v>
      </c>
      <c r="V71" s="358"/>
      <c r="W71" s="557">
        <f t="shared" si="10"/>
        <v>104135000</v>
      </c>
      <c r="X71" s="350">
        <f>'P NP TW'!Q20</f>
        <v>16825000</v>
      </c>
      <c r="Y71" s="350">
        <f>'P NP TW'!S20</f>
        <v>25580000</v>
      </c>
      <c r="Z71" s="350">
        <f>'P NP TW'!U20</f>
        <v>29750000</v>
      </c>
      <c r="AA71" s="351">
        <f>'P NP TW'!W20</f>
        <v>31980000</v>
      </c>
    </row>
    <row r="72" spans="1:27">
      <c r="A72" s="346" t="s">
        <v>127</v>
      </c>
      <c r="B72" s="350">
        <f t="shared" si="7"/>
        <v>0</v>
      </c>
      <c r="C72" s="350">
        <f t="shared" si="8"/>
        <v>0</v>
      </c>
      <c r="D72" s="267">
        <f>SUM('P NP TAMBAK KAB'!Y20,'P NP TAMBAK KAB'!AA20)</f>
        <v>0</v>
      </c>
      <c r="E72" s="267">
        <f>'P NP TAMBAK KAB'!AM20</f>
        <v>0</v>
      </c>
      <c r="F72" s="267">
        <f>'P NP TAMBAK KAB'!AU20</f>
        <v>0</v>
      </c>
      <c r="G72" s="267">
        <f>'P NP TAMBAK KAB'!S20</f>
        <v>0</v>
      </c>
      <c r="H72" s="267">
        <f>'P NP TAMBAK KAB'!E20</f>
        <v>0</v>
      </c>
      <c r="I72" s="267">
        <f>'P NP TAMBAK KAB'!AO20</f>
        <v>0</v>
      </c>
      <c r="J72" s="267">
        <f>'P NP TAMBAK KAB'!I20</f>
        <v>0</v>
      </c>
      <c r="K72" s="268">
        <f>SUM('P NP TAMBAK KAB'!AK20,'P NP TAMBAK KAB'!AW20,'P NP TAMBAK KAB'!BQ20,'P NP TAMBAK KAB'!BW20)</f>
        <v>0</v>
      </c>
      <c r="L72" s="352">
        <f t="shared" si="9"/>
        <v>0</v>
      </c>
      <c r="M72" s="267">
        <f>'P NP TAMBAK KAB'!BE20</f>
        <v>0</v>
      </c>
      <c r="N72" s="267">
        <f>'P NP TAMBAK KAB'!BA20</f>
        <v>0</v>
      </c>
      <c r="O72" s="267">
        <f>'P NP TAMBAK KAB'!BG20</f>
        <v>0</v>
      </c>
      <c r="P72" s="267">
        <f>'P NP TAMBAK KAB'!BC20</f>
        <v>0</v>
      </c>
      <c r="Q72" s="267">
        <f>'P NP TAMBAK KAB'!BI20</f>
        <v>0</v>
      </c>
      <c r="R72" s="267">
        <f>'P NP TAMBAK KAB'!BM20</f>
        <v>0</v>
      </c>
      <c r="S72" s="267">
        <f>'P NP TAMBAK KAB'!U20</f>
        <v>0</v>
      </c>
      <c r="T72" s="267">
        <f>'P NP TAMBAK KAB'!BU20</f>
        <v>0</v>
      </c>
      <c r="U72" s="820">
        <f>'P NP TAMBAK KAB'!O20</f>
        <v>0</v>
      </c>
      <c r="V72" s="306"/>
      <c r="W72" s="557">
        <f t="shared" si="10"/>
        <v>0</v>
      </c>
      <c r="X72" s="350">
        <f>'P NP TW'!Q21</f>
        <v>0</v>
      </c>
      <c r="Y72" s="350">
        <f>'P NP TW'!S21</f>
        <v>0</v>
      </c>
      <c r="Z72" s="350">
        <f>'P NP TW'!U21</f>
        <v>0</v>
      </c>
      <c r="AA72" s="351">
        <f>'P NP TW'!W21</f>
        <v>0</v>
      </c>
    </row>
    <row r="73" spans="1:27">
      <c r="A73" s="346" t="s">
        <v>129</v>
      </c>
      <c r="B73" s="350">
        <f t="shared" si="7"/>
        <v>0</v>
      </c>
      <c r="C73" s="350">
        <f t="shared" si="8"/>
        <v>0</v>
      </c>
      <c r="D73" s="267">
        <f>SUM('P NP TAMBAK KAB'!Y21,'P NP TAMBAK KAB'!AA21)</f>
        <v>0</v>
      </c>
      <c r="E73" s="267">
        <f>'P NP TAMBAK KAB'!AM21</f>
        <v>0</v>
      </c>
      <c r="F73" s="267">
        <f>'P NP TAMBAK KAB'!AU21</f>
        <v>0</v>
      </c>
      <c r="G73" s="267">
        <f>'P NP TAMBAK KAB'!S21</f>
        <v>0</v>
      </c>
      <c r="H73" s="267">
        <f>'P NP TAMBAK KAB'!E21</f>
        <v>0</v>
      </c>
      <c r="I73" s="267">
        <f>'P NP TAMBAK KAB'!AO21</f>
        <v>0</v>
      </c>
      <c r="J73" s="267">
        <f>'P NP TAMBAK KAB'!I21</f>
        <v>0</v>
      </c>
      <c r="K73" s="268">
        <f>SUM('P NP TAMBAK KAB'!AK21,'P NP TAMBAK KAB'!AW21,'P NP TAMBAK KAB'!BQ21,'P NP TAMBAK KAB'!BW21)</f>
        <v>0</v>
      </c>
      <c r="L73" s="352">
        <f t="shared" si="9"/>
        <v>0</v>
      </c>
      <c r="M73" s="267">
        <f>'P NP TAMBAK KAB'!BE21</f>
        <v>0</v>
      </c>
      <c r="N73" s="267">
        <f>'P NP TAMBAK KAB'!BA21</f>
        <v>0</v>
      </c>
      <c r="O73" s="267">
        <f>'P NP TAMBAK KAB'!BG21</f>
        <v>0</v>
      </c>
      <c r="P73" s="267">
        <f>'P NP TAMBAK KAB'!BC21</f>
        <v>0</v>
      </c>
      <c r="Q73" s="267">
        <f>'P NP TAMBAK KAB'!BI21</f>
        <v>0</v>
      </c>
      <c r="R73" s="267">
        <f>'P NP TAMBAK KAB'!BM21</f>
        <v>0</v>
      </c>
      <c r="S73" s="267">
        <f>'P NP TAMBAK KAB'!U21</f>
        <v>0</v>
      </c>
      <c r="T73" s="267">
        <f>'P NP TAMBAK KAB'!BU21</f>
        <v>0</v>
      </c>
      <c r="U73" s="820">
        <f>'P NP TAMBAK KAB'!O21</f>
        <v>0</v>
      </c>
      <c r="V73" s="306"/>
      <c r="W73" s="557">
        <f t="shared" si="10"/>
        <v>0</v>
      </c>
      <c r="X73" s="350">
        <f>'P NP TW'!Q22</f>
        <v>0</v>
      </c>
      <c r="Y73" s="350">
        <f>'P NP TW'!S22</f>
        <v>0</v>
      </c>
      <c r="Z73" s="350">
        <f>'P NP TW'!U22</f>
        <v>0</v>
      </c>
      <c r="AA73" s="351">
        <f>'P NP TW'!W22</f>
        <v>0</v>
      </c>
    </row>
    <row r="74" spans="1:27">
      <c r="A74" s="346" t="s">
        <v>132</v>
      </c>
      <c r="B74" s="350">
        <f t="shared" si="7"/>
        <v>0</v>
      </c>
      <c r="C74" s="350">
        <f t="shared" si="8"/>
        <v>0</v>
      </c>
      <c r="D74" s="267">
        <f>SUM('P NP TAMBAK KAB'!Y22,'P NP TAMBAK KAB'!AA22)</f>
        <v>0</v>
      </c>
      <c r="E74" s="267">
        <f>'P NP TAMBAK KAB'!AM22</f>
        <v>0</v>
      </c>
      <c r="F74" s="267">
        <f>'P NP TAMBAK KAB'!AU22</f>
        <v>0</v>
      </c>
      <c r="G74" s="267">
        <f>'P NP TAMBAK KAB'!S22</f>
        <v>0</v>
      </c>
      <c r="H74" s="267">
        <f>'P NP TAMBAK KAB'!E22</f>
        <v>0</v>
      </c>
      <c r="I74" s="267">
        <f>'P NP TAMBAK KAB'!AO22</f>
        <v>0</v>
      </c>
      <c r="J74" s="267">
        <f>'P NP TAMBAK KAB'!I22</f>
        <v>0</v>
      </c>
      <c r="K74" s="268">
        <f>SUM('P NP TAMBAK KAB'!AK22,'P NP TAMBAK KAB'!AW22,'P NP TAMBAK KAB'!BQ22,'P NP TAMBAK KAB'!BW22)</f>
        <v>0</v>
      </c>
      <c r="L74" s="352">
        <f t="shared" si="9"/>
        <v>0</v>
      </c>
      <c r="M74" s="267">
        <f>'P NP TAMBAK KAB'!BE22</f>
        <v>0</v>
      </c>
      <c r="N74" s="267">
        <f>'P NP TAMBAK KAB'!BA22</f>
        <v>0</v>
      </c>
      <c r="O74" s="267">
        <f>'P NP TAMBAK KAB'!BG22</f>
        <v>0</v>
      </c>
      <c r="P74" s="267">
        <f>'P NP TAMBAK KAB'!BC22</f>
        <v>0</v>
      </c>
      <c r="Q74" s="267">
        <f>'P NP TAMBAK KAB'!BI22</f>
        <v>0</v>
      </c>
      <c r="R74" s="267">
        <f>'P NP TAMBAK KAB'!BM22</f>
        <v>0</v>
      </c>
      <c r="S74" s="267">
        <f>'P NP TAMBAK KAB'!U22</f>
        <v>0</v>
      </c>
      <c r="T74" s="267">
        <f>'P NP TAMBAK KAB'!BU22</f>
        <v>0</v>
      </c>
      <c r="U74" s="820">
        <f>'P NP TAMBAK KAB'!O22</f>
        <v>0</v>
      </c>
      <c r="V74" s="306"/>
      <c r="W74" s="557">
        <f t="shared" si="10"/>
        <v>0</v>
      </c>
      <c r="X74" s="350">
        <f>'P NP TW'!Q23</f>
        <v>0</v>
      </c>
      <c r="Y74" s="350">
        <f>'P NP TW'!S23</f>
        <v>0</v>
      </c>
      <c r="Z74" s="350">
        <f>'P NP TW'!U23</f>
        <v>0</v>
      </c>
      <c r="AA74" s="351">
        <f>'P NP TW'!W23</f>
        <v>0</v>
      </c>
    </row>
    <row r="75" spans="1:27">
      <c r="A75" s="346" t="s">
        <v>112</v>
      </c>
      <c r="B75" s="350">
        <f t="shared" si="7"/>
        <v>137502608</v>
      </c>
      <c r="C75" s="350">
        <f t="shared" si="8"/>
        <v>0</v>
      </c>
      <c r="D75" s="267">
        <f>SUM('P NP TAMBAK KAB'!Y23,'P NP TAMBAK KAB'!AA23)</f>
        <v>0</v>
      </c>
      <c r="E75" s="267">
        <f>'P NP TAMBAK KAB'!AM23</f>
        <v>0</v>
      </c>
      <c r="F75" s="267">
        <f>'P NP TAMBAK KAB'!AU23</f>
        <v>0</v>
      </c>
      <c r="G75" s="267">
        <f>'P NP TAMBAK KAB'!S23</f>
        <v>0</v>
      </c>
      <c r="H75" s="267">
        <f>'P NP TAMBAK KAB'!E23</f>
        <v>0</v>
      </c>
      <c r="I75" s="267">
        <f>'P NP TAMBAK KAB'!AO23</f>
        <v>0</v>
      </c>
      <c r="J75" s="267">
        <f>'P NP TAMBAK KAB'!I23</f>
        <v>0</v>
      </c>
      <c r="K75" s="268">
        <f>SUM('P NP TAMBAK KAB'!AK23,'P NP TAMBAK KAB'!AW23,'P NP TAMBAK KAB'!BQ23,'P NP TAMBAK KAB'!BW23)</f>
        <v>0</v>
      </c>
      <c r="L75" s="352">
        <f t="shared" si="9"/>
        <v>137502608</v>
      </c>
      <c r="M75" s="267">
        <f>'P NP TAMBAK KAB'!BE23</f>
        <v>0</v>
      </c>
      <c r="N75" s="267">
        <f>'P NP TAMBAK KAB'!BA23</f>
        <v>0</v>
      </c>
      <c r="O75" s="267">
        <f>'P NP TAMBAK KAB'!BG23</f>
        <v>0</v>
      </c>
      <c r="P75" s="267">
        <f>'P NP TAMBAK KAB'!BC23</f>
        <v>137394428</v>
      </c>
      <c r="Q75" s="267">
        <f>'P NP TAMBAK KAB'!BI23</f>
        <v>0</v>
      </c>
      <c r="R75" s="267">
        <f>'P NP TAMBAK KAB'!BM23</f>
        <v>0</v>
      </c>
      <c r="S75" s="267">
        <f>'P NP TAMBAK KAB'!U23</f>
        <v>108180</v>
      </c>
      <c r="T75" s="267">
        <f>'P NP TAMBAK KAB'!BU23</f>
        <v>0</v>
      </c>
      <c r="U75" s="820">
        <f>'P NP TAMBAK KAB'!O23</f>
        <v>0</v>
      </c>
      <c r="V75" s="306"/>
      <c r="W75" s="557">
        <f t="shared" si="10"/>
        <v>137502608</v>
      </c>
      <c r="X75" s="350">
        <f>'P NP TW'!Q24</f>
        <v>29688188</v>
      </c>
      <c r="Y75" s="350">
        <f>'P NP TW'!S24</f>
        <v>28378120</v>
      </c>
      <c r="Z75" s="350">
        <f>'P NP TW'!U24</f>
        <v>39770680</v>
      </c>
      <c r="AA75" s="351">
        <f>'P NP TW'!W24</f>
        <v>39665620</v>
      </c>
    </row>
    <row r="76" spans="1:27">
      <c r="A76" s="346" t="s">
        <v>139</v>
      </c>
      <c r="B76" s="350">
        <f t="shared" si="7"/>
        <v>33231010</v>
      </c>
      <c r="C76" s="350">
        <f t="shared" si="8"/>
        <v>97290</v>
      </c>
      <c r="D76" s="267">
        <f>SUM('P NP TAMBAK KAB'!Y24,'P NP TAMBAK KAB'!AA24)</f>
        <v>0</v>
      </c>
      <c r="E76" s="267">
        <f>'P NP TAMBAK KAB'!AM24</f>
        <v>0</v>
      </c>
      <c r="F76" s="267">
        <f>'P NP TAMBAK KAB'!AU24</f>
        <v>0</v>
      </c>
      <c r="G76" s="267">
        <f>'P NP TAMBAK KAB'!S24</f>
        <v>0</v>
      </c>
      <c r="H76" s="267">
        <f>'P NP TAMBAK KAB'!E24</f>
        <v>97290</v>
      </c>
      <c r="I76" s="267">
        <f>'P NP TAMBAK KAB'!AO24</f>
        <v>0</v>
      </c>
      <c r="J76" s="267">
        <f>'P NP TAMBAK KAB'!I24</f>
        <v>0</v>
      </c>
      <c r="K76" s="268">
        <f>SUM('P NP TAMBAK KAB'!AK24,'P NP TAMBAK KAB'!AW24,'P NP TAMBAK KAB'!BQ24,'P NP TAMBAK KAB'!BW24)</f>
        <v>0</v>
      </c>
      <c r="L76" s="352">
        <f t="shared" si="9"/>
        <v>33133720</v>
      </c>
      <c r="M76" s="267">
        <f>'P NP TAMBAK KAB'!BE24</f>
        <v>0</v>
      </c>
      <c r="N76" s="267">
        <f>'P NP TAMBAK KAB'!BA24</f>
        <v>0</v>
      </c>
      <c r="O76" s="267">
        <f>'P NP TAMBAK KAB'!BG24</f>
        <v>0</v>
      </c>
      <c r="P76" s="267">
        <f>'P NP TAMBAK KAB'!BC24</f>
        <v>33133720</v>
      </c>
      <c r="Q76" s="267">
        <f>'P NP TAMBAK KAB'!BI24</f>
        <v>0</v>
      </c>
      <c r="R76" s="267">
        <f>'P NP TAMBAK KAB'!BM24</f>
        <v>0</v>
      </c>
      <c r="S76" s="267">
        <f>'P NP TAMBAK KAB'!U24</f>
        <v>0</v>
      </c>
      <c r="T76" s="267">
        <f>'P NP TAMBAK KAB'!BU24</f>
        <v>0</v>
      </c>
      <c r="U76" s="820">
        <f>'P NP TAMBAK KAB'!O24</f>
        <v>0</v>
      </c>
      <c r="V76" s="306"/>
      <c r="W76" s="557">
        <f t="shared" si="10"/>
        <v>33231010</v>
      </c>
      <c r="X76" s="350">
        <f>'P NP TW'!Q25</f>
        <v>9935474</v>
      </c>
      <c r="Y76" s="350">
        <f>'P NP TW'!S25</f>
        <v>5913065</v>
      </c>
      <c r="Z76" s="350">
        <f>'P NP TW'!U25</f>
        <v>7175374</v>
      </c>
      <c r="AA76" s="351">
        <f>'P NP TW'!W25</f>
        <v>10207097</v>
      </c>
    </row>
    <row r="77" spans="1:27">
      <c r="A77" s="346" t="s">
        <v>125</v>
      </c>
      <c r="B77" s="350">
        <f t="shared" si="7"/>
        <v>151727484</v>
      </c>
      <c r="C77" s="350">
        <f t="shared" si="8"/>
        <v>88575445</v>
      </c>
      <c r="D77" s="267">
        <f>SUM('P NP TAMBAK KAB'!Y25,'P NP TAMBAK KAB'!AA25)</f>
        <v>0</v>
      </c>
      <c r="E77" s="267">
        <f>'P NP TAMBAK KAB'!AM25</f>
        <v>0</v>
      </c>
      <c r="F77" s="267">
        <f>'P NP TAMBAK KAB'!AU25</f>
        <v>0</v>
      </c>
      <c r="G77" s="267">
        <f>'P NP TAMBAK KAB'!S25</f>
        <v>0</v>
      </c>
      <c r="H77" s="267">
        <f>'P NP TAMBAK KAB'!E25</f>
        <v>83738548</v>
      </c>
      <c r="I77" s="267">
        <f>'P NP TAMBAK KAB'!AO25</f>
        <v>4836897</v>
      </c>
      <c r="J77" s="267">
        <f>'P NP TAMBAK KAB'!I25</f>
        <v>0</v>
      </c>
      <c r="K77" s="268">
        <f>SUM('P NP TAMBAK KAB'!AK25,'P NP TAMBAK KAB'!AW25,'P NP TAMBAK KAB'!BQ25,'P NP TAMBAK KAB'!BW25)</f>
        <v>0</v>
      </c>
      <c r="L77" s="352">
        <f t="shared" si="9"/>
        <v>58392080</v>
      </c>
      <c r="M77" s="267">
        <f>'P NP TAMBAK KAB'!BE25</f>
        <v>2981006</v>
      </c>
      <c r="N77" s="267">
        <f>'P NP TAMBAK KAB'!BA25</f>
        <v>0</v>
      </c>
      <c r="O77" s="267">
        <f>'P NP TAMBAK KAB'!BG25</f>
        <v>0</v>
      </c>
      <c r="P77" s="267">
        <f>'P NP TAMBAK KAB'!BC25</f>
        <v>55411074</v>
      </c>
      <c r="Q77" s="267">
        <f>'P NP TAMBAK KAB'!BI25</f>
        <v>0</v>
      </c>
      <c r="R77" s="267">
        <f>'P NP TAMBAK KAB'!BM25</f>
        <v>0</v>
      </c>
      <c r="S77" s="267">
        <f>'P NP TAMBAK KAB'!U25</f>
        <v>0</v>
      </c>
      <c r="T77" s="267">
        <f>'P NP TAMBAK KAB'!BU25</f>
        <v>0</v>
      </c>
      <c r="U77" s="820">
        <f>'P NP TAMBAK KAB'!O25</f>
        <v>4759959</v>
      </c>
      <c r="V77" s="306"/>
      <c r="W77" s="557">
        <f t="shared" si="10"/>
        <v>151727484</v>
      </c>
      <c r="X77" s="350">
        <f>'P NP TW'!Q26</f>
        <v>36040176</v>
      </c>
      <c r="Y77" s="350">
        <f>'P NP TW'!S26</f>
        <v>33031470</v>
      </c>
      <c r="Z77" s="350">
        <f>'P NP TW'!U26</f>
        <v>39055107</v>
      </c>
      <c r="AA77" s="351">
        <f>'P NP TW'!W26</f>
        <v>43600731</v>
      </c>
    </row>
    <row r="78" spans="1:27">
      <c r="A78" s="346" t="s">
        <v>113</v>
      </c>
      <c r="B78" s="350">
        <f t="shared" si="7"/>
        <v>0</v>
      </c>
      <c r="C78" s="350">
        <f t="shared" si="8"/>
        <v>0</v>
      </c>
      <c r="D78" s="267">
        <f>SUM('P NP TAMBAK KAB'!Y26,'P NP TAMBAK KAB'!AA26)</f>
        <v>0</v>
      </c>
      <c r="E78" s="267">
        <f>'P NP TAMBAK KAB'!AM26</f>
        <v>0</v>
      </c>
      <c r="F78" s="267">
        <f>'P NP TAMBAK KAB'!AU26</f>
        <v>0</v>
      </c>
      <c r="G78" s="267">
        <f>'P NP TAMBAK KAB'!S26</f>
        <v>0</v>
      </c>
      <c r="H78" s="267">
        <f>'P NP TAMBAK KAB'!E26</f>
        <v>0</v>
      </c>
      <c r="I78" s="267">
        <f>'P NP TAMBAK KAB'!AO26</f>
        <v>0</v>
      </c>
      <c r="J78" s="267">
        <f>'P NP TAMBAK KAB'!I26</f>
        <v>0</v>
      </c>
      <c r="K78" s="268">
        <f>SUM('P NP TAMBAK KAB'!AK26,'P NP TAMBAK KAB'!AW26,'P NP TAMBAK KAB'!BQ26,'P NP TAMBAK KAB'!BW26)</f>
        <v>0</v>
      </c>
      <c r="L78" s="352">
        <f t="shared" si="9"/>
        <v>0</v>
      </c>
      <c r="M78" s="267">
        <f>'P NP TAMBAK KAB'!BE26</f>
        <v>0</v>
      </c>
      <c r="N78" s="267">
        <f>'P NP TAMBAK KAB'!BA26</f>
        <v>0</v>
      </c>
      <c r="O78" s="267">
        <f>'P NP TAMBAK KAB'!BG26</f>
        <v>0</v>
      </c>
      <c r="P78" s="267">
        <f>'P NP TAMBAK KAB'!BC26</f>
        <v>0</v>
      </c>
      <c r="Q78" s="267">
        <f>'P NP TAMBAK KAB'!BI26</f>
        <v>0</v>
      </c>
      <c r="R78" s="267">
        <f>'P NP TAMBAK KAB'!BM26</f>
        <v>0</v>
      </c>
      <c r="S78" s="267">
        <f>'P NP TAMBAK KAB'!U26</f>
        <v>0</v>
      </c>
      <c r="T78" s="267">
        <f>'P NP TAMBAK KAB'!BU26</f>
        <v>0</v>
      </c>
      <c r="U78" s="820">
        <f>'P NP TAMBAK KAB'!O26</f>
        <v>0</v>
      </c>
      <c r="V78" s="306"/>
      <c r="W78" s="557">
        <f t="shared" ref="W78:W95" si="11">SUM(X78:AA78)</f>
        <v>0</v>
      </c>
      <c r="X78" s="350">
        <f>'P NP TW'!Q27</f>
        <v>0</v>
      </c>
      <c r="Y78" s="350">
        <f>'P NP TW'!S27</f>
        <v>0</v>
      </c>
      <c r="Z78" s="350">
        <f>'P NP TW'!U27</f>
        <v>0</v>
      </c>
      <c r="AA78" s="351">
        <f>'P NP TW'!W27</f>
        <v>0</v>
      </c>
    </row>
    <row r="79" spans="1:27">
      <c r="A79" s="346" t="s">
        <v>124</v>
      </c>
      <c r="B79" s="350">
        <f t="shared" si="7"/>
        <v>730872720</v>
      </c>
      <c r="C79" s="350">
        <f t="shared" si="8"/>
        <v>17192400</v>
      </c>
      <c r="D79" s="267">
        <f>SUM('P NP TAMBAK KAB'!Y27,'P NP TAMBAK KAB'!AA27)</f>
        <v>0</v>
      </c>
      <c r="E79" s="267">
        <f>'P NP TAMBAK KAB'!AM27</f>
        <v>699900</v>
      </c>
      <c r="F79" s="267">
        <f>'P NP TAMBAK KAB'!AU27</f>
        <v>0</v>
      </c>
      <c r="G79" s="267">
        <f>'P NP TAMBAK KAB'!S27</f>
        <v>0</v>
      </c>
      <c r="H79" s="267">
        <f>'P NP TAMBAK KAB'!E27</f>
        <v>15306000</v>
      </c>
      <c r="I79" s="267">
        <f>'P NP TAMBAK KAB'!AO27</f>
        <v>506760</v>
      </c>
      <c r="J79" s="267">
        <f>'P NP TAMBAK KAB'!I27</f>
        <v>564840</v>
      </c>
      <c r="K79" s="268">
        <f>SUM('P NP TAMBAK KAB'!AK27,'P NP TAMBAK KAB'!AW27,'P NP TAMBAK KAB'!BQ27,'P NP TAMBAK KAB'!BW27)</f>
        <v>114900</v>
      </c>
      <c r="L79" s="352">
        <f t="shared" si="9"/>
        <v>713680320</v>
      </c>
      <c r="M79" s="267">
        <f>'P NP TAMBAK KAB'!BE27</f>
        <v>0</v>
      </c>
      <c r="N79" s="267">
        <f>'P NP TAMBAK KAB'!BA27</f>
        <v>5557120</v>
      </c>
      <c r="O79" s="267">
        <f>'P NP TAMBAK KAB'!BG27</f>
        <v>9089200</v>
      </c>
      <c r="P79" s="267">
        <f>'P NP TAMBAK KAB'!BC27</f>
        <v>691867000</v>
      </c>
      <c r="Q79" s="267">
        <f>'P NP TAMBAK KAB'!BI27</f>
        <v>0</v>
      </c>
      <c r="R79" s="267">
        <f>'P NP TAMBAK KAB'!BM27</f>
        <v>0</v>
      </c>
      <c r="S79" s="267">
        <f>'P NP TAMBAK KAB'!U27</f>
        <v>7167000</v>
      </c>
      <c r="T79" s="267">
        <f>'P NP TAMBAK KAB'!BU27</f>
        <v>0</v>
      </c>
      <c r="U79" s="820">
        <f>'P NP TAMBAK KAB'!O27</f>
        <v>0</v>
      </c>
      <c r="V79" s="306"/>
      <c r="W79" s="557">
        <f t="shared" si="11"/>
        <v>730872720</v>
      </c>
      <c r="X79" s="350">
        <f>'P NP TW'!Q28</f>
        <v>244950200</v>
      </c>
      <c r="Y79" s="350">
        <f>'P NP TW'!S28</f>
        <v>191850100</v>
      </c>
      <c r="Z79" s="350">
        <f>'P NP TW'!U28</f>
        <v>175824930</v>
      </c>
      <c r="AA79" s="351">
        <f>'P NP TW'!W28</f>
        <v>118247490</v>
      </c>
    </row>
    <row r="80" spans="1:27">
      <c r="A80" s="346" t="s">
        <v>138</v>
      </c>
      <c r="B80" s="350">
        <f t="shared" si="7"/>
        <v>37876009</v>
      </c>
      <c r="C80" s="350">
        <f t="shared" si="8"/>
        <v>12433809</v>
      </c>
      <c r="D80" s="267">
        <f>SUM('P NP TAMBAK KAB'!Y28,'P NP TAMBAK KAB'!AA28)</f>
        <v>0</v>
      </c>
      <c r="E80" s="267">
        <f>'P NP TAMBAK KAB'!AM28</f>
        <v>368625</v>
      </c>
      <c r="F80" s="267">
        <f>'P NP TAMBAK KAB'!AU28</f>
        <v>0</v>
      </c>
      <c r="G80" s="267">
        <f>'P NP TAMBAK KAB'!S28</f>
        <v>87900</v>
      </c>
      <c r="H80" s="267">
        <f>'P NP TAMBAK KAB'!E28</f>
        <v>11812528</v>
      </c>
      <c r="I80" s="267">
        <f>'P NP TAMBAK KAB'!AO28</f>
        <v>0</v>
      </c>
      <c r="J80" s="267">
        <f>'P NP TAMBAK KAB'!I28</f>
        <v>122606</v>
      </c>
      <c r="K80" s="268">
        <f>SUM('P NP TAMBAK KAB'!AK28,'P NP TAMBAK KAB'!AW28,'P NP TAMBAK KAB'!BQ28,'P NP TAMBAK KAB'!BW28)</f>
        <v>42150</v>
      </c>
      <c r="L80" s="352">
        <f t="shared" si="9"/>
        <v>25372200</v>
      </c>
      <c r="M80" s="267">
        <f>'P NP TAMBAK KAB'!BE28</f>
        <v>880000</v>
      </c>
      <c r="N80" s="267">
        <f>'P NP TAMBAK KAB'!BA28</f>
        <v>0</v>
      </c>
      <c r="O80" s="267">
        <f>'P NP TAMBAK KAB'!BG28</f>
        <v>0</v>
      </c>
      <c r="P80" s="267">
        <f>'P NP TAMBAK KAB'!BC28</f>
        <v>24445200</v>
      </c>
      <c r="Q80" s="267">
        <f>'P NP TAMBAK KAB'!BI28</f>
        <v>0</v>
      </c>
      <c r="R80" s="267">
        <f>'P NP TAMBAK KAB'!BM28</f>
        <v>0</v>
      </c>
      <c r="S80" s="267">
        <f>'P NP TAMBAK KAB'!U28</f>
        <v>47000</v>
      </c>
      <c r="T80" s="267">
        <f>'P NP TAMBAK KAB'!BU28</f>
        <v>0</v>
      </c>
      <c r="U80" s="820">
        <f>'P NP TAMBAK KAB'!O28</f>
        <v>70000</v>
      </c>
      <c r="V80" s="358"/>
      <c r="W80" s="557">
        <f t="shared" si="11"/>
        <v>37876009</v>
      </c>
      <c r="X80" s="350">
        <f>'P NP TW'!Q29</f>
        <v>12625689</v>
      </c>
      <c r="Y80" s="350">
        <f>'P NP TW'!S29</f>
        <v>15788788</v>
      </c>
      <c r="Z80" s="350">
        <f>'P NP TW'!U29</f>
        <v>4067600</v>
      </c>
      <c r="AA80" s="351">
        <f>'P NP TW'!W29</f>
        <v>5393932</v>
      </c>
    </row>
    <row r="81" spans="1:27">
      <c r="A81" s="346" t="s">
        <v>126</v>
      </c>
      <c r="B81" s="350">
        <f t="shared" si="7"/>
        <v>2026200713</v>
      </c>
      <c r="C81" s="350">
        <f t="shared" si="8"/>
        <v>1131771258</v>
      </c>
      <c r="D81" s="267">
        <f>SUM('P NP TAMBAK KAB'!Y29,'P NP TAMBAK KAB'!AA29)</f>
        <v>0</v>
      </c>
      <c r="E81" s="267">
        <f>'P NP TAMBAK KAB'!AM29</f>
        <v>54651200</v>
      </c>
      <c r="F81" s="267">
        <f>'P NP TAMBAK KAB'!AU29</f>
        <v>0</v>
      </c>
      <c r="G81" s="267">
        <f>'P NP TAMBAK KAB'!S29</f>
        <v>2469460</v>
      </c>
      <c r="H81" s="267">
        <f>'P NP TAMBAK KAB'!E29</f>
        <v>777876000</v>
      </c>
      <c r="I81" s="267">
        <f>'P NP TAMBAK KAB'!AO29</f>
        <v>282819798</v>
      </c>
      <c r="J81" s="267">
        <f>'P NP TAMBAK KAB'!I29</f>
        <v>0</v>
      </c>
      <c r="K81" s="268">
        <f>SUM('P NP TAMBAK KAB'!AK29,'P NP TAMBAK KAB'!AW29,'P NP TAMBAK KAB'!BQ29,'P NP TAMBAK KAB'!BW29)</f>
        <v>13954800</v>
      </c>
      <c r="L81" s="352">
        <f t="shared" ref="L81:L95" si="12">SUM(M81:T81)</f>
        <v>862280515</v>
      </c>
      <c r="M81" s="267">
        <f>'P NP TAMBAK KAB'!BE29</f>
        <v>363825000</v>
      </c>
      <c r="N81" s="267">
        <f>'P NP TAMBAK KAB'!BA29</f>
        <v>41874750</v>
      </c>
      <c r="O81" s="267">
        <f>'P NP TAMBAK KAB'!BG29</f>
        <v>20956545</v>
      </c>
      <c r="P81" s="267">
        <f>'P NP TAMBAK KAB'!BC29</f>
        <v>357840180</v>
      </c>
      <c r="Q81" s="267">
        <f>'P NP TAMBAK KAB'!BI29</f>
        <v>68400040</v>
      </c>
      <c r="R81" s="267">
        <f>'P NP TAMBAK KAB'!BM29</f>
        <v>0</v>
      </c>
      <c r="S81" s="267">
        <f>'P NP TAMBAK KAB'!U29</f>
        <v>9384000</v>
      </c>
      <c r="T81" s="267">
        <f>'P NP TAMBAK KAB'!BU29</f>
        <v>0</v>
      </c>
      <c r="U81" s="820">
        <f>'P NP TAMBAK KAB'!O29</f>
        <v>32148940</v>
      </c>
      <c r="V81" s="358"/>
      <c r="W81" s="557">
        <f t="shared" si="11"/>
        <v>2026200713</v>
      </c>
      <c r="X81" s="350">
        <f>'P NP TW'!Q30</f>
        <v>529073575</v>
      </c>
      <c r="Y81" s="350">
        <f>'P NP TW'!S30</f>
        <v>446802210</v>
      </c>
      <c r="Z81" s="350">
        <f>'P NP TW'!U30</f>
        <v>592322410</v>
      </c>
      <c r="AA81" s="351">
        <f>'P NP TW'!W30</f>
        <v>458002518</v>
      </c>
    </row>
    <row r="82" spans="1:27">
      <c r="A82" s="346" t="s">
        <v>123</v>
      </c>
      <c r="B82" s="350">
        <f t="shared" si="7"/>
        <v>521622936</v>
      </c>
      <c r="C82" s="350">
        <f t="shared" si="8"/>
        <v>3414715</v>
      </c>
      <c r="D82" s="267">
        <f>SUM('P NP TAMBAK KAB'!Y30,'P NP TAMBAK KAB'!AA30)</f>
        <v>0</v>
      </c>
      <c r="E82" s="267">
        <f>'P NP TAMBAK KAB'!AM30</f>
        <v>0</v>
      </c>
      <c r="F82" s="267">
        <f>'P NP TAMBAK KAB'!AU30</f>
        <v>0</v>
      </c>
      <c r="G82" s="267">
        <f>'P NP TAMBAK KAB'!S30</f>
        <v>3380335</v>
      </c>
      <c r="H82" s="267">
        <f>'P NP TAMBAK KAB'!E30</f>
        <v>34380</v>
      </c>
      <c r="I82" s="267">
        <f>'P NP TAMBAK KAB'!AO30</f>
        <v>0</v>
      </c>
      <c r="J82" s="267">
        <f>'P NP TAMBAK KAB'!I30</f>
        <v>0</v>
      </c>
      <c r="K82" s="268">
        <f>SUM('P NP TAMBAK KAB'!AK30,'P NP TAMBAK KAB'!AW30,'P NP TAMBAK KAB'!BQ30,'P NP TAMBAK KAB'!BW30)</f>
        <v>0</v>
      </c>
      <c r="L82" s="352">
        <f t="shared" si="12"/>
        <v>517834670</v>
      </c>
      <c r="M82" s="267">
        <f>'P NP TAMBAK KAB'!BE30</f>
        <v>104550</v>
      </c>
      <c r="N82" s="267">
        <f>'P NP TAMBAK KAB'!BA30</f>
        <v>0</v>
      </c>
      <c r="O82" s="267">
        <f>'P NP TAMBAK KAB'!BG30</f>
        <v>0</v>
      </c>
      <c r="P82" s="267">
        <f>'P NP TAMBAK KAB'!BC30</f>
        <v>517730120</v>
      </c>
      <c r="Q82" s="267">
        <f>'P NP TAMBAK KAB'!BI30</f>
        <v>0</v>
      </c>
      <c r="R82" s="267">
        <f>'P NP TAMBAK KAB'!BM30</f>
        <v>0</v>
      </c>
      <c r="S82" s="267">
        <f>'P NP TAMBAK KAB'!U30</f>
        <v>0</v>
      </c>
      <c r="T82" s="267">
        <f>'P NP TAMBAK KAB'!BU30</f>
        <v>0</v>
      </c>
      <c r="U82" s="820">
        <f>'P NP TAMBAK KAB'!O30</f>
        <v>373551</v>
      </c>
      <c r="V82" s="358"/>
      <c r="W82" s="557">
        <f t="shared" si="11"/>
        <v>521622936</v>
      </c>
      <c r="X82" s="350">
        <f>'P NP TW'!Q31</f>
        <v>138104299</v>
      </c>
      <c r="Y82" s="350">
        <f>'P NP TW'!S31</f>
        <v>146488070</v>
      </c>
      <c r="Z82" s="350">
        <f>'P NP TW'!U31</f>
        <v>147230579</v>
      </c>
      <c r="AA82" s="351">
        <f>'P NP TW'!W31</f>
        <v>89799988</v>
      </c>
    </row>
    <row r="83" spans="1:27">
      <c r="A83" s="346" t="s">
        <v>140</v>
      </c>
      <c r="B83" s="350">
        <f t="shared" si="7"/>
        <v>452829082</v>
      </c>
      <c r="C83" s="350">
        <f t="shared" si="8"/>
        <v>16115980</v>
      </c>
      <c r="D83" s="267">
        <f>SUM('P NP TAMBAK KAB'!Y31,'P NP TAMBAK KAB'!AA31)</f>
        <v>0</v>
      </c>
      <c r="E83" s="267">
        <f>'P NP TAMBAK KAB'!AM31</f>
        <v>0</v>
      </c>
      <c r="F83" s="267">
        <f>'P NP TAMBAK KAB'!AU31</f>
        <v>0</v>
      </c>
      <c r="G83" s="267">
        <f>'P NP TAMBAK KAB'!S31</f>
        <v>0</v>
      </c>
      <c r="H83" s="267">
        <f>'P NP TAMBAK KAB'!E31</f>
        <v>14293740</v>
      </c>
      <c r="I83" s="267">
        <f>'P NP TAMBAK KAB'!AO31</f>
        <v>1822240</v>
      </c>
      <c r="J83" s="267">
        <f>'P NP TAMBAK KAB'!I31</f>
        <v>0</v>
      </c>
      <c r="K83" s="268">
        <f>SUM('P NP TAMBAK KAB'!AK31,'P NP TAMBAK KAB'!AW31,'P NP TAMBAK KAB'!BQ31,'P NP TAMBAK KAB'!BW31)</f>
        <v>0</v>
      </c>
      <c r="L83" s="352">
        <f t="shared" si="12"/>
        <v>436713102</v>
      </c>
      <c r="M83" s="267">
        <f>'P NP TAMBAK KAB'!BE31</f>
        <v>0</v>
      </c>
      <c r="N83" s="267">
        <f>'P NP TAMBAK KAB'!BA31</f>
        <v>0</v>
      </c>
      <c r="O83" s="267">
        <f>'P NP TAMBAK KAB'!BG31</f>
        <v>0</v>
      </c>
      <c r="P83" s="267">
        <f>'P NP TAMBAK KAB'!BC31</f>
        <v>436713102</v>
      </c>
      <c r="Q83" s="267">
        <f>'P NP TAMBAK KAB'!BI31</f>
        <v>0</v>
      </c>
      <c r="R83" s="267">
        <f>'P NP TAMBAK KAB'!BM31</f>
        <v>0</v>
      </c>
      <c r="S83" s="267">
        <f>'P NP TAMBAK KAB'!U31</f>
        <v>0</v>
      </c>
      <c r="T83" s="267">
        <f>'P NP TAMBAK KAB'!BU31</f>
        <v>0</v>
      </c>
      <c r="U83" s="820">
        <f>'P NP TAMBAK KAB'!O31</f>
        <v>0</v>
      </c>
      <c r="V83" s="306"/>
      <c r="W83" s="557">
        <f t="shared" si="11"/>
        <v>452829082</v>
      </c>
      <c r="X83" s="350">
        <f>'P NP TW'!Q32</f>
        <v>99081975</v>
      </c>
      <c r="Y83" s="350">
        <f>'P NP TW'!S32</f>
        <v>80106971</v>
      </c>
      <c r="Z83" s="350">
        <f>'P NP TW'!U32</f>
        <v>176128314.99999997</v>
      </c>
      <c r="AA83" s="351">
        <f>'P NP TW'!W32</f>
        <v>97511821</v>
      </c>
    </row>
    <row r="84" spans="1:27">
      <c r="A84" s="346" t="s">
        <v>114</v>
      </c>
      <c r="B84" s="350">
        <f t="shared" si="7"/>
        <v>16905242</v>
      </c>
      <c r="C84" s="350">
        <f t="shared" si="8"/>
        <v>0</v>
      </c>
      <c r="D84" s="267">
        <f>SUM('P NP TAMBAK KAB'!Y32,'P NP TAMBAK KAB'!AA32)</f>
        <v>0</v>
      </c>
      <c r="E84" s="267">
        <f>'P NP TAMBAK KAB'!AM32</f>
        <v>0</v>
      </c>
      <c r="F84" s="267">
        <f>'P NP TAMBAK KAB'!AU32</f>
        <v>0</v>
      </c>
      <c r="G84" s="267">
        <f>'P NP TAMBAK KAB'!S32</f>
        <v>0</v>
      </c>
      <c r="H84" s="267">
        <f>'P NP TAMBAK KAB'!E32</f>
        <v>0</v>
      </c>
      <c r="I84" s="267">
        <f>'P NP TAMBAK KAB'!AO32</f>
        <v>0</v>
      </c>
      <c r="J84" s="267">
        <f>'P NP TAMBAK KAB'!I32</f>
        <v>0</v>
      </c>
      <c r="K84" s="268">
        <f>SUM('P NP TAMBAK KAB'!AK32,'P NP TAMBAK KAB'!AW32,'P NP TAMBAK KAB'!BQ32,'P NP TAMBAK KAB'!BW32)</f>
        <v>0</v>
      </c>
      <c r="L84" s="352">
        <f t="shared" si="12"/>
        <v>16298860</v>
      </c>
      <c r="M84" s="267">
        <f>'P NP TAMBAK KAB'!BE32</f>
        <v>0</v>
      </c>
      <c r="N84" s="267">
        <f>'P NP TAMBAK KAB'!BA32</f>
        <v>0</v>
      </c>
      <c r="O84" s="267">
        <f>'P NP TAMBAK KAB'!BG32</f>
        <v>0</v>
      </c>
      <c r="P84" s="267">
        <f>'P NP TAMBAK KAB'!BC32</f>
        <v>16298860</v>
      </c>
      <c r="Q84" s="267">
        <f>'P NP TAMBAK KAB'!BI32</f>
        <v>0</v>
      </c>
      <c r="R84" s="267">
        <f>'P NP TAMBAK KAB'!BM32</f>
        <v>0</v>
      </c>
      <c r="S84" s="267">
        <f>'P NP TAMBAK KAB'!U32</f>
        <v>0</v>
      </c>
      <c r="T84" s="267">
        <f>'P NP TAMBAK KAB'!BU32</f>
        <v>0</v>
      </c>
      <c r="U84" s="820">
        <f>'P NP TAMBAK KAB'!O32</f>
        <v>606382</v>
      </c>
      <c r="V84" s="358"/>
      <c r="W84" s="557">
        <f t="shared" si="11"/>
        <v>16905242</v>
      </c>
      <c r="X84" s="350">
        <f>'P NP TW'!Q33</f>
        <v>5272102</v>
      </c>
      <c r="Y84" s="350">
        <f>'P NP TW'!S33</f>
        <v>5624345</v>
      </c>
      <c r="Z84" s="350">
        <f>'P NP TW'!U33</f>
        <v>3249805</v>
      </c>
      <c r="AA84" s="351">
        <f>'P NP TW'!W33</f>
        <v>2758990</v>
      </c>
    </row>
    <row r="85" spans="1:27">
      <c r="A85" s="346" t="s">
        <v>134</v>
      </c>
      <c r="B85" s="350">
        <f t="shared" si="7"/>
        <v>623211510</v>
      </c>
      <c r="C85" s="350">
        <f t="shared" si="8"/>
        <v>173988010</v>
      </c>
      <c r="D85" s="267">
        <f>SUM('P NP TAMBAK KAB'!Y33,'P NP TAMBAK KAB'!AA33)</f>
        <v>19120930</v>
      </c>
      <c r="E85" s="267">
        <f>'P NP TAMBAK KAB'!AM33</f>
        <v>6161070</v>
      </c>
      <c r="F85" s="267">
        <f>'P NP TAMBAK KAB'!AU33</f>
        <v>0</v>
      </c>
      <c r="G85" s="267">
        <f>'P NP TAMBAK KAB'!S33</f>
        <v>1476070</v>
      </c>
      <c r="H85" s="267">
        <f>'P NP TAMBAK KAB'!E33</f>
        <v>115564700</v>
      </c>
      <c r="I85" s="267">
        <f>'P NP TAMBAK KAB'!AO33</f>
        <v>31665240</v>
      </c>
      <c r="J85" s="267">
        <f>'P NP TAMBAK KAB'!I33</f>
        <v>0</v>
      </c>
      <c r="K85" s="268">
        <f>SUM('P NP TAMBAK KAB'!AK33,'P NP TAMBAK KAB'!AW33,'P NP TAMBAK KAB'!BQ33,'P NP TAMBAK KAB'!BW33)</f>
        <v>0</v>
      </c>
      <c r="L85" s="352">
        <f t="shared" si="12"/>
        <v>449223500</v>
      </c>
      <c r="M85" s="267">
        <f>'P NP TAMBAK KAB'!BE33</f>
        <v>0</v>
      </c>
      <c r="N85" s="267">
        <f>'P NP TAMBAK KAB'!BA33</f>
        <v>0</v>
      </c>
      <c r="O85" s="267">
        <f>'P NP TAMBAK KAB'!BG33</f>
        <v>0</v>
      </c>
      <c r="P85" s="267">
        <f>'P NP TAMBAK KAB'!BC33</f>
        <v>449223500</v>
      </c>
      <c r="Q85" s="267">
        <f>'P NP TAMBAK KAB'!BI33</f>
        <v>0</v>
      </c>
      <c r="R85" s="267">
        <f>'P NP TAMBAK KAB'!BM33</f>
        <v>0</v>
      </c>
      <c r="S85" s="267">
        <f>'P NP TAMBAK KAB'!U33</f>
        <v>0</v>
      </c>
      <c r="T85" s="267">
        <f>'P NP TAMBAK KAB'!BU33</f>
        <v>0</v>
      </c>
      <c r="U85" s="820">
        <f>'P NP TAMBAK KAB'!O33</f>
        <v>0</v>
      </c>
      <c r="V85" s="306"/>
      <c r="W85" s="557">
        <f t="shared" si="11"/>
        <v>623211510</v>
      </c>
      <c r="X85" s="350">
        <f>'P NP TW'!Q34</f>
        <v>157151810</v>
      </c>
      <c r="Y85" s="350">
        <f>'P NP TW'!S34</f>
        <v>125314760</v>
      </c>
      <c r="Z85" s="350">
        <f>'P NP TW'!U34</f>
        <v>150191590</v>
      </c>
      <c r="AA85" s="351">
        <f>'P NP TW'!W34</f>
        <v>190553350</v>
      </c>
    </row>
    <row r="86" spans="1:27">
      <c r="A86" s="346" t="s">
        <v>115</v>
      </c>
      <c r="B86" s="350">
        <f t="shared" si="7"/>
        <v>21000000</v>
      </c>
      <c r="C86" s="350">
        <f t="shared" si="8"/>
        <v>0</v>
      </c>
      <c r="D86" s="267">
        <f>SUM('P NP TAMBAK KAB'!Y34,'P NP TAMBAK KAB'!AA34)</f>
        <v>0</v>
      </c>
      <c r="E86" s="267">
        <f>'P NP TAMBAK KAB'!AM34</f>
        <v>0</v>
      </c>
      <c r="F86" s="267">
        <f>'P NP TAMBAK KAB'!AU34</f>
        <v>0</v>
      </c>
      <c r="G86" s="267">
        <f>'P NP TAMBAK KAB'!S34</f>
        <v>0</v>
      </c>
      <c r="H86" s="267">
        <f>'P NP TAMBAK KAB'!E34</f>
        <v>0</v>
      </c>
      <c r="I86" s="267">
        <f>'P NP TAMBAK KAB'!AO34</f>
        <v>0</v>
      </c>
      <c r="J86" s="267">
        <f>'P NP TAMBAK KAB'!I34</f>
        <v>0</v>
      </c>
      <c r="K86" s="268">
        <f>SUM('P NP TAMBAK KAB'!AK34,'P NP TAMBAK KAB'!AW34,'P NP TAMBAK KAB'!BQ34,'P NP TAMBAK KAB'!BW34)</f>
        <v>0</v>
      </c>
      <c r="L86" s="352">
        <f t="shared" si="12"/>
        <v>21000000</v>
      </c>
      <c r="M86" s="267">
        <f>'P NP TAMBAK KAB'!BE34</f>
        <v>0</v>
      </c>
      <c r="N86" s="267">
        <f>'P NP TAMBAK KAB'!BA34</f>
        <v>0</v>
      </c>
      <c r="O86" s="267">
        <f>'P NP TAMBAK KAB'!BG34</f>
        <v>0</v>
      </c>
      <c r="P86" s="267">
        <f>'P NP TAMBAK KAB'!BC34</f>
        <v>21000000</v>
      </c>
      <c r="Q86" s="267">
        <f>'P NP TAMBAK KAB'!BI34</f>
        <v>0</v>
      </c>
      <c r="R86" s="267">
        <f>'P NP TAMBAK KAB'!BM34</f>
        <v>0</v>
      </c>
      <c r="S86" s="267">
        <f>'P NP TAMBAK KAB'!U34</f>
        <v>0</v>
      </c>
      <c r="T86" s="267">
        <f>'P NP TAMBAK KAB'!BU34</f>
        <v>0</v>
      </c>
      <c r="U86" s="820">
        <f>'P NP TAMBAK KAB'!O34</f>
        <v>0</v>
      </c>
      <c r="V86" s="306"/>
      <c r="W86" s="557">
        <f t="shared" si="11"/>
        <v>21000000</v>
      </c>
      <c r="X86" s="350">
        <f>'P NP TW'!Q35</f>
        <v>0</v>
      </c>
      <c r="Y86" s="350">
        <f>'P NP TW'!S35</f>
        <v>10500000</v>
      </c>
      <c r="Z86" s="350">
        <f>'P NP TW'!U35</f>
        <v>0</v>
      </c>
      <c r="AA86" s="351">
        <f>'P NP TW'!W35</f>
        <v>10500000</v>
      </c>
    </row>
    <row r="87" spans="1:27">
      <c r="A87" s="346" t="s">
        <v>149</v>
      </c>
      <c r="B87" s="350">
        <f t="shared" si="7"/>
        <v>0</v>
      </c>
      <c r="C87" s="350">
        <f t="shared" si="8"/>
        <v>0</v>
      </c>
      <c r="D87" s="267">
        <f>SUM('P NP TAMBAK KAB'!Y35,'P NP TAMBAK KAB'!AA35)</f>
        <v>0</v>
      </c>
      <c r="E87" s="267">
        <f>'P NP TAMBAK KAB'!AM35</f>
        <v>0</v>
      </c>
      <c r="F87" s="267">
        <f>'P NP TAMBAK KAB'!AU35</f>
        <v>0</v>
      </c>
      <c r="G87" s="267">
        <f>'P NP TAMBAK KAB'!S35</f>
        <v>0</v>
      </c>
      <c r="H87" s="267">
        <f>'P NP TAMBAK KAB'!E35</f>
        <v>0</v>
      </c>
      <c r="I87" s="267">
        <f>'P NP TAMBAK KAB'!AO35</f>
        <v>0</v>
      </c>
      <c r="J87" s="267">
        <f>'P NP TAMBAK KAB'!I35</f>
        <v>0</v>
      </c>
      <c r="K87" s="268">
        <f>SUM('P NP TAMBAK KAB'!AK35,'P NP TAMBAK KAB'!AW35,'P NP TAMBAK KAB'!BQ35,'P NP TAMBAK KAB'!BW35)</f>
        <v>0</v>
      </c>
      <c r="L87" s="352">
        <f t="shared" si="12"/>
        <v>0</v>
      </c>
      <c r="M87" s="267">
        <f>'P NP TAMBAK KAB'!BE35</f>
        <v>0</v>
      </c>
      <c r="N87" s="267">
        <f>'P NP TAMBAK KAB'!BA35</f>
        <v>0</v>
      </c>
      <c r="O87" s="267">
        <f>'P NP TAMBAK KAB'!BG35</f>
        <v>0</v>
      </c>
      <c r="P87" s="267">
        <f>'P NP TAMBAK KAB'!BC35</f>
        <v>0</v>
      </c>
      <c r="Q87" s="267">
        <f>'P NP TAMBAK KAB'!BI35</f>
        <v>0</v>
      </c>
      <c r="R87" s="267">
        <f>'P NP TAMBAK KAB'!BM35</f>
        <v>0</v>
      </c>
      <c r="S87" s="267">
        <f>'P NP TAMBAK KAB'!U35</f>
        <v>0</v>
      </c>
      <c r="T87" s="267">
        <f>'P NP TAMBAK KAB'!BU35</f>
        <v>0</v>
      </c>
      <c r="U87" s="820">
        <f>'P NP TAMBAK KAB'!O35</f>
        <v>0</v>
      </c>
      <c r="V87" s="306"/>
      <c r="W87" s="557">
        <f t="shared" si="11"/>
        <v>0</v>
      </c>
      <c r="X87" s="350">
        <f>'P NP TW'!Q36</f>
        <v>0</v>
      </c>
      <c r="Y87" s="350">
        <f>'P NP TW'!S36</f>
        <v>0</v>
      </c>
      <c r="Z87" s="350">
        <f>'P NP TW'!U36</f>
        <v>0</v>
      </c>
      <c r="AA87" s="351">
        <f>'P NP TW'!W36</f>
        <v>0</v>
      </c>
    </row>
    <row r="88" spans="1:27">
      <c r="A88" s="346" t="s">
        <v>142</v>
      </c>
      <c r="B88" s="350">
        <f t="shared" si="7"/>
        <v>0</v>
      </c>
      <c r="C88" s="350">
        <f t="shared" si="8"/>
        <v>0</v>
      </c>
      <c r="D88" s="267">
        <f>SUM('P NP TAMBAK KAB'!Y36,'P NP TAMBAK KAB'!AA36)</f>
        <v>0</v>
      </c>
      <c r="E88" s="267">
        <f>'P NP TAMBAK KAB'!AM36</f>
        <v>0</v>
      </c>
      <c r="F88" s="267">
        <f>'P NP TAMBAK KAB'!AU36</f>
        <v>0</v>
      </c>
      <c r="G88" s="267">
        <f>'P NP TAMBAK KAB'!S36</f>
        <v>0</v>
      </c>
      <c r="H88" s="267">
        <f>'P NP TAMBAK KAB'!E36</f>
        <v>0</v>
      </c>
      <c r="I88" s="267">
        <f>'P NP TAMBAK KAB'!AO36</f>
        <v>0</v>
      </c>
      <c r="J88" s="267">
        <f>'P NP TAMBAK KAB'!I36</f>
        <v>0</v>
      </c>
      <c r="K88" s="268">
        <f>SUM('P NP TAMBAK KAB'!AK36,'P NP TAMBAK KAB'!AW36,'P NP TAMBAK KAB'!BQ36,'P NP TAMBAK KAB'!BW36)</f>
        <v>0</v>
      </c>
      <c r="L88" s="352">
        <f t="shared" si="12"/>
        <v>0</v>
      </c>
      <c r="M88" s="267">
        <f>'P NP TAMBAK KAB'!BE36</f>
        <v>0</v>
      </c>
      <c r="N88" s="267">
        <f>'P NP TAMBAK KAB'!BA36</f>
        <v>0</v>
      </c>
      <c r="O88" s="267">
        <f>'P NP TAMBAK KAB'!BG36</f>
        <v>0</v>
      </c>
      <c r="P88" s="267">
        <f>'P NP TAMBAK KAB'!BC36</f>
        <v>0</v>
      </c>
      <c r="Q88" s="267">
        <f>'P NP TAMBAK KAB'!BI36</f>
        <v>0</v>
      </c>
      <c r="R88" s="267">
        <f>'P NP TAMBAK KAB'!BM36</f>
        <v>0</v>
      </c>
      <c r="S88" s="267">
        <f>'P NP TAMBAK KAB'!U36</f>
        <v>0</v>
      </c>
      <c r="T88" s="267">
        <f>'P NP TAMBAK KAB'!BU36</f>
        <v>0</v>
      </c>
      <c r="U88" s="820">
        <f>'P NP TAMBAK KAB'!O36</f>
        <v>0</v>
      </c>
      <c r="V88" s="306"/>
      <c r="W88" s="557">
        <f t="shared" si="11"/>
        <v>0</v>
      </c>
      <c r="X88" s="350">
        <f>'P NP TW'!Q37</f>
        <v>0</v>
      </c>
      <c r="Y88" s="350">
        <f>'P NP TW'!S37</f>
        <v>0</v>
      </c>
      <c r="Z88" s="350">
        <f>'P NP TW'!U37</f>
        <v>0</v>
      </c>
      <c r="AA88" s="351">
        <f>'P NP TW'!W37</f>
        <v>0</v>
      </c>
    </row>
    <row r="89" spans="1:27">
      <c r="A89" s="346" t="s">
        <v>141</v>
      </c>
      <c r="B89" s="350">
        <f t="shared" si="7"/>
        <v>0</v>
      </c>
      <c r="C89" s="350">
        <f t="shared" si="8"/>
        <v>0</v>
      </c>
      <c r="D89" s="267">
        <f>SUM('P NP TAMBAK KAB'!Y37,'P NP TAMBAK KAB'!AA37)</f>
        <v>0</v>
      </c>
      <c r="E89" s="267">
        <f>'P NP TAMBAK KAB'!AM37</f>
        <v>0</v>
      </c>
      <c r="F89" s="267">
        <f>'P NP TAMBAK KAB'!AU37</f>
        <v>0</v>
      </c>
      <c r="G89" s="267">
        <f>'P NP TAMBAK KAB'!S37</f>
        <v>0</v>
      </c>
      <c r="H89" s="267">
        <f>'P NP TAMBAK KAB'!E37</f>
        <v>0</v>
      </c>
      <c r="I89" s="267">
        <f>'P NP TAMBAK KAB'!AO37</f>
        <v>0</v>
      </c>
      <c r="J89" s="267">
        <f>'P NP TAMBAK KAB'!I37</f>
        <v>0</v>
      </c>
      <c r="K89" s="268">
        <f>SUM('P NP TAMBAK KAB'!AK37,'P NP TAMBAK KAB'!AW37,'P NP TAMBAK KAB'!BQ37,'P NP TAMBAK KAB'!BW37)</f>
        <v>0</v>
      </c>
      <c r="L89" s="352">
        <f t="shared" si="12"/>
        <v>0</v>
      </c>
      <c r="M89" s="267">
        <f>'P NP TAMBAK KAB'!BE37</f>
        <v>0</v>
      </c>
      <c r="N89" s="267">
        <f>'P NP TAMBAK KAB'!BA37</f>
        <v>0</v>
      </c>
      <c r="O89" s="267">
        <f>'P NP TAMBAK KAB'!BG37</f>
        <v>0</v>
      </c>
      <c r="P89" s="267">
        <f>'P NP TAMBAK KAB'!BC37</f>
        <v>0</v>
      </c>
      <c r="Q89" s="267">
        <f>'P NP TAMBAK KAB'!BI37</f>
        <v>0</v>
      </c>
      <c r="R89" s="267">
        <f>'P NP TAMBAK KAB'!BM37</f>
        <v>0</v>
      </c>
      <c r="S89" s="267">
        <f>'P NP TAMBAK KAB'!U37</f>
        <v>0</v>
      </c>
      <c r="T89" s="267">
        <f>'P NP TAMBAK KAB'!BU37</f>
        <v>0</v>
      </c>
      <c r="U89" s="820">
        <f>'P NP TAMBAK KAB'!O37</f>
        <v>0</v>
      </c>
      <c r="V89" s="306"/>
      <c r="W89" s="557">
        <f t="shared" si="11"/>
        <v>0</v>
      </c>
      <c r="X89" s="350">
        <f>'P NP TW'!Q38</f>
        <v>0</v>
      </c>
      <c r="Y89" s="350">
        <f>'P NP TW'!S38</f>
        <v>0</v>
      </c>
      <c r="Z89" s="350">
        <f>'P NP TW'!U38</f>
        <v>0</v>
      </c>
      <c r="AA89" s="351">
        <f>'P NP TW'!W38</f>
        <v>0</v>
      </c>
    </row>
    <row r="90" spans="1:27">
      <c r="A90" s="346" t="s">
        <v>147</v>
      </c>
      <c r="B90" s="350">
        <f t="shared" si="7"/>
        <v>0</v>
      </c>
      <c r="C90" s="350">
        <f t="shared" si="8"/>
        <v>0</v>
      </c>
      <c r="D90" s="267">
        <f>SUM('P NP TAMBAK KAB'!Y38,'P NP TAMBAK KAB'!AA38)</f>
        <v>0</v>
      </c>
      <c r="E90" s="267">
        <f>'P NP TAMBAK KAB'!AM38</f>
        <v>0</v>
      </c>
      <c r="F90" s="267">
        <f>'P NP TAMBAK KAB'!AU38</f>
        <v>0</v>
      </c>
      <c r="G90" s="267">
        <f>'P NP TAMBAK KAB'!S38</f>
        <v>0</v>
      </c>
      <c r="H90" s="267">
        <f>'P NP TAMBAK KAB'!E38</f>
        <v>0</v>
      </c>
      <c r="I90" s="267">
        <f>'P NP TAMBAK KAB'!AO38</f>
        <v>0</v>
      </c>
      <c r="J90" s="267">
        <f>'P NP TAMBAK KAB'!I38</f>
        <v>0</v>
      </c>
      <c r="K90" s="268">
        <f>SUM('P NP TAMBAK KAB'!AK38,'P NP TAMBAK KAB'!AW38,'P NP TAMBAK KAB'!BQ38,'P NP TAMBAK KAB'!BW38)</f>
        <v>0</v>
      </c>
      <c r="L90" s="352">
        <f t="shared" si="12"/>
        <v>0</v>
      </c>
      <c r="M90" s="267">
        <f>'P NP TAMBAK KAB'!BE38</f>
        <v>0</v>
      </c>
      <c r="N90" s="267">
        <f>'P NP TAMBAK KAB'!BA38</f>
        <v>0</v>
      </c>
      <c r="O90" s="267">
        <f>'P NP TAMBAK KAB'!BG38</f>
        <v>0</v>
      </c>
      <c r="P90" s="267">
        <f>'P NP TAMBAK KAB'!BC38</f>
        <v>0</v>
      </c>
      <c r="Q90" s="267">
        <f>'P NP TAMBAK KAB'!BI38</f>
        <v>0</v>
      </c>
      <c r="R90" s="267">
        <f>'P NP TAMBAK KAB'!BM38</f>
        <v>0</v>
      </c>
      <c r="S90" s="267">
        <f>'P NP TAMBAK KAB'!U38</f>
        <v>0</v>
      </c>
      <c r="T90" s="267">
        <f>'P NP TAMBAK KAB'!BU38</f>
        <v>0</v>
      </c>
      <c r="U90" s="820">
        <f>'P NP TAMBAK KAB'!O38</f>
        <v>0</v>
      </c>
      <c r="V90" s="306"/>
      <c r="W90" s="557">
        <f t="shared" si="11"/>
        <v>0</v>
      </c>
      <c r="X90" s="350">
        <f>'P NP TW'!Q39</f>
        <v>0</v>
      </c>
      <c r="Y90" s="350">
        <f>'P NP TW'!S39</f>
        <v>0</v>
      </c>
      <c r="Z90" s="350">
        <f>'P NP TW'!U39</f>
        <v>0</v>
      </c>
      <c r="AA90" s="351">
        <f>'P NP TW'!W39</f>
        <v>0</v>
      </c>
    </row>
    <row r="91" spans="1:27">
      <c r="A91" s="346" t="s">
        <v>143</v>
      </c>
      <c r="B91" s="350">
        <f t="shared" si="7"/>
        <v>0</v>
      </c>
      <c r="C91" s="350">
        <f t="shared" si="8"/>
        <v>0</v>
      </c>
      <c r="D91" s="267">
        <f>SUM('P NP TAMBAK KAB'!Y39,'P NP TAMBAK KAB'!AA39)</f>
        <v>0</v>
      </c>
      <c r="E91" s="267">
        <f>'P NP TAMBAK KAB'!AM39</f>
        <v>0</v>
      </c>
      <c r="F91" s="267">
        <f>'P NP TAMBAK KAB'!AU39</f>
        <v>0</v>
      </c>
      <c r="G91" s="267">
        <f>'P NP TAMBAK KAB'!S39</f>
        <v>0</v>
      </c>
      <c r="H91" s="267">
        <f>'P NP TAMBAK KAB'!E39</f>
        <v>0</v>
      </c>
      <c r="I91" s="267">
        <f>'P NP TAMBAK KAB'!AO39</f>
        <v>0</v>
      </c>
      <c r="J91" s="267">
        <f>'P NP TAMBAK KAB'!I39</f>
        <v>0</v>
      </c>
      <c r="K91" s="268">
        <f>SUM('P NP TAMBAK KAB'!AK39,'P NP TAMBAK KAB'!AW39,'P NP TAMBAK KAB'!BQ39,'P NP TAMBAK KAB'!BW39)</f>
        <v>0</v>
      </c>
      <c r="L91" s="352">
        <f t="shared" si="12"/>
        <v>0</v>
      </c>
      <c r="M91" s="267">
        <f>'P NP TAMBAK KAB'!BE39</f>
        <v>0</v>
      </c>
      <c r="N91" s="267">
        <f>'P NP TAMBAK KAB'!BA39</f>
        <v>0</v>
      </c>
      <c r="O91" s="267">
        <f>'P NP TAMBAK KAB'!BG39</f>
        <v>0</v>
      </c>
      <c r="P91" s="267">
        <f>'P NP TAMBAK KAB'!BC39</f>
        <v>0</v>
      </c>
      <c r="Q91" s="267">
        <f>'P NP TAMBAK KAB'!BI39</f>
        <v>0</v>
      </c>
      <c r="R91" s="267">
        <f>'P NP TAMBAK KAB'!BM39</f>
        <v>0</v>
      </c>
      <c r="S91" s="267">
        <f>'P NP TAMBAK KAB'!U39</f>
        <v>0</v>
      </c>
      <c r="T91" s="267">
        <f>'P NP TAMBAK KAB'!BU39</f>
        <v>0</v>
      </c>
      <c r="U91" s="820">
        <f>'P NP TAMBAK KAB'!O39</f>
        <v>0</v>
      </c>
      <c r="V91" s="358"/>
      <c r="W91" s="557">
        <f t="shared" si="11"/>
        <v>0</v>
      </c>
      <c r="X91" s="350">
        <f>'P NP TW'!Q40</f>
        <v>0</v>
      </c>
      <c r="Y91" s="350">
        <f>'P NP TW'!S40</f>
        <v>0</v>
      </c>
      <c r="Z91" s="350">
        <f>'P NP TW'!U40</f>
        <v>0</v>
      </c>
      <c r="AA91" s="351">
        <f>'P NP TW'!W40</f>
        <v>0</v>
      </c>
    </row>
    <row r="92" spans="1:27">
      <c r="A92" s="346" t="s">
        <v>146</v>
      </c>
      <c r="B92" s="350">
        <f t="shared" si="7"/>
        <v>0</v>
      </c>
      <c r="C92" s="350">
        <f t="shared" si="8"/>
        <v>0</v>
      </c>
      <c r="D92" s="267">
        <f>SUM('P NP TAMBAK KAB'!Y40,'P NP TAMBAK KAB'!AA40)</f>
        <v>0</v>
      </c>
      <c r="E92" s="267">
        <f>'P NP TAMBAK KAB'!AM40</f>
        <v>0</v>
      </c>
      <c r="F92" s="267">
        <f>'P NP TAMBAK KAB'!AU40</f>
        <v>0</v>
      </c>
      <c r="G92" s="267">
        <f>'P NP TAMBAK KAB'!S40</f>
        <v>0</v>
      </c>
      <c r="H92" s="267">
        <f>'P NP TAMBAK KAB'!E40</f>
        <v>0</v>
      </c>
      <c r="I92" s="267">
        <f>'P NP TAMBAK KAB'!AO40</f>
        <v>0</v>
      </c>
      <c r="J92" s="267">
        <f>'P NP TAMBAK KAB'!I40</f>
        <v>0</v>
      </c>
      <c r="K92" s="268">
        <f>SUM('P NP TAMBAK KAB'!AK40,'P NP TAMBAK KAB'!AW40,'P NP TAMBAK KAB'!BQ40,'P NP TAMBAK KAB'!BW40)</f>
        <v>0</v>
      </c>
      <c r="L92" s="352">
        <f t="shared" si="12"/>
        <v>0</v>
      </c>
      <c r="M92" s="267">
        <f>'P NP TAMBAK KAB'!BE40</f>
        <v>0</v>
      </c>
      <c r="N92" s="267">
        <f>'P NP TAMBAK KAB'!BA40</f>
        <v>0</v>
      </c>
      <c r="O92" s="267">
        <f>'P NP TAMBAK KAB'!BG40</f>
        <v>0</v>
      </c>
      <c r="P92" s="267">
        <f>'P NP TAMBAK KAB'!BC40</f>
        <v>0</v>
      </c>
      <c r="Q92" s="267">
        <f>'P NP TAMBAK KAB'!BI40</f>
        <v>0</v>
      </c>
      <c r="R92" s="267">
        <f>'P NP TAMBAK KAB'!BM40</f>
        <v>0</v>
      </c>
      <c r="S92" s="267">
        <f>'P NP TAMBAK KAB'!U40</f>
        <v>0</v>
      </c>
      <c r="T92" s="267">
        <f>'P NP TAMBAK KAB'!BU40</f>
        <v>0</v>
      </c>
      <c r="U92" s="820">
        <f>'P NP TAMBAK KAB'!O40</f>
        <v>0</v>
      </c>
      <c r="V92" s="306"/>
      <c r="W92" s="557">
        <f t="shared" si="11"/>
        <v>0</v>
      </c>
      <c r="X92" s="350">
        <f>'P NP TW'!Q41</f>
        <v>0</v>
      </c>
      <c r="Y92" s="350">
        <f>'P NP TW'!S41</f>
        <v>0</v>
      </c>
      <c r="Z92" s="350">
        <f>'P NP TW'!U41</f>
        <v>0</v>
      </c>
      <c r="AA92" s="351">
        <f>'P NP TW'!W41</f>
        <v>0</v>
      </c>
    </row>
    <row r="93" spans="1:27">
      <c r="A93" s="346" t="s">
        <v>145</v>
      </c>
      <c r="B93" s="350">
        <f t="shared" si="7"/>
        <v>22829529</v>
      </c>
      <c r="C93" s="350">
        <f t="shared" si="8"/>
        <v>18958779</v>
      </c>
      <c r="D93" s="267">
        <f>SUM('P NP TAMBAK KAB'!Y41,'P NP TAMBAK KAB'!AA41)</f>
        <v>0</v>
      </c>
      <c r="E93" s="267">
        <f>'P NP TAMBAK KAB'!AM41</f>
        <v>0</v>
      </c>
      <c r="F93" s="267">
        <f>'P NP TAMBAK KAB'!AU41</f>
        <v>0</v>
      </c>
      <c r="G93" s="267">
        <f>'P NP TAMBAK KAB'!S41</f>
        <v>0</v>
      </c>
      <c r="H93" s="267">
        <f>'P NP TAMBAK KAB'!E41</f>
        <v>18816404</v>
      </c>
      <c r="I93" s="267">
        <f>'P NP TAMBAK KAB'!AO41</f>
        <v>142375</v>
      </c>
      <c r="J93" s="267">
        <f>'P NP TAMBAK KAB'!I41</f>
        <v>0</v>
      </c>
      <c r="K93" s="268">
        <f>SUM('P NP TAMBAK KAB'!AK41,'P NP TAMBAK KAB'!AW41,'P NP TAMBAK KAB'!BQ41,'P NP TAMBAK KAB'!BW41)</f>
        <v>0</v>
      </c>
      <c r="L93" s="352">
        <f t="shared" si="12"/>
        <v>2848330</v>
      </c>
      <c r="M93" s="267">
        <f>'P NP TAMBAK KAB'!BE41</f>
        <v>0</v>
      </c>
      <c r="N93" s="267">
        <f>'P NP TAMBAK KAB'!BA41</f>
        <v>0</v>
      </c>
      <c r="O93" s="267">
        <f>'P NP TAMBAK KAB'!BG41</f>
        <v>0</v>
      </c>
      <c r="P93" s="267">
        <f>'P NP TAMBAK KAB'!BC41</f>
        <v>2848330</v>
      </c>
      <c r="Q93" s="267">
        <f>'P NP TAMBAK KAB'!BI41</f>
        <v>0</v>
      </c>
      <c r="R93" s="267">
        <f>'P NP TAMBAK KAB'!BM41</f>
        <v>0</v>
      </c>
      <c r="S93" s="267">
        <f>'P NP TAMBAK KAB'!U41</f>
        <v>0</v>
      </c>
      <c r="T93" s="267">
        <f>'P NP TAMBAK KAB'!BU41</f>
        <v>0</v>
      </c>
      <c r="U93" s="820">
        <f>'P NP TAMBAK KAB'!O41</f>
        <v>1022420</v>
      </c>
      <c r="V93" s="306"/>
      <c r="W93" s="557">
        <f t="shared" si="11"/>
        <v>22829529</v>
      </c>
      <c r="X93" s="350">
        <f>'P NP TW'!Q42</f>
        <v>5615728</v>
      </c>
      <c r="Y93" s="350">
        <f>'P NP TW'!S42</f>
        <v>5826384</v>
      </c>
      <c r="Z93" s="350">
        <f>'P NP TW'!U42</f>
        <v>5333417</v>
      </c>
      <c r="AA93" s="351">
        <f>'P NP TW'!W42</f>
        <v>6054000</v>
      </c>
    </row>
    <row r="94" spans="1:27">
      <c r="A94" s="346" t="s">
        <v>144</v>
      </c>
      <c r="B94" s="350">
        <f t="shared" si="7"/>
        <v>9979736.6999999993</v>
      </c>
      <c r="C94" s="350">
        <f t="shared" si="8"/>
        <v>1211865.7</v>
      </c>
      <c r="D94" s="267">
        <f>SUM('P NP TAMBAK KAB'!Y42,'P NP TAMBAK KAB'!AA42)</f>
        <v>0</v>
      </c>
      <c r="E94" s="267">
        <f>'P NP TAMBAK KAB'!AM42</f>
        <v>4797</v>
      </c>
      <c r="F94" s="267">
        <f>'P NP TAMBAK KAB'!AU42</f>
        <v>0</v>
      </c>
      <c r="G94" s="267">
        <f>'P NP TAMBAK KAB'!S42</f>
        <v>13156</v>
      </c>
      <c r="H94" s="267">
        <f>'P NP TAMBAK KAB'!E42</f>
        <v>965131.2</v>
      </c>
      <c r="I94" s="267">
        <f>'P NP TAMBAK KAB'!AO42</f>
        <v>228448.5</v>
      </c>
      <c r="J94" s="267">
        <f>'P NP TAMBAK KAB'!I42</f>
        <v>0</v>
      </c>
      <c r="K94" s="268">
        <f>SUM('P NP TAMBAK KAB'!AK42,'P NP TAMBAK KAB'!AW42,'P NP TAMBAK KAB'!BQ42,'P NP TAMBAK KAB'!BW42)</f>
        <v>333</v>
      </c>
      <c r="L94" s="352">
        <f t="shared" si="12"/>
        <v>8767871</v>
      </c>
      <c r="M94" s="267">
        <f>'P NP TAMBAK KAB'!BE42</f>
        <v>34170.5</v>
      </c>
      <c r="N94" s="267">
        <f>'P NP TAMBAK KAB'!BA42</f>
        <v>149840</v>
      </c>
      <c r="O94" s="267">
        <f>'P NP TAMBAK KAB'!BG42</f>
        <v>0</v>
      </c>
      <c r="P94" s="267">
        <f>'P NP TAMBAK KAB'!BC42</f>
        <v>8411078.5</v>
      </c>
      <c r="Q94" s="267">
        <f>'P NP TAMBAK KAB'!BI42</f>
        <v>0</v>
      </c>
      <c r="R94" s="267">
        <f>'P NP TAMBAK KAB'!BM42</f>
        <v>0</v>
      </c>
      <c r="S94" s="267">
        <f>'P NP TAMBAK KAB'!U42</f>
        <v>172782</v>
      </c>
      <c r="T94" s="267">
        <f>'P NP TAMBAK KAB'!BU42</f>
        <v>0</v>
      </c>
      <c r="U94" s="820">
        <f>'P NP TAMBAK KAB'!O42</f>
        <v>0</v>
      </c>
      <c r="V94" s="306"/>
      <c r="W94" s="557">
        <f t="shared" si="11"/>
        <v>9979736.6999999993</v>
      </c>
      <c r="X94" s="350">
        <f>'P NP TW'!Q43</f>
        <v>1711452.7</v>
      </c>
      <c r="Y94" s="350">
        <f>'P NP TW'!S43</f>
        <v>1727530</v>
      </c>
      <c r="Z94" s="350">
        <f>'P NP TW'!U43</f>
        <v>849679</v>
      </c>
      <c r="AA94" s="351">
        <f>'P NP TW'!W43</f>
        <v>5691075</v>
      </c>
    </row>
    <row r="95" spans="1:27" ht="14.5" thickBot="1">
      <c r="A95" s="347" t="s">
        <v>148</v>
      </c>
      <c r="B95" s="353">
        <f t="shared" si="7"/>
        <v>185596500</v>
      </c>
      <c r="C95" s="353">
        <f t="shared" si="8"/>
        <v>140798025</v>
      </c>
      <c r="D95" s="274">
        <f>SUM('P NP TAMBAK KAB'!Y43,'P NP TAMBAK KAB'!AA43)</f>
        <v>0</v>
      </c>
      <c r="E95" s="274">
        <f>'P NP TAMBAK KAB'!AM43</f>
        <v>0</v>
      </c>
      <c r="F95" s="274">
        <f>'P NP TAMBAK KAB'!AU43</f>
        <v>0</v>
      </c>
      <c r="G95" s="274">
        <f>'P NP TAMBAK KAB'!S43</f>
        <v>0</v>
      </c>
      <c r="H95" s="274">
        <f>'P NP TAMBAK KAB'!E43</f>
        <v>118713245</v>
      </c>
      <c r="I95" s="274">
        <f>'P NP TAMBAK KAB'!AO43</f>
        <v>22084780</v>
      </c>
      <c r="J95" s="274">
        <f>'P NP TAMBAK KAB'!I43</f>
        <v>0</v>
      </c>
      <c r="K95" s="826">
        <f>SUM('P NP TAMBAK KAB'!AK43,'P NP TAMBAK KAB'!AW43,'P NP TAMBAK KAB'!BQ43,'P NP TAMBAK KAB'!BW43)</f>
        <v>0</v>
      </c>
      <c r="L95" s="355">
        <f t="shared" si="12"/>
        <v>44798475</v>
      </c>
      <c r="M95" s="274">
        <f>'P NP TAMBAK KAB'!BE43</f>
        <v>6552870</v>
      </c>
      <c r="N95" s="274">
        <f>'P NP TAMBAK KAB'!BA43</f>
        <v>0</v>
      </c>
      <c r="O95" s="274">
        <f>'P NP TAMBAK KAB'!BG43</f>
        <v>0</v>
      </c>
      <c r="P95" s="274">
        <f>'P NP TAMBAK KAB'!BC43</f>
        <v>38245605</v>
      </c>
      <c r="Q95" s="274">
        <f>'P NP TAMBAK KAB'!BI43</f>
        <v>0</v>
      </c>
      <c r="R95" s="274">
        <f>'P NP TAMBAK KAB'!BM43</f>
        <v>0</v>
      </c>
      <c r="S95" s="274">
        <f>'P NP TAMBAK KAB'!U43</f>
        <v>0</v>
      </c>
      <c r="T95" s="274">
        <f>'P NP TAMBAK KAB'!BU43</f>
        <v>0</v>
      </c>
      <c r="U95" s="826">
        <f>'P NP TAMBAK KAB'!O43</f>
        <v>0</v>
      </c>
      <c r="V95" s="306"/>
      <c r="W95" s="558">
        <f t="shared" si="11"/>
        <v>185596500</v>
      </c>
      <c r="X95" s="353">
        <f>'P NP TW'!Q44</f>
        <v>61228988</v>
      </c>
      <c r="Y95" s="353">
        <f>'P NP TW'!S44</f>
        <v>43446012</v>
      </c>
      <c r="Z95" s="353">
        <f>'P NP TW'!U44</f>
        <v>40065480</v>
      </c>
      <c r="AA95" s="825">
        <f>'P NP TW'!W44</f>
        <v>40856020</v>
      </c>
    </row>
    <row r="96" spans="1:27" ht="18" customHeight="1">
      <c r="A96" s="931" t="s">
        <v>353</v>
      </c>
      <c r="B96" s="932"/>
      <c r="C96" s="932"/>
      <c r="D96" s="932"/>
      <c r="E96" s="932"/>
      <c r="F96" s="932"/>
      <c r="G96" s="932"/>
      <c r="H96" s="932"/>
      <c r="I96" s="932"/>
      <c r="J96" s="932"/>
      <c r="K96" s="932"/>
      <c r="L96" s="931" t="s">
        <v>354</v>
      </c>
      <c r="M96" s="931"/>
      <c r="N96" s="931"/>
      <c r="O96" s="931"/>
      <c r="P96" s="931"/>
      <c r="Q96" s="931"/>
      <c r="R96" s="931"/>
      <c r="S96" s="931"/>
      <c r="V96" s="307"/>
      <c r="W96" s="927" t="s">
        <v>474</v>
      </c>
      <c r="X96" s="928"/>
      <c r="Y96" s="928"/>
      <c r="Z96" s="928"/>
      <c r="AA96" s="527"/>
    </row>
    <row r="97" spans="22:22">
      <c r="V97" s="307"/>
    </row>
    <row r="98" spans="22:22">
      <c r="V98" s="307"/>
    </row>
  </sheetData>
  <sortState xmlns:xlrd2="http://schemas.microsoft.com/office/spreadsheetml/2017/richdata2" ref="A10:A47">
    <sortCondition ref="A10:A47"/>
  </sortState>
  <mergeCells count="12">
    <mergeCell ref="W48:Z48"/>
    <mergeCell ref="J52:K52"/>
    <mergeCell ref="T52:U52"/>
    <mergeCell ref="A96:K96"/>
    <mergeCell ref="L96:S96"/>
    <mergeCell ref="W96:Z96"/>
    <mergeCell ref="T3:U3"/>
    <mergeCell ref="T4:U4"/>
    <mergeCell ref="A48:K48"/>
    <mergeCell ref="L48:S48"/>
    <mergeCell ref="J51:K51"/>
    <mergeCell ref="S51:U51"/>
  </mergeCells>
  <printOptions horizontalCentered="1"/>
  <pageMargins left="0.5" right="0.25" top="0.35" bottom="0.1" header="0.5" footer="0.5"/>
  <pageSetup paperSize="9" scale="63" orientation="landscape" horizontalDpi="4294967293" r:id="rId1"/>
  <headerFooter alignWithMargins="0"/>
  <rowBreaks count="1" manualBreakCount="1">
    <brk id="48" max="27" man="1"/>
  </rowBreaks>
  <colBreaks count="1" manualBreakCount="1">
    <brk id="11" max="9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syncVertical="1" syncRef="F9" transitionEvaluation="1">
    <tabColor rgb="FF00B0F0"/>
  </sheetPr>
  <dimension ref="A1:Z98"/>
  <sheetViews>
    <sheetView showGridLines="0" view="pageBreakPreview" zoomScale="72" zoomScaleNormal="100" zoomScaleSheetLayoutView="72" workbookViewId="0">
      <pane xSplit="2" ySplit="8" topLeftCell="F9" activePane="bottomRight" state="frozen"/>
      <selection pane="topRight" activeCell="C1" sqref="C1"/>
      <selection pane="bottomLeft" activeCell="A9" sqref="A9"/>
      <selection pane="bottomRight" activeCell="H23" sqref="H23"/>
    </sheetView>
  </sheetViews>
  <sheetFormatPr defaultColWidth="10.1796875" defaultRowHeight="14"/>
  <cols>
    <col min="1" max="1" width="35" style="210" customWidth="1"/>
    <col min="2" max="2" width="25.54296875" style="210" customWidth="1"/>
    <col min="3" max="3" width="16.1796875" style="210" customWidth="1"/>
    <col min="4" max="4" width="18" style="210" customWidth="1"/>
    <col min="5" max="5" width="16.1796875" style="210" customWidth="1"/>
    <col min="6" max="6" width="17.1796875" style="210" bestFit="1" customWidth="1"/>
    <col min="7" max="7" width="16.1796875" style="210" customWidth="1"/>
    <col min="8" max="8" width="18.453125" style="210" bestFit="1" customWidth="1"/>
    <col min="9" max="9" width="20.81640625" style="210" bestFit="1" customWidth="1"/>
    <col min="10" max="10" width="16.1796875" style="210" customWidth="1"/>
    <col min="11" max="11" width="17.54296875" style="210" bestFit="1" customWidth="1"/>
    <col min="12" max="12" width="18" style="210" bestFit="1" customWidth="1"/>
    <col min="13" max="13" width="18.453125" style="210" bestFit="1" customWidth="1"/>
    <col min="14" max="14" width="19" style="210" bestFit="1" customWidth="1"/>
    <col min="15" max="17" width="18" style="210" bestFit="1" customWidth="1"/>
    <col min="18" max="18" width="18.453125" style="210" bestFit="1" customWidth="1"/>
    <col min="19" max="19" width="18.453125" style="210" customWidth="1"/>
    <col min="20" max="20" width="18" style="210" bestFit="1" customWidth="1"/>
    <col min="21" max="21" width="15.81640625" style="210" customWidth="1"/>
    <col min="22" max="22" width="37.453125" style="210" customWidth="1"/>
    <col min="23" max="25" width="29" style="210" customWidth="1"/>
    <col min="26" max="26" width="28.81640625" style="210" customWidth="1"/>
    <col min="27" max="255" width="10.1796875" style="210"/>
    <col min="256" max="256" width="35" style="210" customWidth="1"/>
    <col min="257" max="257" width="25.54296875" style="210" customWidth="1"/>
    <col min="258" max="258" width="16.1796875" style="210" customWidth="1"/>
    <col min="259" max="259" width="18" style="210" customWidth="1"/>
    <col min="260" max="260" width="16.1796875" style="210" customWidth="1"/>
    <col min="261" max="261" width="17.1796875" style="210" bestFit="1" customWidth="1"/>
    <col min="262" max="262" width="16.1796875" style="210" customWidth="1"/>
    <col min="263" max="263" width="18.453125" style="210" bestFit="1" customWidth="1"/>
    <col min="264" max="264" width="20.81640625" style="210" bestFit="1" customWidth="1"/>
    <col min="265" max="265" width="16.1796875" style="210" customWidth="1"/>
    <col min="266" max="266" width="13.54296875" style="210" customWidth="1"/>
    <col min="267" max="267" width="17.54296875" style="210" bestFit="1" customWidth="1"/>
    <col min="268" max="268" width="18" style="210" bestFit="1" customWidth="1"/>
    <col min="269" max="269" width="18.453125" style="210" bestFit="1" customWidth="1"/>
    <col min="270" max="270" width="19" style="210" bestFit="1" customWidth="1"/>
    <col min="271" max="273" width="18" style="210" bestFit="1" customWidth="1"/>
    <col min="274" max="274" width="18.453125" style="210" bestFit="1" customWidth="1"/>
    <col min="275" max="275" width="13.54296875" style="210" customWidth="1"/>
    <col min="276" max="276" width="18" style="210" bestFit="1" customWidth="1"/>
    <col min="277" max="277" width="12" style="210" bestFit="1" customWidth="1"/>
    <col min="278" max="511" width="10.1796875" style="210"/>
    <col min="512" max="512" width="35" style="210" customWidth="1"/>
    <col min="513" max="513" width="25.54296875" style="210" customWidth="1"/>
    <col min="514" max="514" width="16.1796875" style="210" customWidth="1"/>
    <col min="515" max="515" width="18" style="210" customWidth="1"/>
    <col min="516" max="516" width="16.1796875" style="210" customWidth="1"/>
    <col min="517" max="517" width="17.1796875" style="210" bestFit="1" customWidth="1"/>
    <col min="518" max="518" width="16.1796875" style="210" customWidth="1"/>
    <col min="519" max="519" width="18.453125" style="210" bestFit="1" customWidth="1"/>
    <col min="520" max="520" width="20.81640625" style="210" bestFit="1" customWidth="1"/>
    <col min="521" max="521" width="16.1796875" style="210" customWidth="1"/>
    <col min="522" max="522" width="13.54296875" style="210" customWidth="1"/>
    <col min="523" max="523" width="17.54296875" style="210" bestFit="1" customWidth="1"/>
    <col min="524" max="524" width="18" style="210" bestFit="1" customWidth="1"/>
    <col min="525" max="525" width="18.453125" style="210" bestFit="1" customWidth="1"/>
    <col min="526" max="526" width="19" style="210" bestFit="1" customWidth="1"/>
    <col min="527" max="529" width="18" style="210" bestFit="1" customWidth="1"/>
    <col min="530" max="530" width="18.453125" style="210" bestFit="1" customWidth="1"/>
    <col min="531" max="531" width="13.54296875" style="210" customWidth="1"/>
    <col min="532" max="532" width="18" style="210" bestFit="1" customWidth="1"/>
    <col min="533" max="533" width="12" style="210" bestFit="1" customWidth="1"/>
    <col min="534" max="767" width="10.1796875" style="210"/>
    <col min="768" max="768" width="35" style="210" customWidth="1"/>
    <col min="769" max="769" width="25.54296875" style="210" customWidth="1"/>
    <col min="770" max="770" width="16.1796875" style="210" customWidth="1"/>
    <col min="771" max="771" width="18" style="210" customWidth="1"/>
    <col min="772" max="772" width="16.1796875" style="210" customWidth="1"/>
    <col min="773" max="773" width="17.1796875" style="210" bestFit="1" customWidth="1"/>
    <col min="774" max="774" width="16.1796875" style="210" customWidth="1"/>
    <col min="775" max="775" width="18.453125" style="210" bestFit="1" customWidth="1"/>
    <col min="776" max="776" width="20.81640625" style="210" bestFit="1" customWidth="1"/>
    <col min="777" max="777" width="16.1796875" style="210" customWidth="1"/>
    <col min="778" max="778" width="13.54296875" style="210" customWidth="1"/>
    <col min="779" max="779" width="17.54296875" style="210" bestFit="1" customWidth="1"/>
    <col min="780" max="780" width="18" style="210" bestFit="1" customWidth="1"/>
    <col min="781" max="781" width="18.453125" style="210" bestFit="1" customWidth="1"/>
    <col min="782" max="782" width="19" style="210" bestFit="1" customWidth="1"/>
    <col min="783" max="785" width="18" style="210" bestFit="1" customWidth="1"/>
    <col min="786" max="786" width="18.453125" style="210" bestFit="1" customWidth="1"/>
    <col min="787" max="787" width="13.54296875" style="210" customWidth="1"/>
    <col min="788" max="788" width="18" style="210" bestFit="1" customWidth="1"/>
    <col min="789" max="789" width="12" style="210" bestFit="1" customWidth="1"/>
    <col min="790" max="1023" width="10.1796875" style="210"/>
    <col min="1024" max="1024" width="35" style="210" customWidth="1"/>
    <col min="1025" max="1025" width="25.54296875" style="210" customWidth="1"/>
    <col min="1026" max="1026" width="16.1796875" style="210" customWidth="1"/>
    <col min="1027" max="1027" width="18" style="210" customWidth="1"/>
    <col min="1028" max="1028" width="16.1796875" style="210" customWidth="1"/>
    <col min="1029" max="1029" width="17.1796875" style="210" bestFit="1" customWidth="1"/>
    <col min="1030" max="1030" width="16.1796875" style="210" customWidth="1"/>
    <col min="1031" max="1031" width="18.453125" style="210" bestFit="1" customWidth="1"/>
    <col min="1032" max="1032" width="20.81640625" style="210" bestFit="1" customWidth="1"/>
    <col min="1033" max="1033" width="16.1796875" style="210" customWidth="1"/>
    <col min="1034" max="1034" width="13.54296875" style="210" customWidth="1"/>
    <col min="1035" max="1035" width="17.54296875" style="210" bestFit="1" customWidth="1"/>
    <col min="1036" max="1036" width="18" style="210" bestFit="1" customWidth="1"/>
    <col min="1037" max="1037" width="18.453125" style="210" bestFit="1" customWidth="1"/>
    <col min="1038" max="1038" width="19" style="210" bestFit="1" customWidth="1"/>
    <col min="1039" max="1041" width="18" style="210" bestFit="1" customWidth="1"/>
    <col min="1042" max="1042" width="18.453125" style="210" bestFit="1" customWidth="1"/>
    <col min="1043" max="1043" width="13.54296875" style="210" customWidth="1"/>
    <col min="1044" max="1044" width="18" style="210" bestFit="1" customWidth="1"/>
    <col min="1045" max="1045" width="12" style="210" bestFit="1" customWidth="1"/>
    <col min="1046" max="1279" width="10.1796875" style="210"/>
    <col min="1280" max="1280" width="35" style="210" customWidth="1"/>
    <col min="1281" max="1281" width="25.54296875" style="210" customWidth="1"/>
    <col min="1282" max="1282" width="16.1796875" style="210" customWidth="1"/>
    <col min="1283" max="1283" width="18" style="210" customWidth="1"/>
    <col min="1284" max="1284" width="16.1796875" style="210" customWidth="1"/>
    <col min="1285" max="1285" width="17.1796875" style="210" bestFit="1" customWidth="1"/>
    <col min="1286" max="1286" width="16.1796875" style="210" customWidth="1"/>
    <col min="1287" max="1287" width="18.453125" style="210" bestFit="1" customWidth="1"/>
    <col min="1288" max="1288" width="20.81640625" style="210" bestFit="1" customWidth="1"/>
    <col min="1289" max="1289" width="16.1796875" style="210" customWidth="1"/>
    <col min="1290" max="1290" width="13.54296875" style="210" customWidth="1"/>
    <col min="1291" max="1291" width="17.54296875" style="210" bestFit="1" customWidth="1"/>
    <col min="1292" max="1292" width="18" style="210" bestFit="1" customWidth="1"/>
    <col min="1293" max="1293" width="18.453125" style="210" bestFit="1" customWidth="1"/>
    <col min="1294" max="1294" width="19" style="210" bestFit="1" customWidth="1"/>
    <col min="1295" max="1297" width="18" style="210" bestFit="1" customWidth="1"/>
    <col min="1298" max="1298" width="18.453125" style="210" bestFit="1" customWidth="1"/>
    <col min="1299" max="1299" width="13.54296875" style="210" customWidth="1"/>
    <col min="1300" max="1300" width="18" style="210" bestFit="1" customWidth="1"/>
    <col min="1301" max="1301" width="12" style="210" bestFit="1" customWidth="1"/>
    <col min="1302" max="1535" width="10.1796875" style="210"/>
    <col min="1536" max="1536" width="35" style="210" customWidth="1"/>
    <col min="1537" max="1537" width="25.54296875" style="210" customWidth="1"/>
    <col min="1538" max="1538" width="16.1796875" style="210" customWidth="1"/>
    <col min="1539" max="1539" width="18" style="210" customWidth="1"/>
    <col min="1540" max="1540" width="16.1796875" style="210" customWidth="1"/>
    <col min="1541" max="1541" width="17.1796875" style="210" bestFit="1" customWidth="1"/>
    <col min="1542" max="1542" width="16.1796875" style="210" customWidth="1"/>
    <col min="1543" max="1543" width="18.453125" style="210" bestFit="1" customWidth="1"/>
    <col min="1544" max="1544" width="20.81640625" style="210" bestFit="1" customWidth="1"/>
    <col min="1545" max="1545" width="16.1796875" style="210" customWidth="1"/>
    <col min="1546" max="1546" width="13.54296875" style="210" customWidth="1"/>
    <col min="1547" max="1547" width="17.54296875" style="210" bestFit="1" customWidth="1"/>
    <col min="1548" max="1548" width="18" style="210" bestFit="1" customWidth="1"/>
    <col min="1549" max="1549" width="18.453125" style="210" bestFit="1" customWidth="1"/>
    <col min="1550" max="1550" width="19" style="210" bestFit="1" customWidth="1"/>
    <col min="1551" max="1553" width="18" style="210" bestFit="1" customWidth="1"/>
    <col min="1554" max="1554" width="18.453125" style="210" bestFit="1" customWidth="1"/>
    <col min="1555" max="1555" width="13.54296875" style="210" customWidth="1"/>
    <col min="1556" max="1556" width="18" style="210" bestFit="1" customWidth="1"/>
    <col min="1557" max="1557" width="12" style="210" bestFit="1" customWidth="1"/>
    <col min="1558" max="1791" width="10.1796875" style="210"/>
    <col min="1792" max="1792" width="35" style="210" customWidth="1"/>
    <col min="1793" max="1793" width="25.54296875" style="210" customWidth="1"/>
    <col min="1794" max="1794" width="16.1796875" style="210" customWidth="1"/>
    <col min="1795" max="1795" width="18" style="210" customWidth="1"/>
    <col min="1796" max="1796" width="16.1796875" style="210" customWidth="1"/>
    <col min="1797" max="1797" width="17.1796875" style="210" bestFit="1" customWidth="1"/>
    <col min="1798" max="1798" width="16.1796875" style="210" customWidth="1"/>
    <col min="1799" max="1799" width="18.453125" style="210" bestFit="1" customWidth="1"/>
    <col min="1800" max="1800" width="20.81640625" style="210" bestFit="1" customWidth="1"/>
    <col min="1801" max="1801" width="16.1796875" style="210" customWidth="1"/>
    <col min="1802" max="1802" width="13.54296875" style="210" customWidth="1"/>
    <col min="1803" max="1803" width="17.54296875" style="210" bestFit="1" customWidth="1"/>
    <col min="1804" max="1804" width="18" style="210" bestFit="1" customWidth="1"/>
    <col min="1805" max="1805" width="18.453125" style="210" bestFit="1" customWidth="1"/>
    <col min="1806" max="1806" width="19" style="210" bestFit="1" customWidth="1"/>
    <col min="1807" max="1809" width="18" style="210" bestFit="1" customWidth="1"/>
    <col min="1810" max="1810" width="18.453125" style="210" bestFit="1" customWidth="1"/>
    <col min="1811" max="1811" width="13.54296875" style="210" customWidth="1"/>
    <col min="1812" max="1812" width="18" style="210" bestFit="1" customWidth="1"/>
    <col min="1813" max="1813" width="12" style="210" bestFit="1" customWidth="1"/>
    <col min="1814" max="2047" width="10.1796875" style="210"/>
    <col min="2048" max="2048" width="35" style="210" customWidth="1"/>
    <col min="2049" max="2049" width="25.54296875" style="210" customWidth="1"/>
    <col min="2050" max="2050" width="16.1796875" style="210" customWidth="1"/>
    <col min="2051" max="2051" width="18" style="210" customWidth="1"/>
    <col min="2052" max="2052" width="16.1796875" style="210" customWidth="1"/>
    <col min="2053" max="2053" width="17.1796875" style="210" bestFit="1" customWidth="1"/>
    <col min="2054" max="2054" width="16.1796875" style="210" customWidth="1"/>
    <col min="2055" max="2055" width="18.453125" style="210" bestFit="1" customWidth="1"/>
    <col min="2056" max="2056" width="20.81640625" style="210" bestFit="1" customWidth="1"/>
    <col min="2057" max="2057" width="16.1796875" style="210" customWidth="1"/>
    <col min="2058" max="2058" width="13.54296875" style="210" customWidth="1"/>
    <col min="2059" max="2059" width="17.54296875" style="210" bestFit="1" customWidth="1"/>
    <col min="2060" max="2060" width="18" style="210" bestFit="1" customWidth="1"/>
    <col min="2061" max="2061" width="18.453125" style="210" bestFit="1" customWidth="1"/>
    <col min="2062" max="2062" width="19" style="210" bestFit="1" customWidth="1"/>
    <col min="2063" max="2065" width="18" style="210" bestFit="1" customWidth="1"/>
    <col min="2066" max="2066" width="18.453125" style="210" bestFit="1" customWidth="1"/>
    <col min="2067" max="2067" width="13.54296875" style="210" customWidth="1"/>
    <col min="2068" max="2068" width="18" style="210" bestFit="1" customWidth="1"/>
    <col min="2069" max="2069" width="12" style="210" bestFit="1" customWidth="1"/>
    <col min="2070" max="2303" width="10.1796875" style="210"/>
    <col min="2304" max="2304" width="35" style="210" customWidth="1"/>
    <col min="2305" max="2305" width="25.54296875" style="210" customWidth="1"/>
    <col min="2306" max="2306" width="16.1796875" style="210" customWidth="1"/>
    <col min="2307" max="2307" width="18" style="210" customWidth="1"/>
    <col min="2308" max="2308" width="16.1796875" style="210" customWidth="1"/>
    <col min="2309" max="2309" width="17.1796875" style="210" bestFit="1" customWidth="1"/>
    <col min="2310" max="2310" width="16.1796875" style="210" customWidth="1"/>
    <col min="2311" max="2311" width="18.453125" style="210" bestFit="1" customWidth="1"/>
    <col min="2312" max="2312" width="20.81640625" style="210" bestFit="1" customWidth="1"/>
    <col min="2313" max="2313" width="16.1796875" style="210" customWidth="1"/>
    <col min="2314" max="2314" width="13.54296875" style="210" customWidth="1"/>
    <col min="2315" max="2315" width="17.54296875" style="210" bestFit="1" customWidth="1"/>
    <col min="2316" max="2316" width="18" style="210" bestFit="1" customWidth="1"/>
    <col min="2317" max="2317" width="18.453125" style="210" bestFit="1" customWidth="1"/>
    <col min="2318" max="2318" width="19" style="210" bestFit="1" customWidth="1"/>
    <col min="2319" max="2321" width="18" style="210" bestFit="1" customWidth="1"/>
    <col min="2322" max="2322" width="18.453125" style="210" bestFit="1" customWidth="1"/>
    <col min="2323" max="2323" width="13.54296875" style="210" customWidth="1"/>
    <col min="2324" max="2324" width="18" style="210" bestFit="1" customWidth="1"/>
    <col min="2325" max="2325" width="12" style="210" bestFit="1" customWidth="1"/>
    <col min="2326" max="2559" width="10.1796875" style="210"/>
    <col min="2560" max="2560" width="35" style="210" customWidth="1"/>
    <col min="2561" max="2561" width="25.54296875" style="210" customWidth="1"/>
    <col min="2562" max="2562" width="16.1796875" style="210" customWidth="1"/>
    <col min="2563" max="2563" width="18" style="210" customWidth="1"/>
    <col min="2564" max="2564" width="16.1796875" style="210" customWidth="1"/>
    <col min="2565" max="2565" width="17.1796875" style="210" bestFit="1" customWidth="1"/>
    <col min="2566" max="2566" width="16.1796875" style="210" customWidth="1"/>
    <col min="2567" max="2567" width="18.453125" style="210" bestFit="1" customWidth="1"/>
    <col min="2568" max="2568" width="20.81640625" style="210" bestFit="1" customWidth="1"/>
    <col min="2569" max="2569" width="16.1796875" style="210" customWidth="1"/>
    <col min="2570" max="2570" width="13.54296875" style="210" customWidth="1"/>
    <col min="2571" max="2571" width="17.54296875" style="210" bestFit="1" customWidth="1"/>
    <col min="2572" max="2572" width="18" style="210" bestFit="1" customWidth="1"/>
    <col min="2573" max="2573" width="18.453125" style="210" bestFit="1" customWidth="1"/>
    <col min="2574" max="2574" width="19" style="210" bestFit="1" customWidth="1"/>
    <col min="2575" max="2577" width="18" style="210" bestFit="1" customWidth="1"/>
    <col min="2578" max="2578" width="18.453125" style="210" bestFit="1" customWidth="1"/>
    <col min="2579" max="2579" width="13.54296875" style="210" customWidth="1"/>
    <col min="2580" max="2580" width="18" style="210" bestFit="1" customWidth="1"/>
    <col min="2581" max="2581" width="12" style="210" bestFit="1" customWidth="1"/>
    <col min="2582" max="2815" width="10.1796875" style="210"/>
    <col min="2816" max="2816" width="35" style="210" customWidth="1"/>
    <col min="2817" max="2817" width="25.54296875" style="210" customWidth="1"/>
    <col min="2818" max="2818" width="16.1796875" style="210" customWidth="1"/>
    <col min="2819" max="2819" width="18" style="210" customWidth="1"/>
    <col min="2820" max="2820" width="16.1796875" style="210" customWidth="1"/>
    <col min="2821" max="2821" width="17.1796875" style="210" bestFit="1" customWidth="1"/>
    <col min="2822" max="2822" width="16.1796875" style="210" customWidth="1"/>
    <col min="2823" max="2823" width="18.453125" style="210" bestFit="1" customWidth="1"/>
    <col min="2824" max="2824" width="20.81640625" style="210" bestFit="1" customWidth="1"/>
    <col min="2825" max="2825" width="16.1796875" style="210" customWidth="1"/>
    <col min="2826" max="2826" width="13.54296875" style="210" customWidth="1"/>
    <col min="2827" max="2827" width="17.54296875" style="210" bestFit="1" customWidth="1"/>
    <col min="2828" max="2828" width="18" style="210" bestFit="1" customWidth="1"/>
    <col min="2829" max="2829" width="18.453125" style="210" bestFit="1" customWidth="1"/>
    <col min="2830" max="2830" width="19" style="210" bestFit="1" customWidth="1"/>
    <col min="2831" max="2833" width="18" style="210" bestFit="1" customWidth="1"/>
    <col min="2834" max="2834" width="18.453125" style="210" bestFit="1" customWidth="1"/>
    <col min="2835" max="2835" width="13.54296875" style="210" customWidth="1"/>
    <col min="2836" max="2836" width="18" style="210" bestFit="1" customWidth="1"/>
    <col min="2837" max="2837" width="12" style="210" bestFit="1" customWidth="1"/>
    <col min="2838" max="3071" width="10.1796875" style="210"/>
    <col min="3072" max="3072" width="35" style="210" customWidth="1"/>
    <col min="3073" max="3073" width="25.54296875" style="210" customWidth="1"/>
    <col min="3074" max="3074" width="16.1796875" style="210" customWidth="1"/>
    <col min="3075" max="3075" width="18" style="210" customWidth="1"/>
    <col min="3076" max="3076" width="16.1796875" style="210" customWidth="1"/>
    <col min="3077" max="3077" width="17.1796875" style="210" bestFit="1" customWidth="1"/>
    <col min="3078" max="3078" width="16.1796875" style="210" customWidth="1"/>
    <col min="3079" max="3079" width="18.453125" style="210" bestFit="1" customWidth="1"/>
    <col min="3080" max="3080" width="20.81640625" style="210" bestFit="1" customWidth="1"/>
    <col min="3081" max="3081" width="16.1796875" style="210" customWidth="1"/>
    <col min="3082" max="3082" width="13.54296875" style="210" customWidth="1"/>
    <col min="3083" max="3083" width="17.54296875" style="210" bestFit="1" customWidth="1"/>
    <col min="3084" max="3084" width="18" style="210" bestFit="1" customWidth="1"/>
    <col min="3085" max="3085" width="18.453125" style="210" bestFit="1" customWidth="1"/>
    <col min="3086" max="3086" width="19" style="210" bestFit="1" customWidth="1"/>
    <col min="3087" max="3089" width="18" style="210" bestFit="1" customWidth="1"/>
    <col min="3090" max="3090" width="18.453125" style="210" bestFit="1" customWidth="1"/>
    <col min="3091" max="3091" width="13.54296875" style="210" customWidth="1"/>
    <col min="3092" max="3092" width="18" style="210" bestFit="1" customWidth="1"/>
    <col min="3093" max="3093" width="12" style="210" bestFit="1" customWidth="1"/>
    <col min="3094" max="3327" width="10.1796875" style="210"/>
    <col min="3328" max="3328" width="35" style="210" customWidth="1"/>
    <col min="3329" max="3329" width="25.54296875" style="210" customWidth="1"/>
    <col min="3330" max="3330" width="16.1796875" style="210" customWidth="1"/>
    <col min="3331" max="3331" width="18" style="210" customWidth="1"/>
    <col min="3332" max="3332" width="16.1796875" style="210" customWidth="1"/>
    <col min="3333" max="3333" width="17.1796875" style="210" bestFit="1" customWidth="1"/>
    <col min="3334" max="3334" width="16.1796875" style="210" customWidth="1"/>
    <col min="3335" max="3335" width="18.453125" style="210" bestFit="1" customWidth="1"/>
    <col min="3336" max="3336" width="20.81640625" style="210" bestFit="1" customWidth="1"/>
    <col min="3337" max="3337" width="16.1796875" style="210" customWidth="1"/>
    <col min="3338" max="3338" width="13.54296875" style="210" customWidth="1"/>
    <col min="3339" max="3339" width="17.54296875" style="210" bestFit="1" customWidth="1"/>
    <col min="3340" max="3340" width="18" style="210" bestFit="1" customWidth="1"/>
    <col min="3341" max="3341" width="18.453125" style="210" bestFit="1" customWidth="1"/>
    <col min="3342" max="3342" width="19" style="210" bestFit="1" customWidth="1"/>
    <col min="3343" max="3345" width="18" style="210" bestFit="1" customWidth="1"/>
    <col min="3346" max="3346" width="18.453125" style="210" bestFit="1" customWidth="1"/>
    <col min="3347" max="3347" width="13.54296875" style="210" customWidth="1"/>
    <col min="3348" max="3348" width="18" style="210" bestFit="1" customWidth="1"/>
    <col min="3349" max="3349" width="12" style="210" bestFit="1" customWidth="1"/>
    <col min="3350" max="3583" width="10.1796875" style="210"/>
    <col min="3584" max="3584" width="35" style="210" customWidth="1"/>
    <col min="3585" max="3585" width="25.54296875" style="210" customWidth="1"/>
    <col min="3586" max="3586" width="16.1796875" style="210" customWidth="1"/>
    <col min="3587" max="3587" width="18" style="210" customWidth="1"/>
    <col min="3588" max="3588" width="16.1796875" style="210" customWidth="1"/>
    <col min="3589" max="3589" width="17.1796875" style="210" bestFit="1" customWidth="1"/>
    <col min="3590" max="3590" width="16.1796875" style="210" customWidth="1"/>
    <col min="3591" max="3591" width="18.453125" style="210" bestFit="1" customWidth="1"/>
    <col min="3592" max="3592" width="20.81640625" style="210" bestFit="1" customWidth="1"/>
    <col min="3593" max="3593" width="16.1796875" style="210" customWidth="1"/>
    <col min="3594" max="3594" width="13.54296875" style="210" customWidth="1"/>
    <col min="3595" max="3595" width="17.54296875" style="210" bestFit="1" customWidth="1"/>
    <col min="3596" max="3596" width="18" style="210" bestFit="1" customWidth="1"/>
    <col min="3597" max="3597" width="18.453125" style="210" bestFit="1" customWidth="1"/>
    <col min="3598" max="3598" width="19" style="210" bestFit="1" customWidth="1"/>
    <col min="3599" max="3601" width="18" style="210" bestFit="1" customWidth="1"/>
    <col min="3602" max="3602" width="18.453125" style="210" bestFit="1" customWidth="1"/>
    <col min="3603" max="3603" width="13.54296875" style="210" customWidth="1"/>
    <col min="3604" max="3604" width="18" style="210" bestFit="1" customWidth="1"/>
    <col min="3605" max="3605" width="12" style="210" bestFit="1" customWidth="1"/>
    <col min="3606" max="3839" width="10.1796875" style="210"/>
    <col min="3840" max="3840" width="35" style="210" customWidth="1"/>
    <col min="3841" max="3841" width="25.54296875" style="210" customWidth="1"/>
    <col min="3842" max="3842" width="16.1796875" style="210" customWidth="1"/>
    <col min="3843" max="3843" width="18" style="210" customWidth="1"/>
    <col min="3844" max="3844" width="16.1796875" style="210" customWidth="1"/>
    <col min="3845" max="3845" width="17.1796875" style="210" bestFit="1" customWidth="1"/>
    <col min="3846" max="3846" width="16.1796875" style="210" customWidth="1"/>
    <col min="3847" max="3847" width="18.453125" style="210" bestFit="1" customWidth="1"/>
    <col min="3848" max="3848" width="20.81640625" style="210" bestFit="1" customWidth="1"/>
    <col min="3849" max="3849" width="16.1796875" style="210" customWidth="1"/>
    <col min="3850" max="3850" width="13.54296875" style="210" customWidth="1"/>
    <col min="3851" max="3851" width="17.54296875" style="210" bestFit="1" customWidth="1"/>
    <col min="3852" max="3852" width="18" style="210" bestFit="1" customWidth="1"/>
    <col min="3853" max="3853" width="18.453125" style="210" bestFit="1" customWidth="1"/>
    <col min="3854" max="3854" width="19" style="210" bestFit="1" customWidth="1"/>
    <col min="3855" max="3857" width="18" style="210" bestFit="1" customWidth="1"/>
    <col min="3858" max="3858" width="18.453125" style="210" bestFit="1" customWidth="1"/>
    <col min="3859" max="3859" width="13.54296875" style="210" customWidth="1"/>
    <col min="3860" max="3860" width="18" style="210" bestFit="1" customWidth="1"/>
    <col min="3861" max="3861" width="12" style="210" bestFit="1" customWidth="1"/>
    <col min="3862" max="4095" width="10.1796875" style="210"/>
    <col min="4096" max="4096" width="35" style="210" customWidth="1"/>
    <col min="4097" max="4097" width="25.54296875" style="210" customWidth="1"/>
    <col min="4098" max="4098" width="16.1796875" style="210" customWidth="1"/>
    <col min="4099" max="4099" width="18" style="210" customWidth="1"/>
    <col min="4100" max="4100" width="16.1796875" style="210" customWidth="1"/>
    <col min="4101" max="4101" width="17.1796875" style="210" bestFit="1" customWidth="1"/>
    <col min="4102" max="4102" width="16.1796875" style="210" customWidth="1"/>
    <col min="4103" max="4103" width="18.453125" style="210" bestFit="1" customWidth="1"/>
    <col min="4104" max="4104" width="20.81640625" style="210" bestFit="1" customWidth="1"/>
    <col min="4105" max="4105" width="16.1796875" style="210" customWidth="1"/>
    <col min="4106" max="4106" width="13.54296875" style="210" customWidth="1"/>
    <col min="4107" max="4107" width="17.54296875" style="210" bestFit="1" customWidth="1"/>
    <col min="4108" max="4108" width="18" style="210" bestFit="1" customWidth="1"/>
    <col min="4109" max="4109" width="18.453125" style="210" bestFit="1" customWidth="1"/>
    <col min="4110" max="4110" width="19" style="210" bestFit="1" customWidth="1"/>
    <col min="4111" max="4113" width="18" style="210" bestFit="1" customWidth="1"/>
    <col min="4114" max="4114" width="18.453125" style="210" bestFit="1" customWidth="1"/>
    <col min="4115" max="4115" width="13.54296875" style="210" customWidth="1"/>
    <col min="4116" max="4116" width="18" style="210" bestFit="1" customWidth="1"/>
    <col min="4117" max="4117" width="12" style="210" bestFit="1" customWidth="1"/>
    <col min="4118" max="4351" width="10.1796875" style="210"/>
    <col min="4352" max="4352" width="35" style="210" customWidth="1"/>
    <col min="4353" max="4353" width="25.54296875" style="210" customWidth="1"/>
    <col min="4354" max="4354" width="16.1796875" style="210" customWidth="1"/>
    <col min="4355" max="4355" width="18" style="210" customWidth="1"/>
    <col min="4356" max="4356" width="16.1796875" style="210" customWidth="1"/>
    <col min="4357" max="4357" width="17.1796875" style="210" bestFit="1" customWidth="1"/>
    <col min="4358" max="4358" width="16.1796875" style="210" customWidth="1"/>
    <col min="4359" max="4359" width="18.453125" style="210" bestFit="1" customWidth="1"/>
    <col min="4360" max="4360" width="20.81640625" style="210" bestFit="1" customWidth="1"/>
    <col min="4361" max="4361" width="16.1796875" style="210" customWidth="1"/>
    <col min="4362" max="4362" width="13.54296875" style="210" customWidth="1"/>
    <col min="4363" max="4363" width="17.54296875" style="210" bestFit="1" customWidth="1"/>
    <col min="4364" max="4364" width="18" style="210" bestFit="1" customWidth="1"/>
    <col min="4365" max="4365" width="18.453125" style="210" bestFit="1" customWidth="1"/>
    <col min="4366" max="4366" width="19" style="210" bestFit="1" customWidth="1"/>
    <col min="4367" max="4369" width="18" style="210" bestFit="1" customWidth="1"/>
    <col min="4370" max="4370" width="18.453125" style="210" bestFit="1" customWidth="1"/>
    <col min="4371" max="4371" width="13.54296875" style="210" customWidth="1"/>
    <col min="4372" max="4372" width="18" style="210" bestFit="1" customWidth="1"/>
    <col min="4373" max="4373" width="12" style="210" bestFit="1" customWidth="1"/>
    <col min="4374" max="4607" width="10.1796875" style="210"/>
    <col min="4608" max="4608" width="35" style="210" customWidth="1"/>
    <col min="4609" max="4609" width="25.54296875" style="210" customWidth="1"/>
    <col min="4610" max="4610" width="16.1796875" style="210" customWidth="1"/>
    <col min="4611" max="4611" width="18" style="210" customWidth="1"/>
    <col min="4612" max="4612" width="16.1796875" style="210" customWidth="1"/>
    <col min="4613" max="4613" width="17.1796875" style="210" bestFit="1" customWidth="1"/>
    <col min="4614" max="4614" width="16.1796875" style="210" customWidth="1"/>
    <col min="4615" max="4615" width="18.453125" style="210" bestFit="1" customWidth="1"/>
    <col min="4616" max="4616" width="20.81640625" style="210" bestFit="1" customWidth="1"/>
    <col min="4617" max="4617" width="16.1796875" style="210" customWidth="1"/>
    <col min="4618" max="4618" width="13.54296875" style="210" customWidth="1"/>
    <col min="4619" max="4619" width="17.54296875" style="210" bestFit="1" customWidth="1"/>
    <col min="4620" max="4620" width="18" style="210" bestFit="1" customWidth="1"/>
    <col min="4621" max="4621" width="18.453125" style="210" bestFit="1" customWidth="1"/>
    <col min="4622" max="4622" width="19" style="210" bestFit="1" customWidth="1"/>
    <col min="4623" max="4625" width="18" style="210" bestFit="1" customWidth="1"/>
    <col min="4626" max="4626" width="18.453125" style="210" bestFit="1" customWidth="1"/>
    <col min="4627" max="4627" width="13.54296875" style="210" customWidth="1"/>
    <col min="4628" max="4628" width="18" style="210" bestFit="1" customWidth="1"/>
    <col min="4629" max="4629" width="12" style="210" bestFit="1" customWidth="1"/>
    <col min="4630" max="4863" width="10.1796875" style="210"/>
    <col min="4864" max="4864" width="35" style="210" customWidth="1"/>
    <col min="4865" max="4865" width="25.54296875" style="210" customWidth="1"/>
    <col min="4866" max="4866" width="16.1796875" style="210" customWidth="1"/>
    <col min="4867" max="4867" width="18" style="210" customWidth="1"/>
    <col min="4868" max="4868" width="16.1796875" style="210" customWidth="1"/>
    <col min="4869" max="4869" width="17.1796875" style="210" bestFit="1" customWidth="1"/>
    <col min="4870" max="4870" width="16.1796875" style="210" customWidth="1"/>
    <col min="4871" max="4871" width="18.453125" style="210" bestFit="1" customWidth="1"/>
    <col min="4872" max="4872" width="20.81640625" style="210" bestFit="1" customWidth="1"/>
    <col min="4873" max="4873" width="16.1796875" style="210" customWidth="1"/>
    <col min="4874" max="4874" width="13.54296875" style="210" customWidth="1"/>
    <col min="4875" max="4875" width="17.54296875" style="210" bestFit="1" customWidth="1"/>
    <col min="4876" max="4876" width="18" style="210" bestFit="1" customWidth="1"/>
    <col min="4877" max="4877" width="18.453125" style="210" bestFit="1" customWidth="1"/>
    <col min="4878" max="4878" width="19" style="210" bestFit="1" customWidth="1"/>
    <col min="4879" max="4881" width="18" style="210" bestFit="1" customWidth="1"/>
    <col min="4882" max="4882" width="18.453125" style="210" bestFit="1" customWidth="1"/>
    <col min="4883" max="4883" width="13.54296875" style="210" customWidth="1"/>
    <col min="4884" max="4884" width="18" style="210" bestFit="1" customWidth="1"/>
    <col min="4885" max="4885" width="12" style="210" bestFit="1" customWidth="1"/>
    <col min="4886" max="5119" width="10.1796875" style="210"/>
    <col min="5120" max="5120" width="35" style="210" customWidth="1"/>
    <col min="5121" max="5121" width="25.54296875" style="210" customWidth="1"/>
    <col min="5122" max="5122" width="16.1796875" style="210" customWidth="1"/>
    <col min="5123" max="5123" width="18" style="210" customWidth="1"/>
    <col min="5124" max="5124" width="16.1796875" style="210" customWidth="1"/>
    <col min="5125" max="5125" width="17.1796875" style="210" bestFit="1" customWidth="1"/>
    <col min="5126" max="5126" width="16.1796875" style="210" customWidth="1"/>
    <col min="5127" max="5127" width="18.453125" style="210" bestFit="1" customWidth="1"/>
    <col min="5128" max="5128" width="20.81640625" style="210" bestFit="1" customWidth="1"/>
    <col min="5129" max="5129" width="16.1796875" style="210" customWidth="1"/>
    <col min="5130" max="5130" width="13.54296875" style="210" customWidth="1"/>
    <col min="5131" max="5131" width="17.54296875" style="210" bestFit="1" customWidth="1"/>
    <col min="5132" max="5132" width="18" style="210" bestFit="1" customWidth="1"/>
    <col min="5133" max="5133" width="18.453125" style="210" bestFit="1" customWidth="1"/>
    <col min="5134" max="5134" width="19" style="210" bestFit="1" customWidth="1"/>
    <col min="5135" max="5137" width="18" style="210" bestFit="1" customWidth="1"/>
    <col min="5138" max="5138" width="18.453125" style="210" bestFit="1" customWidth="1"/>
    <col min="5139" max="5139" width="13.54296875" style="210" customWidth="1"/>
    <col min="5140" max="5140" width="18" style="210" bestFit="1" customWidth="1"/>
    <col min="5141" max="5141" width="12" style="210" bestFit="1" customWidth="1"/>
    <col min="5142" max="5375" width="10.1796875" style="210"/>
    <col min="5376" max="5376" width="35" style="210" customWidth="1"/>
    <col min="5377" max="5377" width="25.54296875" style="210" customWidth="1"/>
    <col min="5378" max="5378" width="16.1796875" style="210" customWidth="1"/>
    <col min="5379" max="5379" width="18" style="210" customWidth="1"/>
    <col min="5380" max="5380" width="16.1796875" style="210" customWidth="1"/>
    <col min="5381" max="5381" width="17.1796875" style="210" bestFit="1" customWidth="1"/>
    <col min="5382" max="5382" width="16.1796875" style="210" customWidth="1"/>
    <col min="5383" max="5383" width="18.453125" style="210" bestFit="1" customWidth="1"/>
    <col min="5384" max="5384" width="20.81640625" style="210" bestFit="1" customWidth="1"/>
    <col min="5385" max="5385" width="16.1796875" style="210" customWidth="1"/>
    <col min="5386" max="5386" width="13.54296875" style="210" customWidth="1"/>
    <col min="5387" max="5387" width="17.54296875" style="210" bestFit="1" customWidth="1"/>
    <col min="5388" max="5388" width="18" style="210" bestFit="1" customWidth="1"/>
    <col min="5389" max="5389" width="18.453125" style="210" bestFit="1" customWidth="1"/>
    <col min="5390" max="5390" width="19" style="210" bestFit="1" customWidth="1"/>
    <col min="5391" max="5393" width="18" style="210" bestFit="1" customWidth="1"/>
    <col min="5394" max="5394" width="18.453125" style="210" bestFit="1" customWidth="1"/>
    <col min="5395" max="5395" width="13.54296875" style="210" customWidth="1"/>
    <col min="5396" max="5396" width="18" style="210" bestFit="1" customWidth="1"/>
    <col min="5397" max="5397" width="12" style="210" bestFit="1" customWidth="1"/>
    <col min="5398" max="5631" width="10.1796875" style="210"/>
    <col min="5632" max="5632" width="35" style="210" customWidth="1"/>
    <col min="5633" max="5633" width="25.54296875" style="210" customWidth="1"/>
    <col min="5634" max="5634" width="16.1796875" style="210" customWidth="1"/>
    <col min="5635" max="5635" width="18" style="210" customWidth="1"/>
    <col min="5636" max="5636" width="16.1796875" style="210" customWidth="1"/>
    <col min="5637" max="5637" width="17.1796875" style="210" bestFit="1" customWidth="1"/>
    <col min="5638" max="5638" width="16.1796875" style="210" customWidth="1"/>
    <col min="5639" max="5639" width="18.453125" style="210" bestFit="1" customWidth="1"/>
    <col min="5640" max="5640" width="20.81640625" style="210" bestFit="1" customWidth="1"/>
    <col min="5641" max="5641" width="16.1796875" style="210" customWidth="1"/>
    <col min="5642" max="5642" width="13.54296875" style="210" customWidth="1"/>
    <col min="5643" max="5643" width="17.54296875" style="210" bestFit="1" customWidth="1"/>
    <col min="5644" max="5644" width="18" style="210" bestFit="1" customWidth="1"/>
    <col min="5645" max="5645" width="18.453125" style="210" bestFit="1" customWidth="1"/>
    <col min="5646" max="5646" width="19" style="210" bestFit="1" customWidth="1"/>
    <col min="5647" max="5649" width="18" style="210" bestFit="1" customWidth="1"/>
    <col min="5650" max="5650" width="18.453125" style="210" bestFit="1" customWidth="1"/>
    <col min="5651" max="5651" width="13.54296875" style="210" customWidth="1"/>
    <col min="5652" max="5652" width="18" style="210" bestFit="1" customWidth="1"/>
    <col min="5653" max="5653" width="12" style="210" bestFit="1" customWidth="1"/>
    <col min="5654" max="5887" width="10.1796875" style="210"/>
    <col min="5888" max="5888" width="35" style="210" customWidth="1"/>
    <col min="5889" max="5889" width="25.54296875" style="210" customWidth="1"/>
    <col min="5890" max="5890" width="16.1796875" style="210" customWidth="1"/>
    <col min="5891" max="5891" width="18" style="210" customWidth="1"/>
    <col min="5892" max="5892" width="16.1796875" style="210" customWidth="1"/>
    <col min="5893" max="5893" width="17.1796875" style="210" bestFit="1" customWidth="1"/>
    <col min="5894" max="5894" width="16.1796875" style="210" customWidth="1"/>
    <col min="5895" max="5895" width="18.453125" style="210" bestFit="1" customWidth="1"/>
    <col min="5896" max="5896" width="20.81640625" style="210" bestFit="1" customWidth="1"/>
    <col min="5897" max="5897" width="16.1796875" style="210" customWidth="1"/>
    <col min="5898" max="5898" width="13.54296875" style="210" customWidth="1"/>
    <col min="5899" max="5899" width="17.54296875" style="210" bestFit="1" customWidth="1"/>
    <col min="5900" max="5900" width="18" style="210" bestFit="1" customWidth="1"/>
    <col min="5901" max="5901" width="18.453125" style="210" bestFit="1" customWidth="1"/>
    <col min="5902" max="5902" width="19" style="210" bestFit="1" customWidth="1"/>
    <col min="5903" max="5905" width="18" style="210" bestFit="1" customWidth="1"/>
    <col min="5906" max="5906" width="18.453125" style="210" bestFit="1" customWidth="1"/>
    <col min="5907" max="5907" width="13.54296875" style="210" customWidth="1"/>
    <col min="5908" max="5908" width="18" style="210" bestFit="1" customWidth="1"/>
    <col min="5909" max="5909" width="12" style="210" bestFit="1" customWidth="1"/>
    <col min="5910" max="6143" width="10.1796875" style="210"/>
    <col min="6144" max="6144" width="35" style="210" customWidth="1"/>
    <col min="6145" max="6145" width="25.54296875" style="210" customWidth="1"/>
    <col min="6146" max="6146" width="16.1796875" style="210" customWidth="1"/>
    <col min="6147" max="6147" width="18" style="210" customWidth="1"/>
    <col min="6148" max="6148" width="16.1796875" style="210" customWidth="1"/>
    <col min="6149" max="6149" width="17.1796875" style="210" bestFit="1" customWidth="1"/>
    <col min="6150" max="6150" width="16.1796875" style="210" customWidth="1"/>
    <col min="6151" max="6151" width="18.453125" style="210" bestFit="1" customWidth="1"/>
    <col min="6152" max="6152" width="20.81640625" style="210" bestFit="1" customWidth="1"/>
    <col min="6153" max="6153" width="16.1796875" style="210" customWidth="1"/>
    <col min="6154" max="6154" width="13.54296875" style="210" customWidth="1"/>
    <col min="6155" max="6155" width="17.54296875" style="210" bestFit="1" customWidth="1"/>
    <col min="6156" max="6156" width="18" style="210" bestFit="1" customWidth="1"/>
    <col min="6157" max="6157" width="18.453125" style="210" bestFit="1" customWidth="1"/>
    <col min="6158" max="6158" width="19" style="210" bestFit="1" customWidth="1"/>
    <col min="6159" max="6161" width="18" style="210" bestFit="1" customWidth="1"/>
    <col min="6162" max="6162" width="18.453125" style="210" bestFit="1" customWidth="1"/>
    <col min="6163" max="6163" width="13.54296875" style="210" customWidth="1"/>
    <col min="6164" max="6164" width="18" style="210" bestFit="1" customWidth="1"/>
    <col min="6165" max="6165" width="12" style="210" bestFit="1" customWidth="1"/>
    <col min="6166" max="6399" width="10.1796875" style="210"/>
    <col min="6400" max="6400" width="35" style="210" customWidth="1"/>
    <col min="6401" max="6401" width="25.54296875" style="210" customWidth="1"/>
    <col min="6402" max="6402" width="16.1796875" style="210" customWidth="1"/>
    <col min="6403" max="6403" width="18" style="210" customWidth="1"/>
    <col min="6404" max="6404" width="16.1796875" style="210" customWidth="1"/>
    <col min="6405" max="6405" width="17.1796875" style="210" bestFit="1" customWidth="1"/>
    <col min="6406" max="6406" width="16.1796875" style="210" customWidth="1"/>
    <col min="6407" max="6407" width="18.453125" style="210" bestFit="1" customWidth="1"/>
    <col min="6408" max="6408" width="20.81640625" style="210" bestFit="1" customWidth="1"/>
    <col min="6409" max="6409" width="16.1796875" style="210" customWidth="1"/>
    <col min="6410" max="6410" width="13.54296875" style="210" customWidth="1"/>
    <col min="6411" max="6411" width="17.54296875" style="210" bestFit="1" customWidth="1"/>
    <col min="6412" max="6412" width="18" style="210" bestFit="1" customWidth="1"/>
    <col min="6413" max="6413" width="18.453125" style="210" bestFit="1" customWidth="1"/>
    <col min="6414" max="6414" width="19" style="210" bestFit="1" customWidth="1"/>
    <col min="6415" max="6417" width="18" style="210" bestFit="1" customWidth="1"/>
    <col min="6418" max="6418" width="18.453125" style="210" bestFit="1" customWidth="1"/>
    <col min="6419" max="6419" width="13.54296875" style="210" customWidth="1"/>
    <col min="6420" max="6420" width="18" style="210" bestFit="1" customWidth="1"/>
    <col min="6421" max="6421" width="12" style="210" bestFit="1" customWidth="1"/>
    <col min="6422" max="6655" width="10.1796875" style="210"/>
    <col min="6656" max="6656" width="35" style="210" customWidth="1"/>
    <col min="6657" max="6657" width="25.54296875" style="210" customWidth="1"/>
    <col min="6658" max="6658" width="16.1796875" style="210" customWidth="1"/>
    <col min="6659" max="6659" width="18" style="210" customWidth="1"/>
    <col min="6660" max="6660" width="16.1796875" style="210" customWidth="1"/>
    <col min="6661" max="6661" width="17.1796875" style="210" bestFit="1" customWidth="1"/>
    <col min="6662" max="6662" width="16.1796875" style="210" customWidth="1"/>
    <col min="6663" max="6663" width="18.453125" style="210" bestFit="1" customWidth="1"/>
    <col min="6664" max="6664" width="20.81640625" style="210" bestFit="1" customWidth="1"/>
    <col min="6665" max="6665" width="16.1796875" style="210" customWidth="1"/>
    <col min="6666" max="6666" width="13.54296875" style="210" customWidth="1"/>
    <col min="6667" max="6667" width="17.54296875" style="210" bestFit="1" customWidth="1"/>
    <col min="6668" max="6668" width="18" style="210" bestFit="1" customWidth="1"/>
    <col min="6669" max="6669" width="18.453125" style="210" bestFit="1" customWidth="1"/>
    <col min="6670" max="6670" width="19" style="210" bestFit="1" customWidth="1"/>
    <col min="6671" max="6673" width="18" style="210" bestFit="1" customWidth="1"/>
    <col min="6674" max="6674" width="18.453125" style="210" bestFit="1" customWidth="1"/>
    <col min="6675" max="6675" width="13.54296875" style="210" customWidth="1"/>
    <col min="6676" max="6676" width="18" style="210" bestFit="1" customWidth="1"/>
    <col min="6677" max="6677" width="12" style="210" bestFit="1" customWidth="1"/>
    <col min="6678" max="6911" width="10.1796875" style="210"/>
    <col min="6912" max="6912" width="35" style="210" customWidth="1"/>
    <col min="6913" max="6913" width="25.54296875" style="210" customWidth="1"/>
    <col min="6914" max="6914" width="16.1796875" style="210" customWidth="1"/>
    <col min="6915" max="6915" width="18" style="210" customWidth="1"/>
    <col min="6916" max="6916" width="16.1796875" style="210" customWidth="1"/>
    <col min="6917" max="6917" width="17.1796875" style="210" bestFit="1" customWidth="1"/>
    <col min="6918" max="6918" width="16.1796875" style="210" customWidth="1"/>
    <col min="6919" max="6919" width="18.453125" style="210" bestFit="1" customWidth="1"/>
    <col min="6920" max="6920" width="20.81640625" style="210" bestFit="1" customWidth="1"/>
    <col min="6921" max="6921" width="16.1796875" style="210" customWidth="1"/>
    <col min="6922" max="6922" width="13.54296875" style="210" customWidth="1"/>
    <col min="6923" max="6923" width="17.54296875" style="210" bestFit="1" customWidth="1"/>
    <col min="6924" max="6924" width="18" style="210" bestFit="1" customWidth="1"/>
    <col min="6925" max="6925" width="18.453125" style="210" bestFit="1" customWidth="1"/>
    <col min="6926" max="6926" width="19" style="210" bestFit="1" customWidth="1"/>
    <col min="6927" max="6929" width="18" style="210" bestFit="1" customWidth="1"/>
    <col min="6930" max="6930" width="18.453125" style="210" bestFit="1" customWidth="1"/>
    <col min="6931" max="6931" width="13.54296875" style="210" customWidth="1"/>
    <col min="6932" max="6932" width="18" style="210" bestFit="1" customWidth="1"/>
    <col min="6933" max="6933" width="12" style="210" bestFit="1" customWidth="1"/>
    <col min="6934" max="7167" width="10.1796875" style="210"/>
    <col min="7168" max="7168" width="35" style="210" customWidth="1"/>
    <col min="7169" max="7169" width="25.54296875" style="210" customWidth="1"/>
    <col min="7170" max="7170" width="16.1796875" style="210" customWidth="1"/>
    <col min="7171" max="7171" width="18" style="210" customWidth="1"/>
    <col min="7172" max="7172" width="16.1796875" style="210" customWidth="1"/>
    <col min="7173" max="7173" width="17.1796875" style="210" bestFit="1" customWidth="1"/>
    <col min="7174" max="7174" width="16.1796875" style="210" customWidth="1"/>
    <col min="7175" max="7175" width="18.453125" style="210" bestFit="1" customWidth="1"/>
    <col min="7176" max="7176" width="20.81640625" style="210" bestFit="1" customWidth="1"/>
    <col min="7177" max="7177" width="16.1796875" style="210" customWidth="1"/>
    <col min="7178" max="7178" width="13.54296875" style="210" customWidth="1"/>
    <col min="7179" max="7179" width="17.54296875" style="210" bestFit="1" customWidth="1"/>
    <col min="7180" max="7180" width="18" style="210" bestFit="1" customWidth="1"/>
    <col min="7181" max="7181" width="18.453125" style="210" bestFit="1" customWidth="1"/>
    <col min="7182" max="7182" width="19" style="210" bestFit="1" customWidth="1"/>
    <col min="7183" max="7185" width="18" style="210" bestFit="1" customWidth="1"/>
    <col min="7186" max="7186" width="18.453125" style="210" bestFit="1" customWidth="1"/>
    <col min="7187" max="7187" width="13.54296875" style="210" customWidth="1"/>
    <col min="7188" max="7188" width="18" style="210" bestFit="1" customWidth="1"/>
    <col min="7189" max="7189" width="12" style="210" bestFit="1" customWidth="1"/>
    <col min="7190" max="7423" width="10.1796875" style="210"/>
    <col min="7424" max="7424" width="35" style="210" customWidth="1"/>
    <col min="7425" max="7425" width="25.54296875" style="210" customWidth="1"/>
    <col min="7426" max="7426" width="16.1796875" style="210" customWidth="1"/>
    <col min="7427" max="7427" width="18" style="210" customWidth="1"/>
    <col min="7428" max="7428" width="16.1796875" style="210" customWidth="1"/>
    <col min="7429" max="7429" width="17.1796875" style="210" bestFit="1" customWidth="1"/>
    <col min="7430" max="7430" width="16.1796875" style="210" customWidth="1"/>
    <col min="7431" max="7431" width="18.453125" style="210" bestFit="1" customWidth="1"/>
    <col min="7432" max="7432" width="20.81640625" style="210" bestFit="1" customWidth="1"/>
    <col min="7433" max="7433" width="16.1796875" style="210" customWidth="1"/>
    <col min="7434" max="7434" width="13.54296875" style="210" customWidth="1"/>
    <col min="7435" max="7435" width="17.54296875" style="210" bestFit="1" customWidth="1"/>
    <col min="7436" max="7436" width="18" style="210" bestFit="1" customWidth="1"/>
    <col min="7437" max="7437" width="18.453125" style="210" bestFit="1" customWidth="1"/>
    <col min="7438" max="7438" width="19" style="210" bestFit="1" customWidth="1"/>
    <col min="7439" max="7441" width="18" style="210" bestFit="1" customWidth="1"/>
    <col min="7442" max="7442" width="18.453125" style="210" bestFit="1" customWidth="1"/>
    <col min="7443" max="7443" width="13.54296875" style="210" customWidth="1"/>
    <col min="7444" max="7444" width="18" style="210" bestFit="1" customWidth="1"/>
    <col min="7445" max="7445" width="12" style="210" bestFit="1" customWidth="1"/>
    <col min="7446" max="7679" width="10.1796875" style="210"/>
    <col min="7680" max="7680" width="35" style="210" customWidth="1"/>
    <col min="7681" max="7681" width="25.54296875" style="210" customWidth="1"/>
    <col min="7682" max="7682" width="16.1796875" style="210" customWidth="1"/>
    <col min="7683" max="7683" width="18" style="210" customWidth="1"/>
    <col min="7684" max="7684" width="16.1796875" style="210" customWidth="1"/>
    <col min="7685" max="7685" width="17.1796875" style="210" bestFit="1" customWidth="1"/>
    <col min="7686" max="7686" width="16.1796875" style="210" customWidth="1"/>
    <col min="7687" max="7687" width="18.453125" style="210" bestFit="1" customWidth="1"/>
    <col min="7688" max="7688" width="20.81640625" style="210" bestFit="1" customWidth="1"/>
    <col min="7689" max="7689" width="16.1796875" style="210" customWidth="1"/>
    <col min="7690" max="7690" width="13.54296875" style="210" customWidth="1"/>
    <col min="7691" max="7691" width="17.54296875" style="210" bestFit="1" customWidth="1"/>
    <col min="7692" max="7692" width="18" style="210" bestFit="1" customWidth="1"/>
    <col min="7693" max="7693" width="18.453125" style="210" bestFit="1" customWidth="1"/>
    <col min="7694" max="7694" width="19" style="210" bestFit="1" customWidth="1"/>
    <col min="7695" max="7697" width="18" style="210" bestFit="1" customWidth="1"/>
    <col min="7698" max="7698" width="18.453125" style="210" bestFit="1" customWidth="1"/>
    <col min="7699" max="7699" width="13.54296875" style="210" customWidth="1"/>
    <col min="7700" max="7700" width="18" style="210" bestFit="1" customWidth="1"/>
    <col min="7701" max="7701" width="12" style="210" bestFit="1" customWidth="1"/>
    <col min="7702" max="7935" width="10.1796875" style="210"/>
    <col min="7936" max="7936" width="35" style="210" customWidth="1"/>
    <col min="7937" max="7937" width="25.54296875" style="210" customWidth="1"/>
    <col min="7938" max="7938" width="16.1796875" style="210" customWidth="1"/>
    <col min="7939" max="7939" width="18" style="210" customWidth="1"/>
    <col min="7940" max="7940" width="16.1796875" style="210" customWidth="1"/>
    <col min="7941" max="7941" width="17.1796875" style="210" bestFit="1" customWidth="1"/>
    <col min="7942" max="7942" width="16.1796875" style="210" customWidth="1"/>
    <col min="7943" max="7943" width="18.453125" style="210" bestFit="1" customWidth="1"/>
    <col min="7944" max="7944" width="20.81640625" style="210" bestFit="1" customWidth="1"/>
    <col min="7945" max="7945" width="16.1796875" style="210" customWidth="1"/>
    <col min="7946" max="7946" width="13.54296875" style="210" customWidth="1"/>
    <col min="7947" max="7947" width="17.54296875" style="210" bestFit="1" customWidth="1"/>
    <col min="7948" max="7948" width="18" style="210" bestFit="1" customWidth="1"/>
    <col min="7949" max="7949" width="18.453125" style="210" bestFit="1" customWidth="1"/>
    <col min="7950" max="7950" width="19" style="210" bestFit="1" customWidth="1"/>
    <col min="7951" max="7953" width="18" style="210" bestFit="1" customWidth="1"/>
    <col min="7954" max="7954" width="18.453125" style="210" bestFit="1" customWidth="1"/>
    <col min="7955" max="7955" width="13.54296875" style="210" customWidth="1"/>
    <col min="7956" max="7956" width="18" style="210" bestFit="1" customWidth="1"/>
    <col min="7957" max="7957" width="12" style="210" bestFit="1" customWidth="1"/>
    <col min="7958" max="8191" width="10.1796875" style="210"/>
    <col min="8192" max="8192" width="35" style="210" customWidth="1"/>
    <col min="8193" max="8193" width="25.54296875" style="210" customWidth="1"/>
    <col min="8194" max="8194" width="16.1796875" style="210" customWidth="1"/>
    <col min="8195" max="8195" width="18" style="210" customWidth="1"/>
    <col min="8196" max="8196" width="16.1796875" style="210" customWidth="1"/>
    <col min="8197" max="8197" width="17.1796875" style="210" bestFit="1" customWidth="1"/>
    <col min="8198" max="8198" width="16.1796875" style="210" customWidth="1"/>
    <col min="8199" max="8199" width="18.453125" style="210" bestFit="1" customWidth="1"/>
    <col min="8200" max="8200" width="20.81640625" style="210" bestFit="1" customWidth="1"/>
    <col min="8201" max="8201" width="16.1796875" style="210" customWidth="1"/>
    <col min="8202" max="8202" width="13.54296875" style="210" customWidth="1"/>
    <col min="8203" max="8203" width="17.54296875" style="210" bestFit="1" customWidth="1"/>
    <col min="8204" max="8204" width="18" style="210" bestFit="1" customWidth="1"/>
    <col min="8205" max="8205" width="18.453125" style="210" bestFit="1" customWidth="1"/>
    <col min="8206" max="8206" width="19" style="210" bestFit="1" customWidth="1"/>
    <col min="8207" max="8209" width="18" style="210" bestFit="1" customWidth="1"/>
    <col min="8210" max="8210" width="18.453125" style="210" bestFit="1" customWidth="1"/>
    <col min="8211" max="8211" width="13.54296875" style="210" customWidth="1"/>
    <col min="8212" max="8212" width="18" style="210" bestFit="1" customWidth="1"/>
    <col min="8213" max="8213" width="12" style="210" bestFit="1" customWidth="1"/>
    <col min="8214" max="8447" width="10.1796875" style="210"/>
    <col min="8448" max="8448" width="35" style="210" customWidth="1"/>
    <col min="8449" max="8449" width="25.54296875" style="210" customWidth="1"/>
    <col min="8450" max="8450" width="16.1796875" style="210" customWidth="1"/>
    <col min="8451" max="8451" width="18" style="210" customWidth="1"/>
    <col min="8452" max="8452" width="16.1796875" style="210" customWidth="1"/>
    <col min="8453" max="8453" width="17.1796875" style="210" bestFit="1" customWidth="1"/>
    <col min="8454" max="8454" width="16.1796875" style="210" customWidth="1"/>
    <col min="8455" max="8455" width="18.453125" style="210" bestFit="1" customWidth="1"/>
    <col min="8456" max="8456" width="20.81640625" style="210" bestFit="1" customWidth="1"/>
    <col min="8457" max="8457" width="16.1796875" style="210" customWidth="1"/>
    <col min="8458" max="8458" width="13.54296875" style="210" customWidth="1"/>
    <col min="8459" max="8459" width="17.54296875" style="210" bestFit="1" customWidth="1"/>
    <col min="8460" max="8460" width="18" style="210" bestFit="1" customWidth="1"/>
    <col min="8461" max="8461" width="18.453125" style="210" bestFit="1" customWidth="1"/>
    <col min="8462" max="8462" width="19" style="210" bestFit="1" customWidth="1"/>
    <col min="8463" max="8465" width="18" style="210" bestFit="1" customWidth="1"/>
    <col min="8466" max="8466" width="18.453125" style="210" bestFit="1" customWidth="1"/>
    <col min="8467" max="8467" width="13.54296875" style="210" customWidth="1"/>
    <col min="8468" max="8468" width="18" style="210" bestFit="1" customWidth="1"/>
    <col min="8469" max="8469" width="12" style="210" bestFit="1" customWidth="1"/>
    <col min="8470" max="8703" width="10.1796875" style="210"/>
    <col min="8704" max="8704" width="35" style="210" customWidth="1"/>
    <col min="8705" max="8705" width="25.54296875" style="210" customWidth="1"/>
    <col min="8706" max="8706" width="16.1796875" style="210" customWidth="1"/>
    <col min="8707" max="8707" width="18" style="210" customWidth="1"/>
    <col min="8708" max="8708" width="16.1796875" style="210" customWidth="1"/>
    <col min="8709" max="8709" width="17.1796875" style="210" bestFit="1" customWidth="1"/>
    <col min="8710" max="8710" width="16.1796875" style="210" customWidth="1"/>
    <col min="8711" max="8711" width="18.453125" style="210" bestFit="1" customWidth="1"/>
    <col min="8712" max="8712" width="20.81640625" style="210" bestFit="1" customWidth="1"/>
    <col min="8713" max="8713" width="16.1796875" style="210" customWidth="1"/>
    <col min="8714" max="8714" width="13.54296875" style="210" customWidth="1"/>
    <col min="8715" max="8715" width="17.54296875" style="210" bestFit="1" customWidth="1"/>
    <col min="8716" max="8716" width="18" style="210" bestFit="1" customWidth="1"/>
    <col min="8717" max="8717" width="18.453125" style="210" bestFit="1" customWidth="1"/>
    <col min="8718" max="8718" width="19" style="210" bestFit="1" customWidth="1"/>
    <col min="8719" max="8721" width="18" style="210" bestFit="1" customWidth="1"/>
    <col min="8722" max="8722" width="18.453125" style="210" bestFit="1" customWidth="1"/>
    <col min="8723" max="8723" width="13.54296875" style="210" customWidth="1"/>
    <col min="8724" max="8724" width="18" style="210" bestFit="1" customWidth="1"/>
    <col min="8725" max="8725" width="12" style="210" bestFit="1" customWidth="1"/>
    <col min="8726" max="8959" width="10.1796875" style="210"/>
    <col min="8960" max="8960" width="35" style="210" customWidth="1"/>
    <col min="8961" max="8961" width="25.54296875" style="210" customWidth="1"/>
    <col min="8962" max="8962" width="16.1796875" style="210" customWidth="1"/>
    <col min="8963" max="8963" width="18" style="210" customWidth="1"/>
    <col min="8964" max="8964" width="16.1796875" style="210" customWidth="1"/>
    <col min="8965" max="8965" width="17.1796875" style="210" bestFit="1" customWidth="1"/>
    <col min="8966" max="8966" width="16.1796875" style="210" customWidth="1"/>
    <col min="8967" max="8967" width="18.453125" style="210" bestFit="1" customWidth="1"/>
    <col min="8968" max="8968" width="20.81640625" style="210" bestFit="1" customWidth="1"/>
    <col min="8969" max="8969" width="16.1796875" style="210" customWidth="1"/>
    <col min="8970" max="8970" width="13.54296875" style="210" customWidth="1"/>
    <col min="8971" max="8971" width="17.54296875" style="210" bestFit="1" customWidth="1"/>
    <col min="8972" max="8972" width="18" style="210" bestFit="1" customWidth="1"/>
    <col min="8973" max="8973" width="18.453125" style="210" bestFit="1" customWidth="1"/>
    <col min="8974" max="8974" width="19" style="210" bestFit="1" customWidth="1"/>
    <col min="8975" max="8977" width="18" style="210" bestFit="1" customWidth="1"/>
    <col min="8978" max="8978" width="18.453125" style="210" bestFit="1" customWidth="1"/>
    <col min="8979" max="8979" width="13.54296875" style="210" customWidth="1"/>
    <col min="8980" max="8980" width="18" style="210" bestFit="1" customWidth="1"/>
    <col min="8981" max="8981" width="12" style="210" bestFit="1" customWidth="1"/>
    <col min="8982" max="9215" width="10.1796875" style="210"/>
    <col min="9216" max="9216" width="35" style="210" customWidth="1"/>
    <col min="9217" max="9217" width="25.54296875" style="210" customWidth="1"/>
    <col min="9218" max="9218" width="16.1796875" style="210" customWidth="1"/>
    <col min="9219" max="9219" width="18" style="210" customWidth="1"/>
    <col min="9220" max="9220" width="16.1796875" style="210" customWidth="1"/>
    <col min="9221" max="9221" width="17.1796875" style="210" bestFit="1" customWidth="1"/>
    <col min="9222" max="9222" width="16.1796875" style="210" customWidth="1"/>
    <col min="9223" max="9223" width="18.453125" style="210" bestFit="1" customWidth="1"/>
    <col min="9224" max="9224" width="20.81640625" style="210" bestFit="1" customWidth="1"/>
    <col min="9225" max="9225" width="16.1796875" style="210" customWidth="1"/>
    <col min="9226" max="9226" width="13.54296875" style="210" customWidth="1"/>
    <col min="9227" max="9227" width="17.54296875" style="210" bestFit="1" customWidth="1"/>
    <col min="9228" max="9228" width="18" style="210" bestFit="1" customWidth="1"/>
    <col min="9229" max="9229" width="18.453125" style="210" bestFit="1" customWidth="1"/>
    <col min="9230" max="9230" width="19" style="210" bestFit="1" customWidth="1"/>
    <col min="9231" max="9233" width="18" style="210" bestFit="1" customWidth="1"/>
    <col min="9234" max="9234" width="18.453125" style="210" bestFit="1" customWidth="1"/>
    <col min="9235" max="9235" width="13.54296875" style="210" customWidth="1"/>
    <col min="9236" max="9236" width="18" style="210" bestFit="1" customWidth="1"/>
    <col min="9237" max="9237" width="12" style="210" bestFit="1" customWidth="1"/>
    <col min="9238" max="9471" width="10.1796875" style="210"/>
    <col min="9472" max="9472" width="35" style="210" customWidth="1"/>
    <col min="9473" max="9473" width="25.54296875" style="210" customWidth="1"/>
    <col min="9474" max="9474" width="16.1796875" style="210" customWidth="1"/>
    <col min="9475" max="9475" width="18" style="210" customWidth="1"/>
    <col min="9476" max="9476" width="16.1796875" style="210" customWidth="1"/>
    <col min="9477" max="9477" width="17.1796875" style="210" bestFit="1" customWidth="1"/>
    <col min="9478" max="9478" width="16.1796875" style="210" customWidth="1"/>
    <col min="9479" max="9479" width="18.453125" style="210" bestFit="1" customWidth="1"/>
    <col min="9480" max="9480" width="20.81640625" style="210" bestFit="1" customWidth="1"/>
    <col min="9481" max="9481" width="16.1796875" style="210" customWidth="1"/>
    <col min="9482" max="9482" width="13.54296875" style="210" customWidth="1"/>
    <col min="9483" max="9483" width="17.54296875" style="210" bestFit="1" customWidth="1"/>
    <col min="9484" max="9484" width="18" style="210" bestFit="1" customWidth="1"/>
    <col min="9485" max="9485" width="18.453125" style="210" bestFit="1" customWidth="1"/>
    <col min="9486" max="9486" width="19" style="210" bestFit="1" customWidth="1"/>
    <col min="9487" max="9489" width="18" style="210" bestFit="1" customWidth="1"/>
    <col min="9490" max="9490" width="18.453125" style="210" bestFit="1" customWidth="1"/>
    <col min="9491" max="9491" width="13.54296875" style="210" customWidth="1"/>
    <col min="9492" max="9492" width="18" style="210" bestFit="1" customWidth="1"/>
    <col min="9493" max="9493" width="12" style="210" bestFit="1" customWidth="1"/>
    <col min="9494" max="9727" width="10.1796875" style="210"/>
    <col min="9728" max="9728" width="35" style="210" customWidth="1"/>
    <col min="9729" max="9729" width="25.54296875" style="210" customWidth="1"/>
    <col min="9730" max="9730" width="16.1796875" style="210" customWidth="1"/>
    <col min="9731" max="9731" width="18" style="210" customWidth="1"/>
    <col min="9732" max="9732" width="16.1796875" style="210" customWidth="1"/>
    <col min="9733" max="9733" width="17.1796875" style="210" bestFit="1" customWidth="1"/>
    <col min="9734" max="9734" width="16.1796875" style="210" customWidth="1"/>
    <col min="9735" max="9735" width="18.453125" style="210" bestFit="1" customWidth="1"/>
    <col min="9736" max="9736" width="20.81640625" style="210" bestFit="1" customWidth="1"/>
    <col min="9737" max="9737" width="16.1796875" style="210" customWidth="1"/>
    <col min="9738" max="9738" width="13.54296875" style="210" customWidth="1"/>
    <col min="9739" max="9739" width="17.54296875" style="210" bestFit="1" customWidth="1"/>
    <col min="9740" max="9740" width="18" style="210" bestFit="1" customWidth="1"/>
    <col min="9741" max="9741" width="18.453125" style="210" bestFit="1" customWidth="1"/>
    <col min="9742" max="9742" width="19" style="210" bestFit="1" customWidth="1"/>
    <col min="9743" max="9745" width="18" style="210" bestFit="1" customWidth="1"/>
    <col min="9746" max="9746" width="18.453125" style="210" bestFit="1" customWidth="1"/>
    <col min="9747" max="9747" width="13.54296875" style="210" customWidth="1"/>
    <col min="9748" max="9748" width="18" style="210" bestFit="1" customWidth="1"/>
    <col min="9749" max="9749" width="12" style="210" bestFit="1" customWidth="1"/>
    <col min="9750" max="9983" width="10.1796875" style="210"/>
    <col min="9984" max="9984" width="35" style="210" customWidth="1"/>
    <col min="9985" max="9985" width="25.54296875" style="210" customWidth="1"/>
    <col min="9986" max="9986" width="16.1796875" style="210" customWidth="1"/>
    <col min="9987" max="9987" width="18" style="210" customWidth="1"/>
    <col min="9988" max="9988" width="16.1796875" style="210" customWidth="1"/>
    <col min="9989" max="9989" width="17.1796875" style="210" bestFit="1" customWidth="1"/>
    <col min="9990" max="9990" width="16.1796875" style="210" customWidth="1"/>
    <col min="9991" max="9991" width="18.453125" style="210" bestFit="1" customWidth="1"/>
    <col min="9992" max="9992" width="20.81640625" style="210" bestFit="1" customWidth="1"/>
    <col min="9993" max="9993" width="16.1796875" style="210" customWidth="1"/>
    <col min="9994" max="9994" width="13.54296875" style="210" customWidth="1"/>
    <col min="9995" max="9995" width="17.54296875" style="210" bestFit="1" customWidth="1"/>
    <col min="9996" max="9996" width="18" style="210" bestFit="1" customWidth="1"/>
    <col min="9997" max="9997" width="18.453125" style="210" bestFit="1" customWidth="1"/>
    <col min="9998" max="9998" width="19" style="210" bestFit="1" customWidth="1"/>
    <col min="9999" max="10001" width="18" style="210" bestFit="1" customWidth="1"/>
    <col min="10002" max="10002" width="18.453125" style="210" bestFit="1" customWidth="1"/>
    <col min="10003" max="10003" width="13.54296875" style="210" customWidth="1"/>
    <col min="10004" max="10004" width="18" style="210" bestFit="1" customWidth="1"/>
    <col min="10005" max="10005" width="12" style="210" bestFit="1" customWidth="1"/>
    <col min="10006" max="10239" width="10.1796875" style="210"/>
    <col min="10240" max="10240" width="35" style="210" customWidth="1"/>
    <col min="10241" max="10241" width="25.54296875" style="210" customWidth="1"/>
    <col min="10242" max="10242" width="16.1796875" style="210" customWidth="1"/>
    <col min="10243" max="10243" width="18" style="210" customWidth="1"/>
    <col min="10244" max="10244" width="16.1796875" style="210" customWidth="1"/>
    <col min="10245" max="10245" width="17.1796875" style="210" bestFit="1" customWidth="1"/>
    <col min="10246" max="10246" width="16.1796875" style="210" customWidth="1"/>
    <col min="10247" max="10247" width="18.453125" style="210" bestFit="1" customWidth="1"/>
    <col min="10248" max="10248" width="20.81640625" style="210" bestFit="1" customWidth="1"/>
    <col min="10249" max="10249" width="16.1796875" style="210" customWidth="1"/>
    <col min="10250" max="10250" width="13.54296875" style="210" customWidth="1"/>
    <col min="10251" max="10251" width="17.54296875" style="210" bestFit="1" customWidth="1"/>
    <col min="10252" max="10252" width="18" style="210" bestFit="1" customWidth="1"/>
    <col min="10253" max="10253" width="18.453125" style="210" bestFit="1" customWidth="1"/>
    <col min="10254" max="10254" width="19" style="210" bestFit="1" customWidth="1"/>
    <col min="10255" max="10257" width="18" style="210" bestFit="1" customWidth="1"/>
    <col min="10258" max="10258" width="18.453125" style="210" bestFit="1" customWidth="1"/>
    <col min="10259" max="10259" width="13.54296875" style="210" customWidth="1"/>
    <col min="10260" max="10260" width="18" style="210" bestFit="1" customWidth="1"/>
    <col min="10261" max="10261" width="12" style="210" bestFit="1" customWidth="1"/>
    <col min="10262" max="10495" width="10.1796875" style="210"/>
    <col min="10496" max="10496" width="35" style="210" customWidth="1"/>
    <col min="10497" max="10497" width="25.54296875" style="210" customWidth="1"/>
    <col min="10498" max="10498" width="16.1796875" style="210" customWidth="1"/>
    <col min="10499" max="10499" width="18" style="210" customWidth="1"/>
    <col min="10500" max="10500" width="16.1796875" style="210" customWidth="1"/>
    <col min="10501" max="10501" width="17.1796875" style="210" bestFit="1" customWidth="1"/>
    <col min="10502" max="10502" width="16.1796875" style="210" customWidth="1"/>
    <col min="10503" max="10503" width="18.453125" style="210" bestFit="1" customWidth="1"/>
    <col min="10504" max="10504" width="20.81640625" style="210" bestFit="1" customWidth="1"/>
    <col min="10505" max="10505" width="16.1796875" style="210" customWidth="1"/>
    <col min="10506" max="10506" width="13.54296875" style="210" customWidth="1"/>
    <col min="10507" max="10507" width="17.54296875" style="210" bestFit="1" customWidth="1"/>
    <col min="10508" max="10508" width="18" style="210" bestFit="1" customWidth="1"/>
    <col min="10509" max="10509" width="18.453125" style="210" bestFit="1" customWidth="1"/>
    <col min="10510" max="10510" width="19" style="210" bestFit="1" customWidth="1"/>
    <col min="10511" max="10513" width="18" style="210" bestFit="1" customWidth="1"/>
    <col min="10514" max="10514" width="18.453125" style="210" bestFit="1" customWidth="1"/>
    <col min="10515" max="10515" width="13.54296875" style="210" customWidth="1"/>
    <col min="10516" max="10516" width="18" style="210" bestFit="1" customWidth="1"/>
    <col min="10517" max="10517" width="12" style="210" bestFit="1" customWidth="1"/>
    <col min="10518" max="10751" width="10.1796875" style="210"/>
    <col min="10752" max="10752" width="35" style="210" customWidth="1"/>
    <col min="10753" max="10753" width="25.54296875" style="210" customWidth="1"/>
    <col min="10754" max="10754" width="16.1796875" style="210" customWidth="1"/>
    <col min="10755" max="10755" width="18" style="210" customWidth="1"/>
    <col min="10756" max="10756" width="16.1796875" style="210" customWidth="1"/>
    <col min="10757" max="10757" width="17.1796875" style="210" bestFit="1" customWidth="1"/>
    <col min="10758" max="10758" width="16.1796875" style="210" customWidth="1"/>
    <col min="10759" max="10759" width="18.453125" style="210" bestFit="1" customWidth="1"/>
    <col min="10760" max="10760" width="20.81640625" style="210" bestFit="1" customWidth="1"/>
    <col min="10761" max="10761" width="16.1796875" style="210" customWidth="1"/>
    <col min="10762" max="10762" width="13.54296875" style="210" customWidth="1"/>
    <col min="10763" max="10763" width="17.54296875" style="210" bestFit="1" customWidth="1"/>
    <col min="10764" max="10764" width="18" style="210" bestFit="1" customWidth="1"/>
    <col min="10765" max="10765" width="18.453125" style="210" bestFit="1" customWidth="1"/>
    <col min="10766" max="10766" width="19" style="210" bestFit="1" customWidth="1"/>
    <col min="10767" max="10769" width="18" style="210" bestFit="1" customWidth="1"/>
    <col min="10770" max="10770" width="18.453125" style="210" bestFit="1" customWidth="1"/>
    <col min="10771" max="10771" width="13.54296875" style="210" customWidth="1"/>
    <col min="10772" max="10772" width="18" style="210" bestFit="1" customWidth="1"/>
    <col min="10773" max="10773" width="12" style="210" bestFit="1" customWidth="1"/>
    <col min="10774" max="11007" width="10.1796875" style="210"/>
    <col min="11008" max="11008" width="35" style="210" customWidth="1"/>
    <col min="11009" max="11009" width="25.54296875" style="210" customWidth="1"/>
    <col min="11010" max="11010" width="16.1796875" style="210" customWidth="1"/>
    <col min="11011" max="11011" width="18" style="210" customWidth="1"/>
    <col min="11012" max="11012" width="16.1796875" style="210" customWidth="1"/>
    <col min="11013" max="11013" width="17.1796875" style="210" bestFit="1" customWidth="1"/>
    <col min="11014" max="11014" width="16.1796875" style="210" customWidth="1"/>
    <col min="11015" max="11015" width="18.453125" style="210" bestFit="1" customWidth="1"/>
    <col min="11016" max="11016" width="20.81640625" style="210" bestFit="1" customWidth="1"/>
    <col min="11017" max="11017" width="16.1796875" style="210" customWidth="1"/>
    <col min="11018" max="11018" width="13.54296875" style="210" customWidth="1"/>
    <col min="11019" max="11019" width="17.54296875" style="210" bestFit="1" customWidth="1"/>
    <col min="11020" max="11020" width="18" style="210" bestFit="1" customWidth="1"/>
    <col min="11021" max="11021" width="18.453125" style="210" bestFit="1" customWidth="1"/>
    <col min="11022" max="11022" width="19" style="210" bestFit="1" customWidth="1"/>
    <col min="11023" max="11025" width="18" style="210" bestFit="1" customWidth="1"/>
    <col min="11026" max="11026" width="18.453125" style="210" bestFit="1" customWidth="1"/>
    <col min="11027" max="11027" width="13.54296875" style="210" customWidth="1"/>
    <col min="11028" max="11028" width="18" style="210" bestFit="1" customWidth="1"/>
    <col min="11029" max="11029" width="12" style="210" bestFit="1" customWidth="1"/>
    <col min="11030" max="11263" width="10.1796875" style="210"/>
    <col min="11264" max="11264" width="35" style="210" customWidth="1"/>
    <col min="11265" max="11265" width="25.54296875" style="210" customWidth="1"/>
    <col min="11266" max="11266" width="16.1796875" style="210" customWidth="1"/>
    <col min="11267" max="11267" width="18" style="210" customWidth="1"/>
    <col min="11268" max="11268" width="16.1796875" style="210" customWidth="1"/>
    <col min="11269" max="11269" width="17.1796875" style="210" bestFit="1" customWidth="1"/>
    <col min="11270" max="11270" width="16.1796875" style="210" customWidth="1"/>
    <col min="11271" max="11271" width="18.453125" style="210" bestFit="1" customWidth="1"/>
    <col min="11272" max="11272" width="20.81640625" style="210" bestFit="1" customWidth="1"/>
    <col min="11273" max="11273" width="16.1796875" style="210" customWidth="1"/>
    <col min="11274" max="11274" width="13.54296875" style="210" customWidth="1"/>
    <col min="11275" max="11275" width="17.54296875" style="210" bestFit="1" customWidth="1"/>
    <col min="11276" max="11276" width="18" style="210" bestFit="1" customWidth="1"/>
    <col min="11277" max="11277" width="18.453125" style="210" bestFit="1" customWidth="1"/>
    <col min="11278" max="11278" width="19" style="210" bestFit="1" customWidth="1"/>
    <col min="11279" max="11281" width="18" style="210" bestFit="1" customWidth="1"/>
    <col min="11282" max="11282" width="18.453125" style="210" bestFit="1" customWidth="1"/>
    <col min="11283" max="11283" width="13.54296875" style="210" customWidth="1"/>
    <col min="11284" max="11284" width="18" style="210" bestFit="1" customWidth="1"/>
    <col min="11285" max="11285" width="12" style="210" bestFit="1" customWidth="1"/>
    <col min="11286" max="11519" width="10.1796875" style="210"/>
    <col min="11520" max="11520" width="35" style="210" customWidth="1"/>
    <col min="11521" max="11521" width="25.54296875" style="210" customWidth="1"/>
    <col min="11522" max="11522" width="16.1796875" style="210" customWidth="1"/>
    <col min="11523" max="11523" width="18" style="210" customWidth="1"/>
    <col min="11524" max="11524" width="16.1796875" style="210" customWidth="1"/>
    <col min="11525" max="11525" width="17.1796875" style="210" bestFit="1" customWidth="1"/>
    <col min="11526" max="11526" width="16.1796875" style="210" customWidth="1"/>
    <col min="11527" max="11527" width="18.453125" style="210" bestFit="1" customWidth="1"/>
    <col min="11528" max="11528" width="20.81640625" style="210" bestFit="1" customWidth="1"/>
    <col min="11529" max="11529" width="16.1796875" style="210" customWidth="1"/>
    <col min="11530" max="11530" width="13.54296875" style="210" customWidth="1"/>
    <col min="11531" max="11531" width="17.54296875" style="210" bestFit="1" customWidth="1"/>
    <col min="11532" max="11532" width="18" style="210" bestFit="1" customWidth="1"/>
    <col min="11533" max="11533" width="18.453125" style="210" bestFit="1" customWidth="1"/>
    <col min="11534" max="11534" width="19" style="210" bestFit="1" customWidth="1"/>
    <col min="11535" max="11537" width="18" style="210" bestFit="1" customWidth="1"/>
    <col min="11538" max="11538" width="18.453125" style="210" bestFit="1" customWidth="1"/>
    <col min="11539" max="11539" width="13.54296875" style="210" customWidth="1"/>
    <col min="11540" max="11540" width="18" style="210" bestFit="1" customWidth="1"/>
    <col min="11541" max="11541" width="12" style="210" bestFit="1" customWidth="1"/>
    <col min="11542" max="11775" width="10.1796875" style="210"/>
    <col min="11776" max="11776" width="35" style="210" customWidth="1"/>
    <col min="11777" max="11777" width="25.54296875" style="210" customWidth="1"/>
    <col min="11778" max="11778" width="16.1796875" style="210" customWidth="1"/>
    <col min="11779" max="11779" width="18" style="210" customWidth="1"/>
    <col min="11780" max="11780" width="16.1796875" style="210" customWidth="1"/>
    <col min="11781" max="11781" width="17.1796875" style="210" bestFit="1" customWidth="1"/>
    <col min="11782" max="11782" width="16.1796875" style="210" customWidth="1"/>
    <col min="11783" max="11783" width="18.453125" style="210" bestFit="1" customWidth="1"/>
    <col min="11784" max="11784" width="20.81640625" style="210" bestFit="1" customWidth="1"/>
    <col min="11785" max="11785" width="16.1796875" style="210" customWidth="1"/>
    <col min="11786" max="11786" width="13.54296875" style="210" customWidth="1"/>
    <col min="11787" max="11787" width="17.54296875" style="210" bestFit="1" customWidth="1"/>
    <col min="11788" max="11788" width="18" style="210" bestFit="1" customWidth="1"/>
    <col min="11789" max="11789" width="18.453125" style="210" bestFit="1" customWidth="1"/>
    <col min="11790" max="11790" width="19" style="210" bestFit="1" customWidth="1"/>
    <col min="11791" max="11793" width="18" style="210" bestFit="1" customWidth="1"/>
    <col min="11794" max="11794" width="18.453125" style="210" bestFit="1" customWidth="1"/>
    <col min="11795" max="11795" width="13.54296875" style="210" customWidth="1"/>
    <col min="11796" max="11796" width="18" style="210" bestFit="1" customWidth="1"/>
    <col min="11797" max="11797" width="12" style="210" bestFit="1" customWidth="1"/>
    <col min="11798" max="12031" width="10.1796875" style="210"/>
    <col min="12032" max="12032" width="35" style="210" customWidth="1"/>
    <col min="12033" max="12033" width="25.54296875" style="210" customWidth="1"/>
    <col min="12034" max="12034" width="16.1796875" style="210" customWidth="1"/>
    <col min="12035" max="12035" width="18" style="210" customWidth="1"/>
    <col min="12036" max="12036" width="16.1796875" style="210" customWidth="1"/>
    <col min="12037" max="12037" width="17.1796875" style="210" bestFit="1" customWidth="1"/>
    <col min="12038" max="12038" width="16.1796875" style="210" customWidth="1"/>
    <col min="12039" max="12039" width="18.453125" style="210" bestFit="1" customWidth="1"/>
    <col min="12040" max="12040" width="20.81640625" style="210" bestFit="1" customWidth="1"/>
    <col min="12041" max="12041" width="16.1796875" style="210" customWidth="1"/>
    <col min="12042" max="12042" width="13.54296875" style="210" customWidth="1"/>
    <col min="12043" max="12043" width="17.54296875" style="210" bestFit="1" customWidth="1"/>
    <col min="12044" max="12044" width="18" style="210" bestFit="1" customWidth="1"/>
    <col min="12045" max="12045" width="18.453125" style="210" bestFit="1" customWidth="1"/>
    <col min="12046" max="12046" width="19" style="210" bestFit="1" customWidth="1"/>
    <col min="12047" max="12049" width="18" style="210" bestFit="1" customWidth="1"/>
    <col min="12050" max="12050" width="18.453125" style="210" bestFit="1" customWidth="1"/>
    <col min="12051" max="12051" width="13.54296875" style="210" customWidth="1"/>
    <col min="12052" max="12052" width="18" style="210" bestFit="1" customWidth="1"/>
    <col min="12053" max="12053" width="12" style="210" bestFit="1" customWidth="1"/>
    <col min="12054" max="12287" width="10.1796875" style="210"/>
    <col min="12288" max="12288" width="35" style="210" customWidth="1"/>
    <col min="12289" max="12289" width="25.54296875" style="210" customWidth="1"/>
    <col min="12290" max="12290" width="16.1796875" style="210" customWidth="1"/>
    <col min="12291" max="12291" width="18" style="210" customWidth="1"/>
    <col min="12292" max="12292" width="16.1796875" style="210" customWidth="1"/>
    <col min="12293" max="12293" width="17.1796875" style="210" bestFit="1" customWidth="1"/>
    <col min="12294" max="12294" width="16.1796875" style="210" customWidth="1"/>
    <col min="12295" max="12295" width="18.453125" style="210" bestFit="1" customWidth="1"/>
    <col min="12296" max="12296" width="20.81640625" style="210" bestFit="1" customWidth="1"/>
    <col min="12297" max="12297" width="16.1796875" style="210" customWidth="1"/>
    <col min="12298" max="12298" width="13.54296875" style="210" customWidth="1"/>
    <col min="12299" max="12299" width="17.54296875" style="210" bestFit="1" customWidth="1"/>
    <col min="12300" max="12300" width="18" style="210" bestFit="1" customWidth="1"/>
    <col min="12301" max="12301" width="18.453125" style="210" bestFit="1" customWidth="1"/>
    <col min="12302" max="12302" width="19" style="210" bestFit="1" customWidth="1"/>
    <col min="12303" max="12305" width="18" style="210" bestFit="1" customWidth="1"/>
    <col min="12306" max="12306" width="18.453125" style="210" bestFit="1" customWidth="1"/>
    <col min="12307" max="12307" width="13.54296875" style="210" customWidth="1"/>
    <col min="12308" max="12308" width="18" style="210" bestFit="1" customWidth="1"/>
    <col min="12309" max="12309" width="12" style="210" bestFit="1" customWidth="1"/>
    <col min="12310" max="12543" width="10.1796875" style="210"/>
    <col min="12544" max="12544" width="35" style="210" customWidth="1"/>
    <col min="12545" max="12545" width="25.54296875" style="210" customWidth="1"/>
    <col min="12546" max="12546" width="16.1796875" style="210" customWidth="1"/>
    <col min="12547" max="12547" width="18" style="210" customWidth="1"/>
    <col min="12548" max="12548" width="16.1796875" style="210" customWidth="1"/>
    <col min="12549" max="12549" width="17.1796875" style="210" bestFit="1" customWidth="1"/>
    <col min="12550" max="12550" width="16.1796875" style="210" customWidth="1"/>
    <col min="12551" max="12551" width="18.453125" style="210" bestFit="1" customWidth="1"/>
    <col min="12552" max="12552" width="20.81640625" style="210" bestFit="1" customWidth="1"/>
    <col min="12553" max="12553" width="16.1796875" style="210" customWidth="1"/>
    <col min="12554" max="12554" width="13.54296875" style="210" customWidth="1"/>
    <col min="12555" max="12555" width="17.54296875" style="210" bestFit="1" customWidth="1"/>
    <col min="12556" max="12556" width="18" style="210" bestFit="1" customWidth="1"/>
    <col min="12557" max="12557" width="18.453125" style="210" bestFit="1" customWidth="1"/>
    <col min="12558" max="12558" width="19" style="210" bestFit="1" customWidth="1"/>
    <col min="12559" max="12561" width="18" style="210" bestFit="1" customWidth="1"/>
    <col min="12562" max="12562" width="18.453125" style="210" bestFit="1" customWidth="1"/>
    <col min="12563" max="12563" width="13.54296875" style="210" customWidth="1"/>
    <col min="12564" max="12564" width="18" style="210" bestFit="1" customWidth="1"/>
    <col min="12565" max="12565" width="12" style="210" bestFit="1" customWidth="1"/>
    <col min="12566" max="12799" width="10.1796875" style="210"/>
    <col min="12800" max="12800" width="35" style="210" customWidth="1"/>
    <col min="12801" max="12801" width="25.54296875" style="210" customWidth="1"/>
    <col min="12802" max="12802" width="16.1796875" style="210" customWidth="1"/>
    <col min="12803" max="12803" width="18" style="210" customWidth="1"/>
    <col min="12804" max="12804" width="16.1796875" style="210" customWidth="1"/>
    <col min="12805" max="12805" width="17.1796875" style="210" bestFit="1" customWidth="1"/>
    <col min="12806" max="12806" width="16.1796875" style="210" customWidth="1"/>
    <col min="12807" max="12807" width="18.453125" style="210" bestFit="1" customWidth="1"/>
    <col min="12808" max="12808" width="20.81640625" style="210" bestFit="1" customWidth="1"/>
    <col min="12809" max="12809" width="16.1796875" style="210" customWidth="1"/>
    <col min="12810" max="12810" width="13.54296875" style="210" customWidth="1"/>
    <col min="12811" max="12811" width="17.54296875" style="210" bestFit="1" customWidth="1"/>
    <col min="12812" max="12812" width="18" style="210" bestFit="1" customWidth="1"/>
    <col min="12813" max="12813" width="18.453125" style="210" bestFit="1" customWidth="1"/>
    <col min="12814" max="12814" width="19" style="210" bestFit="1" customWidth="1"/>
    <col min="12815" max="12817" width="18" style="210" bestFit="1" customWidth="1"/>
    <col min="12818" max="12818" width="18.453125" style="210" bestFit="1" customWidth="1"/>
    <col min="12819" max="12819" width="13.54296875" style="210" customWidth="1"/>
    <col min="12820" max="12820" width="18" style="210" bestFit="1" customWidth="1"/>
    <col min="12821" max="12821" width="12" style="210" bestFit="1" customWidth="1"/>
    <col min="12822" max="13055" width="10.1796875" style="210"/>
    <col min="13056" max="13056" width="35" style="210" customWidth="1"/>
    <col min="13057" max="13057" width="25.54296875" style="210" customWidth="1"/>
    <col min="13058" max="13058" width="16.1796875" style="210" customWidth="1"/>
    <col min="13059" max="13059" width="18" style="210" customWidth="1"/>
    <col min="13060" max="13060" width="16.1796875" style="210" customWidth="1"/>
    <col min="13061" max="13061" width="17.1796875" style="210" bestFit="1" customWidth="1"/>
    <col min="13062" max="13062" width="16.1796875" style="210" customWidth="1"/>
    <col min="13063" max="13063" width="18.453125" style="210" bestFit="1" customWidth="1"/>
    <col min="13064" max="13064" width="20.81640625" style="210" bestFit="1" customWidth="1"/>
    <col min="13065" max="13065" width="16.1796875" style="210" customWidth="1"/>
    <col min="13066" max="13066" width="13.54296875" style="210" customWidth="1"/>
    <col min="13067" max="13067" width="17.54296875" style="210" bestFit="1" customWidth="1"/>
    <col min="13068" max="13068" width="18" style="210" bestFit="1" customWidth="1"/>
    <col min="13069" max="13069" width="18.453125" style="210" bestFit="1" customWidth="1"/>
    <col min="13070" max="13070" width="19" style="210" bestFit="1" customWidth="1"/>
    <col min="13071" max="13073" width="18" style="210" bestFit="1" customWidth="1"/>
    <col min="13074" max="13074" width="18.453125" style="210" bestFit="1" customWidth="1"/>
    <col min="13075" max="13075" width="13.54296875" style="210" customWidth="1"/>
    <col min="13076" max="13076" width="18" style="210" bestFit="1" customWidth="1"/>
    <col min="13077" max="13077" width="12" style="210" bestFit="1" customWidth="1"/>
    <col min="13078" max="13311" width="10.1796875" style="210"/>
    <col min="13312" max="13312" width="35" style="210" customWidth="1"/>
    <col min="13313" max="13313" width="25.54296875" style="210" customWidth="1"/>
    <col min="13314" max="13314" width="16.1796875" style="210" customWidth="1"/>
    <col min="13315" max="13315" width="18" style="210" customWidth="1"/>
    <col min="13316" max="13316" width="16.1796875" style="210" customWidth="1"/>
    <col min="13317" max="13317" width="17.1796875" style="210" bestFit="1" customWidth="1"/>
    <col min="13318" max="13318" width="16.1796875" style="210" customWidth="1"/>
    <col min="13319" max="13319" width="18.453125" style="210" bestFit="1" customWidth="1"/>
    <col min="13320" max="13320" width="20.81640625" style="210" bestFit="1" customWidth="1"/>
    <col min="13321" max="13321" width="16.1796875" style="210" customWidth="1"/>
    <col min="13322" max="13322" width="13.54296875" style="210" customWidth="1"/>
    <col min="13323" max="13323" width="17.54296875" style="210" bestFit="1" customWidth="1"/>
    <col min="13324" max="13324" width="18" style="210" bestFit="1" customWidth="1"/>
    <col min="13325" max="13325" width="18.453125" style="210" bestFit="1" customWidth="1"/>
    <col min="13326" max="13326" width="19" style="210" bestFit="1" customWidth="1"/>
    <col min="13327" max="13329" width="18" style="210" bestFit="1" customWidth="1"/>
    <col min="13330" max="13330" width="18.453125" style="210" bestFit="1" customWidth="1"/>
    <col min="13331" max="13331" width="13.54296875" style="210" customWidth="1"/>
    <col min="13332" max="13332" width="18" style="210" bestFit="1" customWidth="1"/>
    <col min="13333" max="13333" width="12" style="210" bestFit="1" customWidth="1"/>
    <col min="13334" max="13567" width="10.1796875" style="210"/>
    <col min="13568" max="13568" width="35" style="210" customWidth="1"/>
    <col min="13569" max="13569" width="25.54296875" style="210" customWidth="1"/>
    <col min="13570" max="13570" width="16.1796875" style="210" customWidth="1"/>
    <col min="13571" max="13571" width="18" style="210" customWidth="1"/>
    <col min="13572" max="13572" width="16.1796875" style="210" customWidth="1"/>
    <col min="13573" max="13573" width="17.1796875" style="210" bestFit="1" customWidth="1"/>
    <col min="13574" max="13574" width="16.1796875" style="210" customWidth="1"/>
    <col min="13575" max="13575" width="18.453125" style="210" bestFit="1" customWidth="1"/>
    <col min="13576" max="13576" width="20.81640625" style="210" bestFit="1" customWidth="1"/>
    <col min="13577" max="13577" width="16.1796875" style="210" customWidth="1"/>
    <col min="13578" max="13578" width="13.54296875" style="210" customWidth="1"/>
    <col min="13579" max="13579" width="17.54296875" style="210" bestFit="1" customWidth="1"/>
    <col min="13580" max="13580" width="18" style="210" bestFit="1" customWidth="1"/>
    <col min="13581" max="13581" width="18.453125" style="210" bestFit="1" customWidth="1"/>
    <col min="13582" max="13582" width="19" style="210" bestFit="1" customWidth="1"/>
    <col min="13583" max="13585" width="18" style="210" bestFit="1" customWidth="1"/>
    <col min="13586" max="13586" width="18.453125" style="210" bestFit="1" customWidth="1"/>
    <col min="13587" max="13587" width="13.54296875" style="210" customWidth="1"/>
    <col min="13588" max="13588" width="18" style="210" bestFit="1" customWidth="1"/>
    <col min="13589" max="13589" width="12" style="210" bestFit="1" customWidth="1"/>
    <col min="13590" max="13823" width="10.1796875" style="210"/>
    <col min="13824" max="13824" width="35" style="210" customWidth="1"/>
    <col min="13825" max="13825" width="25.54296875" style="210" customWidth="1"/>
    <col min="13826" max="13826" width="16.1796875" style="210" customWidth="1"/>
    <col min="13827" max="13827" width="18" style="210" customWidth="1"/>
    <col min="13828" max="13828" width="16.1796875" style="210" customWidth="1"/>
    <col min="13829" max="13829" width="17.1796875" style="210" bestFit="1" customWidth="1"/>
    <col min="13830" max="13830" width="16.1796875" style="210" customWidth="1"/>
    <col min="13831" max="13831" width="18.453125" style="210" bestFit="1" customWidth="1"/>
    <col min="13832" max="13832" width="20.81640625" style="210" bestFit="1" customWidth="1"/>
    <col min="13833" max="13833" width="16.1796875" style="210" customWidth="1"/>
    <col min="13834" max="13834" width="13.54296875" style="210" customWidth="1"/>
    <col min="13835" max="13835" width="17.54296875" style="210" bestFit="1" customWidth="1"/>
    <col min="13836" max="13836" width="18" style="210" bestFit="1" customWidth="1"/>
    <col min="13837" max="13837" width="18.453125" style="210" bestFit="1" customWidth="1"/>
    <col min="13838" max="13838" width="19" style="210" bestFit="1" customWidth="1"/>
    <col min="13839" max="13841" width="18" style="210" bestFit="1" customWidth="1"/>
    <col min="13842" max="13842" width="18.453125" style="210" bestFit="1" customWidth="1"/>
    <col min="13843" max="13843" width="13.54296875" style="210" customWidth="1"/>
    <col min="13844" max="13844" width="18" style="210" bestFit="1" customWidth="1"/>
    <col min="13845" max="13845" width="12" style="210" bestFit="1" customWidth="1"/>
    <col min="13846" max="14079" width="10.1796875" style="210"/>
    <col min="14080" max="14080" width="35" style="210" customWidth="1"/>
    <col min="14081" max="14081" width="25.54296875" style="210" customWidth="1"/>
    <col min="14082" max="14082" width="16.1796875" style="210" customWidth="1"/>
    <col min="14083" max="14083" width="18" style="210" customWidth="1"/>
    <col min="14084" max="14084" width="16.1796875" style="210" customWidth="1"/>
    <col min="14085" max="14085" width="17.1796875" style="210" bestFit="1" customWidth="1"/>
    <col min="14086" max="14086" width="16.1796875" style="210" customWidth="1"/>
    <col min="14087" max="14087" width="18.453125" style="210" bestFit="1" customWidth="1"/>
    <col min="14088" max="14088" width="20.81640625" style="210" bestFit="1" customWidth="1"/>
    <col min="14089" max="14089" width="16.1796875" style="210" customWidth="1"/>
    <col min="14090" max="14090" width="13.54296875" style="210" customWidth="1"/>
    <col min="14091" max="14091" width="17.54296875" style="210" bestFit="1" customWidth="1"/>
    <col min="14092" max="14092" width="18" style="210" bestFit="1" customWidth="1"/>
    <col min="14093" max="14093" width="18.453125" style="210" bestFit="1" customWidth="1"/>
    <col min="14094" max="14094" width="19" style="210" bestFit="1" customWidth="1"/>
    <col min="14095" max="14097" width="18" style="210" bestFit="1" customWidth="1"/>
    <col min="14098" max="14098" width="18.453125" style="210" bestFit="1" customWidth="1"/>
    <col min="14099" max="14099" width="13.54296875" style="210" customWidth="1"/>
    <col min="14100" max="14100" width="18" style="210" bestFit="1" customWidth="1"/>
    <col min="14101" max="14101" width="12" style="210" bestFit="1" customWidth="1"/>
    <col min="14102" max="14335" width="10.1796875" style="210"/>
    <col min="14336" max="14336" width="35" style="210" customWidth="1"/>
    <col min="14337" max="14337" width="25.54296875" style="210" customWidth="1"/>
    <col min="14338" max="14338" width="16.1796875" style="210" customWidth="1"/>
    <col min="14339" max="14339" width="18" style="210" customWidth="1"/>
    <col min="14340" max="14340" width="16.1796875" style="210" customWidth="1"/>
    <col min="14341" max="14341" width="17.1796875" style="210" bestFit="1" customWidth="1"/>
    <col min="14342" max="14342" width="16.1796875" style="210" customWidth="1"/>
    <col min="14343" max="14343" width="18.453125" style="210" bestFit="1" customWidth="1"/>
    <col min="14344" max="14344" width="20.81640625" style="210" bestFit="1" customWidth="1"/>
    <col min="14345" max="14345" width="16.1796875" style="210" customWidth="1"/>
    <col min="14346" max="14346" width="13.54296875" style="210" customWidth="1"/>
    <col min="14347" max="14347" width="17.54296875" style="210" bestFit="1" customWidth="1"/>
    <col min="14348" max="14348" width="18" style="210" bestFit="1" customWidth="1"/>
    <col min="14349" max="14349" width="18.453125" style="210" bestFit="1" customWidth="1"/>
    <col min="14350" max="14350" width="19" style="210" bestFit="1" customWidth="1"/>
    <col min="14351" max="14353" width="18" style="210" bestFit="1" customWidth="1"/>
    <col min="14354" max="14354" width="18.453125" style="210" bestFit="1" customWidth="1"/>
    <col min="14355" max="14355" width="13.54296875" style="210" customWidth="1"/>
    <col min="14356" max="14356" width="18" style="210" bestFit="1" customWidth="1"/>
    <col min="14357" max="14357" width="12" style="210" bestFit="1" customWidth="1"/>
    <col min="14358" max="14591" width="10.1796875" style="210"/>
    <col min="14592" max="14592" width="35" style="210" customWidth="1"/>
    <col min="14593" max="14593" width="25.54296875" style="210" customWidth="1"/>
    <col min="14594" max="14594" width="16.1796875" style="210" customWidth="1"/>
    <col min="14595" max="14595" width="18" style="210" customWidth="1"/>
    <col min="14596" max="14596" width="16.1796875" style="210" customWidth="1"/>
    <col min="14597" max="14597" width="17.1796875" style="210" bestFit="1" customWidth="1"/>
    <col min="14598" max="14598" width="16.1796875" style="210" customWidth="1"/>
    <col min="14599" max="14599" width="18.453125" style="210" bestFit="1" customWidth="1"/>
    <col min="14600" max="14600" width="20.81640625" style="210" bestFit="1" customWidth="1"/>
    <col min="14601" max="14601" width="16.1796875" style="210" customWidth="1"/>
    <col min="14602" max="14602" width="13.54296875" style="210" customWidth="1"/>
    <col min="14603" max="14603" width="17.54296875" style="210" bestFit="1" customWidth="1"/>
    <col min="14604" max="14604" width="18" style="210" bestFit="1" customWidth="1"/>
    <col min="14605" max="14605" width="18.453125" style="210" bestFit="1" customWidth="1"/>
    <col min="14606" max="14606" width="19" style="210" bestFit="1" customWidth="1"/>
    <col min="14607" max="14609" width="18" style="210" bestFit="1" customWidth="1"/>
    <col min="14610" max="14610" width="18.453125" style="210" bestFit="1" customWidth="1"/>
    <col min="14611" max="14611" width="13.54296875" style="210" customWidth="1"/>
    <col min="14612" max="14612" width="18" style="210" bestFit="1" customWidth="1"/>
    <col min="14613" max="14613" width="12" style="210" bestFit="1" customWidth="1"/>
    <col min="14614" max="14847" width="10.1796875" style="210"/>
    <col min="14848" max="14848" width="35" style="210" customWidth="1"/>
    <col min="14849" max="14849" width="25.54296875" style="210" customWidth="1"/>
    <col min="14850" max="14850" width="16.1796875" style="210" customWidth="1"/>
    <col min="14851" max="14851" width="18" style="210" customWidth="1"/>
    <col min="14852" max="14852" width="16.1796875" style="210" customWidth="1"/>
    <col min="14853" max="14853" width="17.1796875" style="210" bestFit="1" customWidth="1"/>
    <col min="14854" max="14854" width="16.1796875" style="210" customWidth="1"/>
    <col min="14855" max="14855" width="18.453125" style="210" bestFit="1" customWidth="1"/>
    <col min="14856" max="14856" width="20.81640625" style="210" bestFit="1" customWidth="1"/>
    <col min="14857" max="14857" width="16.1796875" style="210" customWidth="1"/>
    <col min="14858" max="14858" width="13.54296875" style="210" customWidth="1"/>
    <col min="14859" max="14859" width="17.54296875" style="210" bestFit="1" customWidth="1"/>
    <col min="14860" max="14860" width="18" style="210" bestFit="1" customWidth="1"/>
    <col min="14861" max="14861" width="18.453125" style="210" bestFit="1" customWidth="1"/>
    <col min="14862" max="14862" width="19" style="210" bestFit="1" customWidth="1"/>
    <col min="14863" max="14865" width="18" style="210" bestFit="1" customWidth="1"/>
    <col min="14866" max="14866" width="18.453125" style="210" bestFit="1" customWidth="1"/>
    <col min="14867" max="14867" width="13.54296875" style="210" customWidth="1"/>
    <col min="14868" max="14868" width="18" style="210" bestFit="1" customWidth="1"/>
    <col min="14869" max="14869" width="12" style="210" bestFit="1" customWidth="1"/>
    <col min="14870" max="15103" width="10.1796875" style="210"/>
    <col min="15104" max="15104" width="35" style="210" customWidth="1"/>
    <col min="15105" max="15105" width="25.54296875" style="210" customWidth="1"/>
    <col min="15106" max="15106" width="16.1796875" style="210" customWidth="1"/>
    <col min="15107" max="15107" width="18" style="210" customWidth="1"/>
    <col min="15108" max="15108" width="16.1796875" style="210" customWidth="1"/>
    <col min="15109" max="15109" width="17.1796875" style="210" bestFit="1" customWidth="1"/>
    <col min="15110" max="15110" width="16.1796875" style="210" customWidth="1"/>
    <col min="15111" max="15111" width="18.453125" style="210" bestFit="1" customWidth="1"/>
    <col min="15112" max="15112" width="20.81640625" style="210" bestFit="1" customWidth="1"/>
    <col min="15113" max="15113" width="16.1796875" style="210" customWidth="1"/>
    <col min="15114" max="15114" width="13.54296875" style="210" customWidth="1"/>
    <col min="15115" max="15115" width="17.54296875" style="210" bestFit="1" customWidth="1"/>
    <col min="15116" max="15116" width="18" style="210" bestFit="1" customWidth="1"/>
    <col min="15117" max="15117" width="18.453125" style="210" bestFit="1" customWidth="1"/>
    <col min="15118" max="15118" width="19" style="210" bestFit="1" customWidth="1"/>
    <col min="15119" max="15121" width="18" style="210" bestFit="1" customWidth="1"/>
    <col min="15122" max="15122" width="18.453125" style="210" bestFit="1" customWidth="1"/>
    <col min="15123" max="15123" width="13.54296875" style="210" customWidth="1"/>
    <col min="15124" max="15124" width="18" style="210" bestFit="1" customWidth="1"/>
    <col min="15125" max="15125" width="12" style="210" bestFit="1" customWidth="1"/>
    <col min="15126" max="15359" width="10.1796875" style="210"/>
    <col min="15360" max="15360" width="35" style="210" customWidth="1"/>
    <col min="15361" max="15361" width="25.54296875" style="210" customWidth="1"/>
    <col min="15362" max="15362" width="16.1796875" style="210" customWidth="1"/>
    <col min="15363" max="15363" width="18" style="210" customWidth="1"/>
    <col min="15364" max="15364" width="16.1796875" style="210" customWidth="1"/>
    <col min="15365" max="15365" width="17.1796875" style="210" bestFit="1" customWidth="1"/>
    <col min="15366" max="15366" width="16.1796875" style="210" customWidth="1"/>
    <col min="15367" max="15367" width="18.453125" style="210" bestFit="1" customWidth="1"/>
    <col min="15368" max="15368" width="20.81640625" style="210" bestFit="1" customWidth="1"/>
    <col min="15369" max="15369" width="16.1796875" style="210" customWidth="1"/>
    <col min="15370" max="15370" width="13.54296875" style="210" customWidth="1"/>
    <col min="15371" max="15371" width="17.54296875" style="210" bestFit="1" customWidth="1"/>
    <col min="15372" max="15372" width="18" style="210" bestFit="1" customWidth="1"/>
    <col min="15373" max="15373" width="18.453125" style="210" bestFit="1" customWidth="1"/>
    <col min="15374" max="15374" width="19" style="210" bestFit="1" customWidth="1"/>
    <col min="15375" max="15377" width="18" style="210" bestFit="1" customWidth="1"/>
    <col min="15378" max="15378" width="18.453125" style="210" bestFit="1" customWidth="1"/>
    <col min="15379" max="15379" width="13.54296875" style="210" customWidth="1"/>
    <col min="15380" max="15380" width="18" style="210" bestFit="1" customWidth="1"/>
    <col min="15381" max="15381" width="12" style="210" bestFit="1" customWidth="1"/>
    <col min="15382" max="15615" width="10.1796875" style="210"/>
    <col min="15616" max="15616" width="35" style="210" customWidth="1"/>
    <col min="15617" max="15617" width="25.54296875" style="210" customWidth="1"/>
    <col min="15618" max="15618" width="16.1796875" style="210" customWidth="1"/>
    <col min="15619" max="15619" width="18" style="210" customWidth="1"/>
    <col min="15620" max="15620" width="16.1796875" style="210" customWidth="1"/>
    <col min="15621" max="15621" width="17.1796875" style="210" bestFit="1" customWidth="1"/>
    <col min="15622" max="15622" width="16.1796875" style="210" customWidth="1"/>
    <col min="15623" max="15623" width="18.453125" style="210" bestFit="1" customWidth="1"/>
    <col min="15624" max="15624" width="20.81640625" style="210" bestFit="1" customWidth="1"/>
    <col min="15625" max="15625" width="16.1796875" style="210" customWidth="1"/>
    <col min="15626" max="15626" width="13.54296875" style="210" customWidth="1"/>
    <col min="15627" max="15627" width="17.54296875" style="210" bestFit="1" customWidth="1"/>
    <col min="15628" max="15628" width="18" style="210" bestFit="1" customWidth="1"/>
    <col min="15629" max="15629" width="18.453125" style="210" bestFit="1" customWidth="1"/>
    <col min="15630" max="15630" width="19" style="210" bestFit="1" customWidth="1"/>
    <col min="15631" max="15633" width="18" style="210" bestFit="1" customWidth="1"/>
    <col min="15634" max="15634" width="18.453125" style="210" bestFit="1" customWidth="1"/>
    <col min="15635" max="15635" width="13.54296875" style="210" customWidth="1"/>
    <col min="15636" max="15636" width="18" style="210" bestFit="1" customWidth="1"/>
    <col min="15637" max="15637" width="12" style="210" bestFit="1" customWidth="1"/>
    <col min="15638" max="15871" width="10.1796875" style="210"/>
    <col min="15872" max="15872" width="35" style="210" customWidth="1"/>
    <col min="15873" max="15873" width="25.54296875" style="210" customWidth="1"/>
    <col min="15874" max="15874" width="16.1796875" style="210" customWidth="1"/>
    <col min="15875" max="15875" width="18" style="210" customWidth="1"/>
    <col min="15876" max="15876" width="16.1796875" style="210" customWidth="1"/>
    <col min="15877" max="15877" width="17.1796875" style="210" bestFit="1" customWidth="1"/>
    <col min="15878" max="15878" width="16.1796875" style="210" customWidth="1"/>
    <col min="15879" max="15879" width="18.453125" style="210" bestFit="1" customWidth="1"/>
    <col min="15880" max="15880" width="20.81640625" style="210" bestFit="1" customWidth="1"/>
    <col min="15881" max="15881" width="16.1796875" style="210" customWidth="1"/>
    <col min="15882" max="15882" width="13.54296875" style="210" customWidth="1"/>
    <col min="15883" max="15883" width="17.54296875" style="210" bestFit="1" customWidth="1"/>
    <col min="15884" max="15884" width="18" style="210" bestFit="1" customWidth="1"/>
    <col min="15885" max="15885" width="18.453125" style="210" bestFit="1" customWidth="1"/>
    <col min="15886" max="15886" width="19" style="210" bestFit="1" customWidth="1"/>
    <col min="15887" max="15889" width="18" style="210" bestFit="1" customWidth="1"/>
    <col min="15890" max="15890" width="18.453125" style="210" bestFit="1" customWidth="1"/>
    <col min="15891" max="15891" width="13.54296875" style="210" customWidth="1"/>
    <col min="15892" max="15892" width="18" style="210" bestFit="1" customWidth="1"/>
    <col min="15893" max="15893" width="12" style="210" bestFit="1" customWidth="1"/>
    <col min="15894" max="16127" width="10.1796875" style="210"/>
    <col min="16128" max="16128" width="35" style="210" customWidth="1"/>
    <col min="16129" max="16129" width="25.54296875" style="210" customWidth="1"/>
    <col min="16130" max="16130" width="16.1796875" style="210" customWidth="1"/>
    <col min="16131" max="16131" width="18" style="210" customWidth="1"/>
    <col min="16132" max="16132" width="16.1796875" style="210" customWidth="1"/>
    <col min="16133" max="16133" width="17.1796875" style="210" bestFit="1" customWidth="1"/>
    <col min="16134" max="16134" width="16.1796875" style="210" customWidth="1"/>
    <col min="16135" max="16135" width="18.453125" style="210" bestFit="1" customWidth="1"/>
    <col min="16136" max="16136" width="20.81640625" style="210" bestFit="1" customWidth="1"/>
    <col min="16137" max="16137" width="16.1796875" style="210" customWidth="1"/>
    <col min="16138" max="16138" width="13.54296875" style="210" customWidth="1"/>
    <col min="16139" max="16139" width="17.54296875" style="210" bestFit="1" customWidth="1"/>
    <col min="16140" max="16140" width="18" style="210" bestFit="1" customWidth="1"/>
    <col min="16141" max="16141" width="18.453125" style="210" bestFit="1" customWidth="1"/>
    <col min="16142" max="16142" width="19" style="210" bestFit="1" customWidth="1"/>
    <col min="16143" max="16145" width="18" style="210" bestFit="1" customWidth="1"/>
    <col min="16146" max="16146" width="18.453125" style="210" bestFit="1" customWidth="1"/>
    <col min="16147" max="16147" width="13.54296875" style="210" customWidth="1"/>
    <col min="16148" max="16148" width="18" style="210" bestFit="1" customWidth="1"/>
    <col min="16149" max="16149" width="12" style="210" bestFit="1" customWidth="1"/>
    <col min="16150" max="16384" width="10.1796875" style="210"/>
  </cols>
  <sheetData>
    <row r="1" spans="1:26">
      <c r="B1" s="211" t="s">
        <v>355</v>
      </c>
      <c r="C1" s="212" t="s">
        <v>356</v>
      </c>
      <c r="K1" s="213"/>
      <c r="L1" s="213"/>
      <c r="M1" s="213"/>
      <c r="V1" s="525" t="s">
        <v>475</v>
      </c>
      <c r="W1" s="526" t="s">
        <v>476</v>
      </c>
      <c r="X1" s="527"/>
      <c r="Y1" s="527"/>
      <c r="Z1" s="528"/>
    </row>
    <row r="2" spans="1:26" ht="14.5">
      <c r="B2" s="214"/>
      <c r="C2" s="215" t="s">
        <v>357</v>
      </c>
      <c r="E2" s="216"/>
      <c r="F2" s="216"/>
      <c r="G2" s="216"/>
      <c r="H2" s="216"/>
      <c r="I2" s="216"/>
      <c r="K2" s="216"/>
      <c r="L2" s="216"/>
      <c r="M2" s="216"/>
      <c r="N2" s="216"/>
      <c r="O2" s="216"/>
      <c r="P2" s="216"/>
      <c r="Q2" s="216"/>
      <c r="R2" s="216"/>
      <c r="S2" s="216"/>
      <c r="T2" s="216"/>
      <c r="V2" s="529"/>
      <c r="W2" s="530" t="s">
        <v>477</v>
      </c>
      <c r="X2" s="531"/>
      <c r="Y2" s="527"/>
      <c r="Z2" s="531"/>
    </row>
    <row r="3" spans="1:26">
      <c r="H3" s="217"/>
      <c r="I3" s="218"/>
      <c r="J3" s="217" t="s">
        <v>263</v>
      </c>
      <c r="T3" s="217" t="s">
        <v>263</v>
      </c>
      <c r="V3" s="527"/>
      <c r="W3" s="527"/>
      <c r="X3" s="527"/>
      <c r="Y3" s="527"/>
      <c r="Z3" s="532" t="s">
        <v>263</v>
      </c>
    </row>
    <row r="4" spans="1:26" ht="15" thickBot="1">
      <c r="H4" s="220"/>
      <c r="I4" s="348"/>
      <c r="J4" s="220" t="s">
        <v>264</v>
      </c>
      <c r="K4" s="219" t="s">
        <v>358</v>
      </c>
      <c r="T4" s="220" t="s">
        <v>264</v>
      </c>
      <c r="V4" s="527"/>
      <c r="W4" s="527"/>
      <c r="X4" s="527"/>
      <c r="Y4" s="527"/>
      <c r="Z4" s="533" t="s">
        <v>264</v>
      </c>
    </row>
    <row r="5" spans="1:26" ht="14.5">
      <c r="A5" s="221"/>
      <c r="B5" s="280"/>
      <c r="C5" s="223"/>
      <c r="D5" s="223"/>
      <c r="E5" s="944" t="s">
        <v>265</v>
      </c>
      <c r="F5" s="944"/>
      <c r="G5" s="224"/>
      <c r="H5" s="338"/>
      <c r="I5" s="360"/>
      <c r="J5" s="226"/>
      <c r="K5" s="223"/>
      <c r="L5" s="223"/>
      <c r="M5" s="223"/>
      <c r="N5" s="223"/>
      <c r="O5" s="223"/>
      <c r="P5" s="223"/>
      <c r="Q5" s="223"/>
      <c r="R5" s="223"/>
      <c r="S5" s="223"/>
      <c r="T5" s="226"/>
      <c r="V5" s="553"/>
      <c r="W5" s="535" t="s">
        <v>266</v>
      </c>
      <c r="X5" s="536" t="s">
        <v>267</v>
      </c>
      <c r="Y5" s="534"/>
      <c r="Z5" s="537"/>
    </row>
    <row r="6" spans="1:26">
      <c r="A6" s="230" t="s">
        <v>103</v>
      </c>
      <c r="B6" s="285" t="s">
        <v>104</v>
      </c>
      <c r="C6" s="233" t="s">
        <v>268</v>
      </c>
      <c r="D6" s="234" t="s">
        <v>16</v>
      </c>
      <c r="E6" s="233" t="s">
        <v>15</v>
      </c>
      <c r="F6" s="233" t="s">
        <v>269</v>
      </c>
      <c r="G6" s="233" t="s">
        <v>20</v>
      </c>
      <c r="H6" s="233" t="s">
        <v>17</v>
      </c>
      <c r="I6" s="361" t="s">
        <v>13</v>
      </c>
      <c r="J6" s="236" t="s">
        <v>19</v>
      </c>
      <c r="K6" s="233" t="s">
        <v>2</v>
      </c>
      <c r="L6" s="233" t="s">
        <v>6</v>
      </c>
      <c r="M6" s="233" t="s">
        <v>1</v>
      </c>
      <c r="N6" s="233" t="s">
        <v>270</v>
      </c>
      <c r="O6" s="233" t="s">
        <v>326</v>
      </c>
      <c r="P6" s="233" t="s">
        <v>271</v>
      </c>
      <c r="Q6" s="233" t="s">
        <v>359</v>
      </c>
      <c r="R6" s="233" t="s">
        <v>273</v>
      </c>
      <c r="S6" s="233" t="s">
        <v>679</v>
      </c>
      <c r="T6" s="236" t="s">
        <v>274</v>
      </c>
      <c r="V6" s="554" t="s">
        <v>104</v>
      </c>
      <c r="W6" s="538" t="s">
        <v>275</v>
      </c>
      <c r="X6" s="538" t="s">
        <v>276</v>
      </c>
      <c r="Y6" s="538" t="s">
        <v>277</v>
      </c>
      <c r="Z6" s="539" t="s">
        <v>278</v>
      </c>
    </row>
    <row r="7" spans="1:26">
      <c r="A7" s="239" t="s">
        <v>105</v>
      </c>
      <c r="B7" s="289" t="s">
        <v>106</v>
      </c>
      <c r="C7" s="241" t="s">
        <v>360</v>
      </c>
      <c r="D7" s="245" t="s">
        <v>280</v>
      </c>
      <c r="E7" s="241" t="s">
        <v>281</v>
      </c>
      <c r="F7" s="241" t="s">
        <v>361</v>
      </c>
      <c r="G7" s="241" t="s">
        <v>362</v>
      </c>
      <c r="H7" s="241" t="s">
        <v>363</v>
      </c>
      <c r="I7" s="241" t="s">
        <v>363</v>
      </c>
      <c r="J7" s="243" t="s">
        <v>364</v>
      </c>
      <c r="K7" s="241" t="s">
        <v>287</v>
      </c>
      <c r="L7" s="241" t="s">
        <v>365</v>
      </c>
      <c r="M7" s="241" t="s">
        <v>285</v>
      </c>
      <c r="N7" s="245" t="s">
        <v>289</v>
      </c>
      <c r="O7" s="241" t="s">
        <v>326</v>
      </c>
      <c r="P7" s="241" t="s">
        <v>290</v>
      </c>
      <c r="Q7" s="241" t="s">
        <v>366</v>
      </c>
      <c r="R7" s="241" t="s">
        <v>367</v>
      </c>
      <c r="S7" s="241" t="s">
        <v>680</v>
      </c>
      <c r="T7" s="243" t="s">
        <v>289</v>
      </c>
      <c r="V7" s="555" t="s">
        <v>106</v>
      </c>
      <c r="W7" s="540" t="s">
        <v>293</v>
      </c>
      <c r="X7" s="540" t="s">
        <v>294</v>
      </c>
      <c r="Y7" s="540" t="s">
        <v>295</v>
      </c>
      <c r="Z7" s="541" t="s">
        <v>296</v>
      </c>
    </row>
    <row r="8" spans="1:26">
      <c r="A8" s="246"/>
      <c r="B8" s="294"/>
      <c r="C8" s="248" t="s">
        <v>368</v>
      </c>
      <c r="D8" s="250"/>
      <c r="E8" s="248" t="s">
        <v>297</v>
      </c>
      <c r="F8" s="248"/>
      <c r="G8" s="249"/>
      <c r="H8" s="249"/>
      <c r="I8" s="249"/>
      <c r="J8" s="253"/>
      <c r="K8" s="249"/>
      <c r="L8" s="248"/>
      <c r="M8" s="248"/>
      <c r="N8" s="249"/>
      <c r="O8" s="249"/>
      <c r="P8" s="248" t="s">
        <v>369</v>
      </c>
      <c r="Q8" s="248"/>
      <c r="R8" s="249"/>
      <c r="S8" s="249"/>
      <c r="T8" s="253"/>
      <c r="V8" s="556"/>
      <c r="W8" s="542"/>
      <c r="X8" s="542"/>
      <c r="Y8" s="542"/>
      <c r="Z8" s="543"/>
    </row>
    <row r="9" spans="1:26" ht="16" customHeight="1">
      <c r="A9" s="255" t="s">
        <v>111</v>
      </c>
      <c r="B9" s="362">
        <f>SUM(B10:B47)</f>
        <v>356728.67296641652</v>
      </c>
      <c r="C9" s="257">
        <f>SUM(C10:C47)</f>
        <v>6048.446622629629</v>
      </c>
      <c r="D9" s="257">
        <f t="shared" ref="D9:T9" si="0">SUM(D10:D47)</f>
        <v>27568.836800272475</v>
      </c>
      <c r="E9" s="257">
        <f t="shared" si="0"/>
        <v>7407.7867103055469</v>
      </c>
      <c r="F9" s="257">
        <f t="shared" si="0"/>
        <v>39153.167986463726</v>
      </c>
      <c r="G9" s="257">
        <f t="shared" si="0"/>
        <v>7466.0613146035703</v>
      </c>
      <c r="H9" s="257">
        <f t="shared" si="0"/>
        <v>29004.035678126555</v>
      </c>
      <c r="I9" s="257">
        <f t="shared" si="0"/>
        <v>163103.18460557089</v>
      </c>
      <c r="J9" s="258">
        <f t="shared" si="0"/>
        <v>0</v>
      </c>
      <c r="K9" s="257">
        <f t="shared" si="0"/>
        <v>5691.9169999999995</v>
      </c>
      <c r="L9" s="257">
        <f t="shared" si="0"/>
        <v>216.50400000000002</v>
      </c>
      <c r="M9" s="257">
        <f t="shared" si="0"/>
        <v>54653.657795808773</v>
      </c>
      <c r="N9" s="257">
        <f t="shared" si="0"/>
        <v>4031.7304526353305</v>
      </c>
      <c r="O9" s="257">
        <f t="shared" si="0"/>
        <v>12380.433999999999</v>
      </c>
      <c r="P9" s="257">
        <f t="shared" si="0"/>
        <v>0</v>
      </c>
      <c r="Q9" s="257">
        <f t="shared" si="0"/>
        <v>0</v>
      </c>
      <c r="R9" s="257">
        <f t="shared" si="0"/>
        <v>0.26</v>
      </c>
      <c r="S9" s="257">
        <f t="shared" si="0"/>
        <v>2.65</v>
      </c>
      <c r="T9" s="258">
        <f t="shared" si="0"/>
        <v>0</v>
      </c>
      <c r="V9" s="560">
        <f>SUM(W9:Z9)</f>
        <v>356728.67296641658</v>
      </c>
      <c r="W9" s="544">
        <f>SUM(W10:W47)</f>
        <v>93172.807850000012</v>
      </c>
      <c r="X9" s="544">
        <f>SUM(X10:X47)</f>
        <v>106162.13213260344</v>
      </c>
      <c r="Y9" s="544">
        <f>SUM(Y10:Y47)</f>
        <v>78455.15919000002</v>
      </c>
      <c r="Z9" s="545">
        <f>SUM(Z10:Z47)</f>
        <v>78938.573793813091</v>
      </c>
    </row>
    <row r="10" spans="1:26" ht="14.15" customHeight="1">
      <c r="A10" s="346" t="s">
        <v>137</v>
      </c>
      <c r="B10" s="363">
        <f t="shared" ref="B10:B47" si="1">SUM(C10:T10)</f>
        <v>853.75</v>
      </c>
      <c r="C10" s="563">
        <f>'P NP KOLAM KAB'!AJ6/1000</f>
        <v>0</v>
      </c>
      <c r="D10" s="564">
        <f>'P NP KOLAM KAB'!AN6/1000</f>
        <v>118.5</v>
      </c>
      <c r="E10" s="564">
        <f>'P NP KOLAM KAB'!AL6/1000</f>
        <v>33.75</v>
      </c>
      <c r="F10" s="564">
        <f>'P NP KOLAM KAB'!P6/1000</f>
        <v>0</v>
      </c>
      <c r="G10" s="564">
        <f>'P NP KOLAM KAB'!AT6/1000</f>
        <v>0</v>
      </c>
      <c r="H10" s="564">
        <f>'P NP KOLAM KAB'!AP6/1000</f>
        <v>0</v>
      </c>
      <c r="I10" s="564">
        <f>'P NP KOLAM KAB'!AD6/1000</f>
        <v>431.4</v>
      </c>
      <c r="J10" s="827" t="str">
        <f>IFERROR('P NP KOLAM KAB'!#REF!/1000,"-")</f>
        <v>-</v>
      </c>
      <c r="K10" s="830">
        <f>'P NP KOLAM KAB'!F6/1000</f>
        <v>0</v>
      </c>
      <c r="L10" s="564">
        <f>'P NP KOLAM KAB'!L6/1000</f>
        <v>0</v>
      </c>
      <c r="M10" s="564">
        <f>'P NP KOLAM KAB'!D6/1000</f>
        <v>270.10000000000002</v>
      </c>
      <c r="N10" s="564">
        <f>SUM('P NP KOLAM KAB'!H6,'P NP KOLAM KAB'!AB6,'P NP KOLAM KAB'!AV6,'P NP KOLAM KAB'!BP6)/1000</f>
        <v>0</v>
      </c>
      <c r="O10" s="564">
        <f>'P NP KOLAM KAB'!BB6/1000</f>
        <v>0</v>
      </c>
      <c r="P10" s="829">
        <f>'P NP KOLAM KAB'!AX6/1000</f>
        <v>0</v>
      </c>
      <c r="Q10" s="564">
        <f>'P NP KOLAM KAB'!BD6/1000</f>
        <v>0</v>
      </c>
      <c r="R10" s="564">
        <f>'P NP KOLAM KAB'!BJ6/1000</f>
        <v>0</v>
      </c>
      <c r="S10" s="564">
        <f>'P NP KOLAM KAB'!AH6/1000</f>
        <v>0</v>
      </c>
      <c r="T10" s="833">
        <v>0</v>
      </c>
      <c r="U10" s="368"/>
      <c r="V10" s="363">
        <f>SUM(W10:Z10)</f>
        <v>853.75</v>
      </c>
      <c r="W10" s="262">
        <f>'P NP TW'!AL7/1000</f>
        <v>338.75</v>
      </c>
      <c r="X10" s="262">
        <f>'P NP TW'!AN7/1000</f>
        <v>139.55000000000001</v>
      </c>
      <c r="Y10" s="262">
        <f>'P NP TW'!AP7/1000</f>
        <v>138.35</v>
      </c>
      <c r="Z10" s="263">
        <f>'P NP TW'!AR7/1000</f>
        <v>237.1</v>
      </c>
    </row>
    <row r="11" spans="1:26">
      <c r="A11" s="346" t="s">
        <v>121</v>
      </c>
      <c r="B11" s="363">
        <f t="shared" si="1"/>
        <v>10385.734999999999</v>
      </c>
      <c r="C11" s="565">
        <f>'P NP KOLAM KAB'!AJ7/1000</f>
        <v>100.77500000000001</v>
      </c>
      <c r="D11" s="364">
        <f>'P NP KOLAM KAB'!AN7/1000</f>
        <v>147.98699999999999</v>
      </c>
      <c r="E11" s="364">
        <f>'P NP KOLAM KAB'!AL7/1000</f>
        <v>65.88</v>
      </c>
      <c r="F11" s="364">
        <f>'P NP KOLAM KAB'!P7/1000</f>
        <v>177.33</v>
      </c>
      <c r="G11" s="364">
        <f>'P NP KOLAM KAB'!AT7/1000</f>
        <v>21.484999999999999</v>
      </c>
      <c r="H11" s="364">
        <f>'P NP KOLAM KAB'!AP7/1000</f>
        <v>2607.1329999999998</v>
      </c>
      <c r="I11" s="364">
        <f>'P NP KOLAM KAB'!AD7/1000</f>
        <v>6716.14</v>
      </c>
      <c r="J11" s="828" t="str">
        <f>IFERROR('P NP KOLAM KAB'!#REF!/1000,"-")</f>
        <v>-</v>
      </c>
      <c r="K11" s="831">
        <f>'P NP KOLAM KAB'!F7/1000</f>
        <v>24.71</v>
      </c>
      <c r="L11" s="364">
        <f>'P NP KOLAM KAB'!L7/1000</f>
        <v>4.3899999999999997</v>
      </c>
      <c r="M11" s="364">
        <f>'P NP KOLAM KAB'!D7/1000</f>
        <v>0</v>
      </c>
      <c r="N11" s="364">
        <f>SUM('P NP KOLAM KAB'!H7,'P NP KOLAM KAB'!AB7,'P NP KOLAM KAB'!AV7,'P NP KOLAM KAB'!BP7)/1000</f>
        <v>519.90499999999997</v>
      </c>
      <c r="O11" s="364">
        <f>'P NP KOLAM KAB'!BB7/1000</f>
        <v>0</v>
      </c>
      <c r="P11" s="832">
        <f>'P NP KOLAM KAB'!AX7/1000</f>
        <v>0</v>
      </c>
      <c r="Q11" s="364">
        <f>'P NP KOLAM KAB'!BD7/1000</f>
        <v>0</v>
      </c>
      <c r="R11" s="364">
        <f>'P NP KOLAM KAB'!BJ7/1000</f>
        <v>0</v>
      </c>
      <c r="S11" s="364">
        <f>'P NP KOLAM KAB'!AH7/1000</f>
        <v>0</v>
      </c>
      <c r="T11" s="834">
        <v>0</v>
      </c>
      <c r="U11" s="368"/>
      <c r="V11" s="363">
        <f>SUM(W11:Z11)</f>
        <v>10385.735000000001</v>
      </c>
      <c r="W11" s="267">
        <f>'P NP TW'!AL8/1000</f>
        <v>2508.16</v>
      </c>
      <c r="X11" s="267">
        <f>'P NP TW'!AN8/1000</f>
        <v>2350.4789999999998</v>
      </c>
      <c r="Y11" s="267">
        <f>'P NP TW'!AP8/1000</f>
        <v>2639.395</v>
      </c>
      <c r="Z11" s="268">
        <f>'P NP TW'!AR8/1000</f>
        <v>2887.701</v>
      </c>
    </row>
    <row r="12" spans="1:26">
      <c r="A12" s="346" t="s">
        <v>116</v>
      </c>
      <c r="B12" s="363">
        <f t="shared" si="1"/>
        <v>17270.3</v>
      </c>
      <c r="C12" s="565">
        <f>'P NP KOLAM KAB'!AJ8/1000</f>
        <v>0</v>
      </c>
      <c r="D12" s="364">
        <f>'P NP KOLAM KAB'!AN8/1000</f>
        <v>701.1</v>
      </c>
      <c r="E12" s="364">
        <f>'P NP KOLAM KAB'!AL8/1000</f>
        <v>0</v>
      </c>
      <c r="F12" s="364">
        <f>'P NP KOLAM KAB'!P8/1000</f>
        <v>7261.5</v>
      </c>
      <c r="G12" s="364">
        <f>'P NP KOLAM KAB'!AT8/1000</f>
        <v>0</v>
      </c>
      <c r="H12" s="364">
        <f>'P NP KOLAM KAB'!AP8/1000</f>
        <v>144.30000000000001</v>
      </c>
      <c r="I12" s="364">
        <f>'P NP KOLAM KAB'!AD8/1000</f>
        <v>9163.4</v>
      </c>
      <c r="J12" s="828" t="str">
        <f>IFERROR('P NP KOLAM KAB'!#REF!/1000,"-")</f>
        <v>-</v>
      </c>
      <c r="K12" s="831">
        <f>'P NP KOLAM KAB'!F8/1000</f>
        <v>0</v>
      </c>
      <c r="L12" s="364">
        <f>'P NP KOLAM KAB'!L8/1000</f>
        <v>0</v>
      </c>
      <c r="M12" s="364">
        <f>'P NP KOLAM KAB'!D8/1000</f>
        <v>0</v>
      </c>
      <c r="N12" s="364">
        <f>SUM('P NP KOLAM KAB'!H8,'P NP KOLAM KAB'!AB8,'P NP KOLAM KAB'!AV8,'P NP KOLAM KAB'!BP8)/1000</f>
        <v>0</v>
      </c>
      <c r="O12" s="364">
        <f>'P NP KOLAM KAB'!BB8/1000</f>
        <v>0</v>
      </c>
      <c r="P12" s="832">
        <f>'P NP KOLAM KAB'!AX8/1000</f>
        <v>0</v>
      </c>
      <c r="Q12" s="364">
        <f>'P NP KOLAM KAB'!BD8/1000</f>
        <v>0</v>
      </c>
      <c r="R12" s="364">
        <f>'P NP KOLAM KAB'!BJ8/1000</f>
        <v>0</v>
      </c>
      <c r="S12" s="364">
        <f>'P NP KOLAM KAB'!AH8/1000</f>
        <v>0</v>
      </c>
      <c r="T12" s="834">
        <v>0</v>
      </c>
      <c r="U12" s="368"/>
      <c r="V12" s="363">
        <f t="shared" ref="V12:V47" si="2">SUM(W12:Z12)</f>
        <v>17270.3</v>
      </c>
      <c r="W12" s="267">
        <f>'P NP TW'!AL9/1000</f>
        <v>4025.7</v>
      </c>
      <c r="X12" s="267">
        <f>'P NP TW'!AN9/1000</f>
        <v>4329.2</v>
      </c>
      <c r="Y12" s="267">
        <f>'P NP TW'!AP9/1000</f>
        <v>4160.2</v>
      </c>
      <c r="Z12" s="268">
        <f>'P NP TW'!AR9/1000</f>
        <v>4755.2</v>
      </c>
    </row>
    <row r="13" spans="1:26">
      <c r="A13" s="346" t="s">
        <v>133</v>
      </c>
      <c r="B13" s="363">
        <f t="shared" si="1"/>
        <v>5268.4050000000007</v>
      </c>
      <c r="C13" s="565">
        <f>'P NP KOLAM KAB'!AJ9/1000</f>
        <v>16.867000000000001</v>
      </c>
      <c r="D13" s="364">
        <f>'P NP KOLAM KAB'!AN9/1000</f>
        <v>1018.415</v>
      </c>
      <c r="E13" s="364">
        <f>'P NP KOLAM KAB'!AL9/1000</f>
        <v>0</v>
      </c>
      <c r="F13" s="364">
        <f>'P NP KOLAM KAB'!P9/1000</f>
        <v>68.631</v>
      </c>
      <c r="G13" s="364">
        <f>'P NP KOLAM KAB'!AT9/1000</f>
        <v>31.146000000000001</v>
      </c>
      <c r="H13" s="364">
        <f>'P NP KOLAM KAB'!AP9/1000</f>
        <v>271.40100000000001</v>
      </c>
      <c r="I13" s="364">
        <f>'P NP KOLAM KAB'!AD9/1000</f>
        <v>3846.1320000000001</v>
      </c>
      <c r="J13" s="828" t="str">
        <f>IFERROR('P NP KOLAM KAB'!#REF!/1000,"-")</f>
        <v>-</v>
      </c>
      <c r="K13" s="831">
        <f>'P NP KOLAM KAB'!F9/1000</f>
        <v>0</v>
      </c>
      <c r="L13" s="364">
        <f>'P NP KOLAM KAB'!L9/1000</f>
        <v>0</v>
      </c>
      <c r="M13" s="364">
        <f>'P NP KOLAM KAB'!D9/1000</f>
        <v>15.813000000000001</v>
      </c>
      <c r="N13" s="364">
        <f>SUM('P NP KOLAM KAB'!H9,'P NP KOLAM KAB'!AB9,'P NP KOLAM KAB'!AV9,'P NP KOLAM KAB'!BP9)/1000</f>
        <v>0</v>
      </c>
      <c r="O13" s="364">
        <f>'P NP KOLAM KAB'!BB9/1000</f>
        <v>0</v>
      </c>
      <c r="P13" s="832">
        <f>'P NP KOLAM KAB'!AX9/1000</f>
        <v>0</v>
      </c>
      <c r="Q13" s="364">
        <f>'P NP KOLAM KAB'!BD9/1000</f>
        <v>0</v>
      </c>
      <c r="R13" s="364">
        <f>'P NP KOLAM KAB'!BJ9/1000</f>
        <v>0</v>
      </c>
      <c r="S13" s="364">
        <f>'P NP KOLAM KAB'!AH9/1000</f>
        <v>0</v>
      </c>
      <c r="T13" s="834">
        <v>0</v>
      </c>
      <c r="U13" s="368"/>
      <c r="V13" s="363">
        <f t="shared" si="2"/>
        <v>5268.4050000000007</v>
      </c>
      <c r="W13" s="267">
        <f>'P NP TW'!AL10/1000</f>
        <v>1542.739</v>
      </c>
      <c r="X13" s="267">
        <f>'P NP TW'!AN10/1000</f>
        <v>1238.1130000000001</v>
      </c>
      <c r="Y13" s="267">
        <f>'P NP TW'!AP10/1000</f>
        <v>1059.2560000000001</v>
      </c>
      <c r="Z13" s="268">
        <f>'P NP TW'!AR10/1000</f>
        <v>1428.297</v>
      </c>
    </row>
    <row r="14" spans="1:26">
      <c r="A14" s="346" t="s">
        <v>122</v>
      </c>
      <c r="B14" s="363">
        <f t="shared" si="1"/>
        <v>849.31600000000003</v>
      </c>
      <c r="C14" s="565">
        <f>'P NP KOLAM KAB'!AJ10/1000</f>
        <v>2.4500000000000002</v>
      </c>
      <c r="D14" s="364">
        <f>'P NP KOLAM KAB'!AN10/1000</f>
        <v>71.959999999999994</v>
      </c>
      <c r="E14" s="364">
        <f>'P NP KOLAM KAB'!AL10/1000</f>
        <v>0.94</v>
      </c>
      <c r="F14" s="364">
        <f>'P NP KOLAM KAB'!P10/1000</f>
        <v>40.917999999999999</v>
      </c>
      <c r="G14" s="364">
        <f>'P NP KOLAM KAB'!AT10/1000</f>
        <v>1.07</v>
      </c>
      <c r="H14" s="364">
        <f>'P NP KOLAM KAB'!AP10/1000</f>
        <v>0.185</v>
      </c>
      <c r="I14" s="364">
        <f>'P NP KOLAM KAB'!AD10/1000</f>
        <v>731.79300000000001</v>
      </c>
      <c r="J14" s="828" t="str">
        <f>IFERROR('P NP KOLAM KAB'!#REF!/1000,"-")</f>
        <v>-</v>
      </c>
      <c r="K14" s="831">
        <f>'P NP KOLAM KAB'!F10/1000</f>
        <v>0</v>
      </c>
      <c r="L14" s="364">
        <f>'P NP KOLAM KAB'!L10/1000</f>
        <v>0</v>
      </c>
      <c r="M14" s="364">
        <f>'P NP KOLAM KAB'!D10/1000</f>
        <v>0</v>
      </c>
      <c r="N14" s="364">
        <f>SUM('P NP KOLAM KAB'!H10,'P NP KOLAM KAB'!AB10,'P NP KOLAM KAB'!AV10,'P NP KOLAM KAB'!BP10)/1000</f>
        <v>0</v>
      </c>
      <c r="O14" s="364">
        <f>'P NP KOLAM KAB'!BB10/1000</f>
        <v>0</v>
      </c>
      <c r="P14" s="832">
        <f>'P NP KOLAM KAB'!AX10/1000</f>
        <v>0</v>
      </c>
      <c r="Q14" s="364">
        <f>'P NP KOLAM KAB'!BD10/1000</f>
        <v>0</v>
      </c>
      <c r="R14" s="364">
        <f>'P NP KOLAM KAB'!BJ10/1000</f>
        <v>0</v>
      </c>
      <c r="S14" s="364">
        <f>'P NP KOLAM KAB'!AH10/1000</f>
        <v>0</v>
      </c>
      <c r="T14" s="834">
        <v>0</v>
      </c>
      <c r="U14" s="368"/>
      <c r="V14" s="363">
        <f t="shared" si="2"/>
        <v>849.31600000000003</v>
      </c>
      <c r="W14" s="267">
        <f>'P NP TW'!AL11/1000</f>
        <v>226.59399999999999</v>
      </c>
      <c r="X14" s="267">
        <f>'P NP TW'!AN11/1000</f>
        <v>206.553</v>
      </c>
      <c r="Y14" s="267">
        <f>'P NP TW'!AP11/1000</f>
        <v>202.71700000000001</v>
      </c>
      <c r="Z14" s="268">
        <f>'P NP TW'!AR11/1000</f>
        <v>213.452</v>
      </c>
    </row>
    <row r="15" spans="1:26">
      <c r="A15" s="346" t="s">
        <v>136</v>
      </c>
      <c r="B15" s="363">
        <f t="shared" si="1"/>
        <v>64252.434849478072</v>
      </c>
      <c r="C15" s="565">
        <f>'P NP KOLAM KAB'!AJ11/1000</f>
        <v>2290.6366226174068</v>
      </c>
      <c r="D15" s="364">
        <f>'P NP KOLAM KAB'!AN11/1000</f>
        <v>4122.7160602724771</v>
      </c>
      <c r="E15" s="364">
        <f>'P NP KOLAM KAB'!AL11/1000</f>
        <v>7176.2557103055478</v>
      </c>
      <c r="F15" s="364">
        <f>'P NP KOLAM KAB'!P11/1000</f>
        <v>4.398926463725398</v>
      </c>
      <c r="G15" s="364">
        <f>'P NP KOLAM KAB'!AT11/1000</f>
        <v>4002.2673146035718</v>
      </c>
      <c r="H15" s="364">
        <f>'P NP KOLAM KAB'!AP11/1000</f>
        <v>18.352278126552196</v>
      </c>
      <c r="I15" s="364">
        <f>'P NP KOLAM KAB'!AD11/1000</f>
        <v>1640.3296886446942</v>
      </c>
      <c r="J15" s="828" t="str">
        <f>IFERROR('P NP KOLAM KAB'!#REF!/1000,"-")</f>
        <v>-</v>
      </c>
      <c r="K15" s="831">
        <f>'P NP KOLAM KAB'!F11/1000</f>
        <v>0</v>
      </c>
      <c r="L15" s="364">
        <f>'P NP KOLAM KAB'!L11/1000</f>
        <v>0</v>
      </c>
      <c r="M15" s="364">
        <f>'P NP KOLAM KAB'!D11/1000</f>
        <v>41501.212795808766</v>
      </c>
      <c r="N15" s="364">
        <f>SUM('P NP KOLAM KAB'!H11,'P NP KOLAM KAB'!AB11,'P NP KOLAM KAB'!AV11,'P NP KOLAM KAB'!BP11)/1000</f>
        <v>3496.2654526353308</v>
      </c>
      <c r="O15" s="364">
        <f>'P NP KOLAM KAB'!BB11/1000</f>
        <v>0</v>
      </c>
      <c r="P15" s="832">
        <f>'P NP KOLAM KAB'!AX11/1000</f>
        <v>0</v>
      </c>
      <c r="Q15" s="364">
        <f>'P NP KOLAM KAB'!BD11/1000</f>
        <v>0</v>
      </c>
      <c r="R15" s="364">
        <f>'P NP KOLAM KAB'!BJ11/1000</f>
        <v>0</v>
      </c>
      <c r="S15" s="364">
        <f>'P NP KOLAM KAB'!AH11/1000</f>
        <v>0</v>
      </c>
      <c r="T15" s="834">
        <v>0</v>
      </c>
      <c r="U15" s="368"/>
      <c r="V15" s="363">
        <f t="shared" si="2"/>
        <v>64252.434849478064</v>
      </c>
      <c r="W15" s="267">
        <f>'P NP TW'!AL12/1000</f>
        <v>17050.061000000002</v>
      </c>
      <c r="X15" s="267">
        <f>'P NP TW'!AN12/1000</f>
        <v>18549.094520093618</v>
      </c>
      <c r="Y15" s="267">
        <f>'P NP TW'!AP12/1000</f>
        <v>15276.246999999999</v>
      </c>
      <c r="Z15" s="268">
        <f>'P NP TW'!AR12/1000</f>
        <v>13377.03232938445</v>
      </c>
    </row>
    <row r="16" spans="1:26">
      <c r="A16" s="346" t="s">
        <v>120</v>
      </c>
      <c r="B16" s="363">
        <f t="shared" si="1"/>
        <v>12436.925536938432</v>
      </c>
      <c r="C16" s="565">
        <f>'P NP KOLAM KAB'!AJ12/1000</f>
        <v>51.272000012222001</v>
      </c>
      <c r="D16" s="364">
        <f>'P NP KOLAM KAB'!AN12/1000</f>
        <v>986.43299999999999</v>
      </c>
      <c r="E16" s="364">
        <f>'P NP KOLAM KAB'!AL12/1000</f>
        <v>0</v>
      </c>
      <c r="F16" s="364">
        <f>'P NP KOLAM KAB'!P12/1000</f>
        <v>2809.3420000000001</v>
      </c>
      <c r="G16" s="364">
        <f>'P NP KOLAM KAB'!AT12/1000</f>
        <v>3.9380000000000002</v>
      </c>
      <c r="H16" s="364">
        <f>'P NP KOLAM KAB'!AP12/1000</f>
        <v>0</v>
      </c>
      <c r="I16" s="364">
        <f>'P NP KOLAM KAB'!AD12/1000</f>
        <v>8585.9405369262095</v>
      </c>
      <c r="J16" s="828" t="str">
        <f>IFERROR('P NP KOLAM KAB'!#REF!/1000,"-")</f>
        <v>-</v>
      </c>
      <c r="K16" s="831">
        <f>'P NP KOLAM KAB'!F12/1000</f>
        <v>0</v>
      </c>
      <c r="L16" s="364">
        <f>'P NP KOLAM KAB'!L12/1000</f>
        <v>0</v>
      </c>
      <c r="M16" s="364">
        <f>'P NP KOLAM KAB'!D12/1000</f>
        <v>0</v>
      </c>
      <c r="N16" s="364">
        <f>SUM('P NP KOLAM KAB'!H12,'P NP KOLAM KAB'!AB12,'P NP KOLAM KAB'!AV12,'P NP KOLAM KAB'!BP12)/1000</f>
        <v>0</v>
      </c>
      <c r="O16" s="364">
        <f>'P NP KOLAM KAB'!BB12/1000</f>
        <v>0</v>
      </c>
      <c r="P16" s="832">
        <f>'P NP KOLAM KAB'!AX12/1000</f>
        <v>0</v>
      </c>
      <c r="Q16" s="364">
        <f>'P NP KOLAM KAB'!BD12/1000</f>
        <v>0</v>
      </c>
      <c r="R16" s="364">
        <f>'P NP KOLAM KAB'!BJ12/1000</f>
        <v>0</v>
      </c>
      <c r="S16" s="364">
        <f>'P NP KOLAM KAB'!AH12/1000</f>
        <v>0</v>
      </c>
      <c r="T16" s="834">
        <v>0</v>
      </c>
      <c r="U16" s="368"/>
      <c r="V16" s="363">
        <f t="shared" si="2"/>
        <v>12436.92553693843</v>
      </c>
      <c r="W16" s="267">
        <f>'P NP TW'!AL13/1000</f>
        <v>3844.0329999999999</v>
      </c>
      <c r="X16" s="267">
        <f>'P NP TW'!AN13/1000</f>
        <v>2424.9280025097996</v>
      </c>
      <c r="Y16" s="267">
        <f>'P NP TW'!AP13/1000</f>
        <v>3021.9850000000001</v>
      </c>
      <c r="Z16" s="268">
        <f>'P NP TW'!AR13/1000</f>
        <v>3145.9795344286308</v>
      </c>
    </row>
    <row r="17" spans="1:26" ht="13.5" customHeight="1">
      <c r="A17" s="346" t="s">
        <v>128</v>
      </c>
      <c r="B17" s="363">
        <f t="shared" si="1"/>
        <v>14792</v>
      </c>
      <c r="C17" s="565">
        <f>'P NP KOLAM KAB'!AJ13/1000</f>
        <v>227.7</v>
      </c>
      <c r="D17" s="364">
        <f>'P NP KOLAM KAB'!AN13/1000</f>
        <v>211.8</v>
      </c>
      <c r="E17" s="364">
        <f>'P NP KOLAM KAB'!AL13/1000</f>
        <v>0</v>
      </c>
      <c r="F17" s="364">
        <f>'P NP KOLAM KAB'!P13/1000</f>
        <v>424.9</v>
      </c>
      <c r="G17" s="364">
        <f>'P NP KOLAM KAB'!AT13/1000</f>
        <v>0</v>
      </c>
      <c r="H17" s="364">
        <f>'P NP KOLAM KAB'!AP13/1000</f>
        <v>2066</v>
      </c>
      <c r="I17" s="364">
        <f>'P NP KOLAM KAB'!AD13/1000</f>
        <v>7299.4</v>
      </c>
      <c r="J17" s="828" t="str">
        <f>IFERROR('P NP KOLAM KAB'!#REF!/1000,"-")</f>
        <v>-</v>
      </c>
      <c r="K17" s="831">
        <f>'P NP KOLAM KAB'!F13/1000</f>
        <v>4562.2</v>
      </c>
      <c r="L17" s="364">
        <f>'P NP KOLAM KAB'!L13/1000</f>
        <v>0</v>
      </c>
      <c r="M17" s="364">
        <f>'P NP KOLAM KAB'!D13/1000</f>
        <v>0</v>
      </c>
      <c r="N17" s="364">
        <f>SUM('P NP KOLAM KAB'!H13,'P NP KOLAM KAB'!AB13,'P NP KOLAM KAB'!AV13,'P NP KOLAM KAB'!BP13)/1000</f>
        <v>0</v>
      </c>
      <c r="O17" s="364">
        <f>'P NP KOLAM KAB'!BB13/1000</f>
        <v>0</v>
      </c>
      <c r="P17" s="832">
        <f>'P NP KOLAM KAB'!AX13/1000</f>
        <v>0</v>
      </c>
      <c r="Q17" s="364">
        <f>'P NP KOLAM KAB'!BD13/1000</f>
        <v>0</v>
      </c>
      <c r="R17" s="364">
        <f>'P NP KOLAM KAB'!BJ13/1000</f>
        <v>0</v>
      </c>
      <c r="S17" s="364">
        <f>'P NP KOLAM KAB'!AH13/1000</f>
        <v>0</v>
      </c>
      <c r="T17" s="834">
        <v>0</v>
      </c>
      <c r="U17" s="369"/>
      <c r="V17" s="363">
        <f t="shared" si="2"/>
        <v>14792</v>
      </c>
      <c r="W17" s="267">
        <f>'P NP TW'!AL14/1000</f>
        <v>3845.7</v>
      </c>
      <c r="X17" s="267">
        <f>'P NP TW'!AN14/1000</f>
        <v>3727.8</v>
      </c>
      <c r="Y17" s="267">
        <f>'P NP TW'!AP14/1000</f>
        <v>3551.9</v>
      </c>
      <c r="Z17" s="268">
        <f>'P NP TW'!AR14/1000</f>
        <v>3666.6</v>
      </c>
    </row>
    <row r="18" spans="1:26">
      <c r="A18" s="346" t="s">
        <v>117</v>
      </c>
      <c r="B18" s="363">
        <f t="shared" si="1"/>
        <v>25514.275000000001</v>
      </c>
      <c r="C18" s="565">
        <f>'P NP KOLAM KAB'!AJ14/1000</f>
        <v>5.6349999999999998</v>
      </c>
      <c r="D18" s="364">
        <f>'P NP KOLAM KAB'!AN14/1000</f>
        <v>2845.15</v>
      </c>
      <c r="E18" s="364">
        <f>'P NP KOLAM KAB'!AL14/1000</f>
        <v>0.5</v>
      </c>
      <c r="F18" s="364">
        <f>'P NP KOLAM KAB'!P14/1000</f>
        <v>2576.6999999999998</v>
      </c>
      <c r="G18" s="364">
        <f>'P NP KOLAM KAB'!AT14/1000</f>
        <v>1.29</v>
      </c>
      <c r="H18" s="364">
        <f>'P NP KOLAM KAB'!AP14/1000</f>
        <v>1547.5</v>
      </c>
      <c r="I18" s="364">
        <f>'P NP KOLAM KAB'!AD14/1000</f>
        <v>17645.2</v>
      </c>
      <c r="J18" s="828" t="str">
        <f>IFERROR('P NP KOLAM KAB'!#REF!/1000,"-")</f>
        <v>-</v>
      </c>
      <c r="K18" s="831">
        <f>'P NP KOLAM KAB'!F14/1000</f>
        <v>892.3</v>
      </c>
      <c r="L18" s="364">
        <f>'P NP KOLAM KAB'!L14/1000</f>
        <v>0</v>
      </c>
      <c r="M18" s="364">
        <f>'P NP KOLAM KAB'!D14/1000</f>
        <v>0</v>
      </c>
      <c r="N18" s="364">
        <f>SUM('P NP KOLAM KAB'!H14,'P NP KOLAM KAB'!AB14,'P NP KOLAM KAB'!AV14,'P NP KOLAM KAB'!BP14)/1000</f>
        <v>0</v>
      </c>
      <c r="O18" s="364">
        <f>'P NP KOLAM KAB'!BB14/1000</f>
        <v>0</v>
      </c>
      <c r="P18" s="832">
        <f>'P NP KOLAM KAB'!AX14/1000</f>
        <v>0</v>
      </c>
      <c r="Q18" s="364">
        <f>'P NP KOLAM KAB'!BD14/1000</f>
        <v>0</v>
      </c>
      <c r="R18" s="364">
        <f>'P NP KOLAM KAB'!BJ14/1000</f>
        <v>0</v>
      </c>
      <c r="S18" s="364">
        <f>'P NP KOLAM KAB'!AH14/1000</f>
        <v>0</v>
      </c>
      <c r="T18" s="834">
        <v>0</v>
      </c>
      <c r="U18" s="368"/>
      <c r="V18" s="363">
        <f t="shared" si="2"/>
        <v>25514.275000000001</v>
      </c>
      <c r="W18" s="267">
        <f>'P NP TW'!AL15/1000</f>
        <v>6417.12</v>
      </c>
      <c r="X18" s="267">
        <f>'P NP TW'!AN15/1000</f>
        <v>6917.12</v>
      </c>
      <c r="Y18" s="267">
        <f>'P NP TW'!AP15/1000</f>
        <v>6098.7849999999999</v>
      </c>
      <c r="Z18" s="268">
        <f>'P NP TW'!AR15/1000</f>
        <v>6081.25</v>
      </c>
    </row>
    <row r="19" spans="1:26">
      <c r="A19" s="346" t="s">
        <v>135</v>
      </c>
      <c r="B19" s="363">
        <f t="shared" si="1"/>
        <v>41981.324000000001</v>
      </c>
      <c r="C19" s="565">
        <f>'P NP KOLAM KAB'!AJ15/1000</f>
        <v>1636.075</v>
      </c>
      <c r="D19" s="364">
        <f>'P NP KOLAM KAB'!AN15/1000</f>
        <v>10101.429</v>
      </c>
      <c r="E19" s="364">
        <f>'P NP KOLAM KAB'!AL15/1000</f>
        <v>130.06100000000001</v>
      </c>
      <c r="F19" s="364">
        <f>'P NP KOLAM KAB'!P15/1000</f>
        <v>0</v>
      </c>
      <c r="G19" s="364">
        <f>'P NP KOLAM KAB'!AT15/1000</f>
        <v>2498.5749999999998</v>
      </c>
      <c r="H19" s="364">
        <f>'P NP KOLAM KAB'!AP15/1000</f>
        <v>5.1539999999999999</v>
      </c>
      <c r="I19" s="364">
        <f>'P NP KOLAM KAB'!AD15/1000</f>
        <v>3590.1860000000001</v>
      </c>
      <c r="J19" s="828" t="str">
        <f>IFERROR('P NP KOLAM KAB'!#REF!/1000,"-")</f>
        <v>-</v>
      </c>
      <c r="K19" s="831">
        <f>'P NP KOLAM KAB'!F15/1000</f>
        <v>0</v>
      </c>
      <c r="L19" s="364">
        <f>'P NP KOLAM KAB'!L15/1000</f>
        <v>19.606000000000002</v>
      </c>
      <c r="M19" s="364">
        <f>'P NP KOLAM KAB'!D15/1000</f>
        <v>11794.804</v>
      </c>
      <c r="N19" s="364">
        <f>SUM('P NP KOLAM KAB'!H15,'P NP KOLAM KAB'!AB15,'P NP KOLAM KAB'!AV15,'P NP KOLAM KAB'!BP15)/1000</f>
        <v>0</v>
      </c>
      <c r="O19" s="364">
        <f>'P NP KOLAM KAB'!BB15/1000</f>
        <v>12205.433999999999</v>
      </c>
      <c r="P19" s="832">
        <f>'P NP KOLAM KAB'!AX15/1000</f>
        <v>0</v>
      </c>
      <c r="Q19" s="364">
        <f>'P NP KOLAM KAB'!BD15/1000</f>
        <v>0</v>
      </c>
      <c r="R19" s="364">
        <f>'P NP KOLAM KAB'!BJ15/1000</f>
        <v>0</v>
      </c>
      <c r="S19" s="364">
        <f>'P NP KOLAM KAB'!AH15/1000</f>
        <v>0</v>
      </c>
      <c r="T19" s="834">
        <v>0</v>
      </c>
      <c r="U19" s="368"/>
      <c r="V19" s="363">
        <f t="shared" si="2"/>
        <v>41981.324000000001</v>
      </c>
      <c r="W19" s="267">
        <f>'P NP TW'!AL16/1000</f>
        <v>12692.278</v>
      </c>
      <c r="X19" s="267">
        <f>'P NP TW'!AN16/1000</f>
        <v>26542.376</v>
      </c>
      <c r="Y19" s="267">
        <f>'P NP TW'!AP16/1000</f>
        <v>2039.0319999999999</v>
      </c>
      <c r="Z19" s="268">
        <f>'P NP TW'!AR16/1000</f>
        <v>707.63800000000003</v>
      </c>
    </row>
    <row r="20" spans="1:26">
      <c r="A20" s="346" t="s">
        <v>119</v>
      </c>
      <c r="B20" s="363">
        <f t="shared" si="1"/>
        <v>2736.5003999999999</v>
      </c>
      <c r="C20" s="565">
        <f>'P NP KOLAM KAB'!AJ16/1000</f>
        <v>3.665</v>
      </c>
      <c r="D20" s="364">
        <f>'P NP KOLAM KAB'!AN16/1000</f>
        <v>759.93499999999995</v>
      </c>
      <c r="E20" s="364">
        <f>'P NP KOLAM KAB'!AL16/1000</f>
        <v>0</v>
      </c>
      <c r="F20" s="364">
        <f>'P NP KOLAM KAB'!P16/1000</f>
        <v>794.2</v>
      </c>
      <c r="G20" s="364">
        <f>'P NP KOLAM KAB'!AT16/1000</f>
        <v>0.9</v>
      </c>
      <c r="H20" s="364">
        <f>'P NP KOLAM KAB'!AP16/1000</f>
        <v>9.7004000000000001</v>
      </c>
      <c r="I20" s="364">
        <f>'P NP KOLAM KAB'!AD16/1000</f>
        <v>1164.3</v>
      </c>
      <c r="J20" s="828" t="str">
        <f>IFERROR('P NP KOLAM KAB'!#REF!/1000,"-")</f>
        <v>-</v>
      </c>
      <c r="K20" s="831">
        <f>'P NP KOLAM KAB'!F16/1000</f>
        <v>0</v>
      </c>
      <c r="L20" s="364">
        <f>'P NP KOLAM KAB'!L16/1000</f>
        <v>3.8</v>
      </c>
      <c r="M20" s="364">
        <f>'P NP KOLAM KAB'!D16/1000</f>
        <v>0</v>
      </c>
      <c r="N20" s="364">
        <f>SUM('P NP KOLAM KAB'!H16,'P NP KOLAM KAB'!AB16,'P NP KOLAM KAB'!AV16,'P NP KOLAM KAB'!BP16)/1000</f>
        <v>0</v>
      </c>
      <c r="O20" s="364">
        <f>'P NP KOLAM KAB'!BB16/1000</f>
        <v>0</v>
      </c>
      <c r="P20" s="832">
        <f>'P NP KOLAM KAB'!AX16/1000</f>
        <v>0</v>
      </c>
      <c r="Q20" s="364">
        <f>'P NP KOLAM KAB'!BD16/1000</f>
        <v>0</v>
      </c>
      <c r="R20" s="364">
        <f>'P NP KOLAM KAB'!BJ16/1000</f>
        <v>0</v>
      </c>
      <c r="S20" s="364">
        <f>'P NP KOLAM KAB'!AH16/1000</f>
        <v>0</v>
      </c>
      <c r="T20" s="834">
        <v>0</v>
      </c>
      <c r="U20" s="369"/>
      <c r="V20" s="363">
        <f t="shared" si="2"/>
        <v>2736.5003999999999</v>
      </c>
      <c r="W20" s="267">
        <f>'P NP TW'!AL17/1000</f>
        <v>692.00040000000001</v>
      </c>
      <c r="X20" s="267">
        <f>'P NP TW'!AN17/1000</f>
        <v>679.23199999999997</v>
      </c>
      <c r="Y20" s="267">
        <f>'P NP TW'!AP17/1000</f>
        <v>680.26800000000003</v>
      </c>
      <c r="Z20" s="268">
        <f>'P NP TW'!AR17/1000</f>
        <v>685</v>
      </c>
    </row>
    <row r="21" spans="1:26">
      <c r="A21" s="346" t="s">
        <v>130</v>
      </c>
      <c r="B21" s="363">
        <f t="shared" si="1"/>
        <v>3850.1</v>
      </c>
      <c r="C21" s="565">
        <f>'P NP KOLAM KAB'!AJ17/1000</f>
        <v>3.15</v>
      </c>
      <c r="D21" s="364">
        <f>'P NP KOLAM KAB'!AN17/1000</f>
        <v>465</v>
      </c>
      <c r="E21" s="364">
        <f>'P NP KOLAM KAB'!AL17/1000</f>
        <v>0.4</v>
      </c>
      <c r="F21" s="364">
        <f>'P NP KOLAM KAB'!P17/1000</f>
        <v>443.1</v>
      </c>
      <c r="G21" s="364">
        <f>'P NP KOLAM KAB'!AT17/1000</f>
        <v>2.4500000000000002</v>
      </c>
      <c r="H21" s="364">
        <f>'P NP KOLAM KAB'!AP17/1000</f>
        <v>374</v>
      </c>
      <c r="I21" s="364">
        <f>'P NP KOLAM KAB'!AD17/1000</f>
        <v>2562</v>
      </c>
      <c r="J21" s="828" t="str">
        <f>IFERROR('P NP KOLAM KAB'!#REF!/1000,"-")</f>
        <v>-</v>
      </c>
      <c r="K21" s="831">
        <f>'P NP KOLAM KAB'!F17/1000</f>
        <v>0</v>
      </c>
      <c r="L21" s="364">
        <f>'P NP KOLAM KAB'!L17/1000</f>
        <v>0</v>
      </c>
      <c r="M21" s="364">
        <f>'P NP KOLAM KAB'!D17/1000</f>
        <v>0</v>
      </c>
      <c r="N21" s="364">
        <f>SUM('P NP KOLAM KAB'!H17,'P NP KOLAM KAB'!AB17,'P NP KOLAM KAB'!AV17,'P NP KOLAM KAB'!BP17)/1000</f>
        <v>0</v>
      </c>
      <c r="O21" s="364">
        <f>'P NP KOLAM KAB'!BB17/1000</f>
        <v>0</v>
      </c>
      <c r="P21" s="832">
        <f>'P NP KOLAM KAB'!AX17/1000</f>
        <v>0</v>
      </c>
      <c r="Q21" s="364">
        <f>'P NP KOLAM KAB'!BD17/1000</f>
        <v>0</v>
      </c>
      <c r="R21" s="364">
        <f>'P NP KOLAM KAB'!BJ17/1000</f>
        <v>0</v>
      </c>
      <c r="S21" s="364">
        <f>'P NP KOLAM KAB'!AH17/1000</f>
        <v>0</v>
      </c>
      <c r="T21" s="834">
        <v>0</v>
      </c>
      <c r="U21" s="368"/>
      <c r="V21" s="363">
        <f t="shared" si="2"/>
        <v>3850.1000000000004</v>
      </c>
      <c r="W21" s="267">
        <f>'P NP TW'!AL18/1000</f>
        <v>983.3</v>
      </c>
      <c r="X21" s="267">
        <f>'P NP TW'!AN18/1000</f>
        <v>990.8</v>
      </c>
      <c r="Y21" s="267">
        <f>'P NP TW'!AP18/1000</f>
        <v>881.45</v>
      </c>
      <c r="Z21" s="268">
        <f>'P NP TW'!AR18/1000</f>
        <v>994.55</v>
      </c>
    </row>
    <row r="22" spans="1:26">
      <c r="A22" s="346" t="s">
        <v>131</v>
      </c>
      <c r="B22" s="363">
        <f t="shared" si="1"/>
        <v>1858.55</v>
      </c>
      <c r="C22" s="565">
        <f>'P NP KOLAM KAB'!AJ18/1000</f>
        <v>22.85</v>
      </c>
      <c r="D22" s="364">
        <f>'P NP KOLAM KAB'!AN18/1000</f>
        <v>115.7</v>
      </c>
      <c r="E22" s="364">
        <f>'P NP KOLAM KAB'!AL18/1000</f>
        <v>0</v>
      </c>
      <c r="F22" s="364">
        <f>'P NP KOLAM KAB'!P18/1000</f>
        <v>80.150000000000006</v>
      </c>
      <c r="G22" s="364">
        <f>'P NP KOLAM KAB'!AT18/1000</f>
        <v>0</v>
      </c>
      <c r="H22" s="364">
        <f>'P NP KOLAM KAB'!AP18/1000</f>
        <v>26.85</v>
      </c>
      <c r="I22" s="364">
        <f>'P NP KOLAM KAB'!AD18/1000</f>
        <v>1613</v>
      </c>
      <c r="J22" s="828" t="str">
        <f>IFERROR('P NP KOLAM KAB'!#REF!/1000,"-")</f>
        <v>-</v>
      </c>
      <c r="K22" s="831">
        <f>'P NP KOLAM KAB'!F18/1000</f>
        <v>0</v>
      </c>
      <c r="L22" s="364">
        <f>'P NP KOLAM KAB'!L18/1000</f>
        <v>0</v>
      </c>
      <c r="M22" s="364">
        <f>'P NP KOLAM KAB'!D18/1000</f>
        <v>0</v>
      </c>
      <c r="N22" s="364">
        <f>SUM('P NP KOLAM KAB'!H18,'P NP KOLAM KAB'!AB18,'P NP KOLAM KAB'!AV18,'P NP KOLAM KAB'!BP18)/1000</f>
        <v>0</v>
      </c>
      <c r="O22" s="364">
        <f>'P NP KOLAM KAB'!BB18/1000</f>
        <v>0</v>
      </c>
      <c r="P22" s="832">
        <f>'P NP KOLAM KAB'!AX18/1000</f>
        <v>0</v>
      </c>
      <c r="Q22" s="364">
        <f>'P NP KOLAM KAB'!BD18/1000</f>
        <v>0</v>
      </c>
      <c r="R22" s="364">
        <f>'P NP KOLAM KAB'!BJ18/1000</f>
        <v>0</v>
      </c>
      <c r="S22" s="364">
        <f>'P NP KOLAM KAB'!AH18/1000</f>
        <v>0</v>
      </c>
      <c r="T22" s="834">
        <v>0</v>
      </c>
      <c r="U22" s="368"/>
      <c r="V22" s="363">
        <f t="shared" si="2"/>
        <v>1858.5500000000002</v>
      </c>
      <c r="W22" s="267">
        <f>'P NP TW'!AL19/1000</f>
        <v>483.05</v>
      </c>
      <c r="X22" s="267">
        <f>'P NP TW'!AN19/1000</f>
        <v>483.3</v>
      </c>
      <c r="Y22" s="267">
        <f>'P NP TW'!AP19/1000</f>
        <v>430.6</v>
      </c>
      <c r="Z22" s="268">
        <f>'P NP TW'!AR19/1000</f>
        <v>461.6</v>
      </c>
    </row>
    <row r="23" spans="1:26">
      <c r="A23" s="346" t="s">
        <v>118</v>
      </c>
      <c r="B23" s="363">
        <f t="shared" si="1"/>
        <v>7364.3</v>
      </c>
      <c r="C23" s="565">
        <f>'P NP KOLAM KAB'!AJ19/1000</f>
        <v>16.3</v>
      </c>
      <c r="D23" s="364">
        <f>'P NP KOLAM KAB'!AN19/1000</f>
        <v>755</v>
      </c>
      <c r="E23" s="364">
        <f>'P NP KOLAM KAB'!AL19/1000</f>
        <v>0</v>
      </c>
      <c r="F23" s="364">
        <f>'P NP KOLAM KAB'!P19/1000</f>
        <v>73</v>
      </c>
      <c r="G23" s="364">
        <f>'P NP KOLAM KAB'!AT19/1000</f>
        <v>0</v>
      </c>
      <c r="H23" s="364">
        <f>'P NP KOLAM KAB'!AP19/1000</f>
        <v>0</v>
      </c>
      <c r="I23" s="364">
        <f>'P NP KOLAM KAB'!AD19/1000</f>
        <v>6520</v>
      </c>
      <c r="J23" s="828" t="str">
        <f>IFERROR('P NP KOLAM KAB'!#REF!/1000,"-")</f>
        <v>-</v>
      </c>
      <c r="K23" s="831">
        <f>'P NP KOLAM KAB'!F19/1000</f>
        <v>0</v>
      </c>
      <c r="L23" s="364">
        <f>'P NP KOLAM KAB'!L19/1000</f>
        <v>0</v>
      </c>
      <c r="M23" s="364">
        <f>'P NP KOLAM KAB'!D19/1000</f>
        <v>0</v>
      </c>
      <c r="N23" s="364">
        <f>SUM('P NP KOLAM KAB'!H19,'P NP KOLAM KAB'!AB19,'P NP KOLAM KAB'!AV19,'P NP KOLAM KAB'!BP19)/1000</f>
        <v>0</v>
      </c>
      <c r="O23" s="364">
        <f>'P NP KOLAM KAB'!BB19/1000</f>
        <v>0</v>
      </c>
      <c r="P23" s="832">
        <f>'P NP KOLAM KAB'!AX19/1000</f>
        <v>0</v>
      </c>
      <c r="Q23" s="364">
        <f>'P NP KOLAM KAB'!BD19/1000</f>
        <v>0</v>
      </c>
      <c r="R23" s="364">
        <f>'P NP KOLAM KAB'!BJ19/1000</f>
        <v>0</v>
      </c>
      <c r="S23" s="364">
        <f>'P NP KOLAM KAB'!AH19/1000</f>
        <v>0</v>
      </c>
      <c r="T23" s="834">
        <v>0</v>
      </c>
      <c r="U23" s="368"/>
      <c r="V23" s="363">
        <f t="shared" si="2"/>
        <v>7364.3</v>
      </c>
      <c r="W23" s="267">
        <f>'P NP TW'!AL20/1000</f>
        <v>1861.3</v>
      </c>
      <c r="X23" s="267">
        <f>'P NP TW'!AN20/1000</f>
        <v>1786.5</v>
      </c>
      <c r="Y23" s="267">
        <f>'P NP TW'!AP20/1000</f>
        <v>1682</v>
      </c>
      <c r="Z23" s="268">
        <f>'P NP TW'!AR20/1000</f>
        <v>2034.5</v>
      </c>
    </row>
    <row r="24" spans="1:26">
      <c r="A24" s="346" t="s">
        <v>127</v>
      </c>
      <c r="B24" s="363">
        <f t="shared" si="1"/>
        <v>1813.1179999999999</v>
      </c>
      <c r="C24" s="565">
        <f>'P NP KOLAM KAB'!AJ20/1000</f>
        <v>0</v>
      </c>
      <c r="D24" s="364">
        <f>'P NP KOLAM KAB'!AN20/1000</f>
        <v>110.423</v>
      </c>
      <c r="E24" s="364">
        <f>'P NP KOLAM KAB'!AL20/1000</f>
        <v>0</v>
      </c>
      <c r="F24" s="364">
        <f>'P NP KOLAM KAB'!P20/1000</f>
        <v>91.2</v>
      </c>
      <c r="G24" s="364">
        <f>'P NP KOLAM KAB'!AT20/1000</f>
        <v>0</v>
      </c>
      <c r="H24" s="364">
        <f>'P NP KOLAM KAB'!AP20/1000</f>
        <v>23.55</v>
      </c>
      <c r="I24" s="364">
        <f>'P NP KOLAM KAB'!AD20/1000</f>
        <v>1587.9449999999999</v>
      </c>
      <c r="J24" s="828" t="str">
        <f>IFERROR('P NP KOLAM KAB'!#REF!/1000,"-")</f>
        <v>-</v>
      </c>
      <c r="K24" s="831">
        <f>'P NP KOLAM KAB'!F20/1000</f>
        <v>0</v>
      </c>
      <c r="L24" s="364">
        <f>'P NP KOLAM KAB'!L20/1000</f>
        <v>0</v>
      </c>
      <c r="M24" s="364">
        <f>'P NP KOLAM KAB'!D20/1000</f>
        <v>0</v>
      </c>
      <c r="N24" s="364">
        <f>SUM('P NP KOLAM KAB'!H20,'P NP KOLAM KAB'!AB20,'P NP KOLAM KAB'!AV20,'P NP KOLAM KAB'!BP20)/1000</f>
        <v>0</v>
      </c>
      <c r="O24" s="364">
        <f>'P NP KOLAM KAB'!BB20/1000</f>
        <v>0</v>
      </c>
      <c r="P24" s="832">
        <f>'P NP KOLAM KAB'!AX20/1000</f>
        <v>0</v>
      </c>
      <c r="Q24" s="364">
        <f>'P NP KOLAM KAB'!BD20/1000</f>
        <v>0</v>
      </c>
      <c r="R24" s="364">
        <f>'P NP KOLAM KAB'!BJ20/1000</f>
        <v>0</v>
      </c>
      <c r="S24" s="364">
        <f>'P NP KOLAM KAB'!AH20/1000</f>
        <v>0</v>
      </c>
      <c r="T24" s="834">
        <v>0</v>
      </c>
      <c r="U24" s="368"/>
      <c r="V24" s="363">
        <f t="shared" si="2"/>
        <v>1813.1179999999999</v>
      </c>
      <c r="W24" s="267">
        <f>'P NP TW'!AL21/1000</f>
        <v>459.9</v>
      </c>
      <c r="X24" s="267">
        <f>'P NP TW'!AN21/1000</f>
        <v>444.16</v>
      </c>
      <c r="Y24" s="267">
        <f>'P NP TW'!AP21/1000</f>
        <v>446.69799999999998</v>
      </c>
      <c r="Z24" s="268">
        <f>'P NP TW'!AR21/1000</f>
        <v>462.36</v>
      </c>
    </row>
    <row r="25" spans="1:26">
      <c r="A25" s="346" t="s">
        <v>129</v>
      </c>
      <c r="B25" s="363">
        <f t="shared" si="1"/>
        <v>11030.000000000002</v>
      </c>
      <c r="C25" s="565">
        <f>'P NP KOLAM KAB'!AJ21/1000</f>
        <v>2.6</v>
      </c>
      <c r="D25" s="364">
        <f>'P NP KOLAM KAB'!AN21/1000</f>
        <v>107.35</v>
      </c>
      <c r="E25" s="364">
        <f>'P NP KOLAM KAB'!AL21/1000</f>
        <v>0</v>
      </c>
      <c r="F25" s="364">
        <f>'P NP KOLAM KAB'!P21/1000</f>
        <v>1110.104</v>
      </c>
      <c r="G25" s="364">
        <f>'P NP KOLAM KAB'!AT21/1000</f>
        <v>0</v>
      </c>
      <c r="H25" s="364">
        <f>'P NP KOLAM KAB'!AP21/1000</f>
        <v>85.54</v>
      </c>
      <c r="I25" s="364">
        <f>'P NP KOLAM KAB'!AD21/1000</f>
        <v>9694.1059999999998</v>
      </c>
      <c r="J25" s="828" t="str">
        <f>IFERROR('P NP KOLAM KAB'!#REF!/1000,"-")</f>
        <v>-</v>
      </c>
      <c r="K25" s="831">
        <f>'P NP KOLAM KAB'!F21/1000</f>
        <v>24.45</v>
      </c>
      <c r="L25" s="364">
        <f>'P NP KOLAM KAB'!L21/1000</f>
        <v>3.2</v>
      </c>
      <c r="M25" s="364">
        <f>'P NP KOLAM KAB'!D21/1000</f>
        <v>0</v>
      </c>
      <c r="N25" s="364">
        <f>SUM('P NP KOLAM KAB'!H21,'P NP KOLAM KAB'!AB21,'P NP KOLAM KAB'!AV21,'P NP KOLAM KAB'!BP21)/1000</f>
        <v>0</v>
      </c>
      <c r="O25" s="364">
        <f>'P NP KOLAM KAB'!BB21/1000</f>
        <v>0</v>
      </c>
      <c r="P25" s="832">
        <f>'P NP KOLAM KAB'!AX21/1000</f>
        <v>0</v>
      </c>
      <c r="Q25" s="364">
        <f>'P NP KOLAM KAB'!BD21/1000</f>
        <v>0</v>
      </c>
      <c r="R25" s="364">
        <f>'P NP KOLAM KAB'!BJ21/1000</f>
        <v>0</v>
      </c>
      <c r="S25" s="364">
        <f>'P NP KOLAM KAB'!AH21/1000</f>
        <v>2.65</v>
      </c>
      <c r="T25" s="834">
        <v>0</v>
      </c>
      <c r="U25" s="368"/>
      <c r="V25" s="363">
        <f t="shared" si="2"/>
        <v>11030</v>
      </c>
      <c r="W25" s="267">
        <f>'P NP TW'!AL22/1000</f>
        <v>3007</v>
      </c>
      <c r="X25" s="267">
        <f>'P NP TW'!AN22/1000</f>
        <v>2898</v>
      </c>
      <c r="Y25" s="267">
        <f>'P NP TW'!AP22/1000</f>
        <v>2520</v>
      </c>
      <c r="Z25" s="268">
        <f>'P NP TW'!AR22/1000</f>
        <v>2605</v>
      </c>
    </row>
    <row r="26" spans="1:26">
      <c r="A26" s="346" t="s">
        <v>132</v>
      </c>
      <c r="B26" s="363">
        <f t="shared" si="1"/>
        <v>4406.5249999999996</v>
      </c>
      <c r="C26" s="565">
        <f>'P NP KOLAM KAB'!AJ22/1000</f>
        <v>0.94899999999999995</v>
      </c>
      <c r="D26" s="364">
        <f>'P NP KOLAM KAB'!AN22/1000</f>
        <v>83.69</v>
      </c>
      <c r="E26" s="364">
        <f>'P NP KOLAM KAB'!AL22/1000</f>
        <v>0</v>
      </c>
      <c r="F26" s="364">
        <f>'P NP KOLAM KAB'!P22/1000</f>
        <v>183.13</v>
      </c>
      <c r="G26" s="364">
        <f>'P NP KOLAM KAB'!AT22/1000</f>
        <v>0</v>
      </c>
      <c r="H26" s="364">
        <f>'P NP KOLAM KAB'!AP22/1000</f>
        <v>178.85400000000001</v>
      </c>
      <c r="I26" s="364">
        <f>'P NP KOLAM KAB'!AD22/1000</f>
        <v>3959.902</v>
      </c>
      <c r="J26" s="828" t="str">
        <f>IFERROR('P NP KOLAM KAB'!#REF!/1000,"-")</f>
        <v>-</v>
      </c>
      <c r="K26" s="831">
        <f>'P NP KOLAM KAB'!F22/1000</f>
        <v>0</v>
      </c>
      <c r="L26" s="364">
        <f>'P NP KOLAM KAB'!L22/1000</f>
        <v>0</v>
      </c>
      <c r="M26" s="364">
        <f>'P NP KOLAM KAB'!D22/1000</f>
        <v>0</v>
      </c>
      <c r="N26" s="364">
        <f>SUM('P NP KOLAM KAB'!H22,'P NP KOLAM KAB'!AB22,'P NP KOLAM KAB'!AV22,'P NP KOLAM KAB'!BP22)/1000</f>
        <v>0</v>
      </c>
      <c r="O26" s="364">
        <f>'P NP KOLAM KAB'!BB22/1000</f>
        <v>0</v>
      </c>
      <c r="P26" s="832">
        <f>'P NP KOLAM KAB'!AX22/1000</f>
        <v>0</v>
      </c>
      <c r="Q26" s="364">
        <f>'P NP KOLAM KAB'!BD22/1000</f>
        <v>0</v>
      </c>
      <c r="R26" s="364">
        <f>'P NP KOLAM KAB'!BJ22/1000</f>
        <v>0</v>
      </c>
      <c r="S26" s="364">
        <f>'P NP KOLAM KAB'!AH22/1000</f>
        <v>0</v>
      </c>
      <c r="T26" s="834">
        <v>0</v>
      </c>
      <c r="U26" s="368"/>
      <c r="V26" s="363">
        <f t="shared" si="2"/>
        <v>4406.5249999999996</v>
      </c>
      <c r="W26" s="267">
        <f>'P NP TW'!AL23/1000</f>
        <v>1097.5440000000001</v>
      </c>
      <c r="X26" s="267">
        <f>'P NP TW'!AN23/1000</f>
        <v>1117.7670000000001</v>
      </c>
      <c r="Y26" s="267">
        <f>'P NP TW'!AP23/1000</f>
        <v>1113.152</v>
      </c>
      <c r="Z26" s="268">
        <f>'P NP TW'!AR23/1000</f>
        <v>1078.0619999999999</v>
      </c>
    </row>
    <row r="27" spans="1:26">
      <c r="A27" s="346" t="s">
        <v>112</v>
      </c>
      <c r="B27" s="363">
        <f t="shared" si="1"/>
        <v>930.88699999999994</v>
      </c>
      <c r="C27" s="565">
        <f>'P NP KOLAM KAB'!AJ23/1000</f>
        <v>0</v>
      </c>
      <c r="D27" s="364">
        <f>'P NP KOLAM KAB'!AN23/1000</f>
        <v>170.739</v>
      </c>
      <c r="E27" s="364">
        <f>'P NP KOLAM KAB'!AL23/1000</f>
        <v>0</v>
      </c>
      <c r="F27" s="364">
        <f>'P NP KOLAM KAB'!P23/1000</f>
        <v>0.55500000000000005</v>
      </c>
      <c r="G27" s="364">
        <f>'P NP KOLAM KAB'!AT23/1000</f>
        <v>0</v>
      </c>
      <c r="H27" s="364">
        <f>'P NP KOLAM KAB'!AP23/1000</f>
        <v>0</v>
      </c>
      <c r="I27" s="364">
        <f>'P NP KOLAM KAB'!AD23/1000</f>
        <v>759.33299999999997</v>
      </c>
      <c r="J27" s="828" t="str">
        <f>IFERROR('P NP KOLAM KAB'!#REF!/1000,"-")</f>
        <v>-</v>
      </c>
      <c r="K27" s="831">
        <f>'P NP KOLAM KAB'!F23/1000</f>
        <v>0</v>
      </c>
      <c r="L27" s="364">
        <f>'P NP KOLAM KAB'!L23/1000</f>
        <v>0</v>
      </c>
      <c r="M27" s="364">
        <f>'P NP KOLAM KAB'!D23/1000</f>
        <v>0</v>
      </c>
      <c r="N27" s="364">
        <f>SUM('P NP KOLAM KAB'!H23,'P NP KOLAM KAB'!AB23,'P NP KOLAM KAB'!AV23,'P NP KOLAM KAB'!BP23)/1000</f>
        <v>0</v>
      </c>
      <c r="O27" s="364">
        <f>'P NP KOLAM KAB'!BB23/1000</f>
        <v>0</v>
      </c>
      <c r="P27" s="832">
        <f>'P NP KOLAM KAB'!AX23/1000</f>
        <v>0</v>
      </c>
      <c r="Q27" s="364">
        <f>'P NP KOLAM KAB'!BD23/1000</f>
        <v>0</v>
      </c>
      <c r="R27" s="364">
        <f>'P NP KOLAM KAB'!BJ23/1000</f>
        <v>0.26</v>
      </c>
      <c r="S27" s="364">
        <f>'P NP KOLAM KAB'!AH23/1000</f>
        <v>0</v>
      </c>
      <c r="T27" s="834">
        <v>0</v>
      </c>
      <c r="U27" s="368"/>
      <c r="V27" s="363">
        <f t="shared" si="2"/>
        <v>930.88699999999994</v>
      </c>
      <c r="W27" s="267">
        <f>'P NP TW'!AL24/1000</f>
        <v>161.74700000000001</v>
      </c>
      <c r="X27" s="267">
        <f>'P NP TW'!AN24/1000</f>
        <v>233.995</v>
      </c>
      <c r="Y27" s="267">
        <f>'P NP TW'!AP24/1000</f>
        <v>245.09</v>
      </c>
      <c r="Z27" s="268">
        <f>'P NP TW'!AR24/1000</f>
        <v>290.05500000000001</v>
      </c>
    </row>
    <row r="28" spans="1:26">
      <c r="A28" s="346" t="s">
        <v>139</v>
      </c>
      <c r="B28" s="363">
        <f t="shared" si="1"/>
        <v>800.05</v>
      </c>
      <c r="C28" s="565">
        <f>'P NP KOLAM KAB'!AJ24/1000</f>
        <v>0</v>
      </c>
      <c r="D28" s="364">
        <f>'P NP KOLAM KAB'!AN24/1000</f>
        <v>2.4060000000000001</v>
      </c>
      <c r="E28" s="364">
        <f>'P NP KOLAM KAB'!AL24/1000</f>
        <v>0</v>
      </c>
      <c r="F28" s="364">
        <f>'P NP KOLAM KAB'!P24/1000</f>
        <v>2.0659999999999998</v>
      </c>
      <c r="G28" s="364">
        <f>'P NP KOLAM KAB'!AT24/1000</f>
        <v>0</v>
      </c>
      <c r="H28" s="364">
        <f>'P NP KOLAM KAB'!AP24/1000</f>
        <v>0</v>
      </c>
      <c r="I28" s="364">
        <f>'P NP KOLAM KAB'!AD24/1000</f>
        <v>795.57799999999997</v>
      </c>
      <c r="J28" s="828" t="str">
        <f>IFERROR('P NP KOLAM KAB'!#REF!/1000,"-")</f>
        <v>-</v>
      </c>
      <c r="K28" s="831">
        <f>'P NP KOLAM KAB'!F24/1000</f>
        <v>0</v>
      </c>
      <c r="L28" s="364">
        <f>'P NP KOLAM KAB'!L24/1000</f>
        <v>0</v>
      </c>
      <c r="M28" s="364">
        <f>'P NP KOLAM KAB'!D24/1000</f>
        <v>0</v>
      </c>
      <c r="N28" s="364">
        <f>SUM('P NP KOLAM KAB'!H24,'P NP KOLAM KAB'!AB24,'P NP KOLAM KAB'!AV24,'P NP KOLAM KAB'!BP24)/1000</f>
        <v>0</v>
      </c>
      <c r="O28" s="364">
        <f>'P NP KOLAM KAB'!BB24/1000</f>
        <v>0</v>
      </c>
      <c r="P28" s="832">
        <f>'P NP KOLAM KAB'!AX24/1000</f>
        <v>0</v>
      </c>
      <c r="Q28" s="364">
        <f>'P NP KOLAM KAB'!BD24/1000</f>
        <v>0</v>
      </c>
      <c r="R28" s="364">
        <f>'P NP KOLAM KAB'!BJ24/1000</f>
        <v>0</v>
      </c>
      <c r="S28" s="364">
        <f>'P NP KOLAM KAB'!AH24/1000</f>
        <v>0</v>
      </c>
      <c r="T28" s="834">
        <v>0</v>
      </c>
      <c r="U28" s="368"/>
      <c r="V28" s="363">
        <f t="shared" si="2"/>
        <v>800.05</v>
      </c>
      <c r="W28" s="267">
        <f>'P NP TW'!AL25/1000</f>
        <v>172.63499999999999</v>
      </c>
      <c r="X28" s="267">
        <f>'P NP TW'!AN25/1000</f>
        <v>180.37200000000001</v>
      </c>
      <c r="Y28" s="267">
        <f>'P NP TW'!AP25/1000</f>
        <v>178.01599999999999</v>
      </c>
      <c r="Z28" s="268">
        <f>'P NP TW'!AR25/1000</f>
        <v>269.02699999999999</v>
      </c>
    </row>
    <row r="29" spans="1:26">
      <c r="A29" s="346" t="s">
        <v>125</v>
      </c>
      <c r="B29" s="363">
        <f t="shared" si="1"/>
        <v>15942.118630000001</v>
      </c>
      <c r="C29" s="565">
        <f>'P NP KOLAM KAB'!AJ25/1000</f>
        <v>0</v>
      </c>
      <c r="D29" s="364">
        <f>'P NP KOLAM KAB'!AN25/1000</f>
        <v>502.78606000000002</v>
      </c>
      <c r="E29" s="364">
        <f>'P NP KOLAM KAB'!AL25/1000</f>
        <v>0</v>
      </c>
      <c r="F29" s="364">
        <f>'P NP KOLAM KAB'!P25/1000</f>
        <v>150.74207999999999</v>
      </c>
      <c r="G29" s="364">
        <f>'P NP KOLAM KAB'!AT25/1000</f>
        <v>0</v>
      </c>
      <c r="H29" s="364">
        <f>'P NP KOLAM KAB'!AP25/1000</f>
        <v>0</v>
      </c>
      <c r="I29" s="364">
        <f>'P NP KOLAM KAB'!AD25/1000</f>
        <v>15288.590490000001</v>
      </c>
      <c r="J29" s="828" t="str">
        <f>IFERROR('P NP KOLAM KAB'!#REF!/1000,"-")</f>
        <v>-</v>
      </c>
      <c r="K29" s="831">
        <f>'P NP KOLAM KAB'!F25/1000</f>
        <v>0</v>
      </c>
      <c r="L29" s="364">
        <f>'P NP KOLAM KAB'!L25/1000</f>
        <v>0</v>
      </c>
      <c r="M29" s="364">
        <f>'P NP KOLAM KAB'!D25/1000</f>
        <v>0</v>
      </c>
      <c r="N29" s="364">
        <f>SUM('P NP KOLAM KAB'!H25,'P NP KOLAM KAB'!AB25,'P NP KOLAM KAB'!AV25,'P NP KOLAM KAB'!BP25)/1000</f>
        <v>0</v>
      </c>
      <c r="O29" s="364">
        <f>'P NP KOLAM KAB'!BB25/1000</f>
        <v>0</v>
      </c>
      <c r="P29" s="832">
        <f>'P NP KOLAM KAB'!AX25/1000</f>
        <v>0</v>
      </c>
      <c r="Q29" s="364">
        <f>'P NP KOLAM KAB'!BD25/1000</f>
        <v>0</v>
      </c>
      <c r="R29" s="364">
        <f>'P NP KOLAM KAB'!BJ25/1000</f>
        <v>0</v>
      </c>
      <c r="S29" s="364">
        <f>'P NP KOLAM KAB'!AH25/1000</f>
        <v>0</v>
      </c>
      <c r="T29" s="834">
        <v>0</v>
      </c>
      <c r="U29" s="368"/>
      <c r="V29" s="363">
        <f t="shared" si="2"/>
        <v>15942.118630000001</v>
      </c>
      <c r="W29" s="267">
        <f>'P NP TW'!AL26/1000</f>
        <v>4556.7570700000006</v>
      </c>
      <c r="X29" s="267">
        <f>'P NP TW'!AN26/1000</f>
        <v>4087.0871400000005</v>
      </c>
      <c r="Y29" s="267">
        <f>'P NP TW'!AP26/1000</f>
        <v>3877.39849</v>
      </c>
      <c r="Z29" s="268">
        <f>'P NP TW'!AR26/1000</f>
        <v>3420.8759300000002</v>
      </c>
    </row>
    <row r="30" spans="1:26">
      <c r="A30" s="346" t="s">
        <v>113</v>
      </c>
      <c r="B30" s="363">
        <f t="shared" si="1"/>
        <v>2179.7130000000002</v>
      </c>
      <c r="C30" s="565">
        <f>'P NP KOLAM KAB'!AJ26/1000</f>
        <v>0</v>
      </c>
      <c r="D30" s="364">
        <f>'P NP KOLAM KAB'!AN26/1000</f>
        <v>51.167000000000002</v>
      </c>
      <c r="E30" s="364">
        <f>'P NP KOLAM KAB'!AL26/1000</f>
        <v>0</v>
      </c>
      <c r="F30" s="364">
        <f>'P NP KOLAM KAB'!P26/1000</f>
        <v>320.62299999999999</v>
      </c>
      <c r="G30" s="364">
        <f>'P NP KOLAM KAB'!AT26/1000</f>
        <v>0</v>
      </c>
      <c r="H30" s="364">
        <f>'P NP KOLAM KAB'!AP26/1000</f>
        <v>19.356999999999999</v>
      </c>
      <c r="I30" s="364">
        <f>'P NP KOLAM KAB'!AD26/1000</f>
        <v>1787.644</v>
      </c>
      <c r="J30" s="828" t="str">
        <f>IFERROR('P NP KOLAM KAB'!#REF!/1000,"-")</f>
        <v>-</v>
      </c>
      <c r="K30" s="831">
        <f>'P NP KOLAM KAB'!F26/1000</f>
        <v>0</v>
      </c>
      <c r="L30" s="364">
        <f>'P NP KOLAM KAB'!L26/1000</f>
        <v>0.92200000000000004</v>
      </c>
      <c r="M30" s="364">
        <f>'P NP KOLAM KAB'!D26/1000</f>
        <v>0</v>
      </c>
      <c r="N30" s="364">
        <f>SUM('P NP KOLAM KAB'!H26,'P NP KOLAM KAB'!AB26,'P NP KOLAM KAB'!AV26,'P NP KOLAM KAB'!BP26)/1000</f>
        <v>0</v>
      </c>
      <c r="O30" s="364">
        <f>'P NP KOLAM KAB'!BB26/1000</f>
        <v>0</v>
      </c>
      <c r="P30" s="832">
        <f>'P NP KOLAM KAB'!AX26/1000</f>
        <v>0</v>
      </c>
      <c r="Q30" s="364">
        <f>'P NP KOLAM KAB'!BD26/1000</f>
        <v>0</v>
      </c>
      <c r="R30" s="364">
        <f>'P NP KOLAM KAB'!BJ26/1000</f>
        <v>0</v>
      </c>
      <c r="S30" s="364">
        <f>'P NP KOLAM KAB'!AH26/1000</f>
        <v>0</v>
      </c>
      <c r="T30" s="834">
        <v>0</v>
      </c>
      <c r="U30" s="368"/>
      <c r="V30" s="363">
        <f t="shared" si="2"/>
        <v>2179.7129999999997</v>
      </c>
      <c r="W30" s="267">
        <f>'P NP TW'!AL27/1000</f>
        <v>567.74400000000003</v>
      </c>
      <c r="X30" s="267">
        <f>'P NP TW'!AN27/1000</f>
        <v>571.53700000000003</v>
      </c>
      <c r="Y30" s="267">
        <f>'P NP TW'!AP27/1000</f>
        <v>513.84500000000003</v>
      </c>
      <c r="Z30" s="268">
        <f>'P NP TW'!AR27/1000</f>
        <v>526.58699999999999</v>
      </c>
    </row>
    <row r="31" spans="1:26">
      <c r="A31" s="346" t="s">
        <v>124</v>
      </c>
      <c r="B31" s="266">
        <f t="shared" si="1"/>
        <v>856.33999999999992</v>
      </c>
      <c r="C31" s="565">
        <f>'P NP KOLAM KAB'!AJ27/1000</f>
        <v>0</v>
      </c>
      <c r="D31" s="364">
        <f>'P NP KOLAM KAB'!AN27/1000</f>
        <v>11.34</v>
      </c>
      <c r="E31" s="364">
        <f>'P NP KOLAM KAB'!AL27/1000</f>
        <v>0</v>
      </c>
      <c r="F31" s="364">
        <f>'P NP KOLAM KAB'!P27/1000</f>
        <v>1.57</v>
      </c>
      <c r="G31" s="364">
        <f>'P NP KOLAM KAB'!AT27/1000</f>
        <v>0</v>
      </c>
      <c r="H31" s="364">
        <f>'P NP KOLAM KAB'!AP27/1000</f>
        <v>0</v>
      </c>
      <c r="I31" s="364">
        <f>'P NP KOLAM KAB'!AD27/1000</f>
        <v>843.43</v>
      </c>
      <c r="J31" s="828" t="str">
        <f>IFERROR('P NP KOLAM KAB'!#REF!/1000,"-")</f>
        <v>-</v>
      </c>
      <c r="K31" s="831">
        <f>'P NP KOLAM KAB'!F27/1000</f>
        <v>0</v>
      </c>
      <c r="L31" s="364">
        <f>'P NP KOLAM KAB'!L27/1000</f>
        <v>0</v>
      </c>
      <c r="M31" s="364">
        <f>'P NP KOLAM KAB'!D27/1000</f>
        <v>0</v>
      </c>
      <c r="N31" s="364">
        <f>SUM('P NP KOLAM KAB'!H27,'P NP KOLAM KAB'!AB27,'P NP KOLAM KAB'!AV27,'P NP KOLAM KAB'!BP27)/1000</f>
        <v>0</v>
      </c>
      <c r="O31" s="364">
        <f>'P NP KOLAM KAB'!BB27/1000</f>
        <v>0</v>
      </c>
      <c r="P31" s="832">
        <f>'P NP KOLAM KAB'!AX27/1000</f>
        <v>0</v>
      </c>
      <c r="Q31" s="364">
        <f>'P NP KOLAM KAB'!BD27/1000</f>
        <v>0</v>
      </c>
      <c r="R31" s="364">
        <f>'P NP KOLAM KAB'!BJ27/1000</f>
        <v>0</v>
      </c>
      <c r="S31" s="364">
        <f>'P NP KOLAM KAB'!AH27/1000</f>
        <v>0</v>
      </c>
      <c r="T31" s="834">
        <v>0</v>
      </c>
      <c r="U31" s="368"/>
      <c r="V31" s="266">
        <f t="shared" si="2"/>
        <v>856.34</v>
      </c>
      <c r="W31" s="267">
        <f>'P NP TW'!AL28/1000</f>
        <v>223</v>
      </c>
      <c r="X31" s="267">
        <f>'P NP TW'!AN28/1000</f>
        <v>204.29</v>
      </c>
      <c r="Y31" s="267">
        <f>'P NP TW'!AP28/1000</f>
        <v>216.96</v>
      </c>
      <c r="Z31" s="268">
        <f>'P NP TW'!AR28/1000</f>
        <v>212.09</v>
      </c>
    </row>
    <row r="32" spans="1:26">
      <c r="A32" s="346" t="s">
        <v>138</v>
      </c>
      <c r="B32" s="363">
        <f t="shared" si="1"/>
        <v>228.94900000000001</v>
      </c>
      <c r="C32" s="565">
        <f>'P NP KOLAM KAB'!AJ28/1000</f>
        <v>0</v>
      </c>
      <c r="D32" s="364">
        <f>'P NP KOLAM KAB'!AN28/1000</f>
        <v>1.085</v>
      </c>
      <c r="E32" s="364">
        <f>'P NP KOLAM KAB'!AL28/1000</f>
        <v>0</v>
      </c>
      <c r="F32" s="364">
        <f>'P NP KOLAM KAB'!P28/1000</f>
        <v>0</v>
      </c>
      <c r="G32" s="364">
        <f>'P NP KOLAM KAB'!AT28/1000</f>
        <v>0</v>
      </c>
      <c r="H32" s="364">
        <f>'P NP KOLAM KAB'!AP28/1000</f>
        <v>0</v>
      </c>
      <c r="I32" s="364">
        <f>'P NP KOLAM KAB'!AD28/1000</f>
        <v>227.864</v>
      </c>
      <c r="J32" s="828" t="str">
        <f>IFERROR('P NP KOLAM KAB'!#REF!/1000,"-")</f>
        <v>-</v>
      </c>
      <c r="K32" s="831">
        <f>'P NP KOLAM KAB'!F28/1000</f>
        <v>0</v>
      </c>
      <c r="L32" s="364">
        <f>'P NP KOLAM KAB'!L28/1000</f>
        <v>0</v>
      </c>
      <c r="M32" s="364">
        <f>'P NP KOLAM KAB'!D28/1000</f>
        <v>0</v>
      </c>
      <c r="N32" s="364">
        <f>SUM('P NP KOLAM KAB'!H28,'P NP KOLAM KAB'!AB28,'P NP KOLAM KAB'!AV28,'P NP KOLAM KAB'!BP28)/1000</f>
        <v>0</v>
      </c>
      <c r="O32" s="364">
        <f>'P NP KOLAM KAB'!BB28/1000</f>
        <v>0</v>
      </c>
      <c r="P32" s="832">
        <f>'P NP KOLAM KAB'!AX28/1000</f>
        <v>0</v>
      </c>
      <c r="Q32" s="364">
        <f>'P NP KOLAM KAB'!BD28/1000</f>
        <v>0</v>
      </c>
      <c r="R32" s="364">
        <f>'P NP KOLAM KAB'!BJ28/1000</f>
        <v>0</v>
      </c>
      <c r="S32" s="364">
        <f>'P NP KOLAM KAB'!AH28/1000</f>
        <v>0</v>
      </c>
      <c r="T32" s="834">
        <v>0</v>
      </c>
      <c r="U32" s="369"/>
      <c r="V32" s="363">
        <f t="shared" si="2"/>
        <v>228.94900000000001</v>
      </c>
      <c r="W32" s="267">
        <f>'P NP TW'!AL29/1000</f>
        <v>57.003</v>
      </c>
      <c r="X32" s="267">
        <f>'P NP TW'!AN29/1000</f>
        <v>54.396000000000001</v>
      </c>
      <c r="Y32" s="267">
        <f>'P NP TW'!AP29/1000</f>
        <v>51</v>
      </c>
      <c r="Z32" s="268">
        <f>'P NP TW'!AR29/1000</f>
        <v>66.55</v>
      </c>
    </row>
    <row r="33" spans="1:26">
      <c r="A33" s="346" t="s">
        <v>126</v>
      </c>
      <c r="B33" s="363">
        <f t="shared" si="1"/>
        <v>26544.645</v>
      </c>
      <c r="C33" s="565">
        <f>'P NP KOLAM KAB'!AJ29/1000</f>
        <v>0</v>
      </c>
      <c r="D33" s="364">
        <f>'P NP KOLAM KAB'!AN29/1000</f>
        <v>381.7</v>
      </c>
      <c r="E33" s="364">
        <f>'P NP KOLAM KAB'!AL29/1000</f>
        <v>0</v>
      </c>
      <c r="F33" s="364">
        <f>'P NP KOLAM KAB'!P29/1000</f>
        <v>252.2</v>
      </c>
      <c r="G33" s="364">
        <f>'P NP KOLAM KAB'!AT29/1000</f>
        <v>0</v>
      </c>
      <c r="H33" s="364">
        <f>'P NP KOLAM KAB'!AP29/1000</f>
        <v>298.3</v>
      </c>
      <c r="I33" s="364">
        <f>'P NP KOLAM KAB'!AD29/1000</f>
        <v>25612.445</v>
      </c>
      <c r="J33" s="828" t="str">
        <f>IFERROR('P NP KOLAM KAB'!#REF!/1000,"-")</f>
        <v>-</v>
      </c>
      <c r="K33" s="831">
        <f>'P NP KOLAM KAB'!F29/1000</f>
        <v>0</v>
      </c>
      <c r="L33" s="364">
        <f>'P NP KOLAM KAB'!L29/1000</f>
        <v>0</v>
      </c>
      <c r="M33" s="364">
        <f>'P NP KOLAM KAB'!D29/1000</f>
        <v>0</v>
      </c>
      <c r="N33" s="364">
        <f>SUM('P NP KOLAM KAB'!H29,'P NP KOLAM KAB'!AB29,'P NP KOLAM KAB'!AV29,'P NP KOLAM KAB'!BP29)/1000</f>
        <v>0</v>
      </c>
      <c r="O33" s="364">
        <f>'P NP KOLAM KAB'!BB29/1000</f>
        <v>0</v>
      </c>
      <c r="P33" s="832">
        <f>'P NP KOLAM KAB'!AX29/1000</f>
        <v>0</v>
      </c>
      <c r="Q33" s="364">
        <f>'P NP KOLAM KAB'!BD29/1000</f>
        <v>0</v>
      </c>
      <c r="R33" s="364">
        <f>'P NP KOLAM KAB'!BJ29/1000</f>
        <v>0</v>
      </c>
      <c r="S33" s="364">
        <f>'P NP KOLAM KAB'!AH29/1000</f>
        <v>0</v>
      </c>
      <c r="T33" s="834">
        <v>0</v>
      </c>
      <c r="U33" s="368"/>
      <c r="V33" s="363">
        <f t="shared" si="2"/>
        <v>26544.644999999997</v>
      </c>
      <c r="W33" s="267">
        <f>'P NP TW'!AL30/1000</f>
        <v>7253.9449999999997</v>
      </c>
      <c r="X33" s="267">
        <f>'P NP TW'!AN30/1000</f>
        <v>6053.5</v>
      </c>
      <c r="Y33" s="267">
        <f>'P NP TW'!AP30/1000</f>
        <v>6058.8</v>
      </c>
      <c r="Z33" s="268">
        <f>'P NP TW'!AR30/1000</f>
        <v>7178.4</v>
      </c>
    </row>
    <row r="34" spans="1:26">
      <c r="A34" s="346" t="s">
        <v>123</v>
      </c>
      <c r="B34" s="363">
        <f t="shared" si="1"/>
        <v>637.82899999999995</v>
      </c>
      <c r="C34" s="565">
        <f>'P NP KOLAM KAB'!AJ30/1000</f>
        <v>0</v>
      </c>
      <c r="D34" s="364">
        <f>'P NP KOLAM KAB'!AN30/1000</f>
        <v>0.55700000000000005</v>
      </c>
      <c r="E34" s="364">
        <f>'P NP KOLAM KAB'!AL30/1000</f>
        <v>0</v>
      </c>
      <c r="F34" s="364">
        <f>'P NP KOLAM KAB'!P30/1000</f>
        <v>2.661</v>
      </c>
      <c r="G34" s="364">
        <f>'P NP KOLAM KAB'!AT30/1000</f>
        <v>0</v>
      </c>
      <c r="H34" s="364">
        <f>'P NP KOLAM KAB'!AP30/1000</f>
        <v>0</v>
      </c>
      <c r="I34" s="364">
        <f>'P NP KOLAM KAB'!AD30/1000</f>
        <v>634.61099999999999</v>
      </c>
      <c r="J34" s="828" t="str">
        <f>IFERROR('P NP KOLAM KAB'!#REF!/1000,"-")</f>
        <v>-</v>
      </c>
      <c r="K34" s="831">
        <f>'P NP KOLAM KAB'!F30/1000</f>
        <v>0</v>
      </c>
      <c r="L34" s="364">
        <f>'P NP KOLAM KAB'!L30/1000</f>
        <v>0</v>
      </c>
      <c r="M34" s="364">
        <f>'P NP KOLAM KAB'!D30/1000</f>
        <v>0</v>
      </c>
      <c r="N34" s="364">
        <f>SUM('P NP KOLAM KAB'!H30,'P NP KOLAM KAB'!AB30,'P NP KOLAM KAB'!AV30,'P NP KOLAM KAB'!BP30)/1000</f>
        <v>0</v>
      </c>
      <c r="O34" s="364">
        <f>'P NP KOLAM KAB'!BB30/1000</f>
        <v>0</v>
      </c>
      <c r="P34" s="832">
        <f>'P NP KOLAM KAB'!AX30/1000</f>
        <v>0</v>
      </c>
      <c r="Q34" s="364">
        <f>'P NP KOLAM KAB'!BD30/1000</f>
        <v>0</v>
      </c>
      <c r="R34" s="364">
        <f>'P NP KOLAM KAB'!BJ30/1000</f>
        <v>0</v>
      </c>
      <c r="S34" s="364">
        <f>'P NP KOLAM KAB'!AH30/1000</f>
        <v>0</v>
      </c>
      <c r="T34" s="834">
        <v>0</v>
      </c>
      <c r="U34" s="369"/>
      <c r="V34" s="363">
        <f t="shared" si="2"/>
        <v>637.82900000000006</v>
      </c>
      <c r="W34" s="267">
        <f>'P NP TW'!AL31/1000</f>
        <v>169.815</v>
      </c>
      <c r="X34" s="267">
        <f>'P NP TW'!AN31/1000</f>
        <v>151.68299999999999</v>
      </c>
      <c r="Y34" s="267">
        <f>'P NP TW'!AP31/1000</f>
        <v>133.89500000000001</v>
      </c>
      <c r="Z34" s="268">
        <f>'P NP TW'!AR31/1000</f>
        <v>182.43600000000001</v>
      </c>
    </row>
    <row r="35" spans="1:26">
      <c r="A35" s="346" t="s">
        <v>140</v>
      </c>
      <c r="B35" s="363">
        <f t="shared" si="1"/>
        <v>2548.8764000000001</v>
      </c>
      <c r="C35" s="565">
        <f>'P NP KOLAM KAB'!AJ31/1000</f>
        <v>0</v>
      </c>
      <c r="D35" s="364">
        <f>'P NP KOLAM KAB'!AN31/1000</f>
        <v>0</v>
      </c>
      <c r="E35" s="364">
        <f>'P NP KOLAM KAB'!AL31/1000</f>
        <v>0</v>
      </c>
      <c r="F35" s="364">
        <f>'P NP KOLAM KAB'!P31/1000</f>
        <v>14.987</v>
      </c>
      <c r="G35" s="364">
        <f>'P NP KOLAM KAB'!AT31/1000</f>
        <v>0</v>
      </c>
      <c r="H35" s="364">
        <f>'P NP KOLAM KAB'!AP31/1000</f>
        <v>0</v>
      </c>
      <c r="I35" s="364">
        <f>'P NP KOLAM KAB'!AD31/1000</f>
        <v>2533.8894</v>
      </c>
      <c r="J35" s="828" t="str">
        <f>IFERROR('P NP KOLAM KAB'!#REF!/1000,"-")</f>
        <v>-</v>
      </c>
      <c r="K35" s="831">
        <f>'P NP KOLAM KAB'!F31/1000</f>
        <v>0</v>
      </c>
      <c r="L35" s="364">
        <f>'P NP KOLAM KAB'!L31/1000</f>
        <v>0</v>
      </c>
      <c r="M35" s="364">
        <f>'P NP KOLAM KAB'!D31/1000</f>
        <v>0</v>
      </c>
      <c r="N35" s="364">
        <f>SUM('P NP KOLAM KAB'!H31,'P NP KOLAM KAB'!AB31,'P NP KOLAM KAB'!AV31,'P NP KOLAM KAB'!BP31)/1000</f>
        <v>0</v>
      </c>
      <c r="O35" s="364">
        <f>'P NP KOLAM KAB'!BB31/1000</f>
        <v>0</v>
      </c>
      <c r="P35" s="832">
        <f>'P NP KOLAM KAB'!AX31/1000</f>
        <v>0</v>
      </c>
      <c r="Q35" s="364">
        <f>'P NP KOLAM KAB'!BD31/1000</f>
        <v>0</v>
      </c>
      <c r="R35" s="364">
        <f>'P NP KOLAM KAB'!BJ31/1000</f>
        <v>0</v>
      </c>
      <c r="S35" s="364">
        <f>'P NP KOLAM KAB'!AH31/1000</f>
        <v>0</v>
      </c>
      <c r="T35" s="834">
        <v>0</v>
      </c>
      <c r="U35" s="368"/>
      <c r="V35" s="363">
        <f t="shared" si="2"/>
        <v>2548.8764000000001</v>
      </c>
      <c r="W35" s="267">
        <f>'P NP TW'!AL32/1000</f>
        <v>93.958199999999991</v>
      </c>
      <c r="X35" s="267">
        <f>'P NP TW'!AN32/1000</f>
        <v>105.6395</v>
      </c>
      <c r="Y35" s="267">
        <f>'P NP TW'!AP32/1000</f>
        <v>2230.1227000000003</v>
      </c>
      <c r="Z35" s="268">
        <f>'P NP TW'!AR32/1000</f>
        <v>119.15600000000001</v>
      </c>
    </row>
    <row r="36" spans="1:26">
      <c r="A36" s="346" t="s">
        <v>114</v>
      </c>
      <c r="B36" s="363">
        <f t="shared" si="1"/>
        <v>4813.018</v>
      </c>
      <c r="C36" s="565">
        <f>'P NP KOLAM KAB'!AJ32/1000</f>
        <v>0</v>
      </c>
      <c r="D36" s="364">
        <f>'P NP KOLAM KAB'!AN32/1000</f>
        <v>168.79599999999999</v>
      </c>
      <c r="E36" s="364">
        <f>'P NP KOLAM KAB'!AL32/1000</f>
        <v>0</v>
      </c>
      <c r="F36" s="364">
        <f>'P NP KOLAM KAB'!P32/1000</f>
        <v>276.27699999999999</v>
      </c>
      <c r="G36" s="364">
        <f>'P NP KOLAM KAB'!AT32/1000</f>
        <v>0</v>
      </c>
      <c r="H36" s="364">
        <f>'P NP KOLAM KAB'!AP32/1000</f>
        <v>505.25200000000001</v>
      </c>
      <c r="I36" s="364">
        <f>'P NP KOLAM KAB'!AD32/1000</f>
        <v>3853.8969999999999</v>
      </c>
      <c r="J36" s="828" t="str">
        <f>IFERROR('P NP KOLAM KAB'!#REF!/1000,"-")</f>
        <v>-</v>
      </c>
      <c r="K36" s="831">
        <f>'P NP KOLAM KAB'!F32/1000</f>
        <v>0</v>
      </c>
      <c r="L36" s="364">
        <f>'P NP KOLAM KAB'!L32/1000</f>
        <v>8.7959999999999994</v>
      </c>
      <c r="M36" s="364">
        <f>'P NP KOLAM KAB'!D32/1000</f>
        <v>0</v>
      </c>
      <c r="N36" s="364">
        <f>SUM('P NP KOLAM KAB'!H32,'P NP KOLAM KAB'!AB32,'P NP KOLAM KAB'!AV32,'P NP KOLAM KAB'!BP32)/1000</f>
        <v>0</v>
      </c>
      <c r="O36" s="364">
        <f>'P NP KOLAM KAB'!BB32/1000</f>
        <v>0</v>
      </c>
      <c r="P36" s="832">
        <f>'P NP KOLAM KAB'!AX32/1000</f>
        <v>0</v>
      </c>
      <c r="Q36" s="364">
        <f>'P NP KOLAM KAB'!BD32/1000</f>
        <v>0</v>
      </c>
      <c r="R36" s="364">
        <f>'P NP KOLAM KAB'!BJ32/1000</f>
        <v>0</v>
      </c>
      <c r="S36" s="364">
        <f>'P NP KOLAM KAB'!AH32/1000</f>
        <v>0</v>
      </c>
      <c r="T36" s="834">
        <v>0</v>
      </c>
      <c r="U36" s="368"/>
      <c r="V36" s="363">
        <f t="shared" si="2"/>
        <v>4813.018</v>
      </c>
      <c r="W36" s="267">
        <f>'P NP TW'!AL33/1000</f>
        <v>1225.424</v>
      </c>
      <c r="X36" s="267">
        <f>'P NP TW'!AN33/1000</f>
        <v>1319.8140000000001</v>
      </c>
      <c r="Y36" s="267">
        <f>'P NP TW'!AP33/1000</f>
        <v>1185.7429999999999</v>
      </c>
      <c r="Z36" s="268">
        <f>'P NP TW'!AR33/1000</f>
        <v>1082.037</v>
      </c>
    </row>
    <row r="37" spans="1:26">
      <c r="A37" s="346" t="s">
        <v>134</v>
      </c>
      <c r="B37" s="363">
        <f t="shared" si="1"/>
        <v>15105.58</v>
      </c>
      <c r="C37" s="565">
        <f>'P NP KOLAM KAB'!AJ33/1000</f>
        <v>1665.42</v>
      </c>
      <c r="D37" s="364">
        <f>'P NP KOLAM KAB'!AN33/1000</f>
        <v>1845.865</v>
      </c>
      <c r="E37" s="364">
        <f>'P NP KOLAM KAB'!AL33/1000</f>
        <v>0</v>
      </c>
      <c r="F37" s="364">
        <f>'P NP KOLAM KAB'!P33/1000</f>
        <v>149.54300000000001</v>
      </c>
      <c r="G37" s="364">
        <f>'P NP KOLAM KAB'!AT33/1000</f>
        <v>902.94</v>
      </c>
      <c r="H37" s="364">
        <f>'P NP KOLAM KAB'!AP33/1000</f>
        <v>539.95000000000005</v>
      </c>
      <c r="I37" s="364">
        <f>'P NP KOLAM KAB'!AD33/1000</f>
        <v>9699.8150000000005</v>
      </c>
      <c r="J37" s="828" t="str">
        <f>IFERROR('P NP KOLAM KAB'!#REF!/1000,"-")</f>
        <v>-</v>
      </c>
      <c r="K37" s="831">
        <f>'P NP KOLAM KAB'!F33/1000</f>
        <v>188.25700000000001</v>
      </c>
      <c r="L37" s="364">
        <f>'P NP KOLAM KAB'!L33/1000</f>
        <v>113.79</v>
      </c>
      <c r="M37" s="364">
        <f>'P NP KOLAM KAB'!D33/1000</f>
        <v>0</v>
      </c>
      <c r="N37" s="364">
        <f>SUM('P NP KOLAM KAB'!H33,'P NP KOLAM KAB'!AB33,'P NP KOLAM KAB'!AV33,'P NP KOLAM KAB'!BP33)/1000</f>
        <v>0</v>
      </c>
      <c r="O37" s="364">
        <f>'P NP KOLAM KAB'!BB33/1000</f>
        <v>0</v>
      </c>
      <c r="P37" s="832">
        <f>'P NP KOLAM KAB'!AX33/1000</f>
        <v>0</v>
      </c>
      <c r="Q37" s="364">
        <f>'P NP KOLAM KAB'!BD33/1000</f>
        <v>0</v>
      </c>
      <c r="R37" s="364">
        <f>'P NP KOLAM KAB'!BJ33/1000</f>
        <v>0</v>
      </c>
      <c r="S37" s="364">
        <f>'P NP KOLAM KAB'!AH33/1000</f>
        <v>0</v>
      </c>
      <c r="T37" s="834">
        <v>0</v>
      </c>
      <c r="U37" s="368"/>
      <c r="V37" s="363">
        <f t="shared" si="2"/>
        <v>15105.579999999998</v>
      </c>
      <c r="W37" s="267">
        <f>'P NP TW'!AL34/1000</f>
        <v>3589.46</v>
      </c>
      <c r="X37" s="267">
        <f>'P NP TW'!AN34/1000</f>
        <v>3333.67</v>
      </c>
      <c r="Y37" s="267">
        <f>'P NP TW'!AP34/1000</f>
        <v>3144.51</v>
      </c>
      <c r="Z37" s="268">
        <f>'P NP TW'!AR34/1000</f>
        <v>5037.9399999999996</v>
      </c>
    </row>
    <row r="38" spans="1:26">
      <c r="A38" s="346" t="s">
        <v>115</v>
      </c>
      <c r="B38" s="363">
        <f t="shared" si="1"/>
        <v>53401.5</v>
      </c>
      <c r="C38" s="565">
        <f>'P NP KOLAM KAB'!AJ34/1000</f>
        <v>0</v>
      </c>
      <c r="D38" s="364">
        <f>'P NP KOLAM KAB'!AN34/1000</f>
        <v>112.5</v>
      </c>
      <c r="E38" s="364">
        <f>'P NP KOLAM KAB'!AL34/1000</f>
        <v>0</v>
      </c>
      <c r="F38" s="364">
        <f>'P NP KOLAM KAB'!P34/1000</f>
        <v>21720</v>
      </c>
      <c r="G38" s="364">
        <f>'P NP KOLAM KAB'!AT34/1000</f>
        <v>0</v>
      </c>
      <c r="H38" s="364">
        <f>'P NP KOLAM KAB'!AP34/1000</f>
        <v>20262</v>
      </c>
      <c r="I38" s="364">
        <f>'P NP KOLAM KAB'!AD34/1000</f>
        <v>11070</v>
      </c>
      <c r="J38" s="828" t="str">
        <f>IFERROR('P NP KOLAM KAB'!#REF!/1000,"-")</f>
        <v>-</v>
      </c>
      <c r="K38" s="831">
        <f>'P NP KOLAM KAB'!F34/1000</f>
        <v>0</v>
      </c>
      <c r="L38" s="364">
        <f>'P NP KOLAM KAB'!L34/1000</f>
        <v>62</v>
      </c>
      <c r="M38" s="364">
        <f>'P NP KOLAM KAB'!D34/1000</f>
        <v>0</v>
      </c>
      <c r="N38" s="364">
        <f>SUM('P NP KOLAM KAB'!H34,'P NP KOLAM KAB'!AB34,'P NP KOLAM KAB'!AV34,'P NP KOLAM KAB'!BP34)/1000</f>
        <v>0</v>
      </c>
      <c r="O38" s="364">
        <f>'P NP KOLAM KAB'!BB34/1000</f>
        <v>175</v>
      </c>
      <c r="P38" s="832">
        <f>'P NP KOLAM KAB'!AX34/1000</f>
        <v>0</v>
      </c>
      <c r="Q38" s="364">
        <f>'P NP KOLAM KAB'!BD34/1000</f>
        <v>0</v>
      </c>
      <c r="R38" s="364">
        <f>'P NP KOLAM KAB'!BJ34/1000</f>
        <v>0</v>
      </c>
      <c r="S38" s="364">
        <f>'P NP KOLAM KAB'!AH34/1000</f>
        <v>0</v>
      </c>
      <c r="T38" s="834">
        <v>0</v>
      </c>
      <c r="U38" s="368"/>
      <c r="V38" s="363">
        <f t="shared" si="2"/>
        <v>53401.5</v>
      </c>
      <c r="W38" s="267">
        <f>'P NP TW'!AL35/1000</f>
        <v>12372</v>
      </c>
      <c r="X38" s="267">
        <f>'P NP TW'!AN35/1000</f>
        <v>13644.5</v>
      </c>
      <c r="Y38" s="267">
        <f>'P NP TW'!AP35/1000</f>
        <v>13208.5</v>
      </c>
      <c r="Z38" s="268">
        <f>'P NP TW'!AR35/1000</f>
        <v>14176.5</v>
      </c>
    </row>
    <row r="39" spans="1:26">
      <c r="A39" s="346" t="s">
        <v>149</v>
      </c>
      <c r="B39" s="363">
        <f t="shared" si="1"/>
        <v>65.338999999999999</v>
      </c>
      <c r="C39" s="565">
        <f>'P NP KOLAM KAB'!AJ35/1000</f>
        <v>2.1019999999999999</v>
      </c>
      <c r="D39" s="364">
        <f>'P NP KOLAM KAB'!AN35/1000</f>
        <v>33.335000000000001</v>
      </c>
      <c r="E39" s="364">
        <f>'P NP KOLAM KAB'!AL35/1000</f>
        <v>0</v>
      </c>
      <c r="F39" s="364">
        <f>'P NP KOLAM KAB'!P35/1000</f>
        <v>0</v>
      </c>
      <c r="G39" s="364">
        <f>'P NP KOLAM KAB'!AT35/1000</f>
        <v>0</v>
      </c>
      <c r="H39" s="364">
        <f>'P NP KOLAM KAB'!AP35/1000</f>
        <v>0</v>
      </c>
      <c r="I39" s="364">
        <f>'P NP KOLAM KAB'!AD35/1000</f>
        <v>29.902000000000001</v>
      </c>
      <c r="J39" s="828" t="str">
        <f>IFERROR('P NP KOLAM KAB'!#REF!/1000,"-")</f>
        <v>-</v>
      </c>
      <c r="K39" s="831">
        <f>'P NP KOLAM KAB'!F35/1000</f>
        <v>0</v>
      </c>
      <c r="L39" s="364">
        <f>'P NP KOLAM KAB'!L35/1000</f>
        <v>0</v>
      </c>
      <c r="M39" s="364">
        <f>'P NP KOLAM KAB'!D35/1000</f>
        <v>0</v>
      </c>
      <c r="N39" s="364">
        <f>SUM('P NP KOLAM KAB'!H35,'P NP KOLAM KAB'!AB35,'P NP KOLAM KAB'!AV35,'P NP KOLAM KAB'!BP35)/1000</f>
        <v>0</v>
      </c>
      <c r="O39" s="364">
        <f>'P NP KOLAM KAB'!BB35/1000</f>
        <v>0</v>
      </c>
      <c r="P39" s="832">
        <f>'P NP KOLAM KAB'!AX35/1000</f>
        <v>0</v>
      </c>
      <c r="Q39" s="364">
        <f>'P NP KOLAM KAB'!BD35/1000</f>
        <v>0</v>
      </c>
      <c r="R39" s="364">
        <f>'P NP KOLAM KAB'!BJ35/1000</f>
        <v>0</v>
      </c>
      <c r="S39" s="364">
        <f>'P NP KOLAM KAB'!AH35/1000</f>
        <v>0</v>
      </c>
      <c r="T39" s="834">
        <v>0</v>
      </c>
      <c r="U39" s="368"/>
      <c r="V39" s="363">
        <f t="shared" si="2"/>
        <v>65.338999999999999</v>
      </c>
      <c r="W39" s="267">
        <f>'P NP TW'!AL36/1000</f>
        <v>15.201000000000001</v>
      </c>
      <c r="X39" s="267">
        <f>'P NP TW'!AN36/1000</f>
        <v>15.83</v>
      </c>
      <c r="Y39" s="267">
        <f>'P NP TW'!AP36/1000</f>
        <v>16.882999999999999</v>
      </c>
      <c r="Z39" s="268">
        <f>'P NP TW'!AR36/1000</f>
        <v>17.425000000000001</v>
      </c>
    </row>
    <row r="40" spans="1:26">
      <c r="A40" s="346" t="s">
        <v>142</v>
      </c>
      <c r="B40" s="363">
        <f t="shared" si="1"/>
        <v>244.78000000000003</v>
      </c>
      <c r="C40" s="565">
        <f>'P NP KOLAM KAB'!AJ36/1000</f>
        <v>0</v>
      </c>
      <c r="D40" s="364">
        <f>'P NP KOLAM KAB'!AN36/1000</f>
        <v>66.95</v>
      </c>
      <c r="E40" s="364">
        <f>'P NP KOLAM KAB'!AL36/1000</f>
        <v>0</v>
      </c>
      <c r="F40" s="364">
        <f>'P NP KOLAM KAB'!P36/1000</f>
        <v>48.63</v>
      </c>
      <c r="G40" s="364">
        <f>'P NP KOLAM KAB'!AT36/1000</f>
        <v>0</v>
      </c>
      <c r="H40" s="364">
        <f>'P NP KOLAM KAB'!AP36/1000</f>
        <v>12.9</v>
      </c>
      <c r="I40" s="364">
        <f>'P NP KOLAM KAB'!AD36/1000</f>
        <v>116.3</v>
      </c>
      <c r="J40" s="828" t="str">
        <f>IFERROR('P NP KOLAM KAB'!#REF!/1000,"-")</f>
        <v>-</v>
      </c>
      <c r="K40" s="831">
        <f>'P NP KOLAM KAB'!F36/1000</f>
        <v>0</v>
      </c>
      <c r="L40" s="364">
        <f>'P NP KOLAM KAB'!L36/1000</f>
        <v>0</v>
      </c>
      <c r="M40" s="364">
        <f>'P NP KOLAM KAB'!D36/1000</f>
        <v>0</v>
      </c>
      <c r="N40" s="364">
        <f>SUM('P NP KOLAM KAB'!H36,'P NP KOLAM KAB'!AB36,'P NP KOLAM KAB'!AV36,'P NP KOLAM KAB'!BP36)/1000</f>
        <v>0</v>
      </c>
      <c r="O40" s="364">
        <f>'P NP KOLAM KAB'!BB36/1000</f>
        <v>0</v>
      </c>
      <c r="P40" s="832">
        <f>'P NP KOLAM KAB'!AX36/1000</f>
        <v>0</v>
      </c>
      <c r="Q40" s="364">
        <f>'P NP KOLAM KAB'!BD36/1000</f>
        <v>0</v>
      </c>
      <c r="R40" s="364">
        <f>'P NP KOLAM KAB'!BJ36/1000</f>
        <v>0</v>
      </c>
      <c r="S40" s="364">
        <f>'P NP KOLAM KAB'!AH36/1000</f>
        <v>0</v>
      </c>
      <c r="T40" s="834">
        <v>0</v>
      </c>
      <c r="U40" s="368"/>
      <c r="V40" s="363">
        <f t="shared" si="2"/>
        <v>244.77999999999997</v>
      </c>
      <c r="W40" s="267">
        <f>'P NP TW'!AL37/1000</f>
        <v>68.430000000000007</v>
      </c>
      <c r="X40" s="267">
        <f>'P NP TW'!AN37/1000</f>
        <v>62.7</v>
      </c>
      <c r="Y40" s="267">
        <f>'P NP TW'!AP37/1000</f>
        <v>61.14</v>
      </c>
      <c r="Z40" s="268">
        <f>'P NP TW'!AR37/1000</f>
        <v>52.51</v>
      </c>
    </row>
    <row r="41" spans="1:26">
      <c r="A41" s="346" t="s">
        <v>141</v>
      </c>
      <c r="B41" s="363">
        <f t="shared" si="1"/>
        <v>193.10000000000002</v>
      </c>
      <c r="C41" s="565">
        <f>'P NP KOLAM KAB'!AJ37/1000</f>
        <v>0</v>
      </c>
      <c r="D41" s="364">
        <f>'P NP KOLAM KAB'!AN37/1000</f>
        <v>8.3000000000000007</v>
      </c>
      <c r="E41" s="364">
        <f>'P NP KOLAM KAB'!AL37/1000</f>
        <v>0</v>
      </c>
      <c r="F41" s="364">
        <f>'P NP KOLAM KAB'!P37/1000</f>
        <v>1.5</v>
      </c>
      <c r="G41" s="364">
        <f>'P NP KOLAM KAB'!AT37/1000</f>
        <v>0</v>
      </c>
      <c r="H41" s="364">
        <f>'P NP KOLAM KAB'!AP37/1000</f>
        <v>0</v>
      </c>
      <c r="I41" s="364">
        <f>'P NP KOLAM KAB'!AD37/1000</f>
        <v>183.3</v>
      </c>
      <c r="J41" s="828" t="str">
        <f>IFERROR('P NP KOLAM KAB'!#REF!/1000,"-")</f>
        <v>-</v>
      </c>
      <c r="K41" s="831">
        <f>'P NP KOLAM KAB'!F37/1000</f>
        <v>0</v>
      </c>
      <c r="L41" s="364">
        <f>'P NP KOLAM KAB'!L37/1000</f>
        <v>0</v>
      </c>
      <c r="M41" s="364">
        <f>'P NP KOLAM KAB'!D37/1000</f>
        <v>0</v>
      </c>
      <c r="N41" s="364">
        <f>SUM('P NP KOLAM KAB'!H37,'P NP KOLAM KAB'!AB37,'P NP KOLAM KAB'!AV37,'P NP KOLAM KAB'!BP37)/1000</f>
        <v>0</v>
      </c>
      <c r="O41" s="364">
        <f>'P NP KOLAM KAB'!BB37/1000</f>
        <v>0</v>
      </c>
      <c r="P41" s="832">
        <f>'P NP KOLAM KAB'!AX37/1000</f>
        <v>0</v>
      </c>
      <c r="Q41" s="364">
        <f>'P NP KOLAM KAB'!BD37/1000</f>
        <v>0</v>
      </c>
      <c r="R41" s="364">
        <f>'P NP KOLAM KAB'!BJ37/1000</f>
        <v>0</v>
      </c>
      <c r="S41" s="364">
        <f>'P NP KOLAM KAB'!AH37/1000</f>
        <v>0</v>
      </c>
      <c r="T41" s="834">
        <v>0</v>
      </c>
      <c r="U41" s="368"/>
      <c r="V41" s="363">
        <f t="shared" si="2"/>
        <v>193.10000000000002</v>
      </c>
      <c r="W41" s="267">
        <f>'P NP TW'!AL38/1000</f>
        <v>50.9</v>
      </c>
      <c r="X41" s="267">
        <f>'P NP TW'!AN38/1000</f>
        <v>47.6</v>
      </c>
      <c r="Y41" s="267">
        <f>'P NP TW'!AP38/1000</f>
        <v>46.3</v>
      </c>
      <c r="Z41" s="268">
        <f>'P NP TW'!AR38/1000</f>
        <v>48.3</v>
      </c>
    </row>
    <row r="42" spans="1:26">
      <c r="A42" s="346" t="s">
        <v>147</v>
      </c>
      <c r="B42" s="363">
        <f t="shared" si="1"/>
        <v>290.62495000000001</v>
      </c>
      <c r="C42" s="565">
        <f>'P NP KOLAM KAB'!AJ38/1000</f>
        <v>0</v>
      </c>
      <c r="D42" s="364">
        <f>'P NP KOLAM KAB'!AN38/1000</f>
        <v>31.584979999999998</v>
      </c>
      <c r="E42" s="364">
        <f>'P NP KOLAM KAB'!AL38/1000</f>
        <v>0</v>
      </c>
      <c r="F42" s="364">
        <f>'P NP KOLAM KAB'!P38/1000</f>
        <v>59.344979999999993</v>
      </c>
      <c r="G42" s="364">
        <f>'P NP KOLAM KAB'!AT38/1000</f>
        <v>0</v>
      </c>
      <c r="H42" s="364">
        <f>'P NP KOLAM KAB'!AP38/1000</f>
        <v>0</v>
      </c>
      <c r="I42" s="364">
        <f>'P NP KOLAM KAB'!AD38/1000</f>
        <v>199.69498999999999</v>
      </c>
      <c r="J42" s="828" t="str">
        <f>IFERROR('P NP KOLAM KAB'!#REF!/1000,"-")</f>
        <v>-</v>
      </c>
      <c r="K42" s="831">
        <f>'P NP KOLAM KAB'!F38/1000</f>
        <v>0</v>
      </c>
      <c r="L42" s="364">
        <f>'P NP KOLAM KAB'!L38/1000</f>
        <v>0</v>
      </c>
      <c r="M42" s="364">
        <f>'P NP KOLAM KAB'!D38/1000</f>
        <v>0</v>
      </c>
      <c r="N42" s="364">
        <f>SUM('P NP KOLAM KAB'!H38,'P NP KOLAM KAB'!AB38,'P NP KOLAM KAB'!AV38,'P NP KOLAM KAB'!BP38)/1000</f>
        <v>0</v>
      </c>
      <c r="O42" s="364">
        <f>'P NP KOLAM KAB'!BB38/1000</f>
        <v>0</v>
      </c>
      <c r="P42" s="832">
        <f>'P NP KOLAM KAB'!AX38/1000</f>
        <v>0</v>
      </c>
      <c r="Q42" s="364">
        <f>'P NP KOLAM KAB'!BD38/1000</f>
        <v>0</v>
      </c>
      <c r="R42" s="364">
        <f>'P NP KOLAM KAB'!BJ38/1000</f>
        <v>0</v>
      </c>
      <c r="S42" s="364">
        <f>'P NP KOLAM KAB'!AH38/1000</f>
        <v>0</v>
      </c>
      <c r="T42" s="834">
        <v>0</v>
      </c>
      <c r="U42" s="368"/>
      <c r="V42" s="363">
        <f t="shared" si="2"/>
        <v>290.62495000000001</v>
      </c>
      <c r="W42" s="267">
        <f>'P NP TW'!AL39/1000</f>
        <v>91.944980000000001</v>
      </c>
      <c r="X42" s="267">
        <f>'P NP TW'!AN39/1000</f>
        <v>82.789969999999997</v>
      </c>
      <c r="Y42" s="267">
        <f>'P NP TW'!AP39/1000</f>
        <v>55.365000000000002</v>
      </c>
      <c r="Z42" s="268">
        <f>'P NP TW'!AR39/1000</f>
        <v>60.524999999999999</v>
      </c>
    </row>
    <row r="43" spans="1:26">
      <c r="A43" s="346" t="s">
        <v>143</v>
      </c>
      <c r="B43" s="363">
        <f t="shared" si="1"/>
        <v>143.4</v>
      </c>
      <c r="C43" s="565">
        <f>'P NP KOLAM KAB'!AJ39/1000</f>
        <v>0</v>
      </c>
      <c r="D43" s="364">
        <f>'P NP KOLAM KAB'!AN39/1000</f>
        <v>41.35</v>
      </c>
      <c r="E43" s="364">
        <f>'P NP KOLAM KAB'!AL39/1000</f>
        <v>0</v>
      </c>
      <c r="F43" s="364">
        <f>'P NP KOLAM KAB'!P39/1000</f>
        <v>0</v>
      </c>
      <c r="G43" s="364">
        <f>'P NP KOLAM KAB'!AT39/1000</f>
        <v>0</v>
      </c>
      <c r="H43" s="364">
        <f>'P NP KOLAM KAB'!AP39/1000</f>
        <v>0</v>
      </c>
      <c r="I43" s="364">
        <f>'P NP KOLAM KAB'!AD39/1000</f>
        <v>102.05</v>
      </c>
      <c r="J43" s="828" t="str">
        <f>IFERROR('P NP KOLAM KAB'!#REF!/1000,"-")</f>
        <v>-</v>
      </c>
      <c r="K43" s="831">
        <f>'P NP KOLAM KAB'!F39/1000</f>
        <v>0</v>
      </c>
      <c r="L43" s="364">
        <f>'P NP KOLAM KAB'!L39/1000</f>
        <v>0</v>
      </c>
      <c r="M43" s="364">
        <f>'P NP KOLAM KAB'!D39/1000</f>
        <v>0</v>
      </c>
      <c r="N43" s="364">
        <f>SUM('P NP KOLAM KAB'!H39,'P NP KOLAM KAB'!AB39,'P NP KOLAM KAB'!AV39,'P NP KOLAM KAB'!BP39)/1000</f>
        <v>0</v>
      </c>
      <c r="O43" s="364">
        <f>'P NP KOLAM KAB'!BB39/1000</f>
        <v>0</v>
      </c>
      <c r="P43" s="832">
        <f>'P NP KOLAM KAB'!AX39/1000</f>
        <v>0</v>
      </c>
      <c r="Q43" s="364">
        <f>'P NP KOLAM KAB'!BD39/1000</f>
        <v>0</v>
      </c>
      <c r="R43" s="364">
        <f>'P NP KOLAM KAB'!BJ39/1000</f>
        <v>0</v>
      </c>
      <c r="S43" s="364">
        <f>'P NP KOLAM KAB'!AH39/1000</f>
        <v>0</v>
      </c>
      <c r="T43" s="834">
        <v>0</v>
      </c>
      <c r="U43" s="368"/>
      <c r="V43" s="363">
        <f t="shared" si="2"/>
        <v>143.39999999999998</v>
      </c>
      <c r="W43" s="267">
        <f>'P NP TW'!AL40/1000</f>
        <v>44.5</v>
      </c>
      <c r="X43" s="267">
        <f>'P NP TW'!AN40/1000</f>
        <v>30.6</v>
      </c>
      <c r="Y43" s="267">
        <f>'P NP TW'!AP40/1000</f>
        <v>22.8</v>
      </c>
      <c r="Z43" s="268">
        <f>'P NP TW'!AR40/1000</f>
        <v>45.5</v>
      </c>
    </row>
    <row r="44" spans="1:26">
      <c r="A44" s="346" t="s">
        <v>146</v>
      </c>
      <c r="B44" s="363">
        <f t="shared" si="1"/>
        <v>228.71100000000001</v>
      </c>
      <c r="C44" s="565">
        <f>'P NP KOLAM KAB'!AJ40/1000</f>
        <v>0</v>
      </c>
      <c r="D44" s="364">
        <f>'P NP KOLAM KAB'!AN40/1000</f>
        <v>5.6280000000000001</v>
      </c>
      <c r="E44" s="364">
        <f>'P NP KOLAM KAB'!AL40/1000</f>
        <v>0</v>
      </c>
      <c r="F44" s="364">
        <f>'P NP KOLAM KAB'!P40/1000</f>
        <v>3.1709999999999998</v>
      </c>
      <c r="G44" s="364">
        <f>'P NP KOLAM KAB'!AT40/1000</f>
        <v>0</v>
      </c>
      <c r="H44" s="364">
        <f>'P NP KOLAM KAB'!AP40/1000</f>
        <v>2.7010000000000001</v>
      </c>
      <c r="I44" s="364">
        <f>'P NP KOLAM KAB'!AD40/1000</f>
        <v>217.21100000000001</v>
      </c>
      <c r="J44" s="828" t="str">
        <f>IFERROR('P NP KOLAM KAB'!#REF!/1000,"-")</f>
        <v>-</v>
      </c>
      <c r="K44" s="831">
        <f>'P NP KOLAM KAB'!F40/1000</f>
        <v>0</v>
      </c>
      <c r="L44" s="364">
        <f>'P NP KOLAM KAB'!L40/1000</f>
        <v>0</v>
      </c>
      <c r="M44" s="364">
        <f>'P NP KOLAM KAB'!D40/1000</f>
        <v>0</v>
      </c>
      <c r="N44" s="364">
        <f>SUM('P NP KOLAM KAB'!H40,'P NP KOLAM KAB'!AB40,'P NP KOLAM KAB'!AV40,'P NP KOLAM KAB'!BP40)/1000</f>
        <v>0</v>
      </c>
      <c r="O44" s="364">
        <f>'P NP KOLAM KAB'!BB40/1000</f>
        <v>0</v>
      </c>
      <c r="P44" s="832">
        <f>'P NP KOLAM KAB'!AX40/1000</f>
        <v>0</v>
      </c>
      <c r="Q44" s="364">
        <f>'P NP KOLAM KAB'!BD40/1000</f>
        <v>0</v>
      </c>
      <c r="R44" s="364">
        <f>'P NP KOLAM KAB'!BJ40/1000</f>
        <v>0</v>
      </c>
      <c r="S44" s="364">
        <f>'P NP KOLAM KAB'!AH40/1000</f>
        <v>0</v>
      </c>
      <c r="T44" s="834">
        <v>0</v>
      </c>
      <c r="U44" s="368"/>
      <c r="V44" s="363">
        <f t="shared" si="2"/>
        <v>228.71099999999998</v>
      </c>
      <c r="W44" s="267">
        <f>'P NP TW'!AL41/1000</f>
        <v>57.33</v>
      </c>
      <c r="X44" s="267">
        <f>'P NP TW'!AN41/1000</f>
        <v>56.643999999999998</v>
      </c>
      <c r="Y44" s="267">
        <f>'P NP TW'!AP41/1000</f>
        <v>56.868000000000002</v>
      </c>
      <c r="Z44" s="268">
        <f>'P NP TW'!AR41/1000</f>
        <v>57.869</v>
      </c>
    </row>
    <row r="45" spans="1:26">
      <c r="A45" s="346" t="s">
        <v>145</v>
      </c>
      <c r="B45" s="363">
        <f t="shared" si="1"/>
        <v>35.863</v>
      </c>
      <c r="C45" s="565">
        <f>'P NP KOLAM KAB'!AJ41/1000</f>
        <v>0</v>
      </c>
      <c r="D45" s="364">
        <f>'P NP KOLAM KAB'!AN41/1000</f>
        <v>0</v>
      </c>
      <c r="E45" s="364">
        <f>'P NP KOLAM KAB'!AL41/1000</f>
        <v>0</v>
      </c>
      <c r="F45" s="364">
        <f>'P NP KOLAM KAB'!P41/1000</f>
        <v>0</v>
      </c>
      <c r="G45" s="364">
        <f>'P NP KOLAM KAB'!AT41/1000</f>
        <v>0</v>
      </c>
      <c r="H45" s="364">
        <f>'P NP KOLAM KAB'!AP41/1000</f>
        <v>0.03</v>
      </c>
      <c r="I45" s="364">
        <f>'P NP KOLAM KAB'!AD41/1000</f>
        <v>35.832999999999998</v>
      </c>
      <c r="J45" s="828" t="str">
        <f>IFERROR('P NP KOLAM KAB'!#REF!/1000,"-")</f>
        <v>-</v>
      </c>
      <c r="K45" s="831">
        <f>'P NP KOLAM KAB'!F41/1000</f>
        <v>0</v>
      </c>
      <c r="L45" s="364">
        <f>'P NP KOLAM KAB'!L41/1000</f>
        <v>0</v>
      </c>
      <c r="M45" s="364">
        <f>'P NP KOLAM KAB'!D41/1000</f>
        <v>0</v>
      </c>
      <c r="N45" s="364">
        <f>SUM('P NP KOLAM KAB'!H41,'P NP KOLAM KAB'!AB41,'P NP KOLAM KAB'!AV41,'P NP KOLAM KAB'!BP41)/1000</f>
        <v>0</v>
      </c>
      <c r="O45" s="364">
        <f>'P NP KOLAM KAB'!BB41/1000</f>
        <v>0</v>
      </c>
      <c r="P45" s="832">
        <f>'P NP KOLAM KAB'!AX41/1000</f>
        <v>0</v>
      </c>
      <c r="Q45" s="364">
        <f>'P NP KOLAM KAB'!BD41/1000</f>
        <v>0</v>
      </c>
      <c r="R45" s="364">
        <f>'P NP KOLAM KAB'!BJ41/1000</f>
        <v>0</v>
      </c>
      <c r="S45" s="364">
        <f>'P NP KOLAM KAB'!AH41/1000</f>
        <v>0</v>
      </c>
      <c r="T45" s="834">
        <v>0</v>
      </c>
      <c r="U45" s="368"/>
      <c r="V45" s="363">
        <f>SUM(W45:Z45)</f>
        <v>35.863</v>
      </c>
      <c r="W45" s="267">
        <f>'P NP TW'!AL42/1000</f>
        <v>12.483000000000001</v>
      </c>
      <c r="X45" s="267">
        <f>'P NP TW'!AN42/1000</f>
        <v>10.423</v>
      </c>
      <c r="Y45" s="267">
        <f>'P NP TW'!AP42/1000</f>
        <v>5.2770000000000001</v>
      </c>
      <c r="Z45" s="268">
        <f>'P NP TW'!AR42/1000</f>
        <v>7.68</v>
      </c>
    </row>
    <row r="46" spans="1:26">
      <c r="A46" s="346" t="s">
        <v>144</v>
      </c>
      <c r="B46" s="363">
        <f t="shared" si="1"/>
        <v>199.1122</v>
      </c>
      <c r="C46" s="565">
        <f>'P NP KOLAM KAB'!AJ42/1000</f>
        <v>0</v>
      </c>
      <c r="D46" s="364">
        <f>'P NP KOLAM KAB'!AN42/1000</f>
        <v>12.300700000000001</v>
      </c>
      <c r="E46" s="364">
        <f>'P NP KOLAM KAB'!AL42/1000</f>
        <v>0</v>
      </c>
      <c r="F46" s="364">
        <f>'P NP KOLAM KAB'!P42/1000</f>
        <v>10.694000000000001</v>
      </c>
      <c r="G46" s="364">
        <f>'P NP KOLAM KAB'!AT42/1000</f>
        <v>0</v>
      </c>
      <c r="H46" s="364">
        <f>'P NP KOLAM KAB'!AP42/1000</f>
        <v>0</v>
      </c>
      <c r="I46" s="364">
        <f>'P NP KOLAM KAB'!AD42/1000</f>
        <v>160.5575</v>
      </c>
      <c r="J46" s="828" t="str">
        <f>IFERROR('P NP KOLAM KAB'!#REF!/1000,"-")</f>
        <v>-</v>
      </c>
      <c r="K46" s="831">
        <f>'P NP KOLAM KAB'!F42/1000</f>
        <v>0</v>
      </c>
      <c r="L46" s="364">
        <f>'P NP KOLAM KAB'!L42/1000</f>
        <v>0</v>
      </c>
      <c r="M46" s="364">
        <f>'P NP KOLAM KAB'!D42/1000</f>
        <v>0</v>
      </c>
      <c r="N46" s="364">
        <f>SUM('P NP KOLAM KAB'!H42,'P NP KOLAM KAB'!AB42,'P NP KOLAM KAB'!AV42,'P NP KOLAM KAB'!BP42)/1000</f>
        <v>15.56</v>
      </c>
      <c r="O46" s="364">
        <f>'P NP KOLAM KAB'!BB42/1000</f>
        <v>0</v>
      </c>
      <c r="P46" s="832">
        <f>'P NP KOLAM KAB'!AX42/1000</f>
        <v>0</v>
      </c>
      <c r="Q46" s="364">
        <f>'P NP KOLAM KAB'!BD42/1000</f>
        <v>0</v>
      </c>
      <c r="R46" s="364">
        <f>'P NP KOLAM KAB'!BJ42/1000</f>
        <v>0</v>
      </c>
      <c r="S46" s="364">
        <f>'P NP KOLAM KAB'!AH42/1000</f>
        <v>0</v>
      </c>
      <c r="T46" s="834">
        <v>0</v>
      </c>
      <c r="U46" s="368"/>
      <c r="V46" s="363">
        <f>SUM(W46:Z46)</f>
        <v>199.11219999999997</v>
      </c>
      <c r="W46" s="267">
        <f>'P NP TW'!AL43/1000</f>
        <v>54.587199999999996</v>
      </c>
      <c r="X46" s="267">
        <f>'P NP TW'!AN43/1000</f>
        <v>44.994999999999997</v>
      </c>
      <c r="Y46" s="267">
        <f>'P NP TW'!AP43/1000</f>
        <v>41.301000000000002</v>
      </c>
      <c r="Z46" s="268">
        <f>'P NP TW'!AR43/1000</f>
        <v>58.228999999999999</v>
      </c>
    </row>
    <row r="47" spans="1:26" ht="14.5" thickBot="1">
      <c r="A47" s="347" t="s">
        <v>148</v>
      </c>
      <c r="B47" s="328">
        <f t="shared" si="1"/>
        <v>4674.6779999999999</v>
      </c>
      <c r="C47" s="565">
        <f>'P NP KOLAM KAB'!AJ43/1000</f>
        <v>0</v>
      </c>
      <c r="D47" s="364">
        <f>'P NP KOLAM KAB'!AN43/1000</f>
        <v>1397.8589999999999</v>
      </c>
      <c r="E47" s="364">
        <f>'P NP KOLAM KAB'!AL43/1000</f>
        <v>0</v>
      </c>
      <c r="F47" s="364">
        <f>'P NP KOLAM KAB'!P43/1000</f>
        <v>0</v>
      </c>
      <c r="G47" s="364">
        <f>'P NP KOLAM KAB'!AT43/1000</f>
        <v>0</v>
      </c>
      <c r="H47" s="364">
        <f>'P NP KOLAM KAB'!AP43/1000</f>
        <v>5.0259999999999998</v>
      </c>
      <c r="I47" s="364">
        <f>'P NP KOLAM KAB'!AD43/1000</f>
        <v>2200.0650000000001</v>
      </c>
      <c r="J47" s="828" t="str">
        <f>IFERROR('P NP KOLAM KAB'!#REF!/1000,"-")</f>
        <v>-</v>
      </c>
      <c r="K47" s="831">
        <f>'P NP KOLAM KAB'!F43/1000</f>
        <v>0</v>
      </c>
      <c r="L47" s="364">
        <f>'P NP KOLAM KAB'!L43/1000</f>
        <v>0</v>
      </c>
      <c r="M47" s="364">
        <f>'P NP KOLAM KAB'!D43/1000</f>
        <v>1071.7280000000001</v>
      </c>
      <c r="N47" s="364">
        <f>SUM('P NP KOLAM KAB'!H43,'P NP KOLAM KAB'!AB43,'P NP KOLAM KAB'!AV43,'P NP KOLAM KAB'!BP43)/1000</f>
        <v>0</v>
      </c>
      <c r="O47" s="364">
        <f>'P NP KOLAM KAB'!BB43/1000</f>
        <v>0</v>
      </c>
      <c r="P47" s="832">
        <f>'P NP KOLAM KAB'!AX43/1000</f>
        <v>0</v>
      </c>
      <c r="Q47" s="364">
        <f>'P NP KOLAM KAB'!BD43/1000</f>
        <v>0</v>
      </c>
      <c r="R47" s="364">
        <f>'P NP KOLAM KAB'!BJ43/1000</f>
        <v>0</v>
      </c>
      <c r="S47" s="364">
        <f>'P NP KOLAM KAB'!AH43/1000</f>
        <v>0</v>
      </c>
      <c r="T47" s="834">
        <v>0</v>
      </c>
      <c r="U47" s="368"/>
      <c r="V47" s="561">
        <f t="shared" si="2"/>
        <v>4674.6779999999999</v>
      </c>
      <c r="W47" s="274">
        <f>'P NP TW'!AL44/1000</f>
        <v>1258.7139999999999</v>
      </c>
      <c r="X47" s="274">
        <f>'P NP TW'!AN44/1000</f>
        <v>1045.0940000000001</v>
      </c>
      <c r="Y47" s="274">
        <f>'P NP TW'!AP44/1000</f>
        <v>1163.31</v>
      </c>
      <c r="Z47" s="275">
        <f>'P NP TW'!AR44/1000</f>
        <v>1207.56</v>
      </c>
    </row>
    <row r="48" spans="1:26" ht="18" customHeight="1">
      <c r="A48" s="945" t="s">
        <v>370</v>
      </c>
      <c r="B48" s="946"/>
      <c r="C48" s="946"/>
      <c r="D48" s="946"/>
      <c r="E48" s="946"/>
      <c r="F48" s="946"/>
      <c r="G48" s="946"/>
      <c r="H48" s="946"/>
      <c r="I48" s="946"/>
      <c r="J48" s="946"/>
      <c r="K48" s="947"/>
      <c r="L48" s="947"/>
      <c r="M48" s="947"/>
      <c r="N48" s="947"/>
      <c r="O48" s="947"/>
      <c r="P48" s="947"/>
      <c r="Q48" s="947"/>
      <c r="V48" s="942" t="s">
        <v>478</v>
      </c>
      <c r="W48" s="943"/>
      <c r="X48" s="943"/>
      <c r="Y48" s="943"/>
      <c r="Z48" s="527"/>
    </row>
    <row r="49" spans="1:26">
      <c r="B49" s="211" t="s">
        <v>371</v>
      </c>
      <c r="C49" s="212" t="s">
        <v>372</v>
      </c>
      <c r="K49" s="213"/>
      <c r="L49" s="213"/>
      <c r="M49" s="213"/>
      <c r="V49" s="525" t="s">
        <v>479</v>
      </c>
      <c r="W49" s="526" t="s">
        <v>480</v>
      </c>
      <c r="X49" s="527"/>
      <c r="Y49" s="527"/>
      <c r="Z49" s="528"/>
    </row>
    <row r="50" spans="1:26" ht="14.5">
      <c r="B50" s="214"/>
      <c r="C50" s="215" t="s">
        <v>373</v>
      </c>
      <c r="E50" s="219"/>
      <c r="F50" s="219"/>
      <c r="G50" s="219"/>
      <c r="H50" s="219"/>
      <c r="I50" s="216"/>
      <c r="K50" s="216"/>
      <c r="L50" s="216"/>
      <c r="M50" s="216"/>
      <c r="N50" s="216"/>
      <c r="O50" s="216"/>
      <c r="P50" s="216"/>
      <c r="Q50" s="216"/>
      <c r="R50" s="216"/>
      <c r="S50" s="216"/>
      <c r="T50" s="216"/>
      <c r="V50" s="529"/>
      <c r="W50" s="530" t="s">
        <v>481</v>
      </c>
      <c r="X50" s="531"/>
      <c r="Y50" s="527"/>
      <c r="Z50" s="531"/>
    </row>
    <row r="51" spans="1:26" ht="12" customHeight="1">
      <c r="H51" s="218"/>
      <c r="I51" s="929" t="s">
        <v>309</v>
      </c>
      <c r="J51" s="929"/>
      <c r="N51" s="218"/>
      <c r="O51" s="218"/>
      <c r="P51" s="218"/>
      <c r="Q51" s="218"/>
      <c r="R51" s="218"/>
      <c r="S51" s="218"/>
      <c r="T51" s="217"/>
      <c r="V51" s="527"/>
      <c r="W51" s="527"/>
      <c r="X51" s="527"/>
      <c r="Y51" s="527"/>
      <c r="Z51" s="532" t="s">
        <v>309</v>
      </c>
    </row>
    <row r="52" spans="1:26" ht="15" thickBot="1">
      <c r="H52" s="219"/>
      <c r="I52" s="938" t="s">
        <v>310</v>
      </c>
      <c r="J52" s="938"/>
      <c r="K52" s="348" t="s">
        <v>374</v>
      </c>
      <c r="N52" s="219"/>
      <c r="O52" s="219"/>
      <c r="P52" s="219"/>
      <c r="Q52" s="219"/>
      <c r="R52" s="219"/>
      <c r="S52" s="219"/>
      <c r="T52" s="220"/>
      <c r="V52" s="527"/>
      <c r="W52" s="527"/>
      <c r="X52" s="527"/>
      <c r="Y52" s="527"/>
      <c r="Z52" s="562" t="s">
        <v>310</v>
      </c>
    </row>
    <row r="53" spans="1:26" ht="16" customHeight="1">
      <c r="A53" s="221"/>
      <c r="B53" s="280"/>
      <c r="C53" s="223"/>
      <c r="D53" s="223"/>
      <c r="E53" s="944" t="s">
        <v>265</v>
      </c>
      <c r="F53" s="944"/>
      <c r="G53" s="224"/>
      <c r="H53" s="225"/>
      <c r="I53" s="366"/>
      <c r="J53" s="226"/>
      <c r="K53" s="223"/>
      <c r="L53" s="223"/>
      <c r="M53" s="223"/>
      <c r="N53" s="223"/>
      <c r="O53" s="223"/>
      <c r="P53" s="223"/>
      <c r="Q53" s="223"/>
      <c r="R53" s="223"/>
      <c r="S53" s="223"/>
      <c r="T53" s="226"/>
      <c r="V53" s="553"/>
      <c r="W53" s="535" t="s">
        <v>266</v>
      </c>
      <c r="X53" s="536" t="s">
        <v>267</v>
      </c>
      <c r="Y53" s="534"/>
      <c r="Z53" s="537"/>
    </row>
    <row r="54" spans="1:26" ht="14.15" customHeight="1">
      <c r="A54" s="230" t="s">
        <v>103</v>
      </c>
      <c r="B54" s="285" t="s">
        <v>104</v>
      </c>
      <c r="C54" s="233" t="s">
        <v>268</v>
      </c>
      <c r="D54" s="234" t="s">
        <v>16</v>
      </c>
      <c r="E54" s="233" t="s">
        <v>15</v>
      </c>
      <c r="F54" s="233" t="s">
        <v>269</v>
      </c>
      <c r="G54" s="233" t="s">
        <v>20</v>
      </c>
      <c r="H54" s="233" t="s">
        <v>17</v>
      </c>
      <c r="I54" s="361" t="s">
        <v>13</v>
      </c>
      <c r="J54" s="236" t="s">
        <v>19</v>
      </c>
      <c r="K54" s="233" t="s">
        <v>2</v>
      </c>
      <c r="L54" s="233" t="s">
        <v>6</v>
      </c>
      <c r="M54" s="233" t="s">
        <v>1</v>
      </c>
      <c r="N54" s="233" t="s">
        <v>270</v>
      </c>
      <c r="O54" s="233" t="s">
        <v>326</v>
      </c>
      <c r="P54" s="233" t="s">
        <v>271</v>
      </c>
      <c r="Q54" s="233" t="s">
        <v>375</v>
      </c>
      <c r="R54" s="233" t="s">
        <v>273</v>
      </c>
      <c r="S54" s="233" t="s">
        <v>679</v>
      </c>
      <c r="T54" s="236" t="s">
        <v>274</v>
      </c>
      <c r="V54" s="554" t="s">
        <v>104</v>
      </c>
      <c r="W54" s="538" t="s">
        <v>275</v>
      </c>
      <c r="X54" s="538" t="s">
        <v>276</v>
      </c>
      <c r="Y54" s="538" t="s">
        <v>277</v>
      </c>
      <c r="Z54" s="539" t="s">
        <v>278</v>
      </c>
    </row>
    <row r="55" spans="1:26">
      <c r="A55" s="239" t="s">
        <v>105</v>
      </c>
      <c r="B55" s="289" t="s">
        <v>106</v>
      </c>
      <c r="C55" s="241" t="s">
        <v>360</v>
      </c>
      <c r="D55" s="245" t="s">
        <v>280</v>
      </c>
      <c r="E55" s="241" t="s">
        <v>281</v>
      </c>
      <c r="F55" s="241" t="s">
        <v>361</v>
      </c>
      <c r="G55" s="241" t="s">
        <v>362</v>
      </c>
      <c r="H55" s="241" t="s">
        <v>363</v>
      </c>
      <c r="I55" s="241" t="s">
        <v>363</v>
      </c>
      <c r="J55" s="243" t="s">
        <v>364</v>
      </c>
      <c r="K55" s="241" t="s">
        <v>287</v>
      </c>
      <c r="L55" s="241" t="s">
        <v>365</v>
      </c>
      <c r="M55" s="241" t="s">
        <v>285</v>
      </c>
      <c r="N55" s="245" t="s">
        <v>289</v>
      </c>
      <c r="O55" s="241" t="s">
        <v>326</v>
      </c>
      <c r="P55" s="241" t="s">
        <v>290</v>
      </c>
      <c r="Q55" s="241" t="s">
        <v>376</v>
      </c>
      <c r="R55" s="241" t="s">
        <v>367</v>
      </c>
      <c r="S55" s="241" t="s">
        <v>680</v>
      </c>
      <c r="T55" s="243" t="s">
        <v>289</v>
      </c>
      <c r="U55" s="293"/>
      <c r="V55" s="555" t="s">
        <v>106</v>
      </c>
      <c r="W55" s="540" t="s">
        <v>293</v>
      </c>
      <c r="X55" s="540" t="s">
        <v>294</v>
      </c>
      <c r="Y55" s="540" t="s">
        <v>295</v>
      </c>
      <c r="Z55" s="541" t="s">
        <v>296</v>
      </c>
    </row>
    <row r="56" spans="1:26">
      <c r="A56" s="246"/>
      <c r="B56" s="294"/>
      <c r="C56" s="248" t="s">
        <v>368</v>
      </c>
      <c r="D56" s="250"/>
      <c r="E56" s="248" t="s">
        <v>297</v>
      </c>
      <c r="F56" s="248"/>
      <c r="G56" s="249"/>
      <c r="H56" s="249"/>
      <c r="I56" s="249"/>
      <c r="J56" s="253"/>
      <c r="K56" s="249"/>
      <c r="L56" s="248"/>
      <c r="M56" s="248"/>
      <c r="N56" s="249"/>
      <c r="O56" s="249"/>
      <c r="P56" s="248" t="s">
        <v>369</v>
      </c>
      <c r="Q56" s="248"/>
      <c r="R56" s="249"/>
      <c r="S56" s="249"/>
      <c r="T56" s="253"/>
      <c r="U56" s="293"/>
      <c r="V56" s="556"/>
      <c r="W56" s="542"/>
      <c r="X56" s="542"/>
      <c r="Y56" s="542"/>
      <c r="Z56" s="543"/>
    </row>
    <row r="57" spans="1:26">
      <c r="A57" s="255" t="s">
        <v>111</v>
      </c>
      <c r="B57" s="367">
        <f>SUM(B58:B95)</f>
        <v>7160588818.2689142</v>
      </c>
      <c r="C57" s="300">
        <f>SUM(C58:C95)</f>
        <v>93205662.211789981</v>
      </c>
      <c r="D57" s="300">
        <f t="shared" ref="D57:T57" si="3">SUM(D58:D95)</f>
        <v>551418462.05495596</v>
      </c>
      <c r="E57" s="300">
        <f t="shared" si="3"/>
        <v>62242582.352229565</v>
      </c>
      <c r="F57" s="300">
        <f t="shared" si="3"/>
        <v>1068931897.6225408</v>
      </c>
      <c r="G57" s="300">
        <f t="shared" si="3"/>
        <v>101838359.15618733</v>
      </c>
      <c r="H57" s="300">
        <f t="shared" si="3"/>
        <v>518420506.49985027</v>
      </c>
      <c r="I57" s="300">
        <f t="shared" si="3"/>
        <v>2911529171.2117858</v>
      </c>
      <c r="J57" s="301">
        <f t="shared" si="3"/>
        <v>0</v>
      </c>
      <c r="K57" s="300">
        <f t="shared" si="3"/>
        <v>88378650</v>
      </c>
      <c r="L57" s="300">
        <f t="shared" si="3"/>
        <v>9522809</v>
      </c>
      <c r="M57" s="300">
        <f t="shared" si="3"/>
        <v>1127615914.8559194</v>
      </c>
      <c r="N57" s="300">
        <f t="shared" si="3"/>
        <v>25155125.303656366</v>
      </c>
      <c r="O57" s="300">
        <f t="shared" si="3"/>
        <v>602025678</v>
      </c>
      <c r="P57" s="300">
        <f t="shared" si="3"/>
        <v>0</v>
      </c>
      <c r="Q57" s="300">
        <f t="shared" si="3"/>
        <v>0</v>
      </c>
      <c r="R57" s="300">
        <f t="shared" si="3"/>
        <v>19500</v>
      </c>
      <c r="S57" s="300">
        <f t="shared" si="3"/>
        <v>284500</v>
      </c>
      <c r="T57" s="301">
        <f t="shared" si="3"/>
        <v>0</v>
      </c>
      <c r="V57" s="299">
        <f>SUM(V58:V95)</f>
        <v>7160588868.2689142</v>
      </c>
      <c r="W57" s="300">
        <f>SUM(W58:W95)</f>
        <v>1901094972.0177977</v>
      </c>
      <c r="X57" s="300">
        <f>SUM(X58:X95)</f>
        <v>2199849062.8638468</v>
      </c>
      <c r="Y57" s="300">
        <f>SUM(Y58:Y95)</f>
        <v>1466531459.9774098</v>
      </c>
      <c r="Z57" s="301">
        <f>SUM(Z58:Z95)</f>
        <v>1593113373.4098616</v>
      </c>
    </row>
    <row r="58" spans="1:26">
      <c r="A58" s="346" t="s">
        <v>137</v>
      </c>
      <c r="B58" s="363">
        <f t="shared" ref="B58:B95" si="4">SUM(C58:T58)</f>
        <v>19204750</v>
      </c>
      <c r="C58" s="563">
        <f>'P NP KOLAM KAB'!AK6</f>
        <v>0</v>
      </c>
      <c r="D58" s="564">
        <f>'P NP KOLAM KAB'!AO6</f>
        <v>3318000</v>
      </c>
      <c r="E58" s="564">
        <f>'P NP KOLAM KAB'!AM6</f>
        <v>506250</v>
      </c>
      <c r="F58" s="564">
        <f>'P NP KOLAM KAB'!Q6</f>
        <v>0</v>
      </c>
      <c r="G58" s="564">
        <f>'P NP KOLAM KAB'!AU6</f>
        <v>0</v>
      </c>
      <c r="H58" s="564">
        <f>'P NP KOLAM KAB'!AQ6</f>
        <v>0</v>
      </c>
      <c r="I58" s="564">
        <f>'P NP KOLAM KAB'!AE6</f>
        <v>8628000</v>
      </c>
      <c r="J58" s="827" t="str">
        <f>IFERROR('P NP KOLAM KAB'!#REF!/1000,"-")</f>
        <v>-</v>
      </c>
      <c r="K58" s="830">
        <f>'P NP KOLAM KAB'!G6</f>
        <v>0</v>
      </c>
      <c r="L58" s="564">
        <f>'P NP KOLAM KAB'!M6</f>
        <v>0</v>
      </c>
      <c r="M58" s="564">
        <f>'P NP KOLAM KAB'!E6</f>
        <v>6752500</v>
      </c>
      <c r="N58" s="564">
        <f>SUM('P NP KOLAM KAB'!I6,'P NP KOLAM KAB'!AC6,'P NP KOLAM KAB'!AW6,'P NP KOLAM KAB'!BQ6)</f>
        <v>0</v>
      </c>
      <c r="O58" s="564">
        <f>'P NP KOLAM KAB'!BC6</f>
        <v>0</v>
      </c>
      <c r="P58" s="829">
        <f>'P NP KOLAM KAB'!AY6</f>
        <v>0</v>
      </c>
      <c r="Q58" s="564">
        <f>'P NP KOLAM KAB'!BE6</f>
        <v>0</v>
      </c>
      <c r="R58" s="564">
        <f>'P NP KOLAM KAB'!BK6</f>
        <v>0</v>
      </c>
      <c r="S58" s="564">
        <f>'P NP KOLAM KAB'!AI6</f>
        <v>0</v>
      </c>
      <c r="T58" s="833">
        <v>0</v>
      </c>
      <c r="U58" s="307"/>
      <c r="V58" s="363">
        <f>SUM(W58:Z58)</f>
        <v>19204750</v>
      </c>
      <c r="W58" s="350">
        <f>'P NP TW'!AM7</f>
        <v>7611950</v>
      </c>
      <c r="X58" s="350">
        <f>'P NP TW'!AO7</f>
        <v>3135250</v>
      </c>
      <c r="Y58" s="350">
        <f>'P NP TW'!AQ7</f>
        <v>3128650</v>
      </c>
      <c r="Z58" s="351">
        <f>'P NP TW'!AS7</f>
        <v>5328900</v>
      </c>
    </row>
    <row r="59" spans="1:26">
      <c r="A59" s="346" t="s">
        <v>121</v>
      </c>
      <c r="B59" s="363">
        <f t="shared" si="4"/>
        <v>211580220</v>
      </c>
      <c r="C59" s="565">
        <f>'P NP KOLAM KAB'!AK7</f>
        <v>3527125</v>
      </c>
      <c r="D59" s="364">
        <f>'P NP KOLAM KAB'!AO7</f>
        <v>2959740</v>
      </c>
      <c r="E59" s="364">
        <f>'P NP KOLAM KAB'!AM7</f>
        <v>988200</v>
      </c>
      <c r="F59" s="364">
        <f>'P NP KOLAM KAB'!Q7</f>
        <v>6206550</v>
      </c>
      <c r="G59" s="364">
        <f>'P NP KOLAM KAB'!AU7</f>
        <v>365245</v>
      </c>
      <c r="H59" s="364">
        <f>'P NP KOLAM KAB'!AQ7</f>
        <v>52142660</v>
      </c>
      <c r="I59" s="364">
        <f>'P NP KOLAM KAB'!AE7</f>
        <v>134322800</v>
      </c>
      <c r="J59" s="828" t="str">
        <f>IFERROR('P NP KOLAM KAB'!#REF!/1000,"-")</f>
        <v>-</v>
      </c>
      <c r="K59" s="831">
        <f>'P NP KOLAM KAB'!G7</f>
        <v>494200</v>
      </c>
      <c r="L59" s="364">
        <f>'P NP KOLAM KAB'!M7</f>
        <v>175600</v>
      </c>
      <c r="M59" s="364">
        <f>'P NP KOLAM KAB'!E7</f>
        <v>0</v>
      </c>
      <c r="N59" s="364">
        <f>SUM('P NP KOLAM KAB'!I7,'P NP KOLAM KAB'!AC7,'P NP KOLAM KAB'!AW7,'P NP KOLAM KAB'!BQ7)</f>
        <v>10398100</v>
      </c>
      <c r="O59" s="364">
        <f>'P NP KOLAM KAB'!BC7</f>
        <v>0</v>
      </c>
      <c r="P59" s="832">
        <f>'P NP KOLAM KAB'!AY7</f>
        <v>0</v>
      </c>
      <c r="Q59" s="364">
        <f>'P NP KOLAM KAB'!BE7</f>
        <v>0</v>
      </c>
      <c r="R59" s="364">
        <f>'P NP KOLAM KAB'!BK7</f>
        <v>0</v>
      </c>
      <c r="S59" s="364">
        <f>'P NP KOLAM KAB'!AI7</f>
        <v>0</v>
      </c>
      <c r="T59" s="833">
        <v>0</v>
      </c>
      <c r="U59" s="306"/>
      <c r="V59" s="363">
        <f t="shared" ref="V59:V95" si="5">SUM(W59:Z59)</f>
        <v>211580220</v>
      </c>
      <c r="W59" s="350">
        <f>'P NP TW'!AM8</f>
        <v>50955415</v>
      </c>
      <c r="X59" s="350">
        <f>'P NP TW'!AO8</f>
        <v>47920575</v>
      </c>
      <c r="Y59" s="350">
        <f>'P NP TW'!AQ8</f>
        <v>53757590</v>
      </c>
      <c r="Z59" s="351">
        <f>'P NP TW'!AS8</f>
        <v>58946640</v>
      </c>
    </row>
    <row r="60" spans="1:26">
      <c r="A60" s="346" t="s">
        <v>116</v>
      </c>
      <c r="B60" s="363">
        <f t="shared" si="4"/>
        <v>385112100</v>
      </c>
      <c r="C60" s="565">
        <f>'P NP KOLAM KAB'!AK8</f>
        <v>0</v>
      </c>
      <c r="D60" s="364">
        <f>'P NP KOLAM KAB'!AO8</f>
        <v>17150600</v>
      </c>
      <c r="E60" s="364">
        <f>'P NP KOLAM KAB'!AM8</f>
        <v>0</v>
      </c>
      <c r="F60" s="364">
        <f>'P NP KOLAM KAB'!Q8</f>
        <v>209730200</v>
      </c>
      <c r="G60" s="364">
        <f>'P NP KOLAM KAB'!AU8</f>
        <v>0</v>
      </c>
      <c r="H60" s="364">
        <f>'P NP KOLAM KAB'!AQ8</f>
        <v>2453500</v>
      </c>
      <c r="I60" s="364">
        <f>'P NP KOLAM KAB'!AE8</f>
        <v>155777800</v>
      </c>
      <c r="J60" s="828" t="str">
        <f>IFERROR('P NP KOLAM KAB'!#REF!/1000,"-")</f>
        <v>-</v>
      </c>
      <c r="K60" s="831">
        <f>'P NP KOLAM KAB'!G8</f>
        <v>0</v>
      </c>
      <c r="L60" s="364">
        <f>'P NP KOLAM KAB'!M8</f>
        <v>0</v>
      </c>
      <c r="M60" s="364">
        <f>'P NP KOLAM KAB'!E8</f>
        <v>0</v>
      </c>
      <c r="N60" s="364">
        <f>SUM('P NP KOLAM KAB'!I8,'P NP KOLAM KAB'!AC8,'P NP KOLAM KAB'!AW8,'P NP KOLAM KAB'!BQ8)</f>
        <v>0</v>
      </c>
      <c r="O60" s="364">
        <f>'P NP KOLAM KAB'!BC8</f>
        <v>0</v>
      </c>
      <c r="P60" s="832">
        <f>'P NP KOLAM KAB'!AY8</f>
        <v>0</v>
      </c>
      <c r="Q60" s="364">
        <f>'P NP KOLAM KAB'!BE8</f>
        <v>0</v>
      </c>
      <c r="R60" s="364">
        <f>'P NP KOLAM KAB'!BK8</f>
        <v>0</v>
      </c>
      <c r="S60" s="364">
        <f>'P NP KOLAM KAB'!AI8</f>
        <v>0</v>
      </c>
      <c r="T60" s="834">
        <v>0</v>
      </c>
      <c r="U60" s="306"/>
      <c r="V60" s="363">
        <f t="shared" si="5"/>
        <v>385112100</v>
      </c>
      <c r="W60" s="350">
        <f>'P NP TW'!AM9</f>
        <v>88022700</v>
      </c>
      <c r="X60" s="350">
        <f>'P NP TW'!AO9</f>
        <v>95119800</v>
      </c>
      <c r="Y60" s="350">
        <f>'P NP TW'!AQ9</f>
        <v>93506500</v>
      </c>
      <c r="Z60" s="351">
        <f>'P NP TW'!AS9</f>
        <v>108463100</v>
      </c>
    </row>
    <row r="61" spans="1:26">
      <c r="A61" s="346" t="s">
        <v>133</v>
      </c>
      <c r="B61" s="363">
        <f t="shared" si="4"/>
        <v>105656405.5</v>
      </c>
      <c r="C61" s="565">
        <f>'P NP KOLAM KAB'!AK9</f>
        <v>253005</v>
      </c>
      <c r="D61" s="364">
        <f>'P NP KOLAM KAB'!AO9</f>
        <v>25460375</v>
      </c>
      <c r="E61" s="364">
        <f>'P NP KOLAM KAB'!AM9</f>
        <v>0</v>
      </c>
      <c r="F61" s="364">
        <f>'P NP KOLAM KAB'!Q9</f>
        <v>2058930</v>
      </c>
      <c r="G61" s="364">
        <f>'P NP KOLAM KAB'!AU9</f>
        <v>311460</v>
      </c>
      <c r="H61" s="364">
        <f>'P NP KOLAM KAB'!AQ9</f>
        <v>4885218</v>
      </c>
      <c r="I61" s="364">
        <f>'P NP KOLAM KAB'!AE9</f>
        <v>72418596.5</v>
      </c>
      <c r="J61" s="828" t="str">
        <f>IFERROR('P NP KOLAM KAB'!#REF!/1000,"-")</f>
        <v>-</v>
      </c>
      <c r="K61" s="831">
        <f>'P NP KOLAM KAB'!G9</f>
        <v>0</v>
      </c>
      <c r="L61" s="364">
        <f>'P NP KOLAM KAB'!M9</f>
        <v>0</v>
      </c>
      <c r="M61" s="364">
        <f>'P NP KOLAM KAB'!E9</f>
        <v>268821</v>
      </c>
      <c r="N61" s="364">
        <f>SUM('P NP KOLAM KAB'!I9,'P NP KOLAM KAB'!AC9,'P NP KOLAM KAB'!AW9,'P NP KOLAM KAB'!BQ9)</f>
        <v>0</v>
      </c>
      <c r="O61" s="364">
        <f>'P NP KOLAM KAB'!BC9</f>
        <v>0</v>
      </c>
      <c r="P61" s="832">
        <f>'P NP KOLAM KAB'!AY9</f>
        <v>0</v>
      </c>
      <c r="Q61" s="364">
        <f>'P NP KOLAM KAB'!BE9</f>
        <v>0</v>
      </c>
      <c r="R61" s="364">
        <f>'P NP KOLAM KAB'!BK9</f>
        <v>0</v>
      </c>
      <c r="S61" s="364">
        <f>'P NP KOLAM KAB'!AI9</f>
        <v>0</v>
      </c>
      <c r="T61" s="834">
        <v>0</v>
      </c>
      <c r="U61" s="306"/>
      <c r="V61" s="363">
        <f t="shared" si="5"/>
        <v>105656405.5</v>
      </c>
      <c r="W61" s="350">
        <f>'P NP TW'!AM10</f>
        <v>30910241</v>
      </c>
      <c r="X61" s="350">
        <f>'P NP TW'!AO10</f>
        <v>25122915</v>
      </c>
      <c r="Y61" s="350">
        <f>'P NP TW'!AQ10</f>
        <v>21421481.5</v>
      </c>
      <c r="Z61" s="351">
        <f>'P NP TW'!AS10</f>
        <v>28201768</v>
      </c>
    </row>
    <row r="62" spans="1:26">
      <c r="A62" s="346" t="s">
        <v>122</v>
      </c>
      <c r="B62" s="363">
        <f t="shared" si="4"/>
        <v>18251469</v>
      </c>
      <c r="C62" s="565">
        <f>'P NP KOLAM KAB'!AK10</f>
        <v>66150</v>
      </c>
      <c r="D62" s="364">
        <f>'P NP KOLAM KAB'!AO10</f>
        <v>1942920</v>
      </c>
      <c r="E62" s="364">
        <f>'P NP KOLAM KAB'!AM10</f>
        <v>25260</v>
      </c>
      <c r="F62" s="364">
        <f>'P NP KOLAM KAB'!Q10</f>
        <v>1554884</v>
      </c>
      <c r="G62" s="364">
        <f>'P NP KOLAM KAB'!AU10</f>
        <v>21400</v>
      </c>
      <c r="H62" s="364">
        <f>'P NP KOLAM KAB'!AQ10</f>
        <v>4995</v>
      </c>
      <c r="I62" s="364">
        <f>'P NP KOLAM KAB'!AE10</f>
        <v>14635860</v>
      </c>
      <c r="J62" s="828" t="str">
        <f>IFERROR('P NP KOLAM KAB'!#REF!/1000,"-")</f>
        <v>-</v>
      </c>
      <c r="K62" s="831">
        <f>'P NP KOLAM KAB'!G10</f>
        <v>0</v>
      </c>
      <c r="L62" s="364">
        <f>'P NP KOLAM KAB'!M10</f>
        <v>0</v>
      </c>
      <c r="M62" s="364">
        <f>'P NP KOLAM KAB'!E10</f>
        <v>0</v>
      </c>
      <c r="N62" s="364">
        <f>SUM('P NP KOLAM KAB'!I10,'P NP KOLAM KAB'!AC10,'P NP KOLAM KAB'!AW10,'P NP KOLAM KAB'!BQ10)</f>
        <v>0</v>
      </c>
      <c r="O62" s="364">
        <f>'P NP KOLAM KAB'!BC10</f>
        <v>0</v>
      </c>
      <c r="P62" s="832">
        <f>'P NP KOLAM KAB'!AY10</f>
        <v>0</v>
      </c>
      <c r="Q62" s="364">
        <f>'P NP KOLAM KAB'!BE10</f>
        <v>0</v>
      </c>
      <c r="R62" s="364">
        <f>'P NP KOLAM KAB'!BK10</f>
        <v>0</v>
      </c>
      <c r="S62" s="364">
        <f>'P NP KOLAM KAB'!AI10</f>
        <v>0</v>
      </c>
      <c r="T62" s="834">
        <v>0</v>
      </c>
      <c r="U62" s="306"/>
      <c r="V62" s="363">
        <f t="shared" si="5"/>
        <v>18251469</v>
      </c>
      <c r="W62" s="350">
        <f>'P NP TW'!AM11</f>
        <v>4871029</v>
      </c>
      <c r="X62" s="350">
        <f>'P NP TW'!AO11</f>
        <v>4431970</v>
      </c>
      <c r="Y62" s="350">
        <f>'P NP TW'!AQ11</f>
        <v>4353094</v>
      </c>
      <c r="Z62" s="351">
        <f>'P NP TW'!AS11</f>
        <v>4595376</v>
      </c>
    </row>
    <row r="63" spans="1:26">
      <c r="A63" s="346" t="s">
        <v>136</v>
      </c>
      <c r="B63" s="363">
        <f t="shared" si="4"/>
        <v>1106280395.0529156</v>
      </c>
      <c r="C63" s="565">
        <f>'P NP KOLAM KAB'!AK11</f>
        <v>28400920.210789979</v>
      </c>
      <c r="D63" s="364">
        <f>'P NP KOLAM KAB'!AO11</f>
        <v>61770473.617955975</v>
      </c>
      <c r="E63" s="364">
        <f>'P NP KOLAM KAB'!AM11</f>
        <v>60055067.352229565</v>
      </c>
      <c r="F63" s="364">
        <f>'P NP KOLAM KAB'!Q11</f>
        <v>117478.722540847</v>
      </c>
      <c r="G63" s="364">
        <f>'P NP KOLAM KAB'!AU11</f>
        <v>51129441.156187318</v>
      </c>
      <c r="H63" s="364">
        <f>'P NP KOLAM KAB'!AQ11</f>
        <v>348160.49785030633</v>
      </c>
      <c r="I63" s="364">
        <f>'P NP KOLAM KAB'!AE11</f>
        <v>26274159.335785836</v>
      </c>
      <c r="J63" s="828" t="str">
        <f>IFERROR('P NP KOLAM KAB'!#REF!/1000,"-")</f>
        <v>-</v>
      </c>
      <c r="K63" s="831">
        <f>'P NP KOLAM KAB'!G11</f>
        <v>0</v>
      </c>
      <c r="L63" s="364">
        <f>'P NP KOLAM KAB'!M11</f>
        <v>0</v>
      </c>
      <c r="M63" s="364">
        <f>'P NP KOLAM KAB'!E11</f>
        <v>863723308.85591936</v>
      </c>
      <c r="N63" s="364">
        <f>SUM('P NP KOLAM KAB'!I11,'P NP KOLAM KAB'!AC11,'P NP KOLAM KAB'!AW11,'P NP KOLAM KAB'!BQ11)</f>
        <v>14461385.303656366</v>
      </c>
      <c r="O63" s="364">
        <f>'P NP KOLAM KAB'!BC11</f>
        <v>0</v>
      </c>
      <c r="P63" s="832">
        <f>'P NP KOLAM KAB'!AY11</f>
        <v>0</v>
      </c>
      <c r="Q63" s="364">
        <f>'P NP KOLAM KAB'!BE11</f>
        <v>0</v>
      </c>
      <c r="R63" s="364">
        <f>'P NP KOLAM KAB'!BK11</f>
        <v>0</v>
      </c>
      <c r="S63" s="364">
        <f>'P NP KOLAM KAB'!AI11</f>
        <v>0</v>
      </c>
      <c r="T63" s="834">
        <v>0</v>
      </c>
      <c r="U63" s="306"/>
      <c r="V63" s="363">
        <f t="shared" si="5"/>
        <v>1106280395.0529156</v>
      </c>
      <c r="W63" s="350">
        <f>'P NP TW'!AM12</f>
        <v>283692372.50579751</v>
      </c>
      <c r="X63" s="350">
        <f>'P NP TW'!AO12</f>
        <v>318103575.39284652</v>
      </c>
      <c r="Y63" s="350">
        <f>'P NP TW'!AQ12</f>
        <v>248916922.27640975</v>
      </c>
      <c r="Z63" s="351">
        <f>'P NP TW'!AS12</f>
        <v>255567524.87786174</v>
      </c>
    </row>
    <row r="64" spans="1:26">
      <c r="A64" s="346" t="s">
        <v>120</v>
      </c>
      <c r="B64" s="363">
        <f t="shared" si="4"/>
        <v>272994871.54900002</v>
      </c>
      <c r="C64" s="565">
        <f>'P NP KOLAM KAB'!AK12</f>
        <v>1161169.0009999999</v>
      </c>
      <c r="D64" s="364">
        <f>'P NP KOLAM KAB'!AO12</f>
        <v>26064625</v>
      </c>
      <c r="E64" s="364">
        <f>'P NP KOLAM KAB'!AM12</f>
        <v>0</v>
      </c>
      <c r="F64" s="364">
        <f>'P NP KOLAM KAB'!Q12</f>
        <v>87284868</v>
      </c>
      <c r="G64" s="364">
        <f>'P NP KOLAM KAB'!AU12</f>
        <v>65584</v>
      </c>
      <c r="H64" s="364">
        <f>'P NP KOLAM KAB'!AQ12</f>
        <v>0</v>
      </c>
      <c r="I64" s="364">
        <f>'P NP KOLAM KAB'!AE12</f>
        <v>158418625.54800001</v>
      </c>
      <c r="J64" s="828" t="str">
        <f>IFERROR('P NP KOLAM KAB'!#REF!/1000,"-")</f>
        <v>-</v>
      </c>
      <c r="K64" s="831">
        <f>'P NP KOLAM KAB'!G12</f>
        <v>0</v>
      </c>
      <c r="L64" s="364">
        <f>'P NP KOLAM KAB'!M12</f>
        <v>0</v>
      </c>
      <c r="M64" s="364">
        <f>'P NP KOLAM KAB'!E12</f>
        <v>0</v>
      </c>
      <c r="N64" s="364">
        <f>SUM('P NP KOLAM KAB'!I12,'P NP KOLAM KAB'!AC12,'P NP KOLAM KAB'!AW12,'P NP KOLAM KAB'!BQ12)</f>
        <v>0</v>
      </c>
      <c r="O64" s="364">
        <f>'P NP KOLAM KAB'!BC12</f>
        <v>0</v>
      </c>
      <c r="P64" s="832">
        <f>'P NP KOLAM KAB'!AY12</f>
        <v>0</v>
      </c>
      <c r="Q64" s="364">
        <f>'P NP KOLAM KAB'!BE12</f>
        <v>0</v>
      </c>
      <c r="R64" s="364">
        <f>'P NP KOLAM KAB'!BK12</f>
        <v>0</v>
      </c>
      <c r="S64" s="364">
        <f>'P NP KOLAM KAB'!AI12</f>
        <v>0</v>
      </c>
      <c r="T64" s="834">
        <v>0</v>
      </c>
      <c r="U64" s="306"/>
      <c r="V64" s="363">
        <f t="shared" si="5"/>
        <v>272994871.54900002</v>
      </c>
      <c r="W64" s="350">
        <f>'P NP TW'!AM13</f>
        <v>84800377.998999998</v>
      </c>
      <c r="X64" s="350">
        <f>'P NP TW'!AO13</f>
        <v>53354066.046999998</v>
      </c>
      <c r="Y64" s="350">
        <f>'P NP TW'!AQ13</f>
        <v>66662525.001000002</v>
      </c>
      <c r="Z64" s="351">
        <f>'P NP TW'!AS13</f>
        <v>68177902.502000004</v>
      </c>
    </row>
    <row r="65" spans="1:26">
      <c r="A65" s="346" t="s">
        <v>128</v>
      </c>
      <c r="B65" s="363">
        <f t="shared" si="4"/>
        <v>269622700</v>
      </c>
      <c r="C65" s="565">
        <f>'P NP KOLAM KAB'!AK13</f>
        <v>4799200</v>
      </c>
      <c r="D65" s="364">
        <f>'P NP KOLAM KAB'!AO13</f>
        <v>4455600</v>
      </c>
      <c r="E65" s="364">
        <f>'P NP KOLAM KAB'!AM13</f>
        <v>0</v>
      </c>
      <c r="F65" s="364">
        <f>'P NP KOLAM KAB'!Q13</f>
        <v>12976200</v>
      </c>
      <c r="G65" s="364">
        <f>'P NP KOLAM KAB'!AU13</f>
        <v>0</v>
      </c>
      <c r="H65" s="364">
        <f>'P NP KOLAM KAB'!AQ13</f>
        <v>39357100</v>
      </c>
      <c r="I65" s="364">
        <f>'P NP KOLAM KAB'!AE13</f>
        <v>134143300</v>
      </c>
      <c r="J65" s="828" t="str">
        <f>IFERROR('P NP KOLAM KAB'!#REF!/1000,"-")</f>
        <v>-</v>
      </c>
      <c r="K65" s="831">
        <f>'P NP KOLAM KAB'!G13</f>
        <v>73891300</v>
      </c>
      <c r="L65" s="364">
        <f>'P NP KOLAM KAB'!M13</f>
        <v>0</v>
      </c>
      <c r="M65" s="364">
        <f>'P NP KOLAM KAB'!E13</f>
        <v>0</v>
      </c>
      <c r="N65" s="364">
        <f>SUM('P NP KOLAM KAB'!I13,'P NP KOLAM KAB'!AC13,'P NP KOLAM KAB'!AW13,'P NP KOLAM KAB'!BQ13)</f>
        <v>0</v>
      </c>
      <c r="O65" s="364">
        <f>'P NP KOLAM KAB'!BC13</f>
        <v>0</v>
      </c>
      <c r="P65" s="832">
        <f>'P NP KOLAM KAB'!AY13</f>
        <v>0</v>
      </c>
      <c r="Q65" s="364">
        <f>'P NP KOLAM KAB'!BE13</f>
        <v>0</v>
      </c>
      <c r="R65" s="364">
        <f>'P NP KOLAM KAB'!BK13</f>
        <v>0</v>
      </c>
      <c r="S65" s="364">
        <f>'P NP KOLAM KAB'!AI13</f>
        <v>0</v>
      </c>
      <c r="T65" s="834">
        <v>0</v>
      </c>
      <c r="U65" s="306"/>
      <c r="V65" s="363">
        <f t="shared" si="5"/>
        <v>269622700</v>
      </c>
      <c r="W65" s="350">
        <f>'P NP TW'!AM14</f>
        <v>68454750</v>
      </c>
      <c r="X65" s="350">
        <f>'P NP TW'!AO14</f>
        <v>66539750</v>
      </c>
      <c r="Y65" s="350">
        <f>'P NP TW'!AQ14</f>
        <v>63831100</v>
      </c>
      <c r="Z65" s="351">
        <f>'P NP TW'!AS14</f>
        <v>70797100</v>
      </c>
    </row>
    <row r="66" spans="1:26">
      <c r="A66" s="346" t="s">
        <v>117</v>
      </c>
      <c r="B66" s="363">
        <f t="shared" si="4"/>
        <v>482643365</v>
      </c>
      <c r="C66" s="565">
        <f>'P NP KOLAM KAB'!AK14</f>
        <v>84525</v>
      </c>
      <c r="D66" s="364">
        <f>'P NP KOLAM KAB'!AO14</f>
        <v>59748150</v>
      </c>
      <c r="E66" s="364">
        <f>'P NP KOLAM KAB'!AM14</f>
        <v>7500</v>
      </c>
      <c r="F66" s="364">
        <f>'P NP KOLAM KAB'!Q14</f>
        <v>72147600</v>
      </c>
      <c r="G66" s="364">
        <f>'P NP KOLAM KAB'!AU14</f>
        <v>14190</v>
      </c>
      <c r="H66" s="364">
        <f>'P NP KOLAM KAB'!AQ14</f>
        <v>23212500</v>
      </c>
      <c r="I66" s="364">
        <f>'P NP KOLAM KAB'!AE14</f>
        <v>317613600</v>
      </c>
      <c r="J66" s="828" t="str">
        <f>IFERROR('P NP KOLAM KAB'!#REF!/1000,"-")</f>
        <v>-</v>
      </c>
      <c r="K66" s="831">
        <f>'P NP KOLAM KAB'!G14</f>
        <v>9815300</v>
      </c>
      <c r="L66" s="364">
        <f>'P NP KOLAM KAB'!M14</f>
        <v>0</v>
      </c>
      <c r="M66" s="364">
        <f>'P NP KOLAM KAB'!E14</f>
        <v>0</v>
      </c>
      <c r="N66" s="364">
        <f>SUM('P NP KOLAM KAB'!I14,'P NP KOLAM KAB'!AC14,'P NP KOLAM KAB'!AW14,'P NP KOLAM KAB'!BQ14)</f>
        <v>0</v>
      </c>
      <c r="O66" s="364">
        <f>'P NP KOLAM KAB'!BC14</f>
        <v>0</v>
      </c>
      <c r="P66" s="832">
        <f>'P NP KOLAM KAB'!AY14</f>
        <v>0</v>
      </c>
      <c r="Q66" s="364">
        <f>'P NP KOLAM KAB'!BE14</f>
        <v>0</v>
      </c>
      <c r="R66" s="364">
        <f>'P NP KOLAM KAB'!BK14</f>
        <v>0</v>
      </c>
      <c r="S66" s="364">
        <f>'P NP KOLAM KAB'!AI14</f>
        <v>0</v>
      </c>
      <c r="T66" s="834">
        <v>0</v>
      </c>
      <c r="U66" s="306"/>
      <c r="V66" s="363">
        <f t="shared" si="5"/>
        <v>482643365</v>
      </c>
      <c r="W66" s="350">
        <f>'P NP TW'!AM15</f>
        <v>120453120</v>
      </c>
      <c r="X66" s="350">
        <f>'P NP TW'!AO15</f>
        <v>129541360</v>
      </c>
      <c r="Y66" s="350">
        <f>'P NP TW'!AQ15</f>
        <v>114743815</v>
      </c>
      <c r="Z66" s="351">
        <f>'P NP TW'!AS15</f>
        <v>117905070</v>
      </c>
    </row>
    <row r="67" spans="1:26">
      <c r="A67" s="346" t="s">
        <v>135</v>
      </c>
      <c r="B67" s="363">
        <f t="shared" si="4"/>
        <v>1131862037</v>
      </c>
      <c r="C67" s="565">
        <f>'P NP KOLAM KAB'!AK15</f>
        <v>23484574</v>
      </c>
      <c r="D67" s="364">
        <f>'P NP KOLAM KAB'!AO15</f>
        <v>185332531</v>
      </c>
      <c r="E67" s="364">
        <f>'P NP KOLAM KAB'!AM15</f>
        <v>650305</v>
      </c>
      <c r="F67" s="364">
        <f>'P NP KOLAM KAB'!Q15</f>
        <v>0</v>
      </c>
      <c r="G67" s="364">
        <f>'P NP KOLAM KAB'!AU15</f>
        <v>37004829</v>
      </c>
      <c r="H67" s="364">
        <f>'P NP KOLAM KAB'!AQ15</f>
        <v>91843</v>
      </c>
      <c r="I67" s="364">
        <f>'P NP KOLAM KAB'!AE15</f>
        <v>68090097</v>
      </c>
      <c r="J67" s="828" t="str">
        <f>IFERROR('P NP KOLAM KAB'!#REF!/1000,"-")</f>
        <v>-</v>
      </c>
      <c r="K67" s="831">
        <f>'P NP KOLAM KAB'!G15</f>
        <v>0</v>
      </c>
      <c r="L67" s="364">
        <f>'P NP KOLAM KAB'!M15</f>
        <v>937585</v>
      </c>
      <c r="M67" s="364">
        <f>'P NP KOLAM KAB'!E15</f>
        <v>224744595</v>
      </c>
      <c r="N67" s="364">
        <f>SUM('P NP KOLAM KAB'!I15,'P NP KOLAM KAB'!AC15,'P NP KOLAM KAB'!AW15,'P NP KOLAM KAB'!BQ15)</f>
        <v>0</v>
      </c>
      <c r="O67" s="364">
        <f>'P NP KOLAM KAB'!BC15</f>
        <v>591525678</v>
      </c>
      <c r="P67" s="832">
        <f>'P NP KOLAM KAB'!AY15</f>
        <v>0</v>
      </c>
      <c r="Q67" s="364">
        <f>'P NP KOLAM KAB'!BE15</f>
        <v>0</v>
      </c>
      <c r="R67" s="364">
        <f>'P NP KOLAM KAB'!BK15</f>
        <v>0</v>
      </c>
      <c r="S67" s="364">
        <f>'P NP KOLAM KAB'!AI15</f>
        <v>0</v>
      </c>
      <c r="T67" s="834">
        <v>0</v>
      </c>
      <c r="U67" s="306"/>
      <c r="V67" s="363">
        <f t="shared" si="5"/>
        <v>1131862037</v>
      </c>
      <c r="W67" s="350">
        <f>'P NP TW'!AM16</f>
        <v>391849110</v>
      </c>
      <c r="X67" s="350">
        <f>'P NP TW'!AO16</f>
        <v>669147034</v>
      </c>
      <c r="Y67" s="350">
        <f>'P NP TW'!AQ16</f>
        <v>52820908</v>
      </c>
      <c r="Z67" s="351">
        <f>'P NP TW'!AS16</f>
        <v>18044985</v>
      </c>
    </row>
    <row r="68" spans="1:26">
      <c r="A68" s="346" t="s">
        <v>119</v>
      </c>
      <c r="B68" s="363">
        <f t="shared" si="4"/>
        <v>69421076.5</v>
      </c>
      <c r="C68" s="565">
        <f>'P NP KOLAM KAB'!AK16</f>
        <v>109950</v>
      </c>
      <c r="D68" s="364">
        <f>'P NP KOLAM KAB'!AO16</f>
        <v>19435375</v>
      </c>
      <c r="E68" s="364">
        <f>'P NP KOLAM KAB'!AM16</f>
        <v>0</v>
      </c>
      <c r="F68" s="364">
        <f>'P NP KOLAM KAB'!Q16</f>
        <v>27797000</v>
      </c>
      <c r="G68" s="364">
        <f>'P NP KOLAM KAB'!AU16</f>
        <v>16950</v>
      </c>
      <c r="H68" s="364">
        <f>'P NP KOLAM KAB'!AQ16</f>
        <v>213500</v>
      </c>
      <c r="I68" s="364">
        <f>'P NP KOLAM KAB'!AE16</f>
        <v>21688451.5</v>
      </c>
      <c r="J68" s="828" t="str">
        <f>IFERROR('P NP KOLAM KAB'!#REF!/1000,"-")</f>
        <v>-</v>
      </c>
      <c r="K68" s="831">
        <f>'P NP KOLAM KAB'!G16</f>
        <v>0</v>
      </c>
      <c r="L68" s="364">
        <f>'P NP KOLAM KAB'!M16</f>
        <v>159850</v>
      </c>
      <c r="M68" s="364">
        <f>'P NP KOLAM KAB'!E16</f>
        <v>0</v>
      </c>
      <c r="N68" s="364">
        <f>SUM('P NP KOLAM KAB'!I16,'P NP KOLAM KAB'!AC16,'P NP KOLAM KAB'!AW16,'P NP KOLAM KAB'!BQ16)</f>
        <v>0</v>
      </c>
      <c r="O68" s="364">
        <f>'P NP KOLAM KAB'!BC16</f>
        <v>0</v>
      </c>
      <c r="P68" s="832">
        <f>'P NP KOLAM KAB'!AY16</f>
        <v>0</v>
      </c>
      <c r="Q68" s="364">
        <f>'P NP KOLAM KAB'!BE16</f>
        <v>0</v>
      </c>
      <c r="R68" s="364">
        <f>'P NP KOLAM KAB'!BK16</f>
        <v>0</v>
      </c>
      <c r="S68" s="364">
        <f>'P NP KOLAM KAB'!AI16</f>
        <v>0</v>
      </c>
      <c r="T68" s="834">
        <v>0</v>
      </c>
      <c r="U68" s="306"/>
      <c r="V68" s="363">
        <f t="shared" si="5"/>
        <v>69421076.5</v>
      </c>
      <c r="W68" s="350">
        <f>'P NP TW'!AM17</f>
        <v>17966047</v>
      </c>
      <c r="X68" s="350">
        <f>'P NP TW'!AO17</f>
        <v>17078612</v>
      </c>
      <c r="Y68" s="350">
        <f>'P NP TW'!AQ17</f>
        <v>17075895</v>
      </c>
      <c r="Z68" s="351">
        <f>'P NP TW'!AS17</f>
        <v>17300522.5</v>
      </c>
    </row>
    <row r="69" spans="1:26">
      <c r="A69" s="346" t="s">
        <v>130</v>
      </c>
      <c r="B69" s="363">
        <f t="shared" si="4"/>
        <v>79363625</v>
      </c>
      <c r="C69" s="565">
        <f>'P NP KOLAM KAB'!AK17</f>
        <v>78750</v>
      </c>
      <c r="D69" s="364">
        <f>'P NP KOLAM KAB'!AO17</f>
        <v>12332000</v>
      </c>
      <c r="E69" s="364">
        <f>'P NP KOLAM KAB'!AM17</f>
        <v>10000</v>
      </c>
      <c r="F69" s="364">
        <f>'P NP KOLAM KAB'!Q17</f>
        <v>12954500</v>
      </c>
      <c r="G69" s="364">
        <f>'P NP KOLAM KAB'!AU17</f>
        <v>32875</v>
      </c>
      <c r="H69" s="364">
        <f>'P NP KOLAM KAB'!AQ17</f>
        <v>6857000</v>
      </c>
      <c r="I69" s="364">
        <f>'P NP KOLAM KAB'!AE17</f>
        <v>47098500</v>
      </c>
      <c r="J69" s="828" t="str">
        <f>IFERROR('P NP KOLAM KAB'!#REF!/1000,"-")</f>
        <v>-</v>
      </c>
      <c r="K69" s="831">
        <f>'P NP KOLAM KAB'!G17</f>
        <v>0</v>
      </c>
      <c r="L69" s="364">
        <f>'P NP KOLAM KAB'!M17</f>
        <v>0</v>
      </c>
      <c r="M69" s="364">
        <f>'P NP KOLAM KAB'!E17</f>
        <v>0</v>
      </c>
      <c r="N69" s="364">
        <f>SUM('P NP KOLAM KAB'!I17,'P NP KOLAM KAB'!AC17,'P NP KOLAM KAB'!AW17,'P NP KOLAM KAB'!BQ17)</f>
        <v>0</v>
      </c>
      <c r="O69" s="364">
        <f>'P NP KOLAM KAB'!BC17</f>
        <v>0</v>
      </c>
      <c r="P69" s="832">
        <f>'P NP KOLAM KAB'!AY17</f>
        <v>0</v>
      </c>
      <c r="Q69" s="364">
        <f>'P NP KOLAM KAB'!BE17</f>
        <v>0</v>
      </c>
      <c r="R69" s="364">
        <f>'P NP KOLAM KAB'!BK17</f>
        <v>0</v>
      </c>
      <c r="S69" s="364">
        <f>'P NP KOLAM KAB'!AI17</f>
        <v>0</v>
      </c>
      <c r="T69" s="834">
        <v>0</v>
      </c>
      <c r="U69" s="306"/>
      <c r="V69" s="363">
        <f t="shared" si="5"/>
        <v>79363625</v>
      </c>
      <c r="W69" s="350">
        <f>'P NP TW'!AM18</f>
        <v>20204450</v>
      </c>
      <c r="X69" s="350">
        <f>'P NP TW'!AO18</f>
        <v>20675625</v>
      </c>
      <c r="Y69" s="350">
        <f>'P NP TW'!AQ18</f>
        <v>17667500</v>
      </c>
      <c r="Z69" s="351">
        <f>'P NP TW'!AS18</f>
        <v>20816050</v>
      </c>
    </row>
    <row r="70" spans="1:26">
      <c r="A70" s="346" t="s">
        <v>131</v>
      </c>
      <c r="B70" s="363">
        <f t="shared" si="4"/>
        <v>36091175</v>
      </c>
      <c r="C70" s="565">
        <f>'P NP KOLAM KAB'!AK18</f>
        <v>631000</v>
      </c>
      <c r="D70" s="364">
        <f>'P NP KOLAM KAB'!AO18</f>
        <v>3215400</v>
      </c>
      <c r="E70" s="364">
        <f>'P NP KOLAM KAB'!AM18</f>
        <v>0</v>
      </c>
      <c r="F70" s="364">
        <f>'P NP KOLAM KAB'!Q18</f>
        <v>2275100</v>
      </c>
      <c r="G70" s="364">
        <f>'P NP KOLAM KAB'!AU18</f>
        <v>0</v>
      </c>
      <c r="H70" s="364">
        <f>'P NP KOLAM KAB'!AQ18</f>
        <v>453875</v>
      </c>
      <c r="I70" s="364">
        <f>'P NP KOLAM KAB'!AE18</f>
        <v>29515800</v>
      </c>
      <c r="J70" s="828" t="str">
        <f>IFERROR('P NP KOLAM KAB'!#REF!/1000,"-")</f>
        <v>-</v>
      </c>
      <c r="K70" s="831">
        <f>'P NP KOLAM KAB'!G18</f>
        <v>0</v>
      </c>
      <c r="L70" s="364">
        <f>'P NP KOLAM KAB'!M18</f>
        <v>0</v>
      </c>
      <c r="M70" s="364">
        <f>'P NP KOLAM KAB'!E18</f>
        <v>0</v>
      </c>
      <c r="N70" s="364">
        <f>SUM('P NP KOLAM KAB'!I18,'P NP KOLAM KAB'!AC18,'P NP KOLAM KAB'!AW18,'P NP KOLAM KAB'!BQ18)</f>
        <v>0</v>
      </c>
      <c r="O70" s="364">
        <f>'P NP KOLAM KAB'!BC18</f>
        <v>0</v>
      </c>
      <c r="P70" s="832">
        <f>'P NP KOLAM KAB'!AY18</f>
        <v>0</v>
      </c>
      <c r="Q70" s="364">
        <f>'P NP KOLAM KAB'!BE18</f>
        <v>0</v>
      </c>
      <c r="R70" s="364">
        <f>'P NP KOLAM KAB'!BK18</f>
        <v>0</v>
      </c>
      <c r="S70" s="364">
        <f>'P NP KOLAM KAB'!AI18</f>
        <v>0</v>
      </c>
      <c r="T70" s="834">
        <v>0</v>
      </c>
      <c r="U70" s="306"/>
      <c r="V70" s="363">
        <f t="shared" si="5"/>
        <v>36091175</v>
      </c>
      <c r="W70" s="350">
        <f>'P NP TW'!AM19</f>
        <v>9441975</v>
      </c>
      <c r="X70" s="350">
        <f>'P NP TW'!AO19</f>
        <v>9431600</v>
      </c>
      <c r="Y70" s="350">
        <f>'P NP TW'!AQ19</f>
        <v>8337450</v>
      </c>
      <c r="Z70" s="351">
        <f>'P NP TW'!AS19</f>
        <v>8880150</v>
      </c>
    </row>
    <row r="71" spans="1:26">
      <c r="A71" s="346" t="s">
        <v>118</v>
      </c>
      <c r="B71" s="363">
        <f t="shared" si="4"/>
        <v>134808000</v>
      </c>
      <c r="C71" s="565">
        <f>'P NP KOLAM KAB'!AK19</f>
        <v>440000</v>
      </c>
      <c r="D71" s="364">
        <f>'P NP KOLAM KAB'!AO19</f>
        <v>16858000</v>
      </c>
      <c r="E71" s="364">
        <f>'P NP KOLAM KAB'!AM19</f>
        <v>0</v>
      </c>
      <c r="F71" s="364">
        <f>'P NP KOLAM KAB'!Q19</f>
        <v>2250000</v>
      </c>
      <c r="G71" s="364">
        <f>'P NP KOLAM KAB'!AU19</f>
        <v>0</v>
      </c>
      <c r="H71" s="364">
        <f>'P NP KOLAM KAB'!AQ19</f>
        <v>0</v>
      </c>
      <c r="I71" s="364">
        <f>'P NP KOLAM KAB'!AE19</f>
        <v>115260000</v>
      </c>
      <c r="J71" s="828" t="str">
        <f>IFERROR('P NP KOLAM KAB'!#REF!/1000,"-")</f>
        <v>-</v>
      </c>
      <c r="K71" s="831">
        <f>'P NP KOLAM KAB'!G19</f>
        <v>0</v>
      </c>
      <c r="L71" s="364">
        <f>'P NP KOLAM KAB'!M19</f>
        <v>0</v>
      </c>
      <c r="M71" s="364">
        <f>'P NP KOLAM KAB'!E19</f>
        <v>0</v>
      </c>
      <c r="N71" s="364">
        <f>SUM('P NP KOLAM KAB'!I19,'P NP KOLAM KAB'!AC19,'P NP KOLAM KAB'!AW19,'P NP KOLAM KAB'!BQ19)</f>
        <v>0</v>
      </c>
      <c r="O71" s="364">
        <f>'P NP KOLAM KAB'!BC19</f>
        <v>0</v>
      </c>
      <c r="P71" s="832">
        <f>'P NP KOLAM KAB'!AY19</f>
        <v>0</v>
      </c>
      <c r="Q71" s="364">
        <f>'P NP KOLAM KAB'!BE19</f>
        <v>0</v>
      </c>
      <c r="R71" s="364">
        <f>'P NP KOLAM KAB'!BK19</f>
        <v>0</v>
      </c>
      <c r="S71" s="364">
        <f>'P NP KOLAM KAB'!AI19</f>
        <v>0</v>
      </c>
      <c r="T71" s="834">
        <v>0</v>
      </c>
      <c r="U71" s="306"/>
      <c r="V71" s="363">
        <f t="shared" si="5"/>
        <v>134808000</v>
      </c>
      <c r="W71" s="350">
        <f>'P NP TW'!AM20</f>
        <v>32617500</v>
      </c>
      <c r="X71" s="350">
        <f>'P NP TW'!AO20</f>
        <v>33131500</v>
      </c>
      <c r="Y71" s="350">
        <f>'P NP TW'!AQ20</f>
        <v>30770000</v>
      </c>
      <c r="Z71" s="351">
        <f>'P NP TW'!AS20</f>
        <v>38289000</v>
      </c>
    </row>
    <row r="72" spans="1:26">
      <c r="A72" s="346" t="s">
        <v>127</v>
      </c>
      <c r="B72" s="363">
        <f t="shared" si="4"/>
        <v>34905400</v>
      </c>
      <c r="C72" s="565">
        <f>'P NP KOLAM KAB'!AK20</f>
        <v>0</v>
      </c>
      <c r="D72" s="364">
        <f>'P NP KOLAM KAB'!AO20</f>
        <v>2848610</v>
      </c>
      <c r="E72" s="364">
        <f>'P NP KOLAM KAB'!AM20</f>
        <v>0</v>
      </c>
      <c r="F72" s="364">
        <f>'P NP KOLAM KAB'!Q20</f>
        <v>3128160</v>
      </c>
      <c r="G72" s="364">
        <f>'P NP KOLAM KAB'!AU20</f>
        <v>0</v>
      </c>
      <c r="H72" s="364">
        <f>'P NP KOLAM KAB'!AQ20</f>
        <v>435000</v>
      </c>
      <c r="I72" s="364">
        <f>'P NP KOLAM KAB'!AE20</f>
        <v>28493630</v>
      </c>
      <c r="J72" s="828" t="str">
        <f>IFERROR('P NP KOLAM KAB'!#REF!/1000,"-")</f>
        <v>-</v>
      </c>
      <c r="K72" s="831">
        <f>'P NP KOLAM KAB'!G20</f>
        <v>0</v>
      </c>
      <c r="L72" s="364">
        <f>'P NP KOLAM KAB'!M20</f>
        <v>0</v>
      </c>
      <c r="M72" s="364">
        <f>'P NP KOLAM KAB'!E20</f>
        <v>0</v>
      </c>
      <c r="N72" s="364">
        <f>SUM('P NP KOLAM KAB'!I20,'P NP KOLAM KAB'!AC20,'P NP KOLAM KAB'!AW20,'P NP KOLAM KAB'!BQ20)</f>
        <v>0</v>
      </c>
      <c r="O72" s="364">
        <f>'P NP KOLAM KAB'!BC20</f>
        <v>0</v>
      </c>
      <c r="P72" s="832">
        <f>'P NP KOLAM KAB'!AY20</f>
        <v>0</v>
      </c>
      <c r="Q72" s="364">
        <f>'P NP KOLAM KAB'!BE20</f>
        <v>0</v>
      </c>
      <c r="R72" s="364">
        <f>'P NP KOLAM KAB'!BK20</f>
        <v>0</v>
      </c>
      <c r="S72" s="364">
        <f>'P NP KOLAM KAB'!AI20</f>
        <v>0</v>
      </c>
      <c r="T72" s="834">
        <v>0</v>
      </c>
      <c r="U72" s="306"/>
      <c r="V72" s="363">
        <f t="shared" si="5"/>
        <v>34905400</v>
      </c>
      <c r="W72" s="350">
        <f>'P NP TW'!AM21</f>
        <v>9548430</v>
      </c>
      <c r="X72" s="350">
        <f>'P NP TW'!AO21</f>
        <v>8292256</v>
      </c>
      <c r="Y72" s="350">
        <f>'P NP TW'!AQ21</f>
        <v>8461614</v>
      </c>
      <c r="Z72" s="351">
        <f>'P NP TW'!AS21</f>
        <v>8603100</v>
      </c>
    </row>
    <row r="73" spans="1:26">
      <c r="A73" s="346" t="s">
        <v>129</v>
      </c>
      <c r="B73" s="363">
        <f t="shared" si="4"/>
        <v>217798004</v>
      </c>
      <c r="C73" s="565">
        <f>'P NP KOLAM KAB'!AK21</f>
        <v>92050</v>
      </c>
      <c r="D73" s="364">
        <f>'P NP KOLAM KAB'!AO21</f>
        <v>2818350</v>
      </c>
      <c r="E73" s="364">
        <f>'P NP KOLAM KAB'!AM21</f>
        <v>0</v>
      </c>
      <c r="F73" s="364">
        <f>'P NP KOLAM KAB'!Q21</f>
        <v>34358898</v>
      </c>
      <c r="G73" s="364">
        <f>'P NP KOLAM KAB'!AU21</f>
        <v>0</v>
      </c>
      <c r="H73" s="364">
        <f>'P NP KOLAM KAB'!AQ21</f>
        <v>1505375</v>
      </c>
      <c r="I73" s="364">
        <f>'P NP KOLAM KAB'!AE21</f>
        <v>178015581</v>
      </c>
      <c r="J73" s="828" t="str">
        <f>IFERROR('P NP KOLAM KAB'!#REF!/1000,"-")</f>
        <v>-</v>
      </c>
      <c r="K73" s="831">
        <f>'P NP KOLAM KAB'!G21</f>
        <v>611250</v>
      </c>
      <c r="L73" s="364">
        <f>'P NP KOLAM KAB'!M21</f>
        <v>112000</v>
      </c>
      <c r="M73" s="364">
        <f>'P NP KOLAM KAB'!E21</f>
        <v>0</v>
      </c>
      <c r="N73" s="364">
        <f>SUM('P NP KOLAM KAB'!I21,'P NP KOLAM KAB'!AC21,'P NP KOLAM KAB'!AW21,'P NP KOLAM KAB'!BQ21)</f>
        <v>0</v>
      </c>
      <c r="O73" s="364">
        <f>'P NP KOLAM KAB'!BC21</f>
        <v>0</v>
      </c>
      <c r="P73" s="832">
        <f>'P NP KOLAM KAB'!AY21</f>
        <v>0</v>
      </c>
      <c r="Q73" s="364">
        <f>'P NP KOLAM KAB'!BE21</f>
        <v>0</v>
      </c>
      <c r="R73" s="364">
        <f>'P NP KOLAM KAB'!BK21</f>
        <v>0</v>
      </c>
      <c r="S73" s="364">
        <f>'P NP KOLAM KAB'!AI21</f>
        <v>284500</v>
      </c>
      <c r="T73" s="834">
        <v>0</v>
      </c>
      <c r="U73" s="306"/>
      <c r="V73" s="363">
        <f t="shared" si="5"/>
        <v>217798004</v>
      </c>
      <c r="W73" s="350">
        <f>'P NP TW'!AM22</f>
        <v>58594480</v>
      </c>
      <c r="X73" s="350">
        <f>'P NP TW'!AO22</f>
        <v>58688025</v>
      </c>
      <c r="Y73" s="350">
        <f>'P NP TW'!AQ22</f>
        <v>48442539</v>
      </c>
      <c r="Z73" s="351">
        <f>'P NP TW'!AS22</f>
        <v>52072960</v>
      </c>
    </row>
    <row r="74" spans="1:26">
      <c r="A74" s="346" t="s">
        <v>132</v>
      </c>
      <c r="B74" s="363">
        <f t="shared" si="4"/>
        <v>83744202</v>
      </c>
      <c r="C74" s="565">
        <f>'P NP KOLAM KAB'!AK22</f>
        <v>21910</v>
      </c>
      <c r="D74" s="364">
        <f>'P NP KOLAM KAB'!AO22</f>
        <v>1841180</v>
      </c>
      <c r="E74" s="364">
        <f>'P NP KOLAM KAB'!AM22</f>
        <v>0</v>
      </c>
      <c r="F74" s="364">
        <f>'P NP KOLAM KAB'!Q22</f>
        <v>5493900</v>
      </c>
      <c r="G74" s="364">
        <f>'P NP KOLAM KAB'!AU22</f>
        <v>0</v>
      </c>
      <c r="H74" s="364">
        <f>'P NP KOLAM KAB'!AQ22</f>
        <v>3129025</v>
      </c>
      <c r="I74" s="364">
        <f>'P NP KOLAM KAB'!AE22</f>
        <v>73258187</v>
      </c>
      <c r="J74" s="828" t="str">
        <f>IFERROR('P NP KOLAM KAB'!#REF!/1000,"-")</f>
        <v>-</v>
      </c>
      <c r="K74" s="831">
        <f>'P NP KOLAM KAB'!G22</f>
        <v>0</v>
      </c>
      <c r="L74" s="364">
        <f>'P NP KOLAM KAB'!M22</f>
        <v>0</v>
      </c>
      <c r="M74" s="364">
        <f>'P NP KOLAM KAB'!E22</f>
        <v>0</v>
      </c>
      <c r="N74" s="364">
        <f>SUM('P NP KOLAM KAB'!I22,'P NP KOLAM KAB'!AC22,'P NP KOLAM KAB'!AW22,'P NP KOLAM KAB'!BQ22)</f>
        <v>0</v>
      </c>
      <c r="O74" s="364">
        <f>'P NP KOLAM KAB'!BC22</f>
        <v>0</v>
      </c>
      <c r="P74" s="832">
        <f>'P NP KOLAM KAB'!AY22</f>
        <v>0</v>
      </c>
      <c r="Q74" s="364">
        <f>'P NP KOLAM KAB'!BE22</f>
        <v>0</v>
      </c>
      <c r="R74" s="364">
        <f>'P NP KOLAM KAB'!BK22</f>
        <v>0</v>
      </c>
      <c r="S74" s="364">
        <f>'P NP KOLAM KAB'!AI22</f>
        <v>0</v>
      </c>
      <c r="T74" s="834">
        <v>0</v>
      </c>
      <c r="U74" s="306"/>
      <c r="V74" s="363">
        <f t="shared" si="5"/>
        <v>83744202</v>
      </c>
      <c r="W74" s="350">
        <f>'P NP TW'!AM23</f>
        <v>20878467</v>
      </c>
      <c r="X74" s="350">
        <f>'P NP TW'!AO23</f>
        <v>21222625</v>
      </c>
      <c r="Y74" s="350">
        <f>'P NP TW'!AQ23</f>
        <v>21152144</v>
      </c>
      <c r="Z74" s="351">
        <f>'P NP TW'!AS23</f>
        <v>20490966</v>
      </c>
    </row>
    <row r="75" spans="1:26">
      <c r="A75" s="346" t="s">
        <v>112</v>
      </c>
      <c r="B75" s="363">
        <f t="shared" si="4"/>
        <v>24238782</v>
      </c>
      <c r="C75" s="565">
        <f>'P NP KOLAM KAB'!AK23</f>
        <v>0</v>
      </c>
      <c r="D75" s="364">
        <f>'P NP KOLAM KAB'!AO23</f>
        <v>5975865</v>
      </c>
      <c r="E75" s="364">
        <f>'P NP KOLAM KAB'!AM23</f>
        <v>0</v>
      </c>
      <c r="F75" s="364">
        <f>'P NP KOLAM KAB'!Q23</f>
        <v>19425</v>
      </c>
      <c r="G75" s="364">
        <f>'P NP KOLAM KAB'!AU23</f>
        <v>0</v>
      </c>
      <c r="H75" s="364">
        <f>'P NP KOLAM KAB'!AQ23</f>
        <v>0</v>
      </c>
      <c r="I75" s="364">
        <f>'P NP KOLAM KAB'!AE23</f>
        <v>18223992</v>
      </c>
      <c r="J75" s="828" t="str">
        <f>IFERROR('P NP KOLAM KAB'!#REF!/1000,"-")</f>
        <v>-</v>
      </c>
      <c r="K75" s="831">
        <f>'P NP KOLAM KAB'!G23</f>
        <v>0</v>
      </c>
      <c r="L75" s="364">
        <f>'P NP KOLAM KAB'!M23</f>
        <v>0</v>
      </c>
      <c r="M75" s="364">
        <f>'P NP KOLAM KAB'!E23</f>
        <v>0</v>
      </c>
      <c r="N75" s="364">
        <f>SUM('P NP KOLAM KAB'!I23,'P NP KOLAM KAB'!AC23,'P NP KOLAM KAB'!AW23,'P NP KOLAM KAB'!BQ23)</f>
        <v>0</v>
      </c>
      <c r="O75" s="364">
        <f>'P NP KOLAM KAB'!BC23</f>
        <v>0</v>
      </c>
      <c r="P75" s="832">
        <f>'P NP KOLAM KAB'!AY23</f>
        <v>0</v>
      </c>
      <c r="Q75" s="364">
        <f>'P NP KOLAM KAB'!BE23</f>
        <v>0</v>
      </c>
      <c r="R75" s="364">
        <f>'P NP KOLAM KAB'!BK23</f>
        <v>19500</v>
      </c>
      <c r="S75" s="364">
        <f>'P NP KOLAM KAB'!AI23</f>
        <v>0</v>
      </c>
      <c r="T75" s="834">
        <v>0</v>
      </c>
      <c r="U75" s="306"/>
      <c r="V75" s="363">
        <f t="shared" si="5"/>
        <v>24238782</v>
      </c>
      <c r="W75" s="350">
        <f>'P NP TW'!AM24</f>
        <v>4166102</v>
      </c>
      <c r="X75" s="350">
        <f>'P NP TW'!AO24</f>
        <v>6032362</v>
      </c>
      <c r="Y75" s="350">
        <f>'P NP TW'!AQ24</f>
        <v>6352654</v>
      </c>
      <c r="Z75" s="351">
        <f>'P NP TW'!AS24</f>
        <v>7687664</v>
      </c>
    </row>
    <row r="76" spans="1:26">
      <c r="A76" s="346" t="s">
        <v>139</v>
      </c>
      <c r="B76" s="363">
        <f t="shared" si="4"/>
        <v>16075010</v>
      </c>
      <c r="C76" s="565">
        <f>'P NP KOLAM KAB'!AK24</f>
        <v>0</v>
      </c>
      <c r="D76" s="364">
        <f>'P NP KOLAM KAB'!AO24</f>
        <v>60150</v>
      </c>
      <c r="E76" s="364">
        <f>'P NP KOLAM KAB'!AM24</f>
        <v>0</v>
      </c>
      <c r="F76" s="364">
        <f>'P NP KOLAM KAB'!Q24</f>
        <v>103300</v>
      </c>
      <c r="G76" s="364">
        <f>'P NP KOLAM KAB'!AU24</f>
        <v>0</v>
      </c>
      <c r="H76" s="364">
        <f>'P NP KOLAM KAB'!AQ24</f>
        <v>0</v>
      </c>
      <c r="I76" s="364">
        <f>'P NP KOLAM KAB'!AE24</f>
        <v>15911560</v>
      </c>
      <c r="J76" s="828" t="str">
        <f>IFERROR('P NP KOLAM KAB'!#REF!/1000,"-")</f>
        <v>-</v>
      </c>
      <c r="K76" s="831">
        <f>'P NP KOLAM KAB'!G24</f>
        <v>0</v>
      </c>
      <c r="L76" s="364">
        <f>'P NP KOLAM KAB'!M24</f>
        <v>0</v>
      </c>
      <c r="M76" s="364">
        <f>'P NP KOLAM KAB'!E24</f>
        <v>0</v>
      </c>
      <c r="N76" s="364">
        <f>SUM('P NP KOLAM KAB'!I24,'P NP KOLAM KAB'!AC24,'P NP KOLAM KAB'!AW24,'P NP KOLAM KAB'!BQ24)</f>
        <v>0</v>
      </c>
      <c r="O76" s="364">
        <f>'P NP KOLAM KAB'!BC24</f>
        <v>0</v>
      </c>
      <c r="P76" s="832">
        <f>'P NP KOLAM KAB'!AY24</f>
        <v>0</v>
      </c>
      <c r="Q76" s="364">
        <f>'P NP KOLAM KAB'!BE24</f>
        <v>0</v>
      </c>
      <c r="R76" s="364">
        <f>'P NP KOLAM KAB'!BK24</f>
        <v>0</v>
      </c>
      <c r="S76" s="364">
        <f>'P NP KOLAM KAB'!AI24</f>
        <v>0</v>
      </c>
      <c r="T76" s="834">
        <v>0</v>
      </c>
      <c r="U76" s="306"/>
      <c r="V76" s="363">
        <f t="shared" si="5"/>
        <v>16075010</v>
      </c>
      <c r="W76" s="350">
        <f>'P NP TW'!AM25</f>
        <v>3469045</v>
      </c>
      <c r="X76" s="350">
        <f>'P NP TW'!AO25</f>
        <v>3622735</v>
      </c>
      <c r="Y76" s="350">
        <f>'P NP TW'!AQ25</f>
        <v>3576265</v>
      </c>
      <c r="Z76" s="351">
        <f>'P NP TW'!AS25</f>
        <v>5406965</v>
      </c>
    </row>
    <row r="77" spans="1:26">
      <c r="A77" s="346" t="s">
        <v>125</v>
      </c>
      <c r="B77" s="363">
        <f t="shared" si="4"/>
        <v>291949904</v>
      </c>
      <c r="C77" s="565">
        <f>'P NP KOLAM KAB'!AK25</f>
        <v>0</v>
      </c>
      <c r="D77" s="364">
        <f>'P NP KOLAM KAB'!AO25</f>
        <v>9422844</v>
      </c>
      <c r="E77" s="364">
        <f>'P NP KOLAM KAB'!AM25</f>
        <v>0</v>
      </c>
      <c r="F77" s="364">
        <f>'P NP KOLAM KAB'!Q25</f>
        <v>5275968</v>
      </c>
      <c r="G77" s="364">
        <f>'P NP KOLAM KAB'!AU25</f>
        <v>0</v>
      </c>
      <c r="H77" s="364">
        <f>'P NP KOLAM KAB'!AQ25</f>
        <v>0</v>
      </c>
      <c r="I77" s="364">
        <f>'P NP KOLAM KAB'!AE25</f>
        <v>277251092</v>
      </c>
      <c r="J77" s="828" t="str">
        <f>IFERROR('P NP KOLAM KAB'!#REF!/1000,"-")</f>
        <v>-</v>
      </c>
      <c r="K77" s="831">
        <f>'P NP KOLAM KAB'!G25</f>
        <v>0</v>
      </c>
      <c r="L77" s="364">
        <f>'P NP KOLAM KAB'!M25</f>
        <v>0</v>
      </c>
      <c r="M77" s="364">
        <f>'P NP KOLAM KAB'!E25</f>
        <v>0</v>
      </c>
      <c r="N77" s="364">
        <f>SUM('P NP KOLAM KAB'!I25,'P NP KOLAM KAB'!AC25,'P NP KOLAM KAB'!AW25,'P NP KOLAM KAB'!BQ25)</f>
        <v>0</v>
      </c>
      <c r="O77" s="364">
        <f>'P NP KOLAM KAB'!BC25</f>
        <v>0</v>
      </c>
      <c r="P77" s="832">
        <f>'P NP KOLAM KAB'!AY25</f>
        <v>0</v>
      </c>
      <c r="Q77" s="364">
        <f>'P NP KOLAM KAB'!BE25</f>
        <v>0</v>
      </c>
      <c r="R77" s="364">
        <f>'P NP KOLAM KAB'!BK25</f>
        <v>0</v>
      </c>
      <c r="S77" s="364">
        <f>'P NP KOLAM KAB'!AI25</f>
        <v>0</v>
      </c>
      <c r="T77" s="834">
        <v>0</v>
      </c>
      <c r="U77" s="306"/>
      <c r="V77" s="363">
        <f t="shared" si="5"/>
        <v>291949904</v>
      </c>
      <c r="W77" s="350">
        <f>'P NP TW'!AM26</f>
        <v>85424793</v>
      </c>
      <c r="X77" s="350">
        <f>'P NP TW'!AO26</f>
        <v>74211786</v>
      </c>
      <c r="Y77" s="350">
        <f>'P NP TW'!AQ26</f>
        <v>70139968</v>
      </c>
      <c r="Z77" s="351">
        <f>'P NP TW'!AS26</f>
        <v>62173357</v>
      </c>
    </row>
    <row r="78" spans="1:26">
      <c r="A78" s="346" t="s">
        <v>113</v>
      </c>
      <c r="B78" s="363">
        <f t="shared" si="4"/>
        <v>44477880.730000004</v>
      </c>
      <c r="C78" s="565">
        <f>'P NP KOLAM KAB'!AK26</f>
        <v>0</v>
      </c>
      <c r="D78" s="364">
        <f>'P NP KOLAM KAB'!AO26</f>
        <v>1460476</v>
      </c>
      <c r="E78" s="364">
        <f>'P NP KOLAM KAB'!AM26</f>
        <v>0</v>
      </c>
      <c r="F78" s="364">
        <f>'P NP KOLAM KAB'!Q26</f>
        <v>9545037.5300000012</v>
      </c>
      <c r="G78" s="364">
        <f>'P NP KOLAM KAB'!AU26</f>
        <v>0</v>
      </c>
      <c r="H78" s="364">
        <f>'P NP KOLAM KAB'!AQ26</f>
        <v>376277</v>
      </c>
      <c r="I78" s="364">
        <f>'P NP KOLAM KAB'!AE26</f>
        <v>33041010.199999999</v>
      </c>
      <c r="J78" s="828" t="str">
        <f>IFERROR('P NP KOLAM KAB'!#REF!/1000,"-")</f>
        <v>-</v>
      </c>
      <c r="K78" s="831">
        <f>'P NP KOLAM KAB'!G26</f>
        <v>0</v>
      </c>
      <c r="L78" s="364">
        <f>'P NP KOLAM KAB'!M26</f>
        <v>55080</v>
      </c>
      <c r="M78" s="364">
        <f>'P NP KOLAM KAB'!E26</f>
        <v>0</v>
      </c>
      <c r="N78" s="364">
        <f>SUM('P NP KOLAM KAB'!I26,'P NP KOLAM KAB'!AC26,'P NP KOLAM KAB'!AW26,'P NP KOLAM KAB'!BQ26)</f>
        <v>0</v>
      </c>
      <c r="O78" s="364">
        <f>'P NP KOLAM KAB'!BC26</f>
        <v>0</v>
      </c>
      <c r="P78" s="832">
        <f>'P NP KOLAM KAB'!AY26</f>
        <v>0</v>
      </c>
      <c r="Q78" s="364">
        <f>'P NP KOLAM KAB'!BE26</f>
        <v>0</v>
      </c>
      <c r="R78" s="364">
        <f>'P NP KOLAM KAB'!BK26</f>
        <v>0</v>
      </c>
      <c r="S78" s="364">
        <f>'P NP KOLAM KAB'!AI26</f>
        <v>0</v>
      </c>
      <c r="T78" s="834">
        <v>0</v>
      </c>
      <c r="U78" s="306"/>
      <c r="V78" s="363">
        <f t="shared" si="5"/>
        <v>44477930.730000004</v>
      </c>
      <c r="W78" s="350">
        <f>'P NP TW'!AM27</f>
        <v>11515377.5</v>
      </c>
      <c r="X78" s="350">
        <f>'P NP TW'!AO27</f>
        <v>11743820.699999999</v>
      </c>
      <c r="Y78" s="350">
        <f>'P NP TW'!AQ27</f>
        <v>10407826</v>
      </c>
      <c r="Z78" s="351">
        <f>'P NP TW'!AS27</f>
        <v>10810906.530000001</v>
      </c>
    </row>
    <row r="79" spans="1:26">
      <c r="A79" s="346" t="s">
        <v>124</v>
      </c>
      <c r="B79" s="363">
        <f t="shared" si="4"/>
        <v>15853965</v>
      </c>
      <c r="C79" s="565">
        <f>'P NP KOLAM KAB'!AK27</f>
        <v>0</v>
      </c>
      <c r="D79" s="364">
        <f>'P NP KOLAM KAB'!AO27</f>
        <v>208120</v>
      </c>
      <c r="E79" s="364">
        <f>'P NP KOLAM KAB'!AM27</f>
        <v>0</v>
      </c>
      <c r="F79" s="364">
        <f>'P NP KOLAM KAB'!Q27</f>
        <v>42390</v>
      </c>
      <c r="G79" s="364">
        <f>'P NP KOLAM KAB'!AU27</f>
        <v>0</v>
      </c>
      <c r="H79" s="364">
        <f>'P NP KOLAM KAB'!AQ27</f>
        <v>0</v>
      </c>
      <c r="I79" s="364">
        <f>'P NP KOLAM KAB'!AE27</f>
        <v>15603455</v>
      </c>
      <c r="J79" s="828" t="str">
        <f>IFERROR('P NP KOLAM KAB'!#REF!/1000,"-")</f>
        <v>-</v>
      </c>
      <c r="K79" s="831">
        <f>'P NP KOLAM KAB'!G27</f>
        <v>0</v>
      </c>
      <c r="L79" s="364">
        <f>'P NP KOLAM KAB'!M27</f>
        <v>0</v>
      </c>
      <c r="M79" s="364">
        <f>'P NP KOLAM KAB'!E27</f>
        <v>0</v>
      </c>
      <c r="N79" s="364">
        <f>SUM('P NP KOLAM KAB'!I27,'P NP KOLAM KAB'!AC27,'P NP KOLAM KAB'!AW27,'P NP KOLAM KAB'!BQ27)</f>
        <v>0</v>
      </c>
      <c r="O79" s="364">
        <f>'P NP KOLAM KAB'!BC27</f>
        <v>0</v>
      </c>
      <c r="P79" s="832">
        <f>'P NP KOLAM KAB'!AY27</f>
        <v>0</v>
      </c>
      <c r="Q79" s="364">
        <f>'P NP KOLAM KAB'!BE27</f>
        <v>0</v>
      </c>
      <c r="R79" s="364">
        <f>'P NP KOLAM KAB'!BK27</f>
        <v>0</v>
      </c>
      <c r="S79" s="364">
        <f>'P NP KOLAM KAB'!AI27</f>
        <v>0</v>
      </c>
      <c r="T79" s="834">
        <v>0</v>
      </c>
      <c r="U79" s="306"/>
      <c r="V79" s="363">
        <f t="shared" si="5"/>
        <v>15853965</v>
      </c>
      <c r="W79" s="350">
        <f>'P NP TW'!AM28</f>
        <v>4131050</v>
      </c>
      <c r="X79" s="350">
        <f>'P NP TW'!AO28</f>
        <v>3784130</v>
      </c>
      <c r="Y79" s="350">
        <f>'P NP TW'!AQ28</f>
        <v>4013945</v>
      </c>
      <c r="Z79" s="351">
        <f>'P NP TW'!AS28</f>
        <v>3924840</v>
      </c>
    </row>
    <row r="80" spans="1:26">
      <c r="A80" s="346" t="s">
        <v>138</v>
      </c>
      <c r="B80" s="363">
        <f t="shared" si="4"/>
        <v>5273422</v>
      </c>
      <c r="C80" s="565">
        <f>'P NP KOLAM KAB'!AK28</f>
        <v>0</v>
      </c>
      <c r="D80" s="364">
        <f>'P NP KOLAM KAB'!AO28</f>
        <v>32550</v>
      </c>
      <c r="E80" s="364">
        <f>'P NP KOLAM KAB'!AM28</f>
        <v>0</v>
      </c>
      <c r="F80" s="364">
        <f>'P NP KOLAM KAB'!Q28</f>
        <v>0</v>
      </c>
      <c r="G80" s="364">
        <f>'P NP KOLAM KAB'!AU28</f>
        <v>0</v>
      </c>
      <c r="H80" s="364">
        <f>'P NP KOLAM KAB'!AQ28</f>
        <v>0</v>
      </c>
      <c r="I80" s="364">
        <f>'P NP KOLAM KAB'!AE28</f>
        <v>5240872</v>
      </c>
      <c r="J80" s="828" t="str">
        <f>IFERROR('P NP KOLAM KAB'!#REF!/1000,"-")</f>
        <v>-</v>
      </c>
      <c r="K80" s="831">
        <f>'P NP KOLAM KAB'!G28</f>
        <v>0</v>
      </c>
      <c r="L80" s="364">
        <f>'P NP KOLAM KAB'!M28</f>
        <v>0</v>
      </c>
      <c r="M80" s="364">
        <f>'P NP KOLAM KAB'!E28</f>
        <v>0</v>
      </c>
      <c r="N80" s="364">
        <f>SUM('P NP KOLAM KAB'!I28,'P NP KOLAM KAB'!AC28,'P NP KOLAM KAB'!AW28,'P NP KOLAM KAB'!BQ28)</f>
        <v>0</v>
      </c>
      <c r="O80" s="364">
        <f>'P NP KOLAM KAB'!BC28</f>
        <v>0</v>
      </c>
      <c r="P80" s="832">
        <f>'P NP KOLAM KAB'!AY28</f>
        <v>0</v>
      </c>
      <c r="Q80" s="364">
        <f>'P NP KOLAM KAB'!BE28</f>
        <v>0</v>
      </c>
      <c r="R80" s="364">
        <f>'P NP KOLAM KAB'!BK28</f>
        <v>0</v>
      </c>
      <c r="S80" s="364">
        <f>'P NP KOLAM KAB'!AI28</f>
        <v>0</v>
      </c>
      <c r="T80" s="834">
        <v>0</v>
      </c>
      <c r="U80" s="306"/>
      <c r="V80" s="363">
        <f t="shared" si="5"/>
        <v>5273422</v>
      </c>
      <c r="W80" s="350">
        <f>'P NP TW'!AM29</f>
        <v>1317684</v>
      </c>
      <c r="X80" s="350">
        <f>'P NP TW'!AO29</f>
        <v>1251458</v>
      </c>
      <c r="Y80" s="350">
        <f>'P NP TW'!AQ29</f>
        <v>1173000</v>
      </c>
      <c r="Z80" s="351">
        <f>'P NP TW'!AS29</f>
        <v>1531280</v>
      </c>
    </row>
    <row r="81" spans="1:26">
      <c r="A81" s="346" t="s">
        <v>126</v>
      </c>
      <c r="B81" s="363">
        <f t="shared" si="4"/>
        <v>429100720</v>
      </c>
      <c r="C81" s="565">
        <f>'P NP KOLAM KAB'!AK29</f>
        <v>0</v>
      </c>
      <c r="D81" s="364">
        <f>'P NP KOLAM KAB'!AO29</f>
        <v>6870600</v>
      </c>
      <c r="E81" s="364">
        <f>'P NP KOLAM KAB'!AM29</f>
        <v>0</v>
      </c>
      <c r="F81" s="364">
        <f>'P NP KOLAM KAB'!Q29</f>
        <v>7061600</v>
      </c>
      <c r="G81" s="364">
        <f>'P NP KOLAM KAB'!AU29</f>
        <v>0</v>
      </c>
      <c r="H81" s="364">
        <f>'P NP KOLAM KAB'!AQ29</f>
        <v>5369400</v>
      </c>
      <c r="I81" s="364">
        <f>'P NP KOLAM KAB'!AE29</f>
        <v>409799120</v>
      </c>
      <c r="J81" s="828" t="str">
        <f>IFERROR('P NP KOLAM KAB'!#REF!/1000,"-")</f>
        <v>-</v>
      </c>
      <c r="K81" s="831">
        <f>'P NP KOLAM KAB'!G29</f>
        <v>0</v>
      </c>
      <c r="L81" s="364">
        <f>'P NP KOLAM KAB'!M29</f>
        <v>0</v>
      </c>
      <c r="M81" s="364">
        <f>'P NP KOLAM KAB'!E29</f>
        <v>0</v>
      </c>
      <c r="N81" s="364">
        <f>SUM('P NP KOLAM KAB'!I29,'P NP KOLAM KAB'!AC29,'P NP KOLAM KAB'!AW29,'P NP KOLAM KAB'!BQ29)</f>
        <v>0</v>
      </c>
      <c r="O81" s="364">
        <f>'P NP KOLAM KAB'!BC29</f>
        <v>0</v>
      </c>
      <c r="P81" s="832">
        <f>'P NP KOLAM KAB'!AY29</f>
        <v>0</v>
      </c>
      <c r="Q81" s="364">
        <f>'P NP KOLAM KAB'!BE29</f>
        <v>0</v>
      </c>
      <c r="R81" s="364">
        <f>'P NP KOLAM KAB'!BK29</f>
        <v>0</v>
      </c>
      <c r="S81" s="364">
        <f>'P NP KOLAM KAB'!AI29</f>
        <v>0</v>
      </c>
      <c r="T81" s="834">
        <v>0</v>
      </c>
      <c r="U81" s="306"/>
      <c r="V81" s="363">
        <f t="shared" si="5"/>
        <v>429100720</v>
      </c>
      <c r="W81" s="350">
        <f>'P NP TW'!AM30</f>
        <v>117497520</v>
      </c>
      <c r="X81" s="350">
        <f>'P NP TW'!AO30</f>
        <v>97639200</v>
      </c>
      <c r="Y81" s="350">
        <f>'P NP TW'!AQ30</f>
        <v>97720600</v>
      </c>
      <c r="Z81" s="351">
        <f>'P NP TW'!AS30</f>
        <v>116243400</v>
      </c>
    </row>
    <row r="82" spans="1:26">
      <c r="A82" s="346" t="s">
        <v>123</v>
      </c>
      <c r="B82" s="363">
        <f t="shared" si="4"/>
        <v>12175405</v>
      </c>
      <c r="C82" s="565">
        <f>'P NP KOLAM KAB'!AK30</f>
        <v>0</v>
      </c>
      <c r="D82" s="364">
        <f>'P NP KOLAM KAB'!AO30</f>
        <v>13356</v>
      </c>
      <c r="E82" s="364">
        <f>'P NP KOLAM KAB'!AM30</f>
        <v>0</v>
      </c>
      <c r="F82" s="364">
        <f>'P NP KOLAM KAB'!Q30</f>
        <v>104440</v>
      </c>
      <c r="G82" s="364">
        <f>'P NP KOLAM KAB'!AU30</f>
        <v>0</v>
      </c>
      <c r="H82" s="364">
        <f>'P NP KOLAM KAB'!AQ30</f>
        <v>0</v>
      </c>
      <c r="I82" s="364">
        <f>'P NP KOLAM KAB'!AE30</f>
        <v>12057609</v>
      </c>
      <c r="J82" s="828" t="str">
        <f>IFERROR('P NP KOLAM KAB'!#REF!/1000,"-")</f>
        <v>-</v>
      </c>
      <c r="K82" s="831">
        <f>'P NP KOLAM KAB'!G30</f>
        <v>0</v>
      </c>
      <c r="L82" s="364">
        <f>'P NP KOLAM KAB'!M30</f>
        <v>0</v>
      </c>
      <c r="M82" s="364">
        <f>'P NP KOLAM KAB'!E30</f>
        <v>0</v>
      </c>
      <c r="N82" s="364">
        <f>SUM('P NP KOLAM KAB'!I30,'P NP KOLAM KAB'!AC30,'P NP KOLAM KAB'!AW30,'P NP KOLAM KAB'!BQ30)</f>
        <v>0</v>
      </c>
      <c r="O82" s="364">
        <f>'P NP KOLAM KAB'!BC30</f>
        <v>0</v>
      </c>
      <c r="P82" s="832">
        <f>'P NP KOLAM KAB'!AY30</f>
        <v>0</v>
      </c>
      <c r="Q82" s="364">
        <f>'P NP KOLAM KAB'!BE30</f>
        <v>0</v>
      </c>
      <c r="R82" s="364">
        <f>'P NP KOLAM KAB'!BK30</f>
        <v>0</v>
      </c>
      <c r="S82" s="364">
        <f>'P NP KOLAM KAB'!AI30</f>
        <v>0</v>
      </c>
      <c r="T82" s="834">
        <v>0</v>
      </c>
      <c r="U82" s="306"/>
      <c r="V82" s="363">
        <f t="shared" si="5"/>
        <v>12175405</v>
      </c>
      <c r="W82" s="350">
        <f>'P NP TW'!AM31</f>
        <v>3232543</v>
      </c>
      <c r="X82" s="350">
        <f>'P NP TW'!AO31</f>
        <v>2892652</v>
      </c>
      <c r="Y82" s="350">
        <f>'P NP TW'!AQ31</f>
        <v>2555555</v>
      </c>
      <c r="Z82" s="351">
        <f>'P NP TW'!AS31</f>
        <v>3494655</v>
      </c>
    </row>
    <row r="83" spans="1:26">
      <c r="A83" s="346" t="s">
        <v>140</v>
      </c>
      <c r="B83" s="363">
        <f t="shared" si="4"/>
        <v>24139934.899999999</v>
      </c>
      <c r="C83" s="565">
        <f>'P NP KOLAM KAB'!AK31</f>
        <v>0</v>
      </c>
      <c r="D83" s="364">
        <f>'P NP KOLAM KAB'!AO31</f>
        <v>0</v>
      </c>
      <c r="E83" s="364">
        <f>'P NP KOLAM KAB'!AM31</f>
        <v>0</v>
      </c>
      <c r="F83" s="364">
        <f>'P NP KOLAM KAB'!Q31</f>
        <v>758558</v>
      </c>
      <c r="G83" s="364">
        <f>'P NP KOLAM KAB'!AU31</f>
        <v>0</v>
      </c>
      <c r="H83" s="364">
        <f>'P NP KOLAM KAB'!AQ31</f>
        <v>0</v>
      </c>
      <c r="I83" s="364">
        <f>'P NP KOLAM KAB'!AE31</f>
        <v>23381376.899999999</v>
      </c>
      <c r="J83" s="828" t="str">
        <f>IFERROR('P NP KOLAM KAB'!#REF!/1000,"-")</f>
        <v>-</v>
      </c>
      <c r="K83" s="831">
        <f>'P NP KOLAM KAB'!G31</f>
        <v>0</v>
      </c>
      <c r="L83" s="364">
        <f>'P NP KOLAM KAB'!M31</f>
        <v>0</v>
      </c>
      <c r="M83" s="364">
        <f>'P NP KOLAM KAB'!E31</f>
        <v>0</v>
      </c>
      <c r="N83" s="364">
        <f>SUM('P NP KOLAM KAB'!I31,'P NP KOLAM KAB'!AC31,'P NP KOLAM KAB'!AW31,'P NP KOLAM KAB'!BQ31)</f>
        <v>0</v>
      </c>
      <c r="O83" s="364">
        <f>'P NP KOLAM KAB'!BC31</f>
        <v>0</v>
      </c>
      <c r="P83" s="832">
        <f>'P NP KOLAM KAB'!AY31</f>
        <v>0</v>
      </c>
      <c r="Q83" s="364">
        <f>'P NP KOLAM KAB'!BE31</f>
        <v>0</v>
      </c>
      <c r="R83" s="364">
        <f>'P NP KOLAM KAB'!BK31</f>
        <v>0</v>
      </c>
      <c r="S83" s="364">
        <f>'P NP KOLAM KAB'!AI31</f>
        <v>0</v>
      </c>
      <c r="T83" s="834">
        <v>0</v>
      </c>
      <c r="U83" s="306"/>
      <c r="V83" s="363">
        <f t="shared" si="5"/>
        <v>24139934.900000002</v>
      </c>
      <c r="W83" s="350">
        <f>'P NP TW'!AM32</f>
        <v>2131162.2000000002</v>
      </c>
      <c r="X83" s="350">
        <f>'P NP TW'!AO32</f>
        <v>2306270.5</v>
      </c>
      <c r="Y83" s="350">
        <f>'P NP TW'!AQ32</f>
        <v>17082026.200000003</v>
      </c>
      <c r="Z83" s="351">
        <f>'P NP TW'!AS32</f>
        <v>2620476</v>
      </c>
    </row>
    <row r="84" spans="1:26">
      <c r="A84" s="346" t="s">
        <v>114</v>
      </c>
      <c r="B84" s="363">
        <f t="shared" si="4"/>
        <v>86957019</v>
      </c>
      <c r="C84" s="565">
        <f>'P NP KOLAM KAB'!AK32</f>
        <v>0</v>
      </c>
      <c r="D84" s="364">
        <f>'P NP KOLAM KAB'!AO32</f>
        <v>3245637</v>
      </c>
      <c r="E84" s="364">
        <f>'P NP KOLAM KAB'!AM32</f>
        <v>0</v>
      </c>
      <c r="F84" s="364">
        <f>'P NP KOLAM KAB'!Q32</f>
        <v>6340330</v>
      </c>
      <c r="G84" s="364">
        <f>'P NP KOLAM KAB'!AU32</f>
        <v>0</v>
      </c>
      <c r="H84" s="364">
        <f>'P NP KOLAM KAB'!AQ32</f>
        <v>8539504</v>
      </c>
      <c r="I84" s="364">
        <f>'P NP KOLAM KAB'!AE32</f>
        <v>68578304</v>
      </c>
      <c r="J84" s="828" t="str">
        <f>IFERROR('P NP KOLAM KAB'!#REF!/1000,"-")</f>
        <v>-</v>
      </c>
      <c r="K84" s="831">
        <f>'P NP KOLAM KAB'!G32</f>
        <v>0</v>
      </c>
      <c r="L84" s="364">
        <f>'P NP KOLAM KAB'!M32</f>
        <v>253244</v>
      </c>
      <c r="M84" s="364">
        <f>'P NP KOLAM KAB'!E32</f>
        <v>0</v>
      </c>
      <c r="N84" s="364">
        <f>SUM('P NP KOLAM KAB'!I32,'P NP KOLAM KAB'!AC32,'P NP KOLAM KAB'!AW32,'P NP KOLAM KAB'!BQ32)</f>
        <v>0</v>
      </c>
      <c r="O84" s="364">
        <f>'P NP KOLAM KAB'!BC32</f>
        <v>0</v>
      </c>
      <c r="P84" s="832">
        <f>'P NP KOLAM KAB'!AY32</f>
        <v>0</v>
      </c>
      <c r="Q84" s="364">
        <f>'P NP KOLAM KAB'!BE32</f>
        <v>0</v>
      </c>
      <c r="R84" s="364">
        <f>'P NP KOLAM KAB'!BK32</f>
        <v>0</v>
      </c>
      <c r="S84" s="364">
        <f>'P NP KOLAM KAB'!AI32</f>
        <v>0</v>
      </c>
      <c r="T84" s="834">
        <v>0</v>
      </c>
      <c r="U84" s="306"/>
      <c r="V84" s="363">
        <f t="shared" si="5"/>
        <v>86957019</v>
      </c>
      <c r="W84" s="350">
        <f>'P NP TW'!AM33</f>
        <v>21451777</v>
      </c>
      <c r="X84" s="350">
        <f>'P NP TW'!AO33</f>
        <v>24320910</v>
      </c>
      <c r="Y84" s="350">
        <f>'P NP TW'!AQ33</f>
        <v>21373000</v>
      </c>
      <c r="Z84" s="351">
        <f>'P NP TW'!AS33</f>
        <v>19811332</v>
      </c>
    </row>
    <row r="85" spans="1:26">
      <c r="A85" s="346" t="s">
        <v>134</v>
      </c>
      <c r="B85" s="363">
        <f t="shared" si="4"/>
        <v>283634856.41100001</v>
      </c>
      <c r="C85" s="565">
        <f>'P NP KOLAM KAB'!AK33</f>
        <v>29977560</v>
      </c>
      <c r="D85" s="364">
        <f>'P NP KOLAM KAB'!AO33</f>
        <v>33127030</v>
      </c>
      <c r="E85" s="364">
        <f>'P NP KOLAM KAB'!AM33</f>
        <v>0</v>
      </c>
      <c r="F85" s="364">
        <f>'P NP KOLAM KAB'!Q33</f>
        <v>7192090</v>
      </c>
      <c r="G85" s="364">
        <f>'P NP KOLAM KAB'!AU33</f>
        <v>12876385</v>
      </c>
      <c r="H85" s="364">
        <f>'P NP KOLAM KAB'!AQ33</f>
        <v>8111430</v>
      </c>
      <c r="I85" s="364">
        <f>'P NP KOLAM KAB'!AE33</f>
        <v>183124311.41100001</v>
      </c>
      <c r="J85" s="828" t="str">
        <f>IFERROR('P NP KOLAM KAB'!#REF!/1000,"-")</f>
        <v>-</v>
      </c>
      <c r="K85" s="831">
        <f>'P NP KOLAM KAB'!G33</f>
        <v>3566600</v>
      </c>
      <c r="L85" s="364">
        <f>'P NP KOLAM KAB'!M33</f>
        <v>5659450</v>
      </c>
      <c r="M85" s="364">
        <f>'P NP KOLAM KAB'!E33</f>
        <v>0</v>
      </c>
      <c r="N85" s="364">
        <f>SUM('P NP KOLAM KAB'!I33,'P NP KOLAM KAB'!AC33,'P NP KOLAM KAB'!AW33,'P NP KOLAM KAB'!BQ33)</f>
        <v>0</v>
      </c>
      <c r="O85" s="364">
        <f>'P NP KOLAM KAB'!BC33</f>
        <v>0</v>
      </c>
      <c r="P85" s="832">
        <f>'P NP KOLAM KAB'!AY33</f>
        <v>0</v>
      </c>
      <c r="Q85" s="364">
        <f>'P NP KOLAM KAB'!BE33</f>
        <v>0</v>
      </c>
      <c r="R85" s="364">
        <f>'P NP KOLAM KAB'!BK33</f>
        <v>0</v>
      </c>
      <c r="S85" s="364">
        <f>'P NP KOLAM KAB'!AI33</f>
        <v>0</v>
      </c>
      <c r="T85" s="834">
        <v>0</v>
      </c>
      <c r="U85" s="306"/>
      <c r="V85" s="363">
        <f t="shared" si="5"/>
        <v>283634856.41100001</v>
      </c>
      <c r="W85" s="350">
        <f>'P NP TW'!AM34</f>
        <v>66951041.410999998</v>
      </c>
      <c r="X85" s="350">
        <f>'P NP TW'!AO34</f>
        <v>67631660</v>
      </c>
      <c r="Y85" s="350">
        <f>'P NP TW'!AQ34</f>
        <v>56775615</v>
      </c>
      <c r="Z85" s="351">
        <f>'P NP TW'!AS34</f>
        <v>92276540</v>
      </c>
    </row>
    <row r="86" spans="1:26">
      <c r="A86" s="346" t="s">
        <v>115</v>
      </c>
      <c r="B86" s="363">
        <f t="shared" si="4"/>
        <v>1124622500</v>
      </c>
      <c r="C86" s="565">
        <f>'P NP KOLAM KAB'!AK34</f>
        <v>0</v>
      </c>
      <c r="D86" s="364">
        <f>'P NP KOLAM KAB'!AO34</f>
        <v>1976500</v>
      </c>
      <c r="E86" s="364">
        <f>'P NP KOLAM KAB'!AM34</f>
        <v>0</v>
      </c>
      <c r="F86" s="364">
        <f>'P NP KOLAM KAB'!Q34</f>
        <v>548445000</v>
      </c>
      <c r="G86" s="364">
        <f>'P NP KOLAM KAB'!AU34</f>
        <v>0</v>
      </c>
      <c r="H86" s="364">
        <f>'P NP KOLAM KAB'!AQ34</f>
        <v>360546000</v>
      </c>
      <c r="I86" s="364">
        <f>'P NP KOLAM KAB'!AE34</f>
        <v>200985000</v>
      </c>
      <c r="J86" s="828" t="str">
        <f>IFERROR('P NP KOLAM KAB'!#REF!/1000,"-")</f>
        <v>-</v>
      </c>
      <c r="K86" s="831">
        <f>'P NP KOLAM KAB'!G34</f>
        <v>0</v>
      </c>
      <c r="L86" s="364">
        <f>'P NP KOLAM KAB'!M34</f>
        <v>2170000</v>
      </c>
      <c r="M86" s="364">
        <f>'P NP KOLAM KAB'!E34</f>
        <v>0</v>
      </c>
      <c r="N86" s="364">
        <f>SUM('P NP KOLAM KAB'!I34,'P NP KOLAM KAB'!AC34,'P NP KOLAM KAB'!AW34,'P NP KOLAM KAB'!BQ34)</f>
        <v>0</v>
      </c>
      <c r="O86" s="364">
        <f>'P NP KOLAM KAB'!BC34</f>
        <v>10500000</v>
      </c>
      <c r="P86" s="832">
        <f>'P NP KOLAM KAB'!AY34</f>
        <v>0</v>
      </c>
      <c r="Q86" s="364">
        <f>'P NP KOLAM KAB'!BE34</f>
        <v>0</v>
      </c>
      <c r="R86" s="364">
        <f>'P NP KOLAM KAB'!BK34</f>
        <v>0</v>
      </c>
      <c r="S86" s="364">
        <f>'P NP KOLAM KAB'!AI34</f>
        <v>0</v>
      </c>
      <c r="T86" s="834">
        <v>0</v>
      </c>
      <c r="U86" s="306"/>
      <c r="V86" s="363">
        <f t="shared" si="5"/>
        <v>1124622500</v>
      </c>
      <c r="W86" s="350">
        <f>'P NP TW'!AM35</f>
        <v>238251000</v>
      </c>
      <c r="X86" s="350">
        <f>'P NP TW'!AO35</f>
        <v>289513000</v>
      </c>
      <c r="Y86" s="350">
        <f>'P NP TW'!AQ35</f>
        <v>265912500</v>
      </c>
      <c r="Z86" s="351">
        <f>'P NP TW'!AS35</f>
        <v>330946000</v>
      </c>
    </row>
    <row r="87" spans="1:26">
      <c r="A87" s="346" t="s">
        <v>149</v>
      </c>
      <c r="B87" s="363">
        <f t="shared" si="4"/>
        <v>1575859</v>
      </c>
      <c r="C87" s="565">
        <f>'P NP KOLAM KAB'!AK35</f>
        <v>77774</v>
      </c>
      <c r="D87" s="364">
        <f>'P NP KOLAM KAB'!AO35</f>
        <v>900045</v>
      </c>
      <c r="E87" s="364">
        <f>'P NP KOLAM KAB'!AM35</f>
        <v>0</v>
      </c>
      <c r="F87" s="364">
        <f>'P NP KOLAM KAB'!Q35</f>
        <v>0</v>
      </c>
      <c r="G87" s="364">
        <f>'P NP KOLAM KAB'!AU35</f>
        <v>0</v>
      </c>
      <c r="H87" s="364">
        <f>'P NP KOLAM KAB'!AQ35</f>
        <v>0</v>
      </c>
      <c r="I87" s="364">
        <f>'P NP KOLAM KAB'!AE35</f>
        <v>598040</v>
      </c>
      <c r="J87" s="828" t="str">
        <f>IFERROR('P NP KOLAM KAB'!#REF!/1000,"-")</f>
        <v>-</v>
      </c>
      <c r="K87" s="831">
        <f>'P NP KOLAM KAB'!G35</f>
        <v>0</v>
      </c>
      <c r="L87" s="364">
        <f>'P NP KOLAM KAB'!M35</f>
        <v>0</v>
      </c>
      <c r="M87" s="364">
        <f>'P NP KOLAM KAB'!E35</f>
        <v>0</v>
      </c>
      <c r="N87" s="364">
        <f>SUM('P NP KOLAM KAB'!I35,'P NP KOLAM KAB'!AC35,'P NP KOLAM KAB'!AW35,'P NP KOLAM KAB'!BQ35)</f>
        <v>0</v>
      </c>
      <c r="O87" s="364">
        <f>'P NP KOLAM KAB'!BC35</f>
        <v>0</v>
      </c>
      <c r="P87" s="832">
        <f>'P NP KOLAM KAB'!AY35</f>
        <v>0</v>
      </c>
      <c r="Q87" s="364">
        <f>'P NP KOLAM KAB'!BE35</f>
        <v>0</v>
      </c>
      <c r="R87" s="364">
        <f>'P NP KOLAM KAB'!BK35</f>
        <v>0</v>
      </c>
      <c r="S87" s="364">
        <f>'P NP KOLAM KAB'!AI35</f>
        <v>0</v>
      </c>
      <c r="T87" s="834">
        <v>0</v>
      </c>
      <c r="U87" s="306"/>
      <c r="V87" s="363">
        <f t="shared" si="5"/>
        <v>1575859</v>
      </c>
      <c r="W87" s="350">
        <f>'P NP TW'!AM36</f>
        <v>373093</v>
      </c>
      <c r="X87" s="350">
        <f>'P NP TW'!AO36</f>
        <v>378610</v>
      </c>
      <c r="Y87" s="350">
        <f>'P NP TW'!AQ36</f>
        <v>405511</v>
      </c>
      <c r="Z87" s="351">
        <f>'P NP TW'!AS36</f>
        <v>418645</v>
      </c>
    </row>
    <row r="88" spans="1:26">
      <c r="A88" s="346" t="s">
        <v>142</v>
      </c>
      <c r="B88" s="363">
        <f t="shared" si="4"/>
        <v>5157835</v>
      </c>
      <c r="C88" s="565">
        <f>'P NP KOLAM KAB'!AK36</f>
        <v>0</v>
      </c>
      <c r="D88" s="364">
        <f>'P NP KOLAM KAB'!AO36</f>
        <v>1600570</v>
      </c>
      <c r="E88" s="364">
        <f>'P NP KOLAM KAB'!AM36</f>
        <v>0</v>
      </c>
      <c r="F88" s="364">
        <f>'P NP KOLAM KAB'!Q36</f>
        <v>1286720</v>
      </c>
      <c r="G88" s="364">
        <f>'P NP KOLAM KAB'!AU36</f>
        <v>0</v>
      </c>
      <c r="H88" s="364">
        <f>'P NP KOLAM KAB'!AQ36</f>
        <v>216100</v>
      </c>
      <c r="I88" s="364">
        <f>'P NP KOLAM KAB'!AE36</f>
        <v>2054445</v>
      </c>
      <c r="J88" s="828" t="str">
        <f>IFERROR('P NP KOLAM KAB'!#REF!/1000,"-")</f>
        <v>-</v>
      </c>
      <c r="K88" s="831">
        <f>'P NP KOLAM KAB'!G36</f>
        <v>0</v>
      </c>
      <c r="L88" s="364">
        <f>'P NP KOLAM KAB'!M36</f>
        <v>0</v>
      </c>
      <c r="M88" s="364">
        <f>'P NP KOLAM KAB'!E36</f>
        <v>0</v>
      </c>
      <c r="N88" s="364">
        <f>SUM('P NP KOLAM KAB'!I36,'P NP KOLAM KAB'!AC36,'P NP KOLAM KAB'!AW36,'P NP KOLAM KAB'!BQ36)</f>
        <v>0</v>
      </c>
      <c r="O88" s="364">
        <f>'P NP KOLAM KAB'!BC36</f>
        <v>0</v>
      </c>
      <c r="P88" s="832">
        <f>'P NP KOLAM KAB'!AY36</f>
        <v>0</v>
      </c>
      <c r="Q88" s="364">
        <f>'P NP KOLAM KAB'!BE36</f>
        <v>0</v>
      </c>
      <c r="R88" s="364">
        <f>'P NP KOLAM KAB'!BK36</f>
        <v>0</v>
      </c>
      <c r="S88" s="364">
        <f>'P NP KOLAM KAB'!AI36</f>
        <v>0</v>
      </c>
      <c r="T88" s="834">
        <v>0</v>
      </c>
      <c r="U88" s="306"/>
      <c r="V88" s="363">
        <f t="shared" si="5"/>
        <v>5157835</v>
      </c>
      <c r="W88" s="350">
        <f>'P NP TW'!AM37</f>
        <v>1410230</v>
      </c>
      <c r="X88" s="350">
        <f>'P NP TW'!AO37</f>
        <v>1294500</v>
      </c>
      <c r="Y88" s="350">
        <f>'P NP TW'!AQ37</f>
        <v>1339425</v>
      </c>
      <c r="Z88" s="351">
        <f>'P NP TW'!AS37</f>
        <v>1113680</v>
      </c>
    </row>
    <row r="89" spans="1:26">
      <c r="A89" s="346" t="s">
        <v>141</v>
      </c>
      <c r="B89" s="363">
        <f t="shared" si="4"/>
        <v>3685600</v>
      </c>
      <c r="C89" s="565">
        <f>'P NP KOLAM KAB'!AK37</f>
        <v>0</v>
      </c>
      <c r="D89" s="364">
        <f>'P NP KOLAM KAB'!AO37</f>
        <v>205500</v>
      </c>
      <c r="E89" s="364">
        <f>'P NP KOLAM KAB'!AM37</f>
        <v>0</v>
      </c>
      <c r="F89" s="364">
        <f>'P NP KOLAM KAB'!Q37</f>
        <v>41500</v>
      </c>
      <c r="G89" s="364">
        <f>'P NP KOLAM KAB'!AU37</f>
        <v>0</v>
      </c>
      <c r="H89" s="364">
        <f>'P NP KOLAM KAB'!AQ37</f>
        <v>0</v>
      </c>
      <c r="I89" s="364">
        <f>'P NP KOLAM KAB'!AE37</f>
        <v>3438600</v>
      </c>
      <c r="J89" s="828" t="str">
        <f>IFERROR('P NP KOLAM KAB'!#REF!/1000,"-")</f>
        <v>-</v>
      </c>
      <c r="K89" s="831">
        <f>'P NP KOLAM KAB'!G37</f>
        <v>0</v>
      </c>
      <c r="L89" s="364">
        <f>'P NP KOLAM KAB'!M37</f>
        <v>0</v>
      </c>
      <c r="M89" s="364">
        <f>'P NP KOLAM KAB'!E37</f>
        <v>0</v>
      </c>
      <c r="N89" s="364">
        <f>SUM('P NP KOLAM KAB'!I37,'P NP KOLAM KAB'!AC37,'P NP KOLAM KAB'!AW37,'P NP KOLAM KAB'!BQ37)</f>
        <v>0</v>
      </c>
      <c r="O89" s="364">
        <f>'P NP KOLAM KAB'!BC37</f>
        <v>0</v>
      </c>
      <c r="P89" s="832">
        <f>'P NP KOLAM KAB'!AY37</f>
        <v>0</v>
      </c>
      <c r="Q89" s="364">
        <f>'P NP KOLAM KAB'!BE37</f>
        <v>0</v>
      </c>
      <c r="R89" s="364">
        <f>'P NP KOLAM KAB'!BK37</f>
        <v>0</v>
      </c>
      <c r="S89" s="364">
        <f>'P NP KOLAM KAB'!AI37</f>
        <v>0</v>
      </c>
      <c r="T89" s="834">
        <v>0</v>
      </c>
      <c r="U89" s="306"/>
      <c r="V89" s="363">
        <f t="shared" si="5"/>
        <v>3685600</v>
      </c>
      <c r="W89" s="350">
        <f>'P NP TW'!AM38</f>
        <v>974300</v>
      </c>
      <c r="X89" s="350">
        <f>'P NP TW'!AO38</f>
        <v>915600</v>
      </c>
      <c r="Y89" s="350">
        <f>'P NP TW'!AQ38</f>
        <v>896950</v>
      </c>
      <c r="Z89" s="351">
        <f>'P NP TW'!AS38</f>
        <v>898750</v>
      </c>
    </row>
    <row r="90" spans="1:26">
      <c r="A90" s="346" t="s">
        <v>147</v>
      </c>
      <c r="B90" s="363">
        <f t="shared" si="4"/>
        <v>6407714.6219999995</v>
      </c>
      <c r="C90" s="565">
        <f>'P NP KOLAM KAB'!AK38</f>
        <v>0</v>
      </c>
      <c r="D90" s="364">
        <f>'P NP KOLAM KAB'!AO38</f>
        <v>866531.93500000006</v>
      </c>
      <c r="E90" s="364">
        <f>'P NP KOLAM KAB'!AM38</f>
        <v>0</v>
      </c>
      <c r="F90" s="364">
        <f>'P NP KOLAM KAB'!Q38</f>
        <v>1893684.3699999999</v>
      </c>
      <c r="G90" s="364">
        <f>'P NP KOLAM KAB'!AU38</f>
        <v>0</v>
      </c>
      <c r="H90" s="364">
        <f>'P NP KOLAM KAB'!AQ38</f>
        <v>0</v>
      </c>
      <c r="I90" s="364">
        <f>'P NP KOLAM KAB'!AE38</f>
        <v>3647498.3169999998</v>
      </c>
      <c r="J90" s="828" t="str">
        <f>IFERROR('P NP KOLAM KAB'!#REF!/1000,"-")</f>
        <v>-</v>
      </c>
      <c r="K90" s="831">
        <f>'P NP KOLAM KAB'!G38</f>
        <v>0</v>
      </c>
      <c r="L90" s="364">
        <f>'P NP KOLAM KAB'!M38</f>
        <v>0</v>
      </c>
      <c r="M90" s="364">
        <f>'P NP KOLAM KAB'!E38</f>
        <v>0</v>
      </c>
      <c r="N90" s="364">
        <f>SUM('P NP KOLAM KAB'!I38,'P NP KOLAM KAB'!AC38,'P NP KOLAM KAB'!AW38,'P NP KOLAM KAB'!BQ38)</f>
        <v>0</v>
      </c>
      <c r="O90" s="364">
        <f>'P NP KOLAM KAB'!BC38</f>
        <v>0</v>
      </c>
      <c r="P90" s="832">
        <f>'P NP KOLAM KAB'!AY38</f>
        <v>0</v>
      </c>
      <c r="Q90" s="364">
        <f>'P NP KOLAM KAB'!BE38</f>
        <v>0</v>
      </c>
      <c r="R90" s="364">
        <f>'P NP KOLAM KAB'!BK38</f>
        <v>0</v>
      </c>
      <c r="S90" s="364">
        <f>'P NP KOLAM KAB'!AI38</f>
        <v>0</v>
      </c>
      <c r="T90" s="834">
        <v>0</v>
      </c>
      <c r="U90" s="306"/>
      <c r="V90" s="363">
        <f t="shared" si="5"/>
        <v>6407714.6219999995</v>
      </c>
      <c r="W90" s="350">
        <f>'P NP TW'!AM39</f>
        <v>2034943.4</v>
      </c>
      <c r="X90" s="350">
        <f>'P NP TW'!AO39</f>
        <v>1872530.2220000001</v>
      </c>
      <c r="Y90" s="350">
        <f>'P NP TW'!AQ39</f>
        <v>1204346</v>
      </c>
      <c r="Z90" s="351">
        <f>'P NP TW'!AS39</f>
        <v>1295895</v>
      </c>
    </row>
    <row r="91" spans="1:26">
      <c r="A91" s="346" t="s">
        <v>143</v>
      </c>
      <c r="B91" s="363">
        <f t="shared" si="4"/>
        <v>2955300</v>
      </c>
      <c r="C91" s="565">
        <f>'P NP KOLAM KAB'!AK39</f>
        <v>0</v>
      </c>
      <c r="D91" s="364">
        <f>'P NP KOLAM KAB'!AO39</f>
        <v>1016350</v>
      </c>
      <c r="E91" s="364">
        <f>'P NP KOLAM KAB'!AM39</f>
        <v>0</v>
      </c>
      <c r="F91" s="364">
        <f>'P NP KOLAM KAB'!Q39</f>
        <v>0</v>
      </c>
      <c r="G91" s="364">
        <f>'P NP KOLAM KAB'!AU39</f>
        <v>0</v>
      </c>
      <c r="H91" s="364">
        <f>'P NP KOLAM KAB'!AQ39</f>
        <v>0</v>
      </c>
      <c r="I91" s="364">
        <f>'P NP KOLAM KAB'!AE39</f>
        <v>1938950</v>
      </c>
      <c r="J91" s="828" t="str">
        <f>IFERROR('P NP KOLAM KAB'!#REF!/1000,"-")</f>
        <v>-</v>
      </c>
      <c r="K91" s="831">
        <f>'P NP KOLAM KAB'!G39</f>
        <v>0</v>
      </c>
      <c r="L91" s="364">
        <f>'P NP KOLAM KAB'!M39</f>
        <v>0</v>
      </c>
      <c r="M91" s="364">
        <f>'P NP KOLAM KAB'!E39</f>
        <v>0</v>
      </c>
      <c r="N91" s="364">
        <f>SUM('P NP KOLAM KAB'!I39,'P NP KOLAM KAB'!AC39,'P NP KOLAM KAB'!AW39,'P NP KOLAM KAB'!BQ39)</f>
        <v>0</v>
      </c>
      <c r="O91" s="364">
        <f>'P NP KOLAM KAB'!BC39</f>
        <v>0</v>
      </c>
      <c r="P91" s="832">
        <f>'P NP KOLAM KAB'!AY39</f>
        <v>0</v>
      </c>
      <c r="Q91" s="364">
        <f>'P NP KOLAM KAB'!BE39</f>
        <v>0</v>
      </c>
      <c r="R91" s="364">
        <f>'P NP KOLAM KAB'!BK39</f>
        <v>0</v>
      </c>
      <c r="S91" s="364">
        <f>'P NP KOLAM KAB'!AI39</f>
        <v>0</v>
      </c>
      <c r="T91" s="834">
        <v>0</v>
      </c>
      <c r="U91" s="306"/>
      <c r="V91" s="363">
        <f t="shared" si="5"/>
        <v>2955300</v>
      </c>
      <c r="W91" s="350">
        <f>'P NP TW'!AM40</f>
        <v>932500</v>
      </c>
      <c r="X91" s="350">
        <f>'P NP TW'!AO40</f>
        <v>631800</v>
      </c>
      <c r="Y91" s="350">
        <f>'P NP TW'!AQ40</f>
        <v>462000</v>
      </c>
      <c r="Z91" s="351">
        <f>'P NP TW'!AS40</f>
        <v>929000</v>
      </c>
    </row>
    <row r="92" spans="1:26">
      <c r="A92" s="346" t="s">
        <v>146</v>
      </c>
      <c r="B92" s="363">
        <f t="shared" si="4"/>
        <v>4188392.0040000002</v>
      </c>
      <c r="C92" s="565">
        <f>'P NP KOLAM KAB'!AK40</f>
        <v>0</v>
      </c>
      <c r="D92" s="364">
        <f>'P NP KOLAM KAB'!AO40</f>
        <v>129444.00200000001</v>
      </c>
      <c r="E92" s="364">
        <f>'P NP KOLAM KAB'!AM40</f>
        <v>0</v>
      </c>
      <c r="F92" s="364">
        <f>'P NP KOLAM KAB'!Q40</f>
        <v>95130</v>
      </c>
      <c r="G92" s="364">
        <f>'P NP KOLAM KAB'!AU40</f>
        <v>0</v>
      </c>
      <c r="H92" s="364">
        <f>'P NP KOLAM KAB'!AQ40</f>
        <v>54020.002</v>
      </c>
      <c r="I92" s="364">
        <f>'P NP KOLAM KAB'!AE40</f>
        <v>3909798</v>
      </c>
      <c r="J92" s="828" t="str">
        <f>IFERROR('P NP KOLAM KAB'!#REF!/1000,"-")</f>
        <v>-</v>
      </c>
      <c r="K92" s="831">
        <f>'P NP KOLAM KAB'!G40</f>
        <v>0</v>
      </c>
      <c r="L92" s="364">
        <f>'P NP KOLAM KAB'!M40</f>
        <v>0</v>
      </c>
      <c r="M92" s="364">
        <f>'P NP KOLAM KAB'!E40</f>
        <v>0</v>
      </c>
      <c r="N92" s="364">
        <f>SUM('P NP KOLAM KAB'!I40,'P NP KOLAM KAB'!AC40,'P NP KOLAM KAB'!AW40,'P NP KOLAM KAB'!BQ40)</f>
        <v>0</v>
      </c>
      <c r="O92" s="364">
        <f>'P NP KOLAM KAB'!BC40</f>
        <v>0</v>
      </c>
      <c r="P92" s="832">
        <f>'P NP KOLAM KAB'!AY40</f>
        <v>0</v>
      </c>
      <c r="Q92" s="364">
        <f>'P NP KOLAM KAB'!BE40</f>
        <v>0</v>
      </c>
      <c r="R92" s="364">
        <f>'P NP KOLAM KAB'!BK40</f>
        <v>0</v>
      </c>
      <c r="S92" s="364">
        <f>'P NP KOLAM KAB'!AI40</f>
        <v>0</v>
      </c>
      <c r="T92" s="834">
        <v>0</v>
      </c>
      <c r="U92" s="306"/>
      <c r="V92" s="363">
        <f t="shared" si="5"/>
        <v>4188392.0039999997</v>
      </c>
      <c r="W92" s="350">
        <f>'P NP TW'!AM41</f>
        <v>1049882.0019999999</v>
      </c>
      <c r="X92" s="350">
        <f>'P NP TW'!AO41</f>
        <v>1036437.002</v>
      </c>
      <c r="Y92" s="350">
        <f>'P NP TW'!AQ41</f>
        <v>1040735</v>
      </c>
      <c r="Z92" s="351">
        <f>'P NP TW'!AS41</f>
        <v>1061338</v>
      </c>
    </row>
    <row r="93" spans="1:26">
      <c r="A93" s="346" t="s">
        <v>145</v>
      </c>
      <c r="B93" s="363">
        <f t="shared" si="4"/>
        <v>689827</v>
      </c>
      <c r="C93" s="565">
        <f>'P NP KOLAM KAB'!AK41</f>
        <v>0</v>
      </c>
      <c r="D93" s="364">
        <f>'P NP KOLAM KAB'!AO41</f>
        <v>0</v>
      </c>
      <c r="E93" s="364">
        <f>'P NP KOLAM KAB'!AM41</f>
        <v>0</v>
      </c>
      <c r="F93" s="364">
        <f>'P NP KOLAM KAB'!Q41</f>
        <v>0</v>
      </c>
      <c r="G93" s="364">
        <f>'P NP KOLAM KAB'!AU41</f>
        <v>0</v>
      </c>
      <c r="H93" s="364">
        <f>'P NP KOLAM KAB'!AQ41</f>
        <v>660</v>
      </c>
      <c r="I93" s="364">
        <f>'P NP KOLAM KAB'!AE41</f>
        <v>689167</v>
      </c>
      <c r="J93" s="828" t="str">
        <f>IFERROR('P NP KOLAM KAB'!#REF!/1000,"-")</f>
        <v>-</v>
      </c>
      <c r="K93" s="831">
        <f>'P NP KOLAM KAB'!G41</f>
        <v>0</v>
      </c>
      <c r="L93" s="364">
        <f>'P NP KOLAM KAB'!M41</f>
        <v>0</v>
      </c>
      <c r="M93" s="364">
        <f>'P NP KOLAM KAB'!E41</f>
        <v>0</v>
      </c>
      <c r="N93" s="364">
        <f>SUM('P NP KOLAM KAB'!I41,'P NP KOLAM KAB'!AC41,'P NP KOLAM KAB'!AW41,'P NP KOLAM KAB'!BQ41)</f>
        <v>0</v>
      </c>
      <c r="O93" s="364">
        <f>'P NP KOLAM KAB'!BC41</f>
        <v>0</v>
      </c>
      <c r="P93" s="832">
        <f>'P NP KOLAM KAB'!AY41</f>
        <v>0</v>
      </c>
      <c r="Q93" s="364">
        <f>'P NP KOLAM KAB'!BE41</f>
        <v>0</v>
      </c>
      <c r="R93" s="364">
        <f>'P NP KOLAM KAB'!BK41</f>
        <v>0</v>
      </c>
      <c r="S93" s="364">
        <f>'P NP KOLAM KAB'!AI41</f>
        <v>0</v>
      </c>
      <c r="T93" s="834">
        <v>0</v>
      </c>
      <c r="U93" s="306"/>
      <c r="V93" s="363">
        <f t="shared" si="5"/>
        <v>689827</v>
      </c>
      <c r="W93" s="350">
        <f>'P NP TW'!AM42</f>
        <v>237267</v>
      </c>
      <c r="X93" s="350">
        <f>'P NP TW'!AO42</f>
        <v>204960</v>
      </c>
      <c r="Y93" s="350">
        <f>'P NP TW'!AQ42</f>
        <v>101680</v>
      </c>
      <c r="Z93" s="351">
        <f>'P NP TW'!AS42</f>
        <v>145920</v>
      </c>
    </row>
    <row r="94" spans="1:26">
      <c r="A94" s="346" t="s">
        <v>144</v>
      </c>
      <c r="B94" s="363">
        <f t="shared" si="4"/>
        <v>4056530</v>
      </c>
      <c r="C94" s="565">
        <f>'P NP KOLAM KAB'!AK42</f>
        <v>0</v>
      </c>
      <c r="D94" s="364">
        <f>'P NP KOLAM KAB'!AO42</f>
        <v>317841.5</v>
      </c>
      <c r="E94" s="364">
        <f>'P NP KOLAM KAB'!AM42</f>
        <v>0</v>
      </c>
      <c r="F94" s="364">
        <f>'P NP KOLAM KAB'!Q42</f>
        <v>392456</v>
      </c>
      <c r="G94" s="364">
        <f>'P NP KOLAM KAB'!AU42</f>
        <v>0</v>
      </c>
      <c r="H94" s="364">
        <f>'P NP KOLAM KAB'!AQ42</f>
        <v>0</v>
      </c>
      <c r="I94" s="364">
        <f>'P NP KOLAM KAB'!AE42</f>
        <v>3050592.5</v>
      </c>
      <c r="J94" s="828" t="str">
        <f>IFERROR('P NP KOLAM KAB'!#REF!/1000,"-")</f>
        <v>-</v>
      </c>
      <c r="K94" s="831">
        <f>'P NP KOLAM KAB'!G42</f>
        <v>0</v>
      </c>
      <c r="L94" s="364">
        <f>'P NP KOLAM KAB'!M42</f>
        <v>0</v>
      </c>
      <c r="M94" s="364">
        <f>'P NP KOLAM KAB'!E42</f>
        <v>0</v>
      </c>
      <c r="N94" s="364">
        <f>SUM('P NP KOLAM KAB'!I42,'P NP KOLAM KAB'!AC42,'P NP KOLAM KAB'!AW42,'P NP KOLAM KAB'!BQ42)</f>
        <v>295640</v>
      </c>
      <c r="O94" s="364">
        <f>'P NP KOLAM KAB'!BC42</f>
        <v>0</v>
      </c>
      <c r="P94" s="832">
        <f>'P NP KOLAM KAB'!AY42</f>
        <v>0</v>
      </c>
      <c r="Q94" s="364">
        <f>'P NP KOLAM KAB'!BE42</f>
        <v>0</v>
      </c>
      <c r="R94" s="364">
        <f>'P NP KOLAM KAB'!BK42</f>
        <v>0</v>
      </c>
      <c r="S94" s="364">
        <f>'P NP KOLAM KAB'!AI42</f>
        <v>0</v>
      </c>
      <c r="T94" s="834">
        <v>0</v>
      </c>
      <c r="U94" s="306"/>
      <c r="V94" s="363">
        <f t="shared" si="5"/>
        <v>4056530</v>
      </c>
      <c r="W94" s="350">
        <f>'P NP TW'!AM43</f>
        <v>1096417</v>
      </c>
      <c r="X94" s="350">
        <f>'P NP TW'!AO43</f>
        <v>903367</v>
      </c>
      <c r="Y94" s="350">
        <f>'P NP TW'!AQ43</f>
        <v>835281</v>
      </c>
      <c r="Z94" s="351">
        <f>'P NP TW'!AS43</f>
        <v>1221465</v>
      </c>
    </row>
    <row r="95" spans="1:26" ht="14.5" thickBot="1">
      <c r="A95" s="347" t="s">
        <v>148</v>
      </c>
      <c r="B95" s="274">
        <f t="shared" si="4"/>
        <v>114032566</v>
      </c>
      <c r="C95" s="566">
        <f>'P NP KOLAM KAB'!AK43</f>
        <v>0</v>
      </c>
      <c r="D95" s="330">
        <f>'P NP KOLAM KAB'!AO43</f>
        <v>36437122</v>
      </c>
      <c r="E95" s="330">
        <f>'P NP KOLAM KAB'!AM43</f>
        <v>0</v>
      </c>
      <c r="F95" s="330">
        <f>'P NP KOLAM KAB'!Q43</f>
        <v>0</v>
      </c>
      <c r="G95" s="330">
        <f>'P NP KOLAM KAB'!AU43</f>
        <v>0</v>
      </c>
      <c r="H95" s="330">
        <f>'P NP KOLAM KAB'!AQ43</f>
        <v>117364</v>
      </c>
      <c r="I95" s="330">
        <f>'P NP KOLAM KAB'!AE43</f>
        <v>45351390</v>
      </c>
      <c r="J95" s="835" t="str">
        <f>IFERROR('P NP KOLAM KAB'!#REF!/1000,"-")</f>
        <v>-</v>
      </c>
      <c r="K95" s="836">
        <f>'P NP KOLAM KAB'!G43</f>
        <v>0</v>
      </c>
      <c r="L95" s="330">
        <f>'P NP KOLAM KAB'!M43</f>
        <v>0</v>
      </c>
      <c r="M95" s="330">
        <f>'P NP KOLAM KAB'!E43</f>
        <v>32126690</v>
      </c>
      <c r="N95" s="330">
        <f>SUM('P NP KOLAM KAB'!I43,'P NP KOLAM KAB'!AC43,'P NP KOLAM KAB'!AW43,'P NP KOLAM KAB'!BQ43)</f>
        <v>0</v>
      </c>
      <c r="O95" s="330">
        <f>'P NP KOLAM KAB'!BC43</f>
        <v>0</v>
      </c>
      <c r="P95" s="837">
        <f>'P NP KOLAM KAB'!AY43</f>
        <v>0</v>
      </c>
      <c r="Q95" s="330">
        <f>'P NP KOLAM KAB'!BE43</f>
        <v>0</v>
      </c>
      <c r="R95" s="330">
        <f>'P NP KOLAM KAB'!BK43</f>
        <v>0</v>
      </c>
      <c r="S95" s="330">
        <f>'P NP KOLAM KAB'!AI43</f>
        <v>0</v>
      </c>
      <c r="T95" s="559">
        <v>0</v>
      </c>
      <c r="U95" s="306"/>
      <c r="V95" s="365">
        <f t="shared" si="5"/>
        <v>114032566</v>
      </c>
      <c r="W95" s="353">
        <f>'P NP TW'!AM44</f>
        <v>32574830</v>
      </c>
      <c r="X95" s="353">
        <f>'P NP TW'!AO44</f>
        <v>26724736</v>
      </c>
      <c r="Y95" s="353">
        <f>'P NP TW'!AQ44</f>
        <v>28112850</v>
      </c>
      <c r="Z95" s="825">
        <f>'P NP TW'!AS44</f>
        <v>26620150</v>
      </c>
    </row>
    <row r="96" spans="1:26" ht="18" customHeight="1">
      <c r="A96" s="945" t="s">
        <v>377</v>
      </c>
      <c r="B96" s="945"/>
      <c r="C96" s="946"/>
      <c r="D96" s="946"/>
      <c r="E96" s="946"/>
      <c r="F96" s="946"/>
      <c r="G96" s="946"/>
      <c r="H96" s="946"/>
      <c r="I96" s="946"/>
      <c r="J96" s="946"/>
      <c r="K96" s="947"/>
      <c r="L96" s="947"/>
      <c r="M96" s="947"/>
      <c r="N96" s="947"/>
      <c r="O96" s="947"/>
      <c r="P96" s="947"/>
      <c r="Q96" s="947"/>
      <c r="U96" s="307"/>
      <c r="V96" s="942" t="s">
        <v>482</v>
      </c>
      <c r="W96" s="943"/>
      <c r="X96" s="943"/>
      <c r="Y96" s="943"/>
      <c r="Z96" s="527"/>
    </row>
    <row r="97" spans="16:22">
      <c r="U97" s="307"/>
      <c r="V97" s="307"/>
    </row>
    <row r="98" spans="16:22">
      <c r="P98" s="364"/>
      <c r="U98" s="307"/>
      <c r="V98" s="307"/>
    </row>
  </sheetData>
  <mergeCells count="10">
    <mergeCell ref="E5:F5"/>
    <mergeCell ref="A48:J48"/>
    <mergeCell ref="K48:Q48"/>
    <mergeCell ref="I51:J51"/>
    <mergeCell ref="V48:Y48"/>
    <mergeCell ref="V96:Y96"/>
    <mergeCell ref="I52:J52"/>
    <mergeCell ref="E53:F53"/>
    <mergeCell ref="A96:J96"/>
    <mergeCell ref="K96:Q96"/>
  </mergeCells>
  <printOptions horizontalCentered="1"/>
  <pageMargins left="0.5" right="0.25" top="0.35" bottom="0.15" header="0.5" footer="0.5"/>
  <pageSetup paperSize="9" scale="61" orientation="landscape" horizontalDpi="4294967293" r:id="rId1"/>
  <headerFooter alignWithMargins="0"/>
  <rowBreaks count="1" manualBreakCount="1">
    <brk id="48" max="26" man="1"/>
  </rowBreaks>
  <colBreaks count="1" manualBreakCount="1">
    <brk id="10" max="9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syncVertical="1" syncRef="V37" transitionEvaluation="1">
    <tabColor rgb="FF00B0F0"/>
  </sheetPr>
  <dimension ref="B1:AT124"/>
  <sheetViews>
    <sheetView showGridLines="0" view="pageBreakPreview" zoomScale="85" zoomScaleNormal="75" zoomScaleSheetLayoutView="85" workbookViewId="0">
      <pane xSplit="4" ySplit="7" topLeftCell="V37" activePane="bottomRight" state="frozen"/>
      <selection pane="topRight" activeCell="D1" sqref="D1"/>
      <selection pane="bottomLeft" activeCell="A8" sqref="A8"/>
      <selection pane="bottomRight" activeCell="V45" sqref="V45"/>
    </sheetView>
  </sheetViews>
  <sheetFormatPr defaultColWidth="12.54296875" defaultRowHeight="13.5"/>
  <cols>
    <col min="1" max="1" width="10.26953125" style="448" customWidth="1"/>
    <col min="2" max="2" width="5.1796875" style="448" customWidth="1"/>
    <col min="3" max="3" width="32.81640625" style="448" bestFit="1" customWidth="1"/>
    <col min="4" max="4" width="19.81640625" style="448" bestFit="1" customWidth="1"/>
    <col min="5" max="5" width="17.1796875" style="448" bestFit="1" customWidth="1"/>
    <col min="6" max="6" width="18.1796875" style="448" bestFit="1" customWidth="1"/>
    <col min="7" max="7" width="17.1796875" style="448" bestFit="1" customWidth="1"/>
    <col min="8" max="8" width="18.453125" style="448" bestFit="1" customWidth="1"/>
    <col min="9" max="9" width="18.1796875" style="448" bestFit="1" customWidth="1"/>
    <col min="10" max="10" width="18.453125" style="448" bestFit="1" customWidth="1"/>
    <col min="11" max="11" width="17.1796875" style="448" bestFit="1" customWidth="1"/>
    <col min="12" max="12" width="15.81640625" style="448" bestFit="1" customWidth="1"/>
    <col min="13" max="14" width="18.54296875" style="448" bestFit="1" customWidth="1"/>
    <col min="15" max="15" width="16.81640625" style="448" bestFit="1" customWidth="1"/>
    <col min="16" max="17" width="18.54296875" style="448" bestFit="1" customWidth="1"/>
    <col min="18" max="18" width="1.1796875" style="448" customWidth="1"/>
    <col min="19" max="19" width="3.81640625" style="448" customWidth="1"/>
    <col min="20" max="20" width="5.453125" style="448" customWidth="1"/>
    <col min="21" max="21" width="34.81640625" style="448" customWidth="1"/>
    <col min="22" max="22" width="28.453125" style="448" customWidth="1"/>
    <col min="23" max="26" width="26.81640625" style="448" customWidth="1"/>
    <col min="27" max="27" width="19.81640625" style="448" customWidth="1"/>
    <col min="28" max="28" width="16.81640625" style="448" customWidth="1"/>
    <col min="29" max="29" width="16.453125" style="448" customWidth="1"/>
    <col min="30" max="31" width="17.1796875" style="448" customWidth="1"/>
    <col min="32" max="32" width="14.81640625" style="448" bestFit="1" customWidth="1"/>
    <col min="33" max="33" width="14.1796875" style="448" customWidth="1"/>
    <col min="34" max="34" width="14.453125" style="448" customWidth="1"/>
    <col min="35" max="36" width="13.81640625" style="448" customWidth="1"/>
    <col min="37" max="37" width="14.81640625" style="448" bestFit="1" customWidth="1"/>
    <col min="38" max="41" width="13.81640625" style="448" customWidth="1"/>
    <col min="42" max="42" width="17.81640625" style="448" bestFit="1" customWidth="1"/>
    <col min="43" max="43" width="16.453125" style="448" customWidth="1"/>
    <col min="44" max="44" width="17.54296875" style="448" customWidth="1"/>
    <col min="45" max="45" width="16.81640625" style="448" customWidth="1"/>
    <col min="46" max="46" width="17.81640625" style="448" customWidth="1"/>
    <col min="47" max="257" width="12.54296875" style="448"/>
    <col min="258" max="258" width="5.1796875" style="448" customWidth="1"/>
    <col min="259" max="259" width="32.81640625" style="448" bestFit="1" customWidth="1"/>
    <col min="260" max="260" width="19.81640625" style="448" bestFit="1" customWidth="1"/>
    <col min="261" max="261" width="17.1796875" style="448" bestFit="1" customWidth="1"/>
    <col min="262" max="262" width="18.1796875" style="448" bestFit="1" customWidth="1"/>
    <col min="263" max="263" width="17.1796875" style="448" bestFit="1" customWidth="1"/>
    <col min="264" max="264" width="18.453125" style="448" bestFit="1" customWidth="1"/>
    <col min="265" max="265" width="18.1796875" style="448" bestFit="1" customWidth="1"/>
    <col min="266" max="266" width="18.453125" style="448" bestFit="1" customWidth="1"/>
    <col min="267" max="267" width="17.1796875" style="448" bestFit="1" customWidth="1"/>
    <col min="268" max="268" width="15.81640625" style="448" bestFit="1" customWidth="1"/>
    <col min="269" max="270" width="18.54296875" style="448" bestFit="1" customWidth="1"/>
    <col min="271" max="271" width="16.81640625" style="448" bestFit="1" customWidth="1"/>
    <col min="272" max="273" width="18.54296875" style="448" bestFit="1" customWidth="1"/>
    <col min="274" max="274" width="1.1796875" style="448" customWidth="1"/>
    <col min="275" max="275" width="3.81640625" style="448" customWidth="1"/>
    <col min="276" max="276" width="5.453125" style="448" customWidth="1"/>
    <col min="277" max="277" width="34.81640625" style="448" customWidth="1"/>
    <col min="278" max="278" width="28.453125" style="448" customWidth="1"/>
    <col min="279" max="282" width="26.81640625" style="448" customWidth="1"/>
    <col min="283" max="283" width="19.81640625" style="448" customWidth="1"/>
    <col min="284" max="284" width="16.81640625" style="448" customWidth="1"/>
    <col min="285" max="285" width="16.453125" style="448" customWidth="1"/>
    <col min="286" max="287" width="17.1796875" style="448" customWidth="1"/>
    <col min="288" max="288" width="14.81640625" style="448" bestFit="1" customWidth="1"/>
    <col min="289" max="289" width="14.1796875" style="448" customWidth="1"/>
    <col min="290" max="290" width="14.453125" style="448" customWidth="1"/>
    <col min="291" max="292" width="13.81640625" style="448" customWidth="1"/>
    <col min="293" max="293" width="14.81640625" style="448" bestFit="1" customWidth="1"/>
    <col min="294" max="297" width="13.81640625" style="448" customWidth="1"/>
    <col min="298" max="298" width="17.81640625" style="448" bestFit="1" customWidth="1"/>
    <col min="299" max="299" width="16.453125" style="448" customWidth="1"/>
    <col min="300" max="300" width="17.54296875" style="448" customWidth="1"/>
    <col min="301" max="301" width="16.81640625" style="448" customWidth="1"/>
    <col min="302" max="302" width="17.81640625" style="448" customWidth="1"/>
    <col min="303" max="513" width="12.54296875" style="448"/>
    <col min="514" max="514" width="5.1796875" style="448" customWidth="1"/>
    <col min="515" max="515" width="32.81640625" style="448" bestFit="1" customWidth="1"/>
    <col min="516" max="516" width="19.81640625" style="448" bestFit="1" customWidth="1"/>
    <col min="517" max="517" width="17.1796875" style="448" bestFit="1" customWidth="1"/>
    <col min="518" max="518" width="18.1796875" style="448" bestFit="1" customWidth="1"/>
    <col min="519" max="519" width="17.1796875" style="448" bestFit="1" customWidth="1"/>
    <col min="520" max="520" width="18.453125" style="448" bestFit="1" customWidth="1"/>
    <col min="521" max="521" width="18.1796875" style="448" bestFit="1" customWidth="1"/>
    <col min="522" max="522" width="18.453125" style="448" bestFit="1" customWidth="1"/>
    <col min="523" max="523" width="17.1796875" style="448" bestFit="1" customWidth="1"/>
    <col min="524" max="524" width="15.81640625" style="448" bestFit="1" customWidth="1"/>
    <col min="525" max="526" width="18.54296875" style="448" bestFit="1" customWidth="1"/>
    <col min="527" max="527" width="16.81640625" style="448" bestFit="1" customWidth="1"/>
    <col min="528" max="529" width="18.54296875" style="448" bestFit="1" customWidth="1"/>
    <col min="530" max="530" width="1.1796875" style="448" customWidth="1"/>
    <col min="531" max="531" width="3.81640625" style="448" customWidth="1"/>
    <col min="532" max="532" width="5.453125" style="448" customWidth="1"/>
    <col min="533" max="533" width="34.81640625" style="448" customWidth="1"/>
    <col min="534" max="534" width="28.453125" style="448" customWidth="1"/>
    <col min="535" max="538" width="26.81640625" style="448" customWidth="1"/>
    <col min="539" max="539" width="19.81640625" style="448" customWidth="1"/>
    <col min="540" max="540" width="16.81640625" style="448" customWidth="1"/>
    <col min="541" max="541" width="16.453125" style="448" customWidth="1"/>
    <col min="542" max="543" width="17.1796875" style="448" customWidth="1"/>
    <col min="544" max="544" width="14.81640625" style="448" bestFit="1" customWidth="1"/>
    <col min="545" max="545" width="14.1796875" style="448" customWidth="1"/>
    <col min="546" max="546" width="14.453125" style="448" customWidth="1"/>
    <col min="547" max="548" width="13.81640625" style="448" customWidth="1"/>
    <col min="549" max="549" width="14.81640625" style="448" bestFit="1" customWidth="1"/>
    <col min="550" max="553" width="13.81640625" style="448" customWidth="1"/>
    <col min="554" max="554" width="17.81640625" style="448" bestFit="1" customWidth="1"/>
    <col min="555" max="555" width="16.453125" style="448" customWidth="1"/>
    <col min="556" max="556" width="17.54296875" style="448" customWidth="1"/>
    <col min="557" max="557" width="16.81640625" style="448" customWidth="1"/>
    <col min="558" max="558" width="17.81640625" style="448" customWidth="1"/>
    <col min="559" max="769" width="12.54296875" style="448"/>
    <col min="770" max="770" width="5.1796875" style="448" customWidth="1"/>
    <col min="771" max="771" width="32.81640625" style="448" bestFit="1" customWidth="1"/>
    <col min="772" max="772" width="19.81640625" style="448" bestFit="1" customWidth="1"/>
    <col min="773" max="773" width="17.1796875" style="448" bestFit="1" customWidth="1"/>
    <col min="774" max="774" width="18.1796875" style="448" bestFit="1" customWidth="1"/>
    <col min="775" max="775" width="17.1796875" style="448" bestFit="1" customWidth="1"/>
    <col min="776" max="776" width="18.453125" style="448" bestFit="1" customWidth="1"/>
    <col min="777" max="777" width="18.1796875" style="448" bestFit="1" customWidth="1"/>
    <col min="778" max="778" width="18.453125" style="448" bestFit="1" customWidth="1"/>
    <col min="779" max="779" width="17.1796875" style="448" bestFit="1" customWidth="1"/>
    <col min="780" max="780" width="15.81640625" style="448" bestFit="1" customWidth="1"/>
    <col min="781" max="782" width="18.54296875" style="448" bestFit="1" customWidth="1"/>
    <col min="783" max="783" width="16.81640625" style="448" bestFit="1" customWidth="1"/>
    <col min="784" max="785" width="18.54296875" style="448" bestFit="1" customWidth="1"/>
    <col min="786" max="786" width="1.1796875" style="448" customWidth="1"/>
    <col min="787" max="787" width="3.81640625" style="448" customWidth="1"/>
    <col min="788" max="788" width="5.453125" style="448" customWidth="1"/>
    <col min="789" max="789" width="34.81640625" style="448" customWidth="1"/>
    <col min="790" max="790" width="28.453125" style="448" customWidth="1"/>
    <col min="791" max="794" width="26.81640625" style="448" customWidth="1"/>
    <col min="795" max="795" width="19.81640625" style="448" customWidth="1"/>
    <col min="796" max="796" width="16.81640625" style="448" customWidth="1"/>
    <col min="797" max="797" width="16.453125" style="448" customWidth="1"/>
    <col min="798" max="799" width="17.1796875" style="448" customWidth="1"/>
    <col min="800" max="800" width="14.81640625" style="448" bestFit="1" customWidth="1"/>
    <col min="801" max="801" width="14.1796875" style="448" customWidth="1"/>
    <col min="802" max="802" width="14.453125" style="448" customWidth="1"/>
    <col min="803" max="804" width="13.81640625" style="448" customWidth="1"/>
    <col min="805" max="805" width="14.81640625" style="448" bestFit="1" customWidth="1"/>
    <col min="806" max="809" width="13.81640625" style="448" customWidth="1"/>
    <col min="810" max="810" width="17.81640625" style="448" bestFit="1" customWidth="1"/>
    <col min="811" max="811" width="16.453125" style="448" customWidth="1"/>
    <col min="812" max="812" width="17.54296875" style="448" customWidth="1"/>
    <col min="813" max="813" width="16.81640625" style="448" customWidth="1"/>
    <col min="814" max="814" width="17.81640625" style="448" customWidth="1"/>
    <col min="815" max="1025" width="12.54296875" style="448"/>
    <col min="1026" max="1026" width="5.1796875" style="448" customWidth="1"/>
    <col min="1027" max="1027" width="32.81640625" style="448" bestFit="1" customWidth="1"/>
    <col min="1028" max="1028" width="19.81640625" style="448" bestFit="1" customWidth="1"/>
    <col min="1029" max="1029" width="17.1796875" style="448" bestFit="1" customWidth="1"/>
    <col min="1030" max="1030" width="18.1796875" style="448" bestFit="1" customWidth="1"/>
    <col min="1031" max="1031" width="17.1796875" style="448" bestFit="1" customWidth="1"/>
    <col min="1032" max="1032" width="18.453125" style="448" bestFit="1" customWidth="1"/>
    <col min="1033" max="1033" width="18.1796875" style="448" bestFit="1" customWidth="1"/>
    <col min="1034" max="1034" width="18.453125" style="448" bestFit="1" customWidth="1"/>
    <col min="1035" max="1035" width="17.1796875" style="448" bestFit="1" customWidth="1"/>
    <col min="1036" max="1036" width="15.81640625" style="448" bestFit="1" customWidth="1"/>
    <col min="1037" max="1038" width="18.54296875" style="448" bestFit="1" customWidth="1"/>
    <col min="1039" max="1039" width="16.81640625" style="448" bestFit="1" customWidth="1"/>
    <col min="1040" max="1041" width="18.54296875" style="448" bestFit="1" customWidth="1"/>
    <col min="1042" max="1042" width="1.1796875" style="448" customWidth="1"/>
    <col min="1043" max="1043" width="3.81640625" style="448" customWidth="1"/>
    <col min="1044" max="1044" width="5.453125" style="448" customWidth="1"/>
    <col min="1045" max="1045" width="34.81640625" style="448" customWidth="1"/>
    <col min="1046" max="1046" width="28.453125" style="448" customWidth="1"/>
    <col min="1047" max="1050" width="26.81640625" style="448" customWidth="1"/>
    <col min="1051" max="1051" width="19.81640625" style="448" customWidth="1"/>
    <col min="1052" max="1052" width="16.81640625" style="448" customWidth="1"/>
    <col min="1053" max="1053" width="16.453125" style="448" customWidth="1"/>
    <col min="1054" max="1055" width="17.1796875" style="448" customWidth="1"/>
    <col min="1056" max="1056" width="14.81640625" style="448" bestFit="1" customWidth="1"/>
    <col min="1057" max="1057" width="14.1796875" style="448" customWidth="1"/>
    <col min="1058" max="1058" width="14.453125" style="448" customWidth="1"/>
    <col min="1059" max="1060" width="13.81640625" style="448" customWidth="1"/>
    <col min="1061" max="1061" width="14.81640625" style="448" bestFit="1" customWidth="1"/>
    <col min="1062" max="1065" width="13.81640625" style="448" customWidth="1"/>
    <col min="1066" max="1066" width="17.81640625" style="448" bestFit="1" customWidth="1"/>
    <col min="1067" max="1067" width="16.453125" style="448" customWidth="1"/>
    <col min="1068" max="1068" width="17.54296875" style="448" customWidth="1"/>
    <col min="1069" max="1069" width="16.81640625" style="448" customWidth="1"/>
    <col min="1070" max="1070" width="17.81640625" style="448" customWidth="1"/>
    <col min="1071" max="1281" width="12.54296875" style="448"/>
    <col min="1282" max="1282" width="5.1796875" style="448" customWidth="1"/>
    <col min="1283" max="1283" width="32.81640625" style="448" bestFit="1" customWidth="1"/>
    <col min="1284" max="1284" width="19.81640625" style="448" bestFit="1" customWidth="1"/>
    <col min="1285" max="1285" width="17.1796875" style="448" bestFit="1" customWidth="1"/>
    <col min="1286" max="1286" width="18.1796875" style="448" bestFit="1" customWidth="1"/>
    <col min="1287" max="1287" width="17.1796875" style="448" bestFit="1" customWidth="1"/>
    <col min="1288" max="1288" width="18.453125" style="448" bestFit="1" customWidth="1"/>
    <col min="1289" max="1289" width="18.1796875" style="448" bestFit="1" customWidth="1"/>
    <col min="1290" max="1290" width="18.453125" style="448" bestFit="1" customWidth="1"/>
    <col min="1291" max="1291" width="17.1796875" style="448" bestFit="1" customWidth="1"/>
    <col min="1292" max="1292" width="15.81640625" style="448" bestFit="1" customWidth="1"/>
    <col min="1293" max="1294" width="18.54296875" style="448" bestFit="1" customWidth="1"/>
    <col min="1295" max="1295" width="16.81640625" style="448" bestFit="1" customWidth="1"/>
    <col min="1296" max="1297" width="18.54296875" style="448" bestFit="1" customWidth="1"/>
    <col min="1298" max="1298" width="1.1796875" style="448" customWidth="1"/>
    <col min="1299" max="1299" width="3.81640625" style="448" customWidth="1"/>
    <col min="1300" max="1300" width="5.453125" style="448" customWidth="1"/>
    <col min="1301" max="1301" width="34.81640625" style="448" customWidth="1"/>
    <col min="1302" max="1302" width="28.453125" style="448" customWidth="1"/>
    <col min="1303" max="1306" width="26.81640625" style="448" customWidth="1"/>
    <col min="1307" max="1307" width="19.81640625" style="448" customWidth="1"/>
    <col min="1308" max="1308" width="16.81640625" style="448" customWidth="1"/>
    <col min="1309" max="1309" width="16.453125" style="448" customWidth="1"/>
    <col min="1310" max="1311" width="17.1796875" style="448" customWidth="1"/>
    <col min="1312" max="1312" width="14.81640625" style="448" bestFit="1" customWidth="1"/>
    <col min="1313" max="1313" width="14.1796875" style="448" customWidth="1"/>
    <col min="1314" max="1314" width="14.453125" style="448" customWidth="1"/>
    <col min="1315" max="1316" width="13.81640625" style="448" customWidth="1"/>
    <col min="1317" max="1317" width="14.81640625" style="448" bestFit="1" customWidth="1"/>
    <col min="1318" max="1321" width="13.81640625" style="448" customWidth="1"/>
    <col min="1322" max="1322" width="17.81640625" style="448" bestFit="1" customWidth="1"/>
    <col min="1323" max="1323" width="16.453125" style="448" customWidth="1"/>
    <col min="1324" max="1324" width="17.54296875" style="448" customWidth="1"/>
    <col min="1325" max="1325" width="16.81640625" style="448" customWidth="1"/>
    <col min="1326" max="1326" width="17.81640625" style="448" customWidth="1"/>
    <col min="1327" max="1537" width="12.54296875" style="448"/>
    <col min="1538" max="1538" width="5.1796875" style="448" customWidth="1"/>
    <col min="1539" max="1539" width="32.81640625" style="448" bestFit="1" customWidth="1"/>
    <col min="1540" max="1540" width="19.81640625" style="448" bestFit="1" customWidth="1"/>
    <col min="1541" max="1541" width="17.1796875" style="448" bestFit="1" customWidth="1"/>
    <col min="1542" max="1542" width="18.1796875" style="448" bestFit="1" customWidth="1"/>
    <col min="1543" max="1543" width="17.1796875" style="448" bestFit="1" customWidth="1"/>
    <col min="1544" max="1544" width="18.453125" style="448" bestFit="1" customWidth="1"/>
    <col min="1545" max="1545" width="18.1796875" style="448" bestFit="1" customWidth="1"/>
    <col min="1546" max="1546" width="18.453125" style="448" bestFit="1" customWidth="1"/>
    <col min="1547" max="1547" width="17.1796875" style="448" bestFit="1" customWidth="1"/>
    <col min="1548" max="1548" width="15.81640625" style="448" bestFit="1" customWidth="1"/>
    <col min="1549" max="1550" width="18.54296875" style="448" bestFit="1" customWidth="1"/>
    <col min="1551" max="1551" width="16.81640625" style="448" bestFit="1" customWidth="1"/>
    <col min="1552" max="1553" width="18.54296875" style="448" bestFit="1" customWidth="1"/>
    <col min="1554" max="1554" width="1.1796875" style="448" customWidth="1"/>
    <col min="1555" max="1555" width="3.81640625" style="448" customWidth="1"/>
    <col min="1556" max="1556" width="5.453125" style="448" customWidth="1"/>
    <col min="1557" max="1557" width="34.81640625" style="448" customWidth="1"/>
    <col min="1558" max="1558" width="28.453125" style="448" customWidth="1"/>
    <col min="1559" max="1562" width="26.81640625" style="448" customWidth="1"/>
    <col min="1563" max="1563" width="19.81640625" style="448" customWidth="1"/>
    <col min="1564" max="1564" width="16.81640625" style="448" customWidth="1"/>
    <col min="1565" max="1565" width="16.453125" style="448" customWidth="1"/>
    <col min="1566" max="1567" width="17.1796875" style="448" customWidth="1"/>
    <col min="1568" max="1568" width="14.81640625" style="448" bestFit="1" customWidth="1"/>
    <col min="1569" max="1569" width="14.1796875" style="448" customWidth="1"/>
    <col min="1570" max="1570" width="14.453125" style="448" customWidth="1"/>
    <col min="1571" max="1572" width="13.81640625" style="448" customWidth="1"/>
    <col min="1573" max="1573" width="14.81640625" style="448" bestFit="1" customWidth="1"/>
    <col min="1574" max="1577" width="13.81640625" style="448" customWidth="1"/>
    <col min="1578" max="1578" width="17.81640625" style="448" bestFit="1" customWidth="1"/>
    <col min="1579" max="1579" width="16.453125" style="448" customWidth="1"/>
    <col min="1580" max="1580" width="17.54296875" style="448" customWidth="1"/>
    <col min="1581" max="1581" width="16.81640625" style="448" customWidth="1"/>
    <col min="1582" max="1582" width="17.81640625" style="448" customWidth="1"/>
    <col min="1583" max="1793" width="12.54296875" style="448"/>
    <col min="1794" max="1794" width="5.1796875" style="448" customWidth="1"/>
    <col min="1795" max="1795" width="32.81640625" style="448" bestFit="1" customWidth="1"/>
    <col min="1796" max="1796" width="19.81640625" style="448" bestFit="1" customWidth="1"/>
    <col min="1797" max="1797" width="17.1796875" style="448" bestFit="1" customWidth="1"/>
    <col min="1798" max="1798" width="18.1796875" style="448" bestFit="1" customWidth="1"/>
    <col min="1799" max="1799" width="17.1796875" style="448" bestFit="1" customWidth="1"/>
    <col min="1800" max="1800" width="18.453125" style="448" bestFit="1" customWidth="1"/>
    <col min="1801" max="1801" width="18.1796875" style="448" bestFit="1" customWidth="1"/>
    <col min="1802" max="1802" width="18.453125" style="448" bestFit="1" customWidth="1"/>
    <col min="1803" max="1803" width="17.1796875" style="448" bestFit="1" customWidth="1"/>
    <col min="1804" max="1804" width="15.81640625" style="448" bestFit="1" customWidth="1"/>
    <col min="1805" max="1806" width="18.54296875" style="448" bestFit="1" customWidth="1"/>
    <col min="1807" max="1807" width="16.81640625" style="448" bestFit="1" customWidth="1"/>
    <col min="1808" max="1809" width="18.54296875" style="448" bestFit="1" customWidth="1"/>
    <col min="1810" max="1810" width="1.1796875" style="448" customWidth="1"/>
    <col min="1811" max="1811" width="3.81640625" style="448" customWidth="1"/>
    <col min="1812" max="1812" width="5.453125" style="448" customWidth="1"/>
    <col min="1813" max="1813" width="34.81640625" style="448" customWidth="1"/>
    <col min="1814" max="1814" width="28.453125" style="448" customWidth="1"/>
    <col min="1815" max="1818" width="26.81640625" style="448" customWidth="1"/>
    <col min="1819" max="1819" width="19.81640625" style="448" customWidth="1"/>
    <col min="1820" max="1820" width="16.81640625" style="448" customWidth="1"/>
    <col min="1821" max="1821" width="16.453125" style="448" customWidth="1"/>
    <col min="1822" max="1823" width="17.1796875" style="448" customWidth="1"/>
    <col min="1824" max="1824" width="14.81640625" style="448" bestFit="1" customWidth="1"/>
    <col min="1825" max="1825" width="14.1796875" style="448" customWidth="1"/>
    <col min="1826" max="1826" width="14.453125" style="448" customWidth="1"/>
    <col min="1827" max="1828" width="13.81640625" style="448" customWidth="1"/>
    <col min="1829" max="1829" width="14.81640625" style="448" bestFit="1" customWidth="1"/>
    <col min="1830" max="1833" width="13.81640625" style="448" customWidth="1"/>
    <col min="1834" max="1834" width="17.81640625" style="448" bestFit="1" customWidth="1"/>
    <col min="1835" max="1835" width="16.453125" style="448" customWidth="1"/>
    <col min="1836" max="1836" width="17.54296875" style="448" customWidth="1"/>
    <col min="1837" max="1837" width="16.81640625" style="448" customWidth="1"/>
    <col min="1838" max="1838" width="17.81640625" style="448" customWidth="1"/>
    <col min="1839" max="2049" width="12.54296875" style="448"/>
    <col min="2050" max="2050" width="5.1796875" style="448" customWidth="1"/>
    <col min="2051" max="2051" width="32.81640625" style="448" bestFit="1" customWidth="1"/>
    <col min="2052" max="2052" width="19.81640625" style="448" bestFit="1" customWidth="1"/>
    <col min="2053" max="2053" width="17.1796875" style="448" bestFit="1" customWidth="1"/>
    <col min="2054" max="2054" width="18.1796875" style="448" bestFit="1" customWidth="1"/>
    <col min="2055" max="2055" width="17.1796875" style="448" bestFit="1" customWidth="1"/>
    <col min="2056" max="2056" width="18.453125" style="448" bestFit="1" customWidth="1"/>
    <col min="2057" max="2057" width="18.1796875" style="448" bestFit="1" customWidth="1"/>
    <col min="2058" max="2058" width="18.453125" style="448" bestFit="1" customWidth="1"/>
    <col min="2059" max="2059" width="17.1796875" style="448" bestFit="1" customWidth="1"/>
    <col min="2060" max="2060" width="15.81640625" style="448" bestFit="1" customWidth="1"/>
    <col min="2061" max="2062" width="18.54296875" style="448" bestFit="1" customWidth="1"/>
    <col min="2063" max="2063" width="16.81640625" style="448" bestFit="1" customWidth="1"/>
    <col min="2064" max="2065" width="18.54296875" style="448" bestFit="1" customWidth="1"/>
    <col min="2066" max="2066" width="1.1796875" style="448" customWidth="1"/>
    <col min="2067" max="2067" width="3.81640625" style="448" customWidth="1"/>
    <col min="2068" max="2068" width="5.453125" style="448" customWidth="1"/>
    <col min="2069" max="2069" width="34.81640625" style="448" customWidth="1"/>
    <col min="2070" max="2070" width="28.453125" style="448" customWidth="1"/>
    <col min="2071" max="2074" width="26.81640625" style="448" customWidth="1"/>
    <col min="2075" max="2075" width="19.81640625" style="448" customWidth="1"/>
    <col min="2076" max="2076" width="16.81640625" style="448" customWidth="1"/>
    <col min="2077" max="2077" width="16.453125" style="448" customWidth="1"/>
    <col min="2078" max="2079" width="17.1796875" style="448" customWidth="1"/>
    <col min="2080" max="2080" width="14.81640625" style="448" bestFit="1" customWidth="1"/>
    <col min="2081" max="2081" width="14.1796875" style="448" customWidth="1"/>
    <col min="2082" max="2082" width="14.453125" style="448" customWidth="1"/>
    <col min="2083" max="2084" width="13.81640625" style="448" customWidth="1"/>
    <col min="2085" max="2085" width="14.81640625" style="448" bestFit="1" customWidth="1"/>
    <col min="2086" max="2089" width="13.81640625" style="448" customWidth="1"/>
    <col min="2090" max="2090" width="17.81640625" style="448" bestFit="1" customWidth="1"/>
    <col min="2091" max="2091" width="16.453125" style="448" customWidth="1"/>
    <col min="2092" max="2092" width="17.54296875" style="448" customWidth="1"/>
    <col min="2093" max="2093" width="16.81640625" style="448" customWidth="1"/>
    <col min="2094" max="2094" width="17.81640625" style="448" customWidth="1"/>
    <col min="2095" max="2305" width="12.54296875" style="448"/>
    <col min="2306" max="2306" width="5.1796875" style="448" customWidth="1"/>
    <col min="2307" max="2307" width="32.81640625" style="448" bestFit="1" customWidth="1"/>
    <col min="2308" max="2308" width="19.81640625" style="448" bestFit="1" customWidth="1"/>
    <col min="2309" max="2309" width="17.1796875" style="448" bestFit="1" customWidth="1"/>
    <col min="2310" max="2310" width="18.1796875" style="448" bestFit="1" customWidth="1"/>
    <col min="2311" max="2311" width="17.1796875" style="448" bestFit="1" customWidth="1"/>
    <col min="2312" max="2312" width="18.453125" style="448" bestFit="1" customWidth="1"/>
    <col min="2313" max="2313" width="18.1796875" style="448" bestFit="1" customWidth="1"/>
    <col min="2314" max="2314" width="18.453125" style="448" bestFit="1" customWidth="1"/>
    <col min="2315" max="2315" width="17.1796875" style="448" bestFit="1" customWidth="1"/>
    <col min="2316" max="2316" width="15.81640625" style="448" bestFit="1" customWidth="1"/>
    <col min="2317" max="2318" width="18.54296875" style="448" bestFit="1" customWidth="1"/>
    <col min="2319" max="2319" width="16.81640625" style="448" bestFit="1" customWidth="1"/>
    <col min="2320" max="2321" width="18.54296875" style="448" bestFit="1" customWidth="1"/>
    <col min="2322" max="2322" width="1.1796875" style="448" customWidth="1"/>
    <col min="2323" max="2323" width="3.81640625" style="448" customWidth="1"/>
    <col min="2324" max="2324" width="5.453125" style="448" customWidth="1"/>
    <col min="2325" max="2325" width="34.81640625" style="448" customWidth="1"/>
    <col min="2326" max="2326" width="28.453125" style="448" customWidth="1"/>
    <col min="2327" max="2330" width="26.81640625" style="448" customWidth="1"/>
    <col min="2331" max="2331" width="19.81640625" style="448" customWidth="1"/>
    <col min="2332" max="2332" width="16.81640625" style="448" customWidth="1"/>
    <col min="2333" max="2333" width="16.453125" style="448" customWidth="1"/>
    <col min="2334" max="2335" width="17.1796875" style="448" customWidth="1"/>
    <col min="2336" max="2336" width="14.81640625" style="448" bestFit="1" customWidth="1"/>
    <col min="2337" max="2337" width="14.1796875" style="448" customWidth="1"/>
    <col min="2338" max="2338" width="14.453125" style="448" customWidth="1"/>
    <col min="2339" max="2340" width="13.81640625" style="448" customWidth="1"/>
    <col min="2341" max="2341" width="14.81640625" style="448" bestFit="1" customWidth="1"/>
    <col min="2342" max="2345" width="13.81640625" style="448" customWidth="1"/>
    <col min="2346" max="2346" width="17.81640625" style="448" bestFit="1" customWidth="1"/>
    <col min="2347" max="2347" width="16.453125" style="448" customWidth="1"/>
    <col min="2348" max="2348" width="17.54296875" style="448" customWidth="1"/>
    <col min="2349" max="2349" width="16.81640625" style="448" customWidth="1"/>
    <col min="2350" max="2350" width="17.81640625" style="448" customWidth="1"/>
    <col min="2351" max="2561" width="12.54296875" style="448"/>
    <col min="2562" max="2562" width="5.1796875" style="448" customWidth="1"/>
    <col min="2563" max="2563" width="32.81640625" style="448" bestFit="1" customWidth="1"/>
    <col min="2564" max="2564" width="19.81640625" style="448" bestFit="1" customWidth="1"/>
    <col min="2565" max="2565" width="17.1796875" style="448" bestFit="1" customWidth="1"/>
    <col min="2566" max="2566" width="18.1796875" style="448" bestFit="1" customWidth="1"/>
    <col min="2567" max="2567" width="17.1796875" style="448" bestFit="1" customWidth="1"/>
    <col min="2568" max="2568" width="18.453125" style="448" bestFit="1" customWidth="1"/>
    <col min="2569" max="2569" width="18.1796875" style="448" bestFit="1" customWidth="1"/>
    <col min="2570" max="2570" width="18.453125" style="448" bestFit="1" customWidth="1"/>
    <col min="2571" max="2571" width="17.1796875" style="448" bestFit="1" customWidth="1"/>
    <col min="2572" max="2572" width="15.81640625" style="448" bestFit="1" customWidth="1"/>
    <col min="2573" max="2574" width="18.54296875" style="448" bestFit="1" customWidth="1"/>
    <col min="2575" max="2575" width="16.81640625" style="448" bestFit="1" customWidth="1"/>
    <col min="2576" max="2577" width="18.54296875" style="448" bestFit="1" customWidth="1"/>
    <col min="2578" max="2578" width="1.1796875" style="448" customWidth="1"/>
    <col min="2579" max="2579" width="3.81640625" style="448" customWidth="1"/>
    <col min="2580" max="2580" width="5.453125" style="448" customWidth="1"/>
    <col min="2581" max="2581" width="34.81640625" style="448" customWidth="1"/>
    <col min="2582" max="2582" width="28.453125" style="448" customWidth="1"/>
    <col min="2583" max="2586" width="26.81640625" style="448" customWidth="1"/>
    <col min="2587" max="2587" width="19.81640625" style="448" customWidth="1"/>
    <col min="2588" max="2588" width="16.81640625" style="448" customWidth="1"/>
    <col min="2589" max="2589" width="16.453125" style="448" customWidth="1"/>
    <col min="2590" max="2591" width="17.1796875" style="448" customWidth="1"/>
    <col min="2592" max="2592" width="14.81640625" style="448" bestFit="1" customWidth="1"/>
    <col min="2593" max="2593" width="14.1796875" style="448" customWidth="1"/>
    <col min="2594" max="2594" width="14.453125" style="448" customWidth="1"/>
    <col min="2595" max="2596" width="13.81640625" style="448" customWidth="1"/>
    <col min="2597" max="2597" width="14.81640625" style="448" bestFit="1" customWidth="1"/>
    <col min="2598" max="2601" width="13.81640625" style="448" customWidth="1"/>
    <col min="2602" max="2602" width="17.81640625" style="448" bestFit="1" customWidth="1"/>
    <col min="2603" max="2603" width="16.453125" style="448" customWidth="1"/>
    <col min="2604" max="2604" width="17.54296875" style="448" customWidth="1"/>
    <col min="2605" max="2605" width="16.81640625" style="448" customWidth="1"/>
    <col min="2606" max="2606" width="17.81640625" style="448" customWidth="1"/>
    <col min="2607" max="2817" width="12.54296875" style="448"/>
    <col min="2818" max="2818" width="5.1796875" style="448" customWidth="1"/>
    <col min="2819" max="2819" width="32.81640625" style="448" bestFit="1" customWidth="1"/>
    <col min="2820" max="2820" width="19.81640625" style="448" bestFit="1" customWidth="1"/>
    <col min="2821" max="2821" width="17.1796875" style="448" bestFit="1" customWidth="1"/>
    <col min="2822" max="2822" width="18.1796875" style="448" bestFit="1" customWidth="1"/>
    <col min="2823" max="2823" width="17.1796875" style="448" bestFit="1" customWidth="1"/>
    <col min="2824" max="2824" width="18.453125" style="448" bestFit="1" customWidth="1"/>
    <col min="2825" max="2825" width="18.1796875" style="448" bestFit="1" customWidth="1"/>
    <col min="2826" max="2826" width="18.453125" style="448" bestFit="1" customWidth="1"/>
    <col min="2827" max="2827" width="17.1796875" style="448" bestFit="1" customWidth="1"/>
    <col min="2828" max="2828" width="15.81640625" style="448" bestFit="1" customWidth="1"/>
    <col min="2829" max="2830" width="18.54296875" style="448" bestFit="1" customWidth="1"/>
    <col min="2831" max="2831" width="16.81640625" style="448" bestFit="1" customWidth="1"/>
    <col min="2832" max="2833" width="18.54296875" style="448" bestFit="1" customWidth="1"/>
    <col min="2834" max="2834" width="1.1796875" style="448" customWidth="1"/>
    <col min="2835" max="2835" width="3.81640625" style="448" customWidth="1"/>
    <col min="2836" max="2836" width="5.453125" style="448" customWidth="1"/>
    <col min="2837" max="2837" width="34.81640625" style="448" customWidth="1"/>
    <col min="2838" max="2838" width="28.453125" style="448" customWidth="1"/>
    <col min="2839" max="2842" width="26.81640625" style="448" customWidth="1"/>
    <col min="2843" max="2843" width="19.81640625" style="448" customWidth="1"/>
    <col min="2844" max="2844" width="16.81640625" style="448" customWidth="1"/>
    <col min="2845" max="2845" width="16.453125" style="448" customWidth="1"/>
    <col min="2846" max="2847" width="17.1796875" style="448" customWidth="1"/>
    <col min="2848" max="2848" width="14.81640625" style="448" bestFit="1" customWidth="1"/>
    <col min="2849" max="2849" width="14.1796875" style="448" customWidth="1"/>
    <col min="2850" max="2850" width="14.453125" style="448" customWidth="1"/>
    <col min="2851" max="2852" width="13.81640625" style="448" customWidth="1"/>
    <col min="2853" max="2853" width="14.81640625" style="448" bestFit="1" customWidth="1"/>
    <col min="2854" max="2857" width="13.81640625" style="448" customWidth="1"/>
    <col min="2858" max="2858" width="17.81640625" style="448" bestFit="1" customWidth="1"/>
    <col min="2859" max="2859" width="16.453125" style="448" customWidth="1"/>
    <col min="2860" max="2860" width="17.54296875" style="448" customWidth="1"/>
    <col min="2861" max="2861" width="16.81640625" style="448" customWidth="1"/>
    <col min="2862" max="2862" width="17.81640625" style="448" customWidth="1"/>
    <col min="2863" max="3073" width="12.54296875" style="448"/>
    <col min="3074" max="3074" width="5.1796875" style="448" customWidth="1"/>
    <col min="3075" max="3075" width="32.81640625" style="448" bestFit="1" customWidth="1"/>
    <col min="3076" max="3076" width="19.81640625" style="448" bestFit="1" customWidth="1"/>
    <col min="3077" max="3077" width="17.1796875" style="448" bestFit="1" customWidth="1"/>
    <col min="3078" max="3078" width="18.1796875" style="448" bestFit="1" customWidth="1"/>
    <col min="3079" max="3079" width="17.1796875" style="448" bestFit="1" customWidth="1"/>
    <col min="3080" max="3080" width="18.453125" style="448" bestFit="1" customWidth="1"/>
    <col min="3081" max="3081" width="18.1796875" style="448" bestFit="1" customWidth="1"/>
    <col min="3082" max="3082" width="18.453125" style="448" bestFit="1" customWidth="1"/>
    <col min="3083" max="3083" width="17.1796875" style="448" bestFit="1" customWidth="1"/>
    <col min="3084" max="3084" width="15.81640625" style="448" bestFit="1" customWidth="1"/>
    <col min="3085" max="3086" width="18.54296875" style="448" bestFit="1" customWidth="1"/>
    <col min="3087" max="3087" width="16.81640625" style="448" bestFit="1" customWidth="1"/>
    <col min="3088" max="3089" width="18.54296875" style="448" bestFit="1" customWidth="1"/>
    <col min="3090" max="3090" width="1.1796875" style="448" customWidth="1"/>
    <col min="3091" max="3091" width="3.81640625" style="448" customWidth="1"/>
    <col min="3092" max="3092" width="5.453125" style="448" customWidth="1"/>
    <col min="3093" max="3093" width="34.81640625" style="448" customWidth="1"/>
    <col min="3094" max="3094" width="28.453125" style="448" customWidth="1"/>
    <col min="3095" max="3098" width="26.81640625" style="448" customWidth="1"/>
    <col min="3099" max="3099" width="19.81640625" style="448" customWidth="1"/>
    <col min="3100" max="3100" width="16.81640625" style="448" customWidth="1"/>
    <col min="3101" max="3101" width="16.453125" style="448" customWidth="1"/>
    <col min="3102" max="3103" width="17.1796875" style="448" customWidth="1"/>
    <col min="3104" max="3104" width="14.81640625" style="448" bestFit="1" customWidth="1"/>
    <col min="3105" max="3105" width="14.1796875" style="448" customWidth="1"/>
    <col min="3106" max="3106" width="14.453125" style="448" customWidth="1"/>
    <col min="3107" max="3108" width="13.81640625" style="448" customWidth="1"/>
    <col min="3109" max="3109" width="14.81640625" style="448" bestFit="1" customWidth="1"/>
    <col min="3110" max="3113" width="13.81640625" style="448" customWidth="1"/>
    <col min="3114" max="3114" width="17.81640625" style="448" bestFit="1" customWidth="1"/>
    <col min="3115" max="3115" width="16.453125" style="448" customWidth="1"/>
    <col min="3116" max="3116" width="17.54296875" style="448" customWidth="1"/>
    <col min="3117" max="3117" width="16.81640625" style="448" customWidth="1"/>
    <col min="3118" max="3118" width="17.81640625" style="448" customWidth="1"/>
    <col min="3119" max="3329" width="12.54296875" style="448"/>
    <col min="3330" max="3330" width="5.1796875" style="448" customWidth="1"/>
    <col min="3331" max="3331" width="32.81640625" style="448" bestFit="1" customWidth="1"/>
    <col min="3332" max="3332" width="19.81640625" style="448" bestFit="1" customWidth="1"/>
    <col min="3333" max="3333" width="17.1796875" style="448" bestFit="1" customWidth="1"/>
    <col min="3334" max="3334" width="18.1796875" style="448" bestFit="1" customWidth="1"/>
    <col min="3335" max="3335" width="17.1796875" style="448" bestFit="1" customWidth="1"/>
    <col min="3336" max="3336" width="18.453125" style="448" bestFit="1" customWidth="1"/>
    <col min="3337" max="3337" width="18.1796875" style="448" bestFit="1" customWidth="1"/>
    <col min="3338" max="3338" width="18.453125" style="448" bestFit="1" customWidth="1"/>
    <col min="3339" max="3339" width="17.1796875" style="448" bestFit="1" customWidth="1"/>
    <col min="3340" max="3340" width="15.81640625" style="448" bestFit="1" customWidth="1"/>
    <col min="3341" max="3342" width="18.54296875" style="448" bestFit="1" customWidth="1"/>
    <col min="3343" max="3343" width="16.81640625" style="448" bestFit="1" customWidth="1"/>
    <col min="3344" max="3345" width="18.54296875" style="448" bestFit="1" customWidth="1"/>
    <col min="3346" max="3346" width="1.1796875" style="448" customWidth="1"/>
    <col min="3347" max="3347" width="3.81640625" style="448" customWidth="1"/>
    <col min="3348" max="3348" width="5.453125" style="448" customWidth="1"/>
    <col min="3349" max="3349" width="34.81640625" style="448" customWidth="1"/>
    <col min="3350" max="3350" width="28.453125" style="448" customWidth="1"/>
    <col min="3351" max="3354" width="26.81640625" style="448" customWidth="1"/>
    <col min="3355" max="3355" width="19.81640625" style="448" customWidth="1"/>
    <col min="3356" max="3356" width="16.81640625" style="448" customWidth="1"/>
    <col min="3357" max="3357" width="16.453125" style="448" customWidth="1"/>
    <col min="3358" max="3359" width="17.1796875" style="448" customWidth="1"/>
    <col min="3360" max="3360" width="14.81640625" style="448" bestFit="1" customWidth="1"/>
    <col min="3361" max="3361" width="14.1796875" style="448" customWidth="1"/>
    <col min="3362" max="3362" width="14.453125" style="448" customWidth="1"/>
    <col min="3363" max="3364" width="13.81640625" style="448" customWidth="1"/>
    <col min="3365" max="3365" width="14.81640625" style="448" bestFit="1" customWidth="1"/>
    <col min="3366" max="3369" width="13.81640625" style="448" customWidth="1"/>
    <col min="3370" max="3370" width="17.81640625" style="448" bestFit="1" customWidth="1"/>
    <col min="3371" max="3371" width="16.453125" style="448" customWidth="1"/>
    <col min="3372" max="3372" width="17.54296875" style="448" customWidth="1"/>
    <col min="3373" max="3373" width="16.81640625" style="448" customWidth="1"/>
    <col min="3374" max="3374" width="17.81640625" style="448" customWidth="1"/>
    <col min="3375" max="3585" width="12.54296875" style="448"/>
    <col min="3586" max="3586" width="5.1796875" style="448" customWidth="1"/>
    <col min="3587" max="3587" width="32.81640625" style="448" bestFit="1" customWidth="1"/>
    <col min="3588" max="3588" width="19.81640625" style="448" bestFit="1" customWidth="1"/>
    <col min="3589" max="3589" width="17.1796875" style="448" bestFit="1" customWidth="1"/>
    <col min="3590" max="3590" width="18.1796875" style="448" bestFit="1" customWidth="1"/>
    <col min="3591" max="3591" width="17.1796875" style="448" bestFit="1" customWidth="1"/>
    <col min="3592" max="3592" width="18.453125" style="448" bestFit="1" customWidth="1"/>
    <col min="3593" max="3593" width="18.1796875" style="448" bestFit="1" customWidth="1"/>
    <col min="3594" max="3594" width="18.453125" style="448" bestFit="1" customWidth="1"/>
    <col min="3595" max="3595" width="17.1796875" style="448" bestFit="1" customWidth="1"/>
    <col min="3596" max="3596" width="15.81640625" style="448" bestFit="1" customWidth="1"/>
    <col min="3597" max="3598" width="18.54296875" style="448" bestFit="1" customWidth="1"/>
    <col min="3599" max="3599" width="16.81640625" style="448" bestFit="1" customWidth="1"/>
    <col min="3600" max="3601" width="18.54296875" style="448" bestFit="1" customWidth="1"/>
    <col min="3602" max="3602" width="1.1796875" style="448" customWidth="1"/>
    <col min="3603" max="3603" width="3.81640625" style="448" customWidth="1"/>
    <col min="3604" max="3604" width="5.453125" style="448" customWidth="1"/>
    <col min="3605" max="3605" width="34.81640625" style="448" customWidth="1"/>
    <col min="3606" max="3606" width="28.453125" style="448" customWidth="1"/>
    <col min="3607" max="3610" width="26.81640625" style="448" customWidth="1"/>
    <col min="3611" max="3611" width="19.81640625" style="448" customWidth="1"/>
    <col min="3612" max="3612" width="16.81640625" style="448" customWidth="1"/>
    <col min="3613" max="3613" width="16.453125" style="448" customWidth="1"/>
    <col min="3614" max="3615" width="17.1796875" style="448" customWidth="1"/>
    <col min="3616" max="3616" width="14.81640625" style="448" bestFit="1" customWidth="1"/>
    <col min="3617" max="3617" width="14.1796875" style="448" customWidth="1"/>
    <col min="3618" max="3618" width="14.453125" style="448" customWidth="1"/>
    <col min="3619" max="3620" width="13.81640625" style="448" customWidth="1"/>
    <col min="3621" max="3621" width="14.81640625" style="448" bestFit="1" customWidth="1"/>
    <col min="3622" max="3625" width="13.81640625" style="448" customWidth="1"/>
    <col min="3626" max="3626" width="17.81640625" style="448" bestFit="1" customWidth="1"/>
    <col min="3627" max="3627" width="16.453125" style="448" customWidth="1"/>
    <col min="3628" max="3628" width="17.54296875" style="448" customWidth="1"/>
    <col min="3629" max="3629" width="16.81640625" style="448" customWidth="1"/>
    <col min="3630" max="3630" width="17.81640625" style="448" customWidth="1"/>
    <col min="3631" max="3841" width="12.54296875" style="448"/>
    <col min="3842" max="3842" width="5.1796875" style="448" customWidth="1"/>
    <col min="3843" max="3843" width="32.81640625" style="448" bestFit="1" customWidth="1"/>
    <col min="3844" max="3844" width="19.81640625" style="448" bestFit="1" customWidth="1"/>
    <col min="3845" max="3845" width="17.1796875" style="448" bestFit="1" customWidth="1"/>
    <col min="3846" max="3846" width="18.1796875" style="448" bestFit="1" customWidth="1"/>
    <col min="3847" max="3847" width="17.1796875" style="448" bestFit="1" customWidth="1"/>
    <col min="3848" max="3848" width="18.453125" style="448" bestFit="1" customWidth="1"/>
    <col min="3849" max="3849" width="18.1796875" style="448" bestFit="1" customWidth="1"/>
    <col min="3850" max="3850" width="18.453125" style="448" bestFit="1" customWidth="1"/>
    <col min="3851" max="3851" width="17.1796875" style="448" bestFit="1" customWidth="1"/>
    <col min="3852" max="3852" width="15.81640625" style="448" bestFit="1" customWidth="1"/>
    <col min="3853" max="3854" width="18.54296875" style="448" bestFit="1" customWidth="1"/>
    <col min="3855" max="3855" width="16.81640625" style="448" bestFit="1" customWidth="1"/>
    <col min="3856" max="3857" width="18.54296875" style="448" bestFit="1" customWidth="1"/>
    <col min="3858" max="3858" width="1.1796875" style="448" customWidth="1"/>
    <col min="3859" max="3859" width="3.81640625" style="448" customWidth="1"/>
    <col min="3860" max="3860" width="5.453125" style="448" customWidth="1"/>
    <col min="3861" max="3861" width="34.81640625" style="448" customWidth="1"/>
    <col min="3862" max="3862" width="28.453125" style="448" customWidth="1"/>
    <col min="3863" max="3866" width="26.81640625" style="448" customWidth="1"/>
    <col min="3867" max="3867" width="19.81640625" style="448" customWidth="1"/>
    <col min="3868" max="3868" width="16.81640625" style="448" customWidth="1"/>
    <col min="3869" max="3869" width="16.453125" style="448" customWidth="1"/>
    <col min="3870" max="3871" width="17.1796875" style="448" customWidth="1"/>
    <col min="3872" max="3872" width="14.81640625" style="448" bestFit="1" customWidth="1"/>
    <col min="3873" max="3873" width="14.1796875" style="448" customWidth="1"/>
    <col min="3874" max="3874" width="14.453125" style="448" customWidth="1"/>
    <col min="3875" max="3876" width="13.81640625" style="448" customWidth="1"/>
    <col min="3877" max="3877" width="14.81640625" style="448" bestFit="1" customWidth="1"/>
    <col min="3878" max="3881" width="13.81640625" style="448" customWidth="1"/>
    <col min="3882" max="3882" width="17.81640625" style="448" bestFit="1" customWidth="1"/>
    <col min="3883" max="3883" width="16.453125" style="448" customWidth="1"/>
    <col min="3884" max="3884" width="17.54296875" style="448" customWidth="1"/>
    <col min="3885" max="3885" width="16.81640625" style="448" customWidth="1"/>
    <col min="3886" max="3886" width="17.81640625" style="448" customWidth="1"/>
    <col min="3887" max="4097" width="12.54296875" style="448"/>
    <col min="4098" max="4098" width="5.1796875" style="448" customWidth="1"/>
    <col min="4099" max="4099" width="32.81640625" style="448" bestFit="1" customWidth="1"/>
    <col min="4100" max="4100" width="19.81640625" style="448" bestFit="1" customWidth="1"/>
    <col min="4101" max="4101" width="17.1796875" style="448" bestFit="1" customWidth="1"/>
    <col min="4102" max="4102" width="18.1796875" style="448" bestFit="1" customWidth="1"/>
    <col min="4103" max="4103" width="17.1796875" style="448" bestFit="1" customWidth="1"/>
    <col min="4104" max="4104" width="18.453125" style="448" bestFit="1" customWidth="1"/>
    <col min="4105" max="4105" width="18.1796875" style="448" bestFit="1" customWidth="1"/>
    <col min="4106" max="4106" width="18.453125" style="448" bestFit="1" customWidth="1"/>
    <col min="4107" max="4107" width="17.1796875" style="448" bestFit="1" customWidth="1"/>
    <col min="4108" max="4108" width="15.81640625" style="448" bestFit="1" customWidth="1"/>
    <col min="4109" max="4110" width="18.54296875" style="448" bestFit="1" customWidth="1"/>
    <col min="4111" max="4111" width="16.81640625" style="448" bestFit="1" customWidth="1"/>
    <col min="4112" max="4113" width="18.54296875" style="448" bestFit="1" customWidth="1"/>
    <col min="4114" max="4114" width="1.1796875" style="448" customWidth="1"/>
    <col min="4115" max="4115" width="3.81640625" style="448" customWidth="1"/>
    <col min="4116" max="4116" width="5.453125" style="448" customWidth="1"/>
    <col min="4117" max="4117" width="34.81640625" style="448" customWidth="1"/>
    <col min="4118" max="4118" width="28.453125" style="448" customWidth="1"/>
    <col min="4119" max="4122" width="26.81640625" style="448" customWidth="1"/>
    <col min="4123" max="4123" width="19.81640625" style="448" customWidth="1"/>
    <col min="4124" max="4124" width="16.81640625" style="448" customWidth="1"/>
    <col min="4125" max="4125" width="16.453125" style="448" customWidth="1"/>
    <col min="4126" max="4127" width="17.1796875" style="448" customWidth="1"/>
    <col min="4128" max="4128" width="14.81640625" style="448" bestFit="1" customWidth="1"/>
    <col min="4129" max="4129" width="14.1796875" style="448" customWidth="1"/>
    <col min="4130" max="4130" width="14.453125" style="448" customWidth="1"/>
    <col min="4131" max="4132" width="13.81640625" style="448" customWidth="1"/>
    <col min="4133" max="4133" width="14.81640625" style="448" bestFit="1" customWidth="1"/>
    <col min="4134" max="4137" width="13.81640625" style="448" customWidth="1"/>
    <col min="4138" max="4138" width="17.81640625" style="448" bestFit="1" customWidth="1"/>
    <col min="4139" max="4139" width="16.453125" style="448" customWidth="1"/>
    <col min="4140" max="4140" width="17.54296875" style="448" customWidth="1"/>
    <col min="4141" max="4141" width="16.81640625" style="448" customWidth="1"/>
    <col min="4142" max="4142" width="17.81640625" style="448" customWidth="1"/>
    <col min="4143" max="4353" width="12.54296875" style="448"/>
    <col min="4354" max="4354" width="5.1796875" style="448" customWidth="1"/>
    <col min="4355" max="4355" width="32.81640625" style="448" bestFit="1" customWidth="1"/>
    <col min="4356" max="4356" width="19.81640625" style="448" bestFit="1" customWidth="1"/>
    <col min="4357" max="4357" width="17.1796875" style="448" bestFit="1" customWidth="1"/>
    <col min="4358" max="4358" width="18.1796875" style="448" bestFit="1" customWidth="1"/>
    <col min="4359" max="4359" width="17.1796875" style="448" bestFit="1" customWidth="1"/>
    <col min="4360" max="4360" width="18.453125" style="448" bestFit="1" customWidth="1"/>
    <col min="4361" max="4361" width="18.1796875" style="448" bestFit="1" customWidth="1"/>
    <col min="4362" max="4362" width="18.453125" style="448" bestFit="1" customWidth="1"/>
    <col min="4363" max="4363" width="17.1796875" style="448" bestFit="1" customWidth="1"/>
    <col min="4364" max="4364" width="15.81640625" style="448" bestFit="1" customWidth="1"/>
    <col min="4365" max="4366" width="18.54296875" style="448" bestFit="1" customWidth="1"/>
    <col min="4367" max="4367" width="16.81640625" style="448" bestFit="1" customWidth="1"/>
    <col min="4368" max="4369" width="18.54296875" style="448" bestFit="1" customWidth="1"/>
    <col min="4370" max="4370" width="1.1796875" style="448" customWidth="1"/>
    <col min="4371" max="4371" width="3.81640625" style="448" customWidth="1"/>
    <col min="4372" max="4372" width="5.453125" style="448" customWidth="1"/>
    <col min="4373" max="4373" width="34.81640625" style="448" customWidth="1"/>
    <col min="4374" max="4374" width="28.453125" style="448" customWidth="1"/>
    <col min="4375" max="4378" width="26.81640625" style="448" customWidth="1"/>
    <col min="4379" max="4379" width="19.81640625" style="448" customWidth="1"/>
    <col min="4380" max="4380" width="16.81640625" style="448" customWidth="1"/>
    <col min="4381" max="4381" width="16.453125" style="448" customWidth="1"/>
    <col min="4382" max="4383" width="17.1796875" style="448" customWidth="1"/>
    <col min="4384" max="4384" width="14.81640625" style="448" bestFit="1" customWidth="1"/>
    <col min="4385" max="4385" width="14.1796875" style="448" customWidth="1"/>
    <col min="4386" max="4386" width="14.453125" style="448" customWidth="1"/>
    <col min="4387" max="4388" width="13.81640625" style="448" customWidth="1"/>
    <col min="4389" max="4389" width="14.81640625" style="448" bestFit="1" customWidth="1"/>
    <col min="4390" max="4393" width="13.81640625" style="448" customWidth="1"/>
    <col min="4394" max="4394" width="17.81640625" style="448" bestFit="1" customWidth="1"/>
    <col min="4395" max="4395" width="16.453125" style="448" customWidth="1"/>
    <col min="4396" max="4396" width="17.54296875" style="448" customWidth="1"/>
    <col min="4397" max="4397" width="16.81640625" style="448" customWidth="1"/>
    <col min="4398" max="4398" width="17.81640625" style="448" customWidth="1"/>
    <col min="4399" max="4609" width="12.54296875" style="448"/>
    <col min="4610" max="4610" width="5.1796875" style="448" customWidth="1"/>
    <col min="4611" max="4611" width="32.81640625" style="448" bestFit="1" customWidth="1"/>
    <col min="4612" max="4612" width="19.81640625" style="448" bestFit="1" customWidth="1"/>
    <col min="4613" max="4613" width="17.1796875" style="448" bestFit="1" customWidth="1"/>
    <col min="4614" max="4614" width="18.1796875" style="448" bestFit="1" customWidth="1"/>
    <col min="4615" max="4615" width="17.1796875" style="448" bestFit="1" customWidth="1"/>
    <col min="4616" max="4616" width="18.453125" style="448" bestFit="1" customWidth="1"/>
    <col min="4617" max="4617" width="18.1796875" style="448" bestFit="1" customWidth="1"/>
    <col min="4618" max="4618" width="18.453125" style="448" bestFit="1" customWidth="1"/>
    <col min="4619" max="4619" width="17.1796875" style="448" bestFit="1" customWidth="1"/>
    <col min="4620" max="4620" width="15.81640625" style="448" bestFit="1" customWidth="1"/>
    <col min="4621" max="4622" width="18.54296875" style="448" bestFit="1" customWidth="1"/>
    <col min="4623" max="4623" width="16.81640625" style="448" bestFit="1" customWidth="1"/>
    <col min="4624" max="4625" width="18.54296875" style="448" bestFit="1" customWidth="1"/>
    <col min="4626" max="4626" width="1.1796875" style="448" customWidth="1"/>
    <col min="4627" max="4627" width="3.81640625" style="448" customWidth="1"/>
    <col min="4628" max="4628" width="5.453125" style="448" customWidth="1"/>
    <col min="4629" max="4629" width="34.81640625" style="448" customWidth="1"/>
    <col min="4630" max="4630" width="28.453125" style="448" customWidth="1"/>
    <col min="4631" max="4634" width="26.81640625" style="448" customWidth="1"/>
    <col min="4635" max="4635" width="19.81640625" style="448" customWidth="1"/>
    <col min="4636" max="4636" width="16.81640625" style="448" customWidth="1"/>
    <col min="4637" max="4637" width="16.453125" style="448" customWidth="1"/>
    <col min="4638" max="4639" width="17.1796875" style="448" customWidth="1"/>
    <col min="4640" max="4640" width="14.81640625" style="448" bestFit="1" customWidth="1"/>
    <col min="4641" max="4641" width="14.1796875" style="448" customWidth="1"/>
    <col min="4642" max="4642" width="14.453125" style="448" customWidth="1"/>
    <col min="4643" max="4644" width="13.81640625" style="448" customWidth="1"/>
    <col min="4645" max="4645" width="14.81640625" style="448" bestFit="1" customWidth="1"/>
    <col min="4646" max="4649" width="13.81640625" style="448" customWidth="1"/>
    <col min="4650" max="4650" width="17.81640625" style="448" bestFit="1" customWidth="1"/>
    <col min="4651" max="4651" width="16.453125" style="448" customWidth="1"/>
    <col min="4652" max="4652" width="17.54296875" style="448" customWidth="1"/>
    <col min="4653" max="4653" width="16.81640625" style="448" customWidth="1"/>
    <col min="4654" max="4654" width="17.81640625" style="448" customWidth="1"/>
    <col min="4655" max="4865" width="12.54296875" style="448"/>
    <col min="4866" max="4866" width="5.1796875" style="448" customWidth="1"/>
    <col min="4867" max="4867" width="32.81640625" style="448" bestFit="1" customWidth="1"/>
    <col min="4868" max="4868" width="19.81640625" style="448" bestFit="1" customWidth="1"/>
    <col min="4869" max="4869" width="17.1796875" style="448" bestFit="1" customWidth="1"/>
    <col min="4870" max="4870" width="18.1796875" style="448" bestFit="1" customWidth="1"/>
    <col min="4871" max="4871" width="17.1796875" style="448" bestFit="1" customWidth="1"/>
    <col min="4872" max="4872" width="18.453125" style="448" bestFit="1" customWidth="1"/>
    <col min="4873" max="4873" width="18.1796875" style="448" bestFit="1" customWidth="1"/>
    <col min="4874" max="4874" width="18.453125" style="448" bestFit="1" customWidth="1"/>
    <col min="4875" max="4875" width="17.1796875" style="448" bestFit="1" customWidth="1"/>
    <col min="4876" max="4876" width="15.81640625" style="448" bestFit="1" customWidth="1"/>
    <col min="4877" max="4878" width="18.54296875" style="448" bestFit="1" customWidth="1"/>
    <col min="4879" max="4879" width="16.81640625" style="448" bestFit="1" customWidth="1"/>
    <col min="4880" max="4881" width="18.54296875" style="448" bestFit="1" customWidth="1"/>
    <col min="4882" max="4882" width="1.1796875" style="448" customWidth="1"/>
    <col min="4883" max="4883" width="3.81640625" style="448" customWidth="1"/>
    <col min="4884" max="4884" width="5.453125" style="448" customWidth="1"/>
    <col min="4885" max="4885" width="34.81640625" style="448" customWidth="1"/>
    <col min="4886" max="4886" width="28.453125" style="448" customWidth="1"/>
    <col min="4887" max="4890" width="26.81640625" style="448" customWidth="1"/>
    <col min="4891" max="4891" width="19.81640625" style="448" customWidth="1"/>
    <col min="4892" max="4892" width="16.81640625" style="448" customWidth="1"/>
    <col min="4893" max="4893" width="16.453125" style="448" customWidth="1"/>
    <col min="4894" max="4895" width="17.1796875" style="448" customWidth="1"/>
    <col min="4896" max="4896" width="14.81640625" style="448" bestFit="1" customWidth="1"/>
    <col min="4897" max="4897" width="14.1796875" style="448" customWidth="1"/>
    <col min="4898" max="4898" width="14.453125" style="448" customWidth="1"/>
    <col min="4899" max="4900" width="13.81640625" style="448" customWidth="1"/>
    <col min="4901" max="4901" width="14.81640625" style="448" bestFit="1" customWidth="1"/>
    <col min="4902" max="4905" width="13.81640625" style="448" customWidth="1"/>
    <col min="4906" max="4906" width="17.81640625" style="448" bestFit="1" customWidth="1"/>
    <col min="4907" max="4907" width="16.453125" style="448" customWidth="1"/>
    <col min="4908" max="4908" width="17.54296875" style="448" customWidth="1"/>
    <col min="4909" max="4909" width="16.81640625" style="448" customWidth="1"/>
    <col min="4910" max="4910" width="17.81640625" style="448" customWidth="1"/>
    <col min="4911" max="5121" width="12.54296875" style="448"/>
    <col min="5122" max="5122" width="5.1796875" style="448" customWidth="1"/>
    <col min="5123" max="5123" width="32.81640625" style="448" bestFit="1" customWidth="1"/>
    <col min="5124" max="5124" width="19.81640625" style="448" bestFit="1" customWidth="1"/>
    <col min="5125" max="5125" width="17.1796875" style="448" bestFit="1" customWidth="1"/>
    <col min="5126" max="5126" width="18.1796875" style="448" bestFit="1" customWidth="1"/>
    <col min="5127" max="5127" width="17.1796875" style="448" bestFit="1" customWidth="1"/>
    <col min="5128" max="5128" width="18.453125" style="448" bestFit="1" customWidth="1"/>
    <col min="5129" max="5129" width="18.1796875" style="448" bestFit="1" customWidth="1"/>
    <col min="5130" max="5130" width="18.453125" style="448" bestFit="1" customWidth="1"/>
    <col min="5131" max="5131" width="17.1796875" style="448" bestFit="1" customWidth="1"/>
    <col min="5132" max="5132" width="15.81640625" style="448" bestFit="1" customWidth="1"/>
    <col min="5133" max="5134" width="18.54296875" style="448" bestFit="1" customWidth="1"/>
    <col min="5135" max="5135" width="16.81640625" style="448" bestFit="1" customWidth="1"/>
    <col min="5136" max="5137" width="18.54296875" style="448" bestFit="1" customWidth="1"/>
    <col min="5138" max="5138" width="1.1796875" style="448" customWidth="1"/>
    <col min="5139" max="5139" width="3.81640625" style="448" customWidth="1"/>
    <col min="5140" max="5140" width="5.453125" style="448" customWidth="1"/>
    <col min="5141" max="5141" width="34.81640625" style="448" customWidth="1"/>
    <col min="5142" max="5142" width="28.453125" style="448" customWidth="1"/>
    <col min="5143" max="5146" width="26.81640625" style="448" customWidth="1"/>
    <col min="5147" max="5147" width="19.81640625" style="448" customWidth="1"/>
    <col min="5148" max="5148" width="16.81640625" style="448" customWidth="1"/>
    <col min="5149" max="5149" width="16.453125" style="448" customWidth="1"/>
    <col min="5150" max="5151" width="17.1796875" style="448" customWidth="1"/>
    <col min="5152" max="5152" width="14.81640625" style="448" bestFit="1" customWidth="1"/>
    <col min="5153" max="5153" width="14.1796875" style="448" customWidth="1"/>
    <col min="5154" max="5154" width="14.453125" style="448" customWidth="1"/>
    <col min="5155" max="5156" width="13.81640625" style="448" customWidth="1"/>
    <col min="5157" max="5157" width="14.81640625" style="448" bestFit="1" customWidth="1"/>
    <col min="5158" max="5161" width="13.81640625" style="448" customWidth="1"/>
    <col min="5162" max="5162" width="17.81640625" style="448" bestFit="1" customWidth="1"/>
    <col min="5163" max="5163" width="16.453125" style="448" customWidth="1"/>
    <col min="5164" max="5164" width="17.54296875" style="448" customWidth="1"/>
    <col min="5165" max="5165" width="16.81640625" style="448" customWidth="1"/>
    <col min="5166" max="5166" width="17.81640625" style="448" customWidth="1"/>
    <col min="5167" max="5377" width="12.54296875" style="448"/>
    <col min="5378" max="5378" width="5.1796875" style="448" customWidth="1"/>
    <col min="5379" max="5379" width="32.81640625" style="448" bestFit="1" customWidth="1"/>
    <col min="5380" max="5380" width="19.81640625" style="448" bestFit="1" customWidth="1"/>
    <col min="5381" max="5381" width="17.1796875" style="448" bestFit="1" customWidth="1"/>
    <col min="5382" max="5382" width="18.1796875" style="448" bestFit="1" customWidth="1"/>
    <col min="5383" max="5383" width="17.1796875" style="448" bestFit="1" customWidth="1"/>
    <col min="5384" max="5384" width="18.453125" style="448" bestFit="1" customWidth="1"/>
    <col min="5385" max="5385" width="18.1796875" style="448" bestFit="1" customWidth="1"/>
    <col min="5386" max="5386" width="18.453125" style="448" bestFit="1" customWidth="1"/>
    <col min="5387" max="5387" width="17.1796875" style="448" bestFit="1" customWidth="1"/>
    <col min="5388" max="5388" width="15.81640625" style="448" bestFit="1" customWidth="1"/>
    <col min="5389" max="5390" width="18.54296875" style="448" bestFit="1" customWidth="1"/>
    <col min="5391" max="5391" width="16.81640625" style="448" bestFit="1" customWidth="1"/>
    <col min="5392" max="5393" width="18.54296875" style="448" bestFit="1" customWidth="1"/>
    <col min="5394" max="5394" width="1.1796875" style="448" customWidth="1"/>
    <col min="5395" max="5395" width="3.81640625" style="448" customWidth="1"/>
    <col min="5396" max="5396" width="5.453125" style="448" customWidth="1"/>
    <col min="5397" max="5397" width="34.81640625" style="448" customWidth="1"/>
    <col min="5398" max="5398" width="28.453125" style="448" customWidth="1"/>
    <col min="5399" max="5402" width="26.81640625" style="448" customWidth="1"/>
    <col min="5403" max="5403" width="19.81640625" style="448" customWidth="1"/>
    <col min="5404" max="5404" width="16.81640625" style="448" customWidth="1"/>
    <col min="5405" max="5405" width="16.453125" style="448" customWidth="1"/>
    <col min="5406" max="5407" width="17.1796875" style="448" customWidth="1"/>
    <col min="5408" max="5408" width="14.81640625" style="448" bestFit="1" customWidth="1"/>
    <col min="5409" max="5409" width="14.1796875" style="448" customWidth="1"/>
    <col min="5410" max="5410" width="14.453125" style="448" customWidth="1"/>
    <col min="5411" max="5412" width="13.81640625" style="448" customWidth="1"/>
    <col min="5413" max="5413" width="14.81640625" style="448" bestFit="1" customWidth="1"/>
    <col min="5414" max="5417" width="13.81640625" style="448" customWidth="1"/>
    <col min="5418" max="5418" width="17.81640625" style="448" bestFit="1" customWidth="1"/>
    <col min="5419" max="5419" width="16.453125" style="448" customWidth="1"/>
    <col min="5420" max="5420" width="17.54296875" style="448" customWidth="1"/>
    <col min="5421" max="5421" width="16.81640625" style="448" customWidth="1"/>
    <col min="5422" max="5422" width="17.81640625" style="448" customWidth="1"/>
    <col min="5423" max="5633" width="12.54296875" style="448"/>
    <col min="5634" max="5634" width="5.1796875" style="448" customWidth="1"/>
    <col min="5635" max="5635" width="32.81640625" style="448" bestFit="1" customWidth="1"/>
    <col min="5636" max="5636" width="19.81640625" style="448" bestFit="1" customWidth="1"/>
    <col min="5637" max="5637" width="17.1796875" style="448" bestFit="1" customWidth="1"/>
    <col min="5638" max="5638" width="18.1796875" style="448" bestFit="1" customWidth="1"/>
    <col min="5639" max="5639" width="17.1796875" style="448" bestFit="1" customWidth="1"/>
    <col min="5640" max="5640" width="18.453125" style="448" bestFit="1" customWidth="1"/>
    <col min="5641" max="5641" width="18.1796875" style="448" bestFit="1" customWidth="1"/>
    <col min="5642" max="5642" width="18.453125" style="448" bestFit="1" customWidth="1"/>
    <col min="5643" max="5643" width="17.1796875" style="448" bestFit="1" customWidth="1"/>
    <col min="5644" max="5644" width="15.81640625" style="448" bestFit="1" customWidth="1"/>
    <col min="5645" max="5646" width="18.54296875" style="448" bestFit="1" customWidth="1"/>
    <col min="5647" max="5647" width="16.81640625" style="448" bestFit="1" customWidth="1"/>
    <col min="5648" max="5649" width="18.54296875" style="448" bestFit="1" customWidth="1"/>
    <col min="5650" max="5650" width="1.1796875" style="448" customWidth="1"/>
    <col min="5651" max="5651" width="3.81640625" style="448" customWidth="1"/>
    <col min="5652" max="5652" width="5.453125" style="448" customWidth="1"/>
    <col min="5653" max="5653" width="34.81640625" style="448" customWidth="1"/>
    <col min="5654" max="5654" width="28.453125" style="448" customWidth="1"/>
    <col min="5655" max="5658" width="26.81640625" style="448" customWidth="1"/>
    <col min="5659" max="5659" width="19.81640625" style="448" customWidth="1"/>
    <col min="5660" max="5660" width="16.81640625" style="448" customWidth="1"/>
    <col min="5661" max="5661" width="16.453125" style="448" customWidth="1"/>
    <col min="5662" max="5663" width="17.1796875" style="448" customWidth="1"/>
    <col min="5664" max="5664" width="14.81640625" style="448" bestFit="1" customWidth="1"/>
    <col min="5665" max="5665" width="14.1796875" style="448" customWidth="1"/>
    <col min="5666" max="5666" width="14.453125" style="448" customWidth="1"/>
    <col min="5667" max="5668" width="13.81640625" style="448" customWidth="1"/>
    <col min="5669" max="5669" width="14.81640625" style="448" bestFit="1" customWidth="1"/>
    <col min="5670" max="5673" width="13.81640625" style="448" customWidth="1"/>
    <col min="5674" max="5674" width="17.81640625" style="448" bestFit="1" customWidth="1"/>
    <col min="5675" max="5675" width="16.453125" style="448" customWidth="1"/>
    <col min="5676" max="5676" width="17.54296875" style="448" customWidth="1"/>
    <col min="5677" max="5677" width="16.81640625" style="448" customWidth="1"/>
    <col min="5678" max="5678" width="17.81640625" style="448" customWidth="1"/>
    <col min="5679" max="5889" width="12.54296875" style="448"/>
    <col min="5890" max="5890" width="5.1796875" style="448" customWidth="1"/>
    <col min="5891" max="5891" width="32.81640625" style="448" bestFit="1" customWidth="1"/>
    <col min="5892" max="5892" width="19.81640625" style="448" bestFit="1" customWidth="1"/>
    <col min="5893" max="5893" width="17.1796875" style="448" bestFit="1" customWidth="1"/>
    <col min="5894" max="5894" width="18.1796875" style="448" bestFit="1" customWidth="1"/>
    <col min="5895" max="5895" width="17.1796875" style="448" bestFit="1" customWidth="1"/>
    <col min="5896" max="5896" width="18.453125" style="448" bestFit="1" customWidth="1"/>
    <col min="5897" max="5897" width="18.1796875" style="448" bestFit="1" customWidth="1"/>
    <col min="5898" max="5898" width="18.453125" style="448" bestFit="1" customWidth="1"/>
    <col min="5899" max="5899" width="17.1796875" style="448" bestFit="1" customWidth="1"/>
    <col min="5900" max="5900" width="15.81640625" style="448" bestFit="1" customWidth="1"/>
    <col min="5901" max="5902" width="18.54296875" style="448" bestFit="1" customWidth="1"/>
    <col min="5903" max="5903" width="16.81640625" style="448" bestFit="1" customWidth="1"/>
    <col min="5904" max="5905" width="18.54296875" style="448" bestFit="1" customWidth="1"/>
    <col min="5906" max="5906" width="1.1796875" style="448" customWidth="1"/>
    <col min="5907" max="5907" width="3.81640625" style="448" customWidth="1"/>
    <col min="5908" max="5908" width="5.453125" style="448" customWidth="1"/>
    <col min="5909" max="5909" width="34.81640625" style="448" customWidth="1"/>
    <col min="5910" max="5910" width="28.453125" style="448" customWidth="1"/>
    <col min="5911" max="5914" width="26.81640625" style="448" customWidth="1"/>
    <col min="5915" max="5915" width="19.81640625" style="448" customWidth="1"/>
    <col min="5916" max="5916" width="16.81640625" style="448" customWidth="1"/>
    <col min="5917" max="5917" width="16.453125" style="448" customWidth="1"/>
    <col min="5918" max="5919" width="17.1796875" style="448" customWidth="1"/>
    <col min="5920" max="5920" width="14.81640625" style="448" bestFit="1" customWidth="1"/>
    <col min="5921" max="5921" width="14.1796875" style="448" customWidth="1"/>
    <col min="5922" max="5922" width="14.453125" style="448" customWidth="1"/>
    <col min="5923" max="5924" width="13.81640625" style="448" customWidth="1"/>
    <col min="5925" max="5925" width="14.81640625" style="448" bestFit="1" customWidth="1"/>
    <col min="5926" max="5929" width="13.81640625" style="448" customWidth="1"/>
    <col min="5930" max="5930" width="17.81640625" style="448" bestFit="1" customWidth="1"/>
    <col min="5931" max="5931" width="16.453125" style="448" customWidth="1"/>
    <col min="5932" max="5932" width="17.54296875" style="448" customWidth="1"/>
    <col min="5933" max="5933" width="16.81640625" style="448" customWidth="1"/>
    <col min="5934" max="5934" width="17.81640625" style="448" customWidth="1"/>
    <col min="5935" max="6145" width="12.54296875" style="448"/>
    <col min="6146" max="6146" width="5.1796875" style="448" customWidth="1"/>
    <col min="6147" max="6147" width="32.81640625" style="448" bestFit="1" customWidth="1"/>
    <col min="6148" max="6148" width="19.81640625" style="448" bestFit="1" customWidth="1"/>
    <col min="6149" max="6149" width="17.1796875" style="448" bestFit="1" customWidth="1"/>
    <col min="6150" max="6150" width="18.1796875" style="448" bestFit="1" customWidth="1"/>
    <col min="6151" max="6151" width="17.1796875" style="448" bestFit="1" customWidth="1"/>
    <col min="6152" max="6152" width="18.453125" style="448" bestFit="1" customWidth="1"/>
    <col min="6153" max="6153" width="18.1796875" style="448" bestFit="1" customWidth="1"/>
    <col min="6154" max="6154" width="18.453125" style="448" bestFit="1" customWidth="1"/>
    <col min="6155" max="6155" width="17.1796875" style="448" bestFit="1" customWidth="1"/>
    <col min="6156" max="6156" width="15.81640625" style="448" bestFit="1" customWidth="1"/>
    <col min="6157" max="6158" width="18.54296875" style="448" bestFit="1" customWidth="1"/>
    <col min="6159" max="6159" width="16.81640625" style="448" bestFit="1" customWidth="1"/>
    <col min="6160" max="6161" width="18.54296875" style="448" bestFit="1" customWidth="1"/>
    <col min="6162" max="6162" width="1.1796875" style="448" customWidth="1"/>
    <col min="6163" max="6163" width="3.81640625" style="448" customWidth="1"/>
    <col min="6164" max="6164" width="5.453125" style="448" customWidth="1"/>
    <col min="6165" max="6165" width="34.81640625" style="448" customWidth="1"/>
    <col min="6166" max="6166" width="28.453125" style="448" customWidth="1"/>
    <col min="6167" max="6170" width="26.81640625" style="448" customWidth="1"/>
    <col min="6171" max="6171" width="19.81640625" style="448" customWidth="1"/>
    <col min="6172" max="6172" width="16.81640625" style="448" customWidth="1"/>
    <col min="6173" max="6173" width="16.453125" style="448" customWidth="1"/>
    <col min="6174" max="6175" width="17.1796875" style="448" customWidth="1"/>
    <col min="6176" max="6176" width="14.81640625" style="448" bestFit="1" customWidth="1"/>
    <col min="6177" max="6177" width="14.1796875" style="448" customWidth="1"/>
    <col min="6178" max="6178" width="14.453125" style="448" customWidth="1"/>
    <col min="6179" max="6180" width="13.81640625" style="448" customWidth="1"/>
    <col min="6181" max="6181" width="14.81640625" style="448" bestFit="1" customWidth="1"/>
    <col min="6182" max="6185" width="13.81640625" style="448" customWidth="1"/>
    <col min="6186" max="6186" width="17.81640625" style="448" bestFit="1" customWidth="1"/>
    <col min="6187" max="6187" width="16.453125" style="448" customWidth="1"/>
    <col min="6188" max="6188" width="17.54296875" style="448" customWidth="1"/>
    <col min="6189" max="6189" width="16.81640625" style="448" customWidth="1"/>
    <col min="6190" max="6190" width="17.81640625" style="448" customWidth="1"/>
    <col min="6191" max="6401" width="12.54296875" style="448"/>
    <col min="6402" max="6402" width="5.1796875" style="448" customWidth="1"/>
    <col min="6403" max="6403" width="32.81640625" style="448" bestFit="1" customWidth="1"/>
    <col min="6404" max="6404" width="19.81640625" style="448" bestFit="1" customWidth="1"/>
    <col min="6405" max="6405" width="17.1796875" style="448" bestFit="1" customWidth="1"/>
    <col min="6406" max="6406" width="18.1796875" style="448" bestFit="1" customWidth="1"/>
    <col min="6407" max="6407" width="17.1796875" style="448" bestFit="1" customWidth="1"/>
    <col min="6408" max="6408" width="18.453125" style="448" bestFit="1" customWidth="1"/>
    <col min="6409" max="6409" width="18.1796875" style="448" bestFit="1" customWidth="1"/>
    <col min="6410" max="6410" width="18.453125" style="448" bestFit="1" customWidth="1"/>
    <col min="6411" max="6411" width="17.1796875" style="448" bestFit="1" customWidth="1"/>
    <col min="6412" max="6412" width="15.81640625" style="448" bestFit="1" customWidth="1"/>
    <col min="6413" max="6414" width="18.54296875" style="448" bestFit="1" customWidth="1"/>
    <col min="6415" max="6415" width="16.81640625" style="448" bestFit="1" customWidth="1"/>
    <col min="6416" max="6417" width="18.54296875" style="448" bestFit="1" customWidth="1"/>
    <col min="6418" max="6418" width="1.1796875" style="448" customWidth="1"/>
    <col min="6419" max="6419" width="3.81640625" style="448" customWidth="1"/>
    <col min="6420" max="6420" width="5.453125" style="448" customWidth="1"/>
    <col min="6421" max="6421" width="34.81640625" style="448" customWidth="1"/>
    <col min="6422" max="6422" width="28.453125" style="448" customWidth="1"/>
    <col min="6423" max="6426" width="26.81640625" style="448" customWidth="1"/>
    <col min="6427" max="6427" width="19.81640625" style="448" customWidth="1"/>
    <col min="6428" max="6428" width="16.81640625" style="448" customWidth="1"/>
    <col min="6429" max="6429" width="16.453125" style="448" customWidth="1"/>
    <col min="6430" max="6431" width="17.1796875" style="448" customWidth="1"/>
    <col min="6432" max="6432" width="14.81640625" style="448" bestFit="1" customWidth="1"/>
    <col min="6433" max="6433" width="14.1796875" style="448" customWidth="1"/>
    <col min="6434" max="6434" width="14.453125" style="448" customWidth="1"/>
    <col min="6435" max="6436" width="13.81640625" style="448" customWidth="1"/>
    <col min="6437" max="6437" width="14.81640625" style="448" bestFit="1" customWidth="1"/>
    <col min="6438" max="6441" width="13.81640625" style="448" customWidth="1"/>
    <col min="6442" max="6442" width="17.81640625" style="448" bestFit="1" customWidth="1"/>
    <col min="6443" max="6443" width="16.453125" style="448" customWidth="1"/>
    <col min="6444" max="6444" width="17.54296875" style="448" customWidth="1"/>
    <col min="6445" max="6445" width="16.81640625" style="448" customWidth="1"/>
    <col min="6446" max="6446" width="17.81640625" style="448" customWidth="1"/>
    <col min="6447" max="6657" width="12.54296875" style="448"/>
    <col min="6658" max="6658" width="5.1796875" style="448" customWidth="1"/>
    <col min="6659" max="6659" width="32.81640625" style="448" bestFit="1" customWidth="1"/>
    <col min="6660" max="6660" width="19.81640625" style="448" bestFit="1" customWidth="1"/>
    <col min="6661" max="6661" width="17.1796875" style="448" bestFit="1" customWidth="1"/>
    <col min="6662" max="6662" width="18.1796875" style="448" bestFit="1" customWidth="1"/>
    <col min="6663" max="6663" width="17.1796875" style="448" bestFit="1" customWidth="1"/>
    <col min="6664" max="6664" width="18.453125" style="448" bestFit="1" customWidth="1"/>
    <col min="6665" max="6665" width="18.1796875" style="448" bestFit="1" customWidth="1"/>
    <col min="6666" max="6666" width="18.453125" style="448" bestFit="1" customWidth="1"/>
    <col min="6667" max="6667" width="17.1796875" style="448" bestFit="1" customWidth="1"/>
    <col min="6668" max="6668" width="15.81640625" style="448" bestFit="1" customWidth="1"/>
    <col min="6669" max="6670" width="18.54296875" style="448" bestFit="1" customWidth="1"/>
    <col min="6671" max="6671" width="16.81640625" style="448" bestFit="1" customWidth="1"/>
    <col min="6672" max="6673" width="18.54296875" style="448" bestFit="1" customWidth="1"/>
    <col min="6674" max="6674" width="1.1796875" style="448" customWidth="1"/>
    <col min="6675" max="6675" width="3.81640625" style="448" customWidth="1"/>
    <col min="6676" max="6676" width="5.453125" style="448" customWidth="1"/>
    <col min="6677" max="6677" width="34.81640625" style="448" customWidth="1"/>
    <col min="6678" max="6678" width="28.453125" style="448" customWidth="1"/>
    <col min="6679" max="6682" width="26.81640625" style="448" customWidth="1"/>
    <col min="6683" max="6683" width="19.81640625" style="448" customWidth="1"/>
    <col min="6684" max="6684" width="16.81640625" style="448" customWidth="1"/>
    <col min="6685" max="6685" width="16.453125" style="448" customWidth="1"/>
    <col min="6686" max="6687" width="17.1796875" style="448" customWidth="1"/>
    <col min="6688" max="6688" width="14.81640625" style="448" bestFit="1" customWidth="1"/>
    <col min="6689" max="6689" width="14.1796875" style="448" customWidth="1"/>
    <col min="6690" max="6690" width="14.453125" style="448" customWidth="1"/>
    <col min="6691" max="6692" width="13.81640625" style="448" customWidth="1"/>
    <col min="6693" max="6693" width="14.81640625" style="448" bestFit="1" customWidth="1"/>
    <col min="6694" max="6697" width="13.81640625" style="448" customWidth="1"/>
    <col min="6698" max="6698" width="17.81640625" style="448" bestFit="1" customWidth="1"/>
    <col min="6699" max="6699" width="16.453125" style="448" customWidth="1"/>
    <col min="6700" max="6700" width="17.54296875" style="448" customWidth="1"/>
    <col min="6701" max="6701" width="16.81640625" style="448" customWidth="1"/>
    <col min="6702" max="6702" width="17.81640625" style="448" customWidth="1"/>
    <col min="6703" max="6913" width="12.54296875" style="448"/>
    <col min="6914" max="6914" width="5.1796875" style="448" customWidth="1"/>
    <col min="6915" max="6915" width="32.81640625" style="448" bestFit="1" customWidth="1"/>
    <col min="6916" max="6916" width="19.81640625" style="448" bestFit="1" customWidth="1"/>
    <col min="6917" max="6917" width="17.1796875" style="448" bestFit="1" customWidth="1"/>
    <col min="6918" max="6918" width="18.1796875" style="448" bestFit="1" customWidth="1"/>
    <col min="6919" max="6919" width="17.1796875" style="448" bestFit="1" customWidth="1"/>
    <col min="6920" max="6920" width="18.453125" style="448" bestFit="1" customWidth="1"/>
    <col min="6921" max="6921" width="18.1796875" style="448" bestFit="1" customWidth="1"/>
    <col min="6922" max="6922" width="18.453125" style="448" bestFit="1" customWidth="1"/>
    <col min="6923" max="6923" width="17.1796875" style="448" bestFit="1" customWidth="1"/>
    <col min="6924" max="6924" width="15.81640625" style="448" bestFit="1" customWidth="1"/>
    <col min="6925" max="6926" width="18.54296875" style="448" bestFit="1" customWidth="1"/>
    <col min="6927" max="6927" width="16.81640625" style="448" bestFit="1" customWidth="1"/>
    <col min="6928" max="6929" width="18.54296875" style="448" bestFit="1" customWidth="1"/>
    <col min="6930" max="6930" width="1.1796875" style="448" customWidth="1"/>
    <col min="6931" max="6931" width="3.81640625" style="448" customWidth="1"/>
    <col min="6932" max="6932" width="5.453125" style="448" customWidth="1"/>
    <col min="6933" max="6933" width="34.81640625" style="448" customWidth="1"/>
    <col min="6934" max="6934" width="28.453125" style="448" customWidth="1"/>
    <col min="6935" max="6938" width="26.81640625" style="448" customWidth="1"/>
    <col min="6939" max="6939" width="19.81640625" style="448" customWidth="1"/>
    <col min="6940" max="6940" width="16.81640625" style="448" customWidth="1"/>
    <col min="6941" max="6941" width="16.453125" style="448" customWidth="1"/>
    <col min="6942" max="6943" width="17.1796875" style="448" customWidth="1"/>
    <col min="6944" max="6944" width="14.81640625" style="448" bestFit="1" customWidth="1"/>
    <col min="6945" max="6945" width="14.1796875" style="448" customWidth="1"/>
    <col min="6946" max="6946" width="14.453125" style="448" customWidth="1"/>
    <col min="6947" max="6948" width="13.81640625" style="448" customWidth="1"/>
    <col min="6949" max="6949" width="14.81640625" style="448" bestFit="1" customWidth="1"/>
    <col min="6950" max="6953" width="13.81640625" style="448" customWidth="1"/>
    <col min="6954" max="6954" width="17.81640625" style="448" bestFit="1" customWidth="1"/>
    <col min="6955" max="6955" width="16.453125" style="448" customWidth="1"/>
    <col min="6956" max="6956" width="17.54296875" style="448" customWidth="1"/>
    <col min="6957" max="6957" width="16.81640625" style="448" customWidth="1"/>
    <col min="6958" max="6958" width="17.81640625" style="448" customWidth="1"/>
    <col min="6959" max="7169" width="12.54296875" style="448"/>
    <col min="7170" max="7170" width="5.1796875" style="448" customWidth="1"/>
    <col min="7171" max="7171" width="32.81640625" style="448" bestFit="1" customWidth="1"/>
    <col min="7172" max="7172" width="19.81640625" style="448" bestFit="1" customWidth="1"/>
    <col min="7173" max="7173" width="17.1796875" style="448" bestFit="1" customWidth="1"/>
    <col min="7174" max="7174" width="18.1796875" style="448" bestFit="1" customWidth="1"/>
    <col min="7175" max="7175" width="17.1796875" style="448" bestFit="1" customWidth="1"/>
    <col min="7176" max="7176" width="18.453125" style="448" bestFit="1" customWidth="1"/>
    <col min="7177" max="7177" width="18.1796875" style="448" bestFit="1" customWidth="1"/>
    <col min="7178" max="7178" width="18.453125" style="448" bestFit="1" customWidth="1"/>
    <col min="7179" max="7179" width="17.1796875" style="448" bestFit="1" customWidth="1"/>
    <col min="7180" max="7180" width="15.81640625" style="448" bestFit="1" customWidth="1"/>
    <col min="7181" max="7182" width="18.54296875" style="448" bestFit="1" customWidth="1"/>
    <col min="7183" max="7183" width="16.81640625" style="448" bestFit="1" customWidth="1"/>
    <col min="7184" max="7185" width="18.54296875" style="448" bestFit="1" customWidth="1"/>
    <col min="7186" max="7186" width="1.1796875" style="448" customWidth="1"/>
    <col min="7187" max="7187" width="3.81640625" style="448" customWidth="1"/>
    <col min="7188" max="7188" width="5.453125" style="448" customWidth="1"/>
    <col min="7189" max="7189" width="34.81640625" style="448" customWidth="1"/>
    <col min="7190" max="7190" width="28.453125" style="448" customWidth="1"/>
    <col min="7191" max="7194" width="26.81640625" style="448" customWidth="1"/>
    <col min="7195" max="7195" width="19.81640625" style="448" customWidth="1"/>
    <col min="7196" max="7196" width="16.81640625" style="448" customWidth="1"/>
    <col min="7197" max="7197" width="16.453125" style="448" customWidth="1"/>
    <col min="7198" max="7199" width="17.1796875" style="448" customWidth="1"/>
    <col min="7200" max="7200" width="14.81640625" style="448" bestFit="1" customWidth="1"/>
    <col min="7201" max="7201" width="14.1796875" style="448" customWidth="1"/>
    <col min="7202" max="7202" width="14.453125" style="448" customWidth="1"/>
    <col min="7203" max="7204" width="13.81640625" style="448" customWidth="1"/>
    <col min="7205" max="7205" width="14.81640625" style="448" bestFit="1" customWidth="1"/>
    <col min="7206" max="7209" width="13.81640625" style="448" customWidth="1"/>
    <col min="7210" max="7210" width="17.81640625" style="448" bestFit="1" customWidth="1"/>
    <col min="7211" max="7211" width="16.453125" style="448" customWidth="1"/>
    <col min="7212" max="7212" width="17.54296875" style="448" customWidth="1"/>
    <col min="7213" max="7213" width="16.81640625" style="448" customWidth="1"/>
    <col min="7214" max="7214" width="17.81640625" style="448" customWidth="1"/>
    <col min="7215" max="7425" width="12.54296875" style="448"/>
    <col min="7426" max="7426" width="5.1796875" style="448" customWidth="1"/>
    <col min="7427" max="7427" width="32.81640625" style="448" bestFit="1" customWidth="1"/>
    <col min="7428" max="7428" width="19.81640625" style="448" bestFit="1" customWidth="1"/>
    <col min="7429" max="7429" width="17.1796875" style="448" bestFit="1" customWidth="1"/>
    <col min="7430" max="7430" width="18.1796875" style="448" bestFit="1" customWidth="1"/>
    <col min="7431" max="7431" width="17.1796875" style="448" bestFit="1" customWidth="1"/>
    <col min="7432" max="7432" width="18.453125" style="448" bestFit="1" customWidth="1"/>
    <col min="7433" max="7433" width="18.1796875" style="448" bestFit="1" customWidth="1"/>
    <col min="7434" max="7434" width="18.453125" style="448" bestFit="1" customWidth="1"/>
    <col min="7435" max="7435" width="17.1796875" style="448" bestFit="1" customWidth="1"/>
    <col min="7436" max="7436" width="15.81640625" style="448" bestFit="1" customWidth="1"/>
    <col min="7437" max="7438" width="18.54296875" style="448" bestFit="1" customWidth="1"/>
    <col min="7439" max="7439" width="16.81640625" style="448" bestFit="1" customWidth="1"/>
    <col min="7440" max="7441" width="18.54296875" style="448" bestFit="1" customWidth="1"/>
    <col min="7442" max="7442" width="1.1796875" style="448" customWidth="1"/>
    <col min="7443" max="7443" width="3.81640625" style="448" customWidth="1"/>
    <col min="7444" max="7444" width="5.453125" style="448" customWidth="1"/>
    <col min="7445" max="7445" width="34.81640625" style="448" customWidth="1"/>
    <col min="7446" max="7446" width="28.453125" style="448" customWidth="1"/>
    <col min="7447" max="7450" width="26.81640625" style="448" customWidth="1"/>
    <col min="7451" max="7451" width="19.81640625" style="448" customWidth="1"/>
    <col min="7452" max="7452" width="16.81640625" style="448" customWidth="1"/>
    <col min="7453" max="7453" width="16.453125" style="448" customWidth="1"/>
    <col min="7454" max="7455" width="17.1796875" style="448" customWidth="1"/>
    <col min="7456" max="7456" width="14.81640625" style="448" bestFit="1" customWidth="1"/>
    <col min="7457" max="7457" width="14.1796875" style="448" customWidth="1"/>
    <col min="7458" max="7458" width="14.453125" style="448" customWidth="1"/>
    <col min="7459" max="7460" width="13.81640625" style="448" customWidth="1"/>
    <col min="7461" max="7461" width="14.81640625" style="448" bestFit="1" customWidth="1"/>
    <col min="7462" max="7465" width="13.81640625" style="448" customWidth="1"/>
    <col min="7466" max="7466" width="17.81640625" style="448" bestFit="1" customWidth="1"/>
    <col min="7467" max="7467" width="16.453125" style="448" customWidth="1"/>
    <col min="7468" max="7468" width="17.54296875" style="448" customWidth="1"/>
    <col min="7469" max="7469" width="16.81640625" style="448" customWidth="1"/>
    <col min="7470" max="7470" width="17.81640625" style="448" customWidth="1"/>
    <col min="7471" max="7681" width="12.54296875" style="448"/>
    <col min="7682" max="7682" width="5.1796875" style="448" customWidth="1"/>
    <col min="7683" max="7683" width="32.81640625" style="448" bestFit="1" customWidth="1"/>
    <col min="7684" max="7684" width="19.81640625" style="448" bestFit="1" customWidth="1"/>
    <col min="7685" max="7685" width="17.1796875" style="448" bestFit="1" customWidth="1"/>
    <col min="7686" max="7686" width="18.1796875" style="448" bestFit="1" customWidth="1"/>
    <col min="7687" max="7687" width="17.1796875" style="448" bestFit="1" customWidth="1"/>
    <col min="7688" max="7688" width="18.453125" style="448" bestFit="1" customWidth="1"/>
    <col min="7689" max="7689" width="18.1796875" style="448" bestFit="1" customWidth="1"/>
    <col min="7690" max="7690" width="18.453125" style="448" bestFit="1" customWidth="1"/>
    <col min="7691" max="7691" width="17.1796875" style="448" bestFit="1" customWidth="1"/>
    <col min="7692" max="7692" width="15.81640625" style="448" bestFit="1" customWidth="1"/>
    <col min="7693" max="7694" width="18.54296875" style="448" bestFit="1" customWidth="1"/>
    <col min="7695" max="7695" width="16.81640625" style="448" bestFit="1" customWidth="1"/>
    <col min="7696" max="7697" width="18.54296875" style="448" bestFit="1" customWidth="1"/>
    <col min="7698" max="7698" width="1.1796875" style="448" customWidth="1"/>
    <col min="7699" max="7699" width="3.81640625" style="448" customWidth="1"/>
    <col min="7700" max="7700" width="5.453125" style="448" customWidth="1"/>
    <col min="7701" max="7701" width="34.81640625" style="448" customWidth="1"/>
    <col min="7702" max="7702" width="28.453125" style="448" customWidth="1"/>
    <col min="7703" max="7706" width="26.81640625" style="448" customWidth="1"/>
    <col min="7707" max="7707" width="19.81640625" style="448" customWidth="1"/>
    <col min="7708" max="7708" width="16.81640625" style="448" customWidth="1"/>
    <col min="7709" max="7709" width="16.453125" style="448" customWidth="1"/>
    <col min="7710" max="7711" width="17.1796875" style="448" customWidth="1"/>
    <col min="7712" max="7712" width="14.81640625" style="448" bestFit="1" customWidth="1"/>
    <col min="7713" max="7713" width="14.1796875" style="448" customWidth="1"/>
    <col min="7714" max="7714" width="14.453125" style="448" customWidth="1"/>
    <col min="7715" max="7716" width="13.81640625" style="448" customWidth="1"/>
    <col min="7717" max="7717" width="14.81640625" style="448" bestFit="1" customWidth="1"/>
    <col min="7718" max="7721" width="13.81640625" style="448" customWidth="1"/>
    <col min="7722" max="7722" width="17.81640625" style="448" bestFit="1" customWidth="1"/>
    <col min="7723" max="7723" width="16.453125" style="448" customWidth="1"/>
    <col min="7724" max="7724" width="17.54296875" style="448" customWidth="1"/>
    <col min="7725" max="7725" width="16.81640625" style="448" customWidth="1"/>
    <col min="7726" max="7726" width="17.81640625" style="448" customWidth="1"/>
    <col min="7727" max="7937" width="12.54296875" style="448"/>
    <col min="7938" max="7938" width="5.1796875" style="448" customWidth="1"/>
    <col min="7939" max="7939" width="32.81640625" style="448" bestFit="1" customWidth="1"/>
    <col min="7940" max="7940" width="19.81640625" style="448" bestFit="1" customWidth="1"/>
    <col min="7941" max="7941" width="17.1796875" style="448" bestFit="1" customWidth="1"/>
    <col min="7942" max="7942" width="18.1796875" style="448" bestFit="1" customWidth="1"/>
    <col min="7943" max="7943" width="17.1796875" style="448" bestFit="1" customWidth="1"/>
    <col min="7944" max="7944" width="18.453125" style="448" bestFit="1" customWidth="1"/>
    <col min="7945" max="7945" width="18.1796875" style="448" bestFit="1" customWidth="1"/>
    <col min="7946" max="7946" width="18.453125" style="448" bestFit="1" customWidth="1"/>
    <col min="7947" max="7947" width="17.1796875" style="448" bestFit="1" customWidth="1"/>
    <col min="7948" max="7948" width="15.81640625" style="448" bestFit="1" customWidth="1"/>
    <col min="7949" max="7950" width="18.54296875" style="448" bestFit="1" customWidth="1"/>
    <col min="7951" max="7951" width="16.81640625" style="448" bestFit="1" customWidth="1"/>
    <col min="7952" max="7953" width="18.54296875" style="448" bestFit="1" customWidth="1"/>
    <col min="7954" max="7954" width="1.1796875" style="448" customWidth="1"/>
    <col min="7955" max="7955" width="3.81640625" style="448" customWidth="1"/>
    <col min="7956" max="7956" width="5.453125" style="448" customWidth="1"/>
    <col min="7957" max="7957" width="34.81640625" style="448" customWidth="1"/>
    <col min="7958" max="7958" width="28.453125" style="448" customWidth="1"/>
    <col min="7959" max="7962" width="26.81640625" style="448" customWidth="1"/>
    <col min="7963" max="7963" width="19.81640625" style="448" customWidth="1"/>
    <col min="7964" max="7964" width="16.81640625" style="448" customWidth="1"/>
    <col min="7965" max="7965" width="16.453125" style="448" customWidth="1"/>
    <col min="7966" max="7967" width="17.1796875" style="448" customWidth="1"/>
    <col min="7968" max="7968" width="14.81640625" style="448" bestFit="1" customWidth="1"/>
    <col min="7969" max="7969" width="14.1796875" style="448" customWidth="1"/>
    <col min="7970" max="7970" width="14.453125" style="448" customWidth="1"/>
    <col min="7971" max="7972" width="13.81640625" style="448" customWidth="1"/>
    <col min="7973" max="7973" width="14.81640625" style="448" bestFit="1" customWidth="1"/>
    <col min="7974" max="7977" width="13.81640625" style="448" customWidth="1"/>
    <col min="7978" max="7978" width="17.81640625" style="448" bestFit="1" customWidth="1"/>
    <col min="7979" max="7979" width="16.453125" style="448" customWidth="1"/>
    <col min="7980" max="7980" width="17.54296875" style="448" customWidth="1"/>
    <col min="7981" max="7981" width="16.81640625" style="448" customWidth="1"/>
    <col min="7982" max="7982" width="17.81640625" style="448" customWidth="1"/>
    <col min="7983" max="8193" width="12.54296875" style="448"/>
    <col min="8194" max="8194" width="5.1796875" style="448" customWidth="1"/>
    <col min="8195" max="8195" width="32.81640625" style="448" bestFit="1" customWidth="1"/>
    <col min="8196" max="8196" width="19.81640625" style="448" bestFit="1" customWidth="1"/>
    <col min="8197" max="8197" width="17.1796875" style="448" bestFit="1" customWidth="1"/>
    <col min="8198" max="8198" width="18.1796875" style="448" bestFit="1" customWidth="1"/>
    <col min="8199" max="8199" width="17.1796875" style="448" bestFit="1" customWidth="1"/>
    <col min="8200" max="8200" width="18.453125" style="448" bestFit="1" customWidth="1"/>
    <col min="8201" max="8201" width="18.1796875" style="448" bestFit="1" customWidth="1"/>
    <col min="8202" max="8202" width="18.453125" style="448" bestFit="1" customWidth="1"/>
    <col min="8203" max="8203" width="17.1796875" style="448" bestFit="1" customWidth="1"/>
    <col min="8204" max="8204" width="15.81640625" style="448" bestFit="1" customWidth="1"/>
    <col min="8205" max="8206" width="18.54296875" style="448" bestFit="1" customWidth="1"/>
    <col min="8207" max="8207" width="16.81640625" style="448" bestFit="1" customWidth="1"/>
    <col min="8208" max="8209" width="18.54296875" style="448" bestFit="1" customWidth="1"/>
    <col min="8210" max="8210" width="1.1796875" style="448" customWidth="1"/>
    <col min="8211" max="8211" width="3.81640625" style="448" customWidth="1"/>
    <col min="8212" max="8212" width="5.453125" style="448" customWidth="1"/>
    <col min="8213" max="8213" width="34.81640625" style="448" customWidth="1"/>
    <col min="8214" max="8214" width="28.453125" style="448" customWidth="1"/>
    <col min="8215" max="8218" width="26.81640625" style="448" customWidth="1"/>
    <col min="8219" max="8219" width="19.81640625" style="448" customWidth="1"/>
    <col min="8220" max="8220" width="16.81640625" style="448" customWidth="1"/>
    <col min="8221" max="8221" width="16.453125" style="448" customWidth="1"/>
    <col min="8222" max="8223" width="17.1796875" style="448" customWidth="1"/>
    <col min="8224" max="8224" width="14.81640625" style="448" bestFit="1" customWidth="1"/>
    <col min="8225" max="8225" width="14.1796875" style="448" customWidth="1"/>
    <col min="8226" max="8226" width="14.453125" style="448" customWidth="1"/>
    <col min="8227" max="8228" width="13.81640625" style="448" customWidth="1"/>
    <col min="8229" max="8229" width="14.81640625" style="448" bestFit="1" customWidth="1"/>
    <col min="8230" max="8233" width="13.81640625" style="448" customWidth="1"/>
    <col min="8234" max="8234" width="17.81640625" style="448" bestFit="1" customWidth="1"/>
    <col min="8235" max="8235" width="16.453125" style="448" customWidth="1"/>
    <col min="8236" max="8236" width="17.54296875" style="448" customWidth="1"/>
    <col min="8237" max="8237" width="16.81640625" style="448" customWidth="1"/>
    <col min="8238" max="8238" width="17.81640625" style="448" customWidth="1"/>
    <col min="8239" max="8449" width="12.54296875" style="448"/>
    <col min="8450" max="8450" width="5.1796875" style="448" customWidth="1"/>
    <col min="8451" max="8451" width="32.81640625" style="448" bestFit="1" customWidth="1"/>
    <col min="8452" max="8452" width="19.81640625" style="448" bestFit="1" customWidth="1"/>
    <col min="8453" max="8453" width="17.1796875" style="448" bestFit="1" customWidth="1"/>
    <col min="8454" max="8454" width="18.1796875" style="448" bestFit="1" customWidth="1"/>
    <col min="8455" max="8455" width="17.1796875" style="448" bestFit="1" customWidth="1"/>
    <col min="8456" max="8456" width="18.453125" style="448" bestFit="1" customWidth="1"/>
    <col min="8457" max="8457" width="18.1796875" style="448" bestFit="1" customWidth="1"/>
    <col min="8458" max="8458" width="18.453125" style="448" bestFit="1" customWidth="1"/>
    <col min="8459" max="8459" width="17.1796875" style="448" bestFit="1" customWidth="1"/>
    <col min="8460" max="8460" width="15.81640625" style="448" bestFit="1" customWidth="1"/>
    <col min="8461" max="8462" width="18.54296875" style="448" bestFit="1" customWidth="1"/>
    <col min="8463" max="8463" width="16.81640625" style="448" bestFit="1" customWidth="1"/>
    <col min="8464" max="8465" width="18.54296875" style="448" bestFit="1" customWidth="1"/>
    <col min="8466" max="8466" width="1.1796875" style="448" customWidth="1"/>
    <col min="8467" max="8467" width="3.81640625" style="448" customWidth="1"/>
    <col min="8468" max="8468" width="5.453125" style="448" customWidth="1"/>
    <col min="8469" max="8469" width="34.81640625" style="448" customWidth="1"/>
    <col min="8470" max="8470" width="28.453125" style="448" customWidth="1"/>
    <col min="8471" max="8474" width="26.81640625" style="448" customWidth="1"/>
    <col min="8475" max="8475" width="19.81640625" style="448" customWidth="1"/>
    <col min="8476" max="8476" width="16.81640625" style="448" customWidth="1"/>
    <col min="8477" max="8477" width="16.453125" style="448" customWidth="1"/>
    <col min="8478" max="8479" width="17.1796875" style="448" customWidth="1"/>
    <col min="8480" max="8480" width="14.81640625" style="448" bestFit="1" customWidth="1"/>
    <col min="8481" max="8481" width="14.1796875" style="448" customWidth="1"/>
    <col min="8482" max="8482" width="14.453125" style="448" customWidth="1"/>
    <col min="8483" max="8484" width="13.81640625" style="448" customWidth="1"/>
    <col min="8485" max="8485" width="14.81640625" style="448" bestFit="1" customWidth="1"/>
    <col min="8486" max="8489" width="13.81640625" style="448" customWidth="1"/>
    <col min="8490" max="8490" width="17.81640625" style="448" bestFit="1" customWidth="1"/>
    <col min="8491" max="8491" width="16.453125" style="448" customWidth="1"/>
    <col min="8492" max="8492" width="17.54296875" style="448" customWidth="1"/>
    <col min="8493" max="8493" width="16.81640625" style="448" customWidth="1"/>
    <col min="8494" max="8494" width="17.81640625" style="448" customWidth="1"/>
    <col min="8495" max="8705" width="12.54296875" style="448"/>
    <col min="8706" max="8706" width="5.1796875" style="448" customWidth="1"/>
    <col min="8707" max="8707" width="32.81640625" style="448" bestFit="1" customWidth="1"/>
    <col min="8708" max="8708" width="19.81640625" style="448" bestFit="1" customWidth="1"/>
    <col min="8709" max="8709" width="17.1796875" style="448" bestFit="1" customWidth="1"/>
    <col min="8710" max="8710" width="18.1796875" style="448" bestFit="1" customWidth="1"/>
    <col min="8711" max="8711" width="17.1796875" style="448" bestFit="1" customWidth="1"/>
    <col min="8712" max="8712" width="18.453125" style="448" bestFit="1" customWidth="1"/>
    <col min="8713" max="8713" width="18.1796875" style="448" bestFit="1" customWidth="1"/>
    <col min="8714" max="8714" width="18.453125" style="448" bestFit="1" customWidth="1"/>
    <col min="8715" max="8715" width="17.1796875" style="448" bestFit="1" customWidth="1"/>
    <col min="8716" max="8716" width="15.81640625" style="448" bestFit="1" customWidth="1"/>
    <col min="8717" max="8718" width="18.54296875" style="448" bestFit="1" customWidth="1"/>
    <col min="8719" max="8719" width="16.81640625" style="448" bestFit="1" customWidth="1"/>
    <col min="8720" max="8721" width="18.54296875" style="448" bestFit="1" customWidth="1"/>
    <col min="8722" max="8722" width="1.1796875" style="448" customWidth="1"/>
    <col min="8723" max="8723" width="3.81640625" style="448" customWidth="1"/>
    <col min="8724" max="8724" width="5.453125" style="448" customWidth="1"/>
    <col min="8725" max="8725" width="34.81640625" style="448" customWidth="1"/>
    <col min="8726" max="8726" width="28.453125" style="448" customWidth="1"/>
    <col min="8727" max="8730" width="26.81640625" style="448" customWidth="1"/>
    <col min="8731" max="8731" width="19.81640625" style="448" customWidth="1"/>
    <col min="8732" max="8732" width="16.81640625" style="448" customWidth="1"/>
    <col min="8733" max="8733" width="16.453125" style="448" customWidth="1"/>
    <col min="8734" max="8735" width="17.1796875" style="448" customWidth="1"/>
    <col min="8736" max="8736" width="14.81640625" style="448" bestFit="1" customWidth="1"/>
    <col min="8737" max="8737" width="14.1796875" style="448" customWidth="1"/>
    <col min="8738" max="8738" width="14.453125" style="448" customWidth="1"/>
    <col min="8739" max="8740" width="13.81640625" style="448" customWidth="1"/>
    <col min="8741" max="8741" width="14.81640625" style="448" bestFit="1" customWidth="1"/>
    <col min="8742" max="8745" width="13.81640625" style="448" customWidth="1"/>
    <col min="8746" max="8746" width="17.81640625" style="448" bestFit="1" customWidth="1"/>
    <col min="8747" max="8747" width="16.453125" style="448" customWidth="1"/>
    <col min="8748" max="8748" width="17.54296875" style="448" customWidth="1"/>
    <col min="8749" max="8749" width="16.81640625" style="448" customWidth="1"/>
    <col min="8750" max="8750" width="17.81640625" style="448" customWidth="1"/>
    <col min="8751" max="8961" width="12.54296875" style="448"/>
    <col min="8962" max="8962" width="5.1796875" style="448" customWidth="1"/>
    <col min="8963" max="8963" width="32.81640625" style="448" bestFit="1" customWidth="1"/>
    <col min="8964" max="8964" width="19.81640625" style="448" bestFit="1" customWidth="1"/>
    <col min="8965" max="8965" width="17.1796875" style="448" bestFit="1" customWidth="1"/>
    <col min="8966" max="8966" width="18.1796875" style="448" bestFit="1" customWidth="1"/>
    <col min="8967" max="8967" width="17.1796875" style="448" bestFit="1" customWidth="1"/>
    <col min="8968" max="8968" width="18.453125" style="448" bestFit="1" customWidth="1"/>
    <col min="8969" max="8969" width="18.1796875" style="448" bestFit="1" customWidth="1"/>
    <col min="8970" max="8970" width="18.453125" style="448" bestFit="1" customWidth="1"/>
    <col min="8971" max="8971" width="17.1796875" style="448" bestFit="1" customWidth="1"/>
    <col min="8972" max="8972" width="15.81640625" style="448" bestFit="1" customWidth="1"/>
    <col min="8973" max="8974" width="18.54296875" style="448" bestFit="1" customWidth="1"/>
    <col min="8975" max="8975" width="16.81640625" style="448" bestFit="1" customWidth="1"/>
    <col min="8976" max="8977" width="18.54296875" style="448" bestFit="1" customWidth="1"/>
    <col min="8978" max="8978" width="1.1796875" style="448" customWidth="1"/>
    <col min="8979" max="8979" width="3.81640625" style="448" customWidth="1"/>
    <col min="8980" max="8980" width="5.453125" style="448" customWidth="1"/>
    <col min="8981" max="8981" width="34.81640625" style="448" customWidth="1"/>
    <col min="8982" max="8982" width="28.453125" style="448" customWidth="1"/>
    <col min="8983" max="8986" width="26.81640625" style="448" customWidth="1"/>
    <col min="8987" max="8987" width="19.81640625" style="448" customWidth="1"/>
    <col min="8988" max="8988" width="16.81640625" style="448" customWidth="1"/>
    <col min="8989" max="8989" width="16.453125" style="448" customWidth="1"/>
    <col min="8990" max="8991" width="17.1796875" style="448" customWidth="1"/>
    <col min="8992" max="8992" width="14.81640625" style="448" bestFit="1" customWidth="1"/>
    <col min="8993" max="8993" width="14.1796875" style="448" customWidth="1"/>
    <col min="8994" max="8994" width="14.453125" style="448" customWidth="1"/>
    <col min="8995" max="8996" width="13.81640625" style="448" customWidth="1"/>
    <col min="8997" max="8997" width="14.81640625" style="448" bestFit="1" customWidth="1"/>
    <col min="8998" max="9001" width="13.81640625" style="448" customWidth="1"/>
    <col min="9002" max="9002" width="17.81640625" style="448" bestFit="1" customWidth="1"/>
    <col min="9003" max="9003" width="16.453125" style="448" customWidth="1"/>
    <col min="9004" max="9004" width="17.54296875" style="448" customWidth="1"/>
    <col min="9005" max="9005" width="16.81640625" style="448" customWidth="1"/>
    <col min="9006" max="9006" width="17.81640625" style="448" customWidth="1"/>
    <col min="9007" max="9217" width="12.54296875" style="448"/>
    <col min="9218" max="9218" width="5.1796875" style="448" customWidth="1"/>
    <col min="9219" max="9219" width="32.81640625" style="448" bestFit="1" customWidth="1"/>
    <col min="9220" max="9220" width="19.81640625" style="448" bestFit="1" customWidth="1"/>
    <col min="9221" max="9221" width="17.1796875" style="448" bestFit="1" customWidth="1"/>
    <col min="9222" max="9222" width="18.1796875" style="448" bestFit="1" customWidth="1"/>
    <col min="9223" max="9223" width="17.1796875" style="448" bestFit="1" customWidth="1"/>
    <col min="9224" max="9224" width="18.453125" style="448" bestFit="1" customWidth="1"/>
    <col min="9225" max="9225" width="18.1796875" style="448" bestFit="1" customWidth="1"/>
    <col min="9226" max="9226" width="18.453125" style="448" bestFit="1" customWidth="1"/>
    <col min="9227" max="9227" width="17.1796875" style="448" bestFit="1" customWidth="1"/>
    <col min="9228" max="9228" width="15.81640625" style="448" bestFit="1" customWidth="1"/>
    <col min="9229" max="9230" width="18.54296875" style="448" bestFit="1" customWidth="1"/>
    <col min="9231" max="9231" width="16.81640625" style="448" bestFit="1" customWidth="1"/>
    <col min="9232" max="9233" width="18.54296875" style="448" bestFit="1" customWidth="1"/>
    <col min="9234" max="9234" width="1.1796875" style="448" customWidth="1"/>
    <col min="9235" max="9235" width="3.81640625" style="448" customWidth="1"/>
    <col min="9236" max="9236" width="5.453125" style="448" customWidth="1"/>
    <col min="9237" max="9237" width="34.81640625" style="448" customWidth="1"/>
    <col min="9238" max="9238" width="28.453125" style="448" customWidth="1"/>
    <col min="9239" max="9242" width="26.81640625" style="448" customWidth="1"/>
    <col min="9243" max="9243" width="19.81640625" style="448" customWidth="1"/>
    <col min="9244" max="9244" width="16.81640625" style="448" customWidth="1"/>
    <col min="9245" max="9245" width="16.453125" style="448" customWidth="1"/>
    <col min="9246" max="9247" width="17.1796875" style="448" customWidth="1"/>
    <col min="9248" max="9248" width="14.81640625" style="448" bestFit="1" customWidth="1"/>
    <col min="9249" max="9249" width="14.1796875" style="448" customWidth="1"/>
    <col min="9250" max="9250" width="14.453125" style="448" customWidth="1"/>
    <col min="9251" max="9252" width="13.81640625" style="448" customWidth="1"/>
    <col min="9253" max="9253" width="14.81640625" style="448" bestFit="1" customWidth="1"/>
    <col min="9254" max="9257" width="13.81640625" style="448" customWidth="1"/>
    <col min="9258" max="9258" width="17.81640625" style="448" bestFit="1" customWidth="1"/>
    <col min="9259" max="9259" width="16.453125" style="448" customWidth="1"/>
    <col min="9260" max="9260" width="17.54296875" style="448" customWidth="1"/>
    <col min="9261" max="9261" width="16.81640625" style="448" customWidth="1"/>
    <col min="9262" max="9262" width="17.81640625" style="448" customWidth="1"/>
    <col min="9263" max="9473" width="12.54296875" style="448"/>
    <col min="9474" max="9474" width="5.1796875" style="448" customWidth="1"/>
    <col min="9475" max="9475" width="32.81640625" style="448" bestFit="1" customWidth="1"/>
    <col min="9476" max="9476" width="19.81640625" style="448" bestFit="1" customWidth="1"/>
    <col min="9477" max="9477" width="17.1796875" style="448" bestFit="1" customWidth="1"/>
    <col min="9478" max="9478" width="18.1796875" style="448" bestFit="1" customWidth="1"/>
    <col min="9479" max="9479" width="17.1796875" style="448" bestFit="1" customWidth="1"/>
    <col min="9480" max="9480" width="18.453125" style="448" bestFit="1" customWidth="1"/>
    <col min="9481" max="9481" width="18.1796875" style="448" bestFit="1" customWidth="1"/>
    <col min="9482" max="9482" width="18.453125" style="448" bestFit="1" customWidth="1"/>
    <col min="9483" max="9483" width="17.1796875" style="448" bestFit="1" customWidth="1"/>
    <col min="9484" max="9484" width="15.81640625" style="448" bestFit="1" customWidth="1"/>
    <col min="9485" max="9486" width="18.54296875" style="448" bestFit="1" customWidth="1"/>
    <col min="9487" max="9487" width="16.81640625" style="448" bestFit="1" customWidth="1"/>
    <col min="9488" max="9489" width="18.54296875" style="448" bestFit="1" customWidth="1"/>
    <col min="9490" max="9490" width="1.1796875" style="448" customWidth="1"/>
    <col min="9491" max="9491" width="3.81640625" style="448" customWidth="1"/>
    <col min="9492" max="9492" width="5.453125" style="448" customWidth="1"/>
    <col min="9493" max="9493" width="34.81640625" style="448" customWidth="1"/>
    <col min="9494" max="9494" width="28.453125" style="448" customWidth="1"/>
    <col min="9495" max="9498" width="26.81640625" style="448" customWidth="1"/>
    <col min="9499" max="9499" width="19.81640625" style="448" customWidth="1"/>
    <col min="9500" max="9500" width="16.81640625" style="448" customWidth="1"/>
    <col min="9501" max="9501" width="16.453125" style="448" customWidth="1"/>
    <col min="9502" max="9503" width="17.1796875" style="448" customWidth="1"/>
    <col min="9504" max="9504" width="14.81640625" style="448" bestFit="1" customWidth="1"/>
    <col min="9505" max="9505" width="14.1796875" style="448" customWidth="1"/>
    <col min="9506" max="9506" width="14.453125" style="448" customWidth="1"/>
    <col min="9507" max="9508" width="13.81640625" style="448" customWidth="1"/>
    <col min="9509" max="9509" width="14.81640625" style="448" bestFit="1" customWidth="1"/>
    <col min="9510" max="9513" width="13.81640625" style="448" customWidth="1"/>
    <col min="9514" max="9514" width="17.81640625" style="448" bestFit="1" customWidth="1"/>
    <col min="9515" max="9515" width="16.453125" style="448" customWidth="1"/>
    <col min="9516" max="9516" width="17.54296875" style="448" customWidth="1"/>
    <col min="9517" max="9517" width="16.81640625" style="448" customWidth="1"/>
    <col min="9518" max="9518" width="17.81640625" style="448" customWidth="1"/>
    <col min="9519" max="9729" width="12.54296875" style="448"/>
    <col min="9730" max="9730" width="5.1796875" style="448" customWidth="1"/>
    <col min="9731" max="9731" width="32.81640625" style="448" bestFit="1" customWidth="1"/>
    <col min="9732" max="9732" width="19.81640625" style="448" bestFit="1" customWidth="1"/>
    <col min="9733" max="9733" width="17.1796875" style="448" bestFit="1" customWidth="1"/>
    <col min="9734" max="9734" width="18.1796875" style="448" bestFit="1" customWidth="1"/>
    <col min="9735" max="9735" width="17.1796875" style="448" bestFit="1" customWidth="1"/>
    <col min="9736" max="9736" width="18.453125" style="448" bestFit="1" customWidth="1"/>
    <col min="9737" max="9737" width="18.1796875" style="448" bestFit="1" customWidth="1"/>
    <col min="9738" max="9738" width="18.453125" style="448" bestFit="1" customWidth="1"/>
    <col min="9739" max="9739" width="17.1796875" style="448" bestFit="1" customWidth="1"/>
    <col min="9740" max="9740" width="15.81640625" style="448" bestFit="1" customWidth="1"/>
    <col min="9741" max="9742" width="18.54296875" style="448" bestFit="1" customWidth="1"/>
    <col min="9743" max="9743" width="16.81640625" style="448" bestFit="1" customWidth="1"/>
    <col min="9744" max="9745" width="18.54296875" style="448" bestFit="1" customWidth="1"/>
    <col min="9746" max="9746" width="1.1796875" style="448" customWidth="1"/>
    <col min="9747" max="9747" width="3.81640625" style="448" customWidth="1"/>
    <col min="9748" max="9748" width="5.453125" style="448" customWidth="1"/>
    <col min="9749" max="9749" width="34.81640625" style="448" customWidth="1"/>
    <col min="9750" max="9750" width="28.453125" style="448" customWidth="1"/>
    <col min="9751" max="9754" width="26.81640625" style="448" customWidth="1"/>
    <col min="9755" max="9755" width="19.81640625" style="448" customWidth="1"/>
    <col min="9756" max="9756" width="16.81640625" style="448" customWidth="1"/>
    <col min="9757" max="9757" width="16.453125" style="448" customWidth="1"/>
    <col min="9758" max="9759" width="17.1796875" style="448" customWidth="1"/>
    <col min="9760" max="9760" width="14.81640625" style="448" bestFit="1" customWidth="1"/>
    <col min="9761" max="9761" width="14.1796875" style="448" customWidth="1"/>
    <col min="9762" max="9762" width="14.453125" style="448" customWidth="1"/>
    <col min="9763" max="9764" width="13.81640625" style="448" customWidth="1"/>
    <col min="9765" max="9765" width="14.81640625" style="448" bestFit="1" customWidth="1"/>
    <col min="9766" max="9769" width="13.81640625" style="448" customWidth="1"/>
    <col min="9770" max="9770" width="17.81640625" style="448" bestFit="1" customWidth="1"/>
    <col min="9771" max="9771" width="16.453125" style="448" customWidth="1"/>
    <col min="9772" max="9772" width="17.54296875" style="448" customWidth="1"/>
    <col min="9773" max="9773" width="16.81640625" style="448" customWidth="1"/>
    <col min="9774" max="9774" width="17.81640625" style="448" customWidth="1"/>
    <col min="9775" max="9985" width="12.54296875" style="448"/>
    <col min="9986" max="9986" width="5.1796875" style="448" customWidth="1"/>
    <col min="9987" max="9987" width="32.81640625" style="448" bestFit="1" customWidth="1"/>
    <col min="9988" max="9988" width="19.81640625" style="448" bestFit="1" customWidth="1"/>
    <col min="9989" max="9989" width="17.1796875" style="448" bestFit="1" customWidth="1"/>
    <col min="9990" max="9990" width="18.1796875" style="448" bestFit="1" customWidth="1"/>
    <col min="9991" max="9991" width="17.1796875" style="448" bestFit="1" customWidth="1"/>
    <col min="9992" max="9992" width="18.453125" style="448" bestFit="1" customWidth="1"/>
    <col min="9993" max="9993" width="18.1796875" style="448" bestFit="1" customWidth="1"/>
    <col min="9994" max="9994" width="18.453125" style="448" bestFit="1" customWidth="1"/>
    <col min="9995" max="9995" width="17.1796875" style="448" bestFit="1" customWidth="1"/>
    <col min="9996" max="9996" width="15.81640625" style="448" bestFit="1" customWidth="1"/>
    <col min="9997" max="9998" width="18.54296875" style="448" bestFit="1" customWidth="1"/>
    <col min="9999" max="9999" width="16.81640625" style="448" bestFit="1" customWidth="1"/>
    <col min="10000" max="10001" width="18.54296875" style="448" bestFit="1" customWidth="1"/>
    <col min="10002" max="10002" width="1.1796875" style="448" customWidth="1"/>
    <col min="10003" max="10003" width="3.81640625" style="448" customWidth="1"/>
    <col min="10004" max="10004" width="5.453125" style="448" customWidth="1"/>
    <col min="10005" max="10005" width="34.81640625" style="448" customWidth="1"/>
    <col min="10006" max="10006" width="28.453125" style="448" customWidth="1"/>
    <col min="10007" max="10010" width="26.81640625" style="448" customWidth="1"/>
    <col min="10011" max="10011" width="19.81640625" style="448" customWidth="1"/>
    <col min="10012" max="10012" width="16.81640625" style="448" customWidth="1"/>
    <col min="10013" max="10013" width="16.453125" style="448" customWidth="1"/>
    <col min="10014" max="10015" width="17.1796875" style="448" customWidth="1"/>
    <col min="10016" max="10016" width="14.81640625" style="448" bestFit="1" customWidth="1"/>
    <col min="10017" max="10017" width="14.1796875" style="448" customWidth="1"/>
    <col min="10018" max="10018" width="14.453125" style="448" customWidth="1"/>
    <col min="10019" max="10020" width="13.81640625" style="448" customWidth="1"/>
    <col min="10021" max="10021" width="14.81640625" style="448" bestFit="1" customWidth="1"/>
    <col min="10022" max="10025" width="13.81640625" style="448" customWidth="1"/>
    <col min="10026" max="10026" width="17.81640625" style="448" bestFit="1" customWidth="1"/>
    <col min="10027" max="10027" width="16.453125" style="448" customWidth="1"/>
    <col min="10028" max="10028" width="17.54296875" style="448" customWidth="1"/>
    <col min="10029" max="10029" width="16.81640625" style="448" customWidth="1"/>
    <col min="10030" max="10030" width="17.81640625" style="448" customWidth="1"/>
    <col min="10031" max="10241" width="12.54296875" style="448"/>
    <col min="10242" max="10242" width="5.1796875" style="448" customWidth="1"/>
    <col min="10243" max="10243" width="32.81640625" style="448" bestFit="1" customWidth="1"/>
    <col min="10244" max="10244" width="19.81640625" style="448" bestFit="1" customWidth="1"/>
    <col min="10245" max="10245" width="17.1796875" style="448" bestFit="1" customWidth="1"/>
    <col min="10246" max="10246" width="18.1796875" style="448" bestFit="1" customWidth="1"/>
    <col min="10247" max="10247" width="17.1796875" style="448" bestFit="1" customWidth="1"/>
    <col min="10248" max="10248" width="18.453125" style="448" bestFit="1" customWidth="1"/>
    <col min="10249" max="10249" width="18.1796875" style="448" bestFit="1" customWidth="1"/>
    <col min="10250" max="10250" width="18.453125" style="448" bestFit="1" customWidth="1"/>
    <col min="10251" max="10251" width="17.1796875" style="448" bestFit="1" customWidth="1"/>
    <col min="10252" max="10252" width="15.81640625" style="448" bestFit="1" customWidth="1"/>
    <col min="10253" max="10254" width="18.54296875" style="448" bestFit="1" customWidth="1"/>
    <col min="10255" max="10255" width="16.81640625" style="448" bestFit="1" customWidth="1"/>
    <col min="10256" max="10257" width="18.54296875" style="448" bestFit="1" customWidth="1"/>
    <col min="10258" max="10258" width="1.1796875" style="448" customWidth="1"/>
    <col min="10259" max="10259" width="3.81640625" style="448" customWidth="1"/>
    <col min="10260" max="10260" width="5.453125" style="448" customWidth="1"/>
    <col min="10261" max="10261" width="34.81640625" style="448" customWidth="1"/>
    <col min="10262" max="10262" width="28.453125" style="448" customWidth="1"/>
    <col min="10263" max="10266" width="26.81640625" style="448" customWidth="1"/>
    <col min="10267" max="10267" width="19.81640625" style="448" customWidth="1"/>
    <col min="10268" max="10268" width="16.81640625" style="448" customWidth="1"/>
    <col min="10269" max="10269" width="16.453125" style="448" customWidth="1"/>
    <col min="10270" max="10271" width="17.1796875" style="448" customWidth="1"/>
    <col min="10272" max="10272" width="14.81640625" style="448" bestFit="1" customWidth="1"/>
    <col min="10273" max="10273" width="14.1796875" style="448" customWidth="1"/>
    <col min="10274" max="10274" width="14.453125" style="448" customWidth="1"/>
    <col min="10275" max="10276" width="13.81640625" style="448" customWidth="1"/>
    <col min="10277" max="10277" width="14.81640625" style="448" bestFit="1" customWidth="1"/>
    <col min="10278" max="10281" width="13.81640625" style="448" customWidth="1"/>
    <col min="10282" max="10282" width="17.81640625" style="448" bestFit="1" customWidth="1"/>
    <col min="10283" max="10283" width="16.453125" style="448" customWidth="1"/>
    <col min="10284" max="10284" width="17.54296875" style="448" customWidth="1"/>
    <col min="10285" max="10285" width="16.81640625" style="448" customWidth="1"/>
    <col min="10286" max="10286" width="17.81640625" style="448" customWidth="1"/>
    <col min="10287" max="10497" width="12.54296875" style="448"/>
    <col min="10498" max="10498" width="5.1796875" style="448" customWidth="1"/>
    <col min="10499" max="10499" width="32.81640625" style="448" bestFit="1" customWidth="1"/>
    <col min="10500" max="10500" width="19.81640625" style="448" bestFit="1" customWidth="1"/>
    <col min="10501" max="10501" width="17.1796875" style="448" bestFit="1" customWidth="1"/>
    <col min="10502" max="10502" width="18.1796875" style="448" bestFit="1" customWidth="1"/>
    <col min="10503" max="10503" width="17.1796875" style="448" bestFit="1" customWidth="1"/>
    <col min="10504" max="10504" width="18.453125" style="448" bestFit="1" customWidth="1"/>
    <col min="10505" max="10505" width="18.1796875" style="448" bestFit="1" customWidth="1"/>
    <col min="10506" max="10506" width="18.453125" style="448" bestFit="1" customWidth="1"/>
    <col min="10507" max="10507" width="17.1796875" style="448" bestFit="1" customWidth="1"/>
    <col min="10508" max="10508" width="15.81640625" style="448" bestFit="1" customWidth="1"/>
    <col min="10509" max="10510" width="18.54296875" style="448" bestFit="1" customWidth="1"/>
    <col min="10511" max="10511" width="16.81640625" style="448" bestFit="1" customWidth="1"/>
    <col min="10512" max="10513" width="18.54296875" style="448" bestFit="1" customWidth="1"/>
    <col min="10514" max="10514" width="1.1796875" style="448" customWidth="1"/>
    <col min="10515" max="10515" width="3.81640625" style="448" customWidth="1"/>
    <col min="10516" max="10516" width="5.453125" style="448" customWidth="1"/>
    <col min="10517" max="10517" width="34.81640625" style="448" customWidth="1"/>
    <col min="10518" max="10518" width="28.453125" style="448" customWidth="1"/>
    <col min="10519" max="10522" width="26.81640625" style="448" customWidth="1"/>
    <col min="10523" max="10523" width="19.81640625" style="448" customWidth="1"/>
    <col min="10524" max="10524" width="16.81640625" style="448" customWidth="1"/>
    <col min="10525" max="10525" width="16.453125" style="448" customWidth="1"/>
    <col min="10526" max="10527" width="17.1796875" style="448" customWidth="1"/>
    <col min="10528" max="10528" width="14.81640625" style="448" bestFit="1" customWidth="1"/>
    <col min="10529" max="10529" width="14.1796875" style="448" customWidth="1"/>
    <col min="10530" max="10530" width="14.453125" style="448" customWidth="1"/>
    <col min="10531" max="10532" width="13.81640625" style="448" customWidth="1"/>
    <col min="10533" max="10533" width="14.81640625" style="448" bestFit="1" customWidth="1"/>
    <col min="10534" max="10537" width="13.81640625" style="448" customWidth="1"/>
    <col min="10538" max="10538" width="17.81640625" style="448" bestFit="1" customWidth="1"/>
    <col min="10539" max="10539" width="16.453125" style="448" customWidth="1"/>
    <col min="10540" max="10540" width="17.54296875" style="448" customWidth="1"/>
    <col min="10541" max="10541" width="16.81640625" style="448" customWidth="1"/>
    <col min="10542" max="10542" width="17.81640625" style="448" customWidth="1"/>
    <col min="10543" max="10753" width="12.54296875" style="448"/>
    <col min="10754" max="10754" width="5.1796875" style="448" customWidth="1"/>
    <col min="10755" max="10755" width="32.81640625" style="448" bestFit="1" customWidth="1"/>
    <col min="10756" max="10756" width="19.81640625" style="448" bestFit="1" customWidth="1"/>
    <col min="10757" max="10757" width="17.1796875" style="448" bestFit="1" customWidth="1"/>
    <col min="10758" max="10758" width="18.1796875" style="448" bestFit="1" customWidth="1"/>
    <col min="10759" max="10759" width="17.1796875" style="448" bestFit="1" customWidth="1"/>
    <col min="10760" max="10760" width="18.453125" style="448" bestFit="1" customWidth="1"/>
    <col min="10761" max="10761" width="18.1796875" style="448" bestFit="1" customWidth="1"/>
    <col min="10762" max="10762" width="18.453125" style="448" bestFit="1" customWidth="1"/>
    <col min="10763" max="10763" width="17.1796875" style="448" bestFit="1" customWidth="1"/>
    <col min="10764" max="10764" width="15.81640625" style="448" bestFit="1" customWidth="1"/>
    <col min="10765" max="10766" width="18.54296875" style="448" bestFit="1" customWidth="1"/>
    <col min="10767" max="10767" width="16.81640625" style="448" bestFit="1" customWidth="1"/>
    <col min="10768" max="10769" width="18.54296875" style="448" bestFit="1" customWidth="1"/>
    <col min="10770" max="10770" width="1.1796875" style="448" customWidth="1"/>
    <col min="10771" max="10771" width="3.81640625" style="448" customWidth="1"/>
    <col min="10772" max="10772" width="5.453125" style="448" customWidth="1"/>
    <col min="10773" max="10773" width="34.81640625" style="448" customWidth="1"/>
    <col min="10774" max="10774" width="28.453125" style="448" customWidth="1"/>
    <col min="10775" max="10778" width="26.81640625" style="448" customWidth="1"/>
    <col min="10779" max="10779" width="19.81640625" style="448" customWidth="1"/>
    <col min="10780" max="10780" width="16.81640625" style="448" customWidth="1"/>
    <col min="10781" max="10781" width="16.453125" style="448" customWidth="1"/>
    <col min="10782" max="10783" width="17.1796875" style="448" customWidth="1"/>
    <col min="10784" max="10784" width="14.81640625" style="448" bestFit="1" customWidth="1"/>
    <col min="10785" max="10785" width="14.1796875" style="448" customWidth="1"/>
    <col min="10786" max="10786" width="14.453125" style="448" customWidth="1"/>
    <col min="10787" max="10788" width="13.81640625" style="448" customWidth="1"/>
    <col min="10789" max="10789" width="14.81640625" style="448" bestFit="1" customWidth="1"/>
    <col min="10790" max="10793" width="13.81640625" style="448" customWidth="1"/>
    <col min="10794" max="10794" width="17.81640625" style="448" bestFit="1" customWidth="1"/>
    <col min="10795" max="10795" width="16.453125" style="448" customWidth="1"/>
    <col min="10796" max="10796" width="17.54296875" style="448" customWidth="1"/>
    <col min="10797" max="10797" width="16.81640625" style="448" customWidth="1"/>
    <col min="10798" max="10798" width="17.81640625" style="448" customWidth="1"/>
    <col min="10799" max="11009" width="12.54296875" style="448"/>
    <col min="11010" max="11010" width="5.1796875" style="448" customWidth="1"/>
    <col min="11011" max="11011" width="32.81640625" style="448" bestFit="1" customWidth="1"/>
    <col min="11012" max="11012" width="19.81640625" style="448" bestFit="1" customWidth="1"/>
    <col min="11013" max="11013" width="17.1796875" style="448" bestFit="1" customWidth="1"/>
    <col min="11014" max="11014" width="18.1796875" style="448" bestFit="1" customWidth="1"/>
    <col min="11015" max="11015" width="17.1796875" style="448" bestFit="1" customWidth="1"/>
    <col min="11016" max="11016" width="18.453125" style="448" bestFit="1" customWidth="1"/>
    <col min="11017" max="11017" width="18.1796875" style="448" bestFit="1" customWidth="1"/>
    <col min="11018" max="11018" width="18.453125" style="448" bestFit="1" customWidth="1"/>
    <col min="11019" max="11019" width="17.1796875" style="448" bestFit="1" customWidth="1"/>
    <col min="11020" max="11020" width="15.81640625" style="448" bestFit="1" customWidth="1"/>
    <col min="11021" max="11022" width="18.54296875" style="448" bestFit="1" customWidth="1"/>
    <col min="11023" max="11023" width="16.81640625" style="448" bestFit="1" customWidth="1"/>
    <col min="11024" max="11025" width="18.54296875" style="448" bestFit="1" customWidth="1"/>
    <col min="11026" max="11026" width="1.1796875" style="448" customWidth="1"/>
    <col min="11027" max="11027" width="3.81640625" style="448" customWidth="1"/>
    <col min="11028" max="11028" width="5.453125" style="448" customWidth="1"/>
    <col min="11029" max="11029" width="34.81640625" style="448" customWidth="1"/>
    <col min="11030" max="11030" width="28.453125" style="448" customWidth="1"/>
    <col min="11031" max="11034" width="26.81640625" style="448" customWidth="1"/>
    <col min="11035" max="11035" width="19.81640625" style="448" customWidth="1"/>
    <col min="11036" max="11036" width="16.81640625" style="448" customWidth="1"/>
    <col min="11037" max="11037" width="16.453125" style="448" customWidth="1"/>
    <col min="11038" max="11039" width="17.1796875" style="448" customWidth="1"/>
    <col min="11040" max="11040" width="14.81640625" style="448" bestFit="1" customWidth="1"/>
    <col min="11041" max="11041" width="14.1796875" style="448" customWidth="1"/>
    <col min="11042" max="11042" width="14.453125" style="448" customWidth="1"/>
    <col min="11043" max="11044" width="13.81640625" style="448" customWidth="1"/>
    <col min="11045" max="11045" width="14.81640625" style="448" bestFit="1" customWidth="1"/>
    <col min="11046" max="11049" width="13.81640625" style="448" customWidth="1"/>
    <col min="11050" max="11050" width="17.81640625" style="448" bestFit="1" customWidth="1"/>
    <col min="11051" max="11051" width="16.453125" style="448" customWidth="1"/>
    <col min="11052" max="11052" width="17.54296875" style="448" customWidth="1"/>
    <col min="11053" max="11053" width="16.81640625" style="448" customWidth="1"/>
    <col min="11054" max="11054" width="17.81640625" style="448" customWidth="1"/>
    <col min="11055" max="11265" width="12.54296875" style="448"/>
    <col min="11266" max="11266" width="5.1796875" style="448" customWidth="1"/>
    <col min="11267" max="11267" width="32.81640625" style="448" bestFit="1" customWidth="1"/>
    <col min="11268" max="11268" width="19.81640625" style="448" bestFit="1" customWidth="1"/>
    <col min="11269" max="11269" width="17.1796875" style="448" bestFit="1" customWidth="1"/>
    <col min="11270" max="11270" width="18.1796875" style="448" bestFit="1" customWidth="1"/>
    <col min="11271" max="11271" width="17.1796875" style="448" bestFit="1" customWidth="1"/>
    <col min="11272" max="11272" width="18.453125" style="448" bestFit="1" customWidth="1"/>
    <col min="11273" max="11273" width="18.1796875" style="448" bestFit="1" customWidth="1"/>
    <col min="11274" max="11274" width="18.453125" style="448" bestFit="1" customWidth="1"/>
    <col min="11275" max="11275" width="17.1796875" style="448" bestFit="1" customWidth="1"/>
    <col min="11276" max="11276" width="15.81640625" style="448" bestFit="1" customWidth="1"/>
    <col min="11277" max="11278" width="18.54296875" style="448" bestFit="1" customWidth="1"/>
    <col min="11279" max="11279" width="16.81640625" style="448" bestFit="1" customWidth="1"/>
    <col min="11280" max="11281" width="18.54296875" style="448" bestFit="1" customWidth="1"/>
    <col min="11282" max="11282" width="1.1796875" style="448" customWidth="1"/>
    <col min="11283" max="11283" width="3.81640625" style="448" customWidth="1"/>
    <col min="11284" max="11284" width="5.453125" style="448" customWidth="1"/>
    <col min="11285" max="11285" width="34.81640625" style="448" customWidth="1"/>
    <col min="11286" max="11286" width="28.453125" style="448" customWidth="1"/>
    <col min="11287" max="11290" width="26.81640625" style="448" customWidth="1"/>
    <col min="11291" max="11291" width="19.81640625" style="448" customWidth="1"/>
    <col min="11292" max="11292" width="16.81640625" style="448" customWidth="1"/>
    <col min="11293" max="11293" width="16.453125" style="448" customWidth="1"/>
    <col min="11294" max="11295" width="17.1796875" style="448" customWidth="1"/>
    <col min="11296" max="11296" width="14.81640625" style="448" bestFit="1" customWidth="1"/>
    <col min="11297" max="11297" width="14.1796875" style="448" customWidth="1"/>
    <col min="11298" max="11298" width="14.453125" style="448" customWidth="1"/>
    <col min="11299" max="11300" width="13.81640625" style="448" customWidth="1"/>
    <col min="11301" max="11301" width="14.81640625" style="448" bestFit="1" customWidth="1"/>
    <col min="11302" max="11305" width="13.81640625" style="448" customWidth="1"/>
    <col min="11306" max="11306" width="17.81640625" style="448" bestFit="1" customWidth="1"/>
    <col min="11307" max="11307" width="16.453125" style="448" customWidth="1"/>
    <col min="11308" max="11308" width="17.54296875" style="448" customWidth="1"/>
    <col min="11309" max="11309" width="16.81640625" style="448" customWidth="1"/>
    <col min="11310" max="11310" width="17.81640625" style="448" customWidth="1"/>
    <col min="11311" max="11521" width="12.54296875" style="448"/>
    <col min="11522" max="11522" width="5.1796875" style="448" customWidth="1"/>
    <col min="11523" max="11523" width="32.81640625" style="448" bestFit="1" customWidth="1"/>
    <col min="11524" max="11524" width="19.81640625" style="448" bestFit="1" customWidth="1"/>
    <col min="11525" max="11525" width="17.1796875" style="448" bestFit="1" customWidth="1"/>
    <col min="11526" max="11526" width="18.1796875" style="448" bestFit="1" customWidth="1"/>
    <col min="11527" max="11527" width="17.1796875" style="448" bestFit="1" customWidth="1"/>
    <col min="11528" max="11528" width="18.453125" style="448" bestFit="1" customWidth="1"/>
    <col min="11529" max="11529" width="18.1796875" style="448" bestFit="1" customWidth="1"/>
    <col min="11530" max="11530" width="18.453125" style="448" bestFit="1" customWidth="1"/>
    <col min="11531" max="11531" width="17.1796875" style="448" bestFit="1" customWidth="1"/>
    <col min="11532" max="11532" width="15.81640625" style="448" bestFit="1" customWidth="1"/>
    <col min="11533" max="11534" width="18.54296875" style="448" bestFit="1" customWidth="1"/>
    <col min="11535" max="11535" width="16.81640625" style="448" bestFit="1" customWidth="1"/>
    <col min="11536" max="11537" width="18.54296875" style="448" bestFit="1" customWidth="1"/>
    <col min="11538" max="11538" width="1.1796875" style="448" customWidth="1"/>
    <col min="11539" max="11539" width="3.81640625" style="448" customWidth="1"/>
    <col min="11540" max="11540" width="5.453125" style="448" customWidth="1"/>
    <col min="11541" max="11541" width="34.81640625" style="448" customWidth="1"/>
    <col min="11542" max="11542" width="28.453125" style="448" customWidth="1"/>
    <col min="11543" max="11546" width="26.81640625" style="448" customWidth="1"/>
    <col min="11547" max="11547" width="19.81640625" style="448" customWidth="1"/>
    <col min="11548" max="11548" width="16.81640625" style="448" customWidth="1"/>
    <col min="11549" max="11549" width="16.453125" style="448" customWidth="1"/>
    <col min="11550" max="11551" width="17.1796875" style="448" customWidth="1"/>
    <col min="11552" max="11552" width="14.81640625" style="448" bestFit="1" customWidth="1"/>
    <col min="11553" max="11553" width="14.1796875" style="448" customWidth="1"/>
    <col min="11554" max="11554" width="14.453125" style="448" customWidth="1"/>
    <col min="11555" max="11556" width="13.81640625" style="448" customWidth="1"/>
    <col min="11557" max="11557" width="14.81640625" style="448" bestFit="1" customWidth="1"/>
    <col min="11558" max="11561" width="13.81640625" style="448" customWidth="1"/>
    <col min="11562" max="11562" width="17.81640625" style="448" bestFit="1" customWidth="1"/>
    <col min="11563" max="11563" width="16.453125" style="448" customWidth="1"/>
    <col min="11564" max="11564" width="17.54296875" style="448" customWidth="1"/>
    <col min="11565" max="11565" width="16.81640625" style="448" customWidth="1"/>
    <col min="11566" max="11566" width="17.81640625" style="448" customWidth="1"/>
    <col min="11567" max="11777" width="12.54296875" style="448"/>
    <col min="11778" max="11778" width="5.1796875" style="448" customWidth="1"/>
    <col min="11779" max="11779" width="32.81640625" style="448" bestFit="1" customWidth="1"/>
    <col min="11780" max="11780" width="19.81640625" style="448" bestFit="1" customWidth="1"/>
    <col min="11781" max="11781" width="17.1796875" style="448" bestFit="1" customWidth="1"/>
    <col min="11782" max="11782" width="18.1796875" style="448" bestFit="1" customWidth="1"/>
    <col min="11783" max="11783" width="17.1796875" style="448" bestFit="1" customWidth="1"/>
    <col min="11784" max="11784" width="18.453125" style="448" bestFit="1" customWidth="1"/>
    <col min="11785" max="11785" width="18.1796875" style="448" bestFit="1" customWidth="1"/>
    <col min="11786" max="11786" width="18.453125" style="448" bestFit="1" customWidth="1"/>
    <col min="11787" max="11787" width="17.1796875" style="448" bestFit="1" customWidth="1"/>
    <col min="11788" max="11788" width="15.81640625" style="448" bestFit="1" customWidth="1"/>
    <col min="11789" max="11790" width="18.54296875" style="448" bestFit="1" customWidth="1"/>
    <col min="11791" max="11791" width="16.81640625" style="448" bestFit="1" customWidth="1"/>
    <col min="11792" max="11793" width="18.54296875" style="448" bestFit="1" customWidth="1"/>
    <col min="11794" max="11794" width="1.1796875" style="448" customWidth="1"/>
    <col min="11795" max="11795" width="3.81640625" style="448" customWidth="1"/>
    <col min="11796" max="11796" width="5.453125" style="448" customWidth="1"/>
    <col min="11797" max="11797" width="34.81640625" style="448" customWidth="1"/>
    <col min="11798" max="11798" width="28.453125" style="448" customWidth="1"/>
    <col min="11799" max="11802" width="26.81640625" style="448" customWidth="1"/>
    <col min="11803" max="11803" width="19.81640625" style="448" customWidth="1"/>
    <col min="11804" max="11804" width="16.81640625" style="448" customWidth="1"/>
    <col min="11805" max="11805" width="16.453125" style="448" customWidth="1"/>
    <col min="11806" max="11807" width="17.1796875" style="448" customWidth="1"/>
    <col min="11808" max="11808" width="14.81640625" style="448" bestFit="1" customWidth="1"/>
    <col min="11809" max="11809" width="14.1796875" style="448" customWidth="1"/>
    <col min="11810" max="11810" width="14.453125" style="448" customWidth="1"/>
    <col min="11811" max="11812" width="13.81640625" style="448" customWidth="1"/>
    <col min="11813" max="11813" width="14.81640625" style="448" bestFit="1" customWidth="1"/>
    <col min="11814" max="11817" width="13.81640625" style="448" customWidth="1"/>
    <col min="11818" max="11818" width="17.81640625" style="448" bestFit="1" customWidth="1"/>
    <col min="11819" max="11819" width="16.453125" style="448" customWidth="1"/>
    <col min="11820" max="11820" width="17.54296875" style="448" customWidth="1"/>
    <col min="11821" max="11821" width="16.81640625" style="448" customWidth="1"/>
    <col min="11822" max="11822" width="17.81640625" style="448" customWidth="1"/>
    <col min="11823" max="12033" width="12.54296875" style="448"/>
    <col min="12034" max="12034" width="5.1796875" style="448" customWidth="1"/>
    <col min="12035" max="12035" width="32.81640625" style="448" bestFit="1" customWidth="1"/>
    <col min="12036" max="12036" width="19.81640625" style="448" bestFit="1" customWidth="1"/>
    <col min="12037" max="12037" width="17.1796875" style="448" bestFit="1" customWidth="1"/>
    <col min="12038" max="12038" width="18.1796875" style="448" bestFit="1" customWidth="1"/>
    <col min="12039" max="12039" width="17.1796875" style="448" bestFit="1" customWidth="1"/>
    <col min="12040" max="12040" width="18.453125" style="448" bestFit="1" customWidth="1"/>
    <col min="12041" max="12041" width="18.1796875" style="448" bestFit="1" customWidth="1"/>
    <col min="12042" max="12042" width="18.453125" style="448" bestFit="1" customWidth="1"/>
    <col min="12043" max="12043" width="17.1796875" style="448" bestFit="1" customWidth="1"/>
    <col min="12044" max="12044" width="15.81640625" style="448" bestFit="1" customWidth="1"/>
    <col min="12045" max="12046" width="18.54296875" style="448" bestFit="1" customWidth="1"/>
    <col min="12047" max="12047" width="16.81640625" style="448" bestFit="1" customWidth="1"/>
    <col min="12048" max="12049" width="18.54296875" style="448" bestFit="1" customWidth="1"/>
    <col min="12050" max="12050" width="1.1796875" style="448" customWidth="1"/>
    <col min="12051" max="12051" width="3.81640625" style="448" customWidth="1"/>
    <col min="12052" max="12052" width="5.453125" style="448" customWidth="1"/>
    <col min="12053" max="12053" width="34.81640625" style="448" customWidth="1"/>
    <col min="12054" max="12054" width="28.453125" style="448" customWidth="1"/>
    <col min="12055" max="12058" width="26.81640625" style="448" customWidth="1"/>
    <col min="12059" max="12059" width="19.81640625" style="448" customWidth="1"/>
    <col min="12060" max="12060" width="16.81640625" style="448" customWidth="1"/>
    <col min="12061" max="12061" width="16.453125" style="448" customWidth="1"/>
    <col min="12062" max="12063" width="17.1796875" style="448" customWidth="1"/>
    <col min="12064" max="12064" width="14.81640625" style="448" bestFit="1" customWidth="1"/>
    <col min="12065" max="12065" width="14.1796875" style="448" customWidth="1"/>
    <col min="12066" max="12066" width="14.453125" style="448" customWidth="1"/>
    <col min="12067" max="12068" width="13.81640625" style="448" customWidth="1"/>
    <col min="12069" max="12069" width="14.81640625" style="448" bestFit="1" customWidth="1"/>
    <col min="12070" max="12073" width="13.81640625" style="448" customWidth="1"/>
    <col min="12074" max="12074" width="17.81640625" style="448" bestFit="1" customWidth="1"/>
    <col min="12075" max="12075" width="16.453125" style="448" customWidth="1"/>
    <col min="12076" max="12076" width="17.54296875" style="448" customWidth="1"/>
    <col min="12077" max="12077" width="16.81640625" style="448" customWidth="1"/>
    <col min="12078" max="12078" width="17.81640625" style="448" customWidth="1"/>
    <col min="12079" max="12289" width="12.54296875" style="448"/>
    <col min="12290" max="12290" width="5.1796875" style="448" customWidth="1"/>
    <col min="12291" max="12291" width="32.81640625" style="448" bestFit="1" customWidth="1"/>
    <col min="12292" max="12292" width="19.81640625" style="448" bestFit="1" customWidth="1"/>
    <col min="12293" max="12293" width="17.1796875" style="448" bestFit="1" customWidth="1"/>
    <col min="12294" max="12294" width="18.1796875" style="448" bestFit="1" customWidth="1"/>
    <col min="12295" max="12295" width="17.1796875" style="448" bestFit="1" customWidth="1"/>
    <col min="12296" max="12296" width="18.453125" style="448" bestFit="1" customWidth="1"/>
    <col min="12297" max="12297" width="18.1796875" style="448" bestFit="1" customWidth="1"/>
    <col min="12298" max="12298" width="18.453125" style="448" bestFit="1" customWidth="1"/>
    <col min="12299" max="12299" width="17.1796875" style="448" bestFit="1" customWidth="1"/>
    <col min="12300" max="12300" width="15.81640625" style="448" bestFit="1" customWidth="1"/>
    <col min="12301" max="12302" width="18.54296875" style="448" bestFit="1" customWidth="1"/>
    <col min="12303" max="12303" width="16.81640625" style="448" bestFit="1" customWidth="1"/>
    <col min="12304" max="12305" width="18.54296875" style="448" bestFit="1" customWidth="1"/>
    <col min="12306" max="12306" width="1.1796875" style="448" customWidth="1"/>
    <col min="12307" max="12307" width="3.81640625" style="448" customWidth="1"/>
    <col min="12308" max="12308" width="5.453125" style="448" customWidth="1"/>
    <col min="12309" max="12309" width="34.81640625" style="448" customWidth="1"/>
    <col min="12310" max="12310" width="28.453125" style="448" customWidth="1"/>
    <col min="12311" max="12314" width="26.81640625" style="448" customWidth="1"/>
    <col min="12315" max="12315" width="19.81640625" style="448" customWidth="1"/>
    <col min="12316" max="12316" width="16.81640625" style="448" customWidth="1"/>
    <col min="12317" max="12317" width="16.453125" style="448" customWidth="1"/>
    <col min="12318" max="12319" width="17.1796875" style="448" customWidth="1"/>
    <col min="12320" max="12320" width="14.81640625" style="448" bestFit="1" customWidth="1"/>
    <col min="12321" max="12321" width="14.1796875" style="448" customWidth="1"/>
    <col min="12322" max="12322" width="14.453125" style="448" customWidth="1"/>
    <col min="12323" max="12324" width="13.81640625" style="448" customWidth="1"/>
    <col min="12325" max="12325" width="14.81640625" style="448" bestFit="1" customWidth="1"/>
    <col min="12326" max="12329" width="13.81640625" style="448" customWidth="1"/>
    <col min="12330" max="12330" width="17.81640625" style="448" bestFit="1" customWidth="1"/>
    <col min="12331" max="12331" width="16.453125" style="448" customWidth="1"/>
    <col min="12332" max="12332" width="17.54296875" style="448" customWidth="1"/>
    <col min="12333" max="12333" width="16.81640625" style="448" customWidth="1"/>
    <col min="12334" max="12334" width="17.81640625" style="448" customWidth="1"/>
    <col min="12335" max="12545" width="12.54296875" style="448"/>
    <col min="12546" max="12546" width="5.1796875" style="448" customWidth="1"/>
    <col min="12547" max="12547" width="32.81640625" style="448" bestFit="1" customWidth="1"/>
    <col min="12548" max="12548" width="19.81640625" style="448" bestFit="1" customWidth="1"/>
    <col min="12549" max="12549" width="17.1796875" style="448" bestFit="1" customWidth="1"/>
    <col min="12550" max="12550" width="18.1796875" style="448" bestFit="1" customWidth="1"/>
    <col min="12551" max="12551" width="17.1796875" style="448" bestFit="1" customWidth="1"/>
    <col min="12552" max="12552" width="18.453125" style="448" bestFit="1" customWidth="1"/>
    <col min="12553" max="12553" width="18.1796875" style="448" bestFit="1" customWidth="1"/>
    <col min="12554" max="12554" width="18.453125" style="448" bestFit="1" customWidth="1"/>
    <col min="12555" max="12555" width="17.1796875" style="448" bestFit="1" customWidth="1"/>
    <col min="12556" max="12556" width="15.81640625" style="448" bestFit="1" customWidth="1"/>
    <col min="12557" max="12558" width="18.54296875" style="448" bestFit="1" customWidth="1"/>
    <col min="12559" max="12559" width="16.81640625" style="448" bestFit="1" customWidth="1"/>
    <col min="12560" max="12561" width="18.54296875" style="448" bestFit="1" customWidth="1"/>
    <col min="12562" max="12562" width="1.1796875" style="448" customWidth="1"/>
    <col min="12563" max="12563" width="3.81640625" style="448" customWidth="1"/>
    <col min="12564" max="12564" width="5.453125" style="448" customWidth="1"/>
    <col min="12565" max="12565" width="34.81640625" style="448" customWidth="1"/>
    <col min="12566" max="12566" width="28.453125" style="448" customWidth="1"/>
    <col min="12567" max="12570" width="26.81640625" style="448" customWidth="1"/>
    <col min="12571" max="12571" width="19.81640625" style="448" customWidth="1"/>
    <col min="12572" max="12572" width="16.81640625" style="448" customWidth="1"/>
    <col min="12573" max="12573" width="16.453125" style="448" customWidth="1"/>
    <col min="12574" max="12575" width="17.1796875" style="448" customWidth="1"/>
    <col min="12576" max="12576" width="14.81640625" style="448" bestFit="1" customWidth="1"/>
    <col min="12577" max="12577" width="14.1796875" style="448" customWidth="1"/>
    <col min="12578" max="12578" width="14.453125" style="448" customWidth="1"/>
    <col min="12579" max="12580" width="13.81640625" style="448" customWidth="1"/>
    <col min="12581" max="12581" width="14.81640625" style="448" bestFit="1" customWidth="1"/>
    <col min="12582" max="12585" width="13.81640625" style="448" customWidth="1"/>
    <col min="12586" max="12586" width="17.81640625" style="448" bestFit="1" customWidth="1"/>
    <col min="12587" max="12587" width="16.453125" style="448" customWidth="1"/>
    <col min="12588" max="12588" width="17.54296875" style="448" customWidth="1"/>
    <col min="12589" max="12589" width="16.81640625" style="448" customWidth="1"/>
    <col min="12590" max="12590" width="17.81640625" style="448" customWidth="1"/>
    <col min="12591" max="12801" width="12.54296875" style="448"/>
    <col min="12802" max="12802" width="5.1796875" style="448" customWidth="1"/>
    <col min="12803" max="12803" width="32.81640625" style="448" bestFit="1" customWidth="1"/>
    <col min="12804" max="12804" width="19.81640625" style="448" bestFit="1" customWidth="1"/>
    <col min="12805" max="12805" width="17.1796875" style="448" bestFit="1" customWidth="1"/>
    <col min="12806" max="12806" width="18.1796875" style="448" bestFit="1" customWidth="1"/>
    <col min="12807" max="12807" width="17.1796875" style="448" bestFit="1" customWidth="1"/>
    <col min="12808" max="12808" width="18.453125" style="448" bestFit="1" customWidth="1"/>
    <col min="12809" max="12809" width="18.1796875" style="448" bestFit="1" customWidth="1"/>
    <col min="12810" max="12810" width="18.453125" style="448" bestFit="1" customWidth="1"/>
    <col min="12811" max="12811" width="17.1796875" style="448" bestFit="1" customWidth="1"/>
    <col min="12812" max="12812" width="15.81640625" style="448" bestFit="1" customWidth="1"/>
    <col min="12813" max="12814" width="18.54296875" style="448" bestFit="1" customWidth="1"/>
    <col min="12815" max="12815" width="16.81640625" style="448" bestFit="1" customWidth="1"/>
    <col min="12816" max="12817" width="18.54296875" style="448" bestFit="1" customWidth="1"/>
    <col min="12818" max="12818" width="1.1796875" style="448" customWidth="1"/>
    <col min="12819" max="12819" width="3.81640625" style="448" customWidth="1"/>
    <col min="12820" max="12820" width="5.453125" style="448" customWidth="1"/>
    <col min="12821" max="12821" width="34.81640625" style="448" customWidth="1"/>
    <col min="12822" max="12822" width="28.453125" style="448" customWidth="1"/>
    <col min="12823" max="12826" width="26.81640625" style="448" customWidth="1"/>
    <col min="12827" max="12827" width="19.81640625" style="448" customWidth="1"/>
    <col min="12828" max="12828" width="16.81640625" style="448" customWidth="1"/>
    <col min="12829" max="12829" width="16.453125" style="448" customWidth="1"/>
    <col min="12830" max="12831" width="17.1796875" style="448" customWidth="1"/>
    <col min="12832" max="12832" width="14.81640625" style="448" bestFit="1" customWidth="1"/>
    <col min="12833" max="12833" width="14.1796875" style="448" customWidth="1"/>
    <col min="12834" max="12834" width="14.453125" style="448" customWidth="1"/>
    <col min="12835" max="12836" width="13.81640625" style="448" customWidth="1"/>
    <col min="12837" max="12837" width="14.81640625" style="448" bestFit="1" customWidth="1"/>
    <col min="12838" max="12841" width="13.81640625" style="448" customWidth="1"/>
    <col min="12842" max="12842" width="17.81640625" style="448" bestFit="1" customWidth="1"/>
    <col min="12843" max="12843" width="16.453125" style="448" customWidth="1"/>
    <col min="12844" max="12844" width="17.54296875" style="448" customWidth="1"/>
    <col min="12845" max="12845" width="16.81640625" style="448" customWidth="1"/>
    <col min="12846" max="12846" width="17.81640625" style="448" customWidth="1"/>
    <col min="12847" max="13057" width="12.54296875" style="448"/>
    <col min="13058" max="13058" width="5.1796875" style="448" customWidth="1"/>
    <col min="13059" max="13059" width="32.81640625" style="448" bestFit="1" customWidth="1"/>
    <col min="13060" max="13060" width="19.81640625" style="448" bestFit="1" customWidth="1"/>
    <col min="13061" max="13061" width="17.1796875" style="448" bestFit="1" customWidth="1"/>
    <col min="13062" max="13062" width="18.1796875" style="448" bestFit="1" customWidth="1"/>
    <col min="13063" max="13063" width="17.1796875" style="448" bestFit="1" customWidth="1"/>
    <col min="13064" max="13064" width="18.453125" style="448" bestFit="1" customWidth="1"/>
    <col min="13065" max="13065" width="18.1796875" style="448" bestFit="1" customWidth="1"/>
    <col min="13066" max="13066" width="18.453125" style="448" bestFit="1" customWidth="1"/>
    <col min="13067" max="13067" width="17.1796875" style="448" bestFit="1" customWidth="1"/>
    <col min="13068" max="13068" width="15.81640625" style="448" bestFit="1" customWidth="1"/>
    <col min="13069" max="13070" width="18.54296875" style="448" bestFit="1" customWidth="1"/>
    <col min="13071" max="13071" width="16.81640625" style="448" bestFit="1" customWidth="1"/>
    <col min="13072" max="13073" width="18.54296875" style="448" bestFit="1" customWidth="1"/>
    <col min="13074" max="13074" width="1.1796875" style="448" customWidth="1"/>
    <col min="13075" max="13075" width="3.81640625" style="448" customWidth="1"/>
    <col min="13076" max="13076" width="5.453125" style="448" customWidth="1"/>
    <col min="13077" max="13077" width="34.81640625" style="448" customWidth="1"/>
    <col min="13078" max="13078" width="28.453125" style="448" customWidth="1"/>
    <col min="13079" max="13082" width="26.81640625" style="448" customWidth="1"/>
    <col min="13083" max="13083" width="19.81640625" style="448" customWidth="1"/>
    <col min="13084" max="13084" width="16.81640625" style="448" customWidth="1"/>
    <col min="13085" max="13085" width="16.453125" style="448" customWidth="1"/>
    <col min="13086" max="13087" width="17.1796875" style="448" customWidth="1"/>
    <col min="13088" max="13088" width="14.81640625" style="448" bestFit="1" customWidth="1"/>
    <col min="13089" max="13089" width="14.1796875" style="448" customWidth="1"/>
    <col min="13090" max="13090" width="14.453125" style="448" customWidth="1"/>
    <col min="13091" max="13092" width="13.81640625" style="448" customWidth="1"/>
    <col min="13093" max="13093" width="14.81640625" style="448" bestFit="1" customWidth="1"/>
    <col min="13094" max="13097" width="13.81640625" style="448" customWidth="1"/>
    <col min="13098" max="13098" width="17.81640625" style="448" bestFit="1" customWidth="1"/>
    <col min="13099" max="13099" width="16.453125" style="448" customWidth="1"/>
    <col min="13100" max="13100" width="17.54296875" style="448" customWidth="1"/>
    <col min="13101" max="13101" width="16.81640625" style="448" customWidth="1"/>
    <col min="13102" max="13102" width="17.81640625" style="448" customWidth="1"/>
    <col min="13103" max="13313" width="12.54296875" style="448"/>
    <col min="13314" max="13314" width="5.1796875" style="448" customWidth="1"/>
    <col min="13315" max="13315" width="32.81640625" style="448" bestFit="1" customWidth="1"/>
    <col min="13316" max="13316" width="19.81640625" style="448" bestFit="1" customWidth="1"/>
    <col min="13317" max="13317" width="17.1796875" style="448" bestFit="1" customWidth="1"/>
    <col min="13318" max="13318" width="18.1796875" style="448" bestFit="1" customWidth="1"/>
    <col min="13319" max="13319" width="17.1796875" style="448" bestFit="1" customWidth="1"/>
    <col min="13320" max="13320" width="18.453125" style="448" bestFit="1" customWidth="1"/>
    <col min="13321" max="13321" width="18.1796875" style="448" bestFit="1" customWidth="1"/>
    <col min="13322" max="13322" width="18.453125" style="448" bestFit="1" customWidth="1"/>
    <col min="13323" max="13323" width="17.1796875" style="448" bestFit="1" customWidth="1"/>
    <col min="13324" max="13324" width="15.81640625" style="448" bestFit="1" customWidth="1"/>
    <col min="13325" max="13326" width="18.54296875" style="448" bestFit="1" customWidth="1"/>
    <col min="13327" max="13327" width="16.81640625" style="448" bestFit="1" customWidth="1"/>
    <col min="13328" max="13329" width="18.54296875" style="448" bestFit="1" customWidth="1"/>
    <col min="13330" max="13330" width="1.1796875" style="448" customWidth="1"/>
    <col min="13331" max="13331" width="3.81640625" style="448" customWidth="1"/>
    <col min="13332" max="13332" width="5.453125" style="448" customWidth="1"/>
    <col min="13333" max="13333" width="34.81640625" style="448" customWidth="1"/>
    <col min="13334" max="13334" width="28.453125" style="448" customWidth="1"/>
    <col min="13335" max="13338" width="26.81640625" style="448" customWidth="1"/>
    <col min="13339" max="13339" width="19.81640625" style="448" customWidth="1"/>
    <col min="13340" max="13340" width="16.81640625" style="448" customWidth="1"/>
    <col min="13341" max="13341" width="16.453125" style="448" customWidth="1"/>
    <col min="13342" max="13343" width="17.1796875" style="448" customWidth="1"/>
    <col min="13344" max="13344" width="14.81640625" style="448" bestFit="1" customWidth="1"/>
    <col min="13345" max="13345" width="14.1796875" style="448" customWidth="1"/>
    <col min="13346" max="13346" width="14.453125" style="448" customWidth="1"/>
    <col min="13347" max="13348" width="13.81640625" style="448" customWidth="1"/>
    <col min="13349" max="13349" width="14.81640625" style="448" bestFit="1" customWidth="1"/>
    <col min="13350" max="13353" width="13.81640625" style="448" customWidth="1"/>
    <col min="13354" max="13354" width="17.81640625" style="448" bestFit="1" customWidth="1"/>
    <col min="13355" max="13355" width="16.453125" style="448" customWidth="1"/>
    <col min="13356" max="13356" width="17.54296875" style="448" customWidth="1"/>
    <col min="13357" max="13357" width="16.81640625" style="448" customWidth="1"/>
    <col min="13358" max="13358" width="17.81640625" style="448" customWidth="1"/>
    <col min="13359" max="13569" width="12.54296875" style="448"/>
    <col min="13570" max="13570" width="5.1796875" style="448" customWidth="1"/>
    <col min="13571" max="13571" width="32.81640625" style="448" bestFit="1" customWidth="1"/>
    <col min="13572" max="13572" width="19.81640625" style="448" bestFit="1" customWidth="1"/>
    <col min="13573" max="13573" width="17.1796875" style="448" bestFit="1" customWidth="1"/>
    <col min="13574" max="13574" width="18.1796875" style="448" bestFit="1" customWidth="1"/>
    <col min="13575" max="13575" width="17.1796875" style="448" bestFit="1" customWidth="1"/>
    <col min="13576" max="13576" width="18.453125" style="448" bestFit="1" customWidth="1"/>
    <col min="13577" max="13577" width="18.1796875" style="448" bestFit="1" customWidth="1"/>
    <col min="13578" max="13578" width="18.453125" style="448" bestFit="1" customWidth="1"/>
    <col min="13579" max="13579" width="17.1796875" style="448" bestFit="1" customWidth="1"/>
    <col min="13580" max="13580" width="15.81640625" style="448" bestFit="1" customWidth="1"/>
    <col min="13581" max="13582" width="18.54296875" style="448" bestFit="1" customWidth="1"/>
    <col min="13583" max="13583" width="16.81640625" style="448" bestFit="1" customWidth="1"/>
    <col min="13584" max="13585" width="18.54296875" style="448" bestFit="1" customWidth="1"/>
    <col min="13586" max="13586" width="1.1796875" style="448" customWidth="1"/>
    <col min="13587" max="13587" width="3.81640625" style="448" customWidth="1"/>
    <col min="13588" max="13588" width="5.453125" style="448" customWidth="1"/>
    <col min="13589" max="13589" width="34.81640625" style="448" customWidth="1"/>
    <col min="13590" max="13590" width="28.453125" style="448" customWidth="1"/>
    <col min="13591" max="13594" width="26.81640625" style="448" customWidth="1"/>
    <col min="13595" max="13595" width="19.81640625" style="448" customWidth="1"/>
    <col min="13596" max="13596" width="16.81640625" style="448" customWidth="1"/>
    <col min="13597" max="13597" width="16.453125" style="448" customWidth="1"/>
    <col min="13598" max="13599" width="17.1796875" style="448" customWidth="1"/>
    <col min="13600" max="13600" width="14.81640625" style="448" bestFit="1" customWidth="1"/>
    <col min="13601" max="13601" width="14.1796875" style="448" customWidth="1"/>
    <col min="13602" max="13602" width="14.453125" style="448" customWidth="1"/>
    <col min="13603" max="13604" width="13.81640625" style="448" customWidth="1"/>
    <col min="13605" max="13605" width="14.81640625" style="448" bestFit="1" customWidth="1"/>
    <col min="13606" max="13609" width="13.81640625" style="448" customWidth="1"/>
    <col min="13610" max="13610" width="17.81640625" style="448" bestFit="1" customWidth="1"/>
    <col min="13611" max="13611" width="16.453125" style="448" customWidth="1"/>
    <col min="13612" max="13612" width="17.54296875" style="448" customWidth="1"/>
    <col min="13613" max="13613" width="16.81640625" style="448" customWidth="1"/>
    <col min="13614" max="13614" width="17.81640625" style="448" customWidth="1"/>
    <col min="13615" max="13825" width="12.54296875" style="448"/>
    <col min="13826" max="13826" width="5.1796875" style="448" customWidth="1"/>
    <col min="13827" max="13827" width="32.81640625" style="448" bestFit="1" customWidth="1"/>
    <col min="13828" max="13828" width="19.81640625" style="448" bestFit="1" customWidth="1"/>
    <col min="13829" max="13829" width="17.1796875" style="448" bestFit="1" customWidth="1"/>
    <col min="13830" max="13830" width="18.1796875" style="448" bestFit="1" customWidth="1"/>
    <col min="13831" max="13831" width="17.1796875" style="448" bestFit="1" customWidth="1"/>
    <col min="13832" max="13832" width="18.453125" style="448" bestFit="1" customWidth="1"/>
    <col min="13833" max="13833" width="18.1796875" style="448" bestFit="1" customWidth="1"/>
    <col min="13834" max="13834" width="18.453125" style="448" bestFit="1" customWidth="1"/>
    <col min="13835" max="13835" width="17.1796875" style="448" bestFit="1" customWidth="1"/>
    <col min="13836" max="13836" width="15.81640625" style="448" bestFit="1" customWidth="1"/>
    <col min="13837" max="13838" width="18.54296875" style="448" bestFit="1" customWidth="1"/>
    <col min="13839" max="13839" width="16.81640625" style="448" bestFit="1" customWidth="1"/>
    <col min="13840" max="13841" width="18.54296875" style="448" bestFit="1" customWidth="1"/>
    <col min="13842" max="13842" width="1.1796875" style="448" customWidth="1"/>
    <col min="13843" max="13843" width="3.81640625" style="448" customWidth="1"/>
    <col min="13844" max="13844" width="5.453125" style="448" customWidth="1"/>
    <col min="13845" max="13845" width="34.81640625" style="448" customWidth="1"/>
    <col min="13846" max="13846" width="28.453125" style="448" customWidth="1"/>
    <col min="13847" max="13850" width="26.81640625" style="448" customWidth="1"/>
    <col min="13851" max="13851" width="19.81640625" style="448" customWidth="1"/>
    <col min="13852" max="13852" width="16.81640625" style="448" customWidth="1"/>
    <col min="13853" max="13853" width="16.453125" style="448" customWidth="1"/>
    <col min="13854" max="13855" width="17.1796875" style="448" customWidth="1"/>
    <col min="13856" max="13856" width="14.81640625" style="448" bestFit="1" customWidth="1"/>
    <col min="13857" max="13857" width="14.1796875" style="448" customWidth="1"/>
    <col min="13858" max="13858" width="14.453125" style="448" customWidth="1"/>
    <col min="13859" max="13860" width="13.81640625" style="448" customWidth="1"/>
    <col min="13861" max="13861" width="14.81640625" style="448" bestFit="1" customWidth="1"/>
    <col min="13862" max="13865" width="13.81640625" style="448" customWidth="1"/>
    <col min="13866" max="13866" width="17.81640625" style="448" bestFit="1" customWidth="1"/>
    <col min="13867" max="13867" width="16.453125" style="448" customWidth="1"/>
    <col min="13868" max="13868" width="17.54296875" style="448" customWidth="1"/>
    <col min="13869" max="13869" width="16.81640625" style="448" customWidth="1"/>
    <col min="13870" max="13870" width="17.81640625" style="448" customWidth="1"/>
    <col min="13871" max="14081" width="12.54296875" style="448"/>
    <col min="14082" max="14082" width="5.1796875" style="448" customWidth="1"/>
    <col min="14083" max="14083" width="32.81640625" style="448" bestFit="1" customWidth="1"/>
    <col min="14084" max="14084" width="19.81640625" style="448" bestFit="1" customWidth="1"/>
    <col min="14085" max="14085" width="17.1796875" style="448" bestFit="1" customWidth="1"/>
    <col min="14086" max="14086" width="18.1796875" style="448" bestFit="1" customWidth="1"/>
    <col min="14087" max="14087" width="17.1796875" style="448" bestFit="1" customWidth="1"/>
    <col min="14088" max="14088" width="18.453125" style="448" bestFit="1" customWidth="1"/>
    <col min="14089" max="14089" width="18.1796875" style="448" bestFit="1" customWidth="1"/>
    <col min="14090" max="14090" width="18.453125" style="448" bestFit="1" customWidth="1"/>
    <col min="14091" max="14091" width="17.1796875" style="448" bestFit="1" customWidth="1"/>
    <col min="14092" max="14092" width="15.81640625" style="448" bestFit="1" customWidth="1"/>
    <col min="14093" max="14094" width="18.54296875" style="448" bestFit="1" customWidth="1"/>
    <col min="14095" max="14095" width="16.81640625" style="448" bestFit="1" customWidth="1"/>
    <col min="14096" max="14097" width="18.54296875" style="448" bestFit="1" customWidth="1"/>
    <col min="14098" max="14098" width="1.1796875" style="448" customWidth="1"/>
    <col min="14099" max="14099" width="3.81640625" style="448" customWidth="1"/>
    <col min="14100" max="14100" width="5.453125" style="448" customWidth="1"/>
    <col min="14101" max="14101" width="34.81640625" style="448" customWidth="1"/>
    <col min="14102" max="14102" width="28.453125" style="448" customWidth="1"/>
    <col min="14103" max="14106" width="26.81640625" style="448" customWidth="1"/>
    <col min="14107" max="14107" width="19.81640625" style="448" customWidth="1"/>
    <col min="14108" max="14108" width="16.81640625" style="448" customWidth="1"/>
    <col min="14109" max="14109" width="16.453125" style="448" customWidth="1"/>
    <col min="14110" max="14111" width="17.1796875" style="448" customWidth="1"/>
    <col min="14112" max="14112" width="14.81640625" style="448" bestFit="1" customWidth="1"/>
    <col min="14113" max="14113" width="14.1796875" style="448" customWidth="1"/>
    <col min="14114" max="14114" width="14.453125" style="448" customWidth="1"/>
    <col min="14115" max="14116" width="13.81640625" style="448" customWidth="1"/>
    <col min="14117" max="14117" width="14.81640625" style="448" bestFit="1" customWidth="1"/>
    <col min="14118" max="14121" width="13.81640625" style="448" customWidth="1"/>
    <col min="14122" max="14122" width="17.81640625" style="448" bestFit="1" customWidth="1"/>
    <col min="14123" max="14123" width="16.453125" style="448" customWidth="1"/>
    <col min="14124" max="14124" width="17.54296875" style="448" customWidth="1"/>
    <col min="14125" max="14125" width="16.81640625" style="448" customWidth="1"/>
    <col min="14126" max="14126" width="17.81640625" style="448" customWidth="1"/>
    <col min="14127" max="14337" width="12.54296875" style="448"/>
    <col min="14338" max="14338" width="5.1796875" style="448" customWidth="1"/>
    <col min="14339" max="14339" width="32.81640625" style="448" bestFit="1" customWidth="1"/>
    <col min="14340" max="14340" width="19.81640625" style="448" bestFit="1" customWidth="1"/>
    <col min="14341" max="14341" width="17.1796875" style="448" bestFit="1" customWidth="1"/>
    <col min="14342" max="14342" width="18.1796875" style="448" bestFit="1" customWidth="1"/>
    <col min="14343" max="14343" width="17.1796875" style="448" bestFit="1" customWidth="1"/>
    <col min="14344" max="14344" width="18.453125" style="448" bestFit="1" customWidth="1"/>
    <col min="14345" max="14345" width="18.1796875" style="448" bestFit="1" customWidth="1"/>
    <col min="14346" max="14346" width="18.453125" style="448" bestFit="1" customWidth="1"/>
    <col min="14347" max="14347" width="17.1796875" style="448" bestFit="1" customWidth="1"/>
    <col min="14348" max="14348" width="15.81640625" style="448" bestFit="1" customWidth="1"/>
    <col min="14349" max="14350" width="18.54296875" style="448" bestFit="1" customWidth="1"/>
    <col min="14351" max="14351" width="16.81640625" style="448" bestFit="1" customWidth="1"/>
    <col min="14352" max="14353" width="18.54296875" style="448" bestFit="1" customWidth="1"/>
    <col min="14354" max="14354" width="1.1796875" style="448" customWidth="1"/>
    <col min="14355" max="14355" width="3.81640625" style="448" customWidth="1"/>
    <col min="14356" max="14356" width="5.453125" style="448" customWidth="1"/>
    <col min="14357" max="14357" width="34.81640625" style="448" customWidth="1"/>
    <col min="14358" max="14358" width="28.453125" style="448" customWidth="1"/>
    <col min="14359" max="14362" width="26.81640625" style="448" customWidth="1"/>
    <col min="14363" max="14363" width="19.81640625" style="448" customWidth="1"/>
    <col min="14364" max="14364" width="16.81640625" style="448" customWidth="1"/>
    <col min="14365" max="14365" width="16.453125" style="448" customWidth="1"/>
    <col min="14366" max="14367" width="17.1796875" style="448" customWidth="1"/>
    <col min="14368" max="14368" width="14.81640625" style="448" bestFit="1" customWidth="1"/>
    <col min="14369" max="14369" width="14.1796875" style="448" customWidth="1"/>
    <col min="14370" max="14370" width="14.453125" style="448" customWidth="1"/>
    <col min="14371" max="14372" width="13.81640625" style="448" customWidth="1"/>
    <col min="14373" max="14373" width="14.81640625" style="448" bestFit="1" customWidth="1"/>
    <col min="14374" max="14377" width="13.81640625" style="448" customWidth="1"/>
    <col min="14378" max="14378" width="17.81640625" style="448" bestFit="1" customWidth="1"/>
    <col min="14379" max="14379" width="16.453125" style="448" customWidth="1"/>
    <col min="14380" max="14380" width="17.54296875" style="448" customWidth="1"/>
    <col min="14381" max="14381" width="16.81640625" style="448" customWidth="1"/>
    <col min="14382" max="14382" width="17.81640625" style="448" customWidth="1"/>
    <col min="14383" max="14593" width="12.54296875" style="448"/>
    <col min="14594" max="14594" width="5.1796875" style="448" customWidth="1"/>
    <col min="14595" max="14595" width="32.81640625" style="448" bestFit="1" customWidth="1"/>
    <col min="14596" max="14596" width="19.81640625" style="448" bestFit="1" customWidth="1"/>
    <col min="14597" max="14597" width="17.1796875" style="448" bestFit="1" customWidth="1"/>
    <col min="14598" max="14598" width="18.1796875" style="448" bestFit="1" customWidth="1"/>
    <col min="14599" max="14599" width="17.1796875" style="448" bestFit="1" customWidth="1"/>
    <col min="14600" max="14600" width="18.453125" style="448" bestFit="1" customWidth="1"/>
    <col min="14601" max="14601" width="18.1796875" style="448" bestFit="1" customWidth="1"/>
    <col min="14602" max="14602" width="18.453125" style="448" bestFit="1" customWidth="1"/>
    <col min="14603" max="14603" width="17.1796875" style="448" bestFit="1" customWidth="1"/>
    <col min="14604" max="14604" width="15.81640625" style="448" bestFit="1" customWidth="1"/>
    <col min="14605" max="14606" width="18.54296875" style="448" bestFit="1" customWidth="1"/>
    <col min="14607" max="14607" width="16.81640625" style="448" bestFit="1" customWidth="1"/>
    <col min="14608" max="14609" width="18.54296875" style="448" bestFit="1" customWidth="1"/>
    <col min="14610" max="14610" width="1.1796875" style="448" customWidth="1"/>
    <col min="14611" max="14611" width="3.81640625" style="448" customWidth="1"/>
    <col min="14612" max="14612" width="5.453125" style="448" customWidth="1"/>
    <col min="14613" max="14613" width="34.81640625" style="448" customWidth="1"/>
    <col min="14614" max="14614" width="28.453125" style="448" customWidth="1"/>
    <col min="14615" max="14618" width="26.81640625" style="448" customWidth="1"/>
    <col min="14619" max="14619" width="19.81640625" style="448" customWidth="1"/>
    <col min="14620" max="14620" width="16.81640625" style="448" customWidth="1"/>
    <col min="14621" max="14621" width="16.453125" style="448" customWidth="1"/>
    <col min="14622" max="14623" width="17.1796875" style="448" customWidth="1"/>
    <col min="14624" max="14624" width="14.81640625" style="448" bestFit="1" customWidth="1"/>
    <col min="14625" max="14625" width="14.1796875" style="448" customWidth="1"/>
    <col min="14626" max="14626" width="14.453125" style="448" customWidth="1"/>
    <col min="14627" max="14628" width="13.81640625" style="448" customWidth="1"/>
    <col min="14629" max="14629" width="14.81640625" style="448" bestFit="1" customWidth="1"/>
    <col min="14630" max="14633" width="13.81640625" style="448" customWidth="1"/>
    <col min="14634" max="14634" width="17.81640625" style="448" bestFit="1" customWidth="1"/>
    <col min="14635" max="14635" width="16.453125" style="448" customWidth="1"/>
    <col min="14636" max="14636" width="17.54296875" style="448" customWidth="1"/>
    <col min="14637" max="14637" width="16.81640625" style="448" customWidth="1"/>
    <col min="14638" max="14638" width="17.81640625" style="448" customWidth="1"/>
    <col min="14639" max="14849" width="12.54296875" style="448"/>
    <col min="14850" max="14850" width="5.1796875" style="448" customWidth="1"/>
    <col min="14851" max="14851" width="32.81640625" style="448" bestFit="1" customWidth="1"/>
    <col min="14852" max="14852" width="19.81640625" style="448" bestFit="1" customWidth="1"/>
    <col min="14853" max="14853" width="17.1796875" style="448" bestFit="1" customWidth="1"/>
    <col min="14854" max="14854" width="18.1796875" style="448" bestFit="1" customWidth="1"/>
    <col min="14855" max="14855" width="17.1796875" style="448" bestFit="1" customWidth="1"/>
    <col min="14856" max="14856" width="18.453125" style="448" bestFit="1" customWidth="1"/>
    <col min="14857" max="14857" width="18.1796875" style="448" bestFit="1" customWidth="1"/>
    <col min="14858" max="14858" width="18.453125" style="448" bestFit="1" customWidth="1"/>
    <col min="14859" max="14859" width="17.1796875" style="448" bestFit="1" customWidth="1"/>
    <col min="14860" max="14860" width="15.81640625" style="448" bestFit="1" customWidth="1"/>
    <col min="14861" max="14862" width="18.54296875" style="448" bestFit="1" customWidth="1"/>
    <col min="14863" max="14863" width="16.81640625" style="448" bestFit="1" customWidth="1"/>
    <col min="14864" max="14865" width="18.54296875" style="448" bestFit="1" customWidth="1"/>
    <col min="14866" max="14866" width="1.1796875" style="448" customWidth="1"/>
    <col min="14867" max="14867" width="3.81640625" style="448" customWidth="1"/>
    <col min="14868" max="14868" width="5.453125" style="448" customWidth="1"/>
    <col min="14869" max="14869" width="34.81640625" style="448" customWidth="1"/>
    <col min="14870" max="14870" width="28.453125" style="448" customWidth="1"/>
    <col min="14871" max="14874" width="26.81640625" style="448" customWidth="1"/>
    <col min="14875" max="14875" width="19.81640625" style="448" customWidth="1"/>
    <col min="14876" max="14876" width="16.81640625" style="448" customWidth="1"/>
    <col min="14877" max="14877" width="16.453125" style="448" customWidth="1"/>
    <col min="14878" max="14879" width="17.1796875" style="448" customWidth="1"/>
    <col min="14880" max="14880" width="14.81640625" style="448" bestFit="1" customWidth="1"/>
    <col min="14881" max="14881" width="14.1796875" style="448" customWidth="1"/>
    <col min="14882" max="14882" width="14.453125" style="448" customWidth="1"/>
    <col min="14883" max="14884" width="13.81640625" style="448" customWidth="1"/>
    <col min="14885" max="14885" width="14.81640625" style="448" bestFit="1" customWidth="1"/>
    <col min="14886" max="14889" width="13.81640625" style="448" customWidth="1"/>
    <col min="14890" max="14890" width="17.81640625" style="448" bestFit="1" customWidth="1"/>
    <col min="14891" max="14891" width="16.453125" style="448" customWidth="1"/>
    <col min="14892" max="14892" width="17.54296875" style="448" customWidth="1"/>
    <col min="14893" max="14893" width="16.81640625" style="448" customWidth="1"/>
    <col min="14894" max="14894" width="17.81640625" style="448" customWidth="1"/>
    <col min="14895" max="15105" width="12.54296875" style="448"/>
    <col min="15106" max="15106" width="5.1796875" style="448" customWidth="1"/>
    <col min="15107" max="15107" width="32.81640625" style="448" bestFit="1" customWidth="1"/>
    <col min="15108" max="15108" width="19.81640625" style="448" bestFit="1" customWidth="1"/>
    <col min="15109" max="15109" width="17.1796875" style="448" bestFit="1" customWidth="1"/>
    <col min="15110" max="15110" width="18.1796875" style="448" bestFit="1" customWidth="1"/>
    <col min="15111" max="15111" width="17.1796875" style="448" bestFit="1" customWidth="1"/>
    <col min="15112" max="15112" width="18.453125" style="448" bestFit="1" customWidth="1"/>
    <col min="15113" max="15113" width="18.1796875" style="448" bestFit="1" customWidth="1"/>
    <col min="15114" max="15114" width="18.453125" style="448" bestFit="1" customWidth="1"/>
    <col min="15115" max="15115" width="17.1796875" style="448" bestFit="1" customWidth="1"/>
    <col min="15116" max="15116" width="15.81640625" style="448" bestFit="1" customWidth="1"/>
    <col min="15117" max="15118" width="18.54296875" style="448" bestFit="1" customWidth="1"/>
    <col min="15119" max="15119" width="16.81640625" style="448" bestFit="1" customWidth="1"/>
    <col min="15120" max="15121" width="18.54296875" style="448" bestFit="1" customWidth="1"/>
    <col min="15122" max="15122" width="1.1796875" style="448" customWidth="1"/>
    <col min="15123" max="15123" width="3.81640625" style="448" customWidth="1"/>
    <col min="15124" max="15124" width="5.453125" style="448" customWidth="1"/>
    <col min="15125" max="15125" width="34.81640625" style="448" customWidth="1"/>
    <col min="15126" max="15126" width="28.453125" style="448" customWidth="1"/>
    <col min="15127" max="15130" width="26.81640625" style="448" customWidth="1"/>
    <col min="15131" max="15131" width="19.81640625" style="448" customWidth="1"/>
    <col min="15132" max="15132" width="16.81640625" style="448" customWidth="1"/>
    <col min="15133" max="15133" width="16.453125" style="448" customWidth="1"/>
    <col min="15134" max="15135" width="17.1796875" style="448" customWidth="1"/>
    <col min="15136" max="15136" width="14.81640625" style="448" bestFit="1" customWidth="1"/>
    <col min="15137" max="15137" width="14.1796875" style="448" customWidth="1"/>
    <col min="15138" max="15138" width="14.453125" style="448" customWidth="1"/>
    <col min="15139" max="15140" width="13.81640625" style="448" customWidth="1"/>
    <col min="15141" max="15141" width="14.81640625" style="448" bestFit="1" customWidth="1"/>
    <col min="15142" max="15145" width="13.81640625" style="448" customWidth="1"/>
    <col min="15146" max="15146" width="17.81640625" style="448" bestFit="1" customWidth="1"/>
    <col min="15147" max="15147" width="16.453125" style="448" customWidth="1"/>
    <col min="15148" max="15148" width="17.54296875" style="448" customWidth="1"/>
    <col min="15149" max="15149" width="16.81640625" style="448" customWidth="1"/>
    <col min="15150" max="15150" width="17.81640625" style="448" customWidth="1"/>
    <col min="15151" max="15361" width="12.54296875" style="448"/>
    <col min="15362" max="15362" width="5.1796875" style="448" customWidth="1"/>
    <col min="15363" max="15363" width="32.81640625" style="448" bestFit="1" customWidth="1"/>
    <col min="15364" max="15364" width="19.81640625" style="448" bestFit="1" customWidth="1"/>
    <col min="15365" max="15365" width="17.1796875" style="448" bestFit="1" customWidth="1"/>
    <col min="15366" max="15366" width="18.1796875" style="448" bestFit="1" customWidth="1"/>
    <col min="15367" max="15367" width="17.1796875" style="448" bestFit="1" customWidth="1"/>
    <col min="15368" max="15368" width="18.453125" style="448" bestFit="1" customWidth="1"/>
    <col min="15369" max="15369" width="18.1796875" style="448" bestFit="1" customWidth="1"/>
    <col min="15370" max="15370" width="18.453125" style="448" bestFit="1" customWidth="1"/>
    <col min="15371" max="15371" width="17.1796875" style="448" bestFit="1" customWidth="1"/>
    <col min="15372" max="15372" width="15.81640625" style="448" bestFit="1" customWidth="1"/>
    <col min="15373" max="15374" width="18.54296875" style="448" bestFit="1" customWidth="1"/>
    <col min="15375" max="15375" width="16.81640625" style="448" bestFit="1" customWidth="1"/>
    <col min="15376" max="15377" width="18.54296875" style="448" bestFit="1" customWidth="1"/>
    <col min="15378" max="15378" width="1.1796875" style="448" customWidth="1"/>
    <col min="15379" max="15379" width="3.81640625" style="448" customWidth="1"/>
    <col min="15380" max="15380" width="5.453125" style="448" customWidth="1"/>
    <col min="15381" max="15381" width="34.81640625" style="448" customWidth="1"/>
    <col min="15382" max="15382" width="28.453125" style="448" customWidth="1"/>
    <col min="15383" max="15386" width="26.81640625" style="448" customWidth="1"/>
    <col min="15387" max="15387" width="19.81640625" style="448" customWidth="1"/>
    <col min="15388" max="15388" width="16.81640625" style="448" customWidth="1"/>
    <col min="15389" max="15389" width="16.453125" style="448" customWidth="1"/>
    <col min="15390" max="15391" width="17.1796875" style="448" customWidth="1"/>
    <col min="15392" max="15392" width="14.81640625" style="448" bestFit="1" customWidth="1"/>
    <col min="15393" max="15393" width="14.1796875" style="448" customWidth="1"/>
    <col min="15394" max="15394" width="14.453125" style="448" customWidth="1"/>
    <col min="15395" max="15396" width="13.81640625" style="448" customWidth="1"/>
    <col min="15397" max="15397" width="14.81640625" style="448" bestFit="1" customWidth="1"/>
    <col min="15398" max="15401" width="13.81640625" style="448" customWidth="1"/>
    <col min="15402" max="15402" width="17.81640625" style="448" bestFit="1" customWidth="1"/>
    <col min="15403" max="15403" width="16.453125" style="448" customWidth="1"/>
    <col min="15404" max="15404" width="17.54296875" style="448" customWidth="1"/>
    <col min="15405" max="15405" width="16.81640625" style="448" customWidth="1"/>
    <col min="15406" max="15406" width="17.81640625" style="448" customWidth="1"/>
    <col min="15407" max="15617" width="12.54296875" style="448"/>
    <col min="15618" max="15618" width="5.1796875" style="448" customWidth="1"/>
    <col min="15619" max="15619" width="32.81640625" style="448" bestFit="1" customWidth="1"/>
    <col min="15620" max="15620" width="19.81640625" style="448" bestFit="1" customWidth="1"/>
    <col min="15621" max="15621" width="17.1796875" style="448" bestFit="1" customWidth="1"/>
    <col min="15622" max="15622" width="18.1796875" style="448" bestFit="1" customWidth="1"/>
    <col min="15623" max="15623" width="17.1796875" style="448" bestFit="1" customWidth="1"/>
    <col min="15624" max="15624" width="18.453125" style="448" bestFit="1" customWidth="1"/>
    <col min="15625" max="15625" width="18.1796875" style="448" bestFit="1" customWidth="1"/>
    <col min="15626" max="15626" width="18.453125" style="448" bestFit="1" customWidth="1"/>
    <col min="15627" max="15627" width="17.1796875" style="448" bestFit="1" customWidth="1"/>
    <col min="15628" max="15628" width="15.81640625" style="448" bestFit="1" customWidth="1"/>
    <col min="15629" max="15630" width="18.54296875" style="448" bestFit="1" customWidth="1"/>
    <col min="15631" max="15631" width="16.81640625" style="448" bestFit="1" customWidth="1"/>
    <col min="15632" max="15633" width="18.54296875" style="448" bestFit="1" customWidth="1"/>
    <col min="15634" max="15634" width="1.1796875" style="448" customWidth="1"/>
    <col min="15635" max="15635" width="3.81640625" style="448" customWidth="1"/>
    <col min="15636" max="15636" width="5.453125" style="448" customWidth="1"/>
    <col min="15637" max="15637" width="34.81640625" style="448" customWidth="1"/>
    <col min="15638" max="15638" width="28.453125" style="448" customWidth="1"/>
    <col min="15639" max="15642" width="26.81640625" style="448" customWidth="1"/>
    <col min="15643" max="15643" width="19.81640625" style="448" customWidth="1"/>
    <col min="15644" max="15644" width="16.81640625" style="448" customWidth="1"/>
    <col min="15645" max="15645" width="16.453125" style="448" customWidth="1"/>
    <col min="15646" max="15647" width="17.1796875" style="448" customWidth="1"/>
    <col min="15648" max="15648" width="14.81640625" style="448" bestFit="1" customWidth="1"/>
    <col min="15649" max="15649" width="14.1796875" style="448" customWidth="1"/>
    <col min="15650" max="15650" width="14.453125" style="448" customWidth="1"/>
    <col min="15651" max="15652" width="13.81640625" style="448" customWidth="1"/>
    <col min="15653" max="15653" width="14.81640625" style="448" bestFit="1" customWidth="1"/>
    <col min="15654" max="15657" width="13.81640625" style="448" customWidth="1"/>
    <col min="15658" max="15658" width="17.81640625" style="448" bestFit="1" customWidth="1"/>
    <col min="15659" max="15659" width="16.453125" style="448" customWidth="1"/>
    <col min="15660" max="15660" width="17.54296875" style="448" customWidth="1"/>
    <col min="15661" max="15661" width="16.81640625" style="448" customWidth="1"/>
    <col min="15662" max="15662" width="17.81640625" style="448" customWidth="1"/>
    <col min="15663" max="15873" width="12.54296875" style="448"/>
    <col min="15874" max="15874" width="5.1796875" style="448" customWidth="1"/>
    <col min="15875" max="15875" width="32.81640625" style="448" bestFit="1" customWidth="1"/>
    <col min="15876" max="15876" width="19.81640625" style="448" bestFit="1" customWidth="1"/>
    <col min="15877" max="15877" width="17.1796875" style="448" bestFit="1" customWidth="1"/>
    <col min="15878" max="15878" width="18.1796875" style="448" bestFit="1" customWidth="1"/>
    <col min="15879" max="15879" width="17.1796875" style="448" bestFit="1" customWidth="1"/>
    <col min="15880" max="15880" width="18.453125" style="448" bestFit="1" customWidth="1"/>
    <col min="15881" max="15881" width="18.1796875" style="448" bestFit="1" customWidth="1"/>
    <col min="15882" max="15882" width="18.453125" style="448" bestFit="1" customWidth="1"/>
    <col min="15883" max="15883" width="17.1796875" style="448" bestFit="1" customWidth="1"/>
    <col min="15884" max="15884" width="15.81640625" style="448" bestFit="1" customWidth="1"/>
    <col min="15885" max="15886" width="18.54296875" style="448" bestFit="1" customWidth="1"/>
    <col min="15887" max="15887" width="16.81640625" style="448" bestFit="1" customWidth="1"/>
    <col min="15888" max="15889" width="18.54296875" style="448" bestFit="1" customWidth="1"/>
    <col min="15890" max="15890" width="1.1796875" style="448" customWidth="1"/>
    <col min="15891" max="15891" width="3.81640625" style="448" customWidth="1"/>
    <col min="15892" max="15892" width="5.453125" style="448" customWidth="1"/>
    <col min="15893" max="15893" width="34.81640625" style="448" customWidth="1"/>
    <col min="15894" max="15894" width="28.453125" style="448" customWidth="1"/>
    <col min="15895" max="15898" width="26.81640625" style="448" customWidth="1"/>
    <col min="15899" max="15899" width="19.81640625" style="448" customWidth="1"/>
    <col min="15900" max="15900" width="16.81640625" style="448" customWidth="1"/>
    <col min="15901" max="15901" width="16.453125" style="448" customWidth="1"/>
    <col min="15902" max="15903" width="17.1796875" style="448" customWidth="1"/>
    <col min="15904" max="15904" width="14.81640625" style="448" bestFit="1" customWidth="1"/>
    <col min="15905" max="15905" width="14.1796875" style="448" customWidth="1"/>
    <col min="15906" max="15906" width="14.453125" style="448" customWidth="1"/>
    <col min="15907" max="15908" width="13.81640625" style="448" customWidth="1"/>
    <col min="15909" max="15909" width="14.81640625" style="448" bestFit="1" customWidth="1"/>
    <col min="15910" max="15913" width="13.81640625" style="448" customWidth="1"/>
    <col min="15914" max="15914" width="17.81640625" style="448" bestFit="1" customWidth="1"/>
    <col min="15915" max="15915" width="16.453125" style="448" customWidth="1"/>
    <col min="15916" max="15916" width="17.54296875" style="448" customWidth="1"/>
    <col min="15917" max="15917" width="16.81640625" style="448" customWidth="1"/>
    <col min="15918" max="15918" width="17.81640625" style="448" customWidth="1"/>
    <col min="15919" max="16129" width="12.54296875" style="448"/>
    <col min="16130" max="16130" width="5.1796875" style="448" customWidth="1"/>
    <col min="16131" max="16131" width="32.81640625" style="448" bestFit="1" customWidth="1"/>
    <col min="16132" max="16132" width="19.81640625" style="448" bestFit="1" customWidth="1"/>
    <col min="16133" max="16133" width="17.1796875" style="448" bestFit="1" customWidth="1"/>
    <col min="16134" max="16134" width="18.1796875" style="448" bestFit="1" customWidth="1"/>
    <col min="16135" max="16135" width="17.1796875" style="448" bestFit="1" customWidth="1"/>
    <col min="16136" max="16136" width="18.453125" style="448" bestFit="1" customWidth="1"/>
    <col min="16137" max="16137" width="18.1796875" style="448" bestFit="1" customWidth="1"/>
    <col min="16138" max="16138" width="18.453125" style="448" bestFit="1" customWidth="1"/>
    <col min="16139" max="16139" width="17.1796875" style="448" bestFit="1" customWidth="1"/>
    <col min="16140" max="16140" width="15.81640625" style="448" bestFit="1" customWidth="1"/>
    <col min="16141" max="16142" width="18.54296875" style="448" bestFit="1" customWidth="1"/>
    <col min="16143" max="16143" width="16.81640625" style="448" bestFit="1" customWidth="1"/>
    <col min="16144" max="16145" width="18.54296875" style="448" bestFit="1" customWidth="1"/>
    <col min="16146" max="16146" width="1.1796875" style="448" customWidth="1"/>
    <col min="16147" max="16147" width="3.81640625" style="448" customWidth="1"/>
    <col min="16148" max="16148" width="5.453125" style="448" customWidth="1"/>
    <col min="16149" max="16149" width="34.81640625" style="448" customWidth="1"/>
    <col min="16150" max="16150" width="28.453125" style="448" customWidth="1"/>
    <col min="16151" max="16154" width="26.81640625" style="448" customWidth="1"/>
    <col min="16155" max="16155" width="19.81640625" style="448" customWidth="1"/>
    <col min="16156" max="16156" width="16.81640625" style="448" customWidth="1"/>
    <col min="16157" max="16157" width="16.453125" style="448" customWidth="1"/>
    <col min="16158" max="16159" width="17.1796875" style="448" customWidth="1"/>
    <col min="16160" max="16160" width="14.81640625" style="448" bestFit="1" customWidth="1"/>
    <col min="16161" max="16161" width="14.1796875" style="448" customWidth="1"/>
    <col min="16162" max="16162" width="14.453125" style="448" customWidth="1"/>
    <col min="16163" max="16164" width="13.81640625" style="448" customWidth="1"/>
    <col min="16165" max="16165" width="14.81640625" style="448" bestFit="1" customWidth="1"/>
    <col min="16166" max="16169" width="13.81640625" style="448" customWidth="1"/>
    <col min="16170" max="16170" width="17.81640625" style="448" bestFit="1" customWidth="1"/>
    <col min="16171" max="16171" width="16.453125" style="448" customWidth="1"/>
    <col min="16172" max="16172" width="17.54296875" style="448" customWidth="1"/>
    <col min="16173" max="16173" width="16.81640625" style="448" customWidth="1"/>
    <col min="16174" max="16174" width="17.81640625" style="448" customWidth="1"/>
    <col min="16175" max="16384" width="12.54296875" style="448"/>
  </cols>
  <sheetData>
    <row r="1" spans="2:27" s="372" customFormat="1" ht="15.5">
      <c r="B1" s="948" t="s">
        <v>378</v>
      </c>
      <c r="C1" s="948"/>
      <c r="D1" s="948"/>
      <c r="E1" s="948"/>
      <c r="F1" s="948"/>
      <c r="G1" s="948"/>
      <c r="H1" s="948"/>
      <c r="I1" s="948"/>
      <c r="J1" s="948"/>
      <c r="K1" s="948"/>
      <c r="L1" s="948"/>
      <c r="M1" s="948"/>
      <c r="N1" s="948"/>
      <c r="O1" s="948"/>
      <c r="P1" s="948"/>
      <c r="Q1" s="948"/>
      <c r="R1" s="371"/>
      <c r="S1" s="371"/>
      <c r="T1" s="949" t="s">
        <v>379</v>
      </c>
      <c r="U1" s="949"/>
      <c r="V1" s="949"/>
      <c r="W1" s="949"/>
      <c r="X1" s="949"/>
      <c r="Y1" s="949"/>
      <c r="Z1" s="949"/>
      <c r="AA1" s="949"/>
    </row>
    <row r="2" spans="2:27" s="372" customFormat="1" ht="15.75" customHeight="1">
      <c r="B2" s="950" t="s">
        <v>380</v>
      </c>
      <c r="C2" s="950"/>
      <c r="D2" s="950"/>
      <c r="E2" s="950"/>
      <c r="F2" s="950"/>
      <c r="G2" s="950"/>
      <c r="H2" s="950"/>
      <c r="I2" s="950"/>
      <c r="J2" s="950"/>
      <c r="K2" s="950"/>
      <c r="L2" s="950"/>
      <c r="M2" s="950"/>
      <c r="N2" s="950"/>
      <c r="O2" s="950"/>
      <c r="P2" s="950"/>
      <c r="Q2" s="950"/>
      <c r="R2" s="373"/>
      <c r="S2" s="374"/>
      <c r="T2" s="375" t="s">
        <v>381</v>
      </c>
      <c r="U2" s="375"/>
      <c r="V2" s="375"/>
      <c r="W2" s="375"/>
      <c r="X2" s="375"/>
      <c r="Y2" s="375"/>
      <c r="Z2" s="375"/>
      <c r="AA2" s="375"/>
    </row>
    <row r="3" spans="2:27" s="372" customFormat="1" ht="14.5">
      <c r="T3" s="375"/>
    </row>
    <row r="4" spans="2:27" s="372" customFormat="1" ht="14.5" thickBot="1">
      <c r="Q4" s="376" t="s">
        <v>263</v>
      </c>
      <c r="R4" s="377"/>
      <c r="S4" s="377"/>
      <c r="AA4" s="376" t="s">
        <v>263</v>
      </c>
    </row>
    <row r="5" spans="2:27" s="372" customFormat="1" ht="16" customHeight="1">
      <c r="B5" s="951" t="s">
        <v>382</v>
      </c>
      <c r="C5" s="952"/>
      <c r="D5" s="378"/>
      <c r="E5" s="953" t="s">
        <v>383</v>
      </c>
      <c r="F5" s="954"/>
      <c r="G5" s="954"/>
      <c r="H5" s="954"/>
      <c r="I5" s="379" t="s">
        <v>384</v>
      </c>
      <c r="J5" s="955" t="s">
        <v>318</v>
      </c>
      <c r="K5" s="955"/>
      <c r="L5" s="956"/>
      <c r="M5" s="955"/>
      <c r="N5" s="955"/>
      <c r="O5" s="955"/>
      <c r="P5" s="955"/>
      <c r="Q5" s="957"/>
      <c r="R5" s="380"/>
      <c r="S5" s="371"/>
      <c r="T5" s="958" t="s">
        <v>382</v>
      </c>
      <c r="U5" s="959"/>
      <c r="V5" s="381" t="s">
        <v>104</v>
      </c>
      <c r="W5" s="382" t="s">
        <v>385</v>
      </c>
      <c r="X5" s="381" t="s">
        <v>386</v>
      </c>
      <c r="Y5" s="381" t="s">
        <v>387</v>
      </c>
      <c r="Z5" s="383" t="s">
        <v>388</v>
      </c>
      <c r="AA5" s="384" t="s">
        <v>389</v>
      </c>
    </row>
    <row r="6" spans="2:27" s="372" customFormat="1" ht="16" customHeight="1">
      <c r="B6" s="960" t="s">
        <v>390</v>
      </c>
      <c r="C6" s="961"/>
      <c r="D6" s="385" t="s">
        <v>104</v>
      </c>
      <c r="E6" s="385" t="s">
        <v>391</v>
      </c>
      <c r="F6" s="385" t="s">
        <v>20</v>
      </c>
      <c r="G6" s="385" t="s">
        <v>15</v>
      </c>
      <c r="H6" s="385" t="s">
        <v>1</v>
      </c>
      <c r="I6" s="385" t="s">
        <v>13</v>
      </c>
      <c r="J6" s="385" t="s">
        <v>16</v>
      </c>
      <c r="K6" s="380" t="s">
        <v>269</v>
      </c>
      <c r="L6" s="386" t="s">
        <v>17</v>
      </c>
      <c r="M6" s="385" t="s">
        <v>392</v>
      </c>
      <c r="N6" s="387" t="s">
        <v>393</v>
      </c>
      <c r="O6" s="387" t="s">
        <v>323</v>
      </c>
      <c r="P6" s="385" t="s">
        <v>394</v>
      </c>
      <c r="Q6" s="388" t="s">
        <v>395</v>
      </c>
      <c r="R6" s="389"/>
      <c r="S6" s="389"/>
      <c r="T6" s="960" t="s">
        <v>390</v>
      </c>
      <c r="U6" s="961"/>
      <c r="V6" s="390" t="s">
        <v>396</v>
      </c>
      <c r="W6" s="391" t="s">
        <v>397</v>
      </c>
      <c r="X6" s="391" t="s">
        <v>398</v>
      </c>
      <c r="Y6" s="391" t="s">
        <v>399</v>
      </c>
      <c r="Z6" s="391" t="s">
        <v>400</v>
      </c>
      <c r="AA6" s="392" t="s">
        <v>401</v>
      </c>
    </row>
    <row r="7" spans="2:27" s="372" customFormat="1" ht="30" customHeight="1">
      <c r="B7" s="393"/>
      <c r="C7" s="394"/>
      <c r="D7" s="395" t="s">
        <v>396</v>
      </c>
      <c r="E7" s="396" t="s">
        <v>279</v>
      </c>
      <c r="F7" s="397" t="s">
        <v>283</v>
      </c>
      <c r="G7" s="397" t="s">
        <v>281</v>
      </c>
      <c r="H7" s="398" t="s">
        <v>285</v>
      </c>
      <c r="I7" s="399" t="s">
        <v>286</v>
      </c>
      <c r="J7" s="397" t="s">
        <v>280</v>
      </c>
      <c r="K7" s="397" t="s">
        <v>402</v>
      </c>
      <c r="L7" s="400" t="s">
        <v>286</v>
      </c>
      <c r="M7" s="399" t="s">
        <v>403</v>
      </c>
      <c r="N7" s="401" t="s">
        <v>289</v>
      </c>
      <c r="O7" s="402" t="s">
        <v>404</v>
      </c>
      <c r="P7" s="399" t="s">
        <v>326</v>
      </c>
      <c r="Q7" s="403" t="s">
        <v>405</v>
      </c>
      <c r="R7" s="371"/>
      <c r="S7" s="371"/>
      <c r="T7" s="404"/>
      <c r="U7" s="405"/>
      <c r="V7" s="406"/>
      <c r="W7" s="407"/>
      <c r="X7" s="407"/>
      <c r="Y7" s="407"/>
      <c r="Z7" s="408"/>
      <c r="AA7" s="409"/>
    </row>
    <row r="8" spans="2:27" s="372" customFormat="1" ht="16" customHeight="1">
      <c r="B8" s="962" t="s">
        <v>104</v>
      </c>
      <c r="C8" s="963"/>
      <c r="D8" s="964">
        <f>SUM(D12:D49)</f>
        <v>16250.959000366</v>
      </c>
      <c r="E8" s="966">
        <f>SUM(E12:E49)</f>
        <v>1714.01</v>
      </c>
      <c r="F8" s="966">
        <f t="shared" ref="F8:Q8" si="0">SUM(F12:F49)</f>
        <v>1552.201</v>
      </c>
      <c r="G8" s="966">
        <f t="shared" si="0"/>
        <v>35.119999999999997</v>
      </c>
      <c r="H8" s="966">
        <f t="shared" si="0"/>
        <v>5030.3019999999997</v>
      </c>
      <c r="I8" s="966">
        <f t="shared" si="0"/>
        <v>0</v>
      </c>
      <c r="J8" s="966">
        <f t="shared" si="0"/>
        <v>2684.9860003660001</v>
      </c>
      <c r="K8" s="966">
        <f t="shared" si="0"/>
        <v>0</v>
      </c>
      <c r="L8" s="966">
        <f>SUM(L12:L49)</f>
        <v>12.99</v>
      </c>
      <c r="M8" s="966">
        <f t="shared" si="0"/>
        <v>0</v>
      </c>
      <c r="N8" s="966">
        <f t="shared" si="0"/>
        <v>605.03</v>
      </c>
      <c r="O8" s="966">
        <f t="shared" si="0"/>
        <v>0</v>
      </c>
      <c r="P8" s="966">
        <f t="shared" si="0"/>
        <v>4616.32</v>
      </c>
      <c r="Q8" s="968">
        <f t="shared" si="0"/>
        <v>0</v>
      </c>
      <c r="R8" s="410"/>
      <c r="S8" s="410"/>
      <c r="T8" s="411" t="s">
        <v>104</v>
      </c>
      <c r="U8" s="412"/>
      <c r="V8" s="843">
        <f>SUM(V12:V49)</f>
        <v>16250.959000366</v>
      </c>
      <c r="W8" s="413">
        <f>SUM(W12:W49)</f>
        <v>5229.0619999999999</v>
      </c>
      <c r="X8" s="413">
        <f>SUM(X12:X49)</f>
        <v>4876.3790000000008</v>
      </c>
      <c r="Y8" s="413">
        <f>SUM(Y12:Y49)</f>
        <v>2124.1880003660003</v>
      </c>
      <c r="Z8" s="414">
        <f>SUM(Z12:Z49)</f>
        <v>4021.33</v>
      </c>
      <c r="AA8" s="415"/>
    </row>
    <row r="9" spans="2:27" s="372" customFormat="1" ht="7.5" customHeight="1">
      <c r="B9" s="416"/>
      <c r="C9" s="417"/>
      <c r="D9" s="965"/>
      <c r="E9" s="967"/>
      <c r="F9" s="967"/>
      <c r="G9" s="967"/>
      <c r="H9" s="967"/>
      <c r="I9" s="967"/>
      <c r="J9" s="967"/>
      <c r="K9" s="967"/>
      <c r="L9" s="967"/>
      <c r="M9" s="967"/>
      <c r="N9" s="967"/>
      <c r="O9" s="967"/>
      <c r="P9" s="967"/>
      <c r="Q9" s="969"/>
      <c r="T9" s="416"/>
      <c r="U9" s="417"/>
      <c r="V9" s="261"/>
      <c r="W9" s="261"/>
      <c r="X9" s="261"/>
      <c r="Y9" s="261"/>
      <c r="Z9" s="418"/>
      <c r="AA9" s="419"/>
    </row>
    <row r="10" spans="2:27" s="372" customFormat="1" ht="8.15" customHeight="1">
      <c r="B10" s="420"/>
      <c r="C10" s="421"/>
      <c r="D10" s="422"/>
      <c r="E10" s="423"/>
      <c r="F10" s="423"/>
      <c r="G10" s="423"/>
      <c r="H10" s="423"/>
      <c r="I10" s="423"/>
      <c r="J10" s="423"/>
      <c r="K10" s="423"/>
      <c r="L10" s="423"/>
      <c r="M10" s="423"/>
      <c r="N10" s="423"/>
      <c r="O10" s="423"/>
      <c r="P10" s="423"/>
      <c r="Q10" s="424"/>
      <c r="T10" s="420"/>
      <c r="U10" s="421"/>
      <c r="V10" s="423"/>
      <c r="W10" s="423"/>
      <c r="X10" s="423"/>
      <c r="Y10" s="423"/>
      <c r="Z10" s="425"/>
      <c r="AA10" s="426"/>
    </row>
    <row r="11" spans="2:27" s="372" customFormat="1" ht="8.15" customHeight="1">
      <c r="B11" s="427"/>
      <c r="C11" s="839"/>
      <c r="D11" s="261"/>
      <c r="E11" s="261"/>
      <c r="F11" s="261"/>
      <c r="G11" s="261"/>
      <c r="H11" s="261"/>
      <c r="I11" s="261"/>
      <c r="J11" s="261"/>
      <c r="K11" s="261"/>
      <c r="L11" s="261"/>
      <c r="M11" s="261"/>
      <c r="N11" s="261"/>
      <c r="O11" s="261"/>
      <c r="P11" s="261"/>
      <c r="Q11" s="429"/>
      <c r="T11" s="427"/>
      <c r="U11" s="428"/>
      <c r="V11" s="261"/>
      <c r="W11" s="430"/>
      <c r="X11" s="430"/>
      <c r="Y11" s="430"/>
      <c r="Z11" s="431"/>
      <c r="AA11" s="419"/>
    </row>
    <row r="12" spans="2:27" s="372" customFormat="1" ht="13.5" customHeight="1">
      <c r="B12" s="427">
        <v>1</v>
      </c>
      <c r="C12" s="840" t="s">
        <v>137</v>
      </c>
      <c r="D12" s="270">
        <f>SUM(E12:Q12)</f>
        <v>0</v>
      </c>
      <c r="E12" s="432">
        <f>'P NP MINAPADI KAB'!AJ6/1000</f>
        <v>0</v>
      </c>
      <c r="F12" s="432">
        <f>'P NP MINAPADI KAB'!AT6/1000</f>
        <v>0</v>
      </c>
      <c r="G12" s="432">
        <f>'P NP MINAPADI KAB'!AL6/1000</f>
        <v>0</v>
      </c>
      <c r="H12" s="432">
        <f>'P NP MINAPADI KAB'!D6/1000</f>
        <v>0</v>
      </c>
      <c r="I12" s="432">
        <f>'P NP MINAPADI KAB'!AD6/1000</f>
        <v>0</v>
      </c>
      <c r="J12" s="432">
        <f>'P NP MINAPADI KAB'!AN6/1000</f>
        <v>0</v>
      </c>
      <c r="K12" s="432">
        <f>'P NP MINAPADI KAB'!P6/1000</f>
        <v>0</v>
      </c>
      <c r="L12" s="432">
        <f>'P NP MINAPADI KAB'!AP6/1000</f>
        <v>0</v>
      </c>
      <c r="M12" s="432">
        <f>'P NP MINAPADI KAB'!L6/1000</f>
        <v>0</v>
      </c>
      <c r="N12" s="432">
        <f>SUM('P NP MINAPADI KAB'!BX6/1000)</f>
        <v>0</v>
      </c>
      <c r="O12" s="432">
        <f>'P NP MINAPADI KAB'!BD6/1000</f>
        <v>0</v>
      </c>
      <c r="P12" s="432">
        <f>'P NP MINAPADI KAB'!BB6/1000</f>
        <v>0</v>
      </c>
      <c r="Q12" s="433">
        <f>SUM('P NP MINAPADI KAB'!BF6/1000)</f>
        <v>0</v>
      </c>
      <c r="T12" s="427">
        <v>1</v>
      </c>
      <c r="U12" s="840" t="s">
        <v>137</v>
      </c>
      <c r="V12" s="434">
        <f>SUM(W12:Z12)</f>
        <v>0</v>
      </c>
      <c r="W12" s="435">
        <f>'P NP TW'!AW7/1000</f>
        <v>0</v>
      </c>
      <c r="X12" s="435">
        <f>'P NP TW'!AY7/1000</f>
        <v>0</v>
      </c>
      <c r="Y12" s="435">
        <f>'P NP TW'!BA7/1000</f>
        <v>0</v>
      </c>
      <c r="Z12" s="435">
        <f>'P NP TW'!BC7/1000</f>
        <v>0</v>
      </c>
      <c r="AA12" s="419"/>
    </row>
    <row r="13" spans="2:27" s="372" customFormat="1" ht="14.5">
      <c r="B13" s="436">
        <v>2</v>
      </c>
      <c r="C13" s="840" t="s">
        <v>121</v>
      </c>
      <c r="D13" s="270">
        <f t="shared" ref="D13:D49" si="1">SUM(E13:Q13)</f>
        <v>68.204999999999998</v>
      </c>
      <c r="E13" s="432">
        <f>'P NP MINAPADI KAB'!AJ7/1000</f>
        <v>33.545000000000002</v>
      </c>
      <c r="F13" s="432">
        <f>'P NP MINAPADI KAB'!AT7/1000</f>
        <v>0</v>
      </c>
      <c r="G13" s="432">
        <f>'P NP MINAPADI KAB'!AL7/1000</f>
        <v>0</v>
      </c>
      <c r="H13" s="432">
        <f>'P NP MINAPADI KAB'!D7/1000</f>
        <v>0</v>
      </c>
      <c r="I13" s="432">
        <f>'P NP MINAPADI KAB'!AD7/1000</f>
        <v>0</v>
      </c>
      <c r="J13" s="432">
        <f>'P NP MINAPADI KAB'!AN7/1000</f>
        <v>34.659999999999997</v>
      </c>
      <c r="K13" s="432">
        <f>'P NP MINAPADI KAB'!P7/1000</f>
        <v>0</v>
      </c>
      <c r="L13" s="432">
        <f>'P NP MINAPADI KAB'!AP7/1000</f>
        <v>0</v>
      </c>
      <c r="M13" s="432">
        <f>'P NP MINAPADI KAB'!L7/1000</f>
        <v>0</v>
      </c>
      <c r="N13" s="432">
        <f>SUM('P NP MINAPADI KAB'!BX7/1000)</f>
        <v>0</v>
      </c>
      <c r="O13" s="432">
        <f>'P NP MINAPADI KAB'!BD7/1000</f>
        <v>0</v>
      </c>
      <c r="P13" s="432">
        <f>'P NP MINAPADI KAB'!BB7/1000</f>
        <v>0</v>
      </c>
      <c r="Q13" s="433">
        <f>SUM('P NP MINAPADI KAB'!BF7/1000)</f>
        <v>0</v>
      </c>
      <c r="R13" s="389"/>
      <c r="S13" s="389"/>
      <c r="T13" s="436">
        <v>2</v>
      </c>
      <c r="U13" s="840" t="s">
        <v>121</v>
      </c>
      <c r="V13" s="261">
        <f>SUM(W13:Z13)</f>
        <v>68.204999999999998</v>
      </c>
      <c r="W13" s="435">
        <f>'P NP TW'!AW8/1000</f>
        <v>18.739999999999998</v>
      </c>
      <c r="X13" s="435">
        <f>'P NP TW'!AY8/1000</f>
        <v>15.95</v>
      </c>
      <c r="Y13" s="435">
        <f>'P NP TW'!BA8/1000</f>
        <v>17.28</v>
      </c>
      <c r="Z13" s="435">
        <f>'P NP TW'!BC8/1000</f>
        <v>16.234999999999999</v>
      </c>
      <c r="AA13" s="437" t="s">
        <v>406</v>
      </c>
    </row>
    <row r="14" spans="2:27" s="372" customFormat="1" ht="14">
      <c r="B14" s="427">
        <v>3</v>
      </c>
      <c r="C14" s="840" t="s">
        <v>116</v>
      </c>
      <c r="D14" s="270">
        <f t="shared" si="1"/>
        <v>1.82</v>
      </c>
      <c r="E14" s="432">
        <f>'P NP MINAPADI KAB'!AJ8/1000</f>
        <v>0</v>
      </c>
      <c r="F14" s="432">
        <f>'P NP MINAPADI KAB'!AT8/1000</f>
        <v>0</v>
      </c>
      <c r="G14" s="432">
        <f>'P NP MINAPADI KAB'!AL8/1000</f>
        <v>0</v>
      </c>
      <c r="H14" s="432">
        <f>'P NP MINAPADI KAB'!D8/1000</f>
        <v>0</v>
      </c>
      <c r="I14" s="432">
        <f>'P NP MINAPADI KAB'!AD8/1000</f>
        <v>0</v>
      </c>
      <c r="J14" s="432">
        <f>'P NP MINAPADI KAB'!AN8/1000</f>
        <v>1.82</v>
      </c>
      <c r="K14" s="432">
        <f>'P NP MINAPADI KAB'!P8/1000</f>
        <v>0</v>
      </c>
      <c r="L14" s="432">
        <f>'P NP MINAPADI KAB'!AP8/1000</f>
        <v>0</v>
      </c>
      <c r="M14" s="432">
        <f>'P NP MINAPADI KAB'!L8/1000</f>
        <v>0</v>
      </c>
      <c r="N14" s="432">
        <f>SUM('P NP MINAPADI KAB'!BX8/1000)</f>
        <v>0</v>
      </c>
      <c r="O14" s="432">
        <f>'P NP MINAPADI KAB'!BD8/1000</f>
        <v>0</v>
      </c>
      <c r="P14" s="432">
        <f>'P NP MINAPADI KAB'!BB8/1000</f>
        <v>0</v>
      </c>
      <c r="Q14" s="433">
        <f>SUM('P NP MINAPADI KAB'!BF8/1000)</f>
        <v>0</v>
      </c>
      <c r="T14" s="427">
        <v>3</v>
      </c>
      <c r="U14" s="840" t="s">
        <v>116</v>
      </c>
      <c r="V14" s="261">
        <f t="shared" ref="V14:V30" si="2">SUM(W14:Z14)</f>
        <v>1.8199999999999998</v>
      </c>
      <c r="W14" s="435">
        <f>'P NP TW'!AW9/1000</f>
        <v>0.42</v>
      </c>
      <c r="X14" s="435">
        <f>'P NP TW'!AY9/1000</f>
        <v>0.55000000000000004</v>
      </c>
      <c r="Y14" s="435">
        <f>'P NP TW'!BA9/1000</f>
        <v>0.47</v>
      </c>
      <c r="Z14" s="435">
        <f>'P NP TW'!BC9/1000</f>
        <v>0.38</v>
      </c>
      <c r="AA14" s="419"/>
    </row>
    <row r="15" spans="2:27" s="372" customFormat="1" ht="14">
      <c r="B15" s="436">
        <v>4</v>
      </c>
      <c r="C15" s="840" t="s">
        <v>133</v>
      </c>
      <c r="D15" s="270">
        <f t="shared" si="1"/>
        <v>84.222000000000008</v>
      </c>
      <c r="E15" s="432">
        <f>'P NP MINAPADI KAB'!AJ9/1000</f>
        <v>2.3279999999999998</v>
      </c>
      <c r="F15" s="432">
        <f>'P NP MINAPADI KAB'!AT9/1000</f>
        <v>17.321000000000002</v>
      </c>
      <c r="G15" s="432">
        <f>'P NP MINAPADI KAB'!AL9/1000</f>
        <v>0</v>
      </c>
      <c r="H15" s="432">
        <f>'P NP MINAPADI KAB'!D9/1000</f>
        <v>17.731999999999999</v>
      </c>
      <c r="I15" s="432">
        <f>'P NP MINAPADI KAB'!AD9/1000</f>
        <v>0</v>
      </c>
      <c r="J15" s="432">
        <f>'P NP MINAPADI KAB'!AN9/1000</f>
        <v>46.841000000000001</v>
      </c>
      <c r="K15" s="432">
        <f>'P NP MINAPADI KAB'!P9/1000</f>
        <v>0</v>
      </c>
      <c r="L15" s="432">
        <f>'P NP MINAPADI KAB'!AP9/1000</f>
        <v>0</v>
      </c>
      <c r="M15" s="432">
        <f>'P NP MINAPADI KAB'!L9/1000</f>
        <v>0</v>
      </c>
      <c r="N15" s="432">
        <f>SUM('P NP MINAPADI KAB'!BX9/1000)</f>
        <v>0</v>
      </c>
      <c r="O15" s="432">
        <f>'P NP MINAPADI KAB'!BD9/1000</f>
        <v>0</v>
      </c>
      <c r="P15" s="432">
        <f>'P NP MINAPADI KAB'!BB9/1000</f>
        <v>0</v>
      </c>
      <c r="Q15" s="433">
        <f>SUM('P NP MINAPADI KAB'!BF9/1000)</f>
        <v>0</v>
      </c>
      <c r="T15" s="436">
        <v>4</v>
      </c>
      <c r="U15" s="840" t="s">
        <v>133</v>
      </c>
      <c r="V15" s="261">
        <f t="shared" si="2"/>
        <v>84.221999999999994</v>
      </c>
      <c r="W15" s="435">
        <f>'P NP TW'!AW10/1000</f>
        <v>56.771999999999998</v>
      </c>
      <c r="X15" s="435">
        <f>'P NP TW'!AY10/1000</f>
        <v>23.055</v>
      </c>
      <c r="Y15" s="435">
        <f>'P NP TW'!BA10/1000</f>
        <v>1.3029999999999999</v>
      </c>
      <c r="Z15" s="435">
        <f>'P NP TW'!BC10/1000</f>
        <v>3.0920000000000001</v>
      </c>
      <c r="AA15" s="419"/>
    </row>
    <row r="16" spans="2:27" s="372" customFormat="1" ht="14">
      <c r="B16" s="427">
        <v>5</v>
      </c>
      <c r="C16" s="841" t="s">
        <v>122</v>
      </c>
      <c r="D16" s="270">
        <f t="shared" si="1"/>
        <v>0</v>
      </c>
      <c r="E16" s="432">
        <f>'P NP MINAPADI KAB'!AJ10/1000</f>
        <v>0</v>
      </c>
      <c r="F16" s="432">
        <f>'P NP MINAPADI KAB'!AT10/1000</f>
        <v>0</v>
      </c>
      <c r="G16" s="432">
        <f>'P NP MINAPADI KAB'!AL10/1000</f>
        <v>0</v>
      </c>
      <c r="H16" s="432">
        <f>'P NP MINAPADI KAB'!D10/1000</f>
        <v>0</v>
      </c>
      <c r="I16" s="432">
        <f>'P NP MINAPADI KAB'!AD10/1000</f>
        <v>0</v>
      </c>
      <c r="J16" s="432">
        <f>'P NP MINAPADI KAB'!AN10/1000</f>
        <v>0</v>
      </c>
      <c r="K16" s="432">
        <f>'P NP MINAPADI KAB'!P10/1000</f>
        <v>0</v>
      </c>
      <c r="L16" s="432">
        <f>'P NP MINAPADI KAB'!AP10/1000</f>
        <v>0</v>
      </c>
      <c r="M16" s="432">
        <f>'P NP MINAPADI KAB'!L10/1000</f>
        <v>0</v>
      </c>
      <c r="N16" s="432">
        <f>SUM('P NP MINAPADI KAB'!BX10/1000)</f>
        <v>0</v>
      </c>
      <c r="O16" s="432">
        <f>'P NP MINAPADI KAB'!BD10/1000</f>
        <v>0</v>
      </c>
      <c r="P16" s="432">
        <f>'P NP MINAPADI KAB'!BB10/1000</f>
        <v>0</v>
      </c>
      <c r="Q16" s="433">
        <f>SUM('P NP MINAPADI KAB'!BF10/1000)</f>
        <v>0</v>
      </c>
      <c r="T16" s="427">
        <v>5</v>
      </c>
      <c r="U16" s="841" t="s">
        <v>122</v>
      </c>
      <c r="V16" s="261">
        <f>SUM(W16:Z16)</f>
        <v>0</v>
      </c>
      <c r="W16" s="435">
        <f>'P NP TW'!AW11/1000</f>
        <v>0</v>
      </c>
      <c r="X16" s="435">
        <f>'P NP TW'!AY11/1000</f>
        <v>0</v>
      </c>
      <c r="Y16" s="435">
        <f>'P NP TW'!BA11/1000</f>
        <v>0</v>
      </c>
      <c r="Z16" s="435">
        <f>'P NP TW'!BC11/1000</f>
        <v>0</v>
      </c>
      <c r="AA16" s="419"/>
    </row>
    <row r="17" spans="2:27" s="372" customFormat="1" ht="14">
      <c r="B17" s="436">
        <v>6</v>
      </c>
      <c r="C17" s="841" t="s">
        <v>136</v>
      </c>
      <c r="D17" s="270">
        <f t="shared" si="1"/>
        <v>0</v>
      </c>
      <c r="E17" s="432">
        <f>'P NP MINAPADI KAB'!AJ11/1000</f>
        <v>0</v>
      </c>
      <c r="F17" s="432">
        <f>'P NP MINAPADI KAB'!AT11/1000</f>
        <v>0</v>
      </c>
      <c r="G17" s="432">
        <f>'P NP MINAPADI KAB'!AL11/1000</f>
        <v>0</v>
      </c>
      <c r="H17" s="432">
        <f>'P NP MINAPADI KAB'!D11/1000</f>
        <v>0</v>
      </c>
      <c r="I17" s="432">
        <f>'P NP MINAPADI KAB'!AD11/1000</f>
        <v>0</v>
      </c>
      <c r="J17" s="432">
        <f>'P NP MINAPADI KAB'!AN11/1000</f>
        <v>0</v>
      </c>
      <c r="K17" s="432">
        <f>'P NP MINAPADI KAB'!P11/1000</f>
        <v>0</v>
      </c>
      <c r="L17" s="432">
        <f>'P NP MINAPADI KAB'!AP11/1000</f>
        <v>0</v>
      </c>
      <c r="M17" s="432">
        <f>'P NP MINAPADI KAB'!L11/1000</f>
        <v>0</v>
      </c>
      <c r="N17" s="432">
        <f>SUM('P NP MINAPADI KAB'!BX11/1000)</f>
        <v>0</v>
      </c>
      <c r="O17" s="432">
        <f>'P NP MINAPADI KAB'!BD11/1000</f>
        <v>0</v>
      </c>
      <c r="P17" s="432">
        <f>'P NP MINAPADI KAB'!BB11/1000</f>
        <v>0</v>
      </c>
      <c r="Q17" s="433">
        <f>SUM('P NP MINAPADI KAB'!BF11/1000)</f>
        <v>0</v>
      </c>
      <c r="T17" s="436">
        <v>6</v>
      </c>
      <c r="U17" s="841" t="s">
        <v>136</v>
      </c>
      <c r="V17" s="261">
        <f t="shared" si="2"/>
        <v>0</v>
      </c>
      <c r="W17" s="435">
        <f>'P NP TW'!AW12/1000</f>
        <v>0</v>
      </c>
      <c r="X17" s="435">
        <f>'P NP TW'!AY12/1000</f>
        <v>0</v>
      </c>
      <c r="Y17" s="435">
        <f>'P NP TW'!BA12/1000</f>
        <v>0</v>
      </c>
      <c r="Z17" s="435">
        <f>'P NP TW'!BC12/1000</f>
        <v>0</v>
      </c>
      <c r="AA17" s="419"/>
    </row>
    <row r="18" spans="2:27" s="372" customFormat="1" ht="14">
      <c r="B18" s="427">
        <v>7</v>
      </c>
      <c r="C18" s="841" t="s">
        <v>120</v>
      </c>
      <c r="D18" s="270">
        <f t="shared" si="1"/>
        <v>35.722000366000003</v>
      </c>
      <c r="E18" s="432">
        <f>'P NP MINAPADI KAB'!AJ12/1000</f>
        <v>6.2169999999999996</v>
      </c>
      <c r="F18" s="432">
        <f>'P NP MINAPADI KAB'!AT12/1000</f>
        <v>0</v>
      </c>
      <c r="G18" s="432">
        <f>'P NP MINAPADI KAB'!AL12/1000</f>
        <v>0</v>
      </c>
      <c r="H18" s="432">
        <f>'P NP MINAPADI KAB'!D12/1000</f>
        <v>0</v>
      </c>
      <c r="I18" s="432">
        <f>'P NP MINAPADI KAB'!AD12/1000</f>
        <v>0</v>
      </c>
      <c r="J18" s="432">
        <f>'P NP MINAPADI KAB'!AN12/1000</f>
        <v>29.505000366000001</v>
      </c>
      <c r="K18" s="432">
        <f>'P NP MINAPADI KAB'!P12/1000</f>
        <v>0</v>
      </c>
      <c r="L18" s="432">
        <f>'P NP MINAPADI KAB'!AP12/1000</f>
        <v>0</v>
      </c>
      <c r="M18" s="432">
        <f>'P NP MINAPADI KAB'!L12/1000</f>
        <v>0</v>
      </c>
      <c r="N18" s="432">
        <f>SUM('P NP MINAPADI KAB'!BX12/1000)</f>
        <v>0</v>
      </c>
      <c r="O18" s="432">
        <f>'P NP MINAPADI KAB'!BD12/1000</f>
        <v>0</v>
      </c>
      <c r="P18" s="432">
        <f>'P NP MINAPADI KAB'!BB12/1000</f>
        <v>0</v>
      </c>
      <c r="Q18" s="433">
        <f>SUM('P NP MINAPADI KAB'!BF12/1000)</f>
        <v>0</v>
      </c>
      <c r="T18" s="427">
        <v>7</v>
      </c>
      <c r="U18" s="841" t="s">
        <v>120</v>
      </c>
      <c r="V18" s="261">
        <f t="shared" si="2"/>
        <v>35.722000365999996</v>
      </c>
      <c r="W18" s="435">
        <f>'P NP TW'!AW13/1000</f>
        <v>16.399999999999999</v>
      </c>
      <c r="X18" s="435">
        <f>'P NP TW'!AY13/1000</f>
        <v>7.3540000000000001</v>
      </c>
      <c r="Y18" s="435">
        <f>'P NP TW'!BA13/1000</f>
        <v>5.545000366</v>
      </c>
      <c r="Z18" s="435">
        <f>'P NP TW'!BC13/1000</f>
        <v>6.423</v>
      </c>
      <c r="AA18" s="419"/>
    </row>
    <row r="19" spans="2:27" s="372" customFormat="1" ht="14">
      <c r="B19" s="436">
        <v>8</v>
      </c>
      <c r="C19" s="841" t="s">
        <v>128</v>
      </c>
      <c r="D19" s="270">
        <f t="shared" si="1"/>
        <v>0</v>
      </c>
      <c r="E19" s="432">
        <f>'P NP MINAPADI KAB'!AJ13/1000</f>
        <v>0</v>
      </c>
      <c r="F19" s="432">
        <f>'P NP MINAPADI KAB'!AT13/1000</f>
        <v>0</v>
      </c>
      <c r="G19" s="432">
        <f>'P NP MINAPADI KAB'!AL13/1000</f>
        <v>0</v>
      </c>
      <c r="H19" s="432">
        <f>'P NP MINAPADI KAB'!D13/1000</f>
        <v>0</v>
      </c>
      <c r="I19" s="432">
        <f>'P NP MINAPADI KAB'!AD13/1000</f>
        <v>0</v>
      </c>
      <c r="J19" s="432">
        <f>'P NP MINAPADI KAB'!AN13/1000</f>
        <v>0</v>
      </c>
      <c r="K19" s="432">
        <f>'P NP MINAPADI KAB'!P13/1000</f>
        <v>0</v>
      </c>
      <c r="L19" s="432">
        <f>'P NP MINAPADI KAB'!AP13/1000</f>
        <v>0</v>
      </c>
      <c r="M19" s="432">
        <f>'P NP MINAPADI KAB'!L13/1000</f>
        <v>0</v>
      </c>
      <c r="N19" s="432">
        <f>SUM('P NP MINAPADI KAB'!BX13/1000)</f>
        <v>0</v>
      </c>
      <c r="O19" s="432">
        <f>'P NP MINAPADI KAB'!BD13/1000</f>
        <v>0</v>
      </c>
      <c r="P19" s="432">
        <f>'P NP MINAPADI KAB'!BB13/1000</f>
        <v>0</v>
      </c>
      <c r="Q19" s="433">
        <f>SUM('P NP MINAPADI KAB'!BF13/1000)</f>
        <v>0</v>
      </c>
      <c r="T19" s="436">
        <v>8</v>
      </c>
      <c r="U19" s="841" t="s">
        <v>128</v>
      </c>
      <c r="V19" s="261">
        <f t="shared" si="2"/>
        <v>0</v>
      </c>
      <c r="W19" s="435">
        <f>'P NP TW'!AW14/1000</f>
        <v>0</v>
      </c>
      <c r="X19" s="435">
        <f>'P NP TW'!AY14/1000</f>
        <v>0</v>
      </c>
      <c r="Y19" s="435">
        <f>'P NP TW'!BA14/1000</f>
        <v>0</v>
      </c>
      <c r="Z19" s="435">
        <f>'P NP TW'!BC14/1000</f>
        <v>0</v>
      </c>
      <c r="AA19" s="419"/>
    </row>
    <row r="20" spans="2:27" s="372" customFormat="1" ht="14">
      <c r="B20" s="427">
        <v>9</v>
      </c>
      <c r="C20" s="841" t="s">
        <v>117</v>
      </c>
      <c r="D20" s="270">
        <f t="shared" si="1"/>
        <v>0</v>
      </c>
      <c r="E20" s="432">
        <f>'P NP MINAPADI KAB'!AJ14/1000</f>
        <v>0</v>
      </c>
      <c r="F20" s="432">
        <f>'P NP MINAPADI KAB'!AT14/1000</f>
        <v>0</v>
      </c>
      <c r="G20" s="432">
        <f>'P NP MINAPADI KAB'!AL14/1000</f>
        <v>0</v>
      </c>
      <c r="H20" s="432">
        <f>'P NP MINAPADI KAB'!D14/1000</f>
        <v>0</v>
      </c>
      <c r="I20" s="432">
        <f>'P NP MINAPADI KAB'!AD14/1000</f>
        <v>0</v>
      </c>
      <c r="J20" s="432">
        <f>'P NP MINAPADI KAB'!AN14/1000</f>
        <v>0</v>
      </c>
      <c r="K20" s="432">
        <f>'P NP MINAPADI KAB'!P14/1000</f>
        <v>0</v>
      </c>
      <c r="L20" s="432">
        <f>'P NP MINAPADI KAB'!AP14/1000</f>
        <v>0</v>
      </c>
      <c r="M20" s="432">
        <f>'P NP MINAPADI KAB'!L14/1000</f>
        <v>0</v>
      </c>
      <c r="N20" s="432">
        <f>SUM('P NP MINAPADI KAB'!BX14/1000)</f>
        <v>0</v>
      </c>
      <c r="O20" s="432">
        <f>'P NP MINAPADI KAB'!BD14/1000</f>
        <v>0</v>
      </c>
      <c r="P20" s="432">
        <f>'P NP MINAPADI KAB'!BB14/1000</f>
        <v>0</v>
      </c>
      <c r="Q20" s="433">
        <f>SUM('P NP MINAPADI KAB'!BF14/1000)</f>
        <v>0</v>
      </c>
      <c r="T20" s="427">
        <v>9</v>
      </c>
      <c r="U20" s="841" t="s">
        <v>117</v>
      </c>
      <c r="V20" s="261">
        <f t="shared" si="2"/>
        <v>0</v>
      </c>
      <c r="W20" s="435">
        <f>'P NP TW'!AW15/1000</f>
        <v>0</v>
      </c>
      <c r="X20" s="435">
        <f>'P NP TW'!AY15/1000</f>
        <v>0</v>
      </c>
      <c r="Y20" s="435">
        <f>'P NP TW'!BA15/1000</f>
        <v>0</v>
      </c>
      <c r="Z20" s="435">
        <f>'P NP TW'!BC15/1000</f>
        <v>0</v>
      </c>
      <c r="AA20" s="419"/>
    </row>
    <row r="21" spans="2:27" s="372" customFormat="1" ht="14">
      <c r="B21" s="436">
        <v>10</v>
      </c>
      <c r="C21" s="841" t="s">
        <v>135</v>
      </c>
      <c r="D21" s="270">
        <f t="shared" si="1"/>
        <v>0</v>
      </c>
      <c r="E21" s="432">
        <f>'P NP MINAPADI KAB'!AJ15/1000</f>
        <v>0</v>
      </c>
      <c r="F21" s="432">
        <f>'P NP MINAPADI KAB'!AT15/1000</f>
        <v>0</v>
      </c>
      <c r="G21" s="432">
        <f>'P NP MINAPADI KAB'!AL15/1000</f>
        <v>0</v>
      </c>
      <c r="H21" s="432">
        <f>'P NP MINAPADI KAB'!D15/1000</f>
        <v>0</v>
      </c>
      <c r="I21" s="432">
        <f>'P NP MINAPADI KAB'!AD15/1000</f>
        <v>0</v>
      </c>
      <c r="J21" s="432">
        <f>'P NP MINAPADI KAB'!AN15/1000</f>
        <v>0</v>
      </c>
      <c r="K21" s="432">
        <f>'P NP MINAPADI KAB'!P15/1000</f>
        <v>0</v>
      </c>
      <c r="L21" s="432">
        <f>'P NP MINAPADI KAB'!AP15/1000</f>
        <v>0</v>
      </c>
      <c r="M21" s="432">
        <f>'P NP MINAPADI KAB'!L15/1000</f>
        <v>0</v>
      </c>
      <c r="N21" s="432">
        <f>SUM('P NP MINAPADI KAB'!BX15/1000)</f>
        <v>0</v>
      </c>
      <c r="O21" s="432">
        <f>'P NP MINAPADI KAB'!BD15/1000</f>
        <v>0</v>
      </c>
      <c r="P21" s="432">
        <f>'P NP MINAPADI KAB'!BB15/1000</f>
        <v>0</v>
      </c>
      <c r="Q21" s="433">
        <f>SUM('P NP MINAPADI KAB'!BF15/1000)</f>
        <v>0</v>
      </c>
      <c r="T21" s="436">
        <v>10</v>
      </c>
      <c r="U21" s="841" t="s">
        <v>135</v>
      </c>
      <c r="V21" s="261">
        <f t="shared" si="2"/>
        <v>0</v>
      </c>
      <c r="W21" s="435">
        <f>'P NP TW'!AW16/1000</f>
        <v>0</v>
      </c>
      <c r="X21" s="435">
        <f>'P NP TW'!AY16/1000</f>
        <v>0</v>
      </c>
      <c r="Y21" s="435">
        <f>'P NP TW'!BA16/1000</f>
        <v>0</v>
      </c>
      <c r="Z21" s="435">
        <f>'P NP TW'!BC16/1000</f>
        <v>0</v>
      </c>
      <c r="AA21" s="419"/>
    </row>
    <row r="22" spans="2:27" s="372" customFormat="1" ht="14">
      <c r="B22" s="427">
        <v>11</v>
      </c>
      <c r="C22" s="841" t="s">
        <v>119</v>
      </c>
      <c r="D22" s="270">
        <f t="shared" si="1"/>
        <v>0</v>
      </c>
      <c r="E22" s="432">
        <f>'P NP MINAPADI KAB'!AJ16/1000</f>
        <v>0</v>
      </c>
      <c r="F22" s="432">
        <f>'P NP MINAPADI KAB'!AT16/1000</f>
        <v>0</v>
      </c>
      <c r="G22" s="432">
        <f>'P NP MINAPADI KAB'!AL16/1000</f>
        <v>0</v>
      </c>
      <c r="H22" s="432">
        <f>'P NP MINAPADI KAB'!D16/1000</f>
        <v>0</v>
      </c>
      <c r="I22" s="432">
        <f>'P NP MINAPADI KAB'!AD16/1000</f>
        <v>0</v>
      </c>
      <c r="J22" s="432">
        <f>'P NP MINAPADI KAB'!AN16/1000</f>
        <v>0</v>
      </c>
      <c r="K22" s="432">
        <f>'P NP MINAPADI KAB'!P16/1000</f>
        <v>0</v>
      </c>
      <c r="L22" s="432">
        <f>'P NP MINAPADI KAB'!AP16/1000</f>
        <v>0</v>
      </c>
      <c r="M22" s="432">
        <f>'P NP MINAPADI KAB'!L16/1000</f>
        <v>0</v>
      </c>
      <c r="N22" s="432">
        <f>SUM('P NP MINAPADI KAB'!BX16/1000)</f>
        <v>0</v>
      </c>
      <c r="O22" s="432">
        <f>'P NP MINAPADI KAB'!BD16/1000</f>
        <v>0</v>
      </c>
      <c r="P22" s="432">
        <f>'P NP MINAPADI KAB'!BB16/1000</f>
        <v>0</v>
      </c>
      <c r="Q22" s="433">
        <f>SUM('P NP MINAPADI KAB'!BF16/1000)</f>
        <v>0</v>
      </c>
      <c r="T22" s="427">
        <v>11</v>
      </c>
      <c r="U22" s="841" t="s">
        <v>119</v>
      </c>
      <c r="V22" s="261">
        <f t="shared" si="2"/>
        <v>0</v>
      </c>
      <c r="W22" s="435">
        <f>'P NP TW'!AW17/1000</f>
        <v>0</v>
      </c>
      <c r="X22" s="435">
        <f>'P NP TW'!AY17/1000</f>
        <v>0</v>
      </c>
      <c r="Y22" s="435">
        <f>'P NP TW'!BA17/1000</f>
        <v>0</v>
      </c>
      <c r="Z22" s="435">
        <f>'P NP TW'!BC17/1000</f>
        <v>0</v>
      </c>
      <c r="AA22" s="419"/>
    </row>
    <row r="23" spans="2:27" s="372" customFormat="1" ht="14">
      <c r="B23" s="436">
        <v>12</v>
      </c>
      <c r="C23" s="841" t="s">
        <v>130</v>
      </c>
      <c r="D23" s="270">
        <f t="shared" si="1"/>
        <v>0</v>
      </c>
      <c r="E23" s="432">
        <f>'P NP MINAPADI KAB'!AJ17/1000</f>
        <v>0</v>
      </c>
      <c r="F23" s="432">
        <f>'P NP MINAPADI KAB'!AT17/1000</f>
        <v>0</v>
      </c>
      <c r="G23" s="432">
        <f>'P NP MINAPADI KAB'!AL17/1000</f>
        <v>0</v>
      </c>
      <c r="H23" s="432">
        <f>'P NP MINAPADI KAB'!D17/1000</f>
        <v>0</v>
      </c>
      <c r="I23" s="432">
        <f>'P NP MINAPADI KAB'!AD17/1000</f>
        <v>0</v>
      </c>
      <c r="J23" s="432">
        <f>'P NP MINAPADI KAB'!AN17/1000</f>
        <v>0</v>
      </c>
      <c r="K23" s="432">
        <f>'P NP MINAPADI KAB'!P17/1000</f>
        <v>0</v>
      </c>
      <c r="L23" s="432">
        <f>'P NP MINAPADI KAB'!AP17/1000</f>
        <v>0</v>
      </c>
      <c r="M23" s="432">
        <f>'P NP MINAPADI KAB'!L17/1000</f>
        <v>0</v>
      </c>
      <c r="N23" s="432">
        <f>SUM('P NP MINAPADI KAB'!BX17/1000)</f>
        <v>0</v>
      </c>
      <c r="O23" s="432">
        <f>'P NP MINAPADI KAB'!BD17/1000</f>
        <v>0</v>
      </c>
      <c r="P23" s="432">
        <f>'P NP MINAPADI KAB'!BB17/1000</f>
        <v>0</v>
      </c>
      <c r="Q23" s="433">
        <f>SUM('P NP MINAPADI KAB'!BF17/1000)</f>
        <v>0</v>
      </c>
      <c r="T23" s="436">
        <v>12</v>
      </c>
      <c r="U23" s="841" t="s">
        <v>130</v>
      </c>
      <c r="V23" s="261">
        <f t="shared" si="2"/>
        <v>0</v>
      </c>
      <c r="W23" s="435">
        <f>'P NP TW'!AW18/1000</f>
        <v>0</v>
      </c>
      <c r="X23" s="435">
        <f>'P NP TW'!AY18/1000</f>
        <v>0</v>
      </c>
      <c r="Y23" s="435">
        <f>'P NP TW'!BA18/1000</f>
        <v>0</v>
      </c>
      <c r="Z23" s="435">
        <f>'P NP TW'!BC18/1000</f>
        <v>0</v>
      </c>
      <c r="AA23" s="419"/>
    </row>
    <row r="24" spans="2:27" s="372" customFormat="1" ht="14">
      <c r="B24" s="427">
        <v>13</v>
      </c>
      <c r="C24" s="841" t="s">
        <v>131</v>
      </c>
      <c r="D24" s="270">
        <f t="shared" si="1"/>
        <v>0</v>
      </c>
      <c r="E24" s="432">
        <f>'P NP MINAPADI KAB'!AJ18/1000</f>
        <v>0</v>
      </c>
      <c r="F24" s="432">
        <f>'P NP MINAPADI KAB'!AT18/1000</f>
        <v>0</v>
      </c>
      <c r="G24" s="432">
        <f>'P NP MINAPADI KAB'!AL18/1000</f>
        <v>0</v>
      </c>
      <c r="H24" s="432">
        <f>'P NP MINAPADI KAB'!D18/1000</f>
        <v>0</v>
      </c>
      <c r="I24" s="432">
        <f>'P NP MINAPADI KAB'!AD18/1000</f>
        <v>0</v>
      </c>
      <c r="J24" s="432">
        <f>'P NP MINAPADI KAB'!AN18/1000</f>
        <v>0</v>
      </c>
      <c r="K24" s="432">
        <f>'P NP MINAPADI KAB'!P18/1000</f>
        <v>0</v>
      </c>
      <c r="L24" s="432">
        <f>'P NP MINAPADI KAB'!AP18/1000</f>
        <v>0</v>
      </c>
      <c r="M24" s="432">
        <f>'P NP MINAPADI KAB'!L18/1000</f>
        <v>0</v>
      </c>
      <c r="N24" s="432">
        <f>SUM('P NP MINAPADI KAB'!BX18/1000)</f>
        <v>0</v>
      </c>
      <c r="O24" s="432">
        <f>'P NP MINAPADI KAB'!BD18/1000</f>
        <v>0</v>
      </c>
      <c r="P24" s="432">
        <f>'P NP MINAPADI KAB'!BB18/1000</f>
        <v>0</v>
      </c>
      <c r="Q24" s="433">
        <f>SUM('P NP MINAPADI KAB'!BF18/1000)</f>
        <v>0</v>
      </c>
      <c r="T24" s="427">
        <v>13</v>
      </c>
      <c r="U24" s="841" t="s">
        <v>131</v>
      </c>
      <c r="V24" s="261">
        <f t="shared" si="2"/>
        <v>0</v>
      </c>
      <c r="W24" s="435">
        <f>'P NP TW'!AW19/1000</f>
        <v>0</v>
      </c>
      <c r="X24" s="435">
        <f>'P NP TW'!AY19/1000</f>
        <v>0</v>
      </c>
      <c r="Y24" s="435">
        <f>'P NP TW'!BA19/1000</f>
        <v>0</v>
      </c>
      <c r="Z24" s="435">
        <f>'P NP TW'!BC19/1000</f>
        <v>0</v>
      </c>
      <c r="AA24" s="419"/>
    </row>
    <row r="25" spans="2:27" s="372" customFormat="1" ht="14">
      <c r="B25" s="436">
        <v>14</v>
      </c>
      <c r="C25" s="841" t="s">
        <v>118</v>
      </c>
      <c r="D25" s="270">
        <f t="shared" si="1"/>
        <v>0</v>
      </c>
      <c r="E25" s="432">
        <f>'P NP MINAPADI KAB'!AJ19/1000</f>
        <v>0</v>
      </c>
      <c r="F25" s="432">
        <f>'P NP MINAPADI KAB'!AT19/1000</f>
        <v>0</v>
      </c>
      <c r="G25" s="432">
        <f>'P NP MINAPADI KAB'!AL19/1000</f>
        <v>0</v>
      </c>
      <c r="H25" s="432">
        <f>'P NP MINAPADI KAB'!D19/1000</f>
        <v>0</v>
      </c>
      <c r="I25" s="432">
        <f>'P NP MINAPADI KAB'!AD19/1000</f>
        <v>0</v>
      </c>
      <c r="J25" s="432">
        <f>'P NP MINAPADI KAB'!AN19/1000</f>
        <v>0</v>
      </c>
      <c r="K25" s="432">
        <f>'P NP MINAPADI KAB'!P19/1000</f>
        <v>0</v>
      </c>
      <c r="L25" s="432">
        <f>'P NP MINAPADI KAB'!AP19/1000</f>
        <v>0</v>
      </c>
      <c r="M25" s="432">
        <f>'P NP MINAPADI KAB'!L19/1000</f>
        <v>0</v>
      </c>
      <c r="N25" s="432">
        <f>SUM('P NP MINAPADI KAB'!BX19/1000)</f>
        <v>0</v>
      </c>
      <c r="O25" s="432">
        <f>'P NP MINAPADI KAB'!BD19/1000</f>
        <v>0</v>
      </c>
      <c r="P25" s="432">
        <f>'P NP MINAPADI KAB'!BB19/1000</f>
        <v>0</v>
      </c>
      <c r="Q25" s="433">
        <f>SUM('P NP MINAPADI KAB'!BF19/1000)</f>
        <v>0</v>
      </c>
      <c r="T25" s="436">
        <v>14</v>
      </c>
      <c r="U25" s="841" t="s">
        <v>118</v>
      </c>
      <c r="V25" s="261">
        <f t="shared" si="2"/>
        <v>0</v>
      </c>
      <c r="W25" s="435">
        <f>'P NP TW'!AW20/1000</f>
        <v>0</v>
      </c>
      <c r="X25" s="435">
        <f>'P NP TW'!AY20/1000</f>
        <v>0</v>
      </c>
      <c r="Y25" s="435">
        <f>'P NP TW'!BA20/1000</f>
        <v>0</v>
      </c>
      <c r="Z25" s="435">
        <f>'P NP TW'!BC20/1000</f>
        <v>0</v>
      </c>
      <c r="AA25" s="419"/>
    </row>
    <row r="26" spans="2:27" s="372" customFormat="1" ht="14">
      <c r="B26" s="427">
        <v>15</v>
      </c>
      <c r="C26" s="841" t="s">
        <v>127</v>
      </c>
      <c r="D26" s="270">
        <f t="shared" si="1"/>
        <v>0</v>
      </c>
      <c r="E26" s="432">
        <f>'P NP MINAPADI KAB'!AJ20/1000</f>
        <v>0</v>
      </c>
      <c r="F26" s="432">
        <f>'P NP MINAPADI KAB'!AT20/1000</f>
        <v>0</v>
      </c>
      <c r="G26" s="432">
        <f>'P NP MINAPADI KAB'!AL20/1000</f>
        <v>0</v>
      </c>
      <c r="H26" s="432">
        <f>'P NP MINAPADI KAB'!D20/1000</f>
        <v>0</v>
      </c>
      <c r="I26" s="432">
        <f>'P NP MINAPADI KAB'!AD20/1000</f>
        <v>0</v>
      </c>
      <c r="J26" s="432">
        <f>'P NP MINAPADI KAB'!AN20/1000</f>
        <v>0</v>
      </c>
      <c r="K26" s="432">
        <f>'P NP MINAPADI KAB'!P20/1000</f>
        <v>0</v>
      </c>
      <c r="L26" s="432">
        <f>'P NP MINAPADI KAB'!AP20/1000</f>
        <v>0</v>
      </c>
      <c r="M26" s="432">
        <f>'P NP MINAPADI KAB'!L20/1000</f>
        <v>0</v>
      </c>
      <c r="N26" s="432">
        <f>SUM('P NP MINAPADI KAB'!BX20/1000)</f>
        <v>0</v>
      </c>
      <c r="O26" s="432">
        <f>'P NP MINAPADI KAB'!BD20/1000</f>
        <v>0</v>
      </c>
      <c r="P26" s="432">
        <f>'P NP MINAPADI KAB'!BB20/1000</f>
        <v>0</v>
      </c>
      <c r="Q26" s="433">
        <f>SUM('P NP MINAPADI KAB'!BF20/1000)</f>
        <v>0</v>
      </c>
      <c r="T26" s="427">
        <v>15</v>
      </c>
      <c r="U26" s="841" t="s">
        <v>127</v>
      </c>
      <c r="V26" s="261">
        <f t="shared" si="2"/>
        <v>0</v>
      </c>
      <c r="W26" s="435">
        <f>'P NP TW'!AW21/1000</f>
        <v>0</v>
      </c>
      <c r="X26" s="435">
        <f>'P NP TW'!AY21/1000</f>
        <v>0</v>
      </c>
      <c r="Y26" s="435">
        <f>'P NP TW'!BA21/1000</f>
        <v>0</v>
      </c>
      <c r="Z26" s="435">
        <f>'P NP TW'!BC21/1000</f>
        <v>0</v>
      </c>
      <c r="AA26" s="419"/>
    </row>
    <row r="27" spans="2:27" s="372" customFormat="1" ht="14">
      <c r="B27" s="436">
        <v>16</v>
      </c>
      <c r="C27" s="841" t="s">
        <v>129</v>
      </c>
      <c r="D27" s="270">
        <f t="shared" si="1"/>
        <v>0</v>
      </c>
      <c r="E27" s="432">
        <f>'P NP MINAPADI KAB'!AJ21/1000</f>
        <v>0</v>
      </c>
      <c r="F27" s="432">
        <f>'P NP MINAPADI KAB'!AT21/1000</f>
        <v>0</v>
      </c>
      <c r="G27" s="432">
        <f>'P NP MINAPADI KAB'!AL21/1000</f>
        <v>0</v>
      </c>
      <c r="H27" s="432">
        <f>'P NP MINAPADI KAB'!D21/1000</f>
        <v>0</v>
      </c>
      <c r="I27" s="432">
        <f>'P NP MINAPADI KAB'!AD21/1000</f>
        <v>0</v>
      </c>
      <c r="J27" s="432">
        <f>'P NP MINAPADI KAB'!AN21/1000</f>
        <v>0</v>
      </c>
      <c r="K27" s="432">
        <f>'P NP MINAPADI KAB'!P21/1000</f>
        <v>0</v>
      </c>
      <c r="L27" s="432">
        <f>'P NP MINAPADI KAB'!AP21/1000</f>
        <v>0</v>
      </c>
      <c r="M27" s="432">
        <f>'P NP MINAPADI KAB'!L21/1000</f>
        <v>0</v>
      </c>
      <c r="N27" s="432">
        <f>SUM('P NP MINAPADI KAB'!BX21/1000)</f>
        <v>0</v>
      </c>
      <c r="O27" s="432">
        <f>'P NP MINAPADI KAB'!BD21/1000</f>
        <v>0</v>
      </c>
      <c r="P27" s="432">
        <f>'P NP MINAPADI KAB'!BB21/1000</f>
        <v>0</v>
      </c>
      <c r="Q27" s="433">
        <f>SUM('P NP MINAPADI KAB'!BF21/1000)</f>
        <v>0</v>
      </c>
      <c r="T27" s="436">
        <v>16</v>
      </c>
      <c r="U27" s="841" t="s">
        <v>129</v>
      </c>
      <c r="V27" s="261">
        <f t="shared" si="2"/>
        <v>0</v>
      </c>
      <c r="W27" s="435">
        <f>'P NP TW'!AW22/1000</f>
        <v>0</v>
      </c>
      <c r="X27" s="435">
        <f>'P NP TW'!AY22/1000</f>
        <v>0</v>
      </c>
      <c r="Y27" s="435">
        <f>'P NP TW'!BA22/1000</f>
        <v>0</v>
      </c>
      <c r="Z27" s="435">
        <f>'P NP TW'!BC22/1000</f>
        <v>0</v>
      </c>
      <c r="AA27" s="419"/>
    </row>
    <row r="28" spans="2:27" s="372" customFormat="1" ht="14">
      <c r="B28" s="427">
        <v>17</v>
      </c>
      <c r="C28" s="841" t="s">
        <v>132</v>
      </c>
      <c r="D28" s="270">
        <f t="shared" si="1"/>
        <v>0</v>
      </c>
      <c r="E28" s="432">
        <f>'P NP MINAPADI KAB'!AJ22/1000</f>
        <v>0</v>
      </c>
      <c r="F28" s="432">
        <f>'P NP MINAPADI KAB'!AT22/1000</f>
        <v>0</v>
      </c>
      <c r="G28" s="432">
        <f>'P NP MINAPADI KAB'!AL22/1000</f>
        <v>0</v>
      </c>
      <c r="H28" s="432">
        <f>'P NP MINAPADI KAB'!D22/1000</f>
        <v>0</v>
      </c>
      <c r="I28" s="432">
        <f>'P NP MINAPADI KAB'!AD22/1000</f>
        <v>0</v>
      </c>
      <c r="J28" s="432">
        <f>'P NP MINAPADI KAB'!AN22/1000</f>
        <v>0</v>
      </c>
      <c r="K28" s="432">
        <f>'P NP MINAPADI KAB'!P22/1000</f>
        <v>0</v>
      </c>
      <c r="L28" s="432">
        <f>'P NP MINAPADI KAB'!AP22/1000</f>
        <v>0</v>
      </c>
      <c r="M28" s="432">
        <f>'P NP MINAPADI KAB'!L22/1000</f>
        <v>0</v>
      </c>
      <c r="N28" s="432">
        <f>SUM('P NP MINAPADI KAB'!BX22/1000)</f>
        <v>0</v>
      </c>
      <c r="O28" s="432">
        <f>'P NP MINAPADI KAB'!BD22/1000</f>
        <v>0</v>
      </c>
      <c r="P28" s="432">
        <f>'P NP MINAPADI KAB'!BB22/1000</f>
        <v>0</v>
      </c>
      <c r="Q28" s="433">
        <f>SUM('P NP MINAPADI KAB'!BF22/1000)</f>
        <v>0</v>
      </c>
      <c r="T28" s="427">
        <v>17</v>
      </c>
      <c r="U28" s="841" t="s">
        <v>132</v>
      </c>
      <c r="V28" s="261">
        <f t="shared" si="2"/>
        <v>0</v>
      </c>
      <c r="W28" s="435">
        <f>'P NP TW'!AW23/1000</f>
        <v>0</v>
      </c>
      <c r="X28" s="435">
        <f>'P NP TW'!AY23/1000</f>
        <v>0</v>
      </c>
      <c r="Y28" s="435">
        <f>'P NP TW'!BA23/1000</f>
        <v>0</v>
      </c>
      <c r="Z28" s="435">
        <f>'P NP TW'!BC23/1000</f>
        <v>0</v>
      </c>
      <c r="AA28" s="419"/>
    </row>
    <row r="29" spans="2:27" s="372" customFormat="1" ht="14">
      <c r="B29" s="436">
        <v>18</v>
      </c>
      <c r="C29" s="841" t="s">
        <v>112</v>
      </c>
      <c r="D29" s="270">
        <f t="shared" si="1"/>
        <v>0</v>
      </c>
      <c r="E29" s="432">
        <f>'P NP MINAPADI KAB'!AJ23/1000</f>
        <v>0</v>
      </c>
      <c r="F29" s="432">
        <f>'P NP MINAPADI KAB'!AT23/1000</f>
        <v>0</v>
      </c>
      <c r="G29" s="432">
        <f>'P NP MINAPADI KAB'!AL23/1000</f>
        <v>0</v>
      </c>
      <c r="H29" s="432">
        <f>'P NP MINAPADI KAB'!D23/1000</f>
        <v>0</v>
      </c>
      <c r="I29" s="432">
        <f>'P NP MINAPADI KAB'!AD23/1000</f>
        <v>0</v>
      </c>
      <c r="J29" s="432">
        <f>'P NP MINAPADI KAB'!AN23/1000</f>
        <v>0</v>
      </c>
      <c r="K29" s="432">
        <f>'P NP MINAPADI KAB'!P23/1000</f>
        <v>0</v>
      </c>
      <c r="L29" s="432">
        <f>'P NP MINAPADI KAB'!AP23/1000</f>
        <v>0</v>
      </c>
      <c r="M29" s="432">
        <f>'P NP MINAPADI KAB'!L23/1000</f>
        <v>0</v>
      </c>
      <c r="N29" s="432">
        <f>SUM('P NP MINAPADI KAB'!BX23/1000)</f>
        <v>0</v>
      </c>
      <c r="O29" s="432">
        <f>'P NP MINAPADI KAB'!BD23/1000</f>
        <v>0</v>
      </c>
      <c r="P29" s="432">
        <f>'P NP MINAPADI KAB'!BB23/1000</f>
        <v>0</v>
      </c>
      <c r="Q29" s="433">
        <f>SUM('P NP MINAPADI KAB'!BF23/1000)</f>
        <v>0</v>
      </c>
      <c r="T29" s="436">
        <v>18</v>
      </c>
      <c r="U29" s="841" t="s">
        <v>112</v>
      </c>
      <c r="V29" s="261">
        <f>SUM(W29:Z29)</f>
        <v>0</v>
      </c>
      <c r="W29" s="435">
        <f>'P NP TW'!AW24/1000</f>
        <v>0</v>
      </c>
      <c r="X29" s="435">
        <f>'P NP TW'!AY24/1000</f>
        <v>0</v>
      </c>
      <c r="Y29" s="435">
        <f>'P NP TW'!BA24/1000</f>
        <v>0</v>
      </c>
      <c r="Z29" s="435">
        <f>'P NP TW'!BC24/1000</f>
        <v>0</v>
      </c>
      <c r="AA29" s="419"/>
    </row>
    <row r="30" spans="2:27" s="372" customFormat="1" ht="14">
      <c r="B30" s="427">
        <v>19</v>
      </c>
      <c r="C30" s="841" t="s">
        <v>139</v>
      </c>
      <c r="D30" s="270">
        <f t="shared" si="1"/>
        <v>0</v>
      </c>
      <c r="E30" s="432">
        <f>'P NP MINAPADI KAB'!AJ24/1000</f>
        <v>0</v>
      </c>
      <c r="F30" s="432">
        <f>'P NP MINAPADI KAB'!AT24/1000</f>
        <v>0</v>
      </c>
      <c r="G30" s="432">
        <f>'P NP MINAPADI KAB'!AL24/1000</f>
        <v>0</v>
      </c>
      <c r="H30" s="432">
        <f>'P NP MINAPADI KAB'!D24/1000</f>
        <v>0</v>
      </c>
      <c r="I30" s="432">
        <f>'P NP MINAPADI KAB'!AD24/1000</f>
        <v>0</v>
      </c>
      <c r="J30" s="432">
        <f>'P NP MINAPADI KAB'!AN24/1000</f>
        <v>0</v>
      </c>
      <c r="K30" s="432">
        <f>'P NP MINAPADI KAB'!P24/1000</f>
        <v>0</v>
      </c>
      <c r="L30" s="432">
        <f>'P NP MINAPADI KAB'!AP24/1000</f>
        <v>0</v>
      </c>
      <c r="M30" s="432">
        <f>'P NP MINAPADI KAB'!L24/1000</f>
        <v>0</v>
      </c>
      <c r="N30" s="432">
        <f>SUM('P NP MINAPADI KAB'!BX24/1000)</f>
        <v>0</v>
      </c>
      <c r="O30" s="432">
        <f>'P NP MINAPADI KAB'!BD24/1000</f>
        <v>0</v>
      </c>
      <c r="P30" s="432">
        <f>'P NP MINAPADI KAB'!BB24/1000</f>
        <v>0</v>
      </c>
      <c r="Q30" s="433">
        <f>SUM('P NP MINAPADI KAB'!BF24/1000)</f>
        <v>0</v>
      </c>
      <c r="T30" s="427">
        <v>19</v>
      </c>
      <c r="U30" s="841" t="s">
        <v>139</v>
      </c>
      <c r="V30" s="261">
        <f t="shared" si="2"/>
        <v>0</v>
      </c>
      <c r="W30" s="435">
        <f>'P NP TW'!AW25/1000</f>
        <v>0</v>
      </c>
      <c r="X30" s="435">
        <f>'P NP TW'!AY25/1000</f>
        <v>0</v>
      </c>
      <c r="Y30" s="435">
        <f>'P NP TW'!BA25/1000</f>
        <v>0</v>
      </c>
      <c r="Z30" s="435">
        <f>'P NP TW'!BC25/1000</f>
        <v>0</v>
      </c>
      <c r="AA30" s="419"/>
    </row>
    <row r="31" spans="2:27" s="372" customFormat="1" ht="14.15" customHeight="1">
      <c r="B31" s="436">
        <v>20</v>
      </c>
      <c r="C31" s="841" t="s">
        <v>125</v>
      </c>
      <c r="D31" s="270">
        <f t="shared" si="1"/>
        <v>0</v>
      </c>
      <c r="E31" s="432">
        <f>'P NP MINAPADI KAB'!AJ25/1000</f>
        <v>0</v>
      </c>
      <c r="F31" s="432">
        <f>'P NP MINAPADI KAB'!AT25/1000</f>
        <v>0</v>
      </c>
      <c r="G31" s="432">
        <f>'P NP MINAPADI KAB'!AL25/1000</f>
        <v>0</v>
      </c>
      <c r="H31" s="432">
        <f>'P NP MINAPADI KAB'!D25/1000</f>
        <v>0</v>
      </c>
      <c r="I31" s="432">
        <f>'P NP MINAPADI KAB'!AD25/1000</f>
        <v>0</v>
      </c>
      <c r="J31" s="432">
        <f>'P NP MINAPADI KAB'!AN25/1000</f>
        <v>0</v>
      </c>
      <c r="K31" s="432">
        <f>'P NP MINAPADI KAB'!P25/1000</f>
        <v>0</v>
      </c>
      <c r="L31" s="432">
        <f>'P NP MINAPADI KAB'!AP25/1000</f>
        <v>0</v>
      </c>
      <c r="M31" s="432">
        <f>'P NP MINAPADI KAB'!L25/1000</f>
        <v>0</v>
      </c>
      <c r="N31" s="432">
        <f>SUM('P NP MINAPADI KAB'!BX25/1000)</f>
        <v>0</v>
      </c>
      <c r="O31" s="432">
        <f>'P NP MINAPADI KAB'!BD25/1000</f>
        <v>0</v>
      </c>
      <c r="P31" s="432">
        <f>'P NP MINAPADI KAB'!BB25/1000</f>
        <v>0</v>
      </c>
      <c r="Q31" s="433">
        <f>SUM('P NP MINAPADI KAB'!BF25/1000)</f>
        <v>0</v>
      </c>
      <c r="T31" s="436">
        <v>20</v>
      </c>
      <c r="U31" s="841" t="s">
        <v>125</v>
      </c>
      <c r="V31" s="261">
        <f t="shared" ref="V31:V49" si="3">SUM(W31:Z31)</f>
        <v>0</v>
      </c>
      <c r="W31" s="435">
        <f>'P NP TW'!AW26/1000</f>
        <v>0</v>
      </c>
      <c r="X31" s="435">
        <f>'P NP TW'!AY26/1000</f>
        <v>0</v>
      </c>
      <c r="Y31" s="435">
        <f>'P NP TW'!BA26/1000</f>
        <v>0</v>
      </c>
      <c r="Z31" s="435">
        <f>'P NP TW'!BC26/1000</f>
        <v>0</v>
      </c>
      <c r="AA31" s="419"/>
    </row>
    <row r="32" spans="2:27" s="372" customFormat="1" ht="14.15" customHeight="1">
      <c r="B32" s="427">
        <v>21</v>
      </c>
      <c r="C32" s="841" t="s">
        <v>113</v>
      </c>
      <c r="D32" s="270">
        <f t="shared" si="1"/>
        <v>0</v>
      </c>
      <c r="E32" s="432">
        <f>'P NP MINAPADI KAB'!AJ26/1000</f>
        <v>0</v>
      </c>
      <c r="F32" s="432">
        <f>'P NP MINAPADI KAB'!AT26/1000</f>
        <v>0</v>
      </c>
      <c r="G32" s="432">
        <f>'P NP MINAPADI KAB'!AL26/1000</f>
        <v>0</v>
      </c>
      <c r="H32" s="432">
        <f>'P NP MINAPADI KAB'!D26/1000</f>
        <v>0</v>
      </c>
      <c r="I32" s="432">
        <f>'P NP MINAPADI KAB'!AD26/1000</f>
        <v>0</v>
      </c>
      <c r="J32" s="432">
        <f>'P NP MINAPADI KAB'!AN26/1000</f>
        <v>0</v>
      </c>
      <c r="K32" s="432">
        <f>'P NP MINAPADI KAB'!P26/1000</f>
        <v>0</v>
      </c>
      <c r="L32" s="432">
        <f>'P NP MINAPADI KAB'!AP26/1000</f>
        <v>0</v>
      </c>
      <c r="M32" s="432">
        <f>'P NP MINAPADI KAB'!L26/1000</f>
        <v>0</v>
      </c>
      <c r="N32" s="432">
        <f>SUM('P NP MINAPADI KAB'!BX26/1000)</f>
        <v>0</v>
      </c>
      <c r="O32" s="432">
        <f>'P NP MINAPADI KAB'!BD26/1000</f>
        <v>0</v>
      </c>
      <c r="P32" s="432">
        <f>'P NP MINAPADI KAB'!BB26/1000</f>
        <v>0</v>
      </c>
      <c r="Q32" s="433">
        <f>SUM('P NP MINAPADI KAB'!BF26/1000)</f>
        <v>0</v>
      </c>
      <c r="T32" s="427">
        <v>21</v>
      </c>
      <c r="U32" s="841" t="s">
        <v>113</v>
      </c>
      <c r="V32" s="261">
        <f t="shared" si="3"/>
        <v>0</v>
      </c>
      <c r="W32" s="435">
        <f>'P NP TW'!AW27/1000</f>
        <v>0</v>
      </c>
      <c r="X32" s="435">
        <f>'P NP TW'!AY27/1000</f>
        <v>0</v>
      </c>
      <c r="Y32" s="435">
        <f>'P NP TW'!BA27/1000</f>
        <v>0</v>
      </c>
      <c r="Z32" s="435">
        <f>'P NP TW'!BC27/1000</f>
        <v>0</v>
      </c>
      <c r="AA32" s="419"/>
    </row>
    <row r="33" spans="2:27" s="372" customFormat="1" ht="14.15" customHeight="1">
      <c r="B33" s="436">
        <v>22</v>
      </c>
      <c r="C33" s="841" t="s">
        <v>124</v>
      </c>
      <c r="D33" s="270">
        <f t="shared" si="1"/>
        <v>0</v>
      </c>
      <c r="E33" s="432">
        <f>'P NP MINAPADI KAB'!AJ27/1000</f>
        <v>0</v>
      </c>
      <c r="F33" s="432">
        <f>'P NP MINAPADI KAB'!AT27/1000</f>
        <v>0</v>
      </c>
      <c r="G33" s="432">
        <f>'P NP MINAPADI KAB'!AL27/1000</f>
        <v>0</v>
      </c>
      <c r="H33" s="432">
        <f>'P NP MINAPADI KAB'!D27/1000</f>
        <v>0</v>
      </c>
      <c r="I33" s="432">
        <f>'P NP MINAPADI KAB'!AD27/1000</f>
        <v>0</v>
      </c>
      <c r="J33" s="432">
        <f>'P NP MINAPADI KAB'!AN27/1000</f>
        <v>0</v>
      </c>
      <c r="K33" s="432">
        <f>'P NP MINAPADI KAB'!P27/1000</f>
        <v>0</v>
      </c>
      <c r="L33" s="432">
        <f>'P NP MINAPADI KAB'!AP27/1000</f>
        <v>0</v>
      </c>
      <c r="M33" s="432">
        <f>'P NP MINAPADI KAB'!L27/1000</f>
        <v>0</v>
      </c>
      <c r="N33" s="432">
        <f>SUM('P NP MINAPADI KAB'!BX27/1000)</f>
        <v>0</v>
      </c>
      <c r="O33" s="432">
        <f>'P NP MINAPADI KAB'!BD27/1000</f>
        <v>0</v>
      </c>
      <c r="P33" s="432">
        <f>'P NP MINAPADI KAB'!BB27/1000</f>
        <v>0</v>
      </c>
      <c r="Q33" s="433">
        <f>SUM('P NP MINAPADI KAB'!BF27/1000)</f>
        <v>0</v>
      </c>
      <c r="T33" s="436">
        <v>22</v>
      </c>
      <c r="U33" s="841" t="s">
        <v>124</v>
      </c>
      <c r="V33" s="261">
        <f t="shared" si="3"/>
        <v>0</v>
      </c>
      <c r="W33" s="435">
        <f>'P NP TW'!AW28/1000</f>
        <v>0</v>
      </c>
      <c r="X33" s="435">
        <f>'P NP TW'!AY28/1000</f>
        <v>0</v>
      </c>
      <c r="Y33" s="435">
        <f>'P NP TW'!BA28/1000</f>
        <v>0</v>
      </c>
      <c r="Z33" s="435">
        <f>'P NP TW'!BC28/1000</f>
        <v>0</v>
      </c>
      <c r="AA33" s="419"/>
    </row>
    <row r="34" spans="2:27" s="372" customFormat="1" ht="14.15" customHeight="1">
      <c r="B34" s="427">
        <v>23</v>
      </c>
      <c r="C34" s="841" t="s">
        <v>138</v>
      </c>
      <c r="D34" s="270">
        <f t="shared" si="1"/>
        <v>0</v>
      </c>
      <c r="E34" s="432">
        <f>'P NP MINAPADI KAB'!AJ28/1000</f>
        <v>0</v>
      </c>
      <c r="F34" s="432">
        <f>'P NP MINAPADI KAB'!AT28/1000</f>
        <v>0</v>
      </c>
      <c r="G34" s="432">
        <f>'P NP MINAPADI KAB'!AL28/1000</f>
        <v>0</v>
      </c>
      <c r="H34" s="432">
        <f>'P NP MINAPADI KAB'!D28/1000</f>
        <v>0</v>
      </c>
      <c r="I34" s="432">
        <f>'P NP MINAPADI KAB'!AD28/1000</f>
        <v>0</v>
      </c>
      <c r="J34" s="432">
        <f>'P NP MINAPADI KAB'!AN28/1000</f>
        <v>0</v>
      </c>
      <c r="K34" s="432">
        <f>'P NP MINAPADI KAB'!P28/1000</f>
        <v>0</v>
      </c>
      <c r="L34" s="432">
        <f>'P NP MINAPADI KAB'!AP28/1000</f>
        <v>0</v>
      </c>
      <c r="M34" s="432">
        <f>'P NP MINAPADI KAB'!L28/1000</f>
        <v>0</v>
      </c>
      <c r="N34" s="432">
        <f>SUM('P NP MINAPADI KAB'!BX28/1000)</f>
        <v>0</v>
      </c>
      <c r="O34" s="432">
        <f>'P NP MINAPADI KAB'!BD28/1000</f>
        <v>0</v>
      </c>
      <c r="P34" s="432">
        <f>'P NP MINAPADI KAB'!BB28/1000</f>
        <v>0</v>
      </c>
      <c r="Q34" s="433">
        <f>SUM('P NP MINAPADI KAB'!BF28/1000)</f>
        <v>0</v>
      </c>
      <c r="T34" s="427">
        <v>23</v>
      </c>
      <c r="U34" s="841" t="s">
        <v>138</v>
      </c>
      <c r="V34" s="261">
        <f t="shared" si="3"/>
        <v>0</v>
      </c>
      <c r="W34" s="435">
        <f>'P NP TW'!AW29/1000</f>
        <v>0</v>
      </c>
      <c r="X34" s="435">
        <f>'P NP TW'!AY29/1000</f>
        <v>0</v>
      </c>
      <c r="Y34" s="435">
        <f>'P NP TW'!BA29/1000</f>
        <v>0</v>
      </c>
      <c r="Z34" s="435">
        <f>'P NP TW'!BC29/1000</f>
        <v>0</v>
      </c>
      <c r="AA34" s="419"/>
    </row>
    <row r="35" spans="2:27" s="372" customFormat="1" ht="14.15" customHeight="1">
      <c r="B35" s="436">
        <v>24</v>
      </c>
      <c r="C35" s="841" t="s">
        <v>126</v>
      </c>
      <c r="D35" s="270">
        <f t="shared" si="1"/>
        <v>837.9</v>
      </c>
      <c r="E35" s="432">
        <f>'P NP MINAPADI KAB'!AJ29/1000</f>
        <v>0</v>
      </c>
      <c r="F35" s="432">
        <f>'P NP MINAPADI KAB'!AT29/1000</f>
        <v>0</v>
      </c>
      <c r="G35" s="432">
        <f>'P NP MINAPADI KAB'!AL29/1000</f>
        <v>0</v>
      </c>
      <c r="H35" s="432">
        <f>'P NP MINAPADI KAB'!D29/1000</f>
        <v>0</v>
      </c>
      <c r="I35" s="432">
        <f>'P NP MINAPADI KAB'!AD29/1000</f>
        <v>0</v>
      </c>
      <c r="J35" s="432">
        <f>'P NP MINAPADI KAB'!AN29/1000</f>
        <v>771.4</v>
      </c>
      <c r="K35" s="432">
        <f>'P NP MINAPADI KAB'!P29/1000</f>
        <v>0</v>
      </c>
      <c r="L35" s="432">
        <f>'P NP MINAPADI KAB'!AP29/1000</f>
        <v>0</v>
      </c>
      <c r="M35" s="432">
        <f>'P NP MINAPADI KAB'!L29/1000</f>
        <v>0</v>
      </c>
      <c r="N35" s="432">
        <f>SUM('P NP MINAPADI KAB'!BX29/1000)</f>
        <v>0</v>
      </c>
      <c r="O35" s="432">
        <f>'P NP MINAPADI KAB'!BD29/1000</f>
        <v>0</v>
      </c>
      <c r="P35" s="432">
        <f>'P NP MINAPADI KAB'!BB29/1000</f>
        <v>66.5</v>
      </c>
      <c r="Q35" s="433">
        <f>SUM('P NP MINAPADI KAB'!BF29/1000)</f>
        <v>0</v>
      </c>
      <c r="T35" s="436">
        <v>24</v>
      </c>
      <c r="U35" s="841" t="s">
        <v>126</v>
      </c>
      <c r="V35" s="261">
        <f t="shared" si="3"/>
        <v>837.9</v>
      </c>
      <c r="W35" s="435">
        <f>'P NP TW'!AW30/1000</f>
        <v>0</v>
      </c>
      <c r="X35" s="435">
        <f>'P NP TW'!AY30/1000</f>
        <v>335.2</v>
      </c>
      <c r="Y35" s="435">
        <f>'P NP TW'!BA30/1000</f>
        <v>0</v>
      </c>
      <c r="Z35" s="435">
        <f>'P NP TW'!BC30/1000</f>
        <v>502.7</v>
      </c>
      <c r="AA35" s="419"/>
    </row>
    <row r="36" spans="2:27" s="372" customFormat="1" ht="14.15" customHeight="1">
      <c r="B36" s="427">
        <v>25</v>
      </c>
      <c r="C36" s="841" t="s">
        <v>123</v>
      </c>
      <c r="D36" s="270">
        <f t="shared" si="1"/>
        <v>0</v>
      </c>
      <c r="E36" s="432">
        <f>'P NP MINAPADI KAB'!AJ30/1000</f>
        <v>0</v>
      </c>
      <c r="F36" s="432">
        <f>'P NP MINAPADI KAB'!AT30/1000</f>
        <v>0</v>
      </c>
      <c r="G36" s="432">
        <f>'P NP MINAPADI KAB'!AL30/1000</f>
        <v>0</v>
      </c>
      <c r="H36" s="432">
        <f>'P NP MINAPADI KAB'!D30/1000</f>
        <v>0</v>
      </c>
      <c r="I36" s="432">
        <f>'P NP MINAPADI KAB'!AD30/1000</f>
        <v>0</v>
      </c>
      <c r="J36" s="432">
        <f>'P NP MINAPADI KAB'!AN30/1000</f>
        <v>0</v>
      </c>
      <c r="K36" s="432">
        <f>'P NP MINAPADI KAB'!P30/1000</f>
        <v>0</v>
      </c>
      <c r="L36" s="432">
        <f>'P NP MINAPADI KAB'!AP30/1000</f>
        <v>0</v>
      </c>
      <c r="M36" s="432">
        <f>'P NP MINAPADI KAB'!L30/1000</f>
        <v>0</v>
      </c>
      <c r="N36" s="432">
        <f>SUM('P NP MINAPADI KAB'!BX30/1000)</f>
        <v>0</v>
      </c>
      <c r="O36" s="432">
        <f>'P NP MINAPADI KAB'!BD30/1000</f>
        <v>0</v>
      </c>
      <c r="P36" s="432">
        <f>'P NP MINAPADI KAB'!BB30/1000</f>
        <v>0</v>
      </c>
      <c r="Q36" s="433">
        <f>SUM('P NP MINAPADI KAB'!BF30/1000)</f>
        <v>0</v>
      </c>
      <c r="T36" s="427">
        <v>25</v>
      </c>
      <c r="U36" s="841" t="s">
        <v>123</v>
      </c>
      <c r="V36" s="261">
        <f t="shared" si="3"/>
        <v>0</v>
      </c>
      <c r="W36" s="435">
        <f>'P NP TW'!AW31/1000</f>
        <v>0</v>
      </c>
      <c r="X36" s="435">
        <f>'P NP TW'!AY31/1000</f>
        <v>0</v>
      </c>
      <c r="Y36" s="435">
        <f>'P NP TW'!BA31/1000</f>
        <v>0</v>
      </c>
      <c r="Z36" s="435">
        <f>'P NP TW'!BC31/1000</f>
        <v>0</v>
      </c>
      <c r="AA36" s="419"/>
    </row>
    <row r="37" spans="2:27" s="372" customFormat="1" ht="14.15" customHeight="1">
      <c r="B37" s="436">
        <v>26</v>
      </c>
      <c r="C37" s="841" t="s">
        <v>140</v>
      </c>
      <c r="D37" s="270">
        <f t="shared" si="1"/>
        <v>0</v>
      </c>
      <c r="E37" s="432">
        <f>'P NP MINAPADI KAB'!AJ31/1000</f>
        <v>0</v>
      </c>
      <c r="F37" s="432">
        <f>'P NP MINAPADI KAB'!AT31/1000</f>
        <v>0</v>
      </c>
      <c r="G37" s="432">
        <f>'P NP MINAPADI KAB'!AL31/1000</f>
        <v>0</v>
      </c>
      <c r="H37" s="432">
        <f>'P NP MINAPADI KAB'!D31/1000</f>
        <v>0</v>
      </c>
      <c r="I37" s="432">
        <f>'P NP MINAPADI KAB'!AD31/1000</f>
        <v>0</v>
      </c>
      <c r="J37" s="432">
        <f>'P NP MINAPADI KAB'!AN31/1000</f>
        <v>0</v>
      </c>
      <c r="K37" s="432">
        <f>'P NP MINAPADI KAB'!P31/1000</f>
        <v>0</v>
      </c>
      <c r="L37" s="432">
        <f>'P NP MINAPADI KAB'!AP31/1000</f>
        <v>0</v>
      </c>
      <c r="M37" s="432">
        <f>'P NP MINAPADI KAB'!L31/1000</f>
        <v>0</v>
      </c>
      <c r="N37" s="432">
        <f>SUM('P NP MINAPADI KAB'!BX31/1000)</f>
        <v>0</v>
      </c>
      <c r="O37" s="432">
        <f>'P NP MINAPADI KAB'!BD31/1000</f>
        <v>0</v>
      </c>
      <c r="P37" s="432">
        <f>'P NP MINAPADI KAB'!BB31/1000</f>
        <v>0</v>
      </c>
      <c r="Q37" s="433">
        <f>SUM('P NP MINAPADI KAB'!BF31/1000)</f>
        <v>0</v>
      </c>
      <c r="T37" s="436">
        <v>26</v>
      </c>
      <c r="U37" s="841" t="s">
        <v>140</v>
      </c>
      <c r="V37" s="261">
        <f t="shared" si="3"/>
        <v>0</v>
      </c>
      <c r="W37" s="435">
        <f>'P NP TW'!AW32/1000</f>
        <v>0</v>
      </c>
      <c r="X37" s="435">
        <f>'P NP TW'!AY32/1000</f>
        <v>0</v>
      </c>
      <c r="Y37" s="435">
        <f>'P NP TW'!BA32/1000</f>
        <v>0</v>
      </c>
      <c r="Z37" s="435">
        <f>'P NP TW'!BC32/1000</f>
        <v>0</v>
      </c>
      <c r="AA37" s="419"/>
    </row>
    <row r="38" spans="2:27" s="372" customFormat="1" ht="14.15" customHeight="1">
      <c r="B38" s="427">
        <v>27</v>
      </c>
      <c r="C38" s="841" t="s">
        <v>114</v>
      </c>
      <c r="D38" s="270">
        <f t="shared" si="1"/>
        <v>0</v>
      </c>
      <c r="E38" s="432">
        <f>'P NP MINAPADI KAB'!AJ32/1000</f>
        <v>0</v>
      </c>
      <c r="F38" s="432">
        <f>'P NP MINAPADI KAB'!AT32/1000</f>
        <v>0</v>
      </c>
      <c r="G38" s="432">
        <f>'P NP MINAPADI KAB'!AL32/1000</f>
        <v>0</v>
      </c>
      <c r="H38" s="432">
        <f>'P NP MINAPADI KAB'!D32/1000</f>
        <v>0</v>
      </c>
      <c r="I38" s="432">
        <f>'P NP MINAPADI KAB'!AD32/1000</f>
        <v>0</v>
      </c>
      <c r="J38" s="432">
        <f>'P NP MINAPADI KAB'!AN32/1000</f>
        <v>0</v>
      </c>
      <c r="K38" s="432">
        <f>'P NP MINAPADI KAB'!P32/1000</f>
        <v>0</v>
      </c>
      <c r="L38" s="432">
        <f>'P NP MINAPADI KAB'!AP32/1000</f>
        <v>0</v>
      </c>
      <c r="M38" s="432">
        <f>'P NP MINAPADI KAB'!L32/1000</f>
        <v>0</v>
      </c>
      <c r="N38" s="432">
        <f>SUM('P NP MINAPADI KAB'!BX32/1000)</f>
        <v>0</v>
      </c>
      <c r="O38" s="432">
        <f>'P NP MINAPADI KAB'!BD32/1000</f>
        <v>0</v>
      </c>
      <c r="P38" s="432">
        <f>'P NP MINAPADI KAB'!BB32/1000</f>
        <v>0</v>
      </c>
      <c r="Q38" s="433">
        <f>SUM('P NP MINAPADI KAB'!BF32/1000)</f>
        <v>0</v>
      </c>
      <c r="T38" s="427">
        <v>27</v>
      </c>
      <c r="U38" s="841" t="s">
        <v>114</v>
      </c>
      <c r="V38" s="261">
        <f t="shared" si="3"/>
        <v>0</v>
      </c>
      <c r="W38" s="435">
        <f>'P NP TW'!AW33/1000</f>
        <v>0</v>
      </c>
      <c r="X38" s="435">
        <f>'P NP TW'!AY33/1000</f>
        <v>0</v>
      </c>
      <c r="Y38" s="435">
        <f>'P NP TW'!BA33/1000</f>
        <v>0</v>
      </c>
      <c r="Z38" s="435">
        <f>'P NP TW'!BC33/1000</f>
        <v>0</v>
      </c>
      <c r="AA38" s="419"/>
    </row>
    <row r="39" spans="2:27" s="372" customFormat="1" ht="14.15" customHeight="1">
      <c r="B39" s="436">
        <v>28</v>
      </c>
      <c r="C39" s="841" t="s">
        <v>134</v>
      </c>
      <c r="D39" s="270">
        <f t="shared" si="1"/>
        <v>15223.09</v>
      </c>
      <c r="E39" s="432">
        <f>'P NP MINAPADI KAB'!AJ33/1000</f>
        <v>1671.92</v>
      </c>
      <c r="F39" s="432">
        <f>'P NP MINAPADI KAB'!AT33/1000</f>
        <v>1534.88</v>
      </c>
      <c r="G39" s="432">
        <f>'P NP MINAPADI KAB'!AL33/1000</f>
        <v>35.119999999999997</v>
      </c>
      <c r="H39" s="432">
        <f>'P NP MINAPADI KAB'!D33/1000</f>
        <v>5012.57</v>
      </c>
      <c r="I39" s="432">
        <f>'P NP MINAPADI KAB'!AD33/1000</f>
        <v>0</v>
      </c>
      <c r="J39" s="432">
        <f>'P NP MINAPADI KAB'!AN33/1000</f>
        <v>1800.76</v>
      </c>
      <c r="K39" s="432">
        <f>'P NP MINAPADI KAB'!P33/1000</f>
        <v>0</v>
      </c>
      <c r="L39" s="432">
        <f>'P NP MINAPADI KAB'!AP33/1000</f>
        <v>12.99</v>
      </c>
      <c r="M39" s="432">
        <f>'P NP MINAPADI KAB'!L33/1000</f>
        <v>0</v>
      </c>
      <c r="N39" s="432">
        <f>SUM('P NP MINAPADI KAB'!BX33/1000)</f>
        <v>605.03</v>
      </c>
      <c r="O39" s="432">
        <f>'P NP MINAPADI KAB'!BD33/1000</f>
        <v>0</v>
      </c>
      <c r="P39" s="432">
        <f>'P NP MINAPADI KAB'!BB33/1000</f>
        <v>4549.82</v>
      </c>
      <c r="Q39" s="433">
        <f>SUM('P NP MINAPADI KAB'!BF33/1000)</f>
        <v>0</v>
      </c>
      <c r="T39" s="436">
        <v>28</v>
      </c>
      <c r="U39" s="841" t="s">
        <v>134</v>
      </c>
      <c r="V39" s="261">
        <f t="shared" si="3"/>
        <v>15223.09</v>
      </c>
      <c r="W39" s="435">
        <f>'P NP TW'!AW34/1000</f>
        <v>5136.7299999999996</v>
      </c>
      <c r="X39" s="435">
        <f>'P NP TW'!AY34/1000</f>
        <v>4494.2700000000004</v>
      </c>
      <c r="Y39" s="435">
        <f>'P NP TW'!BA34/1000</f>
        <v>2099.59</v>
      </c>
      <c r="Z39" s="435">
        <f>'P NP TW'!BC34/1000</f>
        <v>3492.5</v>
      </c>
      <c r="AA39" s="419"/>
    </row>
    <row r="40" spans="2:27" s="372" customFormat="1" ht="14.15" customHeight="1">
      <c r="B40" s="427">
        <v>29</v>
      </c>
      <c r="C40" s="841" t="s">
        <v>115</v>
      </c>
      <c r="D40" s="270">
        <f t="shared" si="1"/>
        <v>0</v>
      </c>
      <c r="E40" s="432">
        <f>'P NP MINAPADI KAB'!AJ34/1000</f>
        <v>0</v>
      </c>
      <c r="F40" s="432">
        <f>'P NP MINAPADI KAB'!AT34/1000</f>
        <v>0</v>
      </c>
      <c r="G40" s="432">
        <f>'P NP MINAPADI KAB'!AL34/1000</f>
        <v>0</v>
      </c>
      <c r="H40" s="432">
        <f>'P NP MINAPADI KAB'!D34/1000</f>
        <v>0</v>
      </c>
      <c r="I40" s="432">
        <f>'P NP MINAPADI KAB'!AD34/1000</f>
        <v>0</v>
      </c>
      <c r="J40" s="432">
        <f>'P NP MINAPADI KAB'!AN34/1000</f>
        <v>0</v>
      </c>
      <c r="K40" s="432">
        <f>'P NP MINAPADI KAB'!P34/1000</f>
        <v>0</v>
      </c>
      <c r="L40" s="432">
        <f>'P NP MINAPADI KAB'!AP34/1000</f>
        <v>0</v>
      </c>
      <c r="M40" s="432">
        <f>'P NP MINAPADI KAB'!L34/1000</f>
        <v>0</v>
      </c>
      <c r="N40" s="432">
        <f>SUM('P NP MINAPADI KAB'!BX34/1000)</f>
        <v>0</v>
      </c>
      <c r="O40" s="432">
        <f>'P NP MINAPADI KAB'!BD34/1000</f>
        <v>0</v>
      </c>
      <c r="P40" s="432">
        <f>'P NP MINAPADI KAB'!BB34/1000</f>
        <v>0</v>
      </c>
      <c r="Q40" s="433">
        <f>SUM('P NP MINAPADI KAB'!BF34/1000)</f>
        <v>0</v>
      </c>
      <c r="T40" s="427">
        <v>29</v>
      </c>
      <c r="U40" s="841" t="s">
        <v>115</v>
      </c>
      <c r="V40" s="261">
        <f t="shared" si="3"/>
        <v>0</v>
      </c>
      <c r="W40" s="435">
        <f>'P NP TW'!AW35/1000</f>
        <v>0</v>
      </c>
      <c r="X40" s="435">
        <f>'P NP TW'!AY35/1000</f>
        <v>0</v>
      </c>
      <c r="Y40" s="435">
        <f>'P NP TW'!BA35/1000</f>
        <v>0</v>
      </c>
      <c r="Z40" s="435">
        <f>'P NP TW'!BC35/1000</f>
        <v>0</v>
      </c>
      <c r="AA40" s="419"/>
    </row>
    <row r="41" spans="2:27" s="372" customFormat="1" ht="14.15" customHeight="1">
      <c r="B41" s="436">
        <v>30</v>
      </c>
      <c r="C41" s="841" t="s">
        <v>149</v>
      </c>
      <c r="D41" s="270">
        <f t="shared" si="1"/>
        <v>0</v>
      </c>
      <c r="E41" s="432">
        <f>'P NP MINAPADI KAB'!AJ35/1000</f>
        <v>0</v>
      </c>
      <c r="F41" s="432">
        <f>'P NP MINAPADI KAB'!AT35/1000</f>
        <v>0</v>
      </c>
      <c r="G41" s="432">
        <f>'P NP MINAPADI KAB'!AL35/1000</f>
        <v>0</v>
      </c>
      <c r="H41" s="432">
        <f>'P NP MINAPADI KAB'!D35/1000</f>
        <v>0</v>
      </c>
      <c r="I41" s="432">
        <f>'P NP MINAPADI KAB'!AD35/1000</f>
        <v>0</v>
      </c>
      <c r="J41" s="432">
        <f>'P NP MINAPADI KAB'!AN35/1000</f>
        <v>0</v>
      </c>
      <c r="K41" s="432">
        <f>'P NP MINAPADI KAB'!P35/1000</f>
        <v>0</v>
      </c>
      <c r="L41" s="432">
        <f>'P NP MINAPADI KAB'!AP35/1000</f>
        <v>0</v>
      </c>
      <c r="M41" s="432">
        <f>'P NP MINAPADI KAB'!L35/1000</f>
        <v>0</v>
      </c>
      <c r="N41" s="432">
        <f>SUM('P NP MINAPADI KAB'!BX35/1000)</f>
        <v>0</v>
      </c>
      <c r="O41" s="432">
        <f>'P NP MINAPADI KAB'!BD35/1000</f>
        <v>0</v>
      </c>
      <c r="P41" s="432">
        <f>'P NP MINAPADI KAB'!BB35/1000</f>
        <v>0</v>
      </c>
      <c r="Q41" s="433">
        <f>SUM('P NP MINAPADI KAB'!BF35/1000)</f>
        <v>0</v>
      </c>
      <c r="T41" s="436">
        <v>30</v>
      </c>
      <c r="U41" s="841" t="s">
        <v>149</v>
      </c>
      <c r="V41" s="261">
        <f t="shared" si="3"/>
        <v>0</v>
      </c>
      <c r="W41" s="435">
        <f>'P NP TW'!AW36/1000</f>
        <v>0</v>
      </c>
      <c r="X41" s="435">
        <f>'P NP TW'!AY36/1000</f>
        <v>0</v>
      </c>
      <c r="Y41" s="435">
        <f>'P NP TW'!BA36/1000</f>
        <v>0</v>
      </c>
      <c r="Z41" s="435">
        <f>'P NP TW'!BC36/1000</f>
        <v>0</v>
      </c>
      <c r="AA41" s="419"/>
    </row>
    <row r="42" spans="2:27" s="372" customFormat="1" ht="14.15" customHeight="1">
      <c r="B42" s="427">
        <v>31</v>
      </c>
      <c r="C42" s="841" t="s">
        <v>142</v>
      </c>
      <c r="D42" s="270">
        <f t="shared" si="1"/>
        <v>0</v>
      </c>
      <c r="E42" s="432">
        <f>'P NP MINAPADI KAB'!AJ36/1000</f>
        <v>0</v>
      </c>
      <c r="F42" s="432">
        <f>'P NP MINAPADI KAB'!AT36/1000</f>
        <v>0</v>
      </c>
      <c r="G42" s="432">
        <f>'P NP MINAPADI KAB'!AL36/1000</f>
        <v>0</v>
      </c>
      <c r="H42" s="432">
        <f>'P NP MINAPADI KAB'!D36/1000</f>
        <v>0</v>
      </c>
      <c r="I42" s="432">
        <f>'P NP MINAPADI KAB'!AD36/1000</f>
        <v>0</v>
      </c>
      <c r="J42" s="432">
        <f>'P NP MINAPADI KAB'!AN36/1000</f>
        <v>0</v>
      </c>
      <c r="K42" s="432">
        <f>'P NP MINAPADI KAB'!P36/1000</f>
        <v>0</v>
      </c>
      <c r="L42" s="432">
        <f>'P NP MINAPADI KAB'!AP36/1000</f>
        <v>0</v>
      </c>
      <c r="M42" s="432">
        <f>'P NP MINAPADI KAB'!L36/1000</f>
        <v>0</v>
      </c>
      <c r="N42" s="432">
        <f>SUM('P NP MINAPADI KAB'!BX36/1000)</f>
        <v>0</v>
      </c>
      <c r="O42" s="432">
        <f>'P NP MINAPADI KAB'!BD36/1000</f>
        <v>0</v>
      </c>
      <c r="P42" s="432">
        <f>'P NP MINAPADI KAB'!BB36/1000</f>
        <v>0</v>
      </c>
      <c r="Q42" s="433">
        <f>SUM('P NP MINAPADI KAB'!BF36/1000)</f>
        <v>0</v>
      </c>
      <c r="T42" s="427">
        <v>31</v>
      </c>
      <c r="U42" s="841" t="s">
        <v>142</v>
      </c>
      <c r="V42" s="261">
        <f t="shared" si="3"/>
        <v>0</v>
      </c>
      <c r="W42" s="435">
        <f>'P NP TW'!AW37/1000</f>
        <v>0</v>
      </c>
      <c r="X42" s="435">
        <f>'P NP TW'!AY37/1000</f>
        <v>0</v>
      </c>
      <c r="Y42" s="435">
        <f>'P NP TW'!BA37/1000</f>
        <v>0</v>
      </c>
      <c r="Z42" s="435">
        <f>'P NP TW'!BC37/1000</f>
        <v>0</v>
      </c>
      <c r="AA42" s="419"/>
    </row>
    <row r="43" spans="2:27" s="372" customFormat="1" ht="14.15" customHeight="1">
      <c r="B43" s="436">
        <v>32</v>
      </c>
      <c r="C43" s="841" t="s">
        <v>141</v>
      </c>
      <c r="D43" s="270">
        <f t="shared" si="1"/>
        <v>0</v>
      </c>
      <c r="E43" s="432">
        <f>'P NP MINAPADI KAB'!AJ37/1000</f>
        <v>0</v>
      </c>
      <c r="F43" s="432">
        <f>'P NP MINAPADI KAB'!AT37/1000</f>
        <v>0</v>
      </c>
      <c r="G43" s="432">
        <f>'P NP MINAPADI KAB'!AL37/1000</f>
        <v>0</v>
      </c>
      <c r="H43" s="432">
        <f>'P NP MINAPADI KAB'!D37/1000</f>
        <v>0</v>
      </c>
      <c r="I43" s="432">
        <f>'P NP MINAPADI KAB'!AD37/1000</f>
        <v>0</v>
      </c>
      <c r="J43" s="432">
        <f>'P NP MINAPADI KAB'!AN37/1000</f>
        <v>0</v>
      </c>
      <c r="K43" s="432">
        <f>'P NP MINAPADI KAB'!P37/1000</f>
        <v>0</v>
      </c>
      <c r="L43" s="432">
        <f>'P NP MINAPADI KAB'!AP37/1000</f>
        <v>0</v>
      </c>
      <c r="M43" s="432">
        <f>'P NP MINAPADI KAB'!L37/1000</f>
        <v>0</v>
      </c>
      <c r="N43" s="432">
        <f>SUM('P NP MINAPADI KAB'!BX37/1000)</f>
        <v>0</v>
      </c>
      <c r="O43" s="432">
        <f>'P NP MINAPADI KAB'!BD37/1000</f>
        <v>0</v>
      </c>
      <c r="P43" s="432">
        <f>'P NP MINAPADI KAB'!BB37/1000</f>
        <v>0</v>
      </c>
      <c r="Q43" s="433">
        <f>SUM('P NP MINAPADI KAB'!BF37/1000)</f>
        <v>0</v>
      </c>
      <c r="T43" s="436">
        <v>32</v>
      </c>
      <c r="U43" s="841" t="s">
        <v>141</v>
      </c>
      <c r="V43" s="261">
        <f t="shared" si="3"/>
        <v>0</v>
      </c>
      <c r="W43" s="435">
        <f>'P NP TW'!AW38/1000</f>
        <v>0</v>
      </c>
      <c r="X43" s="435">
        <f>'P NP TW'!AY38/1000</f>
        <v>0</v>
      </c>
      <c r="Y43" s="435">
        <f>'P NP TW'!BA38/1000</f>
        <v>0</v>
      </c>
      <c r="Z43" s="435">
        <f>'P NP TW'!BC38/1000</f>
        <v>0</v>
      </c>
      <c r="AA43" s="419"/>
    </row>
    <row r="44" spans="2:27" s="372" customFormat="1" ht="14.15" customHeight="1">
      <c r="B44" s="427">
        <v>33</v>
      </c>
      <c r="C44" s="841" t="s">
        <v>147</v>
      </c>
      <c r="D44" s="270">
        <f t="shared" si="1"/>
        <v>0</v>
      </c>
      <c r="E44" s="432">
        <f>'P NP MINAPADI KAB'!AJ38/1000</f>
        <v>0</v>
      </c>
      <c r="F44" s="432">
        <f>'P NP MINAPADI KAB'!AT38/1000</f>
        <v>0</v>
      </c>
      <c r="G44" s="432">
        <f>'P NP MINAPADI KAB'!AL38/1000</f>
        <v>0</v>
      </c>
      <c r="H44" s="432">
        <f>'P NP MINAPADI KAB'!D38/1000</f>
        <v>0</v>
      </c>
      <c r="I44" s="432">
        <f>'P NP MINAPADI KAB'!AD38/1000</f>
        <v>0</v>
      </c>
      <c r="J44" s="432">
        <f>'P NP MINAPADI KAB'!AN38/1000</f>
        <v>0</v>
      </c>
      <c r="K44" s="432">
        <f>'P NP MINAPADI KAB'!P38/1000</f>
        <v>0</v>
      </c>
      <c r="L44" s="432">
        <f>'P NP MINAPADI KAB'!AP38/1000</f>
        <v>0</v>
      </c>
      <c r="M44" s="432">
        <f>'P NP MINAPADI KAB'!L38/1000</f>
        <v>0</v>
      </c>
      <c r="N44" s="432">
        <f>SUM('P NP MINAPADI KAB'!BX38/1000)</f>
        <v>0</v>
      </c>
      <c r="O44" s="432">
        <f>'P NP MINAPADI KAB'!BD38/1000</f>
        <v>0</v>
      </c>
      <c r="P44" s="432">
        <f>'P NP MINAPADI KAB'!BB38/1000</f>
        <v>0</v>
      </c>
      <c r="Q44" s="433">
        <f>SUM('P NP MINAPADI KAB'!BF38/1000)</f>
        <v>0</v>
      </c>
      <c r="T44" s="427">
        <v>33</v>
      </c>
      <c r="U44" s="841" t="s">
        <v>147</v>
      </c>
      <c r="V44" s="261">
        <f t="shared" si="3"/>
        <v>0</v>
      </c>
      <c r="W44" s="435">
        <f>'P NP TW'!AW39/1000</f>
        <v>0</v>
      </c>
      <c r="X44" s="435">
        <f>'P NP TW'!AY39/1000</f>
        <v>0</v>
      </c>
      <c r="Y44" s="435">
        <f>'P NP TW'!BA39/1000</f>
        <v>0</v>
      </c>
      <c r="Z44" s="435">
        <f>'P NP TW'!BC39/1000</f>
        <v>0</v>
      </c>
      <c r="AA44" s="419"/>
    </row>
    <row r="45" spans="2:27" s="372" customFormat="1" ht="14.15" customHeight="1">
      <c r="B45" s="436">
        <v>34</v>
      </c>
      <c r="C45" s="841" t="s">
        <v>143</v>
      </c>
      <c r="D45" s="270">
        <f t="shared" si="1"/>
        <v>0</v>
      </c>
      <c r="E45" s="432">
        <f>'P NP MINAPADI KAB'!AJ39/1000</f>
        <v>0</v>
      </c>
      <c r="F45" s="432">
        <f>'P NP MINAPADI KAB'!AT39/1000</f>
        <v>0</v>
      </c>
      <c r="G45" s="432">
        <f>'P NP MINAPADI KAB'!AL39/1000</f>
        <v>0</v>
      </c>
      <c r="H45" s="432">
        <f>'P NP MINAPADI KAB'!D39/1000</f>
        <v>0</v>
      </c>
      <c r="I45" s="432">
        <f>'P NP MINAPADI KAB'!AD39/1000</f>
        <v>0</v>
      </c>
      <c r="J45" s="432">
        <f>'P NP MINAPADI KAB'!AN39/1000</f>
        <v>0</v>
      </c>
      <c r="K45" s="432">
        <f>'P NP MINAPADI KAB'!P39/1000</f>
        <v>0</v>
      </c>
      <c r="L45" s="432">
        <f>'P NP MINAPADI KAB'!AP39/1000</f>
        <v>0</v>
      </c>
      <c r="M45" s="432">
        <f>'P NP MINAPADI KAB'!L39/1000</f>
        <v>0</v>
      </c>
      <c r="N45" s="432">
        <f>SUM('P NP MINAPADI KAB'!BX39/1000)</f>
        <v>0</v>
      </c>
      <c r="O45" s="432">
        <f>'P NP MINAPADI KAB'!BD39/1000</f>
        <v>0</v>
      </c>
      <c r="P45" s="432">
        <f>'P NP MINAPADI KAB'!BB39/1000</f>
        <v>0</v>
      </c>
      <c r="Q45" s="433">
        <f>SUM('P NP MINAPADI KAB'!BF39/1000)</f>
        <v>0</v>
      </c>
      <c r="T45" s="436">
        <v>34</v>
      </c>
      <c r="U45" s="841" t="s">
        <v>143</v>
      </c>
      <c r="V45" s="261">
        <f t="shared" si="3"/>
        <v>0</v>
      </c>
      <c r="W45" s="435">
        <f>'P NP TW'!AW40/1000</f>
        <v>0</v>
      </c>
      <c r="X45" s="435">
        <f>'P NP TW'!AY40/1000</f>
        <v>0</v>
      </c>
      <c r="Y45" s="435">
        <f>'P NP TW'!BA40/1000</f>
        <v>0</v>
      </c>
      <c r="Z45" s="435">
        <f>'P NP TW'!BC40/1000</f>
        <v>0</v>
      </c>
      <c r="AA45" s="419"/>
    </row>
    <row r="46" spans="2:27" s="372" customFormat="1" ht="14.15" customHeight="1">
      <c r="B46" s="427">
        <v>35</v>
      </c>
      <c r="C46" s="841" t="s">
        <v>146</v>
      </c>
      <c r="D46" s="270">
        <f t="shared" si="1"/>
        <v>0</v>
      </c>
      <c r="E46" s="432">
        <f>'P NP MINAPADI KAB'!AJ40/1000</f>
        <v>0</v>
      </c>
      <c r="F46" s="432">
        <f>'P NP MINAPADI KAB'!AT40/1000</f>
        <v>0</v>
      </c>
      <c r="G46" s="432">
        <f>'P NP MINAPADI KAB'!AL40/1000</f>
        <v>0</v>
      </c>
      <c r="H46" s="432">
        <f>'P NP MINAPADI KAB'!D40/1000</f>
        <v>0</v>
      </c>
      <c r="I46" s="432">
        <f>'P NP MINAPADI KAB'!AD40/1000</f>
        <v>0</v>
      </c>
      <c r="J46" s="432">
        <f>'P NP MINAPADI KAB'!AN40/1000</f>
        <v>0</v>
      </c>
      <c r="K46" s="432">
        <f>'P NP MINAPADI KAB'!P40/1000</f>
        <v>0</v>
      </c>
      <c r="L46" s="432">
        <f>'P NP MINAPADI KAB'!AP40/1000</f>
        <v>0</v>
      </c>
      <c r="M46" s="432">
        <f>'P NP MINAPADI KAB'!L40/1000</f>
        <v>0</v>
      </c>
      <c r="N46" s="432">
        <f>SUM('P NP MINAPADI KAB'!BX40/1000)</f>
        <v>0</v>
      </c>
      <c r="O46" s="432">
        <f>'P NP MINAPADI KAB'!BD40/1000</f>
        <v>0</v>
      </c>
      <c r="P46" s="432">
        <f>'P NP MINAPADI KAB'!BB40/1000</f>
        <v>0</v>
      </c>
      <c r="Q46" s="433">
        <f>SUM('P NP MINAPADI KAB'!BF40/1000)</f>
        <v>0</v>
      </c>
      <c r="T46" s="427">
        <v>35</v>
      </c>
      <c r="U46" s="841" t="s">
        <v>146</v>
      </c>
      <c r="V46" s="261">
        <f t="shared" si="3"/>
        <v>0</v>
      </c>
      <c r="W46" s="435">
        <f>'P NP TW'!AW41/1000</f>
        <v>0</v>
      </c>
      <c r="X46" s="435">
        <f>'P NP TW'!AY41/1000</f>
        <v>0</v>
      </c>
      <c r="Y46" s="435">
        <f>'P NP TW'!BA41/1000</f>
        <v>0</v>
      </c>
      <c r="Z46" s="435">
        <f>'P NP TW'!BC41/1000</f>
        <v>0</v>
      </c>
      <c r="AA46" s="419"/>
    </row>
    <row r="47" spans="2:27" s="372" customFormat="1" ht="14.15" customHeight="1">
      <c r="B47" s="436">
        <v>36</v>
      </c>
      <c r="C47" s="841" t="s">
        <v>145</v>
      </c>
      <c r="D47" s="270">
        <f t="shared" si="1"/>
        <v>0</v>
      </c>
      <c r="E47" s="432">
        <f>'P NP MINAPADI KAB'!AJ41/1000</f>
        <v>0</v>
      </c>
      <c r="F47" s="432">
        <f>'P NP MINAPADI KAB'!AT41/1000</f>
        <v>0</v>
      </c>
      <c r="G47" s="432">
        <f>'P NP MINAPADI KAB'!AL41/1000</f>
        <v>0</v>
      </c>
      <c r="H47" s="432">
        <f>'P NP MINAPADI KAB'!D41/1000</f>
        <v>0</v>
      </c>
      <c r="I47" s="432">
        <f>'P NP MINAPADI KAB'!AD41/1000</f>
        <v>0</v>
      </c>
      <c r="J47" s="432">
        <f>'P NP MINAPADI KAB'!AN41/1000</f>
        <v>0</v>
      </c>
      <c r="K47" s="432">
        <f>'P NP MINAPADI KAB'!P41/1000</f>
        <v>0</v>
      </c>
      <c r="L47" s="432">
        <f>'P NP MINAPADI KAB'!AP41/1000</f>
        <v>0</v>
      </c>
      <c r="M47" s="432">
        <f>'P NP MINAPADI KAB'!L41/1000</f>
        <v>0</v>
      </c>
      <c r="N47" s="432">
        <f>SUM('P NP MINAPADI KAB'!BX41/1000)</f>
        <v>0</v>
      </c>
      <c r="O47" s="432">
        <f>'P NP MINAPADI KAB'!BD41/1000</f>
        <v>0</v>
      </c>
      <c r="P47" s="432">
        <f>'P NP MINAPADI KAB'!BB41/1000</f>
        <v>0</v>
      </c>
      <c r="Q47" s="433">
        <f>SUM('P NP MINAPADI KAB'!BF41/1000)</f>
        <v>0</v>
      </c>
      <c r="T47" s="436">
        <v>36</v>
      </c>
      <c r="U47" s="841" t="s">
        <v>145</v>
      </c>
      <c r="V47" s="261">
        <f t="shared" si="3"/>
        <v>0</v>
      </c>
      <c r="W47" s="435">
        <f>'P NP TW'!AW42/1000</f>
        <v>0</v>
      </c>
      <c r="X47" s="435">
        <f>'P NP TW'!AY42/1000</f>
        <v>0</v>
      </c>
      <c r="Y47" s="435">
        <f>'P NP TW'!BA42/1000</f>
        <v>0</v>
      </c>
      <c r="Z47" s="435">
        <f>'P NP TW'!BC42/1000</f>
        <v>0</v>
      </c>
      <c r="AA47" s="419"/>
    </row>
    <row r="48" spans="2:27" s="372" customFormat="1" ht="14.15" customHeight="1">
      <c r="B48" s="427">
        <v>37</v>
      </c>
      <c r="C48" s="841" t="s">
        <v>144</v>
      </c>
      <c r="D48" s="270">
        <f t="shared" si="1"/>
        <v>0</v>
      </c>
      <c r="E48" s="432">
        <f>'P NP MINAPADI KAB'!AJ42/1000</f>
        <v>0</v>
      </c>
      <c r="F48" s="432">
        <f>'P NP MINAPADI KAB'!AT42/1000</f>
        <v>0</v>
      </c>
      <c r="G48" s="432">
        <f>'P NP MINAPADI KAB'!AL42/1000</f>
        <v>0</v>
      </c>
      <c r="H48" s="432">
        <f>'P NP MINAPADI KAB'!D42/1000</f>
        <v>0</v>
      </c>
      <c r="I48" s="432">
        <f>'P NP MINAPADI KAB'!AD42/1000</f>
        <v>0</v>
      </c>
      <c r="J48" s="432">
        <f>'P NP MINAPADI KAB'!AN42/1000</f>
        <v>0</v>
      </c>
      <c r="K48" s="432">
        <f>'P NP MINAPADI KAB'!P42/1000</f>
        <v>0</v>
      </c>
      <c r="L48" s="432">
        <f>'P NP MINAPADI KAB'!AP42/1000</f>
        <v>0</v>
      </c>
      <c r="M48" s="432">
        <f>'P NP MINAPADI KAB'!L42/1000</f>
        <v>0</v>
      </c>
      <c r="N48" s="432">
        <f>SUM('P NP MINAPADI KAB'!BX42/1000)</f>
        <v>0</v>
      </c>
      <c r="O48" s="432">
        <f>'P NP MINAPADI KAB'!BD42/1000</f>
        <v>0</v>
      </c>
      <c r="P48" s="432">
        <f>'P NP MINAPADI KAB'!BB42/1000</f>
        <v>0</v>
      </c>
      <c r="Q48" s="433">
        <f>SUM('P NP MINAPADI KAB'!BF42/1000)</f>
        <v>0</v>
      </c>
      <c r="T48" s="427">
        <v>37</v>
      </c>
      <c r="U48" s="841" t="s">
        <v>144</v>
      </c>
      <c r="V48" s="261">
        <f t="shared" si="3"/>
        <v>0</v>
      </c>
      <c r="W48" s="435">
        <f>'P NP TW'!AW43/1000</f>
        <v>0</v>
      </c>
      <c r="X48" s="435">
        <f>'P NP TW'!AY43/1000</f>
        <v>0</v>
      </c>
      <c r="Y48" s="435">
        <f>'P NP TW'!BA43/1000</f>
        <v>0</v>
      </c>
      <c r="Z48" s="435">
        <f>'P NP TW'!BC43/1000</f>
        <v>0</v>
      </c>
      <c r="AA48" s="419"/>
    </row>
    <row r="49" spans="2:27" s="372" customFormat="1" ht="12.75" customHeight="1">
      <c r="B49" s="436">
        <v>38</v>
      </c>
      <c r="C49" s="841" t="s">
        <v>148</v>
      </c>
      <c r="D49" s="270">
        <f t="shared" si="1"/>
        <v>0</v>
      </c>
      <c r="E49" s="432">
        <f>'P NP MINAPADI KAB'!AJ43/1000</f>
        <v>0</v>
      </c>
      <c r="F49" s="432">
        <f>'P NP MINAPADI KAB'!AT43/1000</f>
        <v>0</v>
      </c>
      <c r="G49" s="432">
        <f>'P NP MINAPADI KAB'!AL43/1000</f>
        <v>0</v>
      </c>
      <c r="H49" s="432">
        <f>'P NP MINAPADI KAB'!D43/1000</f>
        <v>0</v>
      </c>
      <c r="I49" s="432">
        <f>'P NP MINAPADI KAB'!AD43/1000</f>
        <v>0</v>
      </c>
      <c r="J49" s="432">
        <f>'P NP MINAPADI KAB'!AN43/1000</f>
        <v>0</v>
      </c>
      <c r="K49" s="432">
        <f>'P NP MINAPADI KAB'!P43/1000</f>
        <v>0</v>
      </c>
      <c r="L49" s="432">
        <f>'P NP MINAPADI KAB'!AP43/1000</f>
        <v>0</v>
      </c>
      <c r="M49" s="432">
        <f>'P NP MINAPADI KAB'!L43/1000</f>
        <v>0</v>
      </c>
      <c r="N49" s="432">
        <f>SUM('P NP MINAPADI KAB'!BX43/1000)</f>
        <v>0</v>
      </c>
      <c r="O49" s="432">
        <f>'P NP MINAPADI KAB'!BD43/1000</f>
        <v>0</v>
      </c>
      <c r="P49" s="432">
        <f>'P NP MINAPADI KAB'!BB43/1000</f>
        <v>0</v>
      </c>
      <c r="Q49" s="433">
        <f>'P NP MINAPADI KAB'!BF26/1000</f>
        <v>0</v>
      </c>
      <c r="T49" s="436">
        <v>38</v>
      </c>
      <c r="U49" s="841" t="s">
        <v>148</v>
      </c>
      <c r="V49" s="261">
        <f t="shared" si="3"/>
        <v>0</v>
      </c>
      <c r="W49" s="435">
        <f>'P NP TW'!AW44/1000</f>
        <v>0</v>
      </c>
      <c r="X49" s="435">
        <f>'P NP TW'!AY44/1000</f>
        <v>0</v>
      </c>
      <c r="Y49" s="435">
        <f>'P NP TW'!BA44/1000</f>
        <v>0</v>
      </c>
      <c r="Z49" s="435">
        <f>'P NP TW'!BC44/1000</f>
        <v>0</v>
      </c>
      <c r="AA49" s="419"/>
    </row>
    <row r="50" spans="2:27" s="372" customFormat="1" ht="11.25" customHeight="1" thickBot="1">
      <c r="B50" s="438"/>
      <c r="C50" s="439"/>
      <c r="D50" s="440"/>
      <c r="E50" s="842"/>
      <c r="F50" s="842"/>
      <c r="G50" s="842"/>
      <c r="H50" s="842"/>
      <c r="I50" s="842"/>
      <c r="J50" s="842"/>
      <c r="K50" s="842"/>
      <c r="L50" s="842"/>
      <c r="M50" s="842"/>
      <c r="N50" s="842"/>
      <c r="O50" s="842"/>
      <c r="P50" s="842"/>
      <c r="Q50" s="441"/>
      <c r="T50" s="438"/>
      <c r="U50" s="439"/>
      <c r="V50" s="442"/>
      <c r="W50" s="443"/>
      <c r="X50" s="443"/>
      <c r="Y50" s="443"/>
      <c r="Z50" s="444"/>
      <c r="AA50" s="445"/>
    </row>
    <row r="51" spans="2:27" s="372" customFormat="1" ht="11.25" customHeight="1">
      <c r="D51" s="446"/>
      <c r="V51" s="446"/>
      <c r="W51" s="446"/>
      <c r="X51" s="446"/>
      <c r="Y51" s="446"/>
      <c r="Z51" s="446"/>
    </row>
    <row r="52" spans="2:27" s="372" customFormat="1" ht="11.25" customHeight="1">
      <c r="D52" s="446"/>
      <c r="V52" s="446"/>
      <c r="W52" s="446"/>
      <c r="X52" s="446"/>
      <c r="Y52" s="446"/>
      <c r="Z52" s="446"/>
    </row>
    <row r="53" spans="2:27" s="372" customFormat="1" ht="11.25" customHeight="1">
      <c r="D53" s="446"/>
      <c r="V53" s="446"/>
      <c r="W53" s="446"/>
      <c r="X53" s="446"/>
      <c r="Y53" s="446"/>
      <c r="Z53" s="446"/>
    </row>
    <row r="54" spans="2:27" s="372" customFormat="1" ht="11.25" customHeight="1">
      <c r="D54" s="446"/>
      <c r="V54" s="446"/>
      <c r="W54" s="446"/>
      <c r="X54" s="446"/>
      <c r="Y54" s="446"/>
      <c r="Z54" s="446"/>
    </row>
    <row r="55" spans="2:27" s="372" customFormat="1" ht="11.25" customHeight="1">
      <c r="D55" s="446"/>
      <c r="V55" s="446"/>
      <c r="W55" s="446"/>
      <c r="X55" s="446"/>
      <c r="Y55" s="446"/>
      <c r="Z55" s="446"/>
    </row>
    <row r="56" spans="2:27" s="372" customFormat="1" ht="11.25" customHeight="1">
      <c r="D56" s="446"/>
      <c r="V56" s="446"/>
      <c r="W56" s="446"/>
      <c r="X56" s="446"/>
      <c r="Y56" s="446"/>
      <c r="Z56" s="446"/>
    </row>
    <row r="57" spans="2:27" s="372" customFormat="1" ht="11.25" customHeight="1">
      <c r="D57" s="446"/>
      <c r="V57" s="446"/>
      <c r="W57" s="446"/>
      <c r="X57" s="446"/>
      <c r="Y57" s="446"/>
      <c r="Z57" s="446"/>
    </row>
    <row r="58" spans="2:27" s="372" customFormat="1" ht="11.25" customHeight="1">
      <c r="D58" s="446"/>
      <c r="V58" s="446"/>
      <c r="W58" s="446"/>
      <c r="X58" s="446"/>
      <c r="Y58" s="446"/>
      <c r="Z58" s="446"/>
    </row>
    <row r="59" spans="2:27" s="372" customFormat="1" ht="11.25" customHeight="1">
      <c r="D59" s="446"/>
      <c r="V59" s="446"/>
      <c r="W59" s="446"/>
      <c r="X59" s="446"/>
      <c r="Y59" s="446"/>
      <c r="Z59" s="446"/>
    </row>
    <row r="60" spans="2:27" s="372" customFormat="1" ht="11.25" customHeight="1">
      <c r="D60" s="446"/>
      <c r="V60" s="446"/>
      <c r="W60" s="446"/>
      <c r="X60" s="446"/>
      <c r="Y60" s="446"/>
      <c r="Z60" s="446"/>
    </row>
    <row r="61" spans="2:27" s="372" customFormat="1" ht="11.25" customHeight="1">
      <c r="D61" s="446"/>
      <c r="V61" s="446"/>
      <c r="W61" s="446"/>
      <c r="X61" s="446"/>
      <c r="Y61" s="446"/>
      <c r="Z61" s="446"/>
    </row>
    <row r="62" spans="2:27" s="372" customFormat="1" ht="11.25" customHeight="1">
      <c r="D62" s="446"/>
    </row>
    <row r="63" spans="2:27" s="372" customFormat="1" ht="13.5" customHeight="1">
      <c r="B63" s="970" t="s">
        <v>407</v>
      </c>
      <c r="C63" s="970"/>
      <c r="D63" s="970"/>
      <c r="E63" s="970"/>
      <c r="F63" s="970"/>
      <c r="G63" s="970"/>
      <c r="H63" s="970"/>
      <c r="I63" s="970"/>
      <c r="J63" s="970"/>
      <c r="K63" s="970"/>
      <c r="L63" s="970"/>
      <c r="M63" s="970"/>
      <c r="N63" s="970"/>
      <c r="O63" s="970"/>
      <c r="P63" s="970"/>
      <c r="Q63" s="970"/>
      <c r="R63" s="373"/>
      <c r="S63" s="373"/>
      <c r="T63" s="970" t="s">
        <v>408</v>
      </c>
      <c r="U63" s="970"/>
      <c r="V63" s="970"/>
      <c r="W63" s="970"/>
      <c r="X63" s="970"/>
      <c r="Y63" s="970"/>
      <c r="Z63" s="970"/>
      <c r="AA63" s="970"/>
    </row>
    <row r="64" spans="2:27" s="372" customFormat="1" ht="13.5" customHeight="1">
      <c r="B64" s="447"/>
      <c r="C64" s="447"/>
      <c r="D64" s="447"/>
      <c r="E64" s="447"/>
      <c r="F64" s="447"/>
      <c r="G64" s="447"/>
      <c r="H64" s="447"/>
      <c r="I64" s="447"/>
      <c r="J64" s="447"/>
      <c r="K64" s="447"/>
      <c r="L64" s="447"/>
      <c r="M64" s="447"/>
      <c r="N64" s="447"/>
      <c r="O64" s="447"/>
      <c r="P64" s="447"/>
      <c r="Q64" s="447"/>
      <c r="R64" s="373"/>
      <c r="S64" s="373"/>
      <c r="T64" s="447"/>
      <c r="U64" s="447"/>
      <c r="V64" s="447"/>
      <c r="W64" s="447"/>
      <c r="X64" s="447"/>
      <c r="Y64" s="447"/>
      <c r="Z64" s="447"/>
      <c r="AA64" s="447"/>
    </row>
    <row r="65" spans="2:46" s="372" customFormat="1" ht="14">
      <c r="B65" s="949" t="s">
        <v>409</v>
      </c>
      <c r="C65" s="949"/>
      <c r="D65" s="949"/>
      <c r="E65" s="949"/>
      <c r="F65" s="949"/>
      <c r="G65" s="949"/>
      <c r="H65" s="949"/>
      <c r="I65" s="949"/>
      <c r="J65" s="949"/>
      <c r="K65" s="949"/>
      <c r="L65" s="949"/>
      <c r="M65" s="949"/>
      <c r="N65" s="949"/>
      <c r="O65" s="949"/>
      <c r="P65" s="949"/>
      <c r="Q65" s="949"/>
      <c r="R65" s="371"/>
      <c r="S65" s="371"/>
      <c r="T65" s="371" t="s">
        <v>410</v>
      </c>
      <c r="U65" s="371"/>
      <c r="V65" s="371"/>
      <c r="W65" s="371"/>
      <c r="X65" s="371"/>
      <c r="Y65" s="371"/>
      <c r="Z65" s="371"/>
      <c r="AA65" s="371"/>
    </row>
    <row r="66" spans="2:46" s="372" customFormat="1" ht="15" customHeight="1">
      <c r="B66" s="973" t="s">
        <v>411</v>
      </c>
      <c r="C66" s="973"/>
      <c r="D66" s="973"/>
      <c r="E66" s="973"/>
      <c r="F66" s="973"/>
      <c r="G66" s="973"/>
      <c r="H66" s="973"/>
      <c r="I66" s="973"/>
      <c r="J66" s="973"/>
      <c r="K66" s="973"/>
      <c r="L66" s="973"/>
      <c r="M66" s="973"/>
      <c r="N66" s="973"/>
      <c r="O66" s="973"/>
      <c r="P66" s="973"/>
      <c r="Q66" s="973"/>
      <c r="R66" s="373"/>
      <c r="S66" s="973" t="s">
        <v>412</v>
      </c>
      <c r="T66" s="973"/>
      <c r="U66" s="973"/>
      <c r="V66" s="973"/>
      <c r="W66" s="973"/>
      <c r="X66" s="973"/>
      <c r="Y66" s="973"/>
      <c r="Z66" s="973"/>
      <c r="AA66" s="973"/>
      <c r="AB66" s="375"/>
      <c r="AC66" s="375"/>
      <c r="AD66" s="375"/>
      <c r="AE66" s="375"/>
      <c r="AF66" s="375"/>
      <c r="AG66" s="375"/>
      <c r="AH66" s="375"/>
      <c r="AI66" s="375"/>
      <c r="AJ66" s="375"/>
    </row>
    <row r="67" spans="2:46" ht="14.5" thickBot="1">
      <c r="B67" s="372"/>
      <c r="C67" s="372"/>
      <c r="D67" s="372"/>
      <c r="E67" s="372"/>
      <c r="F67" s="372"/>
      <c r="G67" s="372"/>
      <c r="H67" s="372"/>
      <c r="I67" s="372"/>
      <c r="J67" s="372"/>
      <c r="K67" s="372"/>
      <c r="L67" s="372"/>
      <c r="M67" s="372"/>
      <c r="N67" s="372"/>
      <c r="O67" s="372"/>
      <c r="P67" s="971" t="s">
        <v>413</v>
      </c>
      <c r="Q67" s="971"/>
      <c r="R67" s="377"/>
      <c r="S67" s="377"/>
      <c r="T67" s="372"/>
      <c r="U67" s="372"/>
      <c r="V67" s="372"/>
      <c r="W67" s="372"/>
      <c r="X67" s="372"/>
      <c r="Y67" s="372"/>
      <c r="Z67" s="372"/>
      <c r="AA67" s="376" t="s">
        <v>414</v>
      </c>
    </row>
    <row r="68" spans="2:46" ht="14.5">
      <c r="B68" s="958" t="s">
        <v>382</v>
      </c>
      <c r="C68" s="972"/>
      <c r="D68" s="378"/>
      <c r="E68" s="953" t="s">
        <v>383</v>
      </c>
      <c r="F68" s="954"/>
      <c r="G68" s="954"/>
      <c r="H68" s="954"/>
      <c r="I68" s="379" t="s">
        <v>384</v>
      </c>
      <c r="J68" s="955" t="s">
        <v>255</v>
      </c>
      <c r="K68" s="955"/>
      <c r="L68" s="956"/>
      <c r="M68" s="955"/>
      <c r="N68" s="955"/>
      <c r="O68" s="955"/>
      <c r="P68" s="955"/>
      <c r="Q68" s="957"/>
      <c r="R68" s="380"/>
      <c r="S68" s="371"/>
      <c r="T68" s="958" t="s">
        <v>382</v>
      </c>
      <c r="U68" s="959"/>
      <c r="V68" s="381" t="s">
        <v>104</v>
      </c>
      <c r="W68" s="382" t="s">
        <v>385</v>
      </c>
      <c r="X68" s="381" t="s">
        <v>386</v>
      </c>
      <c r="Y68" s="381" t="s">
        <v>387</v>
      </c>
      <c r="Z68" s="383" t="s">
        <v>388</v>
      </c>
      <c r="AA68" s="384" t="s">
        <v>389</v>
      </c>
    </row>
    <row r="69" spans="2:46" ht="14.5">
      <c r="B69" s="960" t="s">
        <v>390</v>
      </c>
      <c r="C69" s="961"/>
      <c r="D69" s="385" t="s">
        <v>104</v>
      </c>
      <c r="E69" s="385" t="s">
        <v>391</v>
      </c>
      <c r="F69" s="385" t="s">
        <v>20</v>
      </c>
      <c r="G69" s="385" t="s">
        <v>15</v>
      </c>
      <c r="H69" s="385" t="s">
        <v>1</v>
      </c>
      <c r="I69" s="385" t="s">
        <v>13</v>
      </c>
      <c r="J69" s="385" t="s">
        <v>16</v>
      </c>
      <c r="K69" s="380" t="s">
        <v>269</v>
      </c>
      <c r="L69" s="386" t="s">
        <v>17</v>
      </c>
      <c r="M69" s="385" t="s">
        <v>392</v>
      </c>
      <c r="N69" s="387" t="s">
        <v>393</v>
      </c>
      <c r="O69" s="387" t="s">
        <v>323</v>
      </c>
      <c r="P69" s="385" t="s">
        <v>394</v>
      </c>
      <c r="Q69" s="388" t="s">
        <v>395</v>
      </c>
      <c r="R69" s="389"/>
      <c r="S69" s="389"/>
      <c r="T69" s="960" t="s">
        <v>390</v>
      </c>
      <c r="U69" s="961"/>
      <c r="V69" s="390" t="s">
        <v>396</v>
      </c>
      <c r="W69" s="391" t="s">
        <v>397</v>
      </c>
      <c r="X69" s="391" t="s">
        <v>398</v>
      </c>
      <c r="Y69" s="391" t="s">
        <v>399</v>
      </c>
      <c r="Z69" s="391" t="s">
        <v>400</v>
      </c>
      <c r="AA69" s="449" t="s">
        <v>401</v>
      </c>
    </row>
    <row r="70" spans="2:46" ht="24.75" customHeight="1">
      <c r="B70" s="393"/>
      <c r="C70" s="394"/>
      <c r="D70" s="395" t="s">
        <v>396</v>
      </c>
      <c r="E70" s="396" t="s">
        <v>279</v>
      </c>
      <c r="F70" s="397" t="s">
        <v>283</v>
      </c>
      <c r="G70" s="397" t="s">
        <v>281</v>
      </c>
      <c r="H70" s="398" t="s">
        <v>285</v>
      </c>
      <c r="I70" s="399" t="s">
        <v>286</v>
      </c>
      <c r="J70" s="397" t="s">
        <v>280</v>
      </c>
      <c r="K70" s="397" t="s">
        <v>402</v>
      </c>
      <c r="L70" s="400" t="s">
        <v>286</v>
      </c>
      <c r="M70" s="399" t="s">
        <v>403</v>
      </c>
      <c r="N70" s="401" t="s">
        <v>289</v>
      </c>
      <c r="O70" s="402" t="s">
        <v>404</v>
      </c>
      <c r="P70" s="399" t="s">
        <v>326</v>
      </c>
      <c r="Q70" s="403" t="s">
        <v>405</v>
      </c>
      <c r="R70" s="371"/>
      <c r="S70" s="371"/>
      <c r="T70" s="404"/>
      <c r="U70" s="405"/>
      <c r="V70" s="406"/>
      <c r="W70" s="407"/>
      <c r="X70" s="407"/>
      <c r="Y70" s="407"/>
      <c r="Z70" s="408"/>
      <c r="AA70" s="450"/>
      <c r="AB70" s="451"/>
      <c r="AC70" s="451"/>
      <c r="AD70" s="451"/>
      <c r="AE70" s="451"/>
      <c r="AF70" s="451"/>
      <c r="AG70" s="451"/>
      <c r="AH70" s="451"/>
      <c r="AI70" s="451"/>
      <c r="AJ70" s="451"/>
      <c r="AK70" s="451"/>
      <c r="AL70" s="451"/>
      <c r="AM70" s="451"/>
      <c r="AN70" s="451"/>
      <c r="AO70" s="451"/>
      <c r="AP70" s="451"/>
      <c r="AQ70" s="451"/>
      <c r="AR70" s="451"/>
      <c r="AS70" s="451"/>
      <c r="AT70" s="451"/>
    </row>
    <row r="71" spans="2:46" ht="14">
      <c r="B71" s="452" t="s">
        <v>104</v>
      </c>
      <c r="C71" s="453"/>
      <c r="D71" s="454">
        <f t="shared" ref="D71:Q71" si="4">SUM(D74:D112)</f>
        <v>444438214.01499999</v>
      </c>
      <c r="E71" s="454">
        <f t="shared" si="4"/>
        <v>31442409</v>
      </c>
      <c r="F71" s="454">
        <f t="shared" si="4"/>
        <v>22350080</v>
      </c>
      <c r="G71" s="454">
        <f t="shared" si="4"/>
        <v>421440</v>
      </c>
      <c r="H71" s="454">
        <f t="shared" si="4"/>
        <v>99317884</v>
      </c>
      <c r="I71" s="454">
        <f t="shared" si="4"/>
        <v>0</v>
      </c>
      <c r="J71" s="454">
        <f t="shared" si="4"/>
        <v>48664051.015000001</v>
      </c>
      <c r="K71" s="454">
        <f t="shared" si="4"/>
        <v>0</v>
      </c>
      <c r="L71" s="454">
        <f t="shared" si="4"/>
        <v>194850</v>
      </c>
      <c r="M71" s="454">
        <f t="shared" si="4"/>
        <v>0</v>
      </c>
      <c r="N71" s="454">
        <f t="shared" si="4"/>
        <v>12100600</v>
      </c>
      <c r="O71" s="454">
        <f t="shared" si="4"/>
        <v>0</v>
      </c>
      <c r="P71" s="454">
        <f t="shared" si="4"/>
        <v>229946900</v>
      </c>
      <c r="Q71" s="454">
        <f t="shared" si="4"/>
        <v>0</v>
      </c>
      <c r="R71" s="455"/>
      <c r="S71" s="455"/>
      <c r="T71" s="456" t="s">
        <v>104</v>
      </c>
      <c r="U71" s="457"/>
      <c r="V71" s="458">
        <f>SUM(V74:V112)</f>
        <v>444438214.01499999</v>
      </c>
      <c r="W71" s="458">
        <f>SUM(W74:W112)</f>
        <v>139178292</v>
      </c>
      <c r="X71" s="458">
        <f>SUM(X74:X112)</f>
        <v>126600112.006</v>
      </c>
      <c r="Y71" s="458">
        <f>SUM(Y74:Y112)</f>
        <v>63903725.009000003</v>
      </c>
      <c r="Z71" s="458">
        <f>SUM(Z74:Z112)</f>
        <v>114756085</v>
      </c>
      <c r="AA71" s="459"/>
      <c r="AB71" s="451"/>
      <c r="AC71" s="451"/>
      <c r="AD71" s="451"/>
      <c r="AE71" s="451"/>
      <c r="AF71" s="451"/>
      <c r="AG71" s="451"/>
      <c r="AH71" s="451"/>
      <c r="AI71" s="451"/>
      <c r="AJ71" s="451"/>
      <c r="AK71" s="451"/>
      <c r="AL71" s="451"/>
      <c r="AM71" s="451"/>
      <c r="AN71" s="451"/>
      <c r="AO71" s="451"/>
      <c r="AP71" s="451"/>
      <c r="AQ71" s="451"/>
      <c r="AR71" s="451"/>
      <c r="AS71" s="451"/>
      <c r="AT71" s="451"/>
    </row>
    <row r="72" spans="2:46" ht="5.25" customHeight="1">
      <c r="B72" s="420"/>
      <c r="C72" s="421"/>
      <c r="D72" s="460"/>
      <c r="E72" s="460"/>
      <c r="F72" s="460"/>
      <c r="G72" s="460"/>
      <c r="H72" s="460"/>
      <c r="I72" s="460"/>
      <c r="J72" s="460"/>
      <c r="K72" s="460"/>
      <c r="L72" s="460"/>
      <c r="M72" s="460"/>
      <c r="N72" s="460"/>
      <c r="O72" s="460"/>
      <c r="P72" s="460"/>
      <c r="Q72" s="461"/>
      <c r="R72" s="462"/>
      <c r="S72" s="462"/>
      <c r="T72" s="463"/>
      <c r="U72" s="464"/>
      <c r="V72" s="465"/>
      <c r="W72" s="465"/>
      <c r="X72" s="465"/>
      <c r="Y72" s="465"/>
      <c r="Z72" s="465"/>
      <c r="AA72" s="466"/>
    </row>
    <row r="73" spans="2:46" ht="5.25" customHeight="1">
      <c r="B73" s="427"/>
      <c r="C73" s="428"/>
      <c r="D73" s="467"/>
      <c r="E73" s="467"/>
      <c r="F73" s="467"/>
      <c r="G73" s="467"/>
      <c r="H73" s="467"/>
      <c r="I73" s="467"/>
      <c r="J73" s="467"/>
      <c r="K73" s="467"/>
      <c r="L73" s="467"/>
      <c r="M73" s="467"/>
      <c r="N73" s="467"/>
      <c r="O73" s="467"/>
      <c r="P73" s="467"/>
      <c r="Q73" s="468"/>
      <c r="R73" s="462"/>
      <c r="S73" s="462"/>
      <c r="T73" s="469"/>
      <c r="U73" s="470"/>
      <c r="V73" s="471"/>
      <c r="W73" s="471"/>
      <c r="X73" s="471"/>
      <c r="Y73" s="471"/>
      <c r="Z73" s="471"/>
      <c r="AA73" s="472"/>
    </row>
    <row r="74" spans="2:46" ht="15.75" customHeight="1">
      <c r="B74" s="427">
        <v>1</v>
      </c>
      <c r="C74" s="840" t="s">
        <v>137</v>
      </c>
      <c r="D74" s="467">
        <f>SUM(E74:Q74)</f>
        <v>0</v>
      </c>
      <c r="E74" s="432">
        <f>'P NP MINAPADI KAB'!AK6</f>
        <v>0</v>
      </c>
      <c r="F74" s="432">
        <f>'P NP MINAPADI KAB'!AU6</f>
        <v>0</v>
      </c>
      <c r="G74" s="432">
        <f>'P NP MINAPADI KAB'!AM6</f>
        <v>0</v>
      </c>
      <c r="H74" s="432">
        <f>'P NP MINAPADI KAB'!E6</f>
        <v>0</v>
      </c>
      <c r="I74" s="432">
        <f>'P NP MINAPADI KAB'!AE6</f>
        <v>0</v>
      </c>
      <c r="J74" s="432">
        <f>'P NP MINAPADI KAB'!AO6</f>
        <v>0</v>
      </c>
      <c r="K74" s="432">
        <f>'P NP MINAPADI KAB'!Q6</f>
        <v>0</v>
      </c>
      <c r="L74" s="432">
        <f>'P NP MINAPADI KAB'!AQ6</f>
        <v>0</v>
      </c>
      <c r="M74" s="432">
        <f>'P NP MINAPADI KAB'!M6</f>
        <v>0</v>
      </c>
      <c r="N74" s="432">
        <f>SUM('P NP MINAPADI KAB'!BY6)</f>
        <v>0</v>
      </c>
      <c r="O74" s="432">
        <f>'P NP MINAPADI KAB'!BE6</f>
        <v>0</v>
      </c>
      <c r="P74" s="432">
        <f>'P NP MINAPADI KAB'!BC6</f>
        <v>0</v>
      </c>
      <c r="Q74" s="433">
        <f>SUM('P NP MINAPADI KAB'!BG6)</f>
        <v>0</v>
      </c>
      <c r="R74" s="473"/>
      <c r="S74" s="473"/>
      <c r="T74" s="427">
        <v>1</v>
      </c>
      <c r="U74" s="840" t="s">
        <v>137</v>
      </c>
      <c r="V74" s="471">
        <f>SUM(W74:Z74)</f>
        <v>0</v>
      </c>
      <c r="W74" s="435">
        <f>'P NP TW'!AX7</f>
        <v>0</v>
      </c>
      <c r="X74" s="435">
        <f>'P NP TW'!AZ7</f>
        <v>0</v>
      </c>
      <c r="Y74" s="435">
        <f>'P NP TW'!BB7</f>
        <v>0</v>
      </c>
      <c r="Z74" s="435">
        <f>'P NP TW'!BD7</f>
        <v>0</v>
      </c>
      <c r="AA74" s="472"/>
      <c r="AC74" s="448">
        <v>28440</v>
      </c>
    </row>
    <row r="75" spans="2:46" ht="14.5">
      <c r="B75" s="436">
        <v>2</v>
      </c>
      <c r="C75" s="840" t="s">
        <v>121</v>
      </c>
      <c r="D75" s="467">
        <f t="shared" ref="D75:D111" si="5">SUM(E75:Q75)</f>
        <v>1867275</v>
      </c>
      <c r="E75" s="432">
        <f>'P NP MINAPADI KAB'!AK7</f>
        <v>1174075</v>
      </c>
      <c r="F75" s="432">
        <f>'P NP MINAPADI KAB'!AU7</f>
        <v>0</v>
      </c>
      <c r="G75" s="432">
        <f>'P NP MINAPADI KAB'!AM7</f>
        <v>0</v>
      </c>
      <c r="H75" s="432">
        <f>'P NP MINAPADI KAB'!E7</f>
        <v>0</v>
      </c>
      <c r="I75" s="432">
        <f>'P NP MINAPADI KAB'!AE7</f>
        <v>0</v>
      </c>
      <c r="J75" s="432">
        <f>'P NP MINAPADI KAB'!AO7</f>
        <v>693200</v>
      </c>
      <c r="K75" s="432">
        <f>'P NP MINAPADI KAB'!Q7</f>
        <v>0</v>
      </c>
      <c r="L75" s="432">
        <f>'P NP MINAPADI KAB'!AQ7</f>
        <v>0</v>
      </c>
      <c r="M75" s="432">
        <f>'P NP MINAPADI KAB'!M7</f>
        <v>0</v>
      </c>
      <c r="N75" s="432">
        <f>SUM('P NP MINAPADI KAB'!BY7)</f>
        <v>0</v>
      </c>
      <c r="O75" s="432">
        <f>'P NP MINAPADI KAB'!BE7</f>
        <v>0</v>
      </c>
      <c r="P75" s="432">
        <f>'P NP MINAPADI KAB'!BC7</f>
        <v>0</v>
      </c>
      <c r="Q75" s="433">
        <f>SUM('P NP MINAPADI KAB'!BG7)</f>
        <v>0</v>
      </c>
      <c r="R75" s="474"/>
      <c r="S75" s="474"/>
      <c r="T75" s="436">
        <v>2</v>
      </c>
      <c r="U75" s="840" t="s">
        <v>121</v>
      </c>
      <c r="V75" s="471">
        <f t="shared" ref="V75:V111" si="6">SUM(W75:Z75)</f>
        <v>1867275</v>
      </c>
      <c r="W75" s="435">
        <f>'P NP TW'!AX8</f>
        <v>510625</v>
      </c>
      <c r="X75" s="435">
        <f>'P NP TW'!AZ8</f>
        <v>436300</v>
      </c>
      <c r="Y75" s="435">
        <f>'P NP TW'!BB8</f>
        <v>472200</v>
      </c>
      <c r="Z75" s="435">
        <f>'P NP TW'!BD8</f>
        <v>448150</v>
      </c>
      <c r="AA75" s="392" t="s">
        <v>406</v>
      </c>
      <c r="AB75" s="451"/>
      <c r="AC75" s="451">
        <v>71500</v>
      </c>
      <c r="AD75" s="451"/>
      <c r="AE75" s="451"/>
      <c r="AF75" s="451"/>
      <c r="AG75" s="451"/>
      <c r="AH75" s="451"/>
      <c r="AI75" s="451"/>
      <c r="AJ75" s="451"/>
      <c r="AK75" s="451"/>
      <c r="AL75" s="451"/>
      <c r="AM75" s="451"/>
      <c r="AN75" s="451"/>
      <c r="AO75" s="451"/>
      <c r="AP75" s="451"/>
      <c r="AQ75" s="451"/>
      <c r="AR75" s="451"/>
      <c r="AS75" s="451"/>
      <c r="AT75" s="451"/>
    </row>
    <row r="76" spans="2:46" ht="14">
      <c r="B76" s="427">
        <v>3</v>
      </c>
      <c r="C76" s="840" t="s">
        <v>116</v>
      </c>
      <c r="D76" s="467">
        <f t="shared" si="5"/>
        <v>43900</v>
      </c>
      <c r="E76" s="432">
        <f>'P NP MINAPADI KAB'!AK8</f>
        <v>0</v>
      </c>
      <c r="F76" s="432">
        <f>'P NP MINAPADI KAB'!AU8</f>
        <v>0</v>
      </c>
      <c r="G76" s="432">
        <f>'P NP MINAPADI KAB'!AM8</f>
        <v>0</v>
      </c>
      <c r="H76" s="432">
        <f>'P NP MINAPADI KAB'!E8</f>
        <v>0</v>
      </c>
      <c r="I76" s="432">
        <f>'P NP MINAPADI KAB'!AE8</f>
        <v>0</v>
      </c>
      <c r="J76" s="432">
        <f>'P NP MINAPADI KAB'!AO8</f>
        <v>43900</v>
      </c>
      <c r="K76" s="432">
        <f>'P NP MINAPADI KAB'!Q8</f>
        <v>0</v>
      </c>
      <c r="L76" s="432">
        <f>'P NP MINAPADI KAB'!AQ8</f>
        <v>0</v>
      </c>
      <c r="M76" s="432">
        <f>'P NP MINAPADI KAB'!M8</f>
        <v>0</v>
      </c>
      <c r="N76" s="432">
        <f>SUM('P NP MINAPADI KAB'!BY8)</f>
        <v>0</v>
      </c>
      <c r="O76" s="432">
        <f>'P NP MINAPADI KAB'!BE8</f>
        <v>0</v>
      </c>
      <c r="P76" s="432">
        <f>'P NP MINAPADI KAB'!BC8</f>
        <v>0</v>
      </c>
      <c r="Q76" s="433">
        <f>SUM('P NP MINAPADI KAB'!BG8)</f>
        <v>0</v>
      </c>
      <c r="R76" s="462"/>
      <c r="S76" s="462"/>
      <c r="T76" s="427">
        <v>3</v>
      </c>
      <c r="U76" s="840" t="s">
        <v>116</v>
      </c>
      <c r="V76" s="471">
        <f t="shared" si="6"/>
        <v>43900</v>
      </c>
      <c r="W76" s="435">
        <f>'P NP TW'!AX9</f>
        <v>10300</v>
      </c>
      <c r="X76" s="435">
        <f>'P NP TW'!AZ9</f>
        <v>13200</v>
      </c>
      <c r="Y76" s="435">
        <f>'P NP TW'!BB9</f>
        <v>11280</v>
      </c>
      <c r="Z76" s="435">
        <f>'P NP TW'!BD9</f>
        <v>9120</v>
      </c>
      <c r="AA76" s="472"/>
      <c r="AB76" s="451"/>
      <c r="AC76" s="451">
        <v>127010</v>
      </c>
      <c r="AD76" s="451"/>
      <c r="AE76" s="451"/>
      <c r="AF76" s="451"/>
      <c r="AG76" s="451"/>
      <c r="AH76" s="451"/>
      <c r="AI76" s="451"/>
      <c r="AJ76" s="451"/>
      <c r="AK76" s="451"/>
      <c r="AL76" s="451"/>
      <c r="AM76" s="451"/>
      <c r="AN76" s="451"/>
      <c r="AO76" s="451"/>
      <c r="AP76" s="451"/>
      <c r="AQ76" s="451"/>
      <c r="AR76" s="451"/>
      <c r="AS76" s="451"/>
      <c r="AT76" s="451"/>
    </row>
    <row r="77" spans="2:46" ht="14">
      <c r="B77" s="427">
        <v>4</v>
      </c>
      <c r="C77" s="840" t="s">
        <v>133</v>
      </c>
      <c r="D77" s="467">
        <f t="shared" si="5"/>
        <v>1680599</v>
      </c>
      <c r="E77" s="432">
        <f>'P NP MINAPADI KAB'!AK9</f>
        <v>34920</v>
      </c>
      <c r="F77" s="432">
        <f>'P NP MINAPADI KAB'!AU9</f>
        <v>173210</v>
      </c>
      <c r="G77" s="432">
        <f>'P NP MINAPADI KAB'!AM9</f>
        <v>0</v>
      </c>
      <c r="H77" s="432">
        <f>'P NP MINAPADI KAB'!E9</f>
        <v>301444</v>
      </c>
      <c r="I77" s="432">
        <f>'P NP MINAPADI KAB'!AE9</f>
        <v>0</v>
      </c>
      <c r="J77" s="432">
        <f>'P NP MINAPADI KAB'!AO9</f>
        <v>1171025</v>
      </c>
      <c r="K77" s="432">
        <f>'P NP MINAPADI KAB'!Q9</f>
        <v>0</v>
      </c>
      <c r="L77" s="432">
        <f>'P NP MINAPADI KAB'!AQ9</f>
        <v>0</v>
      </c>
      <c r="M77" s="432">
        <f>'P NP MINAPADI KAB'!M9</f>
        <v>0</v>
      </c>
      <c r="N77" s="432">
        <f>SUM('P NP MINAPADI KAB'!BY9)</f>
        <v>0</v>
      </c>
      <c r="O77" s="432">
        <f>'P NP MINAPADI KAB'!BE9</f>
        <v>0</v>
      </c>
      <c r="P77" s="432">
        <f>'P NP MINAPADI KAB'!BC9</f>
        <v>0</v>
      </c>
      <c r="Q77" s="433">
        <f>SUM('P NP MINAPADI KAB'!BG9)</f>
        <v>0</v>
      </c>
      <c r="R77" s="462"/>
      <c r="S77" s="462"/>
      <c r="T77" s="427">
        <v>4</v>
      </c>
      <c r="U77" s="840" t="s">
        <v>133</v>
      </c>
      <c r="V77" s="471">
        <f t="shared" si="6"/>
        <v>1680599</v>
      </c>
      <c r="W77" s="435">
        <f>'P NP TW'!AX10</f>
        <v>1050747</v>
      </c>
      <c r="X77" s="435">
        <f>'P NP TW'!AZ10</f>
        <v>526427</v>
      </c>
      <c r="Y77" s="435">
        <f>'P NP TW'!BB10</f>
        <v>32575</v>
      </c>
      <c r="Z77" s="435">
        <f>'P NP TW'!BD10</f>
        <v>70850</v>
      </c>
      <c r="AA77" s="472"/>
      <c r="AB77" s="451"/>
      <c r="AC77" s="451">
        <v>493358</v>
      </c>
      <c r="AD77" s="451"/>
      <c r="AE77" s="451"/>
      <c r="AF77" s="451"/>
      <c r="AG77" s="451"/>
      <c r="AH77" s="451"/>
      <c r="AI77" s="451"/>
      <c r="AJ77" s="451"/>
      <c r="AK77" s="451"/>
      <c r="AL77" s="451"/>
      <c r="AM77" s="451"/>
      <c r="AN77" s="451"/>
      <c r="AO77" s="451"/>
      <c r="AP77" s="451"/>
      <c r="AQ77" s="451"/>
      <c r="AR77" s="451"/>
      <c r="AS77" s="451"/>
      <c r="AT77" s="451"/>
    </row>
    <row r="78" spans="2:46" ht="14">
      <c r="B78" s="436">
        <v>5</v>
      </c>
      <c r="C78" s="841" t="s">
        <v>122</v>
      </c>
      <c r="D78" s="467">
        <f t="shared" si="5"/>
        <v>0</v>
      </c>
      <c r="E78" s="432">
        <f>'P NP MINAPADI KAB'!AK10</f>
        <v>0</v>
      </c>
      <c r="F78" s="432">
        <f>'P NP MINAPADI KAB'!AU10</f>
        <v>0</v>
      </c>
      <c r="G78" s="432">
        <f>'P NP MINAPADI KAB'!AM10</f>
        <v>0</v>
      </c>
      <c r="H78" s="432">
        <f>'P NP MINAPADI KAB'!E10</f>
        <v>0</v>
      </c>
      <c r="I78" s="432">
        <f>'P NP MINAPADI KAB'!AE10</f>
        <v>0</v>
      </c>
      <c r="J78" s="432">
        <f>'P NP MINAPADI KAB'!AO10</f>
        <v>0</v>
      </c>
      <c r="K78" s="432">
        <f>'P NP MINAPADI KAB'!Q10</f>
        <v>0</v>
      </c>
      <c r="L78" s="432">
        <f>'P NP MINAPADI KAB'!AQ10</f>
        <v>0</v>
      </c>
      <c r="M78" s="432">
        <f>'P NP MINAPADI KAB'!M10</f>
        <v>0</v>
      </c>
      <c r="N78" s="432">
        <f>SUM('P NP MINAPADI KAB'!BY10)</f>
        <v>0</v>
      </c>
      <c r="O78" s="432">
        <f>'P NP MINAPADI KAB'!BE10</f>
        <v>0</v>
      </c>
      <c r="P78" s="432">
        <f>'P NP MINAPADI KAB'!BC10</f>
        <v>0</v>
      </c>
      <c r="Q78" s="433">
        <f>SUM('P NP MINAPADI KAB'!BG10)</f>
        <v>0</v>
      </c>
      <c r="R78" s="462"/>
      <c r="S78" s="462"/>
      <c r="T78" s="436">
        <v>5</v>
      </c>
      <c r="U78" s="841" t="s">
        <v>122</v>
      </c>
      <c r="V78" s="471">
        <f t="shared" si="6"/>
        <v>0</v>
      </c>
      <c r="W78" s="435">
        <f>'P NP TW'!AX11</f>
        <v>0</v>
      </c>
      <c r="X78" s="435">
        <f>'P NP TW'!AZ11</f>
        <v>0</v>
      </c>
      <c r="Y78" s="435">
        <f>'P NP TW'!BB11</f>
        <v>0</v>
      </c>
      <c r="Z78" s="435">
        <f>'P NP TW'!BD11</f>
        <v>0</v>
      </c>
      <c r="AA78" s="472"/>
      <c r="AB78" s="451"/>
      <c r="AC78" s="451">
        <v>0</v>
      </c>
      <c r="AD78" s="451"/>
      <c r="AE78" s="451"/>
      <c r="AF78" s="451"/>
      <c r="AG78" s="451"/>
      <c r="AH78" s="451"/>
      <c r="AI78" s="451"/>
      <c r="AJ78" s="451"/>
      <c r="AK78" s="451"/>
      <c r="AL78" s="451"/>
      <c r="AM78" s="451"/>
      <c r="AN78" s="451"/>
      <c r="AO78" s="451"/>
      <c r="AP78" s="451"/>
      <c r="AQ78" s="451"/>
      <c r="AR78" s="451"/>
      <c r="AS78" s="451"/>
      <c r="AT78" s="451"/>
    </row>
    <row r="79" spans="2:46" ht="14">
      <c r="B79" s="427">
        <v>6</v>
      </c>
      <c r="C79" s="841" t="s">
        <v>136</v>
      </c>
      <c r="D79" s="467">
        <f t="shared" si="5"/>
        <v>0</v>
      </c>
      <c r="E79" s="432">
        <f>'P NP MINAPADI KAB'!AK11</f>
        <v>0</v>
      </c>
      <c r="F79" s="432">
        <f>'P NP MINAPADI KAB'!AU11</f>
        <v>0</v>
      </c>
      <c r="G79" s="432">
        <f>'P NP MINAPADI KAB'!AM11</f>
        <v>0</v>
      </c>
      <c r="H79" s="432">
        <f>'P NP MINAPADI KAB'!E11</f>
        <v>0</v>
      </c>
      <c r="I79" s="432">
        <f>'P NP MINAPADI KAB'!AE11</f>
        <v>0</v>
      </c>
      <c r="J79" s="432">
        <f>'P NP MINAPADI KAB'!AO11</f>
        <v>0</v>
      </c>
      <c r="K79" s="432">
        <f>'P NP MINAPADI KAB'!Q11</f>
        <v>0</v>
      </c>
      <c r="L79" s="432">
        <f>'P NP MINAPADI KAB'!AQ11</f>
        <v>0</v>
      </c>
      <c r="M79" s="432">
        <f>'P NP MINAPADI KAB'!M11</f>
        <v>0</v>
      </c>
      <c r="N79" s="432">
        <f>SUM('P NP MINAPADI KAB'!BY11)</f>
        <v>0</v>
      </c>
      <c r="O79" s="432">
        <f>'P NP MINAPADI KAB'!BE11</f>
        <v>0</v>
      </c>
      <c r="P79" s="432">
        <f>'P NP MINAPADI KAB'!BC11</f>
        <v>0</v>
      </c>
      <c r="Q79" s="433">
        <f>SUM('P NP MINAPADI KAB'!BG11)</f>
        <v>0</v>
      </c>
      <c r="R79" s="462"/>
      <c r="S79" s="462"/>
      <c r="T79" s="427">
        <v>6</v>
      </c>
      <c r="U79" s="841" t="s">
        <v>136</v>
      </c>
      <c r="V79" s="471">
        <f t="shared" si="6"/>
        <v>0</v>
      </c>
      <c r="W79" s="435">
        <f>'P NP TW'!AX12</f>
        <v>0</v>
      </c>
      <c r="X79" s="435">
        <f>'P NP TW'!AZ12</f>
        <v>0</v>
      </c>
      <c r="Y79" s="435">
        <f>'P NP TW'!BB12</f>
        <v>0</v>
      </c>
      <c r="Z79" s="435">
        <f>'P NP TW'!BD12</f>
        <v>0</v>
      </c>
      <c r="AA79" s="472"/>
      <c r="AB79" s="451"/>
      <c r="AC79" s="451">
        <v>144000</v>
      </c>
      <c r="AD79" s="451"/>
      <c r="AE79" s="451"/>
      <c r="AF79" s="451"/>
      <c r="AG79" s="451"/>
      <c r="AH79" s="451"/>
      <c r="AI79" s="451"/>
      <c r="AJ79" s="451"/>
      <c r="AK79" s="451"/>
      <c r="AL79" s="451"/>
      <c r="AM79" s="451"/>
      <c r="AN79" s="451"/>
      <c r="AO79" s="451"/>
      <c r="AP79" s="451"/>
      <c r="AQ79" s="451"/>
      <c r="AR79" s="451"/>
      <c r="AS79" s="451"/>
      <c r="AT79" s="451"/>
    </row>
    <row r="80" spans="2:46" ht="14">
      <c r="B80" s="427">
        <v>7</v>
      </c>
      <c r="C80" s="841" t="s">
        <v>120</v>
      </c>
      <c r="D80" s="467">
        <f t="shared" si="5"/>
        <v>879880.01500000001</v>
      </c>
      <c r="E80" s="432">
        <f>'P NP MINAPADI KAB'!AK12</f>
        <v>138854</v>
      </c>
      <c r="F80" s="432">
        <f>'P NP MINAPADI KAB'!AU12</f>
        <v>0</v>
      </c>
      <c r="G80" s="432">
        <f>'P NP MINAPADI KAB'!AM12</f>
        <v>0</v>
      </c>
      <c r="H80" s="432">
        <f>'P NP MINAPADI KAB'!E12</f>
        <v>0</v>
      </c>
      <c r="I80" s="432">
        <f>'P NP MINAPADI KAB'!AE12</f>
        <v>0</v>
      </c>
      <c r="J80" s="432">
        <f>'P NP MINAPADI KAB'!AO12</f>
        <v>741026.01500000001</v>
      </c>
      <c r="K80" s="432">
        <f>'P NP MINAPADI KAB'!Q12</f>
        <v>0</v>
      </c>
      <c r="L80" s="432">
        <f>'P NP MINAPADI KAB'!AQ12</f>
        <v>0</v>
      </c>
      <c r="M80" s="432">
        <f>'P NP MINAPADI KAB'!M12</f>
        <v>0</v>
      </c>
      <c r="N80" s="432">
        <f>SUM('P NP MINAPADI KAB'!BY12)</f>
        <v>0</v>
      </c>
      <c r="O80" s="432">
        <f>'P NP MINAPADI KAB'!BE12</f>
        <v>0</v>
      </c>
      <c r="P80" s="432">
        <f>'P NP MINAPADI KAB'!BC12</f>
        <v>0</v>
      </c>
      <c r="Q80" s="433">
        <f>SUM('P NP MINAPADI KAB'!BG12)</f>
        <v>0</v>
      </c>
      <c r="R80" s="462"/>
      <c r="S80" s="462"/>
      <c r="T80" s="427">
        <v>7</v>
      </c>
      <c r="U80" s="841" t="s">
        <v>120</v>
      </c>
      <c r="V80" s="471">
        <f t="shared" si="6"/>
        <v>879880.01500000001</v>
      </c>
      <c r="W80" s="435">
        <f>'P NP TW'!AX13</f>
        <v>429250</v>
      </c>
      <c r="X80" s="435">
        <f>'P NP TW'!AZ13</f>
        <v>167145.00599999999</v>
      </c>
      <c r="Y80" s="435">
        <f>'P NP TW'!BB13</f>
        <v>123910.00899999999</v>
      </c>
      <c r="Z80" s="435">
        <f>'P NP TW'!BD13</f>
        <v>159575</v>
      </c>
      <c r="AA80" s="472"/>
      <c r="AB80" s="451"/>
      <c r="AC80" s="451">
        <v>1341616</v>
      </c>
      <c r="AD80" s="451"/>
      <c r="AE80" s="451"/>
      <c r="AF80" s="451"/>
      <c r="AG80" s="451"/>
      <c r="AH80" s="451"/>
      <c r="AI80" s="451"/>
      <c r="AJ80" s="451"/>
      <c r="AK80" s="451"/>
      <c r="AL80" s="451"/>
      <c r="AM80" s="451"/>
      <c r="AN80" s="451"/>
      <c r="AO80" s="451"/>
      <c r="AP80" s="451"/>
      <c r="AQ80" s="451"/>
      <c r="AR80" s="451"/>
      <c r="AS80" s="451"/>
      <c r="AT80" s="451"/>
    </row>
    <row r="81" spans="2:46" ht="14">
      <c r="B81" s="436">
        <v>8</v>
      </c>
      <c r="C81" s="841" t="s">
        <v>128</v>
      </c>
      <c r="D81" s="467">
        <f t="shared" si="5"/>
        <v>0</v>
      </c>
      <c r="E81" s="432">
        <f>'P NP MINAPADI KAB'!AK13</f>
        <v>0</v>
      </c>
      <c r="F81" s="432">
        <f>'P NP MINAPADI KAB'!AU13</f>
        <v>0</v>
      </c>
      <c r="G81" s="432">
        <f>'P NP MINAPADI KAB'!AM13</f>
        <v>0</v>
      </c>
      <c r="H81" s="432">
        <f>'P NP MINAPADI KAB'!E13</f>
        <v>0</v>
      </c>
      <c r="I81" s="432">
        <f>'P NP MINAPADI KAB'!AE13</f>
        <v>0</v>
      </c>
      <c r="J81" s="432">
        <f>'P NP MINAPADI KAB'!AO13</f>
        <v>0</v>
      </c>
      <c r="K81" s="432">
        <f>'P NP MINAPADI KAB'!Q13</f>
        <v>0</v>
      </c>
      <c r="L81" s="432">
        <f>'P NP MINAPADI KAB'!AQ13</f>
        <v>0</v>
      </c>
      <c r="M81" s="432">
        <f>'P NP MINAPADI KAB'!M13</f>
        <v>0</v>
      </c>
      <c r="N81" s="432">
        <f>SUM('P NP MINAPADI KAB'!BY13)</f>
        <v>0</v>
      </c>
      <c r="O81" s="432">
        <f>'P NP MINAPADI KAB'!BE13</f>
        <v>0</v>
      </c>
      <c r="P81" s="432">
        <f>'P NP MINAPADI KAB'!BC13</f>
        <v>0</v>
      </c>
      <c r="Q81" s="433">
        <f>SUM('P NP MINAPADI KAB'!BG13)</f>
        <v>0</v>
      </c>
      <c r="R81" s="462"/>
      <c r="S81" s="462"/>
      <c r="T81" s="436">
        <v>8</v>
      </c>
      <c r="U81" s="841" t="s">
        <v>128</v>
      </c>
      <c r="V81" s="471">
        <f t="shared" si="6"/>
        <v>0</v>
      </c>
      <c r="W81" s="435">
        <f>'P NP TW'!AX14</f>
        <v>0</v>
      </c>
      <c r="X81" s="435">
        <f>'P NP TW'!AZ14</f>
        <v>0</v>
      </c>
      <c r="Y81" s="435">
        <f>'P NP TW'!BB14</f>
        <v>0</v>
      </c>
      <c r="Z81" s="435">
        <f>'P NP TW'!BD14</f>
        <v>0</v>
      </c>
      <c r="AA81" s="472"/>
      <c r="AB81" s="451"/>
      <c r="AC81" s="451">
        <v>36320</v>
      </c>
      <c r="AD81" s="451"/>
      <c r="AE81" s="451"/>
      <c r="AF81" s="451"/>
      <c r="AG81" s="451"/>
      <c r="AH81" s="451"/>
      <c r="AI81" s="451"/>
      <c r="AJ81" s="451"/>
      <c r="AK81" s="451"/>
      <c r="AL81" s="451"/>
      <c r="AM81" s="451"/>
      <c r="AN81" s="451"/>
      <c r="AO81" s="451"/>
      <c r="AP81" s="451"/>
      <c r="AQ81" s="451"/>
      <c r="AR81" s="451"/>
      <c r="AS81" s="451"/>
      <c r="AT81" s="451"/>
    </row>
    <row r="82" spans="2:46" ht="14">
      <c r="B82" s="427">
        <v>9</v>
      </c>
      <c r="C82" s="841" t="s">
        <v>117</v>
      </c>
      <c r="D82" s="467">
        <f t="shared" si="5"/>
        <v>0</v>
      </c>
      <c r="E82" s="432">
        <f>'P NP MINAPADI KAB'!AK14</f>
        <v>0</v>
      </c>
      <c r="F82" s="432">
        <f>'P NP MINAPADI KAB'!AU14</f>
        <v>0</v>
      </c>
      <c r="G82" s="432">
        <f>'P NP MINAPADI KAB'!AM14</f>
        <v>0</v>
      </c>
      <c r="H82" s="432">
        <f>'P NP MINAPADI KAB'!E14</f>
        <v>0</v>
      </c>
      <c r="I82" s="432">
        <f>'P NP MINAPADI KAB'!AE14</f>
        <v>0</v>
      </c>
      <c r="J82" s="432">
        <f>'P NP MINAPADI KAB'!AO14</f>
        <v>0</v>
      </c>
      <c r="K82" s="432">
        <f>'P NP MINAPADI KAB'!Q14</f>
        <v>0</v>
      </c>
      <c r="L82" s="432">
        <f>'P NP MINAPADI KAB'!AQ14</f>
        <v>0</v>
      </c>
      <c r="M82" s="432">
        <f>'P NP MINAPADI KAB'!M14</f>
        <v>0</v>
      </c>
      <c r="N82" s="432">
        <f>SUM('P NP MINAPADI KAB'!BY14)</f>
        <v>0</v>
      </c>
      <c r="O82" s="432">
        <f>'P NP MINAPADI KAB'!BE14</f>
        <v>0</v>
      </c>
      <c r="P82" s="432">
        <f>'P NP MINAPADI KAB'!BC14</f>
        <v>0</v>
      </c>
      <c r="Q82" s="433">
        <f>SUM('P NP MINAPADI KAB'!BG14)</f>
        <v>0</v>
      </c>
      <c r="R82" s="462"/>
      <c r="S82" s="462"/>
      <c r="T82" s="427">
        <v>9</v>
      </c>
      <c r="U82" s="841" t="s">
        <v>117</v>
      </c>
      <c r="V82" s="471">
        <f t="shared" si="6"/>
        <v>0</v>
      </c>
      <c r="W82" s="435">
        <f>'P NP TW'!AX15</f>
        <v>0</v>
      </c>
      <c r="X82" s="435">
        <f>'P NP TW'!AZ15</f>
        <v>0</v>
      </c>
      <c r="Y82" s="435">
        <f>'P NP TW'!BB15</f>
        <v>0</v>
      </c>
      <c r="Z82" s="435">
        <f>'P NP TW'!BD15</f>
        <v>0</v>
      </c>
      <c r="AA82" s="472"/>
      <c r="AB82" s="451"/>
      <c r="AC82" s="451">
        <v>4968</v>
      </c>
      <c r="AD82" s="451"/>
      <c r="AE82" s="451"/>
      <c r="AF82" s="451"/>
      <c r="AG82" s="451"/>
      <c r="AH82" s="451"/>
      <c r="AI82" s="451"/>
      <c r="AJ82" s="451"/>
      <c r="AK82" s="451"/>
      <c r="AL82" s="451"/>
      <c r="AM82" s="451"/>
      <c r="AN82" s="451"/>
      <c r="AO82" s="451"/>
      <c r="AP82" s="451"/>
      <c r="AQ82" s="451"/>
      <c r="AR82" s="451"/>
      <c r="AS82" s="451"/>
      <c r="AT82" s="451"/>
    </row>
    <row r="83" spans="2:46" ht="14">
      <c r="B83" s="427">
        <v>10</v>
      </c>
      <c r="C83" s="841" t="s">
        <v>135</v>
      </c>
      <c r="D83" s="467">
        <f t="shared" si="5"/>
        <v>0</v>
      </c>
      <c r="E83" s="432">
        <f>'P NP MINAPADI KAB'!AK15</f>
        <v>0</v>
      </c>
      <c r="F83" s="432">
        <f>'P NP MINAPADI KAB'!AU15</f>
        <v>0</v>
      </c>
      <c r="G83" s="432">
        <f>'P NP MINAPADI KAB'!AM15</f>
        <v>0</v>
      </c>
      <c r="H83" s="432">
        <f>'P NP MINAPADI KAB'!E15</f>
        <v>0</v>
      </c>
      <c r="I83" s="432">
        <f>'P NP MINAPADI KAB'!AE15</f>
        <v>0</v>
      </c>
      <c r="J83" s="432">
        <f>'P NP MINAPADI KAB'!AO15</f>
        <v>0</v>
      </c>
      <c r="K83" s="432">
        <f>'P NP MINAPADI KAB'!Q15</f>
        <v>0</v>
      </c>
      <c r="L83" s="432">
        <f>'P NP MINAPADI KAB'!AQ15</f>
        <v>0</v>
      </c>
      <c r="M83" s="432">
        <f>'P NP MINAPADI KAB'!M15</f>
        <v>0</v>
      </c>
      <c r="N83" s="432">
        <f>SUM('P NP MINAPADI KAB'!BY15)</f>
        <v>0</v>
      </c>
      <c r="O83" s="432">
        <f>'P NP MINAPADI KAB'!BE15</f>
        <v>0</v>
      </c>
      <c r="P83" s="432">
        <f>'P NP MINAPADI KAB'!BC15</f>
        <v>0</v>
      </c>
      <c r="Q83" s="433">
        <f>SUM('P NP MINAPADI KAB'!BG15)</f>
        <v>0</v>
      </c>
      <c r="R83" s="462"/>
      <c r="S83" s="462"/>
      <c r="T83" s="427">
        <v>10</v>
      </c>
      <c r="U83" s="841" t="s">
        <v>135</v>
      </c>
      <c r="V83" s="471">
        <f t="shared" si="6"/>
        <v>0</v>
      </c>
      <c r="W83" s="435">
        <f>'P NP TW'!AX16</f>
        <v>0</v>
      </c>
      <c r="X83" s="435">
        <f>'P NP TW'!AZ16</f>
        <v>0</v>
      </c>
      <c r="Y83" s="435">
        <f>'P NP TW'!BB16</f>
        <v>0</v>
      </c>
      <c r="Z83" s="435">
        <f>'P NP TW'!BD16</f>
        <v>0</v>
      </c>
      <c r="AA83" s="472"/>
      <c r="AB83" s="451"/>
      <c r="AC83" s="451">
        <v>0</v>
      </c>
      <c r="AD83" s="451"/>
      <c r="AE83" s="451"/>
      <c r="AF83" s="451"/>
      <c r="AG83" s="451"/>
      <c r="AH83" s="451"/>
      <c r="AI83" s="451"/>
      <c r="AJ83" s="451"/>
      <c r="AK83" s="451"/>
      <c r="AL83" s="451"/>
      <c r="AM83" s="451"/>
      <c r="AN83" s="451"/>
      <c r="AO83" s="451"/>
      <c r="AP83" s="451"/>
      <c r="AQ83" s="451"/>
      <c r="AR83" s="451"/>
      <c r="AS83" s="451"/>
      <c r="AT83" s="451"/>
    </row>
    <row r="84" spans="2:46" ht="14">
      <c r="B84" s="427">
        <v>11</v>
      </c>
      <c r="C84" s="841" t="s">
        <v>119</v>
      </c>
      <c r="D84" s="467">
        <f t="shared" si="5"/>
        <v>0</v>
      </c>
      <c r="E84" s="432">
        <f>'P NP MINAPADI KAB'!AK16</f>
        <v>0</v>
      </c>
      <c r="F84" s="432">
        <f>'P NP MINAPADI KAB'!AU16</f>
        <v>0</v>
      </c>
      <c r="G84" s="432">
        <f>'P NP MINAPADI KAB'!AM16</f>
        <v>0</v>
      </c>
      <c r="H84" s="432">
        <f>'P NP MINAPADI KAB'!E16</f>
        <v>0</v>
      </c>
      <c r="I84" s="432">
        <f>'P NP MINAPADI KAB'!AE16</f>
        <v>0</v>
      </c>
      <c r="J84" s="432">
        <f>'P NP MINAPADI KAB'!AO16</f>
        <v>0</v>
      </c>
      <c r="K84" s="432">
        <f>'P NP MINAPADI KAB'!Q16</f>
        <v>0</v>
      </c>
      <c r="L84" s="432">
        <f>'P NP MINAPADI KAB'!AQ16</f>
        <v>0</v>
      </c>
      <c r="M84" s="432">
        <f>'P NP MINAPADI KAB'!M16</f>
        <v>0</v>
      </c>
      <c r="N84" s="432">
        <f>SUM('P NP MINAPADI KAB'!BY16)</f>
        <v>0</v>
      </c>
      <c r="O84" s="432">
        <f>'P NP MINAPADI KAB'!BE16</f>
        <v>0</v>
      </c>
      <c r="P84" s="432">
        <f>'P NP MINAPADI KAB'!BC16</f>
        <v>0</v>
      </c>
      <c r="Q84" s="433">
        <f>SUM('P NP MINAPADI KAB'!BG16)</f>
        <v>0</v>
      </c>
      <c r="R84" s="462"/>
      <c r="S84" s="462"/>
      <c r="T84" s="427">
        <v>11</v>
      </c>
      <c r="U84" s="841" t="s">
        <v>119</v>
      </c>
      <c r="V84" s="471">
        <f t="shared" si="6"/>
        <v>0</v>
      </c>
      <c r="W84" s="435">
        <f>'P NP TW'!AX17</f>
        <v>0</v>
      </c>
      <c r="X84" s="435">
        <f>'P NP TW'!AZ17</f>
        <v>0</v>
      </c>
      <c r="Y84" s="435">
        <f>'P NP TW'!BB17</f>
        <v>0</v>
      </c>
      <c r="Z84" s="435">
        <f>'P NP TW'!BD17</f>
        <v>0</v>
      </c>
      <c r="AA84" s="472"/>
      <c r="AB84" s="451"/>
      <c r="AC84" s="451"/>
      <c r="AD84" s="451"/>
      <c r="AE84" s="451"/>
      <c r="AF84" s="451"/>
      <c r="AG84" s="451"/>
      <c r="AH84" s="451"/>
      <c r="AI84" s="451"/>
      <c r="AJ84" s="451"/>
      <c r="AK84" s="451"/>
      <c r="AL84" s="451"/>
      <c r="AM84" s="451"/>
      <c r="AN84" s="451"/>
      <c r="AO84" s="451"/>
      <c r="AP84" s="451"/>
      <c r="AQ84" s="451"/>
      <c r="AR84" s="451"/>
      <c r="AS84" s="451"/>
      <c r="AT84" s="451"/>
    </row>
    <row r="85" spans="2:46" ht="14">
      <c r="B85" s="427">
        <v>12</v>
      </c>
      <c r="C85" s="841" t="s">
        <v>130</v>
      </c>
      <c r="D85" s="467">
        <f t="shared" si="5"/>
        <v>0</v>
      </c>
      <c r="E85" s="432">
        <f>'P NP MINAPADI KAB'!AK17</f>
        <v>0</v>
      </c>
      <c r="F85" s="432">
        <f>'P NP MINAPADI KAB'!AU17</f>
        <v>0</v>
      </c>
      <c r="G85" s="432">
        <f>'P NP MINAPADI KAB'!AM17</f>
        <v>0</v>
      </c>
      <c r="H85" s="432">
        <f>'P NP MINAPADI KAB'!E17</f>
        <v>0</v>
      </c>
      <c r="I85" s="432">
        <f>'P NP MINAPADI KAB'!AE17</f>
        <v>0</v>
      </c>
      <c r="J85" s="432">
        <f>'P NP MINAPADI KAB'!AO17</f>
        <v>0</v>
      </c>
      <c r="K85" s="432">
        <f>'P NP MINAPADI KAB'!Q17</f>
        <v>0</v>
      </c>
      <c r="L85" s="432">
        <f>'P NP MINAPADI KAB'!AQ17</f>
        <v>0</v>
      </c>
      <c r="M85" s="432">
        <f>'P NP MINAPADI KAB'!M17</f>
        <v>0</v>
      </c>
      <c r="N85" s="432">
        <f>SUM('P NP MINAPADI KAB'!BY17)</f>
        <v>0</v>
      </c>
      <c r="O85" s="432">
        <f>'P NP MINAPADI KAB'!BE17</f>
        <v>0</v>
      </c>
      <c r="P85" s="432">
        <f>'P NP MINAPADI KAB'!BC17</f>
        <v>0</v>
      </c>
      <c r="Q85" s="433">
        <f>SUM('P NP MINAPADI KAB'!BG17)</f>
        <v>0</v>
      </c>
      <c r="R85" s="462"/>
      <c r="S85" s="462"/>
      <c r="T85" s="427">
        <v>12</v>
      </c>
      <c r="U85" s="841" t="s">
        <v>130</v>
      </c>
      <c r="V85" s="471">
        <f t="shared" si="6"/>
        <v>0</v>
      </c>
      <c r="W85" s="435">
        <f>'P NP TW'!AX18</f>
        <v>0</v>
      </c>
      <c r="X85" s="435">
        <f>'P NP TW'!AZ18</f>
        <v>0</v>
      </c>
      <c r="Y85" s="435">
        <f>'P NP TW'!BB18</f>
        <v>0</v>
      </c>
      <c r="Z85" s="435">
        <f>'P NP TW'!BD18</f>
        <v>0</v>
      </c>
      <c r="AA85" s="472"/>
      <c r="AB85" s="451"/>
      <c r="AC85" s="451"/>
      <c r="AD85" s="451"/>
      <c r="AE85" s="451"/>
      <c r="AF85" s="451"/>
      <c r="AG85" s="451"/>
      <c r="AH85" s="451"/>
      <c r="AI85" s="451"/>
      <c r="AJ85" s="451"/>
      <c r="AK85" s="451"/>
      <c r="AL85" s="451"/>
      <c r="AM85" s="451"/>
      <c r="AN85" s="451"/>
      <c r="AO85" s="451"/>
      <c r="AP85" s="451"/>
      <c r="AQ85" s="451"/>
      <c r="AR85" s="451"/>
      <c r="AS85" s="451"/>
      <c r="AT85" s="451"/>
    </row>
    <row r="86" spans="2:46" ht="14">
      <c r="B86" s="427">
        <v>13</v>
      </c>
      <c r="C86" s="841" t="s">
        <v>131</v>
      </c>
      <c r="D86" s="467">
        <f t="shared" si="5"/>
        <v>0</v>
      </c>
      <c r="E86" s="432">
        <f>'P NP MINAPADI KAB'!AK18</f>
        <v>0</v>
      </c>
      <c r="F86" s="432">
        <f>'P NP MINAPADI KAB'!AU18</f>
        <v>0</v>
      </c>
      <c r="G86" s="432">
        <f>'P NP MINAPADI KAB'!AM18</f>
        <v>0</v>
      </c>
      <c r="H86" s="432">
        <f>'P NP MINAPADI KAB'!E18</f>
        <v>0</v>
      </c>
      <c r="I86" s="432">
        <f>'P NP MINAPADI KAB'!AE18</f>
        <v>0</v>
      </c>
      <c r="J86" s="432">
        <f>'P NP MINAPADI KAB'!AO18</f>
        <v>0</v>
      </c>
      <c r="K86" s="432">
        <f>'P NP MINAPADI KAB'!Q18</f>
        <v>0</v>
      </c>
      <c r="L86" s="432">
        <f>'P NP MINAPADI KAB'!AQ18</f>
        <v>0</v>
      </c>
      <c r="M86" s="432">
        <f>'P NP MINAPADI KAB'!M18</f>
        <v>0</v>
      </c>
      <c r="N86" s="432">
        <f>SUM('P NP MINAPADI KAB'!BY18)</f>
        <v>0</v>
      </c>
      <c r="O86" s="432">
        <f>'P NP MINAPADI KAB'!BE18</f>
        <v>0</v>
      </c>
      <c r="P86" s="432">
        <f>'P NP MINAPADI KAB'!BC18</f>
        <v>0</v>
      </c>
      <c r="Q86" s="433">
        <f>SUM('P NP MINAPADI KAB'!BG18)</f>
        <v>0</v>
      </c>
      <c r="R86" s="462"/>
      <c r="S86" s="462"/>
      <c r="T86" s="427">
        <v>13</v>
      </c>
      <c r="U86" s="841" t="s">
        <v>131</v>
      </c>
      <c r="V86" s="471">
        <f t="shared" si="6"/>
        <v>0</v>
      </c>
      <c r="W86" s="435">
        <f>'P NP TW'!AX19</f>
        <v>0</v>
      </c>
      <c r="X86" s="435">
        <f>'P NP TW'!AZ19</f>
        <v>0</v>
      </c>
      <c r="Y86" s="435">
        <f>'P NP TW'!BB19</f>
        <v>0</v>
      </c>
      <c r="Z86" s="435">
        <f>'P NP TW'!BD19</f>
        <v>0</v>
      </c>
      <c r="AA86" s="472"/>
      <c r="AB86" s="451"/>
      <c r="AC86" s="451"/>
      <c r="AD86" s="451"/>
      <c r="AE86" s="451"/>
      <c r="AF86" s="451"/>
      <c r="AG86" s="451"/>
      <c r="AH86" s="451"/>
      <c r="AI86" s="451"/>
      <c r="AJ86" s="451"/>
      <c r="AK86" s="451"/>
      <c r="AL86" s="451"/>
      <c r="AM86" s="451"/>
      <c r="AN86" s="451"/>
      <c r="AO86" s="451"/>
      <c r="AP86" s="451"/>
      <c r="AQ86" s="451"/>
      <c r="AR86" s="451"/>
      <c r="AS86" s="451"/>
      <c r="AT86" s="451"/>
    </row>
    <row r="87" spans="2:46" ht="14">
      <c r="B87" s="427">
        <v>14</v>
      </c>
      <c r="C87" s="841" t="s">
        <v>118</v>
      </c>
      <c r="D87" s="467">
        <f t="shared" si="5"/>
        <v>0</v>
      </c>
      <c r="E87" s="432">
        <f>'P NP MINAPADI KAB'!AK19</f>
        <v>0</v>
      </c>
      <c r="F87" s="432">
        <f>'P NP MINAPADI KAB'!AU19</f>
        <v>0</v>
      </c>
      <c r="G87" s="432">
        <f>'P NP MINAPADI KAB'!AM19</f>
        <v>0</v>
      </c>
      <c r="H87" s="432">
        <f>'P NP MINAPADI KAB'!E19</f>
        <v>0</v>
      </c>
      <c r="I87" s="432">
        <f>'P NP MINAPADI KAB'!AE19</f>
        <v>0</v>
      </c>
      <c r="J87" s="432">
        <f>'P NP MINAPADI KAB'!AO19</f>
        <v>0</v>
      </c>
      <c r="K87" s="432">
        <f>'P NP MINAPADI KAB'!Q19</f>
        <v>0</v>
      </c>
      <c r="L87" s="432">
        <f>'P NP MINAPADI KAB'!AQ19</f>
        <v>0</v>
      </c>
      <c r="M87" s="432">
        <f>'P NP MINAPADI KAB'!M19</f>
        <v>0</v>
      </c>
      <c r="N87" s="432">
        <f>SUM('P NP MINAPADI KAB'!BY19)</f>
        <v>0</v>
      </c>
      <c r="O87" s="432">
        <f>'P NP MINAPADI KAB'!BE19</f>
        <v>0</v>
      </c>
      <c r="P87" s="432">
        <f>'P NP MINAPADI KAB'!BC19</f>
        <v>0</v>
      </c>
      <c r="Q87" s="433">
        <f>SUM('P NP MINAPADI KAB'!BG19)</f>
        <v>0</v>
      </c>
      <c r="R87" s="462"/>
      <c r="S87" s="462"/>
      <c r="T87" s="427">
        <v>14</v>
      </c>
      <c r="U87" s="841" t="s">
        <v>118</v>
      </c>
      <c r="V87" s="471">
        <f t="shared" si="6"/>
        <v>0</v>
      </c>
      <c r="W87" s="435">
        <f>'P NP TW'!AX20</f>
        <v>0</v>
      </c>
      <c r="X87" s="435">
        <f>'P NP TW'!AZ20</f>
        <v>0</v>
      </c>
      <c r="Y87" s="435">
        <f>'P NP TW'!BB20</f>
        <v>0</v>
      </c>
      <c r="Z87" s="435">
        <f>'P NP TW'!BD20</f>
        <v>0</v>
      </c>
      <c r="AA87" s="472"/>
      <c r="AB87" s="451"/>
      <c r="AC87" s="451"/>
      <c r="AD87" s="451"/>
      <c r="AE87" s="451"/>
      <c r="AF87" s="451"/>
      <c r="AG87" s="451"/>
      <c r="AH87" s="451"/>
      <c r="AI87" s="451"/>
      <c r="AJ87" s="451"/>
      <c r="AK87" s="451"/>
      <c r="AL87" s="451"/>
      <c r="AM87" s="451"/>
      <c r="AN87" s="451"/>
      <c r="AO87" s="451"/>
      <c r="AP87" s="451"/>
      <c r="AQ87" s="451"/>
      <c r="AR87" s="451"/>
      <c r="AS87" s="451"/>
      <c r="AT87" s="451"/>
    </row>
    <row r="88" spans="2:46" ht="14">
      <c r="B88" s="427">
        <v>15</v>
      </c>
      <c r="C88" s="841" t="s">
        <v>127</v>
      </c>
      <c r="D88" s="467">
        <f t="shared" si="5"/>
        <v>0</v>
      </c>
      <c r="E88" s="432">
        <f>'P NP MINAPADI KAB'!AK20</f>
        <v>0</v>
      </c>
      <c r="F88" s="432">
        <f>'P NP MINAPADI KAB'!AU20</f>
        <v>0</v>
      </c>
      <c r="G88" s="432">
        <f>'P NP MINAPADI KAB'!AM20</f>
        <v>0</v>
      </c>
      <c r="H88" s="432">
        <f>'P NP MINAPADI KAB'!E20</f>
        <v>0</v>
      </c>
      <c r="I88" s="432">
        <f>'P NP MINAPADI KAB'!AE20</f>
        <v>0</v>
      </c>
      <c r="J88" s="432">
        <f>'P NP MINAPADI KAB'!AO20</f>
        <v>0</v>
      </c>
      <c r="K88" s="432">
        <f>'P NP MINAPADI KAB'!Q20</f>
        <v>0</v>
      </c>
      <c r="L88" s="432">
        <f>'P NP MINAPADI KAB'!AQ20</f>
        <v>0</v>
      </c>
      <c r="M88" s="432">
        <f>'P NP MINAPADI KAB'!M20</f>
        <v>0</v>
      </c>
      <c r="N88" s="432">
        <f>SUM('P NP MINAPADI KAB'!BY20)</f>
        <v>0</v>
      </c>
      <c r="O88" s="432">
        <f>'P NP MINAPADI KAB'!BE20</f>
        <v>0</v>
      </c>
      <c r="P88" s="432">
        <f>'P NP MINAPADI KAB'!BC20</f>
        <v>0</v>
      </c>
      <c r="Q88" s="433">
        <f>SUM('P NP MINAPADI KAB'!BG20)</f>
        <v>0</v>
      </c>
      <c r="R88" s="462"/>
      <c r="S88" s="462"/>
      <c r="T88" s="427">
        <v>15</v>
      </c>
      <c r="U88" s="841" t="s">
        <v>127</v>
      </c>
      <c r="V88" s="471">
        <f t="shared" si="6"/>
        <v>0</v>
      </c>
      <c r="W88" s="435">
        <f>'P NP TW'!AX21</f>
        <v>0</v>
      </c>
      <c r="X88" s="435">
        <f>'P NP TW'!AZ21</f>
        <v>0</v>
      </c>
      <c r="Y88" s="435">
        <f>'P NP TW'!BB21</f>
        <v>0</v>
      </c>
      <c r="Z88" s="435">
        <f>'P NP TW'!BD21</f>
        <v>0</v>
      </c>
      <c r="AA88" s="472"/>
      <c r="AB88" s="451"/>
      <c r="AC88" s="451"/>
      <c r="AD88" s="451"/>
      <c r="AE88" s="451"/>
      <c r="AF88" s="451"/>
      <c r="AG88" s="451"/>
      <c r="AH88" s="451"/>
      <c r="AI88" s="451"/>
      <c r="AJ88" s="451"/>
      <c r="AK88" s="451"/>
      <c r="AL88" s="451"/>
      <c r="AM88" s="451"/>
      <c r="AN88" s="451"/>
      <c r="AO88" s="451"/>
      <c r="AP88" s="451"/>
      <c r="AQ88" s="451"/>
      <c r="AR88" s="451"/>
      <c r="AS88" s="451"/>
      <c r="AT88" s="451"/>
    </row>
    <row r="89" spans="2:46" ht="14">
      <c r="B89" s="427">
        <v>16</v>
      </c>
      <c r="C89" s="841" t="s">
        <v>129</v>
      </c>
      <c r="D89" s="467">
        <f t="shared" si="5"/>
        <v>0</v>
      </c>
      <c r="E89" s="432">
        <f>'P NP MINAPADI KAB'!AK21</f>
        <v>0</v>
      </c>
      <c r="F89" s="432">
        <f>'P NP MINAPADI KAB'!AU21</f>
        <v>0</v>
      </c>
      <c r="G89" s="432">
        <f>'P NP MINAPADI KAB'!AM21</f>
        <v>0</v>
      </c>
      <c r="H89" s="432">
        <f>'P NP MINAPADI KAB'!E21</f>
        <v>0</v>
      </c>
      <c r="I89" s="432">
        <f>'P NP MINAPADI KAB'!AE21</f>
        <v>0</v>
      </c>
      <c r="J89" s="432">
        <f>'P NP MINAPADI KAB'!AO21</f>
        <v>0</v>
      </c>
      <c r="K89" s="432">
        <f>'P NP MINAPADI KAB'!Q21</f>
        <v>0</v>
      </c>
      <c r="L89" s="432">
        <f>'P NP MINAPADI KAB'!AQ21</f>
        <v>0</v>
      </c>
      <c r="M89" s="432">
        <f>'P NP MINAPADI KAB'!M21</f>
        <v>0</v>
      </c>
      <c r="N89" s="432">
        <f>SUM('P NP MINAPADI KAB'!BY21)</f>
        <v>0</v>
      </c>
      <c r="O89" s="432">
        <f>'P NP MINAPADI KAB'!BE21</f>
        <v>0</v>
      </c>
      <c r="P89" s="432">
        <f>'P NP MINAPADI KAB'!BC21</f>
        <v>0</v>
      </c>
      <c r="Q89" s="433">
        <f>SUM('P NP MINAPADI KAB'!BG21)</f>
        <v>0</v>
      </c>
      <c r="R89" s="462"/>
      <c r="S89" s="462"/>
      <c r="T89" s="427">
        <v>16</v>
      </c>
      <c r="U89" s="841" t="s">
        <v>129</v>
      </c>
      <c r="V89" s="471">
        <f t="shared" si="6"/>
        <v>0</v>
      </c>
      <c r="W89" s="435">
        <f>'P NP TW'!AX22</f>
        <v>0</v>
      </c>
      <c r="X89" s="435">
        <f>'P NP TW'!AZ22</f>
        <v>0</v>
      </c>
      <c r="Y89" s="435">
        <f>'P NP TW'!BB22</f>
        <v>0</v>
      </c>
      <c r="Z89" s="435">
        <f>'P NP TW'!BD22</f>
        <v>0</v>
      </c>
      <c r="AA89" s="472"/>
      <c r="AB89" s="451"/>
      <c r="AC89" s="451"/>
      <c r="AD89" s="451"/>
      <c r="AE89" s="451"/>
      <c r="AF89" s="451"/>
      <c r="AG89" s="451"/>
      <c r="AH89" s="451"/>
      <c r="AI89" s="451"/>
      <c r="AJ89" s="451"/>
      <c r="AK89" s="451"/>
      <c r="AL89" s="451"/>
      <c r="AM89" s="451"/>
      <c r="AN89" s="451"/>
      <c r="AO89" s="451"/>
      <c r="AP89" s="451"/>
      <c r="AQ89" s="451"/>
      <c r="AR89" s="451"/>
      <c r="AS89" s="451"/>
      <c r="AT89" s="451"/>
    </row>
    <row r="90" spans="2:46" ht="14">
      <c r="B90" s="427">
        <v>17</v>
      </c>
      <c r="C90" s="841" t="s">
        <v>132</v>
      </c>
      <c r="D90" s="467">
        <f t="shared" si="5"/>
        <v>0</v>
      </c>
      <c r="E90" s="432">
        <f>'P NP MINAPADI KAB'!AK22</f>
        <v>0</v>
      </c>
      <c r="F90" s="432">
        <f>'P NP MINAPADI KAB'!AU22</f>
        <v>0</v>
      </c>
      <c r="G90" s="432">
        <f>'P NP MINAPADI KAB'!AM22</f>
        <v>0</v>
      </c>
      <c r="H90" s="432">
        <f>'P NP MINAPADI KAB'!E22</f>
        <v>0</v>
      </c>
      <c r="I90" s="432">
        <f>'P NP MINAPADI KAB'!AE22</f>
        <v>0</v>
      </c>
      <c r="J90" s="432">
        <f>'P NP MINAPADI KAB'!AO22</f>
        <v>0</v>
      </c>
      <c r="K90" s="432">
        <f>'P NP MINAPADI KAB'!Q22</f>
        <v>0</v>
      </c>
      <c r="L90" s="432">
        <f>'P NP MINAPADI KAB'!AQ22</f>
        <v>0</v>
      </c>
      <c r="M90" s="432">
        <f>'P NP MINAPADI KAB'!M22</f>
        <v>0</v>
      </c>
      <c r="N90" s="432">
        <f>SUM('P NP MINAPADI KAB'!BY22)</f>
        <v>0</v>
      </c>
      <c r="O90" s="432">
        <f>'P NP MINAPADI KAB'!BE22</f>
        <v>0</v>
      </c>
      <c r="P90" s="432">
        <f>'P NP MINAPADI KAB'!BC22</f>
        <v>0</v>
      </c>
      <c r="Q90" s="433">
        <f>SUM('P NP MINAPADI KAB'!BG22)</f>
        <v>0</v>
      </c>
      <c r="R90" s="462"/>
      <c r="S90" s="462"/>
      <c r="T90" s="427">
        <v>17</v>
      </c>
      <c r="U90" s="841" t="s">
        <v>132</v>
      </c>
      <c r="V90" s="471">
        <f t="shared" si="6"/>
        <v>0</v>
      </c>
      <c r="W90" s="435">
        <f>'P NP TW'!AX23</f>
        <v>0</v>
      </c>
      <c r="X90" s="435">
        <f>'P NP TW'!AZ23</f>
        <v>0</v>
      </c>
      <c r="Y90" s="435">
        <f>'P NP TW'!BB23</f>
        <v>0</v>
      </c>
      <c r="Z90" s="435">
        <f>'P NP TW'!BD23</f>
        <v>0</v>
      </c>
      <c r="AA90" s="472"/>
      <c r="AB90" s="451"/>
      <c r="AC90" s="451"/>
      <c r="AD90" s="451"/>
      <c r="AE90" s="451"/>
      <c r="AF90" s="451"/>
      <c r="AG90" s="451"/>
      <c r="AH90" s="451"/>
      <c r="AI90" s="451"/>
      <c r="AJ90" s="451"/>
      <c r="AK90" s="451"/>
      <c r="AL90" s="451"/>
      <c r="AM90" s="451"/>
      <c r="AN90" s="451"/>
      <c r="AO90" s="451"/>
      <c r="AP90" s="451"/>
      <c r="AQ90" s="451"/>
      <c r="AR90" s="451"/>
      <c r="AS90" s="451"/>
      <c r="AT90" s="451"/>
    </row>
    <row r="91" spans="2:46" ht="14">
      <c r="B91" s="427">
        <v>18</v>
      </c>
      <c r="C91" s="841" t="s">
        <v>112</v>
      </c>
      <c r="D91" s="467">
        <f t="shared" si="5"/>
        <v>0</v>
      </c>
      <c r="E91" s="432">
        <f>'P NP MINAPADI KAB'!AK23</f>
        <v>0</v>
      </c>
      <c r="F91" s="432">
        <f>'P NP MINAPADI KAB'!AU23</f>
        <v>0</v>
      </c>
      <c r="G91" s="432">
        <f>'P NP MINAPADI KAB'!AM23</f>
        <v>0</v>
      </c>
      <c r="H91" s="432">
        <f>'P NP MINAPADI KAB'!E23</f>
        <v>0</v>
      </c>
      <c r="I91" s="432">
        <f>'P NP MINAPADI KAB'!AE23</f>
        <v>0</v>
      </c>
      <c r="J91" s="432">
        <f>'P NP MINAPADI KAB'!AO23</f>
        <v>0</v>
      </c>
      <c r="K91" s="432">
        <f>'P NP MINAPADI KAB'!Q23</f>
        <v>0</v>
      </c>
      <c r="L91" s="432">
        <f>'P NP MINAPADI KAB'!AQ23</f>
        <v>0</v>
      </c>
      <c r="M91" s="432">
        <f>'P NP MINAPADI KAB'!M23</f>
        <v>0</v>
      </c>
      <c r="N91" s="432">
        <f>SUM('P NP MINAPADI KAB'!BY23)</f>
        <v>0</v>
      </c>
      <c r="O91" s="432">
        <f>'P NP MINAPADI KAB'!BE23</f>
        <v>0</v>
      </c>
      <c r="P91" s="432">
        <f>'P NP MINAPADI KAB'!BC23</f>
        <v>0</v>
      </c>
      <c r="Q91" s="433">
        <f>SUM('P NP MINAPADI KAB'!BG23)</f>
        <v>0</v>
      </c>
      <c r="R91" s="462"/>
      <c r="S91" s="462"/>
      <c r="T91" s="427">
        <v>18</v>
      </c>
      <c r="U91" s="841" t="s">
        <v>112</v>
      </c>
      <c r="V91" s="471">
        <f t="shared" si="6"/>
        <v>0</v>
      </c>
      <c r="W91" s="435">
        <f>'P NP TW'!AX24</f>
        <v>0</v>
      </c>
      <c r="X91" s="435">
        <f>'P NP TW'!AZ24</f>
        <v>0</v>
      </c>
      <c r="Y91" s="435">
        <f>'P NP TW'!BB24</f>
        <v>0</v>
      </c>
      <c r="Z91" s="435">
        <f>'P NP TW'!BD24</f>
        <v>0</v>
      </c>
      <c r="AA91" s="472"/>
      <c r="AB91" s="451"/>
      <c r="AC91" s="451"/>
      <c r="AD91" s="451"/>
      <c r="AE91" s="451"/>
      <c r="AF91" s="451"/>
      <c r="AG91" s="451"/>
      <c r="AH91" s="451"/>
      <c r="AI91" s="451"/>
      <c r="AJ91" s="451"/>
      <c r="AK91" s="451"/>
      <c r="AL91" s="451"/>
      <c r="AM91" s="451"/>
      <c r="AN91" s="451"/>
      <c r="AO91" s="451"/>
      <c r="AP91" s="451"/>
      <c r="AQ91" s="451"/>
      <c r="AR91" s="451"/>
      <c r="AS91" s="451"/>
      <c r="AT91" s="451"/>
    </row>
    <row r="92" spans="2:46" ht="14">
      <c r="B92" s="427">
        <v>19</v>
      </c>
      <c r="C92" s="841" t="s">
        <v>139</v>
      </c>
      <c r="D92" s="467">
        <f t="shared" si="5"/>
        <v>0</v>
      </c>
      <c r="E92" s="432">
        <f>'P NP MINAPADI KAB'!AK24</f>
        <v>0</v>
      </c>
      <c r="F92" s="432">
        <f>'P NP MINAPADI KAB'!AU24</f>
        <v>0</v>
      </c>
      <c r="G92" s="432">
        <f>'P NP MINAPADI KAB'!AM24</f>
        <v>0</v>
      </c>
      <c r="H92" s="432">
        <f>'P NP MINAPADI KAB'!E24</f>
        <v>0</v>
      </c>
      <c r="I92" s="432">
        <f>'P NP MINAPADI KAB'!AE24</f>
        <v>0</v>
      </c>
      <c r="J92" s="432">
        <f>'P NP MINAPADI KAB'!AO24</f>
        <v>0</v>
      </c>
      <c r="K92" s="432">
        <f>'P NP MINAPADI KAB'!Q24</f>
        <v>0</v>
      </c>
      <c r="L92" s="432">
        <f>'P NP MINAPADI KAB'!AQ24</f>
        <v>0</v>
      </c>
      <c r="M92" s="432">
        <f>'P NP MINAPADI KAB'!M24</f>
        <v>0</v>
      </c>
      <c r="N92" s="432">
        <f>SUM('P NP MINAPADI KAB'!BY24)</f>
        <v>0</v>
      </c>
      <c r="O92" s="432">
        <f>'P NP MINAPADI KAB'!BE24</f>
        <v>0</v>
      </c>
      <c r="P92" s="432">
        <f>'P NP MINAPADI KAB'!BC24</f>
        <v>0</v>
      </c>
      <c r="Q92" s="433">
        <f>SUM('P NP MINAPADI KAB'!BG24)</f>
        <v>0</v>
      </c>
      <c r="R92" s="462"/>
      <c r="S92" s="462"/>
      <c r="T92" s="427">
        <v>19</v>
      </c>
      <c r="U92" s="841" t="s">
        <v>139</v>
      </c>
      <c r="V92" s="471">
        <f t="shared" si="6"/>
        <v>0</v>
      </c>
      <c r="W92" s="435">
        <f>'P NP TW'!AX25</f>
        <v>0</v>
      </c>
      <c r="X92" s="435">
        <f>'P NP TW'!AZ25</f>
        <v>0</v>
      </c>
      <c r="Y92" s="435">
        <f>'P NP TW'!BB25</f>
        <v>0</v>
      </c>
      <c r="Z92" s="435">
        <f>'P NP TW'!BD25</f>
        <v>0</v>
      </c>
      <c r="AA92" s="472"/>
      <c r="AB92" s="451"/>
      <c r="AC92" s="451"/>
      <c r="AD92" s="451"/>
      <c r="AE92" s="451"/>
      <c r="AF92" s="451"/>
      <c r="AG92" s="451"/>
      <c r="AH92" s="451"/>
      <c r="AI92" s="451"/>
      <c r="AJ92" s="451"/>
      <c r="AK92" s="451"/>
      <c r="AL92" s="451"/>
      <c r="AM92" s="451"/>
      <c r="AN92" s="451"/>
      <c r="AO92" s="451"/>
      <c r="AP92" s="451"/>
      <c r="AQ92" s="451"/>
      <c r="AR92" s="451"/>
      <c r="AS92" s="451"/>
      <c r="AT92" s="451"/>
    </row>
    <row r="93" spans="2:46" ht="14">
      <c r="B93" s="427">
        <v>20</v>
      </c>
      <c r="C93" s="841" t="s">
        <v>125</v>
      </c>
      <c r="D93" s="467">
        <f t="shared" si="5"/>
        <v>0</v>
      </c>
      <c r="E93" s="432">
        <f>'P NP MINAPADI KAB'!AK25</f>
        <v>0</v>
      </c>
      <c r="F93" s="432">
        <f>'P NP MINAPADI KAB'!AU25</f>
        <v>0</v>
      </c>
      <c r="G93" s="432">
        <f>'P NP MINAPADI KAB'!AM25</f>
        <v>0</v>
      </c>
      <c r="H93" s="432">
        <f>'P NP MINAPADI KAB'!E25</f>
        <v>0</v>
      </c>
      <c r="I93" s="432">
        <f>'P NP MINAPADI KAB'!AE25</f>
        <v>0</v>
      </c>
      <c r="J93" s="432">
        <f>'P NP MINAPADI KAB'!AO25</f>
        <v>0</v>
      </c>
      <c r="K93" s="432">
        <f>'P NP MINAPADI KAB'!Q25</f>
        <v>0</v>
      </c>
      <c r="L93" s="432">
        <f>'P NP MINAPADI KAB'!AQ25</f>
        <v>0</v>
      </c>
      <c r="M93" s="432">
        <f>'P NP MINAPADI KAB'!M25</f>
        <v>0</v>
      </c>
      <c r="N93" s="432">
        <f>SUM('P NP MINAPADI KAB'!BY25)</f>
        <v>0</v>
      </c>
      <c r="O93" s="432">
        <f>'P NP MINAPADI KAB'!BE25</f>
        <v>0</v>
      </c>
      <c r="P93" s="432">
        <f>'P NP MINAPADI KAB'!BC25</f>
        <v>0</v>
      </c>
      <c r="Q93" s="433">
        <f>SUM('P NP MINAPADI KAB'!BG25)</f>
        <v>0</v>
      </c>
      <c r="R93" s="462"/>
      <c r="S93" s="462"/>
      <c r="T93" s="427">
        <v>20</v>
      </c>
      <c r="U93" s="841" t="s">
        <v>125</v>
      </c>
      <c r="V93" s="471">
        <f t="shared" si="6"/>
        <v>0</v>
      </c>
      <c r="W93" s="435">
        <f>'P NP TW'!AX26</f>
        <v>0</v>
      </c>
      <c r="X93" s="435">
        <f>'P NP TW'!AZ26</f>
        <v>0</v>
      </c>
      <c r="Y93" s="435">
        <f>'P NP TW'!BB26</f>
        <v>0</v>
      </c>
      <c r="Z93" s="435">
        <f>'P NP TW'!BD26</f>
        <v>0</v>
      </c>
      <c r="AA93" s="472"/>
      <c r="AB93" s="451"/>
      <c r="AC93" s="451"/>
      <c r="AD93" s="451"/>
      <c r="AE93" s="451"/>
      <c r="AF93" s="451"/>
      <c r="AG93" s="451"/>
      <c r="AH93" s="451"/>
      <c r="AI93" s="451"/>
      <c r="AJ93" s="451"/>
      <c r="AK93" s="451"/>
      <c r="AL93" s="451"/>
      <c r="AM93" s="451"/>
      <c r="AN93" s="451"/>
      <c r="AO93" s="451"/>
      <c r="AP93" s="451"/>
      <c r="AQ93" s="451"/>
      <c r="AR93" s="451"/>
      <c r="AS93" s="451"/>
      <c r="AT93" s="451"/>
    </row>
    <row r="94" spans="2:46" ht="14">
      <c r="B94" s="427">
        <v>21</v>
      </c>
      <c r="C94" s="841" t="s">
        <v>113</v>
      </c>
      <c r="D94" s="467">
        <f t="shared" si="5"/>
        <v>0</v>
      </c>
      <c r="E94" s="432">
        <f>'P NP MINAPADI KAB'!AK26</f>
        <v>0</v>
      </c>
      <c r="F94" s="432">
        <f>'P NP MINAPADI KAB'!AU26</f>
        <v>0</v>
      </c>
      <c r="G94" s="432">
        <f>'P NP MINAPADI KAB'!AM26</f>
        <v>0</v>
      </c>
      <c r="H94" s="432">
        <f>'P NP MINAPADI KAB'!E26</f>
        <v>0</v>
      </c>
      <c r="I94" s="432">
        <f>'P NP MINAPADI KAB'!AE26</f>
        <v>0</v>
      </c>
      <c r="J94" s="432">
        <f>'P NP MINAPADI KAB'!AO26</f>
        <v>0</v>
      </c>
      <c r="K94" s="432">
        <f>'P NP MINAPADI KAB'!Q26</f>
        <v>0</v>
      </c>
      <c r="L94" s="432">
        <f>'P NP MINAPADI KAB'!AQ26</f>
        <v>0</v>
      </c>
      <c r="M94" s="432">
        <f>'P NP MINAPADI KAB'!M26</f>
        <v>0</v>
      </c>
      <c r="N94" s="432">
        <f>SUM('P NP MINAPADI KAB'!BY26)</f>
        <v>0</v>
      </c>
      <c r="O94" s="432">
        <f>'P NP MINAPADI KAB'!BE26</f>
        <v>0</v>
      </c>
      <c r="P94" s="432">
        <f>'P NP MINAPADI KAB'!BC26</f>
        <v>0</v>
      </c>
      <c r="Q94" s="433">
        <f>SUM('P NP MINAPADI KAB'!BG26)</f>
        <v>0</v>
      </c>
      <c r="R94" s="462"/>
      <c r="S94" s="462"/>
      <c r="T94" s="427">
        <v>21</v>
      </c>
      <c r="U94" s="841" t="s">
        <v>113</v>
      </c>
      <c r="V94" s="471">
        <f t="shared" si="6"/>
        <v>0</v>
      </c>
      <c r="W94" s="435">
        <f>'P NP TW'!AX27</f>
        <v>0</v>
      </c>
      <c r="X94" s="435">
        <f>'P NP TW'!AZ27</f>
        <v>0</v>
      </c>
      <c r="Y94" s="435">
        <f>'P NP TW'!BB27</f>
        <v>0</v>
      </c>
      <c r="Z94" s="435">
        <f>'P NP TW'!BD27</f>
        <v>0</v>
      </c>
      <c r="AA94" s="472"/>
      <c r="AB94" s="451"/>
      <c r="AC94" s="451"/>
      <c r="AD94" s="451"/>
      <c r="AE94" s="451"/>
      <c r="AF94" s="451"/>
      <c r="AG94" s="451"/>
      <c r="AH94" s="451"/>
      <c r="AI94" s="451"/>
      <c r="AJ94" s="451"/>
      <c r="AK94" s="451"/>
      <c r="AL94" s="451"/>
      <c r="AM94" s="451"/>
      <c r="AN94" s="451"/>
      <c r="AO94" s="451"/>
      <c r="AP94" s="451"/>
      <c r="AQ94" s="451"/>
      <c r="AR94" s="451"/>
      <c r="AS94" s="451"/>
      <c r="AT94" s="451"/>
    </row>
    <row r="95" spans="2:46" ht="14">
      <c r="B95" s="427">
        <v>22</v>
      </c>
      <c r="C95" s="841" t="s">
        <v>124</v>
      </c>
      <c r="D95" s="467">
        <f t="shared" si="5"/>
        <v>0</v>
      </c>
      <c r="E95" s="432">
        <f>'P NP MINAPADI KAB'!AK27</f>
        <v>0</v>
      </c>
      <c r="F95" s="432">
        <f>'P NP MINAPADI KAB'!AU27</f>
        <v>0</v>
      </c>
      <c r="G95" s="432">
        <f>'P NP MINAPADI KAB'!AM27</f>
        <v>0</v>
      </c>
      <c r="H95" s="432">
        <f>'P NP MINAPADI KAB'!E27</f>
        <v>0</v>
      </c>
      <c r="I95" s="432">
        <f>'P NP MINAPADI KAB'!AE27</f>
        <v>0</v>
      </c>
      <c r="J95" s="432">
        <f>'P NP MINAPADI KAB'!AO27</f>
        <v>0</v>
      </c>
      <c r="K95" s="432">
        <f>'P NP MINAPADI KAB'!Q27</f>
        <v>0</v>
      </c>
      <c r="L95" s="432">
        <f>'P NP MINAPADI KAB'!AQ27</f>
        <v>0</v>
      </c>
      <c r="M95" s="432">
        <f>'P NP MINAPADI KAB'!M27</f>
        <v>0</v>
      </c>
      <c r="N95" s="432">
        <f>SUM('P NP MINAPADI KAB'!BY27)</f>
        <v>0</v>
      </c>
      <c r="O95" s="432">
        <f>'P NP MINAPADI KAB'!BE27</f>
        <v>0</v>
      </c>
      <c r="P95" s="432">
        <f>'P NP MINAPADI KAB'!BC27</f>
        <v>0</v>
      </c>
      <c r="Q95" s="433">
        <f>SUM('P NP MINAPADI KAB'!BG27)</f>
        <v>0</v>
      </c>
      <c r="R95" s="462"/>
      <c r="S95" s="462"/>
      <c r="T95" s="427">
        <v>22</v>
      </c>
      <c r="U95" s="841" t="s">
        <v>124</v>
      </c>
      <c r="V95" s="471">
        <f t="shared" si="6"/>
        <v>0</v>
      </c>
      <c r="W95" s="435">
        <f>'P NP TW'!AX28</f>
        <v>0</v>
      </c>
      <c r="X95" s="435">
        <f>'P NP TW'!AZ28</f>
        <v>0</v>
      </c>
      <c r="Y95" s="435">
        <f>'P NP TW'!BB28</f>
        <v>0</v>
      </c>
      <c r="Z95" s="435">
        <f>'P NP TW'!BD28</f>
        <v>0</v>
      </c>
      <c r="AA95" s="472"/>
      <c r="AB95" s="451"/>
      <c r="AC95" s="451"/>
      <c r="AD95" s="451"/>
      <c r="AE95" s="451"/>
      <c r="AF95" s="451"/>
      <c r="AG95" s="451"/>
      <c r="AH95" s="451"/>
      <c r="AI95" s="451"/>
      <c r="AJ95" s="451"/>
      <c r="AK95" s="451"/>
      <c r="AL95" s="451"/>
      <c r="AM95" s="451"/>
      <c r="AN95" s="451"/>
      <c r="AO95" s="451"/>
      <c r="AP95" s="451"/>
      <c r="AQ95" s="451"/>
      <c r="AR95" s="451"/>
      <c r="AS95" s="451"/>
      <c r="AT95" s="451"/>
    </row>
    <row r="96" spans="2:46" ht="14">
      <c r="B96" s="427">
        <v>23</v>
      </c>
      <c r="C96" s="841" t="s">
        <v>138</v>
      </c>
      <c r="D96" s="467">
        <f t="shared" si="5"/>
        <v>0</v>
      </c>
      <c r="E96" s="432">
        <f>'P NP MINAPADI KAB'!AK28</f>
        <v>0</v>
      </c>
      <c r="F96" s="432">
        <f>'P NP MINAPADI KAB'!AU28</f>
        <v>0</v>
      </c>
      <c r="G96" s="432">
        <f>'P NP MINAPADI KAB'!AM28</f>
        <v>0</v>
      </c>
      <c r="H96" s="432">
        <f>'P NP MINAPADI KAB'!E28</f>
        <v>0</v>
      </c>
      <c r="I96" s="432">
        <f>'P NP MINAPADI KAB'!AE28</f>
        <v>0</v>
      </c>
      <c r="J96" s="432">
        <f>'P NP MINAPADI KAB'!AO28</f>
        <v>0</v>
      </c>
      <c r="K96" s="432">
        <f>'P NP MINAPADI KAB'!Q28</f>
        <v>0</v>
      </c>
      <c r="L96" s="432">
        <f>'P NP MINAPADI KAB'!AQ28</f>
        <v>0</v>
      </c>
      <c r="M96" s="432">
        <f>'P NP MINAPADI KAB'!M28</f>
        <v>0</v>
      </c>
      <c r="N96" s="432">
        <f>SUM('P NP MINAPADI KAB'!BY28)</f>
        <v>0</v>
      </c>
      <c r="O96" s="432">
        <f>'P NP MINAPADI KAB'!BE28</f>
        <v>0</v>
      </c>
      <c r="P96" s="432">
        <f>'P NP MINAPADI KAB'!BC28</f>
        <v>0</v>
      </c>
      <c r="Q96" s="433">
        <f>SUM('P NP MINAPADI KAB'!BG28)</f>
        <v>0</v>
      </c>
      <c r="R96" s="462"/>
      <c r="S96" s="462"/>
      <c r="T96" s="427">
        <v>23</v>
      </c>
      <c r="U96" s="841" t="s">
        <v>138</v>
      </c>
      <c r="V96" s="471">
        <f t="shared" si="6"/>
        <v>0</v>
      </c>
      <c r="W96" s="435">
        <f>'P NP TW'!AX29</f>
        <v>0</v>
      </c>
      <c r="X96" s="435">
        <f>'P NP TW'!AZ29</f>
        <v>0</v>
      </c>
      <c r="Y96" s="435">
        <f>'P NP TW'!BB29</f>
        <v>0</v>
      </c>
      <c r="Z96" s="435">
        <f>'P NP TW'!BD29</f>
        <v>0</v>
      </c>
      <c r="AA96" s="472"/>
      <c r="AB96" s="451"/>
      <c r="AC96" s="451"/>
      <c r="AD96" s="451"/>
      <c r="AE96" s="451"/>
      <c r="AF96" s="451"/>
      <c r="AG96" s="451"/>
      <c r="AH96" s="451"/>
      <c r="AI96" s="451"/>
      <c r="AJ96" s="451"/>
      <c r="AK96" s="451"/>
      <c r="AL96" s="451"/>
      <c r="AM96" s="451"/>
      <c r="AN96" s="451"/>
      <c r="AO96" s="451"/>
      <c r="AP96" s="451"/>
      <c r="AQ96" s="451"/>
      <c r="AR96" s="451"/>
      <c r="AS96" s="451"/>
      <c r="AT96" s="451"/>
    </row>
    <row r="97" spans="2:29" ht="14">
      <c r="B97" s="427">
        <v>24</v>
      </c>
      <c r="C97" s="841" t="s">
        <v>126</v>
      </c>
      <c r="D97" s="467">
        <f t="shared" si="5"/>
        <v>17875200</v>
      </c>
      <c r="E97" s="432">
        <f>'P NP MINAPADI KAB'!AK29</f>
        <v>0</v>
      </c>
      <c r="F97" s="432">
        <f>'P NP MINAPADI KAB'!AU29</f>
        <v>0</v>
      </c>
      <c r="G97" s="432">
        <f>'P NP MINAPADI KAB'!AM29</f>
        <v>0</v>
      </c>
      <c r="H97" s="432">
        <f>'P NP MINAPADI KAB'!E29</f>
        <v>0</v>
      </c>
      <c r="I97" s="432">
        <f>'P NP MINAPADI KAB'!AE29</f>
        <v>0</v>
      </c>
      <c r="J97" s="432">
        <f>'P NP MINAPADI KAB'!AO29</f>
        <v>13885200</v>
      </c>
      <c r="K97" s="432">
        <f>'P NP MINAPADI KAB'!Q29</f>
        <v>0</v>
      </c>
      <c r="L97" s="432">
        <f>'P NP MINAPADI KAB'!AQ29</f>
        <v>0</v>
      </c>
      <c r="M97" s="432">
        <f>'P NP MINAPADI KAB'!M29</f>
        <v>0</v>
      </c>
      <c r="N97" s="432">
        <f>SUM('P NP MINAPADI KAB'!BY29)</f>
        <v>0</v>
      </c>
      <c r="O97" s="432">
        <f>'P NP MINAPADI KAB'!BE29</f>
        <v>0</v>
      </c>
      <c r="P97" s="432">
        <f>'P NP MINAPADI KAB'!BC29</f>
        <v>3990000</v>
      </c>
      <c r="Q97" s="433">
        <f>SUM('P NP MINAPADI KAB'!BG29)</f>
        <v>0</v>
      </c>
      <c r="R97" s="462"/>
      <c r="S97" s="462"/>
      <c r="T97" s="427">
        <v>24</v>
      </c>
      <c r="U97" s="841" t="s">
        <v>126</v>
      </c>
      <c r="V97" s="471">
        <f t="shared" si="6"/>
        <v>17875200</v>
      </c>
      <c r="W97" s="435">
        <f>'P NP TW'!AX30</f>
        <v>0</v>
      </c>
      <c r="X97" s="435">
        <f>'P NP TW'!AZ30</f>
        <v>7150800</v>
      </c>
      <c r="Y97" s="435">
        <f>'P NP TW'!BB30</f>
        <v>0</v>
      </c>
      <c r="Z97" s="435">
        <f>'P NP TW'!BD30</f>
        <v>10724400</v>
      </c>
      <c r="AA97" s="472"/>
      <c r="AC97" s="448">
        <v>0</v>
      </c>
    </row>
    <row r="98" spans="2:29" ht="14">
      <c r="B98" s="427">
        <v>25</v>
      </c>
      <c r="C98" s="841" t="s">
        <v>123</v>
      </c>
      <c r="D98" s="467">
        <f t="shared" si="5"/>
        <v>0</v>
      </c>
      <c r="E98" s="432">
        <f>'P NP MINAPADI KAB'!AK30</f>
        <v>0</v>
      </c>
      <c r="F98" s="432">
        <f>'P NP MINAPADI KAB'!AU30</f>
        <v>0</v>
      </c>
      <c r="G98" s="432">
        <f>'P NP MINAPADI KAB'!AM30</f>
        <v>0</v>
      </c>
      <c r="H98" s="432">
        <f>'P NP MINAPADI KAB'!E30</f>
        <v>0</v>
      </c>
      <c r="I98" s="432">
        <f>'P NP MINAPADI KAB'!AE30</f>
        <v>0</v>
      </c>
      <c r="J98" s="432">
        <f>'P NP MINAPADI KAB'!AO30</f>
        <v>0</v>
      </c>
      <c r="K98" s="432">
        <f>'P NP MINAPADI KAB'!Q30</f>
        <v>0</v>
      </c>
      <c r="L98" s="432">
        <f>'P NP MINAPADI KAB'!AQ30</f>
        <v>0</v>
      </c>
      <c r="M98" s="432">
        <f>'P NP MINAPADI KAB'!M30</f>
        <v>0</v>
      </c>
      <c r="N98" s="432">
        <f>SUM('P NP MINAPADI KAB'!BY30)</f>
        <v>0</v>
      </c>
      <c r="O98" s="432">
        <f>'P NP MINAPADI KAB'!BE30</f>
        <v>0</v>
      </c>
      <c r="P98" s="432">
        <f>'P NP MINAPADI KAB'!BC30</f>
        <v>0</v>
      </c>
      <c r="Q98" s="433">
        <f>SUM('P NP MINAPADI KAB'!BG30)</f>
        <v>0</v>
      </c>
      <c r="R98" s="462"/>
      <c r="S98" s="462"/>
      <c r="T98" s="427">
        <v>25</v>
      </c>
      <c r="U98" s="841" t="s">
        <v>123</v>
      </c>
      <c r="V98" s="471">
        <f t="shared" si="6"/>
        <v>0</v>
      </c>
      <c r="W98" s="435">
        <f>'P NP TW'!AX31</f>
        <v>0</v>
      </c>
      <c r="X98" s="435">
        <f>'P NP TW'!AZ31</f>
        <v>0</v>
      </c>
      <c r="Y98" s="435">
        <f>'P NP TW'!BB31</f>
        <v>0</v>
      </c>
      <c r="Z98" s="435">
        <f>'P NP TW'!BD31</f>
        <v>0</v>
      </c>
      <c r="AA98" s="472"/>
      <c r="AC98" s="448">
        <v>11200</v>
      </c>
    </row>
    <row r="99" spans="2:29" ht="14">
      <c r="B99" s="427">
        <v>26</v>
      </c>
      <c r="C99" s="841" t="s">
        <v>140</v>
      </c>
      <c r="D99" s="467">
        <f t="shared" si="5"/>
        <v>0</v>
      </c>
      <c r="E99" s="432">
        <f>'P NP MINAPADI KAB'!AK31</f>
        <v>0</v>
      </c>
      <c r="F99" s="432">
        <f>'P NP MINAPADI KAB'!AU31</f>
        <v>0</v>
      </c>
      <c r="G99" s="432">
        <f>'P NP MINAPADI KAB'!AM31</f>
        <v>0</v>
      </c>
      <c r="H99" s="432">
        <f>'P NP MINAPADI KAB'!E31</f>
        <v>0</v>
      </c>
      <c r="I99" s="432">
        <f>'P NP MINAPADI KAB'!AE31</f>
        <v>0</v>
      </c>
      <c r="J99" s="432">
        <f>'P NP MINAPADI KAB'!AO31</f>
        <v>0</v>
      </c>
      <c r="K99" s="432">
        <f>'P NP MINAPADI KAB'!Q31</f>
        <v>0</v>
      </c>
      <c r="L99" s="432">
        <f>'P NP MINAPADI KAB'!AQ31</f>
        <v>0</v>
      </c>
      <c r="M99" s="432">
        <f>'P NP MINAPADI KAB'!M31</f>
        <v>0</v>
      </c>
      <c r="N99" s="432">
        <f>SUM('P NP MINAPADI KAB'!BY31)</f>
        <v>0</v>
      </c>
      <c r="O99" s="432">
        <f>'P NP MINAPADI KAB'!BE31</f>
        <v>0</v>
      </c>
      <c r="P99" s="432">
        <f>'P NP MINAPADI KAB'!BC31</f>
        <v>0</v>
      </c>
      <c r="Q99" s="433">
        <f>SUM('P NP MINAPADI KAB'!BG31)</f>
        <v>0</v>
      </c>
      <c r="R99" s="462"/>
      <c r="S99" s="462"/>
      <c r="T99" s="427">
        <v>26</v>
      </c>
      <c r="U99" s="841" t="s">
        <v>140</v>
      </c>
      <c r="V99" s="471">
        <f t="shared" si="6"/>
        <v>0</v>
      </c>
      <c r="W99" s="435">
        <f>'P NP TW'!AX32</f>
        <v>0</v>
      </c>
      <c r="X99" s="435">
        <f>'P NP TW'!AZ32</f>
        <v>0</v>
      </c>
      <c r="Y99" s="435">
        <f>'P NP TW'!BB32</f>
        <v>0</v>
      </c>
      <c r="Z99" s="435">
        <f>'P NP TW'!BD32</f>
        <v>0</v>
      </c>
      <c r="AA99" s="472"/>
      <c r="AC99" s="448">
        <v>0</v>
      </c>
    </row>
    <row r="100" spans="2:29" ht="14">
      <c r="B100" s="427">
        <v>27</v>
      </c>
      <c r="C100" s="841" t="s">
        <v>114</v>
      </c>
      <c r="D100" s="467">
        <f t="shared" si="5"/>
        <v>0</v>
      </c>
      <c r="E100" s="432">
        <f>'P NP MINAPADI KAB'!AK32</f>
        <v>0</v>
      </c>
      <c r="F100" s="432">
        <f>'P NP MINAPADI KAB'!AU32</f>
        <v>0</v>
      </c>
      <c r="G100" s="432">
        <f>'P NP MINAPADI KAB'!AM32</f>
        <v>0</v>
      </c>
      <c r="H100" s="432">
        <f>'P NP MINAPADI KAB'!E32</f>
        <v>0</v>
      </c>
      <c r="I100" s="432">
        <f>'P NP MINAPADI KAB'!AE32</f>
        <v>0</v>
      </c>
      <c r="J100" s="432">
        <f>'P NP MINAPADI KAB'!AO32</f>
        <v>0</v>
      </c>
      <c r="K100" s="432">
        <f>'P NP MINAPADI KAB'!Q32</f>
        <v>0</v>
      </c>
      <c r="L100" s="432">
        <f>'P NP MINAPADI KAB'!AQ32</f>
        <v>0</v>
      </c>
      <c r="M100" s="432">
        <f>'P NP MINAPADI KAB'!M32</f>
        <v>0</v>
      </c>
      <c r="N100" s="432">
        <f>SUM('P NP MINAPADI KAB'!BY32)</f>
        <v>0</v>
      </c>
      <c r="O100" s="432">
        <f>'P NP MINAPADI KAB'!BE32</f>
        <v>0</v>
      </c>
      <c r="P100" s="432">
        <f>'P NP MINAPADI KAB'!BC32</f>
        <v>0</v>
      </c>
      <c r="Q100" s="433">
        <f>SUM('P NP MINAPADI KAB'!BG32)</f>
        <v>0</v>
      </c>
      <c r="R100" s="462"/>
      <c r="S100" s="462"/>
      <c r="T100" s="427">
        <v>27</v>
      </c>
      <c r="U100" s="841" t="s">
        <v>114</v>
      </c>
      <c r="V100" s="471">
        <f t="shared" si="6"/>
        <v>0</v>
      </c>
      <c r="W100" s="435">
        <f>'P NP TW'!AX33</f>
        <v>0</v>
      </c>
      <c r="X100" s="435">
        <f>'P NP TW'!AZ33</f>
        <v>0</v>
      </c>
      <c r="Y100" s="435">
        <f>'P NP TW'!BB33</f>
        <v>0</v>
      </c>
      <c r="Z100" s="435">
        <f>'P NP TW'!BD33</f>
        <v>0</v>
      </c>
      <c r="AA100" s="472"/>
      <c r="AC100" s="448">
        <v>0</v>
      </c>
    </row>
    <row r="101" spans="2:29" ht="14">
      <c r="B101" s="427">
        <v>28</v>
      </c>
      <c r="C101" s="841" t="s">
        <v>134</v>
      </c>
      <c r="D101" s="467">
        <f t="shared" si="5"/>
        <v>422091360</v>
      </c>
      <c r="E101" s="432">
        <f>'P NP MINAPADI KAB'!AK33</f>
        <v>30094560</v>
      </c>
      <c r="F101" s="432">
        <f>'P NP MINAPADI KAB'!AU33</f>
        <v>22176870</v>
      </c>
      <c r="G101" s="432">
        <f>'P NP MINAPADI KAB'!AM33</f>
        <v>421440</v>
      </c>
      <c r="H101" s="432">
        <f>'P NP MINAPADI KAB'!E33</f>
        <v>99016440</v>
      </c>
      <c r="I101" s="432">
        <f>'P NP MINAPADI KAB'!AE33</f>
        <v>0</v>
      </c>
      <c r="J101" s="432">
        <f>'P NP MINAPADI KAB'!AO33</f>
        <v>32129700</v>
      </c>
      <c r="K101" s="432">
        <f>'P NP MINAPADI KAB'!Q33</f>
        <v>0</v>
      </c>
      <c r="L101" s="432">
        <f>'P NP MINAPADI KAB'!AQ33</f>
        <v>194850</v>
      </c>
      <c r="M101" s="432">
        <f>'P NP MINAPADI KAB'!M33</f>
        <v>0</v>
      </c>
      <c r="N101" s="432">
        <f>SUM('P NP MINAPADI KAB'!BY33)</f>
        <v>12100600</v>
      </c>
      <c r="O101" s="432">
        <f>'P NP MINAPADI KAB'!BE33</f>
        <v>0</v>
      </c>
      <c r="P101" s="432">
        <f>'P NP MINAPADI KAB'!BC33</f>
        <v>225956900</v>
      </c>
      <c r="Q101" s="433">
        <f>SUM('P NP MINAPADI KAB'!BG33)</f>
        <v>0</v>
      </c>
      <c r="R101" s="462"/>
      <c r="S101" s="462"/>
      <c r="T101" s="427">
        <v>28</v>
      </c>
      <c r="U101" s="841" t="s">
        <v>134</v>
      </c>
      <c r="V101" s="471">
        <f t="shared" si="6"/>
        <v>422091360</v>
      </c>
      <c r="W101" s="435">
        <f>'P NP TW'!AX34</f>
        <v>137177370</v>
      </c>
      <c r="X101" s="435">
        <f>'P NP TW'!AZ34</f>
        <v>118306240</v>
      </c>
      <c r="Y101" s="435">
        <f>'P NP TW'!BB34</f>
        <v>63263760</v>
      </c>
      <c r="Z101" s="435">
        <f>'P NP TW'!BD34</f>
        <v>103343990</v>
      </c>
      <c r="AA101" s="472"/>
      <c r="AC101" s="448">
        <v>0</v>
      </c>
    </row>
    <row r="102" spans="2:29" ht="14">
      <c r="B102" s="427">
        <v>29</v>
      </c>
      <c r="C102" s="841" t="s">
        <v>115</v>
      </c>
      <c r="D102" s="467">
        <f t="shared" si="5"/>
        <v>0</v>
      </c>
      <c r="E102" s="432">
        <f>'P NP MINAPADI KAB'!AK34</f>
        <v>0</v>
      </c>
      <c r="F102" s="432">
        <f>'P NP MINAPADI KAB'!AU34</f>
        <v>0</v>
      </c>
      <c r="G102" s="432">
        <f>'P NP MINAPADI KAB'!AM34</f>
        <v>0</v>
      </c>
      <c r="H102" s="432">
        <f>'P NP MINAPADI KAB'!E34</f>
        <v>0</v>
      </c>
      <c r="I102" s="432">
        <f>'P NP MINAPADI KAB'!AE34</f>
        <v>0</v>
      </c>
      <c r="J102" s="432">
        <f>'P NP MINAPADI KAB'!AO34</f>
        <v>0</v>
      </c>
      <c r="K102" s="432">
        <f>'P NP MINAPADI KAB'!Q34</f>
        <v>0</v>
      </c>
      <c r="L102" s="432">
        <f>'P NP MINAPADI KAB'!AQ34</f>
        <v>0</v>
      </c>
      <c r="M102" s="432">
        <f>'P NP MINAPADI KAB'!M34</f>
        <v>0</v>
      </c>
      <c r="N102" s="432">
        <f>SUM('P NP MINAPADI KAB'!BY34)</f>
        <v>0</v>
      </c>
      <c r="O102" s="432">
        <f>'P NP MINAPADI KAB'!BE34</f>
        <v>0</v>
      </c>
      <c r="P102" s="432">
        <f>'P NP MINAPADI KAB'!BC34</f>
        <v>0</v>
      </c>
      <c r="Q102" s="433">
        <f>SUM('P NP MINAPADI KAB'!BG34)</f>
        <v>0</v>
      </c>
      <c r="R102" s="462"/>
      <c r="S102" s="462"/>
      <c r="T102" s="427">
        <v>29</v>
      </c>
      <c r="U102" s="841" t="s">
        <v>115</v>
      </c>
      <c r="V102" s="471">
        <f t="shared" si="6"/>
        <v>0</v>
      </c>
      <c r="W102" s="435">
        <f>'P NP TW'!AX35</f>
        <v>0</v>
      </c>
      <c r="X102" s="435">
        <f>'P NP TW'!AZ35</f>
        <v>0</v>
      </c>
      <c r="Y102" s="435">
        <f>'P NP TW'!BB35</f>
        <v>0</v>
      </c>
      <c r="Z102" s="435">
        <f>'P NP TW'!BD35</f>
        <v>0</v>
      </c>
      <c r="AA102" s="472"/>
      <c r="AC102" s="448">
        <v>9789167</v>
      </c>
    </row>
    <row r="103" spans="2:29" ht="14">
      <c r="B103" s="427">
        <v>30</v>
      </c>
      <c r="C103" s="841" t="s">
        <v>149</v>
      </c>
      <c r="D103" s="467">
        <f t="shared" si="5"/>
        <v>0</v>
      </c>
      <c r="E103" s="432">
        <f>'P NP MINAPADI KAB'!AK35</f>
        <v>0</v>
      </c>
      <c r="F103" s="432">
        <f>'P NP MINAPADI KAB'!AU35</f>
        <v>0</v>
      </c>
      <c r="G103" s="432">
        <f>'P NP MINAPADI KAB'!AM35</f>
        <v>0</v>
      </c>
      <c r="H103" s="432">
        <f>'P NP MINAPADI KAB'!E35</f>
        <v>0</v>
      </c>
      <c r="I103" s="432">
        <f>'P NP MINAPADI KAB'!AE35</f>
        <v>0</v>
      </c>
      <c r="J103" s="432">
        <f>'P NP MINAPADI KAB'!AO35</f>
        <v>0</v>
      </c>
      <c r="K103" s="432">
        <f>'P NP MINAPADI KAB'!Q35</f>
        <v>0</v>
      </c>
      <c r="L103" s="432">
        <f>'P NP MINAPADI KAB'!AQ35</f>
        <v>0</v>
      </c>
      <c r="M103" s="432">
        <f>'P NP MINAPADI KAB'!M35</f>
        <v>0</v>
      </c>
      <c r="N103" s="432">
        <f>SUM('P NP MINAPADI KAB'!BY35)</f>
        <v>0</v>
      </c>
      <c r="O103" s="432">
        <f>'P NP MINAPADI KAB'!BE35</f>
        <v>0</v>
      </c>
      <c r="P103" s="432">
        <f>'P NP MINAPADI KAB'!BC35</f>
        <v>0</v>
      </c>
      <c r="Q103" s="433">
        <f>SUM('P NP MINAPADI KAB'!BG35)</f>
        <v>0</v>
      </c>
      <c r="R103" s="462"/>
      <c r="S103" s="462"/>
      <c r="T103" s="427">
        <v>30</v>
      </c>
      <c r="U103" s="841" t="s">
        <v>149</v>
      </c>
      <c r="V103" s="471">
        <f t="shared" si="6"/>
        <v>0</v>
      </c>
      <c r="W103" s="435">
        <f>'P NP TW'!AX36</f>
        <v>0</v>
      </c>
      <c r="X103" s="435">
        <f>'P NP TW'!AZ36</f>
        <v>0</v>
      </c>
      <c r="Y103" s="435">
        <f>'P NP TW'!BB36</f>
        <v>0</v>
      </c>
      <c r="Z103" s="435">
        <f>'P NP TW'!BD36</f>
        <v>0</v>
      </c>
      <c r="AA103" s="472"/>
      <c r="AC103" s="448">
        <v>256984788.10999998</v>
      </c>
    </row>
    <row r="104" spans="2:29" ht="14">
      <c r="B104" s="427">
        <v>31</v>
      </c>
      <c r="C104" s="841" t="s">
        <v>142</v>
      </c>
      <c r="D104" s="467">
        <f t="shared" si="5"/>
        <v>0</v>
      </c>
      <c r="E104" s="432">
        <f>'P NP MINAPADI KAB'!AK36</f>
        <v>0</v>
      </c>
      <c r="F104" s="432">
        <f>'P NP MINAPADI KAB'!AU36</f>
        <v>0</v>
      </c>
      <c r="G104" s="432">
        <f>'P NP MINAPADI KAB'!AM36</f>
        <v>0</v>
      </c>
      <c r="H104" s="432">
        <f>'P NP MINAPADI KAB'!E36</f>
        <v>0</v>
      </c>
      <c r="I104" s="432">
        <f>'P NP MINAPADI KAB'!AE36</f>
        <v>0</v>
      </c>
      <c r="J104" s="432">
        <f>'P NP MINAPADI KAB'!AO36</f>
        <v>0</v>
      </c>
      <c r="K104" s="432">
        <f>'P NP MINAPADI KAB'!Q36</f>
        <v>0</v>
      </c>
      <c r="L104" s="432">
        <f>'P NP MINAPADI KAB'!AQ36</f>
        <v>0</v>
      </c>
      <c r="M104" s="432">
        <f>'P NP MINAPADI KAB'!M36</f>
        <v>0</v>
      </c>
      <c r="N104" s="432">
        <f>SUM('P NP MINAPADI KAB'!BY36)</f>
        <v>0</v>
      </c>
      <c r="O104" s="432">
        <f>'P NP MINAPADI KAB'!BE36</f>
        <v>0</v>
      </c>
      <c r="P104" s="432">
        <f>'P NP MINAPADI KAB'!BC36</f>
        <v>0</v>
      </c>
      <c r="Q104" s="433">
        <f>SUM('P NP MINAPADI KAB'!BG36)</f>
        <v>0</v>
      </c>
      <c r="R104" s="462"/>
      <c r="S104" s="462"/>
      <c r="T104" s="427">
        <v>31</v>
      </c>
      <c r="U104" s="841" t="s">
        <v>142</v>
      </c>
      <c r="V104" s="471">
        <f t="shared" si="6"/>
        <v>0</v>
      </c>
      <c r="W104" s="435">
        <f>'P NP TW'!AX37</f>
        <v>0</v>
      </c>
      <c r="X104" s="435">
        <f>'P NP TW'!AZ37</f>
        <v>0</v>
      </c>
      <c r="Y104" s="435">
        <f>'P NP TW'!BB37</f>
        <v>0</v>
      </c>
      <c r="Z104" s="435">
        <f>'P NP TW'!BD37</f>
        <v>0</v>
      </c>
      <c r="AA104" s="472"/>
      <c r="AC104" s="448">
        <v>848816162</v>
      </c>
    </row>
    <row r="105" spans="2:29" ht="14">
      <c r="B105" s="427">
        <v>32</v>
      </c>
      <c r="C105" s="841" t="s">
        <v>141</v>
      </c>
      <c r="D105" s="467">
        <f t="shared" si="5"/>
        <v>0</v>
      </c>
      <c r="E105" s="432">
        <f>'P NP MINAPADI KAB'!AK37</f>
        <v>0</v>
      </c>
      <c r="F105" s="432">
        <f>'P NP MINAPADI KAB'!AU37</f>
        <v>0</v>
      </c>
      <c r="G105" s="432">
        <f>'P NP MINAPADI KAB'!AM37</f>
        <v>0</v>
      </c>
      <c r="H105" s="432">
        <f>'P NP MINAPADI KAB'!E37</f>
        <v>0</v>
      </c>
      <c r="I105" s="432">
        <f>'P NP MINAPADI KAB'!AE37</f>
        <v>0</v>
      </c>
      <c r="J105" s="432">
        <f>'P NP MINAPADI KAB'!AO37</f>
        <v>0</v>
      </c>
      <c r="K105" s="432">
        <f>'P NP MINAPADI KAB'!Q37</f>
        <v>0</v>
      </c>
      <c r="L105" s="432">
        <f>'P NP MINAPADI KAB'!AQ37</f>
        <v>0</v>
      </c>
      <c r="M105" s="432">
        <f>'P NP MINAPADI KAB'!M37</f>
        <v>0</v>
      </c>
      <c r="N105" s="432">
        <f>SUM('P NP MINAPADI KAB'!BY37)</f>
        <v>0</v>
      </c>
      <c r="O105" s="432">
        <f>'P NP MINAPADI KAB'!BE37</f>
        <v>0</v>
      </c>
      <c r="P105" s="432">
        <f>'P NP MINAPADI KAB'!BC37</f>
        <v>0</v>
      </c>
      <c r="Q105" s="433">
        <f>SUM('P NP MINAPADI KAB'!BG37)</f>
        <v>0</v>
      </c>
      <c r="R105" s="462"/>
      <c r="S105" s="462"/>
      <c r="T105" s="427">
        <v>32</v>
      </c>
      <c r="U105" s="841" t="s">
        <v>141</v>
      </c>
      <c r="V105" s="471">
        <f t="shared" si="6"/>
        <v>0</v>
      </c>
      <c r="W105" s="435">
        <f>'P NP TW'!AX38</f>
        <v>0</v>
      </c>
      <c r="X105" s="435">
        <f>'P NP TW'!AZ38</f>
        <v>0</v>
      </c>
      <c r="Y105" s="435">
        <f>'P NP TW'!BB38</f>
        <v>0</v>
      </c>
      <c r="Z105" s="435">
        <f>'P NP TW'!BD38</f>
        <v>0</v>
      </c>
      <c r="AA105" s="472"/>
      <c r="AC105" s="448">
        <v>0</v>
      </c>
    </row>
    <row r="106" spans="2:29" ht="14">
      <c r="B106" s="427">
        <v>33</v>
      </c>
      <c r="C106" s="841" t="s">
        <v>147</v>
      </c>
      <c r="D106" s="467">
        <f t="shared" si="5"/>
        <v>0</v>
      </c>
      <c r="E106" s="432">
        <f>'P NP MINAPADI KAB'!AK38</f>
        <v>0</v>
      </c>
      <c r="F106" s="432">
        <f>'P NP MINAPADI KAB'!AU38</f>
        <v>0</v>
      </c>
      <c r="G106" s="432">
        <f>'P NP MINAPADI KAB'!AM38</f>
        <v>0</v>
      </c>
      <c r="H106" s="432">
        <f>'P NP MINAPADI KAB'!E38</f>
        <v>0</v>
      </c>
      <c r="I106" s="432">
        <f>'P NP MINAPADI KAB'!AE38</f>
        <v>0</v>
      </c>
      <c r="J106" s="432">
        <f>'P NP MINAPADI KAB'!AO38</f>
        <v>0</v>
      </c>
      <c r="K106" s="432">
        <f>'P NP MINAPADI KAB'!Q38</f>
        <v>0</v>
      </c>
      <c r="L106" s="432">
        <f>'P NP MINAPADI KAB'!AQ38</f>
        <v>0</v>
      </c>
      <c r="M106" s="432">
        <f>'P NP MINAPADI KAB'!M38</f>
        <v>0</v>
      </c>
      <c r="N106" s="432">
        <f>SUM('P NP MINAPADI KAB'!BY38)</f>
        <v>0</v>
      </c>
      <c r="O106" s="432">
        <f>'P NP MINAPADI KAB'!BE38</f>
        <v>0</v>
      </c>
      <c r="P106" s="432">
        <f>'P NP MINAPADI KAB'!BC38</f>
        <v>0</v>
      </c>
      <c r="Q106" s="433">
        <f>SUM('P NP MINAPADI KAB'!BG38)</f>
        <v>0</v>
      </c>
      <c r="R106" s="462"/>
      <c r="S106" s="462"/>
      <c r="T106" s="427">
        <v>33</v>
      </c>
      <c r="U106" s="841" t="s">
        <v>147</v>
      </c>
      <c r="V106" s="471">
        <f t="shared" si="6"/>
        <v>0</v>
      </c>
      <c r="W106" s="435">
        <f>'P NP TW'!AX39</f>
        <v>0</v>
      </c>
      <c r="X106" s="435">
        <f>'P NP TW'!AZ39</f>
        <v>0</v>
      </c>
      <c r="Y106" s="435">
        <f>'P NP TW'!BB39</f>
        <v>0</v>
      </c>
      <c r="Z106" s="435">
        <f>'P NP TW'!BD39</f>
        <v>0</v>
      </c>
      <c r="AA106" s="472"/>
    </row>
    <row r="107" spans="2:29" ht="14">
      <c r="B107" s="427">
        <v>34</v>
      </c>
      <c r="C107" s="841" t="s">
        <v>143</v>
      </c>
      <c r="D107" s="467">
        <f t="shared" si="5"/>
        <v>0</v>
      </c>
      <c r="E107" s="432">
        <f>'P NP MINAPADI KAB'!AK39</f>
        <v>0</v>
      </c>
      <c r="F107" s="432">
        <f>'P NP MINAPADI KAB'!AU39</f>
        <v>0</v>
      </c>
      <c r="G107" s="432">
        <f>'P NP MINAPADI KAB'!AM39</f>
        <v>0</v>
      </c>
      <c r="H107" s="432">
        <f>'P NP MINAPADI KAB'!E39</f>
        <v>0</v>
      </c>
      <c r="I107" s="432">
        <f>'P NP MINAPADI KAB'!AE39</f>
        <v>0</v>
      </c>
      <c r="J107" s="432">
        <f>'P NP MINAPADI KAB'!AO39</f>
        <v>0</v>
      </c>
      <c r="K107" s="432">
        <f>'P NP MINAPADI KAB'!Q39</f>
        <v>0</v>
      </c>
      <c r="L107" s="432">
        <f>'P NP MINAPADI KAB'!AQ39</f>
        <v>0</v>
      </c>
      <c r="M107" s="432">
        <f>'P NP MINAPADI KAB'!M39</f>
        <v>0</v>
      </c>
      <c r="N107" s="432">
        <f>SUM('P NP MINAPADI KAB'!BY39)</f>
        <v>0</v>
      </c>
      <c r="O107" s="432">
        <f>'P NP MINAPADI KAB'!BE39</f>
        <v>0</v>
      </c>
      <c r="P107" s="432">
        <f>'P NP MINAPADI KAB'!BC39</f>
        <v>0</v>
      </c>
      <c r="Q107" s="433">
        <f>SUM('P NP MINAPADI KAB'!BG39)</f>
        <v>0</v>
      </c>
      <c r="R107" s="462"/>
      <c r="S107" s="462"/>
      <c r="T107" s="427">
        <v>34</v>
      </c>
      <c r="U107" s="841" t="s">
        <v>143</v>
      </c>
      <c r="V107" s="471">
        <f t="shared" si="6"/>
        <v>0</v>
      </c>
      <c r="W107" s="435">
        <f>'P NP TW'!AX40</f>
        <v>0</v>
      </c>
      <c r="X107" s="435">
        <f>'P NP TW'!AZ40</f>
        <v>0</v>
      </c>
      <c r="Y107" s="435">
        <f>'P NP TW'!BB40</f>
        <v>0</v>
      </c>
      <c r="Z107" s="435">
        <f>'P NP TW'!BD40</f>
        <v>0</v>
      </c>
      <c r="AA107" s="472"/>
    </row>
    <row r="108" spans="2:29" ht="14">
      <c r="B108" s="427">
        <v>35</v>
      </c>
      <c r="C108" s="841" t="s">
        <v>146</v>
      </c>
      <c r="D108" s="467">
        <f t="shared" si="5"/>
        <v>0</v>
      </c>
      <c r="E108" s="432">
        <f>'P NP MINAPADI KAB'!AK40</f>
        <v>0</v>
      </c>
      <c r="F108" s="432">
        <f>'P NP MINAPADI KAB'!AU40</f>
        <v>0</v>
      </c>
      <c r="G108" s="432">
        <f>'P NP MINAPADI KAB'!AM40</f>
        <v>0</v>
      </c>
      <c r="H108" s="432">
        <f>'P NP MINAPADI KAB'!E40</f>
        <v>0</v>
      </c>
      <c r="I108" s="432">
        <f>'P NP MINAPADI KAB'!AE40</f>
        <v>0</v>
      </c>
      <c r="J108" s="432">
        <f>'P NP MINAPADI KAB'!AO40</f>
        <v>0</v>
      </c>
      <c r="K108" s="432">
        <f>'P NP MINAPADI KAB'!Q40</f>
        <v>0</v>
      </c>
      <c r="L108" s="432">
        <f>'P NP MINAPADI KAB'!AQ40</f>
        <v>0</v>
      </c>
      <c r="M108" s="432">
        <f>'P NP MINAPADI KAB'!M40</f>
        <v>0</v>
      </c>
      <c r="N108" s="432">
        <f>SUM('P NP MINAPADI KAB'!BY40)</f>
        <v>0</v>
      </c>
      <c r="O108" s="432">
        <f>'P NP MINAPADI KAB'!BE40</f>
        <v>0</v>
      </c>
      <c r="P108" s="432">
        <f>'P NP MINAPADI KAB'!BC40</f>
        <v>0</v>
      </c>
      <c r="Q108" s="433">
        <f>SUM('P NP MINAPADI KAB'!BG40)</f>
        <v>0</v>
      </c>
      <c r="R108" s="462"/>
      <c r="S108" s="462"/>
      <c r="T108" s="427">
        <v>35</v>
      </c>
      <c r="U108" s="841" t="s">
        <v>146</v>
      </c>
      <c r="V108" s="471">
        <f t="shared" si="6"/>
        <v>0</v>
      </c>
      <c r="W108" s="435">
        <f>'P NP TW'!AX41</f>
        <v>0</v>
      </c>
      <c r="X108" s="435">
        <f>'P NP TW'!AZ41</f>
        <v>0</v>
      </c>
      <c r="Y108" s="435">
        <f>'P NP TW'!BB41</f>
        <v>0</v>
      </c>
      <c r="Z108" s="435">
        <f>'P NP TW'!BD41</f>
        <v>0</v>
      </c>
      <c r="AA108" s="472"/>
    </row>
    <row r="109" spans="2:29" ht="14">
      <c r="B109" s="427">
        <v>36</v>
      </c>
      <c r="C109" s="841" t="s">
        <v>145</v>
      </c>
      <c r="D109" s="467">
        <f t="shared" si="5"/>
        <v>0</v>
      </c>
      <c r="E109" s="432">
        <f>'P NP MINAPADI KAB'!AK41</f>
        <v>0</v>
      </c>
      <c r="F109" s="432">
        <f>'P NP MINAPADI KAB'!AU41</f>
        <v>0</v>
      </c>
      <c r="G109" s="432">
        <f>'P NP MINAPADI KAB'!AM41</f>
        <v>0</v>
      </c>
      <c r="H109" s="432">
        <f>'P NP MINAPADI KAB'!E41</f>
        <v>0</v>
      </c>
      <c r="I109" s="432">
        <f>'P NP MINAPADI KAB'!AE41</f>
        <v>0</v>
      </c>
      <c r="J109" s="432">
        <f>'P NP MINAPADI KAB'!AO41</f>
        <v>0</v>
      </c>
      <c r="K109" s="432">
        <f>'P NP MINAPADI KAB'!Q41</f>
        <v>0</v>
      </c>
      <c r="L109" s="432">
        <f>'P NP MINAPADI KAB'!AQ41</f>
        <v>0</v>
      </c>
      <c r="M109" s="432">
        <f>'P NP MINAPADI KAB'!M41</f>
        <v>0</v>
      </c>
      <c r="N109" s="432">
        <f>SUM('P NP MINAPADI KAB'!BY41)</f>
        <v>0</v>
      </c>
      <c r="O109" s="432">
        <f>'P NP MINAPADI KAB'!BE41</f>
        <v>0</v>
      </c>
      <c r="P109" s="432">
        <f>'P NP MINAPADI KAB'!BC41</f>
        <v>0</v>
      </c>
      <c r="Q109" s="433">
        <f>SUM('P NP MINAPADI KAB'!BG41)</f>
        <v>0</v>
      </c>
      <c r="R109" s="462"/>
      <c r="S109" s="462"/>
      <c r="T109" s="427">
        <v>36</v>
      </c>
      <c r="U109" s="841" t="s">
        <v>145</v>
      </c>
      <c r="V109" s="471">
        <f t="shared" si="6"/>
        <v>0</v>
      </c>
      <c r="W109" s="435">
        <f>'P NP TW'!AX42</f>
        <v>0</v>
      </c>
      <c r="X109" s="435">
        <f>'P NP TW'!AZ42</f>
        <v>0</v>
      </c>
      <c r="Y109" s="435">
        <f>'P NP TW'!BB42</f>
        <v>0</v>
      </c>
      <c r="Z109" s="435">
        <f>'P NP TW'!BD42</f>
        <v>0</v>
      </c>
      <c r="AA109" s="472"/>
    </row>
    <row r="110" spans="2:29" ht="14">
      <c r="B110" s="427">
        <v>37</v>
      </c>
      <c r="C110" s="841" t="s">
        <v>144</v>
      </c>
      <c r="D110" s="467">
        <f t="shared" si="5"/>
        <v>0</v>
      </c>
      <c r="E110" s="432">
        <f>'P NP MINAPADI KAB'!AK42</f>
        <v>0</v>
      </c>
      <c r="F110" s="432">
        <f>'P NP MINAPADI KAB'!AU42</f>
        <v>0</v>
      </c>
      <c r="G110" s="432">
        <f>'P NP MINAPADI KAB'!AM42</f>
        <v>0</v>
      </c>
      <c r="H110" s="432">
        <f>'P NP MINAPADI KAB'!E42</f>
        <v>0</v>
      </c>
      <c r="I110" s="432">
        <f>'P NP MINAPADI KAB'!AE42</f>
        <v>0</v>
      </c>
      <c r="J110" s="432">
        <f>'P NP MINAPADI KAB'!AO42</f>
        <v>0</v>
      </c>
      <c r="K110" s="432">
        <f>'P NP MINAPADI KAB'!Q42</f>
        <v>0</v>
      </c>
      <c r="L110" s="432">
        <f>'P NP MINAPADI KAB'!AQ42</f>
        <v>0</v>
      </c>
      <c r="M110" s="432">
        <f>'P NP MINAPADI KAB'!M42</f>
        <v>0</v>
      </c>
      <c r="N110" s="432">
        <f>SUM('P NP MINAPADI KAB'!BY42)</f>
        <v>0</v>
      </c>
      <c r="O110" s="432">
        <f>'P NP MINAPADI KAB'!BE42</f>
        <v>0</v>
      </c>
      <c r="P110" s="432">
        <f>'P NP MINAPADI KAB'!BC42</f>
        <v>0</v>
      </c>
      <c r="Q110" s="433">
        <f>SUM('P NP MINAPADI KAB'!BG42)</f>
        <v>0</v>
      </c>
      <c r="R110" s="462"/>
      <c r="S110" s="462"/>
      <c r="T110" s="427">
        <v>37</v>
      </c>
      <c r="U110" s="841" t="s">
        <v>144</v>
      </c>
      <c r="V110" s="471">
        <f t="shared" si="6"/>
        <v>0</v>
      </c>
      <c r="W110" s="435">
        <f>'P NP TW'!AX43</f>
        <v>0</v>
      </c>
      <c r="X110" s="435">
        <f>'P NP TW'!AZ43</f>
        <v>0</v>
      </c>
      <c r="Y110" s="435">
        <f>'P NP TW'!BB43</f>
        <v>0</v>
      </c>
      <c r="Z110" s="435">
        <f>'P NP TW'!BD43</f>
        <v>0</v>
      </c>
      <c r="AA110" s="472"/>
    </row>
    <row r="111" spans="2:29" ht="14">
      <c r="B111" s="427">
        <v>38</v>
      </c>
      <c r="C111" s="841" t="s">
        <v>148</v>
      </c>
      <c r="D111" s="467">
        <f t="shared" si="5"/>
        <v>0</v>
      </c>
      <c r="E111" s="432">
        <f>'P NP MINAPADI KAB'!AK43</f>
        <v>0</v>
      </c>
      <c r="F111" s="432">
        <f>'P NP MINAPADI KAB'!AU43</f>
        <v>0</v>
      </c>
      <c r="G111" s="432">
        <f>'P NP MINAPADI KAB'!AM43</f>
        <v>0</v>
      </c>
      <c r="H111" s="432">
        <f>'P NP MINAPADI KAB'!E43</f>
        <v>0</v>
      </c>
      <c r="I111" s="432">
        <f>'P NP MINAPADI KAB'!AE43</f>
        <v>0</v>
      </c>
      <c r="J111" s="432">
        <f>'P NP MINAPADI KAB'!AO43</f>
        <v>0</v>
      </c>
      <c r="K111" s="432">
        <f>'P NP MINAPADI KAB'!Q43</f>
        <v>0</v>
      </c>
      <c r="L111" s="432">
        <f>'P NP MINAPADI KAB'!AQ43</f>
        <v>0</v>
      </c>
      <c r="M111" s="432">
        <f>'P NP MINAPADI KAB'!M43</f>
        <v>0</v>
      </c>
      <c r="N111" s="432">
        <f>SUM('P NP MINAPADI KAB'!BY43)</f>
        <v>0</v>
      </c>
      <c r="O111" s="432">
        <f>'P NP MINAPADI KAB'!BE43</f>
        <v>0</v>
      </c>
      <c r="P111" s="432">
        <f>'P NP MINAPADI KAB'!BC43</f>
        <v>0</v>
      </c>
      <c r="Q111" s="433">
        <f>SUM('P NP MINAPADI KAB'!BG43)</f>
        <v>0</v>
      </c>
      <c r="R111" s="462"/>
      <c r="S111" s="462"/>
      <c r="T111" s="427">
        <v>38</v>
      </c>
      <c r="U111" s="841" t="s">
        <v>148</v>
      </c>
      <c r="V111" s="471">
        <f t="shared" si="6"/>
        <v>0</v>
      </c>
      <c r="W111" s="435">
        <f>'P NP TW'!AX44</f>
        <v>0</v>
      </c>
      <c r="X111" s="435">
        <f>'P NP TW'!AZ44</f>
        <v>0</v>
      </c>
      <c r="Y111" s="435">
        <f>'P NP TW'!BB44</f>
        <v>0</v>
      </c>
      <c r="Z111" s="435">
        <f>'P NP TW'!BD44</f>
        <v>0</v>
      </c>
      <c r="AA111" s="472"/>
    </row>
    <row r="112" spans="2:29" ht="9" customHeight="1" thickBot="1">
      <c r="B112" s="475"/>
      <c r="C112" s="476"/>
      <c r="D112" s="477"/>
      <c r="E112" s="330"/>
      <c r="F112" s="330"/>
      <c r="G112" s="330"/>
      <c r="H112" s="330"/>
      <c r="I112" s="330"/>
      <c r="J112" s="330"/>
      <c r="K112" s="330"/>
      <c r="L112" s="330"/>
      <c r="M112" s="330"/>
      <c r="N112" s="330"/>
      <c r="O112" s="330"/>
      <c r="P112" s="330"/>
      <c r="Q112" s="330"/>
      <c r="R112" s="462"/>
      <c r="S112" s="462"/>
      <c r="T112" s="475"/>
      <c r="U112" s="478"/>
      <c r="V112" s="353"/>
      <c r="W112" s="567"/>
      <c r="X112" s="568"/>
      <c r="Y112" s="568"/>
      <c r="Z112" s="568"/>
      <c r="AA112" s="479"/>
    </row>
    <row r="113" spans="2:27" ht="14">
      <c r="B113" s="480"/>
      <c r="C113" s="481"/>
      <c r="D113" s="462"/>
      <c r="E113" s="462"/>
      <c r="F113" s="462"/>
      <c r="G113" s="462"/>
      <c r="H113" s="462"/>
      <c r="I113" s="462"/>
      <c r="J113" s="462"/>
      <c r="K113" s="462"/>
      <c r="L113" s="462"/>
      <c r="M113" s="462"/>
      <c r="N113" s="462"/>
      <c r="O113" s="462"/>
      <c r="P113" s="462"/>
      <c r="Q113" s="462"/>
      <c r="R113" s="462"/>
      <c r="S113" s="462"/>
      <c r="T113" s="480"/>
      <c r="U113" s="481"/>
      <c r="V113" s="462"/>
      <c r="W113" s="446"/>
      <c r="X113" s="446"/>
      <c r="Y113" s="446"/>
      <c r="Z113" s="446"/>
      <c r="AA113" s="372"/>
    </row>
    <row r="114" spans="2:27" ht="14">
      <c r="B114" s="480"/>
      <c r="C114" s="481"/>
      <c r="D114" s="462"/>
      <c r="E114" s="462"/>
      <c r="F114" s="462"/>
      <c r="G114" s="462"/>
      <c r="H114" s="462"/>
      <c r="I114" s="462"/>
      <c r="J114" s="462"/>
      <c r="K114" s="462"/>
      <c r="L114" s="462"/>
      <c r="M114" s="462"/>
      <c r="N114" s="462"/>
      <c r="O114" s="462"/>
      <c r="P114" s="462"/>
      <c r="Q114" s="462"/>
      <c r="R114" s="462"/>
      <c r="S114" s="462"/>
      <c r="T114" s="480"/>
      <c r="U114" s="481"/>
      <c r="V114" s="462"/>
      <c r="W114" s="446"/>
      <c r="X114" s="446"/>
      <c r="Y114" s="446"/>
      <c r="Z114" s="446"/>
      <c r="AA114" s="372"/>
    </row>
    <row r="115" spans="2:27" ht="14">
      <c r="B115" s="480"/>
      <c r="C115" s="481"/>
      <c r="D115" s="462"/>
      <c r="E115" s="462"/>
      <c r="F115" s="462"/>
      <c r="G115" s="462"/>
      <c r="H115" s="462"/>
      <c r="I115" s="462"/>
      <c r="J115" s="462"/>
      <c r="K115" s="462"/>
      <c r="L115" s="462"/>
      <c r="M115" s="462"/>
      <c r="N115" s="462"/>
      <c r="O115" s="462"/>
      <c r="P115" s="462"/>
      <c r="Q115" s="462"/>
      <c r="R115" s="462"/>
      <c r="S115" s="462"/>
      <c r="T115" s="480"/>
      <c r="U115" s="481"/>
      <c r="V115" s="462"/>
      <c r="W115" s="446"/>
      <c r="X115" s="446"/>
      <c r="Y115" s="446"/>
      <c r="Z115" s="446"/>
      <c r="AA115" s="372"/>
    </row>
    <row r="116" spans="2:27" ht="14">
      <c r="B116" s="480"/>
      <c r="C116" s="481"/>
      <c r="D116" s="462"/>
      <c r="E116" s="462"/>
      <c r="F116" s="462"/>
      <c r="G116" s="462"/>
      <c r="H116" s="462"/>
      <c r="I116" s="462"/>
      <c r="J116" s="462"/>
      <c r="K116" s="462"/>
      <c r="L116" s="462"/>
      <c r="M116" s="462"/>
      <c r="N116" s="462"/>
      <c r="O116" s="462"/>
      <c r="P116" s="462"/>
      <c r="Q116" s="462"/>
      <c r="R116" s="462"/>
      <c r="S116" s="462"/>
      <c r="T116" s="480"/>
      <c r="U116" s="481"/>
      <c r="V116" s="462"/>
      <c r="W116" s="446"/>
      <c r="X116" s="446"/>
      <c r="Y116" s="446"/>
      <c r="Z116" s="446"/>
      <c r="AA116" s="372"/>
    </row>
    <row r="117" spans="2:27" ht="14">
      <c r="B117" s="480"/>
      <c r="C117" s="481"/>
      <c r="D117" s="462"/>
      <c r="E117" s="462"/>
      <c r="F117" s="462"/>
      <c r="G117" s="462"/>
      <c r="H117" s="462"/>
      <c r="I117" s="462"/>
      <c r="J117" s="462"/>
      <c r="K117" s="462"/>
      <c r="L117" s="462"/>
      <c r="M117" s="462"/>
      <c r="N117" s="462"/>
      <c r="O117" s="462"/>
      <c r="P117" s="462"/>
      <c r="Q117" s="462"/>
      <c r="R117" s="462"/>
      <c r="S117" s="462"/>
      <c r="T117" s="480"/>
      <c r="U117" s="481"/>
      <c r="V117" s="462"/>
      <c r="W117" s="446"/>
      <c r="X117" s="446"/>
      <c r="Y117" s="446"/>
      <c r="Z117" s="446"/>
      <c r="AA117" s="372"/>
    </row>
    <row r="118" spans="2:27" ht="14">
      <c r="B118" s="480"/>
      <c r="C118" s="481"/>
      <c r="D118" s="462"/>
      <c r="E118" s="462"/>
      <c r="F118" s="462"/>
      <c r="G118" s="462"/>
      <c r="H118" s="462"/>
      <c r="I118" s="462"/>
      <c r="J118" s="462"/>
      <c r="K118" s="462"/>
      <c r="L118" s="462"/>
      <c r="M118" s="462"/>
      <c r="N118" s="462"/>
      <c r="O118" s="462"/>
      <c r="P118" s="462"/>
      <c r="Q118" s="462"/>
      <c r="R118" s="462"/>
      <c r="S118" s="462"/>
      <c r="T118" s="480"/>
      <c r="U118" s="481"/>
      <c r="V118" s="462"/>
      <c r="W118" s="446"/>
      <c r="X118" s="446"/>
      <c r="Y118" s="446"/>
      <c r="Z118" s="446"/>
      <c r="AA118" s="372"/>
    </row>
    <row r="119" spans="2:27" ht="14">
      <c r="B119" s="480"/>
      <c r="C119" s="481"/>
      <c r="D119" s="462"/>
      <c r="E119" s="462"/>
      <c r="F119" s="462"/>
      <c r="G119" s="462"/>
      <c r="H119" s="462"/>
      <c r="I119" s="462"/>
      <c r="J119" s="462"/>
      <c r="K119" s="462"/>
      <c r="L119" s="462"/>
      <c r="M119" s="462"/>
      <c r="N119" s="462"/>
      <c r="O119" s="462"/>
      <c r="P119" s="462"/>
      <c r="Q119" s="462"/>
      <c r="R119" s="462"/>
      <c r="S119" s="462"/>
      <c r="T119" s="480"/>
      <c r="U119" s="481"/>
      <c r="V119" s="462"/>
      <c r="W119" s="446"/>
      <c r="X119" s="446"/>
      <c r="Y119" s="446"/>
      <c r="Z119" s="446"/>
      <c r="AA119" s="372"/>
    </row>
    <row r="120" spans="2:27" ht="14">
      <c r="B120" s="480"/>
      <c r="C120" s="481"/>
      <c r="D120" s="462"/>
      <c r="E120" s="462"/>
      <c r="F120" s="462"/>
      <c r="G120" s="462"/>
      <c r="H120" s="462"/>
      <c r="I120" s="462"/>
      <c r="J120" s="462"/>
      <c r="K120" s="462"/>
      <c r="L120" s="462"/>
      <c r="M120" s="462"/>
      <c r="N120" s="462"/>
      <c r="O120" s="462"/>
      <c r="P120" s="462"/>
      <c r="Q120" s="462"/>
      <c r="R120" s="462"/>
      <c r="S120" s="462"/>
      <c r="T120" s="480"/>
      <c r="U120" s="481"/>
      <c r="V120" s="462"/>
      <c r="W120" s="446"/>
      <c r="X120" s="446"/>
      <c r="Y120" s="446"/>
      <c r="Z120" s="446"/>
      <c r="AA120" s="372"/>
    </row>
    <row r="121" spans="2:27" ht="14">
      <c r="B121" s="480"/>
      <c r="C121" s="481"/>
      <c r="D121" s="462"/>
      <c r="E121" s="462"/>
      <c r="F121" s="462"/>
      <c r="G121" s="462"/>
      <c r="H121" s="462"/>
      <c r="I121" s="462"/>
      <c r="J121" s="462"/>
      <c r="K121" s="462"/>
      <c r="L121" s="462"/>
      <c r="M121" s="462"/>
      <c r="N121" s="462"/>
      <c r="O121" s="462"/>
      <c r="P121" s="462"/>
      <c r="Q121" s="462"/>
      <c r="R121" s="462"/>
      <c r="S121" s="462"/>
      <c r="T121" s="480"/>
      <c r="U121" s="481"/>
      <c r="V121" s="462"/>
      <c r="W121" s="462"/>
      <c r="X121" s="462"/>
      <c r="Y121" s="462"/>
      <c r="Z121" s="462"/>
      <c r="AA121" s="372"/>
    </row>
    <row r="122" spans="2:27" ht="14">
      <c r="B122" s="372"/>
      <c r="C122" s="372"/>
      <c r="D122" s="446"/>
      <c r="E122" s="372"/>
      <c r="F122" s="372"/>
      <c r="G122" s="372"/>
      <c r="H122" s="372"/>
      <c r="I122" s="372"/>
      <c r="J122" s="372"/>
      <c r="K122" s="372"/>
      <c r="L122" s="372"/>
      <c r="M122" s="372"/>
      <c r="N122" s="372"/>
      <c r="O122" s="372"/>
      <c r="P122" s="372"/>
      <c r="Q122" s="372"/>
      <c r="R122" s="372"/>
      <c r="S122" s="372"/>
      <c r="T122" s="372"/>
      <c r="U122" s="372"/>
      <c r="V122" s="372"/>
      <c r="W122" s="372"/>
      <c r="X122" s="372"/>
      <c r="Y122" s="372"/>
      <c r="Z122" s="372"/>
      <c r="AA122" s="372"/>
    </row>
    <row r="123" spans="2:27" ht="15.5">
      <c r="B123" s="970" t="s">
        <v>415</v>
      </c>
      <c r="C123" s="970"/>
      <c r="D123" s="970"/>
      <c r="E123" s="970"/>
      <c r="F123" s="970"/>
      <c r="G123" s="970"/>
      <c r="H123" s="970"/>
      <c r="I123" s="970"/>
      <c r="J123" s="970"/>
      <c r="K123" s="970"/>
      <c r="L123" s="970"/>
      <c r="M123" s="970"/>
      <c r="N123" s="970"/>
      <c r="O123" s="970"/>
      <c r="P123" s="970"/>
      <c r="Q123" s="970"/>
      <c r="R123" s="447"/>
      <c r="S123" s="447"/>
      <c r="T123" s="970" t="s">
        <v>416</v>
      </c>
      <c r="U123" s="970"/>
      <c r="V123" s="970"/>
      <c r="W123" s="970"/>
      <c r="X123" s="970"/>
      <c r="Y123" s="970"/>
      <c r="Z123" s="970"/>
      <c r="AA123" s="970"/>
    </row>
    <row r="124" spans="2:27" s="838" customFormat="1" ht="14.5">
      <c r="E124" s="732"/>
      <c r="F124"/>
      <c r="G124"/>
      <c r="H124"/>
      <c r="I124"/>
    </row>
  </sheetData>
  <sortState xmlns:xlrd2="http://schemas.microsoft.com/office/spreadsheetml/2017/richdata2" ref="C74:C112">
    <sortCondition ref="C74:C112"/>
  </sortState>
  <mergeCells count="38">
    <mergeCell ref="P8:P9"/>
    <mergeCell ref="B123:Q123"/>
    <mergeCell ref="T123:AA123"/>
    <mergeCell ref="P67:Q67"/>
    <mergeCell ref="B68:C68"/>
    <mergeCell ref="E68:H68"/>
    <mergeCell ref="J68:Q68"/>
    <mergeCell ref="T68:U68"/>
    <mergeCell ref="B69:C69"/>
    <mergeCell ref="T69:U69"/>
    <mergeCell ref="B63:Q63"/>
    <mergeCell ref="T63:AA63"/>
    <mergeCell ref="B65:Q65"/>
    <mergeCell ref="B66:Q66"/>
    <mergeCell ref="S66:AA66"/>
    <mergeCell ref="B6:C6"/>
    <mergeCell ref="T6:U6"/>
    <mergeCell ref="B8:C8"/>
    <mergeCell ref="D8:D9"/>
    <mergeCell ref="E8:E9"/>
    <mergeCell ref="F8:F9"/>
    <mergeCell ref="G8:G9"/>
    <mergeCell ref="H8:H9"/>
    <mergeCell ref="I8:I9"/>
    <mergeCell ref="J8:J9"/>
    <mergeCell ref="Q8:Q9"/>
    <mergeCell ref="K8:K9"/>
    <mergeCell ref="L8:L9"/>
    <mergeCell ref="M8:M9"/>
    <mergeCell ref="N8:N9"/>
    <mergeCell ref="O8:O9"/>
    <mergeCell ref="B1:Q1"/>
    <mergeCell ref="T1:AA1"/>
    <mergeCell ref="B2:Q2"/>
    <mergeCell ref="B5:C5"/>
    <mergeCell ref="E5:H5"/>
    <mergeCell ref="J5:Q5"/>
    <mergeCell ref="T5:U5"/>
  </mergeCells>
  <printOptions horizontalCentered="1"/>
  <pageMargins left="0" right="0" top="0.65" bottom="0.35" header="0.5" footer="0.5"/>
  <pageSetup paperSize="9" scale="49" orientation="landscape" horizontalDpi="4294967293" verticalDpi="300" r:id="rId1"/>
  <headerFooter alignWithMargins="0"/>
  <rowBreaks count="1" manualBreakCount="1">
    <brk id="63" min="1" max="26" man="1"/>
  </rowBreaks>
  <colBreaks count="1" manualBreakCount="1">
    <brk id="17" max="88"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syncVertical="1" syncRef="H10" transitionEvaluation="1">
    <tabColor rgb="FF00B0F0"/>
  </sheetPr>
  <dimension ref="A1:V148"/>
  <sheetViews>
    <sheetView showGridLines="0" view="pageBreakPreview" zoomScale="90" zoomScaleNormal="100" zoomScaleSheetLayoutView="90" workbookViewId="0">
      <pane xSplit="2" ySplit="9" topLeftCell="H10" activePane="bottomRight" state="frozen"/>
      <selection pane="topRight" activeCell="C1" sqref="C1"/>
      <selection pane="bottomLeft" activeCell="A10" sqref="A10"/>
      <selection pane="bottomRight" activeCell="F92" sqref="F92"/>
    </sheetView>
  </sheetViews>
  <sheetFormatPr defaultColWidth="10.1796875" defaultRowHeight="14"/>
  <cols>
    <col min="1" max="1" width="35" style="210" customWidth="1"/>
    <col min="2" max="2" width="15" style="210" customWidth="1"/>
    <col min="3" max="4" width="13.54296875" style="210" customWidth="1"/>
    <col min="5" max="6" width="13.1796875" style="210" customWidth="1"/>
    <col min="7" max="7" width="13.1796875" style="210" bestFit="1" customWidth="1"/>
    <col min="8" max="8" width="13" style="210" customWidth="1"/>
    <col min="9" max="9" width="12" style="210" customWidth="1"/>
    <col min="10" max="10" width="13.1796875" style="210" customWidth="1"/>
    <col min="11" max="12" width="12.1796875" style="210" customWidth="1"/>
    <col min="13" max="13" width="33" style="210" customWidth="1"/>
    <col min="14" max="14" width="29" style="210" customWidth="1"/>
    <col min="15" max="15" width="30.81640625" style="210" customWidth="1"/>
    <col min="16" max="16" width="31.81640625" style="210" customWidth="1"/>
    <col min="17" max="17" width="30" style="210" customWidth="1"/>
    <col min="18" max="18" width="12" style="210" bestFit="1" customWidth="1"/>
    <col min="19" max="21" width="17.81640625" style="210" customWidth="1"/>
    <col min="22" max="255" width="10.1796875" style="210"/>
    <col min="256" max="256" width="35" style="210" customWidth="1"/>
    <col min="257" max="257" width="15" style="210" customWidth="1"/>
    <col min="258" max="259" width="13.54296875" style="210" customWidth="1"/>
    <col min="260" max="261" width="13.1796875" style="210" customWidth="1"/>
    <col min="262" max="262" width="13.1796875" style="210" bestFit="1" customWidth="1"/>
    <col min="263" max="264" width="13" style="210" customWidth="1"/>
    <col min="265" max="265" width="12" style="210" customWidth="1"/>
    <col min="266" max="266" width="13.1796875" style="210" customWidth="1"/>
    <col min="267" max="268" width="12.1796875" style="210" customWidth="1"/>
    <col min="269" max="269" width="33" style="210" customWidth="1"/>
    <col min="270" max="270" width="29" style="210" customWidth="1"/>
    <col min="271" max="271" width="30.81640625" style="210" customWidth="1"/>
    <col min="272" max="272" width="31.81640625" style="210" customWidth="1"/>
    <col min="273" max="273" width="30" style="210" customWidth="1"/>
    <col min="274" max="274" width="12" style="210" bestFit="1" customWidth="1"/>
    <col min="275" max="277" width="17.81640625" style="210" customWidth="1"/>
    <col min="278" max="511" width="10.1796875" style="210"/>
    <col min="512" max="512" width="35" style="210" customWidth="1"/>
    <col min="513" max="513" width="15" style="210" customWidth="1"/>
    <col min="514" max="515" width="13.54296875" style="210" customWidth="1"/>
    <col min="516" max="517" width="13.1796875" style="210" customWidth="1"/>
    <col min="518" max="518" width="13.1796875" style="210" bestFit="1" customWidth="1"/>
    <col min="519" max="520" width="13" style="210" customWidth="1"/>
    <col min="521" max="521" width="12" style="210" customWidth="1"/>
    <col min="522" max="522" width="13.1796875" style="210" customWidth="1"/>
    <col min="523" max="524" width="12.1796875" style="210" customWidth="1"/>
    <col min="525" max="525" width="33" style="210" customWidth="1"/>
    <col min="526" max="526" width="29" style="210" customWidth="1"/>
    <col min="527" max="527" width="30.81640625" style="210" customWidth="1"/>
    <col min="528" max="528" width="31.81640625" style="210" customWidth="1"/>
    <col min="529" max="529" width="30" style="210" customWidth="1"/>
    <col min="530" max="530" width="12" style="210" bestFit="1" customWidth="1"/>
    <col min="531" max="533" width="17.81640625" style="210" customWidth="1"/>
    <col min="534" max="767" width="10.1796875" style="210"/>
    <col min="768" max="768" width="35" style="210" customWidth="1"/>
    <col min="769" max="769" width="15" style="210" customWidth="1"/>
    <col min="770" max="771" width="13.54296875" style="210" customWidth="1"/>
    <col min="772" max="773" width="13.1796875" style="210" customWidth="1"/>
    <col min="774" max="774" width="13.1796875" style="210" bestFit="1" customWidth="1"/>
    <col min="775" max="776" width="13" style="210" customWidth="1"/>
    <col min="777" max="777" width="12" style="210" customWidth="1"/>
    <col min="778" max="778" width="13.1796875" style="210" customWidth="1"/>
    <col min="779" max="780" width="12.1796875" style="210" customWidth="1"/>
    <col min="781" max="781" width="33" style="210" customWidth="1"/>
    <col min="782" max="782" width="29" style="210" customWidth="1"/>
    <col min="783" max="783" width="30.81640625" style="210" customWidth="1"/>
    <col min="784" max="784" width="31.81640625" style="210" customWidth="1"/>
    <col min="785" max="785" width="30" style="210" customWidth="1"/>
    <col min="786" max="786" width="12" style="210" bestFit="1" customWidth="1"/>
    <col min="787" max="789" width="17.81640625" style="210" customWidth="1"/>
    <col min="790" max="1023" width="10.1796875" style="210"/>
    <col min="1024" max="1024" width="35" style="210" customWidth="1"/>
    <col min="1025" max="1025" width="15" style="210" customWidth="1"/>
    <col min="1026" max="1027" width="13.54296875" style="210" customWidth="1"/>
    <col min="1028" max="1029" width="13.1796875" style="210" customWidth="1"/>
    <col min="1030" max="1030" width="13.1796875" style="210" bestFit="1" customWidth="1"/>
    <col min="1031" max="1032" width="13" style="210" customWidth="1"/>
    <col min="1033" max="1033" width="12" style="210" customWidth="1"/>
    <col min="1034" max="1034" width="13.1796875" style="210" customWidth="1"/>
    <col min="1035" max="1036" width="12.1796875" style="210" customWidth="1"/>
    <col min="1037" max="1037" width="33" style="210" customWidth="1"/>
    <col min="1038" max="1038" width="29" style="210" customWidth="1"/>
    <col min="1039" max="1039" width="30.81640625" style="210" customWidth="1"/>
    <col min="1040" max="1040" width="31.81640625" style="210" customWidth="1"/>
    <col min="1041" max="1041" width="30" style="210" customWidth="1"/>
    <col min="1042" max="1042" width="12" style="210" bestFit="1" customWidth="1"/>
    <col min="1043" max="1045" width="17.81640625" style="210" customWidth="1"/>
    <col min="1046" max="1279" width="10.1796875" style="210"/>
    <col min="1280" max="1280" width="35" style="210" customWidth="1"/>
    <col min="1281" max="1281" width="15" style="210" customWidth="1"/>
    <col min="1282" max="1283" width="13.54296875" style="210" customWidth="1"/>
    <col min="1284" max="1285" width="13.1796875" style="210" customWidth="1"/>
    <col min="1286" max="1286" width="13.1796875" style="210" bestFit="1" customWidth="1"/>
    <col min="1287" max="1288" width="13" style="210" customWidth="1"/>
    <col min="1289" max="1289" width="12" style="210" customWidth="1"/>
    <col min="1290" max="1290" width="13.1796875" style="210" customWidth="1"/>
    <col min="1291" max="1292" width="12.1796875" style="210" customWidth="1"/>
    <col min="1293" max="1293" width="33" style="210" customWidth="1"/>
    <col min="1294" max="1294" width="29" style="210" customWidth="1"/>
    <col min="1295" max="1295" width="30.81640625" style="210" customWidth="1"/>
    <col min="1296" max="1296" width="31.81640625" style="210" customWidth="1"/>
    <col min="1297" max="1297" width="30" style="210" customWidth="1"/>
    <col min="1298" max="1298" width="12" style="210" bestFit="1" customWidth="1"/>
    <col min="1299" max="1301" width="17.81640625" style="210" customWidth="1"/>
    <col min="1302" max="1535" width="10.1796875" style="210"/>
    <col min="1536" max="1536" width="35" style="210" customWidth="1"/>
    <col min="1537" max="1537" width="15" style="210" customWidth="1"/>
    <col min="1538" max="1539" width="13.54296875" style="210" customWidth="1"/>
    <col min="1540" max="1541" width="13.1796875" style="210" customWidth="1"/>
    <col min="1542" max="1542" width="13.1796875" style="210" bestFit="1" customWidth="1"/>
    <col min="1543" max="1544" width="13" style="210" customWidth="1"/>
    <col min="1545" max="1545" width="12" style="210" customWidth="1"/>
    <col min="1546" max="1546" width="13.1796875" style="210" customWidth="1"/>
    <col min="1547" max="1548" width="12.1796875" style="210" customWidth="1"/>
    <col min="1549" max="1549" width="33" style="210" customWidth="1"/>
    <col min="1550" max="1550" width="29" style="210" customWidth="1"/>
    <col min="1551" max="1551" width="30.81640625" style="210" customWidth="1"/>
    <col min="1552" max="1552" width="31.81640625" style="210" customWidth="1"/>
    <col min="1553" max="1553" width="30" style="210" customWidth="1"/>
    <col min="1554" max="1554" width="12" style="210" bestFit="1" customWidth="1"/>
    <col min="1555" max="1557" width="17.81640625" style="210" customWidth="1"/>
    <col min="1558" max="1791" width="10.1796875" style="210"/>
    <col min="1792" max="1792" width="35" style="210" customWidth="1"/>
    <col min="1793" max="1793" width="15" style="210" customWidth="1"/>
    <col min="1794" max="1795" width="13.54296875" style="210" customWidth="1"/>
    <col min="1796" max="1797" width="13.1796875" style="210" customWidth="1"/>
    <col min="1798" max="1798" width="13.1796875" style="210" bestFit="1" customWidth="1"/>
    <col min="1799" max="1800" width="13" style="210" customWidth="1"/>
    <col min="1801" max="1801" width="12" style="210" customWidth="1"/>
    <col min="1802" max="1802" width="13.1796875" style="210" customWidth="1"/>
    <col min="1803" max="1804" width="12.1796875" style="210" customWidth="1"/>
    <col min="1805" max="1805" width="33" style="210" customWidth="1"/>
    <col min="1806" max="1806" width="29" style="210" customWidth="1"/>
    <col min="1807" max="1807" width="30.81640625" style="210" customWidth="1"/>
    <col min="1808" max="1808" width="31.81640625" style="210" customWidth="1"/>
    <col min="1809" max="1809" width="30" style="210" customWidth="1"/>
    <col min="1810" max="1810" width="12" style="210" bestFit="1" customWidth="1"/>
    <col min="1811" max="1813" width="17.81640625" style="210" customWidth="1"/>
    <col min="1814" max="2047" width="10.1796875" style="210"/>
    <col min="2048" max="2048" width="35" style="210" customWidth="1"/>
    <col min="2049" max="2049" width="15" style="210" customWidth="1"/>
    <col min="2050" max="2051" width="13.54296875" style="210" customWidth="1"/>
    <col min="2052" max="2053" width="13.1796875" style="210" customWidth="1"/>
    <col min="2054" max="2054" width="13.1796875" style="210" bestFit="1" customWidth="1"/>
    <col min="2055" max="2056" width="13" style="210" customWidth="1"/>
    <col min="2057" max="2057" width="12" style="210" customWidth="1"/>
    <col min="2058" max="2058" width="13.1796875" style="210" customWidth="1"/>
    <col min="2059" max="2060" width="12.1796875" style="210" customWidth="1"/>
    <col min="2061" max="2061" width="33" style="210" customWidth="1"/>
    <col min="2062" max="2062" width="29" style="210" customWidth="1"/>
    <col min="2063" max="2063" width="30.81640625" style="210" customWidth="1"/>
    <col min="2064" max="2064" width="31.81640625" style="210" customWidth="1"/>
    <col min="2065" max="2065" width="30" style="210" customWidth="1"/>
    <col min="2066" max="2066" width="12" style="210" bestFit="1" customWidth="1"/>
    <col min="2067" max="2069" width="17.81640625" style="210" customWidth="1"/>
    <col min="2070" max="2303" width="10.1796875" style="210"/>
    <col min="2304" max="2304" width="35" style="210" customWidth="1"/>
    <col min="2305" max="2305" width="15" style="210" customWidth="1"/>
    <col min="2306" max="2307" width="13.54296875" style="210" customWidth="1"/>
    <col min="2308" max="2309" width="13.1796875" style="210" customWidth="1"/>
    <col min="2310" max="2310" width="13.1796875" style="210" bestFit="1" customWidth="1"/>
    <col min="2311" max="2312" width="13" style="210" customWidth="1"/>
    <col min="2313" max="2313" width="12" style="210" customWidth="1"/>
    <col min="2314" max="2314" width="13.1796875" style="210" customWidth="1"/>
    <col min="2315" max="2316" width="12.1796875" style="210" customWidth="1"/>
    <col min="2317" max="2317" width="33" style="210" customWidth="1"/>
    <col min="2318" max="2318" width="29" style="210" customWidth="1"/>
    <col min="2319" max="2319" width="30.81640625" style="210" customWidth="1"/>
    <col min="2320" max="2320" width="31.81640625" style="210" customWidth="1"/>
    <col min="2321" max="2321" width="30" style="210" customWidth="1"/>
    <col min="2322" max="2322" width="12" style="210" bestFit="1" customWidth="1"/>
    <col min="2323" max="2325" width="17.81640625" style="210" customWidth="1"/>
    <col min="2326" max="2559" width="10.1796875" style="210"/>
    <col min="2560" max="2560" width="35" style="210" customWidth="1"/>
    <col min="2561" max="2561" width="15" style="210" customWidth="1"/>
    <col min="2562" max="2563" width="13.54296875" style="210" customWidth="1"/>
    <col min="2564" max="2565" width="13.1796875" style="210" customWidth="1"/>
    <col min="2566" max="2566" width="13.1796875" style="210" bestFit="1" customWidth="1"/>
    <col min="2567" max="2568" width="13" style="210" customWidth="1"/>
    <col min="2569" max="2569" width="12" style="210" customWidth="1"/>
    <col min="2570" max="2570" width="13.1796875" style="210" customWidth="1"/>
    <col min="2571" max="2572" width="12.1796875" style="210" customWidth="1"/>
    <col min="2573" max="2573" width="33" style="210" customWidth="1"/>
    <col min="2574" max="2574" width="29" style="210" customWidth="1"/>
    <col min="2575" max="2575" width="30.81640625" style="210" customWidth="1"/>
    <col min="2576" max="2576" width="31.81640625" style="210" customWidth="1"/>
    <col min="2577" max="2577" width="30" style="210" customWidth="1"/>
    <col min="2578" max="2578" width="12" style="210" bestFit="1" customWidth="1"/>
    <col min="2579" max="2581" width="17.81640625" style="210" customWidth="1"/>
    <col min="2582" max="2815" width="10.1796875" style="210"/>
    <col min="2816" max="2816" width="35" style="210" customWidth="1"/>
    <col min="2817" max="2817" width="15" style="210" customWidth="1"/>
    <col min="2818" max="2819" width="13.54296875" style="210" customWidth="1"/>
    <col min="2820" max="2821" width="13.1796875" style="210" customWidth="1"/>
    <col min="2822" max="2822" width="13.1796875" style="210" bestFit="1" customWidth="1"/>
    <col min="2823" max="2824" width="13" style="210" customWidth="1"/>
    <col min="2825" max="2825" width="12" style="210" customWidth="1"/>
    <col min="2826" max="2826" width="13.1796875" style="210" customWidth="1"/>
    <col min="2827" max="2828" width="12.1796875" style="210" customWidth="1"/>
    <col min="2829" max="2829" width="33" style="210" customWidth="1"/>
    <col min="2830" max="2830" width="29" style="210" customWidth="1"/>
    <col min="2831" max="2831" width="30.81640625" style="210" customWidth="1"/>
    <col min="2832" max="2832" width="31.81640625" style="210" customWidth="1"/>
    <col min="2833" max="2833" width="30" style="210" customWidth="1"/>
    <col min="2834" max="2834" width="12" style="210" bestFit="1" customWidth="1"/>
    <col min="2835" max="2837" width="17.81640625" style="210" customWidth="1"/>
    <col min="2838" max="3071" width="10.1796875" style="210"/>
    <col min="3072" max="3072" width="35" style="210" customWidth="1"/>
    <col min="3073" max="3073" width="15" style="210" customWidth="1"/>
    <col min="3074" max="3075" width="13.54296875" style="210" customWidth="1"/>
    <col min="3076" max="3077" width="13.1796875" style="210" customWidth="1"/>
    <col min="3078" max="3078" width="13.1796875" style="210" bestFit="1" customWidth="1"/>
    <col min="3079" max="3080" width="13" style="210" customWidth="1"/>
    <col min="3081" max="3081" width="12" style="210" customWidth="1"/>
    <col min="3082" max="3082" width="13.1796875" style="210" customWidth="1"/>
    <col min="3083" max="3084" width="12.1796875" style="210" customWidth="1"/>
    <col min="3085" max="3085" width="33" style="210" customWidth="1"/>
    <col min="3086" max="3086" width="29" style="210" customWidth="1"/>
    <col min="3087" max="3087" width="30.81640625" style="210" customWidth="1"/>
    <col min="3088" max="3088" width="31.81640625" style="210" customWidth="1"/>
    <col min="3089" max="3089" width="30" style="210" customWidth="1"/>
    <col min="3090" max="3090" width="12" style="210" bestFit="1" customWidth="1"/>
    <col min="3091" max="3093" width="17.81640625" style="210" customWidth="1"/>
    <col min="3094" max="3327" width="10.1796875" style="210"/>
    <col min="3328" max="3328" width="35" style="210" customWidth="1"/>
    <col min="3329" max="3329" width="15" style="210" customWidth="1"/>
    <col min="3330" max="3331" width="13.54296875" style="210" customWidth="1"/>
    <col min="3332" max="3333" width="13.1796875" style="210" customWidth="1"/>
    <col min="3334" max="3334" width="13.1796875" style="210" bestFit="1" customWidth="1"/>
    <col min="3335" max="3336" width="13" style="210" customWidth="1"/>
    <col min="3337" max="3337" width="12" style="210" customWidth="1"/>
    <col min="3338" max="3338" width="13.1796875" style="210" customWidth="1"/>
    <col min="3339" max="3340" width="12.1796875" style="210" customWidth="1"/>
    <col min="3341" max="3341" width="33" style="210" customWidth="1"/>
    <col min="3342" max="3342" width="29" style="210" customWidth="1"/>
    <col min="3343" max="3343" width="30.81640625" style="210" customWidth="1"/>
    <col min="3344" max="3344" width="31.81640625" style="210" customWidth="1"/>
    <col min="3345" max="3345" width="30" style="210" customWidth="1"/>
    <col min="3346" max="3346" width="12" style="210" bestFit="1" customWidth="1"/>
    <col min="3347" max="3349" width="17.81640625" style="210" customWidth="1"/>
    <col min="3350" max="3583" width="10.1796875" style="210"/>
    <col min="3584" max="3584" width="35" style="210" customWidth="1"/>
    <col min="3585" max="3585" width="15" style="210" customWidth="1"/>
    <col min="3586" max="3587" width="13.54296875" style="210" customWidth="1"/>
    <col min="3588" max="3589" width="13.1796875" style="210" customWidth="1"/>
    <col min="3590" max="3590" width="13.1796875" style="210" bestFit="1" customWidth="1"/>
    <col min="3591" max="3592" width="13" style="210" customWidth="1"/>
    <col min="3593" max="3593" width="12" style="210" customWidth="1"/>
    <col min="3594" max="3594" width="13.1796875" style="210" customWidth="1"/>
    <col min="3595" max="3596" width="12.1796875" style="210" customWidth="1"/>
    <col min="3597" max="3597" width="33" style="210" customWidth="1"/>
    <col min="3598" max="3598" width="29" style="210" customWidth="1"/>
    <col min="3599" max="3599" width="30.81640625" style="210" customWidth="1"/>
    <col min="3600" max="3600" width="31.81640625" style="210" customWidth="1"/>
    <col min="3601" max="3601" width="30" style="210" customWidth="1"/>
    <col min="3602" max="3602" width="12" style="210" bestFit="1" customWidth="1"/>
    <col min="3603" max="3605" width="17.81640625" style="210" customWidth="1"/>
    <col min="3606" max="3839" width="10.1796875" style="210"/>
    <col min="3840" max="3840" width="35" style="210" customWidth="1"/>
    <col min="3841" max="3841" width="15" style="210" customWidth="1"/>
    <col min="3842" max="3843" width="13.54296875" style="210" customWidth="1"/>
    <col min="3844" max="3845" width="13.1796875" style="210" customWidth="1"/>
    <col min="3846" max="3846" width="13.1796875" style="210" bestFit="1" customWidth="1"/>
    <col min="3847" max="3848" width="13" style="210" customWidth="1"/>
    <col min="3849" max="3849" width="12" style="210" customWidth="1"/>
    <col min="3850" max="3850" width="13.1796875" style="210" customWidth="1"/>
    <col min="3851" max="3852" width="12.1796875" style="210" customWidth="1"/>
    <col min="3853" max="3853" width="33" style="210" customWidth="1"/>
    <col min="3854" max="3854" width="29" style="210" customWidth="1"/>
    <col min="3855" max="3855" width="30.81640625" style="210" customWidth="1"/>
    <col min="3856" max="3856" width="31.81640625" style="210" customWidth="1"/>
    <col min="3857" max="3857" width="30" style="210" customWidth="1"/>
    <col min="3858" max="3858" width="12" style="210" bestFit="1" customWidth="1"/>
    <col min="3859" max="3861" width="17.81640625" style="210" customWidth="1"/>
    <col min="3862" max="4095" width="10.1796875" style="210"/>
    <col min="4096" max="4096" width="35" style="210" customWidth="1"/>
    <col min="4097" max="4097" width="15" style="210" customWidth="1"/>
    <col min="4098" max="4099" width="13.54296875" style="210" customWidth="1"/>
    <col min="4100" max="4101" width="13.1796875" style="210" customWidth="1"/>
    <col min="4102" max="4102" width="13.1796875" style="210" bestFit="1" customWidth="1"/>
    <col min="4103" max="4104" width="13" style="210" customWidth="1"/>
    <col min="4105" max="4105" width="12" style="210" customWidth="1"/>
    <col min="4106" max="4106" width="13.1796875" style="210" customWidth="1"/>
    <col min="4107" max="4108" width="12.1796875" style="210" customWidth="1"/>
    <col min="4109" max="4109" width="33" style="210" customWidth="1"/>
    <col min="4110" max="4110" width="29" style="210" customWidth="1"/>
    <col min="4111" max="4111" width="30.81640625" style="210" customWidth="1"/>
    <col min="4112" max="4112" width="31.81640625" style="210" customWidth="1"/>
    <col min="4113" max="4113" width="30" style="210" customWidth="1"/>
    <col min="4114" max="4114" width="12" style="210" bestFit="1" customWidth="1"/>
    <col min="4115" max="4117" width="17.81640625" style="210" customWidth="1"/>
    <col min="4118" max="4351" width="10.1796875" style="210"/>
    <col min="4352" max="4352" width="35" style="210" customWidth="1"/>
    <col min="4353" max="4353" width="15" style="210" customWidth="1"/>
    <col min="4354" max="4355" width="13.54296875" style="210" customWidth="1"/>
    <col min="4356" max="4357" width="13.1796875" style="210" customWidth="1"/>
    <col min="4358" max="4358" width="13.1796875" style="210" bestFit="1" customWidth="1"/>
    <col min="4359" max="4360" width="13" style="210" customWidth="1"/>
    <col min="4361" max="4361" width="12" style="210" customWidth="1"/>
    <col min="4362" max="4362" width="13.1796875" style="210" customWidth="1"/>
    <col min="4363" max="4364" width="12.1796875" style="210" customWidth="1"/>
    <col min="4365" max="4365" width="33" style="210" customWidth="1"/>
    <col min="4366" max="4366" width="29" style="210" customWidth="1"/>
    <col min="4367" max="4367" width="30.81640625" style="210" customWidth="1"/>
    <col min="4368" max="4368" width="31.81640625" style="210" customWidth="1"/>
    <col min="4369" max="4369" width="30" style="210" customWidth="1"/>
    <col min="4370" max="4370" width="12" style="210" bestFit="1" customWidth="1"/>
    <col min="4371" max="4373" width="17.81640625" style="210" customWidth="1"/>
    <col min="4374" max="4607" width="10.1796875" style="210"/>
    <col min="4608" max="4608" width="35" style="210" customWidth="1"/>
    <col min="4609" max="4609" width="15" style="210" customWidth="1"/>
    <col min="4610" max="4611" width="13.54296875" style="210" customWidth="1"/>
    <col min="4612" max="4613" width="13.1796875" style="210" customWidth="1"/>
    <col min="4614" max="4614" width="13.1796875" style="210" bestFit="1" customWidth="1"/>
    <col min="4615" max="4616" width="13" style="210" customWidth="1"/>
    <col min="4617" max="4617" width="12" style="210" customWidth="1"/>
    <col min="4618" max="4618" width="13.1796875" style="210" customWidth="1"/>
    <col min="4619" max="4620" width="12.1796875" style="210" customWidth="1"/>
    <col min="4621" max="4621" width="33" style="210" customWidth="1"/>
    <col min="4622" max="4622" width="29" style="210" customWidth="1"/>
    <col min="4623" max="4623" width="30.81640625" style="210" customWidth="1"/>
    <col min="4624" max="4624" width="31.81640625" style="210" customWidth="1"/>
    <col min="4625" max="4625" width="30" style="210" customWidth="1"/>
    <col min="4626" max="4626" width="12" style="210" bestFit="1" customWidth="1"/>
    <col min="4627" max="4629" width="17.81640625" style="210" customWidth="1"/>
    <col min="4630" max="4863" width="10.1796875" style="210"/>
    <col min="4864" max="4864" width="35" style="210" customWidth="1"/>
    <col min="4865" max="4865" width="15" style="210" customWidth="1"/>
    <col min="4866" max="4867" width="13.54296875" style="210" customWidth="1"/>
    <col min="4868" max="4869" width="13.1796875" style="210" customWidth="1"/>
    <col min="4870" max="4870" width="13.1796875" style="210" bestFit="1" customWidth="1"/>
    <col min="4871" max="4872" width="13" style="210" customWidth="1"/>
    <col min="4873" max="4873" width="12" style="210" customWidth="1"/>
    <col min="4874" max="4874" width="13.1796875" style="210" customWidth="1"/>
    <col min="4875" max="4876" width="12.1796875" style="210" customWidth="1"/>
    <col min="4877" max="4877" width="33" style="210" customWidth="1"/>
    <col min="4878" max="4878" width="29" style="210" customWidth="1"/>
    <col min="4879" max="4879" width="30.81640625" style="210" customWidth="1"/>
    <col min="4880" max="4880" width="31.81640625" style="210" customWidth="1"/>
    <col min="4881" max="4881" width="30" style="210" customWidth="1"/>
    <col min="4882" max="4882" width="12" style="210" bestFit="1" customWidth="1"/>
    <col min="4883" max="4885" width="17.81640625" style="210" customWidth="1"/>
    <col min="4886" max="5119" width="10.1796875" style="210"/>
    <col min="5120" max="5120" width="35" style="210" customWidth="1"/>
    <col min="5121" max="5121" width="15" style="210" customWidth="1"/>
    <col min="5122" max="5123" width="13.54296875" style="210" customWidth="1"/>
    <col min="5124" max="5125" width="13.1796875" style="210" customWidth="1"/>
    <col min="5126" max="5126" width="13.1796875" style="210" bestFit="1" customWidth="1"/>
    <col min="5127" max="5128" width="13" style="210" customWidth="1"/>
    <col min="5129" max="5129" width="12" style="210" customWidth="1"/>
    <col min="5130" max="5130" width="13.1796875" style="210" customWidth="1"/>
    <col min="5131" max="5132" width="12.1796875" style="210" customWidth="1"/>
    <col min="5133" max="5133" width="33" style="210" customWidth="1"/>
    <col min="5134" max="5134" width="29" style="210" customWidth="1"/>
    <col min="5135" max="5135" width="30.81640625" style="210" customWidth="1"/>
    <col min="5136" max="5136" width="31.81640625" style="210" customWidth="1"/>
    <col min="5137" max="5137" width="30" style="210" customWidth="1"/>
    <col min="5138" max="5138" width="12" style="210" bestFit="1" customWidth="1"/>
    <col min="5139" max="5141" width="17.81640625" style="210" customWidth="1"/>
    <col min="5142" max="5375" width="10.1796875" style="210"/>
    <col min="5376" max="5376" width="35" style="210" customWidth="1"/>
    <col min="5377" max="5377" width="15" style="210" customWidth="1"/>
    <col min="5378" max="5379" width="13.54296875" style="210" customWidth="1"/>
    <col min="5380" max="5381" width="13.1796875" style="210" customWidth="1"/>
    <col min="5382" max="5382" width="13.1796875" style="210" bestFit="1" customWidth="1"/>
    <col min="5383" max="5384" width="13" style="210" customWidth="1"/>
    <col min="5385" max="5385" width="12" style="210" customWidth="1"/>
    <col min="5386" max="5386" width="13.1796875" style="210" customWidth="1"/>
    <col min="5387" max="5388" width="12.1796875" style="210" customWidth="1"/>
    <col min="5389" max="5389" width="33" style="210" customWidth="1"/>
    <col min="5390" max="5390" width="29" style="210" customWidth="1"/>
    <col min="5391" max="5391" width="30.81640625" style="210" customWidth="1"/>
    <col min="5392" max="5392" width="31.81640625" style="210" customWidth="1"/>
    <col min="5393" max="5393" width="30" style="210" customWidth="1"/>
    <col min="5394" max="5394" width="12" style="210" bestFit="1" customWidth="1"/>
    <col min="5395" max="5397" width="17.81640625" style="210" customWidth="1"/>
    <col min="5398" max="5631" width="10.1796875" style="210"/>
    <col min="5632" max="5632" width="35" style="210" customWidth="1"/>
    <col min="5633" max="5633" width="15" style="210" customWidth="1"/>
    <col min="5634" max="5635" width="13.54296875" style="210" customWidth="1"/>
    <col min="5636" max="5637" width="13.1796875" style="210" customWidth="1"/>
    <col min="5638" max="5638" width="13.1796875" style="210" bestFit="1" customWidth="1"/>
    <col min="5639" max="5640" width="13" style="210" customWidth="1"/>
    <col min="5641" max="5641" width="12" style="210" customWidth="1"/>
    <col min="5642" max="5642" width="13.1796875" style="210" customWidth="1"/>
    <col min="5643" max="5644" width="12.1796875" style="210" customWidth="1"/>
    <col min="5645" max="5645" width="33" style="210" customWidth="1"/>
    <col min="5646" max="5646" width="29" style="210" customWidth="1"/>
    <col min="5647" max="5647" width="30.81640625" style="210" customWidth="1"/>
    <col min="5648" max="5648" width="31.81640625" style="210" customWidth="1"/>
    <col min="5649" max="5649" width="30" style="210" customWidth="1"/>
    <col min="5650" max="5650" width="12" style="210" bestFit="1" customWidth="1"/>
    <col min="5651" max="5653" width="17.81640625" style="210" customWidth="1"/>
    <col min="5654" max="5887" width="10.1796875" style="210"/>
    <col min="5888" max="5888" width="35" style="210" customWidth="1"/>
    <col min="5889" max="5889" width="15" style="210" customWidth="1"/>
    <col min="5890" max="5891" width="13.54296875" style="210" customWidth="1"/>
    <col min="5892" max="5893" width="13.1796875" style="210" customWidth="1"/>
    <col min="5894" max="5894" width="13.1796875" style="210" bestFit="1" customWidth="1"/>
    <col min="5895" max="5896" width="13" style="210" customWidth="1"/>
    <col min="5897" max="5897" width="12" style="210" customWidth="1"/>
    <col min="5898" max="5898" width="13.1796875" style="210" customWidth="1"/>
    <col min="5899" max="5900" width="12.1796875" style="210" customWidth="1"/>
    <col min="5901" max="5901" width="33" style="210" customWidth="1"/>
    <col min="5902" max="5902" width="29" style="210" customWidth="1"/>
    <col min="5903" max="5903" width="30.81640625" style="210" customWidth="1"/>
    <col min="5904" max="5904" width="31.81640625" style="210" customWidth="1"/>
    <col min="5905" max="5905" width="30" style="210" customWidth="1"/>
    <col min="5906" max="5906" width="12" style="210" bestFit="1" customWidth="1"/>
    <col min="5907" max="5909" width="17.81640625" style="210" customWidth="1"/>
    <col min="5910" max="6143" width="10.1796875" style="210"/>
    <col min="6144" max="6144" width="35" style="210" customWidth="1"/>
    <col min="6145" max="6145" width="15" style="210" customWidth="1"/>
    <col min="6146" max="6147" width="13.54296875" style="210" customWidth="1"/>
    <col min="6148" max="6149" width="13.1796875" style="210" customWidth="1"/>
    <col min="6150" max="6150" width="13.1796875" style="210" bestFit="1" customWidth="1"/>
    <col min="6151" max="6152" width="13" style="210" customWidth="1"/>
    <col min="6153" max="6153" width="12" style="210" customWidth="1"/>
    <col min="6154" max="6154" width="13.1796875" style="210" customWidth="1"/>
    <col min="6155" max="6156" width="12.1796875" style="210" customWidth="1"/>
    <col min="6157" max="6157" width="33" style="210" customWidth="1"/>
    <col min="6158" max="6158" width="29" style="210" customWidth="1"/>
    <col min="6159" max="6159" width="30.81640625" style="210" customWidth="1"/>
    <col min="6160" max="6160" width="31.81640625" style="210" customWidth="1"/>
    <col min="6161" max="6161" width="30" style="210" customWidth="1"/>
    <col min="6162" max="6162" width="12" style="210" bestFit="1" customWidth="1"/>
    <col min="6163" max="6165" width="17.81640625" style="210" customWidth="1"/>
    <col min="6166" max="6399" width="10.1796875" style="210"/>
    <col min="6400" max="6400" width="35" style="210" customWidth="1"/>
    <col min="6401" max="6401" width="15" style="210" customWidth="1"/>
    <col min="6402" max="6403" width="13.54296875" style="210" customWidth="1"/>
    <col min="6404" max="6405" width="13.1796875" style="210" customWidth="1"/>
    <col min="6406" max="6406" width="13.1796875" style="210" bestFit="1" customWidth="1"/>
    <col min="6407" max="6408" width="13" style="210" customWidth="1"/>
    <col min="6409" max="6409" width="12" style="210" customWidth="1"/>
    <col min="6410" max="6410" width="13.1796875" style="210" customWidth="1"/>
    <col min="6411" max="6412" width="12.1796875" style="210" customWidth="1"/>
    <col min="6413" max="6413" width="33" style="210" customWidth="1"/>
    <col min="6414" max="6414" width="29" style="210" customWidth="1"/>
    <col min="6415" max="6415" width="30.81640625" style="210" customWidth="1"/>
    <col min="6416" max="6416" width="31.81640625" style="210" customWidth="1"/>
    <col min="6417" max="6417" width="30" style="210" customWidth="1"/>
    <col min="6418" max="6418" width="12" style="210" bestFit="1" customWidth="1"/>
    <col min="6419" max="6421" width="17.81640625" style="210" customWidth="1"/>
    <col min="6422" max="6655" width="10.1796875" style="210"/>
    <col min="6656" max="6656" width="35" style="210" customWidth="1"/>
    <col min="6657" max="6657" width="15" style="210" customWidth="1"/>
    <col min="6658" max="6659" width="13.54296875" style="210" customWidth="1"/>
    <col min="6660" max="6661" width="13.1796875" style="210" customWidth="1"/>
    <col min="6662" max="6662" width="13.1796875" style="210" bestFit="1" customWidth="1"/>
    <col min="6663" max="6664" width="13" style="210" customWidth="1"/>
    <col min="6665" max="6665" width="12" style="210" customWidth="1"/>
    <col min="6666" max="6666" width="13.1796875" style="210" customWidth="1"/>
    <col min="6667" max="6668" width="12.1796875" style="210" customWidth="1"/>
    <col min="6669" max="6669" width="33" style="210" customWidth="1"/>
    <col min="6670" max="6670" width="29" style="210" customWidth="1"/>
    <col min="6671" max="6671" width="30.81640625" style="210" customWidth="1"/>
    <col min="6672" max="6672" width="31.81640625" style="210" customWidth="1"/>
    <col min="6673" max="6673" width="30" style="210" customWidth="1"/>
    <col min="6674" max="6674" width="12" style="210" bestFit="1" customWidth="1"/>
    <col min="6675" max="6677" width="17.81640625" style="210" customWidth="1"/>
    <col min="6678" max="6911" width="10.1796875" style="210"/>
    <col min="6912" max="6912" width="35" style="210" customWidth="1"/>
    <col min="6913" max="6913" width="15" style="210" customWidth="1"/>
    <col min="6914" max="6915" width="13.54296875" style="210" customWidth="1"/>
    <col min="6916" max="6917" width="13.1796875" style="210" customWidth="1"/>
    <col min="6918" max="6918" width="13.1796875" style="210" bestFit="1" customWidth="1"/>
    <col min="6919" max="6920" width="13" style="210" customWidth="1"/>
    <col min="6921" max="6921" width="12" style="210" customWidth="1"/>
    <col min="6922" max="6922" width="13.1796875" style="210" customWidth="1"/>
    <col min="6923" max="6924" width="12.1796875" style="210" customWidth="1"/>
    <col min="6925" max="6925" width="33" style="210" customWidth="1"/>
    <col min="6926" max="6926" width="29" style="210" customWidth="1"/>
    <col min="6927" max="6927" width="30.81640625" style="210" customWidth="1"/>
    <col min="6928" max="6928" width="31.81640625" style="210" customWidth="1"/>
    <col min="6929" max="6929" width="30" style="210" customWidth="1"/>
    <col min="6930" max="6930" width="12" style="210" bestFit="1" customWidth="1"/>
    <col min="6931" max="6933" width="17.81640625" style="210" customWidth="1"/>
    <col min="6934" max="7167" width="10.1796875" style="210"/>
    <col min="7168" max="7168" width="35" style="210" customWidth="1"/>
    <col min="7169" max="7169" width="15" style="210" customWidth="1"/>
    <col min="7170" max="7171" width="13.54296875" style="210" customWidth="1"/>
    <col min="7172" max="7173" width="13.1796875" style="210" customWidth="1"/>
    <col min="7174" max="7174" width="13.1796875" style="210" bestFit="1" customWidth="1"/>
    <col min="7175" max="7176" width="13" style="210" customWidth="1"/>
    <col min="7177" max="7177" width="12" style="210" customWidth="1"/>
    <col min="7178" max="7178" width="13.1796875" style="210" customWidth="1"/>
    <col min="7179" max="7180" width="12.1796875" style="210" customWidth="1"/>
    <col min="7181" max="7181" width="33" style="210" customWidth="1"/>
    <col min="7182" max="7182" width="29" style="210" customWidth="1"/>
    <col min="7183" max="7183" width="30.81640625" style="210" customWidth="1"/>
    <col min="7184" max="7184" width="31.81640625" style="210" customWidth="1"/>
    <col min="7185" max="7185" width="30" style="210" customWidth="1"/>
    <col min="7186" max="7186" width="12" style="210" bestFit="1" customWidth="1"/>
    <col min="7187" max="7189" width="17.81640625" style="210" customWidth="1"/>
    <col min="7190" max="7423" width="10.1796875" style="210"/>
    <col min="7424" max="7424" width="35" style="210" customWidth="1"/>
    <col min="7425" max="7425" width="15" style="210" customWidth="1"/>
    <col min="7426" max="7427" width="13.54296875" style="210" customWidth="1"/>
    <col min="7428" max="7429" width="13.1796875" style="210" customWidth="1"/>
    <col min="7430" max="7430" width="13.1796875" style="210" bestFit="1" customWidth="1"/>
    <col min="7431" max="7432" width="13" style="210" customWidth="1"/>
    <col min="7433" max="7433" width="12" style="210" customWidth="1"/>
    <col min="7434" max="7434" width="13.1796875" style="210" customWidth="1"/>
    <col min="7435" max="7436" width="12.1796875" style="210" customWidth="1"/>
    <col min="7437" max="7437" width="33" style="210" customWidth="1"/>
    <col min="7438" max="7438" width="29" style="210" customWidth="1"/>
    <col min="7439" max="7439" width="30.81640625" style="210" customWidth="1"/>
    <col min="7440" max="7440" width="31.81640625" style="210" customWidth="1"/>
    <col min="7441" max="7441" width="30" style="210" customWidth="1"/>
    <col min="7442" max="7442" width="12" style="210" bestFit="1" customWidth="1"/>
    <col min="7443" max="7445" width="17.81640625" style="210" customWidth="1"/>
    <col min="7446" max="7679" width="10.1796875" style="210"/>
    <col min="7680" max="7680" width="35" style="210" customWidth="1"/>
    <col min="7681" max="7681" width="15" style="210" customWidth="1"/>
    <col min="7682" max="7683" width="13.54296875" style="210" customWidth="1"/>
    <col min="7684" max="7685" width="13.1796875" style="210" customWidth="1"/>
    <col min="7686" max="7686" width="13.1796875" style="210" bestFit="1" customWidth="1"/>
    <col min="7687" max="7688" width="13" style="210" customWidth="1"/>
    <col min="7689" max="7689" width="12" style="210" customWidth="1"/>
    <col min="7690" max="7690" width="13.1796875" style="210" customWidth="1"/>
    <col min="7691" max="7692" width="12.1796875" style="210" customWidth="1"/>
    <col min="7693" max="7693" width="33" style="210" customWidth="1"/>
    <col min="7694" max="7694" width="29" style="210" customWidth="1"/>
    <col min="7695" max="7695" width="30.81640625" style="210" customWidth="1"/>
    <col min="7696" max="7696" width="31.81640625" style="210" customWidth="1"/>
    <col min="7697" max="7697" width="30" style="210" customWidth="1"/>
    <col min="7698" max="7698" width="12" style="210" bestFit="1" customWidth="1"/>
    <col min="7699" max="7701" width="17.81640625" style="210" customWidth="1"/>
    <col min="7702" max="7935" width="10.1796875" style="210"/>
    <col min="7936" max="7936" width="35" style="210" customWidth="1"/>
    <col min="7937" max="7937" width="15" style="210" customWidth="1"/>
    <col min="7938" max="7939" width="13.54296875" style="210" customWidth="1"/>
    <col min="7940" max="7941" width="13.1796875" style="210" customWidth="1"/>
    <col min="7942" max="7942" width="13.1796875" style="210" bestFit="1" customWidth="1"/>
    <col min="7943" max="7944" width="13" style="210" customWidth="1"/>
    <col min="7945" max="7945" width="12" style="210" customWidth="1"/>
    <col min="7946" max="7946" width="13.1796875" style="210" customWidth="1"/>
    <col min="7947" max="7948" width="12.1796875" style="210" customWidth="1"/>
    <col min="7949" max="7949" width="33" style="210" customWidth="1"/>
    <col min="7950" max="7950" width="29" style="210" customWidth="1"/>
    <col min="7951" max="7951" width="30.81640625" style="210" customWidth="1"/>
    <col min="7952" max="7952" width="31.81640625" style="210" customWidth="1"/>
    <col min="7953" max="7953" width="30" style="210" customWidth="1"/>
    <col min="7954" max="7954" width="12" style="210" bestFit="1" customWidth="1"/>
    <col min="7955" max="7957" width="17.81640625" style="210" customWidth="1"/>
    <col min="7958" max="8191" width="10.1796875" style="210"/>
    <col min="8192" max="8192" width="35" style="210" customWidth="1"/>
    <col min="8193" max="8193" width="15" style="210" customWidth="1"/>
    <col min="8194" max="8195" width="13.54296875" style="210" customWidth="1"/>
    <col min="8196" max="8197" width="13.1796875" style="210" customWidth="1"/>
    <col min="8198" max="8198" width="13.1796875" style="210" bestFit="1" customWidth="1"/>
    <col min="8199" max="8200" width="13" style="210" customWidth="1"/>
    <col min="8201" max="8201" width="12" style="210" customWidth="1"/>
    <col min="8202" max="8202" width="13.1796875" style="210" customWidth="1"/>
    <col min="8203" max="8204" width="12.1796875" style="210" customWidth="1"/>
    <col min="8205" max="8205" width="33" style="210" customWidth="1"/>
    <col min="8206" max="8206" width="29" style="210" customWidth="1"/>
    <col min="8207" max="8207" width="30.81640625" style="210" customWidth="1"/>
    <col min="8208" max="8208" width="31.81640625" style="210" customWidth="1"/>
    <col min="8209" max="8209" width="30" style="210" customWidth="1"/>
    <col min="8210" max="8210" width="12" style="210" bestFit="1" customWidth="1"/>
    <col min="8211" max="8213" width="17.81640625" style="210" customWidth="1"/>
    <col min="8214" max="8447" width="10.1796875" style="210"/>
    <col min="8448" max="8448" width="35" style="210" customWidth="1"/>
    <col min="8449" max="8449" width="15" style="210" customWidth="1"/>
    <col min="8450" max="8451" width="13.54296875" style="210" customWidth="1"/>
    <col min="8452" max="8453" width="13.1796875" style="210" customWidth="1"/>
    <col min="8454" max="8454" width="13.1796875" style="210" bestFit="1" customWidth="1"/>
    <col min="8455" max="8456" width="13" style="210" customWidth="1"/>
    <col min="8457" max="8457" width="12" style="210" customWidth="1"/>
    <col min="8458" max="8458" width="13.1796875" style="210" customWidth="1"/>
    <col min="8459" max="8460" width="12.1796875" style="210" customWidth="1"/>
    <col min="8461" max="8461" width="33" style="210" customWidth="1"/>
    <col min="8462" max="8462" width="29" style="210" customWidth="1"/>
    <col min="8463" max="8463" width="30.81640625" style="210" customWidth="1"/>
    <col min="8464" max="8464" width="31.81640625" style="210" customWidth="1"/>
    <col min="8465" max="8465" width="30" style="210" customWidth="1"/>
    <col min="8466" max="8466" width="12" style="210" bestFit="1" customWidth="1"/>
    <col min="8467" max="8469" width="17.81640625" style="210" customWidth="1"/>
    <col min="8470" max="8703" width="10.1796875" style="210"/>
    <col min="8704" max="8704" width="35" style="210" customWidth="1"/>
    <col min="8705" max="8705" width="15" style="210" customWidth="1"/>
    <col min="8706" max="8707" width="13.54296875" style="210" customWidth="1"/>
    <col min="8708" max="8709" width="13.1796875" style="210" customWidth="1"/>
    <col min="8710" max="8710" width="13.1796875" style="210" bestFit="1" customWidth="1"/>
    <col min="8711" max="8712" width="13" style="210" customWidth="1"/>
    <col min="8713" max="8713" width="12" style="210" customWidth="1"/>
    <col min="8714" max="8714" width="13.1796875" style="210" customWidth="1"/>
    <col min="8715" max="8716" width="12.1796875" style="210" customWidth="1"/>
    <col min="8717" max="8717" width="33" style="210" customWidth="1"/>
    <col min="8718" max="8718" width="29" style="210" customWidth="1"/>
    <col min="8719" max="8719" width="30.81640625" style="210" customWidth="1"/>
    <col min="8720" max="8720" width="31.81640625" style="210" customWidth="1"/>
    <col min="8721" max="8721" width="30" style="210" customWidth="1"/>
    <col min="8722" max="8722" width="12" style="210" bestFit="1" customWidth="1"/>
    <col min="8723" max="8725" width="17.81640625" style="210" customWidth="1"/>
    <col min="8726" max="8959" width="10.1796875" style="210"/>
    <col min="8960" max="8960" width="35" style="210" customWidth="1"/>
    <col min="8961" max="8961" width="15" style="210" customWidth="1"/>
    <col min="8962" max="8963" width="13.54296875" style="210" customWidth="1"/>
    <col min="8964" max="8965" width="13.1796875" style="210" customWidth="1"/>
    <col min="8966" max="8966" width="13.1796875" style="210" bestFit="1" customWidth="1"/>
    <col min="8967" max="8968" width="13" style="210" customWidth="1"/>
    <col min="8969" max="8969" width="12" style="210" customWidth="1"/>
    <col min="8970" max="8970" width="13.1796875" style="210" customWidth="1"/>
    <col min="8971" max="8972" width="12.1796875" style="210" customWidth="1"/>
    <col min="8973" max="8973" width="33" style="210" customWidth="1"/>
    <col min="8974" max="8974" width="29" style="210" customWidth="1"/>
    <col min="8975" max="8975" width="30.81640625" style="210" customWidth="1"/>
    <col min="8976" max="8976" width="31.81640625" style="210" customWidth="1"/>
    <col min="8977" max="8977" width="30" style="210" customWidth="1"/>
    <col min="8978" max="8978" width="12" style="210" bestFit="1" customWidth="1"/>
    <col min="8979" max="8981" width="17.81640625" style="210" customWidth="1"/>
    <col min="8982" max="9215" width="10.1796875" style="210"/>
    <col min="9216" max="9216" width="35" style="210" customWidth="1"/>
    <col min="9217" max="9217" width="15" style="210" customWidth="1"/>
    <col min="9218" max="9219" width="13.54296875" style="210" customWidth="1"/>
    <col min="9220" max="9221" width="13.1796875" style="210" customWidth="1"/>
    <col min="9222" max="9222" width="13.1796875" style="210" bestFit="1" customWidth="1"/>
    <col min="9223" max="9224" width="13" style="210" customWidth="1"/>
    <col min="9225" max="9225" width="12" style="210" customWidth="1"/>
    <col min="9226" max="9226" width="13.1796875" style="210" customWidth="1"/>
    <col min="9227" max="9228" width="12.1796875" style="210" customWidth="1"/>
    <col min="9229" max="9229" width="33" style="210" customWidth="1"/>
    <col min="9230" max="9230" width="29" style="210" customWidth="1"/>
    <col min="9231" max="9231" width="30.81640625" style="210" customWidth="1"/>
    <col min="9232" max="9232" width="31.81640625" style="210" customWidth="1"/>
    <col min="9233" max="9233" width="30" style="210" customWidth="1"/>
    <col min="9234" max="9234" width="12" style="210" bestFit="1" customWidth="1"/>
    <col min="9235" max="9237" width="17.81640625" style="210" customWidth="1"/>
    <col min="9238" max="9471" width="10.1796875" style="210"/>
    <col min="9472" max="9472" width="35" style="210" customWidth="1"/>
    <col min="9473" max="9473" width="15" style="210" customWidth="1"/>
    <col min="9474" max="9475" width="13.54296875" style="210" customWidth="1"/>
    <col min="9476" max="9477" width="13.1796875" style="210" customWidth="1"/>
    <col min="9478" max="9478" width="13.1796875" style="210" bestFit="1" customWidth="1"/>
    <col min="9479" max="9480" width="13" style="210" customWidth="1"/>
    <col min="9481" max="9481" width="12" style="210" customWidth="1"/>
    <col min="9482" max="9482" width="13.1796875" style="210" customWidth="1"/>
    <col min="9483" max="9484" width="12.1796875" style="210" customWidth="1"/>
    <col min="9485" max="9485" width="33" style="210" customWidth="1"/>
    <col min="9486" max="9486" width="29" style="210" customWidth="1"/>
    <col min="9487" max="9487" width="30.81640625" style="210" customWidth="1"/>
    <col min="9488" max="9488" width="31.81640625" style="210" customWidth="1"/>
    <col min="9489" max="9489" width="30" style="210" customWidth="1"/>
    <col min="9490" max="9490" width="12" style="210" bestFit="1" customWidth="1"/>
    <col min="9491" max="9493" width="17.81640625" style="210" customWidth="1"/>
    <col min="9494" max="9727" width="10.1796875" style="210"/>
    <col min="9728" max="9728" width="35" style="210" customWidth="1"/>
    <col min="9729" max="9729" width="15" style="210" customWidth="1"/>
    <col min="9730" max="9731" width="13.54296875" style="210" customWidth="1"/>
    <col min="9732" max="9733" width="13.1796875" style="210" customWidth="1"/>
    <col min="9734" max="9734" width="13.1796875" style="210" bestFit="1" customWidth="1"/>
    <col min="9735" max="9736" width="13" style="210" customWidth="1"/>
    <col min="9737" max="9737" width="12" style="210" customWidth="1"/>
    <col min="9738" max="9738" width="13.1796875" style="210" customWidth="1"/>
    <col min="9739" max="9740" width="12.1796875" style="210" customWidth="1"/>
    <col min="9741" max="9741" width="33" style="210" customWidth="1"/>
    <col min="9742" max="9742" width="29" style="210" customWidth="1"/>
    <col min="9743" max="9743" width="30.81640625" style="210" customWidth="1"/>
    <col min="9744" max="9744" width="31.81640625" style="210" customWidth="1"/>
    <col min="9745" max="9745" width="30" style="210" customWidth="1"/>
    <col min="9746" max="9746" width="12" style="210" bestFit="1" customWidth="1"/>
    <col min="9747" max="9749" width="17.81640625" style="210" customWidth="1"/>
    <col min="9750" max="9983" width="10.1796875" style="210"/>
    <col min="9984" max="9984" width="35" style="210" customWidth="1"/>
    <col min="9985" max="9985" width="15" style="210" customWidth="1"/>
    <col min="9986" max="9987" width="13.54296875" style="210" customWidth="1"/>
    <col min="9988" max="9989" width="13.1796875" style="210" customWidth="1"/>
    <col min="9990" max="9990" width="13.1796875" style="210" bestFit="1" customWidth="1"/>
    <col min="9991" max="9992" width="13" style="210" customWidth="1"/>
    <col min="9993" max="9993" width="12" style="210" customWidth="1"/>
    <col min="9994" max="9994" width="13.1796875" style="210" customWidth="1"/>
    <col min="9995" max="9996" width="12.1796875" style="210" customWidth="1"/>
    <col min="9997" max="9997" width="33" style="210" customWidth="1"/>
    <col min="9998" max="9998" width="29" style="210" customWidth="1"/>
    <col min="9999" max="9999" width="30.81640625" style="210" customWidth="1"/>
    <col min="10000" max="10000" width="31.81640625" style="210" customWidth="1"/>
    <col min="10001" max="10001" width="30" style="210" customWidth="1"/>
    <col min="10002" max="10002" width="12" style="210" bestFit="1" customWidth="1"/>
    <col min="10003" max="10005" width="17.81640625" style="210" customWidth="1"/>
    <col min="10006" max="10239" width="10.1796875" style="210"/>
    <col min="10240" max="10240" width="35" style="210" customWidth="1"/>
    <col min="10241" max="10241" width="15" style="210" customWidth="1"/>
    <col min="10242" max="10243" width="13.54296875" style="210" customWidth="1"/>
    <col min="10244" max="10245" width="13.1796875" style="210" customWidth="1"/>
    <col min="10246" max="10246" width="13.1796875" style="210" bestFit="1" customWidth="1"/>
    <col min="10247" max="10248" width="13" style="210" customWidth="1"/>
    <col min="10249" max="10249" width="12" style="210" customWidth="1"/>
    <col min="10250" max="10250" width="13.1796875" style="210" customWidth="1"/>
    <col min="10251" max="10252" width="12.1796875" style="210" customWidth="1"/>
    <col min="10253" max="10253" width="33" style="210" customWidth="1"/>
    <col min="10254" max="10254" width="29" style="210" customWidth="1"/>
    <col min="10255" max="10255" width="30.81640625" style="210" customWidth="1"/>
    <col min="10256" max="10256" width="31.81640625" style="210" customWidth="1"/>
    <col min="10257" max="10257" width="30" style="210" customWidth="1"/>
    <col min="10258" max="10258" width="12" style="210" bestFit="1" customWidth="1"/>
    <col min="10259" max="10261" width="17.81640625" style="210" customWidth="1"/>
    <col min="10262" max="10495" width="10.1796875" style="210"/>
    <col min="10496" max="10496" width="35" style="210" customWidth="1"/>
    <col min="10497" max="10497" width="15" style="210" customWidth="1"/>
    <col min="10498" max="10499" width="13.54296875" style="210" customWidth="1"/>
    <col min="10500" max="10501" width="13.1796875" style="210" customWidth="1"/>
    <col min="10502" max="10502" width="13.1796875" style="210" bestFit="1" customWidth="1"/>
    <col min="10503" max="10504" width="13" style="210" customWidth="1"/>
    <col min="10505" max="10505" width="12" style="210" customWidth="1"/>
    <col min="10506" max="10506" width="13.1796875" style="210" customWidth="1"/>
    <col min="10507" max="10508" width="12.1796875" style="210" customWidth="1"/>
    <col min="10509" max="10509" width="33" style="210" customWidth="1"/>
    <col min="10510" max="10510" width="29" style="210" customWidth="1"/>
    <col min="10511" max="10511" width="30.81640625" style="210" customWidth="1"/>
    <col min="10512" max="10512" width="31.81640625" style="210" customWidth="1"/>
    <col min="10513" max="10513" width="30" style="210" customWidth="1"/>
    <col min="10514" max="10514" width="12" style="210" bestFit="1" customWidth="1"/>
    <col min="10515" max="10517" width="17.81640625" style="210" customWidth="1"/>
    <col min="10518" max="10751" width="10.1796875" style="210"/>
    <col min="10752" max="10752" width="35" style="210" customWidth="1"/>
    <col min="10753" max="10753" width="15" style="210" customWidth="1"/>
    <col min="10754" max="10755" width="13.54296875" style="210" customWidth="1"/>
    <col min="10756" max="10757" width="13.1796875" style="210" customWidth="1"/>
    <col min="10758" max="10758" width="13.1796875" style="210" bestFit="1" customWidth="1"/>
    <col min="10759" max="10760" width="13" style="210" customWidth="1"/>
    <col min="10761" max="10761" width="12" style="210" customWidth="1"/>
    <col min="10762" max="10762" width="13.1796875" style="210" customWidth="1"/>
    <col min="10763" max="10764" width="12.1796875" style="210" customWidth="1"/>
    <col min="10765" max="10765" width="33" style="210" customWidth="1"/>
    <col min="10766" max="10766" width="29" style="210" customWidth="1"/>
    <col min="10767" max="10767" width="30.81640625" style="210" customWidth="1"/>
    <col min="10768" max="10768" width="31.81640625" style="210" customWidth="1"/>
    <col min="10769" max="10769" width="30" style="210" customWidth="1"/>
    <col min="10770" max="10770" width="12" style="210" bestFit="1" customWidth="1"/>
    <col min="10771" max="10773" width="17.81640625" style="210" customWidth="1"/>
    <col min="10774" max="11007" width="10.1796875" style="210"/>
    <col min="11008" max="11008" width="35" style="210" customWidth="1"/>
    <col min="11009" max="11009" width="15" style="210" customWidth="1"/>
    <col min="11010" max="11011" width="13.54296875" style="210" customWidth="1"/>
    <col min="11012" max="11013" width="13.1796875" style="210" customWidth="1"/>
    <col min="11014" max="11014" width="13.1796875" style="210" bestFit="1" customWidth="1"/>
    <col min="11015" max="11016" width="13" style="210" customWidth="1"/>
    <col min="11017" max="11017" width="12" style="210" customWidth="1"/>
    <col min="11018" max="11018" width="13.1796875" style="210" customWidth="1"/>
    <col min="11019" max="11020" width="12.1796875" style="210" customWidth="1"/>
    <col min="11021" max="11021" width="33" style="210" customWidth="1"/>
    <col min="11022" max="11022" width="29" style="210" customWidth="1"/>
    <col min="11023" max="11023" width="30.81640625" style="210" customWidth="1"/>
    <col min="11024" max="11024" width="31.81640625" style="210" customWidth="1"/>
    <col min="11025" max="11025" width="30" style="210" customWidth="1"/>
    <col min="11026" max="11026" width="12" style="210" bestFit="1" customWidth="1"/>
    <col min="11027" max="11029" width="17.81640625" style="210" customWidth="1"/>
    <col min="11030" max="11263" width="10.1796875" style="210"/>
    <col min="11264" max="11264" width="35" style="210" customWidth="1"/>
    <col min="11265" max="11265" width="15" style="210" customWidth="1"/>
    <col min="11266" max="11267" width="13.54296875" style="210" customWidth="1"/>
    <col min="11268" max="11269" width="13.1796875" style="210" customWidth="1"/>
    <col min="11270" max="11270" width="13.1796875" style="210" bestFit="1" customWidth="1"/>
    <col min="11271" max="11272" width="13" style="210" customWidth="1"/>
    <col min="11273" max="11273" width="12" style="210" customWidth="1"/>
    <col min="11274" max="11274" width="13.1796875" style="210" customWidth="1"/>
    <col min="11275" max="11276" width="12.1796875" style="210" customWidth="1"/>
    <col min="11277" max="11277" width="33" style="210" customWidth="1"/>
    <col min="11278" max="11278" width="29" style="210" customWidth="1"/>
    <col min="11279" max="11279" width="30.81640625" style="210" customWidth="1"/>
    <col min="11280" max="11280" width="31.81640625" style="210" customWidth="1"/>
    <col min="11281" max="11281" width="30" style="210" customWidth="1"/>
    <col min="11282" max="11282" width="12" style="210" bestFit="1" customWidth="1"/>
    <col min="11283" max="11285" width="17.81640625" style="210" customWidth="1"/>
    <col min="11286" max="11519" width="10.1796875" style="210"/>
    <col min="11520" max="11520" width="35" style="210" customWidth="1"/>
    <col min="11521" max="11521" width="15" style="210" customWidth="1"/>
    <col min="11522" max="11523" width="13.54296875" style="210" customWidth="1"/>
    <col min="11524" max="11525" width="13.1796875" style="210" customWidth="1"/>
    <col min="11526" max="11526" width="13.1796875" style="210" bestFit="1" customWidth="1"/>
    <col min="11527" max="11528" width="13" style="210" customWidth="1"/>
    <col min="11529" max="11529" width="12" style="210" customWidth="1"/>
    <col min="11530" max="11530" width="13.1796875" style="210" customWidth="1"/>
    <col min="11531" max="11532" width="12.1796875" style="210" customWidth="1"/>
    <col min="11533" max="11533" width="33" style="210" customWidth="1"/>
    <col min="11534" max="11534" width="29" style="210" customWidth="1"/>
    <col min="11535" max="11535" width="30.81640625" style="210" customWidth="1"/>
    <col min="11536" max="11536" width="31.81640625" style="210" customWidth="1"/>
    <col min="11537" max="11537" width="30" style="210" customWidth="1"/>
    <col min="11538" max="11538" width="12" style="210" bestFit="1" customWidth="1"/>
    <col min="11539" max="11541" width="17.81640625" style="210" customWidth="1"/>
    <col min="11542" max="11775" width="10.1796875" style="210"/>
    <col min="11776" max="11776" width="35" style="210" customWidth="1"/>
    <col min="11777" max="11777" width="15" style="210" customWidth="1"/>
    <col min="11778" max="11779" width="13.54296875" style="210" customWidth="1"/>
    <col min="11780" max="11781" width="13.1796875" style="210" customWidth="1"/>
    <col min="11782" max="11782" width="13.1796875" style="210" bestFit="1" customWidth="1"/>
    <col min="11783" max="11784" width="13" style="210" customWidth="1"/>
    <col min="11785" max="11785" width="12" style="210" customWidth="1"/>
    <col min="11786" max="11786" width="13.1796875" style="210" customWidth="1"/>
    <col min="11787" max="11788" width="12.1796875" style="210" customWidth="1"/>
    <col min="11789" max="11789" width="33" style="210" customWidth="1"/>
    <col min="11790" max="11790" width="29" style="210" customWidth="1"/>
    <col min="11791" max="11791" width="30.81640625" style="210" customWidth="1"/>
    <col min="11792" max="11792" width="31.81640625" style="210" customWidth="1"/>
    <col min="11793" max="11793" width="30" style="210" customWidth="1"/>
    <col min="11794" max="11794" width="12" style="210" bestFit="1" customWidth="1"/>
    <col min="11795" max="11797" width="17.81640625" style="210" customWidth="1"/>
    <col min="11798" max="12031" width="10.1796875" style="210"/>
    <col min="12032" max="12032" width="35" style="210" customWidth="1"/>
    <col min="12033" max="12033" width="15" style="210" customWidth="1"/>
    <col min="12034" max="12035" width="13.54296875" style="210" customWidth="1"/>
    <col min="12036" max="12037" width="13.1796875" style="210" customWidth="1"/>
    <col min="12038" max="12038" width="13.1796875" style="210" bestFit="1" customWidth="1"/>
    <col min="12039" max="12040" width="13" style="210" customWidth="1"/>
    <col min="12041" max="12041" width="12" style="210" customWidth="1"/>
    <col min="12042" max="12042" width="13.1796875" style="210" customWidth="1"/>
    <col min="12043" max="12044" width="12.1796875" style="210" customWidth="1"/>
    <col min="12045" max="12045" width="33" style="210" customWidth="1"/>
    <col min="12046" max="12046" width="29" style="210" customWidth="1"/>
    <col min="12047" max="12047" width="30.81640625" style="210" customWidth="1"/>
    <col min="12048" max="12048" width="31.81640625" style="210" customWidth="1"/>
    <col min="12049" max="12049" width="30" style="210" customWidth="1"/>
    <col min="12050" max="12050" width="12" style="210" bestFit="1" customWidth="1"/>
    <col min="12051" max="12053" width="17.81640625" style="210" customWidth="1"/>
    <col min="12054" max="12287" width="10.1796875" style="210"/>
    <col min="12288" max="12288" width="35" style="210" customWidth="1"/>
    <col min="12289" max="12289" width="15" style="210" customWidth="1"/>
    <col min="12290" max="12291" width="13.54296875" style="210" customWidth="1"/>
    <col min="12292" max="12293" width="13.1796875" style="210" customWidth="1"/>
    <col min="12294" max="12294" width="13.1796875" style="210" bestFit="1" customWidth="1"/>
    <col min="12295" max="12296" width="13" style="210" customWidth="1"/>
    <col min="12297" max="12297" width="12" style="210" customWidth="1"/>
    <col min="12298" max="12298" width="13.1796875" style="210" customWidth="1"/>
    <col min="12299" max="12300" width="12.1796875" style="210" customWidth="1"/>
    <col min="12301" max="12301" width="33" style="210" customWidth="1"/>
    <col min="12302" max="12302" width="29" style="210" customWidth="1"/>
    <col min="12303" max="12303" width="30.81640625" style="210" customWidth="1"/>
    <col min="12304" max="12304" width="31.81640625" style="210" customWidth="1"/>
    <col min="12305" max="12305" width="30" style="210" customWidth="1"/>
    <col min="12306" max="12306" width="12" style="210" bestFit="1" customWidth="1"/>
    <col min="12307" max="12309" width="17.81640625" style="210" customWidth="1"/>
    <col min="12310" max="12543" width="10.1796875" style="210"/>
    <col min="12544" max="12544" width="35" style="210" customWidth="1"/>
    <col min="12545" max="12545" width="15" style="210" customWidth="1"/>
    <col min="12546" max="12547" width="13.54296875" style="210" customWidth="1"/>
    <col min="12548" max="12549" width="13.1796875" style="210" customWidth="1"/>
    <col min="12550" max="12550" width="13.1796875" style="210" bestFit="1" customWidth="1"/>
    <col min="12551" max="12552" width="13" style="210" customWidth="1"/>
    <col min="12553" max="12553" width="12" style="210" customWidth="1"/>
    <col min="12554" max="12554" width="13.1796875" style="210" customWidth="1"/>
    <col min="12555" max="12556" width="12.1796875" style="210" customWidth="1"/>
    <col min="12557" max="12557" width="33" style="210" customWidth="1"/>
    <col min="12558" max="12558" width="29" style="210" customWidth="1"/>
    <col min="12559" max="12559" width="30.81640625" style="210" customWidth="1"/>
    <col min="12560" max="12560" width="31.81640625" style="210" customWidth="1"/>
    <col min="12561" max="12561" width="30" style="210" customWidth="1"/>
    <col min="12562" max="12562" width="12" style="210" bestFit="1" customWidth="1"/>
    <col min="12563" max="12565" width="17.81640625" style="210" customWidth="1"/>
    <col min="12566" max="12799" width="10.1796875" style="210"/>
    <col min="12800" max="12800" width="35" style="210" customWidth="1"/>
    <col min="12801" max="12801" width="15" style="210" customWidth="1"/>
    <col min="12802" max="12803" width="13.54296875" style="210" customWidth="1"/>
    <col min="12804" max="12805" width="13.1796875" style="210" customWidth="1"/>
    <col min="12806" max="12806" width="13.1796875" style="210" bestFit="1" customWidth="1"/>
    <col min="12807" max="12808" width="13" style="210" customWidth="1"/>
    <col min="12809" max="12809" width="12" style="210" customWidth="1"/>
    <col min="12810" max="12810" width="13.1796875" style="210" customWidth="1"/>
    <col min="12811" max="12812" width="12.1796875" style="210" customWidth="1"/>
    <col min="12813" max="12813" width="33" style="210" customWidth="1"/>
    <col min="12814" max="12814" width="29" style="210" customWidth="1"/>
    <col min="12815" max="12815" width="30.81640625" style="210" customWidth="1"/>
    <col min="12816" max="12816" width="31.81640625" style="210" customWidth="1"/>
    <col min="12817" max="12817" width="30" style="210" customWidth="1"/>
    <col min="12818" max="12818" width="12" style="210" bestFit="1" customWidth="1"/>
    <col min="12819" max="12821" width="17.81640625" style="210" customWidth="1"/>
    <col min="12822" max="13055" width="10.1796875" style="210"/>
    <col min="13056" max="13056" width="35" style="210" customWidth="1"/>
    <col min="13057" max="13057" width="15" style="210" customWidth="1"/>
    <col min="13058" max="13059" width="13.54296875" style="210" customWidth="1"/>
    <col min="13060" max="13061" width="13.1796875" style="210" customWidth="1"/>
    <col min="13062" max="13062" width="13.1796875" style="210" bestFit="1" customWidth="1"/>
    <col min="13063" max="13064" width="13" style="210" customWidth="1"/>
    <col min="13065" max="13065" width="12" style="210" customWidth="1"/>
    <col min="13066" max="13066" width="13.1796875" style="210" customWidth="1"/>
    <col min="13067" max="13068" width="12.1796875" style="210" customWidth="1"/>
    <col min="13069" max="13069" width="33" style="210" customWidth="1"/>
    <col min="13070" max="13070" width="29" style="210" customWidth="1"/>
    <col min="13071" max="13071" width="30.81640625" style="210" customWidth="1"/>
    <col min="13072" max="13072" width="31.81640625" style="210" customWidth="1"/>
    <col min="13073" max="13073" width="30" style="210" customWidth="1"/>
    <col min="13074" max="13074" width="12" style="210" bestFit="1" customWidth="1"/>
    <col min="13075" max="13077" width="17.81640625" style="210" customWidth="1"/>
    <col min="13078" max="13311" width="10.1796875" style="210"/>
    <col min="13312" max="13312" width="35" style="210" customWidth="1"/>
    <col min="13313" max="13313" width="15" style="210" customWidth="1"/>
    <col min="13314" max="13315" width="13.54296875" style="210" customWidth="1"/>
    <col min="13316" max="13317" width="13.1796875" style="210" customWidth="1"/>
    <col min="13318" max="13318" width="13.1796875" style="210" bestFit="1" customWidth="1"/>
    <col min="13319" max="13320" width="13" style="210" customWidth="1"/>
    <col min="13321" max="13321" width="12" style="210" customWidth="1"/>
    <col min="13322" max="13322" width="13.1796875" style="210" customWidth="1"/>
    <col min="13323" max="13324" width="12.1796875" style="210" customWidth="1"/>
    <col min="13325" max="13325" width="33" style="210" customWidth="1"/>
    <col min="13326" max="13326" width="29" style="210" customWidth="1"/>
    <col min="13327" max="13327" width="30.81640625" style="210" customWidth="1"/>
    <col min="13328" max="13328" width="31.81640625" style="210" customWidth="1"/>
    <col min="13329" max="13329" width="30" style="210" customWidth="1"/>
    <col min="13330" max="13330" width="12" style="210" bestFit="1" customWidth="1"/>
    <col min="13331" max="13333" width="17.81640625" style="210" customWidth="1"/>
    <col min="13334" max="13567" width="10.1796875" style="210"/>
    <col min="13568" max="13568" width="35" style="210" customWidth="1"/>
    <col min="13569" max="13569" width="15" style="210" customWidth="1"/>
    <col min="13570" max="13571" width="13.54296875" style="210" customWidth="1"/>
    <col min="13572" max="13573" width="13.1796875" style="210" customWidth="1"/>
    <col min="13574" max="13574" width="13.1796875" style="210" bestFit="1" customWidth="1"/>
    <col min="13575" max="13576" width="13" style="210" customWidth="1"/>
    <col min="13577" max="13577" width="12" style="210" customWidth="1"/>
    <col min="13578" max="13578" width="13.1796875" style="210" customWidth="1"/>
    <col min="13579" max="13580" width="12.1796875" style="210" customWidth="1"/>
    <col min="13581" max="13581" width="33" style="210" customWidth="1"/>
    <col min="13582" max="13582" width="29" style="210" customWidth="1"/>
    <col min="13583" max="13583" width="30.81640625" style="210" customWidth="1"/>
    <col min="13584" max="13584" width="31.81640625" style="210" customWidth="1"/>
    <col min="13585" max="13585" width="30" style="210" customWidth="1"/>
    <col min="13586" max="13586" width="12" style="210" bestFit="1" customWidth="1"/>
    <col min="13587" max="13589" width="17.81640625" style="210" customWidth="1"/>
    <col min="13590" max="13823" width="10.1796875" style="210"/>
    <col min="13824" max="13824" width="35" style="210" customWidth="1"/>
    <col min="13825" max="13825" width="15" style="210" customWidth="1"/>
    <col min="13826" max="13827" width="13.54296875" style="210" customWidth="1"/>
    <col min="13828" max="13829" width="13.1796875" style="210" customWidth="1"/>
    <col min="13830" max="13830" width="13.1796875" style="210" bestFit="1" customWidth="1"/>
    <col min="13831" max="13832" width="13" style="210" customWidth="1"/>
    <col min="13833" max="13833" width="12" style="210" customWidth="1"/>
    <col min="13834" max="13834" width="13.1796875" style="210" customWidth="1"/>
    <col min="13835" max="13836" width="12.1796875" style="210" customWidth="1"/>
    <col min="13837" max="13837" width="33" style="210" customWidth="1"/>
    <col min="13838" max="13838" width="29" style="210" customWidth="1"/>
    <col min="13839" max="13839" width="30.81640625" style="210" customWidth="1"/>
    <col min="13840" max="13840" width="31.81640625" style="210" customWidth="1"/>
    <col min="13841" max="13841" width="30" style="210" customWidth="1"/>
    <col min="13842" max="13842" width="12" style="210" bestFit="1" customWidth="1"/>
    <col min="13843" max="13845" width="17.81640625" style="210" customWidth="1"/>
    <col min="13846" max="14079" width="10.1796875" style="210"/>
    <col min="14080" max="14080" width="35" style="210" customWidth="1"/>
    <col min="14081" max="14081" width="15" style="210" customWidth="1"/>
    <col min="14082" max="14083" width="13.54296875" style="210" customWidth="1"/>
    <col min="14084" max="14085" width="13.1796875" style="210" customWidth="1"/>
    <col min="14086" max="14086" width="13.1796875" style="210" bestFit="1" customWidth="1"/>
    <col min="14087" max="14088" width="13" style="210" customWidth="1"/>
    <col min="14089" max="14089" width="12" style="210" customWidth="1"/>
    <col min="14090" max="14090" width="13.1796875" style="210" customWidth="1"/>
    <col min="14091" max="14092" width="12.1796875" style="210" customWidth="1"/>
    <col min="14093" max="14093" width="33" style="210" customWidth="1"/>
    <col min="14094" max="14094" width="29" style="210" customWidth="1"/>
    <col min="14095" max="14095" width="30.81640625" style="210" customWidth="1"/>
    <col min="14096" max="14096" width="31.81640625" style="210" customWidth="1"/>
    <col min="14097" max="14097" width="30" style="210" customWidth="1"/>
    <col min="14098" max="14098" width="12" style="210" bestFit="1" customWidth="1"/>
    <col min="14099" max="14101" width="17.81640625" style="210" customWidth="1"/>
    <col min="14102" max="14335" width="10.1796875" style="210"/>
    <col min="14336" max="14336" width="35" style="210" customWidth="1"/>
    <col min="14337" max="14337" width="15" style="210" customWidth="1"/>
    <col min="14338" max="14339" width="13.54296875" style="210" customWidth="1"/>
    <col min="14340" max="14341" width="13.1796875" style="210" customWidth="1"/>
    <col min="14342" max="14342" width="13.1796875" style="210" bestFit="1" customWidth="1"/>
    <col min="14343" max="14344" width="13" style="210" customWidth="1"/>
    <col min="14345" max="14345" width="12" style="210" customWidth="1"/>
    <col min="14346" max="14346" width="13.1796875" style="210" customWidth="1"/>
    <col min="14347" max="14348" width="12.1796875" style="210" customWidth="1"/>
    <col min="14349" max="14349" width="33" style="210" customWidth="1"/>
    <col min="14350" max="14350" width="29" style="210" customWidth="1"/>
    <col min="14351" max="14351" width="30.81640625" style="210" customWidth="1"/>
    <col min="14352" max="14352" width="31.81640625" style="210" customWidth="1"/>
    <col min="14353" max="14353" width="30" style="210" customWidth="1"/>
    <col min="14354" max="14354" width="12" style="210" bestFit="1" customWidth="1"/>
    <col min="14355" max="14357" width="17.81640625" style="210" customWidth="1"/>
    <col min="14358" max="14591" width="10.1796875" style="210"/>
    <col min="14592" max="14592" width="35" style="210" customWidth="1"/>
    <col min="14593" max="14593" width="15" style="210" customWidth="1"/>
    <col min="14594" max="14595" width="13.54296875" style="210" customWidth="1"/>
    <col min="14596" max="14597" width="13.1796875" style="210" customWidth="1"/>
    <col min="14598" max="14598" width="13.1796875" style="210" bestFit="1" customWidth="1"/>
    <col min="14599" max="14600" width="13" style="210" customWidth="1"/>
    <col min="14601" max="14601" width="12" style="210" customWidth="1"/>
    <col min="14602" max="14602" width="13.1796875" style="210" customWidth="1"/>
    <col min="14603" max="14604" width="12.1796875" style="210" customWidth="1"/>
    <col min="14605" max="14605" width="33" style="210" customWidth="1"/>
    <col min="14606" max="14606" width="29" style="210" customWidth="1"/>
    <col min="14607" max="14607" width="30.81640625" style="210" customWidth="1"/>
    <col min="14608" max="14608" width="31.81640625" style="210" customWidth="1"/>
    <col min="14609" max="14609" width="30" style="210" customWidth="1"/>
    <col min="14610" max="14610" width="12" style="210" bestFit="1" customWidth="1"/>
    <col min="14611" max="14613" width="17.81640625" style="210" customWidth="1"/>
    <col min="14614" max="14847" width="10.1796875" style="210"/>
    <col min="14848" max="14848" width="35" style="210" customWidth="1"/>
    <col min="14849" max="14849" width="15" style="210" customWidth="1"/>
    <col min="14850" max="14851" width="13.54296875" style="210" customWidth="1"/>
    <col min="14852" max="14853" width="13.1796875" style="210" customWidth="1"/>
    <col min="14854" max="14854" width="13.1796875" style="210" bestFit="1" customWidth="1"/>
    <col min="14855" max="14856" width="13" style="210" customWidth="1"/>
    <col min="14857" max="14857" width="12" style="210" customWidth="1"/>
    <col min="14858" max="14858" width="13.1796875" style="210" customWidth="1"/>
    <col min="14859" max="14860" width="12.1796875" style="210" customWidth="1"/>
    <col min="14861" max="14861" width="33" style="210" customWidth="1"/>
    <col min="14862" max="14862" width="29" style="210" customWidth="1"/>
    <col min="14863" max="14863" width="30.81640625" style="210" customWidth="1"/>
    <col min="14864" max="14864" width="31.81640625" style="210" customWidth="1"/>
    <col min="14865" max="14865" width="30" style="210" customWidth="1"/>
    <col min="14866" max="14866" width="12" style="210" bestFit="1" customWidth="1"/>
    <col min="14867" max="14869" width="17.81640625" style="210" customWidth="1"/>
    <col min="14870" max="15103" width="10.1796875" style="210"/>
    <col min="15104" max="15104" width="35" style="210" customWidth="1"/>
    <col min="15105" max="15105" width="15" style="210" customWidth="1"/>
    <col min="15106" max="15107" width="13.54296875" style="210" customWidth="1"/>
    <col min="15108" max="15109" width="13.1796875" style="210" customWidth="1"/>
    <col min="15110" max="15110" width="13.1796875" style="210" bestFit="1" customWidth="1"/>
    <col min="15111" max="15112" width="13" style="210" customWidth="1"/>
    <col min="15113" max="15113" width="12" style="210" customWidth="1"/>
    <col min="15114" max="15114" width="13.1796875" style="210" customWidth="1"/>
    <col min="15115" max="15116" width="12.1796875" style="210" customWidth="1"/>
    <col min="15117" max="15117" width="33" style="210" customWidth="1"/>
    <col min="15118" max="15118" width="29" style="210" customWidth="1"/>
    <col min="15119" max="15119" width="30.81640625" style="210" customWidth="1"/>
    <col min="15120" max="15120" width="31.81640625" style="210" customWidth="1"/>
    <col min="15121" max="15121" width="30" style="210" customWidth="1"/>
    <col min="15122" max="15122" width="12" style="210" bestFit="1" customWidth="1"/>
    <col min="15123" max="15125" width="17.81640625" style="210" customWidth="1"/>
    <col min="15126" max="15359" width="10.1796875" style="210"/>
    <col min="15360" max="15360" width="35" style="210" customWidth="1"/>
    <col min="15361" max="15361" width="15" style="210" customWidth="1"/>
    <col min="15362" max="15363" width="13.54296875" style="210" customWidth="1"/>
    <col min="15364" max="15365" width="13.1796875" style="210" customWidth="1"/>
    <col min="15366" max="15366" width="13.1796875" style="210" bestFit="1" customWidth="1"/>
    <col min="15367" max="15368" width="13" style="210" customWidth="1"/>
    <col min="15369" max="15369" width="12" style="210" customWidth="1"/>
    <col min="15370" max="15370" width="13.1796875" style="210" customWidth="1"/>
    <col min="15371" max="15372" width="12.1796875" style="210" customWidth="1"/>
    <col min="15373" max="15373" width="33" style="210" customWidth="1"/>
    <col min="15374" max="15374" width="29" style="210" customWidth="1"/>
    <col min="15375" max="15375" width="30.81640625" style="210" customWidth="1"/>
    <col min="15376" max="15376" width="31.81640625" style="210" customWidth="1"/>
    <col min="15377" max="15377" width="30" style="210" customWidth="1"/>
    <col min="15378" max="15378" width="12" style="210" bestFit="1" customWidth="1"/>
    <col min="15379" max="15381" width="17.81640625" style="210" customWidth="1"/>
    <col min="15382" max="15615" width="10.1796875" style="210"/>
    <col min="15616" max="15616" width="35" style="210" customWidth="1"/>
    <col min="15617" max="15617" width="15" style="210" customWidth="1"/>
    <col min="15618" max="15619" width="13.54296875" style="210" customWidth="1"/>
    <col min="15620" max="15621" width="13.1796875" style="210" customWidth="1"/>
    <col min="15622" max="15622" width="13.1796875" style="210" bestFit="1" customWidth="1"/>
    <col min="15623" max="15624" width="13" style="210" customWidth="1"/>
    <col min="15625" max="15625" width="12" style="210" customWidth="1"/>
    <col min="15626" max="15626" width="13.1796875" style="210" customWidth="1"/>
    <col min="15627" max="15628" width="12.1796875" style="210" customWidth="1"/>
    <col min="15629" max="15629" width="33" style="210" customWidth="1"/>
    <col min="15630" max="15630" width="29" style="210" customWidth="1"/>
    <col min="15631" max="15631" width="30.81640625" style="210" customWidth="1"/>
    <col min="15632" max="15632" width="31.81640625" style="210" customWidth="1"/>
    <col min="15633" max="15633" width="30" style="210" customWidth="1"/>
    <col min="15634" max="15634" width="12" style="210" bestFit="1" customWidth="1"/>
    <col min="15635" max="15637" width="17.81640625" style="210" customWidth="1"/>
    <col min="15638" max="15871" width="10.1796875" style="210"/>
    <col min="15872" max="15872" width="35" style="210" customWidth="1"/>
    <col min="15873" max="15873" width="15" style="210" customWidth="1"/>
    <col min="15874" max="15875" width="13.54296875" style="210" customWidth="1"/>
    <col min="15876" max="15877" width="13.1796875" style="210" customWidth="1"/>
    <col min="15878" max="15878" width="13.1796875" style="210" bestFit="1" customWidth="1"/>
    <col min="15879" max="15880" width="13" style="210" customWidth="1"/>
    <col min="15881" max="15881" width="12" style="210" customWidth="1"/>
    <col min="15882" max="15882" width="13.1796875" style="210" customWidth="1"/>
    <col min="15883" max="15884" width="12.1796875" style="210" customWidth="1"/>
    <col min="15885" max="15885" width="33" style="210" customWidth="1"/>
    <col min="15886" max="15886" width="29" style="210" customWidth="1"/>
    <col min="15887" max="15887" width="30.81640625" style="210" customWidth="1"/>
    <col min="15888" max="15888" width="31.81640625" style="210" customWidth="1"/>
    <col min="15889" max="15889" width="30" style="210" customWidth="1"/>
    <col min="15890" max="15890" width="12" style="210" bestFit="1" customWidth="1"/>
    <col min="15891" max="15893" width="17.81640625" style="210" customWidth="1"/>
    <col min="15894" max="16127" width="10.1796875" style="210"/>
    <col min="16128" max="16128" width="35" style="210" customWidth="1"/>
    <col min="16129" max="16129" width="15" style="210" customWidth="1"/>
    <col min="16130" max="16131" width="13.54296875" style="210" customWidth="1"/>
    <col min="16132" max="16133" width="13.1796875" style="210" customWidth="1"/>
    <col min="16134" max="16134" width="13.1796875" style="210" bestFit="1" customWidth="1"/>
    <col min="16135" max="16136" width="13" style="210" customWidth="1"/>
    <col min="16137" max="16137" width="12" style="210" customWidth="1"/>
    <col min="16138" max="16138" width="13.1796875" style="210" customWidth="1"/>
    <col min="16139" max="16140" width="12.1796875" style="210" customWidth="1"/>
    <col min="16141" max="16141" width="33" style="210" customWidth="1"/>
    <col min="16142" max="16142" width="29" style="210" customWidth="1"/>
    <col min="16143" max="16143" width="30.81640625" style="210" customWidth="1"/>
    <col min="16144" max="16144" width="31.81640625" style="210" customWidth="1"/>
    <col min="16145" max="16145" width="30" style="210" customWidth="1"/>
    <col min="16146" max="16146" width="12" style="210" bestFit="1" customWidth="1"/>
    <col min="16147" max="16149" width="17.81640625" style="210" customWidth="1"/>
    <col min="16150" max="16384" width="10.1796875" style="210"/>
  </cols>
  <sheetData>
    <row r="1" spans="1:22" ht="14.5" customHeight="1">
      <c r="B1" s="316" t="s">
        <v>417</v>
      </c>
      <c r="C1" s="212" t="s">
        <v>418</v>
      </c>
      <c r="J1" s="213"/>
      <c r="M1" s="211" t="s">
        <v>419</v>
      </c>
      <c r="N1" s="212" t="s">
        <v>420</v>
      </c>
      <c r="Q1" s="213"/>
    </row>
    <row r="2" spans="1:22" ht="13.5" customHeight="1">
      <c r="B2" s="214"/>
      <c r="C2" s="215" t="s">
        <v>421</v>
      </c>
      <c r="E2" s="216"/>
      <c r="F2" s="216"/>
      <c r="G2" s="216"/>
      <c r="J2" s="216"/>
      <c r="K2" s="216"/>
      <c r="L2" s="216"/>
      <c r="M2" s="214"/>
      <c r="N2" s="215" t="s">
        <v>422</v>
      </c>
      <c r="O2" s="216"/>
      <c r="Q2" s="216"/>
    </row>
    <row r="3" spans="1:22" ht="13.5" customHeight="1">
      <c r="K3" s="929" t="s">
        <v>263</v>
      </c>
      <c r="L3" s="929"/>
      <c r="Q3" s="217" t="s">
        <v>263</v>
      </c>
    </row>
    <row r="4" spans="1:22" ht="13.5" customHeight="1" thickBot="1">
      <c r="A4" s="219"/>
      <c r="K4" s="938" t="s">
        <v>264</v>
      </c>
      <c r="L4" s="938"/>
      <c r="Q4" s="220" t="s">
        <v>264</v>
      </c>
    </row>
    <row r="5" spans="1:22" ht="13.5" customHeight="1">
      <c r="A5" s="221"/>
      <c r="B5" s="482"/>
      <c r="C5" s="223"/>
      <c r="D5" s="223"/>
      <c r="E5" s="223"/>
      <c r="F5" s="228" t="s">
        <v>423</v>
      </c>
      <c r="G5" s="224" t="s">
        <v>384</v>
      </c>
      <c r="H5" s="339" t="s">
        <v>318</v>
      </c>
      <c r="I5" s="223"/>
      <c r="J5" s="223"/>
      <c r="K5" s="223"/>
      <c r="L5" s="226"/>
      <c r="M5" s="227"/>
      <c r="N5" s="228" t="s">
        <v>266</v>
      </c>
      <c r="O5" s="229" t="s">
        <v>267</v>
      </c>
      <c r="P5" s="223"/>
      <c r="Q5" s="226"/>
    </row>
    <row r="6" spans="1:22" ht="13.5" customHeight="1">
      <c r="A6" s="230" t="s">
        <v>103</v>
      </c>
      <c r="B6" s="483" t="s">
        <v>104</v>
      </c>
      <c r="C6" s="233" t="s">
        <v>268</v>
      </c>
      <c r="D6" s="233" t="s">
        <v>20</v>
      </c>
      <c r="E6" s="233" t="s">
        <v>15</v>
      </c>
      <c r="F6" s="233" t="s">
        <v>17</v>
      </c>
      <c r="G6" s="234" t="s">
        <v>16</v>
      </c>
      <c r="H6" s="233" t="s">
        <v>269</v>
      </c>
      <c r="I6" s="233" t="s">
        <v>2</v>
      </c>
      <c r="J6" s="233" t="s">
        <v>13</v>
      </c>
      <c r="K6" s="233" t="s">
        <v>1</v>
      </c>
      <c r="L6" s="236" t="s">
        <v>274</v>
      </c>
      <c r="M6" s="238" t="s">
        <v>104</v>
      </c>
      <c r="N6" s="234" t="s">
        <v>275</v>
      </c>
      <c r="O6" s="234" t="s">
        <v>276</v>
      </c>
      <c r="P6" s="234" t="s">
        <v>277</v>
      </c>
      <c r="Q6" s="236" t="s">
        <v>278</v>
      </c>
    </row>
    <row r="7" spans="1:22" ht="13.5" customHeight="1">
      <c r="A7" s="239" t="s">
        <v>105</v>
      </c>
      <c r="B7" s="289" t="s">
        <v>106</v>
      </c>
      <c r="C7" s="241" t="s">
        <v>360</v>
      </c>
      <c r="D7" s="241" t="s">
        <v>362</v>
      </c>
      <c r="E7" s="241" t="s">
        <v>281</v>
      </c>
      <c r="F7" s="241" t="s">
        <v>363</v>
      </c>
      <c r="G7" s="245" t="s">
        <v>280</v>
      </c>
      <c r="H7" s="242" t="s">
        <v>361</v>
      </c>
      <c r="I7" s="241" t="s">
        <v>287</v>
      </c>
      <c r="J7" s="241" t="s">
        <v>363</v>
      </c>
      <c r="K7" s="241" t="s">
        <v>285</v>
      </c>
      <c r="L7" s="243" t="s">
        <v>289</v>
      </c>
      <c r="M7" s="239" t="s">
        <v>106</v>
      </c>
      <c r="N7" s="245" t="s">
        <v>293</v>
      </c>
      <c r="O7" s="245" t="s">
        <v>294</v>
      </c>
      <c r="P7" s="245" t="s">
        <v>295</v>
      </c>
      <c r="Q7" s="243" t="s">
        <v>296</v>
      </c>
    </row>
    <row r="8" spans="1:22" ht="13.5" customHeight="1">
      <c r="A8" s="246"/>
      <c r="B8" s="294"/>
      <c r="C8" s="248" t="s">
        <v>368</v>
      </c>
      <c r="D8" s="249"/>
      <c r="E8" s="248" t="s">
        <v>297</v>
      </c>
      <c r="F8" s="249"/>
      <c r="G8" s="250"/>
      <c r="H8" s="251"/>
      <c r="I8" s="248"/>
      <c r="J8" s="249"/>
      <c r="K8" s="249"/>
      <c r="L8" s="253"/>
      <c r="M8" s="246"/>
      <c r="N8" s="250"/>
      <c r="O8" s="250"/>
      <c r="P8" s="250"/>
      <c r="Q8" s="253"/>
    </row>
    <row r="9" spans="1:22" ht="13.5" customHeight="1">
      <c r="A9" s="255" t="s">
        <v>111</v>
      </c>
      <c r="B9" s="362">
        <f>SUM(B10:B47)</f>
        <v>6969.1650000000009</v>
      </c>
      <c r="C9" s="257">
        <f>SUM(C10:C47)</f>
        <v>1448.3150000000001</v>
      </c>
      <c r="D9" s="257">
        <f t="shared" ref="D9:L9" si="0">SUM(D10:D47)</f>
        <v>1.952</v>
      </c>
      <c r="E9" s="257">
        <f t="shared" si="0"/>
        <v>1.8</v>
      </c>
      <c r="F9" s="257">
        <f t="shared" si="0"/>
        <v>593.52199999999993</v>
      </c>
      <c r="G9" s="257">
        <f t="shared" si="0"/>
        <v>1748.71</v>
      </c>
      <c r="H9" s="257">
        <f t="shared" si="0"/>
        <v>135.18799999999999</v>
      </c>
      <c r="I9" s="257">
        <f t="shared" si="0"/>
        <v>271.28799999999995</v>
      </c>
      <c r="J9" s="257">
        <f t="shared" si="0"/>
        <v>2768.39</v>
      </c>
      <c r="K9" s="257">
        <f t="shared" si="0"/>
        <v>0</v>
      </c>
      <c r="L9" s="258">
        <f t="shared" si="0"/>
        <v>0</v>
      </c>
      <c r="M9" s="259">
        <f>SUM(M10:M47)</f>
        <v>6969.1650000000009</v>
      </c>
      <c r="N9" s="257">
        <f>SUM(N10:N47)</f>
        <v>1952.2909999999999</v>
      </c>
      <c r="O9" s="257">
        <f>SUM(O10:O47)</f>
        <v>1457.9590000000003</v>
      </c>
      <c r="P9" s="257">
        <f>SUM(P10:P47)</f>
        <v>1149.5529999999999</v>
      </c>
      <c r="Q9" s="258">
        <f>SUM(Q10:Q47)</f>
        <v>2409.3619999999996</v>
      </c>
    </row>
    <row r="10" spans="1:22" ht="13.5" customHeight="1">
      <c r="A10" s="346" t="s">
        <v>137</v>
      </c>
      <c r="B10" s="363">
        <f t="shared" ref="B10:B47" si="1">SUM(C10:L10)</f>
        <v>4.5999999999999996</v>
      </c>
      <c r="C10" s="418">
        <f>'P NP KARAMBA KAB'!AJ6/1000</f>
        <v>0</v>
      </c>
      <c r="D10" s="418">
        <f>'P NP KARAMBA KAB'!AT6/1000</f>
        <v>0</v>
      </c>
      <c r="E10" s="418">
        <f>'P NP KARAMBA KAB'!AL6/1000</f>
        <v>0</v>
      </c>
      <c r="F10" s="418">
        <f>'P NP KARAMBA KAB'!AP6/1000</f>
        <v>0</v>
      </c>
      <c r="G10" s="418">
        <f>'P NP KARAMBA KAB'!AN6/1000</f>
        <v>0</v>
      </c>
      <c r="H10" s="418">
        <f>'P NP KARAMBA KAB'!P6/1000</f>
        <v>0</v>
      </c>
      <c r="I10" s="418">
        <f>'P NP KARAMBA KAB'!F6/1000</f>
        <v>0</v>
      </c>
      <c r="J10" s="418">
        <f>'P NP KARAMBA KAB'!AD6/1000</f>
        <v>4.5999999999999996</v>
      </c>
      <c r="K10" s="418">
        <f>'P NP KARAMBA KAB'!D6/1000</f>
        <v>0</v>
      </c>
      <c r="L10" s="418">
        <f>SUM('P NP KARAMBA KAB'!BP6/1000)</f>
        <v>0</v>
      </c>
      <c r="M10" s="264">
        <f>SUM(N10:Q10)</f>
        <v>4.5999999999999996</v>
      </c>
      <c r="N10" s="569">
        <f>'P NP TW'!BH7/1000</f>
        <v>1.3</v>
      </c>
      <c r="O10" s="570">
        <f>'P NP TW'!BJ7/1000</f>
        <v>0.8</v>
      </c>
      <c r="P10" s="570">
        <f>'P NP TW'!BL7/1000</f>
        <v>0.7</v>
      </c>
      <c r="Q10" s="570">
        <f>'P NP TW'!BN7/1000</f>
        <v>1.8</v>
      </c>
      <c r="S10" s="265"/>
      <c r="T10" s="265"/>
      <c r="U10" s="265"/>
      <c r="V10" s="265">
        <v>77450</v>
      </c>
    </row>
    <row r="11" spans="1:22" ht="13.5" customHeight="1">
      <c r="A11" s="346" t="s">
        <v>121</v>
      </c>
      <c r="B11" s="363">
        <f t="shared" si="1"/>
        <v>47.814999999999998</v>
      </c>
      <c r="C11" s="418">
        <f>'P NP KARAMBA KAB'!AJ7/1000</f>
        <v>24.085000000000001</v>
      </c>
      <c r="D11" s="418">
        <f>'P NP KARAMBA KAB'!AT7/1000</f>
        <v>0</v>
      </c>
      <c r="E11" s="418">
        <f>'P NP KARAMBA KAB'!AL7/1000</f>
        <v>0</v>
      </c>
      <c r="F11" s="418">
        <f>'P NP KARAMBA KAB'!AP7/1000</f>
        <v>0</v>
      </c>
      <c r="G11" s="418">
        <f>'P NP KARAMBA KAB'!AN7/1000</f>
        <v>23.73</v>
      </c>
      <c r="H11" s="418">
        <f>'P NP KARAMBA KAB'!P7/1000</f>
        <v>0</v>
      </c>
      <c r="I11" s="418">
        <f>'P NP KARAMBA KAB'!F7/1000</f>
        <v>0</v>
      </c>
      <c r="J11" s="418">
        <f>'P NP KARAMBA KAB'!AD7/1000</f>
        <v>0</v>
      </c>
      <c r="K11" s="418">
        <f>'P NP KARAMBA KAB'!D7/1000</f>
        <v>0</v>
      </c>
      <c r="L11" s="418">
        <f>SUM('P NP KARAMBA KAB'!BP7/1000)</f>
        <v>0</v>
      </c>
      <c r="M11" s="264">
        <f>SUM(N11:Q11)</f>
        <v>47.815000000000005</v>
      </c>
      <c r="N11" s="571">
        <f>'P NP TW'!BH8/1000</f>
        <v>10.61</v>
      </c>
      <c r="O11" s="418">
        <f>'P NP TW'!BJ8/1000</f>
        <v>9.6449999999999996</v>
      </c>
      <c r="P11" s="418">
        <f>'P NP TW'!BL8/1000</f>
        <v>13.305</v>
      </c>
      <c r="Q11" s="418">
        <f>'P NP TW'!BN8/1000</f>
        <v>14.255000000000001</v>
      </c>
      <c r="S11" s="265"/>
      <c r="T11" s="265"/>
      <c r="U11" s="265"/>
      <c r="V11" s="265">
        <v>21328</v>
      </c>
    </row>
    <row r="12" spans="1:22" ht="13.5" customHeight="1">
      <c r="A12" s="346" t="s">
        <v>116</v>
      </c>
      <c r="B12" s="363">
        <f t="shared" si="1"/>
        <v>0</v>
      </c>
      <c r="C12" s="418">
        <f>'P NP KARAMBA KAB'!AJ8/1000</f>
        <v>0</v>
      </c>
      <c r="D12" s="418">
        <f>'P NP KARAMBA KAB'!AT8/1000</f>
        <v>0</v>
      </c>
      <c r="E12" s="418">
        <f>'P NP KARAMBA KAB'!AL8/1000</f>
        <v>0</v>
      </c>
      <c r="F12" s="418">
        <f>'P NP KARAMBA KAB'!AP8/1000</f>
        <v>0</v>
      </c>
      <c r="G12" s="418">
        <f>'P NP KARAMBA KAB'!AN8/1000</f>
        <v>0</v>
      </c>
      <c r="H12" s="418">
        <f>'P NP KARAMBA KAB'!P8/1000</f>
        <v>0</v>
      </c>
      <c r="I12" s="418">
        <f>'P NP KARAMBA KAB'!F8/1000</f>
        <v>0</v>
      </c>
      <c r="J12" s="418">
        <f>'P NP KARAMBA KAB'!AD8/1000</f>
        <v>0</v>
      </c>
      <c r="K12" s="418">
        <f>'P NP KARAMBA KAB'!D8/1000</f>
        <v>0</v>
      </c>
      <c r="L12" s="418">
        <f>SUM('P NP KARAMBA KAB'!BP8/1000)</f>
        <v>0</v>
      </c>
      <c r="M12" s="264">
        <f t="shared" ref="M12:M47" si="2">SUM(N12:Q12)</f>
        <v>0</v>
      </c>
      <c r="N12" s="571">
        <f>'P NP TW'!BH9/1000</f>
        <v>0</v>
      </c>
      <c r="O12" s="418">
        <f>'P NP TW'!BJ9/1000</f>
        <v>0</v>
      </c>
      <c r="P12" s="418">
        <f>'P NP TW'!BL9/1000</f>
        <v>0</v>
      </c>
      <c r="Q12" s="418">
        <f>'P NP TW'!BN9/1000</f>
        <v>0</v>
      </c>
      <c r="S12" s="265"/>
      <c r="T12" s="265"/>
      <c r="U12" s="265"/>
      <c r="V12" s="265">
        <v>0</v>
      </c>
    </row>
    <row r="13" spans="1:22" ht="13.5" customHeight="1">
      <c r="A13" s="346" t="s">
        <v>133</v>
      </c>
      <c r="B13" s="363">
        <f t="shared" si="1"/>
        <v>0</v>
      </c>
      <c r="C13" s="418">
        <f>'P NP KARAMBA KAB'!AJ9/1000</f>
        <v>0</v>
      </c>
      <c r="D13" s="418">
        <f>'P NP KARAMBA KAB'!AT9/1000</f>
        <v>0</v>
      </c>
      <c r="E13" s="418">
        <f>'P NP KARAMBA KAB'!AL9/1000</f>
        <v>0</v>
      </c>
      <c r="F13" s="418">
        <f>'P NP KARAMBA KAB'!AP9/1000</f>
        <v>0</v>
      </c>
      <c r="G13" s="418">
        <f>'P NP KARAMBA KAB'!AN9/1000</f>
        <v>0</v>
      </c>
      <c r="H13" s="418">
        <f>'P NP KARAMBA KAB'!P9/1000</f>
        <v>0</v>
      </c>
      <c r="I13" s="418">
        <f>'P NP KARAMBA KAB'!F9/1000</f>
        <v>0</v>
      </c>
      <c r="J13" s="418">
        <f>'P NP KARAMBA KAB'!AD9/1000</f>
        <v>0</v>
      </c>
      <c r="K13" s="418">
        <f>'P NP KARAMBA KAB'!D9/1000</f>
        <v>0</v>
      </c>
      <c r="L13" s="418">
        <f>SUM('P NP KARAMBA KAB'!BP9/1000)</f>
        <v>0</v>
      </c>
      <c r="M13" s="264">
        <f t="shared" si="2"/>
        <v>0</v>
      </c>
      <c r="N13" s="571">
        <f>'P NP TW'!BH10/1000</f>
        <v>0</v>
      </c>
      <c r="O13" s="418">
        <f>'P NP TW'!BJ10/1000</f>
        <v>0</v>
      </c>
      <c r="P13" s="418">
        <f>'P NP TW'!BL10/1000</f>
        <v>0</v>
      </c>
      <c r="Q13" s="418">
        <f>'P NP TW'!BN10/1000</f>
        <v>0</v>
      </c>
      <c r="S13" s="265"/>
      <c r="T13" s="265"/>
      <c r="U13" s="265"/>
      <c r="V13" s="265">
        <v>0</v>
      </c>
    </row>
    <row r="14" spans="1:22" ht="13.5" customHeight="1">
      <c r="A14" s="346" t="s">
        <v>122</v>
      </c>
      <c r="B14" s="363">
        <f t="shared" si="1"/>
        <v>0</v>
      </c>
      <c r="C14" s="418">
        <f>'P NP KARAMBA KAB'!AJ10/1000</f>
        <v>0</v>
      </c>
      <c r="D14" s="418">
        <f>'P NP KARAMBA KAB'!AT10/1000</f>
        <v>0</v>
      </c>
      <c r="E14" s="418">
        <f>'P NP KARAMBA KAB'!AL10/1000</f>
        <v>0</v>
      </c>
      <c r="F14" s="418">
        <f>'P NP KARAMBA KAB'!AP10/1000</f>
        <v>0</v>
      </c>
      <c r="G14" s="418">
        <f>'P NP KARAMBA KAB'!AN10/1000</f>
        <v>0</v>
      </c>
      <c r="H14" s="418">
        <f>'P NP KARAMBA KAB'!P10/1000</f>
        <v>0</v>
      </c>
      <c r="I14" s="418">
        <f>'P NP KARAMBA KAB'!F10/1000</f>
        <v>0</v>
      </c>
      <c r="J14" s="418">
        <f>'P NP KARAMBA KAB'!AD10/1000</f>
        <v>0</v>
      </c>
      <c r="K14" s="418">
        <f>'P NP KARAMBA KAB'!D10/1000</f>
        <v>0</v>
      </c>
      <c r="L14" s="418">
        <f>SUM('P NP KARAMBA KAB'!BP10/1000)</f>
        <v>0</v>
      </c>
      <c r="M14" s="264">
        <f t="shared" si="2"/>
        <v>0</v>
      </c>
      <c r="N14" s="571">
        <f>'P NP TW'!BH11/1000</f>
        <v>0</v>
      </c>
      <c r="O14" s="418">
        <f>'P NP TW'!BJ11/1000</f>
        <v>0</v>
      </c>
      <c r="P14" s="418">
        <f>'P NP TW'!BL11/1000</f>
        <v>0</v>
      </c>
      <c r="Q14" s="418">
        <f>'P NP TW'!BN11/1000</f>
        <v>0</v>
      </c>
      <c r="S14" s="265"/>
      <c r="T14" s="265"/>
      <c r="U14" s="265"/>
      <c r="V14" s="265">
        <v>0</v>
      </c>
    </row>
    <row r="15" spans="1:22" ht="13.5" customHeight="1">
      <c r="A15" s="346" t="s">
        <v>136</v>
      </c>
      <c r="B15" s="363">
        <f t="shared" si="1"/>
        <v>0</v>
      </c>
      <c r="C15" s="418">
        <f>'P NP KARAMBA KAB'!AJ11/1000</f>
        <v>0</v>
      </c>
      <c r="D15" s="418">
        <f>'P NP KARAMBA KAB'!AT11/1000</f>
        <v>0</v>
      </c>
      <c r="E15" s="418">
        <f>'P NP KARAMBA KAB'!AL11/1000</f>
        <v>0</v>
      </c>
      <c r="F15" s="418">
        <f>'P NP KARAMBA KAB'!AP11/1000</f>
        <v>0</v>
      </c>
      <c r="G15" s="418">
        <f>'P NP KARAMBA KAB'!AN11/1000</f>
        <v>0</v>
      </c>
      <c r="H15" s="418">
        <f>'P NP KARAMBA KAB'!P11/1000</f>
        <v>0</v>
      </c>
      <c r="I15" s="418">
        <f>'P NP KARAMBA KAB'!F11/1000</f>
        <v>0</v>
      </c>
      <c r="J15" s="418">
        <f>'P NP KARAMBA KAB'!AD11/1000</f>
        <v>0</v>
      </c>
      <c r="K15" s="418">
        <f>'P NP KARAMBA KAB'!D11/1000</f>
        <v>0</v>
      </c>
      <c r="L15" s="418">
        <f>SUM('P NP KARAMBA KAB'!BP11/1000)</f>
        <v>0</v>
      </c>
      <c r="M15" s="264">
        <f t="shared" si="2"/>
        <v>0</v>
      </c>
      <c r="N15" s="571">
        <f>'P NP TW'!BH12/1000</f>
        <v>0</v>
      </c>
      <c r="O15" s="418">
        <f>'P NP TW'!BJ12/1000</f>
        <v>0</v>
      </c>
      <c r="P15" s="418">
        <f>'P NP TW'!BL12/1000</f>
        <v>0</v>
      </c>
      <c r="Q15" s="418">
        <f>'P NP TW'!BN12/1000</f>
        <v>0</v>
      </c>
      <c r="S15" s="265"/>
      <c r="T15" s="265"/>
      <c r="U15" s="265"/>
      <c r="V15" s="265">
        <v>0</v>
      </c>
    </row>
    <row r="16" spans="1:22" ht="13.5" customHeight="1">
      <c r="A16" s="346" t="s">
        <v>120</v>
      </c>
      <c r="B16" s="363">
        <f t="shared" si="1"/>
        <v>0</v>
      </c>
      <c r="C16" s="418">
        <f>'P NP KARAMBA KAB'!AJ12/1000</f>
        <v>0</v>
      </c>
      <c r="D16" s="418">
        <f>'P NP KARAMBA KAB'!AT12/1000</f>
        <v>0</v>
      </c>
      <c r="E16" s="418">
        <f>'P NP KARAMBA KAB'!AL12/1000</f>
        <v>0</v>
      </c>
      <c r="F16" s="418">
        <f>'P NP KARAMBA KAB'!AP12/1000</f>
        <v>0</v>
      </c>
      <c r="G16" s="418">
        <f>'P NP KARAMBA KAB'!AN12/1000</f>
        <v>0</v>
      </c>
      <c r="H16" s="418">
        <f>'P NP KARAMBA KAB'!P12/1000</f>
        <v>0</v>
      </c>
      <c r="I16" s="418">
        <f>'P NP KARAMBA KAB'!F12/1000</f>
        <v>0</v>
      </c>
      <c r="J16" s="418">
        <f>'P NP KARAMBA KAB'!AD12/1000</f>
        <v>0</v>
      </c>
      <c r="K16" s="418">
        <f>'P NP KARAMBA KAB'!D12/1000</f>
        <v>0</v>
      </c>
      <c r="L16" s="418">
        <f>SUM('P NP KARAMBA KAB'!BP12/1000)</f>
        <v>0</v>
      </c>
      <c r="M16" s="264">
        <f t="shared" si="2"/>
        <v>0</v>
      </c>
      <c r="N16" s="571">
        <f>'P NP TW'!BH13/1000</f>
        <v>0</v>
      </c>
      <c r="O16" s="418">
        <f>'P NP TW'!BJ13/1000</f>
        <v>0</v>
      </c>
      <c r="P16" s="418">
        <f>'P NP TW'!BL13/1000</f>
        <v>0</v>
      </c>
      <c r="Q16" s="418">
        <f>'P NP TW'!BN13/1000</f>
        <v>0</v>
      </c>
      <c r="S16" s="265"/>
      <c r="T16" s="265"/>
      <c r="U16" s="265"/>
      <c r="V16" s="265">
        <v>0</v>
      </c>
    </row>
    <row r="17" spans="1:22" ht="13.5" customHeight="1">
      <c r="A17" s="346" t="s">
        <v>128</v>
      </c>
      <c r="B17" s="363">
        <f t="shared" si="1"/>
        <v>0</v>
      </c>
      <c r="C17" s="418">
        <f>'P NP KARAMBA KAB'!AJ13/1000</f>
        <v>0</v>
      </c>
      <c r="D17" s="418">
        <f>'P NP KARAMBA KAB'!AT13/1000</f>
        <v>0</v>
      </c>
      <c r="E17" s="418">
        <f>'P NP KARAMBA KAB'!AL13/1000</f>
        <v>0</v>
      </c>
      <c r="F17" s="418">
        <f>'P NP KARAMBA KAB'!AP13/1000</f>
        <v>0</v>
      </c>
      <c r="G17" s="418">
        <f>'P NP KARAMBA KAB'!AN13/1000</f>
        <v>0</v>
      </c>
      <c r="H17" s="418">
        <f>'P NP KARAMBA KAB'!P13/1000</f>
        <v>0</v>
      </c>
      <c r="I17" s="418">
        <f>'P NP KARAMBA KAB'!F13/1000</f>
        <v>0</v>
      </c>
      <c r="J17" s="418">
        <f>'P NP KARAMBA KAB'!AD13/1000</f>
        <v>0</v>
      </c>
      <c r="K17" s="418">
        <f>'P NP KARAMBA KAB'!D13/1000</f>
        <v>0</v>
      </c>
      <c r="L17" s="418">
        <f>SUM('P NP KARAMBA KAB'!BP13/1000)</f>
        <v>0</v>
      </c>
      <c r="M17" s="264">
        <f t="shared" si="2"/>
        <v>0</v>
      </c>
      <c r="N17" s="571">
        <f>'P NP TW'!BH14/1000</f>
        <v>0</v>
      </c>
      <c r="O17" s="418">
        <f>'P NP TW'!BJ14/1000</f>
        <v>0</v>
      </c>
      <c r="P17" s="418">
        <f>'P NP TW'!BL14/1000</f>
        <v>0</v>
      </c>
      <c r="Q17" s="418">
        <f>'P NP TW'!BN14/1000</f>
        <v>0</v>
      </c>
      <c r="S17" s="265"/>
      <c r="T17" s="265"/>
      <c r="U17" s="265"/>
      <c r="V17" s="265">
        <v>0</v>
      </c>
    </row>
    <row r="18" spans="1:22" ht="13.5" customHeight="1">
      <c r="A18" s="346" t="s">
        <v>117</v>
      </c>
      <c r="B18" s="363">
        <f t="shared" si="1"/>
        <v>0</v>
      </c>
      <c r="C18" s="418">
        <f>'P NP KARAMBA KAB'!AJ14/1000</f>
        <v>0</v>
      </c>
      <c r="D18" s="418">
        <f>'P NP KARAMBA KAB'!AT14/1000</f>
        <v>0</v>
      </c>
      <c r="E18" s="418">
        <f>'P NP KARAMBA KAB'!AL14/1000</f>
        <v>0</v>
      </c>
      <c r="F18" s="418">
        <f>'P NP KARAMBA KAB'!AP14/1000</f>
        <v>0</v>
      </c>
      <c r="G18" s="418">
        <f>'P NP KARAMBA KAB'!AN14/1000</f>
        <v>0</v>
      </c>
      <c r="H18" s="418">
        <f>'P NP KARAMBA KAB'!P14/1000</f>
        <v>0</v>
      </c>
      <c r="I18" s="418">
        <f>'P NP KARAMBA KAB'!F14/1000</f>
        <v>0</v>
      </c>
      <c r="J18" s="418">
        <f>'P NP KARAMBA KAB'!AD14/1000</f>
        <v>0</v>
      </c>
      <c r="K18" s="418">
        <f>'P NP KARAMBA KAB'!D14/1000</f>
        <v>0</v>
      </c>
      <c r="L18" s="418">
        <f>SUM('P NP KARAMBA KAB'!BP14/1000)</f>
        <v>0</v>
      </c>
      <c r="M18" s="264">
        <f t="shared" si="2"/>
        <v>0</v>
      </c>
      <c r="N18" s="571">
        <f>'P NP TW'!BH15/1000</f>
        <v>0</v>
      </c>
      <c r="O18" s="418">
        <f>'P NP TW'!BJ15/1000</f>
        <v>0</v>
      </c>
      <c r="P18" s="418">
        <f>'P NP TW'!BL15/1000</f>
        <v>0</v>
      </c>
      <c r="Q18" s="418">
        <f>'P NP TW'!BN15/1000</f>
        <v>0</v>
      </c>
      <c r="S18" s="265"/>
      <c r="T18" s="265"/>
      <c r="U18" s="265"/>
      <c r="V18" s="265">
        <v>0</v>
      </c>
    </row>
    <row r="19" spans="1:22" ht="13.5" customHeight="1">
      <c r="A19" s="346" t="s">
        <v>135</v>
      </c>
      <c r="B19" s="363">
        <f t="shared" si="1"/>
        <v>74.03</v>
      </c>
      <c r="C19" s="418">
        <f>'P NP KARAMBA KAB'!AJ15/1000</f>
        <v>0</v>
      </c>
      <c r="D19" s="418">
        <f>'P NP KARAMBA KAB'!AT15/1000</f>
        <v>0</v>
      </c>
      <c r="E19" s="418">
        <f>'P NP KARAMBA KAB'!AL15/1000</f>
        <v>0</v>
      </c>
      <c r="F19" s="418">
        <f>'P NP KARAMBA KAB'!AP15/1000</f>
        <v>0</v>
      </c>
      <c r="G19" s="418">
        <f>'P NP KARAMBA KAB'!AN15/1000</f>
        <v>0</v>
      </c>
      <c r="H19" s="418">
        <f>'P NP KARAMBA KAB'!P15/1000</f>
        <v>0</v>
      </c>
      <c r="I19" s="418">
        <f>'P NP KARAMBA KAB'!F15/1000</f>
        <v>0</v>
      </c>
      <c r="J19" s="418">
        <f>'P NP KARAMBA KAB'!AD15/1000</f>
        <v>74.03</v>
      </c>
      <c r="K19" s="418">
        <f>'P NP KARAMBA KAB'!D15/1000</f>
        <v>0</v>
      </c>
      <c r="L19" s="418">
        <f>SUM('P NP KARAMBA KAB'!BP15/1000)</f>
        <v>0</v>
      </c>
      <c r="M19" s="264">
        <f t="shared" si="2"/>
        <v>74.03</v>
      </c>
      <c r="N19" s="571">
        <f>'P NP TW'!BH16/1000</f>
        <v>18.506</v>
      </c>
      <c r="O19" s="418">
        <f>'P NP TW'!BJ16/1000</f>
        <v>37.012</v>
      </c>
      <c r="P19" s="418">
        <f>'P NP TW'!BL16/1000</f>
        <v>11.103999999999999</v>
      </c>
      <c r="Q19" s="418">
        <f>'P NP TW'!BN16/1000</f>
        <v>7.4080000000000004</v>
      </c>
      <c r="S19" s="265"/>
      <c r="T19" s="265"/>
      <c r="U19" s="265"/>
      <c r="V19" s="265">
        <v>0</v>
      </c>
    </row>
    <row r="20" spans="1:22" ht="13.5" customHeight="1">
      <c r="A20" s="346" t="s">
        <v>119</v>
      </c>
      <c r="B20" s="363">
        <f t="shared" si="1"/>
        <v>0</v>
      </c>
      <c r="C20" s="418">
        <f>'P NP KARAMBA KAB'!AJ16/1000</f>
        <v>0</v>
      </c>
      <c r="D20" s="418">
        <f>'P NP KARAMBA KAB'!AT16/1000</f>
        <v>0</v>
      </c>
      <c r="E20" s="418">
        <f>'P NP KARAMBA KAB'!AL16/1000</f>
        <v>0</v>
      </c>
      <c r="F20" s="418">
        <f>'P NP KARAMBA KAB'!AP16/1000</f>
        <v>0</v>
      </c>
      <c r="G20" s="418">
        <f>'P NP KARAMBA KAB'!AN16/1000</f>
        <v>0</v>
      </c>
      <c r="H20" s="418">
        <f>'P NP KARAMBA KAB'!P16/1000</f>
        <v>0</v>
      </c>
      <c r="I20" s="418">
        <f>'P NP KARAMBA KAB'!F16/1000</f>
        <v>0</v>
      </c>
      <c r="J20" s="418">
        <f>'P NP KARAMBA KAB'!AD16/1000</f>
        <v>0</v>
      </c>
      <c r="K20" s="418">
        <f>'P NP KARAMBA KAB'!D16/1000</f>
        <v>0</v>
      </c>
      <c r="L20" s="418">
        <f>SUM('P NP KARAMBA KAB'!BP16/1000)</f>
        <v>0</v>
      </c>
      <c r="M20" s="264">
        <f t="shared" si="2"/>
        <v>0</v>
      </c>
      <c r="N20" s="571">
        <f>'P NP TW'!BH17/1000</f>
        <v>0</v>
      </c>
      <c r="O20" s="418">
        <f>'P NP TW'!BJ17/1000</f>
        <v>0</v>
      </c>
      <c r="P20" s="418">
        <f>'P NP TW'!BL17/1000</f>
        <v>0</v>
      </c>
      <c r="Q20" s="418">
        <f>'P NP TW'!BN17/1000</f>
        <v>0</v>
      </c>
      <c r="S20" s="265"/>
      <c r="T20" s="265"/>
      <c r="U20" s="265"/>
      <c r="V20" s="265">
        <v>218</v>
      </c>
    </row>
    <row r="21" spans="1:22" ht="13.5" customHeight="1">
      <c r="A21" s="346" t="s">
        <v>130</v>
      </c>
      <c r="B21" s="363">
        <f t="shared" si="1"/>
        <v>0</v>
      </c>
      <c r="C21" s="418">
        <f>'P NP KARAMBA KAB'!AJ17/1000</f>
        <v>0</v>
      </c>
      <c r="D21" s="418">
        <f>'P NP KARAMBA KAB'!AT17/1000</f>
        <v>0</v>
      </c>
      <c r="E21" s="418">
        <f>'P NP KARAMBA KAB'!AL17/1000</f>
        <v>0</v>
      </c>
      <c r="F21" s="418">
        <f>'P NP KARAMBA KAB'!AP17/1000</f>
        <v>0</v>
      </c>
      <c r="G21" s="418">
        <f>'P NP KARAMBA KAB'!AN17/1000</f>
        <v>0</v>
      </c>
      <c r="H21" s="418">
        <f>'P NP KARAMBA KAB'!P17/1000</f>
        <v>0</v>
      </c>
      <c r="I21" s="418">
        <f>'P NP KARAMBA KAB'!F17/1000</f>
        <v>0</v>
      </c>
      <c r="J21" s="418">
        <f>'P NP KARAMBA KAB'!AD17/1000</f>
        <v>0</v>
      </c>
      <c r="K21" s="418">
        <f>'P NP KARAMBA KAB'!D17/1000</f>
        <v>0</v>
      </c>
      <c r="L21" s="418">
        <f>SUM('P NP KARAMBA KAB'!BP17/1000)</f>
        <v>0</v>
      </c>
      <c r="M21" s="264">
        <f t="shared" si="2"/>
        <v>0</v>
      </c>
      <c r="N21" s="571">
        <f>'P NP TW'!BH18/1000</f>
        <v>0</v>
      </c>
      <c r="O21" s="418">
        <f>'P NP TW'!BJ18/1000</f>
        <v>0</v>
      </c>
      <c r="P21" s="418">
        <f>'P NP TW'!BL18/1000</f>
        <v>0</v>
      </c>
      <c r="Q21" s="418">
        <f>'P NP TW'!BN18/1000</f>
        <v>0</v>
      </c>
      <c r="S21" s="265"/>
      <c r="T21" s="265"/>
      <c r="U21" s="265"/>
      <c r="V21" s="265">
        <v>0</v>
      </c>
    </row>
    <row r="22" spans="1:22" ht="13.5" customHeight="1">
      <c r="A22" s="346" t="s">
        <v>131</v>
      </c>
      <c r="B22" s="363">
        <f t="shared" si="1"/>
        <v>0</v>
      </c>
      <c r="C22" s="418">
        <f>'P NP KARAMBA KAB'!AJ18/1000</f>
        <v>0</v>
      </c>
      <c r="D22" s="418">
        <f>'P NP KARAMBA KAB'!AT18/1000</f>
        <v>0</v>
      </c>
      <c r="E22" s="418">
        <f>'P NP KARAMBA KAB'!AL18/1000</f>
        <v>0</v>
      </c>
      <c r="F22" s="418">
        <f>'P NP KARAMBA KAB'!AP18/1000</f>
        <v>0</v>
      </c>
      <c r="G22" s="418">
        <f>'P NP KARAMBA KAB'!AN18/1000</f>
        <v>0</v>
      </c>
      <c r="H22" s="418">
        <f>'P NP KARAMBA KAB'!P18/1000</f>
        <v>0</v>
      </c>
      <c r="I22" s="418">
        <f>'P NP KARAMBA KAB'!F18/1000</f>
        <v>0</v>
      </c>
      <c r="J22" s="418">
        <f>'P NP KARAMBA KAB'!AD18/1000</f>
        <v>0</v>
      </c>
      <c r="K22" s="418">
        <f>'P NP KARAMBA KAB'!D18/1000</f>
        <v>0</v>
      </c>
      <c r="L22" s="418">
        <f>SUM('P NP KARAMBA KAB'!BP18/1000)</f>
        <v>0</v>
      </c>
      <c r="M22" s="264">
        <f t="shared" si="2"/>
        <v>0</v>
      </c>
      <c r="N22" s="571">
        <f>'P NP TW'!BH19/1000</f>
        <v>0</v>
      </c>
      <c r="O22" s="418">
        <f>'P NP TW'!BJ19/1000</f>
        <v>0</v>
      </c>
      <c r="P22" s="418">
        <f>'P NP TW'!BL19/1000</f>
        <v>0</v>
      </c>
      <c r="Q22" s="418">
        <f>'P NP TW'!BN19/1000</f>
        <v>0</v>
      </c>
      <c r="S22" s="265"/>
      <c r="T22" s="265"/>
      <c r="U22" s="265"/>
      <c r="V22" s="265">
        <v>200</v>
      </c>
    </row>
    <row r="23" spans="1:22" ht="13.5" customHeight="1">
      <c r="A23" s="346" t="s">
        <v>118</v>
      </c>
      <c r="B23" s="363">
        <f t="shared" si="1"/>
        <v>0</v>
      </c>
      <c r="C23" s="418">
        <f>'P NP KARAMBA KAB'!AJ19/1000</f>
        <v>0</v>
      </c>
      <c r="D23" s="418">
        <f>'P NP KARAMBA KAB'!AT19/1000</f>
        <v>0</v>
      </c>
      <c r="E23" s="418">
        <f>'P NP KARAMBA KAB'!AL19/1000</f>
        <v>0</v>
      </c>
      <c r="F23" s="418">
        <f>'P NP KARAMBA KAB'!AP19/1000</f>
        <v>0</v>
      </c>
      <c r="G23" s="418">
        <f>'P NP KARAMBA KAB'!AN19/1000</f>
        <v>0</v>
      </c>
      <c r="H23" s="418">
        <f>'P NP KARAMBA KAB'!P19/1000</f>
        <v>0</v>
      </c>
      <c r="I23" s="418">
        <f>'P NP KARAMBA KAB'!F19/1000</f>
        <v>0</v>
      </c>
      <c r="J23" s="418">
        <f>'P NP KARAMBA KAB'!AD19/1000</f>
        <v>0</v>
      </c>
      <c r="K23" s="418">
        <f>'P NP KARAMBA KAB'!D19/1000</f>
        <v>0</v>
      </c>
      <c r="L23" s="418">
        <f>SUM('P NP KARAMBA KAB'!BP19/1000)</f>
        <v>0</v>
      </c>
      <c r="M23" s="264">
        <f t="shared" si="2"/>
        <v>0</v>
      </c>
      <c r="N23" s="571">
        <f>'P NP TW'!BH20/1000</f>
        <v>0</v>
      </c>
      <c r="O23" s="418">
        <f>'P NP TW'!BJ20/1000</f>
        <v>0</v>
      </c>
      <c r="P23" s="418">
        <f>'P NP TW'!BL20/1000</f>
        <v>0</v>
      </c>
      <c r="Q23" s="418">
        <f>'P NP TW'!BN20/1000</f>
        <v>0</v>
      </c>
      <c r="S23" s="265"/>
      <c r="T23" s="265"/>
      <c r="U23" s="265"/>
      <c r="V23" s="265">
        <v>0</v>
      </c>
    </row>
    <row r="24" spans="1:22" ht="13.5" customHeight="1">
      <c r="A24" s="346" t="s">
        <v>127</v>
      </c>
      <c r="B24" s="363">
        <f t="shared" si="1"/>
        <v>1.8</v>
      </c>
      <c r="C24" s="418">
        <f>'P NP KARAMBA KAB'!AJ20/1000</f>
        <v>0</v>
      </c>
      <c r="D24" s="418">
        <f>'P NP KARAMBA KAB'!AT20/1000</f>
        <v>0</v>
      </c>
      <c r="E24" s="418">
        <f>'P NP KARAMBA KAB'!AL20/1000</f>
        <v>1.8</v>
      </c>
      <c r="F24" s="418">
        <f>'P NP KARAMBA KAB'!AP20/1000</f>
        <v>0</v>
      </c>
      <c r="G24" s="418">
        <f>'P NP KARAMBA KAB'!AN20/1000</f>
        <v>0</v>
      </c>
      <c r="H24" s="418">
        <f>'P NP KARAMBA KAB'!P20/1000</f>
        <v>0</v>
      </c>
      <c r="I24" s="418">
        <f>'P NP KARAMBA KAB'!F20/1000</f>
        <v>0</v>
      </c>
      <c r="J24" s="418">
        <f>'P NP KARAMBA KAB'!AD20/1000</f>
        <v>0</v>
      </c>
      <c r="K24" s="418">
        <f>'P NP KARAMBA KAB'!D20/1000</f>
        <v>0</v>
      </c>
      <c r="L24" s="418">
        <f>SUM('P NP KARAMBA KAB'!BP20/1000)</f>
        <v>0</v>
      </c>
      <c r="M24" s="264">
        <f t="shared" si="2"/>
        <v>1.8</v>
      </c>
      <c r="N24" s="571">
        <f>'P NP TW'!BH21/1000</f>
        <v>0.6</v>
      </c>
      <c r="O24" s="418">
        <f>'P NP TW'!BJ21/1000</f>
        <v>0.4</v>
      </c>
      <c r="P24" s="418">
        <f>'P NP TW'!BL21/1000</f>
        <v>0.8</v>
      </c>
      <c r="Q24" s="418">
        <f>'P NP TW'!BN21/1000</f>
        <v>0</v>
      </c>
      <c r="S24" s="265"/>
      <c r="T24" s="265"/>
      <c r="U24" s="265"/>
      <c r="V24" s="265">
        <v>8245</v>
      </c>
    </row>
    <row r="25" spans="1:22" ht="13.5" customHeight="1">
      <c r="A25" s="346" t="s">
        <v>129</v>
      </c>
      <c r="B25" s="363">
        <f t="shared" si="1"/>
        <v>0</v>
      </c>
      <c r="C25" s="418">
        <f>'P NP KARAMBA KAB'!AJ21/1000</f>
        <v>0</v>
      </c>
      <c r="D25" s="418">
        <f>'P NP KARAMBA KAB'!AT21/1000</f>
        <v>0</v>
      </c>
      <c r="E25" s="418">
        <f>'P NP KARAMBA KAB'!AL21/1000</f>
        <v>0</v>
      </c>
      <c r="F25" s="418">
        <f>'P NP KARAMBA KAB'!AP21/1000</f>
        <v>0</v>
      </c>
      <c r="G25" s="418">
        <f>'P NP KARAMBA KAB'!AN21/1000</f>
        <v>0</v>
      </c>
      <c r="H25" s="418">
        <f>'P NP KARAMBA KAB'!P21/1000</f>
        <v>0</v>
      </c>
      <c r="I25" s="418">
        <f>'P NP KARAMBA KAB'!F21/1000</f>
        <v>0</v>
      </c>
      <c r="J25" s="418">
        <f>'P NP KARAMBA KAB'!AD21/1000</f>
        <v>0</v>
      </c>
      <c r="K25" s="418">
        <f>'P NP KARAMBA KAB'!D21/1000</f>
        <v>0</v>
      </c>
      <c r="L25" s="418">
        <f>SUM('P NP KARAMBA KAB'!BP21/1000)</f>
        <v>0</v>
      </c>
      <c r="M25" s="264">
        <f t="shared" si="2"/>
        <v>0</v>
      </c>
      <c r="N25" s="571">
        <f>'P NP TW'!BH22/1000</f>
        <v>0</v>
      </c>
      <c r="O25" s="418">
        <f>'P NP TW'!BJ22/1000</f>
        <v>0</v>
      </c>
      <c r="P25" s="418">
        <f>'P NP TW'!BL22/1000</f>
        <v>0</v>
      </c>
      <c r="Q25" s="418">
        <f>'P NP TW'!BN22/1000</f>
        <v>0</v>
      </c>
      <c r="S25" s="265"/>
      <c r="T25" s="265"/>
      <c r="U25" s="265"/>
      <c r="V25" s="265">
        <v>0</v>
      </c>
    </row>
    <row r="26" spans="1:22" ht="13.5" customHeight="1">
      <c r="A26" s="346" t="s">
        <v>132</v>
      </c>
      <c r="B26" s="363">
        <f t="shared" si="1"/>
        <v>0</v>
      </c>
      <c r="C26" s="418">
        <f>'P NP KARAMBA KAB'!AJ22/1000</f>
        <v>0</v>
      </c>
      <c r="D26" s="418">
        <f>'P NP KARAMBA KAB'!AT22/1000</f>
        <v>0</v>
      </c>
      <c r="E26" s="418">
        <f>'P NP KARAMBA KAB'!AL22/1000</f>
        <v>0</v>
      </c>
      <c r="F26" s="418">
        <f>'P NP KARAMBA KAB'!AP22/1000</f>
        <v>0</v>
      </c>
      <c r="G26" s="418">
        <f>'P NP KARAMBA KAB'!AN22/1000</f>
        <v>0</v>
      </c>
      <c r="H26" s="418">
        <f>'P NP KARAMBA KAB'!P22/1000</f>
        <v>0</v>
      </c>
      <c r="I26" s="418">
        <f>'P NP KARAMBA KAB'!F22/1000</f>
        <v>0</v>
      </c>
      <c r="J26" s="418">
        <f>'P NP KARAMBA KAB'!AD22/1000</f>
        <v>0</v>
      </c>
      <c r="K26" s="418">
        <f>'P NP KARAMBA KAB'!D22/1000</f>
        <v>0</v>
      </c>
      <c r="L26" s="418">
        <f>SUM('P NP KARAMBA KAB'!BP22/1000)</f>
        <v>0</v>
      </c>
      <c r="M26" s="264">
        <f>SUM(N26:Q26)</f>
        <v>0</v>
      </c>
      <c r="N26" s="571">
        <f>'P NP TW'!BH23/1000</f>
        <v>0</v>
      </c>
      <c r="O26" s="418">
        <f>'P NP TW'!BJ23/1000</f>
        <v>0</v>
      </c>
      <c r="P26" s="418">
        <f>'P NP TW'!BL23/1000</f>
        <v>0</v>
      </c>
      <c r="Q26" s="418">
        <f>'P NP TW'!BN23/1000</f>
        <v>0</v>
      </c>
      <c r="S26" s="265"/>
      <c r="T26" s="265"/>
      <c r="U26" s="265"/>
      <c r="V26" s="265">
        <v>250489</v>
      </c>
    </row>
    <row r="27" spans="1:22" ht="13.5" customHeight="1">
      <c r="A27" s="346" t="s">
        <v>112</v>
      </c>
      <c r="B27" s="363">
        <f t="shared" si="1"/>
        <v>0</v>
      </c>
      <c r="C27" s="418">
        <f>'P NP KARAMBA KAB'!AJ23/1000</f>
        <v>0</v>
      </c>
      <c r="D27" s="418">
        <f>'P NP KARAMBA KAB'!AT23/1000</f>
        <v>0</v>
      </c>
      <c r="E27" s="418">
        <f>'P NP KARAMBA KAB'!AL23/1000</f>
        <v>0</v>
      </c>
      <c r="F27" s="418">
        <f>'P NP KARAMBA KAB'!AP23/1000</f>
        <v>0</v>
      </c>
      <c r="G27" s="418">
        <f>'P NP KARAMBA KAB'!AN23/1000</f>
        <v>0</v>
      </c>
      <c r="H27" s="418">
        <f>'P NP KARAMBA KAB'!P23/1000</f>
        <v>0</v>
      </c>
      <c r="I27" s="418">
        <f>'P NP KARAMBA KAB'!F23/1000</f>
        <v>0</v>
      </c>
      <c r="J27" s="418">
        <f>'P NP KARAMBA KAB'!AD23/1000</f>
        <v>0</v>
      </c>
      <c r="K27" s="418">
        <f>'P NP KARAMBA KAB'!D23/1000</f>
        <v>0</v>
      </c>
      <c r="L27" s="418">
        <f>SUM('P NP KARAMBA KAB'!BP23/1000)</f>
        <v>0</v>
      </c>
      <c r="M27" s="264">
        <f t="shared" si="2"/>
        <v>0</v>
      </c>
      <c r="N27" s="571">
        <f>'P NP TW'!BH24/1000</f>
        <v>0</v>
      </c>
      <c r="O27" s="418">
        <f>'P NP TW'!BJ24/1000</f>
        <v>0</v>
      </c>
      <c r="P27" s="418">
        <f>'P NP TW'!BL24/1000</f>
        <v>0</v>
      </c>
      <c r="Q27" s="418">
        <f>'P NP TW'!BN24/1000</f>
        <v>0</v>
      </c>
      <c r="S27" s="265"/>
      <c r="T27" s="265"/>
      <c r="U27" s="265"/>
      <c r="V27" s="265">
        <v>0</v>
      </c>
    </row>
    <row r="28" spans="1:22" ht="13.5" customHeight="1">
      <c r="A28" s="346" t="s">
        <v>139</v>
      </c>
      <c r="B28" s="363">
        <f t="shared" si="1"/>
        <v>0</v>
      </c>
      <c r="C28" s="418">
        <f>'P NP KARAMBA KAB'!AJ24/1000</f>
        <v>0</v>
      </c>
      <c r="D28" s="418">
        <f>'P NP KARAMBA KAB'!AT24/1000</f>
        <v>0</v>
      </c>
      <c r="E28" s="418">
        <f>'P NP KARAMBA KAB'!AL24/1000</f>
        <v>0</v>
      </c>
      <c r="F28" s="418">
        <f>'P NP KARAMBA KAB'!AP24/1000</f>
        <v>0</v>
      </c>
      <c r="G28" s="418">
        <f>'P NP KARAMBA KAB'!AN24/1000</f>
        <v>0</v>
      </c>
      <c r="H28" s="418">
        <f>'P NP KARAMBA KAB'!P24/1000</f>
        <v>0</v>
      </c>
      <c r="I28" s="418">
        <f>'P NP KARAMBA KAB'!F24/1000</f>
        <v>0</v>
      </c>
      <c r="J28" s="418">
        <f>'P NP KARAMBA KAB'!AD24/1000</f>
        <v>0</v>
      </c>
      <c r="K28" s="418">
        <f>'P NP KARAMBA KAB'!D24/1000</f>
        <v>0</v>
      </c>
      <c r="L28" s="418">
        <f>SUM('P NP KARAMBA KAB'!BP24/1000)</f>
        <v>0</v>
      </c>
      <c r="M28" s="264">
        <f t="shared" si="2"/>
        <v>0</v>
      </c>
      <c r="N28" s="571">
        <f>'P NP TW'!BH25/1000</f>
        <v>0</v>
      </c>
      <c r="O28" s="418">
        <f>'P NP TW'!BJ25/1000</f>
        <v>0</v>
      </c>
      <c r="P28" s="418">
        <f>'P NP TW'!BL25/1000</f>
        <v>0</v>
      </c>
      <c r="Q28" s="418">
        <f>'P NP TW'!BN25/1000</f>
        <v>0</v>
      </c>
      <c r="S28" s="265"/>
      <c r="T28" s="265"/>
      <c r="U28" s="265"/>
      <c r="V28" s="265">
        <v>0</v>
      </c>
    </row>
    <row r="29" spans="1:22" ht="13.5" customHeight="1">
      <c r="A29" s="346" t="s">
        <v>125</v>
      </c>
      <c r="B29" s="363">
        <f t="shared" si="1"/>
        <v>0</v>
      </c>
      <c r="C29" s="418">
        <f>'P NP KARAMBA KAB'!AJ25/1000</f>
        <v>0</v>
      </c>
      <c r="D29" s="418">
        <f>'P NP KARAMBA KAB'!AT25/1000</f>
        <v>0</v>
      </c>
      <c r="E29" s="418">
        <f>'P NP KARAMBA KAB'!AL25/1000</f>
        <v>0</v>
      </c>
      <c r="F29" s="418">
        <f>'P NP KARAMBA KAB'!AP25/1000</f>
        <v>0</v>
      </c>
      <c r="G29" s="418">
        <f>'P NP KARAMBA KAB'!AN25/1000</f>
        <v>0</v>
      </c>
      <c r="H29" s="418">
        <f>'P NP KARAMBA KAB'!P25/1000</f>
        <v>0</v>
      </c>
      <c r="I29" s="418">
        <f>'P NP KARAMBA KAB'!F25/1000</f>
        <v>0</v>
      </c>
      <c r="J29" s="418">
        <f>'P NP KARAMBA KAB'!AD25/1000</f>
        <v>0</v>
      </c>
      <c r="K29" s="418">
        <f>'P NP KARAMBA KAB'!D25/1000</f>
        <v>0</v>
      </c>
      <c r="L29" s="418">
        <f>SUM('P NP KARAMBA KAB'!BP25/1000)</f>
        <v>0</v>
      </c>
      <c r="M29" s="264">
        <f t="shared" si="2"/>
        <v>0</v>
      </c>
      <c r="N29" s="571">
        <f>'P NP TW'!BH26/1000</f>
        <v>0</v>
      </c>
      <c r="O29" s="418">
        <f>'P NP TW'!BJ26/1000</f>
        <v>0</v>
      </c>
      <c r="P29" s="418">
        <f>'P NP TW'!BL26/1000</f>
        <v>0</v>
      </c>
      <c r="Q29" s="418">
        <f>'P NP TW'!BN26/1000</f>
        <v>0</v>
      </c>
      <c r="S29" s="265"/>
      <c r="T29" s="265"/>
      <c r="U29" s="265"/>
      <c r="V29" s="265">
        <v>0</v>
      </c>
    </row>
    <row r="30" spans="1:22" ht="13.5" customHeight="1">
      <c r="A30" s="346" t="s">
        <v>113</v>
      </c>
      <c r="B30" s="363">
        <f t="shared" si="1"/>
        <v>0</v>
      </c>
      <c r="C30" s="418">
        <f>'P NP KARAMBA KAB'!AJ26/1000</f>
        <v>0</v>
      </c>
      <c r="D30" s="418">
        <f>'P NP KARAMBA KAB'!AT26/1000</f>
        <v>0</v>
      </c>
      <c r="E30" s="418">
        <f>'P NP KARAMBA KAB'!AL26/1000</f>
        <v>0</v>
      </c>
      <c r="F30" s="418">
        <f>'P NP KARAMBA KAB'!AP26/1000</f>
        <v>0</v>
      </c>
      <c r="G30" s="418">
        <f>'P NP KARAMBA KAB'!AN26/1000</f>
        <v>0</v>
      </c>
      <c r="H30" s="418">
        <f>'P NP KARAMBA KAB'!P26/1000</f>
        <v>0</v>
      </c>
      <c r="I30" s="418">
        <f>'P NP KARAMBA KAB'!F26/1000</f>
        <v>0</v>
      </c>
      <c r="J30" s="418">
        <f>'P NP KARAMBA KAB'!AD26/1000</f>
        <v>0</v>
      </c>
      <c r="K30" s="418">
        <f>'P NP KARAMBA KAB'!D26/1000</f>
        <v>0</v>
      </c>
      <c r="L30" s="418">
        <f>SUM('P NP KARAMBA KAB'!BP26/1000)</f>
        <v>0</v>
      </c>
      <c r="M30" s="264">
        <f t="shared" si="2"/>
        <v>0</v>
      </c>
      <c r="N30" s="571">
        <f>'P NP TW'!BH27/1000</f>
        <v>0</v>
      </c>
      <c r="O30" s="418">
        <f>'P NP TW'!BJ27/1000</f>
        <v>0</v>
      </c>
      <c r="P30" s="418">
        <f>'P NP TW'!BL27/1000</f>
        <v>0</v>
      </c>
      <c r="Q30" s="418">
        <f>'P NP TW'!BN27/1000</f>
        <v>0</v>
      </c>
      <c r="S30" s="265"/>
      <c r="T30" s="265"/>
      <c r="U30" s="265"/>
      <c r="V30" s="265">
        <v>0</v>
      </c>
    </row>
    <row r="31" spans="1:22" ht="13.5" customHeight="1">
      <c r="A31" s="346" t="s">
        <v>124</v>
      </c>
      <c r="B31" s="363">
        <f t="shared" si="1"/>
        <v>0</v>
      </c>
      <c r="C31" s="418">
        <f>'P NP KARAMBA KAB'!AJ27/1000</f>
        <v>0</v>
      </c>
      <c r="D31" s="418">
        <f>'P NP KARAMBA KAB'!AT27/1000</f>
        <v>0</v>
      </c>
      <c r="E31" s="418">
        <f>'P NP KARAMBA KAB'!AL27/1000</f>
        <v>0</v>
      </c>
      <c r="F31" s="418">
        <f>'P NP KARAMBA KAB'!AP27/1000</f>
        <v>0</v>
      </c>
      <c r="G31" s="418">
        <f>'P NP KARAMBA KAB'!AN27/1000</f>
        <v>0</v>
      </c>
      <c r="H31" s="418">
        <f>'P NP KARAMBA KAB'!P27/1000</f>
        <v>0</v>
      </c>
      <c r="I31" s="418">
        <f>'P NP KARAMBA KAB'!F27/1000</f>
        <v>0</v>
      </c>
      <c r="J31" s="418">
        <f>'P NP KARAMBA KAB'!AD27/1000</f>
        <v>0</v>
      </c>
      <c r="K31" s="418">
        <f>'P NP KARAMBA KAB'!D27/1000</f>
        <v>0</v>
      </c>
      <c r="L31" s="418">
        <f>SUM('P NP KARAMBA KAB'!BP27/1000)</f>
        <v>0</v>
      </c>
      <c r="M31" s="264">
        <f t="shared" si="2"/>
        <v>0</v>
      </c>
      <c r="N31" s="571">
        <f>'P NP TW'!BH28/1000</f>
        <v>0</v>
      </c>
      <c r="O31" s="418">
        <f>'P NP TW'!BJ28/1000</f>
        <v>0</v>
      </c>
      <c r="P31" s="418">
        <f>'P NP TW'!BL28/1000</f>
        <v>0</v>
      </c>
      <c r="Q31" s="418">
        <f>'P NP TW'!BN28/1000</f>
        <v>0</v>
      </c>
      <c r="S31" s="265"/>
      <c r="T31" s="265"/>
      <c r="U31" s="265"/>
      <c r="V31" s="265">
        <v>0</v>
      </c>
    </row>
    <row r="32" spans="1:22" ht="13.5" customHeight="1">
      <c r="A32" s="346" t="s">
        <v>138</v>
      </c>
      <c r="B32" s="363">
        <f t="shared" si="1"/>
        <v>0</v>
      </c>
      <c r="C32" s="418">
        <f>'P NP KARAMBA KAB'!AJ28/1000</f>
        <v>0</v>
      </c>
      <c r="D32" s="418">
        <f>'P NP KARAMBA KAB'!AT28/1000</f>
        <v>0</v>
      </c>
      <c r="E32" s="418">
        <f>'P NP KARAMBA KAB'!AL28/1000</f>
        <v>0</v>
      </c>
      <c r="F32" s="418">
        <f>'P NP KARAMBA KAB'!AP28/1000</f>
        <v>0</v>
      </c>
      <c r="G32" s="418">
        <f>'P NP KARAMBA KAB'!AN28/1000</f>
        <v>0</v>
      </c>
      <c r="H32" s="418">
        <f>'P NP KARAMBA KAB'!P28/1000</f>
        <v>0</v>
      </c>
      <c r="I32" s="418">
        <f>'P NP KARAMBA KAB'!F28/1000</f>
        <v>0</v>
      </c>
      <c r="J32" s="418">
        <f>'P NP KARAMBA KAB'!AD28/1000</f>
        <v>0</v>
      </c>
      <c r="K32" s="418">
        <f>'P NP KARAMBA KAB'!D28/1000</f>
        <v>0</v>
      </c>
      <c r="L32" s="418">
        <f>SUM('P NP KARAMBA KAB'!BP28/1000)</f>
        <v>0</v>
      </c>
      <c r="M32" s="264">
        <f t="shared" si="2"/>
        <v>0</v>
      </c>
      <c r="N32" s="571">
        <f>'P NP TW'!BH29/1000</f>
        <v>0</v>
      </c>
      <c r="O32" s="418">
        <f>'P NP TW'!BJ29/1000</f>
        <v>0</v>
      </c>
      <c r="P32" s="418">
        <f>'P NP TW'!BL29/1000</f>
        <v>0</v>
      </c>
      <c r="Q32" s="418">
        <f>'P NP TW'!BN29/1000</f>
        <v>0</v>
      </c>
      <c r="S32" s="265"/>
      <c r="T32" s="265"/>
      <c r="U32" s="265"/>
      <c r="V32" s="265">
        <v>0</v>
      </c>
    </row>
    <row r="33" spans="1:22" ht="13.5" customHeight="1">
      <c r="A33" s="346" t="s">
        <v>126</v>
      </c>
      <c r="B33" s="363">
        <f t="shared" si="1"/>
        <v>312.61999999999995</v>
      </c>
      <c r="C33" s="418">
        <f>'P NP KARAMBA KAB'!AJ29/1000</f>
        <v>0</v>
      </c>
      <c r="D33" s="418">
        <f>'P NP KARAMBA KAB'!AT29/1000</f>
        <v>1.952</v>
      </c>
      <c r="E33" s="418">
        <f>'P NP KARAMBA KAB'!AL29/1000</f>
        <v>0</v>
      </c>
      <c r="F33" s="418">
        <f>'P NP KARAMBA KAB'!AP29/1000</f>
        <v>243</v>
      </c>
      <c r="G33" s="418">
        <f>'P NP KARAMBA KAB'!AN29/1000</f>
        <v>49.35</v>
      </c>
      <c r="H33" s="418">
        <f>'P NP KARAMBA KAB'!P29/1000</f>
        <v>8.4</v>
      </c>
      <c r="I33" s="418">
        <f>'P NP KARAMBA KAB'!F29/1000</f>
        <v>1.3879999999999999</v>
      </c>
      <c r="J33" s="418">
        <f>'P NP KARAMBA KAB'!AD29/1000</f>
        <v>8.5299999999999994</v>
      </c>
      <c r="K33" s="418">
        <f>'P NP KARAMBA KAB'!D29/1000</f>
        <v>0</v>
      </c>
      <c r="L33" s="418">
        <f>SUM('P NP KARAMBA KAB'!BP29/1000)</f>
        <v>0</v>
      </c>
      <c r="M33" s="264">
        <f t="shared" si="2"/>
        <v>312.62</v>
      </c>
      <c r="N33" s="571">
        <f>'P NP TW'!BH30/1000</f>
        <v>92.245000000000005</v>
      </c>
      <c r="O33" s="418">
        <f>'P NP TW'!BJ30/1000</f>
        <v>66.552000000000007</v>
      </c>
      <c r="P33" s="418">
        <f>'P NP TW'!BL30/1000</f>
        <v>72.603999999999999</v>
      </c>
      <c r="Q33" s="418">
        <f>'P NP TW'!BN30/1000</f>
        <v>81.218999999999994</v>
      </c>
      <c r="S33" s="265"/>
      <c r="T33" s="265"/>
      <c r="U33" s="265"/>
      <c r="V33" s="265">
        <v>0</v>
      </c>
    </row>
    <row r="34" spans="1:22" ht="13.5" customHeight="1">
      <c r="A34" s="346" t="s">
        <v>123</v>
      </c>
      <c r="B34" s="363">
        <f t="shared" si="1"/>
        <v>0</v>
      </c>
      <c r="C34" s="418">
        <f>'P NP KARAMBA KAB'!AJ30/1000</f>
        <v>0</v>
      </c>
      <c r="D34" s="418">
        <f>'P NP KARAMBA KAB'!AT30/1000</f>
        <v>0</v>
      </c>
      <c r="E34" s="418">
        <f>'P NP KARAMBA KAB'!AL30/1000</f>
        <v>0</v>
      </c>
      <c r="F34" s="418">
        <f>'P NP KARAMBA KAB'!AP30/1000</f>
        <v>0</v>
      </c>
      <c r="G34" s="418">
        <f>'P NP KARAMBA KAB'!AN30/1000</f>
        <v>0</v>
      </c>
      <c r="H34" s="418">
        <f>'P NP KARAMBA KAB'!P30/1000</f>
        <v>0</v>
      </c>
      <c r="I34" s="418">
        <f>'P NP KARAMBA KAB'!F30/1000</f>
        <v>0</v>
      </c>
      <c r="J34" s="418">
        <f>'P NP KARAMBA KAB'!AD30/1000</f>
        <v>0</v>
      </c>
      <c r="K34" s="418">
        <f>'P NP KARAMBA KAB'!D30/1000</f>
        <v>0</v>
      </c>
      <c r="L34" s="418">
        <f>SUM('P NP KARAMBA KAB'!BP30/1000)</f>
        <v>0</v>
      </c>
      <c r="M34" s="264">
        <f t="shared" si="2"/>
        <v>0</v>
      </c>
      <c r="N34" s="571">
        <f>'P NP TW'!BH31/1000</f>
        <v>0</v>
      </c>
      <c r="O34" s="418">
        <f>'P NP TW'!BJ31/1000</f>
        <v>0</v>
      </c>
      <c r="P34" s="418">
        <f>'P NP TW'!BL31/1000</f>
        <v>0</v>
      </c>
      <c r="Q34" s="418">
        <f>'P NP TW'!BN31/1000</f>
        <v>0</v>
      </c>
      <c r="S34" s="265"/>
      <c r="T34" s="265"/>
      <c r="U34" s="265"/>
      <c r="V34" s="265">
        <v>0</v>
      </c>
    </row>
    <row r="35" spans="1:22" ht="13.5" customHeight="1">
      <c r="A35" s="346" t="s">
        <v>140</v>
      </c>
      <c r="B35" s="363">
        <f t="shared" si="1"/>
        <v>0</v>
      </c>
      <c r="C35" s="418">
        <f>'P NP KARAMBA KAB'!AJ31/1000</f>
        <v>0</v>
      </c>
      <c r="D35" s="418">
        <f>'P NP KARAMBA KAB'!AT31/1000</f>
        <v>0</v>
      </c>
      <c r="E35" s="418">
        <f>'P NP KARAMBA KAB'!AL31/1000</f>
        <v>0</v>
      </c>
      <c r="F35" s="418">
        <f>'P NP KARAMBA KAB'!AP31/1000</f>
        <v>0</v>
      </c>
      <c r="G35" s="418">
        <f>'P NP KARAMBA KAB'!AN31/1000</f>
        <v>0</v>
      </c>
      <c r="H35" s="418">
        <f>'P NP KARAMBA KAB'!P31/1000</f>
        <v>0</v>
      </c>
      <c r="I35" s="418">
        <f>'P NP KARAMBA KAB'!F31/1000</f>
        <v>0</v>
      </c>
      <c r="J35" s="418">
        <f>'P NP KARAMBA KAB'!AD31/1000</f>
        <v>0</v>
      </c>
      <c r="K35" s="418">
        <f>'P NP KARAMBA KAB'!D31/1000</f>
        <v>0</v>
      </c>
      <c r="L35" s="418">
        <f>SUM('P NP KARAMBA KAB'!BP31/1000)</f>
        <v>0</v>
      </c>
      <c r="M35" s="264">
        <f t="shared" si="2"/>
        <v>0</v>
      </c>
      <c r="N35" s="571">
        <f>'P NP TW'!BH32/1000</f>
        <v>0</v>
      </c>
      <c r="O35" s="418">
        <f>'P NP TW'!BJ32/1000</f>
        <v>0</v>
      </c>
      <c r="P35" s="418">
        <f>'P NP TW'!BL32/1000</f>
        <v>0</v>
      </c>
      <c r="Q35" s="418">
        <f>'P NP TW'!BN32/1000</f>
        <v>0</v>
      </c>
      <c r="S35" s="265"/>
      <c r="T35" s="265"/>
      <c r="U35" s="265"/>
      <c r="V35" s="265">
        <v>0</v>
      </c>
    </row>
    <row r="36" spans="1:22" ht="13.5" customHeight="1">
      <c r="A36" s="346" t="s">
        <v>114</v>
      </c>
      <c r="B36" s="363">
        <f t="shared" si="1"/>
        <v>0</v>
      </c>
      <c r="C36" s="418">
        <f>'P NP KARAMBA KAB'!AJ32/1000</f>
        <v>0</v>
      </c>
      <c r="D36" s="418">
        <f>'P NP KARAMBA KAB'!AT32/1000</f>
        <v>0</v>
      </c>
      <c r="E36" s="418">
        <f>'P NP KARAMBA KAB'!AL32/1000</f>
        <v>0</v>
      </c>
      <c r="F36" s="418">
        <f>'P NP KARAMBA KAB'!AP32/1000</f>
        <v>0</v>
      </c>
      <c r="G36" s="418">
        <f>'P NP KARAMBA KAB'!AN32/1000</f>
        <v>0</v>
      </c>
      <c r="H36" s="418">
        <f>'P NP KARAMBA KAB'!P32/1000</f>
        <v>0</v>
      </c>
      <c r="I36" s="418">
        <f>'P NP KARAMBA KAB'!F32/1000</f>
        <v>0</v>
      </c>
      <c r="J36" s="418">
        <f>'P NP KARAMBA KAB'!AD32/1000</f>
        <v>0</v>
      </c>
      <c r="K36" s="418">
        <f>'P NP KARAMBA KAB'!D32/1000</f>
        <v>0</v>
      </c>
      <c r="L36" s="418">
        <f>SUM('P NP KARAMBA KAB'!BP32/1000)</f>
        <v>0</v>
      </c>
      <c r="M36" s="264">
        <f t="shared" si="2"/>
        <v>0</v>
      </c>
      <c r="N36" s="571">
        <f>'P NP TW'!BH33/1000</f>
        <v>0</v>
      </c>
      <c r="O36" s="418">
        <f>'P NP TW'!BJ33/1000</f>
        <v>0</v>
      </c>
      <c r="P36" s="418">
        <f>'P NP TW'!BL33/1000</f>
        <v>0</v>
      </c>
      <c r="Q36" s="418">
        <f>'P NP TW'!BN33/1000</f>
        <v>0</v>
      </c>
      <c r="S36" s="265"/>
      <c r="T36" s="265"/>
      <c r="U36" s="265"/>
      <c r="V36" s="265">
        <v>2800</v>
      </c>
    </row>
    <row r="37" spans="1:22" ht="13.5" customHeight="1">
      <c r="A37" s="346" t="s">
        <v>134</v>
      </c>
      <c r="B37" s="363">
        <f t="shared" si="1"/>
        <v>6509.7000000000007</v>
      </c>
      <c r="C37" s="418">
        <f>'P NP KARAMBA KAB'!AJ33/1000</f>
        <v>1416.58</v>
      </c>
      <c r="D37" s="418">
        <f>'P NP KARAMBA KAB'!AT33/1000</f>
        <v>0</v>
      </c>
      <c r="E37" s="418">
        <f>'P NP KARAMBA KAB'!AL33/1000</f>
        <v>0</v>
      </c>
      <c r="F37" s="418">
        <f>'P NP KARAMBA KAB'!AP33/1000</f>
        <v>350.52199999999999</v>
      </c>
      <c r="G37" s="418">
        <f>'P NP KARAMBA KAB'!AN33/1000</f>
        <v>1664.68</v>
      </c>
      <c r="H37" s="418">
        <f>'P NP KARAMBA KAB'!P33/1000</f>
        <v>126.788</v>
      </c>
      <c r="I37" s="418">
        <f>'P NP KARAMBA KAB'!F33/1000</f>
        <v>269.89999999999998</v>
      </c>
      <c r="J37" s="418">
        <f>'P NP KARAMBA KAB'!AD33/1000</f>
        <v>2681.23</v>
      </c>
      <c r="K37" s="418">
        <f>'P NP KARAMBA KAB'!D33/1000</f>
        <v>0</v>
      </c>
      <c r="L37" s="418">
        <f>SUM('P NP KARAMBA KAB'!BP33/1000)</f>
        <v>0</v>
      </c>
      <c r="M37" s="264">
        <f t="shared" si="2"/>
        <v>6509.7000000000007</v>
      </c>
      <c r="N37" s="571">
        <f>'P NP TW'!BH34/1000</f>
        <v>1826.53</v>
      </c>
      <c r="O37" s="418">
        <f>'P NP TW'!BJ34/1000</f>
        <v>1339.15</v>
      </c>
      <c r="P37" s="418">
        <f>'P NP TW'!BL34/1000</f>
        <v>1048.8399999999999</v>
      </c>
      <c r="Q37" s="418">
        <f>'P NP TW'!BN34/1000</f>
        <v>2295.1799999999998</v>
      </c>
      <c r="S37" s="265"/>
      <c r="T37" s="265"/>
      <c r="U37" s="265"/>
      <c r="V37" s="265">
        <v>0</v>
      </c>
    </row>
    <row r="38" spans="1:22" ht="13.5" customHeight="1">
      <c r="A38" s="346" t="s">
        <v>115</v>
      </c>
      <c r="B38" s="363">
        <f t="shared" si="1"/>
        <v>0</v>
      </c>
      <c r="C38" s="418">
        <f>'P NP KARAMBA KAB'!AJ34/1000</f>
        <v>0</v>
      </c>
      <c r="D38" s="418">
        <f>'P NP KARAMBA KAB'!AT34/1000</f>
        <v>0</v>
      </c>
      <c r="E38" s="418">
        <f>'P NP KARAMBA KAB'!AL34/1000</f>
        <v>0</v>
      </c>
      <c r="F38" s="418">
        <f>'P NP KARAMBA KAB'!AP34/1000</f>
        <v>0</v>
      </c>
      <c r="G38" s="418">
        <f>'P NP KARAMBA KAB'!AN34/1000</f>
        <v>0</v>
      </c>
      <c r="H38" s="418">
        <f>'P NP KARAMBA KAB'!P34/1000</f>
        <v>0</v>
      </c>
      <c r="I38" s="418">
        <f>'P NP KARAMBA KAB'!F34/1000</f>
        <v>0</v>
      </c>
      <c r="J38" s="418">
        <f>'P NP KARAMBA KAB'!AD34/1000</f>
        <v>0</v>
      </c>
      <c r="K38" s="418">
        <f>'P NP KARAMBA KAB'!D34/1000</f>
        <v>0</v>
      </c>
      <c r="L38" s="418">
        <f>SUM('P NP KARAMBA KAB'!BP34/1000)</f>
        <v>0</v>
      </c>
      <c r="M38" s="264">
        <f t="shared" si="2"/>
        <v>0</v>
      </c>
      <c r="N38" s="571">
        <f>'P NP TW'!BH35/1000</f>
        <v>0</v>
      </c>
      <c r="O38" s="418">
        <f>'P NP TW'!BJ35/1000</f>
        <v>0</v>
      </c>
      <c r="P38" s="418">
        <f>'P NP TW'!BL35/1000</f>
        <v>0</v>
      </c>
      <c r="Q38" s="418">
        <f>'P NP TW'!BN35/1000</f>
        <v>0</v>
      </c>
      <c r="S38" s="265"/>
      <c r="T38" s="265"/>
      <c r="U38" s="265"/>
      <c r="V38" s="265">
        <v>0</v>
      </c>
    </row>
    <row r="39" spans="1:22" ht="13.5" customHeight="1">
      <c r="A39" s="346" t="s">
        <v>149</v>
      </c>
      <c r="B39" s="363">
        <f t="shared" si="1"/>
        <v>0</v>
      </c>
      <c r="C39" s="418">
        <f>'P NP KARAMBA KAB'!AJ35/1000</f>
        <v>0</v>
      </c>
      <c r="D39" s="418">
        <f>'P NP KARAMBA KAB'!AT35/1000</f>
        <v>0</v>
      </c>
      <c r="E39" s="418">
        <f>'P NP KARAMBA KAB'!AL35/1000</f>
        <v>0</v>
      </c>
      <c r="F39" s="418">
        <f>'P NP KARAMBA KAB'!AP35/1000</f>
        <v>0</v>
      </c>
      <c r="G39" s="418">
        <f>'P NP KARAMBA KAB'!AN35/1000</f>
        <v>0</v>
      </c>
      <c r="H39" s="418">
        <f>'P NP KARAMBA KAB'!P35/1000</f>
        <v>0</v>
      </c>
      <c r="I39" s="418">
        <f>'P NP KARAMBA KAB'!F35/1000</f>
        <v>0</v>
      </c>
      <c r="J39" s="418">
        <f>'P NP KARAMBA KAB'!AD35/1000</f>
        <v>0</v>
      </c>
      <c r="K39" s="418">
        <f>'P NP KARAMBA KAB'!D35/1000</f>
        <v>0</v>
      </c>
      <c r="L39" s="418">
        <f>SUM('P NP KARAMBA KAB'!BP35/1000)</f>
        <v>0</v>
      </c>
      <c r="M39" s="264">
        <f t="shared" si="2"/>
        <v>0</v>
      </c>
      <c r="N39" s="571">
        <f>'P NP TW'!BH36/1000</f>
        <v>0</v>
      </c>
      <c r="O39" s="418">
        <f>'P NP TW'!BJ36/1000</f>
        <v>0</v>
      </c>
      <c r="P39" s="418">
        <f>'P NP TW'!BL36/1000</f>
        <v>0</v>
      </c>
      <c r="Q39" s="418">
        <f>'P NP TW'!BN36/1000</f>
        <v>0</v>
      </c>
      <c r="S39" s="265"/>
      <c r="T39" s="265"/>
      <c r="U39" s="265"/>
      <c r="V39" s="265">
        <v>0</v>
      </c>
    </row>
    <row r="40" spans="1:22" ht="13.5" customHeight="1">
      <c r="A40" s="346" t="s">
        <v>142</v>
      </c>
      <c r="B40" s="363">
        <f t="shared" si="1"/>
        <v>0</v>
      </c>
      <c r="C40" s="418">
        <f>'P NP KARAMBA KAB'!AJ36/1000</f>
        <v>0</v>
      </c>
      <c r="D40" s="418">
        <f>'P NP KARAMBA KAB'!AT36/1000</f>
        <v>0</v>
      </c>
      <c r="E40" s="418">
        <f>'P NP KARAMBA KAB'!AL36/1000</f>
        <v>0</v>
      </c>
      <c r="F40" s="418">
        <f>'P NP KARAMBA KAB'!AP36/1000</f>
        <v>0</v>
      </c>
      <c r="G40" s="418">
        <f>'P NP KARAMBA KAB'!AN36/1000</f>
        <v>0</v>
      </c>
      <c r="H40" s="418">
        <f>'P NP KARAMBA KAB'!P36/1000</f>
        <v>0</v>
      </c>
      <c r="I40" s="418">
        <f>'P NP KARAMBA KAB'!F36/1000</f>
        <v>0</v>
      </c>
      <c r="J40" s="418">
        <f>'P NP KARAMBA KAB'!AD36/1000</f>
        <v>0</v>
      </c>
      <c r="K40" s="418">
        <f>'P NP KARAMBA KAB'!D36/1000</f>
        <v>0</v>
      </c>
      <c r="L40" s="418">
        <f>SUM('P NP KARAMBA KAB'!BP36/1000)</f>
        <v>0</v>
      </c>
      <c r="M40" s="264">
        <f t="shared" si="2"/>
        <v>0</v>
      </c>
      <c r="N40" s="571">
        <f>'P NP TW'!BH37/1000</f>
        <v>0</v>
      </c>
      <c r="O40" s="418">
        <f>'P NP TW'!BJ37/1000</f>
        <v>0</v>
      </c>
      <c r="P40" s="418">
        <f>'P NP TW'!BL37/1000</f>
        <v>0</v>
      </c>
      <c r="Q40" s="418">
        <f>'P NP TW'!BN37/1000</f>
        <v>0</v>
      </c>
      <c r="S40" s="265"/>
      <c r="T40" s="265"/>
      <c r="U40" s="265"/>
      <c r="V40" s="265">
        <v>2860</v>
      </c>
    </row>
    <row r="41" spans="1:22" ht="13.5" customHeight="1">
      <c r="A41" s="346" t="s">
        <v>141</v>
      </c>
      <c r="B41" s="363">
        <f t="shared" si="1"/>
        <v>0</v>
      </c>
      <c r="C41" s="418">
        <f>'P NP KARAMBA KAB'!AJ37/1000</f>
        <v>0</v>
      </c>
      <c r="D41" s="418">
        <f>'P NP KARAMBA KAB'!AT37/1000</f>
        <v>0</v>
      </c>
      <c r="E41" s="418">
        <f>'P NP KARAMBA KAB'!AL37/1000</f>
        <v>0</v>
      </c>
      <c r="F41" s="418">
        <f>'P NP KARAMBA KAB'!AP37/1000</f>
        <v>0</v>
      </c>
      <c r="G41" s="418">
        <f>'P NP KARAMBA KAB'!AN37/1000</f>
        <v>0</v>
      </c>
      <c r="H41" s="418">
        <f>'P NP KARAMBA KAB'!P37/1000</f>
        <v>0</v>
      </c>
      <c r="I41" s="418">
        <f>'P NP KARAMBA KAB'!F37/1000</f>
        <v>0</v>
      </c>
      <c r="J41" s="418">
        <f>'P NP KARAMBA KAB'!AD37/1000</f>
        <v>0</v>
      </c>
      <c r="K41" s="418">
        <f>'P NP KARAMBA KAB'!D37/1000</f>
        <v>0</v>
      </c>
      <c r="L41" s="418">
        <f>SUM('P NP KARAMBA KAB'!BP37/1000)</f>
        <v>0</v>
      </c>
      <c r="M41" s="264">
        <f t="shared" si="2"/>
        <v>0</v>
      </c>
      <c r="N41" s="571">
        <f>'P NP TW'!BH38/1000</f>
        <v>0</v>
      </c>
      <c r="O41" s="418">
        <f>'P NP TW'!BJ38/1000</f>
        <v>0</v>
      </c>
      <c r="P41" s="418">
        <f>'P NP TW'!BL38/1000</f>
        <v>0</v>
      </c>
      <c r="Q41" s="418">
        <f>'P NP TW'!BN38/1000</f>
        <v>0</v>
      </c>
      <c r="S41" s="265"/>
      <c r="T41" s="265"/>
      <c r="U41" s="265"/>
      <c r="V41" s="265">
        <v>1500</v>
      </c>
    </row>
    <row r="42" spans="1:22" ht="13.5" customHeight="1">
      <c r="A42" s="346" t="s">
        <v>147</v>
      </c>
      <c r="B42" s="363">
        <f t="shared" si="1"/>
        <v>0</v>
      </c>
      <c r="C42" s="418">
        <f>'P NP KARAMBA KAB'!AJ38/1000</f>
        <v>0</v>
      </c>
      <c r="D42" s="418">
        <f>'P NP KARAMBA KAB'!AT38/1000</f>
        <v>0</v>
      </c>
      <c r="E42" s="418">
        <f>'P NP KARAMBA KAB'!AL38/1000</f>
        <v>0</v>
      </c>
      <c r="F42" s="418">
        <f>'P NP KARAMBA KAB'!AP38/1000</f>
        <v>0</v>
      </c>
      <c r="G42" s="418">
        <f>'P NP KARAMBA KAB'!AN38/1000</f>
        <v>0</v>
      </c>
      <c r="H42" s="418">
        <f>'P NP KARAMBA KAB'!P38/1000</f>
        <v>0</v>
      </c>
      <c r="I42" s="418">
        <f>'P NP KARAMBA KAB'!F38/1000</f>
        <v>0</v>
      </c>
      <c r="J42" s="418">
        <f>'P NP KARAMBA KAB'!AD38/1000</f>
        <v>0</v>
      </c>
      <c r="K42" s="418">
        <f>'P NP KARAMBA KAB'!D38/1000</f>
        <v>0</v>
      </c>
      <c r="L42" s="418">
        <f>SUM('P NP KARAMBA KAB'!BP38/1000)</f>
        <v>0</v>
      </c>
      <c r="M42" s="264">
        <f t="shared" si="2"/>
        <v>0</v>
      </c>
      <c r="N42" s="571">
        <f>'P NP TW'!BH39/1000</f>
        <v>0</v>
      </c>
      <c r="O42" s="418">
        <f>'P NP TW'!BJ39/1000</f>
        <v>0</v>
      </c>
      <c r="P42" s="418">
        <f>'P NP TW'!BL39/1000</f>
        <v>0</v>
      </c>
      <c r="Q42" s="418">
        <f>'P NP TW'!BN39/1000</f>
        <v>0</v>
      </c>
      <c r="S42" s="265"/>
      <c r="T42" s="265"/>
      <c r="U42" s="265"/>
      <c r="V42" s="265">
        <v>0</v>
      </c>
    </row>
    <row r="43" spans="1:22" ht="13.5" customHeight="1">
      <c r="A43" s="346" t="s">
        <v>143</v>
      </c>
      <c r="B43" s="363">
        <f t="shared" si="1"/>
        <v>18.600000000000001</v>
      </c>
      <c r="C43" s="418">
        <f>'P NP KARAMBA KAB'!AJ39/1000</f>
        <v>7.65</v>
      </c>
      <c r="D43" s="418">
        <f>'P NP KARAMBA KAB'!AT39/1000</f>
        <v>0</v>
      </c>
      <c r="E43" s="418">
        <f>'P NP KARAMBA KAB'!AL39/1000</f>
        <v>0</v>
      </c>
      <c r="F43" s="418">
        <f>'P NP KARAMBA KAB'!AP39/1000</f>
        <v>0</v>
      </c>
      <c r="G43" s="418">
        <f>'P NP KARAMBA KAB'!AN39/1000</f>
        <v>10.95</v>
      </c>
      <c r="H43" s="418">
        <f>'P NP KARAMBA KAB'!P39/1000</f>
        <v>0</v>
      </c>
      <c r="I43" s="418">
        <f>'P NP KARAMBA KAB'!F39/1000</f>
        <v>0</v>
      </c>
      <c r="J43" s="418">
        <f>'P NP KARAMBA KAB'!AD39/1000</f>
        <v>0</v>
      </c>
      <c r="K43" s="418">
        <f>'P NP KARAMBA KAB'!D39/1000</f>
        <v>0</v>
      </c>
      <c r="L43" s="418">
        <f>SUM('P NP KARAMBA KAB'!BP39/1000)</f>
        <v>0</v>
      </c>
      <c r="M43" s="264">
        <f t="shared" si="2"/>
        <v>18.600000000000001</v>
      </c>
      <c r="N43" s="571">
        <f>'P NP TW'!BH40/1000</f>
        <v>2.5</v>
      </c>
      <c r="O43" s="418">
        <f>'P NP TW'!BJ40/1000</f>
        <v>4.4000000000000004</v>
      </c>
      <c r="P43" s="418">
        <f>'P NP TW'!BL40/1000</f>
        <v>2.2000000000000002</v>
      </c>
      <c r="Q43" s="418">
        <f>'P NP TW'!BN40/1000</f>
        <v>9.5</v>
      </c>
      <c r="S43" s="265"/>
      <c r="T43" s="265"/>
      <c r="U43" s="265"/>
      <c r="V43" s="265">
        <v>0</v>
      </c>
    </row>
    <row r="44" spans="1:22" ht="13.5" customHeight="1">
      <c r="A44" s="346" t="s">
        <v>146</v>
      </c>
      <c r="B44" s="363">
        <f t="shared" si="1"/>
        <v>0</v>
      </c>
      <c r="C44" s="418">
        <f>'P NP KARAMBA KAB'!AJ40/1000</f>
        <v>0</v>
      </c>
      <c r="D44" s="418">
        <f>'P NP KARAMBA KAB'!AT40/1000</f>
        <v>0</v>
      </c>
      <c r="E44" s="418">
        <f>'P NP KARAMBA KAB'!AL40/1000</f>
        <v>0</v>
      </c>
      <c r="F44" s="418">
        <f>'P NP KARAMBA KAB'!AP40/1000</f>
        <v>0</v>
      </c>
      <c r="G44" s="418">
        <f>'P NP KARAMBA KAB'!AN40/1000</f>
        <v>0</v>
      </c>
      <c r="H44" s="418">
        <f>'P NP KARAMBA KAB'!P40/1000</f>
        <v>0</v>
      </c>
      <c r="I44" s="418">
        <f>'P NP KARAMBA KAB'!F40/1000</f>
        <v>0</v>
      </c>
      <c r="J44" s="418">
        <f>'P NP KARAMBA KAB'!AD40/1000</f>
        <v>0</v>
      </c>
      <c r="K44" s="418">
        <f>'P NP KARAMBA KAB'!D40/1000</f>
        <v>0</v>
      </c>
      <c r="L44" s="418">
        <f>SUM('P NP KARAMBA KAB'!BP40/1000)</f>
        <v>0</v>
      </c>
      <c r="M44" s="264">
        <f t="shared" si="2"/>
        <v>0</v>
      </c>
      <c r="N44" s="571">
        <f>'P NP TW'!BH41/1000</f>
        <v>0</v>
      </c>
      <c r="O44" s="418">
        <f>'P NP TW'!BJ41/1000</f>
        <v>0</v>
      </c>
      <c r="P44" s="418">
        <f>'P NP TW'!BL41/1000</f>
        <v>0</v>
      </c>
      <c r="Q44" s="418">
        <f>'P NP TW'!BN41/1000</f>
        <v>0</v>
      </c>
      <c r="S44" s="265"/>
      <c r="T44" s="265"/>
      <c r="U44" s="265"/>
      <c r="V44" s="265">
        <v>3375</v>
      </c>
    </row>
    <row r="45" spans="1:22" ht="13.5" customHeight="1">
      <c r="A45" s="346" t="s">
        <v>145</v>
      </c>
      <c r="B45" s="363">
        <f t="shared" si="1"/>
        <v>0</v>
      </c>
      <c r="C45" s="418">
        <f>'P NP KARAMBA KAB'!AJ41/1000</f>
        <v>0</v>
      </c>
      <c r="D45" s="418">
        <f>'P NP KARAMBA KAB'!AT41/1000</f>
        <v>0</v>
      </c>
      <c r="E45" s="418">
        <f>'P NP KARAMBA KAB'!AL41/1000</f>
        <v>0</v>
      </c>
      <c r="F45" s="418">
        <f>'P NP KARAMBA KAB'!AP41/1000</f>
        <v>0</v>
      </c>
      <c r="G45" s="418">
        <f>'P NP KARAMBA KAB'!AN41/1000</f>
        <v>0</v>
      </c>
      <c r="H45" s="418">
        <f>'P NP KARAMBA KAB'!P41/1000</f>
        <v>0</v>
      </c>
      <c r="I45" s="418">
        <f>'P NP KARAMBA KAB'!F41/1000</f>
        <v>0</v>
      </c>
      <c r="J45" s="418">
        <f>'P NP KARAMBA KAB'!AD41/1000</f>
        <v>0</v>
      </c>
      <c r="K45" s="418">
        <f>'P NP KARAMBA KAB'!D41/1000</f>
        <v>0</v>
      </c>
      <c r="L45" s="418">
        <f>SUM('P NP KARAMBA KAB'!BP41/1000)</f>
        <v>0</v>
      </c>
      <c r="M45" s="264">
        <f t="shared" si="2"/>
        <v>0</v>
      </c>
      <c r="N45" s="571">
        <f>'P NP TW'!BH42/1000</f>
        <v>0</v>
      </c>
      <c r="O45" s="418">
        <f>'P NP TW'!BJ42/1000</f>
        <v>0</v>
      </c>
      <c r="P45" s="418">
        <f>'P NP TW'!BL42/1000</f>
        <v>0</v>
      </c>
      <c r="Q45" s="418">
        <f>'P NP TW'!BN42/1000</f>
        <v>0</v>
      </c>
      <c r="S45" s="265"/>
      <c r="T45" s="265"/>
      <c r="U45" s="265"/>
      <c r="V45" s="265">
        <v>0</v>
      </c>
    </row>
    <row r="46" spans="1:22" ht="13.5" customHeight="1">
      <c r="A46" s="346" t="s">
        <v>144</v>
      </c>
      <c r="B46" s="363">
        <f t="shared" si="1"/>
        <v>0</v>
      </c>
      <c r="C46" s="418">
        <f>'P NP KARAMBA KAB'!AJ42/1000</f>
        <v>0</v>
      </c>
      <c r="D46" s="418">
        <f>'P NP KARAMBA KAB'!AT42/1000</f>
        <v>0</v>
      </c>
      <c r="E46" s="418">
        <f>'P NP KARAMBA KAB'!AL42/1000</f>
        <v>0</v>
      </c>
      <c r="F46" s="418">
        <f>'P NP KARAMBA KAB'!AP42/1000</f>
        <v>0</v>
      </c>
      <c r="G46" s="418">
        <f>'P NP KARAMBA KAB'!AN42/1000</f>
        <v>0</v>
      </c>
      <c r="H46" s="418">
        <f>'P NP KARAMBA KAB'!P42/1000</f>
        <v>0</v>
      </c>
      <c r="I46" s="418">
        <f>'P NP KARAMBA KAB'!F42/1000</f>
        <v>0</v>
      </c>
      <c r="J46" s="418">
        <f>'P NP KARAMBA KAB'!AD42/1000</f>
        <v>0</v>
      </c>
      <c r="K46" s="418">
        <f>'P NP KARAMBA KAB'!D42/1000</f>
        <v>0</v>
      </c>
      <c r="L46" s="418">
        <f>SUM('P NP KARAMBA KAB'!BP42/1000)</f>
        <v>0</v>
      </c>
      <c r="M46" s="264">
        <f t="shared" si="2"/>
        <v>0</v>
      </c>
      <c r="N46" s="571">
        <f>'P NP TW'!BH43/1000</f>
        <v>0</v>
      </c>
      <c r="O46" s="418">
        <f>'P NP TW'!BJ43/1000</f>
        <v>0</v>
      </c>
      <c r="P46" s="418">
        <f>'P NP TW'!BL43/1000</f>
        <v>0</v>
      </c>
      <c r="Q46" s="418">
        <f>'P NP TW'!BN43/1000</f>
        <v>0</v>
      </c>
      <c r="S46" s="265"/>
      <c r="T46" s="265"/>
      <c r="U46" s="265"/>
      <c r="V46" s="265">
        <v>9414</v>
      </c>
    </row>
    <row r="47" spans="1:22" ht="13.5" customHeight="1">
      <c r="A47" s="844" t="s">
        <v>148</v>
      </c>
      <c r="B47" s="363">
        <f t="shared" si="1"/>
        <v>0</v>
      </c>
      <c r="C47" s="418">
        <f>'P NP KARAMBA KAB'!AJ43/1000</f>
        <v>0</v>
      </c>
      <c r="D47" s="418">
        <f>'P NP KARAMBA KAB'!AT43/1000</f>
        <v>0</v>
      </c>
      <c r="E47" s="418">
        <f>'P NP KARAMBA KAB'!AL43/1000</f>
        <v>0</v>
      </c>
      <c r="F47" s="418">
        <f>'P NP KARAMBA KAB'!AP43/1000</f>
        <v>0</v>
      </c>
      <c r="G47" s="418">
        <f>'P NP KARAMBA KAB'!AN43/1000</f>
        <v>0</v>
      </c>
      <c r="H47" s="418">
        <f>'P NP KARAMBA KAB'!P43/1000</f>
        <v>0</v>
      </c>
      <c r="I47" s="418">
        <f>'P NP KARAMBA KAB'!F43/1000</f>
        <v>0</v>
      </c>
      <c r="J47" s="418">
        <f>'P NP KARAMBA KAB'!AD43/1000</f>
        <v>0</v>
      </c>
      <c r="K47" s="418">
        <f>'P NP KARAMBA KAB'!D43/1000</f>
        <v>0</v>
      </c>
      <c r="L47" s="418">
        <f>SUM('P NP KARAMBA KAB'!BP43/1000)</f>
        <v>0</v>
      </c>
      <c r="M47" s="845">
        <f t="shared" si="2"/>
        <v>0</v>
      </c>
      <c r="N47" s="571">
        <f>'P NP TW'!BH44/1000</f>
        <v>0</v>
      </c>
      <c r="O47" s="418">
        <f>'P NP TW'!BJ44/1000</f>
        <v>0</v>
      </c>
      <c r="P47" s="418">
        <f>'P NP TW'!BL44/1000</f>
        <v>0</v>
      </c>
      <c r="Q47" s="418">
        <f>'P NP TW'!BN44/1000</f>
        <v>0</v>
      </c>
      <c r="S47" s="265"/>
      <c r="T47" s="265"/>
      <c r="U47" s="265"/>
      <c r="V47" s="265">
        <v>100</v>
      </c>
    </row>
    <row r="48" spans="1:22" ht="8.5" customHeight="1" thickBot="1">
      <c r="A48" s="846"/>
      <c r="B48" s="847"/>
      <c r="C48" s="848"/>
      <c r="D48" s="848"/>
      <c r="E48" s="848"/>
      <c r="F48" s="848"/>
      <c r="G48" s="848"/>
      <c r="H48" s="848"/>
      <c r="I48" s="848"/>
      <c r="J48" s="848"/>
      <c r="K48" s="848"/>
      <c r="L48" s="848"/>
      <c r="M48" s="847"/>
      <c r="N48" s="848"/>
      <c r="O48" s="848"/>
      <c r="P48" s="848"/>
      <c r="Q48" s="849"/>
      <c r="S48" s="265"/>
      <c r="T48" s="265"/>
      <c r="U48" s="265"/>
      <c r="V48" s="265"/>
    </row>
    <row r="49" spans="1:21" ht="13.5" customHeight="1">
      <c r="A49" s="277"/>
      <c r="B49" s="946" t="s">
        <v>424</v>
      </c>
      <c r="C49" s="946"/>
      <c r="D49" s="946"/>
      <c r="E49" s="946"/>
      <c r="F49" s="946"/>
      <c r="G49" s="946"/>
      <c r="H49" s="946"/>
      <c r="I49" s="946"/>
      <c r="J49" s="946"/>
      <c r="M49" s="946" t="s">
        <v>425</v>
      </c>
      <c r="N49" s="946"/>
      <c r="O49" s="946"/>
      <c r="P49" s="946"/>
    </row>
    <row r="50" spans="1:21" ht="13.5" customHeight="1">
      <c r="B50" s="211" t="s">
        <v>426</v>
      </c>
      <c r="C50" s="212" t="s">
        <v>427</v>
      </c>
      <c r="J50" s="213"/>
      <c r="M50" s="211" t="s">
        <v>428</v>
      </c>
      <c r="N50" s="212" t="s">
        <v>429</v>
      </c>
      <c r="Q50" s="213"/>
    </row>
    <row r="51" spans="1:21" ht="13.5" customHeight="1">
      <c r="B51" s="214"/>
      <c r="C51" s="215" t="s">
        <v>430</v>
      </c>
      <c r="E51" s="216"/>
      <c r="F51" s="216"/>
      <c r="G51" s="216"/>
      <c r="J51" s="216"/>
      <c r="K51" s="216"/>
      <c r="L51" s="216"/>
      <c r="M51" s="215"/>
      <c r="N51" s="215" t="s">
        <v>431</v>
      </c>
      <c r="O51" s="216"/>
      <c r="P51" s="216"/>
    </row>
    <row r="52" spans="1:21" ht="13.5" customHeight="1">
      <c r="K52" s="929" t="s">
        <v>309</v>
      </c>
      <c r="L52" s="929"/>
      <c r="Q52" s="217" t="s">
        <v>309</v>
      </c>
    </row>
    <row r="53" spans="1:21" ht="13.5" customHeight="1" thickBot="1">
      <c r="A53" s="348"/>
      <c r="K53" s="938" t="s">
        <v>310</v>
      </c>
      <c r="L53" s="938"/>
      <c r="Q53" s="220" t="s">
        <v>432</v>
      </c>
    </row>
    <row r="54" spans="1:21" ht="13.5" customHeight="1">
      <c r="A54" s="221"/>
      <c r="B54" s="223"/>
      <c r="C54" s="223"/>
      <c r="D54" s="223"/>
      <c r="E54" s="223"/>
      <c r="F54" s="228" t="s">
        <v>423</v>
      </c>
      <c r="G54" s="224" t="s">
        <v>384</v>
      </c>
      <c r="H54" s="339" t="s">
        <v>318</v>
      </c>
      <c r="I54" s="223"/>
      <c r="J54" s="223"/>
      <c r="K54" s="223"/>
      <c r="L54" s="226"/>
      <c r="M54" s="227"/>
      <c r="N54" s="228" t="s">
        <v>266</v>
      </c>
      <c r="O54" s="229" t="s">
        <v>267</v>
      </c>
      <c r="P54" s="223"/>
      <c r="Q54" s="226"/>
    </row>
    <row r="55" spans="1:21" ht="13.5" customHeight="1">
      <c r="A55" s="230" t="s">
        <v>103</v>
      </c>
      <c r="B55" s="232" t="s">
        <v>104</v>
      </c>
      <c r="C55" s="233" t="s">
        <v>268</v>
      </c>
      <c r="D55" s="233" t="s">
        <v>20</v>
      </c>
      <c r="E55" s="233" t="s">
        <v>15</v>
      </c>
      <c r="F55" s="233" t="s">
        <v>17</v>
      </c>
      <c r="G55" s="234" t="s">
        <v>16</v>
      </c>
      <c r="H55" s="233" t="s">
        <v>269</v>
      </c>
      <c r="I55" s="233" t="s">
        <v>2</v>
      </c>
      <c r="J55" s="233" t="s">
        <v>13</v>
      </c>
      <c r="K55" s="233" t="s">
        <v>1</v>
      </c>
      <c r="L55" s="236" t="s">
        <v>274</v>
      </c>
      <c r="M55" s="238" t="s">
        <v>104</v>
      </c>
      <c r="N55" s="234" t="s">
        <v>275</v>
      </c>
      <c r="O55" s="234" t="s">
        <v>276</v>
      </c>
      <c r="P55" s="234" t="s">
        <v>277</v>
      </c>
      <c r="Q55" s="236" t="s">
        <v>278</v>
      </c>
    </row>
    <row r="56" spans="1:21" ht="13.5" customHeight="1">
      <c r="A56" s="239" t="s">
        <v>105</v>
      </c>
      <c r="B56" s="240" t="s">
        <v>106</v>
      </c>
      <c r="C56" s="241" t="s">
        <v>360</v>
      </c>
      <c r="D56" s="241" t="s">
        <v>362</v>
      </c>
      <c r="E56" s="241" t="s">
        <v>281</v>
      </c>
      <c r="F56" s="241" t="s">
        <v>363</v>
      </c>
      <c r="G56" s="245" t="s">
        <v>280</v>
      </c>
      <c r="H56" s="242" t="s">
        <v>361</v>
      </c>
      <c r="I56" s="241" t="s">
        <v>287</v>
      </c>
      <c r="J56" s="241" t="s">
        <v>363</v>
      </c>
      <c r="K56" s="241" t="s">
        <v>285</v>
      </c>
      <c r="L56" s="243" t="s">
        <v>289</v>
      </c>
      <c r="M56" s="239" t="s">
        <v>106</v>
      </c>
      <c r="N56" s="245" t="s">
        <v>293</v>
      </c>
      <c r="O56" s="245" t="s">
        <v>294</v>
      </c>
      <c r="P56" s="245" t="s">
        <v>295</v>
      </c>
      <c r="Q56" s="243" t="s">
        <v>296</v>
      </c>
      <c r="R56" s="293"/>
      <c r="S56" s="293"/>
      <c r="T56" s="293"/>
    </row>
    <row r="57" spans="1:21" ht="13.5" customHeight="1">
      <c r="A57" s="246"/>
      <c r="B57" s="247"/>
      <c r="C57" s="248" t="s">
        <v>368</v>
      </c>
      <c r="D57" s="249"/>
      <c r="E57" s="248" t="s">
        <v>297</v>
      </c>
      <c r="F57" s="249"/>
      <c r="G57" s="250"/>
      <c r="H57" s="251"/>
      <c r="I57" s="248"/>
      <c r="J57" s="249"/>
      <c r="K57" s="249"/>
      <c r="L57" s="253"/>
      <c r="M57" s="246"/>
      <c r="N57" s="250"/>
      <c r="O57" s="250"/>
      <c r="P57" s="250"/>
      <c r="Q57" s="253"/>
      <c r="R57" s="293"/>
      <c r="S57" s="293"/>
      <c r="T57" s="293"/>
    </row>
    <row r="58" spans="1:21" ht="13.5" customHeight="1">
      <c r="A58" s="255" t="s">
        <v>111</v>
      </c>
      <c r="B58" s="485">
        <f t="shared" ref="B58:L58" si="3">SUM(B59:B96)</f>
        <v>129078479</v>
      </c>
      <c r="C58" s="300">
        <f t="shared" si="3"/>
        <v>26609165</v>
      </c>
      <c r="D58" s="300">
        <f t="shared" si="3"/>
        <v>31232</v>
      </c>
      <c r="E58" s="300">
        <f t="shared" si="3"/>
        <v>45400</v>
      </c>
      <c r="F58" s="300">
        <f t="shared" si="3"/>
        <v>10107194</v>
      </c>
      <c r="G58" s="300">
        <f t="shared" si="3"/>
        <v>31564120</v>
      </c>
      <c r="H58" s="300">
        <f t="shared" si="3"/>
        <v>4339840</v>
      </c>
      <c r="I58" s="300">
        <f t="shared" si="3"/>
        <v>5132524</v>
      </c>
      <c r="J58" s="300">
        <f t="shared" si="3"/>
        <v>51249004</v>
      </c>
      <c r="K58" s="300">
        <f t="shared" si="3"/>
        <v>0</v>
      </c>
      <c r="L58" s="301">
        <f t="shared" si="3"/>
        <v>0</v>
      </c>
      <c r="M58" s="302">
        <f>SUM(M59:M96)</f>
        <v>129078479</v>
      </c>
      <c r="N58" s="300">
        <f>SUM(N59:N96)</f>
        <v>36629661</v>
      </c>
      <c r="O58" s="300">
        <f>SUM(O59:O96)</f>
        <v>27910455</v>
      </c>
      <c r="P58" s="300">
        <f>SUM(P59:P96)</f>
        <v>21087196</v>
      </c>
      <c r="Q58" s="301">
        <f>SUM(Q59:Q96)</f>
        <v>43451167</v>
      </c>
      <c r="S58" s="334"/>
      <c r="T58" s="334"/>
      <c r="U58" s="334"/>
    </row>
    <row r="59" spans="1:21" ht="13.5" customHeight="1">
      <c r="A59" s="346" t="s">
        <v>137</v>
      </c>
      <c r="B59" s="471">
        <f t="shared" ref="B59:B96" si="4">SUM(C59:L59)</f>
        <v>92000</v>
      </c>
      <c r="C59" s="486">
        <f>'P NP KARAMBA KAB'!AK6</f>
        <v>0</v>
      </c>
      <c r="D59" s="486">
        <f>'P NP KARAMBA KAB'!AU6</f>
        <v>0</v>
      </c>
      <c r="E59" s="486">
        <f>'P NP KARAMBA KAB'!AM6</f>
        <v>0</v>
      </c>
      <c r="F59" s="486">
        <f>'P NP KARAMBA KAB'!AQ6</f>
        <v>0</v>
      </c>
      <c r="G59" s="486">
        <f>'P NP KARAMBA KAB'!AO6</f>
        <v>0</v>
      </c>
      <c r="H59" s="486">
        <f>'P NP KARAMBA KAB'!Q6</f>
        <v>0</v>
      </c>
      <c r="I59" s="486">
        <f>'P NP KARAMBA KAB'!G6</f>
        <v>0</v>
      </c>
      <c r="J59" s="486">
        <f>'P NP KARAMBA KAB'!AE6</f>
        <v>92000</v>
      </c>
      <c r="K59" s="486">
        <f>'P NP KARAMBA KAB'!E6</f>
        <v>0</v>
      </c>
      <c r="L59" s="486">
        <f>SUM('P NP KARAMBA KAB'!BQ6)</f>
        <v>0</v>
      </c>
      <c r="M59" s="352">
        <f>SUM(N59:Q59)</f>
        <v>92000</v>
      </c>
      <c r="N59" s="521">
        <f>'P NP TW'!BI7</f>
        <v>26000</v>
      </c>
      <c r="O59" s="521">
        <f>'P NP TW'!BK7</f>
        <v>16000</v>
      </c>
      <c r="P59" s="521">
        <f>'P NP TW'!BM7</f>
        <v>14000</v>
      </c>
      <c r="Q59" s="521">
        <f>'P NP TW'!BO7</f>
        <v>36000</v>
      </c>
      <c r="R59" s="307"/>
      <c r="S59" s="306"/>
      <c r="T59" s="306"/>
      <c r="U59" s="306"/>
    </row>
    <row r="60" spans="1:21" ht="13.5" customHeight="1">
      <c r="A60" s="346" t="s">
        <v>121</v>
      </c>
      <c r="B60" s="471">
        <f t="shared" si="4"/>
        <v>1317575</v>
      </c>
      <c r="C60" s="486">
        <f>'P NP KARAMBA KAB'!AK7</f>
        <v>842975</v>
      </c>
      <c r="D60" s="486">
        <f>'P NP KARAMBA KAB'!AU7</f>
        <v>0</v>
      </c>
      <c r="E60" s="486">
        <f>'P NP KARAMBA KAB'!AM7</f>
        <v>0</v>
      </c>
      <c r="F60" s="486">
        <f>'P NP KARAMBA KAB'!AQ7</f>
        <v>0</v>
      </c>
      <c r="G60" s="486">
        <f>'P NP KARAMBA KAB'!AO7</f>
        <v>474600</v>
      </c>
      <c r="H60" s="486">
        <f>'P NP KARAMBA KAB'!Q7</f>
        <v>0</v>
      </c>
      <c r="I60" s="486">
        <f>'P NP KARAMBA KAB'!G7</f>
        <v>0</v>
      </c>
      <c r="J60" s="486">
        <f>'P NP KARAMBA KAB'!AE7</f>
        <v>0</v>
      </c>
      <c r="K60" s="486">
        <f>'P NP KARAMBA KAB'!E7</f>
        <v>0</v>
      </c>
      <c r="L60" s="486">
        <f>SUM('P NP KARAMBA KAB'!BQ7)</f>
        <v>0</v>
      </c>
      <c r="M60" s="352">
        <f>SUM(N60:Q60)</f>
        <v>1317575</v>
      </c>
      <c r="N60" s="350">
        <f>'P NP TW'!BI8</f>
        <v>292075</v>
      </c>
      <c r="O60" s="350">
        <f>'P NP TW'!BK8</f>
        <v>266925</v>
      </c>
      <c r="P60" s="350">
        <f>'P NP TW'!BM8</f>
        <v>363750</v>
      </c>
      <c r="Q60" s="350">
        <f>'P NP TW'!BO8</f>
        <v>394825</v>
      </c>
      <c r="R60" s="306"/>
      <c r="S60" s="306"/>
      <c r="T60" s="306"/>
      <c r="U60" s="306"/>
    </row>
    <row r="61" spans="1:21" ht="13.5" customHeight="1">
      <c r="A61" s="346" t="s">
        <v>116</v>
      </c>
      <c r="B61" s="350">
        <f t="shared" si="4"/>
        <v>0</v>
      </c>
      <c r="C61" s="486">
        <f>'P NP KARAMBA KAB'!AK8</f>
        <v>0</v>
      </c>
      <c r="D61" s="486">
        <f>'P NP KARAMBA KAB'!AU8</f>
        <v>0</v>
      </c>
      <c r="E61" s="486">
        <f>'P NP KARAMBA KAB'!AM8</f>
        <v>0</v>
      </c>
      <c r="F61" s="486">
        <f>'P NP KARAMBA KAB'!AQ8</f>
        <v>0</v>
      </c>
      <c r="G61" s="486">
        <f>'P NP KARAMBA KAB'!AO8</f>
        <v>0</v>
      </c>
      <c r="H61" s="486">
        <f>'P NP KARAMBA KAB'!Q8</f>
        <v>0</v>
      </c>
      <c r="I61" s="486">
        <f>'P NP KARAMBA KAB'!G8</f>
        <v>0</v>
      </c>
      <c r="J61" s="486">
        <f>'P NP KARAMBA KAB'!AE8</f>
        <v>0</v>
      </c>
      <c r="K61" s="486">
        <f>'P NP KARAMBA KAB'!E8</f>
        <v>0</v>
      </c>
      <c r="L61" s="486">
        <f>SUM('P NP KARAMBA KAB'!BQ8)</f>
        <v>0</v>
      </c>
      <c r="M61" s="352">
        <f t="shared" ref="M61:M96" si="5">SUM(N61:Q61)</f>
        <v>0</v>
      </c>
      <c r="N61" s="350">
        <f>'P NP TW'!BI9</f>
        <v>0</v>
      </c>
      <c r="O61" s="350">
        <f>'P NP TW'!BK9</f>
        <v>0</v>
      </c>
      <c r="P61" s="350">
        <f>'P NP TW'!BM9</f>
        <v>0</v>
      </c>
      <c r="Q61" s="350">
        <f>'P NP TW'!BO9</f>
        <v>0</v>
      </c>
      <c r="R61" s="306"/>
      <c r="S61" s="306"/>
      <c r="T61" s="306"/>
      <c r="U61" s="306"/>
    </row>
    <row r="62" spans="1:21" ht="13.5" customHeight="1">
      <c r="A62" s="346" t="s">
        <v>133</v>
      </c>
      <c r="B62" s="350">
        <f t="shared" si="4"/>
        <v>0</v>
      </c>
      <c r="C62" s="486">
        <f>'P NP KARAMBA KAB'!AK9</f>
        <v>0</v>
      </c>
      <c r="D62" s="486">
        <f>'P NP KARAMBA KAB'!AU9</f>
        <v>0</v>
      </c>
      <c r="E62" s="486">
        <f>'P NP KARAMBA KAB'!AM9</f>
        <v>0</v>
      </c>
      <c r="F62" s="486">
        <f>'P NP KARAMBA KAB'!AQ9</f>
        <v>0</v>
      </c>
      <c r="G62" s="486">
        <f>'P NP KARAMBA KAB'!AO9</f>
        <v>0</v>
      </c>
      <c r="H62" s="486">
        <f>'P NP KARAMBA KAB'!Q9</f>
        <v>0</v>
      </c>
      <c r="I62" s="486">
        <f>'P NP KARAMBA KAB'!G9</f>
        <v>0</v>
      </c>
      <c r="J62" s="486">
        <f>'P NP KARAMBA KAB'!AE9</f>
        <v>0</v>
      </c>
      <c r="K62" s="486">
        <f>'P NP KARAMBA KAB'!E9</f>
        <v>0</v>
      </c>
      <c r="L62" s="486">
        <f>SUM('P NP KARAMBA KAB'!BQ9)</f>
        <v>0</v>
      </c>
      <c r="M62" s="352">
        <f t="shared" si="5"/>
        <v>0</v>
      </c>
      <c r="N62" s="350">
        <f>'P NP TW'!BI10</f>
        <v>0</v>
      </c>
      <c r="O62" s="350">
        <f>'P NP TW'!BK10</f>
        <v>0</v>
      </c>
      <c r="P62" s="350">
        <f>'P NP TW'!BM10</f>
        <v>0</v>
      </c>
      <c r="Q62" s="350">
        <f>'P NP TW'!BO10</f>
        <v>0</v>
      </c>
      <c r="R62" s="306"/>
      <c r="S62" s="306"/>
      <c r="T62" s="306"/>
      <c r="U62" s="306"/>
    </row>
    <row r="63" spans="1:21" ht="13.5" customHeight="1">
      <c r="A63" s="346" t="s">
        <v>122</v>
      </c>
      <c r="B63" s="350">
        <f t="shared" si="4"/>
        <v>0</v>
      </c>
      <c r="C63" s="486">
        <f>'P NP KARAMBA KAB'!AK10</f>
        <v>0</v>
      </c>
      <c r="D63" s="486">
        <f>'P NP KARAMBA KAB'!AU10</f>
        <v>0</v>
      </c>
      <c r="E63" s="486">
        <f>'P NP KARAMBA KAB'!AM10</f>
        <v>0</v>
      </c>
      <c r="F63" s="486">
        <f>'P NP KARAMBA KAB'!AQ10</f>
        <v>0</v>
      </c>
      <c r="G63" s="486">
        <f>'P NP KARAMBA KAB'!AO10</f>
        <v>0</v>
      </c>
      <c r="H63" s="486">
        <f>'P NP KARAMBA KAB'!Q10</f>
        <v>0</v>
      </c>
      <c r="I63" s="486">
        <f>'P NP KARAMBA KAB'!G10</f>
        <v>0</v>
      </c>
      <c r="J63" s="486">
        <f>'P NP KARAMBA KAB'!AE10</f>
        <v>0</v>
      </c>
      <c r="K63" s="486">
        <f>'P NP KARAMBA KAB'!E10</f>
        <v>0</v>
      </c>
      <c r="L63" s="486">
        <f>SUM('P NP KARAMBA KAB'!BQ10)</f>
        <v>0</v>
      </c>
      <c r="M63" s="352">
        <f t="shared" si="5"/>
        <v>0</v>
      </c>
      <c r="N63" s="350">
        <f>'P NP TW'!BI11</f>
        <v>0</v>
      </c>
      <c r="O63" s="350">
        <f>'P NP TW'!BK11</f>
        <v>0</v>
      </c>
      <c r="P63" s="350">
        <f>'P NP TW'!BM11</f>
        <v>0</v>
      </c>
      <c r="Q63" s="350">
        <f>'P NP TW'!BO11</f>
        <v>0</v>
      </c>
      <c r="R63" s="306"/>
      <c r="S63" s="306"/>
      <c r="T63" s="306"/>
      <c r="U63" s="306"/>
    </row>
    <row r="64" spans="1:21" ht="13.5" customHeight="1">
      <c r="A64" s="346" t="s">
        <v>136</v>
      </c>
      <c r="B64" s="350">
        <f t="shared" si="4"/>
        <v>0</v>
      </c>
      <c r="C64" s="486">
        <f>'P NP KARAMBA KAB'!AK11</f>
        <v>0</v>
      </c>
      <c r="D64" s="486">
        <f>'P NP KARAMBA KAB'!AU11</f>
        <v>0</v>
      </c>
      <c r="E64" s="486">
        <f>'P NP KARAMBA KAB'!AM11</f>
        <v>0</v>
      </c>
      <c r="F64" s="486">
        <f>'P NP KARAMBA KAB'!AQ11</f>
        <v>0</v>
      </c>
      <c r="G64" s="486">
        <f>'P NP KARAMBA KAB'!AO11</f>
        <v>0</v>
      </c>
      <c r="H64" s="486">
        <f>'P NP KARAMBA KAB'!Q11</f>
        <v>0</v>
      </c>
      <c r="I64" s="486">
        <f>'P NP KARAMBA KAB'!G11</f>
        <v>0</v>
      </c>
      <c r="J64" s="486">
        <f>'P NP KARAMBA KAB'!AE11</f>
        <v>0</v>
      </c>
      <c r="K64" s="486">
        <f>'P NP KARAMBA KAB'!E11</f>
        <v>0</v>
      </c>
      <c r="L64" s="486">
        <f>SUM('P NP KARAMBA KAB'!BQ11)</f>
        <v>0</v>
      </c>
      <c r="M64" s="352">
        <f t="shared" si="5"/>
        <v>0</v>
      </c>
      <c r="N64" s="350">
        <f>'P NP TW'!BI12</f>
        <v>0</v>
      </c>
      <c r="O64" s="350">
        <f>'P NP TW'!BK12</f>
        <v>0</v>
      </c>
      <c r="P64" s="350">
        <f>'P NP TW'!BM12</f>
        <v>0</v>
      </c>
      <c r="Q64" s="350">
        <f>'P NP TW'!BO12</f>
        <v>0</v>
      </c>
      <c r="R64" s="306"/>
      <c r="S64" s="306"/>
      <c r="T64" s="306"/>
      <c r="U64" s="306"/>
    </row>
    <row r="65" spans="1:21" ht="13.5" customHeight="1">
      <c r="A65" s="346" t="s">
        <v>120</v>
      </c>
      <c r="B65" s="350">
        <f t="shared" si="4"/>
        <v>0</v>
      </c>
      <c r="C65" s="486">
        <f>'P NP KARAMBA KAB'!AK12</f>
        <v>0</v>
      </c>
      <c r="D65" s="486">
        <f>'P NP KARAMBA KAB'!AU12</f>
        <v>0</v>
      </c>
      <c r="E65" s="486">
        <f>'P NP KARAMBA KAB'!AM12</f>
        <v>0</v>
      </c>
      <c r="F65" s="486">
        <f>'P NP KARAMBA KAB'!AQ12</f>
        <v>0</v>
      </c>
      <c r="G65" s="486">
        <f>'P NP KARAMBA KAB'!AO12</f>
        <v>0</v>
      </c>
      <c r="H65" s="486">
        <f>'P NP KARAMBA KAB'!Q12</f>
        <v>0</v>
      </c>
      <c r="I65" s="486">
        <f>'P NP KARAMBA KAB'!G12</f>
        <v>0</v>
      </c>
      <c r="J65" s="486">
        <f>'P NP KARAMBA KAB'!AE12</f>
        <v>0</v>
      </c>
      <c r="K65" s="486">
        <f>'P NP KARAMBA KAB'!E12</f>
        <v>0</v>
      </c>
      <c r="L65" s="486">
        <f>SUM('P NP KARAMBA KAB'!BQ12)</f>
        <v>0</v>
      </c>
      <c r="M65" s="352">
        <f t="shared" si="5"/>
        <v>0</v>
      </c>
      <c r="N65" s="350">
        <f>'P NP TW'!BI13</f>
        <v>0</v>
      </c>
      <c r="O65" s="350">
        <f>'P NP TW'!BK13</f>
        <v>0</v>
      </c>
      <c r="P65" s="350">
        <f>'P NP TW'!BM13</f>
        <v>0</v>
      </c>
      <c r="Q65" s="350">
        <f>'P NP TW'!BO13</f>
        <v>0</v>
      </c>
      <c r="R65" s="306"/>
      <c r="S65" s="306"/>
      <c r="T65" s="306"/>
      <c r="U65" s="306"/>
    </row>
    <row r="66" spans="1:21" ht="13.5" customHeight="1">
      <c r="A66" s="346" t="s">
        <v>128</v>
      </c>
      <c r="B66" s="350">
        <f t="shared" si="4"/>
        <v>0</v>
      </c>
      <c r="C66" s="486">
        <f>'P NP KARAMBA KAB'!AK13</f>
        <v>0</v>
      </c>
      <c r="D66" s="486">
        <f>'P NP KARAMBA KAB'!AU13</f>
        <v>0</v>
      </c>
      <c r="E66" s="486">
        <f>'P NP KARAMBA KAB'!AM13</f>
        <v>0</v>
      </c>
      <c r="F66" s="486">
        <f>'P NP KARAMBA KAB'!AQ13</f>
        <v>0</v>
      </c>
      <c r="G66" s="486">
        <f>'P NP KARAMBA KAB'!AO13</f>
        <v>0</v>
      </c>
      <c r="H66" s="486">
        <f>'P NP KARAMBA KAB'!Q13</f>
        <v>0</v>
      </c>
      <c r="I66" s="486">
        <f>'P NP KARAMBA KAB'!G13</f>
        <v>0</v>
      </c>
      <c r="J66" s="486">
        <f>'P NP KARAMBA KAB'!AE13</f>
        <v>0</v>
      </c>
      <c r="K66" s="486">
        <f>'P NP KARAMBA KAB'!E13</f>
        <v>0</v>
      </c>
      <c r="L66" s="486">
        <f>SUM('P NP KARAMBA KAB'!BQ13)</f>
        <v>0</v>
      </c>
      <c r="M66" s="352">
        <f t="shared" si="5"/>
        <v>0</v>
      </c>
      <c r="N66" s="350">
        <f>'P NP TW'!BI14</f>
        <v>0</v>
      </c>
      <c r="O66" s="350">
        <f>'P NP TW'!BK14</f>
        <v>0</v>
      </c>
      <c r="P66" s="350">
        <f>'P NP TW'!BM14</f>
        <v>0</v>
      </c>
      <c r="Q66" s="350">
        <f>'P NP TW'!BO14</f>
        <v>0</v>
      </c>
      <c r="R66" s="306"/>
      <c r="S66" s="306"/>
      <c r="T66" s="306"/>
      <c r="U66" s="306"/>
    </row>
    <row r="67" spans="1:21" ht="13.5" customHeight="1">
      <c r="A67" s="346" t="s">
        <v>117</v>
      </c>
      <c r="B67" s="350">
        <f t="shared" si="4"/>
        <v>0</v>
      </c>
      <c r="C67" s="486">
        <f>'P NP KARAMBA KAB'!AK14</f>
        <v>0</v>
      </c>
      <c r="D67" s="486">
        <f>'P NP KARAMBA KAB'!AU14</f>
        <v>0</v>
      </c>
      <c r="E67" s="486">
        <f>'P NP KARAMBA KAB'!AM14</f>
        <v>0</v>
      </c>
      <c r="F67" s="486">
        <f>'P NP KARAMBA KAB'!AQ14</f>
        <v>0</v>
      </c>
      <c r="G67" s="486">
        <f>'P NP KARAMBA KAB'!AO14</f>
        <v>0</v>
      </c>
      <c r="H67" s="486">
        <f>'P NP KARAMBA KAB'!Q14</f>
        <v>0</v>
      </c>
      <c r="I67" s="486">
        <f>'P NP KARAMBA KAB'!G14</f>
        <v>0</v>
      </c>
      <c r="J67" s="486">
        <f>'P NP KARAMBA KAB'!AE14</f>
        <v>0</v>
      </c>
      <c r="K67" s="486">
        <f>'P NP KARAMBA KAB'!E14</f>
        <v>0</v>
      </c>
      <c r="L67" s="486">
        <f>SUM('P NP KARAMBA KAB'!BQ14)</f>
        <v>0</v>
      </c>
      <c r="M67" s="352">
        <f t="shared" si="5"/>
        <v>0</v>
      </c>
      <c r="N67" s="350">
        <f>'P NP TW'!BI15</f>
        <v>0</v>
      </c>
      <c r="O67" s="350">
        <f>'P NP TW'!BK15</f>
        <v>0</v>
      </c>
      <c r="P67" s="350">
        <f>'P NP TW'!BM15</f>
        <v>0</v>
      </c>
      <c r="Q67" s="350">
        <f>'P NP TW'!BO15</f>
        <v>0</v>
      </c>
      <c r="R67" s="306"/>
      <c r="S67" s="306"/>
      <c r="T67" s="306"/>
      <c r="U67" s="306"/>
    </row>
    <row r="68" spans="1:21" ht="13.5" customHeight="1">
      <c r="A68" s="346" t="s">
        <v>135</v>
      </c>
      <c r="B68" s="350">
        <f t="shared" si="4"/>
        <v>1375104</v>
      </c>
      <c r="C68" s="486">
        <f>'P NP KARAMBA KAB'!AK15</f>
        <v>0</v>
      </c>
      <c r="D68" s="486">
        <f>'P NP KARAMBA KAB'!AU15</f>
        <v>0</v>
      </c>
      <c r="E68" s="486">
        <f>'P NP KARAMBA KAB'!AM15</f>
        <v>0</v>
      </c>
      <c r="F68" s="486">
        <f>'P NP KARAMBA KAB'!AQ15</f>
        <v>0</v>
      </c>
      <c r="G68" s="486">
        <f>'P NP KARAMBA KAB'!AO15</f>
        <v>0</v>
      </c>
      <c r="H68" s="486">
        <f>'P NP KARAMBA KAB'!Q15</f>
        <v>0</v>
      </c>
      <c r="I68" s="486">
        <f>'P NP KARAMBA KAB'!G15</f>
        <v>0</v>
      </c>
      <c r="J68" s="486">
        <f>'P NP KARAMBA KAB'!AE15</f>
        <v>1375104</v>
      </c>
      <c r="K68" s="486">
        <f>'P NP KARAMBA KAB'!E15</f>
        <v>0</v>
      </c>
      <c r="L68" s="486">
        <f>SUM('P NP KARAMBA KAB'!BQ15)</f>
        <v>0</v>
      </c>
      <c r="M68" s="352">
        <f t="shared" si="5"/>
        <v>1375104</v>
      </c>
      <c r="N68" s="350">
        <f>'P NP TW'!BI16</f>
        <v>407132</v>
      </c>
      <c r="O68" s="350">
        <f>'P NP TW'!BK16</f>
        <v>629204</v>
      </c>
      <c r="P68" s="350">
        <f>'P NP TW'!BM16</f>
        <v>205424</v>
      </c>
      <c r="Q68" s="350">
        <f>'P NP TW'!BO16</f>
        <v>133344</v>
      </c>
      <c r="R68" s="306"/>
      <c r="S68" s="306"/>
      <c r="T68" s="306"/>
      <c r="U68" s="306"/>
    </row>
    <row r="69" spans="1:21" ht="13.5" customHeight="1">
      <c r="A69" s="346" t="s">
        <v>119</v>
      </c>
      <c r="B69" s="350">
        <f t="shared" si="4"/>
        <v>0</v>
      </c>
      <c r="C69" s="486">
        <f>'P NP KARAMBA KAB'!AK16</f>
        <v>0</v>
      </c>
      <c r="D69" s="486">
        <f>'P NP KARAMBA KAB'!AU16</f>
        <v>0</v>
      </c>
      <c r="E69" s="486">
        <f>'P NP KARAMBA KAB'!AM16</f>
        <v>0</v>
      </c>
      <c r="F69" s="486">
        <f>'P NP KARAMBA KAB'!AQ16</f>
        <v>0</v>
      </c>
      <c r="G69" s="486">
        <f>'P NP KARAMBA KAB'!AO16</f>
        <v>0</v>
      </c>
      <c r="H69" s="486">
        <f>'P NP KARAMBA KAB'!Q16</f>
        <v>0</v>
      </c>
      <c r="I69" s="486">
        <f>'P NP KARAMBA KAB'!G16</f>
        <v>0</v>
      </c>
      <c r="J69" s="486">
        <f>'P NP KARAMBA KAB'!AE16</f>
        <v>0</v>
      </c>
      <c r="K69" s="486">
        <f>'P NP KARAMBA KAB'!E16</f>
        <v>0</v>
      </c>
      <c r="L69" s="486">
        <f>SUM('P NP KARAMBA KAB'!BQ16)</f>
        <v>0</v>
      </c>
      <c r="M69" s="352">
        <f t="shared" si="5"/>
        <v>0</v>
      </c>
      <c r="N69" s="350">
        <f>'P NP TW'!BI17</f>
        <v>0</v>
      </c>
      <c r="O69" s="350">
        <f>'P NP TW'!BK17</f>
        <v>0</v>
      </c>
      <c r="P69" s="350">
        <f>'P NP TW'!BM17</f>
        <v>0</v>
      </c>
      <c r="Q69" s="350">
        <f>'P NP TW'!BO17</f>
        <v>0</v>
      </c>
      <c r="R69" s="306"/>
      <c r="S69" s="306"/>
      <c r="T69" s="306"/>
      <c r="U69" s="306"/>
    </row>
    <row r="70" spans="1:21" ht="13.5" customHeight="1">
      <c r="A70" s="346" t="s">
        <v>130</v>
      </c>
      <c r="B70" s="350">
        <f t="shared" si="4"/>
        <v>0</v>
      </c>
      <c r="C70" s="486">
        <f>'P NP KARAMBA KAB'!AK17</f>
        <v>0</v>
      </c>
      <c r="D70" s="486">
        <f>'P NP KARAMBA KAB'!AU17</f>
        <v>0</v>
      </c>
      <c r="E70" s="486">
        <f>'P NP KARAMBA KAB'!AM17</f>
        <v>0</v>
      </c>
      <c r="F70" s="486">
        <f>'P NP KARAMBA KAB'!AQ17</f>
        <v>0</v>
      </c>
      <c r="G70" s="486">
        <f>'P NP KARAMBA KAB'!AO17</f>
        <v>0</v>
      </c>
      <c r="H70" s="486">
        <f>'P NP KARAMBA KAB'!Q17</f>
        <v>0</v>
      </c>
      <c r="I70" s="486">
        <f>'P NP KARAMBA KAB'!G17</f>
        <v>0</v>
      </c>
      <c r="J70" s="486">
        <f>'P NP KARAMBA KAB'!AE17</f>
        <v>0</v>
      </c>
      <c r="K70" s="486">
        <f>'P NP KARAMBA KAB'!E17</f>
        <v>0</v>
      </c>
      <c r="L70" s="486">
        <f>SUM('P NP KARAMBA KAB'!BQ17)</f>
        <v>0</v>
      </c>
      <c r="M70" s="352">
        <f t="shared" si="5"/>
        <v>0</v>
      </c>
      <c r="N70" s="350">
        <f>'P NP TW'!BI18</f>
        <v>0</v>
      </c>
      <c r="O70" s="350">
        <f>'P NP TW'!BK18</f>
        <v>0</v>
      </c>
      <c r="P70" s="350">
        <f>'P NP TW'!BM18</f>
        <v>0</v>
      </c>
      <c r="Q70" s="350">
        <f>'P NP TW'!BO18</f>
        <v>0</v>
      </c>
      <c r="R70" s="306"/>
      <c r="S70" s="306"/>
      <c r="T70" s="306"/>
      <c r="U70" s="306"/>
    </row>
    <row r="71" spans="1:21" ht="13.5" customHeight="1">
      <c r="A71" s="346" t="s">
        <v>131</v>
      </c>
      <c r="B71" s="350">
        <f t="shared" si="4"/>
        <v>0</v>
      </c>
      <c r="C71" s="486">
        <f>'P NP KARAMBA KAB'!AK18</f>
        <v>0</v>
      </c>
      <c r="D71" s="486">
        <f>'P NP KARAMBA KAB'!AU18</f>
        <v>0</v>
      </c>
      <c r="E71" s="486">
        <f>'P NP KARAMBA KAB'!AM18</f>
        <v>0</v>
      </c>
      <c r="F71" s="486">
        <f>'P NP KARAMBA KAB'!AQ18</f>
        <v>0</v>
      </c>
      <c r="G71" s="486">
        <f>'P NP KARAMBA KAB'!AO18</f>
        <v>0</v>
      </c>
      <c r="H71" s="486">
        <f>'P NP KARAMBA KAB'!Q18</f>
        <v>0</v>
      </c>
      <c r="I71" s="486">
        <f>'P NP KARAMBA KAB'!G18</f>
        <v>0</v>
      </c>
      <c r="J71" s="486">
        <f>'P NP KARAMBA KAB'!AE18</f>
        <v>0</v>
      </c>
      <c r="K71" s="486">
        <f>'P NP KARAMBA KAB'!E18</f>
        <v>0</v>
      </c>
      <c r="L71" s="486">
        <f>SUM('P NP KARAMBA KAB'!BQ18)</f>
        <v>0</v>
      </c>
      <c r="M71" s="352">
        <f t="shared" si="5"/>
        <v>0</v>
      </c>
      <c r="N71" s="350">
        <f>'P NP TW'!BI19</f>
        <v>0</v>
      </c>
      <c r="O71" s="350">
        <f>'P NP TW'!BK19</f>
        <v>0</v>
      </c>
      <c r="P71" s="350">
        <f>'P NP TW'!BM19</f>
        <v>0</v>
      </c>
      <c r="Q71" s="350">
        <f>'P NP TW'!BO19</f>
        <v>0</v>
      </c>
      <c r="R71" s="306"/>
      <c r="S71" s="306"/>
      <c r="T71" s="306"/>
      <c r="U71" s="306"/>
    </row>
    <row r="72" spans="1:21" ht="13.5" customHeight="1">
      <c r="A72" s="346" t="s">
        <v>118</v>
      </c>
      <c r="B72" s="350">
        <f t="shared" si="4"/>
        <v>0</v>
      </c>
      <c r="C72" s="486">
        <f>'P NP KARAMBA KAB'!AK19</f>
        <v>0</v>
      </c>
      <c r="D72" s="486">
        <f>'P NP KARAMBA KAB'!AU19</f>
        <v>0</v>
      </c>
      <c r="E72" s="486">
        <f>'P NP KARAMBA KAB'!AM19</f>
        <v>0</v>
      </c>
      <c r="F72" s="486">
        <f>'P NP KARAMBA KAB'!AQ19</f>
        <v>0</v>
      </c>
      <c r="G72" s="486">
        <f>'P NP KARAMBA KAB'!AO19</f>
        <v>0</v>
      </c>
      <c r="H72" s="486">
        <f>'P NP KARAMBA KAB'!Q19</f>
        <v>0</v>
      </c>
      <c r="I72" s="486">
        <f>'P NP KARAMBA KAB'!G19</f>
        <v>0</v>
      </c>
      <c r="J72" s="486">
        <f>'P NP KARAMBA KAB'!AE19</f>
        <v>0</v>
      </c>
      <c r="K72" s="486">
        <f>'P NP KARAMBA KAB'!E19</f>
        <v>0</v>
      </c>
      <c r="L72" s="486">
        <f>SUM('P NP KARAMBA KAB'!BQ19)</f>
        <v>0</v>
      </c>
      <c r="M72" s="352">
        <f t="shared" si="5"/>
        <v>0</v>
      </c>
      <c r="N72" s="350">
        <f>'P NP TW'!BI20</f>
        <v>0</v>
      </c>
      <c r="O72" s="350">
        <f>'P NP TW'!BK20</f>
        <v>0</v>
      </c>
      <c r="P72" s="350">
        <f>'P NP TW'!BM20</f>
        <v>0</v>
      </c>
      <c r="Q72" s="350">
        <f>'P NP TW'!BO20</f>
        <v>0</v>
      </c>
      <c r="R72" s="306"/>
      <c r="S72" s="306"/>
      <c r="T72" s="306"/>
      <c r="U72" s="306"/>
    </row>
    <row r="73" spans="1:21" ht="13.5" customHeight="1">
      <c r="A73" s="346" t="s">
        <v>127</v>
      </c>
      <c r="B73" s="350">
        <f t="shared" si="4"/>
        <v>45400</v>
      </c>
      <c r="C73" s="486">
        <f>'P NP KARAMBA KAB'!AK20</f>
        <v>0</v>
      </c>
      <c r="D73" s="486">
        <f>'P NP KARAMBA KAB'!AU20</f>
        <v>0</v>
      </c>
      <c r="E73" s="486">
        <f>'P NP KARAMBA KAB'!AM20</f>
        <v>45400</v>
      </c>
      <c r="F73" s="486">
        <f>'P NP KARAMBA KAB'!AQ20</f>
        <v>0</v>
      </c>
      <c r="G73" s="486">
        <f>'P NP KARAMBA KAB'!AO20</f>
        <v>0</v>
      </c>
      <c r="H73" s="486">
        <f>'P NP KARAMBA KAB'!Q20</f>
        <v>0</v>
      </c>
      <c r="I73" s="486">
        <f>'P NP KARAMBA KAB'!G20</f>
        <v>0</v>
      </c>
      <c r="J73" s="486">
        <f>'P NP KARAMBA KAB'!AE20</f>
        <v>0</v>
      </c>
      <c r="K73" s="486">
        <f>'P NP KARAMBA KAB'!E20</f>
        <v>0</v>
      </c>
      <c r="L73" s="486">
        <f>SUM('P NP KARAMBA KAB'!BQ20)</f>
        <v>0</v>
      </c>
      <c r="M73" s="352">
        <f t="shared" si="5"/>
        <v>45400</v>
      </c>
      <c r="N73" s="350">
        <f>'P NP TW'!BI21</f>
        <v>15000</v>
      </c>
      <c r="O73" s="350">
        <f>'P NP TW'!BK21</f>
        <v>8000</v>
      </c>
      <c r="P73" s="350">
        <f>'P NP TW'!BM21</f>
        <v>22400</v>
      </c>
      <c r="Q73" s="350">
        <f>'P NP TW'!BO21</f>
        <v>0</v>
      </c>
      <c r="R73" s="306"/>
      <c r="S73" s="306"/>
      <c r="T73" s="306"/>
      <c r="U73" s="306"/>
    </row>
    <row r="74" spans="1:21" ht="13.5" customHeight="1">
      <c r="A74" s="346" t="s">
        <v>129</v>
      </c>
      <c r="B74" s="350">
        <f t="shared" si="4"/>
        <v>0</v>
      </c>
      <c r="C74" s="486">
        <f>'P NP KARAMBA KAB'!AK21</f>
        <v>0</v>
      </c>
      <c r="D74" s="486">
        <f>'P NP KARAMBA KAB'!AU21</f>
        <v>0</v>
      </c>
      <c r="E74" s="486">
        <f>'P NP KARAMBA KAB'!AM21</f>
        <v>0</v>
      </c>
      <c r="F74" s="486">
        <f>'P NP KARAMBA KAB'!AQ21</f>
        <v>0</v>
      </c>
      <c r="G74" s="486">
        <f>'P NP KARAMBA KAB'!AO21</f>
        <v>0</v>
      </c>
      <c r="H74" s="486">
        <f>'P NP KARAMBA KAB'!Q21</f>
        <v>0</v>
      </c>
      <c r="I74" s="486">
        <f>'P NP KARAMBA KAB'!G21</f>
        <v>0</v>
      </c>
      <c r="J74" s="486">
        <f>'P NP KARAMBA KAB'!AE21</f>
        <v>0</v>
      </c>
      <c r="K74" s="486">
        <f>'P NP KARAMBA KAB'!E21</f>
        <v>0</v>
      </c>
      <c r="L74" s="486">
        <f>SUM('P NP KARAMBA KAB'!BQ21)</f>
        <v>0</v>
      </c>
      <c r="M74" s="352">
        <f t="shared" si="5"/>
        <v>0</v>
      </c>
      <c r="N74" s="350">
        <f>'P NP TW'!BI22</f>
        <v>0</v>
      </c>
      <c r="O74" s="350">
        <f>'P NP TW'!BK22</f>
        <v>0</v>
      </c>
      <c r="P74" s="350">
        <f>'P NP TW'!BM22</f>
        <v>0</v>
      </c>
      <c r="Q74" s="350">
        <f>'P NP TW'!BO22</f>
        <v>0</v>
      </c>
      <c r="R74" s="306"/>
      <c r="S74" s="306"/>
      <c r="T74" s="306"/>
      <c r="U74" s="306"/>
    </row>
    <row r="75" spans="1:21" ht="13.5" customHeight="1">
      <c r="A75" s="346" t="s">
        <v>132</v>
      </c>
      <c r="B75" s="350">
        <f t="shared" si="4"/>
        <v>0</v>
      </c>
      <c r="C75" s="486">
        <f>'P NP KARAMBA KAB'!AK22</f>
        <v>0</v>
      </c>
      <c r="D75" s="486">
        <f>'P NP KARAMBA KAB'!AU22</f>
        <v>0</v>
      </c>
      <c r="E75" s="486">
        <f>'P NP KARAMBA KAB'!AM22</f>
        <v>0</v>
      </c>
      <c r="F75" s="486">
        <f>'P NP KARAMBA KAB'!AQ22</f>
        <v>0</v>
      </c>
      <c r="G75" s="486">
        <f>'P NP KARAMBA KAB'!AO22</f>
        <v>0</v>
      </c>
      <c r="H75" s="486">
        <f>'P NP KARAMBA KAB'!Q22</f>
        <v>0</v>
      </c>
      <c r="I75" s="486">
        <f>'P NP KARAMBA KAB'!G22</f>
        <v>0</v>
      </c>
      <c r="J75" s="486">
        <f>'P NP KARAMBA KAB'!AE22</f>
        <v>0</v>
      </c>
      <c r="K75" s="486">
        <f>'P NP KARAMBA KAB'!E22</f>
        <v>0</v>
      </c>
      <c r="L75" s="486">
        <f>SUM('P NP KARAMBA KAB'!BQ22)</f>
        <v>0</v>
      </c>
      <c r="M75" s="352">
        <f t="shared" si="5"/>
        <v>0</v>
      </c>
      <c r="N75" s="350">
        <f>'P NP TW'!BI23</f>
        <v>0</v>
      </c>
      <c r="O75" s="350">
        <f>'P NP TW'!BK23</f>
        <v>0</v>
      </c>
      <c r="P75" s="350">
        <f>'P NP TW'!BM23</f>
        <v>0</v>
      </c>
      <c r="Q75" s="350">
        <f>'P NP TW'!BO23</f>
        <v>0</v>
      </c>
      <c r="R75" s="306"/>
      <c r="S75" s="306"/>
      <c r="T75" s="306"/>
      <c r="U75" s="306"/>
    </row>
    <row r="76" spans="1:21" ht="13.5" customHeight="1">
      <c r="A76" s="346" t="s">
        <v>112</v>
      </c>
      <c r="B76" s="350">
        <f t="shared" si="4"/>
        <v>0</v>
      </c>
      <c r="C76" s="486">
        <f>'P NP KARAMBA KAB'!AK23</f>
        <v>0</v>
      </c>
      <c r="D76" s="486">
        <f>'P NP KARAMBA KAB'!AU23</f>
        <v>0</v>
      </c>
      <c r="E76" s="486">
        <f>'P NP KARAMBA KAB'!AM23</f>
        <v>0</v>
      </c>
      <c r="F76" s="486">
        <f>'P NP KARAMBA KAB'!AQ23</f>
        <v>0</v>
      </c>
      <c r="G76" s="486">
        <f>'P NP KARAMBA KAB'!AO23</f>
        <v>0</v>
      </c>
      <c r="H76" s="486">
        <f>'P NP KARAMBA KAB'!Q23</f>
        <v>0</v>
      </c>
      <c r="I76" s="486">
        <f>'P NP KARAMBA KAB'!G23</f>
        <v>0</v>
      </c>
      <c r="J76" s="486">
        <f>'P NP KARAMBA KAB'!AE23</f>
        <v>0</v>
      </c>
      <c r="K76" s="486">
        <f>'P NP KARAMBA KAB'!E23</f>
        <v>0</v>
      </c>
      <c r="L76" s="486">
        <f>SUM('P NP KARAMBA KAB'!BQ23)</f>
        <v>0</v>
      </c>
      <c r="M76" s="352">
        <f t="shared" si="5"/>
        <v>0</v>
      </c>
      <c r="N76" s="350">
        <f>'P NP TW'!BI24</f>
        <v>0</v>
      </c>
      <c r="O76" s="350">
        <f>'P NP TW'!BK24</f>
        <v>0</v>
      </c>
      <c r="P76" s="350">
        <f>'P NP TW'!BM24</f>
        <v>0</v>
      </c>
      <c r="Q76" s="350">
        <f>'P NP TW'!BO24</f>
        <v>0</v>
      </c>
      <c r="R76" s="306"/>
      <c r="S76" s="306"/>
      <c r="T76" s="306"/>
      <c r="U76" s="306"/>
    </row>
    <row r="77" spans="1:21" ht="13.5" customHeight="1">
      <c r="A77" s="346" t="s">
        <v>139</v>
      </c>
      <c r="B77" s="350">
        <f t="shared" si="4"/>
        <v>0</v>
      </c>
      <c r="C77" s="486">
        <f>'P NP KARAMBA KAB'!AK24</f>
        <v>0</v>
      </c>
      <c r="D77" s="486">
        <f>'P NP KARAMBA KAB'!AU24</f>
        <v>0</v>
      </c>
      <c r="E77" s="486">
        <f>'P NP KARAMBA KAB'!AM24</f>
        <v>0</v>
      </c>
      <c r="F77" s="486">
        <f>'P NP KARAMBA KAB'!AQ24</f>
        <v>0</v>
      </c>
      <c r="G77" s="486">
        <f>'P NP KARAMBA KAB'!AO24</f>
        <v>0</v>
      </c>
      <c r="H77" s="486">
        <f>'P NP KARAMBA KAB'!Q24</f>
        <v>0</v>
      </c>
      <c r="I77" s="486">
        <f>'P NP KARAMBA KAB'!G24</f>
        <v>0</v>
      </c>
      <c r="J77" s="486">
        <f>'P NP KARAMBA KAB'!AE24</f>
        <v>0</v>
      </c>
      <c r="K77" s="486">
        <f>'P NP KARAMBA KAB'!E24</f>
        <v>0</v>
      </c>
      <c r="L77" s="486">
        <f>SUM('P NP KARAMBA KAB'!BQ24)</f>
        <v>0</v>
      </c>
      <c r="M77" s="352">
        <f t="shared" si="5"/>
        <v>0</v>
      </c>
      <c r="N77" s="350">
        <f>'P NP TW'!BI25</f>
        <v>0</v>
      </c>
      <c r="O77" s="350">
        <f>'P NP TW'!BK25</f>
        <v>0</v>
      </c>
      <c r="P77" s="350">
        <f>'P NP TW'!BM25</f>
        <v>0</v>
      </c>
      <c r="Q77" s="350">
        <f>'P NP TW'!BO25</f>
        <v>0</v>
      </c>
      <c r="R77" s="306"/>
      <c r="S77" s="306"/>
      <c r="T77" s="306"/>
      <c r="U77" s="306"/>
    </row>
    <row r="78" spans="1:21" ht="13.5" customHeight="1">
      <c r="A78" s="346" t="s">
        <v>125</v>
      </c>
      <c r="B78" s="350">
        <f t="shared" si="4"/>
        <v>0</v>
      </c>
      <c r="C78" s="486">
        <f>'P NP KARAMBA KAB'!AK25</f>
        <v>0</v>
      </c>
      <c r="D78" s="486">
        <f>'P NP KARAMBA KAB'!AU25</f>
        <v>0</v>
      </c>
      <c r="E78" s="486">
        <f>'P NP KARAMBA KAB'!AM25</f>
        <v>0</v>
      </c>
      <c r="F78" s="486">
        <f>'P NP KARAMBA KAB'!AQ25</f>
        <v>0</v>
      </c>
      <c r="G78" s="486">
        <f>'P NP KARAMBA KAB'!AO25</f>
        <v>0</v>
      </c>
      <c r="H78" s="486">
        <f>'P NP KARAMBA KAB'!Q25</f>
        <v>0</v>
      </c>
      <c r="I78" s="486">
        <f>'P NP KARAMBA KAB'!G25</f>
        <v>0</v>
      </c>
      <c r="J78" s="486">
        <f>'P NP KARAMBA KAB'!AE25</f>
        <v>0</v>
      </c>
      <c r="K78" s="486">
        <f>'P NP KARAMBA KAB'!E25</f>
        <v>0</v>
      </c>
      <c r="L78" s="486">
        <f>SUM('P NP KARAMBA KAB'!BQ25)</f>
        <v>0</v>
      </c>
      <c r="M78" s="352">
        <f t="shared" si="5"/>
        <v>0</v>
      </c>
      <c r="N78" s="350">
        <f>'P NP TW'!BI26</f>
        <v>0</v>
      </c>
      <c r="O78" s="350">
        <f>'P NP TW'!BK26</f>
        <v>0</v>
      </c>
      <c r="P78" s="350">
        <f>'P NP TW'!BM26</f>
        <v>0</v>
      </c>
      <c r="Q78" s="350">
        <f>'P NP TW'!BO26</f>
        <v>0</v>
      </c>
      <c r="R78" s="306"/>
      <c r="S78" s="306"/>
      <c r="T78" s="306"/>
      <c r="U78" s="306"/>
    </row>
    <row r="79" spans="1:21" ht="13.5" customHeight="1">
      <c r="A79" s="346" t="s">
        <v>113</v>
      </c>
      <c r="B79" s="350">
        <f t="shared" si="4"/>
        <v>0</v>
      </c>
      <c r="C79" s="486">
        <f>'P NP KARAMBA KAB'!AK26</f>
        <v>0</v>
      </c>
      <c r="D79" s="486">
        <f>'P NP KARAMBA KAB'!AU26</f>
        <v>0</v>
      </c>
      <c r="E79" s="486">
        <f>'P NP KARAMBA KAB'!AM26</f>
        <v>0</v>
      </c>
      <c r="F79" s="486">
        <f>'P NP KARAMBA KAB'!AQ26</f>
        <v>0</v>
      </c>
      <c r="G79" s="486">
        <f>'P NP KARAMBA KAB'!AO26</f>
        <v>0</v>
      </c>
      <c r="H79" s="486">
        <f>'P NP KARAMBA KAB'!Q26</f>
        <v>0</v>
      </c>
      <c r="I79" s="486">
        <f>'P NP KARAMBA KAB'!G26</f>
        <v>0</v>
      </c>
      <c r="J79" s="486">
        <f>'P NP KARAMBA KAB'!AE26</f>
        <v>0</v>
      </c>
      <c r="K79" s="486">
        <f>'P NP KARAMBA KAB'!E26</f>
        <v>0</v>
      </c>
      <c r="L79" s="486">
        <f>SUM('P NP KARAMBA KAB'!BQ26)</f>
        <v>0</v>
      </c>
      <c r="M79" s="352">
        <f t="shared" si="5"/>
        <v>0</v>
      </c>
      <c r="N79" s="350">
        <f>'P NP TW'!BI27</f>
        <v>0</v>
      </c>
      <c r="O79" s="350">
        <f>'P NP TW'!BK27</f>
        <v>0</v>
      </c>
      <c r="P79" s="350">
        <f>'P NP TW'!BM27</f>
        <v>0</v>
      </c>
      <c r="Q79" s="350">
        <f>'P NP TW'!BO27</f>
        <v>0</v>
      </c>
      <c r="R79" s="306"/>
      <c r="S79" s="306"/>
      <c r="T79" s="306"/>
      <c r="U79" s="306"/>
    </row>
    <row r="80" spans="1:21" ht="13.5" customHeight="1">
      <c r="A80" s="346" t="s">
        <v>124</v>
      </c>
      <c r="B80" s="350">
        <f t="shared" si="4"/>
        <v>0</v>
      </c>
      <c r="C80" s="486">
        <f>'P NP KARAMBA KAB'!AK27</f>
        <v>0</v>
      </c>
      <c r="D80" s="486">
        <f>'P NP KARAMBA KAB'!AU27</f>
        <v>0</v>
      </c>
      <c r="E80" s="486">
        <f>'P NP KARAMBA KAB'!AM27</f>
        <v>0</v>
      </c>
      <c r="F80" s="486">
        <f>'P NP KARAMBA KAB'!AQ27</f>
        <v>0</v>
      </c>
      <c r="G80" s="486">
        <f>'P NP KARAMBA KAB'!AO27</f>
        <v>0</v>
      </c>
      <c r="H80" s="486">
        <f>'P NP KARAMBA KAB'!Q27</f>
        <v>0</v>
      </c>
      <c r="I80" s="486">
        <f>'P NP KARAMBA KAB'!G27</f>
        <v>0</v>
      </c>
      <c r="J80" s="486">
        <f>'P NP KARAMBA KAB'!AE27</f>
        <v>0</v>
      </c>
      <c r="K80" s="486">
        <f>'P NP KARAMBA KAB'!E27</f>
        <v>0</v>
      </c>
      <c r="L80" s="486">
        <f>SUM('P NP KARAMBA KAB'!BQ27)</f>
        <v>0</v>
      </c>
      <c r="M80" s="352">
        <f t="shared" si="5"/>
        <v>0</v>
      </c>
      <c r="N80" s="350">
        <f>'P NP TW'!BI28</f>
        <v>0</v>
      </c>
      <c r="O80" s="350">
        <f>'P NP TW'!BK28</f>
        <v>0</v>
      </c>
      <c r="P80" s="350">
        <f>'P NP TW'!BM28</f>
        <v>0</v>
      </c>
      <c r="Q80" s="350">
        <f>'P NP TW'!BO28</f>
        <v>0</v>
      </c>
      <c r="R80" s="306"/>
      <c r="S80" s="306"/>
      <c r="T80" s="306"/>
      <c r="U80" s="306"/>
    </row>
    <row r="81" spans="1:21" ht="13.5" customHeight="1">
      <c r="A81" s="346" t="s">
        <v>138</v>
      </c>
      <c r="B81" s="350">
        <f t="shared" si="4"/>
        <v>0</v>
      </c>
      <c r="C81" s="486">
        <f>'P NP KARAMBA KAB'!AK28</f>
        <v>0</v>
      </c>
      <c r="D81" s="486">
        <f>'P NP KARAMBA KAB'!AU28</f>
        <v>0</v>
      </c>
      <c r="E81" s="486">
        <f>'P NP KARAMBA KAB'!AM28</f>
        <v>0</v>
      </c>
      <c r="F81" s="486">
        <f>'P NP KARAMBA KAB'!AQ28</f>
        <v>0</v>
      </c>
      <c r="G81" s="486">
        <f>'P NP KARAMBA KAB'!AO28</f>
        <v>0</v>
      </c>
      <c r="H81" s="486">
        <f>'P NP KARAMBA KAB'!Q28</f>
        <v>0</v>
      </c>
      <c r="I81" s="486">
        <f>'P NP KARAMBA KAB'!G28</f>
        <v>0</v>
      </c>
      <c r="J81" s="486">
        <f>'P NP KARAMBA KAB'!AE28</f>
        <v>0</v>
      </c>
      <c r="K81" s="486">
        <f>'P NP KARAMBA KAB'!E28</f>
        <v>0</v>
      </c>
      <c r="L81" s="486">
        <f>SUM('P NP KARAMBA KAB'!BQ28)</f>
        <v>0</v>
      </c>
      <c r="M81" s="352">
        <f t="shared" si="5"/>
        <v>0</v>
      </c>
      <c r="N81" s="350">
        <f>'P NP TW'!BI29</f>
        <v>0</v>
      </c>
      <c r="O81" s="350">
        <f>'P NP TW'!BK29</f>
        <v>0</v>
      </c>
      <c r="P81" s="350">
        <f>'P NP TW'!BM29</f>
        <v>0</v>
      </c>
      <c r="Q81" s="350">
        <f>'P NP TW'!BO29</f>
        <v>0</v>
      </c>
      <c r="R81" s="306"/>
      <c r="S81" s="306"/>
      <c r="T81" s="306"/>
      <c r="U81" s="306"/>
    </row>
    <row r="82" spans="1:21" ht="13.5" customHeight="1">
      <c r="A82" s="346" t="s">
        <v>126</v>
      </c>
      <c r="B82" s="350">
        <f t="shared" si="4"/>
        <v>5690196</v>
      </c>
      <c r="C82" s="486">
        <f>'P NP KARAMBA KAB'!AK29</f>
        <v>0</v>
      </c>
      <c r="D82" s="486">
        <f>'P NP KARAMBA KAB'!AU29</f>
        <v>31232</v>
      </c>
      <c r="E82" s="486">
        <f>'P NP KARAMBA KAB'!AM29</f>
        <v>0</v>
      </c>
      <c r="F82" s="486">
        <f>'P NP KARAMBA KAB'!AQ29</f>
        <v>4374000</v>
      </c>
      <c r="G82" s="486">
        <f>'P NP KARAMBA KAB'!AO29</f>
        <v>888300</v>
      </c>
      <c r="H82" s="486">
        <f>'P NP KARAMBA KAB'!Q29</f>
        <v>235200</v>
      </c>
      <c r="I82" s="486">
        <f>'P NP KARAMBA KAB'!G29</f>
        <v>24984</v>
      </c>
      <c r="J82" s="486">
        <f>'P NP KARAMBA KAB'!AE29</f>
        <v>136480</v>
      </c>
      <c r="K82" s="486">
        <f>'P NP KARAMBA KAB'!E29</f>
        <v>0</v>
      </c>
      <c r="L82" s="486">
        <f>SUM('P NP KARAMBA KAB'!BQ29)</f>
        <v>0</v>
      </c>
      <c r="M82" s="352">
        <f t="shared" si="5"/>
        <v>5690196</v>
      </c>
      <c r="N82" s="350">
        <f>'P NP TW'!BI30</f>
        <v>1678570</v>
      </c>
      <c r="O82" s="350">
        <f>'P NP TW'!BK30</f>
        <v>1207796</v>
      </c>
      <c r="P82" s="350">
        <f>'P NP TW'!BM30</f>
        <v>1316992</v>
      </c>
      <c r="Q82" s="350">
        <f>'P NP TW'!BO30</f>
        <v>1486838</v>
      </c>
      <c r="R82" s="306"/>
      <c r="S82" s="306"/>
      <c r="T82" s="306"/>
      <c r="U82" s="306"/>
    </row>
    <row r="83" spans="1:21" ht="13.5" customHeight="1">
      <c r="A83" s="346" t="s">
        <v>123</v>
      </c>
      <c r="B83" s="350">
        <f t="shared" si="4"/>
        <v>0</v>
      </c>
      <c r="C83" s="486">
        <f>'P NP KARAMBA KAB'!AK30</f>
        <v>0</v>
      </c>
      <c r="D83" s="486">
        <f>'P NP KARAMBA KAB'!AU30</f>
        <v>0</v>
      </c>
      <c r="E83" s="486">
        <f>'P NP KARAMBA KAB'!AM30</f>
        <v>0</v>
      </c>
      <c r="F83" s="486">
        <f>'P NP KARAMBA KAB'!AQ30</f>
        <v>0</v>
      </c>
      <c r="G83" s="486">
        <f>'P NP KARAMBA KAB'!AO30</f>
        <v>0</v>
      </c>
      <c r="H83" s="486">
        <f>'P NP KARAMBA KAB'!Q30</f>
        <v>0</v>
      </c>
      <c r="I83" s="486">
        <f>'P NP KARAMBA KAB'!G30</f>
        <v>0</v>
      </c>
      <c r="J83" s="486">
        <f>'P NP KARAMBA KAB'!AE30</f>
        <v>0</v>
      </c>
      <c r="K83" s="486">
        <f>'P NP KARAMBA KAB'!E30</f>
        <v>0</v>
      </c>
      <c r="L83" s="486">
        <f>SUM('P NP KARAMBA KAB'!BQ30)</f>
        <v>0</v>
      </c>
      <c r="M83" s="352">
        <f t="shared" si="5"/>
        <v>0</v>
      </c>
      <c r="N83" s="350">
        <f>'P NP TW'!BI31</f>
        <v>0</v>
      </c>
      <c r="O83" s="350">
        <f>'P NP TW'!BK31</f>
        <v>0</v>
      </c>
      <c r="P83" s="350">
        <f>'P NP TW'!BM31</f>
        <v>0</v>
      </c>
      <c r="Q83" s="350">
        <f>'P NP TW'!BO31</f>
        <v>0</v>
      </c>
      <c r="R83" s="306"/>
      <c r="S83" s="306"/>
      <c r="T83" s="306"/>
      <c r="U83" s="306"/>
    </row>
    <row r="84" spans="1:21" ht="13.5" customHeight="1">
      <c r="A84" s="346" t="s">
        <v>140</v>
      </c>
      <c r="B84" s="350">
        <f t="shared" si="4"/>
        <v>0</v>
      </c>
      <c r="C84" s="486">
        <f>'P NP KARAMBA KAB'!AK31</f>
        <v>0</v>
      </c>
      <c r="D84" s="486">
        <f>'P NP KARAMBA KAB'!AU31</f>
        <v>0</v>
      </c>
      <c r="E84" s="486">
        <f>'P NP KARAMBA KAB'!AM31</f>
        <v>0</v>
      </c>
      <c r="F84" s="486">
        <f>'P NP KARAMBA KAB'!AQ31</f>
        <v>0</v>
      </c>
      <c r="G84" s="486">
        <f>'P NP KARAMBA KAB'!AO31</f>
        <v>0</v>
      </c>
      <c r="H84" s="486">
        <f>'P NP KARAMBA KAB'!Q31</f>
        <v>0</v>
      </c>
      <c r="I84" s="486">
        <f>'P NP KARAMBA KAB'!G31</f>
        <v>0</v>
      </c>
      <c r="J84" s="486">
        <f>'P NP KARAMBA KAB'!AE31</f>
        <v>0</v>
      </c>
      <c r="K84" s="486">
        <f>'P NP KARAMBA KAB'!E31</f>
        <v>0</v>
      </c>
      <c r="L84" s="486">
        <f>SUM('P NP KARAMBA KAB'!BQ31)</f>
        <v>0</v>
      </c>
      <c r="M84" s="352">
        <f t="shared" si="5"/>
        <v>0</v>
      </c>
      <c r="N84" s="350">
        <f>'P NP TW'!BI32</f>
        <v>0</v>
      </c>
      <c r="O84" s="350">
        <f>'P NP TW'!BK32</f>
        <v>0</v>
      </c>
      <c r="P84" s="350">
        <f>'P NP TW'!BM32</f>
        <v>0</v>
      </c>
      <c r="Q84" s="350">
        <f>'P NP TW'!BO32</f>
        <v>0</v>
      </c>
      <c r="R84" s="306"/>
      <c r="S84" s="306"/>
      <c r="T84" s="306"/>
      <c r="U84" s="306"/>
    </row>
    <row r="85" spans="1:21" ht="13.5" customHeight="1">
      <c r="A85" s="346" t="s">
        <v>114</v>
      </c>
      <c r="B85" s="350">
        <f t="shared" si="4"/>
        <v>0</v>
      </c>
      <c r="C85" s="486">
        <f>'P NP KARAMBA KAB'!AK32</f>
        <v>0</v>
      </c>
      <c r="D85" s="486">
        <f>'P NP KARAMBA KAB'!AU32</f>
        <v>0</v>
      </c>
      <c r="E85" s="486">
        <f>'P NP KARAMBA KAB'!AM32</f>
        <v>0</v>
      </c>
      <c r="F85" s="486">
        <f>'P NP KARAMBA KAB'!AQ32</f>
        <v>0</v>
      </c>
      <c r="G85" s="486">
        <f>'P NP KARAMBA KAB'!AO32</f>
        <v>0</v>
      </c>
      <c r="H85" s="486">
        <f>'P NP KARAMBA KAB'!Q32</f>
        <v>0</v>
      </c>
      <c r="I85" s="486">
        <f>'P NP KARAMBA KAB'!G32</f>
        <v>0</v>
      </c>
      <c r="J85" s="486">
        <f>'P NP KARAMBA KAB'!AE32</f>
        <v>0</v>
      </c>
      <c r="K85" s="486">
        <f>'P NP KARAMBA KAB'!E32</f>
        <v>0</v>
      </c>
      <c r="L85" s="486">
        <f>SUM('P NP KARAMBA KAB'!BQ32)</f>
        <v>0</v>
      </c>
      <c r="M85" s="352">
        <f t="shared" si="5"/>
        <v>0</v>
      </c>
      <c r="N85" s="350">
        <f>'P NP TW'!BI33</f>
        <v>0</v>
      </c>
      <c r="O85" s="350">
        <f>'P NP TW'!BK33</f>
        <v>0</v>
      </c>
      <c r="P85" s="350">
        <f>'P NP TW'!BM33</f>
        <v>0</v>
      </c>
      <c r="Q85" s="350">
        <f>'P NP TW'!BO33</f>
        <v>0</v>
      </c>
      <c r="R85" s="306"/>
      <c r="S85" s="306"/>
      <c r="T85" s="306"/>
      <c r="U85" s="306"/>
    </row>
    <row r="86" spans="1:21" ht="13.5" customHeight="1">
      <c r="A86" s="346" t="s">
        <v>134</v>
      </c>
      <c r="B86" s="350">
        <f t="shared" si="4"/>
        <v>119961954</v>
      </c>
      <c r="C86" s="486">
        <f>'P NP KARAMBA KAB'!AK33</f>
        <v>25498440</v>
      </c>
      <c r="D86" s="486">
        <f>'P NP KARAMBA KAB'!AU33</f>
        <v>0</v>
      </c>
      <c r="E86" s="486">
        <f>'P NP KARAMBA KAB'!AM33</f>
        <v>0</v>
      </c>
      <c r="F86" s="486">
        <f>'P NP KARAMBA KAB'!AQ33</f>
        <v>5733194</v>
      </c>
      <c r="G86" s="486">
        <f>'P NP KARAMBA KAB'!AO33</f>
        <v>29872720</v>
      </c>
      <c r="H86" s="486">
        <f>'P NP KARAMBA KAB'!Q33</f>
        <v>4104640</v>
      </c>
      <c r="I86" s="486">
        <f>'P NP KARAMBA KAB'!G33</f>
        <v>5107540</v>
      </c>
      <c r="J86" s="486">
        <f>'P NP KARAMBA KAB'!AE33</f>
        <v>49645420</v>
      </c>
      <c r="K86" s="486">
        <f>'P NP KARAMBA KAB'!E33</f>
        <v>0</v>
      </c>
      <c r="L86" s="486">
        <f>SUM('P NP KARAMBA KAB'!BQ33)</f>
        <v>0</v>
      </c>
      <c r="M86" s="352">
        <f t="shared" si="5"/>
        <v>119961954</v>
      </c>
      <c r="N86" s="350">
        <f>'P NP TW'!BI34</f>
        <v>34130134</v>
      </c>
      <c r="O86" s="350">
        <f>'P NP TW'!BK34</f>
        <v>25639530</v>
      </c>
      <c r="P86" s="350">
        <f>'P NP TW'!BM34</f>
        <v>19092130</v>
      </c>
      <c r="Q86" s="350">
        <f>'P NP TW'!BO34</f>
        <v>41100160</v>
      </c>
      <c r="R86" s="306"/>
      <c r="S86" s="306"/>
      <c r="T86" s="306"/>
      <c r="U86" s="306"/>
    </row>
    <row r="87" spans="1:21" ht="13.5" customHeight="1">
      <c r="A87" s="346" t="s">
        <v>115</v>
      </c>
      <c r="B87" s="350">
        <f t="shared" si="4"/>
        <v>0</v>
      </c>
      <c r="C87" s="486">
        <f>'P NP KARAMBA KAB'!AK34</f>
        <v>0</v>
      </c>
      <c r="D87" s="486">
        <f>'P NP KARAMBA KAB'!AU34</f>
        <v>0</v>
      </c>
      <c r="E87" s="486">
        <f>'P NP KARAMBA KAB'!AM34</f>
        <v>0</v>
      </c>
      <c r="F87" s="486">
        <f>'P NP KARAMBA KAB'!AQ34</f>
        <v>0</v>
      </c>
      <c r="G87" s="486">
        <f>'P NP KARAMBA KAB'!AO34</f>
        <v>0</v>
      </c>
      <c r="H87" s="486">
        <f>'P NP KARAMBA KAB'!Q34</f>
        <v>0</v>
      </c>
      <c r="I87" s="486">
        <f>'P NP KARAMBA KAB'!G34</f>
        <v>0</v>
      </c>
      <c r="J87" s="486">
        <f>'P NP KARAMBA KAB'!AE34</f>
        <v>0</v>
      </c>
      <c r="K87" s="486">
        <f>'P NP KARAMBA KAB'!E34</f>
        <v>0</v>
      </c>
      <c r="L87" s="486">
        <f>SUM('P NP KARAMBA KAB'!BQ34)</f>
        <v>0</v>
      </c>
      <c r="M87" s="352">
        <f t="shared" si="5"/>
        <v>0</v>
      </c>
      <c r="N87" s="350">
        <f>'P NP TW'!BI35</f>
        <v>0</v>
      </c>
      <c r="O87" s="350">
        <f>'P NP TW'!BK35</f>
        <v>0</v>
      </c>
      <c r="P87" s="350">
        <f>'P NP TW'!BM35</f>
        <v>0</v>
      </c>
      <c r="Q87" s="350">
        <f>'P NP TW'!BO35</f>
        <v>0</v>
      </c>
      <c r="R87" s="306"/>
      <c r="S87" s="306"/>
      <c r="T87" s="306"/>
      <c r="U87" s="306"/>
    </row>
    <row r="88" spans="1:21" ht="13.5" customHeight="1">
      <c r="A88" s="346" t="s">
        <v>149</v>
      </c>
      <c r="B88" s="350">
        <f t="shared" si="4"/>
        <v>0</v>
      </c>
      <c r="C88" s="486">
        <f>'P NP KARAMBA KAB'!AK35</f>
        <v>0</v>
      </c>
      <c r="D88" s="486">
        <f>'P NP KARAMBA KAB'!AU35</f>
        <v>0</v>
      </c>
      <c r="E88" s="486">
        <f>'P NP KARAMBA KAB'!AM35</f>
        <v>0</v>
      </c>
      <c r="F88" s="486">
        <f>'P NP KARAMBA KAB'!AQ35</f>
        <v>0</v>
      </c>
      <c r="G88" s="486">
        <f>'P NP KARAMBA KAB'!AO35</f>
        <v>0</v>
      </c>
      <c r="H88" s="486">
        <f>'P NP KARAMBA KAB'!Q35</f>
        <v>0</v>
      </c>
      <c r="I88" s="486">
        <f>'P NP KARAMBA KAB'!G35</f>
        <v>0</v>
      </c>
      <c r="J88" s="486">
        <f>'P NP KARAMBA KAB'!AE35</f>
        <v>0</v>
      </c>
      <c r="K88" s="486">
        <f>'P NP KARAMBA KAB'!E35</f>
        <v>0</v>
      </c>
      <c r="L88" s="486">
        <f>SUM('P NP KARAMBA KAB'!BQ35)</f>
        <v>0</v>
      </c>
      <c r="M88" s="352">
        <f t="shared" si="5"/>
        <v>0</v>
      </c>
      <c r="N88" s="350">
        <f>'P NP TW'!BI36</f>
        <v>0</v>
      </c>
      <c r="O88" s="350">
        <f>'P NP TW'!BK36</f>
        <v>0</v>
      </c>
      <c r="P88" s="350">
        <f>'P NP TW'!BM36</f>
        <v>0</v>
      </c>
      <c r="Q88" s="350">
        <f>'P NP TW'!BO36</f>
        <v>0</v>
      </c>
      <c r="R88" s="306"/>
      <c r="S88" s="306"/>
      <c r="T88" s="306"/>
      <c r="U88" s="306"/>
    </row>
    <row r="89" spans="1:21" ht="13.5" customHeight="1">
      <c r="A89" s="346" t="s">
        <v>142</v>
      </c>
      <c r="B89" s="350">
        <f t="shared" si="4"/>
        <v>0</v>
      </c>
      <c r="C89" s="486">
        <f>'P NP KARAMBA KAB'!AK36</f>
        <v>0</v>
      </c>
      <c r="D89" s="486">
        <f>'P NP KARAMBA KAB'!AU36</f>
        <v>0</v>
      </c>
      <c r="E89" s="486">
        <f>'P NP KARAMBA KAB'!AM36</f>
        <v>0</v>
      </c>
      <c r="F89" s="486">
        <f>'P NP KARAMBA KAB'!AQ36</f>
        <v>0</v>
      </c>
      <c r="G89" s="486">
        <f>'P NP KARAMBA KAB'!AO36</f>
        <v>0</v>
      </c>
      <c r="H89" s="486">
        <f>'P NP KARAMBA KAB'!Q36</f>
        <v>0</v>
      </c>
      <c r="I89" s="486">
        <f>'P NP KARAMBA KAB'!G36</f>
        <v>0</v>
      </c>
      <c r="J89" s="486">
        <f>'P NP KARAMBA KAB'!AE36</f>
        <v>0</v>
      </c>
      <c r="K89" s="486">
        <f>'P NP KARAMBA KAB'!E36</f>
        <v>0</v>
      </c>
      <c r="L89" s="486">
        <f>SUM('P NP KARAMBA KAB'!BQ36)</f>
        <v>0</v>
      </c>
      <c r="M89" s="352">
        <f t="shared" si="5"/>
        <v>0</v>
      </c>
      <c r="N89" s="350">
        <f>'P NP TW'!BI37</f>
        <v>0</v>
      </c>
      <c r="O89" s="350">
        <f>'P NP TW'!BK37</f>
        <v>0</v>
      </c>
      <c r="P89" s="350">
        <f>'P NP TW'!BM37</f>
        <v>0</v>
      </c>
      <c r="Q89" s="350">
        <f>'P NP TW'!BO37</f>
        <v>0</v>
      </c>
      <c r="R89" s="306"/>
      <c r="S89" s="306"/>
      <c r="T89" s="306"/>
      <c r="U89" s="306"/>
    </row>
    <row r="90" spans="1:21" ht="13.5" customHeight="1">
      <c r="A90" s="346" t="s">
        <v>141</v>
      </c>
      <c r="B90" s="350">
        <f t="shared" si="4"/>
        <v>0</v>
      </c>
      <c r="C90" s="486">
        <f>'P NP KARAMBA KAB'!AK37</f>
        <v>0</v>
      </c>
      <c r="D90" s="486">
        <f>'P NP KARAMBA KAB'!AU37</f>
        <v>0</v>
      </c>
      <c r="E90" s="486">
        <f>'P NP KARAMBA KAB'!AM37</f>
        <v>0</v>
      </c>
      <c r="F90" s="486">
        <f>'P NP KARAMBA KAB'!AQ37</f>
        <v>0</v>
      </c>
      <c r="G90" s="486">
        <f>'P NP KARAMBA KAB'!AO37</f>
        <v>0</v>
      </c>
      <c r="H90" s="486">
        <f>'P NP KARAMBA KAB'!Q37</f>
        <v>0</v>
      </c>
      <c r="I90" s="486">
        <f>'P NP KARAMBA KAB'!G37</f>
        <v>0</v>
      </c>
      <c r="J90" s="486">
        <f>'P NP KARAMBA KAB'!AE37</f>
        <v>0</v>
      </c>
      <c r="K90" s="486">
        <f>'P NP KARAMBA KAB'!E37</f>
        <v>0</v>
      </c>
      <c r="L90" s="486">
        <f>SUM('P NP KARAMBA KAB'!BQ37)</f>
        <v>0</v>
      </c>
      <c r="M90" s="352">
        <f t="shared" si="5"/>
        <v>0</v>
      </c>
      <c r="N90" s="350">
        <f>'P NP TW'!BI38</f>
        <v>0</v>
      </c>
      <c r="O90" s="350">
        <f>'P NP TW'!BK38</f>
        <v>0</v>
      </c>
      <c r="P90" s="350">
        <f>'P NP TW'!BM38</f>
        <v>0</v>
      </c>
      <c r="Q90" s="350">
        <f>'P NP TW'!BO38</f>
        <v>0</v>
      </c>
      <c r="R90" s="306"/>
      <c r="S90" s="306"/>
      <c r="T90" s="306"/>
      <c r="U90" s="306"/>
    </row>
    <row r="91" spans="1:21" ht="13.5" customHeight="1">
      <c r="A91" s="346" t="s">
        <v>147</v>
      </c>
      <c r="B91" s="350">
        <f t="shared" si="4"/>
        <v>0</v>
      </c>
      <c r="C91" s="486">
        <f>'P NP KARAMBA KAB'!AK38</f>
        <v>0</v>
      </c>
      <c r="D91" s="486">
        <f>'P NP KARAMBA KAB'!AU38</f>
        <v>0</v>
      </c>
      <c r="E91" s="486">
        <f>'P NP KARAMBA KAB'!AM38</f>
        <v>0</v>
      </c>
      <c r="F91" s="486">
        <f>'P NP KARAMBA KAB'!AQ38</f>
        <v>0</v>
      </c>
      <c r="G91" s="486">
        <f>'P NP KARAMBA KAB'!AO38</f>
        <v>0</v>
      </c>
      <c r="H91" s="486">
        <f>'P NP KARAMBA KAB'!Q38</f>
        <v>0</v>
      </c>
      <c r="I91" s="486">
        <f>'P NP KARAMBA KAB'!G38</f>
        <v>0</v>
      </c>
      <c r="J91" s="486">
        <f>'P NP KARAMBA KAB'!AE38</f>
        <v>0</v>
      </c>
      <c r="K91" s="486">
        <f>'P NP KARAMBA KAB'!E38</f>
        <v>0</v>
      </c>
      <c r="L91" s="486">
        <f>SUM('P NP KARAMBA KAB'!BQ38)</f>
        <v>0</v>
      </c>
      <c r="M91" s="352">
        <f t="shared" si="5"/>
        <v>0</v>
      </c>
      <c r="N91" s="350">
        <f>'P NP TW'!BI39</f>
        <v>0</v>
      </c>
      <c r="O91" s="350">
        <f>'P NP TW'!BK39</f>
        <v>0</v>
      </c>
      <c r="P91" s="350">
        <f>'P NP TW'!BM39</f>
        <v>0</v>
      </c>
      <c r="Q91" s="350">
        <f>'P NP TW'!BO39</f>
        <v>0</v>
      </c>
      <c r="R91" s="306"/>
      <c r="S91" s="306"/>
      <c r="T91" s="306"/>
      <c r="U91" s="306"/>
    </row>
    <row r="92" spans="1:21" ht="13.5" customHeight="1">
      <c r="A92" s="346" t="s">
        <v>143</v>
      </c>
      <c r="B92" s="350">
        <f t="shared" si="4"/>
        <v>596250</v>
      </c>
      <c r="C92" s="486">
        <f>'P NP KARAMBA KAB'!AK39</f>
        <v>267750</v>
      </c>
      <c r="D92" s="486">
        <f>'P NP KARAMBA KAB'!AU39</f>
        <v>0</v>
      </c>
      <c r="E92" s="486">
        <f>'P NP KARAMBA KAB'!AM39</f>
        <v>0</v>
      </c>
      <c r="F92" s="486">
        <f>'P NP KARAMBA KAB'!AQ39</f>
        <v>0</v>
      </c>
      <c r="G92" s="486">
        <f>'P NP KARAMBA KAB'!AO39</f>
        <v>328500</v>
      </c>
      <c r="H92" s="486">
        <f>'P NP KARAMBA KAB'!Q39</f>
        <v>0</v>
      </c>
      <c r="I92" s="486">
        <f>'P NP KARAMBA KAB'!G39</f>
        <v>0</v>
      </c>
      <c r="J92" s="486">
        <f>'P NP KARAMBA KAB'!AE39</f>
        <v>0</v>
      </c>
      <c r="K92" s="486">
        <f>'P NP KARAMBA KAB'!E39</f>
        <v>0</v>
      </c>
      <c r="L92" s="486">
        <f>SUM('P NP KARAMBA KAB'!BQ39)</f>
        <v>0</v>
      </c>
      <c r="M92" s="352">
        <f t="shared" si="5"/>
        <v>596250</v>
      </c>
      <c r="N92" s="350">
        <f>'P NP TW'!BI40</f>
        <v>80750</v>
      </c>
      <c r="O92" s="350">
        <f>'P NP TW'!BK40</f>
        <v>143000</v>
      </c>
      <c r="P92" s="350">
        <f>'P NP TW'!BM40</f>
        <v>72500</v>
      </c>
      <c r="Q92" s="350">
        <f>'P NP TW'!BO40</f>
        <v>300000</v>
      </c>
      <c r="R92" s="306"/>
      <c r="S92" s="306"/>
      <c r="T92" s="306"/>
      <c r="U92" s="306"/>
    </row>
    <row r="93" spans="1:21" ht="13.5" customHeight="1">
      <c r="A93" s="346" t="s">
        <v>146</v>
      </c>
      <c r="B93" s="350">
        <f t="shared" si="4"/>
        <v>0</v>
      </c>
      <c r="C93" s="486">
        <f>'P NP KARAMBA KAB'!AK40</f>
        <v>0</v>
      </c>
      <c r="D93" s="486">
        <f>'P NP KARAMBA KAB'!AU40</f>
        <v>0</v>
      </c>
      <c r="E93" s="486">
        <f>'P NP KARAMBA KAB'!AM40</f>
        <v>0</v>
      </c>
      <c r="F93" s="486">
        <f>'P NP KARAMBA KAB'!AQ40</f>
        <v>0</v>
      </c>
      <c r="G93" s="486">
        <f>'P NP KARAMBA KAB'!AO40</f>
        <v>0</v>
      </c>
      <c r="H93" s="486">
        <f>'P NP KARAMBA KAB'!Q40</f>
        <v>0</v>
      </c>
      <c r="I93" s="486">
        <f>'P NP KARAMBA KAB'!G40</f>
        <v>0</v>
      </c>
      <c r="J93" s="486">
        <f>'P NP KARAMBA KAB'!AE40</f>
        <v>0</v>
      </c>
      <c r="K93" s="486">
        <f>'P NP KARAMBA KAB'!E40</f>
        <v>0</v>
      </c>
      <c r="L93" s="486">
        <f>SUM('P NP KARAMBA KAB'!BQ40)</f>
        <v>0</v>
      </c>
      <c r="M93" s="352">
        <f t="shared" si="5"/>
        <v>0</v>
      </c>
      <c r="N93" s="350">
        <f>'P NP TW'!BI41</f>
        <v>0</v>
      </c>
      <c r="O93" s="350">
        <f>'P NP TW'!BK41</f>
        <v>0</v>
      </c>
      <c r="P93" s="350">
        <f>'P NP TW'!BM41</f>
        <v>0</v>
      </c>
      <c r="Q93" s="350">
        <f>'P NP TW'!BO41</f>
        <v>0</v>
      </c>
      <c r="R93" s="306"/>
      <c r="S93" s="306"/>
      <c r="T93" s="306"/>
      <c r="U93" s="306"/>
    </row>
    <row r="94" spans="1:21" ht="13.5" customHeight="1">
      <c r="A94" s="346" t="s">
        <v>145</v>
      </c>
      <c r="B94" s="350">
        <f t="shared" si="4"/>
        <v>0</v>
      </c>
      <c r="C94" s="486">
        <f>'P NP KARAMBA KAB'!AK41</f>
        <v>0</v>
      </c>
      <c r="D94" s="486">
        <f>'P NP KARAMBA KAB'!AU41</f>
        <v>0</v>
      </c>
      <c r="E94" s="486">
        <f>'P NP KARAMBA KAB'!AM41</f>
        <v>0</v>
      </c>
      <c r="F94" s="486">
        <f>'P NP KARAMBA KAB'!AQ41</f>
        <v>0</v>
      </c>
      <c r="G94" s="486">
        <f>'P NP KARAMBA KAB'!AO41</f>
        <v>0</v>
      </c>
      <c r="H94" s="486">
        <f>'P NP KARAMBA KAB'!Q41</f>
        <v>0</v>
      </c>
      <c r="I94" s="486">
        <f>'P NP KARAMBA KAB'!G41</f>
        <v>0</v>
      </c>
      <c r="J94" s="486">
        <f>'P NP KARAMBA KAB'!AE41</f>
        <v>0</v>
      </c>
      <c r="K94" s="486">
        <f>'P NP KARAMBA KAB'!E41</f>
        <v>0</v>
      </c>
      <c r="L94" s="486">
        <f>SUM('P NP KARAMBA KAB'!BQ41)</f>
        <v>0</v>
      </c>
      <c r="M94" s="352">
        <f t="shared" si="5"/>
        <v>0</v>
      </c>
      <c r="N94" s="350">
        <f>'P NP TW'!BI42</f>
        <v>0</v>
      </c>
      <c r="O94" s="350">
        <f>'P NP TW'!BK42</f>
        <v>0</v>
      </c>
      <c r="P94" s="350">
        <f>'P NP TW'!BM42</f>
        <v>0</v>
      </c>
      <c r="Q94" s="350">
        <f>'P NP TW'!BO42</f>
        <v>0</v>
      </c>
      <c r="R94" s="306"/>
      <c r="S94" s="306"/>
      <c r="T94" s="306"/>
      <c r="U94" s="306"/>
    </row>
    <row r="95" spans="1:21" ht="13.5" customHeight="1">
      <c r="A95" s="346" t="s">
        <v>144</v>
      </c>
      <c r="B95" s="350">
        <f t="shared" si="4"/>
        <v>0</v>
      </c>
      <c r="C95" s="486">
        <f>'P NP KARAMBA KAB'!AK42</f>
        <v>0</v>
      </c>
      <c r="D95" s="486">
        <f>'P NP KARAMBA KAB'!AU42</f>
        <v>0</v>
      </c>
      <c r="E95" s="486">
        <f>'P NP KARAMBA KAB'!AM42</f>
        <v>0</v>
      </c>
      <c r="F95" s="486">
        <f>'P NP KARAMBA KAB'!AQ42</f>
        <v>0</v>
      </c>
      <c r="G95" s="486">
        <f>'P NP KARAMBA KAB'!AO42</f>
        <v>0</v>
      </c>
      <c r="H95" s="486">
        <f>'P NP KARAMBA KAB'!Q42</f>
        <v>0</v>
      </c>
      <c r="I95" s="486">
        <f>'P NP KARAMBA KAB'!G42</f>
        <v>0</v>
      </c>
      <c r="J95" s="486">
        <f>'P NP KARAMBA KAB'!AE42</f>
        <v>0</v>
      </c>
      <c r="K95" s="486">
        <f>'P NP KARAMBA KAB'!E42</f>
        <v>0</v>
      </c>
      <c r="L95" s="486">
        <f>SUM('P NP KARAMBA KAB'!BQ42)</f>
        <v>0</v>
      </c>
      <c r="M95" s="352">
        <f t="shared" si="5"/>
        <v>0</v>
      </c>
      <c r="N95" s="350">
        <f>'P NP TW'!BI43</f>
        <v>0</v>
      </c>
      <c r="O95" s="350">
        <f>'P NP TW'!BK43</f>
        <v>0</v>
      </c>
      <c r="P95" s="350">
        <f>'P NP TW'!BM43</f>
        <v>0</v>
      </c>
      <c r="Q95" s="350">
        <f>'P NP TW'!BO43</f>
        <v>0</v>
      </c>
      <c r="R95" s="306"/>
      <c r="S95" s="306"/>
      <c r="T95" s="306"/>
      <c r="U95" s="306"/>
    </row>
    <row r="96" spans="1:21" ht="13.5" customHeight="1">
      <c r="A96" s="844" t="s">
        <v>148</v>
      </c>
      <c r="B96" s="350">
        <f t="shared" si="4"/>
        <v>0</v>
      </c>
      <c r="C96" s="486">
        <f>'P NP KARAMBA KAB'!AK43</f>
        <v>0</v>
      </c>
      <c r="D96" s="486">
        <f>'P NP KARAMBA KAB'!AU43</f>
        <v>0</v>
      </c>
      <c r="E96" s="486">
        <f>'P NP KARAMBA KAB'!AM43</f>
        <v>0</v>
      </c>
      <c r="F96" s="486">
        <f>'P NP KARAMBA KAB'!AQ43</f>
        <v>0</v>
      </c>
      <c r="G96" s="486">
        <f>'P NP KARAMBA KAB'!AO43</f>
        <v>0</v>
      </c>
      <c r="H96" s="486">
        <f>'P NP KARAMBA KAB'!Q43</f>
        <v>0</v>
      </c>
      <c r="I96" s="486">
        <f>'P NP KARAMBA KAB'!G43</f>
        <v>0</v>
      </c>
      <c r="J96" s="486">
        <f>'P NP KARAMBA KAB'!AE43</f>
        <v>0</v>
      </c>
      <c r="K96" s="486">
        <f>'P NP KARAMBA KAB'!E43</f>
        <v>0</v>
      </c>
      <c r="L96" s="486">
        <f>SUM('P NP KARAMBA KAB'!BQ43)</f>
        <v>0</v>
      </c>
      <c r="M96" s="850">
        <f t="shared" si="5"/>
        <v>0</v>
      </c>
      <c r="N96" s="350">
        <f>'P NP TW'!BI44</f>
        <v>0</v>
      </c>
      <c r="O96" s="350">
        <f>'P NP TW'!BK44</f>
        <v>0</v>
      </c>
      <c r="P96" s="350">
        <f>'P NP TW'!BM44</f>
        <v>0</v>
      </c>
      <c r="Q96" s="350">
        <f>'P NP TW'!BO44</f>
        <v>0</v>
      </c>
      <c r="R96" s="306"/>
      <c r="S96" s="306"/>
      <c r="T96" s="306"/>
      <c r="U96" s="306"/>
    </row>
    <row r="97" spans="1:21" ht="10" customHeight="1" thickBot="1">
      <c r="A97" s="846"/>
      <c r="B97" s="851"/>
      <c r="C97" s="851"/>
      <c r="D97" s="851"/>
      <c r="E97" s="851"/>
      <c r="F97" s="851"/>
      <c r="G97" s="851"/>
      <c r="H97" s="851"/>
      <c r="I97" s="851"/>
      <c r="J97" s="851"/>
      <c r="K97" s="851"/>
      <c r="L97" s="851"/>
      <c r="M97" s="851"/>
      <c r="N97" s="851"/>
      <c r="O97" s="851"/>
      <c r="P97" s="851"/>
      <c r="Q97" s="852"/>
      <c r="R97" s="306"/>
      <c r="S97" s="306"/>
      <c r="T97" s="306"/>
      <c r="U97" s="306"/>
    </row>
    <row r="98" spans="1:21" ht="13.5" customHeight="1">
      <c r="A98" s="277"/>
      <c r="B98" s="946" t="s">
        <v>433</v>
      </c>
      <c r="C98" s="946"/>
      <c r="D98" s="946"/>
      <c r="E98" s="946"/>
      <c r="F98" s="946"/>
      <c r="G98" s="946"/>
      <c r="H98" s="946"/>
      <c r="I98" s="946"/>
      <c r="J98" s="946"/>
      <c r="M98" s="946" t="s">
        <v>434</v>
      </c>
      <c r="N98" s="946"/>
      <c r="O98" s="946"/>
      <c r="P98" s="946"/>
      <c r="R98" s="307"/>
    </row>
    <row r="99" spans="1:21" ht="14.5" customHeight="1">
      <c r="R99" s="307"/>
    </row>
    <row r="100" spans="1:21" ht="14.5" customHeight="1">
      <c r="R100" s="307"/>
    </row>
    <row r="101" spans="1:21" ht="14.5" customHeight="1">
      <c r="B101" s="306"/>
    </row>
    <row r="102" spans="1:21" ht="14.5" customHeight="1">
      <c r="B102" s="306"/>
    </row>
    <row r="103" spans="1:21" ht="14.5" customHeight="1">
      <c r="B103" s="306"/>
    </row>
    <row r="104" spans="1:21" ht="14.5" customHeight="1">
      <c r="B104" s="306"/>
      <c r="C104" s="334"/>
    </row>
    <row r="105" spans="1:21" ht="14.5" customHeight="1">
      <c r="B105" s="306"/>
    </row>
    <row r="106" spans="1:21" ht="14.5" customHeight="1">
      <c r="B106" s="306"/>
    </row>
    <row r="107" spans="1:21" ht="14.5" customHeight="1">
      <c r="B107" s="306"/>
    </row>
    <row r="108" spans="1:21" ht="14.5" customHeight="1">
      <c r="B108" s="306"/>
    </row>
    <row r="109" spans="1:21" ht="14.5" customHeight="1">
      <c r="B109" s="306"/>
    </row>
    <row r="110" spans="1:21" ht="14.5" customHeight="1">
      <c r="B110" s="306"/>
    </row>
    <row r="111" spans="1:21">
      <c r="B111" s="306"/>
    </row>
    <row r="112" spans="1:21">
      <c r="B112" s="306"/>
    </row>
    <row r="113" spans="2:2">
      <c r="B113" s="306"/>
    </row>
    <row r="114" spans="2:2">
      <c r="B114" s="306"/>
    </row>
    <row r="115" spans="2:2">
      <c r="B115" s="306"/>
    </row>
    <row r="116" spans="2:2">
      <c r="B116" s="306"/>
    </row>
    <row r="117" spans="2:2">
      <c r="B117" s="306"/>
    </row>
    <row r="118" spans="2:2">
      <c r="B118" s="306"/>
    </row>
    <row r="119" spans="2:2">
      <c r="B119" s="306"/>
    </row>
    <row r="120" spans="2:2">
      <c r="B120" s="306"/>
    </row>
    <row r="121" spans="2:2">
      <c r="B121" s="306"/>
    </row>
    <row r="122" spans="2:2">
      <c r="B122" s="306"/>
    </row>
    <row r="123" spans="2:2">
      <c r="B123" s="306"/>
    </row>
    <row r="124" spans="2:2">
      <c r="B124" s="306"/>
    </row>
    <row r="125" spans="2:2">
      <c r="B125" s="306"/>
    </row>
    <row r="126" spans="2:2">
      <c r="B126" s="306"/>
    </row>
    <row r="127" spans="2:2">
      <c r="B127" s="306"/>
    </row>
    <row r="128" spans="2:2">
      <c r="B128" s="306"/>
    </row>
    <row r="129" spans="2:2">
      <c r="B129" s="306"/>
    </row>
    <row r="130" spans="2:2">
      <c r="B130" s="306"/>
    </row>
    <row r="131" spans="2:2">
      <c r="B131" s="306"/>
    </row>
    <row r="132" spans="2:2">
      <c r="B132" s="306"/>
    </row>
    <row r="133" spans="2:2">
      <c r="B133" s="306"/>
    </row>
    <row r="134" spans="2:2">
      <c r="B134" s="306"/>
    </row>
    <row r="135" spans="2:2">
      <c r="B135" s="306"/>
    </row>
    <row r="136" spans="2:2">
      <c r="B136" s="306"/>
    </row>
    <row r="137" spans="2:2">
      <c r="B137" s="306"/>
    </row>
    <row r="138" spans="2:2">
      <c r="B138" s="306"/>
    </row>
    <row r="139" spans="2:2">
      <c r="B139" s="306"/>
    </row>
    <row r="140" spans="2:2">
      <c r="B140" s="306"/>
    </row>
    <row r="141" spans="2:2">
      <c r="B141" s="306"/>
    </row>
    <row r="142" spans="2:2">
      <c r="B142" s="306"/>
    </row>
    <row r="143" spans="2:2">
      <c r="B143" s="306"/>
    </row>
    <row r="144" spans="2:2">
      <c r="B144" s="306"/>
    </row>
    <row r="145" spans="2:2">
      <c r="B145" s="306"/>
    </row>
    <row r="146" spans="2:2">
      <c r="B146" s="306"/>
    </row>
    <row r="147" spans="2:2">
      <c r="B147" s="306"/>
    </row>
    <row r="148" spans="2:2">
      <c r="B148" s="306"/>
    </row>
  </sheetData>
  <sortState xmlns:xlrd2="http://schemas.microsoft.com/office/spreadsheetml/2017/richdata2" ref="A10:A47">
    <sortCondition ref="A10:A47"/>
  </sortState>
  <mergeCells count="8">
    <mergeCell ref="B98:J98"/>
    <mergeCell ref="M98:P98"/>
    <mergeCell ref="K3:L3"/>
    <mergeCell ref="K4:L4"/>
    <mergeCell ref="B49:J49"/>
    <mergeCell ref="M49:P49"/>
    <mergeCell ref="K52:L52"/>
    <mergeCell ref="K53:L53"/>
  </mergeCells>
  <printOptions horizontalCentered="1"/>
  <pageMargins left="0.35" right="0.25" top="0.35" bottom="0.25" header="0.5" footer="0.5"/>
  <pageSetup paperSize="9" scale="66" orientation="landscape" horizontalDpi="4294967293" r:id="rId1"/>
  <headerFooter alignWithMargins="0"/>
  <rowBreaks count="1" manualBreakCount="1">
    <brk id="49" max="17" man="1"/>
  </rowBreaks>
  <colBreaks count="1" manualBreakCount="1">
    <brk id="12" max="9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syncVertical="1" syncRef="R65" transitionEvaluation="1">
    <tabColor rgb="FF00B0F0"/>
  </sheetPr>
  <dimension ref="A1:AA96"/>
  <sheetViews>
    <sheetView showGridLines="0" view="pageBreakPreview" zoomScale="90" zoomScaleNormal="100" zoomScaleSheetLayoutView="90" workbookViewId="0">
      <pane xSplit="2" ySplit="8" topLeftCell="R65" activePane="bottomRight" state="frozen"/>
      <selection pane="topRight" activeCell="C1" sqref="C1"/>
      <selection pane="bottomLeft" activeCell="A9" sqref="A9"/>
      <selection pane="bottomRight" activeCell="S71" sqref="S71"/>
    </sheetView>
  </sheetViews>
  <sheetFormatPr defaultColWidth="10.1796875" defaultRowHeight="14"/>
  <cols>
    <col min="1" max="1" width="36.81640625" style="210" customWidth="1"/>
    <col min="2" max="2" width="25.54296875" style="210" customWidth="1"/>
    <col min="3" max="10" width="16.1796875" style="210" customWidth="1"/>
    <col min="11" max="17" width="15.1796875" style="210" customWidth="1"/>
    <col min="18" max="18" width="35.81640625" style="210" customWidth="1"/>
    <col min="19" max="21" width="29" style="210" customWidth="1"/>
    <col min="22" max="22" width="28.81640625" style="210" customWidth="1"/>
    <col min="23" max="23" width="14.26953125" style="210" bestFit="1" customWidth="1"/>
    <col min="24" max="24" width="23.453125" style="210" customWidth="1"/>
    <col min="25" max="26" width="11.81640625" style="210" bestFit="1" customWidth="1"/>
    <col min="27" max="27" width="10.1796875" style="210" bestFit="1" customWidth="1"/>
    <col min="28" max="253" width="10.1796875" style="210"/>
    <col min="254" max="254" width="36.81640625" style="210" customWidth="1"/>
    <col min="255" max="255" width="25.54296875" style="210" customWidth="1"/>
    <col min="256" max="263" width="16.1796875" style="210" customWidth="1"/>
    <col min="264" max="273" width="15.1796875" style="210" customWidth="1"/>
    <col min="274" max="274" width="35.81640625" style="210" customWidth="1"/>
    <col min="275" max="277" width="29" style="210" customWidth="1"/>
    <col min="278" max="278" width="28.81640625" style="210" customWidth="1"/>
    <col min="279" max="279" width="10.81640625" style="210" bestFit="1" customWidth="1"/>
    <col min="280" max="280" width="23.453125" style="210" customWidth="1"/>
    <col min="281" max="282" width="11.81640625" style="210" bestFit="1" customWidth="1"/>
    <col min="283" max="283" width="10.1796875" style="210" bestFit="1" customWidth="1"/>
    <col min="284" max="509" width="10.1796875" style="210"/>
    <col min="510" max="510" width="36.81640625" style="210" customWidth="1"/>
    <col min="511" max="511" width="25.54296875" style="210" customWidth="1"/>
    <col min="512" max="519" width="16.1796875" style="210" customWidth="1"/>
    <col min="520" max="529" width="15.1796875" style="210" customWidth="1"/>
    <col min="530" max="530" width="35.81640625" style="210" customWidth="1"/>
    <col min="531" max="533" width="29" style="210" customWidth="1"/>
    <col min="534" max="534" width="28.81640625" style="210" customWidth="1"/>
    <col min="535" max="535" width="10.81640625" style="210" bestFit="1" customWidth="1"/>
    <col min="536" max="536" width="23.453125" style="210" customWidth="1"/>
    <col min="537" max="538" width="11.81640625" style="210" bestFit="1" customWidth="1"/>
    <col min="539" max="539" width="10.1796875" style="210" bestFit="1" customWidth="1"/>
    <col min="540" max="765" width="10.1796875" style="210"/>
    <col min="766" max="766" width="36.81640625" style="210" customWidth="1"/>
    <col min="767" max="767" width="25.54296875" style="210" customWidth="1"/>
    <col min="768" max="775" width="16.1796875" style="210" customWidth="1"/>
    <col min="776" max="785" width="15.1796875" style="210" customWidth="1"/>
    <col min="786" max="786" width="35.81640625" style="210" customWidth="1"/>
    <col min="787" max="789" width="29" style="210" customWidth="1"/>
    <col min="790" max="790" width="28.81640625" style="210" customWidth="1"/>
    <col min="791" max="791" width="10.81640625" style="210" bestFit="1" customWidth="1"/>
    <col min="792" max="792" width="23.453125" style="210" customWidth="1"/>
    <col min="793" max="794" width="11.81640625" style="210" bestFit="1" customWidth="1"/>
    <col min="795" max="795" width="10.1796875" style="210" bestFit="1" customWidth="1"/>
    <col min="796" max="1021" width="10.1796875" style="210"/>
    <col min="1022" max="1022" width="36.81640625" style="210" customWidth="1"/>
    <col min="1023" max="1023" width="25.54296875" style="210" customWidth="1"/>
    <col min="1024" max="1031" width="16.1796875" style="210" customWidth="1"/>
    <col min="1032" max="1041" width="15.1796875" style="210" customWidth="1"/>
    <col min="1042" max="1042" width="35.81640625" style="210" customWidth="1"/>
    <col min="1043" max="1045" width="29" style="210" customWidth="1"/>
    <col min="1046" max="1046" width="28.81640625" style="210" customWidth="1"/>
    <col min="1047" max="1047" width="10.81640625" style="210" bestFit="1" customWidth="1"/>
    <col min="1048" max="1048" width="23.453125" style="210" customWidth="1"/>
    <col min="1049" max="1050" width="11.81640625" style="210" bestFit="1" customWidth="1"/>
    <col min="1051" max="1051" width="10.1796875" style="210" bestFit="1" customWidth="1"/>
    <col min="1052" max="1277" width="10.1796875" style="210"/>
    <col min="1278" max="1278" width="36.81640625" style="210" customWidth="1"/>
    <col min="1279" max="1279" width="25.54296875" style="210" customWidth="1"/>
    <col min="1280" max="1287" width="16.1796875" style="210" customWidth="1"/>
    <col min="1288" max="1297" width="15.1796875" style="210" customWidth="1"/>
    <col min="1298" max="1298" width="35.81640625" style="210" customWidth="1"/>
    <col min="1299" max="1301" width="29" style="210" customWidth="1"/>
    <col min="1302" max="1302" width="28.81640625" style="210" customWidth="1"/>
    <col min="1303" max="1303" width="10.81640625" style="210" bestFit="1" customWidth="1"/>
    <col min="1304" max="1304" width="23.453125" style="210" customWidth="1"/>
    <col min="1305" max="1306" width="11.81640625" style="210" bestFit="1" customWidth="1"/>
    <col min="1307" max="1307" width="10.1796875" style="210" bestFit="1" customWidth="1"/>
    <col min="1308" max="1533" width="10.1796875" style="210"/>
    <col min="1534" max="1534" width="36.81640625" style="210" customWidth="1"/>
    <col min="1535" max="1535" width="25.54296875" style="210" customWidth="1"/>
    <col min="1536" max="1543" width="16.1796875" style="210" customWidth="1"/>
    <col min="1544" max="1553" width="15.1796875" style="210" customWidth="1"/>
    <col min="1554" max="1554" width="35.81640625" style="210" customWidth="1"/>
    <col min="1555" max="1557" width="29" style="210" customWidth="1"/>
    <col min="1558" max="1558" width="28.81640625" style="210" customWidth="1"/>
    <col min="1559" max="1559" width="10.81640625" style="210" bestFit="1" customWidth="1"/>
    <col min="1560" max="1560" width="23.453125" style="210" customWidth="1"/>
    <col min="1561" max="1562" width="11.81640625" style="210" bestFit="1" customWidth="1"/>
    <col min="1563" max="1563" width="10.1796875" style="210" bestFit="1" customWidth="1"/>
    <col min="1564" max="1789" width="10.1796875" style="210"/>
    <col min="1790" max="1790" width="36.81640625" style="210" customWidth="1"/>
    <col min="1791" max="1791" width="25.54296875" style="210" customWidth="1"/>
    <col min="1792" max="1799" width="16.1796875" style="210" customWidth="1"/>
    <col min="1800" max="1809" width="15.1796875" style="210" customWidth="1"/>
    <col min="1810" max="1810" width="35.81640625" style="210" customWidth="1"/>
    <col min="1811" max="1813" width="29" style="210" customWidth="1"/>
    <col min="1814" max="1814" width="28.81640625" style="210" customWidth="1"/>
    <col min="1815" max="1815" width="10.81640625" style="210" bestFit="1" customWidth="1"/>
    <col min="1816" max="1816" width="23.453125" style="210" customWidth="1"/>
    <col min="1817" max="1818" width="11.81640625" style="210" bestFit="1" customWidth="1"/>
    <col min="1819" max="1819" width="10.1796875" style="210" bestFit="1" customWidth="1"/>
    <col min="1820" max="2045" width="10.1796875" style="210"/>
    <col min="2046" max="2046" width="36.81640625" style="210" customWidth="1"/>
    <col min="2047" max="2047" width="25.54296875" style="210" customWidth="1"/>
    <col min="2048" max="2055" width="16.1796875" style="210" customWidth="1"/>
    <col min="2056" max="2065" width="15.1796875" style="210" customWidth="1"/>
    <col min="2066" max="2066" width="35.81640625" style="210" customWidth="1"/>
    <col min="2067" max="2069" width="29" style="210" customWidth="1"/>
    <col min="2070" max="2070" width="28.81640625" style="210" customWidth="1"/>
    <col min="2071" max="2071" width="10.81640625" style="210" bestFit="1" customWidth="1"/>
    <col min="2072" max="2072" width="23.453125" style="210" customWidth="1"/>
    <col min="2073" max="2074" width="11.81640625" style="210" bestFit="1" customWidth="1"/>
    <col min="2075" max="2075" width="10.1796875" style="210" bestFit="1" customWidth="1"/>
    <col min="2076" max="2301" width="10.1796875" style="210"/>
    <col min="2302" max="2302" width="36.81640625" style="210" customWidth="1"/>
    <col min="2303" max="2303" width="25.54296875" style="210" customWidth="1"/>
    <col min="2304" max="2311" width="16.1796875" style="210" customWidth="1"/>
    <col min="2312" max="2321" width="15.1796875" style="210" customWidth="1"/>
    <col min="2322" max="2322" width="35.81640625" style="210" customWidth="1"/>
    <col min="2323" max="2325" width="29" style="210" customWidth="1"/>
    <col min="2326" max="2326" width="28.81640625" style="210" customWidth="1"/>
    <col min="2327" max="2327" width="10.81640625" style="210" bestFit="1" customWidth="1"/>
    <col min="2328" max="2328" width="23.453125" style="210" customWidth="1"/>
    <col min="2329" max="2330" width="11.81640625" style="210" bestFit="1" customWidth="1"/>
    <col min="2331" max="2331" width="10.1796875" style="210" bestFit="1" customWidth="1"/>
    <col min="2332" max="2557" width="10.1796875" style="210"/>
    <col min="2558" max="2558" width="36.81640625" style="210" customWidth="1"/>
    <col min="2559" max="2559" width="25.54296875" style="210" customWidth="1"/>
    <col min="2560" max="2567" width="16.1796875" style="210" customWidth="1"/>
    <col min="2568" max="2577" width="15.1796875" style="210" customWidth="1"/>
    <col min="2578" max="2578" width="35.81640625" style="210" customWidth="1"/>
    <col min="2579" max="2581" width="29" style="210" customWidth="1"/>
    <col min="2582" max="2582" width="28.81640625" style="210" customWidth="1"/>
    <col min="2583" max="2583" width="10.81640625" style="210" bestFit="1" customWidth="1"/>
    <col min="2584" max="2584" width="23.453125" style="210" customWidth="1"/>
    <col min="2585" max="2586" width="11.81640625" style="210" bestFit="1" customWidth="1"/>
    <col min="2587" max="2587" width="10.1796875" style="210" bestFit="1" customWidth="1"/>
    <col min="2588" max="2813" width="10.1796875" style="210"/>
    <col min="2814" max="2814" width="36.81640625" style="210" customWidth="1"/>
    <col min="2815" max="2815" width="25.54296875" style="210" customWidth="1"/>
    <col min="2816" max="2823" width="16.1796875" style="210" customWidth="1"/>
    <col min="2824" max="2833" width="15.1796875" style="210" customWidth="1"/>
    <col min="2834" max="2834" width="35.81640625" style="210" customWidth="1"/>
    <col min="2835" max="2837" width="29" style="210" customWidth="1"/>
    <col min="2838" max="2838" width="28.81640625" style="210" customWidth="1"/>
    <col min="2839" max="2839" width="10.81640625" style="210" bestFit="1" customWidth="1"/>
    <col min="2840" max="2840" width="23.453125" style="210" customWidth="1"/>
    <col min="2841" max="2842" width="11.81640625" style="210" bestFit="1" customWidth="1"/>
    <col min="2843" max="2843" width="10.1796875" style="210" bestFit="1" customWidth="1"/>
    <col min="2844" max="3069" width="10.1796875" style="210"/>
    <col min="3070" max="3070" width="36.81640625" style="210" customWidth="1"/>
    <col min="3071" max="3071" width="25.54296875" style="210" customWidth="1"/>
    <col min="3072" max="3079" width="16.1796875" style="210" customWidth="1"/>
    <col min="3080" max="3089" width="15.1796875" style="210" customWidth="1"/>
    <col min="3090" max="3090" width="35.81640625" style="210" customWidth="1"/>
    <col min="3091" max="3093" width="29" style="210" customWidth="1"/>
    <col min="3094" max="3094" width="28.81640625" style="210" customWidth="1"/>
    <col min="3095" max="3095" width="10.81640625" style="210" bestFit="1" customWidth="1"/>
    <col min="3096" max="3096" width="23.453125" style="210" customWidth="1"/>
    <col min="3097" max="3098" width="11.81640625" style="210" bestFit="1" customWidth="1"/>
    <col min="3099" max="3099" width="10.1796875" style="210" bestFit="1" customWidth="1"/>
    <col min="3100" max="3325" width="10.1796875" style="210"/>
    <col min="3326" max="3326" width="36.81640625" style="210" customWidth="1"/>
    <col min="3327" max="3327" width="25.54296875" style="210" customWidth="1"/>
    <col min="3328" max="3335" width="16.1796875" style="210" customWidth="1"/>
    <col min="3336" max="3345" width="15.1796875" style="210" customWidth="1"/>
    <col min="3346" max="3346" width="35.81640625" style="210" customWidth="1"/>
    <col min="3347" max="3349" width="29" style="210" customWidth="1"/>
    <col min="3350" max="3350" width="28.81640625" style="210" customWidth="1"/>
    <col min="3351" max="3351" width="10.81640625" style="210" bestFit="1" customWidth="1"/>
    <col min="3352" max="3352" width="23.453125" style="210" customWidth="1"/>
    <col min="3353" max="3354" width="11.81640625" style="210" bestFit="1" customWidth="1"/>
    <col min="3355" max="3355" width="10.1796875" style="210" bestFit="1" customWidth="1"/>
    <col min="3356" max="3581" width="10.1796875" style="210"/>
    <col min="3582" max="3582" width="36.81640625" style="210" customWidth="1"/>
    <col min="3583" max="3583" width="25.54296875" style="210" customWidth="1"/>
    <col min="3584" max="3591" width="16.1796875" style="210" customWidth="1"/>
    <col min="3592" max="3601" width="15.1796875" style="210" customWidth="1"/>
    <col min="3602" max="3602" width="35.81640625" style="210" customWidth="1"/>
    <col min="3603" max="3605" width="29" style="210" customWidth="1"/>
    <col min="3606" max="3606" width="28.81640625" style="210" customWidth="1"/>
    <col min="3607" max="3607" width="10.81640625" style="210" bestFit="1" customWidth="1"/>
    <col min="3608" max="3608" width="23.453125" style="210" customWidth="1"/>
    <col min="3609" max="3610" width="11.81640625" style="210" bestFit="1" customWidth="1"/>
    <col min="3611" max="3611" width="10.1796875" style="210" bestFit="1" customWidth="1"/>
    <col min="3612" max="3837" width="10.1796875" style="210"/>
    <col min="3838" max="3838" width="36.81640625" style="210" customWidth="1"/>
    <col min="3839" max="3839" width="25.54296875" style="210" customWidth="1"/>
    <col min="3840" max="3847" width="16.1796875" style="210" customWidth="1"/>
    <col min="3848" max="3857" width="15.1796875" style="210" customWidth="1"/>
    <col min="3858" max="3858" width="35.81640625" style="210" customWidth="1"/>
    <col min="3859" max="3861" width="29" style="210" customWidth="1"/>
    <col min="3862" max="3862" width="28.81640625" style="210" customWidth="1"/>
    <col min="3863" max="3863" width="10.81640625" style="210" bestFit="1" customWidth="1"/>
    <col min="3864" max="3864" width="23.453125" style="210" customWidth="1"/>
    <col min="3865" max="3866" width="11.81640625" style="210" bestFit="1" customWidth="1"/>
    <col min="3867" max="3867" width="10.1796875" style="210" bestFit="1" customWidth="1"/>
    <col min="3868" max="4093" width="10.1796875" style="210"/>
    <col min="4094" max="4094" width="36.81640625" style="210" customWidth="1"/>
    <col min="4095" max="4095" width="25.54296875" style="210" customWidth="1"/>
    <col min="4096" max="4103" width="16.1796875" style="210" customWidth="1"/>
    <col min="4104" max="4113" width="15.1796875" style="210" customWidth="1"/>
    <col min="4114" max="4114" width="35.81640625" style="210" customWidth="1"/>
    <col min="4115" max="4117" width="29" style="210" customWidth="1"/>
    <col min="4118" max="4118" width="28.81640625" style="210" customWidth="1"/>
    <col min="4119" max="4119" width="10.81640625" style="210" bestFit="1" customWidth="1"/>
    <col min="4120" max="4120" width="23.453125" style="210" customWidth="1"/>
    <col min="4121" max="4122" width="11.81640625" style="210" bestFit="1" customWidth="1"/>
    <col min="4123" max="4123" width="10.1796875" style="210" bestFit="1" customWidth="1"/>
    <col min="4124" max="4349" width="10.1796875" style="210"/>
    <col min="4350" max="4350" width="36.81640625" style="210" customWidth="1"/>
    <col min="4351" max="4351" width="25.54296875" style="210" customWidth="1"/>
    <col min="4352" max="4359" width="16.1796875" style="210" customWidth="1"/>
    <col min="4360" max="4369" width="15.1796875" style="210" customWidth="1"/>
    <col min="4370" max="4370" width="35.81640625" style="210" customWidth="1"/>
    <col min="4371" max="4373" width="29" style="210" customWidth="1"/>
    <col min="4374" max="4374" width="28.81640625" style="210" customWidth="1"/>
    <col min="4375" max="4375" width="10.81640625" style="210" bestFit="1" customWidth="1"/>
    <col min="4376" max="4376" width="23.453125" style="210" customWidth="1"/>
    <col min="4377" max="4378" width="11.81640625" style="210" bestFit="1" customWidth="1"/>
    <col min="4379" max="4379" width="10.1796875" style="210" bestFit="1" customWidth="1"/>
    <col min="4380" max="4605" width="10.1796875" style="210"/>
    <col min="4606" max="4606" width="36.81640625" style="210" customWidth="1"/>
    <col min="4607" max="4607" width="25.54296875" style="210" customWidth="1"/>
    <col min="4608" max="4615" width="16.1796875" style="210" customWidth="1"/>
    <col min="4616" max="4625" width="15.1796875" style="210" customWidth="1"/>
    <col min="4626" max="4626" width="35.81640625" style="210" customWidth="1"/>
    <col min="4627" max="4629" width="29" style="210" customWidth="1"/>
    <col min="4630" max="4630" width="28.81640625" style="210" customWidth="1"/>
    <col min="4631" max="4631" width="10.81640625" style="210" bestFit="1" customWidth="1"/>
    <col min="4632" max="4632" width="23.453125" style="210" customWidth="1"/>
    <col min="4633" max="4634" width="11.81640625" style="210" bestFit="1" customWidth="1"/>
    <col min="4635" max="4635" width="10.1796875" style="210" bestFit="1" customWidth="1"/>
    <col min="4636" max="4861" width="10.1796875" style="210"/>
    <col min="4862" max="4862" width="36.81640625" style="210" customWidth="1"/>
    <col min="4863" max="4863" width="25.54296875" style="210" customWidth="1"/>
    <col min="4864" max="4871" width="16.1796875" style="210" customWidth="1"/>
    <col min="4872" max="4881" width="15.1796875" style="210" customWidth="1"/>
    <col min="4882" max="4882" width="35.81640625" style="210" customWidth="1"/>
    <col min="4883" max="4885" width="29" style="210" customWidth="1"/>
    <col min="4886" max="4886" width="28.81640625" style="210" customWidth="1"/>
    <col min="4887" max="4887" width="10.81640625" style="210" bestFit="1" customWidth="1"/>
    <col min="4888" max="4888" width="23.453125" style="210" customWidth="1"/>
    <col min="4889" max="4890" width="11.81640625" style="210" bestFit="1" customWidth="1"/>
    <col min="4891" max="4891" width="10.1796875" style="210" bestFit="1" customWidth="1"/>
    <col min="4892" max="5117" width="10.1796875" style="210"/>
    <col min="5118" max="5118" width="36.81640625" style="210" customWidth="1"/>
    <col min="5119" max="5119" width="25.54296875" style="210" customWidth="1"/>
    <col min="5120" max="5127" width="16.1796875" style="210" customWidth="1"/>
    <col min="5128" max="5137" width="15.1796875" style="210" customWidth="1"/>
    <col min="5138" max="5138" width="35.81640625" style="210" customWidth="1"/>
    <col min="5139" max="5141" width="29" style="210" customWidth="1"/>
    <col min="5142" max="5142" width="28.81640625" style="210" customWidth="1"/>
    <col min="5143" max="5143" width="10.81640625" style="210" bestFit="1" customWidth="1"/>
    <col min="5144" max="5144" width="23.453125" style="210" customWidth="1"/>
    <col min="5145" max="5146" width="11.81640625" style="210" bestFit="1" customWidth="1"/>
    <col min="5147" max="5147" width="10.1796875" style="210" bestFit="1" customWidth="1"/>
    <col min="5148" max="5373" width="10.1796875" style="210"/>
    <col min="5374" max="5374" width="36.81640625" style="210" customWidth="1"/>
    <col min="5375" max="5375" width="25.54296875" style="210" customWidth="1"/>
    <col min="5376" max="5383" width="16.1796875" style="210" customWidth="1"/>
    <col min="5384" max="5393" width="15.1796875" style="210" customWidth="1"/>
    <col min="5394" max="5394" width="35.81640625" style="210" customWidth="1"/>
    <col min="5395" max="5397" width="29" style="210" customWidth="1"/>
    <col min="5398" max="5398" width="28.81640625" style="210" customWidth="1"/>
    <col min="5399" max="5399" width="10.81640625" style="210" bestFit="1" customWidth="1"/>
    <col min="5400" max="5400" width="23.453125" style="210" customWidth="1"/>
    <col min="5401" max="5402" width="11.81640625" style="210" bestFit="1" customWidth="1"/>
    <col min="5403" max="5403" width="10.1796875" style="210" bestFit="1" customWidth="1"/>
    <col min="5404" max="5629" width="10.1796875" style="210"/>
    <col min="5630" max="5630" width="36.81640625" style="210" customWidth="1"/>
    <col min="5631" max="5631" width="25.54296875" style="210" customWidth="1"/>
    <col min="5632" max="5639" width="16.1796875" style="210" customWidth="1"/>
    <col min="5640" max="5649" width="15.1796875" style="210" customWidth="1"/>
    <col min="5650" max="5650" width="35.81640625" style="210" customWidth="1"/>
    <col min="5651" max="5653" width="29" style="210" customWidth="1"/>
    <col min="5654" max="5654" width="28.81640625" style="210" customWidth="1"/>
    <col min="5655" max="5655" width="10.81640625" style="210" bestFit="1" customWidth="1"/>
    <col min="5656" max="5656" width="23.453125" style="210" customWidth="1"/>
    <col min="5657" max="5658" width="11.81640625" style="210" bestFit="1" customWidth="1"/>
    <col min="5659" max="5659" width="10.1796875" style="210" bestFit="1" customWidth="1"/>
    <col min="5660" max="5885" width="10.1796875" style="210"/>
    <col min="5886" max="5886" width="36.81640625" style="210" customWidth="1"/>
    <col min="5887" max="5887" width="25.54296875" style="210" customWidth="1"/>
    <col min="5888" max="5895" width="16.1796875" style="210" customWidth="1"/>
    <col min="5896" max="5905" width="15.1796875" style="210" customWidth="1"/>
    <col min="5906" max="5906" width="35.81640625" style="210" customWidth="1"/>
    <col min="5907" max="5909" width="29" style="210" customWidth="1"/>
    <col min="5910" max="5910" width="28.81640625" style="210" customWidth="1"/>
    <col min="5911" max="5911" width="10.81640625" style="210" bestFit="1" customWidth="1"/>
    <col min="5912" max="5912" width="23.453125" style="210" customWidth="1"/>
    <col min="5913" max="5914" width="11.81640625" style="210" bestFit="1" customWidth="1"/>
    <col min="5915" max="5915" width="10.1796875" style="210" bestFit="1" customWidth="1"/>
    <col min="5916" max="6141" width="10.1796875" style="210"/>
    <col min="6142" max="6142" width="36.81640625" style="210" customWidth="1"/>
    <col min="6143" max="6143" width="25.54296875" style="210" customWidth="1"/>
    <col min="6144" max="6151" width="16.1796875" style="210" customWidth="1"/>
    <col min="6152" max="6161" width="15.1796875" style="210" customWidth="1"/>
    <col min="6162" max="6162" width="35.81640625" style="210" customWidth="1"/>
    <col min="6163" max="6165" width="29" style="210" customWidth="1"/>
    <col min="6166" max="6166" width="28.81640625" style="210" customWidth="1"/>
    <col min="6167" max="6167" width="10.81640625" style="210" bestFit="1" customWidth="1"/>
    <col min="6168" max="6168" width="23.453125" style="210" customWidth="1"/>
    <col min="6169" max="6170" width="11.81640625" style="210" bestFit="1" customWidth="1"/>
    <col min="6171" max="6171" width="10.1796875" style="210" bestFit="1" customWidth="1"/>
    <col min="6172" max="6397" width="10.1796875" style="210"/>
    <col min="6398" max="6398" width="36.81640625" style="210" customWidth="1"/>
    <col min="6399" max="6399" width="25.54296875" style="210" customWidth="1"/>
    <col min="6400" max="6407" width="16.1796875" style="210" customWidth="1"/>
    <col min="6408" max="6417" width="15.1796875" style="210" customWidth="1"/>
    <col min="6418" max="6418" width="35.81640625" style="210" customWidth="1"/>
    <col min="6419" max="6421" width="29" style="210" customWidth="1"/>
    <col min="6422" max="6422" width="28.81640625" style="210" customWidth="1"/>
    <col min="6423" max="6423" width="10.81640625" style="210" bestFit="1" customWidth="1"/>
    <col min="6424" max="6424" width="23.453125" style="210" customWidth="1"/>
    <col min="6425" max="6426" width="11.81640625" style="210" bestFit="1" customWidth="1"/>
    <col min="6427" max="6427" width="10.1796875" style="210" bestFit="1" customWidth="1"/>
    <col min="6428" max="6653" width="10.1796875" style="210"/>
    <col min="6654" max="6654" width="36.81640625" style="210" customWidth="1"/>
    <col min="6655" max="6655" width="25.54296875" style="210" customWidth="1"/>
    <col min="6656" max="6663" width="16.1796875" style="210" customWidth="1"/>
    <col min="6664" max="6673" width="15.1796875" style="210" customWidth="1"/>
    <col min="6674" max="6674" width="35.81640625" style="210" customWidth="1"/>
    <col min="6675" max="6677" width="29" style="210" customWidth="1"/>
    <col min="6678" max="6678" width="28.81640625" style="210" customWidth="1"/>
    <col min="6679" max="6679" width="10.81640625" style="210" bestFit="1" customWidth="1"/>
    <col min="6680" max="6680" width="23.453125" style="210" customWidth="1"/>
    <col min="6681" max="6682" width="11.81640625" style="210" bestFit="1" customWidth="1"/>
    <col min="6683" max="6683" width="10.1796875" style="210" bestFit="1" customWidth="1"/>
    <col min="6684" max="6909" width="10.1796875" style="210"/>
    <col min="6910" max="6910" width="36.81640625" style="210" customWidth="1"/>
    <col min="6911" max="6911" width="25.54296875" style="210" customWidth="1"/>
    <col min="6912" max="6919" width="16.1796875" style="210" customWidth="1"/>
    <col min="6920" max="6929" width="15.1796875" style="210" customWidth="1"/>
    <col min="6930" max="6930" width="35.81640625" style="210" customWidth="1"/>
    <col min="6931" max="6933" width="29" style="210" customWidth="1"/>
    <col min="6934" max="6934" width="28.81640625" style="210" customWidth="1"/>
    <col min="6935" max="6935" width="10.81640625" style="210" bestFit="1" customWidth="1"/>
    <col min="6936" max="6936" width="23.453125" style="210" customWidth="1"/>
    <col min="6937" max="6938" width="11.81640625" style="210" bestFit="1" customWidth="1"/>
    <col min="6939" max="6939" width="10.1796875" style="210" bestFit="1" customWidth="1"/>
    <col min="6940" max="7165" width="10.1796875" style="210"/>
    <col min="7166" max="7166" width="36.81640625" style="210" customWidth="1"/>
    <col min="7167" max="7167" width="25.54296875" style="210" customWidth="1"/>
    <col min="7168" max="7175" width="16.1796875" style="210" customWidth="1"/>
    <col min="7176" max="7185" width="15.1796875" style="210" customWidth="1"/>
    <col min="7186" max="7186" width="35.81640625" style="210" customWidth="1"/>
    <col min="7187" max="7189" width="29" style="210" customWidth="1"/>
    <col min="7190" max="7190" width="28.81640625" style="210" customWidth="1"/>
    <col min="7191" max="7191" width="10.81640625" style="210" bestFit="1" customWidth="1"/>
    <col min="7192" max="7192" width="23.453125" style="210" customWidth="1"/>
    <col min="7193" max="7194" width="11.81640625" style="210" bestFit="1" customWidth="1"/>
    <col min="7195" max="7195" width="10.1796875" style="210" bestFit="1" customWidth="1"/>
    <col min="7196" max="7421" width="10.1796875" style="210"/>
    <col min="7422" max="7422" width="36.81640625" style="210" customWidth="1"/>
    <col min="7423" max="7423" width="25.54296875" style="210" customWidth="1"/>
    <col min="7424" max="7431" width="16.1796875" style="210" customWidth="1"/>
    <col min="7432" max="7441" width="15.1796875" style="210" customWidth="1"/>
    <col min="7442" max="7442" width="35.81640625" style="210" customWidth="1"/>
    <col min="7443" max="7445" width="29" style="210" customWidth="1"/>
    <col min="7446" max="7446" width="28.81640625" style="210" customWidth="1"/>
    <col min="7447" max="7447" width="10.81640625" style="210" bestFit="1" customWidth="1"/>
    <col min="7448" max="7448" width="23.453125" style="210" customWidth="1"/>
    <col min="7449" max="7450" width="11.81640625" style="210" bestFit="1" customWidth="1"/>
    <col min="7451" max="7451" width="10.1796875" style="210" bestFit="1" customWidth="1"/>
    <col min="7452" max="7677" width="10.1796875" style="210"/>
    <col min="7678" max="7678" width="36.81640625" style="210" customWidth="1"/>
    <col min="7679" max="7679" width="25.54296875" style="210" customWidth="1"/>
    <col min="7680" max="7687" width="16.1796875" style="210" customWidth="1"/>
    <col min="7688" max="7697" width="15.1796875" style="210" customWidth="1"/>
    <col min="7698" max="7698" width="35.81640625" style="210" customWidth="1"/>
    <col min="7699" max="7701" width="29" style="210" customWidth="1"/>
    <col min="7702" max="7702" width="28.81640625" style="210" customWidth="1"/>
    <col min="7703" max="7703" width="10.81640625" style="210" bestFit="1" customWidth="1"/>
    <col min="7704" max="7704" width="23.453125" style="210" customWidth="1"/>
    <col min="7705" max="7706" width="11.81640625" style="210" bestFit="1" customWidth="1"/>
    <col min="7707" max="7707" width="10.1796875" style="210" bestFit="1" customWidth="1"/>
    <col min="7708" max="7933" width="10.1796875" style="210"/>
    <col min="7934" max="7934" width="36.81640625" style="210" customWidth="1"/>
    <col min="7935" max="7935" width="25.54296875" style="210" customWidth="1"/>
    <col min="7936" max="7943" width="16.1796875" style="210" customWidth="1"/>
    <col min="7944" max="7953" width="15.1796875" style="210" customWidth="1"/>
    <col min="7954" max="7954" width="35.81640625" style="210" customWidth="1"/>
    <col min="7955" max="7957" width="29" style="210" customWidth="1"/>
    <col min="7958" max="7958" width="28.81640625" style="210" customWidth="1"/>
    <col min="7959" max="7959" width="10.81640625" style="210" bestFit="1" customWidth="1"/>
    <col min="7960" max="7960" width="23.453125" style="210" customWidth="1"/>
    <col min="7961" max="7962" width="11.81640625" style="210" bestFit="1" customWidth="1"/>
    <col min="7963" max="7963" width="10.1796875" style="210" bestFit="1" customWidth="1"/>
    <col min="7964" max="8189" width="10.1796875" style="210"/>
    <col min="8190" max="8190" width="36.81640625" style="210" customWidth="1"/>
    <col min="8191" max="8191" width="25.54296875" style="210" customWidth="1"/>
    <col min="8192" max="8199" width="16.1796875" style="210" customWidth="1"/>
    <col min="8200" max="8209" width="15.1796875" style="210" customWidth="1"/>
    <col min="8210" max="8210" width="35.81640625" style="210" customWidth="1"/>
    <col min="8211" max="8213" width="29" style="210" customWidth="1"/>
    <col min="8214" max="8214" width="28.81640625" style="210" customWidth="1"/>
    <col min="8215" max="8215" width="10.81640625" style="210" bestFit="1" customWidth="1"/>
    <col min="8216" max="8216" width="23.453125" style="210" customWidth="1"/>
    <col min="8217" max="8218" width="11.81640625" style="210" bestFit="1" customWidth="1"/>
    <col min="8219" max="8219" width="10.1796875" style="210" bestFit="1" customWidth="1"/>
    <col min="8220" max="8445" width="10.1796875" style="210"/>
    <col min="8446" max="8446" width="36.81640625" style="210" customWidth="1"/>
    <col min="8447" max="8447" width="25.54296875" style="210" customWidth="1"/>
    <col min="8448" max="8455" width="16.1796875" style="210" customWidth="1"/>
    <col min="8456" max="8465" width="15.1796875" style="210" customWidth="1"/>
    <col min="8466" max="8466" width="35.81640625" style="210" customWidth="1"/>
    <col min="8467" max="8469" width="29" style="210" customWidth="1"/>
    <col min="8470" max="8470" width="28.81640625" style="210" customWidth="1"/>
    <col min="8471" max="8471" width="10.81640625" style="210" bestFit="1" customWidth="1"/>
    <col min="8472" max="8472" width="23.453125" style="210" customWidth="1"/>
    <col min="8473" max="8474" width="11.81640625" style="210" bestFit="1" customWidth="1"/>
    <col min="8475" max="8475" width="10.1796875" style="210" bestFit="1" customWidth="1"/>
    <col min="8476" max="8701" width="10.1796875" style="210"/>
    <col min="8702" max="8702" width="36.81640625" style="210" customWidth="1"/>
    <col min="8703" max="8703" width="25.54296875" style="210" customWidth="1"/>
    <col min="8704" max="8711" width="16.1796875" style="210" customWidth="1"/>
    <col min="8712" max="8721" width="15.1796875" style="210" customWidth="1"/>
    <col min="8722" max="8722" width="35.81640625" style="210" customWidth="1"/>
    <col min="8723" max="8725" width="29" style="210" customWidth="1"/>
    <col min="8726" max="8726" width="28.81640625" style="210" customWidth="1"/>
    <col min="8727" max="8727" width="10.81640625" style="210" bestFit="1" customWidth="1"/>
    <col min="8728" max="8728" width="23.453125" style="210" customWidth="1"/>
    <col min="8729" max="8730" width="11.81640625" style="210" bestFit="1" customWidth="1"/>
    <col min="8731" max="8731" width="10.1796875" style="210" bestFit="1" customWidth="1"/>
    <col min="8732" max="8957" width="10.1796875" style="210"/>
    <col min="8958" max="8958" width="36.81640625" style="210" customWidth="1"/>
    <col min="8959" max="8959" width="25.54296875" style="210" customWidth="1"/>
    <col min="8960" max="8967" width="16.1796875" style="210" customWidth="1"/>
    <col min="8968" max="8977" width="15.1796875" style="210" customWidth="1"/>
    <col min="8978" max="8978" width="35.81640625" style="210" customWidth="1"/>
    <col min="8979" max="8981" width="29" style="210" customWidth="1"/>
    <col min="8982" max="8982" width="28.81640625" style="210" customWidth="1"/>
    <col min="8983" max="8983" width="10.81640625" style="210" bestFit="1" customWidth="1"/>
    <col min="8984" max="8984" width="23.453125" style="210" customWidth="1"/>
    <col min="8985" max="8986" width="11.81640625" style="210" bestFit="1" customWidth="1"/>
    <col min="8987" max="8987" width="10.1796875" style="210" bestFit="1" customWidth="1"/>
    <col min="8988" max="9213" width="10.1796875" style="210"/>
    <col min="9214" max="9214" width="36.81640625" style="210" customWidth="1"/>
    <col min="9215" max="9215" width="25.54296875" style="210" customWidth="1"/>
    <col min="9216" max="9223" width="16.1796875" style="210" customWidth="1"/>
    <col min="9224" max="9233" width="15.1796875" style="210" customWidth="1"/>
    <col min="9234" max="9234" width="35.81640625" style="210" customWidth="1"/>
    <col min="9235" max="9237" width="29" style="210" customWidth="1"/>
    <col min="9238" max="9238" width="28.81640625" style="210" customWidth="1"/>
    <col min="9239" max="9239" width="10.81640625" style="210" bestFit="1" customWidth="1"/>
    <col min="9240" max="9240" width="23.453125" style="210" customWidth="1"/>
    <col min="9241" max="9242" width="11.81640625" style="210" bestFit="1" customWidth="1"/>
    <col min="9243" max="9243" width="10.1796875" style="210" bestFit="1" customWidth="1"/>
    <col min="9244" max="9469" width="10.1796875" style="210"/>
    <col min="9470" max="9470" width="36.81640625" style="210" customWidth="1"/>
    <col min="9471" max="9471" width="25.54296875" style="210" customWidth="1"/>
    <col min="9472" max="9479" width="16.1796875" style="210" customWidth="1"/>
    <col min="9480" max="9489" width="15.1796875" style="210" customWidth="1"/>
    <col min="9490" max="9490" width="35.81640625" style="210" customWidth="1"/>
    <col min="9491" max="9493" width="29" style="210" customWidth="1"/>
    <col min="9494" max="9494" width="28.81640625" style="210" customWidth="1"/>
    <col min="9495" max="9495" width="10.81640625" style="210" bestFit="1" customWidth="1"/>
    <col min="9496" max="9496" width="23.453125" style="210" customWidth="1"/>
    <col min="9497" max="9498" width="11.81640625" style="210" bestFit="1" customWidth="1"/>
    <col min="9499" max="9499" width="10.1796875" style="210" bestFit="1" customWidth="1"/>
    <col min="9500" max="9725" width="10.1796875" style="210"/>
    <col min="9726" max="9726" width="36.81640625" style="210" customWidth="1"/>
    <col min="9727" max="9727" width="25.54296875" style="210" customWidth="1"/>
    <col min="9728" max="9735" width="16.1796875" style="210" customWidth="1"/>
    <col min="9736" max="9745" width="15.1796875" style="210" customWidth="1"/>
    <col min="9746" max="9746" width="35.81640625" style="210" customWidth="1"/>
    <col min="9747" max="9749" width="29" style="210" customWidth="1"/>
    <col min="9750" max="9750" width="28.81640625" style="210" customWidth="1"/>
    <col min="9751" max="9751" width="10.81640625" style="210" bestFit="1" customWidth="1"/>
    <col min="9752" max="9752" width="23.453125" style="210" customWidth="1"/>
    <col min="9753" max="9754" width="11.81640625" style="210" bestFit="1" customWidth="1"/>
    <col min="9755" max="9755" width="10.1796875" style="210" bestFit="1" customWidth="1"/>
    <col min="9756" max="9981" width="10.1796875" style="210"/>
    <col min="9982" max="9982" width="36.81640625" style="210" customWidth="1"/>
    <col min="9983" max="9983" width="25.54296875" style="210" customWidth="1"/>
    <col min="9984" max="9991" width="16.1796875" style="210" customWidth="1"/>
    <col min="9992" max="10001" width="15.1796875" style="210" customWidth="1"/>
    <col min="10002" max="10002" width="35.81640625" style="210" customWidth="1"/>
    <col min="10003" max="10005" width="29" style="210" customWidth="1"/>
    <col min="10006" max="10006" width="28.81640625" style="210" customWidth="1"/>
    <col min="10007" max="10007" width="10.81640625" style="210" bestFit="1" customWidth="1"/>
    <col min="10008" max="10008" width="23.453125" style="210" customWidth="1"/>
    <col min="10009" max="10010" width="11.81640625" style="210" bestFit="1" customWidth="1"/>
    <col min="10011" max="10011" width="10.1796875" style="210" bestFit="1" customWidth="1"/>
    <col min="10012" max="10237" width="10.1796875" style="210"/>
    <col min="10238" max="10238" width="36.81640625" style="210" customWidth="1"/>
    <col min="10239" max="10239" width="25.54296875" style="210" customWidth="1"/>
    <col min="10240" max="10247" width="16.1796875" style="210" customWidth="1"/>
    <col min="10248" max="10257" width="15.1796875" style="210" customWidth="1"/>
    <col min="10258" max="10258" width="35.81640625" style="210" customWidth="1"/>
    <col min="10259" max="10261" width="29" style="210" customWidth="1"/>
    <col min="10262" max="10262" width="28.81640625" style="210" customWidth="1"/>
    <col min="10263" max="10263" width="10.81640625" style="210" bestFit="1" customWidth="1"/>
    <col min="10264" max="10264" width="23.453125" style="210" customWidth="1"/>
    <col min="10265" max="10266" width="11.81640625" style="210" bestFit="1" customWidth="1"/>
    <col min="10267" max="10267" width="10.1796875" style="210" bestFit="1" customWidth="1"/>
    <col min="10268" max="10493" width="10.1796875" style="210"/>
    <col min="10494" max="10494" width="36.81640625" style="210" customWidth="1"/>
    <col min="10495" max="10495" width="25.54296875" style="210" customWidth="1"/>
    <col min="10496" max="10503" width="16.1796875" style="210" customWidth="1"/>
    <col min="10504" max="10513" width="15.1796875" style="210" customWidth="1"/>
    <col min="10514" max="10514" width="35.81640625" style="210" customWidth="1"/>
    <col min="10515" max="10517" width="29" style="210" customWidth="1"/>
    <col min="10518" max="10518" width="28.81640625" style="210" customWidth="1"/>
    <col min="10519" max="10519" width="10.81640625" style="210" bestFit="1" customWidth="1"/>
    <col min="10520" max="10520" width="23.453125" style="210" customWidth="1"/>
    <col min="10521" max="10522" width="11.81640625" style="210" bestFit="1" customWidth="1"/>
    <col min="10523" max="10523" width="10.1796875" style="210" bestFit="1" customWidth="1"/>
    <col min="10524" max="10749" width="10.1796875" style="210"/>
    <col min="10750" max="10750" width="36.81640625" style="210" customWidth="1"/>
    <col min="10751" max="10751" width="25.54296875" style="210" customWidth="1"/>
    <col min="10752" max="10759" width="16.1796875" style="210" customWidth="1"/>
    <col min="10760" max="10769" width="15.1796875" style="210" customWidth="1"/>
    <col min="10770" max="10770" width="35.81640625" style="210" customWidth="1"/>
    <col min="10771" max="10773" width="29" style="210" customWidth="1"/>
    <col min="10774" max="10774" width="28.81640625" style="210" customWidth="1"/>
    <col min="10775" max="10775" width="10.81640625" style="210" bestFit="1" customWidth="1"/>
    <col min="10776" max="10776" width="23.453125" style="210" customWidth="1"/>
    <col min="10777" max="10778" width="11.81640625" style="210" bestFit="1" customWidth="1"/>
    <col min="10779" max="10779" width="10.1796875" style="210" bestFit="1" customWidth="1"/>
    <col min="10780" max="11005" width="10.1796875" style="210"/>
    <col min="11006" max="11006" width="36.81640625" style="210" customWidth="1"/>
    <col min="11007" max="11007" width="25.54296875" style="210" customWidth="1"/>
    <col min="11008" max="11015" width="16.1796875" style="210" customWidth="1"/>
    <col min="11016" max="11025" width="15.1796875" style="210" customWidth="1"/>
    <col min="11026" max="11026" width="35.81640625" style="210" customWidth="1"/>
    <col min="11027" max="11029" width="29" style="210" customWidth="1"/>
    <col min="11030" max="11030" width="28.81640625" style="210" customWidth="1"/>
    <col min="11031" max="11031" width="10.81640625" style="210" bestFit="1" customWidth="1"/>
    <col min="11032" max="11032" width="23.453125" style="210" customWidth="1"/>
    <col min="11033" max="11034" width="11.81640625" style="210" bestFit="1" customWidth="1"/>
    <col min="11035" max="11035" width="10.1796875" style="210" bestFit="1" customWidth="1"/>
    <col min="11036" max="11261" width="10.1796875" style="210"/>
    <col min="11262" max="11262" width="36.81640625" style="210" customWidth="1"/>
    <col min="11263" max="11263" width="25.54296875" style="210" customWidth="1"/>
    <col min="11264" max="11271" width="16.1796875" style="210" customWidth="1"/>
    <col min="11272" max="11281" width="15.1796875" style="210" customWidth="1"/>
    <col min="11282" max="11282" width="35.81640625" style="210" customWidth="1"/>
    <col min="11283" max="11285" width="29" style="210" customWidth="1"/>
    <col min="11286" max="11286" width="28.81640625" style="210" customWidth="1"/>
    <col min="11287" max="11287" width="10.81640625" style="210" bestFit="1" customWidth="1"/>
    <col min="11288" max="11288" width="23.453125" style="210" customWidth="1"/>
    <col min="11289" max="11290" width="11.81640625" style="210" bestFit="1" customWidth="1"/>
    <col min="11291" max="11291" width="10.1796875" style="210" bestFit="1" customWidth="1"/>
    <col min="11292" max="11517" width="10.1796875" style="210"/>
    <col min="11518" max="11518" width="36.81640625" style="210" customWidth="1"/>
    <col min="11519" max="11519" width="25.54296875" style="210" customWidth="1"/>
    <col min="11520" max="11527" width="16.1796875" style="210" customWidth="1"/>
    <col min="11528" max="11537" width="15.1796875" style="210" customWidth="1"/>
    <col min="11538" max="11538" width="35.81640625" style="210" customWidth="1"/>
    <col min="11539" max="11541" width="29" style="210" customWidth="1"/>
    <col min="11542" max="11542" width="28.81640625" style="210" customWidth="1"/>
    <col min="11543" max="11543" width="10.81640625" style="210" bestFit="1" customWidth="1"/>
    <col min="11544" max="11544" width="23.453125" style="210" customWidth="1"/>
    <col min="11545" max="11546" width="11.81640625" style="210" bestFit="1" customWidth="1"/>
    <col min="11547" max="11547" width="10.1796875" style="210" bestFit="1" customWidth="1"/>
    <col min="11548" max="11773" width="10.1796875" style="210"/>
    <col min="11774" max="11774" width="36.81640625" style="210" customWidth="1"/>
    <col min="11775" max="11775" width="25.54296875" style="210" customWidth="1"/>
    <col min="11776" max="11783" width="16.1796875" style="210" customWidth="1"/>
    <col min="11784" max="11793" width="15.1796875" style="210" customWidth="1"/>
    <col min="11794" max="11794" width="35.81640625" style="210" customWidth="1"/>
    <col min="11795" max="11797" width="29" style="210" customWidth="1"/>
    <col min="11798" max="11798" width="28.81640625" style="210" customWidth="1"/>
    <col min="11799" max="11799" width="10.81640625" style="210" bestFit="1" customWidth="1"/>
    <col min="11800" max="11800" width="23.453125" style="210" customWidth="1"/>
    <col min="11801" max="11802" width="11.81640625" style="210" bestFit="1" customWidth="1"/>
    <col min="11803" max="11803" width="10.1796875" style="210" bestFit="1" customWidth="1"/>
    <col min="11804" max="12029" width="10.1796875" style="210"/>
    <col min="12030" max="12030" width="36.81640625" style="210" customWidth="1"/>
    <col min="12031" max="12031" width="25.54296875" style="210" customWidth="1"/>
    <col min="12032" max="12039" width="16.1796875" style="210" customWidth="1"/>
    <col min="12040" max="12049" width="15.1796875" style="210" customWidth="1"/>
    <col min="12050" max="12050" width="35.81640625" style="210" customWidth="1"/>
    <col min="12051" max="12053" width="29" style="210" customWidth="1"/>
    <col min="12054" max="12054" width="28.81640625" style="210" customWidth="1"/>
    <col min="12055" max="12055" width="10.81640625" style="210" bestFit="1" customWidth="1"/>
    <col min="12056" max="12056" width="23.453125" style="210" customWidth="1"/>
    <col min="12057" max="12058" width="11.81640625" style="210" bestFit="1" customWidth="1"/>
    <col min="12059" max="12059" width="10.1796875" style="210" bestFit="1" customWidth="1"/>
    <col min="12060" max="12285" width="10.1796875" style="210"/>
    <col min="12286" max="12286" width="36.81640625" style="210" customWidth="1"/>
    <col min="12287" max="12287" width="25.54296875" style="210" customWidth="1"/>
    <col min="12288" max="12295" width="16.1796875" style="210" customWidth="1"/>
    <col min="12296" max="12305" width="15.1796875" style="210" customWidth="1"/>
    <col min="12306" max="12306" width="35.81640625" style="210" customWidth="1"/>
    <col min="12307" max="12309" width="29" style="210" customWidth="1"/>
    <col min="12310" max="12310" width="28.81640625" style="210" customWidth="1"/>
    <col min="12311" max="12311" width="10.81640625" style="210" bestFit="1" customWidth="1"/>
    <col min="12312" max="12312" width="23.453125" style="210" customWidth="1"/>
    <col min="12313" max="12314" width="11.81640625" style="210" bestFit="1" customWidth="1"/>
    <col min="12315" max="12315" width="10.1796875" style="210" bestFit="1" customWidth="1"/>
    <col min="12316" max="12541" width="10.1796875" style="210"/>
    <col min="12542" max="12542" width="36.81640625" style="210" customWidth="1"/>
    <col min="12543" max="12543" width="25.54296875" style="210" customWidth="1"/>
    <col min="12544" max="12551" width="16.1796875" style="210" customWidth="1"/>
    <col min="12552" max="12561" width="15.1796875" style="210" customWidth="1"/>
    <col min="12562" max="12562" width="35.81640625" style="210" customWidth="1"/>
    <col min="12563" max="12565" width="29" style="210" customWidth="1"/>
    <col min="12566" max="12566" width="28.81640625" style="210" customWidth="1"/>
    <col min="12567" max="12567" width="10.81640625" style="210" bestFit="1" customWidth="1"/>
    <col min="12568" max="12568" width="23.453125" style="210" customWidth="1"/>
    <col min="12569" max="12570" width="11.81640625" style="210" bestFit="1" customWidth="1"/>
    <col min="12571" max="12571" width="10.1796875" style="210" bestFit="1" customWidth="1"/>
    <col min="12572" max="12797" width="10.1796875" style="210"/>
    <col min="12798" max="12798" width="36.81640625" style="210" customWidth="1"/>
    <col min="12799" max="12799" width="25.54296875" style="210" customWidth="1"/>
    <col min="12800" max="12807" width="16.1796875" style="210" customWidth="1"/>
    <col min="12808" max="12817" width="15.1796875" style="210" customWidth="1"/>
    <col min="12818" max="12818" width="35.81640625" style="210" customWidth="1"/>
    <col min="12819" max="12821" width="29" style="210" customWidth="1"/>
    <col min="12822" max="12822" width="28.81640625" style="210" customWidth="1"/>
    <col min="12823" max="12823" width="10.81640625" style="210" bestFit="1" customWidth="1"/>
    <col min="12824" max="12824" width="23.453125" style="210" customWidth="1"/>
    <col min="12825" max="12826" width="11.81640625" style="210" bestFit="1" customWidth="1"/>
    <col min="12827" max="12827" width="10.1796875" style="210" bestFit="1" customWidth="1"/>
    <col min="12828" max="13053" width="10.1796875" style="210"/>
    <col min="13054" max="13054" width="36.81640625" style="210" customWidth="1"/>
    <col min="13055" max="13055" width="25.54296875" style="210" customWidth="1"/>
    <col min="13056" max="13063" width="16.1796875" style="210" customWidth="1"/>
    <col min="13064" max="13073" width="15.1796875" style="210" customWidth="1"/>
    <col min="13074" max="13074" width="35.81640625" style="210" customWidth="1"/>
    <col min="13075" max="13077" width="29" style="210" customWidth="1"/>
    <col min="13078" max="13078" width="28.81640625" style="210" customWidth="1"/>
    <col min="13079" max="13079" width="10.81640625" style="210" bestFit="1" customWidth="1"/>
    <col min="13080" max="13080" width="23.453125" style="210" customWidth="1"/>
    <col min="13081" max="13082" width="11.81640625" style="210" bestFit="1" customWidth="1"/>
    <col min="13083" max="13083" width="10.1796875" style="210" bestFit="1" customWidth="1"/>
    <col min="13084" max="13309" width="10.1796875" style="210"/>
    <col min="13310" max="13310" width="36.81640625" style="210" customWidth="1"/>
    <col min="13311" max="13311" width="25.54296875" style="210" customWidth="1"/>
    <col min="13312" max="13319" width="16.1796875" style="210" customWidth="1"/>
    <col min="13320" max="13329" width="15.1796875" style="210" customWidth="1"/>
    <col min="13330" max="13330" width="35.81640625" style="210" customWidth="1"/>
    <col min="13331" max="13333" width="29" style="210" customWidth="1"/>
    <col min="13334" max="13334" width="28.81640625" style="210" customWidth="1"/>
    <col min="13335" max="13335" width="10.81640625" style="210" bestFit="1" customWidth="1"/>
    <col min="13336" max="13336" width="23.453125" style="210" customWidth="1"/>
    <col min="13337" max="13338" width="11.81640625" style="210" bestFit="1" customWidth="1"/>
    <col min="13339" max="13339" width="10.1796875" style="210" bestFit="1" customWidth="1"/>
    <col min="13340" max="13565" width="10.1796875" style="210"/>
    <col min="13566" max="13566" width="36.81640625" style="210" customWidth="1"/>
    <col min="13567" max="13567" width="25.54296875" style="210" customWidth="1"/>
    <col min="13568" max="13575" width="16.1796875" style="210" customWidth="1"/>
    <col min="13576" max="13585" width="15.1796875" style="210" customWidth="1"/>
    <col min="13586" max="13586" width="35.81640625" style="210" customWidth="1"/>
    <col min="13587" max="13589" width="29" style="210" customWidth="1"/>
    <col min="13590" max="13590" width="28.81640625" style="210" customWidth="1"/>
    <col min="13591" max="13591" width="10.81640625" style="210" bestFit="1" customWidth="1"/>
    <col min="13592" max="13592" width="23.453125" style="210" customWidth="1"/>
    <col min="13593" max="13594" width="11.81640625" style="210" bestFit="1" customWidth="1"/>
    <col min="13595" max="13595" width="10.1796875" style="210" bestFit="1" customWidth="1"/>
    <col min="13596" max="13821" width="10.1796875" style="210"/>
    <col min="13822" max="13822" width="36.81640625" style="210" customWidth="1"/>
    <col min="13823" max="13823" width="25.54296875" style="210" customWidth="1"/>
    <col min="13824" max="13831" width="16.1796875" style="210" customWidth="1"/>
    <col min="13832" max="13841" width="15.1796875" style="210" customWidth="1"/>
    <col min="13842" max="13842" width="35.81640625" style="210" customWidth="1"/>
    <col min="13843" max="13845" width="29" style="210" customWidth="1"/>
    <col min="13846" max="13846" width="28.81640625" style="210" customWidth="1"/>
    <col min="13847" max="13847" width="10.81640625" style="210" bestFit="1" customWidth="1"/>
    <col min="13848" max="13848" width="23.453125" style="210" customWidth="1"/>
    <col min="13849" max="13850" width="11.81640625" style="210" bestFit="1" customWidth="1"/>
    <col min="13851" max="13851" width="10.1796875" style="210" bestFit="1" customWidth="1"/>
    <col min="13852" max="14077" width="10.1796875" style="210"/>
    <col min="14078" max="14078" width="36.81640625" style="210" customWidth="1"/>
    <col min="14079" max="14079" width="25.54296875" style="210" customWidth="1"/>
    <col min="14080" max="14087" width="16.1796875" style="210" customWidth="1"/>
    <col min="14088" max="14097" width="15.1796875" style="210" customWidth="1"/>
    <col min="14098" max="14098" width="35.81640625" style="210" customWidth="1"/>
    <col min="14099" max="14101" width="29" style="210" customWidth="1"/>
    <col min="14102" max="14102" width="28.81640625" style="210" customWidth="1"/>
    <col min="14103" max="14103" width="10.81640625" style="210" bestFit="1" customWidth="1"/>
    <col min="14104" max="14104" width="23.453125" style="210" customWidth="1"/>
    <col min="14105" max="14106" width="11.81640625" style="210" bestFit="1" customWidth="1"/>
    <col min="14107" max="14107" width="10.1796875" style="210" bestFit="1" customWidth="1"/>
    <col min="14108" max="14333" width="10.1796875" style="210"/>
    <col min="14334" max="14334" width="36.81640625" style="210" customWidth="1"/>
    <col min="14335" max="14335" width="25.54296875" style="210" customWidth="1"/>
    <col min="14336" max="14343" width="16.1796875" style="210" customWidth="1"/>
    <col min="14344" max="14353" width="15.1796875" style="210" customWidth="1"/>
    <col min="14354" max="14354" width="35.81640625" style="210" customWidth="1"/>
    <col min="14355" max="14357" width="29" style="210" customWidth="1"/>
    <col min="14358" max="14358" width="28.81640625" style="210" customWidth="1"/>
    <col min="14359" max="14359" width="10.81640625" style="210" bestFit="1" customWidth="1"/>
    <col min="14360" max="14360" width="23.453125" style="210" customWidth="1"/>
    <col min="14361" max="14362" width="11.81640625" style="210" bestFit="1" customWidth="1"/>
    <col min="14363" max="14363" width="10.1796875" style="210" bestFit="1" customWidth="1"/>
    <col min="14364" max="14589" width="10.1796875" style="210"/>
    <col min="14590" max="14590" width="36.81640625" style="210" customWidth="1"/>
    <col min="14591" max="14591" width="25.54296875" style="210" customWidth="1"/>
    <col min="14592" max="14599" width="16.1796875" style="210" customWidth="1"/>
    <col min="14600" max="14609" width="15.1796875" style="210" customWidth="1"/>
    <col min="14610" max="14610" width="35.81640625" style="210" customWidth="1"/>
    <col min="14611" max="14613" width="29" style="210" customWidth="1"/>
    <col min="14614" max="14614" width="28.81640625" style="210" customWidth="1"/>
    <col min="14615" max="14615" width="10.81640625" style="210" bestFit="1" customWidth="1"/>
    <col min="14616" max="14616" width="23.453125" style="210" customWidth="1"/>
    <col min="14617" max="14618" width="11.81640625" style="210" bestFit="1" customWidth="1"/>
    <col min="14619" max="14619" width="10.1796875" style="210" bestFit="1" customWidth="1"/>
    <col min="14620" max="14845" width="10.1796875" style="210"/>
    <col min="14846" max="14846" width="36.81640625" style="210" customWidth="1"/>
    <col min="14847" max="14847" width="25.54296875" style="210" customWidth="1"/>
    <col min="14848" max="14855" width="16.1796875" style="210" customWidth="1"/>
    <col min="14856" max="14865" width="15.1796875" style="210" customWidth="1"/>
    <col min="14866" max="14866" width="35.81640625" style="210" customWidth="1"/>
    <col min="14867" max="14869" width="29" style="210" customWidth="1"/>
    <col min="14870" max="14870" width="28.81640625" style="210" customWidth="1"/>
    <col min="14871" max="14871" width="10.81640625" style="210" bestFit="1" customWidth="1"/>
    <col min="14872" max="14872" width="23.453125" style="210" customWidth="1"/>
    <col min="14873" max="14874" width="11.81640625" style="210" bestFit="1" customWidth="1"/>
    <col min="14875" max="14875" width="10.1796875" style="210" bestFit="1" customWidth="1"/>
    <col min="14876" max="15101" width="10.1796875" style="210"/>
    <col min="15102" max="15102" width="36.81640625" style="210" customWidth="1"/>
    <col min="15103" max="15103" width="25.54296875" style="210" customWidth="1"/>
    <col min="15104" max="15111" width="16.1796875" style="210" customWidth="1"/>
    <col min="15112" max="15121" width="15.1796875" style="210" customWidth="1"/>
    <col min="15122" max="15122" width="35.81640625" style="210" customWidth="1"/>
    <col min="15123" max="15125" width="29" style="210" customWidth="1"/>
    <col min="15126" max="15126" width="28.81640625" style="210" customWidth="1"/>
    <col min="15127" max="15127" width="10.81640625" style="210" bestFit="1" customWidth="1"/>
    <col min="15128" max="15128" width="23.453125" style="210" customWidth="1"/>
    <col min="15129" max="15130" width="11.81640625" style="210" bestFit="1" customWidth="1"/>
    <col min="15131" max="15131" width="10.1796875" style="210" bestFit="1" customWidth="1"/>
    <col min="15132" max="15357" width="10.1796875" style="210"/>
    <col min="15358" max="15358" width="36.81640625" style="210" customWidth="1"/>
    <col min="15359" max="15359" width="25.54296875" style="210" customWidth="1"/>
    <col min="15360" max="15367" width="16.1796875" style="210" customWidth="1"/>
    <col min="15368" max="15377" width="15.1796875" style="210" customWidth="1"/>
    <col min="15378" max="15378" width="35.81640625" style="210" customWidth="1"/>
    <col min="15379" max="15381" width="29" style="210" customWidth="1"/>
    <col min="15382" max="15382" width="28.81640625" style="210" customWidth="1"/>
    <col min="15383" max="15383" width="10.81640625" style="210" bestFit="1" customWidth="1"/>
    <col min="15384" max="15384" width="23.453125" style="210" customWidth="1"/>
    <col min="15385" max="15386" width="11.81640625" style="210" bestFit="1" customWidth="1"/>
    <col min="15387" max="15387" width="10.1796875" style="210" bestFit="1" customWidth="1"/>
    <col min="15388" max="15613" width="10.1796875" style="210"/>
    <col min="15614" max="15614" width="36.81640625" style="210" customWidth="1"/>
    <col min="15615" max="15615" width="25.54296875" style="210" customWidth="1"/>
    <col min="15616" max="15623" width="16.1796875" style="210" customWidth="1"/>
    <col min="15624" max="15633" width="15.1796875" style="210" customWidth="1"/>
    <col min="15634" max="15634" width="35.81640625" style="210" customWidth="1"/>
    <col min="15635" max="15637" width="29" style="210" customWidth="1"/>
    <col min="15638" max="15638" width="28.81640625" style="210" customWidth="1"/>
    <col min="15639" max="15639" width="10.81640625" style="210" bestFit="1" customWidth="1"/>
    <col min="15640" max="15640" width="23.453125" style="210" customWidth="1"/>
    <col min="15641" max="15642" width="11.81640625" style="210" bestFit="1" customWidth="1"/>
    <col min="15643" max="15643" width="10.1796875" style="210" bestFit="1" customWidth="1"/>
    <col min="15644" max="15869" width="10.1796875" style="210"/>
    <col min="15870" max="15870" width="36.81640625" style="210" customWidth="1"/>
    <col min="15871" max="15871" width="25.54296875" style="210" customWidth="1"/>
    <col min="15872" max="15879" width="16.1796875" style="210" customWidth="1"/>
    <col min="15880" max="15889" width="15.1796875" style="210" customWidth="1"/>
    <col min="15890" max="15890" width="35.81640625" style="210" customWidth="1"/>
    <col min="15891" max="15893" width="29" style="210" customWidth="1"/>
    <col min="15894" max="15894" width="28.81640625" style="210" customWidth="1"/>
    <col min="15895" max="15895" width="10.81640625" style="210" bestFit="1" customWidth="1"/>
    <col min="15896" max="15896" width="23.453125" style="210" customWidth="1"/>
    <col min="15897" max="15898" width="11.81640625" style="210" bestFit="1" customWidth="1"/>
    <col min="15899" max="15899" width="10.1796875" style="210" bestFit="1" customWidth="1"/>
    <col min="15900" max="16125" width="10.1796875" style="210"/>
    <col min="16126" max="16126" width="36.81640625" style="210" customWidth="1"/>
    <col min="16127" max="16127" width="25.54296875" style="210" customWidth="1"/>
    <col min="16128" max="16135" width="16.1796875" style="210" customWidth="1"/>
    <col min="16136" max="16145" width="15.1796875" style="210" customWidth="1"/>
    <col min="16146" max="16146" width="35.81640625" style="210" customWidth="1"/>
    <col min="16147" max="16149" width="29" style="210" customWidth="1"/>
    <col min="16150" max="16150" width="28.81640625" style="210" customWidth="1"/>
    <col min="16151" max="16151" width="10.81640625" style="210" bestFit="1" customWidth="1"/>
    <col min="16152" max="16152" width="23.453125" style="210" customWidth="1"/>
    <col min="16153" max="16154" width="11.81640625" style="210" bestFit="1" customWidth="1"/>
    <col min="16155" max="16155" width="10.1796875" style="210" bestFit="1" customWidth="1"/>
    <col min="16156" max="16384" width="10.1796875" style="210"/>
  </cols>
  <sheetData>
    <row r="1" spans="1:27">
      <c r="B1" s="211" t="s">
        <v>257</v>
      </c>
      <c r="C1" s="212" t="s">
        <v>258</v>
      </c>
      <c r="K1" s="213"/>
      <c r="L1" s="213"/>
      <c r="R1" s="211" t="s">
        <v>259</v>
      </c>
      <c r="S1" s="212" t="s">
        <v>260</v>
      </c>
      <c r="V1" s="213"/>
    </row>
    <row r="2" spans="1:27" ht="14.5">
      <c r="B2" s="214"/>
      <c r="C2" s="215" t="s">
        <v>261</v>
      </c>
      <c r="E2" s="216"/>
      <c r="F2" s="216"/>
      <c r="G2" s="216"/>
      <c r="H2" s="216"/>
      <c r="I2" s="216"/>
      <c r="K2" s="216"/>
      <c r="L2" s="216"/>
      <c r="M2" s="216"/>
      <c r="N2" s="216"/>
      <c r="O2" s="216"/>
      <c r="P2" s="216"/>
      <c r="Q2" s="216"/>
      <c r="R2" s="214"/>
      <c r="S2" s="215" t="s">
        <v>262</v>
      </c>
      <c r="T2" s="216"/>
      <c r="V2" s="216"/>
    </row>
    <row r="3" spans="1:27">
      <c r="H3" s="217"/>
      <c r="I3" s="218"/>
      <c r="J3" s="217" t="s">
        <v>263</v>
      </c>
      <c r="Q3" s="217" t="s">
        <v>263</v>
      </c>
      <c r="V3" s="217" t="s">
        <v>263</v>
      </c>
    </row>
    <row r="4" spans="1:27" ht="15" thickBot="1">
      <c r="A4" s="219"/>
      <c r="H4" s="220"/>
      <c r="I4" s="219"/>
      <c r="J4" s="220" t="s">
        <v>264</v>
      </c>
      <c r="Q4" s="220" t="s">
        <v>264</v>
      </c>
      <c r="V4" s="220" t="s">
        <v>264</v>
      </c>
    </row>
    <row r="5" spans="1:27" ht="14.5">
      <c r="A5" s="221"/>
      <c r="B5" s="222"/>
      <c r="C5" s="223"/>
      <c r="D5" s="223"/>
      <c r="E5" s="944" t="s">
        <v>265</v>
      </c>
      <c r="F5" s="944"/>
      <c r="G5" s="224"/>
      <c r="H5" s="225"/>
      <c r="I5" s="223"/>
      <c r="J5" s="226"/>
      <c r="K5" s="223"/>
      <c r="L5" s="223"/>
      <c r="M5" s="223"/>
      <c r="N5" s="223"/>
      <c r="O5" s="223"/>
      <c r="P5" s="223"/>
      <c r="Q5" s="226"/>
      <c r="R5" s="227"/>
      <c r="S5" s="228" t="s">
        <v>266</v>
      </c>
      <c r="T5" s="229" t="s">
        <v>267</v>
      </c>
      <c r="U5" s="223"/>
      <c r="V5" s="226"/>
    </row>
    <row r="6" spans="1:27">
      <c r="A6" s="230" t="s">
        <v>103</v>
      </c>
      <c r="B6" s="231" t="s">
        <v>104</v>
      </c>
      <c r="C6" s="232" t="s">
        <v>268</v>
      </c>
      <c r="D6" s="233" t="s">
        <v>16</v>
      </c>
      <c r="E6" s="233" t="s">
        <v>15</v>
      </c>
      <c r="F6" s="233" t="s">
        <v>269</v>
      </c>
      <c r="G6" s="234" t="s">
        <v>20</v>
      </c>
      <c r="H6" s="235" t="s">
        <v>17</v>
      </c>
      <c r="I6" s="233" t="s">
        <v>1</v>
      </c>
      <c r="J6" s="236" t="s">
        <v>13</v>
      </c>
      <c r="K6" s="233" t="s">
        <v>2</v>
      </c>
      <c r="L6" s="233" t="s">
        <v>6</v>
      </c>
      <c r="M6" s="233" t="s">
        <v>270</v>
      </c>
      <c r="N6" s="233" t="s">
        <v>271</v>
      </c>
      <c r="O6" s="233" t="s">
        <v>272</v>
      </c>
      <c r="P6" s="233" t="s">
        <v>273</v>
      </c>
      <c r="Q6" s="236" t="s">
        <v>274</v>
      </c>
      <c r="R6" s="238" t="s">
        <v>104</v>
      </c>
      <c r="S6" s="234" t="s">
        <v>275</v>
      </c>
      <c r="T6" s="234" t="s">
        <v>276</v>
      </c>
      <c r="U6" s="234" t="s">
        <v>277</v>
      </c>
      <c r="V6" s="236" t="s">
        <v>278</v>
      </c>
    </row>
    <row r="7" spans="1:27">
      <c r="A7" s="239" t="s">
        <v>105</v>
      </c>
      <c r="B7" s="240" t="s">
        <v>106</v>
      </c>
      <c r="C7" s="241" t="s">
        <v>279</v>
      </c>
      <c r="D7" s="241" t="s">
        <v>280</v>
      </c>
      <c r="E7" s="241" t="s">
        <v>281</v>
      </c>
      <c r="F7" s="241" t="s">
        <v>282</v>
      </c>
      <c r="G7" s="241" t="s">
        <v>283</v>
      </c>
      <c r="H7" s="242" t="s">
        <v>284</v>
      </c>
      <c r="I7" s="241" t="s">
        <v>285</v>
      </c>
      <c r="J7" s="243" t="s">
        <v>286</v>
      </c>
      <c r="K7" s="241" t="s">
        <v>287</v>
      </c>
      <c r="L7" s="241" t="s">
        <v>288</v>
      </c>
      <c r="M7" s="245" t="s">
        <v>289</v>
      </c>
      <c r="N7" s="241" t="s">
        <v>290</v>
      </c>
      <c r="O7" s="241" t="s">
        <v>291</v>
      </c>
      <c r="P7" s="241" t="s">
        <v>292</v>
      </c>
      <c r="Q7" s="243" t="s">
        <v>289</v>
      </c>
      <c r="R7" s="239" t="s">
        <v>106</v>
      </c>
      <c r="S7" s="245" t="s">
        <v>293</v>
      </c>
      <c r="T7" s="245" t="s">
        <v>294</v>
      </c>
      <c r="U7" s="245" t="s">
        <v>295</v>
      </c>
      <c r="V7" s="243" t="s">
        <v>296</v>
      </c>
    </row>
    <row r="8" spans="1:27">
      <c r="A8" s="246"/>
      <c r="B8" s="247"/>
      <c r="C8" s="248"/>
      <c r="D8" s="249"/>
      <c r="E8" s="248" t="s">
        <v>297</v>
      </c>
      <c r="F8" s="248" t="s">
        <v>298</v>
      </c>
      <c r="G8" s="250"/>
      <c r="H8" s="251"/>
      <c r="I8" s="252"/>
      <c r="J8" s="253"/>
      <c r="K8" s="249"/>
      <c r="L8" s="248" t="s">
        <v>299</v>
      </c>
      <c r="M8" s="249"/>
      <c r="N8" s="248" t="s">
        <v>300</v>
      </c>
      <c r="O8" s="248"/>
      <c r="P8" s="249"/>
      <c r="Q8" s="253"/>
      <c r="R8" s="246"/>
      <c r="S8" s="250"/>
      <c r="T8" s="250"/>
      <c r="U8" s="250"/>
      <c r="V8" s="253"/>
    </row>
    <row r="9" spans="1:27" ht="16" customHeight="1">
      <c r="A9" s="255" t="s">
        <v>111</v>
      </c>
      <c r="B9" s="256">
        <f>SUM(B10:B47)</f>
        <v>5609.4058599999998</v>
      </c>
      <c r="C9" s="257">
        <f>SUM(C10:C47)</f>
        <v>5.0049999999999999</v>
      </c>
      <c r="D9" s="257">
        <f t="shared" ref="D9:Q9" si="0">SUM(D10:D47)</f>
        <v>5424.2099399999997</v>
      </c>
      <c r="E9" s="257">
        <f t="shared" si="0"/>
        <v>0</v>
      </c>
      <c r="F9" s="257">
        <f t="shared" si="0"/>
        <v>0</v>
      </c>
      <c r="G9" s="257">
        <f t="shared" si="0"/>
        <v>13.997</v>
      </c>
      <c r="H9" s="257">
        <f t="shared" si="0"/>
        <v>82.981920000000002</v>
      </c>
      <c r="I9" s="257">
        <f t="shared" si="0"/>
        <v>0</v>
      </c>
      <c r="J9" s="258">
        <f t="shared" si="0"/>
        <v>83.212000000000003</v>
      </c>
      <c r="K9" s="257">
        <f t="shared" si="0"/>
        <v>0</v>
      </c>
      <c r="L9" s="257">
        <f t="shared" si="0"/>
        <v>0</v>
      </c>
      <c r="M9" s="257">
        <f t="shared" si="0"/>
        <v>0</v>
      </c>
      <c r="N9" s="257">
        <f t="shared" si="0"/>
        <v>0</v>
      </c>
      <c r="O9" s="257">
        <f t="shared" si="0"/>
        <v>0</v>
      </c>
      <c r="P9" s="257">
        <f t="shared" si="0"/>
        <v>0</v>
      </c>
      <c r="Q9" s="258">
        <f t="shared" si="0"/>
        <v>0</v>
      </c>
      <c r="R9" s="259">
        <f>SUM(S9:V9)</f>
        <v>5609.4058600000008</v>
      </c>
      <c r="S9" s="257">
        <f>SUM(S10:S47)</f>
        <v>2015.78233</v>
      </c>
      <c r="T9" s="257">
        <f>SUM(T10:T47)</f>
        <v>1536.9957300000001</v>
      </c>
      <c r="U9" s="257">
        <f>SUM(U10:U47)</f>
        <v>622.86424</v>
      </c>
      <c r="V9" s="258">
        <f>SUM(V10:V47)</f>
        <v>1433.7635600000001</v>
      </c>
      <c r="W9" s="356"/>
    </row>
    <row r="10" spans="1:27" ht="14.15" customHeight="1">
      <c r="A10" s="260" t="s">
        <v>137</v>
      </c>
      <c r="B10" s="261">
        <f t="shared" ref="B10:B47" si="1">SUM(C10:Q10)</f>
        <v>0</v>
      </c>
      <c r="C10" s="262">
        <f>'P NP JAPUNG KAB'!AJ6/1000</f>
        <v>0</v>
      </c>
      <c r="D10" s="262">
        <f>'P NP JAPUNG KAB'!AN6/1000</f>
        <v>0</v>
      </c>
      <c r="E10" s="262">
        <f>'P NP JAPUNG KAB'!AL6/1000</f>
        <v>0</v>
      </c>
      <c r="F10" s="262">
        <f>'P NP JAPUNG KAB'!P6/1000</f>
        <v>0</v>
      </c>
      <c r="G10" s="262">
        <f>'P NP JAPUNG KAB'!AT6/1000</f>
        <v>0</v>
      </c>
      <c r="H10" s="262">
        <f>'P NP JAPUNG KAB'!AP6/1000</f>
        <v>0</v>
      </c>
      <c r="I10" s="262">
        <f>'P NP JAPUNG KAB'!D6/1000</f>
        <v>0</v>
      </c>
      <c r="J10" s="262">
        <f>'P NP JAPUNG KAB'!AD6/1000</f>
        <v>0</v>
      </c>
      <c r="K10" s="262">
        <f>'P NP JAPUNG KAB'!F6/1000</f>
        <v>0</v>
      </c>
      <c r="L10" s="262">
        <f>'P NP JAPUNG KAB'!L6/1000</f>
        <v>0</v>
      </c>
      <c r="M10" s="262">
        <f>'P NP JAPUNG KAB'!BP6/1000</f>
        <v>0</v>
      </c>
      <c r="N10" s="262">
        <f>'P NP JAPUNG KAB'!BF6/1000</f>
        <v>0</v>
      </c>
      <c r="O10" s="262">
        <f>'P NP JAPUNG KAB'!BH6/1000</f>
        <v>0</v>
      </c>
      <c r="P10" s="262">
        <f>'P NP JAPUNG KAB'!BJ6/1000</f>
        <v>0</v>
      </c>
      <c r="Q10" s="822">
        <f>'P NP JAPUNG KAB'!BL6/1000</f>
        <v>0</v>
      </c>
      <c r="R10" s="491">
        <f>SUM(S10:V10)</f>
        <v>0</v>
      </c>
      <c r="S10" s="573">
        <f>'P NP TW'!BS7/1000</f>
        <v>0</v>
      </c>
      <c r="T10" s="573">
        <f>'P NP TW'!BU7/1000</f>
        <v>0</v>
      </c>
      <c r="U10" s="573">
        <f>'P NP TW'!BW7/1000</f>
        <v>0</v>
      </c>
      <c r="V10" s="263">
        <f>'P NP TW'!BY7/1000</f>
        <v>0</v>
      </c>
      <c r="W10" s="853"/>
      <c r="X10" s="265"/>
      <c r="Y10" s="265"/>
      <c r="Z10" s="265"/>
      <c r="AA10" s="265"/>
    </row>
    <row r="11" spans="1:27" ht="14.15" customHeight="1">
      <c r="A11" s="260" t="s">
        <v>121</v>
      </c>
      <c r="B11" s="266">
        <f t="shared" si="1"/>
        <v>24.029999999999998</v>
      </c>
      <c r="C11" s="267">
        <f>'P NP JAPUNG KAB'!AJ7/1000</f>
        <v>4.4749999999999996</v>
      </c>
      <c r="D11" s="267">
        <f>'P NP JAPUNG KAB'!AN7/1000</f>
        <v>13.73</v>
      </c>
      <c r="E11" s="267">
        <f>'P NP JAPUNG KAB'!AL7/1000</f>
        <v>0</v>
      </c>
      <c r="F11" s="267">
        <f>'P NP JAPUNG KAB'!P7/1000</f>
        <v>0</v>
      </c>
      <c r="G11" s="267">
        <f>'P NP JAPUNG KAB'!AT7/1000</f>
        <v>0</v>
      </c>
      <c r="H11" s="267">
        <f>'P NP JAPUNG KAB'!AP7/1000</f>
        <v>0</v>
      </c>
      <c r="I11" s="267">
        <f>'P NP JAPUNG KAB'!D7/1000</f>
        <v>0</v>
      </c>
      <c r="J11" s="267">
        <f>'P NP JAPUNG KAB'!AD7/1000</f>
        <v>5.8250000000000002</v>
      </c>
      <c r="K11" s="267">
        <f>'P NP JAPUNG KAB'!F7/1000</f>
        <v>0</v>
      </c>
      <c r="L11" s="267">
        <f>'P NP JAPUNG KAB'!L7/1000</f>
        <v>0</v>
      </c>
      <c r="M11" s="267">
        <f>'P NP JAPUNG KAB'!BP7/1000</f>
        <v>0</v>
      </c>
      <c r="N11" s="267">
        <f>'P NP JAPUNG KAB'!BF7/1000</f>
        <v>0</v>
      </c>
      <c r="O11" s="267">
        <f>'P NP JAPUNG KAB'!BH7/1000</f>
        <v>0</v>
      </c>
      <c r="P11" s="267">
        <f>'P NP JAPUNG KAB'!BJ7/1000</f>
        <v>0</v>
      </c>
      <c r="Q11" s="820">
        <f>'P NP JAPUNG KAB'!BL7/1000</f>
        <v>0</v>
      </c>
      <c r="R11" s="491">
        <f>SUM(S11:V11)</f>
        <v>24.03</v>
      </c>
      <c r="S11" s="363">
        <f>'P NP TW'!BS8/1000</f>
        <v>5.6050000000000004</v>
      </c>
      <c r="T11" s="363">
        <f>'P NP TW'!BU8/1000</f>
        <v>7.62</v>
      </c>
      <c r="U11" s="363">
        <f>'P NP TW'!BW8/1000</f>
        <v>4.6500000000000004</v>
      </c>
      <c r="V11" s="268">
        <f>'P NP TW'!BY8/1000</f>
        <v>6.1550000000000002</v>
      </c>
      <c r="W11" s="853"/>
      <c r="X11" s="265"/>
      <c r="Y11" s="265"/>
      <c r="Z11" s="265"/>
      <c r="AA11" s="265"/>
    </row>
    <row r="12" spans="1:27" ht="14.15" customHeight="1">
      <c r="A12" s="260" t="s">
        <v>116</v>
      </c>
      <c r="B12" s="270">
        <f t="shared" si="1"/>
        <v>28.204999999999998</v>
      </c>
      <c r="C12" s="267">
        <f>'P NP JAPUNG KAB'!AJ8/1000</f>
        <v>0</v>
      </c>
      <c r="D12" s="267">
        <f>'P NP JAPUNG KAB'!AN8/1000</f>
        <v>28.204999999999998</v>
      </c>
      <c r="E12" s="267">
        <f>'P NP JAPUNG KAB'!AL8/1000</f>
        <v>0</v>
      </c>
      <c r="F12" s="267">
        <f>'P NP JAPUNG KAB'!P8/1000</f>
        <v>0</v>
      </c>
      <c r="G12" s="267">
        <f>'P NP JAPUNG KAB'!AT8/1000</f>
        <v>0</v>
      </c>
      <c r="H12" s="267">
        <f>'P NP JAPUNG KAB'!AP8/1000</f>
        <v>0</v>
      </c>
      <c r="I12" s="267">
        <f>'P NP JAPUNG KAB'!D8/1000</f>
        <v>0</v>
      </c>
      <c r="J12" s="267">
        <f>'P NP JAPUNG KAB'!AD8/1000</f>
        <v>0</v>
      </c>
      <c r="K12" s="267">
        <f>'P NP JAPUNG KAB'!F8/1000</f>
        <v>0</v>
      </c>
      <c r="L12" s="267">
        <f>'P NP JAPUNG KAB'!L8/1000</f>
        <v>0</v>
      </c>
      <c r="M12" s="267">
        <f>'P NP JAPUNG KAB'!BP8/1000</f>
        <v>0</v>
      </c>
      <c r="N12" s="267">
        <f>'P NP JAPUNG KAB'!BF8/1000</f>
        <v>0</v>
      </c>
      <c r="O12" s="267">
        <f>'P NP JAPUNG KAB'!BH8/1000</f>
        <v>0</v>
      </c>
      <c r="P12" s="267">
        <f>'P NP JAPUNG KAB'!BJ8/1000</f>
        <v>0</v>
      </c>
      <c r="Q12" s="820">
        <f>'P NP JAPUNG KAB'!BL8/1000</f>
        <v>0</v>
      </c>
      <c r="R12" s="491">
        <f t="shared" ref="R12:R47" si="2">SUM(S12:V12)</f>
        <v>28.205000000000002</v>
      </c>
      <c r="S12" s="363">
        <f>'P NP TW'!BS9/1000</f>
        <v>7.06</v>
      </c>
      <c r="T12" s="363">
        <f>'P NP TW'!BU9/1000</f>
        <v>8.99</v>
      </c>
      <c r="U12" s="363">
        <f>'P NP TW'!BW9/1000</f>
        <v>6.39</v>
      </c>
      <c r="V12" s="268">
        <f>'P NP TW'!BY9/1000</f>
        <v>5.7649999999999997</v>
      </c>
      <c r="W12" s="853"/>
      <c r="X12" s="265"/>
      <c r="Y12" s="265"/>
      <c r="Z12" s="265"/>
      <c r="AA12" s="265"/>
    </row>
    <row r="13" spans="1:27" ht="14.15" customHeight="1">
      <c r="A13" s="260" t="s">
        <v>133</v>
      </c>
      <c r="B13" s="270">
        <f t="shared" si="1"/>
        <v>31.500999999999998</v>
      </c>
      <c r="C13" s="267">
        <f>'P NP JAPUNG KAB'!AJ9/1000</f>
        <v>0</v>
      </c>
      <c r="D13" s="267">
        <f>'P NP JAPUNG KAB'!AN9/1000</f>
        <v>9.8829999999999991</v>
      </c>
      <c r="E13" s="267">
        <f>'P NP JAPUNG KAB'!AL9/1000</f>
        <v>0</v>
      </c>
      <c r="F13" s="267">
        <f>'P NP JAPUNG KAB'!P9/1000</f>
        <v>0</v>
      </c>
      <c r="G13" s="267">
        <f>'P NP JAPUNG KAB'!AT9/1000</f>
        <v>13.997</v>
      </c>
      <c r="H13" s="267">
        <f>'P NP JAPUNG KAB'!AP9/1000</f>
        <v>7.6210000000000004</v>
      </c>
      <c r="I13" s="267">
        <f>'P NP JAPUNG KAB'!D9/1000</f>
        <v>0</v>
      </c>
      <c r="J13" s="267">
        <f>'P NP JAPUNG KAB'!AD9/1000</f>
        <v>0</v>
      </c>
      <c r="K13" s="267">
        <f>'P NP JAPUNG KAB'!F9/1000</f>
        <v>0</v>
      </c>
      <c r="L13" s="267">
        <f>'P NP JAPUNG KAB'!L9/1000</f>
        <v>0</v>
      </c>
      <c r="M13" s="267">
        <f>'P NP JAPUNG KAB'!BP9/1000</f>
        <v>0</v>
      </c>
      <c r="N13" s="267">
        <f>'P NP JAPUNG KAB'!BF9/1000</f>
        <v>0</v>
      </c>
      <c r="O13" s="267">
        <f>'P NP JAPUNG KAB'!BH9/1000</f>
        <v>0</v>
      </c>
      <c r="P13" s="267">
        <f>'P NP JAPUNG KAB'!BJ9/1000</f>
        <v>0</v>
      </c>
      <c r="Q13" s="820">
        <f>'P NP JAPUNG KAB'!BL9/1000</f>
        <v>0</v>
      </c>
      <c r="R13" s="491">
        <f t="shared" si="2"/>
        <v>31.500999999999998</v>
      </c>
      <c r="S13" s="363">
        <f>'P NP TW'!BS10/1000</f>
        <v>11.523999999999999</v>
      </c>
      <c r="T13" s="363">
        <f>'P NP TW'!BU10/1000</f>
        <v>5.5380000000000003</v>
      </c>
      <c r="U13" s="363">
        <f>'P NP TW'!BW10/1000</f>
        <v>3.2629999999999999</v>
      </c>
      <c r="V13" s="268">
        <f>'P NP TW'!BY10/1000</f>
        <v>11.176</v>
      </c>
      <c r="W13" s="853"/>
      <c r="X13" s="265"/>
      <c r="Y13" s="265"/>
      <c r="Z13" s="265"/>
      <c r="AA13" s="265"/>
    </row>
    <row r="14" spans="1:27" ht="14.15" customHeight="1">
      <c r="A14" s="260" t="s">
        <v>122</v>
      </c>
      <c r="B14" s="270">
        <f t="shared" si="1"/>
        <v>0</v>
      </c>
      <c r="C14" s="267">
        <f>'P NP JAPUNG KAB'!AJ10/1000</f>
        <v>0</v>
      </c>
      <c r="D14" s="267">
        <f>'P NP JAPUNG KAB'!AN10/1000</f>
        <v>0</v>
      </c>
      <c r="E14" s="267">
        <f>'P NP JAPUNG KAB'!AL10/1000</f>
        <v>0</v>
      </c>
      <c r="F14" s="267">
        <f>'P NP JAPUNG KAB'!P10/1000</f>
        <v>0</v>
      </c>
      <c r="G14" s="267">
        <f>'P NP JAPUNG KAB'!AT10/1000</f>
        <v>0</v>
      </c>
      <c r="H14" s="267">
        <f>'P NP JAPUNG KAB'!AP10/1000</f>
        <v>0</v>
      </c>
      <c r="I14" s="267">
        <f>'P NP JAPUNG KAB'!D10/1000</f>
        <v>0</v>
      </c>
      <c r="J14" s="267">
        <f>'P NP JAPUNG KAB'!AD10/1000</f>
        <v>0</v>
      </c>
      <c r="K14" s="267">
        <f>'P NP JAPUNG KAB'!F10/1000</f>
        <v>0</v>
      </c>
      <c r="L14" s="267">
        <f>'P NP JAPUNG KAB'!L10/1000</f>
        <v>0</v>
      </c>
      <c r="M14" s="267">
        <f>'P NP JAPUNG KAB'!BP10/1000</f>
        <v>0</v>
      </c>
      <c r="N14" s="267">
        <f>'P NP JAPUNG KAB'!BF10/1000</f>
        <v>0</v>
      </c>
      <c r="O14" s="267">
        <f>'P NP JAPUNG KAB'!BH10/1000</f>
        <v>0</v>
      </c>
      <c r="P14" s="267">
        <f>'P NP JAPUNG KAB'!BJ10/1000</f>
        <v>0</v>
      </c>
      <c r="Q14" s="820">
        <f>'P NP JAPUNG KAB'!BL10/1000</f>
        <v>0</v>
      </c>
      <c r="R14" s="491">
        <f t="shared" si="2"/>
        <v>0</v>
      </c>
      <c r="S14" s="363">
        <f>'P NP TW'!BS11/1000</f>
        <v>0</v>
      </c>
      <c r="T14" s="363">
        <f>'P NP TW'!BU11/1000</f>
        <v>0</v>
      </c>
      <c r="U14" s="363">
        <f>'P NP TW'!BW11/1000</f>
        <v>0</v>
      </c>
      <c r="V14" s="268">
        <f>'P NP TW'!BY11/1000</f>
        <v>0</v>
      </c>
      <c r="W14" s="853"/>
      <c r="X14" s="265"/>
      <c r="Y14" s="265"/>
      <c r="Z14" s="265"/>
      <c r="AA14" s="265"/>
    </row>
    <row r="15" spans="1:27" ht="14.15" customHeight="1">
      <c r="A15" s="260" t="s">
        <v>136</v>
      </c>
      <c r="B15" s="270">
        <f t="shared" si="1"/>
        <v>0</v>
      </c>
      <c r="C15" s="267">
        <f>'P NP JAPUNG KAB'!AJ11/1000</f>
        <v>0</v>
      </c>
      <c r="D15" s="267">
        <f>'P NP JAPUNG KAB'!AN11/1000</f>
        <v>0</v>
      </c>
      <c r="E15" s="267">
        <f>'P NP JAPUNG KAB'!AL11/1000</f>
        <v>0</v>
      </c>
      <c r="F15" s="267">
        <f>'P NP JAPUNG KAB'!P11/1000</f>
        <v>0</v>
      </c>
      <c r="G15" s="267">
        <f>'P NP JAPUNG KAB'!AT11/1000</f>
        <v>0</v>
      </c>
      <c r="H15" s="267">
        <f>'P NP JAPUNG KAB'!AP11/1000</f>
        <v>0</v>
      </c>
      <c r="I15" s="267">
        <f>'P NP JAPUNG KAB'!D11/1000</f>
        <v>0</v>
      </c>
      <c r="J15" s="267">
        <f>'P NP JAPUNG KAB'!AD11/1000</f>
        <v>0</v>
      </c>
      <c r="K15" s="267">
        <f>'P NP JAPUNG KAB'!F11/1000</f>
        <v>0</v>
      </c>
      <c r="L15" s="267">
        <f>'P NP JAPUNG KAB'!L11/1000</f>
        <v>0</v>
      </c>
      <c r="M15" s="267">
        <f>'P NP JAPUNG KAB'!BP11/1000</f>
        <v>0</v>
      </c>
      <c r="N15" s="267">
        <f>'P NP JAPUNG KAB'!BF11/1000</f>
        <v>0</v>
      </c>
      <c r="O15" s="267">
        <f>'P NP JAPUNG KAB'!BH11/1000</f>
        <v>0</v>
      </c>
      <c r="P15" s="267">
        <f>'P NP JAPUNG KAB'!BJ11/1000</f>
        <v>0</v>
      </c>
      <c r="Q15" s="820">
        <f>'P NP JAPUNG KAB'!BL11/1000</f>
        <v>0</v>
      </c>
      <c r="R15" s="491">
        <f t="shared" si="2"/>
        <v>0</v>
      </c>
      <c r="S15" s="363">
        <f>'P NP TW'!BS12/1000</f>
        <v>0</v>
      </c>
      <c r="T15" s="363">
        <f>'P NP TW'!BU12/1000</f>
        <v>0</v>
      </c>
      <c r="U15" s="363">
        <f>'P NP TW'!BW12/1000</f>
        <v>0</v>
      </c>
      <c r="V15" s="268">
        <f>'P NP TW'!BY12/1000</f>
        <v>0</v>
      </c>
      <c r="W15" s="853"/>
      <c r="X15" s="265"/>
      <c r="Y15" s="265"/>
      <c r="Z15" s="265"/>
      <c r="AA15" s="265"/>
    </row>
    <row r="16" spans="1:27" ht="14.15" customHeight="1">
      <c r="A16" s="260" t="s">
        <v>120</v>
      </c>
      <c r="B16" s="270">
        <f t="shared" si="1"/>
        <v>0</v>
      </c>
      <c r="C16" s="267">
        <f>'P NP JAPUNG KAB'!AJ12/1000</f>
        <v>0</v>
      </c>
      <c r="D16" s="267">
        <f>'P NP JAPUNG KAB'!AN12/1000</f>
        <v>0</v>
      </c>
      <c r="E16" s="267">
        <f>'P NP JAPUNG KAB'!AL12/1000</f>
        <v>0</v>
      </c>
      <c r="F16" s="267">
        <f>'P NP JAPUNG KAB'!P12/1000</f>
        <v>0</v>
      </c>
      <c r="G16" s="267">
        <f>'P NP JAPUNG KAB'!AT12/1000</f>
        <v>0</v>
      </c>
      <c r="H16" s="267">
        <f>'P NP JAPUNG KAB'!AP12/1000</f>
        <v>0</v>
      </c>
      <c r="I16" s="267">
        <f>'P NP JAPUNG KAB'!D12/1000</f>
        <v>0</v>
      </c>
      <c r="J16" s="267">
        <f>'P NP JAPUNG KAB'!AD12/1000</f>
        <v>0</v>
      </c>
      <c r="K16" s="267">
        <f>'P NP JAPUNG KAB'!F12/1000</f>
        <v>0</v>
      </c>
      <c r="L16" s="267">
        <f>'P NP JAPUNG KAB'!L12/1000</f>
        <v>0</v>
      </c>
      <c r="M16" s="267">
        <f>'P NP JAPUNG KAB'!BP12/1000</f>
        <v>0</v>
      </c>
      <c r="N16" s="267">
        <f>'P NP JAPUNG KAB'!BF12/1000</f>
        <v>0</v>
      </c>
      <c r="O16" s="267">
        <f>'P NP JAPUNG KAB'!BH12/1000</f>
        <v>0</v>
      </c>
      <c r="P16" s="267">
        <f>'P NP JAPUNG KAB'!BJ12/1000</f>
        <v>0</v>
      </c>
      <c r="Q16" s="820">
        <f>'P NP JAPUNG KAB'!BL12/1000</f>
        <v>0</v>
      </c>
      <c r="R16" s="491">
        <f t="shared" si="2"/>
        <v>0</v>
      </c>
      <c r="S16" s="363">
        <f>'P NP TW'!BS13/1000</f>
        <v>0</v>
      </c>
      <c r="T16" s="363">
        <f>'P NP TW'!BU13/1000</f>
        <v>0</v>
      </c>
      <c r="U16" s="363">
        <f>'P NP TW'!BW13/1000</f>
        <v>0</v>
      </c>
      <c r="V16" s="268">
        <f>'P NP TW'!BY13/1000</f>
        <v>0</v>
      </c>
      <c r="W16" s="853"/>
      <c r="X16" s="265"/>
      <c r="Y16" s="265"/>
      <c r="Z16" s="265"/>
      <c r="AA16" s="265"/>
    </row>
    <row r="17" spans="1:27" ht="14.15" customHeight="1">
      <c r="A17" s="260" t="s">
        <v>128</v>
      </c>
      <c r="B17" s="270">
        <f t="shared" si="1"/>
        <v>0</v>
      </c>
      <c r="C17" s="267">
        <f>'P NP JAPUNG KAB'!AJ13/1000</f>
        <v>0</v>
      </c>
      <c r="D17" s="267">
        <f>'P NP JAPUNG KAB'!AN13/1000</f>
        <v>0</v>
      </c>
      <c r="E17" s="267">
        <f>'P NP JAPUNG KAB'!AL13/1000</f>
        <v>0</v>
      </c>
      <c r="F17" s="267">
        <f>'P NP JAPUNG KAB'!P13/1000</f>
        <v>0</v>
      </c>
      <c r="G17" s="267">
        <f>'P NP JAPUNG KAB'!AT13/1000</f>
        <v>0</v>
      </c>
      <c r="H17" s="267">
        <f>'P NP JAPUNG KAB'!AP13/1000</f>
        <v>0</v>
      </c>
      <c r="I17" s="267">
        <f>'P NP JAPUNG KAB'!D13/1000</f>
        <v>0</v>
      </c>
      <c r="J17" s="267">
        <f>'P NP JAPUNG KAB'!AD13/1000</f>
        <v>0</v>
      </c>
      <c r="K17" s="267">
        <f>'P NP JAPUNG KAB'!F13/1000</f>
        <v>0</v>
      </c>
      <c r="L17" s="267">
        <f>'P NP JAPUNG KAB'!L13/1000</f>
        <v>0</v>
      </c>
      <c r="M17" s="267">
        <f>'P NP JAPUNG KAB'!BP13/1000</f>
        <v>0</v>
      </c>
      <c r="N17" s="267">
        <f>'P NP JAPUNG KAB'!BF13/1000</f>
        <v>0</v>
      </c>
      <c r="O17" s="267">
        <f>'P NP JAPUNG KAB'!BH13/1000</f>
        <v>0</v>
      </c>
      <c r="P17" s="267">
        <f>'P NP JAPUNG KAB'!BJ13/1000</f>
        <v>0</v>
      </c>
      <c r="Q17" s="820">
        <f>'P NP JAPUNG KAB'!BL13/1000</f>
        <v>0</v>
      </c>
      <c r="R17" s="491">
        <f t="shared" si="2"/>
        <v>0</v>
      </c>
      <c r="S17" s="363">
        <f>'P NP TW'!BS14/1000</f>
        <v>0</v>
      </c>
      <c r="T17" s="363">
        <f>'P NP TW'!BU14/1000</f>
        <v>0</v>
      </c>
      <c r="U17" s="363">
        <f>'P NP TW'!BW14/1000</f>
        <v>0</v>
      </c>
      <c r="V17" s="268">
        <f>'P NP TW'!BY14/1000</f>
        <v>0</v>
      </c>
      <c r="W17" s="853"/>
      <c r="X17" s="265"/>
      <c r="Y17" s="265"/>
      <c r="Z17" s="265"/>
      <c r="AA17" s="265"/>
    </row>
    <row r="18" spans="1:27" ht="14.15" customHeight="1">
      <c r="A18" s="260" t="s">
        <v>117</v>
      </c>
      <c r="B18" s="270">
        <f t="shared" si="1"/>
        <v>0</v>
      </c>
      <c r="C18" s="267">
        <f>'P NP JAPUNG KAB'!AJ14/1000</f>
        <v>0</v>
      </c>
      <c r="D18" s="267">
        <f>'P NP JAPUNG KAB'!AN14/1000</f>
        <v>0</v>
      </c>
      <c r="E18" s="267">
        <f>'P NP JAPUNG KAB'!AL14/1000</f>
        <v>0</v>
      </c>
      <c r="F18" s="267">
        <f>'P NP JAPUNG KAB'!P14/1000</f>
        <v>0</v>
      </c>
      <c r="G18" s="267">
        <f>'P NP JAPUNG KAB'!AT14/1000</f>
        <v>0</v>
      </c>
      <c r="H18" s="267">
        <f>'P NP JAPUNG KAB'!AP14/1000</f>
        <v>0</v>
      </c>
      <c r="I18" s="267">
        <f>'P NP JAPUNG KAB'!D14/1000</f>
        <v>0</v>
      </c>
      <c r="J18" s="267">
        <f>'P NP JAPUNG KAB'!AD14/1000</f>
        <v>0</v>
      </c>
      <c r="K18" s="267">
        <f>'P NP JAPUNG KAB'!F14/1000</f>
        <v>0</v>
      </c>
      <c r="L18" s="267">
        <f>'P NP JAPUNG KAB'!L14/1000</f>
        <v>0</v>
      </c>
      <c r="M18" s="267">
        <f>'P NP JAPUNG KAB'!BP14/1000</f>
        <v>0</v>
      </c>
      <c r="N18" s="267">
        <f>'P NP JAPUNG KAB'!BF14/1000</f>
        <v>0</v>
      </c>
      <c r="O18" s="267">
        <f>'P NP JAPUNG KAB'!BH14/1000</f>
        <v>0</v>
      </c>
      <c r="P18" s="267">
        <f>'P NP JAPUNG KAB'!BJ14/1000</f>
        <v>0</v>
      </c>
      <c r="Q18" s="820">
        <f>'P NP JAPUNG KAB'!BL14/1000</f>
        <v>0</v>
      </c>
      <c r="R18" s="491">
        <f t="shared" si="2"/>
        <v>0</v>
      </c>
      <c r="S18" s="363">
        <f>'P NP TW'!BS15/1000</f>
        <v>0</v>
      </c>
      <c r="T18" s="363">
        <f>'P NP TW'!BU15/1000</f>
        <v>0</v>
      </c>
      <c r="U18" s="363">
        <f>'P NP TW'!BW15/1000</f>
        <v>0</v>
      </c>
      <c r="V18" s="268">
        <f>'P NP TW'!BY15/1000</f>
        <v>0</v>
      </c>
      <c r="W18" s="853"/>
      <c r="X18" s="265"/>
      <c r="Y18" s="265"/>
      <c r="Z18" s="265"/>
      <c r="AA18" s="265"/>
    </row>
    <row r="19" spans="1:27" ht="14.15" customHeight="1">
      <c r="A19" s="260" t="s">
        <v>135</v>
      </c>
      <c r="B19" s="270">
        <f t="shared" si="1"/>
        <v>5.2160000000000002</v>
      </c>
      <c r="C19" s="267">
        <f>'P NP JAPUNG KAB'!AJ15/1000</f>
        <v>0</v>
      </c>
      <c r="D19" s="267">
        <f>'P NP JAPUNG KAB'!AN15/1000</f>
        <v>5.2160000000000002</v>
      </c>
      <c r="E19" s="267">
        <f>'P NP JAPUNG KAB'!AL15/1000</f>
        <v>0</v>
      </c>
      <c r="F19" s="267">
        <f>'P NP JAPUNG KAB'!P15/1000</f>
        <v>0</v>
      </c>
      <c r="G19" s="267">
        <f>'P NP JAPUNG KAB'!AT15/1000</f>
        <v>0</v>
      </c>
      <c r="H19" s="267">
        <f>'P NP JAPUNG KAB'!AP15/1000</f>
        <v>0</v>
      </c>
      <c r="I19" s="267">
        <f>'P NP JAPUNG KAB'!D15/1000</f>
        <v>0</v>
      </c>
      <c r="J19" s="267">
        <f>'P NP JAPUNG KAB'!AD15/1000</f>
        <v>0</v>
      </c>
      <c r="K19" s="267">
        <f>'P NP JAPUNG KAB'!F15/1000</f>
        <v>0</v>
      </c>
      <c r="L19" s="267">
        <f>'P NP JAPUNG KAB'!L15/1000</f>
        <v>0</v>
      </c>
      <c r="M19" s="267">
        <f>'P NP JAPUNG KAB'!BP15/1000</f>
        <v>0</v>
      </c>
      <c r="N19" s="267">
        <f>'P NP JAPUNG KAB'!BF15/1000</f>
        <v>0</v>
      </c>
      <c r="O19" s="267">
        <f>'P NP JAPUNG KAB'!BH15/1000</f>
        <v>0</v>
      </c>
      <c r="P19" s="267">
        <f>'P NP JAPUNG KAB'!BJ15/1000</f>
        <v>0</v>
      </c>
      <c r="Q19" s="820">
        <f>'P NP JAPUNG KAB'!BL15/1000</f>
        <v>0</v>
      </c>
      <c r="R19" s="491">
        <f t="shared" si="2"/>
        <v>5.2159999999999993</v>
      </c>
      <c r="S19" s="363">
        <f>'P NP TW'!BS16/1000</f>
        <v>1.3009999999999999</v>
      </c>
      <c r="T19" s="363">
        <f>'P NP TW'!BU16/1000</f>
        <v>2.1869999999999998</v>
      </c>
      <c r="U19" s="363">
        <f>'P NP TW'!BW16/1000</f>
        <v>1.1970000000000001</v>
      </c>
      <c r="V19" s="268">
        <f>'P NP TW'!BY16/1000</f>
        <v>0.53100000000000003</v>
      </c>
      <c r="W19" s="853"/>
      <c r="X19" s="265"/>
      <c r="Y19" s="265"/>
      <c r="Z19" s="265"/>
      <c r="AA19" s="265"/>
    </row>
    <row r="20" spans="1:27" ht="14.15" customHeight="1">
      <c r="A20" s="260" t="s">
        <v>119</v>
      </c>
      <c r="B20" s="270">
        <f t="shared" si="1"/>
        <v>885.096</v>
      </c>
      <c r="C20" s="267">
        <f>'P NP JAPUNG KAB'!AJ16/1000</f>
        <v>0</v>
      </c>
      <c r="D20" s="267">
        <f>'P NP JAPUNG KAB'!AN16/1000</f>
        <v>885.096</v>
      </c>
      <c r="E20" s="267">
        <f>'P NP JAPUNG KAB'!AL16/1000</f>
        <v>0</v>
      </c>
      <c r="F20" s="267">
        <f>'P NP JAPUNG KAB'!P16/1000</f>
        <v>0</v>
      </c>
      <c r="G20" s="267">
        <f>'P NP JAPUNG KAB'!AT16/1000</f>
        <v>0</v>
      </c>
      <c r="H20" s="267">
        <f>'P NP JAPUNG KAB'!AP16/1000</f>
        <v>0</v>
      </c>
      <c r="I20" s="267">
        <f>'P NP JAPUNG KAB'!D16/1000</f>
        <v>0</v>
      </c>
      <c r="J20" s="267">
        <f>'P NP JAPUNG KAB'!AD16/1000</f>
        <v>0</v>
      </c>
      <c r="K20" s="267">
        <f>'P NP JAPUNG KAB'!F16/1000</f>
        <v>0</v>
      </c>
      <c r="L20" s="267">
        <f>'P NP JAPUNG KAB'!L16/1000</f>
        <v>0</v>
      </c>
      <c r="M20" s="267">
        <f>'P NP JAPUNG KAB'!BP16/1000</f>
        <v>0</v>
      </c>
      <c r="N20" s="267">
        <f>'P NP JAPUNG KAB'!BF16/1000</f>
        <v>0</v>
      </c>
      <c r="O20" s="267">
        <f>'P NP JAPUNG KAB'!BH16/1000</f>
        <v>0</v>
      </c>
      <c r="P20" s="267">
        <f>'P NP JAPUNG KAB'!BJ16/1000</f>
        <v>0</v>
      </c>
      <c r="Q20" s="820">
        <f>'P NP JAPUNG KAB'!BL16/1000</f>
        <v>0</v>
      </c>
      <c r="R20" s="491">
        <f t="shared" si="2"/>
        <v>885.096</v>
      </c>
      <c r="S20" s="363">
        <f>'P NP TW'!BS17/1000</f>
        <v>235</v>
      </c>
      <c r="T20" s="363">
        <f>'P NP TW'!BU17/1000</f>
        <v>214.08500000000001</v>
      </c>
      <c r="U20" s="363">
        <f>'P NP TW'!BW17/1000</f>
        <v>210.625</v>
      </c>
      <c r="V20" s="268">
        <f>'P NP TW'!BY17/1000</f>
        <v>225.386</v>
      </c>
      <c r="W20" s="853"/>
      <c r="X20" s="265"/>
      <c r="Y20" s="265"/>
      <c r="Z20" s="265"/>
      <c r="AA20" s="265"/>
    </row>
    <row r="21" spans="1:27" ht="14.15" customHeight="1">
      <c r="A21" s="260" t="s">
        <v>130</v>
      </c>
      <c r="B21" s="266">
        <f t="shared" si="1"/>
        <v>0</v>
      </c>
      <c r="C21" s="267">
        <f>'P NP JAPUNG KAB'!AJ17/1000</f>
        <v>0</v>
      </c>
      <c r="D21" s="267">
        <f>'P NP JAPUNG KAB'!AN17/1000</f>
        <v>0</v>
      </c>
      <c r="E21" s="267">
        <f>'P NP JAPUNG KAB'!AL17/1000</f>
        <v>0</v>
      </c>
      <c r="F21" s="267">
        <f>'P NP JAPUNG KAB'!P17/1000</f>
        <v>0</v>
      </c>
      <c r="G21" s="267">
        <f>'P NP JAPUNG KAB'!AT17/1000</f>
        <v>0</v>
      </c>
      <c r="H21" s="267">
        <f>'P NP JAPUNG KAB'!AP17/1000</f>
        <v>0</v>
      </c>
      <c r="I21" s="267">
        <f>'P NP JAPUNG KAB'!D17/1000</f>
        <v>0</v>
      </c>
      <c r="J21" s="267">
        <f>'P NP JAPUNG KAB'!AD17/1000</f>
        <v>0</v>
      </c>
      <c r="K21" s="267">
        <f>'P NP JAPUNG KAB'!F17/1000</f>
        <v>0</v>
      </c>
      <c r="L21" s="267">
        <f>'P NP JAPUNG KAB'!L17/1000</f>
        <v>0</v>
      </c>
      <c r="M21" s="267">
        <f>'P NP JAPUNG KAB'!BP17/1000</f>
        <v>0</v>
      </c>
      <c r="N21" s="267">
        <f>'P NP JAPUNG KAB'!BF17/1000</f>
        <v>0</v>
      </c>
      <c r="O21" s="267">
        <f>'P NP JAPUNG KAB'!BH17/1000</f>
        <v>0</v>
      </c>
      <c r="P21" s="267">
        <f>'P NP JAPUNG KAB'!BJ17/1000</f>
        <v>0</v>
      </c>
      <c r="Q21" s="820">
        <f>'P NP JAPUNG KAB'!BL17/1000</f>
        <v>0</v>
      </c>
      <c r="R21" s="491">
        <f>SUM(S21:V21)</f>
        <v>0</v>
      </c>
      <c r="S21" s="363">
        <f>'P NP TW'!BS18/1000</f>
        <v>0</v>
      </c>
      <c r="T21" s="363">
        <f>'P NP TW'!BU18/1000</f>
        <v>0</v>
      </c>
      <c r="U21" s="363">
        <f>'P NP TW'!BW18/1000</f>
        <v>0</v>
      </c>
      <c r="V21" s="268">
        <f>'P NP TW'!BY18/1000</f>
        <v>0</v>
      </c>
      <c r="W21" s="853"/>
      <c r="X21" s="265"/>
      <c r="Y21" s="265"/>
      <c r="Z21" s="265"/>
      <c r="AA21" s="265"/>
    </row>
    <row r="22" spans="1:27" ht="14.15" customHeight="1">
      <c r="A22" s="260" t="s">
        <v>131</v>
      </c>
      <c r="B22" s="266">
        <f t="shared" si="1"/>
        <v>1.73</v>
      </c>
      <c r="C22" s="267">
        <f>'P NP JAPUNG KAB'!AJ18/1000</f>
        <v>0.53</v>
      </c>
      <c r="D22" s="267">
        <f>'P NP JAPUNG KAB'!AN18/1000</f>
        <v>1.2</v>
      </c>
      <c r="E22" s="267">
        <f>'P NP JAPUNG KAB'!AL18/1000</f>
        <v>0</v>
      </c>
      <c r="F22" s="267">
        <f>'P NP JAPUNG KAB'!P18/1000</f>
        <v>0</v>
      </c>
      <c r="G22" s="267">
        <f>'P NP JAPUNG KAB'!AT18/1000</f>
        <v>0</v>
      </c>
      <c r="H22" s="267">
        <f>'P NP JAPUNG KAB'!AP18/1000</f>
        <v>0</v>
      </c>
      <c r="I22" s="267">
        <f>'P NP JAPUNG KAB'!D18/1000</f>
        <v>0</v>
      </c>
      <c r="J22" s="267">
        <f>'P NP JAPUNG KAB'!AD18/1000</f>
        <v>0</v>
      </c>
      <c r="K22" s="267">
        <f>'P NP JAPUNG KAB'!F18/1000</f>
        <v>0</v>
      </c>
      <c r="L22" s="267">
        <f>'P NP JAPUNG KAB'!L18/1000</f>
        <v>0</v>
      </c>
      <c r="M22" s="267">
        <f>'P NP JAPUNG KAB'!BP18/1000</f>
        <v>0</v>
      </c>
      <c r="N22" s="267">
        <f>'P NP JAPUNG KAB'!BF18/1000</f>
        <v>0</v>
      </c>
      <c r="O22" s="267">
        <f>'P NP JAPUNG KAB'!BH18/1000</f>
        <v>0</v>
      </c>
      <c r="P22" s="267">
        <f>'P NP JAPUNG KAB'!BJ18/1000</f>
        <v>0</v>
      </c>
      <c r="Q22" s="820">
        <f>'P NP JAPUNG KAB'!BL18/1000</f>
        <v>0</v>
      </c>
      <c r="R22" s="491">
        <f>SUM(S22:V22)</f>
        <v>1.73</v>
      </c>
      <c r="S22" s="363">
        <f>'P NP TW'!BS19/1000</f>
        <v>0.53</v>
      </c>
      <c r="T22" s="363">
        <f>'P NP TW'!BU19/1000</f>
        <v>0.4</v>
      </c>
      <c r="U22" s="363">
        <f>'P NP TW'!BW19/1000</f>
        <v>0.39</v>
      </c>
      <c r="V22" s="268">
        <f>'P NP TW'!BY19/1000</f>
        <v>0.41</v>
      </c>
      <c r="W22" s="853"/>
      <c r="X22" s="265"/>
      <c r="Y22" s="265"/>
      <c r="Z22" s="265"/>
      <c r="AA22" s="265"/>
    </row>
    <row r="23" spans="1:27" ht="14.15" customHeight="1">
      <c r="A23" s="260" t="s">
        <v>118</v>
      </c>
      <c r="B23" s="270">
        <f t="shared" si="1"/>
        <v>4260</v>
      </c>
      <c r="C23" s="267">
        <f>'P NP JAPUNG KAB'!AJ19/1000</f>
        <v>0</v>
      </c>
      <c r="D23" s="267">
        <f>'P NP JAPUNG KAB'!AN19/1000</f>
        <v>4260</v>
      </c>
      <c r="E23" s="267">
        <f>'P NP JAPUNG KAB'!AL19/1000</f>
        <v>0</v>
      </c>
      <c r="F23" s="267">
        <f>'P NP JAPUNG KAB'!P19/1000</f>
        <v>0</v>
      </c>
      <c r="G23" s="267">
        <f>'P NP JAPUNG KAB'!AT19/1000</f>
        <v>0</v>
      </c>
      <c r="H23" s="267">
        <f>'P NP JAPUNG KAB'!AP19/1000</f>
        <v>0</v>
      </c>
      <c r="I23" s="267">
        <f>'P NP JAPUNG KAB'!D19/1000</f>
        <v>0</v>
      </c>
      <c r="J23" s="267">
        <f>'P NP JAPUNG KAB'!AD19/1000</f>
        <v>0</v>
      </c>
      <c r="K23" s="267">
        <f>'P NP JAPUNG KAB'!F19/1000</f>
        <v>0</v>
      </c>
      <c r="L23" s="267">
        <f>'P NP JAPUNG KAB'!L19/1000</f>
        <v>0</v>
      </c>
      <c r="M23" s="267">
        <f>'P NP JAPUNG KAB'!BP19/1000</f>
        <v>0</v>
      </c>
      <c r="N23" s="267">
        <f>'P NP JAPUNG KAB'!BF19/1000</f>
        <v>0</v>
      </c>
      <c r="O23" s="267">
        <f>'P NP JAPUNG KAB'!BH19/1000</f>
        <v>0</v>
      </c>
      <c r="P23" s="267">
        <f>'P NP JAPUNG KAB'!BJ19/1000</f>
        <v>0</v>
      </c>
      <c r="Q23" s="820">
        <f>'P NP JAPUNG KAB'!BL19/1000</f>
        <v>0</v>
      </c>
      <c r="R23" s="491">
        <f t="shared" si="2"/>
        <v>4260</v>
      </c>
      <c r="S23" s="363">
        <f>'P NP TW'!BS20/1000</f>
        <v>1650</v>
      </c>
      <c r="T23" s="363">
        <f>'P NP TW'!BU20/1000</f>
        <v>1200</v>
      </c>
      <c r="U23" s="363">
        <f>'P NP TW'!BW20/1000</f>
        <v>310</v>
      </c>
      <c r="V23" s="268">
        <f>'P NP TW'!BY20/1000</f>
        <v>1100</v>
      </c>
      <c r="W23" s="853"/>
      <c r="X23" s="265"/>
      <c r="Y23" s="265"/>
      <c r="Z23" s="265"/>
      <c r="AA23" s="265"/>
    </row>
    <row r="24" spans="1:27" ht="14.15" customHeight="1">
      <c r="A24" s="260" t="s">
        <v>127</v>
      </c>
      <c r="B24" s="266">
        <f t="shared" si="1"/>
        <v>1.7</v>
      </c>
      <c r="C24" s="267">
        <f>'P NP JAPUNG KAB'!AJ20/1000</f>
        <v>0</v>
      </c>
      <c r="D24" s="267">
        <f>'P NP JAPUNG KAB'!AN20/1000</f>
        <v>1.7</v>
      </c>
      <c r="E24" s="267">
        <f>'P NP JAPUNG KAB'!AL20/1000</f>
        <v>0</v>
      </c>
      <c r="F24" s="267">
        <f>'P NP JAPUNG KAB'!P20/1000</f>
        <v>0</v>
      </c>
      <c r="G24" s="267">
        <f>'P NP JAPUNG KAB'!AT20/1000</f>
        <v>0</v>
      </c>
      <c r="H24" s="267">
        <f>'P NP JAPUNG KAB'!AP20/1000</f>
        <v>0</v>
      </c>
      <c r="I24" s="267">
        <f>'P NP JAPUNG KAB'!D20/1000</f>
        <v>0</v>
      </c>
      <c r="J24" s="267">
        <f>'P NP JAPUNG KAB'!AD20/1000</f>
        <v>0</v>
      </c>
      <c r="K24" s="267">
        <f>'P NP JAPUNG KAB'!F20/1000</f>
        <v>0</v>
      </c>
      <c r="L24" s="267">
        <f>'P NP JAPUNG KAB'!L20/1000</f>
        <v>0</v>
      </c>
      <c r="M24" s="267">
        <f>'P NP JAPUNG KAB'!BP20/1000</f>
        <v>0</v>
      </c>
      <c r="N24" s="267">
        <f>'P NP JAPUNG KAB'!BF20/1000</f>
        <v>0</v>
      </c>
      <c r="O24" s="267">
        <f>'P NP JAPUNG KAB'!BH20/1000</f>
        <v>0</v>
      </c>
      <c r="P24" s="267">
        <f>'P NP JAPUNG KAB'!BJ20/1000</f>
        <v>0</v>
      </c>
      <c r="Q24" s="820">
        <f>'P NP JAPUNG KAB'!BL20/1000</f>
        <v>0</v>
      </c>
      <c r="R24" s="491">
        <f>SUM(S24:V24)</f>
        <v>1.7</v>
      </c>
      <c r="S24" s="363">
        <f>'P NP TW'!BS21/1000</f>
        <v>0</v>
      </c>
      <c r="T24" s="363">
        <f>'P NP TW'!BU21/1000</f>
        <v>1.2</v>
      </c>
      <c r="U24" s="363">
        <f>'P NP TW'!BW21/1000</f>
        <v>0</v>
      </c>
      <c r="V24" s="268">
        <f>'P NP TW'!BY21/1000</f>
        <v>0.5</v>
      </c>
      <c r="W24" s="853"/>
      <c r="X24" s="265"/>
      <c r="Y24" s="265"/>
      <c r="Z24" s="265"/>
      <c r="AA24" s="265"/>
    </row>
    <row r="25" spans="1:27" ht="14.15" customHeight="1">
      <c r="A25" s="260" t="s">
        <v>129</v>
      </c>
      <c r="B25" s="270">
        <f t="shared" si="1"/>
        <v>0</v>
      </c>
      <c r="C25" s="267">
        <f>'P NP JAPUNG KAB'!AJ21/1000</f>
        <v>0</v>
      </c>
      <c r="D25" s="267">
        <f>'P NP JAPUNG KAB'!AN21/1000</f>
        <v>0</v>
      </c>
      <c r="E25" s="267">
        <f>'P NP JAPUNG KAB'!AL21/1000</f>
        <v>0</v>
      </c>
      <c r="F25" s="267">
        <f>'P NP JAPUNG KAB'!P21/1000</f>
        <v>0</v>
      </c>
      <c r="G25" s="267">
        <f>'P NP JAPUNG KAB'!AT21/1000</f>
        <v>0</v>
      </c>
      <c r="H25" s="267">
        <f>'P NP JAPUNG KAB'!AP21/1000</f>
        <v>0</v>
      </c>
      <c r="I25" s="267">
        <f>'P NP JAPUNG KAB'!D21/1000</f>
        <v>0</v>
      </c>
      <c r="J25" s="267">
        <f>'P NP JAPUNG KAB'!AD21/1000</f>
        <v>0</v>
      </c>
      <c r="K25" s="267">
        <f>'P NP JAPUNG KAB'!F21/1000</f>
        <v>0</v>
      </c>
      <c r="L25" s="267">
        <f>'P NP JAPUNG KAB'!L21/1000</f>
        <v>0</v>
      </c>
      <c r="M25" s="267">
        <f>'P NP JAPUNG KAB'!BP21/1000</f>
        <v>0</v>
      </c>
      <c r="N25" s="267">
        <f>'P NP JAPUNG KAB'!BF21/1000</f>
        <v>0</v>
      </c>
      <c r="O25" s="267">
        <f>'P NP JAPUNG KAB'!BH21/1000</f>
        <v>0</v>
      </c>
      <c r="P25" s="267">
        <f>'P NP JAPUNG KAB'!BJ21/1000</f>
        <v>0</v>
      </c>
      <c r="Q25" s="820">
        <f>'P NP JAPUNG KAB'!BL21/1000</f>
        <v>0</v>
      </c>
      <c r="R25" s="491">
        <f t="shared" si="2"/>
        <v>0</v>
      </c>
      <c r="S25" s="363">
        <f>'P NP TW'!BS22/1000</f>
        <v>0</v>
      </c>
      <c r="T25" s="363">
        <f>'P NP TW'!BU22/1000</f>
        <v>0</v>
      </c>
      <c r="U25" s="363">
        <f>'P NP TW'!BW22/1000</f>
        <v>0</v>
      </c>
      <c r="V25" s="268">
        <f>'P NP TW'!BY22/1000</f>
        <v>0</v>
      </c>
      <c r="W25" s="853"/>
      <c r="X25" s="265"/>
      <c r="Y25" s="265"/>
      <c r="Z25" s="265"/>
      <c r="AA25" s="265"/>
    </row>
    <row r="26" spans="1:27" ht="14.15" customHeight="1">
      <c r="A26" s="260" t="s">
        <v>132</v>
      </c>
      <c r="B26" s="266">
        <f t="shared" si="1"/>
        <v>106.93300000000001</v>
      </c>
      <c r="C26" s="267">
        <f>'P NP JAPUNG KAB'!AJ22/1000</f>
        <v>0</v>
      </c>
      <c r="D26" s="267">
        <f>'P NP JAPUNG KAB'!AN22/1000</f>
        <v>41.947000000000003</v>
      </c>
      <c r="E26" s="267">
        <f>'P NP JAPUNG KAB'!AL22/1000</f>
        <v>0</v>
      </c>
      <c r="F26" s="267">
        <f>'P NP JAPUNG KAB'!P22/1000</f>
        <v>0</v>
      </c>
      <c r="G26" s="267">
        <f>'P NP JAPUNG KAB'!AT22/1000</f>
        <v>0</v>
      </c>
      <c r="H26" s="267">
        <f>'P NP JAPUNG KAB'!AP22/1000</f>
        <v>64.986000000000004</v>
      </c>
      <c r="I26" s="267">
        <f>'P NP JAPUNG KAB'!D22/1000</f>
        <v>0</v>
      </c>
      <c r="J26" s="267">
        <f>'P NP JAPUNG KAB'!AD22/1000</f>
        <v>0</v>
      </c>
      <c r="K26" s="267">
        <f>'P NP JAPUNG KAB'!F22/1000</f>
        <v>0</v>
      </c>
      <c r="L26" s="267">
        <f>'P NP JAPUNG KAB'!L22/1000</f>
        <v>0</v>
      </c>
      <c r="M26" s="267">
        <f>'P NP JAPUNG KAB'!BP22/1000</f>
        <v>0</v>
      </c>
      <c r="N26" s="267">
        <f>'P NP JAPUNG KAB'!BF22/1000</f>
        <v>0</v>
      </c>
      <c r="O26" s="267">
        <f>'P NP JAPUNG KAB'!BH22/1000</f>
        <v>0</v>
      </c>
      <c r="P26" s="267">
        <f>'P NP JAPUNG KAB'!BJ22/1000</f>
        <v>0</v>
      </c>
      <c r="Q26" s="820">
        <f>'P NP JAPUNG KAB'!BL22/1000</f>
        <v>0</v>
      </c>
      <c r="R26" s="491">
        <f>SUM(S26:V26)</f>
        <v>106.93299999999999</v>
      </c>
      <c r="S26" s="363">
        <f>'P NP TW'!BS23/1000</f>
        <v>31.713000000000001</v>
      </c>
      <c r="T26" s="363">
        <f>'P NP TW'!BU23/1000</f>
        <v>28.68</v>
      </c>
      <c r="U26" s="363">
        <f>'P NP TW'!BW23/1000</f>
        <v>27.86</v>
      </c>
      <c r="V26" s="268">
        <f>'P NP TW'!BY23/1000</f>
        <v>18.68</v>
      </c>
      <c r="W26" s="853"/>
      <c r="X26" s="265"/>
      <c r="Y26" s="265"/>
      <c r="Z26" s="265"/>
      <c r="AA26" s="265"/>
    </row>
    <row r="27" spans="1:27" ht="14.15" customHeight="1">
      <c r="A27" s="260" t="s">
        <v>112</v>
      </c>
      <c r="B27" s="266">
        <f t="shared" si="1"/>
        <v>0</v>
      </c>
      <c r="C27" s="267">
        <f>'P NP JAPUNG KAB'!AJ23/1000</f>
        <v>0</v>
      </c>
      <c r="D27" s="267">
        <f>'P NP JAPUNG KAB'!AN23/1000</f>
        <v>0</v>
      </c>
      <c r="E27" s="267">
        <f>'P NP JAPUNG KAB'!AL23/1000</f>
        <v>0</v>
      </c>
      <c r="F27" s="267">
        <f>'P NP JAPUNG KAB'!P23/1000</f>
        <v>0</v>
      </c>
      <c r="G27" s="267">
        <f>'P NP JAPUNG KAB'!AT23/1000</f>
        <v>0</v>
      </c>
      <c r="H27" s="267">
        <f>'P NP JAPUNG KAB'!AP23/1000</f>
        <v>0</v>
      </c>
      <c r="I27" s="267">
        <f>'P NP JAPUNG KAB'!D23/1000</f>
        <v>0</v>
      </c>
      <c r="J27" s="267">
        <f>'P NP JAPUNG KAB'!AD23/1000</f>
        <v>0</v>
      </c>
      <c r="K27" s="267">
        <f>'P NP JAPUNG KAB'!F23/1000</f>
        <v>0</v>
      </c>
      <c r="L27" s="267">
        <f>'P NP JAPUNG KAB'!L23/1000</f>
        <v>0</v>
      </c>
      <c r="M27" s="267">
        <f>'P NP JAPUNG KAB'!BP23/1000</f>
        <v>0</v>
      </c>
      <c r="N27" s="267">
        <f>'P NP JAPUNG KAB'!BF23/1000</f>
        <v>0</v>
      </c>
      <c r="O27" s="267">
        <f>'P NP JAPUNG KAB'!BH23/1000</f>
        <v>0</v>
      </c>
      <c r="P27" s="267">
        <f>'P NP JAPUNG KAB'!BJ23/1000</f>
        <v>0</v>
      </c>
      <c r="Q27" s="820">
        <f>'P NP JAPUNG KAB'!BL23/1000</f>
        <v>0</v>
      </c>
      <c r="R27" s="491">
        <f>SUM(S27:V27)</f>
        <v>0</v>
      </c>
      <c r="S27" s="363">
        <f>'P NP TW'!BS24/1000</f>
        <v>0</v>
      </c>
      <c r="T27" s="363">
        <f>'P NP TW'!BU24/1000</f>
        <v>0</v>
      </c>
      <c r="U27" s="363">
        <f>'P NP TW'!BW24/1000</f>
        <v>0</v>
      </c>
      <c r="V27" s="268">
        <f>'P NP TW'!BY24/1000</f>
        <v>0</v>
      </c>
      <c r="W27" s="853"/>
      <c r="X27" s="265"/>
      <c r="Y27" s="265"/>
      <c r="Z27" s="265"/>
      <c r="AA27" s="265"/>
    </row>
    <row r="28" spans="1:27" ht="14.15" customHeight="1">
      <c r="A28" s="260" t="s">
        <v>139</v>
      </c>
      <c r="B28" s="266">
        <f t="shared" si="1"/>
        <v>0</v>
      </c>
      <c r="C28" s="267">
        <f>'P NP JAPUNG KAB'!AJ24/1000</f>
        <v>0</v>
      </c>
      <c r="D28" s="267">
        <f>'P NP JAPUNG KAB'!AN24/1000</f>
        <v>0</v>
      </c>
      <c r="E28" s="267">
        <f>'P NP JAPUNG KAB'!AL24/1000</f>
        <v>0</v>
      </c>
      <c r="F28" s="267">
        <f>'P NP JAPUNG KAB'!P24/1000</f>
        <v>0</v>
      </c>
      <c r="G28" s="267">
        <f>'P NP JAPUNG KAB'!AT24/1000</f>
        <v>0</v>
      </c>
      <c r="H28" s="267">
        <f>'P NP JAPUNG KAB'!AP24/1000</f>
        <v>0</v>
      </c>
      <c r="I28" s="267">
        <f>'P NP JAPUNG KAB'!D24/1000</f>
        <v>0</v>
      </c>
      <c r="J28" s="267">
        <f>'P NP JAPUNG KAB'!AD24/1000</f>
        <v>0</v>
      </c>
      <c r="K28" s="267">
        <f>'P NP JAPUNG KAB'!F24/1000</f>
        <v>0</v>
      </c>
      <c r="L28" s="267">
        <f>'P NP JAPUNG KAB'!L24/1000</f>
        <v>0</v>
      </c>
      <c r="M28" s="267">
        <f>'P NP JAPUNG KAB'!BP24/1000</f>
        <v>0</v>
      </c>
      <c r="N28" s="267">
        <f>'P NP JAPUNG KAB'!BF24/1000</f>
        <v>0</v>
      </c>
      <c r="O28" s="267">
        <f>'P NP JAPUNG KAB'!BH24/1000</f>
        <v>0</v>
      </c>
      <c r="P28" s="267">
        <f>'P NP JAPUNG KAB'!BJ24/1000</f>
        <v>0</v>
      </c>
      <c r="Q28" s="820">
        <f>'P NP JAPUNG KAB'!BL24/1000</f>
        <v>0</v>
      </c>
      <c r="R28" s="491">
        <f>SUM(S28:V28)</f>
        <v>0</v>
      </c>
      <c r="S28" s="363">
        <f>'P NP TW'!BS25/1000</f>
        <v>0</v>
      </c>
      <c r="T28" s="363">
        <f>'P NP TW'!BU25/1000</f>
        <v>0</v>
      </c>
      <c r="U28" s="363">
        <f>'P NP TW'!BW25/1000</f>
        <v>0</v>
      </c>
      <c r="V28" s="268">
        <f>'P NP TW'!BY25/1000</f>
        <v>0</v>
      </c>
      <c r="W28" s="853"/>
      <c r="X28" s="265"/>
      <c r="Y28" s="265"/>
      <c r="Z28" s="265"/>
      <c r="AA28" s="265"/>
    </row>
    <row r="29" spans="1:27" ht="14.15" customHeight="1">
      <c r="A29" s="260" t="s">
        <v>125</v>
      </c>
      <c r="B29" s="266">
        <f t="shared" si="1"/>
        <v>142.05285999999998</v>
      </c>
      <c r="C29" s="267">
        <f>'P NP JAPUNG KAB'!AJ25/1000</f>
        <v>0</v>
      </c>
      <c r="D29" s="267">
        <f>'P NP JAPUNG KAB'!AN25/1000</f>
        <v>131.67793999999998</v>
      </c>
      <c r="E29" s="267">
        <f>'P NP JAPUNG KAB'!AL25/1000</f>
        <v>0</v>
      </c>
      <c r="F29" s="267">
        <f>'P NP JAPUNG KAB'!P25/1000</f>
        <v>0</v>
      </c>
      <c r="G29" s="267">
        <f>'P NP JAPUNG KAB'!AT25/1000</f>
        <v>0</v>
      </c>
      <c r="H29" s="267">
        <f>'P NP JAPUNG KAB'!AP25/1000</f>
        <v>10.374919999999999</v>
      </c>
      <c r="I29" s="267">
        <f>'P NP JAPUNG KAB'!D25/1000</f>
        <v>0</v>
      </c>
      <c r="J29" s="267">
        <f>'P NP JAPUNG KAB'!AD25/1000</f>
        <v>0</v>
      </c>
      <c r="K29" s="267">
        <f>'P NP JAPUNG KAB'!F25/1000</f>
        <v>0</v>
      </c>
      <c r="L29" s="267">
        <f>'P NP JAPUNG KAB'!L25/1000</f>
        <v>0</v>
      </c>
      <c r="M29" s="267">
        <f>'P NP JAPUNG KAB'!BP25/1000</f>
        <v>0</v>
      </c>
      <c r="N29" s="267">
        <f>'P NP JAPUNG KAB'!BF25/1000</f>
        <v>0</v>
      </c>
      <c r="O29" s="267">
        <f>'P NP JAPUNG KAB'!BH25/1000</f>
        <v>0</v>
      </c>
      <c r="P29" s="267">
        <f>'P NP JAPUNG KAB'!BJ25/1000</f>
        <v>0</v>
      </c>
      <c r="Q29" s="820">
        <f>'P NP JAPUNG KAB'!BL25/1000</f>
        <v>0</v>
      </c>
      <c r="R29" s="491">
        <f>SUM(S29:V29)</f>
        <v>142.05286000000001</v>
      </c>
      <c r="S29" s="363">
        <f>'P NP TW'!BS26/1000</f>
        <v>34.857330000000005</v>
      </c>
      <c r="T29" s="363">
        <f>'P NP TW'!BU26/1000</f>
        <v>37.981729999999999</v>
      </c>
      <c r="U29" s="363">
        <f>'P NP TW'!BW26/1000</f>
        <v>33.43824</v>
      </c>
      <c r="V29" s="268">
        <f>'P NP TW'!BY26/1000</f>
        <v>35.775559999999999</v>
      </c>
      <c r="W29" s="853"/>
      <c r="X29" s="265"/>
      <c r="Y29" s="265"/>
      <c r="Z29" s="265"/>
      <c r="AA29" s="265"/>
    </row>
    <row r="30" spans="1:27" ht="14.15" customHeight="1">
      <c r="A30" s="260" t="s">
        <v>113</v>
      </c>
      <c r="B30" s="270">
        <f t="shared" si="1"/>
        <v>17.603000000000002</v>
      </c>
      <c r="C30" s="267">
        <f>'P NP JAPUNG KAB'!AJ26/1000</f>
        <v>0</v>
      </c>
      <c r="D30" s="267">
        <f>'P NP JAPUNG KAB'!AN26/1000</f>
        <v>16.625</v>
      </c>
      <c r="E30" s="267">
        <f>'P NP JAPUNG KAB'!AL26/1000</f>
        <v>0</v>
      </c>
      <c r="F30" s="267">
        <f>'P NP JAPUNG KAB'!P26/1000</f>
        <v>0</v>
      </c>
      <c r="G30" s="267">
        <f>'P NP JAPUNG KAB'!AT26/1000</f>
        <v>0</v>
      </c>
      <c r="H30" s="267">
        <f>'P NP JAPUNG KAB'!AP26/1000</f>
        <v>0</v>
      </c>
      <c r="I30" s="267">
        <f>'P NP JAPUNG KAB'!D26/1000</f>
        <v>0</v>
      </c>
      <c r="J30" s="267">
        <f>'P NP JAPUNG KAB'!AD26/1000</f>
        <v>0.97799999999999998</v>
      </c>
      <c r="K30" s="267">
        <f>'P NP JAPUNG KAB'!F26/1000</f>
        <v>0</v>
      </c>
      <c r="L30" s="267">
        <f>'P NP JAPUNG KAB'!L26/1000</f>
        <v>0</v>
      </c>
      <c r="M30" s="267">
        <f>'P NP JAPUNG KAB'!BP26/1000</f>
        <v>0</v>
      </c>
      <c r="N30" s="267">
        <f>'P NP JAPUNG KAB'!BF26/1000</f>
        <v>0</v>
      </c>
      <c r="O30" s="267">
        <f>'P NP JAPUNG KAB'!BH26/1000</f>
        <v>0</v>
      </c>
      <c r="P30" s="267">
        <f>'P NP JAPUNG KAB'!BJ26/1000</f>
        <v>0</v>
      </c>
      <c r="Q30" s="820">
        <f>'P NP JAPUNG KAB'!BL26/1000</f>
        <v>0</v>
      </c>
      <c r="R30" s="491">
        <f t="shared" si="2"/>
        <v>17.602999999999998</v>
      </c>
      <c r="S30" s="363">
        <f>'P NP TW'!BS27/1000</f>
        <v>4.7290000000000001</v>
      </c>
      <c r="T30" s="363">
        <f>'P NP TW'!BU27/1000</f>
        <v>6.3780000000000001</v>
      </c>
      <c r="U30" s="363">
        <f>'P NP TW'!BW27/1000</f>
        <v>2.7309999999999999</v>
      </c>
      <c r="V30" s="268">
        <f>'P NP TW'!BY27/1000</f>
        <v>3.7650000000000001</v>
      </c>
      <c r="W30" s="853"/>
      <c r="X30" s="265"/>
      <c r="Y30" s="265"/>
      <c r="Z30" s="265"/>
      <c r="AA30" s="265"/>
    </row>
    <row r="31" spans="1:27" ht="14.15" customHeight="1">
      <c r="A31" s="260" t="s">
        <v>124</v>
      </c>
      <c r="B31" s="270">
        <f t="shared" si="1"/>
        <v>28.93</v>
      </c>
      <c r="C31" s="267">
        <f>'P NP JAPUNG KAB'!AJ27/1000</f>
        <v>0</v>
      </c>
      <c r="D31" s="267">
        <f>'P NP JAPUNG KAB'!AN27/1000</f>
        <v>28.93</v>
      </c>
      <c r="E31" s="267">
        <f>'P NP JAPUNG KAB'!AL27/1000</f>
        <v>0</v>
      </c>
      <c r="F31" s="267">
        <f>'P NP JAPUNG KAB'!P27/1000</f>
        <v>0</v>
      </c>
      <c r="G31" s="267">
        <f>'P NP JAPUNG KAB'!AT27/1000</f>
        <v>0</v>
      </c>
      <c r="H31" s="267">
        <f>'P NP JAPUNG KAB'!AP27/1000</f>
        <v>0</v>
      </c>
      <c r="I31" s="267">
        <f>'P NP JAPUNG KAB'!D27/1000</f>
        <v>0</v>
      </c>
      <c r="J31" s="267">
        <f>'P NP JAPUNG KAB'!AD27/1000</f>
        <v>0</v>
      </c>
      <c r="K31" s="267">
        <f>'P NP JAPUNG KAB'!F27/1000</f>
        <v>0</v>
      </c>
      <c r="L31" s="267">
        <f>'P NP JAPUNG KAB'!L27/1000</f>
        <v>0</v>
      </c>
      <c r="M31" s="267">
        <f>'P NP JAPUNG KAB'!BP27/1000</f>
        <v>0</v>
      </c>
      <c r="N31" s="267">
        <f>'P NP JAPUNG KAB'!BF27/1000</f>
        <v>0</v>
      </c>
      <c r="O31" s="267">
        <f>'P NP JAPUNG KAB'!BH27/1000</f>
        <v>0</v>
      </c>
      <c r="P31" s="267">
        <f>'P NP JAPUNG KAB'!BJ27/1000</f>
        <v>0</v>
      </c>
      <c r="Q31" s="820">
        <f>'P NP JAPUNG KAB'!BL27/1000</f>
        <v>0</v>
      </c>
      <c r="R31" s="491">
        <f t="shared" si="2"/>
        <v>28.93</v>
      </c>
      <c r="S31" s="363">
        <f>'P NP TW'!BS28/1000</f>
        <v>8</v>
      </c>
      <c r="T31" s="363">
        <f>'P NP TW'!BU28/1000</f>
        <v>4.4000000000000004</v>
      </c>
      <c r="U31" s="363">
        <f>'P NP TW'!BW28/1000</f>
        <v>4.71</v>
      </c>
      <c r="V31" s="268">
        <f>'P NP TW'!BY28/1000</f>
        <v>11.82</v>
      </c>
      <c r="W31" s="853"/>
      <c r="X31" s="265"/>
      <c r="Y31" s="265"/>
      <c r="Z31" s="265"/>
      <c r="AA31" s="265"/>
    </row>
    <row r="32" spans="1:27" ht="14.15" customHeight="1">
      <c r="A32" s="260" t="s">
        <v>138</v>
      </c>
      <c r="B32" s="266">
        <f t="shared" si="1"/>
        <v>0</v>
      </c>
      <c r="C32" s="267">
        <f>'P NP JAPUNG KAB'!AJ28/1000</f>
        <v>0</v>
      </c>
      <c r="D32" s="267">
        <f>'P NP JAPUNG KAB'!AN28/1000</f>
        <v>0</v>
      </c>
      <c r="E32" s="267">
        <f>'P NP JAPUNG KAB'!AL28/1000</f>
        <v>0</v>
      </c>
      <c r="F32" s="267">
        <f>'P NP JAPUNG KAB'!P28/1000</f>
        <v>0</v>
      </c>
      <c r="G32" s="267">
        <f>'P NP JAPUNG KAB'!AT28/1000</f>
        <v>0</v>
      </c>
      <c r="H32" s="267">
        <f>'P NP JAPUNG KAB'!AP28/1000</f>
        <v>0</v>
      </c>
      <c r="I32" s="267">
        <f>'P NP JAPUNG KAB'!D28/1000</f>
        <v>0</v>
      </c>
      <c r="J32" s="267">
        <f>'P NP JAPUNG KAB'!AD28/1000</f>
        <v>0</v>
      </c>
      <c r="K32" s="267">
        <f>'P NP JAPUNG KAB'!F28/1000</f>
        <v>0</v>
      </c>
      <c r="L32" s="267">
        <f>'P NP JAPUNG KAB'!L28/1000</f>
        <v>0</v>
      </c>
      <c r="M32" s="267">
        <f>'P NP JAPUNG KAB'!BP28/1000</f>
        <v>0</v>
      </c>
      <c r="N32" s="267">
        <f>'P NP JAPUNG KAB'!BF28/1000</f>
        <v>0</v>
      </c>
      <c r="O32" s="267">
        <f>'P NP JAPUNG KAB'!BH28/1000</f>
        <v>0</v>
      </c>
      <c r="P32" s="267">
        <f>'P NP JAPUNG KAB'!BJ28/1000</f>
        <v>0</v>
      </c>
      <c r="Q32" s="820">
        <f>'P NP JAPUNG KAB'!BL28/1000</f>
        <v>0</v>
      </c>
      <c r="R32" s="491">
        <f>SUM(S32:V32)</f>
        <v>0</v>
      </c>
      <c r="S32" s="363">
        <f>'P NP TW'!BS29/1000</f>
        <v>0</v>
      </c>
      <c r="T32" s="363">
        <f>'P NP TW'!BU29/1000</f>
        <v>0</v>
      </c>
      <c r="U32" s="363">
        <f>'P NP TW'!BW29/1000</f>
        <v>0</v>
      </c>
      <c r="V32" s="268">
        <f>'P NP TW'!BY29/1000</f>
        <v>0</v>
      </c>
      <c r="W32" s="853"/>
      <c r="X32" s="265"/>
      <c r="Y32" s="265"/>
      <c r="Z32" s="265"/>
      <c r="AA32" s="265"/>
    </row>
    <row r="33" spans="1:27" ht="14.15" customHeight="1">
      <c r="A33" s="260" t="s">
        <v>126</v>
      </c>
      <c r="B33" s="270">
        <f t="shared" si="1"/>
        <v>0</v>
      </c>
      <c r="C33" s="267">
        <f>'P NP JAPUNG KAB'!AJ29/1000</f>
        <v>0</v>
      </c>
      <c r="D33" s="267">
        <f>'P NP JAPUNG KAB'!AN29/1000</f>
        <v>0</v>
      </c>
      <c r="E33" s="267">
        <f>'P NP JAPUNG KAB'!AL29/1000</f>
        <v>0</v>
      </c>
      <c r="F33" s="267">
        <f>'P NP JAPUNG KAB'!P29/1000</f>
        <v>0</v>
      </c>
      <c r="G33" s="267">
        <f>'P NP JAPUNG KAB'!AT29/1000</f>
        <v>0</v>
      </c>
      <c r="H33" s="267">
        <f>'P NP JAPUNG KAB'!AP29/1000</f>
        <v>0</v>
      </c>
      <c r="I33" s="267">
        <f>'P NP JAPUNG KAB'!D29/1000</f>
        <v>0</v>
      </c>
      <c r="J33" s="267">
        <f>'P NP JAPUNG KAB'!AD29/1000</f>
        <v>0</v>
      </c>
      <c r="K33" s="267">
        <f>'P NP JAPUNG KAB'!F29/1000</f>
        <v>0</v>
      </c>
      <c r="L33" s="267">
        <f>'P NP JAPUNG KAB'!L29/1000</f>
        <v>0</v>
      </c>
      <c r="M33" s="267">
        <f>'P NP JAPUNG KAB'!BP29/1000</f>
        <v>0</v>
      </c>
      <c r="N33" s="267">
        <f>'P NP JAPUNG KAB'!BF29/1000</f>
        <v>0</v>
      </c>
      <c r="O33" s="267">
        <f>'P NP JAPUNG KAB'!BH29/1000</f>
        <v>0</v>
      </c>
      <c r="P33" s="267">
        <f>'P NP JAPUNG KAB'!BJ29/1000</f>
        <v>0</v>
      </c>
      <c r="Q33" s="820">
        <f>'P NP JAPUNG KAB'!BL29/1000</f>
        <v>0</v>
      </c>
      <c r="R33" s="491">
        <f t="shared" si="2"/>
        <v>0</v>
      </c>
      <c r="S33" s="363">
        <f>'P NP TW'!BS30/1000</f>
        <v>0</v>
      </c>
      <c r="T33" s="363">
        <f>'P NP TW'!BU30/1000</f>
        <v>0</v>
      </c>
      <c r="U33" s="363">
        <f>'P NP TW'!BW30/1000</f>
        <v>0</v>
      </c>
      <c r="V33" s="268">
        <f>'P NP TW'!BY30/1000</f>
        <v>0</v>
      </c>
      <c r="W33" s="853"/>
      <c r="X33" s="265"/>
      <c r="Y33" s="265"/>
      <c r="Z33" s="265"/>
      <c r="AA33" s="265"/>
    </row>
    <row r="34" spans="1:27" ht="14.15" customHeight="1">
      <c r="A34" s="260" t="s">
        <v>123</v>
      </c>
      <c r="B34" s="270">
        <f t="shared" si="1"/>
        <v>0</v>
      </c>
      <c r="C34" s="267">
        <f>'P NP JAPUNG KAB'!AJ30/1000</f>
        <v>0</v>
      </c>
      <c r="D34" s="267">
        <f>'P NP JAPUNG KAB'!AN30/1000</f>
        <v>0</v>
      </c>
      <c r="E34" s="267">
        <f>'P NP JAPUNG KAB'!AL30/1000</f>
        <v>0</v>
      </c>
      <c r="F34" s="267">
        <f>'P NP JAPUNG KAB'!P30/1000</f>
        <v>0</v>
      </c>
      <c r="G34" s="267">
        <f>'P NP JAPUNG KAB'!AT30/1000</f>
        <v>0</v>
      </c>
      <c r="H34" s="267">
        <f>'P NP JAPUNG KAB'!AP30/1000</f>
        <v>0</v>
      </c>
      <c r="I34" s="267">
        <f>'P NP JAPUNG KAB'!D30/1000</f>
        <v>0</v>
      </c>
      <c r="J34" s="267">
        <f>'P NP JAPUNG KAB'!AD30/1000</f>
        <v>0</v>
      </c>
      <c r="K34" s="267">
        <f>'P NP JAPUNG KAB'!F30/1000</f>
        <v>0</v>
      </c>
      <c r="L34" s="267">
        <f>'P NP JAPUNG KAB'!L30/1000</f>
        <v>0</v>
      </c>
      <c r="M34" s="267">
        <f>'P NP JAPUNG KAB'!BP30/1000</f>
        <v>0</v>
      </c>
      <c r="N34" s="267">
        <f>'P NP JAPUNG KAB'!BF30/1000</f>
        <v>0</v>
      </c>
      <c r="O34" s="267">
        <f>'P NP JAPUNG KAB'!BH30/1000</f>
        <v>0</v>
      </c>
      <c r="P34" s="267">
        <f>'P NP JAPUNG KAB'!BJ30/1000</f>
        <v>0</v>
      </c>
      <c r="Q34" s="820">
        <f>'P NP JAPUNG KAB'!BL30/1000</f>
        <v>0</v>
      </c>
      <c r="R34" s="491">
        <f t="shared" si="2"/>
        <v>0</v>
      </c>
      <c r="S34" s="363">
        <f>'P NP TW'!BS31/1000</f>
        <v>0</v>
      </c>
      <c r="T34" s="363">
        <f>'P NP TW'!BU31/1000</f>
        <v>0</v>
      </c>
      <c r="U34" s="363">
        <f>'P NP TW'!BW31/1000</f>
        <v>0</v>
      </c>
      <c r="V34" s="268">
        <f>'P NP TW'!BY31/1000</f>
        <v>0</v>
      </c>
      <c r="W34" s="853"/>
      <c r="X34" s="265"/>
      <c r="Y34" s="265"/>
      <c r="Z34" s="265"/>
      <c r="AA34" s="265"/>
    </row>
    <row r="35" spans="1:27" ht="14.15" customHeight="1">
      <c r="A35" s="260" t="s">
        <v>140</v>
      </c>
      <c r="B35" s="270">
        <f t="shared" si="1"/>
        <v>0</v>
      </c>
      <c r="C35" s="267">
        <f>'P NP JAPUNG KAB'!AJ31/1000</f>
        <v>0</v>
      </c>
      <c r="D35" s="267">
        <f>'P NP JAPUNG KAB'!AN31/1000</f>
        <v>0</v>
      </c>
      <c r="E35" s="267">
        <f>'P NP JAPUNG KAB'!AL31/1000</f>
        <v>0</v>
      </c>
      <c r="F35" s="267">
        <f>'P NP JAPUNG KAB'!P31/1000</f>
        <v>0</v>
      </c>
      <c r="G35" s="267">
        <f>'P NP JAPUNG KAB'!AT31/1000</f>
        <v>0</v>
      </c>
      <c r="H35" s="267">
        <f>'P NP JAPUNG KAB'!AP31/1000</f>
        <v>0</v>
      </c>
      <c r="I35" s="267">
        <f>'P NP JAPUNG KAB'!D31/1000</f>
        <v>0</v>
      </c>
      <c r="J35" s="267">
        <f>'P NP JAPUNG KAB'!AD31/1000</f>
        <v>0</v>
      </c>
      <c r="K35" s="267">
        <f>'P NP JAPUNG KAB'!F31/1000</f>
        <v>0</v>
      </c>
      <c r="L35" s="267">
        <f>'P NP JAPUNG KAB'!L31/1000</f>
        <v>0</v>
      </c>
      <c r="M35" s="267">
        <f>'P NP JAPUNG KAB'!BP31/1000</f>
        <v>0</v>
      </c>
      <c r="N35" s="267">
        <f>'P NP JAPUNG KAB'!BF31/1000</f>
        <v>0</v>
      </c>
      <c r="O35" s="267">
        <f>'P NP JAPUNG KAB'!BH31/1000</f>
        <v>0</v>
      </c>
      <c r="P35" s="267">
        <f>'P NP JAPUNG KAB'!BJ31/1000</f>
        <v>0</v>
      </c>
      <c r="Q35" s="820">
        <f>'P NP JAPUNG KAB'!BL31/1000</f>
        <v>0</v>
      </c>
      <c r="R35" s="491">
        <f t="shared" si="2"/>
        <v>0</v>
      </c>
      <c r="S35" s="363">
        <f>'P NP TW'!BS32/1000</f>
        <v>0</v>
      </c>
      <c r="T35" s="363">
        <f>'P NP TW'!BU32/1000</f>
        <v>0</v>
      </c>
      <c r="U35" s="363">
        <f>'P NP TW'!BW32/1000</f>
        <v>0</v>
      </c>
      <c r="V35" s="268">
        <f>'P NP TW'!BY32/1000</f>
        <v>0</v>
      </c>
      <c r="W35" s="853"/>
      <c r="X35" s="265"/>
      <c r="Y35" s="265"/>
      <c r="Z35" s="265"/>
      <c r="AA35" s="265"/>
    </row>
    <row r="36" spans="1:27" ht="14.15" customHeight="1">
      <c r="A36" s="260" t="s">
        <v>114</v>
      </c>
      <c r="B36" s="266">
        <f t="shared" si="1"/>
        <v>0</v>
      </c>
      <c r="C36" s="267">
        <f>'P NP JAPUNG KAB'!AJ32/1000</f>
        <v>0</v>
      </c>
      <c r="D36" s="267">
        <f>'P NP JAPUNG KAB'!AN32/1000</f>
        <v>0</v>
      </c>
      <c r="E36" s="267">
        <f>'P NP JAPUNG KAB'!AL32/1000</f>
        <v>0</v>
      </c>
      <c r="F36" s="267">
        <f>'P NP JAPUNG KAB'!P32/1000</f>
        <v>0</v>
      </c>
      <c r="G36" s="267">
        <f>'P NP JAPUNG KAB'!AT32/1000</f>
        <v>0</v>
      </c>
      <c r="H36" s="267">
        <f>'P NP JAPUNG KAB'!AP32/1000</f>
        <v>0</v>
      </c>
      <c r="I36" s="267">
        <f>'P NP JAPUNG KAB'!D32/1000</f>
        <v>0</v>
      </c>
      <c r="J36" s="267">
        <f>'P NP JAPUNG KAB'!AD32/1000</f>
        <v>0</v>
      </c>
      <c r="K36" s="267">
        <f>'P NP JAPUNG KAB'!F32/1000</f>
        <v>0</v>
      </c>
      <c r="L36" s="267">
        <f>'P NP JAPUNG KAB'!L32/1000</f>
        <v>0</v>
      </c>
      <c r="M36" s="267">
        <f>'P NP JAPUNG KAB'!BP32/1000</f>
        <v>0</v>
      </c>
      <c r="N36" s="267">
        <f>'P NP JAPUNG KAB'!BF32/1000</f>
        <v>0</v>
      </c>
      <c r="O36" s="267">
        <f>'P NP JAPUNG KAB'!BH32/1000</f>
        <v>0</v>
      </c>
      <c r="P36" s="267">
        <f>'P NP JAPUNG KAB'!BJ32/1000</f>
        <v>0</v>
      </c>
      <c r="Q36" s="820">
        <f>'P NP JAPUNG KAB'!BL32/1000</f>
        <v>0</v>
      </c>
      <c r="R36" s="491">
        <f>SUM(S36:V36)</f>
        <v>0</v>
      </c>
      <c r="S36" s="363">
        <f>'P NP TW'!BS33/1000</f>
        <v>0</v>
      </c>
      <c r="T36" s="363">
        <f>'P NP TW'!BU33/1000</f>
        <v>0</v>
      </c>
      <c r="U36" s="363">
        <f>'P NP TW'!BW33/1000</f>
        <v>0</v>
      </c>
      <c r="V36" s="268">
        <f>'P NP TW'!BY33/1000</f>
        <v>0</v>
      </c>
      <c r="W36" s="853"/>
      <c r="X36" s="265"/>
      <c r="Y36" s="265"/>
      <c r="Z36" s="265"/>
      <c r="AA36" s="265"/>
    </row>
    <row r="37" spans="1:27" ht="14.15" customHeight="1">
      <c r="A37" s="260" t="s">
        <v>134</v>
      </c>
      <c r="B37" s="270">
        <f t="shared" si="1"/>
        <v>0</v>
      </c>
      <c r="C37" s="267">
        <f>'P NP JAPUNG KAB'!AJ33/1000</f>
        <v>0</v>
      </c>
      <c r="D37" s="267">
        <f>'P NP JAPUNG KAB'!AN33/1000</f>
        <v>0</v>
      </c>
      <c r="E37" s="267">
        <f>'P NP JAPUNG KAB'!AL33/1000</f>
        <v>0</v>
      </c>
      <c r="F37" s="267">
        <f>'P NP JAPUNG KAB'!P33/1000</f>
        <v>0</v>
      </c>
      <c r="G37" s="267">
        <f>'P NP JAPUNG KAB'!AT33/1000</f>
        <v>0</v>
      </c>
      <c r="H37" s="267">
        <f>'P NP JAPUNG KAB'!AP33/1000</f>
        <v>0</v>
      </c>
      <c r="I37" s="267">
        <f>'P NP JAPUNG KAB'!D33/1000</f>
        <v>0</v>
      </c>
      <c r="J37" s="267">
        <f>'P NP JAPUNG KAB'!AD33/1000</f>
        <v>0</v>
      </c>
      <c r="K37" s="267">
        <f>'P NP JAPUNG KAB'!F33/1000</f>
        <v>0</v>
      </c>
      <c r="L37" s="267">
        <f>'P NP JAPUNG KAB'!L33/1000</f>
        <v>0</v>
      </c>
      <c r="M37" s="267">
        <f>'P NP JAPUNG KAB'!BP33/1000</f>
        <v>0</v>
      </c>
      <c r="N37" s="267">
        <f>'P NP JAPUNG KAB'!BF33/1000</f>
        <v>0</v>
      </c>
      <c r="O37" s="267">
        <f>'P NP JAPUNG KAB'!BH33/1000</f>
        <v>0</v>
      </c>
      <c r="P37" s="267">
        <f>'P NP JAPUNG KAB'!BJ33/1000</f>
        <v>0</v>
      </c>
      <c r="Q37" s="820">
        <f>'P NP JAPUNG KAB'!BL33/1000</f>
        <v>0</v>
      </c>
      <c r="R37" s="491">
        <f t="shared" si="2"/>
        <v>0</v>
      </c>
      <c r="S37" s="363">
        <f>'P NP TW'!BS34/1000</f>
        <v>0</v>
      </c>
      <c r="T37" s="363">
        <f>'P NP TW'!BU34/1000</f>
        <v>0</v>
      </c>
      <c r="U37" s="363">
        <f>'P NP TW'!BW34/1000</f>
        <v>0</v>
      </c>
      <c r="V37" s="268">
        <f>'P NP TW'!BY34/1000</f>
        <v>0</v>
      </c>
      <c r="W37" s="853"/>
      <c r="X37" s="265"/>
      <c r="Y37" s="265"/>
      <c r="Z37" s="265"/>
      <c r="AA37" s="265"/>
    </row>
    <row r="38" spans="1:27" ht="14.15" customHeight="1">
      <c r="A38" s="260" t="s">
        <v>115</v>
      </c>
      <c r="B38" s="270">
        <f t="shared" si="1"/>
        <v>0</v>
      </c>
      <c r="C38" s="267">
        <f>'P NP JAPUNG KAB'!AJ34/1000</f>
        <v>0</v>
      </c>
      <c r="D38" s="267">
        <f>'P NP JAPUNG KAB'!AN34/1000</f>
        <v>0</v>
      </c>
      <c r="E38" s="267">
        <f>'P NP JAPUNG KAB'!AL34/1000</f>
        <v>0</v>
      </c>
      <c r="F38" s="267">
        <f>'P NP JAPUNG KAB'!P34/1000</f>
        <v>0</v>
      </c>
      <c r="G38" s="267">
        <f>'P NP JAPUNG KAB'!AT34/1000</f>
        <v>0</v>
      </c>
      <c r="H38" s="267">
        <f>'P NP JAPUNG KAB'!AP34/1000</f>
        <v>0</v>
      </c>
      <c r="I38" s="267">
        <f>'P NP JAPUNG KAB'!D34/1000</f>
        <v>0</v>
      </c>
      <c r="J38" s="267">
        <f>'P NP JAPUNG KAB'!AD34/1000</f>
        <v>0</v>
      </c>
      <c r="K38" s="267">
        <f>'P NP JAPUNG KAB'!F34/1000</f>
        <v>0</v>
      </c>
      <c r="L38" s="267">
        <f>'P NP JAPUNG KAB'!L34/1000</f>
        <v>0</v>
      </c>
      <c r="M38" s="267">
        <f>'P NP JAPUNG KAB'!BP34/1000</f>
        <v>0</v>
      </c>
      <c r="N38" s="267">
        <f>'P NP JAPUNG KAB'!BF34/1000</f>
        <v>0</v>
      </c>
      <c r="O38" s="267">
        <f>'P NP JAPUNG KAB'!BH34/1000</f>
        <v>0</v>
      </c>
      <c r="P38" s="267">
        <f>'P NP JAPUNG KAB'!BJ34/1000</f>
        <v>0</v>
      </c>
      <c r="Q38" s="820">
        <f>'P NP JAPUNG KAB'!BL34/1000</f>
        <v>0</v>
      </c>
      <c r="R38" s="491">
        <f t="shared" si="2"/>
        <v>0</v>
      </c>
      <c r="S38" s="363">
        <f>'P NP TW'!BS35/1000</f>
        <v>0</v>
      </c>
      <c r="T38" s="363">
        <f>'P NP TW'!BU35/1000</f>
        <v>0</v>
      </c>
      <c r="U38" s="363">
        <f>'P NP TW'!BW35/1000</f>
        <v>0</v>
      </c>
      <c r="V38" s="268">
        <f>'P NP TW'!BY35/1000</f>
        <v>0</v>
      </c>
      <c r="W38" s="853"/>
      <c r="X38" s="265"/>
      <c r="Y38" s="265"/>
      <c r="Z38" s="265"/>
      <c r="AA38" s="265"/>
    </row>
    <row r="39" spans="1:27" ht="14.15" customHeight="1">
      <c r="A39" s="260" t="s">
        <v>149</v>
      </c>
      <c r="B39" s="270">
        <f t="shared" si="1"/>
        <v>0</v>
      </c>
      <c r="C39" s="267">
        <f>'P NP JAPUNG KAB'!AJ35/1000</f>
        <v>0</v>
      </c>
      <c r="D39" s="267">
        <f>'P NP JAPUNG KAB'!AN35/1000</f>
        <v>0</v>
      </c>
      <c r="E39" s="267">
        <f>'P NP JAPUNG KAB'!AL35/1000</f>
        <v>0</v>
      </c>
      <c r="F39" s="267">
        <f>'P NP JAPUNG KAB'!P35/1000</f>
        <v>0</v>
      </c>
      <c r="G39" s="267">
        <f>'P NP JAPUNG KAB'!AT35/1000</f>
        <v>0</v>
      </c>
      <c r="H39" s="267">
        <f>'P NP JAPUNG KAB'!AP35/1000</f>
        <v>0</v>
      </c>
      <c r="I39" s="267">
        <f>'P NP JAPUNG KAB'!D35/1000</f>
        <v>0</v>
      </c>
      <c r="J39" s="267">
        <f>'P NP JAPUNG KAB'!AD35/1000</f>
        <v>0</v>
      </c>
      <c r="K39" s="267">
        <f>'P NP JAPUNG KAB'!F35/1000</f>
        <v>0</v>
      </c>
      <c r="L39" s="267">
        <f>'P NP JAPUNG KAB'!L35/1000</f>
        <v>0</v>
      </c>
      <c r="M39" s="267">
        <f>'P NP JAPUNG KAB'!BP35/1000</f>
        <v>0</v>
      </c>
      <c r="N39" s="267">
        <f>'P NP JAPUNG KAB'!BF35/1000</f>
        <v>0</v>
      </c>
      <c r="O39" s="267">
        <f>'P NP JAPUNG KAB'!BH35/1000</f>
        <v>0</v>
      </c>
      <c r="P39" s="267">
        <f>'P NP JAPUNG KAB'!BJ35/1000</f>
        <v>0</v>
      </c>
      <c r="Q39" s="820">
        <f>'P NP JAPUNG KAB'!BL35/1000</f>
        <v>0</v>
      </c>
      <c r="R39" s="491">
        <f t="shared" si="2"/>
        <v>0</v>
      </c>
      <c r="S39" s="363">
        <f>'P NP TW'!BS36/1000</f>
        <v>0</v>
      </c>
      <c r="T39" s="363">
        <f>'P NP TW'!BU36/1000</f>
        <v>0</v>
      </c>
      <c r="U39" s="363">
        <f>'P NP TW'!BW36/1000</f>
        <v>0</v>
      </c>
      <c r="V39" s="268">
        <f>'P NP TW'!BY36/1000</f>
        <v>0</v>
      </c>
      <c r="W39" s="853"/>
      <c r="X39" s="265"/>
      <c r="Y39" s="265"/>
      <c r="Z39" s="265"/>
      <c r="AA39" s="265"/>
    </row>
    <row r="40" spans="1:27" ht="14.15" customHeight="1">
      <c r="A40" s="260" t="s">
        <v>142</v>
      </c>
      <c r="B40" s="270">
        <f t="shared" si="1"/>
        <v>0</v>
      </c>
      <c r="C40" s="267">
        <f>'P NP JAPUNG KAB'!AJ36/1000</f>
        <v>0</v>
      </c>
      <c r="D40" s="267">
        <f>'P NP JAPUNG KAB'!AN36/1000</f>
        <v>0</v>
      </c>
      <c r="E40" s="267">
        <f>'P NP JAPUNG KAB'!AL36/1000</f>
        <v>0</v>
      </c>
      <c r="F40" s="267">
        <f>'P NP JAPUNG KAB'!P36/1000</f>
        <v>0</v>
      </c>
      <c r="G40" s="267">
        <f>'P NP JAPUNG KAB'!AT36/1000</f>
        <v>0</v>
      </c>
      <c r="H40" s="267">
        <f>'P NP JAPUNG KAB'!AP36/1000</f>
        <v>0</v>
      </c>
      <c r="I40" s="267">
        <f>'P NP JAPUNG KAB'!D36/1000</f>
        <v>0</v>
      </c>
      <c r="J40" s="267">
        <f>'P NP JAPUNG KAB'!AD36/1000</f>
        <v>0</v>
      </c>
      <c r="K40" s="267">
        <f>'P NP JAPUNG KAB'!F36/1000</f>
        <v>0</v>
      </c>
      <c r="L40" s="267">
        <f>'P NP JAPUNG KAB'!L36/1000</f>
        <v>0</v>
      </c>
      <c r="M40" s="267">
        <f>'P NP JAPUNG KAB'!BP36/1000</f>
        <v>0</v>
      </c>
      <c r="N40" s="267">
        <f>'P NP JAPUNG KAB'!BF36/1000</f>
        <v>0</v>
      </c>
      <c r="O40" s="267">
        <f>'P NP JAPUNG KAB'!BH36/1000</f>
        <v>0</v>
      </c>
      <c r="P40" s="267">
        <f>'P NP JAPUNG KAB'!BJ36/1000</f>
        <v>0</v>
      </c>
      <c r="Q40" s="820">
        <f>'P NP JAPUNG KAB'!BL36/1000</f>
        <v>0</v>
      </c>
      <c r="R40" s="491">
        <f t="shared" si="2"/>
        <v>0</v>
      </c>
      <c r="S40" s="363">
        <f>'P NP TW'!BS37/1000</f>
        <v>0</v>
      </c>
      <c r="T40" s="363">
        <f>'P NP TW'!BU37/1000</f>
        <v>0</v>
      </c>
      <c r="U40" s="363">
        <f>'P NP TW'!BW37/1000</f>
        <v>0</v>
      </c>
      <c r="V40" s="268">
        <f>'P NP TW'!BY37/1000</f>
        <v>0</v>
      </c>
      <c r="W40" s="853"/>
      <c r="X40" s="265"/>
      <c r="Y40" s="265"/>
      <c r="Z40" s="265"/>
      <c r="AA40" s="265"/>
    </row>
    <row r="41" spans="1:27" ht="14.15" customHeight="1">
      <c r="A41" s="260" t="s">
        <v>141</v>
      </c>
      <c r="B41" s="270">
        <f t="shared" si="1"/>
        <v>0</v>
      </c>
      <c r="C41" s="267">
        <f>'P NP JAPUNG KAB'!AJ37/1000</f>
        <v>0</v>
      </c>
      <c r="D41" s="267">
        <f>'P NP JAPUNG KAB'!AN37/1000</f>
        <v>0</v>
      </c>
      <c r="E41" s="267">
        <f>'P NP JAPUNG KAB'!AL37/1000</f>
        <v>0</v>
      </c>
      <c r="F41" s="267">
        <f>'P NP JAPUNG KAB'!P37/1000</f>
        <v>0</v>
      </c>
      <c r="G41" s="267">
        <f>'P NP JAPUNG KAB'!AT37/1000</f>
        <v>0</v>
      </c>
      <c r="H41" s="267">
        <f>'P NP JAPUNG KAB'!AP37/1000</f>
        <v>0</v>
      </c>
      <c r="I41" s="267">
        <f>'P NP JAPUNG KAB'!D37/1000</f>
        <v>0</v>
      </c>
      <c r="J41" s="267">
        <f>'P NP JAPUNG KAB'!AD37/1000</f>
        <v>0</v>
      </c>
      <c r="K41" s="267">
        <f>'P NP JAPUNG KAB'!F37/1000</f>
        <v>0</v>
      </c>
      <c r="L41" s="267">
        <f>'P NP JAPUNG KAB'!L37/1000</f>
        <v>0</v>
      </c>
      <c r="M41" s="267">
        <f>'P NP JAPUNG KAB'!BP37/1000</f>
        <v>0</v>
      </c>
      <c r="N41" s="267">
        <f>'P NP JAPUNG KAB'!BF37/1000</f>
        <v>0</v>
      </c>
      <c r="O41" s="267">
        <f>'P NP JAPUNG KAB'!BH37/1000</f>
        <v>0</v>
      </c>
      <c r="P41" s="267">
        <f>'P NP JAPUNG KAB'!BJ37/1000</f>
        <v>0</v>
      </c>
      <c r="Q41" s="820">
        <f>'P NP JAPUNG KAB'!BL37/1000</f>
        <v>0</v>
      </c>
      <c r="R41" s="491">
        <f t="shared" si="2"/>
        <v>0</v>
      </c>
      <c r="S41" s="363">
        <f>'P NP TW'!BS38/1000</f>
        <v>0</v>
      </c>
      <c r="T41" s="363">
        <f>'P NP TW'!BU38/1000</f>
        <v>0</v>
      </c>
      <c r="U41" s="363">
        <f>'P NP TW'!BW38/1000</f>
        <v>0</v>
      </c>
      <c r="V41" s="268">
        <f>'P NP TW'!BY38/1000</f>
        <v>0</v>
      </c>
      <c r="W41" s="853"/>
      <c r="X41" s="265"/>
      <c r="Y41" s="265"/>
      <c r="Z41" s="265"/>
      <c r="AA41" s="265"/>
    </row>
    <row r="42" spans="1:27" ht="14.15" customHeight="1">
      <c r="A42" s="260" t="s">
        <v>147</v>
      </c>
      <c r="B42" s="266">
        <f t="shared" si="1"/>
        <v>0</v>
      </c>
      <c r="C42" s="267">
        <f>'P NP JAPUNG KAB'!AJ38/1000</f>
        <v>0</v>
      </c>
      <c r="D42" s="267">
        <f>'P NP JAPUNG KAB'!AN38/1000</f>
        <v>0</v>
      </c>
      <c r="E42" s="267">
        <f>'P NP JAPUNG KAB'!AL38/1000</f>
        <v>0</v>
      </c>
      <c r="F42" s="267">
        <f>'P NP JAPUNG KAB'!P38/1000</f>
        <v>0</v>
      </c>
      <c r="G42" s="267">
        <f>'P NP JAPUNG KAB'!AT38/1000</f>
        <v>0</v>
      </c>
      <c r="H42" s="267">
        <f>'P NP JAPUNG KAB'!AP38/1000</f>
        <v>0</v>
      </c>
      <c r="I42" s="267">
        <f>'P NP JAPUNG KAB'!D38/1000</f>
        <v>0</v>
      </c>
      <c r="J42" s="267">
        <f>'P NP JAPUNG KAB'!AD38/1000</f>
        <v>0</v>
      </c>
      <c r="K42" s="267">
        <f>'P NP JAPUNG KAB'!F38/1000</f>
        <v>0</v>
      </c>
      <c r="L42" s="267">
        <f>'P NP JAPUNG KAB'!L38/1000</f>
        <v>0</v>
      </c>
      <c r="M42" s="267">
        <f>'P NP JAPUNG KAB'!BP38/1000</f>
        <v>0</v>
      </c>
      <c r="N42" s="267">
        <f>'P NP JAPUNG KAB'!BF38/1000</f>
        <v>0</v>
      </c>
      <c r="O42" s="267">
        <f>'P NP JAPUNG KAB'!BH38/1000</f>
        <v>0</v>
      </c>
      <c r="P42" s="267">
        <f>'P NP JAPUNG KAB'!BJ38/1000</f>
        <v>0</v>
      </c>
      <c r="Q42" s="820">
        <f>'P NP JAPUNG KAB'!BL38/1000</f>
        <v>0</v>
      </c>
      <c r="R42" s="491">
        <f>SUM(S42:V42)</f>
        <v>0</v>
      </c>
      <c r="S42" s="363">
        <f>'P NP TW'!BS39/1000</f>
        <v>0</v>
      </c>
      <c r="T42" s="363">
        <f>'P NP TW'!BU39/1000</f>
        <v>0</v>
      </c>
      <c r="U42" s="363">
        <f>'P NP TW'!BW39/1000</f>
        <v>0</v>
      </c>
      <c r="V42" s="268">
        <f>'P NP TW'!BY39/1000</f>
        <v>0</v>
      </c>
      <c r="W42" s="853"/>
      <c r="X42" s="265"/>
      <c r="Y42" s="265"/>
      <c r="Z42" s="265"/>
      <c r="AA42" s="265"/>
    </row>
    <row r="43" spans="1:27" ht="14.15" customHeight="1">
      <c r="A43" s="260" t="s">
        <v>143</v>
      </c>
      <c r="B43" s="266">
        <f t="shared" si="1"/>
        <v>0</v>
      </c>
      <c r="C43" s="267">
        <f>'P NP JAPUNG KAB'!AJ39/1000</f>
        <v>0</v>
      </c>
      <c r="D43" s="267">
        <f>'P NP JAPUNG KAB'!AN39/1000</f>
        <v>0</v>
      </c>
      <c r="E43" s="267">
        <f>'P NP JAPUNG KAB'!AL39/1000</f>
        <v>0</v>
      </c>
      <c r="F43" s="267">
        <f>'P NP JAPUNG KAB'!P39/1000</f>
        <v>0</v>
      </c>
      <c r="G43" s="267">
        <f>'P NP JAPUNG KAB'!AT39/1000</f>
        <v>0</v>
      </c>
      <c r="H43" s="267">
        <f>'P NP JAPUNG KAB'!AP39/1000</f>
        <v>0</v>
      </c>
      <c r="I43" s="267">
        <f>'P NP JAPUNG KAB'!D39/1000</f>
        <v>0</v>
      </c>
      <c r="J43" s="267">
        <f>'P NP JAPUNG KAB'!AD39/1000</f>
        <v>0</v>
      </c>
      <c r="K43" s="267">
        <f>'P NP JAPUNG KAB'!F39/1000</f>
        <v>0</v>
      </c>
      <c r="L43" s="267">
        <f>'P NP JAPUNG KAB'!L39/1000</f>
        <v>0</v>
      </c>
      <c r="M43" s="267">
        <f>'P NP JAPUNG KAB'!BP39/1000</f>
        <v>0</v>
      </c>
      <c r="N43" s="267">
        <f>'P NP JAPUNG KAB'!BF39/1000</f>
        <v>0</v>
      </c>
      <c r="O43" s="267">
        <f>'P NP JAPUNG KAB'!BH39/1000</f>
        <v>0</v>
      </c>
      <c r="P43" s="267">
        <f>'P NP JAPUNG KAB'!BJ39/1000</f>
        <v>0</v>
      </c>
      <c r="Q43" s="820">
        <f>'P NP JAPUNG KAB'!BL39/1000</f>
        <v>0</v>
      </c>
      <c r="R43" s="491">
        <f>SUM(S43:V43)</f>
        <v>0</v>
      </c>
      <c r="S43" s="363">
        <f>'P NP TW'!BS40/1000</f>
        <v>0</v>
      </c>
      <c r="T43" s="363">
        <f>'P NP TW'!BU40/1000</f>
        <v>0</v>
      </c>
      <c r="U43" s="363">
        <f>'P NP TW'!BW40/1000</f>
        <v>0</v>
      </c>
      <c r="V43" s="268">
        <f>'P NP TW'!BY40/1000</f>
        <v>0</v>
      </c>
      <c r="W43" s="853"/>
      <c r="X43" s="265"/>
      <c r="Y43" s="265"/>
      <c r="Z43" s="265"/>
      <c r="AA43" s="265"/>
    </row>
    <row r="44" spans="1:27" ht="14.15" customHeight="1">
      <c r="A44" s="260" t="s">
        <v>146</v>
      </c>
      <c r="B44" s="266">
        <f t="shared" si="1"/>
        <v>0</v>
      </c>
      <c r="C44" s="267">
        <f>'P NP JAPUNG KAB'!AJ40/1000</f>
        <v>0</v>
      </c>
      <c r="D44" s="267">
        <f>'P NP JAPUNG KAB'!AN40/1000</f>
        <v>0</v>
      </c>
      <c r="E44" s="267">
        <f>'P NP JAPUNG KAB'!AL40/1000</f>
        <v>0</v>
      </c>
      <c r="F44" s="267">
        <f>'P NP JAPUNG KAB'!P40/1000</f>
        <v>0</v>
      </c>
      <c r="G44" s="267">
        <f>'P NP JAPUNG KAB'!AT40/1000</f>
        <v>0</v>
      </c>
      <c r="H44" s="267">
        <f>'P NP JAPUNG KAB'!AP40/1000</f>
        <v>0</v>
      </c>
      <c r="I44" s="267">
        <f>'P NP JAPUNG KAB'!D40/1000</f>
        <v>0</v>
      </c>
      <c r="J44" s="267">
        <f>'P NP JAPUNG KAB'!AD40/1000</f>
        <v>0</v>
      </c>
      <c r="K44" s="267">
        <f>'P NP JAPUNG KAB'!F40/1000</f>
        <v>0</v>
      </c>
      <c r="L44" s="267">
        <f>'P NP JAPUNG KAB'!L40/1000</f>
        <v>0</v>
      </c>
      <c r="M44" s="267">
        <f>'P NP JAPUNG KAB'!BP40/1000</f>
        <v>0</v>
      </c>
      <c r="N44" s="267">
        <f>'P NP JAPUNG KAB'!BF40/1000</f>
        <v>0</v>
      </c>
      <c r="O44" s="267">
        <f>'P NP JAPUNG KAB'!BH40/1000</f>
        <v>0</v>
      </c>
      <c r="P44" s="267">
        <f>'P NP JAPUNG KAB'!BJ40/1000</f>
        <v>0</v>
      </c>
      <c r="Q44" s="820">
        <f>'P NP JAPUNG KAB'!BL40/1000</f>
        <v>0</v>
      </c>
      <c r="R44" s="491">
        <f>SUM(S44:V44)</f>
        <v>0</v>
      </c>
      <c r="S44" s="363">
        <f>'P NP TW'!BS41/1000</f>
        <v>0</v>
      </c>
      <c r="T44" s="363">
        <f>'P NP TW'!BU41/1000</f>
        <v>0</v>
      </c>
      <c r="U44" s="363">
        <f>'P NP TW'!BW41/1000</f>
        <v>0</v>
      </c>
      <c r="V44" s="268">
        <f>'P NP TW'!BY41/1000</f>
        <v>0</v>
      </c>
      <c r="W44" s="853"/>
      <c r="X44" s="265"/>
      <c r="Y44" s="265"/>
      <c r="Z44" s="265"/>
      <c r="AA44" s="265"/>
    </row>
    <row r="45" spans="1:27" ht="14.15" customHeight="1">
      <c r="A45" s="260" t="s">
        <v>145</v>
      </c>
      <c r="B45" s="270">
        <f t="shared" si="1"/>
        <v>0</v>
      </c>
      <c r="C45" s="267">
        <f>'P NP JAPUNG KAB'!AJ41/1000</f>
        <v>0</v>
      </c>
      <c r="D45" s="267">
        <f>'P NP JAPUNG KAB'!AN41/1000</f>
        <v>0</v>
      </c>
      <c r="E45" s="267">
        <f>'P NP JAPUNG KAB'!AL41/1000</f>
        <v>0</v>
      </c>
      <c r="F45" s="267">
        <f>'P NP JAPUNG KAB'!P41/1000</f>
        <v>0</v>
      </c>
      <c r="G45" s="267">
        <f>'P NP JAPUNG KAB'!AT41/1000</f>
        <v>0</v>
      </c>
      <c r="H45" s="267">
        <f>'P NP JAPUNG KAB'!AP41/1000</f>
        <v>0</v>
      </c>
      <c r="I45" s="267">
        <f>'P NP JAPUNG KAB'!D41/1000</f>
        <v>0</v>
      </c>
      <c r="J45" s="267">
        <f>'P NP JAPUNG KAB'!AD41/1000</f>
        <v>0</v>
      </c>
      <c r="K45" s="267">
        <f>'P NP JAPUNG KAB'!F41/1000</f>
        <v>0</v>
      </c>
      <c r="L45" s="267">
        <f>'P NP JAPUNG KAB'!L41/1000</f>
        <v>0</v>
      </c>
      <c r="M45" s="267">
        <f>'P NP JAPUNG KAB'!BP41/1000</f>
        <v>0</v>
      </c>
      <c r="N45" s="267">
        <f>'P NP JAPUNG KAB'!BF41/1000</f>
        <v>0</v>
      </c>
      <c r="O45" s="267">
        <f>'P NP JAPUNG KAB'!BH41/1000</f>
        <v>0</v>
      </c>
      <c r="P45" s="267">
        <f>'P NP JAPUNG KAB'!BJ41/1000</f>
        <v>0</v>
      </c>
      <c r="Q45" s="820">
        <f>'P NP JAPUNG KAB'!BL41/1000</f>
        <v>0</v>
      </c>
      <c r="R45" s="491">
        <f t="shared" si="2"/>
        <v>0</v>
      </c>
      <c r="S45" s="363">
        <f>'P NP TW'!BS42/1000</f>
        <v>0</v>
      </c>
      <c r="T45" s="363">
        <f>'P NP TW'!BU42/1000</f>
        <v>0</v>
      </c>
      <c r="U45" s="363">
        <f>'P NP TW'!BW42/1000</f>
        <v>0</v>
      </c>
      <c r="V45" s="268">
        <f>'P NP TW'!BY42/1000</f>
        <v>0</v>
      </c>
      <c r="W45" s="853"/>
      <c r="X45" s="265"/>
      <c r="Y45" s="265"/>
      <c r="Z45" s="265"/>
      <c r="AA45" s="265"/>
    </row>
    <row r="46" spans="1:27" ht="14.15" customHeight="1">
      <c r="A46" s="260" t="s">
        <v>144</v>
      </c>
      <c r="B46" s="266">
        <f t="shared" si="1"/>
        <v>0</v>
      </c>
      <c r="C46" s="267">
        <f>'P NP JAPUNG KAB'!AJ42/1000</f>
        <v>0</v>
      </c>
      <c r="D46" s="267">
        <f>'P NP JAPUNG KAB'!AN42/1000</f>
        <v>0</v>
      </c>
      <c r="E46" s="267">
        <f>'P NP JAPUNG KAB'!AL42/1000</f>
        <v>0</v>
      </c>
      <c r="F46" s="267">
        <f>'P NP JAPUNG KAB'!P42/1000</f>
        <v>0</v>
      </c>
      <c r="G46" s="267">
        <f>'P NP JAPUNG KAB'!AT42/1000</f>
        <v>0</v>
      </c>
      <c r="H46" s="267">
        <f>'P NP JAPUNG KAB'!AP42/1000</f>
        <v>0</v>
      </c>
      <c r="I46" s="267">
        <f>'P NP JAPUNG KAB'!D42/1000</f>
        <v>0</v>
      </c>
      <c r="J46" s="267">
        <f>'P NP JAPUNG KAB'!AD42/1000</f>
        <v>0</v>
      </c>
      <c r="K46" s="267">
        <f>'P NP JAPUNG KAB'!F42/1000</f>
        <v>0</v>
      </c>
      <c r="L46" s="267">
        <f>'P NP JAPUNG KAB'!L42/1000</f>
        <v>0</v>
      </c>
      <c r="M46" s="267">
        <f>'P NP JAPUNG KAB'!BP42/1000</f>
        <v>0</v>
      </c>
      <c r="N46" s="267">
        <f>'P NP JAPUNG KAB'!BF42/1000</f>
        <v>0</v>
      </c>
      <c r="O46" s="267">
        <f>'P NP JAPUNG KAB'!BH42/1000</f>
        <v>0</v>
      </c>
      <c r="P46" s="267">
        <f>'P NP JAPUNG KAB'!BJ42/1000</f>
        <v>0</v>
      </c>
      <c r="Q46" s="820">
        <f>'P NP JAPUNG KAB'!BL42/1000</f>
        <v>0</v>
      </c>
      <c r="R46" s="491">
        <f>SUM(S46:V46)</f>
        <v>0</v>
      </c>
      <c r="S46" s="363">
        <f>'P NP TW'!BS43/1000</f>
        <v>0</v>
      </c>
      <c r="T46" s="363">
        <f>'P NP TW'!BU43/1000</f>
        <v>0</v>
      </c>
      <c r="U46" s="363">
        <f>'P NP TW'!BW43/1000</f>
        <v>0</v>
      </c>
      <c r="V46" s="268">
        <f>'P NP TW'!BY43/1000</f>
        <v>0</v>
      </c>
      <c r="W46" s="853"/>
      <c r="X46" s="271"/>
      <c r="Y46" s="271"/>
      <c r="Z46" s="271"/>
      <c r="AA46" s="271"/>
    </row>
    <row r="47" spans="1:27" ht="14.15" customHeight="1" thickBot="1">
      <c r="A47" s="272" t="s">
        <v>148</v>
      </c>
      <c r="B47" s="273">
        <f t="shared" si="1"/>
        <v>76.409000000000006</v>
      </c>
      <c r="C47" s="328">
        <f>'P NP JAPUNG KAB'!AJ43/1000</f>
        <v>0</v>
      </c>
      <c r="D47" s="328">
        <f>'P NP JAPUNG KAB'!AN43/1000</f>
        <v>0</v>
      </c>
      <c r="E47" s="328">
        <f>'P NP JAPUNG KAB'!AL43/1000</f>
        <v>0</v>
      </c>
      <c r="F47" s="328">
        <f>'P NP JAPUNG KAB'!P43/1000</f>
        <v>0</v>
      </c>
      <c r="G47" s="328">
        <f>'P NP JAPUNG KAB'!AT43/1000</f>
        <v>0</v>
      </c>
      <c r="H47" s="328">
        <f>'P NP JAPUNG KAB'!AP43/1000</f>
        <v>0</v>
      </c>
      <c r="I47" s="328">
        <f>'P NP JAPUNG KAB'!D43/1000</f>
        <v>0</v>
      </c>
      <c r="J47" s="328">
        <f>'P NP JAPUNG KAB'!AD43/1000</f>
        <v>76.409000000000006</v>
      </c>
      <c r="K47" s="328">
        <f>'P NP JAPUNG KAB'!F43/1000</f>
        <v>0</v>
      </c>
      <c r="L47" s="328">
        <f>'P NP JAPUNG KAB'!L43/1000</f>
        <v>0</v>
      </c>
      <c r="M47" s="328">
        <f>'P NP JAPUNG KAB'!BP43/1000</f>
        <v>0</v>
      </c>
      <c r="N47" s="328">
        <f>'P NP JAPUNG KAB'!BF43/1000</f>
        <v>0</v>
      </c>
      <c r="O47" s="328">
        <f>'P NP JAPUNG KAB'!BH43/1000</f>
        <v>0</v>
      </c>
      <c r="P47" s="328">
        <f>'P NP JAPUNG KAB'!BJ43/1000</f>
        <v>0</v>
      </c>
      <c r="Q47" s="329">
        <f>'P NP JAPUNG KAB'!BL43/1000</f>
        <v>0</v>
      </c>
      <c r="R47" s="572">
        <f t="shared" si="2"/>
        <v>76.409000000000006</v>
      </c>
      <c r="S47" s="365">
        <f>'P NP TW'!BS44/1000</f>
        <v>25.463000000000001</v>
      </c>
      <c r="T47" s="365">
        <f>'P NP TW'!BU44/1000</f>
        <v>19.536000000000001</v>
      </c>
      <c r="U47" s="365">
        <f>'P NP TW'!BW44/1000</f>
        <v>17.61</v>
      </c>
      <c r="V47" s="275">
        <f>'P NP TW'!BY44/1000</f>
        <v>13.8</v>
      </c>
      <c r="W47" s="853"/>
      <c r="X47" s="265"/>
      <c r="Y47" s="265"/>
      <c r="Z47" s="265"/>
      <c r="AA47" s="265"/>
    </row>
    <row r="48" spans="1:27" ht="18" customHeight="1">
      <c r="A48" s="277"/>
      <c r="B48" s="946" t="s">
        <v>301</v>
      </c>
      <c r="C48" s="946"/>
      <c r="D48" s="946"/>
      <c r="E48" s="946"/>
      <c r="F48" s="946"/>
      <c r="G48" s="946"/>
      <c r="I48" s="278"/>
      <c r="J48" s="279"/>
      <c r="K48" s="947"/>
      <c r="L48" s="947"/>
      <c r="M48" s="947"/>
      <c r="N48" s="947"/>
      <c r="O48" s="947"/>
      <c r="R48" s="936" t="s">
        <v>302</v>
      </c>
      <c r="S48" s="937"/>
      <c r="T48" s="937"/>
      <c r="U48" s="937"/>
    </row>
    <row r="49" spans="1:25">
      <c r="B49" s="211" t="s">
        <v>303</v>
      </c>
      <c r="C49" s="212" t="s">
        <v>304</v>
      </c>
      <c r="K49" s="213"/>
      <c r="L49" s="213"/>
      <c r="R49" s="211" t="s">
        <v>305</v>
      </c>
      <c r="S49" s="212" t="s">
        <v>306</v>
      </c>
      <c r="V49" s="213"/>
    </row>
    <row r="50" spans="1:25" ht="14.5">
      <c r="B50" s="214"/>
      <c r="C50" s="215" t="s">
        <v>307</v>
      </c>
      <c r="E50" s="219"/>
      <c r="F50" s="219"/>
      <c r="G50" s="219"/>
      <c r="H50" s="219"/>
      <c r="I50" s="216"/>
      <c r="K50" s="216"/>
      <c r="L50" s="216"/>
      <c r="M50" s="216"/>
      <c r="N50" s="216"/>
      <c r="O50" s="216"/>
      <c r="P50" s="216"/>
      <c r="Q50" s="216"/>
      <c r="R50" s="214"/>
      <c r="S50" s="215" t="s">
        <v>308</v>
      </c>
      <c r="T50" s="216"/>
      <c r="V50" s="216"/>
    </row>
    <row r="51" spans="1:25" ht="12" customHeight="1">
      <c r="H51" s="218"/>
      <c r="I51" s="929" t="s">
        <v>309</v>
      </c>
      <c r="J51" s="929"/>
      <c r="M51" s="218"/>
      <c r="N51" s="218"/>
      <c r="O51" s="218"/>
      <c r="P51" s="218"/>
      <c r="Q51" s="217"/>
      <c r="V51" s="217" t="s">
        <v>309</v>
      </c>
    </row>
    <row r="52" spans="1:25" ht="15" thickBot="1">
      <c r="A52" s="219"/>
      <c r="H52" s="219"/>
      <c r="I52" s="938" t="s">
        <v>310</v>
      </c>
      <c r="J52" s="938"/>
      <c r="M52" s="219"/>
      <c r="N52" s="219"/>
      <c r="O52" s="219"/>
      <c r="P52" s="219"/>
      <c r="Q52" s="220"/>
      <c r="V52" s="220" t="s">
        <v>310</v>
      </c>
    </row>
    <row r="53" spans="1:25" ht="14.15" customHeight="1">
      <c r="A53" s="221"/>
      <c r="B53" s="280"/>
      <c r="C53" s="223"/>
      <c r="D53" s="223"/>
      <c r="E53" s="944" t="s">
        <v>265</v>
      </c>
      <c r="F53" s="944"/>
      <c r="G53" s="224"/>
      <c r="H53" s="225"/>
      <c r="I53" s="223"/>
      <c r="J53" s="226"/>
      <c r="K53" s="223"/>
      <c r="L53" s="223"/>
      <c r="M53" s="223"/>
      <c r="N53" s="223"/>
      <c r="O53" s="223"/>
      <c r="P53" s="223"/>
      <c r="Q53" s="226"/>
      <c r="R53" s="281"/>
      <c r="S53" s="282" t="s">
        <v>266</v>
      </c>
      <c r="T53" s="283" t="s">
        <v>267</v>
      </c>
      <c r="U53" s="280"/>
      <c r="V53" s="284"/>
    </row>
    <row r="54" spans="1:25" ht="14.15" customHeight="1">
      <c r="A54" s="230" t="s">
        <v>103</v>
      </c>
      <c r="B54" s="285" t="s">
        <v>104</v>
      </c>
      <c r="C54" s="232" t="s">
        <v>268</v>
      </c>
      <c r="D54" s="233" t="s">
        <v>16</v>
      </c>
      <c r="E54" s="233" t="s">
        <v>15</v>
      </c>
      <c r="F54" s="233" t="s">
        <v>269</v>
      </c>
      <c r="G54" s="234" t="s">
        <v>20</v>
      </c>
      <c r="H54" s="235" t="s">
        <v>17</v>
      </c>
      <c r="I54" s="233" t="s">
        <v>1</v>
      </c>
      <c r="J54" s="236" t="s">
        <v>13</v>
      </c>
      <c r="K54" s="233" t="s">
        <v>2</v>
      </c>
      <c r="L54" s="233" t="s">
        <v>6</v>
      </c>
      <c r="M54" s="233" t="s">
        <v>270</v>
      </c>
      <c r="N54" s="233" t="s">
        <v>271</v>
      </c>
      <c r="O54" s="233" t="s">
        <v>272</v>
      </c>
      <c r="P54" s="233" t="s">
        <v>273</v>
      </c>
      <c r="Q54" s="236" t="s">
        <v>274</v>
      </c>
      <c r="R54" s="286" t="s">
        <v>104</v>
      </c>
      <c r="S54" s="287" t="s">
        <v>275</v>
      </c>
      <c r="T54" s="287" t="s">
        <v>276</v>
      </c>
      <c r="U54" s="287" t="s">
        <v>277</v>
      </c>
      <c r="V54" s="288" t="s">
        <v>278</v>
      </c>
    </row>
    <row r="55" spans="1:25" ht="14.15" customHeight="1">
      <c r="A55" s="239" t="s">
        <v>105</v>
      </c>
      <c r="B55" s="289" t="s">
        <v>106</v>
      </c>
      <c r="C55" s="241" t="s">
        <v>279</v>
      </c>
      <c r="D55" s="241" t="s">
        <v>280</v>
      </c>
      <c r="E55" s="241" t="s">
        <v>281</v>
      </c>
      <c r="F55" s="241" t="s">
        <v>282</v>
      </c>
      <c r="G55" s="241" t="s">
        <v>283</v>
      </c>
      <c r="H55" s="242" t="s">
        <v>284</v>
      </c>
      <c r="I55" s="241" t="s">
        <v>285</v>
      </c>
      <c r="J55" s="243" t="s">
        <v>286</v>
      </c>
      <c r="K55" s="241" t="s">
        <v>287</v>
      </c>
      <c r="L55" s="241" t="s">
        <v>288</v>
      </c>
      <c r="M55" s="245" t="s">
        <v>289</v>
      </c>
      <c r="N55" s="241" t="s">
        <v>290</v>
      </c>
      <c r="O55" s="241" t="s">
        <v>291</v>
      </c>
      <c r="P55" s="241" t="s">
        <v>292</v>
      </c>
      <c r="Q55" s="243" t="s">
        <v>289</v>
      </c>
      <c r="R55" s="290" t="s">
        <v>106</v>
      </c>
      <c r="S55" s="291" t="s">
        <v>293</v>
      </c>
      <c r="T55" s="291" t="s">
        <v>294</v>
      </c>
      <c r="U55" s="291" t="s">
        <v>295</v>
      </c>
      <c r="V55" s="292" t="s">
        <v>296</v>
      </c>
      <c r="W55" s="293"/>
      <c r="X55" s="293"/>
      <c r="Y55" s="293"/>
    </row>
    <row r="56" spans="1:25" ht="14.15" customHeight="1">
      <c r="A56" s="246"/>
      <c r="B56" s="294"/>
      <c r="C56" s="248"/>
      <c r="D56" s="249"/>
      <c r="E56" s="248" t="s">
        <v>297</v>
      </c>
      <c r="F56" s="248" t="s">
        <v>298</v>
      </c>
      <c r="G56" s="250"/>
      <c r="H56" s="251"/>
      <c r="I56" s="252"/>
      <c r="J56" s="253"/>
      <c r="K56" s="249"/>
      <c r="L56" s="248" t="s">
        <v>299</v>
      </c>
      <c r="M56" s="249"/>
      <c r="N56" s="248" t="s">
        <v>300</v>
      </c>
      <c r="O56" s="248"/>
      <c r="P56" s="249"/>
      <c r="Q56" s="253"/>
      <c r="R56" s="295"/>
      <c r="S56" s="296"/>
      <c r="T56" s="296"/>
      <c r="U56" s="296"/>
      <c r="V56" s="297"/>
      <c r="W56" s="293"/>
      <c r="X56" s="293"/>
      <c r="Y56" s="293"/>
    </row>
    <row r="57" spans="1:25" ht="14.15" customHeight="1">
      <c r="A57" s="298" t="s">
        <v>111</v>
      </c>
      <c r="B57" s="299">
        <f>SUM(B58:B95)</f>
        <v>132679570</v>
      </c>
      <c r="C57" s="300">
        <f>SUM(C58:C95)</f>
        <v>171335</v>
      </c>
      <c r="D57" s="300">
        <f t="shared" ref="D57:Q57" si="3">SUM(D58:D95)</f>
        <v>129150431</v>
      </c>
      <c r="E57" s="300">
        <f t="shared" si="3"/>
        <v>0</v>
      </c>
      <c r="F57" s="300">
        <f t="shared" si="3"/>
        <v>0</v>
      </c>
      <c r="G57" s="300">
        <f t="shared" si="3"/>
        <v>139970</v>
      </c>
      <c r="H57" s="300">
        <f t="shared" si="3"/>
        <v>1466030</v>
      </c>
      <c r="I57" s="300">
        <f t="shared" si="3"/>
        <v>0</v>
      </c>
      <c r="J57" s="301">
        <f t="shared" si="3"/>
        <v>1751804</v>
      </c>
      <c r="K57" s="300">
        <f t="shared" si="3"/>
        <v>0</v>
      </c>
      <c r="L57" s="300">
        <f t="shared" si="3"/>
        <v>0</v>
      </c>
      <c r="M57" s="300">
        <f t="shared" si="3"/>
        <v>0</v>
      </c>
      <c r="N57" s="300">
        <f t="shared" si="3"/>
        <v>0</v>
      </c>
      <c r="O57" s="300">
        <f t="shared" si="3"/>
        <v>0</v>
      </c>
      <c r="P57" s="300">
        <f t="shared" si="3"/>
        <v>0</v>
      </c>
      <c r="Q57" s="301">
        <f t="shared" si="3"/>
        <v>0</v>
      </c>
      <c r="R57" s="303">
        <f>SUM(R58:R95)</f>
        <v>132679570</v>
      </c>
      <c r="S57" s="304">
        <f>SUM(S58:S95)</f>
        <v>47859178</v>
      </c>
      <c r="T57" s="304">
        <f>SUM(T58:T95)</f>
        <v>36373713</v>
      </c>
      <c r="U57" s="304">
        <f>SUM(U58:U95)</f>
        <v>14289913</v>
      </c>
      <c r="V57" s="305">
        <f>SUM(V58:V95)</f>
        <v>34156766</v>
      </c>
    </row>
    <row r="58" spans="1:25" ht="14.15" customHeight="1">
      <c r="A58" s="260" t="s">
        <v>137</v>
      </c>
      <c r="B58" s="266">
        <f>SUM(C58:Q58)</f>
        <v>0</v>
      </c>
      <c r="C58" s="262">
        <f>'P NP JAPUNG KAB'!AK6</f>
        <v>0</v>
      </c>
      <c r="D58" s="262">
        <f>'P NP JAPUNG KAB'!AO6</f>
        <v>0</v>
      </c>
      <c r="E58" s="262">
        <f>'P NP JAPUNG KAB'!AM6</f>
        <v>0</v>
      </c>
      <c r="F58" s="262">
        <f>'P NP JAPUNG KAB'!Q6</f>
        <v>0</v>
      </c>
      <c r="G58" s="262">
        <f>'P NP JAPUNG KAB'!AU6</f>
        <v>0</v>
      </c>
      <c r="H58" s="262">
        <f>'P NP JAPUNG KAB'!AQ6</f>
        <v>0</v>
      </c>
      <c r="I58" s="262">
        <f>'P NP JAPUNG KAB'!E6</f>
        <v>0</v>
      </c>
      <c r="J58" s="262">
        <f>'P NP JAPUNG KAB'!AE6</f>
        <v>0</v>
      </c>
      <c r="K58" s="262">
        <f>'P NP JAPUNG KAB'!G6</f>
        <v>0</v>
      </c>
      <c r="L58" s="262">
        <f>'P NP JAPUNG KAB'!M6</f>
        <v>0</v>
      </c>
      <c r="M58" s="262">
        <f>'P NP JAPUNG KAB'!BQ6</f>
        <v>0</v>
      </c>
      <c r="N58" s="262">
        <f>'P NP JAPUNG KAB'!BG6</f>
        <v>0</v>
      </c>
      <c r="O58" s="262">
        <f>'P NP JAPUNG KAB'!BI6</f>
        <v>0</v>
      </c>
      <c r="P58" s="262">
        <f>'P NP JAPUNG KAB'!BK6</f>
        <v>0</v>
      </c>
      <c r="Q58" s="822">
        <f>'P NP JAPUNG KAB'!BM6</f>
        <v>0</v>
      </c>
      <c r="R58" s="269">
        <f>SUM(S58:V58)</f>
        <v>0</v>
      </c>
      <c r="S58" s="573">
        <f>'P NP TW'!BT7</f>
        <v>0</v>
      </c>
      <c r="T58" s="573">
        <f>'P NP TW'!BV7</f>
        <v>0</v>
      </c>
      <c r="U58" s="573">
        <f>'P NP TW'!BX7</f>
        <v>0</v>
      </c>
      <c r="V58" s="263">
        <f>'P NP TW'!BZ7</f>
        <v>0</v>
      </c>
      <c r="X58" s="306"/>
    </row>
    <row r="59" spans="1:25" ht="14.15" customHeight="1">
      <c r="A59" s="260" t="s">
        <v>121</v>
      </c>
      <c r="B59" s="266">
        <f t="shared" ref="B59:B95" si="4">SUM(C59:Q59)</f>
        <v>547725</v>
      </c>
      <c r="C59" s="267">
        <f>'P NP JAPUNG KAB'!AK7</f>
        <v>156625</v>
      </c>
      <c r="D59" s="267">
        <f>'P NP JAPUNG KAB'!AO7</f>
        <v>274600</v>
      </c>
      <c r="E59" s="267">
        <f>'P NP JAPUNG KAB'!AM7</f>
        <v>0</v>
      </c>
      <c r="F59" s="267">
        <f>'P NP JAPUNG KAB'!Q7</f>
        <v>0</v>
      </c>
      <c r="G59" s="267">
        <f>'P NP JAPUNG KAB'!AU7</f>
        <v>0</v>
      </c>
      <c r="H59" s="267">
        <f>'P NP JAPUNG KAB'!AQ7</f>
        <v>0</v>
      </c>
      <c r="I59" s="267">
        <f>'P NP JAPUNG KAB'!E7</f>
        <v>0</v>
      </c>
      <c r="J59" s="267">
        <f>'P NP JAPUNG KAB'!AE7</f>
        <v>116500</v>
      </c>
      <c r="K59" s="267">
        <f>'P NP JAPUNG KAB'!G7</f>
        <v>0</v>
      </c>
      <c r="L59" s="267">
        <f>'P NP JAPUNG KAB'!M7</f>
        <v>0</v>
      </c>
      <c r="M59" s="267">
        <f>'P NP JAPUNG KAB'!BQ7</f>
        <v>0</v>
      </c>
      <c r="N59" s="267">
        <f>'P NP JAPUNG KAB'!BG7</f>
        <v>0</v>
      </c>
      <c r="O59" s="267">
        <f>'P NP JAPUNG KAB'!BI7</f>
        <v>0</v>
      </c>
      <c r="P59" s="267">
        <f>'P NP JAPUNG KAB'!BK7</f>
        <v>0</v>
      </c>
      <c r="Q59" s="820">
        <f>'P NP JAPUNG KAB'!BM7</f>
        <v>0</v>
      </c>
      <c r="R59" s="269">
        <f>SUM(S59:V59)</f>
        <v>547725</v>
      </c>
      <c r="S59" s="363">
        <f>'P NP TW'!BT8</f>
        <v>136175</v>
      </c>
      <c r="T59" s="363">
        <f>'P NP TW'!BV8</f>
        <v>175725</v>
      </c>
      <c r="U59" s="363">
        <f>'P NP TW'!BX8</f>
        <v>102900</v>
      </c>
      <c r="V59" s="268">
        <f>'P NP TW'!BZ8</f>
        <v>132925</v>
      </c>
      <c r="X59" s="306"/>
    </row>
    <row r="60" spans="1:25" ht="14.15" customHeight="1">
      <c r="A60" s="260" t="s">
        <v>116</v>
      </c>
      <c r="B60" s="266">
        <f t="shared" si="4"/>
        <v>681420</v>
      </c>
      <c r="C60" s="267">
        <f>'P NP JAPUNG KAB'!AK8</f>
        <v>0</v>
      </c>
      <c r="D60" s="267">
        <f>'P NP JAPUNG KAB'!AO8</f>
        <v>681420</v>
      </c>
      <c r="E60" s="267">
        <f>'P NP JAPUNG KAB'!AM8</f>
        <v>0</v>
      </c>
      <c r="F60" s="267">
        <f>'P NP JAPUNG KAB'!Q8</f>
        <v>0</v>
      </c>
      <c r="G60" s="267">
        <f>'P NP JAPUNG KAB'!AU8</f>
        <v>0</v>
      </c>
      <c r="H60" s="267">
        <f>'P NP JAPUNG KAB'!AQ8</f>
        <v>0</v>
      </c>
      <c r="I60" s="267">
        <f>'P NP JAPUNG KAB'!E8</f>
        <v>0</v>
      </c>
      <c r="J60" s="267">
        <f>'P NP JAPUNG KAB'!AE8</f>
        <v>0</v>
      </c>
      <c r="K60" s="267">
        <f>'P NP JAPUNG KAB'!G8</f>
        <v>0</v>
      </c>
      <c r="L60" s="267">
        <f>'P NP JAPUNG KAB'!M8</f>
        <v>0</v>
      </c>
      <c r="M60" s="267">
        <f>'P NP JAPUNG KAB'!BQ8</f>
        <v>0</v>
      </c>
      <c r="N60" s="267">
        <f>'P NP JAPUNG KAB'!BG8</f>
        <v>0</v>
      </c>
      <c r="O60" s="267">
        <f>'P NP JAPUNG KAB'!BI8</f>
        <v>0</v>
      </c>
      <c r="P60" s="267">
        <f>'P NP JAPUNG KAB'!BK8</f>
        <v>0</v>
      </c>
      <c r="Q60" s="820">
        <f>'P NP JAPUNG KAB'!BM8</f>
        <v>0</v>
      </c>
      <c r="R60" s="269">
        <f t="shared" ref="R60:R95" si="5">SUM(S60:V60)</f>
        <v>681420</v>
      </c>
      <c r="S60" s="363">
        <f>'P NP TW'!BT9</f>
        <v>173940</v>
      </c>
      <c r="T60" s="363">
        <f>'P NP TW'!BV9</f>
        <v>215760</v>
      </c>
      <c r="U60" s="363">
        <f>'P NP TW'!BX9</f>
        <v>153360</v>
      </c>
      <c r="V60" s="268">
        <f>'P NP TW'!BZ9</f>
        <v>138360</v>
      </c>
      <c r="X60" s="306"/>
    </row>
    <row r="61" spans="1:25" ht="14.15" customHeight="1">
      <c r="A61" s="260" t="s">
        <v>133</v>
      </c>
      <c r="B61" s="266">
        <f t="shared" si="4"/>
        <v>524223</v>
      </c>
      <c r="C61" s="267">
        <f>'P NP JAPUNG KAB'!AK9</f>
        <v>0</v>
      </c>
      <c r="D61" s="267">
        <f>'P NP JAPUNG KAB'!AO9</f>
        <v>247075</v>
      </c>
      <c r="E61" s="267">
        <f>'P NP JAPUNG KAB'!AM9</f>
        <v>0</v>
      </c>
      <c r="F61" s="267">
        <f>'P NP JAPUNG KAB'!Q9</f>
        <v>0</v>
      </c>
      <c r="G61" s="267">
        <f>'P NP JAPUNG KAB'!AU9</f>
        <v>139970</v>
      </c>
      <c r="H61" s="267">
        <f>'P NP JAPUNG KAB'!AQ9</f>
        <v>137178</v>
      </c>
      <c r="I61" s="267">
        <f>'P NP JAPUNG KAB'!E9</f>
        <v>0</v>
      </c>
      <c r="J61" s="267">
        <f>'P NP JAPUNG KAB'!AE9</f>
        <v>0</v>
      </c>
      <c r="K61" s="267">
        <f>'P NP JAPUNG KAB'!G9</f>
        <v>0</v>
      </c>
      <c r="L61" s="267">
        <f>'P NP JAPUNG KAB'!M9</f>
        <v>0</v>
      </c>
      <c r="M61" s="267">
        <f>'P NP JAPUNG KAB'!BQ9</f>
        <v>0</v>
      </c>
      <c r="N61" s="267">
        <f>'P NP JAPUNG KAB'!BG9</f>
        <v>0</v>
      </c>
      <c r="O61" s="267">
        <f>'P NP JAPUNG KAB'!BI9</f>
        <v>0</v>
      </c>
      <c r="P61" s="267">
        <f>'P NP JAPUNG KAB'!BK9</f>
        <v>0</v>
      </c>
      <c r="Q61" s="820">
        <f>'P NP JAPUNG KAB'!BM9</f>
        <v>0</v>
      </c>
      <c r="R61" s="269">
        <f t="shared" si="5"/>
        <v>524223</v>
      </c>
      <c r="S61" s="363">
        <f>'P NP TW'!BT10</f>
        <v>193931</v>
      </c>
      <c r="T61" s="363">
        <f>'P NP TW'!BV10</f>
        <v>95166</v>
      </c>
      <c r="U61" s="363">
        <f>'P NP TW'!BX10</f>
        <v>55040</v>
      </c>
      <c r="V61" s="268">
        <f>'P NP TW'!BZ10</f>
        <v>180086</v>
      </c>
      <c r="X61" s="306"/>
    </row>
    <row r="62" spans="1:25" ht="14.15" customHeight="1">
      <c r="A62" s="260" t="s">
        <v>122</v>
      </c>
      <c r="B62" s="266">
        <f t="shared" si="4"/>
        <v>0</v>
      </c>
      <c r="C62" s="267">
        <f>'P NP JAPUNG KAB'!AK10</f>
        <v>0</v>
      </c>
      <c r="D62" s="267">
        <f>'P NP JAPUNG KAB'!AO10</f>
        <v>0</v>
      </c>
      <c r="E62" s="267">
        <f>'P NP JAPUNG KAB'!AM10</f>
        <v>0</v>
      </c>
      <c r="F62" s="267">
        <f>'P NP JAPUNG KAB'!Q10</f>
        <v>0</v>
      </c>
      <c r="G62" s="267">
        <f>'P NP JAPUNG KAB'!AU10</f>
        <v>0</v>
      </c>
      <c r="H62" s="267">
        <f>'P NP JAPUNG KAB'!AQ10</f>
        <v>0</v>
      </c>
      <c r="I62" s="267">
        <f>'P NP JAPUNG KAB'!E10</f>
        <v>0</v>
      </c>
      <c r="J62" s="267">
        <f>'P NP JAPUNG KAB'!AE10</f>
        <v>0</v>
      </c>
      <c r="K62" s="267">
        <f>'P NP JAPUNG KAB'!G10</f>
        <v>0</v>
      </c>
      <c r="L62" s="267">
        <f>'P NP JAPUNG KAB'!M10</f>
        <v>0</v>
      </c>
      <c r="M62" s="267">
        <f>'P NP JAPUNG KAB'!BQ10</f>
        <v>0</v>
      </c>
      <c r="N62" s="267">
        <f>'P NP JAPUNG KAB'!BG10</f>
        <v>0</v>
      </c>
      <c r="O62" s="267">
        <f>'P NP JAPUNG KAB'!BI10</f>
        <v>0</v>
      </c>
      <c r="P62" s="267">
        <f>'P NP JAPUNG KAB'!BK10</f>
        <v>0</v>
      </c>
      <c r="Q62" s="820">
        <f>'P NP JAPUNG KAB'!BM10</f>
        <v>0</v>
      </c>
      <c r="R62" s="269">
        <f t="shared" si="5"/>
        <v>0</v>
      </c>
      <c r="S62" s="363">
        <f>'P NP TW'!BT11</f>
        <v>0</v>
      </c>
      <c r="T62" s="363">
        <f>'P NP TW'!BV11</f>
        <v>0</v>
      </c>
      <c r="U62" s="363">
        <f>'P NP TW'!BX11</f>
        <v>0</v>
      </c>
      <c r="V62" s="268">
        <f>'P NP TW'!BZ11</f>
        <v>0</v>
      </c>
      <c r="X62" s="306"/>
    </row>
    <row r="63" spans="1:25" ht="14.15" customHeight="1">
      <c r="A63" s="260" t="s">
        <v>136</v>
      </c>
      <c r="B63" s="266">
        <f t="shared" si="4"/>
        <v>0</v>
      </c>
      <c r="C63" s="267">
        <f>'P NP JAPUNG KAB'!AK11</f>
        <v>0</v>
      </c>
      <c r="D63" s="267">
        <f>'P NP JAPUNG KAB'!AO11</f>
        <v>0</v>
      </c>
      <c r="E63" s="267">
        <f>'P NP JAPUNG KAB'!AM11</f>
        <v>0</v>
      </c>
      <c r="F63" s="267">
        <f>'P NP JAPUNG KAB'!Q11</f>
        <v>0</v>
      </c>
      <c r="G63" s="267">
        <f>'P NP JAPUNG KAB'!AU11</f>
        <v>0</v>
      </c>
      <c r="H63" s="267">
        <f>'P NP JAPUNG KAB'!AQ11</f>
        <v>0</v>
      </c>
      <c r="I63" s="267">
        <f>'P NP JAPUNG KAB'!E11</f>
        <v>0</v>
      </c>
      <c r="J63" s="267">
        <f>'P NP JAPUNG KAB'!AE11</f>
        <v>0</v>
      </c>
      <c r="K63" s="267">
        <f>'P NP JAPUNG KAB'!G11</f>
        <v>0</v>
      </c>
      <c r="L63" s="267">
        <f>'P NP JAPUNG KAB'!M11</f>
        <v>0</v>
      </c>
      <c r="M63" s="267">
        <f>'P NP JAPUNG KAB'!BQ11</f>
        <v>0</v>
      </c>
      <c r="N63" s="267">
        <f>'P NP JAPUNG KAB'!BG11</f>
        <v>0</v>
      </c>
      <c r="O63" s="267">
        <f>'P NP JAPUNG KAB'!BI11</f>
        <v>0</v>
      </c>
      <c r="P63" s="267">
        <f>'P NP JAPUNG KAB'!BK11</f>
        <v>0</v>
      </c>
      <c r="Q63" s="820">
        <f>'P NP JAPUNG KAB'!BM11</f>
        <v>0</v>
      </c>
      <c r="R63" s="269">
        <f t="shared" si="5"/>
        <v>0</v>
      </c>
      <c r="S63" s="363">
        <f>'P NP TW'!BT12</f>
        <v>0</v>
      </c>
      <c r="T63" s="363">
        <f>'P NP TW'!BV12</f>
        <v>0</v>
      </c>
      <c r="U63" s="363">
        <f>'P NP TW'!BX12</f>
        <v>0</v>
      </c>
      <c r="V63" s="268">
        <f>'P NP TW'!BZ12</f>
        <v>0</v>
      </c>
      <c r="X63" s="306"/>
    </row>
    <row r="64" spans="1:25" ht="14.15" customHeight="1">
      <c r="A64" s="260" t="s">
        <v>120</v>
      </c>
      <c r="B64" s="266">
        <f t="shared" si="4"/>
        <v>0</v>
      </c>
      <c r="C64" s="267">
        <f>'P NP JAPUNG KAB'!AK12</f>
        <v>0</v>
      </c>
      <c r="D64" s="267">
        <f>'P NP JAPUNG KAB'!AO12</f>
        <v>0</v>
      </c>
      <c r="E64" s="267">
        <f>'P NP JAPUNG KAB'!AM12</f>
        <v>0</v>
      </c>
      <c r="F64" s="267">
        <f>'P NP JAPUNG KAB'!Q12</f>
        <v>0</v>
      </c>
      <c r="G64" s="267">
        <f>'P NP JAPUNG KAB'!AU12</f>
        <v>0</v>
      </c>
      <c r="H64" s="267">
        <f>'P NP JAPUNG KAB'!AQ12</f>
        <v>0</v>
      </c>
      <c r="I64" s="267">
        <f>'P NP JAPUNG KAB'!E12</f>
        <v>0</v>
      </c>
      <c r="J64" s="267">
        <f>'P NP JAPUNG KAB'!AE12</f>
        <v>0</v>
      </c>
      <c r="K64" s="267">
        <f>'P NP JAPUNG KAB'!G12</f>
        <v>0</v>
      </c>
      <c r="L64" s="267">
        <f>'P NP JAPUNG KAB'!M12</f>
        <v>0</v>
      </c>
      <c r="M64" s="267">
        <f>'P NP JAPUNG KAB'!BQ12</f>
        <v>0</v>
      </c>
      <c r="N64" s="267">
        <f>'P NP JAPUNG KAB'!BG12</f>
        <v>0</v>
      </c>
      <c r="O64" s="267">
        <f>'P NP JAPUNG KAB'!BI12</f>
        <v>0</v>
      </c>
      <c r="P64" s="267">
        <f>'P NP JAPUNG KAB'!BK12</f>
        <v>0</v>
      </c>
      <c r="Q64" s="820">
        <f>'P NP JAPUNG KAB'!BM12</f>
        <v>0</v>
      </c>
      <c r="R64" s="269">
        <f t="shared" si="5"/>
        <v>0</v>
      </c>
      <c r="S64" s="363">
        <f>'P NP TW'!BT13</f>
        <v>0</v>
      </c>
      <c r="T64" s="363">
        <f>'P NP TW'!BV13</f>
        <v>0</v>
      </c>
      <c r="U64" s="363">
        <f>'P NP TW'!BX13</f>
        <v>0</v>
      </c>
      <c r="V64" s="268">
        <f>'P NP TW'!BZ13</f>
        <v>0</v>
      </c>
      <c r="X64" s="306"/>
    </row>
    <row r="65" spans="1:24" ht="14.15" customHeight="1">
      <c r="A65" s="260" t="s">
        <v>128</v>
      </c>
      <c r="B65" s="266">
        <f t="shared" si="4"/>
        <v>0</v>
      </c>
      <c r="C65" s="267">
        <f>'P NP JAPUNG KAB'!AK13</f>
        <v>0</v>
      </c>
      <c r="D65" s="267">
        <f>'P NP JAPUNG KAB'!AO13</f>
        <v>0</v>
      </c>
      <c r="E65" s="267">
        <f>'P NP JAPUNG KAB'!AM13</f>
        <v>0</v>
      </c>
      <c r="F65" s="267">
        <f>'P NP JAPUNG KAB'!Q13</f>
        <v>0</v>
      </c>
      <c r="G65" s="267">
        <f>'P NP JAPUNG KAB'!AU13</f>
        <v>0</v>
      </c>
      <c r="H65" s="267">
        <f>'P NP JAPUNG KAB'!AQ13</f>
        <v>0</v>
      </c>
      <c r="I65" s="267">
        <f>'P NP JAPUNG KAB'!E13</f>
        <v>0</v>
      </c>
      <c r="J65" s="267">
        <f>'P NP JAPUNG KAB'!AE13</f>
        <v>0</v>
      </c>
      <c r="K65" s="267">
        <f>'P NP JAPUNG KAB'!G13</f>
        <v>0</v>
      </c>
      <c r="L65" s="267">
        <f>'P NP JAPUNG KAB'!M13</f>
        <v>0</v>
      </c>
      <c r="M65" s="267">
        <f>'P NP JAPUNG KAB'!BQ13</f>
        <v>0</v>
      </c>
      <c r="N65" s="267">
        <f>'P NP JAPUNG KAB'!BG13</f>
        <v>0</v>
      </c>
      <c r="O65" s="267">
        <f>'P NP JAPUNG KAB'!BI13</f>
        <v>0</v>
      </c>
      <c r="P65" s="267">
        <f>'P NP JAPUNG KAB'!BK13</f>
        <v>0</v>
      </c>
      <c r="Q65" s="820">
        <f>'P NP JAPUNG KAB'!BM13</f>
        <v>0</v>
      </c>
      <c r="R65" s="269">
        <f t="shared" si="5"/>
        <v>0</v>
      </c>
      <c r="S65" s="363">
        <f>'P NP TW'!BT14</f>
        <v>0</v>
      </c>
      <c r="T65" s="363">
        <f>'P NP TW'!BV14</f>
        <v>0</v>
      </c>
      <c r="U65" s="363">
        <f>'P NP TW'!BX14</f>
        <v>0</v>
      </c>
      <c r="V65" s="268">
        <f>'P NP TW'!BZ14</f>
        <v>0</v>
      </c>
      <c r="X65" s="306"/>
    </row>
    <row r="66" spans="1:24" ht="14.15" customHeight="1">
      <c r="A66" s="260" t="s">
        <v>117</v>
      </c>
      <c r="B66" s="266">
        <f t="shared" si="4"/>
        <v>0</v>
      </c>
      <c r="C66" s="267">
        <f>'P NP JAPUNG KAB'!AK14</f>
        <v>0</v>
      </c>
      <c r="D66" s="267">
        <f>'P NP JAPUNG KAB'!AO14</f>
        <v>0</v>
      </c>
      <c r="E66" s="267">
        <f>'P NP JAPUNG KAB'!AM14</f>
        <v>0</v>
      </c>
      <c r="F66" s="267">
        <f>'P NP JAPUNG KAB'!Q14</f>
        <v>0</v>
      </c>
      <c r="G66" s="267">
        <f>'P NP JAPUNG KAB'!AU14</f>
        <v>0</v>
      </c>
      <c r="H66" s="267">
        <f>'P NP JAPUNG KAB'!AQ14</f>
        <v>0</v>
      </c>
      <c r="I66" s="267">
        <f>'P NP JAPUNG KAB'!E14</f>
        <v>0</v>
      </c>
      <c r="J66" s="267">
        <f>'P NP JAPUNG KAB'!AE14</f>
        <v>0</v>
      </c>
      <c r="K66" s="267">
        <f>'P NP JAPUNG KAB'!G14</f>
        <v>0</v>
      </c>
      <c r="L66" s="267">
        <f>'P NP JAPUNG KAB'!M14</f>
        <v>0</v>
      </c>
      <c r="M66" s="267">
        <f>'P NP JAPUNG KAB'!BQ14</f>
        <v>0</v>
      </c>
      <c r="N66" s="267">
        <f>'P NP JAPUNG KAB'!BG14</f>
        <v>0</v>
      </c>
      <c r="O66" s="267">
        <f>'P NP JAPUNG KAB'!BI14</f>
        <v>0</v>
      </c>
      <c r="P66" s="267">
        <f>'P NP JAPUNG KAB'!BK14</f>
        <v>0</v>
      </c>
      <c r="Q66" s="820">
        <f>'P NP JAPUNG KAB'!BM14</f>
        <v>0</v>
      </c>
      <c r="R66" s="269">
        <f t="shared" si="5"/>
        <v>0</v>
      </c>
      <c r="S66" s="363">
        <f>'P NP TW'!BT15</f>
        <v>0</v>
      </c>
      <c r="T66" s="363">
        <f>'P NP TW'!BV15</f>
        <v>0</v>
      </c>
      <c r="U66" s="363">
        <f>'P NP TW'!BX15</f>
        <v>0</v>
      </c>
      <c r="V66" s="268">
        <f>'P NP TW'!BZ15</f>
        <v>0</v>
      </c>
      <c r="X66" s="306"/>
    </row>
    <row r="67" spans="1:24" ht="14.15" customHeight="1">
      <c r="A67" s="260" t="s">
        <v>135</v>
      </c>
      <c r="B67" s="266">
        <f t="shared" si="4"/>
        <v>96712</v>
      </c>
      <c r="C67" s="267">
        <f>'P NP JAPUNG KAB'!AK15</f>
        <v>0</v>
      </c>
      <c r="D67" s="267">
        <f>'P NP JAPUNG KAB'!AO15</f>
        <v>96712</v>
      </c>
      <c r="E67" s="267">
        <f>'P NP JAPUNG KAB'!AM15</f>
        <v>0</v>
      </c>
      <c r="F67" s="267">
        <f>'P NP JAPUNG KAB'!Q15</f>
        <v>0</v>
      </c>
      <c r="G67" s="267">
        <f>'P NP JAPUNG KAB'!AU15</f>
        <v>0</v>
      </c>
      <c r="H67" s="267">
        <f>'P NP JAPUNG KAB'!AQ15</f>
        <v>0</v>
      </c>
      <c r="I67" s="267">
        <f>'P NP JAPUNG KAB'!E15</f>
        <v>0</v>
      </c>
      <c r="J67" s="267">
        <f>'P NP JAPUNG KAB'!AE15</f>
        <v>0</v>
      </c>
      <c r="K67" s="267">
        <f>'P NP JAPUNG KAB'!G15</f>
        <v>0</v>
      </c>
      <c r="L67" s="267">
        <f>'P NP JAPUNG KAB'!M15</f>
        <v>0</v>
      </c>
      <c r="M67" s="267">
        <f>'P NP JAPUNG KAB'!BQ15</f>
        <v>0</v>
      </c>
      <c r="N67" s="267">
        <f>'P NP JAPUNG KAB'!BG15</f>
        <v>0</v>
      </c>
      <c r="O67" s="267">
        <f>'P NP JAPUNG KAB'!BI15</f>
        <v>0</v>
      </c>
      <c r="P67" s="267">
        <f>'P NP JAPUNG KAB'!BK15</f>
        <v>0</v>
      </c>
      <c r="Q67" s="820">
        <f>'P NP JAPUNG KAB'!BM15</f>
        <v>0</v>
      </c>
      <c r="R67" s="269">
        <f t="shared" si="5"/>
        <v>96712</v>
      </c>
      <c r="S67" s="363">
        <f>'P NP TW'!BT16</f>
        <v>32525</v>
      </c>
      <c r="T67" s="363">
        <f>'P NP TW'!BV16</f>
        <v>28431</v>
      </c>
      <c r="U67" s="363">
        <f>'P NP TW'!BX16</f>
        <v>25136</v>
      </c>
      <c r="V67" s="268">
        <f>'P NP TW'!BZ16</f>
        <v>10620</v>
      </c>
      <c r="X67" s="306"/>
    </row>
    <row r="68" spans="1:24" ht="14.15" customHeight="1">
      <c r="A68" s="260" t="s">
        <v>119</v>
      </c>
      <c r="B68" s="266">
        <f t="shared" si="4"/>
        <v>25850858</v>
      </c>
      <c r="C68" s="267">
        <f>'P NP JAPUNG KAB'!AK16</f>
        <v>0</v>
      </c>
      <c r="D68" s="267">
        <f>'P NP JAPUNG KAB'!AO16</f>
        <v>25850858</v>
      </c>
      <c r="E68" s="267">
        <f>'P NP JAPUNG KAB'!AM16</f>
        <v>0</v>
      </c>
      <c r="F68" s="267">
        <f>'P NP JAPUNG KAB'!Q16</f>
        <v>0</v>
      </c>
      <c r="G68" s="267">
        <f>'P NP JAPUNG KAB'!AU16</f>
        <v>0</v>
      </c>
      <c r="H68" s="267">
        <f>'P NP JAPUNG KAB'!AQ16</f>
        <v>0</v>
      </c>
      <c r="I68" s="267">
        <f>'P NP JAPUNG KAB'!E16</f>
        <v>0</v>
      </c>
      <c r="J68" s="267">
        <f>'P NP JAPUNG KAB'!AE16</f>
        <v>0</v>
      </c>
      <c r="K68" s="267">
        <f>'P NP JAPUNG KAB'!G16</f>
        <v>0</v>
      </c>
      <c r="L68" s="267">
        <f>'P NP JAPUNG KAB'!M16</f>
        <v>0</v>
      </c>
      <c r="M68" s="267">
        <f>'P NP JAPUNG KAB'!BQ16</f>
        <v>0</v>
      </c>
      <c r="N68" s="267">
        <f>'P NP JAPUNG KAB'!BG16</f>
        <v>0</v>
      </c>
      <c r="O68" s="267">
        <f>'P NP JAPUNG KAB'!BI16</f>
        <v>0</v>
      </c>
      <c r="P68" s="267">
        <f>'P NP JAPUNG KAB'!BK16</f>
        <v>0</v>
      </c>
      <c r="Q68" s="820">
        <f>'P NP JAPUNG KAB'!BM16</f>
        <v>0</v>
      </c>
      <c r="R68" s="269">
        <f t="shared" si="5"/>
        <v>25850858</v>
      </c>
      <c r="S68" s="363">
        <f>'P NP TW'!BT17</f>
        <v>7050000</v>
      </c>
      <c r="T68" s="363">
        <f>'P NP TW'!BV17</f>
        <v>6422550</v>
      </c>
      <c r="U68" s="363">
        <f>'P NP TW'!BX17</f>
        <v>5897500</v>
      </c>
      <c r="V68" s="268">
        <f>'P NP TW'!BZ17</f>
        <v>6480808</v>
      </c>
      <c r="X68" s="306"/>
    </row>
    <row r="69" spans="1:24" ht="14.15" customHeight="1">
      <c r="A69" s="260" t="s">
        <v>130</v>
      </c>
      <c r="B69" s="266">
        <f t="shared" si="4"/>
        <v>0</v>
      </c>
      <c r="C69" s="267">
        <f>'P NP JAPUNG KAB'!AK17</f>
        <v>0</v>
      </c>
      <c r="D69" s="267">
        <f>'P NP JAPUNG KAB'!AO17</f>
        <v>0</v>
      </c>
      <c r="E69" s="267">
        <f>'P NP JAPUNG KAB'!AM17</f>
        <v>0</v>
      </c>
      <c r="F69" s="267">
        <f>'P NP JAPUNG KAB'!Q17</f>
        <v>0</v>
      </c>
      <c r="G69" s="267">
        <f>'P NP JAPUNG KAB'!AU17</f>
        <v>0</v>
      </c>
      <c r="H69" s="267">
        <f>'P NP JAPUNG KAB'!AQ17</f>
        <v>0</v>
      </c>
      <c r="I69" s="267">
        <f>'P NP JAPUNG KAB'!E17</f>
        <v>0</v>
      </c>
      <c r="J69" s="267">
        <f>'P NP JAPUNG KAB'!AE17</f>
        <v>0</v>
      </c>
      <c r="K69" s="267">
        <f>'P NP JAPUNG KAB'!G17</f>
        <v>0</v>
      </c>
      <c r="L69" s="267">
        <f>'P NP JAPUNG KAB'!M17</f>
        <v>0</v>
      </c>
      <c r="M69" s="267">
        <f>'P NP JAPUNG KAB'!BQ17</f>
        <v>0</v>
      </c>
      <c r="N69" s="267">
        <f>'P NP JAPUNG KAB'!BG17</f>
        <v>0</v>
      </c>
      <c r="O69" s="267">
        <f>'P NP JAPUNG KAB'!BI17</f>
        <v>0</v>
      </c>
      <c r="P69" s="267">
        <f>'P NP JAPUNG KAB'!BK17</f>
        <v>0</v>
      </c>
      <c r="Q69" s="820">
        <f>'P NP JAPUNG KAB'!BM17</f>
        <v>0</v>
      </c>
      <c r="R69" s="269">
        <f t="shared" si="5"/>
        <v>0</v>
      </c>
      <c r="S69" s="363">
        <f>'P NP TW'!BT18</f>
        <v>0</v>
      </c>
      <c r="T69" s="363">
        <f>'P NP TW'!BV18</f>
        <v>0</v>
      </c>
      <c r="U69" s="363">
        <f>'P NP TW'!BX18</f>
        <v>0</v>
      </c>
      <c r="V69" s="268">
        <f>'P NP TW'!BZ18</f>
        <v>0</v>
      </c>
      <c r="X69" s="306"/>
    </row>
    <row r="70" spans="1:24" ht="14.15" customHeight="1">
      <c r="A70" s="260" t="s">
        <v>131</v>
      </c>
      <c r="B70" s="266">
        <f t="shared" si="4"/>
        <v>47980</v>
      </c>
      <c r="C70" s="267">
        <f>'P NP JAPUNG KAB'!AK18</f>
        <v>14710</v>
      </c>
      <c r="D70" s="267">
        <f>'P NP JAPUNG KAB'!AO18</f>
        <v>33270</v>
      </c>
      <c r="E70" s="267">
        <f>'P NP JAPUNG KAB'!AM18</f>
        <v>0</v>
      </c>
      <c r="F70" s="267">
        <f>'P NP JAPUNG KAB'!Q18</f>
        <v>0</v>
      </c>
      <c r="G70" s="267">
        <f>'P NP JAPUNG KAB'!AU18</f>
        <v>0</v>
      </c>
      <c r="H70" s="267">
        <f>'P NP JAPUNG KAB'!AQ18</f>
        <v>0</v>
      </c>
      <c r="I70" s="267">
        <f>'P NP JAPUNG KAB'!E18</f>
        <v>0</v>
      </c>
      <c r="J70" s="267">
        <f>'P NP JAPUNG KAB'!AE18</f>
        <v>0</v>
      </c>
      <c r="K70" s="267">
        <f>'P NP JAPUNG KAB'!G18</f>
        <v>0</v>
      </c>
      <c r="L70" s="267">
        <f>'P NP JAPUNG KAB'!M18</f>
        <v>0</v>
      </c>
      <c r="M70" s="267">
        <f>'P NP JAPUNG KAB'!BQ18</f>
        <v>0</v>
      </c>
      <c r="N70" s="267">
        <f>'P NP JAPUNG KAB'!BG18</f>
        <v>0</v>
      </c>
      <c r="O70" s="267">
        <f>'P NP JAPUNG KAB'!BI18</f>
        <v>0</v>
      </c>
      <c r="P70" s="267">
        <f>'P NP JAPUNG KAB'!BK18</f>
        <v>0</v>
      </c>
      <c r="Q70" s="820">
        <f>'P NP JAPUNG KAB'!BM18</f>
        <v>0</v>
      </c>
      <c r="R70" s="269">
        <f t="shared" si="5"/>
        <v>47980</v>
      </c>
      <c r="S70" s="363">
        <f>'P NP TW'!BT19</f>
        <v>14550</v>
      </c>
      <c r="T70" s="363">
        <f>'P NP TW'!BV19</f>
        <v>10850</v>
      </c>
      <c r="U70" s="363">
        <f>'P NP TW'!BX19</f>
        <v>11135</v>
      </c>
      <c r="V70" s="268">
        <f>'P NP TW'!BZ19</f>
        <v>11445</v>
      </c>
      <c r="X70" s="306"/>
    </row>
    <row r="71" spans="1:24" ht="14.15" customHeight="1">
      <c r="A71" s="260" t="s">
        <v>118</v>
      </c>
      <c r="B71" s="266">
        <f t="shared" si="4"/>
        <v>96700000</v>
      </c>
      <c r="C71" s="267">
        <f>'P NP JAPUNG KAB'!AK19</f>
        <v>0</v>
      </c>
      <c r="D71" s="267">
        <f>'P NP JAPUNG KAB'!AO19</f>
        <v>96700000</v>
      </c>
      <c r="E71" s="267">
        <f>'P NP JAPUNG KAB'!AM19</f>
        <v>0</v>
      </c>
      <c r="F71" s="267">
        <f>'P NP JAPUNG KAB'!Q19</f>
        <v>0</v>
      </c>
      <c r="G71" s="267">
        <f>'P NP JAPUNG KAB'!AU19</f>
        <v>0</v>
      </c>
      <c r="H71" s="267">
        <f>'P NP JAPUNG KAB'!AQ19</f>
        <v>0</v>
      </c>
      <c r="I71" s="267">
        <f>'P NP JAPUNG KAB'!E19</f>
        <v>0</v>
      </c>
      <c r="J71" s="267">
        <f>'P NP JAPUNG KAB'!AE19</f>
        <v>0</v>
      </c>
      <c r="K71" s="267">
        <f>'P NP JAPUNG KAB'!G19</f>
        <v>0</v>
      </c>
      <c r="L71" s="267">
        <f>'P NP JAPUNG KAB'!M19</f>
        <v>0</v>
      </c>
      <c r="M71" s="267">
        <f>'P NP JAPUNG KAB'!BQ19</f>
        <v>0</v>
      </c>
      <c r="N71" s="267">
        <f>'P NP JAPUNG KAB'!BG19</f>
        <v>0</v>
      </c>
      <c r="O71" s="267">
        <f>'P NP JAPUNG KAB'!BI19</f>
        <v>0</v>
      </c>
      <c r="P71" s="267">
        <f>'P NP JAPUNG KAB'!BK19</f>
        <v>0</v>
      </c>
      <c r="Q71" s="820">
        <f>'P NP JAPUNG KAB'!BM19</f>
        <v>0</v>
      </c>
      <c r="R71" s="269">
        <f t="shared" si="5"/>
        <v>96700000</v>
      </c>
      <c r="S71" s="363">
        <f>'P NP TW'!BT20</f>
        <v>37950000</v>
      </c>
      <c r="T71" s="363">
        <f>'P NP TW'!BV20</f>
        <v>27250000</v>
      </c>
      <c r="U71" s="363">
        <f>'P NP TW'!BX20</f>
        <v>6200000</v>
      </c>
      <c r="V71" s="268">
        <f>'P NP TW'!BZ20</f>
        <v>25300000</v>
      </c>
      <c r="X71" s="306"/>
    </row>
    <row r="72" spans="1:24" ht="14.15" customHeight="1">
      <c r="A72" s="260" t="s">
        <v>127</v>
      </c>
      <c r="B72" s="266">
        <f t="shared" si="4"/>
        <v>36500</v>
      </c>
      <c r="C72" s="267">
        <f>'P NP JAPUNG KAB'!AK20</f>
        <v>0</v>
      </c>
      <c r="D72" s="267">
        <f>'P NP JAPUNG KAB'!AO20</f>
        <v>36500</v>
      </c>
      <c r="E72" s="267">
        <f>'P NP JAPUNG KAB'!AM20</f>
        <v>0</v>
      </c>
      <c r="F72" s="267">
        <f>'P NP JAPUNG KAB'!Q20</f>
        <v>0</v>
      </c>
      <c r="G72" s="267">
        <f>'P NP JAPUNG KAB'!AU20</f>
        <v>0</v>
      </c>
      <c r="H72" s="267">
        <f>'P NP JAPUNG KAB'!AQ20</f>
        <v>0</v>
      </c>
      <c r="I72" s="267">
        <f>'P NP JAPUNG KAB'!E20</f>
        <v>0</v>
      </c>
      <c r="J72" s="267">
        <f>'P NP JAPUNG KAB'!AE20</f>
        <v>0</v>
      </c>
      <c r="K72" s="267">
        <f>'P NP JAPUNG KAB'!G20</f>
        <v>0</v>
      </c>
      <c r="L72" s="267">
        <f>'P NP JAPUNG KAB'!M20</f>
        <v>0</v>
      </c>
      <c r="M72" s="267">
        <f>'P NP JAPUNG KAB'!BQ20</f>
        <v>0</v>
      </c>
      <c r="N72" s="267">
        <f>'P NP JAPUNG KAB'!BG20</f>
        <v>0</v>
      </c>
      <c r="O72" s="267">
        <f>'P NP JAPUNG KAB'!BI20</f>
        <v>0</v>
      </c>
      <c r="P72" s="267">
        <f>'P NP JAPUNG KAB'!BK20</f>
        <v>0</v>
      </c>
      <c r="Q72" s="820">
        <f>'P NP JAPUNG KAB'!BM20</f>
        <v>0</v>
      </c>
      <c r="R72" s="269">
        <f t="shared" si="5"/>
        <v>36500</v>
      </c>
      <c r="S72" s="363">
        <f>'P NP TW'!BT21</f>
        <v>0</v>
      </c>
      <c r="T72" s="363">
        <f>'P NP TW'!BV21</f>
        <v>24000</v>
      </c>
      <c r="U72" s="363">
        <f>'P NP TW'!BX21</f>
        <v>0</v>
      </c>
      <c r="V72" s="268">
        <f>'P NP TW'!BZ21</f>
        <v>12500</v>
      </c>
      <c r="X72" s="306"/>
    </row>
    <row r="73" spans="1:24" ht="14.15" customHeight="1">
      <c r="A73" s="260" t="s">
        <v>129</v>
      </c>
      <c r="B73" s="266">
        <f t="shared" si="4"/>
        <v>0</v>
      </c>
      <c r="C73" s="267">
        <f>'P NP JAPUNG KAB'!AK21</f>
        <v>0</v>
      </c>
      <c r="D73" s="267">
        <f>'P NP JAPUNG KAB'!AO21</f>
        <v>0</v>
      </c>
      <c r="E73" s="267">
        <f>'P NP JAPUNG KAB'!AM21</f>
        <v>0</v>
      </c>
      <c r="F73" s="267">
        <f>'P NP JAPUNG KAB'!Q21</f>
        <v>0</v>
      </c>
      <c r="G73" s="267">
        <f>'P NP JAPUNG KAB'!AU21</f>
        <v>0</v>
      </c>
      <c r="H73" s="267">
        <f>'P NP JAPUNG KAB'!AQ21</f>
        <v>0</v>
      </c>
      <c r="I73" s="267">
        <f>'P NP JAPUNG KAB'!E21</f>
        <v>0</v>
      </c>
      <c r="J73" s="267">
        <f>'P NP JAPUNG KAB'!AE21</f>
        <v>0</v>
      </c>
      <c r="K73" s="267">
        <f>'P NP JAPUNG KAB'!G21</f>
        <v>0</v>
      </c>
      <c r="L73" s="267">
        <f>'P NP JAPUNG KAB'!M21</f>
        <v>0</v>
      </c>
      <c r="M73" s="267">
        <f>'P NP JAPUNG KAB'!BQ21</f>
        <v>0</v>
      </c>
      <c r="N73" s="267">
        <f>'P NP JAPUNG KAB'!BG21</f>
        <v>0</v>
      </c>
      <c r="O73" s="267">
        <f>'P NP JAPUNG KAB'!BI21</f>
        <v>0</v>
      </c>
      <c r="P73" s="267">
        <f>'P NP JAPUNG KAB'!BK21</f>
        <v>0</v>
      </c>
      <c r="Q73" s="820">
        <f>'P NP JAPUNG KAB'!BM21</f>
        <v>0</v>
      </c>
      <c r="R73" s="269">
        <f t="shared" si="5"/>
        <v>0</v>
      </c>
      <c r="S73" s="363">
        <f>'P NP TW'!BT22</f>
        <v>0</v>
      </c>
      <c r="T73" s="363">
        <f>'P NP TW'!BV22</f>
        <v>0</v>
      </c>
      <c r="U73" s="363">
        <f>'P NP TW'!BX22</f>
        <v>0</v>
      </c>
      <c r="V73" s="268">
        <f>'P NP TW'!BZ22</f>
        <v>0</v>
      </c>
      <c r="X73" s="306"/>
    </row>
    <row r="74" spans="1:24" ht="14.15" customHeight="1">
      <c r="A74" s="260" t="s">
        <v>132</v>
      </c>
      <c r="B74" s="266">
        <f t="shared" si="4"/>
        <v>2042282</v>
      </c>
      <c r="C74" s="267">
        <f>'P NP JAPUNG KAB'!AK22</f>
        <v>0</v>
      </c>
      <c r="D74" s="267">
        <f>'P NP JAPUNG KAB'!AO22</f>
        <v>922834</v>
      </c>
      <c r="E74" s="267">
        <f>'P NP JAPUNG KAB'!AM22</f>
        <v>0</v>
      </c>
      <c r="F74" s="267">
        <f>'P NP JAPUNG KAB'!Q22</f>
        <v>0</v>
      </c>
      <c r="G74" s="267">
        <f>'P NP JAPUNG KAB'!AU22</f>
        <v>0</v>
      </c>
      <c r="H74" s="267">
        <f>'P NP JAPUNG KAB'!AQ22</f>
        <v>1119448</v>
      </c>
      <c r="I74" s="267">
        <f>'P NP JAPUNG KAB'!E22</f>
        <v>0</v>
      </c>
      <c r="J74" s="267">
        <f>'P NP JAPUNG KAB'!AE22</f>
        <v>0</v>
      </c>
      <c r="K74" s="267">
        <f>'P NP JAPUNG KAB'!G22</f>
        <v>0</v>
      </c>
      <c r="L74" s="267">
        <f>'P NP JAPUNG KAB'!M22</f>
        <v>0</v>
      </c>
      <c r="M74" s="267">
        <f>'P NP JAPUNG KAB'!BQ22</f>
        <v>0</v>
      </c>
      <c r="N74" s="267">
        <f>'P NP JAPUNG KAB'!BG22</f>
        <v>0</v>
      </c>
      <c r="O74" s="267">
        <f>'P NP JAPUNG KAB'!BI22</f>
        <v>0</v>
      </c>
      <c r="P74" s="267">
        <f>'P NP JAPUNG KAB'!BK22</f>
        <v>0</v>
      </c>
      <c r="Q74" s="820">
        <f>'P NP JAPUNG KAB'!BM22</f>
        <v>0</v>
      </c>
      <c r="R74" s="269">
        <f t="shared" si="5"/>
        <v>2042282</v>
      </c>
      <c r="S74" s="363">
        <f>'P NP TW'!BT23</f>
        <v>624462</v>
      </c>
      <c r="T74" s="363">
        <f>'P NP TW'!BV23</f>
        <v>545610</v>
      </c>
      <c r="U74" s="363">
        <f>'P NP TW'!BX23</f>
        <v>521570</v>
      </c>
      <c r="V74" s="268">
        <f>'P NP TW'!BZ23</f>
        <v>350640</v>
      </c>
      <c r="X74" s="306"/>
    </row>
    <row r="75" spans="1:24" ht="14.15" customHeight="1">
      <c r="A75" s="260" t="s">
        <v>112</v>
      </c>
      <c r="B75" s="266">
        <f t="shared" si="4"/>
        <v>0</v>
      </c>
      <c r="C75" s="267">
        <f>'P NP JAPUNG KAB'!AK23</f>
        <v>0</v>
      </c>
      <c r="D75" s="267">
        <f>'P NP JAPUNG KAB'!AO23</f>
        <v>0</v>
      </c>
      <c r="E75" s="267">
        <f>'P NP JAPUNG KAB'!AM23</f>
        <v>0</v>
      </c>
      <c r="F75" s="267">
        <f>'P NP JAPUNG KAB'!Q23</f>
        <v>0</v>
      </c>
      <c r="G75" s="267">
        <f>'P NP JAPUNG KAB'!AU23</f>
        <v>0</v>
      </c>
      <c r="H75" s="267">
        <f>'P NP JAPUNG KAB'!AQ23</f>
        <v>0</v>
      </c>
      <c r="I75" s="267">
        <f>'P NP JAPUNG KAB'!E23</f>
        <v>0</v>
      </c>
      <c r="J75" s="267">
        <f>'P NP JAPUNG KAB'!AE23</f>
        <v>0</v>
      </c>
      <c r="K75" s="267">
        <f>'P NP JAPUNG KAB'!G23</f>
        <v>0</v>
      </c>
      <c r="L75" s="267">
        <f>'P NP JAPUNG KAB'!M23</f>
        <v>0</v>
      </c>
      <c r="M75" s="267">
        <f>'P NP JAPUNG KAB'!BQ23</f>
        <v>0</v>
      </c>
      <c r="N75" s="267">
        <f>'P NP JAPUNG KAB'!BG23</f>
        <v>0</v>
      </c>
      <c r="O75" s="267">
        <f>'P NP JAPUNG KAB'!BI23</f>
        <v>0</v>
      </c>
      <c r="P75" s="267">
        <f>'P NP JAPUNG KAB'!BK23</f>
        <v>0</v>
      </c>
      <c r="Q75" s="820">
        <f>'P NP JAPUNG KAB'!BM23</f>
        <v>0</v>
      </c>
      <c r="R75" s="269">
        <f t="shared" si="5"/>
        <v>0</v>
      </c>
      <c r="S75" s="363">
        <f>'P NP TW'!BT24</f>
        <v>0</v>
      </c>
      <c r="T75" s="363">
        <f>'P NP TW'!BV24</f>
        <v>0</v>
      </c>
      <c r="U75" s="363">
        <f>'P NP TW'!BX24</f>
        <v>0</v>
      </c>
      <c r="V75" s="268">
        <f>'P NP TW'!BZ24</f>
        <v>0</v>
      </c>
      <c r="X75" s="306"/>
    </row>
    <row r="76" spans="1:24" ht="14.15" customHeight="1">
      <c r="A76" s="260" t="s">
        <v>139</v>
      </c>
      <c r="B76" s="266">
        <f t="shared" si="4"/>
        <v>0</v>
      </c>
      <c r="C76" s="267">
        <f>'P NP JAPUNG KAB'!AK24</f>
        <v>0</v>
      </c>
      <c r="D76" s="267">
        <f>'P NP JAPUNG KAB'!AO24</f>
        <v>0</v>
      </c>
      <c r="E76" s="267">
        <f>'P NP JAPUNG KAB'!AM24</f>
        <v>0</v>
      </c>
      <c r="F76" s="267">
        <f>'P NP JAPUNG KAB'!Q24</f>
        <v>0</v>
      </c>
      <c r="G76" s="267">
        <f>'P NP JAPUNG KAB'!AU24</f>
        <v>0</v>
      </c>
      <c r="H76" s="267">
        <f>'P NP JAPUNG KAB'!AQ24</f>
        <v>0</v>
      </c>
      <c r="I76" s="267">
        <f>'P NP JAPUNG KAB'!E24</f>
        <v>0</v>
      </c>
      <c r="J76" s="267">
        <f>'P NP JAPUNG KAB'!AE24</f>
        <v>0</v>
      </c>
      <c r="K76" s="267">
        <f>'P NP JAPUNG KAB'!G24</f>
        <v>0</v>
      </c>
      <c r="L76" s="267">
        <f>'P NP JAPUNG KAB'!M24</f>
        <v>0</v>
      </c>
      <c r="M76" s="267">
        <f>'P NP JAPUNG KAB'!BQ24</f>
        <v>0</v>
      </c>
      <c r="N76" s="267">
        <f>'P NP JAPUNG KAB'!BG24</f>
        <v>0</v>
      </c>
      <c r="O76" s="267">
        <f>'P NP JAPUNG KAB'!BI24</f>
        <v>0</v>
      </c>
      <c r="P76" s="267">
        <f>'P NP JAPUNG KAB'!BK24</f>
        <v>0</v>
      </c>
      <c r="Q76" s="820">
        <f>'P NP JAPUNG KAB'!BM24</f>
        <v>0</v>
      </c>
      <c r="R76" s="269">
        <f t="shared" si="5"/>
        <v>0</v>
      </c>
      <c r="S76" s="363">
        <f>'P NP TW'!BT25</f>
        <v>0</v>
      </c>
      <c r="T76" s="363">
        <f>'P NP TW'!BV25</f>
        <v>0</v>
      </c>
      <c r="U76" s="363">
        <f>'P NP TW'!BX25</f>
        <v>0</v>
      </c>
      <c r="V76" s="268">
        <f>'P NP TW'!BZ25</f>
        <v>0</v>
      </c>
      <c r="X76" s="306"/>
    </row>
    <row r="77" spans="1:24" ht="14.15" customHeight="1">
      <c r="A77" s="260" t="s">
        <v>125</v>
      </c>
      <c r="B77" s="266">
        <f t="shared" si="4"/>
        <v>3441218</v>
      </c>
      <c r="C77" s="267">
        <f>'P NP JAPUNG KAB'!AK25</f>
        <v>0</v>
      </c>
      <c r="D77" s="267">
        <f>'P NP JAPUNG KAB'!AO25</f>
        <v>3231814</v>
      </c>
      <c r="E77" s="267">
        <f>'P NP JAPUNG KAB'!AM25</f>
        <v>0</v>
      </c>
      <c r="F77" s="267">
        <f>'P NP JAPUNG KAB'!Q25</f>
        <v>0</v>
      </c>
      <c r="G77" s="267">
        <f>'P NP JAPUNG KAB'!AU25</f>
        <v>0</v>
      </c>
      <c r="H77" s="267">
        <f>'P NP JAPUNG KAB'!AQ25</f>
        <v>209404</v>
      </c>
      <c r="I77" s="267">
        <f>'P NP JAPUNG KAB'!E25</f>
        <v>0</v>
      </c>
      <c r="J77" s="267">
        <f>'P NP JAPUNG KAB'!AE25</f>
        <v>0</v>
      </c>
      <c r="K77" s="267">
        <f>'P NP JAPUNG KAB'!G25</f>
        <v>0</v>
      </c>
      <c r="L77" s="267">
        <f>'P NP JAPUNG KAB'!M25</f>
        <v>0</v>
      </c>
      <c r="M77" s="267">
        <f>'P NP JAPUNG KAB'!BQ25</f>
        <v>0</v>
      </c>
      <c r="N77" s="267">
        <f>'P NP JAPUNG KAB'!BG25</f>
        <v>0</v>
      </c>
      <c r="O77" s="267">
        <f>'P NP JAPUNG KAB'!BI25</f>
        <v>0</v>
      </c>
      <c r="P77" s="267">
        <f>'P NP JAPUNG KAB'!BK25</f>
        <v>0</v>
      </c>
      <c r="Q77" s="820">
        <f>'P NP JAPUNG KAB'!BM25</f>
        <v>0</v>
      </c>
      <c r="R77" s="269">
        <f t="shared" si="5"/>
        <v>3441218</v>
      </c>
      <c r="S77" s="363">
        <f>'P NP TW'!BT26</f>
        <v>836573</v>
      </c>
      <c r="T77" s="363">
        <f>'P NP TW'!BV26</f>
        <v>888663</v>
      </c>
      <c r="U77" s="363">
        <f>'P NP TW'!BX26</f>
        <v>785820</v>
      </c>
      <c r="V77" s="268">
        <f>'P NP TW'!BZ26</f>
        <v>930162</v>
      </c>
      <c r="X77" s="306"/>
    </row>
    <row r="78" spans="1:24" ht="14.15" customHeight="1">
      <c r="A78" s="260" t="s">
        <v>113</v>
      </c>
      <c r="B78" s="266">
        <f t="shared" si="4"/>
        <v>569904</v>
      </c>
      <c r="C78" s="267">
        <f>'P NP JAPUNG KAB'!AK26</f>
        <v>0</v>
      </c>
      <c r="D78" s="267">
        <f>'P NP JAPUNG KAB'!AO26</f>
        <v>538608</v>
      </c>
      <c r="E78" s="267">
        <f>'P NP JAPUNG KAB'!AM26</f>
        <v>0</v>
      </c>
      <c r="F78" s="267">
        <f>'P NP JAPUNG KAB'!Q26</f>
        <v>0</v>
      </c>
      <c r="G78" s="267">
        <f>'P NP JAPUNG KAB'!AU26</f>
        <v>0</v>
      </c>
      <c r="H78" s="267">
        <f>'P NP JAPUNG KAB'!AQ26</f>
        <v>0</v>
      </c>
      <c r="I78" s="267">
        <f>'P NP JAPUNG KAB'!E26</f>
        <v>0</v>
      </c>
      <c r="J78" s="267">
        <f>'P NP JAPUNG KAB'!AE26</f>
        <v>31296</v>
      </c>
      <c r="K78" s="267">
        <f>'P NP JAPUNG KAB'!G26</f>
        <v>0</v>
      </c>
      <c r="L78" s="267">
        <f>'P NP JAPUNG KAB'!M26</f>
        <v>0</v>
      </c>
      <c r="M78" s="267">
        <f>'P NP JAPUNG KAB'!BQ26</f>
        <v>0</v>
      </c>
      <c r="N78" s="267">
        <f>'P NP JAPUNG KAB'!BG26</f>
        <v>0</v>
      </c>
      <c r="O78" s="267">
        <f>'P NP JAPUNG KAB'!BI26</f>
        <v>0</v>
      </c>
      <c r="P78" s="267">
        <f>'P NP JAPUNG KAB'!BK26</f>
        <v>0</v>
      </c>
      <c r="Q78" s="820">
        <f>'P NP JAPUNG KAB'!BM26</f>
        <v>0</v>
      </c>
      <c r="R78" s="269">
        <f t="shared" si="5"/>
        <v>569904</v>
      </c>
      <c r="S78" s="363">
        <f>'P NP TW'!BT27</f>
        <v>160786</v>
      </c>
      <c r="T78" s="363">
        <f>'P NP TW'!BV27</f>
        <v>207966</v>
      </c>
      <c r="U78" s="363">
        <f>'P NP TW'!BX27</f>
        <v>87392</v>
      </c>
      <c r="V78" s="268">
        <f>'P NP TW'!BZ27</f>
        <v>113760</v>
      </c>
      <c r="X78" s="306"/>
    </row>
    <row r="79" spans="1:24" ht="14.15" customHeight="1">
      <c r="A79" s="260" t="s">
        <v>124</v>
      </c>
      <c r="B79" s="266">
        <f t="shared" si="4"/>
        <v>536740</v>
      </c>
      <c r="C79" s="267">
        <f>'P NP JAPUNG KAB'!AK27</f>
        <v>0</v>
      </c>
      <c r="D79" s="267">
        <f>'P NP JAPUNG KAB'!AO27</f>
        <v>536740</v>
      </c>
      <c r="E79" s="267">
        <f>'P NP JAPUNG KAB'!AM27</f>
        <v>0</v>
      </c>
      <c r="F79" s="267">
        <f>'P NP JAPUNG KAB'!Q27</f>
        <v>0</v>
      </c>
      <c r="G79" s="267">
        <f>'P NP JAPUNG KAB'!AU27</f>
        <v>0</v>
      </c>
      <c r="H79" s="267">
        <f>'P NP JAPUNG KAB'!AQ27</f>
        <v>0</v>
      </c>
      <c r="I79" s="267">
        <f>'P NP JAPUNG KAB'!E27</f>
        <v>0</v>
      </c>
      <c r="J79" s="267">
        <f>'P NP JAPUNG KAB'!AE27</f>
        <v>0</v>
      </c>
      <c r="K79" s="267">
        <f>'P NP JAPUNG KAB'!G27</f>
        <v>0</v>
      </c>
      <c r="L79" s="267">
        <f>'P NP JAPUNG KAB'!M27</f>
        <v>0</v>
      </c>
      <c r="M79" s="267">
        <f>'P NP JAPUNG KAB'!BQ27</f>
        <v>0</v>
      </c>
      <c r="N79" s="267">
        <f>'P NP JAPUNG KAB'!BG27</f>
        <v>0</v>
      </c>
      <c r="O79" s="267">
        <f>'P NP JAPUNG KAB'!BI27</f>
        <v>0</v>
      </c>
      <c r="P79" s="267">
        <f>'P NP JAPUNG KAB'!BK27</f>
        <v>0</v>
      </c>
      <c r="Q79" s="820">
        <f>'P NP JAPUNG KAB'!BM27</f>
        <v>0</v>
      </c>
      <c r="R79" s="269">
        <f t="shared" si="5"/>
        <v>536740</v>
      </c>
      <c r="S79" s="363">
        <f>'P NP TW'!BT28</f>
        <v>160000</v>
      </c>
      <c r="T79" s="363">
        <f>'P NP TW'!BV28</f>
        <v>79200</v>
      </c>
      <c r="U79" s="363">
        <f>'P NP TW'!BX28</f>
        <v>84780</v>
      </c>
      <c r="V79" s="268">
        <f>'P NP TW'!BZ28</f>
        <v>212760</v>
      </c>
      <c r="X79" s="306"/>
    </row>
    <row r="80" spans="1:24" ht="14.15" customHeight="1">
      <c r="A80" s="260" t="s">
        <v>138</v>
      </c>
      <c r="B80" s="266">
        <f t="shared" si="4"/>
        <v>0</v>
      </c>
      <c r="C80" s="267">
        <f>'P NP JAPUNG KAB'!AK28</f>
        <v>0</v>
      </c>
      <c r="D80" s="267">
        <f>'P NP JAPUNG KAB'!AO28</f>
        <v>0</v>
      </c>
      <c r="E80" s="267">
        <f>'P NP JAPUNG KAB'!AM28</f>
        <v>0</v>
      </c>
      <c r="F80" s="267">
        <f>'P NP JAPUNG KAB'!Q28</f>
        <v>0</v>
      </c>
      <c r="G80" s="267">
        <f>'P NP JAPUNG KAB'!AU28</f>
        <v>0</v>
      </c>
      <c r="H80" s="267">
        <f>'P NP JAPUNG KAB'!AQ28</f>
        <v>0</v>
      </c>
      <c r="I80" s="267">
        <f>'P NP JAPUNG KAB'!E28</f>
        <v>0</v>
      </c>
      <c r="J80" s="267">
        <f>'P NP JAPUNG KAB'!AE28</f>
        <v>0</v>
      </c>
      <c r="K80" s="267">
        <f>'P NP JAPUNG KAB'!G28</f>
        <v>0</v>
      </c>
      <c r="L80" s="267">
        <f>'P NP JAPUNG KAB'!M28</f>
        <v>0</v>
      </c>
      <c r="M80" s="267">
        <f>'P NP JAPUNG KAB'!BQ28</f>
        <v>0</v>
      </c>
      <c r="N80" s="267">
        <f>'P NP JAPUNG KAB'!BG28</f>
        <v>0</v>
      </c>
      <c r="O80" s="267">
        <f>'P NP JAPUNG KAB'!BI28</f>
        <v>0</v>
      </c>
      <c r="P80" s="267">
        <f>'P NP JAPUNG KAB'!BK28</f>
        <v>0</v>
      </c>
      <c r="Q80" s="820">
        <f>'P NP JAPUNG KAB'!BM28</f>
        <v>0</v>
      </c>
      <c r="R80" s="269">
        <f t="shared" si="5"/>
        <v>0</v>
      </c>
      <c r="S80" s="363">
        <f>'P NP TW'!BT29</f>
        <v>0</v>
      </c>
      <c r="T80" s="363">
        <f>'P NP TW'!BV29</f>
        <v>0</v>
      </c>
      <c r="U80" s="363">
        <f>'P NP TW'!BX29</f>
        <v>0</v>
      </c>
      <c r="V80" s="268">
        <f>'P NP TW'!BZ29</f>
        <v>0</v>
      </c>
      <c r="X80" s="306"/>
    </row>
    <row r="81" spans="1:24" ht="14.15" customHeight="1">
      <c r="A81" s="260" t="s">
        <v>126</v>
      </c>
      <c r="B81" s="266">
        <f t="shared" si="4"/>
        <v>0</v>
      </c>
      <c r="C81" s="267">
        <f>'P NP JAPUNG KAB'!AK29</f>
        <v>0</v>
      </c>
      <c r="D81" s="267">
        <f>'P NP JAPUNG KAB'!AO29</f>
        <v>0</v>
      </c>
      <c r="E81" s="267">
        <f>'P NP JAPUNG KAB'!AM29</f>
        <v>0</v>
      </c>
      <c r="F81" s="267">
        <f>'P NP JAPUNG KAB'!Q29</f>
        <v>0</v>
      </c>
      <c r="G81" s="267">
        <f>'P NP JAPUNG KAB'!AU29</f>
        <v>0</v>
      </c>
      <c r="H81" s="267">
        <f>'P NP JAPUNG KAB'!AQ29</f>
        <v>0</v>
      </c>
      <c r="I81" s="267">
        <f>'P NP JAPUNG KAB'!E29</f>
        <v>0</v>
      </c>
      <c r="J81" s="267">
        <f>'P NP JAPUNG KAB'!AE29</f>
        <v>0</v>
      </c>
      <c r="K81" s="267">
        <f>'P NP JAPUNG KAB'!G29</f>
        <v>0</v>
      </c>
      <c r="L81" s="267">
        <f>'P NP JAPUNG KAB'!M29</f>
        <v>0</v>
      </c>
      <c r="M81" s="267">
        <f>'P NP JAPUNG KAB'!BQ29</f>
        <v>0</v>
      </c>
      <c r="N81" s="267">
        <f>'P NP JAPUNG KAB'!BG29</f>
        <v>0</v>
      </c>
      <c r="O81" s="267">
        <f>'P NP JAPUNG KAB'!BI29</f>
        <v>0</v>
      </c>
      <c r="P81" s="267">
        <f>'P NP JAPUNG KAB'!BK29</f>
        <v>0</v>
      </c>
      <c r="Q81" s="820">
        <f>'P NP JAPUNG KAB'!BM29</f>
        <v>0</v>
      </c>
      <c r="R81" s="269">
        <f t="shared" si="5"/>
        <v>0</v>
      </c>
      <c r="S81" s="363">
        <f>'P NP TW'!BT30</f>
        <v>0</v>
      </c>
      <c r="T81" s="363">
        <f>'P NP TW'!BV30</f>
        <v>0</v>
      </c>
      <c r="U81" s="363">
        <f>'P NP TW'!BX30</f>
        <v>0</v>
      </c>
      <c r="V81" s="268">
        <f>'P NP TW'!BZ30</f>
        <v>0</v>
      </c>
      <c r="X81" s="306"/>
    </row>
    <row r="82" spans="1:24" ht="14.15" customHeight="1">
      <c r="A82" s="260" t="s">
        <v>123</v>
      </c>
      <c r="B82" s="266">
        <f t="shared" si="4"/>
        <v>0</v>
      </c>
      <c r="C82" s="267">
        <f>'P NP JAPUNG KAB'!AK30</f>
        <v>0</v>
      </c>
      <c r="D82" s="267">
        <f>'P NP JAPUNG KAB'!AO30</f>
        <v>0</v>
      </c>
      <c r="E82" s="267">
        <f>'P NP JAPUNG KAB'!AM30</f>
        <v>0</v>
      </c>
      <c r="F82" s="267">
        <f>'P NP JAPUNG KAB'!Q30</f>
        <v>0</v>
      </c>
      <c r="G82" s="267">
        <f>'P NP JAPUNG KAB'!AU30</f>
        <v>0</v>
      </c>
      <c r="H82" s="267">
        <f>'P NP JAPUNG KAB'!AQ30</f>
        <v>0</v>
      </c>
      <c r="I82" s="267">
        <f>'P NP JAPUNG KAB'!E30</f>
        <v>0</v>
      </c>
      <c r="J82" s="267">
        <f>'P NP JAPUNG KAB'!AE30</f>
        <v>0</v>
      </c>
      <c r="K82" s="267">
        <f>'P NP JAPUNG KAB'!G30</f>
        <v>0</v>
      </c>
      <c r="L82" s="267">
        <f>'P NP JAPUNG KAB'!M30</f>
        <v>0</v>
      </c>
      <c r="M82" s="267">
        <f>'P NP JAPUNG KAB'!BQ30</f>
        <v>0</v>
      </c>
      <c r="N82" s="267">
        <f>'P NP JAPUNG KAB'!BG30</f>
        <v>0</v>
      </c>
      <c r="O82" s="267">
        <f>'P NP JAPUNG KAB'!BI30</f>
        <v>0</v>
      </c>
      <c r="P82" s="267">
        <f>'P NP JAPUNG KAB'!BK30</f>
        <v>0</v>
      </c>
      <c r="Q82" s="820">
        <f>'P NP JAPUNG KAB'!BM30</f>
        <v>0</v>
      </c>
      <c r="R82" s="269">
        <f t="shared" si="5"/>
        <v>0</v>
      </c>
      <c r="S82" s="363">
        <f>'P NP TW'!BT31</f>
        <v>0</v>
      </c>
      <c r="T82" s="363">
        <f>'P NP TW'!BV31</f>
        <v>0</v>
      </c>
      <c r="U82" s="363">
        <f>'P NP TW'!BX31</f>
        <v>0</v>
      </c>
      <c r="V82" s="268">
        <f>'P NP TW'!BZ31</f>
        <v>0</v>
      </c>
      <c r="X82" s="306"/>
    </row>
    <row r="83" spans="1:24" ht="14.15" customHeight="1">
      <c r="A83" s="260" t="s">
        <v>140</v>
      </c>
      <c r="B83" s="266">
        <f t="shared" si="4"/>
        <v>0</v>
      </c>
      <c r="C83" s="267">
        <f>'P NP JAPUNG KAB'!AK31</f>
        <v>0</v>
      </c>
      <c r="D83" s="267">
        <f>'P NP JAPUNG KAB'!AO31</f>
        <v>0</v>
      </c>
      <c r="E83" s="267">
        <f>'P NP JAPUNG KAB'!AM31</f>
        <v>0</v>
      </c>
      <c r="F83" s="267">
        <f>'P NP JAPUNG KAB'!Q31</f>
        <v>0</v>
      </c>
      <c r="G83" s="267">
        <f>'P NP JAPUNG KAB'!AU31</f>
        <v>0</v>
      </c>
      <c r="H83" s="267">
        <f>'P NP JAPUNG KAB'!AQ31</f>
        <v>0</v>
      </c>
      <c r="I83" s="267">
        <f>'P NP JAPUNG KAB'!E31</f>
        <v>0</v>
      </c>
      <c r="J83" s="267">
        <f>'P NP JAPUNG KAB'!AE31</f>
        <v>0</v>
      </c>
      <c r="K83" s="267">
        <f>'P NP JAPUNG KAB'!G31</f>
        <v>0</v>
      </c>
      <c r="L83" s="267">
        <f>'P NP JAPUNG KAB'!M31</f>
        <v>0</v>
      </c>
      <c r="M83" s="267">
        <f>'P NP JAPUNG KAB'!BQ31</f>
        <v>0</v>
      </c>
      <c r="N83" s="267">
        <f>'P NP JAPUNG KAB'!BG31</f>
        <v>0</v>
      </c>
      <c r="O83" s="267">
        <f>'P NP JAPUNG KAB'!BI31</f>
        <v>0</v>
      </c>
      <c r="P83" s="267">
        <f>'P NP JAPUNG KAB'!BK31</f>
        <v>0</v>
      </c>
      <c r="Q83" s="820">
        <f>'P NP JAPUNG KAB'!BM31</f>
        <v>0</v>
      </c>
      <c r="R83" s="269">
        <f t="shared" si="5"/>
        <v>0</v>
      </c>
      <c r="S83" s="363">
        <f>'P NP TW'!BT32</f>
        <v>0</v>
      </c>
      <c r="T83" s="363">
        <f>'P NP TW'!BV32</f>
        <v>0</v>
      </c>
      <c r="U83" s="363">
        <f>'P NP TW'!BX32</f>
        <v>0</v>
      </c>
      <c r="V83" s="268">
        <f>'P NP TW'!BZ32</f>
        <v>0</v>
      </c>
      <c r="X83" s="306"/>
    </row>
    <row r="84" spans="1:24" ht="14.15" customHeight="1">
      <c r="A84" s="260" t="s">
        <v>114</v>
      </c>
      <c r="B84" s="266">
        <f t="shared" si="4"/>
        <v>0</v>
      </c>
      <c r="C84" s="267">
        <f>'P NP JAPUNG KAB'!AK32</f>
        <v>0</v>
      </c>
      <c r="D84" s="267">
        <f>'P NP JAPUNG KAB'!AO32</f>
        <v>0</v>
      </c>
      <c r="E84" s="267">
        <f>'P NP JAPUNG KAB'!AM32</f>
        <v>0</v>
      </c>
      <c r="F84" s="267">
        <f>'P NP JAPUNG KAB'!Q32</f>
        <v>0</v>
      </c>
      <c r="G84" s="267">
        <f>'P NP JAPUNG KAB'!AU32</f>
        <v>0</v>
      </c>
      <c r="H84" s="267">
        <f>'P NP JAPUNG KAB'!AQ32</f>
        <v>0</v>
      </c>
      <c r="I84" s="267">
        <f>'P NP JAPUNG KAB'!E32</f>
        <v>0</v>
      </c>
      <c r="J84" s="267">
        <f>'P NP JAPUNG KAB'!AE32</f>
        <v>0</v>
      </c>
      <c r="K84" s="267">
        <f>'P NP JAPUNG KAB'!G32</f>
        <v>0</v>
      </c>
      <c r="L84" s="267">
        <f>'P NP JAPUNG KAB'!M32</f>
        <v>0</v>
      </c>
      <c r="M84" s="267">
        <f>'P NP JAPUNG KAB'!BQ32</f>
        <v>0</v>
      </c>
      <c r="N84" s="267">
        <f>'P NP JAPUNG KAB'!BG32</f>
        <v>0</v>
      </c>
      <c r="O84" s="267">
        <f>'P NP JAPUNG KAB'!BI32</f>
        <v>0</v>
      </c>
      <c r="P84" s="267">
        <f>'P NP JAPUNG KAB'!BK32</f>
        <v>0</v>
      </c>
      <c r="Q84" s="820">
        <f>'P NP JAPUNG KAB'!BM32</f>
        <v>0</v>
      </c>
      <c r="R84" s="269">
        <f t="shared" si="5"/>
        <v>0</v>
      </c>
      <c r="S84" s="363">
        <f>'P NP TW'!BT33</f>
        <v>0</v>
      </c>
      <c r="T84" s="363">
        <f>'P NP TW'!BV33</f>
        <v>0</v>
      </c>
      <c r="U84" s="363">
        <f>'P NP TW'!BX33</f>
        <v>0</v>
      </c>
      <c r="V84" s="268">
        <f>'P NP TW'!BZ33</f>
        <v>0</v>
      </c>
      <c r="X84" s="306"/>
    </row>
    <row r="85" spans="1:24" ht="14.15" customHeight="1">
      <c r="A85" s="260" t="s">
        <v>134</v>
      </c>
      <c r="B85" s="266">
        <f t="shared" si="4"/>
        <v>0</v>
      </c>
      <c r="C85" s="267">
        <f>'P NP JAPUNG KAB'!AK33</f>
        <v>0</v>
      </c>
      <c r="D85" s="267">
        <f>'P NP JAPUNG KAB'!AO33</f>
        <v>0</v>
      </c>
      <c r="E85" s="267">
        <f>'P NP JAPUNG KAB'!AM33</f>
        <v>0</v>
      </c>
      <c r="F85" s="267">
        <f>'P NP JAPUNG KAB'!Q33</f>
        <v>0</v>
      </c>
      <c r="G85" s="267">
        <f>'P NP JAPUNG KAB'!AU33</f>
        <v>0</v>
      </c>
      <c r="H85" s="267">
        <f>'P NP JAPUNG KAB'!AQ33</f>
        <v>0</v>
      </c>
      <c r="I85" s="267">
        <f>'P NP JAPUNG KAB'!E33</f>
        <v>0</v>
      </c>
      <c r="J85" s="267">
        <f>'P NP JAPUNG KAB'!AE33</f>
        <v>0</v>
      </c>
      <c r="K85" s="267">
        <f>'P NP JAPUNG KAB'!G33</f>
        <v>0</v>
      </c>
      <c r="L85" s="267">
        <f>'P NP JAPUNG KAB'!M33</f>
        <v>0</v>
      </c>
      <c r="M85" s="267">
        <f>'P NP JAPUNG KAB'!BQ33</f>
        <v>0</v>
      </c>
      <c r="N85" s="267">
        <f>'P NP JAPUNG KAB'!BG33</f>
        <v>0</v>
      </c>
      <c r="O85" s="267">
        <f>'P NP JAPUNG KAB'!BI33</f>
        <v>0</v>
      </c>
      <c r="P85" s="267">
        <f>'P NP JAPUNG KAB'!BK33</f>
        <v>0</v>
      </c>
      <c r="Q85" s="820">
        <f>'P NP JAPUNG KAB'!BM33</f>
        <v>0</v>
      </c>
      <c r="R85" s="269">
        <f t="shared" si="5"/>
        <v>0</v>
      </c>
      <c r="S85" s="363">
        <f>'P NP TW'!BT34</f>
        <v>0</v>
      </c>
      <c r="T85" s="363">
        <f>'P NP TW'!BV34</f>
        <v>0</v>
      </c>
      <c r="U85" s="363">
        <f>'P NP TW'!BX34</f>
        <v>0</v>
      </c>
      <c r="V85" s="268">
        <f>'P NP TW'!BZ34</f>
        <v>0</v>
      </c>
      <c r="X85" s="306"/>
    </row>
    <row r="86" spans="1:24" ht="14.15" customHeight="1">
      <c r="A86" s="260" t="s">
        <v>115</v>
      </c>
      <c r="B86" s="266">
        <f t="shared" si="4"/>
        <v>0</v>
      </c>
      <c r="C86" s="267">
        <f>'P NP JAPUNG KAB'!AK34</f>
        <v>0</v>
      </c>
      <c r="D86" s="267">
        <f>'P NP JAPUNG KAB'!AO34</f>
        <v>0</v>
      </c>
      <c r="E86" s="267">
        <f>'P NP JAPUNG KAB'!AM34</f>
        <v>0</v>
      </c>
      <c r="F86" s="267">
        <f>'P NP JAPUNG KAB'!Q34</f>
        <v>0</v>
      </c>
      <c r="G86" s="267">
        <f>'P NP JAPUNG KAB'!AU34</f>
        <v>0</v>
      </c>
      <c r="H86" s="267">
        <f>'P NP JAPUNG KAB'!AQ34</f>
        <v>0</v>
      </c>
      <c r="I86" s="267">
        <f>'P NP JAPUNG KAB'!E34</f>
        <v>0</v>
      </c>
      <c r="J86" s="267">
        <f>'P NP JAPUNG KAB'!AE34</f>
        <v>0</v>
      </c>
      <c r="K86" s="267">
        <f>'P NP JAPUNG KAB'!G34</f>
        <v>0</v>
      </c>
      <c r="L86" s="267">
        <f>'P NP JAPUNG KAB'!M34</f>
        <v>0</v>
      </c>
      <c r="M86" s="267">
        <f>'P NP JAPUNG KAB'!BQ34</f>
        <v>0</v>
      </c>
      <c r="N86" s="267">
        <f>'P NP JAPUNG KAB'!BG34</f>
        <v>0</v>
      </c>
      <c r="O86" s="267">
        <f>'P NP JAPUNG KAB'!BI34</f>
        <v>0</v>
      </c>
      <c r="P86" s="267">
        <f>'P NP JAPUNG KAB'!BK34</f>
        <v>0</v>
      </c>
      <c r="Q86" s="820">
        <f>'P NP JAPUNG KAB'!BM34</f>
        <v>0</v>
      </c>
      <c r="R86" s="269">
        <f t="shared" si="5"/>
        <v>0</v>
      </c>
      <c r="S86" s="363">
        <f>'P NP TW'!BT35</f>
        <v>0</v>
      </c>
      <c r="T86" s="363">
        <f>'P NP TW'!BV35</f>
        <v>0</v>
      </c>
      <c r="U86" s="363">
        <f>'P NP TW'!BX35</f>
        <v>0</v>
      </c>
      <c r="V86" s="268">
        <f>'P NP TW'!BZ35</f>
        <v>0</v>
      </c>
      <c r="X86" s="306"/>
    </row>
    <row r="87" spans="1:24" ht="14.15" customHeight="1">
      <c r="A87" s="260" t="s">
        <v>149</v>
      </c>
      <c r="B87" s="266">
        <f t="shared" si="4"/>
        <v>0</v>
      </c>
      <c r="C87" s="267">
        <f>'P NP JAPUNG KAB'!AK35</f>
        <v>0</v>
      </c>
      <c r="D87" s="267">
        <f>'P NP JAPUNG KAB'!AO35</f>
        <v>0</v>
      </c>
      <c r="E87" s="267">
        <f>'P NP JAPUNG KAB'!AM35</f>
        <v>0</v>
      </c>
      <c r="F87" s="267">
        <f>'P NP JAPUNG KAB'!Q35</f>
        <v>0</v>
      </c>
      <c r="G87" s="267">
        <f>'P NP JAPUNG KAB'!AU35</f>
        <v>0</v>
      </c>
      <c r="H87" s="267">
        <f>'P NP JAPUNG KAB'!AQ35</f>
        <v>0</v>
      </c>
      <c r="I87" s="267">
        <f>'P NP JAPUNG KAB'!E35</f>
        <v>0</v>
      </c>
      <c r="J87" s="267">
        <f>'P NP JAPUNG KAB'!AE35</f>
        <v>0</v>
      </c>
      <c r="K87" s="267">
        <f>'P NP JAPUNG KAB'!G35</f>
        <v>0</v>
      </c>
      <c r="L87" s="267">
        <f>'P NP JAPUNG KAB'!M35</f>
        <v>0</v>
      </c>
      <c r="M87" s="267">
        <f>'P NP JAPUNG KAB'!BQ35</f>
        <v>0</v>
      </c>
      <c r="N87" s="267">
        <f>'P NP JAPUNG KAB'!BG35</f>
        <v>0</v>
      </c>
      <c r="O87" s="267">
        <f>'P NP JAPUNG KAB'!BI35</f>
        <v>0</v>
      </c>
      <c r="P87" s="267">
        <f>'P NP JAPUNG KAB'!BK35</f>
        <v>0</v>
      </c>
      <c r="Q87" s="820">
        <f>'P NP JAPUNG KAB'!BM35</f>
        <v>0</v>
      </c>
      <c r="R87" s="269">
        <f t="shared" si="5"/>
        <v>0</v>
      </c>
      <c r="S87" s="363">
        <f>'P NP TW'!BT36</f>
        <v>0</v>
      </c>
      <c r="T87" s="363">
        <f>'P NP TW'!BV36</f>
        <v>0</v>
      </c>
      <c r="U87" s="363">
        <f>'P NP TW'!BX36</f>
        <v>0</v>
      </c>
      <c r="V87" s="268">
        <f>'P NP TW'!BZ36</f>
        <v>0</v>
      </c>
      <c r="X87" s="306"/>
    </row>
    <row r="88" spans="1:24" ht="14.15" customHeight="1">
      <c r="A88" s="260" t="s">
        <v>142</v>
      </c>
      <c r="B88" s="266">
        <f t="shared" si="4"/>
        <v>0</v>
      </c>
      <c r="C88" s="267">
        <f>'P NP JAPUNG KAB'!AK36</f>
        <v>0</v>
      </c>
      <c r="D88" s="267">
        <f>'P NP JAPUNG KAB'!AO36</f>
        <v>0</v>
      </c>
      <c r="E88" s="267">
        <f>'P NP JAPUNG KAB'!AM36</f>
        <v>0</v>
      </c>
      <c r="F88" s="267">
        <f>'P NP JAPUNG KAB'!Q36</f>
        <v>0</v>
      </c>
      <c r="G88" s="267">
        <f>'P NP JAPUNG KAB'!AU36</f>
        <v>0</v>
      </c>
      <c r="H88" s="267">
        <f>'P NP JAPUNG KAB'!AQ36</f>
        <v>0</v>
      </c>
      <c r="I88" s="267">
        <f>'P NP JAPUNG KAB'!E36</f>
        <v>0</v>
      </c>
      <c r="J88" s="267">
        <f>'P NP JAPUNG KAB'!AE36</f>
        <v>0</v>
      </c>
      <c r="K88" s="267">
        <f>'P NP JAPUNG KAB'!G36</f>
        <v>0</v>
      </c>
      <c r="L88" s="267">
        <f>'P NP JAPUNG KAB'!M36</f>
        <v>0</v>
      </c>
      <c r="M88" s="267">
        <f>'P NP JAPUNG KAB'!BQ36</f>
        <v>0</v>
      </c>
      <c r="N88" s="267">
        <f>'P NP JAPUNG KAB'!BG36</f>
        <v>0</v>
      </c>
      <c r="O88" s="267">
        <f>'P NP JAPUNG KAB'!BI36</f>
        <v>0</v>
      </c>
      <c r="P88" s="267">
        <f>'P NP JAPUNG KAB'!BK36</f>
        <v>0</v>
      </c>
      <c r="Q88" s="820">
        <f>'P NP JAPUNG KAB'!BM36</f>
        <v>0</v>
      </c>
      <c r="R88" s="269">
        <f t="shared" si="5"/>
        <v>0</v>
      </c>
      <c r="S88" s="363">
        <f>'P NP TW'!BT37</f>
        <v>0</v>
      </c>
      <c r="T88" s="363">
        <f>'P NP TW'!BV37</f>
        <v>0</v>
      </c>
      <c r="U88" s="363">
        <f>'P NP TW'!BX37</f>
        <v>0</v>
      </c>
      <c r="V88" s="268">
        <f>'P NP TW'!BZ37</f>
        <v>0</v>
      </c>
      <c r="X88" s="306"/>
    </row>
    <row r="89" spans="1:24" ht="14.15" customHeight="1">
      <c r="A89" s="260" t="s">
        <v>141</v>
      </c>
      <c r="B89" s="266">
        <f t="shared" si="4"/>
        <v>0</v>
      </c>
      <c r="C89" s="267">
        <f>'P NP JAPUNG KAB'!AK37</f>
        <v>0</v>
      </c>
      <c r="D89" s="267">
        <f>'P NP JAPUNG KAB'!AO37</f>
        <v>0</v>
      </c>
      <c r="E89" s="267">
        <f>'P NP JAPUNG KAB'!AM37</f>
        <v>0</v>
      </c>
      <c r="F89" s="267">
        <f>'P NP JAPUNG KAB'!Q37</f>
        <v>0</v>
      </c>
      <c r="G89" s="267">
        <f>'P NP JAPUNG KAB'!AU37</f>
        <v>0</v>
      </c>
      <c r="H89" s="267">
        <f>'P NP JAPUNG KAB'!AQ37</f>
        <v>0</v>
      </c>
      <c r="I89" s="267">
        <f>'P NP JAPUNG KAB'!E37</f>
        <v>0</v>
      </c>
      <c r="J89" s="267">
        <f>'P NP JAPUNG KAB'!AE37</f>
        <v>0</v>
      </c>
      <c r="K89" s="267">
        <f>'P NP JAPUNG KAB'!G37</f>
        <v>0</v>
      </c>
      <c r="L89" s="267">
        <f>'P NP JAPUNG KAB'!M37</f>
        <v>0</v>
      </c>
      <c r="M89" s="267">
        <f>'P NP JAPUNG KAB'!BQ37</f>
        <v>0</v>
      </c>
      <c r="N89" s="267">
        <f>'P NP JAPUNG KAB'!BG37</f>
        <v>0</v>
      </c>
      <c r="O89" s="267">
        <f>'P NP JAPUNG KAB'!BI37</f>
        <v>0</v>
      </c>
      <c r="P89" s="267">
        <f>'P NP JAPUNG KAB'!BK37</f>
        <v>0</v>
      </c>
      <c r="Q89" s="820">
        <f>'P NP JAPUNG KAB'!BM37</f>
        <v>0</v>
      </c>
      <c r="R89" s="269">
        <f t="shared" si="5"/>
        <v>0</v>
      </c>
      <c r="S89" s="363">
        <f>'P NP TW'!BT38</f>
        <v>0</v>
      </c>
      <c r="T89" s="363">
        <f>'P NP TW'!BV38</f>
        <v>0</v>
      </c>
      <c r="U89" s="363">
        <f>'P NP TW'!BX38</f>
        <v>0</v>
      </c>
      <c r="V89" s="268">
        <f>'P NP TW'!BZ38</f>
        <v>0</v>
      </c>
      <c r="X89" s="306"/>
    </row>
    <row r="90" spans="1:24" ht="14.15" customHeight="1">
      <c r="A90" s="260" t="s">
        <v>147</v>
      </c>
      <c r="B90" s="266">
        <f t="shared" si="4"/>
        <v>0</v>
      </c>
      <c r="C90" s="267">
        <f>'P NP JAPUNG KAB'!AK38</f>
        <v>0</v>
      </c>
      <c r="D90" s="267">
        <f>'P NP JAPUNG KAB'!AO38</f>
        <v>0</v>
      </c>
      <c r="E90" s="267">
        <f>'P NP JAPUNG KAB'!AM38</f>
        <v>0</v>
      </c>
      <c r="F90" s="267">
        <f>'P NP JAPUNG KAB'!Q38</f>
        <v>0</v>
      </c>
      <c r="G90" s="267">
        <f>'P NP JAPUNG KAB'!AU38</f>
        <v>0</v>
      </c>
      <c r="H90" s="267">
        <f>'P NP JAPUNG KAB'!AQ38</f>
        <v>0</v>
      </c>
      <c r="I90" s="267">
        <f>'P NP JAPUNG KAB'!E38</f>
        <v>0</v>
      </c>
      <c r="J90" s="267">
        <f>'P NP JAPUNG KAB'!AE38</f>
        <v>0</v>
      </c>
      <c r="K90" s="267">
        <f>'P NP JAPUNG KAB'!G38</f>
        <v>0</v>
      </c>
      <c r="L90" s="267">
        <f>'P NP JAPUNG KAB'!M38</f>
        <v>0</v>
      </c>
      <c r="M90" s="267">
        <f>'P NP JAPUNG KAB'!BQ38</f>
        <v>0</v>
      </c>
      <c r="N90" s="267">
        <f>'P NP JAPUNG KAB'!BG38</f>
        <v>0</v>
      </c>
      <c r="O90" s="267">
        <f>'P NP JAPUNG KAB'!BI38</f>
        <v>0</v>
      </c>
      <c r="P90" s="267">
        <f>'P NP JAPUNG KAB'!BK38</f>
        <v>0</v>
      </c>
      <c r="Q90" s="820">
        <f>'P NP JAPUNG KAB'!BM38</f>
        <v>0</v>
      </c>
      <c r="R90" s="269">
        <f t="shared" si="5"/>
        <v>0</v>
      </c>
      <c r="S90" s="363">
        <f>'P NP TW'!BT39</f>
        <v>0</v>
      </c>
      <c r="T90" s="363">
        <f>'P NP TW'!BV39</f>
        <v>0</v>
      </c>
      <c r="U90" s="363">
        <f>'P NP TW'!BX39</f>
        <v>0</v>
      </c>
      <c r="V90" s="268">
        <f>'P NP TW'!BZ39</f>
        <v>0</v>
      </c>
      <c r="X90" s="306"/>
    </row>
    <row r="91" spans="1:24" ht="14.15" customHeight="1">
      <c r="A91" s="260" t="s">
        <v>143</v>
      </c>
      <c r="B91" s="266">
        <f t="shared" si="4"/>
        <v>0</v>
      </c>
      <c r="C91" s="267">
        <f>'P NP JAPUNG KAB'!AK39</f>
        <v>0</v>
      </c>
      <c r="D91" s="267">
        <f>'P NP JAPUNG KAB'!AO39</f>
        <v>0</v>
      </c>
      <c r="E91" s="267">
        <f>'P NP JAPUNG KAB'!AM39</f>
        <v>0</v>
      </c>
      <c r="F91" s="267">
        <f>'P NP JAPUNG KAB'!Q39</f>
        <v>0</v>
      </c>
      <c r="G91" s="267">
        <f>'P NP JAPUNG KAB'!AU39</f>
        <v>0</v>
      </c>
      <c r="H91" s="267">
        <f>'P NP JAPUNG KAB'!AQ39</f>
        <v>0</v>
      </c>
      <c r="I91" s="267">
        <f>'P NP JAPUNG KAB'!E39</f>
        <v>0</v>
      </c>
      <c r="J91" s="267">
        <f>'P NP JAPUNG KAB'!AE39</f>
        <v>0</v>
      </c>
      <c r="K91" s="267">
        <f>'P NP JAPUNG KAB'!G39</f>
        <v>0</v>
      </c>
      <c r="L91" s="267">
        <f>'P NP JAPUNG KAB'!M39</f>
        <v>0</v>
      </c>
      <c r="M91" s="267">
        <f>'P NP JAPUNG KAB'!BQ39</f>
        <v>0</v>
      </c>
      <c r="N91" s="267">
        <f>'P NP JAPUNG KAB'!BG39</f>
        <v>0</v>
      </c>
      <c r="O91" s="267">
        <f>'P NP JAPUNG KAB'!BI39</f>
        <v>0</v>
      </c>
      <c r="P91" s="267">
        <f>'P NP JAPUNG KAB'!BK39</f>
        <v>0</v>
      </c>
      <c r="Q91" s="820">
        <f>'P NP JAPUNG KAB'!BM39</f>
        <v>0</v>
      </c>
      <c r="R91" s="269">
        <f t="shared" si="5"/>
        <v>0</v>
      </c>
      <c r="S91" s="363">
        <f>'P NP TW'!BT40</f>
        <v>0</v>
      </c>
      <c r="T91" s="363">
        <f>'P NP TW'!BV40</f>
        <v>0</v>
      </c>
      <c r="U91" s="363">
        <f>'P NP TW'!BX40</f>
        <v>0</v>
      </c>
      <c r="V91" s="268">
        <f>'P NP TW'!BZ40</f>
        <v>0</v>
      </c>
      <c r="X91" s="306"/>
    </row>
    <row r="92" spans="1:24" ht="14.15" customHeight="1">
      <c r="A92" s="260" t="s">
        <v>146</v>
      </c>
      <c r="B92" s="266">
        <f t="shared" si="4"/>
        <v>0</v>
      </c>
      <c r="C92" s="267">
        <f>'P NP JAPUNG KAB'!AK40</f>
        <v>0</v>
      </c>
      <c r="D92" s="267">
        <f>'P NP JAPUNG KAB'!AO40</f>
        <v>0</v>
      </c>
      <c r="E92" s="267">
        <f>'P NP JAPUNG KAB'!AM40</f>
        <v>0</v>
      </c>
      <c r="F92" s="267">
        <f>'P NP JAPUNG KAB'!Q40</f>
        <v>0</v>
      </c>
      <c r="G92" s="267">
        <f>'P NP JAPUNG KAB'!AU40</f>
        <v>0</v>
      </c>
      <c r="H92" s="267">
        <f>'P NP JAPUNG KAB'!AQ40</f>
        <v>0</v>
      </c>
      <c r="I92" s="267">
        <f>'P NP JAPUNG KAB'!E40</f>
        <v>0</v>
      </c>
      <c r="J92" s="267">
        <f>'P NP JAPUNG KAB'!AE40</f>
        <v>0</v>
      </c>
      <c r="K92" s="267">
        <f>'P NP JAPUNG KAB'!G40</f>
        <v>0</v>
      </c>
      <c r="L92" s="267">
        <f>'P NP JAPUNG KAB'!M40</f>
        <v>0</v>
      </c>
      <c r="M92" s="267">
        <f>'P NP JAPUNG KAB'!BQ40</f>
        <v>0</v>
      </c>
      <c r="N92" s="267">
        <f>'P NP JAPUNG KAB'!BG40</f>
        <v>0</v>
      </c>
      <c r="O92" s="267">
        <f>'P NP JAPUNG KAB'!BI40</f>
        <v>0</v>
      </c>
      <c r="P92" s="267">
        <f>'P NP JAPUNG KAB'!BK40</f>
        <v>0</v>
      </c>
      <c r="Q92" s="820">
        <f>'P NP JAPUNG KAB'!BM40</f>
        <v>0</v>
      </c>
      <c r="R92" s="269">
        <f t="shared" si="5"/>
        <v>0</v>
      </c>
      <c r="S92" s="363">
        <f>'P NP TW'!BT41</f>
        <v>0</v>
      </c>
      <c r="T92" s="363">
        <f>'P NP TW'!BV41</f>
        <v>0</v>
      </c>
      <c r="U92" s="363">
        <f>'P NP TW'!BX41</f>
        <v>0</v>
      </c>
      <c r="V92" s="268">
        <f>'P NP TW'!BZ41</f>
        <v>0</v>
      </c>
      <c r="X92" s="306"/>
    </row>
    <row r="93" spans="1:24" ht="14.15" customHeight="1">
      <c r="A93" s="260" t="s">
        <v>145</v>
      </c>
      <c r="B93" s="266">
        <f t="shared" si="4"/>
        <v>0</v>
      </c>
      <c r="C93" s="267">
        <f>'P NP JAPUNG KAB'!AK41</f>
        <v>0</v>
      </c>
      <c r="D93" s="267">
        <f>'P NP JAPUNG KAB'!AO41</f>
        <v>0</v>
      </c>
      <c r="E93" s="267">
        <f>'P NP JAPUNG KAB'!AM41</f>
        <v>0</v>
      </c>
      <c r="F93" s="267">
        <f>'P NP JAPUNG KAB'!Q41</f>
        <v>0</v>
      </c>
      <c r="G93" s="267">
        <f>'P NP JAPUNG KAB'!AU41</f>
        <v>0</v>
      </c>
      <c r="H93" s="267">
        <f>'P NP JAPUNG KAB'!AQ41</f>
        <v>0</v>
      </c>
      <c r="I93" s="267">
        <f>'P NP JAPUNG KAB'!E41</f>
        <v>0</v>
      </c>
      <c r="J93" s="267">
        <f>'P NP JAPUNG KAB'!AE41</f>
        <v>0</v>
      </c>
      <c r="K93" s="267">
        <f>'P NP JAPUNG KAB'!G41</f>
        <v>0</v>
      </c>
      <c r="L93" s="267">
        <f>'P NP JAPUNG KAB'!M41</f>
        <v>0</v>
      </c>
      <c r="M93" s="267">
        <f>'P NP JAPUNG KAB'!BQ41</f>
        <v>0</v>
      </c>
      <c r="N93" s="267">
        <f>'P NP JAPUNG KAB'!BG41</f>
        <v>0</v>
      </c>
      <c r="O93" s="267">
        <f>'P NP JAPUNG KAB'!BI41</f>
        <v>0</v>
      </c>
      <c r="P93" s="267">
        <f>'P NP JAPUNG KAB'!BK41</f>
        <v>0</v>
      </c>
      <c r="Q93" s="820">
        <f>'P NP JAPUNG KAB'!BM41</f>
        <v>0</v>
      </c>
      <c r="R93" s="269">
        <f t="shared" si="5"/>
        <v>0</v>
      </c>
      <c r="S93" s="363">
        <f>'P NP TW'!BT42</f>
        <v>0</v>
      </c>
      <c r="T93" s="363">
        <f>'P NP TW'!BV42</f>
        <v>0</v>
      </c>
      <c r="U93" s="363">
        <f>'P NP TW'!BX42</f>
        <v>0</v>
      </c>
      <c r="V93" s="268">
        <f>'P NP TW'!BZ42</f>
        <v>0</v>
      </c>
      <c r="W93" s="307"/>
      <c r="X93" s="306"/>
    </row>
    <row r="94" spans="1:24" ht="14.15" customHeight="1">
      <c r="A94" s="260" t="s">
        <v>144</v>
      </c>
      <c r="B94" s="266">
        <f t="shared" si="4"/>
        <v>0</v>
      </c>
      <c r="C94" s="267">
        <f>'P NP JAPUNG KAB'!AK42</f>
        <v>0</v>
      </c>
      <c r="D94" s="267">
        <f>'P NP JAPUNG KAB'!AO42</f>
        <v>0</v>
      </c>
      <c r="E94" s="267">
        <f>'P NP JAPUNG KAB'!AM42</f>
        <v>0</v>
      </c>
      <c r="F94" s="267">
        <f>'P NP JAPUNG KAB'!Q42</f>
        <v>0</v>
      </c>
      <c r="G94" s="267">
        <f>'P NP JAPUNG KAB'!AU42</f>
        <v>0</v>
      </c>
      <c r="H94" s="267">
        <f>'P NP JAPUNG KAB'!AQ42</f>
        <v>0</v>
      </c>
      <c r="I94" s="267">
        <f>'P NP JAPUNG KAB'!E42</f>
        <v>0</v>
      </c>
      <c r="J94" s="267">
        <f>'P NP JAPUNG KAB'!AE42</f>
        <v>0</v>
      </c>
      <c r="K94" s="267">
        <f>'P NP JAPUNG KAB'!G42</f>
        <v>0</v>
      </c>
      <c r="L94" s="267">
        <f>'P NP JAPUNG KAB'!M42</f>
        <v>0</v>
      </c>
      <c r="M94" s="267">
        <f>'P NP JAPUNG KAB'!BQ42</f>
        <v>0</v>
      </c>
      <c r="N94" s="267">
        <f>'P NP JAPUNG KAB'!BG42</f>
        <v>0</v>
      </c>
      <c r="O94" s="267">
        <f>'P NP JAPUNG KAB'!BI42</f>
        <v>0</v>
      </c>
      <c r="P94" s="267">
        <f>'P NP JAPUNG KAB'!BK42</f>
        <v>0</v>
      </c>
      <c r="Q94" s="820">
        <f>'P NP JAPUNG KAB'!BM42</f>
        <v>0</v>
      </c>
      <c r="R94" s="269">
        <f t="shared" si="5"/>
        <v>0</v>
      </c>
      <c r="S94" s="363">
        <f>'P NP TW'!BT43</f>
        <v>0</v>
      </c>
      <c r="T94" s="363">
        <f>'P NP TW'!BV43</f>
        <v>0</v>
      </c>
      <c r="U94" s="363">
        <f>'P NP TW'!BX43</f>
        <v>0</v>
      </c>
      <c r="V94" s="268">
        <f>'P NP TW'!BZ43</f>
        <v>0</v>
      </c>
      <c r="W94" s="308"/>
      <c r="X94" s="309"/>
    </row>
    <row r="95" spans="1:24" ht="14.15" customHeight="1" thickBot="1">
      <c r="A95" s="272" t="s">
        <v>148</v>
      </c>
      <c r="B95" s="330">
        <f t="shared" si="4"/>
        <v>1604008</v>
      </c>
      <c r="C95" s="328">
        <f>'P NP JAPUNG KAB'!AK43</f>
        <v>0</v>
      </c>
      <c r="D95" s="328">
        <f>'P NP JAPUNG KAB'!AO43</f>
        <v>0</v>
      </c>
      <c r="E95" s="328">
        <f>'P NP JAPUNG KAB'!AM43</f>
        <v>0</v>
      </c>
      <c r="F95" s="328">
        <f>'P NP JAPUNG KAB'!Q43</f>
        <v>0</v>
      </c>
      <c r="G95" s="328">
        <f>'P NP JAPUNG KAB'!AU43</f>
        <v>0</v>
      </c>
      <c r="H95" s="328">
        <f>'P NP JAPUNG KAB'!AQ43</f>
        <v>0</v>
      </c>
      <c r="I95" s="328">
        <f>'P NP JAPUNG KAB'!E43</f>
        <v>0</v>
      </c>
      <c r="J95" s="328">
        <f>'P NP JAPUNG KAB'!AE43</f>
        <v>1604008</v>
      </c>
      <c r="K95" s="328">
        <f>'P NP JAPUNG KAB'!G43</f>
        <v>0</v>
      </c>
      <c r="L95" s="328">
        <f>'P NP JAPUNG KAB'!M43</f>
        <v>0</v>
      </c>
      <c r="M95" s="328">
        <f>'P NP JAPUNG KAB'!BQ43</f>
        <v>0</v>
      </c>
      <c r="N95" s="328">
        <f>'P NP JAPUNG KAB'!BG43</f>
        <v>0</v>
      </c>
      <c r="O95" s="328">
        <f>'P NP JAPUNG KAB'!BI43</f>
        <v>0</v>
      </c>
      <c r="P95" s="328">
        <f>'P NP JAPUNG KAB'!BK43</f>
        <v>0</v>
      </c>
      <c r="Q95" s="329">
        <f>'P NP JAPUNG KAB'!BM43</f>
        <v>0</v>
      </c>
      <c r="R95" s="310">
        <f t="shared" si="5"/>
        <v>1604008</v>
      </c>
      <c r="S95" s="365">
        <f>'P NP TW'!BT44</f>
        <v>526236</v>
      </c>
      <c r="T95" s="365">
        <f>'P NP TW'!BV44</f>
        <v>429792</v>
      </c>
      <c r="U95" s="365">
        <f>'P NP TW'!BX44</f>
        <v>365280</v>
      </c>
      <c r="V95" s="275">
        <f>'P NP TW'!BZ44</f>
        <v>282700</v>
      </c>
      <c r="X95" s="306"/>
    </row>
    <row r="96" spans="1:24" ht="18" customHeight="1">
      <c r="A96" s="277"/>
      <c r="B96" s="946" t="s">
        <v>311</v>
      </c>
      <c r="C96" s="946"/>
      <c r="D96" s="946"/>
      <c r="E96" s="946"/>
      <c r="F96" s="946"/>
      <c r="G96" s="946"/>
      <c r="I96" s="278"/>
      <c r="K96" s="947"/>
      <c r="L96" s="947"/>
      <c r="M96" s="947"/>
      <c r="N96" s="947"/>
      <c r="O96" s="947"/>
      <c r="R96" s="936" t="s">
        <v>312</v>
      </c>
      <c r="S96" s="937"/>
      <c r="T96" s="937"/>
      <c r="U96" s="937"/>
    </row>
  </sheetData>
  <sortState xmlns:xlrd2="http://schemas.microsoft.com/office/spreadsheetml/2017/richdata2" ref="A13:A47">
    <sortCondition ref="A13:A47"/>
  </sortState>
  <mergeCells count="10">
    <mergeCell ref="R96:U96"/>
    <mergeCell ref="E5:F5"/>
    <mergeCell ref="B48:G48"/>
    <mergeCell ref="K48:O48"/>
    <mergeCell ref="R48:U48"/>
    <mergeCell ref="I51:J51"/>
    <mergeCell ref="I52:J52"/>
    <mergeCell ref="E53:F53"/>
    <mergeCell ref="B96:G96"/>
    <mergeCell ref="K96:O96"/>
  </mergeCells>
  <printOptions horizontalCentered="1"/>
  <pageMargins left="0.261811024" right="0.23622047244094499" top="0.35433070866141703" bottom="0.23622047244094499" header="0.511811023622047" footer="0.511811023622047"/>
  <pageSetup paperSize="5" scale="65" orientation="landscape" horizontalDpi="4294967293" r:id="rId1"/>
  <headerFooter alignWithMargins="0"/>
  <rowBreaks count="1" manualBreakCount="1">
    <brk id="48" max="24" man="1"/>
  </rowBreaks>
  <colBreaks count="1" manualBreakCount="1">
    <brk id="17" max="9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sheetPr>
  <dimension ref="A1:CC45"/>
  <sheetViews>
    <sheetView workbookViewId="0">
      <pane xSplit="2" ySplit="7" topLeftCell="D8" activePane="bottomRight" state="frozen"/>
      <selection pane="topRight" activeCell="C1" sqref="C1"/>
      <selection pane="bottomLeft" activeCell="A8" sqref="A8"/>
      <selection pane="bottomRight" activeCell="F37" sqref="F37"/>
    </sheetView>
  </sheetViews>
  <sheetFormatPr defaultRowHeight="14.5"/>
  <cols>
    <col min="1" max="1" width="9.1796875" style="205"/>
    <col min="2" max="2" width="25.54296875" style="205" customWidth="1"/>
    <col min="3" max="78" width="13.81640625" customWidth="1"/>
    <col min="80" max="80" width="12.54296875" style="205" customWidth="1"/>
    <col min="81" max="81" width="13.54296875" style="205" customWidth="1"/>
    <col min="258" max="258" width="25.54296875" customWidth="1"/>
    <col min="259" max="296" width="13.81640625" customWidth="1"/>
    <col min="514" max="514" width="25.54296875" customWidth="1"/>
    <col min="515" max="552" width="13.81640625" customWidth="1"/>
    <col min="770" max="770" width="25.54296875" customWidth="1"/>
    <col min="771" max="808" width="13.81640625" customWidth="1"/>
    <col min="1026" max="1026" width="25.54296875" customWidth="1"/>
    <col min="1027" max="1064" width="13.81640625" customWidth="1"/>
    <col min="1282" max="1282" width="25.54296875" customWidth="1"/>
    <col min="1283" max="1320" width="13.81640625" customWidth="1"/>
    <col min="1538" max="1538" width="25.54296875" customWidth="1"/>
    <col min="1539" max="1576" width="13.81640625" customWidth="1"/>
    <col min="1794" max="1794" width="25.54296875" customWidth="1"/>
    <col min="1795" max="1832" width="13.81640625" customWidth="1"/>
    <col min="2050" max="2050" width="25.54296875" customWidth="1"/>
    <col min="2051" max="2088" width="13.81640625" customWidth="1"/>
    <col min="2306" max="2306" width="25.54296875" customWidth="1"/>
    <col min="2307" max="2344" width="13.81640625" customWidth="1"/>
    <col min="2562" max="2562" width="25.54296875" customWidth="1"/>
    <col min="2563" max="2600" width="13.81640625" customWidth="1"/>
    <col min="2818" max="2818" width="25.54296875" customWidth="1"/>
    <col min="2819" max="2856" width="13.81640625" customWidth="1"/>
    <col min="3074" max="3074" width="25.54296875" customWidth="1"/>
    <col min="3075" max="3112" width="13.81640625" customWidth="1"/>
    <col min="3330" max="3330" width="25.54296875" customWidth="1"/>
    <col min="3331" max="3368" width="13.81640625" customWidth="1"/>
    <col min="3586" max="3586" width="25.54296875" customWidth="1"/>
    <col min="3587" max="3624" width="13.81640625" customWidth="1"/>
    <col min="3842" max="3842" width="25.54296875" customWidth="1"/>
    <col min="3843" max="3880" width="13.81640625" customWidth="1"/>
    <col min="4098" max="4098" width="25.54296875" customWidth="1"/>
    <col min="4099" max="4136" width="13.81640625" customWidth="1"/>
    <col min="4354" max="4354" width="25.54296875" customWidth="1"/>
    <col min="4355" max="4392" width="13.81640625" customWidth="1"/>
    <col min="4610" max="4610" width="25.54296875" customWidth="1"/>
    <col min="4611" max="4648" width="13.81640625" customWidth="1"/>
    <col min="4866" max="4866" width="25.54296875" customWidth="1"/>
    <col min="4867" max="4904" width="13.81640625" customWidth="1"/>
    <col min="5122" max="5122" width="25.54296875" customWidth="1"/>
    <col min="5123" max="5160" width="13.81640625" customWidth="1"/>
    <col min="5378" max="5378" width="25.54296875" customWidth="1"/>
    <col min="5379" max="5416" width="13.81640625" customWidth="1"/>
    <col min="5634" max="5634" width="25.54296875" customWidth="1"/>
    <col min="5635" max="5672" width="13.81640625" customWidth="1"/>
    <col min="5890" max="5890" width="25.54296875" customWidth="1"/>
    <col min="5891" max="5928" width="13.81640625" customWidth="1"/>
    <col min="6146" max="6146" width="25.54296875" customWidth="1"/>
    <col min="6147" max="6184" width="13.81640625" customWidth="1"/>
    <col min="6402" max="6402" width="25.54296875" customWidth="1"/>
    <col min="6403" max="6440" width="13.81640625" customWidth="1"/>
    <col min="6658" max="6658" width="25.54296875" customWidth="1"/>
    <col min="6659" max="6696" width="13.81640625" customWidth="1"/>
    <col min="6914" max="6914" width="25.54296875" customWidth="1"/>
    <col min="6915" max="6952" width="13.81640625" customWidth="1"/>
    <col min="7170" max="7170" width="25.54296875" customWidth="1"/>
    <col min="7171" max="7208" width="13.81640625" customWidth="1"/>
    <col min="7426" max="7426" width="25.54296875" customWidth="1"/>
    <col min="7427" max="7464" width="13.81640625" customWidth="1"/>
    <col min="7682" max="7682" width="25.54296875" customWidth="1"/>
    <col min="7683" max="7720" width="13.81640625" customWidth="1"/>
    <col min="7938" max="7938" width="25.54296875" customWidth="1"/>
    <col min="7939" max="7976" width="13.81640625" customWidth="1"/>
    <col min="8194" max="8194" width="25.54296875" customWidth="1"/>
    <col min="8195" max="8232" width="13.81640625" customWidth="1"/>
    <col min="8450" max="8450" width="25.54296875" customWidth="1"/>
    <col min="8451" max="8488" width="13.81640625" customWidth="1"/>
    <col min="8706" max="8706" width="25.54296875" customWidth="1"/>
    <col min="8707" max="8744" width="13.81640625" customWidth="1"/>
    <col min="8962" max="8962" width="25.54296875" customWidth="1"/>
    <col min="8963" max="9000" width="13.81640625" customWidth="1"/>
    <col min="9218" max="9218" width="25.54296875" customWidth="1"/>
    <col min="9219" max="9256" width="13.81640625" customWidth="1"/>
    <col min="9474" max="9474" width="25.54296875" customWidth="1"/>
    <col min="9475" max="9512" width="13.81640625" customWidth="1"/>
    <col min="9730" max="9730" width="25.54296875" customWidth="1"/>
    <col min="9731" max="9768" width="13.81640625" customWidth="1"/>
    <col min="9986" max="9986" width="25.54296875" customWidth="1"/>
    <col min="9987" max="10024" width="13.81640625" customWidth="1"/>
    <col min="10242" max="10242" width="25.54296875" customWidth="1"/>
    <col min="10243" max="10280" width="13.81640625" customWidth="1"/>
    <col min="10498" max="10498" width="25.54296875" customWidth="1"/>
    <col min="10499" max="10536" width="13.81640625" customWidth="1"/>
    <col min="10754" max="10754" width="25.54296875" customWidth="1"/>
    <col min="10755" max="10792" width="13.81640625" customWidth="1"/>
    <col min="11010" max="11010" width="25.54296875" customWidth="1"/>
    <col min="11011" max="11048" width="13.81640625" customWidth="1"/>
    <col min="11266" max="11266" width="25.54296875" customWidth="1"/>
    <col min="11267" max="11304" width="13.81640625" customWidth="1"/>
    <col min="11522" max="11522" width="25.54296875" customWidth="1"/>
    <col min="11523" max="11560" width="13.81640625" customWidth="1"/>
    <col min="11778" max="11778" width="25.54296875" customWidth="1"/>
    <col min="11779" max="11816" width="13.81640625" customWidth="1"/>
    <col min="12034" max="12034" width="25.54296875" customWidth="1"/>
    <col min="12035" max="12072" width="13.81640625" customWidth="1"/>
    <col min="12290" max="12290" width="25.54296875" customWidth="1"/>
    <col min="12291" max="12328" width="13.81640625" customWidth="1"/>
    <col min="12546" max="12546" width="25.54296875" customWidth="1"/>
    <col min="12547" max="12584" width="13.81640625" customWidth="1"/>
    <col min="12802" max="12802" width="25.54296875" customWidth="1"/>
    <col min="12803" max="12840" width="13.81640625" customWidth="1"/>
    <col min="13058" max="13058" width="25.54296875" customWidth="1"/>
    <col min="13059" max="13096" width="13.81640625" customWidth="1"/>
    <col min="13314" max="13314" width="25.54296875" customWidth="1"/>
    <col min="13315" max="13352" width="13.81640625" customWidth="1"/>
    <col min="13570" max="13570" width="25.54296875" customWidth="1"/>
    <col min="13571" max="13608" width="13.81640625" customWidth="1"/>
    <col min="13826" max="13826" width="25.54296875" customWidth="1"/>
    <col min="13827" max="13864" width="13.81640625" customWidth="1"/>
    <col min="14082" max="14082" width="25.54296875" customWidth="1"/>
    <col min="14083" max="14120" width="13.81640625" customWidth="1"/>
    <col min="14338" max="14338" width="25.54296875" customWidth="1"/>
    <col min="14339" max="14376" width="13.81640625" customWidth="1"/>
    <col min="14594" max="14594" width="25.54296875" customWidth="1"/>
    <col min="14595" max="14632" width="13.81640625" customWidth="1"/>
    <col min="14850" max="14850" width="25.54296875" customWidth="1"/>
    <col min="14851" max="14888" width="13.81640625" customWidth="1"/>
    <col min="15106" max="15106" width="25.54296875" customWidth="1"/>
    <col min="15107" max="15144" width="13.81640625" customWidth="1"/>
    <col min="15362" max="15362" width="25.54296875" customWidth="1"/>
    <col min="15363" max="15400" width="13.81640625" customWidth="1"/>
    <col min="15618" max="15618" width="25.54296875" customWidth="1"/>
    <col min="15619" max="15656" width="13.81640625" customWidth="1"/>
    <col min="15874" max="15874" width="25.54296875" customWidth="1"/>
    <col min="15875" max="15912" width="13.81640625" customWidth="1"/>
    <col min="16130" max="16130" width="25.54296875" customWidth="1"/>
    <col min="16131" max="16168" width="13.81640625" customWidth="1"/>
  </cols>
  <sheetData>
    <row r="1" spans="1:81" s="205" customFormat="1" ht="17.25" customHeight="1">
      <c r="A1" s="311" t="s">
        <v>27</v>
      </c>
      <c r="B1" s="312">
        <f>SUMIF($C$4:$BZ$4,$C$4,$C$7:$BZ$7)</f>
        <v>774415158.92607832</v>
      </c>
      <c r="C1" s="974">
        <v>1</v>
      </c>
      <c r="D1" s="974"/>
      <c r="E1" s="974">
        <v>2</v>
      </c>
      <c r="F1" s="974"/>
      <c r="G1" s="974">
        <v>3</v>
      </c>
      <c r="H1" s="974"/>
      <c r="I1" s="974">
        <v>4</v>
      </c>
      <c r="J1" s="974"/>
      <c r="K1" s="974">
        <v>5</v>
      </c>
      <c r="L1" s="974"/>
      <c r="M1" s="974">
        <v>6</v>
      </c>
      <c r="N1" s="974"/>
      <c r="O1" s="974">
        <v>7</v>
      </c>
      <c r="P1" s="974"/>
      <c r="Q1" s="974">
        <v>8</v>
      </c>
      <c r="R1" s="974"/>
      <c r="S1" s="974">
        <v>9</v>
      </c>
      <c r="T1" s="974"/>
      <c r="U1" s="974">
        <v>10</v>
      </c>
      <c r="V1" s="974"/>
      <c r="W1" s="974">
        <v>11</v>
      </c>
      <c r="X1" s="974"/>
      <c r="Y1" s="974">
        <v>12</v>
      </c>
      <c r="Z1" s="974"/>
      <c r="AA1" s="974">
        <v>13</v>
      </c>
      <c r="AB1" s="974"/>
      <c r="AC1" s="974">
        <v>14</v>
      </c>
      <c r="AD1" s="974"/>
      <c r="AE1" s="974">
        <v>15</v>
      </c>
      <c r="AF1" s="974"/>
      <c r="AG1" s="974">
        <v>16</v>
      </c>
      <c r="AH1" s="974"/>
      <c r="AI1" s="974">
        <v>17</v>
      </c>
      <c r="AJ1" s="974"/>
      <c r="AK1" s="974">
        <v>18</v>
      </c>
      <c r="AL1" s="974"/>
      <c r="AM1" s="974">
        <v>19</v>
      </c>
      <c r="AN1" s="974"/>
      <c r="AO1" s="974">
        <v>20</v>
      </c>
      <c r="AP1" s="974"/>
      <c r="AQ1" s="974">
        <v>21</v>
      </c>
      <c r="AR1" s="974"/>
      <c r="AS1" s="974">
        <v>22</v>
      </c>
      <c r="AT1" s="974"/>
      <c r="AU1" s="974">
        <v>23</v>
      </c>
      <c r="AV1" s="974"/>
      <c r="AW1" s="974">
        <v>24</v>
      </c>
      <c r="AX1" s="974"/>
      <c r="AY1" s="974">
        <v>25</v>
      </c>
      <c r="AZ1" s="974"/>
      <c r="BA1" s="974">
        <v>26</v>
      </c>
      <c r="BB1" s="974"/>
      <c r="BC1" s="974">
        <v>27</v>
      </c>
      <c r="BD1" s="974"/>
      <c r="BE1" s="974">
        <v>28</v>
      </c>
      <c r="BF1" s="974"/>
      <c r="BG1" s="974">
        <v>29</v>
      </c>
      <c r="BH1" s="974"/>
      <c r="BI1" s="974">
        <v>30</v>
      </c>
      <c r="BJ1" s="974"/>
      <c r="BK1" s="974">
        <v>31</v>
      </c>
      <c r="BL1" s="974"/>
      <c r="BM1" s="974">
        <v>32</v>
      </c>
      <c r="BN1" s="974"/>
      <c r="BO1" s="974">
        <v>33</v>
      </c>
      <c r="BP1" s="974"/>
      <c r="BQ1" s="974">
        <v>34</v>
      </c>
      <c r="BR1" s="974"/>
      <c r="BS1" s="974">
        <v>35</v>
      </c>
      <c r="BT1" s="974"/>
      <c r="BU1" s="974">
        <v>36</v>
      </c>
      <c r="BV1" s="974"/>
      <c r="BW1" s="974">
        <v>37</v>
      </c>
      <c r="BX1" s="974"/>
      <c r="BY1" s="974">
        <v>38</v>
      </c>
      <c r="BZ1" s="974"/>
    </row>
    <row r="2" spans="1:81" s="205" customFormat="1">
      <c r="A2" s="311"/>
      <c r="B2" s="313">
        <f>'P &amp; NP'!WN11</f>
        <v>774415158.92607832</v>
      </c>
      <c r="C2" s="975" t="s">
        <v>89</v>
      </c>
      <c r="D2" s="975"/>
      <c r="E2" s="975" t="s">
        <v>73</v>
      </c>
      <c r="F2" s="975"/>
      <c r="G2" s="975" t="s">
        <v>68</v>
      </c>
      <c r="H2" s="975"/>
      <c r="I2" s="975" t="s">
        <v>85</v>
      </c>
      <c r="J2" s="975"/>
      <c r="K2" s="975" t="s">
        <v>74</v>
      </c>
      <c r="L2" s="975"/>
      <c r="M2" s="975" t="s">
        <v>88</v>
      </c>
      <c r="N2" s="975"/>
      <c r="O2" s="975" t="s">
        <v>72</v>
      </c>
      <c r="P2" s="975"/>
      <c r="Q2" s="975" t="s">
        <v>80</v>
      </c>
      <c r="R2" s="975"/>
      <c r="S2" s="975" t="s">
        <v>69</v>
      </c>
      <c r="T2" s="975"/>
      <c r="U2" s="975" t="s">
        <v>87</v>
      </c>
      <c r="V2" s="975"/>
      <c r="W2" s="975" t="s">
        <v>71</v>
      </c>
      <c r="X2" s="975"/>
      <c r="Y2" s="975" t="s">
        <v>82</v>
      </c>
      <c r="Z2" s="975"/>
      <c r="AA2" s="975" t="s">
        <v>83</v>
      </c>
      <c r="AB2" s="975"/>
      <c r="AC2" s="975" t="s">
        <v>70</v>
      </c>
      <c r="AD2" s="975"/>
      <c r="AE2" s="975" t="s">
        <v>79</v>
      </c>
      <c r="AF2" s="975"/>
      <c r="AG2" s="975" t="s">
        <v>81</v>
      </c>
      <c r="AH2" s="975"/>
      <c r="AI2" s="975" t="s">
        <v>84</v>
      </c>
      <c r="AJ2" s="975"/>
      <c r="AK2" s="975" t="s">
        <v>36</v>
      </c>
      <c r="AL2" s="975"/>
      <c r="AM2" s="975" t="s">
        <v>91</v>
      </c>
      <c r="AN2" s="975"/>
      <c r="AO2" s="862" t="s">
        <v>77</v>
      </c>
      <c r="AP2" s="862"/>
      <c r="AQ2" s="862" t="s">
        <v>38</v>
      </c>
      <c r="AR2" s="862"/>
      <c r="AS2" s="862" t="s">
        <v>76</v>
      </c>
      <c r="AT2" s="862"/>
      <c r="AU2" s="862" t="s">
        <v>90</v>
      </c>
      <c r="AV2" s="862"/>
      <c r="AW2" s="862" t="s">
        <v>78</v>
      </c>
      <c r="AX2" s="862"/>
      <c r="AY2" s="862" t="s">
        <v>75</v>
      </c>
      <c r="AZ2" s="862"/>
      <c r="BA2" s="862" t="s">
        <v>92</v>
      </c>
      <c r="BB2" s="862"/>
      <c r="BC2" s="862" t="s">
        <v>39</v>
      </c>
      <c r="BD2" s="862"/>
      <c r="BE2" s="862" t="s">
        <v>86</v>
      </c>
      <c r="BF2" s="862"/>
      <c r="BG2" s="862" t="s">
        <v>40</v>
      </c>
      <c r="BH2" s="862"/>
      <c r="BI2" s="862" t="s">
        <v>101</v>
      </c>
      <c r="BJ2" s="862"/>
      <c r="BK2" s="862" t="s">
        <v>94</v>
      </c>
      <c r="BL2" s="862"/>
      <c r="BM2" s="862" t="s">
        <v>93</v>
      </c>
      <c r="BN2" s="862"/>
      <c r="BO2" s="862" t="s">
        <v>99</v>
      </c>
      <c r="BP2" s="862"/>
      <c r="BQ2" s="862" t="s">
        <v>95</v>
      </c>
      <c r="BR2" s="862"/>
      <c r="BS2" s="862" t="s">
        <v>98</v>
      </c>
      <c r="BT2" s="862"/>
      <c r="BU2" s="862" t="s">
        <v>97</v>
      </c>
      <c r="BV2" s="862"/>
      <c r="BW2" s="862" t="s">
        <v>96</v>
      </c>
      <c r="BX2" s="862"/>
      <c r="BY2" s="862" t="s">
        <v>100</v>
      </c>
      <c r="BZ2" s="862"/>
      <c r="CB2" s="206">
        <f>B1-CB7</f>
        <v>0</v>
      </c>
      <c r="CC2" s="206">
        <f>B4-CC7</f>
        <v>0</v>
      </c>
    </row>
    <row r="3" spans="1:81" s="205" customFormat="1">
      <c r="A3" s="311"/>
      <c r="B3" s="311"/>
      <c r="C3" s="862" t="s">
        <v>34</v>
      </c>
      <c r="D3" s="862"/>
      <c r="E3" s="862" t="s">
        <v>34</v>
      </c>
      <c r="F3" s="862"/>
      <c r="G3" s="862" t="s">
        <v>34</v>
      </c>
      <c r="H3" s="862"/>
      <c r="I3" s="862" t="s">
        <v>34</v>
      </c>
      <c r="J3" s="862"/>
      <c r="K3" s="862" t="s">
        <v>34</v>
      </c>
      <c r="L3" s="862"/>
      <c r="M3" s="862" t="s">
        <v>34</v>
      </c>
      <c r="N3" s="862"/>
      <c r="O3" s="862" t="s">
        <v>34</v>
      </c>
      <c r="P3" s="862"/>
      <c r="Q3" s="862" t="s">
        <v>34</v>
      </c>
      <c r="R3" s="862"/>
      <c r="S3" s="862" t="s">
        <v>34</v>
      </c>
      <c r="T3" s="862"/>
      <c r="U3" s="862" t="s">
        <v>34</v>
      </c>
      <c r="V3" s="862"/>
      <c r="W3" s="862" t="s">
        <v>34</v>
      </c>
      <c r="X3" s="862"/>
      <c r="Y3" s="862" t="s">
        <v>34</v>
      </c>
      <c r="Z3" s="862"/>
      <c r="AA3" s="862" t="s">
        <v>34</v>
      </c>
      <c r="AB3" s="862"/>
      <c r="AC3" s="862" t="s">
        <v>34</v>
      </c>
      <c r="AD3" s="862"/>
      <c r="AE3" s="862" t="s">
        <v>34</v>
      </c>
      <c r="AF3" s="862"/>
      <c r="AG3" s="862" t="s">
        <v>34</v>
      </c>
      <c r="AH3" s="862"/>
      <c r="AI3" s="862" t="s">
        <v>34</v>
      </c>
      <c r="AJ3" s="862"/>
      <c r="AK3" s="862" t="s">
        <v>34</v>
      </c>
      <c r="AL3" s="862"/>
      <c r="AM3" s="862" t="s">
        <v>34</v>
      </c>
      <c r="AN3" s="862"/>
      <c r="AO3" s="862" t="s">
        <v>34</v>
      </c>
      <c r="AP3" s="862"/>
      <c r="AQ3" s="862" t="s">
        <v>34</v>
      </c>
      <c r="AR3" s="862"/>
      <c r="AS3" s="862" t="s">
        <v>34</v>
      </c>
      <c r="AT3" s="862"/>
      <c r="AU3" s="862" t="s">
        <v>34</v>
      </c>
      <c r="AV3" s="862"/>
      <c r="AW3" s="862" t="s">
        <v>34</v>
      </c>
      <c r="AX3" s="862"/>
      <c r="AY3" s="862" t="s">
        <v>34</v>
      </c>
      <c r="AZ3" s="862"/>
      <c r="BA3" s="862" t="s">
        <v>34</v>
      </c>
      <c r="BB3" s="862"/>
      <c r="BC3" s="862" t="s">
        <v>34</v>
      </c>
      <c r="BD3" s="862"/>
      <c r="BE3" s="862" t="s">
        <v>34</v>
      </c>
      <c r="BF3" s="862"/>
      <c r="BG3" s="862" t="s">
        <v>34</v>
      </c>
      <c r="BH3" s="862"/>
      <c r="BI3" s="862" t="s">
        <v>34</v>
      </c>
      <c r="BJ3" s="862"/>
      <c r="BK3" s="862" t="s">
        <v>34</v>
      </c>
      <c r="BL3" s="862"/>
      <c r="BM3" s="862" t="s">
        <v>34</v>
      </c>
      <c r="BN3" s="862"/>
      <c r="BO3" s="862" t="s">
        <v>34</v>
      </c>
      <c r="BP3" s="862"/>
      <c r="BQ3" s="862" t="s">
        <v>34</v>
      </c>
      <c r="BR3" s="862"/>
      <c r="BS3" s="862" t="s">
        <v>34</v>
      </c>
      <c r="BT3" s="862"/>
      <c r="BU3" s="862" t="s">
        <v>34</v>
      </c>
      <c r="BV3" s="862"/>
      <c r="BW3" s="862" t="s">
        <v>34</v>
      </c>
      <c r="BX3" s="862"/>
      <c r="BY3" s="862" t="s">
        <v>34</v>
      </c>
      <c r="BZ3" s="862"/>
    </row>
    <row r="4" spans="1:81" s="205" customFormat="1">
      <c r="A4" s="311" t="s">
        <v>28</v>
      </c>
      <c r="B4" s="312">
        <f>SUMIF($C$4:$BZ$4,$D$4,$C$7:$BZ$7)</f>
        <v>3994041159.9863362</v>
      </c>
      <c r="C4" s="204" t="s">
        <v>27</v>
      </c>
      <c r="D4" s="204" t="s">
        <v>28</v>
      </c>
      <c r="E4" s="204" t="s">
        <v>27</v>
      </c>
      <c r="F4" s="204" t="s">
        <v>28</v>
      </c>
      <c r="G4" s="204" t="s">
        <v>27</v>
      </c>
      <c r="H4" s="204" t="s">
        <v>28</v>
      </c>
      <c r="I4" s="204" t="s">
        <v>27</v>
      </c>
      <c r="J4" s="204" t="s">
        <v>28</v>
      </c>
      <c r="K4" s="204" t="s">
        <v>27</v>
      </c>
      <c r="L4" s="204" t="s">
        <v>28</v>
      </c>
      <c r="M4" s="204" t="s">
        <v>27</v>
      </c>
      <c r="N4" s="204" t="s">
        <v>28</v>
      </c>
      <c r="O4" s="204" t="s">
        <v>27</v>
      </c>
      <c r="P4" s="204" t="s">
        <v>28</v>
      </c>
      <c r="Q4" s="204" t="s">
        <v>27</v>
      </c>
      <c r="R4" s="204" t="s">
        <v>28</v>
      </c>
      <c r="S4" s="204" t="s">
        <v>27</v>
      </c>
      <c r="T4" s="204" t="s">
        <v>28</v>
      </c>
      <c r="U4" s="204" t="s">
        <v>27</v>
      </c>
      <c r="V4" s="204" t="s">
        <v>28</v>
      </c>
      <c r="W4" s="204" t="s">
        <v>27</v>
      </c>
      <c r="X4" s="204" t="s">
        <v>28</v>
      </c>
      <c r="Y4" s="204" t="s">
        <v>27</v>
      </c>
      <c r="Z4" s="204" t="s">
        <v>28</v>
      </c>
      <c r="AA4" s="204" t="s">
        <v>27</v>
      </c>
      <c r="AB4" s="204" t="s">
        <v>28</v>
      </c>
      <c r="AC4" s="204" t="s">
        <v>27</v>
      </c>
      <c r="AD4" s="204" t="s">
        <v>28</v>
      </c>
      <c r="AE4" s="204" t="s">
        <v>27</v>
      </c>
      <c r="AF4" s="204" t="s">
        <v>28</v>
      </c>
      <c r="AG4" s="204" t="s">
        <v>27</v>
      </c>
      <c r="AH4" s="204" t="s">
        <v>28</v>
      </c>
      <c r="AI4" s="204" t="s">
        <v>27</v>
      </c>
      <c r="AJ4" s="204" t="s">
        <v>28</v>
      </c>
      <c r="AK4" s="204" t="s">
        <v>27</v>
      </c>
      <c r="AL4" s="204" t="s">
        <v>28</v>
      </c>
      <c r="AM4" s="204" t="s">
        <v>27</v>
      </c>
      <c r="AN4" s="204" t="s">
        <v>28</v>
      </c>
      <c r="AO4" s="87" t="s">
        <v>27</v>
      </c>
      <c r="AP4" s="87" t="s">
        <v>28</v>
      </c>
      <c r="AQ4" s="87" t="s">
        <v>27</v>
      </c>
      <c r="AR4" s="87" t="s">
        <v>28</v>
      </c>
      <c r="AS4" s="87" t="s">
        <v>27</v>
      </c>
      <c r="AT4" s="87" t="s">
        <v>28</v>
      </c>
      <c r="AU4" s="87" t="s">
        <v>27</v>
      </c>
      <c r="AV4" s="87" t="s">
        <v>28</v>
      </c>
      <c r="AW4" s="87" t="s">
        <v>27</v>
      </c>
      <c r="AX4" s="87" t="s">
        <v>28</v>
      </c>
      <c r="AY4" s="87" t="s">
        <v>27</v>
      </c>
      <c r="AZ4" s="87" t="s">
        <v>28</v>
      </c>
      <c r="BA4" s="87" t="s">
        <v>27</v>
      </c>
      <c r="BB4" s="87" t="s">
        <v>28</v>
      </c>
      <c r="BC4" s="87" t="s">
        <v>27</v>
      </c>
      <c r="BD4" s="87" t="s">
        <v>28</v>
      </c>
      <c r="BE4" s="87" t="s">
        <v>27</v>
      </c>
      <c r="BF4" s="87" t="s">
        <v>28</v>
      </c>
      <c r="BG4" s="87" t="s">
        <v>27</v>
      </c>
      <c r="BH4" s="87" t="s">
        <v>28</v>
      </c>
      <c r="BI4" s="87" t="s">
        <v>27</v>
      </c>
      <c r="BJ4" s="87" t="s">
        <v>28</v>
      </c>
      <c r="BK4" s="87" t="s">
        <v>27</v>
      </c>
      <c r="BL4" s="87" t="s">
        <v>28</v>
      </c>
      <c r="BM4" s="87" t="s">
        <v>27</v>
      </c>
      <c r="BN4" s="87" t="s">
        <v>28</v>
      </c>
      <c r="BO4" s="87" t="s">
        <v>27</v>
      </c>
      <c r="BP4" s="87" t="s">
        <v>28</v>
      </c>
      <c r="BQ4" s="87" t="s">
        <v>27</v>
      </c>
      <c r="BR4" s="87" t="s">
        <v>28</v>
      </c>
      <c r="BS4" s="87" t="s">
        <v>27</v>
      </c>
      <c r="BT4" s="87" t="s">
        <v>28</v>
      </c>
      <c r="BU4" s="87" t="s">
        <v>27</v>
      </c>
      <c r="BV4" s="87" t="s">
        <v>28</v>
      </c>
      <c r="BW4" s="87" t="s">
        <v>27</v>
      </c>
      <c r="BX4" s="87" t="s">
        <v>28</v>
      </c>
      <c r="BY4" s="87" t="s">
        <v>27</v>
      </c>
      <c r="BZ4" s="87" t="s">
        <v>28</v>
      </c>
      <c r="CB4" s="370" t="s">
        <v>27</v>
      </c>
      <c r="CC4" s="370" t="s">
        <v>28</v>
      </c>
    </row>
    <row r="5" spans="1:81" s="205" customFormat="1">
      <c r="B5" s="314">
        <f>'P &amp; NP'!WO11</f>
        <v>3994041159.9863362</v>
      </c>
      <c r="C5" s="204" t="s">
        <v>29</v>
      </c>
      <c r="D5" s="204" t="s">
        <v>30</v>
      </c>
      <c r="E5" s="204" t="s">
        <v>29</v>
      </c>
      <c r="F5" s="204" t="s">
        <v>30</v>
      </c>
      <c r="G5" s="204" t="s">
        <v>29</v>
      </c>
      <c r="H5" s="204" t="s">
        <v>30</v>
      </c>
      <c r="I5" s="204" t="s">
        <v>29</v>
      </c>
      <c r="J5" s="204" t="s">
        <v>30</v>
      </c>
      <c r="K5" s="204" t="s">
        <v>29</v>
      </c>
      <c r="L5" s="204" t="s">
        <v>30</v>
      </c>
      <c r="M5" s="204" t="s">
        <v>29</v>
      </c>
      <c r="N5" s="204" t="s">
        <v>30</v>
      </c>
      <c r="O5" s="204" t="s">
        <v>29</v>
      </c>
      <c r="P5" s="204" t="s">
        <v>30</v>
      </c>
      <c r="Q5" s="204" t="s">
        <v>29</v>
      </c>
      <c r="R5" s="204" t="s">
        <v>30</v>
      </c>
      <c r="S5" s="204" t="s">
        <v>29</v>
      </c>
      <c r="T5" s="204" t="s">
        <v>30</v>
      </c>
      <c r="U5" s="204" t="s">
        <v>29</v>
      </c>
      <c r="V5" s="204" t="s">
        <v>30</v>
      </c>
      <c r="W5" s="204" t="s">
        <v>29</v>
      </c>
      <c r="X5" s="204" t="s">
        <v>30</v>
      </c>
      <c r="Y5" s="204" t="s">
        <v>29</v>
      </c>
      <c r="Z5" s="204" t="s">
        <v>30</v>
      </c>
      <c r="AA5" s="204" t="s">
        <v>29</v>
      </c>
      <c r="AB5" s="204" t="s">
        <v>30</v>
      </c>
      <c r="AC5" s="204" t="s">
        <v>29</v>
      </c>
      <c r="AD5" s="204" t="s">
        <v>30</v>
      </c>
      <c r="AE5" s="204" t="s">
        <v>29</v>
      </c>
      <c r="AF5" s="204" t="s">
        <v>30</v>
      </c>
      <c r="AG5" s="204" t="s">
        <v>29</v>
      </c>
      <c r="AH5" s="204" t="s">
        <v>30</v>
      </c>
      <c r="AI5" s="204" t="s">
        <v>29</v>
      </c>
      <c r="AJ5" s="204" t="s">
        <v>30</v>
      </c>
      <c r="AK5" s="204" t="s">
        <v>29</v>
      </c>
      <c r="AL5" s="204" t="s">
        <v>30</v>
      </c>
      <c r="AM5" s="204" t="s">
        <v>29</v>
      </c>
      <c r="AN5" s="204" t="s">
        <v>30</v>
      </c>
      <c r="AO5" s="87" t="s">
        <v>29</v>
      </c>
      <c r="AP5" s="87" t="s">
        <v>30</v>
      </c>
      <c r="AQ5" s="87" t="s">
        <v>29</v>
      </c>
      <c r="AR5" s="87" t="s">
        <v>30</v>
      </c>
      <c r="AS5" s="87" t="s">
        <v>29</v>
      </c>
      <c r="AT5" s="87" t="s">
        <v>30</v>
      </c>
      <c r="AU5" s="87" t="s">
        <v>29</v>
      </c>
      <c r="AV5" s="87" t="s">
        <v>30</v>
      </c>
      <c r="AW5" s="87" t="s">
        <v>29</v>
      </c>
      <c r="AX5" s="87" t="s">
        <v>30</v>
      </c>
      <c r="AY5" s="87" t="s">
        <v>29</v>
      </c>
      <c r="AZ5" s="87" t="s">
        <v>30</v>
      </c>
      <c r="BA5" s="87" t="s">
        <v>29</v>
      </c>
      <c r="BB5" s="87" t="s">
        <v>30</v>
      </c>
      <c r="BC5" s="87" t="s">
        <v>29</v>
      </c>
      <c r="BD5" s="87" t="s">
        <v>30</v>
      </c>
      <c r="BE5" s="87" t="s">
        <v>29</v>
      </c>
      <c r="BF5" s="87" t="s">
        <v>30</v>
      </c>
      <c r="BG5" s="87" t="s">
        <v>29</v>
      </c>
      <c r="BH5" s="87" t="s">
        <v>30</v>
      </c>
      <c r="BI5" s="87" t="s">
        <v>29</v>
      </c>
      <c r="BJ5" s="87" t="s">
        <v>30</v>
      </c>
      <c r="BK5" s="87" t="s">
        <v>29</v>
      </c>
      <c r="BL5" s="87" t="s">
        <v>30</v>
      </c>
      <c r="BM5" s="87" t="s">
        <v>29</v>
      </c>
      <c r="BN5" s="87" t="s">
        <v>30</v>
      </c>
      <c r="BO5" s="87" t="s">
        <v>29</v>
      </c>
      <c r="BP5" s="87" t="s">
        <v>30</v>
      </c>
      <c r="BQ5" s="87" t="s">
        <v>29</v>
      </c>
      <c r="BR5" s="87" t="s">
        <v>30</v>
      </c>
      <c r="BS5" s="87" t="s">
        <v>29</v>
      </c>
      <c r="BT5" s="87" t="s">
        <v>30</v>
      </c>
      <c r="BU5" s="87" t="s">
        <v>29</v>
      </c>
      <c r="BV5" s="87" t="s">
        <v>30</v>
      </c>
      <c r="BW5" s="87" t="s">
        <v>29</v>
      </c>
      <c r="BX5" s="87" t="s">
        <v>30</v>
      </c>
      <c r="BY5" s="87" t="s">
        <v>29</v>
      </c>
      <c r="BZ5" s="87" t="s">
        <v>30</v>
      </c>
      <c r="CA5" s="730" t="s">
        <v>233</v>
      </c>
      <c r="CB5" s="731">
        <f>'P &amp; NP'!WN11</f>
        <v>774415158.92607832</v>
      </c>
      <c r="CC5" s="731">
        <f>'P &amp; NP'!WO11</f>
        <v>3994041159.9863362</v>
      </c>
    </row>
    <row r="6" spans="1:81" s="205" customFormat="1" ht="11.5">
      <c r="B6" s="206">
        <f>B5-B4</f>
        <v>0</v>
      </c>
      <c r="C6" s="206"/>
      <c r="D6" s="206"/>
    </row>
    <row r="7" spans="1:81">
      <c r="A7" s="208"/>
      <c r="B7" s="208"/>
      <c r="C7" s="116">
        <f t="shared" ref="C7:AH7" si="0">SUM(C8:C44)</f>
        <v>0</v>
      </c>
      <c r="D7" s="116">
        <f t="shared" si="0"/>
        <v>0</v>
      </c>
      <c r="E7" s="116">
        <f t="shared" si="0"/>
        <v>48260</v>
      </c>
      <c r="F7" s="116">
        <f t="shared" si="0"/>
        <v>5721650</v>
      </c>
      <c r="G7" s="116">
        <f t="shared" si="0"/>
        <v>0</v>
      </c>
      <c r="H7" s="116">
        <f t="shared" si="0"/>
        <v>0</v>
      </c>
      <c r="I7" s="116">
        <f t="shared" si="0"/>
        <v>0</v>
      </c>
      <c r="J7" s="116">
        <f t="shared" si="0"/>
        <v>0</v>
      </c>
      <c r="K7" s="116">
        <f t="shared" si="0"/>
        <v>0</v>
      </c>
      <c r="L7" s="116">
        <f t="shared" si="0"/>
        <v>0</v>
      </c>
      <c r="M7" s="116">
        <f t="shared" si="0"/>
        <v>13740678.926078347</v>
      </c>
      <c r="N7" s="116">
        <f t="shared" si="0"/>
        <v>53413466.486336268</v>
      </c>
      <c r="O7" s="116">
        <f t="shared" si="0"/>
        <v>0</v>
      </c>
      <c r="P7" s="116">
        <f t="shared" si="0"/>
        <v>0</v>
      </c>
      <c r="Q7" s="116">
        <f t="shared" si="0"/>
        <v>0</v>
      </c>
      <c r="R7" s="116">
        <f t="shared" si="0"/>
        <v>0</v>
      </c>
      <c r="S7" s="116">
        <f t="shared" si="0"/>
        <v>0</v>
      </c>
      <c r="T7" s="116">
        <f t="shared" si="0"/>
        <v>0</v>
      </c>
      <c r="U7" s="116">
        <f t="shared" si="0"/>
        <v>0</v>
      </c>
      <c r="V7" s="116">
        <f t="shared" si="0"/>
        <v>0</v>
      </c>
      <c r="W7" s="116">
        <f t="shared" si="0"/>
        <v>0</v>
      </c>
      <c r="X7" s="116">
        <f t="shared" si="0"/>
        <v>0</v>
      </c>
      <c r="Y7" s="116">
        <f t="shared" si="0"/>
        <v>0</v>
      </c>
      <c r="Z7" s="116">
        <f t="shared" si="0"/>
        <v>0</v>
      </c>
      <c r="AA7" s="116">
        <f t="shared" si="0"/>
        <v>0</v>
      </c>
      <c r="AB7" s="116">
        <f t="shared" si="0"/>
        <v>0</v>
      </c>
      <c r="AC7" s="116">
        <f t="shared" si="0"/>
        <v>0</v>
      </c>
      <c r="AD7" s="116">
        <f t="shared" si="0"/>
        <v>0</v>
      </c>
      <c r="AE7" s="116">
        <f t="shared" si="0"/>
        <v>0</v>
      </c>
      <c r="AF7" s="116">
        <f t="shared" si="0"/>
        <v>0</v>
      </c>
      <c r="AG7" s="116">
        <f t="shared" si="0"/>
        <v>0</v>
      </c>
      <c r="AH7" s="116">
        <f t="shared" si="0"/>
        <v>0</v>
      </c>
      <c r="AI7" s="116">
        <f t="shared" ref="AI7:BN7" si="1">SUM(AI8:AI44)</f>
        <v>0</v>
      </c>
      <c r="AJ7" s="116">
        <f t="shared" si="1"/>
        <v>0</v>
      </c>
      <c r="AK7" s="116">
        <f t="shared" si="1"/>
        <v>0</v>
      </c>
      <c r="AL7" s="116">
        <f t="shared" si="1"/>
        <v>0</v>
      </c>
      <c r="AM7" s="116">
        <f t="shared" si="1"/>
        <v>0</v>
      </c>
      <c r="AN7" s="116">
        <f t="shared" si="1"/>
        <v>0</v>
      </c>
      <c r="AO7" s="116">
        <f t="shared" si="1"/>
        <v>0</v>
      </c>
      <c r="AP7" s="116">
        <f t="shared" si="1"/>
        <v>0</v>
      </c>
      <c r="AQ7" s="116">
        <f t="shared" si="1"/>
        <v>0</v>
      </c>
      <c r="AR7" s="116">
        <f t="shared" si="1"/>
        <v>0</v>
      </c>
      <c r="AS7" s="116">
        <f t="shared" si="1"/>
        <v>435150</v>
      </c>
      <c r="AT7" s="116">
        <f t="shared" si="1"/>
        <v>36987750</v>
      </c>
      <c r="AU7" s="116">
        <f t="shared" si="1"/>
        <v>0</v>
      </c>
      <c r="AV7" s="116">
        <f t="shared" si="1"/>
        <v>0</v>
      </c>
      <c r="AW7" s="116">
        <f t="shared" si="1"/>
        <v>0</v>
      </c>
      <c r="AX7" s="116">
        <f t="shared" si="1"/>
        <v>0</v>
      </c>
      <c r="AY7" s="116">
        <f t="shared" si="1"/>
        <v>59275</v>
      </c>
      <c r="AZ7" s="116">
        <f t="shared" si="1"/>
        <v>1977950</v>
      </c>
      <c r="BA7" s="116">
        <f t="shared" si="1"/>
        <v>760127186</v>
      </c>
      <c r="BB7" s="116">
        <f t="shared" si="1"/>
        <v>3895512472</v>
      </c>
      <c r="BC7" s="116">
        <f t="shared" si="1"/>
        <v>2009</v>
      </c>
      <c r="BD7" s="116">
        <f t="shared" si="1"/>
        <v>150921.5</v>
      </c>
      <c r="BE7" s="116">
        <f t="shared" si="1"/>
        <v>2600</v>
      </c>
      <c r="BF7" s="116">
        <f t="shared" si="1"/>
        <v>276950</v>
      </c>
      <c r="BG7" s="116">
        <f t="shared" si="1"/>
        <v>0</v>
      </c>
      <c r="BH7" s="116">
        <f t="shared" si="1"/>
        <v>0</v>
      </c>
      <c r="BI7" s="116">
        <f t="shared" si="1"/>
        <v>0</v>
      </c>
      <c r="BJ7" s="116">
        <f t="shared" si="1"/>
        <v>0</v>
      </c>
      <c r="BK7" s="116">
        <f t="shared" si="1"/>
        <v>0</v>
      </c>
      <c r="BL7" s="116">
        <f t="shared" si="1"/>
        <v>0</v>
      </c>
      <c r="BM7" s="116">
        <f t="shared" si="1"/>
        <v>0</v>
      </c>
      <c r="BN7" s="116">
        <f t="shared" si="1"/>
        <v>0</v>
      </c>
      <c r="BO7" s="116">
        <f t="shared" ref="BO7:BZ7" si="2">SUM(BO8:BO44)</f>
        <v>0</v>
      </c>
      <c r="BP7" s="116">
        <f t="shared" si="2"/>
        <v>0</v>
      </c>
      <c r="BQ7" s="116">
        <f t="shared" si="2"/>
        <v>0</v>
      </c>
      <c r="BR7" s="116">
        <f t="shared" si="2"/>
        <v>0</v>
      </c>
      <c r="BS7" s="116">
        <f t="shared" si="2"/>
        <v>0</v>
      </c>
      <c r="BT7" s="116">
        <f t="shared" si="2"/>
        <v>0</v>
      </c>
      <c r="BU7" s="116">
        <f t="shared" si="2"/>
        <v>0</v>
      </c>
      <c r="BV7" s="116">
        <f t="shared" si="2"/>
        <v>0</v>
      </c>
      <c r="BW7" s="116">
        <f t="shared" si="2"/>
        <v>0</v>
      </c>
      <c r="BX7" s="116">
        <f t="shared" si="2"/>
        <v>0</v>
      </c>
      <c r="BY7" s="116">
        <f t="shared" si="2"/>
        <v>0</v>
      </c>
      <c r="BZ7" s="116">
        <f t="shared" si="2"/>
        <v>0</v>
      </c>
      <c r="CB7" s="209">
        <f>SUM(CB8:CB44)</f>
        <v>774415158.92607832</v>
      </c>
      <c r="CC7" s="209">
        <f>SUM(CC8:CC44)</f>
        <v>3994041159.9863362</v>
      </c>
    </row>
    <row r="8" spans="1:81">
      <c r="B8" s="207" t="str">
        <f>'P &amp; NP'!B14</f>
        <v xml:space="preserve">Bandeng </v>
      </c>
      <c r="C8" s="116">
        <f>'P &amp; NP'!C485</f>
        <v>0</v>
      </c>
      <c r="D8" s="116">
        <f>'P &amp; NP'!D485</f>
        <v>0</v>
      </c>
      <c r="E8" s="116">
        <f>'P &amp; NP'!S485</f>
        <v>0</v>
      </c>
      <c r="F8" s="116">
        <f>'P &amp; NP'!T485</f>
        <v>0</v>
      </c>
      <c r="G8" s="116">
        <f>'P &amp; NP'!AI485</f>
        <v>0</v>
      </c>
      <c r="H8" s="116">
        <f>'P &amp; NP'!AJ485</f>
        <v>0</v>
      </c>
      <c r="I8" s="116">
        <f>'P &amp; NP'!AY485</f>
        <v>0</v>
      </c>
      <c r="J8" s="116">
        <f>'P &amp; NP'!AZ485</f>
        <v>0</v>
      </c>
      <c r="K8" s="116">
        <f>'P &amp; NP'!BO485</f>
        <v>0</v>
      </c>
      <c r="L8" s="116">
        <f>'P &amp; NP'!BP485</f>
        <v>0</v>
      </c>
      <c r="M8" s="116">
        <f>'P &amp; NP'!CE485</f>
        <v>0</v>
      </c>
      <c r="N8" s="116">
        <f>'P &amp; NP'!CF485</f>
        <v>0</v>
      </c>
      <c r="O8" s="116">
        <f>'P &amp; NP'!CU485</f>
        <v>0</v>
      </c>
      <c r="P8" s="116">
        <f>'P &amp; NP'!CV485</f>
        <v>0</v>
      </c>
      <c r="Q8" s="116">
        <f>'P &amp; NP'!DK485</f>
        <v>0</v>
      </c>
      <c r="R8" s="116">
        <f>'P &amp; NP'!DL485</f>
        <v>0</v>
      </c>
      <c r="S8" s="116">
        <f>'P &amp; NP'!EA485</f>
        <v>0</v>
      </c>
      <c r="T8" s="116">
        <f>'P &amp; NP'!EB485</f>
        <v>0</v>
      </c>
      <c r="U8" s="116">
        <f>'P &amp; NP'!EQ485</f>
        <v>0</v>
      </c>
      <c r="V8" s="116">
        <f>'P &amp; NP'!ER485</f>
        <v>0</v>
      </c>
      <c r="W8" s="116">
        <f>'P &amp; NP'!FG485</f>
        <v>0</v>
      </c>
      <c r="X8" s="116">
        <f>'P &amp; NP'!FH485</f>
        <v>0</v>
      </c>
      <c r="Y8" s="116">
        <f>'P &amp; NP'!FW485</f>
        <v>0</v>
      </c>
      <c r="Z8" s="116">
        <f>'P &amp; NP'!FX485</f>
        <v>0</v>
      </c>
      <c r="AA8" s="116">
        <f>'P &amp; NP'!GM485</f>
        <v>0</v>
      </c>
      <c r="AB8" s="116">
        <f>'P &amp; NP'!GN485</f>
        <v>0</v>
      </c>
      <c r="AC8" s="116">
        <f>'P &amp; NP'!HC485</f>
        <v>0</v>
      </c>
      <c r="AD8" s="116">
        <f>'P &amp; NP'!HD485</f>
        <v>0</v>
      </c>
      <c r="AE8" s="116">
        <f>'P &amp; NP'!HS485</f>
        <v>0</v>
      </c>
      <c r="AF8" s="116">
        <f>'P &amp; NP'!HT485</f>
        <v>0</v>
      </c>
      <c r="AG8" s="116">
        <f>'P &amp; NP'!II485</f>
        <v>0</v>
      </c>
      <c r="AH8" s="116">
        <f>'P &amp; NP'!IJ485</f>
        <v>0</v>
      </c>
      <c r="AI8" s="116">
        <f>'P &amp; NP'!IY485</f>
        <v>0</v>
      </c>
      <c r="AJ8" s="116">
        <f>'P &amp; NP'!IZ485</f>
        <v>0</v>
      </c>
      <c r="AK8" s="116">
        <f>'P &amp; NP'!JO485</f>
        <v>0</v>
      </c>
      <c r="AL8" s="116">
        <f>'P &amp; NP'!JP485</f>
        <v>0</v>
      </c>
      <c r="AM8" s="116">
        <f>'P &amp; NP'!KE485</f>
        <v>0</v>
      </c>
      <c r="AN8" s="116">
        <f>'P &amp; NP'!KF485</f>
        <v>0</v>
      </c>
      <c r="AO8" s="116">
        <f>'P &amp; NP'!KU485</f>
        <v>0</v>
      </c>
      <c r="AP8" s="116">
        <f>'P &amp; NP'!KV485</f>
        <v>0</v>
      </c>
      <c r="AQ8" s="116">
        <f>'P &amp; NP'!LK485</f>
        <v>0</v>
      </c>
      <c r="AR8" s="116">
        <f>'P &amp; NP'!LL485</f>
        <v>0</v>
      </c>
      <c r="AS8" s="116">
        <f>'P &amp; NP'!MA485</f>
        <v>0</v>
      </c>
      <c r="AT8" s="116">
        <f>'P &amp; NP'!MB485</f>
        <v>0</v>
      </c>
      <c r="AU8" s="116">
        <f>'P &amp; NP'!MQ485</f>
        <v>0</v>
      </c>
      <c r="AV8" s="116">
        <f>'P &amp; NP'!MR485</f>
        <v>0</v>
      </c>
      <c r="AW8" s="116">
        <f>'P &amp; NP'!NG485</f>
        <v>0</v>
      </c>
      <c r="AX8" s="116">
        <f>'P &amp; NP'!NH485</f>
        <v>0</v>
      </c>
      <c r="AY8" s="116">
        <f>'P &amp; NP'!NW485</f>
        <v>1310</v>
      </c>
      <c r="AZ8" s="116">
        <f>'P &amp; NP'!NX485</f>
        <v>82950</v>
      </c>
      <c r="BA8" s="116">
        <f>'P &amp; NP'!OM485</f>
        <v>0</v>
      </c>
      <c r="BB8" s="116">
        <f>'P &amp; NP'!ON485</f>
        <v>0</v>
      </c>
      <c r="BC8" s="116">
        <f>'P &amp; NP'!PC485</f>
        <v>0</v>
      </c>
      <c r="BD8" s="116">
        <f>'P &amp; NP'!PD485</f>
        <v>0</v>
      </c>
      <c r="BE8" s="116">
        <f>'P &amp; NP'!PS485</f>
        <v>0</v>
      </c>
      <c r="BF8" s="116">
        <f>'P &amp; NP'!PT485</f>
        <v>0</v>
      </c>
      <c r="BG8" s="116">
        <f>'P &amp; NP'!QI485</f>
        <v>0</v>
      </c>
      <c r="BH8" s="116">
        <f>'P &amp; NP'!QJ485</f>
        <v>0</v>
      </c>
      <c r="BI8" s="116">
        <f>'P &amp; NP'!QY485</f>
        <v>0</v>
      </c>
      <c r="BJ8" s="116">
        <f>'P &amp; NP'!QZ485</f>
        <v>0</v>
      </c>
      <c r="BK8" s="116">
        <f>'P &amp; NP'!RO485</f>
        <v>0</v>
      </c>
      <c r="BL8" s="116">
        <f>'P &amp; NP'!RP485</f>
        <v>0</v>
      </c>
      <c r="BM8" s="116">
        <f>'P &amp; NP'!SE485</f>
        <v>0</v>
      </c>
      <c r="BN8" s="116">
        <f>'P &amp; NP'!SF485</f>
        <v>0</v>
      </c>
      <c r="BO8" s="116">
        <f>'P &amp; NP'!SU485</f>
        <v>0</v>
      </c>
      <c r="BP8" s="116">
        <f>'P &amp; NP'!SV485</f>
        <v>0</v>
      </c>
      <c r="BQ8" s="116">
        <f>'P &amp; NP'!TK485</f>
        <v>0</v>
      </c>
      <c r="BR8" s="116">
        <f>'P &amp; NP'!TL485</f>
        <v>0</v>
      </c>
      <c r="BS8" s="116">
        <f>'P &amp; NP'!UA485</f>
        <v>0</v>
      </c>
      <c r="BT8" s="116">
        <f>'P &amp; NP'!UB485</f>
        <v>0</v>
      </c>
      <c r="BU8" s="116">
        <f>'P &amp; NP'!UQ485</f>
        <v>0</v>
      </c>
      <c r="BV8" s="116">
        <f>'P &amp; NP'!UR485</f>
        <v>0</v>
      </c>
      <c r="BW8" s="116">
        <f>'P &amp; NP'!VG485</f>
        <v>0</v>
      </c>
      <c r="BX8" s="116">
        <f>'P &amp; NP'!VH485</f>
        <v>0</v>
      </c>
      <c r="BY8" s="116">
        <f>'P &amp; NP'!VW485</f>
        <v>0</v>
      </c>
      <c r="BZ8" s="116">
        <f>'P &amp; NP'!VX485</f>
        <v>0</v>
      </c>
      <c r="CB8" s="206">
        <f>SUMIF($C$4:$BZ$4,$CB$4,C8:BZ8)</f>
        <v>1310</v>
      </c>
      <c r="CC8" s="206">
        <f>SUMIF($C$4:$BZ$4,$CC$4,C8:BZ8)</f>
        <v>82950</v>
      </c>
    </row>
    <row r="9" spans="1:81">
      <c r="B9" s="207" t="str">
        <f>'P &amp; NP'!B15</f>
        <v xml:space="preserve">Bawal </v>
      </c>
      <c r="C9" s="116">
        <f>'P &amp; NP'!C486</f>
        <v>0</v>
      </c>
      <c r="D9" s="116">
        <f>'P &amp; NP'!D486</f>
        <v>0</v>
      </c>
      <c r="E9" s="116">
        <f>'P &amp; NP'!S486</f>
        <v>0</v>
      </c>
      <c r="F9" s="116">
        <f>'P &amp; NP'!T486</f>
        <v>0</v>
      </c>
      <c r="G9" s="116">
        <f>'P &amp; NP'!AI486</f>
        <v>0</v>
      </c>
      <c r="H9" s="116">
        <f>'P &amp; NP'!AJ486</f>
        <v>0</v>
      </c>
      <c r="I9" s="116">
        <f>'P &amp; NP'!AY486</f>
        <v>0</v>
      </c>
      <c r="J9" s="116">
        <f>'P &amp; NP'!AZ486</f>
        <v>0</v>
      </c>
      <c r="K9" s="116">
        <f>'P &amp; NP'!BO486</f>
        <v>0</v>
      </c>
      <c r="L9" s="116">
        <f>'P &amp; NP'!BP486</f>
        <v>0</v>
      </c>
      <c r="M9" s="116">
        <f>'P &amp; NP'!CE486</f>
        <v>0</v>
      </c>
      <c r="N9" s="116">
        <f>'P &amp; NP'!CF486</f>
        <v>0</v>
      </c>
      <c r="O9" s="116">
        <f>'P &amp; NP'!CU486</f>
        <v>0</v>
      </c>
      <c r="P9" s="116">
        <f>'P &amp; NP'!CV486</f>
        <v>0</v>
      </c>
      <c r="Q9" s="116">
        <f>'P &amp; NP'!DK486</f>
        <v>0</v>
      </c>
      <c r="R9" s="116">
        <f>'P &amp; NP'!DL486</f>
        <v>0</v>
      </c>
      <c r="S9" s="116">
        <f>'P &amp; NP'!EA486</f>
        <v>0</v>
      </c>
      <c r="T9" s="116">
        <f>'P &amp; NP'!EB486</f>
        <v>0</v>
      </c>
      <c r="U9" s="116">
        <f>'P &amp; NP'!EQ486</f>
        <v>0</v>
      </c>
      <c r="V9" s="116">
        <f>'P &amp; NP'!ER486</f>
        <v>0</v>
      </c>
      <c r="W9" s="116">
        <f>'P &amp; NP'!FG486</f>
        <v>0</v>
      </c>
      <c r="X9" s="116">
        <f>'P &amp; NP'!FH486</f>
        <v>0</v>
      </c>
      <c r="Y9" s="116">
        <f>'P &amp; NP'!FW486</f>
        <v>0</v>
      </c>
      <c r="Z9" s="116">
        <f>'P &amp; NP'!FX486</f>
        <v>0</v>
      </c>
      <c r="AA9" s="116">
        <f>'P &amp; NP'!GM486</f>
        <v>0</v>
      </c>
      <c r="AB9" s="116">
        <f>'P &amp; NP'!GN486</f>
        <v>0</v>
      </c>
      <c r="AC9" s="116">
        <f>'P &amp; NP'!HC486</f>
        <v>0</v>
      </c>
      <c r="AD9" s="116">
        <f>'P &amp; NP'!HD486</f>
        <v>0</v>
      </c>
      <c r="AE9" s="116">
        <f>'P &amp; NP'!HS486</f>
        <v>0</v>
      </c>
      <c r="AF9" s="116">
        <f>'P &amp; NP'!HT486</f>
        <v>0</v>
      </c>
      <c r="AG9" s="116">
        <f>'P &amp; NP'!II486</f>
        <v>0</v>
      </c>
      <c r="AH9" s="116">
        <f>'P &amp; NP'!IJ486</f>
        <v>0</v>
      </c>
      <c r="AI9" s="116">
        <f>'P &amp; NP'!IY486</f>
        <v>0</v>
      </c>
      <c r="AJ9" s="116">
        <f>'P &amp; NP'!IZ486</f>
        <v>0</v>
      </c>
      <c r="AK9" s="116">
        <f>'P &amp; NP'!JO486</f>
        <v>0</v>
      </c>
      <c r="AL9" s="116">
        <f>'P &amp; NP'!JP486</f>
        <v>0</v>
      </c>
      <c r="AM9" s="116">
        <f>'P &amp; NP'!KE486</f>
        <v>0</v>
      </c>
      <c r="AN9" s="116">
        <f>'P &amp; NP'!KF486</f>
        <v>0</v>
      </c>
      <c r="AO9" s="116">
        <f>'P &amp; NP'!KU486</f>
        <v>0</v>
      </c>
      <c r="AP9" s="116">
        <f>'P &amp; NP'!KV486</f>
        <v>0</v>
      </c>
      <c r="AQ9" s="116">
        <f>'P &amp; NP'!LK486</f>
        <v>0</v>
      </c>
      <c r="AR9" s="116">
        <f>'P &amp; NP'!LL486</f>
        <v>0</v>
      </c>
      <c r="AS9" s="116">
        <f>'P &amp; NP'!MA486</f>
        <v>0</v>
      </c>
      <c r="AT9" s="116">
        <f>'P &amp; NP'!MB486</f>
        <v>0</v>
      </c>
      <c r="AU9" s="116">
        <f>'P &amp; NP'!MQ486</f>
        <v>0</v>
      </c>
      <c r="AV9" s="116">
        <f>'P &amp; NP'!MR486</f>
        <v>0</v>
      </c>
      <c r="AW9" s="116">
        <f>'P &amp; NP'!NG486</f>
        <v>0</v>
      </c>
      <c r="AX9" s="116">
        <f>'P &amp; NP'!NH486</f>
        <v>0</v>
      </c>
      <c r="AY9" s="116">
        <f>'P &amp; NP'!NW486</f>
        <v>0</v>
      </c>
      <c r="AZ9" s="116">
        <f>'P &amp; NP'!NX486</f>
        <v>0</v>
      </c>
      <c r="BA9" s="116">
        <f>'P &amp; NP'!OM486</f>
        <v>0</v>
      </c>
      <c r="BB9" s="116">
        <f>'P &amp; NP'!ON486</f>
        <v>0</v>
      </c>
      <c r="BC9" s="116">
        <f>'P &amp; NP'!PC486</f>
        <v>0</v>
      </c>
      <c r="BD9" s="116">
        <f>'P &amp; NP'!PD486</f>
        <v>0</v>
      </c>
      <c r="BE9" s="116">
        <f>'P &amp; NP'!PS486</f>
        <v>0</v>
      </c>
      <c r="BF9" s="116">
        <f>'P &amp; NP'!PT486</f>
        <v>0</v>
      </c>
      <c r="BG9" s="116">
        <f>'P &amp; NP'!QI486</f>
        <v>0</v>
      </c>
      <c r="BH9" s="116">
        <f>'P &amp; NP'!QJ486</f>
        <v>0</v>
      </c>
      <c r="BI9" s="116">
        <f>'P &amp; NP'!QY486</f>
        <v>0</v>
      </c>
      <c r="BJ9" s="116">
        <f>'P &amp; NP'!QZ486</f>
        <v>0</v>
      </c>
      <c r="BK9" s="116">
        <f>'P &amp; NP'!RO486</f>
        <v>0</v>
      </c>
      <c r="BL9" s="116">
        <f>'P &amp; NP'!RP486</f>
        <v>0</v>
      </c>
      <c r="BM9" s="116">
        <f>'P &amp; NP'!SE486</f>
        <v>0</v>
      </c>
      <c r="BN9" s="116">
        <f>'P &amp; NP'!SF486</f>
        <v>0</v>
      </c>
      <c r="BO9" s="116">
        <f>'P &amp; NP'!SU486</f>
        <v>0</v>
      </c>
      <c r="BP9" s="116">
        <f>'P &amp; NP'!SV486</f>
        <v>0</v>
      </c>
      <c r="BQ9" s="116">
        <f>'P &amp; NP'!TK486</f>
        <v>0</v>
      </c>
      <c r="BR9" s="116">
        <f>'P &amp; NP'!TL486</f>
        <v>0</v>
      </c>
      <c r="BS9" s="116">
        <f>'P &amp; NP'!UA486</f>
        <v>0</v>
      </c>
      <c r="BT9" s="116">
        <f>'P &amp; NP'!UB486</f>
        <v>0</v>
      </c>
      <c r="BU9" s="116">
        <f>'P &amp; NP'!UQ486</f>
        <v>0</v>
      </c>
      <c r="BV9" s="116">
        <f>'P &amp; NP'!UR486</f>
        <v>0</v>
      </c>
      <c r="BW9" s="116">
        <f>'P &amp; NP'!VG486</f>
        <v>0</v>
      </c>
      <c r="BX9" s="116">
        <f>'P &amp; NP'!VH486</f>
        <v>0</v>
      </c>
      <c r="BY9" s="116">
        <f>'P &amp; NP'!VW486</f>
        <v>0</v>
      </c>
      <c r="BZ9" s="116">
        <f>'P &amp; NP'!VX486</f>
        <v>0</v>
      </c>
      <c r="CB9" s="206">
        <f t="shared" ref="CB9:CB34" si="3">SUMIF($C$4:$BZ$4,$CB$4,C9:BZ9)</f>
        <v>0</v>
      </c>
      <c r="CC9" s="206">
        <f t="shared" ref="CC9:CC34" si="4">SUMIF($C$4:$BZ$4,$CC$4,C9:BZ9)</f>
        <v>0</v>
      </c>
    </row>
    <row r="10" spans="1:81">
      <c r="B10" s="207" t="str">
        <f>'P &amp; NP'!B16</f>
        <v xml:space="preserve">Belanak </v>
      </c>
      <c r="C10" s="116">
        <f>'P &amp; NP'!C487</f>
        <v>0</v>
      </c>
      <c r="D10" s="116">
        <f>'P &amp; NP'!D487</f>
        <v>0</v>
      </c>
      <c r="E10" s="116">
        <f>'P &amp; NP'!S487</f>
        <v>0</v>
      </c>
      <c r="F10" s="116">
        <f>'P &amp; NP'!T487</f>
        <v>0</v>
      </c>
      <c r="G10" s="116">
        <f>'P &amp; NP'!AI487</f>
        <v>0</v>
      </c>
      <c r="H10" s="116">
        <f>'P &amp; NP'!AJ487</f>
        <v>0</v>
      </c>
      <c r="I10" s="116">
        <f>'P &amp; NP'!AY487</f>
        <v>0</v>
      </c>
      <c r="J10" s="116">
        <f>'P &amp; NP'!AZ487</f>
        <v>0</v>
      </c>
      <c r="K10" s="116">
        <f>'P &amp; NP'!BO487</f>
        <v>0</v>
      </c>
      <c r="L10" s="116">
        <f>'P &amp; NP'!BP487</f>
        <v>0</v>
      </c>
      <c r="M10" s="116">
        <f>'P &amp; NP'!CE487</f>
        <v>0</v>
      </c>
      <c r="N10" s="116">
        <f>'P &amp; NP'!CF487</f>
        <v>0</v>
      </c>
      <c r="O10" s="116">
        <f>'P &amp; NP'!CU487</f>
        <v>0</v>
      </c>
      <c r="P10" s="116">
        <f>'P &amp; NP'!CV487</f>
        <v>0</v>
      </c>
      <c r="Q10" s="116">
        <f>'P &amp; NP'!DK487</f>
        <v>0</v>
      </c>
      <c r="R10" s="116">
        <f>'P &amp; NP'!DL487</f>
        <v>0</v>
      </c>
      <c r="S10" s="116">
        <f>'P &amp; NP'!EA487</f>
        <v>0</v>
      </c>
      <c r="T10" s="116">
        <f>'P &amp; NP'!EB487</f>
        <v>0</v>
      </c>
      <c r="U10" s="116">
        <f>'P &amp; NP'!EQ487</f>
        <v>0</v>
      </c>
      <c r="V10" s="116">
        <f>'P &amp; NP'!ER487</f>
        <v>0</v>
      </c>
      <c r="W10" s="116">
        <f>'P &amp; NP'!FG487</f>
        <v>0</v>
      </c>
      <c r="X10" s="116">
        <f>'P &amp; NP'!FH487</f>
        <v>0</v>
      </c>
      <c r="Y10" s="116">
        <f>'P &amp; NP'!FW487</f>
        <v>0</v>
      </c>
      <c r="Z10" s="116">
        <f>'P &amp; NP'!FX487</f>
        <v>0</v>
      </c>
      <c r="AA10" s="116">
        <f>'P &amp; NP'!GM487</f>
        <v>0</v>
      </c>
      <c r="AB10" s="116">
        <f>'P &amp; NP'!GN487</f>
        <v>0</v>
      </c>
      <c r="AC10" s="116">
        <f>'P &amp; NP'!HC487</f>
        <v>0</v>
      </c>
      <c r="AD10" s="116">
        <f>'P &amp; NP'!HD487</f>
        <v>0</v>
      </c>
      <c r="AE10" s="116">
        <f>'P &amp; NP'!HS487</f>
        <v>0</v>
      </c>
      <c r="AF10" s="116">
        <f>'P &amp; NP'!HT487</f>
        <v>0</v>
      </c>
      <c r="AG10" s="116">
        <f>'P &amp; NP'!II487</f>
        <v>0</v>
      </c>
      <c r="AH10" s="116">
        <f>'P &amp; NP'!IJ487</f>
        <v>0</v>
      </c>
      <c r="AI10" s="116">
        <f>'P &amp; NP'!IY487</f>
        <v>0</v>
      </c>
      <c r="AJ10" s="116">
        <f>'P &amp; NP'!IZ487</f>
        <v>0</v>
      </c>
      <c r="AK10" s="116">
        <f>'P &amp; NP'!JO487</f>
        <v>0</v>
      </c>
      <c r="AL10" s="116">
        <f>'P &amp; NP'!JP487</f>
        <v>0</v>
      </c>
      <c r="AM10" s="116">
        <f>'P &amp; NP'!KE487</f>
        <v>0</v>
      </c>
      <c r="AN10" s="116">
        <f>'P &amp; NP'!KF487</f>
        <v>0</v>
      </c>
      <c r="AO10" s="116">
        <f>'P &amp; NP'!KU487</f>
        <v>0</v>
      </c>
      <c r="AP10" s="116">
        <f>'P &amp; NP'!KV487</f>
        <v>0</v>
      </c>
      <c r="AQ10" s="116">
        <f>'P &amp; NP'!LK487</f>
        <v>0</v>
      </c>
      <c r="AR10" s="116">
        <f>'P &amp; NP'!LL487</f>
        <v>0</v>
      </c>
      <c r="AS10" s="116">
        <f>'P &amp; NP'!MA487</f>
        <v>0</v>
      </c>
      <c r="AT10" s="116">
        <f>'P &amp; NP'!MB487</f>
        <v>0</v>
      </c>
      <c r="AU10" s="116">
        <f>'P &amp; NP'!MQ487</f>
        <v>0</v>
      </c>
      <c r="AV10" s="116">
        <f>'P &amp; NP'!MR487</f>
        <v>0</v>
      </c>
      <c r="AW10" s="116">
        <f>'P &amp; NP'!NG487</f>
        <v>0</v>
      </c>
      <c r="AX10" s="116">
        <f>'P &amp; NP'!NH487</f>
        <v>0</v>
      </c>
      <c r="AY10" s="116">
        <f>'P &amp; NP'!NW487</f>
        <v>0</v>
      </c>
      <c r="AZ10" s="116">
        <f>'P &amp; NP'!NX487</f>
        <v>0</v>
      </c>
      <c r="BA10" s="116">
        <f>'P &amp; NP'!OM487</f>
        <v>0</v>
      </c>
      <c r="BB10" s="116">
        <f>'P &amp; NP'!ON487</f>
        <v>0</v>
      </c>
      <c r="BC10" s="116">
        <f>'P &amp; NP'!PC487</f>
        <v>0</v>
      </c>
      <c r="BD10" s="116">
        <f>'P &amp; NP'!PD487</f>
        <v>0</v>
      </c>
      <c r="BE10" s="116">
        <f>'P &amp; NP'!PS487</f>
        <v>0</v>
      </c>
      <c r="BF10" s="116">
        <f>'P &amp; NP'!PT487</f>
        <v>0</v>
      </c>
      <c r="BG10" s="116">
        <f>'P &amp; NP'!QI487</f>
        <v>0</v>
      </c>
      <c r="BH10" s="116">
        <f>'P &amp; NP'!QJ487</f>
        <v>0</v>
      </c>
      <c r="BI10" s="116">
        <f>'P &amp; NP'!QY487</f>
        <v>0</v>
      </c>
      <c r="BJ10" s="116">
        <f>'P &amp; NP'!QZ487</f>
        <v>0</v>
      </c>
      <c r="BK10" s="116">
        <f>'P &amp; NP'!RO487</f>
        <v>0</v>
      </c>
      <c r="BL10" s="116">
        <f>'P &amp; NP'!RP487</f>
        <v>0</v>
      </c>
      <c r="BM10" s="116">
        <f>'P &amp; NP'!SE487</f>
        <v>0</v>
      </c>
      <c r="BN10" s="116">
        <f>'P &amp; NP'!SF487</f>
        <v>0</v>
      </c>
      <c r="BO10" s="116">
        <f>'P &amp; NP'!SU487</f>
        <v>0</v>
      </c>
      <c r="BP10" s="116">
        <f>'P &amp; NP'!SV487</f>
        <v>0</v>
      </c>
      <c r="BQ10" s="116">
        <f>'P &amp; NP'!TK487</f>
        <v>0</v>
      </c>
      <c r="BR10" s="116">
        <f>'P &amp; NP'!TL487</f>
        <v>0</v>
      </c>
      <c r="BS10" s="116">
        <f>'P &amp; NP'!UA487</f>
        <v>0</v>
      </c>
      <c r="BT10" s="116">
        <f>'P &amp; NP'!UB487</f>
        <v>0</v>
      </c>
      <c r="BU10" s="116">
        <f>'P &amp; NP'!UQ487</f>
        <v>0</v>
      </c>
      <c r="BV10" s="116">
        <f>'P &amp; NP'!UR487</f>
        <v>0</v>
      </c>
      <c r="BW10" s="116">
        <f>'P &amp; NP'!VG487</f>
        <v>0</v>
      </c>
      <c r="BX10" s="116">
        <f>'P &amp; NP'!VH487</f>
        <v>0</v>
      </c>
      <c r="BY10" s="116">
        <f>'P &amp; NP'!VW487</f>
        <v>0</v>
      </c>
      <c r="BZ10" s="116">
        <f>'P &amp; NP'!VX487</f>
        <v>0</v>
      </c>
      <c r="CB10" s="206">
        <f t="shared" si="3"/>
        <v>0</v>
      </c>
      <c r="CC10" s="206">
        <f t="shared" si="4"/>
        <v>0</v>
      </c>
    </row>
    <row r="11" spans="1:81">
      <c r="B11" s="207" t="str">
        <f>'P &amp; NP'!B17</f>
        <v xml:space="preserve">Eucheuma cottonii </v>
      </c>
      <c r="C11" s="116">
        <f>'P &amp; NP'!C488</f>
        <v>0</v>
      </c>
      <c r="D11" s="116">
        <f>'P &amp; NP'!D488</f>
        <v>0</v>
      </c>
      <c r="E11" s="116">
        <f>'P &amp; NP'!S488</f>
        <v>0</v>
      </c>
      <c r="F11" s="116">
        <f>'P &amp; NP'!T488</f>
        <v>0</v>
      </c>
      <c r="G11" s="116">
        <f>'P &amp; NP'!AI488</f>
        <v>0</v>
      </c>
      <c r="H11" s="116">
        <f>'P &amp; NP'!AJ488</f>
        <v>0</v>
      </c>
      <c r="I11" s="116">
        <f>'P &amp; NP'!AY488</f>
        <v>0</v>
      </c>
      <c r="J11" s="116">
        <f>'P &amp; NP'!AZ488</f>
        <v>0</v>
      </c>
      <c r="K11" s="116">
        <f>'P &amp; NP'!BO488</f>
        <v>0</v>
      </c>
      <c r="L11" s="116">
        <f>'P &amp; NP'!BP488</f>
        <v>0</v>
      </c>
      <c r="M11" s="116">
        <f>'P &amp; NP'!CE488</f>
        <v>0</v>
      </c>
      <c r="N11" s="116">
        <f>'P &amp; NP'!CF488</f>
        <v>0</v>
      </c>
      <c r="O11" s="116">
        <f>'P &amp; NP'!CU488</f>
        <v>0</v>
      </c>
      <c r="P11" s="116">
        <f>'P &amp; NP'!CV488</f>
        <v>0</v>
      </c>
      <c r="Q11" s="116">
        <f>'P &amp; NP'!DK488</f>
        <v>0</v>
      </c>
      <c r="R11" s="116">
        <f>'P &amp; NP'!DL488</f>
        <v>0</v>
      </c>
      <c r="S11" s="116">
        <f>'P &amp; NP'!EA488</f>
        <v>0</v>
      </c>
      <c r="T11" s="116">
        <f>'P &amp; NP'!EB488</f>
        <v>0</v>
      </c>
      <c r="U11" s="116">
        <f>'P &amp; NP'!EQ488</f>
        <v>0</v>
      </c>
      <c r="V11" s="116">
        <f>'P &amp; NP'!ER488</f>
        <v>0</v>
      </c>
      <c r="W11" s="116">
        <f>'P &amp; NP'!FG488</f>
        <v>0</v>
      </c>
      <c r="X11" s="116">
        <f>'P &amp; NP'!FH488</f>
        <v>0</v>
      </c>
      <c r="Y11" s="116">
        <f>'P &amp; NP'!FW488</f>
        <v>0</v>
      </c>
      <c r="Z11" s="116">
        <f>'P &amp; NP'!FX488</f>
        <v>0</v>
      </c>
      <c r="AA11" s="116">
        <f>'P &amp; NP'!GM488</f>
        <v>0</v>
      </c>
      <c r="AB11" s="116">
        <f>'P &amp; NP'!GN488</f>
        <v>0</v>
      </c>
      <c r="AC11" s="116">
        <f>'P &amp; NP'!HC488</f>
        <v>0</v>
      </c>
      <c r="AD11" s="116">
        <f>'P &amp; NP'!HD488</f>
        <v>0</v>
      </c>
      <c r="AE11" s="116">
        <f>'P &amp; NP'!HS488</f>
        <v>0</v>
      </c>
      <c r="AF11" s="116">
        <f>'P &amp; NP'!HT488</f>
        <v>0</v>
      </c>
      <c r="AG11" s="116">
        <f>'P &amp; NP'!II488</f>
        <v>0</v>
      </c>
      <c r="AH11" s="116">
        <f>'P &amp; NP'!IJ488</f>
        <v>0</v>
      </c>
      <c r="AI11" s="116">
        <f>'P &amp; NP'!IY488</f>
        <v>0</v>
      </c>
      <c r="AJ11" s="116">
        <f>'P &amp; NP'!IZ488</f>
        <v>0</v>
      </c>
      <c r="AK11" s="116">
        <f>'P &amp; NP'!JO488</f>
        <v>0</v>
      </c>
      <c r="AL11" s="116">
        <f>'P &amp; NP'!JP488</f>
        <v>0</v>
      </c>
      <c r="AM11" s="116">
        <f>'P &amp; NP'!KE488</f>
        <v>0</v>
      </c>
      <c r="AN11" s="116">
        <f>'P &amp; NP'!KF488</f>
        <v>0</v>
      </c>
      <c r="AO11" s="116">
        <f>'P &amp; NP'!KU488</f>
        <v>0</v>
      </c>
      <c r="AP11" s="116">
        <f>'P &amp; NP'!KV488</f>
        <v>0</v>
      </c>
      <c r="AQ11" s="116">
        <f>'P &amp; NP'!LK488</f>
        <v>0</v>
      </c>
      <c r="AR11" s="116">
        <f>'P &amp; NP'!LL488</f>
        <v>0</v>
      </c>
      <c r="AS11" s="116">
        <f>'P &amp; NP'!MA488</f>
        <v>0</v>
      </c>
      <c r="AT11" s="116">
        <f>'P &amp; NP'!MB488</f>
        <v>0</v>
      </c>
      <c r="AU11" s="116">
        <f>'P &amp; NP'!MQ488</f>
        <v>0</v>
      </c>
      <c r="AV11" s="116">
        <f>'P &amp; NP'!MR488</f>
        <v>0</v>
      </c>
      <c r="AW11" s="116">
        <f>'P &amp; NP'!NG488</f>
        <v>0</v>
      </c>
      <c r="AX11" s="116">
        <f>'P &amp; NP'!NH488</f>
        <v>0</v>
      </c>
      <c r="AY11" s="116">
        <f>'P &amp; NP'!NW488</f>
        <v>46940</v>
      </c>
      <c r="AZ11" s="116">
        <f>'P &amp; NP'!NX488</f>
        <v>218300</v>
      </c>
      <c r="BA11" s="116">
        <f>'P &amp; NP'!OM488</f>
        <v>759835941</v>
      </c>
      <c r="BB11" s="116">
        <f>'P &amp; NP'!ON488</f>
        <v>3814659072</v>
      </c>
      <c r="BC11" s="116">
        <f>'P &amp; NP'!PC488</f>
        <v>0</v>
      </c>
      <c r="BD11" s="116">
        <f>'P &amp; NP'!PD488</f>
        <v>0</v>
      </c>
      <c r="BE11" s="116">
        <f>'P &amp; NP'!PS488</f>
        <v>0</v>
      </c>
      <c r="BF11" s="116">
        <f>'P &amp; NP'!PT488</f>
        <v>0</v>
      </c>
      <c r="BG11" s="116">
        <f>'P &amp; NP'!QI488</f>
        <v>0</v>
      </c>
      <c r="BH11" s="116">
        <f>'P &amp; NP'!QJ488</f>
        <v>0</v>
      </c>
      <c r="BI11" s="116">
        <f>'P &amp; NP'!QY488</f>
        <v>0</v>
      </c>
      <c r="BJ11" s="116">
        <f>'P &amp; NP'!QZ488</f>
        <v>0</v>
      </c>
      <c r="BK11" s="116">
        <f>'P &amp; NP'!RO488</f>
        <v>0</v>
      </c>
      <c r="BL11" s="116">
        <f>'P &amp; NP'!RP488</f>
        <v>0</v>
      </c>
      <c r="BM11" s="116">
        <f>'P &amp; NP'!SE488</f>
        <v>0</v>
      </c>
      <c r="BN11" s="116">
        <f>'P &amp; NP'!SF488</f>
        <v>0</v>
      </c>
      <c r="BO11" s="116">
        <f>'P &amp; NP'!SU488</f>
        <v>0</v>
      </c>
      <c r="BP11" s="116">
        <f>'P &amp; NP'!SV488</f>
        <v>0</v>
      </c>
      <c r="BQ11" s="116">
        <f>'P &amp; NP'!TK488</f>
        <v>0</v>
      </c>
      <c r="BR11" s="116">
        <f>'P &amp; NP'!TL488</f>
        <v>0</v>
      </c>
      <c r="BS11" s="116">
        <f>'P &amp; NP'!UA488</f>
        <v>0</v>
      </c>
      <c r="BT11" s="116">
        <f>'P &amp; NP'!UB488</f>
        <v>0</v>
      </c>
      <c r="BU11" s="116">
        <f>'P &amp; NP'!UQ488</f>
        <v>0</v>
      </c>
      <c r="BV11" s="116">
        <f>'P &amp; NP'!UR488</f>
        <v>0</v>
      </c>
      <c r="BW11" s="116">
        <f>'P &amp; NP'!VG488</f>
        <v>0</v>
      </c>
      <c r="BX11" s="116">
        <f>'P &amp; NP'!VH488</f>
        <v>0</v>
      </c>
      <c r="BY11" s="116">
        <f>'P &amp; NP'!VW488</f>
        <v>0</v>
      </c>
      <c r="BZ11" s="116">
        <f>'P &amp; NP'!VX488</f>
        <v>0</v>
      </c>
      <c r="CB11" s="206">
        <f t="shared" si="3"/>
        <v>759882881</v>
      </c>
      <c r="CC11" s="206">
        <f t="shared" si="4"/>
        <v>3814877372</v>
      </c>
    </row>
    <row r="12" spans="1:81">
      <c r="B12" s="207" t="str">
        <f>'P &amp; NP'!B18</f>
        <v xml:space="preserve">Gabus </v>
      </c>
      <c r="C12" s="116">
        <f>'P &amp; NP'!C489</f>
        <v>0</v>
      </c>
      <c r="D12" s="116">
        <f>'P &amp; NP'!D489</f>
        <v>0</v>
      </c>
      <c r="E12" s="116">
        <f>'P &amp; NP'!S489</f>
        <v>0</v>
      </c>
      <c r="F12" s="116">
        <f>'P &amp; NP'!T489</f>
        <v>0</v>
      </c>
      <c r="G12" s="116">
        <f>'P &amp; NP'!AI489</f>
        <v>0</v>
      </c>
      <c r="H12" s="116">
        <f>'P &amp; NP'!AJ489</f>
        <v>0</v>
      </c>
      <c r="I12" s="116">
        <f>'P &amp; NP'!AY489</f>
        <v>0</v>
      </c>
      <c r="J12" s="116">
        <f>'P &amp; NP'!AZ489</f>
        <v>0</v>
      </c>
      <c r="K12" s="116">
        <f>'P &amp; NP'!BO489</f>
        <v>0</v>
      </c>
      <c r="L12" s="116">
        <f>'P &amp; NP'!BP489</f>
        <v>0</v>
      </c>
      <c r="M12" s="116">
        <f>'P &amp; NP'!CE489</f>
        <v>0</v>
      </c>
      <c r="N12" s="116">
        <f>'P &amp; NP'!CF489</f>
        <v>0</v>
      </c>
      <c r="O12" s="116">
        <f>'P &amp; NP'!CU489</f>
        <v>0</v>
      </c>
      <c r="P12" s="116">
        <f>'P &amp; NP'!CV489</f>
        <v>0</v>
      </c>
      <c r="Q12" s="116">
        <f>'P &amp; NP'!DK489</f>
        <v>0</v>
      </c>
      <c r="R12" s="116">
        <f>'P &amp; NP'!DL489</f>
        <v>0</v>
      </c>
      <c r="S12" s="116">
        <f>'P &amp; NP'!EA489</f>
        <v>0</v>
      </c>
      <c r="T12" s="116">
        <f>'P &amp; NP'!EB489</f>
        <v>0</v>
      </c>
      <c r="U12" s="116">
        <f>'P &amp; NP'!EQ489</f>
        <v>0</v>
      </c>
      <c r="V12" s="116">
        <f>'P &amp; NP'!ER489</f>
        <v>0</v>
      </c>
      <c r="W12" s="116">
        <f>'P &amp; NP'!FG489</f>
        <v>0</v>
      </c>
      <c r="X12" s="116">
        <f>'P &amp; NP'!FH489</f>
        <v>0</v>
      </c>
      <c r="Y12" s="116">
        <f>'P &amp; NP'!FW489</f>
        <v>0</v>
      </c>
      <c r="Z12" s="116">
        <f>'P &amp; NP'!FX489</f>
        <v>0</v>
      </c>
      <c r="AA12" s="116">
        <f>'P &amp; NP'!GM489</f>
        <v>0</v>
      </c>
      <c r="AB12" s="116">
        <f>'P &amp; NP'!GN489</f>
        <v>0</v>
      </c>
      <c r="AC12" s="116">
        <f>'P &amp; NP'!HC489</f>
        <v>0</v>
      </c>
      <c r="AD12" s="116">
        <f>'P &amp; NP'!HD489</f>
        <v>0</v>
      </c>
      <c r="AE12" s="116">
        <f>'P &amp; NP'!HS489</f>
        <v>0</v>
      </c>
      <c r="AF12" s="116">
        <f>'P &amp; NP'!HT489</f>
        <v>0</v>
      </c>
      <c r="AG12" s="116">
        <f>'P &amp; NP'!II489</f>
        <v>0</v>
      </c>
      <c r="AH12" s="116">
        <f>'P &amp; NP'!IJ489</f>
        <v>0</v>
      </c>
      <c r="AI12" s="116">
        <f>'P &amp; NP'!IY489</f>
        <v>0</v>
      </c>
      <c r="AJ12" s="116">
        <f>'P &amp; NP'!IZ489</f>
        <v>0</v>
      </c>
      <c r="AK12" s="116">
        <f>'P &amp; NP'!JO489</f>
        <v>0</v>
      </c>
      <c r="AL12" s="116">
        <f>'P &amp; NP'!JP489</f>
        <v>0</v>
      </c>
      <c r="AM12" s="116">
        <f>'P &amp; NP'!KE489</f>
        <v>0</v>
      </c>
      <c r="AN12" s="116">
        <f>'P &amp; NP'!KF489</f>
        <v>0</v>
      </c>
      <c r="AO12" s="116">
        <f>'P &amp; NP'!KU489</f>
        <v>0</v>
      </c>
      <c r="AP12" s="116">
        <f>'P &amp; NP'!KV489</f>
        <v>0</v>
      </c>
      <c r="AQ12" s="116">
        <f>'P &amp; NP'!LK489</f>
        <v>0</v>
      </c>
      <c r="AR12" s="116">
        <f>'P &amp; NP'!LL489</f>
        <v>0</v>
      </c>
      <c r="AS12" s="116">
        <f>'P &amp; NP'!MA489</f>
        <v>0</v>
      </c>
      <c r="AT12" s="116">
        <f>'P &amp; NP'!MB489</f>
        <v>0</v>
      </c>
      <c r="AU12" s="116">
        <f>'P &amp; NP'!MQ489</f>
        <v>0</v>
      </c>
      <c r="AV12" s="116">
        <f>'P &amp; NP'!MR489</f>
        <v>0</v>
      </c>
      <c r="AW12" s="116">
        <f>'P &amp; NP'!NG489</f>
        <v>0</v>
      </c>
      <c r="AX12" s="116">
        <f>'P &amp; NP'!NH489</f>
        <v>0</v>
      </c>
      <c r="AY12" s="116">
        <f>'P &amp; NP'!NW489</f>
        <v>0</v>
      </c>
      <c r="AZ12" s="116">
        <f>'P &amp; NP'!NX489</f>
        <v>0</v>
      </c>
      <c r="BA12" s="116">
        <f>'P &amp; NP'!OM489</f>
        <v>0</v>
      </c>
      <c r="BB12" s="116">
        <f>'P &amp; NP'!ON489</f>
        <v>0</v>
      </c>
      <c r="BC12" s="116">
        <f>'P &amp; NP'!PC489</f>
        <v>0</v>
      </c>
      <c r="BD12" s="116">
        <f>'P &amp; NP'!PD489</f>
        <v>0</v>
      </c>
      <c r="BE12" s="116">
        <f>'P &amp; NP'!PS489</f>
        <v>0</v>
      </c>
      <c r="BF12" s="116">
        <f>'P &amp; NP'!PT489</f>
        <v>0</v>
      </c>
      <c r="BG12" s="116">
        <f>'P &amp; NP'!QI489</f>
        <v>0</v>
      </c>
      <c r="BH12" s="116">
        <f>'P &amp; NP'!QJ489</f>
        <v>0</v>
      </c>
      <c r="BI12" s="116">
        <f>'P &amp; NP'!QY489</f>
        <v>0</v>
      </c>
      <c r="BJ12" s="116">
        <f>'P &amp; NP'!QZ489</f>
        <v>0</v>
      </c>
      <c r="BK12" s="116">
        <f>'P &amp; NP'!RO489</f>
        <v>0</v>
      </c>
      <c r="BL12" s="116">
        <f>'P &amp; NP'!RP489</f>
        <v>0</v>
      </c>
      <c r="BM12" s="116">
        <f>'P &amp; NP'!SE489</f>
        <v>0</v>
      </c>
      <c r="BN12" s="116">
        <f>'P &amp; NP'!SF489</f>
        <v>0</v>
      </c>
      <c r="BO12" s="116">
        <f>'P &amp; NP'!SU489</f>
        <v>0</v>
      </c>
      <c r="BP12" s="116">
        <f>'P &amp; NP'!SV489</f>
        <v>0</v>
      </c>
      <c r="BQ12" s="116">
        <f>'P &amp; NP'!TK489</f>
        <v>0</v>
      </c>
      <c r="BR12" s="116">
        <f>'P &amp; NP'!TL489</f>
        <v>0</v>
      </c>
      <c r="BS12" s="116">
        <f>'P &amp; NP'!UA489</f>
        <v>0</v>
      </c>
      <c r="BT12" s="116">
        <f>'P &amp; NP'!UB489</f>
        <v>0</v>
      </c>
      <c r="BU12" s="116">
        <f>'P &amp; NP'!UQ489</f>
        <v>0</v>
      </c>
      <c r="BV12" s="116">
        <f>'P &amp; NP'!UR489</f>
        <v>0</v>
      </c>
      <c r="BW12" s="116">
        <f>'P &amp; NP'!VG489</f>
        <v>0</v>
      </c>
      <c r="BX12" s="116">
        <f>'P &amp; NP'!VH489</f>
        <v>0</v>
      </c>
      <c r="BY12" s="116">
        <f>'P &amp; NP'!VW489</f>
        <v>0</v>
      </c>
      <c r="BZ12" s="116">
        <f>'P &amp; NP'!VX489</f>
        <v>0</v>
      </c>
      <c r="CB12" s="206">
        <f t="shared" si="3"/>
        <v>0</v>
      </c>
      <c r="CC12" s="206">
        <f t="shared" si="4"/>
        <v>0</v>
      </c>
    </row>
    <row r="13" spans="1:81">
      <c r="B13" s="207" t="str">
        <f>'P &amp; NP'!B19</f>
        <v xml:space="preserve">Gracilaria verrucosa </v>
      </c>
      <c r="C13" s="116">
        <f>'P &amp; NP'!C490</f>
        <v>0</v>
      </c>
      <c r="D13" s="116">
        <f>'P &amp; NP'!D490</f>
        <v>0</v>
      </c>
      <c r="E13" s="116">
        <f>'P &amp; NP'!S490</f>
        <v>0</v>
      </c>
      <c r="F13" s="116">
        <f>'P &amp; NP'!T490</f>
        <v>0</v>
      </c>
      <c r="G13" s="116">
        <f>'P &amp; NP'!AI490</f>
        <v>0</v>
      </c>
      <c r="H13" s="116">
        <f>'P &amp; NP'!AJ490</f>
        <v>0</v>
      </c>
      <c r="I13" s="116">
        <f>'P &amp; NP'!AY490</f>
        <v>0</v>
      </c>
      <c r="J13" s="116">
        <f>'P &amp; NP'!AZ490</f>
        <v>0</v>
      </c>
      <c r="K13" s="116">
        <f>'P &amp; NP'!BO490</f>
        <v>0</v>
      </c>
      <c r="L13" s="116">
        <f>'P &amp; NP'!BP490</f>
        <v>0</v>
      </c>
      <c r="M13" s="116">
        <f>'P &amp; NP'!CE490</f>
        <v>0</v>
      </c>
      <c r="N13" s="116">
        <f>'P &amp; NP'!CF490</f>
        <v>0</v>
      </c>
      <c r="O13" s="116">
        <f>'P &amp; NP'!CU490</f>
        <v>0</v>
      </c>
      <c r="P13" s="116">
        <f>'P &amp; NP'!CV490</f>
        <v>0</v>
      </c>
      <c r="Q13" s="116">
        <f>'P &amp; NP'!DK490</f>
        <v>0</v>
      </c>
      <c r="R13" s="116">
        <f>'P &amp; NP'!DL490</f>
        <v>0</v>
      </c>
      <c r="S13" s="116">
        <f>'P &amp; NP'!EA490</f>
        <v>0</v>
      </c>
      <c r="T13" s="116">
        <f>'P &amp; NP'!EB490</f>
        <v>0</v>
      </c>
      <c r="U13" s="116">
        <f>'P &amp; NP'!EQ490</f>
        <v>0</v>
      </c>
      <c r="V13" s="116">
        <f>'P &amp; NP'!ER490</f>
        <v>0</v>
      </c>
      <c r="W13" s="116">
        <f>'P &amp; NP'!FG490</f>
        <v>0</v>
      </c>
      <c r="X13" s="116">
        <f>'P &amp; NP'!FH490</f>
        <v>0</v>
      </c>
      <c r="Y13" s="116">
        <f>'P &amp; NP'!FW490</f>
        <v>0</v>
      </c>
      <c r="Z13" s="116">
        <f>'P &amp; NP'!FX490</f>
        <v>0</v>
      </c>
      <c r="AA13" s="116">
        <f>'P &amp; NP'!GM490</f>
        <v>0</v>
      </c>
      <c r="AB13" s="116">
        <f>'P &amp; NP'!GN490</f>
        <v>0</v>
      </c>
      <c r="AC13" s="116">
        <f>'P &amp; NP'!HC490</f>
        <v>0</v>
      </c>
      <c r="AD13" s="116">
        <f>'P &amp; NP'!HD490</f>
        <v>0</v>
      </c>
      <c r="AE13" s="116">
        <f>'P &amp; NP'!HS490</f>
        <v>0</v>
      </c>
      <c r="AF13" s="116">
        <f>'P &amp; NP'!HT490</f>
        <v>0</v>
      </c>
      <c r="AG13" s="116">
        <f>'P &amp; NP'!II490</f>
        <v>0</v>
      </c>
      <c r="AH13" s="116">
        <f>'P &amp; NP'!IJ490</f>
        <v>0</v>
      </c>
      <c r="AI13" s="116">
        <f>'P &amp; NP'!IY490</f>
        <v>0</v>
      </c>
      <c r="AJ13" s="116">
        <f>'P &amp; NP'!IZ490</f>
        <v>0</v>
      </c>
      <c r="AK13" s="116">
        <f>'P &amp; NP'!JO490</f>
        <v>0</v>
      </c>
      <c r="AL13" s="116">
        <f>'P &amp; NP'!JP490</f>
        <v>0</v>
      </c>
      <c r="AM13" s="116">
        <f>'P &amp; NP'!KE490</f>
        <v>0</v>
      </c>
      <c r="AN13" s="116">
        <f>'P &amp; NP'!KF490</f>
        <v>0</v>
      </c>
      <c r="AO13" s="116">
        <f>'P &amp; NP'!KU490</f>
        <v>0</v>
      </c>
      <c r="AP13" s="116">
        <f>'P &amp; NP'!KV490</f>
        <v>0</v>
      </c>
      <c r="AQ13" s="116">
        <f>'P &amp; NP'!LK490</f>
        <v>0</v>
      </c>
      <c r="AR13" s="116">
        <f>'P &amp; NP'!LL490</f>
        <v>0</v>
      </c>
      <c r="AS13" s="116">
        <f>'P &amp; NP'!MA490</f>
        <v>0</v>
      </c>
      <c r="AT13" s="116">
        <f>'P &amp; NP'!MB490</f>
        <v>0</v>
      </c>
      <c r="AU13" s="116">
        <f>'P &amp; NP'!MQ490</f>
        <v>0</v>
      </c>
      <c r="AV13" s="116">
        <f>'P &amp; NP'!MR490</f>
        <v>0</v>
      </c>
      <c r="AW13" s="116">
        <f>'P &amp; NP'!NG490</f>
        <v>0</v>
      </c>
      <c r="AX13" s="116">
        <f>'P &amp; NP'!NH490</f>
        <v>0</v>
      </c>
      <c r="AY13" s="116">
        <f>'P &amp; NP'!NW490</f>
        <v>0</v>
      </c>
      <c r="AZ13" s="116">
        <f>'P &amp; NP'!NX490</f>
        <v>0</v>
      </c>
      <c r="BA13" s="116">
        <f>'P &amp; NP'!OM490</f>
        <v>0</v>
      </c>
      <c r="BB13" s="116">
        <f>'P &amp; NP'!ON490</f>
        <v>0</v>
      </c>
      <c r="BC13" s="116">
        <f>'P &amp; NP'!PC490</f>
        <v>0</v>
      </c>
      <c r="BD13" s="116">
        <f>'P &amp; NP'!PD490</f>
        <v>0</v>
      </c>
      <c r="BE13" s="116">
        <f>'P &amp; NP'!PS490</f>
        <v>0</v>
      </c>
      <c r="BF13" s="116">
        <f>'P &amp; NP'!PT490</f>
        <v>0</v>
      </c>
      <c r="BG13" s="116">
        <f>'P &amp; NP'!QI490</f>
        <v>0</v>
      </c>
      <c r="BH13" s="116">
        <f>'P &amp; NP'!QJ490</f>
        <v>0</v>
      </c>
      <c r="BI13" s="116">
        <f>'P &amp; NP'!QY490</f>
        <v>0</v>
      </c>
      <c r="BJ13" s="116">
        <f>'P &amp; NP'!QZ490</f>
        <v>0</v>
      </c>
      <c r="BK13" s="116">
        <f>'P &amp; NP'!RO490</f>
        <v>0</v>
      </c>
      <c r="BL13" s="116">
        <f>'P &amp; NP'!RP490</f>
        <v>0</v>
      </c>
      <c r="BM13" s="116">
        <f>'P &amp; NP'!SE490</f>
        <v>0</v>
      </c>
      <c r="BN13" s="116">
        <f>'P &amp; NP'!SF490</f>
        <v>0</v>
      </c>
      <c r="BO13" s="116">
        <f>'P &amp; NP'!SU490</f>
        <v>0</v>
      </c>
      <c r="BP13" s="116">
        <f>'P &amp; NP'!SV490</f>
        <v>0</v>
      </c>
      <c r="BQ13" s="116">
        <f>'P &amp; NP'!TK490</f>
        <v>0</v>
      </c>
      <c r="BR13" s="116">
        <f>'P &amp; NP'!TL490</f>
        <v>0</v>
      </c>
      <c r="BS13" s="116">
        <f>'P &amp; NP'!UA490</f>
        <v>0</v>
      </c>
      <c r="BT13" s="116">
        <f>'P &amp; NP'!UB490</f>
        <v>0</v>
      </c>
      <c r="BU13" s="116">
        <f>'P &amp; NP'!UQ490</f>
        <v>0</v>
      </c>
      <c r="BV13" s="116">
        <f>'P &amp; NP'!UR490</f>
        <v>0</v>
      </c>
      <c r="BW13" s="116">
        <f>'P &amp; NP'!VG490</f>
        <v>0</v>
      </c>
      <c r="BX13" s="116">
        <f>'P &amp; NP'!VH490</f>
        <v>0</v>
      </c>
      <c r="BY13" s="116">
        <f>'P &amp; NP'!VW490</f>
        <v>0</v>
      </c>
      <c r="BZ13" s="116">
        <f>'P &amp; NP'!VX490</f>
        <v>0</v>
      </c>
      <c r="CB13" s="206">
        <f t="shared" si="3"/>
        <v>0</v>
      </c>
      <c r="CC13" s="206">
        <f t="shared" si="4"/>
        <v>0</v>
      </c>
    </row>
    <row r="14" spans="1:81">
      <c r="B14" s="207" t="str">
        <f>'P &amp; NP'!B20</f>
        <v xml:space="preserve">Gurame, Gurami </v>
      </c>
      <c r="C14" s="116">
        <f>'P &amp; NP'!C491</f>
        <v>0</v>
      </c>
      <c r="D14" s="116">
        <f>'P &amp; NP'!D491</f>
        <v>0</v>
      </c>
      <c r="E14" s="116">
        <f>'P &amp; NP'!S491</f>
        <v>0</v>
      </c>
      <c r="F14" s="116">
        <f>'P &amp; NP'!T491</f>
        <v>0</v>
      </c>
      <c r="G14" s="116">
        <f>'P &amp; NP'!AI491</f>
        <v>0</v>
      </c>
      <c r="H14" s="116">
        <f>'P &amp; NP'!AJ491</f>
        <v>0</v>
      </c>
      <c r="I14" s="116">
        <f>'P &amp; NP'!AY491</f>
        <v>0</v>
      </c>
      <c r="J14" s="116">
        <f>'P &amp; NP'!AZ491</f>
        <v>0</v>
      </c>
      <c r="K14" s="116">
        <f>'P &amp; NP'!BO491</f>
        <v>0</v>
      </c>
      <c r="L14" s="116">
        <f>'P &amp; NP'!BP491</f>
        <v>0</v>
      </c>
      <c r="M14" s="116">
        <f>'P &amp; NP'!CE491</f>
        <v>0</v>
      </c>
      <c r="N14" s="116">
        <f>'P &amp; NP'!CF491</f>
        <v>0</v>
      </c>
      <c r="O14" s="116">
        <f>'P &amp; NP'!CU491</f>
        <v>0</v>
      </c>
      <c r="P14" s="116">
        <f>'P &amp; NP'!CV491</f>
        <v>0</v>
      </c>
      <c r="Q14" s="116">
        <f>'P &amp; NP'!DK491</f>
        <v>0</v>
      </c>
      <c r="R14" s="116">
        <f>'P &amp; NP'!DL491</f>
        <v>0</v>
      </c>
      <c r="S14" s="116">
        <f>'P &amp; NP'!EA491</f>
        <v>0</v>
      </c>
      <c r="T14" s="116">
        <f>'P &amp; NP'!EB491</f>
        <v>0</v>
      </c>
      <c r="U14" s="116">
        <f>'P &amp; NP'!EQ491</f>
        <v>0</v>
      </c>
      <c r="V14" s="116">
        <f>'P &amp; NP'!ER491</f>
        <v>0</v>
      </c>
      <c r="W14" s="116">
        <f>'P &amp; NP'!FG491</f>
        <v>0</v>
      </c>
      <c r="X14" s="116">
        <f>'P &amp; NP'!FH491</f>
        <v>0</v>
      </c>
      <c r="Y14" s="116">
        <f>'P &amp; NP'!FW491</f>
        <v>0</v>
      </c>
      <c r="Z14" s="116">
        <f>'P &amp; NP'!FX491</f>
        <v>0</v>
      </c>
      <c r="AA14" s="116">
        <f>'P &amp; NP'!GM491</f>
        <v>0</v>
      </c>
      <c r="AB14" s="116">
        <f>'P &amp; NP'!GN491</f>
        <v>0</v>
      </c>
      <c r="AC14" s="116">
        <f>'P &amp; NP'!HC491</f>
        <v>0</v>
      </c>
      <c r="AD14" s="116">
        <f>'P &amp; NP'!HD491</f>
        <v>0</v>
      </c>
      <c r="AE14" s="116">
        <f>'P &amp; NP'!HS491</f>
        <v>0</v>
      </c>
      <c r="AF14" s="116">
        <f>'P &amp; NP'!HT491</f>
        <v>0</v>
      </c>
      <c r="AG14" s="116">
        <f>'P &amp; NP'!II491</f>
        <v>0</v>
      </c>
      <c r="AH14" s="116">
        <f>'P &amp; NP'!IJ491</f>
        <v>0</v>
      </c>
      <c r="AI14" s="116">
        <f>'P &amp; NP'!IY491</f>
        <v>0</v>
      </c>
      <c r="AJ14" s="116">
        <f>'P &amp; NP'!IZ491</f>
        <v>0</v>
      </c>
      <c r="AK14" s="116">
        <f>'P &amp; NP'!JO491</f>
        <v>0</v>
      </c>
      <c r="AL14" s="116">
        <f>'P &amp; NP'!JP491</f>
        <v>0</v>
      </c>
      <c r="AM14" s="116">
        <f>'P &amp; NP'!KE491</f>
        <v>0</v>
      </c>
      <c r="AN14" s="116">
        <f>'P &amp; NP'!KF491</f>
        <v>0</v>
      </c>
      <c r="AO14" s="116">
        <f>'P &amp; NP'!KU491</f>
        <v>0</v>
      </c>
      <c r="AP14" s="116">
        <f>'P &amp; NP'!KV491</f>
        <v>0</v>
      </c>
      <c r="AQ14" s="116">
        <f>'P &amp; NP'!LK491</f>
        <v>0</v>
      </c>
      <c r="AR14" s="116">
        <f>'P &amp; NP'!LL491</f>
        <v>0</v>
      </c>
      <c r="AS14" s="116">
        <f>'P &amp; NP'!MA491</f>
        <v>0</v>
      </c>
      <c r="AT14" s="116">
        <f>'P &amp; NP'!MB491</f>
        <v>0</v>
      </c>
      <c r="AU14" s="116">
        <f>'P &amp; NP'!MQ491</f>
        <v>0</v>
      </c>
      <c r="AV14" s="116">
        <f>'P &amp; NP'!MR491</f>
        <v>0</v>
      </c>
      <c r="AW14" s="116">
        <f>'P &amp; NP'!NG491</f>
        <v>0</v>
      </c>
      <c r="AX14" s="116">
        <f>'P &amp; NP'!NH491</f>
        <v>0</v>
      </c>
      <c r="AY14" s="116">
        <f>'P &amp; NP'!NW491</f>
        <v>0</v>
      </c>
      <c r="AZ14" s="116">
        <f>'P &amp; NP'!NX491</f>
        <v>0</v>
      </c>
      <c r="BA14" s="116">
        <f>'P &amp; NP'!OM491</f>
        <v>0</v>
      </c>
      <c r="BB14" s="116">
        <f>'P &amp; NP'!ON491</f>
        <v>0</v>
      </c>
      <c r="BC14" s="116">
        <f>'P &amp; NP'!PC491</f>
        <v>0</v>
      </c>
      <c r="BD14" s="116">
        <f>'P &amp; NP'!PD491</f>
        <v>0</v>
      </c>
      <c r="BE14" s="116">
        <f>'P &amp; NP'!PS491</f>
        <v>0</v>
      </c>
      <c r="BF14" s="116">
        <f>'P &amp; NP'!PT491</f>
        <v>0</v>
      </c>
      <c r="BG14" s="116">
        <f>'P &amp; NP'!QI491</f>
        <v>0</v>
      </c>
      <c r="BH14" s="116">
        <f>'P &amp; NP'!QJ491</f>
        <v>0</v>
      </c>
      <c r="BI14" s="116">
        <f>'P &amp; NP'!QY491</f>
        <v>0</v>
      </c>
      <c r="BJ14" s="116">
        <f>'P &amp; NP'!QZ491</f>
        <v>0</v>
      </c>
      <c r="BK14" s="116">
        <f>'P &amp; NP'!RO491</f>
        <v>0</v>
      </c>
      <c r="BL14" s="116">
        <f>'P &amp; NP'!RP491</f>
        <v>0</v>
      </c>
      <c r="BM14" s="116">
        <f>'P &amp; NP'!SE491</f>
        <v>0</v>
      </c>
      <c r="BN14" s="116">
        <f>'P &amp; NP'!SF491</f>
        <v>0</v>
      </c>
      <c r="BO14" s="116">
        <f>'P &amp; NP'!SU491</f>
        <v>0</v>
      </c>
      <c r="BP14" s="116">
        <f>'P &amp; NP'!SV491</f>
        <v>0</v>
      </c>
      <c r="BQ14" s="116">
        <f>'P &amp; NP'!TK491</f>
        <v>0</v>
      </c>
      <c r="BR14" s="116">
        <f>'P &amp; NP'!TL491</f>
        <v>0</v>
      </c>
      <c r="BS14" s="116">
        <f>'P &amp; NP'!UA491</f>
        <v>0</v>
      </c>
      <c r="BT14" s="116">
        <f>'P &amp; NP'!UB491</f>
        <v>0</v>
      </c>
      <c r="BU14" s="116">
        <f>'P &amp; NP'!UQ491</f>
        <v>0</v>
      </c>
      <c r="BV14" s="116">
        <f>'P &amp; NP'!UR491</f>
        <v>0</v>
      </c>
      <c r="BW14" s="116">
        <f>'P &amp; NP'!VG491</f>
        <v>0</v>
      </c>
      <c r="BX14" s="116">
        <f>'P &amp; NP'!VH491</f>
        <v>0</v>
      </c>
      <c r="BY14" s="116">
        <f>'P &amp; NP'!VW491</f>
        <v>0</v>
      </c>
      <c r="BZ14" s="116">
        <f>'P &amp; NP'!VX491</f>
        <v>0</v>
      </c>
      <c r="CB14" s="206">
        <f t="shared" si="3"/>
        <v>0</v>
      </c>
      <c r="CC14" s="206">
        <f t="shared" si="4"/>
        <v>0</v>
      </c>
    </row>
    <row r="15" spans="1:81">
      <c r="B15" s="207" t="str">
        <f>'P &amp; NP'!B21</f>
        <v>Kakap Putih</v>
      </c>
      <c r="C15" s="116">
        <f>'P &amp; NP'!C492</f>
        <v>0</v>
      </c>
      <c r="D15" s="116">
        <f>'P &amp; NP'!D492</f>
        <v>0</v>
      </c>
      <c r="E15" s="116">
        <f>'P &amp; NP'!S492</f>
        <v>2305</v>
      </c>
      <c r="F15" s="116">
        <f>'P &amp; NP'!T492</f>
        <v>166325</v>
      </c>
      <c r="G15" s="116">
        <f>'P &amp; NP'!AI492</f>
        <v>0</v>
      </c>
      <c r="H15" s="116">
        <f>'P &amp; NP'!AJ492</f>
        <v>0</v>
      </c>
      <c r="I15" s="116">
        <f>'P &amp; NP'!AY492</f>
        <v>0</v>
      </c>
      <c r="J15" s="116">
        <f>'P &amp; NP'!AZ492</f>
        <v>0</v>
      </c>
      <c r="K15" s="116">
        <f>'P &amp; NP'!BO492</f>
        <v>0</v>
      </c>
      <c r="L15" s="116">
        <f>'P &amp; NP'!BP492</f>
        <v>0</v>
      </c>
      <c r="M15" s="116">
        <f>'P &amp; NP'!CE492</f>
        <v>0</v>
      </c>
      <c r="N15" s="116">
        <f>'P &amp; NP'!CF492</f>
        <v>0</v>
      </c>
      <c r="O15" s="116">
        <f>'P &amp; NP'!CU492</f>
        <v>0</v>
      </c>
      <c r="P15" s="116">
        <f>'P &amp; NP'!CV492</f>
        <v>0</v>
      </c>
      <c r="Q15" s="116">
        <f>'P &amp; NP'!DK492</f>
        <v>0</v>
      </c>
      <c r="R15" s="116">
        <f>'P &amp; NP'!DL492</f>
        <v>0</v>
      </c>
      <c r="S15" s="116">
        <f>'P &amp; NP'!EA492</f>
        <v>0</v>
      </c>
      <c r="T15" s="116">
        <f>'P &amp; NP'!EB492</f>
        <v>0</v>
      </c>
      <c r="U15" s="116">
        <f>'P &amp; NP'!EQ492</f>
        <v>0</v>
      </c>
      <c r="V15" s="116">
        <f>'P &amp; NP'!ER492</f>
        <v>0</v>
      </c>
      <c r="W15" s="116">
        <f>'P &amp; NP'!FG492</f>
        <v>0</v>
      </c>
      <c r="X15" s="116">
        <f>'P &amp; NP'!FH492</f>
        <v>0</v>
      </c>
      <c r="Y15" s="116">
        <f>'P &amp; NP'!FW492</f>
        <v>0</v>
      </c>
      <c r="Z15" s="116">
        <f>'P &amp; NP'!FX492</f>
        <v>0</v>
      </c>
      <c r="AA15" s="116">
        <f>'P &amp; NP'!GM492</f>
        <v>0</v>
      </c>
      <c r="AB15" s="116">
        <f>'P &amp; NP'!GN492</f>
        <v>0</v>
      </c>
      <c r="AC15" s="116">
        <f>'P &amp; NP'!HC492</f>
        <v>0</v>
      </c>
      <c r="AD15" s="116">
        <f>'P &amp; NP'!HD492</f>
        <v>0</v>
      </c>
      <c r="AE15" s="116">
        <f>'P &amp; NP'!HS492</f>
        <v>0</v>
      </c>
      <c r="AF15" s="116">
        <f>'P &amp; NP'!HT492</f>
        <v>0</v>
      </c>
      <c r="AG15" s="116">
        <f>'P &amp; NP'!II492</f>
        <v>0</v>
      </c>
      <c r="AH15" s="116">
        <f>'P &amp; NP'!IJ492</f>
        <v>0</v>
      </c>
      <c r="AI15" s="116">
        <f>'P &amp; NP'!IY492</f>
        <v>0</v>
      </c>
      <c r="AJ15" s="116">
        <f>'P &amp; NP'!IZ492</f>
        <v>0</v>
      </c>
      <c r="AK15" s="116">
        <f>'P &amp; NP'!JO492</f>
        <v>0</v>
      </c>
      <c r="AL15" s="116">
        <f>'P &amp; NP'!JP492</f>
        <v>0</v>
      </c>
      <c r="AM15" s="116">
        <f>'P &amp; NP'!KE492</f>
        <v>0</v>
      </c>
      <c r="AN15" s="116">
        <f>'P &amp; NP'!KF492</f>
        <v>0</v>
      </c>
      <c r="AO15" s="116">
        <f>'P &amp; NP'!KU492</f>
        <v>0</v>
      </c>
      <c r="AP15" s="116">
        <f>'P &amp; NP'!KV492</f>
        <v>0</v>
      </c>
      <c r="AQ15" s="116">
        <f>'P &amp; NP'!LK492</f>
        <v>0</v>
      </c>
      <c r="AR15" s="116">
        <f>'P &amp; NP'!LL492</f>
        <v>0</v>
      </c>
      <c r="AS15" s="116">
        <f>'P &amp; NP'!MA492</f>
        <v>0</v>
      </c>
      <c r="AT15" s="116">
        <f>'P &amp; NP'!MB492</f>
        <v>0</v>
      </c>
      <c r="AU15" s="116">
        <f>'P &amp; NP'!MQ492</f>
        <v>0</v>
      </c>
      <c r="AV15" s="116">
        <f>'P &amp; NP'!MR492</f>
        <v>0</v>
      </c>
      <c r="AW15" s="116">
        <f>'P &amp; NP'!NG492</f>
        <v>0</v>
      </c>
      <c r="AX15" s="116">
        <f>'P &amp; NP'!NH492</f>
        <v>0</v>
      </c>
      <c r="AY15" s="116">
        <f>'P &amp; NP'!NW492</f>
        <v>2665</v>
      </c>
      <c r="AZ15" s="116">
        <f>'P &amp; NP'!NX492</f>
        <v>208200</v>
      </c>
      <c r="BA15" s="116">
        <f>'P &amp; NP'!OM492</f>
        <v>0</v>
      </c>
      <c r="BB15" s="116">
        <f>'P &amp; NP'!ON492</f>
        <v>0</v>
      </c>
      <c r="BC15" s="116">
        <f>'P &amp; NP'!PC492</f>
        <v>0</v>
      </c>
      <c r="BD15" s="116">
        <f>'P &amp; NP'!PD492</f>
        <v>0</v>
      </c>
      <c r="BE15" s="116">
        <f>'P &amp; NP'!PS492</f>
        <v>0</v>
      </c>
      <c r="BF15" s="116">
        <f>'P &amp; NP'!PT492</f>
        <v>0</v>
      </c>
      <c r="BG15" s="116">
        <f>'P &amp; NP'!QI492</f>
        <v>0</v>
      </c>
      <c r="BH15" s="116">
        <f>'P &amp; NP'!QJ492</f>
        <v>0</v>
      </c>
      <c r="BI15" s="116">
        <f>'P &amp; NP'!QY492</f>
        <v>0</v>
      </c>
      <c r="BJ15" s="116">
        <f>'P &amp; NP'!QZ492</f>
        <v>0</v>
      </c>
      <c r="BK15" s="116">
        <f>'P &amp; NP'!RO492</f>
        <v>0</v>
      </c>
      <c r="BL15" s="116">
        <f>'P &amp; NP'!RP492</f>
        <v>0</v>
      </c>
      <c r="BM15" s="116">
        <f>'P &amp; NP'!SE492</f>
        <v>0</v>
      </c>
      <c r="BN15" s="116">
        <f>'P &amp; NP'!SF492</f>
        <v>0</v>
      </c>
      <c r="BO15" s="116">
        <f>'P &amp; NP'!SU492</f>
        <v>0</v>
      </c>
      <c r="BP15" s="116">
        <f>'P &amp; NP'!SV492</f>
        <v>0</v>
      </c>
      <c r="BQ15" s="116">
        <f>'P &amp; NP'!TK492</f>
        <v>0</v>
      </c>
      <c r="BR15" s="116">
        <f>'P &amp; NP'!TL492</f>
        <v>0</v>
      </c>
      <c r="BS15" s="116">
        <f>'P &amp; NP'!UA492</f>
        <v>0</v>
      </c>
      <c r="BT15" s="116">
        <f>'P &amp; NP'!UB492</f>
        <v>0</v>
      </c>
      <c r="BU15" s="116">
        <f>'P &amp; NP'!UQ492</f>
        <v>0</v>
      </c>
      <c r="BV15" s="116">
        <f>'P &amp; NP'!UR492</f>
        <v>0</v>
      </c>
      <c r="BW15" s="116">
        <f>'P &amp; NP'!VG492</f>
        <v>0</v>
      </c>
      <c r="BX15" s="116">
        <f>'P &amp; NP'!VH492</f>
        <v>0</v>
      </c>
      <c r="BY15" s="116">
        <f>'P &amp; NP'!VW492</f>
        <v>0</v>
      </c>
      <c r="BZ15" s="116">
        <f>'P &amp; NP'!VX492</f>
        <v>0</v>
      </c>
      <c r="CB15" s="206">
        <f t="shared" si="3"/>
        <v>4970</v>
      </c>
      <c r="CC15" s="206">
        <f t="shared" si="4"/>
        <v>374525</v>
      </c>
    </row>
    <row r="16" spans="1:81">
      <c r="B16" s="207" t="str">
        <f>'P &amp; NP'!B22</f>
        <v>Kepiting  Bakau</v>
      </c>
      <c r="C16" s="116">
        <f>'P &amp; NP'!C493</f>
        <v>0</v>
      </c>
      <c r="D16" s="116">
        <f>'P &amp; NP'!D493</f>
        <v>0</v>
      </c>
      <c r="E16" s="116">
        <f>'P &amp; NP'!S493</f>
        <v>0</v>
      </c>
      <c r="F16" s="116">
        <f>'P &amp; NP'!T493</f>
        <v>0</v>
      </c>
      <c r="G16" s="116">
        <f>'P &amp; NP'!AI493</f>
        <v>0</v>
      </c>
      <c r="H16" s="116">
        <f>'P &amp; NP'!AJ493</f>
        <v>0</v>
      </c>
      <c r="I16" s="116">
        <f>'P &amp; NP'!AY493</f>
        <v>0</v>
      </c>
      <c r="J16" s="116">
        <f>'P &amp; NP'!AZ493</f>
        <v>0</v>
      </c>
      <c r="K16" s="116">
        <f>'P &amp; NP'!BO493</f>
        <v>0</v>
      </c>
      <c r="L16" s="116">
        <f>'P &amp; NP'!BP493</f>
        <v>0</v>
      </c>
      <c r="M16" s="116">
        <f>'P &amp; NP'!CE493</f>
        <v>0</v>
      </c>
      <c r="N16" s="116">
        <f>'P &amp; NP'!CF493</f>
        <v>0</v>
      </c>
      <c r="O16" s="116">
        <f>'P &amp; NP'!CU493</f>
        <v>0</v>
      </c>
      <c r="P16" s="116">
        <f>'P &amp; NP'!CV493</f>
        <v>0</v>
      </c>
      <c r="Q16" s="116">
        <f>'P &amp; NP'!DK493</f>
        <v>0</v>
      </c>
      <c r="R16" s="116">
        <f>'P &amp; NP'!DL493</f>
        <v>0</v>
      </c>
      <c r="S16" s="116">
        <f>'P &amp; NP'!EA493</f>
        <v>0</v>
      </c>
      <c r="T16" s="116">
        <f>'P &amp; NP'!EB493</f>
        <v>0</v>
      </c>
      <c r="U16" s="116">
        <f>'P &amp; NP'!EQ493</f>
        <v>0</v>
      </c>
      <c r="V16" s="116">
        <f>'P &amp; NP'!ER493</f>
        <v>0</v>
      </c>
      <c r="W16" s="116">
        <f>'P &amp; NP'!FG493</f>
        <v>0</v>
      </c>
      <c r="X16" s="116">
        <f>'P &amp; NP'!FH493</f>
        <v>0</v>
      </c>
      <c r="Y16" s="116">
        <f>'P &amp; NP'!FW493</f>
        <v>0</v>
      </c>
      <c r="Z16" s="116">
        <f>'P &amp; NP'!FX493</f>
        <v>0</v>
      </c>
      <c r="AA16" s="116">
        <f>'P &amp; NP'!GM493</f>
        <v>0</v>
      </c>
      <c r="AB16" s="116">
        <f>'P &amp; NP'!GN493</f>
        <v>0</v>
      </c>
      <c r="AC16" s="116">
        <f>'P &amp; NP'!HC493</f>
        <v>0</v>
      </c>
      <c r="AD16" s="116">
        <f>'P &amp; NP'!HD493</f>
        <v>0</v>
      </c>
      <c r="AE16" s="116">
        <f>'P &amp; NP'!HS493</f>
        <v>0</v>
      </c>
      <c r="AF16" s="116">
        <f>'P &amp; NP'!HT493</f>
        <v>0</v>
      </c>
      <c r="AG16" s="116">
        <f>'P &amp; NP'!II493</f>
        <v>0</v>
      </c>
      <c r="AH16" s="116">
        <f>'P &amp; NP'!IJ493</f>
        <v>0</v>
      </c>
      <c r="AI16" s="116">
        <f>'P &amp; NP'!IY493</f>
        <v>0</v>
      </c>
      <c r="AJ16" s="116">
        <f>'P &amp; NP'!IZ493</f>
        <v>0</v>
      </c>
      <c r="AK16" s="116">
        <f>'P &amp; NP'!JO493</f>
        <v>0</v>
      </c>
      <c r="AL16" s="116">
        <f>'P &amp; NP'!JP493</f>
        <v>0</v>
      </c>
      <c r="AM16" s="116">
        <f>'P &amp; NP'!KE493</f>
        <v>0</v>
      </c>
      <c r="AN16" s="116">
        <f>'P &amp; NP'!KF493</f>
        <v>0</v>
      </c>
      <c r="AO16" s="116">
        <f>'P &amp; NP'!KU493</f>
        <v>0</v>
      </c>
      <c r="AP16" s="116">
        <f>'P &amp; NP'!KV493</f>
        <v>0</v>
      </c>
      <c r="AQ16" s="116">
        <f>'P &amp; NP'!LK493</f>
        <v>0</v>
      </c>
      <c r="AR16" s="116">
        <f>'P &amp; NP'!LL493</f>
        <v>0</v>
      </c>
      <c r="AS16" s="116">
        <f>'P &amp; NP'!MA493</f>
        <v>0</v>
      </c>
      <c r="AT16" s="116">
        <f>'P &amp; NP'!MB493</f>
        <v>0</v>
      </c>
      <c r="AU16" s="116">
        <f>'P &amp; NP'!MQ493</f>
        <v>0</v>
      </c>
      <c r="AV16" s="116">
        <f>'P &amp; NP'!MR493</f>
        <v>0</v>
      </c>
      <c r="AW16" s="116">
        <f>'P &amp; NP'!NG493</f>
        <v>0</v>
      </c>
      <c r="AX16" s="116">
        <f>'P &amp; NP'!NH493</f>
        <v>0</v>
      </c>
      <c r="AY16" s="116">
        <f>'P &amp; NP'!NW493</f>
        <v>0</v>
      </c>
      <c r="AZ16" s="116">
        <f>'P &amp; NP'!NX493</f>
        <v>0</v>
      </c>
      <c r="BA16" s="116">
        <f>'P &amp; NP'!OM493</f>
        <v>0</v>
      </c>
      <c r="BB16" s="116">
        <f>'P &amp; NP'!ON493</f>
        <v>0</v>
      </c>
      <c r="BC16" s="116">
        <f>'P &amp; NP'!PC493</f>
        <v>0</v>
      </c>
      <c r="BD16" s="116">
        <f>'P &amp; NP'!PD493</f>
        <v>0</v>
      </c>
      <c r="BE16" s="116">
        <f>'P &amp; NP'!PS493</f>
        <v>0</v>
      </c>
      <c r="BF16" s="116">
        <f>'P &amp; NP'!PT493</f>
        <v>0</v>
      </c>
      <c r="BG16" s="116">
        <f>'P &amp; NP'!QI493</f>
        <v>0</v>
      </c>
      <c r="BH16" s="116">
        <f>'P &amp; NP'!QJ493</f>
        <v>0</v>
      </c>
      <c r="BI16" s="116">
        <f>'P &amp; NP'!QY493</f>
        <v>0</v>
      </c>
      <c r="BJ16" s="116">
        <f>'P &amp; NP'!QZ493</f>
        <v>0</v>
      </c>
      <c r="BK16" s="116">
        <f>'P &amp; NP'!RO493</f>
        <v>0</v>
      </c>
      <c r="BL16" s="116">
        <f>'P &amp; NP'!RP493</f>
        <v>0</v>
      </c>
      <c r="BM16" s="116">
        <f>'P &amp; NP'!SE493</f>
        <v>0</v>
      </c>
      <c r="BN16" s="116">
        <f>'P &amp; NP'!SF493</f>
        <v>0</v>
      </c>
      <c r="BO16" s="116">
        <f>'P &amp; NP'!SU493</f>
        <v>0</v>
      </c>
      <c r="BP16" s="116">
        <f>'P &amp; NP'!SV493</f>
        <v>0</v>
      </c>
      <c r="BQ16" s="116">
        <f>'P &amp; NP'!TK493</f>
        <v>0</v>
      </c>
      <c r="BR16" s="116">
        <f>'P &amp; NP'!TL493</f>
        <v>0</v>
      </c>
      <c r="BS16" s="116">
        <f>'P &amp; NP'!UA493</f>
        <v>0</v>
      </c>
      <c r="BT16" s="116">
        <f>'P &amp; NP'!UB493</f>
        <v>0</v>
      </c>
      <c r="BU16" s="116">
        <f>'P &amp; NP'!UQ493</f>
        <v>0</v>
      </c>
      <c r="BV16" s="116">
        <f>'P &amp; NP'!UR493</f>
        <v>0</v>
      </c>
      <c r="BW16" s="116">
        <f>'P &amp; NP'!VG493</f>
        <v>0</v>
      </c>
      <c r="BX16" s="116">
        <f>'P &amp; NP'!VH493</f>
        <v>0</v>
      </c>
      <c r="BY16" s="116">
        <f>'P &amp; NP'!VW493</f>
        <v>0</v>
      </c>
      <c r="BZ16" s="116">
        <f>'P &amp; NP'!VX493</f>
        <v>0</v>
      </c>
      <c r="CB16" s="206">
        <f t="shared" si="3"/>
        <v>0</v>
      </c>
      <c r="CC16" s="206">
        <f t="shared" si="4"/>
        <v>0</v>
      </c>
    </row>
    <row r="17" spans="2:81">
      <c r="B17" s="207" t="str">
        <f>'P &amp; NP'!B23</f>
        <v xml:space="preserve">Kerang Hijau </v>
      </c>
      <c r="C17" s="116">
        <f>'P &amp; NP'!C494</f>
        <v>0</v>
      </c>
      <c r="D17" s="116">
        <f>'P &amp; NP'!D494</f>
        <v>0</v>
      </c>
      <c r="E17" s="116">
        <f>'P &amp; NP'!S494</f>
        <v>0</v>
      </c>
      <c r="F17" s="116">
        <f>'P &amp; NP'!T494</f>
        <v>0</v>
      </c>
      <c r="G17" s="116">
        <f>'P &amp; NP'!AI494</f>
        <v>0</v>
      </c>
      <c r="H17" s="116">
        <f>'P &amp; NP'!AJ494</f>
        <v>0</v>
      </c>
      <c r="I17" s="116">
        <f>'P &amp; NP'!AY494</f>
        <v>0</v>
      </c>
      <c r="J17" s="116">
        <f>'P &amp; NP'!AZ494</f>
        <v>0</v>
      </c>
      <c r="K17" s="116">
        <f>'P &amp; NP'!BO494</f>
        <v>0</v>
      </c>
      <c r="L17" s="116">
        <f>'P &amp; NP'!BP494</f>
        <v>0</v>
      </c>
      <c r="M17" s="116">
        <f>'P &amp; NP'!CE494</f>
        <v>13740678.926078347</v>
      </c>
      <c r="N17" s="116">
        <f>'P &amp; NP'!CF494</f>
        <v>53413466.486336268</v>
      </c>
      <c r="O17" s="116">
        <f>'P &amp; NP'!CU494</f>
        <v>0</v>
      </c>
      <c r="P17" s="116">
        <f>'P &amp; NP'!CV494</f>
        <v>0</v>
      </c>
      <c r="Q17" s="116">
        <f>'P &amp; NP'!DK494</f>
        <v>0</v>
      </c>
      <c r="R17" s="116">
        <f>'P &amp; NP'!DL494</f>
        <v>0</v>
      </c>
      <c r="S17" s="116">
        <f>'P &amp; NP'!EA494</f>
        <v>0</v>
      </c>
      <c r="T17" s="116">
        <f>'P &amp; NP'!EB494</f>
        <v>0</v>
      </c>
      <c r="U17" s="116">
        <f>'P &amp; NP'!EQ494</f>
        <v>0</v>
      </c>
      <c r="V17" s="116">
        <f>'P &amp; NP'!ER494</f>
        <v>0</v>
      </c>
      <c r="W17" s="116">
        <f>'P &amp; NP'!FG494</f>
        <v>0</v>
      </c>
      <c r="X17" s="116">
        <f>'P &amp; NP'!FH494</f>
        <v>0</v>
      </c>
      <c r="Y17" s="116">
        <f>'P &amp; NP'!FW494</f>
        <v>0</v>
      </c>
      <c r="Z17" s="116">
        <f>'P &amp; NP'!FX494</f>
        <v>0</v>
      </c>
      <c r="AA17" s="116">
        <f>'P &amp; NP'!GM494</f>
        <v>0</v>
      </c>
      <c r="AB17" s="116">
        <f>'P &amp; NP'!GN494</f>
        <v>0</v>
      </c>
      <c r="AC17" s="116">
        <f>'P &amp; NP'!HC494</f>
        <v>0</v>
      </c>
      <c r="AD17" s="116">
        <f>'P &amp; NP'!HD494</f>
        <v>0</v>
      </c>
      <c r="AE17" s="116">
        <f>'P &amp; NP'!HS494</f>
        <v>0</v>
      </c>
      <c r="AF17" s="116">
        <f>'P &amp; NP'!HT494</f>
        <v>0</v>
      </c>
      <c r="AG17" s="116">
        <f>'P &amp; NP'!II494</f>
        <v>0</v>
      </c>
      <c r="AH17" s="116">
        <f>'P &amp; NP'!IJ494</f>
        <v>0</v>
      </c>
      <c r="AI17" s="116">
        <f>'P &amp; NP'!IY494</f>
        <v>0</v>
      </c>
      <c r="AJ17" s="116">
        <f>'P &amp; NP'!IZ494</f>
        <v>0</v>
      </c>
      <c r="AK17" s="116">
        <f>'P &amp; NP'!JO494</f>
        <v>0</v>
      </c>
      <c r="AL17" s="116">
        <f>'P &amp; NP'!JP494</f>
        <v>0</v>
      </c>
      <c r="AM17" s="116">
        <f>'P &amp; NP'!KE494</f>
        <v>0</v>
      </c>
      <c r="AN17" s="116">
        <f>'P &amp; NP'!KF494</f>
        <v>0</v>
      </c>
      <c r="AO17" s="116">
        <f>'P &amp; NP'!KU494</f>
        <v>0</v>
      </c>
      <c r="AP17" s="116">
        <f>'P &amp; NP'!KV494</f>
        <v>0</v>
      </c>
      <c r="AQ17" s="116">
        <f>'P &amp; NP'!LK494</f>
        <v>0</v>
      </c>
      <c r="AR17" s="116">
        <f>'P &amp; NP'!LL494</f>
        <v>0</v>
      </c>
      <c r="AS17" s="116">
        <f>'P &amp; NP'!MA494</f>
        <v>0</v>
      </c>
      <c r="AT17" s="116">
        <f>'P &amp; NP'!MB494</f>
        <v>0</v>
      </c>
      <c r="AU17" s="116">
        <f>'P &amp; NP'!MQ494</f>
        <v>0</v>
      </c>
      <c r="AV17" s="116">
        <f>'P &amp; NP'!MR494</f>
        <v>0</v>
      </c>
      <c r="AW17" s="116">
        <f>'P &amp; NP'!NG494</f>
        <v>0</v>
      </c>
      <c r="AX17" s="116">
        <f>'P &amp; NP'!NH494</f>
        <v>0</v>
      </c>
      <c r="AY17" s="116">
        <f>'P &amp; NP'!NW494</f>
        <v>0</v>
      </c>
      <c r="AZ17" s="116">
        <f>'P &amp; NP'!NX494</f>
        <v>0</v>
      </c>
      <c r="BA17" s="116">
        <f>'P &amp; NP'!OM494</f>
        <v>0</v>
      </c>
      <c r="BB17" s="116">
        <f>'P &amp; NP'!ON494</f>
        <v>0</v>
      </c>
      <c r="BC17" s="116">
        <f>'P &amp; NP'!PC494</f>
        <v>0</v>
      </c>
      <c r="BD17" s="116">
        <f>'P &amp; NP'!PD494</f>
        <v>0</v>
      </c>
      <c r="BE17" s="116">
        <f>'P &amp; NP'!PS494</f>
        <v>0</v>
      </c>
      <c r="BF17" s="116">
        <f>'P &amp; NP'!PT494</f>
        <v>0</v>
      </c>
      <c r="BG17" s="116">
        <f>'P &amp; NP'!QI494</f>
        <v>0</v>
      </c>
      <c r="BH17" s="116">
        <f>'P &amp; NP'!QJ494</f>
        <v>0</v>
      </c>
      <c r="BI17" s="116">
        <f>'P &amp; NP'!QY494</f>
        <v>0</v>
      </c>
      <c r="BJ17" s="116">
        <f>'P &amp; NP'!QZ494</f>
        <v>0</v>
      </c>
      <c r="BK17" s="116">
        <f>'P &amp; NP'!RO494</f>
        <v>0</v>
      </c>
      <c r="BL17" s="116">
        <f>'P &amp; NP'!RP494</f>
        <v>0</v>
      </c>
      <c r="BM17" s="116">
        <f>'P &amp; NP'!SE494</f>
        <v>0</v>
      </c>
      <c r="BN17" s="116">
        <f>'P &amp; NP'!SF494</f>
        <v>0</v>
      </c>
      <c r="BO17" s="116">
        <f>'P &amp; NP'!SU494</f>
        <v>0</v>
      </c>
      <c r="BP17" s="116">
        <f>'P &amp; NP'!SV494</f>
        <v>0</v>
      </c>
      <c r="BQ17" s="116">
        <f>'P &amp; NP'!TK494</f>
        <v>0</v>
      </c>
      <c r="BR17" s="116">
        <f>'P &amp; NP'!TL494</f>
        <v>0</v>
      </c>
      <c r="BS17" s="116">
        <f>'P &amp; NP'!UA494</f>
        <v>0</v>
      </c>
      <c r="BT17" s="116">
        <f>'P &amp; NP'!UB494</f>
        <v>0</v>
      </c>
      <c r="BU17" s="116">
        <f>'P &amp; NP'!UQ494</f>
        <v>0</v>
      </c>
      <c r="BV17" s="116">
        <f>'P &amp; NP'!UR494</f>
        <v>0</v>
      </c>
      <c r="BW17" s="116">
        <f>'P &amp; NP'!VG494</f>
        <v>0</v>
      </c>
      <c r="BX17" s="116">
        <f>'P &amp; NP'!VH494</f>
        <v>0</v>
      </c>
      <c r="BY17" s="116">
        <f>'P &amp; NP'!VW494</f>
        <v>0</v>
      </c>
      <c r="BZ17" s="116">
        <f>'P &amp; NP'!VX494</f>
        <v>0</v>
      </c>
      <c r="CB17" s="206">
        <f t="shared" si="3"/>
        <v>13740678.926078347</v>
      </c>
      <c r="CC17" s="206">
        <f t="shared" si="4"/>
        <v>53413466.486336268</v>
      </c>
    </row>
    <row r="18" spans="2:81">
      <c r="B18" s="207" t="str">
        <f>'P &amp; NP'!B24</f>
        <v>Kerapu Cantang</v>
      </c>
      <c r="C18" s="116">
        <f>'P &amp; NP'!C495</f>
        <v>0</v>
      </c>
      <c r="D18" s="116">
        <f>'P &amp; NP'!D495</f>
        <v>0</v>
      </c>
      <c r="E18" s="116">
        <f>'P &amp; NP'!S495</f>
        <v>20185</v>
      </c>
      <c r="F18" s="116">
        <f>'P &amp; NP'!T495</f>
        <v>1776925</v>
      </c>
      <c r="G18" s="116">
        <f>'P &amp; NP'!AI495</f>
        <v>0</v>
      </c>
      <c r="H18" s="116">
        <f>'P &amp; NP'!AJ495</f>
        <v>0</v>
      </c>
      <c r="I18" s="116">
        <f>'P &amp; NP'!AY495</f>
        <v>0</v>
      </c>
      <c r="J18" s="116">
        <f>'P &amp; NP'!AZ495</f>
        <v>0</v>
      </c>
      <c r="K18" s="116">
        <f>'P &amp; NP'!BO495</f>
        <v>0</v>
      </c>
      <c r="L18" s="116">
        <f>'P &amp; NP'!BP495</f>
        <v>0</v>
      </c>
      <c r="M18" s="116">
        <f>'P &amp; NP'!CE495</f>
        <v>0</v>
      </c>
      <c r="N18" s="116">
        <f>'P &amp; NP'!CF495</f>
        <v>0</v>
      </c>
      <c r="O18" s="116">
        <f>'P &amp; NP'!CU495</f>
        <v>0</v>
      </c>
      <c r="P18" s="116">
        <f>'P &amp; NP'!CV495</f>
        <v>0</v>
      </c>
      <c r="Q18" s="116">
        <f>'P &amp; NP'!DK495</f>
        <v>0</v>
      </c>
      <c r="R18" s="116">
        <f>'P &amp; NP'!DL495</f>
        <v>0</v>
      </c>
      <c r="S18" s="116">
        <f>'P &amp; NP'!EA495</f>
        <v>0</v>
      </c>
      <c r="T18" s="116">
        <f>'P &amp; NP'!EB495</f>
        <v>0</v>
      </c>
      <c r="U18" s="116">
        <f>'P &amp; NP'!EQ495</f>
        <v>0</v>
      </c>
      <c r="V18" s="116">
        <f>'P &amp; NP'!ER495</f>
        <v>0</v>
      </c>
      <c r="W18" s="116">
        <f>'P &amp; NP'!FG495</f>
        <v>0</v>
      </c>
      <c r="X18" s="116">
        <f>'P &amp; NP'!FH495</f>
        <v>0</v>
      </c>
      <c r="Y18" s="116">
        <f>'P &amp; NP'!FW495</f>
        <v>0</v>
      </c>
      <c r="Z18" s="116">
        <f>'P &amp; NP'!FX495</f>
        <v>0</v>
      </c>
      <c r="AA18" s="116">
        <f>'P &amp; NP'!GM495</f>
        <v>0</v>
      </c>
      <c r="AB18" s="116">
        <f>'P &amp; NP'!GN495</f>
        <v>0</v>
      </c>
      <c r="AC18" s="116">
        <f>'P &amp; NP'!HC495</f>
        <v>0</v>
      </c>
      <c r="AD18" s="116">
        <f>'P &amp; NP'!HD495</f>
        <v>0</v>
      </c>
      <c r="AE18" s="116">
        <f>'P &amp; NP'!HS495</f>
        <v>0</v>
      </c>
      <c r="AF18" s="116">
        <f>'P &amp; NP'!HT495</f>
        <v>0</v>
      </c>
      <c r="AG18" s="116">
        <f>'P &amp; NP'!II495</f>
        <v>0</v>
      </c>
      <c r="AH18" s="116">
        <f>'P &amp; NP'!IJ495</f>
        <v>0</v>
      </c>
      <c r="AI18" s="116">
        <f>'P &amp; NP'!IY495</f>
        <v>0</v>
      </c>
      <c r="AJ18" s="116">
        <f>'P &amp; NP'!IZ495</f>
        <v>0</v>
      </c>
      <c r="AK18" s="116">
        <f>'P &amp; NP'!JO495</f>
        <v>0</v>
      </c>
      <c r="AL18" s="116">
        <f>'P &amp; NP'!JP495</f>
        <v>0</v>
      </c>
      <c r="AM18" s="116">
        <f>'P &amp; NP'!KE495</f>
        <v>0</v>
      </c>
      <c r="AN18" s="116">
        <f>'P &amp; NP'!KF495</f>
        <v>0</v>
      </c>
      <c r="AO18" s="116">
        <f>'P &amp; NP'!KU495</f>
        <v>0</v>
      </c>
      <c r="AP18" s="116">
        <f>'P &amp; NP'!KV495</f>
        <v>0</v>
      </c>
      <c r="AQ18" s="116">
        <f>'P &amp; NP'!LK495</f>
        <v>0</v>
      </c>
      <c r="AR18" s="116">
        <f>'P &amp; NP'!LL495</f>
        <v>0</v>
      </c>
      <c r="AS18" s="116">
        <f>'P &amp; NP'!MA495</f>
        <v>435150</v>
      </c>
      <c r="AT18" s="116">
        <f>'P &amp; NP'!MB495</f>
        <v>36987750</v>
      </c>
      <c r="AU18" s="116">
        <f>'P &amp; NP'!MQ495</f>
        <v>0</v>
      </c>
      <c r="AV18" s="116">
        <f>'P &amp; NP'!MR495</f>
        <v>0</v>
      </c>
      <c r="AW18" s="116">
        <f>'P &amp; NP'!NG495</f>
        <v>0</v>
      </c>
      <c r="AX18" s="116">
        <f>'P &amp; NP'!NH495</f>
        <v>0</v>
      </c>
      <c r="AY18" s="116">
        <f>'P &amp; NP'!NW495</f>
        <v>5800</v>
      </c>
      <c r="AZ18" s="116">
        <f>'P &amp; NP'!NX495</f>
        <v>598750</v>
      </c>
      <c r="BA18" s="116">
        <f>'P &amp; NP'!OM495</f>
        <v>0</v>
      </c>
      <c r="BB18" s="116">
        <f>'P &amp; NP'!ON495</f>
        <v>0</v>
      </c>
      <c r="BC18" s="116">
        <f>'P &amp; NP'!PC495</f>
        <v>1546</v>
      </c>
      <c r="BD18" s="116">
        <f>'P &amp; NP'!PD495</f>
        <v>90731.5</v>
      </c>
      <c r="BE18" s="116">
        <f>'P &amp; NP'!PS495</f>
        <v>2600</v>
      </c>
      <c r="BF18" s="116">
        <f>'P &amp; NP'!PT495</f>
        <v>276950</v>
      </c>
      <c r="BG18" s="116">
        <f>'P &amp; NP'!QI495</f>
        <v>0</v>
      </c>
      <c r="BH18" s="116">
        <f>'P &amp; NP'!QJ495</f>
        <v>0</v>
      </c>
      <c r="BI18" s="116">
        <f>'P &amp; NP'!QY495</f>
        <v>0</v>
      </c>
      <c r="BJ18" s="116">
        <f>'P &amp; NP'!QZ495</f>
        <v>0</v>
      </c>
      <c r="BK18" s="116">
        <f>'P &amp; NP'!RO495</f>
        <v>0</v>
      </c>
      <c r="BL18" s="116">
        <f>'P &amp; NP'!RP495</f>
        <v>0</v>
      </c>
      <c r="BM18" s="116">
        <f>'P &amp; NP'!SE495</f>
        <v>0</v>
      </c>
      <c r="BN18" s="116">
        <f>'P &amp; NP'!SF495</f>
        <v>0</v>
      </c>
      <c r="BO18" s="116">
        <f>'P &amp; NP'!SU495</f>
        <v>0</v>
      </c>
      <c r="BP18" s="116">
        <f>'P &amp; NP'!SV495</f>
        <v>0</v>
      </c>
      <c r="BQ18" s="116">
        <f>'P &amp; NP'!TK495</f>
        <v>0</v>
      </c>
      <c r="BR18" s="116">
        <f>'P &amp; NP'!TL495</f>
        <v>0</v>
      </c>
      <c r="BS18" s="116">
        <f>'P &amp; NP'!UA495</f>
        <v>0</v>
      </c>
      <c r="BT18" s="116">
        <f>'P &amp; NP'!UB495</f>
        <v>0</v>
      </c>
      <c r="BU18" s="116">
        <f>'P &amp; NP'!UQ495</f>
        <v>0</v>
      </c>
      <c r="BV18" s="116">
        <f>'P &amp; NP'!UR495</f>
        <v>0</v>
      </c>
      <c r="BW18" s="116">
        <f>'P &amp; NP'!VG495</f>
        <v>0</v>
      </c>
      <c r="BX18" s="116">
        <f>'P &amp; NP'!VH495</f>
        <v>0</v>
      </c>
      <c r="BY18" s="116">
        <f>'P &amp; NP'!VW495</f>
        <v>0</v>
      </c>
      <c r="BZ18" s="116">
        <f>'P &amp; NP'!VX495</f>
        <v>0</v>
      </c>
      <c r="CB18" s="206">
        <f t="shared" si="3"/>
        <v>465281</v>
      </c>
      <c r="CC18" s="206">
        <f t="shared" si="4"/>
        <v>39731106.5</v>
      </c>
    </row>
    <row r="19" spans="2:81">
      <c r="B19" s="207" t="str">
        <f>'P &amp; NP'!B25</f>
        <v>Kerapu Macan</v>
      </c>
      <c r="C19" s="116">
        <f>'P &amp; NP'!C496</f>
        <v>0</v>
      </c>
      <c r="D19" s="116">
        <f>'P &amp; NP'!D496</f>
        <v>0</v>
      </c>
      <c r="E19" s="116">
        <f>'P &amp; NP'!S496</f>
        <v>0</v>
      </c>
      <c r="F19" s="116">
        <f>'P &amp; NP'!T496</f>
        <v>0</v>
      </c>
      <c r="G19" s="116">
        <f>'P &amp; NP'!AI496</f>
        <v>0</v>
      </c>
      <c r="H19" s="116">
        <f>'P &amp; NP'!AJ496</f>
        <v>0</v>
      </c>
      <c r="I19" s="116">
        <f>'P &amp; NP'!AY496</f>
        <v>0</v>
      </c>
      <c r="J19" s="116">
        <f>'P &amp; NP'!AZ496</f>
        <v>0</v>
      </c>
      <c r="K19" s="116">
        <f>'P &amp; NP'!BO496</f>
        <v>0</v>
      </c>
      <c r="L19" s="116">
        <f>'P &amp; NP'!BP496</f>
        <v>0</v>
      </c>
      <c r="M19" s="116">
        <f>'P &amp; NP'!CE496</f>
        <v>0</v>
      </c>
      <c r="N19" s="116">
        <f>'P &amp; NP'!CF496</f>
        <v>0</v>
      </c>
      <c r="O19" s="116">
        <f>'P &amp; NP'!CU496</f>
        <v>0</v>
      </c>
      <c r="P19" s="116">
        <f>'P &amp; NP'!CV496</f>
        <v>0</v>
      </c>
      <c r="Q19" s="116">
        <f>'P &amp; NP'!DK496</f>
        <v>0</v>
      </c>
      <c r="R19" s="116">
        <f>'P &amp; NP'!DL496</f>
        <v>0</v>
      </c>
      <c r="S19" s="116">
        <f>'P &amp; NP'!EA496</f>
        <v>0</v>
      </c>
      <c r="T19" s="116">
        <f>'P &amp; NP'!EB496</f>
        <v>0</v>
      </c>
      <c r="U19" s="116">
        <f>'P &amp; NP'!EQ496</f>
        <v>0</v>
      </c>
      <c r="V19" s="116">
        <f>'P &amp; NP'!ER496</f>
        <v>0</v>
      </c>
      <c r="W19" s="116">
        <f>'P &amp; NP'!FG496</f>
        <v>0</v>
      </c>
      <c r="X19" s="116">
        <f>'P &amp; NP'!FH496</f>
        <v>0</v>
      </c>
      <c r="Y19" s="116">
        <f>'P &amp; NP'!FW496</f>
        <v>0</v>
      </c>
      <c r="Z19" s="116">
        <f>'P &amp; NP'!FX496</f>
        <v>0</v>
      </c>
      <c r="AA19" s="116">
        <f>'P &amp; NP'!GM496</f>
        <v>0</v>
      </c>
      <c r="AB19" s="116">
        <f>'P &amp; NP'!GN496</f>
        <v>0</v>
      </c>
      <c r="AC19" s="116">
        <f>'P &amp; NP'!HC496</f>
        <v>0</v>
      </c>
      <c r="AD19" s="116">
        <f>'P &amp; NP'!HD496</f>
        <v>0</v>
      </c>
      <c r="AE19" s="116">
        <f>'P &amp; NP'!HS496</f>
        <v>0</v>
      </c>
      <c r="AF19" s="116">
        <f>'P &amp; NP'!HT496</f>
        <v>0</v>
      </c>
      <c r="AG19" s="116">
        <f>'P &amp; NP'!II496</f>
        <v>0</v>
      </c>
      <c r="AH19" s="116">
        <f>'P &amp; NP'!IJ496</f>
        <v>0</v>
      </c>
      <c r="AI19" s="116">
        <f>'P &amp; NP'!IY496</f>
        <v>0</v>
      </c>
      <c r="AJ19" s="116">
        <f>'P &amp; NP'!IZ496</f>
        <v>0</v>
      </c>
      <c r="AK19" s="116">
        <f>'P &amp; NP'!JO496</f>
        <v>0</v>
      </c>
      <c r="AL19" s="116">
        <f>'P &amp; NP'!JP496</f>
        <v>0</v>
      </c>
      <c r="AM19" s="116">
        <f>'P &amp; NP'!KE496</f>
        <v>0</v>
      </c>
      <c r="AN19" s="116">
        <f>'P &amp; NP'!KF496</f>
        <v>0</v>
      </c>
      <c r="AO19" s="116">
        <f>'P &amp; NP'!KU496</f>
        <v>0</v>
      </c>
      <c r="AP19" s="116">
        <f>'P &amp; NP'!KV496</f>
        <v>0</v>
      </c>
      <c r="AQ19" s="116">
        <f>'P &amp; NP'!LK496</f>
        <v>0</v>
      </c>
      <c r="AR19" s="116">
        <f>'P &amp; NP'!LL496</f>
        <v>0</v>
      </c>
      <c r="AS19" s="116">
        <f>'P &amp; NP'!MA496</f>
        <v>0</v>
      </c>
      <c r="AT19" s="116">
        <f>'P &amp; NP'!MB496</f>
        <v>0</v>
      </c>
      <c r="AU19" s="116">
        <f>'P &amp; NP'!MQ496</f>
        <v>0</v>
      </c>
      <c r="AV19" s="116">
        <f>'P &amp; NP'!MR496</f>
        <v>0</v>
      </c>
      <c r="AW19" s="116">
        <f>'P &amp; NP'!NG496</f>
        <v>0</v>
      </c>
      <c r="AX19" s="116">
        <f>'P &amp; NP'!NH496</f>
        <v>0</v>
      </c>
      <c r="AY19" s="116">
        <f>'P &amp; NP'!NW496</f>
        <v>0</v>
      </c>
      <c r="AZ19" s="116">
        <f>'P &amp; NP'!NX496</f>
        <v>0</v>
      </c>
      <c r="BA19" s="116">
        <f>'P &amp; NP'!OM496</f>
        <v>291245</v>
      </c>
      <c r="BB19" s="116">
        <f>'P &amp; NP'!ON496</f>
        <v>80853400</v>
      </c>
      <c r="BC19" s="116">
        <f>'P &amp; NP'!PC496</f>
        <v>0</v>
      </c>
      <c r="BD19" s="116">
        <f>'P &amp; NP'!PD496</f>
        <v>0</v>
      </c>
      <c r="BE19" s="116">
        <f>'P &amp; NP'!PS496</f>
        <v>0</v>
      </c>
      <c r="BF19" s="116">
        <f>'P &amp; NP'!PT496</f>
        <v>0</v>
      </c>
      <c r="BG19" s="116">
        <f>'P &amp; NP'!QI496</f>
        <v>0</v>
      </c>
      <c r="BH19" s="116">
        <f>'P &amp; NP'!QJ496</f>
        <v>0</v>
      </c>
      <c r="BI19" s="116">
        <f>'P &amp; NP'!QY496</f>
        <v>0</v>
      </c>
      <c r="BJ19" s="116">
        <f>'P &amp; NP'!QZ496</f>
        <v>0</v>
      </c>
      <c r="BK19" s="116">
        <f>'P &amp; NP'!RO496</f>
        <v>0</v>
      </c>
      <c r="BL19" s="116">
        <f>'P &amp; NP'!RP496</f>
        <v>0</v>
      </c>
      <c r="BM19" s="116">
        <f>'P &amp; NP'!SE496</f>
        <v>0</v>
      </c>
      <c r="BN19" s="116">
        <f>'P &amp; NP'!SF496</f>
        <v>0</v>
      </c>
      <c r="BO19" s="116">
        <f>'P &amp; NP'!SU496</f>
        <v>0</v>
      </c>
      <c r="BP19" s="116">
        <f>'P &amp; NP'!SV496</f>
        <v>0</v>
      </c>
      <c r="BQ19" s="116">
        <f>'P &amp; NP'!TK496</f>
        <v>0</v>
      </c>
      <c r="BR19" s="116">
        <f>'P &amp; NP'!TL496</f>
        <v>0</v>
      </c>
      <c r="BS19" s="116">
        <f>'P &amp; NP'!UA496</f>
        <v>0</v>
      </c>
      <c r="BT19" s="116">
        <f>'P &amp; NP'!UB496</f>
        <v>0</v>
      </c>
      <c r="BU19" s="116">
        <f>'P &amp; NP'!UQ496</f>
        <v>0</v>
      </c>
      <c r="BV19" s="116">
        <f>'P &amp; NP'!UR496</f>
        <v>0</v>
      </c>
      <c r="BW19" s="116">
        <f>'P &amp; NP'!VG496</f>
        <v>0</v>
      </c>
      <c r="BX19" s="116">
        <f>'P &amp; NP'!VH496</f>
        <v>0</v>
      </c>
      <c r="BY19" s="116">
        <f>'P &amp; NP'!VW496</f>
        <v>0</v>
      </c>
      <c r="BZ19" s="116">
        <f>'P &amp; NP'!VX496</f>
        <v>0</v>
      </c>
      <c r="CB19" s="206">
        <f t="shared" si="3"/>
        <v>291245</v>
      </c>
      <c r="CC19" s="206">
        <f t="shared" si="4"/>
        <v>80853400</v>
      </c>
    </row>
    <row r="20" spans="2:81">
      <c r="B20" s="207" t="str">
        <f>'P &amp; NP'!B26</f>
        <v>Kerong Kerong</v>
      </c>
      <c r="C20" s="116">
        <f>'P &amp; NP'!C497</f>
        <v>0</v>
      </c>
      <c r="D20" s="116">
        <f>'P &amp; NP'!D497</f>
        <v>0</v>
      </c>
      <c r="E20" s="116">
        <f>'P &amp; NP'!S497</f>
        <v>0</v>
      </c>
      <c r="F20" s="116">
        <f>'P &amp; NP'!T497</f>
        <v>0</v>
      </c>
      <c r="G20" s="116">
        <f>'P &amp; NP'!AI497</f>
        <v>0</v>
      </c>
      <c r="H20" s="116">
        <f>'P &amp; NP'!AJ497</f>
        <v>0</v>
      </c>
      <c r="I20" s="116">
        <f>'P &amp; NP'!AY497</f>
        <v>0</v>
      </c>
      <c r="J20" s="116">
        <f>'P &amp; NP'!AZ497</f>
        <v>0</v>
      </c>
      <c r="K20" s="116">
        <f>'P &amp; NP'!BO497</f>
        <v>0</v>
      </c>
      <c r="L20" s="116">
        <f>'P &amp; NP'!BP497</f>
        <v>0</v>
      </c>
      <c r="M20" s="116">
        <f>'P &amp; NP'!CE497</f>
        <v>0</v>
      </c>
      <c r="N20" s="116">
        <f>'P &amp; NP'!CF497</f>
        <v>0</v>
      </c>
      <c r="O20" s="116">
        <f>'P &amp; NP'!CU497</f>
        <v>0</v>
      </c>
      <c r="P20" s="116">
        <f>'P &amp; NP'!CV497</f>
        <v>0</v>
      </c>
      <c r="Q20" s="116">
        <f>'P &amp; NP'!DK497</f>
        <v>0</v>
      </c>
      <c r="R20" s="116">
        <f>'P &amp; NP'!DL497</f>
        <v>0</v>
      </c>
      <c r="S20" s="116">
        <f>'P &amp; NP'!EA497</f>
        <v>0</v>
      </c>
      <c r="T20" s="116">
        <f>'P &amp; NP'!EB497</f>
        <v>0</v>
      </c>
      <c r="U20" s="116">
        <f>'P &amp; NP'!EQ497</f>
        <v>0</v>
      </c>
      <c r="V20" s="116">
        <f>'P &amp; NP'!ER497</f>
        <v>0</v>
      </c>
      <c r="W20" s="116">
        <f>'P &amp; NP'!FG497</f>
        <v>0</v>
      </c>
      <c r="X20" s="116">
        <f>'P &amp; NP'!FH497</f>
        <v>0</v>
      </c>
      <c r="Y20" s="116">
        <f>'P &amp; NP'!FW497</f>
        <v>0</v>
      </c>
      <c r="Z20" s="116">
        <f>'P &amp; NP'!FX497</f>
        <v>0</v>
      </c>
      <c r="AA20" s="116">
        <f>'P &amp; NP'!GM497</f>
        <v>0</v>
      </c>
      <c r="AB20" s="116">
        <f>'P &amp; NP'!GN497</f>
        <v>0</v>
      </c>
      <c r="AC20" s="116">
        <f>'P &amp; NP'!HC497</f>
        <v>0</v>
      </c>
      <c r="AD20" s="116">
        <f>'P &amp; NP'!HD497</f>
        <v>0</v>
      </c>
      <c r="AE20" s="116">
        <f>'P &amp; NP'!HS497</f>
        <v>0</v>
      </c>
      <c r="AF20" s="116">
        <f>'P &amp; NP'!HT497</f>
        <v>0</v>
      </c>
      <c r="AG20" s="116">
        <f>'P &amp; NP'!II497</f>
        <v>0</v>
      </c>
      <c r="AH20" s="116">
        <f>'P &amp; NP'!IJ497</f>
        <v>0</v>
      </c>
      <c r="AI20" s="116">
        <f>'P &amp; NP'!IY497</f>
        <v>0</v>
      </c>
      <c r="AJ20" s="116">
        <f>'P &amp; NP'!IZ497</f>
        <v>0</v>
      </c>
      <c r="AK20" s="116">
        <f>'P &amp; NP'!JO497</f>
        <v>0</v>
      </c>
      <c r="AL20" s="116">
        <f>'P &amp; NP'!JP497</f>
        <v>0</v>
      </c>
      <c r="AM20" s="116">
        <f>'P &amp; NP'!KE497</f>
        <v>0</v>
      </c>
      <c r="AN20" s="116">
        <f>'P &amp; NP'!KF497</f>
        <v>0</v>
      </c>
      <c r="AO20" s="116">
        <f>'P &amp; NP'!KU497</f>
        <v>0</v>
      </c>
      <c r="AP20" s="116">
        <f>'P &amp; NP'!KV497</f>
        <v>0</v>
      </c>
      <c r="AQ20" s="116">
        <f>'P &amp; NP'!LK497</f>
        <v>0</v>
      </c>
      <c r="AR20" s="116">
        <f>'P &amp; NP'!LL497</f>
        <v>0</v>
      </c>
      <c r="AS20" s="116">
        <f>'P &amp; NP'!MA497</f>
        <v>0</v>
      </c>
      <c r="AT20" s="116">
        <f>'P &amp; NP'!MB497</f>
        <v>0</v>
      </c>
      <c r="AU20" s="116">
        <f>'P &amp; NP'!MQ497</f>
        <v>0</v>
      </c>
      <c r="AV20" s="116">
        <f>'P &amp; NP'!MR497</f>
        <v>0</v>
      </c>
      <c r="AW20" s="116">
        <f>'P &amp; NP'!NG497</f>
        <v>0</v>
      </c>
      <c r="AX20" s="116">
        <f>'P &amp; NP'!NH497</f>
        <v>0</v>
      </c>
      <c r="AY20" s="116">
        <f>'P &amp; NP'!NW497</f>
        <v>0</v>
      </c>
      <c r="AZ20" s="116">
        <f>'P &amp; NP'!NX497</f>
        <v>0</v>
      </c>
      <c r="BA20" s="116">
        <f>'P &amp; NP'!OM497</f>
        <v>0</v>
      </c>
      <c r="BB20" s="116">
        <f>'P &amp; NP'!ON497</f>
        <v>0</v>
      </c>
      <c r="BC20" s="116">
        <f>'P &amp; NP'!PC497</f>
        <v>0</v>
      </c>
      <c r="BD20" s="116">
        <f>'P &amp; NP'!PD497</f>
        <v>0</v>
      </c>
      <c r="BE20" s="116">
        <f>'P &amp; NP'!PS497</f>
        <v>0</v>
      </c>
      <c r="BF20" s="116">
        <f>'P &amp; NP'!PT497</f>
        <v>0</v>
      </c>
      <c r="BG20" s="116">
        <f>'P &amp; NP'!QI497</f>
        <v>0</v>
      </c>
      <c r="BH20" s="116">
        <f>'P &amp; NP'!QJ497</f>
        <v>0</v>
      </c>
      <c r="BI20" s="116">
        <f>'P &amp; NP'!QY497</f>
        <v>0</v>
      </c>
      <c r="BJ20" s="116">
        <f>'P &amp; NP'!QZ497</f>
        <v>0</v>
      </c>
      <c r="BK20" s="116">
        <f>'P &amp; NP'!RO497</f>
        <v>0</v>
      </c>
      <c r="BL20" s="116">
        <f>'P &amp; NP'!RP497</f>
        <v>0</v>
      </c>
      <c r="BM20" s="116">
        <f>'P &amp; NP'!SE497</f>
        <v>0</v>
      </c>
      <c r="BN20" s="116">
        <f>'P &amp; NP'!SF497</f>
        <v>0</v>
      </c>
      <c r="BO20" s="116">
        <f>'P &amp; NP'!SU497</f>
        <v>0</v>
      </c>
      <c r="BP20" s="116">
        <f>'P &amp; NP'!SV497</f>
        <v>0</v>
      </c>
      <c r="BQ20" s="116">
        <f>'P &amp; NP'!TK497</f>
        <v>0</v>
      </c>
      <c r="BR20" s="116">
        <f>'P &amp; NP'!TL497</f>
        <v>0</v>
      </c>
      <c r="BS20" s="116">
        <f>'P &amp; NP'!UA497</f>
        <v>0</v>
      </c>
      <c r="BT20" s="116">
        <f>'P &amp; NP'!UB497</f>
        <v>0</v>
      </c>
      <c r="BU20" s="116">
        <f>'P &amp; NP'!UQ497</f>
        <v>0</v>
      </c>
      <c r="BV20" s="116">
        <f>'P &amp; NP'!UR497</f>
        <v>0</v>
      </c>
      <c r="BW20" s="116">
        <f>'P &amp; NP'!VG497</f>
        <v>0</v>
      </c>
      <c r="BX20" s="116">
        <f>'P &amp; NP'!VH497</f>
        <v>0</v>
      </c>
      <c r="BY20" s="116">
        <f>'P &amp; NP'!VW497</f>
        <v>0</v>
      </c>
      <c r="BZ20" s="116">
        <f>'P &amp; NP'!VX497</f>
        <v>0</v>
      </c>
      <c r="CB20" s="206">
        <f t="shared" si="3"/>
        <v>0</v>
      </c>
      <c r="CC20" s="206">
        <f t="shared" si="4"/>
        <v>0</v>
      </c>
    </row>
    <row r="21" spans="2:81">
      <c r="B21" s="207" t="str">
        <f>'P &amp; NP'!B27</f>
        <v xml:space="preserve">Lele </v>
      </c>
      <c r="C21" s="116">
        <f>'P &amp; NP'!C498</f>
        <v>0</v>
      </c>
      <c r="D21" s="116">
        <f>'P &amp; NP'!D498</f>
        <v>0</v>
      </c>
      <c r="E21" s="116">
        <f>'P &amp; NP'!S498</f>
        <v>0</v>
      </c>
      <c r="F21" s="116">
        <f>'P &amp; NP'!T498</f>
        <v>0</v>
      </c>
      <c r="G21" s="116">
        <f>'P &amp; NP'!AI498</f>
        <v>0</v>
      </c>
      <c r="H21" s="116">
        <f>'P &amp; NP'!AJ498</f>
        <v>0</v>
      </c>
      <c r="I21" s="116">
        <f>'P &amp; NP'!AY498</f>
        <v>0</v>
      </c>
      <c r="J21" s="116">
        <f>'P &amp; NP'!AZ498</f>
        <v>0</v>
      </c>
      <c r="K21" s="116">
        <f>'P &amp; NP'!BO498</f>
        <v>0</v>
      </c>
      <c r="L21" s="116">
        <f>'P &amp; NP'!BP498</f>
        <v>0</v>
      </c>
      <c r="M21" s="116">
        <f>'P &amp; NP'!CE498</f>
        <v>0</v>
      </c>
      <c r="N21" s="116">
        <f>'P &amp; NP'!CF498</f>
        <v>0</v>
      </c>
      <c r="O21" s="116">
        <f>'P &amp; NP'!CU498</f>
        <v>0</v>
      </c>
      <c r="P21" s="116">
        <f>'P &amp; NP'!CV498</f>
        <v>0</v>
      </c>
      <c r="Q21" s="116">
        <f>'P &amp; NP'!DK498</f>
        <v>0</v>
      </c>
      <c r="R21" s="116">
        <f>'P &amp; NP'!DL498</f>
        <v>0</v>
      </c>
      <c r="S21" s="116">
        <f>'P &amp; NP'!EA498</f>
        <v>0</v>
      </c>
      <c r="T21" s="116">
        <f>'P &amp; NP'!EB498</f>
        <v>0</v>
      </c>
      <c r="U21" s="116">
        <f>'P &amp; NP'!EQ498</f>
        <v>0</v>
      </c>
      <c r="V21" s="116">
        <f>'P &amp; NP'!ER498</f>
        <v>0</v>
      </c>
      <c r="W21" s="116">
        <f>'P &amp; NP'!FG498</f>
        <v>0</v>
      </c>
      <c r="X21" s="116">
        <f>'P &amp; NP'!FH498</f>
        <v>0</v>
      </c>
      <c r="Y21" s="116">
        <f>'P &amp; NP'!FW498</f>
        <v>0</v>
      </c>
      <c r="Z21" s="116">
        <f>'P &amp; NP'!FX498</f>
        <v>0</v>
      </c>
      <c r="AA21" s="116">
        <f>'P &amp; NP'!GM498</f>
        <v>0</v>
      </c>
      <c r="AB21" s="116">
        <f>'P &amp; NP'!GN498</f>
        <v>0</v>
      </c>
      <c r="AC21" s="116">
        <f>'P &amp; NP'!HC498</f>
        <v>0</v>
      </c>
      <c r="AD21" s="116">
        <f>'P &amp; NP'!HD498</f>
        <v>0</v>
      </c>
      <c r="AE21" s="116">
        <f>'P &amp; NP'!HS498</f>
        <v>0</v>
      </c>
      <c r="AF21" s="116">
        <f>'P &amp; NP'!HT498</f>
        <v>0</v>
      </c>
      <c r="AG21" s="116">
        <f>'P &amp; NP'!II498</f>
        <v>0</v>
      </c>
      <c r="AH21" s="116">
        <f>'P &amp; NP'!IJ498</f>
        <v>0</v>
      </c>
      <c r="AI21" s="116">
        <f>'P &amp; NP'!IY498</f>
        <v>0</v>
      </c>
      <c r="AJ21" s="116">
        <f>'P &amp; NP'!IZ498</f>
        <v>0</v>
      </c>
      <c r="AK21" s="116">
        <f>'P &amp; NP'!JO498</f>
        <v>0</v>
      </c>
      <c r="AL21" s="116">
        <f>'P &amp; NP'!JP498</f>
        <v>0</v>
      </c>
      <c r="AM21" s="116">
        <f>'P &amp; NP'!KE498</f>
        <v>0</v>
      </c>
      <c r="AN21" s="116">
        <f>'P &amp; NP'!KF498</f>
        <v>0</v>
      </c>
      <c r="AO21" s="116">
        <f>'P &amp; NP'!KU498</f>
        <v>0</v>
      </c>
      <c r="AP21" s="116">
        <f>'P &amp; NP'!KV498</f>
        <v>0</v>
      </c>
      <c r="AQ21" s="116">
        <f>'P &amp; NP'!LK498</f>
        <v>0</v>
      </c>
      <c r="AR21" s="116">
        <f>'P &amp; NP'!LL498</f>
        <v>0</v>
      </c>
      <c r="AS21" s="116">
        <f>'P &amp; NP'!MA498</f>
        <v>0</v>
      </c>
      <c r="AT21" s="116">
        <f>'P &amp; NP'!MB498</f>
        <v>0</v>
      </c>
      <c r="AU21" s="116">
        <f>'P &amp; NP'!MQ498</f>
        <v>0</v>
      </c>
      <c r="AV21" s="116">
        <f>'P &amp; NP'!MR498</f>
        <v>0</v>
      </c>
      <c r="AW21" s="116">
        <f>'P &amp; NP'!NG498</f>
        <v>0</v>
      </c>
      <c r="AX21" s="116">
        <f>'P &amp; NP'!NH498</f>
        <v>0</v>
      </c>
      <c r="AY21" s="116">
        <f>'P &amp; NP'!NW498</f>
        <v>0</v>
      </c>
      <c r="AZ21" s="116">
        <f>'P &amp; NP'!NX498</f>
        <v>0</v>
      </c>
      <c r="BA21" s="116">
        <f>'P &amp; NP'!OM498</f>
        <v>0</v>
      </c>
      <c r="BB21" s="116">
        <f>'P &amp; NP'!ON498</f>
        <v>0</v>
      </c>
      <c r="BC21" s="116">
        <f>'P &amp; NP'!PC498</f>
        <v>0</v>
      </c>
      <c r="BD21" s="116">
        <f>'P &amp; NP'!PD498</f>
        <v>0</v>
      </c>
      <c r="BE21" s="116">
        <f>'P &amp; NP'!PS498</f>
        <v>0</v>
      </c>
      <c r="BF21" s="116">
        <f>'P &amp; NP'!PT498</f>
        <v>0</v>
      </c>
      <c r="BG21" s="116">
        <f>'P &amp; NP'!QI498</f>
        <v>0</v>
      </c>
      <c r="BH21" s="116">
        <f>'P &amp; NP'!QJ498</f>
        <v>0</v>
      </c>
      <c r="BI21" s="116">
        <f>'P &amp; NP'!QY498</f>
        <v>0</v>
      </c>
      <c r="BJ21" s="116">
        <f>'P &amp; NP'!QZ498</f>
        <v>0</v>
      </c>
      <c r="BK21" s="116">
        <f>'P &amp; NP'!RO498</f>
        <v>0</v>
      </c>
      <c r="BL21" s="116">
        <f>'P &amp; NP'!RP498</f>
        <v>0</v>
      </c>
      <c r="BM21" s="116">
        <f>'P &amp; NP'!SE498</f>
        <v>0</v>
      </c>
      <c r="BN21" s="116">
        <f>'P &amp; NP'!SF498</f>
        <v>0</v>
      </c>
      <c r="BO21" s="116">
        <f>'P &amp; NP'!SU498</f>
        <v>0</v>
      </c>
      <c r="BP21" s="116">
        <f>'P &amp; NP'!SV498</f>
        <v>0</v>
      </c>
      <c r="BQ21" s="116">
        <f>'P &amp; NP'!TK498</f>
        <v>0</v>
      </c>
      <c r="BR21" s="116">
        <f>'P &amp; NP'!TL498</f>
        <v>0</v>
      </c>
      <c r="BS21" s="116">
        <f>'P &amp; NP'!UA498</f>
        <v>0</v>
      </c>
      <c r="BT21" s="116">
        <f>'P &amp; NP'!UB498</f>
        <v>0</v>
      </c>
      <c r="BU21" s="116">
        <f>'P &amp; NP'!UQ498</f>
        <v>0</v>
      </c>
      <c r="BV21" s="116">
        <f>'P &amp; NP'!UR498</f>
        <v>0</v>
      </c>
      <c r="BW21" s="116">
        <f>'P &amp; NP'!VG498</f>
        <v>0</v>
      </c>
      <c r="BX21" s="116">
        <f>'P &amp; NP'!VH498</f>
        <v>0</v>
      </c>
      <c r="BY21" s="116">
        <f>'P &amp; NP'!VW498</f>
        <v>0</v>
      </c>
      <c r="BZ21" s="116">
        <f>'P &amp; NP'!VX498</f>
        <v>0</v>
      </c>
      <c r="CB21" s="206">
        <f t="shared" si="3"/>
        <v>0</v>
      </c>
      <c r="CC21" s="206">
        <f t="shared" si="4"/>
        <v>0</v>
      </c>
    </row>
    <row r="22" spans="2:81">
      <c r="B22" s="207" t="str">
        <f>'P &amp; NP'!B28</f>
        <v xml:space="preserve">Lobster Air Laut </v>
      </c>
      <c r="C22" s="116">
        <f>'P &amp; NP'!C499</f>
        <v>0</v>
      </c>
      <c r="D22" s="116">
        <f>'P &amp; NP'!D499</f>
        <v>0</v>
      </c>
      <c r="E22" s="116">
        <f>'P &amp; NP'!S499</f>
        <v>9710</v>
      </c>
      <c r="F22" s="116">
        <f>'P &amp; NP'!T499</f>
        <v>3398500</v>
      </c>
      <c r="G22" s="116">
        <f>'P &amp; NP'!AI499</f>
        <v>0</v>
      </c>
      <c r="H22" s="116">
        <f>'P &amp; NP'!AJ499</f>
        <v>0</v>
      </c>
      <c r="I22" s="116">
        <f>'P &amp; NP'!AY499</f>
        <v>0</v>
      </c>
      <c r="J22" s="116">
        <f>'P &amp; NP'!AZ499</f>
        <v>0</v>
      </c>
      <c r="K22" s="116">
        <f>'P &amp; NP'!BO499</f>
        <v>0</v>
      </c>
      <c r="L22" s="116">
        <f>'P &amp; NP'!BP499</f>
        <v>0</v>
      </c>
      <c r="M22" s="116">
        <f>'P &amp; NP'!CE499</f>
        <v>0</v>
      </c>
      <c r="N22" s="116">
        <f>'P &amp; NP'!CF499</f>
        <v>0</v>
      </c>
      <c r="O22" s="116">
        <f>'P &amp; NP'!CU499</f>
        <v>0</v>
      </c>
      <c r="P22" s="116">
        <f>'P &amp; NP'!CV499</f>
        <v>0</v>
      </c>
      <c r="Q22" s="116">
        <f>'P &amp; NP'!DK499</f>
        <v>0</v>
      </c>
      <c r="R22" s="116">
        <f>'P &amp; NP'!DL499</f>
        <v>0</v>
      </c>
      <c r="S22" s="116">
        <f>'P &amp; NP'!EA499</f>
        <v>0</v>
      </c>
      <c r="T22" s="116">
        <f>'P &amp; NP'!EB499</f>
        <v>0</v>
      </c>
      <c r="U22" s="116">
        <f>'P &amp; NP'!EQ499</f>
        <v>0</v>
      </c>
      <c r="V22" s="116">
        <f>'P &amp; NP'!ER499</f>
        <v>0</v>
      </c>
      <c r="W22" s="116">
        <f>'P &amp; NP'!FG499</f>
        <v>0</v>
      </c>
      <c r="X22" s="116">
        <f>'P &amp; NP'!FH499</f>
        <v>0</v>
      </c>
      <c r="Y22" s="116">
        <f>'P &amp; NP'!FW499</f>
        <v>0</v>
      </c>
      <c r="Z22" s="116">
        <f>'P &amp; NP'!FX499</f>
        <v>0</v>
      </c>
      <c r="AA22" s="116">
        <f>'P &amp; NP'!GM499</f>
        <v>0</v>
      </c>
      <c r="AB22" s="116">
        <f>'P &amp; NP'!GN499</f>
        <v>0</v>
      </c>
      <c r="AC22" s="116">
        <f>'P &amp; NP'!HC499</f>
        <v>0</v>
      </c>
      <c r="AD22" s="116">
        <f>'P &amp; NP'!HD499</f>
        <v>0</v>
      </c>
      <c r="AE22" s="116">
        <f>'P &amp; NP'!HS499</f>
        <v>0</v>
      </c>
      <c r="AF22" s="116">
        <f>'P &amp; NP'!HT499</f>
        <v>0</v>
      </c>
      <c r="AG22" s="116">
        <f>'P &amp; NP'!II499</f>
        <v>0</v>
      </c>
      <c r="AH22" s="116">
        <f>'P &amp; NP'!IJ499</f>
        <v>0</v>
      </c>
      <c r="AI22" s="116">
        <f>'P &amp; NP'!IY499</f>
        <v>0</v>
      </c>
      <c r="AJ22" s="116">
        <f>'P &amp; NP'!IZ499</f>
        <v>0</v>
      </c>
      <c r="AK22" s="116">
        <f>'P &amp; NP'!JO499</f>
        <v>0</v>
      </c>
      <c r="AL22" s="116">
        <f>'P &amp; NP'!JP499</f>
        <v>0</v>
      </c>
      <c r="AM22" s="116">
        <f>'P &amp; NP'!KE499</f>
        <v>0</v>
      </c>
      <c r="AN22" s="116">
        <f>'P &amp; NP'!KF499</f>
        <v>0</v>
      </c>
      <c r="AO22" s="116">
        <f>'P &amp; NP'!KU499</f>
        <v>0</v>
      </c>
      <c r="AP22" s="116">
        <f>'P &amp; NP'!KV499</f>
        <v>0</v>
      </c>
      <c r="AQ22" s="116">
        <f>'P &amp; NP'!LK499</f>
        <v>0</v>
      </c>
      <c r="AR22" s="116">
        <f>'P &amp; NP'!LL499</f>
        <v>0</v>
      </c>
      <c r="AS22" s="116">
        <f>'P &amp; NP'!MA499</f>
        <v>0</v>
      </c>
      <c r="AT22" s="116">
        <f>'P &amp; NP'!MB499</f>
        <v>0</v>
      </c>
      <c r="AU22" s="116">
        <f>'P &amp; NP'!MQ499</f>
        <v>0</v>
      </c>
      <c r="AV22" s="116">
        <f>'P &amp; NP'!MR499</f>
        <v>0</v>
      </c>
      <c r="AW22" s="116">
        <f>'P &amp; NP'!NG499</f>
        <v>0</v>
      </c>
      <c r="AX22" s="116">
        <f>'P &amp; NP'!NH499</f>
        <v>0</v>
      </c>
      <c r="AY22" s="116">
        <f>'P &amp; NP'!NW499</f>
        <v>2560</v>
      </c>
      <c r="AZ22" s="116">
        <f>'P &amp; NP'!NX499</f>
        <v>869750</v>
      </c>
      <c r="BA22" s="116">
        <f>'P &amp; NP'!OM499</f>
        <v>0</v>
      </c>
      <c r="BB22" s="116">
        <f>'P &amp; NP'!ON499</f>
        <v>0</v>
      </c>
      <c r="BC22" s="116">
        <f>'P &amp; NP'!PC499</f>
        <v>463</v>
      </c>
      <c r="BD22" s="116">
        <f>'P &amp; NP'!PD499</f>
        <v>60190</v>
      </c>
      <c r="BE22" s="116">
        <f>'P &amp; NP'!PS499</f>
        <v>0</v>
      </c>
      <c r="BF22" s="116">
        <f>'P &amp; NP'!PT499</f>
        <v>0</v>
      </c>
      <c r="BG22" s="116">
        <f>'P &amp; NP'!QI499</f>
        <v>0</v>
      </c>
      <c r="BH22" s="116">
        <f>'P &amp; NP'!QJ499</f>
        <v>0</v>
      </c>
      <c r="BI22" s="116">
        <f>'P &amp; NP'!QY499</f>
        <v>0</v>
      </c>
      <c r="BJ22" s="116">
        <f>'P &amp; NP'!QZ499</f>
        <v>0</v>
      </c>
      <c r="BK22" s="116">
        <f>'P &amp; NP'!RO499</f>
        <v>0</v>
      </c>
      <c r="BL22" s="116">
        <f>'P &amp; NP'!RP499</f>
        <v>0</v>
      </c>
      <c r="BM22" s="116">
        <f>'P &amp; NP'!SE499</f>
        <v>0</v>
      </c>
      <c r="BN22" s="116">
        <f>'P &amp; NP'!SF499</f>
        <v>0</v>
      </c>
      <c r="BO22" s="116">
        <f>'P &amp; NP'!SU499</f>
        <v>0</v>
      </c>
      <c r="BP22" s="116">
        <f>'P &amp; NP'!SV499</f>
        <v>0</v>
      </c>
      <c r="BQ22" s="116">
        <f>'P &amp; NP'!TK499</f>
        <v>0</v>
      </c>
      <c r="BR22" s="116">
        <f>'P &amp; NP'!TL499</f>
        <v>0</v>
      </c>
      <c r="BS22" s="116">
        <f>'P &amp; NP'!UA499</f>
        <v>0</v>
      </c>
      <c r="BT22" s="116">
        <f>'P &amp; NP'!UB499</f>
        <v>0</v>
      </c>
      <c r="BU22" s="116">
        <f>'P &amp; NP'!UQ499</f>
        <v>0</v>
      </c>
      <c r="BV22" s="116">
        <f>'P &amp; NP'!UR499</f>
        <v>0</v>
      </c>
      <c r="BW22" s="116">
        <f>'P &amp; NP'!VG499</f>
        <v>0</v>
      </c>
      <c r="BX22" s="116">
        <f>'P &amp; NP'!VH499</f>
        <v>0</v>
      </c>
      <c r="BY22" s="116">
        <f>'P &amp; NP'!VW499</f>
        <v>0</v>
      </c>
      <c r="BZ22" s="116">
        <f>'P &amp; NP'!VX499</f>
        <v>0</v>
      </c>
      <c r="CB22" s="206">
        <f t="shared" si="3"/>
        <v>12733</v>
      </c>
      <c r="CC22" s="206">
        <f t="shared" si="4"/>
        <v>4328440</v>
      </c>
    </row>
    <row r="23" spans="2:81">
      <c r="B23" s="207" t="str">
        <f>'P &amp; NP'!B29</f>
        <v xml:space="preserve">Lobster Air Tawar, Cherax </v>
      </c>
      <c r="C23" s="116">
        <f>'P &amp; NP'!C500</f>
        <v>0</v>
      </c>
      <c r="D23" s="116">
        <f>'P &amp; NP'!D500</f>
        <v>0</v>
      </c>
      <c r="E23" s="116">
        <f>'P &amp; NP'!S500</f>
        <v>0</v>
      </c>
      <c r="F23" s="116">
        <f>'P &amp; NP'!T500</f>
        <v>0</v>
      </c>
      <c r="G23" s="116">
        <f>'P &amp; NP'!AI500</f>
        <v>0</v>
      </c>
      <c r="H23" s="116">
        <f>'P &amp; NP'!AJ500</f>
        <v>0</v>
      </c>
      <c r="I23" s="116">
        <f>'P &amp; NP'!AY500</f>
        <v>0</v>
      </c>
      <c r="J23" s="116">
        <f>'P &amp; NP'!AZ500</f>
        <v>0</v>
      </c>
      <c r="K23" s="116">
        <f>'P &amp; NP'!BO500</f>
        <v>0</v>
      </c>
      <c r="L23" s="116">
        <f>'P &amp; NP'!BP500</f>
        <v>0</v>
      </c>
      <c r="M23" s="116">
        <f>'P &amp; NP'!CE500</f>
        <v>0</v>
      </c>
      <c r="N23" s="116">
        <f>'P &amp; NP'!CF500</f>
        <v>0</v>
      </c>
      <c r="O23" s="116">
        <f>'P &amp; NP'!CU500</f>
        <v>0</v>
      </c>
      <c r="P23" s="116">
        <f>'P &amp; NP'!CV500</f>
        <v>0</v>
      </c>
      <c r="Q23" s="116">
        <f>'P &amp; NP'!DK500</f>
        <v>0</v>
      </c>
      <c r="R23" s="116">
        <f>'P &amp; NP'!DL500</f>
        <v>0</v>
      </c>
      <c r="S23" s="116">
        <f>'P &amp; NP'!EA500</f>
        <v>0</v>
      </c>
      <c r="T23" s="116">
        <f>'P &amp; NP'!EB500</f>
        <v>0</v>
      </c>
      <c r="U23" s="116">
        <f>'P &amp; NP'!EQ500</f>
        <v>0</v>
      </c>
      <c r="V23" s="116">
        <f>'P &amp; NP'!ER500</f>
        <v>0</v>
      </c>
      <c r="W23" s="116">
        <f>'P &amp; NP'!FG500</f>
        <v>0</v>
      </c>
      <c r="X23" s="116">
        <f>'P &amp; NP'!FH500</f>
        <v>0</v>
      </c>
      <c r="Y23" s="116">
        <f>'P &amp; NP'!FW500</f>
        <v>0</v>
      </c>
      <c r="Z23" s="116">
        <f>'P &amp; NP'!FX500</f>
        <v>0</v>
      </c>
      <c r="AA23" s="116">
        <f>'P &amp; NP'!GM500</f>
        <v>0</v>
      </c>
      <c r="AB23" s="116">
        <f>'P &amp; NP'!GN500</f>
        <v>0</v>
      </c>
      <c r="AC23" s="116">
        <f>'P &amp; NP'!HC500</f>
        <v>0</v>
      </c>
      <c r="AD23" s="116">
        <f>'P &amp; NP'!HD500</f>
        <v>0</v>
      </c>
      <c r="AE23" s="116">
        <f>'P &amp; NP'!HS500</f>
        <v>0</v>
      </c>
      <c r="AF23" s="116">
        <f>'P &amp; NP'!HT500</f>
        <v>0</v>
      </c>
      <c r="AG23" s="116">
        <f>'P &amp; NP'!II500</f>
        <v>0</v>
      </c>
      <c r="AH23" s="116">
        <f>'P &amp; NP'!IJ500</f>
        <v>0</v>
      </c>
      <c r="AI23" s="116">
        <f>'P &amp; NP'!IY500</f>
        <v>0</v>
      </c>
      <c r="AJ23" s="116">
        <f>'P &amp; NP'!IZ500</f>
        <v>0</v>
      </c>
      <c r="AK23" s="116">
        <f>'P &amp; NP'!JO500</f>
        <v>0</v>
      </c>
      <c r="AL23" s="116">
        <f>'P &amp; NP'!JP500</f>
        <v>0</v>
      </c>
      <c r="AM23" s="116">
        <f>'P &amp; NP'!KE500</f>
        <v>0</v>
      </c>
      <c r="AN23" s="116">
        <f>'P &amp; NP'!KF500</f>
        <v>0</v>
      </c>
      <c r="AO23" s="116">
        <f>'P &amp; NP'!KU500</f>
        <v>0</v>
      </c>
      <c r="AP23" s="116">
        <f>'P &amp; NP'!KV500</f>
        <v>0</v>
      </c>
      <c r="AQ23" s="116">
        <f>'P &amp; NP'!LK500</f>
        <v>0</v>
      </c>
      <c r="AR23" s="116">
        <f>'P &amp; NP'!LL500</f>
        <v>0</v>
      </c>
      <c r="AS23" s="116">
        <f>'P &amp; NP'!MA500</f>
        <v>0</v>
      </c>
      <c r="AT23" s="116">
        <f>'P &amp; NP'!MB500</f>
        <v>0</v>
      </c>
      <c r="AU23" s="116">
        <f>'P &amp; NP'!MQ500</f>
        <v>0</v>
      </c>
      <c r="AV23" s="116">
        <f>'P &amp; NP'!MR500</f>
        <v>0</v>
      </c>
      <c r="AW23" s="116">
        <f>'P &amp; NP'!NG500</f>
        <v>0</v>
      </c>
      <c r="AX23" s="116">
        <f>'P &amp; NP'!NH500</f>
        <v>0</v>
      </c>
      <c r="AY23" s="116">
        <f>'P &amp; NP'!NW500</f>
        <v>0</v>
      </c>
      <c r="AZ23" s="116">
        <f>'P &amp; NP'!NX500</f>
        <v>0</v>
      </c>
      <c r="BA23" s="116">
        <f>'P &amp; NP'!OM500</f>
        <v>0</v>
      </c>
      <c r="BB23" s="116">
        <f>'P &amp; NP'!ON500</f>
        <v>0</v>
      </c>
      <c r="BC23" s="116">
        <f>'P &amp; NP'!PC500</f>
        <v>0</v>
      </c>
      <c r="BD23" s="116">
        <f>'P &amp; NP'!PD500</f>
        <v>0</v>
      </c>
      <c r="BE23" s="116">
        <f>'P &amp; NP'!PS500</f>
        <v>0</v>
      </c>
      <c r="BF23" s="116">
        <f>'P &amp; NP'!PT500</f>
        <v>0</v>
      </c>
      <c r="BG23" s="116">
        <f>'P &amp; NP'!QI500</f>
        <v>0</v>
      </c>
      <c r="BH23" s="116">
        <f>'P &amp; NP'!QJ500</f>
        <v>0</v>
      </c>
      <c r="BI23" s="116">
        <f>'P &amp; NP'!QY500</f>
        <v>0</v>
      </c>
      <c r="BJ23" s="116">
        <f>'P &amp; NP'!QZ500</f>
        <v>0</v>
      </c>
      <c r="BK23" s="116">
        <f>'P &amp; NP'!RO500</f>
        <v>0</v>
      </c>
      <c r="BL23" s="116">
        <f>'P &amp; NP'!RP500</f>
        <v>0</v>
      </c>
      <c r="BM23" s="116">
        <f>'P &amp; NP'!SE500</f>
        <v>0</v>
      </c>
      <c r="BN23" s="116">
        <f>'P &amp; NP'!SF500</f>
        <v>0</v>
      </c>
      <c r="BO23" s="116">
        <f>'P &amp; NP'!SU500</f>
        <v>0</v>
      </c>
      <c r="BP23" s="116">
        <f>'P &amp; NP'!SV500</f>
        <v>0</v>
      </c>
      <c r="BQ23" s="116">
        <f>'P &amp; NP'!TK500</f>
        <v>0</v>
      </c>
      <c r="BR23" s="116">
        <f>'P &amp; NP'!TL500</f>
        <v>0</v>
      </c>
      <c r="BS23" s="116">
        <f>'P &amp; NP'!UA500</f>
        <v>0</v>
      </c>
      <c r="BT23" s="116">
        <f>'P &amp; NP'!UB500</f>
        <v>0</v>
      </c>
      <c r="BU23" s="116">
        <f>'P &amp; NP'!UQ500</f>
        <v>0</v>
      </c>
      <c r="BV23" s="116">
        <f>'P &amp; NP'!UR500</f>
        <v>0</v>
      </c>
      <c r="BW23" s="116">
        <f>'P &amp; NP'!VG500</f>
        <v>0</v>
      </c>
      <c r="BX23" s="116">
        <f>'P &amp; NP'!VH500</f>
        <v>0</v>
      </c>
      <c r="BY23" s="116">
        <f>'P &amp; NP'!VW500</f>
        <v>0</v>
      </c>
      <c r="BZ23" s="116">
        <f>'P &amp; NP'!VX500</f>
        <v>0</v>
      </c>
      <c r="CB23" s="206">
        <f t="shared" si="3"/>
        <v>0</v>
      </c>
      <c r="CC23" s="206">
        <f t="shared" si="4"/>
        <v>0</v>
      </c>
    </row>
    <row r="24" spans="2:81">
      <c r="B24" s="207" t="str">
        <f>'P &amp; NP'!B30</f>
        <v xml:space="preserve">Mas, Ikan Mas, Karper </v>
      </c>
      <c r="C24" s="116">
        <f>'P &amp; NP'!C501</f>
        <v>0</v>
      </c>
      <c r="D24" s="116">
        <f>'P &amp; NP'!D501</f>
        <v>0</v>
      </c>
      <c r="E24" s="116">
        <f>'P &amp; NP'!S501</f>
        <v>0</v>
      </c>
      <c r="F24" s="116">
        <f>'P &amp; NP'!T501</f>
        <v>0</v>
      </c>
      <c r="G24" s="116">
        <f>'P &amp; NP'!AI501</f>
        <v>0</v>
      </c>
      <c r="H24" s="116">
        <f>'P &amp; NP'!AJ501</f>
        <v>0</v>
      </c>
      <c r="I24" s="116">
        <f>'P &amp; NP'!AY501</f>
        <v>0</v>
      </c>
      <c r="J24" s="116">
        <f>'P &amp; NP'!AZ501</f>
        <v>0</v>
      </c>
      <c r="K24" s="116">
        <f>'P &amp; NP'!BO501</f>
        <v>0</v>
      </c>
      <c r="L24" s="116">
        <f>'P &amp; NP'!BP501</f>
        <v>0</v>
      </c>
      <c r="M24" s="116">
        <f>'P &amp; NP'!CE501</f>
        <v>0</v>
      </c>
      <c r="N24" s="116">
        <f>'P &amp; NP'!CF501</f>
        <v>0</v>
      </c>
      <c r="O24" s="116">
        <f>'P &amp; NP'!CU501</f>
        <v>0</v>
      </c>
      <c r="P24" s="116">
        <f>'P &amp; NP'!CV501</f>
        <v>0</v>
      </c>
      <c r="Q24" s="116">
        <f>'P &amp; NP'!DK501</f>
        <v>0</v>
      </c>
      <c r="R24" s="116">
        <f>'P &amp; NP'!DL501</f>
        <v>0</v>
      </c>
      <c r="S24" s="116">
        <f>'P &amp; NP'!EA501</f>
        <v>0</v>
      </c>
      <c r="T24" s="116">
        <f>'P &amp; NP'!EB501</f>
        <v>0</v>
      </c>
      <c r="U24" s="116">
        <f>'P &amp; NP'!EQ501</f>
        <v>0</v>
      </c>
      <c r="V24" s="116">
        <f>'P &amp; NP'!ER501</f>
        <v>0</v>
      </c>
      <c r="W24" s="116">
        <f>'P &amp; NP'!FG501</f>
        <v>0</v>
      </c>
      <c r="X24" s="116">
        <f>'P &amp; NP'!FH501</f>
        <v>0</v>
      </c>
      <c r="Y24" s="116">
        <f>'P &amp; NP'!FW501</f>
        <v>0</v>
      </c>
      <c r="Z24" s="116">
        <f>'P &amp; NP'!FX501</f>
        <v>0</v>
      </c>
      <c r="AA24" s="116">
        <f>'P &amp; NP'!GM501</f>
        <v>0</v>
      </c>
      <c r="AB24" s="116">
        <f>'P &amp; NP'!GN501</f>
        <v>0</v>
      </c>
      <c r="AC24" s="116">
        <f>'P &amp; NP'!HC501</f>
        <v>0</v>
      </c>
      <c r="AD24" s="116">
        <f>'P &amp; NP'!HD501</f>
        <v>0</v>
      </c>
      <c r="AE24" s="116">
        <f>'P &amp; NP'!HS501</f>
        <v>0</v>
      </c>
      <c r="AF24" s="116">
        <f>'P &amp; NP'!HT501</f>
        <v>0</v>
      </c>
      <c r="AG24" s="116">
        <f>'P &amp; NP'!II501</f>
        <v>0</v>
      </c>
      <c r="AH24" s="116">
        <f>'P &amp; NP'!IJ501</f>
        <v>0</v>
      </c>
      <c r="AI24" s="116">
        <f>'P &amp; NP'!IY501</f>
        <v>0</v>
      </c>
      <c r="AJ24" s="116">
        <f>'P &amp; NP'!IZ501</f>
        <v>0</v>
      </c>
      <c r="AK24" s="116">
        <f>'P &amp; NP'!JO501</f>
        <v>0</v>
      </c>
      <c r="AL24" s="116">
        <f>'P &amp; NP'!JP501</f>
        <v>0</v>
      </c>
      <c r="AM24" s="116">
        <f>'P &amp; NP'!KE501</f>
        <v>0</v>
      </c>
      <c r="AN24" s="116">
        <f>'P &amp; NP'!KF501</f>
        <v>0</v>
      </c>
      <c r="AO24" s="116">
        <f>'P &amp; NP'!KU501</f>
        <v>0</v>
      </c>
      <c r="AP24" s="116">
        <f>'P &amp; NP'!KV501</f>
        <v>0</v>
      </c>
      <c r="AQ24" s="116">
        <f>'P &amp; NP'!LK501</f>
        <v>0</v>
      </c>
      <c r="AR24" s="116">
        <f>'P &amp; NP'!LL501</f>
        <v>0</v>
      </c>
      <c r="AS24" s="116">
        <f>'P &amp; NP'!MA501</f>
        <v>0</v>
      </c>
      <c r="AT24" s="116">
        <f>'P &amp; NP'!MB501</f>
        <v>0</v>
      </c>
      <c r="AU24" s="116">
        <f>'P &amp; NP'!MQ501</f>
        <v>0</v>
      </c>
      <c r="AV24" s="116">
        <f>'P &amp; NP'!MR501</f>
        <v>0</v>
      </c>
      <c r="AW24" s="116">
        <f>'P &amp; NP'!NG501</f>
        <v>0</v>
      </c>
      <c r="AX24" s="116">
        <f>'P &amp; NP'!NH501</f>
        <v>0</v>
      </c>
      <c r="AY24" s="116">
        <f>'P &amp; NP'!NW501</f>
        <v>0</v>
      </c>
      <c r="AZ24" s="116">
        <f>'P &amp; NP'!NX501</f>
        <v>0</v>
      </c>
      <c r="BA24" s="116">
        <f>'P &amp; NP'!OM501</f>
        <v>0</v>
      </c>
      <c r="BB24" s="116">
        <f>'P &amp; NP'!ON501</f>
        <v>0</v>
      </c>
      <c r="BC24" s="116">
        <f>'P &amp; NP'!PC501</f>
        <v>0</v>
      </c>
      <c r="BD24" s="116">
        <f>'P &amp; NP'!PD501</f>
        <v>0</v>
      </c>
      <c r="BE24" s="116">
        <f>'P &amp; NP'!PS501</f>
        <v>0</v>
      </c>
      <c r="BF24" s="116">
        <f>'P &amp; NP'!PT501</f>
        <v>0</v>
      </c>
      <c r="BG24" s="116">
        <f>'P &amp; NP'!QI501</f>
        <v>0</v>
      </c>
      <c r="BH24" s="116">
        <f>'P &amp; NP'!QJ501</f>
        <v>0</v>
      </c>
      <c r="BI24" s="116">
        <f>'P &amp; NP'!QY501</f>
        <v>0</v>
      </c>
      <c r="BJ24" s="116">
        <f>'P &amp; NP'!QZ501</f>
        <v>0</v>
      </c>
      <c r="BK24" s="116">
        <f>'P &amp; NP'!RO501</f>
        <v>0</v>
      </c>
      <c r="BL24" s="116">
        <f>'P &amp; NP'!RP501</f>
        <v>0</v>
      </c>
      <c r="BM24" s="116">
        <f>'P &amp; NP'!SE501</f>
        <v>0</v>
      </c>
      <c r="BN24" s="116">
        <f>'P &amp; NP'!SF501</f>
        <v>0</v>
      </c>
      <c r="BO24" s="116">
        <f>'P &amp; NP'!SU501</f>
        <v>0</v>
      </c>
      <c r="BP24" s="116">
        <f>'P &amp; NP'!SV501</f>
        <v>0</v>
      </c>
      <c r="BQ24" s="116">
        <f>'P &amp; NP'!TK501</f>
        <v>0</v>
      </c>
      <c r="BR24" s="116">
        <f>'P &amp; NP'!TL501</f>
        <v>0</v>
      </c>
      <c r="BS24" s="116">
        <f>'P &amp; NP'!UA501</f>
        <v>0</v>
      </c>
      <c r="BT24" s="116">
        <f>'P &amp; NP'!UB501</f>
        <v>0</v>
      </c>
      <c r="BU24" s="116">
        <f>'P &amp; NP'!UQ501</f>
        <v>0</v>
      </c>
      <c r="BV24" s="116">
        <f>'P &amp; NP'!UR501</f>
        <v>0</v>
      </c>
      <c r="BW24" s="116">
        <f>'P &amp; NP'!VG501</f>
        <v>0</v>
      </c>
      <c r="BX24" s="116">
        <f>'P &amp; NP'!VH501</f>
        <v>0</v>
      </c>
      <c r="BY24" s="116">
        <f>'P &amp; NP'!VW501</f>
        <v>0</v>
      </c>
      <c r="BZ24" s="116">
        <f>'P &amp; NP'!VX501</f>
        <v>0</v>
      </c>
      <c r="CB24" s="206">
        <f t="shared" si="3"/>
        <v>0</v>
      </c>
      <c r="CC24" s="206">
        <f t="shared" si="4"/>
        <v>0</v>
      </c>
    </row>
    <row r="25" spans="2:81">
      <c r="B25" s="207" t="str">
        <f>'P &amp; NP'!B31</f>
        <v xml:space="preserve">Mujair </v>
      </c>
      <c r="C25" s="116">
        <f>'P &amp; NP'!C502</f>
        <v>0</v>
      </c>
      <c r="D25" s="116">
        <f>'P &amp; NP'!D502</f>
        <v>0</v>
      </c>
      <c r="E25" s="116">
        <f>'P &amp; NP'!S502</f>
        <v>0</v>
      </c>
      <c r="F25" s="116">
        <f>'P &amp; NP'!T502</f>
        <v>0</v>
      </c>
      <c r="G25" s="116">
        <f>'P &amp; NP'!AI502</f>
        <v>0</v>
      </c>
      <c r="H25" s="116">
        <f>'P &amp; NP'!AJ502</f>
        <v>0</v>
      </c>
      <c r="I25" s="116">
        <f>'P &amp; NP'!AY502</f>
        <v>0</v>
      </c>
      <c r="J25" s="116">
        <f>'P &amp; NP'!AZ502</f>
        <v>0</v>
      </c>
      <c r="K25" s="116">
        <f>'P &amp; NP'!BO502</f>
        <v>0</v>
      </c>
      <c r="L25" s="116">
        <f>'P &amp; NP'!BP502</f>
        <v>0</v>
      </c>
      <c r="M25" s="116">
        <f>'P &amp; NP'!CE502</f>
        <v>0</v>
      </c>
      <c r="N25" s="116">
        <f>'P &amp; NP'!CF502</f>
        <v>0</v>
      </c>
      <c r="O25" s="116">
        <f>'P &amp; NP'!CU502</f>
        <v>0</v>
      </c>
      <c r="P25" s="116">
        <f>'P &amp; NP'!CV502</f>
        <v>0</v>
      </c>
      <c r="Q25" s="116">
        <f>'P &amp; NP'!DK502</f>
        <v>0</v>
      </c>
      <c r="R25" s="116">
        <f>'P &amp; NP'!DL502</f>
        <v>0</v>
      </c>
      <c r="S25" s="116">
        <f>'P &amp; NP'!EA502</f>
        <v>0</v>
      </c>
      <c r="T25" s="116">
        <f>'P &amp; NP'!EB502</f>
        <v>0</v>
      </c>
      <c r="U25" s="116">
        <f>'P &amp; NP'!EQ502</f>
        <v>0</v>
      </c>
      <c r="V25" s="116">
        <f>'P &amp; NP'!ER502</f>
        <v>0</v>
      </c>
      <c r="W25" s="116">
        <f>'P &amp; NP'!FG502</f>
        <v>0</v>
      </c>
      <c r="X25" s="116">
        <f>'P &amp; NP'!FH502</f>
        <v>0</v>
      </c>
      <c r="Y25" s="116">
        <f>'P &amp; NP'!FW502</f>
        <v>0</v>
      </c>
      <c r="Z25" s="116">
        <f>'P &amp; NP'!FX502</f>
        <v>0</v>
      </c>
      <c r="AA25" s="116">
        <f>'P &amp; NP'!GM502</f>
        <v>0</v>
      </c>
      <c r="AB25" s="116">
        <f>'P &amp; NP'!GN502</f>
        <v>0</v>
      </c>
      <c r="AC25" s="116">
        <f>'P &amp; NP'!HC502</f>
        <v>0</v>
      </c>
      <c r="AD25" s="116">
        <f>'P &amp; NP'!HD502</f>
        <v>0</v>
      </c>
      <c r="AE25" s="116">
        <f>'P &amp; NP'!HS502</f>
        <v>0</v>
      </c>
      <c r="AF25" s="116">
        <f>'P &amp; NP'!HT502</f>
        <v>0</v>
      </c>
      <c r="AG25" s="116">
        <f>'P &amp; NP'!II502</f>
        <v>0</v>
      </c>
      <c r="AH25" s="116">
        <f>'P &amp; NP'!IJ502</f>
        <v>0</v>
      </c>
      <c r="AI25" s="116">
        <f>'P &amp; NP'!IY502</f>
        <v>0</v>
      </c>
      <c r="AJ25" s="116">
        <f>'P &amp; NP'!IZ502</f>
        <v>0</v>
      </c>
      <c r="AK25" s="116">
        <f>'P &amp; NP'!JO502</f>
        <v>0</v>
      </c>
      <c r="AL25" s="116">
        <f>'P &amp; NP'!JP502</f>
        <v>0</v>
      </c>
      <c r="AM25" s="116">
        <f>'P &amp; NP'!KE502</f>
        <v>0</v>
      </c>
      <c r="AN25" s="116">
        <f>'P &amp; NP'!KF502</f>
        <v>0</v>
      </c>
      <c r="AO25" s="116">
        <f>'P &amp; NP'!KU502</f>
        <v>0</v>
      </c>
      <c r="AP25" s="116">
        <f>'P &amp; NP'!KV502</f>
        <v>0</v>
      </c>
      <c r="AQ25" s="116">
        <f>'P &amp; NP'!LK502</f>
        <v>0</v>
      </c>
      <c r="AR25" s="116">
        <f>'P &amp; NP'!LL502</f>
        <v>0</v>
      </c>
      <c r="AS25" s="116">
        <f>'P &amp; NP'!MA502</f>
        <v>0</v>
      </c>
      <c r="AT25" s="116">
        <f>'P &amp; NP'!MB502</f>
        <v>0</v>
      </c>
      <c r="AU25" s="116">
        <f>'P &amp; NP'!MQ502</f>
        <v>0</v>
      </c>
      <c r="AV25" s="116">
        <f>'P &amp; NP'!MR502</f>
        <v>0</v>
      </c>
      <c r="AW25" s="116">
        <f>'P &amp; NP'!NG502</f>
        <v>0</v>
      </c>
      <c r="AX25" s="116">
        <f>'P &amp; NP'!NH502</f>
        <v>0</v>
      </c>
      <c r="AY25" s="116">
        <f>'P &amp; NP'!NW502</f>
        <v>0</v>
      </c>
      <c r="AZ25" s="116">
        <f>'P &amp; NP'!NX502</f>
        <v>0</v>
      </c>
      <c r="BA25" s="116">
        <f>'P &amp; NP'!OM502</f>
        <v>0</v>
      </c>
      <c r="BB25" s="116">
        <f>'P &amp; NP'!ON502</f>
        <v>0</v>
      </c>
      <c r="BC25" s="116">
        <f>'P &amp; NP'!PC502</f>
        <v>0</v>
      </c>
      <c r="BD25" s="116">
        <f>'P &amp; NP'!PD502</f>
        <v>0</v>
      </c>
      <c r="BE25" s="116">
        <f>'P &amp; NP'!PS502</f>
        <v>0</v>
      </c>
      <c r="BF25" s="116">
        <f>'P &amp; NP'!PT502</f>
        <v>0</v>
      </c>
      <c r="BG25" s="116">
        <f>'P &amp; NP'!QI502</f>
        <v>0</v>
      </c>
      <c r="BH25" s="116">
        <f>'P &amp; NP'!QJ502</f>
        <v>0</v>
      </c>
      <c r="BI25" s="116">
        <f>'P &amp; NP'!QY502</f>
        <v>0</v>
      </c>
      <c r="BJ25" s="116">
        <f>'P &amp; NP'!QZ502</f>
        <v>0</v>
      </c>
      <c r="BK25" s="116">
        <f>'P &amp; NP'!RO502</f>
        <v>0</v>
      </c>
      <c r="BL25" s="116">
        <f>'P &amp; NP'!RP502</f>
        <v>0</v>
      </c>
      <c r="BM25" s="116">
        <f>'P &amp; NP'!SE502</f>
        <v>0</v>
      </c>
      <c r="BN25" s="116">
        <f>'P &amp; NP'!SF502</f>
        <v>0</v>
      </c>
      <c r="BO25" s="116">
        <f>'P &amp; NP'!SU502</f>
        <v>0</v>
      </c>
      <c r="BP25" s="116">
        <f>'P &amp; NP'!SV502</f>
        <v>0</v>
      </c>
      <c r="BQ25" s="116">
        <f>'P &amp; NP'!TK502</f>
        <v>0</v>
      </c>
      <c r="BR25" s="116">
        <f>'P &amp; NP'!TL502</f>
        <v>0</v>
      </c>
      <c r="BS25" s="116">
        <f>'P &amp; NP'!UA502</f>
        <v>0</v>
      </c>
      <c r="BT25" s="116">
        <f>'P &amp; NP'!UB502</f>
        <v>0</v>
      </c>
      <c r="BU25" s="116">
        <f>'P &amp; NP'!UQ502</f>
        <v>0</v>
      </c>
      <c r="BV25" s="116">
        <f>'P &amp; NP'!UR502</f>
        <v>0</v>
      </c>
      <c r="BW25" s="116">
        <f>'P &amp; NP'!VG502</f>
        <v>0</v>
      </c>
      <c r="BX25" s="116">
        <f>'P &amp; NP'!VH502</f>
        <v>0</v>
      </c>
      <c r="BY25" s="116">
        <f>'P &amp; NP'!VW502</f>
        <v>0</v>
      </c>
      <c r="BZ25" s="116">
        <f>'P &amp; NP'!VX502</f>
        <v>0</v>
      </c>
      <c r="CB25" s="206">
        <f t="shared" si="3"/>
        <v>0</v>
      </c>
      <c r="CC25" s="206">
        <f t="shared" si="4"/>
        <v>0</v>
      </c>
    </row>
    <row r="26" spans="2:81">
      <c r="B26" s="207" t="str">
        <f>'P &amp; NP'!B32</f>
        <v xml:space="preserve">Nila </v>
      </c>
      <c r="C26" s="116">
        <f>'P &amp; NP'!C503</f>
        <v>0</v>
      </c>
      <c r="D26" s="116">
        <f>'P &amp; NP'!D503</f>
        <v>0</v>
      </c>
      <c r="E26" s="116">
        <f>'P &amp; NP'!S503</f>
        <v>0</v>
      </c>
      <c r="F26" s="116">
        <f>'P &amp; NP'!T503</f>
        <v>0</v>
      </c>
      <c r="G26" s="116">
        <f>'P &amp; NP'!AI503</f>
        <v>0</v>
      </c>
      <c r="H26" s="116">
        <f>'P &amp; NP'!AJ503</f>
        <v>0</v>
      </c>
      <c r="I26" s="116">
        <f>'P &amp; NP'!AY503</f>
        <v>0</v>
      </c>
      <c r="J26" s="116">
        <f>'P &amp; NP'!AZ503</f>
        <v>0</v>
      </c>
      <c r="K26" s="116">
        <f>'P &amp; NP'!BO503</f>
        <v>0</v>
      </c>
      <c r="L26" s="116">
        <f>'P &amp; NP'!BP503</f>
        <v>0</v>
      </c>
      <c r="M26" s="116">
        <f>'P &amp; NP'!CE503</f>
        <v>0</v>
      </c>
      <c r="N26" s="116">
        <f>'P &amp; NP'!CF503</f>
        <v>0</v>
      </c>
      <c r="O26" s="116">
        <f>'P &amp; NP'!CU503</f>
        <v>0</v>
      </c>
      <c r="P26" s="116">
        <f>'P &amp; NP'!CV503</f>
        <v>0</v>
      </c>
      <c r="Q26" s="116">
        <f>'P &amp; NP'!DK503</f>
        <v>0</v>
      </c>
      <c r="R26" s="116">
        <f>'P &amp; NP'!DL503</f>
        <v>0</v>
      </c>
      <c r="S26" s="116">
        <f>'P &amp; NP'!EA503</f>
        <v>0</v>
      </c>
      <c r="T26" s="116">
        <f>'P &amp; NP'!EB503</f>
        <v>0</v>
      </c>
      <c r="U26" s="116">
        <f>'P &amp; NP'!EQ503</f>
        <v>0</v>
      </c>
      <c r="V26" s="116">
        <f>'P &amp; NP'!ER503</f>
        <v>0</v>
      </c>
      <c r="W26" s="116">
        <f>'P &amp; NP'!FG503</f>
        <v>0</v>
      </c>
      <c r="X26" s="116">
        <f>'P &amp; NP'!FH503</f>
        <v>0</v>
      </c>
      <c r="Y26" s="116">
        <f>'P &amp; NP'!FW503</f>
        <v>0</v>
      </c>
      <c r="Z26" s="116">
        <f>'P &amp; NP'!FX503</f>
        <v>0</v>
      </c>
      <c r="AA26" s="116">
        <f>'P &amp; NP'!GM503</f>
        <v>0</v>
      </c>
      <c r="AB26" s="116">
        <f>'P &amp; NP'!GN503</f>
        <v>0</v>
      </c>
      <c r="AC26" s="116">
        <f>'P &amp; NP'!HC503</f>
        <v>0</v>
      </c>
      <c r="AD26" s="116">
        <f>'P &amp; NP'!HD503</f>
        <v>0</v>
      </c>
      <c r="AE26" s="116">
        <f>'P &amp; NP'!HS503</f>
        <v>0</v>
      </c>
      <c r="AF26" s="116">
        <f>'P &amp; NP'!HT503</f>
        <v>0</v>
      </c>
      <c r="AG26" s="116">
        <f>'P &amp; NP'!II503</f>
        <v>0</v>
      </c>
      <c r="AH26" s="116">
        <f>'P &amp; NP'!IJ503</f>
        <v>0</v>
      </c>
      <c r="AI26" s="116">
        <f>'P &amp; NP'!IY503</f>
        <v>0</v>
      </c>
      <c r="AJ26" s="116">
        <f>'P &amp; NP'!IZ503</f>
        <v>0</v>
      </c>
      <c r="AK26" s="116">
        <f>'P &amp; NP'!JO503</f>
        <v>0</v>
      </c>
      <c r="AL26" s="116">
        <f>'P &amp; NP'!JP503</f>
        <v>0</v>
      </c>
      <c r="AM26" s="116">
        <f>'P &amp; NP'!KE503</f>
        <v>0</v>
      </c>
      <c r="AN26" s="116">
        <f>'P &amp; NP'!KF503</f>
        <v>0</v>
      </c>
      <c r="AO26" s="116">
        <f>'P &amp; NP'!KU503</f>
        <v>0</v>
      </c>
      <c r="AP26" s="116">
        <f>'P &amp; NP'!KV503</f>
        <v>0</v>
      </c>
      <c r="AQ26" s="116">
        <f>'P &amp; NP'!LK503</f>
        <v>0</v>
      </c>
      <c r="AR26" s="116">
        <f>'P &amp; NP'!LL503</f>
        <v>0</v>
      </c>
      <c r="AS26" s="116">
        <f>'P &amp; NP'!MA503</f>
        <v>0</v>
      </c>
      <c r="AT26" s="116">
        <f>'P &amp; NP'!MB503</f>
        <v>0</v>
      </c>
      <c r="AU26" s="116">
        <f>'P &amp; NP'!MQ503</f>
        <v>0</v>
      </c>
      <c r="AV26" s="116">
        <f>'P &amp; NP'!MR503</f>
        <v>0</v>
      </c>
      <c r="AW26" s="116">
        <f>'P &amp; NP'!NG503</f>
        <v>0</v>
      </c>
      <c r="AX26" s="116">
        <f>'P &amp; NP'!NH503</f>
        <v>0</v>
      </c>
      <c r="AY26" s="116">
        <f>'P &amp; NP'!NW503</f>
        <v>0</v>
      </c>
      <c r="AZ26" s="116">
        <f>'P &amp; NP'!NX503</f>
        <v>0</v>
      </c>
      <c r="BA26" s="116">
        <f>'P &amp; NP'!OM503</f>
        <v>0</v>
      </c>
      <c r="BB26" s="116">
        <f>'P &amp; NP'!ON503</f>
        <v>0</v>
      </c>
      <c r="BC26" s="116">
        <f>'P &amp; NP'!PC503</f>
        <v>0</v>
      </c>
      <c r="BD26" s="116">
        <f>'P &amp; NP'!PD503</f>
        <v>0</v>
      </c>
      <c r="BE26" s="116">
        <f>'P &amp; NP'!PS503</f>
        <v>0</v>
      </c>
      <c r="BF26" s="116">
        <f>'P &amp; NP'!PT503</f>
        <v>0</v>
      </c>
      <c r="BG26" s="116">
        <f>'P &amp; NP'!QI503</f>
        <v>0</v>
      </c>
      <c r="BH26" s="116">
        <f>'P &amp; NP'!QJ503</f>
        <v>0</v>
      </c>
      <c r="BI26" s="116">
        <f>'P &amp; NP'!QY503</f>
        <v>0</v>
      </c>
      <c r="BJ26" s="116">
        <f>'P &amp; NP'!QZ503</f>
        <v>0</v>
      </c>
      <c r="BK26" s="116">
        <f>'P &amp; NP'!RO503</f>
        <v>0</v>
      </c>
      <c r="BL26" s="116">
        <f>'P &amp; NP'!RP503</f>
        <v>0</v>
      </c>
      <c r="BM26" s="116">
        <f>'P &amp; NP'!SE503</f>
        <v>0</v>
      </c>
      <c r="BN26" s="116">
        <f>'P &amp; NP'!SF503</f>
        <v>0</v>
      </c>
      <c r="BO26" s="116">
        <f>'P &amp; NP'!SU503</f>
        <v>0</v>
      </c>
      <c r="BP26" s="116">
        <f>'P &amp; NP'!SV503</f>
        <v>0</v>
      </c>
      <c r="BQ26" s="116">
        <f>'P &amp; NP'!TK503</f>
        <v>0</v>
      </c>
      <c r="BR26" s="116">
        <f>'P &amp; NP'!TL503</f>
        <v>0</v>
      </c>
      <c r="BS26" s="116">
        <f>'P &amp; NP'!UA503</f>
        <v>0</v>
      </c>
      <c r="BT26" s="116">
        <f>'P &amp; NP'!UB503</f>
        <v>0</v>
      </c>
      <c r="BU26" s="116">
        <f>'P &amp; NP'!UQ503</f>
        <v>0</v>
      </c>
      <c r="BV26" s="116">
        <f>'P &amp; NP'!UR503</f>
        <v>0</v>
      </c>
      <c r="BW26" s="116">
        <f>'P &amp; NP'!VG503</f>
        <v>0</v>
      </c>
      <c r="BX26" s="116">
        <f>'P &amp; NP'!VH503</f>
        <v>0</v>
      </c>
      <c r="BY26" s="116">
        <f>'P &amp; NP'!VW503</f>
        <v>0</v>
      </c>
      <c r="BZ26" s="116">
        <f>'P &amp; NP'!VX503</f>
        <v>0</v>
      </c>
      <c r="CB26" s="206">
        <f t="shared" si="3"/>
        <v>0</v>
      </c>
      <c r="CC26" s="206">
        <f t="shared" si="4"/>
        <v>0</v>
      </c>
    </row>
    <row r="27" spans="2:81">
      <c r="B27" s="207" t="str">
        <f>'P &amp; NP'!B33</f>
        <v xml:space="preserve">Patin </v>
      </c>
      <c r="C27" s="116">
        <f>'P &amp; NP'!C504</f>
        <v>0</v>
      </c>
      <c r="D27" s="116">
        <f>'P &amp; NP'!D504</f>
        <v>0</v>
      </c>
      <c r="E27" s="116">
        <f>'P &amp; NP'!S504</f>
        <v>0</v>
      </c>
      <c r="F27" s="116">
        <f>'P &amp; NP'!T504</f>
        <v>0</v>
      </c>
      <c r="G27" s="116">
        <f>'P &amp; NP'!AI504</f>
        <v>0</v>
      </c>
      <c r="H27" s="116">
        <f>'P &amp; NP'!AJ504</f>
        <v>0</v>
      </c>
      <c r="I27" s="116">
        <f>'P &amp; NP'!AY504</f>
        <v>0</v>
      </c>
      <c r="J27" s="116">
        <f>'P &amp; NP'!AZ504</f>
        <v>0</v>
      </c>
      <c r="K27" s="116">
        <f>'P &amp; NP'!BO504</f>
        <v>0</v>
      </c>
      <c r="L27" s="116">
        <f>'P &amp; NP'!BP504</f>
        <v>0</v>
      </c>
      <c r="M27" s="116">
        <f>'P &amp; NP'!CE504</f>
        <v>0</v>
      </c>
      <c r="N27" s="116">
        <f>'P &amp; NP'!CF504</f>
        <v>0</v>
      </c>
      <c r="O27" s="116">
        <f>'P &amp; NP'!CU504</f>
        <v>0</v>
      </c>
      <c r="P27" s="116">
        <f>'P &amp; NP'!CV504</f>
        <v>0</v>
      </c>
      <c r="Q27" s="116">
        <f>'P &amp; NP'!DK504</f>
        <v>0</v>
      </c>
      <c r="R27" s="116">
        <f>'P &amp; NP'!DL504</f>
        <v>0</v>
      </c>
      <c r="S27" s="116">
        <f>'P &amp; NP'!EA504</f>
        <v>0</v>
      </c>
      <c r="T27" s="116">
        <f>'P &amp; NP'!EB504</f>
        <v>0</v>
      </c>
      <c r="U27" s="116">
        <f>'P &amp; NP'!EQ504</f>
        <v>0</v>
      </c>
      <c r="V27" s="116">
        <f>'P &amp; NP'!ER504</f>
        <v>0</v>
      </c>
      <c r="W27" s="116">
        <f>'P &amp; NP'!FG504</f>
        <v>0</v>
      </c>
      <c r="X27" s="116">
        <f>'P &amp; NP'!FH504</f>
        <v>0</v>
      </c>
      <c r="Y27" s="116">
        <f>'P &amp; NP'!FW504</f>
        <v>0</v>
      </c>
      <c r="Z27" s="116">
        <f>'P &amp; NP'!FX504</f>
        <v>0</v>
      </c>
      <c r="AA27" s="116">
        <f>'P &amp; NP'!GM504</f>
        <v>0</v>
      </c>
      <c r="AB27" s="116">
        <f>'P &amp; NP'!GN504</f>
        <v>0</v>
      </c>
      <c r="AC27" s="116">
        <f>'P &amp; NP'!HC504</f>
        <v>0</v>
      </c>
      <c r="AD27" s="116">
        <f>'P &amp; NP'!HD504</f>
        <v>0</v>
      </c>
      <c r="AE27" s="116">
        <f>'P &amp; NP'!HS504</f>
        <v>0</v>
      </c>
      <c r="AF27" s="116">
        <f>'P &amp; NP'!HT504</f>
        <v>0</v>
      </c>
      <c r="AG27" s="116">
        <f>'P &amp; NP'!II504</f>
        <v>0</v>
      </c>
      <c r="AH27" s="116">
        <f>'P &amp; NP'!IJ504</f>
        <v>0</v>
      </c>
      <c r="AI27" s="116">
        <f>'P &amp; NP'!IY504</f>
        <v>0</v>
      </c>
      <c r="AJ27" s="116">
        <f>'P &amp; NP'!IZ504</f>
        <v>0</v>
      </c>
      <c r="AK27" s="116">
        <f>'P &amp; NP'!JO504</f>
        <v>0</v>
      </c>
      <c r="AL27" s="116">
        <f>'P &amp; NP'!JP504</f>
        <v>0</v>
      </c>
      <c r="AM27" s="116">
        <f>'P &amp; NP'!KE504</f>
        <v>0</v>
      </c>
      <c r="AN27" s="116">
        <f>'P &amp; NP'!KF504</f>
        <v>0</v>
      </c>
      <c r="AO27" s="116">
        <f>'P &amp; NP'!KU504</f>
        <v>0</v>
      </c>
      <c r="AP27" s="116">
        <f>'P &amp; NP'!KV504</f>
        <v>0</v>
      </c>
      <c r="AQ27" s="116">
        <f>'P &amp; NP'!LK504</f>
        <v>0</v>
      </c>
      <c r="AR27" s="116">
        <f>'P &amp; NP'!LL504</f>
        <v>0</v>
      </c>
      <c r="AS27" s="116">
        <f>'P &amp; NP'!MA504</f>
        <v>0</v>
      </c>
      <c r="AT27" s="116">
        <f>'P &amp; NP'!MB504</f>
        <v>0</v>
      </c>
      <c r="AU27" s="116">
        <f>'P &amp; NP'!MQ504</f>
        <v>0</v>
      </c>
      <c r="AV27" s="116">
        <f>'P &amp; NP'!MR504</f>
        <v>0</v>
      </c>
      <c r="AW27" s="116">
        <f>'P &amp; NP'!NG504</f>
        <v>0</v>
      </c>
      <c r="AX27" s="116">
        <f>'P &amp; NP'!NH504</f>
        <v>0</v>
      </c>
      <c r="AY27" s="116">
        <f>'P &amp; NP'!NW504</f>
        <v>0</v>
      </c>
      <c r="AZ27" s="116">
        <f>'P &amp; NP'!NX504</f>
        <v>0</v>
      </c>
      <c r="BA27" s="116">
        <f>'P &amp; NP'!OM504</f>
        <v>0</v>
      </c>
      <c r="BB27" s="116">
        <f>'P &amp; NP'!ON504</f>
        <v>0</v>
      </c>
      <c r="BC27" s="116">
        <f>'P &amp; NP'!PC504</f>
        <v>0</v>
      </c>
      <c r="BD27" s="116">
        <f>'P &amp; NP'!PD504</f>
        <v>0</v>
      </c>
      <c r="BE27" s="116">
        <f>'P &amp; NP'!PS504</f>
        <v>0</v>
      </c>
      <c r="BF27" s="116">
        <f>'P &amp; NP'!PT504</f>
        <v>0</v>
      </c>
      <c r="BG27" s="116">
        <f>'P &amp; NP'!QI504</f>
        <v>0</v>
      </c>
      <c r="BH27" s="116">
        <f>'P &amp; NP'!QJ504</f>
        <v>0</v>
      </c>
      <c r="BI27" s="116">
        <f>'P &amp; NP'!QY504</f>
        <v>0</v>
      </c>
      <c r="BJ27" s="116">
        <f>'P &amp; NP'!QZ504</f>
        <v>0</v>
      </c>
      <c r="BK27" s="116">
        <f>'P &amp; NP'!RO504</f>
        <v>0</v>
      </c>
      <c r="BL27" s="116">
        <f>'P &amp; NP'!RP504</f>
        <v>0</v>
      </c>
      <c r="BM27" s="116">
        <f>'P &amp; NP'!SE504</f>
        <v>0</v>
      </c>
      <c r="BN27" s="116">
        <f>'P &amp; NP'!SF504</f>
        <v>0</v>
      </c>
      <c r="BO27" s="116">
        <f>'P &amp; NP'!SU504</f>
        <v>0</v>
      </c>
      <c r="BP27" s="116">
        <f>'P &amp; NP'!SV504</f>
        <v>0</v>
      </c>
      <c r="BQ27" s="116">
        <f>'P &amp; NP'!TK504</f>
        <v>0</v>
      </c>
      <c r="BR27" s="116">
        <f>'P &amp; NP'!TL504</f>
        <v>0</v>
      </c>
      <c r="BS27" s="116">
        <f>'P &amp; NP'!UA504</f>
        <v>0</v>
      </c>
      <c r="BT27" s="116">
        <f>'P &amp; NP'!UB504</f>
        <v>0</v>
      </c>
      <c r="BU27" s="116">
        <f>'P &amp; NP'!UQ504</f>
        <v>0</v>
      </c>
      <c r="BV27" s="116">
        <f>'P &amp; NP'!UR504</f>
        <v>0</v>
      </c>
      <c r="BW27" s="116">
        <f>'P &amp; NP'!VG504</f>
        <v>0</v>
      </c>
      <c r="BX27" s="116">
        <f>'P &amp; NP'!VH504</f>
        <v>0</v>
      </c>
      <c r="BY27" s="116">
        <f>'P &amp; NP'!VW504</f>
        <v>0</v>
      </c>
      <c r="BZ27" s="116">
        <f>'P &amp; NP'!VX504</f>
        <v>0</v>
      </c>
      <c r="CB27" s="206">
        <f t="shared" si="3"/>
        <v>0</v>
      </c>
      <c r="CC27" s="206">
        <f t="shared" si="4"/>
        <v>0</v>
      </c>
    </row>
    <row r="28" spans="2:81">
      <c r="B28" s="207" t="str">
        <f>'P &amp; NP'!B34</f>
        <v xml:space="preserve">Rajungan </v>
      </c>
      <c r="C28" s="116">
        <f>'P &amp; NP'!C505</f>
        <v>0</v>
      </c>
      <c r="D28" s="116">
        <f>'P &amp; NP'!D505</f>
        <v>0</v>
      </c>
      <c r="E28" s="116">
        <f>'P &amp; NP'!S505</f>
        <v>0</v>
      </c>
      <c r="F28" s="116">
        <f>'P &amp; NP'!T505</f>
        <v>0</v>
      </c>
      <c r="G28" s="116">
        <f>'P &amp; NP'!AI505</f>
        <v>0</v>
      </c>
      <c r="H28" s="116">
        <f>'P &amp; NP'!AJ505</f>
        <v>0</v>
      </c>
      <c r="I28" s="116">
        <f>'P &amp; NP'!AY505</f>
        <v>0</v>
      </c>
      <c r="J28" s="116">
        <f>'P &amp; NP'!AZ505</f>
        <v>0</v>
      </c>
      <c r="K28" s="116">
        <f>'P &amp; NP'!BO505</f>
        <v>0</v>
      </c>
      <c r="L28" s="116">
        <f>'P &amp; NP'!BP505</f>
        <v>0</v>
      </c>
      <c r="M28" s="116">
        <f>'P &amp; NP'!CE505</f>
        <v>0</v>
      </c>
      <c r="N28" s="116">
        <f>'P &amp; NP'!CF505</f>
        <v>0</v>
      </c>
      <c r="O28" s="116">
        <f>'P &amp; NP'!CU505</f>
        <v>0</v>
      </c>
      <c r="P28" s="116">
        <f>'P &amp; NP'!CV505</f>
        <v>0</v>
      </c>
      <c r="Q28" s="116">
        <f>'P &amp; NP'!DK505</f>
        <v>0</v>
      </c>
      <c r="R28" s="116">
        <f>'P &amp; NP'!DL505</f>
        <v>0</v>
      </c>
      <c r="S28" s="116">
        <f>'P &amp; NP'!EA505</f>
        <v>0</v>
      </c>
      <c r="T28" s="116">
        <f>'P &amp; NP'!EB505</f>
        <v>0</v>
      </c>
      <c r="U28" s="116">
        <f>'P &amp; NP'!EQ505</f>
        <v>0</v>
      </c>
      <c r="V28" s="116">
        <f>'P &amp; NP'!ER505</f>
        <v>0</v>
      </c>
      <c r="W28" s="116">
        <f>'P &amp; NP'!FG505</f>
        <v>0</v>
      </c>
      <c r="X28" s="116">
        <f>'P &amp; NP'!FH505</f>
        <v>0</v>
      </c>
      <c r="Y28" s="116">
        <f>'P &amp; NP'!FW505</f>
        <v>0</v>
      </c>
      <c r="Z28" s="116">
        <f>'P &amp; NP'!FX505</f>
        <v>0</v>
      </c>
      <c r="AA28" s="116">
        <f>'P &amp; NP'!GM505</f>
        <v>0</v>
      </c>
      <c r="AB28" s="116">
        <f>'P &amp; NP'!GN505</f>
        <v>0</v>
      </c>
      <c r="AC28" s="116">
        <f>'P &amp; NP'!HC505</f>
        <v>0</v>
      </c>
      <c r="AD28" s="116">
        <f>'P &amp; NP'!HD505</f>
        <v>0</v>
      </c>
      <c r="AE28" s="116">
        <f>'P &amp; NP'!HS505</f>
        <v>0</v>
      </c>
      <c r="AF28" s="116">
        <f>'P &amp; NP'!HT505</f>
        <v>0</v>
      </c>
      <c r="AG28" s="116">
        <f>'P &amp; NP'!II505</f>
        <v>0</v>
      </c>
      <c r="AH28" s="116">
        <f>'P &amp; NP'!IJ505</f>
        <v>0</v>
      </c>
      <c r="AI28" s="116">
        <f>'P &amp; NP'!IY505</f>
        <v>0</v>
      </c>
      <c r="AJ28" s="116">
        <f>'P &amp; NP'!IZ505</f>
        <v>0</v>
      </c>
      <c r="AK28" s="116">
        <f>'P &amp; NP'!JO505</f>
        <v>0</v>
      </c>
      <c r="AL28" s="116">
        <f>'P &amp; NP'!JP505</f>
        <v>0</v>
      </c>
      <c r="AM28" s="116">
        <f>'P &amp; NP'!KE505</f>
        <v>0</v>
      </c>
      <c r="AN28" s="116">
        <f>'P &amp; NP'!KF505</f>
        <v>0</v>
      </c>
      <c r="AO28" s="116">
        <f>'P &amp; NP'!KU505</f>
        <v>0</v>
      </c>
      <c r="AP28" s="116">
        <f>'P &amp; NP'!KV505</f>
        <v>0</v>
      </c>
      <c r="AQ28" s="116">
        <f>'P &amp; NP'!LK505</f>
        <v>0</v>
      </c>
      <c r="AR28" s="116">
        <f>'P &amp; NP'!LL505</f>
        <v>0</v>
      </c>
      <c r="AS28" s="116">
        <f>'P &amp; NP'!MA505</f>
        <v>0</v>
      </c>
      <c r="AT28" s="116">
        <f>'P &amp; NP'!MB505</f>
        <v>0</v>
      </c>
      <c r="AU28" s="116">
        <f>'P &amp; NP'!MQ505</f>
        <v>0</v>
      </c>
      <c r="AV28" s="116">
        <f>'P &amp; NP'!MR505</f>
        <v>0</v>
      </c>
      <c r="AW28" s="116">
        <f>'P &amp; NP'!NG505</f>
        <v>0</v>
      </c>
      <c r="AX28" s="116">
        <f>'P &amp; NP'!NH505</f>
        <v>0</v>
      </c>
      <c r="AY28" s="116">
        <f>'P &amp; NP'!NW505</f>
        <v>0</v>
      </c>
      <c r="AZ28" s="116">
        <f>'P &amp; NP'!NX505</f>
        <v>0</v>
      </c>
      <c r="BA28" s="116">
        <f>'P &amp; NP'!OM505</f>
        <v>0</v>
      </c>
      <c r="BB28" s="116">
        <f>'P &amp; NP'!ON505</f>
        <v>0</v>
      </c>
      <c r="BC28" s="116">
        <f>'P &amp; NP'!PC505</f>
        <v>0</v>
      </c>
      <c r="BD28" s="116">
        <f>'P &amp; NP'!PD505</f>
        <v>0</v>
      </c>
      <c r="BE28" s="116">
        <f>'P &amp; NP'!PS505</f>
        <v>0</v>
      </c>
      <c r="BF28" s="116">
        <f>'P &amp; NP'!PT505</f>
        <v>0</v>
      </c>
      <c r="BG28" s="116">
        <f>'P &amp; NP'!QI505</f>
        <v>0</v>
      </c>
      <c r="BH28" s="116">
        <f>'P &amp; NP'!QJ505</f>
        <v>0</v>
      </c>
      <c r="BI28" s="116">
        <f>'P &amp; NP'!QY505</f>
        <v>0</v>
      </c>
      <c r="BJ28" s="116">
        <f>'P &amp; NP'!QZ505</f>
        <v>0</v>
      </c>
      <c r="BK28" s="116">
        <f>'P &amp; NP'!RO505</f>
        <v>0</v>
      </c>
      <c r="BL28" s="116">
        <f>'P &amp; NP'!RP505</f>
        <v>0</v>
      </c>
      <c r="BM28" s="116">
        <f>'P &amp; NP'!SE505</f>
        <v>0</v>
      </c>
      <c r="BN28" s="116">
        <f>'P &amp; NP'!SF505</f>
        <v>0</v>
      </c>
      <c r="BO28" s="116">
        <f>'P &amp; NP'!SU505</f>
        <v>0</v>
      </c>
      <c r="BP28" s="116">
        <f>'P &amp; NP'!SV505</f>
        <v>0</v>
      </c>
      <c r="BQ28" s="116">
        <f>'P &amp; NP'!TK505</f>
        <v>0</v>
      </c>
      <c r="BR28" s="116">
        <f>'P &amp; NP'!TL505</f>
        <v>0</v>
      </c>
      <c r="BS28" s="116">
        <f>'P &amp; NP'!UA505</f>
        <v>0</v>
      </c>
      <c r="BT28" s="116">
        <f>'P &amp; NP'!UB505</f>
        <v>0</v>
      </c>
      <c r="BU28" s="116">
        <f>'P &amp; NP'!UQ505</f>
        <v>0</v>
      </c>
      <c r="BV28" s="116">
        <f>'P &amp; NP'!UR505</f>
        <v>0</v>
      </c>
      <c r="BW28" s="116">
        <f>'P &amp; NP'!VG505</f>
        <v>0</v>
      </c>
      <c r="BX28" s="116">
        <f>'P &amp; NP'!VH505</f>
        <v>0</v>
      </c>
      <c r="BY28" s="116">
        <f>'P &amp; NP'!VW505</f>
        <v>0</v>
      </c>
      <c r="BZ28" s="116">
        <f>'P &amp; NP'!VX505</f>
        <v>0</v>
      </c>
      <c r="CB28" s="206">
        <f t="shared" si="3"/>
        <v>0</v>
      </c>
      <c r="CC28" s="206">
        <f t="shared" si="4"/>
        <v>0</v>
      </c>
    </row>
    <row r="29" spans="2:81">
      <c r="B29" s="207" t="str">
        <f>'P &amp; NP'!B35</f>
        <v>Tawes</v>
      </c>
      <c r="C29" s="116">
        <f>'P &amp; NP'!C506</f>
        <v>0</v>
      </c>
      <c r="D29" s="116">
        <f>'P &amp; NP'!D506</f>
        <v>0</v>
      </c>
      <c r="E29" s="116">
        <f>'P &amp; NP'!S506</f>
        <v>0</v>
      </c>
      <c r="F29" s="116">
        <f>'P &amp; NP'!T506</f>
        <v>0</v>
      </c>
      <c r="G29" s="116">
        <f>'P &amp; NP'!AI506</f>
        <v>0</v>
      </c>
      <c r="H29" s="116">
        <f>'P &amp; NP'!AJ506</f>
        <v>0</v>
      </c>
      <c r="I29" s="116">
        <f>'P &amp; NP'!AY506</f>
        <v>0</v>
      </c>
      <c r="J29" s="116">
        <f>'P &amp; NP'!AZ506</f>
        <v>0</v>
      </c>
      <c r="K29" s="116">
        <f>'P &amp; NP'!BO506</f>
        <v>0</v>
      </c>
      <c r="L29" s="116">
        <f>'P &amp; NP'!BP506</f>
        <v>0</v>
      </c>
      <c r="M29" s="116">
        <f>'P &amp; NP'!CE506</f>
        <v>0</v>
      </c>
      <c r="N29" s="116">
        <f>'P &amp; NP'!CF506</f>
        <v>0</v>
      </c>
      <c r="O29" s="116">
        <f>'P &amp; NP'!CU506</f>
        <v>0</v>
      </c>
      <c r="P29" s="116">
        <f>'P &amp; NP'!CV506</f>
        <v>0</v>
      </c>
      <c r="Q29" s="116">
        <f>'P &amp; NP'!DK506</f>
        <v>0</v>
      </c>
      <c r="R29" s="116">
        <f>'P &amp; NP'!DL506</f>
        <v>0</v>
      </c>
      <c r="S29" s="116">
        <f>'P &amp; NP'!EA506</f>
        <v>0</v>
      </c>
      <c r="T29" s="116">
        <f>'P &amp; NP'!EB506</f>
        <v>0</v>
      </c>
      <c r="U29" s="116">
        <f>'P &amp; NP'!EQ506</f>
        <v>0</v>
      </c>
      <c r="V29" s="116">
        <f>'P &amp; NP'!ER506</f>
        <v>0</v>
      </c>
      <c r="W29" s="116">
        <f>'P &amp; NP'!FG506</f>
        <v>0</v>
      </c>
      <c r="X29" s="116">
        <f>'P &amp; NP'!FH506</f>
        <v>0</v>
      </c>
      <c r="Y29" s="116">
        <f>'P &amp; NP'!FW506</f>
        <v>0</v>
      </c>
      <c r="Z29" s="116">
        <f>'P &amp; NP'!FX506</f>
        <v>0</v>
      </c>
      <c r="AA29" s="116">
        <f>'P &amp; NP'!GM506</f>
        <v>0</v>
      </c>
      <c r="AB29" s="116">
        <f>'P &amp; NP'!GN506</f>
        <v>0</v>
      </c>
      <c r="AC29" s="116">
        <f>'P &amp; NP'!HC506</f>
        <v>0</v>
      </c>
      <c r="AD29" s="116">
        <f>'P &amp; NP'!HD506</f>
        <v>0</v>
      </c>
      <c r="AE29" s="116">
        <f>'P &amp; NP'!HS506</f>
        <v>0</v>
      </c>
      <c r="AF29" s="116">
        <f>'P &amp; NP'!HT506</f>
        <v>0</v>
      </c>
      <c r="AG29" s="116">
        <f>'P &amp; NP'!II506</f>
        <v>0</v>
      </c>
      <c r="AH29" s="116">
        <f>'P &amp; NP'!IJ506</f>
        <v>0</v>
      </c>
      <c r="AI29" s="116">
        <f>'P &amp; NP'!IY506</f>
        <v>0</v>
      </c>
      <c r="AJ29" s="116">
        <f>'P &amp; NP'!IZ506</f>
        <v>0</v>
      </c>
      <c r="AK29" s="116">
        <f>'P &amp; NP'!JO506</f>
        <v>0</v>
      </c>
      <c r="AL29" s="116">
        <f>'P &amp; NP'!JP506</f>
        <v>0</v>
      </c>
      <c r="AM29" s="116">
        <f>'P &amp; NP'!KE506</f>
        <v>0</v>
      </c>
      <c r="AN29" s="116">
        <f>'P &amp; NP'!KF506</f>
        <v>0</v>
      </c>
      <c r="AO29" s="116">
        <f>'P &amp; NP'!KU506</f>
        <v>0</v>
      </c>
      <c r="AP29" s="116">
        <f>'P &amp; NP'!KV506</f>
        <v>0</v>
      </c>
      <c r="AQ29" s="116">
        <f>'P &amp; NP'!LK506</f>
        <v>0</v>
      </c>
      <c r="AR29" s="116">
        <f>'P &amp; NP'!LL506</f>
        <v>0</v>
      </c>
      <c r="AS29" s="116">
        <f>'P &amp; NP'!MA506</f>
        <v>0</v>
      </c>
      <c r="AT29" s="116">
        <f>'P &amp; NP'!MB506</f>
        <v>0</v>
      </c>
      <c r="AU29" s="116">
        <f>'P &amp; NP'!MQ506</f>
        <v>0</v>
      </c>
      <c r="AV29" s="116">
        <f>'P &amp; NP'!MR506</f>
        <v>0</v>
      </c>
      <c r="AW29" s="116">
        <f>'P &amp; NP'!NG506</f>
        <v>0</v>
      </c>
      <c r="AX29" s="116">
        <f>'P &amp; NP'!NH506</f>
        <v>0</v>
      </c>
      <c r="AY29" s="116">
        <f>'P &amp; NP'!NW506</f>
        <v>0</v>
      </c>
      <c r="AZ29" s="116">
        <f>'P &amp; NP'!NX506</f>
        <v>0</v>
      </c>
      <c r="BA29" s="116">
        <f>'P &amp; NP'!OM506</f>
        <v>0</v>
      </c>
      <c r="BB29" s="116">
        <f>'P &amp; NP'!ON506</f>
        <v>0</v>
      </c>
      <c r="BC29" s="116">
        <f>'P &amp; NP'!PC506</f>
        <v>0</v>
      </c>
      <c r="BD29" s="116">
        <f>'P &amp; NP'!PD506</f>
        <v>0</v>
      </c>
      <c r="BE29" s="116">
        <f>'P &amp; NP'!PS506</f>
        <v>0</v>
      </c>
      <c r="BF29" s="116">
        <f>'P &amp; NP'!PT506</f>
        <v>0</v>
      </c>
      <c r="BG29" s="116">
        <f>'P &amp; NP'!QI506</f>
        <v>0</v>
      </c>
      <c r="BH29" s="116">
        <f>'P &amp; NP'!QJ506</f>
        <v>0</v>
      </c>
      <c r="BI29" s="116">
        <f>'P &amp; NP'!QY506</f>
        <v>0</v>
      </c>
      <c r="BJ29" s="116">
        <f>'P &amp; NP'!QZ506</f>
        <v>0</v>
      </c>
      <c r="BK29" s="116">
        <f>'P &amp; NP'!RO506</f>
        <v>0</v>
      </c>
      <c r="BL29" s="116">
        <f>'P &amp; NP'!RP506</f>
        <v>0</v>
      </c>
      <c r="BM29" s="116">
        <f>'P &amp; NP'!SE506</f>
        <v>0</v>
      </c>
      <c r="BN29" s="116">
        <f>'P &amp; NP'!SF506</f>
        <v>0</v>
      </c>
      <c r="BO29" s="116">
        <f>'P &amp; NP'!SU506</f>
        <v>0</v>
      </c>
      <c r="BP29" s="116">
        <f>'P &amp; NP'!SV506</f>
        <v>0</v>
      </c>
      <c r="BQ29" s="116">
        <f>'P &amp; NP'!TK506</f>
        <v>0</v>
      </c>
      <c r="BR29" s="116">
        <f>'P &amp; NP'!TL506</f>
        <v>0</v>
      </c>
      <c r="BS29" s="116">
        <f>'P &amp; NP'!UA506</f>
        <v>0</v>
      </c>
      <c r="BT29" s="116">
        <f>'P &amp; NP'!UB506</f>
        <v>0</v>
      </c>
      <c r="BU29" s="116">
        <f>'P &amp; NP'!UQ506</f>
        <v>0</v>
      </c>
      <c r="BV29" s="116">
        <f>'P &amp; NP'!UR506</f>
        <v>0</v>
      </c>
      <c r="BW29" s="116">
        <f>'P &amp; NP'!VG506</f>
        <v>0</v>
      </c>
      <c r="BX29" s="116">
        <f>'P &amp; NP'!VH506</f>
        <v>0</v>
      </c>
      <c r="BY29" s="116">
        <f>'P &amp; NP'!VW506</f>
        <v>0</v>
      </c>
      <c r="BZ29" s="116">
        <f>'P &amp; NP'!VX506</f>
        <v>0</v>
      </c>
      <c r="CB29" s="206">
        <f t="shared" si="3"/>
        <v>0</v>
      </c>
      <c r="CC29" s="206">
        <f t="shared" si="4"/>
        <v>0</v>
      </c>
    </row>
    <row r="30" spans="2:81">
      <c r="B30" s="207" t="str">
        <f>'P &amp; NP'!B36</f>
        <v>Teri</v>
      </c>
      <c r="C30" s="116">
        <f>'P &amp; NP'!C507</f>
        <v>0</v>
      </c>
      <c r="D30" s="116">
        <f>'P &amp; NP'!D507</f>
        <v>0</v>
      </c>
      <c r="E30" s="116">
        <f>'P &amp; NP'!S507</f>
        <v>0</v>
      </c>
      <c r="F30" s="116">
        <f>'P &amp; NP'!T507</f>
        <v>0</v>
      </c>
      <c r="G30" s="116">
        <f>'P &amp; NP'!AI507</f>
        <v>0</v>
      </c>
      <c r="H30" s="116">
        <f>'P &amp; NP'!AJ507</f>
        <v>0</v>
      </c>
      <c r="I30" s="116">
        <f>'P &amp; NP'!AY507</f>
        <v>0</v>
      </c>
      <c r="J30" s="116">
        <f>'P &amp; NP'!AZ507</f>
        <v>0</v>
      </c>
      <c r="K30" s="116">
        <f>'P &amp; NP'!BO507</f>
        <v>0</v>
      </c>
      <c r="L30" s="116">
        <f>'P &amp; NP'!BP507</f>
        <v>0</v>
      </c>
      <c r="M30" s="116">
        <f>'P &amp; NP'!CE507</f>
        <v>0</v>
      </c>
      <c r="N30" s="116">
        <f>'P &amp; NP'!CF507</f>
        <v>0</v>
      </c>
      <c r="O30" s="116">
        <f>'P &amp; NP'!CU507</f>
        <v>0</v>
      </c>
      <c r="P30" s="116">
        <f>'P &amp; NP'!CV507</f>
        <v>0</v>
      </c>
      <c r="Q30" s="116">
        <f>'P &amp; NP'!DK507</f>
        <v>0</v>
      </c>
      <c r="R30" s="116">
        <f>'P &amp; NP'!DL507</f>
        <v>0</v>
      </c>
      <c r="S30" s="116">
        <f>'P &amp; NP'!EA507</f>
        <v>0</v>
      </c>
      <c r="T30" s="116">
        <f>'P &amp; NP'!EB507</f>
        <v>0</v>
      </c>
      <c r="U30" s="116">
        <f>'P &amp; NP'!EQ507</f>
        <v>0</v>
      </c>
      <c r="V30" s="116">
        <f>'P &amp; NP'!ER507</f>
        <v>0</v>
      </c>
      <c r="W30" s="116">
        <f>'P &amp; NP'!FG507</f>
        <v>0</v>
      </c>
      <c r="X30" s="116">
        <f>'P &amp; NP'!FH507</f>
        <v>0</v>
      </c>
      <c r="Y30" s="116">
        <f>'P &amp; NP'!FW507</f>
        <v>0</v>
      </c>
      <c r="Z30" s="116">
        <f>'P &amp; NP'!FX507</f>
        <v>0</v>
      </c>
      <c r="AA30" s="116">
        <f>'P &amp; NP'!GM507</f>
        <v>0</v>
      </c>
      <c r="AB30" s="116">
        <f>'P &amp; NP'!GN507</f>
        <v>0</v>
      </c>
      <c r="AC30" s="116">
        <f>'P &amp; NP'!HC507</f>
        <v>0</v>
      </c>
      <c r="AD30" s="116">
        <f>'P &amp; NP'!HD507</f>
        <v>0</v>
      </c>
      <c r="AE30" s="116">
        <f>'P &amp; NP'!HS507</f>
        <v>0</v>
      </c>
      <c r="AF30" s="116">
        <f>'P &amp; NP'!HT507</f>
        <v>0</v>
      </c>
      <c r="AG30" s="116">
        <f>'P &amp; NP'!II507</f>
        <v>0</v>
      </c>
      <c r="AH30" s="116">
        <f>'P &amp; NP'!IJ507</f>
        <v>0</v>
      </c>
      <c r="AI30" s="116">
        <f>'P &amp; NP'!IY507</f>
        <v>0</v>
      </c>
      <c r="AJ30" s="116">
        <f>'P &amp; NP'!IZ507</f>
        <v>0</v>
      </c>
      <c r="AK30" s="116">
        <f>'P &amp; NP'!JO507</f>
        <v>0</v>
      </c>
      <c r="AL30" s="116">
        <f>'P &amp; NP'!JP507</f>
        <v>0</v>
      </c>
      <c r="AM30" s="116">
        <f>'P &amp; NP'!KE507</f>
        <v>0</v>
      </c>
      <c r="AN30" s="116">
        <f>'P &amp; NP'!KF507</f>
        <v>0</v>
      </c>
      <c r="AO30" s="116">
        <f>'P &amp; NP'!KU507</f>
        <v>0</v>
      </c>
      <c r="AP30" s="116">
        <f>'P &amp; NP'!KV507</f>
        <v>0</v>
      </c>
      <c r="AQ30" s="116">
        <f>'P &amp; NP'!LK507</f>
        <v>0</v>
      </c>
      <c r="AR30" s="116">
        <f>'P &amp; NP'!LL507</f>
        <v>0</v>
      </c>
      <c r="AS30" s="116">
        <f>'P &amp; NP'!MA507</f>
        <v>0</v>
      </c>
      <c r="AT30" s="116">
        <f>'P &amp; NP'!MB507</f>
        <v>0</v>
      </c>
      <c r="AU30" s="116">
        <f>'P &amp; NP'!MQ507</f>
        <v>0</v>
      </c>
      <c r="AV30" s="116">
        <f>'P &amp; NP'!MR507</f>
        <v>0</v>
      </c>
      <c r="AW30" s="116">
        <f>'P &amp; NP'!NG507</f>
        <v>0</v>
      </c>
      <c r="AX30" s="116">
        <f>'P &amp; NP'!NH507</f>
        <v>0</v>
      </c>
      <c r="AY30" s="116">
        <f>'P &amp; NP'!NW507</f>
        <v>0</v>
      </c>
      <c r="AZ30" s="116">
        <f>'P &amp; NP'!NX507</f>
        <v>0</v>
      </c>
      <c r="BA30" s="116">
        <f>'P &amp; NP'!OM507</f>
        <v>0</v>
      </c>
      <c r="BB30" s="116">
        <f>'P &amp; NP'!ON507</f>
        <v>0</v>
      </c>
      <c r="BC30" s="116">
        <f>'P &amp; NP'!PC507</f>
        <v>0</v>
      </c>
      <c r="BD30" s="116">
        <f>'P &amp; NP'!PD507</f>
        <v>0</v>
      </c>
      <c r="BE30" s="116">
        <f>'P &amp; NP'!PS507</f>
        <v>0</v>
      </c>
      <c r="BF30" s="116">
        <f>'P &amp; NP'!PT507</f>
        <v>0</v>
      </c>
      <c r="BG30" s="116">
        <f>'P &amp; NP'!QI507</f>
        <v>0</v>
      </c>
      <c r="BH30" s="116">
        <f>'P &amp; NP'!QJ507</f>
        <v>0</v>
      </c>
      <c r="BI30" s="116">
        <f>'P &amp; NP'!QY507</f>
        <v>0</v>
      </c>
      <c r="BJ30" s="116">
        <f>'P &amp; NP'!QZ507</f>
        <v>0</v>
      </c>
      <c r="BK30" s="116">
        <f>'P &amp; NP'!RO507</f>
        <v>0</v>
      </c>
      <c r="BL30" s="116">
        <f>'P &amp; NP'!RP507</f>
        <v>0</v>
      </c>
      <c r="BM30" s="116">
        <f>'P &amp; NP'!SE507</f>
        <v>0</v>
      </c>
      <c r="BN30" s="116">
        <f>'P &amp; NP'!SF507</f>
        <v>0</v>
      </c>
      <c r="BO30" s="116">
        <f>'P &amp; NP'!SU507</f>
        <v>0</v>
      </c>
      <c r="BP30" s="116">
        <f>'P &amp; NP'!SV507</f>
        <v>0</v>
      </c>
      <c r="BQ30" s="116">
        <f>'P &amp; NP'!TK507</f>
        <v>0</v>
      </c>
      <c r="BR30" s="116">
        <f>'P &amp; NP'!TL507</f>
        <v>0</v>
      </c>
      <c r="BS30" s="116">
        <f>'P &amp; NP'!UA507</f>
        <v>0</v>
      </c>
      <c r="BT30" s="116">
        <f>'P &amp; NP'!UB507</f>
        <v>0</v>
      </c>
      <c r="BU30" s="116">
        <f>'P &amp; NP'!UQ507</f>
        <v>0</v>
      </c>
      <c r="BV30" s="116">
        <f>'P &amp; NP'!UR507</f>
        <v>0</v>
      </c>
      <c r="BW30" s="116">
        <f>'P &amp; NP'!VG507</f>
        <v>0</v>
      </c>
      <c r="BX30" s="116">
        <f>'P &amp; NP'!VH507</f>
        <v>0</v>
      </c>
      <c r="BY30" s="116">
        <f>'P &amp; NP'!VW507</f>
        <v>0</v>
      </c>
      <c r="BZ30" s="116">
        <f>'P &amp; NP'!VX507</f>
        <v>0</v>
      </c>
      <c r="CB30" s="206">
        <f t="shared" si="3"/>
        <v>0</v>
      </c>
      <c r="CC30" s="206">
        <f t="shared" si="4"/>
        <v>0</v>
      </c>
    </row>
    <row r="31" spans="2:81">
      <c r="B31" s="207" t="str">
        <f>'P &amp; NP'!B37</f>
        <v xml:space="preserve">Udang Galah </v>
      </c>
      <c r="C31" s="116">
        <f>'P &amp; NP'!C508</f>
        <v>0</v>
      </c>
      <c r="D31" s="116">
        <f>'P &amp; NP'!D508</f>
        <v>0</v>
      </c>
      <c r="E31" s="116">
        <f>'P &amp; NP'!S508</f>
        <v>0</v>
      </c>
      <c r="F31" s="116">
        <f>'P &amp; NP'!T508</f>
        <v>0</v>
      </c>
      <c r="G31" s="116">
        <f>'P &amp; NP'!AI508</f>
        <v>0</v>
      </c>
      <c r="H31" s="116">
        <f>'P &amp; NP'!AJ508</f>
        <v>0</v>
      </c>
      <c r="I31" s="116">
        <f>'P &amp; NP'!AY508</f>
        <v>0</v>
      </c>
      <c r="J31" s="116">
        <f>'P &amp; NP'!AZ508</f>
        <v>0</v>
      </c>
      <c r="K31" s="116">
        <f>'P &amp; NP'!BO508</f>
        <v>0</v>
      </c>
      <c r="L31" s="116">
        <f>'P &amp; NP'!BP508</f>
        <v>0</v>
      </c>
      <c r="M31" s="116">
        <f>'P &amp; NP'!CE508</f>
        <v>0</v>
      </c>
      <c r="N31" s="116">
        <f>'P &amp; NP'!CF508</f>
        <v>0</v>
      </c>
      <c r="O31" s="116">
        <f>'P &amp; NP'!CU508</f>
        <v>0</v>
      </c>
      <c r="P31" s="116">
        <f>'P &amp; NP'!CV508</f>
        <v>0</v>
      </c>
      <c r="Q31" s="116">
        <f>'P &amp; NP'!DK508</f>
        <v>0</v>
      </c>
      <c r="R31" s="116">
        <f>'P &amp; NP'!DL508</f>
        <v>0</v>
      </c>
      <c r="S31" s="116">
        <f>'P &amp; NP'!EA508</f>
        <v>0</v>
      </c>
      <c r="T31" s="116">
        <f>'P &amp; NP'!EB508</f>
        <v>0</v>
      </c>
      <c r="U31" s="116">
        <f>'P &amp; NP'!EQ508</f>
        <v>0</v>
      </c>
      <c r="V31" s="116">
        <f>'P &amp; NP'!ER508</f>
        <v>0</v>
      </c>
      <c r="W31" s="116">
        <f>'P &amp; NP'!FG508</f>
        <v>0</v>
      </c>
      <c r="X31" s="116">
        <f>'P &amp; NP'!FH508</f>
        <v>0</v>
      </c>
      <c r="Y31" s="116">
        <f>'P &amp; NP'!FW508</f>
        <v>0</v>
      </c>
      <c r="Z31" s="116">
        <f>'P &amp; NP'!FX508</f>
        <v>0</v>
      </c>
      <c r="AA31" s="116">
        <f>'P &amp; NP'!GM508</f>
        <v>0</v>
      </c>
      <c r="AB31" s="116">
        <f>'P &amp; NP'!GN508</f>
        <v>0</v>
      </c>
      <c r="AC31" s="116">
        <f>'P &amp; NP'!HC508</f>
        <v>0</v>
      </c>
      <c r="AD31" s="116">
        <f>'P &amp; NP'!HD508</f>
        <v>0</v>
      </c>
      <c r="AE31" s="116">
        <f>'P &amp; NP'!HS508</f>
        <v>0</v>
      </c>
      <c r="AF31" s="116">
        <f>'P &amp; NP'!HT508</f>
        <v>0</v>
      </c>
      <c r="AG31" s="116">
        <f>'P &amp; NP'!II508</f>
        <v>0</v>
      </c>
      <c r="AH31" s="116">
        <f>'P &amp; NP'!IJ508</f>
        <v>0</v>
      </c>
      <c r="AI31" s="116">
        <f>'P &amp; NP'!IY508</f>
        <v>0</v>
      </c>
      <c r="AJ31" s="116">
        <f>'P &amp; NP'!IZ508</f>
        <v>0</v>
      </c>
      <c r="AK31" s="116">
        <f>'P &amp; NP'!JO508</f>
        <v>0</v>
      </c>
      <c r="AL31" s="116">
        <f>'P &amp; NP'!JP508</f>
        <v>0</v>
      </c>
      <c r="AM31" s="116">
        <f>'P &amp; NP'!KE508</f>
        <v>0</v>
      </c>
      <c r="AN31" s="116">
        <f>'P &amp; NP'!KF508</f>
        <v>0</v>
      </c>
      <c r="AO31" s="116">
        <f>'P &amp; NP'!KU508</f>
        <v>0</v>
      </c>
      <c r="AP31" s="116">
        <f>'P &amp; NP'!KV508</f>
        <v>0</v>
      </c>
      <c r="AQ31" s="116">
        <f>'P &amp; NP'!LK508</f>
        <v>0</v>
      </c>
      <c r="AR31" s="116">
        <f>'P &amp; NP'!LL508</f>
        <v>0</v>
      </c>
      <c r="AS31" s="116">
        <f>'P &amp; NP'!MA508</f>
        <v>0</v>
      </c>
      <c r="AT31" s="116">
        <f>'P &amp; NP'!MB508</f>
        <v>0</v>
      </c>
      <c r="AU31" s="116">
        <f>'P &amp; NP'!MQ508</f>
        <v>0</v>
      </c>
      <c r="AV31" s="116">
        <f>'P &amp; NP'!MR508</f>
        <v>0</v>
      </c>
      <c r="AW31" s="116">
        <f>'P &amp; NP'!NG508</f>
        <v>0</v>
      </c>
      <c r="AX31" s="116">
        <f>'P &amp; NP'!NH508</f>
        <v>0</v>
      </c>
      <c r="AY31" s="116">
        <f>'P &amp; NP'!NW508</f>
        <v>0</v>
      </c>
      <c r="AZ31" s="116">
        <f>'P &amp; NP'!NX508</f>
        <v>0</v>
      </c>
      <c r="BA31" s="116">
        <f>'P &amp; NP'!OM508</f>
        <v>0</v>
      </c>
      <c r="BB31" s="116">
        <f>'P &amp; NP'!ON508</f>
        <v>0</v>
      </c>
      <c r="BC31" s="116">
        <f>'P &amp; NP'!PC508</f>
        <v>0</v>
      </c>
      <c r="BD31" s="116">
        <f>'P &amp; NP'!PD508</f>
        <v>0</v>
      </c>
      <c r="BE31" s="116">
        <f>'P &amp; NP'!PS508</f>
        <v>0</v>
      </c>
      <c r="BF31" s="116">
        <f>'P &amp; NP'!PT508</f>
        <v>0</v>
      </c>
      <c r="BG31" s="116">
        <f>'P &amp; NP'!QI508</f>
        <v>0</v>
      </c>
      <c r="BH31" s="116">
        <f>'P &amp; NP'!QJ508</f>
        <v>0</v>
      </c>
      <c r="BI31" s="116">
        <f>'P &amp; NP'!QY508</f>
        <v>0</v>
      </c>
      <c r="BJ31" s="116">
        <f>'P &amp; NP'!QZ508</f>
        <v>0</v>
      </c>
      <c r="BK31" s="116">
        <f>'P &amp; NP'!RO508</f>
        <v>0</v>
      </c>
      <c r="BL31" s="116">
        <f>'P &amp; NP'!RP508</f>
        <v>0</v>
      </c>
      <c r="BM31" s="116">
        <f>'P &amp; NP'!SE508</f>
        <v>0</v>
      </c>
      <c r="BN31" s="116">
        <f>'P &amp; NP'!SF508</f>
        <v>0</v>
      </c>
      <c r="BO31" s="116">
        <f>'P &amp; NP'!SU508</f>
        <v>0</v>
      </c>
      <c r="BP31" s="116">
        <f>'P &amp; NP'!SV508</f>
        <v>0</v>
      </c>
      <c r="BQ31" s="116">
        <f>'P &amp; NP'!TK508</f>
        <v>0</v>
      </c>
      <c r="BR31" s="116">
        <f>'P &amp; NP'!TL508</f>
        <v>0</v>
      </c>
      <c r="BS31" s="116">
        <f>'P &amp; NP'!UA508</f>
        <v>0</v>
      </c>
      <c r="BT31" s="116">
        <f>'P &amp; NP'!UB508</f>
        <v>0</v>
      </c>
      <c r="BU31" s="116">
        <f>'P &amp; NP'!UQ508</f>
        <v>0</v>
      </c>
      <c r="BV31" s="116">
        <f>'P &amp; NP'!UR508</f>
        <v>0</v>
      </c>
      <c r="BW31" s="116">
        <f>'P &amp; NP'!VG508</f>
        <v>0</v>
      </c>
      <c r="BX31" s="116">
        <f>'P &amp; NP'!VH508</f>
        <v>0</v>
      </c>
      <c r="BY31" s="116">
        <f>'P &amp; NP'!VW508</f>
        <v>0</v>
      </c>
      <c r="BZ31" s="116">
        <f>'P &amp; NP'!VX508</f>
        <v>0</v>
      </c>
      <c r="CB31" s="206">
        <f t="shared" si="3"/>
        <v>0</v>
      </c>
      <c r="CC31" s="206">
        <f t="shared" si="4"/>
        <v>0</v>
      </c>
    </row>
    <row r="32" spans="2:81">
      <c r="B32" s="207" t="str">
        <f>'P &amp; NP'!B38</f>
        <v>Udang Putih</v>
      </c>
      <c r="C32" s="116">
        <f>'P &amp; NP'!C509</f>
        <v>0</v>
      </c>
      <c r="D32" s="116">
        <f>'P &amp; NP'!D509</f>
        <v>0</v>
      </c>
      <c r="E32" s="116">
        <f>'P &amp; NP'!S509</f>
        <v>0</v>
      </c>
      <c r="F32" s="116">
        <f>'P &amp; NP'!T509</f>
        <v>0</v>
      </c>
      <c r="G32" s="116">
        <f>'P &amp; NP'!AI509</f>
        <v>0</v>
      </c>
      <c r="H32" s="116">
        <f>'P &amp; NP'!AJ509</f>
        <v>0</v>
      </c>
      <c r="I32" s="116">
        <f>'P &amp; NP'!AY509</f>
        <v>0</v>
      </c>
      <c r="J32" s="116">
        <f>'P &amp; NP'!AZ509</f>
        <v>0</v>
      </c>
      <c r="K32" s="116">
        <f>'P &amp; NP'!BO509</f>
        <v>0</v>
      </c>
      <c r="L32" s="116">
        <f>'P &amp; NP'!BP509</f>
        <v>0</v>
      </c>
      <c r="M32" s="116">
        <f>'P &amp; NP'!CE509</f>
        <v>0</v>
      </c>
      <c r="N32" s="116">
        <f>'P &amp; NP'!CF509</f>
        <v>0</v>
      </c>
      <c r="O32" s="116">
        <f>'P &amp; NP'!CU509</f>
        <v>0</v>
      </c>
      <c r="P32" s="116">
        <f>'P &amp; NP'!CV509</f>
        <v>0</v>
      </c>
      <c r="Q32" s="116">
        <f>'P &amp; NP'!DK509</f>
        <v>0</v>
      </c>
      <c r="R32" s="116">
        <f>'P &amp; NP'!DL509</f>
        <v>0</v>
      </c>
      <c r="S32" s="116">
        <f>'P &amp; NP'!EA509</f>
        <v>0</v>
      </c>
      <c r="T32" s="116">
        <f>'P &amp; NP'!EB509</f>
        <v>0</v>
      </c>
      <c r="U32" s="116">
        <f>'P &amp; NP'!EQ509</f>
        <v>0</v>
      </c>
      <c r="V32" s="116">
        <f>'P &amp; NP'!ER509</f>
        <v>0</v>
      </c>
      <c r="W32" s="116">
        <f>'P &amp; NP'!FG509</f>
        <v>0</v>
      </c>
      <c r="X32" s="116">
        <f>'P &amp; NP'!FH509</f>
        <v>0</v>
      </c>
      <c r="Y32" s="116">
        <f>'P &amp; NP'!FW509</f>
        <v>0</v>
      </c>
      <c r="Z32" s="116">
        <f>'P &amp; NP'!FX509</f>
        <v>0</v>
      </c>
      <c r="AA32" s="116">
        <f>'P &amp; NP'!GM509</f>
        <v>0</v>
      </c>
      <c r="AB32" s="116">
        <f>'P &amp; NP'!GN509</f>
        <v>0</v>
      </c>
      <c r="AC32" s="116">
        <f>'P &amp; NP'!HC509</f>
        <v>0</v>
      </c>
      <c r="AD32" s="116">
        <f>'P &amp; NP'!HD509</f>
        <v>0</v>
      </c>
      <c r="AE32" s="116">
        <f>'P &amp; NP'!HS509</f>
        <v>0</v>
      </c>
      <c r="AF32" s="116">
        <f>'P &amp; NP'!HT509</f>
        <v>0</v>
      </c>
      <c r="AG32" s="116">
        <f>'P &amp; NP'!II509</f>
        <v>0</v>
      </c>
      <c r="AH32" s="116">
        <f>'P &amp; NP'!IJ509</f>
        <v>0</v>
      </c>
      <c r="AI32" s="116">
        <f>'P &amp; NP'!IY509</f>
        <v>0</v>
      </c>
      <c r="AJ32" s="116">
        <f>'P &amp; NP'!IZ509</f>
        <v>0</v>
      </c>
      <c r="AK32" s="116">
        <f>'P &amp; NP'!JO509</f>
        <v>0</v>
      </c>
      <c r="AL32" s="116">
        <f>'P &amp; NP'!JP509</f>
        <v>0</v>
      </c>
      <c r="AM32" s="116">
        <f>'P &amp; NP'!KE509</f>
        <v>0</v>
      </c>
      <c r="AN32" s="116">
        <f>'P &amp; NP'!KF509</f>
        <v>0</v>
      </c>
      <c r="AO32" s="116">
        <f>'P &amp; NP'!KU509</f>
        <v>0</v>
      </c>
      <c r="AP32" s="116">
        <f>'P &amp; NP'!KV509</f>
        <v>0</v>
      </c>
      <c r="AQ32" s="116">
        <f>'P &amp; NP'!LK509</f>
        <v>0</v>
      </c>
      <c r="AR32" s="116">
        <f>'P &amp; NP'!LL509</f>
        <v>0</v>
      </c>
      <c r="AS32" s="116">
        <f>'P &amp; NP'!MA509</f>
        <v>0</v>
      </c>
      <c r="AT32" s="116">
        <f>'P &amp; NP'!MB509</f>
        <v>0</v>
      </c>
      <c r="AU32" s="116">
        <f>'P &amp; NP'!MQ509</f>
        <v>0</v>
      </c>
      <c r="AV32" s="116">
        <f>'P &amp; NP'!MR509</f>
        <v>0</v>
      </c>
      <c r="AW32" s="116">
        <f>'P &amp; NP'!NG509</f>
        <v>0</v>
      </c>
      <c r="AX32" s="116">
        <f>'P &amp; NP'!NH509</f>
        <v>0</v>
      </c>
      <c r="AY32" s="116">
        <f>'P &amp; NP'!NW509</f>
        <v>0</v>
      </c>
      <c r="AZ32" s="116">
        <f>'P &amp; NP'!NX509</f>
        <v>0</v>
      </c>
      <c r="BA32" s="116">
        <f>'P &amp; NP'!OM509</f>
        <v>0</v>
      </c>
      <c r="BB32" s="116">
        <f>'P &amp; NP'!ON509</f>
        <v>0</v>
      </c>
      <c r="BC32" s="116">
        <f>'P &amp; NP'!PC509</f>
        <v>0</v>
      </c>
      <c r="BD32" s="116">
        <f>'P &amp; NP'!PD509</f>
        <v>0</v>
      </c>
      <c r="BE32" s="116">
        <f>'P &amp; NP'!PS509</f>
        <v>0</v>
      </c>
      <c r="BF32" s="116">
        <f>'P &amp; NP'!PT509</f>
        <v>0</v>
      </c>
      <c r="BG32" s="116">
        <f>'P &amp; NP'!QI509</f>
        <v>0</v>
      </c>
      <c r="BH32" s="116">
        <f>'P &amp; NP'!QJ509</f>
        <v>0</v>
      </c>
      <c r="BI32" s="116">
        <f>'P &amp; NP'!QY509</f>
        <v>0</v>
      </c>
      <c r="BJ32" s="116">
        <f>'P &amp; NP'!QZ509</f>
        <v>0</v>
      </c>
      <c r="BK32" s="116">
        <f>'P &amp; NP'!RO509</f>
        <v>0</v>
      </c>
      <c r="BL32" s="116">
        <f>'P &amp; NP'!RP509</f>
        <v>0</v>
      </c>
      <c r="BM32" s="116">
        <f>'P &amp; NP'!SE509</f>
        <v>0</v>
      </c>
      <c r="BN32" s="116">
        <f>'P &amp; NP'!SF509</f>
        <v>0</v>
      </c>
      <c r="BO32" s="116">
        <f>'P &amp; NP'!SU509</f>
        <v>0</v>
      </c>
      <c r="BP32" s="116">
        <f>'P &amp; NP'!SV509</f>
        <v>0</v>
      </c>
      <c r="BQ32" s="116">
        <f>'P &amp; NP'!TK509</f>
        <v>0</v>
      </c>
      <c r="BR32" s="116">
        <f>'P &amp; NP'!TL509</f>
        <v>0</v>
      </c>
      <c r="BS32" s="116">
        <f>'P &amp; NP'!UA509</f>
        <v>0</v>
      </c>
      <c r="BT32" s="116">
        <f>'P &amp; NP'!UB509</f>
        <v>0</v>
      </c>
      <c r="BU32" s="116">
        <f>'P &amp; NP'!UQ509</f>
        <v>0</v>
      </c>
      <c r="BV32" s="116">
        <f>'P &amp; NP'!UR509</f>
        <v>0</v>
      </c>
      <c r="BW32" s="116">
        <f>'P &amp; NP'!VG509</f>
        <v>0</v>
      </c>
      <c r="BX32" s="116">
        <f>'P &amp; NP'!VH509</f>
        <v>0</v>
      </c>
      <c r="BY32" s="116">
        <f>'P &amp; NP'!VW509</f>
        <v>0</v>
      </c>
      <c r="BZ32" s="116">
        <f>'P &amp; NP'!VX509</f>
        <v>0</v>
      </c>
      <c r="CB32" s="206">
        <f t="shared" si="3"/>
        <v>0</v>
      </c>
      <c r="CC32" s="206">
        <f t="shared" si="4"/>
        <v>0</v>
      </c>
    </row>
    <row r="33" spans="1:81">
      <c r="B33" s="207" t="str">
        <f>'P &amp; NP'!B39</f>
        <v xml:space="preserve">Udang Vaname </v>
      </c>
      <c r="C33" s="116">
        <f>'P &amp; NP'!C510</f>
        <v>0</v>
      </c>
      <c r="D33" s="116">
        <f>'P &amp; NP'!D510</f>
        <v>0</v>
      </c>
      <c r="E33" s="116">
        <f>'P &amp; NP'!S510</f>
        <v>0</v>
      </c>
      <c r="F33" s="116">
        <f>'P &amp; NP'!T510</f>
        <v>0</v>
      </c>
      <c r="G33" s="116">
        <f>'P &amp; NP'!AI510</f>
        <v>0</v>
      </c>
      <c r="H33" s="116">
        <f>'P &amp; NP'!AJ510</f>
        <v>0</v>
      </c>
      <c r="I33" s="116">
        <f>'P &amp; NP'!AY510</f>
        <v>0</v>
      </c>
      <c r="J33" s="116">
        <f>'P &amp; NP'!AZ510</f>
        <v>0</v>
      </c>
      <c r="K33" s="116">
        <f>'P &amp; NP'!BO510</f>
        <v>0</v>
      </c>
      <c r="L33" s="116">
        <f>'P &amp; NP'!BP510</f>
        <v>0</v>
      </c>
      <c r="M33" s="116">
        <f>'P &amp; NP'!CE510</f>
        <v>0</v>
      </c>
      <c r="N33" s="116">
        <f>'P &amp; NP'!CF510</f>
        <v>0</v>
      </c>
      <c r="O33" s="116">
        <f>'P &amp; NP'!CU510</f>
        <v>0</v>
      </c>
      <c r="P33" s="116">
        <f>'P &amp; NP'!CV510</f>
        <v>0</v>
      </c>
      <c r="Q33" s="116">
        <f>'P &amp; NP'!DK510</f>
        <v>0</v>
      </c>
      <c r="R33" s="116">
        <f>'P &amp; NP'!DL510</f>
        <v>0</v>
      </c>
      <c r="S33" s="116">
        <f>'P &amp; NP'!EA510</f>
        <v>0</v>
      </c>
      <c r="T33" s="116">
        <f>'P &amp; NP'!EB510</f>
        <v>0</v>
      </c>
      <c r="U33" s="116">
        <f>'P &amp; NP'!EQ510</f>
        <v>0</v>
      </c>
      <c r="V33" s="116">
        <f>'P &amp; NP'!ER510</f>
        <v>0</v>
      </c>
      <c r="W33" s="116">
        <f>'P &amp; NP'!FG510</f>
        <v>0</v>
      </c>
      <c r="X33" s="116">
        <f>'P &amp; NP'!FH510</f>
        <v>0</v>
      </c>
      <c r="Y33" s="116">
        <f>'P &amp; NP'!FW510</f>
        <v>0</v>
      </c>
      <c r="Z33" s="116">
        <f>'P &amp; NP'!FX510</f>
        <v>0</v>
      </c>
      <c r="AA33" s="116">
        <f>'P &amp; NP'!GM510</f>
        <v>0</v>
      </c>
      <c r="AB33" s="116">
        <f>'P &amp; NP'!GN510</f>
        <v>0</v>
      </c>
      <c r="AC33" s="116">
        <f>'P &amp; NP'!HC510</f>
        <v>0</v>
      </c>
      <c r="AD33" s="116">
        <f>'P &amp; NP'!HD510</f>
        <v>0</v>
      </c>
      <c r="AE33" s="116">
        <f>'P &amp; NP'!HS510</f>
        <v>0</v>
      </c>
      <c r="AF33" s="116">
        <f>'P &amp; NP'!HT510</f>
        <v>0</v>
      </c>
      <c r="AG33" s="116">
        <f>'P &amp; NP'!II510</f>
        <v>0</v>
      </c>
      <c r="AH33" s="116">
        <f>'P &amp; NP'!IJ510</f>
        <v>0</v>
      </c>
      <c r="AI33" s="116">
        <f>'P &amp; NP'!IY510</f>
        <v>0</v>
      </c>
      <c r="AJ33" s="116">
        <f>'P &amp; NP'!IZ510</f>
        <v>0</v>
      </c>
      <c r="AK33" s="116">
        <f>'P &amp; NP'!JO510</f>
        <v>0</v>
      </c>
      <c r="AL33" s="116">
        <f>'P &amp; NP'!JP510</f>
        <v>0</v>
      </c>
      <c r="AM33" s="116">
        <f>'P &amp; NP'!KE510</f>
        <v>0</v>
      </c>
      <c r="AN33" s="116">
        <f>'P &amp; NP'!KF510</f>
        <v>0</v>
      </c>
      <c r="AO33" s="116">
        <f>'P &amp; NP'!KU510</f>
        <v>0</v>
      </c>
      <c r="AP33" s="116">
        <f>'P &amp; NP'!KV510</f>
        <v>0</v>
      </c>
      <c r="AQ33" s="116">
        <f>'P &amp; NP'!LK510</f>
        <v>0</v>
      </c>
      <c r="AR33" s="116">
        <f>'P &amp; NP'!LL510</f>
        <v>0</v>
      </c>
      <c r="AS33" s="116">
        <f>'P &amp; NP'!MA510</f>
        <v>0</v>
      </c>
      <c r="AT33" s="116">
        <f>'P &amp; NP'!MB510</f>
        <v>0</v>
      </c>
      <c r="AU33" s="116">
        <f>'P &amp; NP'!MQ510</f>
        <v>0</v>
      </c>
      <c r="AV33" s="116">
        <f>'P &amp; NP'!MR510</f>
        <v>0</v>
      </c>
      <c r="AW33" s="116">
        <f>'P &amp; NP'!NG510</f>
        <v>0</v>
      </c>
      <c r="AX33" s="116">
        <f>'P &amp; NP'!NH510</f>
        <v>0</v>
      </c>
      <c r="AY33" s="116">
        <f>'P &amp; NP'!NW510</f>
        <v>0</v>
      </c>
      <c r="AZ33" s="116">
        <f>'P &amp; NP'!NX510</f>
        <v>0</v>
      </c>
      <c r="BA33" s="116">
        <f>'P &amp; NP'!OM510</f>
        <v>0</v>
      </c>
      <c r="BB33" s="116">
        <f>'P &amp; NP'!ON510</f>
        <v>0</v>
      </c>
      <c r="BC33" s="116">
        <f>'P &amp; NP'!PC510</f>
        <v>0</v>
      </c>
      <c r="BD33" s="116">
        <f>'P &amp; NP'!PD510</f>
        <v>0</v>
      </c>
      <c r="BE33" s="116">
        <f>'P &amp; NP'!PS510</f>
        <v>0</v>
      </c>
      <c r="BF33" s="116">
        <f>'P &amp; NP'!PT510</f>
        <v>0</v>
      </c>
      <c r="BG33" s="116">
        <f>'P &amp; NP'!QI510</f>
        <v>0</v>
      </c>
      <c r="BH33" s="116">
        <f>'P &amp; NP'!QJ510</f>
        <v>0</v>
      </c>
      <c r="BI33" s="116">
        <f>'P &amp; NP'!QY510</f>
        <v>0</v>
      </c>
      <c r="BJ33" s="116">
        <f>'P &amp; NP'!QZ510</f>
        <v>0</v>
      </c>
      <c r="BK33" s="116">
        <f>'P &amp; NP'!RO510</f>
        <v>0</v>
      </c>
      <c r="BL33" s="116">
        <f>'P &amp; NP'!RP510</f>
        <v>0</v>
      </c>
      <c r="BM33" s="116">
        <f>'P &amp; NP'!SE510</f>
        <v>0</v>
      </c>
      <c r="BN33" s="116">
        <f>'P &amp; NP'!SF510</f>
        <v>0</v>
      </c>
      <c r="BO33" s="116">
        <f>'P &amp; NP'!SU510</f>
        <v>0</v>
      </c>
      <c r="BP33" s="116">
        <f>'P &amp; NP'!SV510</f>
        <v>0</v>
      </c>
      <c r="BQ33" s="116">
        <f>'P &amp; NP'!TK510</f>
        <v>0</v>
      </c>
      <c r="BR33" s="116">
        <f>'P &amp; NP'!TL510</f>
        <v>0</v>
      </c>
      <c r="BS33" s="116">
        <f>'P &amp; NP'!UA510</f>
        <v>0</v>
      </c>
      <c r="BT33" s="116">
        <f>'P &amp; NP'!UB510</f>
        <v>0</v>
      </c>
      <c r="BU33" s="116">
        <f>'P &amp; NP'!UQ510</f>
        <v>0</v>
      </c>
      <c r="BV33" s="116">
        <f>'P &amp; NP'!UR510</f>
        <v>0</v>
      </c>
      <c r="BW33" s="116">
        <f>'P &amp; NP'!VG510</f>
        <v>0</v>
      </c>
      <c r="BX33" s="116">
        <f>'P &amp; NP'!VH510</f>
        <v>0</v>
      </c>
      <c r="BY33" s="116">
        <f>'P &amp; NP'!VW510</f>
        <v>0</v>
      </c>
      <c r="BZ33" s="116">
        <f>'P &amp; NP'!VX510</f>
        <v>0</v>
      </c>
      <c r="CB33" s="206">
        <f t="shared" si="3"/>
        <v>0</v>
      </c>
      <c r="CC33" s="206">
        <f t="shared" si="4"/>
        <v>0</v>
      </c>
    </row>
    <row r="34" spans="1:81">
      <c r="B34" s="207" t="str">
        <f>'P &amp; NP'!B40</f>
        <v xml:space="preserve">Udang Windu </v>
      </c>
      <c r="C34" s="116">
        <f>'P &amp; NP'!C511</f>
        <v>0</v>
      </c>
      <c r="D34" s="116">
        <f>'P &amp; NP'!D511</f>
        <v>0</v>
      </c>
      <c r="E34" s="116">
        <f>'P &amp; NP'!S511</f>
        <v>0</v>
      </c>
      <c r="F34" s="116">
        <f>'P &amp; NP'!T511</f>
        <v>0</v>
      </c>
      <c r="G34" s="116">
        <f>'P &amp; NP'!AI511</f>
        <v>0</v>
      </c>
      <c r="H34" s="116">
        <f>'P &amp; NP'!AJ511</f>
        <v>0</v>
      </c>
      <c r="I34" s="116">
        <f>'P &amp; NP'!AY511</f>
        <v>0</v>
      </c>
      <c r="J34" s="116">
        <f>'P &amp; NP'!AZ511</f>
        <v>0</v>
      </c>
      <c r="K34" s="116">
        <f>'P &amp; NP'!BO511</f>
        <v>0</v>
      </c>
      <c r="L34" s="116">
        <f>'P &amp; NP'!BP511</f>
        <v>0</v>
      </c>
      <c r="M34" s="116">
        <f>'P &amp; NP'!CE511</f>
        <v>0</v>
      </c>
      <c r="N34" s="116">
        <f>'P &amp; NP'!CF511</f>
        <v>0</v>
      </c>
      <c r="O34" s="116">
        <f>'P &amp; NP'!CU511</f>
        <v>0</v>
      </c>
      <c r="P34" s="116">
        <f>'P &amp; NP'!CV511</f>
        <v>0</v>
      </c>
      <c r="Q34" s="116">
        <f>'P &amp; NP'!DK511</f>
        <v>0</v>
      </c>
      <c r="R34" s="116">
        <f>'P &amp; NP'!DL511</f>
        <v>0</v>
      </c>
      <c r="S34" s="116">
        <f>'P &amp; NP'!EA511</f>
        <v>0</v>
      </c>
      <c r="T34" s="116">
        <f>'P &amp; NP'!EB511</f>
        <v>0</v>
      </c>
      <c r="U34" s="116">
        <f>'P &amp; NP'!EQ511</f>
        <v>0</v>
      </c>
      <c r="V34" s="116">
        <f>'P &amp; NP'!ER511</f>
        <v>0</v>
      </c>
      <c r="W34" s="116">
        <f>'P &amp; NP'!FG511</f>
        <v>0</v>
      </c>
      <c r="X34" s="116">
        <f>'P &amp; NP'!FH511</f>
        <v>0</v>
      </c>
      <c r="Y34" s="116">
        <f>'P &amp; NP'!FW511</f>
        <v>0</v>
      </c>
      <c r="Z34" s="116">
        <f>'P &amp; NP'!FX511</f>
        <v>0</v>
      </c>
      <c r="AA34" s="116">
        <f>'P &amp; NP'!GM511</f>
        <v>0</v>
      </c>
      <c r="AB34" s="116">
        <f>'P &amp; NP'!GN511</f>
        <v>0</v>
      </c>
      <c r="AC34" s="116">
        <f>'P &amp; NP'!HC511</f>
        <v>0</v>
      </c>
      <c r="AD34" s="116">
        <f>'P &amp; NP'!HD511</f>
        <v>0</v>
      </c>
      <c r="AE34" s="116">
        <f>'P &amp; NP'!HS511</f>
        <v>0</v>
      </c>
      <c r="AF34" s="116">
        <f>'P &amp; NP'!HT511</f>
        <v>0</v>
      </c>
      <c r="AG34" s="116">
        <f>'P &amp; NP'!II511</f>
        <v>0</v>
      </c>
      <c r="AH34" s="116">
        <f>'P &amp; NP'!IJ511</f>
        <v>0</v>
      </c>
      <c r="AI34" s="116">
        <f>'P &amp; NP'!IY511</f>
        <v>0</v>
      </c>
      <c r="AJ34" s="116">
        <f>'P &amp; NP'!IZ511</f>
        <v>0</v>
      </c>
      <c r="AK34" s="116">
        <f>'P &amp; NP'!JO511</f>
        <v>0</v>
      </c>
      <c r="AL34" s="116">
        <f>'P &amp; NP'!JP511</f>
        <v>0</v>
      </c>
      <c r="AM34" s="116">
        <f>'P &amp; NP'!KE511</f>
        <v>0</v>
      </c>
      <c r="AN34" s="116">
        <f>'P &amp; NP'!KF511</f>
        <v>0</v>
      </c>
      <c r="AO34" s="116">
        <f>'P &amp; NP'!KU511</f>
        <v>0</v>
      </c>
      <c r="AP34" s="116">
        <f>'P &amp; NP'!KV511</f>
        <v>0</v>
      </c>
      <c r="AQ34" s="116">
        <f>'P &amp; NP'!LK511</f>
        <v>0</v>
      </c>
      <c r="AR34" s="116">
        <f>'P &amp; NP'!LL511</f>
        <v>0</v>
      </c>
      <c r="AS34" s="116">
        <f>'P &amp; NP'!MA511</f>
        <v>0</v>
      </c>
      <c r="AT34" s="116">
        <f>'P &amp; NP'!MB511</f>
        <v>0</v>
      </c>
      <c r="AU34" s="116">
        <f>'P &amp; NP'!MQ511</f>
        <v>0</v>
      </c>
      <c r="AV34" s="116">
        <f>'P &amp; NP'!MR511</f>
        <v>0</v>
      </c>
      <c r="AW34" s="116">
        <f>'P &amp; NP'!NG511</f>
        <v>0</v>
      </c>
      <c r="AX34" s="116">
        <f>'P &amp; NP'!NH511</f>
        <v>0</v>
      </c>
      <c r="AY34" s="116">
        <f>'P &amp; NP'!NW511</f>
        <v>0</v>
      </c>
      <c r="AZ34" s="116">
        <f>'P &amp; NP'!NX511</f>
        <v>0</v>
      </c>
      <c r="BA34" s="116">
        <f>'P &amp; NP'!OM511</f>
        <v>0</v>
      </c>
      <c r="BB34" s="116">
        <f>'P &amp; NP'!ON511</f>
        <v>0</v>
      </c>
      <c r="BC34" s="116">
        <f>'P &amp; NP'!PC511</f>
        <v>0</v>
      </c>
      <c r="BD34" s="116">
        <f>'P &amp; NP'!PD511</f>
        <v>0</v>
      </c>
      <c r="BE34" s="116">
        <f>'P &amp; NP'!PS511</f>
        <v>0</v>
      </c>
      <c r="BF34" s="116">
        <f>'P &amp; NP'!PT511</f>
        <v>0</v>
      </c>
      <c r="BG34" s="116">
        <f>'P &amp; NP'!QI511</f>
        <v>0</v>
      </c>
      <c r="BH34" s="116">
        <f>'P &amp; NP'!QJ511</f>
        <v>0</v>
      </c>
      <c r="BI34" s="116">
        <f>'P &amp; NP'!QY511</f>
        <v>0</v>
      </c>
      <c r="BJ34" s="116">
        <f>'P &amp; NP'!QZ511</f>
        <v>0</v>
      </c>
      <c r="BK34" s="116">
        <f>'P &amp; NP'!RO511</f>
        <v>0</v>
      </c>
      <c r="BL34" s="116">
        <f>'P &amp; NP'!RP511</f>
        <v>0</v>
      </c>
      <c r="BM34" s="116">
        <f>'P &amp; NP'!SE511</f>
        <v>0</v>
      </c>
      <c r="BN34" s="116">
        <f>'P &amp; NP'!SF511</f>
        <v>0</v>
      </c>
      <c r="BO34" s="116">
        <f>'P &amp; NP'!SU511</f>
        <v>0</v>
      </c>
      <c r="BP34" s="116">
        <f>'P &amp; NP'!SV511</f>
        <v>0</v>
      </c>
      <c r="BQ34" s="116">
        <f>'P &amp; NP'!TK511</f>
        <v>0</v>
      </c>
      <c r="BR34" s="116">
        <f>'P &amp; NP'!TL511</f>
        <v>0</v>
      </c>
      <c r="BS34" s="116">
        <f>'P &amp; NP'!UA511</f>
        <v>0</v>
      </c>
      <c r="BT34" s="116">
        <f>'P &amp; NP'!UB511</f>
        <v>0</v>
      </c>
      <c r="BU34" s="116">
        <f>'P &amp; NP'!UQ511</f>
        <v>0</v>
      </c>
      <c r="BV34" s="116">
        <f>'P &amp; NP'!UR511</f>
        <v>0</v>
      </c>
      <c r="BW34" s="116">
        <f>'P &amp; NP'!VG511</f>
        <v>0</v>
      </c>
      <c r="BX34" s="116">
        <f>'P &amp; NP'!VH511</f>
        <v>0</v>
      </c>
      <c r="BY34" s="116">
        <f>'P &amp; NP'!VW511</f>
        <v>0</v>
      </c>
      <c r="BZ34" s="116">
        <f>'P &amp; NP'!VX511</f>
        <v>0</v>
      </c>
      <c r="CB34" s="206">
        <f t="shared" si="3"/>
        <v>0</v>
      </c>
      <c r="CC34" s="206">
        <f t="shared" si="4"/>
        <v>0</v>
      </c>
    </row>
    <row r="35" spans="1:81">
      <c r="B35" s="207" t="str">
        <f>'P &amp; NP'!B41</f>
        <v xml:space="preserve">Udang_01 (Udang Api-Api) </v>
      </c>
      <c r="C35" s="116">
        <f>'P &amp; NP'!C512</f>
        <v>0</v>
      </c>
      <c r="D35" s="116">
        <f>'P &amp; NP'!D512</f>
        <v>0</v>
      </c>
      <c r="E35" s="116">
        <f>'P &amp; NP'!S512</f>
        <v>0</v>
      </c>
      <c r="F35" s="116">
        <f>'P &amp; NP'!T512</f>
        <v>0</v>
      </c>
      <c r="G35" s="116">
        <f>'P &amp; NP'!AI512</f>
        <v>0</v>
      </c>
      <c r="H35" s="116">
        <f>'P &amp; NP'!AJ512</f>
        <v>0</v>
      </c>
      <c r="I35" s="116">
        <f>'P &amp; NP'!AY512</f>
        <v>0</v>
      </c>
      <c r="J35" s="116">
        <f>'P &amp; NP'!AZ512</f>
        <v>0</v>
      </c>
      <c r="K35" s="116">
        <f>'P &amp; NP'!BO512</f>
        <v>0</v>
      </c>
      <c r="L35" s="116">
        <f>'P &amp; NP'!BP512</f>
        <v>0</v>
      </c>
      <c r="M35" s="116">
        <f>'P &amp; NP'!CE512</f>
        <v>0</v>
      </c>
      <c r="N35" s="116">
        <f>'P &amp; NP'!CF512</f>
        <v>0</v>
      </c>
      <c r="O35" s="116">
        <f>'P &amp; NP'!CU512</f>
        <v>0</v>
      </c>
      <c r="P35" s="116">
        <f>'P &amp; NP'!CV512</f>
        <v>0</v>
      </c>
      <c r="Q35" s="116">
        <f>'P &amp; NP'!DK512</f>
        <v>0</v>
      </c>
      <c r="R35" s="116">
        <f>'P &amp; NP'!DL512</f>
        <v>0</v>
      </c>
      <c r="S35" s="116">
        <f>'P &amp; NP'!EA512</f>
        <v>0</v>
      </c>
      <c r="T35" s="116">
        <f>'P &amp; NP'!EB512</f>
        <v>0</v>
      </c>
      <c r="U35" s="116">
        <f>'P &amp; NP'!EQ512</f>
        <v>0</v>
      </c>
      <c r="V35" s="116">
        <f>'P &amp; NP'!ER512</f>
        <v>0</v>
      </c>
      <c r="W35" s="116">
        <f>'P &amp; NP'!FG512</f>
        <v>0</v>
      </c>
      <c r="X35" s="116">
        <f>'P &amp; NP'!FH512</f>
        <v>0</v>
      </c>
      <c r="Y35" s="116">
        <f>'P &amp; NP'!FW512</f>
        <v>0</v>
      </c>
      <c r="Z35" s="116">
        <f>'P &amp; NP'!FX512</f>
        <v>0</v>
      </c>
      <c r="AA35" s="116">
        <f>'P &amp; NP'!GM512</f>
        <v>0</v>
      </c>
      <c r="AB35" s="116">
        <f>'P &amp; NP'!GN512</f>
        <v>0</v>
      </c>
      <c r="AC35" s="116">
        <f>'P &amp; NP'!HC512</f>
        <v>0</v>
      </c>
      <c r="AD35" s="116">
        <f>'P &amp; NP'!HD512</f>
        <v>0</v>
      </c>
      <c r="AE35" s="116">
        <f>'P &amp; NP'!HS512</f>
        <v>0</v>
      </c>
      <c r="AF35" s="116">
        <f>'P &amp; NP'!HT512</f>
        <v>0</v>
      </c>
      <c r="AG35" s="116">
        <f>'P &amp; NP'!II512</f>
        <v>0</v>
      </c>
      <c r="AH35" s="116">
        <f>'P &amp; NP'!IJ512</f>
        <v>0</v>
      </c>
      <c r="AI35" s="116">
        <f>'P &amp; NP'!IY512</f>
        <v>0</v>
      </c>
      <c r="AJ35" s="116">
        <f>'P &amp; NP'!IZ512</f>
        <v>0</v>
      </c>
      <c r="AK35" s="116">
        <f>'P &amp; NP'!JO512</f>
        <v>0</v>
      </c>
      <c r="AL35" s="116">
        <f>'P &amp; NP'!JP512</f>
        <v>0</v>
      </c>
      <c r="AM35" s="116">
        <f>'P &amp; NP'!KE512</f>
        <v>0</v>
      </c>
      <c r="AN35" s="116">
        <f>'P &amp; NP'!KF512</f>
        <v>0</v>
      </c>
      <c r="AO35" s="116">
        <f>'P &amp; NP'!KU512</f>
        <v>0</v>
      </c>
      <c r="AP35" s="116">
        <f>'P &amp; NP'!KV512</f>
        <v>0</v>
      </c>
      <c r="AQ35" s="116">
        <f>'P &amp; NP'!LK512</f>
        <v>0</v>
      </c>
      <c r="AR35" s="116">
        <f>'P &amp; NP'!LL512</f>
        <v>0</v>
      </c>
      <c r="AS35" s="116">
        <f>'P &amp; NP'!MA512</f>
        <v>0</v>
      </c>
      <c r="AT35" s="116">
        <f>'P &amp; NP'!MB512</f>
        <v>0</v>
      </c>
      <c r="AU35" s="116">
        <f>'P &amp; NP'!MQ512</f>
        <v>0</v>
      </c>
      <c r="AV35" s="116">
        <f>'P &amp; NP'!MR512</f>
        <v>0</v>
      </c>
      <c r="AW35" s="116">
        <f>'P &amp; NP'!NG512</f>
        <v>0</v>
      </c>
      <c r="AX35" s="116">
        <f>'P &amp; NP'!NH512</f>
        <v>0</v>
      </c>
      <c r="AY35" s="116">
        <f>'P &amp; NP'!NW512</f>
        <v>0</v>
      </c>
      <c r="AZ35" s="116">
        <f>'P &amp; NP'!NX512</f>
        <v>0</v>
      </c>
      <c r="BA35" s="116">
        <f>'P &amp; NP'!OM512</f>
        <v>0</v>
      </c>
      <c r="BB35" s="116">
        <f>'P &amp; NP'!ON512</f>
        <v>0</v>
      </c>
      <c r="BC35" s="116">
        <f>'P &amp; NP'!PC512</f>
        <v>0</v>
      </c>
      <c r="BD35" s="116">
        <f>'P &amp; NP'!PD512</f>
        <v>0</v>
      </c>
      <c r="BE35" s="116">
        <f>'P &amp; NP'!PS512</f>
        <v>0</v>
      </c>
      <c r="BF35" s="116">
        <f>'P &amp; NP'!PT512</f>
        <v>0</v>
      </c>
      <c r="BG35" s="116">
        <f>'P &amp; NP'!QI512</f>
        <v>0</v>
      </c>
      <c r="BH35" s="116">
        <f>'P &amp; NP'!QJ512</f>
        <v>0</v>
      </c>
      <c r="BI35" s="116">
        <f>'P &amp; NP'!QY512</f>
        <v>0</v>
      </c>
      <c r="BJ35" s="116">
        <f>'P &amp; NP'!QZ512</f>
        <v>0</v>
      </c>
      <c r="BK35" s="116">
        <f>'P &amp; NP'!RO512</f>
        <v>0</v>
      </c>
      <c r="BL35" s="116">
        <f>'P &amp; NP'!RP512</f>
        <v>0</v>
      </c>
      <c r="BM35" s="116">
        <f>'P &amp; NP'!SE512</f>
        <v>0</v>
      </c>
      <c r="BN35" s="116">
        <f>'P &amp; NP'!SF512</f>
        <v>0</v>
      </c>
      <c r="BO35" s="116">
        <f>'P &amp; NP'!SU512</f>
        <v>0</v>
      </c>
      <c r="BP35" s="116">
        <f>'P &amp; NP'!SV512</f>
        <v>0</v>
      </c>
      <c r="BQ35" s="116">
        <f>'P &amp; NP'!TK512</f>
        <v>0</v>
      </c>
      <c r="BR35" s="116">
        <f>'P &amp; NP'!TL512</f>
        <v>0</v>
      </c>
      <c r="BS35" s="116">
        <f>'P &amp; NP'!UA512</f>
        <v>0</v>
      </c>
      <c r="BT35" s="116">
        <f>'P &amp; NP'!UB512</f>
        <v>0</v>
      </c>
      <c r="BU35" s="116">
        <f>'P &amp; NP'!UQ512</f>
        <v>0</v>
      </c>
      <c r="BV35" s="116">
        <f>'P &amp; NP'!UR512</f>
        <v>0</v>
      </c>
      <c r="BW35" s="116">
        <f>'P &amp; NP'!VG512</f>
        <v>0</v>
      </c>
      <c r="BX35" s="116">
        <f>'P &amp; NP'!VH512</f>
        <v>0</v>
      </c>
      <c r="BY35" s="116">
        <f>'P &amp; NP'!VW512</f>
        <v>0</v>
      </c>
      <c r="BZ35" s="116">
        <f>'P &amp; NP'!VX512</f>
        <v>0</v>
      </c>
      <c r="CB35" s="206">
        <f>SUMIF($C$4:$BZ$4,$CB$4,C35:BZ35)</f>
        <v>0</v>
      </c>
      <c r="CC35" s="206">
        <f>SUMIF($C$4:$BZ$4,$CC$4,C35:BZ35)</f>
        <v>0</v>
      </c>
    </row>
    <row r="36" spans="1:81">
      <c r="B36" s="207" t="str">
        <f>'P &amp; NP'!B42</f>
        <v xml:space="preserve">Udang_02 (Udang Rebon) </v>
      </c>
      <c r="C36" s="116">
        <f>'P &amp; NP'!C513</f>
        <v>0</v>
      </c>
      <c r="D36" s="116">
        <f>'P &amp; NP'!D513</f>
        <v>0</v>
      </c>
      <c r="E36" s="116">
        <f>'P &amp; NP'!S513</f>
        <v>0</v>
      </c>
      <c r="F36" s="116">
        <f>'P &amp; NP'!T513</f>
        <v>0</v>
      </c>
      <c r="G36" s="116">
        <f>'P &amp; NP'!AI513</f>
        <v>0</v>
      </c>
      <c r="H36" s="116">
        <f>'P &amp; NP'!AJ513</f>
        <v>0</v>
      </c>
      <c r="I36" s="116">
        <f>'P &amp; NP'!AY513</f>
        <v>0</v>
      </c>
      <c r="J36" s="116">
        <f>'P &amp; NP'!AZ513</f>
        <v>0</v>
      </c>
      <c r="K36" s="116">
        <f>'P &amp; NP'!BO513</f>
        <v>0</v>
      </c>
      <c r="L36" s="116">
        <f>'P &amp; NP'!BP513</f>
        <v>0</v>
      </c>
      <c r="M36" s="116">
        <f>'P &amp; NP'!CE513</f>
        <v>0</v>
      </c>
      <c r="N36" s="116">
        <f>'P &amp; NP'!CF513</f>
        <v>0</v>
      </c>
      <c r="O36" s="116">
        <f>'P &amp; NP'!CU513</f>
        <v>0</v>
      </c>
      <c r="P36" s="116">
        <f>'P &amp; NP'!CV513</f>
        <v>0</v>
      </c>
      <c r="Q36" s="116">
        <f>'P &amp; NP'!DK513</f>
        <v>0</v>
      </c>
      <c r="R36" s="116">
        <f>'P &amp; NP'!DL513</f>
        <v>0</v>
      </c>
      <c r="S36" s="116">
        <f>'P &amp; NP'!EA513</f>
        <v>0</v>
      </c>
      <c r="T36" s="116">
        <f>'P &amp; NP'!EB513</f>
        <v>0</v>
      </c>
      <c r="U36" s="116">
        <f>'P &amp; NP'!EQ513</f>
        <v>0</v>
      </c>
      <c r="V36" s="116">
        <f>'P &amp; NP'!ER513</f>
        <v>0</v>
      </c>
      <c r="W36" s="116">
        <f>'P &amp; NP'!FG513</f>
        <v>0</v>
      </c>
      <c r="X36" s="116">
        <f>'P &amp; NP'!FH513</f>
        <v>0</v>
      </c>
      <c r="Y36" s="116">
        <f>'P &amp; NP'!FW513</f>
        <v>0</v>
      </c>
      <c r="Z36" s="116">
        <f>'P &amp; NP'!FX513</f>
        <v>0</v>
      </c>
      <c r="AA36" s="116">
        <f>'P &amp; NP'!GM513</f>
        <v>0</v>
      </c>
      <c r="AB36" s="116">
        <f>'P &amp; NP'!GN513</f>
        <v>0</v>
      </c>
      <c r="AC36" s="116">
        <f>'P &amp; NP'!HC513</f>
        <v>0</v>
      </c>
      <c r="AD36" s="116">
        <f>'P &amp; NP'!HD513</f>
        <v>0</v>
      </c>
      <c r="AE36" s="116">
        <f>'P &amp; NP'!HS513</f>
        <v>0</v>
      </c>
      <c r="AF36" s="116">
        <f>'P &amp; NP'!HT513</f>
        <v>0</v>
      </c>
      <c r="AG36" s="116">
        <f>'P &amp; NP'!II513</f>
        <v>0</v>
      </c>
      <c r="AH36" s="116">
        <f>'P &amp; NP'!IJ513</f>
        <v>0</v>
      </c>
      <c r="AI36" s="116">
        <f>'P &amp; NP'!IY513</f>
        <v>0</v>
      </c>
      <c r="AJ36" s="116">
        <f>'P &amp; NP'!IZ513</f>
        <v>0</v>
      </c>
      <c r="AK36" s="116">
        <f>'P &amp; NP'!JO513</f>
        <v>0</v>
      </c>
      <c r="AL36" s="116">
        <f>'P &amp; NP'!JP513</f>
        <v>0</v>
      </c>
      <c r="AM36" s="116">
        <f>'P &amp; NP'!KE513</f>
        <v>0</v>
      </c>
      <c r="AN36" s="116">
        <f>'P &amp; NP'!KF513</f>
        <v>0</v>
      </c>
      <c r="AO36" s="116">
        <f>'P &amp; NP'!KU513</f>
        <v>0</v>
      </c>
      <c r="AP36" s="116">
        <f>'P &amp; NP'!KV513</f>
        <v>0</v>
      </c>
      <c r="AQ36" s="116">
        <f>'P &amp; NP'!LK513</f>
        <v>0</v>
      </c>
      <c r="AR36" s="116">
        <f>'P &amp; NP'!LL513</f>
        <v>0</v>
      </c>
      <c r="AS36" s="116">
        <f>'P &amp; NP'!MA513</f>
        <v>0</v>
      </c>
      <c r="AT36" s="116">
        <f>'P &amp; NP'!MB513</f>
        <v>0</v>
      </c>
      <c r="AU36" s="116">
        <f>'P &amp; NP'!MQ513</f>
        <v>0</v>
      </c>
      <c r="AV36" s="116">
        <f>'P &amp; NP'!MR513</f>
        <v>0</v>
      </c>
      <c r="AW36" s="116">
        <f>'P &amp; NP'!NG513</f>
        <v>0</v>
      </c>
      <c r="AX36" s="116">
        <f>'P &amp; NP'!NH513</f>
        <v>0</v>
      </c>
      <c r="AY36" s="116">
        <f>'P &amp; NP'!NW513</f>
        <v>0</v>
      </c>
      <c r="AZ36" s="116">
        <f>'P &amp; NP'!NX513</f>
        <v>0</v>
      </c>
      <c r="BA36" s="116">
        <f>'P &amp; NP'!OM513</f>
        <v>0</v>
      </c>
      <c r="BB36" s="116">
        <f>'P &amp; NP'!ON513</f>
        <v>0</v>
      </c>
      <c r="BC36" s="116">
        <f>'P &amp; NP'!PC513</f>
        <v>0</v>
      </c>
      <c r="BD36" s="116">
        <f>'P &amp; NP'!PD513</f>
        <v>0</v>
      </c>
      <c r="BE36" s="116">
        <f>'P &amp; NP'!PS513</f>
        <v>0</v>
      </c>
      <c r="BF36" s="116">
        <f>'P &amp; NP'!PT513</f>
        <v>0</v>
      </c>
      <c r="BG36" s="116">
        <f>'P &amp; NP'!QI513</f>
        <v>0</v>
      </c>
      <c r="BH36" s="116">
        <f>'P &amp; NP'!QJ513</f>
        <v>0</v>
      </c>
      <c r="BI36" s="116">
        <f>'P &amp; NP'!QY513</f>
        <v>0</v>
      </c>
      <c r="BJ36" s="116">
        <f>'P &amp; NP'!QZ513</f>
        <v>0</v>
      </c>
      <c r="BK36" s="116">
        <f>'P &amp; NP'!RO513</f>
        <v>0</v>
      </c>
      <c r="BL36" s="116">
        <f>'P &amp; NP'!RP513</f>
        <v>0</v>
      </c>
      <c r="BM36" s="116">
        <f>'P &amp; NP'!SE513</f>
        <v>0</v>
      </c>
      <c r="BN36" s="116">
        <f>'P &amp; NP'!SF513</f>
        <v>0</v>
      </c>
      <c r="BO36" s="116">
        <f>'P &amp; NP'!SU513</f>
        <v>0</v>
      </c>
      <c r="BP36" s="116">
        <f>'P &amp; NP'!SV513</f>
        <v>0</v>
      </c>
      <c r="BQ36" s="116">
        <f>'P &amp; NP'!TK513</f>
        <v>0</v>
      </c>
      <c r="BR36" s="116">
        <f>'P &amp; NP'!TL513</f>
        <v>0</v>
      </c>
      <c r="BS36" s="116">
        <f>'P &amp; NP'!UA513</f>
        <v>0</v>
      </c>
      <c r="BT36" s="116">
        <f>'P &amp; NP'!UB513</f>
        <v>0</v>
      </c>
      <c r="BU36" s="116">
        <f>'P &amp; NP'!UQ513</f>
        <v>0</v>
      </c>
      <c r="BV36" s="116">
        <f>'P &amp; NP'!UR513</f>
        <v>0</v>
      </c>
      <c r="BW36" s="116">
        <f>'P &amp; NP'!VG513</f>
        <v>0</v>
      </c>
      <c r="BX36" s="116">
        <f>'P &amp; NP'!VH513</f>
        <v>0</v>
      </c>
      <c r="BY36" s="116">
        <f>'P &amp; NP'!VW513</f>
        <v>0</v>
      </c>
      <c r="BZ36" s="116">
        <f>'P &amp; NP'!VX513</f>
        <v>0</v>
      </c>
      <c r="CB36" s="206">
        <f t="shared" ref="CB36:CB44" si="5">SUMIF($C$4:$BZ$4,$CB$4,C36:BZ36)</f>
        <v>0</v>
      </c>
      <c r="CC36" s="206">
        <f t="shared" ref="CC36:CC44" si="6">SUMIF($C$4:$BZ$4,$CC$4,C36:BZ36)</f>
        <v>0</v>
      </c>
    </row>
    <row r="37" spans="1:81">
      <c r="B37" s="207" t="str">
        <f>'P &amp; NP'!B43</f>
        <v xml:space="preserve">Belut Sawah </v>
      </c>
      <c r="C37" s="116">
        <f>'P &amp; NP'!C514</f>
        <v>0</v>
      </c>
      <c r="D37" s="116">
        <f>'P &amp; NP'!D514</f>
        <v>0</v>
      </c>
      <c r="E37" s="116">
        <f>'P &amp; NP'!S514</f>
        <v>0</v>
      </c>
      <c r="F37" s="116">
        <f>'P &amp; NP'!T514</f>
        <v>0</v>
      </c>
      <c r="G37" s="116">
        <f>'P &amp; NP'!AI514</f>
        <v>0</v>
      </c>
      <c r="H37" s="116">
        <f>'P &amp; NP'!AJ514</f>
        <v>0</v>
      </c>
      <c r="I37" s="116">
        <f>'P &amp; NP'!AY514</f>
        <v>0</v>
      </c>
      <c r="J37" s="116">
        <f>'P &amp; NP'!AZ514</f>
        <v>0</v>
      </c>
      <c r="K37" s="116">
        <f>'P &amp; NP'!BO514</f>
        <v>0</v>
      </c>
      <c r="L37" s="116">
        <f>'P &amp; NP'!BP514</f>
        <v>0</v>
      </c>
      <c r="M37" s="116">
        <f>'P &amp; NP'!CE514</f>
        <v>0</v>
      </c>
      <c r="N37" s="116">
        <f>'P &amp; NP'!CF514</f>
        <v>0</v>
      </c>
      <c r="O37" s="116">
        <f>'P &amp; NP'!CU514</f>
        <v>0</v>
      </c>
      <c r="P37" s="116">
        <f>'P &amp; NP'!CV514</f>
        <v>0</v>
      </c>
      <c r="Q37" s="116">
        <f>'P &amp; NP'!DK514</f>
        <v>0</v>
      </c>
      <c r="R37" s="116">
        <f>'P &amp; NP'!DL514</f>
        <v>0</v>
      </c>
      <c r="S37" s="116">
        <f>'P &amp; NP'!EA514</f>
        <v>0</v>
      </c>
      <c r="T37" s="116">
        <f>'P &amp; NP'!EB514</f>
        <v>0</v>
      </c>
      <c r="U37" s="116">
        <f>'P &amp; NP'!EQ514</f>
        <v>0</v>
      </c>
      <c r="V37" s="116">
        <f>'P &amp; NP'!ER514</f>
        <v>0</v>
      </c>
      <c r="W37" s="116">
        <f>'P &amp; NP'!FG514</f>
        <v>0</v>
      </c>
      <c r="X37" s="116">
        <f>'P &amp; NP'!FH514</f>
        <v>0</v>
      </c>
      <c r="Y37" s="116">
        <f>'P &amp; NP'!FW514</f>
        <v>0</v>
      </c>
      <c r="Z37" s="116">
        <f>'P &amp; NP'!FX514</f>
        <v>0</v>
      </c>
      <c r="AA37" s="116">
        <f>'P &amp; NP'!GM514</f>
        <v>0</v>
      </c>
      <c r="AB37" s="116">
        <f>'P &amp; NP'!GN514</f>
        <v>0</v>
      </c>
      <c r="AC37" s="116">
        <f>'P &amp; NP'!HC514</f>
        <v>0</v>
      </c>
      <c r="AD37" s="116">
        <f>'P &amp; NP'!HD514</f>
        <v>0</v>
      </c>
      <c r="AE37" s="116">
        <f>'P &amp; NP'!HS514</f>
        <v>0</v>
      </c>
      <c r="AF37" s="116">
        <f>'P &amp; NP'!HT514</f>
        <v>0</v>
      </c>
      <c r="AG37" s="116">
        <f>'P &amp; NP'!II514</f>
        <v>0</v>
      </c>
      <c r="AH37" s="116">
        <f>'P &amp; NP'!IJ514</f>
        <v>0</v>
      </c>
      <c r="AI37" s="116">
        <f>'P &amp; NP'!IY514</f>
        <v>0</v>
      </c>
      <c r="AJ37" s="116">
        <f>'P &amp; NP'!IZ514</f>
        <v>0</v>
      </c>
      <c r="AK37" s="116">
        <f>'P &amp; NP'!JO514</f>
        <v>0</v>
      </c>
      <c r="AL37" s="116">
        <f>'P &amp; NP'!JP514</f>
        <v>0</v>
      </c>
      <c r="AM37" s="116">
        <f>'P &amp; NP'!KE514</f>
        <v>0</v>
      </c>
      <c r="AN37" s="116">
        <f>'P &amp; NP'!KF514</f>
        <v>0</v>
      </c>
      <c r="AO37" s="116">
        <f>'P &amp; NP'!KU514</f>
        <v>0</v>
      </c>
      <c r="AP37" s="116">
        <f>'P &amp; NP'!KV514</f>
        <v>0</v>
      </c>
      <c r="AQ37" s="116">
        <f>'P &amp; NP'!LK514</f>
        <v>0</v>
      </c>
      <c r="AR37" s="116">
        <f>'P &amp; NP'!LL514</f>
        <v>0</v>
      </c>
      <c r="AS37" s="116">
        <f>'P &amp; NP'!MA514</f>
        <v>0</v>
      </c>
      <c r="AT37" s="116">
        <f>'P &amp; NP'!MB514</f>
        <v>0</v>
      </c>
      <c r="AU37" s="116">
        <f>'P &amp; NP'!MQ514</f>
        <v>0</v>
      </c>
      <c r="AV37" s="116">
        <f>'P &amp; NP'!MR514</f>
        <v>0</v>
      </c>
      <c r="AW37" s="116">
        <f>'P &amp; NP'!NG514</f>
        <v>0</v>
      </c>
      <c r="AX37" s="116">
        <f>'P &amp; NP'!NH514</f>
        <v>0</v>
      </c>
      <c r="AY37" s="116">
        <f>'P &amp; NP'!NW514</f>
        <v>0</v>
      </c>
      <c r="AZ37" s="116">
        <f>'P &amp; NP'!NX514</f>
        <v>0</v>
      </c>
      <c r="BA37" s="116">
        <f>'P &amp; NP'!OM514</f>
        <v>0</v>
      </c>
      <c r="BB37" s="116">
        <f>'P &amp; NP'!ON514</f>
        <v>0</v>
      </c>
      <c r="BC37" s="116">
        <f>'P &amp; NP'!PC514</f>
        <v>0</v>
      </c>
      <c r="BD37" s="116">
        <f>'P &amp; NP'!PD514</f>
        <v>0</v>
      </c>
      <c r="BE37" s="116">
        <f>'P &amp; NP'!PS514</f>
        <v>0</v>
      </c>
      <c r="BF37" s="116">
        <f>'P &amp; NP'!PT514</f>
        <v>0</v>
      </c>
      <c r="BG37" s="116">
        <f>'P &amp; NP'!QI514</f>
        <v>0</v>
      </c>
      <c r="BH37" s="116">
        <f>'P &amp; NP'!QJ514</f>
        <v>0</v>
      </c>
      <c r="BI37" s="116">
        <f>'P &amp; NP'!QY514</f>
        <v>0</v>
      </c>
      <c r="BJ37" s="116">
        <f>'P &amp; NP'!QZ514</f>
        <v>0</v>
      </c>
      <c r="BK37" s="116">
        <f>'P &amp; NP'!RO514</f>
        <v>0</v>
      </c>
      <c r="BL37" s="116">
        <f>'P &amp; NP'!RP514</f>
        <v>0</v>
      </c>
      <c r="BM37" s="116">
        <f>'P &amp; NP'!SE514</f>
        <v>0</v>
      </c>
      <c r="BN37" s="116">
        <f>'P &amp; NP'!SF514</f>
        <v>0</v>
      </c>
      <c r="BO37" s="116">
        <f>'P &amp; NP'!SU514</f>
        <v>0</v>
      </c>
      <c r="BP37" s="116">
        <f>'P &amp; NP'!SV514</f>
        <v>0</v>
      </c>
      <c r="BQ37" s="116">
        <f>'P &amp; NP'!TK514</f>
        <v>0</v>
      </c>
      <c r="BR37" s="116">
        <f>'P &amp; NP'!TL514</f>
        <v>0</v>
      </c>
      <c r="BS37" s="116">
        <f>'P &amp; NP'!UA514</f>
        <v>0</v>
      </c>
      <c r="BT37" s="116">
        <f>'P &amp; NP'!UB514</f>
        <v>0</v>
      </c>
      <c r="BU37" s="116">
        <f>'P &amp; NP'!UQ514</f>
        <v>0</v>
      </c>
      <c r="BV37" s="116">
        <f>'P &amp; NP'!UR514</f>
        <v>0</v>
      </c>
      <c r="BW37" s="116">
        <f>'P &amp; NP'!VG514</f>
        <v>0</v>
      </c>
      <c r="BX37" s="116">
        <f>'P &amp; NP'!VH514</f>
        <v>0</v>
      </c>
      <c r="BY37" s="116">
        <f>'P &amp; NP'!VW514</f>
        <v>0</v>
      </c>
      <c r="BZ37" s="116">
        <f>'P &amp; NP'!VX514</f>
        <v>0</v>
      </c>
      <c r="CB37" s="206">
        <f t="shared" si="5"/>
        <v>0</v>
      </c>
      <c r="CC37" s="206">
        <f t="shared" si="6"/>
        <v>0</v>
      </c>
    </row>
    <row r="38" spans="1:81">
      <c r="B38" s="207" t="str">
        <f>'P &amp; NP'!B44</f>
        <v xml:space="preserve">Udang_04 (Udang Lainnya) </v>
      </c>
      <c r="C38" s="116">
        <f>'P &amp; NP'!C515</f>
        <v>0</v>
      </c>
      <c r="D38" s="116">
        <f>'P &amp; NP'!D515</f>
        <v>0</v>
      </c>
      <c r="E38" s="116">
        <f>'P &amp; NP'!S515</f>
        <v>0</v>
      </c>
      <c r="F38" s="116">
        <f>'P &amp; NP'!T515</f>
        <v>0</v>
      </c>
      <c r="G38" s="116">
        <f>'P &amp; NP'!AI515</f>
        <v>0</v>
      </c>
      <c r="H38" s="116">
        <f>'P &amp; NP'!AJ515</f>
        <v>0</v>
      </c>
      <c r="I38" s="116">
        <f>'P &amp; NP'!AY515</f>
        <v>0</v>
      </c>
      <c r="J38" s="116">
        <f>'P &amp; NP'!AZ515</f>
        <v>0</v>
      </c>
      <c r="K38" s="116">
        <f>'P &amp; NP'!BO515</f>
        <v>0</v>
      </c>
      <c r="L38" s="116">
        <f>'P &amp; NP'!BP515</f>
        <v>0</v>
      </c>
      <c r="M38" s="116">
        <f>'P &amp; NP'!CE515</f>
        <v>0</v>
      </c>
      <c r="N38" s="116">
        <f>'P &amp; NP'!CF515</f>
        <v>0</v>
      </c>
      <c r="O38" s="116">
        <f>'P &amp; NP'!CU515</f>
        <v>0</v>
      </c>
      <c r="P38" s="116">
        <f>'P &amp; NP'!CV515</f>
        <v>0</v>
      </c>
      <c r="Q38" s="116">
        <f>'P &amp; NP'!DK515</f>
        <v>0</v>
      </c>
      <c r="R38" s="116">
        <f>'P &amp; NP'!DL515</f>
        <v>0</v>
      </c>
      <c r="S38" s="116">
        <f>'P &amp; NP'!EA515</f>
        <v>0</v>
      </c>
      <c r="T38" s="116">
        <f>'P &amp; NP'!EB515</f>
        <v>0</v>
      </c>
      <c r="U38" s="116">
        <f>'P &amp; NP'!EQ515</f>
        <v>0</v>
      </c>
      <c r="V38" s="116">
        <f>'P &amp; NP'!ER515</f>
        <v>0</v>
      </c>
      <c r="W38" s="116">
        <f>'P &amp; NP'!FG515</f>
        <v>0</v>
      </c>
      <c r="X38" s="116">
        <f>'P &amp; NP'!FH515</f>
        <v>0</v>
      </c>
      <c r="Y38" s="116">
        <f>'P &amp; NP'!FW515</f>
        <v>0</v>
      </c>
      <c r="Z38" s="116">
        <f>'P &amp; NP'!FX515</f>
        <v>0</v>
      </c>
      <c r="AA38" s="116">
        <f>'P &amp; NP'!GM515</f>
        <v>0</v>
      </c>
      <c r="AB38" s="116">
        <f>'P &amp; NP'!GN515</f>
        <v>0</v>
      </c>
      <c r="AC38" s="116">
        <f>'P &amp; NP'!HC515</f>
        <v>0</v>
      </c>
      <c r="AD38" s="116">
        <f>'P &amp; NP'!HD515</f>
        <v>0</v>
      </c>
      <c r="AE38" s="116">
        <f>'P &amp; NP'!HS515</f>
        <v>0</v>
      </c>
      <c r="AF38" s="116">
        <f>'P &amp; NP'!HT515</f>
        <v>0</v>
      </c>
      <c r="AG38" s="116">
        <f>'P &amp; NP'!II515</f>
        <v>0</v>
      </c>
      <c r="AH38" s="116">
        <f>'P &amp; NP'!IJ515</f>
        <v>0</v>
      </c>
      <c r="AI38" s="116">
        <f>'P &amp; NP'!IY515</f>
        <v>0</v>
      </c>
      <c r="AJ38" s="116">
        <f>'P &amp; NP'!IZ515</f>
        <v>0</v>
      </c>
      <c r="AK38" s="116">
        <f>'P &amp; NP'!JO515</f>
        <v>0</v>
      </c>
      <c r="AL38" s="116">
        <f>'P &amp; NP'!JP515</f>
        <v>0</v>
      </c>
      <c r="AM38" s="116">
        <f>'P &amp; NP'!KE515</f>
        <v>0</v>
      </c>
      <c r="AN38" s="116">
        <f>'P &amp; NP'!KF515</f>
        <v>0</v>
      </c>
      <c r="AO38" s="116">
        <f>'P &amp; NP'!KU515</f>
        <v>0</v>
      </c>
      <c r="AP38" s="116">
        <f>'P &amp; NP'!KV515</f>
        <v>0</v>
      </c>
      <c r="AQ38" s="116">
        <f>'P &amp; NP'!LK515</f>
        <v>0</v>
      </c>
      <c r="AR38" s="116">
        <f>'P &amp; NP'!LL515</f>
        <v>0</v>
      </c>
      <c r="AS38" s="116">
        <f>'P &amp; NP'!MA515</f>
        <v>0</v>
      </c>
      <c r="AT38" s="116">
        <f>'P &amp; NP'!MB515</f>
        <v>0</v>
      </c>
      <c r="AU38" s="116">
        <f>'P &amp; NP'!MQ515</f>
        <v>0</v>
      </c>
      <c r="AV38" s="116">
        <f>'P &amp; NP'!MR515</f>
        <v>0</v>
      </c>
      <c r="AW38" s="116">
        <f>'P &amp; NP'!NG515</f>
        <v>0</v>
      </c>
      <c r="AX38" s="116">
        <f>'P &amp; NP'!NH515</f>
        <v>0</v>
      </c>
      <c r="AY38" s="116">
        <f>'P &amp; NP'!NW515</f>
        <v>0</v>
      </c>
      <c r="AZ38" s="116">
        <f>'P &amp; NP'!NX515</f>
        <v>0</v>
      </c>
      <c r="BA38" s="116">
        <f>'P &amp; NP'!OM515</f>
        <v>0</v>
      </c>
      <c r="BB38" s="116">
        <f>'P &amp; NP'!ON515</f>
        <v>0</v>
      </c>
      <c r="BC38" s="116">
        <f>'P &amp; NP'!PC515</f>
        <v>0</v>
      </c>
      <c r="BD38" s="116">
        <f>'P &amp; NP'!PD515</f>
        <v>0</v>
      </c>
      <c r="BE38" s="116">
        <f>'P &amp; NP'!PS515</f>
        <v>0</v>
      </c>
      <c r="BF38" s="116">
        <f>'P &amp; NP'!PT515</f>
        <v>0</v>
      </c>
      <c r="BG38" s="116">
        <f>'P &amp; NP'!QI515</f>
        <v>0</v>
      </c>
      <c r="BH38" s="116">
        <f>'P &amp; NP'!QJ515</f>
        <v>0</v>
      </c>
      <c r="BI38" s="116">
        <f>'P &amp; NP'!QY515</f>
        <v>0</v>
      </c>
      <c r="BJ38" s="116">
        <f>'P &amp; NP'!QZ515</f>
        <v>0</v>
      </c>
      <c r="BK38" s="116">
        <f>'P &amp; NP'!RO515</f>
        <v>0</v>
      </c>
      <c r="BL38" s="116">
        <f>'P &amp; NP'!RP515</f>
        <v>0</v>
      </c>
      <c r="BM38" s="116">
        <f>'P &amp; NP'!SE515</f>
        <v>0</v>
      </c>
      <c r="BN38" s="116">
        <f>'P &amp; NP'!SF515</f>
        <v>0</v>
      </c>
      <c r="BO38" s="116">
        <f>'P &amp; NP'!SU515</f>
        <v>0</v>
      </c>
      <c r="BP38" s="116">
        <f>'P &amp; NP'!SV515</f>
        <v>0</v>
      </c>
      <c r="BQ38" s="116">
        <f>'P &amp; NP'!TK515</f>
        <v>0</v>
      </c>
      <c r="BR38" s="116">
        <f>'P &amp; NP'!TL515</f>
        <v>0</v>
      </c>
      <c r="BS38" s="116">
        <f>'P &amp; NP'!UA515</f>
        <v>0</v>
      </c>
      <c r="BT38" s="116">
        <f>'P &amp; NP'!UB515</f>
        <v>0</v>
      </c>
      <c r="BU38" s="116">
        <f>'P &amp; NP'!UQ515</f>
        <v>0</v>
      </c>
      <c r="BV38" s="116">
        <f>'P &amp; NP'!UR515</f>
        <v>0</v>
      </c>
      <c r="BW38" s="116">
        <f>'P &amp; NP'!VG515</f>
        <v>0</v>
      </c>
      <c r="BX38" s="116">
        <f>'P &amp; NP'!VH515</f>
        <v>0</v>
      </c>
      <c r="BY38" s="116">
        <f>'P &amp; NP'!VW515</f>
        <v>0</v>
      </c>
      <c r="BZ38" s="116">
        <f>'P &amp; NP'!VX515</f>
        <v>0</v>
      </c>
      <c r="CB38" s="206">
        <f t="shared" si="5"/>
        <v>0</v>
      </c>
      <c r="CC38" s="206">
        <f t="shared" si="6"/>
        <v>0</v>
      </c>
    </row>
    <row r="39" spans="1:81">
      <c r="B39" s="207" t="str">
        <f>'P &amp; NP'!B45</f>
        <v xml:space="preserve">Udang_05 (Udang Lainnya) </v>
      </c>
      <c r="C39" s="116">
        <f>'P &amp; NP'!C516</f>
        <v>0</v>
      </c>
      <c r="D39" s="116">
        <f>'P &amp; NP'!D516</f>
        <v>0</v>
      </c>
      <c r="E39" s="116">
        <f>'P &amp; NP'!S516</f>
        <v>0</v>
      </c>
      <c r="F39" s="116">
        <f>'P &amp; NP'!T516</f>
        <v>0</v>
      </c>
      <c r="G39" s="116">
        <f>'P &amp; NP'!AI516</f>
        <v>0</v>
      </c>
      <c r="H39" s="116">
        <f>'P &amp; NP'!AJ516</f>
        <v>0</v>
      </c>
      <c r="I39" s="116">
        <f>'P &amp; NP'!AY516</f>
        <v>0</v>
      </c>
      <c r="J39" s="116">
        <f>'P &amp; NP'!AZ516</f>
        <v>0</v>
      </c>
      <c r="K39" s="116">
        <f>'P &amp; NP'!BO516</f>
        <v>0</v>
      </c>
      <c r="L39" s="116">
        <f>'P &amp; NP'!BP516</f>
        <v>0</v>
      </c>
      <c r="M39" s="116">
        <f>'P &amp; NP'!CE516</f>
        <v>0</v>
      </c>
      <c r="N39" s="116">
        <f>'P &amp; NP'!CF516</f>
        <v>0</v>
      </c>
      <c r="O39" s="116">
        <f>'P &amp; NP'!CU516</f>
        <v>0</v>
      </c>
      <c r="P39" s="116">
        <f>'P &amp; NP'!CV516</f>
        <v>0</v>
      </c>
      <c r="Q39" s="116">
        <f>'P &amp; NP'!DK516</f>
        <v>0</v>
      </c>
      <c r="R39" s="116">
        <f>'P &amp; NP'!DL516</f>
        <v>0</v>
      </c>
      <c r="S39" s="116">
        <f>'P &amp; NP'!EA516</f>
        <v>0</v>
      </c>
      <c r="T39" s="116">
        <f>'P &amp; NP'!EB516</f>
        <v>0</v>
      </c>
      <c r="U39" s="116">
        <f>'P &amp; NP'!EQ516</f>
        <v>0</v>
      </c>
      <c r="V39" s="116">
        <f>'P &amp; NP'!ER516</f>
        <v>0</v>
      </c>
      <c r="W39" s="116">
        <f>'P &amp; NP'!FG516</f>
        <v>0</v>
      </c>
      <c r="X39" s="116">
        <f>'P &amp; NP'!FH516</f>
        <v>0</v>
      </c>
      <c r="Y39" s="116">
        <f>'P &amp; NP'!FW516</f>
        <v>0</v>
      </c>
      <c r="Z39" s="116">
        <f>'P &amp; NP'!FX516</f>
        <v>0</v>
      </c>
      <c r="AA39" s="116">
        <f>'P &amp; NP'!GM516</f>
        <v>0</v>
      </c>
      <c r="AB39" s="116">
        <f>'P &amp; NP'!GN516</f>
        <v>0</v>
      </c>
      <c r="AC39" s="116">
        <f>'P &amp; NP'!HC516</f>
        <v>0</v>
      </c>
      <c r="AD39" s="116">
        <f>'P &amp; NP'!HD516</f>
        <v>0</v>
      </c>
      <c r="AE39" s="116">
        <f>'P &amp; NP'!HS516</f>
        <v>0</v>
      </c>
      <c r="AF39" s="116">
        <f>'P &amp; NP'!HT516</f>
        <v>0</v>
      </c>
      <c r="AG39" s="116">
        <f>'P &amp; NP'!II516</f>
        <v>0</v>
      </c>
      <c r="AH39" s="116">
        <f>'P &amp; NP'!IJ516</f>
        <v>0</v>
      </c>
      <c r="AI39" s="116">
        <f>'P &amp; NP'!IY516</f>
        <v>0</v>
      </c>
      <c r="AJ39" s="116">
        <f>'P &amp; NP'!IZ516</f>
        <v>0</v>
      </c>
      <c r="AK39" s="116">
        <f>'P &amp; NP'!JO516</f>
        <v>0</v>
      </c>
      <c r="AL39" s="116">
        <f>'P &amp; NP'!JP516</f>
        <v>0</v>
      </c>
      <c r="AM39" s="116">
        <f>'P &amp; NP'!KE516</f>
        <v>0</v>
      </c>
      <c r="AN39" s="116">
        <f>'P &amp; NP'!KF516</f>
        <v>0</v>
      </c>
      <c r="AO39" s="116">
        <f>'P &amp; NP'!KU516</f>
        <v>0</v>
      </c>
      <c r="AP39" s="116">
        <f>'P &amp; NP'!KV516</f>
        <v>0</v>
      </c>
      <c r="AQ39" s="116">
        <f>'P &amp; NP'!LK516</f>
        <v>0</v>
      </c>
      <c r="AR39" s="116">
        <f>'P &amp; NP'!LL516</f>
        <v>0</v>
      </c>
      <c r="AS39" s="116">
        <f>'P &amp; NP'!MA516</f>
        <v>0</v>
      </c>
      <c r="AT39" s="116">
        <f>'P &amp; NP'!MB516</f>
        <v>0</v>
      </c>
      <c r="AU39" s="116">
        <f>'P &amp; NP'!MQ516</f>
        <v>0</v>
      </c>
      <c r="AV39" s="116">
        <f>'P &amp; NP'!MR516</f>
        <v>0</v>
      </c>
      <c r="AW39" s="116">
        <f>'P &amp; NP'!NG516</f>
        <v>0</v>
      </c>
      <c r="AX39" s="116">
        <f>'P &amp; NP'!NH516</f>
        <v>0</v>
      </c>
      <c r="AY39" s="116">
        <f>'P &amp; NP'!NW516</f>
        <v>0</v>
      </c>
      <c r="AZ39" s="116">
        <f>'P &amp; NP'!NX516</f>
        <v>0</v>
      </c>
      <c r="BA39" s="116">
        <f>'P &amp; NP'!OM516</f>
        <v>0</v>
      </c>
      <c r="BB39" s="116">
        <f>'P &amp; NP'!ON516</f>
        <v>0</v>
      </c>
      <c r="BC39" s="116">
        <f>'P &amp; NP'!PC516</f>
        <v>0</v>
      </c>
      <c r="BD39" s="116">
        <f>'P &amp; NP'!PD516</f>
        <v>0</v>
      </c>
      <c r="BE39" s="116">
        <f>'P &amp; NP'!PS516</f>
        <v>0</v>
      </c>
      <c r="BF39" s="116">
        <f>'P &amp; NP'!PT516</f>
        <v>0</v>
      </c>
      <c r="BG39" s="116">
        <f>'P &amp; NP'!QI516</f>
        <v>0</v>
      </c>
      <c r="BH39" s="116">
        <f>'P &amp; NP'!QJ516</f>
        <v>0</v>
      </c>
      <c r="BI39" s="116">
        <f>'P &amp; NP'!QY516</f>
        <v>0</v>
      </c>
      <c r="BJ39" s="116">
        <f>'P &amp; NP'!QZ516</f>
        <v>0</v>
      </c>
      <c r="BK39" s="116">
        <f>'P &amp; NP'!RO516</f>
        <v>0</v>
      </c>
      <c r="BL39" s="116">
        <f>'P &amp; NP'!RP516</f>
        <v>0</v>
      </c>
      <c r="BM39" s="116">
        <f>'P &amp; NP'!SE516</f>
        <v>0</v>
      </c>
      <c r="BN39" s="116">
        <f>'P &amp; NP'!SF516</f>
        <v>0</v>
      </c>
      <c r="BO39" s="116">
        <f>'P &amp; NP'!SU516</f>
        <v>0</v>
      </c>
      <c r="BP39" s="116">
        <f>'P &amp; NP'!SV516</f>
        <v>0</v>
      </c>
      <c r="BQ39" s="116">
        <f>'P &amp; NP'!TK516</f>
        <v>0</v>
      </c>
      <c r="BR39" s="116">
        <f>'P &amp; NP'!TL516</f>
        <v>0</v>
      </c>
      <c r="BS39" s="116">
        <f>'P &amp; NP'!UA516</f>
        <v>0</v>
      </c>
      <c r="BT39" s="116">
        <f>'P &amp; NP'!UB516</f>
        <v>0</v>
      </c>
      <c r="BU39" s="116">
        <f>'P &amp; NP'!UQ516</f>
        <v>0</v>
      </c>
      <c r="BV39" s="116">
        <f>'P &amp; NP'!UR516</f>
        <v>0</v>
      </c>
      <c r="BW39" s="116">
        <f>'P &amp; NP'!VG516</f>
        <v>0</v>
      </c>
      <c r="BX39" s="116">
        <f>'P &amp; NP'!VH516</f>
        <v>0</v>
      </c>
      <c r="BY39" s="116">
        <f>'P &amp; NP'!VW516</f>
        <v>0</v>
      </c>
      <c r="BZ39" s="116">
        <f>'P &amp; NP'!VX516</f>
        <v>0</v>
      </c>
      <c r="CB39" s="206">
        <f t="shared" si="5"/>
        <v>0</v>
      </c>
      <c r="CC39" s="206">
        <f t="shared" si="6"/>
        <v>0</v>
      </c>
    </row>
    <row r="40" spans="1:81">
      <c r="B40" s="207" t="str">
        <f>'P &amp; NP'!B46</f>
        <v>Ikan_01 (Ikan Lainnya)</v>
      </c>
      <c r="C40" s="116">
        <f>'P &amp; NP'!C517</f>
        <v>0</v>
      </c>
      <c r="D40" s="116">
        <f>'P &amp; NP'!D517</f>
        <v>0</v>
      </c>
      <c r="E40" s="116">
        <f>'P &amp; NP'!S517</f>
        <v>645</v>
      </c>
      <c r="F40" s="116">
        <f>'P &amp; NP'!T517</f>
        <v>225750</v>
      </c>
      <c r="G40" s="116">
        <f>'P &amp; NP'!AI517</f>
        <v>0</v>
      </c>
      <c r="H40" s="116">
        <f>'P &amp; NP'!AJ517</f>
        <v>0</v>
      </c>
      <c r="I40" s="116">
        <f>'P &amp; NP'!AY517</f>
        <v>0</v>
      </c>
      <c r="J40" s="116">
        <f>'P &amp; NP'!AZ517</f>
        <v>0</v>
      </c>
      <c r="K40" s="116">
        <f>'P &amp; NP'!BO517</f>
        <v>0</v>
      </c>
      <c r="L40" s="116">
        <f>'P &amp; NP'!BP517</f>
        <v>0</v>
      </c>
      <c r="M40" s="116">
        <f>'P &amp; NP'!CE517</f>
        <v>0</v>
      </c>
      <c r="N40" s="116">
        <f>'P &amp; NP'!CF517</f>
        <v>0</v>
      </c>
      <c r="O40" s="116">
        <f>'P &amp; NP'!CU517</f>
        <v>0</v>
      </c>
      <c r="P40" s="116">
        <f>'P &amp; NP'!CV517</f>
        <v>0</v>
      </c>
      <c r="Q40" s="116">
        <f>'P &amp; NP'!DK517</f>
        <v>0</v>
      </c>
      <c r="R40" s="116">
        <f>'P &amp; NP'!DL517</f>
        <v>0</v>
      </c>
      <c r="S40" s="116">
        <f>'P &amp; NP'!EA517</f>
        <v>0</v>
      </c>
      <c r="T40" s="116">
        <f>'P &amp; NP'!EB517</f>
        <v>0</v>
      </c>
      <c r="U40" s="116">
        <f>'P &amp; NP'!EQ517</f>
        <v>0</v>
      </c>
      <c r="V40" s="116">
        <f>'P &amp; NP'!ER517</f>
        <v>0</v>
      </c>
      <c r="W40" s="116">
        <f>'P &amp; NP'!FG517</f>
        <v>0</v>
      </c>
      <c r="X40" s="116">
        <f>'P &amp; NP'!FH517</f>
        <v>0</v>
      </c>
      <c r="Y40" s="116">
        <f>'P &amp; NP'!FW517</f>
        <v>0</v>
      </c>
      <c r="Z40" s="116">
        <f>'P &amp; NP'!FX517</f>
        <v>0</v>
      </c>
      <c r="AA40" s="116">
        <f>'P &amp; NP'!GM517</f>
        <v>0</v>
      </c>
      <c r="AB40" s="116">
        <f>'P &amp; NP'!GN517</f>
        <v>0</v>
      </c>
      <c r="AC40" s="116">
        <f>'P &amp; NP'!HC517</f>
        <v>0</v>
      </c>
      <c r="AD40" s="116">
        <f>'P &amp; NP'!HD517</f>
        <v>0</v>
      </c>
      <c r="AE40" s="116">
        <f>'P &amp; NP'!HS517</f>
        <v>0</v>
      </c>
      <c r="AF40" s="116">
        <f>'P &amp; NP'!HT517</f>
        <v>0</v>
      </c>
      <c r="AG40" s="116">
        <f>'P &amp; NP'!II517</f>
        <v>0</v>
      </c>
      <c r="AH40" s="116">
        <f>'P &amp; NP'!IJ517</f>
        <v>0</v>
      </c>
      <c r="AI40" s="116">
        <f>'P &amp; NP'!IY517</f>
        <v>0</v>
      </c>
      <c r="AJ40" s="116">
        <f>'P &amp; NP'!IZ517</f>
        <v>0</v>
      </c>
      <c r="AK40" s="116">
        <f>'P &amp; NP'!JO517</f>
        <v>0</v>
      </c>
      <c r="AL40" s="116">
        <f>'P &amp; NP'!JP517</f>
        <v>0</v>
      </c>
      <c r="AM40" s="116">
        <f>'P &amp; NP'!KE517</f>
        <v>0</v>
      </c>
      <c r="AN40" s="116">
        <f>'P &amp; NP'!KF517</f>
        <v>0</v>
      </c>
      <c r="AO40" s="116">
        <f>'P &amp; NP'!KU517</f>
        <v>0</v>
      </c>
      <c r="AP40" s="116">
        <f>'P &amp; NP'!KV517</f>
        <v>0</v>
      </c>
      <c r="AQ40" s="116">
        <f>'P &amp; NP'!LK517</f>
        <v>0</v>
      </c>
      <c r="AR40" s="116">
        <f>'P &amp; NP'!LL517</f>
        <v>0</v>
      </c>
      <c r="AS40" s="116">
        <f>'P &amp; NP'!MA517</f>
        <v>0</v>
      </c>
      <c r="AT40" s="116">
        <f>'P &amp; NP'!MB517</f>
        <v>0</v>
      </c>
      <c r="AU40" s="116">
        <f>'P &amp; NP'!MQ517</f>
        <v>0</v>
      </c>
      <c r="AV40" s="116">
        <f>'P &amp; NP'!MR517</f>
        <v>0</v>
      </c>
      <c r="AW40" s="116">
        <f>'P &amp; NP'!NG517</f>
        <v>0</v>
      </c>
      <c r="AX40" s="116">
        <f>'P &amp; NP'!NH517</f>
        <v>0</v>
      </c>
      <c r="AY40" s="116">
        <f>'P &amp; NP'!NW517</f>
        <v>0</v>
      </c>
      <c r="AZ40" s="116">
        <f>'P &amp; NP'!NX517</f>
        <v>0</v>
      </c>
      <c r="BA40" s="116">
        <f>'P &amp; NP'!OM517</f>
        <v>0</v>
      </c>
      <c r="BB40" s="116">
        <f>'P &amp; NP'!ON517</f>
        <v>0</v>
      </c>
      <c r="BC40" s="116">
        <f>'P &amp; NP'!PC517</f>
        <v>0</v>
      </c>
      <c r="BD40" s="116">
        <f>'P &amp; NP'!PD517</f>
        <v>0</v>
      </c>
      <c r="BE40" s="116">
        <f>'P &amp; NP'!PS517</f>
        <v>0</v>
      </c>
      <c r="BF40" s="116">
        <f>'P &amp; NP'!PT517</f>
        <v>0</v>
      </c>
      <c r="BG40" s="116">
        <f>'P &amp; NP'!QI517</f>
        <v>0</v>
      </c>
      <c r="BH40" s="116">
        <f>'P &amp; NP'!QJ517</f>
        <v>0</v>
      </c>
      <c r="BI40" s="116">
        <f>'P &amp; NP'!QY517</f>
        <v>0</v>
      </c>
      <c r="BJ40" s="116">
        <f>'P &amp; NP'!QZ517</f>
        <v>0</v>
      </c>
      <c r="BK40" s="116">
        <f>'P &amp; NP'!RO517</f>
        <v>0</v>
      </c>
      <c r="BL40" s="116">
        <f>'P &amp; NP'!RP517</f>
        <v>0</v>
      </c>
      <c r="BM40" s="116">
        <f>'P &amp; NP'!SE517</f>
        <v>0</v>
      </c>
      <c r="BN40" s="116">
        <f>'P &amp; NP'!SF517</f>
        <v>0</v>
      </c>
      <c r="BO40" s="116">
        <f>'P &amp; NP'!SU517</f>
        <v>0</v>
      </c>
      <c r="BP40" s="116">
        <f>'P &amp; NP'!SV517</f>
        <v>0</v>
      </c>
      <c r="BQ40" s="116">
        <f>'P &amp; NP'!TK517</f>
        <v>0</v>
      </c>
      <c r="BR40" s="116">
        <f>'P &amp; NP'!TL517</f>
        <v>0</v>
      </c>
      <c r="BS40" s="116">
        <f>'P &amp; NP'!UA517</f>
        <v>0</v>
      </c>
      <c r="BT40" s="116">
        <f>'P &amp; NP'!UB517</f>
        <v>0</v>
      </c>
      <c r="BU40" s="116">
        <f>'P &amp; NP'!UQ517</f>
        <v>0</v>
      </c>
      <c r="BV40" s="116">
        <f>'P &amp; NP'!UR517</f>
        <v>0</v>
      </c>
      <c r="BW40" s="116">
        <f>'P &amp; NP'!VG517</f>
        <v>0</v>
      </c>
      <c r="BX40" s="116">
        <f>'P &amp; NP'!VH517</f>
        <v>0</v>
      </c>
      <c r="BY40" s="116">
        <f>'P &amp; NP'!VW517</f>
        <v>0</v>
      </c>
      <c r="BZ40" s="116">
        <f>'P &amp; NP'!VX517</f>
        <v>0</v>
      </c>
      <c r="CB40" s="206">
        <f t="shared" si="5"/>
        <v>645</v>
      </c>
      <c r="CC40" s="206">
        <f t="shared" si="6"/>
        <v>225750</v>
      </c>
    </row>
    <row r="41" spans="1:81">
      <c r="B41" s="207" t="str">
        <f>'P &amp; NP'!B47</f>
        <v>Ikan_02 (Tiram)</v>
      </c>
      <c r="C41" s="116">
        <f>'P &amp; NP'!C518</f>
        <v>0</v>
      </c>
      <c r="D41" s="116">
        <f>'P &amp; NP'!D518</f>
        <v>0</v>
      </c>
      <c r="E41" s="116">
        <f>'P &amp; NP'!S518</f>
        <v>15415</v>
      </c>
      <c r="F41" s="116">
        <f>'P &amp; NP'!T518</f>
        <v>154150</v>
      </c>
      <c r="G41" s="116">
        <f>'P &amp; NP'!AI518</f>
        <v>0</v>
      </c>
      <c r="H41" s="116">
        <f>'P &amp; NP'!AJ518</f>
        <v>0</v>
      </c>
      <c r="I41" s="116">
        <f>'P &amp; NP'!AY518</f>
        <v>0</v>
      </c>
      <c r="J41" s="116">
        <f>'P &amp; NP'!AZ518</f>
        <v>0</v>
      </c>
      <c r="K41" s="116">
        <f>'P &amp; NP'!BO518</f>
        <v>0</v>
      </c>
      <c r="L41" s="116">
        <f>'P &amp; NP'!BP518</f>
        <v>0</v>
      </c>
      <c r="M41" s="116">
        <f>'P &amp; NP'!CE518</f>
        <v>0</v>
      </c>
      <c r="N41" s="116">
        <f>'P &amp; NP'!CF518</f>
        <v>0</v>
      </c>
      <c r="O41" s="116">
        <f>'P &amp; NP'!CU518</f>
        <v>0</v>
      </c>
      <c r="P41" s="116">
        <f>'P &amp; NP'!CV518</f>
        <v>0</v>
      </c>
      <c r="Q41" s="116">
        <f>'P &amp; NP'!DK518</f>
        <v>0</v>
      </c>
      <c r="R41" s="116">
        <f>'P &amp; NP'!DL518</f>
        <v>0</v>
      </c>
      <c r="S41" s="116">
        <f>'P &amp; NP'!EA518</f>
        <v>0</v>
      </c>
      <c r="T41" s="116">
        <f>'P &amp; NP'!EB518</f>
        <v>0</v>
      </c>
      <c r="U41" s="116">
        <f>'P &amp; NP'!EQ518</f>
        <v>0</v>
      </c>
      <c r="V41" s="116">
        <f>'P &amp; NP'!ER518</f>
        <v>0</v>
      </c>
      <c r="W41" s="116">
        <f>'P &amp; NP'!FG518</f>
        <v>0</v>
      </c>
      <c r="X41" s="116">
        <f>'P &amp; NP'!FH518</f>
        <v>0</v>
      </c>
      <c r="Y41" s="116">
        <f>'P &amp; NP'!FW518</f>
        <v>0</v>
      </c>
      <c r="Z41" s="116">
        <f>'P &amp; NP'!FX518</f>
        <v>0</v>
      </c>
      <c r="AA41" s="116">
        <f>'P &amp; NP'!GM518</f>
        <v>0</v>
      </c>
      <c r="AB41" s="116">
        <f>'P &amp; NP'!GN518</f>
        <v>0</v>
      </c>
      <c r="AC41" s="116">
        <f>'P &amp; NP'!HC518</f>
        <v>0</v>
      </c>
      <c r="AD41" s="116">
        <f>'P &amp; NP'!HD518</f>
        <v>0</v>
      </c>
      <c r="AE41" s="116">
        <f>'P &amp; NP'!HS518</f>
        <v>0</v>
      </c>
      <c r="AF41" s="116">
        <f>'P &amp; NP'!HT518</f>
        <v>0</v>
      </c>
      <c r="AG41" s="116">
        <f>'P &amp; NP'!II518</f>
        <v>0</v>
      </c>
      <c r="AH41" s="116">
        <f>'P &amp; NP'!IJ518</f>
        <v>0</v>
      </c>
      <c r="AI41" s="116">
        <f>'P &amp; NP'!IY518</f>
        <v>0</v>
      </c>
      <c r="AJ41" s="116">
        <f>'P &amp; NP'!IZ518</f>
        <v>0</v>
      </c>
      <c r="AK41" s="116">
        <f>'P &amp; NP'!JO518</f>
        <v>0</v>
      </c>
      <c r="AL41" s="116">
        <f>'P &amp; NP'!JP518</f>
        <v>0</v>
      </c>
      <c r="AM41" s="116">
        <f>'P &amp; NP'!KE518</f>
        <v>0</v>
      </c>
      <c r="AN41" s="116">
        <f>'P &amp; NP'!KF518</f>
        <v>0</v>
      </c>
      <c r="AO41" s="116">
        <f>'P &amp; NP'!KU518</f>
        <v>0</v>
      </c>
      <c r="AP41" s="116">
        <f>'P &amp; NP'!KV518</f>
        <v>0</v>
      </c>
      <c r="AQ41" s="116">
        <f>'P &amp; NP'!LK518</f>
        <v>0</v>
      </c>
      <c r="AR41" s="116">
        <f>'P &amp; NP'!LL518</f>
        <v>0</v>
      </c>
      <c r="AS41" s="116">
        <f>'P &amp; NP'!MA518</f>
        <v>0</v>
      </c>
      <c r="AT41" s="116">
        <f>'P &amp; NP'!MB518</f>
        <v>0</v>
      </c>
      <c r="AU41" s="116">
        <f>'P &amp; NP'!MQ518</f>
        <v>0</v>
      </c>
      <c r="AV41" s="116">
        <f>'P &amp; NP'!MR518</f>
        <v>0</v>
      </c>
      <c r="AW41" s="116">
        <f>'P &amp; NP'!NG518</f>
        <v>0</v>
      </c>
      <c r="AX41" s="116">
        <f>'P &amp; NP'!NH518</f>
        <v>0</v>
      </c>
      <c r="AY41" s="116">
        <f>'P &amp; NP'!NW518</f>
        <v>0</v>
      </c>
      <c r="AZ41" s="116">
        <f>'P &amp; NP'!NX518</f>
        <v>0</v>
      </c>
      <c r="BA41" s="116">
        <f>'P &amp; NP'!OM518</f>
        <v>0</v>
      </c>
      <c r="BB41" s="116">
        <f>'P &amp; NP'!ON518</f>
        <v>0</v>
      </c>
      <c r="BC41" s="116">
        <f>'P &amp; NP'!PC518</f>
        <v>0</v>
      </c>
      <c r="BD41" s="116">
        <f>'P &amp; NP'!PD518</f>
        <v>0</v>
      </c>
      <c r="BE41" s="116">
        <f>'P &amp; NP'!PS518</f>
        <v>0</v>
      </c>
      <c r="BF41" s="116">
        <f>'P &amp; NP'!PT518</f>
        <v>0</v>
      </c>
      <c r="BG41" s="116">
        <f>'P &amp; NP'!QI518</f>
        <v>0</v>
      </c>
      <c r="BH41" s="116">
        <f>'P &amp; NP'!QJ518</f>
        <v>0</v>
      </c>
      <c r="BI41" s="116">
        <f>'P &amp; NP'!QY518</f>
        <v>0</v>
      </c>
      <c r="BJ41" s="116">
        <f>'P &amp; NP'!QZ518</f>
        <v>0</v>
      </c>
      <c r="BK41" s="116">
        <f>'P &amp; NP'!RO518</f>
        <v>0</v>
      </c>
      <c r="BL41" s="116">
        <f>'P &amp; NP'!RP518</f>
        <v>0</v>
      </c>
      <c r="BM41" s="116">
        <f>'P &amp; NP'!SE518</f>
        <v>0</v>
      </c>
      <c r="BN41" s="116">
        <f>'P &amp; NP'!SF518</f>
        <v>0</v>
      </c>
      <c r="BO41" s="116">
        <f>'P &amp; NP'!SU518</f>
        <v>0</v>
      </c>
      <c r="BP41" s="116">
        <f>'P &amp; NP'!SV518</f>
        <v>0</v>
      </c>
      <c r="BQ41" s="116">
        <f>'P &amp; NP'!TK518</f>
        <v>0</v>
      </c>
      <c r="BR41" s="116">
        <f>'P &amp; NP'!TL518</f>
        <v>0</v>
      </c>
      <c r="BS41" s="116">
        <f>'P &amp; NP'!UA518</f>
        <v>0</v>
      </c>
      <c r="BT41" s="116">
        <f>'P &amp; NP'!UB518</f>
        <v>0</v>
      </c>
      <c r="BU41" s="116">
        <f>'P &amp; NP'!UQ518</f>
        <v>0</v>
      </c>
      <c r="BV41" s="116">
        <f>'P &amp; NP'!UR518</f>
        <v>0</v>
      </c>
      <c r="BW41" s="116">
        <f>'P &amp; NP'!VG518</f>
        <v>0</v>
      </c>
      <c r="BX41" s="116">
        <f>'P &amp; NP'!VH518</f>
        <v>0</v>
      </c>
      <c r="BY41" s="116">
        <f>'P &amp; NP'!VW518</f>
        <v>0</v>
      </c>
      <c r="BZ41" s="116">
        <f>'P &amp; NP'!VX518</f>
        <v>0</v>
      </c>
      <c r="CB41" s="206">
        <f t="shared" si="5"/>
        <v>15415</v>
      </c>
      <c r="CC41" s="206">
        <f t="shared" si="6"/>
        <v>154150</v>
      </c>
    </row>
    <row r="42" spans="1:81">
      <c r="B42" s="207" t="str">
        <f>'P &amp; NP'!B48</f>
        <v>Ikan_03 (Kerang Darah)</v>
      </c>
      <c r="C42" s="116">
        <f>'P &amp; NP'!C519</f>
        <v>0</v>
      </c>
      <c r="D42" s="116">
        <f>'P &amp; NP'!D519</f>
        <v>0</v>
      </c>
      <c r="E42" s="116">
        <f>'P &amp; NP'!S519</f>
        <v>0</v>
      </c>
      <c r="F42" s="116">
        <f>'P &amp; NP'!T519</f>
        <v>0</v>
      </c>
      <c r="G42" s="116">
        <f>'P &amp; NP'!AI519</f>
        <v>0</v>
      </c>
      <c r="H42" s="116">
        <f>'P &amp; NP'!AJ519</f>
        <v>0</v>
      </c>
      <c r="I42" s="116">
        <f>'P &amp; NP'!AY519</f>
        <v>0</v>
      </c>
      <c r="J42" s="116">
        <f>'P &amp; NP'!AZ519</f>
        <v>0</v>
      </c>
      <c r="K42" s="116">
        <f>'P &amp; NP'!BO519</f>
        <v>0</v>
      </c>
      <c r="L42" s="116">
        <f>'P &amp; NP'!BP519</f>
        <v>0</v>
      </c>
      <c r="M42" s="116">
        <f>'P &amp; NP'!CE519</f>
        <v>0</v>
      </c>
      <c r="N42" s="116">
        <f>'P &amp; NP'!CF519</f>
        <v>0</v>
      </c>
      <c r="O42" s="116">
        <f>'P &amp; NP'!CU519</f>
        <v>0</v>
      </c>
      <c r="P42" s="116">
        <f>'P &amp; NP'!CV519</f>
        <v>0</v>
      </c>
      <c r="Q42" s="116">
        <f>'P &amp; NP'!DK519</f>
        <v>0</v>
      </c>
      <c r="R42" s="116">
        <f>'P &amp; NP'!DL519</f>
        <v>0</v>
      </c>
      <c r="S42" s="116">
        <f>'P &amp; NP'!EA519</f>
        <v>0</v>
      </c>
      <c r="T42" s="116">
        <f>'P &amp; NP'!EB519</f>
        <v>0</v>
      </c>
      <c r="U42" s="116">
        <f>'P &amp; NP'!EQ519</f>
        <v>0</v>
      </c>
      <c r="V42" s="116">
        <f>'P &amp; NP'!ER519</f>
        <v>0</v>
      </c>
      <c r="W42" s="116">
        <f>'P &amp; NP'!FG519</f>
        <v>0</v>
      </c>
      <c r="X42" s="116">
        <f>'P &amp; NP'!FH519</f>
        <v>0</v>
      </c>
      <c r="Y42" s="116">
        <f>'P &amp; NP'!FW519</f>
        <v>0</v>
      </c>
      <c r="Z42" s="116">
        <f>'P &amp; NP'!FX519</f>
        <v>0</v>
      </c>
      <c r="AA42" s="116">
        <f>'P &amp; NP'!GM519</f>
        <v>0</v>
      </c>
      <c r="AB42" s="116">
        <f>'P &amp; NP'!GN519</f>
        <v>0</v>
      </c>
      <c r="AC42" s="116">
        <f>'P &amp; NP'!HC519</f>
        <v>0</v>
      </c>
      <c r="AD42" s="116">
        <f>'P &amp; NP'!HD519</f>
        <v>0</v>
      </c>
      <c r="AE42" s="116">
        <f>'P &amp; NP'!HS519</f>
        <v>0</v>
      </c>
      <c r="AF42" s="116">
        <f>'P &amp; NP'!HT519</f>
        <v>0</v>
      </c>
      <c r="AG42" s="116">
        <f>'P &amp; NP'!II519</f>
        <v>0</v>
      </c>
      <c r="AH42" s="116">
        <f>'P &amp; NP'!IJ519</f>
        <v>0</v>
      </c>
      <c r="AI42" s="116">
        <f>'P &amp; NP'!IY519</f>
        <v>0</v>
      </c>
      <c r="AJ42" s="116">
        <f>'P &amp; NP'!IZ519</f>
        <v>0</v>
      </c>
      <c r="AK42" s="116">
        <f>'P &amp; NP'!JO519</f>
        <v>0</v>
      </c>
      <c r="AL42" s="116">
        <f>'P &amp; NP'!JP519</f>
        <v>0</v>
      </c>
      <c r="AM42" s="116">
        <f>'P &amp; NP'!KE519</f>
        <v>0</v>
      </c>
      <c r="AN42" s="116">
        <f>'P &amp; NP'!KF519</f>
        <v>0</v>
      </c>
      <c r="AO42" s="116">
        <f>'P &amp; NP'!KU519</f>
        <v>0</v>
      </c>
      <c r="AP42" s="116">
        <f>'P &amp; NP'!KV519</f>
        <v>0</v>
      </c>
      <c r="AQ42" s="116">
        <f>'P &amp; NP'!LK519</f>
        <v>0</v>
      </c>
      <c r="AR42" s="116">
        <f>'P &amp; NP'!LL519</f>
        <v>0</v>
      </c>
      <c r="AS42" s="116">
        <f>'P &amp; NP'!MA519</f>
        <v>0</v>
      </c>
      <c r="AT42" s="116">
        <f>'P &amp; NP'!MB519</f>
        <v>0</v>
      </c>
      <c r="AU42" s="116">
        <f>'P &amp; NP'!MQ519</f>
        <v>0</v>
      </c>
      <c r="AV42" s="116">
        <f>'P &amp; NP'!MR519</f>
        <v>0</v>
      </c>
      <c r="AW42" s="116">
        <f>'P &amp; NP'!NG519</f>
        <v>0</v>
      </c>
      <c r="AX42" s="116">
        <f>'P &amp; NP'!NH519</f>
        <v>0</v>
      </c>
      <c r="AY42" s="116">
        <f>'P &amp; NP'!NW519</f>
        <v>0</v>
      </c>
      <c r="AZ42" s="116">
        <f>'P &amp; NP'!NX519</f>
        <v>0</v>
      </c>
      <c r="BA42" s="116">
        <f>'P &amp; NP'!OM519</f>
        <v>0</v>
      </c>
      <c r="BB42" s="116">
        <f>'P &amp; NP'!ON519</f>
        <v>0</v>
      </c>
      <c r="BC42" s="116">
        <f>'P &amp; NP'!PC519</f>
        <v>0</v>
      </c>
      <c r="BD42" s="116">
        <f>'P &amp; NP'!PD519</f>
        <v>0</v>
      </c>
      <c r="BE42" s="116">
        <f>'P &amp; NP'!PS519</f>
        <v>0</v>
      </c>
      <c r="BF42" s="116">
        <f>'P &amp; NP'!PT519</f>
        <v>0</v>
      </c>
      <c r="BG42" s="116">
        <f>'P &amp; NP'!QI519</f>
        <v>0</v>
      </c>
      <c r="BH42" s="116">
        <f>'P &amp; NP'!QJ519</f>
        <v>0</v>
      </c>
      <c r="BI42" s="116">
        <f>'P &amp; NP'!QY519</f>
        <v>0</v>
      </c>
      <c r="BJ42" s="116">
        <f>'P &amp; NP'!QZ519</f>
        <v>0</v>
      </c>
      <c r="BK42" s="116">
        <f>'P &amp; NP'!RO519</f>
        <v>0</v>
      </c>
      <c r="BL42" s="116">
        <f>'P &amp; NP'!RP519</f>
        <v>0</v>
      </c>
      <c r="BM42" s="116">
        <f>'P &amp; NP'!SE519</f>
        <v>0</v>
      </c>
      <c r="BN42" s="116">
        <f>'P &amp; NP'!SF519</f>
        <v>0</v>
      </c>
      <c r="BO42" s="116">
        <f>'P &amp; NP'!SU519</f>
        <v>0</v>
      </c>
      <c r="BP42" s="116">
        <f>'P &amp; NP'!SV519</f>
        <v>0</v>
      </c>
      <c r="BQ42" s="116">
        <f>'P &amp; NP'!TK519</f>
        <v>0</v>
      </c>
      <c r="BR42" s="116">
        <f>'P &amp; NP'!TL519</f>
        <v>0</v>
      </c>
      <c r="BS42" s="116">
        <f>'P &amp; NP'!UA519</f>
        <v>0</v>
      </c>
      <c r="BT42" s="116">
        <f>'P &amp; NP'!UB519</f>
        <v>0</v>
      </c>
      <c r="BU42" s="116">
        <f>'P &amp; NP'!UQ519</f>
        <v>0</v>
      </c>
      <c r="BV42" s="116">
        <f>'P &amp; NP'!UR519</f>
        <v>0</v>
      </c>
      <c r="BW42" s="116">
        <f>'P &amp; NP'!VG519</f>
        <v>0</v>
      </c>
      <c r="BX42" s="116">
        <f>'P &amp; NP'!VH519</f>
        <v>0</v>
      </c>
      <c r="BY42" s="116">
        <f>'P &amp; NP'!VW519</f>
        <v>0</v>
      </c>
      <c r="BZ42" s="116">
        <f>'P &amp; NP'!VX519</f>
        <v>0</v>
      </c>
      <c r="CB42" s="206">
        <f t="shared" si="5"/>
        <v>0</v>
      </c>
      <c r="CC42" s="206">
        <f t="shared" si="6"/>
        <v>0</v>
      </c>
    </row>
    <row r="43" spans="1:81">
      <c r="B43" s="207" t="str">
        <f>'P &amp; NP'!B49</f>
        <v>Ikan_04 (Ikan Keting)</v>
      </c>
      <c r="C43" s="116">
        <f>'P &amp; NP'!C520</f>
        <v>0</v>
      </c>
      <c r="D43" s="116">
        <f>'P &amp; NP'!D520</f>
        <v>0</v>
      </c>
      <c r="E43" s="116">
        <f>'P &amp; NP'!S520</f>
        <v>0</v>
      </c>
      <c r="F43" s="116">
        <f>'P &amp; NP'!T520</f>
        <v>0</v>
      </c>
      <c r="G43" s="116">
        <f>'P &amp; NP'!AI520</f>
        <v>0</v>
      </c>
      <c r="H43" s="116">
        <f>'P &amp; NP'!AJ520</f>
        <v>0</v>
      </c>
      <c r="I43" s="116">
        <f>'P &amp; NP'!AY520</f>
        <v>0</v>
      </c>
      <c r="J43" s="116">
        <f>'P &amp; NP'!AZ520</f>
        <v>0</v>
      </c>
      <c r="K43" s="116">
        <f>'P &amp; NP'!BO520</f>
        <v>0</v>
      </c>
      <c r="L43" s="116">
        <f>'P &amp; NP'!BP520</f>
        <v>0</v>
      </c>
      <c r="M43" s="116">
        <f>'P &amp; NP'!CE520</f>
        <v>0</v>
      </c>
      <c r="N43" s="116">
        <f>'P &amp; NP'!CF520</f>
        <v>0</v>
      </c>
      <c r="O43" s="116">
        <f>'P &amp; NP'!CU520</f>
        <v>0</v>
      </c>
      <c r="P43" s="116">
        <f>'P &amp; NP'!CV520</f>
        <v>0</v>
      </c>
      <c r="Q43" s="116">
        <f>'P &amp; NP'!DK520</f>
        <v>0</v>
      </c>
      <c r="R43" s="116">
        <f>'P &amp; NP'!DL520</f>
        <v>0</v>
      </c>
      <c r="S43" s="116">
        <f>'P &amp; NP'!EA520</f>
        <v>0</v>
      </c>
      <c r="T43" s="116">
        <f>'P &amp; NP'!EB520</f>
        <v>0</v>
      </c>
      <c r="U43" s="116">
        <f>'P &amp; NP'!EQ520</f>
        <v>0</v>
      </c>
      <c r="V43" s="116">
        <f>'P &amp; NP'!ER520</f>
        <v>0</v>
      </c>
      <c r="W43" s="116">
        <f>'P &amp; NP'!FG520</f>
        <v>0</v>
      </c>
      <c r="X43" s="116">
        <f>'P &amp; NP'!FH520</f>
        <v>0</v>
      </c>
      <c r="Y43" s="116">
        <f>'P &amp; NP'!FW520</f>
        <v>0</v>
      </c>
      <c r="Z43" s="116">
        <f>'P &amp; NP'!FX520</f>
        <v>0</v>
      </c>
      <c r="AA43" s="116">
        <f>'P &amp; NP'!GM520</f>
        <v>0</v>
      </c>
      <c r="AB43" s="116">
        <f>'P &amp; NP'!GN520</f>
        <v>0</v>
      </c>
      <c r="AC43" s="116">
        <f>'P &amp; NP'!HC520</f>
        <v>0</v>
      </c>
      <c r="AD43" s="116">
        <f>'P &amp; NP'!HD520</f>
        <v>0</v>
      </c>
      <c r="AE43" s="116">
        <f>'P &amp; NP'!HS520</f>
        <v>0</v>
      </c>
      <c r="AF43" s="116">
        <f>'P &amp; NP'!HT520</f>
        <v>0</v>
      </c>
      <c r="AG43" s="116">
        <f>'P &amp; NP'!II520</f>
        <v>0</v>
      </c>
      <c r="AH43" s="116">
        <f>'P &amp; NP'!IJ520</f>
        <v>0</v>
      </c>
      <c r="AI43" s="116">
        <f>'P &amp; NP'!IY520</f>
        <v>0</v>
      </c>
      <c r="AJ43" s="116">
        <f>'P &amp; NP'!IZ520</f>
        <v>0</v>
      </c>
      <c r="AK43" s="116">
        <f>'P &amp; NP'!JO520</f>
        <v>0</v>
      </c>
      <c r="AL43" s="116">
        <f>'P &amp; NP'!JP520</f>
        <v>0</v>
      </c>
      <c r="AM43" s="116">
        <f>'P &amp; NP'!KE520</f>
        <v>0</v>
      </c>
      <c r="AN43" s="116">
        <f>'P &amp; NP'!KF520</f>
        <v>0</v>
      </c>
      <c r="AO43" s="116">
        <f>'P &amp; NP'!KU520</f>
        <v>0</v>
      </c>
      <c r="AP43" s="116">
        <f>'P &amp; NP'!KV520</f>
        <v>0</v>
      </c>
      <c r="AQ43" s="116">
        <f>'P &amp; NP'!LK520</f>
        <v>0</v>
      </c>
      <c r="AR43" s="116">
        <f>'P &amp; NP'!LL520</f>
        <v>0</v>
      </c>
      <c r="AS43" s="116">
        <f>'P &amp; NP'!MA520</f>
        <v>0</v>
      </c>
      <c r="AT43" s="116">
        <f>'P &amp; NP'!MB520</f>
        <v>0</v>
      </c>
      <c r="AU43" s="116">
        <f>'P &amp; NP'!MQ520</f>
        <v>0</v>
      </c>
      <c r="AV43" s="116">
        <f>'P &amp; NP'!MR520</f>
        <v>0</v>
      </c>
      <c r="AW43" s="116">
        <f>'P &amp; NP'!NG520</f>
        <v>0</v>
      </c>
      <c r="AX43" s="116">
        <f>'P &amp; NP'!NH520</f>
        <v>0</v>
      </c>
      <c r="AY43" s="116">
        <f>'P &amp; NP'!NW520</f>
        <v>0</v>
      </c>
      <c r="AZ43" s="116">
        <f>'P &amp; NP'!NX520</f>
        <v>0</v>
      </c>
      <c r="BA43" s="116">
        <f>'P &amp; NP'!OM520</f>
        <v>0</v>
      </c>
      <c r="BB43" s="116">
        <f>'P &amp; NP'!ON520</f>
        <v>0</v>
      </c>
      <c r="BC43" s="116">
        <f>'P &amp; NP'!PC520</f>
        <v>0</v>
      </c>
      <c r="BD43" s="116">
        <f>'P &amp; NP'!PD520</f>
        <v>0</v>
      </c>
      <c r="BE43" s="116">
        <f>'P &amp; NP'!PS520</f>
        <v>0</v>
      </c>
      <c r="BF43" s="116">
        <f>'P &amp; NP'!PT520</f>
        <v>0</v>
      </c>
      <c r="BG43" s="116">
        <f>'P &amp; NP'!QI520</f>
        <v>0</v>
      </c>
      <c r="BH43" s="116">
        <f>'P &amp; NP'!QJ520</f>
        <v>0</v>
      </c>
      <c r="BI43" s="116">
        <f>'P &amp; NP'!QY520</f>
        <v>0</v>
      </c>
      <c r="BJ43" s="116">
        <f>'P &amp; NP'!QZ520</f>
        <v>0</v>
      </c>
      <c r="BK43" s="116">
        <f>'P &amp; NP'!RO520</f>
        <v>0</v>
      </c>
      <c r="BL43" s="116">
        <f>'P &amp; NP'!RP520</f>
        <v>0</v>
      </c>
      <c r="BM43" s="116">
        <f>'P &amp; NP'!SE520</f>
        <v>0</v>
      </c>
      <c r="BN43" s="116">
        <f>'P &amp; NP'!SF520</f>
        <v>0</v>
      </c>
      <c r="BO43" s="116">
        <f>'P &amp; NP'!SU520</f>
        <v>0</v>
      </c>
      <c r="BP43" s="116">
        <f>'P &amp; NP'!SV520</f>
        <v>0</v>
      </c>
      <c r="BQ43" s="116">
        <f>'P &amp; NP'!TK520</f>
        <v>0</v>
      </c>
      <c r="BR43" s="116">
        <f>'P &amp; NP'!TL520</f>
        <v>0</v>
      </c>
      <c r="BS43" s="116">
        <f>'P &amp; NP'!UA520</f>
        <v>0</v>
      </c>
      <c r="BT43" s="116">
        <f>'P &amp; NP'!UB520</f>
        <v>0</v>
      </c>
      <c r="BU43" s="116">
        <f>'P &amp; NP'!UQ520</f>
        <v>0</v>
      </c>
      <c r="BV43" s="116">
        <f>'P &amp; NP'!UR520</f>
        <v>0</v>
      </c>
      <c r="BW43" s="116">
        <f>'P &amp; NP'!VG520</f>
        <v>0</v>
      </c>
      <c r="BX43" s="116">
        <f>'P &amp; NP'!VH520</f>
        <v>0</v>
      </c>
      <c r="BY43" s="116">
        <f>'P &amp; NP'!VW520</f>
        <v>0</v>
      </c>
      <c r="BZ43" s="116">
        <f>'P &amp; NP'!VX520</f>
        <v>0</v>
      </c>
      <c r="CB43" s="206">
        <f t="shared" si="5"/>
        <v>0</v>
      </c>
      <c r="CC43" s="206">
        <f t="shared" si="6"/>
        <v>0</v>
      </c>
    </row>
    <row r="44" spans="1:81">
      <c r="B44" s="207" t="str">
        <f>'P &amp; NP'!B50</f>
        <v>Ikan_05 (Ikan betutu)</v>
      </c>
      <c r="C44" s="116">
        <f>'P &amp; NP'!C521</f>
        <v>0</v>
      </c>
      <c r="D44" s="116">
        <f>'P &amp; NP'!D521</f>
        <v>0</v>
      </c>
      <c r="E44" s="116">
        <f>'P &amp; NP'!S521</f>
        <v>0</v>
      </c>
      <c r="F44" s="116">
        <f>'P &amp; NP'!T521</f>
        <v>0</v>
      </c>
      <c r="G44" s="116">
        <f>'P &amp; NP'!AI521</f>
        <v>0</v>
      </c>
      <c r="H44" s="116">
        <f>'P &amp; NP'!AJ521</f>
        <v>0</v>
      </c>
      <c r="I44" s="116">
        <f>'P &amp; NP'!AY521</f>
        <v>0</v>
      </c>
      <c r="J44" s="116">
        <f>'P &amp; NP'!AZ521</f>
        <v>0</v>
      </c>
      <c r="K44" s="116">
        <f>'P &amp; NP'!BO521</f>
        <v>0</v>
      </c>
      <c r="L44" s="116">
        <f>'P &amp; NP'!BP521</f>
        <v>0</v>
      </c>
      <c r="M44" s="116">
        <f>'P &amp; NP'!CE521</f>
        <v>0</v>
      </c>
      <c r="N44" s="116">
        <f>'P &amp; NP'!CF521</f>
        <v>0</v>
      </c>
      <c r="O44" s="116">
        <f>'P &amp; NP'!CU521</f>
        <v>0</v>
      </c>
      <c r="P44" s="116">
        <f>'P &amp; NP'!CV521</f>
        <v>0</v>
      </c>
      <c r="Q44" s="116">
        <f>'P &amp; NP'!DK521</f>
        <v>0</v>
      </c>
      <c r="R44" s="116">
        <f>'P &amp; NP'!DL521</f>
        <v>0</v>
      </c>
      <c r="S44" s="116">
        <f>'P &amp; NP'!EA521</f>
        <v>0</v>
      </c>
      <c r="T44" s="116">
        <f>'P &amp; NP'!EB521</f>
        <v>0</v>
      </c>
      <c r="U44" s="116">
        <f>'P &amp; NP'!EQ521</f>
        <v>0</v>
      </c>
      <c r="V44" s="116">
        <f>'P &amp; NP'!ER521</f>
        <v>0</v>
      </c>
      <c r="W44" s="116">
        <f>'P &amp; NP'!FG521</f>
        <v>0</v>
      </c>
      <c r="X44" s="116">
        <f>'P &amp; NP'!FH521</f>
        <v>0</v>
      </c>
      <c r="Y44" s="116">
        <f>'P &amp; NP'!FW521</f>
        <v>0</v>
      </c>
      <c r="Z44" s="116">
        <f>'P &amp; NP'!FX521</f>
        <v>0</v>
      </c>
      <c r="AA44" s="116">
        <f>'P &amp; NP'!GM521</f>
        <v>0</v>
      </c>
      <c r="AB44" s="116">
        <f>'P &amp; NP'!GN521</f>
        <v>0</v>
      </c>
      <c r="AC44" s="116">
        <f>'P &amp; NP'!HC521</f>
        <v>0</v>
      </c>
      <c r="AD44" s="116">
        <f>'P &amp; NP'!HD521</f>
        <v>0</v>
      </c>
      <c r="AE44" s="116">
        <f>'P &amp; NP'!HS521</f>
        <v>0</v>
      </c>
      <c r="AF44" s="116">
        <f>'P &amp; NP'!HT521</f>
        <v>0</v>
      </c>
      <c r="AG44" s="116">
        <f>'P &amp; NP'!II521</f>
        <v>0</v>
      </c>
      <c r="AH44" s="116">
        <f>'P &amp; NP'!IJ521</f>
        <v>0</v>
      </c>
      <c r="AI44" s="116">
        <f>'P &amp; NP'!IY521</f>
        <v>0</v>
      </c>
      <c r="AJ44" s="116">
        <f>'P &amp; NP'!IZ521</f>
        <v>0</v>
      </c>
      <c r="AK44" s="116">
        <f>'P &amp; NP'!JO521</f>
        <v>0</v>
      </c>
      <c r="AL44" s="116">
        <f>'P &amp; NP'!JP521</f>
        <v>0</v>
      </c>
      <c r="AM44" s="116">
        <f>'P &amp; NP'!KE521</f>
        <v>0</v>
      </c>
      <c r="AN44" s="116">
        <f>'P &amp; NP'!KF521</f>
        <v>0</v>
      </c>
      <c r="AO44" s="116">
        <f>'P &amp; NP'!KU521</f>
        <v>0</v>
      </c>
      <c r="AP44" s="116">
        <f>'P &amp; NP'!KV521</f>
        <v>0</v>
      </c>
      <c r="AQ44" s="116">
        <f>'P &amp; NP'!LK521</f>
        <v>0</v>
      </c>
      <c r="AR44" s="116">
        <f>'P &amp; NP'!LL521</f>
        <v>0</v>
      </c>
      <c r="AS44" s="116">
        <f>'P &amp; NP'!MA521</f>
        <v>0</v>
      </c>
      <c r="AT44" s="116">
        <f>'P &amp; NP'!MB521</f>
        <v>0</v>
      </c>
      <c r="AU44" s="116">
        <f>'P &amp; NP'!MQ521</f>
        <v>0</v>
      </c>
      <c r="AV44" s="116">
        <f>'P &amp; NP'!MR521</f>
        <v>0</v>
      </c>
      <c r="AW44" s="116">
        <f>'P &amp; NP'!NG521</f>
        <v>0</v>
      </c>
      <c r="AX44" s="116">
        <f>'P &amp; NP'!NH521</f>
        <v>0</v>
      </c>
      <c r="AY44" s="116">
        <f>'P &amp; NP'!NW521</f>
        <v>0</v>
      </c>
      <c r="AZ44" s="116">
        <f>'P &amp; NP'!NX521</f>
        <v>0</v>
      </c>
      <c r="BA44" s="116">
        <f>'P &amp; NP'!OM521</f>
        <v>0</v>
      </c>
      <c r="BB44" s="116">
        <f>'P &amp; NP'!ON521</f>
        <v>0</v>
      </c>
      <c r="BC44" s="116">
        <f>'P &amp; NP'!PC521</f>
        <v>0</v>
      </c>
      <c r="BD44" s="116">
        <f>'P &amp; NP'!PD521</f>
        <v>0</v>
      </c>
      <c r="BE44" s="116">
        <f>'P &amp; NP'!PS521</f>
        <v>0</v>
      </c>
      <c r="BF44" s="116">
        <f>'P &amp; NP'!PT521</f>
        <v>0</v>
      </c>
      <c r="BG44" s="116">
        <f>'P &amp; NP'!QI521</f>
        <v>0</v>
      </c>
      <c r="BH44" s="116">
        <f>'P &amp; NP'!QJ521</f>
        <v>0</v>
      </c>
      <c r="BI44" s="116">
        <f>'P &amp; NP'!QY521</f>
        <v>0</v>
      </c>
      <c r="BJ44" s="116">
        <f>'P &amp; NP'!QZ521</f>
        <v>0</v>
      </c>
      <c r="BK44" s="116">
        <f>'P &amp; NP'!RO521</f>
        <v>0</v>
      </c>
      <c r="BL44" s="116">
        <f>'P &amp; NP'!RP521</f>
        <v>0</v>
      </c>
      <c r="BM44" s="116">
        <f>'P &amp; NP'!SE521</f>
        <v>0</v>
      </c>
      <c r="BN44" s="116">
        <f>'P &amp; NP'!SF521</f>
        <v>0</v>
      </c>
      <c r="BO44" s="116">
        <f>'P &amp; NP'!SU521</f>
        <v>0</v>
      </c>
      <c r="BP44" s="116">
        <f>'P &amp; NP'!SV521</f>
        <v>0</v>
      </c>
      <c r="BQ44" s="116">
        <f>'P &amp; NP'!TK521</f>
        <v>0</v>
      </c>
      <c r="BR44" s="116">
        <f>'P &amp; NP'!TL521</f>
        <v>0</v>
      </c>
      <c r="BS44" s="116">
        <f>'P &amp; NP'!UA521</f>
        <v>0</v>
      </c>
      <c r="BT44" s="116">
        <f>'P &amp; NP'!UB521</f>
        <v>0</v>
      </c>
      <c r="BU44" s="116">
        <f>'P &amp; NP'!UQ521</f>
        <v>0</v>
      </c>
      <c r="BV44" s="116">
        <f>'P &amp; NP'!UR521</f>
        <v>0</v>
      </c>
      <c r="BW44" s="116">
        <f>'P &amp; NP'!VG521</f>
        <v>0</v>
      </c>
      <c r="BX44" s="116">
        <f>'P &amp; NP'!VH521</f>
        <v>0</v>
      </c>
      <c r="BY44" s="116">
        <f>'P &amp; NP'!VW521</f>
        <v>0</v>
      </c>
      <c r="BZ44" s="116">
        <f>'P &amp; NP'!VX521</f>
        <v>0</v>
      </c>
      <c r="CB44" s="206">
        <f t="shared" si="5"/>
        <v>0</v>
      </c>
      <c r="CC44" s="206">
        <f t="shared" si="6"/>
        <v>0</v>
      </c>
    </row>
    <row r="45" spans="1:81" s="168" customFormat="1">
      <c r="A45" s="359"/>
      <c r="B45" s="359"/>
      <c r="CB45" s="359"/>
      <c r="CC45" s="359"/>
    </row>
  </sheetData>
  <mergeCells count="114">
    <mergeCell ref="BW3:BX3"/>
    <mergeCell ref="BY3:BZ3"/>
    <mergeCell ref="BK3:BL3"/>
    <mergeCell ref="BM3:BN3"/>
    <mergeCell ref="BO3:BP3"/>
    <mergeCell ref="BQ3:BR3"/>
    <mergeCell ref="BS3:BT3"/>
    <mergeCell ref="BU3:BV3"/>
    <mergeCell ref="AY3:AZ3"/>
    <mergeCell ref="BA3:BB3"/>
    <mergeCell ref="BC3:BD3"/>
    <mergeCell ref="BE3:BF3"/>
    <mergeCell ref="BG3:BH3"/>
    <mergeCell ref="BI3:BJ3"/>
    <mergeCell ref="AM3:AN3"/>
    <mergeCell ref="AO3:AP3"/>
    <mergeCell ref="AQ3:AR3"/>
    <mergeCell ref="AS3:AT3"/>
    <mergeCell ref="AU3:AV3"/>
    <mergeCell ref="AW3:AX3"/>
    <mergeCell ref="AA3:AB3"/>
    <mergeCell ref="AC3:AD3"/>
    <mergeCell ref="AE3:AF3"/>
    <mergeCell ref="AG3:AH3"/>
    <mergeCell ref="AI3:AJ3"/>
    <mergeCell ref="AK3:AL3"/>
    <mergeCell ref="O3:P3"/>
    <mergeCell ref="Q3:R3"/>
    <mergeCell ref="S3:T3"/>
    <mergeCell ref="U3:V3"/>
    <mergeCell ref="W3:X3"/>
    <mergeCell ref="Y3:Z3"/>
    <mergeCell ref="C3:D3"/>
    <mergeCell ref="E3:F3"/>
    <mergeCell ref="G3:H3"/>
    <mergeCell ref="I3:J3"/>
    <mergeCell ref="K3:L3"/>
    <mergeCell ref="M3:N3"/>
    <mergeCell ref="BO2:BP2"/>
    <mergeCell ref="BQ2:BR2"/>
    <mergeCell ref="BS2:BT2"/>
    <mergeCell ref="BU2:BV2"/>
    <mergeCell ref="BW2:BX2"/>
    <mergeCell ref="BY2:BZ2"/>
    <mergeCell ref="BC2:BD2"/>
    <mergeCell ref="BE2:BF2"/>
    <mergeCell ref="BG2:BH2"/>
    <mergeCell ref="BI2:BJ2"/>
    <mergeCell ref="BK2:BL2"/>
    <mergeCell ref="BM2:BN2"/>
    <mergeCell ref="AQ2:AR2"/>
    <mergeCell ref="AS2:AT2"/>
    <mergeCell ref="AU2:AV2"/>
    <mergeCell ref="AW2:AX2"/>
    <mergeCell ref="AY2:AZ2"/>
    <mergeCell ref="BA2:BB2"/>
    <mergeCell ref="AE2:AF2"/>
    <mergeCell ref="AG2:AH2"/>
    <mergeCell ref="AI2:AJ2"/>
    <mergeCell ref="AK2:AL2"/>
    <mergeCell ref="AM2:AN2"/>
    <mergeCell ref="AO2:AP2"/>
    <mergeCell ref="S2:T2"/>
    <mergeCell ref="U2:V2"/>
    <mergeCell ref="W2:X2"/>
    <mergeCell ref="Y2:Z2"/>
    <mergeCell ref="AA2:AB2"/>
    <mergeCell ref="AC2:AD2"/>
    <mergeCell ref="BW1:BX1"/>
    <mergeCell ref="BY1:BZ1"/>
    <mergeCell ref="C2:D2"/>
    <mergeCell ref="E2:F2"/>
    <mergeCell ref="G2:H2"/>
    <mergeCell ref="I2:J2"/>
    <mergeCell ref="K2:L2"/>
    <mergeCell ref="M2:N2"/>
    <mergeCell ref="O2:P2"/>
    <mergeCell ref="Q2:R2"/>
    <mergeCell ref="BK1:BL1"/>
    <mergeCell ref="BM1:BN1"/>
    <mergeCell ref="BO1:BP1"/>
    <mergeCell ref="BQ1:BR1"/>
    <mergeCell ref="BS1:BT1"/>
    <mergeCell ref="BU1:BV1"/>
    <mergeCell ref="AY1:AZ1"/>
    <mergeCell ref="BA1:BB1"/>
    <mergeCell ref="BC1:BD1"/>
    <mergeCell ref="BE1:BF1"/>
    <mergeCell ref="BG1:BH1"/>
    <mergeCell ref="BI1:BJ1"/>
    <mergeCell ref="AM1:AN1"/>
    <mergeCell ref="AO1:AP1"/>
    <mergeCell ref="AQ1:AR1"/>
    <mergeCell ref="AS1:AT1"/>
    <mergeCell ref="AU1:AV1"/>
    <mergeCell ref="AW1:AX1"/>
    <mergeCell ref="AG1:AH1"/>
    <mergeCell ref="AI1:AJ1"/>
    <mergeCell ref="AK1:AL1"/>
    <mergeCell ref="O1:P1"/>
    <mergeCell ref="Q1:R1"/>
    <mergeCell ref="S1:T1"/>
    <mergeCell ref="U1:V1"/>
    <mergeCell ref="W1:X1"/>
    <mergeCell ref="Y1:Z1"/>
    <mergeCell ref="C1:D1"/>
    <mergeCell ref="E1:F1"/>
    <mergeCell ref="G1:H1"/>
    <mergeCell ref="I1:J1"/>
    <mergeCell ref="K1:L1"/>
    <mergeCell ref="M1:N1"/>
    <mergeCell ref="AA1:AB1"/>
    <mergeCell ref="AC1:AD1"/>
    <mergeCell ref="AE1:AF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sheetPr>
  <dimension ref="A1:BY44"/>
  <sheetViews>
    <sheetView zoomScale="90" workbookViewId="0">
      <pane xSplit="3" ySplit="5" topLeftCell="J30" activePane="bottomRight" state="frozen"/>
      <selection pane="topRight" activeCell="D1" sqref="D1"/>
      <selection pane="bottomLeft" activeCell="A6" sqref="A6"/>
      <selection pane="bottomRight" activeCell="M35" sqref="M35"/>
    </sheetView>
  </sheetViews>
  <sheetFormatPr defaultRowHeight="14.5"/>
  <cols>
    <col min="1" max="1" width="36.81640625" customWidth="1"/>
    <col min="2" max="2" width="16.1796875" customWidth="1"/>
    <col min="3" max="3" width="17.54296875" customWidth="1"/>
    <col min="4" max="4" width="12.54296875" customWidth="1"/>
    <col min="5" max="5" width="13.54296875" customWidth="1"/>
    <col min="6" max="10" width="12.54296875" customWidth="1"/>
    <col min="11" max="11" width="13.81640625" bestFit="1" customWidth="1"/>
    <col min="12" max="24" width="12.54296875" customWidth="1"/>
    <col min="25" max="25" width="13.54296875" customWidth="1"/>
    <col min="26" max="46" width="12.54296875" customWidth="1"/>
    <col min="47" max="47" width="13.81640625" bestFit="1" customWidth="1"/>
    <col min="48" max="58" width="12.54296875" customWidth="1"/>
    <col min="59" max="59" width="13.81640625" customWidth="1"/>
    <col min="60" max="77" width="12.54296875" customWidth="1"/>
  </cols>
  <sheetData>
    <row r="1" spans="1:77">
      <c r="A1" s="325" t="s">
        <v>313</v>
      </c>
      <c r="B1" s="213"/>
      <c r="C1" s="213"/>
      <c r="D1" s="772" t="s">
        <v>537</v>
      </c>
      <c r="E1" s="772" t="s">
        <v>537</v>
      </c>
      <c r="F1" s="772" t="s">
        <v>538</v>
      </c>
      <c r="G1" s="772" t="s">
        <v>538</v>
      </c>
      <c r="H1" s="772" t="s">
        <v>539</v>
      </c>
      <c r="I1" s="772" t="s">
        <v>539</v>
      </c>
      <c r="J1" s="772" t="s">
        <v>667</v>
      </c>
      <c r="K1" s="772" t="s">
        <v>667</v>
      </c>
      <c r="L1" s="772" t="s">
        <v>392</v>
      </c>
      <c r="M1" s="772" t="s">
        <v>392</v>
      </c>
      <c r="N1" s="772" t="s">
        <v>661</v>
      </c>
      <c r="O1" s="772" t="s">
        <v>661</v>
      </c>
      <c r="P1" s="772" t="s">
        <v>662</v>
      </c>
      <c r="Q1" s="772" t="s">
        <v>662</v>
      </c>
      <c r="R1" s="772" t="s">
        <v>10</v>
      </c>
      <c r="S1" s="772" t="s">
        <v>10</v>
      </c>
      <c r="T1" s="772" t="s">
        <v>231</v>
      </c>
      <c r="U1" s="772" t="s">
        <v>231</v>
      </c>
      <c r="V1" s="772" t="s">
        <v>543</v>
      </c>
      <c r="W1" s="772" t="s">
        <v>543</v>
      </c>
      <c r="X1" s="772" t="s">
        <v>544</v>
      </c>
      <c r="Y1" s="772" t="s">
        <v>544</v>
      </c>
      <c r="Z1" s="772" t="s">
        <v>545</v>
      </c>
      <c r="AA1" s="772" t="s">
        <v>545</v>
      </c>
      <c r="AB1" s="772" t="s">
        <v>546</v>
      </c>
      <c r="AC1" s="772" t="s">
        <v>546</v>
      </c>
      <c r="AD1" s="772" t="s">
        <v>547</v>
      </c>
      <c r="AE1" s="772" t="s">
        <v>547</v>
      </c>
      <c r="AF1" s="772" t="s">
        <v>663</v>
      </c>
      <c r="AG1" s="772" t="s">
        <v>663</v>
      </c>
      <c r="AH1" s="772" t="s">
        <v>664</v>
      </c>
      <c r="AI1" s="772" t="s">
        <v>664</v>
      </c>
      <c r="AJ1" s="772" t="s">
        <v>391</v>
      </c>
      <c r="AK1" s="772" t="s">
        <v>391</v>
      </c>
      <c r="AL1" s="772" t="s">
        <v>551</v>
      </c>
      <c r="AM1" s="772" t="s">
        <v>551</v>
      </c>
      <c r="AN1" s="772" t="s">
        <v>552</v>
      </c>
      <c r="AO1" s="772" t="s">
        <v>552</v>
      </c>
      <c r="AP1" s="772" t="s">
        <v>553</v>
      </c>
      <c r="AQ1" s="772" t="s">
        <v>553</v>
      </c>
      <c r="AR1" s="772" t="s">
        <v>554</v>
      </c>
      <c r="AS1" s="772" t="s">
        <v>554</v>
      </c>
      <c r="AT1" s="772" t="s">
        <v>20</v>
      </c>
      <c r="AU1" s="772" t="s">
        <v>20</v>
      </c>
      <c r="AV1" s="772" t="s">
        <v>555</v>
      </c>
      <c r="AW1" s="772" t="s">
        <v>555</v>
      </c>
      <c r="AX1" s="772" t="s">
        <v>556</v>
      </c>
      <c r="AY1" s="772" t="s">
        <v>556</v>
      </c>
      <c r="AZ1" s="772" t="s">
        <v>324</v>
      </c>
      <c r="BA1" s="772" t="s">
        <v>324</v>
      </c>
      <c r="BB1" s="772" t="s">
        <v>665</v>
      </c>
      <c r="BC1" s="772" t="s">
        <v>665</v>
      </c>
      <c r="BD1" s="772" t="s">
        <v>666</v>
      </c>
      <c r="BE1" s="772" t="s">
        <v>666</v>
      </c>
      <c r="BF1" s="732" t="s">
        <v>668</v>
      </c>
      <c r="BG1" s="732" t="s">
        <v>668</v>
      </c>
      <c r="BH1" s="732" t="s">
        <v>671</v>
      </c>
      <c r="BI1" s="732" t="s">
        <v>671</v>
      </c>
      <c r="BJ1" s="732" t="s">
        <v>674</v>
      </c>
      <c r="BK1" s="732" t="s">
        <v>674</v>
      </c>
      <c r="BL1" s="772" t="s">
        <v>605</v>
      </c>
      <c r="BM1" s="772" t="s">
        <v>605</v>
      </c>
      <c r="BN1" s="772" t="s">
        <v>606</v>
      </c>
      <c r="BO1" s="772" t="s">
        <v>606</v>
      </c>
      <c r="BP1" s="772" t="s">
        <v>607</v>
      </c>
      <c r="BQ1" s="772" t="s">
        <v>607</v>
      </c>
      <c r="BR1" s="732" t="s">
        <v>669</v>
      </c>
      <c r="BS1" s="732" t="s">
        <v>669</v>
      </c>
      <c r="BT1" s="732" t="s">
        <v>670</v>
      </c>
      <c r="BU1" s="732" t="s">
        <v>670</v>
      </c>
      <c r="BV1" s="732" t="s">
        <v>672</v>
      </c>
      <c r="BW1" s="732" t="s">
        <v>672</v>
      </c>
      <c r="BX1" s="732" t="s">
        <v>673</v>
      </c>
      <c r="BY1" s="732" t="s">
        <v>673</v>
      </c>
    </row>
    <row r="2" spans="1:77">
      <c r="A2" s="230" t="s">
        <v>103</v>
      </c>
      <c r="B2" s="316"/>
      <c r="C2" s="630"/>
      <c r="D2" s="976">
        <v>1</v>
      </c>
      <c r="E2" s="976"/>
      <c r="F2" s="976">
        <v>2</v>
      </c>
      <c r="G2" s="976"/>
      <c r="H2" s="976">
        <v>3</v>
      </c>
      <c r="I2" s="976"/>
      <c r="J2" s="976">
        <v>4</v>
      </c>
      <c r="K2" s="976"/>
      <c r="L2" s="976">
        <v>5</v>
      </c>
      <c r="M2" s="976"/>
      <c r="N2" s="976">
        <v>6</v>
      </c>
      <c r="O2" s="976"/>
      <c r="P2" s="976">
        <v>7</v>
      </c>
      <c r="Q2" s="976"/>
      <c r="R2" s="976">
        <v>8</v>
      </c>
      <c r="S2" s="976"/>
      <c r="T2" s="976">
        <v>9</v>
      </c>
      <c r="U2" s="976"/>
      <c r="V2" s="976">
        <v>10</v>
      </c>
      <c r="W2" s="976"/>
      <c r="X2" s="976">
        <v>11</v>
      </c>
      <c r="Y2" s="976"/>
      <c r="Z2" s="976">
        <v>12</v>
      </c>
      <c r="AA2" s="976"/>
      <c r="AB2" s="976">
        <v>13</v>
      </c>
      <c r="AC2" s="976"/>
      <c r="AD2" s="976">
        <v>14</v>
      </c>
      <c r="AE2" s="976"/>
      <c r="AF2" s="976">
        <v>15</v>
      </c>
      <c r="AG2" s="976"/>
      <c r="AH2" s="976">
        <v>16</v>
      </c>
      <c r="AI2" s="976"/>
      <c r="AJ2" s="976">
        <v>17</v>
      </c>
      <c r="AK2" s="976"/>
      <c r="AL2" s="976">
        <v>18</v>
      </c>
      <c r="AM2" s="976"/>
      <c r="AN2" s="976">
        <v>19</v>
      </c>
      <c r="AO2" s="976"/>
      <c r="AP2" s="976">
        <v>20</v>
      </c>
      <c r="AQ2" s="976"/>
      <c r="AR2" s="976">
        <v>21</v>
      </c>
      <c r="AS2" s="976"/>
      <c r="AT2" s="976">
        <v>22</v>
      </c>
      <c r="AU2" s="976"/>
      <c r="AV2" s="976">
        <v>23</v>
      </c>
      <c r="AW2" s="976"/>
      <c r="AX2" s="976">
        <v>24</v>
      </c>
      <c r="AY2" s="976"/>
      <c r="AZ2" s="976">
        <v>25</v>
      </c>
      <c r="BA2" s="976"/>
      <c r="BB2" s="976">
        <v>26</v>
      </c>
      <c r="BC2" s="976"/>
      <c r="BD2" s="976">
        <v>27</v>
      </c>
      <c r="BE2" s="976"/>
      <c r="BF2" s="976">
        <v>28</v>
      </c>
      <c r="BG2" s="976"/>
      <c r="BH2" s="976">
        <v>29</v>
      </c>
      <c r="BI2" s="976"/>
      <c r="BJ2" s="976">
        <v>30</v>
      </c>
      <c r="BK2" s="976"/>
      <c r="BL2" s="976">
        <v>31</v>
      </c>
      <c r="BM2" s="976"/>
      <c r="BN2" s="976">
        <v>32</v>
      </c>
      <c r="BO2" s="976"/>
      <c r="BP2" s="976">
        <v>33</v>
      </c>
      <c r="BQ2" s="976"/>
      <c r="BR2" s="976">
        <v>34</v>
      </c>
      <c r="BS2" s="976"/>
      <c r="BT2" s="976">
        <v>35</v>
      </c>
      <c r="BU2" s="976"/>
      <c r="BV2" s="976">
        <v>36</v>
      </c>
      <c r="BW2" s="976"/>
      <c r="BX2" s="976">
        <v>37</v>
      </c>
      <c r="BY2" s="976"/>
    </row>
    <row r="3" spans="1:77" s="333" customFormat="1">
      <c r="A3" s="331" t="s">
        <v>105</v>
      </c>
      <c r="B3" s="332">
        <f>'P &amp; NP'!WN11</f>
        <v>774415158.92607832</v>
      </c>
      <c r="C3" s="332">
        <f>'P &amp; NP'!WO11</f>
        <v>3994041159.9863362</v>
      </c>
      <c r="D3" s="732" t="s">
        <v>537</v>
      </c>
      <c r="E3" s="732"/>
      <c r="F3" s="732" t="s">
        <v>538</v>
      </c>
      <c r="G3" s="732"/>
      <c r="H3" s="732" t="s">
        <v>539</v>
      </c>
      <c r="I3" s="732"/>
      <c r="J3" s="732" t="s">
        <v>540</v>
      </c>
      <c r="K3" s="732"/>
      <c r="L3" s="732" t="s">
        <v>392</v>
      </c>
      <c r="M3" s="732"/>
      <c r="N3" s="732" t="s">
        <v>541</v>
      </c>
      <c r="O3" s="732"/>
      <c r="P3" s="732" t="s">
        <v>542</v>
      </c>
      <c r="Q3" s="732"/>
      <c r="R3" s="732" t="s">
        <v>10</v>
      </c>
      <c r="S3" s="732"/>
      <c r="T3" s="732" t="s">
        <v>231</v>
      </c>
      <c r="U3" s="732"/>
      <c r="V3" s="732" t="s">
        <v>543</v>
      </c>
      <c r="W3" s="732"/>
      <c r="X3" s="732" t="s">
        <v>544</v>
      </c>
      <c r="Y3" s="732"/>
      <c r="Z3" s="732" t="s">
        <v>545</v>
      </c>
      <c r="AA3" s="732"/>
      <c r="AB3" s="732" t="s">
        <v>546</v>
      </c>
      <c r="AC3" s="732"/>
      <c r="AD3" s="732" t="s">
        <v>547</v>
      </c>
      <c r="AE3" s="732"/>
      <c r="AF3" s="732" t="s">
        <v>548</v>
      </c>
      <c r="AG3" s="732"/>
      <c r="AH3" s="732" t="s">
        <v>549</v>
      </c>
      <c r="AI3" s="732"/>
      <c r="AJ3" s="732" t="s">
        <v>550</v>
      </c>
      <c r="AK3" s="732"/>
      <c r="AL3" s="732" t="s">
        <v>551</v>
      </c>
      <c r="AM3" s="732"/>
      <c r="AN3" s="732" t="s">
        <v>552</v>
      </c>
      <c r="AO3" s="732"/>
      <c r="AP3" s="732" t="s">
        <v>553</v>
      </c>
      <c r="AQ3" s="732"/>
      <c r="AR3" s="732" t="s">
        <v>554</v>
      </c>
      <c r="AS3" s="732"/>
      <c r="AT3" s="732" t="s">
        <v>20</v>
      </c>
      <c r="AU3" s="732"/>
      <c r="AV3" s="732" t="s">
        <v>555</v>
      </c>
      <c r="AW3" s="732"/>
      <c r="AX3" s="732" t="s">
        <v>556</v>
      </c>
      <c r="AY3" s="732"/>
      <c r="AZ3" s="732" t="s">
        <v>24</v>
      </c>
      <c r="BA3" s="732"/>
      <c r="BB3" s="732" t="s">
        <v>557</v>
      </c>
      <c r="BC3" s="732"/>
      <c r="BD3" s="732" t="s">
        <v>359</v>
      </c>
      <c r="BE3" s="732"/>
      <c r="BF3" s="732" t="s">
        <v>668</v>
      </c>
      <c r="BG3" s="732"/>
      <c r="BH3" s="732" t="s">
        <v>671</v>
      </c>
      <c r="BI3" s="732"/>
      <c r="BJ3" s="732" t="s">
        <v>674</v>
      </c>
      <c r="BK3" s="732"/>
      <c r="BL3" s="732" t="s">
        <v>605</v>
      </c>
      <c r="BM3" s="732"/>
      <c r="BN3" s="732" t="s">
        <v>606</v>
      </c>
      <c r="BO3" s="732"/>
      <c r="BP3" s="732" t="s">
        <v>607</v>
      </c>
      <c r="BQ3" s="732"/>
      <c r="BR3" s="732" t="s">
        <v>669</v>
      </c>
      <c r="BS3" s="732"/>
      <c r="BT3" s="732" t="s">
        <v>670</v>
      </c>
      <c r="BU3" s="732"/>
      <c r="BV3" s="732" t="s">
        <v>672</v>
      </c>
      <c r="BW3" s="732"/>
      <c r="BX3" s="732" t="s">
        <v>673</v>
      </c>
      <c r="BY3" s="732"/>
    </row>
    <row r="4" spans="1:77">
      <c r="A4" s="246"/>
      <c r="B4" s="327" t="s">
        <v>27</v>
      </c>
      <c r="C4" s="327" t="s">
        <v>28</v>
      </c>
      <c r="D4" s="326" t="s">
        <v>27</v>
      </c>
      <c r="E4" s="326" t="s">
        <v>28</v>
      </c>
      <c r="F4" s="326" t="s">
        <v>27</v>
      </c>
      <c r="G4" s="326" t="s">
        <v>28</v>
      </c>
      <c r="H4" s="326" t="s">
        <v>27</v>
      </c>
      <c r="I4" s="326" t="s">
        <v>28</v>
      </c>
      <c r="J4" s="326" t="s">
        <v>27</v>
      </c>
      <c r="K4" s="326" t="s">
        <v>28</v>
      </c>
      <c r="L4" s="326" t="s">
        <v>27</v>
      </c>
      <c r="M4" s="326" t="s">
        <v>28</v>
      </c>
      <c r="N4" s="326" t="s">
        <v>27</v>
      </c>
      <c r="O4" s="326" t="s">
        <v>28</v>
      </c>
      <c r="P4" s="326" t="s">
        <v>27</v>
      </c>
      <c r="Q4" s="326" t="s">
        <v>28</v>
      </c>
      <c r="R4" s="326" t="s">
        <v>27</v>
      </c>
      <c r="S4" s="326" t="s">
        <v>28</v>
      </c>
      <c r="T4" s="326" t="s">
        <v>27</v>
      </c>
      <c r="U4" s="326" t="s">
        <v>28</v>
      </c>
      <c r="V4" s="326" t="s">
        <v>27</v>
      </c>
      <c r="W4" s="326" t="s">
        <v>28</v>
      </c>
      <c r="X4" s="326" t="s">
        <v>27</v>
      </c>
      <c r="Y4" s="326" t="s">
        <v>28</v>
      </c>
      <c r="Z4" s="326" t="s">
        <v>27</v>
      </c>
      <c r="AA4" s="326" t="s">
        <v>28</v>
      </c>
      <c r="AB4" s="326" t="s">
        <v>27</v>
      </c>
      <c r="AC4" s="326" t="s">
        <v>28</v>
      </c>
      <c r="AD4" s="326" t="s">
        <v>27</v>
      </c>
      <c r="AE4" s="326" t="s">
        <v>28</v>
      </c>
      <c r="AF4" s="326" t="s">
        <v>27</v>
      </c>
      <c r="AG4" s="326" t="s">
        <v>28</v>
      </c>
      <c r="AH4" s="326" t="s">
        <v>27</v>
      </c>
      <c r="AI4" s="326" t="s">
        <v>28</v>
      </c>
      <c r="AJ4" s="326" t="s">
        <v>27</v>
      </c>
      <c r="AK4" s="326" t="s">
        <v>28</v>
      </c>
      <c r="AL4" s="326" t="s">
        <v>27</v>
      </c>
      <c r="AM4" s="326" t="s">
        <v>28</v>
      </c>
      <c r="AN4" s="326" t="s">
        <v>27</v>
      </c>
      <c r="AO4" s="326" t="s">
        <v>28</v>
      </c>
      <c r="AP4" s="326" t="s">
        <v>27</v>
      </c>
      <c r="AQ4" s="326" t="s">
        <v>28</v>
      </c>
      <c r="AR4" s="326" t="s">
        <v>27</v>
      </c>
      <c r="AS4" s="326" t="s">
        <v>28</v>
      </c>
      <c r="AT4" s="326" t="s">
        <v>27</v>
      </c>
      <c r="AU4" s="326" t="s">
        <v>28</v>
      </c>
      <c r="AV4" s="326" t="s">
        <v>27</v>
      </c>
      <c r="AW4" s="326" t="s">
        <v>28</v>
      </c>
      <c r="AX4" s="326" t="s">
        <v>27</v>
      </c>
      <c r="AY4" s="326" t="s">
        <v>28</v>
      </c>
      <c r="AZ4" s="326" t="s">
        <v>27</v>
      </c>
      <c r="BA4" s="326" t="s">
        <v>28</v>
      </c>
      <c r="BB4" s="326" t="s">
        <v>27</v>
      </c>
      <c r="BC4" s="326" t="s">
        <v>28</v>
      </c>
      <c r="BD4" s="326" t="s">
        <v>27</v>
      </c>
      <c r="BE4" s="326" t="s">
        <v>28</v>
      </c>
      <c r="BF4" s="326" t="s">
        <v>27</v>
      </c>
      <c r="BG4" s="326" t="s">
        <v>28</v>
      </c>
      <c r="BH4" s="326" t="s">
        <v>27</v>
      </c>
      <c r="BI4" s="326" t="s">
        <v>28</v>
      </c>
      <c r="BJ4" s="326" t="s">
        <v>27</v>
      </c>
      <c r="BK4" s="326" t="s">
        <v>28</v>
      </c>
      <c r="BL4" s="326" t="s">
        <v>27</v>
      </c>
      <c r="BM4" s="326" t="s">
        <v>28</v>
      </c>
      <c r="BN4" s="326" t="s">
        <v>27</v>
      </c>
      <c r="BO4" s="326" t="s">
        <v>28</v>
      </c>
      <c r="BP4" s="326" t="s">
        <v>27</v>
      </c>
      <c r="BQ4" s="326" t="s">
        <v>28</v>
      </c>
      <c r="BR4" s="326" t="s">
        <v>27</v>
      </c>
      <c r="BS4" s="326" t="s">
        <v>28</v>
      </c>
      <c r="BT4" s="326" t="s">
        <v>27</v>
      </c>
      <c r="BU4" s="326" t="s">
        <v>28</v>
      </c>
      <c r="BV4" s="326" t="s">
        <v>27</v>
      </c>
      <c r="BW4" s="326" t="s">
        <v>28</v>
      </c>
      <c r="BX4" s="326" t="s">
        <v>27</v>
      </c>
      <c r="BY4" s="326" t="s">
        <v>28</v>
      </c>
    </row>
    <row r="5" spans="1:77">
      <c r="A5" s="255" t="s">
        <v>111</v>
      </c>
      <c r="B5" s="733">
        <f>SUM(B6:B43)</f>
        <v>774415158.92607832</v>
      </c>
      <c r="C5" s="733">
        <f>SUM(C6:C43)</f>
        <v>3994041159.9863362</v>
      </c>
      <c r="D5" s="322">
        <f>SUM(D6:D43)</f>
        <v>1310</v>
      </c>
      <c r="E5" s="322">
        <f t="shared" ref="E5:BP5" si="0">SUM(E6:E43)</f>
        <v>82950</v>
      </c>
      <c r="F5" s="322">
        <f t="shared" si="0"/>
        <v>0</v>
      </c>
      <c r="G5" s="322">
        <f t="shared" si="0"/>
        <v>0</v>
      </c>
      <c r="H5" s="322">
        <f t="shared" si="0"/>
        <v>0</v>
      </c>
      <c r="I5" s="322">
        <f t="shared" si="0"/>
        <v>0</v>
      </c>
      <c r="J5" s="322">
        <f t="shared" si="0"/>
        <v>759882881</v>
      </c>
      <c r="K5" s="322">
        <f t="shared" si="0"/>
        <v>3814877372</v>
      </c>
      <c r="L5" s="322">
        <f t="shared" si="0"/>
        <v>0</v>
      </c>
      <c r="M5" s="322">
        <f t="shared" si="0"/>
        <v>0</v>
      </c>
      <c r="N5" s="322">
        <f t="shared" si="0"/>
        <v>0</v>
      </c>
      <c r="O5" s="322">
        <f t="shared" si="0"/>
        <v>0</v>
      </c>
      <c r="P5" s="322">
        <f t="shared" si="0"/>
        <v>0</v>
      </c>
      <c r="Q5" s="322">
        <f t="shared" si="0"/>
        <v>0</v>
      </c>
      <c r="R5" s="322">
        <f t="shared" si="0"/>
        <v>4970</v>
      </c>
      <c r="S5" s="322">
        <f t="shared" si="0"/>
        <v>374525</v>
      </c>
      <c r="T5" s="322">
        <f t="shared" si="0"/>
        <v>0</v>
      </c>
      <c r="U5" s="322">
        <f t="shared" si="0"/>
        <v>0</v>
      </c>
      <c r="V5" s="322">
        <f t="shared" si="0"/>
        <v>13740678.926078347</v>
      </c>
      <c r="W5" s="322">
        <f t="shared" si="0"/>
        <v>53413466.486336268</v>
      </c>
      <c r="X5" s="322">
        <f t="shared" si="0"/>
        <v>465281</v>
      </c>
      <c r="Y5" s="322">
        <f t="shared" si="0"/>
        <v>39731106.5</v>
      </c>
      <c r="Z5" s="322">
        <f t="shared" si="0"/>
        <v>291245</v>
      </c>
      <c r="AA5" s="322">
        <f t="shared" si="0"/>
        <v>80853400</v>
      </c>
      <c r="AB5" s="322">
        <f t="shared" si="0"/>
        <v>0</v>
      </c>
      <c r="AC5" s="322">
        <f t="shared" si="0"/>
        <v>0</v>
      </c>
      <c r="AD5" s="322">
        <f t="shared" si="0"/>
        <v>0</v>
      </c>
      <c r="AE5" s="322">
        <f t="shared" si="0"/>
        <v>0</v>
      </c>
      <c r="AF5" s="322">
        <f t="shared" si="0"/>
        <v>12733</v>
      </c>
      <c r="AG5" s="322">
        <f t="shared" si="0"/>
        <v>4328440</v>
      </c>
      <c r="AH5" s="322">
        <f t="shared" si="0"/>
        <v>0</v>
      </c>
      <c r="AI5" s="322">
        <f t="shared" si="0"/>
        <v>0</v>
      </c>
      <c r="AJ5" s="322">
        <f t="shared" si="0"/>
        <v>0</v>
      </c>
      <c r="AK5" s="322">
        <f t="shared" si="0"/>
        <v>0</v>
      </c>
      <c r="AL5" s="322">
        <f t="shared" si="0"/>
        <v>0</v>
      </c>
      <c r="AM5" s="322">
        <f t="shared" si="0"/>
        <v>0</v>
      </c>
      <c r="AN5" s="322">
        <f t="shared" si="0"/>
        <v>0</v>
      </c>
      <c r="AO5" s="322">
        <f t="shared" si="0"/>
        <v>0</v>
      </c>
      <c r="AP5" s="322">
        <f t="shared" si="0"/>
        <v>0</v>
      </c>
      <c r="AQ5" s="322">
        <f t="shared" si="0"/>
        <v>0</v>
      </c>
      <c r="AR5" s="322">
        <f t="shared" si="0"/>
        <v>0</v>
      </c>
      <c r="AS5" s="322">
        <f t="shared" si="0"/>
        <v>0</v>
      </c>
      <c r="AT5" s="322">
        <f t="shared" si="0"/>
        <v>0</v>
      </c>
      <c r="AU5" s="322">
        <f t="shared" si="0"/>
        <v>0</v>
      </c>
      <c r="AV5" s="322">
        <f t="shared" si="0"/>
        <v>0</v>
      </c>
      <c r="AW5" s="322">
        <f t="shared" si="0"/>
        <v>0</v>
      </c>
      <c r="AX5" s="322">
        <f t="shared" si="0"/>
        <v>0</v>
      </c>
      <c r="AY5" s="322">
        <f t="shared" si="0"/>
        <v>0</v>
      </c>
      <c r="AZ5" s="322">
        <f t="shared" si="0"/>
        <v>0</v>
      </c>
      <c r="BA5" s="322">
        <f t="shared" si="0"/>
        <v>0</v>
      </c>
      <c r="BB5" s="322">
        <f t="shared" si="0"/>
        <v>0</v>
      </c>
      <c r="BC5" s="322">
        <f t="shared" si="0"/>
        <v>0</v>
      </c>
      <c r="BD5" s="322">
        <f t="shared" si="0"/>
        <v>0</v>
      </c>
      <c r="BE5" s="322">
        <f t="shared" si="0"/>
        <v>0</v>
      </c>
      <c r="BF5" s="322">
        <f t="shared" si="0"/>
        <v>0</v>
      </c>
      <c r="BG5" s="322">
        <f t="shared" si="0"/>
        <v>0</v>
      </c>
      <c r="BH5" s="322">
        <f t="shared" si="0"/>
        <v>0</v>
      </c>
      <c r="BI5" s="322">
        <f t="shared" si="0"/>
        <v>0</v>
      </c>
      <c r="BJ5" s="322">
        <f t="shared" si="0"/>
        <v>0</v>
      </c>
      <c r="BK5" s="322">
        <f t="shared" si="0"/>
        <v>0</v>
      </c>
      <c r="BL5" s="322">
        <f t="shared" si="0"/>
        <v>0</v>
      </c>
      <c r="BM5" s="322">
        <f t="shared" si="0"/>
        <v>0</v>
      </c>
      <c r="BN5" s="322">
        <f t="shared" si="0"/>
        <v>0</v>
      </c>
      <c r="BO5" s="322">
        <f t="shared" si="0"/>
        <v>0</v>
      </c>
      <c r="BP5" s="322">
        <f t="shared" si="0"/>
        <v>645</v>
      </c>
      <c r="BQ5" s="322">
        <f t="shared" ref="BQ5:BY5" si="1">SUM(BQ6:BQ43)</f>
        <v>225750</v>
      </c>
      <c r="BR5" s="322">
        <f t="shared" si="1"/>
        <v>15415</v>
      </c>
      <c r="BS5" s="322">
        <f t="shared" si="1"/>
        <v>154150</v>
      </c>
      <c r="BT5" s="322">
        <f t="shared" si="1"/>
        <v>0</v>
      </c>
      <c r="BU5" s="322">
        <f t="shared" si="1"/>
        <v>0</v>
      </c>
      <c r="BV5" s="322">
        <f t="shared" si="1"/>
        <v>0</v>
      </c>
      <c r="BW5" s="322">
        <f t="shared" si="1"/>
        <v>0</v>
      </c>
      <c r="BX5" s="322">
        <f t="shared" si="1"/>
        <v>0</v>
      </c>
      <c r="BY5" s="322">
        <f t="shared" si="1"/>
        <v>0</v>
      </c>
    </row>
    <row r="6" spans="1:77">
      <c r="A6" s="260" t="s">
        <v>137</v>
      </c>
      <c r="B6" s="169">
        <f>SUMIF($D$4:$BY$4,$B$4,D6:BY6)</f>
        <v>0</v>
      </c>
      <c r="C6" s="169">
        <f>SUMIF($D$4:$BY$4,$C$4,D6:BY6)</f>
        <v>0</v>
      </c>
      <c r="D6" s="116">
        <f>'P NP LAUT IKAN'!C8</f>
        <v>0</v>
      </c>
      <c r="E6" s="116">
        <f>'P NP LAUT IKAN'!D8</f>
        <v>0</v>
      </c>
      <c r="F6" s="116">
        <f>'P NP LAUT IKAN'!C9</f>
        <v>0</v>
      </c>
      <c r="G6" s="116">
        <f>'P NP LAUT IKAN'!D9</f>
        <v>0</v>
      </c>
      <c r="H6" s="116">
        <f>'P NP LAUT IKAN'!C10</f>
        <v>0</v>
      </c>
      <c r="I6" s="116">
        <f>'P NP LAUT IKAN'!D10</f>
        <v>0</v>
      </c>
      <c r="J6" s="116">
        <f>'P NP LAUT IKAN'!C11</f>
        <v>0</v>
      </c>
      <c r="K6" s="116">
        <f>'P NP LAUT IKAN'!D11</f>
        <v>0</v>
      </c>
      <c r="L6" s="116">
        <f>'P NP LAUT IKAN'!C12</f>
        <v>0</v>
      </c>
      <c r="M6" s="116">
        <f>'P NP LAUT IKAN'!D12</f>
        <v>0</v>
      </c>
      <c r="N6" s="116">
        <f>'P NP LAUT IKAN'!C13</f>
        <v>0</v>
      </c>
      <c r="O6" s="116">
        <f>'P NP LAUT IKAN'!D13</f>
        <v>0</v>
      </c>
      <c r="P6" s="116">
        <f>'P NP LAUT IKAN'!C14</f>
        <v>0</v>
      </c>
      <c r="Q6" s="116">
        <f>'P NP LAUT IKAN'!D14</f>
        <v>0</v>
      </c>
      <c r="R6" s="116">
        <f>'P NP LAUT IKAN'!C15</f>
        <v>0</v>
      </c>
      <c r="S6" s="116">
        <f>'P NP LAUT IKAN'!D15</f>
        <v>0</v>
      </c>
      <c r="T6" s="116">
        <f>'P NP LAUT IKAN'!C16</f>
        <v>0</v>
      </c>
      <c r="U6" s="116">
        <f>'P NP LAUT IKAN'!D16</f>
        <v>0</v>
      </c>
      <c r="V6" s="116">
        <f>'P NP LAUT IKAN'!C17</f>
        <v>0</v>
      </c>
      <c r="W6" s="116">
        <f>'P NP LAUT IKAN'!D17</f>
        <v>0</v>
      </c>
      <c r="X6" s="116">
        <f>'P NP LAUT IKAN'!C18</f>
        <v>0</v>
      </c>
      <c r="Y6" s="116">
        <f>'P NP LAUT IKAN'!D18</f>
        <v>0</v>
      </c>
      <c r="Z6" s="116">
        <f>'P NP LAUT IKAN'!C19</f>
        <v>0</v>
      </c>
      <c r="AA6" s="116">
        <f>'P NP LAUT IKAN'!D19</f>
        <v>0</v>
      </c>
      <c r="AB6" s="116">
        <f>'P NP LAUT IKAN'!C20</f>
        <v>0</v>
      </c>
      <c r="AC6" s="116">
        <f>'P NP LAUT IKAN'!D20</f>
        <v>0</v>
      </c>
      <c r="AD6" s="116">
        <f>'P NP LAUT IKAN'!C21</f>
        <v>0</v>
      </c>
      <c r="AE6" s="116">
        <f>'P NP LAUT IKAN'!D21</f>
        <v>0</v>
      </c>
      <c r="AF6" s="116">
        <f>'P NP LAUT IKAN'!C22</f>
        <v>0</v>
      </c>
      <c r="AG6" s="116">
        <f>'P NP LAUT IKAN'!D22</f>
        <v>0</v>
      </c>
      <c r="AH6" s="116">
        <f>'P NP LAUT IKAN'!C23</f>
        <v>0</v>
      </c>
      <c r="AI6" s="116">
        <f>'P NP LAUT IKAN'!D23</f>
        <v>0</v>
      </c>
      <c r="AJ6" s="116">
        <f>'P NP LAUT IKAN'!C24</f>
        <v>0</v>
      </c>
      <c r="AK6" s="116">
        <f>'P NP LAUT IKAN'!D24</f>
        <v>0</v>
      </c>
      <c r="AL6" s="116">
        <f>'P NP LAUT IKAN'!C25</f>
        <v>0</v>
      </c>
      <c r="AM6" s="116">
        <f>'P NP LAUT IKAN'!D25</f>
        <v>0</v>
      </c>
      <c r="AN6" s="116">
        <f>'P NP LAUT IKAN'!C26</f>
        <v>0</v>
      </c>
      <c r="AO6" s="116">
        <f>'P NP LAUT IKAN'!D26</f>
        <v>0</v>
      </c>
      <c r="AP6" s="116">
        <f>'P NP LAUT IKAN'!C27</f>
        <v>0</v>
      </c>
      <c r="AQ6" s="116">
        <f>'P NP LAUT IKAN'!D27</f>
        <v>0</v>
      </c>
      <c r="AR6" s="116">
        <f>'P NP LAUT IKAN'!C28</f>
        <v>0</v>
      </c>
      <c r="AS6" s="116">
        <f>'P NP LAUT IKAN'!D28</f>
        <v>0</v>
      </c>
      <c r="AT6" s="116">
        <f>'P NP LAUT IKAN'!C29</f>
        <v>0</v>
      </c>
      <c r="AU6" s="116">
        <f>'P NP LAUT IKAN'!D29</f>
        <v>0</v>
      </c>
      <c r="AV6" s="116">
        <f>'P NP LAUT IKAN'!C30</f>
        <v>0</v>
      </c>
      <c r="AW6" s="116">
        <f>'P NP LAUT IKAN'!D30</f>
        <v>0</v>
      </c>
      <c r="AX6" s="116">
        <f>'P NP LAUT IKAN'!C31</f>
        <v>0</v>
      </c>
      <c r="AY6" s="116">
        <f>'P NP LAUT IKAN'!D31</f>
        <v>0</v>
      </c>
      <c r="AZ6" s="116">
        <f>'P NP LAUT IKAN'!C32</f>
        <v>0</v>
      </c>
      <c r="BA6" s="116">
        <f>'P NP LAUT IKAN'!D32</f>
        <v>0</v>
      </c>
      <c r="BB6" s="116">
        <f>'P NP LAUT IKAN'!C33</f>
        <v>0</v>
      </c>
      <c r="BC6" s="116">
        <f>'P NP LAUT IKAN'!D33</f>
        <v>0</v>
      </c>
      <c r="BD6" s="116">
        <f>'P NP LAUT IKAN'!C34</f>
        <v>0</v>
      </c>
      <c r="BE6" s="116">
        <f>'P NP LAUT IKAN'!D34</f>
        <v>0</v>
      </c>
      <c r="BF6" s="116">
        <f>'P NP LAUT IKAN'!C43</f>
        <v>0</v>
      </c>
      <c r="BG6" s="116">
        <f>'P NP LAUT IKAN'!D43</f>
        <v>0</v>
      </c>
      <c r="BH6" s="116">
        <f>'P NP LAUT IKAN'!C44</f>
        <v>0</v>
      </c>
      <c r="BI6" s="116">
        <f>'P NP LAUT IKAN'!D44</f>
        <v>0</v>
      </c>
      <c r="BJ6" s="116">
        <f>'P NP LAUT IKAN'!C45</f>
        <v>0</v>
      </c>
      <c r="BK6" s="116">
        <f>'P NP LAUT IKAN'!D45</f>
        <v>0</v>
      </c>
      <c r="BL6" s="116">
        <f>'P NP LAUT IKAN'!C46</f>
        <v>0</v>
      </c>
      <c r="BM6" s="116">
        <f>'P NP LAUT IKAN'!D46</f>
        <v>0</v>
      </c>
      <c r="BN6" s="116">
        <f>'P NP LAUT IKAN'!C47</f>
        <v>0</v>
      </c>
      <c r="BO6" s="116">
        <f>'P NP LAUT IKAN'!D47</f>
        <v>0</v>
      </c>
      <c r="BP6" s="116">
        <f>'P NP LAUT IKAN'!C48</f>
        <v>0</v>
      </c>
      <c r="BQ6" s="116">
        <f>'P NP LAUT IKAN'!D48</f>
        <v>0</v>
      </c>
      <c r="BR6" s="116">
        <f>'P NP LAUT IKAN'!C49</f>
        <v>0</v>
      </c>
      <c r="BS6" s="116">
        <f>'P NP LAUT IKAN'!D49</f>
        <v>0</v>
      </c>
      <c r="BT6" s="116">
        <f>'P NP LAUT IKAN'!C50</f>
        <v>0</v>
      </c>
      <c r="BU6" s="116">
        <f>'P NP LAUT IKAN'!D50</f>
        <v>0</v>
      </c>
      <c r="BV6" s="116">
        <f>'P NP LAUT IKAN'!C51</f>
        <v>0</v>
      </c>
      <c r="BW6" s="116">
        <f>'P NP LAUT IKAN'!D51</f>
        <v>0</v>
      </c>
      <c r="BX6" s="116">
        <f>'P NP LAUT IKAN'!C52</f>
        <v>0</v>
      </c>
      <c r="BY6" s="116">
        <f>'P NP LAUT IKAN'!D52</f>
        <v>0</v>
      </c>
    </row>
    <row r="7" spans="1:77">
      <c r="A7" s="260" t="s">
        <v>121</v>
      </c>
      <c r="B7" s="169">
        <f t="shared" ref="B7:B43" si="2">SUMIF($D$4:$BY$4,$B$4,D7:BY7)</f>
        <v>48260</v>
      </c>
      <c r="C7" s="169">
        <f t="shared" ref="C7:C43" si="3">SUMIF($D$4:$BY$4,$C$4,D7:BY7)</f>
        <v>5721650</v>
      </c>
      <c r="D7" s="116">
        <f>'P NP LAUT IKAN'!E8</f>
        <v>0</v>
      </c>
      <c r="E7" s="116">
        <f>'P NP LAUT IKAN'!F8</f>
        <v>0</v>
      </c>
      <c r="F7" s="116">
        <f>'P NP LAUT IKAN'!E9</f>
        <v>0</v>
      </c>
      <c r="G7" s="116">
        <f>'P NP LAUT IKAN'!F9</f>
        <v>0</v>
      </c>
      <c r="H7" s="116">
        <f>'P NP LAUT IKAN'!E10</f>
        <v>0</v>
      </c>
      <c r="I7" s="116">
        <f>'P NP LAUT IKAN'!F10</f>
        <v>0</v>
      </c>
      <c r="J7" s="116">
        <f>'P NP LAUT IKAN'!E11</f>
        <v>0</v>
      </c>
      <c r="K7" s="116">
        <f>'P NP LAUT IKAN'!F11</f>
        <v>0</v>
      </c>
      <c r="L7" s="116">
        <f>'P NP LAUT IKAN'!E12</f>
        <v>0</v>
      </c>
      <c r="M7" s="116">
        <f>'P NP LAUT IKAN'!F12</f>
        <v>0</v>
      </c>
      <c r="N7" s="116">
        <f>'P NP LAUT IKAN'!E13</f>
        <v>0</v>
      </c>
      <c r="O7" s="116">
        <f>'P NP LAUT IKAN'!F13</f>
        <v>0</v>
      </c>
      <c r="P7" s="116">
        <f>'P NP LAUT IKAN'!E14</f>
        <v>0</v>
      </c>
      <c r="Q7" s="116">
        <f>'P NP LAUT IKAN'!F14</f>
        <v>0</v>
      </c>
      <c r="R7" s="116">
        <f>'P NP LAUT IKAN'!E15</f>
        <v>2305</v>
      </c>
      <c r="S7" s="116">
        <f>'P NP LAUT IKAN'!F15</f>
        <v>166325</v>
      </c>
      <c r="T7" s="116">
        <f>'P NP LAUT IKAN'!E16</f>
        <v>0</v>
      </c>
      <c r="U7" s="116">
        <f>'P NP LAUT IKAN'!F16</f>
        <v>0</v>
      </c>
      <c r="V7" s="116">
        <f>'P NP LAUT IKAN'!E17</f>
        <v>0</v>
      </c>
      <c r="W7" s="116">
        <f>'P NP LAUT IKAN'!F17</f>
        <v>0</v>
      </c>
      <c r="X7" s="116">
        <f>'P NP LAUT IKAN'!E18</f>
        <v>20185</v>
      </c>
      <c r="Y7" s="116">
        <f>'P NP LAUT IKAN'!F18</f>
        <v>1776925</v>
      </c>
      <c r="Z7" s="116">
        <f>'P NP LAUT IKAN'!E19</f>
        <v>0</v>
      </c>
      <c r="AA7" s="116">
        <f>'P NP LAUT IKAN'!F19</f>
        <v>0</v>
      </c>
      <c r="AB7" s="116">
        <f>'P NP LAUT IKAN'!E20</f>
        <v>0</v>
      </c>
      <c r="AC7" s="116">
        <f>'P NP LAUT IKAN'!F20</f>
        <v>0</v>
      </c>
      <c r="AD7" s="116">
        <f>'P NP LAUT IKAN'!E21</f>
        <v>0</v>
      </c>
      <c r="AE7" s="116">
        <f>'P NP LAUT IKAN'!F21</f>
        <v>0</v>
      </c>
      <c r="AF7" s="116">
        <f>'P NP LAUT IKAN'!E22</f>
        <v>9710</v>
      </c>
      <c r="AG7" s="116">
        <f>'P NP LAUT IKAN'!F22</f>
        <v>3398500</v>
      </c>
      <c r="AH7" s="116">
        <f>'P NP LAUT IKAN'!E23</f>
        <v>0</v>
      </c>
      <c r="AI7" s="116">
        <f>'P NP LAUT IKAN'!F23</f>
        <v>0</v>
      </c>
      <c r="AJ7" s="116">
        <f>'P NP LAUT IKAN'!E24</f>
        <v>0</v>
      </c>
      <c r="AK7" s="116">
        <f>'P NP LAUT IKAN'!F24</f>
        <v>0</v>
      </c>
      <c r="AL7" s="116">
        <f>'P NP LAUT IKAN'!E25</f>
        <v>0</v>
      </c>
      <c r="AM7" s="116">
        <f>'P NP LAUT IKAN'!F25</f>
        <v>0</v>
      </c>
      <c r="AN7" s="116">
        <f>'P NP LAUT IKAN'!E26</f>
        <v>0</v>
      </c>
      <c r="AO7" s="116">
        <f>'P NP LAUT IKAN'!F26</f>
        <v>0</v>
      </c>
      <c r="AP7" s="116">
        <f>'P NP LAUT IKAN'!E27</f>
        <v>0</v>
      </c>
      <c r="AQ7" s="116">
        <f>'P NP LAUT IKAN'!F27</f>
        <v>0</v>
      </c>
      <c r="AR7" s="116">
        <f>'P NP LAUT IKAN'!E28</f>
        <v>0</v>
      </c>
      <c r="AS7" s="116">
        <f>'P NP LAUT IKAN'!F28</f>
        <v>0</v>
      </c>
      <c r="AT7" s="116">
        <f>'P NP LAUT IKAN'!E29</f>
        <v>0</v>
      </c>
      <c r="AU7" s="116">
        <f>'P NP LAUT IKAN'!F29</f>
        <v>0</v>
      </c>
      <c r="AV7" s="116">
        <f>'P NP LAUT IKAN'!E30</f>
        <v>0</v>
      </c>
      <c r="AW7" s="116">
        <f>'P NP LAUT IKAN'!F30</f>
        <v>0</v>
      </c>
      <c r="AX7" s="116">
        <f>'P NP LAUT IKAN'!E31</f>
        <v>0</v>
      </c>
      <c r="AY7" s="116">
        <f>'P NP LAUT IKAN'!F31</f>
        <v>0</v>
      </c>
      <c r="AZ7" s="116">
        <f>'P NP LAUT IKAN'!E32</f>
        <v>0</v>
      </c>
      <c r="BA7" s="116">
        <f>'P NP LAUT IKAN'!F32</f>
        <v>0</v>
      </c>
      <c r="BB7" s="116">
        <f>'P NP LAUT IKAN'!E33</f>
        <v>0</v>
      </c>
      <c r="BC7" s="116">
        <f>'P NP LAUT IKAN'!F33</f>
        <v>0</v>
      </c>
      <c r="BD7" s="116">
        <f>'P NP LAUT IKAN'!E34</f>
        <v>0</v>
      </c>
      <c r="BE7" s="116">
        <f>'P NP LAUT IKAN'!F34</f>
        <v>0</v>
      </c>
      <c r="BF7" s="116">
        <f>'P NP LAUT IKAN'!E35</f>
        <v>0</v>
      </c>
      <c r="BG7" s="116">
        <f>'P NP LAUT IKAN'!F35</f>
        <v>0</v>
      </c>
      <c r="BH7" s="116">
        <f>'P NP LAUT IKAN'!E36</f>
        <v>0</v>
      </c>
      <c r="BI7" s="116">
        <f>'P NP LAUT IKAN'!F36</f>
        <v>0</v>
      </c>
      <c r="BJ7" s="116">
        <f>'P NP LAUT IKAN'!$E37</f>
        <v>0</v>
      </c>
      <c r="BK7" s="116">
        <f>'P NP LAUT IKAN'!$F37</f>
        <v>0</v>
      </c>
      <c r="BL7" s="116">
        <f>'P NP LAUT IKAN'!$E38</f>
        <v>0</v>
      </c>
      <c r="BM7" s="116">
        <f>'P NP LAUT IKAN'!$F38</f>
        <v>0</v>
      </c>
      <c r="BN7" s="116">
        <f>'P NP LAUT IKAN'!$E39</f>
        <v>0</v>
      </c>
      <c r="BO7" s="116">
        <f>'P NP LAUT IKAN'!$F39</f>
        <v>0</v>
      </c>
      <c r="BP7" s="116">
        <f>'P NP LAUT IKAN'!$E40</f>
        <v>645</v>
      </c>
      <c r="BQ7" s="116">
        <f>'P NP LAUT IKAN'!$F40</f>
        <v>225750</v>
      </c>
      <c r="BR7" s="116">
        <f>'P NP LAUT IKAN'!$E41</f>
        <v>15415</v>
      </c>
      <c r="BS7" s="116">
        <f>'P NP LAUT IKAN'!$F41</f>
        <v>154150</v>
      </c>
      <c r="BT7" s="116">
        <f>'P NP LAUT IKAN'!$E42</f>
        <v>0</v>
      </c>
      <c r="BU7" s="116">
        <f>'P NP LAUT IKAN'!$F42</f>
        <v>0</v>
      </c>
      <c r="BV7" s="116">
        <f>'P NP LAUT IKAN'!$E43</f>
        <v>0</v>
      </c>
      <c r="BW7" s="116">
        <f>'P NP LAUT IKAN'!$F43</f>
        <v>0</v>
      </c>
      <c r="BX7" s="116">
        <f>'P NP LAUT IKAN'!$E44</f>
        <v>0</v>
      </c>
      <c r="BY7" s="116">
        <f>'P NP LAUT IKAN'!$F44</f>
        <v>0</v>
      </c>
    </row>
    <row r="8" spans="1:77">
      <c r="A8" s="260" t="s">
        <v>116</v>
      </c>
      <c r="B8" s="169">
        <f t="shared" si="2"/>
        <v>0</v>
      </c>
      <c r="C8" s="169">
        <f t="shared" si="3"/>
        <v>0</v>
      </c>
      <c r="D8" s="116">
        <f>'P NP LAUT IKAN'!G8</f>
        <v>0</v>
      </c>
      <c r="E8" s="116">
        <f>'P NP LAUT IKAN'!H8</f>
        <v>0</v>
      </c>
      <c r="F8" s="116">
        <f>'P NP LAUT IKAN'!G9</f>
        <v>0</v>
      </c>
      <c r="G8" s="116">
        <f>'P NP LAUT IKAN'!H9</f>
        <v>0</v>
      </c>
      <c r="H8" s="116">
        <f>'P NP LAUT IKAN'!G10</f>
        <v>0</v>
      </c>
      <c r="I8" s="116">
        <f>'P NP LAUT IKAN'!H10</f>
        <v>0</v>
      </c>
      <c r="J8" s="116">
        <f>'P NP LAUT IKAN'!G11</f>
        <v>0</v>
      </c>
      <c r="K8" s="116">
        <f>'P NP LAUT IKAN'!H11</f>
        <v>0</v>
      </c>
      <c r="L8" s="116">
        <f>'P NP LAUT IKAN'!G12</f>
        <v>0</v>
      </c>
      <c r="M8" s="116">
        <f>'P NP LAUT IKAN'!H12</f>
        <v>0</v>
      </c>
      <c r="N8" s="116">
        <f>'P NP LAUT IKAN'!G13</f>
        <v>0</v>
      </c>
      <c r="O8" s="116">
        <f>'P NP LAUT IKAN'!H13</f>
        <v>0</v>
      </c>
      <c r="P8" s="116">
        <f>'P NP LAUT IKAN'!G14</f>
        <v>0</v>
      </c>
      <c r="Q8" s="116">
        <f>'P NP LAUT IKAN'!H14</f>
        <v>0</v>
      </c>
      <c r="R8" s="116">
        <f>'P NP LAUT IKAN'!G15</f>
        <v>0</v>
      </c>
      <c r="S8" s="116">
        <f>'P NP LAUT IKAN'!H15</f>
        <v>0</v>
      </c>
      <c r="T8" s="116">
        <f>'P NP LAUT IKAN'!G16</f>
        <v>0</v>
      </c>
      <c r="U8" s="116">
        <f>'P NP LAUT IKAN'!H16</f>
        <v>0</v>
      </c>
      <c r="V8" s="116">
        <f>'P NP LAUT IKAN'!G17</f>
        <v>0</v>
      </c>
      <c r="W8" s="116">
        <f>'P NP LAUT IKAN'!H17</f>
        <v>0</v>
      </c>
      <c r="X8" s="116">
        <f>'P NP LAUT IKAN'!G18</f>
        <v>0</v>
      </c>
      <c r="Y8" s="116">
        <f>'P NP LAUT IKAN'!H18</f>
        <v>0</v>
      </c>
      <c r="Z8" s="116">
        <f>'P NP LAUT IKAN'!G19</f>
        <v>0</v>
      </c>
      <c r="AA8" s="116">
        <f>'P NP LAUT IKAN'!H19</f>
        <v>0</v>
      </c>
      <c r="AB8" s="116">
        <f>'P NP LAUT IKAN'!G20</f>
        <v>0</v>
      </c>
      <c r="AC8" s="116">
        <f>'P NP LAUT IKAN'!H20</f>
        <v>0</v>
      </c>
      <c r="AD8" s="116">
        <f>'P NP LAUT IKAN'!G21</f>
        <v>0</v>
      </c>
      <c r="AE8" s="116">
        <f>'P NP LAUT IKAN'!H21</f>
        <v>0</v>
      </c>
      <c r="AF8" s="116">
        <f>'P NP LAUT IKAN'!G22</f>
        <v>0</v>
      </c>
      <c r="AG8" s="116">
        <f>'P NP LAUT IKAN'!H22</f>
        <v>0</v>
      </c>
      <c r="AH8" s="116">
        <f>'P NP LAUT IKAN'!G23</f>
        <v>0</v>
      </c>
      <c r="AI8" s="116">
        <f>'P NP LAUT IKAN'!H23</f>
        <v>0</v>
      </c>
      <c r="AJ8" s="116">
        <f>'P NP LAUT IKAN'!G24</f>
        <v>0</v>
      </c>
      <c r="AK8" s="116">
        <f>'P NP LAUT IKAN'!H24</f>
        <v>0</v>
      </c>
      <c r="AL8" s="116">
        <f>'P NP LAUT IKAN'!G25</f>
        <v>0</v>
      </c>
      <c r="AM8" s="116">
        <f>'P NP LAUT IKAN'!H25</f>
        <v>0</v>
      </c>
      <c r="AN8" s="116">
        <f>'P NP LAUT IKAN'!G26</f>
        <v>0</v>
      </c>
      <c r="AO8" s="116">
        <f>'P NP LAUT IKAN'!H26</f>
        <v>0</v>
      </c>
      <c r="AP8" s="116">
        <f>'P NP LAUT IKAN'!G27</f>
        <v>0</v>
      </c>
      <c r="AQ8" s="116">
        <f>'P NP LAUT IKAN'!H27</f>
        <v>0</v>
      </c>
      <c r="AR8" s="116">
        <f>'P NP LAUT IKAN'!G28</f>
        <v>0</v>
      </c>
      <c r="AS8" s="116">
        <f>'P NP LAUT IKAN'!H28</f>
        <v>0</v>
      </c>
      <c r="AT8" s="116">
        <f>'P NP LAUT IKAN'!G29</f>
        <v>0</v>
      </c>
      <c r="AU8" s="116">
        <f>'P NP LAUT IKAN'!H29</f>
        <v>0</v>
      </c>
      <c r="AV8" s="116">
        <f>'P NP LAUT IKAN'!G30</f>
        <v>0</v>
      </c>
      <c r="AW8" s="116">
        <f>'P NP LAUT IKAN'!H30</f>
        <v>0</v>
      </c>
      <c r="AX8" s="116">
        <f>'P NP LAUT IKAN'!G31</f>
        <v>0</v>
      </c>
      <c r="AY8" s="116">
        <f>'P NP LAUT IKAN'!H31</f>
        <v>0</v>
      </c>
      <c r="AZ8" s="116">
        <f>'P NP LAUT IKAN'!G32</f>
        <v>0</v>
      </c>
      <c r="BA8" s="116">
        <f>'P NP LAUT IKAN'!H32</f>
        <v>0</v>
      </c>
      <c r="BB8" s="116">
        <f>'P NP LAUT IKAN'!G33</f>
        <v>0</v>
      </c>
      <c r="BC8" s="116">
        <f>'P NP LAUT IKAN'!H33</f>
        <v>0</v>
      </c>
      <c r="BD8" s="116">
        <f>'P NP LAUT IKAN'!G34</f>
        <v>0</v>
      </c>
      <c r="BE8" s="116">
        <f>'P NP LAUT IKAN'!H34</f>
        <v>0</v>
      </c>
      <c r="BF8" s="116">
        <f>'P NP LAUT IKAN'!G43</f>
        <v>0</v>
      </c>
      <c r="BG8" s="116">
        <f>'P NP LAUT IKAN'!H43</f>
        <v>0</v>
      </c>
      <c r="BH8" s="116">
        <f>'P NP LAUT IKAN'!G44</f>
        <v>0</v>
      </c>
      <c r="BI8" s="116">
        <f>'P NP LAUT IKAN'!H44</f>
        <v>0</v>
      </c>
      <c r="BJ8" s="116">
        <f>'P NP LAUT IKAN'!C47</f>
        <v>0</v>
      </c>
      <c r="BK8" s="116">
        <f>'P NP LAUT IKAN'!D47</f>
        <v>0</v>
      </c>
      <c r="BL8" s="116">
        <f>'P NP LAUT IKAN'!C48</f>
        <v>0</v>
      </c>
      <c r="BM8" s="116">
        <f>'P NP LAUT IKAN'!D48</f>
        <v>0</v>
      </c>
      <c r="BN8" s="116">
        <f>'P NP LAUT IKAN'!C49</f>
        <v>0</v>
      </c>
      <c r="BO8" s="116">
        <f>'P NP LAUT IKAN'!D49</f>
        <v>0</v>
      </c>
      <c r="BP8" s="116">
        <f>'P NP LAUT IKAN'!C50</f>
        <v>0</v>
      </c>
      <c r="BQ8" s="116">
        <f>'P NP LAUT IKAN'!D50</f>
        <v>0</v>
      </c>
      <c r="BR8" s="116">
        <f>'P NP LAUT IKAN'!C51</f>
        <v>0</v>
      </c>
      <c r="BS8" s="116">
        <f>'P NP LAUT IKAN'!D51</f>
        <v>0</v>
      </c>
      <c r="BT8" s="116">
        <f>'P NP LAUT IKAN'!C52</f>
        <v>0</v>
      </c>
      <c r="BU8" s="116">
        <f>'P NP LAUT IKAN'!D52</f>
        <v>0</v>
      </c>
      <c r="BV8" s="116">
        <f>'P NP LAUT IKAN'!C53</f>
        <v>0</v>
      </c>
      <c r="BW8" s="116">
        <f>'P NP LAUT IKAN'!D53</f>
        <v>0</v>
      </c>
      <c r="BX8" s="116">
        <f>'P NP LAUT IKAN'!C54</f>
        <v>0</v>
      </c>
      <c r="BY8" s="116">
        <f>'P NP LAUT IKAN'!D54</f>
        <v>0</v>
      </c>
    </row>
    <row r="9" spans="1:77">
      <c r="A9" s="260" t="s">
        <v>133</v>
      </c>
      <c r="B9" s="169">
        <f t="shared" si="2"/>
        <v>0</v>
      </c>
      <c r="C9" s="169">
        <f t="shared" si="3"/>
        <v>0</v>
      </c>
      <c r="D9" s="116">
        <f>'P NP LAUT IKAN'!I8</f>
        <v>0</v>
      </c>
      <c r="E9" s="116">
        <f>'P NP LAUT IKAN'!J8</f>
        <v>0</v>
      </c>
      <c r="F9" s="116">
        <f>'P NP LAUT IKAN'!I9</f>
        <v>0</v>
      </c>
      <c r="G9" s="116">
        <f>'P NP LAUT IKAN'!J9</f>
        <v>0</v>
      </c>
      <c r="H9" s="116">
        <f>'P NP LAUT IKAN'!I10</f>
        <v>0</v>
      </c>
      <c r="I9" s="116">
        <f>'P NP LAUT IKAN'!J10</f>
        <v>0</v>
      </c>
      <c r="J9" s="116">
        <f>'P NP LAUT IKAN'!I11</f>
        <v>0</v>
      </c>
      <c r="K9" s="116">
        <f>'P NP LAUT IKAN'!J11</f>
        <v>0</v>
      </c>
      <c r="L9" s="116">
        <f>'P NP LAUT IKAN'!I12</f>
        <v>0</v>
      </c>
      <c r="M9" s="116">
        <f>'P NP LAUT IKAN'!J12</f>
        <v>0</v>
      </c>
      <c r="N9" s="116">
        <f>'P NP LAUT IKAN'!I13</f>
        <v>0</v>
      </c>
      <c r="O9" s="116">
        <f>'P NP LAUT IKAN'!J13</f>
        <v>0</v>
      </c>
      <c r="P9" s="116">
        <f>'P NP LAUT IKAN'!I14</f>
        <v>0</v>
      </c>
      <c r="Q9" s="116">
        <f>'P NP LAUT IKAN'!J14</f>
        <v>0</v>
      </c>
      <c r="R9" s="116">
        <f>'P NP LAUT IKAN'!I15</f>
        <v>0</v>
      </c>
      <c r="S9" s="116">
        <f>'P NP LAUT IKAN'!J15</f>
        <v>0</v>
      </c>
      <c r="T9" s="116">
        <f>'P NP LAUT IKAN'!I16</f>
        <v>0</v>
      </c>
      <c r="U9" s="116">
        <f>'P NP LAUT IKAN'!J16</f>
        <v>0</v>
      </c>
      <c r="V9" s="116">
        <f>'P NP LAUT IKAN'!I17</f>
        <v>0</v>
      </c>
      <c r="W9" s="116">
        <f>'P NP LAUT IKAN'!J17</f>
        <v>0</v>
      </c>
      <c r="X9" s="116">
        <f>'P NP LAUT IKAN'!I18</f>
        <v>0</v>
      </c>
      <c r="Y9" s="116">
        <f>'P NP LAUT IKAN'!J18</f>
        <v>0</v>
      </c>
      <c r="Z9" s="116">
        <f>'P NP LAUT IKAN'!I19</f>
        <v>0</v>
      </c>
      <c r="AA9" s="116">
        <f>'P NP LAUT IKAN'!J19</f>
        <v>0</v>
      </c>
      <c r="AB9" s="116">
        <f>'P NP LAUT IKAN'!I20</f>
        <v>0</v>
      </c>
      <c r="AC9" s="116">
        <f>'P NP LAUT IKAN'!J20</f>
        <v>0</v>
      </c>
      <c r="AD9" s="116">
        <f>'P NP LAUT IKAN'!I21</f>
        <v>0</v>
      </c>
      <c r="AE9" s="116">
        <f>'P NP LAUT IKAN'!J21</f>
        <v>0</v>
      </c>
      <c r="AF9" s="116">
        <f>'P NP LAUT IKAN'!I22</f>
        <v>0</v>
      </c>
      <c r="AG9" s="116">
        <f>'P NP LAUT IKAN'!J22</f>
        <v>0</v>
      </c>
      <c r="AH9" s="116">
        <f>'P NP LAUT IKAN'!I23</f>
        <v>0</v>
      </c>
      <c r="AI9" s="116">
        <f>'P NP LAUT IKAN'!J23</f>
        <v>0</v>
      </c>
      <c r="AJ9" s="116">
        <f>'P NP LAUT IKAN'!I24</f>
        <v>0</v>
      </c>
      <c r="AK9" s="116">
        <f>'P NP LAUT IKAN'!J24</f>
        <v>0</v>
      </c>
      <c r="AL9" s="116">
        <f>'P NP LAUT IKAN'!I25</f>
        <v>0</v>
      </c>
      <c r="AM9" s="116">
        <f>'P NP LAUT IKAN'!J25</f>
        <v>0</v>
      </c>
      <c r="AN9" s="116">
        <f>'P NP LAUT IKAN'!I26</f>
        <v>0</v>
      </c>
      <c r="AO9" s="116">
        <f>'P NP LAUT IKAN'!J26</f>
        <v>0</v>
      </c>
      <c r="AP9" s="116">
        <f>'P NP LAUT IKAN'!I27</f>
        <v>0</v>
      </c>
      <c r="AQ9" s="116">
        <f>'P NP LAUT IKAN'!J27</f>
        <v>0</v>
      </c>
      <c r="AR9" s="116">
        <f>'P NP LAUT IKAN'!I28</f>
        <v>0</v>
      </c>
      <c r="AS9" s="116">
        <f>'P NP LAUT IKAN'!J28</f>
        <v>0</v>
      </c>
      <c r="AT9" s="116">
        <f>'P NP LAUT IKAN'!I29</f>
        <v>0</v>
      </c>
      <c r="AU9" s="116">
        <f>'P NP LAUT IKAN'!J29</f>
        <v>0</v>
      </c>
      <c r="AV9" s="116">
        <f>'P NP LAUT IKAN'!I30</f>
        <v>0</v>
      </c>
      <c r="AW9" s="116">
        <f>'P NP LAUT IKAN'!J30</f>
        <v>0</v>
      </c>
      <c r="AX9" s="116">
        <f>'P NP LAUT IKAN'!I31</f>
        <v>0</v>
      </c>
      <c r="AY9" s="116">
        <f>'P NP LAUT IKAN'!J31</f>
        <v>0</v>
      </c>
      <c r="AZ9" s="116">
        <f>'P NP LAUT IKAN'!I32</f>
        <v>0</v>
      </c>
      <c r="BA9" s="116">
        <f>'P NP LAUT IKAN'!J32</f>
        <v>0</v>
      </c>
      <c r="BB9" s="116">
        <f>'P NP LAUT IKAN'!I33</f>
        <v>0</v>
      </c>
      <c r="BC9" s="116">
        <f>'P NP LAUT IKAN'!J33</f>
        <v>0</v>
      </c>
      <c r="BD9" s="116">
        <f>'P NP LAUT IKAN'!I34</f>
        <v>0</v>
      </c>
      <c r="BE9" s="116">
        <f>'P NP LAUT IKAN'!J34</f>
        <v>0</v>
      </c>
      <c r="BF9" s="116">
        <f>'P NP LAUT IKAN'!I43</f>
        <v>0</v>
      </c>
      <c r="BG9" s="116">
        <f>'P NP LAUT IKAN'!J43</f>
        <v>0</v>
      </c>
      <c r="BH9" s="116">
        <f>'P NP LAUT IKAN'!I44</f>
        <v>0</v>
      </c>
      <c r="BI9" s="116">
        <f>'P NP LAUT IKAN'!J44</f>
        <v>0</v>
      </c>
      <c r="BJ9" s="116">
        <f>'P NP LAUT IKAN'!C48</f>
        <v>0</v>
      </c>
      <c r="BK9" s="116">
        <f>'P NP LAUT IKAN'!D48</f>
        <v>0</v>
      </c>
      <c r="BL9" s="116">
        <f>'P NP LAUT IKAN'!C49</f>
        <v>0</v>
      </c>
      <c r="BM9" s="116">
        <f>'P NP LAUT IKAN'!D49</f>
        <v>0</v>
      </c>
      <c r="BN9" s="116">
        <f>'P NP LAUT IKAN'!C50</f>
        <v>0</v>
      </c>
      <c r="BO9" s="116">
        <f>'P NP LAUT IKAN'!D50</f>
        <v>0</v>
      </c>
      <c r="BP9" s="116">
        <f>'P NP LAUT IKAN'!C51</f>
        <v>0</v>
      </c>
      <c r="BQ9" s="116">
        <f>'P NP LAUT IKAN'!D51</f>
        <v>0</v>
      </c>
      <c r="BR9" s="116">
        <f>'P NP LAUT IKAN'!C52</f>
        <v>0</v>
      </c>
      <c r="BS9" s="116">
        <f>'P NP LAUT IKAN'!D52</f>
        <v>0</v>
      </c>
      <c r="BT9" s="116">
        <f>'P NP LAUT IKAN'!C53</f>
        <v>0</v>
      </c>
      <c r="BU9" s="116">
        <f>'P NP LAUT IKAN'!D53</f>
        <v>0</v>
      </c>
      <c r="BV9" s="116">
        <f>'P NP LAUT IKAN'!C54</f>
        <v>0</v>
      </c>
      <c r="BW9" s="116">
        <f>'P NP LAUT IKAN'!D54</f>
        <v>0</v>
      </c>
      <c r="BX9" s="116">
        <f>'P NP LAUT IKAN'!C55</f>
        <v>0</v>
      </c>
      <c r="BY9" s="116">
        <f>'P NP LAUT IKAN'!D55</f>
        <v>0</v>
      </c>
    </row>
    <row r="10" spans="1:77">
      <c r="A10" s="260" t="s">
        <v>122</v>
      </c>
      <c r="B10" s="169">
        <f t="shared" si="2"/>
        <v>0</v>
      </c>
      <c r="C10" s="169">
        <f t="shared" si="3"/>
        <v>0</v>
      </c>
      <c r="D10" s="116">
        <f>'P NP LAUT IKAN'!K8</f>
        <v>0</v>
      </c>
      <c r="E10" s="116">
        <f>'P NP LAUT IKAN'!L8</f>
        <v>0</v>
      </c>
      <c r="F10" s="116">
        <f>'P NP LAUT IKAN'!K9</f>
        <v>0</v>
      </c>
      <c r="G10" s="116">
        <f>'P NP LAUT IKAN'!L9</f>
        <v>0</v>
      </c>
      <c r="H10" s="116">
        <f>'P NP LAUT IKAN'!K10</f>
        <v>0</v>
      </c>
      <c r="I10" s="116">
        <f>'P NP LAUT IKAN'!L10</f>
        <v>0</v>
      </c>
      <c r="J10" s="116">
        <f>'P NP LAUT IKAN'!K11</f>
        <v>0</v>
      </c>
      <c r="K10" s="116">
        <f>'P NP LAUT IKAN'!L11</f>
        <v>0</v>
      </c>
      <c r="L10" s="116">
        <f>'P NP LAUT IKAN'!K12</f>
        <v>0</v>
      </c>
      <c r="M10" s="116">
        <f>'P NP LAUT IKAN'!L12</f>
        <v>0</v>
      </c>
      <c r="N10" s="116">
        <f>'P NP LAUT IKAN'!K13</f>
        <v>0</v>
      </c>
      <c r="O10" s="116">
        <f>'P NP LAUT IKAN'!L13</f>
        <v>0</v>
      </c>
      <c r="P10" s="116">
        <f>'P NP LAUT IKAN'!K14</f>
        <v>0</v>
      </c>
      <c r="Q10" s="116">
        <f>'P NP LAUT IKAN'!L14</f>
        <v>0</v>
      </c>
      <c r="R10" s="116">
        <f>'P NP LAUT IKAN'!K15</f>
        <v>0</v>
      </c>
      <c r="S10" s="116">
        <f>'P NP LAUT IKAN'!L15</f>
        <v>0</v>
      </c>
      <c r="T10" s="116">
        <f>'P NP LAUT IKAN'!K16</f>
        <v>0</v>
      </c>
      <c r="U10" s="116">
        <f>'P NP LAUT IKAN'!L16</f>
        <v>0</v>
      </c>
      <c r="V10" s="116">
        <f>'P NP LAUT IKAN'!K17</f>
        <v>0</v>
      </c>
      <c r="W10" s="116">
        <f>'P NP LAUT IKAN'!L17</f>
        <v>0</v>
      </c>
      <c r="X10" s="116">
        <f>'P NP LAUT IKAN'!K18</f>
        <v>0</v>
      </c>
      <c r="Y10" s="116">
        <f>'P NP LAUT IKAN'!L18</f>
        <v>0</v>
      </c>
      <c r="Z10" s="116">
        <f>'P NP LAUT IKAN'!K19</f>
        <v>0</v>
      </c>
      <c r="AA10" s="116">
        <f>'P NP LAUT IKAN'!L19</f>
        <v>0</v>
      </c>
      <c r="AB10" s="116">
        <f>'P NP LAUT IKAN'!K20</f>
        <v>0</v>
      </c>
      <c r="AC10" s="116">
        <f>'P NP LAUT IKAN'!L20</f>
        <v>0</v>
      </c>
      <c r="AD10" s="116">
        <f>'P NP LAUT IKAN'!K21</f>
        <v>0</v>
      </c>
      <c r="AE10" s="116">
        <f>'P NP LAUT IKAN'!L21</f>
        <v>0</v>
      </c>
      <c r="AF10" s="116">
        <f>'P NP LAUT IKAN'!K22</f>
        <v>0</v>
      </c>
      <c r="AG10" s="116">
        <f>'P NP LAUT IKAN'!L22</f>
        <v>0</v>
      </c>
      <c r="AH10" s="116">
        <f>'P NP LAUT IKAN'!K23</f>
        <v>0</v>
      </c>
      <c r="AI10" s="116">
        <f>'P NP LAUT IKAN'!L23</f>
        <v>0</v>
      </c>
      <c r="AJ10" s="116">
        <f>'P NP LAUT IKAN'!K24</f>
        <v>0</v>
      </c>
      <c r="AK10" s="116">
        <f>'P NP LAUT IKAN'!L24</f>
        <v>0</v>
      </c>
      <c r="AL10" s="116">
        <f>'P NP LAUT IKAN'!K25</f>
        <v>0</v>
      </c>
      <c r="AM10" s="116">
        <f>'P NP LAUT IKAN'!L25</f>
        <v>0</v>
      </c>
      <c r="AN10" s="116">
        <f>'P NP LAUT IKAN'!K26</f>
        <v>0</v>
      </c>
      <c r="AO10" s="116">
        <f>'P NP LAUT IKAN'!L26</f>
        <v>0</v>
      </c>
      <c r="AP10" s="116">
        <f>'P NP LAUT IKAN'!K27</f>
        <v>0</v>
      </c>
      <c r="AQ10" s="116">
        <f>'P NP LAUT IKAN'!L27</f>
        <v>0</v>
      </c>
      <c r="AR10" s="116">
        <f>'P NP LAUT IKAN'!K28</f>
        <v>0</v>
      </c>
      <c r="AS10" s="116">
        <f>'P NP LAUT IKAN'!L28</f>
        <v>0</v>
      </c>
      <c r="AT10" s="116">
        <f>'P NP LAUT IKAN'!K29</f>
        <v>0</v>
      </c>
      <c r="AU10" s="116">
        <f>'P NP LAUT IKAN'!L29</f>
        <v>0</v>
      </c>
      <c r="AV10" s="116">
        <f>'P NP LAUT IKAN'!K30</f>
        <v>0</v>
      </c>
      <c r="AW10" s="116">
        <f>'P NP LAUT IKAN'!L30</f>
        <v>0</v>
      </c>
      <c r="AX10" s="116">
        <f>'P NP LAUT IKAN'!K31</f>
        <v>0</v>
      </c>
      <c r="AY10" s="116">
        <f>'P NP LAUT IKAN'!L31</f>
        <v>0</v>
      </c>
      <c r="AZ10" s="116">
        <f>'P NP LAUT IKAN'!K32</f>
        <v>0</v>
      </c>
      <c r="BA10" s="116">
        <f>'P NP LAUT IKAN'!L32</f>
        <v>0</v>
      </c>
      <c r="BB10" s="116">
        <f>'P NP LAUT IKAN'!K33</f>
        <v>0</v>
      </c>
      <c r="BC10" s="116">
        <f>'P NP LAUT IKAN'!L33</f>
        <v>0</v>
      </c>
      <c r="BD10" s="116">
        <f>'P NP LAUT IKAN'!K34</f>
        <v>0</v>
      </c>
      <c r="BE10" s="116">
        <f>'P NP LAUT IKAN'!L34</f>
        <v>0</v>
      </c>
      <c r="BF10" s="116">
        <f>'P NP LAUT IKAN'!K43</f>
        <v>0</v>
      </c>
      <c r="BG10" s="116">
        <f>'P NP LAUT IKAN'!L43</f>
        <v>0</v>
      </c>
      <c r="BH10" s="116">
        <f>'P NP LAUT IKAN'!K44</f>
        <v>0</v>
      </c>
      <c r="BI10" s="116">
        <f>'P NP LAUT IKAN'!L44</f>
        <v>0</v>
      </c>
      <c r="BJ10" s="116">
        <f>'P NP LAUT IKAN'!C49</f>
        <v>0</v>
      </c>
      <c r="BK10" s="116">
        <f>'P NP LAUT IKAN'!D49</f>
        <v>0</v>
      </c>
      <c r="BL10" s="116">
        <f>'P NP LAUT IKAN'!C50</f>
        <v>0</v>
      </c>
      <c r="BM10" s="116">
        <f>'P NP LAUT IKAN'!D50</f>
        <v>0</v>
      </c>
      <c r="BN10" s="116">
        <f>'P NP LAUT IKAN'!C51</f>
        <v>0</v>
      </c>
      <c r="BO10" s="116">
        <f>'P NP LAUT IKAN'!D51</f>
        <v>0</v>
      </c>
      <c r="BP10" s="116">
        <f>'P NP LAUT IKAN'!C52</f>
        <v>0</v>
      </c>
      <c r="BQ10" s="116">
        <f>'P NP LAUT IKAN'!D52</f>
        <v>0</v>
      </c>
      <c r="BR10" s="116">
        <f>'P NP LAUT IKAN'!C53</f>
        <v>0</v>
      </c>
      <c r="BS10" s="116">
        <f>'P NP LAUT IKAN'!D53</f>
        <v>0</v>
      </c>
      <c r="BT10" s="116">
        <f>'P NP LAUT IKAN'!C54</f>
        <v>0</v>
      </c>
      <c r="BU10" s="116">
        <f>'P NP LAUT IKAN'!D54</f>
        <v>0</v>
      </c>
      <c r="BV10" s="116">
        <f>'P NP LAUT IKAN'!C55</f>
        <v>0</v>
      </c>
      <c r="BW10" s="116">
        <f>'P NP LAUT IKAN'!D55</f>
        <v>0</v>
      </c>
      <c r="BX10" s="116">
        <f>'P NP LAUT IKAN'!C56</f>
        <v>0</v>
      </c>
      <c r="BY10" s="116">
        <f>'P NP LAUT IKAN'!D56</f>
        <v>0</v>
      </c>
    </row>
    <row r="11" spans="1:77">
      <c r="A11" s="260" t="s">
        <v>136</v>
      </c>
      <c r="B11" s="169">
        <f t="shared" si="2"/>
        <v>13740678.926078347</v>
      </c>
      <c r="C11" s="169">
        <f t="shared" si="3"/>
        <v>53413466.486336268</v>
      </c>
      <c r="D11" s="116">
        <f>'P NP LAUT IKAN'!M8</f>
        <v>0</v>
      </c>
      <c r="E11" s="116">
        <f>'P NP LAUT IKAN'!N8</f>
        <v>0</v>
      </c>
      <c r="F11" s="116">
        <f>'P NP LAUT IKAN'!M9</f>
        <v>0</v>
      </c>
      <c r="G11" s="116">
        <f>'P NP LAUT IKAN'!N9</f>
        <v>0</v>
      </c>
      <c r="H11" s="116">
        <f>'P NP LAUT IKAN'!M10</f>
        <v>0</v>
      </c>
      <c r="I11" s="116">
        <f>'P NP LAUT IKAN'!N10</f>
        <v>0</v>
      </c>
      <c r="J11" s="116">
        <f>'P NP LAUT IKAN'!M11</f>
        <v>0</v>
      </c>
      <c r="K11" s="116">
        <f>'P NP LAUT IKAN'!N11</f>
        <v>0</v>
      </c>
      <c r="L11" s="116">
        <f>'P NP LAUT IKAN'!M12</f>
        <v>0</v>
      </c>
      <c r="M11" s="116">
        <f>'P NP LAUT IKAN'!N12</f>
        <v>0</v>
      </c>
      <c r="N11" s="116">
        <f>'P NP LAUT IKAN'!M13</f>
        <v>0</v>
      </c>
      <c r="O11" s="116">
        <f>'P NP LAUT IKAN'!N13</f>
        <v>0</v>
      </c>
      <c r="P11" s="116">
        <f>'P NP LAUT IKAN'!M14</f>
        <v>0</v>
      </c>
      <c r="Q11" s="116">
        <f>'P NP LAUT IKAN'!N14</f>
        <v>0</v>
      </c>
      <c r="R11" s="116">
        <f>'P NP LAUT IKAN'!M15</f>
        <v>0</v>
      </c>
      <c r="S11" s="116">
        <f>'P NP LAUT IKAN'!N15</f>
        <v>0</v>
      </c>
      <c r="T11" s="116">
        <f>'P NP LAUT IKAN'!M16</f>
        <v>0</v>
      </c>
      <c r="U11" s="116">
        <f>'P NP LAUT IKAN'!N16</f>
        <v>0</v>
      </c>
      <c r="V11" s="116">
        <f>'P NP LAUT IKAN'!M17</f>
        <v>13740678.926078347</v>
      </c>
      <c r="W11" s="116">
        <f>'P NP LAUT IKAN'!N17</f>
        <v>53413466.486336268</v>
      </c>
      <c r="X11" s="116">
        <f>'P NP LAUT IKAN'!M18</f>
        <v>0</v>
      </c>
      <c r="Y11" s="116">
        <f>'P NP LAUT IKAN'!N18</f>
        <v>0</v>
      </c>
      <c r="Z11" s="116">
        <f>'P NP LAUT IKAN'!M19</f>
        <v>0</v>
      </c>
      <c r="AA11" s="116">
        <f>'P NP LAUT IKAN'!N19</f>
        <v>0</v>
      </c>
      <c r="AB11" s="116">
        <f>'P NP LAUT IKAN'!M20</f>
        <v>0</v>
      </c>
      <c r="AC11" s="116">
        <f>'P NP LAUT IKAN'!N20</f>
        <v>0</v>
      </c>
      <c r="AD11" s="116">
        <f>'P NP LAUT IKAN'!M21</f>
        <v>0</v>
      </c>
      <c r="AE11" s="116">
        <f>'P NP LAUT IKAN'!N21</f>
        <v>0</v>
      </c>
      <c r="AF11" s="116">
        <f>'P NP LAUT IKAN'!M22</f>
        <v>0</v>
      </c>
      <c r="AG11" s="116">
        <f>'P NP LAUT IKAN'!N22</f>
        <v>0</v>
      </c>
      <c r="AH11" s="116">
        <f>'P NP LAUT IKAN'!M23</f>
        <v>0</v>
      </c>
      <c r="AI11" s="116">
        <f>'P NP LAUT IKAN'!N23</f>
        <v>0</v>
      </c>
      <c r="AJ11" s="116">
        <f>'P NP LAUT IKAN'!M24</f>
        <v>0</v>
      </c>
      <c r="AK11" s="116">
        <f>'P NP LAUT IKAN'!N24</f>
        <v>0</v>
      </c>
      <c r="AL11" s="116">
        <f>'P NP LAUT IKAN'!M25</f>
        <v>0</v>
      </c>
      <c r="AM11" s="116">
        <f>'P NP LAUT IKAN'!N25</f>
        <v>0</v>
      </c>
      <c r="AN11" s="116">
        <f>'P NP LAUT IKAN'!M26</f>
        <v>0</v>
      </c>
      <c r="AO11" s="116">
        <f>'P NP LAUT IKAN'!N26</f>
        <v>0</v>
      </c>
      <c r="AP11" s="116">
        <f>'P NP LAUT IKAN'!M27</f>
        <v>0</v>
      </c>
      <c r="AQ11" s="116">
        <f>'P NP LAUT IKAN'!N27</f>
        <v>0</v>
      </c>
      <c r="AR11" s="116">
        <f>'P NP LAUT IKAN'!M28</f>
        <v>0</v>
      </c>
      <c r="AS11" s="116">
        <f>'P NP LAUT IKAN'!N28</f>
        <v>0</v>
      </c>
      <c r="AT11" s="116">
        <f>'P NP LAUT IKAN'!M29</f>
        <v>0</v>
      </c>
      <c r="AU11" s="116">
        <f>'P NP LAUT IKAN'!N29</f>
        <v>0</v>
      </c>
      <c r="AV11" s="116">
        <f>'P NP LAUT IKAN'!M30</f>
        <v>0</v>
      </c>
      <c r="AW11" s="116">
        <f>'P NP LAUT IKAN'!N30</f>
        <v>0</v>
      </c>
      <c r="AX11" s="116">
        <f>'P NP LAUT IKAN'!M31</f>
        <v>0</v>
      </c>
      <c r="AY11" s="116">
        <f>'P NP LAUT IKAN'!N31</f>
        <v>0</v>
      </c>
      <c r="AZ11" s="116">
        <f>'P NP LAUT IKAN'!M32</f>
        <v>0</v>
      </c>
      <c r="BA11" s="116">
        <f>'P NP LAUT IKAN'!N32</f>
        <v>0</v>
      </c>
      <c r="BB11" s="116">
        <f>'P NP LAUT IKAN'!M33</f>
        <v>0</v>
      </c>
      <c r="BC11" s="116">
        <f>'P NP LAUT IKAN'!N33</f>
        <v>0</v>
      </c>
      <c r="BD11" s="116">
        <f>'P NP LAUT IKAN'!M34</f>
        <v>0</v>
      </c>
      <c r="BE11" s="116">
        <f>'P NP LAUT IKAN'!N34</f>
        <v>0</v>
      </c>
      <c r="BF11" s="116">
        <f>'P NP LAUT IKAN'!M43</f>
        <v>0</v>
      </c>
      <c r="BG11" s="116">
        <f>'P NP LAUT IKAN'!N43</f>
        <v>0</v>
      </c>
      <c r="BH11" s="116">
        <f>'P NP LAUT IKAN'!M44</f>
        <v>0</v>
      </c>
      <c r="BI11" s="116">
        <f>'P NP LAUT IKAN'!N44</f>
        <v>0</v>
      </c>
      <c r="BJ11" s="116">
        <f>'P NP LAUT IKAN'!C50</f>
        <v>0</v>
      </c>
      <c r="BK11" s="116">
        <f>'P NP LAUT IKAN'!D50</f>
        <v>0</v>
      </c>
      <c r="BL11" s="116">
        <f>'P NP LAUT IKAN'!C51</f>
        <v>0</v>
      </c>
      <c r="BM11" s="116">
        <f>'P NP LAUT IKAN'!D51</f>
        <v>0</v>
      </c>
      <c r="BN11" s="116">
        <f>'P NP LAUT IKAN'!C52</f>
        <v>0</v>
      </c>
      <c r="BO11" s="116">
        <f>'P NP LAUT IKAN'!D52</f>
        <v>0</v>
      </c>
      <c r="BP11" s="116">
        <f>'P NP LAUT IKAN'!C53</f>
        <v>0</v>
      </c>
      <c r="BQ11" s="116">
        <f>'P NP LAUT IKAN'!D53</f>
        <v>0</v>
      </c>
      <c r="BR11" s="116">
        <f>'P NP LAUT IKAN'!C54</f>
        <v>0</v>
      </c>
      <c r="BS11" s="116">
        <f>'P NP LAUT IKAN'!D54</f>
        <v>0</v>
      </c>
      <c r="BT11" s="116">
        <f>'P NP LAUT IKAN'!C55</f>
        <v>0</v>
      </c>
      <c r="BU11" s="116">
        <f>'P NP LAUT IKAN'!D55</f>
        <v>0</v>
      </c>
      <c r="BV11" s="116">
        <f>'P NP LAUT IKAN'!C56</f>
        <v>0</v>
      </c>
      <c r="BW11" s="116">
        <f>'P NP LAUT IKAN'!D56</f>
        <v>0</v>
      </c>
      <c r="BX11" s="116">
        <f>'P NP LAUT IKAN'!C57</f>
        <v>0</v>
      </c>
      <c r="BY11" s="116">
        <f>'P NP LAUT IKAN'!D57</f>
        <v>0</v>
      </c>
    </row>
    <row r="12" spans="1:77">
      <c r="A12" s="260" t="s">
        <v>120</v>
      </c>
      <c r="B12" s="169">
        <f t="shared" si="2"/>
        <v>0</v>
      </c>
      <c r="C12" s="169">
        <f t="shared" si="3"/>
        <v>0</v>
      </c>
      <c r="D12" s="116">
        <f>'P NP LAUT IKAN'!O8</f>
        <v>0</v>
      </c>
      <c r="E12" s="116">
        <f>'P NP LAUT IKAN'!P8</f>
        <v>0</v>
      </c>
      <c r="F12" s="116">
        <f>'P NP LAUT IKAN'!O9</f>
        <v>0</v>
      </c>
      <c r="G12" s="116">
        <f>'P NP LAUT IKAN'!P9</f>
        <v>0</v>
      </c>
      <c r="H12" s="116">
        <f>'P NP LAUT IKAN'!O10</f>
        <v>0</v>
      </c>
      <c r="I12" s="116">
        <f>'P NP LAUT IKAN'!P10</f>
        <v>0</v>
      </c>
      <c r="J12" s="116">
        <f>'P NP LAUT IKAN'!O11</f>
        <v>0</v>
      </c>
      <c r="K12" s="116">
        <f>'P NP LAUT IKAN'!P11</f>
        <v>0</v>
      </c>
      <c r="L12" s="116">
        <f>'P NP LAUT IKAN'!O12</f>
        <v>0</v>
      </c>
      <c r="M12" s="116">
        <f>'P NP LAUT IKAN'!P12</f>
        <v>0</v>
      </c>
      <c r="N12" s="116">
        <f>'P NP LAUT IKAN'!O13</f>
        <v>0</v>
      </c>
      <c r="O12" s="116">
        <f>'P NP LAUT IKAN'!P13</f>
        <v>0</v>
      </c>
      <c r="P12" s="116">
        <f>'P NP LAUT IKAN'!O14</f>
        <v>0</v>
      </c>
      <c r="Q12" s="116">
        <f>'P NP LAUT IKAN'!P14</f>
        <v>0</v>
      </c>
      <c r="R12" s="116">
        <f>'P NP LAUT IKAN'!O15</f>
        <v>0</v>
      </c>
      <c r="S12" s="116">
        <f>'P NP LAUT IKAN'!P15</f>
        <v>0</v>
      </c>
      <c r="T12" s="116">
        <f>'P NP LAUT IKAN'!O16</f>
        <v>0</v>
      </c>
      <c r="U12" s="116">
        <f>'P NP LAUT IKAN'!P16</f>
        <v>0</v>
      </c>
      <c r="V12" s="116">
        <f>'P NP LAUT IKAN'!O17</f>
        <v>0</v>
      </c>
      <c r="W12" s="116">
        <f>'P NP LAUT IKAN'!P17</f>
        <v>0</v>
      </c>
      <c r="X12" s="116">
        <f>'P NP LAUT IKAN'!O18</f>
        <v>0</v>
      </c>
      <c r="Y12" s="116">
        <f>'P NP LAUT IKAN'!P18</f>
        <v>0</v>
      </c>
      <c r="Z12" s="116">
        <f>'P NP LAUT IKAN'!O19</f>
        <v>0</v>
      </c>
      <c r="AA12" s="116">
        <f>'P NP LAUT IKAN'!P19</f>
        <v>0</v>
      </c>
      <c r="AB12" s="116">
        <f>'P NP LAUT IKAN'!O20</f>
        <v>0</v>
      </c>
      <c r="AC12" s="116">
        <f>'P NP LAUT IKAN'!P20</f>
        <v>0</v>
      </c>
      <c r="AD12" s="116">
        <f>'P NP LAUT IKAN'!O21</f>
        <v>0</v>
      </c>
      <c r="AE12" s="116">
        <f>'P NP LAUT IKAN'!P21</f>
        <v>0</v>
      </c>
      <c r="AF12" s="116">
        <f>'P NP LAUT IKAN'!O22</f>
        <v>0</v>
      </c>
      <c r="AG12" s="116">
        <f>'P NP LAUT IKAN'!P22</f>
        <v>0</v>
      </c>
      <c r="AH12" s="116">
        <f>'P NP LAUT IKAN'!O23</f>
        <v>0</v>
      </c>
      <c r="AI12" s="116">
        <f>'P NP LAUT IKAN'!P23</f>
        <v>0</v>
      </c>
      <c r="AJ12" s="116">
        <f>'P NP LAUT IKAN'!O24</f>
        <v>0</v>
      </c>
      <c r="AK12" s="116">
        <f>'P NP LAUT IKAN'!P24</f>
        <v>0</v>
      </c>
      <c r="AL12" s="116">
        <f>'P NP LAUT IKAN'!O25</f>
        <v>0</v>
      </c>
      <c r="AM12" s="116">
        <f>'P NP LAUT IKAN'!P25</f>
        <v>0</v>
      </c>
      <c r="AN12" s="116">
        <f>'P NP LAUT IKAN'!O26</f>
        <v>0</v>
      </c>
      <c r="AO12" s="116">
        <f>'P NP LAUT IKAN'!P26</f>
        <v>0</v>
      </c>
      <c r="AP12" s="116">
        <f>'P NP LAUT IKAN'!O27</f>
        <v>0</v>
      </c>
      <c r="AQ12" s="116">
        <f>'P NP LAUT IKAN'!P27</f>
        <v>0</v>
      </c>
      <c r="AR12" s="116">
        <f>'P NP LAUT IKAN'!O28</f>
        <v>0</v>
      </c>
      <c r="AS12" s="116">
        <f>'P NP LAUT IKAN'!P28</f>
        <v>0</v>
      </c>
      <c r="AT12" s="116">
        <f>'P NP LAUT IKAN'!O29</f>
        <v>0</v>
      </c>
      <c r="AU12" s="116">
        <f>'P NP LAUT IKAN'!P29</f>
        <v>0</v>
      </c>
      <c r="AV12" s="116">
        <f>'P NP LAUT IKAN'!O30</f>
        <v>0</v>
      </c>
      <c r="AW12" s="116">
        <f>'P NP LAUT IKAN'!P30</f>
        <v>0</v>
      </c>
      <c r="AX12" s="116">
        <f>'P NP LAUT IKAN'!O31</f>
        <v>0</v>
      </c>
      <c r="AY12" s="116">
        <f>'P NP LAUT IKAN'!P31</f>
        <v>0</v>
      </c>
      <c r="AZ12" s="116">
        <f>'P NP LAUT IKAN'!O32</f>
        <v>0</v>
      </c>
      <c r="BA12" s="116">
        <f>'P NP LAUT IKAN'!P32</f>
        <v>0</v>
      </c>
      <c r="BB12" s="116">
        <f>'P NP LAUT IKAN'!O33</f>
        <v>0</v>
      </c>
      <c r="BC12" s="116">
        <f>'P NP LAUT IKAN'!P33</f>
        <v>0</v>
      </c>
      <c r="BD12" s="116">
        <f>'P NP LAUT IKAN'!O34</f>
        <v>0</v>
      </c>
      <c r="BE12" s="116">
        <f>'P NP LAUT IKAN'!P34</f>
        <v>0</v>
      </c>
      <c r="BF12" s="116">
        <f>'P NP LAUT IKAN'!O43</f>
        <v>0</v>
      </c>
      <c r="BG12" s="116">
        <f>'P NP LAUT IKAN'!P43</f>
        <v>0</v>
      </c>
      <c r="BH12" s="116">
        <f>'P NP LAUT IKAN'!O44</f>
        <v>0</v>
      </c>
      <c r="BI12" s="116">
        <f>'P NP LAUT IKAN'!P44</f>
        <v>0</v>
      </c>
      <c r="BJ12" s="116">
        <f>'P NP LAUT IKAN'!C51</f>
        <v>0</v>
      </c>
      <c r="BK12" s="116">
        <f>'P NP LAUT IKAN'!D51</f>
        <v>0</v>
      </c>
      <c r="BL12" s="116">
        <f>'P NP LAUT IKAN'!C52</f>
        <v>0</v>
      </c>
      <c r="BM12" s="116">
        <f>'P NP LAUT IKAN'!D52</f>
        <v>0</v>
      </c>
      <c r="BN12" s="116">
        <f>'P NP LAUT IKAN'!C53</f>
        <v>0</v>
      </c>
      <c r="BO12" s="116">
        <f>'P NP LAUT IKAN'!D53</f>
        <v>0</v>
      </c>
      <c r="BP12" s="116">
        <f>'P NP LAUT IKAN'!C54</f>
        <v>0</v>
      </c>
      <c r="BQ12" s="116">
        <f>'P NP LAUT IKAN'!D54</f>
        <v>0</v>
      </c>
      <c r="BR12" s="116">
        <f>'P NP LAUT IKAN'!C55</f>
        <v>0</v>
      </c>
      <c r="BS12" s="116">
        <f>'P NP LAUT IKAN'!D55</f>
        <v>0</v>
      </c>
      <c r="BT12" s="116">
        <f>'P NP LAUT IKAN'!C56</f>
        <v>0</v>
      </c>
      <c r="BU12" s="116">
        <f>'P NP LAUT IKAN'!D56</f>
        <v>0</v>
      </c>
      <c r="BV12" s="116">
        <f>'P NP LAUT IKAN'!C57</f>
        <v>0</v>
      </c>
      <c r="BW12" s="116">
        <f>'P NP LAUT IKAN'!D57</f>
        <v>0</v>
      </c>
      <c r="BX12" s="116">
        <f>'P NP LAUT IKAN'!C58</f>
        <v>0</v>
      </c>
      <c r="BY12" s="116">
        <f>'P NP LAUT IKAN'!D58</f>
        <v>0</v>
      </c>
    </row>
    <row r="13" spans="1:77">
      <c r="A13" s="260" t="s">
        <v>128</v>
      </c>
      <c r="B13" s="169">
        <f t="shared" si="2"/>
        <v>0</v>
      </c>
      <c r="C13" s="169">
        <f t="shared" si="3"/>
        <v>0</v>
      </c>
      <c r="D13" s="116">
        <f>'P NP LAUT IKAN'!Q8</f>
        <v>0</v>
      </c>
      <c r="E13" s="116">
        <f>'P NP LAUT IKAN'!R8</f>
        <v>0</v>
      </c>
      <c r="F13" s="116">
        <f>'P NP LAUT IKAN'!Q9</f>
        <v>0</v>
      </c>
      <c r="G13" s="116">
        <f>'P NP LAUT IKAN'!R9</f>
        <v>0</v>
      </c>
      <c r="H13" s="116">
        <f>'P NP LAUT IKAN'!Q10</f>
        <v>0</v>
      </c>
      <c r="I13" s="116">
        <f>'P NP LAUT IKAN'!R10</f>
        <v>0</v>
      </c>
      <c r="J13" s="116">
        <f>'P NP LAUT IKAN'!Q11</f>
        <v>0</v>
      </c>
      <c r="K13" s="116">
        <f>'P NP LAUT IKAN'!R11</f>
        <v>0</v>
      </c>
      <c r="L13" s="116">
        <f>'P NP LAUT IKAN'!Q12</f>
        <v>0</v>
      </c>
      <c r="M13" s="116">
        <f>'P NP LAUT IKAN'!R12</f>
        <v>0</v>
      </c>
      <c r="N13" s="116">
        <f>'P NP LAUT IKAN'!Q13</f>
        <v>0</v>
      </c>
      <c r="O13" s="116">
        <f>'P NP LAUT IKAN'!R13</f>
        <v>0</v>
      </c>
      <c r="P13" s="116">
        <f>'P NP LAUT IKAN'!Q14</f>
        <v>0</v>
      </c>
      <c r="Q13" s="116">
        <f>'P NP LAUT IKAN'!R14</f>
        <v>0</v>
      </c>
      <c r="R13" s="116">
        <f>'P NP LAUT IKAN'!Q15</f>
        <v>0</v>
      </c>
      <c r="S13" s="116">
        <f>'P NP LAUT IKAN'!R15</f>
        <v>0</v>
      </c>
      <c r="T13" s="116">
        <f>'P NP LAUT IKAN'!Q16</f>
        <v>0</v>
      </c>
      <c r="U13" s="116">
        <f>'P NP LAUT IKAN'!R16</f>
        <v>0</v>
      </c>
      <c r="V13" s="116">
        <f>'P NP LAUT IKAN'!Q17</f>
        <v>0</v>
      </c>
      <c r="W13" s="116">
        <f>'P NP LAUT IKAN'!R17</f>
        <v>0</v>
      </c>
      <c r="X13" s="116">
        <f>'P NP LAUT IKAN'!Q18</f>
        <v>0</v>
      </c>
      <c r="Y13" s="116">
        <f>'P NP LAUT IKAN'!R18</f>
        <v>0</v>
      </c>
      <c r="Z13" s="116">
        <f>'P NP LAUT IKAN'!Q19</f>
        <v>0</v>
      </c>
      <c r="AA13" s="116">
        <f>'P NP LAUT IKAN'!R19</f>
        <v>0</v>
      </c>
      <c r="AB13" s="116">
        <f>'P NP LAUT IKAN'!Q20</f>
        <v>0</v>
      </c>
      <c r="AC13" s="116">
        <f>'P NP LAUT IKAN'!R20</f>
        <v>0</v>
      </c>
      <c r="AD13" s="116">
        <f>'P NP LAUT IKAN'!Q21</f>
        <v>0</v>
      </c>
      <c r="AE13" s="116">
        <f>'P NP LAUT IKAN'!R21</f>
        <v>0</v>
      </c>
      <c r="AF13" s="116">
        <f>'P NP LAUT IKAN'!Q22</f>
        <v>0</v>
      </c>
      <c r="AG13" s="116">
        <f>'P NP LAUT IKAN'!R22</f>
        <v>0</v>
      </c>
      <c r="AH13" s="116">
        <f>'P NP LAUT IKAN'!Q23</f>
        <v>0</v>
      </c>
      <c r="AI13" s="116">
        <f>'P NP LAUT IKAN'!R23</f>
        <v>0</v>
      </c>
      <c r="AJ13" s="116">
        <f>'P NP LAUT IKAN'!Q24</f>
        <v>0</v>
      </c>
      <c r="AK13" s="116">
        <f>'P NP LAUT IKAN'!R24</f>
        <v>0</v>
      </c>
      <c r="AL13" s="116">
        <f>'P NP LAUT IKAN'!Q25</f>
        <v>0</v>
      </c>
      <c r="AM13" s="116">
        <f>'P NP LAUT IKAN'!R25</f>
        <v>0</v>
      </c>
      <c r="AN13" s="116">
        <f>'P NP LAUT IKAN'!Q26</f>
        <v>0</v>
      </c>
      <c r="AO13" s="116">
        <f>'P NP LAUT IKAN'!R26</f>
        <v>0</v>
      </c>
      <c r="AP13" s="116">
        <f>'P NP LAUT IKAN'!Q27</f>
        <v>0</v>
      </c>
      <c r="AQ13" s="116">
        <f>'P NP LAUT IKAN'!R27</f>
        <v>0</v>
      </c>
      <c r="AR13" s="116">
        <f>'P NP LAUT IKAN'!Q28</f>
        <v>0</v>
      </c>
      <c r="AS13" s="116">
        <f>'P NP LAUT IKAN'!R28</f>
        <v>0</v>
      </c>
      <c r="AT13" s="116">
        <f>'P NP LAUT IKAN'!Q29</f>
        <v>0</v>
      </c>
      <c r="AU13" s="116">
        <f>'P NP LAUT IKAN'!R29</f>
        <v>0</v>
      </c>
      <c r="AV13" s="116">
        <f>'P NP LAUT IKAN'!Q30</f>
        <v>0</v>
      </c>
      <c r="AW13" s="116">
        <f>'P NP LAUT IKAN'!R30</f>
        <v>0</v>
      </c>
      <c r="AX13" s="116">
        <f>'P NP LAUT IKAN'!Q31</f>
        <v>0</v>
      </c>
      <c r="AY13" s="116">
        <f>'P NP LAUT IKAN'!R31</f>
        <v>0</v>
      </c>
      <c r="AZ13" s="116">
        <f>'P NP LAUT IKAN'!Q32</f>
        <v>0</v>
      </c>
      <c r="BA13" s="116">
        <f>'P NP LAUT IKAN'!R32</f>
        <v>0</v>
      </c>
      <c r="BB13" s="116">
        <f>'P NP LAUT IKAN'!Q33</f>
        <v>0</v>
      </c>
      <c r="BC13" s="116">
        <f>'P NP LAUT IKAN'!R33</f>
        <v>0</v>
      </c>
      <c r="BD13" s="116">
        <f>'P NP LAUT IKAN'!Q34</f>
        <v>0</v>
      </c>
      <c r="BE13" s="116">
        <f>'P NP LAUT IKAN'!R34</f>
        <v>0</v>
      </c>
      <c r="BF13" s="116">
        <f>'P NP LAUT IKAN'!Q43</f>
        <v>0</v>
      </c>
      <c r="BG13" s="116">
        <f>'P NP LAUT IKAN'!R43</f>
        <v>0</v>
      </c>
      <c r="BH13" s="116">
        <f>'P NP LAUT IKAN'!Q44</f>
        <v>0</v>
      </c>
      <c r="BI13" s="116">
        <f>'P NP LAUT IKAN'!R44</f>
        <v>0</v>
      </c>
      <c r="BJ13" s="116">
        <f>'P NP LAUT IKAN'!C52</f>
        <v>0</v>
      </c>
      <c r="BK13" s="116">
        <f>'P NP LAUT IKAN'!D52</f>
        <v>0</v>
      </c>
      <c r="BL13" s="116">
        <f>'P NP LAUT IKAN'!C53</f>
        <v>0</v>
      </c>
      <c r="BM13" s="116">
        <f>'P NP LAUT IKAN'!D53</f>
        <v>0</v>
      </c>
      <c r="BN13" s="116">
        <f>'P NP LAUT IKAN'!C54</f>
        <v>0</v>
      </c>
      <c r="BO13" s="116">
        <f>'P NP LAUT IKAN'!D54</f>
        <v>0</v>
      </c>
      <c r="BP13" s="116">
        <f>'P NP LAUT IKAN'!C55</f>
        <v>0</v>
      </c>
      <c r="BQ13" s="116">
        <f>'P NP LAUT IKAN'!D55</f>
        <v>0</v>
      </c>
      <c r="BR13" s="116">
        <f>'P NP LAUT IKAN'!C56</f>
        <v>0</v>
      </c>
      <c r="BS13" s="116">
        <f>'P NP LAUT IKAN'!D56</f>
        <v>0</v>
      </c>
      <c r="BT13" s="116">
        <f>'P NP LAUT IKAN'!C57</f>
        <v>0</v>
      </c>
      <c r="BU13" s="116">
        <f>'P NP LAUT IKAN'!D57</f>
        <v>0</v>
      </c>
      <c r="BV13" s="116">
        <f>'P NP LAUT IKAN'!C58</f>
        <v>0</v>
      </c>
      <c r="BW13" s="116">
        <f>'P NP LAUT IKAN'!D58</f>
        <v>0</v>
      </c>
      <c r="BX13" s="116">
        <f>'P NP LAUT IKAN'!C59</f>
        <v>0</v>
      </c>
      <c r="BY13" s="116">
        <f>'P NP LAUT IKAN'!D59</f>
        <v>0</v>
      </c>
    </row>
    <row r="14" spans="1:77">
      <c r="A14" s="260" t="s">
        <v>117</v>
      </c>
      <c r="B14" s="169">
        <f t="shared" si="2"/>
        <v>0</v>
      </c>
      <c r="C14" s="169">
        <f t="shared" si="3"/>
        <v>0</v>
      </c>
      <c r="D14" s="116">
        <f>'P NP LAUT IKAN'!S8</f>
        <v>0</v>
      </c>
      <c r="E14" s="116">
        <f>'P NP LAUT IKAN'!T8</f>
        <v>0</v>
      </c>
      <c r="F14" s="116">
        <f>'P NP LAUT IKAN'!S9</f>
        <v>0</v>
      </c>
      <c r="G14" s="116">
        <f>'P NP LAUT IKAN'!T9</f>
        <v>0</v>
      </c>
      <c r="H14" s="116">
        <f>'P NP LAUT IKAN'!S10</f>
        <v>0</v>
      </c>
      <c r="I14" s="116">
        <f>'P NP LAUT IKAN'!T10</f>
        <v>0</v>
      </c>
      <c r="J14" s="116">
        <f>'P NP LAUT IKAN'!S11</f>
        <v>0</v>
      </c>
      <c r="K14" s="116">
        <f>'P NP LAUT IKAN'!T11</f>
        <v>0</v>
      </c>
      <c r="L14" s="116">
        <f>'P NP LAUT IKAN'!S12</f>
        <v>0</v>
      </c>
      <c r="M14" s="116">
        <f>'P NP LAUT IKAN'!T12</f>
        <v>0</v>
      </c>
      <c r="N14" s="116">
        <f>'P NP LAUT IKAN'!S13</f>
        <v>0</v>
      </c>
      <c r="O14" s="116">
        <f>'P NP LAUT IKAN'!T13</f>
        <v>0</v>
      </c>
      <c r="P14" s="116">
        <f>'P NP LAUT IKAN'!S14</f>
        <v>0</v>
      </c>
      <c r="Q14" s="116">
        <f>'P NP LAUT IKAN'!T14</f>
        <v>0</v>
      </c>
      <c r="R14" s="116">
        <f>'P NP LAUT IKAN'!S15</f>
        <v>0</v>
      </c>
      <c r="S14" s="116">
        <f>'P NP LAUT IKAN'!T15</f>
        <v>0</v>
      </c>
      <c r="T14" s="116">
        <f>'P NP LAUT IKAN'!S16</f>
        <v>0</v>
      </c>
      <c r="U14" s="116">
        <f>'P NP LAUT IKAN'!T16</f>
        <v>0</v>
      </c>
      <c r="V14" s="116">
        <f>'P NP LAUT IKAN'!S17</f>
        <v>0</v>
      </c>
      <c r="W14" s="116">
        <f>'P NP LAUT IKAN'!T17</f>
        <v>0</v>
      </c>
      <c r="X14" s="116">
        <f>'P NP LAUT IKAN'!S18</f>
        <v>0</v>
      </c>
      <c r="Y14" s="116">
        <f>'P NP LAUT IKAN'!T18</f>
        <v>0</v>
      </c>
      <c r="Z14" s="116">
        <f>'P NP LAUT IKAN'!S19</f>
        <v>0</v>
      </c>
      <c r="AA14" s="116">
        <f>'P NP LAUT IKAN'!T19</f>
        <v>0</v>
      </c>
      <c r="AB14" s="116">
        <f>'P NP LAUT IKAN'!S20</f>
        <v>0</v>
      </c>
      <c r="AC14" s="116">
        <f>'P NP LAUT IKAN'!T20</f>
        <v>0</v>
      </c>
      <c r="AD14" s="116">
        <f>'P NP LAUT IKAN'!S21</f>
        <v>0</v>
      </c>
      <c r="AE14" s="116">
        <f>'P NP LAUT IKAN'!T21</f>
        <v>0</v>
      </c>
      <c r="AF14" s="116">
        <f>'P NP LAUT IKAN'!S22</f>
        <v>0</v>
      </c>
      <c r="AG14" s="116">
        <f>'P NP LAUT IKAN'!T22</f>
        <v>0</v>
      </c>
      <c r="AH14" s="116">
        <f>'P NP LAUT IKAN'!S23</f>
        <v>0</v>
      </c>
      <c r="AI14" s="116">
        <f>'P NP LAUT IKAN'!T23</f>
        <v>0</v>
      </c>
      <c r="AJ14" s="116">
        <f>'P NP LAUT IKAN'!S24</f>
        <v>0</v>
      </c>
      <c r="AK14" s="116">
        <f>'P NP LAUT IKAN'!T24</f>
        <v>0</v>
      </c>
      <c r="AL14" s="116">
        <f>'P NP LAUT IKAN'!S25</f>
        <v>0</v>
      </c>
      <c r="AM14" s="116">
        <f>'P NP LAUT IKAN'!T25</f>
        <v>0</v>
      </c>
      <c r="AN14" s="116">
        <f>'P NP LAUT IKAN'!S26</f>
        <v>0</v>
      </c>
      <c r="AO14" s="116">
        <f>'P NP LAUT IKAN'!T26</f>
        <v>0</v>
      </c>
      <c r="AP14" s="116">
        <f>'P NP LAUT IKAN'!S27</f>
        <v>0</v>
      </c>
      <c r="AQ14" s="116">
        <f>'P NP LAUT IKAN'!T27</f>
        <v>0</v>
      </c>
      <c r="AR14" s="116">
        <f>'P NP LAUT IKAN'!S28</f>
        <v>0</v>
      </c>
      <c r="AS14" s="116">
        <f>'P NP LAUT IKAN'!T28</f>
        <v>0</v>
      </c>
      <c r="AT14" s="116">
        <f>'P NP LAUT IKAN'!S29</f>
        <v>0</v>
      </c>
      <c r="AU14" s="116">
        <f>'P NP LAUT IKAN'!T29</f>
        <v>0</v>
      </c>
      <c r="AV14" s="116">
        <f>'P NP LAUT IKAN'!S30</f>
        <v>0</v>
      </c>
      <c r="AW14" s="116">
        <f>'P NP LAUT IKAN'!T30</f>
        <v>0</v>
      </c>
      <c r="AX14" s="116">
        <f>'P NP LAUT IKAN'!S31</f>
        <v>0</v>
      </c>
      <c r="AY14" s="116">
        <f>'P NP LAUT IKAN'!T31</f>
        <v>0</v>
      </c>
      <c r="AZ14" s="116">
        <f>'P NP LAUT IKAN'!S32</f>
        <v>0</v>
      </c>
      <c r="BA14" s="116">
        <f>'P NP LAUT IKAN'!T32</f>
        <v>0</v>
      </c>
      <c r="BB14" s="116">
        <f>'P NP LAUT IKAN'!S33</f>
        <v>0</v>
      </c>
      <c r="BC14" s="116">
        <f>'P NP LAUT IKAN'!T33</f>
        <v>0</v>
      </c>
      <c r="BD14" s="116">
        <f>'P NP LAUT IKAN'!S34</f>
        <v>0</v>
      </c>
      <c r="BE14" s="116">
        <f>'P NP LAUT IKAN'!T34</f>
        <v>0</v>
      </c>
      <c r="BF14" s="116">
        <f>'P NP LAUT IKAN'!S43</f>
        <v>0</v>
      </c>
      <c r="BG14" s="116">
        <f>'P NP LAUT IKAN'!T43</f>
        <v>0</v>
      </c>
      <c r="BH14" s="116">
        <f>'P NP LAUT IKAN'!S44</f>
        <v>0</v>
      </c>
      <c r="BI14" s="116">
        <f>'P NP LAUT IKAN'!T44</f>
        <v>0</v>
      </c>
      <c r="BJ14" s="116">
        <f>'P NP LAUT IKAN'!C53</f>
        <v>0</v>
      </c>
      <c r="BK14" s="116">
        <f>'P NP LAUT IKAN'!D53</f>
        <v>0</v>
      </c>
      <c r="BL14" s="116">
        <f>'P NP LAUT IKAN'!C54</f>
        <v>0</v>
      </c>
      <c r="BM14" s="116">
        <f>'P NP LAUT IKAN'!D54</f>
        <v>0</v>
      </c>
      <c r="BN14" s="116">
        <f>'P NP LAUT IKAN'!C55</f>
        <v>0</v>
      </c>
      <c r="BO14" s="116">
        <f>'P NP LAUT IKAN'!D55</f>
        <v>0</v>
      </c>
      <c r="BP14" s="116">
        <f>'P NP LAUT IKAN'!C56</f>
        <v>0</v>
      </c>
      <c r="BQ14" s="116">
        <f>'P NP LAUT IKAN'!D56</f>
        <v>0</v>
      </c>
      <c r="BR14" s="116">
        <f>'P NP LAUT IKAN'!C57</f>
        <v>0</v>
      </c>
      <c r="BS14" s="116">
        <f>'P NP LAUT IKAN'!D57</f>
        <v>0</v>
      </c>
      <c r="BT14" s="116">
        <f>'P NP LAUT IKAN'!C58</f>
        <v>0</v>
      </c>
      <c r="BU14" s="116">
        <f>'P NP LAUT IKAN'!D58</f>
        <v>0</v>
      </c>
      <c r="BV14" s="116">
        <f>'P NP LAUT IKAN'!C59</f>
        <v>0</v>
      </c>
      <c r="BW14" s="116">
        <f>'P NP LAUT IKAN'!D59</f>
        <v>0</v>
      </c>
      <c r="BX14" s="116">
        <f>'P NP LAUT IKAN'!C60</f>
        <v>0</v>
      </c>
      <c r="BY14" s="116">
        <f>'P NP LAUT IKAN'!D60</f>
        <v>0</v>
      </c>
    </row>
    <row r="15" spans="1:77">
      <c r="A15" s="260" t="s">
        <v>135</v>
      </c>
      <c r="B15" s="169">
        <f t="shared" si="2"/>
        <v>0</v>
      </c>
      <c r="C15" s="169">
        <f t="shared" si="3"/>
        <v>0</v>
      </c>
      <c r="D15" s="116">
        <f>'P NP LAUT IKAN'!U8</f>
        <v>0</v>
      </c>
      <c r="E15" s="116">
        <f>'P NP LAUT IKAN'!V8</f>
        <v>0</v>
      </c>
      <c r="F15" s="116">
        <f>'P NP LAUT IKAN'!U9</f>
        <v>0</v>
      </c>
      <c r="G15" s="116">
        <f>'P NP LAUT IKAN'!V9</f>
        <v>0</v>
      </c>
      <c r="H15" s="116">
        <f>'P NP LAUT IKAN'!U10</f>
        <v>0</v>
      </c>
      <c r="I15" s="116">
        <f>'P NP LAUT IKAN'!V10</f>
        <v>0</v>
      </c>
      <c r="J15" s="116">
        <f>'P NP LAUT IKAN'!U11</f>
        <v>0</v>
      </c>
      <c r="K15" s="116">
        <f>'P NP LAUT IKAN'!V11</f>
        <v>0</v>
      </c>
      <c r="L15" s="116">
        <f>'P NP LAUT IKAN'!U12</f>
        <v>0</v>
      </c>
      <c r="M15" s="116">
        <f>'P NP LAUT IKAN'!V12</f>
        <v>0</v>
      </c>
      <c r="N15" s="116">
        <f>'P NP LAUT IKAN'!U13</f>
        <v>0</v>
      </c>
      <c r="O15" s="116">
        <f>'P NP LAUT IKAN'!V13</f>
        <v>0</v>
      </c>
      <c r="P15" s="116">
        <f>'P NP LAUT IKAN'!U14</f>
        <v>0</v>
      </c>
      <c r="Q15" s="116">
        <f>'P NP LAUT IKAN'!V14</f>
        <v>0</v>
      </c>
      <c r="R15" s="116">
        <f>'P NP LAUT IKAN'!U15</f>
        <v>0</v>
      </c>
      <c r="S15" s="116">
        <f>'P NP LAUT IKAN'!V15</f>
        <v>0</v>
      </c>
      <c r="T15" s="116">
        <f>'P NP LAUT IKAN'!U16</f>
        <v>0</v>
      </c>
      <c r="U15" s="116">
        <f>'P NP LAUT IKAN'!V16</f>
        <v>0</v>
      </c>
      <c r="V15" s="116">
        <f>'P NP LAUT IKAN'!U17</f>
        <v>0</v>
      </c>
      <c r="W15" s="116">
        <f>'P NP LAUT IKAN'!V17</f>
        <v>0</v>
      </c>
      <c r="X15" s="116">
        <f>'P NP LAUT IKAN'!U18</f>
        <v>0</v>
      </c>
      <c r="Y15" s="116">
        <f>'P NP LAUT IKAN'!V18</f>
        <v>0</v>
      </c>
      <c r="Z15" s="116">
        <f>'P NP LAUT IKAN'!U19</f>
        <v>0</v>
      </c>
      <c r="AA15" s="116">
        <f>'P NP LAUT IKAN'!V19</f>
        <v>0</v>
      </c>
      <c r="AB15" s="116">
        <f>'P NP LAUT IKAN'!U20</f>
        <v>0</v>
      </c>
      <c r="AC15" s="116">
        <f>'P NP LAUT IKAN'!V20</f>
        <v>0</v>
      </c>
      <c r="AD15" s="116">
        <f>'P NP LAUT IKAN'!U21</f>
        <v>0</v>
      </c>
      <c r="AE15" s="116">
        <f>'P NP LAUT IKAN'!V21</f>
        <v>0</v>
      </c>
      <c r="AF15" s="116">
        <f>'P NP LAUT IKAN'!U22</f>
        <v>0</v>
      </c>
      <c r="AG15" s="116">
        <f>'P NP LAUT IKAN'!V22</f>
        <v>0</v>
      </c>
      <c r="AH15" s="116">
        <f>'P NP LAUT IKAN'!U23</f>
        <v>0</v>
      </c>
      <c r="AI15" s="116">
        <f>'P NP LAUT IKAN'!V23</f>
        <v>0</v>
      </c>
      <c r="AJ15" s="116">
        <f>'P NP LAUT IKAN'!U24</f>
        <v>0</v>
      </c>
      <c r="AK15" s="116">
        <f>'P NP LAUT IKAN'!V24</f>
        <v>0</v>
      </c>
      <c r="AL15" s="116">
        <f>'P NP LAUT IKAN'!U25</f>
        <v>0</v>
      </c>
      <c r="AM15" s="116">
        <f>'P NP LAUT IKAN'!V25</f>
        <v>0</v>
      </c>
      <c r="AN15" s="116">
        <f>'P NP LAUT IKAN'!U26</f>
        <v>0</v>
      </c>
      <c r="AO15" s="116">
        <f>'P NP LAUT IKAN'!V26</f>
        <v>0</v>
      </c>
      <c r="AP15" s="116">
        <f>'P NP LAUT IKAN'!U27</f>
        <v>0</v>
      </c>
      <c r="AQ15" s="116">
        <f>'P NP LAUT IKAN'!V27</f>
        <v>0</v>
      </c>
      <c r="AR15" s="116">
        <f>'P NP LAUT IKAN'!U28</f>
        <v>0</v>
      </c>
      <c r="AS15" s="116">
        <f>'P NP LAUT IKAN'!V28</f>
        <v>0</v>
      </c>
      <c r="AT15" s="116">
        <f>'P NP LAUT IKAN'!U29</f>
        <v>0</v>
      </c>
      <c r="AU15" s="116">
        <f>'P NP LAUT IKAN'!V29</f>
        <v>0</v>
      </c>
      <c r="AV15" s="116">
        <f>'P NP LAUT IKAN'!U30</f>
        <v>0</v>
      </c>
      <c r="AW15" s="116">
        <f>'P NP LAUT IKAN'!V30</f>
        <v>0</v>
      </c>
      <c r="AX15" s="116">
        <f>'P NP LAUT IKAN'!U31</f>
        <v>0</v>
      </c>
      <c r="AY15" s="116">
        <f>'P NP LAUT IKAN'!V31</f>
        <v>0</v>
      </c>
      <c r="AZ15" s="116">
        <f>'P NP LAUT IKAN'!U32</f>
        <v>0</v>
      </c>
      <c r="BA15" s="116">
        <f>'P NP LAUT IKAN'!V32</f>
        <v>0</v>
      </c>
      <c r="BB15" s="116">
        <f>'P NP LAUT IKAN'!U33</f>
        <v>0</v>
      </c>
      <c r="BC15" s="116">
        <f>'P NP LAUT IKAN'!V33</f>
        <v>0</v>
      </c>
      <c r="BD15" s="116">
        <f>'P NP LAUT IKAN'!U34</f>
        <v>0</v>
      </c>
      <c r="BE15" s="116">
        <f>'P NP LAUT IKAN'!V34</f>
        <v>0</v>
      </c>
      <c r="BF15" s="116">
        <f>'P NP LAUT IKAN'!U43</f>
        <v>0</v>
      </c>
      <c r="BG15" s="116">
        <f>'P NP LAUT IKAN'!V43</f>
        <v>0</v>
      </c>
      <c r="BH15" s="116">
        <f>'P NP LAUT IKAN'!U44</f>
        <v>0</v>
      </c>
      <c r="BI15" s="116">
        <f>'P NP LAUT IKAN'!V44</f>
        <v>0</v>
      </c>
      <c r="BJ15" s="116">
        <f>'P NP LAUT IKAN'!C54</f>
        <v>0</v>
      </c>
      <c r="BK15" s="116">
        <f>'P NP LAUT IKAN'!D54</f>
        <v>0</v>
      </c>
      <c r="BL15" s="116">
        <f>'P NP LAUT IKAN'!C55</f>
        <v>0</v>
      </c>
      <c r="BM15" s="116">
        <f>'P NP LAUT IKAN'!D55</f>
        <v>0</v>
      </c>
      <c r="BN15" s="116">
        <f>'P NP LAUT IKAN'!C56</f>
        <v>0</v>
      </c>
      <c r="BO15" s="116">
        <f>'P NP LAUT IKAN'!D56</f>
        <v>0</v>
      </c>
      <c r="BP15" s="116">
        <f>'P NP LAUT IKAN'!C57</f>
        <v>0</v>
      </c>
      <c r="BQ15" s="116">
        <f>'P NP LAUT IKAN'!D57</f>
        <v>0</v>
      </c>
      <c r="BR15" s="116">
        <f>'P NP LAUT IKAN'!C58</f>
        <v>0</v>
      </c>
      <c r="BS15" s="116">
        <f>'P NP LAUT IKAN'!D58</f>
        <v>0</v>
      </c>
      <c r="BT15" s="116">
        <f>'P NP LAUT IKAN'!C59</f>
        <v>0</v>
      </c>
      <c r="BU15" s="116">
        <f>'P NP LAUT IKAN'!D59</f>
        <v>0</v>
      </c>
      <c r="BV15" s="116">
        <f>'P NP LAUT IKAN'!C60</f>
        <v>0</v>
      </c>
      <c r="BW15" s="116">
        <f>'P NP LAUT IKAN'!D60</f>
        <v>0</v>
      </c>
      <c r="BX15" s="116">
        <f>'P NP LAUT IKAN'!C61</f>
        <v>0</v>
      </c>
      <c r="BY15" s="116">
        <f>'P NP LAUT IKAN'!D61</f>
        <v>0</v>
      </c>
    </row>
    <row r="16" spans="1:77">
      <c r="A16" s="260" t="s">
        <v>119</v>
      </c>
      <c r="B16" s="169">
        <f t="shared" si="2"/>
        <v>0</v>
      </c>
      <c r="C16" s="169">
        <f t="shared" si="3"/>
        <v>0</v>
      </c>
      <c r="D16" s="116">
        <f>'P NP LAUT IKAN'!W8</f>
        <v>0</v>
      </c>
      <c r="E16" s="116">
        <f>'P NP LAUT IKAN'!X8</f>
        <v>0</v>
      </c>
      <c r="F16" s="116">
        <f>'P NP LAUT IKAN'!W9</f>
        <v>0</v>
      </c>
      <c r="G16" s="116">
        <f>'P NP LAUT IKAN'!X9</f>
        <v>0</v>
      </c>
      <c r="H16" s="116">
        <f>'P NP LAUT IKAN'!W10</f>
        <v>0</v>
      </c>
      <c r="I16" s="116">
        <f>'P NP LAUT IKAN'!X10</f>
        <v>0</v>
      </c>
      <c r="J16" s="116">
        <f>'P NP LAUT IKAN'!W11</f>
        <v>0</v>
      </c>
      <c r="K16" s="116">
        <f>'P NP LAUT IKAN'!X11</f>
        <v>0</v>
      </c>
      <c r="L16" s="116">
        <f>'P NP LAUT IKAN'!W12</f>
        <v>0</v>
      </c>
      <c r="M16" s="116">
        <f>'P NP LAUT IKAN'!X12</f>
        <v>0</v>
      </c>
      <c r="N16" s="116">
        <f>'P NP LAUT IKAN'!W13</f>
        <v>0</v>
      </c>
      <c r="O16" s="116">
        <f>'P NP LAUT IKAN'!X13</f>
        <v>0</v>
      </c>
      <c r="P16" s="116">
        <f>'P NP LAUT IKAN'!W14</f>
        <v>0</v>
      </c>
      <c r="Q16" s="116">
        <f>'P NP LAUT IKAN'!X14</f>
        <v>0</v>
      </c>
      <c r="R16" s="116">
        <f>'P NP LAUT IKAN'!W15</f>
        <v>0</v>
      </c>
      <c r="S16" s="116">
        <f>'P NP LAUT IKAN'!X15</f>
        <v>0</v>
      </c>
      <c r="T16" s="116">
        <f>'P NP LAUT IKAN'!W16</f>
        <v>0</v>
      </c>
      <c r="U16" s="116">
        <f>'P NP LAUT IKAN'!X16</f>
        <v>0</v>
      </c>
      <c r="V16" s="116">
        <f>'P NP LAUT IKAN'!W17</f>
        <v>0</v>
      </c>
      <c r="W16" s="116">
        <f>'P NP LAUT IKAN'!X17</f>
        <v>0</v>
      </c>
      <c r="X16" s="116">
        <f>'P NP LAUT IKAN'!W18</f>
        <v>0</v>
      </c>
      <c r="Y16" s="116">
        <f>'P NP LAUT IKAN'!X18</f>
        <v>0</v>
      </c>
      <c r="Z16" s="116">
        <f>'P NP LAUT IKAN'!W19</f>
        <v>0</v>
      </c>
      <c r="AA16" s="116">
        <f>'P NP LAUT IKAN'!X19</f>
        <v>0</v>
      </c>
      <c r="AB16" s="116">
        <f>'P NP LAUT IKAN'!W20</f>
        <v>0</v>
      </c>
      <c r="AC16" s="116">
        <f>'P NP LAUT IKAN'!X20</f>
        <v>0</v>
      </c>
      <c r="AD16" s="116">
        <f>'P NP LAUT IKAN'!W21</f>
        <v>0</v>
      </c>
      <c r="AE16" s="116">
        <f>'P NP LAUT IKAN'!X21</f>
        <v>0</v>
      </c>
      <c r="AF16" s="116">
        <f>'P NP LAUT IKAN'!W22</f>
        <v>0</v>
      </c>
      <c r="AG16" s="116">
        <f>'P NP LAUT IKAN'!X22</f>
        <v>0</v>
      </c>
      <c r="AH16" s="116">
        <f>'P NP LAUT IKAN'!W23</f>
        <v>0</v>
      </c>
      <c r="AI16" s="116">
        <f>'P NP LAUT IKAN'!X23</f>
        <v>0</v>
      </c>
      <c r="AJ16" s="116">
        <f>'P NP LAUT IKAN'!W24</f>
        <v>0</v>
      </c>
      <c r="AK16" s="116">
        <f>'P NP LAUT IKAN'!X24</f>
        <v>0</v>
      </c>
      <c r="AL16" s="116">
        <f>'P NP LAUT IKAN'!W25</f>
        <v>0</v>
      </c>
      <c r="AM16" s="116">
        <f>'P NP LAUT IKAN'!X25</f>
        <v>0</v>
      </c>
      <c r="AN16" s="116">
        <f>'P NP LAUT IKAN'!W26</f>
        <v>0</v>
      </c>
      <c r="AO16" s="116">
        <f>'P NP LAUT IKAN'!X26</f>
        <v>0</v>
      </c>
      <c r="AP16" s="116">
        <f>'P NP LAUT IKAN'!W27</f>
        <v>0</v>
      </c>
      <c r="AQ16" s="116">
        <f>'P NP LAUT IKAN'!X27</f>
        <v>0</v>
      </c>
      <c r="AR16" s="116">
        <f>'P NP LAUT IKAN'!W28</f>
        <v>0</v>
      </c>
      <c r="AS16" s="116">
        <f>'P NP LAUT IKAN'!X28</f>
        <v>0</v>
      </c>
      <c r="AT16" s="116">
        <f>'P NP LAUT IKAN'!W29</f>
        <v>0</v>
      </c>
      <c r="AU16" s="116">
        <f>'P NP LAUT IKAN'!X29</f>
        <v>0</v>
      </c>
      <c r="AV16" s="116">
        <f>'P NP LAUT IKAN'!W30</f>
        <v>0</v>
      </c>
      <c r="AW16" s="116">
        <f>'P NP LAUT IKAN'!X30</f>
        <v>0</v>
      </c>
      <c r="AX16" s="116">
        <f>'P NP LAUT IKAN'!W31</f>
        <v>0</v>
      </c>
      <c r="AY16" s="116">
        <f>'P NP LAUT IKAN'!X31</f>
        <v>0</v>
      </c>
      <c r="AZ16" s="116">
        <f>'P NP LAUT IKAN'!W32</f>
        <v>0</v>
      </c>
      <c r="BA16" s="116">
        <f>'P NP LAUT IKAN'!X32</f>
        <v>0</v>
      </c>
      <c r="BB16" s="116">
        <f>'P NP LAUT IKAN'!W33</f>
        <v>0</v>
      </c>
      <c r="BC16" s="116">
        <f>'P NP LAUT IKAN'!X33</f>
        <v>0</v>
      </c>
      <c r="BD16" s="116">
        <f>'P NP LAUT IKAN'!W34</f>
        <v>0</v>
      </c>
      <c r="BE16" s="116">
        <f>'P NP LAUT IKAN'!X34</f>
        <v>0</v>
      </c>
      <c r="BF16" s="116">
        <f>'P NP LAUT IKAN'!W43</f>
        <v>0</v>
      </c>
      <c r="BG16" s="116">
        <f>'P NP LAUT IKAN'!X43</f>
        <v>0</v>
      </c>
      <c r="BH16" s="116">
        <f>'P NP LAUT IKAN'!W44</f>
        <v>0</v>
      </c>
      <c r="BI16" s="116">
        <f>'P NP LAUT IKAN'!X44</f>
        <v>0</v>
      </c>
      <c r="BJ16" s="116">
        <f>'P NP LAUT IKAN'!C55</f>
        <v>0</v>
      </c>
      <c r="BK16" s="116">
        <f>'P NP LAUT IKAN'!D55</f>
        <v>0</v>
      </c>
      <c r="BL16" s="116">
        <f>'P NP LAUT IKAN'!C56</f>
        <v>0</v>
      </c>
      <c r="BM16" s="116">
        <f>'P NP LAUT IKAN'!D56</f>
        <v>0</v>
      </c>
      <c r="BN16" s="116">
        <f>'P NP LAUT IKAN'!C57</f>
        <v>0</v>
      </c>
      <c r="BO16" s="116">
        <f>'P NP LAUT IKAN'!D57</f>
        <v>0</v>
      </c>
      <c r="BP16" s="116">
        <f>'P NP LAUT IKAN'!C58</f>
        <v>0</v>
      </c>
      <c r="BQ16" s="116">
        <f>'P NP LAUT IKAN'!D58</f>
        <v>0</v>
      </c>
      <c r="BR16" s="116">
        <f>'P NP LAUT IKAN'!C59</f>
        <v>0</v>
      </c>
      <c r="BS16" s="116">
        <f>'P NP LAUT IKAN'!D59</f>
        <v>0</v>
      </c>
      <c r="BT16" s="116">
        <f>'P NP LAUT IKAN'!C60</f>
        <v>0</v>
      </c>
      <c r="BU16" s="116">
        <f>'P NP LAUT IKAN'!D60</f>
        <v>0</v>
      </c>
      <c r="BV16" s="116">
        <f>'P NP LAUT IKAN'!C61</f>
        <v>0</v>
      </c>
      <c r="BW16" s="116">
        <f>'P NP LAUT IKAN'!D61</f>
        <v>0</v>
      </c>
      <c r="BX16" s="116">
        <f>'P NP LAUT IKAN'!C62</f>
        <v>0</v>
      </c>
      <c r="BY16" s="116">
        <f>'P NP LAUT IKAN'!D62</f>
        <v>0</v>
      </c>
    </row>
    <row r="17" spans="1:77">
      <c r="A17" s="260" t="s">
        <v>130</v>
      </c>
      <c r="B17" s="169">
        <f t="shared" si="2"/>
        <v>0</v>
      </c>
      <c r="C17" s="169">
        <f t="shared" si="3"/>
        <v>0</v>
      </c>
      <c r="D17" s="116">
        <f>'P NP LAUT IKAN'!Y8</f>
        <v>0</v>
      </c>
      <c r="E17" s="116">
        <f>'P NP LAUT IKAN'!Z8</f>
        <v>0</v>
      </c>
      <c r="F17" s="116">
        <f>'P NP LAUT IKAN'!Y9</f>
        <v>0</v>
      </c>
      <c r="G17" s="116">
        <f>'P NP LAUT IKAN'!Z9</f>
        <v>0</v>
      </c>
      <c r="H17" s="116">
        <f>'P NP LAUT IKAN'!Y10</f>
        <v>0</v>
      </c>
      <c r="I17" s="116">
        <f>'P NP LAUT IKAN'!Z10</f>
        <v>0</v>
      </c>
      <c r="J17" s="116">
        <f>'P NP LAUT IKAN'!Y11</f>
        <v>0</v>
      </c>
      <c r="K17" s="116">
        <f>'P NP LAUT IKAN'!Z11</f>
        <v>0</v>
      </c>
      <c r="L17" s="116">
        <f>'P NP LAUT IKAN'!Y12</f>
        <v>0</v>
      </c>
      <c r="M17" s="116">
        <f>'P NP LAUT IKAN'!Z12</f>
        <v>0</v>
      </c>
      <c r="N17" s="116">
        <f>'P NP LAUT IKAN'!Y13</f>
        <v>0</v>
      </c>
      <c r="O17" s="116">
        <f>'P NP LAUT IKAN'!Z13</f>
        <v>0</v>
      </c>
      <c r="P17" s="116">
        <f>'P NP LAUT IKAN'!Y14</f>
        <v>0</v>
      </c>
      <c r="Q17" s="116">
        <f>'P NP LAUT IKAN'!Z14</f>
        <v>0</v>
      </c>
      <c r="R17" s="116">
        <f>'P NP LAUT IKAN'!Y15</f>
        <v>0</v>
      </c>
      <c r="S17" s="116">
        <f>'P NP LAUT IKAN'!Z15</f>
        <v>0</v>
      </c>
      <c r="T17" s="116">
        <f>'P NP LAUT IKAN'!Y16</f>
        <v>0</v>
      </c>
      <c r="U17" s="116">
        <f>'P NP LAUT IKAN'!Z16</f>
        <v>0</v>
      </c>
      <c r="V17" s="116">
        <f>'P NP LAUT IKAN'!Y17</f>
        <v>0</v>
      </c>
      <c r="W17" s="116">
        <f>'P NP LAUT IKAN'!Z17</f>
        <v>0</v>
      </c>
      <c r="X17" s="116">
        <f>'P NP LAUT IKAN'!Y18</f>
        <v>0</v>
      </c>
      <c r="Y17" s="116">
        <f>'P NP LAUT IKAN'!Z18</f>
        <v>0</v>
      </c>
      <c r="Z17" s="116">
        <f>'P NP LAUT IKAN'!Y19</f>
        <v>0</v>
      </c>
      <c r="AA17" s="116">
        <f>'P NP LAUT IKAN'!Z19</f>
        <v>0</v>
      </c>
      <c r="AB17" s="116">
        <f>'P NP LAUT IKAN'!Y20</f>
        <v>0</v>
      </c>
      <c r="AC17" s="116">
        <f>'P NP LAUT IKAN'!Z20</f>
        <v>0</v>
      </c>
      <c r="AD17" s="116">
        <f>'P NP LAUT IKAN'!Y21</f>
        <v>0</v>
      </c>
      <c r="AE17" s="116">
        <f>'P NP LAUT IKAN'!Z21</f>
        <v>0</v>
      </c>
      <c r="AF17" s="116">
        <f>'P NP LAUT IKAN'!Y22</f>
        <v>0</v>
      </c>
      <c r="AG17" s="116">
        <f>'P NP LAUT IKAN'!Z22</f>
        <v>0</v>
      </c>
      <c r="AH17" s="116">
        <f>'P NP LAUT IKAN'!Y23</f>
        <v>0</v>
      </c>
      <c r="AI17" s="116">
        <f>'P NP LAUT IKAN'!Z23</f>
        <v>0</v>
      </c>
      <c r="AJ17" s="116">
        <f>'P NP LAUT IKAN'!Y24</f>
        <v>0</v>
      </c>
      <c r="AK17" s="116">
        <f>'P NP LAUT IKAN'!Z24</f>
        <v>0</v>
      </c>
      <c r="AL17" s="116">
        <f>'P NP LAUT IKAN'!Y25</f>
        <v>0</v>
      </c>
      <c r="AM17" s="116">
        <f>'P NP LAUT IKAN'!Z25</f>
        <v>0</v>
      </c>
      <c r="AN17" s="116">
        <f>'P NP LAUT IKAN'!Y26</f>
        <v>0</v>
      </c>
      <c r="AO17" s="116">
        <f>'P NP LAUT IKAN'!Z26</f>
        <v>0</v>
      </c>
      <c r="AP17" s="116">
        <f>'P NP LAUT IKAN'!Y27</f>
        <v>0</v>
      </c>
      <c r="AQ17" s="116">
        <f>'P NP LAUT IKAN'!Z27</f>
        <v>0</v>
      </c>
      <c r="AR17" s="116">
        <f>'P NP LAUT IKAN'!Y28</f>
        <v>0</v>
      </c>
      <c r="AS17" s="116">
        <f>'P NP LAUT IKAN'!Z28</f>
        <v>0</v>
      </c>
      <c r="AT17" s="116">
        <f>'P NP LAUT IKAN'!Y29</f>
        <v>0</v>
      </c>
      <c r="AU17" s="116">
        <f>'P NP LAUT IKAN'!Z29</f>
        <v>0</v>
      </c>
      <c r="AV17" s="116">
        <f>'P NP LAUT IKAN'!Y30</f>
        <v>0</v>
      </c>
      <c r="AW17" s="116">
        <f>'P NP LAUT IKAN'!Z30</f>
        <v>0</v>
      </c>
      <c r="AX17" s="116">
        <f>'P NP LAUT IKAN'!Y31</f>
        <v>0</v>
      </c>
      <c r="AY17" s="116">
        <f>'P NP LAUT IKAN'!Z31</f>
        <v>0</v>
      </c>
      <c r="AZ17" s="116">
        <f>'P NP LAUT IKAN'!Y32</f>
        <v>0</v>
      </c>
      <c r="BA17" s="116">
        <f>'P NP LAUT IKAN'!Z32</f>
        <v>0</v>
      </c>
      <c r="BB17" s="116">
        <f>'P NP LAUT IKAN'!Y33</f>
        <v>0</v>
      </c>
      <c r="BC17" s="116">
        <f>'P NP LAUT IKAN'!Z33</f>
        <v>0</v>
      </c>
      <c r="BD17" s="116">
        <f>'P NP LAUT IKAN'!Y34</f>
        <v>0</v>
      </c>
      <c r="BE17" s="116">
        <f>'P NP LAUT IKAN'!Z34</f>
        <v>0</v>
      </c>
      <c r="BF17" s="116">
        <f>'P NP LAUT IKAN'!Y43</f>
        <v>0</v>
      </c>
      <c r="BG17" s="116">
        <f>'P NP LAUT IKAN'!Z43</f>
        <v>0</v>
      </c>
      <c r="BH17" s="116">
        <f>'P NP LAUT IKAN'!Y44</f>
        <v>0</v>
      </c>
      <c r="BI17" s="116">
        <f>'P NP LAUT IKAN'!Z44</f>
        <v>0</v>
      </c>
      <c r="BJ17" s="116">
        <f>'P NP LAUT IKAN'!C56</f>
        <v>0</v>
      </c>
      <c r="BK17" s="116">
        <f>'P NP LAUT IKAN'!D56</f>
        <v>0</v>
      </c>
      <c r="BL17" s="116">
        <f>'P NP LAUT IKAN'!C57</f>
        <v>0</v>
      </c>
      <c r="BM17" s="116">
        <f>'P NP LAUT IKAN'!D57</f>
        <v>0</v>
      </c>
      <c r="BN17" s="116">
        <f>'P NP LAUT IKAN'!C58</f>
        <v>0</v>
      </c>
      <c r="BO17" s="116">
        <f>'P NP LAUT IKAN'!D58</f>
        <v>0</v>
      </c>
      <c r="BP17" s="116">
        <f>'P NP LAUT IKAN'!C59</f>
        <v>0</v>
      </c>
      <c r="BQ17" s="116">
        <f>'P NP LAUT IKAN'!D59</f>
        <v>0</v>
      </c>
      <c r="BR17" s="116">
        <f>'P NP LAUT IKAN'!C60</f>
        <v>0</v>
      </c>
      <c r="BS17" s="116">
        <f>'P NP LAUT IKAN'!D60</f>
        <v>0</v>
      </c>
      <c r="BT17" s="116">
        <f>'P NP LAUT IKAN'!C61</f>
        <v>0</v>
      </c>
      <c r="BU17" s="116">
        <f>'P NP LAUT IKAN'!D61</f>
        <v>0</v>
      </c>
      <c r="BV17" s="116">
        <f>'P NP LAUT IKAN'!C62</f>
        <v>0</v>
      </c>
      <c r="BW17" s="116">
        <f>'P NP LAUT IKAN'!D62</f>
        <v>0</v>
      </c>
      <c r="BX17" s="116">
        <f>'P NP LAUT IKAN'!C63</f>
        <v>0</v>
      </c>
      <c r="BY17" s="116">
        <f>'P NP LAUT IKAN'!D63</f>
        <v>0</v>
      </c>
    </row>
    <row r="18" spans="1:77">
      <c r="A18" s="260" t="s">
        <v>131</v>
      </c>
      <c r="B18" s="169">
        <f t="shared" si="2"/>
        <v>0</v>
      </c>
      <c r="C18" s="169">
        <f t="shared" si="3"/>
        <v>0</v>
      </c>
      <c r="D18" s="116">
        <f>'P NP LAUT IKAN'!AA8</f>
        <v>0</v>
      </c>
      <c r="E18" s="116">
        <f>'P NP LAUT IKAN'!AB8</f>
        <v>0</v>
      </c>
      <c r="F18" s="116">
        <f>'P NP LAUT IKAN'!AA9</f>
        <v>0</v>
      </c>
      <c r="G18" s="116">
        <f>'P NP LAUT IKAN'!AB9</f>
        <v>0</v>
      </c>
      <c r="H18" s="116">
        <f>'P NP LAUT IKAN'!AA10</f>
        <v>0</v>
      </c>
      <c r="I18" s="116">
        <f>'P NP LAUT IKAN'!AB10</f>
        <v>0</v>
      </c>
      <c r="J18" s="116">
        <f>'P NP LAUT IKAN'!AA11</f>
        <v>0</v>
      </c>
      <c r="K18" s="116">
        <f>'P NP LAUT IKAN'!AB11</f>
        <v>0</v>
      </c>
      <c r="L18" s="116">
        <f>'P NP LAUT IKAN'!AA12</f>
        <v>0</v>
      </c>
      <c r="M18" s="116">
        <f>'P NP LAUT IKAN'!AB12</f>
        <v>0</v>
      </c>
      <c r="N18" s="116">
        <f>'P NP LAUT IKAN'!AA13</f>
        <v>0</v>
      </c>
      <c r="O18" s="116">
        <f>'P NP LAUT IKAN'!AB13</f>
        <v>0</v>
      </c>
      <c r="P18" s="116">
        <f>'P NP LAUT IKAN'!AA14</f>
        <v>0</v>
      </c>
      <c r="Q18" s="116">
        <f>'P NP LAUT IKAN'!AB14</f>
        <v>0</v>
      </c>
      <c r="R18" s="116">
        <f>'P NP LAUT IKAN'!AA15</f>
        <v>0</v>
      </c>
      <c r="S18" s="116">
        <f>'P NP LAUT IKAN'!AB15</f>
        <v>0</v>
      </c>
      <c r="T18" s="116">
        <f>'P NP LAUT IKAN'!AA16</f>
        <v>0</v>
      </c>
      <c r="U18" s="116">
        <f>'P NP LAUT IKAN'!AB16</f>
        <v>0</v>
      </c>
      <c r="V18" s="116">
        <f>'P NP LAUT IKAN'!AA17</f>
        <v>0</v>
      </c>
      <c r="W18" s="116">
        <f>'P NP LAUT IKAN'!AB17</f>
        <v>0</v>
      </c>
      <c r="X18" s="116">
        <f>'P NP LAUT IKAN'!AA18</f>
        <v>0</v>
      </c>
      <c r="Y18" s="116">
        <f>'P NP LAUT IKAN'!AB18</f>
        <v>0</v>
      </c>
      <c r="Z18" s="116">
        <f>'P NP LAUT IKAN'!AA19</f>
        <v>0</v>
      </c>
      <c r="AA18" s="116">
        <f>'P NP LAUT IKAN'!AB19</f>
        <v>0</v>
      </c>
      <c r="AB18" s="116">
        <f>'P NP LAUT IKAN'!AA20</f>
        <v>0</v>
      </c>
      <c r="AC18" s="116">
        <f>'P NP LAUT IKAN'!AB20</f>
        <v>0</v>
      </c>
      <c r="AD18" s="116">
        <f>'P NP LAUT IKAN'!AA21</f>
        <v>0</v>
      </c>
      <c r="AE18" s="116">
        <f>'P NP LAUT IKAN'!AB21</f>
        <v>0</v>
      </c>
      <c r="AF18" s="116">
        <f>'P NP LAUT IKAN'!AA22</f>
        <v>0</v>
      </c>
      <c r="AG18" s="116">
        <f>'P NP LAUT IKAN'!AB22</f>
        <v>0</v>
      </c>
      <c r="AH18" s="116">
        <f>'P NP LAUT IKAN'!AA23</f>
        <v>0</v>
      </c>
      <c r="AI18" s="116">
        <f>'P NP LAUT IKAN'!AB23</f>
        <v>0</v>
      </c>
      <c r="AJ18" s="116">
        <f>'P NP LAUT IKAN'!AA24</f>
        <v>0</v>
      </c>
      <c r="AK18" s="116">
        <f>'P NP LAUT IKAN'!AB24</f>
        <v>0</v>
      </c>
      <c r="AL18" s="116">
        <f>'P NP LAUT IKAN'!AA25</f>
        <v>0</v>
      </c>
      <c r="AM18" s="116">
        <f>'P NP LAUT IKAN'!AB25</f>
        <v>0</v>
      </c>
      <c r="AN18" s="116">
        <f>'P NP LAUT IKAN'!AA26</f>
        <v>0</v>
      </c>
      <c r="AO18" s="116">
        <f>'P NP LAUT IKAN'!AB26</f>
        <v>0</v>
      </c>
      <c r="AP18" s="116">
        <f>'P NP LAUT IKAN'!AA27</f>
        <v>0</v>
      </c>
      <c r="AQ18" s="116">
        <f>'P NP LAUT IKAN'!AB27</f>
        <v>0</v>
      </c>
      <c r="AR18" s="116">
        <f>'P NP LAUT IKAN'!AA28</f>
        <v>0</v>
      </c>
      <c r="AS18" s="116">
        <f>'P NP LAUT IKAN'!AB28</f>
        <v>0</v>
      </c>
      <c r="AT18" s="116">
        <f>'P NP LAUT IKAN'!AA29</f>
        <v>0</v>
      </c>
      <c r="AU18" s="116">
        <f>'P NP LAUT IKAN'!AB29</f>
        <v>0</v>
      </c>
      <c r="AV18" s="116">
        <f>'P NP LAUT IKAN'!AA30</f>
        <v>0</v>
      </c>
      <c r="AW18" s="116">
        <f>'P NP LAUT IKAN'!AB30</f>
        <v>0</v>
      </c>
      <c r="AX18" s="116">
        <f>'P NP LAUT IKAN'!AA31</f>
        <v>0</v>
      </c>
      <c r="AY18" s="116">
        <f>'P NP LAUT IKAN'!AB31</f>
        <v>0</v>
      </c>
      <c r="AZ18" s="116">
        <f>'P NP LAUT IKAN'!AA32</f>
        <v>0</v>
      </c>
      <c r="BA18" s="116">
        <f>'P NP LAUT IKAN'!AB32</f>
        <v>0</v>
      </c>
      <c r="BB18" s="116">
        <f>'P NP LAUT IKAN'!AA33</f>
        <v>0</v>
      </c>
      <c r="BC18" s="116">
        <f>'P NP LAUT IKAN'!AB33</f>
        <v>0</v>
      </c>
      <c r="BD18" s="116">
        <f>'P NP LAUT IKAN'!AA34</f>
        <v>0</v>
      </c>
      <c r="BE18" s="116">
        <f>'P NP LAUT IKAN'!AB34</f>
        <v>0</v>
      </c>
      <c r="BF18" s="116">
        <f>'P NP LAUT IKAN'!AA43</f>
        <v>0</v>
      </c>
      <c r="BG18" s="116">
        <f>'P NP LAUT IKAN'!AB43</f>
        <v>0</v>
      </c>
      <c r="BH18" s="116">
        <f>'P NP LAUT IKAN'!AA44</f>
        <v>0</v>
      </c>
      <c r="BI18" s="116">
        <f>'P NP LAUT IKAN'!AB44</f>
        <v>0</v>
      </c>
      <c r="BJ18" s="116">
        <f>'P NP LAUT IKAN'!C57</f>
        <v>0</v>
      </c>
      <c r="BK18" s="116">
        <f>'P NP LAUT IKAN'!D57</f>
        <v>0</v>
      </c>
      <c r="BL18" s="116">
        <f>'P NP LAUT IKAN'!C58</f>
        <v>0</v>
      </c>
      <c r="BM18" s="116">
        <f>'P NP LAUT IKAN'!D58</f>
        <v>0</v>
      </c>
      <c r="BN18" s="116">
        <f>'P NP LAUT IKAN'!C59</f>
        <v>0</v>
      </c>
      <c r="BO18" s="116">
        <f>'P NP LAUT IKAN'!D59</f>
        <v>0</v>
      </c>
      <c r="BP18" s="116">
        <f>'P NP LAUT IKAN'!C60</f>
        <v>0</v>
      </c>
      <c r="BQ18" s="116">
        <f>'P NP LAUT IKAN'!D60</f>
        <v>0</v>
      </c>
      <c r="BR18" s="116">
        <f>'P NP LAUT IKAN'!C61</f>
        <v>0</v>
      </c>
      <c r="BS18" s="116">
        <f>'P NP LAUT IKAN'!D61</f>
        <v>0</v>
      </c>
      <c r="BT18" s="116">
        <f>'P NP LAUT IKAN'!C62</f>
        <v>0</v>
      </c>
      <c r="BU18" s="116">
        <f>'P NP LAUT IKAN'!D62</f>
        <v>0</v>
      </c>
      <c r="BV18" s="116">
        <f>'P NP LAUT IKAN'!C63</f>
        <v>0</v>
      </c>
      <c r="BW18" s="116">
        <f>'P NP LAUT IKAN'!D63</f>
        <v>0</v>
      </c>
      <c r="BX18" s="116">
        <f>'P NP LAUT IKAN'!C64</f>
        <v>0</v>
      </c>
      <c r="BY18" s="116">
        <f>'P NP LAUT IKAN'!D64</f>
        <v>0</v>
      </c>
    </row>
    <row r="19" spans="1:77">
      <c r="A19" s="260" t="s">
        <v>118</v>
      </c>
      <c r="B19" s="169">
        <f t="shared" si="2"/>
        <v>0</v>
      </c>
      <c r="C19" s="169">
        <f t="shared" si="3"/>
        <v>0</v>
      </c>
      <c r="D19" s="116">
        <f>'P NP LAUT IKAN'!AC8</f>
        <v>0</v>
      </c>
      <c r="E19" s="116">
        <f>'P NP LAUT IKAN'!AD8</f>
        <v>0</v>
      </c>
      <c r="F19" s="116">
        <f>'P NP LAUT IKAN'!AC9</f>
        <v>0</v>
      </c>
      <c r="G19" s="116">
        <f>'P NP LAUT IKAN'!AD9</f>
        <v>0</v>
      </c>
      <c r="H19" s="116">
        <f>'P NP LAUT IKAN'!AC10</f>
        <v>0</v>
      </c>
      <c r="I19" s="116">
        <f>'P NP LAUT IKAN'!AD10</f>
        <v>0</v>
      </c>
      <c r="J19" s="116">
        <f>'P NP LAUT IKAN'!AC11</f>
        <v>0</v>
      </c>
      <c r="K19" s="116">
        <f>'P NP LAUT IKAN'!AD11</f>
        <v>0</v>
      </c>
      <c r="L19" s="116">
        <f>'P NP LAUT IKAN'!AC12</f>
        <v>0</v>
      </c>
      <c r="M19" s="116">
        <f>'P NP LAUT IKAN'!AD12</f>
        <v>0</v>
      </c>
      <c r="N19" s="116">
        <f>'P NP LAUT IKAN'!AC13</f>
        <v>0</v>
      </c>
      <c r="O19" s="116">
        <f>'P NP LAUT IKAN'!AD13</f>
        <v>0</v>
      </c>
      <c r="P19" s="116">
        <f>'P NP LAUT IKAN'!AC14</f>
        <v>0</v>
      </c>
      <c r="Q19" s="116">
        <f>'P NP LAUT IKAN'!AD14</f>
        <v>0</v>
      </c>
      <c r="R19" s="116">
        <f>'P NP LAUT IKAN'!AC15</f>
        <v>0</v>
      </c>
      <c r="S19" s="116">
        <f>'P NP LAUT IKAN'!AD15</f>
        <v>0</v>
      </c>
      <c r="T19" s="116">
        <f>'P NP LAUT IKAN'!AC16</f>
        <v>0</v>
      </c>
      <c r="U19" s="116">
        <f>'P NP LAUT IKAN'!AD16</f>
        <v>0</v>
      </c>
      <c r="V19" s="116">
        <f>'P NP LAUT IKAN'!AC17</f>
        <v>0</v>
      </c>
      <c r="W19" s="116">
        <f>'P NP LAUT IKAN'!AD17</f>
        <v>0</v>
      </c>
      <c r="X19" s="116">
        <f>'P NP LAUT IKAN'!AC18</f>
        <v>0</v>
      </c>
      <c r="Y19" s="116">
        <f>'P NP LAUT IKAN'!AD18</f>
        <v>0</v>
      </c>
      <c r="Z19" s="116">
        <f>'P NP LAUT IKAN'!AC19</f>
        <v>0</v>
      </c>
      <c r="AA19" s="116">
        <f>'P NP LAUT IKAN'!AD19</f>
        <v>0</v>
      </c>
      <c r="AB19" s="116">
        <f>'P NP LAUT IKAN'!AC20</f>
        <v>0</v>
      </c>
      <c r="AC19" s="116">
        <f>'P NP LAUT IKAN'!AD20</f>
        <v>0</v>
      </c>
      <c r="AD19" s="116">
        <f>'P NP LAUT IKAN'!AC21</f>
        <v>0</v>
      </c>
      <c r="AE19" s="116">
        <f>'P NP LAUT IKAN'!AD21</f>
        <v>0</v>
      </c>
      <c r="AF19" s="116">
        <f>'P NP LAUT IKAN'!AC22</f>
        <v>0</v>
      </c>
      <c r="AG19" s="116">
        <f>'P NP LAUT IKAN'!AD22</f>
        <v>0</v>
      </c>
      <c r="AH19" s="116">
        <f>'P NP LAUT IKAN'!AC23</f>
        <v>0</v>
      </c>
      <c r="AI19" s="116">
        <f>'P NP LAUT IKAN'!AD23</f>
        <v>0</v>
      </c>
      <c r="AJ19" s="116">
        <f>'P NP LAUT IKAN'!AC24</f>
        <v>0</v>
      </c>
      <c r="AK19" s="116">
        <f>'P NP LAUT IKAN'!AD24</f>
        <v>0</v>
      </c>
      <c r="AL19" s="116">
        <f>'P NP LAUT IKAN'!AC25</f>
        <v>0</v>
      </c>
      <c r="AM19" s="116">
        <f>'P NP LAUT IKAN'!AD25</f>
        <v>0</v>
      </c>
      <c r="AN19" s="116">
        <f>'P NP LAUT IKAN'!AC26</f>
        <v>0</v>
      </c>
      <c r="AO19" s="116">
        <f>'P NP LAUT IKAN'!AD26</f>
        <v>0</v>
      </c>
      <c r="AP19" s="116">
        <f>'P NP LAUT IKAN'!AC27</f>
        <v>0</v>
      </c>
      <c r="AQ19" s="116">
        <f>'P NP LAUT IKAN'!AD27</f>
        <v>0</v>
      </c>
      <c r="AR19" s="116">
        <f>'P NP LAUT IKAN'!AC28</f>
        <v>0</v>
      </c>
      <c r="AS19" s="116">
        <f>'P NP LAUT IKAN'!AD28</f>
        <v>0</v>
      </c>
      <c r="AT19" s="116">
        <f>'P NP LAUT IKAN'!AC29</f>
        <v>0</v>
      </c>
      <c r="AU19" s="116">
        <f>'P NP LAUT IKAN'!AD29</f>
        <v>0</v>
      </c>
      <c r="AV19" s="116">
        <f>'P NP LAUT IKAN'!AC30</f>
        <v>0</v>
      </c>
      <c r="AW19" s="116">
        <f>'P NP LAUT IKAN'!AD30</f>
        <v>0</v>
      </c>
      <c r="AX19" s="116">
        <f>'P NP LAUT IKAN'!AC31</f>
        <v>0</v>
      </c>
      <c r="AY19" s="116">
        <f>'P NP LAUT IKAN'!AD31</f>
        <v>0</v>
      </c>
      <c r="AZ19" s="116">
        <f>'P NP LAUT IKAN'!AC32</f>
        <v>0</v>
      </c>
      <c r="BA19" s="116">
        <f>'P NP LAUT IKAN'!AD32</f>
        <v>0</v>
      </c>
      <c r="BB19" s="116">
        <f>'P NP LAUT IKAN'!AC33</f>
        <v>0</v>
      </c>
      <c r="BC19" s="116">
        <f>'P NP LAUT IKAN'!AD33</f>
        <v>0</v>
      </c>
      <c r="BD19" s="116">
        <f>'P NP LAUT IKAN'!AC34</f>
        <v>0</v>
      </c>
      <c r="BE19" s="116">
        <f>'P NP LAUT IKAN'!AD34</f>
        <v>0</v>
      </c>
      <c r="BF19" s="116">
        <f>'P NP LAUT IKAN'!AC43</f>
        <v>0</v>
      </c>
      <c r="BG19" s="116">
        <f>'P NP LAUT IKAN'!AD43</f>
        <v>0</v>
      </c>
      <c r="BH19" s="116">
        <f>'P NP LAUT IKAN'!AC44</f>
        <v>0</v>
      </c>
      <c r="BI19" s="116">
        <f>'P NP LAUT IKAN'!AD44</f>
        <v>0</v>
      </c>
      <c r="BJ19" s="116">
        <f>'P NP LAUT IKAN'!C58</f>
        <v>0</v>
      </c>
      <c r="BK19" s="116">
        <f>'P NP LAUT IKAN'!D58</f>
        <v>0</v>
      </c>
      <c r="BL19" s="116">
        <f>'P NP LAUT IKAN'!C59</f>
        <v>0</v>
      </c>
      <c r="BM19" s="116">
        <f>'P NP LAUT IKAN'!D59</f>
        <v>0</v>
      </c>
      <c r="BN19" s="116">
        <f>'P NP LAUT IKAN'!C60</f>
        <v>0</v>
      </c>
      <c r="BO19" s="116">
        <f>'P NP LAUT IKAN'!D60</f>
        <v>0</v>
      </c>
      <c r="BP19" s="116">
        <f>'P NP LAUT IKAN'!C61</f>
        <v>0</v>
      </c>
      <c r="BQ19" s="116">
        <f>'P NP LAUT IKAN'!D61</f>
        <v>0</v>
      </c>
      <c r="BR19" s="116">
        <f>'P NP LAUT IKAN'!C62</f>
        <v>0</v>
      </c>
      <c r="BS19" s="116">
        <f>'P NP LAUT IKAN'!D62</f>
        <v>0</v>
      </c>
      <c r="BT19" s="116">
        <f>'P NP LAUT IKAN'!C63</f>
        <v>0</v>
      </c>
      <c r="BU19" s="116">
        <f>'P NP LAUT IKAN'!D63</f>
        <v>0</v>
      </c>
      <c r="BV19" s="116">
        <f>'P NP LAUT IKAN'!C64</f>
        <v>0</v>
      </c>
      <c r="BW19" s="116">
        <f>'P NP LAUT IKAN'!D64</f>
        <v>0</v>
      </c>
      <c r="BX19" s="116">
        <f>'P NP LAUT IKAN'!C65</f>
        <v>0</v>
      </c>
      <c r="BY19" s="116">
        <f>'P NP LAUT IKAN'!D65</f>
        <v>0</v>
      </c>
    </row>
    <row r="20" spans="1:77">
      <c r="A20" s="260" t="s">
        <v>127</v>
      </c>
      <c r="B20" s="169">
        <f t="shared" si="2"/>
        <v>0</v>
      </c>
      <c r="C20" s="169">
        <f t="shared" si="3"/>
        <v>0</v>
      </c>
      <c r="D20" s="116">
        <f>'P NP LAUT IKAN'!AE8</f>
        <v>0</v>
      </c>
      <c r="E20" s="116">
        <f>'P NP LAUT IKAN'!AF8</f>
        <v>0</v>
      </c>
      <c r="F20" s="116">
        <f>'P NP LAUT IKAN'!AE9</f>
        <v>0</v>
      </c>
      <c r="G20" s="116">
        <f>'P NP LAUT IKAN'!AF9</f>
        <v>0</v>
      </c>
      <c r="H20" s="116">
        <f>'P NP LAUT IKAN'!AE10</f>
        <v>0</v>
      </c>
      <c r="I20" s="116">
        <f>'P NP LAUT IKAN'!AF10</f>
        <v>0</v>
      </c>
      <c r="J20" s="116">
        <f>'P NP LAUT IKAN'!AE11</f>
        <v>0</v>
      </c>
      <c r="K20" s="116">
        <f>'P NP LAUT IKAN'!AF11</f>
        <v>0</v>
      </c>
      <c r="L20" s="116">
        <f>'P NP LAUT IKAN'!AE12</f>
        <v>0</v>
      </c>
      <c r="M20" s="116">
        <f>'P NP LAUT IKAN'!AF12</f>
        <v>0</v>
      </c>
      <c r="N20" s="116">
        <f>'P NP LAUT IKAN'!AE13</f>
        <v>0</v>
      </c>
      <c r="O20" s="116">
        <f>'P NP LAUT IKAN'!AF13</f>
        <v>0</v>
      </c>
      <c r="P20" s="116">
        <f>'P NP LAUT IKAN'!AE14</f>
        <v>0</v>
      </c>
      <c r="Q20" s="116">
        <f>'P NP LAUT IKAN'!AF14</f>
        <v>0</v>
      </c>
      <c r="R20" s="116">
        <f>'P NP LAUT IKAN'!AE15</f>
        <v>0</v>
      </c>
      <c r="S20" s="116">
        <f>'P NP LAUT IKAN'!AF15</f>
        <v>0</v>
      </c>
      <c r="T20" s="116">
        <f>'P NP LAUT IKAN'!AE16</f>
        <v>0</v>
      </c>
      <c r="U20" s="116">
        <f>'P NP LAUT IKAN'!AF16</f>
        <v>0</v>
      </c>
      <c r="V20" s="116">
        <f>'P NP LAUT IKAN'!AE17</f>
        <v>0</v>
      </c>
      <c r="W20" s="116">
        <f>'P NP LAUT IKAN'!AF17</f>
        <v>0</v>
      </c>
      <c r="X20" s="116">
        <f>'P NP LAUT IKAN'!AE18</f>
        <v>0</v>
      </c>
      <c r="Y20" s="116">
        <f>'P NP LAUT IKAN'!AF18</f>
        <v>0</v>
      </c>
      <c r="Z20" s="116">
        <f>'P NP LAUT IKAN'!AE19</f>
        <v>0</v>
      </c>
      <c r="AA20" s="116">
        <f>'P NP LAUT IKAN'!AF19</f>
        <v>0</v>
      </c>
      <c r="AB20" s="116">
        <f>'P NP LAUT IKAN'!AE20</f>
        <v>0</v>
      </c>
      <c r="AC20" s="116">
        <f>'P NP LAUT IKAN'!AF20</f>
        <v>0</v>
      </c>
      <c r="AD20" s="116">
        <f>'P NP LAUT IKAN'!AE21</f>
        <v>0</v>
      </c>
      <c r="AE20" s="116">
        <f>'P NP LAUT IKAN'!AF21</f>
        <v>0</v>
      </c>
      <c r="AF20" s="116">
        <f>'P NP LAUT IKAN'!AE22</f>
        <v>0</v>
      </c>
      <c r="AG20" s="116">
        <f>'P NP LAUT IKAN'!AF22</f>
        <v>0</v>
      </c>
      <c r="AH20" s="116">
        <f>'P NP LAUT IKAN'!AE23</f>
        <v>0</v>
      </c>
      <c r="AI20" s="116">
        <f>'P NP LAUT IKAN'!AF23</f>
        <v>0</v>
      </c>
      <c r="AJ20" s="116">
        <f>'P NP LAUT IKAN'!AE24</f>
        <v>0</v>
      </c>
      <c r="AK20" s="116">
        <f>'P NP LAUT IKAN'!AF24</f>
        <v>0</v>
      </c>
      <c r="AL20" s="116">
        <f>'P NP LAUT IKAN'!AE25</f>
        <v>0</v>
      </c>
      <c r="AM20" s="116">
        <f>'P NP LAUT IKAN'!AF25</f>
        <v>0</v>
      </c>
      <c r="AN20" s="116">
        <f>'P NP LAUT IKAN'!AE26</f>
        <v>0</v>
      </c>
      <c r="AO20" s="116">
        <f>'P NP LAUT IKAN'!AF26</f>
        <v>0</v>
      </c>
      <c r="AP20" s="116">
        <f>'P NP LAUT IKAN'!AE27</f>
        <v>0</v>
      </c>
      <c r="AQ20" s="116">
        <f>'P NP LAUT IKAN'!AF27</f>
        <v>0</v>
      </c>
      <c r="AR20" s="116">
        <f>'P NP LAUT IKAN'!AE28</f>
        <v>0</v>
      </c>
      <c r="AS20" s="116">
        <f>'P NP LAUT IKAN'!AF28</f>
        <v>0</v>
      </c>
      <c r="AT20" s="116">
        <f>'P NP LAUT IKAN'!AE29</f>
        <v>0</v>
      </c>
      <c r="AU20" s="116">
        <f>'P NP LAUT IKAN'!AF29</f>
        <v>0</v>
      </c>
      <c r="AV20" s="116">
        <f>'P NP LAUT IKAN'!AE30</f>
        <v>0</v>
      </c>
      <c r="AW20" s="116">
        <f>'P NP LAUT IKAN'!AF30</f>
        <v>0</v>
      </c>
      <c r="AX20" s="116">
        <f>'P NP LAUT IKAN'!AE31</f>
        <v>0</v>
      </c>
      <c r="AY20" s="116">
        <f>'P NP LAUT IKAN'!AF31</f>
        <v>0</v>
      </c>
      <c r="AZ20" s="116">
        <f>'P NP LAUT IKAN'!AE32</f>
        <v>0</v>
      </c>
      <c r="BA20" s="116">
        <f>'P NP LAUT IKAN'!AF32</f>
        <v>0</v>
      </c>
      <c r="BB20" s="116">
        <f>'P NP LAUT IKAN'!AE33</f>
        <v>0</v>
      </c>
      <c r="BC20" s="116">
        <f>'P NP LAUT IKAN'!AF33</f>
        <v>0</v>
      </c>
      <c r="BD20" s="116">
        <f>'P NP LAUT IKAN'!AE34</f>
        <v>0</v>
      </c>
      <c r="BE20" s="116">
        <f>'P NP LAUT IKAN'!AF34</f>
        <v>0</v>
      </c>
      <c r="BF20" s="116">
        <f>'P NP LAUT IKAN'!AE43</f>
        <v>0</v>
      </c>
      <c r="BG20" s="116">
        <f>'P NP LAUT IKAN'!AF43</f>
        <v>0</v>
      </c>
      <c r="BH20" s="116">
        <f>'P NP LAUT IKAN'!AE44</f>
        <v>0</v>
      </c>
      <c r="BI20" s="116">
        <f>'P NP LAUT IKAN'!AF44</f>
        <v>0</v>
      </c>
      <c r="BJ20" s="116">
        <f>'P NP LAUT IKAN'!C59</f>
        <v>0</v>
      </c>
      <c r="BK20" s="116">
        <f>'P NP LAUT IKAN'!D59</f>
        <v>0</v>
      </c>
      <c r="BL20" s="116">
        <f>'P NP LAUT IKAN'!C60</f>
        <v>0</v>
      </c>
      <c r="BM20" s="116">
        <f>'P NP LAUT IKAN'!D60</f>
        <v>0</v>
      </c>
      <c r="BN20" s="116">
        <f>'P NP LAUT IKAN'!C61</f>
        <v>0</v>
      </c>
      <c r="BO20" s="116">
        <f>'P NP LAUT IKAN'!D61</f>
        <v>0</v>
      </c>
      <c r="BP20" s="116">
        <f>'P NP LAUT IKAN'!C62</f>
        <v>0</v>
      </c>
      <c r="BQ20" s="116">
        <f>'P NP LAUT IKAN'!D62</f>
        <v>0</v>
      </c>
      <c r="BR20" s="116">
        <f>'P NP LAUT IKAN'!C63</f>
        <v>0</v>
      </c>
      <c r="BS20" s="116">
        <f>'P NP LAUT IKAN'!D63</f>
        <v>0</v>
      </c>
      <c r="BT20" s="116">
        <f>'P NP LAUT IKAN'!C64</f>
        <v>0</v>
      </c>
      <c r="BU20" s="116">
        <f>'P NP LAUT IKAN'!D64</f>
        <v>0</v>
      </c>
      <c r="BV20" s="116">
        <f>'P NP LAUT IKAN'!C65</f>
        <v>0</v>
      </c>
      <c r="BW20" s="116">
        <f>'P NP LAUT IKAN'!D65</f>
        <v>0</v>
      </c>
      <c r="BX20" s="116">
        <f>'P NP LAUT IKAN'!C66</f>
        <v>0</v>
      </c>
      <c r="BY20" s="116">
        <f>'P NP LAUT IKAN'!D66</f>
        <v>0</v>
      </c>
    </row>
    <row r="21" spans="1:77">
      <c r="A21" s="260" t="s">
        <v>129</v>
      </c>
      <c r="B21" s="169">
        <f t="shared" si="2"/>
        <v>0</v>
      </c>
      <c r="C21" s="169">
        <f t="shared" si="3"/>
        <v>0</v>
      </c>
      <c r="D21" s="116">
        <f>'P NP LAUT IKAN'!AG8</f>
        <v>0</v>
      </c>
      <c r="E21" s="116">
        <f>'P NP LAUT IKAN'!AH8</f>
        <v>0</v>
      </c>
      <c r="F21" s="116">
        <f>'P NP LAUT IKAN'!AG9</f>
        <v>0</v>
      </c>
      <c r="G21" s="116">
        <f>'P NP LAUT IKAN'!AH9</f>
        <v>0</v>
      </c>
      <c r="H21" s="116">
        <f>'P NP LAUT IKAN'!AG10</f>
        <v>0</v>
      </c>
      <c r="I21" s="116">
        <f>'P NP LAUT IKAN'!AH10</f>
        <v>0</v>
      </c>
      <c r="J21" s="116">
        <f>'P NP LAUT IKAN'!AG11</f>
        <v>0</v>
      </c>
      <c r="K21" s="116">
        <f>'P NP LAUT IKAN'!AH11</f>
        <v>0</v>
      </c>
      <c r="L21" s="116">
        <f>'P NP LAUT IKAN'!AG12</f>
        <v>0</v>
      </c>
      <c r="M21" s="116">
        <f>'P NP LAUT IKAN'!AH12</f>
        <v>0</v>
      </c>
      <c r="N21" s="116">
        <f>'P NP LAUT IKAN'!AG13</f>
        <v>0</v>
      </c>
      <c r="O21" s="116">
        <f>'P NP LAUT IKAN'!AH13</f>
        <v>0</v>
      </c>
      <c r="P21" s="116">
        <f>'P NP LAUT IKAN'!AG14</f>
        <v>0</v>
      </c>
      <c r="Q21" s="116">
        <f>'P NP LAUT IKAN'!AH14</f>
        <v>0</v>
      </c>
      <c r="R21" s="116">
        <f>'P NP LAUT IKAN'!AG15</f>
        <v>0</v>
      </c>
      <c r="S21" s="116">
        <f>'P NP LAUT IKAN'!AH15</f>
        <v>0</v>
      </c>
      <c r="T21" s="116">
        <f>'P NP LAUT IKAN'!AG16</f>
        <v>0</v>
      </c>
      <c r="U21" s="116">
        <f>'P NP LAUT IKAN'!AH16</f>
        <v>0</v>
      </c>
      <c r="V21" s="116">
        <f>'P NP LAUT IKAN'!AG17</f>
        <v>0</v>
      </c>
      <c r="W21" s="116">
        <f>'P NP LAUT IKAN'!AH17</f>
        <v>0</v>
      </c>
      <c r="X21" s="116">
        <f>'P NP LAUT IKAN'!AG18</f>
        <v>0</v>
      </c>
      <c r="Y21" s="116">
        <f>'P NP LAUT IKAN'!AH18</f>
        <v>0</v>
      </c>
      <c r="Z21" s="116">
        <f>'P NP LAUT IKAN'!AG19</f>
        <v>0</v>
      </c>
      <c r="AA21" s="116">
        <f>'P NP LAUT IKAN'!AH19</f>
        <v>0</v>
      </c>
      <c r="AB21" s="116">
        <f>'P NP LAUT IKAN'!AG20</f>
        <v>0</v>
      </c>
      <c r="AC21" s="116">
        <f>'P NP LAUT IKAN'!AH20</f>
        <v>0</v>
      </c>
      <c r="AD21" s="116">
        <f>'P NP LAUT IKAN'!AG21</f>
        <v>0</v>
      </c>
      <c r="AE21" s="116">
        <f>'P NP LAUT IKAN'!AH21</f>
        <v>0</v>
      </c>
      <c r="AF21" s="116">
        <f>'P NP LAUT IKAN'!AG22</f>
        <v>0</v>
      </c>
      <c r="AG21" s="116">
        <f>'P NP LAUT IKAN'!AH22</f>
        <v>0</v>
      </c>
      <c r="AH21" s="116">
        <f>'P NP LAUT IKAN'!AG23</f>
        <v>0</v>
      </c>
      <c r="AI21" s="116">
        <f>'P NP LAUT IKAN'!AH23</f>
        <v>0</v>
      </c>
      <c r="AJ21" s="116">
        <f>'P NP LAUT IKAN'!AG24</f>
        <v>0</v>
      </c>
      <c r="AK21" s="116">
        <f>'P NP LAUT IKAN'!AH24</f>
        <v>0</v>
      </c>
      <c r="AL21" s="116">
        <f>'P NP LAUT IKAN'!AG25</f>
        <v>0</v>
      </c>
      <c r="AM21" s="116">
        <f>'P NP LAUT IKAN'!AH25</f>
        <v>0</v>
      </c>
      <c r="AN21" s="116">
        <f>'P NP LAUT IKAN'!AG26</f>
        <v>0</v>
      </c>
      <c r="AO21" s="116">
        <f>'P NP LAUT IKAN'!AH26</f>
        <v>0</v>
      </c>
      <c r="AP21" s="116">
        <f>'P NP LAUT IKAN'!AG27</f>
        <v>0</v>
      </c>
      <c r="AQ21" s="116">
        <f>'P NP LAUT IKAN'!AH27</f>
        <v>0</v>
      </c>
      <c r="AR21" s="116">
        <f>'P NP LAUT IKAN'!AG28</f>
        <v>0</v>
      </c>
      <c r="AS21" s="116">
        <f>'P NP LAUT IKAN'!AH28</f>
        <v>0</v>
      </c>
      <c r="AT21" s="116">
        <f>'P NP LAUT IKAN'!AG29</f>
        <v>0</v>
      </c>
      <c r="AU21" s="116">
        <f>'P NP LAUT IKAN'!AH29</f>
        <v>0</v>
      </c>
      <c r="AV21" s="116">
        <f>'P NP LAUT IKAN'!AG30</f>
        <v>0</v>
      </c>
      <c r="AW21" s="116">
        <f>'P NP LAUT IKAN'!AH30</f>
        <v>0</v>
      </c>
      <c r="AX21" s="116">
        <f>'P NP LAUT IKAN'!AG31</f>
        <v>0</v>
      </c>
      <c r="AY21" s="116">
        <f>'P NP LAUT IKAN'!AH31</f>
        <v>0</v>
      </c>
      <c r="AZ21" s="116">
        <f>'P NP LAUT IKAN'!AG32</f>
        <v>0</v>
      </c>
      <c r="BA21" s="116">
        <f>'P NP LAUT IKAN'!AH32</f>
        <v>0</v>
      </c>
      <c r="BB21" s="116">
        <f>'P NP LAUT IKAN'!AG33</f>
        <v>0</v>
      </c>
      <c r="BC21" s="116">
        <f>'P NP LAUT IKAN'!AH33</f>
        <v>0</v>
      </c>
      <c r="BD21" s="116">
        <f>'P NP LAUT IKAN'!AG34</f>
        <v>0</v>
      </c>
      <c r="BE21" s="116">
        <f>'P NP LAUT IKAN'!AH34</f>
        <v>0</v>
      </c>
      <c r="BF21" s="116">
        <f>'P NP LAUT IKAN'!AG43</f>
        <v>0</v>
      </c>
      <c r="BG21" s="116">
        <f>'P NP LAUT IKAN'!AH43</f>
        <v>0</v>
      </c>
      <c r="BH21" s="116">
        <f>'P NP LAUT IKAN'!AG44</f>
        <v>0</v>
      </c>
      <c r="BI21" s="116">
        <f>'P NP LAUT IKAN'!AH44</f>
        <v>0</v>
      </c>
      <c r="BJ21" s="116">
        <f>'P NP LAUT IKAN'!C60</f>
        <v>0</v>
      </c>
      <c r="BK21" s="116">
        <f>'P NP LAUT IKAN'!D60</f>
        <v>0</v>
      </c>
      <c r="BL21" s="116">
        <f>'P NP LAUT IKAN'!C61</f>
        <v>0</v>
      </c>
      <c r="BM21" s="116">
        <f>'P NP LAUT IKAN'!D61</f>
        <v>0</v>
      </c>
      <c r="BN21" s="116">
        <f>'P NP LAUT IKAN'!C62</f>
        <v>0</v>
      </c>
      <c r="BO21" s="116">
        <f>'P NP LAUT IKAN'!D62</f>
        <v>0</v>
      </c>
      <c r="BP21" s="116">
        <f>'P NP LAUT IKAN'!C63</f>
        <v>0</v>
      </c>
      <c r="BQ21" s="116">
        <f>'P NP LAUT IKAN'!D63</f>
        <v>0</v>
      </c>
      <c r="BR21" s="116">
        <f>'P NP LAUT IKAN'!C64</f>
        <v>0</v>
      </c>
      <c r="BS21" s="116">
        <f>'P NP LAUT IKAN'!D64</f>
        <v>0</v>
      </c>
      <c r="BT21" s="116">
        <f>'P NP LAUT IKAN'!C65</f>
        <v>0</v>
      </c>
      <c r="BU21" s="116">
        <f>'P NP LAUT IKAN'!D65</f>
        <v>0</v>
      </c>
      <c r="BV21" s="116">
        <f>'P NP LAUT IKAN'!C66</f>
        <v>0</v>
      </c>
      <c r="BW21" s="116">
        <f>'P NP LAUT IKAN'!D66</f>
        <v>0</v>
      </c>
      <c r="BX21" s="116">
        <f>'P NP LAUT IKAN'!C67</f>
        <v>0</v>
      </c>
      <c r="BY21" s="116">
        <f>'P NP LAUT IKAN'!D67</f>
        <v>0</v>
      </c>
    </row>
    <row r="22" spans="1:77">
      <c r="A22" s="260" t="s">
        <v>132</v>
      </c>
      <c r="B22" s="169">
        <f t="shared" si="2"/>
        <v>0</v>
      </c>
      <c r="C22" s="169">
        <f t="shared" si="3"/>
        <v>0</v>
      </c>
      <c r="D22" s="116">
        <f>'P NP LAUT IKAN'!AI8</f>
        <v>0</v>
      </c>
      <c r="E22" s="116">
        <f>'P NP LAUT IKAN'!AJ8</f>
        <v>0</v>
      </c>
      <c r="F22" s="116">
        <f>'P NP LAUT IKAN'!AI9</f>
        <v>0</v>
      </c>
      <c r="G22" s="116">
        <f>'P NP LAUT IKAN'!AJ9</f>
        <v>0</v>
      </c>
      <c r="H22" s="116">
        <f>'P NP LAUT IKAN'!AI10</f>
        <v>0</v>
      </c>
      <c r="I22" s="116">
        <f>'P NP LAUT IKAN'!AJ10</f>
        <v>0</v>
      </c>
      <c r="J22" s="116">
        <f>'P NP LAUT IKAN'!AI11</f>
        <v>0</v>
      </c>
      <c r="K22" s="116">
        <f>'P NP LAUT IKAN'!AJ11</f>
        <v>0</v>
      </c>
      <c r="L22" s="116">
        <f>'P NP LAUT IKAN'!AI12</f>
        <v>0</v>
      </c>
      <c r="M22" s="116">
        <f>'P NP LAUT IKAN'!AJ12</f>
        <v>0</v>
      </c>
      <c r="N22" s="116">
        <f>'P NP LAUT IKAN'!AI13</f>
        <v>0</v>
      </c>
      <c r="O22" s="116">
        <f>'P NP LAUT IKAN'!AJ13</f>
        <v>0</v>
      </c>
      <c r="P22" s="116">
        <f>'P NP LAUT IKAN'!AI14</f>
        <v>0</v>
      </c>
      <c r="Q22" s="116">
        <f>'P NP LAUT IKAN'!AJ14</f>
        <v>0</v>
      </c>
      <c r="R22" s="116">
        <f>'P NP LAUT IKAN'!AI15</f>
        <v>0</v>
      </c>
      <c r="S22" s="116">
        <f>'P NP LAUT IKAN'!AJ15</f>
        <v>0</v>
      </c>
      <c r="T22" s="116">
        <f>'P NP LAUT IKAN'!AI16</f>
        <v>0</v>
      </c>
      <c r="U22" s="116">
        <f>'P NP LAUT IKAN'!AJ16</f>
        <v>0</v>
      </c>
      <c r="V22" s="116">
        <f>'P NP LAUT IKAN'!AI17</f>
        <v>0</v>
      </c>
      <c r="W22" s="116">
        <f>'P NP LAUT IKAN'!AJ17</f>
        <v>0</v>
      </c>
      <c r="X22" s="116">
        <f>'P NP LAUT IKAN'!AI18</f>
        <v>0</v>
      </c>
      <c r="Y22" s="116">
        <f>'P NP LAUT IKAN'!AJ18</f>
        <v>0</v>
      </c>
      <c r="Z22" s="116">
        <f>'P NP LAUT IKAN'!AI19</f>
        <v>0</v>
      </c>
      <c r="AA22" s="116">
        <f>'P NP LAUT IKAN'!AJ19</f>
        <v>0</v>
      </c>
      <c r="AB22" s="116">
        <f>'P NP LAUT IKAN'!AI20</f>
        <v>0</v>
      </c>
      <c r="AC22" s="116">
        <f>'P NP LAUT IKAN'!AJ20</f>
        <v>0</v>
      </c>
      <c r="AD22" s="116">
        <f>'P NP LAUT IKAN'!AI21</f>
        <v>0</v>
      </c>
      <c r="AE22" s="116">
        <f>'P NP LAUT IKAN'!AJ21</f>
        <v>0</v>
      </c>
      <c r="AF22" s="116">
        <f>'P NP LAUT IKAN'!AI22</f>
        <v>0</v>
      </c>
      <c r="AG22" s="116">
        <f>'P NP LAUT IKAN'!AJ22</f>
        <v>0</v>
      </c>
      <c r="AH22" s="116">
        <f>'P NP LAUT IKAN'!AI23</f>
        <v>0</v>
      </c>
      <c r="AI22" s="116">
        <f>'P NP LAUT IKAN'!AJ23</f>
        <v>0</v>
      </c>
      <c r="AJ22" s="116">
        <f>'P NP LAUT IKAN'!AI24</f>
        <v>0</v>
      </c>
      <c r="AK22" s="116">
        <f>'P NP LAUT IKAN'!AJ24</f>
        <v>0</v>
      </c>
      <c r="AL22" s="116">
        <f>'P NP LAUT IKAN'!AI25</f>
        <v>0</v>
      </c>
      <c r="AM22" s="116">
        <f>'P NP LAUT IKAN'!AJ25</f>
        <v>0</v>
      </c>
      <c r="AN22" s="116">
        <f>'P NP LAUT IKAN'!AI26</f>
        <v>0</v>
      </c>
      <c r="AO22" s="116">
        <f>'P NP LAUT IKAN'!AJ26</f>
        <v>0</v>
      </c>
      <c r="AP22" s="116">
        <f>'P NP LAUT IKAN'!AI27</f>
        <v>0</v>
      </c>
      <c r="AQ22" s="116">
        <f>'P NP LAUT IKAN'!AJ27</f>
        <v>0</v>
      </c>
      <c r="AR22" s="116">
        <f>'P NP LAUT IKAN'!AI28</f>
        <v>0</v>
      </c>
      <c r="AS22" s="116">
        <f>'P NP LAUT IKAN'!AJ28</f>
        <v>0</v>
      </c>
      <c r="AT22" s="116">
        <f>'P NP LAUT IKAN'!AI29</f>
        <v>0</v>
      </c>
      <c r="AU22" s="116">
        <f>'P NP LAUT IKAN'!AJ29</f>
        <v>0</v>
      </c>
      <c r="AV22" s="116">
        <f>'P NP LAUT IKAN'!AI30</f>
        <v>0</v>
      </c>
      <c r="AW22" s="116">
        <f>'P NP LAUT IKAN'!AJ30</f>
        <v>0</v>
      </c>
      <c r="AX22" s="116">
        <f>'P NP LAUT IKAN'!AI31</f>
        <v>0</v>
      </c>
      <c r="AY22" s="116">
        <f>'P NP LAUT IKAN'!AJ31</f>
        <v>0</v>
      </c>
      <c r="AZ22" s="116">
        <f>'P NP LAUT IKAN'!AI32</f>
        <v>0</v>
      </c>
      <c r="BA22" s="116">
        <f>'P NP LAUT IKAN'!AJ32</f>
        <v>0</v>
      </c>
      <c r="BB22" s="116">
        <f>'P NP LAUT IKAN'!AI33</f>
        <v>0</v>
      </c>
      <c r="BC22" s="116">
        <f>'P NP LAUT IKAN'!AJ33</f>
        <v>0</v>
      </c>
      <c r="BD22" s="116">
        <f>'P NP LAUT IKAN'!AI34</f>
        <v>0</v>
      </c>
      <c r="BE22" s="116">
        <f>'P NP LAUT IKAN'!AJ34</f>
        <v>0</v>
      </c>
      <c r="BF22" s="116">
        <f>'P NP LAUT IKAN'!AI43</f>
        <v>0</v>
      </c>
      <c r="BG22" s="116">
        <f>'P NP LAUT IKAN'!AJ43</f>
        <v>0</v>
      </c>
      <c r="BH22" s="116">
        <f>'P NP LAUT IKAN'!AI44</f>
        <v>0</v>
      </c>
      <c r="BI22" s="116">
        <f>'P NP LAUT IKAN'!AJ44</f>
        <v>0</v>
      </c>
      <c r="BJ22" s="116">
        <f>'P NP LAUT IKAN'!C61</f>
        <v>0</v>
      </c>
      <c r="BK22" s="116">
        <f>'P NP LAUT IKAN'!D61</f>
        <v>0</v>
      </c>
      <c r="BL22" s="116">
        <f>'P NP LAUT IKAN'!C62</f>
        <v>0</v>
      </c>
      <c r="BM22" s="116">
        <f>'P NP LAUT IKAN'!D62</f>
        <v>0</v>
      </c>
      <c r="BN22" s="116">
        <f>'P NP LAUT IKAN'!C63</f>
        <v>0</v>
      </c>
      <c r="BO22" s="116">
        <f>'P NP LAUT IKAN'!D63</f>
        <v>0</v>
      </c>
      <c r="BP22" s="116">
        <f>'P NP LAUT IKAN'!C64</f>
        <v>0</v>
      </c>
      <c r="BQ22" s="116">
        <f>'P NP LAUT IKAN'!D64</f>
        <v>0</v>
      </c>
      <c r="BR22" s="116">
        <f>'P NP LAUT IKAN'!C65</f>
        <v>0</v>
      </c>
      <c r="BS22" s="116">
        <f>'P NP LAUT IKAN'!D65</f>
        <v>0</v>
      </c>
      <c r="BT22" s="116">
        <f>'P NP LAUT IKAN'!C66</f>
        <v>0</v>
      </c>
      <c r="BU22" s="116">
        <f>'P NP LAUT IKAN'!D66</f>
        <v>0</v>
      </c>
      <c r="BV22" s="116">
        <f>'P NP LAUT IKAN'!C67</f>
        <v>0</v>
      </c>
      <c r="BW22" s="116">
        <f>'P NP LAUT IKAN'!D67</f>
        <v>0</v>
      </c>
      <c r="BX22" s="116">
        <f>'P NP LAUT IKAN'!C68</f>
        <v>0</v>
      </c>
      <c r="BY22" s="116">
        <f>'P NP LAUT IKAN'!D68</f>
        <v>0</v>
      </c>
    </row>
    <row r="23" spans="1:77">
      <c r="A23" s="260" t="s">
        <v>112</v>
      </c>
      <c r="B23" s="169">
        <f t="shared" si="2"/>
        <v>0</v>
      </c>
      <c r="C23" s="169">
        <f t="shared" si="3"/>
        <v>0</v>
      </c>
      <c r="D23" s="116">
        <f>'P NP LAUT IKAN'!AK8</f>
        <v>0</v>
      </c>
      <c r="E23" s="116">
        <f>'P NP LAUT IKAN'!AL8</f>
        <v>0</v>
      </c>
      <c r="F23" s="116">
        <f>'P NP LAUT IKAN'!AK9</f>
        <v>0</v>
      </c>
      <c r="G23" s="116">
        <f>'P NP LAUT IKAN'!AL9</f>
        <v>0</v>
      </c>
      <c r="H23" s="116">
        <f>'P NP LAUT IKAN'!AK10</f>
        <v>0</v>
      </c>
      <c r="I23" s="116">
        <f>'P NP LAUT IKAN'!AL10</f>
        <v>0</v>
      </c>
      <c r="J23" s="116">
        <f>'P NP LAUT IKAN'!AK11</f>
        <v>0</v>
      </c>
      <c r="K23" s="116">
        <f>'P NP LAUT IKAN'!AL11</f>
        <v>0</v>
      </c>
      <c r="L23" s="116">
        <f>'P NP LAUT IKAN'!AK12</f>
        <v>0</v>
      </c>
      <c r="M23" s="116">
        <f>'P NP LAUT IKAN'!AL12</f>
        <v>0</v>
      </c>
      <c r="N23" s="116">
        <f>'P NP LAUT IKAN'!AK13</f>
        <v>0</v>
      </c>
      <c r="O23" s="116">
        <f>'P NP LAUT IKAN'!AL13</f>
        <v>0</v>
      </c>
      <c r="P23" s="116">
        <f>'P NP LAUT IKAN'!AK14</f>
        <v>0</v>
      </c>
      <c r="Q23" s="116">
        <f>'P NP LAUT IKAN'!AL14</f>
        <v>0</v>
      </c>
      <c r="R23" s="116">
        <f>'P NP LAUT IKAN'!AK15</f>
        <v>0</v>
      </c>
      <c r="S23" s="116">
        <f>'P NP LAUT IKAN'!AL15</f>
        <v>0</v>
      </c>
      <c r="T23" s="116">
        <f>'P NP LAUT IKAN'!AK16</f>
        <v>0</v>
      </c>
      <c r="U23" s="116">
        <f>'P NP LAUT IKAN'!AL16</f>
        <v>0</v>
      </c>
      <c r="V23" s="116">
        <f>'P NP LAUT IKAN'!AK17</f>
        <v>0</v>
      </c>
      <c r="W23" s="116">
        <f>'P NP LAUT IKAN'!AL17</f>
        <v>0</v>
      </c>
      <c r="X23" s="116">
        <f>'P NP LAUT IKAN'!AK18</f>
        <v>0</v>
      </c>
      <c r="Y23" s="116">
        <f>'P NP LAUT IKAN'!AL18</f>
        <v>0</v>
      </c>
      <c r="Z23" s="116">
        <f>'P NP LAUT IKAN'!AK19</f>
        <v>0</v>
      </c>
      <c r="AA23" s="116">
        <f>'P NP LAUT IKAN'!AL19</f>
        <v>0</v>
      </c>
      <c r="AB23" s="116">
        <f>'P NP LAUT IKAN'!AK20</f>
        <v>0</v>
      </c>
      <c r="AC23" s="116">
        <f>'P NP LAUT IKAN'!AL20</f>
        <v>0</v>
      </c>
      <c r="AD23" s="116">
        <f>'P NP LAUT IKAN'!AK21</f>
        <v>0</v>
      </c>
      <c r="AE23" s="116">
        <f>'P NP LAUT IKAN'!AL21</f>
        <v>0</v>
      </c>
      <c r="AF23" s="116">
        <f>'P NP LAUT IKAN'!AK22</f>
        <v>0</v>
      </c>
      <c r="AG23" s="116">
        <f>'P NP LAUT IKAN'!AL22</f>
        <v>0</v>
      </c>
      <c r="AH23" s="116">
        <f>'P NP LAUT IKAN'!AK23</f>
        <v>0</v>
      </c>
      <c r="AI23" s="116">
        <f>'P NP LAUT IKAN'!AL23</f>
        <v>0</v>
      </c>
      <c r="AJ23" s="116">
        <f>'P NP LAUT IKAN'!AK24</f>
        <v>0</v>
      </c>
      <c r="AK23" s="116">
        <f>'P NP LAUT IKAN'!AL24</f>
        <v>0</v>
      </c>
      <c r="AL23" s="116">
        <f>'P NP LAUT IKAN'!AK25</f>
        <v>0</v>
      </c>
      <c r="AM23" s="116">
        <f>'P NP LAUT IKAN'!AL25</f>
        <v>0</v>
      </c>
      <c r="AN23" s="116">
        <f>'P NP LAUT IKAN'!AK26</f>
        <v>0</v>
      </c>
      <c r="AO23" s="116">
        <f>'P NP LAUT IKAN'!AL26</f>
        <v>0</v>
      </c>
      <c r="AP23" s="116">
        <f>'P NP LAUT IKAN'!AK27</f>
        <v>0</v>
      </c>
      <c r="AQ23" s="116">
        <f>'P NP LAUT IKAN'!AL27</f>
        <v>0</v>
      </c>
      <c r="AR23" s="116">
        <f>'P NP LAUT IKAN'!AK28</f>
        <v>0</v>
      </c>
      <c r="AS23" s="116">
        <f>'P NP LAUT IKAN'!AL28</f>
        <v>0</v>
      </c>
      <c r="AT23" s="116">
        <f>'P NP LAUT IKAN'!AK29</f>
        <v>0</v>
      </c>
      <c r="AU23" s="116">
        <f>'P NP LAUT IKAN'!AL29</f>
        <v>0</v>
      </c>
      <c r="AV23" s="116">
        <f>'P NP LAUT IKAN'!AK30</f>
        <v>0</v>
      </c>
      <c r="AW23" s="116">
        <f>'P NP LAUT IKAN'!AL30</f>
        <v>0</v>
      </c>
      <c r="AX23" s="116">
        <f>'P NP LAUT IKAN'!AK31</f>
        <v>0</v>
      </c>
      <c r="AY23" s="116">
        <f>'P NP LAUT IKAN'!AL31</f>
        <v>0</v>
      </c>
      <c r="AZ23" s="116">
        <f>'P NP LAUT IKAN'!AK32</f>
        <v>0</v>
      </c>
      <c r="BA23" s="116">
        <f>'P NP LAUT IKAN'!AL32</f>
        <v>0</v>
      </c>
      <c r="BB23" s="116">
        <f>'P NP LAUT IKAN'!AK33</f>
        <v>0</v>
      </c>
      <c r="BC23" s="116">
        <f>'P NP LAUT IKAN'!AL33</f>
        <v>0</v>
      </c>
      <c r="BD23" s="116">
        <f>'P NP LAUT IKAN'!AK34</f>
        <v>0</v>
      </c>
      <c r="BE23" s="116">
        <f>'P NP LAUT IKAN'!AL34</f>
        <v>0</v>
      </c>
      <c r="BF23" s="116">
        <f>'P NP LAUT IKAN'!AK43</f>
        <v>0</v>
      </c>
      <c r="BG23" s="116">
        <f>'P NP LAUT IKAN'!AL43</f>
        <v>0</v>
      </c>
      <c r="BH23" s="116">
        <f>'P NP LAUT IKAN'!AK44</f>
        <v>0</v>
      </c>
      <c r="BI23" s="116">
        <f>'P NP LAUT IKAN'!AL44</f>
        <v>0</v>
      </c>
      <c r="BJ23" s="116">
        <f>'P NP LAUT IKAN'!C62</f>
        <v>0</v>
      </c>
      <c r="BK23" s="116">
        <f>'P NP LAUT IKAN'!D62</f>
        <v>0</v>
      </c>
      <c r="BL23" s="116">
        <f>'P NP LAUT IKAN'!C63</f>
        <v>0</v>
      </c>
      <c r="BM23" s="116">
        <f>'P NP LAUT IKAN'!D63</f>
        <v>0</v>
      </c>
      <c r="BN23" s="116">
        <f>'P NP LAUT IKAN'!C64</f>
        <v>0</v>
      </c>
      <c r="BO23" s="116">
        <f>'P NP LAUT IKAN'!D64</f>
        <v>0</v>
      </c>
      <c r="BP23" s="116">
        <f>'P NP LAUT IKAN'!C65</f>
        <v>0</v>
      </c>
      <c r="BQ23" s="116">
        <f>'P NP LAUT IKAN'!D65</f>
        <v>0</v>
      </c>
      <c r="BR23" s="116">
        <f>'P NP LAUT IKAN'!C66</f>
        <v>0</v>
      </c>
      <c r="BS23" s="116">
        <f>'P NP LAUT IKAN'!D66</f>
        <v>0</v>
      </c>
      <c r="BT23" s="116">
        <f>'P NP LAUT IKAN'!C67</f>
        <v>0</v>
      </c>
      <c r="BU23" s="116">
        <f>'P NP LAUT IKAN'!D67</f>
        <v>0</v>
      </c>
      <c r="BV23" s="116">
        <f>'P NP LAUT IKAN'!C68</f>
        <v>0</v>
      </c>
      <c r="BW23" s="116">
        <f>'P NP LAUT IKAN'!D68</f>
        <v>0</v>
      </c>
      <c r="BX23" s="116">
        <f>'P NP LAUT IKAN'!C69</f>
        <v>0</v>
      </c>
      <c r="BY23" s="116">
        <f>'P NP LAUT IKAN'!D69</f>
        <v>0</v>
      </c>
    </row>
    <row r="24" spans="1:77">
      <c r="A24" s="260" t="s">
        <v>139</v>
      </c>
      <c r="B24" s="169">
        <f t="shared" si="2"/>
        <v>0</v>
      </c>
      <c r="C24" s="169">
        <f t="shared" si="3"/>
        <v>0</v>
      </c>
      <c r="D24" s="116">
        <f>'P NP LAUT IKAN'!AM8</f>
        <v>0</v>
      </c>
      <c r="E24" s="116">
        <f>'P NP LAUT IKAN'!AN8</f>
        <v>0</v>
      </c>
      <c r="F24" s="116">
        <f>'P NP LAUT IKAN'!AM9</f>
        <v>0</v>
      </c>
      <c r="G24" s="116">
        <f>'P NP LAUT IKAN'!AN9</f>
        <v>0</v>
      </c>
      <c r="H24" s="116">
        <f>'P NP LAUT IKAN'!AM10</f>
        <v>0</v>
      </c>
      <c r="I24" s="116">
        <f>'P NP LAUT IKAN'!AN10</f>
        <v>0</v>
      </c>
      <c r="J24" s="116">
        <f>'P NP LAUT IKAN'!AM11</f>
        <v>0</v>
      </c>
      <c r="K24" s="116">
        <f>'P NP LAUT IKAN'!AN11</f>
        <v>0</v>
      </c>
      <c r="L24" s="116">
        <f>'P NP LAUT IKAN'!AM12</f>
        <v>0</v>
      </c>
      <c r="M24" s="116">
        <f>'P NP LAUT IKAN'!AN12</f>
        <v>0</v>
      </c>
      <c r="N24" s="116">
        <f>'P NP LAUT IKAN'!AM13</f>
        <v>0</v>
      </c>
      <c r="O24" s="116">
        <f>'P NP LAUT IKAN'!AN13</f>
        <v>0</v>
      </c>
      <c r="P24" s="116">
        <f>'P NP LAUT IKAN'!AM14</f>
        <v>0</v>
      </c>
      <c r="Q24" s="116">
        <f>'P NP LAUT IKAN'!AN14</f>
        <v>0</v>
      </c>
      <c r="R24" s="116">
        <f>'P NP LAUT IKAN'!AM15</f>
        <v>0</v>
      </c>
      <c r="S24" s="116">
        <f>'P NP LAUT IKAN'!AN15</f>
        <v>0</v>
      </c>
      <c r="T24" s="116">
        <f>'P NP LAUT IKAN'!AM16</f>
        <v>0</v>
      </c>
      <c r="U24" s="116">
        <f>'P NP LAUT IKAN'!AN16</f>
        <v>0</v>
      </c>
      <c r="V24" s="116">
        <f>'P NP LAUT IKAN'!AM17</f>
        <v>0</v>
      </c>
      <c r="W24" s="116">
        <f>'P NP LAUT IKAN'!AN17</f>
        <v>0</v>
      </c>
      <c r="X24" s="116">
        <f>'P NP LAUT IKAN'!AM18</f>
        <v>0</v>
      </c>
      <c r="Y24" s="116">
        <f>'P NP LAUT IKAN'!AN18</f>
        <v>0</v>
      </c>
      <c r="Z24" s="116">
        <f>'P NP LAUT IKAN'!AM19</f>
        <v>0</v>
      </c>
      <c r="AA24" s="116">
        <f>'P NP LAUT IKAN'!AN19</f>
        <v>0</v>
      </c>
      <c r="AB24" s="116">
        <f>'P NP LAUT IKAN'!AM20</f>
        <v>0</v>
      </c>
      <c r="AC24" s="116">
        <f>'P NP LAUT IKAN'!AN20</f>
        <v>0</v>
      </c>
      <c r="AD24" s="116">
        <f>'P NP LAUT IKAN'!AM21</f>
        <v>0</v>
      </c>
      <c r="AE24" s="116">
        <f>'P NP LAUT IKAN'!AN21</f>
        <v>0</v>
      </c>
      <c r="AF24" s="116">
        <f>'P NP LAUT IKAN'!AM22</f>
        <v>0</v>
      </c>
      <c r="AG24" s="116">
        <f>'P NP LAUT IKAN'!AN22</f>
        <v>0</v>
      </c>
      <c r="AH24" s="116">
        <f>'P NP LAUT IKAN'!AM23</f>
        <v>0</v>
      </c>
      <c r="AI24" s="116">
        <f>'P NP LAUT IKAN'!AN23</f>
        <v>0</v>
      </c>
      <c r="AJ24" s="116">
        <f>'P NP LAUT IKAN'!AM24</f>
        <v>0</v>
      </c>
      <c r="AK24" s="116">
        <f>'P NP LAUT IKAN'!AN24</f>
        <v>0</v>
      </c>
      <c r="AL24" s="116">
        <f>'P NP LAUT IKAN'!AM25</f>
        <v>0</v>
      </c>
      <c r="AM24" s="116">
        <f>'P NP LAUT IKAN'!AN25</f>
        <v>0</v>
      </c>
      <c r="AN24" s="116">
        <f>'P NP LAUT IKAN'!AM26</f>
        <v>0</v>
      </c>
      <c r="AO24" s="116">
        <f>'P NP LAUT IKAN'!AN26</f>
        <v>0</v>
      </c>
      <c r="AP24" s="116">
        <f>'P NP LAUT IKAN'!AM27</f>
        <v>0</v>
      </c>
      <c r="AQ24" s="116">
        <f>'P NP LAUT IKAN'!AN27</f>
        <v>0</v>
      </c>
      <c r="AR24" s="116">
        <f>'P NP LAUT IKAN'!AM28</f>
        <v>0</v>
      </c>
      <c r="AS24" s="116">
        <f>'P NP LAUT IKAN'!AN28</f>
        <v>0</v>
      </c>
      <c r="AT24" s="116">
        <f>'P NP LAUT IKAN'!AM29</f>
        <v>0</v>
      </c>
      <c r="AU24" s="116">
        <f>'P NP LAUT IKAN'!AN29</f>
        <v>0</v>
      </c>
      <c r="AV24" s="116">
        <f>'P NP LAUT IKAN'!AM30</f>
        <v>0</v>
      </c>
      <c r="AW24" s="116">
        <f>'P NP LAUT IKAN'!AN30</f>
        <v>0</v>
      </c>
      <c r="AX24" s="116">
        <f>'P NP LAUT IKAN'!AM31</f>
        <v>0</v>
      </c>
      <c r="AY24" s="116">
        <f>'P NP LAUT IKAN'!AN31</f>
        <v>0</v>
      </c>
      <c r="AZ24" s="116">
        <f>'P NP LAUT IKAN'!AM32</f>
        <v>0</v>
      </c>
      <c r="BA24" s="116">
        <f>'P NP LAUT IKAN'!AN32</f>
        <v>0</v>
      </c>
      <c r="BB24" s="116">
        <f>'P NP LAUT IKAN'!AM33</f>
        <v>0</v>
      </c>
      <c r="BC24" s="116">
        <f>'P NP LAUT IKAN'!AN33</f>
        <v>0</v>
      </c>
      <c r="BD24" s="116">
        <f>'P NP LAUT IKAN'!AM34</f>
        <v>0</v>
      </c>
      <c r="BE24" s="116">
        <f>'P NP LAUT IKAN'!AN34</f>
        <v>0</v>
      </c>
      <c r="BF24" s="116">
        <f>'P NP LAUT IKAN'!AM43</f>
        <v>0</v>
      </c>
      <c r="BG24" s="116">
        <f>'P NP LAUT IKAN'!AN43</f>
        <v>0</v>
      </c>
      <c r="BH24" s="116">
        <f>'P NP LAUT IKAN'!AM44</f>
        <v>0</v>
      </c>
      <c r="BI24" s="116">
        <f>'P NP LAUT IKAN'!AN44</f>
        <v>0</v>
      </c>
      <c r="BJ24" s="116">
        <f>'P NP LAUT IKAN'!C63</f>
        <v>0</v>
      </c>
      <c r="BK24" s="116">
        <f>'P NP LAUT IKAN'!D63</f>
        <v>0</v>
      </c>
      <c r="BL24" s="116">
        <f>'P NP LAUT IKAN'!C64</f>
        <v>0</v>
      </c>
      <c r="BM24" s="116">
        <f>'P NP LAUT IKAN'!D64</f>
        <v>0</v>
      </c>
      <c r="BN24" s="116">
        <f>'P NP LAUT IKAN'!C65</f>
        <v>0</v>
      </c>
      <c r="BO24" s="116">
        <f>'P NP LAUT IKAN'!D65</f>
        <v>0</v>
      </c>
      <c r="BP24" s="116">
        <f>'P NP LAUT IKAN'!C66</f>
        <v>0</v>
      </c>
      <c r="BQ24" s="116">
        <f>'P NP LAUT IKAN'!D66</f>
        <v>0</v>
      </c>
      <c r="BR24" s="116">
        <f>'P NP LAUT IKAN'!C67</f>
        <v>0</v>
      </c>
      <c r="BS24" s="116">
        <f>'P NP LAUT IKAN'!D67</f>
        <v>0</v>
      </c>
      <c r="BT24" s="116">
        <f>'P NP LAUT IKAN'!C68</f>
        <v>0</v>
      </c>
      <c r="BU24" s="116">
        <f>'P NP LAUT IKAN'!D68</f>
        <v>0</v>
      </c>
      <c r="BV24" s="116">
        <f>'P NP LAUT IKAN'!C69</f>
        <v>0</v>
      </c>
      <c r="BW24" s="116">
        <f>'P NP LAUT IKAN'!D69</f>
        <v>0</v>
      </c>
      <c r="BX24" s="116">
        <f>'P NP LAUT IKAN'!C70</f>
        <v>0</v>
      </c>
      <c r="BY24" s="116">
        <f>'P NP LAUT IKAN'!D70</f>
        <v>0</v>
      </c>
    </row>
    <row r="25" spans="1:77">
      <c r="A25" s="260" t="s">
        <v>125</v>
      </c>
      <c r="B25" s="169">
        <f t="shared" si="2"/>
        <v>0</v>
      </c>
      <c r="C25" s="169">
        <f t="shared" si="3"/>
        <v>0</v>
      </c>
      <c r="D25" s="116">
        <f>'P NP LAUT IKAN'!AO8</f>
        <v>0</v>
      </c>
      <c r="E25" s="116">
        <f>'P NP LAUT IKAN'!AP8</f>
        <v>0</v>
      </c>
      <c r="F25" s="116">
        <f>'P NP LAUT IKAN'!AO9</f>
        <v>0</v>
      </c>
      <c r="G25" s="116">
        <f>'P NP LAUT IKAN'!AP9</f>
        <v>0</v>
      </c>
      <c r="H25" s="116">
        <f>'P NP LAUT IKAN'!AO10</f>
        <v>0</v>
      </c>
      <c r="I25" s="116">
        <f>'P NP LAUT IKAN'!AP10</f>
        <v>0</v>
      </c>
      <c r="J25" s="116">
        <f>'P NP LAUT IKAN'!AO11</f>
        <v>0</v>
      </c>
      <c r="K25" s="116">
        <f>'P NP LAUT IKAN'!AP11</f>
        <v>0</v>
      </c>
      <c r="L25" s="116">
        <f>'P NP LAUT IKAN'!AO12</f>
        <v>0</v>
      </c>
      <c r="M25" s="116">
        <f>'P NP LAUT IKAN'!AP12</f>
        <v>0</v>
      </c>
      <c r="N25" s="116">
        <f>'P NP LAUT IKAN'!AO13</f>
        <v>0</v>
      </c>
      <c r="O25" s="116">
        <f>'P NP LAUT IKAN'!AP13</f>
        <v>0</v>
      </c>
      <c r="P25" s="116">
        <f>'P NP LAUT IKAN'!AO14</f>
        <v>0</v>
      </c>
      <c r="Q25" s="116">
        <f>'P NP LAUT IKAN'!AP14</f>
        <v>0</v>
      </c>
      <c r="R25" s="116">
        <f>'P NP LAUT IKAN'!AO15</f>
        <v>0</v>
      </c>
      <c r="S25" s="116">
        <f>'P NP LAUT IKAN'!AP15</f>
        <v>0</v>
      </c>
      <c r="T25" s="116">
        <f>'P NP LAUT IKAN'!AO16</f>
        <v>0</v>
      </c>
      <c r="U25" s="116">
        <f>'P NP LAUT IKAN'!AP16</f>
        <v>0</v>
      </c>
      <c r="V25" s="116">
        <f>'P NP LAUT IKAN'!AO17</f>
        <v>0</v>
      </c>
      <c r="W25" s="116">
        <f>'P NP LAUT IKAN'!AP17</f>
        <v>0</v>
      </c>
      <c r="X25" s="116">
        <f>'P NP LAUT IKAN'!AO18</f>
        <v>0</v>
      </c>
      <c r="Y25" s="116">
        <f>'P NP LAUT IKAN'!AP18</f>
        <v>0</v>
      </c>
      <c r="Z25" s="116">
        <f>'P NP LAUT IKAN'!AO19</f>
        <v>0</v>
      </c>
      <c r="AA25" s="116">
        <f>'P NP LAUT IKAN'!AP19</f>
        <v>0</v>
      </c>
      <c r="AB25" s="116">
        <f>'P NP LAUT IKAN'!AO20</f>
        <v>0</v>
      </c>
      <c r="AC25" s="116">
        <f>'P NP LAUT IKAN'!AP20</f>
        <v>0</v>
      </c>
      <c r="AD25" s="116">
        <f>'P NP LAUT IKAN'!AO21</f>
        <v>0</v>
      </c>
      <c r="AE25" s="116">
        <f>'P NP LAUT IKAN'!AP21</f>
        <v>0</v>
      </c>
      <c r="AF25" s="116">
        <f>'P NP LAUT IKAN'!AO22</f>
        <v>0</v>
      </c>
      <c r="AG25" s="116">
        <f>'P NP LAUT IKAN'!AP22</f>
        <v>0</v>
      </c>
      <c r="AH25" s="116">
        <f>'P NP LAUT IKAN'!AO23</f>
        <v>0</v>
      </c>
      <c r="AI25" s="116">
        <f>'P NP LAUT IKAN'!AP23</f>
        <v>0</v>
      </c>
      <c r="AJ25" s="116">
        <f>'P NP LAUT IKAN'!AO24</f>
        <v>0</v>
      </c>
      <c r="AK25" s="116">
        <f>'P NP LAUT IKAN'!AP24</f>
        <v>0</v>
      </c>
      <c r="AL25" s="116">
        <f>'P NP LAUT IKAN'!AO25</f>
        <v>0</v>
      </c>
      <c r="AM25" s="116">
        <f>'P NP LAUT IKAN'!AP25</f>
        <v>0</v>
      </c>
      <c r="AN25" s="116">
        <f>'P NP LAUT IKAN'!AO26</f>
        <v>0</v>
      </c>
      <c r="AO25" s="116">
        <f>'P NP LAUT IKAN'!AP26</f>
        <v>0</v>
      </c>
      <c r="AP25" s="116">
        <f>'P NP LAUT IKAN'!AO27</f>
        <v>0</v>
      </c>
      <c r="AQ25" s="116">
        <f>'P NP LAUT IKAN'!AP27</f>
        <v>0</v>
      </c>
      <c r="AR25" s="116">
        <f>'P NP LAUT IKAN'!AO28</f>
        <v>0</v>
      </c>
      <c r="AS25" s="116">
        <f>'P NP LAUT IKAN'!AP28</f>
        <v>0</v>
      </c>
      <c r="AT25" s="116">
        <f>'P NP LAUT IKAN'!AO29</f>
        <v>0</v>
      </c>
      <c r="AU25" s="116">
        <f>'P NP LAUT IKAN'!AP29</f>
        <v>0</v>
      </c>
      <c r="AV25" s="116">
        <f>'P NP LAUT IKAN'!AO30</f>
        <v>0</v>
      </c>
      <c r="AW25" s="116">
        <f>'P NP LAUT IKAN'!AP30</f>
        <v>0</v>
      </c>
      <c r="AX25" s="116">
        <f>'P NP LAUT IKAN'!AO31</f>
        <v>0</v>
      </c>
      <c r="AY25" s="116">
        <f>'P NP LAUT IKAN'!AP31</f>
        <v>0</v>
      </c>
      <c r="AZ25" s="116">
        <f>'P NP LAUT IKAN'!AO32</f>
        <v>0</v>
      </c>
      <c r="BA25" s="116">
        <f>'P NP LAUT IKAN'!AP32</f>
        <v>0</v>
      </c>
      <c r="BB25" s="116">
        <f>'P NP LAUT IKAN'!AO33</f>
        <v>0</v>
      </c>
      <c r="BC25" s="116">
        <f>'P NP LAUT IKAN'!AP33</f>
        <v>0</v>
      </c>
      <c r="BD25" s="116">
        <f>'P NP LAUT IKAN'!AO34</f>
        <v>0</v>
      </c>
      <c r="BE25" s="116">
        <f>'P NP LAUT IKAN'!AP34</f>
        <v>0</v>
      </c>
      <c r="BF25" s="116">
        <f>'P NP LAUT IKAN'!AO43</f>
        <v>0</v>
      </c>
      <c r="BG25" s="116">
        <f>'P NP LAUT IKAN'!AP43</f>
        <v>0</v>
      </c>
      <c r="BH25" s="116">
        <f>'P NP LAUT IKAN'!AO44</f>
        <v>0</v>
      </c>
      <c r="BI25" s="116">
        <f>'P NP LAUT IKAN'!AP44</f>
        <v>0</v>
      </c>
      <c r="BJ25" s="116">
        <f>'P NP LAUT IKAN'!C64</f>
        <v>0</v>
      </c>
      <c r="BK25" s="116">
        <f>'P NP LAUT IKAN'!D64</f>
        <v>0</v>
      </c>
      <c r="BL25" s="116">
        <f>'P NP LAUT IKAN'!C65</f>
        <v>0</v>
      </c>
      <c r="BM25" s="116">
        <f>'P NP LAUT IKAN'!D65</f>
        <v>0</v>
      </c>
      <c r="BN25" s="116">
        <f>'P NP LAUT IKAN'!C66</f>
        <v>0</v>
      </c>
      <c r="BO25" s="116">
        <f>'P NP LAUT IKAN'!D66</f>
        <v>0</v>
      </c>
      <c r="BP25" s="116">
        <f>'P NP LAUT IKAN'!C67</f>
        <v>0</v>
      </c>
      <c r="BQ25" s="116">
        <f>'P NP LAUT IKAN'!D67</f>
        <v>0</v>
      </c>
      <c r="BR25" s="116">
        <f>'P NP LAUT IKAN'!C68</f>
        <v>0</v>
      </c>
      <c r="BS25" s="116">
        <f>'P NP LAUT IKAN'!D68</f>
        <v>0</v>
      </c>
      <c r="BT25" s="116">
        <f>'P NP LAUT IKAN'!C69</f>
        <v>0</v>
      </c>
      <c r="BU25" s="116">
        <f>'P NP LAUT IKAN'!D69</f>
        <v>0</v>
      </c>
      <c r="BV25" s="116">
        <f>'P NP LAUT IKAN'!C70</f>
        <v>0</v>
      </c>
      <c r="BW25" s="116">
        <f>'P NP LAUT IKAN'!D70</f>
        <v>0</v>
      </c>
      <c r="BX25" s="116">
        <f>'P NP LAUT IKAN'!C71</f>
        <v>0</v>
      </c>
      <c r="BY25" s="116">
        <f>'P NP LAUT IKAN'!D71</f>
        <v>0</v>
      </c>
    </row>
    <row r="26" spans="1:77">
      <c r="A26" s="260" t="s">
        <v>113</v>
      </c>
      <c r="B26" s="169">
        <f t="shared" si="2"/>
        <v>0</v>
      </c>
      <c r="C26" s="169">
        <f t="shared" si="3"/>
        <v>0</v>
      </c>
      <c r="D26" s="116">
        <f>'P NP LAUT IKAN'!AQ8</f>
        <v>0</v>
      </c>
      <c r="E26" s="116">
        <f>'P NP LAUT IKAN'!AR8</f>
        <v>0</v>
      </c>
      <c r="F26" s="116">
        <f>'P NP LAUT IKAN'!AQ9</f>
        <v>0</v>
      </c>
      <c r="G26" s="116">
        <f>'P NP LAUT IKAN'!AR9</f>
        <v>0</v>
      </c>
      <c r="H26" s="116">
        <f>'P NP LAUT IKAN'!AQ10</f>
        <v>0</v>
      </c>
      <c r="I26" s="116">
        <f>'P NP LAUT IKAN'!AR10</f>
        <v>0</v>
      </c>
      <c r="J26" s="116">
        <f>'P NP LAUT IKAN'!AQ11</f>
        <v>0</v>
      </c>
      <c r="K26" s="116">
        <f>'P NP LAUT IKAN'!AR11</f>
        <v>0</v>
      </c>
      <c r="L26" s="116">
        <f>'P NP LAUT IKAN'!AQ12</f>
        <v>0</v>
      </c>
      <c r="M26" s="116">
        <f>'P NP LAUT IKAN'!AR12</f>
        <v>0</v>
      </c>
      <c r="N26" s="116">
        <f>'P NP LAUT IKAN'!AQ13</f>
        <v>0</v>
      </c>
      <c r="O26" s="116">
        <f>'P NP LAUT IKAN'!AR13</f>
        <v>0</v>
      </c>
      <c r="P26" s="116">
        <f>'P NP LAUT IKAN'!AQ14</f>
        <v>0</v>
      </c>
      <c r="Q26" s="116">
        <f>'P NP LAUT IKAN'!AR14</f>
        <v>0</v>
      </c>
      <c r="R26" s="116">
        <f>'P NP LAUT IKAN'!AQ15</f>
        <v>0</v>
      </c>
      <c r="S26" s="116">
        <f>'P NP LAUT IKAN'!AR15</f>
        <v>0</v>
      </c>
      <c r="T26" s="116">
        <f>'P NP LAUT IKAN'!AQ16</f>
        <v>0</v>
      </c>
      <c r="U26" s="116">
        <f>'P NP LAUT IKAN'!AR16</f>
        <v>0</v>
      </c>
      <c r="V26" s="116">
        <f>'P NP LAUT IKAN'!AQ17</f>
        <v>0</v>
      </c>
      <c r="W26" s="116">
        <f>'P NP LAUT IKAN'!AR17</f>
        <v>0</v>
      </c>
      <c r="X26" s="116">
        <f>'P NP LAUT IKAN'!AQ18</f>
        <v>0</v>
      </c>
      <c r="Y26" s="116">
        <f>'P NP LAUT IKAN'!AR18</f>
        <v>0</v>
      </c>
      <c r="Z26" s="116">
        <f>'P NP LAUT IKAN'!AQ19</f>
        <v>0</v>
      </c>
      <c r="AA26" s="116">
        <f>'P NP LAUT IKAN'!AR19</f>
        <v>0</v>
      </c>
      <c r="AB26" s="116">
        <f>'P NP LAUT IKAN'!AQ20</f>
        <v>0</v>
      </c>
      <c r="AC26" s="116">
        <f>'P NP LAUT IKAN'!AR20</f>
        <v>0</v>
      </c>
      <c r="AD26" s="116">
        <f>'P NP LAUT IKAN'!AQ21</f>
        <v>0</v>
      </c>
      <c r="AE26" s="116">
        <f>'P NP LAUT IKAN'!AR21</f>
        <v>0</v>
      </c>
      <c r="AF26" s="116">
        <f>'P NP LAUT IKAN'!AQ22</f>
        <v>0</v>
      </c>
      <c r="AG26" s="116">
        <f>'P NP LAUT IKAN'!AR22</f>
        <v>0</v>
      </c>
      <c r="AH26" s="116">
        <f>'P NP LAUT IKAN'!AQ23</f>
        <v>0</v>
      </c>
      <c r="AI26" s="116">
        <f>'P NP LAUT IKAN'!AR23</f>
        <v>0</v>
      </c>
      <c r="AJ26" s="116">
        <f>'P NP LAUT IKAN'!AQ24</f>
        <v>0</v>
      </c>
      <c r="AK26" s="116">
        <f>'P NP LAUT IKAN'!AR24</f>
        <v>0</v>
      </c>
      <c r="AL26" s="116">
        <f>'P NP LAUT IKAN'!AQ25</f>
        <v>0</v>
      </c>
      <c r="AM26" s="116">
        <f>'P NP LAUT IKAN'!AR25</f>
        <v>0</v>
      </c>
      <c r="AN26" s="116">
        <f>'P NP LAUT IKAN'!AQ26</f>
        <v>0</v>
      </c>
      <c r="AO26" s="116">
        <f>'P NP LAUT IKAN'!AR26</f>
        <v>0</v>
      </c>
      <c r="AP26" s="116">
        <f>'P NP LAUT IKAN'!AQ27</f>
        <v>0</v>
      </c>
      <c r="AQ26" s="116">
        <f>'P NP LAUT IKAN'!AR27</f>
        <v>0</v>
      </c>
      <c r="AR26" s="116">
        <f>'P NP LAUT IKAN'!AQ28</f>
        <v>0</v>
      </c>
      <c r="AS26" s="116">
        <f>'P NP LAUT IKAN'!AR28</f>
        <v>0</v>
      </c>
      <c r="AT26" s="116">
        <f>'P NP LAUT IKAN'!AQ29</f>
        <v>0</v>
      </c>
      <c r="AU26" s="116">
        <f>'P NP LAUT IKAN'!AR29</f>
        <v>0</v>
      </c>
      <c r="AV26" s="116">
        <f>'P NP LAUT IKAN'!AQ30</f>
        <v>0</v>
      </c>
      <c r="AW26" s="116">
        <f>'P NP LAUT IKAN'!AR30</f>
        <v>0</v>
      </c>
      <c r="AX26" s="116">
        <f>'P NP LAUT IKAN'!AQ31</f>
        <v>0</v>
      </c>
      <c r="AY26" s="116">
        <f>'P NP LAUT IKAN'!AR31</f>
        <v>0</v>
      </c>
      <c r="AZ26" s="116">
        <f>'P NP LAUT IKAN'!AQ32</f>
        <v>0</v>
      </c>
      <c r="BA26" s="116">
        <f>'P NP LAUT IKAN'!AR32</f>
        <v>0</v>
      </c>
      <c r="BB26" s="116">
        <f>'P NP LAUT IKAN'!AQ33</f>
        <v>0</v>
      </c>
      <c r="BC26" s="116">
        <f>'P NP LAUT IKAN'!AR33</f>
        <v>0</v>
      </c>
      <c r="BD26" s="116">
        <f>'P NP LAUT IKAN'!AQ34</f>
        <v>0</v>
      </c>
      <c r="BE26" s="116">
        <f>'P NP LAUT IKAN'!AR34</f>
        <v>0</v>
      </c>
      <c r="BF26" s="116">
        <f>'P NP LAUT IKAN'!AQ43</f>
        <v>0</v>
      </c>
      <c r="BG26" s="116">
        <f>'P NP LAUT IKAN'!AR43</f>
        <v>0</v>
      </c>
      <c r="BH26" s="116">
        <f>'P NP LAUT IKAN'!AQ44</f>
        <v>0</v>
      </c>
      <c r="BI26" s="116">
        <f>'P NP LAUT IKAN'!AR44</f>
        <v>0</v>
      </c>
      <c r="BJ26" s="116">
        <f>'P NP LAUT IKAN'!C65</f>
        <v>0</v>
      </c>
      <c r="BK26" s="116">
        <f>'P NP LAUT IKAN'!D65</f>
        <v>0</v>
      </c>
      <c r="BL26" s="116">
        <f>'P NP LAUT IKAN'!C66</f>
        <v>0</v>
      </c>
      <c r="BM26" s="116">
        <f>'P NP LAUT IKAN'!D66</f>
        <v>0</v>
      </c>
      <c r="BN26" s="116">
        <f>'P NP LAUT IKAN'!C67</f>
        <v>0</v>
      </c>
      <c r="BO26" s="116">
        <f>'P NP LAUT IKAN'!D67</f>
        <v>0</v>
      </c>
      <c r="BP26" s="116">
        <f>'P NP LAUT IKAN'!C68</f>
        <v>0</v>
      </c>
      <c r="BQ26" s="116">
        <f>'P NP LAUT IKAN'!D68</f>
        <v>0</v>
      </c>
      <c r="BR26" s="116">
        <f>'P NP LAUT IKAN'!C69</f>
        <v>0</v>
      </c>
      <c r="BS26" s="116">
        <f>'P NP LAUT IKAN'!D69</f>
        <v>0</v>
      </c>
      <c r="BT26" s="116">
        <f>'P NP LAUT IKAN'!C70</f>
        <v>0</v>
      </c>
      <c r="BU26" s="116">
        <f>'P NP LAUT IKAN'!D70</f>
        <v>0</v>
      </c>
      <c r="BV26" s="116">
        <f>'P NP LAUT IKAN'!C71</f>
        <v>0</v>
      </c>
      <c r="BW26" s="116">
        <f>'P NP LAUT IKAN'!D71</f>
        <v>0</v>
      </c>
      <c r="BX26" s="116">
        <f>'P NP LAUT IKAN'!C72</f>
        <v>0</v>
      </c>
      <c r="BY26" s="116">
        <f>'P NP LAUT IKAN'!D72</f>
        <v>0</v>
      </c>
    </row>
    <row r="27" spans="1:77">
      <c r="A27" s="260" t="s">
        <v>124</v>
      </c>
      <c r="B27" s="169">
        <f t="shared" si="2"/>
        <v>435150</v>
      </c>
      <c r="C27" s="169">
        <f t="shared" si="3"/>
        <v>36987750</v>
      </c>
      <c r="D27" s="116">
        <f>'P NP LAUT IKAN'!AS8</f>
        <v>0</v>
      </c>
      <c r="E27" s="116">
        <f>'P NP LAUT IKAN'!AT8</f>
        <v>0</v>
      </c>
      <c r="F27" s="116">
        <f>'P NP LAUT IKAN'!AS9</f>
        <v>0</v>
      </c>
      <c r="G27" s="116">
        <f>'P NP LAUT IKAN'!AT9</f>
        <v>0</v>
      </c>
      <c r="H27" s="116">
        <f>'P NP LAUT IKAN'!AS10</f>
        <v>0</v>
      </c>
      <c r="I27" s="116">
        <f>'P NP LAUT IKAN'!AT10</f>
        <v>0</v>
      </c>
      <c r="J27" s="116">
        <f>'P NP LAUT IKAN'!AS11</f>
        <v>0</v>
      </c>
      <c r="K27" s="116">
        <f>'P NP LAUT IKAN'!AT11</f>
        <v>0</v>
      </c>
      <c r="L27" s="116">
        <f>'P NP LAUT IKAN'!AS12</f>
        <v>0</v>
      </c>
      <c r="M27" s="116">
        <f>'P NP LAUT IKAN'!AT12</f>
        <v>0</v>
      </c>
      <c r="N27" s="116">
        <f>'P NP LAUT IKAN'!AS13</f>
        <v>0</v>
      </c>
      <c r="O27" s="116">
        <f>'P NP LAUT IKAN'!AT13</f>
        <v>0</v>
      </c>
      <c r="P27" s="116">
        <f>'P NP LAUT IKAN'!AS14</f>
        <v>0</v>
      </c>
      <c r="Q27" s="116">
        <f>'P NP LAUT IKAN'!AT14</f>
        <v>0</v>
      </c>
      <c r="R27" s="116">
        <f>'P NP LAUT IKAN'!AS15</f>
        <v>0</v>
      </c>
      <c r="S27" s="116">
        <f>'P NP LAUT IKAN'!AT15</f>
        <v>0</v>
      </c>
      <c r="T27" s="116">
        <f>'P NP LAUT IKAN'!AS16</f>
        <v>0</v>
      </c>
      <c r="U27" s="116">
        <f>'P NP LAUT IKAN'!AT16</f>
        <v>0</v>
      </c>
      <c r="V27" s="116">
        <f>'P NP LAUT IKAN'!AS17</f>
        <v>0</v>
      </c>
      <c r="W27" s="116">
        <f>'P NP LAUT IKAN'!AT17</f>
        <v>0</v>
      </c>
      <c r="X27" s="116">
        <f>'P NP LAUT IKAN'!AS18</f>
        <v>435150</v>
      </c>
      <c r="Y27" s="116">
        <f>'P NP LAUT IKAN'!AT18</f>
        <v>36987750</v>
      </c>
      <c r="Z27" s="116">
        <f>'P NP LAUT IKAN'!AS19</f>
        <v>0</v>
      </c>
      <c r="AA27" s="116">
        <f>'P NP LAUT IKAN'!AT19</f>
        <v>0</v>
      </c>
      <c r="AB27" s="116">
        <f>'P NP LAUT IKAN'!AS20</f>
        <v>0</v>
      </c>
      <c r="AC27" s="116">
        <f>'P NP LAUT IKAN'!AT20</f>
        <v>0</v>
      </c>
      <c r="AD27" s="116">
        <f>'P NP LAUT IKAN'!AS21</f>
        <v>0</v>
      </c>
      <c r="AE27" s="116">
        <f>'P NP LAUT IKAN'!AT21</f>
        <v>0</v>
      </c>
      <c r="AF27" s="116">
        <f>'P NP LAUT IKAN'!AS22</f>
        <v>0</v>
      </c>
      <c r="AG27" s="116">
        <f>'P NP LAUT IKAN'!AT22</f>
        <v>0</v>
      </c>
      <c r="AH27" s="116">
        <f>'P NP LAUT IKAN'!AS23</f>
        <v>0</v>
      </c>
      <c r="AI27" s="116">
        <f>'P NP LAUT IKAN'!AT23</f>
        <v>0</v>
      </c>
      <c r="AJ27" s="116">
        <f>'P NP LAUT IKAN'!AS24</f>
        <v>0</v>
      </c>
      <c r="AK27" s="116">
        <f>'P NP LAUT IKAN'!AT24</f>
        <v>0</v>
      </c>
      <c r="AL27" s="116">
        <f>'P NP LAUT IKAN'!AS25</f>
        <v>0</v>
      </c>
      <c r="AM27" s="116">
        <f>'P NP LAUT IKAN'!AT25</f>
        <v>0</v>
      </c>
      <c r="AN27" s="116">
        <f>'P NP LAUT IKAN'!AS26</f>
        <v>0</v>
      </c>
      <c r="AO27" s="116">
        <f>'P NP LAUT IKAN'!AT26</f>
        <v>0</v>
      </c>
      <c r="AP27" s="116">
        <f>'P NP LAUT IKAN'!AS27</f>
        <v>0</v>
      </c>
      <c r="AQ27" s="116">
        <f>'P NP LAUT IKAN'!AT27</f>
        <v>0</v>
      </c>
      <c r="AR27" s="116">
        <f>'P NP LAUT IKAN'!AS28</f>
        <v>0</v>
      </c>
      <c r="AS27" s="116">
        <f>'P NP LAUT IKAN'!AT28</f>
        <v>0</v>
      </c>
      <c r="AT27" s="116">
        <f>'P NP LAUT IKAN'!AS29</f>
        <v>0</v>
      </c>
      <c r="AU27" s="116">
        <f>'P NP LAUT IKAN'!AT29</f>
        <v>0</v>
      </c>
      <c r="AV27" s="116">
        <f>'P NP LAUT IKAN'!AS30</f>
        <v>0</v>
      </c>
      <c r="AW27" s="116">
        <f>'P NP LAUT IKAN'!AT30</f>
        <v>0</v>
      </c>
      <c r="AX27" s="116">
        <f>'P NP LAUT IKAN'!AS31</f>
        <v>0</v>
      </c>
      <c r="AY27" s="116">
        <f>'P NP LAUT IKAN'!AT31</f>
        <v>0</v>
      </c>
      <c r="AZ27" s="116">
        <f>'P NP LAUT IKAN'!AS32</f>
        <v>0</v>
      </c>
      <c r="BA27" s="116">
        <f>'P NP LAUT IKAN'!AT32</f>
        <v>0</v>
      </c>
      <c r="BB27" s="116">
        <f>'P NP LAUT IKAN'!AS33</f>
        <v>0</v>
      </c>
      <c r="BC27" s="116">
        <f>'P NP LAUT IKAN'!AT33</f>
        <v>0</v>
      </c>
      <c r="BD27" s="116">
        <f>'P NP LAUT IKAN'!AS34</f>
        <v>0</v>
      </c>
      <c r="BE27" s="116">
        <f>'P NP LAUT IKAN'!AT34</f>
        <v>0</v>
      </c>
      <c r="BF27" s="116">
        <f>'P NP LAUT IKAN'!AS43</f>
        <v>0</v>
      </c>
      <c r="BG27" s="116">
        <f>'P NP LAUT IKAN'!AT43</f>
        <v>0</v>
      </c>
      <c r="BH27" s="116">
        <f>'P NP LAUT IKAN'!AS44</f>
        <v>0</v>
      </c>
      <c r="BI27" s="116">
        <f>'P NP LAUT IKAN'!AT44</f>
        <v>0</v>
      </c>
      <c r="BJ27" s="116">
        <f>'P NP LAUT IKAN'!C66</f>
        <v>0</v>
      </c>
      <c r="BK27" s="116">
        <f>'P NP LAUT IKAN'!D66</f>
        <v>0</v>
      </c>
      <c r="BL27" s="116">
        <f>'P NP LAUT IKAN'!C67</f>
        <v>0</v>
      </c>
      <c r="BM27" s="116">
        <f>'P NP LAUT IKAN'!D67</f>
        <v>0</v>
      </c>
      <c r="BN27" s="116">
        <f>'P NP LAUT IKAN'!C68</f>
        <v>0</v>
      </c>
      <c r="BO27" s="116">
        <f>'P NP LAUT IKAN'!D68</f>
        <v>0</v>
      </c>
      <c r="BP27" s="116">
        <f>'P NP LAUT IKAN'!C69</f>
        <v>0</v>
      </c>
      <c r="BQ27" s="116">
        <f>'P NP LAUT IKAN'!D69</f>
        <v>0</v>
      </c>
      <c r="BR27" s="116">
        <f>'P NP LAUT IKAN'!C70</f>
        <v>0</v>
      </c>
      <c r="BS27" s="116">
        <f>'P NP LAUT IKAN'!D70</f>
        <v>0</v>
      </c>
      <c r="BT27" s="116">
        <f>'P NP LAUT IKAN'!C71</f>
        <v>0</v>
      </c>
      <c r="BU27" s="116">
        <f>'P NP LAUT IKAN'!D71</f>
        <v>0</v>
      </c>
      <c r="BV27" s="116">
        <f>'P NP LAUT IKAN'!C72</f>
        <v>0</v>
      </c>
      <c r="BW27" s="116">
        <f>'P NP LAUT IKAN'!D72</f>
        <v>0</v>
      </c>
      <c r="BX27" s="116">
        <f>'P NP LAUT IKAN'!C73</f>
        <v>0</v>
      </c>
      <c r="BY27" s="116">
        <f>'P NP LAUT IKAN'!D73</f>
        <v>0</v>
      </c>
    </row>
    <row r="28" spans="1:77">
      <c r="A28" s="260" t="s">
        <v>138</v>
      </c>
      <c r="B28" s="169">
        <f t="shared" si="2"/>
        <v>0</v>
      </c>
      <c r="C28" s="169">
        <f t="shared" si="3"/>
        <v>0</v>
      </c>
      <c r="D28" s="116">
        <f>'P NP LAUT IKAN'!AU8</f>
        <v>0</v>
      </c>
      <c r="E28" s="116">
        <f>'P NP LAUT IKAN'!AV8</f>
        <v>0</v>
      </c>
      <c r="F28" s="116">
        <f>'P NP LAUT IKAN'!AU9</f>
        <v>0</v>
      </c>
      <c r="G28" s="116">
        <f>'P NP LAUT IKAN'!AV9</f>
        <v>0</v>
      </c>
      <c r="H28" s="116">
        <f>'P NP LAUT IKAN'!AU10</f>
        <v>0</v>
      </c>
      <c r="I28" s="116">
        <f>'P NP LAUT IKAN'!AV10</f>
        <v>0</v>
      </c>
      <c r="J28" s="116">
        <f>'P NP LAUT IKAN'!AU11</f>
        <v>0</v>
      </c>
      <c r="K28" s="116">
        <f>'P NP LAUT IKAN'!AV11</f>
        <v>0</v>
      </c>
      <c r="L28" s="116">
        <f>'P NP LAUT IKAN'!AU12</f>
        <v>0</v>
      </c>
      <c r="M28" s="116">
        <f>'P NP LAUT IKAN'!AV12</f>
        <v>0</v>
      </c>
      <c r="N28" s="116">
        <f>'P NP LAUT IKAN'!AU13</f>
        <v>0</v>
      </c>
      <c r="O28" s="116">
        <f>'P NP LAUT IKAN'!AV13</f>
        <v>0</v>
      </c>
      <c r="P28" s="116">
        <f>'P NP LAUT IKAN'!AU14</f>
        <v>0</v>
      </c>
      <c r="Q28" s="116">
        <f>'P NP LAUT IKAN'!AV14</f>
        <v>0</v>
      </c>
      <c r="R28" s="116">
        <f>'P NP LAUT IKAN'!AU15</f>
        <v>0</v>
      </c>
      <c r="S28" s="116">
        <f>'P NP LAUT IKAN'!AV15</f>
        <v>0</v>
      </c>
      <c r="T28" s="116">
        <f>'P NP LAUT IKAN'!AU16</f>
        <v>0</v>
      </c>
      <c r="U28" s="116">
        <f>'P NP LAUT IKAN'!AV16</f>
        <v>0</v>
      </c>
      <c r="V28" s="116">
        <f>'P NP LAUT IKAN'!AU17</f>
        <v>0</v>
      </c>
      <c r="W28" s="116">
        <f>'P NP LAUT IKAN'!AV17</f>
        <v>0</v>
      </c>
      <c r="X28" s="116">
        <f>'P NP LAUT IKAN'!AU18</f>
        <v>0</v>
      </c>
      <c r="Y28" s="116">
        <f>'P NP LAUT IKAN'!AV18</f>
        <v>0</v>
      </c>
      <c r="Z28" s="116">
        <f>'P NP LAUT IKAN'!AU19</f>
        <v>0</v>
      </c>
      <c r="AA28" s="116">
        <f>'P NP LAUT IKAN'!AV19</f>
        <v>0</v>
      </c>
      <c r="AB28" s="116">
        <f>'P NP LAUT IKAN'!AU20</f>
        <v>0</v>
      </c>
      <c r="AC28" s="116">
        <f>'P NP LAUT IKAN'!AV20</f>
        <v>0</v>
      </c>
      <c r="AD28" s="116">
        <f>'P NP LAUT IKAN'!AU21</f>
        <v>0</v>
      </c>
      <c r="AE28" s="116">
        <f>'P NP LAUT IKAN'!AV21</f>
        <v>0</v>
      </c>
      <c r="AF28" s="116">
        <f>'P NP LAUT IKAN'!AU22</f>
        <v>0</v>
      </c>
      <c r="AG28" s="116">
        <f>'P NP LAUT IKAN'!AV22</f>
        <v>0</v>
      </c>
      <c r="AH28" s="116">
        <f>'P NP LAUT IKAN'!AU23</f>
        <v>0</v>
      </c>
      <c r="AI28" s="116">
        <f>'P NP LAUT IKAN'!AV23</f>
        <v>0</v>
      </c>
      <c r="AJ28" s="116">
        <f>'P NP LAUT IKAN'!AU24</f>
        <v>0</v>
      </c>
      <c r="AK28" s="116">
        <f>'P NP LAUT IKAN'!AV24</f>
        <v>0</v>
      </c>
      <c r="AL28" s="116">
        <f>'P NP LAUT IKAN'!AU25</f>
        <v>0</v>
      </c>
      <c r="AM28" s="116">
        <f>'P NP LAUT IKAN'!AV25</f>
        <v>0</v>
      </c>
      <c r="AN28" s="116">
        <f>'P NP LAUT IKAN'!AU26</f>
        <v>0</v>
      </c>
      <c r="AO28" s="116">
        <f>'P NP LAUT IKAN'!AV26</f>
        <v>0</v>
      </c>
      <c r="AP28" s="116">
        <f>'P NP LAUT IKAN'!AU27</f>
        <v>0</v>
      </c>
      <c r="AQ28" s="116">
        <f>'P NP LAUT IKAN'!AV27</f>
        <v>0</v>
      </c>
      <c r="AR28" s="116">
        <f>'P NP LAUT IKAN'!AU28</f>
        <v>0</v>
      </c>
      <c r="AS28" s="116">
        <f>'P NP LAUT IKAN'!AV28</f>
        <v>0</v>
      </c>
      <c r="AT28" s="116">
        <f>'P NP LAUT IKAN'!AU29</f>
        <v>0</v>
      </c>
      <c r="AU28" s="116">
        <f>'P NP LAUT IKAN'!AV29</f>
        <v>0</v>
      </c>
      <c r="AV28" s="116">
        <f>'P NP LAUT IKAN'!AU30</f>
        <v>0</v>
      </c>
      <c r="AW28" s="116">
        <f>'P NP LAUT IKAN'!AV30</f>
        <v>0</v>
      </c>
      <c r="AX28" s="116">
        <f>'P NP LAUT IKAN'!AU31</f>
        <v>0</v>
      </c>
      <c r="AY28" s="116">
        <f>'P NP LAUT IKAN'!AV31</f>
        <v>0</v>
      </c>
      <c r="AZ28" s="116">
        <f>'P NP LAUT IKAN'!AU32</f>
        <v>0</v>
      </c>
      <c r="BA28" s="116">
        <f>'P NP LAUT IKAN'!AV32</f>
        <v>0</v>
      </c>
      <c r="BB28" s="116">
        <f>'P NP LAUT IKAN'!AU33</f>
        <v>0</v>
      </c>
      <c r="BC28" s="116">
        <f>'P NP LAUT IKAN'!AV33</f>
        <v>0</v>
      </c>
      <c r="BD28" s="116">
        <f>'P NP LAUT IKAN'!AU34</f>
        <v>0</v>
      </c>
      <c r="BE28" s="116">
        <f>'P NP LAUT IKAN'!AV34</f>
        <v>0</v>
      </c>
      <c r="BF28" s="116">
        <f>'P NP LAUT IKAN'!AU43</f>
        <v>0</v>
      </c>
      <c r="BG28" s="116">
        <f>'P NP LAUT IKAN'!AV43</f>
        <v>0</v>
      </c>
      <c r="BH28" s="116">
        <f>'P NP LAUT IKAN'!AU44</f>
        <v>0</v>
      </c>
      <c r="BI28" s="116">
        <f>'P NP LAUT IKAN'!AV44</f>
        <v>0</v>
      </c>
      <c r="BJ28" s="116">
        <f>'P NP LAUT IKAN'!C67</f>
        <v>0</v>
      </c>
      <c r="BK28" s="116">
        <f>'P NP LAUT IKAN'!D67</f>
        <v>0</v>
      </c>
      <c r="BL28" s="116">
        <f>'P NP LAUT IKAN'!C68</f>
        <v>0</v>
      </c>
      <c r="BM28" s="116">
        <f>'P NP LAUT IKAN'!D68</f>
        <v>0</v>
      </c>
      <c r="BN28" s="116">
        <f>'P NP LAUT IKAN'!C69</f>
        <v>0</v>
      </c>
      <c r="BO28" s="116">
        <f>'P NP LAUT IKAN'!D69</f>
        <v>0</v>
      </c>
      <c r="BP28" s="116">
        <f>'P NP LAUT IKAN'!C70</f>
        <v>0</v>
      </c>
      <c r="BQ28" s="116">
        <f>'P NP LAUT IKAN'!D70</f>
        <v>0</v>
      </c>
      <c r="BR28" s="116">
        <f>'P NP LAUT IKAN'!C71</f>
        <v>0</v>
      </c>
      <c r="BS28" s="116">
        <f>'P NP LAUT IKAN'!D71</f>
        <v>0</v>
      </c>
      <c r="BT28" s="116">
        <f>'P NP LAUT IKAN'!C72</f>
        <v>0</v>
      </c>
      <c r="BU28" s="116">
        <f>'P NP LAUT IKAN'!D72</f>
        <v>0</v>
      </c>
      <c r="BV28" s="116">
        <f>'P NP LAUT IKAN'!C73</f>
        <v>0</v>
      </c>
      <c r="BW28" s="116">
        <f>'P NP LAUT IKAN'!D73</f>
        <v>0</v>
      </c>
      <c r="BX28" s="116">
        <f>'P NP LAUT IKAN'!C74</f>
        <v>0</v>
      </c>
      <c r="BY28" s="116">
        <f>'P NP LAUT IKAN'!D74</f>
        <v>0</v>
      </c>
    </row>
    <row r="29" spans="1:77">
      <c r="A29" s="260" t="s">
        <v>126</v>
      </c>
      <c r="B29" s="169">
        <f t="shared" si="2"/>
        <v>0</v>
      </c>
      <c r="C29" s="169">
        <f t="shared" si="3"/>
        <v>0</v>
      </c>
      <c r="D29" s="116">
        <f>'P NP LAUT IKAN'!AW8</f>
        <v>0</v>
      </c>
      <c r="E29" s="116">
        <f>'P NP LAUT IKAN'!AX8</f>
        <v>0</v>
      </c>
      <c r="F29" s="116">
        <f>'P NP LAUT IKAN'!AW9</f>
        <v>0</v>
      </c>
      <c r="G29" s="116">
        <f>'P NP LAUT IKAN'!AX9</f>
        <v>0</v>
      </c>
      <c r="H29" s="116">
        <f>'P NP LAUT IKAN'!AW10</f>
        <v>0</v>
      </c>
      <c r="I29" s="116">
        <f>'P NP LAUT IKAN'!AX10</f>
        <v>0</v>
      </c>
      <c r="J29" s="116">
        <f>'P NP LAUT IKAN'!AW11</f>
        <v>0</v>
      </c>
      <c r="K29" s="116">
        <f>'P NP LAUT IKAN'!AX11</f>
        <v>0</v>
      </c>
      <c r="L29" s="116">
        <f>'P NP LAUT IKAN'!AW12</f>
        <v>0</v>
      </c>
      <c r="M29" s="116">
        <f>'P NP LAUT IKAN'!AX12</f>
        <v>0</v>
      </c>
      <c r="N29" s="116">
        <f>'P NP LAUT IKAN'!AW13</f>
        <v>0</v>
      </c>
      <c r="O29" s="116">
        <f>'P NP LAUT IKAN'!AX13</f>
        <v>0</v>
      </c>
      <c r="P29" s="116">
        <f>'P NP LAUT IKAN'!AW14</f>
        <v>0</v>
      </c>
      <c r="Q29" s="116">
        <f>'P NP LAUT IKAN'!AX14</f>
        <v>0</v>
      </c>
      <c r="R29" s="116">
        <f>'P NP LAUT IKAN'!AW15</f>
        <v>0</v>
      </c>
      <c r="S29" s="116">
        <f>'P NP LAUT IKAN'!AX15</f>
        <v>0</v>
      </c>
      <c r="T29" s="116">
        <f>'P NP LAUT IKAN'!AW16</f>
        <v>0</v>
      </c>
      <c r="U29" s="116">
        <f>'P NP LAUT IKAN'!AX16</f>
        <v>0</v>
      </c>
      <c r="V29" s="116">
        <f>'P NP LAUT IKAN'!AW17</f>
        <v>0</v>
      </c>
      <c r="W29" s="116">
        <f>'P NP LAUT IKAN'!AX17</f>
        <v>0</v>
      </c>
      <c r="X29" s="116">
        <f>'P NP LAUT IKAN'!AW18</f>
        <v>0</v>
      </c>
      <c r="Y29" s="116">
        <f>'P NP LAUT IKAN'!AX18</f>
        <v>0</v>
      </c>
      <c r="Z29" s="116">
        <f>'P NP LAUT IKAN'!AW19</f>
        <v>0</v>
      </c>
      <c r="AA29" s="116">
        <f>'P NP LAUT IKAN'!AX19</f>
        <v>0</v>
      </c>
      <c r="AB29" s="116">
        <f>'P NP LAUT IKAN'!AW20</f>
        <v>0</v>
      </c>
      <c r="AC29" s="116">
        <f>'P NP LAUT IKAN'!AX20</f>
        <v>0</v>
      </c>
      <c r="AD29" s="116">
        <f>'P NP LAUT IKAN'!AW21</f>
        <v>0</v>
      </c>
      <c r="AE29" s="116">
        <f>'P NP LAUT IKAN'!AX21</f>
        <v>0</v>
      </c>
      <c r="AF29" s="116">
        <f>'P NP LAUT IKAN'!AW22</f>
        <v>0</v>
      </c>
      <c r="AG29" s="116">
        <f>'P NP LAUT IKAN'!AX22</f>
        <v>0</v>
      </c>
      <c r="AH29" s="116">
        <f>'P NP LAUT IKAN'!AW23</f>
        <v>0</v>
      </c>
      <c r="AI29" s="116">
        <f>'P NP LAUT IKAN'!AX23</f>
        <v>0</v>
      </c>
      <c r="AJ29" s="116">
        <f>'P NP LAUT IKAN'!AW24</f>
        <v>0</v>
      </c>
      <c r="AK29" s="116">
        <f>'P NP LAUT IKAN'!AX24</f>
        <v>0</v>
      </c>
      <c r="AL29" s="116">
        <f>'P NP LAUT IKAN'!AW25</f>
        <v>0</v>
      </c>
      <c r="AM29" s="116">
        <f>'P NP LAUT IKAN'!AX25</f>
        <v>0</v>
      </c>
      <c r="AN29" s="116">
        <f>'P NP LAUT IKAN'!AW26</f>
        <v>0</v>
      </c>
      <c r="AO29" s="116">
        <f>'P NP LAUT IKAN'!AX26</f>
        <v>0</v>
      </c>
      <c r="AP29" s="116">
        <f>'P NP LAUT IKAN'!AW27</f>
        <v>0</v>
      </c>
      <c r="AQ29" s="116">
        <f>'P NP LAUT IKAN'!AX27</f>
        <v>0</v>
      </c>
      <c r="AR29" s="116">
        <f>'P NP LAUT IKAN'!AW28</f>
        <v>0</v>
      </c>
      <c r="AS29" s="116">
        <f>'P NP LAUT IKAN'!AX28</f>
        <v>0</v>
      </c>
      <c r="AT29" s="116">
        <f>'P NP LAUT IKAN'!AW29</f>
        <v>0</v>
      </c>
      <c r="AU29" s="116">
        <f>'P NP LAUT IKAN'!AX29</f>
        <v>0</v>
      </c>
      <c r="AV29" s="116">
        <f>'P NP LAUT IKAN'!AW30</f>
        <v>0</v>
      </c>
      <c r="AW29" s="116">
        <f>'P NP LAUT IKAN'!AX30</f>
        <v>0</v>
      </c>
      <c r="AX29" s="116">
        <f>'P NP LAUT IKAN'!AW31</f>
        <v>0</v>
      </c>
      <c r="AY29" s="116">
        <f>'P NP LAUT IKAN'!AX31</f>
        <v>0</v>
      </c>
      <c r="AZ29" s="116">
        <f>'P NP LAUT IKAN'!AW32</f>
        <v>0</v>
      </c>
      <c r="BA29" s="116">
        <f>'P NP LAUT IKAN'!AX32</f>
        <v>0</v>
      </c>
      <c r="BB29" s="116">
        <f>'P NP LAUT IKAN'!AW33</f>
        <v>0</v>
      </c>
      <c r="BC29" s="116">
        <f>'P NP LAUT IKAN'!AX33</f>
        <v>0</v>
      </c>
      <c r="BD29" s="116">
        <f>'P NP LAUT IKAN'!AW34</f>
        <v>0</v>
      </c>
      <c r="BE29" s="116">
        <f>'P NP LAUT IKAN'!AX34</f>
        <v>0</v>
      </c>
      <c r="BF29" s="116">
        <f>'P NP LAUT IKAN'!AW43</f>
        <v>0</v>
      </c>
      <c r="BG29" s="116">
        <f>'P NP LAUT IKAN'!AX43</f>
        <v>0</v>
      </c>
      <c r="BH29" s="116">
        <f>'P NP LAUT IKAN'!AW44</f>
        <v>0</v>
      </c>
      <c r="BI29" s="116">
        <f>'P NP LAUT IKAN'!AX44</f>
        <v>0</v>
      </c>
      <c r="BJ29" s="116">
        <f>'P NP LAUT IKAN'!C68</f>
        <v>0</v>
      </c>
      <c r="BK29" s="116">
        <f>'P NP LAUT IKAN'!D68</f>
        <v>0</v>
      </c>
      <c r="BL29" s="116">
        <f>'P NP LAUT IKAN'!C69</f>
        <v>0</v>
      </c>
      <c r="BM29" s="116">
        <f>'P NP LAUT IKAN'!D69</f>
        <v>0</v>
      </c>
      <c r="BN29" s="116">
        <f>'P NP LAUT IKAN'!C70</f>
        <v>0</v>
      </c>
      <c r="BO29" s="116">
        <f>'P NP LAUT IKAN'!D70</f>
        <v>0</v>
      </c>
      <c r="BP29" s="116">
        <f>'P NP LAUT IKAN'!C71</f>
        <v>0</v>
      </c>
      <c r="BQ29" s="116">
        <f>'P NP LAUT IKAN'!D71</f>
        <v>0</v>
      </c>
      <c r="BR29" s="116">
        <f>'P NP LAUT IKAN'!C72</f>
        <v>0</v>
      </c>
      <c r="BS29" s="116">
        <f>'P NP LAUT IKAN'!D72</f>
        <v>0</v>
      </c>
      <c r="BT29" s="116">
        <f>'P NP LAUT IKAN'!C73</f>
        <v>0</v>
      </c>
      <c r="BU29" s="116">
        <f>'P NP LAUT IKAN'!D73</f>
        <v>0</v>
      </c>
      <c r="BV29" s="116">
        <f>'P NP LAUT IKAN'!C74</f>
        <v>0</v>
      </c>
      <c r="BW29" s="116">
        <f>'P NP LAUT IKAN'!D74</f>
        <v>0</v>
      </c>
      <c r="BX29" s="116">
        <f>'P NP LAUT IKAN'!C75</f>
        <v>0</v>
      </c>
      <c r="BY29" s="116">
        <f>'P NP LAUT IKAN'!D75</f>
        <v>0</v>
      </c>
    </row>
    <row r="30" spans="1:77">
      <c r="A30" s="260" t="s">
        <v>123</v>
      </c>
      <c r="B30" s="169">
        <f t="shared" si="2"/>
        <v>59275</v>
      </c>
      <c r="C30" s="169">
        <f t="shared" si="3"/>
        <v>1977950</v>
      </c>
      <c r="D30" s="116">
        <f>'P NP LAUT IKAN'!AY8</f>
        <v>1310</v>
      </c>
      <c r="E30" s="116">
        <f>'P NP LAUT IKAN'!AZ8</f>
        <v>82950</v>
      </c>
      <c r="F30" s="116">
        <f>'P NP LAUT IKAN'!AY9</f>
        <v>0</v>
      </c>
      <c r="G30" s="116">
        <f>'P NP LAUT IKAN'!AZ9</f>
        <v>0</v>
      </c>
      <c r="H30" s="116">
        <f>'P NP LAUT IKAN'!AY10</f>
        <v>0</v>
      </c>
      <c r="I30" s="116">
        <f>'P NP LAUT IKAN'!AZ10</f>
        <v>0</v>
      </c>
      <c r="J30" s="116">
        <f>'P NP LAUT IKAN'!AY11</f>
        <v>46940</v>
      </c>
      <c r="K30" s="116">
        <f>'P NP LAUT IKAN'!AZ11</f>
        <v>218300</v>
      </c>
      <c r="L30" s="116">
        <f>'P NP LAUT IKAN'!AY12</f>
        <v>0</v>
      </c>
      <c r="M30" s="116">
        <f>'P NP LAUT IKAN'!AZ12</f>
        <v>0</v>
      </c>
      <c r="N30" s="116">
        <f>'P NP LAUT IKAN'!AY13</f>
        <v>0</v>
      </c>
      <c r="O30" s="116">
        <f>'P NP LAUT IKAN'!AZ13</f>
        <v>0</v>
      </c>
      <c r="P30" s="116">
        <f>'P NP LAUT IKAN'!AY14</f>
        <v>0</v>
      </c>
      <c r="Q30" s="116">
        <f>'P NP LAUT IKAN'!AZ14</f>
        <v>0</v>
      </c>
      <c r="R30" s="116">
        <f>'P NP LAUT IKAN'!AY15</f>
        <v>2665</v>
      </c>
      <c r="S30" s="116">
        <f>'P NP LAUT IKAN'!AZ15</f>
        <v>208200</v>
      </c>
      <c r="T30" s="116">
        <f>'P NP LAUT IKAN'!AY16</f>
        <v>0</v>
      </c>
      <c r="U30" s="116">
        <f>'P NP LAUT IKAN'!AZ16</f>
        <v>0</v>
      </c>
      <c r="V30" s="116">
        <f>'P NP LAUT IKAN'!AY17</f>
        <v>0</v>
      </c>
      <c r="W30" s="116">
        <f>'P NP LAUT IKAN'!AZ17</f>
        <v>0</v>
      </c>
      <c r="X30" s="116">
        <f>'P NP LAUT IKAN'!AY18</f>
        <v>5800</v>
      </c>
      <c r="Y30" s="116">
        <f>'P NP LAUT IKAN'!AZ18</f>
        <v>598750</v>
      </c>
      <c r="Z30" s="116">
        <f>'P NP LAUT IKAN'!AY19</f>
        <v>0</v>
      </c>
      <c r="AA30" s="116">
        <f>'P NP LAUT IKAN'!AZ19</f>
        <v>0</v>
      </c>
      <c r="AB30" s="116">
        <f>'P NP LAUT IKAN'!AY20</f>
        <v>0</v>
      </c>
      <c r="AC30" s="116">
        <f>'P NP LAUT IKAN'!AZ20</f>
        <v>0</v>
      </c>
      <c r="AD30" s="116">
        <f>'P NP LAUT IKAN'!AY21</f>
        <v>0</v>
      </c>
      <c r="AE30" s="116">
        <f>'P NP LAUT IKAN'!AZ21</f>
        <v>0</v>
      </c>
      <c r="AF30" s="116">
        <f>'P NP LAUT IKAN'!AY22</f>
        <v>2560</v>
      </c>
      <c r="AG30" s="116">
        <f>'P NP LAUT IKAN'!AZ22</f>
        <v>869750</v>
      </c>
      <c r="AH30" s="116">
        <f>'P NP LAUT IKAN'!AY23</f>
        <v>0</v>
      </c>
      <c r="AI30" s="116">
        <f>'P NP LAUT IKAN'!AZ23</f>
        <v>0</v>
      </c>
      <c r="AJ30" s="116">
        <f>'P NP LAUT IKAN'!AY24</f>
        <v>0</v>
      </c>
      <c r="AK30" s="116">
        <f>'P NP LAUT IKAN'!AZ24</f>
        <v>0</v>
      </c>
      <c r="AL30" s="116">
        <f>'P NP LAUT IKAN'!AY25</f>
        <v>0</v>
      </c>
      <c r="AM30" s="116">
        <f>'P NP LAUT IKAN'!AZ25</f>
        <v>0</v>
      </c>
      <c r="AN30" s="116">
        <f>'P NP LAUT IKAN'!AY26</f>
        <v>0</v>
      </c>
      <c r="AO30" s="116">
        <f>'P NP LAUT IKAN'!AZ26</f>
        <v>0</v>
      </c>
      <c r="AP30" s="116">
        <f>'P NP LAUT IKAN'!AY27</f>
        <v>0</v>
      </c>
      <c r="AQ30" s="116">
        <f>'P NP LAUT IKAN'!AZ27</f>
        <v>0</v>
      </c>
      <c r="AR30" s="116">
        <f>'P NP LAUT IKAN'!AY28</f>
        <v>0</v>
      </c>
      <c r="AS30" s="116">
        <f>'P NP LAUT IKAN'!AZ28</f>
        <v>0</v>
      </c>
      <c r="AT30" s="116">
        <f>'P NP LAUT IKAN'!AY29</f>
        <v>0</v>
      </c>
      <c r="AU30" s="116">
        <f>'P NP LAUT IKAN'!AZ29</f>
        <v>0</v>
      </c>
      <c r="AV30" s="116">
        <f>'P NP LAUT IKAN'!AY30</f>
        <v>0</v>
      </c>
      <c r="AW30" s="116">
        <f>'P NP LAUT IKAN'!AZ30</f>
        <v>0</v>
      </c>
      <c r="AX30" s="116">
        <f>'P NP LAUT IKAN'!AY31</f>
        <v>0</v>
      </c>
      <c r="AY30" s="116">
        <f>'P NP LAUT IKAN'!AZ31</f>
        <v>0</v>
      </c>
      <c r="AZ30" s="116">
        <f>'P NP LAUT IKAN'!AY32</f>
        <v>0</v>
      </c>
      <c r="BA30" s="116">
        <f>'P NP LAUT IKAN'!AZ32</f>
        <v>0</v>
      </c>
      <c r="BB30" s="116">
        <f>'P NP LAUT IKAN'!AY33</f>
        <v>0</v>
      </c>
      <c r="BC30" s="116">
        <f>'P NP LAUT IKAN'!AZ33</f>
        <v>0</v>
      </c>
      <c r="BD30" s="116">
        <f>'P NP LAUT IKAN'!AY34</f>
        <v>0</v>
      </c>
      <c r="BE30" s="116">
        <f>'P NP LAUT IKAN'!AZ34</f>
        <v>0</v>
      </c>
      <c r="BF30" s="116">
        <f>'P NP LAUT IKAN'!AY43</f>
        <v>0</v>
      </c>
      <c r="BG30" s="116">
        <f>'P NP LAUT IKAN'!AZ43</f>
        <v>0</v>
      </c>
      <c r="BH30" s="116">
        <f>'P NP LAUT IKAN'!AY44</f>
        <v>0</v>
      </c>
      <c r="BI30" s="116">
        <f>'P NP LAUT IKAN'!AZ44</f>
        <v>0</v>
      </c>
      <c r="BJ30" s="116">
        <f>'P NP LAUT IKAN'!C69</f>
        <v>0</v>
      </c>
      <c r="BK30" s="116">
        <f>'P NP LAUT IKAN'!D69</f>
        <v>0</v>
      </c>
      <c r="BL30" s="116">
        <f>'P NP LAUT IKAN'!C70</f>
        <v>0</v>
      </c>
      <c r="BM30" s="116">
        <f>'P NP LAUT IKAN'!D70</f>
        <v>0</v>
      </c>
      <c r="BN30" s="116">
        <f>'P NP LAUT IKAN'!C71</f>
        <v>0</v>
      </c>
      <c r="BO30" s="116">
        <f>'P NP LAUT IKAN'!D71</f>
        <v>0</v>
      </c>
      <c r="BP30" s="116">
        <f>'P NP LAUT IKAN'!C72</f>
        <v>0</v>
      </c>
      <c r="BQ30" s="116">
        <f>'P NP LAUT IKAN'!D72</f>
        <v>0</v>
      </c>
      <c r="BR30" s="116">
        <f>'P NP LAUT IKAN'!C73</f>
        <v>0</v>
      </c>
      <c r="BS30" s="116">
        <f>'P NP LAUT IKAN'!D73</f>
        <v>0</v>
      </c>
      <c r="BT30" s="116">
        <f>'P NP LAUT IKAN'!C74</f>
        <v>0</v>
      </c>
      <c r="BU30" s="116">
        <f>'P NP LAUT IKAN'!D74</f>
        <v>0</v>
      </c>
      <c r="BV30" s="116">
        <f>'P NP LAUT IKAN'!C75</f>
        <v>0</v>
      </c>
      <c r="BW30" s="116">
        <f>'P NP LAUT IKAN'!D75</f>
        <v>0</v>
      </c>
      <c r="BX30" s="116">
        <f>'P NP LAUT IKAN'!C76</f>
        <v>0</v>
      </c>
      <c r="BY30" s="116">
        <f>'P NP LAUT IKAN'!D76</f>
        <v>0</v>
      </c>
    </row>
    <row r="31" spans="1:77">
      <c r="A31" s="260" t="s">
        <v>140</v>
      </c>
      <c r="B31" s="169">
        <f t="shared" si="2"/>
        <v>760127186</v>
      </c>
      <c r="C31" s="169">
        <f t="shared" si="3"/>
        <v>3895512472</v>
      </c>
      <c r="D31" s="116">
        <f>'P NP LAUT IKAN'!BA8</f>
        <v>0</v>
      </c>
      <c r="E31" s="116">
        <f>'P NP LAUT IKAN'!BB8</f>
        <v>0</v>
      </c>
      <c r="F31" s="116">
        <f>'P NP LAUT IKAN'!BA9</f>
        <v>0</v>
      </c>
      <c r="G31" s="116">
        <f>'P NP LAUT IKAN'!BB9</f>
        <v>0</v>
      </c>
      <c r="H31" s="116">
        <f>'P NP LAUT IKAN'!BA10</f>
        <v>0</v>
      </c>
      <c r="I31" s="116">
        <f>'P NP LAUT IKAN'!BB10</f>
        <v>0</v>
      </c>
      <c r="J31" s="116">
        <f>'P NP LAUT IKAN'!BA11</f>
        <v>759835941</v>
      </c>
      <c r="K31" s="116">
        <f>'P NP LAUT IKAN'!BB11</f>
        <v>3814659072</v>
      </c>
      <c r="L31" s="116">
        <f>'P NP LAUT IKAN'!BA12</f>
        <v>0</v>
      </c>
      <c r="M31" s="116">
        <f>'P NP LAUT IKAN'!BB12</f>
        <v>0</v>
      </c>
      <c r="N31" s="116">
        <f>'P NP LAUT IKAN'!BA13</f>
        <v>0</v>
      </c>
      <c r="O31" s="116">
        <f>'P NP LAUT IKAN'!BB13</f>
        <v>0</v>
      </c>
      <c r="P31" s="116">
        <f>'P NP LAUT IKAN'!BA14</f>
        <v>0</v>
      </c>
      <c r="Q31" s="116">
        <f>'P NP LAUT IKAN'!BB14</f>
        <v>0</v>
      </c>
      <c r="R31" s="116">
        <f>'P NP LAUT IKAN'!BA15</f>
        <v>0</v>
      </c>
      <c r="S31" s="116">
        <f>'P NP LAUT IKAN'!BB15</f>
        <v>0</v>
      </c>
      <c r="T31" s="116">
        <f>'P NP LAUT IKAN'!BA16</f>
        <v>0</v>
      </c>
      <c r="U31" s="116">
        <f>'P NP LAUT IKAN'!BB16</f>
        <v>0</v>
      </c>
      <c r="V31" s="116">
        <f>'P NP LAUT IKAN'!BA17</f>
        <v>0</v>
      </c>
      <c r="W31" s="116">
        <f>'P NP LAUT IKAN'!BB17</f>
        <v>0</v>
      </c>
      <c r="X31" s="116">
        <f>'P NP LAUT IKAN'!BA18</f>
        <v>0</v>
      </c>
      <c r="Y31" s="116">
        <f>'P NP LAUT IKAN'!BB18</f>
        <v>0</v>
      </c>
      <c r="Z31" s="116">
        <f>'P NP LAUT IKAN'!BA19</f>
        <v>291245</v>
      </c>
      <c r="AA31" s="116">
        <f>'P NP LAUT IKAN'!BB19</f>
        <v>80853400</v>
      </c>
      <c r="AB31" s="116">
        <f>'P NP LAUT IKAN'!BA20</f>
        <v>0</v>
      </c>
      <c r="AC31" s="116">
        <f>'P NP LAUT IKAN'!BB20</f>
        <v>0</v>
      </c>
      <c r="AD31" s="116">
        <f>'P NP LAUT IKAN'!BA21</f>
        <v>0</v>
      </c>
      <c r="AE31" s="116">
        <f>'P NP LAUT IKAN'!BB21</f>
        <v>0</v>
      </c>
      <c r="AF31" s="116">
        <f>'P NP LAUT IKAN'!BA22</f>
        <v>0</v>
      </c>
      <c r="AG31" s="116">
        <f>'P NP LAUT IKAN'!BB22</f>
        <v>0</v>
      </c>
      <c r="AH31" s="116">
        <f>'P NP LAUT IKAN'!BA23</f>
        <v>0</v>
      </c>
      <c r="AI31" s="116">
        <f>'P NP LAUT IKAN'!BB23</f>
        <v>0</v>
      </c>
      <c r="AJ31" s="116">
        <f>'P NP LAUT IKAN'!BA24</f>
        <v>0</v>
      </c>
      <c r="AK31" s="116">
        <f>'P NP LAUT IKAN'!BB24</f>
        <v>0</v>
      </c>
      <c r="AL31" s="116">
        <f>'P NP LAUT IKAN'!BA25</f>
        <v>0</v>
      </c>
      <c r="AM31" s="116">
        <f>'P NP LAUT IKAN'!BB25</f>
        <v>0</v>
      </c>
      <c r="AN31" s="116">
        <f>'P NP LAUT IKAN'!BA26</f>
        <v>0</v>
      </c>
      <c r="AO31" s="116">
        <f>'P NP LAUT IKAN'!BB26</f>
        <v>0</v>
      </c>
      <c r="AP31" s="116">
        <f>'P NP LAUT IKAN'!BA27</f>
        <v>0</v>
      </c>
      <c r="AQ31" s="116">
        <f>'P NP LAUT IKAN'!BB27</f>
        <v>0</v>
      </c>
      <c r="AR31" s="116">
        <f>'P NP LAUT IKAN'!BA28</f>
        <v>0</v>
      </c>
      <c r="AS31" s="116">
        <f>'P NP LAUT IKAN'!BB28</f>
        <v>0</v>
      </c>
      <c r="AT31" s="116">
        <f>'P NP LAUT IKAN'!BA29</f>
        <v>0</v>
      </c>
      <c r="AU31" s="116">
        <f>'P NP LAUT IKAN'!BB29</f>
        <v>0</v>
      </c>
      <c r="AV31" s="116">
        <f>'P NP LAUT IKAN'!BA30</f>
        <v>0</v>
      </c>
      <c r="AW31" s="116">
        <f>'P NP LAUT IKAN'!BB30</f>
        <v>0</v>
      </c>
      <c r="AX31" s="116">
        <f>'P NP LAUT IKAN'!BA31</f>
        <v>0</v>
      </c>
      <c r="AY31" s="116">
        <f>'P NP LAUT IKAN'!BB31</f>
        <v>0</v>
      </c>
      <c r="AZ31" s="116">
        <f>'P NP LAUT IKAN'!BA32</f>
        <v>0</v>
      </c>
      <c r="BA31" s="116">
        <f>'P NP LAUT IKAN'!BB32</f>
        <v>0</v>
      </c>
      <c r="BB31" s="116">
        <f>'P NP LAUT IKAN'!BA33</f>
        <v>0</v>
      </c>
      <c r="BC31" s="116">
        <f>'P NP LAUT IKAN'!BB33</f>
        <v>0</v>
      </c>
      <c r="BD31" s="116">
        <f>'P NP LAUT IKAN'!BA34</f>
        <v>0</v>
      </c>
      <c r="BE31" s="116">
        <f>'P NP LAUT IKAN'!BB34</f>
        <v>0</v>
      </c>
      <c r="BF31" s="116">
        <f>'P NP LAUT IKAN'!BA43</f>
        <v>0</v>
      </c>
      <c r="BG31" s="116">
        <f>'P NP LAUT IKAN'!BB43</f>
        <v>0</v>
      </c>
      <c r="BH31" s="116">
        <f>'P NP LAUT IKAN'!BA44</f>
        <v>0</v>
      </c>
      <c r="BI31" s="116">
        <f>'P NP LAUT IKAN'!BB44</f>
        <v>0</v>
      </c>
      <c r="BJ31" s="116">
        <f>'P NP LAUT IKAN'!C70</f>
        <v>0</v>
      </c>
      <c r="BK31" s="116">
        <f>'P NP LAUT IKAN'!D70</f>
        <v>0</v>
      </c>
      <c r="BL31" s="116">
        <f>'P NP LAUT IKAN'!C71</f>
        <v>0</v>
      </c>
      <c r="BM31" s="116">
        <f>'P NP LAUT IKAN'!D71</f>
        <v>0</v>
      </c>
      <c r="BN31" s="116">
        <f>'P NP LAUT IKAN'!C72</f>
        <v>0</v>
      </c>
      <c r="BO31" s="116">
        <f>'P NP LAUT IKAN'!D72</f>
        <v>0</v>
      </c>
      <c r="BP31" s="116">
        <f>'P NP LAUT IKAN'!C73</f>
        <v>0</v>
      </c>
      <c r="BQ31" s="116">
        <f>'P NP LAUT IKAN'!D73</f>
        <v>0</v>
      </c>
      <c r="BR31" s="116">
        <f>'P NP LAUT IKAN'!C74</f>
        <v>0</v>
      </c>
      <c r="BS31" s="116">
        <f>'P NP LAUT IKAN'!D74</f>
        <v>0</v>
      </c>
      <c r="BT31" s="116">
        <f>'P NP LAUT IKAN'!C75</f>
        <v>0</v>
      </c>
      <c r="BU31" s="116">
        <f>'P NP LAUT IKAN'!D75</f>
        <v>0</v>
      </c>
      <c r="BV31" s="116">
        <f>'P NP LAUT IKAN'!C76</f>
        <v>0</v>
      </c>
      <c r="BW31" s="116">
        <f>'P NP LAUT IKAN'!D76</f>
        <v>0</v>
      </c>
      <c r="BX31" s="116">
        <f>'P NP LAUT IKAN'!C77</f>
        <v>0</v>
      </c>
      <c r="BY31" s="116">
        <f>'P NP LAUT IKAN'!D77</f>
        <v>0</v>
      </c>
    </row>
    <row r="32" spans="1:77">
      <c r="A32" s="260" t="s">
        <v>114</v>
      </c>
      <c r="B32" s="169">
        <f t="shared" si="2"/>
        <v>2009</v>
      </c>
      <c r="C32" s="169">
        <f t="shared" si="3"/>
        <v>150921.5</v>
      </c>
      <c r="D32" s="116">
        <f>'P NP LAUT IKAN'!BC8</f>
        <v>0</v>
      </c>
      <c r="E32" s="116">
        <f>'P NP LAUT IKAN'!BD8</f>
        <v>0</v>
      </c>
      <c r="F32" s="116">
        <f>'P NP LAUT IKAN'!BC9</f>
        <v>0</v>
      </c>
      <c r="G32" s="116">
        <f>'P NP LAUT IKAN'!BD9</f>
        <v>0</v>
      </c>
      <c r="H32" s="116">
        <f>'P NP LAUT IKAN'!BC10</f>
        <v>0</v>
      </c>
      <c r="I32" s="116">
        <f>'P NP LAUT IKAN'!BD10</f>
        <v>0</v>
      </c>
      <c r="J32" s="116">
        <f>'P NP LAUT IKAN'!BC11</f>
        <v>0</v>
      </c>
      <c r="K32" s="116">
        <f>'P NP LAUT IKAN'!BD11</f>
        <v>0</v>
      </c>
      <c r="L32" s="116">
        <f>'P NP LAUT IKAN'!BC12</f>
        <v>0</v>
      </c>
      <c r="M32" s="116">
        <f>'P NP LAUT IKAN'!BD12</f>
        <v>0</v>
      </c>
      <c r="N32" s="116">
        <f>'P NP LAUT IKAN'!BC13</f>
        <v>0</v>
      </c>
      <c r="O32" s="116">
        <f>'P NP LAUT IKAN'!BD13</f>
        <v>0</v>
      </c>
      <c r="P32" s="116">
        <f>'P NP LAUT IKAN'!BC14</f>
        <v>0</v>
      </c>
      <c r="Q32" s="116">
        <f>'P NP LAUT IKAN'!BD14</f>
        <v>0</v>
      </c>
      <c r="R32" s="116">
        <f>'P NP LAUT IKAN'!BC15</f>
        <v>0</v>
      </c>
      <c r="S32" s="116">
        <f>'P NP LAUT IKAN'!BD15</f>
        <v>0</v>
      </c>
      <c r="T32" s="116">
        <f>'P NP LAUT IKAN'!BC16</f>
        <v>0</v>
      </c>
      <c r="U32" s="116">
        <f>'P NP LAUT IKAN'!BD16</f>
        <v>0</v>
      </c>
      <c r="V32" s="116">
        <f>'P NP LAUT IKAN'!BC17</f>
        <v>0</v>
      </c>
      <c r="W32" s="116">
        <f>'P NP LAUT IKAN'!BD17</f>
        <v>0</v>
      </c>
      <c r="X32" s="116">
        <f>'P NP LAUT IKAN'!BC18</f>
        <v>1546</v>
      </c>
      <c r="Y32" s="116">
        <f>'P NP LAUT IKAN'!BD18</f>
        <v>90731.5</v>
      </c>
      <c r="Z32" s="116">
        <f>'P NP LAUT IKAN'!BC19</f>
        <v>0</v>
      </c>
      <c r="AA32" s="116">
        <f>'P NP LAUT IKAN'!BD19</f>
        <v>0</v>
      </c>
      <c r="AB32" s="116">
        <f>'P NP LAUT IKAN'!BC20</f>
        <v>0</v>
      </c>
      <c r="AC32" s="116">
        <f>'P NP LAUT IKAN'!BD20</f>
        <v>0</v>
      </c>
      <c r="AD32" s="116">
        <f>'P NP LAUT IKAN'!BC21</f>
        <v>0</v>
      </c>
      <c r="AE32" s="116">
        <f>'P NP LAUT IKAN'!BD21</f>
        <v>0</v>
      </c>
      <c r="AF32" s="116">
        <f>'P NP LAUT IKAN'!BC22</f>
        <v>463</v>
      </c>
      <c r="AG32" s="116">
        <f>'P NP LAUT IKAN'!BD22</f>
        <v>60190</v>
      </c>
      <c r="AH32" s="116">
        <f>'P NP LAUT IKAN'!BC23</f>
        <v>0</v>
      </c>
      <c r="AI32" s="116">
        <f>'P NP LAUT IKAN'!BD23</f>
        <v>0</v>
      </c>
      <c r="AJ32" s="116">
        <f>'P NP LAUT IKAN'!BC24</f>
        <v>0</v>
      </c>
      <c r="AK32" s="116">
        <f>'P NP LAUT IKAN'!BD24</f>
        <v>0</v>
      </c>
      <c r="AL32" s="116">
        <f>'P NP LAUT IKAN'!BC25</f>
        <v>0</v>
      </c>
      <c r="AM32" s="116">
        <f>'P NP LAUT IKAN'!BD25</f>
        <v>0</v>
      </c>
      <c r="AN32" s="116">
        <f>'P NP LAUT IKAN'!BC26</f>
        <v>0</v>
      </c>
      <c r="AO32" s="116">
        <f>'P NP LAUT IKAN'!BD26</f>
        <v>0</v>
      </c>
      <c r="AP32" s="116">
        <f>'P NP LAUT IKAN'!BC27</f>
        <v>0</v>
      </c>
      <c r="AQ32" s="116">
        <f>'P NP LAUT IKAN'!BD27</f>
        <v>0</v>
      </c>
      <c r="AR32" s="116">
        <f>'P NP LAUT IKAN'!BC28</f>
        <v>0</v>
      </c>
      <c r="AS32" s="116">
        <f>'P NP LAUT IKAN'!BD28</f>
        <v>0</v>
      </c>
      <c r="AT32" s="116">
        <f>'P NP LAUT IKAN'!BC29</f>
        <v>0</v>
      </c>
      <c r="AU32" s="116">
        <f>'P NP LAUT IKAN'!BD29</f>
        <v>0</v>
      </c>
      <c r="AV32" s="116">
        <f>'P NP LAUT IKAN'!BC30</f>
        <v>0</v>
      </c>
      <c r="AW32" s="116">
        <f>'P NP LAUT IKAN'!BD30</f>
        <v>0</v>
      </c>
      <c r="AX32" s="116">
        <f>'P NP LAUT IKAN'!BC31</f>
        <v>0</v>
      </c>
      <c r="AY32" s="116">
        <f>'P NP LAUT IKAN'!BD31</f>
        <v>0</v>
      </c>
      <c r="AZ32" s="116">
        <f>'P NP LAUT IKAN'!BC32</f>
        <v>0</v>
      </c>
      <c r="BA32" s="116">
        <f>'P NP LAUT IKAN'!BD32</f>
        <v>0</v>
      </c>
      <c r="BB32" s="116">
        <f>'P NP LAUT IKAN'!BC33</f>
        <v>0</v>
      </c>
      <c r="BC32" s="116">
        <f>'P NP LAUT IKAN'!BD33</f>
        <v>0</v>
      </c>
      <c r="BD32" s="116">
        <f>'P NP LAUT IKAN'!BC34</f>
        <v>0</v>
      </c>
      <c r="BE32" s="116">
        <f>'P NP LAUT IKAN'!BD34</f>
        <v>0</v>
      </c>
      <c r="BF32" s="116">
        <f>'P NP LAUT IKAN'!BC43</f>
        <v>0</v>
      </c>
      <c r="BG32" s="116">
        <f>'P NP LAUT IKAN'!BD43</f>
        <v>0</v>
      </c>
      <c r="BH32" s="116">
        <f>'P NP LAUT IKAN'!BC44</f>
        <v>0</v>
      </c>
      <c r="BI32" s="116">
        <f>'P NP LAUT IKAN'!BD44</f>
        <v>0</v>
      </c>
      <c r="BJ32" s="116">
        <f>'P NP LAUT IKAN'!C71</f>
        <v>0</v>
      </c>
      <c r="BK32" s="116">
        <f>'P NP LAUT IKAN'!D71</f>
        <v>0</v>
      </c>
      <c r="BL32" s="116">
        <f>'P NP LAUT IKAN'!C72</f>
        <v>0</v>
      </c>
      <c r="BM32" s="116">
        <f>'P NP LAUT IKAN'!D72</f>
        <v>0</v>
      </c>
      <c r="BN32" s="116">
        <f>'P NP LAUT IKAN'!C73</f>
        <v>0</v>
      </c>
      <c r="BO32" s="116">
        <f>'P NP LAUT IKAN'!D73</f>
        <v>0</v>
      </c>
      <c r="BP32" s="116">
        <f>'P NP LAUT IKAN'!C74</f>
        <v>0</v>
      </c>
      <c r="BQ32" s="116">
        <f>'P NP LAUT IKAN'!D74</f>
        <v>0</v>
      </c>
      <c r="BR32" s="116">
        <f>'P NP LAUT IKAN'!C75</f>
        <v>0</v>
      </c>
      <c r="BS32" s="116">
        <f>'P NP LAUT IKAN'!D75</f>
        <v>0</v>
      </c>
      <c r="BT32" s="116">
        <f>'P NP LAUT IKAN'!C76</f>
        <v>0</v>
      </c>
      <c r="BU32" s="116">
        <f>'P NP LAUT IKAN'!D76</f>
        <v>0</v>
      </c>
      <c r="BV32" s="116">
        <f>'P NP LAUT IKAN'!C77</f>
        <v>0</v>
      </c>
      <c r="BW32" s="116">
        <f>'P NP LAUT IKAN'!D77</f>
        <v>0</v>
      </c>
      <c r="BX32" s="116">
        <f>'P NP LAUT IKAN'!C78</f>
        <v>0</v>
      </c>
      <c r="BY32" s="116">
        <f>'P NP LAUT IKAN'!D78</f>
        <v>0</v>
      </c>
    </row>
    <row r="33" spans="1:77">
      <c r="A33" s="260" t="s">
        <v>134</v>
      </c>
      <c r="B33" s="169">
        <f t="shared" si="2"/>
        <v>2600</v>
      </c>
      <c r="C33" s="169">
        <f t="shared" si="3"/>
        <v>276950</v>
      </c>
      <c r="D33" s="116">
        <f>'P NP LAUT IKAN'!BE8</f>
        <v>0</v>
      </c>
      <c r="E33" s="116">
        <f>'P NP LAUT IKAN'!BF8</f>
        <v>0</v>
      </c>
      <c r="F33" s="116">
        <f>'P NP LAUT IKAN'!BE9</f>
        <v>0</v>
      </c>
      <c r="G33" s="116">
        <f>'P NP LAUT IKAN'!BF9</f>
        <v>0</v>
      </c>
      <c r="H33" s="116">
        <f>'P NP LAUT IKAN'!BE10</f>
        <v>0</v>
      </c>
      <c r="I33" s="116">
        <f>'P NP LAUT IKAN'!BF10</f>
        <v>0</v>
      </c>
      <c r="J33" s="116">
        <f>'P NP LAUT IKAN'!BE11</f>
        <v>0</v>
      </c>
      <c r="K33" s="116">
        <f>'P NP LAUT IKAN'!BF11</f>
        <v>0</v>
      </c>
      <c r="L33" s="116">
        <f>'P NP LAUT IKAN'!BE12</f>
        <v>0</v>
      </c>
      <c r="M33" s="116">
        <f>'P NP LAUT IKAN'!BF12</f>
        <v>0</v>
      </c>
      <c r="N33" s="116">
        <f>'P NP LAUT IKAN'!BE13</f>
        <v>0</v>
      </c>
      <c r="O33" s="116">
        <f>'P NP LAUT IKAN'!BF13</f>
        <v>0</v>
      </c>
      <c r="P33" s="116">
        <f>'P NP LAUT IKAN'!BE14</f>
        <v>0</v>
      </c>
      <c r="Q33" s="116">
        <f>'P NP LAUT IKAN'!BF14</f>
        <v>0</v>
      </c>
      <c r="R33" s="116">
        <f>'P NP LAUT IKAN'!BE15</f>
        <v>0</v>
      </c>
      <c r="S33" s="116">
        <f>'P NP LAUT IKAN'!BF15</f>
        <v>0</v>
      </c>
      <c r="T33" s="116">
        <f>'P NP LAUT IKAN'!BE16</f>
        <v>0</v>
      </c>
      <c r="U33" s="116">
        <f>'P NP LAUT IKAN'!BF16</f>
        <v>0</v>
      </c>
      <c r="V33" s="116">
        <f>'P NP LAUT IKAN'!BE17</f>
        <v>0</v>
      </c>
      <c r="W33" s="116">
        <f>'P NP LAUT IKAN'!BF17</f>
        <v>0</v>
      </c>
      <c r="X33" s="116">
        <f>'P NP LAUT IKAN'!BE18</f>
        <v>2600</v>
      </c>
      <c r="Y33" s="116">
        <f>'P NP LAUT IKAN'!BF18</f>
        <v>276950</v>
      </c>
      <c r="Z33" s="116">
        <f>'P NP LAUT IKAN'!BE19</f>
        <v>0</v>
      </c>
      <c r="AA33" s="116">
        <f>'P NP LAUT IKAN'!BF19</f>
        <v>0</v>
      </c>
      <c r="AB33" s="116">
        <f>'P NP LAUT IKAN'!BE20</f>
        <v>0</v>
      </c>
      <c r="AC33" s="116">
        <f>'P NP LAUT IKAN'!BF20</f>
        <v>0</v>
      </c>
      <c r="AD33" s="116">
        <f>'P NP LAUT IKAN'!BE21</f>
        <v>0</v>
      </c>
      <c r="AE33" s="116">
        <f>'P NP LAUT IKAN'!BF21</f>
        <v>0</v>
      </c>
      <c r="AF33" s="116">
        <f>'P NP LAUT IKAN'!BE22</f>
        <v>0</v>
      </c>
      <c r="AG33" s="116">
        <f>'P NP LAUT IKAN'!BF22</f>
        <v>0</v>
      </c>
      <c r="AH33" s="116">
        <f>'P NP LAUT IKAN'!BE23</f>
        <v>0</v>
      </c>
      <c r="AI33" s="116">
        <f>'P NP LAUT IKAN'!BF23</f>
        <v>0</v>
      </c>
      <c r="AJ33" s="116">
        <f>'P NP LAUT IKAN'!BE24</f>
        <v>0</v>
      </c>
      <c r="AK33" s="116">
        <f>'P NP LAUT IKAN'!BF24</f>
        <v>0</v>
      </c>
      <c r="AL33" s="116">
        <f>'P NP LAUT IKAN'!BE25</f>
        <v>0</v>
      </c>
      <c r="AM33" s="116">
        <f>'P NP LAUT IKAN'!BF25</f>
        <v>0</v>
      </c>
      <c r="AN33" s="116">
        <f>'P NP LAUT IKAN'!BE26</f>
        <v>0</v>
      </c>
      <c r="AO33" s="116">
        <f>'P NP LAUT IKAN'!BF26</f>
        <v>0</v>
      </c>
      <c r="AP33" s="116">
        <f>'P NP LAUT IKAN'!BE27</f>
        <v>0</v>
      </c>
      <c r="AQ33" s="116">
        <f>'P NP LAUT IKAN'!BF27</f>
        <v>0</v>
      </c>
      <c r="AR33" s="116">
        <f>'P NP LAUT IKAN'!BE28</f>
        <v>0</v>
      </c>
      <c r="AS33" s="116">
        <f>'P NP LAUT IKAN'!BF28</f>
        <v>0</v>
      </c>
      <c r="AT33" s="116">
        <f>'P NP LAUT IKAN'!BE29</f>
        <v>0</v>
      </c>
      <c r="AU33" s="116">
        <f>'P NP LAUT IKAN'!BF29</f>
        <v>0</v>
      </c>
      <c r="AV33" s="116">
        <f>'P NP LAUT IKAN'!BE30</f>
        <v>0</v>
      </c>
      <c r="AW33" s="116">
        <f>'P NP LAUT IKAN'!BF30</f>
        <v>0</v>
      </c>
      <c r="AX33" s="116">
        <f>'P NP LAUT IKAN'!BE31</f>
        <v>0</v>
      </c>
      <c r="AY33" s="116">
        <f>'P NP LAUT IKAN'!BF31</f>
        <v>0</v>
      </c>
      <c r="AZ33" s="116">
        <f>'P NP LAUT IKAN'!BE32</f>
        <v>0</v>
      </c>
      <c r="BA33" s="116">
        <f>'P NP LAUT IKAN'!BF32</f>
        <v>0</v>
      </c>
      <c r="BB33" s="116">
        <f>'P NP LAUT IKAN'!BE33</f>
        <v>0</v>
      </c>
      <c r="BC33" s="116">
        <f>'P NP LAUT IKAN'!BF33</f>
        <v>0</v>
      </c>
      <c r="BD33" s="116">
        <f>'P NP LAUT IKAN'!BE34</f>
        <v>0</v>
      </c>
      <c r="BE33" s="116">
        <f>'P NP LAUT IKAN'!BF34</f>
        <v>0</v>
      </c>
      <c r="BF33" s="116">
        <f>'P NP LAUT IKAN'!BE43</f>
        <v>0</v>
      </c>
      <c r="BG33" s="116">
        <f>'P NP LAUT IKAN'!BF43</f>
        <v>0</v>
      </c>
      <c r="BH33" s="116">
        <f>'P NP LAUT IKAN'!BE44</f>
        <v>0</v>
      </c>
      <c r="BI33" s="116">
        <f>'P NP LAUT IKAN'!BF44</f>
        <v>0</v>
      </c>
      <c r="BJ33" s="116">
        <f>'P NP LAUT IKAN'!C72</f>
        <v>0</v>
      </c>
      <c r="BK33" s="116">
        <f>'P NP LAUT IKAN'!D72</f>
        <v>0</v>
      </c>
      <c r="BL33" s="116">
        <f>'P NP LAUT IKAN'!C73</f>
        <v>0</v>
      </c>
      <c r="BM33" s="116">
        <f>'P NP LAUT IKAN'!D73</f>
        <v>0</v>
      </c>
      <c r="BN33" s="116">
        <f>'P NP LAUT IKAN'!C74</f>
        <v>0</v>
      </c>
      <c r="BO33" s="116">
        <f>'P NP LAUT IKAN'!D74</f>
        <v>0</v>
      </c>
      <c r="BP33" s="116">
        <f>'P NP LAUT IKAN'!C75</f>
        <v>0</v>
      </c>
      <c r="BQ33" s="116">
        <f>'P NP LAUT IKAN'!D75</f>
        <v>0</v>
      </c>
      <c r="BR33" s="116">
        <f>'P NP LAUT IKAN'!C76</f>
        <v>0</v>
      </c>
      <c r="BS33" s="116">
        <f>'P NP LAUT IKAN'!D76</f>
        <v>0</v>
      </c>
      <c r="BT33" s="116">
        <f>'P NP LAUT IKAN'!C77</f>
        <v>0</v>
      </c>
      <c r="BU33" s="116">
        <f>'P NP LAUT IKAN'!D77</f>
        <v>0</v>
      </c>
      <c r="BV33" s="116">
        <f>'P NP LAUT IKAN'!C78</f>
        <v>0</v>
      </c>
      <c r="BW33" s="116">
        <f>'P NP LAUT IKAN'!D78</f>
        <v>0</v>
      </c>
      <c r="BX33" s="116">
        <f>'P NP LAUT IKAN'!C79</f>
        <v>0</v>
      </c>
      <c r="BY33" s="116">
        <f>'P NP LAUT IKAN'!D79</f>
        <v>0</v>
      </c>
    </row>
    <row r="34" spans="1:77">
      <c r="A34" s="260" t="s">
        <v>115</v>
      </c>
      <c r="B34" s="169">
        <f t="shared" si="2"/>
        <v>0</v>
      </c>
      <c r="C34" s="169">
        <f t="shared" si="3"/>
        <v>0</v>
      </c>
      <c r="D34" s="116">
        <f>'P NP LAUT IKAN'!BG8</f>
        <v>0</v>
      </c>
      <c r="E34" s="116">
        <f>'P NP LAUT IKAN'!BH8</f>
        <v>0</v>
      </c>
      <c r="F34" s="116">
        <f>'P NP LAUT IKAN'!BG9</f>
        <v>0</v>
      </c>
      <c r="G34" s="116">
        <f>'P NP LAUT IKAN'!BH9</f>
        <v>0</v>
      </c>
      <c r="H34" s="116">
        <f>'P NP LAUT IKAN'!BG10</f>
        <v>0</v>
      </c>
      <c r="I34" s="116">
        <f>'P NP LAUT IKAN'!BH10</f>
        <v>0</v>
      </c>
      <c r="J34" s="116">
        <f>'P NP LAUT IKAN'!BG11</f>
        <v>0</v>
      </c>
      <c r="K34" s="116">
        <f>'P NP LAUT IKAN'!BH11</f>
        <v>0</v>
      </c>
      <c r="L34" s="116">
        <f>'P NP LAUT IKAN'!BG12</f>
        <v>0</v>
      </c>
      <c r="M34" s="116">
        <f>'P NP LAUT IKAN'!BH12</f>
        <v>0</v>
      </c>
      <c r="N34" s="116">
        <f>'P NP LAUT IKAN'!BG13</f>
        <v>0</v>
      </c>
      <c r="O34" s="116">
        <f>'P NP LAUT IKAN'!BH13</f>
        <v>0</v>
      </c>
      <c r="P34" s="116">
        <f>'P NP LAUT IKAN'!BG14</f>
        <v>0</v>
      </c>
      <c r="Q34" s="116">
        <f>'P NP LAUT IKAN'!BH14</f>
        <v>0</v>
      </c>
      <c r="R34" s="116">
        <f>'P NP LAUT IKAN'!BG15</f>
        <v>0</v>
      </c>
      <c r="S34" s="116">
        <f>'P NP LAUT IKAN'!BH15</f>
        <v>0</v>
      </c>
      <c r="T34" s="116">
        <f>'P NP LAUT IKAN'!BG16</f>
        <v>0</v>
      </c>
      <c r="U34" s="116">
        <f>'P NP LAUT IKAN'!BH16</f>
        <v>0</v>
      </c>
      <c r="V34" s="116">
        <f>'P NP LAUT IKAN'!BG17</f>
        <v>0</v>
      </c>
      <c r="W34" s="116">
        <f>'P NP LAUT IKAN'!BH17</f>
        <v>0</v>
      </c>
      <c r="X34" s="116">
        <f>'P NP LAUT IKAN'!BG18</f>
        <v>0</v>
      </c>
      <c r="Y34" s="116">
        <f>'P NP LAUT IKAN'!BH18</f>
        <v>0</v>
      </c>
      <c r="Z34" s="116">
        <f>'P NP LAUT IKAN'!BG19</f>
        <v>0</v>
      </c>
      <c r="AA34" s="116">
        <f>'P NP LAUT IKAN'!BH19</f>
        <v>0</v>
      </c>
      <c r="AB34" s="116">
        <f>'P NP LAUT IKAN'!BG20</f>
        <v>0</v>
      </c>
      <c r="AC34" s="116">
        <f>'P NP LAUT IKAN'!BH20</f>
        <v>0</v>
      </c>
      <c r="AD34" s="116">
        <f>'P NP LAUT IKAN'!BG21</f>
        <v>0</v>
      </c>
      <c r="AE34" s="116">
        <f>'P NP LAUT IKAN'!BH21</f>
        <v>0</v>
      </c>
      <c r="AF34" s="116">
        <f>'P NP LAUT IKAN'!BG22</f>
        <v>0</v>
      </c>
      <c r="AG34" s="116">
        <f>'P NP LAUT IKAN'!BH22</f>
        <v>0</v>
      </c>
      <c r="AH34" s="116">
        <f>'P NP LAUT IKAN'!BG23</f>
        <v>0</v>
      </c>
      <c r="AI34" s="116">
        <f>'P NP LAUT IKAN'!BH23</f>
        <v>0</v>
      </c>
      <c r="AJ34" s="116">
        <f>'P NP LAUT IKAN'!BG24</f>
        <v>0</v>
      </c>
      <c r="AK34" s="116">
        <f>'P NP LAUT IKAN'!BH24</f>
        <v>0</v>
      </c>
      <c r="AL34" s="116">
        <f>'P NP LAUT IKAN'!BG25</f>
        <v>0</v>
      </c>
      <c r="AM34" s="116">
        <f>'P NP LAUT IKAN'!BH25</f>
        <v>0</v>
      </c>
      <c r="AN34" s="116">
        <f>'P NP LAUT IKAN'!BG26</f>
        <v>0</v>
      </c>
      <c r="AO34" s="116">
        <f>'P NP LAUT IKAN'!BH26</f>
        <v>0</v>
      </c>
      <c r="AP34" s="116">
        <f>'P NP LAUT IKAN'!BG27</f>
        <v>0</v>
      </c>
      <c r="AQ34" s="116">
        <f>'P NP LAUT IKAN'!BH27</f>
        <v>0</v>
      </c>
      <c r="AR34" s="116">
        <f>'P NP LAUT IKAN'!BG28</f>
        <v>0</v>
      </c>
      <c r="AS34" s="116">
        <f>'P NP LAUT IKAN'!BH28</f>
        <v>0</v>
      </c>
      <c r="AT34" s="116">
        <f>'P NP LAUT IKAN'!BG29</f>
        <v>0</v>
      </c>
      <c r="AU34" s="116">
        <f>'P NP LAUT IKAN'!BH29</f>
        <v>0</v>
      </c>
      <c r="AV34" s="116">
        <f>'P NP LAUT IKAN'!BG30</f>
        <v>0</v>
      </c>
      <c r="AW34" s="116">
        <f>'P NP LAUT IKAN'!BH30</f>
        <v>0</v>
      </c>
      <c r="AX34" s="116">
        <f>'P NP LAUT IKAN'!BG31</f>
        <v>0</v>
      </c>
      <c r="AY34" s="116">
        <f>'P NP LAUT IKAN'!BH31</f>
        <v>0</v>
      </c>
      <c r="AZ34" s="116">
        <f>'P NP LAUT IKAN'!BG32</f>
        <v>0</v>
      </c>
      <c r="BA34" s="116">
        <f>'P NP LAUT IKAN'!BH32</f>
        <v>0</v>
      </c>
      <c r="BB34" s="116">
        <f>'P NP LAUT IKAN'!BG33</f>
        <v>0</v>
      </c>
      <c r="BC34" s="116">
        <f>'P NP LAUT IKAN'!BH33</f>
        <v>0</v>
      </c>
      <c r="BD34" s="116">
        <f>'P NP LAUT IKAN'!BG34</f>
        <v>0</v>
      </c>
      <c r="BE34" s="116">
        <f>'P NP LAUT IKAN'!BH34</f>
        <v>0</v>
      </c>
      <c r="BF34" s="116">
        <f>'P NP LAUT IKAN'!BG43</f>
        <v>0</v>
      </c>
      <c r="BG34" s="116">
        <f>'P NP LAUT IKAN'!BH43</f>
        <v>0</v>
      </c>
      <c r="BH34" s="116">
        <f>'P NP LAUT IKAN'!BG44</f>
        <v>0</v>
      </c>
      <c r="BI34" s="116">
        <f>'P NP LAUT IKAN'!BH44</f>
        <v>0</v>
      </c>
      <c r="BJ34" s="116">
        <f>'P NP LAUT IKAN'!C73</f>
        <v>0</v>
      </c>
      <c r="BK34" s="116">
        <f>'P NP LAUT IKAN'!D73</f>
        <v>0</v>
      </c>
      <c r="BL34" s="116">
        <f>'P NP LAUT IKAN'!C74</f>
        <v>0</v>
      </c>
      <c r="BM34" s="116">
        <f>'P NP LAUT IKAN'!D74</f>
        <v>0</v>
      </c>
      <c r="BN34" s="116">
        <f>'P NP LAUT IKAN'!C75</f>
        <v>0</v>
      </c>
      <c r="BO34" s="116">
        <f>'P NP LAUT IKAN'!D75</f>
        <v>0</v>
      </c>
      <c r="BP34" s="116">
        <f>'P NP LAUT IKAN'!C76</f>
        <v>0</v>
      </c>
      <c r="BQ34" s="116">
        <f>'P NP LAUT IKAN'!D76</f>
        <v>0</v>
      </c>
      <c r="BR34" s="116">
        <f>'P NP LAUT IKAN'!C77</f>
        <v>0</v>
      </c>
      <c r="BS34" s="116">
        <f>'P NP LAUT IKAN'!D77</f>
        <v>0</v>
      </c>
      <c r="BT34" s="116">
        <f>'P NP LAUT IKAN'!C78</f>
        <v>0</v>
      </c>
      <c r="BU34" s="116">
        <f>'P NP LAUT IKAN'!D78</f>
        <v>0</v>
      </c>
      <c r="BV34" s="116">
        <f>'P NP LAUT IKAN'!C79</f>
        <v>0</v>
      </c>
      <c r="BW34" s="116">
        <f>'P NP LAUT IKAN'!D79</f>
        <v>0</v>
      </c>
      <c r="BX34" s="116">
        <f>'P NP LAUT IKAN'!C80</f>
        <v>0</v>
      </c>
      <c r="BY34" s="116">
        <f>'P NP LAUT IKAN'!D80</f>
        <v>0</v>
      </c>
    </row>
    <row r="35" spans="1:77">
      <c r="A35" s="260" t="s">
        <v>149</v>
      </c>
      <c r="B35" s="169">
        <f t="shared" si="2"/>
        <v>0</v>
      </c>
      <c r="C35" s="169">
        <f t="shared" si="3"/>
        <v>0</v>
      </c>
      <c r="D35" s="116">
        <f>'P NP LAUT IKAN'!BI8</f>
        <v>0</v>
      </c>
      <c r="E35" s="116">
        <f>'P NP LAUT IKAN'!BJ8</f>
        <v>0</v>
      </c>
      <c r="F35" s="116">
        <f>'P NP LAUT IKAN'!BI9</f>
        <v>0</v>
      </c>
      <c r="G35" s="116">
        <f>'P NP LAUT IKAN'!BJ9</f>
        <v>0</v>
      </c>
      <c r="H35" s="116">
        <f>'P NP LAUT IKAN'!BI10</f>
        <v>0</v>
      </c>
      <c r="I35" s="116">
        <f>'P NP LAUT IKAN'!BJ10</f>
        <v>0</v>
      </c>
      <c r="J35" s="116">
        <f>'P NP LAUT IKAN'!BI11</f>
        <v>0</v>
      </c>
      <c r="K35" s="116">
        <f>'P NP LAUT IKAN'!BJ11</f>
        <v>0</v>
      </c>
      <c r="L35" s="116">
        <f>'P NP LAUT IKAN'!BI12</f>
        <v>0</v>
      </c>
      <c r="M35" s="116">
        <f>'P NP LAUT IKAN'!BJ12</f>
        <v>0</v>
      </c>
      <c r="N35" s="116">
        <f>'P NP LAUT IKAN'!BI13</f>
        <v>0</v>
      </c>
      <c r="O35" s="116">
        <f>'P NP LAUT IKAN'!BJ13</f>
        <v>0</v>
      </c>
      <c r="P35" s="116">
        <f>'P NP LAUT IKAN'!BI14</f>
        <v>0</v>
      </c>
      <c r="Q35" s="116">
        <f>'P NP LAUT IKAN'!BJ14</f>
        <v>0</v>
      </c>
      <c r="R35" s="116">
        <f>'P NP LAUT IKAN'!BI15</f>
        <v>0</v>
      </c>
      <c r="S35" s="116">
        <f>'P NP LAUT IKAN'!BJ15</f>
        <v>0</v>
      </c>
      <c r="T35" s="116">
        <f>'P NP LAUT IKAN'!BI16</f>
        <v>0</v>
      </c>
      <c r="U35" s="116">
        <f>'P NP LAUT IKAN'!BJ16</f>
        <v>0</v>
      </c>
      <c r="V35" s="116">
        <f>'P NP LAUT IKAN'!BI17</f>
        <v>0</v>
      </c>
      <c r="W35" s="116">
        <f>'P NP LAUT IKAN'!BJ17</f>
        <v>0</v>
      </c>
      <c r="X35" s="116">
        <f>'P NP LAUT IKAN'!BI18</f>
        <v>0</v>
      </c>
      <c r="Y35" s="116">
        <f>'P NP LAUT IKAN'!BJ18</f>
        <v>0</v>
      </c>
      <c r="Z35" s="116">
        <f>'P NP LAUT IKAN'!BI19</f>
        <v>0</v>
      </c>
      <c r="AA35" s="116">
        <f>'P NP LAUT IKAN'!BJ19</f>
        <v>0</v>
      </c>
      <c r="AB35" s="116">
        <f>'P NP LAUT IKAN'!BI20</f>
        <v>0</v>
      </c>
      <c r="AC35" s="116">
        <f>'P NP LAUT IKAN'!BJ20</f>
        <v>0</v>
      </c>
      <c r="AD35" s="116">
        <f>'P NP LAUT IKAN'!BI21</f>
        <v>0</v>
      </c>
      <c r="AE35" s="116">
        <f>'P NP LAUT IKAN'!BJ21</f>
        <v>0</v>
      </c>
      <c r="AF35" s="116">
        <f>'P NP LAUT IKAN'!BI22</f>
        <v>0</v>
      </c>
      <c r="AG35" s="116">
        <f>'P NP LAUT IKAN'!BJ22</f>
        <v>0</v>
      </c>
      <c r="AH35" s="116">
        <f>'P NP LAUT IKAN'!BI23</f>
        <v>0</v>
      </c>
      <c r="AI35" s="116">
        <f>'P NP LAUT IKAN'!BJ23</f>
        <v>0</v>
      </c>
      <c r="AJ35" s="116">
        <f>'P NP LAUT IKAN'!BI24</f>
        <v>0</v>
      </c>
      <c r="AK35" s="116">
        <f>'P NP LAUT IKAN'!BJ24</f>
        <v>0</v>
      </c>
      <c r="AL35" s="116">
        <f>'P NP LAUT IKAN'!BI25</f>
        <v>0</v>
      </c>
      <c r="AM35" s="116">
        <f>'P NP LAUT IKAN'!BJ25</f>
        <v>0</v>
      </c>
      <c r="AN35" s="116">
        <f>'P NP LAUT IKAN'!BI26</f>
        <v>0</v>
      </c>
      <c r="AO35" s="116">
        <f>'P NP LAUT IKAN'!BJ26</f>
        <v>0</v>
      </c>
      <c r="AP35" s="116">
        <f>'P NP LAUT IKAN'!BI27</f>
        <v>0</v>
      </c>
      <c r="AQ35" s="116">
        <f>'P NP LAUT IKAN'!BJ27</f>
        <v>0</v>
      </c>
      <c r="AR35" s="116">
        <f>'P NP LAUT IKAN'!BI28</f>
        <v>0</v>
      </c>
      <c r="AS35" s="116">
        <f>'P NP LAUT IKAN'!BJ28</f>
        <v>0</v>
      </c>
      <c r="AT35" s="116">
        <f>'P NP LAUT IKAN'!BI29</f>
        <v>0</v>
      </c>
      <c r="AU35" s="116">
        <f>'P NP LAUT IKAN'!BJ29</f>
        <v>0</v>
      </c>
      <c r="AV35" s="116">
        <f>'P NP LAUT IKAN'!BI30</f>
        <v>0</v>
      </c>
      <c r="AW35" s="116">
        <f>'P NP LAUT IKAN'!BJ30</f>
        <v>0</v>
      </c>
      <c r="AX35" s="116">
        <f>'P NP LAUT IKAN'!BI31</f>
        <v>0</v>
      </c>
      <c r="AY35" s="116">
        <f>'P NP LAUT IKAN'!BJ31</f>
        <v>0</v>
      </c>
      <c r="AZ35" s="116">
        <f>'P NP LAUT IKAN'!BI32</f>
        <v>0</v>
      </c>
      <c r="BA35" s="116">
        <f>'P NP LAUT IKAN'!BJ32</f>
        <v>0</v>
      </c>
      <c r="BB35" s="116">
        <f>'P NP LAUT IKAN'!BI33</f>
        <v>0</v>
      </c>
      <c r="BC35" s="116">
        <f>'P NP LAUT IKAN'!BJ33</f>
        <v>0</v>
      </c>
      <c r="BD35" s="116">
        <f>'P NP LAUT IKAN'!BI34</f>
        <v>0</v>
      </c>
      <c r="BE35" s="116">
        <f>'P NP LAUT IKAN'!BJ34</f>
        <v>0</v>
      </c>
      <c r="BF35" s="116">
        <f>'P NP LAUT IKAN'!BI43</f>
        <v>0</v>
      </c>
      <c r="BG35" s="116">
        <f>'P NP LAUT IKAN'!BJ43</f>
        <v>0</v>
      </c>
      <c r="BH35" s="116">
        <f>'P NP LAUT IKAN'!BI44</f>
        <v>0</v>
      </c>
      <c r="BI35" s="116">
        <f>'P NP LAUT IKAN'!BJ44</f>
        <v>0</v>
      </c>
      <c r="BJ35" s="116">
        <f>'P NP LAUT IKAN'!C74</f>
        <v>0</v>
      </c>
      <c r="BK35" s="116">
        <f>'P NP LAUT IKAN'!D74</f>
        <v>0</v>
      </c>
      <c r="BL35" s="116">
        <f>'P NP LAUT IKAN'!C75</f>
        <v>0</v>
      </c>
      <c r="BM35" s="116">
        <f>'P NP LAUT IKAN'!D75</f>
        <v>0</v>
      </c>
      <c r="BN35" s="116">
        <f>'P NP LAUT IKAN'!C76</f>
        <v>0</v>
      </c>
      <c r="BO35" s="116">
        <f>'P NP LAUT IKAN'!D76</f>
        <v>0</v>
      </c>
      <c r="BP35" s="116">
        <f>'P NP LAUT IKAN'!C77</f>
        <v>0</v>
      </c>
      <c r="BQ35" s="116">
        <f>'P NP LAUT IKAN'!D77</f>
        <v>0</v>
      </c>
      <c r="BR35" s="116">
        <f>'P NP LAUT IKAN'!C78</f>
        <v>0</v>
      </c>
      <c r="BS35" s="116">
        <f>'P NP LAUT IKAN'!D78</f>
        <v>0</v>
      </c>
      <c r="BT35" s="116">
        <f>'P NP LAUT IKAN'!C79</f>
        <v>0</v>
      </c>
      <c r="BU35" s="116">
        <f>'P NP LAUT IKAN'!D79</f>
        <v>0</v>
      </c>
      <c r="BV35" s="116">
        <f>'P NP LAUT IKAN'!C80</f>
        <v>0</v>
      </c>
      <c r="BW35" s="116">
        <f>'P NP LAUT IKAN'!D80</f>
        <v>0</v>
      </c>
      <c r="BX35" s="116">
        <f>'P NP LAUT IKAN'!C81</f>
        <v>0</v>
      </c>
      <c r="BY35" s="116">
        <f>'P NP LAUT IKAN'!D81</f>
        <v>0</v>
      </c>
    </row>
    <row r="36" spans="1:77">
      <c r="A36" s="260" t="s">
        <v>142</v>
      </c>
      <c r="B36" s="169">
        <f t="shared" si="2"/>
        <v>0</v>
      </c>
      <c r="C36" s="169">
        <f t="shared" si="3"/>
        <v>0</v>
      </c>
      <c r="D36" s="116">
        <f>'P NP LAUT IKAN'!BK8</f>
        <v>0</v>
      </c>
      <c r="E36" s="116">
        <f>'P NP LAUT IKAN'!BL8</f>
        <v>0</v>
      </c>
      <c r="F36" s="116">
        <f>'P NP LAUT IKAN'!BK9</f>
        <v>0</v>
      </c>
      <c r="G36" s="116">
        <f>'P NP LAUT IKAN'!BL9</f>
        <v>0</v>
      </c>
      <c r="H36" s="116">
        <f>'P NP LAUT IKAN'!BK10</f>
        <v>0</v>
      </c>
      <c r="I36" s="116">
        <f>'P NP LAUT IKAN'!BL10</f>
        <v>0</v>
      </c>
      <c r="J36" s="116">
        <f>'P NP LAUT IKAN'!BK11</f>
        <v>0</v>
      </c>
      <c r="K36" s="116">
        <f>'P NP LAUT IKAN'!BL11</f>
        <v>0</v>
      </c>
      <c r="L36" s="116">
        <f>'P NP LAUT IKAN'!BK12</f>
        <v>0</v>
      </c>
      <c r="M36" s="116">
        <f>'P NP LAUT IKAN'!BL12</f>
        <v>0</v>
      </c>
      <c r="N36" s="116">
        <f>'P NP LAUT IKAN'!BK13</f>
        <v>0</v>
      </c>
      <c r="O36" s="116">
        <f>'P NP LAUT IKAN'!BL13</f>
        <v>0</v>
      </c>
      <c r="P36" s="116">
        <f>'P NP LAUT IKAN'!BK14</f>
        <v>0</v>
      </c>
      <c r="Q36" s="116">
        <f>'P NP LAUT IKAN'!BL14</f>
        <v>0</v>
      </c>
      <c r="R36" s="116">
        <f>'P NP LAUT IKAN'!BK15</f>
        <v>0</v>
      </c>
      <c r="S36" s="116">
        <f>'P NP LAUT IKAN'!BL15</f>
        <v>0</v>
      </c>
      <c r="T36" s="116">
        <f>'P NP LAUT IKAN'!BK16</f>
        <v>0</v>
      </c>
      <c r="U36" s="116">
        <f>'P NP LAUT IKAN'!BL16</f>
        <v>0</v>
      </c>
      <c r="V36" s="116">
        <f>'P NP LAUT IKAN'!BK17</f>
        <v>0</v>
      </c>
      <c r="W36" s="116">
        <f>'P NP LAUT IKAN'!BL17</f>
        <v>0</v>
      </c>
      <c r="X36" s="116">
        <f>'P NP LAUT IKAN'!BK18</f>
        <v>0</v>
      </c>
      <c r="Y36" s="116">
        <f>'P NP LAUT IKAN'!BL18</f>
        <v>0</v>
      </c>
      <c r="Z36" s="116">
        <f>'P NP LAUT IKAN'!BK19</f>
        <v>0</v>
      </c>
      <c r="AA36" s="116">
        <f>'P NP LAUT IKAN'!BL19</f>
        <v>0</v>
      </c>
      <c r="AB36" s="116">
        <f>'P NP LAUT IKAN'!BK20</f>
        <v>0</v>
      </c>
      <c r="AC36" s="116">
        <f>'P NP LAUT IKAN'!BL20</f>
        <v>0</v>
      </c>
      <c r="AD36" s="116">
        <f>'P NP LAUT IKAN'!BK21</f>
        <v>0</v>
      </c>
      <c r="AE36" s="116">
        <f>'P NP LAUT IKAN'!BL21</f>
        <v>0</v>
      </c>
      <c r="AF36" s="116">
        <f>'P NP LAUT IKAN'!BK22</f>
        <v>0</v>
      </c>
      <c r="AG36" s="116">
        <f>'P NP LAUT IKAN'!BL22</f>
        <v>0</v>
      </c>
      <c r="AH36" s="116">
        <f>'P NP LAUT IKAN'!BK23</f>
        <v>0</v>
      </c>
      <c r="AI36" s="116">
        <f>'P NP LAUT IKAN'!BL23</f>
        <v>0</v>
      </c>
      <c r="AJ36" s="116">
        <f>'P NP LAUT IKAN'!BK24</f>
        <v>0</v>
      </c>
      <c r="AK36" s="116">
        <f>'P NP LAUT IKAN'!BL24</f>
        <v>0</v>
      </c>
      <c r="AL36" s="116">
        <f>'P NP LAUT IKAN'!BK25</f>
        <v>0</v>
      </c>
      <c r="AM36" s="116">
        <f>'P NP LAUT IKAN'!BL25</f>
        <v>0</v>
      </c>
      <c r="AN36" s="116">
        <f>'P NP LAUT IKAN'!BK26</f>
        <v>0</v>
      </c>
      <c r="AO36" s="116">
        <f>'P NP LAUT IKAN'!BL26</f>
        <v>0</v>
      </c>
      <c r="AP36" s="116">
        <f>'P NP LAUT IKAN'!BK27</f>
        <v>0</v>
      </c>
      <c r="AQ36" s="116">
        <f>'P NP LAUT IKAN'!BL27</f>
        <v>0</v>
      </c>
      <c r="AR36" s="116">
        <f>'P NP LAUT IKAN'!BK28</f>
        <v>0</v>
      </c>
      <c r="AS36" s="116">
        <f>'P NP LAUT IKAN'!BL28</f>
        <v>0</v>
      </c>
      <c r="AT36" s="116">
        <f>'P NP LAUT IKAN'!BK29</f>
        <v>0</v>
      </c>
      <c r="AU36" s="116">
        <f>'P NP LAUT IKAN'!BL29</f>
        <v>0</v>
      </c>
      <c r="AV36" s="116">
        <f>'P NP LAUT IKAN'!BK30</f>
        <v>0</v>
      </c>
      <c r="AW36" s="116">
        <f>'P NP LAUT IKAN'!BL30</f>
        <v>0</v>
      </c>
      <c r="AX36" s="116">
        <f>'P NP LAUT IKAN'!BK31</f>
        <v>0</v>
      </c>
      <c r="AY36" s="116">
        <f>'P NP LAUT IKAN'!BL31</f>
        <v>0</v>
      </c>
      <c r="AZ36" s="116">
        <f>'P NP LAUT IKAN'!BK32</f>
        <v>0</v>
      </c>
      <c r="BA36" s="116">
        <f>'P NP LAUT IKAN'!BL32</f>
        <v>0</v>
      </c>
      <c r="BB36" s="116">
        <f>'P NP LAUT IKAN'!BK33</f>
        <v>0</v>
      </c>
      <c r="BC36" s="116">
        <f>'P NP LAUT IKAN'!BL33</f>
        <v>0</v>
      </c>
      <c r="BD36" s="116">
        <f>'P NP LAUT IKAN'!BK34</f>
        <v>0</v>
      </c>
      <c r="BE36" s="116">
        <f>'P NP LAUT IKAN'!BL34</f>
        <v>0</v>
      </c>
      <c r="BF36" s="116">
        <f>'P NP LAUT IKAN'!BK43</f>
        <v>0</v>
      </c>
      <c r="BG36" s="116">
        <f>'P NP LAUT IKAN'!BL43</f>
        <v>0</v>
      </c>
      <c r="BH36" s="116">
        <f>'P NP LAUT IKAN'!BK44</f>
        <v>0</v>
      </c>
      <c r="BI36" s="116">
        <f>'P NP LAUT IKAN'!BL44</f>
        <v>0</v>
      </c>
      <c r="BJ36" s="116">
        <f>'P NP LAUT IKAN'!C75</f>
        <v>0</v>
      </c>
      <c r="BK36" s="116">
        <f>'P NP LAUT IKAN'!D75</f>
        <v>0</v>
      </c>
      <c r="BL36" s="116">
        <f>'P NP LAUT IKAN'!C76</f>
        <v>0</v>
      </c>
      <c r="BM36" s="116">
        <f>'P NP LAUT IKAN'!D76</f>
        <v>0</v>
      </c>
      <c r="BN36" s="116">
        <f>'P NP LAUT IKAN'!C77</f>
        <v>0</v>
      </c>
      <c r="BO36" s="116">
        <f>'P NP LAUT IKAN'!D77</f>
        <v>0</v>
      </c>
      <c r="BP36" s="116">
        <f>'P NP LAUT IKAN'!C78</f>
        <v>0</v>
      </c>
      <c r="BQ36" s="116">
        <f>'P NP LAUT IKAN'!D78</f>
        <v>0</v>
      </c>
      <c r="BR36" s="116">
        <f>'P NP LAUT IKAN'!C79</f>
        <v>0</v>
      </c>
      <c r="BS36" s="116">
        <f>'P NP LAUT IKAN'!D79</f>
        <v>0</v>
      </c>
      <c r="BT36" s="116">
        <f>'P NP LAUT IKAN'!C80</f>
        <v>0</v>
      </c>
      <c r="BU36" s="116">
        <f>'P NP LAUT IKAN'!D80</f>
        <v>0</v>
      </c>
      <c r="BV36" s="116">
        <f>'P NP LAUT IKAN'!C81</f>
        <v>0</v>
      </c>
      <c r="BW36" s="116">
        <f>'P NP LAUT IKAN'!D81</f>
        <v>0</v>
      </c>
      <c r="BX36" s="116">
        <f>'P NP LAUT IKAN'!C82</f>
        <v>0</v>
      </c>
      <c r="BY36" s="116">
        <f>'P NP LAUT IKAN'!D82</f>
        <v>0</v>
      </c>
    </row>
    <row r="37" spans="1:77">
      <c r="A37" s="260" t="s">
        <v>141</v>
      </c>
      <c r="B37" s="169">
        <f t="shared" si="2"/>
        <v>0</v>
      </c>
      <c r="C37" s="169">
        <f t="shared" si="3"/>
        <v>0</v>
      </c>
      <c r="D37" s="116">
        <f>'P NP LAUT IKAN'!BM8</f>
        <v>0</v>
      </c>
      <c r="E37" s="116">
        <f>'P NP LAUT IKAN'!BN8</f>
        <v>0</v>
      </c>
      <c r="F37" s="116">
        <f>'P NP LAUT IKAN'!BM9</f>
        <v>0</v>
      </c>
      <c r="G37" s="116">
        <f>'P NP LAUT IKAN'!BN9</f>
        <v>0</v>
      </c>
      <c r="H37" s="116">
        <f>'P NP LAUT IKAN'!BM10</f>
        <v>0</v>
      </c>
      <c r="I37" s="116">
        <f>'P NP LAUT IKAN'!BN10</f>
        <v>0</v>
      </c>
      <c r="J37" s="116">
        <f>'P NP LAUT IKAN'!BM11</f>
        <v>0</v>
      </c>
      <c r="K37" s="116">
        <f>'P NP LAUT IKAN'!BN11</f>
        <v>0</v>
      </c>
      <c r="L37" s="116">
        <f>'P NP LAUT IKAN'!BM12</f>
        <v>0</v>
      </c>
      <c r="M37" s="116">
        <f>'P NP LAUT IKAN'!BN12</f>
        <v>0</v>
      </c>
      <c r="N37" s="116">
        <f>'P NP LAUT IKAN'!BM13</f>
        <v>0</v>
      </c>
      <c r="O37" s="116">
        <f>'P NP LAUT IKAN'!BN13</f>
        <v>0</v>
      </c>
      <c r="P37" s="116">
        <f>'P NP LAUT IKAN'!BM14</f>
        <v>0</v>
      </c>
      <c r="Q37" s="116">
        <f>'P NP LAUT IKAN'!BN14</f>
        <v>0</v>
      </c>
      <c r="R37" s="116">
        <f>'P NP LAUT IKAN'!BM15</f>
        <v>0</v>
      </c>
      <c r="S37" s="116">
        <f>'P NP LAUT IKAN'!BN15</f>
        <v>0</v>
      </c>
      <c r="T37" s="116">
        <f>'P NP LAUT IKAN'!BM16</f>
        <v>0</v>
      </c>
      <c r="U37" s="116">
        <f>'P NP LAUT IKAN'!BN16</f>
        <v>0</v>
      </c>
      <c r="V37" s="116">
        <f>'P NP LAUT IKAN'!BM17</f>
        <v>0</v>
      </c>
      <c r="W37" s="116">
        <f>'P NP LAUT IKAN'!BN17</f>
        <v>0</v>
      </c>
      <c r="X37" s="116">
        <f>'P NP LAUT IKAN'!BM18</f>
        <v>0</v>
      </c>
      <c r="Y37" s="116">
        <f>'P NP LAUT IKAN'!BN18</f>
        <v>0</v>
      </c>
      <c r="Z37" s="116">
        <f>'P NP LAUT IKAN'!BM19</f>
        <v>0</v>
      </c>
      <c r="AA37" s="116">
        <f>'P NP LAUT IKAN'!BN19</f>
        <v>0</v>
      </c>
      <c r="AB37" s="116">
        <f>'P NP LAUT IKAN'!BM20</f>
        <v>0</v>
      </c>
      <c r="AC37" s="116">
        <f>'P NP LAUT IKAN'!BN20</f>
        <v>0</v>
      </c>
      <c r="AD37" s="116">
        <f>'P NP LAUT IKAN'!BM21</f>
        <v>0</v>
      </c>
      <c r="AE37" s="116">
        <f>'P NP LAUT IKAN'!BN21</f>
        <v>0</v>
      </c>
      <c r="AF37" s="116">
        <f>'P NP LAUT IKAN'!BM22</f>
        <v>0</v>
      </c>
      <c r="AG37" s="116">
        <f>'P NP LAUT IKAN'!BN22</f>
        <v>0</v>
      </c>
      <c r="AH37" s="116">
        <f>'P NP LAUT IKAN'!BM23</f>
        <v>0</v>
      </c>
      <c r="AI37" s="116">
        <f>'P NP LAUT IKAN'!BN23</f>
        <v>0</v>
      </c>
      <c r="AJ37" s="116">
        <f>'P NP LAUT IKAN'!BM24</f>
        <v>0</v>
      </c>
      <c r="AK37" s="116">
        <f>'P NP LAUT IKAN'!BN24</f>
        <v>0</v>
      </c>
      <c r="AL37" s="116">
        <f>'P NP LAUT IKAN'!BM25</f>
        <v>0</v>
      </c>
      <c r="AM37" s="116">
        <f>'P NP LAUT IKAN'!BN25</f>
        <v>0</v>
      </c>
      <c r="AN37" s="116">
        <f>'P NP LAUT IKAN'!BM26</f>
        <v>0</v>
      </c>
      <c r="AO37" s="116">
        <f>'P NP LAUT IKAN'!BN26</f>
        <v>0</v>
      </c>
      <c r="AP37" s="116">
        <f>'P NP LAUT IKAN'!BM27</f>
        <v>0</v>
      </c>
      <c r="AQ37" s="116">
        <f>'P NP LAUT IKAN'!BN27</f>
        <v>0</v>
      </c>
      <c r="AR37" s="116">
        <f>'P NP LAUT IKAN'!BM28</f>
        <v>0</v>
      </c>
      <c r="AS37" s="116">
        <f>'P NP LAUT IKAN'!BN28</f>
        <v>0</v>
      </c>
      <c r="AT37" s="116">
        <f>'P NP LAUT IKAN'!BM29</f>
        <v>0</v>
      </c>
      <c r="AU37" s="116">
        <f>'P NP LAUT IKAN'!BN29</f>
        <v>0</v>
      </c>
      <c r="AV37" s="116">
        <f>'P NP LAUT IKAN'!BM30</f>
        <v>0</v>
      </c>
      <c r="AW37" s="116">
        <f>'P NP LAUT IKAN'!BN30</f>
        <v>0</v>
      </c>
      <c r="AX37" s="116">
        <f>'P NP LAUT IKAN'!BM31</f>
        <v>0</v>
      </c>
      <c r="AY37" s="116">
        <f>'P NP LAUT IKAN'!BN31</f>
        <v>0</v>
      </c>
      <c r="AZ37" s="116">
        <f>'P NP LAUT IKAN'!BM32</f>
        <v>0</v>
      </c>
      <c r="BA37" s="116">
        <f>'P NP LAUT IKAN'!BN32</f>
        <v>0</v>
      </c>
      <c r="BB37" s="116">
        <f>'P NP LAUT IKAN'!BM33</f>
        <v>0</v>
      </c>
      <c r="BC37" s="116">
        <f>'P NP LAUT IKAN'!BN33</f>
        <v>0</v>
      </c>
      <c r="BD37" s="116">
        <f>'P NP LAUT IKAN'!BM34</f>
        <v>0</v>
      </c>
      <c r="BE37" s="116">
        <f>'P NP LAUT IKAN'!BN34</f>
        <v>0</v>
      </c>
      <c r="BF37" s="116">
        <f>'P NP LAUT IKAN'!BM43</f>
        <v>0</v>
      </c>
      <c r="BG37" s="116">
        <f>'P NP LAUT IKAN'!BN43</f>
        <v>0</v>
      </c>
      <c r="BH37" s="116">
        <f>'P NP LAUT IKAN'!BM44</f>
        <v>0</v>
      </c>
      <c r="BI37" s="116">
        <f>'P NP LAUT IKAN'!BN44</f>
        <v>0</v>
      </c>
      <c r="BJ37" s="116">
        <f>'P NP LAUT IKAN'!C76</f>
        <v>0</v>
      </c>
      <c r="BK37" s="116">
        <f>'P NP LAUT IKAN'!D76</f>
        <v>0</v>
      </c>
      <c r="BL37" s="116">
        <f>'P NP LAUT IKAN'!C77</f>
        <v>0</v>
      </c>
      <c r="BM37" s="116">
        <f>'P NP LAUT IKAN'!D77</f>
        <v>0</v>
      </c>
      <c r="BN37" s="116">
        <f>'P NP LAUT IKAN'!C78</f>
        <v>0</v>
      </c>
      <c r="BO37" s="116">
        <f>'P NP LAUT IKAN'!D78</f>
        <v>0</v>
      </c>
      <c r="BP37" s="116">
        <f>'P NP LAUT IKAN'!C79</f>
        <v>0</v>
      </c>
      <c r="BQ37" s="116">
        <f>'P NP LAUT IKAN'!D79</f>
        <v>0</v>
      </c>
      <c r="BR37" s="116">
        <f>'P NP LAUT IKAN'!C80</f>
        <v>0</v>
      </c>
      <c r="BS37" s="116">
        <f>'P NP LAUT IKAN'!D80</f>
        <v>0</v>
      </c>
      <c r="BT37" s="116">
        <f>'P NP LAUT IKAN'!C81</f>
        <v>0</v>
      </c>
      <c r="BU37" s="116">
        <f>'P NP LAUT IKAN'!D81</f>
        <v>0</v>
      </c>
      <c r="BV37" s="116">
        <f>'P NP LAUT IKAN'!C82</f>
        <v>0</v>
      </c>
      <c r="BW37" s="116">
        <f>'P NP LAUT IKAN'!D82</f>
        <v>0</v>
      </c>
      <c r="BX37" s="116">
        <f>'P NP LAUT IKAN'!C83</f>
        <v>0</v>
      </c>
      <c r="BY37" s="116">
        <f>'P NP LAUT IKAN'!D83</f>
        <v>0</v>
      </c>
    </row>
    <row r="38" spans="1:77">
      <c r="A38" s="260" t="s">
        <v>147</v>
      </c>
      <c r="B38" s="169">
        <f t="shared" si="2"/>
        <v>0</v>
      </c>
      <c r="C38" s="169">
        <f t="shared" si="3"/>
        <v>0</v>
      </c>
      <c r="D38" s="116">
        <f>'P NP LAUT IKAN'!BO8</f>
        <v>0</v>
      </c>
      <c r="E38" s="116">
        <f>'P NP LAUT IKAN'!BP8</f>
        <v>0</v>
      </c>
      <c r="F38" s="116">
        <f>'P NP LAUT IKAN'!BO9</f>
        <v>0</v>
      </c>
      <c r="G38" s="116">
        <f>'P NP LAUT IKAN'!BP9</f>
        <v>0</v>
      </c>
      <c r="H38" s="116">
        <f>'P NP LAUT IKAN'!BO10</f>
        <v>0</v>
      </c>
      <c r="I38" s="116">
        <f>'P NP LAUT IKAN'!BP10</f>
        <v>0</v>
      </c>
      <c r="J38" s="116">
        <f>'P NP LAUT IKAN'!BO11</f>
        <v>0</v>
      </c>
      <c r="K38" s="116">
        <f>'P NP LAUT IKAN'!BP11</f>
        <v>0</v>
      </c>
      <c r="L38" s="116">
        <f>'P NP LAUT IKAN'!BO12</f>
        <v>0</v>
      </c>
      <c r="M38" s="116">
        <f>'P NP LAUT IKAN'!BP12</f>
        <v>0</v>
      </c>
      <c r="N38" s="116">
        <f>'P NP LAUT IKAN'!BO13</f>
        <v>0</v>
      </c>
      <c r="O38" s="116">
        <f>'P NP LAUT IKAN'!BP13</f>
        <v>0</v>
      </c>
      <c r="P38" s="116">
        <f>'P NP LAUT IKAN'!BO14</f>
        <v>0</v>
      </c>
      <c r="Q38" s="116">
        <f>'P NP LAUT IKAN'!BP14</f>
        <v>0</v>
      </c>
      <c r="R38" s="116">
        <f>'P NP LAUT IKAN'!BO15</f>
        <v>0</v>
      </c>
      <c r="S38" s="116">
        <f>'P NP LAUT IKAN'!BP15</f>
        <v>0</v>
      </c>
      <c r="T38" s="116">
        <f>'P NP LAUT IKAN'!BO16</f>
        <v>0</v>
      </c>
      <c r="U38" s="116">
        <f>'P NP LAUT IKAN'!BP16</f>
        <v>0</v>
      </c>
      <c r="V38" s="116">
        <f>'P NP LAUT IKAN'!BO17</f>
        <v>0</v>
      </c>
      <c r="W38" s="116">
        <f>'P NP LAUT IKAN'!BP17</f>
        <v>0</v>
      </c>
      <c r="X38" s="116">
        <f>'P NP LAUT IKAN'!BO18</f>
        <v>0</v>
      </c>
      <c r="Y38" s="116">
        <f>'P NP LAUT IKAN'!BP18</f>
        <v>0</v>
      </c>
      <c r="Z38" s="116">
        <f>'P NP LAUT IKAN'!BO19</f>
        <v>0</v>
      </c>
      <c r="AA38" s="116">
        <f>'P NP LAUT IKAN'!BP19</f>
        <v>0</v>
      </c>
      <c r="AB38" s="116">
        <f>'P NP LAUT IKAN'!BO20</f>
        <v>0</v>
      </c>
      <c r="AC38" s="116">
        <f>'P NP LAUT IKAN'!BP20</f>
        <v>0</v>
      </c>
      <c r="AD38" s="116">
        <f>'P NP LAUT IKAN'!BO21</f>
        <v>0</v>
      </c>
      <c r="AE38" s="116">
        <f>'P NP LAUT IKAN'!BP21</f>
        <v>0</v>
      </c>
      <c r="AF38" s="116">
        <f>'P NP LAUT IKAN'!BO22</f>
        <v>0</v>
      </c>
      <c r="AG38" s="116">
        <f>'P NP LAUT IKAN'!BP22</f>
        <v>0</v>
      </c>
      <c r="AH38" s="116">
        <f>'P NP LAUT IKAN'!BO23</f>
        <v>0</v>
      </c>
      <c r="AI38" s="116">
        <f>'P NP LAUT IKAN'!BP23</f>
        <v>0</v>
      </c>
      <c r="AJ38" s="116">
        <f>'P NP LAUT IKAN'!BO24</f>
        <v>0</v>
      </c>
      <c r="AK38" s="116">
        <f>'P NP LAUT IKAN'!BP24</f>
        <v>0</v>
      </c>
      <c r="AL38" s="116">
        <f>'P NP LAUT IKAN'!BO25</f>
        <v>0</v>
      </c>
      <c r="AM38" s="116">
        <f>'P NP LAUT IKAN'!BP25</f>
        <v>0</v>
      </c>
      <c r="AN38" s="116">
        <f>'P NP LAUT IKAN'!BO26</f>
        <v>0</v>
      </c>
      <c r="AO38" s="116">
        <f>'P NP LAUT IKAN'!BP26</f>
        <v>0</v>
      </c>
      <c r="AP38" s="116">
        <f>'P NP LAUT IKAN'!BO27</f>
        <v>0</v>
      </c>
      <c r="AQ38" s="116">
        <f>'P NP LAUT IKAN'!BP27</f>
        <v>0</v>
      </c>
      <c r="AR38" s="116">
        <f>'P NP LAUT IKAN'!BO28</f>
        <v>0</v>
      </c>
      <c r="AS38" s="116">
        <f>'P NP LAUT IKAN'!BP28</f>
        <v>0</v>
      </c>
      <c r="AT38" s="116">
        <f>'P NP LAUT IKAN'!BO29</f>
        <v>0</v>
      </c>
      <c r="AU38" s="116">
        <f>'P NP LAUT IKAN'!BP29</f>
        <v>0</v>
      </c>
      <c r="AV38" s="116">
        <f>'P NP LAUT IKAN'!BO30</f>
        <v>0</v>
      </c>
      <c r="AW38" s="116">
        <f>'P NP LAUT IKAN'!BP30</f>
        <v>0</v>
      </c>
      <c r="AX38" s="116">
        <f>'P NP LAUT IKAN'!BO31</f>
        <v>0</v>
      </c>
      <c r="AY38" s="116">
        <f>'P NP LAUT IKAN'!BP31</f>
        <v>0</v>
      </c>
      <c r="AZ38" s="116">
        <f>'P NP LAUT IKAN'!BO32</f>
        <v>0</v>
      </c>
      <c r="BA38" s="116">
        <f>'P NP LAUT IKAN'!BP32</f>
        <v>0</v>
      </c>
      <c r="BB38" s="116">
        <f>'P NP LAUT IKAN'!BO33</f>
        <v>0</v>
      </c>
      <c r="BC38" s="116">
        <f>'P NP LAUT IKAN'!BP33</f>
        <v>0</v>
      </c>
      <c r="BD38" s="116">
        <f>'P NP LAUT IKAN'!BO34</f>
        <v>0</v>
      </c>
      <c r="BE38" s="116">
        <f>'P NP LAUT IKAN'!BP34</f>
        <v>0</v>
      </c>
      <c r="BF38" s="116">
        <f>'P NP LAUT IKAN'!BO43</f>
        <v>0</v>
      </c>
      <c r="BG38" s="116">
        <f>'P NP LAUT IKAN'!BP43</f>
        <v>0</v>
      </c>
      <c r="BH38" s="116">
        <f>'P NP LAUT IKAN'!BO44</f>
        <v>0</v>
      </c>
      <c r="BI38" s="116">
        <f>'P NP LAUT IKAN'!BP44</f>
        <v>0</v>
      </c>
      <c r="BJ38" s="116">
        <f>'P NP LAUT IKAN'!C77</f>
        <v>0</v>
      </c>
      <c r="BK38" s="116">
        <f>'P NP LAUT IKAN'!D77</f>
        <v>0</v>
      </c>
      <c r="BL38" s="116">
        <f>'P NP LAUT IKAN'!C78</f>
        <v>0</v>
      </c>
      <c r="BM38" s="116">
        <f>'P NP LAUT IKAN'!D78</f>
        <v>0</v>
      </c>
      <c r="BN38" s="116">
        <f>'P NP LAUT IKAN'!C79</f>
        <v>0</v>
      </c>
      <c r="BO38" s="116">
        <f>'P NP LAUT IKAN'!D79</f>
        <v>0</v>
      </c>
      <c r="BP38" s="116">
        <f>'P NP LAUT IKAN'!C80</f>
        <v>0</v>
      </c>
      <c r="BQ38" s="116">
        <f>'P NP LAUT IKAN'!D80</f>
        <v>0</v>
      </c>
      <c r="BR38" s="116">
        <f>'P NP LAUT IKAN'!C81</f>
        <v>0</v>
      </c>
      <c r="BS38" s="116">
        <f>'P NP LAUT IKAN'!D81</f>
        <v>0</v>
      </c>
      <c r="BT38" s="116">
        <f>'P NP LAUT IKAN'!C82</f>
        <v>0</v>
      </c>
      <c r="BU38" s="116">
        <f>'P NP LAUT IKAN'!D82</f>
        <v>0</v>
      </c>
      <c r="BV38" s="116">
        <f>'P NP LAUT IKAN'!C83</f>
        <v>0</v>
      </c>
      <c r="BW38" s="116">
        <f>'P NP LAUT IKAN'!D83</f>
        <v>0</v>
      </c>
      <c r="BX38" s="116">
        <f>'P NP LAUT IKAN'!C84</f>
        <v>0</v>
      </c>
      <c r="BY38" s="116">
        <f>'P NP LAUT IKAN'!D84</f>
        <v>0</v>
      </c>
    </row>
    <row r="39" spans="1:77">
      <c r="A39" s="260" t="s">
        <v>143</v>
      </c>
      <c r="B39" s="169">
        <f t="shared" si="2"/>
        <v>0</v>
      </c>
      <c r="C39" s="169">
        <f t="shared" si="3"/>
        <v>0</v>
      </c>
      <c r="D39" s="116">
        <f>'P NP LAUT IKAN'!BQ8</f>
        <v>0</v>
      </c>
      <c r="E39" s="116">
        <f>'P NP LAUT IKAN'!BR8</f>
        <v>0</v>
      </c>
      <c r="F39" s="116">
        <f>'P NP LAUT IKAN'!BQ9</f>
        <v>0</v>
      </c>
      <c r="G39" s="116">
        <f>'P NP LAUT IKAN'!BR9</f>
        <v>0</v>
      </c>
      <c r="H39" s="116">
        <f>'P NP LAUT IKAN'!BQ10</f>
        <v>0</v>
      </c>
      <c r="I39" s="116">
        <f>'P NP LAUT IKAN'!BR10</f>
        <v>0</v>
      </c>
      <c r="J39" s="116">
        <f>'P NP LAUT IKAN'!BQ11</f>
        <v>0</v>
      </c>
      <c r="K39" s="116">
        <f>'P NP LAUT IKAN'!BR11</f>
        <v>0</v>
      </c>
      <c r="L39" s="116">
        <f>'P NP LAUT IKAN'!BQ12</f>
        <v>0</v>
      </c>
      <c r="M39" s="116">
        <f>'P NP LAUT IKAN'!BR12</f>
        <v>0</v>
      </c>
      <c r="N39" s="116">
        <f>'P NP LAUT IKAN'!BQ13</f>
        <v>0</v>
      </c>
      <c r="O39" s="116">
        <f>'P NP LAUT IKAN'!BR13</f>
        <v>0</v>
      </c>
      <c r="P39" s="116">
        <f>'P NP LAUT IKAN'!BQ14</f>
        <v>0</v>
      </c>
      <c r="Q39" s="116">
        <f>'P NP LAUT IKAN'!BR14</f>
        <v>0</v>
      </c>
      <c r="R39" s="116">
        <f>'P NP LAUT IKAN'!BQ15</f>
        <v>0</v>
      </c>
      <c r="S39" s="116">
        <f>'P NP LAUT IKAN'!BR15</f>
        <v>0</v>
      </c>
      <c r="T39" s="116">
        <f>'P NP LAUT IKAN'!BQ16</f>
        <v>0</v>
      </c>
      <c r="U39" s="116">
        <f>'P NP LAUT IKAN'!BR16</f>
        <v>0</v>
      </c>
      <c r="V39" s="116">
        <f>'P NP LAUT IKAN'!BQ17</f>
        <v>0</v>
      </c>
      <c r="W39" s="116">
        <f>'P NP LAUT IKAN'!BR17</f>
        <v>0</v>
      </c>
      <c r="X39" s="116">
        <f>'P NP LAUT IKAN'!BQ18</f>
        <v>0</v>
      </c>
      <c r="Y39" s="116">
        <f>'P NP LAUT IKAN'!BR18</f>
        <v>0</v>
      </c>
      <c r="Z39" s="116">
        <f>'P NP LAUT IKAN'!BQ19</f>
        <v>0</v>
      </c>
      <c r="AA39" s="116">
        <f>'P NP LAUT IKAN'!BR19</f>
        <v>0</v>
      </c>
      <c r="AB39" s="116">
        <f>'P NP LAUT IKAN'!BQ20</f>
        <v>0</v>
      </c>
      <c r="AC39" s="116">
        <f>'P NP LAUT IKAN'!BR20</f>
        <v>0</v>
      </c>
      <c r="AD39" s="116">
        <f>'P NP LAUT IKAN'!BQ21</f>
        <v>0</v>
      </c>
      <c r="AE39" s="116">
        <f>'P NP LAUT IKAN'!BR21</f>
        <v>0</v>
      </c>
      <c r="AF39" s="116">
        <f>'P NP LAUT IKAN'!BQ22</f>
        <v>0</v>
      </c>
      <c r="AG39" s="116">
        <f>'P NP LAUT IKAN'!BR22</f>
        <v>0</v>
      </c>
      <c r="AH39" s="116">
        <f>'P NP LAUT IKAN'!BQ23</f>
        <v>0</v>
      </c>
      <c r="AI39" s="116">
        <f>'P NP LAUT IKAN'!BR23</f>
        <v>0</v>
      </c>
      <c r="AJ39" s="116">
        <f>'P NP LAUT IKAN'!BQ24</f>
        <v>0</v>
      </c>
      <c r="AK39" s="116">
        <f>'P NP LAUT IKAN'!BR24</f>
        <v>0</v>
      </c>
      <c r="AL39" s="116">
        <f>'P NP LAUT IKAN'!BQ25</f>
        <v>0</v>
      </c>
      <c r="AM39" s="116">
        <f>'P NP LAUT IKAN'!BR25</f>
        <v>0</v>
      </c>
      <c r="AN39" s="116">
        <f>'P NP LAUT IKAN'!BQ26</f>
        <v>0</v>
      </c>
      <c r="AO39" s="116">
        <f>'P NP LAUT IKAN'!BR26</f>
        <v>0</v>
      </c>
      <c r="AP39" s="116">
        <f>'P NP LAUT IKAN'!BQ27</f>
        <v>0</v>
      </c>
      <c r="AQ39" s="116">
        <f>'P NP LAUT IKAN'!BR27</f>
        <v>0</v>
      </c>
      <c r="AR39" s="116">
        <f>'P NP LAUT IKAN'!BQ28</f>
        <v>0</v>
      </c>
      <c r="AS39" s="116">
        <f>'P NP LAUT IKAN'!BR28</f>
        <v>0</v>
      </c>
      <c r="AT39" s="116">
        <f>'P NP LAUT IKAN'!BQ29</f>
        <v>0</v>
      </c>
      <c r="AU39" s="116">
        <f>'P NP LAUT IKAN'!BR29</f>
        <v>0</v>
      </c>
      <c r="AV39" s="116">
        <f>'P NP LAUT IKAN'!BQ30</f>
        <v>0</v>
      </c>
      <c r="AW39" s="116">
        <f>'P NP LAUT IKAN'!BR30</f>
        <v>0</v>
      </c>
      <c r="AX39" s="116">
        <f>'P NP LAUT IKAN'!BQ31</f>
        <v>0</v>
      </c>
      <c r="AY39" s="116">
        <f>'P NP LAUT IKAN'!BR31</f>
        <v>0</v>
      </c>
      <c r="AZ39" s="116">
        <f>'P NP LAUT IKAN'!BQ32</f>
        <v>0</v>
      </c>
      <c r="BA39" s="116">
        <f>'P NP LAUT IKAN'!BR32</f>
        <v>0</v>
      </c>
      <c r="BB39" s="116">
        <f>'P NP LAUT IKAN'!BQ33</f>
        <v>0</v>
      </c>
      <c r="BC39" s="116">
        <f>'P NP LAUT IKAN'!BR33</f>
        <v>0</v>
      </c>
      <c r="BD39" s="116">
        <f>'P NP LAUT IKAN'!BQ34</f>
        <v>0</v>
      </c>
      <c r="BE39" s="116">
        <f>'P NP LAUT IKAN'!BR34</f>
        <v>0</v>
      </c>
      <c r="BF39" s="116">
        <f>'P NP LAUT IKAN'!BQ43</f>
        <v>0</v>
      </c>
      <c r="BG39" s="116">
        <f>'P NP LAUT IKAN'!BR43</f>
        <v>0</v>
      </c>
      <c r="BH39" s="116">
        <f>'P NP LAUT IKAN'!BQ44</f>
        <v>0</v>
      </c>
      <c r="BI39" s="116">
        <f>'P NP LAUT IKAN'!BR44</f>
        <v>0</v>
      </c>
      <c r="BJ39" s="116">
        <f>'P NP LAUT IKAN'!C78</f>
        <v>0</v>
      </c>
      <c r="BK39" s="116">
        <f>'P NP LAUT IKAN'!D78</f>
        <v>0</v>
      </c>
      <c r="BL39" s="116">
        <f>'P NP LAUT IKAN'!C79</f>
        <v>0</v>
      </c>
      <c r="BM39" s="116">
        <f>'P NP LAUT IKAN'!D79</f>
        <v>0</v>
      </c>
      <c r="BN39" s="116">
        <f>'P NP LAUT IKAN'!C80</f>
        <v>0</v>
      </c>
      <c r="BO39" s="116">
        <f>'P NP LAUT IKAN'!D80</f>
        <v>0</v>
      </c>
      <c r="BP39" s="116">
        <f>'P NP LAUT IKAN'!C81</f>
        <v>0</v>
      </c>
      <c r="BQ39" s="116">
        <f>'P NP LAUT IKAN'!D81</f>
        <v>0</v>
      </c>
      <c r="BR39" s="116">
        <f>'P NP LAUT IKAN'!C82</f>
        <v>0</v>
      </c>
      <c r="BS39" s="116">
        <f>'P NP LAUT IKAN'!D82</f>
        <v>0</v>
      </c>
      <c r="BT39" s="116">
        <f>'P NP LAUT IKAN'!C83</f>
        <v>0</v>
      </c>
      <c r="BU39" s="116">
        <f>'P NP LAUT IKAN'!D83</f>
        <v>0</v>
      </c>
      <c r="BV39" s="116">
        <f>'P NP LAUT IKAN'!C84</f>
        <v>0</v>
      </c>
      <c r="BW39" s="116">
        <f>'P NP LAUT IKAN'!D84</f>
        <v>0</v>
      </c>
      <c r="BX39" s="116">
        <f>'P NP LAUT IKAN'!C85</f>
        <v>0</v>
      </c>
      <c r="BY39" s="116">
        <f>'P NP LAUT IKAN'!D85</f>
        <v>0</v>
      </c>
    </row>
    <row r="40" spans="1:77">
      <c r="A40" s="260" t="s">
        <v>146</v>
      </c>
      <c r="B40" s="169">
        <f t="shared" si="2"/>
        <v>0</v>
      </c>
      <c r="C40" s="169">
        <f t="shared" si="3"/>
        <v>0</v>
      </c>
      <c r="D40" s="116">
        <f>'P NP LAUT IKAN'!BS8</f>
        <v>0</v>
      </c>
      <c r="E40" s="116">
        <f>'P NP LAUT IKAN'!BT8</f>
        <v>0</v>
      </c>
      <c r="F40" s="116">
        <f>'P NP LAUT IKAN'!BS9</f>
        <v>0</v>
      </c>
      <c r="G40" s="116">
        <f>'P NP LAUT IKAN'!BT9</f>
        <v>0</v>
      </c>
      <c r="H40" s="116">
        <f>'P NP LAUT IKAN'!BS10</f>
        <v>0</v>
      </c>
      <c r="I40" s="116">
        <f>'P NP LAUT IKAN'!BT10</f>
        <v>0</v>
      </c>
      <c r="J40" s="116">
        <f>'P NP LAUT IKAN'!BS11</f>
        <v>0</v>
      </c>
      <c r="K40" s="116">
        <f>'P NP LAUT IKAN'!BT11</f>
        <v>0</v>
      </c>
      <c r="L40" s="116">
        <f>'P NP LAUT IKAN'!BS12</f>
        <v>0</v>
      </c>
      <c r="M40" s="116">
        <f>'P NP LAUT IKAN'!BT12</f>
        <v>0</v>
      </c>
      <c r="N40" s="116">
        <f>'P NP LAUT IKAN'!BS13</f>
        <v>0</v>
      </c>
      <c r="O40" s="116">
        <f>'P NP LAUT IKAN'!BT13</f>
        <v>0</v>
      </c>
      <c r="P40" s="116">
        <f>'P NP LAUT IKAN'!BS14</f>
        <v>0</v>
      </c>
      <c r="Q40" s="116">
        <f>'P NP LAUT IKAN'!BT14</f>
        <v>0</v>
      </c>
      <c r="R40" s="116">
        <f>'P NP LAUT IKAN'!BS15</f>
        <v>0</v>
      </c>
      <c r="S40" s="116">
        <f>'P NP LAUT IKAN'!BT15</f>
        <v>0</v>
      </c>
      <c r="T40" s="116">
        <f>'P NP LAUT IKAN'!BS16</f>
        <v>0</v>
      </c>
      <c r="U40" s="116">
        <f>'P NP LAUT IKAN'!BT16</f>
        <v>0</v>
      </c>
      <c r="V40" s="116">
        <f>'P NP LAUT IKAN'!BS17</f>
        <v>0</v>
      </c>
      <c r="W40" s="116">
        <f>'P NP LAUT IKAN'!BT17</f>
        <v>0</v>
      </c>
      <c r="X40" s="116">
        <f>'P NP LAUT IKAN'!BS18</f>
        <v>0</v>
      </c>
      <c r="Y40" s="116">
        <f>'P NP LAUT IKAN'!BT18</f>
        <v>0</v>
      </c>
      <c r="Z40" s="116">
        <f>'P NP LAUT IKAN'!BS19</f>
        <v>0</v>
      </c>
      <c r="AA40" s="116">
        <f>'P NP LAUT IKAN'!BT19</f>
        <v>0</v>
      </c>
      <c r="AB40" s="116">
        <f>'P NP LAUT IKAN'!BS20</f>
        <v>0</v>
      </c>
      <c r="AC40" s="116">
        <f>'P NP LAUT IKAN'!BT20</f>
        <v>0</v>
      </c>
      <c r="AD40" s="116">
        <f>'P NP LAUT IKAN'!BS21</f>
        <v>0</v>
      </c>
      <c r="AE40" s="116">
        <f>'P NP LAUT IKAN'!BT21</f>
        <v>0</v>
      </c>
      <c r="AF40" s="116">
        <f>'P NP LAUT IKAN'!BS22</f>
        <v>0</v>
      </c>
      <c r="AG40" s="116">
        <f>'P NP LAUT IKAN'!BT22</f>
        <v>0</v>
      </c>
      <c r="AH40" s="116">
        <f>'P NP LAUT IKAN'!BS23</f>
        <v>0</v>
      </c>
      <c r="AI40" s="116">
        <f>'P NP LAUT IKAN'!BT23</f>
        <v>0</v>
      </c>
      <c r="AJ40" s="116">
        <f>'P NP LAUT IKAN'!BS24</f>
        <v>0</v>
      </c>
      <c r="AK40" s="116">
        <f>'P NP LAUT IKAN'!BT24</f>
        <v>0</v>
      </c>
      <c r="AL40" s="116">
        <f>'P NP LAUT IKAN'!BS25</f>
        <v>0</v>
      </c>
      <c r="AM40" s="116">
        <f>'P NP LAUT IKAN'!BT25</f>
        <v>0</v>
      </c>
      <c r="AN40" s="116">
        <f>'P NP LAUT IKAN'!BS26</f>
        <v>0</v>
      </c>
      <c r="AO40" s="116">
        <f>'P NP LAUT IKAN'!BT26</f>
        <v>0</v>
      </c>
      <c r="AP40" s="116">
        <f>'P NP LAUT IKAN'!BS27</f>
        <v>0</v>
      </c>
      <c r="AQ40" s="116">
        <f>'P NP LAUT IKAN'!BT27</f>
        <v>0</v>
      </c>
      <c r="AR40" s="116">
        <f>'P NP LAUT IKAN'!BS28</f>
        <v>0</v>
      </c>
      <c r="AS40" s="116">
        <f>'P NP LAUT IKAN'!BT28</f>
        <v>0</v>
      </c>
      <c r="AT40" s="116">
        <f>'P NP LAUT IKAN'!BS29</f>
        <v>0</v>
      </c>
      <c r="AU40" s="116">
        <f>'P NP LAUT IKAN'!BT29</f>
        <v>0</v>
      </c>
      <c r="AV40" s="116">
        <f>'P NP LAUT IKAN'!BS30</f>
        <v>0</v>
      </c>
      <c r="AW40" s="116">
        <f>'P NP LAUT IKAN'!BT30</f>
        <v>0</v>
      </c>
      <c r="AX40" s="116">
        <f>'P NP LAUT IKAN'!BS31</f>
        <v>0</v>
      </c>
      <c r="AY40" s="116">
        <f>'P NP LAUT IKAN'!BT31</f>
        <v>0</v>
      </c>
      <c r="AZ40" s="116">
        <f>'P NP LAUT IKAN'!BS32</f>
        <v>0</v>
      </c>
      <c r="BA40" s="116">
        <f>'P NP LAUT IKAN'!BT32</f>
        <v>0</v>
      </c>
      <c r="BB40" s="116">
        <f>'P NP LAUT IKAN'!BS33</f>
        <v>0</v>
      </c>
      <c r="BC40" s="116">
        <f>'P NP LAUT IKAN'!BT33</f>
        <v>0</v>
      </c>
      <c r="BD40" s="116">
        <f>'P NP LAUT IKAN'!BS34</f>
        <v>0</v>
      </c>
      <c r="BE40" s="116">
        <f>'P NP LAUT IKAN'!BT34</f>
        <v>0</v>
      </c>
      <c r="BF40" s="116">
        <f>'P NP LAUT IKAN'!BS43</f>
        <v>0</v>
      </c>
      <c r="BG40" s="116">
        <f>'P NP LAUT IKAN'!BT43</f>
        <v>0</v>
      </c>
      <c r="BH40" s="116">
        <f>'P NP LAUT IKAN'!BS44</f>
        <v>0</v>
      </c>
      <c r="BI40" s="116">
        <f>'P NP LAUT IKAN'!BT44</f>
        <v>0</v>
      </c>
      <c r="BJ40" s="116">
        <f>'P NP LAUT IKAN'!C79</f>
        <v>0</v>
      </c>
      <c r="BK40" s="116">
        <f>'P NP LAUT IKAN'!D79</f>
        <v>0</v>
      </c>
      <c r="BL40" s="116">
        <f>'P NP LAUT IKAN'!C80</f>
        <v>0</v>
      </c>
      <c r="BM40" s="116">
        <f>'P NP LAUT IKAN'!D80</f>
        <v>0</v>
      </c>
      <c r="BN40" s="116">
        <f>'P NP LAUT IKAN'!C81</f>
        <v>0</v>
      </c>
      <c r="BO40" s="116">
        <f>'P NP LAUT IKAN'!D81</f>
        <v>0</v>
      </c>
      <c r="BP40" s="116">
        <f>'P NP LAUT IKAN'!C82</f>
        <v>0</v>
      </c>
      <c r="BQ40" s="116">
        <f>'P NP LAUT IKAN'!D82</f>
        <v>0</v>
      </c>
      <c r="BR40" s="116">
        <f>'P NP LAUT IKAN'!C83</f>
        <v>0</v>
      </c>
      <c r="BS40" s="116">
        <f>'P NP LAUT IKAN'!D83</f>
        <v>0</v>
      </c>
      <c r="BT40" s="116">
        <f>'P NP LAUT IKAN'!C84</f>
        <v>0</v>
      </c>
      <c r="BU40" s="116">
        <f>'P NP LAUT IKAN'!D84</f>
        <v>0</v>
      </c>
      <c r="BV40" s="116">
        <f>'P NP LAUT IKAN'!C85</f>
        <v>0</v>
      </c>
      <c r="BW40" s="116">
        <f>'P NP LAUT IKAN'!D85</f>
        <v>0</v>
      </c>
      <c r="BX40" s="116">
        <f>'P NP LAUT IKAN'!C86</f>
        <v>0</v>
      </c>
      <c r="BY40" s="116">
        <f>'P NP LAUT IKAN'!D86</f>
        <v>0</v>
      </c>
    </row>
    <row r="41" spans="1:77">
      <c r="A41" s="260" t="s">
        <v>145</v>
      </c>
      <c r="B41" s="169">
        <f t="shared" si="2"/>
        <v>0</v>
      </c>
      <c r="C41" s="169">
        <f t="shared" si="3"/>
        <v>0</v>
      </c>
      <c r="D41" s="116">
        <f>'P NP LAUT IKAN'!BU8</f>
        <v>0</v>
      </c>
      <c r="E41" s="116">
        <f>'P NP LAUT IKAN'!BV8</f>
        <v>0</v>
      </c>
      <c r="F41" s="116">
        <f>'P NP LAUT IKAN'!BU9</f>
        <v>0</v>
      </c>
      <c r="G41" s="116">
        <f>'P NP LAUT IKAN'!BV9</f>
        <v>0</v>
      </c>
      <c r="H41" s="116">
        <f>'P NP LAUT IKAN'!BU10</f>
        <v>0</v>
      </c>
      <c r="I41" s="116">
        <f>'P NP LAUT IKAN'!BV10</f>
        <v>0</v>
      </c>
      <c r="J41" s="116">
        <f>'P NP LAUT IKAN'!BU11</f>
        <v>0</v>
      </c>
      <c r="K41" s="116">
        <f>'P NP LAUT IKAN'!BV11</f>
        <v>0</v>
      </c>
      <c r="L41" s="116">
        <f>'P NP LAUT IKAN'!BU12</f>
        <v>0</v>
      </c>
      <c r="M41" s="116">
        <f>'P NP LAUT IKAN'!BV12</f>
        <v>0</v>
      </c>
      <c r="N41" s="116">
        <f>'P NP LAUT IKAN'!BU13</f>
        <v>0</v>
      </c>
      <c r="O41" s="116">
        <f>'P NP LAUT IKAN'!BV13</f>
        <v>0</v>
      </c>
      <c r="P41" s="116">
        <f>'P NP LAUT IKAN'!BU14</f>
        <v>0</v>
      </c>
      <c r="Q41" s="116">
        <f>'P NP LAUT IKAN'!BV14</f>
        <v>0</v>
      </c>
      <c r="R41" s="116">
        <f>'P NP LAUT IKAN'!BU15</f>
        <v>0</v>
      </c>
      <c r="S41" s="116">
        <f>'P NP LAUT IKAN'!BV15</f>
        <v>0</v>
      </c>
      <c r="T41" s="116">
        <f>'P NP LAUT IKAN'!BU16</f>
        <v>0</v>
      </c>
      <c r="U41" s="116">
        <f>'P NP LAUT IKAN'!BV16</f>
        <v>0</v>
      </c>
      <c r="V41" s="116">
        <f>'P NP LAUT IKAN'!BU17</f>
        <v>0</v>
      </c>
      <c r="W41" s="116">
        <f>'P NP LAUT IKAN'!BV17</f>
        <v>0</v>
      </c>
      <c r="X41" s="116">
        <f>'P NP LAUT IKAN'!BU18</f>
        <v>0</v>
      </c>
      <c r="Y41" s="116">
        <f>'P NP LAUT IKAN'!BV18</f>
        <v>0</v>
      </c>
      <c r="Z41" s="116">
        <f>'P NP LAUT IKAN'!BU19</f>
        <v>0</v>
      </c>
      <c r="AA41" s="116">
        <f>'P NP LAUT IKAN'!BV19</f>
        <v>0</v>
      </c>
      <c r="AB41" s="116">
        <f>'P NP LAUT IKAN'!BU20</f>
        <v>0</v>
      </c>
      <c r="AC41" s="116">
        <f>'P NP LAUT IKAN'!BV20</f>
        <v>0</v>
      </c>
      <c r="AD41" s="116">
        <f>'P NP LAUT IKAN'!BU21</f>
        <v>0</v>
      </c>
      <c r="AE41" s="116">
        <f>'P NP LAUT IKAN'!BV21</f>
        <v>0</v>
      </c>
      <c r="AF41" s="116">
        <f>'P NP LAUT IKAN'!BU22</f>
        <v>0</v>
      </c>
      <c r="AG41" s="116">
        <f>'P NP LAUT IKAN'!BV22</f>
        <v>0</v>
      </c>
      <c r="AH41" s="116">
        <f>'P NP LAUT IKAN'!BU23</f>
        <v>0</v>
      </c>
      <c r="AI41" s="116">
        <f>'P NP LAUT IKAN'!BV23</f>
        <v>0</v>
      </c>
      <c r="AJ41" s="116">
        <f>'P NP LAUT IKAN'!BU24</f>
        <v>0</v>
      </c>
      <c r="AK41" s="116">
        <f>'P NP LAUT IKAN'!BV24</f>
        <v>0</v>
      </c>
      <c r="AL41" s="116">
        <f>'P NP LAUT IKAN'!BU25</f>
        <v>0</v>
      </c>
      <c r="AM41" s="116">
        <f>'P NP LAUT IKAN'!BV25</f>
        <v>0</v>
      </c>
      <c r="AN41" s="116">
        <f>'P NP LAUT IKAN'!BU26</f>
        <v>0</v>
      </c>
      <c r="AO41" s="116">
        <f>'P NP LAUT IKAN'!BV26</f>
        <v>0</v>
      </c>
      <c r="AP41" s="116">
        <f>'P NP LAUT IKAN'!BU27</f>
        <v>0</v>
      </c>
      <c r="AQ41" s="116">
        <f>'P NP LAUT IKAN'!BV27</f>
        <v>0</v>
      </c>
      <c r="AR41" s="116">
        <f>'P NP LAUT IKAN'!BU28</f>
        <v>0</v>
      </c>
      <c r="AS41" s="116">
        <f>'P NP LAUT IKAN'!BV28</f>
        <v>0</v>
      </c>
      <c r="AT41" s="116">
        <f>'P NP LAUT IKAN'!BU29</f>
        <v>0</v>
      </c>
      <c r="AU41" s="116">
        <f>'P NP LAUT IKAN'!BV29</f>
        <v>0</v>
      </c>
      <c r="AV41" s="116">
        <f>'P NP LAUT IKAN'!BU30</f>
        <v>0</v>
      </c>
      <c r="AW41" s="116">
        <f>'P NP LAUT IKAN'!BV30</f>
        <v>0</v>
      </c>
      <c r="AX41" s="116">
        <f>'P NP LAUT IKAN'!BU31</f>
        <v>0</v>
      </c>
      <c r="AY41" s="116">
        <f>'P NP LAUT IKAN'!BV31</f>
        <v>0</v>
      </c>
      <c r="AZ41" s="116">
        <f>'P NP LAUT IKAN'!BU32</f>
        <v>0</v>
      </c>
      <c r="BA41" s="116">
        <f>'P NP LAUT IKAN'!BV32</f>
        <v>0</v>
      </c>
      <c r="BB41" s="116">
        <f>'P NP LAUT IKAN'!BU33</f>
        <v>0</v>
      </c>
      <c r="BC41" s="116">
        <f>'P NP LAUT IKAN'!BV33</f>
        <v>0</v>
      </c>
      <c r="BD41" s="116">
        <f>'P NP LAUT IKAN'!BU34</f>
        <v>0</v>
      </c>
      <c r="BE41" s="116">
        <f>'P NP LAUT IKAN'!BV34</f>
        <v>0</v>
      </c>
      <c r="BF41" s="116">
        <f>'P NP LAUT IKAN'!BU43</f>
        <v>0</v>
      </c>
      <c r="BG41" s="116">
        <f>'P NP LAUT IKAN'!BV43</f>
        <v>0</v>
      </c>
      <c r="BH41" s="116">
        <f>'P NP LAUT IKAN'!BU44</f>
        <v>0</v>
      </c>
      <c r="BI41" s="116">
        <f>'P NP LAUT IKAN'!BV44</f>
        <v>0</v>
      </c>
      <c r="BJ41" s="116">
        <f>'P NP LAUT IKAN'!C80</f>
        <v>0</v>
      </c>
      <c r="BK41" s="116">
        <f>'P NP LAUT IKAN'!D80</f>
        <v>0</v>
      </c>
      <c r="BL41" s="116">
        <f>'P NP LAUT IKAN'!C81</f>
        <v>0</v>
      </c>
      <c r="BM41" s="116">
        <f>'P NP LAUT IKAN'!D81</f>
        <v>0</v>
      </c>
      <c r="BN41" s="116">
        <f>'P NP LAUT IKAN'!C82</f>
        <v>0</v>
      </c>
      <c r="BO41" s="116">
        <f>'P NP LAUT IKAN'!D82</f>
        <v>0</v>
      </c>
      <c r="BP41" s="116">
        <f>'P NP LAUT IKAN'!C83</f>
        <v>0</v>
      </c>
      <c r="BQ41" s="116">
        <f>'P NP LAUT IKAN'!D83</f>
        <v>0</v>
      </c>
      <c r="BR41" s="116">
        <f>'P NP LAUT IKAN'!C84</f>
        <v>0</v>
      </c>
      <c r="BS41" s="116">
        <f>'P NP LAUT IKAN'!D84</f>
        <v>0</v>
      </c>
      <c r="BT41" s="116">
        <f>'P NP LAUT IKAN'!C85</f>
        <v>0</v>
      </c>
      <c r="BU41" s="116">
        <f>'P NP LAUT IKAN'!D85</f>
        <v>0</v>
      </c>
      <c r="BV41" s="116">
        <f>'P NP LAUT IKAN'!C86</f>
        <v>0</v>
      </c>
      <c r="BW41" s="116">
        <f>'P NP LAUT IKAN'!D86</f>
        <v>0</v>
      </c>
      <c r="BX41" s="116">
        <f>'P NP LAUT IKAN'!C87</f>
        <v>0</v>
      </c>
      <c r="BY41" s="116">
        <f>'P NP LAUT IKAN'!D87</f>
        <v>0</v>
      </c>
    </row>
    <row r="42" spans="1:77">
      <c r="A42" s="260" t="s">
        <v>144</v>
      </c>
      <c r="B42" s="169">
        <f t="shared" si="2"/>
        <v>0</v>
      </c>
      <c r="C42" s="169">
        <f t="shared" si="3"/>
        <v>0</v>
      </c>
      <c r="D42" s="116">
        <f>'P NP LAUT IKAN'!BW8</f>
        <v>0</v>
      </c>
      <c r="E42" s="116">
        <f>'P NP LAUT IKAN'!BX8</f>
        <v>0</v>
      </c>
      <c r="F42" s="116">
        <f>'P NP LAUT IKAN'!BW9</f>
        <v>0</v>
      </c>
      <c r="G42" s="116">
        <f>'P NP LAUT IKAN'!BX9</f>
        <v>0</v>
      </c>
      <c r="H42" s="116">
        <f>'P NP LAUT IKAN'!BW10</f>
        <v>0</v>
      </c>
      <c r="I42" s="116">
        <f>'P NP LAUT IKAN'!BX10</f>
        <v>0</v>
      </c>
      <c r="J42" s="116">
        <f>'P NP LAUT IKAN'!BW11</f>
        <v>0</v>
      </c>
      <c r="K42" s="116">
        <f>'P NP LAUT IKAN'!BX11</f>
        <v>0</v>
      </c>
      <c r="L42" s="116">
        <f>'P NP LAUT IKAN'!BW12</f>
        <v>0</v>
      </c>
      <c r="M42" s="116">
        <f>'P NP LAUT IKAN'!BX12</f>
        <v>0</v>
      </c>
      <c r="N42" s="116">
        <f>'P NP LAUT IKAN'!BW13</f>
        <v>0</v>
      </c>
      <c r="O42" s="116">
        <f>'P NP LAUT IKAN'!BX13</f>
        <v>0</v>
      </c>
      <c r="P42" s="116">
        <f>'P NP LAUT IKAN'!BW14</f>
        <v>0</v>
      </c>
      <c r="Q42" s="116">
        <f>'P NP LAUT IKAN'!BX14</f>
        <v>0</v>
      </c>
      <c r="R42" s="116">
        <f>'P NP LAUT IKAN'!BW15</f>
        <v>0</v>
      </c>
      <c r="S42" s="116">
        <f>'P NP LAUT IKAN'!BX15</f>
        <v>0</v>
      </c>
      <c r="T42" s="116">
        <f>'P NP LAUT IKAN'!BW16</f>
        <v>0</v>
      </c>
      <c r="U42" s="116">
        <f>'P NP LAUT IKAN'!BX16</f>
        <v>0</v>
      </c>
      <c r="V42" s="116">
        <f>'P NP LAUT IKAN'!BW17</f>
        <v>0</v>
      </c>
      <c r="W42" s="116">
        <f>'P NP LAUT IKAN'!BX17</f>
        <v>0</v>
      </c>
      <c r="X42" s="116">
        <f>'P NP LAUT IKAN'!BW18</f>
        <v>0</v>
      </c>
      <c r="Y42" s="116">
        <f>'P NP LAUT IKAN'!BX18</f>
        <v>0</v>
      </c>
      <c r="Z42" s="116">
        <f>'P NP LAUT IKAN'!BW19</f>
        <v>0</v>
      </c>
      <c r="AA42" s="116">
        <f>'P NP LAUT IKAN'!BX19</f>
        <v>0</v>
      </c>
      <c r="AB42" s="116">
        <f>'P NP LAUT IKAN'!BW20</f>
        <v>0</v>
      </c>
      <c r="AC42" s="116">
        <f>'P NP LAUT IKAN'!BX20</f>
        <v>0</v>
      </c>
      <c r="AD42" s="116">
        <f>'P NP LAUT IKAN'!BW21</f>
        <v>0</v>
      </c>
      <c r="AE42" s="116">
        <f>'P NP LAUT IKAN'!BX21</f>
        <v>0</v>
      </c>
      <c r="AF42" s="116">
        <f>'P NP LAUT IKAN'!BW22</f>
        <v>0</v>
      </c>
      <c r="AG42" s="116">
        <f>'P NP LAUT IKAN'!BX22</f>
        <v>0</v>
      </c>
      <c r="AH42" s="116">
        <f>'P NP LAUT IKAN'!BW23</f>
        <v>0</v>
      </c>
      <c r="AI42" s="116">
        <f>'P NP LAUT IKAN'!BX23</f>
        <v>0</v>
      </c>
      <c r="AJ42" s="116">
        <f>'P NP LAUT IKAN'!BW24</f>
        <v>0</v>
      </c>
      <c r="AK42" s="116">
        <f>'P NP LAUT IKAN'!BX24</f>
        <v>0</v>
      </c>
      <c r="AL42" s="116">
        <f>'P NP LAUT IKAN'!BW25</f>
        <v>0</v>
      </c>
      <c r="AM42" s="116">
        <f>'P NP LAUT IKAN'!BX25</f>
        <v>0</v>
      </c>
      <c r="AN42" s="116">
        <f>'P NP LAUT IKAN'!BW26</f>
        <v>0</v>
      </c>
      <c r="AO42" s="116">
        <f>'P NP LAUT IKAN'!BX26</f>
        <v>0</v>
      </c>
      <c r="AP42" s="116">
        <f>'P NP LAUT IKAN'!BW27</f>
        <v>0</v>
      </c>
      <c r="AQ42" s="116">
        <f>'P NP LAUT IKAN'!BX27</f>
        <v>0</v>
      </c>
      <c r="AR42" s="116">
        <f>'P NP LAUT IKAN'!BW28</f>
        <v>0</v>
      </c>
      <c r="AS42" s="116">
        <f>'P NP LAUT IKAN'!BX28</f>
        <v>0</v>
      </c>
      <c r="AT42" s="116">
        <f>'P NP LAUT IKAN'!BW29</f>
        <v>0</v>
      </c>
      <c r="AU42" s="116">
        <f>'P NP LAUT IKAN'!BX29</f>
        <v>0</v>
      </c>
      <c r="AV42" s="116">
        <f>'P NP LAUT IKAN'!BW30</f>
        <v>0</v>
      </c>
      <c r="AW42" s="116">
        <f>'P NP LAUT IKAN'!BX30</f>
        <v>0</v>
      </c>
      <c r="AX42" s="116">
        <f>'P NP LAUT IKAN'!BW31</f>
        <v>0</v>
      </c>
      <c r="AY42" s="116">
        <f>'P NP LAUT IKAN'!BX31</f>
        <v>0</v>
      </c>
      <c r="AZ42" s="116">
        <f>'P NP LAUT IKAN'!BW32</f>
        <v>0</v>
      </c>
      <c r="BA42" s="116">
        <f>'P NP LAUT IKAN'!BX32</f>
        <v>0</v>
      </c>
      <c r="BB42" s="116">
        <f>'P NP LAUT IKAN'!BW33</f>
        <v>0</v>
      </c>
      <c r="BC42" s="116">
        <f>'P NP LAUT IKAN'!BX33</f>
        <v>0</v>
      </c>
      <c r="BD42" s="116">
        <f>'P NP LAUT IKAN'!BW34</f>
        <v>0</v>
      </c>
      <c r="BE42" s="116">
        <f>'P NP LAUT IKAN'!BX34</f>
        <v>0</v>
      </c>
      <c r="BF42" s="116">
        <f>'P NP LAUT IKAN'!BW43</f>
        <v>0</v>
      </c>
      <c r="BG42" s="116">
        <f>'P NP LAUT IKAN'!BX43</f>
        <v>0</v>
      </c>
      <c r="BH42" s="116">
        <f>'P NP LAUT IKAN'!BW44</f>
        <v>0</v>
      </c>
      <c r="BI42" s="116">
        <f>'P NP LAUT IKAN'!BX44</f>
        <v>0</v>
      </c>
      <c r="BJ42" s="116">
        <f>'P NP LAUT IKAN'!C81</f>
        <v>0</v>
      </c>
      <c r="BK42" s="116">
        <f>'P NP LAUT IKAN'!D81</f>
        <v>0</v>
      </c>
      <c r="BL42" s="116">
        <f>'P NP LAUT IKAN'!C82</f>
        <v>0</v>
      </c>
      <c r="BM42" s="116">
        <f>'P NP LAUT IKAN'!D82</f>
        <v>0</v>
      </c>
      <c r="BN42" s="116">
        <f>'P NP LAUT IKAN'!C83</f>
        <v>0</v>
      </c>
      <c r="BO42" s="116">
        <f>'P NP LAUT IKAN'!D83</f>
        <v>0</v>
      </c>
      <c r="BP42" s="116">
        <f>'P NP LAUT IKAN'!C84</f>
        <v>0</v>
      </c>
      <c r="BQ42" s="116">
        <f>'P NP LAUT IKAN'!D84</f>
        <v>0</v>
      </c>
      <c r="BR42" s="116">
        <f>'P NP LAUT IKAN'!C85</f>
        <v>0</v>
      </c>
      <c r="BS42" s="116">
        <f>'P NP LAUT IKAN'!D85</f>
        <v>0</v>
      </c>
      <c r="BT42" s="116">
        <f>'P NP LAUT IKAN'!C86</f>
        <v>0</v>
      </c>
      <c r="BU42" s="116">
        <f>'P NP LAUT IKAN'!D86</f>
        <v>0</v>
      </c>
      <c r="BV42" s="116">
        <f>'P NP LAUT IKAN'!C87</f>
        <v>0</v>
      </c>
      <c r="BW42" s="116">
        <f>'P NP LAUT IKAN'!D87</f>
        <v>0</v>
      </c>
      <c r="BX42" s="116">
        <f>'P NP LAUT IKAN'!C88</f>
        <v>0</v>
      </c>
      <c r="BY42" s="116">
        <f>'P NP LAUT IKAN'!D88</f>
        <v>0</v>
      </c>
    </row>
    <row r="43" spans="1:77" ht="15" thickBot="1">
      <c r="A43" s="272" t="s">
        <v>148</v>
      </c>
      <c r="B43" s="169">
        <f t="shared" si="2"/>
        <v>0</v>
      </c>
      <c r="C43" s="169">
        <f t="shared" si="3"/>
        <v>0</v>
      </c>
      <c r="D43" s="116">
        <f>'P NP LAUT IKAN'!BY8</f>
        <v>0</v>
      </c>
      <c r="E43" s="116">
        <f>'P NP LAUT IKAN'!BZ8</f>
        <v>0</v>
      </c>
      <c r="F43" s="116">
        <f>'P NP LAUT IKAN'!BY9</f>
        <v>0</v>
      </c>
      <c r="G43" s="116">
        <f>'P NP LAUT IKAN'!BZ9</f>
        <v>0</v>
      </c>
      <c r="H43" s="116">
        <f>'P NP LAUT IKAN'!BY10</f>
        <v>0</v>
      </c>
      <c r="I43" s="116">
        <f>'P NP LAUT IKAN'!BZ10</f>
        <v>0</v>
      </c>
      <c r="J43" s="116">
        <f>'P NP LAUT IKAN'!BY11</f>
        <v>0</v>
      </c>
      <c r="K43" s="116">
        <f>'P NP LAUT IKAN'!BZ11</f>
        <v>0</v>
      </c>
      <c r="L43" s="116">
        <f>'P NP LAUT IKAN'!BY12</f>
        <v>0</v>
      </c>
      <c r="M43" s="116">
        <f>'P NP LAUT IKAN'!BZ12</f>
        <v>0</v>
      </c>
      <c r="N43" s="116">
        <f>'P NP LAUT IKAN'!BY13</f>
        <v>0</v>
      </c>
      <c r="O43" s="116">
        <f>'P NP LAUT IKAN'!BZ13</f>
        <v>0</v>
      </c>
      <c r="P43" s="116">
        <f>'P NP LAUT IKAN'!BY14</f>
        <v>0</v>
      </c>
      <c r="Q43" s="116">
        <f>'P NP LAUT IKAN'!BZ14</f>
        <v>0</v>
      </c>
      <c r="R43" s="116">
        <f>'P NP LAUT IKAN'!BY15</f>
        <v>0</v>
      </c>
      <c r="S43" s="116">
        <f>'P NP LAUT IKAN'!BZ15</f>
        <v>0</v>
      </c>
      <c r="T43" s="116">
        <f>'P NP LAUT IKAN'!BY16</f>
        <v>0</v>
      </c>
      <c r="U43" s="116">
        <f>'P NP LAUT IKAN'!BZ16</f>
        <v>0</v>
      </c>
      <c r="V43" s="116">
        <f>'P NP LAUT IKAN'!BY17</f>
        <v>0</v>
      </c>
      <c r="W43" s="116">
        <f>'P NP LAUT IKAN'!BZ17</f>
        <v>0</v>
      </c>
      <c r="X43" s="116">
        <f>'P NP LAUT IKAN'!BY18</f>
        <v>0</v>
      </c>
      <c r="Y43" s="116">
        <f>'P NP LAUT IKAN'!BZ18</f>
        <v>0</v>
      </c>
      <c r="Z43" s="116">
        <f>'P NP LAUT IKAN'!BY19</f>
        <v>0</v>
      </c>
      <c r="AA43" s="116">
        <f>'P NP LAUT IKAN'!BZ19</f>
        <v>0</v>
      </c>
      <c r="AB43" s="116">
        <f>'P NP LAUT IKAN'!BY20</f>
        <v>0</v>
      </c>
      <c r="AC43" s="116">
        <f>'P NP LAUT IKAN'!BZ20</f>
        <v>0</v>
      </c>
      <c r="AD43" s="116">
        <f>'P NP LAUT IKAN'!BY21</f>
        <v>0</v>
      </c>
      <c r="AE43" s="116">
        <f>'P NP LAUT IKAN'!BZ21</f>
        <v>0</v>
      </c>
      <c r="AF43" s="116">
        <f>'P NP LAUT IKAN'!BY22</f>
        <v>0</v>
      </c>
      <c r="AG43" s="116">
        <f>'P NP LAUT IKAN'!BZ22</f>
        <v>0</v>
      </c>
      <c r="AH43" s="116">
        <f>'P NP LAUT IKAN'!BY23</f>
        <v>0</v>
      </c>
      <c r="AI43" s="116">
        <f>'P NP LAUT IKAN'!BZ23</f>
        <v>0</v>
      </c>
      <c r="AJ43" s="116">
        <f>'P NP LAUT IKAN'!BY24</f>
        <v>0</v>
      </c>
      <c r="AK43" s="116">
        <f>'P NP LAUT IKAN'!BZ24</f>
        <v>0</v>
      </c>
      <c r="AL43" s="116">
        <f>'P NP LAUT IKAN'!BY25</f>
        <v>0</v>
      </c>
      <c r="AM43" s="116">
        <f>'P NP LAUT IKAN'!BZ25</f>
        <v>0</v>
      </c>
      <c r="AN43" s="116">
        <f>'P NP LAUT IKAN'!BY26</f>
        <v>0</v>
      </c>
      <c r="AO43" s="116">
        <f>'P NP LAUT IKAN'!BZ26</f>
        <v>0</v>
      </c>
      <c r="AP43" s="116">
        <f>'P NP LAUT IKAN'!BY27</f>
        <v>0</v>
      </c>
      <c r="AQ43" s="116">
        <f>'P NP LAUT IKAN'!BZ27</f>
        <v>0</v>
      </c>
      <c r="AR43" s="116">
        <f>'P NP LAUT IKAN'!BY28</f>
        <v>0</v>
      </c>
      <c r="AS43" s="116">
        <f>'P NP LAUT IKAN'!BZ28</f>
        <v>0</v>
      </c>
      <c r="AT43" s="116">
        <f>'P NP LAUT IKAN'!BY29</f>
        <v>0</v>
      </c>
      <c r="AU43" s="116">
        <f>'P NP LAUT IKAN'!BZ29</f>
        <v>0</v>
      </c>
      <c r="AV43" s="116">
        <f>'P NP LAUT IKAN'!BY30</f>
        <v>0</v>
      </c>
      <c r="AW43" s="116">
        <f>'P NP LAUT IKAN'!BZ30</f>
        <v>0</v>
      </c>
      <c r="AX43" s="116">
        <f>'P NP LAUT IKAN'!BY31</f>
        <v>0</v>
      </c>
      <c r="AY43" s="116">
        <f>'P NP LAUT IKAN'!BZ31</f>
        <v>0</v>
      </c>
      <c r="AZ43" s="116">
        <f>'P NP LAUT IKAN'!BY32</f>
        <v>0</v>
      </c>
      <c r="BA43" s="116">
        <f>'P NP LAUT IKAN'!BZ32</f>
        <v>0</v>
      </c>
      <c r="BB43" s="116">
        <f>'P NP LAUT IKAN'!BY33</f>
        <v>0</v>
      </c>
      <c r="BC43" s="116">
        <f>'P NP LAUT IKAN'!BZ33</f>
        <v>0</v>
      </c>
      <c r="BD43" s="116">
        <f>'P NP LAUT IKAN'!BY34</f>
        <v>0</v>
      </c>
      <c r="BE43" s="116">
        <f>'P NP LAUT IKAN'!BZ34</f>
        <v>0</v>
      </c>
      <c r="BF43" s="116">
        <f>'P NP LAUT IKAN'!BY43</f>
        <v>0</v>
      </c>
      <c r="BG43" s="116">
        <f>'P NP LAUT IKAN'!BZ43</f>
        <v>0</v>
      </c>
      <c r="BH43" s="116">
        <f>'P NP LAUT IKAN'!BY44</f>
        <v>0</v>
      </c>
      <c r="BI43" s="116">
        <f>'P NP LAUT IKAN'!BZ44</f>
        <v>0</v>
      </c>
      <c r="BJ43" s="116">
        <f>'P NP LAUT IKAN'!C82</f>
        <v>0</v>
      </c>
      <c r="BK43" s="116">
        <f>'P NP LAUT IKAN'!D82</f>
        <v>0</v>
      </c>
      <c r="BL43" s="116">
        <f>'P NP LAUT IKAN'!C83</f>
        <v>0</v>
      </c>
      <c r="BM43" s="116">
        <f>'P NP LAUT IKAN'!D83</f>
        <v>0</v>
      </c>
      <c r="BN43" s="116">
        <f>'P NP LAUT IKAN'!C84</f>
        <v>0</v>
      </c>
      <c r="BO43" s="116">
        <f>'P NP LAUT IKAN'!D84</f>
        <v>0</v>
      </c>
      <c r="BP43" s="116">
        <f>'P NP LAUT IKAN'!C85</f>
        <v>0</v>
      </c>
      <c r="BQ43" s="116">
        <f>'P NP LAUT IKAN'!D85</f>
        <v>0</v>
      </c>
      <c r="BR43" s="116">
        <f>'P NP LAUT IKAN'!C86</f>
        <v>0</v>
      </c>
      <c r="BS43" s="116">
        <f>'P NP LAUT IKAN'!D86</f>
        <v>0</v>
      </c>
      <c r="BT43" s="116">
        <f>'P NP LAUT IKAN'!C87</f>
        <v>0</v>
      </c>
      <c r="BU43" s="116">
        <f>'P NP LAUT IKAN'!D87</f>
        <v>0</v>
      </c>
      <c r="BV43" s="116">
        <f>'P NP LAUT IKAN'!C88</f>
        <v>0</v>
      </c>
      <c r="BW43" s="116">
        <f>'P NP LAUT IKAN'!D88</f>
        <v>0</v>
      </c>
      <c r="BX43" s="116">
        <f>'P NP LAUT IKAN'!C89</f>
        <v>0</v>
      </c>
      <c r="BY43" s="116">
        <f>'P NP LAUT IKAN'!D89</f>
        <v>0</v>
      </c>
    </row>
    <row r="44" spans="1:77">
      <c r="A44" s="168"/>
      <c r="B44" s="168"/>
      <c r="C44" s="168"/>
      <c r="D44" s="168"/>
      <c r="E44" s="168"/>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65"/>
      <c r="BO44" s="165"/>
      <c r="BP44" s="165"/>
      <c r="BQ44" s="165"/>
      <c r="BR44" s="165"/>
      <c r="BS44" s="165"/>
      <c r="BT44" s="165"/>
      <c r="BU44" s="165"/>
      <c r="BV44" s="165"/>
      <c r="BW44" s="165"/>
      <c r="BX44" s="165"/>
      <c r="BY44" s="165"/>
    </row>
  </sheetData>
  <sortState xmlns:xlrd2="http://schemas.microsoft.com/office/spreadsheetml/2017/richdata2" ref="A6:A43">
    <sortCondition ref="A6:A43"/>
  </sortState>
  <mergeCells count="37">
    <mergeCell ref="BX2:BY2"/>
    <mergeCell ref="BV2:BW2"/>
    <mergeCell ref="AZ2:BA2"/>
    <mergeCell ref="BB2:BC2"/>
    <mergeCell ref="BD2:BE2"/>
    <mergeCell ref="BF2:BG2"/>
    <mergeCell ref="BH2:BI2"/>
    <mergeCell ref="BJ2:BK2"/>
    <mergeCell ref="BL2:BM2"/>
    <mergeCell ref="BN2:BO2"/>
    <mergeCell ref="BP2:BQ2"/>
    <mergeCell ref="BR2:BS2"/>
    <mergeCell ref="BT2:BU2"/>
    <mergeCell ref="AX2:AY2"/>
    <mergeCell ref="AB2:AC2"/>
    <mergeCell ref="AD2:AE2"/>
    <mergeCell ref="AF2:AG2"/>
    <mergeCell ref="AH2:AI2"/>
    <mergeCell ref="AJ2:AK2"/>
    <mergeCell ref="AL2:AM2"/>
    <mergeCell ref="AN2:AO2"/>
    <mergeCell ref="AP2:AQ2"/>
    <mergeCell ref="AR2:AS2"/>
    <mergeCell ref="AT2:AU2"/>
    <mergeCell ref="AV2:AW2"/>
    <mergeCell ref="Z2:AA2"/>
    <mergeCell ref="D2:E2"/>
    <mergeCell ref="F2:G2"/>
    <mergeCell ref="H2:I2"/>
    <mergeCell ref="J2:K2"/>
    <mergeCell ref="L2:M2"/>
    <mergeCell ref="N2:O2"/>
    <mergeCell ref="P2:Q2"/>
    <mergeCell ref="R2:S2"/>
    <mergeCell ref="T2:U2"/>
    <mergeCell ref="V2:W2"/>
    <mergeCell ref="X2:Y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0000"/>
  </sheetPr>
  <dimension ref="A1:CC45"/>
  <sheetViews>
    <sheetView zoomScale="90" zoomScaleNormal="90" workbookViewId="0">
      <pane xSplit="2" ySplit="7" topLeftCell="AR33" activePane="bottomRight" state="frozen"/>
      <selection pane="topRight" activeCell="B1" sqref="B1"/>
      <selection pane="bottomLeft" activeCell="A8" sqref="A8"/>
      <selection pane="bottomRight" activeCell="AU40" sqref="AU40"/>
    </sheetView>
  </sheetViews>
  <sheetFormatPr defaultRowHeight="11.5"/>
  <cols>
    <col min="1" max="1" width="9.1796875" style="205"/>
    <col min="2" max="2" width="25.54296875" style="205" customWidth="1"/>
    <col min="3" max="78" width="13.81640625" style="205" customWidth="1"/>
    <col min="79" max="79" width="9.1796875" style="205"/>
    <col min="80" max="81" width="13.81640625" style="205" customWidth="1"/>
    <col min="82" max="257" width="9.1796875" style="205"/>
    <col min="258" max="258" width="25.54296875" style="205" customWidth="1"/>
    <col min="259" max="296" width="13.81640625" style="205" customWidth="1"/>
    <col min="297" max="513" width="9.1796875" style="205"/>
    <col min="514" max="514" width="25.54296875" style="205" customWidth="1"/>
    <col min="515" max="552" width="13.81640625" style="205" customWidth="1"/>
    <col min="553" max="769" width="9.1796875" style="205"/>
    <col min="770" max="770" width="25.54296875" style="205" customWidth="1"/>
    <col min="771" max="808" width="13.81640625" style="205" customWidth="1"/>
    <col min="809" max="1025" width="9.1796875" style="205"/>
    <col min="1026" max="1026" width="25.54296875" style="205" customWidth="1"/>
    <col min="1027" max="1064" width="13.81640625" style="205" customWidth="1"/>
    <col min="1065" max="1281" width="9.1796875" style="205"/>
    <col min="1282" max="1282" width="25.54296875" style="205" customWidth="1"/>
    <col min="1283" max="1320" width="13.81640625" style="205" customWidth="1"/>
    <col min="1321" max="1537" width="9.1796875" style="205"/>
    <col min="1538" max="1538" width="25.54296875" style="205" customWidth="1"/>
    <col min="1539" max="1576" width="13.81640625" style="205" customWidth="1"/>
    <col min="1577" max="1793" width="9.1796875" style="205"/>
    <col min="1794" max="1794" width="25.54296875" style="205" customWidth="1"/>
    <col min="1795" max="1832" width="13.81640625" style="205" customWidth="1"/>
    <col min="1833" max="2049" width="9.1796875" style="205"/>
    <col min="2050" max="2050" width="25.54296875" style="205" customWidth="1"/>
    <col min="2051" max="2088" width="13.81640625" style="205" customWidth="1"/>
    <col min="2089" max="2305" width="9.1796875" style="205"/>
    <col min="2306" max="2306" width="25.54296875" style="205" customWidth="1"/>
    <col min="2307" max="2344" width="13.81640625" style="205" customWidth="1"/>
    <col min="2345" max="2561" width="9.1796875" style="205"/>
    <col min="2562" max="2562" width="25.54296875" style="205" customWidth="1"/>
    <col min="2563" max="2600" width="13.81640625" style="205" customWidth="1"/>
    <col min="2601" max="2817" width="9.1796875" style="205"/>
    <col min="2818" max="2818" width="25.54296875" style="205" customWidth="1"/>
    <col min="2819" max="2856" width="13.81640625" style="205" customWidth="1"/>
    <col min="2857" max="3073" width="9.1796875" style="205"/>
    <col min="3074" max="3074" width="25.54296875" style="205" customWidth="1"/>
    <col min="3075" max="3112" width="13.81640625" style="205" customWidth="1"/>
    <col min="3113" max="3329" width="9.1796875" style="205"/>
    <col min="3330" max="3330" width="25.54296875" style="205" customWidth="1"/>
    <col min="3331" max="3368" width="13.81640625" style="205" customWidth="1"/>
    <col min="3369" max="3585" width="9.1796875" style="205"/>
    <col min="3586" max="3586" width="25.54296875" style="205" customWidth="1"/>
    <col min="3587" max="3624" width="13.81640625" style="205" customWidth="1"/>
    <col min="3625" max="3841" width="9.1796875" style="205"/>
    <col min="3842" max="3842" width="25.54296875" style="205" customWidth="1"/>
    <col min="3843" max="3880" width="13.81640625" style="205" customWidth="1"/>
    <col min="3881" max="4097" width="9.1796875" style="205"/>
    <col min="4098" max="4098" width="25.54296875" style="205" customWidth="1"/>
    <col min="4099" max="4136" width="13.81640625" style="205" customWidth="1"/>
    <col min="4137" max="4353" width="9.1796875" style="205"/>
    <col min="4354" max="4354" width="25.54296875" style="205" customWidth="1"/>
    <col min="4355" max="4392" width="13.81640625" style="205" customWidth="1"/>
    <col min="4393" max="4609" width="9.1796875" style="205"/>
    <col min="4610" max="4610" width="25.54296875" style="205" customWidth="1"/>
    <col min="4611" max="4648" width="13.81640625" style="205" customWidth="1"/>
    <col min="4649" max="4865" width="9.1796875" style="205"/>
    <col min="4866" max="4866" width="25.54296875" style="205" customWidth="1"/>
    <col min="4867" max="4904" width="13.81640625" style="205" customWidth="1"/>
    <col min="4905" max="5121" width="9.1796875" style="205"/>
    <col min="5122" max="5122" width="25.54296875" style="205" customWidth="1"/>
    <col min="5123" max="5160" width="13.81640625" style="205" customWidth="1"/>
    <col min="5161" max="5377" width="9.1796875" style="205"/>
    <col min="5378" max="5378" width="25.54296875" style="205" customWidth="1"/>
    <col min="5379" max="5416" width="13.81640625" style="205" customWidth="1"/>
    <col min="5417" max="5633" width="9.1796875" style="205"/>
    <col min="5634" max="5634" width="25.54296875" style="205" customWidth="1"/>
    <col min="5635" max="5672" width="13.81640625" style="205" customWidth="1"/>
    <col min="5673" max="5889" width="9.1796875" style="205"/>
    <col min="5890" max="5890" width="25.54296875" style="205" customWidth="1"/>
    <col min="5891" max="5928" width="13.81640625" style="205" customWidth="1"/>
    <col min="5929" max="6145" width="9.1796875" style="205"/>
    <col min="6146" max="6146" width="25.54296875" style="205" customWidth="1"/>
    <col min="6147" max="6184" width="13.81640625" style="205" customWidth="1"/>
    <col min="6185" max="6401" width="9.1796875" style="205"/>
    <col min="6402" max="6402" width="25.54296875" style="205" customWidth="1"/>
    <col min="6403" max="6440" width="13.81640625" style="205" customWidth="1"/>
    <col min="6441" max="6657" width="9.1796875" style="205"/>
    <col min="6658" max="6658" width="25.54296875" style="205" customWidth="1"/>
    <col min="6659" max="6696" width="13.81640625" style="205" customWidth="1"/>
    <col min="6697" max="6913" width="9.1796875" style="205"/>
    <col min="6914" max="6914" width="25.54296875" style="205" customWidth="1"/>
    <col min="6915" max="6952" width="13.81640625" style="205" customWidth="1"/>
    <col min="6953" max="7169" width="9.1796875" style="205"/>
    <col min="7170" max="7170" width="25.54296875" style="205" customWidth="1"/>
    <col min="7171" max="7208" width="13.81640625" style="205" customWidth="1"/>
    <col min="7209" max="7425" width="9.1796875" style="205"/>
    <col min="7426" max="7426" width="25.54296875" style="205" customWidth="1"/>
    <col min="7427" max="7464" width="13.81640625" style="205" customWidth="1"/>
    <col min="7465" max="7681" width="9.1796875" style="205"/>
    <col min="7682" max="7682" width="25.54296875" style="205" customWidth="1"/>
    <col min="7683" max="7720" width="13.81640625" style="205" customWidth="1"/>
    <col min="7721" max="7937" width="9.1796875" style="205"/>
    <col min="7938" max="7938" width="25.54296875" style="205" customWidth="1"/>
    <col min="7939" max="7976" width="13.81640625" style="205" customWidth="1"/>
    <col min="7977" max="8193" width="9.1796875" style="205"/>
    <col min="8194" max="8194" width="25.54296875" style="205" customWidth="1"/>
    <col min="8195" max="8232" width="13.81640625" style="205" customWidth="1"/>
    <col min="8233" max="8449" width="9.1796875" style="205"/>
    <col min="8450" max="8450" width="25.54296875" style="205" customWidth="1"/>
    <col min="8451" max="8488" width="13.81640625" style="205" customWidth="1"/>
    <col min="8489" max="8705" width="9.1796875" style="205"/>
    <col min="8706" max="8706" width="25.54296875" style="205" customWidth="1"/>
    <col min="8707" max="8744" width="13.81640625" style="205" customWidth="1"/>
    <col min="8745" max="8961" width="9.1796875" style="205"/>
    <col min="8962" max="8962" width="25.54296875" style="205" customWidth="1"/>
    <col min="8963" max="9000" width="13.81640625" style="205" customWidth="1"/>
    <col min="9001" max="9217" width="9.1796875" style="205"/>
    <col min="9218" max="9218" width="25.54296875" style="205" customWidth="1"/>
    <col min="9219" max="9256" width="13.81640625" style="205" customWidth="1"/>
    <col min="9257" max="9473" width="9.1796875" style="205"/>
    <col min="9474" max="9474" width="25.54296875" style="205" customWidth="1"/>
    <col min="9475" max="9512" width="13.81640625" style="205" customWidth="1"/>
    <col min="9513" max="9729" width="9.1796875" style="205"/>
    <col min="9730" max="9730" width="25.54296875" style="205" customWidth="1"/>
    <col min="9731" max="9768" width="13.81640625" style="205" customWidth="1"/>
    <col min="9769" max="9985" width="9.1796875" style="205"/>
    <col min="9986" max="9986" width="25.54296875" style="205" customWidth="1"/>
    <col min="9987" max="10024" width="13.81640625" style="205" customWidth="1"/>
    <col min="10025" max="10241" width="9.1796875" style="205"/>
    <col min="10242" max="10242" width="25.54296875" style="205" customWidth="1"/>
    <col min="10243" max="10280" width="13.81640625" style="205" customWidth="1"/>
    <col min="10281" max="10497" width="9.1796875" style="205"/>
    <col min="10498" max="10498" width="25.54296875" style="205" customWidth="1"/>
    <col min="10499" max="10536" width="13.81640625" style="205" customWidth="1"/>
    <col min="10537" max="10753" width="9.1796875" style="205"/>
    <col min="10754" max="10754" width="25.54296875" style="205" customWidth="1"/>
    <col min="10755" max="10792" width="13.81640625" style="205" customWidth="1"/>
    <col min="10793" max="11009" width="9.1796875" style="205"/>
    <col min="11010" max="11010" width="25.54296875" style="205" customWidth="1"/>
    <col min="11011" max="11048" width="13.81640625" style="205" customWidth="1"/>
    <col min="11049" max="11265" width="9.1796875" style="205"/>
    <col min="11266" max="11266" width="25.54296875" style="205" customWidth="1"/>
    <col min="11267" max="11304" width="13.81640625" style="205" customWidth="1"/>
    <col min="11305" max="11521" width="9.1796875" style="205"/>
    <col min="11522" max="11522" width="25.54296875" style="205" customWidth="1"/>
    <col min="11523" max="11560" width="13.81640625" style="205" customWidth="1"/>
    <col min="11561" max="11777" width="9.1796875" style="205"/>
    <col min="11778" max="11778" width="25.54296875" style="205" customWidth="1"/>
    <col min="11779" max="11816" width="13.81640625" style="205" customWidth="1"/>
    <col min="11817" max="12033" width="9.1796875" style="205"/>
    <col min="12034" max="12034" width="25.54296875" style="205" customWidth="1"/>
    <col min="12035" max="12072" width="13.81640625" style="205" customWidth="1"/>
    <col min="12073" max="12289" width="9.1796875" style="205"/>
    <col min="12290" max="12290" width="25.54296875" style="205" customWidth="1"/>
    <col min="12291" max="12328" width="13.81640625" style="205" customWidth="1"/>
    <col min="12329" max="12545" width="9.1796875" style="205"/>
    <col min="12546" max="12546" width="25.54296875" style="205" customWidth="1"/>
    <col min="12547" max="12584" width="13.81640625" style="205" customWidth="1"/>
    <col min="12585" max="12801" width="9.1796875" style="205"/>
    <col min="12802" max="12802" width="25.54296875" style="205" customWidth="1"/>
    <col min="12803" max="12840" width="13.81640625" style="205" customWidth="1"/>
    <col min="12841" max="13057" width="9.1796875" style="205"/>
    <col min="13058" max="13058" width="25.54296875" style="205" customWidth="1"/>
    <col min="13059" max="13096" width="13.81640625" style="205" customWidth="1"/>
    <col min="13097" max="13313" width="9.1796875" style="205"/>
    <col min="13314" max="13314" width="25.54296875" style="205" customWidth="1"/>
    <col min="13315" max="13352" width="13.81640625" style="205" customWidth="1"/>
    <col min="13353" max="13569" width="9.1796875" style="205"/>
    <col min="13570" max="13570" width="25.54296875" style="205" customWidth="1"/>
    <col min="13571" max="13608" width="13.81640625" style="205" customWidth="1"/>
    <col min="13609" max="13825" width="9.1796875" style="205"/>
    <col min="13826" max="13826" width="25.54296875" style="205" customWidth="1"/>
    <col min="13827" max="13864" width="13.81640625" style="205" customWidth="1"/>
    <col min="13865" max="14081" width="9.1796875" style="205"/>
    <col min="14082" max="14082" width="25.54296875" style="205" customWidth="1"/>
    <col min="14083" max="14120" width="13.81640625" style="205" customWidth="1"/>
    <col min="14121" max="14337" width="9.1796875" style="205"/>
    <col min="14338" max="14338" width="25.54296875" style="205" customWidth="1"/>
    <col min="14339" max="14376" width="13.81640625" style="205" customWidth="1"/>
    <col min="14377" max="14593" width="9.1796875" style="205"/>
    <col min="14594" max="14594" width="25.54296875" style="205" customWidth="1"/>
    <col min="14595" max="14632" width="13.81640625" style="205" customWidth="1"/>
    <col min="14633" max="14849" width="9.1796875" style="205"/>
    <col min="14850" max="14850" width="25.54296875" style="205" customWidth="1"/>
    <col min="14851" max="14888" width="13.81640625" style="205" customWidth="1"/>
    <col min="14889" max="15105" width="9.1796875" style="205"/>
    <col min="15106" max="15106" width="25.54296875" style="205" customWidth="1"/>
    <col min="15107" max="15144" width="13.81640625" style="205" customWidth="1"/>
    <col min="15145" max="15361" width="9.1796875" style="205"/>
    <col min="15362" max="15362" width="25.54296875" style="205" customWidth="1"/>
    <col min="15363" max="15400" width="13.81640625" style="205" customWidth="1"/>
    <col min="15401" max="15617" width="9.1796875" style="205"/>
    <col min="15618" max="15618" width="25.54296875" style="205" customWidth="1"/>
    <col min="15619" max="15656" width="13.81640625" style="205" customWidth="1"/>
    <col min="15657" max="15873" width="9.1796875" style="205"/>
    <col min="15874" max="15874" width="25.54296875" style="205" customWidth="1"/>
    <col min="15875" max="15912" width="13.81640625" style="205" customWidth="1"/>
    <col min="15913" max="16129" width="9.1796875" style="205"/>
    <col min="16130" max="16130" width="25.54296875" style="205" customWidth="1"/>
    <col min="16131" max="16168" width="13.81640625" style="205" customWidth="1"/>
    <col min="16169" max="16384" width="9.1796875" style="205"/>
  </cols>
  <sheetData>
    <row r="1" spans="1:81" ht="17.25" customHeight="1">
      <c r="A1" s="311" t="s">
        <v>27</v>
      </c>
      <c r="B1" s="312">
        <f>CB7</f>
        <v>282359631.46421683</v>
      </c>
      <c r="C1" s="974">
        <v>1</v>
      </c>
      <c r="D1" s="974"/>
      <c r="E1" s="974">
        <v>2</v>
      </c>
      <c r="F1" s="974"/>
      <c r="G1" s="974">
        <v>3</v>
      </c>
      <c r="H1" s="974"/>
      <c r="I1" s="974">
        <v>4</v>
      </c>
      <c r="J1" s="974"/>
      <c r="K1" s="974">
        <v>5</v>
      </c>
      <c r="L1" s="974"/>
      <c r="M1" s="974">
        <v>6</v>
      </c>
      <c r="N1" s="974"/>
      <c r="O1" s="974">
        <v>7</v>
      </c>
      <c r="P1" s="974"/>
      <c r="Q1" s="974">
        <v>8</v>
      </c>
      <c r="R1" s="974"/>
      <c r="S1" s="974">
        <v>9</v>
      </c>
      <c r="T1" s="974"/>
      <c r="U1" s="974">
        <v>10</v>
      </c>
      <c r="V1" s="974"/>
      <c r="W1" s="974">
        <v>11</v>
      </c>
      <c r="X1" s="974"/>
      <c r="Y1" s="974">
        <v>12</v>
      </c>
      <c r="Z1" s="974"/>
      <c r="AA1" s="974">
        <v>13</v>
      </c>
      <c r="AB1" s="974"/>
      <c r="AC1" s="974">
        <v>14</v>
      </c>
      <c r="AD1" s="974"/>
      <c r="AE1" s="974">
        <v>15</v>
      </c>
      <c r="AF1" s="974"/>
      <c r="AG1" s="974">
        <v>16</v>
      </c>
      <c r="AH1" s="974"/>
      <c r="AI1" s="974">
        <v>17</v>
      </c>
      <c r="AJ1" s="974"/>
      <c r="AK1" s="974">
        <v>18</v>
      </c>
      <c r="AL1" s="974"/>
      <c r="AM1" s="974">
        <v>19</v>
      </c>
      <c r="AN1" s="974"/>
      <c r="AO1" s="974">
        <v>20</v>
      </c>
      <c r="AP1" s="974"/>
      <c r="AQ1" s="974">
        <v>21</v>
      </c>
      <c r="AR1" s="974"/>
      <c r="AS1" s="974">
        <v>22</v>
      </c>
      <c r="AT1" s="974"/>
      <c r="AU1" s="974">
        <v>23</v>
      </c>
      <c r="AV1" s="974"/>
      <c r="AW1" s="974">
        <v>24</v>
      </c>
      <c r="AX1" s="974"/>
      <c r="AY1" s="974">
        <v>25</v>
      </c>
      <c r="AZ1" s="974"/>
      <c r="BA1" s="974">
        <v>26</v>
      </c>
      <c r="BB1" s="974"/>
      <c r="BC1" s="974">
        <v>27</v>
      </c>
      <c r="BD1" s="974"/>
      <c r="BE1" s="974">
        <v>28</v>
      </c>
      <c r="BF1" s="974"/>
      <c r="BG1" s="974">
        <v>29</v>
      </c>
      <c r="BH1" s="974"/>
      <c r="BI1" s="974">
        <v>30</v>
      </c>
      <c r="BJ1" s="974"/>
      <c r="BK1" s="974">
        <v>31</v>
      </c>
      <c r="BL1" s="974"/>
      <c r="BM1" s="974">
        <v>32</v>
      </c>
      <c r="BN1" s="974"/>
      <c r="BO1" s="974">
        <v>33</v>
      </c>
      <c r="BP1" s="974"/>
      <c r="BQ1" s="974">
        <v>34</v>
      </c>
      <c r="BR1" s="974"/>
      <c r="BS1" s="974">
        <v>35</v>
      </c>
      <c r="BT1" s="974"/>
      <c r="BU1" s="974">
        <v>36</v>
      </c>
      <c r="BV1" s="974"/>
      <c r="BW1" s="974">
        <v>37</v>
      </c>
      <c r="BX1" s="974"/>
      <c r="BY1" s="974">
        <v>38</v>
      </c>
      <c r="BZ1" s="974"/>
      <c r="CB1" s="974"/>
      <c r="CC1" s="974"/>
    </row>
    <row r="2" spans="1:81" ht="14.5">
      <c r="A2" s="311"/>
      <c r="B2" s="313">
        <f>'P &amp; NP'!WP11</f>
        <v>282359631.46421683</v>
      </c>
      <c r="C2" s="975" t="s">
        <v>89</v>
      </c>
      <c r="D2" s="975"/>
      <c r="E2" s="975" t="s">
        <v>73</v>
      </c>
      <c r="F2" s="975"/>
      <c r="G2" s="975" t="s">
        <v>68</v>
      </c>
      <c r="H2" s="975"/>
      <c r="I2" s="975" t="s">
        <v>85</v>
      </c>
      <c r="J2" s="975"/>
      <c r="K2" s="975" t="s">
        <v>74</v>
      </c>
      <c r="L2" s="975"/>
      <c r="M2" s="975" t="s">
        <v>88</v>
      </c>
      <c r="N2" s="975"/>
      <c r="O2" s="975" t="s">
        <v>72</v>
      </c>
      <c r="P2" s="975"/>
      <c r="Q2" s="975" t="s">
        <v>80</v>
      </c>
      <c r="R2" s="975"/>
      <c r="S2" s="975" t="s">
        <v>69</v>
      </c>
      <c r="T2" s="975"/>
      <c r="U2" s="975" t="s">
        <v>87</v>
      </c>
      <c r="V2" s="975"/>
      <c r="W2" s="975" t="s">
        <v>71</v>
      </c>
      <c r="X2" s="975"/>
      <c r="Y2" s="975" t="s">
        <v>82</v>
      </c>
      <c r="Z2" s="975"/>
      <c r="AA2" s="975" t="s">
        <v>83</v>
      </c>
      <c r="AB2" s="975"/>
      <c r="AC2" s="975" t="s">
        <v>70</v>
      </c>
      <c r="AD2" s="975"/>
      <c r="AE2" s="975" t="s">
        <v>79</v>
      </c>
      <c r="AF2" s="975"/>
      <c r="AG2" s="975" t="s">
        <v>81</v>
      </c>
      <c r="AH2" s="975"/>
      <c r="AI2" s="975" t="s">
        <v>84</v>
      </c>
      <c r="AJ2" s="975"/>
      <c r="AK2" s="975" t="s">
        <v>36</v>
      </c>
      <c r="AL2" s="975"/>
      <c r="AM2" s="975" t="s">
        <v>91</v>
      </c>
      <c r="AN2" s="975"/>
      <c r="AO2" s="862" t="s">
        <v>77</v>
      </c>
      <c r="AP2" s="862"/>
      <c r="AQ2" s="862" t="s">
        <v>38</v>
      </c>
      <c r="AR2" s="862"/>
      <c r="AS2" s="862" t="s">
        <v>76</v>
      </c>
      <c r="AT2" s="862"/>
      <c r="AU2" s="862" t="s">
        <v>90</v>
      </c>
      <c r="AV2" s="862"/>
      <c r="AW2" s="862" t="s">
        <v>78</v>
      </c>
      <c r="AX2" s="862"/>
      <c r="AY2" s="862" t="s">
        <v>75</v>
      </c>
      <c r="AZ2" s="862"/>
      <c r="BA2" s="862" t="s">
        <v>92</v>
      </c>
      <c r="BB2" s="862"/>
      <c r="BC2" s="862" t="s">
        <v>39</v>
      </c>
      <c r="BD2" s="862"/>
      <c r="BE2" s="862" t="s">
        <v>86</v>
      </c>
      <c r="BF2" s="862"/>
      <c r="BG2" s="862" t="s">
        <v>40</v>
      </c>
      <c r="BH2" s="862"/>
      <c r="BI2" s="862" t="s">
        <v>101</v>
      </c>
      <c r="BJ2" s="862"/>
      <c r="BK2" s="862" t="s">
        <v>94</v>
      </c>
      <c r="BL2" s="862"/>
      <c r="BM2" s="862" t="s">
        <v>93</v>
      </c>
      <c r="BN2" s="862"/>
      <c r="BO2" s="862" t="s">
        <v>99</v>
      </c>
      <c r="BP2" s="862"/>
      <c r="BQ2" s="862" t="s">
        <v>95</v>
      </c>
      <c r="BR2" s="862"/>
      <c r="BS2" s="862" t="s">
        <v>98</v>
      </c>
      <c r="BT2" s="862"/>
      <c r="BU2" s="862" t="s">
        <v>97</v>
      </c>
      <c r="BV2" s="862"/>
      <c r="BW2" s="862" t="s">
        <v>96</v>
      </c>
      <c r="BX2" s="862"/>
      <c r="BY2" s="862" t="s">
        <v>100</v>
      </c>
      <c r="BZ2" s="862"/>
      <c r="CB2" s="862"/>
      <c r="CC2" s="862"/>
    </row>
    <row r="3" spans="1:81" ht="14.5">
      <c r="A3" s="311"/>
      <c r="B3" s="311"/>
      <c r="C3" s="975" t="s">
        <v>31</v>
      </c>
      <c r="D3" s="975"/>
      <c r="E3" s="975" t="s">
        <v>31</v>
      </c>
      <c r="F3" s="975"/>
      <c r="G3" s="975" t="s">
        <v>31</v>
      </c>
      <c r="H3" s="975"/>
      <c r="I3" s="975" t="s">
        <v>31</v>
      </c>
      <c r="J3" s="975"/>
      <c r="K3" s="975" t="s">
        <v>31</v>
      </c>
      <c r="L3" s="975"/>
      <c r="M3" s="975" t="s">
        <v>31</v>
      </c>
      <c r="N3" s="975"/>
      <c r="O3" s="975" t="s">
        <v>31</v>
      </c>
      <c r="P3" s="975"/>
      <c r="Q3" s="975" t="s">
        <v>31</v>
      </c>
      <c r="R3" s="975"/>
      <c r="S3" s="975" t="s">
        <v>31</v>
      </c>
      <c r="T3" s="975"/>
      <c r="U3" s="975" t="s">
        <v>31</v>
      </c>
      <c r="V3" s="975"/>
      <c r="W3" s="975" t="s">
        <v>31</v>
      </c>
      <c r="X3" s="975"/>
      <c r="Y3" s="975" t="s">
        <v>31</v>
      </c>
      <c r="Z3" s="975"/>
      <c r="AA3" s="975" t="s">
        <v>31</v>
      </c>
      <c r="AB3" s="975"/>
      <c r="AC3" s="975" t="s">
        <v>31</v>
      </c>
      <c r="AD3" s="975"/>
      <c r="AE3" s="975" t="s">
        <v>31</v>
      </c>
      <c r="AF3" s="975"/>
      <c r="AG3" s="975" t="s">
        <v>31</v>
      </c>
      <c r="AH3" s="975"/>
      <c r="AI3" s="975" t="s">
        <v>31</v>
      </c>
      <c r="AJ3" s="975"/>
      <c r="AK3" s="975" t="s">
        <v>31</v>
      </c>
      <c r="AL3" s="975"/>
      <c r="AM3" s="975" t="s">
        <v>31</v>
      </c>
      <c r="AN3" s="975"/>
      <c r="AO3" s="975" t="s">
        <v>31</v>
      </c>
      <c r="AP3" s="975"/>
      <c r="AQ3" s="975" t="s">
        <v>31</v>
      </c>
      <c r="AR3" s="975"/>
      <c r="AS3" s="975" t="s">
        <v>31</v>
      </c>
      <c r="AT3" s="975"/>
      <c r="AU3" s="975" t="s">
        <v>31</v>
      </c>
      <c r="AV3" s="975"/>
      <c r="AW3" s="975" t="s">
        <v>31</v>
      </c>
      <c r="AX3" s="975"/>
      <c r="AY3" s="975" t="s">
        <v>31</v>
      </c>
      <c r="AZ3" s="975"/>
      <c r="BA3" s="975" t="s">
        <v>31</v>
      </c>
      <c r="BB3" s="975"/>
      <c r="BC3" s="975" t="s">
        <v>31</v>
      </c>
      <c r="BD3" s="975"/>
      <c r="BE3" s="975" t="s">
        <v>31</v>
      </c>
      <c r="BF3" s="975"/>
      <c r="BG3" s="975" t="s">
        <v>31</v>
      </c>
      <c r="BH3" s="975"/>
      <c r="BI3" s="975" t="s">
        <v>31</v>
      </c>
      <c r="BJ3" s="975"/>
      <c r="BK3" s="975" t="s">
        <v>31</v>
      </c>
      <c r="BL3" s="975"/>
      <c r="BM3" s="975" t="s">
        <v>31</v>
      </c>
      <c r="BN3" s="975"/>
      <c r="BO3" s="975" t="s">
        <v>31</v>
      </c>
      <c r="BP3" s="975"/>
      <c r="BQ3" s="975" t="s">
        <v>31</v>
      </c>
      <c r="BR3" s="975"/>
      <c r="BS3" s="975" t="s">
        <v>31</v>
      </c>
      <c r="BT3" s="975"/>
      <c r="BU3" s="975" t="s">
        <v>31</v>
      </c>
      <c r="BV3" s="975"/>
      <c r="BW3" s="975" t="s">
        <v>31</v>
      </c>
      <c r="BX3" s="975"/>
      <c r="BY3" s="975" t="s">
        <v>31</v>
      </c>
      <c r="BZ3" s="975"/>
      <c r="CB3" s="975"/>
      <c r="CC3" s="975"/>
    </row>
    <row r="4" spans="1:81" ht="14.5">
      <c r="A4" s="311" t="s">
        <v>28</v>
      </c>
      <c r="B4" s="312">
        <f>CC7</f>
        <v>9677403259.5202045</v>
      </c>
      <c r="C4" s="204" t="s">
        <v>27</v>
      </c>
      <c r="D4" s="204" t="s">
        <v>28</v>
      </c>
      <c r="E4" s="204" t="s">
        <v>27</v>
      </c>
      <c r="F4" s="204" t="s">
        <v>28</v>
      </c>
      <c r="G4" s="204" t="s">
        <v>27</v>
      </c>
      <c r="H4" s="204" t="s">
        <v>28</v>
      </c>
      <c r="I4" s="204" t="s">
        <v>27</v>
      </c>
      <c r="J4" s="204" t="s">
        <v>28</v>
      </c>
      <c r="K4" s="204" t="s">
        <v>27</v>
      </c>
      <c r="L4" s="204" t="s">
        <v>28</v>
      </c>
      <c r="M4" s="204" t="s">
        <v>27</v>
      </c>
      <c r="N4" s="204" t="s">
        <v>28</v>
      </c>
      <c r="O4" s="204" t="s">
        <v>27</v>
      </c>
      <c r="P4" s="204" t="s">
        <v>28</v>
      </c>
      <c r="Q4" s="204" t="s">
        <v>27</v>
      </c>
      <c r="R4" s="204" t="s">
        <v>28</v>
      </c>
      <c r="S4" s="204" t="s">
        <v>27</v>
      </c>
      <c r="T4" s="204" t="s">
        <v>28</v>
      </c>
      <c r="U4" s="204" t="s">
        <v>27</v>
      </c>
      <c r="V4" s="204" t="s">
        <v>28</v>
      </c>
      <c r="W4" s="204" t="s">
        <v>27</v>
      </c>
      <c r="X4" s="204" t="s">
        <v>28</v>
      </c>
      <c r="Y4" s="204" t="s">
        <v>27</v>
      </c>
      <c r="Z4" s="204" t="s">
        <v>28</v>
      </c>
      <c r="AA4" s="204" t="s">
        <v>27</v>
      </c>
      <c r="AB4" s="204" t="s">
        <v>28</v>
      </c>
      <c r="AC4" s="204" t="s">
        <v>27</v>
      </c>
      <c r="AD4" s="204" t="s">
        <v>28</v>
      </c>
      <c r="AE4" s="204" t="s">
        <v>27</v>
      </c>
      <c r="AF4" s="204" t="s">
        <v>28</v>
      </c>
      <c r="AG4" s="204" t="s">
        <v>27</v>
      </c>
      <c r="AH4" s="204" t="s">
        <v>28</v>
      </c>
      <c r="AI4" s="204" t="s">
        <v>27</v>
      </c>
      <c r="AJ4" s="204" t="s">
        <v>28</v>
      </c>
      <c r="AK4" s="204" t="s">
        <v>27</v>
      </c>
      <c r="AL4" s="204" t="s">
        <v>28</v>
      </c>
      <c r="AM4" s="204" t="s">
        <v>27</v>
      </c>
      <c r="AN4" s="204" t="s">
        <v>28</v>
      </c>
      <c r="AO4" s="87" t="s">
        <v>27</v>
      </c>
      <c r="AP4" s="87" t="s">
        <v>28</v>
      </c>
      <c r="AQ4" s="87" t="s">
        <v>27</v>
      </c>
      <c r="AR4" s="87" t="s">
        <v>28</v>
      </c>
      <c r="AS4" s="87" t="s">
        <v>27</v>
      </c>
      <c r="AT4" s="87" t="s">
        <v>28</v>
      </c>
      <c r="AU4" s="87" t="s">
        <v>27</v>
      </c>
      <c r="AV4" s="87" t="s">
        <v>28</v>
      </c>
      <c r="AW4" s="87" t="s">
        <v>27</v>
      </c>
      <c r="AX4" s="87" t="s">
        <v>28</v>
      </c>
      <c r="AY4" s="87" t="s">
        <v>27</v>
      </c>
      <c r="AZ4" s="87" t="s">
        <v>28</v>
      </c>
      <c r="BA4" s="87" t="s">
        <v>27</v>
      </c>
      <c r="BB4" s="87" t="s">
        <v>28</v>
      </c>
      <c r="BC4" s="87" t="s">
        <v>27</v>
      </c>
      <c r="BD4" s="87" t="s">
        <v>28</v>
      </c>
      <c r="BE4" s="87" t="s">
        <v>27</v>
      </c>
      <c r="BF4" s="87" t="s">
        <v>28</v>
      </c>
      <c r="BG4" s="87" t="s">
        <v>27</v>
      </c>
      <c r="BH4" s="87" t="s">
        <v>28</v>
      </c>
      <c r="BI4" s="87" t="s">
        <v>27</v>
      </c>
      <c r="BJ4" s="87" t="s">
        <v>28</v>
      </c>
      <c r="BK4" s="87" t="s">
        <v>27</v>
      </c>
      <c r="BL4" s="87" t="s">
        <v>28</v>
      </c>
      <c r="BM4" s="87" t="s">
        <v>27</v>
      </c>
      <c r="BN4" s="87" t="s">
        <v>28</v>
      </c>
      <c r="BO4" s="87" t="s">
        <v>27</v>
      </c>
      <c r="BP4" s="87" t="s">
        <v>28</v>
      </c>
      <c r="BQ4" s="87" t="s">
        <v>27</v>
      </c>
      <c r="BR4" s="87" t="s">
        <v>28</v>
      </c>
      <c r="BS4" s="87" t="s">
        <v>27</v>
      </c>
      <c r="BT4" s="87" t="s">
        <v>28</v>
      </c>
      <c r="BU4" s="87" t="s">
        <v>27</v>
      </c>
      <c r="BV4" s="87" t="s">
        <v>28</v>
      </c>
      <c r="BW4" s="87" t="s">
        <v>27</v>
      </c>
      <c r="BX4" s="87" t="s">
        <v>28</v>
      </c>
      <c r="BY4" s="87" t="s">
        <v>27</v>
      </c>
      <c r="BZ4" s="87" t="s">
        <v>28</v>
      </c>
      <c r="CB4" s="87" t="s">
        <v>27</v>
      </c>
      <c r="CC4" s="87" t="s">
        <v>28</v>
      </c>
    </row>
    <row r="5" spans="1:81" ht="14.5">
      <c r="B5" s="314">
        <f>'P &amp; NP'!WQ11</f>
        <v>9677403259.5202065</v>
      </c>
      <c r="C5" s="204" t="s">
        <v>29</v>
      </c>
      <c r="D5" s="204" t="s">
        <v>30</v>
      </c>
      <c r="E5" s="204" t="s">
        <v>29</v>
      </c>
      <c r="F5" s="204" t="s">
        <v>30</v>
      </c>
      <c r="G5" s="204" t="s">
        <v>29</v>
      </c>
      <c r="H5" s="204" t="s">
        <v>30</v>
      </c>
      <c r="I5" s="204" t="s">
        <v>29</v>
      </c>
      <c r="J5" s="204" t="s">
        <v>30</v>
      </c>
      <c r="K5" s="204" t="s">
        <v>29</v>
      </c>
      <c r="L5" s="204" t="s">
        <v>30</v>
      </c>
      <c r="M5" s="204" t="s">
        <v>29</v>
      </c>
      <c r="N5" s="204" t="s">
        <v>30</v>
      </c>
      <c r="O5" s="204" t="s">
        <v>29</v>
      </c>
      <c r="P5" s="204" t="s">
        <v>30</v>
      </c>
      <c r="Q5" s="204" t="s">
        <v>29</v>
      </c>
      <c r="R5" s="204" t="s">
        <v>30</v>
      </c>
      <c r="S5" s="204" t="s">
        <v>29</v>
      </c>
      <c r="T5" s="204" t="s">
        <v>30</v>
      </c>
      <c r="U5" s="204" t="s">
        <v>29</v>
      </c>
      <c r="V5" s="204" t="s">
        <v>30</v>
      </c>
      <c r="W5" s="204" t="s">
        <v>29</v>
      </c>
      <c r="X5" s="204" t="s">
        <v>30</v>
      </c>
      <c r="Y5" s="204" t="s">
        <v>29</v>
      </c>
      <c r="Z5" s="204" t="s">
        <v>30</v>
      </c>
      <c r="AA5" s="204" t="s">
        <v>29</v>
      </c>
      <c r="AB5" s="204" t="s">
        <v>30</v>
      </c>
      <c r="AC5" s="204" t="s">
        <v>29</v>
      </c>
      <c r="AD5" s="204" t="s">
        <v>30</v>
      </c>
      <c r="AE5" s="204" t="s">
        <v>29</v>
      </c>
      <c r="AF5" s="204" t="s">
        <v>30</v>
      </c>
      <c r="AG5" s="204" t="s">
        <v>29</v>
      </c>
      <c r="AH5" s="204" t="s">
        <v>30</v>
      </c>
      <c r="AI5" s="204" t="s">
        <v>29</v>
      </c>
      <c r="AJ5" s="204" t="s">
        <v>30</v>
      </c>
      <c r="AK5" s="204" t="s">
        <v>29</v>
      </c>
      <c r="AL5" s="204" t="s">
        <v>30</v>
      </c>
      <c r="AM5" s="204" t="s">
        <v>29</v>
      </c>
      <c r="AN5" s="204" t="s">
        <v>30</v>
      </c>
      <c r="AO5" s="87" t="s">
        <v>29</v>
      </c>
      <c r="AP5" s="87" t="s">
        <v>30</v>
      </c>
      <c r="AQ5" s="87" t="s">
        <v>29</v>
      </c>
      <c r="AR5" s="87" t="s">
        <v>30</v>
      </c>
      <c r="AS5" s="87" t="s">
        <v>29</v>
      </c>
      <c r="AT5" s="87" t="s">
        <v>30</v>
      </c>
      <c r="AU5" s="87" t="s">
        <v>29</v>
      </c>
      <c r="AV5" s="87" t="s">
        <v>30</v>
      </c>
      <c r="AW5" s="87" t="s">
        <v>29</v>
      </c>
      <c r="AX5" s="87" t="s">
        <v>30</v>
      </c>
      <c r="AY5" s="87" t="s">
        <v>29</v>
      </c>
      <c r="AZ5" s="87" t="s">
        <v>30</v>
      </c>
      <c r="BA5" s="87" t="s">
        <v>29</v>
      </c>
      <c r="BB5" s="87" t="s">
        <v>30</v>
      </c>
      <c r="BC5" s="87" t="s">
        <v>29</v>
      </c>
      <c r="BD5" s="87" t="s">
        <v>30</v>
      </c>
      <c r="BE5" s="87" t="s">
        <v>29</v>
      </c>
      <c r="BF5" s="87" t="s">
        <v>30</v>
      </c>
      <c r="BG5" s="87" t="s">
        <v>29</v>
      </c>
      <c r="BH5" s="87" t="s">
        <v>30</v>
      </c>
      <c r="BI5" s="87" t="s">
        <v>29</v>
      </c>
      <c r="BJ5" s="87" t="s">
        <v>30</v>
      </c>
      <c r="BK5" s="87" t="s">
        <v>29</v>
      </c>
      <c r="BL5" s="87" t="s">
        <v>30</v>
      </c>
      <c r="BM5" s="87" t="s">
        <v>29</v>
      </c>
      <c r="BN5" s="87" t="s">
        <v>30</v>
      </c>
      <c r="BO5" s="87" t="s">
        <v>29</v>
      </c>
      <c r="BP5" s="87" t="s">
        <v>30</v>
      </c>
      <c r="BQ5" s="87" t="s">
        <v>29</v>
      </c>
      <c r="BR5" s="87" t="s">
        <v>30</v>
      </c>
      <c r="BS5" s="87" t="s">
        <v>29</v>
      </c>
      <c r="BT5" s="87" t="s">
        <v>30</v>
      </c>
      <c r="BU5" s="87" t="s">
        <v>29</v>
      </c>
      <c r="BV5" s="87" t="s">
        <v>30</v>
      </c>
      <c r="BW5" s="87" t="s">
        <v>29</v>
      </c>
      <c r="BX5" s="87" t="s">
        <v>30</v>
      </c>
      <c r="BY5" s="87" t="s">
        <v>29</v>
      </c>
      <c r="BZ5" s="87" t="s">
        <v>30</v>
      </c>
      <c r="CB5" s="87" t="s">
        <v>29</v>
      </c>
      <c r="CC5" s="87" t="s">
        <v>30</v>
      </c>
    </row>
    <row r="6" spans="1:81">
      <c r="B6" s="206">
        <f>B5-B4</f>
        <v>0</v>
      </c>
      <c r="C6" s="206">
        <f>'P &amp; NP'!E484</f>
        <v>14223257</v>
      </c>
      <c r="D6" s="206">
        <f>'P &amp; NP'!F484</f>
        <v>530450673.60000002</v>
      </c>
      <c r="E6" s="206">
        <f>'P &amp; NP'!U484</f>
        <v>20072390</v>
      </c>
      <c r="F6" s="206">
        <f>'P &amp; NP'!V484</f>
        <v>1036698610</v>
      </c>
      <c r="G6" s="206">
        <f>'P &amp; NP'!AK484</f>
        <v>436100</v>
      </c>
      <c r="H6" s="206">
        <f>'P &amp; NP'!AL484</f>
        <v>28346500</v>
      </c>
      <c r="I6" s="206">
        <f>'P &amp; NP'!BA484</f>
        <v>0</v>
      </c>
      <c r="J6" s="206">
        <f>'P &amp; NP'!BB484</f>
        <v>0</v>
      </c>
      <c r="K6" s="206">
        <f>'P &amp; NP'!BQ484</f>
        <v>0</v>
      </c>
      <c r="L6" s="206">
        <f>'P &amp; NP'!BR484</f>
        <v>0</v>
      </c>
      <c r="M6" s="206">
        <f>'P &amp; NP'!CG484</f>
        <v>82445960.751360208</v>
      </c>
      <c r="N6" s="206">
        <f>'P &amp; NP'!CH484</f>
        <v>2385261859.7672048</v>
      </c>
      <c r="O6" s="206">
        <f>'P &amp; NP'!CW484</f>
        <v>3938067.9328566571</v>
      </c>
      <c r="P6" s="206">
        <f>'P &amp; NP'!CX484</f>
        <v>235205864.45300001</v>
      </c>
      <c r="Q6" s="206">
        <f>'P &amp; NP'!DM484</f>
        <v>0</v>
      </c>
      <c r="R6" s="206">
        <f>'P &amp; NP'!DN484</f>
        <v>0</v>
      </c>
      <c r="S6" s="206">
        <f>'P &amp; NP'!EC484</f>
        <v>0</v>
      </c>
      <c r="T6" s="206">
        <f>'P &amp; NP'!ED484</f>
        <v>0</v>
      </c>
      <c r="U6" s="206">
        <f>'P &amp; NP'!ES484</f>
        <v>4881277</v>
      </c>
      <c r="V6" s="206">
        <f>'P &amp; NP'!ET484</f>
        <v>296519672</v>
      </c>
      <c r="W6" s="206">
        <f>'P &amp; NP'!FI484</f>
        <v>1490000</v>
      </c>
      <c r="X6" s="206">
        <f>'P &amp; NP'!FJ484</f>
        <v>89400000</v>
      </c>
      <c r="Y6" s="206">
        <f>'P &amp; NP'!FY484</f>
        <v>0</v>
      </c>
      <c r="Z6" s="206">
        <f>'P &amp; NP'!FZ484</f>
        <v>0</v>
      </c>
      <c r="AA6" s="206">
        <f>'P &amp; NP'!GO484</f>
        <v>0</v>
      </c>
      <c r="AB6" s="206">
        <f>'P &amp; NP'!GP484</f>
        <v>0</v>
      </c>
      <c r="AC6" s="206">
        <f>'P &amp; NP'!HE484</f>
        <v>1640000</v>
      </c>
      <c r="AD6" s="206">
        <f>'P &amp; NP'!HF484</f>
        <v>104135000</v>
      </c>
      <c r="AE6" s="206">
        <f>'P &amp; NP'!HU484</f>
        <v>0</v>
      </c>
      <c r="AF6" s="206">
        <f>'P &amp; NP'!HV484</f>
        <v>0</v>
      </c>
      <c r="AG6" s="206">
        <f>'P &amp; NP'!IK484</f>
        <v>0</v>
      </c>
      <c r="AH6" s="206">
        <f>'P &amp; NP'!IL484</f>
        <v>0</v>
      </c>
      <c r="AI6" s="206">
        <f>'P &amp; NP'!JA484</f>
        <v>0</v>
      </c>
      <c r="AJ6" s="206">
        <f>'P &amp; NP'!JB484</f>
        <v>0</v>
      </c>
      <c r="AK6" s="206">
        <f>'P &amp; NP'!JQ484</f>
        <v>1732575</v>
      </c>
      <c r="AL6" s="206">
        <f>'P &amp; NP'!JR484</f>
        <v>137502608</v>
      </c>
      <c r="AM6" s="206">
        <f>'P &amp; NP'!KG484</f>
        <v>515643</v>
      </c>
      <c r="AN6" s="206">
        <f>'P &amp; NP'!KH484</f>
        <v>33231010</v>
      </c>
      <c r="AO6" s="206">
        <f>'P &amp; NP'!KW484</f>
        <v>9211002.7800000012</v>
      </c>
      <c r="AP6" s="206">
        <f>'P &amp; NP'!KX484</f>
        <v>151727484</v>
      </c>
      <c r="AQ6" s="206">
        <f>'P &amp; NP'!LM484</f>
        <v>0</v>
      </c>
      <c r="AR6" s="206">
        <f>'P &amp; NP'!LN484</f>
        <v>0</v>
      </c>
      <c r="AS6" s="206">
        <f>'P &amp; NP'!MC484</f>
        <v>14113148</v>
      </c>
      <c r="AT6" s="206">
        <f>'P &amp; NP'!MD484</f>
        <v>730872720</v>
      </c>
      <c r="AU6" s="206">
        <f>'P &amp; NP'!MS484</f>
        <v>854079</v>
      </c>
      <c r="AV6" s="206">
        <f>'P &amp; NP'!MT484</f>
        <v>37876009</v>
      </c>
      <c r="AW6" s="206">
        <f>'P &amp; NP'!NI484</f>
        <v>83044522</v>
      </c>
      <c r="AX6" s="206">
        <f>'P &amp; NP'!NJ484</f>
        <v>2026200713</v>
      </c>
      <c r="AY6" s="206">
        <f>'P &amp; NP'!NY484</f>
        <v>10978224</v>
      </c>
      <c r="AZ6" s="206">
        <f>'P &amp; NP'!NZ484</f>
        <v>521622936</v>
      </c>
      <c r="BA6" s="206">
        <f>'P &amp; NP'!OO484</f>
        <v>7596034</v>
      </c>
      <c r="BB6" s="206">
        <f>'P &amp; NP'!OP484</f>
        <v>452829082</v>
      </c>
      <c r="BC6" s="206">
        <f>'P &amp; NP'!PE484</f>
        <v>273436</v>
      </c>
      <c r="BD6" s="206">
        <f>'P &amp; NP'!PF484</f>
        <v>16905242</v>
      </c>
      <c r="BE6" s="206">
        <f>'P &amp; NP'!PU484</f>
        <v>16478460</v>
      </c>
      <c r="BF6" s="206">
        <f>'P &amp; NP'!PV484</f>
        <v>623211510</v>
      </c>
      <c r="BG6" s="206">
        <f>'P &amp; NP'!QK484</f>
        <v>350000</v>
      </c>
      <c r="BH6" s="206">
        <f>'P &amp; NP'!QL484</f>
        <v>21000000</v>
      </c>
      <c r="BI6" s="206">
        <f>'P &amp; NP'!RA484</f>
        <v>0</v>
      </c>
      <c r="BJ6" s="206">
        <f>'P &amp; NP'!RB484</f>
        <v>0</v>
      </c>
      <c r="BK6" s="206">
        <f>'P &amp; NP'!RQ484</f>
        <v>0</v>
      </c>
      <c r="BL6" s="206">
        <f>'P &amp; NP'!RR484</f>
        <v>0</v>
      </c>
      <c r="BM6" s="206">
        <f>'P &amp; NP'!SG484</f>
        <v>0</v>
      </c>
      <c r="BN6" s="206">
        <f>'P &amp; NP'!SH484</f>
        <v>0</v>
      </c>
      <c r="BO6" s="206">
        <f>'P &amp; NP'!SW484</f>
        <v>0</v>
      </c>
      <c r="BP6" s="206">
        <f>'P &amp; NP'!SX484</f>
        <v>0</v>
      </c>
      <c r="BQ6" s="206">
        <f>'P &amp; NP'!TM484</f>
        <v>0</v>
      </c>
      <c r="BR6" s="206">
        <f>'P &amp; NP'!TN484</f>
        <v>0</v>
      </c>
      <c r="BS6" s="206">
        <f>'P &amp; NP'!UC484</f>
        <v>0</v>
      </c>
      <c r="BT6" s="206">
        <f>'P &amp; NP'!UD484</f>
        <v>0</v>
      </c>
      <c r="BU6" s="206">
        <f>'P &amp; NP'!US484</f>
        <v>2627052</v>
      </c>
      <c r="BV6" s="206">
        <f>'P &amp; NP'!UT484</f>
        <v>22829529</v>
      </c>
      <c r="BW6" s="206">
        <f>'P &amp; NP'!VI484</f>
        <v>229970</v>
      </c>
      <c r="BX6" s="206">
        <f>'P &amp; NP'!VJ484</f>
        <v>9979736.6999999993</v>
      </c>
      <c r="BY6" s="206">
        <f>'P &amp; NP'!VY484</f>
        <v>5228433</v>
      </c>
      <c r="BZ6" s="206">
        <f>'P &amp; NP'!VZ484</f>
        <v>185596500</v>
      </c>
      <c r="CB6" s="731">
        <f>'P &amp; NP'!WP11</f>
        <v>282359631.46421683</v>
      </c>
      <c r="CC6" s="731">
        <f>'P &amp; NP'!WQ11</f>
        <v>9677403259.5202065</v>
      </c>
    </row>
    <row r="7" spans="1:81" s="208" customFormat="1">
      <c r="C7" s="209">
        <f t="shared" ref="C7:AH7" si="0">SUM(C8:C44)</f>
        <v>14223257</v>
      </c>
      <c r="D7" s="209">
        <f t="shared" si="0"/>
        <v>530450673.60000002</v>
      </c>
      <c r="E7" s="209">
        <f t="shared" si="0"/>
        <v>20072390</v>
      </c>
      <c r="F7" s="209">
        <f t="shared" si="0"/>
        <v>1036698610</v>
      </c>
      <c r="G7" s="209">
        <f t="shared" si="0"/>
        <v>436100</v>
      </c>
      <c r="H7" s="209">
        <f t="shared" si="0"/>
        <v>28346500</v>
      </c>
      <c r="I7" s="209">
        <f t="shared" si="0"/>
        <v>0</v>
      </c>
      <c r="J7" s="209">
        <f t="shared" si="0"/>
        <v>0</v>
      </c>
      <c r="K7" s="209">
        <f t="shared" si="0"/>
        <v>0</v>
      </c>
      <c r="L7" s="209">
        <f t="shared" si="0"/>
        <v>0</v>
      </c>
      <c r="M7" s="209">
        <f t="shared" si="0"/>
        <v>82445960.751360208</v>
      </c>
      <c r="N7" s="209">
        <f t="shared" si="0"/>
        <v>2385261859.7672048</v>
      </c>
      <c r="O7" s="209">
        <f t="shared" si="0"/>
        <v>3938067.9328566571</v>
      </c>
      <c r="P7" s="209">
        <f t="shared" si="0"/>
        <v>235205864.45300001</v>
      </c>
      <c r="Q7" s="209">
        <f t="shared" si="0"/>
        <v>0</v>
      </c>
      <c r="R7" s="209">
        <f t="shared" si="0"/>
        <v>0</v>
      </c>
      <c r="S7" s="209">
        <f t="shared" si="0"/>
        <v>0</v>
      </c>
      <c r="T7" s="209">
        <f t="shared" si="0"/>
        <v>0</v>
      </c>
      <c r="U7" s="209">
        <f t="shared" si="0"/>
        <v>4881277</v>
      </c>
      <c r="V7" s="209">
        <f t="shared" si="0"/>
        <v>296519672</v>
      </c>
      <c r="W7" s="209">
        <f t="shared" si="0"/>
        <v>1490000</v>
      </c>
      <c r="X7" s="209">
        <f t="shared" si="0"/>
        <v>89400000</v>
      </c>
      <c r="Y7" s="209">
        <f t="shared" si="0"/>
        <v>0</v>
      </c>
      <c r="Z7" s="209">
        <f t="shared" si="0"/>
        <v>0</v>
      </c>
      <c r="AA7" s="209">
        <f t="shared" si="0"/>
        <v>0</v>
      </c>
      <c r="AB7" s="209">
        <f t="shared" si="0"/>
        <v>0</v>
      </c>
      <c r="AC7" s="209">
        <f t="shared" si="0"/>
        <v>1640000</v>
      </c>
      <c r="AD7" s="209">
        <f t="shared" si="0"/>
        <v>104135000</v>
      </c>
      <c r="AE7" s="209">
        <f t="shared" si="0"/>
        <v>0</v>
      </c>
      <c r="AF7" s="209">
        <f t="shared" si="0"/>
        <v>0</v>
      </c>
      <c r="AG7" s="209">
        <f t="shared" si="0"/>
        <v>0</v>
      </c>
      <c r="AH7" s="209">
        <f t="shared" si="0"/>
        <v>0</v>
      </c>
      <c r="AI7" s="209">
        <f t="shared" ref="AI7:BN7" si="1">SUM(AI8:AI44)</f>
        <v>0</v>
      </c>
      <c r="AJ7" s="209">
        <f t="shared" si="1"/>
        <v>0</v>
      </c>
      <c r="AK7" s="209">
        <f t="shared" si="1"/>
        <v>1732575</v>
      </c>
      <c r="AL7" s="209">
        <f t="shared" si="1"/>
        <v>137502608</v>
      </c>
      <c r="AM7" s="209">
        <f t="shared" si="1"/>
        <v>515643</v>
      </c>
      <c r="AN7" s="209">
        <f t="shared" si="1"/>
        <v>33231010</v>
      </c>
      <c r="AO7" s="209">
        <f t="shared" si="1"/>
        <v>9211002.7800000012</v>
      </c>
      <c r="AP7" s="209">
        <f t="shared" si="1"/>
        <v>151727484</v>
      </c>
      <c r="AQ7" s="209">
        <f t="shared" si="1"/>
        <v>0</v>
      </c>
      <c r="AR7" s="209">
        <f t="shared" si="1"/>
        <v>0</v>
      </c>
      <c r="AS7" s="209">
        <f t="shared" si="1"/>
        <v>14113148</v>
      </c>
      <c r="AT7" s="209">
        <f t="shared" si="1"/>
        <v>730872720</v>
      </c>
      <c r="AU7" s="209">
        <f t="shared" si="1"/>
        <v>854079</v>
      </c>
      <c r="AV7" s="209">
        <f t="shared" si="1"/>
        <v>37876009</v>
      </c>
      <c r="AW7" s="209">
        <f t="shared" si="1"/>
        <v>83044522</v>
      </c>
      <c r="AX7" s="209">
        <f t="shared" si="1"/>
        <v>2026200713</v>
      </c>
      <c r="AY7" s="209">
        <f t="shared" si="1"/>
        <v>10978224</v>
      </c>
      <c r="AZ7" s="209">
        <f t="shared" si="1"/>
        <v>521622936</v>
      </c>
      <c r="BA7" s="209">
        <f t="shared" si="1"/>
        <v>7596034</v>
      </c>
      <c r="BB7" s="209">
        <f t="shared" si="1"/>
        <v>452829082</v>
      </c>
      <c r="BC7" s="209">
        <f t="shared" si="1"/>
        <v>273436</v>
      </c>
      <c r="BD7" s="209">
        <f t="shared" si="1"/>
        <v>16905242</v>
      </c>
      <c r="BE7" s="209">
        <f t="shared" si="1"/>
        <v>16478460</v>
      </c>
      <c r="BF7" s="209">
        <f t="shared" si="1"/>
        <v>623211510</v>
      </c>
      <c r="BG7" s="209">
        <f t="shared" si="1"/>
        <v>350000</v>
      </c>
      <c r="BH7" s="209">
        <f t="shared" si="1"/>
        <v>21000000</v>
      </c>
      <c r="BI7" s="209">
        <f t="shared" si="1"/>
        <v>0</v>
      </c>
      <c r="BJ7" s="209">
        <f t="shared" si="1"/>
        <v>0</v>
      </c>
      <c r="BK7" s="209">
        <f t="shared" si="1"/>
        <v>0</v>
      </c>
      <c r="BL7" s="209">
        <f t="shared" si="1"/>
        <v>0</v>
      </c>
      <c r="BM7" s="209">
        <f t="shared" si="1"/>
        <v>0</v>
      </c>
      <c r="BN7" s="209">
        <f t="shared" si="1"/>
        <v>0</v>
      </c>
      <c r="BO7" s="209">
        <f t="shared" ref="BO7:BZ7" si="2">SUM(BO8:BO44)</f>
        <v>0</v>
      </c>
      <c r="BP7" s="209">
        <f t="shared" si="2"/>
        <v>0</v>
      </c>
      <c r="BQ7" s="209">
        <f t="shared" si="2"/>
        <v>0</v>
      </c>
      <c r="BR7" s="209">
        <f t="shared" si="2"/>
        <v>0</v>
      </c>
      <c r="BS7" s="209">
        <f t="shared" si="2"/>
        <v>0</v>
      </c>
      <c r="BT7" s="209">
        <f t="shared" si="2"/>
        <v>0</v>
      </c>
      <c r="BU7" s="209">
        <f t="shared" si="2"/>
        <v>2627052</v>
      </c>
      <c r="BV7" s="209">
        <f t="shared" si="2"/>
        <v>22829529</v>
      </c>
      <c r="BW7" s="209">
        <f t="shared" si="2"/>
        <v>229970</v>
      </c>
      <c r="BX7" s="209">
        <f t="shared" si="2"/>
        <v>9979736.6999999993</v>
      </c>
      <c r="BY7" s="209">
        <f t="shared" si="2"/>
        <v>5228433</v>
      </c>
      <c r="BZ7" s="209">
        <f t="shared" si="2"/>
        <v>185596500</v>
      </c>
      <c r="CB7" s="209">
        <f>SUM(CB8:CB44)</f>
        <v>282359631.46421683</v>
      </c>
      <c r="CC7" s="209">
        <f>SUM(CC8:CC44)</f>
        <v>9677403259.5202045</v>
      </c>
    </row>
    <row r="8" spans="1:81">
      <c r="B8" s="207" t="str">
        <f>'P &amp; NP'!B14</f>
        <v xml:space="preserve">Bandeng </v>
      </c>
      <c r="C8" s="206">
        <f>'P &amp; NP'!E485</f>
        <v>4561700</v>
      </c>
      <c r="D8" s="206">
        <f>'P &amp; NP'!F485</f>
        <v>132359200</v>
      </c>
      <c r="E8" s="206">
        <f>'P &amp; NP'!U485</f>
        <v>41675</v>
      </c>
      <c r="F8" s="206">
        <f>'P &amp; NP'!V485</f>
        <v>833500</v>
      </c>
      <c r="G8" s="206">
        <f>'P &amp; NP'!AK485</f>
        <v>0</v>
      </c>
      <c r="H8" s="206">
        <f>'P &amp; NP'!AL485</f>
        <v>0</v>
      </c>
      <c r="I8" s="206">
        <f>'P &amp; NP'!BA485</f>
        <v>0</v>
      </c>
      <c r="J8" s="206">
        <f>'P &amp; NP'!BB485</f>
        <v>0</v>
      </c>
      <c r="K8" s="206">
        <f>'P &amp; NP'!BQ485</f>
        <v>0</v>
      </c>
      <c r="L8" s="206">
        <f>'P &amp; NP'!BR485</f>
        <v>0</v>
      </c>
      <c r="M8" s="206">
        <f>'P &amp; NP'!CG485</f>
        <v>49897644.895697385</v>
      </c>
      <c r="N8" s="206">
        <f>'P &amp; NP'!CH485</f>
        <v>1115896731.3740089</v>
      </c>
      <c r="O8" s="206">
        <f>'P &amp; NP'!CW485</f>
        <v>45890.414057510257</v>
      </c>
      <c r="P8" s="206">
        <f>'P &amp; NP'!CX485</f>
        <v>898038.451</v>
      </c>
      <c r="Q8" s="206">
        <f>'P &amp; NP'!DM485</f>
        <v>0</v>
      </c>
      <c r="R8" s="206">
        <f>'P &amp; NP'!DN485</f>
        <v>0</v>
      </c>
      <c r="S8" s="206">
        <f>'P &amp; NP'!EC485</f>
        <v>0</v>
      </c>
      <c r="T8" s="206">
        <f>'P &amp; NP'!ED485</f>
        <v>0</v>
      </c>
      <c r="U8" s="206">
        <f>'P &amp; NP'!ES485</f>
        <v>518236</v>
      </c>
      <c r="V8" s="206">
        <f>'P &amp; NP'!ET485</f>
        <v>10872286</v>
      </c>
      <c r="W8" s="206">
        <f>'P &amp; NP'!FI485</f>
        <v>0</v>
      </c>
      <c r="X8" s="206">
        <f>'P &amp; NP'!FJ485</f>
        <v>0</v>
      </c>
      <c r="Y8" s="206">
        <f>'P &amp; NP'!FY485</f>
        <v>0</v>
      </c>
      <c r="Z8" s="206">
        <f>'P &amp; NP'!FZ485</f>
        <v>0</v>
      </c>
      <c r="AA8" s="206">
        <f>'P &amp; NP'!GO485</f>
        <v>0</v>
      </c>
      <c r="AB8" s="206">
        <f>'P &amp; NP'!GP485</f>
        <v>0</v>
      </c>
      <c r="AC8" s="206">
        <f>'P &amp; NP'!HE485</f>
        <v>0</v>
      </c>
      <c r="AD8" s="206">
        <f>'P &amp; NP'!HF485</f>
        <v>0</v>
      </c>
      <c r="AE8" s="206">
        <f>'P &amp; NP'!HU485</f>
        <v>0</v>
      </c>
      <c r="AF8" s="206">
        <f>'P &amp; NP'!HV485</f>
        <v>0</v>
      </c>
      <c r="AG8" s="206">
        <f>'P &amp; NP'!IK485</f>
        <v>0</v>
      </c>
      <c r="AH8" s="206">
        <f>'P &amp; NP'!IL485</f>
        <v>0</v>
      </c>
      <c r="AI8" s="206">
        <f>'P &amp; NP'!JA485</f>
        <v>0</v>
      </c>
      <c r="AJ8" s="206">
        <f>'P &amp; NP'!JB485</f>
        <v>0</v>
      </c>
      <c r="AK8" s="206">
        <f>'P &amp; NP'!JQ485</f>
        <v>0</v>
      </c>
      <c r="AL8" s="206">
        <f>'P &amp; NP'!JR485</f>
        <v>0</v>
      </c>
      <c r="AM8" s="206">
        <f>'P &amp; NP'!KG485</f>
        <v>3243</v>
      </c>
      <c r="AN8" s="206">
        <f>'P &amp; NP'!KH485</f>
        <v>97290</v>
      </c>
      <c r="AO8" s="206">
        <f>'P &amp; NP'!KW485</f>
        <v>4701852.6500000004</v>
      </c>
      <c r="AP8" s="206">
        <f>'P &amp; NP'!KX485</f>
        <v>83738548</v>
      </c>
      <c r="AQ8" s="206">
        <f>'P &amp; NP'!LM485</f>
        <v>0</v>
      </c>
      <c r="AR8" s="206">
        <f>'P &amp; NP'!LN485</f>
        <v>0</v>
      </c>
      <c r="AS8" s="206">
        <f>'P &amp; NP'!MC485</f>
        <v>1020400</v>
      </c>
      <c r="AT8" s="206">
        <f>'P &amp; NP'!MD485</f>
        <v>15306000</v>
      </c>
      <c r="AU8" s="206">
        <f>'P &amp; NP'!MS485</f>
        <v>421876</v>
      </c>
      <c r="AV8" s="206">
        <f>'P &amp; NP'!MT485</f>
        <v>11812528</v>
      </c>
      <c r="AW8" s="206">
        <f>'P &amp; NP'!NI485</f>
        <v>35358000</v>
      </c>
      <c r="AX8" s="206">
        <f>'P &amp; NP'!NJ485</f>
        <v>777876000</v>
      </c>
      <c r="AY8" s="206">
        <f>'P &amp; NP'!NY485</f>
        <v>1910</v>
      </c>
      <c r="AZ8" s="206">
        <f>'P &amp; NP'!NZ485</f>
        <v>34380</v>
      </c>
      <c r="BA8" s="206">
        <f>'P &amp; NP'!OO485</f>
        <v>513763</v>
      </c>
      <c r="BB8" s="206">
        <f>'P &amp; NP'!OP485</f>
        <v>14293740</v>
      </c>
      <c r="BC8" s="206">
        <f>'P &amp; NP'!PE485</f>
        <v>0</v>
      </c>
      <c r="BD8" s="206">
        <f>'P &amp; NP'!PF485</f>
        <v>0</v>
      </c>
      <c r="BE8" s="206">
        <f>'P &amp; NP'!PU485</f>
        <v>6012420</v>
      </c>
      <c r="BF8" s="206">
        <f>'P &amp; NP'!PV485</f>
        <v>115564700</v>
      </c>
      <c r="BG8" s="206">
        <f>'P &amp; NP'!QK485</f>
        <v>0</v>
      </c>
      <c r="BH8" s="206">
        <f>'P &amp; NP'!QL485</f>
        <v>0</v>
      </c>
      <c r="BI8" s="206">
        <f>'P &amp; NP'!RA485</f>
        <v>0</v>
      </c>
      <c r="BJ8" s="206">
        <f>'P &amp; NP'!RB485</f>
        <v>0</v>
      </c>
      <c r="BK8" s="206">
        <f>'P &amp; NP'!RQ485</f>
        <v>0</v>
      </c>
      <c r="BL8" s="206">
        <f>'P &amp; NP'!RR485</f>
        <v>0</v>
      </c>
      <c r="BM8" s="206">
        <f>'P &amp; NP'!SG485</f>
        <v>0</v>
      </c>
      <c r="BN8" s="206">
        <f>'P &amp; NP'!SH485</f>
        <v>0</v>
      </c>
      <c r="BO8" s="206">
        <f>'P &amp; NP'!SW485</f>
        <v>0</v>
      </c>
      <c r="BP8" s="206">
        <f>'P &amp; NP'!SX485</f>
        <v>0</v>
      </c>
      <c r="BQ8" s="206">
        <f>'P &amp; NP'!TM485</f>
        <v>0</v>
      </c>
      <c r="BR8" s="206">
        <f>'P &amp; NP'!TN485</f>
        <v>0</v>
      </c>
      <c r="BS8" s="206">
        <f>'P &amp; NP'!UC485</f>
        <v>0</v>
      </c>
      <c r="BT8" s="206">
        <f>'P &amp; NP'!UD485</f>
        <v>0</v>
      </c>
      <c r="BU8" s="206">
        <f>'P &amp; NP'!US485</f>
        <v>1133090</v>
      </c>
      <c r="BV8" s="206">
        <f>'P &amp; NP'!UT485</f>
        <v>18816404</v>
      </c>
      <c r="BW8" s="206">
        <f>'P &amp; NP'!VI485</f>
        <v>60320.7</v>
      </c>
      <c r="BX8" s="206">
        <f>'P &amp; NP'!VJ485</f>
        <v>965131.2</v>
      </c>
      <c r="BY8" s="206">
        <f>'P &amp; NP'!VY485</f>
        <v>3599669</v>
      </c>
      <c r="BZ8" s="206">
        <f>'P &amp; NP'!VZ485</f>
        <v>118713245</v>
      </c>
      <c r="CB8" s="206">
        <f>SUMIF($C$4:$BZ$4,$CB$4,C8:BZ8)</f>
        <v>107891690.65975489</v>
      </c>
      <c r="CC8" s="206">
        <f>SUMIF($C$4:$BZ$4,$CC$4,C8:BZ8)</f>
        <v>2418077722.0250087</v>
      </c>
    </row>
    <row r="9" spans="1:81">
      <c r="B9" s="207" t="str">
        <f>'P &amp; NP'!B15</f>
        <v xml:space="preserve">Bawal </v>
      </c>
      <c r="C9" s="206">
        <f>'P &amp; NP'!E486</f>
        <v>0</v>
      </c>
      <c r="D9" s="206">
        <f>'P &amp; NP'!F486</f>
        <v>0</v>
      </c>
      <c r="E9" s="206">
        <f>'P &amp; NP'!U486</f>
        <v>0</v>
      </c>
      <c r="F9" s="206">
        <f>'P &amp; NP'!V486</f>
        <v>0</v>
      </c>
      <c r="G9" s="206">
        <f>'P &amp; NP'!AK486</f>
        <v>0</v>
      </c>
      <c r="H9" s="206">
        <f>'P &amp; NP'!AL486</f>
        <v>0</v>
      </c>
      <c r="I9" s="206">
        <f>'P &amp; NP'!BA486</f>
        <v>0</v>
      </c>
      <c r="J9" s="206">
        <f>'P &amp; NP'!BB486</f>
        <v>0</v>
      </c>
      <c r="K9" s="206">
        <f>'P &amp; NP'!BQ486</f>
        <v>0</v>
      </c>
      <c r="L9" s="206">
        <f>'P &amp; NP'!BR486</f>
        <v>0</v>
      </c>
      <c r="M9" s="206">
        <f>'P &amp; NP'!CG486</f>
        <v>0</v>
      </c>
      <c r="N9" s="206">
        <f>'P &amp; NP'!CH486</f>
        <v>0</v>
      </c>
      <c r="O9" s="206">
        <f>'P &amp; NP'!CW486</f>
        <v>0</v>
      </c>
      <c r="P9" s="206">
        <f>'P &amp; NP'!CX486</f>
        <v>0</v>
      </c>
      <c r="Q9" s="206">
        <f>'P &amp; NP'!DM486</f>
        <v>0</v>
      </c>
      <c r="R9" s="206">
        <f>'P &amp; NP'!DN486</f>
        <v>0</v>
      </c>
      <c r="S9" s="206">
        <f>'P &amp; NP'!EC486</f>
        <v>0</v>
      </c>
      <c r="T9" s="206">
        <f>'P &amp; NP'!ED486</f>
        <v>0</v>
      </c>
      <c r="U9" s="206">
        <f>'P &amp; NP'!ES486</f>
        <v>0</v>
      </c>
      <c r="V9" s="206">
        <f>'P &amp; NP'!ET486</f>
        <v>0</v>
      </c>
      <c r="W9" s="206">
        <f>'P &amp; NP'!FI486</f>
        <v>0</v>
      </c>
      <c r="X9" s="206">
        <f>'P &amp; NP'!FJ486</f>
        <v>0</v>
      </c>
      <c r="Y9" s="206">
        <f>'P &amp; NP'!FY486</f>
        <v>0</v>
      </c>
      <c r="Z9" s="206">
        <f>'P &amp; NP'!FZ486</f>
        <v>0</v>
      </c>
      <c r="AA9" s="206">
        <f>'P &amp; NP'!GO486</f>
        <v>0</v>
      </c>
      <c r="AB9" s="206">
        <f>'P &amp; NP'!GP486</f>
        <v>0</v>
      </c>
      <c r="AC9" s="206">
        <f>'P &amp; NP'!HE486</f>
        <v>0</v>
      </c>
      <c r="AD9" s="206">
        <f>'P &amp; NP'!HF486</f>
        <v>0</v>
      </c>
      <c r="AE9" s="206">
        <f>'P &amp; NP'!HU486</f>
        <v>0</v>
      </c>
      <c r="AF9" s="206">
        <f>'P &amp; NP'!HV486</f>
        <v>0</v>
      </c>
      <c r="AG9" s="206">
        <f>'P &amp; NP'!IK486</f>
        <v>0</v>
      </c>
      <c r="AH9" s="206">
        <f>'P &amp; NP'!IL486</f>
        <v>0</v>
      </c>
      <c r="AI9" s="206">
        <f>'P &amp; NP'!JA486</f>
        <v>0</v>
      </c>
      <c r="AJ9" s="206">
        <f>'P &amp; NP'!JB486</f>
        <v>0</v>
      </c>
      <c r="AK9" s="206">
        <f>'P &amp; NP'!JQ486</f>
        <v>0</v>
      </c>
      <c r="AL9" s="206">
        <f>'P &amp; NP'!JR486</f>
        <v>0</v>
      </c>
      <c r="AM9" s="206">
        <f>'P &amp; NP'!KG486</f>
        <v>0</v>
      </c>
      <c r="AN9" s="206">
        <f>'P &amp; NP'!KH486</f>
        <v>0</v>
      </c>
      <c r="AO9" s="206">
        <f>'P &amp; NP'!KW486</f>
        <v>0</v>
      </c>
      <c r="AP9" s="206">
        <f>'P &amp; NP'!KX486</f>
        <v>0</v>
      </c>
      <c r="AQ9" s="206">
        <f>'P &amp; NP'!LM486</f>
        <v>0</v>
      </c>
      <c r="AR9" s="206">
        <f>'P &amp; NP'!LN486</f>
        <v>0</v>
      </c>
      <c r="AS9" s="206">
        <f>'P &amp; NP'!MC486</f>
        <v>0</v>
      </c>
      <c r="AT9" s="206">
        <f>'P &amp; NP'!MD486</f>
        <v>0</v>
      </c>
      <c r="AU9" s="206">
        <f>'P &amp; NP'!MS486</f>
        <v>0</v>
      </c>
      <c r="AV9" s="206">
        <f>'P &amp; NP'!MT486</f>
        <v>0</v>
      </c>
      <c r="AW9" s="206">
        <f>'P &amp; NP'!NI486</f>
        <v>0</v>
      </c>
      <c r="AX9" s="206">
        <f>'P &amp; NP'!NJ486</f>
        <v>0</v>
      </c>
      <c r="AY9" s="206">
        <f>'P &amp; NP'!NY486</f>
        <v>0</v>
      </c>
      <c r="AZ9" s="206">
        <f>'P &amp; NP'!NZ486</f>
        <v>0</v>
      </c>
      <c r="BA9" s="206">
        <f>'P &amp; NP'!OO486</f>
        <v>0</v>
      </c>
      <c r="BB9" s="206">
        <f>'P &amp; NP'!OP486</f>
        <v>0</v>
      </c>
      <c r="BC9" s="206">
        <f>'P &amp; NP'!PE486</f>
        <v>0</v>
      </c>
      <c r="BD9" s="206">
        <f>'P &amp; NP'!PF486</f>
        <v>0</v>
      </c>
      <c r="BE9" s="206">
        <f>'P &amp; NP'!PU486</f>
        <v>0</v>
      </c>
      <c r="BF9" s="206">
        <f>'P &amp; NP'!PV486</f>
        <v>0</v>
      </c>
      <c r="BG9" s="206">
        <f>'P &amp; NP'!QK486</f>
        <v>0</v>
      </c>
      <c r="BH9" s="206">
        <f>'P &amp; NP'!QL486</f>
        <v>0</v>
      </c>
      <c r="BI9" s="206">
        <f>'P &amp; NP'!RA486</f>
        <v>0</v>
      </c>
      <c r="BJ9" s="206">
        <f>'P &amp; NP'!RB486</f>
        <v>0</v>
      </c>
      <c r="BK9" s="206">
        <f>'P &amp; NP'!RQ486</f>
        <v>0</v>
      </c>
      <c r="BL9" s="206">
        <f>'P &amp; NP'!RR486</f>
        <v>0</v>
      </c>
      <c r="BM9" s="206">
        <f>'P &amp; NP'!SG486</f>
        <v>0</v>
      </c>
      <c r="BN9" s="206">
        <f>'P &amp; NP'!SH486</f>
        <v>0</v>
      </c>
      <c r="BO9" s="206">
        <f>'P &amp; NP'!SW486</f>
        <v>0</v>
      </c>
      <c r="BP9" s="206">
        <f>'P &amp; NP'!SX486</f>
        <v>0</v>
      </c>
      <c r="BQ9" s="206">
        <f>'P &amp; NP'!TM486</f>
        <v>0</v>
      </c>
      <c r="BR9" s="206">
        <f>'P &amp; NP'!TN486</f>
        <v>0</v>
      </c>
      <c r="BS9" s="206">
        <f>'P &amp; NP'!UC486</f>
        <v>0</v>
      </c>
      <c r="BT9" s="206">
        <f>'P &amp; NP'!UD486</f>
        <v>0</v>
      </c>
      <c r="BU9" s="206">
        <f>'P &amp; NP'!US486</f>
        <v>0</v>
      </c>
      <c r="BV9" s="206">
        <f>'P &amp; NP'!UT486</f>
        <v>0</v>
      </c>
      <c r="BW9" s="206">
        <f>'P &amp; NP'!VI486</f>
        <v>0</v>
      </c>
      <c r="BX9" s="206">
        <f>'P &amp; NP'!VJ486</f>
        <v>0</v>
      </c>
      <c r="BY9" s="206">
        <f>'P &amp; NP'!VY486</f>
        <v>0</v>
      </c>
      <c r="BZ9" s="206">
        <f>'P &amp; NP'!VZ486</f>
        <v>0</v>
      </c>
      <c r="CB9" s="206">
        <f t="shared" ref="CB9:CB34" si="3">SUMIF($C$4:$BZ$4,$CB$4,C9:BZ9)</f>
        <v>0</v>
      </c>
      <c r="CC9" s="206">
        <f t="shared" ref="CC9:CC34" si="4">SUMIF($C$4:$BZ$4,$CC$4,C9:BZ9)</f>
        <v>0</v>
      </c>
    </row>
    <row r="10" spans="1:81">
      <c r="B10" s="207" t="str">
        <f>'P &amp; NP'!B16</f>
        <v xml:space="preserve">Belanak </v>
      </c>
      <c r="C10" s="206">
        <f>'P &amp; NP'!E487</f>
        <v>1303200</v>
      </c>
      <c r="D10" s="206">
        <f>'P &amp; NP'!F487</f>
        <v>35888000</v>
      </c>
      <c r="E10" s="206">
        <f>'P &amp; NP'!U487</f>
        <v>0</v>
      </c>
      <c r="F10" s="206">
        <f>'P &amp; NP'!V487</f>
        <v>0</v>
      </c>
      <c r="G10" s="206">
        <f>'P &amp; NP'!AK487</f>
        <v>0</v>
      </c>
      <c r="H10" s="206">
        <f>'P &amp; NP'!AL487</f>
        <v>0</v>
      </c>
      <c r="I10" s="206">
        <f>'P &amp; NP'!BA487</f>
        <v>0</v>
      </c>
      <c r="J10" s="206">
        <f>'P &amp; NP'!BB487</f>
        <v>0</v>
      </c>
      <c r="K10" s="206">
        <f>'P &amp; NP'!BQ487</f>
        <v>0</v>
      </c>
      <c r="L10" s="206">
        <f>'P &amp; NP'!BR487</f>
        <v>0</v>
      </c>
      <c r="M10" s="206">
        <f>'P &amp; NP'!CG487</f>
        <v>0</v>
      </c>
      <c r="N10" s="206">
        <f>'P &amp; NP'!CH487</f>
        <v>0</v>
      </c>
      <c r="O10" s="206">
        <f>'P &amp; NP'!CW487</f>
        <v>0</v>
      </c>
      <c r="P10" s="206">
        <f>'P &amp; NP'!CX487</f>
        <v>0</v>
      </c>
      <c r="Q10" s="206">
        <f>'P &amp; NP'!DM487</f>
        <v>0</v>
      </c>
      <c r="R10" s="206">
        <f>'P &amp; NP'!DN487</f>
        <v>0</v>
      </c>
      <c r="S10" s="206">
        <f>'P &amp; NP'!EC487</f>
        <v>0</v>
      </c>
      <c r="T10" s="206">
        <f>'P &amp; NP'!ED487</f>
        <v>0</v>
      </c>
      <c r="U10" s="206">
        <f>'P &amp; NP'!ES487</f>
        <v>0</v>
      </c>
      <c r="V10" s="206">
        <f>'P &amp; NP'!ET487</f>
        <v>0</v>
      </c>
      <c r="W10" s="206">
        <f>'P &amp; NP'!FI487</f>
        <v>0</v>
      </c>
      <c r="X10" s="206">
        <f>'P &amp; NP'!FJ487</f>
        <v>0</v>
      </c>
      <c r="Y10" s="206">
        <f>'P &amp; NP'!FY487</f>
        <v>0</v>
      </c>
      <c r="Z10" s="206">
        <f>'P &amp; NP'!FZ487</f>
        <v>0</v>
      </c>
      <c r="AA10" s="206">
        <f>'P &amp; NP'!GO487</f>
        <v>0</v>
      </c>
      <c r="AB10" s="206">
        <f>'P &amp; NP'!GP487</f>
        <v>0</v>
      </c>
      <c r="AC10" s="206">
        <f>'P &amp; NP'!HE487</f>
        <v>0</v>
      </c>
      <c r="AD10" s="206">
        <f>'P &amp; NP'!HF487</f>
        <v>0</v>
      </c>
      <c r="AE10" s="206">
        <f>'P &amp; NP'!HU487</f>
        <v>0</v>
      </c>
      <c r="AF10" s="206">
        <f>'P &amp; NP'!HV487</f>
        <v>0</v>
      </c>
      <c r="AG10" s="206">
        <f>'P &amp; NP'!IK487</f>
        <v>0</v>
      </c>
      <c r="AH10" s="206">
        <f>'P &amp; NP'!IL487</f>
        <v>0</v>
      </c>
      <c r="AI10" s="206">
        <f>'P &amp; NP'!JA487</f>
        <v>0</v>
      </c>
      <c r="AJ10" s="206">
        <f>'P &amp; NP'!JB487</f>
        <v>0</v>
      </c>
      <c r="AK10" s="206">
        <f>'P &amp; NP'!JQ487</f>
        <v>0</v>
      </c>
      <c r="AL10" s="206">
        <f>'P &amp; NP'!JR487</f>
        <v>0</v>
      </c>
      <c r="AM10" s="206">
        <f>'P &amp; NP'!KG487</f>
        <v>0</v>
      </c>
      <c r="AN10" s="206">
        <f>'P &amp; NP'!KH487</f>
        <v>0</v>
      </c>
      <c r="AO10" s="206">
        <f>'P &amp; NP'!KW487</f>
        <v>0</v>
      </c>
      <c r="AP10" s="206">
        <f>'P &amp; NP'!KX487</f>
        <v>0</v>
      </c>
      <c r="AQ10" s="206">
        <f>'P &amp; NP'!LM487</f>
        <v>0</v>
      </c>
      <c r="AR10" s="206">
        <f>'P &amp; NP'!LN487</f>
        <v>0</v>
      </c>
      <c r="AS10" s="206">
        <f>'P &amp; NP'!MC487</f>
        <v>47070</v>
      </c>
      <c r="AT10" s="206">
        <f>'P &amp; NP'!MD487</f>
        <v>564840</v>
      </c>
      <c r="AU10" s="206">
        <f>'P &amp; NP'!MS487</f>
        <v>5573</v>
      </c>
      <c r="AV10" s="206">
        <f>'P &amp; NP'!MT487</f>
        <v>122606</v>
      </c>
      <c r="AW10" s="206">
        <f>'P &amp; NP'!NI487</f>
        <v>0</v>
      </c>
      <c r="AX10" s="206">
        <f>'P &amp; NP'!NJ487</f>
        <v>0</v>
      </c>
      <c r="AY10" s="206">
        <f>'P &amp; NP'!NY487</f>
        <v>0</v>
      </c>
      <c r="AZ10" s="206">
        <f>'P &amp; NP'!NZ487</f>
        <v>0</v>
      </c>
      <c r="BA10" s="206">
        <f>'P &amp; NP'!OO487</f>
        <v>0</v>
      </c>
      <c r="BB10" s="206">
        <f>'P &amp; NP'!OP487</f>
        <v>0</v>
      </c>
      <c r="BC10" s="206">
        <f>'P &amp; NP'!PE487</f>
        <v>0</v>
      </c>
      <c r="BD10" s="206">
        <f>'P &amp; NP'!PF487</f>
        <v>0</v>
      </c>
      <c r="BE10" s="206">
        <f>'P &amp; NP'!PU487</f>
        <v>0</v>
      </c>
      <c r="BF10" s="206">
        <f>'P &amp; NP'!PV487</f>
        <v>0</v>
      </c>
      <c r="BG10" s="206">
        <f>'P &amp; NP'!QK487</f>
        <v>0</v>
      </c>
      <c r="BH10" s="206">
        <f>'P &amp; NP'!QL487</f>
        <v>0</v>
      </c>
      <c r="BI10" s="206">
        <f>'P &amp; NP'!RA487</f>
        <v>0</v>
      </c>
      <c r="BJ10" s="206">
        <f>'P &amp; NP'!RB487</f>
        <v>0</v>
      </c>
      <c r="BK10" s="206">
        <f>'P &amp; NP'!RQ487</f>
        <v>0</v>
      </c>
      <c r="BL10" s="206">
        <f>'P &amp; NP'!RR487</f>
        <v>0</v>
      </c>
      <c r="BM10" s="206">
        <f>'P &amp; NP'!SG487</f>
        <v>0</v>
      </c>
      <c r="BN10" s="206">
        <f>'P &amp; NP'!SH487</f>
        <v>0</v>
      </c>
      <c r="BO10" s="206">
        <f>'P &amp; NP'!SW487</f>
        <v>0</v>
      </c>
      <c r="BP10" s="206">
        <f>'P &amp; NP'!SX487</f>
        <v>0</v>
      </c>
      <c r="BQ10" s="206">
        <f>'P &amp; NP'!TM487</f>
        <v>0</v>
      </c>
      <c r="BR10" s="206">
        <f>'P &amp; NP'!TN487</f>
        <v>0</v>
      </c>
      <c r="BS10" s="206">
        <f>'P &amp; NP'!UC487</f>
        <v>0</v>
      </c>
      <c r="BT10" s="206">
        <f>'P &amp; NP'!UD487</f>
        <v>0</v>
      </c>
      <c r="BU10" s="206">
        <f>'P &amp; NP'!US487</f>
        <v>0</v>
      </c>
      <c r="BV10" s="206">
        <f>'P &amp; NP'!UT487</f>
        <v>0</v>
      </c>
      <c r="BW10" s="206">
        <f>'P &amp; NP'!VI487</f>
        <v>0</v>
      </c>
      <c r="BX10" s="206">
        <f>'P &amp; NP'!VJ487</f>
        <v>0</v>
      </c>
      <c r="BY10" s="206">
        <f>'P &amp; NP'!VY487</f>
        <v>0</v>
      </c>
      <c r="BZ10" s="206">
        <f>'P &amp; NP'!VZ487</f>
        <v>0</v>
      </c>
      <c r="CB10" s="206">
        <f t="shared" si="3"/>
        <v>1355843</v>
      </c>
      <c r="CC10" s="206">
        <f t="shared" si="4"/>
        <v>36575446</v>
      </c>
    </row>
    <row r="11" spans="1:81">
      <c r="B11" s="207" t="str">
        <f>'P &amp; NP'!B17</f>
        <v xml:space="preserve">Eucheuma cottonii </v>
      </c>
      <c r="C11" s="206">
        <f>'P &amp; NP'!E488</f>
        <v>0</v>
      </c>
      <c r="D11" s="206">
        <f>'P &amp; NP'!F488</f>
        <v>0</v>
      </c>
      <c r="E11" s="206">
        <f>'P &amp; NP'!U488</f>
        <v>0</v>
      </c>
      <c r="F11" s="206">
        <f>'P &amp; NP'!V488</f>
        <v>0</v>
      </c>
      <c r="G11" s="206">
        <f>'P &amp; NP'!AK488</f>
        <v>0</v>
      </c>
      <c r="H11" s="206">
        <f>'P &amp; NP'!AL488</f>
        <v>0</v>
      </c>
      <c r="I11" s="206">
        <f>'P &amp; NP'!BA488</f>
        <v>0</v>
      </c>
      <c r="J11" s="206">
        <f>'P &amp; NP'!BB488</f>
        <v>0</v>
      </c>
      <c r="K11" s="206">
        <f>'P &amp; NP'!BQ488</f>
        <v>0</v>
      </c>
      <c r="L11" s="206">
        <f>'P &amp; NP'!BR488</f>
        <v>0</v>
      </c>
      <c r="M11" s="206">
        <f>'P &amp; NP'!CG488</f>
        <v>0</v>
      </c>
      <c r="N11" s="206">
        <f>'P &amp; NP'!CH488</f>
        <v>0</v>
      </c>
      <c r="O11" s="206">
        <f>'P &amp; NP'!CW488</f>
        <v>0</v>
      </c>
      <c r="P11" s="206">
        <f>'P &amp; NP'!CX488</f>
        <v>0</v>
      </c>
      <c r="Q11" s="206">
        <f>'P &amp; NP'!DM488</f>
        <v>0</v>
      </c>
      <c r="R11" s="206">
        <f>'P &amp; NP'!DN488</f>
        <v>0</v>
      </c>
      <c r="S11" s="206">
        <f>'P &amp; NP'!EC488</f>
        <v>0</v>
      </c>
      <c r="T11" s="206">
        <f>'P &amp; NP'!ED488</f>
        <v>0</v>
      </c>
      <c r="U11" s="206">
        <f>'P &amp; NP'!ES488</f>
        <v>0</v>
      </c>
      <c r="V11" s="206">
        <f>'P &amp; NP'!ET488</f>
        <v>0</v>
      </c>
      <c r="W11" s="206">
        <f>'P &amp; NP'!FI488</f>
        <v>0</v>
      </c>
      <c r="X11" s="206">
        <f>'P &amp; NP'!FJ488</f>
        <v>0</v>
      </c>
      <c r="Y11" s="206">
        <f>'P &amp; NP'!FY488</f>
        <v>0</v>
      </c>
      <c r="Z11" s="206">
        <f>'P &amp; NP'!FZ488</f>
        <v>0</v>
      </c>
      <c r="AA11" s="206">
        <f>'P &amp; NP'!GO488</f>
        <v>0</v>
      </c>
      <c r="AB11" s="206">
        <f>'P &amp; NP'!GP488</f>
        <v>0</v>
      </c>
      <c r="AC11" s="206">
        <f>'P &amp; NP'!HE488</f>
        <v>0</v>
      </c>
      <c r="AD11" s="206">
        <f>'P &amp; NP'!HF488</f>
        <v>0</v>
      </c>
      <c r="AE11" s="206">
        <f>'P &amp; NP'!HU488</f>
        <v>0</v>
      </c>
      <c r="AF11" s="206">
        <f>'P &amp; NP'!HV488</f>
        <v>0</v>
      </c>
      <c r="AG11" s="206">
        <f>'P &amp; NP'!IK488</f>
        <v>0</v>
      </c>
      <c r="AH11" s="206">
        <f>'P &amp; NP'!IL488</f>
        <v>0</v>
      </c>
      <c r="AI11" s="206">
        <f>'P &amp; NP'!JA488</f>
        <v>0</v>
      </c>
      <c r="AJ11" s="206">
        <f>'P &amp; NP'!JB488</f>
        <v>0</v>
      </c>
      <c r="AK11" s="206">
        <f>'P &amp; NP'!JQ488</f>
        <v>0</v>
      </c>
      <c r="AL11" s="206">
        <f>'P &amp; NP'!JR488</f>
        <v>0</v>
      </c>
      <c r="AM11" s="206">
        <f>'P &amp; NP'!KG488</f>
        <v>0</v>
      </c>
      <c r="AN11" s="206">
        <f>'P &amp; NP'!KH488</f>
        <v>0</v>
      </c>
      <c r="AO11" s="206">
        <f>'P &amp; NP'!KW488</f>
        <v>0</v>
      </c>
      <c r="AP11" s="206">
        <f>'P &amp; NP'!KX488</f>
        <v>0</v>
      </c>
      <c r="AQ11" s="206">
        <f>'P &amp; NP'!LM488</f>
        <v>0</v>
      </c>
      <c r="AR11" s="206">
        <f>'P &amp; NP'!LN488</f>
        <v>0</v>
      </c>
      <c r="AS11" s="206">
        <f>'P &amp; NP'!MC488</f>
        <v>0</v>
      </c>
      <c r="AT11" s="206">
        <f>'P &amp; NP'!MD488</f>
        <v>0</v>
      </c>
      <c r="AU11" s="206">
        <f>'P &amp; NP'!MS488</f>
        <v>0</v>
      </c>
      <c r="AV11" s="206">
        <f>'P &amp; NP'!MT488</f>
        <v>0</v>
      </c>
      <c r="AW11" s="206">
        <f>'P &amp; NP'!NI488</f>
        <v>0</v>
      </c>
      <c r="AX11" s="206">
        <f>'P &amp; NP'!NJ488</f>
        <v>0</v>
      </c>
      <c r="AY11" s="206">
        <f>'P &amp; NP'!NY488</f>
        <v>0</v>
      </c>
      <c r="AZ11" s="206">
        <f>'P &amp; NP'!NZ488</f>
        <v>0</v>
      </c>
      <c r="BA11" s="206">
        <f>'P &amp; NP'!OO488</f>
        <v>0</v>
      </c>
      <c r="BB11" s="206">
        <f>'P &amp; NP'!OP488</f>
        <v>0</v>
      </c>
      <c r="BC11" s="206">
        <f>'P &amp; NP'!PE488</f>
        <v>0</v>
      </c>
      <c r="BD11" s="206">
        <f>'P &amp; NP'!PF488</f>
        <v>0</v>
      </c>
      <c r="BE11" s="206">
        <f>'P &amp; NP'!PU488</f>
        <v>0</v>
      </c>
      <c r="BF11" s="206">
        <f>'P &amp; NP'!PV488</f>
        <v>0</v>
      </c>
      <c r="BG11" s="206">
        <f>'P &amp; NP'!QK488</f>
        <v>0</v>
      </c>
      <c r="BH11" s="206">
        <f>'P &amp; NP'!QL488</f>
        <v>0</v>
      </c>
      <c r="BI11" s="206">
        <f>'P &amp; NP'!RA488</f>
        <v>0</v>
      </c>
      <c r="BJ11" s="206">
        <f>'P &amp; NP'!RB488</f>
        <v>0</v>
      </c>
      <c r="BK11" s="206">
        <f>'P &amp; NP'!RQ488</f>
        <v>0</v>
      </c>
      <c r="BL11" s="206">
        <f>'P &amp; NP'!RR488</f>
        <v>0</v>
      </c>
      <c r="BM11" s="206">
        <f>'P &amp; NP'!SG488</f>
        <v>0</v>
      </c>
      <c r="BN11" s="206">
        <f>'P &amp; NP'!SH488</f>
        <v>0</v>
      </c>
      <c r="BO11" s="206">
        <f>'P &amp; NP'!SW488</f>
        <v>0</v>
      </c>
      <c r="BP11" s="206">
        <f>'P &amp; NP'!SX488</f>
        <v>0</v>
      </c>
      <c r="BQ11" s="206">
        <f>'P &amp; NP'!TM488</f>
        <v>0</v>
      </c>
      <c r="BR11" s="206">
        <f>'P &amp; NP'!TN488</f>
        <v>0</v>
      </c>
      <c r="BS11" s="206">
        <f>'P &amp; NP'!UC488</f>
        <v>0</v>
      </c>
      <c r="BT11" s="206">
        <f>'P &amp; NP'!UD488</f>
        <v>0</v>
      </c>
      <c r="BU11" s="206">
        <f>'P &amp; NP'!US488</f>
        <v>0</v>
      </c>
      <c r="BV11" s="206">
        <f>'P &amp; NP'!UT488</f>
        <v>0</v>
      </c>
      <c r="BW11" s="206">
        <f>'P &amp; NP'!VI488</f>
        <v>0</v>
      </c>
      <c r="BX11" s="206">
        <f>'P &amp; NP'!VJ488</f>
        <v>0</v>
      </c>
      <c r="BY11" s="206">
        <f>'P &amp; NP'!VY488</f>
        <v>0</v>
      </c>
      <c r="BZ11" s="206">
        <f>'P &amp; NP'!VZ488</f>
        <v>0</v>
      </c>
      <c r="CB11" s="206">
        <f t="shared" si="3"/>
        <v>0</v>
      </c>
      <c r="CC11" s="206">
        <f t="shared" si="4"/>
        <v>0</v>
      </c>
    </row>
    <row r="12" spans="1:81">
      <c r="B12" s="207" t="str">
        <f>'P &amp; NP'!B18</f>
        <v xml:space="preserve">Gabus </v>
      </c>
      <c r="C12" s="206">
        <f>'P &amp; NP'!E489</f>
        <v>0</v>
      </c>
      <c r="D12" s="206">
        <f>'P &amp; NP'!F489</f>
        <v>0</v>
      </c>
      <c r="E12" s="206">
        <f>'P &amp; NP'!U489</f>
        <v>0</v>
      </c>
      <c r="F12" s="206">
        <f>'P &amp; NP'!V489</f>
        <v>0</v>
      </c>
      <c r="G12" s="206">
        <f>'P &amp; NP'!AK489</f>
        <v>0</v>
      </c>
      <c r="H12" s="206">
        <f>'P &amp; NP'!AL489</f>
        <v>0</v>
      </c>
      <c r="I12" s="206">
        <f>'P &amp; NP'!BA489</f>
        <v>0</v>
      </c>
      <c r="J12" s="206">
        <f>'P &amp; NP'!BB489</f>
        <v>0</v>
      </c>
      <c r="K12" s="206">
        <f>'P &amp; NP'!BQ489</f>
        <v>0</v>
      </c>
      <c r="L12" s="206">
        <f>'P &amp; NP'!BR489</f>
        <v>0</v>
      </c>
      <c r="M12" s="206">
        <f>'P &amp; NP'!CG489</f>
        <v>0</v>
      </c>
      <c r="N12" s="206">
        <f>'P &amp; NP'!CH489</f>
        <v>0</v>
      </c>
      <c r="O12" s="206">
        <f>'P &amp; NP'!CW489</f>
        <v>0</v>
      </c>
      <c r="P12" s="206">
        <f>'P &amp; NP'!CX489</f>
        <v>0</v>
      </c>
      <c r="Q12" s="206">
        <f>'P &amp; NP'!DM489</f>
        <v>0</v>
      </c>
      <c r="R12" s="206">
        <f>'P &amp; NP'!DN489</f>
        <v>0</v>
      </c>
      <c r="S12" s="206">
        <f>'P &amp; NP'!EC489</f>
        <v>0</v>
      </c>
      <c r="T12" s="206">
        <f>'P &amp; NP'!ED489</f>
        <v>0</v>
      </c>
      <c r="U12" s="206">
        <f>'P &amp; NP'!ES489</f>
        <v>0</v>
      </c>
      <c r="V12" s="206">
        <f>'P &amp; NP'!ET489</f>
        <v>0</v>
      </c>
      <c r="W12" s="206">
        <f>'P &amp; NP'!FI489</f>
        <v>0</v>
      </c>
      <c r="X12" s="206">
        <f>'P &amp; NP'!FJ489</f>
        <v>0</v>
      </c>
      <c r="Y12" s="206">
        <f>'P &amp; NP'!FY489</f>
        <v>0</v>
      </c>
      <c r="Z12" s="206">
        <f>'P &amp; NP'!FZ489</f>
        <v>0</v>
      </c>
      <c r="AA12" s="206">
        <f>'P &amp; NP'!GO489</f>
        <v>0</v>
      </c>
      <c r="AB12" s="206">
        <f>'P &amp; NP'!GP489</f>
        <v>0</v>
      </c>
      <c r="AC12" s="206">
        <f>'P &amp; NP'!HE489</f>
        <v>0</v>
      </c>
      <c r="AD12" s="206">
        <f>'P &amp; NP'!HF489</f>
        <v>0</v>
      </c>
      <c r="AE12" s="206">
        <f>'P &amp; NP'!HU489</f>
        <v>0</v>
      </c>
      <c r="AF12" s="206">
        <f>'P &amp; NP'!HV489</f>
        <v>0</v>
      </c>
      <c r="AG12" s="206">
        <f>'P &amp; NP'!IK489</f>
        <v>0</v>
      </c>
      <c r="AH12" s="206">
        <f>'P &amp; NP'!IL489</f>
        <v>0</v>
      </c>
      <c r="AI12" s="206">
        <f>'P &amp; NP'!JA489</f>
        <v>0</v>
      </c>
      <c r="AJ12" s="206">
        <f>'P &amp; NP'!JB489</f>
        <v>0</v>
      </c>
      <c r="AK12" s="206">
        <f>'P &amp; NP'!JQ489</f>
        <v>0</v>
      </c>
      <c r="AL12" s="206">
        <f>'P &amp; NP'!JR489</f>
        <v>0</v>
      </c>
      <c r="AM12" s="206">
        <f>'P &amp; NP'!KG489</f>
        <v>0</v>
      </c>
      <c r="AN12" s="206">
        <f>'P &amp; NP'!KH489</f>
        <v>0</v>
      </c>
      <c r="AO12" s="206">
        <f>'P &amp; NP'!KW489</f>
        <v>0</v>
      </c>
      <c r="AP12" s="206">
        <f>'P &amp; NP'!KX489</f>
        <v>0</v>
      </c>
      <c r="AQ12" s="206">
        <f>'P &amp; NP'!LM489</f>
        <v>0</v>
      </c>
      <c r="AR12" s="206">
        <f>'P &amp; NP'!LN489</f>
        <v>0</v>
      </c>
      <c r="AS12" s="206">
        <f>'P &amp; NP'!MC489</f>
        <v>0</v>
      </c>
      <c r="AT12" s="206">
        <f>'P &amp; NP'!MD489</f>
        <v>0</v>
      </c>
      <c r="AU12" s="206">
        <f>'P &amp; NP'!MS489</f>
        <v>0</v>
      </c>
      <c r="AV12" s="206">
        <f>'P &amp; NP'!MT489</f>
        <v>0</v>
      </c>
      <c r="AW12" s="206">
        <f>'P &amp; NP'!NI489</f>
        <v>0</v>
      </c>
      <c r="AX12" s="206">
        <f>'P &amp; NP'!NJ489</f>
        <v>0</v>
      </c>
      <c r="AY12" s="206">
        <f>'P &amp; NP'!NY489</f>
        <v>0</v>
      </c>
      <c r="AZ12" s="206">
        <f>'P &amp; NP'!NZ489</f>
        <v>0</v>
      </c>
      <c r="BA12" s="206">
        <f>'P &amp; NP'!OO489</f>
        <v>0</v>
      </c>
      <c r="BB12" s="206">
        <f>'P &amp; NP'!OP489</f>
        <v>0</v>
      </c>
      <c r="BC12" s="206">
        <f>'P &amp; NP'!PE489</f>
        <v>0</v>
      </c>
      <c r="BD12" s="206">
        <f>'P &amp; NP'!PF489</f>
        <v>0</v>
      </c>
      <c r="BE12" s="206">
        <f>'P &amp; NP'!PU489</f>
        <v>0</v>
      </c>
      <c r="BF12" s="206">
        <f>'P &amp; NP'!PV489</f>
        <v>0</v>
      </c>
      <c r="BG12" s="206">
        <f>'P &amp; NP'!QK489</f>
        <v>0</v>
      </c>
      <c r="BH12" s="206">
        <f>'P &amp; NP'!QL489</f>
        <v>0</v>
      </c>
      <c r="BI12" s="206">
        <f>'P &amp; NP'!RA489</f>
        <v>0</v>
      </c>
      <c r="BJ12" s="206">
        <f>'P &amp; NP'!RB489</f>
        <v>0</v>
      </c>
      <c r="BK12" s="206">
        <f>'P &amp; NP'!RQ489</f>
        <v>0</v>
      </c>
      <c r="BL12" s="206">
        <f>'P &amp; NP'!RR489</f>
        <v>0</v>
      </c>
      <c r="BM12" s="206">
        <f>'P &amp; NP'!SG489</f>
        <v>0</v>
      </c>
      <c r="BN12" s="206">
        <f>'P &amp; NP'!SH489</f>
        <v>0</v>
      </c>
      <c r="BO12" s="206">
        <f>'P &amp; NP'!SW489</f>
        <v>0</v>
      </c>
      <c r="BP12" s="206">
        <f>'P &amp; NP'!SX489</f>
        <v>0</v>
      </c>
      <c r="BQ12" s="206">
        <f>'P &amp; NP'!TM489</f>
        <v>0</v>
      </c>
      <c r="BR12" s="206">
        <f>'P &amp; NP'!TN489</f>
        <v>0</v>
      </c>
      <c r="BS12" s="206">
        <f>'P &amp; NP'!UC489</f>
        <v>0</v>
      </c>
      <c r="BT12" s="206">
        <f>'P &amp; NP'!UD489</f>
        <v>0</v>
      </c>
      <c r="BU12" s="206">
        <f>'P &amp; NP'!US489</f>
        <v>0</v>
      </c>
      <c r="BV12" s="206">
        <f>'P &amp; NP'!UT489</f>
        <v>0</v>
      </c>
      <c r="BW12" s="206">
        <f>'P &amp; NP'!VI489</f>
        <v>0</v>
      </c>
      <c r="BX12" s="206">
        <f>'P &amp; NP'!VJ489</f>
        <v>0</v>
      </c>
      <c r="BY12" s="206">
        <f>'P &amp; NP'!VY489</f>
        <v>0</v>
      </c>
      <c r="BZ12" s="206">
        <f>'P &amp; NP'!VZ489</f>
        <v>0</v>
      </c>
      <c r="CB12" s="206">
        <f t="shared" si="3"/>
        <v>0</v>
      </c>
      <c r="CC12" s="206">
        <f t="shared" si="4"/>
        <v>0</v>
      </c>
    </row>
    <row r="13" spans="1:81">
      <c r="B13" s="207" t="str">
        <f>'P &amp; NP'!B19</f>
        <v xml:space="preserve">Gracilaria verrucosa </v>
      </c>
      <c r="C13" s="206">
        <f>'P &amp; NP'!E490</f>
        <v>0</v>
      </c>
      <c r="D13" s="206">
        <f>'P &amp; NP'!F490</f>
        <v>0</v>
      </c>
      <c r="E13" s="206">
        <f>'P &amp; NP'!U490</f>
        <v>0</v>
      </c>
      <c r="F13" s="206">
        <f>'P &amp; NP'!V490</f>
        <v>0</v>
      </c>
      <c r="G13" s="206">
        <f>'P &amp; NP'!AK490</f>
        <v>0</v>
      </c>
      <c r="H13" s="206">
        <f>'P &amp; NP'!AL490</f>
        <v>0</v>
      </c>
      <c r="I13" s="206">
        <f>'P &amp; NP'!BA490</f>
        <v>0</v>
      </c>
      <c r="J13" s="206">
        <f>'P &amp; NP'!BB490</f>
        <v>0</v>
      </c>
      <c r="K13" s="206">
        <f>'P &amp; NP'!BQ490</f>
        <v>0</v>
      </c>
      <c r="L13" s="206">
        <f>'P &amp; NP'!BR490</f>
        <v>0</v>
      </c>
      <c r="M13" s="206">
        <f>'P &amp; NP'!CG490</f>
        <v>4242224.0781143801</v>
      </c>
      <c r="N13" s="206">
        <f>'P &amp; NP'!CH490</f>
        <v>12822727.592139456</v>
      </c>
      <c r="O13" s="206">
        <f>'P &amp; NP'!CW490</f>
        <v>0</v>
      </c>
      <c r="P13" s="206">
        <f>'P &amp; NP'!CX490</f>
        <v>0</v>
      </c>
      <c r="Q13" s="206">
        <f>'P &amp; NP'!DM490</f>
        <v>0</v>
      </c>
      <c r="R13" s="206">
        <f>'P &amp; NP'!DN490</f>
        <v>0</v>
      </c>
      <c r="S13" s="206">
        <f>'P &amp; NP'!EC490</f>
        <v>0</v>
      </c>
      <c r="T13" s="206">
        <f>'P &amp; NP'!ED490</f>
        <v>0</v>
      </c>
      <c r="U13" s="206">
        <f>'P &amp; NP'!ES490</f>
        <v>0</v>
      </c>
      <c r="V13" s="206">
        <f>'P &amp; NP'!ET490</f>
        <v>0</v>
      </c>
      <c r="W13" s="206">
        <f>'P &amp; NP'!FI490</f>
        <v>0</v>
      </c>
      <c r="X13" s="206">
        <f>'P &amp; NP'!FJ490</f>
        <v>0</v>
      </c>
      <c r="Y13" s="206">
        <f>'P &amp; NP'!FY490</f>
        <v>0</v>
      </c>
      <c r="Z13" s="206">
        <f>'P &amp; NP'!FZ490</f>
        <v>0</v>
      </c>
      <c r="AA13" s="206">
        <f>'P &amp; NP'!GO490</f>
        <v>0</v>
      </c>
      <c r="AB13" s="206">
        <f>'P &amp; NP'!GP490</f>
        <v>0</v>
      </c>
      <c r="AC13" s="206">
        <f>'P &amp; NP'!HE490</f>
        <v>0</v>
      </c>
      <c r="AD13" s="206">
        <f>'P &amp; NP'!HF490</f>
        <v>0</v>
      </c>
      <c r="AE13" s="206">
        <f>'P &amp; NP'!HU490</f>
        <v>0</v>
      </c>
      <c r="AF13" s="206">
        <f>'P &amp; NP'!HV490</f>
        <v>0</v>
      </c>
      <c r="AG13" s="206">
        <f>'P &amp; NP'!IK490</f>
        <v>0</v>
      </c>
      <c r="AH13" s="206">
        <f>'P &amp; NP'!IL490</f>
        <v>0</v>
      </c>
      <c r="AI13" s="206">
        <f>'P &amp; NP'!JA490</f>
        <v>0</v>
      </c>
      <c r="AJ13" s="206">
        <f>'P &amp; NP'!JB490</f>
        <v>0</v>
      </c>
      <c r="AK13" s="206">
        <f>'P &amp; NP'!JQ490</f>
        <v>0</v>
      </c>
      <c r="AL13" s="206">
        <f>'P &amp; NP'!JR490</f>
        <v>0</v>
      </c>
      <c r="AM13" s="206">
        <f>'P &amp; NP'!KG490</f>
        <v>0</v>
      </c>
      <c r="AN13" s="206">
        <f>'P &amp; NP'!KH490</f>
        <v>0</v>
      </c>
      <c r="AO13" s="206">
        <f>'P &amp; NP'!KW490</f>
        <v>3173310.86</v>
      </c>
      <c r="AP13" s="206">
        <f>'P &amp; NP'!KX490</f>
        <v>4759959</v>
      </c>
      <c r="AQ13" s="206">
        <f>'P &amp; NP'!LM490</f>
        <v>0</v>
      </c>
      <c r="AR13" s="206">
        <f>'P &amp; NP'!LN490</f>
        <v>0</v>
      </c>
      <c r="AS13" s="206">
        <f>'P &amp; NP'!MC490</f>
        <v>0</v>
      </c>
      <c r="AT13" s="206">
        <f>'P &amp; NP'!MD490</f>
        <v>0</v>
      </c>
      <c r="AU13" s="206">
        <f>'P &amp; NP'!MS490</f>
        <v>20000</v>
      </c>
      <c r="AV13" s="206">
        <f>'P &amp; NP'!MT490</f>
        <v>70000</v>
      </c>
      <c r="AW13" s="206">
        <f>'P &amp; NP'!NI490</f>
        <v>13977800</v>
      </c>
      <c r="AX13" s="206">
        <f>'P &amp; NP'!NJ490</f>
        <v>32148940</v>
      </c>
      <c r="AY13" s="206">
        <f>'P &amp; NP'!NY490</f>
        <v>124517</v>
      </c>
      <c r="AZ13" s="206">
        <f>'P &amp; NP'!NZ490</f>
        <v>373551</v>
      </c>
      <c r="BA13" s="206">
        <f>'P &amp; NP'!OO490</f>
        <v>0</v>
      </c>
      <c r="BB13" s="206">
        <f>'P &amp; NP'!OP490</f>
        <v>0</v>
      </c>
      <c r="BC13" s="206">
        <f>'P &amp; NP'!PE490</f>
        <v>26950</v>
      </c>
      <c r="BD13" s="206">
        <f>'P &amp; NP'!PF490</f>
        <v>606382</v>
      </c>
      <c r="BE13" s="206">
        <f>'P &amp; NP'!PU490</f>
        <v>0</v>
      </c>
      <c r="BF13" s="206">
        <f>'P &amp; NP'!PV490</f>
        <v>0</v>
      </c>
      <c r="BG13" s="206">
        <f>'P &amp; NP'!QK490</f>
        <v>0</v>
      </c>
      <c r="BH13" s="206">
        <f>'P &amp; NP'!QL490</f>
        <v>0</v>
      </c>
      <c r="BI13" s="206">
        <f>'P &amp; NP'!RA490</f>
        <v>0</v>
      </c>
      <c r="BJ13" s="206">
        <f>'P &amp; NP'!RB490</f>
        <v>0</v>
      </c>
      <c r="BK13" s="206">
        <f>'P &amp; NP'!RQ490</f>
        <v>0</v>
      </c>
      <c r="BL13" s="206">
        <f>'P &amp; NP'!RR490</f>
        <v>0</v>
      </c>
      <c r="BM13" s="206">
        <f>'P &amp; NP'!SG490</f>
        <v>0</v>
      </c>
      <c r="BN13" s="206">
        <f>'P &amp; NP'!SH490</f>
        <v>0</v>
      </c>
      <c r="BO13" s="206">
        <f>'P &amp; NP'!SW490</f>
        <v>0</v>
      </c>
      <c r="BP13" s="206">
        <f>'P &amp; NP'!SX490</f>
        <v>0</v>
      </c>
      <c r="BQ13" s="206">
        <f>'P &amp; NP'!TM490</f>
        <v>0</v>
      </c>
      <c r="BR13" s="206">
        <f>'P &amp; NP'!TN490</f>
        <v>0</v>
      </c>
      <c r="BS13" s="206">
        <f>'P &amp; NP'!UC490</f>
        <v>0</v>
      </c>
      <c r="BT13" s="206">
        <f>'P &amp; NP'!UD490</f>
        <v>0</v>
      </c>
      <c r="BU13" s="206">
        <f>'P &amp; NP'!US490</f>
        <v>1445900</v>
      </c>
      <c r="BV13" s="206">
        <f>'P &amp; NP'!UT490</f>
        <v>1022420</v>
      </c>
      <c r="BW13" s="206">
        <f>'P &amp; NP'!VI490</f>
        <v>0</v>
      </c>
      <c r="BX13" s="206">
        <f>'P &amp; NP'!VJ490</f>
        <v>0</v>
      </c>
      <c r="BY13" s="206">
        <f>'P &amp; NP'!VY490</f>
        <v>0</v>
      </c>
      <c r="BZ13" s="206">
        <f>'P &amp; NP'!VZ490</f>
        <v>0</v>
      </c>
      <c r="CB13" s="206">
        <f t="shared" si="3"/>
        <v>23010701.938114382</v>
      </c>
      <c r="CC13" s="206">
        <f t="shared" si="4"/>
        <v>51803979.592139453</v>
      </c>
    </row>
    <row r="14" spans="1:81">
      <c r="B14" s="207" t="str">
        <f>'P &amp; NP'!B20</f>
        <v xml:space="preserve">Gurame, Gurami </v>
      </c>
      <c r="C14" s="206">
        <f>'P &amp; NP'!E491</f>
        <v>0</v>
      </c>
      <c r="D14" s="206">
        <f>'P &amp; NP'!F491</f>
        <v>0</v>
      </c>
      <c r="E14" s="206">
        <f>'P &amp; NP'!U491</f>
        <v>0</v>
      </c>
      <c r="F14" s="206">
        <f>'P &amp; NP'!V491</f>
        <v>0</v>
      </c>
      <c r="G14" s="206">
        <f>'P &amp; NP'!AK491</f>
        <v>0</v>
      </c>
      <c r="H14" s="206">
        <f>'P &amp; NP'!AL491</f>
        <v>0</v>
      </c>
      <c r="I14" s="206">
        <f>'P &amp; NP'!BA491</f>
        <v>0</v>
      </c>
      <c r="J14" s="206">
        <f>'P &amp; NP'!BB491</f>
        <v>0</v>
      </c>
      <c r="K14" s="206">
        <f>'P &amp; NP'!BQ491</f>
        <v>0</v>
      </c>
      <c r="L14" s="206">
        <f>'P &amp; NP'!BR491</f>
        <v>0</v>
      </c>
      <c r="M14" s="206">
        <f>'P &amp; NP'!CG491</f>
        <v>0</v>
      </c>
      <c r="N14" s="206">
        <f>'P &amp; NP'!CH491</f>
        <v>0</v>
      </c>
      <c r="O14" s="206">
        <f>'P &amp; NP'!CW491</f>
        <v>0</v>
      </c>
      <c r="P14" s="206">
        <f>'P &amp; NP'!CX491</f>
        <v>0</v>
      </c>
      <c r="Q14" s="206">
        <f>'P &amp; NP'!DM491</f>
        <v>0</v>
      </c>
      <c r="R14" s="206">
        <f>'P &amp; NP'!DN491</f>
        <v>0</v>
      </c>
      <c r="S14" s="206">
        <f>'P &amp; NP'!EC491</f>
        <v>0</v>
      </c>
      <c r="T14" s="206">
        <f>'P &amp; NP'!ED491</f>
        <v>0</v>
      </c>
      <c r="U14" s="206">
        <f>'P &amp; NP'!ES491</f>
        <v>0</v>
      </c>
      <c r="V14" s="206">
        <f>'P &amp; NP'!ET491</f>
        <v>0</v>
      </c>
      <c r="W14" s="206">
        <f>'P &amp; NP'!FI491</f>
        <v>0</v>
      </c>
      <c r="X14" s="206">
        <f>'P &amp; NP'!FJ491</f>
        <v>0</v>
      </c>
      <c r="Y14" s="206">
        <f>'P &amp; NP'!FY491</f>
        <v>0</v>
      </c>
      <c r="Z14" s="206">
        <f>'P &amp; NP'!FZ491</f>
        <v>0</v>
      </c>
      <c r="AA14" s="206">
        <f>'P &amp; NP'!GO491</f>
        <v>0</v>
      </c>
      <c r="AB14" s="206">
        <f>'P &amp; NP'!GP491</f>
        <v>0</v>
      </c>
      <c r="AC14" s="206">
        <f>'P &amp; NP'!HE491</f>
        <v>0</v>
      </c>
      <c r="AD14" s="206">
        <f>'P &amp; NP'!HF491</f>
        <v>0</v>
      </c>
      <c r="AE14" s="206">
        <f>'P &amp; NP'!HU491</f>
        <v>0</v>
      </c>
      <c r="AF14" s="206">
        <f>'P &amp; NP'!HV491</f>
        <v>0</v>
      </c>
      <c r="AG14" s="206">
        <f>'P &amp; NP'!IK491</f>
        <v>0</v>
      </c>
      <c r="AH14" s="206">
        <f>'P &amp; NP'!IL491</f>
        <v>0</v>
      </c>
      <c r="AI14" s="206">
        <f>'P &amp; NP'!JA491</f>
        <v>0</v>
      </c>
      <c r="AJ14" s="206">
        <f>'P &amp; NP'!JB491</f>
        <v>0</v>
      </c>
      <c r="AK14" s="206">
        <f>'P &amp; NP'!JQ491</f>
        <v>0</v>
      </c>
      <c r="AL14" s="206">
        <f>'P &amp; NP'!JR491</f>
        <v>0</v>
      </c>
      <c r="AM14" s="206">
        <f>'P &amp; NP'!KG491</f>
        <v>0</v>
      </c>
      <c r="AN14" s="206">
        <f>'P &amp; NP'!KH491</f>
        <v>0</v>
      </c>
      <c r="AO14" s="206">
        <f>'P &amp; NP'!KW491</f>
        <v>0</v>
      </c>
      <c r="AP14" s="206">
        <f>'P &amp; NP'!KX491</f>
        <v>0</v>
      </c>
      <c r="AQ14" s="206">
        <f>'P &amp; NP'!LM491</f>
        <v>0</v>
      </c>
      <c r="AR14" s="206">
        <f>'P &amp; NP'!LN491</f>
        <v>0</v>
      </c>
      <c r="AS14" s="206">
        <f>'P &amp; NP'!MC491</f>
        <v>0</v>
      </c>
      <c r="AT14" s="206">
        <f>'P &amp; NP'!MD491</f>
        <v>0</v>
      </c>
      <c r="AU14" s="206">
        <f>'P &amp; NP'!MS491</f>
        <v>0</v>
      </c>
      <c r="AV14" s="206">
        <f>'P &amp; NP'!MT491</f>
        <v>0</v>
      </c>
      <c r="AW14" s="206">
        <f>'P &amp; NP'!NI491</f>
        <v>0</v>
      </c>
      <c r="AX14" s="206">
        <f>'P &amp; NP'!NJ491</f>
        <v>0</v>
      </c>
      <c r="AY14" s="206">
        <f>'P &amp; NP'!NY491</f>
        <v>0</v>
      </c>
      <c r="AZ14" s="206">
        <f>'P &amp; NP'!NZ491</f>
        <v>0</v>
      </c>
      <c r="BA14" s="206">
        <f>'P &amp; NP'!OO491</f>
        <v>0</v>
      </c>
      <c r="BB14" s="206">
        <f>'P &amp; NP'!OP491</f>
        <v>0</v>
      </c>
      <c r="BC14" s="206">
        <f>'P &amp; NP'!PE491</f>
        <v>0</v>
      </c>
      <c r="BD14" s="206">
        <f>'P &amp; NP'!PF491</f>
        <v>0</v>
      </c>
      <c r="BE14" s="206">
        <f>'P &amp; NP'!PU491</f>
        <v>0</v>
      </c>
      <c r="BF14" s="206">
        <f>'P &amp; NP'!PV491</f>
        <v>0</v>
      </c>
      <c r="BG14" s="206">
        <f>'P &amp; NP'!QK491</f>
        <v>0</v>
      </c>
      <c r="BH14" s="206">
        <f>'P &amp; NP'!QL491</f>
        <v>0</v>
      </c>
      <c r="BI14" s="206">
        <f>'P &amp; NP'!RA491</f>
        <v>0</v>
      </c>
      <c r="BJ14" s="206">
        <f>'P &amp; NP'!RB491</f>
        <v>0</v>
      </c>
      <c r="BK14" s="206">
        <f>'P &amp; NP'!RQ491</f>
        <v>0</v>
      </c>
      <c r="BL14" s="206">
        <f>'P &amp; NP'!RR491</f>
        <v>0</v>
      </c>
      <c r="BM14" s="206">
        <f>'P &amp; NP'!SG491</f>
        <v>0</v>
      </c>
      <c r="BN14" s="206">
        <f>'P &amp; NP'!SH491</f>
        <v>0</v>
      </c>
      <c r="BO14" s="206">
        <f>'P &amp; NP'!SW491</f>
        <v>0</v>
      </c>
      <c r="BP14" s="206">
        <f>'P &amp; NP'!SX491</f>
        <v>0</v>
      </c>
      <c r="BQ14" s="206">
        <f>'P &amp; NP'!TM491</f>
        <v>0</v>
      </c>
      <c r="BR14" s="206">
        <f>'P &amp; NP'!TN491</f>
        <v>0</v>
      </c>
      <c r="BS14" s="206">
        <f>'P &amp; NP'!UC491</f>
        <v>0</v>
      </c>
      <c r="BT14" s="206">
        <f>'P &amp; NP'!UD491</f>
        <v>0</v>
      </c>
      <c r="BU14" s="206">
        <f>'P &amp; NP'!US491</f>
        <v>0</v>
      </c>
      <c r="BV14" s="206">
        <f>'P &amp; NP'!UT491</f>
        <v>0</v>
      </c>
      <c r="BW14" s="206">
        <f>'P &amp; NP'!VI491</f>
        <v>0</v>
      </c>
      <c r="BX14" s="206">
        <f>'P &amp; NP'!VJ491</f>
        <v>0</v>
      </c>
      <c r="BY14" s="206">
        <f>'P &amp; NP'!VY491</f>
        <v>0</v>
      </c>
      <c r="BZ14" s="206">
        <f>'P &amp; NP'!VZ491</f>
        <v>0</v>
      </c>
      <c r="CB14" s="206">
        <f t="shared" si="3"/>
        <v>0</v>
      </c>
      <c r="CC14" s="206">
        <f t="shared" si="4"/>
        <v>0</v>
      </c>
    </row>
    <row r="15" spans="1:81">
      <c r="B15" s="207" t="str">
        <f>'P &amp; NP'!B21</f>
        <v>Kakap Putih</v>
      </c>
      <c r="C15" s="206">
        <f>'P &amp; NP'!E492</f>
        <v>1433700</v>
      </c>
      <c r="D15" s="206">
        <f>'P &amp; NP'!F492</f>
        <v>89179500</v>
      </c>
      <c r="E15" s="206">
        <f>'P &amp; NP'!U492</f>
        <v>181745</v>
      </c>
      <c r="F15" s="206">
        <f>'P &amp; NP'!V492</f>
        <v>12957675</v>
      </c>
      <c r="G15" s="206">
        <f>'P &amp; NP'!AK492</f>
        <v>0</v>
      </c>
      <c r="H15" s="206">
        <f>'P &amp; NP'!AL492</f>
        <v>0</v>
      </c>
      <c r="I15" s="206">
        <f>'P &amp; NP'!BA492</f>
        <v>0</v>
      </c>
      <c r="J15" s="206">
        <f>'P &amp; NP'!BB492</f>
        <v>0</v>
      </c>
      <c r="K15" s="206">
        <f>'P &amp; NP'!BQ492</f>
        <v>0</v>
      </c>
      <c r="L15" s="206">
        <f>'P &amp; NP'!BR492</f>
        <v>0</v>
      </c>
      <c r="M15" s="206">
        <f>'P &amp; NP'!CG492</f>
        <v>33060.175863355456</v>
      </c>
      <c r="N15" s="206">
        <f>'P &amp; NP'!CH492</f>
        <v>1036116.8654661704</v>
      </c>
      <c r="O15" s="206">
        <f>'P &amp; NP'!CW492</f>
        <v>0</v>
      </c>
      <c r="P15" s="206">
        <f>'P &amp; NP'!CX492</f>
        <v>0</v>
      </c>
      <c r="Q15" s="206">
        <f>'P &amp; NP'!DM492</f>
        <v>0</v>
      </c>
      <c r="R15" s="206">
        <f>'P &amp; NP'!DN492</f>
        <v>0</v>
      </c>
      <c r="S15" s="206">
        <f>'P &amp; NP'!EC492</f>
        <v>0</v>
      </c>
      <c r="T15" s="206">
        <f>'P &amp; NP'!ED492</f>
        <v>0</v>
      </c>
      <c r="U15" s="206">
        <f>'P &amp; NP'!ES492</f>
        <v>0</v>
      </c>
      <c r="V15" s="206">
        <f>'P &amp; NP'!ET492</f>
        <v>0</v>
      </c>
      <c r="W15" s="206">
        <f>'P &amp; NP'!FI492</f>
        <v>0</v>
      </c>
      <c r="X15" s="206">
        <f>'P &amp; NP'!FJ492</f>
        <v>0</v>
      </c>
      <c r="Y15" s="206">
        <f>'P &amp; NP'!FY492</f>
        <v>0</v>
      </c>
      <c r="Z15" s="206">
        <f>'P &amp; NP'!FZ492</f>
        <v>0</v>
      </c>
      <c r="AA15" s="206">
        <f>'P &amp; NP'!GO492</f>
        <v>0</v>
      </c>
      <c r="AB15" s="206">
        <f>'P &amp; NP'!GP492</f>
        <v>0</v>
      </c>
      <c r="AC15" s="206">
        <f>'P &amp; NP'!HE492</f>
        <v>0</v>
      </c>
      <c r="AD15" s="206">
        <f>'P &amp; NP'!HF492</f>
        <v>0</v>
      </c>
      <c r="AE15" s="206">
        <f>'P &amp; NP'!HU492</f>
        <v>0</v>
      </c>
      <c r="AF15" s="206">
        <f>'P &amp; NP'!HV492</f>
        <v>0</v>
      </c>
      <c r="AG15" s="206">
        <f>'P &amp; NP'!IK492</f>
        <v>0</v>
      </c>
      <c r="AH15" s="206">
        <f>'P &amp; NP'!IL492</f>
        <v>0</v>
      </c>
      <c r="AI15" s="206">
        <f>'P &amp; NP'!JA492</f>
        <v>0</v>
      </c>
      <c r="AJ15" s="206">
        <f>'P &amp; NP'!JB492</f>
        <v>0</v>
      </c>
      <c r="AK15" s="206">
        <f>'P &amp; NP'!JQ492</f>
        <v>0</v>
      </c>
      <c r="AL15" s="206">
        <f>'P &amp; NP'!JR492</f>
        <v>0</v>
      </c>
      <c r="AM15" s="206">
        <f>'P &amp; NP'!KG492</f>
        <v>0</v>
      </c>
      <c r="AN15" s="206">
        <f>'P &amp; NP'!KH492</f>
        <v>0</v>
      </c>
      <c r="AO15" s="206">
        <f>'P &amp; NP'!KW492</f>
        <v>0</v>
      </c>
      <c r="AP15" s="206">
        <f>'P &amp; NP'!KX492</f>
        <v>0</v>
      </c>
      <c r="AQ15" s="206">
        <f>'P &amp; NP'!LM492</f>
        <v>0</v>
      </c>
      <c r="AR15" s="206">
        <f>'P &amp; NP'!LN492</f>
        <v>0</v>
      </c>
      <c r="AS15" s="206">
        <f>'P &amp; NP'!MC492</f>
        <v>0</v>
      </c>
      <c r="AT15" s="206">
        <f>'P &amp; NP'!MD492</f>
        <v>0</v>
      </c>
      <c r="AU15" s="206">
        <f>'P &amp; NP'!MS492</f>
        <v>2930</v>
      </c>
      <c r="AV15" s="206">
        <f>'P &amp; NP'!MT492</f>
        <v>87900</v>
      </c>
      <c r="AW15" s="206">
        <f>'P &amp; NP'!NI492</f>
        <v>70556</v>
      </c>
      <c r="AX15" s="206">
        <f>'P &amp; NP'!NJ492</f>
        <v>2469460</v>
      </c>
      <c r="AY15" s="206">
        <f>'P &amp; NP'!NY492</f>
        <v>54313</v>
      </c>
      <c r="AZ15" s="206">
        <f>'P &amp; NP'!NZ492</f>
        <v>3380335</v>
      </c>
      <c r="BA15" s="206">
        <f>'P &amp; NP'!OO492</f>
        <v>0</v>
      </c>
      <c r="BB15" s="206">
        <f>'P &amp; NP'!OP492</f>
        <v>0</v>
      </c>
      <c r="BC15" s="206">
        <f>'P &amp; NP'!PE492</f>
        <v>0</v>
      </c>
      <c r="BD15" s="206">
        <f>'P &amp; NP'!PF492</f>
        <v>0</v>
      </c>
      <c r="BE15" s="206">
        <f>'P &amp; NP'!PU492</f>
        <v>35400</v>
      </c>
      <c r="BF15" s="206">
        <f>'P &amp; NP'!PV492</f>
        <v>1476070</v>
      </c>
      <c r="BG15" s="206">
        <f>'P &amp; NP'!QK492</f>
        <v>0</v>
      </c>
      <c r="BH15" s="206">
        <f>'P &amp; NP'!QL492</f>
        <v>0</v>
      </c>
      <c r="BI15" s="206">
        <f>'P &amp; NP'!RA492</f>
        <v>0</v>
      </c>
      <c r="BJ15" s="206">
        <f>'P &amp; NP'!RB492</f>
        <v>0</v>
      </c>
      <c r="BK15" s="206">
        <f>'P &amp; NP'!RQ492</f>
        <v>0</v>
      </c>
      <c r="BL15" s="206">
        <f>'P &amp; NP'!RR492</f>
        <v>0</v>
      </c>
      <c r="BM15" s="206">
        <f>'P &amp; NP'!SG492</f>
        <v>0</v>
      </c>
      <c r="BN15" s="206">
        <f>'P &amp; NP'!SH492</f>
        <v>0</v>
      </c>
      <c r="BO15" s="206">
        <f>'P &amp; NP'!SW492</f>
        <v>0</v>
      </c>
      <c r="BP15" s="206">
        <f>'P &amp; NP'!SX492</f>
        <v>0</v>
      </c>
      <c r="BQ15" s="206">
        <f>'P &amp; NP'!TM492</f>
        <v>0</v>
      </c>
      <c r="BR15" s="206">
        <f>'P &amp; NP'!TN492</f>
        <v>0</v>
      </c>
      <c r="BS15" s="206">
        <f>'P &amp; NP'!UC492</f>
        <v>0</v>
      </c>
      <c r="BT15" s="206">
        <f>'P &amp; NP'!UD492</f>
        <v>0</v>
      </c>
      <c r="BU15" s="206">
        <f>'P &amp; NP'!US492</f>
        <v>0</v>
      </c>
      <c r="BV15" s="206">
        <f>'P &amp; NP'!UT492</f>
        <v>0</v>
      </c>
      <c r="BW15" s="206">
        <f>'P &amp; NP'!VI492</f>
        <v>328.9</v>
      </c>
      <c r="BX15" s="206">
        <f>'P &amp; NP'!VJ492</f>
        <v>13156</v>
      </c>
      <c r="BY15" s="206">
        <f>'P &amp; NP'!VY492</f>
        <v>0</v>
      </c>
      <c r="BZ15" s="206">
        <f>'P &amp; NP'!VZ492</f>
        <v>0</v>
      </c>
      <c r="CB15" s="206">
        <f t="shared" si="3"/>
        <v>1812033.0758633553</v>
      </c>
      <c r="CC15" s="206">
        <f t="shared" si="4"/>
        <v>110600212.86546618</v>
      </c>
    </row>
    <row r="16" spans="1:81">
      <c r="B16" s="207" t="str">
        <f>'P &amp; NP'!B22</f>
        <v>Kepiting  Bakau</v>
      </c>
      <c r="C16" s="206">
        <f>'P &amp; NP'!E493</f>
        <v>8800</v>
      </c>
      <c r="D16" s="206">
        <f>'P &amp; NP'!F493</f>
        <v>880000</v>
      </c>
      <c r="E16" s="206">
        <f>'P &amp; NP'!U493</f>
        <v>56645</v>
      </c>
      <c r="F16" s="206">
        <f>'P &amp; NP'!V493</f>
        <v>3518700</v>
      </c>
      <c r="G16" s="206">
        <f>'P &amp; NP'!AK493</f>
        <v>0</v>
      </c>
      <c r="H16" s="206">
        <f>'P &amp; NP'!AL493</f>
        <v>0</v>
      </c>
      <c r="I16" s="206">
        <f>'P &amp; NP'!BA493</f>
        <v>0</v>
      </c>
      <c r="J16" s="206">
        <f>'P &amp; NP'!BB493</f>
        <v>0</v>
      </c>
      <c r="K16" s="206">
        <f>'P &amp; NP'!BQ493</f>
        <v>0</v>
      </c>
      <c r="L16" s="206">
        <f>'P &amp; NP'!BR493</f>
        <v>0</v>
      </c>
      <c r="M16" s="206">
        <f>'P &amp; NP'!CG493</f>
        <v>345628.26853126398</v>
      </c>
      <c r="N16" s="206">
        <f>'P &amp; NP'!CH493</f>
        <v>16611740.250673776</v>
      </c>
      <c r="O16" s="206">
        <f>'P &amp; NP'!CW493</f>
        <v>0</v>
      </c>
      <c r="P16" s="206">
        <f>'P &amp; NP'!CX493</f>
        <v>0</v>
      </c>
      <c r="Q16" s="206">
        <f>'P &amp; NP'!DM493</f>
        <v>0</v>
      </c>
      <c r="R16" s="206">
        <f>'P &amp; NP'!DN493</f>
        <v>0</v>
      </c>
      <c r="S16" s="206">
        <f>'P &amp; NP'!EC493</f>
        <v>0</v>
      </c>
      <c r="T16" s="206">
        <f>'P &amp; NP'!ED493</f>
        <v>0</v>
      </c>
      <c r="U16" s="206">
        <f>'P &amp; NP'!ES493</f>
        <v>0</v>
      </c>
      <c r="V16" s="206">
        <f>'P &amp; NP'!ET493</f>
        <v>0</v>
      </c>
      <c r="W16" s="206">
        <f>'P &amp; NP'!FI493</f>
        <v>0</v>
      </c>
      <c r="X16" s="206">
        <f>'P &amp; NP'!FJ493</f>
        <v>0</v>
      </c>
      <c r="Y16" s="206">
        <f>'P &amp; NP'!FY493</f>
        <v>0</v>
      </c>
      <c r="Z16" s="206">
        <f>'P &amp; NP'!FZ493</f>
        <v>0</v>
      </c>
      <c r="AA16" s="206">
        <f>'P &amp; NP'!GO493</f>
        <v>0</v>
      </c>
      <c r="AB16" s="206">
        <f>'P &amp; NP'!GP493</f>
        <v>0</v>
      </c>
      <c r="AC16" s="206">
        <f>'P &amp; NP'!HE493</f>
        <v>0</v>
      </c>
      <c r="AD16" s="206">
        <f>'P &amp; NP'!HF493</f>
        <v>0</v>
      </c>
      <c r="AE16" s="206">
        <f>'P &amp; NP'!HU493</f>
        <v>0</v>
      </c>
      <c r="AF16" s="206">
        <f>'P &amp; NP'!HV493</f>
        <v>0</v>
      </c>
      <c r="AG16" s="206">
        <f>'P &amp; NP'!IK493</f>
        <v>0</v>
      </c>
      <c r="AH16" s="206">
        <f>'P &amp; NP'!IL493</f>
        <v>0</v>
      </c>
      <c r="AI16" s="206">
        <f>'P &amp; NP'!JA493</f>
        <v>0</v>
      </c>
      <c r="AJ16" s="206">
        <f>'P &amp; NP'!JB493</f>
        <v>0</v>
      </c>
      <c r="AK16" s="206">
        <f>'P &amp; NP'!JQ493</f>
        <v>601</v>
      </c>
      <c r="AL16" s="206">
        <f>'P &amp; NP'!JR493</f>
        <v>108180</v>
      </c>
      <c r="AM16" s="206">
        <f>'P &amp; NP'!KG493</f>
        <v>0</v>
      </c>
      <c r="AN16" s="206">
        <f>'P &amp; NP'!KH493</f>
        <v>0</v>
      </c>
      <c r="AO16" s="206">
        <f>'P &amp; NP'!KW493</f>
        <v>0</v>
      </c>
      <c r="AP16" s="206">
        <f>'P &amp; NP'!KX493</f>
        <v>0</v>
      </c>
      <c r="AQ16" s="206">
        <f>'P &amp; NP'!LM493</f>
        <v>0</v>
      </c>
      <c r="AR16" s="206">
        <f>'P &amp; NP'!LN493</f>
        <v>0</v>
      </c>
      <c r="AS16" s="206">
        <f>'P &amp; NP'!MC493</f>
        <v>71670</v>
      </c>
      <c r="AT16" s="206">
        <f>'P &amp; NP'!MD493</f>
        <v>7167000</v>
      </c>
      <c r="AU16" s="206">
        <f>'P &amp; NP'!MS493</f>
        <v>470</v>
      </c>
      <c r="AV16" s="206">
        <f>'P &amp; NP'!MT493</f>
        <v>47000</v>
      </c>
      <c r="AW16" s="206">
        <f>'P &amp; NP'!NI493</f>
        <v>234600</v>
      </c>
      <c r="AX16" s="206">
        <f>'P &amp; NP'!NJ493</f>
        <v>9384000</v>
      </c>
      <c r="AY16" s="206">
        <f>'P &amp; NP'!NY493</f>
        <v>0</v>
      </c>
      <c r="AZ16" s="206">
        <f>'P &amp; NP'!NZ493</f>
        <v>0</v>
      </c>
      <c r="BA16" s="206">
        <f>'P &amp; NP'!OO493</f>
        <v>0</v>
      </c>
      <c r="BB16" s="206">
        <f>'P &amp; NP'!OP493</f>
        <v>0</v>
      </c>
      <c r="BC16" s="206">
        <f>'P &amp; NP'!PE493</f>
        <v>0</v>
      </c>
      <c r="BD16" s="206">
        <f>'P &amp; NP'!PF493</f>
        <v>0</v>
      </c>
      <c r="BE16" s="206">
        <f>'P &amp; NP'!PU493</f>
        <v>0</v>
      </c>
      <c r="BF16" s="206">
        <f>'P &amp; NP'!PV493</f>
        <v>0</v>
      </c>
      <c r="BG16" s="206">
        <f>'P &amp; NP'!QK493</f>
        <v>0</v>
      </c>
      <c r="BH16" s="206">
        <f>'P &amp; NP'!QL493</f>
        <v>0</v>
      </c>
      <c r="BI16" s="206">
        <f>'P &amp; NP'!RA493</f>
        <v>0</v>
      </c>
      <c r="BJ16" s="206">
        <f>'P &amp; NP'!RB493</f>
        <v>0</v>
      </c>
      <c r="BK16" s="206">
        <f>'P &amp; NP'!RQ493</f>
        <v>0</v>
      </c>
      <c r="BL16" s="206">
        <f>'P &amp; NP'!RR493</f>
        <v>0</v>
      </c>
      <c r="BM16" s="206">
        <f>'P &amp; NP'!SG493</f>
        <v>0</v>
      </c>
      <c r="BN16" s="206">
        <f>'P &amp; NP'!SH493</f>
        <v>0</v>
      </c>
      <c r="BO16" s="206">
        <f>'P &amp; NP'!SW493</f>
        <v>0</v>
      </c>
      <c r="BP16" s="206">
        <f>'P &amp; NP'!SX493</f>
        <v>0</v>
      </c>
      <c r="BQ16" s="206">
        <f>'P &amp; NP'!TM493</f>
        <v>0</v>
      </c>
      <c r="BR16" s="206">
        <f>'P &amp; NP'!TN493</f>
        <v>0</v>
      </c>
      <c r="BS16" s="206">
        <f>'P &amp; NP'!UC493</f>
        <v>0</v>
      </c>
      <c r="BT16" s="206">
        <f>'P &amp; NP'!UD493</f>
        <v>0</v>
      </c>
      <c r="BU16" s="206">
        <f>'P &amp; NP'!US493</f>
        <v>0</v>
      </c>
      <c r="BV16" s="206">
        <f>'P &amp; NP'!UT493</f>
        <v>0</v>
      </c>
      <c r="BW16" s="206">
        <f>'P &amp; NP'!VI493</f>
        <v>2879.7</v>
      </c>
      <c r="BX16" s="206">
        <f>'P &amp; NP'!VJ493</f>
        <v>172782</v>
      </c>
      <c r="BY16" s="206">
        <f>'P &amp; NP'!VY493</f>
        <v>0</v>
      </c>
      <c r="BZ16" s="206">
        <f>'P &amp; NP'!VZ493</f>
        <v>0</v>
      </c>
      <c r="CB16" s="206">
        <f t="shared" si="3"/>
        <v>721293.96853126399</v>
      </c>
      <c r="CC16" s="206">
        <f t="shared" si="4"/>
        <v>37889402.250673778</v>
      </c>
    </row>
    <row r="17" spans="2:81">
      <c r="B17" s="207" t="str">
        <f>'P &amp; NP'!B23</f>
        <v xml:space="preserve">Kerang Hijau </v>
      </c>
      <c r="C17" s="206">
        <f>'P &amp; NP'!E494</f>
        <v>0</v>
      </c>
      <c r="D17" s="206">
        <f>'P &amp; NP'!F494</f>
        <v>0</v>
      </c>
      <c r="E17" s="206">
        <f>'P &amp; NP'!U494</f>
        <v>0</v>
      </c>
      <c r="F17" s="206">
        <f>'P &amp; NP'!V494</f>
        <v>0</v>
      </c>
      <c r="G17" s="206">
        <f>'P &amp; NP'!AK494</f>
        <v>0</v>
      </c>
      <c r="H17" s="206">
        <f>'P &amp; NP'!AL494</f>
        <v>0</v>
      </c>
      <c r="I17" s="206">
        <f>'P &amp; NP'!BA494</f>
        <v>0</v>
      </c>
      <c r="J17" s="206">
        <f>'P &amp; NP'!BB494</f>
        <v>0</v>
      </c>
      <c r="K17" s="206">
        <f>'P &amp; NP'!BQ494</f>
        <v>0</v>
      </c>
      <c r="L17" s="206">
        <f>'P &amp; NP'!BR494</f>
        <v>0</v>
      </c>
      <c r="M17" s="206">
        <f>'P &amp; NP'!CG494</f>
        <v>0</v>
      </c>
      <c r="N17" s="206">
        <f>'P &amp; NP'!CH494</f>
        <v>0</v>
      </c>
      <c r="O17" s="206">
        <f>'P &amp; NP'!CW494</f>
        <v>0</v>
      </c>
      <c r="P17" s="206">
        <f>'P &amp; NP'!CX494</f>
        <v>0</v>
      </c>
      <c r="Q17" s="206">
        <f>'P &amp; NP'!DM494</f>
        <v>0</v>
      </c>
      <c r="R17" s="206">
        <f>'P &amp; NP'!DN494</f>
        <v>0</v>
      </c>
      <c r="S17" s="206">
        <f>'P &amp; NP'!EC494</f>
        <v>0</v>
      </c>
      <c r="T17" s="206">
        <f>'P &amp; NP'!ED494</f>
        <v>0</v>
      </c>
      <c r="U17" s="206">
        <f>'P &amp; NP'!ES494</f>
        <v>0</v>
      </c>
      <c r="V17" s="206">
        <f>'P &amp; NP'!ET494</f>
        <v>0</v>
      </c>
      <c r="W17" s="206">
        <f>'P &amp; NP'!FI494</f>
        <v>0</v>
      </c>
      <c r="X17" s="206">
        <f>'P &amp; NP'!FJ494</f>
        <v>0</v>
      </c>
      <c r="Y17" s="206">
        <f>'P &amp; NP'!FY494</f>
        <v>0</v>
      </c>
      <c r="Z17" s="206">
        <f>'P &amp; NP'!FZ494</f>
        <v>0</v>
      </c>
      <c r="AA17" s="206">
        <f>'P &amp; NP'!GO494</f>
        <v>0</v>
      </c>
      <c r="AB17" s="206">
        <f>'P &amp; NP'!GP494</f>
        <v>0</v>
      </c>
      <c r="AC17" s="206">
        <f>'P &amp; NP'!HE494</f>
        <v>0</v>
      </c>
      <c r="AD17" s="206">
        <f>'P &amp; NP'!HF494</f>
        <v>0</v>
      </c>
      <c r="AE17" s="206">
        <f>'P &amp; NP'!HU494</f>
        <v>0</v>
      </c>
      <c r="AF17" s="206">
        <f>'P &amp; NP'!HV494</f>
        <v>0</v>
      </c>
      <c r="AG17" s="206">
        <f>'P &amp; NP'!IK494</f>
        <v>0</v>
      </c>
      <c r="AH17" s="206">
        <f>'P &amp; NP'!IL494</f>
        <v>0</v>
      </c>
      <c r="AI17" s="206">
        <f>'P &amp; NP'!JA494</f>
        <v>0</v>
      </c>
      <c r="AJ17" s="206">
        <f>'P &amp; NP'!JB494</f>
        <v>0</v>
      </c>
      <c r="AK17" s="206">
        <f>'P &amp; NP'!JQ494</f>
        <v>0</v>
      </c>
      <c r="AL17" s="206">
        <f>'P &amp; NP'!JR494</f>
        <v>0</v>
      </c>
      <c r="AM17" s="206">
        <f>'P &amp; NP'!KG494</f>
        <v>0</v>
      </c>
      <c r="AN17" s="206">
        <f>'P &amp; NP'!KH494</f>
        <v>0</v>
      </c>
      <c r="AO17" s="206">
        <f>'P &amp; NP'!KW494</f>
        <v>0</v>
      </c>
      <c r="AP17" s="206">
        <f>'P &amp; NP'!KX494</f>
        <v>0</v>
      </c>
      <c r="AQ17" s="206">
        <f>'P &amp; NP'!LM494</f>
        <v>0</v>
      </c>
      <c r="AR17" s="206">
        <f>'P &amp; NP'!LN494</f>
        <v>0</v>
      </c>
      <c r="AS17" s="206">
        <f>'P &amp; NP'!MC494</f>
        <v>0</v>
      </c>
      <c r="AT17" s="206">
        <f>'P &amp; NP'!MD494</f>
        <v>0</v>
      </c>
      <c r="AU17" s="206">
        <f>'P &amp; NP'!MS494</f>
        <v>0</v>
      </c>
      <c r="AV17" s="206">
        <f>'P &amp; NP'!MT494</f>
        <v>0</v>
      </c>
      <c r="AW17" s="206">
        <f>'P &amp; NP'!NI494</f>
        <v>0</v>
      </c>
      <c r="AX17" s="206">
        <f>'P &amp; NP'!NJ494</f>
        <v>0</v>
      </c>
      <c r="AY17" s="206">
        <f>'P &amp; NP'!NY494</f>
        <v>0</v>
      </c>
      <c r="AZ17" s="206">
        <f>'P &amp; NP'!NZ494</f>
        <v>0</v>
      </c>
      <c r="BA17" s="206">
        <f>'P &amp; NP'!OO494</f>
        <v>0</v>
      </c>
      <c r="BB17" s="206">
        <f>'P &amp; NP'!OP494</f>
        <v>0</v>
      </c>
      <c r="BC17" s="206">
        <f>'P &amp; NP'!PE494</f>
        <v>0</v>
      </c>
      <c r="BD17" s="206">
        <f>'P &amp; NP'!PF494</f>
        <v>0</v>
      </c>
      <c r="BE17" s="206">
        <f>'P &amp; NP'!PU494</f>
        <v>0</v>
      </c>
      <c r="BF17" s="206">
        <f>'P &amp; NP'!PV494</f>
        <v>0</v>
      </c>
      <c r="BG17" s="206">
        <f>'P &amp; NP'!QK494</f>
        <v>0</v>
      </c>
      <c r="BH17" s="206">
        <f>'P &amp; NP'!QL494</f>
        <v>0</v>
      </c>
      <c r="BI17" s="206">
        <f>'P &amp; NP'!RA494</f>
        <v>0</v>
      </c>
      <c r="BJ17" s="206">
        <f>'P &amp; NP'!RB494</f>
        <v>0</v>
      </c>
      <c r="BK17" s="206">
        <f>'P &amp; NP'!RQ494</f>
        <v>0</v>
      </c>
      <c r="BL17" s="206">
        <f>'P &amp; NP'!RR494</f>
        <v>0</v>
      </c>
      <c r="BM17" s="206">
        <f>'P &amp; NP'!SG494</f>
        <v>0</v>
      </c>
      <c r="BN17" s="206">
        <f>'P &amp; NP'!SH494</f>
        <v>0</v>
      </c>
      <c r="BO17" s="206">
        <f>'P &amp; NP'!SW494</f>
        <v>0</v>
      </c>
      <c r="BP17" s="206">
        <f>'P &amp; NP'!SX494</f>
        <v>0</v>
      </c>
      <c r="BQ17" s="206">
        <f>'P &amp; NP'!TM494</f>
        <v>0</v>
      </c>
      <c r="BR17" s="206">
        <f>'P &amp; NP'!TN494</f>
        <v>0</v>
      </c>
      <c r="BS17" s="206">
        <f>'P &amp; NP'!UC494</f>
        <v>0</v>
      </c>
      <c r="BT17" s="206">
        <f>'P &amp; NP'!UD494</f>
        <v>0</v>
      </c>
      <c r="BU17" s="206">
        <f>'P &amp; NP'!US494</f>
        <v>0</v>
      </c>
      <c r="BV17" s="206">
        <f>'P &amp; NP'!UT494</f>
        <v>0</v>
      </c>
      <c r="BW17" s="206">
        <f>'P &amp; NP'!VI494</f>
        <v>0</v>
      </c>
      <c r="BX17" s="206">
        <f>'P &amp; NP'!VJ494</f>
        <v>0</v>
      </c>
      <c r="BY17" s="206">
        <f>'P &amp; NP'!VY494</f>
        <v>0</v>
      </c>
      <c r="BZ17" s="206">
        <f>'P &amp; NP'!VZ494</f>
        <v>0</v>
      </c>
      <c r="CB17" s="206">
        <f t="shared" si="3"/>
        <v>0</v>
      </c>
      <c r="CC17" s="206">
        <f t="shared" si="4"/>
        <v>0</v>
      </c>
    </row>
    <row r="18" spans="2:81">
      <c r="B18" s="207" t="str">
        <f>'P &amp; NP'!B24</f>
        <v>Kerapu Cantang</v>
      </c>
      <c r="C18" s="206">
        <f>'P &amp; NP'!E495</f>
        <v>0</v>
      </c>
      <c r="D18" s="206">
        <f>'P &amp; NP'!F495</f>
        <v>0</v>
      </c>
      <c r="E18" s="206">
        <f>'P &amp; NP'!U495</f>
        <v>43125</v>
      </c>
      <c r="F18" s="206">
        <f>'P &amp; NP'!V495</f>
        <v>3901525</v>
      </c>
      <c r="G18" s="206">
        <f>'P &amp; NP'!AK495</f>
        <v>0</v>
      </c>
      <c r="H18" s="206">
        <f>'P &amp; NP'!AL495</f>
        <v>0</v>
      </c>
      <c r="I18" s="206">
        <f>'P &amp; NP'!BA495</f>
        <v>0</v>
      </c>
      <c r="J18" s="206">
        <f>'P &amp; NP'!BB495</f>
        <v>0</v>
      </c>
      <c r="K18" s="206">
        <f>'P &amp; NP'!BQ495</f>
        <v>0</v>
      </c>
      <c r="L18" s="206">
        <f>'P &amp; NP'!BR495</f>
        <v>0</v>
      </c>
      <c r="M18" s="206">
        <f>'P &amp; NP'!CG495</f>
        <v>135504.14657879245</v>
      </c>
      <c r="N18" s="206">
        <f>'P &amp; NP'!CH495</f>
        <v>15142508.240820082</v>
      </c>
      <c r="O18" s="206">
        <f>'P &amp; NP'!CW495</f>
        <v>0</v>
      </c>
      <c r="P18" s="206">
        <f>'P &amp; NP'!CX495</f>
        <v>0</v>
      </c>
      <c r="Q18" s="206">
        <f>'P &amp; NP'!DM495</f>
        <v>0</v>
      </c>
      <c r="R18" s="206">
        <f>'P &amp; NP'!DN495</f>
        <v>0</v>
      </c>
      <c r="S18" s="206">
        <f>'P &amp; NP'!EC495</f>
        <v>0</v>
      </c>
      <c r="T18" s="206">
        <f>'P &amp; NP'!ED495</f>
        <v>0</v>
      </c>
      <c r="U18" s="206">
        <f>'P &amp; NP'!ES495</f>
        <v>787166</v>
      </c>
      <c r="V18" s="206">
        <f>'P &amp; NP'!ET495</f>
        <v>69138805</v>
      </c>
      <c r="W18" s="206">
        <f>'P &amp; NP'!FI495</f>
        <v>0</v>
      </c>
      <c r="X18" s="206">
        <f>'P &amp; NP'!FJ495</f>
        <v>0</v>
      </c>
      <c r="Y18" s="206">
        <f>'P &amp; NP'!FY495</f>
        <v>0</v>
      </c>
      <c r="Z18" s="206">
        <f>'P &amp; NP'!FZ495</f>
        <v>0</v>
      </c>
      <c r="AA18" s="206">
        <f>'P &amp; NP'!GO495</f>
        <v>0</v>
      </c>
      <c r="AB18" s="206">
        <f>'P &amp; NP'!GP495</f>
        <v>0</v>
      </c>
      <c r="AC18" s="206">
        <f>'P &amp; NP'!HE495</f>
        <v>0</v>
      </c>
      <c r="AD18" s="206">
        <f>'P &amp; NP'!HF495</f>
        <v>0</v>
      </c>
      <c r="AE18" s="206">
        <f>'P &amp; NP'!HU495</f>
        <v>0</v>
      </c>
      <c r="AF18" s="206">
        <f>'P &amp; NP'!HV495</f>
        <v>0</v>
      </c>
      <c r="AG18" s="206">
        <f>'P &amp; NP'!IK495</f>
        <v>0</v>
      </c>
      <c r="AH18" s="206">
        <f>'P &amp; NP'!IL495</f>
        <v>0</v>
      </c>
      <c r="AI18" s="206">
        <f>'P &amp; NP'!JA495</f>
        <v>0</v>
      </c>
      <c r="AJ18" s="206">
        <f>'P &amp; NP'!JB495</f>
        <v>0</v>
      </c>
      <c r="AK18" s="206">
        <f>'P &amp; NP'!JQ495</f>
        <v>0</v>
      </c>
      <c r="AL18" s="206">
        <f>'P &amp; NP'!JR495</f>
        <v>0</v>
      </c>
      <c r="AM18" s="206">
        <f>'P &amp; NP'!KG495</f>
        <v>0</v>
      </c>
      <c r="AN18" s="206">
        <f>'P &amp; NP'!KH495</f>
        <v>0</v>
      </c>
      <c r="AO18" s="206">
        <f>'P &amp; NP'!KW495</f>
        <v>0</v>
      </c>
      <c r="AP18" s="206">
        <f>'P &amp; NP'!KX495</f>
        <v>0</v>
      </c>
      <c r="AQ18" s="206">
        <f>'P &amp; NP'!LM495</f>
        <v>0</v>
      </c>
      <c r="AR18" s="206">
        <f>'P &amp; NP'!LN495</f>
        <v>0</v>
      </c>
      <c r="AS18" s="206">
        <f>'P &amp; NP'!MC495</f>
        <v>0</v>
      </c>
      <c r="AT18" s="206">
        <f>'P &amp; NP'!MD495</f>
        <v>0</v>
      </c>
      <c r="AU18" s="206">
        <f>'P &amp; NP'!MS495</f>
        <v>0</v>
      </c>
      <c r="AV18" s="206">
        <f>'P &amp; NP'!MT495</f>
        <v>0</v>
      </c>
      <c r="AW18" s="206">
        <f>'P &amp; NP'!NI495</f>
        <v>0</v>
      </c>
      <c r="AX18" s="206">
        <f>'P &amp; NP'!NJ495</f>
        <v>0</v>
      </c>
      <c r="AY18" s="206">
        <f>'P &amp; NP'!NY495</f>
        <v>0</v>
      </c>
      <c r="AZ18" s="206">
        <f>'P &amp; NP'!NZ495</f>
        <v>0</v>
      </c>
      <c r="BA18" s="206">
        <f>'P &amp; NP'!OO495</f>
        <v>0</v>
      </c>
      <c r="BB18" s="206">
        <f>'P &amp; NP'!OP495</f>
        <v>0</v>
      </c>
      <c r="BC18" s="206">
        <f>'P &amp; NP'!PE495</f>
        <v>0</v>
      </c>
      <c r="BD18" s="206">
        <f>'P &amp; NP'!PF495</f>
        <v>0</v>
      </c>
      <c r="BE18" s="206">
        <f>'P &amp; NP'!PU495</f>
        <v>203130</v>
      </c>
      <c r="BF18" s="206">
        <f>'P &amp; NP'!PV495</f>
        <v>19120930</v>
      </c>
      <c r="BG18" s="206">
        <f>'P &amp; NP'!QK495</f>
        <v>0</v>
      </c>
      <c r="BH18" s="206">
        <f>'P &amp; NP'!QL495</f>
        <v>0</v>
      </c>
      <c r="BI18" s="206">
        <f>'P &amp; NP'!RA495</f>
        <v>0</v>
      </c>
      <c r="BJ18" s="206">
        <f>'P &amp; NP'!RB495</f>
        <v>0</v>
      </c>
      <c r="BK18" s="206">
        <f>'P &amp; NP'!RQ495</f>
        <v>0</v>
      </c>
      <c r="BL18" s="206">
        <f>'P &amp; NP'!RR495</f>
        <v>0</v>
      </c>
      <c r="BM18" s="206">
        <f>'P &amp; NP'!SG495</f>
        <v>0</v>
      </c>
      <c r="BN18" s="206">
        <f>'P &amp; NP'!SH495</f>
        <v>0</v>
      </c>
      <c r="BO18" s="206">
        <f>'P &amp; NP'!SW495</f>
        <v>0</v>
      </c>
      <c r="BP18" s="206">
        <f>'P &amp; NP'!SX495</f>
        <v>0</v>
      </c>
      <c r="BQ18" s="206">
        <f>'P &amp; NP'!TM495</f>
        <v>0</v>
      </c>
      <c r="BR18" s="206">
        <f>'P &amp; NP'!TN495</f>
        <v>0</v>
      </c>
      <c r="BS18" s="206">
        <f>'P &amp; NP'!UC495</f>
        <v>0</v>
      </c>
      <c r="BT18" s="206">
        <f>'P &amp; NP'!UD495</f>
        <v>0</v>
      </c>
      <c r="BU18" s="206">
        <f>'P &amp; NP'!US495</f>
        <v>0</v>
      </c>
      <c r="BV18" s="206">
        <f>'P &amp; NP'!UT495</f>
        <v>0</v>
      </c>
      <c r="BW18" s="206">
        <f>'P &amp; NP'!VI495</f>
        <v>0</v>
      </c>
      <c r="BX18" s="206">
        <f>'P &amp; NP'!VJ495</f>
        <v>0</v>
      </c>
      <c r="BY18" s="206">
        <f>'P &amp; NP'!VY495</f>
        <v>0</v>
      </c>
      <c r="BZ18" s="206">
        <f>'P &amp; NP'!VZ495</f>
        <v>0</v>
      </c>
      <c r="CB18" s="206">
        <f t="shared" si="3"/>
        <v>1168925.1465787925</v>
      </c>
      <c r="CC18" s="206">
        <f t="shared" si="4"/>
        <v>107303768.24082008</v>
      </c>
    </row>
    <row r="19" spans="2:81">
      <c r="B19" s="207" t="str">
        <f>'P &amp; NP'!B25</f>
        <v>Kerapu Macan</v>
      </c>
      <c r="C19" s="206">
        <f>'P &amp; NP'!E496</f>
        <v>0</v>
      </c>
      <c r="D19" s="206">
        <f>'P &amp; NP'!F496</f>
        <v>0</v>
      </c>
      <c r="E19" s="206">
        <f>'P &amp; NP'!U496</f>
        <v>0</v>
      </c>
      <c r="F19" s="206">
        <f>'P &amp; NP'!V496</f>
        <v>0</v>
      </c>
      <c r="G19" s="206">
        <f>'P &amp; NP'!AK496</f>
        <v>0</v>
      </c>
      <c r="H19" s="206">
        <f>'P &amp; NP'!AL496</f>
        <v>0</v>
      </c>
      <c r="I19" s="206">
        <f>'P &amp; NP'!BA496</f>
        <v>0</v>
      </c>
      <c r="J19" s="206">
        <f>'P &amp; NP'!BB496</f>
        <v>0</v>
      </c>
      <c r="K19" s="206">
        <f>'P &amp; NP'!BQ496</f>
        <v>0</v>
      </c>
      <c r="L19" s="206">
        <f>'P &amp; NP'!BR496</f>
        <v>0</v>
      </c>
      <c r="M19" s="206">
        <f>'P &amp; NP'!CG496</f>
        <v>12288.982978827136</v>
      </c>
      <c r="N19" s="206">
        <f>'P &amp; NP'!CH496</f>
        <v>1351865.8729999999</v>
      </c>
      <c r="O19" s="206">
        <f>'P &amp; NP'!CW496</f>
        <v>0</v>
      </c>
      <c r="P19" s="206">
        <f>'P &amp; NP'!CX496</f>
        <v>0</v>
      </c>
      <c r="Q19" s="206">
        <f>'P &amp; NP'!DM496</f>
        <v>0</v>
      </c>
      <c r="R19" s="206">
        <f>'P &amp; NP'!DN496</f>
        <v>0</v>
      </c>
      <c r="S19" s="206">
        <f>'P &amp; NP'!EC496</f>
        <v>0</v>
      </c>
      <c r="T19" s="206">
        <f>'P &amp; NP'!ED496</f>
        <v>0</v>
      </c>
      <c r="U19" s="206">
        <f>'P &amp; NP'!ES496</f>
        <v>1043452</v>
      </c>
      <c r="V19" s="206">
        <f>'P &amp; NP'!ET496</f>
        <v>104985910</v>
      </c>
      <c r="W19" s="206">
        <f>'P &amp; NP'!FI496</f>
        <v>0</v>
      </c>
      <c r="X19" s="206">
        <f>'P &amp; NP'!FJ496</f>
        <v>0</v>
      </c>
      <c r="Y19" s="206">
        <f>'P &amp; NP'!FY496</f>
        <v>0</v>
      </c>
      <c r="Z19" s="206">
        <f>'P &amp; NP'!FZ496</f>
        <v>0</v>
      </c>
      <c r="AA19" s="206">
        <f>'P &amp; NP'!GO496</f>
        <v>0</v>
      </c>
      <c r="AB19" s="206">
        <f>'P &amp; NP'!GP496</f>
        <v>0</v>
      </c>
      <c r="AC19" s="206">
        <f>'P &amp; NP'!HE496</f>
        <v>0</v>
      </c>
      <c r="AD19" s="206">
        <f>'P &amp; NP'!HF496</f>
        <v>0</v>
      </c>
      <c r="AE19" s="206">
        <f>'P &amp; NP'!HU496</f>
        <v>0</v>
      </c>
      <c r="AF19" s="206">
        <f>'P &amp; NP'!HV496</f>
        <v>0</v>
      </c>
      <c r="AG19" s="206">
        <f>'P &amp; NP'!IK496</f>
        <v>0</v>
      </c>
      <c r="AH19" s="206">
        <f>'P &amp; NP'!IL496</f>
        <v>0</v>
      </c>
      <c r="AI19" s="206">
        <f>'P &amp; NP'!JA496</f>
        <v>0</v>
      </c>
      <c r="AJ19" s="206">
        <f>'P &amp; NP'!JB496</f>
        <v>0</v>
      </c>
      <c r="AK19" s="206">
        <f>'P &amp; NP'!JQ496</f>
        <v>0</v>
      </c>
      <c r="AL19" s="206">
        <f>'P &amp; NP'!JR496</f>
        <v>0</v>
      </c>
      <c r="AM19" s="206">
        <f>'P &amp; NP'!KG496</f>
        <v>0</v>
      </c>
      <c r="AN19" s="206">
        <f>'P &amp; NP'!KH496</f>
        <v>0</v>
      </c>
      <c r="AO19" s="206">
        <f>'P &amp; NP'!KW496</f>
        <v>0</v>
      </c>
      <c r="AP19" s="206">
        <f>'P &amp; NP'!KX496</f>
        <v>0</v>
      </c>
      <c r="AQ19" s="206">
        <f>'P &amp; NP'!LM496</f>
        <v>0</v>
      </c>
      <c r="AR19" s="206">
        <f>'P &amp; NP'!LN496</f>
        <v>0</v>
      </c>
      <c r="AS19" s="206">
        <f>'P &amp; NP'!MC496</f>
        <v>0</v>
      </c>
      <c r="AT19" s="206">
        <f>'P &amp; NP'!MD496</f>
        <v>0</v>
      </c>
      <c r="AU19" s="206">
        <f>'P &amp; NP'!MS496</f>
        <v>0</v>
      </c>
      <c r="AV19" s="206">
        <f>'P &amp; NP'!MT496</f>
        <v>0</v>
      </c>
      <c r="AW19" s="206">
        <f>'P &amp; NP'!NI496</f>
        <v>0</v>
      </c>
      <c r="AX19" s="206">
        <f>'P &amp; NP'!NJ496</f>
        <v>0</v>
      </c>
      <c r="AY19" s="206">
        <f>'P &amp; NP'!NY496</f>
        <v>0</v>
      </c>
      <c r="AZ19" s="206">
        <f>'P &amp; NP'!NZ496</f>
        <v>0</v>
      </c>
      <c r="BA19" s="206">
        <f>'P &amp; NP'!OO496</f>
        <v>0</v>
      </c>
      <c r="BB19" s="206">
        <f>'P &amp; NP'!OP496</f>
        <v>0</v>
      </c>
      <c r="BC19" s="206">
        <f>'P &amp; NP'!PE496</f>
        <v>0</v>
      </c>
      <c r="BD19" s="206">
        <f>'P &amp; NP'!PF496</f>
        <v>0</v>
      </c>
      <c r="BE19" s="206">
        <f>'P &amp; NP'!PU496</f>
        <v>0</v>
      </c>
      <c r="BF19" s="206">
        <f>'P &amp; NP'!PV496</f>
        <v>0</v>
      </c>
      <c r="BG19" s="206">
        <f>'P &amp; NP'!QK496</f>
        <v>0</v>
      </c>
      <c r="BH19" s="206">
        <f>'P &amp; NP'!QL496</f>
        <v>0</v>
      </c>
      <c r="BI19" s="206">
        <f>'P &amp; NP'!RA496</f>
        <v>0</v>
      </c>
      <c r="BJ19" s="206">
        <f>'P &amp; NP'!RB496</f>
        <v>0</v>
      </c>
      <c r="BK19" s="206">
        <f>'P &amp; NP'!RQ496</f>
        <v>0</v>
      </c>
      <c r="BL19" s="206">
        <f>'P &amp; NP'!RR496</f>
        <v>0</v>
      </c>
      <c r="BM19" s="206">
        <f>'P &amp; NP'!SG496</f>
        <v>0</v>
      </c>
      <c r="BN19" s="206">
        <f>'P &amp; NP'!SH496</f>
        <v>0</v>
      </c>
      <c r="BO19" s="206">
        <f>'P &amp; NP'!SW496</f>
        <v>0</v>
      </c>
      <c r="BP19" s="206">
        <f>'P &amp; NP'!SX496</f>
        <v>0</v>
      </c>
      <c r="BQ19" s="206">
        <f>'P &amp; NP'!TM496</f>
        <v>0</v>
      </c>
      <c r="BR19" s="206">
        <f>'P &amp; NP'!TN496</f>
        <v>0</v>
      </c>
      <c r="BS19" s="206">
        <f>'P &amp; NP'!UC496</f>
        <v>0</v>
      </c>
      <c r="BT19" s="206">
        <f>'P &amp; NP'!UD496</f>
        <v>0</v>
      </c>
      <c r="BU19" s="206">
        <f>'P &amp; NP'!US496</f>
        <v>0</v>
      </c>
      <c r="BV19" s="206">
        <f>'P &amp; NP'!UT496</f>
        <v>0</v>
      </c>
      <c r="BW19" s="206">
        <f>'P &amp; NP'!VI496</f>
        <v>0</v>
      </c>
      <c r="BX19" s="206">
        <f>'P &amp; NP'!VJ496</f>
        <v>0</v>
      </c>
      <c r="BY19" s="206">
        <f>'P &amp; NP'!VY496</f>
        <v>0</v>
      </c>
      <c r="BZ19" s="206">
        <f>'P &amp; NP'!VZ496</f>
        <v>0</v>
      </c>
      <c r="CB19" s="206">
        <f t="shared" si="3"/>
        <v>1055740.9829788271</v>
      </c>
      <c r="CC19" s="206">
        <f t="shared" si="4"/>
        <v>106337775.873</v>
      </c>
    </row>
    <row r="20" spans="2:81">
      <c r="B20" s="207" t="str">
        <f>'P &amp; NP'!B26</f>
        <v>Kerong Kerong</v>
      </c>
      <c r="C20" s="206">
        <f>'P &amp; NP'!E497</f>
        <v>0</v>
      </c>
      <c r="D20" s="206">
        <f>'P &amp; NP'!F497</f>
        <v>0</v>
      </c>
      <c r="E20" s="206">
        <f>'P &amp; NP'!U497</f>
        <v>0</v>
      </c>
      <c r="F20" s="206">
        <f>'P &amp; NP'!V497</f>
        <v>0</v>
      </c>
      <c r="G20" s="206">
        <f>'P &amp; NP'!AK497</f>
        <v>0</v>
      </c>
      <c r="H20" s="206">
        <f>'P &amp; NP'!AL497</f>
        <v>0</v>
      </c>
      <c r="I20" s="206">
        <f>'P &amp; NP'!BA497</f>
        <v>0</v>
      </c>
      <c r="J20" s="206">
        <f>'P &amp; NP'!BB497</f>
        <v>0</v>
      </c>
      <c r="K20" s="206">
        <f>'P &amp; NP'!BQ497</f>
        <v>0</v>
      </c>
      <c r="L20" s="206">
        <f>'P &amp; NP'!BR497</f>
        <v>0</v>
      </c>
      <c r="M20" s="206">
        <f>'P &amp; NP'!CG497</f>
        <v>0</v>
      </c>
      <c r="N20" s="206">
        <f>'P &amp; NP'!CH497</f>
        <v>0</v>
      </c>
      <c r="O20" s="206">
        <f>'P &amp; NP'!CW497</f>
        <v>0</v>
      </c>
      <c r="P20" s="206">
        <f>'P &amp; NP'!CX497</f>
        <v>0</v>
      </c>
      <c r="Q20" s="206">
        <f>'P &amp; NP'!DM497</f>
        <v>0</v>
      </c>
      <c r="R20" s="206">
        <f>'P &amp; NP'!DN497</f>
        <v>0</v>
      </c>
      <c r="S20" s="206">
        <f>'P &amp; NP'!EC497</f>
        <v>0</v>
      </c>
      <c r="T20" s="206">
        <f>'P &amp; NP'!ED497</f>
        <v>0</v>
      </c>
      <c r="U20" s="206">
        <f>'P &amp; NP'!ES497</f>
        <v>0</v>
      </c>
      <c r="V20" s="206">
        <f>'P &amp; NP'!ET497</f>
        <v>0</v>
      </c>
      <c r="W20" s="206">
        <f>'P &amp; NP'!FI497</f>
        <v>0</v>
      </c>
      <c r="X20" s="206">
        <f>'P &amp; NP'!FJ497</f>
        <v>0</v>
      </c>
      <c r="Y20" s="206">
        <f>'P &amp; NP'!FY497</f>
        <v>0</v>
      </c>
      <c r="Z20" s="206">
        <f>'P &amp; NP'!FZ497</f>
        <v>0</v>
      </c>
      <c r="AA20" s="206">
        <f>'P &amp; NP'!GO497</f>
        <v>0</v>
      </c>
      <c r="AB20" s="206">
        <f>'P &amp; NP'!GP497</f>
        <v>0</v>
      </c>
      <c r="AC20" s="206">
        <f>'P &amp; NP'!HE497</f>
        <v>0</v>
      </c>
      <c r="AD20" s="206">
        <f>'P &amp; NP'!HF497</f>
        <v>0</v>
      </c>
      <c r="AE20" s="206">
        <f>'P &amp; NP'!HU497</f>
        <v>0</v>
      </c>
      <c r="AF20" s="206">
        <f>'P &amp; NP'!HV497</f>
        <v>0</v>
      </c>
      <c r="AG20" s="206">
        <f>'P &amp; NP'!IK497</f>
        <v>0</v>
      </c>
      <c r="AH20" s="206">
        <f>'P &amp; NP'!IL497</f>
        <v>0</v>
      </c>
      <c r="AI20" s="206">
        <f>'P &amp; NP'!JA497</f>
        <v>0</v>
      </c>
      <c r="AJ20" s="206">
        <f>'P &amp; NP'!JB497</f>
        <v>0</v>
      </c>
      <c r="AK20" s="206">
        <f>'P &amp; NP'!JQ497</f>
        <v>0</v>
      </c>
      <c r="AL20" s="206">
        <f>'P &amp; NP'!JR497</f>
        <v>0</v>
      </c>
      <c r="AM20" s="206">
        <f>'P &amp; NP'!KG497</f>
        <v>0</v>
      </c>
      <c r="AN20" s="206">
        <f>'P &amp; NP'!KH497</f>
        <v>0</v>
      </c>
      <c r="AO20" s="206">
        <f>'P &amp; NP'!KW497</f>
        <v>0</v>
      </c>
      <c r="AP20" s="206">
        <f>'P &amp; NP'!KX497</f>
        <v>0</v>
      </c>
      <c r="AQ20" s="206">
        <f>'P &amp; NP'!LM497</f>
        <v>0</v>
      </c>
      <c r="AR20" s="206">
        <f>'P &amp; NP'!LN497</f>
        <v>0</v>
      </c>
      <c r="AS20" s="206">
        <f>'P &amp; NP'!MC497</f>
        <v>0</v>
      </c>
      <c r="AT20" s="206">
        <f>'P &amp; NP'!MD497</f>
        <v>0</v>
      </c>
      <c r="AU20" s="206">
        <f>'P &amp; NP'!MS497</f>
        <v>0</v>
      </c>
      <c r="AV20" s="206">
        <f>'P &amp; NP'!MT497</f>
        <v>0</v>
      </c>
      <c r="AW20" s="206">
        <f>'P &amp; NP'!NI497</f>
        <v>0</v>
      </c>
      <c r="AX20" s="206">
        <f>'P &amp; NP'!NJ497</f>
        <v>0</v>
      </c>
      <c r="AY20" s="206">
        <f>'P &amp; NP'!NY497</f>
        <v>0</v>
      </c>
      <c r="AZ20" s="206">
        <f>'P &amp; NP'!NZ497</f>
        <v>0</v>
      </c>
      <c r="BA20" s="206">
        <f>'P &amp; NP'!OO497</f>
        <v>0</v>
      </c>
      <c r="BB20" s="206">
        <f>'P &amp; NP'!OP497</f>
        <v>0</v>
      </c>
      <c r="BC20" s="206">
        <f>'P &amp; NP'!PE497</f>
        <v>0</v>
      </c>
      <c r="BD20" s="206">
        <f>'P &amp; NP'!PF497</f>
        <v>0</v>
      </c>
      <c r="BE20" s="206">
        <f>'P &amp; NP'!PU497</f>
        <v>0</v>
      </c>
      <c r="BF20" s="206">
        <f>'P &amp; NP'!PV497</f>
        <v>0</v>
      </c>
      <c r="BG20" s="206">
        <f>'P &amp; NP'!QK497</f>
        <v>0</v>
      </c>
      <c r="BH20" s="206">
        <f>'P &amp; NP'!QL497</f>
        <v>0</v>
      </c>
      <c r="BI20" s="206">
        <f>'P &amp; NP'!RA497</f>
        <v>0</v>
      </c>
      <c r="BJ20" s="206">
        <f>'P &amp; NP'!RB497</f>
        <v>0</v>
      </c>
      <c r="BK20" s="206">
        <f>'P &amp; NP'!RQ497</f>
        <v>0</v>
      </c>
      <c r="BL20" s="206">
        <f>'P &amp; NP'!RR497</f>
        <v>0</v>
      </c>
      <c r="BM20" s="206">
        <f>'P &amp; NP'!SG497</f>
        <v>0</v>
      </c>
      <c r="BN20" s="206">
        <f>'P &amp; NP'!SH497</f>
        <v>0</v>
      </c>
      <c r="BO20" s="206">
        <f>'P &amp; NP'!SW497</f>
        <v>0</v>
      </c>
      <c r="BP20" s="206">
        <f>'P &amp; NP'!SX497</f>
        <v>0</v>
      </c>
      <c r="BQ20" s="206">
        <f>'P &amp; NP'!TM497</f>
        <v>0</v>
      </c>
      <c r="BR20" s="206">
        <f>'P &amp; NP'!TN497</f>
        <v>0</v>
      </c>
      <c r="BS20" s="206">
        <f>'P &amp; NP'!UC497</f>
        <v>0</v>
      </c>
      <c r="BT20" s="206">
        <f>'P &amp; NP'!UD497</f>
        <v>0</v>
      </c>
      <c r="BU20" s="206">
        <f>'P &amp; NP'!US497</f>
        <v>0</v>
      </c>
      <c r="BV20" s="206">
        <f>'P &amp; NP'!UT497</f>
        <v>0</v>
      </c>
      <c r="BW20" s="206">
        <f>'P &amp; NP'!VI497</f>
        <v>0</v>
      </c>
      <c r="BX20" s="206">
        <f>'P &amp; NP'!VJ497</f>
        <v>0</v>
      </c>
      <c r="BY20" s="206">
        <f>'P &amp; NP'!VY497</f>
        <v>0</v>
      </c>
      <c r="BZ20" s="206">
        <f>'P &amp; NP'!VZ497</f>
        <v>0</v>
      </c>
      <c r="CB20" s="206">
        <f t="shared" si="3"/>
        <v>0</v>
      </c>
      <c r="CC20" s="206">
        <f t="shared" si="4"/>
        <v>0</v>
      </c>
    </row>
    <row r="21" spans="2:81">
      <c r="B21" s="207" t="str">
        <f>'P &amp; NP'!B27</f>
        <v xml:space="preserve">Lele </v>
      </c>
      <c r="C21" s="206">
        <f>'P &amp; NP'!E498</f>
        <v>0</v>
      </c>
      <c r="D21" s="206">
        <f>'P &amp; NP'!F498</f>
        <v>0</v>
      </c>
      <c r="E21" s="206">
        <f>'P &amp; NP'!U498</f>
        <v>0</v>
      </c>
      <c r="F21" s="206">
        <f>'P &amp; NP'!V498</f>
        <v>0</v>
      </c>
      <c r="G21" s="206">
        <f>'P &amp; NP'!AK498</f>
        <v>0</v>
      </c>
      <c r="H21" s="206">
        <f>'P &amp; NP'!AL498</f>
        <v>0</v>
      </c>
      <c r="I21" s="206">
        <f>'P &amp; NP'!BA498</f>
        <v>0</v>
      </c>
      <c r="J21" s="206">
        <f>'P &amp; NP'!BB498</f>
        <v>0</v>
      </c>
      <c r="K21" s="206">
        <f>'P &amp; NP'!BQ498</f>
        <v>0</v>
      </c>
      <c r="L21" s="206">
        <f>'P &amp; NP'!BR498</f>
        <v>0</v>
      </c>
      <c r="M21" s="206">
        <f>'P &amp; NP'!CG498</f>
        <v>0</v>
      </c>
      <c r="N21" s="206">
        <f>'P &amp; NP'!CH498</f>
        <v>0</v>
      </c>
      <c r="O21" s="206">
        <f>'P &amp; NP'!CW498</f>
        <v>0</v>
      </c>
      <c r="P21" s="206">
        <f>'P &amp; NP'!CX498</f>
        <v>0</v>
      </c>
      <c r="Q21" s="206">
        <f>'P &amp; NP'!DM498</f>
        <v>0</v>
      </c>
      <c r="R21" s="206">
        <f>'P &amp; NP'!DN498</f>
        <v>0</v>
      </c>
      <c r="S21" s="206">
        <f>'P &amp; NP'!EC498</f>
        <v>0</v>
      </c>
      <c r="T21" s="206">
        <f>'P &amp; NP'!ED498</f>
        <v>0</v>
      </c>
      <c r="U21" s="206">
        <f>'P &amp; NP'!ES498</f>
        <v>0</v>
      </c>
      <c r="V21" s="206">
        <f>'P &amp; NP'!ET498</f>
        <v>0</v>
      </c>
      <c r="W21" s="206">
        <f>'P &amp; NP'!FI498</f>
        <v>0</v>
      </c>
      <c r="X21" s="206">
        <f>'P &amp; NP'!FJ498</f>
        <v>0</v>
      </c>
      <c r="Y21" s="206">
        <f>'P &amp; NP'!FY498</f>
        <v>0</v>
      </c>
      <c r="Z21" s="206">
        <f>'P &amp; NP'!FZ498</f>
        <v>0</v>
      </c>
      <c r="AA21" s="206">
        <f>'P &amp; NP'!GO498</f>
        <v>0</v>
      </c>
      <c r="AB21" s="206">
        <f>'P &amp; NP'!GP498</f>
        <v>0</v>
      </c>
      <c r="AC21" s="206">
        <f>'P &amp; NP'!HE498</f>
        <v>0</v>
      </c>
      <c r="AD21" s="206">
        <f>'P &amp; NP'!HF498</f>
        <v>0</v>
      </c>
      <c r="AE21" s="206">
        <f>'P &amp; NP'!HU498</f>
        <v>0</v>
      </c>
      <c r="AF21" s="206">
        <f>'P &amp; NP'!HV498</f>
        <v>0</v>
      </c>
      <c r="AG21" s="206">
        <f>'P &amp; NP'!IK498</f>
        <v>0</v>
      </c>
      <c r="AH21" s="206">
        <f>'P &amp; NP'!IL498</f>
        <v>0</v>
      </c>
      <c r="AI21" s="206">
        <f>'P &amp; NP'!JA498</f>
        <v>0</v>
      </c>
      <c r="AJ21" s="206">
        <f>'P &amp; NP'!JB498</f>
        <v>0</v>
      </c>
      <c r="AK21" s="206">
        <f>'P &amp; NP'!JQ498</f>
        <v>0</v>
      </c>
      <c r="AL21" s="206">
        <f>'P &amp; NP'!JR498</f>
        <v>0</v>
      </c>
      <c r="AM21" s="206">
        <f>'P &amp; NP'!KG498</f>
        <v>0</v>
      </c>
      <c r="AN21" s="206">
        <f>'P &amp; NP'!KH498</f>
        <v>0</v>
      </c>
      <c r="AO21" s="206">
        <f>'P &amp; NP'!KW498</f>
        <v>0</v>
      </c>
      <c r="AP21" s="206">
        <f>'P &amp; NP'!KX498</f>
        <v>0</v>
      </c>
      <c r="AQ21" s="206">
        <f>'P &amp; NP'!LM498</f>
        <v>0</v>
      </c>
      <c r="AR21" s="206">
        <f>'P &amp; NP'!LN498</f>
        <v>0</v>
      </c>
      <c r="AS21" s="206">
        <f>'P &amp; NP'!MC498</f>
        <v>0</v>
      </c>
      <c r="AT21" s="206">
        <f>'P &amp; NP'!MD498</f>
        <v>0</v>
      </c>
      <c r="AU21" s="206">
        <f>'P &amp; NP'!MS498</f>
        <v>0</v>
      </c>
      <c r="AV21" s="206">
        <f>'P &amp; NP'!MT498</f>
        <v>0</v>
      </c>
      <c r="AW21" s="206">
        <f>'P &amp; NP'!NI498</f>
        <v>0</v>
      </c>
      <c r="AX21" s="206">
        <f>'P &amp; NP'!NJ498</f>
        <v>0</v>
      </c>
      <c r="AY21" s="206">
        <f>'P &amp; NP'!NY498</f>
        <v>0</v>
      </c>
      <c r="AZ21" s="206">
        <f>'P &amp; NP'!NZ498</f>
        <v>0</v>
      </c>
      <c r="BA21" s="206">
        <f>'P &amp; NP'!OO498</f>
        <v>0</v>
      </c>
      <c r="BB21" s="206">
        <f>'P &amp; NP'!OP498</f>
        <v>0</v>
      </c>
      <c r="BC21" s="206">
        <f>'P &amp; NP'!PE498</f>
        <v>0</v>
      </c>
      <c r="BD21" s="206">
        <f>'P &amp; NP'!PF498</f>
        <v>0</v>
      </c>
      <c r="BE21" s="206">
        <f>'P &amp; NP'!PU498</f>
        <v>0</v>
      </c>
      <c r="BF21" s="206">
        <f>'P &amp; NP'!PV498</f>
        <v>0</v>
      </c>
      <c r="BG21" s="206">
        <f>'P &amp; NP'!QK498</f>
        <v>0</v>
      </c>
      <c r="BH21" s="206">
        <f>'P &amp; NP'!QL498</f>
        <v>0</v>
      </c>
      <c r="BI21" s="206">
        <f>'P &amp; NP'!RA498</f>
        <v>0</v>
      </c>
      <c r="BJ21" s="206">
        <f>'P &amp; NP'!RB498</f>
        <v>0</v>
      </c>
      <c r="BK21" s="206">
        <f>'P &amp; NP'!RQ498</f>
        <v>0</v>
      </c>
      <c r="BL21" s="206">
        <f>'P &amp; NP'!RR498</f>
        <v>0</v>
      </c>
      <c r="BM21" s="206">
        <f>'P &amp; NP'!SG498</f>
        <v>0</v>
      </c>
      <c r="BN21" s="206">
        <f>'P &amp; NP'!SH498</f>
        <v>0</v>
      </c>
      <c r="BO21" s="206">
        <f>'P &amp; NP'!SW498</f>
        <v>0</v>
      </c>
      <c r="BP21" s="206">
        <f>'P &amp; NP'!SX498</f>
        <v>0</v>
      </c>
      <c r="BQ21" s="206">
        <f>'P &amp; NP'!TM498</f>
        <v>0</v>
      </c>
      <c r="BR21" s="206">
        <f>'P &amp; NP'!TN498</f>
        <v>0</v>
      </c>
      <c r="BS21" s="206">
        <f>'P &amp; NP'!UC498</f>
        <v>0</v>
      </c>
      <c r="BT21" s="206">
        <f>'P &amp; NP'!UD498</f>
        <v>0</v>
      </c>
      <c r="BU21" s="206">
        <f>'P &amp; NP'!US498</f>
        <v>0</v>
      </c>
      <c r="BV21" s="206">
        <f>'P &amp; NP'!UT498</f>
        <v>0</v>
      </c>
      <c r="BW21" s="206">
        <f>'P &amp; NP'!VI498</f>
        <v>0</v>
      </c>
      <c r="BX21" s="206">
        <f>'P &amp; NP'!VJ498</f>
        <v>0</v>
      </c>
      <c r="BY21" s="206">
        <f>'P &amp; NP'!VY498</f>
        <v>0</v>
      </c>
      <c r="BZ21" s="206">
        <f>'P &amp; NP'!VZ498</f>
        <v>0</v>
      </c>
      <c r="CB21" s="206">
        <f t="shared" si="3"/>
        <v>0</v>
      </c>
      <c r="CC21" s="206">
        <f t="shared" si="4"/>
        <v>0</v>
      </c>
    </row>
    <row r="22" spans="2:81">
      <c r="B22" s="207" t="str">
        <f>'P &amp; NP'!B28</f>
        <v xml:space="preserve">Lobster Air Laut </v>
      </c>
      <c r="C22" s="206">
        <f>'P &amp; NP'!E499</f>
        <v>0</v>
      </c>
      <c r="D22" s="206">
        <f>'P &amp; NP'!F499</f>
        <v>0</v>
      </c>
      <c r="E22" s="206">
        <f>'P &amp; NP'!U499</f>
        <v>0</v>
      </c>
      <c r="F22" s="206">
        <f>'P &amp; NP'!V499</f>
        <v>0</v>
      </c>
      <c r="G22" s="206">
        <f>'P &amp; NP'!AK499</f>
        <v>0</v>
      </c>
      <c r="H22" s="206">
        <f>'P &amp; NP'!AL499</f>
        <v>0</v>
      </c>
      <c r="I22" s="206">
        <f>'P &amp; NP'!BA499</f>
        <v>0</v>
      </c>
      <c r="J22" s="206">
        <f>'P &amp; NP'!BB499</f>
        <v>0</v>
      </c>
      <c r="K22" s="206">
        <f>'P &amp; NP'!BQ499</f>
        <v>0</v>
      </c>
      <c r="L22" s="206">
        <f>'P &amp; NP'!BR499</f>
        <v>0</v>
      </c>
      <c r="M22" s="206">
        <f>'P &amp; NP'!CG499</f>
        <v>0</v>
      </c>
      <c r="N22" s="206">
        <f>'P &amp; NP'!CH499</f>
        <v>0</v>
      </c>
      <c r="O22" s="206">
        <f>'P &amp; NP'!CW499</f>
        <v>0</v>
      </c>
      <c r="P22" s="206">
        <f>'P &amp; NP'!CX499</f>
        <v>0</v>
      </c>
      <c r="Q22" s="206">
        <f>'P &amp; NP'!DM499</f>
        <v>0</v>
      </c>
      <c r="R22" s="206">
        <f>'P &amp; NP'!DN499</f>
        <v>0</v>
      </c>
      <c r="S22" s="206">
        <f>'P &amp; NP'!EC499</f>
        <v>0</v>
      </c>
      <c r="T22" s="206">
        <f>'P &amp; NP'!ED499</f>
        <v>0</v>
      </c>
      <c r="U22" s="206">
        <f>'P &amp; NP'!ES499</f>
        <v>0</v>
      </c>
      <c r="V22" s="206">
        <f>'P &amp; NP'!ET499</f>
        <v>0</v>
      </c>
      <c r="W22" s="206">
        <f>'P &amp; NP'!FI499</f>
        <v>0</v>
      </c>
      <c r="X22" s="206">
        <f>'P &amp; NP'!FJ499</f>
        <v>0</v>
      </c>
      <c r="Y22" s="206">
        <f>'P &amp; NP'!FY499</f>
        <v>0</v>
      </c>
      <c r="Z22" s="206">
        <f>'P &amp; NP'!FZ499</f>
        <v>0</v>
      </c>
      <c r="AA22" s="206">
        <f>'P &amp; NP'!GO499</f>
        <v>0</v>
      </c>
      <c r="AB22" s="206">
        <f>'P &amp; NP'!GP499</f>
        <v>0</v>
      </c>
      <c r="AC22" s="206">
        <f>'P &amp; NP'!HE499</f>
        <v>0</v>
      </c>
      <c r="AD22" s="206">
        <f>'P &amp; NP'!HF499</f>
        <v>0</v>
      </c>
      <c r="AE22" s="206">
        <f>'P &amp; NP'!HU499</f>
        <v>0</v>
      </c>
      <c r="AF22" s="206">
        <f>'P &amp; NP'!HV499</f>
        <v>0</v>
      </c>
      <c r="AG22" s="206">
        <f>'P &amp; NP'!IK499</f>
        <v>0</v>
      </c>
      <c r="AH22" s="206">
        <f>'P &amp; NP'!IL499</f>
        <v>0</v>
      </c>
      <c r="AI22" s="206">
        <f>'P &amp; NP'!JA499</f>
        <v>0</v>
      </c>
      <c r="AJ22" s="206">
        <f>'P &amp; NP'!JB499</f>
        <v>0</v>
      </c>
      <c r="AK22" s="206">
        <f>'P &amp; NP'!JQ499</f>
        <v>0</v>
      </c>
      <c r="AL22" s="206">
        <f>'P &amp; NP'!JR499</f>
        <v>0</v>
      </c>
      <c r="AM22" s="206">
        <f>'P &amp; NP'!KG499</f>
        <v>0</v>
      </c>
      <c r="AN22" s="206">
        <f>'P &amp; NP'!KH499</f>
        <v>0</v>
      </c>
      <c r="AO22" s="206">
        <f>'P &amp; NP'!KW499</f>
        <v>0</v>
      </c>
      <c r="AP22" s="206">
        <f>'P &amp; NP'!KX499</f>
        <v>0</v>
      </c>
      <c r="AQ22" s="206">
        <f>'P &amp; NP'!LM499</f>
        <v>0</v>
      </c>
      <c r="AR22" s="206">
        <f>'P &amp; NP'!LN499</f>
        <v>0</v>
      </c>
      <c r="AS22" s="206">
        <f>'P &amp; NP'!MC499</f>
        <v>0</v>
      </c>
      <c r="AT22" s="206">
        <f>'P &amp; NP'!MD499</f>
        <v>0</v>
      </c>
      <c r="AU22" s="206">
        <f>'P &amp; NP'!MS499</f>
        <v>0</v>
      </c>
      <c r="AV22" s="206">
        <f>'P &amp; NP'!MT499</f>
        <v>0</v>
      </c>
      <c r="AW22" s="206">
        <f>'P &amp; NP'!NI499</f>
        <v>0</v>
      </c>
      <c r="AX22" s="206">
        <f>'P &amp; NP'!NJ499</f>
        <v>0</v>
      </c>
      <c r="AY22" s="206">
        <f>'P &amp; NP'!NY499</f>
        <v>0</v>
      </c>
      <c r="AZ22" s="206">
        <f>'P &amp; NP'!NZ499</f>
        <v>0</v>
      </c>
      <c r="BA22" s="206">
        <f>'P &amp; NP'!OO499</f>
        <v>0</v>
      </c>
      <c r="BB22" s="206">
        <f>'P &amp; NP'!OP499</f>
        <v>0</v>
      </c>
      <c r="BC22" s="206">
        <f>'P &amp; NP'!PE499</f>
        <v>0</v>
      </c>
      <c r="BD22" s="206">
        <f>'P &amp; NP'!PF499</f>
        <v>0</v>
      </c>
      <c r="BE22" s="206">
        <f>'P &amp; NP'!PU499</f>
        <v>0</v>
      </c>
      <c r="BF22" s="206">
        <f>'P &amp; NP'!PV499</f>
        <v>0</v>
      </c>
      <c r="BG22" s="206">
        <f>'P &amp; NP'!QK499</f>
        <v>0</v>
      </c>
      <c r="BH22" s="206">
        <f>'P &amp; NP'!QL499</f>
        <v>0</v>
      </c>
      <c r="BI22" s="206">
        <f>'P &amp; NP'!RA499</f>
        <v>0</v>
      </c>
      <c r="BJ22" s="206">
        <f>'P &amp; NP'!RB499</f>
        <v>0</v>
      </c>
      <c r="BK22" s="206">
        <f>'P &amp; NP'!RQ499</f>
        <v>0</v>
      </c>
      <c r="BL22" s="206">
        <f>'P &amp; NP'!RR499</f>
        <v>0</v>
      </c>
      <c r="BM22" s="206">
        <f>'P &amp; NP'!SG499</f>
        <v>0</v>
      </c>
      <c r="BN22" s="206">
        <f>'P &amp; NP'!SH499</f>
        <v>0</v>
      </c>
      <c r="BO22" s="206">
        <f>'P &amp; NP'!SW499</f>
        <v>0</v>
      </c>
      <c r="BP22" s="206">
        <f>'P &amp; NP'!SX499</f>
        <v>0</v>
      </c>
      <c r="BQ22" s="206">
        <f>'P &amp; NP'!TM499</f>
        <v>0</v>
      </c>
      <c r="BR22" s="206">
        <f>'P &amp; NP'!TN499</f>
        <v>0</v>
      </c>
      <c r="BS22" s="206">
        <f>'P &amp; NP'!UC499</f>
        <v>0</v>
      </c>
      <c r="BT22" s="206">
        <f>'P &amp; NP'!UD499</f>
        <v>0</v>
      </c>
      <c r="BU22" s="206">
        <f>'P &amp; NP'!US499</f>
        <v>0</v>
      </c>
      <c r="BV22" s="206">
        <f>'P &amp; NP'!UT499</f>
        <v>0</v>
      </c>
      <c r="BW22" s="206">
        <f>'P &amp; NP'!VI499</f>
        <v>0</v>
      </c>
      <c r="BX22" s="206">
        <f>'P &amp; NP'!VJ499</f>
        <v>0</v>
      </c>
      <c r="BY22" s="206">
        <f>'P &amp; NP'!VY499</f>
        <v>0</v>
      </c>
      <c r="BZ22" s="206">
        <f>'P &amp; NP'!VZ499</f>
        <v>0</v>
      </c>
      <c r="CB22" s="206">
        <f t="shared" si="3"/>
        <v>0</v>
      </c>
      <c r="CC22" s="206">
        <f t="shared" si="4"/>
        <v>0</v>
      </c>
    </row>
    <row r="23" spans="2:81">
      <c r="B23" s="207" t="str">
        <f>'P &amp; NP'!B29</f>
        <v xml:space="preserve">Lobster Air Tawar, Cherax </v>
      </c>
      <c r="C23" s="206">
        <f>'P &amp; NP'!E500</f>
        <v>0</v>
      </c>
      <c r="D23" s="206">
        <f>'P &amp; NP'!F500</f>
        <v>0</v>
      </c>
      <c r="E23" s="206">
        <f>'P &amp; NP'!U500</f>
        <v>0</v>
      </c>
      <c r="F23" s="206">
        <f>'P &amp; NP'!V500</f>
        <v>0</v>
      </c>
      <c r="G23" s="206">
        <f>'P &amp; NP'!AK500</f>
        <v>0</v>
      </c>
      <c r="H23" s="206">
        <f>'P &amp; NP'!AL500</f>
        <v>0</v>
      </c>
      <c r="I23" s="206">
        <f>'P &amp; NP'!BA500</f>
        <v>0</v>
      </c>
      <c r="J23" s="206">
        <f>'P &amp; NP'!BB500</f>
        <v>0</v>
      </c>
      <c r="K23" s="206">
        <f>'P &amp; NP'!BQ500</f>
        <v>0</v>
      </c>
      <c r="L23" s="206">
        <f>'P &amp; NP'!BR500</f>
        <v>0</v>
      </c>
      <c r="M23" s="206">
        <f>'P &amp; NP'!CG500</f>
        <v>0</v>
      </c>
      <c r="N23" s="206">
        <f>'P &amp; NP'!CH500</f>
        <v>0</v>
      </c>
      <c r="O23" s="206">
        <f>'P &amp; NP'!CW500</f>
        <v>0</v>
      </c>
      <c r="P23" s="206">
        <f>'P &amp; NP'!CX500</f>
        <v>0</v>
      </c>
      <c r="Q23" s="206">
        <f>'P &amp; NP'!DM500</f>
        <v>0</v>
      </c>
      <c r="R23" s="206">
        <f>'P &amp; NP'!DN500</f>
        <v>0</v>
      </c>
      <c r="S23" s="206">
        <f>'P &amp; NP'!EC500</f>
        <v>0</v>
      </c>
      <c r="T23" s="206">
        <f>'P &amp; NP'!ED500</f>
        <v>0</v>
      </c>
      <c r="U23" s="206">
        <f>'P &amp; NP'!ES500</f>
        <v>0</v>
      </c>
      <c r="V23" s="206">
        <f>'P &amp; NP'!ET500</f>
        <v>0</v>
      </c>
      <c r="W23" s="206">
        <f>'P &amp; NP'!FI500</f>
        <v>0</v>
      </c>
      <c r="X23" s="206">
        <f>'P &amp; NP'!FJ500</f>
        <v>0</v>
      </c>
      <c r="Y23" s="206">
        <f>'P &amp; NP'!FY500</f>
        <v>0</v>
      </c>
      <c r="Z23" s="206">
        <f>'P &amp; NP'!FZ500</f>
        <v>0</v>
      </c>
      <c r="AA23" s="206">
        <f>'P &amp; NP'!GO500</f>
        <v>0</v>
      </c>
      <c r="AB23" s="206">
        <f>'P &amp; NP'!GP500</f>
        <v>0</v>
      </c>
      <c r="AC23" s="206">
        <f>'P &amp; NP'!HE500</f>
        <v>0</v>
      </c>
      <c r="AD23" s="206">
        <f>'P &amp; NP'!HF500</f>
        <v>0</v>
      </c>
      <c r="AE23" s="206">
        <f>'P &amp; NP'!HU500</f>
        <v>0</v>
      </c>
      <c r="AF23" s="206">
        <f>'P &amp; NP'!HV500</f>
        <v>0</v>
      </c>
      <c r="AG23" s="206">
        <f>'P &amp; NP'!IK500</f>
        <v>0</v>
      </c>
      <c r="AH23" s="206">
        <f>'P &amp; NP'!IL500</f>
        <v>0</v>
      </c>
      <c r="AI23" s="206">
        <f>'P &amp; NP'!JA500</f>
        <v>0</v>
      </c>
      <c r="AJ23" s="206">
        <f>'P &amp; NP'!JB500</f>
        <v>0</v>
      </c>
      <c r="AK23" s="206">
        <f>'P &amp; NP'!JQ500</f>
        <v>0</v>
      </c>
      <c r="AL23" s="206">
        <f>'P &amp; NP'!JR500</f>
        <v>0</v>
      </c>
      <c r="AM23" s="206">
        <f>'P &amp; NP'!KG500</f>
        <v>0</v>
      </c>
      <c r="AN23" s="206">
        <f>'P &amp; NP'!KH500</f>
        <v>0</v>
      </c>
      <c r="AO23" s="206">
        <f>'P &amp; NP'!KW500</f>
        <v>0</v>
      </c>
      <c r="AP23" s="206">
        <f>'P &amp; NP'!KX500</f>
        <v>0</v>
      </c>
      <c r="AQ23" s="206">
        <f>'P &amp; NP'!LM500</f>
        <v>0</v>
      </c>
      <c r="AR23" s="206">
        <f>'P &amp; NP'!LN500</f>
        <v>0</v>
      </c>
      <c r="AS23" s="206">
        <f>'P &amp; NP'!MC500</f>
        <v>0</v>
      </c>
      <c r="AT23" s="206">
        <f>'P &amp; NP'!MD500</f>
        <v>0</v>
      </c>
      <c r="AU23" s="206">
        <f>'P &amp; NP'!MS500</f>
        <v>0</v>
      </c>
      <c r="AV23" s="206">
        <f>'P &amp; NP'!MT500</f>
        <v>0</v>
      </c>
      <c r="AW23" s="206">
        <f>'P &amp; NP'!NI500</f>
        <v>0</v>
      </c>
      <c r="AX23" s="206">
        <f>'P &amp; NP'!NJ500</f>
        <v>0</v>
      </c>
      <c r="AY23" s="206">
        <f>'P &amp; NP'!NY500</f>
        <v>0</v>
      </c>
      <c r="AZ23" s="206">
        <f>'P &amp; NP'!NZ500</f>
        <v>0</v>
      </c>
      <c r="BA23" s="206">
        <f>'P &amp; NP'!OO500</f>
        <v>0</v>
      </c>
      <c r="BB23" s="206">
        <f>'P &amp; NP'!OP500</f>
        <v>0</v>
      </c>
      <c r="BC23" s="206">
        <f>'P &amp; NP'!PE500</f>
        <v>0</v>
      </c>
      <c r="BD23" s="206">
        <f>'P &amp; NP'!PF500</f>
        <v>0</v>
      </c>
      <c r="BE23" s="206">
        <f>'P &amp; NP'!PU500</f>
        <v>0</v>
      </c>
      <c r="BF23" s="206">
        <f>'P &amp; NP'!PV500</f>
        <v>0</v>
      </c>
      <c r="BG23" s="206">
        <f>'P &amp; NP'!QK500</f>
        <v>0</v>
      </c>
      <c r="BH23" s="206">
        <f>'P &amp; NP'!QL500</f>
        <v>0</v>
      </c>
      <c r="BI23" s="206">
        <f>'P &amp; NP'!RA500</f>
        <v>0</v>
      </c>
      <c r="BJ23" s="206">
        <f>'P &amp; NP'!RB500</f>
        <v>0</v>
      </c>
      <c r="BK23" s="206">
        <f>'P &amp; NP'!RQ500</f>
        <v>0</v>
      </c>
      <c r="BL23" s="206">
        <f>'P &amp; NP'!RR500</f>
        <v>0</v>
      </c>
      <c r="BM23" s="206">
        <f>'P &amp; NP'!SG500</f>
        <v>0</v>
      </c>
      <c r="BN23" s="206">
        <f>'P &amp; NP'!SH500</f>
        <v>0</v>
      </c>
      <c r="BO23" s="206">
        <f>'P &amp; NP'!SW500</f>
        <v>0</v>
      </c>
      <c r="BP23" s="206">
        <f>'P &amp; NP'!SX500</f>
        <v>0</v>
      </c>
      <c r="BQ23" s="206">
        <f>'P &amp; NP'!TM500</f>
        <v>0</v>
      </c>
      <c r="BR23" s="206">
        <f>'P &amp; NP'!TN500</f>
        <v>0</v>
      </c>
      <c r="BS23" s="206">
        <f>'P &amp; NP'!UC500</f>
        <v>0</v>
      </c>
      <c r="BT23" s="206">
        <f>'P &amp; NP'!UD500</f>
        <v>0</v>
      </c>
      <c r="BU23" s="206">
        <f>'P &amp; NP'!US500</f>
        <v>0</v>
      </c>
      <c r="BV23" s="206">
        <f>'P &amp; NP'!UT500</f>
        <v>0</v>
      </c>
      <c r="BW23" s="206">
        <f>'P &amp; NP'!VI500</f>
        <v>0</v>
      </c>
      <c r="BX23" s="206">
        <f>'P &amp; NP'!VJ500</f>
        <v>0</v>
      </c>
      <c r="BY23" s="206">
        <f>'P &amp; NP'!VY500</f>
        <v>0</v>
      </c>
      <c r="BZ23" s="206">
        <f>'P &amp; NP'!VZ500</f>
        <v>0</v>
      </c>
      <c r="CB23" s="206">
        <f t="shared" si="3"/>
        <v>0</v>
      </c>
      <c r="CC23" s="206">
        <f t="shared" si="4"/>
        <v>0</v>
      </c>
    </row>
    <row r="24" spans="2:81">
      <c r="B24" s="207" t="str">
        <f>'P &amp; NP'!B30</f>
        <v xml:space="preserve">Mas, Ikan Mas, Karper </v>
      </c>
      <c r="C24" s="206">
        <f>'P &amp; NP'!E501</f>
        <v>0</v>
      </c>
      <c r="D24" s="206">
        <f>'P &amp; NP'!F501</f>
        <v>0</v>
      </c>
      <c r="E24" s="206">
        <f>'P &amp; NP'!U501</f>
        <v>0</v>
      </c>
      <c r="F24" s="206">
        <f>'P &amp; NP'!V501</f>
        <v>0</v>
      </c>
      <c r="G24" s="206">
        <f>'P &amp; NP'!AK501</f>
        <v>0</v>
      </c>
      <c r="H24" s="206">
        <f>'P &amp; NP'!AL501</f>
        <v>0</v>
      </c>
      <c r="I24" s="206">
        <f>'P &amp; NP'!BA501</f>
        <v>0</v>
      </c>
      <c r="J24" s="206">
        <f>'P &amp; NP'!BB501</f>
        <v>0</v>
      </c>
      <c r="K24" s="206">
        <f>'P &amp; NP'!BQ501</f>
        <v>0</v>
      </c>
      <c r="L24" s="206">
        <f>'P &amp; NP'!BR501</f>
        <v>0</v>
      </c>
      <c r="M24" s="206">
        <f>'P &amp; NP'!CG501</f>
        <v>0</v>
      </c>
      <c r="N24" s="206">
        <f>'P &amp; NP'!CH501</f>
        <v>0</v>
      </c>
      <c r="O24" s="206">
        <f>'P &amp; NP'!CW501</f>
        <v>0</v>
      </c>
      <c r="P24" s="206">
        <f>'P &amp; NP'!CX501</f>
        <v>0</v>
      </c>
      <c r="Q24" s="206">
        <f>'P &amp; NP'!DM501</f>
        <v>0</v>
      </c>
      <c r="R24" s="206">
        <f>'P &amp; NP'!DN501</f>
        <v>0</v>
      </c>
      <c r="S24" s="206">
        <f>'P &amp; NP'!EC501</f>
        <v>0</v>
      </c>
      <c r="T24" s="206">
        <f>'P &amp; NP'!ED501</f>
        <v>0</v>
      </c>
      <c r="U24" s="206">
        <f>'P &amp; NP'!ES501</f>
        <v>0</v>
      </c>
      <c r="V24" s="206">
        <f>'P &amp; NP'!ET501</f>
        <v>0</v>
      </c>
      <c r="W24" s="206">
        <f>'P &amp; NP'!FI501</f>
        <v>0</v>
      </c>
      <c r="X24" s="206">
        <f>'P &amp; NP'!FJ501</f>
        <v>0</v>
      </c>
      <c r="Y24" s="206">
        <f>'P &amp; NP'!FY501</f>
        <v>0</v>
      </c>
      <c r="Z24" s="206">
        <f>'P &amp; NP'!FZ501</f>
        <v>0</v>
      </c>
      <c r="AA24" s="206">
        <f>'P &amp; NP'!GO501</f>
        <v>0</v>
      </c>
      <c r="AB24" s="206">
        <f>'P &amp; NP'!GP501</f>
        <v>0</v>
      </c>
      <c r="AC24" s="206">
        <f>'P &amp; NP'!HE501</f>
        <v>0</v>
      </c>
      <c r="AD24" s="206">
        <f>'P &amp; NP'!HF501</f>
        <v>0</v>
      </c>
      <c r="AE24" s="206">
        <f>'P &amp; NP'!HU501</f>
        <v>0</v>
      </c>
      <c r="AF24" s="206">
        <f>'P &amp; NP'!HV501</f>
        <v>0</v>
      </c>
      <c r="AG24" s="206">
        <f>'P &amp; NP'!IK501</f>
        <v>0</v>
      </c>
      <c r="AH24" s="206">
        <f>'P &amp; NP'!IL501</f>
        <v>0</v>
      </c>
      <c r="AI24" s="206">
        <f>'P &amp; NP'!JA501</f>
        <v>0</v>
      </c>
      <c r="AJ24" s="206">
        <f>'P &amp; NP'!JB501</f>
        <v>0</v>
      </c>
      <c r="AK24" s="206">
        <f>'P &amp; NP'!JQ501</f>
        <v>0</v>
      </c>
      <c r="AL24" s="206">
        <f>'P &amp; NP'!JR501</f>
        <v>0</v>
      </c>
      <c r="AM24" s="206">
        <f>'P &amp; NP'!KG501</f>
        <v>0</v>
      </c>
      <c r="AN24" s="206">
        <f>'P &amp; NP'!KH501</f>
        <v>0</v>
      </c>
      <c r="AO24" s="206">
        <f>'P &amp; NP'!KW501</f>
        <v>0</v>
      </c>
      <c r="AP24" s="206">
        <f>'P &amp; NP'!KX501</f>
        <v>0</v>
      </c>
      <c r="AQ24" s="206">
        <f>'P &amp; NP'!LM501</f>
        <v>0</v>
      </c>
      <c r="AR24" s="206">
        <f>'P &amp; NP'!LN501</f>
        <v>0</v>
      </c>
      <c r="AS24" s="206">
        <f>'P &amp; NP'!MC501</f>
        <v>0</v>
      </c>
      <c r="AT24" s="206">
        <f>'P &amp; NP'!MD501</f>
        <v>0</v>
      </c>
      <c r="AU24" s="206">
        <f>'P &amp; NP'!MS501</f>
        <v>0</v>
      </c>
      <c r="AV24" s="206">
        <f>'P &amp; NP'!MT501</f>
        <v>0</v>
      </c>
      <c r="AW24" s="206">
        <f>'P &amp; NP'!NI501</f>
        <v>0</v>
      </c>
      <c r="AX24" s="206">
        <f>'P &amp; NP'!NJ501</f>
        <v>0</v>
      </c>
      <c r="AY24" s="206">
        <f>'P &amp; NP'!NY501</f>
        <v>0</v>
      </c>
      <c r="AZ24" s="206">
        <f>'P &amp; NP'!NZ501</f>
        <v>0</v>
      </c>
      <c r="BA24" s="206">
        <f>'P &amp; NP'!OO501</f>
        <v>0</v>
      </c>
      <c r="BB24" s="206">
        <f>'P &amp; NP'!OP501</f>
        <v>0</v>
      </c>
      <c r="BC24" s="206">
        <f>'P &amp; NP'!PE501</f>
        <v>0</v>
      </c>
      <c r="BD24" s="206">
        <f>'P &amp; NP'!PF501</f>
        <v>0</v>
      </c>
      <c r="BE24" s="206">
        <f>'P &amp; NP'!PU501</f>
        <v>0</v>
      </c>
      <c r="BF24" s="206">
        <f>'P &amp; NP'!PV501</f>
        <v>0</v>
      </c>
      <c r="BG24" s="206">
        <f>'P &amp; NP'!QK501</f>
        <v>0</v>
      </c>
      <c r="BH24" s="206">
        <f>'P &amp; NP'!QL501</f>
        <v>0</v>
      </c>
      <c r="BI24" s="206">
        <f>'P &amp; NP'!RA501</f>
        <v>0</v>
      </c>
      <c r="BJ24" s="206">
        <f>'P &amp; NP'!RB501</f>
        <v>0</v>
      </c>
      <c r="BK24" s="206">
        <f>'P &amp; NP'!RQ501</f>
        <v>0</v>
      </c>
      <c r="BL24" s="206">
        <f>'P &amp; NP'!RR501</f>
        <v>0</v>
      </c>
      <c r="BM24" s="206">
        <f>'P &amp; NP'!SG501</f>
        <v>0</v>
      </c>
      <c r="BN24" s="206">
        <f>'P &amp; NP'!SH501</f>
        <v>0</v>
      </c>
      <c r="BO24" s="206">
        <f>'P &amp; NP'!SW501</f>
        <v>0</v>
      </c>
      <c r="BP24" s="206">
        <f>'P &amp; NP'!SX501</f>
        <v>0</v>
      </c>
      <c r="BQ24" s="206">
        <f>'P &amp; NP'!TM501</f>
        <v>0</v>
      </c>
      <c r="BR24" s="206">
        <f>'P &amp; NP'!TN501</f>
        <v>0</v>
      </c>
      <c r="BS24" s="206">
        <f>'P &amp; NP'!UC501</f>
        <v>0</v>
      </c>
      <c r="BT24" s="206">
        <f>'P &amp; NP'!UD501</f>
        <v>0</v>
      </c>
      <c r="BU24" s="206">
        <f>'P &amp; NP'!US501</f>
        <v>0</v>
      </c>
      <c r="BV24" s="206">
        <f>'P &amp; NP'!UT501</f>
        <v>0</v>
      </c>
      <c r="BW24" s="206">
        <f>'P &amp; NP'!VI501</f>
        <v>37</v>
      </c>
      <c r="BX24" s="206">
        <f>'P &amp; NP'!VJ501</f>
        <v>333</v>
      </c>
      <c r="BY24" s="206">
        <f>'P &amp; NP'!VY501</f>
        <v>0</v>
      </c>
      <c r="BZ24" s="206">
        <f>'P &amp; NP'!VZ501</f>
        <v>0</v>
      </c>
      <c r="CB24" s="206">
        <f t="shared" si="3"/>
        <v>37</v>
      </c>
      <c r="CC24" s="206">
        <f t="shared" si="4"/>
        <v>333</v>
      </c>
    </row>
    <row r="25" spans="2:81">
      <c r="B25" s="207" t="str">
        <f>'P &amp; NP'!B31</f>
        <v xml:space="preserve">Mujair </v>
      </c>
      <c r="C25" s="206">
        <f>'P &amp; NP'!E502</f>
        <v>2215500</v>
      </c>
      <c r="D25" s="206">
        <f>'P &amp; NP'!F502</f>
        <v>33232500</v>
      </c>
      <c r="E25" s="206">
        <f>'P &amp; NP'!U502</f>
        <v>87495</v>
      </c>
      <c r="F25" s="206">
        <f>'P &amp; NP'!V502</f>
        <v>1312425</v>
      </c>
      <c r="G25" s="206">
        <f>'P &amp; NP'!AK502</f>
        <v>0</v>
      </c>
      <c r="H25" s="206">
        <f>'P &amp; NP'!AL502</f>
        <v>0</v>
      </c>
      <c r="I25" s="206">
        <f>'P &amp; NP'!BA502</f>
        <v>0</v>
      </c>
      <c r="J25" s="206">
        <f>'P &amp; NP'!BB502</f>
        <v>0</v>
      </c>
      <c r="K25" s="206">
        <f>'P &amp; NP'!BQ502</f>
        <v>0</v>
      </c>
      <c r="L25" s="206">
        <f>'P &amp; NP'!BR502</f>
        <v>0</v>
      </c>
      <c r="M25" s="206">
        <f>'P &amp; NP'!CG502</f>
        <v>3354815.3068862394</v>
      </c>
      <c r="N25" s="206">
        <f>'P &amp; NP'!CH502</f>
        <v>29091073.649993859</v>
      </c>
      <c r="O25" s="206">
        <f>'P &amp; NP'!CW502</f>
        <v>0</v>
      </c>
      <c r="P25" s="206">
        <f>'P &amp; NP'!CX502</f>
        <v>0</v>
      </c>
      <c r="Q25" s="206">
        <f>'P &amp; NP'!DM502</f>
        <v>0</v>
      </c>
      <c r="R25" s="206">
        <f>'P &amp; NP'!DN502</f>
        <v>0</v>
      </c>
      <c r="S25" s="206">
        <f>'P &amp; NP'!EC502</f>
        <v>0</v>
      </c>
      <c r="T25" s="206">
        <f>'P &amp; NP'!ED502</f>
        <v>0</v>
      </c>
      <c r="U25" s="206">
        <f>'P &amp; NP'!ES502</f>
        <v>12017</v>
      </c>
      <c r="V25" s="206">
        <f>'P &amp; NP'!ET502</f>
        <v>60085</v>
      </c>
      <c r="W25" s="206">
        <f>'P &amp; NP'!FI502</f>
        <v>0</v>
      </c>
      <c r="X25" s="206">
        <f>'P &amp; NP'!FJ502</f>
        <v>0</v>
      </c>
      <c r="Y25" s="206">
        <f>'P &amp; NP'!FY502</f>
        <v>0</v>
      </c>
      <c r="Z25" s="206">
        <f>'P &amp; NP'!FZ502</f>
        <v>0</v>
      </c>
      <c r="AA25" s="206">
        <f>'P &amp; NP'!GO502</f>
        <v>0</v>
      </c>
      <c r="AB25" s="206">
        <f>'P &amp; NP'!GP502</f>
        <v>0</v>
      </c>
      <c r="AC25" s="206">
        <f>'P &amp; NP'!HE502</f>
        <v>0</v>
      </c>
      <c r="AD25" s="206">
        <f>'P &amp; NP'!HF502</f>
        <v>0</v>
      </c>
      <c r="AE25" s="206">
        <f>'P &amp; NP'!HU502</f>
        <v>0</v>
      </c>
      <c r="AF25" s="206">
        <f>'P &amp; NP'!HV502</f>
        <v>0</v>
      </c>
      <c r="AG25" s="206">
        <f>'P &amp; NP'!IK502</f>
        <v>0</v>
      </c>
      <c r="AH25" s="206">
        <f>'P &amp; NP'!IL502</f>
        <v>0</v>
      </c>
      <c r="AI25" s="206">
        <f>'P &amp; NP'!JA502</f>
        <v>0</v>
      </c>
      <c r="AJ25" s="206">
        <f>'P &amp; NP'!JB502</f>
        <v>0</v>
      </c>
      <c r="AK25" s="206">
        <f>'P &amp; NP'!JQ502</f>
        <v>0</v>
      </c>
      <c r="AL25" s="206">
        <f>'P &amp; NP'!JR502</f>
        <v>0</v>
      </c>
      <c r="AM25" s="206">
        <f>'P &amp; NP'!KG502</f>
        <v>0</v>
      </c>
      <c r="AN25" s="206">
        <f>'P &amp; NP'!KH502</f>
        <v>0</v>
      </c>
      <c r="AO25" s="206">
        <f>'P &amp; NP'!KW502</f>
        <v>0</v>
      </c>
      <c r="AP25" s="206">
        <f>'P &amp; NP'!KX502</f>
        <v>0</v>
      </c>
      <c r="AQ25" s="206">
        <f>'P &amp; NP'!LM502</f>
        <v>0</v>
      </c>
      <c r="AR25" s="206">
        <f>'P &amp; NP'!LN502</f>
        <v>0</v>
      </c>
      <c r="AS25" s="206">
        <f>'P &amp; NP'!MC502</f>
        <v>69990</v>
      </c>
      <c r="AT25" s="206">
        <f>'P &amp; NP'!MD502</f>
        <v>699900</v>
      </c>
      <c r="AU25" s="206">
        <f>'P &amp; NP'!MS502</f>
        <v>14745</v>
      </c>
      <c r="AV25" s="206">
        <f>'P &amp; NP'!MT502</f>
        <v>368625</v>
      </c>
      <c r="AW25" s="206">
        <f>'P &amp; NP'!NI502</f>
        <v>3415700</v>
      </c>
      <c r="AX25" s="206">
        <f>'P &amp; NP'!NJ502</f>
        <v>54651200</v>
      </c>
      <c r="AY25" s="206">
        <f>'P &amp; NP'!NY502</f>
        <v>0</v>
      </c>
      <c r="AZ25" s="206">
        <f>'P &amp; NP'!NZ502</f>
        <v>0</v>
      </c>
      <c r="BA25" s="206">
        <f>'P &amp; NP'!OO502</f>
        <v>0</v>
      </c>
      <c r="BB25" s="206">
        <f>'P &amp; NP'!OP502</f>
        <v>0</v>
      </c>
      <c r="BC25" s="206">
        <f>'P &amp; NP'!PE502</f>
        <v>0</v>
      </c>
      <c r="BD25" s="206">
        <f>'P &amp; NP'!PF502</f>
        <v>0</v>
      </c>
      <c r="BE25" s="206">
        <f>'P &amp; NP'!PU502</f>
        <v>541370</v>
      </c>
      <c r="BF25" s="206">
        <f>'P &amp; NP'!PV502</f>
        <v>6161070</v>
      </c>
      <c r="BG25" s="206">
        <f>'P &amp; NP'!QK502</f>
        <v>0</v>
      </c>
      <c r="BH25" s="206">
        <f>'P &amp; NP'!QL502</f>
        <v>0</v>
      </c>
      <c r="BI25" s="206">
        <f>'P &amp; NP'!RA502</f>
        <v>0</v>
      </c>
      <c r="BJ25" s="206">
        <f>'P &amp; NP'!RB502</f>
        <v>0</v>
      </c>
      <c r="BK25" s="206">
        <f>'P &amp; NP'!RQ502</f>
        <v>0</v>
      </c>
      <c r="BL25" s="206">
        <f>'P &amp; NP'!RR502</f>
        <v>0</v>
      </c>
      <c r="BM25" s="206">
        <f>'P &amp; NP'!SG502</f>
        <v>0</v>
      </c>
      <c r="BN25" s="206">
        <f>'P &amp; NP'!SH502</f>
        <v>0</v>
      </c>
      <c r="BO25" s="206">
        <f>'P &amp; NP'!SW502</f>
        <v>0</v>
      </c>
      <c r="BP25" s="206">
        <f>'P &amp; NP'!SX502</f>
        <v>0</v>
      </c>
      <c r="BQ25" s="206">
        <f>'P &amp; NP'!TM502</f>
        <v>0</v>
      </c>
      <c r="BR25" s="206">
        <f>'P &amp; NP'!TN502</f>
        <v>0</v>
      </c>
      <c r="BS25" s="206">
        <f>'P &amp; NP'!UC502</f>
        <v>0</v>
      </c>
      <c r="BT25" s="206">
        <f>'P &amp; NP'!UD502</f>
        <v>0</v>
      </c>
      <c r="BU25" s="206">
        <f>'P &amp; NP'!US502</f>
        <v>0</v>
      </c>
      <c r="BV25" s="206">
        <f>'P &amp; NP'!UT502</f>
        <v>0</v>
      </c>
      <c r="BW25" s="206">
        <f>'P &amp; NP'!VI502</f>
        <v>533</v>
      </c>
      <c r="BX25" s="206">
        <f>'P &amp; NP'!VJ502</f>
        <v>4797</v>
      </c>
      <c r="BY25" s="206">
        <f>'P &amp; NP'!VY502</f>
        <v>0</v>
      </c>
      <c r="BZ25" s="206">
        <f>'P &amp; NP'!VZ502</f>
        <v>0</v>
      </c>
      <c r="CB25" s="206">
        <f t="shared" si="3"/>
        <v>9712165.306886239</v>
      </c>
      <c r="CC25" s="206">
        <f t="shared" si="4"/>
        <v>125581675.64999387</v>
      </c>
    </row>
    <row r="26" spans="2:81">
      <c r="B26" s="207" t="str">
        <f>'P &amp; NP'!B32</f>
        <v xml:space="preserve">Nila </v>
      </c>
      <c r="C26" s="206">
        <f>'P &amp; NP'!E503</f>
        <v>0</v>
      </c>
      <c r="D26" s="206">
        <f>'P &amp; NP'!F503</f>
        <v>0</v>
      </c>
      <c r="E26" s="206">
        <f>'P &amp; NP'!U503</f>
        <v>118605</v>
      </c>
      <c r="F26" s="206">
        <f>'P &amp; NP'!V503</f>
        <v>2372100</v>
      </c>
      <c r="G26" s="206">
        <f>'P &amp; NP'!AK503</f>
        <v>0</v>
      </c>
      <c r="H26" s="206">
        <f>'P &amp; NP'!AL503</f>
        <v>0</v>
      </c>
      <c r="I26" s="206">
        <f>'P &amp; NP'!BA503</f>
        <v>0</v>
      </c>
      <c r="J26" s="206">
        <f>'P &amp; NP'!BB503</f>
        <v>0</v>
      </c>
      <c r="K26" s="206">
        <f>'P &amp; NP'!BQ503</f>
        <v>0</v>
      </c>
      <c r="L26" s="206">
        <f>'P &amp; NP'!BR503</f>
        <v>0</v>
      </c>
      <c r="M26" s="206">
        <f>'P &amp; NP'!CG503</f>
        <v>684875.24720398197</v>
      </c>
      <c r="N26" s="206">
        <f>'P &amp; NP'!CH503</f>
        <v>10910704.985198008</v>
      </c>
      <c r="O26" s="206">
        <f>'P &amp; NP'!CW503</f>
        <v>0</v>
      </c>
      <c r="P26" s="206">
        <f>'P &amp; NP'!CX503</f>
        <v>0</v>
      </c>
      <c r="Q26" s="206">
        <f>'P &amp; NP'!DM503</f>
        <v>0</v>
      </c>
      <c r="R26" s="206">
        <f>'P &amp; NP'!DN503</f>
        <v>0</v>
      </c>
      <c r="S26" s="206">
        <f>'P &amp; NP'!EC503</f>
        <v>0</v>
      </c>
      <c r="T26" s="206">
        <f>'P &amp; NP'!ED503</f>
        <v>0</v>
      </c>
      <c r="U26" s="206">
        <f>'P &amp; NP'!ES503</f>
        <v>287982</v>
      </c>
      <c r="V26" s="206">
        <f>'P &amp; NP'!ET503</f>
        <v>6584664</v>
      </c>
      <c r="W26" s="206">
        <f>'P &amp; NP'!FI503</f>
        <v>0</v>
      </c>
      <c r="X26" s="206">
        <f>'P &amp; NP'!FJ503</f>
        <v>0</v>
      </c>
      <c r="Y26" s="206">
        <f>'P &amp; NP'!FY503</f>
        <v>0</v>
      </c>
      <c r="Z26" s="206">
        <f>'P &amp; NP'!FZ503</f>
        <v>0</v>
      </c>
      <c r="AA26" s="206">
        <f>'P &amp; NP'!GO503</f>
        <v>0</v>
      </c>
      <c r="AB26" s="206">
        <f>'P &amp; NP'!GP503</f>
        <v>0</v>
      </c>
      <c r="AC26" s="206">
        <f>'P &amp; NP'!HE503</f>
        <v>0</v>
      </c>
      <c r="AD26" s="206">
        <f>'P &amp; NP'!HF503</f>
        <v>0</v>
      </c>
      <c r="AE26" s="206">
        <f>'P &amp; NP'!HU503</f>
        <v>0</v>
      </c>
      <c r="AF26" s="206">
        <f>'P &amp; NP'!HV503</f>
        <v>0</v>
      </c>
      <c r="AG26" s="206">
        <f>'P &amp; NP'!IK503</f>
        <v>0</v>
      </c>
      <c r="AH26" s="206">
        <f>'P &amp; NP'!IL503</f>
        <v>0</v>
      </c>
      <c r="AI26" s="206">
        <f>'P &amp; NP'!JA503</f>
        <v>0</v>
      </c>
      <c r="AJ26" s="206">
        <f>'P &amp; NP'!JB503</f>
        <v>0</v>
      </c>
      <c r="AK26" s="206">
        <f>'P &amp; NP'!JQ503</f>
        <v>0</v>
      </c>
      <c r="AL26" s="206">
        <f>'P &amp; NP'!JR503</f>
        <v>0</v>
      </c>
      <c r="AM26" s="206">
        <f>'P &amp; NP'!KG503</f>
        <v>0</v>
      </c>
      <c r="AN26" s="206">
        <f>'P &amp; NP'!KH503</f>
        <v>0</v>
      </c>
      <c r="AO26" s="206">
        <f>'P &amp; NP'!KW503</f>
        <v>267180.89999999997</v>
      </c>
      <c r="AP26" s="206">
        <f>'P &amp; NP'!KX503</f>
        <v>4836897</v>
      </c>
      <c r="AQ26" s="206">
        <f>'P &amp; NP'!LM503</f>
        <v>0</v>
      </c>
      <c r="AR26" s="206">
        <f>'P &amp; NP'!LN503</f>
        <v>0</v>
      </c>
      <c r="AS26" s="206">
        <f>'P &amp; NP'!MC503</f>
        <v>27720</v>
      </c>
      <c r="AT26" s="206">
        <f>'P &amp; NP'!MD503</f>
        <v>506760</v>
      </c>
      <c r="AU26" s="206">
        <f>'P &amp; NP'!MS503</f>
        <v>0</v>
      </c>
      <c r="AV26" s="206">
        <f>'P &amp; NP'!MT503</f>
        <v>0</v>
      </c>
      <c r="AW26" s="206">
        <f>'P &amp; NP'!NI503</f>
        <v>15712211</v>
      </c>
      <c r="AX26" s="206">
        <f>'P &amp; NP'!NJ503</f>
        <v>282819798</v>
      </c>
      <c r="AY26" s="206">
        <f>'P &amp; NP'!NY503</f>
        <v>0</v>
      </c>
      <c r="AZ26" s="206">
        <f>'P &amp; NP'!NZ503</f>
        <v>0</v>
      </c>
      <c r="BA26" s="206">
        <f>'P &amp; NP'!OO503</f>
        <v>52064</v>
      </c>
      <c r="BB26" s="206">
        <f>'P &amp; NP'!OP503</f>
        <v>1822240</v>
      </c>
      <c r="BC26" s="206">
        <f>'P &amp; NP'!PE503</f>
        <v>0</v>
      </c>
      <c r="BD26" s="206">
        <f>'P &amp; NP'!PF503</f>
        <v>0</v>
      </c>
      <c r="BE26" s="206">
        <f>'P &amp; NP'!PU503</f>
        <v>1759180</v>
      </c>
      <c r="BF26" s="206">
        <f>'P &amp; NP'!PV503</f>
        <v>31665240</v>
      </c>
      <c r="BG26" s="206">
        <f>'P &amp; NP'!QK503</f>
        <v>0</v>
      </c>
      <c r="BH26" s="206">
        <f>'P &amp; NP'!QL503</f>
        <v>0</v>
      </c>
      <c r="BI26" s="206">
        <f>'P &amp; NP'!RA503</f>
        <v>0</v>
      </c>
      <c r="BJ26" s="206">
        <f>'P &amp; NP'!RB503</f>
        <v>0</v>
      </c>
      <c r="BK26" s="206">
        <f>'P &amp; NP'!RQ503</f>
        <v>0</v>
      </c>
      <c r="BL26" s="206">
        <f>'P &amp; NP'!RR503</f>
        <v>0</v>
      </c>
      <c r="BM26" s="206">
        <f>'P &amp; NP'!SG503</f>
        <v>0</v>
      </c>
      <c r="BN26" s="206">
        <f>'P &amp; NP'!SH503</f>
        <v>0</v>
      </c>
      <c r="BO26" s="206">
        <f>'P &amp; NP'!SW503</f>
        <v>0</v>
      </c>
      <c r="BP26" s="206">
        <f>'P &amp; NP'!SX503</f>
        <v>0</v>
      </c>
      <c r="BQ26" s="206">
        <f>'P &amp; NP'!TM503</f>
        <v>0</v>
      </c>
      <c r="BR26" s="206">
        <f>'P &amp; NP'!TN503</f>
        <v>0</v>
      </c>
      <c r="BS26" s="206">
        <f>'P &amp; NP'!UC503</f>
        <v>0</v>
      </c>
      <c r="BT26" s="206">
        <f>'P &amp; NP'!UD503</f>
        <v>0</v>
      </c>
      <c r="BU26" s="206">
        <f>'P &amp; NP'!US503</f>
        <v>5580</v>
      </c>
      <c r="BV26" s="206">
        <f>'P &amp; NP'!UT503</f>
        <v>142375</v>
      </c>
      <c r="BW26" s="206">
        <f>'P &amp; NP'!VI503</f>
        <v>9419.5</v>
      </c>
      <c r="BX26" s="206">
        <f>'P &amp; NP'!VJ503</f>
        <v>228448.5</v>
      </c>
      <c r="BY26" s="206">
        <f>'P &amp; NP'!VY503</f>
        <v>784915</v>
      </c>
      <c r="BZ26" s="206">
        <f>'P &amp; NP'!VZ503</f>
        <v>22084780</v>
      </c>
      <c r="CB26" s="206">
        <f t="shared" si="3"/>
        <v>19709732.647203982</v>
      </c>
      <c r="CC26" s="206">
        <f t="shared" si="4"/>
        <v>363974007.48519802</v>
      </c>
    </row>
    <row r="27" spans="2:81">
      <c r="B27" s="207" t="str">
        <f>'P &amp; NP'!B33</f>
        <v xml:space="preserve">Patin </v>
      </c>
      <c r="C27" s="206">
        <f>'P &amp; NP'!E504</f>
        <v>0</v>
      </c>
      <c r="D27" s="206">
        <f>'P &amp; NP'!F504</f>
        <v>0</v>
      </c>
      <c r="E27" s="206">
        <f>'P &amp; NP'!U504</f>
        <v>0</v>
      </c>
      <c r="F27" s="206">
        <f>'P &amp; NP'!V504</f>
        <v>0</v>
      </c>
      <c r="G27" s="206">
        <f>'P &amp; NP'!AK504</f>
        <v>0</v>
      </c>
      <c r="H27" s="206">
        <f>'P &amp; NP'!AL504</f>
        <v>0</v>
      </c>
      <c r="I27" s="206">
        <f>'P &amp; NP'!BA504</f>
        <v>0</v>
      </c>
      <c r="J27" s="206">
        <f>'P &amp; NP'!BB504</f>
        <v>0</v>
      </c>
      <c r="K27" s="206">
        <f>'P &amp; NP'!BQ504</f>
        <v>0</v>
      </c>
      <c r="L27" s="206">
        <f>'P &amp; NP'!BR504</f>
        <v>0</v>
      </c>
      <c r="M27" s="206">
        <f>'P &amp; NP'!CG504</f>
        <v>0</v>
      </c>
      <c r="N27" s="206">
        <f>'P &amp; NP'!CH504</f>
        <v>0</v>
      </c>
      <c r="O27" s="206">
        <f>'P &amp; NP'!CW504</f>
        <v>0</v>
      </c>
      <c r="P27" s="206">
        <f>'P &amp; NP'!CX504</f>
        <v>0</v>
      </c>
      <c r="Q27" s="206">
        <f>'P &amp; NP'!DM504</f>
        <v>0</v>
      </c>
      <c r="R27" s="206">
        <f>'P &amp; NP'!DN504</f>
        <v>0</v>
      </c>
      <c r="S27" s="206">
        <f>'P &amp; NP'!EC504</f>
        <v>0</v>
      </c>
      <c r="T27" s="206">
        <f>'P &amp; NP'!ED504</f>
        <v>0</v>
      </c>
      <c r="U27" s="206">
        <f>'P &amp; NP'!ES504</f>
        <v>0</v>
      </c>
      <c r="V27" s="206">
        <f>'P &amp; NP'!ET504</f>
        <v>0</v>
      </c>
      <c r="W27" s="206">
        <f>'P &amp; NP'!FI504</f>
        <v>0</v>
      </c>
      <c r="X27" s="206">
        <f>'P &amp; NP'!FJ504</f>
        <v>0</v>
      </c>
      <c r="Y27" s="206">
        <f>'P &amp; NP'!FY504</f>
        <v>0</v>
      </c>
      <c r="Z27" s="206">
        <f>'P &amp; NP'!FZ504</f>
        <v>0</v>
      </c>
      <c r="AA27" s="206">
        <f>'P &amp; NP'!GO504</f>
        <v>0</v>
      </c>
      <c r="AB27" s="206">
        <f>'P &amp; NP'!GP504</f>
        <v>0</v>
      </c>
      <c r="AC27" s="206">
        <f>'P &amp; NP'!HE504</f>
        <v>0</v>
      </c>
      <c r="AD27" s="206">
        <f>'P &amp; NP'!HF504</f>
        <v>0</v>
      </c>
      <c r="AE27" s="206">
        <f>'P &amp; NP'!HU504</f>
        <v>0</v>
      </c>
      <c r="AF27" s="206">
        <f>'P &amp; NP'!HV504</f>
        <v>0</v>
      </c>
      <c r="AG27" s="206">
        <f>'P &amp; NP'!IK504</f>
        <v>0</v>
      </c>
      <c r="AH27" s="206">
        <f>'P &amp; NP'!IL504</f>
        <v>0</v>
      </c>
      <c r="AI27" s="206">
        <f>'P &amp; NP'!JA504</f>
        <v>0</v>
      </c>
      <c r="AJ27" s="206">
        <f>'P &amp; NP'!JB504</f>
        <v>0</v>
      </c>
      <c r="AK27" s="206">
        <f>'P &amp; NP'!JQ504</f>
        <v>0</v>
      </c>
      <c r="AL27" s="206">
        <f>'P &amp; NP'!JR504</f>
        <v>0</v>
      </c>
      <c r="AM27" s="206">
        <f>'P &amp; NP'!KG504</f>
        <v>0</v>
      </c>
      <c r="AN27" s="206">
        <f>'P &amp; NP'!KH504</f>
        <v>0</v>
      </c>
      <c r="AO27" s="206">
        <f>'P &amp; NP'!KW504</f>
        <v>0</v>
      </c>
      <c r="AP27" s="206">
        <f>'P &amp; NP'!KX504</f>
        <v>0</v>
      </c>
      <c r="AQ27" s="206">
        <f>'P &amp; NP'!LM504</f>
        <v>0</v>
      </c>
      <c r="AR27" s="206">
        <f>'P &amp; NP'!LN504</f>
        <v>0</v>
      </c>
      <c r="AS27" s="206">
        <f>'P &amp; NP'!MC504</f>
        <v>0</v>
      </c>
      <c r="AT27" s="206">
        <f>'P &amp; NP'!MD504</f>
        <v>0</v>
      </c>
      <c r="AU27" s="206">
        <f>'P &amp; NP'!MS504</f>
        <v>0</v>
      </c>
      <c r="AV27" s="206">
        <f>'P &amp; NP'!MT504</f>
        <v>0</v>
      </c>
      <c r="AW27" s="206">
        <f>'P &amp; NP'!NI504</f>
        <v>0</v>
      </c>
      <c r="AX27" s="206">
        <f>'P &amp; NP'!NJ504</f>
        <v>0</v>
      </c>
      <c r="AY27" s="206">
        <f>'P &amp; NP'!NY504</f>
        <v>0</v>
      </c>
      <c r="AZ27" s="206">
        <f>'P &amp; NP'!NZ504</f>
        <v>0</v>
      </c>
      <c r="BA27" s="206">
        <f>'P &amp; NP'!OO504</f>
        <v>0</v>
      </c>
      <c r="BB27" s="206">
        <f>'P &amp; NP'!OP504</f>
        <v>0</v>
      </c>
      <c r="BC27" s="206">
        <f>'P &amp; NP'!PE504</f>
        <v>0</v>
      </c>
      <c r="BD27" s="206">
        <f>'P &amp; NP'!PF504</f>
        <v>0</v>
      </c>
      <c r="BE27" s="206">
        <f>'P &amp; NP'!PU504</f>
        <v>0</v>
      </c>
      <c r="BF27" s="206">
        <f>'P &amp; NP'!PV504</f>
        <v>0</v>
      </c>
      <c r="BG27" s="206">
        <f>'P &amp; NP'!QK504</f>
        <v>0</v>
      </c>
      <c r="BH27" s="206">
        <f>'P &amp; NP'!QL504</f>
        <v>0</v>
      </c>
      <c r="BI27" s="206">
        <f>'P &amp; NP'!RA504</f>
        <v>0</v>
      </c>
      <c r="BJ27" s="206">
        <f>'P &amp; NP'!RB504</f>
        <v>0</v>
      </c>
      <c r="BK27" s="206">
        <f>'P &amp; NP'!RQ504</f>
        <v>0</v>
      </c>
      <c r="BL27" s="206">
        <f>'P &amp; NP'!RR504</f>
        <v>0</v>
      </c>
      <c r="BM27" s="206">
        <f>'P &amp; NP'!SG504</f>
        <v>0</v>
      </c>
      <c r="BN27" s="206">
        <f>'P &amp; NP'!SH504</f>
        <v>0</v>
      </c>
      <c r="BO27" s="206">
        <f>'P &amp; NP'!SW504</f>
        <v>0</v>
      </c>
      <c r="BP27" s="206">
        <f>'P &amp; NP'!SX504</f>
        <v>0</v>
      </c>
      <c r="BQ27" s="206">
        <f>'P &amp; NP'!TM504</f>
        <v>0</v>
      </c>
      <c r="BR27" s="206">
        <f>'P &amp; NP'!TN504</f>
        <v>0</v>
      </c>
      <c r="BS27" s="206">
        <f>'P &amp; NP'!UC504</f>
        <v>0</v>
      </c>
      <c r="BT27" s="206">
        <f>'P &amp; NP'!UD504</f>
        <v>0</v>
      </c>
      <c r="BU27" s="206">
        <f>'P &amp; NP'!US504</f>
        <v>0</v>
      </c>
      <c r="BV27" s="206">
        <f>'P &amp; NP'!UT504</f>
        <v>0</v>
      </c>
      <c r="BW27" s="206">
        <f>'P &amp; NP'!VI504</f>
        <v>0</v>
      </c>
      <c r="BX27" s="206">
        <f>'P &amp; NP'!VJ504</f>
        <v>0</v>
      </c>
      <c r="BY27" s="206">
        <f>'P &amp; NP'!VY504</f>
        <v>0</v>
      </c>
      <c r="BZ27" s="206">
        <f>'P &amp; NP'!VZ504</f>
        <v>0</v>
      </c>
      <c r="CB27" s="206">
        <f t="shared" si="3"/>
        <v>0</v>
      </c>
      <c r="CC27" s="206">
        <f t="shared" si="4"/>
        <v>0</v>
      </c>
    </row>
    <row r="28" spans="2:81">
      <c r="B28" s="207" t="str">
        <f>'P &amp; NP'!B34</f>
        <v xml:space="preserve">Rajungan </v>
      </c>
      <c r="C28" s="206">
        <f>'P &amp; NP'!E505</f>
        <v>0</v>
      </c>
      <c r="D28" s="206">
        <f>'P &amp; NP'!F505</f>
        <v>0</v>
      </c>
      <c r="E28" s="206">
        <f>'P &amp; NP'!U505</f>
        <v>0</v>
      </c>
      <c r="F28" s="206">
        <f>'P &amp; NP'!V505</f>
        <v>0</v>
      </c>
      <c r="G28" s="206">
        <f>'P &amp; NP'!AK505</f>
        <v>0</v>
      </c>
      <c r="H28" s="206">
        <f>'P &amp; NP'!AL505</f>
        <v>0</v>
      </c>
      <c r="I28" s="206">
        <f>'P &amp; NP'!BA505</f>
        <v>0</v>
      </c>
      <c r="J28" s="206">
        <f>'P &amp; NP'!BB505</f>
        <v>0</v>
      </c>
      <c r="K28" s="206">
        <f>'P &amp; NP'!BQ505</f>
        <v>0</v>
      </c>
      <c r="L28" s="206">
        <f>'P &amp; NP'!BR505</f>
        <v>0</v>
      </c>
      <c r="M28" s="206">
        <f>'P &amp; NP'!CG505</f>
        <v>0</v>
      </c>
      <c r="N28" s="206">
        <f>'P &amp; NP'!CH505</f>
        <v>0</v>
      </c>
      <c r="O28" s="206">
        <f>'P &amp; NP'!CW505</f>
        <v>0</v>
      </c>
      <c r="P28" s="206">
        <f>'P &amp; NP'!CX505</f>
        <v>0</v>
      </c>
      <c r="Q28" s="206">
        <f>'P &amp; NP'!DM505</f>
        <v>0</v>
      </c>
      <c r="R28" s="206">
        <f>'P &amp; NP'!DN505</f>
        <v>0</v>
      </c>
      <c r="S28" s="206">
        <f>'P &amp; NP'!EC505</f>
        <v>0</v>
      </c>
      <c r="T28" s="206">
        <f>'P &amp; NP'!ED505</f>
        <v>0</v>
      </c>
      <c r="U28" s="206">
        <f>'P &amp; NP'!ES505</f>
        <v>0</v>
      </c>
      <c r="V28" s="206">
        <f>'P &amp; NP'!ET505</f>
        <v>0</v>
      </c>
      <c r="W28" s="206">
        <f>'P &amp; NP'!FI505</f>
        <v>0</v>
      </c>
      <c r="X28" s="206">
        <f>'P &amp; NP'!FJ505</f>
        <v>0</v>
      </c>
      <c r="Y28" s="206">
        <f>'P &amp; NP'!FY505</f>
        <v>0</v>
      </c>
      <c r="Z28" s="206">
        <f>'P &amp; NP'!FZ505</f>
        <v>0</v>
      </c>
      <c r="AA28" s="206">
        <f>'P &amp; NP'!GO505</f>
        <v>0</v>
      </c>
      <c r="AB28" s="206">
        <f>'P &amp; NP'!GP505</f>
        <v>0</v>
      </c>
      <c r="AC28" s="206">
        <f>'P &amp; NP'!HE505</f>
        <v>0</v>
      </c>
      <c r="AD28" s="206">
        <f>'P &amp; NP'!HF505</f>
        <v>0</v>
      </c>
      <c r="AE28" s="206">
        <f>'P &amp; NP'!HU505</f>
        <v>0</v>
      </c>
      <c r="AF28" s="206">
        <f>'P &amp; NP'!HV505</f>
        <v>0</v>
      </c>
      <c r="AG28" s="206">
        <f>'P &amp; NP'!IK505</f>
        <v>0</v>
      </c>
      <c r="AH28" s="206">
        <f>'P &amp; NP'!IL505</f>
        <v>0</v>
      </c>
      <c r="AI28" s="206">
        <f>'P &amp; NP'!JA505</f>
        <v>0</v>
      </c>
      <c r="AJ28" s="206">
        <f>'P &amp; NP'!JB505</f>
        <v>0</v>
      </c>
      <c r="AK28" s="206">
        <f>'P &amp; NP'!JQ505</f>
        <v>0</v>
      </c>
      <c r="AL28" s="206">
        <f>'P &amp; NP'!JR505</f>
        <v>0</v>
      </c>
      <c r="AM28" s="206">
        <f>'P &amp; NP'!KG505</f>
        <v>0</v>
      </c>
      <c r="AN28" s="206">
        <f>'P &amp; NP'!KH505</f>
        <v>0</v>
      </c>
      <c r="AO28" s="206">
        <f>'P &amp; NP'!KW505</f>
        <v>0</v>
      </c>
      <c r="AP28" s="206">
        <f>'P &amp; NP'!KX505</f>
        <v>0</v>
      </c>
      <c r="AQ28" s="206">
        <f>'P &amp; NP'!LM505</f>
        <v>0</v>
      </c>
      <c r="AR28" s="206">
        <f>'P &amp; NP'!LN505</f>
        <v>0</v>
      </c>
      <c r="AS28" s="206">
        <f>'P &amp; NP'!MC505</f>
        <v>0</v>
      </c>
      <c r="AT28" s="206">
        <f>'P &amp; NP'!MD505</f>
        <v>0</v>
      </c>
      <c r="AU28" s="206">
        <f>'P &amp; NP'!MS505</f>
        <v>0</v>
      </c>
      <c r="AV28" s="206">
        <f>'P &amp; NP'!MT505</f>
        <v>0</v>
      </c>
      <c r="AW28" s="206">
        <f>'P &amp; NP'!NI505</f>
        <v>0</v>
      </c>
      <c r="AX28" s="206">
        <f>'P &amp; NP'!NJ505</f>
        <v>0</v>
      </c>
      <c r="AY28" s="206">
        <f>'P &amp; NP'!NY505</f>
        <v>0</v>
      </c>
      <c r="AZ28" s="206">
        <f>'P &amp; NP'!NZ505</f>
        <v>0</v>
      </c>
      <c r="BA28" s="206">
        <f>'P &amp; NP'!OO505</f>
        <v>0</v>
      </c>
      <c r="BB28" s="206">
        <f>'P &amp; NP'!OP505</f>
        <v>0</v>
      </c>
      <c r="BC28" s="206">
        <f>'P &amp; NP'!PE505</f>
        <v>0</v>
      </c>
      <c r="BD28" s="206">
        <f>'P &amp; NP'!PF505</f>
        <v>0</v>
      </c>
      <c r="BE28" s="206">
        <f>'P &amp; NP'!PU505</f>
        <v>0</v>
      </c>
      <c r="BF28" s="206">
        <f>'P &amp; NP'!PV505</f>
        <v>0</v>
      </c>
      <c r="BG28" s="206">
        <f>'P &amp; NP'!QK505</f>
        <v>0</v>
      </c>
      <c r="BH28" s="206">
        <f>'P &amp; NP'!QL505</f>
        <v>0</v>
      </c>
      <c r="BI28" s="206">
        <f>'P &amp; NP'!RA505</f>
        <v>0</v>
      </c>
      <c r="BJ28" s="206">
        <f>'P &amp; NP'!RB505</f>
        <v>0</v>
      </c>
      <c r="BK28" s="206">
        <f>'P &amp; NP'!RQ505</f>
        <v>0</v>
      </c>
      <c r="BL28" s="206">
        <f>'P &amp; NP'!RR505</f>
        <v>0</v>
      </c>
      <c r="BM28" s="206">
        <f>'P &amp; NP'!SG505</f>
        <v>0</v>
      </c>
      <c r="BN28" s="206">
        <f>'P &amp; NP'!SH505</f>
        <v>0</v>
      </c>
      <c r="BO28" s="206">
        <f>'P &amp; NP'!SW505</f>
        <v>0</v>
      </c>
      <c r="BP28" s="206">
        <f>'P &amp; NP'!SX505</f>
        <v>0</v>
      </c>
      <c r="BQ28" s="206">
        <f>'P &amp; NP'!TM505</f>
        <v>0</v>
      </c>
      <c r="BR28" s="206">
        <f>'P &amp; NP'!TN505</f>
        <v>0</v>
      </c>
      <c r="BS28" s="206">
        <f>'P &amp; NP'!UC505</f>
        <v>0</v>
      </c>
      <c r="BT28" s="206">
        <f>'P &amp; NP'!UD505</f>
        <v>0</v>
      </c>
      <c r="BU28" s="206">
        <f>'P &amp; NP'!US505</f>
        <v>0</v>
      </c>
      <c r="BV28" s="206">
        <f>'P &amp; NP'!UT505</f>
        <v>0</v>
      </c>
      <c r="BW28" s="206">
        <f>'P &amp; NP'!VI505</f>
        <v>0</v>
      </c>
      <c r="BX28" s="206">
        <f>'P &amp; NP'!VJ505</f>
        <v>0</v>
      </c>
      <c r="BY28" s="206">
        <f>'P &amp; NP'!VY505</f>
        <v>0</v>
      </c>
      <c r="BZ28" s="206">
        <f>'P &amp; NP'!VZ505</f>
        <v>0</v>
      </c>
      <c r="CB28" s="206">
        <f t="shared" si="3"/>
        <v>0</v>
      </c>
      <c r="CC28" s="206">
        <f t="shared" si="4"/>
        <v>0</v>
      </c>
    </row>
    <row r="29" spans="2:81">
      <c r="B29" s="207" t="str">
        <f>'P &amp; NP'!B35</f>
        <v>Tawes</v>
      </c>
      <c r="C29" s="206">
        <f>'P &amp; NP'!E506</f>
        <v>0</v>
      </c>
      <c r="D29" s="206">
        <f>'P &amp; NP'!F506</f>
        <v>0</v>
      </c>
      <c r="E29" s="206">
        <f>'P &amp; NP'!U506</f>
        <v>0</v>
      </c>
      <c r="F29" s="206">
        <f>'P &amp; NP'!V506</f>
        <v>0</v>
      </c>
      <c r="G29" s="206">
        <f>'P &amp; NP'!AK506</f>
        <v>0</v>
      </c>
      <c r="H29" s="206">
        <f>'P &amp; NP'!AL506</f>
        <v>0</v>
      </c>
      <c r="I29" s="206">
        <f>'P &amp; NP'!BA506</f>
        <v>0</v>
      </c>
      <c r="J29" s="206">
        <f>'P &amp; NP'!BB506</f>
        <v>0</v>
      </c>
      <c r="K29" s="206">
        <f>'P &amp; NP'!BQ506</f>
        <v>0</v>
      </c>
      <c r="L29" s="206">
        <f>'P &amp; NP'!BR506</f>
        <v>0</v>
      </c>
      <c r="M29" s="206">
        <f>'P &amp; NP'!CG506</f>
        <v>0</v>
      </c>
      <c r="N29" s="206">
        <f>'P &amp; NP'!CH506</f>
        <v>0</v>
      </c>
      <c r="O29" s="206">
        <f>'P &amp; NP'!CW506</f>
        <v>0</v>
      </c>
      <c r="P29" s="206">
        <f>'P &amp; NP'!CX506</f>
        <v>0</v>
      </c>
      <c r="Q29" s="206">
        <f>'P &amp; NP'!DM506</f>
        <v>0</v>
      </c>
      <c r="R29" s="206">
        <f>'P &amp; NP'!DN506</f>
        <v>0</v>
      </c>
      <c r="S29" s="206">
        <f>'P &amp; NP'!EC506</f>
        <v>0</v>
      </c>
      <c r="T29" s="206">
        <f>'P &amp; NP'!ED506</f>
        <v>0</v>
      </c>
      <c r="U29" s="206">
        <f>'P &amp; NP'!ES506</f>
        <v>0</v>
      </c>
      <c r="V29" s="206">
        <f>'P &amp; NP'!ET506</f>
        <v>0</v>
      </c>
      <c r="W29" s="206">
        <f>'P &amp; NP'!FI506</f>
        <v>0</v>
      </c>
      <c r="X29" s="206">
        <f>'P &amp; NP'!FJ506</f>
        <v>0</v>
      </c>
      <c r="Y29" s="206">
        <f>'P &amp; NP'!FY506</f>
        <v>0</v>
      </c>
      <c r="Z29" s="206">
        <f>'P &amp; NP'!FZ506</f>
        <v>0</v>
      </c>
      <c r="AA29" s="206">
        <f>'P &amp; NP'!GO506</f>
        <v>0</v>
      </c>
      <c r="AB29" s="206">
        <f>'P &amp; NP'!GP506</f>
        <v>0</v>
      </c>
      <c r="AC29" s="206">
        <f>'P &amp; NP'!HE506</f>
        <v>0</v>
      </c>
      <c r="AD29" s="206">
        <f>'P &amp; NP'!HF506</f>
        <v>0</v>
      </c>
      <c r="AE29" s="206">
        <f>'P &amp; NP'!HU506</f>
        <v>0</v>
      </c>
      <c r="AF29" s="206">
        <f>'P &amp; NP'!HV506</f>
        <v>0</v>
      </c>
      <c r="AG29" s="206">
        <f>'P &amp; NP'!IK506</f>
        <v>0</v>
      </c>
      <c r="AH29" s="206">
        <f>'P &amp; NP'!IL506</f>
        <v>0</v>
      </c>
      <c r="AI29" s="206">
        <f>'P &amp; NP'!JA506</f>
        <v>0</v>
      </c>
      <c r="AJ29" s="206">
        <f>'P &amp; NP'!JB506</f>
        <v>0</v>
      </c>
      <c r="AK29" s="206">
        <f>'P &amp; NP'!JQ506</f>
        <v>0</v>
      </c>
      <c r="AL29" s="206">
        <f>'P &amp; NP'!JR506</f>
        <v>0</v>
      </c>
      <c r="AM29" s="206">
        <f>'P &amp; NP'!KG506</f>
        <v>0</v>
      </c>
      <c r="AN29" s="206">
        <f>'P &amp; NP'!KH506</f>
        <v>0</v>
      </c>
      <c r="AO29" s="206">
        <f>'P &amp; NP'!KW506</f>
        <v>0</v>
      </c>
      <c r="AP29" s="206">
        <f>'P &amp; NP'!KX506</f>
        <v>0</v>
      </c>
      <c r="AQ29" s="206">
        <f>'P &amp; NP'!LM506</f>
        <v>0</v>
      </c>
      <c r="AR29" s="206">
        <f>'P &amp; NP'!LN506</f>
        <v>0</v>
      </c>
      <c r="AS29" s="206">
        <f>'P &amp; NP'!MC506</f>
        <v>0</v>
      </c>
      <c r="AT29" s="206">
        <f>'P &amp; NP'!MD506</f>
        <v>0</v>
      </c>
      <c r="AU29" s="206">
        <f>'P &amp; NP'!MS506</f>
        <v>0</v>
      </c>
      <c r="AV29" s="206">
        <f>'P &amp; NP'!MT506</f>
        <v>0</v>
      </c>
      <c r="AW29" s="206">
        <f>'P &amp; NP'!NI506</f>
        <v>0</v>
      </c>
      <c r="AX29" s="206">
        <f>'P &amp; NP'!NJ506</f>
        <v>0</v>
      </c>
      <c r="AY29" s="206">
        <f>'P &amp; NP'!NY506</f>
        <v>0</v>
      </c>
      <c r="AZ29" s="206">
        <f>'P &amp; NP'!NZ506</f>
        <v>0</v>
      </c>
      <c r="BA29" s="206">
        <f>'P &amp; NP'!OO506</f>
        <v>0</v>
      </c>
      <c r="BB29" s="206">
        <f>'P &amp; NP'!OP506</f>
        <v>0</v>
      </c>
      <c r="BC29" s="206">
        <f>'P &amp; NP'!PE506</f>
        <v>0</v>
      </c>
      <c r="BD29" s="206">
        <f>'P &amp; NP'!PF506</f>
        <v>0</v>
      </c>
      <c r="BE29" s="206">
        <f>'P &amp; NP'!PU506</f>
        <v>0</v>
      </c>
      <c r="BF29" s="206">
        <f>'P &amp; NP'!PV506</f>
        <v>0</v>
      </c>
      <c r="BG29" s="206">
        <f>'P &amp; NP'!QK506</f>
        <v>0</v>
      </c>
      <c r="BH29" s="206">
        <f>'P &amp; NP'!QL506</f>
        <v>0</v>
      </c>
      <c r="BI29" s="206">
        <f>'P &amp; NP'!RA506</f>
        <v>0</v>
      </c>
      <c r="BJ29" s="206">
        <f>'P &amp; NP'!RB506</f>
        <v>0</v>
      </c>
      <c r="BK29" s="206">
        <f>'P &amp; NP'!RQ506</f>
        <v>0</v>
      </c>
      <c r="BL29" s="206">
        <f>'P &amp; NP'!RR506</f>
        <v>0</v>
      </c>
      <c r="BM29" s="206">
        <f>'P &amp; NP'!SG506</f>
        <v>0</v>
      </c>
      <c r="BN29" s="206">
        <f>'P &amp; NP'!SH506</f>
        <v>0</v>
      </c>
      <c r="BO29" s="206">
        <f>'P &amp; NP'!SW506</f>
        <v>0</v>
      </c>
      <c r="BP29" s="206">
        <f>'P &amp; NP'!SX506</f>
        <v>0</v>
      </c>
      <c r="BQ29" s="206">
        <f>'P &amp; NP'!TM506</f>
        <v>0</v>
      </c>
      <c r="BR29" s="206">
        <f>'P &amp; NP'!TN506</f>
        <v>0</v>
      </c>
      <c r="BS29" s="206">
        <f>'P &amp; NP'!UC506</f>
        <v>0</v>
      </c>
      <c r="BT29" s="206">
        <f>'P &amp; NP'!UD506</f>
        <v>0</v>
      </c>
      <c r="BU29" s="206">
        <f>'P &amp; NP'!US506</f>
        <v>0</v>
      </c>
      <c r="BV29" s="206">
        <f>'P &amp; NP'!UT506</f>
        <v>0</v>
      </c>
      <c r="BW29" s="206">
        <f>'P &amp; NP'!VI506</f>
        <v>0</v>
      </c>
      <c r="BX29" s="206">
        <f>'P &amp; NP'!VJ506</f>
        <v>0</v>
      </c>
      <c r="BY29" s="206">
        <f>'P &amp; NP'!VY506</f>
        <v>0</v>
      </c>
      <c r="BZ29" s="206">
        <f>'P &amp; NP'!VZ506</f>
        <v>0</v>
      </c>
      <c r="CB29" s="206">
        <f t="shared" si="3"/>
        <v>0</v>
      </c>
      <c r="CC29" s="206">
        <f t="shared" si="4"/>
        <v>0</v>
      </c>
    </row>
    <row r="30" spans="2:81">
      <c r="B30" s="207" t="str">
        <f>'P &amp; NP'!B36</f>
        <v>Teri</v>
      </c>
      <c r="C30" s="206">
        <f>'P &amp; NP'!E507</f>
        <v>0</v>
      </c>
      <c r="D30" s="206">
        <f>'P &amp; NP'!F507</f>
        <v>0</v>
      </c>
      <c r="E30" s="206">
        <f>'P &amp; NP'!U507</f>
        <v>0</v>
      </c>
      <c r="F30" s="206">
        <f>'P &amp; NP'!V507</f>
        <v>0</v>
      </c>
      <c r="G30" s="206">
        <f>'P &amp; NP'!AK507</f>
        <v>0</v>
      </c>
      <c r="H30" s="206">
        <f>'P &amp; NP'!AL507</f>
        <v>0</v>
      </c>
      <c r="I30" s="206">
        <f>'P &amp; NP'!BA507</f>
        <v>0</v>
      </c>
      <c r="J30" s="206">
        <f>'P &amp; NP'!BB507</f>
        <v>0</v>
      </c>
      <c r="K30" s="206">
        <f>'P &amp; NP'!BQ507</f>
        <v>0</v>
      </c>
      <c r="L30" s="206">
        <f>'P &amp; NP'!BR507</f>
        <v>0</v>
      </c>
      <c r="M30" s="206">
        <f>'P &amp; NP'!CG507</f>
        <v>0</v>
      </c>
      <c r="N30" s="206">
        <f>'P &amp; NP'!CH507</f>
        <v>0</v>
      </c>
      <c r="O30" s="206">
        <f>'P &amp; NP'!CW507</f>
        <v>0</v>
      </c>
      <c r="P30" s="206">
        <f>'P &amp; NP'!CX507</f>
        <v>0</v>
      </c>
      <c r="Q30" s="206">
        <f>'P &amp; NP'!DM507</f>
        <v>0</v>
      </c>
      <c r="R30" s="206">
        <f>'P &amp; NP'!DN507</f>
        <v>0</v>
      </c>
      <c r="S30" s="206">
        <f>'P &amp; NP'!EC507</f>
        <v>0</v>
      </c>
      <c r="T30" s="206">
        <f>'P &amp; NP'!ED507</f>
        <v>0</v>
      </c>
      <c r="U30" s="206">
        <f>'P &amp; NP'!ES507</f>
        <v>0</v>
      </c>
      <c r="V30" s="206">
        <f>'P &amp; NP'!ET507</f>
        <v>0</v>
      </c>
      <c r="W30" s="206">
        <f>'P &amp; NP'!FI507</f>
        <v>0</v>
      </c>
      <c r="X30" s="206">
        <f>'P &amp; NP'!FJ507</f>
        <v>0</v>
      </c>
      <c r="Y30" s="206">
        <f>'P &amp; NP'!FY507</f>
        <v>0</v>
      </c>
      <c r="Z30" s="206">
        <f>'P &amp; NP'!FZ507</f>
        <v>0</v>
      </c>
      <c r="AA30" s="206">
        <f>'P &amp; NP'!GO507</f>
        <v>0</v>
      </c>
      <c r="AB30" s="206">
        <f>'P &amp; NP'!GP507</f>
        <v>0</v>
      </c>
      <c r="AC30" s="206">
        <f>'P &amp; NP'!HE507</f>
        <v>0</v>
      </c>
      <c r="AD30" s="206">
        <f>'P &amp; NP'!HF507</f>
        <v>0</v>
      </c>
      <c r="AE30" s="206">
        <f>'P &amp; NP'!HU507</f>
        <v>0</v>
      </c>
      <c r="AF30" s="206">
        <f>'P &amp; NP'!HV507</f>
        <v>0</v>
      </c>
      <c r="AG30" s="206">
        <f>'P &amp; NP'!IK507</f>
        <v>0</v>
      </c>
      <c r="AH30" s="206">
        <f>'P &amp; NP'!IL507</f>
        <v>0</v>
      </c>
      <c r="AI30" s="206">
        <f>'P &amp; NP'!JA507</f>
        <v>0</v>
      </c>
      <c r="AJ30" s="206">
        <f>'P &amp; NP'!JB507</f>
        <v>0</v>
      </c>
      <c r="AK30" s="206">
        <f>'P &amp; NP'!JQ507</f>
        <v>0</v>
      </c>
      <c r="AL30" s="206">
        <f>'P &amp; NP'!JR507</f>
        <v>0</v>
      </c>
      <c r="AM30" s="206">
        <f>'P &amp; NP'!KG507</f>
        <v>0</v>
      </c>
      <c r="AN30" s="206">
        <f>'P &amp; NP'!KH507</f>
        <v>0</v>
      </c>
      <c r="AO30" s="206">
        <f>'P &amp; NP'!KW507</f>
        <v>0</v>
      </c>
      <c r="AP30" s="206">
        <f>'P &amp; NP'!KX507</f>
        <v>0</v>
      </c>
      <c r="AQ30" s="206">
        <f>'P &amp; NP'!LM507</f>
        <v>0</v>
      </c>
      <c r="AR30" s="206">
        <f>'P &amp; NP'!LN507</f>
        <v>0</v>
      </c>
      <c r="AS30" s="206">
        <f>'P &amp; NP'!MC507</f>
        <v>26700</v>
      </c>
      <c r="AT30" s="206">
        <f>'P &amp; NP'!MD507</f>
        <v>80100</v>
      </c>
      <c r="AU30" s="206">
        <f>'P &amp; NP'!MS507</f>
        <v>0</v>
      </c>
      <c r="AV30" s="206">
        <f>'P &amp; NP'!MT507</f>
        <v>0</v>
      </c>
      <c r="AW30" s="206">
        <f>'P &amp; NP'!NI507</f>
        <v>0</v>
      </c>
      <c r="AX30" s="206">
        <f>'P &amp; NP'!NJ507</f>
        <v>0</v>
      </c>
      <c r="AY30" s="206">
        <f>'P &amp; NP'!NY507</f>
        <v>0</v>
      </c>
      <c r="AZ30" s="206">
        <f>'P &amp; NP'!NZ507</f>
        <v>0</v>
      </c>
      <c r="BA30" s="206">
        <f>'P &amp; NP'!OO507</f>
        <v>0</v>
      </c>
      <c r="BB30" s="206">
        <f>'P &amp; NP'!OP507</f>
        <v>0</v>
      </c>
      <c r="BC30" s="206">
        <f>'P &amp; NP'!PE507</f>
        <v>0</v>
      </c>
      <c r="BD30" s="206">
        <f>'P &amp; NP'!PF507</f>
        <v>0</v>
      </c>
      <c r="BE30" s="206">
        <f>'P &amp; NP'!PU507</f>
        <v>0</v>
      </c>
      <c r="BF30" s="206">
        <f>'P &amp; NP'!PV507</f>
        <v>0</v>
      </c>
      <c r="BG30" s="206">
        <f>'P &amp; NP'!QK507</f>
        <v>0</v>
      </c>
      <c r="BH30" s="206">
        <f>'P &amp; NP'!QL507</f>
        <v>0</v>
      </c>
      <c r="BI30" s="206">
        <f>'P &amp; NP'!RA507</f>
        <v>0</v>
      </c>
      <c r="BJ30" s="206">
        <f>'P &amp; NP'!RB507</f>
        <v>0</v>
      </c>
      <c r="BK30" s="206">
        <f>'P &amp; NP'!RQ507</f>
        <v>0</v>
      </c>
      <c r="BL30" s="206">
        <f>'P &amp; NP'!RR507</f>
        <v>0</v>
      </c>
      <c r="BM30" s="206">
        <f>'P &amp; NP'!SG507</f>
        <v>0</v>
      </c>
      <c r="BN30" s="206">
        <f>'P &amp; NP'!SH507</f>
        <v>0</v>
      </c>
      <c r="BO30" s="206">
        <f>'P &amp; NP'!SW507</f>
        <v>0</v>
      </c>
      <c r="BP30" s="206">
        <f>'P &amp; NP'!SX507</f>
        <v>0</v>
      </c>
      <c r="BQ30" s="206">
        <f>'P &amp; NP'!TM507</f>
        <v>0</v>
      </c>
      <c r="BR30" s="206">
        <f>'P &amp; NP'!TN507</f>
        <v>0</v>
      </c>
      <c r="BS30" s="206">
        <f>'P &amp; NP'!UC507</f>
        <v>0</v>
      </c>
      <c r="BT30" s="206">
        <f>'P &amp; NP'!UD507</f>
        <v>0</v>
      </c>
      <c r="BU30" s="206">
        <f>'P &amp; NP'!US507</f>
        <v>0</v>
      </c>
      <c r="BV30" s="206">
        <f>'P &amp; NP'!UT507</f>
        <v>0</v>
      </c>
      <c r="BW30" s="206">
        <f>'P &amp; NP'!VI507</f>
        <v>0</v>
      </c>
      <c r="BX30" s="206">
        <f>'P &amp; NP'!VJ507</f>
        <v>0</v>
      </c>
      <c r="BY30" s="206">
        <f>'P &amp; NP'!VY507</f>
        <v>0</v>
      </c>
      <c r="BZ30" s="206">
        <f>'P &amp; NP'!VZ507</f>
        <v>0</v>
      </c>
      <c r="CB30" s="206">
        <f t="shared" si="3"/>
        <v>26700</v>
      </c>
      <c r="CC30" s="206">
        <f t="shared" si="4"/>
        <v>80100</v>
      </c>
    </row>
    <row r="31" spans="2:81">
      <c r="B31" s="207" t="str">
        <f>'P &amp; NP'!B37</f>
        <v xml:space="preserve">Udang Galah </v>
      </c>
      <c r="C31" s="206">
        <f>'P &amp; NP'!E508</f>
        <v>0</v>
      </c>
      <c r="D31" s="206">
        <f>'P &amp; NP'!F508</f>
        <v>0</v>
      </c>
      <c r="E31" s="206">
        <f>'P &amp; NP'!U508</f>
        <v>0</v>
      </c>
      <c r="F31" s="206">
        <f>'P &amp; NP'!V508</f>
        <v>0</v>
      </c>
      <c r="G31" s="206">
        <f>'P &amp; NP'!AK508</f>
        <v>0</v>
      </c>
      <c r="H31" s="206">
        <f>'P &amp; NP'!AL508</f>
        <v>0</v>
      </c>
      <c r="I31" s="206">
        <f>'P &amp; NP'!BA508</f>
        <v>0</v>
      </c>
      <c r="J31" s="206">
        <f>'P &amp; NP'!BB508</f>
        <v>0</v>
      </c>
      <c r="K31" s="206">
        <f>'P &amp; NP'!BQ508</f>
        <v>0</v>
      </c>
      <c r="L31" s="206">
        <f>'P &amp; NP'!BR508</f>
        <v>0</v>
      </c>
      <c r="M31" s="206">
        <f>'P &amp; NP'!CG508</f>
        <v>0</v>
      </c>
      <c r="N31" s="206">
        <f>'P &amp; NP'!CH508</f>
        <v>0</v>
      </c>
      <c r="O31" s="206">
        <f>'P &amp; NP'!CW508</f>
        <v>0</v>
      </c>
      <c r="P31" s="206">
        <f>'P &amp; NP'!CX508</f>
        <v>0</v>
      </c>
      <c r="Q31" s="206">
        <f>'P &amp; NP'!DM508</f>
        <v>0</v>
      </c>
      <c r="R31" s="206">
        <f>'P &amp; NP'!DN508</f>
        <v>0</v>
      </c>
      <c r="S31" s="206">
        <f>'P &amp; NP'!EC508</f>
        <v>0</v>
      </c>
      <c r="T31" s="206">
        <f>'P &amp; NP'!ED508</f>
        <v>0</v>
      </c>
      <c r="U31" s="206">
        <f>'P &amp; NP'!ES508</f>
        <v>0</v>
      </c>
      <c r="V31" s="206">
        <f>'P &amp; NP'!ET508</f>
        <v>0</v>
      </c>
      <c r="W31" s="206">
        <f>'P &amp; NP'!FI508</f>
        <v>0</v>
      </c>
      <c r="X31" s="206">
        <f>'P &amp; NP'!FJ508</f>
        <v>0</v>
      </c>
      <c r="Y31" s="206">
        <f>'P &amp; NP'!FY508</f>
        <v>0</v>
      </c>
      <c r="Z31" s="206">
        <f>'P &amp; NP'!FZ508</f>
        <v>0</v>
      </c>
      <c r="AA31" s="206">
        <f>'P &amp; NP'!GO508</f>
        <v>0</v>
      </c>
      <c r="AB31" s="206">
        <f>'P &amp; NP'!GP508</f>
        <v>0</v>
      </c>
      <c r="AC31" s="206">
        <f>'P &amp; NP'!HE508</f>
        <v>0</v>
      </c>
      <c r="AD31" s="206">
        <f>'P &amp; NP'!HF508</f>
        <v>0</v>
      </c>
      <c r="AE31" s="206">
        <f>'P &amp; NP'!HU508</f>
        <v>0</v>
      </c>
      <c r="AF31" s="206">
        <f>'P &amp; NP'!HV508</f>
        <v>0</v>
      </c>
      <c r="AG31" s="206">
        <f>'P &amp; NP'!IK508</f>
        <v>0</v>
      </c>
      <c r="AH31" s="206">
        <f>'P &amp; NP'!IL508</f>
        <v>0</v>
      </c>
      <c r="AI31" s="206">
        <f>'P &amp; NP'!JA508</f>
        <v>0</v>
      </c>
      <c r="AJ31" s="206">
        <f>'P &amp; NP'!JB508</f>
        <v>0</v>
      </c>
      <c r="AK31" s="206">
        <f>'P &amp; NP'!JQ508</f>
        <v>0</v>
      </c>
      <c r="AL31" s="206">
        <f>'P &amp; NP'!JR508</f>
        <v>0</v>
      </c>
      <c r="AM31" s="206">
        <f>'P &amp; NP'!KG508</f>
        <v>0</v>
      </c>
      <c r="AN31" s="206">
        <f>'P &amp; NP'!KH508</f>
        <v>0</v>
      </c>
      <c r="AO31" s="206">
        <f>'P &amp; NP'!KW508</f>
        <v>0</v>
      </c>
      <c r="AP31" s="206">
        <f>'P &amp; NP'!KX508</f>
        <v>0</v>
      </c>
      <c r="AQ31" s="206">
        <f>'P &amp; NP'!LM508</f>
        <v>0</v>
      </c>
      <c r="AR31" s="206">
        <f>'P &amp; NP'!LN508</f>
        <v>0</v>
      </c>
      <c r="AS31" s="206">
        <f>'P &amp; NP'!MC508</f>
        <v>0</v>
      </c>
      <c r="AT31" s="206">
        <f>'P &amp; NP'!MD508</f>
        <v>0</v>
      </c>
      <c r="AU31" s="206">
        <f>'P &amp; NP'!MS508</f>
        <v>0</v>
      </c>
      <c r="AV31" s="206">
        <f>'P &amp; NP'!MT508</f>
        <v>0</v>
      </c>
      <c r="AW31" s="206">
        <f>'P &amp; NP'!NI508</f>
        <v>0</v>
      </c>
      <c r="AX31" s="206">
        <f>'P &amp; NP'!NJ508</f>
        <v>0</v>
      </c>
      <c r="AY31" s="206">
        <f>'P &amp; NP'!NY508</f>
        <v>0</v>
      </c>
      <c r="AZ31" s="206">
        <f>'P &amp; NP'!NZ508</f>
        <v>0</v>
      </c>
      <c r="BA31" s="206">
        <f>'P &amp; NP'!OO508</f>
        <v>0</v>
      </c>
      <c r="BB31" s="206">
        <f>'P &amp; NP'!OP508</f>
        <v>0</v>
      </c>
      <c r="BC31" s="206">
        <f>'P &amp; NP'!PE508</f>
        <v>0</v>
      </c>
      <c r="BD31" s="206">
        <f>'P &amp; NP'!PF508</f>
        <v>0</v>
      </c>
      <c r="BE31" s="206">
        <f>'P &amp; NP'!PU508</f>
        <v>0</v>
      </c>
      <c r="BF31" s="206">
        <f>'P &amp; NP'!PV508</f>
        <v>0</v>
      </c>
      <c r="BG31" s="206">
        <f>'P &amp; NP'!QK508</f>
        <v>0</v>
      </c>
      <c r="BH31" s="206">
        <f>'P &amp; NP'!QL508</f>
        <v>0</v>
      </c>
      <c r="BI31" s="206">
        <f>'P &amp; NP'!RA508</f>
        <v>0</v>
      </c>
      <c r="BJ31" s="206">
        <f>'P &amp; NP'!RB508</f>
        <v>0</v>
      </c>
      <c r="BK31" s="206">
        <f>'P &amp; NP'!RQ508</f>
        <v>0</v>
      </c>
      <c r="BL31" s="206">
        <f>'P &amp; NP'!RR508</f>
        <v>0</v>
      </c>
      <c r="BM31" s="206">
        <f>'P &amp; NP'!SG508</f>
        <v>0</v>
      </c>
      <c r="BN31" s="206">
        <f>'P &amp; NP'!SH508</f>
        <v>0</v>
      </c>
      <c r="BO31" s="206">
        <f>'P &amp; NP'!SW508</f>
        <v>0</v>
      </c>
      <c r="BP31" s="206">
        <f>'P &amp; NP'!SX508</f>
        <v>0</v>
      </c>
      <c r="BQ31" s="206">
        <f>'P &amp; NP'!TM508</f>
        <v>0</v>
      </c>
      <c r="BR31" s="206">
        <f>'P &amp; NP'!TN508</f>
        <v>0</v>
      </c>
      <c r="BS31" s="206">
        <f>'P &amp; NP'!UC508</f>
        <v>0</v>
      </c>
      <c r="BT31" s="206">
        <f>'P &amp; NP'!UD508</f>
        <v>0</v>
      </c>
      <c r="BU31" s="206">
        <f>'P &amp; NP'!US508</f>
        <v>0</v>
      </c>
      <c r="BV31" s="206">
        <f>'P &amp; NP'!UT508</f>
        <v>0</v>
      </c>
      <c r="BW31" s="206">
        <f>'P &amp; NP'!VI508</f>
        <v>0</v>
      </c>
      <c r="BX31" s="206">
        <f>'P &amp; NP'!VJ508</f>
        <v>0</v>
      </c>
      <c r="BY31" s="206">
        <f>'P &amp; NP'!VY508</f>
        <v>0</v>
      </c>
      <c r="BZ31" s="206">
        <f>'P &amp; NP'!VZ508</f>
        <v>0</v>
      </c>
      <c r="CB31" s="206">
        <f t="shared" si="3"/>
        <v>0</v>
      </c>
      <c r="CC31" s="206">
        <f t="shared" si="4"/>
        <v>0</v>
      </c>
    </row>
    <row r="32" spans="2:81">
      <c r="B32" s="207" t="str">
        <f>'P &amp; NP'!B38</f>
        <v>Udang Putih</v>
      </c>
      <c r="C32" s="206">
        <f>'P &amp; NP'!E509</f>
        <v>2150450</v>
      </c>
      <c r="D32" s="206">
        <f>'P &amp; NP'!F509</f>
        <v>86018000</v>
      </c>
      <c r="E32" s="206">
        <f>'P &amp; NP'!U509</f>
        <v>0</v>
      </c>
      <c r="F32" s="206">
        <f>'P &amp; NP'!V509</f>
        <v>0</v>
      </c>
      <c r="G32" s="206">
        <f>'P &amp; NP'!AK509</f>
        <v>0</v>
      </c>
      <c r="H32" s="206">
        <f>'P &amp; NP'!AL509</f>
        <v>0</v>
      </c>
      <c r="I32" s="206">
        <f>'P &amp; NP'!BA509</f>
        <v>0</v>
      </c>
      <c r="J32" s="206">
        <f>'P &amp; NP'!BB509</f>
        <v>0</v>
      </c>
      <c r="K32" s="206">
        <f>'P &amp; NP'!BQ509</f>
        <v>0</v>
      </c>
      <c r="L32" s="206">
        <f>'P &amp; NP'!BR509</f>
        <v>0</v>
      </c>
      <c r="M32" s="206">
        <f>'P &amp; NP'!CG509</f>
        <v>0</v>
      </c>
      <c r="N32" s="206">
        <f>'P &amp; NP'!CH509</f>
        <v>0</v>
      </c>
      <c r="O32" s="206">
        <f>'P &amp; NP'!CW509</f>
        <v>0</v>
      </c>
      <c r="P32" s="206">
        <f>'P &amp; NP'!CX509</f>
        <v>0</v>
      </c>
      <c r="Q32" s="206">
        <f>'P &amp; NP'!DM509</f>
        <v>0</v>
      </c>
      <c r="R32" s="206">
        <f>'P &amp; NP'!DN509</f>
        <v>0</v>
      </c>
      <c r="S32" s="206">
        <f>'P &amp; NP'!EC509</f>
        <v>0</v>
      </c>
      <c r="T32" s="206">
        <f>'P &amp; NP'!ED509</f>
        <v>0</v>
      </c>
      <c r="U32" s="206">
        <f>'P &amp; NP'!ES509</f>
        <v>0</v>
      </c>
      <c r="V32" s="206">
        <f>'P &amp; NP'!ET509</f>
        <v>0</v>
      </c>
      <c r="W32" s="206">
        <f>'P &amp; NP'!FI509</f>
        <v>0</v>
      </c>
      <c r="X32" s="206">
        <f>'P &amp; NP'!FJ509</f>
        <v>0</v>
      </c>
      <c r="Y32" s="206">
        <f>'P &amp; NP'!FY509</f>
        <v>0</v>
      </c>
      <c r="Z32" s="206">
        <f>'P &amp; NP'!FZ509</f>
        <v>0</v>
      </c>
      <c r="AA32" s="206">
        <f>'P &amp; NP'!GO509</f>
        <v>0</v>
      </c>
      <c r="AB32" s="206">
        <f>'P &amp; NP'!GP509</f>
        <v>0</v>
      </c>
      <c r="AC32" s="206">
        <f>'P &amp; NP'!HE509</f>
        <v>105000</v>
      </c>
      <c r="AD32" s="206">
        <f>'P &amp; NP'!HF509</f>
        <v>5670000</v>
      </c>
      <c r="AE32" s="206">
        <f>'P &amp; NP'!HU509</f>
        <v>0</v>
      </c>
      <c r="AF32" s="206">
        <f>'P &amp; NP'!HV509</f>
        <v>0</v>
      </c>
      <c r="AG32" s="206">
        <f>'P &amp; NP'!IK509</f>
        <v>0</v>
      </c>
      <c r="AH32" s="206">
        <f>'P &amp; NP'!IL509</f>
        <v>0</v>
      </c>
      <c r="AI32" s="206">
        <f>'P &amp; NP'!JA509</f>
        <v>0</v>
      </c>
      <c r="AJ32" s="206">
        <f>'P &amp; NP'!JB509</f>
        <v>0</v>
      </c>
      <c r="AK32" s="206">
        <f>'P &amp; NP'!JQ509</f>
        <v>0</v>
      </c>
      <c r="AL32" s="206">
        <f>'P &amp; NP'!JR509</f>
        <v>0</v>
      </c>
      <c r="AM32" s="206">
        <f>'P &amp; NP'!KG509</f>
        <v>0</v>
      </c>
      <c r="AN32" s="206">
        <f>'P &amp; NP'!KH509</f>
        <v>0</v>
      </c>
      <c r="AO32" s="206">
        <f>'P &amp; NP'!KW509</f>
        <v>0</v>
      </c>
      <c r="AP32" s="206">
        <f>'P &amp; NP'!KX509</f>
        <v>0</v>
      </c>
      <c r="AQ32" s="206">
        <f>'P &amp; NP'!LM509</f>
        <v>0</v>
      </c>
      <c r="AR32" s="206">
        <f>'P &amp; NP'!LN509</f>
        <v>0</v>
      </c>
      <c r="AS32" s="206">
        <f>'P &amp; NP'!MC509</f>
        <v>138928</v>
      </c>
      <c r="AT32" s="206">
        <f>'P &amp; NP'!MD509</f>
        <v>5557120</v>
      </c>
      <c r="AU32" s="206">
        <f>'P &amp; NP'!MS509</f>
        <v>0</v>
      </c>
      <c r="AV32" s="206">
        <f>'P &amp; NP'!MT509</f>
        <v>0</v>
      </c>
      <c r="AW32" s="206">
        <f>'P &amp; NP'!NI509</f>
        <v>930550</v>
      </c>
      <c r="AX32" s="206">
        <f>'P &amp; NP'!NJ509</f>
        <v>41874750</v>
      </c>
      <c r="AY32" s="206">
        <f>'P &amp; NP'!NY509</f>
        <v>0</v>
      </c>
      <c r="AZ32" s="206">
        <f>'P &amp; NP'!NZ509</f>
        <v>0</v>
      </c>
      <c r="BA32" s="206">
        <f>'P &amp; NP'!OO509</f>
        <v>0</v>
      </c>
      <c r="BB32" s="206">
        <f>'P &amp; NP'!OP509</f>
        <v>0</v>
      </c>
      <c r="BC32" s="206">
        <f>'P &amp; NP'!PE509</f>
        <v>0</v>
      </c>
      <c r="BD32" s="206">
        <f>'P &amp; NP'!PF509</f>
        <v>0</v>
      </c>
      <c r="BE32" s="206">
        <f>'P &amp; NP'!PU509</f>
        <v>0</v>
      </c>
      <c r="BF32" s="206">
        <f>'P &amp; NP'!PV509</f>
        <v>0</v>
      </c>
      <c r="BG32" s="206">
        <f>'P &amp; NP'!QK509</f>
        <v>0</v>
      </c>
      <c r="BH32" s="206">
        <f>'P &amp; NP'!QL509</f>
        <v>0</v>
      </c>
      <c r="BI32" s="206">
        <f>'P &amp; NP'!RA509</f>
        <v>0</v>
      </c>
      <c r="BJ32" s="206">
        <f>'P &amp; NP'!RB509</f>
        <v>0</v>
      </c>
      <c r="BK32" s="206">
        <f>'P &amp; NP'!RQ509</f>
        <v>0</v>
      </c>
      <c r="BL32" s="206">
        <f>'P &amp; NP'!RR509</f>
        <v>0</v>
      </c>
      <c r="BM32" s="206">
        <f>'P &amp; NP'!SG509</f>
        <v>0</v>
      </c>
      <c r="BN32" s="206">
        <f>'P &amp; NP'!SH509</f>
        <v>0</v>
      </c>
      <c r="BO32" s="206">
        <f>'P &amp; NP'!SW509</f>
        <v>0</v>
      </c>
      <c r="BP32" s="206">
        <f>'P &amp; NP'!SX509</f>
        <v>0</v>
      </c>
      <c r="BQ32" s="206">
        <f>'P &amp; NP'!TM509</f>
        <v>0</v>
      </c>
      <c r="BR32" s="206">
        <f>'P &amp; NP'!TN509</f>
        <v>0</v>
      </c>
      <c r="BS32" s="206">
        <f>'P &amp; NP'!UC509</f>
        <v>0</v>
      </c>
      <c r="BT32" s="206">
        <f>'P &amp; NP'!UD509</f>
        <v>0</v>
      </c>
      <c r="BU32" s="206">
        <f>'P &amp; NP'!US509</f>
        <v>0</v>
      </c>
      <c r="BV32" s="206">
        <f>'P &amp; NP'!UT509</f>
        <v>0</v>
      </c>
      <c r="BW32" s="206">
        <f>'P &amp; NP'!VI509</f>
        <v>2996.8</v>
      </c>
      <c r="BX32" s="206">
        <f>'P &amp; NP'!VJ509</f>
        <v>149840</v>
      </c>
      <c r="BY32" s="206">
        <f>'P &amp; NP'!VY509</f>
        <v>0</v>
      </c>
      <c r="BZ32" s="206">
        <f>'P &amp; NP'!VZ509</f>
        <v>0</v>
      </c>
      <c r="CB32" s="206">
        <f t="shared" si="3"/>
        <v>3327924.8</v>
      </c>
      <c r="CC32" s="206">
        <f t="shared" si="4"/>
        <v>139269710</v>
      </c>
    </row>
    <row r="33" spans="1:81">
      <c r="B33" s="207" t="str">
        <f>'P &amp; NP'!B39</f>
        <v xml:space="preserve">Udang Vaname </v>
      </c>
      <c r="C33" s="206">
        <f>'P &amp; NP'!E510</f>
        <v>2360307</v>
      </c>
      <c r="D33" s="206">
        <f>'P &amp; NP'!F510</f>
        <v>139402473.59999999</v>
      </c>
      <c r="E33" s="206">
        <f>'P &amp; NP'!U510</f>
        <v>19543100</v>
      </c>
      <c r="F33" s="206">
        <f>'P &amp; NP'!V510</f>
        <v>1011802685</v>
      </c>
      <c r="G33" s="206">
        <f>'P &amp; NP'!AK510</f>
        <v>436100</v>
      </c>
      <c r="H33" s="206">
        <f>'P &amp; NP'!AL510</f>
        <v>28346500</v>
      </c>
      <c r="I33" s="206">
        <f>'P &amp; NP'!BA510</f>
        <v>0</v>
      </c>
      <c r="J33" s="206">
        <f>'P &amp; NP'!BB510</f>
        <v>0</v>
      </c>
      <c r="K33" s="206">
        <f>'P &amp; NP'!BQ510</f>
        <v>0</v>
      </c>
      <c r="L33" s="206">
        <f>'P &amp; NP'!BR510</f>
        <v>0</v>
      </c>
      <c r="M33" s="206">
        <f>'P &amp; NP'!CG510</f>
        <v>18401978.789044522</v>
      </c>
      <c r="N33" s="206">
        <f>'P &amp; NP'!CH510</f>
        <v>905885644.10795295</v>
      </c>
      <c r="O33" s="206">
        <f>'P &amp; NP'!CW510</f>
        <v>3892177.5187991466</v>
      </c>
      <c r="P33" s="206">
        <f>'P &amp; NP'!CX510</f>
        <v>234307826.002</v>
      </c>
      <c r="Q33" s="206">
        <f>'P &amp; NP'!DM510</f>
        <v>0</v>
      </c>
      <c r="R33" s="206">
        <f>'P &amp; NP'!DN510</f>
        <v>0</v>
      </c>
      <c r="S33" s="206">
        <f>'P &amp; NP'!EC510</f>
        <v>0</v>
      </c>
      <c r="T33" s="206">
        <f>'P &amp; NP'!ED510</f>
        <v>0</v>
      </c>
      <c r="U33" s="206">
        <f>'P &amp; NP'!ES510</f>
        <v>2232424</v>
      </c>
      <c r="V33" s="206">
        <f>'P &amp; NP'!ET510</f>
        <v>104877922</v>
      </c>
      <c r="W33" s="206">
        <f>'P &amp; NP'!FI510</f>
        <v>1490000</v>
      </c>
      <c r="X33" s="206">
        <f>'P &amp; NP'!FJ510</f>
        <v>89400000</v>
      </c>
      <c r="Y33" s="206">
        <f>'P &amp; NP'!FY510</f>
        <v>0</v>
      </c>
      <c r="Z33" s="206">
        <f>'P &amp; NP'!FZ510</f>
        <v>0</v>
      </c>
      <c r="AA33" s="206">
        <f>'P &amp; NP'!GO510</f>
        <v>0</v>
      </c>
      <c r="AB33" s="206">
        <f>'P &amp; NP'!GP510</f>
        <v>0</v>
      </c>
      <c r="AC33" s="206">
        <f>'P &amp; NP'!HE510</f>
        <v>1535000</v>
      </c>
      <c r="AD33" s="206">
        <f>'P &amp; NP'!HF510</f>
        <v>98465000</v>
      </c>
      <c r="AE33" s="206">
        <f>'P &amp; NP'!HU510</f>
        <v>0</v>
      </c>
      <c r="AF33" s="206">
        <f>'P &amp; NP'!HV510</f>
        <v>0</v>
      </c>
      <c r="AG33" s="206">
        <f>'P &amp; NP'!IK510</f>
        <v>0</v>
      </c>
      <c r="AH33" s="206">
        <f>'P &amp; NP'!IL510</f>
        <v>0</v>
      </c>
      <c r="AI33" s="206">
        <f>'P &amp; NP'!JA510</f>
        <v>0</v>
      </c>
      <c r="AJ33" s="206">
        <f>'P &amp; NP'!JB510</f>
        <v>0</v>
      </c>
      <c r="AK33" s="206">
        <f>'P &amp; NP'!JQ510</f>
        <v>1731974</v>
      </c>
      <c r="AL33" s="206">
        <f>'P &amp; NP'!JR510</f>
        <v>137394428</v>
      </c>
      <c r="AM33" s="206">
        <f>'P &amp; NP'!KG510</f>
        <v>512400</v>
      </c>
      <c r="AN33" s="206">
        <f>'P &amp; NP'!KH510</f>
        <v>33133720</v>
      </c>
      <c r="AO33" s="206">
        <f>'P &amp; NP'!KW510</f>
        <v>1036784.49</v>
      </c>
      <c r="AP33" s="206">
        <f>'P &amp; NP'!KX510</f>
        <v>55411074</v>
      </c>
      <c r="AQ33" s="206">
        <f>'P &amp; NP'!LM510</f>
        <v>0</v>
      </c>
      <c r="AR33" s="206">
        <f>'P &amp; NP'!LN510</f>
        <v>0</v>
      </c>
      <c r="AS33" s="206">
        <f>'P &amp; NP'!MC510</f>
        <v>12471840</v>
      </c>
      <c r="AT33" s="206">
        <f>'P &amp; NP'!MD510</f>
        <v>691867000</v>
      </c>
      <c r="AU33" s="206">
        <f>'P &amp; NP'!MS510</f>
        <v>376080</v>
      </c>
      <c r="AV33" s="206">
        <f>'P &amp; NP'!MT510</f>
        <v>24445200</v>
      </c>
      <c r="AW33" s="206">
        <f>'P &amp; NP'!NI510</f>
        <v>5964003</v>
      </c>
      <c r="AX33" s="206">
        <f>'P &amp; NP'!NJ510</f>
        <v>357840180</v>
      </c>
      <c r="AY33" s="206">
        <f>'P &amp; NP'!NY510</f>
        <v>10796787</v>
      </c>
      <c r="AZ33" s="206">
        <f>'P &amp; NP'!NZ510</f>
        <v>517730120</v>
      </c>
      <c r="BA33" s="206">
        <f>'P &amp; NP'!OO510</f>
        <v>7030207</v>
      </c>
      <c r="BB33" s="206">
        <f>'P &amp; NP'!OP510</f>
        <v>436713102</v>
      </c>
      <c r="BC33" s="206">
        <f>'P &amp; NP'!PE510</f>
        <v>246486</v>
      </c>
      <c r="BD33" s="206">
        <f>'P &amp; NP'!PF510</f>
        <v>16298860</v>
      </c>
      <c r="BE33" s="206">
        <f>'P &amp; NP'!PU510</f>
        <v>7926960</v>
      </c>
      <c r="BF33" s="206">
        <f>'P &amp; NP'!PV510</f>
        <v>449223500</v>
      </c>
      <c r="BG33" s="206">
        <f>'P &amp; NP'!QK510</f>
        <v>350000</v>
      </c>
      <c r="BH33" s="206">
        <f>'P &amp; NP'!QL510</f>
        <v>21000000</v>
      </c>
      <c r="BI33" s="206">
        <f>'P &amp; NP'!RA510</f>
        <v>0</v>
      </c>
      <c r="BJ33" s="206">
        <f>'P &amp; NP'!RB510</f>
        <v>0</v>
      </c>
      <c r="BK33" s="206">
        <f>'P &amp; NP'!RQ510</f>
        <v>0</v>
      </c>
      <c r="BL33" s="206">
        <f>'P &amp; NP'!RR510</f>
        <v>0</v>
      </c>
      <c r="BM33" s="206">
        <f>'P &amp; NP'!SG510</f>
        <v>0</v>
      </c>
      <c r="BN33" s="206">
        <f>'P &amp; NP'!SH510</f>
        <v>0</v>
      </c>
      <c r="BO33" s="206">
        <f>'P &amp; NP'!SW510</f>
        <v>0</v>
      </c>
      <c r="BP33" s="206">
        <f>'P &amp; NP'!SX510</f>
        <v>0</v>
      </c>
      <c r="BQ33" s="206">
        <f>'P &amp; NP'!TM510</f>
        <v>0</v>
      </c>
      <c r="BR33" s="206">
        <f>'P &amp; NP'!TN510</f>
        <v>0</v>
      </c>
      <c r="BS33" s="206">
        <f>'P &amp; NP'!UC510</f>
        <v>0</v>
      </c>
      <c r="BT33" s="206">
        <f>'P &amp; NP'!UD510</f>
        <v>0</v>
      </c>
      <c r="BU33" s="206">
        <f>'P &amp; NP'!US510</f>
        <v>42482</v>
      </c>
      <c r="BV33" s="206">
        <f>'P &amp; NP'!UT510</f>
        <v>2848330</v>
      </c>
      <c r="BW33" s="206">
        <f>'P &amp; NP'!VI510</f>
        <v>152928.70000000001</v>
      </c>
      <c r="BX33" s="206">
        <f>'P &amp; NP'!VJ510</f>
        <v>8411078.5</v>
      </c>
      <c r="BY33" s="206">
        <f>'P &amp; NP'!VY510</f>
        <v>768881</v>
      </c>
      <c r="BZ33" s="206">
        <f>'P &amp; NP'!VZ510</f>
        <v>38245605</v>
      </c>
      <c r="CB33" s="206">
        <f t="shared" si="3"/>
        <v>99298900.497843668</v>
      </c>
      <c r="CC33" s="206">
        <f t="shared" si="4"/>
        <v>5403050248.2099533</v>
      </c>
    </row>
    <row r="34" spans="1:81">
      <c r="B34" s="207" t="str">
        <f>'P &amp; NP'!B40</f>
        <v xml:space="preserve">Udang Windu </v>
      </c>
      <c r="C34" s="206">
        <f>'P &amp; NP'!E511</f>
        <v>65100</v>
      </c>
      <c r="D34" s="206">
        <f>'P &amp; NP'!F511</f>
        <v>8463000</v>
      </c>
      <c r="E34" s="206">
        <f>'P &amp; NP'!U511</f>
        <v>0</v>
      </c>
      <c r="F34" s="206">
        <f>'P &amp; NP'!V511</f>
        <v>0</v>
      </c>
      <c r="G34" s="206">
        <f>'P &amp; NP'!AK511</f>
        <v>0</v>
      </c>
      <c r="H34" s="206">
        <f>'P &amp; NP'!AL511</f>
        <v>0</v>
      </c>
      <c r="I34" s="206">
        <f>'P &amp; NP'!BA511</f>
        <v>0</v>
      </c>
      <c r="J34" s="206">
        <f>'P &amp; NP'!BB511</f>
        <v>0</v>
      </c>
      <c r="K34" s="206">
        <f>'P &amp; NP'!BQ511</f>
        <v>0</v>
      </c>
      <c r="L34" s="206">
        <f>'P &amp; NP'!BR511</f>
        <v>0</v>
      </c>
      <c r="M34" s="206">
        <f>'P &amp; NP'!CG511</f>
        <v>2921895.948956958</v>
      </c>
      <c r="N34" s="206">
        <f>'P &amp; NP'!CH511</f>
        <v>266867028.28971636</v>
      </c>
      <c r="O34" s="206">
        <f>'P &amp; NP'!CW511</f>
        <v>0</v>
      </c>
      <c r="P34" s="206">
        <f>'P &amp; NP'!CX511</f>
        <v>0</v>
      </c>
      <c r="Q34" s="206">
        <f>'P &amp; NP'!DM511</f>
        <v>0</v>
      </c>
      <c r="R34" s="206">
        <f>'P &amp; NP'!DN511</f>
        <v>0</v>
      </c>
      <c r="S34" s="206">
        <f>'P &amp; NP'!EC511</f>
        <v>0</v>
      </c>
      <c r="T34" s="206">
        <f>'P &amp; NP'!ED511</f>
        <v>0</v>
      </c>
      <c r="U34" s="206">
        <f>'P &amp; NP'!ES511</f>
        <v>0</v>
      </c>
      <c r="V34" s="206">
        <f>'P &amp; NP'!ET511</f>
        <v>0</v>
      </c>
      <c r="W34" s="206">
        <f>'P &amp; NP'!FI511</f>
        <v>0</v>
      </c>
      <c r="X34" s="206">
        <f>'P &amp; NP'!FJ511</f>
        <v>0</v>
      </c>
      <c r="Y34" s="206">
        <f>'P &amp; NP'!FY511</f>
        <v>0</v>
      </c>
      <c r="Z34" s="206">
        <f>'P &amp; NP'!FZ511</f>
        <v>0</v>
      </c>
      <c r="AA34" s="206">
        <f>'P &amp; NP'!GO511</f>
        <v>0</v>
      </c>
      <c r="AB34" s="206">
        <f>'P &amp; NP'!GP511</f>
        <v>0</v>
      </c>
      <c r="AC34" s="206">
        <f>'P &amp; NP'!HE511</f>
        <v>0</v>
      </c>
      <c r="AD34" s="206">
        <f>'P &amp; NP'!HF511</f>
        <v>0</v>
      </c>
      <c r="AE34" s="206">
        <f>'P &amp; NP'!HU511</f>
        <v>0</v>
      </c>
      <c r="AF34" s="206">
        <f>'P &amp; NP'!HV511</f>
        <v>0</v>
      </c>
      <c r="AG34" s="206">
        <f>'P &amp; NP'!IK511</f>
        <v>0</v>
      </c>
      <c r="AH34" s="206">
        <f>'P &amp; NP'!IL511</f>
        <v>0</v>
      </c>
      <c r="AI34" s="206">
        <f>'P &amp; NP'!JA511</f>
        <v>0</v>
      </c>
      <c r="AJ34" s="206">
        <f>'P &amp; NP'!JB511</f>
        <v>0</v>
      </c>
      <c r="AK34" s="206">
        <f>'P &amp; NP'!JQ511</f>
        <v>0</v>
      </c>
      <c r="AL34" s="206">
        <f>'P &amp; NP'!JR511</f>
        <v>0</v>
      </c>
      <c r="AM34" s="206">
        <f>'P &amp; NP'!KG511</f>
        <v>0</v>
      </c>
      <c r="AN34" s="206">
        <f>'P &amp; NP'!KH511</f>
        <v>0</v>
      </c>
      <c r="AO34" s="206">
        <f>'P &amp; NP'!KW511</f>
        <v>31873.879999999994</v>
      </c>
      <c r="AP34" s="206">
        <f>'P &amp; NP'!KX511</f>
        <v>2981006</v>
      </c>
      <c r="AQ34" s="206">
        <f>'P &amp; NP'!LM511</f>
        <v>0</v>
      </c>
      <c r="AR34" s="206">
        <f>'P &amp; NP'!LN511</f>
        <v>0</v>
      </c>
      <c r="AS34" s="206">
        <f>'P &amp; NP'!MC511</f>
        <v>0</v>
      </c>
      <c r="AT34" s="206">
        <f>'P &amp; NP'!MD511</f>
        <v>0</v>
      </c>
      <c r="AU34" s="206">
        <f>'P &amp; NP'!MS511</f>
        <v>11000</v>
      </c>
      <c r="AV34" s="206">
        <f>'P &amp; NP'!MT511</f>
        <v>880000</v>
      </c>
      <c r="AW34" s="206">
        <f>'P &amp; NP'!NI511</f>
        <v>4042500</v>
      </c>
      <c r="AX34" s="206">
        <f>'P &amp; NP'!NJ511</f>
        <v>363825000</v>
      </c>
      <c r="AY34" s="206">
        <f>'P &amp; NP'!NY511</f>
        <v>697</v>
      </c>
      <c r="AZ34" s="206">
        <f>'P &amp; NP'!NZ511</f>
        <v>104550</v>
      </c>
      <c r="BA34" s="206">
        <f>'P &amp; NP'!OO511</f>
        <v>0</v>
      </c>
      <c r="BB34" s="206">
        <f>'P &amp; NP'!OP511</f>
        <v>0</v>
      </c>
      <c r="BC34" s="206">
        <f>'P &amp; NP'!PE511</f>
        <v>0</v>
      </c>
      <c r="BD34" s="206">
        <f>'P &amp; NP'!PF511</f>
        <v>0</v>
      </c>
      <c r="BE34" s="206">
        <f>'P &amp; NP'!PU511</f>
        <v>0</v>
      </c>
      <c r="BF34" s="206">
        <f>'P &amp; NP'!PV511</f>
        <v>0</v>
      </c>
      <c r="BG34" s="206">
        <f>'P &amp; NP'!QK511</f>
        <v>0</v>
      </c>
      <c r="BH34" s="206">
        <f>'P &amp; NP'!QL511</f>
        <v>0</v>
      </c>
      <c r="BI34" s="206">
        <f>'P &amp; NP'!RA511</f>
        <v>0</v>
      </c>
      <c r="BJ34" s="206">
        <f>'P &amp; NP'!RB511</f>
        <v>0</v>
      </c>
      <c r="BK34" s="206">
        <f>'P &amp; NP'!RQ511</f>
        <v>0</v>
      </c>
      <c r="BL34" s="206">
        <f>'P &amp; NP'!RR511</f>
        <v>0</v>
      </c>
      <c r="BM34" s="206">
        <f>'P &amp; NP'!SG511</f>
        <v>0</v>
      </c>
      <c r="BN34" s="206">
        <f>'P &amp; NP'!SH511</f>
        <v>0</v>
      </c>
      <c r="BO34" s="206">
        <f>'P &amp; NP'!SW511</f>
        <v>0</v>
      </c>
      <c r="BP34" s="206">
        <f>'P &amp; NP'!SX511</f>
        <v>0</v>
      </c>
      <c r="BQ34" s="206">
        <f>'P &amp; NP'!TM511</f>
        <v>0</v>
      </c>
      <c r="BR34" s="206">
        <f>'P &amp; NP'!TN511</f>
        <v>0</v>
      </c>
      <c r="BS34" s="206">
        <f>'P &amp; NP'!UC511</f>
        <v>0</v>
      </c>
      <c r="BT34" s="206">
        <f>'P &amp; NP'!UD511</f>
        <v>0</v>
      </c>
      <c r="BU34" s="206">
        <f>'P &amp; NP'!US511</f>
        <v>0</v>
      </c>
      <c r="BV34" s="206">
        <f>'P &amp; NP'!UT511</f>
        <v>0</v>
      </c>
      <c r="BW34" s="206">
        <f>'P &amp; NP'!VI511</f>
        <v>525.70000000000005</v>
      </c>
      <c r="BX34" s="206">
        <f>'P &amp; NP'!VJ511</f>
        <v>34170.5</v>
      </c>
      <c r="BY34" s="206">
        <f>'P &amp; NP'!VY511</f>
        <v>74968</v>
      </c>
      <c r="BZ34" s="206">
        <f>'P &amp; NP'!VZ511</f>
        <v>6552870</v>
      </c>
      <c r="CB34" s="206">
        <f t="shared" si="3"/>
        <v>7148560.5289569581</v>
      </c>
      <c r="CC34" s="206">
        <f t="shared" si="4"/>
        <v>649707624.78971636</v>
      </c>
    </row>
    <row r="35" spans="1:81">
      <c r="B35" s="207" t="str">
        <f>'P &amp; NP'!B41</f>
        <v xml:space="preserve">Udang_01 (Udang Api-Api) </v>
      </c>
      <c r="C35" s="206">
        <f>'P &amp; NP'!E512</f>
        <v>123700</v>
      </c>
      <c r="D35" s="206">
        <f>'P &amp; NP'!F512</f>
        <v>4948000</v>
      </c>
      <c r="E35" s="206">
        <f>'P &amp; NP'!U512</f>
        <v>0</v>
      </c>
      <c r="F35" s="206">
        <f>'P &amp; NP'!V512</f>
        <v>0</v>
      </c>
      <c r="G35" s="206">
        <f>'P &amp; NP'!AK512</f>
        <v>0</v>
      </c>
      <c r="H35" s="206">
        <f>'P &amp; NP'!AL512</f>
        <v>0</v>
      </c>
      <c r="I35" s="206">
        <f>'P &amp; NP'!BA512</f>
        <v>0</v>
      </c>
      <c r="J35" s="206">
        <f>'P &amp; NP'!BB512</f>
        <v>0</v>
      </c>
      <c r="K35" s="206">
        <f>'P &amp; NP'!BQ512</f>
        <v>0</v>
      </c>
      <c r="L35" s="206">
        <f>'P &amp; NP'!BR512</f>
        <v>0</v>
      </c>
      <c r="M35" s="206">
        <f>'P &amp; NP'!CG512</f>
        <v>0</v>
      </c>
      <c r="N35" s="206">
        <f>'P &amp; NP'!CH512</f>
        <v>0</v>
      </c>
      <c r="O35" s="206">
        <f>'P &amp; NP'!CW512</f>
        <v>0</v>
      </c>
      <c r="P35" s="206">
        <f>'P &amp; NP'!CX512</f>
        <v>0</v>
      </c>
      <c r="Q35" s="206">
        <f>'P &amp; NP'!DM512</f>
        <v>0</v>
      </c>
      <c r="R35" s="206">
        <f>'P &amp; NP'!DN512</f>
        <v>0</v>
      </c>
      <c r="S35" s="206">
        <f>'P &amp; NP'!EC512</f>
        <v>0</v>
      </c>
      <c r="T35" s="206">
        <f>'P &amp; NP'!ED512</f>
        <v>0</v>
      </c>
      <c r="U35" s="206">
        <f>'P &amp; NP'!ES512</f>
        <v>0</v>
      </c>
      <c r="V35" s="206">
        <f>'P &amp; NP'!ET512</f>
        <v>0</v>
      </c>
      <c r="W35" s="206">
        <f>'P &amp; NP'!FI512</f>
        <v>0</v>
      </c>
      <c r="X35" s="206">
        <f>'P &amp; NP'!FJ512</f>
        <v>0</v>
      </c>
      <c r="Y35" s="206">
        <f>'P &amp; NP'!FY512</f>
        <v>0</v>
      </c>
      <c r="Z35" s="206">
        <f>'P &amp; NP'!FZ512</f>
        <v>0</v>
      </c>
      <c r="AA35" s="206">
        <f>'P &amp; NP'!GO512</f>
        <v>0</v>
      </c>
      <c r="AB35" s="206">
        <f>'P &amp; NP'!GP512</f>
        <v>0</v>
      </c>
      <c r="AC35" s="206">
        <f>'P &amp; NP'!HE512</f>
        <v>0</v>
      </c>
      <c r="AD35" s="206">
        <f>'P &amp; NP'!HF512</f>
        <v>0</v>
      </c>
      <c r="AE35" s="206">
        <f>'P &amp; NP'!HU512</f>
        <v>0</v>
      </c>
      <c r="AF35" s="206">
        <f>'P &amp; NP'!HV512</f>
        <v>0</v>
      </c>
      <c r="AG35" s="206">
        <f>'P &amp; NP'!IK512</f>
        <v>0</v>
      </c>
      <c r="AH35" s="206">
        <f>'P &amp; NP'!IL512</f>
        <v>0</v>
      </c>
      <c r="AI35" s="206">
        <f>'P &amp; NP'!JA512</f>
        <v>0</v>
      </c>
      <c r="AJ35" s="206">
        <f>'P &amp; NP'!JB512</f>
        <v>0</v>
      </c>
      <c r="AK35" s="206">
        <f>'P &amp; NP'!JQ512</f>
        <v>0</v>
      </c>
      <c r="AL35" s="206">
        <f>'P &amp; NP'!JR512</f>
        <v>0</v>
      </c>
      <c r="AM35" s="206">
        <f>'P &amp; NP'!KG512</f>
        <v>0</v>
      </c>
      <c r="AN35" s="206">
        <f>'P &amp; NP'!KH512</f>
        <v>0</v>
      </c>
      <c r="AO35" s="206">
        <f>'P &amp; NP'!KW512</f>
        <v>0</v>
      </c>
      <c r="AP35" s="206">
        <f>'P &amp; NP'!KX512</f>
        <v>0</v>
      </c>
      <c r="AQ35" s="206">
        <f>'P &amp; NP'!LM512</f>
        <v>0</v>
      </c>
      <c r="AR35" s="206">
        <f>'P &amp; NP'!LN512</f>
        <v>0</v>
      </c>
      <c r="AS35" s="206">
        <f>'P &amp; NP'!MC512</f>
        <v>227230</v>
      </c>
      <c r="AT35" s="206">
        <f>'P &amp; NP'!MD512</f>
        <v>9089200</v>
      </c>
      <c r="AU35" s="206">
        <f>'P &amp; NP'!MS512</f>
        <v>0</v>
      </c>
      <c r="AV35" s="206">
        <f>'P &amp; NP'!MT512</f>
        <v>0</v>
      </c>
      <c r="AW35" s="206">
        <f>'P &amp; NP'!NI512</f>
        <v>465701</v>
      </c>
      <c r="AX35" s="206">
        <f>'P &amp; NP'!NJ512</f>
        <v>20956545</v>
      </c>
      <c r="AY35" s="206">
        <f>'P &amp; NP'!NY512</f>
        <v>0</v>
      </c>
      <c r="AZ35" s="206">
        <f>'P &amp; NP'!NZ512</f>
        <v>0</v>
      </c>
      <c r="BA35" s="206">
        <f>'P &amp; NP'!OO512</f>
        <v>0</v>
      </c>
      <c r="BB35" s="206">
        <f>'P &amp; NP'!OP512</f>
        <v>0</v>
      </c>
      <c r="BC35" s="206">
        <f>'P &amp; NP'!PE512</f>
        <v>0</v>
      </c>
      <c r="BD35" s="206">
        <f>'P &amp; NP'!PF512</f>
        <v>0</v>
      </c>
      <c r="BE35" s="206">
        <f>'P &amp; NP'!PU512</f>
        <v>0</v>
      </c>
      <c r="BF35" s="206">
        <f>'P &amp; NP'!PV512</f>
        <v>0</v>
      </c>
      <c r="BG35" s="206">
        <f>'P &amp; NP'!QK512</f>
        <v>0</v>
      </c>
      <c r="BH35" s="206">
        <f>'P &amp; NP'!QL512</f>
        <v>0</v>
      </c>
      <c r="BI35" s="206">
        <f>'P &amp; NP'!RA512</f>
        <v>0</v>
      </c>
      <c r="BJ35" s="206">
        <f>'P &amp; NP'!RB512</f>
        <v>0</v>
      </c>
      <c r="BK35" s="206">
        <f>'P &amp; NP'!RQ512</f>
        <v>0</v>
      </c>
      <c r="BL35" s="206">
        <f>'P &amp; NP'!RR512</f>
        <v>0</v>
      </c>
      <c r="BM35" s="206">
        <f>'P &amp; NP'!SG512</f>
        <v>0</v>
      </c>
      <c r="BN35" s="206">
        <f>'P &amp; NP'!SH512</f>
        <v>0</v>
      </c>
      <c r="BO35" s="206">
        <f>'P &amp; NP'!SW512</f>
        <v>0</v>
      </c>
      <c r="BP35" s="206">
        <f>'P &amp; NP'!SX512</f>
        <v>0</v>
      </c>
      <c r="BQ35" s="206">
        <f>'P &amp; NP'!TM512</f>
        <v>0</v>
      </c>
      <c r="BR35" s="206">
        <f>'P &amp; NP'!TN512</f>
        <v>0</v>
      </c>
      <c r="BS35" s="206">
        <f>'P &amp; NP'!UC512</f>
        <v>0</v>
      </c>
      <c r="BT35" s="206">
        <f>'P &amp; NP'!UD512</f>
        <v>0</v>
      </c>
      <c r="BU35" s="206">
        <f>'P &amp; NP'!US512</f>
        <v>0</v>
      </c>
      <c r="BV35" s="206">
        <f>'P &amp; NP'!UT512</f>
        <v>0</v>
      </c>
      <c r="BW35" s="206">
        <f>'P &amp; NP'!VI512</f>
        <v>0</v>
      </c>
      <c r="BX35" s="206">
        <f>'P &amp; NP'!VJ512</f>
        <v>0</v>
      </c>
      <c r="BY35" s="206">
        <f>'P &amp; NP'!VY512</f>
        <v>0</v>
      </c>
      <c r="BZ35" s="206">
        <f>'P &amp; NP'!VZ512</f>
        <v>0</v>
      </c>
      <c r="CB35" s="206">
        <f>SUMIF($C$4:$BZ$4,$CB$4,C35:BZ35)</f>
        <v>816631</v>
      </c>
      <c r="CC35" s="206">
        <f>SUMIF($C$4:$BZ$4,$CC$4,C35:BZ35)</f>
        <v>34993745</v>
      </c>
    </row>
    <row r="36" spans="1:81">
      <c r="B36" s="207" t="str">
        <f>'P &amp; NP'!B42</f>
        <v xml:space="preserve">Udang_02 (Udang Rebon) </v>
      </c>
      <c r="C36" s="206">
        <f>'P &amp; NP'!E513</f>
        <v>0</v>
      </c>
      <c r="D36" s="206">
        <f>'P &amp; NP'!F513</f>
        <v>0</v>
      </c>
      <c r="E36" s="206">
        <f>'P &amp; NP'!U513</f>
        <v>0</v>
      </c>
      <c r="F36" s="206">
        <f>'P &amp; NP'!V513</f>
        <v>0</v>
      </c>
      <c r="G36" s="206">
        <f>'P &amp; NP'!AK513</f>
        <v>0</v>
      </c>
      <c r="H36" s="206">
        <f>'P &amp; NP'!AL513</f>
        <v>0</v>
      </c>
      <c r="I36" s="206">
        <f>'P &amp; NP'!BA513</f>
        <v>0</v>
      </c>
      <c r="J36" s="206">
        <f>'P &amp; NP'!BB513</f>
        <v>0</v>
      </c>
      <c r="K36" s="206">
        <f>'P &amp; NP'!BQ513</f>
        <v>0</v>
      </c>
      <c r="L36" s="206">
        <f>'P &amp; NP'!BR513</f>
        <v>0</v>
      </c>
      <c r="M36" s="206">
        <f>'P &amp; NP'!CG513</f>
        <v>0</v>
      </c>
      <c r="N36" s="206">
        <f>'P &amp; NP'!CH513</f>
        <v>0</v>
      </c>
      <c r="O36" s="206">
        <f>'P &amp; NP'!CW513</f>
        <v>0</v>
      </c>
      <c r="P36" s="206">
        <f>'P &amp; NP'!CX513</f>
        <v>0</v>
      </c>
      <c r="Q36" s="206">
        <f>'P &amp; NP'!DM513</f>
        <v>0</v>
      </c>
      <c r="R36" s="206">
        <f>'P &amp; NP'!DN513</f>
        <v>0</v>
      </c>
      <c r="S36" s="206">
        <f>'P &amp; NP'!EC513</f>
        <v>0</v>
      </c>
      <c r="T36" s="206">
        <f>'P &amp; NP'!ED513</f>
        <v>0</v>
      </c>
      <c r="U36" s="206">
        <f>'P &amp; NP'!ES513</f>
        <v>0</v>
      </c>
      <c r="V36" s="206">
        <f>'P &amp; NP'!ET513</f>
        <v>0</v>
      </c>
      <c r="W36" s="206">
        <f>'P &amp; NP'!FI513</f>
        <v>0</v>
      </c>
      <c r="X36" s="206">
        <f>'P &amp; NP'!FJ513</f>
        <v>0</v>
      </c>
      <c r="Y36" s="206">
        <f>'P &amp; NP'!FY513</f>
        <v>0</v>
      </c>
      <c r="Z36" s="206">
        <f>'P &amp; NP'!FZ513</f>
        <v>0</v>
      </c>
      <c r="AA36" s="206">
        <f>'P &amp; NP'!GO513</f>
        <v>0</v>
      </c>
      <c r="AB36" s="206">
        <f>'P &amp; NP'!GP513</f>
        <v>0</v>
      </c>
      <c r="AC36" s="206">
        <f>'P &amp; NP'!HE513</f>
        <v>0</v>
      </c>
      <c r="AD36" s="206">
        <f>'P &amp; NP'!HF513</f>
        <v>0</v>
      </c>
      <c r="AE36" s="206">
        <f>'P &amp; NP'!HU513</f>
        <v>0</v>
      </c>
      <c r="AF36" s="206">
        <f>'P &amp; NP'!HV513</f>
        <v>0</v>
      </c>
      <c r="AG36" s="206">
        <f>'P &amp; NP'!IK513</f>
        <v>0</v>
      </c>
      <c r="AH36" s="206">
        <f>'P &amp; NP'!IL513</f>
        <v>0</v>
      </c>
      <c r="AI36" s="206">
        <f>'P &amp; NP'!JA513</f>
        <v>0</v>
      </c>
      <c r="AJ36" s="206">
        <f>'P &amp; NP'!JB513</f>
        <v>0</v>
      </c>
      <c r="AK36" s="206">
        <f>'P &amp; NP'!JQ513</f>
        <v>0</v>
      </c>
      <c r="AL36" s="206">
        <f>'P &amp; NP'!JR513</f>
        <v>0</v>
      </c>
      <c r="AM36" s="206">
        <f>'P &amp; NP'!KG513</f>
        <v>0</v>
      </c>
      <c r="AN36" s="206">
        <f>'P &amp; NP'!KH513</f>
        <v>0</v>
      </c>
      <c r="AO36" s="206">
        <f>'P &amp; NP'!KW513</f>
        <v>0</v>
      </c>
      <c r="AP36" s="206">
        <f>'P &amp; NP'!KX513</f>
        <v>0</v>
      </c>
      <c r="AQ36" s="206">
        <f>'P &amp; NP'!LM513</f>
        <v>0</v>
      </c>
      <c r="AR36" s="206">
        <f>'P &amp; NP'!LN513</f>
        <v>0</v>
      </c>
      <c r="AS36" s="206">
        <f>'P &amp; NP'!MC513</f>
        <v>0</v>
      </c>
      <c r="AT36" s="206">
        <f>'P &amp; NP'!MD513</f>
        <v>0</v>
      </c>
      <c r="AU36" s="206">
        <f>'P &amp; NP'!MS513</f>
        <v>0</v>
      </c>
      <c r="AV36" s="206">
        <f>'P &amp; NP'!MT513</f>
        <v>0</v>
      </c>
      <c r="AW36" s="206">
        <f>'P &amp; NP'!NI513</f>
        <v>1710001</v>
      </c>
      <c r="AX36" s="206">
        <f>'P &amp; NP'!NJ513</f>
        <v>68400040</v>
      </c>
      <c r="AY36" s="206">
        <f>'P &amp; NP'!NY513</f>
        <v>0</v>
      </c>
      <c r="AZ36" s="206">
        <f>'P &amp; NP'!NZ513</f>
        <v>0</v>
      </c>
      <c r="BA36" s="206">
        <f>'P &amp; NP'!OO513</f>
        <v>0</v>
      </c>
      <c r="BB36" s="206">
        <f>'P &amp; NP'!OP513</f>
        <v>0</v>
      </c>
      <c r="BC36" s="206">
        <f>'P &amp; NP'!PE513</f>
        <v>0</v>
      </c>
      <c r="BD36" s="206">
        <f>'P &amp; NP'!PF513</f>
        <v>0</v>
      </c>
      <c r="BE36" s="206">
        <f>'P &amp; NP'!PU513</f>
        <v>0</v>
      </c>
      <c r="BF36" s="206">
        <f>'P &amp; NP'!PV513</f>
        <v>0</v>
      </c>
      <c r="BG36" s="206">
        <f>'P &amp; NP'!QK513</f>
        <v>0</v>
      </c>
      <c r="BH36" s="206">
        <f>'P &amp; NP'!QL513</f>
        <v>0</v>
      </c>
      <c r="BI36" s="206">
        <f>'P &amp; NP'!RA513</f>
        <v>0</v>
      </c>
      <c r="BJ36" s="206">
        <f>'P &amp; NP'!RB513</f>
        <v>0</v>
      </c>
      <c r="BK36" s="206">
        <f>'P &amp; NP'!RQ513</f>
        <v>0</v>
      </c>
      <c r="BL36" s="206">
        <f>'P &amp; NP'!RR513</f>
        <v>0</v>
      </c>
      <c r="BM36" s="206">
        <f>'P &amp; NP'!SG513</f>
        <v>0</v>
      </c>
      <c r="BN36" s="206">
        <f>'P &amp; NP'!SH513</f>
        <v>0</v>
      </c>
      <c r="BO36" s="206">
        <f>'P &amp; NP'!SW513</f>
        <v>0</v>
      </c>
      <c r="BP36" s="206">
        <f>'P &amp; NP'!SX513</f>
        <v>0</v>
      </c>
      <c r="BQ36" s="206">
        <f>'P &amp; NP'!TM513</f>
        <v>0</v>
      </c>
      <c r="BR36" s="206">
        <f>'P &amp; NP'!TN513</f>
        <v>0</v>
      </c>
      <c r="BS36" s="206">
        <f>'P &amp; NP'!UC513</f>
        <v>0</v>
      </c>
      <c r="BT36" s="206">
        <f>'P &amp; NP'!UD513</f>
        <v>0</v>
      </c>
      <c r="BU36" s="206">
        <f>'P &amp; NP'!US513</f>
        <v>0</v>
      </c>
      <c r="BV36" s="206">
        <f>'P &amp; NP'!UT513</f>
        <v>0</v>
      </c>
      <c r="BW36" s="206">
        <f>'P &amp; NP'!VI513</f>
        <v>0</v>
      </c>
      <c r="BX36" s="206">
        <f>'P &amp; NP'!VJ513</f>
        <v>0</v>
      </c>
      <c r="BY36" s="206">
        <f>'P &amp; NP'!VY513</f>
        <v>0</v>
      </c>
      <c r="BZ36" s="206">
        <f>'P &amp; NP'!VZ513</f>
        <v>0</v>
      </c>
      <c r="CB36" s="206">
        <f t="shared" ref="CB36:CB44" si="5">SUMIF($C$4:$BZ$4,$CB$4,C36:BZ36)</f>
        <v>1710001</v>
      </c>
      <c r="CC36" s="206">
        <f t="shared" ref="CC36:CC44" si="6">SUMIF($C$4:$BZ$4,$CC$4,C36:BZ36)</f>
        <v>68400040</v>
      </c>
    </row>
    <row r="37" spans="1:81">
      <c r="B37" s="207" t="str">
        <f>'P &amp; NP'!B43</f>
        <v xml:space="preserve">Belut Sawah </v>
      </c>
      <c r="C37" s="206">
        <f>'P &amp; NP'!E514</f>
        <v>0</v>
      </c>
      <c r="D37" s="206">
        <f>'P &amp; NP'!F514</f>
        <v>0</v>
      </c>
      <c r="E37" s="206">
        <f>'P &amp; NP'!U514</f>
        <v>0</v>
      </c>
      <c r="F37" s="206">
        <f>'P &amp; NP'!V514</f>
        <v>0</v>
      </c>
      <c r="G37" s="206">
        <f>'P &amp; NP'!AK514</f>
        <v>0</v>
      </c>
      <c r="H37" s="206">
        <f>'P &amp; NP'!AL514</f>
        <v>0</v>
      </c>
      <c r="I37" s="206">
        <f>'P &amp; NP'!BA514</f>
        <v>0</v>
      </c>
      <c r="J37" s="206">
        <f>'P &amp; NP'!BB514</f>
        <v>0</v>
      </c>
      <c r="K37" s="206">
        <f>'P &amp; NP'!BQ514</f>
        <v>0</v>
      </c>
      <c r="L37" s="206">
        <f>'P &amp; NP'!BR514</f>
        <v>0</v>
      </c>
      <c r="M37" s="206">
        <f>'P &amp; NP'!CG514</f>
        <v>0</v>
      </c>
      <c r="N37" s="206">
        <f>'P &amp; NP'!CH514</f>
        <v>0</v>
      </c>
      <c r="O37" s="206">
        <f>'P &amp; NP'!CW514</f>
        <v>0</v>
      </c>
      <c r="P37" s="206">
        <f>'P &amp; NP'!CX514</f>
        <v>0</v>
      </c>
      <c r="Q37" s="206">
        <f>'P &amp; NP'!DM514</f>
        <v>0</v>
      </c>
      <c r="R37" s="206">
        <f>'P &amp; NP'!DN514</f>
        <v>0</v>
      </c>
      <c r="S37" s="206">
        <f>'P &amp; NP'!EC514</f>
        <v>0</v>
      </c>
      <c r="T37" s="206">
        <f>'P &amp; NP'!ED514</f>
        <v>0</v>
      </c>
      <c r="U37" s="206">
        <f>'P &amp; NP'!ES514</f>
        <v>0</v>
      </c>
      <c r="V37" s="206">
        <f>'P &amp; NP'!ET514</f>
        <v>0</v>
      </c>
      <c r="W37" s="206">
        <f>'P &amp; NP'!FI514</f>
        <v>0</v>
      </c>
      <c r="X37" s="206">
        <f>'P &amp; NP'!FJ514</f>
        <v>0</v>
      </c>
      <c r="Y37" s="206">
        <f>'P &amp; NP'!FY514</f>
        <v>0</v>
      </c>
      <c r="Z37" s="206">
        <f>'P &amp; NP'!FZ514</f>
        <v>0</v>
      </c>
      <c r="AA37" s="206">
        <f>'P &amp; NP'!GO514</f>
        <v>0</v>
      </c>
      <c r="AB37" s="206">
        <f>'P &amp; NP'!GP514</f>
        <v>0</v>
      </c>
      <c r="AC37" s="206">
        <f>'P &amp; NP'!HE514</f>
        <v>0</v>
      </c>
      <c r="AD37" s="206">
        <f>'P &amp; NP'!HF514</f>
        <v>0</v>
      </c>
      <c r="AE37" s="206">
        <f>'P &amp; NP'!HU514</f>
        <v>0</v>
      </c>
      <c r="AF37" s="206">
        <f>'P &amp; NP'!HV514</f>
        <v>0</v>
      </c>
      <c r="AG37" s="206">
        <f>'P &amp; NP'!IK514</f>
        <v>0</v>
      </c>
      <c r="AH37" s="206">
        <f>'P &amp; NP'!IL514</f>
        <v>0</v>
      </c>
      <c r="AI37" s="206">
        <f>'P &amp; NP'!JA514</f>
        <v>0</v>
      </c>
      <c r="AJ37" s="206">
        <f>'P &amp; NP'!JB514</f>
        <v>0</v>
      </c>
      <c r="AK37" s="206">
        <f>'P &amp; NP'!JQ514</f>
        <v>0</v>
      </c>
      <c r="AL37" s="206">
        <f>'P &amp; NP'!JR514</f>
        <v>0</v>
      </c>
      <c r="AM37" s="206">
        <f>'P &amp; NP'!KG514</f>
        <v>0</v>
      </c>
      <c r="AN37" s="206">
        <f>'P &amp; NP'!KH514</f>
        <v>0</v>
      </c>
      <c r="AO37" s="206">
        <f>'P &amp; NP'!KW514</f>
        <v>0</v>
      </c>
      <c r="AP37" s="206">
        <f>'P &amp; NP'!KX514</f>
        <v>0</v>
      </c>
      <c r="AQ37" s="206">
        <f>'P &amp; NP'!LM514</f>
        <v>0</v>
      </c>
      <c r="AR37" s="206">
        <f>'P &amp; NP'!LN514</f>
        <v>0</v>
      </c>
      <c r="AS37" s="206">
        <f>'P &amp; NP'!MC514</f>
        <v>0</v>
      </c>
      <c r="AT37" s="206">
        <f>'P &amp; NP'!MD514</f>
        <v>0</v>
      </c>
      <c r="AU37" s="206">
        <f>'P &amp; NP'!MS514</f>
        <v>0</v>
      </c>
      <c r="AV37" s="206">
        <f>'P &amp; NP'!MT514</f>
        <v>0</v>
      </c>
      <c r="AW37" s="206">
        <f>'P &amp; NP'!NI514</f>
        <v>0</v>
      </c>
      <c r="AX37" s="206">
        <f>'P &amp; NP'!NJ514</f>
        <v>0</v>
      </c>
      <c r="AY37" s="206">
        <f>'P &amp; NP'!NY514</f>
        <v>0</v>
      </c>
      <c r="AZ37" s="206">
        <f>'P &amp; NP'!NZ514</f>
        <v>0</v>
      </c>
      <c r="BA37" s="206">
        <f>'P &amp; NP'!OO514</f>
        <v>0</v>
      </c>
      <c r="BB37" s="206">
        <f>'P &amp; NP'!OP514</f>
        <v>0</v>
      </c>
      <c r="BC37" s="206">
        <f>'P &amp; NP'!PE514</f>
        <v>0</v>
      </c>
      <c r="BD37" s="206">
        <f>'P &amp; NP'!PF514</f>
        <v>0</v>
      </c>
      <c r="BE37" s="206">
        <f>'P &amp; NP'!PU514</f>
        <v>0</v>
      </c>
      <c r="BF37" s="206">
        <f>'P &amp; NP'!PV514</f>
        <v>0</v>
      </c>
      <c r="BG37" s="206">
        <f>'P &amp; NP'!QK514</f>
        <v>0</v>
      </c>
      <c r="BH37" s="206">
        <f>'P &amp; NP'!QL514</f>
        <v>0</v>
      </c>
      <c r="BI37" s="206">
        <f>'P &amp; NP'!RA514</f>
        <v>0</v>
      </c>
      <c r="BJ37" s="206">
        <f>'P &amp; NP'!RB514</f>
        <v>0</v>
      </c>
      <c r="BK37" s="206">
        <f>'P &amp; NP'!RQ514</f>
        <v>0</v>
      </c>
      <c r="BL37" s="206">
        <f>'P &amp; NP'!RR514</f>
        <v>0</v>
      </c>
      <c r="BM37" s="206">
        <f>'P &amp; NP'!SG514</f>
        <v>0</v>
      </c>
      <c r="BN37" s="206">
        <f>'P &amp; NP'!SH514</f>
        <v>0</v>
      </c>
      <c r="BO37" s="206">
        <f>'P &amp; NP'!SW514</f>
        <v>0</v>
      </c>
      <c r="BP37" s="206">
        <f>'P &amp; NP'!SX514</f>
        <v>0</v>
      </c>
      <c r="BQ37" s="206">
        <f>'P &amp; NP'!TM514</f>
        <v>0</v>
      </c>
      <c r="BR37" s="206">
        <f>'P &amp; NP'!TN514</f>
        <v>0</v>
      </c>
      <c r="BS37" s="206">
        <f>'P &amp; NP'!UC514</f>
        <v>0</v>
      </c>
      <c r="BT37" s="206">
        <f>'P &amp; NP'!UD514</f>
        <v>0</v>
      </c>
      <c r="BU37" s="206">
        <f>'P &amp; NP'!US514</f>
        <v>0</v>
      </c>
      <c r="BV37" s="206">
        <f>'P &amp; NP'!UT514</f>
        <v>0</v>
      </c>
      <c r="BW37" s="206">
        <f>'P &amp; NP'!VI514</f>
        <v>0</v>
      </c>
      <c r="BX37" s="206">
        <f>'P &amp; NP'!VJ514</f>
        <v>0</v>
      </c>
      <c r="BY37" s="206">
        <f>'P &amp; NP'!VY514</f>
        <v>0</v>
      </c>
      <c r="BZ37" s="206">
        <f>'P &amp; NP'!VZ514</f>
        <v>0</v>
      </c>
      <c r="CB37" s="206">
        <f t="shared" si="5"/>
        <v>0</v>
      </c>
      <c r="CC37" s="206">
        <f t="shared" si="6"/>
        <v>0</v>
      </c>
    </row>
    <row r="38" spans="1:81">
      <c r="B38" s="207" t="str">
        <f>'P &amp; NP'!B44</f>
        <v xml:space="preserve">Udang_04 (Udang Lainnya) </v>
      </c>
      <c r="C38" s="206">
        <f>'P &amp; NP'!E515</f>
        <v>0</v>
      </c>
      <c r="D38" s="206">
        <f>'P &amp; NP'!F515</f>
        <v>0</v>
      </c>
      <c r="E38" s="206">
        <f>'P &amp; NP'!U515</f>
        <v>0</v>
      </c>
      <c r="F38" s="206">
        <f>'P &amp; NP'!V515</f>
        <v>0</v>
      </c>
      <c r="G38" s="206">
        <f>'P &amp; NP'!AK515</f>
        <v>0</v>
      </c>
      <c r="H38" s="206">
        <f>'P &amp; NP'!AL515</f>
        <v>0</v>
      </c>
      <c r="I38" s="206">
        <f>'P &amp; NP'!BA515</f>
        <v>0</v>
      </c>
      <c r="J38" s="206">
        <f>'P &amp; NP'!BB515</f>
        <v>0</v>
      </c>
      <c r="K38" s="206">
        <f>'P &amp; NP'!BQ515</f>
        <v>0</v>
      </c>
      <c r="L38" s="206">
        <f>'P &amp; NP'!BR515</f>
        <v>0</v>
      </c>
      <c r="M38" s="206">
        <f>'P &amp; NP'!CG515</f>
        <v>0</v>
      </c>
      <c r="N38" s="206">
        <f>'P &amp; NP'!CH515</f>
        <v>0</v>
      </c>
      <c r="O38" s="206">
        <f>'P &amp; NP'!CW515</f>
        <v>0</v>
      </c>
      <c r="P38" s="206">
        <f>'P &amp; NP'!CX515</f>
        <v>0</v>
      </c>
      <c r="Q38" s="206">
        <f>'P &amp; NP'!DM515</f>
        <v>0</v>
      </c>
      <c r="R38" s="206">
        <f>'P &amp; NP'!DN515</f>
        <v>0</v>
      </c>
      <c r="S38" s="206">
        <f>'P &amp; NP'!EC515</f>
        <v>0</v>
      </c>
      <c r="T38" s="206">
        <f>'P &amp; NP'!ED515</f>
        <v>0</v>
      </c>
      <c r="U38" s="206">
        <f>'P &amp; NP'!ES515</f>
        <v>0</v>
      </c>
      <c r="V38" s="206">
        <f>'P &amp; NP'!ET515</f>
        <v>0</v>
      </c>
      <c r="W38" s="206">
        <f>'P &amp; NP'!FI515</f>
        <v>0</v>
      </c>
      <c r="X38" s="206">
        <f>'P &amp; NP'!FJ515</f>
        <v>0</v>
      </c>
      <c r="Y38" s="206">
        <f>'P &amp; NP'!FY515</f>
        <v>0</v>
      </c>
      <c r="Z38" s="206">
        <f>'P &amp; NP'!FZ515</f>
        <v>0</v>
      </c>
      <c r="AA38" s="206">
        <f>'P &amp; NP'!GO515</f>
        <v>0</v>
      </c>
      <c r="AB38" s="206">
        <f>'P &amp; NP'!GP515</f>
        <v>0</v>
      </c>
      <c r="AC38" s="206">
        <f>'P &amp; NP'!HE515</f>
        <v>0</v>
      </c>
      <c r="AD38" s="206">
        <f>'P &amp; NP'!HF515</f>
        <v>0</v>
      </c>
      <c r="AE38" s="206">
        <f>'P &amp; NP'!HU515</f>
        <v>0</v>
      </c>
      <c r="AF38" s="206">
        <f>'P &amp; NP'!HV515</f>
        <v>0</v>
      </c>
      <c r="AG38" s="206">
        <f>'P &amp; NP'!IK515</f>
        <v>0</v>
      </c>
      <c r="AH38" s="206">
        <f>'P &amp; NP'!IL515</f>
        <v>0</v>
      </c>
      <c r="AI38" s="206">
        <f>'P &amp; NP'!JA515</f>
        <v>0</v>
      </c>
      <c r="AJ38" s="206">
        <f>'P &amp; NP'!JB515</f>
        <v>0</v>
      </c>
      <c r="AK38" s="206">
        <f>'P &amp; NP'!JQ515</f>
        <v>0</v>
      </c>
      <c r="AL38" s="206">
        <f>'P &amp; NP'!JR515</f>
        <v>0</v>
      </c>
      <c r="AM38" s="206">
        <f>'P &amp; NP'!KG515</f>
        <v>0</v>
      </c>
      <c r="AN38" s="206">
        <f>'P &amp; NP'!KH515</f>
        <v>0</v>
      </c>
      <c r="AO38" s="206">
        <f>'P &amp; NP'!KW515</f>
        <v>0</v>
      </c>
      <c r="AP38" s="206">
        <f>'P &amp; NP'!KX515</f>
        <v>0</v>
      </c>
      <c r="AQ38" s="206">
        <f>'P &amp; NP'!LM515</f>
        <v>0</v>
      </c>
      <c r="AR38" s="206">
        <f>'P &amp; NP'!LN515</f>
        <v>0</v>
      </c>
      <c r="AS38" s="206">
        <f>'P &amp; NP'!MC515</f>
        <v>0</v>
      </c>
      <c r="AT38" s="206">
        <f>'P &amp; NP'!MD515</f>
        <v>0</v>
      </c>
      <c r="AU38" s="206">
        <f>'P &amp; NP'!MS515</f>
        <v>0</v>
      </c>
      <c r="AV38" s="206">
        <f>'P &amp; NP'!MT515</f>
        <v>0</v>
      </c>
      <c r="AW38" s="206">
        <f>'P &amp; NP'!NI515</f>
        <v>0</v>
      </c>
      <c r="AX38" s="206">
        <f>'P &amp; NP'!NJ515</f>
        <v>0</v>
      </c>
      <c r="AY38" s="206">
        <f>'P &amp; NP'!NY515</f>
        <v>0</v>
      </c>
      <c r="AZ38" s="206">
        <f>'P &amp; NP'!NZ515</f>
        <v>0</v>
      </c>
      <c r="BA38" s="206">
        <f>'P &amp; NP'!OO515</f>
        <v>0</v>
      </c>
      <c r="BB38" s="206">
        <f>'P &amp; NP'!OP515</f>
        <v>0</v>
      </c>
      <c r="BC38" s="206">
        <f>'P &amp; NP'!PE515</f>
        <v>0</v>
      </c>
      <c r="BD38" s="206">
        <f>'P &amp; NP'!PF515</f>
        <v>0</v>
      </c>
      <c r="BE38" s="206">
        <f>'P &amp; NP'!PU515</f>
        <v>0</v>
      </c>
      <c r="BF38" s="206">
        <f>'P &amp; NP'!PV515</f>
        <v>0</v>
      </c>
      <c r="BG38" s="206">
        <f>'P &amp; NP'!QK515</f>
        <v>0</v>
      </c>
      <c r="BH38" s="206">
        <f>'P &amp; NP'!QL515</f>
        <v>0</v>
      </c>
      <c r="BI38" s="206">
        <f>'P &amp; NP'!RA515</f>
        <v>0</v>
      </c>
      <c r="BJ38" s="206">
        <f>'P &amp; NP'!RB515</f>
        <v>0</v>
      </c>
      <c r="BK38" s="206">
        <f>'P &amp; NP'!RQ515</f>
        <v>0</v>
      </c>
      <c r="BL38" s="206">
        <f>'P &amp; NP'!RR515</f>
        <v>0</v>
      </c>
      <c r="BM38" s="206">
        <f>'P &amp; NP'!SG515</f>
        <v>0</v>
      </c>
      <c r="BN38" s="206">
        <f>'P &amp; NP'!SH515</f>
        <v>0</v>
      </c>
      <c r="BO38" s="206">
        <f>'P &amp; NP'!SW515</f>
        <v>0</v>
      </c>
      <c r="BP38" s="206">
        <f>'P &amp; NP'!SX515</f>
        <v>0</v>
      </c>
      <c r="BQ38" s="206">
        <f>'P &amp; NP'!TM515</f>
        <v>0</v>
      </c>
      <c r="BR38" s="206">
        <f>'P &amp; NP'!TN515</f>
        <v>0</v>
      </c>
      <c r="BS38" s="206">
        <f>'P &amp; NP'!UC515</f>
        <v>0</v>
      </c>
      <c r="BT38" s="206">
        <f>'P &amp; NP'!UD515</f>
        <v>0</v>
      </c>
      <c r="BU38" s="206">
        <f>'P &amp; NP'!US515</f>
        <v>0</v>
      </c>
      <c r="BV38" s="206">
        <f>'P &amp; NP'!UT515</f>
        <v>0</v>
      </c>
      <c r="BW38" s="206">
        <f>'P &amp; NP'!VI515</f>
        <v>0</v>
      </c>
      <c r="BX38" s="206">
        <f>'P &amp; NP'!VJ515</f>
        <v>0</v>
      </c>
      <c r="BY38" s="206">
        <f>'P &amp; NP'!VY515</f>
        <v>0</v>
      </c>
      <c r="BZ38" s="206">
        <f>'P &amp; NP'!VZ515</f>
        <v>0</v>
      </c>
      <c r="CB38" s="206">
        <f t="shared" si="5"/>
        <v>0</v>
      </c>
      <c r="CC38" s="206">
        <f t="shared" si="6"/>
        <v>0</v>
      </c>
    </row>
    <row r="39" spans="1:81">
      <c r="B39" s="207" t="str">
        <f>'P &amp; NP'!B45</f>
        <v xml:space="preserve">Udang_05 (Udang Lainnya) </v>
      </c>
      <c r="C39" s="206">
        <f>'P &amp; NP'!E516</f>
        <v>0</v>
      </c>
      <c r="D39" s="206">
        <f>'P &amp; NP'!F516</f>
        <v>0</v>
      </c>
      <c r="E39" s="206">
        <f>'P &amp; NP'!U516</f>
        <v>0</v>
      </c>
      <c r="F39" s="206">
        <f>'P &amp; NP'!V516</f>
        <v>0</v>
      </c>
      <c r="G39" s="206">
        <f>'P &amp; NP'!AK516</f>
        <v>0</v>
      </c>
      <c r="H39" s="206">
        <f>'P &amp; NP'!AL516</f>
        <v>0</v>
      </c>
      <c r="I39" s="206">
        <f>'P &amp; NP'!BA516</f>
        <v>0</v>
      </c>
      <c r="J39" s="206">
        <f>'P &amp; NP'!BB516</f>
        <v>0</v>
      </c>
      <c r="K39" s="206">
        <f>'P &amp; NP'!BQ516</f>
        <v>0</v>
      </c>
      <c r="L39" s="206">
        <f>'P &amp; NP'!BR516</f>
        <v>0</v>
      </c>
      <c r="M39" s="206">
        <f>'P &amp; NP'!CG516</f>
        <v>0</v>
      </c>
      <c r="N39" s="206">
        <f>'P &amp; NP'!CH516</f>
        <v>0</v>
      </c>
      <c r="O39" s="206">
        <f>'P &amp; NP'!CW516</f>
        <v>0</v>
      </c>
      <c r="P39" s="206">
        <f>'P &amp; NP'!CX516</f>
        <v>0</v>
      </c>
      <c r="Q39" s="206">
        <f>'P &amp; NP'!DM516</f>
        <v>0</v>
      </c>
      <c r="R39" s="206">
        <f>'P &amp; NP'!DN516</f>
        <v>0</v>
      </c>
      <c r="S39" s="206">
        <f>'P &amp; NP'!EC516</f>
        <v>0</v>
      </c>
      <c r="T39" s="206">
        <f>'P &amp; NP'!ED516</f>
        <v>0</v>
      </c>
      <c r="U39" s="206">
        <f>'P &amp; NP'!ES516</f>
        <v>0</v>
      </c>
      <c r="V39" s="206">
        <f>'P &amp; NP'!ET516</f>
        <v>0</v>
      </c>
      <c r="W39" s="206">
        <f>'P &amp; NP'!FI516</f>
        <v>0</v>
      </c>
      <c r="X39" s="206">
        <f>'P &amp; NP'!FJ516</f>
        <v>0</v>
      </c>
      <c r="Y39" s="206">
        <f>'P &amp; NP'!FY516</f>
        <v>0</v>
      </c>
      <c r="Z39" s="206">
        <f>'P &amp; NP'!FZ516</f>
        <v>0</v>
      </c>
      <c r="AA39" s="206">
        <f>'P &amp; NP'!GO516</f>
        <v>0</v>
      </c>
      <c r="AB39" s="206">
        <f>'P &amp; NP'!GP516</f>
        <v>0</v>
      </c>
      <c r="AC39" s="206">
        <f>'P &amp; NP'!HE516</f>
        <v>0</v>
      </c>
      <c r="AD39" s="206">
        <f>'P &amp; NP'!HF516</f>
        <v>0</v>
      </c>
      <c r="AE39" s="206">
        <f>'P &amp; NP'!HU516</f>
        <v>0</v>
      </c>
      <c r="AF39" s="206">
        <f>'P &amp; NP'!HV516</f>
        <v>0</v>
      </c>
      <c r="AG39" s="206">
        <f>'P &amp; NP'!IK516</f>
        <v>0</v>
      </c>
      <c r="AH39" s="206">
        <f>'P &amp; NP'!IL516</f>
        <v>0</v>
      </c>
      <c r="AI39" s="206">
        <f>'P &amp; NP'!JA516</f>
        <v>0</v>
      </c>
      <c r="AJ39" s="206">
        <f>'P &amp; NP'!JB516</f>
        <v>0</v>
      </c>
      <c r="AK39" s="206">
        <f>'P &amp; NP'!JQ516</f>
        <v>0</v>
      </c>
      <c r="AL39" s="206">
        <f>'P &amp; NP'!JR516</f>
        <v>0</v>
      </c>
      <c r="AM39" s="206">
        <f>'P &amp; NP'!KG516</f>
        <v>0</v>
      </c>
      <c r="AN39" s="206">
        <f>'P &amp; NP'!KH516</f>
        <v>0</v>
      </c>
      <c r="AO39" s="206">
        <f>'P &amp; NP'!KW516</f>
        <v>0</v>
      </c>
      <c r="AP39" s="206">
        <f>'P &amp; NP'!KX516</f>
        <v>0</v>
      </c>
      <c r="AQ39" s="206">
        <f>'P &amp; NP'!LM516</f>
        <v>0</v>
      </c>
      <c r="AR39" s="206">
        <f>'P &amp; NP'!LN516</f>
        <v>0</v>
      </c>
      <c r="AS39" s="206">
        <f>'P &amp; NP'!MC516</f>
        <v>0</v>
      </c>
      <c r="AT39" s="206">
        <f>'P &amp; NP'!MD516</f>
        <v>0</v>
      </c>
      <c r="AU39" s="206">
        <f>'P &amp; NP'!MS516</f>
        <v>0</v>
      </c>
      <c r="AV39" s="206">
        <f>'P &amp; NP'!MT516</f>
        <v>0</v>
      </c>
      <c r="AW39" s="206">
        <f>'P &amp; NP'!NI516</f>
        <v>0</v>
      </c>
      <c r="AX39" s="206">
        <f>'P &amp; NP'!NJ516</f>
        <v>0</v>
      </c>
      <c r="AY39" s="206">
        <f>'P &amp; NP'!NY516</f>
        <v>0</v>
      </c>
      <c r="AZ39" s="206">
        <f>'P &amp; NP'!NZ516</f>
        <v>0</v>
      </c>
      <c r="BA39" s="206">
        <f>'P &amp; NP'!OO516</f>
        <v>0</v>
      </c>
      <c r="BB39" s="206">
        <f>'P &amp; NP'!OP516</f>
        <v>0</v>
      </c>
      <c r="BC39" s="206">
        <f>'P &amp; NP'!PE516</f>
        <v>0</v>
      </c>
      <c r="BD39" s="206">
        <f>'P &amp; NP'!PF516</f>
        <v>0</v>
      </c>
      <c r="BE39" s="206">
        <f>'P &amp; NP'!PU516</f>
        <v>0</v>
      </c>
      <c r="BF39" s="206">
        <f>'P &amp; NP'!PV516</f>
        <v>0</v>
      </c>
      <c r="BG39" s="206">
        <f>'P &amp; NP'!QK516</f>
        <v>0</v>
      </c>
      <c r="BH39" s="206">
        <f>'P &amp; NP'!QL516</f>
        <v>0</v>
      </c>
      <c r="BI39" s="206">
        <f>'P &amp; NP'!RA516</f>
        <v>0</v>
      </c>
      <c r="BJ39" s="206">
        <f>'P &amp; NP'!RB516</f>
        <v>0</v>
      </c>
      <c r="BK39" s="206">
        <f>'P &amp; NP'!RQ516</f>
        <v>0</v>
      </c>
      <c r="BL39" s="206">
        <f>'P &amp; NP'!RR516</f>
        <v>0</v>
      </c>
      <c r="BM39" s="206">
        <f>'P &amp; NP'!SG516</f>
        <v>0</v>
      </c>
      <c r="BN39" s="206">
        <f>'P &amp; NP'!SH516</f>
        <v>0</v>
      </c>
      <c r="BO39" s="206">
        <f>'P &amp; NP'!SW516</f>
        <v>0</v>
      </c>
      <c r="BP39" s="206">
        <f>'P &amp; NP'!SX516</f>
        <v>0</v>
      </c>
      <c r="BQ39" s="206">
        <f>'P &amp; NP'!TM516</f>
        <v>0</v>
      </c>
      <c r="BR39" s="206">
        <f>'P &amp; NP'!TN516</f>
        <v>0</v>
      </c>
      <c r="BS39" s="206">
        <f>'P &amp; NP'!UC516</f>
        <v>0</v>
      </c>
      <c r="BT39" s="206">
        <f>'P &amp; NP'!UD516</f>
        <v>0</v>
      </c>
      <c r="BU39" s="206">
        <f>'P &amp; NP'!US516</f>
        <v>0</v>
      </c>
      <c r="BV39" s="206">
        <f>'P &amp; NP'!UT516</f>
        <v>0</v>
      </c>
      <c r="BW39" s="206">
        <f>'P &amp; NP'!VI516</f>
        <v>0</v>
      </c>
      <c r="BX39" s="206">
        <f>'P &amp; NP'!VJ516</f>
        <v>0</v>
      </c>
      <c r="BY39" s="206">
        <f>'P &amp; NP'!VY516</f>
        <v>0</v>
      </c>
      <c r="BZ39" s="206">
        <f>'P &amp; NP'!VZ516</f>
        <v>0</v>
      </c>
      <c r="CB39" s="206">
        <f t="shared" si="5"/>
        <v>0</v>
      </c>
      <c r="CC39" s="206">
        <f t="shared" si="6"/>
        <v>0</v>
      </c>
    </row>
    <row r="40" spans="1:81">
      <c r="B40" s="207" t="str">
        <f>'P &amp; NP'!B46</f>
        <v>Ikan_01 (Ikan Lainnya)</v>
      </c>
      <c r="C40" s="206">
        <f>'P &amp; NP'!E517</f>
        <v>0</v>
      </c>
      <c r="D40" s="206">
        <f>'P &amp; NP'!F517</f>
        <v>0</v>
      </c>
      <c r="E40" s="206">
        <f>'P &amp; NP'!U517</f>
        <v>0</v>
      </c>
      <c r="F40" s="206">
        <f>'P &amp; NP'!V517</f>
        <v>0</v>
      </c>
      <c r="G40" s="206">
        <f>'P &amp; NP'!AK517</f>
        <v>0</v>
      </c>
      <c r="H40" s="206">
        <f>'P &amp; NP'!AL517</f>
        <v>0</v>
      </c>
      <c r="I40" s="206">
        <f>'P &amp; NP'!BA517</f>
        <v>0</v>
      </c>
      <c r="J40" s="206">
        <f>'P &amp; NP'!BB517</f>
        <v>0</v>
      </c>
      <c r="K40" s="206">
        <f>'P &amp; NP'!BQ517</f>
        <v>0</v>
      </c>
      <c r="L40" s="206">
        <f>'P &amp; NP'!BR517</f>
        <v>0</v>
      </c>
      <c r="M40" s="206">
        <f>'P &amp; NP'!CG517</f>
        <v>2416044.9115045071</v>
      </c>
      <c r="N40" s="206">
        <f>'P &amp; NP'!CH517</f>
        <v>9645718.538235195</v>
      </c>
      <c r="O40" s="206">
        <f>'P &amp; NP'!CW517</f>
        <v>0</v>
      </c>
      <c r="P40" s="206">
        <f>'P &amp; NP'!CX517</f>
        <v>0</v>
      </c>
      <c r="Q40" s="206">
        <f>'P &amp; NP'!DM517</f>
        <v>0</v>
      </c>
      <c r="R40" s="206">
        <f>'P &amp; NP'!DN517</f>
        <v>0</v>
      </c>
      <c r="S40" s="206">
        <f>'P &amp; NP'!EC517</f>
        <v>0</v>
      </c>
      <c r="T40" s="206">
        <f>'P &amp; NP'!ED517</f>
        <v>0</v>
      </c>
      <c r="U40" s="206">
        <f>'P &amp; NP'!ES517</f>
        <v>0</v>
      </c>
      <c r="V40" s="206">
        <f>'P &amp; NP'!ET517</f>
        <v>0</v>
      </c>
      <c r="W40" s="206">
        <f>'P &amp; NP'!FI517</f>
        <v>0</v>
      </c>
      <c r="X40" s="206">
        <f>'P &amp; NP'!FJ517</f>
        <v>0</v>
      </c>
      <c r="Y40" s="206">
        <f>'P &amp; NP'!FY517</f>
        <v>0</v>
      </c>
      <c r="Z40" s="206">
        <f>'P &amp; NP'!FZ517</f>
        <v>0</v>
      </c>
      <c r="AA40" s="206">
        <f>'P &amp; NP'!GO517</f>
        <v>0</v>
      </c>
      <c r="AB40" s="206">
        <f>'P &amp; NP'!GP517</f>
        <v>0</v>
      </c>
      <c r="AC40" s="206">
        <f>'P &amp; NP'!HE517</f>
        <v>0</v>
      </c>
      <c r="AD40" s="206">
        <f>'P &amp; NP'!HF517</f>
        <v>0</v>
      </c>
      <c r="AE40" s="206">
        <f>'P &amp; NP'!HU517</f>
        <v>0</v>
      </c>
      <c r="AF40" s="206">
        <f>'P &amp; NP'!HV517</f>
        <v>0</v>
      </c>
      <c r="AG40" s="206">
        <f>'P &amp; NP'!IK517</f>
        <v>0</v>
      </c>
      <c r="AH40" s="206">
        <f>'P &amp; NP'!IL517</f>
        <v>0</v>
      </c>
      <c r="AI40" s="206">
        <f>'P &amp; NP'!JA517</f>
        <v>0</v>
      </c>
      <c r="AJ40" s="206">
        <f>'P &amp; NP'!JB517</f>
        <v>0</v>
      </c>
      <c r="AK40" s="206">
        <f>'P &amp; NP'!JQ517</f>
        <v>0</v>
      </c>
      <c r="AL40" s="206">
        <f>'P &amp; NP'!JR517</f>
        <v>0</v>
      </c>
      <c r="AM40" s="206">
        <f>'P &amp; NP'!KG517</f>
        <v>0</v>
      </c>
      <c r="AN40" s="206">
        <f>'P &amp; NP'!KH517</f>
        <v>0</v>
      </c>
      <c r="AO40" s="206">
        <f>'P &amp; NP'!KW517</f>
        <v>0</v>
      </c>
      <c r="AP40" s="206">
        <f>'P &amp; NP'!KX517</f>
        <v>0</v>
      </c>
      <c r="AQ40" s="206">
        <f>'P &amp; NP'!LM517</f>
        <v>0</v>
      </c>
      <c r="AR40" s="206">
        <f>'P &amp; NP'!LN517</f>
        <v>0</v>
      </c>
      <c r="AS40" s="206">
        <f>'P &amp; NP'!MC517</f>
        <v>11600</v>
      </c>
      <c r="AT40" s="206">
        <f>'P &amp; NP'!MD517</f>
        <v>34800</v>
      </c>
      <c r="AU40" s="206">
        <f>'P &amp; NP'!MS517</f>
        <v>1405</v>
      </c>
      <c r="AV40" s="206">
        <f>'P &amp; NP'!MT517</f>
        <v>42150</v>
      </c>
      <c r="AW40" s="206">
        <f>'P &amp; NP'!NI517</f>
        <v>0</v>
      </c>
      <c r="AX40" s="206">
        <f>'P &amp; NP'!NJ517</f>
        <v>0</v>
      </c>
      <c r="AY40" s="206">
        <f>'P &amp; NP'!NY517</f>
        <v>0</v>
      </c>
      <c r="AZ40" s="206">
        <f>'P &amp; NP'!NZ517</f>
        <v>0</v>
      </c>
      <c r="BA40" s="206">
        <f>'P &amp; NP'!OO517</f>
        <v>0</v>
      </c>
      <c r="BB40" s="206">
        <f>'P &amp; NP'!OP517</f>
        <v>0</v>
      </c>
      <c r="BC40" s="206">
        <f>'P &amp; NP'!PE517</f>
        <v>0</v>
      </c>
      <c r="BD40" s="206">
        <f>'P &amp; NP'!PF517</f>
        <v>0</v>
      </c>
      <c r="BE40" s="206">
        <f>'P &amp; NP'!PU517</f>
        <v>0</v>
      </c>
      <c r="BF40" s="206">
        <f>'P &amp; NP'!PV517</f>
        <v>0</v>
      </c>
      <c r="BG40" s="206">
        <f>'P &amp; NP'!QK517</f>
        <v>0</v>
      </c>
      <c r="BH40" s="206">
        <f>'P &amp; NP'!QL517</f>
        <v>0</v>
      </c>
      <c r="BI40" s="206">
        <f>'P &amp; NP'!RA517</f>
        <v>0</v>
      </c>
      <c r="BJ40" s="206">
        <f>'P &amp; NP'!RB517</f>
        <v>0</v>
      </c>
      <c r="BK40" s="206">
        <f>'P &amp; NP'!RQ517</f>
        <v>0</v>
      </c>
      <c r="BL40" s="206">
        <f>'P &amp; NP'!RR517</f>
        <v>0</v>
      </c>
      <c r="BM40" s="206">
        <f>'P &amp; NP'!SG517</f>
        <v>0</v>
      </c>
      <c r="BN40" s="206">
        <f>'P &amp; NP'!SH517</f>
        <v>0</v>
      </c>
      <c r="BO40" s="206">
        <f>'P &amp; NP'!SW517</f>
        <v>0</v>
      </c>
      <c r="BP40" s="206">
        <f>'P &amp; NP'!SX517</f>
        <v>0</v>
      </c>
      <c r="BQ40" s="206">
        <f>'P &amp; NP'!TM517</f>
        <v>0</v>
      </c>
      <c r="BR40" s="206">
        <f>'P &amp; NP'!TN517</f>
        <v>0</v>
      </c>
      <c r="BS40" s="206">
        <f>'P &amp; NP'!UC517</f>
        <v>0</v>
      </c>
      <c r="BT40" s="206">
        <f>'P &amp; NP'!UD517</f>
        <v>0</v>
      </c>
      <c r="BU40" s="206">
        <f>'P &amp; NP'!US517</f>
        <v>0</v>
      </c>
      <c r="BV40" s="206">
        <f>'P &amp; NP'!UT517</f>
        <v>0</v>
      </c>
      <c r="BW40" s="206">
        <f>'P &amp; NP'!VI517</f>
        <v>0</v>
      </c>
      <c r="BX40" s="206">
        <f>'P &amp; NP'!VJ517</f>
        <v>0</v>
      </c>
      <c r="BY40" s="206">
        <f>'P &amp; NP'!VY517</f>
        <v>0</v>
      </c>
      <c r="BZ40" s="206">
        <f>'P &amp; NP'!VZ517</f>
        <v>0</v>
      </c>
      <c r="CB40" s="206">
        <f t="shared" si="5"/>
        <v>2429049.9115045071</v>
      </c>
      <c r="CC40" s="206">
        <f t="shared" si="6"/>
        <v>9722668.538235195</v>
      </c>
    </row>
    <row r="41" spans="1:81">
      <c r="B41" s="207" t="str">
        <f>'P &amp; NP'!B47</f>
        <v>Ikan_02 (Tiram)</v>
      </c>
      <c r="C41" s="206">
        <f>'P &amp; NP'!E518</f>
        <v>0</v>
      </c>
      <c r="D41" s="206">
        <f>'P &amp; NP'!F518</f>
        <v>0</v>
      </c>
      <c r="E41" s="206">
        <f>'P &amp; NP'!U518</f>
        <v>0</v>
      </c>
      <c r="F41" s="206">
        <f>'P &amp; NP'!V518</f>
        <v>0</v>
      </c>
      <c r="G41" s="206">
        <f>'P &amp; NP'!AK518</f>
        <v>0</v>
      </c>
      <c r="H41" s="206">
        <f>'P &amp; NP'!AL518</f>
        <v>0</v>
      </c>
      <c r="I41" s="206">
        <f>'P &amp; NP'!BA518</f>
        <v>0</v>
      </c>
      <c r="J41" s="206">
        <f>'P &amp; NP'!BB518</f>
        <v>0</v>
      </c>
      <c r="K41" s="206">
        <f>'P &amp; NP'!BQ518</f>
        <v>0</v>
      </c>
      <c r="L41" s="206">
        <f>'P &amp; NP'!BR518</f>
        <v>0</v>
      </c>
      <c r="M41" s="206">
        <f>'P &amp; NP'!CG518</f>
        <v>0</v>
      </c>
      <c r="N41" s="206">
        <f>'P &amp; NP'!CH518</f>
        <v>0</v>
      </c>
      <c r="O41" s="206">
        <f>'P &amp; NP'!CW518</f>
        <v>0</v>
      </c>
      <c r="P41" s="206">
        <f>'P &amp; NP'!CX518</f>
        <v>0</v>
      </c>
      <c r="Q41" s="206">
        <f>'P &amp; NP'!DM518</f>
        <v>0</v>
      </c>
      <c r="R41" s="206">
        <f>'P &amp; NP'!DN518</f>
        <v>0</v>
      </c>
      <c r="S41" s="206">
        <f>'P &amp; NP'!EC518</f>
        <v>0</v>
      </c>
      <c r="T41" s="206">
        <f>'P &amp; NP'!ED518</f>
        <v>0</v>
      </c>
      <c r="U41" s="206">
        <f>'P &amp; NP'!ES518</f>
        <v>0</v>
      </c>
      <c r="V41" s="206">
        <f>'P &amp; NP'!ET518</f>
        <v>0</v>
      </c>
      <c r="W41" s="206">
        <f>'P &amp; NP'!FI518</f>
        <v>0</v>
      </c>
      <c r="X41" s="206">
        <f>'P &amp; NP'!FJ518</f>
        <v>0</v>
      </c>
      <c r="Y41" s="206">
        <f>'P &amp; NP'!FY518</f>
        <v>0</v>
      </c>
      <c r="Z41" s="206">
        <f>'P &amp; NP'!FZ518</f>
        <v>0</v>
      </c>
      <c r="AA41" s="206">
        <f>'P &amp; NP'!GO518</f>
        <v>0</v>
      </c>
      <c r="AB41" s="206">
        <f>'P &amp; NP'!GP518</f>
        <v>0</v>
      </c>
      <c r="AC41" s="206">
        <f>'P &amp; NP'!HE518</f>
        <v>0</v>
      </c>
      <c r="AD41" s="206">
        <f>'P &amp; NP'!HF518</f>
        <v>0</v>
      </c>
      <c r="AE41" s="206">
        <f>'P &amp; NP'!HU518</f>
        <v>0</v>
      </c>
      <c r="AF41" s="206">
        <f>'P &amp; NP'!HV518</f>
        <v>0</v>
      </c>
      <c r="AG41" s="206">
        <f>'P &amp; NP'!IK518</f>
        <v>0</v>
      </c>
      <c r="AH41" s="206">
        <f>'P &amp; NP'!IL518</f>
        <v>0</v>
      </c>
      <c r="AI41" s="206">
        <f>'P &amp; NP'!JA518</f>
        <v>0</v>
      </c>
      <c r="AJ41" s="206">
        <f>'P &amp; NP'!JB518</f>
        <v>0</v>
      </c>
      <c r="AK41" s="206">
        <f>'P &amp; NP'!JQ518</f>
        <v>0</v>
      </c>
      <c r="AL41" s="206">
        <f>'P &amp; NP'!JR518</f>
        <v>0</v>
      </c>
      <c r="AM41" s="206">
        <f>'P &amp; NP'!KG518</f>
        <v>0</v>
      </c>
      <c r="AN41" s="206">
        <f>'P &amp; NP'!KH518</f>
        <v>0</v>
      </c>
      <c r="AO41" s="206">
        <f>'P &amp; NP'!KW518</f>
        <v>0</v>
      </c>
      <c r="AP41" s="206">
        <f>'P &amp; NP'!KX518</f>
        <v>0</v>
      </c>
      <c r="AQ41" s="206">
        <f>'P &amp; NP'!LM518</f>
        <v>0</v>
      </c>
      <c r="AR41" s="206">
        <f>'P &amp; NP'!LN518</f>
        <v>0</v>
      </c>
      <c r="AS41" s="206">
        <f>'P &amp; NP'!MC518</f>
        <v>0</v>
      </c>
      <c r="AT41" s="206">
        <f>'P &amp; NP'!MD518</f>
        <v>0</v>
      </c>
      <c r="AU41" s="206">
        <f>'P &amp; NP'!MS518</f>
        <v>0</v>
      </c>
      <c r="AV41" s="206">
        <f>'P &amp; NP'!MT518</f>
        <v>0</v>
      </c>
      <c r="AW41" s="206">
        <f>'P &amp; NP'!NI518</f>
        <v>0</v>
      </c>
      <c r="AX41" s="206">
        <f>'P &amp; NP'!NJ518</f>
        <v>0</v>
      </c>
      <c r="AY41" s="206">
        <f>'P &amp; NP'!NY518</f>
        <v>0</v>
      </c>
      <c r="AZ41" s="206">
        <f>'P &amp; NP'!NZ518</f>
        <v>0</v>
      </c>
      <c r="BA41" s="206">
        <f>'P &amp; NP'!OO518</f>
        <v>0</v>
      </c>
      <c r="BB41" s="206">
        <f>'P &amp; NP'!OP518</f>
        <v>0</v>
      </c>
      <c r="BC41" s="206">
        <f>'P &amp; NP'!PE518</f>
        <v>0</v>
      </c>
      <c r="BD41" s="206">
        <f>'P &amp; NP'!PF518</f>
        <v>0</v>
      </c>
      <c r="BE41" s="206">
        <f>'P &amp; NP'!PU518</f>
        <v>0</v>
      </c>
      <c r="BF41" s="206">
        <f>'P &amp; NP'!PV518</f>
        <v>0</v>
      </c>
      <c r="BG41" s="206">
        <f>'P &amp; NP'!QK518</f>
        <v>0</v>
      </c>
      <c r="BH41" s="206">
        <f>'P &amp; NP'!QL518</f>
        <v>0</v>
      </c>
      <c r="BI41" s="206">
        <f>'P &amp; NP'!RA518</f>
        <v>0</v>
      </c>
      <c r="BJ41" s="206">
        <f>'P &amp; NP'!RB518</f>
        <v>0</v>
      </c>
      <c r="BK41" s="206">
        <f>'P &amp; NP'!RQ518</f>
        <v>0</v>
      </c>
      <c r="BL41" s="206">
        <f>'P &amp; NP'!RR518</f>
        <v>0</v>
      </c>
      <c r="BM41" s="206">
        <f>'P &amp; NP'!SG518</f>
        <v>0</v>
      </c>
      <c r="BN41" s="206">
        <f>'P &amp; NP'!SH518</f>
        <v>0</v>
      </c>
      <c r="BO41" s="206">
        <f>'P &amp; NP'!SW518</f>
        <v>0</v>
      </c>
      <c r="BP41" s="206">
        <f>'P &amp; NP'!SX518</f>
        <v>0</v>
      </c>
      <c r="BQ41" s="206">
        <f>'P &amp; NP'!TM518</f>
        <v>0</v>
      </c>
      <c r="BR41" s="206">
        <f>'P &amp; NP'!TN518</f>
        <v>0</v>
      </c>
      <c r="BS41" s="206">
        <f>'P &amp; NP'!UC518</f>
        <v>0</v>
      </c>
      <c r="BT41" s="206">
        <f>'P &amp; NP'!UD518</f>
        <v>0</v>
      </c>
      <c r="BU41" s="206">
        <f>'P &amp; NP'!US518</f>
        <v>0</v>
      </c>
      <c r="BV41" s="206">
        <f>'P &amp; NP'!UT518</f>
        <v>0</v>
      </c>
      <c r="BW41" s="206">
        <f>'P &amp; NP'!VI518</f>
        <v>0</v>
      </c>
      <c r="BX41" s="206">
        <f>'P &amp; NP'!VJ518</f>
        <v>0</v>
      </c>
      <c r="BY41" s="206">
        <f>'P &amp; NP'!VY518</f>
        <v>0</v>
      </c>
      <c r="BZ41" s="206">
        <f>'P &amp; NP'!VZ518</f>
        <v>0</v>
      </c>
      <c r="CB41" s="206">
        <f t="shared" si="5"/>
        <v>0</v>
      </c>
      <c r="CC41" s="206">
        <f t="shared" si="6"/>
        <v>0</v>
      </c>
    </row>
    <row r="42" spans="1:81">
      <c r="B42" s="207" t="str">
        <f>'P &amp; NP'!B48</f>
        <v>Ikan_03 (Kerang Darah)</v>
      </c>
      <c r="C42" s="206">
        <f>'P &amp; NP'!E519</f>
        <v>800</v>
      </c>
      <c r="D42" s="206">
        <f>'P &amp; NP'!F519</f>
        <v>80000</v>
      </c>
      <c r="E42" s="206">
        <f>'P &amp; NP'!U519</f>
        <v>0</v>
      </c>
      <c r="F42" s="206">
        <f>'P &amp; NP'!V519</f>
        <v>0</v>
      </c>
      <c r="G42" s="206">
        <f>'P &amp; NP'!AK519</f>
        <v>0</v>
      </c>
      <c r="H42" s="206">
        <f>'P &amp; NP'!AL519</f>
        <v>0</v>
      </c>
      <c r="I42" s="206">
        <f>'P &amp; NP'!BA519</f>
        <v>0</v>
      </c>
      <c r="J42" s="206">
        <f>'P &amp; NP'!BB519</f>
        <v>0</v>
      </c>
      <c r="K42" s="206">
        <f>'P &amp; NP'!BQ519</f>
        <v>0</v>
      </c>
      <c r="L42" s="206">
        <f>'P &amp; NP'!BR519</f>
        <v>0</v>
      </c>
      <c r="M42" s="206">
        <f>'P &amp; NP'!CG519</f>
        <v>0</v>
      </c>
      <c r="N42" s="206">
        <f>'P &amp; NP'!CH519</f>
        <v>0</v>
      </c>
      <c r="O42" s="206">
        <f>'P &amp; NP'!CW519</f>
        <v>0</v>
      </c>
      <c r="P42" s="206">
        <f>'P &amp; NP'!CX519</f>
        <v>0</v>
      </c>
      <c r="Q42" s="206">
        <f>'P &amp; NP'!DM519</f>
        <v>0</v>
      </c>
      <c r="R42" s="206">
        <f>'P &amp; NP'!DN519</f>
        <v>0</v>
      </c>
      <c r="S42" s="206">
        <f>'P &amp; NP'!EC519</f>
        <v>0</v>
      </c>
      <c r="T42" s="206">
        <f>'P &amp; NP'!ED519</f>
        <v>0</v>
      </c>
      <c r="U42" s="206">
        <f>'P &amp; NP'!ES519</f>
        <v>0</v>
      </c>
      <c r="V42" s="206">
        <f>'P &amp; NP'!ET519</f>
        <v>0</v>
      </c>
      <c r="W42" s="206">
        <f>'P &amp; NP'!FI519</f>
        <v>0</v>
      </c>
      <c r="X42" s="206">
        <f>'P &amp; NP'!FJ519</f>
        <v>0</v>
      </c>
      <c r="Y42" s="206">
        <f>'P &amp; NP'!FY519</f>
        <v>0</v>
      </c>
      <c r="Z42" s="206">
        <f>'P &amp; NP'!FZ519</f>
        <v>0</v>
      </c>
      <c r="AA42" s="206">
        <f>'P &amp; NP'!GO519</f>
        <v>0</v>
      </c>
      <c r="AB42" s="206">
        <f>'P &amp; NP'!GP519</f>
        <v>0</v>
      </c>
      <c r="AC42" s="206">
        <f>'P &amp; NP'!HE519</f>
        <v>0</v>
      </c>
      <c r="AD42" s="206">
        <f>'P &amp; NP'!HF519</f>
        <v>0</v>
      </c>
      <c r="AE42" s="206">
        <f>'P &amp; NP'!HU519</f>
        <v>0</v>
      </c>
      <c r="AF42" s="206">
        <f>'P &amp; NP'!HV519</f>
        <v>0</v>
      </c>
      <c r="AG42" s="206">
        <f>'P &amp; NP'!IK519</f>
        <v>0</v>
      </c>
      <c r="AH42" s="206">
        <f>'P &amp; NP'!IL519</f>
        <v>0</v>
      </c>
      <c r="AI42" s="206">
        <f>'P &amp; NP'!JA519</f>
        <v>0</v>
      </c>
      <c r="AJ42" s="206">
        <f>'P &amp; NP'!JB519</f>
        <v>0</v>
      </c>
      <c r="AK42" s="206">
        <f>'P &amp; NP'!JQ519</f>
        <v>0</v>
      </c>
      <c r="AL42" s="206">
        <f>'P &amp; NP'!JR519</f>
        <v>0</v>
      </c>
      <c r="AM42" s="206">
        <f>'P &amp; NP'!KG519</f>
        <v>0</v>
      </c>
      <c r="AN42" s="206">
        <f>'P &amp; NP'!KH519</f>
        <v>0</v>
      </c>
      <c r="AO42" s="206">
        <f>'P &amp; NP'!KW519</f>
        <v>0</v>
      </c>
      <c r="AP42" s="206">
        <f>'P &amp; NP'!KX519</f>
        <v>0</v>
      </c>
      <c r="AQ42" s="206">
        <f>'P &amp; NP'!LM519</f>
        <v>0</v>
      </c>
      <c r="AR42" s="206">
        <f>'P &amp; NP'!LN519</f>
        <v>0</v>
      </c>
      <c r="AS42" s="206">
        <f>'P &amp; NP'!MC519</f>
        <v>0</v>
      </c>
      <c r="AT42" s="206">
        <f>'P &amp; NP'!MD519</f>
        <v>0</v>
      </c>
      <c r="AU42" s="206">
        <f>'P &amp; NP'!MS519</f>
        <v>0</v>
      </c>
      <c r="AV42" s="206">
        <f>'P &amp; NP'!MT519</f>
        <v>0</v>
      </c>
      <c r="AW42" s="206">
        <f>'P &amp; NP'!NI519</f>
        <v>0</v>
      </c>
      <c r="AX42" s="206">
        <f>'P &amp; NP'!NJ519</f>
        <v>0</v>
      </c>
      <c r="AY42" s="206">
        <f>'P &amp; NP'!NY519</f>
        <v>0</v>
      </c>
      <c r="AZ42" s="206">
        <f>'P &amp; NP'!NZ519</f>
        <v>0</v>
      </c>
      <c r="BA42" s="206">
        <f>'P &amp; NP'!OO519</f>
        <v>0</v>
      </c>
      <c r="BB42" s="206">
        <f>'P &amp; NP'!OP519</f>
        <v>0</v>
      </c>
      <c r="BC42" s="206">
        <f>'P &amp; NP'!PE519</f>
        <v>0</v>
      </c>
      <c r="BD42" s="206">
        <f>'P &amp; NP'!PF519</f>
        <v>0</v>
      </c>
      <c r="BE42" s="206">
        <f>'P &amp; NP'!PU519</f>
        <v>0</v>
      </c>
      <c r="BF42" s="206">
        <f>'P &amp; NP'!PV519</f>
        <v>0</v>
      </c>
      <c r="BG42" s="206">
        <f>'P &amp; NP'!QK519</f>
        <v>0</v>
      </c>
      <c r="BH42" s="206">
        <f>'P &amp; NP'!QL519</f>
        <v>0</v>
      </c>
      <c r="BI42" s="206">
        <f>'P &amp; NP'!RA519</f>
        <v>0</v>
      </c>
      <c r="BJ42" s="206">
        <f>'P &amp; NP'!RB519</f>
        <v>0</v>
      </c>
      <c r="BK42" s="206">
        <f>'P &amp; NP'!RQ519</f>
        <v>0</v>
      </c>
      <c r="BL42" s="206">
        <f>'P &amp; NP'!RR519</f>
        <v>0</v>
      </c>
      <c r="BM42" s="206">
        <f>'P &amp; NP'!SG519</f>
        <v>0</v>
      </c>
      <c r="BN42" s="206">
        <f>'P &amp; NP'!SH519</f>
        <v>0</v>
      </c>
      <c r="BO42" s="206">
        <f>'P &amp; NP'!SW519</f>
        <v>0</v>
      </c>
      <c r="BP42" s="206">
        <f>'P &amp; NP'!SX519</f>
        <v>0</v>
      </c>
      <c r="BQ42" s="206">
        <f>'P &amp; NP'!TM519</f>
        <v>0</v>
      </c>
      <c r="BR42" s="206">
        <f>'P &amp; NP'!TN519</f>
        <v>0</v>
      </c>
      <c r="BS42" s="206">
        <f>'P &amp; NP'!UC519</f>
        <v>0</v>
      </c>
      <c r="BT42" s="206">
        <f>'P &amp; NP'!UD519</f>
        <v>0</v>
      </c>
      <c r="BU42" s="206">
        <f>'P &amp; NP'!US519</f>
        <v>0</v>
      </c>
      <c r="BV42" s="206">
        <f>'P &amp; NP'!UT519</f>
        <v>0</v>
      </c>
      <c r="BW42" s="206">
        <f>'P &amp; NP'!VI519</f>
        <v>0</v>
      </c>
      <c r="BX42" s="206">
        <f>'P &amp; NP'!VJ519</f>
        <v>0</v>
      </c>
      <c r="BY42" s="206">
        <f>'P &amp; NP'!VY519</f>
        <v>0</v>
      </c>
      <c r="BZ42" s="206">
        <f>'P &amp; NP'!VZ519</f>
        <v>0</v>
      </c>
      <c r="CB42" s="206">
        <f t="shared" si="5"/>
        <v>800</v>
      </c>
      <c r="CC42" s="206">
        <f t="shared" si="6"/>
        <v>80000</v>
      </c>
    </row>
    <row r="43" spans="1:81">
      <c r="B43" s="207" t="str">
        <f>'P &amp; NP'!B49</f>
        <v>Ikan_04 (Ikan Keting)</v>
      </c>
      <c r="C43" s="206">
        <f>'P &amp; NP'!E520</f>
        <v>0</v>
      </c>
      <c r="D43" s="206">
        <f>'P &amp; NP'!F520</f>
        <v>0</v>
      </c>
      <c r="E43" s="206">
        <f>'P &amp; NP'!U520</f>
        <v>0</v>
      </c>
      <c r="F43" s="206">
        <f>'P &amp; NP'!V520</f>
        <v>0</v>
      </c>
      <c r="G43" s="206">
        <f>'P &amp; NP'!AK520</f>
        <v>0</v>
      </c>
      <c r="H43" s="206">
        <f>'P &amp; NP'!AL520</f>
        <v>0</v>
      </c>
      <c r="I43" s="206">
        <f>'P &amp; NP'!BA520</f>
        <v>0</v>
      </c>
      <c r="J43" s="206">
        <f>'P &amp; NP'!BB520</f>
        <v>0</v>
      </c>
      <c r="K43" s="206">
        <f>'P &amp; NP'!BQ520</f>
        <v>0</v>
      </c>
      <c r="L43" s="206">
        <f>'P &amp; NP'!BR520</f>
        <v>0</v>
      </c>
      <c r="M43" s="206">
        <f>'P &amp; NP'!CG520</f>
        <v>0</v>
      </c>
      <c r="N43" s="206">
        <f>'P &amp; NP'!CH520</f>
        <v>0</v>
      </c>
      <c r="O43" s="206">
        <f>'P &amp; NP'!CW520</f>
        <v>0</v>
      </c>
      <c r="P43" s="206">
        <f>'P &amp; NP'!CX520</f>
        <v>0</v>
      </c>
      <c r="Q43" s="206">
        <f>'P &amp; NP'!DM520</f>
        <v>0</v>
      </c>
      <c r="R43" s="206">
        <f>'P &amp; NP'!DN520</f>
        <v>0</v>
      </c>
      <c r="S43" s="206">
        <f>'P &amp; NP'!EC520</f>
        <v>0</v>
      </c>
      <c r="T43" s="206">
        <f>'P &amp; NP'!ED520</f>
        <v>0</v>
      </c>
      <c r="U43" s="206">
        <f>'P &amp; NP'!ES520</f>
        <v>0</v>
      </c>
      <c r="V43" s="206">
        <f>'P &amp; NP'!ET520</f>
        <v>0</v>
      </c>
      <c r="W43" s="206">
        <f>'P &amp; NP'!FI520</f>
        <v>0</v>
      </c>
      <c r="X43" s="206">
        <f>'P &amp; NP'!FJ520</f>
        <v>0</v>
      </c>
      <c r="Y43" s="206">
        <f>'P &amp; NP'!FY520</f>
        <v>0</v>
      </c>
      <c r="Z43" s="206">
        <f>'P &amp; NP'!FZ520</f>
        <v>0</v>
      </c>
      <c r="AA43" s="206">
        <f>'P &amp; NP'!GO520</f>
        <v>0</v>
      </c>
      <c r="AB43" s="206">
        <f>'P &amp; NP'!GP520</f>
        <v>0</v>
      </c>
      <c r="AC43" s="206">
        <f>'P &amp; NP'!HE520</f>
        <v>0</v>
      </c>
      <c r="AD43" s="206">
        <f>'P &amp; NP'!HF520</f>
        <v>0</v>
      </c>
      <c r="AE43" s="206">
        <f>'P &amp; NP'!HU520</f>
        <v>0</v>
      </c>
      <c r="AF43" s="206">
        <f>'P &amp; NP'!HV520</f>
        <v>0</v>
      </c>
      <c r="AG43" s="206">
        <f>'P &amp; NP'!IK520</f>
        <v>0</v>
      </c>
      <c r="AH43" s="206">
        <f>'P &amp; NP'!IL520</f>
        <v>0</v>
      </c>
      <c r="AI43" s="206">
        <f>'P &amp; NP'!JA520</f>
        <v>0</v>
      </c>
      <c r="AJ43" s="206">
        <f>'P &amp; NP'!JB520</f>
        <v>0</v>
      </c>
      <c r="AK43" s="206">
        <f>'P &amp; NP'!JQ520</f>
        <v>0</v>
      </c>
      <c r="AL43" s="206">
        <f>'P &amp; NP'!JR520</f>
        <v>0</v>
      </c>
      <c r="AM43" s="206">
        <f>'P &amp; NP'!KG520</f>
        <v>0</v>
      </c>
      <c r="AN43" s="206">
        <f>'P &amp; NP'!KH520</f>
        <v>0</v>
      </c>
      <c r="AO43" s="206">
        <f>'P &amp; NP'!KW520</f>
        <v>0</v>
      </c>
      <c r="AP43" s="206">
        <f>'P &amp; NP'!KX520</f>
        <v>0</v>
      </c>
      <c r="AQ43" s="206">
        <f>'P &amp; NP'!LM520</f>
        <v>0</v>
      </c>
      <c r="AR43" s="206">
        <f>'P &amp; NP'!LN520</f>
        <v>0</v>
      </c>
      <c r="AS43" s="206">
        <f>'P &amp; NP'!MC520</f>
        <v>0</v>
      </c>
      <c r="AT43" s="206">
        <f>'P &amp; NP'!MD520</f>
        <v>0</v>
      </c>
      <c r="AU43" s="206">
        <f>'P &amp; NP'!MS520</f>
        <v>0</v>
      </c>
      <c r="AV43" s="206">
        <f>'P &amp; NP'!MT520</f>
        <v>0</v>
      </c>
      <c r="AW43" s="206">
        <f>'P &amp; NP'!NI520</f>
        <v>1162900</v>
      </c>
      <c r="AX43" s="206">
        <f>'P &amp; NP'!NJ520</f>
        <v>13954800</v>
      </c>
      <c r="AY43" s="206">
        <f>'P &amp; NP'!NY520</f>
        <v>0</v>
      </c>
      <c r="AZ43" s="206">
        <f>'P &amp; NP'!NZ520</f>
        <v>0</v>
      </c>
      <c r="BA43" s="206">
        <f>'P &amp; NP'!OO520</f>
        <v>0</v>
      </c>
      <c r="BB43" s="206">
        <f>'P &amp; NP'!OP520</f>
        <v>0</v>
      </c>
      <c r="BC43" s="206">
        <f>'P &amp; NP'!PE520</f>
        <v>0</v>
      </c>
      <c r="BD43" s="206">
        <f>'P &amp; NP'!PF520</f>
        <v>0</v>
      </c>
      <c r="BE43" s="206">
        <f>'P &amp; NP'!PU520</f>
        <v>0</v>
      </c>
      <c r="BF43" s="206">
        <f>'P &amp; NP'!PV520</f>
        <v>0</v>
      </c>
      <c r="BG43" s="206">
        <f>'P &amp; NP'!QK520</f>
        <v>0</v>
      </c>
      <c r="BH43" s="206">
        <f>'P &amp; NP'!QL520</f>
        <v>0</v>
      </c>
      <c r="BI43" s="206">
        <f>'P &amp; NP'!RA520</f>
        <v>0</v>
      </c>
      <c r="BJ43" s="206">
        <f>'P &amp; NP'!RB520</f>
        <v>0</v>
      </c>
      <c r="BK43" s="206">
        <f>'P &amp; NP'!RQ520</f>
        <v>0</v>
      </c>
      <c r="BL43" s="206">
        <f>'P &amp; NP'!RR520</f>
        <v>0</v>
      </c>
      <c r="BM43" s="206">
        <f>'P &amp; NP'!SG520</f>
        <v>0</v>
      </c>
      <c r="BN43" s="206">
        <f>'P &amp; NP'!SH520</f>
        <v>0</v>
      </c>
      <c r="BO43" s="206">
        <f>'P &amp; NP'!SW520</f>
        <v>0</v>
      </c>
      <c r="BP43" s="206">
        <f>'P &amp; NP'!SX520</f>
        <v>0</v>
      </c>
      <c r="BQ43" s="206">
        <f>'P &amp; NP'!TM520</f>
        <v>0</v>
      </c>
      <c r="BR43" s="206">
        <f>'P &amp; NP'!TN520</f>
        <v>0</v>
      </c>
      <c r="BS43" s="206">
        <f>'P &amp; NP'!UC520</f>
        <v>0</v>
      </c>
      <c r="BT43" s="206">
        <f>'P &amp; NP'!UD520</f>
        <v>0</v>
      </c>
      <c r="BU43" s="206">
        <f>'P &amp; NP'!US520</f>
        <v>0</v>
      </c>
      <c r="BV43" s="206">
        <f>'P &amp; NP'!UT520</f>
        <v>0</v>
      </c>
      <c r="BW43" s="206">
        <f>'P &amp; NP'!VI520</f>
        <v>0</v>
      </c>
      <c r="BX43" s="206">
        <f>'P &amp; NP'!VJ520</f>
        <v>0</v>
      </c>
      <c r="BY43" s="206">
        <f>'P &amp; NP'!VY520</f>
        <v>0</v>
      </c>
      <c r="BZ43" s="206">
        <f>'P &amp; NP'!VZ520</f>
        <v>0</v>
      </c>
      <c r="CB43" s="206">
        <f t="shared" si="5"/>
        <v>1162900</v>
      </c>
      <c r="CC43" s="206">
        <f t="shared" si="6"/>
        <v>13954800</v>
      </c>
    </row>
    <row r="44" spans="1:81">
      <c r="B44" s="207" t="str">
        <f>'P &amp; NP'!B50</f>
        <v>Ikan_05 (Ikan betutu)</v>
      </c>
      <c r="C44" s="206">
        <f>'P &amp; NP'!E521</f>
        <v>0</v>
      </c>
      <c r="D44" s="206">
        <f>'P &amp; NP'!F521</f>
        <v>0</v>
      </c>
      <c r="E44" s="206">
        <f>'P &amp; NP'!U521</f>
        <v>0</v>
      </c>
      <c r="F44" s="206">
        <f>'P &amp; NP'!V521</f>
        <v>0</v>
      </c>
      <c r="G44" s="206">
        <f>'P &amp; NP'!AK521</f>
        <v>0</v>
      </c>
      <c r="H44" s="206">
        <f>'P &amp; NP'!AL521</f>
        <v>0</v>
      </c>
      <c r="I44" s="206">
        <f>'P &amp; NP'!BA521</f>
        <v>0</v>
      </c>
      <c r="J44" s="206">
        <f>'P &amp; NP'!BB521</f>
        <v>0</v>
      </c>
      <c r="K44" s="206">
        <f>'P &amp; NP'!BQ521</f>
        <v>0</v>
      </c>
      <c r="L44" s="206">
        <f>'P &amp; NP'!BR521</f>
        <v>0</v>
      </c>
      <c r="M44" s="206">
        <f>'P &amp; NP'!CG521</f>
        <v>0</v>
      </c>
      <c r="N44" s="206">
        <f>'P &amp; NP'!CH521</f>
        <v>0</v>
      </c>
      <c r="O44" s="206">
        <f>'P &amp; NP'!CW521</f>
        <v>0</v>
      </c>
      <c r="P44" s="206">
        <f>'P &amp; NP'!CX521</f>
        <v>0</v>
      </c>
      <c r="Q44" s="206">
        <f>'P &amp; NP'!DM521</f>
        <v>0</v>
      </c>
      <c r="R44" s="206">
        <f>'P &amp; NP'!DN521</f>
        <v>0</v>
      </c>
      <c r="S44" s="206">
        <f>'P &amp; NP'!EC521</f>
        <v>0</v>
      </c>
      <c r="T44" s="206">
        <f>'P &amp; NP'!ED521</f>
        <v>0</v>
      </c>
      <c r="U44" s="206">
        <f>'P &amp; NP'!ES521</f>
        <v>0</v>
      </c>
      <c r="V44" s="206">
        <f>'P &amp; NP'!ET521</f>
        <v>0</v>
      </c>
      <c r="W44" s="206">
        <f>'P &amp; NP'!FI521</f>
        <v>0</v>
      </c>
      <c r="X44" s="206">
        <f>'P &amp; NP'!FJ521</f>
        <v>0</v>
      </c>
      <c r="Y44" s="206">
        <f>'P &amp; NP'!FY521</f>
        <v>0</v>
      </c>
      <c r="Z44" s="206">
        <f>'P &amp; NP'!FZ521</f>
        <v>0</v>
      </c>
      <c r="AA44" s="206">
        <f>'P &amp; NP'!GO521</f>
        <v>0</v>
      </c>
      <c r="AB44" s="206">
        <f>'P &amp; NP'!GP521</f>
        <v>0</v>
      </c>
      <c r="AC44" s="206">
        <f>'P &amp; NP'!HE521</f>
        <v>0</v>
      </c>
      <c r="AD44" s="206">
        <f>'P &amp; NP'!HF521</f>
        <v>0</v>
      </c>
      <c r="AE44" s="206">
        <f>'P &amp; NP'!HU521</f>
        <v>0</v>
      </c>
      <c r="AF44" s="206">
        <f>'P &amp; NP'!HV521</f>
        <v>0</v>
      </c>
      <c r="AG44" s="206">
        <f>'P &amp; NP'!IK521</f>
        <v>0</v>
      </c>
      <c r="AH44" s="206">
        <f>'P &amp; NP'!IL521</f>
        <v>0</v>
      </c>
      <c r="AI44" s="206">
        <f>'P &amp; NP'!JA521</f>
        <v>0</v>
      </c>
      <c r="AJ44" s="206">
        <f>'P &amp; NP'!JB521</f>
        <v>0</v>
      </c>
      <c r="AK44" s="206">
        <f>'P &amp; NP'!JQ521</f>
        <v>0</v>
      </c>
      <c r="AL44" s="206">
        <f>'P &amp; NP'!JR521</f>
        <v>0</v>
      </c>
      <c r="AM44" s="206">
        <f>'P &amp; NP'!KG521</f>
        <v>0</v>
      </c>
      <c r="AN44" s="206">
        <f>'P &amp; NP'!KH521</f>
        <v>0</v>
      </c>
      <c r="AO44" s="206">
        <f>'P &amp; NP'!KW521</f>
        <v>0</v>
      </c>
      <c r="AP44" s="206">
        <f>'P &amp; NP'!KX521</f>
        <v>0</v>
      </c>
      <c r="AQ44" s="206">
        <f>'P &amp; NP'!LM521</f>
        <v>0</v>
      </c>
      <c r="AR44" s="206">
        <f>'P &amp; NP'!LN521</f>
        <v>0</v>
      </c>
      <c r="AS44" s="206">
        <f>'P &amp; NP'!MC521</f>
        <v>0</v>
      </c>
      <c r="AT44" s="206">
        <f>'P &amp; NP'!MD521</f>
        <v>0</v>
      </c>
      <c r="AU44" s="206">
        <f>'P &amp; NP'!MS521</f>
        <v>0</v>
      </c>
      <c r="AV44" s="206">
        <f>'P &amp; NP'!MT521</f>
        <v>0</v>
      </c>
      <c r="AW44" s="206">
        <f>'P &amp; NP'!NI521</f>
        <v>0</v>
      </c>
      <c r="AX44" s="206">
        <f>'P &amp; NP'!NJ521</f>
        <v>0</v>
      </c>
      <c r="AY44" s="206">
        <f>'P &amp; NP'!NY521</f>
        <v>0</v>
      </c>
      <c r="AZ44" s="206">
        <f>'P &amp; NP'!NZ521</f>
        <v>0</v>
      </c>
      <c r="BA44" s="206">
        <f>'P &amp; NP'!OO521</f>
        <v>0</v>
      </c>
      <c r="BB44" s="206">
        <f>'P &amp; NP'!OP521</f>
        <v>0</v>
      </c>
      <c r="BC44" s="206">
        <f>'P &amp; NP'!PE521</f>
        <v>0</v>
      </c>
      <c r="BD44" s="206">
        <f>'P &amp; NP'!PF521</f>
        <v>0</v>
      </c>
      <c r="BE44" s="206">
        <f>'P &amp; NP'!PU521</f>
        <v>0</v>
      </c>
      <c r="BF44" s="206">
        <f>'P &amp; NP'!PV521</f>
        <v>0</v>
      </c>
      <c r="BG44" s="206">
        <f>'P &amp; NP'!QK521</f>
        <v>0</v>
      </c>
      <c r="BH44" s="206">
        <f>'P &amp; NP'!QL521</f>
        <v>0</v>
      </c>
      <c r="BI44" s="206">
        <f>'P &amp; NP'!RA521</f>
        <v>0</v>
      </c>
      <c r="BJ44" s="206">
        <f>'P &amp; NP'!RB521</f>
        <v>0</v>
      </c>
      <c r="BK44" s="206">
        <f>'P &amp; NP'!RQ521</f>
        <v>0</v>
      </c>
      <c r="BL44" s="206">
        <f>'P &amp; NP'!RR521</f>
        <v>0</v>
      </c>
      <c r="BM44" s="206">
        <f>'P &amp; NP'!SG521</f>
        <v>0</v>
      </c>
      <c r="BN44" s="206">
        <f>'P &amp; NP'!SH521</f>
        <v>0</v>
      </c>
      <c r="BO44" s="206">
        <f>'P &amp; NP'!SW521</f>
        <v>0</v>
      </c>
      <c r="BP44" s="206">
        <f>'P &amp; NP'!SX521</f>
        <v>0</v>
      </c>
      <c r="BQ44" s="206">
        <f>'P &amp; NP'!TM521</f>
        <v>0</v>
      </c>
      <c r="BR44" s="206">
        <f>'P &amp; NP'!TN521</f>
        <v>0</v>
      </c>
      <c r="BS44" s="206">
        <f>'P &amp; NP'!UC521</f>
        <v>0</v>
      </c>
      <c r="BT44" s="206">
        <f>'P &amp; NP'!UD521</f>
        <v>0</v>
      </c>
      <c r="BU44" s="206">
        <f>'P &amp; NP'!US521</f>
        <v>0</v>
      </c>
      <c r="BV44" s="206">
        <f>'P &amp; NP'!UT521</f>
        <v>0</v>
      </c>
      <c r="BW44" s="206">
        <f>'P &amp; NP'!VI521</f>
        <v>0</v>
      </c>
      <c r="BX44" s="206">
        <f>'P &amp; NP'!VJ521</f>
        <v>0</v>
      </c>
      <c r="BY44" s="206">
        <f>'P &amp; NP'!VY521</f>
        <v>0</v>
      </c>
      <c r="BZ44" s="206">
        <f>'P &amp; NP'!VZ521</f>
        <v>0</v>
      </c>
      <c r="CB44" s="206">
        <f t="shared" si="5"/>
        <v>0</v>
      </c>
      <c r="CC44" s="206">
        <f t="shared" si="6"/>
        <v>0</v>
      </c>
    </row>
    <row r="45" spans="1:81" customFormat="1" ht="14.5">
      <c r="A45" s="168"/>
      <c r="B45" s="168"/>
      <c r="C45" s="168"/>
      <c r="D45" s="168"/>
      <c r="E45" s="168"/>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c r="AE45" s="165"/>
      <c r="AF45" s="165"/>
      <c r="AG45" s="165"/>
      <c r="AH45" s="165"/>
      <c r="AI45" s="165"/>
      <c r="AJ45" s="165"/>
      <c r="AK45" s="165"/>
      <c r="AL45" s="165"/>
      <c r="AM45" s="165"/>
      <c r="AN45" s="165"/>
      <c r="AO45" s="165"/>
      <c r="AP45" s="165"/>
      <c r="AQ45" s="165"/>
      <c r="AR45" s="165"/>
      <c r="AS45" s="165"/>
      <c r="AT45" s="165"/>
      <c r="AU45" s="165"/>
      <c r="AV45" s="165"/>
      <c r="AW45" s="165"/>
      <c r="AX45" s="165"/>
      <c r="AY45" s="165"/>
      <c r="AZ45" s="165"/>
      <c r="BA45" s="165"/>
      <c r="BB45" s="165"/>
      <c r="BC45" s="165"/>
      <c r="BD45" s="165"/>
      <c r="BE45" s="165"/>
      <c r="BF45" s="165"/>
      <c r="BG45" s="165"/>
      <c r="BH45" s="165"/>
      <c r="BI45" s="165"/>
      <c r="BJ45" s="165"/>
      <c r="BK45" s="165"/>
      <c r="BL45" s="165"/>
      <c r="BM45" s="165"/>
      <c r="BN45" s="165"/>
      <c r="BO45" s="165"/>
      <c r="BP45" s="165"/>
      <c r="BQ45" s="165"/>
      <c r="BR45" s="165"/>
      <c r="BS45" s="165"/>
      <c r="BT45" s="165"/>
      <c r="BU45" s="165"/>
      <c r="BV45" s="165"/>
      <c r="BW45" s="165"/>
      <c r="BX45" s="165"/>
      <c r="BY45" s="165"/>
      <c r="BZ45" s="168"/>
      <c r="CB45" s="168"/>
      <c r="CC45" s="168"/>
    </row>
  </sheetData>
  <mergeCells count="117">
    <mergeCell ref="O1:P1"/>
    <mergeCell ref="Q1:R1"/>
    <mergeCell ref="S1:T1"/>
    <mergeCell ref="U1:V1"/>
    <mergeCell ref="W1:X1"/>
    <mergeCell ref="Y1:Z1"/>
    <mergeCell ref="C1:D1"/>
    <mergeCell ref="E1:F1"/>
    <mergeCell ref="G1:H1"/>
    <mergeCell ref="I1:J1"/>
    <mergeCell ref="K1:L1"/>
    <mergeCell ref="M1:N1"/>
    <mergeCell ref="AA1:AB1"/>
    <mergeCell ref="AC1:AD1"/>
    <mergeCell ref="AE1:AF1"/>
    <mergeCell ref="BK1:BL1"/>
    <mergeCell ref="AY1:AZ1"/>
    <mergeCell ref="BA1:BB1"/>
    <mergeCell ref="BC1:BD1"/>
    <mergeCell ref="BE1:BF1"/>
    <mergeCell ref="BG1:BH1"/>
    <mergeCell ref="BI1:BJ1"/>
    <mergeCell ref="AM1:AN1"/>
    <mergeCell ref="AO1:AP1"/>
    <mergeCell ref="AQ1:AR1"/>
    <mergeCell ref="AS1:AT1"/>
    <mergeCell ref="AU1:AV1"/>
    <mergeCell ref="AW1:AX1"/>
    <mergeCell ref="AG1:AH1"/>
    <mergeCell ref="AI1:AJ1"/>
    <mergeCell ref="AK1:AL1"/>
    <mergeCell ref="C3:D3"/>
    <mergeCell ref="E3:F3"/>
    <mergeCell ref="G3:H3"/>
    <mergeCell ref="I3:J3"/>
    <mergeCell ref="K3:L3"/>
    <mergeCell ref="M3:N3"/>
    <mergeCell ref="AA3:AB3"/>
    <mergeCell ref="AC3:AD3"/>
    <mergeCell ref="O2:P2"/>
    <mergeCell ref="Q2:R2"/>
    <mergeCell ref="S2:T2"/>
    <mergeCell ref="U2:V2"/>
    <mergeCell ref="W2:X2"/>
    <mergeCell ref="C2:D2"/>
    <mergeCell ref="E2:F2"/>
    <mergeCell ref="G2:H2"/>
    <mergeCell ref="I2:J2"/>
    <mergeCell ref="K2:L2"/>
    <mergeCell ref="M2:N2"/>
    <mergeCell ref="BI2:BJ2"/>
    <mergeCell ref="BK2:BL2"/>
    <mergeCell ref="BM2:BN2"/>
    <mergeCell ref="Y2:Z2"/>
    <mergeCell ref="AA2:AB2"/>
    <mergeCell ref="AC2:AD2"/>
    <mergeCell ref="AQ2:AR2"/>
    <mergeCell ref="AS2:AT2"/>
    <mergeCell ref="AU2:AV2"/>
    <mergeCell ref="AW2:AX2"/>
    <mergeCell ref="AY2:AZ2"/>
    <mergeCell ref="BA2:BB2"/>
    <mergeCell ref="AE2:AF2"/>
    <mergeCell ref="AG2:AH2"/>
    <mergeCell ref="AI2:AJ2"/>
    <mergeCell ref="AM2:AN2"/>
    <mergeCell ref="AO2:AP2"/>
    <mergeCell ref="BC2:BD2"/>
    <mergeCell ref="BE2:BF2"/>
    <mergeCell ref="BG2:BH2"/>
    <mergeCell ref="AK2:AL2"/>
    <mergeCell ref="AE3:AF3"/>
    <mergeCell ref="AG3:AH3"/>
    <mergeCell ref="AI3:AJ3"/>
    <mergeCell ref="AK3:AL3"/>
    <mergeCell ref="O3:P3"/>
    <mergeCell ref="Q3:R3"/>
    <mergeCell ref="S3:T3"/>
    <mergeCell ref="U3:V3"/>
    <mergeCell ref="W3:X3"/>
    <mergeCell ref="Y3:Z3"/>
    <mergeCell ref="AY3:AZ3"/>
    <mergeCell ref="BA3:BB3"/>
    <mergeCell ref="BC3:BD3"/>
    <mergeCell ref="BE3:BF3"/>
    <mergeCell ref="BG3:BH3"/>
    <mergeCell ref="BI3:BJ3"/>
    <mergeCell ref="AM3:AN3"/>
    <mergeCell ref="AO3:AP3"/>
    <mergeCell ref="AQ3:AR3"/>
    <mergeCell ref="AS3:AT3"/>
    <mergeCell ref="AU3:AV3"/>
    <mergeCell ref="AW3:AX3"/>
    <mergeCell ref="CB1:CC1"/>
    <mergeCell ref="CB2:CC2"/>
    <mergeCell ref="CB3:CC3"/>
    <mergeCell ref="BW3:BX3"/>
    <mergeCell ref="BY3:BZ3"/>
    <mergeCell ref="BK3:BL3"/>
    <mergeCell ref="BM3:BN3"/>
    <mergeCell ref="BO3:BP3"/>
    <mergeCell ref="BQ3:BR3"/>
    <mergeCell ref="BS3:BT3"/>
    <mergeCell ref="BU3:BV3"/>
    <mergeCell ref="BU2:BV2"/>
    <mergeCell ref="BW2:BX2"/>
    <mergeCell ref="BY2:BZ2"/>
    <mergeCell ref="BW1:BX1"/>
    <mergeCell ref="BY1:BZ1"/>
    <mergeCell ref="BM1:BN1"/>
    <mergeCell ref="BO1:BP1"/>
    <mergeCell ref="BQ1:BR1"/>
    <mergeCell ref="BS1:BT1"/>
    <mergeCell ref="BU1:BV1"/>
    <mergeCell ref="BO2:BP2"/>
    <mergeCell ref="BQ2:BR2"/>
    <mergeCell ref="BS2:BT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sheetPr>
  <dimension ref="A1:CB44"/>
  <sheetViews>
    <sheetView workbookViewId="0">
      <pane xSplit="3" ySplit="5" topLeftCell="BX6" activePane="bottomRight" state="frozen"/>
      <selection pane="topRight" activeCell="D1" sqref="D1"/>
      <selection pane="bottomLeft" activeCell="A6" sqref="A6"/>
      <selection pane="bottomRight" activeCell="BX8" sqref="BX8"/>
    </sheetView>
  </sheetViews>
  <sheetFormatPr defaultRowHeight="14.5"/>
  <cols>
    <col min="1" max="1" width="36.81640625" customWidth="1"/>
    <col min="2" max="2" width="16.1796875" customWidth="1"/>
    <col min="3" max="3" width="17.54296875" customWidth="1"/>
    <col min="4" max="4" width="12.54296875" style="315" customWidth="1"/>
    <col min="5" max="5" width="13.54296875" style="315" customWidth="1"/>
    <col min="6" max="54" width="12.54296875" style="315" customWidth="1"/>
    <col min="55" max="55" width="13.453125" style="315" bestFit="1" customWidth="1"/>
    <col min="56" max="77" width="12.54296875" style="315" customWidth="1"/>
    <col min="79" max="80" width="13.453125" style="315" bestFit="1" customWidth="1"/>
  </cols>
  <sheetData>
    <row r="1" spans="1:80">
      <c r="A1" s="325" t="s">
        <v>313</v>
      </c>
      <c r="B1" s="213"/>
      <c r="C1" s="213"/>
      <c r="CA1" s="823">
        <f>CA2-CA5</f>
        <v>0</v>
      </c>
    </row>
    <row r="2" spans="1:80">
      <c r="A2" s="230" t="s">
        <v>103</v>
      </c>
      <c r="B2" s="824"/>
      <c r="C2" s="316"/>
      <c r="D2" s="976">
        <v>1</v>
      </c>
      <c r="E2" s="976"/>
      <c r="F2" s="976">
        <v>2</v>
      </c>
      <c r="G2" s="976"/>
      <c r="H2" s="976">
        <v>3</v>
      </c>
      <c r="I2" s="976"/>
      <c r="J2" s="976">
        <v>4</v>
      </c>
      <c r="K2" s="976"/>
      <c r="L2" s="976">
        <v>5</v>
      </c>
      <c r="M2" s="976"/>
      <c r="N2" s="976">
        <v>6</v>
      </c>
      <c r="O2" s="976"/>
      <c r="P2" s="976">
        <v>7</v>
      </c>
      <c r="Q2" s="976"/>
      <c r="R2" s="976">
        <v>8</v>
      </c>
      <c r="S2" s="976"/>
      <c r="T2" s="976">
        <v>9</v>
      </c>
      <c r="U2" s="976"/>
      <c r="V2" s="976">
        <v>10</v>
      </c>
      <c r="W2" s="976"/>
      <c r="X2" s="976">
        <v>11</v>
      </c>
      <c r="Y2" s="976"/>
      <c r="Z2" s="976">
        <v>12</v>
      </c>
      <c r="AA2" s="976"/>
      <c r="AB2" s="976">
        <v>13</v>
      </c>
      <c r="AC2" s="976"/>
      <c r="AD2" s="976">
        <v>14</v>
      </c>
      <c r="AE2" s="976"/>
      <c r="AF2" s="976">
        <v>15</v>
      </c>
      <c r="AG2" s="976"/>
      <c r="AH2" s="976">
        <v>16</v>
      </c>
      <c r="AI2" s="976"/>
      <c r="AJ2" s="976">
        <v>17</v>
      </c>
      <c r="AK2" s="976"/>
      <c r="AL2" s="976">
        <v>18</v>
      </c>
      <c r="AM2" s="976"/>
      <c r="AN2" s="976">
        <v>19</v>
      </c>
      <c r="AO2" s="976"/>
      <c r="AP2" s="976">
        <v>20</v>
      </c>
      <c r="AQ2" s="976"/>
      <c r="AR2" s="976">
        <v>21</v>
      </c>
      <c r="AS2" s="976"/>
      <c r="AT2" s="976">
        <v>22</v>
      </c>
      <c r="AU2" s="976"/>
      <c r="AV2" s="976">
        <v>23</v>
      </c>
      <c r="AW2" s="976"/>
      <c r="AX2" s="976">
        <v>24</v>
      </c>
      <c r="AY2" s="976"/>
      <c r="AZ2" s="976">
        <v>25</v>
      </c>
      <c r="BA2" s="976"/>
      <c r="BB2" s="976">
        <v>26</v>
      </c>
      <c r="BC2" s="976"/>
      <c r="BD2" s="976">
        <v>27</v>
      </c>
      <c r="BE2" s="976"/>
      <c r="BF2" s="976">
        <v>28</v>
      </c>
      <c r="BG2" s="976"/>
      <c r="BH2" s="976">
        <v>29</v>
      </c>
      <c r="BI2" s="976"/>
      <c r="BJ2" s="976">
        <v>30</v>
      </c>
      <c r="BK2" s="976"/>
      <c r="BL2" s="976">
        <v>31</v>
      </c>
      <c r="BM2" s="976"/>
      <c r="BN2" s="976">
        <v>32</v>
      </c>
      <c r="BO2" s="976"/>
      <c r="BP2" s="976">
        <v>33</v>
      </c>
      <c r="BQ2" s="976"/>
      <c r="BR2" s="976">
        <v>34</v>
      </c>
      <c r="BS2" s="976"/>
      <c r="BT2" s="976">
        <v>35</v>
      </c>
      <c r="BU2" s="976"/>
      <c r="BV2" s="976">
        <v>36</v>
      </c>
      <c r="BW2" s="976"/>
      <c r="BX2" s="976">
        <v>37</v>
      </c>
      <c r="BY2" s="976"/>
      <c r="CA2" s="734">
        <f>'P &amp; NP'!WP11</f>
        <v>282359631.46421683</v>
      </c>
      <c r="CB2" s="734">
        <f>'P &amp; NP'!WQ11</f>
        <v>9677403259.5202065</v>
      </c>
    </row>
    <row r="3" spans="1:80" s="333" customFormat="1">
      <c r="A3" s="331" t="s">
        <v>105</v>
      </c>
      <c r="B3" s="735">
        <f>CA2</f>
        <v>282359631.46421683</v>
      </c>
      <c r="C3" s="735">
        <f>CB2</f>
        <v>9677403259.5202065</v>
      </c>
      <c r="D3" s="732" t="s">
        <v>537</v>
      </c>
      <c r="E3" s="732"/>
      <c r="F3" s="732" t="s">
        <v>538</v>
      </c>
      <c r="G3" s="732"/>
      <c r="H3" s="732" t="s">
        <v>539</v>
      </c>
      <c r="I3" s="732"/>
      <c r="J3" s="732" t="s">
        <v>540</v>
      </c>
      <c r="K3" s="732"/>
      <c r="L3" s="732" t="s">
        <v>392</v>
      </c>
      <c r="M3" s="732"/>
      <c r="N3" s="732" t="s">
        <v>541</v>
      </c>
      <c r="O3" s="732"/>
      <c r="P3" s="732" t="s">
        <v>542</v>
      </c>
      <c r="Q3" s="732"/>
      <c r="R3" s="732" t="s">
        <v>10</v>
      </c>
      <c r="S3" s="732"/>
      <c r="T3" s="732" t="s">
        <v>231</v>
      </c>
      <c r="U3" s="732"/>
      <c r="V3" s="732" t="s">
        <v>543</v>
      </c>
      <c r="W3" s="732"/>
      <c r="X3" s="732" t="s">
        <v>544</v>
      </c>
      <c r="Y3" s="732"/>
      <c r="Z3" s="732" t="s">
        <v>545</v>
      </c>
      <c r="AA3" s="732"/>
      <c r="AB3" s="732" t="s">
        <v>546</v>
      </c>
      <c r="AC3" s="732"/>
      <c r="AD3" s="732" t="s">
        <v>547</v>
      </c>
      <c r="AE3" s="732"/>
      <c r="AF3" s="732" t="s">
        <v>548</v>
      </c>
      <c r="AG3" s="732"/>
      <c r="AH3" s="732" t="s">
        <v>549</v>
      </c>
      <c r="AI3" s="732"/>
      <c r="AJ3" s="732" t="s">
        <v>550</v>
      </c>
      <c r="AK3" s="732"/>
      <c r="AL3" s="732" t="s">
        <v>551</v>
      </c>
      <c r="AM3" s="732"/>
      <c r="AN3" s="732" t="s">
        <v>552</v>
      </c>
      <c r="AO3" s="732"/>
      <c r="AP3" s="732" t="s">
        <v>553</v>
      </c>
      <c r="AQ3" s="732"/>
      <c r="AR3" s="732" t="s">
        <v>554</v>
      </c>
      <c r="AS3" s="732"/>
      <c r="AT3" s="732" t="s">
        <v>20</v>
      </c>
      <c r="AU3" s="732"/>
      <c r="AV3" s="732" t="s">
        <v>555</v>
      </c>
      <c r="AW3" s="732"/>
      <c r="AX3" s="732" t="s">
        <v>556</v>
      </c>
      <c r="AY3" s="732"/>
      <c r="AZ3" s="732" t="s">
        <v>24</v>
      </c>
      <c r="BA3" s="732"/>
      <c r="BB3" s="732" t="s">
        <v>557</v>
      </c>
      <c r="BC3" s="732"/>
      <c r="BD3" s="732" t="s">
        <v>359</v>
      </c>
      <c r="BE3" s="732"/>
      <c r="BF3" s="732" t="s">
        <v>668</v>
      </c>
      <c r="BG3" s="732"/>
      <c r="BH3" s="732" t="s">
        <v>671</v>
      </c>
      <c r="BI3" s="732"/>
      <c r="BJ3" s="732" t="s">
        <v>674</v>
      </c>
      <c r="BK3" s="732"/>
      <c r="BL3" s="732" t="s">
        <v>605</v>
      </c>
      <c r="BM3" s="732"/>
      <c r="BN3" s="732" t="s">
        <v>606</v>
      </c>
      <c r="BO3" s="732"/>
      <c r="BP3" s="732" t="s">
        <v>607</v>
      </c>
      <c r="BQ3" s="732"/>
      <c r="BR3" s="732" t="s">
        <v>669</v>
      </c>
      <c r="BS3" s="732"/>
      <c r="BT3" s="732" t="s">
        <v>670</v>
      </c>
      <c r="BU3" s="732"/>
      <c r="BV3" s="732" t="s">
        <v>672</v>
      </c>
      <c r="BW3" s="732"/>
      <c r="BX3" s="732" t="s">
        <v>673</v>
      </c>
      <c r="BY3" s="732"/>
      <c r="CA3" s="732" t="s">
        <v>165</v>
      </c>
      <c r="CB3" s="732"/>
    </row>
    <row r="4" spans="1:80">
      <c r="A4" s="246"/>
      <c r="B4" s="327" t="s">
        <v>27</v>
      </c>
      <c r="C4" s="327" t="s">
        <v>28</v>
      </c>
      <c r="D4" s="326" t="s">
        <v>27</v>
      </c>
      <c r="E4" s="326" t="s">
        <v>28</v>
      </c>
      <c r="F4" s="326" t="s">
        <v>27</v>
      </c>
      <c r="G4" s="326" t="s">
        <v>28</v>
      </c>
      <c r="H4" s="326" t="s">
        <v>27</v>
      </c>
      <c r="I4" s="326" t="s">
        <v>28</v>
      </c>
      <c r="J4" s="326" t="s">
        <v>27</v>
      </c>
      <c r="K4" s="326" t="s">
        <v>28</v>
      </c>
      <c r="L4" s="326" t="s">
        <v>27</v>
      </c>
      <c r="M4" s="326" t="s">
        <v>28</v>
      </c>
      <c r="N4" s="326" t="s">
        <v>27</v>
      </c>
      <c r="O4" s="326" t="s">
        <v>28</v>
      </c>
      <c r="P4" s="326" t="s">
        <v>27</v>
      </c>
      <c r="Q4" s="326" t="s">
        <v>28</v>
      </c>
      <c r="R4" s="326" t="s">
        <v>27</v>
      </c>
      <c r="S4" s="326" t="s">
        <v>28</v>
      </c>
      <c r="T4" s="326" t="s">
        <v>27</v>
      </c>
      <c r="U4" s="326" t="s">
        <v>28</v>
      </c>
      <c r="V4" s="326" t="s">
        <v>27</v>
      </c>
      <c r="W4" s="326" t="s">
        <v>28</v>
      </c>
      <c r="X4" s="326" t="s">
        <v>27</v>
      </c>
      <c r="Y4" s="326" t="s">
        <v>28</v>
      </c>
      <c r="Z4" s="326" t="s">
        <v>27</v>
      </c>
      <c r="AA4" s="326" t="s">
        <v>28</v>
      </c>
      <c r="AB4" s="326" t="s">
        <v>27</v>
      </c>
      <c r="AC4" s="326" t="s">
        <v>28</v>
      </c>
      <c r="AD4" s="326" t="s">
        <v>27</v>
      </c>
      <c r="AE4" s="326" t="s">
        <v>28</v>
      </c>
      <c r="AF4" s="326" t="s">
        <v>27</v>
      </c>
      <c r="AG4" s="326" t="s">
        <v>28</v>
      </c>
      <c r="AH4" s="326" t="s">
        <v>27</v>
      </c>
      <c r="AI4" s="326" t="s">
        <v>28</v>
      </c>
      <c r="AJ4" s="326" t="s">
        <v>27</v>
      </c>
      <c r="AK4" s="326" t="s">
        <v>28</v>
      </c>
      <c r="AL4" s="326" t="s">
        <v>27</v>
      </c>
      <c r="AM4" s="326" t="s">
        <v>28</v>
      </c>
      <c r="AN4" s="326" t="s">
        <v>27</v>
      </c>
      <c r="AO4" s="326" t="s">
        <v>28</v>
      </c>
      <c r="AP4" s="326" t="s">
        <v>27</v>
      </c>
      <c r="AQ4" s="326" t="s">
        <v>28</v>
      </c>
      <c r="AR4" s="326" t="s">
        <v>27</v>
      </c>
      <c r="AS4" s="326" t="s">
        <v>28</v>
      </c>
      <c r="AT4" s="326" t="s">
        <v>27</v>
      </c>
      <c r="AU4" s="326" t="s">
        <v>28</v>
      </c>
      <c r="AV4" s="326" t="s">
        <v>27</v>
      </c>
      <c r="AW4" s="326" t="s">
        <v>28</v>
      </c>
      <c r="AX4" s="326" t="s">
        <v>27</v>
      </c>
      <c r="AY4" s="326" t="s">
        <v>28</v>
      </c>
      <c r="AZ4" s="326" t="s">
        <v>27</v>
      </c>
      <c r="BA4" s="326" t="s">
        <v>28</v>
      </c>
      <c r="BB4" s="326" t="s">
        <v>27</v>
      </c>
      <c r="BC4" s="326" t="s">
        <v>28</v>
      </c>
      <c r="BD4" s="326" t="s">
        <v>27</v>
      </c>
      <c r="BE4" s="326" t="s">
        <v>28</v>
      </c>
      <c r="BF4" s="326" t="s">
        <v>27</v>
      </c>
      <c r="BG4" s="326" t="s">
        <v>28</v>
      </c>
      <c r="BH4" s="326" t="s">
        <v>27</v>
      </c>
      <c r="BI4" s="326" t="s">
        <v>28</v>
      </c>
      <c r="BJ4" s="326" t="s">
        <v>27</v>
      </c>
      <c r="BK4" s="326" t="s">
        <v>28</v>
      </c>
      <c r="BL4" s="326" t="s">
        <v>27</v>
      </c>
      <c r="BM4" s="326" t="s">
        <v>28</v>
      </c>
      <c r="BN4" s="326" t="s">
        <v>27</v>
      </c>
      <c r="BO4" s="326" t="s">
        <v>28</v>
      </c>
      <c r="BP4" s="326" t="s">
        <v>27</v>
      </c>
      <c r="BQ4" s="326" t="s">
        <v>28</v>
      </c>
      <c r="BR4" s="326" t="s">
        <v>27</v>
      </c>
      <c r="BS4" s="326" t="s">
        <v>28</v>
      </c>
      <c r="BT4" s="326" t="s">
        <v>27</v>
      </c>
      <c r="BU4" s="326" t="s">
        <v>28</v>
      </c>
      <c r="BV4" s="326" t="s">
        <v>27</v>
      </c>
      <c r="BW4" s="326" t="s">
        <v>28</v>
      </c>
      <c r="BX4" s="326" t="s">
        <v>27</v>
      </c>
      <c r="BY4" s="326" t="s">
        <v>28</v>
      </c>
      <c r="CA4" s="326" t="s">
        <v>27</v>
      </c>
      <c r="CB4" s="326" t="s">
        <v>28</v>
      </c>
    </row>
    <row r="5" spans="1:80">
      <c r="A5" s="255" t="s">
        <v>111</v>
      </c>
      <c r="B5" s="321">
        <f>SUM(B6:B43)</f>
        <v>282359631.46421689</v>
      </c>
      <c r="C5" s="321">
        <f>SUM(C6:C43)</f>
        <v>9677403259.5202065</v>
      </c>
      <c r="D5" s="322">
        <f>SUM(D6:D43)</f>
        <v>107891690.65975489</v>
      </c>
      <c r="E5" s="322">
        <f t="shared" ref="E5:BP5" si="0">SUM(E6:E43)</f>
        <v>2418077722.0250087</v>
      </c>
      <c r="F5" s="322">
        <f t="shared" si="0"/>
        <v>0</v>
      </c>
      <c r="G5" s="322">
        <f t="shared" si="0"/>
        <v>0</v>
      </c>
      <c r="H5" s="322">
        <f t="shared" si="0"/>
        <v>1355843</v>
      </c>
      <c r="I5" s="322">
        <f t="shared" si="0"/>
        <v>36575446</v>
      </c>
      <c r="J5" s="322">
        <f t="shared" si="0"/>
        <v>0</v>
      </c>
      <c r="K5" s="322">
        <f t="shared" si="0"/>
        <v>0</v>
      </c>
      <c r="L5" s="322">
        <f t="shared" si="0"/>
        <v>0</v>
      </c>
      <c r="M5" s="322">
        <f t="shared" si="0"/>
        <v>0</v>
      </c>
      <c r="N5" s="322">
        <f t="shared" si="0"/>
        <v>23010701.938114382</v>
      </c>
      <c r="O5" s="322">
        <f t="shared" si="0"/>
        <v>51803979.592139453</v>
      </c>
      <c r="P5" s="322">
        <f t="shared" si="0"/>
        <v>0</v>
      </c>
      <c r="Q5" s="322">
        <f t="shared" si="0"/>
        <v>0</v>
      </c>
      <c r="R5" s="322">
        <f t="shared" si="0"/>
        <v>1812033.0758633553</v>
      </c>
      <c r="S5" s="322">
        <f t="shared" si="0"/>
        <v>110600212.86546618</v>
      </c>
      <c r="T5" s="322">
        <f t="shared" si="0"/>
        <v>721293.96853126399</v>
      </c>
      <c r="U5" s="322">
        <f t="shared" si="0"/>
        <v>37889402.250673778</v>
      </c>
      <c r="V5" s="322">
        <f t="shared" si="0"/>
        <v>0</v>
      </c>
      <c r="W5" s="322">
        <f t="shared" si="0"/>
        <v>0</v>
      </c>
      <c r="X5" s="322">
        <f t="shared" si="0"/>
        <v>1168925.1465787925</v>
      </c>
      <c r="Y5" s="322">
        <f t="shared" si="0"/>
        <v>107303768.24082008</v>
      </c>
      <c r="Z5" s="322">
        <f t="shared" si="0"/>
        <v>1055740.9829788271</v>
      </c>
      <c r="AA5" s="322">
        <f t="shared" si="0"/>
        <v>106337775.873</v>
      </c>
      <c r="AB5" s="322">
        <f t="shared" si="0"/>
        <v>0</v>
      </c>
      <c r="AC5" s="322">
        <f t="shared" si="0"/>
        <v>0</v>
      </c>
      <c r="AD5" s="322">
        <f t="shared" si="0"/>
        <v>0</v>
      </c>
      <c r="AE5" s="322">
        <f t="shared" si="0"/>
        <v>0</v>
      </c>
      <c r="AF5" s="322">
        <f t="shared" si="0"/>
        <v>0</v>
      </c>
      <c r="AG5" s="322">
        <f t="shared" si="0"/>
        <v>0</v>
      </c>
      <c r="AH5" s="322">
        <f t="shared" si="0"/>
        <v>0</v>
      </c>
      <c r="AI5" s="322">
        <f t="shared" si="0"/>
        <v>0</v>
      </c>
      <c r="AJ5" s="322">
        <f t="shared" si="0"/>
        <v>37</v>
      </c>
      <c r="AK5" s="322">
        <f t="shared" si="0"/>
        <v>333</v>
      </c>
      <c r="AL5" s="322">
        <f t="shared" si="0"/>
        <v>9712165.306886239</v>
      </c>
      <c r="AM5" s="322">
        <f t="shared" si="0"/>
        <v>125581675.64999387</v>
      </c>
      <c r="AN5" s="322">
        <f t="shared" si="0"/>
        <v>19709732.647203982</v>
      </c>
      <c r="AO5" s="322">
        <f t="shared" si="0"/>
        <v>363974007.48519802</v>
      </c>
      <c r="AP5" s="322">
        <f t="shared" si="0"/>
        <v>0</v>
      </c>
      <c r="AQ5" s="322">
        <f t="shared" si="0"/>
        <v>0</v>
      </c>
      <c r="AR5" s="322">
        <f t="shared" si="0"/>
        <v>0</v>
      </c>
      <c r="AS5" s="322">
        <f t="shared" si="0"/>
        <v>0</v>
      </c>
      <c r="AT5" s="322">
        <f t="shared" si="0"/>
        <v>0</v>
      </c>
      <c r="AU5" s="322">
        <f t="shared" si="0"/>
        <v>0</v>
      </c>
      <c r="AV5" s="322">
        <f t="shared" si="0"/>
        <v>26700</v>
      </c>
      <c r="AW5" s="322">
        <f t="shared" si="0"/>
        <v>80100</v>
      </c>
      <c r="AX5" s="322">
        <f t="shared" si="0"/>
        <v>0</v>
      </c>
      <c r="AY5" s="322">
        <f t="shared" si="0"/>
        <v>0</v>
      </c>
      <c r="AZ5" s="322">
        <f t="shared" si="0"/>
        <v>3327924.8</v>
      </c>
      <c r="BA5" s="322">
        <f t="shared" si="0"/>
        <v>139269710</v>
      </c>
      <c r="BB5" s="322">
        <f t="shared" si="0"/>
        <v>99298900.497843668</v>
      </c>
      <c r="BC5" s="322">
        <f t="shared" si="0"/>
        <v>5403050248.2099533</v>
      </c>
      <c r="BD5" s="322">
        <f t="shared" si="0"/>
        <v>7148560.5289569581</v>
      </c>
      <c r="BE5" s="322">
        <f t="shared" si="0"/>
        <v>649707624.78971636</v>
      </c>
      <c r="BF5" s="322">
        <f t="shared" si="0"/>
        <v>816631</v>
      </c>
      <c r="BG5" s="322">
        <f t="shared" si="0"/>
        <v>34993745</v>
      </c>
      <c r="BH5" s="322">
        <f t="shared" si="0"/>
        <v>1710001</v>
      </c>
      <c r="BI5" s="322">
        <f t="shared" si="0"/>
        <v>68400040</v>
      </c>
      <c r="BJ5" s="322">
        <f t="shared" si="0"/>
        <v>0</v>
      </c>
      <c r="BK5" s="322">
        <f t="shared" si="0"/>
        <v>0</v>
      </c>
      <c r="BL5" s="322">
        <f t="shared" si="0"/>
        <v>0</v>
      </c>
      <c r="BM5" s="322">
        <f t="shared" si="0"/>
        <v>0</v>
      </c>
      <c r="BN5" s="322">
        <f t="shared" si="0"/>
        <v>0</v>
      </c>
      <c r="BO5" s="322">
        <f t="shared" si="0"/>
        <v>0</v>
      </c>
      <c r="BP5" s="322">
        <f t="shared" si="0"/>
        <v>2429049.9115045071</v>
      </c>
      <c r="BQ5" s="322">
        <f t="shared" ref="BQ5:BY5" si="1">SUM(BQ6:BQ43)</f>
        <v>9722668.538235195</v>
      </c>
      <c r="BR5" s="322">
        <f t="shared" si="1"/>
        <v>0</v>
      </c>
      <c r="BS5" s="322">
        <f t="shared" si="1"/>
        <v>0</v>
      </c>
      <c r="BT5" s="322">
        <f t="shared" si="1"/>
        <v>800</v>
      </c>
      <c r="BU5" s="322">
        <f t="shared" si="1"/>
        <v>80000</v>
      </c>
      <c r="BV5" s="322">
        <f t="shared" si="1"/>
        <v>1162900</v>
      </c>
      <c r="BW5" s="322">
        <f t="shared" si="1"/>
        <v>13954800</v>
      </c>
      <c r="BX5" s="322">
        <f t="shared" si="1"/>
        <v>0</v>
      </c>
      <c r="BY5" s="322">
        <f t="shared" si="1"/>
        <v>0</v>
      </c>
      <c r="CA5" s="322">
        <f t="shared" ref="CA5:CB5" si="2">SUM(CA6:CA43)</f>
        <v>282359631.46421689</v>
      </c>
      <c r="CB5" s="322">
        <f t="shared" ca="1" si="2"/>
        <v>174467940.80446199</v>
      </c>
    </row>
    <row r="6" spans="1:80">
      <c r="A6" s="260" t="s">
        <v>137</v>
      </c>
      <c r="B6" s="320">
        <f>SUMIF($D$4:$BY$4,$B$4,D6:BY6)</f>
        <v>14223257</v>
      </c>
      <c r="C6" s="320">
        <f>SUMIF($D$4:$BY$4,$C$4,D6:BY6)</f>
        <v>530450673.60000002</v>
      </c>
      <c r="D6" s="322">
        <f>'P NP TAMBAK IKAN'!C8</f>
        <v>4561700</v>
      </c>
      <c r="E6" s="322">
        <f>'P NP TAMBAK IKAN'!D8</f>
        <v>132359200</v>
      </c>
      <c r="F6" s="322">
        <f>'P NP TAMBAK IKAN'!C9</f>
        <v>0</v>
      </c>
      <c r="G6" s="322">
        <f>'P NP TAMBAK IKAN'!D9</f>
        <v>0</v>
      </c>
      <c r="H6" s="322">
        <f>'P NP TAMBAK IKAN'!C10</f>
        <v>1303200</v>
      </c>
      <c r="I6" s="322">
        <f>'P NP TAMBAK IKAN'!D10</f>
        <v>35888000</v>
      </c>
      <c r="J6" s="322">
        <f>'P NP TAMBAK IKAN'!C11</f>
        <v>0</v>
      </c>
      <c r="K6" s="322">
        <f>'P NP TAMBAK IKAN'!D11</f>
        <v>0</v>
      </c>
      <c r="L6" s="322">
        <f>'P NP TAMBAK IKAN'!C12</f>
        <v>0</v>
      </c>
      <c r="M6" s="322">
        <f>'P NP TAMBAK IKAN'!D12</f>
        <v>0</v>
      </c>
      <c r="N6" s="322">
        <f>'P NP TAMBAK IKAN'!C13</f>
        <v>0</v>
      </c>
      <c r="O6" s="322">
        <f>'P NP TAMBAK IKAN'!D13</f>
        <v>0</v>
      </c>
      <c r="P6" s="322">
        <f>'P NP TAMBAK IKAN'!C14</f>
        <v>0</v>
      </c>
      <c r="Q6" s="322">
        <f>'P NP TAMBAK IKAN'!D14</f>
        <v>0</v>
      </c>
      <c r="R6" s="322">
        <f>'P NP TAMBAK IKAN'!C15</f>
        <v>1433700</v>
      </c>
      <c r="S6" s="322">
        <f>'P NP TAMBAK IKAN'!D15</f>
        <v>89179500</v>
      </c>
      <c r="T6" s="322">
        <f>'P NP TAMBAK IKAN'!C16</f>
        <v>8800</v>
      </c>
      <c r="U6" s="322">
        <f>'P NP TAMBAK IKAN'!D16</f>
        <v>880000</v>
      </c>
      <c r="V6" s="322">
        <f>'P NP TAMBAK IKAN'!C17</f>
        <v>0</v>
      </c>
      <c r="W6" s="322">
        <f>'P NP TAMBAK IKAN'!D17</f>
        <v>0</v>
      </c>
      <c r="X6" s="322">
        <f>'P NP TAMBAK IKAN'!C18</f>
        <v>0</v>
      </c>
      <c r="Y6" s="322">
        <f>'P NP TAMBAK IKAN'!D18</f>
        <v>0</v>
      </c>
      <c r="Z6" s="322">
        <f>'P NP TAMBAK IKAN'!C19</f>
        <v>0</v>
      </c>
      <c r="AA6" s="322">
        <f>'P NP TAMBAK IKAN'!D19</f>
        <v>0</v>
      </c>
      <c r="AB6" s="322">
        <f>'P NP TAMBAK IKAN'!C20</f>
        <v>0</v>
      </c>
      <c r="AC6" s="322">
        <f>'P NP TAMBAK IKAN'!D20</f>
        <v>0</v>
      </c>
      <c r="AD6" s="322">
        <f>'P NP TAMBAK IKAN'!C21</f>
        <v>0</v>
      </c>
      <c r="AE6" s="322">
        <f>'P NP TAMBAK IKAN'!D21</f>
        <v>0</v>
      </c>
      <c r="AF6" s="322">
        <f>'P NP TAMBAK IKAN'!C22</f>
        <v>0</v>
      </c>
      <c r="AG6" s="322">
        <f>'P NP TAMBAK IKAN'!D22</f>
        <v>0</v>
      </c>
      <c r="AH6" s="322">
        <f>'P NP TAMBAK IKAN'!C23</f>
        <v>0</v>
      </c>
      <c r="AI6" s="322">
        <f>'P NP TAMBAK IKAN'!D23</f>
        <v>0</v>
      </c>
      <c r="AJ6" s="322">
        <f>'P NP TAMBAK IKAN'!C24</f>
        <v>0</v>
      </c>
      <c r="AK6" s="322">
        <f>'P NP TAMBAK IKAN'!D24</f>
        <v>0</v>
      </c>
      <c r="AL6" s="322">
        <f>'P NP TAMBAK IKAN'!C25</f>
        <v>2215500</v>
      </c>
      <c r="AM6" s="322">
        <f>'P NP TAMBAK IKAN'!D25</f>
        <v>33232500</v>
      </c>
      <c r="AN6" s="322">
        <f>'P NP TAMBAK IKAN'!C26</f>
        <v>0</v>
      </c>
      <c r="AO6" s="322">
        <f>'P NP TAMBAK IKAN'!D26</f>
        <v>0</v>
      </c>
      <c r="AP6" s="322">
        <f>'P NP TAMBAK IKAN'!C27</f>
        <v>0</v>
      </c>
      <c r="AQ6" s="322">
        <f>'P NP TAMBAK IKAN'!D27</f>
        <v>0</v>
      </c>
      <c r="AR6" s="322">
        <f>'P NP TAMBAK IKAN'!C28</f>
        <v>0</v>
      </c>
      <c r="AS6" s="322">
        <f>'P NP TAMBAK IKAN'!D28</f>
        <v>0</v>
      </c>
      <c r="AT6" s="322">
        <f>'P NP TAMBAK IKAN'!C29</f>
        <v>0</v>
      </c>
      <c r="AU6" s="322">
        <f>'P NP TAMBAK IKAN'!D29</f>
        <v>0</v>
      </c>
      <c r="AV6" s="322">
        <f>'P NP TAMBAK IKAN'!C30</f>
        <v>0</v>
      </c>
      <c r="AW6" s="322">
        <f>'P NP TAMBAK IKAN'!D30</f>
        <v>0</v>
      </c>
      <c r="AX6" s="322">
        <f>'P NP TAMBAK IKAN'!C31</f>
        <v>0</v>
      </c>
      <c r="AY6" s="322">
        <f>'P NP TAMBAK IKAN'!D31</f>
        <v>0</v>
      </c>
      <c r="AZ6" s="322">
        <f>'P NP TAMBAK IKAN'!C32</f>
        <v>2150450</v>
      </c>
      <c r="BA6" s="322">
        <f>'P NP TAMBAK IKAN'!D32</f>
        <v>86018000</v>
      </c>
      <c r="BB6" s="322">
        <f>'P NP TAMBAK IKAN'!C33</f>
        <v>2360307</v>
      </c>
      <c r="BC6" s="322">
        <f>'P NP TAMBAK IKAN'!D33</f>
        <v>139402473.59999999</v>
      </c>
      <c r="BD6" s="322">
        <f>'P NP TAMBAK IKAN'!C34</f>
        <v>65100</v>
      </c>
      <c r="BE6" s="322">
        <f>'P NP TAMBAK IKAN'!D34</f>
        <v>8463000</v>
      </c>
      <c r="BF6" s="322">
        <f>'P NP TAMBAK IKAN'!C35</f>
        <v>123700</v>
      </c>
      <c r="BG6" s="322">
        <f>'P NP TAMBAK IKAN'!D35</f>
        <v>4948000</v>
      </c>
      <c r="BH6" s="322">
        <f>'P NP TAMBAK IKAN'!C36</f>
        <v>0</v>
      </c>
      <c r="BI6" s="322">
        <f>'P NP TAMBAK IKAN'!D36</f>
        <v>0</v>
      </c>
      <c r="BJ6" s="322">
        <f>'P NP TAMBAK IKAN'!$C37</f>
        <v>0</v>
      </c>
      <c r="BK6" s="322">
        <f>'P NP TAMBAK IKAN'!$D37</f>
        <v>0</v>
      </c>
      <c r="BL6" s="322">
        <f>'P NP TAMBAK IKAN'!$C38</f>
        <v>0</v>
      </c>
      <c r="BM6" s="322">
        <f>'P NP TAMBAK IKAN'!$D38</f>
        <v>0</v>
      </c>
      <c r="BN6" s="322">
        <f>'P NP TAMBAK IKAN'!$C39</f>
        <v>0</v>
      </c>
      <c r="BO6" s="322">
        <f>'P NP TAMBAK IKAN'!$D39</f>
        <v>0</v>
      </c>
      <c r="BP6" s="322">
        <f>'P NP TAMBAK IKAN'!$C40</f>
        <v>0</v>
      </c>
      <c r="BQ6" s="322">
        <f>'P NP TAMBAK IKAN'!$D40</f>
        <v>0</v>
      </c>
      <c r="BR6" s="322">
        <f>'P NP TAMBAK IKAN'!$C41</f>
        <v>0</v>
      </c>
      <c r="BS6" s="322">
        <f>'P NP TAMBAK IKAN'!$D41</f>
        <v>0</v>
      </c>
      <c r="BT6" s="322">
        <f>'P NP TAMBAK IKAN'!$C42</f>
        <v>800</v>
      </c>
      <c r="BU6" s="322">
        <f>'P NP TAMBAK IKAN'!$D42</f>
        <v>80000</v>
      </c>
      <c r="BV6" s="322">
        <f>'P NP TAMBAK IKAN'!$C43</f>
        <v>0</v>
      </c>
      <c r="BW6" s="322">
        <f>'P NP TAMBAK IKAN'!$D43</f>
        <v>0</v>
      </c>
      <c r="BX6" s="322">
        <f>'P NP TAMBAK IKAN'!$C44</f>
        <v>0</v>
      </c>
      <c r="BY6" s="322">
        <f>'P NP TAMBAK IKAN'!$D44</f>
        <v>0</v>
      </c>
      <c r="CA6" s="322">
        <f>SUMIF($D$4:$BY$4,$CA$4,D6:BY6)</f>
        <v>14223257</v>
      </c>
      <c r="CB6" s="322">
        <f ca="1">SUMIF($D$4:$BY$4,$CB$4,E6:BY6)</f>
        <v>9661557</v>
      </c>
    </row>
    <row r="7" spans="1:80">
      <c r="A7" s="260" t="s">
        <v>121</v>
      </c>
      <c r="B7" s="320">
        <f t="shared" ref="B7:B43" si="3">SUMIF($D$4:$BY$4,$B$4,D7:BY7)</f>
        <v>20072390</v>
      </c>
      <c r="C7" s="320">
        <f t="shared" ref="C7:C43" si="4">SUMIF($D$4:$BY$4,$C$4,D7:BY7)</f>
        <v>1036698610</v>
      </c>
      <c r="D7" s="322">
        <f>'P NP TAMBAK IKAN'!E8</f>
        <v>41675</v>
      </c>
      <c r="E7" s="322">
        <f>'P NP TAMBAK IKAN'!F8</f>
        <v>833500</v>
      </c>
      <c r="F7" s="322">
        <f>'P NP TAMBAK IKAN'!E9</f>
        <v>0</v>
      </c>
      <c r="G7" s="322">
        <f>'P NP TAMBAK IKAN'!F9</f>
        <v>0</v>
      </c>
      <c r="H7" s="322">
        <f>'P NP TAMBAK IKAN'!E10</f>
        <v>0</v>
      </c>
      <c r="I7" s="322">
        <f>'P NP TAMBAK IKAN'!F10</f>
        <v>0</v>
      </c>
      <c r="J7" s="322">
        <f>'P NP TAMBAK IKAN'!E11</f>
        <v>0</v>
      </c>
      <c r="K7" s="322">
        <f>'P NP TAMBAK IKAN'!F11</f>
        <v>0</v>
      </c>
      <c r="L7" s="322">
        <f>'P NP TAMBAK IKAN'!E12</f>
        <v>0</v>
      </c>
      <c r="M7" s="322">
        <f>'P NP TAMBAK IKAN'!F12</f>
        <v>0</v>
      </c>
      <c r="N7" s="322">
        <f>'P NP TAMBAK IKAN'!E13</f>
        <v>0</v>
      </c>
      <c r="O7" s="322">
        <f>'P NP TAMBAK IKAN'!F13</f>
        <v>0</v>
      </c>
      <c r="P7" s="322">
        <f>'P NP TAMBAK IKAN'!E14</f>
        <v>0</v>
      </c>
      <c r="Q7" s="322">
        <f>'P NP TAMBAK IKAN'!F14</f>
        <v>0</v>
      </c>
      <c r="R7" s="322">
        <f>'P NP TAMBAK IKAN'!E15</f>
        <v>181745</v>
      </c>
      <c r="S7" s="322">
        <f>'P NP TAMBAK IKAN'!F15</f>
        <v>12957675</v>
      </c>
      <c r="T7" s="322">
        <f>'P NP TAMBAK IKAN'!E16</f>
        <v>56645</v>
      </c>
      <c r="U7" s="322">
        <f>'P NP TAMBAK IKAN'!F16</f>
        <v>3518700</v>
      </c>
      <c r="V7" s="322">
        <f>'P NP TAMBAK IKAN'!E17</f>
        <v>0</v>
      </c>
      <c r="W7" s="322">
        <f>'P NP TAMBAK IKAN'!F17</f>
        <v>0</v>
      </c>
      <c r="X7" s="322">
        <f>'P NP TAMBAK IKAN'!E18</f>
        <v>43125</v>
      </c>
      <c r="Y7" s="322">
        <f>'P NP TAMBAK IKAN'!F18</f>
        <v>3901525</v>
      </c>
      <c r="Z7" s="322">
        <f>'P NP TAMBAK IKAN'!E19</f>
        <v>0</v>
      </c>
      <c r="AA7" s="322">
        <f>'P NP TAMBAK IKAN'!F19</f>
        <v>0</v>
      </c>
      <c r="AB7" s="322">
        <f>'P NP TAMBAK IKAN'!E20</f>
        <v>0</v>
      </c>
      <c r="AC7" s="322">
        <f>'P NP TAMBAK IKAN'!F20</f>
        <v>0</v>
      </c>
      <c r="AD7" s="322">
        <f>'P NP TAMBAK IKAN'!E21</f>
        <v>0</v>
      </c>
      <c r="AE7" s="322">
        <f>'P NP TAMBAK IKAN'!F21</f>
        <v>0</v>
      </c>
      <c r="AF7" s="322">
        <f>'P NP TAMBAK IKAN'!E22</f>
        <v>0</v>
      </c>
      <c r="AG7" s="322">
        <f>'P NP TAMBAK IKAN'!F22</f>
        <v>0</v>
      </c>
      <c r="AH7" s="322">
        <f>'P NP TAMBAK IKAN'!E23</f>
        <v>0</v>
      </c>
      <c r="AI7" s="322">
        <f>'P NP TAMBAK IKAN'!F23</f>
        <v>0</v>
      </c>
      <c r="AJ7" s="322">
        <f>'P NP TAMBAK IKAN'!E24</f>
        <v>0</v>
      </c>
      <c r="AK7" s="322">
        <f>'P NP TAMBAK IKAN'!F24</f>
        <v>0</v>
      </c>
      <c r="AL7" s="322">
        <f>'P NP TAMBAK IKAN'!E25</f>
        <v>87495</v>
      </c>
      <c r="AM7" s="322">
        <f>'P NP TAMBAK IKAN'!F25</f>
        <v>1312425</v>
      </c>
      <c r="AN7" s="322">
        <f>'P NP TAMBAK IKAN'!E26</f>
        <v>118605</v>
      </c>
      <c r="AO7" s="322">
        <f>'P NP TAMBAK IKAN'!F26</f>
        <v>2372100</v>
      </c>
      <c r="AP7" s="322">
        <f>'P NP TAMBAK IKAN'!E27</f>
        <v>0</v>
      </c>
      <c r="AQ7" s="322">
        <f>'P NP TAMBAK IKAN'!F27</f>
        <v>0</v>
      </c>
      <c r="AR7" s="322">
        <f>'P NP TAMBAK IKAN'!E28</f>
        <v>0</v>
      </c>
      <c r="AS7" s="322">
        <f>'P NP TAMBAK IKAN'!F28</f>
        <v>0</v>
      </c>
      <c r="AT7" s="322">
        <f>'P NP TAMBAK IKAN'!E29</f>
        <v>0</v>
      </c>
      <c r="AU7" s="322">
        <f>'P NP TAMBAK IKAN'!F29</f>
        <v>0</v>
      </c>
      <c r="AV7" s="322">
        <f>'P NP TAMBAK IKAN'!E30</f>
        <v>0</v>
      </c>
      <c r="AW7" s="322">
        <f>'P NP TAMBAK IKAN'!F30</f>
        <v>0</v>
      </c>
      <c r="AX7" s="322">
        <f>'P NP TAMBAK IKAN'!E31</f>
        <v>0</v>
      </c>
      <c r="AY7" s="322">
        <f>'P NP TAMBAK IKAN'!F31</f>
        <v>0</v>
      </c>
      <c r="AZ7" s="322">
        <f>'P NP TAMBAK IKAN'!E32</f>
        <v>0</v>
      </c>
      <c r="BA7" s="322">
        <f>'P NP TAMBAK IKAN'!F32</f>
        <v>0</v>
      </c>
      <c r="BB7" s="322">
        <f>'P NP TAMBAK IKAN'!E33</f>
        <v>19543100</v>
      </c>
      <c r="BC7" s="322">
        <f>'P NP TAMBAK IKAN'!F33</f>
        <v>1011802685</v>
      </c>
      <c r="BD7" s="322">
        <f>'P NP TAMBAK IKAN'!E34</f>
        <v>0</v>
      </c>
      <c r="BE7" s="322">
        <f>'P NP TAMBAK IKAN'!F34</f>
        <v>0</v>
      </c>
      <c r="BF7" s="322">
        <f>'P NP TAMBAK IKAN'!E43</f>
        <v>0</v>
      </c>
      <c r="BG7" s="322">
        <f>'P NP TAMBAK IKAN'!F43</f>
        <v>0</v>
      </c>
      <c r="BH7" s="322">
        <f>'P NP TAMBAK IKAN'!E44</f>
        <v>0</v>
      </c>
      <c r="BI7" s="322">
        <f>'P NP TAMBAK IKAN'!F44</f>
        <v>0</v>
      </c>
      <c r="BJ7" s="322">
        <f>'P NP TAMBAK IKAN'!C46</f>
        <v>0</v>
      </c>
      <c r="BK7" s="322">
        <f>'P NP TAMBAK IKAN'!D46</f>
        <v>0</v>
      </c>
      <c r="BL7" s="322">
        <f>'P NP TAMBAK IKAN'!C47</f>
        <v>0</v>
      </c>
      <c r="BM7" s="322">
        <f>'P NP TAMBAK IKAN'!D47</f>
        <v>0</v>
      </c>
      <c r="BN7" s="322">
        <f>'P NP TAMBAK IKAN'!C48</f>
        <v>0</v>
      </c>
      <c r="BO7" s="322">
        <f>'P NP TAMBAK IKAN'!D48</f>
        <v>0</v>
      </c>
      <c r="BP7" s="322">
        <f>'P NP TAMBAK IKAN'!C49</f>
        <v>0</v>
      </c>
      <c r="BQ7" s="322">
        <f>'P NP TAMBAK IKAN'!D49</f>
        <v>0</v>
      </c>
      <c r="BR7" s="322">
        <f>'P NP TAMBAK IKAN'!C50</f>
        <v>0</v>
      </c>
      <c r="BS7" s="322">
        <f>'P NP TAMBAK IKAN'!D50</f>
        <v>0</v>
      </c>
      <c r="BT7" s="322">
        <f>'P NP TAMBAK IKAN'!C51</f>
        <v>0</v>
      </c>
      <c r="BU7" s="322">
        <f>'P NP TAMBAK IKAN'!D51</f>
        <v>0</v>
      </c>
      <c r="BV7" s="322">
        <f>'P NP TAMBAK IKAN'!C52</f>
        <v>0</v>
      </c>
      <c r="BW7" s="322">
        <f>'P NP TAMBAK IKAN'!D52</f>
        <v>0</v>
      </c>
      <c r="BX7" s="322">
        <f>'P NP TAMBAK IKAN'!C53</f>
        <v>0</v>
      </c>
      <c r="BY7" s="322">
        <f>'P NP TAMBAK IKAN'!D53</f>
        <v>0</v>
      </c>
      <c r="CA7" s="322">
        <f t="shared" ref="CA7:CA43" si="5">SUMIF($D$4:$BY$4,$CA$4,D7:BY7)</f>
        <v>20072390</v>
      </c>
      <c r="CB7" s="322">
        <f t="shared" ref="CB7:CB43" ca="1" si="6">SUMIF($D$4:$BY$4,$CB$4,E7:BY7)</f>
        <v>20030715</v>
      </c>
    </row>
    <row r="8" spans="1:80">
      <c r="A8" s="260" t="s">
        <v>116</v>
      </c>
      <c r="B8" s="320">
        <f t="shared" si="3"/>
        <v>436100</v>
      </c>
      <c r="C8" s="320">
        <f t="shared" si="4"/>
        <v>28346500</v>
      </c>
      <c r="D8" s="322">
        <f>'P NP TAMBAK IKAN'!G8</f>
        <v>0</v>
      </c>
      <c r="E8" s="322">
        <f>'P NP TAMBAK IKAN'!H8</f>
        <v>0</v>
      </c>
      <c r="F8" s="322">
        <f>'P NP TAMBAK IKAN'!G9</f>
        <v>0</v>
      </c>
      <c r="G8" s="322">
        <f>'P NP TAMBAK IKAN'!H9</f>
        <v>0</v>
      </c>
      <c r="H8" s="322">
        <f>'P NP TAMBAK IKAN'!G10</f>
        <v>0</v>
      </c>
      <c r="I8" s="322">
        <f>'P NP TAMBAK IKAN'!H10</f>
        <v>0</v>
      </c>
      <c r="J8" s="322">
        <f>'P NP TAMBAK IKAN'!G11</f>
        <v>0</v>
      </c>
      <c r="K8" s="322">
        <f>'P NP TAMBAK IKAN'!H11</f>
        <v>0</v>
      </c>
      <c r="L8" s="322">
        <f>'P NP TAMBAK IKAN'!G12</f>
        <v>0</v>
      </c>
      <c r="M8" s="322">
        <f>'P NP TAMBAK IKAN'!H12</f>
        <v>0</v>
      </c>
      <c r="N8" s="322">
        <f>'P NP TAMBAK IKAN'!G13</f>
        <v>0</v>
      </c>
      <c r="O8" s="322">
        <f>'P NP TAMBAK IKAN'!H13</f>
        <v>0</v>
      </c>
      <c r="P8" s="322">
        <f>'P NP TAMBAK IKAN'!G14</f>
        <v>0</v>
      </c>
      <c r="Q8" s="322">
        <f>'P NP TAMBAK IKAN'!H14</f>
        <v>0</v>
      </c>
      <c r="R8" s="322">
        <f>'P NP TAMBAK IKAN'!G15</f>
        <v>0</v>
      </c>
      <c r="S8" s="322">
        <f>'P NP TAMBAK IKAN'!H15</f>
        <v>0</v>
      </c>
      <c r="T8" s="322">
        <f>'P NP TAMBAK IKAN'!G16</f>
        <v>0</v>
      </c>
      <c r="U8" s="322">
        <f>'P NP TAMBAK IKAN'!H16</f>
        <v>0</v>
      </c>
      <c r="V8" s="322">
        <f>'P NP TAMBAK IKAN'!G17</f>
        <v>0</v>
      </c>
      <c r="W8" s="322">
        <f>'P NP TAMBAK IKAN'!H17</f>
        <v>0</v>
      </c>
      <c r="X8" s="322">
        <f>'P NP TAMBAK IKAN'!G18</f>
        <v>0</v>
      </c>
      <c r="Y8" s="322">
        <f>'P NP TAMBAK IKAN'!H18</f>
        <v>0</v>
      </c>
      <c r="Z8" s="322">
        <f>'P NP TAMBAK IKAN'!G19</f>
        <v>0</v>
      </c>
      <c r="AA8" s="322">
        <f>'P NP TAMBAK IKAN'!H19</f>
        <v>0</v>
      </c>
      <c r="AB8" s="322">
        <f>'P NP TAMBAK IKAN'!G20</f>
        <v>0</v>
      </c>
      <c r="AC8" s="322">
        <f>'P NP TAMBAK IKAN'!H20</f>
        <v>0</v>
      </c>
      <c r="AD8" s="322">
        <f>'P NP TAMBAK IKAN'!G21</f>
        <v>0</v>
      </c>
      <c r="AE8" s="322">
        <f>'P NP TAMBAK IKAN'!H21</f>
        <v>0</v>
      </c>
      <c r="AF8" s="322">
        <f>'P NP TAMBAK IKAN'!G22</f>
        <v>0</v>
      </c>
      <c r="AG8" s="322">
        <f>'P NP TAMBAK IKAN'!H22</f>
        <v>0</v>
      </c>
      <c r="AH8" s="322">
        <f>'P NP TAMBAK IKAN'!G23</f>
        <v>0</v>
      </c>
      <c r="AI8" s="322">
        <f>'P NP TAMBAK IKAN'!H23</f>
        <v>0</v>
      </c>
      <c r="AJ8" s="322">
        <f>'P NP TAMBAK IKAN'!G24</f>
        <v>0</v>
      </c>
      <c r="AK8" s="322">
        <f>'P NP TAMBAK IKAN'!H24</f>
        <v>0</v>
      </c>
      <c r="AL8" s="322">
        <f>'P NP TAMBAK IKAN'!G25</f>
        <v>0</v>
      </c>
      <c r="AM8" s="322">
        <f>'P NP TAMBAK IKAN'!H25</f>
        <v>0</v>
      </c>
      <c r="AN8" s="322">
        <f>'P NP TAMBAK IKAN'!G26</f>
        <v>0</v>
      </c>
      <c r="AO8" s="322">
        <f>'P NP TAMBAK IKAN'!H26</f>
        <v>0</v>
      </c>
      <c r="AP8" s="322">
        <f>'P NP TAMBAK IKAN'!G27</f>
        <v>0</v>
      </c>
      <c r="AQ8" s="322">
        <f>'P NP TAMBAK IKAN'!H27</f>
        <v>0</v>
      </c>
      <c r="AR8" s="322">
        <f>'P NP TAMBAK IKAN'!G28</f>
        <v>0</v>
      </c>
      <c r="AS8" s="322">
        <f>'P NP TAMBAK IKAN'!H28</f>
        <v>0</v>
      </c>
      <c r="AT8" s="322">
        <f>'P NP TAMBAK IKAN'!G29</f>
        <v>0</v>
      </c>
      <c r="AU8" s="322">
        <f>'P NP TAMBAK IKAN'!H29</f>
        <v>0</v>
      </c>
      <c r="AV8" s="322">
        <f>'P NP TAMBAK IKAN'!G30</f>
        <v>0</v>
      </c>
      <c r="AW8" s="322">
        <f>'P NP TAMBAK IKAN'!H30</f>
        <v>0</v>
      </c>
      <c r="AX8" s="322">
        <f>'P NP TAMBAK IKAN'!G31</f>
        <v>0</v>
      </c>
      <c r="AY8" s="322">
        <f>'P NP TAMBAK IKAN'!H31</f>
        <v>0</v>
      </c>
      <c r="AZ8" s="322">
        <f>'P NP TAMBAK IKAN'!G32</f>
        <v>0</v>
      </c>
      <c r="BA8" s="322">
        <f>'P NP TAMBAK IKAN'!H32</f>
        <v>0</v>
      </c>
      <c r="BB8" s="322">
        <f>'P NP TAMBAK IKAN'!G33</f>
        <v>436100</v>
      </c>
      <c r="BC8" s="322">
        <f>'P NP TAMBAK IKAN'!H33</f>
        <v>28346500</v>
      </c>
      <c r="BD8" s="322">
        <f>'P NP TAMBAK IKAN'!G34</f>
        <v>0</v>
      </c>
      <c r="BE8" s="322">
        <f>'P NP TAMBAK IKAN'!H34</f>
        <v>0</v>
      </c>
      <c r="BF8" s="322">
        <f>'P NP TAMBAK IKAN'!G43</f>
        <v>0</v>
      </c>
      <c r="BG8" s="322">
        <f>'P NP TAMBAK IKAN'!H43</f>
        <v>0</v>
      </c>
      <c r="BH8" s="322">
        <f>'P NP TAMBAK IKAN'!G44</f>
        <v>0</v>
      </c>
      <c r="BI8" s="322">
        <f>'P NP TAMBAK IKAN'!H44</f>
        <v>0</v>
      </c>
      <c r="BJ8" s="322">
        <f>'P NP TAMBAK IKAN'!C47</f>
        <v>0</v>
      </c>
      <c r="BK8" s="322">
        <f>'P NP TAMBAK IKAN'!D47</f>
        <v>0</v>
      </c>
      <c r="BL8" s="322">
        <f>'P NP TAMBAK IKAN'!C48</f>
        <v>0</v>
      </c>
      <c r="BM8" s="322">
        <f>'P NP TAMBAK IKAN'!D48</f>
        <v>0</v>
      </c>
      <c r="BN8" s="322">
        <f>'P NP TAMBAK IKAN'!C49</f>
        <v>0</v>
      </c>
      <c r="BO8" s="322">
        <f>'P NP TAMBAK IKAN'!D49</f>
        <v>0</v>
      </c>
      <c r="BP8" s="322">
        <f>'P NP TAMBAK IKAN'!C50</f>
        <v>0</v>
      </c>
      <c r="BQ8" s="322">
        <f>'P NP TAMBAK IKAN'!D50</f>
        <v>0</v>
      </c>
      <c r="BR8" s="322">
        <f>'P NP TAMBAK IKAN'!C51</f>
        <v>0</v>
      </c>
      <c r="BS8" s="322">
        <f>'P NP TAMBAK IKAN'!D51</f>
        <v>0</v>
      </c>
      <c r="BT8" s="322">
        <f>'P NP TAMBAK IKAN'!C52</f>
        <v>0</v>
      </c>
      <c r="BU8" s="322">
        <f>'P NP TAMBAK IKAN'!D52</f>
        <v>0</v>
      </c>
      <c r="BV8" s="322">
        <f>'P NP TAMBAK IKAN'!C53</f>
        <v>0</v>
      </c>
      <c r="BW8" s="322">
        <f>'P NP TAMBAK IKAN'!D53</f>
        <v>0</v>
      </c>
      <c r="BX8" s="322">
        <f>'P NP TAMBAK IKAN'!C54</f>
        <v>0</v>
      </c>
      <c r="BY8" s="322">
        <f>'P NP TAMBAK IKAN'!D54</f>
        <v>0</v>
      </c>
      <c r="CA8" s="322">
        <f t="shared" si="5"/>
        <v>436100</v>
      </c>
      <c r="CB8" s="322">
        <f t="shared" ca="1" si="6"/>
        <v>436100</v>
      </c>
    </row>
    <row r="9" spans="1:80">
      <c r="A9" s="260" t="s">
        <v>133</v>
      </c>
      <c r="B9" s="320">
        <f t="shared" si="3"/>
        <v>0</v>
      </c>
      <c r="C9" s="320">
        <f t="shared" si="4"/>
        <v>0</v>
      </c>
      <c r="D9" s="322">
        <f>'P NP TAMBAK IKAN'!I8</f>
        <v>0</v>
      </c>
      <c r="E9" s="322">
        <f>'P NP TAMBAK IKAN'!J8</f>
        <v>0</v>
      </c>
      <c r="F9" s="322">
        <f>'P NP TAMBAK IKAN'!I9</f>
        <v>0</v>
      </c>
      <c r="G9" s="322">
        <f>'P NP TAMBAK IKAN'!J9</f>
        <v>0</v>
      </c>
      <c r="H9" s="322">
        <f>'P NP TAMBAK IKAN'!I10</f>
        <v>0</v>
      </c>
      <c r="I9" s="322">
        <f>'P NP TAMBAK IKAN'!J10</f>
        <v>0</v>
      </c>
      <c r="J9" s="322">
        <f>'P NP TAMBAK IKAN'!I11</f>
        <v>0</v>
      </c>
      <c r="K9" s="322">
        <f>'P NP TAMBAK IKAN'!J11</f>
        <v>0</v>
      </c>
      <c r="L9" s="322">
        <f>'P NP TAMBAK IKAN'!I12</f>
        <v>0</v>
      </c>
      <c r="M9" s="322">
        <f>'P NP TAMBAK IKAN'!J12</f>
        <v>0</v>
      </c>
      <c r="N9" s="322">
        <f>'P NP TAMBAK IKAN'!I13</f>
        <v>0</v>
      </c>
      <c r="O9" s="322">
        <f>'P NP TAMBAK IKAN'!J13</f>
        <v>0</v>
      </c>
      <c r="P9" s="322">
        <f>'P NP TAMBAK IKAN'!I14</f>
        <v>0</v>
      </c>
      <c r="Q9" s="322">
        <f>'P NP TAMBAK IKAN'!J14</f>
        <v>0</v>
      </c>
      <c r="R9" s="322">
        <f>'P NP TAMBAK IKAN'!I15</f>
        <v>0</v>
      </c>
      <c r="S9" s="322">
        <f>'P NP TAMBAK IKAN'!J15</f>
        <v>0</v>
      </c>
      <c r="T9" s="322">
        <f>'P NP TAMBAK IKAN'!I16</f>
        <v>0</v>
      </c>
      <c r="U9" s="322">
        <f>'P NP TAMBAK IKAN'!J16</f>
        <v>0</v>
      </c>
      <c r="V9" s="322">
        <f>'P NP TAMBAK IKAN'!I17</f>
        <v>0</v>
      </c>
      <c r="W9" s="322">
        <f>'P NP TAMBAK IKAN'!J17</f>
        <v>0</v>
      </c>
      <c r="X9" s="322">
        <f>'P NP TAMBAK IKAN'!I18</f>
        <v>0</v>
      </c>
      <c r="Y9" s="322">
        <f>'P NP TAMBAK IKAN'!J18</f>
        <v>0</v>
      </c>
      <c r="Z9" s="322">
        <f>'P NP TAMBAK IKAN'!I19</f>
        <v>0</v>
      </c>
      <c r="AA9" s="322">
        <f>'P NP TAMBAK IKAN'!J19</f>
        <v>0</v>
      </c>
      <c r="AB9" s="322">
        <f>'P NP TAMBAK IKAN'!I20</f>
        <v>0</v>
      </c>
      <c r="AC9" s="322">
        <f>'P NP TAMBAK IKAN'!J20</f>
        <v>0</v>
      </c>
      <c r="AD9" s="322">
        <f>'P NP TAMBAK IKAN'!I21</f>
        <v>0</v>
      </c>
      <c r="AE9" s="322">
        <f>'P NP TAMBAK IKAN'!J21</f>
        <v>0</v>
      </c>
      <c r="AF9" s="322">
        <f>'P NP TAMBAK IKAN'!I22</f>
        <v>0</v>
      </c>
      <c r="AG9" s="322">
        <f>'P NP TAMBAK IKAN'!J22</f>
        <v>0</v>
      </c>
      <c r="AH9" s="322">
        <f>'P NP TAMBAK IKAN'!I23</f>
        <v>0</v>
      </c>
      <c r="AI9" s="322">
        <f>'P NP TAMBAK IKAN'!J23</f>
        <v>0</v>
      </c>
      <c r="AJ9" s="322">
        <f>'P NP TAMBAK IKAN'!I24</f>
        <v>0</v>
      </c>
      <c r="AK9" s="322">
        <f>'P NP TAMBAK IKAN'!J24</f>
        <v>0</v>
      </c>
      <c r="AL9" s="322">
        <f>'P NP TAMBAK IKAN'!I25</f>
        <v>0</v>
      </c>
      <c r="AM9" s="322">
        <f>'P NP TAMBAK IKAN'!J25</f>
        <v>0</v>
      </c>
      <c r="AN9" s="322">
        <f>'P NP TAMBAK IKAN'!I26</f>
        <v>0</v>
      </c>
      <c r="AO9" s="322">
        <f>'P NP TAMBAK IKAN'!J26</f>
        <v>0</v>
      </c>
      <c r="AP9" s="322">
        <f>'P NP TAMBAK IKAN'!I27</f>
        <v>0</v>
      </c>
      <c r="AQ9" s="322">
        <f>'P NP TAMBAK IKAN'!J27</f>
        <v>0</v>
      </c>
      <c r="AR9" s="322">
        <f>'P NP TAMBAK IKAN'!I28</f>
        <v>0</v>
      </c>
      <c r="AS9" s="322">
        <f>'P NP TAMBAK IKAN'!J28</f>
        <v>0</v>
      </c>
      <c r="AT9" s="322">
        <f>'P NP TAMBAK IKAN'!I29</f>
        <v>0</v>
      </c>
      <c r="AU9" s="322">
        <f>'P NP TAMBAK IKAN'!J29</f>
        <v>0</v>
      </c>
      <c r="AV9" s="322">
        <f>'P NP TAMBAK IKAN'!I30</f>
        <v>0</v>
      </c>
      <c r="AW9" s="322">
        <f>'P NP TAMBAK IKAN'!J30</f>
        <v>0</v>
      </c>
      <c r="AX9" s="322">
        <f>'P NP TAMBAK IKAN'!I31</f>
        <v>0</v>
      </c>
      <c r="AY9" s="322">
        <f>'P NP TAMBAK IKAN'!J31</f>
        <v>0</v>
      </c>
      <c r="AZ9" s="322">
        <f>'P NP TAMBAK IKAN'!I32</f>
        <v>0</v>
      </c>
      <c r="BA9" s="322">
        <f>'P NP TAMBAK IKAN'!J32</f>
        <v>0</v>
      </c>
      <c r="BB9" s="322">
        <f>'P NP TAMBAK IKAN'!I33</f>
        <v>0</v>
      </c>
      <c r="BC9" s="322">
        <f>'P NP TAMBAK IKAN'!J33</f>
        <v>0</v>
      </c>
      <c r="BD9" s="322">
        <f>'P NP TAMBAK IKAN'!I34</f>
        <v>0</v>
      </c>
      <c r="BE9" s="322">
        <f>'P NP TAMBAK IKAN'!J34</f>
        <v>0</v>
      </c>
      <c r="BF9" s="322">
        <f>'P NP TAMBAK IKAN'!I43</f>
        <v>0</v>
      </c>
      <c r="BG9" s="322">
        <f>'P NP TAMBAK IKAN'!J43</f>
        <v>0</v>
      </c>
      <c r="BH9" s="322">
        <f>'P NP TAMBAK IKAN'!I44</f>
        <v>0</v>
      </c>
      <c r="BI9" s="322">
        <f>'P NP TAMBAK IKAN'!J44</f>
        <v>0</v>
      </c>
      <c r="BJ9" s="322">
        <f>'P NP TAMBAK IKAN'!C48</f>
        <v>0</v>
      </c>
      <c r="BK9" s="322">
        <f>'P NP TAMBAK IKAN'!D48</f>
        <v>0</v>
      </c>
      <c r="BL9" s="322">
        <f>'P NP TAMBAK IKAN'!C49</f>
        <v>0</v>
      </c>
      <c r="BM9" s="322">
        <f>'P NP TAMBAK IKAN'!D49</f>
        <v>0</v>
      </c>
      <c r="BN9" s="322">
        <f>'P NP TAMBAK IKAN'!C50</f>
        <v>0</v>
      </c>
      <c r="BO9" s="322">
        <f>'P NP TAMBAK IKAN'!D50</f>
        <v>0</v>
      </c>
      <c r="BP9" s="322">
        <f>'P NP TAMBAK IKAN'!C51</f>
        <v>0</v>
      </c>
      <c r="BQ9" s="322">
        <f>'P NP TAMBAK IKAN'!D51</f>
        <v>0</v>
      </c>
      <c r="BR9" s="322">
        <f>'P NP TAMBAK IKAN'!C52</f>
        <v>0</v>
      </c>
      <c r="BS9" s="322">
        <f>'P NP TAMBAK IKAN'!D52</f>
        <v>0</v>
      </c>
      <c r="BT9" s="322">
        <f>'P NP TAMBAK IKAN'!C53</f>
        <v>0</v>
      </c>
      <c r="BU9" s="322">
        <f>'P NP TAMBAK IKAN'!D53</f>
        <v>0</v>
      </c>
      <c r="BV9" s="322">
        <f>'P NP TAMBAK IKAN'!C54</f>
        <v>0</v>
      </c>
      <c r="BW9" s="322">
        <f>'P NP TAMBAK IKAN'!D54</f>
        <v>0</v>
      </c>
      <c r="BX9" s="322">
        <f>'P NP TAMBAK IKAN'!C55</f>
        <v>0</v>
      </c>
      <c r="BY9" s="322">
        <f>'P NP TAMBAK IKAN'!D55</f>
        <v>0</v>
      </c>
      <c r="CA9" s="322">
        <f t="shared" si="5"/>
        <v>0</v>
      </c>
      <c r="CB9" s="322">
        <f t="shared" ca="1" si="6"/>
        <v>0</v>
      </c>
    </row>
    <row r="10" spans="1:80">
      <c r="A10" s="260" t="s">
        <v>122</v>
      </c>
      <c r="B10" s="320">
        <f t="shared" si="3"/>
        <v>0</v>
      </c>
      <c r="C10" s="320">
        <f t="shared" si="4"/>
        <v>0</v>
      </c>
      <c r="D10" s="322">
        <f>'P NP TAMBAK IKAN'!K8</f>
        <v>0</v>
      </c>
      <c r="E10" s="322">
        <f>'P NP TAMBAK IKAN'!L8</f>
        <v>0</v>
      </c>
      <c r="F10" s="322">
        <f>'P NP TAMBAK IKAN'!K9</f>
        <v>0</v>
      </c>
      <c r="G10" s="322">
        <f>'P NP TAMBAK IKAN'!L9</f>
        <v>0</v>
      </c>
      <c r="H10" s="322">
        <f>'P NP TAMBAK IKAN'!K10</f>
        <v>0</v>
      </c>
      <c r="I10" s="322">
        <f>'P NP TAMBAK IKAN'!L10</f>
        <v>0</v>
      </c>
      <c r="J10" s="322">
        <f>'P NP TAMBAK IKAN'!K11</f>
        <v>0</v>
      </c>
      <c r="K10" s="322">
        <f>'P NP TAMBAK IKAN'!L11</f>
        <v>0</v>
      </c>
      <c r="L10" s="322">
        <f>'P NP TAMBAK IKAN'!K12</f>
        <v>0</v>
      </c>
      <c r="M10" s="322">
        <f>'P NP TAMBAK IKAN'!L12</f>
        <v>0</v>
      </c>
      <c r="N10" s="322">
        <f>'P NP TAMBAK IKAN'!K13</f>
        <v>0</v>
      </c>
      <c r="O10" s="322">
        <f>'P NP TAMBAK IKAN'!L13</f>
        <v>0</v>
      </c>
      <c r="P10" s="322">
        <f>'P NP TAMBAK IKAN'!K14</f>
        <v>0</v>
      </c>
      <c r="Q10" s="322">
        <f>'P NP TAMBAK IKAN'!L14</f>
        <v>0</v>
      </c>
      <c r="R10" s="322">
        <f>'P NP TAMBAK IKAN'!K15</f>
        <v>0</v>
      </c>
      <c r="S10" s="322">
        <f>'P NP TAMBAK IKAN'!L15</f>
        <v>0</v>
      </c>
      <c r="T10" s="322">
        <f>'P NP TAMBAK IKAN'!K16</f>
        <v>0</v>
      </c>
      <c r="U10" s="322">
        <f>'P NP TAMBAK IKAN'!L16</f>
        <v>0</v>
      </c>
      <c r="V10" s="322">
        <f>'P NP TAMBAK IKAN'!K17</f>
        <v>0</v>
      </c>
      <c r="W10" s="322">
        <f>'P NP TAMBAK IKAN'!L17</f>
        <v>0</v>
      </c>
      <c r="X10" s="322">
        <f>'P NP TAMBAK IKAN'!K18</f>
        <v>0</v>
      </c>
      <c r="Y10" s="322">
        <f>'P NP TAMBAK IKAN'!L18</f>
        <v>0</v>
      </c>
      <c r="Z10" s="322">
        <f>'P NP TAMBAK IKAN'!K19</f>
        <v>0</v>
      </c>
      <c r="AA10" s="322">
        <f>'P NP TAMBAK IKAN'!L19</f>
        <v>0</v>
      </c>
      <c r="AB10" s="322">
        <f>'P NP TAMBAK IKAN'!K20</f>
        <v>0</v>
      </c>
      <c r="AC10" s="322">
        <f>'P NP TAMBAK IKAN'!L20</f>
        <v>0</v>
      </c>
      <c r="AD10" s="322">
        <f>'P NP TAMBAK IKAN'!K21</f>
        <v>0</v>
      </c>
      <c r="AE10" s="322">
        <f>'P NP TAMBAK IKAN'!L21</f>
        <v>0</v>
      </c>
      <c r="AF10" s="322">
        <f>'P NP TAMBAK IKAN'!K22</f>
        <v>0</v>
      </c>
      <c r="AG10" s="322">
        <f>'P NP TAMBAK IKAN'!L22</f>
        <v>0</v>
      </c>
      <c r="AH10" s="322">
        <f>'P NP TAMBAK IKAN'!K23</f>
        <v>0</v>
      </c>
      <c r="AI10" s="322">
        <f>'P NP TAMBAK IKAN'!L23</f>
        <v>0</v>
      </c>
      <c r="AJ10" s="322">
        <f>'P NP TAMBAK IKAN'!K24</f>
        <v>0</v>
      </c>
      <c r="AK10" s="322">
        <f>'P NP TAMBAK IKAN'!L24</f>
        <v>0</v>
      </c>
      <c r="AL10" s="322">
        <f>'P NP TAMBAK IKAN'!K25</f>
        <v>0</v>
      </c>
      <c r="AM10" s="322">
        <f>'P NP TAMBAK IKAN'!L25</f>
        <v>0</v>
      </c>
      <c r="AN10" s="322">
        <f>'P NP TAMBAK IKAN'!K26</f>
        <v>0</v>
      </c>
      <c r="AO10" s="322">
        <f>'P NP TAMBAK IKAN'!L26</f>
        <v>0</v>
      </c>
      <c r="AP10" s="322">
        <f>'P NP TAMBAK IKAN'!K27</f>
        <v>0</v>
      </c>
      <c r="AQ10" s="322">
        <f>'P NP TAMBAK IKAN'!L27</f>
        <v>0</v>
      </c>
      <c r="AR10" s="322">
        <f>'P NP TAMBAK IKAN'!K28</f>
        <v>0</v>
      </c>
      <c r="AS10" s="322">
        <f>'P NP TAMBAK IKAN'!L28</f>
        <v>0</v>
      </c>
      <c r="AT10" s="322">
        <f>'P NP TAMBAK IKAN'!K29</f>
        <v>0</v>
      </c>
      <c r="AU10" s="322">
        <f>'P NP TAMBAK IKAN'!L29</f>
        <v>0</v>
      </c>
      <c r="AV10" s="322">
        <f>'P NP TAMBAK IKAN'!K30</f>
        <v>0</v>
      </c>
      <c r="AW10" s="322">
        <f>'P NP TAMBAK IKAN'!L30</f>
        <v>0</v>
      </c>
      <c r="AX10" s="322">
        <f>'P NP TAMBAK IKAN'!K31</f>
        <v>0</v>
      </c>
      <c r="AY10" s="322">
        <f>'P NP TAMBAK IKAN'!L31</f>
        <v>0</v>
      </c>
      <c r="AZ10" s="322">
        <f>'P NP TAMBAK IKAN'!K32</f>
        <v>0</v>
      </c>
      <c r="BA10" s="322">
        <f>'P NP TAMBAK IKAN'!L32</f>
        <v>0</v>
      </c>
      <c r="BB10" s="322">
        <f>'P NP TAMBAK IKAN'!K33</f>
        <v>0</v>
      </c>
      <c r="BC10" s="322">
        <f>'P NP TAMBAK IKAN'!L33</f>
        <v>0</v>
      </c>
      <c r="BD10" s="322">
        <f>'P NP TAMBAK IKAN'!K34</f>
        <v>0</v>
      </c>
      <c r="BE10" s="322">
        <f>'P NP TAMBAK IKAN'!L34</f>
        <v>0</v>
      </c>
      <c r="BF10" s="322">
        <f>'P NP TAMBAK IKAN'!K43</f>
        <v>0</v>
      </c>
      <c r="BG10" s="322">
        <f>'P NP TAMBAK IKAN'!L43</f>
        <v>0</v>
      </c>
      <c r="BH10" s="322">
        <f>'P NP TAMBAK IKAN'!K44</f>
        <v>0</v>
      </c>
      <c r="BI10" s="322">
        <f>'P NP TAMBAK IKAN'!L44</f>
        <v>0</v>
      </c>
      <c r="BJ10" s="322">
        <f>'P NP TAMBAK IKAN'!C49</f>
        <v>0</v>
      </c>
      <c r="BK10" s="322">
        <f>'P NP TAMBAK IKAN'!D49</f>
        <v>0</v>
      </c>
      <c r="BL10" s="322">
        <f>'P NP TAMBAK IKAN'!C50</f>
        <v>0</v>
      </c>
      <c r="BM10" s="322">
        <f>'P NP TAMBAK IKAN'!D50</f>
        <v>0</v>
      </c>
      <c r="BN10" s="322">
        <f>'P NP TAMBAK IKAN'!C51</f>
        <v>0</v>
      </c>
      <c r="BO10" s="322">
        <f>'P NP TAMBAK IKAN'!D51</f>
        <v>0</v>
      </c>
      <c r="BP10" s="322">
        <f>'P NP TAMBAK IKAN'!C52</f>
        <v>0</v>
      </c>
      <c r="BQ10" s="322">
        <f>'P NP TAMBAK IKAN'!D52</f>
        <v>0</v>
      </c>
      <c r="BR10" s="322">
        <f>'P NP TAMBAK IKAN'!C53</f>
        <v>0</v>
      </c>
      <c r="BS10" s="322">
        <f>'P NP TAMBAK IKAN'!D53</f>
        <v>0</v>
      </c>
      <c r="BT10" s="322">
        <f>'P NP TAMBAK IKAN'!C54</f>
        <v>0</v>
      </c>
      <c r="BU10" s="322">
        <f>'P NP TAMBAK IKAN'!D54</f>
        <v>0</v>
      </c>
      <c r="BV10" s="322">
        <f>'P NP TAMBAK IKAN'!C55</f>
        <v>0</v>
      </c>
      <c r="BW10" s="322">
        <f>'P NP TAMBAK IKAN'!D55</f>
        <v>0</v>
      </c>
      <c r="BX10" s="322">
        <f>'P NP TAMBAK IKAN'!C56</f>
        <v>0</v>
      </c>
      <c r="BY10" s="322">
        <f>'P NP TAMBAK IKAN'!D56</f>
        <v>0</v>
      </c>
      <c r="CA10" s="322">
        <f t="shared" si="5"/>
        <v>0</v>
      </c>
      <c r="CB10" s="322">
        <f t="shared" ca="1" si="6"/>
        <v>0</v>
      </c>
    </row>
    <row r="11" spans="1:80">
      <c r="A11" s="260" t="s">
        <v>136</v>
      </c>
      <c r="B11" s="320">
        <f t="shared" si="3"/>
        <v>82445960.751360208</v>
      </c>
      <c r="C11" s="320">
        <f t="shared" si="4"/>
        <v>2385261859.7672048</v>
      </c>
      <c r="D11" s="322">
        <f>'P NP TAMBAK IKAN'!M8</f>
        <v>49897644.895697385</v>
      </c>
      <c r="E11" s="322">
        <f>'P NP TAMBAK IKAN'!N8</f>
        <v>1115896731.3740089</v>
      </c>
      <c r="F11" s="322">
        <f>'P NP TAMBAK IKAN'!M9</f>
        <v>0</v>
      </c>
      <c r="G11" s="322">
        <f>'P NP TAMBAK IKAN'!N9</f>
        <v>0</v>
      </c>
      <c r="H11" s="322">
        <f>'P NP TAMBAK IKAN'!M10</f>
        <v>0</v>
      </c>
      <c r="I11" s="322">
        <f>'P NP TAMBAK IKAN'!N10</f>
        <v>0</v>
      </c>
      <c r="J11" s="322">
        <f>'P NP TAMBAK IKAN'!M11</f>
        <v>0</v>
      </c>
      <c r="K11" s="322">
        <f>'P NP TAMBAK IKAN'!N11</f>
        <v>0</v>
      </c>
      <c r="L11" s="322">
        <f>'P NP TAMBAK IKAN'!M12</f>
        <v>0</v>
      </c>
      <c r="M11" s="322">
        <f>'P NP TAMBAK IKAN'!N12</f>
        <v>0</v>
      </c>
      <c r="N11" s="322">
        <f>'P NP TAMBAK IKAN'!M13</f>
        <v>4242224.0781143801</v>
      </c>
      <c r="O11" s="322">
        <f>'P NP TAMBAK IKAN'!N13</f>
        <v>12822727.592139456</v>
      </c>
      <c r="P11" s="322">
        <f>'P NP TAMBAK IKAN'!M14</f>
        <v>0</v>
      </c>
      <c r="Q11" s="322">
        <f>'P NP TAMBAK IKAN'!N14</f>
        <v>0</v>
      </c>
      <c r="R11" s="322">
        <f>'P NP TAMBAK IKAN'!M15</f>
        <v>33060.175863355456</v>
      </c>
      <c r="S11" s="322">
        <f>'P NP TAMBAK IKAN'!N15</f>
        <v>1036116.8654661704</v>
      </c>
      <c r="T11" s="322">
        <f>'P NP TAMBAK IKAN'!M16</f>
        <v>345628.26853126398</v>
      </c>
      <c r="U11" s="322">
        <f>'P NP TAMBAK IKAN'!N16</f>
        <v>16611740.250673776</v>
      </c>
      <c r="V11" s="322">
        <f>'P NP TAMBAK IKAN'!M17</f>
        <v>0</v>
      </c>
      <c r="W11" s="322">
        <f>'P NP TAMBAK IKAN'!N17</f>
        <v>0</v>
      </c>
      <c r="X11" s="322">
        <f>'P NP TAMBAK IKAN'!M18</f>
        <v>135504.14657879245</v>
      </c>
      <c r="Y11" s="322">
        <f>'P NP TAMBAK IKAN'!N18</f>
        <v>15142508.240820082</v>
      </c>
      <c r="Z11" s="322">
        <f>'P NP TAMBAK IKAN'!M19</f>
        <v>12288.982978827136</v>
      </c>
      <c r="AA11" s="322">
        <f>'P NP TAMBAK IKAN'!N19</f>
        <v>1351865.8729999999</v>
      </c>
      <c r="AB11" s="322">
        <f>'P NP TAMBAK IKAN'!M20</f>
        <v>0</v>
      </c>
      <c r="AC11" s="322">
        <f>'P NP TAMBAK IKAN'!N20</f>
        <v>0</v>
      </c>
      <c r="AD11" s="322">
        <f>'P NP TAMBAK IKAN'!M21</f>
        <v>0</v>
      </c>
      <c r="AE11" s="322">
        <f>'P NP TAMBAK IKAN'!N21</f>
        <v>0</v>
      </c>
      <c r="AF11" s="322">
        <f>'P NP TAMBAK IKAN'!M22</f>
        <v>0</v>
      </c>
      <c r="AG11" s="322">
        <f>'P NP TAMBAK IKAN'!N22</f>
        <v>0</v>
      </c>
      <c r="AH11" s="322">
        <f>'P NP TAMBAK IKAN'!M23</f>
        <v>0</v>
      </c>
      <c r="AI11" s="322">
        <f>'P NP TAMBAK IKAN'!N23</f>
        <v>0</v>
      </c>
      <c r="AJ11" s="322">
        <f>'P NP TAMBAK IKAN'!M24</f>
        <v>0</v>
      </c>
      <c r="AK11" s="322">
        <f>'P NP TAMBAK IKAN'!N24</f>
        <v>0</v>
      </c>
      <c r="AL11" s="322">
        <f>'P NP TAMBAK IKAN'!M25</f>
        <v>3354815.3068862394</v>
      </c>
      <c r="AM11" s="322">
        <f>'P NP TAMBAK IKAN'!N25</f>
        <v>29091073.649993859</v>
      </c>
      <c r="AN11" s="322">
        <f>'P NP TAMBAK IKAN'!M26</f>
        <v>684875.24720398197</v>
      </c>
      <c r="AO11" s="322">
        <f>'P NP TAMBAK IKAN'!N26</f>
        <v>10910704.985198008</v>
      </c>
      <c r="AP11" s="322">
        <f>'P NP TAMBAK IKAN'!M27</f>
        <v>0</v>
      </c>
      <c r="AQ11" s="322">
        <f>'P NP TAMBAK IKAN'!N27</f>
        <v>0</v>
      </c>
      <c r="AR11" s="322">
        <f>'P NP TAMBAK IKAN'!M28</f>
        <v>0</v>
      </c>
      <c r="AS11" s="322">
        <f>'P NP TAMBAK IKAN'!N28</f>
        <v>0</v>
      </c>
      <c r="AT11" s="322">
        <f>'P NP TAMBAK IKAN'!M29</f>
        <v>0</v>
      </c>
      <c r="AU11" s="322">
        <f>'P NP TAMBAK IKAN'!N29</f>
        <v>0</v>
      </c>
      <c r="AV11" s="322">
        <f>'P NP TAMBAK IKAN'!M30</f>
        <v>0</v>
      </c>
      <c r="AW11" s="322">
        <f>'P NP TAMBAK IKAN'!N30</f>
        <v>0</v>
      </c>
      <c r="AX11" s="322">
        <f>'P NP TAMBAK IKAN'!M31</f>
        <v>0</v>
      </c>
      <c r="AY11" s="322">
        <f>'P NP TAMBAK IKAN'!N31</f>
        <v>0</v>
      </c>
      <c r="AZ11" s="322">
        <f>'P NP TAMBAK IKAN'!M32</f>
        <v>0</v>
      </c>
      <c r="BA11" s="322">
        <f>'P NP TAMBAK IKAN'!N32</f>
        <v>0</v>
      </c>
      <c r="BB11" s="322">
        <f>'P NP TAMBAK IKAN'!M33</f>
        <v>18401978.789044522</v>
      </c>
      <c r="BC11" s="322">
        <f>'P NP TAMBAK IKAN'!N33</f>
        <v>905885644.10795295</v>
      </c>
      <c r="BD11" s="322">
        <f>'P NP TAMBAK IKAN'!$M34</f>
        <v>2921895.948956958</v>
      </c>
      <c r="BE11" s="322">
        <f>'P NP TAMBAK IKAN'!$N34</f>
        <v>266867028.28971636</v>
      </c>
      <c r="BF11" s="322">
        <f>'P NP TAMBAK IKAN'!$M35</f>
        <v>0</v>
      </c>
      <c r="BG11" s="322">
        <f>'P NP TAMBAK IKAN'!$N35</f>
        <v>0</v>
      </c>
      <c r="BH11" s="322">
        <f>'P NP TAMBAK IKAN'!$M36</f>
        <v>0</v>
      </c>
      <c r="BI11" s="322">
        <f>'P NP TAMBAK IKAN'!$N36</f>
        <v>0</v>
      </c>
      <c r="BJ11" s="322">
        <f>'P NP TAMBAK IKAN'!$M37</f>
        <v>0</v>
      </c>
      <c r="BK11" s="322">
        <f>'P NP TAMBAK IKAN'!$N37</f>
        <v>0</v>
      </c>
      <c r="BL11" s="322">
        <f>'P NP TAMBAK IKAN'!$M38</f>
        <v>0</v>
      </c>
      <c r="BM11" s="322">
        <f>'P NP TAMBAK IKAN'!$N38</f>
        <v>0</v>
      </c>
      <c r="BN11" s="322">
        <f>'P NP TAMBAK IKAN'!$M39</f>
        <v>0</v>
      </c>
      <c r="BO11" s="322">
        <f>'P NP TAMBAK IKAN'!$N39</f>
        <v>0</v>
      </c>
      <c r="BP11" s="322">
        <f>'P NP TAMBAK IKAN'!$M40</f>
        <v>2416044.9115045071</v>
      </c>
      <c r="BQ11" s="322">
        <f>'P NP TAMBAK IKAN'!$N40</f>
        <v>9645718.538235195</v>
      </c>
      <c r="BR11" s="322">
        <f>'P NP TAMBAK IKAN'!$M41</f>
        <v>0</v>
      </c>
      <c r="BS11" s="322">
        <f>'P NP TAMBAK IKAN'!$N41</f>
        <v>0</v>
      </c>
      <c r="BT11" s="322">
        <f>'P NP TAMBAK IKAN'!$M42</f>
        <v>0</v>
      </c>
      <c r="BU11" s="322">
        <f>'P NP TAMBAK IKAN'!$N42</f>
        <v>0</v>
      </c>
      <c r="BV11" s="322">
        <f>'P NP TAMBAK IKAN'!$M43</f>
        <v>0</v>
      </c>
      <c r="BW11" s="322">
        <f>'P NP TAMBAK IKAN'!$N43</f>
        <v>0</v>
      </c>
      <c r="BX11" s="322">
        <f>'P NP TAMBAK IKAN'!$M44</f>
        <v>0</v>
      </c>
      <c r="BY11" s="322">
        <f>'P NP TAMBAK IKAN'!$N44</f>
        <v>0</v>
      </c>
      <c r="CA11" s="322">
        <f t="shared" si="5"/>
        <v>82445960.751360208</v>
      </c>
      <c r="CB11" s="322">
        <f t="shared" ca="1" si="6"/>
        <v>32548315.85566283</v>
      </c>
    </row>
    <row r="12" spans="1:80">
      <c r="A12" s="260" t="s">
        <v>120</v>
      </c>
      <c r="B12" s="320">
        <f t="shared" si="3"/>
        <v>3938067.9328566571</v>
      </c>
      <c r="C12" s="320">
        <f t="shared" si="4"/>
        <v>235205864.45300001</v>
      </c>
      <c r="D12" s="322">
        <f>'P NP TAMBAK IKAN'!O8</f>
        <v>45890.414057510257</v>
      </c>
      <c r="E12" s="322">
        <f>'P NP TAMBAK IKAN'!P8</f>
        <v>898038.451</v>
      </c>
      <c r="F12" s="322">
        <f>'P NP TAMBAK IKAN'!O9</f>
        <v>0</v>
      </c>
      <c r="G12" s="322">
        <f>'P NP TAMBAK IKAN'!P9</f>
        <v>0</v>
      </c>
      <c r="H12" s="322">
        <f>'P NP TAMBAK IKAN'!O10</f>
        <v>0</v>
      </c>
      <c r="I12" s="322">
        <f>'P NP TAMBAK IKAN'!P10</f>
        <v>0</v>
      </c>
      <c r="J12" s="322">
        <f>'P NP TAMBAK IKAN'!O11</f>
        <v>0</v>
      </c>
      <c r="K12" s="322">
        <f>'P NP TAMBAK IKAN'!P11</f>
        <v>0</v>
      </c>
      <c r="L12" s="322">
        <f>'P NP TAMBAK IKAN'!O12</f>
        <v>0</v>
      </c>
      <c r="M12" s="322">
        <f>'P NP TAMBAK IKAN'!P12</f>
        <v>0</v>
      </c>
      <c r="N12" s="322">
        <f>'P NP TAMBAK IKAN'!O13</f>
        <v>0</v>
      </c>
      <c r="O12" s="322">
        <f>'P NP TAMBAK IKAN'!P13</f>
        <v>0</v>
      </c>
      <c r="P12" s="322">
        <f>'P NP TAMBAK IKAN'!O14</f>
        <v>0</v>
      </c>
      <c r="Q12" s="322">
        <f>'P NP TAMBAK IKAN'!P14</f>
        <v>0</v>
      </c>
      <c r="R12" s="322">
        <f>'P NP TAMBAK IKAN'!O15</f>
        <v>0</v>
      </c>
      <c r="S12" s="322">
        <f>'P NP TAMBAK IKAN'!P15</f>
        <v>0</v>
      </c>
      <c r="T12" s="322">
        <f>'P NP TAMBAK IKAN'!O16</f>
        <v>0</v>
      </c>
      <c r="U12" s="322">
        <f>'P NP TAMBAK IKAN'!P16</f>
        <v>0</v>
      </c>
      <c r="V12" s="322">
        <f>'P NP TAMBAK IKAN'!O17</f>
        <v>0</v>
      </c>
      <c r="W12" s="322">
        <f>'P NP TAMBAK IKAN'!P17</f>
        <v>0</v>
      </c>
      <c r="X12" s="322">
        <f>'P NP TAMBAK IKAN'!O18</f>
        <v>0</v>
      </c>
      <c r="Y12" s="322">
        <f>'P NP TAMBAK IKAN'!P18</f>
        <v>0</v>
      </c>
      <c r="Z12" s="322">
        <f>'P NP TAMBAK IKAN'!O19</f>
        <v>0</v>
      </c>
      <c r="AA12" s="322">
        <f>'P NP TAMBAK IKAN'!P19</f>
        <v>0</v>
      </c>
      <c r="AB12" s="322">
        <f>'P NP TAMBAK IKAN'!O20</f>
        <v>0</v>
      </c>
      <c r="AC12" s="322">
        <f>'P NP TAMBAK IKAN'!P20</f>
        <v>0</v>
      </c>
      <c r="AD12" s="322">
        <f>'P NP TAMBAK IKAN'!O21</f>
        <v>0</v>
      </c>
      <c r="AE12" s="322">
        <f>'P NP TAMBAK IKAN'!P21</f>
        <v>0</v>
      </c>
      <c r="AF12" s="322">
        <f>'P NP TAMBAK IKAN'!O22</f>
        <v>0</v>
      </c>
      <c r="AG12" s="322">
        <f>'P NP TAMBAK IKAN'!P22</f>
        <v>0</v>
      </c>
      <c r="AH12" s="322">
        <f>'P NP TAMBAK IKAN'!O23</f>
        <v>0</v>
      </c>
      <c r="AI12" s="322">
        <f>'P NP TAMBAK IKAN'!P23</f>
        <v>0</v>
      </c>
      <c r="AJ12" s="322">
        <f>'P NP TAMBAK IKAN'!O24</f>
        <v>0</v>
      </c>
      <c r="AK12" s="322">
        <f>'P NP TAMBAK IKAN'!P24</f>
        <v>0</v>
      </c>
      <c r="AL12" s="322">
        <f>'P NP TAMBAK IKAN'!O25</f>
        <v>0</v>
      </c>
      <c r="AM12" s="322">
        <f>'P NP TAMBAK IKAN'!P25</f>
        <v>0</v>
      </c>
      <c r="AN12" s="322">
        <f>'P NP TAMBAK IKAN'!O26</f>
        <v>0</v>
      </c>
      <c r="AO12" s="322">
        <f>'P NP TAMBAK IKAN'!P26</f>
        <v>0</v>
      </c>
      <c r="AP12" s="322">
        <f>'P NP TAMBAK IKAN'!O27</f>
        <v>0</v>
      </c>
      <c r="AQ12" s="322">
        <f>'P NP TAMBAK IKAN'!P27</f>
        <v>0</v>
      </c>
      <c r="AR12" s="322">
        <f>'P NP TAMBAK IKAN'!O28</f>
        <v>0</v>
      </c>
      <c r="AS12" s="322">
        <f>'P NP TAMBAK IKAN'!P28</f>
        <v>0</v>
      </c>
      <c r="AT12" s="322">
        <f>'P NP TAMBAK IKAN'!O29</f>
        <v>0</v>
      </c>
      <c r="AU12" s="322">
        <f>'P NP TAMBAK IKAN'!P29</f>
        <v>0</v>
      </c>
      <c r="AV12" s="322">
        <f>'P NP TAMBAK IKAN'!O30</f>
        <v>0</v>
      </c>
      <c r="AW12" s="322">
        <f>'P NP TAMBAK IKAN'!P30</f>
        <v>0</v>
      </c>
      <c r="AX12" s="322">
        <f>'P NP TAMBAK IKAN'!O31</f>
        <v>0</v>
      </c>
      <c r="AY12" s="322">
        <f>'P NP TAMBAK IKAN'!P31</f>
        <v>0</v>
      </c>
      <c r="AZ12" s="322">
        <f>'P NP TAMBAK IKAN'!O32</f>
        <v>0</v>
      </c>
      <c r="BA12" s="322">
        <f>'P NP TAMBAK IKAN'!P32</f>
        <v>0</v>
      </c>
      <c r="BB12" s="322">
        <f>'P NP TAMBAK IKAN'!O33</f>
        <v>3892177.5187991466</v>
      </c>
      <c r="BC12" s="322">
        <f>'P NP TAMBAK IKAN'!P33</f>
        <v>234307826.002</v>
      </c>
      <c r="BD12" s="322">
        <f>'P NP TAMBAK IKAN'!O34</f>
        <v>0</v>
      </c>
      <c r="BE12" s="322">
        <f>'P NP TAMBAK IKAN'!P34</f>
        <v>0</v>
      </c>
      <c r="BF12" s="322">
        <f>'P NP TAMBAK IKAN'!O43</f>
        <v>0</v>
      </c>
      <c r="BG12" s="322">
        <f>'P NP TAMBAK IKAN'!P43</f>
        <v>0</v>
      </c>
      <c r="BH12" s="322">
        <f>'P NP TAMBAK IKAN'!O44</f>
        <v>0</v>
      </c>
      <c r="BI12" s="322">
        <f>'P NP TAMBAK IKAN'!P44</f>
        <v>0</v>
      </c>
      <c r="BJ12" s="322">
        <f>'P NP TAMBAK IKAN'!C51</f>
        <v>0</v>
      </c>
      <c r="BK12" s="322">
        <f>'P NP TAMBAK IKAN'!D51</f>
        <v>0</v>
      </c>
      <c r="BL12" s="322">
        <f>'P NP TAMBAK IKAN'!C52</f>
        <v>0</v>
      </c>
      <c r="BM12" s="322">
        <f>'P NP TAMBAK IKAN'!D52</f>
        <v>0</v>
      </c>
      <c r="BN12" s="322">
        <f>'P NP TAMBAK IKAN'!C53</f>
        <v>0</v>
      </c>
      <c r="BO12" s="322">
        <f>'P NP TAMBAK IKAN'!D53</f>
        <v>0</v>
      </c>
      <c r="BP12" s="322">
        <f>'P NP TAMBAK IKAN'!C54</f>
        <v>0</v>
      </c>
      <c r="BQ12" s="322">
        <f>'P NP TAMBAK IKAN'!D54</f>
        <v>0</v>
      </c>
      <c r="BR12" s="322">
        <f>'P NP TAMBAK IKAN'!C55</f>
        <v>0</v>
      </c>
      <c r="BS12" s="322">
        <f>'P NP TAMBAK IKAN'!D55</f>
        <v>0</v>
      </c>
      <c r="BT12" s="322">
        <f>'P NP TAMBAK IKAN'!C56</f>
        <v>0</v>
      </c>
      <c r="BU12" s="322">
        <f>'P NP TAMBAK IKAN'!D56</f>
        <v>0</v>
      </c>
      <c r="BV12" s="322">
        <f>'P NP TAMBAK IKAN'!C57</f>
        <v>0</v>
      </c>
      <c r="BW12" s="322">
        <f>'P NP TAMBAK IKAN'!D57</f>
        <v>0</v>
      </c>
      <c r="BX12" s="322">
        <f>'P NP TAMBAK IKAN'!C58</f>
        <v>0</v>
      </c>
      <c r="BY12" s="322">
        <f>'P NP TAMBAK IKAN'!D58</f>
        <v>0</v>
      </c>
      <c r="CA12" s="322">
        <f t="shared" si="5"/>
        <v>3938067.9328566571</v>
      </c>
      <c r="CB12" s="322">
        <f t="shared" ca="1" si="6"/>
        <v>3892177.5187991466</v>
      </c>
    </row>
    <row r="13" spans="1:80">
      <c r="A13" s="260" t="s">
        <v>128</v>
      </c>
      <c r="B13" s="320">
        <f t="shared" si="3"/>
        <v>0</v>
      </c>
      <c r="C13" s="320">
        <f t="shared" si="4"/>
        <v>0</v>
      </c>
      <c r="D13" s="322">
        <f>'P NP TAMBAK IKAN'!Q8</f>
        <v>0</v>
      </c>
      <c r="E13" s="322">
        <f>'P NP TAMBAK IKAN'!R8</f>
        <v>0</v>
      </c>
      <c r="F13" s="322">
        <f>'P NP TAMBAK IKAN'!Q9</f>
        <v>0</v>
      </c>
      <c r="G13" s="322">
        <f>'P NP TAMBAK IKAN'!R9</f>
        <v>0</v>
      </c>
      <c r="H13" s="322">
        <f>'P NP TAMBAK IKAN'!Q10</f>
        <v>0</v>
      </c>
      <c r="I13" s="322">
        <f>'P NP TAMBAK IKAN'!R10</f>
        <v>0</v>
      </c>
      <c r="J13" s="322">
        <f>'P NP TAMBAK IKAN'!Q11</f>
        <v>0</v>
      </c>
      <c r="K13" s="322">
        <f>'P NP TAMBAK IKAN'!R11</f>
        <v>0</v>
      </c>
      <c r="L13" s="322">
        <f>'P NP TAMBAK IKAN'!Q12</f>
        <v>0</v>
      </c>
      <c r="M13" s="322">
        <f>'P NP TAMBAK IKAN'!R12</f>
        <v>0</v>
      </c>
      <c r="N13" s="322">
        <f>'P NP TAMBAK IKAN'!Q13</f>
        <v>0</v>
      </c>
      <c r="O13" s="322">
        <f>'P NP TAMBAK IKAN'!R13</f>
        <v>0</v>
      </c>
      <c r="P13" s="322">
        <f>'P NP TAMBAK IKAN'!Q14</f>
        <v>0</v>
      </c>
      <c r="Q13" s="322">
        <f>'P NP TAMBAK IKAN'!R14</f>
        <v>0</v>
      </c>
      <c r="R13" s="322">
        <f>'P NP TAMBAK IKAN'!Q15</f>
        <v>0</v>
      </c>
      <c r="S13" s="322">
        <f>'P NP TAMBAK IKAN'!R15</f>
        <v>0</v>
      </c>
      <c r="T13" s="322">
        <f>'P NP TAMBAK IKAN'!Q16</f>
        <v>0</v>
      </c>
      <c r="U13" s="322">
        <f>'P NP TAMBAK IKAN'!R16</f>
        <v>0</v>
      </c>
      <c r="V13" s="322">
        <f>'P NP TAMBAK IKAN'!Q17</f>
        <v>0</v>
      </c>
      <c r="W13" s="322">
        <f>'P NP TAMBAK IKAN'!R17</f>
        <v>0</v>
      </c>
      <c r="X13" s="322">
        <f>'P NP TAMBAK IKAN'!Q18</f>
        <v>0</v>
      </c>
      <c r="Y13" s="322">
        <f>'P NP TAMBAK IKAN'!R18</f>
        <v>0</v>
      </c>
      <c r="Z13" s="322">
        <f>'P NP TAMBAK IKAN'!Q19</f>
        <v>0</v>
      </c>
      <c r="AA13" s="322">
        <f>'P NP TAMBAK IKAN'!R19</f>
        <v>0</v>
      </c>
      <c r="AB13" s="322">
        <f>'P NP TAMBAK IKAN'!Q20</f>
        <v>0</v>
      </c>
      <c r="AC13" s="322">
        <f>'P NP TAMBAK IKAN'!R20</f>
        <v>0</v>
      </c>
      <c r="AD13" s="322">
        <f>'P NP TAMBAK IKAN'!Q21</f>
        <v>0</v>
      </c>
      <c r="AE13" s="322">
        <f>'P NP TAMBAK IKAN'!R21</f>
        <v>0</v>
      </c>
      <c r="AF13" s="322">
        <f>'P NP TAMBAK IKAN'!Q22</f>
        <v>0</v>
      </c>
      <c r="AG13" s="322">
        <f>'P NP TAMBAK IKAN'!R22</f>
        <v>0</v>
      </c>
      <c r="AH13" s="322">
        <f>'P NP TAMBAK IKAN'!Q23</f>
        <v>0</v>
      </c>
      <c r="AI13" s="322">
        <f>'P NP TAMBAK IKAN'!R23</f>
        <v>0</v>
      </c>
      <c r="AJ13" s="322">
        <f>'P NP TAMBAK IKAN'!Q24</f>
        <v>0</v>
      </c>
      <c r="AK13" s="322">
        <f>'P NP TAMBAK IKAN'!R24</f>
        <v>0</v>
      </c>
      <c r="AL13" s="322">
        <f>'P NP TAMBAK IKAN'!Q25</f>
        <v>0</v>
      </c>
      <c r="AM13" s="322">
        <f>'P NP TAMBAK IKAN'!R25</f>
        <v>0</v>
      </c>
      <c r="AN13" s="322">
        <f>'P NP TAMBAK IKAN'!Q26</f>
        <v>0</v>
      </c>
      <c r="AO13" s="322">
        <f>'P NP TAMBAK IKAN'!R26</f>
        <v>0</v>
      </c>
      <c r="AP13" s="322">
        <f>'P NP TAMBAK IKAN'!Q27</f>
        <v>0</v>
      </c>
      <c r="AQ13" s="322">
        <f>'P NP TAMBAK IKAN'!R27</f>
        <v>0</v>
      </c>
      <c r="AR13" s="322">
        <f>'P NP TAMBAK IKAN'!Q28</f>
        <v>0</v>
      </c>
      <c r="AS13" s="322">
        <f>'P NP TAMBAK IKAN'!R28</f>
        <v>0</v>
      </c>
      <c r="AT13" s="322">
        <f>'P NP TAMBAK IKAN'!Q29</f>
        <v>0</v>
      </c>
      <c r="AU13" s="322">
        <f>'P NP TAMBAK IKAN'!R29</f>
        <v>0</v>
      </c>
      <c r="AV13" s="322">
        <f>'P NP TAMBAK IKAN'!Q30</f>
        <v>0</v>
      </c>
      <c r="AW13" s="322">
        <f>'P NP TAMBAK IKAN'!R30</f>
        <v>0</v>
      </c>
      <c r="AX13" s="322">
        <f>'P NP TAMBAK IKAN'!Q31</f>
        <v>0</v>
      </c>
      <c r="AY13" s="322">
        <f>'P NP TAMBAK IKAN'!R31</f>
        <v>0</v>
      </c>
      <c r="AZ13" s="322">
        <f>'P NP TAMBAK IKAN'!Q32</f>
        <v>0</v>
      </c>
      <c r="BA13" s="322">
        <f>'P NP TAMBAK IKAN'!R32</f>
        <v>0</v>
      </c>
      <c r="BB13" s="322">
        <f>'P NP TAMBAK IKAN'!Q33</f>
        <v>0</v>
      </c>
      <c r="BC13" s="322">
        <f>'P NP TAMBAK IKAN'!R33</f>
        <v>0</v>
      </c>
      <c r="BD13" s="322">
        <f>'P NP TAMBAK IKAN'!Q34</f>
        <v>0</v>
      </c>
      <c r="BE13" s="322">
        <f>'P NP TAMBAK IKAN'!R34</f>
        <v>0</v>
      </c>
      <c r="BF13" s="322">
        <f>'P NP TAMBAK IKAN'!Q43</f>
        <v>0</v>
      </c>
      <c r="BG13" s="322">
        <f>'P NP TAMBAK IKAN'!R43</f>
        <v>0</v>
      </c>
      <c r="BH13" s="322">
        <f>'P NP TAMBAK IKAN'!Q44</f>
        <v>0</v>
      </c>
      <c r="BI13" s="322">
        <f>'P NP TAMBAK IKAN'!R44</f>
        <v>0</v>
      </c>
      <c r="BJ13" s="322">
        <f>'P NP TAMBAK IKAN'!C52</f>
        <v>0</v>
      </c>
      <c r="BK13" s="322">
        <f>'P NP TAMBAK IKAN'!D52</f>
        <v>0</v>
      </c>
      <c r="BL13" s="322">
        <f>'P NP TAMBAK IKAN'!C53</f>
        <v>0</v>
      </c>
      <c r="BM13" s="322">
        <f>'P NP TAMBAK IKAN'!D53</f>
        <v>0</v>
      </c>
      <c r="BN13" s="322">
        <f>'P NP TAMBAK IKAN'!C54</f>
        <v>0</v>
      </c>
      <c r="BO13" s="322">
        <f>'P NP TAMBAK IKAN'!D54</f>
        <v>0</v>
      </c>
      <c r="BP13" s="322">
        <f>'P NP TAMBAK IKAN'!C55</f>
        <v>0</v>
      </c>
      <c r="BQ13" s="322">
        <f>'P NP TAMBAK IKAN'!D55</f>
        <v>0</v>
      </c>
      <c r="BR13" s="322">
        <f>'P NP TAMBAK IKAN'!C56</f>
        <v>0</v>
      </c>
      <c r="BS13" s="322">
        <f>'P NP TAMBAK IKAN'!D56</f>
        <v>0</v>
      </c>
      <c r="BT13" s="322">
        <f>'P NP TAMBAK IKAN'!C57</f>
        <v>0</v>
      </c>
      <c r="BU13" s="322">
        <f>'P NP TAMBAK IKAN'!D57</f>
        <v>0</v>
      </c>
      <c r="BV13" s="322">
        <f>'P NP TAMBAK IKAN'!C58</f>
        <v>0</v>
      </c>
      <c r="BW13" s="322">
        <f>'P NP TAMBAK IKAN'!D58</f>
        <v>0</v>
      </c>
      <c r="BX13" s="322">
        <f>'P NP TAMBAK IKAN'!C59</f>
        <v>0</v>
      </c>
      <c r="BY13" s="322">
        <f>'P NP TAMBAK IKAN'!D59</f>
        <v>0</v>
      </c>
      <c r="CA13" s="322">
        <f t="shared" si="5"/>
        <v>0</v>
      </c>
      <c r="CB13" s="322">
        <f t="shared" ca="1" si="6"/>
        <v>0</v>
      </c>
    </row>
    <row r="14" spans="1:80">
      <c r="A14" s="260" t="s">
        <v>117</v>
      </c>
      <c r="B14" s="320">
        <f t="shared" si="3"/>
        <v>0</v>
      </c>
      <c r="C14" s="320">
        <f t="shared" si="4"/>
        <v>0</v>
      </c>
      <c r="D14" s="322">
        <f>'P NP TAMBAK IKAN'!S8</f>
        <v>0</v>
      </c>
      <c r="E14" s="322">
        <f>'P NP TAMBAK IKAN'!T8</f>
        <v>0</v>
      </c>
      <c r="F14" s="322">
        <f>'P NP TAMBAK IKAN'!S9</f>
        <v>0</v>
      </c>
      <c r="G14" s="322">
        <f>'P NP TAMBAK IKAN'!T9</f>
        <v>0</v>
      </c>
      <c r="H14" s="322">
        <f>'P NP TAMBAK IKAN'!S10</f>
        <v>0</v>
      </c>
      <c r="I14" s="322">
        <f>'P NP TAMBAK IKAN'!T10</f>
        <v>0</v>
      </c>
      <c r="J14" s="322">
        <f>'P NP TAMBAK IKAN'!S11</f>
        <v>0</v>
      </c>
      <c r="K14" s="322">
        <f>'P NP TAMBAK IKAN'!T11</f>
        <v>0</v>
      </c>
      <c r="L14" s="322">
        <f>'P NP TAMBAK IKAN'!S12</f>
        <v>0</v>
      </c>
      <c r="M14" s="322">
        <f>'P NP TAMBAK IKAN'!T12</f>
        <v>0</v>
      </c>
      <c r="N14" s="322">
        <f>'P NP TAMBAK IKAN'!S13</f>
        <v>0</v>
      </c>
      <c r="O14" s="322">
        <f>'P NP TAMBAK IKAN'!T13</f>
        <v>0</v>
      </c>
      <c r="P14" s="322">
        <f>'P NP TAMBAK IKAN'!S14</f>
        <v>0</v>
      </c>
      <c r="Q14" s="322">
        <f>'P NP TAMBAK IKAN'!T14</f>
        <v>0</v>
      </c>
      <c r="R14" s="322">
        <f>'P NP TAMBAK IKAN'!S15</f>
        <v>0</v>
      </c>
      <c r="S14" s="322">
        <f>'P NP TAMBAK IKAN'!T15</f>
        <v>0</v>
      </c>
      <c r="T14" s="322">
        <f>'P NP TAMBAK IKAN'!S16</f>
        <v>0</v>
      </c>
      <c r="U14" s="322">
        <f>'P NP TAMBAK IKAN'!T16</f>
        <v>0</v>
      </c>
      <c r="V14" s="322">
        <f>'P NP TAMBAK IKAN'!S17</f>
        <v>0</v>
      </c>
      <c r="W14" s="322">
        <f>'P NP TAMBAK IKAN'!T17</f>
        <v>0</v>
      </c>
      <c r="X14" s="322">
        <f>'P NP TAMBAK IKAN'!S18</f>
        <v>0</v>
      </c>
      <c r="Y14" s="322">
        <f>'P NP TAMBAK IKAN'!T18</f>
        <v>0</v>
      </c>
      <c r="Z14" s="322">
        <f>'P NP TAMBAK IKAN'!S19</f>
        <v>0</v>
      </c>
      <c r="AA14" s="322">
        <f>'P NP TAMBAK IKAN'!T19</f>
        <v>0</v>
      </c>
      <c r="AB14" s="322">
        <f>'P NP TAMBAK IKAN'!S20</f>
        <v>0</v>
      </c>
      <c r="AC14" s="322">
        <f>'P NP TAMBAK IKAN'!T20</f>
        <v>0</v>
      </c>
      <c r="AD14" s="322">
        <f>'P NP TAMBAK IKAN'!S21</f>
        <v>0</v>
      </c>
      <c r="AE14" s="322">
        <f>'P NP TAMBAK IKAN'!T21</f>
        <v>0</v>
      </c>
      <c r="AF14" s="322">
        <f>'P NP TAMBAK IKAN'!S22</f>
        <v>0</v>
      </c>
      <c r="AG14" s="322">
        <f>'P NP TAMBAK IKAN'!T22</f>
        <v>0</v>
      </c>
      <c r="AH14" s="322">
        <f>'P NP TAMBAK IKAN'!S23</f>
        <v>0</v>
      </c>
      <c r="AI14" s="322">
        <f>'P NP TAMBAK IKAN'!T23</f>
        <v>0</v>
      </c>
      <c r="AJ14" s="322">
        <f>'P NP TAMBAK IKAN'!S24</f>
        <v>0</v>
      </c>
      <c r="AK14" s="322">
        <f>'P NP TAMBAK IKAN'!T24</f>
        <v>0</v>
      </c>
      <c r="AL14" s="322">
        <f>'P NP TAMBAK IKAN'!S25</f>
        <v>0</v>
      </c>
      <c r="AM14" s="322">
        <f>'P NP TAMBAK IKAN'!T25</f>
        <v>0</v>
      </c>
      <c r="AN14" s="322">
        <f>'P NP TAMBAK IKAN'!S26</f>
        <v>0</v>
      </c>
      <c r="AO14" s="322">
        <f>'P NP TAMBAK IKAN'!T26</f>
        <v>0</v>
      </c>
      <c r="AP14" s="322">
        <f>'P NP TAMBAK IKAN'!S27</f>
        <v>0</v>
      </c>
      <c r="AQ14" s="322">
        <f>'P NP TAMBAK IKAN'!T27</f>
        <v>0</v>
      </c>
      <c r="AR14" s="322">
        <f>'P NP TAMBAK IKAN'!S28</f>
        <v>0</v>
      </c>
      <c r="AS14" s="322">
        <f>'P NP TAMBAK IKAN'!T28</f>
        <v>0</v>
      </c>
      <c r="AT14" s="322">
        <f>'P NP TAMBAK IKAN'!S29</f>
        <v>0</v>
      </c>
      <c r="AU14" s="322">
        <f>'P NP TAMBAK IKAN'!T29</f>
        <v>0</v>
      </c>
      <c r="AV14" s="322">
        <f>'P NP TAMBAK IKAN'!S30</f>
        <v>0</v>
      </c>
      <c r="AW14" s="322">
        <f>'P NP TAMBAK IKAN'!T30</f>
        <v>0</v>
      </c>
      <c r="AX14" s="322">
        <f>'P NP TAMBAK IKAN'!S31</f>
        <v>0</v>
      </c>
      <c r="AY14" s="322">
        <f>'P NP TAMBAK IKAN'!T31</f>
        <v>0</v>
      </c>
      <c r="AZ14" s="322">
        <f>'P NP TAMBAK IKAN'!S32</f>
        <v>0</v>
      </c>
      <c r="BA14" s="322">
        <f>'P NP TAMBAK IKAN'!T32</f>
        <v>0</v>
      </c>
      <c r="BB14" s="322">
        <f>'P NP TAMBAK IKAN'!S33</f>
        <v>0</v>
      </c>
      <c r="BC14" s="322">
        <f>'P NP TAMBAK IKAN'!T33</f>
        <v>0</v>
      </c>
      <c r="BD14" s="322">
        <f>'P NP TAMBAK IKAN'!S34</f>
        <v>0</v>
      </c>
      <c r="BE14" s="322">
        <f>'P NP TAMBAK IKAN'!T34</f>
        <v>0</v>
      </c>
      <c r="BF14" s="322">
        <f>'P NP TAMBAK IKAN'!S43</f>
        <v>0</v>
      </c>
      <c r="BG14" s="322">
        <f>'P NP TAMBAK IKAN'!T43</f>
        <v>0</v>
      </c>
      <c r="BH14" s="322">
        <f>'P NP TAMBAK IKAN'!S44</f>
        <v>0</v>
      </c>
      <c r="BI14" s="322">
        <f>'P NP TAMBAK IKAN'!T44</f>
        <v>0</v>
      </c>
      <c r="BJ14" s="322">
        <f>'P NP TAMBAK IKAN'!C53</f>
        <v>0</v>
      </c>
      <c r="BK14" s="322">
        <f>'P NP TAMBAK IKAN'!D53</f>
        <v>0</v>
      </c>
      <c r="BL14" s="322">
        <f>'P NP TAMBAK IKAN'!C54</f>
        <v>0</v>
      </c>
      <c r="BM14" s="322">
        <f>'P NP TAMBAK IKAN'!D54</f>
        <v>0</v>
      </c>
      <c r="BN14" s="322">
        <f>'P NP TAMBAK IKAN'!C55</f>
        <v>0</v>
      </c>
      <c r="BO14" s="322">
        <f>'P NP TAMBAK IKAN'!D55</f>
        <v>0</v>
      </c>
      <c r="BP14" s="322">
        <f>'P NP TAMBAK IKAN'!C56</f>
        <v>0</v>
      </c>
      <c r="BQ14" s="322">
        <f>'P NP TAMBAK IKAN'!D56</f>
        <v>0</v>
      </c>
      <c r="BR14" s="322">
        <f>'P NP TAMBAK IKAN'!C57</f>
        <v>0</v>
      </c>
      <c r="BS14" s="322">
        <f>'P NP TAMBAK IKAN'!D57</f>
        <v>0</v>
      </c>
      <c r="BT14" s="322">
        <f>'P NP TAMBAK IKAN'!C58</f>
        <v>0</v>
      </c>
      <c r="BU14" s="322">
        <f>'P NP TAMBAK IKAN'!D58</f>
        <v>0</v>
      </c>
      <c r="BV14" s="322">
        <f>'P NP TAMBAK IKAN'!C59</f>
        <v>0</v>
      </c>
      <c r="BW14" s="322">
        <f>'P NP TAMBAK IKAN'!D59</f>
        <v>0</v>
      </c>
      <c r="BX14" s="322">
        <f>'P NP TAMBAK IKAN'!C60</f>
        <v>0</v>
      </c>
      <c r="BY14" s="322">
        <f>'P NP TAMBAK IKAN'!D60</f>
        <v>0</v>
      </c>
      <c r="CA14" s="322">
        <f t="shared" si="5"/>
        <v>0</v>
      </c>
      <c r="CB14" s="322">
        <f t="shared" ca="1" si="6"/>
        <v>0</v>
      </c>
    </row>
    <row r="15" spans="1:80">
      <c r="A15" s="260" t="s">
        <v>135</v>
      </c>
      <c r="B15" s="320">
        <f t="shared" si="3"/>
        <v>4881277</v>
      </c>
      <c r="C15" s="320">
        <f t="shared" si="4"/>
        <v>296519672</v>
      </c>
      <c r="D15" s="322">
        <f>'P NP TAMBAK IKAN'!U8</f>
        <v>518236</v>
      </c>
      <c r="E15" s="322">
        <f>'P NP TAMBAK IKAN'!V8</f>
        <v>10872286</v>
      </c>
      <c r="F15" s="322">
        <f>'P NP TAMBAK IKAN'!U9</f>
        <v>0</v>
      </c>
      <c r="G15" s="322">
        <f>'P NP TAMBAK IKAN'!V9</f>
        <v>0</v>
      </c>
      <c r="H15" s="322">
        <f>'P NP TAMBAK IKAN'!U10</f>
        <v>0</v>
      </c>
      <c r="I15" s="322">
        <f>'P NP TAMBAK IKAN'!V10</f>
        <v>0</v>
      </c>
      <c r="J15" s="322">
        <f>'P NP TAMBAK IKAN'!U11</f>
        <v>0</v>
      </c>
      <c r="K15" s="322">
        <f>'P NP TAMBAK IKAN'!V11</f>
        <v>0</v>
      </c>
      <c r="L15" s="322">
        <f>'P NP TAMBAK IKAN'!U12</f>
        <v>0</v>
      </c>
      <c r="M15" s="322">
        <f>'P NP TAMBAK IKAN'!V12</f>
        <v>0</v>
      </c>
      <c r="N15" s="322">
        <f>'P NP TAMBAK IKAN'!U13</f>
        <v>0</v>
      </c>
      <c r="O15" s="322">
        <f>'P NP TAMBAK IKAN'!V13</f>
        <v>0</v>
      </c>
      <c r="P15" s="322">
        <f>'P NP TAMBAK IKAN'!U14</f>
        <v>0</v>
      </c>
      <c r="Q15" s="322">
        <f>'P NP TAMBAK IKAN'!V14</f>
        <v>0</v>
      </c>
      <c r="R15" s="322">
        <f>'P NP TAMBAK IKAN'!U15</f>
        <v>0</v>
      </c>
      <c r="S15" s="322">
        <f>'P NP TAMBAK IKAN'!V15</f>
        <v>0</v>
      </c>
      <c r="T15" s="322">
        <f>'P NP TAMBAK IKAN'!U16</f>
        <v>0</v>
      </c>
      <c r="U15" s="322">
        <f>'P NP TAMBAK IKAN'!V16</f>
        <v>0</v>
      </c>
      <c r="V15" s="322">
        <f>'P NP TAMBAK IKAN'!U17</f>
        <v>0</v>
      </c>
      <c r="W15" s="322">
        <f>'P NP TAMBAK IKAN'!V17</f>
        <v>0</v>
      </c>
      <c r="X15" s="322">
        <f>'P NP TAMBAK IKAN'!U18</f>
        <v>787166</v>
      </c>
      <c r="Y15" s="322">
        <f>'P NP TAMBAK IKAN'!V18</f>
        <v>69138805</v>
      </c>
      <c r="Z15" s="322">
        <f>'P NP TAMBAK IKAN'!U19</f>
        <v>1043452</v>
      </c>
      <c r="AA15" s="322">
        <f>'P NP TAMBAK IKAN'!V19</f>
        <v>104985910</v>
      </c>
      <c r="AB15" s="322">
        <f>'P NP TAMBAK IKAN'!U20</f>
        <v>0</v>
      </c>
      <c r="AC15" s="322">
        <f>'P NP TAMBAK IKAN'!V20</f>
        <v>0</v>
      </c>
      <c r="AD15" s="322">
        <f>'P NP TAMBAK IKAN'!U21</f>
        <v>0</v>
      </c>
      <c r="AE15" s="322">
        <f>'P NP TAMBAK IKAN'!V21</f>
        <v>0</v>
      </c>
      <c r="AF15" s="322">
        <f>'P NP TAMBAK IKAN'!U22</f>
        <v>0</v>
      </c>
      <c r="AG15" s="322">
        <f>'P NP TAMBAK IKAN'!V22</f>
        <v>0</v>
      </c>
      <c r="AH15" s="322">
        <f>'P NP TAMBAK IKAN'!U23</f>
        <v>0</v>
      </c>
      <c r="AI15" s="322">
        <f>'P NP TAMBAK IKAN'!V23</f>
        <v>0</v>
      </c>
      <c r="AJ15" s="322">
        <f>'P NP TAMBAK IKAN'!U24</f>
        <v>0</v>
      </c>
      <c r="AK15" s="322">
        <f>'P NP TAMBAK IKAN'!V24</f>
        <v>0</v>
      </c>
      <c r="AL15" s="322">
        <f>'P NP TAMBAK IKAN'!U25</f>
        <v>12017</v>
      </c>
      <c r="AM15" s="322">
        <f>'P NP TAMBAK IKAN'!V25</f>
        <v>60085</v>
      </c>
      <c r="AN15" s="322">
        <f>'P NP TAMBAK IKAN'!U26</f>
        <v>287982</v>
      </c>
      <c r="AO15" s="322">
        <f>'P NP TAMBAK IKAN'!V26</f>
        <v>6584664</v>
      </c>
      <c r="AP15" s="322">
        <f>'P NP TAMBAK IKAN'!U27</f>
        <v>0</v>
      </c>
      <c r="AQ15" s="322">
        <f>'P NP TAMBAK IKAN'!V27</f>
        <v>0</v>
      </c>
      <c r="AR15" s="322">
        <f>'P NP TAMBAK IKAN'!U28</f>
        <v>0</v>
      </c>
      <c r="AS15" s="322">
        <f>'P NP TAMBAK IKAN'!V28</f>
        <v>0</v>
      </c>
      <c r="AT15" s="322">
        <f>'P NP TAMBAK IKAN'!U29</f>
        <v>0</v>
      </c>
      <c r="AU15" s="322">
        <f>'P NP TAMBAK IKAN'!V29</f>
        <v>0</v>
      </c>
      <c r="AV15" s="322">
        <f>'P NP TAMBAK IKAN'!U30</f>
        <v>0</v>
      </c>
      <c r="AW15" s="322">
        <f>'P NP TAMBAK IKAN'!V30</f>
        <v>0</v>
      </c>
      <c r="AX15" s="322">
        <f>'P NP TAMBAK IKAN'!U31</f>
        <v>0</v>
      </c>
      <c r="AY15" s="322">
        <f>'P NP TAMBAK IKAN'!V31</f>
        <v>0</v>
      </c>
      <c r="AZ15" s="322">
        <f>'P NP TAMBAK IKAN'!U32</f>
        <v>0</v>
      </c>
      <c r="BA15" s="322">
        <f>'P NP TAMBAK IKAN'!V32</f>
        <v>0</v>
      </c>
      <c r="BB15" s="322">
        <f>'P NP TAMBAK IKAN'!U33</f>
        <v>2232424</v>
      </c>
      <c r="BC15" s="322">
        <f>'P NP TAMBAK IKAN'!V33</f>
        <v>104877922</v>
      </c>
      <c r="BD15" s="322">
        <f>'P NP TAMBAK IKAN'!U34</f>
        <v>0</v>
      </c>
      <c r="BE15" s="322">
        <f>'P NP TAMBAK IKAN'!V34</f>
        <v>0</v>
      </c>
      <c r="BF15" s="322">
        <f>'P NP TAMBAK IKAN'!U43</f>
        <v>0</v>
      </c>
      <c r="BG15" s="322">
        <f>'P NP TAMBAK IKAN'!V43</f>
        <v>0</v>
      </c>
      <c r="BH15" s="322">
        <f>'P NP TAMBAK IKAN'!U44</f>
        <v>0</v>
      </c>
      <c r="BI15" s="322">
        <f>'P NP TAMBAK IKAN'!V44</f>
        <v>0</v>
      </c>
      <c r="BJ15" s="322">
        <f>'P NP TAMBAK IKAN'!C54</f>
        <v>0</v>
      </c>
      <c r="BK15" s="322">
        <f>'P NP TAMBAK IKAN'!D54</f>
        <v>0</v>
      </c>
      <c r="BL15" s="322">
        <f>'P NP TAMBAK IKAN'!C55</f>
        <v>0</v>
      </c>
      <c r="BM15" s="322">
        <f>'P NP TAMBAK IKAN'!D55</f>
        <v>0</v>
      </c>
      <c r="BN15" s="322">
        <f>'P NP TAMBAK IKAN'!C56</f>
        <v>0</v>
      </c>
      <c r="BO15" s="322">
        <f>'P NP TAMBAK IKAN'!D56</f>
        <v>0</v>
      </c>
      <c r="BP15" s="322">
        <f>'P NP TAMBAK IKAN'!C57</f>
        <v>0</v>
      </c>
      <c r="BQ15" s="322">
        <f>'P NP TAMBAK IKAN'!D57</f>
        <v>0</v>
      </c>
      <c r="BR15" s="322">
        <f>'P NP TAMBAK IKAN'!C58</f>
        <v>0</v>
      </c>
      <c r="BS15" s="322">
        <f>'P NP TAMBAK IKAN'!D58</f>
        <v>0</v>
      </c>
      <c r="BT15" s="322">
        <f>'P NP TAMBAK IKAN'!C59</f>
        <v>0</v>
      </c>
      <c r="BU15" s="322">
        <f>'P NP TAMBAK IKAN'!D59</f>
        <v>0</v>
      </c>
      <c r="BV15" s="322">
        <f>'P NP TAMBAK IKAN'!C60</f>
        <v>0</v>
      </c>
      <c r="BW15" s="322">
        <f>'P NP TAMBAK IKAN'!D60</f>
        <v>0</v>
      </c>
      <c r="BX15" s="322">
        <f>'P NP TAMBAK IKAN'!C61</f>
        <v>0</v>
      </c>
      <c r="BY15" s="322">
        <f>'P NP TAMBAK IKAN'!D61</f>
        <v>0</v>
      </c>
      <c r="CA15" s="322">
        <f t="shared" si="5"/>
        <v>4881277</v>
      </c>
      <c r="CB15" s="322">
        <f t="shared" ca="1" si="6"/>
        <v>4363041</v>
      </c>
    </row>
    <row r="16" spans="1:80">
      <c r="A16" s="260" t="s">
        <v>119</v>
      </c>
      <c r="B16" s="320">
        <f t="shared" si="3"/>
        <v>1490000</v>
      </c>
      <c r="C16" s="320">
        <f t="shared" si="4"/>
        <v>89400000</v>
      </c>
      <c r="D16" s="322">
        <f>'P NP TAMBAK IKAN'!W8</f>
        <v>0</v>
      </c>
      <c r="E16" s="322">
        <f>'P NP TAMBAK IKAN'!X8</f>
        <v>0</v>
      </c>
      <c r="F16" s="322">
        <f>'P NP TAMBAK IKAN'!W9</f>
        <v>0</v>
      </c>
      <c r="G16" s="322">
        <f>'P NP TAMBAK IKAN'!X9</f>
        <v>0</v>
      </c>
      <c r="H16" s="322">
        <f>'P NP TAMBAK IKAN'!W10</f>
        <v>0</v>
      </c>
      <c r="I16" s="322">
        <f>'P NP TAMBAK IKAN'!X10</f>
        <v>0</v>
      </c>
      <c r="J16" s="322">
        <f>'P NP TAMBAK IKAN'!W11</f>
        <v>0</v>
      </c>
      <c r="K16" s="322">
        <f>'P NP TAMBAK IKAN'!X11</f>
        <v>0</v>
      </c>
      <c r="L16" s="322">
        <f>'P NP TAMBAK IKAN'!W12</f>
        <v>0</v>
      </c>
      <c r="M16" s="322">
        <f>'P NP TAMBAK IKAN'!X12</f>
        <v>0</v>
      </c>
      <c r="N16" s="322">
        <f>'P NP TAMBAK IKAN'!W13</f>
        <v>0</v>
      </c>
      <c r="O16" s="322">
        <f>'P NP TAMBAK IKAN'!X13</f>
        <v>0</v>
      </c>
      <c r="P16" s="322">
        <f>'P NP TAMBAK IKAN'!W14</f>
        <v>0</v>
      </c>
      <c r="Q16" s="322">
        <f>'P NP TAMBAK IKAN'!X14</f>
        <v>0</v>
      </c>
      <c r="R16" s="322">
        <f>'P NP TAMBAK IKAN'!W15</f>
        <v>0</v>
      </c>
      <c r="S16" s="322">
        <f>'P NP TAMBAK IKAN'!X15</f>
        <v>0</v>
      </c>
      <c r="T16" s="322">
        <f>'P NP TAMBAK IKAN'!W16</f>
        <v>0</v>
      </c>
      <c r="U16" s="322">
        <f>'P NP TAMBAK IKAN'!X16</f>
        <v>0</v>
      </c>
      <c r="V16" s="322">
        <f>'P NP TAMBAK IKAN'!W17</f>
        <v>0</v>
      </c>
      <c r="W16" s="322">
        <f>'P NP TAMBAK IKAN'!X17</f>
        <v>0</v>
      </c>
      <c r="X16" s="322">
        <f>'P NP TAMBAK IKAN'!W18</f>
        <v>0</v>
      </c>
      <c r="Y16" s="322">
        <f>'P NP TAMBAK IKAN'!X18</f>
        <v>0</v>
      </c>
      <c r="Z16" s="322">
        <f>'P NP TAMBAK IKAN'!W19</f>
        <v>0</v>
      </c>
      <c r="AA16" s="322">
        <f>'P NP TAMBAK IKAN'!X19</f>
        <v>0</v>
      </c>
      <c r="AB16" s="322">
        <f>'P NP TAMBAK IKAN'!W20</f>
        <v>0</v>
      </c>
      <c r="AC16" s="322">
        <f>'P NP TAMBAK IKAN'!X20</f>
        <v>0</v>
      </c>
      <c r="AD16" s="322">
        <f>'P NP TAMBAK IKAN'!W21</f>
        <v>0</v>
      </c>
      <c r="AE16" s="322">
        <f>'P NP TAMBAK IKAN'!X21</f>
        <v>0</v>
      </c>
      <c r="AF16" s="322">
        <f>'P NP TAMBAK IKAN'!W22</f>
        <v>0</v>
      </c>
      <c r="AG16" s="322">
        <f>'P NP TAMBAK IKAN'!X22</f>
        <v>0</v>
      </c>
      <c r="AH16" s="322">
        <f>'P NP TAMBAK IKAN'!W23</f>
        <v>0</v>
      </c>
      <c r="AI16" s="322">
        <f>'P NP TAMBAK IKAN'!X23</f>
        <v>0</v>
      </c>
      <c r="AJ16" s="322">
        <f>'P NP TAMBAK IKAN'!W24</f>
        <v>0</v>
      </c>
      <c r="AK16" s="322">
        <f>'P NP TAMBAK IKAN'!X24</f>
        <v>0</v>
      </c>
      <c r="AL16" s="322">
        <f>'P NP TAMBAK IKAN'!W25</f>
        <v>0</v>
      </c>
      <c r="AM16" s="322">
        <f>'P NP TAMBAK IKAN'!X25</f>
        <v>0</v>
      </c>
      <c r="AN16" s="322">
        <f>'P NP TAMBAK IKAN'!W26</f>
        <v>0</v>
      </c>
      <c r="AO16" s="322">
        <f>'P NP TAMBAK IKAN'!X26</f>
        <v>0</v>
      </c>
      <c r="AP16" s="322">
        <f>'P NP TAMBAK IKAN'!W27</f>
        <v>0</v>
      </c>
      <c r="AQ16" s="322">
        <f>'P NP TAMBAK IKAN'!X27</f>
        <v>0</v>
      </c>
      <c r="AR16" s="322">
        <f>'P NP TAMBAK IKAN'!W28</f>
        <v>0</v>
      </c>
      <c r="AS16" s="322">
        <f>'P NP TAMBAK IKAN'!X28</f>
        <v>0</v>
      </c>
      <c r="AT16" s="322">
        <f>'P NP TAMBAK IKAN'!W29</f>
        <v>0</v>
      </c>
      <c r="AU16" s="322">
        <f>'P NP TAMBAK IKAN'!X29</f>
        <v>0</v>
      </c>
      <c r="AV16" s="322">
        <f>'P NP TAMBAK IKAN'!W30</f>
        <v>0</v>
      </c>
      <c r="AW16" s="322">
        <f>'P NP TAMBAK IKAN'!X30</f>
        <v>0</v>
      </c>
      <c r="AX16" s="322">
        <f>'P NP TAMBAK IKAN'!W31</f>
        <v>0</v>
      </c>
      <c r="AY16" s="322">
        <f>'P NP TAMBAK IKAN'!X31</f>
        <v>0</v>
      </c>
      <c r="AZ16" s="322">
        <f>'P NP TAMBAK IKAN'!W32</f>
        <v>0</v>
      </c>
      <c r="BA16" s="322">
        <f>'P NP TAMBAK IKAN'!X32</f>
        <v>0</v>
      </c>
      <c r="BB16" s="322">
        <f>'P NP TAMBAK IKAN'!W33</f>
        <v>1490000</v>
      </c>
      <c r="BC16" s="322">
        <f>'P NP TAMBAK IKAN'!X33</f>
        <v>89400000</v>
      </c>
      <c r="BD16" s="322">
        <f>'P NP TAMBAK IKAN'!W34</f>
        <v>0</v>
      </c>
      <c r="BE16" s="322">
        <f>'P NP TAMBAK IKAN'!X34</f>
        <v>0</v>
      </c>
      <c r="BF16" s="322">
        <f>'P NP TAMBAK IKAN'!W43</f>
        <v>0</v>
      </c>
      <c r="BG16" s="322">
        <f>'P NP TAMBAK IKAN'!X43</f>
        <v>0</v>
      </c>
      <c r="BH16" s="322">
        <f>'P NP TAMBAK IKAN'!W44</f>
        <v>0</v>
      </c>
      <c r="BI16" s="322">
        <f>'P NP TAMBAK IKAN'!X44</f>
        <v>0</v>
      </c>
      <c r="BJ16" s="322">
        <f>'P NP TAMBAK IKAN'!C55</f>
        <v>0</v>
      </c>
      <c r="BK16" s="322">
        <f>'P NP TAMBAK IKAN'!D55</f>
        <v>0</v>
      </c>
      <c r="BL16" s="322">
        <f>'P NP TAMBAK IKAN'!C56</f>
        <v>0</v>
      </c>
      <c r="BM16" s="322">
        <f>'P NP TAMBAK IKAN'!D56</f>
        <v>0</v>
      </c>
      <c r="BN16" s="322">
        <f>'P NP TAMBAK IKAN'!C57</f>
        <v>0</v>
      </c>
      <c r="BO16" s="322">
        <f>'P NP TAMBAK IKAN'!D57</f>
        <v>0</v>
      </c>
      <c r="BP16" s="322">
        <f>'P NP TAMBAK IKAN'!C58</f>
        <v>0</v>
      </c>
      <c r="BQ16" s="322">
        <f>'P NP TAMBAK IKAN'!D58</f>
        <v>0</v>
      </c>
      <c r="BR16" s="322">
        <f>'P NP TAMBAK IKAN'!C59</f>
        <v>0</v>
      </c>
      <c r="BS16" s="322">
        <f>'P NP TAMBAK IKAN'!D59</f>
        <v>0</v>
      </c>
      <c r="BT16" s="322">
        <f>'P NP TAMBAK IKAN'!C60</f>
        <v>0</v>
      </c>
      <c r="BU16" s="322">
        <f>'P NP TAMBAK IKAN'!D60</f>
        <v>0</v>
      </c>
      <c r="BV16" s="322">
        <f>'P NP TAMBAK IKAN'!C61</f>
        <v>0</v>
      </c>
      <c r="BW16" s="322">
        <f>'P NP TAMBAK IKAN'!D61</f>
        <v>0</v>
      </c>
      <c r="BX16" s="322">
        <f>'P NP TAMBAK IKAN'!C62</f>
        <v>0</v>
      </c>
      <c r="BY16" s="322">
        <f>'P NP TAMBAK IKAN'!D62</f>
        <v>0</v>
      </c>
      <c r="CA16" s="322">
        <f t="shared" si="5"/>
        <v>1490000</v>
      </c>
      <c r="CB16" s="322">
        <f t="shared" ca="1" si="6"/>
        <v>1490000</v>
      </c>
    </row>
    <row r="17" spans="1:80">
      <c r="A17" s="260" t="s">
        <v>130</v>
      </c>
      <c r="B17" s="320">
        <f t="shared" si="3"/>
        <v>0</v>
      </c>
      <c r="C17" s="320">
        <f t="shared" si="4"/>
        <v>0</v>
      </c>
      <c r="D17" s="322">
        <f>'P NP TAMBAK IKAN'!Y8</f>
        <v>0</v>
      </c>
      <c r="E17" s="322">
        <f>'P NP TAMBAK IKAN'!Z8</f>
        <v>0</v>
      </c>
      <c r="F17" s="322">
        <f>'P NP TAMBAK IKAN'!Y9</f>
        <v>0</v>
      </c>
      <c r="G17" s="322">
        <f>'P NP TAMBAK IKAN'!Z9</f>
        <v>0</v>
      </c>
      <c r="H17" s="322">
        <f>'P NP TAMBAK IKAN'!Y10</f>
        <v>0</v>
      </c>
      <c r="I17" s="322">
        <f>'P NP TAMBAK IKAN'!Z10</f>
        <v>0</v>
      </c>
      <c r="J17" s="322">
        <f>'P NP TAMBAK IKAN'!Y11</f>
        <v>0</v>
      </c>
      <c r="K17" s="322">
        <f>'P NP TAMBAK IKAN'!Z11</f>
        <v>0</v>
      </c>
      <c r="L17" s="322">
        <f>'P NP TAMBAK IKAN'!Y12</f>
        <v>0</v>
      </c>
      <c r="M17" s="322">
        <f>'P NP TAMBAK IKAN'!Z12</f>
        <v>0</v>
      </c>
      <c r="N17" s="322">
        <f>'P NP TAMBAK IKAN'!Y13</f>
        <v>0</v>
      </c>
      <c r="O17" s="322">
        <f>'P NP TAMBAK IKAN'!Z13</f>
        <v>0</v>
      </c>
      <c r="P17" s="322">
        <f>'P NP TAMBAK IKAN'!Y14</f>
        <v>0</v>
      </c>
      <c r="Q17" s="322">
        <f>'P NP TAMBAK IKAN'!Z14</f>
        <v>0</v>
      </c>
      <c r="R17" s="322">
        <f>'P NP TAMBAK IKAN'!Y15</f>
        <v>0</v>
      </c>
      <c r="S17" s="322">
        <f>'P NP TAMBAK IKAN'!Z15</f>
        <v>0</v>
      </c>
      <c r="T17" s="322">
        <f>'P NP TAMBAK IKAN'!Y16</f>
        <v>0</v>
      </c>
      <c r="U17" s="322">
        <f>'P NP TAMBAK IKAN'!Z16</f>
        <v>0</v>
      </c>
      <c r="V17" s="322">
        <f>'P NP TAMBAK IKAN'!Y17</f>
        <v>0</v>
      </c>
      <c r="W17" s="322">
        <f>'P NP TAMBAK IKAN'!Z17</f>
        <v>0</v>
      </c>
      <c r="X17" s="322">
        <f>'P NP TAMBAK IKAN'!Y18</f>
        <v>0</v>
      </c>
      <c r="Y17" s="322">
        <f>'P NP TAMBAK IKAN'!Z18</f>
        <v>0</v>
      </c>
      <c r="Z17" s="322">
        <f>'P NP TAMBAK IKAN'!Y19</f>
        <v>0</v>
      </c>
      <c r="AA17" s="322">
        <f>'P NP TAMBAK IKAN'!Z19</f>
        <v>0</v>
      </c>
      <c r="AB17" s="322">
        <f>'P NP TAMBAK IKAN'!Y20</f>
        <v>0</v>
      </c>
      <c r="AC17" s="322">
        <f>'P NP TAMBAK IKAN'!Z20</f>
        <v>0</v>
      </c>
      <c r="AD17" s="322">
        <f>'P NP TAMBAK IKAN'!Y21</f>
        <v>0</v>
      </c>
      <c r="AE17" s="322">
        <f>'P NP TAMBAK IKAN'!Z21</f>
        <v>0</v>
      </c>
      <c r="AF17" s="322">
        <f>'P NP TAMBAK IKAN'!Y22</f>
        <v>0</v>
      </c>
      <c r="AG17" s="322">
        <f>'P NP TAMBAK IKAN'!Z22</f>
        <v>0</v>
      </c>
      <c r="AH17" s="322">
        <f>'P NP TAMBAK IKAN'!Y23</f>
        <v>0</v>
      </c>
      <c r="AI17" s="322">
        <f>'P NP TAMBAK IKAN'!Z23</f>
        <v>0</v>
      </c>
      <c r="AJ17" s="322">
        <f>'P NP TAMBAK IKAN'!Y24</f>
        <v>0</v>
      </c>
      <c r="AK17" s="322">
        <f>'P NP TAMBAK IKAN'!Z24</f>
        <v>0</v>
      </c>
      <c r="AL17" s="322">
        <f>'P NP TAMBAK IKAN'!Y25</f>
        <v>0</v>
      </c>
      <c r="AM17" s="322">
        <f>'P NP TAMBAK IKAN'!Z25</f>
        <v>0</v>
      </c>
      <c r="AN17" s="322">
        <f>'P NP TAMBAK IKAN'!Y26</f>
        <v>0</v>
      </c>
      <c r="AO17" s="322">
        <f>'P NP TAMBAK IKAN'!Z26</f>
        <v>0</v>
      </c>
      <c r="AP17" s="322">
        <f>'P NP TAMBAK IKAN'!Y27</f>
        <v>0</v>
      </c>
      <c r="AQ17" s="322">
        <f>'P NP TAMBAK IKAN'!Z27</f>
        <v>0</v>
      </c>
      <c r="AR17" s="322">
        <f>'P NP TAMBAK IKAN'!Y28</f>
        <v>0</v>
      </c>
      <c r="AS17" s="322">
        <f>'P NP TAMBAK IKAN'!Z28</f>
        <v>0</v>
      </c>
      <c r="AT17" s="322">
        <f>'P NP TAMBAK IKAN'!Y29</f>
        <v>0</v>
      </c>
      <c r="AU17" s="322">
        <f>'P NP TAMBAK IKAN'!Z29</f>
        <v>0</v>
      </c>
      <c r="AV17" s="322">
        <f>'P NP TAMBAK IKAN'!Y30</f>
        <v>0</v>
      </c>
      <c r="AW17" s="322">
        <f>'P NP TAMBAK IKAN'!Z30</f>
        <v>0</v>
      </c>
      <c r="AX17" s="322">
        <f>'P NP TAMBAK IKAN'!Y31</f>
        <v>0</v>
      </c>
      <c r="AY17" s="322">
        <f>'P NP TAMBAK IKAN'!Z31</f>
        <v>0</v>
      </c>
      <c r="AZ17" s="322">
        <f>'P NP TAMBAK IKAN'!Y32</f>
        <v>0</v>
      </c>
      <c r="BA17" s="322">
        <f>'P NP TAMBAK IKAN'!Z32</f>
        <v>0</v>
      </c>
      <c r="BB17" s="322">
        <f>'P NP TAMBAK IKAN'!Y33</f>
        <v>0</v>
      </c>
      <c r="BC17" s="322">
        <f>'P NP TAMBAK IKAN'!Z33</f>
        <v>0</v>
      </c>
      <c r="BD17" s="322">
        <f>'P NP TAMBAK IKAN'!Y34</f>
        <v>0</v>
      </c>
      <c r="BE17" s="322">
        <f>'P NP TAMBAK IKAN'!Z34</f>
        <v>0</v>
      </c>
      <c r="BF17" s="322">
        <f>'P NP TAMBAK IKAN'!Y43</f>
        <v>0</v>
      </c>
      <c r="BG17" s="322">
        <f>'P NP TAMBAK IKAN'!Z43</f>
        <v>0</v>
      </c>
      <c r="BH17" s="322">
        <f>'P NP TAMBAK IKAN'!Y44</f>
        <v>0</v>
      </c>
      <c r="BI17" s="322">
        <f>'P NP TAMBAK IKAN'!Z44</f>
        <v>0</v>
      </c>
      <c r="BJ17" s="322">
        <f>'P NP TAMBAK IKAN'!C56</f>
        <v>0</v>
      </c>
      <c r="BK17" s="322">
        <f>'P NP TAMBAK IKAN'!D56</f>
        <v>0</v>
      </c>
      <c r="BL17" s="322">
        <f>'P NP TAMBAK IKAN'!C57</f>
        <v>0</v>
      </c>
      <c r="BM17" s="322">
        <f>'P NP TAMBAK IKAN'!D57</f>
        <v>0</v>
      </c>
      <c r="BN17" s="322">
        <f>'P NP TAMBAK IKAN'!C58</f>
        <v>0</v>
      </c>
      <c r="BO17" s="322">
        <f>'P NP TAMBAK IKAN'!D58</f>
        <v>0</v>
      </c>
      <c r="BP17" s="322">
        <f>'P NP TAMBAK IKAN'!C59</f>
        <v>0</v>
      </c>
      <c r="BQ17" s="322">
        <f>'P NP TAMBAK IKAN'!D59</f>
        <v>0</v>
      </c>
      <c r="BR17" s="322">
        <f>'P NP TAMBAK IKAN'!C60</f>
        <v>0</v>
      </c>
      <c r="BS17" s="322">
        <f>'P NP TAMBAK IKAN'!D60</f>
        <v>0</v>
      </c>
      <c r="BT17" s="322">
        <f>'P NP TAMBAK IKAN'!C61</f>
        <v>0</v>
      </c>
      <c r="BU17" s="322">
        <f>'P NP TAMBAK IKAN'!D61</f>
        <v>0</v>
      </c>
      <c r="BV17" s="322">
        <f>'P NP TAMBAK IKAN'!C62</f>
        <v>0</v>
      </c>
      <c r="BW17" s="322">
        <f>'P NP TAMBAK IKAN'!D62</f>
        <v>0</v>
      </c>
      <c r="BX17" s="322">
        <f>'P NP TAMBAK IKAN'!C63</f>
        <v>0</v>
      </c>
      <c r="BY17" s="322">
        <f>'P NP TAMBAK IKAN'!D63</f>
        <v>0</v>
      </c>
      <c r="CA17" s="322">
        <f t="shared" si="5"/>
        <v>0</v>
      </c>
      <c r="CB17" s="322">
        <f t="shared" ca="1" si="6"/>
        <v>0</v>
      </c>
    </row>
    <row r="18" spans="1:80">
      <c r="A18" s="260" t="s">
        <v>131</v>
      </c>
      <c r="B18" s="320">
        <f t="shared" si="3"/>
        <v>0</v>
      </c>
      <c r="C18" s="320">
        <f t="shared" si="4"/>
        <v>0</v>
      </c>
      <c r="D18" s="322">
        <f>'P NP TAMBAK IKAN'!AA8</f>
        <v>0</v>
      </c>
      <c r="E18" s="322">
        <f>'P NP TAMBAK IKAN'!AB8</f>
        <v>0</v>
      </c>
      <c r="F18" s="322">
        <f>'P NP TAMBAK IKAN'!AA9</f>
        <v>0</v>
      </c>
      <c r="G18" s="322">
        <f>'P NP TAMBAK IKAN'!AB9</f>
        <v>0</v>
      </c>
      <c r="H18" s="322">
        <f>'P NP TAMBAK IKAN'!AA10</f>
        <v>0</v>
      </c>
      <c r="I18" s="322">
        <f>'P NP TAMBAK IKAN'!AB10</f>
        <v>0</v>
      </c>
      <c r="J18" s="322">
        <f>'P NP TAMBAK IKAN'!AA11</f>
        <v>0</v>
      </c>
      <c r="K18" s="322">
        <f>'P NP TAMBAK IKAN'!AB11</f>
        <v>0</v>
      </c>
      <c r="L18" s="322">
        <f>'P NP TAMBAK IKAN'!AA12</f>
        <v>0</v>
      </c>
      <c r="M18" s="322">
        <f>'P NP TAMBAK IKAN'!AB12</f>
        <v>0</v>
      </c>
      <c r="N18" s="322">
        <f>'P NP TAMBAK IKAN'!AA13</f>
        <v>0</v>
      </c>
      <c r="O18" s="322">
        <f>'P NP TAMBAK IKAN'!AB13</f>
        <v>0</v>
      </c>
      <c r="P18" s="322">
        <f>'P NP TAMBAK IKAN'!AA14</f>
        <v>0</v>
      </c>
      <c r="Q18" s="322">
        <f>'P NP TAMBAK IKAN'!AB14</f>
        <v>0</v>
      </c>
      <c r="R18" s="322">
        <f>'P NP TAMBAK IKAN'!AA15</f>
        <v>0</v>
      </c>
      <c r="S18" s="322">
        <f>'P NP TAMBAK IKAN'!AB15</f>
        <v>0</v>
      </c>
      <c r="T18" s="322">
        <f>'P NP TAMBAK IKAN'!AA16</f>
        <v>0</v>
      </c>
      <c r="U18" s="322">
        <f>'P NP TAMBAK IKAN'!AB16</f>
        <v>0</v>
      </c>
      <c r="V18" s="322">
        <f>'P NP TAMBAK IKAN'!AA17</f>
        <v>0</v>
      </c>
      <c r="W18" s="322">
        <f>'P NP TAMBAK IKAN'!AB17</f>
        <v>0</v>
      </c>
      <c r="X18" s="322">
        <f>'P NP TAMBAK IKAN'!AA18</f>
        <v>0</v>
      </c>
      <c r="Y18" s="322">
        <f>'P NP TAMBAK IKAN'!AB18</f>
        <v>0</v>
      </c>
      <c r="Z18" s="322">
        <f>'P NP TAMBAK IKAN'!AA19</f>
        <v>0</v>
      </c>
      <c r="AA18" s="322">
        <f>'P NP TAMBAK IKAN'!AB19</f>
        <v>0</v>
      </c>
      <c r="AB18" s="322">
        <f>'P NP TAMBAK IKAN'!AA20</f>
        <v>0</v>
      </c>
      <c r="AC18" s="322">
        <f>'P NP TAMBAK IKAN'!AB20</f>
        <v>0</v>
      </c>
      <c r="AD18" s="322">
        <f>'P NP TAMBAK IKAN'!AA21</f>
        <v>0</v>
      </c>
      <c r="AE18" s="322">
        <f>'P NP TAMBAK IKAN'!AB21</f>
        <v>0</v>
      </c>
      <c r="AF18" s="322">
        <f>'P NP TAMBAK IKAN'!AA22</f>
        <v>0</v>
      </c>
      <c r="AG18" s="322">
        <f>'P NP TAMBAK IKAN'!AB22</f>
        <v>0</v>
      </c>
      <c r="AH18" s="322">
        <f>'P NP TAMBAK IKAN'!AA23</f>
        <v>0</v>
      </c>
      <c r="AI18" s="322">
        <f>'P NP TAMBAK IKAN'!AB23</f>
        <v>0</v>
      </c>
      <c r="AJ18" s="322">
        <f>'P NP TAMBAK IKAN'!AA24</f>
        <v>0</v>
      </c>
      <c r="AK18" s="322">
        <f>'P NP TAMBAK IKAN'!AB24</f>
        <v>0</v>
      </c>
      <c r="AL18" s="322">
        <f>'P NP TAMBAK IKAN'!AA25</f>
        <v>0</v>
      </c>
      <c r="AM18" s="322">
        <f>'P NP TAMBAK IKAN'!AB25</f>
        <v>0</v>
      </c>
      <c r="AN18" s="322">
        <f>'P NP TAMBAK IKAN'!AA26</f>
        <v>0</v>
      </c>
      <c r="AO18" s="322">
        <f>'P NP TAMBAK IKAN'!AB26</f>
        <v>0</v>
      </c>
      <c r="AP18" s="322">
        <f>'P NP TAMBAK IKAN'!AA27</f>
        <v>0</v>
      </c>
      <c r="AQ18" s="322">
        <f>'P NP TAMBAK IKAN'!AB27</f>
        <v>0</v>
      </c>
      <c r="AR18" s="322">
        <f>'P NP TAMBAK IKAN'!AA28</f>
        <v>0</v>
      </c>
      <c r="AS18" s="322">
        <f>'P NP TAMBAK IKAN'!AB28</f>
        <v>0</v>
      </c>
      <c r="AT18" s="322">
        <f>'P NP TAMBAK IKAN'!AA29</f>
        <v>0</v>
      </c>
      <c r="AU18" s="322">
        <f>'P NP TAMBAK IKAN'!AB29</f>
        <v>0</v>
      </c>
      <c r="AV18" s="322">
        <f>'P NP TAMBAK IKAN'!AA30</f>
        <v>0</v>
      </c>
      <c r="AW18" s="322">
        <f>'P NP TAMBAK IKAN'!AB30</f>
        <v>0</v>
      </c>
      <c r="AX18" s="322">
        <f>'P NP TAMBAK IKAN'!AA31</f>
        <v>0</v>
      </c>
      <c r="AY18" s="322">
        <f>'P NP TAMBAK IKAN'!AB31</f>
        <v>0</v>
      </c>
      <c r="AZ18" s="322">
        <f>'P NP TAMBAK IKAN'!AA32</f>
        <v>0</v>
      </c>
      <c r="BA18" s="322">
        <f>'P NP TAMBAK IKAN'!AB32</f>
        <v>0</v>
      </c>
      <c r="BB18" s="322">
        <f>'P NP TAMBAK IKAN'!AA33</f>
        <v>0</v>
      </c>
      <c r="BC18" s="322">
        <f>'P NP TAMBAK IKAN'!AB33</f>
        <v>0</v>
      </c>
      <c r="BD18" s="322">
        <f>'P NP TAMBAK IKAN'!AA34</f>
        <v>0</v>
      </c>
      <c r="BE18" s="322">
        <f>'P NP TAMBAK IKAN'!AB34</f>
        <v>0</v>
      </c>
      <c r="BF18" s="322">
        <f>'P NP TAMBAK IKAN'!AA43</f>
        <v>0</v>
      </c>
      <c r="BG18" s="322">
        <f>'P NP TAMBAK IKAN'!AB43</f>
        <v>0</v>
      </c>
      <c r="BH18" s="322">
        <f>'P NP TAMBAK IKAN'!AA44</f>
        <v>0</v>
      </c>
      <c r="BI18" s="322">
        <f>'P NP TAMBAK IKAN'!AB44</f>
        <v>0</v>
      </c>
      <c r="BJ18" s="322">
        <f>'P NP TAMBAK IKAN'!C57</f>
        <v>0</v>
      </c>
      <c r="BK18" s="322">
        <f>'P NP TAMBAK IKAN'!D57</f>
        <v>0</v>
      </c>
      <c r="BL18" s="322">
        <f>'P NP TAMBAK IKAN'!C58</f>
        <v>0</v>
      </c>
      <c r="BM18" s="322">
        <f>'P NP TAMBAK IKAN'!D58</f>
        <v>0</v>
      </c>
      <c r="BN18" s="322">
        <f>'P NP TAMBAK IKAN'!C59</f>
        <v>0</v>
      </c>
      <c r="BO18" s="322">
        <f>'P NP TAMBAK IKAN'!D59</f>
        <v>0</v>
      </c>
      <c r="BP18" s="322">
        <f>'P NP TAMBAK IKAN'!C60</f>
        <v>0</v>
      </c>
      <c r="BQ18" s="322">
        <f>'P NP TAMBAK IKAN'!D60</f>
        <v>0</v>
      </c>
      <c r="BR18" s="322">
        <f>'P NP TAMBAK IKAN'!C61</f>
        <v>0</v>
      </c>
      <c r="BS18" s="322">
        <f>'P NP TAMBAK IKAN'!D61</f>
        <v>0</v>
      </c>
      <c r="BT18" s="322">
        <f>'P NP TAMBAK IKAN'!C62</f>
        <v>0</v>
      </c>
      <c r="BU18" s="322">
        <f>'P NP TAMBAK IKAN'!D62</f>
        <v>0</v>
      </c>
      <c r="BV18" s="322">
        <f>'P NP TAMBAK IKAN'!C63</f>
        <v>0</v>
      </c>
      <c r="BW18" s="322">
        <f>'P NP TAMBAK IKAN'!D63</f>
        <v>0</v>
      </c>
      <c r="BX18" s="322">
        <f>'P NP TAMBAK IKAN'!C64</f>
        <v>0</v>
      </c>
      <c r="BY18" s="322">
        <f>'P NP TAMBAK IKAN'!D64</f>
        <v>0</v>
      </c>
      <c r="CA18" s="322">
        <f t="shared" si="5"/>
        <v>0</v>
      </c>
      <c r="CB18" s="322">
        <f t="shared" ca="1" si="6"/>
        <v>0</v>
      </c>
    </row>
    <row r="19" spans="1:80">
      <c r="A19" s="260" t="s">
        <v>118</v>
      </c>
      <c r="B19" s="320">
        <f t="shared" si="3"/>
        <v>1640000</v>
      </c>
      <c r="C19" s="320">
        <f t="shared" si="4"/>
        <v>104135000</v>
      </c>
      <c r="D19" s="322">
        <f>'P NP TAMBAK IKAN'!AC8</f>
        <v>0</v>
      </c>
      <c r="E19" s="322">
        <f>'P NP TAMBAK IKAN'!AD8</f>
        <v>0</v>
      </c>
      <c r="F19" s="322">
        <f>'P NP TAMBAK IKAN'!AC9</f>
        <v>0</v>
      </c>
      <c r="G19" s="322">
        <f>'P NP TAMBAK IKAN'!AD9</f>
        <v>0</v>
      </c>
      <c r="H19" s="322">
        <f>'P NP TAMBAK IKAN'!AC10</f>
        <v>0</v>
      </c>
      <c r="I19" s="322">
        <f>'P NP TAMBAK IKAN'!AD10</f>
        <v>0</v>
      </c>
      <c r="J19" s="322">
        <f>'P NP TAMBAK IKAN'!AC11</f>
        <v>0</v>
      </c>
      <c r="K19" s="322">
        <f>'P NP TAMBAK IKAN'!AD11</f>
        <v>0</v>
      </c>
      <c r="L19" s="322">
        <f>'P NP TAMBAK IKAN'!AC12</f>
        <v>0</v>
      </c>
      <c r="M19" s="322">
        <f>'P NP TAMBAK IKAN'!AD12</f>
        <v>0</v>
      </c>
      <c r="N19" s="322">
        <f>'P NP TAMBAK IKAN'!AC13</f>
        <v>0</v>
      </c>
      <c r="O19" s="322">
        <f>'P NP TAMBAK IKAN'!AD13</f>
        <v>0</v>
      </c>
      <c r="P19" s="322">
        <f>'P NP TAMBAK IKAN'!AC14</f>
        <v>0</v>
      </c>
      <c r="Q19" s="322">
        <f>'P NP TAMBAK IKAN'!AD14</f>
        <v>0</v>
      </c>
      <c r="R19" s="322">
        <f>'P NP TAMBAK IKAN'!AC15</f>
        <v>0</v>
      </c>
      <c r="S19" s="322">
        <f>'P NP TAMBAK IKAN'!AD15</f>
        <v>0</v>
      </c>
      <c r="T19" s="322">
        <f>'P NP TAMBAK IKAN'!AC16</f>
        <v>0</v>
      </c>
      <c r="U19" s="322">
        <f>'P NP TAMBAK IKAN'!AD16</f>
        <v>0</v>
      </c>
      <c r="V19" s="322">
        <f>'P NP TAMBAK IKAN'!AC17</f>
        <v>0</v>
      </c>
      <c r="W19" s="322">
        <f>'P NP TAMBAK IKAN'!AD17</f>
        <v>0</v>
      </c>
      <c r="X19" s="322">
        <f>'P NP TAMBAK IKAN'!AC18</f>
        <v>0</v>
      </c>
      <c r="Y19" s="322">
        <f>'P NP TAMBAK IKAN'!AD18</f>
        <v>0</v>
      </c>
      <c r="Z19" s="322">
        <f>'P NP TAMBAK IKAN'!AC19</f>
        <v>0</v>
      </c>
      <c r="AA19" s="322">
        <f>'P NP TAMBAK IKAN'!AD19</f>
        <v>0</v>
      </c>
      <c r="AB19" s="322">
        <f>'P NP TAMBAK IKAN'!AC20</f>
        <v>0</v>
      </c>
      <c r="AC19" s="322">
        <f>'P NP TAMBAK IKAN'!AD20</f>
        <v>0</v>
      </c>
      <c r="AD19" s="322">
        <f>'P NP TAMBAK IKAN'!AC21</f>
        <v>0</v>
      </c>
      <c r="AE19" s="322">
        <f>'P NP TAMBAK IKAN'!AD21</f>
        <v>0</v>
      </c>
      <c r="AF19" s="322">
        <f>'P NP TAMBAK IKAN'!AC22</f>
        <v>0</v>
      </c>
      <c r="AG19" s="322">
        <f>'P NP TAMBAK IKAN'!AD22</f>
        <v>0</v>
      </c>
      <c r="AH19" s="322">
        <f>'P NP TAMBAK IKAN'!AC23</f>
        <v>0</v>
      </c>
      <c r="AI19" s="322">
        <f>'P NP TAMBAK IKAN'!AD23</f>
        <v>0</v>
      </c>
      <c r="AJ19" s="322">
        <f>'P NP TAMBAK IKAN'!AC24</f>
        <v>0</v>
      </c>
      <c r="AK19" s="322">
        <f>'P NP TAMBAK IKAN'!AD24</f>
        <v>0</v>
      </c>
      <c r="AL19" s="322">
        <f>'P NP TAMBAK IKAN'!AC25</f>
        <v>0</v>
      </c>
      <c r="AM19" s="322">
        <f>'P NP TAMBAK IKAN'!AD25</f>
        <v>0</v>
      </c>
      <c r="AN19" s="322">
        <f>'P NP TAMBAK IKAN'!AC26</f>
        <v>0</v>
      </c>
      <c r="AO19" s="322">
        <f>'P NP TAMBAK IKAN'!AD26</f>
        <v>0</v>
      </c>
      <c r="AP19" s="322">
        <f>'P NP TAMBAK IKAN'!AC27</f>
        <v>0</v>
      </c>
      <c r="AQ19" s="322">
        <f>'P NP TAMBAK IKAN'!AD27</f>
        <v>0</v>
      </c>
      <c r="AR19" s="322">
        <f>'P NP TAMBAK IKAN'!AC28</f>
        <v>0</v>
      </c>
      <c r="AS19" s="322">
        <f>'P NP TAMBAK IKAN'!AD28</f>
        <v>0</v>
      </c>
      <c r="AT19" s="322">
        <f>'P NP TAMBAK IKAN'!AC29</f>
        <v>0</v>
      </c>
      <c r="AU19" s="322">
        <f>'P NP TAMBAK IKAN'!AD29</f>
        <v>0</v>
      </c>
      <c r="AV19" s="322">
        <f>'P NP TAMBAK IKAN'!AC30</f>
        <v>0</v>
      </c>
      <c r="AW19" s="322">
        <f>'P NP TAMBAK IKAN'!AD30</f>
        <v>0</v>
      </c>
      <c r="AX19" s="322">
        <f>'P NP TAMBAK IKAN'!AC31</f>
        <v>0</v>
      </c>
      <c r="AY19" s="322">
        <f>'P NP TAMBAK IKAN'!AD31</f>
        <v>0</v>
      </c>
      <c r="AZ19" s="322">
        <f>'P NP TAMBAK IKAN'!AC32</f>
        <v>105000</v>
      </c>
      <c r="BA19" s="322">
        <f>'P NP TAMBAK IKAN'!AD32</f>
        <v>5670000</v>
      </c>
      <c r="BB19" s="322">
        <f>'P NP TAMBAK IKAN'!AC33</f>
        <v>1535000</v>
      </c>
      <c r="BC19" s="322">
        <f>'P NP TAMBAK IKAN'!AD33</f>
        <v>98465000</v>
      </c>
      <c r="BD19" s="322">
        <f>'P NP TAMBAK IKAN'!AC34</f>
        <v>0</v>
      </c>
      <c r="BE19" s="322">
        <f>'P NP TAMBAK IKAN'!AD34</f>
        <v>0</v>
      </c>
      <c r="BF19" s="322">
        <f>'P NP TAMBAK IKAN'!AC43</f>
        <v>0</v>
      </c>
      <c r="BG19" s="322">
        <f>'P NP TAMBAK IKAN'!AD43</f>
        <v>0</v>
      </c>
      <c r="BH19" s="322">
        <f>'P NP TAMBAK IKAN'!AC44</f>
        <v>0</v>
      </c>
      <c r="BI19" s="322">
        <f>'P NP TAMBAK IKAN'!AD44</f>
        <v>0</v>
      </c>
      <c r="BJ19" s="322">
        <f>'P NP TAMBAK IKAN'!C58</f>
        <v>0</v>
      </c>
      <c r="BK19" s="322">
        <f>'P NP TAMBAK IKAN'!D58</f>
        <v>0</v>
      </c>
      <c r="BL19" s="322">
        <f>'P NP TAMBAK IKAN'!C59</f>
        <v>0</v>
      </c>
      <c r="BM19" s="322">
        <f>'P NP TAMBAK IKAN'!D59</f>
        <v>0</v>
      </c>
      <c r="BN19" s="322">
        <f>'P NP TAMBAK IKAN'!C60</f>
        <v>0</v>
      </c>
      <c r="BO19" s="322">
        <f>'P NP TAMBAK IKAN'!D60</f>
        <v>0</v>
      </c>
      <c r="BP19" s="322">
        <f>'P NP TAMBAK IKAN'!C61</f>
        <v>0</v>
      </c>
      <c r="BQ19" s="322">
        <f>'P NP TAMBAK IKAN'!D61</f>
        <v>0</v>
      </c>
      <c r="BR19" s="322">
        <f>'P NP TAMBAK IKAN'!C62</f>
        <v>0</v>
      </c>
      <c r="BS19" s="322">
        <f>'P NP TAMBAK IKAN'!D62</f>
        <v>0</v>
      </c>
      <c r="BT19" s="322">
        <f>'P NP TAMBAK IKAN'!C63</f>
        <v>0</v>
      </c>
      <c r="BU19" s="322">
        <f>'P NP TAMBAK IKAN'!D63</f>
        <v>0</v>
      </c>
      <c r="BV19" s="322">
        <f>'P NP TAMBAK IKAN'!C64</f>
        <v>0</v>
      </c>
      <c r="BW19" s="322">
        <f>'P NP TAMBAK IKAN'!D64</f>
        <v>0</v>
      </c>
      <c r="BX19" s="322">
        <f>'P NP TAMBAK IKAN'!C65</f>
        <v>0</v>
      </c>
      <c r="BY19" s="322">
        <f>'P NP TAMBAK IKAN'!D65</f>
        <v>0</v>
      </c>
      <c r="CA19" s="322">
        <f t="shared" si="5"/>
        <v>1640000</v>
      </c>
      <c r="CB19" s="322">
        <f t="shared" ca="1" si="6"/>
        <v>1640000</v>
      </c>
    </row>
    <row r="20" spans="1:80">
      <c r="A20" s="260" t="s">
        <v>127</v>
      </c>
      <c r="B20" s="320">
        <f t="shared" si="3"/>
        <v>0</v>
      </c>
      <c r="C20" s="320">
        <f t="shared" si="4"/>
        <v>0</v>
      </c>
      <c r="D20" s="322">
        <f>'P NP TAMBAK IKAN'!AE8</f>
        <v>0</v>
      </c>
      <c r="E20" s="322">
        <f>'P NP TAMBAK IKAN'!AF8</f>
        <v>0</v>
      </c>
      <c r="F20" s="322">
        <f>'P NP TAMBAK IKAN'!AE9</f>
        <v>0</v>
      </c>
      <c r="G20" s="322">
        <f>'P NP TAMBAK IKAN'!AF9</f>
        <v>0</v>
      </c>
      <c r="H20" s="322">
        <f>'P NP TAMBAK IKAN'!AE10</f>
        <v>0</v>
      </c>
      <c r="I20" s="322">
        <f>'P NP TAMBAK IKAN'!AF10</f>
        <v>0</v>
      </c>
      <c r="J20" s="322">
        <f>'P NP TAMBAK IKAN'!AE11</f>
        <v>0</v>
      </c>
      <c r="K20" s="322">
        <f>'P NP TAMBAK IKAN'!AF11</f>
        <v>0</v>
      </c>
      <c r="L20" s="322">
        <f>'P NP TAMBAK IKAN'!AE12</f>
        <v>0</v>
      </c>
      <c r="M20" s="322">
        <f>'P NP TAMBAK IKAN'!AF12</f>
        <v>0</v>
      </c>
      <c r="N20" s="322">
        <f>'P NP TAMBAK IKAN'!AE13</f>
        <v>0</v>
      </c>
      <c r="O20" s="322">
        <f>'P NP TAMBAK IKAN'!AF13</f>
        <v>0</v>
      </c>
      <c r="P20" s="322">
        <f>'P NP TAMBAK IKAN'!AE14</f>
        <v>0</v>
      </c>
      <c r="Q20" s="322">
        <f>'P NP TAMBAK IKAN'!AF14</f>
        <v>0</v>
      </c>
      <c r="R20" s="322">
        <f>'P NP TAMBAK IKAN'!AE15</f>
        <v>0</v>
      </c>
      <c r="S20" s="322">
        <f>'P NP TAMBAK IKAN'!AF15</f>
        <v>0</v>
      </c>
      <c r="T20" s="322">
        <f>'P NP TAMBAK IKAN'!AE16</f>
        <v>0</v>
      </c>
      <c r="U20" s="322">
        <f>'P NP TAMBAK IKAN'!AF16</f>
        <v>0</v>
      </c>
      <c r="V20" s="322">
        <f>'P NP TAMBAK IKAN'!AE17</f>
        <v>0</v>
      </c>
      <c r="W20" s="322">
        <f>'P NP TAMBAK IKAN'!AF17</f>
        <v>0</v>
      </c>
      <c r="X20" s="322">
        <f>'P NP TAMBAK IKAN'!AE18</f>
        <v>0</v>
      </c>
      <c r="Y20" s="322">
        <f>'P NP TAMBAK IKAN'!AF18</f>
        <v>0</v>
      </c>
      <c r="Z20" s="322">
        <f>'P NP TAMBAK IKAN'!AE19</f>
        <v>0</v>
      </c>
      <c r="AA20" s="322">
        <f>'P NP TAMBAK IKAN'!AF19</f>
        <v>0</v>
      </c>
      <c r="AB20" s="322">
        <f>'P NP TAMBAK IKAN'!AE20</f>
        <v>0</v>
      </c>
      <c r="AC20" s="322">
        <f>'P NP TAMBAK IKAN'!AF20</f>
        <v>0</v>
      </c>
      <c r="AD20" s="322">
        <f>'P NP TAMBAK IKAN'!AE21</f>
        <v>0</v>
      </c>
      <c r="AE20" s="322">
        <f>'P NP TAMBAK IKAN'!AF21</f>
        <v>0</v>
      </c>
      <c r="AF20" s="322">
        <f>'P NP TAMBAK IKAN'!AE22</f>
        <v>0</v>
      </c>
      <c r="AG20" s="322">
        <f>'P NP TAMBAK IKAN'!AF22</f>
        <v>0</v>
      </c>
      <c r="AH20" s="322">
        <f>'P NP TAMBAK IKAN'!AE23</f>
        <v>0</v>
      </c>
      <c r="AI20" s="322">
        <f>'P NP TAMBAK IKAN'!AF23</f>
        <v>0</v>
      </c>
      <c r="AJ20" s="322">
        <f>'P NP TAMBAK IKAN'!AE24</f>
        <v>0</v>
      </c>
      <c r="AK20" s="322">
        <f>'P NP TAMBAK IKAN'!AF24</f>
        <v>0</v>
      </c>
      <c r="AL20" s="322">
        <f>'P NP TAMBAK IKAN'!AE25</f>
        <v>0</v>
      </c>
      <c r="AM20" s="322">
        <f>'P NP TAMBAK IKAN'!AF25</f>
        <v>0</v>
      </c>
      <c r="AN20" s="322">
        <f>'P NP TAMBAK IKAN'!AE26</f>
        <v>0</v>
      </c>
      <c r="AO20" s="322">
        <f>'P NP TAMBAK IKAN'!AF26</f>
        <v>0</v>
      </c>
      <c r="AP20" s="322">
        <f>'P NP TAMBAK IKAN'!AE27</f>
        <v>0</v>
      </c>
      <c r="AQ20" s="322">
        <f>'P NP TAMBAK IKAN'!AF27</f>
        <v>0</v>
      </c>
      <c r="AR20" s="322">
        <f>'P NP TAMBAK IKAN'!AE28</f>
        <v>0</v>
      </c>
      <c r="AS20" s="322">
        <f>'P NP TAMBAK IKAN'!AF28</f>
        <v>0</v>
      </c>
      <c r="AT20" s="322">
        <f>'P NP TAMBAK IKAN'!AE29</f>
        <v>0</v>
      </c>
      <c r="AU20" s="322">
        <f>'P NP TAMBAK IKAN'!AF29</f>
        <v>0</v>
      </c>
      <c r="AV20" s="322">
        <f>'P NP TAMBAK IKAN'!AE30</f>
        <v>0</v>
      </c>
      <c r="AW20" s="322">
        <f>'P NP TAMBAK IKAN'!AF30</f>
        <v>0</v>
      </c>
      <c r="AX20" s="322">
        <f>'P NP TAMBAK IKAN'!AE31</f>
        <v>0</v>
      </c>
      <c r="AY20" s="322">
        <f>'P NP TAMBAK IKAN'!AF31</f>
        <v>0</v>
      </c>
      <c r="AZ20" s="322">
        <f>'P NP TAMBAK IKAN'!AE32</f>
        <v>0</v>
      </c>
      <c r="BA20" s="322">
        <f>'P NP TAMBAK IKAN'!AF32</f>
        <v>0</v>
      </c>
      <c r="BB20" s="322">
        <f>'P NP TAMBAK IKAN'!AE33</f>
        <v>0</v>
      </c>
      <c r="BC20" s="322">
        <f>'P NP TAMBAK IKAN'!AF33</f>
        <v>0</v>
      </c>
      <c r="BD20" s="322">
        <f>'P NP TAMBAK IKAN'!AE34</f>
        <v>0</v>
      </c>
      <c r="BE20" s="322">
        <f>'P NP TAMBAK IKAN'!AF34</f>
        <v>0</v>
      </c>
      <c r="BF20" s="322">
        <f>'P NP TAMBAK IKAN'!AE43</f>
        <v>0</v>
      </c>
      <c r="BG20" s="322">
        <f>'P NP TAMBAK IKAN'!AF43</f>
        <v>0</v>
      </c>
      <c r="BH20" s="322">
        <f>'P NP TAMBAK IKAN'!AE44</f>
        <v>0</v>
      </c>
      <c r="BI20" s="322">
        <f>'P NP TAMBAK IKAN'!AF44</f>
        <v>0</v>
      </c>
      <c r="BJ20" s="322">
        <f>'P NP TAMBAK IKAN'!C59</f>
        <v>0</v>
      </c>
      <c r="BK20" s="322">
        <f>'P NP TAMBAK IKAN'!D59</f>
        <v>0</v>
      </c>
      <c r="BL20" s="322">
        <f>'P NP TAMBAK IKAN'!C60</f>
        <v>0</v>
      </c>
      <c r="BM20" s="322">
        <f>'P NP TAMBAK IKAN'!D60</f>
        <v>0</v>
      </c>
      <c r="BN20" s="322">
        <f>'P NP TAMBAK IKAN'!C61</f>
        <v>0</v>
      </c>
      <c r="BO20" s="322">
        <f>'P NP TAMBAK IKAN'!D61</f>
        <v>0</v>
      </c>
      <c r="BP20" s="322">
        <f>'P NP TAMBAK IKAN'!C62</f>
        <v>0</v>
      </c>
      <c r="BQ20" s="322">
        <f>'P NP TAMBAK IKAN'!D62</f>
        <v>0</v>
      </c>
      <c r="BR20" s="322">
        <f>'P NP TAMBAK IKAN'!C63</f>
        <v>0</v>
      </c>
      <c r="BS20" s="322">
        <f>'P NP TAMBAK IKAN'!D63</f>
        <v>0</v>
      </c>
      <c r="BT20" s="322">
        <f>'P NP TAMBAK IKAN'!C64</f>
        <v>0</v>
      </c>
      <c r="BU20" s="322">
        <f>'P NP TAMBAK IKAN'!D64</f>
        <v>0</v>
      </c>
      <c r="BV20" s="322">
        <f>'P NP TAMBAK IKAN'!C65</f>
        <v>0</v>
      </c>
      <c r="BW20" s="322">
        <f>'P NP TAMBAK IKAN'!D65</f>
        <v>0</v>
      </c>
      <c r="BX20" s="322">
        <f>'P NP TAMBAK IKAN'!C66</f>
        <v>0</v>
      </c>
      <c r="BY20" s="322">
        <f>'P NP TAMBAK IKAN'!D66</f>
        <v>0</v>
      </c>
      <c r="CA20" s="322">
        <f t="shared" si="5"/>
        <v>0</v>
      </c>
      <c r="CB20" s="322">
        <f t="shared" ca="1" si="6"/>
        <v>0</v>
      </c>
    </row>
    <row r="21" spans="1:80">
      <c r="A21" s="260" t="s">
        <v>129</v>
      </c>
      <c r="B21" s="320">
        <f t="shared" si="3"/>
        <v>0</v>
      </c>
      <c r="C21" s="320">
        <f t="shared" si="4"/>
        <v>0</v>
      </c>
      <c r="D21" s="322">
        <f>'P NP TAMBAK IKAN'!AG8</f>
        <v>0</v>
      </c>
      <c r="E21" s="322">
        <f>'P NP TAMBAK IKAN'!AH8</f>
        <v>0</v>
      </c>
      <c r="F21" s="322">
        <f>'P NP TAMBAK IKAN'!AG9</f>
        <v>0</v>
      </c>
      <c r="G21" s="322">
        <f>'P NP TAMBAK IKAN'!AH9</f>
        <v>0</v>
      </c>
      <c r="H21" s="322">
        <f>'P NP TAMBAK IKAN'!AG10</f>
        <v>0</v>
      </c>
      <c r="I21" s="322">
        <f>'P NP TAMBAK IKAN'!AH10</f>
        <v>0</v>
      </c>
      <c r="J21" s="322">
        <f>'P NP TAMBAK IKAN'!AG11</f>
        <v>0</v>
      </c>
      <c r="K21" s="322">
        <f>'P NP TAMBAK IKAN'!AH11</f>
        <v>0</v>
      </c>
      <c r="L21" s="322">
        <f>'P NP TAMBAK IKAN'!AG12</f>
        <v>0</v>
      </c>
      <c r="M21" s="322">
        <f>'P NP TAMBAK IKAN'!AH12</f>
        <v>0</v>
      </c>
      <c r="N21" s="322">
        <f>'P NP TAMBAK IKAN'!AG13</f>
        <v>0</v>
      </c>
      <c r="O21" s="322">
        <f>'P NP TAMBAK IKAN'!AH13</f>
        <v>0</v>
      </c>
      <c r="P21" s="322">
        <f>'P NP TAMBAK IKAN'!AG14</f>
        <v>0</v>
      </c>
      <c r="Q21" s="322">
        <f>'P NP TAMBAK IKAN'!AH14</f>
        <v>0</v>
      </c>
      <c r="R21" s="322">
        <f>'P NP TAMBAK IKAN'!AG15</f>
        <v>0</v>
      </c>
      <c r="S21" s="322">
        <f>'P NP TAMBAK IKAN'!AH15</f>
        <v>0</v>
      </c>
      <c r="T21" s="322">
        <f>'P NP TAMBAK IKAN'!AG16</f>
        <v>0</v>
      </c>
      <c r="U21" s="322">
        <f>'P NP TAMBAK IKAN'!AH16</f>
        <v>0</v>
      </c>
      <c r="V21" s="322">
        <f>'P NP TAMBAK IKAN'!AG17</f>
        <v>0</v>
      </c>
      <c r="W21" s="322">
        <f>'P NP TAMBAK IKAN'!AH17</f>
        <v>0</v>
      </c>
      <c r="X21" s="322">
        <f>'P NP TAMBAK IKAN'!AG18</f>
        <v>0</v>
      </c>
      <c r="Y21" s="322">
        <f>'P NP TAMBAK IKAN'!AH18</f>
        <v>0</v>
      </c>
      <c r="Z21" s="322">
        <f>'P NP TAMBAK IKAN'!AG19</f>
        <v>0</v>
      </c>
      <c r="AA21" s="322">
        <f>'P NP TAMBAK IKAN'!AH19</f>
        <v>0</v>
      </c>
      <c r="AB21" s="322">
        <f>'P NP TAMBAK IKAN'!AG20</f>
        <v>0</v>
      </c>
      <c r="AC21" s="322">
        <f>'P NP TAMBAK IKAN'!AH20</f>
        <v>0</v>
      </c>
      <c r="AD21" s="322">
        <f>'P NP TAMBAK IKAN'!AG21</f>
        <v>0</v>
      </c>
      <c r="AE21" s="322">
        <f>'P NP TAMBAK IKAN'!AH21</f>
        <v>0</v>
      </c>
      <c r="AF21" s="322">
        <f>'P NP TAMBAK IKAN'!AG22</f>
        <v>0</v>
      </c>
      <c r="AG21" s="322">
        <f>'P NP TAMBAK IKAN'!AH22</f>
        <v>0</v>
      </c>
      <c r="AH21" s="322">
        <f>'P NP TAMBAK IKAN'!AG23</f>
        <v>0</v>
      </c>
      <c r="AI21" s="322">
        <f>'P NP TAMBAK IKAN'!AH23</f>
        <v>0</v>
      </c>
      <c r="AJ21" s="322">
        <f>'P NP TAMBAK IKAN'!AG24</f>
        <v>0</v>
      </c>
      <c r="AK21" s="322">
        <f>'P NP TAMBAK IKAN'!AH24</f>
        <v>0</v>
      </c>
      <c r="AL21" s="322">
        <f>'P NP TAMBAK IKAN'!AG25</f>
        <v>0</v>
      </c>
      <c r="AM21" s="322">
        <f>'P NP TAMBAK IKAN'!AH25</f>
        <v>0</v>
      </c>
      <c r="AN21" s="322">
        <f>'P NP TAMBAK IKAN'!AG26</f>
        <v>0</v>
      </c>
      <c r="AO21" s="322">
        <f>'P NP TAMBAK IKAN'!AH26</f>
        <v>0</v>
      </c>
      <c r="AP21" s="322">
        <f>'P NP TAMBAK IKAN'!AG27</f>
        <v>0</v>
      </c>
      <c r="AQ21" s="322">
        <f>'P NP TAMBAK IKAN'!AH27</f>
        <v>0</v>
      </c>
      <c r="AR21" s="322">
        <f>'P NP TAMBAK IKAN'!AG28</f>
        <v>0</v>
      </c>
      <c r="AS21" s="322">
        <f>'P NP TAMBAK IKAN'!AH28</f>
        <v>0</v>
      </c>
      <c r="AT21" s="322">
        <f>'P NP TAMBAK IKAN'!AG29</f>
        <v>0</v>
      </c>
      <c r="AU21" s="322">
        <f>'P NP TAMBAK IKAN'!AH29</f>
        <v>0</v>
      </c>
      <c r="AV21" s="322">
        <f>'P NP TAMBAK IKAN'!AG30</f>
        <v>0</v>
      </c>
      <c r="AW21" s="322">
        <f>'P NP TAMBAK IKAN'!AH30</f>
        <v>0</v>
      </c>
      <c r="AX21" s="322">
        <f>'P NP TAMBAK IKAN'!AG31</f>
        <v>0</v>
      </c>
      <c r="AY21" s="322">
        <f>'P NP TAMBAK IKAN'!AH31</f>
        <v>0</v>
      </c>
      <c r="AZ21" s="322">
        <f>'P NP TAMBAK IKAN'!AG32</f>
        <v>0</v>
      </c>
      <c r="BA21" s="322">
        <f>'P NP TAMBAK IKAN'!AH32</f>
        <v>0</v>
      </c>
      <c r="BB21" s="322">
        <f>'P NP TAMBAK IKAN'!AG33</f>
        <v>0</v>
      </c>
      <c r="BC21" s="322">
        <f>'P NP TAMBAK IKAN'!AH33</f>
        <v>0</v>
      </c>
      <c r="BD21" s="322">
        <f>'P NP TAMBAK IKAN'!AG34</f>
        <v>0</v>
      </c>
      <c r="BE21" s="322">
        <f>'P NP TAMBAK IKAN'!AH34</f>
        <v>0</v>
      </c>
      <c r="BF21" s="322">
        <f>'P NP TAMBAK IKAN'!AG43</f>
        <v>0</v>
      </c>
      <c r="BG21" s="322">
        <f>'P NP TAMBAK IKAN'!AH43</f>
        <v>0</v>
      </c>
      <c r="BH21" s="322">
        <f>'P NP TAMBAK IKAN'!AG44</f>
        <v>0</v>
      </c>
      <c r="BI21" s="322">
        <f>'P NP TAMBAK IKAN'!AH44</f>
        <v>0</v>
      </c>
      <c r="BJ21" s="322">
        <f>'P NP TAMBAK IKAN'!C60</f>
        <v>0</v>
      </c>
      <c r="BK21" s="322">
        <f>'P NP TAMBAK IKAN'!D60</f>
        <v>0</v>
      </c>
      <c r="BL21" s="322">
        <f>'P NP TAMBAK IKAN'!C61</f>
        <v>0</v>
      </c>
      <c r="BM21" s="322">
        <f>'P NP TAMBAK IKAN'!D61</f>
        <v>0</v>
      </c>
      <c r="BN21" s="322">
        <f>'P NP TAMBAK IKAN'!C62</f>
        <v>0</v>
      </c>
      <c r="BO21" s="322">
        <f>'P NP TAMBAK IKAN'!D62</f>
        <v>0</v>
      </c>
      <c r="BP21" s="322">
        <f>'P NP TAMBAK IKAN'!C63</f>
        <v>0</v>
      </c>
      <c r="BQ21" s="322">
        <f>'P NP TAMBAK IKAN'!D63</f>
        <v>0</v>
      </c>
      <c r="BR21" s="322">
        <f>'P NP TAMBAK IKAN'!C64</f>
        <v>0</v>
      </c>
      <c r="BS21" s="322">
        <f>'P NP TAMBAK IKAN'!D64</f>
        <v>0</v>
      </c>
      <c r="BT21" s="322">
        <f>'P NP TAMBAK IKAN'!C65</f>
        <v>0</v>
      </c>
      <c r="BU21" s="322">
        <f>'P NP TAMBAK IKAN'!D65</f>
        <v>0</v>
      </c>
      <c r="BV21" s="322">
        <f>'P NP TAMBAK IKAN'!C66</f>
        <v>0</v>
      </c>
      <c r="BW21" s="322">
        <f>'P NP TAMBAK IKAN'!D66</f>
        <v>0</v>
      </c>
      <c r="BX21" s="322">
        <f>'P NP TAMBAK IKAN'!C67</f>
        <v>0</v>
      </c>
      <c r="BY21" s="322">
        <f>'P NP TAMBAK IKAN'!D67</f>
        <v>0</v>
      </c>
      <c r="CA21" s="322">
        <f t="shared" si="5"/>
        <v>0</v>
      </c>
      <c r="CB21" s="322">
        <f t="shared" ca="1" si="6"/>
        <v>0</v>
      </c>
    </row>
    <row r="22" spans="1:80">
      <c r="A22" s="260" t="s">
        <v>132</v>
      </c>
      <c r="B22" s="320">
        <f t="shared" si="3"/>
        <v>0</v>
      </c>
      <c r="C22" s="320">
        <f t="shared" si="4"/>
        <v>0</v>
      </c>
      <c r="D22" s="322">
        <f>'P NP TAMBAK IKAN'!AI8</f>
        <v>0</v>
      </c>
      <c r="E22" s="322">
        <f>'P NP TAMBAK IKAN'!AJ8</f>
        <v>0</v>
      </c>
      <c r="F22" s="322">
        <f>'P NP TAMBAK IKAN'!AI9</f>
        <v>0</v>
      </c>
      <c r="G22" s="322">
        <f>'P NP TAMBAK IKAN'!AJ9</f>
        <v>0</v>
      </c>
      <c r="H22" s="322">
        <f>'P NP TAMBAK IKAN'!AI10</f>
        <v>0</v>
      </c>
      <c r="I22" s="322">
        <f>'P NP TAMBAK IKAN'!AJ10</f>
        <v>0</v>
      </c>
      <c r="J22" s="322">
        <f>'P NP TAMBAK IKAN'!AI11</f>
        <v>0</v>
      </c>
      <c r="K22" s="322">
        <f>'P NP TAMBAK IKAN'!AJ11</f>
        <v>0</v>
      </c>
      <c r="L22" s="322">
        <f>'P NP TAMBAK IKAN'!AI12</f>
        <v>0</v>
      </c>
      <c r="M22" s="322">
        <f>'P NP TAMBAK IKAN'!AJ12</f>
        <v>0</v>
      </c>
      <c r="N22" s="322">
        <f>'P NP TAMBAK IKAN'!AI13</f>
        <v>0</v>
      </c>
      <c r="O22" s="322">
        <f>'P NP TAMBAK IKAN'!AJ13</f>
        <v>0</v>
      </c>
      <c r="P22" s="322">
        <f>'P NP TAMBAK IKAN'!AI14</f>
        <v>0</v>
      </c>
      <c r="Q22" s="322">
        <f>'P NP TAMBAK IKAN'!AJ14</f>
        <v>0</v>
      </c>
      <c r="R22" s="322">
        <f>'P NP TAMBAK IKAN'!AI15</f>
        <v>0</v>
      </c>
      <c r="S22" s="322">
        <f>'P NP TAMBAK IKAN'!AJ15</f>
        <v>0</v>
      </c>
      <c r="T22" s="322">
        <f>'P NP TAMBAK IKAN'!AI16</f>
        <v>0</v>
      </c>
      <c r="U22" s="322">
        <f>'P NP TAMBAK IKAN'!AJ16</f>
        <v>0</v>
      </c>
      <c r="V22" s="322">
        <f>'P NP TAMBAK IKAN'!AI17</f>
        <v>0</v>
      </c>
      <c r="W22" s="322">
        <f>'P NP TAMBAK IKAN'!AJ17</f>
        <v>0</v>
      </c>
      <c r="X22" s="322">
        <f>'P NP TAMBAK IKAN'!AI18</f>
        <v>0</v>
      </c>
      <c r="Y22" s="322">
        <f>'P NP TAMBAK IKAN'!AJ18</f>
        <v>0</v>
      </c>
      <c r="Z22" s="322">
        <f>'P NP TAMBAK IKAN'!AI19</f>
        <v>0</v>
      </c>
      <c r="AA22" s="322">
        <f>'P NP TAMBAK IKAN'!AJ19</f>
        <v>0</v>
      </c>
      <c r="AB22" s="322">
        <f>'P NP TAMBAK IKAN'!AI20</f>
        <v>0</v>
      </c>
      <c r="AC22" s="322">
        <f>'P NP TAMBAK IKAN'!AJ20</f>
        <v>0</v>
      </c>
      <c r="AD22" s="322">
        <f>'P NP TAMBAK IKAN'!AI21</f>
        <v>0</v>
      </c>
      <c r="AE22" s="322">
        <f>'P NP TAMBAK IKAN'!AJ21</f>
        <v>0</v>
      </c>
      <c r="AF22" s="322">
        <f>'P NP TAMBAK IKAN'!AI22</f>
        <v>0</v>
      </c>
      <c r="AG22" s="322">
        <f>'P NP TAMBAK IKAN'!AJ22</f>
        <v>0</v>
      </c>
      <c r="AH22" s="322">
        <f>'P NP TAMBAK IKAN'!AI23</f>
        <v>0</v>
      </c>
      <c r="AI22" s="322">
        <f>'P NP TAMBAK IKAN'!AJ23</f>
        <v>0</v>
      </c>
      <c r="AJ22" s="322">
        <f>'P NP TAMBAK IKAN'!AI24</f>
        <v>0</v>
      </c>
      <c r="AK22" s="322">
        <f>'P NP TAMBAK IKAN'!AJ24</f>
        <v>0</v>
      </c>
      <c r="AL22" s="322">
        <f>'P NP TAMBAK IKAN'!AI25</f>
        <v>0</v>
      </c>
      <c r="AM22" s="322">
        <f>'P NP TAMBAK IKAN'!AJ25</f>
        <v>0</v>
      </c>
      <c r="AN22" s="322">
        <f>'P NP TAMBAK IKAN'!AI26</f>
        <v>0</v>
      </c>
      <c r="AO22" s="322">
        <f>'P NP TAMBAK IKAN'!AJ26</f>
        <v>0</v>
      </c>
      <c r="AP22" s="322">
        <f>'P NP TAMBAK IKAN'!AI27</f>
        <v>0</v>
      </c>
      <c r="AQ22" s="322">
        <f>'P NP TAMBAK IKAN'!AJ27</f>
        <v>0</v>
      </c>
      <c r="AR22" s="322">
        <f>'P NP TAMBAK IKAN'!AI28</f>
        <v>0</v>
      </c>
      <c r="AS22" s="322">
        <f>'P NP TAMBAK IKAN'!AJ28</f>
        <v>0</v>
      </c>
      <c r="AT22" s="322">
        <f>'P NP TAMBAK IKAN'!AI29</f>
        <v>0</v>
      </c>
      <c r="AU22" s="322">
        <f>'P NP TAMBAK IKAN'!AJ29</f>
        <v>0</v>
      </c>
      <c r="AV22" s="322">
        <f>'P NP TAMBAK IKAN'!AI30</f>
        <v>0</v>
      </c>
      <c r="AW22" s="322">
        <f>'P NP TAMBAK IKAN'!AJ30</f>
        <v>0</v>
      </c>
      <c r="AX22" s="322">
        <f>'P NP TAMBAK IKAN'!AI31</f>
        <v>0</v>
      </c>
      <c r="AY22" s="322">
        <f>'P NP TAMBAK IKAN'!AJ31</f>
        <v>0</v>
      </c>
      <c r="AZ22" s="322">
        <f>'P NP TAMBAK IKAN'!AI32</f>
        <v>0</v>
      </c>
      <c r="BA22" s="322">
        <f>'P NP TAMBAK IKAN'!AJ32</f>
        <v>0</v>
      </c>
      <c r="BB22" s="322">
        <f>'P NP TAMBAK IKAN'!AI33</f>
        <v>0</v>
      </c>
      <c r="BC22" s="322">
        <f>'P NP TAMBAK IKAN'!AJ33</f>
        <v>0</v>
      </c>
      <c r="BD22" s="322">
        <f>'P NP TAMBAK IKAN'!AI34</f>
        <v>0</v>
      </c>
      <c r="BE22" s="322">
        <f>'P NP TAMBAK IKAN'!AJ34</f>
        <v>0</v>
      </c>
      <c r="BF22" s="322">
        <f>'P NP TAMBAK IKAN'!AI43</f>
        <v>0</v>
      </c>
      <c r="BG22" s="322">
        <f>'P NP TAMBAK IKAN'!AJ43</f>
        <v>0</v>
      </c>
      <c r="BH22" s="322">
        <f>'P NP TAMBAK IKAN'!AI44</f>
        <v>0</v>
      </c>
      <c r="BI22" s="322">
        <f>'P NP TAMBAK IKAN'!AJ44</f>
        <v>0</v>
      </c>
      <c r="BJ22" s="322">
        <f>'P NP TAMBAK IKAN'!C61</f>
        <v>0</v>
      </c>
      <c r="BK22" s="322">
        <f>'P NP TAMBAK IKAN'!D61</f>
        <v>0</v>
      </c>
      <c r="BL22" s="322">
        <f>'P NP TAMBAK IKAN'!C62</f>
        <v>0</v>
      </c>
      <c r="BM22" s="322">
        <f>'P NP TAMBAK IKAN'!D62</f>
        <v>0</v>
      </c>
      <c r="BN22" s="322">
        <f>'P NP TAMBAK IKAN'!C63</f>
        <v>0</v>
      </c>
      <c r="BO22" s="322">
        <f>'P NP TAMBAK IKAN'!D63</f>
        <v>0</v>
      </c>
      <c r="BP22" s="322">
        <f>'P NP TAMBAK IKAN'!C64</f>
        <v>0</v>
      </c>
      <c r="BQ22" s="322">
        <f>'P NP TAMBAK IKAN'!D64</f>
        <v>0</v>
      </c>
      <c r="BR22" s="322">
        <f>'P NP TAMBAK IKAN'!C65</f>
        <v>0</v>
      </c>
      <c r="BS22" s="322">
        <f>'P NP TAMBAK IKAN'!D65</f>
        <v>0</v>
      </c>
      <c r="BT22" s="322">
        <f>'P NP TAMBAK IKAN'!C66</f>
        <v>0</v>
      </c>
      <c r="BU22" s="322">
        <f>'P NP TAMBAK IKAN'!D66</f>
        <v>0</v>
      </c>
      <c r="BV22" s="322">
        <f>'P NP TAMBAK IKAN'!C67</f>
        <v>0</v>
      </c>
      <c r="BW22" s="322">
        <f>'P NP TAMBAK IKAN'!D67</f>
        <v>0</v>
      </c>
      <c r="BX22" s="322">
        <f>'P NP TAMBAK IKAN'!C68</f>
        <v>0</v>
      </c>
      <c r="BY22" s="322">
        <f>'P NP TAMBAK IKAN'!D68</f>
        <v>0</v>
      </c>
      <c r="CA22" s="322">
        <f t="shared" si="5"/>
        <v>0</v>
      </c>
      <c r="CB22" s="322">
        <f t="shared" ca="1" si="6"/>
        <v>0</v>
      </c>
    </row>
    <row r="23" spans="1:80">
      <c r="A23" s="260" t="s">
        <v>112</v>
      </c>
      <c r="B23" s="320">
        <f t="shared" si="3"/>
        <v>1732575</v>
      </c>
      <c r="C23" s="320">
        <f t="shared" si="4"/>
        <v>137502608</v>
      </c>
      <c r="D23" s="322">
        <f>'P NP TAMBAK IKAN'!AK8</f>
        <v>0</v>
      </c>
      <c r="E23" s="322">
        <f>'P NP TAMBAK IKAN'!AL8</f>
        <v>0</v>
      </c>
      <c r="F23" s="322">
        <f>'P NP TAMBAK IKAN'!AK9</f>
        <v>0</v>
      </c>
      <c r="G23" s="322">
        <f>'P NP TAMBAK IKAN'!AL9</f>
        <v>0</v>
      </c>
      <c r="H23" s="322">
        <f>'P NP TAMBAK IKAN'!AK10</f>
        <v>0</v>
      </c>
      <c r="I23" s="322">
        <f>'P NP TAMBAK IKAN'!AL10</f>
        <v>0</v>
      </c>
      <c r="J23" s="322">
        <f>'P NP TAMBAK IKAN'!AK11</f>
        <v>0</v>
      </c>
      <c r="K23" s="322">
        <f>'P NP TAMBAK IKAN'!AL11</f>
        <v>0</v>
      </c>
      <c r="L23" s="322">
        <f>'P NP TAMBAK IKAN'!AK12</f>
        <v>0</v>
      </c>
      <c r="M23" s="322">
        <f>'P NP TAMBAK IKAN'!AL12</f>
        <v>0</v>
      </c>
      <c r="N23" s="322">
        <f>'P NP TAMBAK IKAN'!AK13</f>
        <v>0</v>
      </c>
      <c r="O23" s="322">
        <f>'P NP TAMBAK IKAN'!AL13</f>
        <v>0</v>
      </c>
      <c r="P23" s="322">
        <f>'P NP TAMBAK IKAN'!AK14</f>
        <v>0</v>
      </c>
      <c r="Q23" s="322">
        <f>'P NP TAMBAK IKAN'!AL14</f>
        <v>0</v>
      </c>
      <c r="R23" s="322">
        <f>'P NP TAMBAK IKAN'!AK15</f>
        <v>0</v>
      </c>
      <c r="S23" s="322">
        <f>'P NP TAMBAK IKAN'!AL15</f>
        <v>0</v>
      </c>
      <c r="T23" s="322">
        <f>'P NP TAMBAK IKAN'!AK16</f>
        <v>601</v>
      </c>
      <c r="U23" s="322">
        <f>'P NP TAMBAK IKAN'!AL16</f>
        <v>108180</v>
      </c>
      <c r="V23" s="322">
        <f>'P NP TAMBAK IKAN'!AK17</f>
        <v>0</v>
      </c>
      <c r="W23" s="322">
        <f>'P NP TAMBAK IKAN'!AL17</f>
        <v>0</v>
      </c>
      <c r="X23" s="322">
        <f>'P NP TAMBAK IKAN'!AK18</f>
        <v>0</v>
      </c>
      <c r="Y23" s="322">
        <f>'P NP TAMBAK IKAN'!AL18</f>
        <v>0</v>
      </c>
      <c r="Z23" s="322">
        <f>'P NP TAMBAK IKAN'!AK19</f>
        <v>0</v>
      </c>
      <c r="AA23" s="322">
        <f>'P NP TAMBAK IKAN'!AL19</f>
        <v>0</v>
      </c>
      <c r="AB23" s="322">
        <f>'P NP TAMBAK IKAN'!AK20</f>
        <v>0</v>
      </c>
      <c r="AC23" s="322">
        <f>'P NP TAMBAK IKAN'!AL20</f>
        <v>0</v>
      </c>
      <c r="AD23" s="322">
        <f>'P NP TAMBAK IKAN'!AK21</f>
        <v>0</v>
      </c>
      <c r="AE23" s="322">
        <f>'P NP TAMBAK IKAN'!AL21</f>
        <v>0</v>
      </c>
      <c r="AF23" s="322">
        <f>'P NP TAMBAK IKAN'!AK22</f>
        <v>0</v>
      </c>
      <c r="AG23" s="322">
        <f>'P NP TAMBAK IKAN'!AL22</f>
        <v>0</v>
      </c>
      <c r="AH23" s="322">
        <f>'P NP TAMBAK IKAN'!AK23</f>
        <v>0</v>
      </c>
      <c r="AI23" s="322">
        <f>'P NP TAMBAK IKAN'!AL23</f>
        <v>0</v>
      </c>
      <c r="AJ23" s="322">
        <f>'P NP TAMBAK IKAN'!AK24</f>
        <v>0</v>
      </c>
      <c r="AK23" s="322">
        <f>'P NP TAMBAK IKAN'!AL24</f>
        <v>0</v>
      </c>
      <c r="AL23" s="322">
        <f>'P NP TAMBAK IKAN'!AK25</f>
        <v>0</v>
      </c>
      <c r="AM23" s="322">
        <f>'P NP TAMBAK IKAN'!AL25</f>
        <v>0</v>
      </c>
      <c r="AN23" s="322">
        <f>'P NP TAMBAK IKAN'!AK26</f>
        <v>0</v>
      </c>
      <c r="AO23" s="322">
        <f>'P NP TAMBAK IKAN'!AL26</f>
        <v>0</v>
      </c>
      <c r="AP23" s="322">
        <f>'P NP TAMBAK IKAN'!AK27</f>
        <v>0</v>
      </c>
      <c r="AQ23" s="322">
        <f>'P NP TAMBAK IKAN'!AL27</f>
        <v>0</v>
      </c>
      <c r="AR23" s="322">
        <f>'P NP TAMBAK IKAN'!AK28</f>
        <v>0</v>
      </c>
      <c r="AS23" s="322">
        <f>'P NP TAMBAK IKAN'!AL28</f>
        <v>0</v>
      </c>
      <c r="AT23" s="322">
        <f>'P NP TAMBAK IKAN'!AK29</f>
        <v>0</v>
      </c>
      <c r="AU23" s="322">
        <f>'P NP TAMBAK IKAN'!AL29</f>
        <v>0</v>
      </c>
      <c r="AV23" s="322">
        <f>'P NP TAMBAK IKAN'!AK30</f>
        <v>0</v>
      </c>
      <c r="AW23" s="322">
        <f>'P NP TAMBAK IKAN'!AL30</f>
        <v>0</v>
      </c>
      <c r="AX23" s="322">
        <f>'P NP TAMBAK IKAN'!AK31</f>
        <v>0</v>
      </c>
      <c r="AY23" s="322">
        <f>'P NP TAMBAK IKAN'!AL31</f>
        <v>0</v>
      </c>
      <c r="AZ23" s="322">
        <f>'P NP TAMBAK IKAN'!AK32</f>
        <v>0</v>
      </c>
      <c r="BA23" s="322">
        <f>'P NP TAMBAK IKAN'!AL32</f>
        <v>0</v>
      </c>
      <c r="BB23" s="322">
        <f>'P NP TAMBAK IKAN'!AK33</f>
        <v>1731974</v>
      </c>
      <c r="BC23" s="322">
        <f>'P NP TAMBAK IKAN'!AL33</f>
        <v>137394428</v>
      </c>
      <c r="BD23" s="322">
        <f>'P NP TAMBAK IKAN'!AK34</f>
        <v>0</v>
      </c>
      <c r="BE23" s="322">
        <f>'P NP TAMBAK IKAN'!AL34</f>
        <v>0</v>
      </c>
      <c r="BF23" s="322">
        <f>'P NP TAMBAK IKAN'!AK43</f>
        <v>0</v>
      </c>
      <c r="BG23" s="322">
        <f>'P NP TAMBAK IKAN'!AL43</f>
        <v>0</v>
      </c>
      <c r="BH23" s="322">
        <f>'P NP TAMBAK IKAN'!AK44</f>
        <v>0</v>
      </c>
      <c r="BI23" s="322">
        <f>'P NP TAMBAK IKAN'!AL44</f>
        <v>0</v>
      </c>
      <c r="BJ23" s="322">
        <f>'P NP TAMBAK IKAN'!C62</f>
        <v>0</v>
      </c>
      <c r="BK23" s="322">
        <f>'P NP TAMBAK IKAN'!D62</f>
        <v>0</v>
      </c>
      <c r="BL23" s="322">
        <f>'P NP TAMBAK IKAN'!C63</f>
        <v>0</v>
      </c>
      <c r="BM23" s="322">
        <f>'P NP TAMBAK IKAN'!D63</f>
        <v>0</v>
      </c>
      <c r="BN23" s="322">
        <f>'P NP TAMBAK IKAN'!C64</f>
        <v>0</v>
      </c>
      <c r="BO23" s="322">
        <f>'P NP TAMBAK IKAN'!D64</f>
        <v>0</v>
      </c>
      <c r="BP23" s="322">
        <f>'P NP TAMBAK IKAN'!C65</f>
        <v>0</v>
      </c>
      <c r="BQ23" s="322">
        <f>'P NP TAMBAK IKAN'!D65</f>
        <v>0</v>
      </c>
      <c r="BR23" s="322">
        <f>'P NP TAMBAK IKAN'!C66</f>
        <v>0</v>
      </c>
      <c r="BS23" s="322">
        <f>'P NP TAMBAK IKAN'!D66</f>
        <v>0</v>
      </c>
      <c r="BT23" s="322">
        <f>'P NP TAMBAK IKAN'!C67</f>
        <v>0</v>
      </c>
      <c r="BU23" s="322">
        <f>'P NP TAMBAK IKAN'!D67</f>
        <v>0</v>
      </c>
      <c r="BV23" s="322">
        <f>'P NP TAMBAK IKAN'!C68</f>
        <v>0</v>
      </c>
      <c r="BW23" s="322">
        <f>'P NP TAMBAK IKAN'!D68</f>
        <v>0</v>
      </c>
      <c r="BX23" s="322">
        <f>'P NP TAMBAK IKAN'!C69</f>
        <v>0</v>
      </c>
      <c r="BY23" s="322">
        <f>'P NP TAMBAK IKAN'!D69</f>
        <v>0</v>
      </c>
      <c r="CA23" s="322">
        <f t="shared" si="5"/>
        <v>1732575</v>
      </c>
      <c r="CB23" s="322">
        <f t="shared" ca="1" si="6"/>
        <v>1732575</v>
      </c>
    </row>
    <row r="24" spans="1:80">
      <c r="A24" s="260" t="s">
        <v>139</v>
      </c>
      <c r="B24" s="320">
        <f t="shared" si="3"/>
        <v>515643</v>
      </c>
      <c r="C24" s="320">
        <f t="shared" si="4"/>
        <v>33231010</v>
      </c>
      <c r="D24" s="322">
        <f>'P NP TAMBAK IKAN'!AM8</f>
        <v>3243</v>
      </c>
      <c r="E24" s="322">
        <f>'P NP TAMBAK IKAN'!AN8</f>
        <v>97290</v>
      </c>
      <c r="F24" s="322">
        <f>'P NP TAMBAK IKAN'!AM9</f>
        <v>0</v>
      </c>
      <c r="G24" s="322">
        <f>'P NP TAMBAK IKAN'!AN9</f>
        <v>0</v>
      </c>
      <c r="H24" s="322">
        <f>'P NP TAMBAK IKAN'!AM10</f>
        <v>0</v>
      </c>
      <c r="I24" s="322">
        <f>'P NP TAMBAK IKAN'!AN10</f>
        <v>0</v>
      </c>
      <c r="J24" s="322">
        <f>'P NP TAMBAK IKAN'!AM11</f>
        <v>0</v>
      </c>
      <c r="K24" s="322">
        <f>'P NP TAMBAK IKAN'!AN11</f>
        <v>0</v>
      </c>
      <c r="L24" s="322">
        <f>'P NP TAMBAK IKAN'!AM12</f>
        <v>0</v>
      </c>
      <c r="M24" s="322">
        <f>'P NP TAMBAK IKAN'!AN12</f>
        <v>0</v>
      </c>
      <c r="N24" s="322">
        <f>'P NP TAMBAK IKAN'!AM13</f>
        <v>0</v>
      </c>
      <c r="O24" s="322">
        <f>'P NP TAMBAK IKAN'!AN13</f>
        <v>0</v>
      </c>
      <c r="P24" s="322">
        <f>'P NP TAMBAK IKAN'!AM14</f>
        <v>0</v>
      </c>
      <c r="Q24" s="322">
        <f>'P NP TAMBAK IKAN'!AN14</f>
        <v>0</v>
      </c>
      <c r="R24" s="322">
        <f>'P NP TAMBAK IKAN'!AM15</f>
        <v>0</v>
      </c>
      <c r="S24" s="322">
        <f>'P NP TAMBAK IKAN'!AN15</f>
        <v>0</v>
      </c>
      <c r="T24" s="322">
        <f>'P NP TAMBAK IKAN'!AM16</f>
        <v>0</v>
      </c>
      <c r="U24" s="322">
        <f>'P NP TAMBAK IKAN'!AN16</f>
        <v>0</v>
      </c>
      <c r="V24" s="322">
        <f>'P NP TAMBAK IKAN'!AM17</f>
        <v>0</v>
      </c>
      <c r="W24" s="322">
        <f>'P NP TAMBAK IKAN'!AN17</f>
        <v>0</v>
      </c>
      <c r="X24" s="322">
        <f>'P NP TAMBAK IKAN'!AM18</f>
        <v>0</v>
      </c>
      <c r="Y24" s="322">
        <f>'P NP TAMBAK IKAN'!AN18</f>
        <v>0</v>
      </c>
      <c r="Z24" s="322">
        <f>'P NP TAMBAK IKAN'!AM19</f>
        <v>0</v>
      </c>
      <c r="AA24" s="322">
        <f>'P NP TAMBAK IKAN'!AN19</f>
        <v>0</v>
      </c>
      <c r="AB24" s="322">
        <f>'P NP TAMBAK IKAN'!AM20</f>
        <v>0</v>
      </c>
      <c r="AC24" s="322">
        <f>'P NP TAMBAK IKAN'!AN20</f>
        <v>0</v>
      </c>
      <c r="AD24" s="322">
        <f>'P NP TAMBAK IKAN'!AM21</f>
        <v>0</v>
      </c>
      <c r="AE24" s="322">
        <f>'P NP TAMBAK IKAN'!AN21</f>
        <v>0</v>
      </c>
      <c r="AF24" s="322">
        <f>'P NP TAMBAK IKAN'!AM22</f>
        <v>0</v>
      </c>
      <c r="AG24" s="322">
        <f>'P NP TAMBAK IKAN'!AN22</f>
        <v>0</v>
      </c>
      <c r="AH24" s="322">
        <f>'P NP TAMBAK IKAN'!AM23</f>
        <v>0</v>
      </c>
      <c r="AI24" s="322">
        <f>'P NP TAMBAK IKAN'!AN23</f>
        <v>0</v>
      </c>
      <c r="AJ24" s="322">
        <f>'P NP TAMBAK IKAN'!AM24</f>
        <v>0</v>
      </c>
      <c r="AK24" s="322">
        <f>'P NP TAMBAK IKAN'!AN24</f>
        <v>0</v>
      </c>
      <c r="AL24" s="322">
        <f>'P NP TAMBAK IKAN'!AM25</f>
        <v>0</v>
      </c>
      <c r="AM24" s="322">
        <f>'P NP TAMBAK IKAN'!AN25</f>
        <v>0</v>
      </c>
      <c r="AN24" s="322">
        <f>'P NP TAMBAK IKAN'!AM26</f>
        <v>0</v>
      </c>
      <c r="AO24" s="322">
        <f>'P NP TAMBAK IKAN'!AN26</f>
        <v>0</v>
      </c>
      <c r="AP24" s="322">
        <f>'P NP TAMBAK IKAN'!AM27</f>
        <v>0</v>
      </c>
      <c r="AQ24" s="322">
        <f>'P NP TAMBAK IKAN'!AN27</f>
        <v>0</v>
      </c>
      <c r="AR24" s="322">
        <f>'P NP TAMBAK IKAN'!AM28</f>
        <v>0</v>
      </c>
      <c r="AS24" s="322">
        <f>'P NP TAMBAK IKAN'!AN28</f>
        <v>0</v>
      </c>
      <c r="AT24" s="322">
        <f>'P NP TAMBAK IKAN'!AM29</f>
        <v>0</v>
      </c>
      <c r="AU24" s="322">
        <f>'P NP TAMBAK IKAN'!AN29</f>
        <v>0</v>
      </c>
      <c r="AV24" s="322">
        <f>'P NP TAMBAK IKAN'!AM30</f>
        <v>0</v>
      </c>
      <c r="AW24" s="322">
        <f>'P NP TAMBAK IKAN'!AN30</f>
        <v>0</v>
      </c>
      <c r="AX24" s="322">
        <f>'P NP TAMBAK IKAN'!AM31</f>
        <v>0</v>
      </c>
      <c r="AY24" s="322">
        <f>'P NP TAMBAK IKAN'!AN31</f>
        <v>0</v>
      </c>
      <c r="AZ24" s="322">
        <f>'P NP TAMBAK IKAN'!AM32</f>
        <v>0</v>
      </c>
      <c r="BA24" s="322">
        <f>'P NP TAMBAK IKAN'!AN32</f>
        <v>0</v>
      </c>
      <c r="BB24" s="322">
        <f>'P NP TAMBAK IKAN'!AM33</f>
        <v>512400</v>
      </c>
      <c r="BC24" s="322">
        <f>'P NP TAMBAK IKAN'!AN33</f>
        <v>33133720</v>
      </c>
      <c r="BD24" s="322">
        <f>'P NP TAMBAK IKAN'!AM34</f>
        <v>0</v>
      </c>
      <c r="BE24" s="322">
        <f>'P NP TAMBAK IKAN'!AN34</f>
        <v>0</v>
      </c>
      <c r="BF24" s="322">
        <f>'P NP TAMBAK IKAN'!AM43</f>
        <v>0</v>
      </c>
      <c r="BG24" s="322">
        <f>'P NP TAMBAK IKAN'!AN43</f>
        <v>0</v>
      </c>
      <c r="BH24" s="322">
        <f>'P NP TAMBAK IKAN'!AM44</f>
        <v>0</v>
      </c>
      <c r="BI24" s="322">
        <f>'P NP TAMBAK IKAN'!AN44</f>
        <v>0</v>
      </c>
      <c r="BJ24" s="322">
        <f>'P NP TAMBAK IKAN'!C63</f>
        <v>0</v>
      </c>
      <c r="BK24" s="322">
        <f>'P NP TAMBAK IKAN'!D63</f>
        <v>0</v>
      </c>
      <c r="BL24" s="322">
        <f>'P NP TAMBAK IKAN'!C64</f>
        <v>0</v>
      </c>
      <c r="BM24" s="322">
        <f>'P NP TAMBAK IKAN'!D64</f>
        <v>0</v>
      </c>
      <c r="BN24" s="322">
        <f>'P NP TAMBAK IKAN'!C65</f>
        <v>0</v>
      </c>
      <c r="BO24" s="322">
        <f>'P NP TAMBAK IKAN'!D65</f>
        <v>0</v>
      </c>
      <c r="BP24" s="322">
        <f>'P NP TAMBAK IKAN'!C66</f>
        <v>0</v>
      </c>
      <c r="BQ24" s="322">
        <f>'P NP TAMBAK IKAN'!D66</f>
        <v>0</v>
      </c>
      <c r="BR24" s="322">
        <f>'P NP TAMBAK IKAN'!C67</f>
        <v>0</v>
      </c>
      <c r="BS24" s="322">
        <f>'P NP TAMBAK IKAN'!D67</f>
        <v>0</v>
      </c>
      <c r="BT24" s="322">
        <f>'P NP TAMBAK IKAN'!C68</f>
        <v>0</v>
      </c>
      <c r="BU24" s="322">
        <f>'P NP TAMBAK IKAN'!D68</f>
        <v>0</v>
      </c>
      <c r="BV24" s="322">
        <f>'P NP TAMBAK IKAN'!C69</f>
        <v>0</v>
      </c>
      <c r="BW24" s="322">
        <f>'P NP TAMBAK IKAN'!D69</f>
        <v>0</v>
      </c>
      <c r="BX24" s="322">
        <f>'P NP TAMBAK IKAN'!C70</f>
        <v>0</v>
      </c>
      <c r="BY24" s="322">
        <f>'P NP TAMBAK IKAN'!D70</f>
        <v>0</v>
      </c>
      <c r="CA24" s="322">
        <f t="shared" si="5"/>
        <v>515643</v>
      </c>
      <c r="CB24" s="322">
        <f t="shared" ca="1" si="6"/>
        <v>512400</v>
      </c>
    </row>
    <row r="25" spans="1:80">
      <c r="A25" s="260" t="s">
        <v>125</v>
      </c>
      <c r="B25" s="320">
        <f t="shared" si="3"/>
        <v>9211002.7800000012</v>
      </c>
      <c r="C25" s="320">
        <f t="shared" si="4"/>
        <v>151727484</v>
      </c>
      <c r="D25" s="322">
        <f>'P NP TAMBAK IKAN'!AO8</f>
        <v>4701852.6500000004</v>
      </c>
      <c r="E25" s="322">
        <f>'P NP TAMBAK IKAN'!AP8</f>
        <v>83738548</v>
      </c>
      <c r="F25" s="322">
        <f>'P NP TAMBAK IKAN'!AO9</f>
        <v>0</v>
      </c>
      <c r="G25" s="322">
        <f>'P NP TAMBAK IKAN'!AP9</f>
        <v>0</v>
      </c>
      <c r="H25" s="322">
        <f>'P NP TAMBAK IKAN'!AO10</f>
        <v>0</v>
      </c>
      <c r="I25" s="322">
        <f>'P NP TAMBAK IKAN'!AP10</f>
        <v>0</v>
      </c>
      <c r="J25" s="322">
        <f>'P NP TAMBAK IKAN'!AO11</f>
        <v>0</v>
      </c>
      <c r="K25" s="322">
        <f>'P NP TAMBAK IKAN'!AP11</f>
        <v>0</v>
      </c>
      <c r="L25" s="322">
        <f>'P NP TAMBAK IKAN'!AO12</f>
        <v>0</v>
      </c>
      <c r="M25" s="322">
        <f>'P NP TAMBAK IKAN'!AP12</f>
        <v>0</v>
      </c>
      <c r="N25" s="322">
        <f>'P NP TAMBAK IKAN'!AO13</f>
        <v>3173310.86</v>
      </c>
      <c r="O25" s="322">
        <f>'P NP TAMBAK IKAN'!AP13</f>
        <v>4759959</v>
      </c>
      <c r="P25" s="322">
        <f>'P NP TAMBAK IKAN'!AO14</f>
        <v>0</v>
      </c>
      <c r="Q25" s="322">
        <f>'P NP TAMBAK IKAN'!AP14</f>
        <v>0</v>
      </c>
      <c r="R25" s="322">
        <f>'P NP TAMBAK IKAN'!AO15</f>
        <v>0</v>
      </c>
      <c r="S25" s="322">
        <f>'P NP TAMBAK IKAN'!AP15</f>
        <v>0</v>
      </c>
      <c r="T25" s="322">
        <f>'P NP TAMBAK IKAN'!AO16</f>
        <v>0</v>
      </c>
      <c r="U25" s="322">
        <f>'P NP TAMBAK IKAN'!AP16</f>
        <v>0</v>
      </c>
      <c r="V25" s="322">
        <f>'P NP TAMBAK IKAN'!AO17</f>
        <v>0</v>
      </c>
      <c r="W25" s="322">
        <f>'P NP TAMBAK IKAN'!AP17</f>
        <v>0</v>
      </c>
      <c r="X25" s="322">
        <f>'P NP TAMBAK IKAN'!AO18</f>
        <v>0</v>
      </c>
      <c r="Y25" s="322">
        <f>'P NP TAMBAK IKAN'!AP18</f>
        <v>0</v>
      </c>
      <c r="Z25" s="322">
        <f>'P NP TAMBAK IKAN'!AO19</f>
        <v>0</v>
      </c>
      <c r="AA25" s="322">
        <f>'P NP TAMBAK IKAN'!AP19</f>
        <v>0</v>
      </c>
      <c r="AB25" s="322">
        <f>'P NP TAMBAK IKAN'!AO20</f>
        <v>0</v>
      </c>
      <c r="AC25" s="322">
        <f>'P NP TAMBAK IKAN'!AP20</f>
        <v>0</v>
      </c>
      <c r="AD25" s="322">
        <f>'P NP TAMBAK IKAN'!AO21</f>
        <v>0</v>
      </c>
      <c r="AE25" s="322">
        <f>'P NP TAMBAK IKAN'!AP21</f>
        <v>0</v>
      </c>
      <c r="AF25" s="322">
        <f>'P NP TAMBAK IKAN'!AO22</f>
        <v>0</v>
      </c>
      <c r="AG25" s="322">
        <f>'P NP TAMBAK IKAN'!AP22</f>
        <v>0</v>
      </c>
      <c r="AH25" s="322">
        <f>'P NP TAMBAK IKAN'!AO23</f>
        <v>0</v>
      </c>
      <c r="AI25" s="322">
        <f>'P NP TAMBAK IKAN'!AP23</f>
        <v>0</v>
      </c>
      <c r="AJ25" s="322">
        <f>'P NP TAMBAK IKAN'!AO24</f>
        <v>0</v>
      </c>
      <c r="AK25" s="322">
        <f>'P NP TAMBAK IKAN'!AP24</f>
        <v>0</v>
      </c>
      <c r="AL25" s="322">
        <f>'P NP TAMBAK IKAN'!AO25</f>
        <v>0</v>
      </c>
      <c r="AM25" s="322">
        <f>'P NP TAMBAK IKAN'!AP25</f>
        <v>0</v>
      </c>
      <c r="AN25" s="322">
        <f>'P NP TAMBAK IKAN'!AO26</f>
        <v>267180.89999999997</v>
      </c>
      <c r="AO25" s="322">
        <f>'P NP TAMBAK IKAN'!AP26</f>
        <v>4836897</v>
      </c>
      <c r="AP25" s="322">
        <f>'P NP TAMBAK IKAN'!AO27</f>
        <v>0</v>
      </c>
      <c r="AQ25" s="322">
        <f>'P NP TAMBAK IKAN'!AP27</f>
        <v>0</v>
      </c>
      <c r="AR25" s="322">
        <f>'P NP TAMBAK IKAN'!AO28</f>
        <v>0</v>
      </c>
      <c r="AS25" s="322">
        <f>'P NP TAMBAK IKAN'!AP28</f>
        <v>0</v>
      </c>
      <c r="AT25" s="322">
        <f>'P NP TAMBAK IKAN'!AO29</f>
        <v>0</v>
      </c>
      <c r="AU25" s="322">
        <f>'P NP TAMBAK IKAN'!AP29</f>
        <v>0</v>
      </c>
      <c r="AV25" s="322">
        <f>'P NP TAMBAK IKAN'!AO30</f>
        <v>0</v>
      </c>
      <c r="AW25" s="322">
        <f>'P NP TAMBAK IKAN'!AP30</f>
        <v>0</v>
      </c>
      <c r="AX25" s="322">
        <f>'P NP TAMBAK IKAN'!AO31</f>
        <v>0</v>
      </c>
      <c r="AY25" s="322">
        <f>'P NP TAMBAK IKAN'!AP31</f>
        <v>0</v>
      </c>
      <c r="AZ25" s="322">
        <f>'P NP TAMBAK IKAN'!AO32</f>
        <v>0</v>
      </c>
      <c r="BA25" s="322">
        <f>'P NP TAMBAK IKAN'!AP32</f>
        <v>0</v>
      </c>
      <c r="BB25" s="322">
        <f>'P NP TAMBAK IKAN'!AO33</f>
        <v>1036784.49</v>
      </c>
      <c r="BC25" s="322">
        <f>'P NP TAMBAK IKAN'!AP33</f>
        <v>55411074</v>
      </c>
      <c r="BD25" s="322">
        <f>'P NP TAMBAK IKAN'!AO34</f>
        <v>31873.879999999994</v>
      </c>
      <c r="BE25" s="322">
        <f>'P NP TAMBAK IKAN'!AP34</f>
        <v>2981006</v>
      </c>
      <c r="BF25" s="322">
        <f>'P NP TAMBAK IKAN'!AO43</f>
        <v>0</v>
      </c>
      <c r="BG25" s="322">
        <f>'P NP TAMBAK IKAN'!AP43</f>
        <v>0</v>
      </c>
      <c r="BH25" s="322">
        <f>'P NP TAMBAK IKAN'!AO44</f>
        <v>0</v>
      </c>
      <c r="BI25" s="322">
        <f>'P NP TAMBAK IKAN'!AP44</f>
        <v>0</v>
      </c>
      <c r="BJ25" s="322">
        <f>'P NP TAMBAK IKAN'!C64</f>
        <v>0</v>
      </c>
      <c r="BK25" s="322">
        <f>'P NP TAMBAK IKAN'!D64</f>
        <v>0</v>
      </c>
      <c r="BL25" s="322">
        <f>'P NP TAMBAK IKAN'!C65</f>
        <v>0</v>
      </c>
      <c r="BM25" s="322">
        <f>'P NP TAMBAK IKAN'!D65</f>
        <v>0</v>
      </c>
      <c r="BN25" s="322">
        <f>'P NP TAMBAK IKAN'!C66</f>
        <v>0</v>
      </c>
      <c r="BO25" s="322">
        <f>'P NP TAMBAK IKAN'!D66</f>
        <v>0</v>
      </c>
      <c r="BP25" s="322">
        <f>'P NP TAMBAK IKAN'!C67</f>
        <v>0</v>
      </c>
      <c r="BQ25" s="322">
        <f>'P NP TAMBAK IKAN'!D67</f>
        <v>0</v>
      </c>
      <c r="BR25" s="322">
        <f>'P NP TAMBAK IKAN'!C68</f>
        <v>0</v>
      </c>
      <c r="BS25" s="322">
        <f>'P NP TAMBAK IKAN'!D68</f>
        <v>0</v>
      </c>
      <c r="BT25" s="322">
        <f>'P NP TAMBAK IKAN'!C69</f>
        <v>0</v>
      </c>
      <c r="BU25" s="322">
        <f>'P NP TAMBAK IKAN'!D69</f>
        <v>0</v>
      </c>
      <c r="BV25" s="322">
        <f>'P NP TAMBAK IKAN'!C70</f>
        <v>0</v>
      </c>
      <c r="BW25" s="322">
        <f>'P NP TAMBAK IKAN'!D70</f>
        <v>0</v>
      </c>
      <c r="BX25" s="322">
        <f>'P NP TAMBAK IKAN'!C71</f>
        <v>0</v>
      </c>
      <c r="BY25" s="322">
        <f>'P NP TAMBAK IKAN'!D71</f>
        <v>0</v>
      </c>
      <c r="CA25" s="322">
        <f t="shared" si="5"/>
        <v>9211002.7800000012</v>
      </c>
      <c r="CB25" s="322">
        <f t="shared" ca="1" si="6"/>
        <v>4509150.13</v>
      </c>
    </row>
    <row r="26" spans="1:80">
      <c r="A26" s="260" t="s">
        <v>113</v>
      </c>
      <c r="B26" s="320">
        <f t="shared" si="3"/>
        <v>0</v>
      </c>
      <c r="C26" s="320">
        <f t="shared" si="4"/>
        <v>0</v>
      </c>
      <c r="D26" s="322">
        <f>'P NP TAMBAK IKAN'!AQ8</f>
        <v>0</v>
      </c>
      <c r="E26" s="322">
        <f>'P NP TAMBAK IKAN'!AR8</f>
        <v>0</v>
      </c>
      <c r="F26" s="322">
        <f>'P NP TAMBAK IKAN'!AQ9</f>
        <v>0</v>
      </c>
      <c r="G26" s="322">
        <f>'P NP TAMBAK IKAN'!AR9</f>
        <v>0</v>
      </c>
      <c r="H26" s="322">
        <f>'P NP TAMBAK IKAN'!AQ10</f>
        <v>0</v>
      </c>
      <c r="I26" s="322">
        <f>'P NP TAMBAK IKAN'!AR10</f>
        <v>0</v>
      </c>
      <c r="J26" s="322">
        <f>'P NP TAMBAK IKAN'!AQ11</f>
        <v>0</v>
      </c>
      <c r="K26" s="322">
        <f>'P NP TAMBAK IKAN'!AR11</f>
        <v>0</v>
      </c>
      <c r="L26" s="322">
        <f>'P NP TAMBAK IKAN'!AQ12</f>
        <v>0</v>
      </c>
      <c r="M26" s="322">
        <f>'P NP TAMBAK IKAN'!AR12</f>
        <v>0</v>
      </c>
      <c r="N26" s="322">
        <f>'P NP TAMBAK IKAN'!AQ13</f>
        <v>0</v>
      </c>
      <c r="O26" s="322">
        <f>'P NP TAMBAK IKAN'!AR13</f>
        <v>0</v>
      </c>
      <c r="P26" s="322">
        <f>'P NP TAMBAK IKAN'!AQ14</f>
        <v>0</v>
      </c>
      <c r="Q26" s="322">
        <f>'P NP TAMBAK IKAN'!AR14</f>
        <v>0</v>
      </c>
      <c r="R26" s="322">
        <f>'P NP TAMBAK IKAN'!AQ15</f>
        <v>0</v>
      </c>
      <c r="S26" s="322">
        <f>'P NP TAMBAK IKAN'!AR15</f>
        <v>0</v>
      </c>
      <c r="T26" s="322">
        <f>'P NP TAMBAK IKAN'!AQ16</f>
        <v>0</v>
      </c>
      <c r="U26" s="322">
        <f>'P NP TAMBAK IKAN'!AR16</f>
        <v>0</v>
      </c>
      <c r="V26" s="322">
        <f>'P NP TAMBAK IKAN'!AQ17</f>
        <v>0</v>
      </c>
      <c r="W26" s="322">
        <f>'P NP TAMBAK IKAN'!AR17</f>
        <v>0</v>
      </c>
      <c r="X26" s="322">
        <f>'P NP TAMBAK IKAN'!AQ18</f>
        <v>0</v>
      </c>
      <c r="Y26" s="322">
        <f>'P NP TAMBAK IKAN'!AR18</f>
        <v>0</v>
      </c>
      <c r="Z26" s="322">
        <f>'P NP TAMBAK IKAN'!AQ19</f>
        <v>0</v>
      </c>
      <c r="AA26" s="322">
        <f>'P NP TAMBAK IKAN'!AR19</f>
        <v>0</v>
      </c>
      <c r="AB26" s="322">
        <f>'P NP TAMBAK IKAN'!AQ20</f>
        <v>0</v>
      </c>
      <c r="AC26" s="322">
        <f>'P NP TAMBAK IKAN'!AR20</f>
        <v>0</v>
      </c>
      <c r="AD26" s="322">
        <f>'P NP TAMBAK IKAN'!AQ21</f>
        <v>0</v>
      </c>
      <c r="AE26" s="322">
        <f>'P NP TAMBAK IKAN'!AR21</f>
        <v>0</v>
      </c>
      <c r="AF26" s="322">
        <f>'P NP TAMBAK IKAN'!AQ22</f>
        <v>0</v>
      </c>
      <c r="AG26" s="322">
        <f>'P NP TAMBAK IKAN'!AR22</f>
        <v>0</v>
      </c>
      <c r="AH26" s="322">
        <f>'P NP TAMBAK IKAN'!AQ23</f>
        <v>0</v>
      </c>
      <c r="AI26" s="322">
        <f>'P NP TAMBAK IKAN'!AR23</f>
        <v>0</v>
      </c>
      <c r="AJ26" s="322">
        <f>'P NP TAMBAK IKAN'!AQ24</f>
        <v>0</v>
      </c>
      <c r="AK26" s="322">
        <f>'P NP TAMBAK IKAN'!AR24</f>
        <v>0</v>
      </c>
      <c r="AL26" s="322">
        <f>'P NP TAMBAK IKAN'!AQ25</f>
        <v>0</v>
      </c>
      <c r="AM26" s="322">
        <f>'P NP TAMBAK IKAN'!AR25</f>
        <v>0</v>
      </c>
      <c r="AN26" s="322">
        <f>'P NP TAMBAK IKAN'!AQ26</f>
        <v>0</v>
      </c>
      <c r="AO26" s="322">
        <f>'P NP TAMBAK IKAN'!AR26</f>
        <v>0</v>
      </c>
      <c r="AP26" s="322">
        <f>'P NP TAMBAK IKAN'!AQ27</f>
        <v>0</v>
      </c>
      <c r="AQ26" s="322">
        <f>'P NP TAMBAK IKAN'!AR27</f>
        <v>0</v>
      </c>
      <c r="AR26" s="322">
        <f>'P NP TAMBAK IKAN'!AQ28</f>
        <v>0</v>
      </c>
      <c r="AS26" s="322">
        <f>'P NP TAMBAK IKAN'!AR28</f>
        <v>0</v>
      </c>
      <c r="AT26" s="322">
        <f>'P NP TAMBAK IKAN'!AQ29</f>
        <v>0</v>
      </c>
      <c r="AU26" s="322">
        <f>'P NP TAMBAK IKAN'!AR29</f>
        <v>0</v>
      </c>
      <c r="AV26" s="322">
        <f>'P NP TAMBAK IKAN'!AQ30</f>
        <v>0</v>
      </c>
      <c r="AW26" s="322">
        <f>'P NP TAMBAK IKAN'!AR30</f>
        <v>0</v>
      </c>
      <c r="AX26" s="322">
        <f>'P NP TAMBAK IKAN'!AQ31</f>
        <v>0</v>
      </c>
      <c r="AY26" s="322">
        <f>'P NP TAMBAK IKAN'!AR31</f>
        <v>0</v>
      </c>
      <c r="AZ26" s="322">
        <f>'P NP TAMBAK IKAN'!AQ32</f>
        <v>0</v>
      </c>
      <c r="BA26" s="322">
        <f>'P NP TAMBAK IKAN'!AR32</f>
        <v>0</v>
      </c>
      <c r="BB26" s="322">
        <f>'P NP TAMBAK IKAN'!AQ33</f>
        <v>0</v>
      </c>
      <c r="BC26" s="322">
        <f>'P NP TAMBAK IKAN'!AR33</f>
        <v>0</v>
      </c>
      <c r="BD26" s="322">
        <f>'P NP TAMBAK IKAN'!AQ34</f>
        <v>0</v>
      </c>
      <c r="BE26" s="322">
        <f>'P NP TAMBAK IKAN'!AR34</f>
        <v>0</v>
      </c>
      <c r="BF26" s="322">
        <f>'P NP TAMBAK IKAN'!AQ43</f>
        <v>0</v>
      </c>
      <c r="BG26" s="322">
        <f>'P NP TAMBAK IKAN'!AR43</f>
        <v>0</v>
      </c>
      <c r="BH26" s="322">
        <f>'P NP TAMBAK IKAN'!AQ44</f>
        <v>0</v>
      </c>
      <c r="BI26" s="322">
        <f>'P NP TAMBAK IKAN'!AR44</f>
        <v>0</v>
      </c>
      <c r="BJ26" s="322">
        <f>'P NP TAMBAK IKAN'!C65</f>
        <v>0</v>
      </c>
      <c r="BK26" s="322">
        <f>'P NP TAMBAK IKAN'!D65</f>
        <v>0</v>
      </c>
      <c r="BL26" s="322">
        <f>'P NP TAMBAK IKAN'!C66</f>
        <v>0</v>
      </c>
      <c r="BM26" s="322">
        <f>'P NP TAMBAK IKAN'!D66</f>
        <v>0</v>
      </c>
      <c r="BN26" s="322">
        <f>'P NP TAMBAK IKAN'!C67</f>
        <v>0</v>
      </c>
      <c r="BO26" s="322">
        <f>'P NP TAMBAK IKAN'!D67</f>
        <v>0</v>
      </c>
      <c r="BP26" s="322">
        <f>'P NP TAMBAK IKAN'!C68</f>
        <v>0</v>
      </c>
      <c r="BQ26" s="322">
        <f>'P NP TAMBAK IKAN'!D68</f>
        <v>0</v>
      </c>
      <c r="BR26" s="322">
        <f>'P NP TAMBAK IKAN'!C69</f>
        <v>0</v>
      </c>
      <c r="BS26" s="322">
        <f>'P NP TAMBAK IKAN'!D69</f>
        <v>0</v>
      </c>
      <c r="BT26" s="322">
        <f>'P NP TAMBAK IKAN'!C70</f>
        <v>0</v>
      </c>
      <c r="BU26" s="322">
        <f>'P NP TAMBAK IKAN'!D70</f>
        <v>0</v>
      </c>
      <c r="BV26" s="322">
        <f>'P NP TAMBAK IKAN'!C71</f>
        <v>0</v>
      </c>
      <c r="BW26" s="322">
        <f>'P NP TAMBAK IKAN'!D71</f>
        <v>0</v>
      </c>
      <c r="BX26" s="322">
        <f>'P NP TAMBAK IKAN'!C72</f>
        <v>0</v>
      </c>
      <c r="BY26" s="322">
        <f>'P NP TAMBAK IKAN'!D72</f>
        <v>0</v>
      </c>
      <c r="CA26" s="322">
        <f t="shared" si="5"/>
        <v>0</v>
      </c>
      <c r="CB26" s="322">
        <f t="shared" ca="1" si="6"/>
        <v>0</v>
      </c>
    </row>
    <row r="27" spans="1:80">
      <c r="A27" s="260" t="s">
        <v>124</v>
      </c>
      <c r="B27" s="320">
        <f t="shared" si="3"/>
        <v>14113148</v>
      </c>
      <c r="C27" s="320">
        <f t="shared" si="4"/>
        <v>730872720</v>
      </c>
      <c r="D27" s="322">
        <f>'P NP TAMBAK IKAN'!AS8</f>
        <v>1020400</v>
      </c>
      <c r="E27" s="322">
        <f>'P NP TAMBAK IKAN'!AT8</f>
        <v>15306000</v>
      </c>
      <c r="F27" s="322">
        <f>'P NP TAMBAK IKAN'!AS9</f>
        <v>0</v>
      </c>
      <c r="G27" s="322">
        <f>'P NP TAMBAK IKAN'!AT9</f>
        <v>0</v>
      </c>
      <c r="H27" s="322">
        <f>'P NP TAMBAK IKAN'!AS10</f>
        <v>47070</v>
      </c>
      <c r="I27" s="322">
        <f>'P NP TAMBAK IKAN'!AT10</f>
        <v>564840</v>
      </c>
      <c r="J27" s="322">
        <f>'P NP TAMBAK IKAN'!AS11</f>
        <v>0</v>
      </c>
      <c r="K27" s="322">
        <f>'P NP TAMBAK IKAN'!AT11</f>
        <v>0</v>
      </c>
      <c r="L27" s="322">
        <f>'P NP TAMBAK IKAN'!AS12</f>
        <v>0</v>
      </c>
      <c r="M27" s="322">
        <f>'P NP TAMBAK IKAN'!AT12</f>
        <v>0</v>
      </c>
      <c r="N27" s="322">
        <f>'P NP TAMBAK IKAN'!AS13</f>
        <v>0</v>
      </c>
      <c r="O27" s="322">
        <f>'P NP TAMBAK IKAN'!AT13</f>
        <v>0</v>
      </c>
      <c r="P27" s="322">
        <f>'P NP TAMBAK IKAN'!AS14</f>
        <v>0</v>
      </c>
      <c r="Q27" s="322">
        <f>'P NP TAMBAK IKAN'!AT14</f>
        <v>0</v>
      </c>
      <c r="R27" s="322">
        <f>'P NP TAMBAK IKAN'!AS15</f>
        <v>0</v>
      </c>
      <c r="S27" s="322">
        <f>'P NP TAMBAK IKAN'!AT15</f>
        <v>0</v>
      </c>
      <c r="T27" s="322">
        <f>'P NP TAMBAK IKAN'!AS16</f>
        <v>71670</v>
      </c>
      <c r="U27" s="322">
        <f>'P NP TAMBAK IKAN'!AT16</f>
        <v>7167000</v>
      </c>
      <c r="V27" s="322">
        <f>'P NP TAMBAK IKAN'!AS17</f>
        <v>0</v>
      </c>
      <c r="W27" s="322">
        <f>'P NP TAMBAK IKAN'!AT17</f>
        <v>0</v>
      </c>
      <c r="X27" s="322">
        <f>'P NP TAMBAK IKAN'!AS18</f>
        <v>0</v>
      </c>
      <c r="Y27" s="322">
        <f>'P NP TAMBAK IKAN'!AT18</f>
        <v>0</v>
      </c>
      <c r="Z27" s="322">
        <f>'P NP TAMBAK IKAN'!AS19</f>
        <v>0</v>
      </c>
      <c r="AA27" s="322">
        <f>'P NP TAMBAK IKAN'!AT19</f>
        <v>0</v>
      </c>
      <c r="AB27" s="322">
        <f>'P NP TAMBAK IKAN'!AS20</f>
        <v>0</v>
      </c>
      <c r="AC27" s="322">
        <f>'P NP TAMBAK IKAN'!AT20</f>
        <v>0</v>
      </c>
      <c r="AD27" s="322">
        <f>'P NP TAMBAK IKAN'!AS21</f>
        <v>0</v>
      </c>
      <c r="AE27" s="322">
        <f>'P NP TAMBAK IKAN'!AT21</f>
        <v>0</v>
      </c>
      <c r="AF27" s="322">
        <f>'P NP TAMBAK IKAN'!AS22</f>
        <v>0</v>
      </c>
      <c r="AG27" s="322">
        <f>'P NP TAMBAK IKAN'!AT22</f>
        <v>0</v>
      </c>
      <c r="AH27" s="322">
        <f>'P NP TAMBAK IKAN'!AS23</f>
        <v>0</v>
      </c>
      <c r="AI27" s="322">
        <f>'P NP TAMBAK IKAN'!AT23</f>
        <v>0</v>
      </c>
      <c r="AJ27" s="322">
        <f>'P NP TAMBAK IKAN'!AS24</f>
        <v>0</v>
      </c>
      <c r="AK27" s="322">
        <f>'P NP TAMBAK IKAN'!AT24</f>
        <v>0</v>
      </c>
      <c r="AL27" s="322">
        <f>'P NP TAMBAK IKAN'!AS25</f>
        <v>69990</v>
      </c>
      <c r="AM27" s="322">
        <f>'P NP TAMBAK IKAN'!AT25</f>
        <v>699900</v>
      </c>
      <c r="AN27" s="322">
        <f>'P NP TAMBAK IKAN'!AS26</f>
        <v>27720</v>
      </c>
      <c r="AO27" s="322">
        <f>'P NP TAMBAK IKAN'!AT26</f>
        <v>506760</v>
      </c>
      <c r="AP27" s="322">
        <f>'P NP TAMBAK IKAN'!AS27</f>
        <v>0</v>
      </c>
      <c r="AQ27" s="322">
        <f>'P NP TAMBAK IKAN'!AT27</f>
        <v>0</v>
      </c>
      <c r="AR27" s="322">
        <f>'P NP TAMBAK IKAN'!AS28</f>
        <v>0</v>
      </c>
      <c r="AS27" s="322">
        <f>'P NP TAMBAK IKAN'!AT28</f>
        <v>0</v>
      </c>
      <c r="AT27" s="322">
        <f>'P NP TAMBAK IKAN'!AS29</f>
        <v>0</v>
      </c>
      <c r="AU27" s="322">
        <f>'P NP TAMBAK IKAN'!AT29</f>
        <v>0</v>
      </c>
      <c r="AV27" s="322">
        <f>'P NP TAMBAK IKAN'!AS30</f>
        <v>26700</v>
      </c>
      <c r="AW27" s="322">
        <f>'P NP TAMBAK IKAN'!AT30</f>
        <v>80100</v>
      </c>
      <c r="AX27" s="322">
        <f>'P NP TAMBAK IKAN'!AS31</f>
        <v>0</v>
      </c>
      <c r="AY27" s="322">
        <f>'P NP TAMBAK IKAN'!AT31</f>
        <v>0</v>
      </c>
      <c r="AZ27" s="322">
        <f>'P NP TAMBAK IKAN'!AS32</f>
        <v>138928</v>
      </c>
      <c r="BA27" s="322">
        <f>'P NP TAMBAK IKAN'!AT32</f>
        <v>5557120</v>
      </c>
      <c r="BB27" s="322">
        <f>'P NP TAMBAK IKAN'!AS33</f>
        <v>12471840</v>
      </c>
      <c r="BC27" s="322">
        <f>'P NP TAMBAK IKAN'!AT33</f>
        <v>691867000</v>
      </c>
      <c r="BD27" s="322">
        <f>'P NP TAMBAK IKAN'!$AS34</f>
        <v>0</v>
      </c>
      <c r="BE27" s="322">
        <f>'P NP TAMBAK IKAN'!$AT34</f>
        <v>0</v>
      </c>
      <c r="BF27" s="322">
        <f>'P NP TAMBAK IKAN'!$AS35</f>
        <v>227230</v>
      </c>
      <c r="BG27" s="322">
        <f>'P NP TAMBAK IKAN'!$AT35</f>
        <v>9089200</v>
      </c>
      <c r="BH27" s="322">
        <f>'P NP TAMBAK IKAN'!$AS36</f>
        <v>0</v>
      </c>
      <c r="BI27" s="322">
        <f>'P NP TAMBAK IKAN'!$AT36</f>
        <v>0</v>
      </c>
      <c r="BJ27" s="322">
        <f>'P NP TAMBAK IKAN'!$AS37</f>
        <v>0</v>
      </c>
      <c r="BK27" s="322">
        <f>'P NP TAMBAK IKAN'!$AT37</f>
        <v>0</v>
      </c>
      <c r="BL27" s="322">
        <f>'P NP TAMBAK IKAN'!$AS38</f>
        <v>0</v>
      </c>
      <c r="BM27" s="322">
        <f>'P NP TAMBAK IKAN'!$AT38</f>
        <v>0</v>
      </c>
      <c r="BN27" s="322">
        <f>'P NP TAMBAK IKAN'!$AS39</f>
        <v>0</v>
      </c>
      <c r="BO27" s="322">
        <f>'P NP TAMBAK IKAN'!$AT39</f>
        <v>0</v>
      </c>
      <c r="BP27" s="322">
        <f>'P NP TAMBAK IKAN'!$AS40</f>
        <v>11600</v>
      </c>
      <c r="BQ27" s="322">
        <f>'P NP TAMBAK IKAN'!$AT40</f>
        <v>34800</v>
      </c>
      <c r="BR27" s="322">
        <f>'P NP TAMBAK IKAN'!$AS41</f>
        <v>0</v>
      </c>
      <c r="BS27" s="322">
        <f>'P NP TAMBAK IKAN'!$AT41</f>
        <v>0</v>
      </c>
      <c r="BT27" s="322">
        <f>'P NP TAMBAK IKAN'!$AS42</f>
        <v>0</v>
      </c>
      <c r="BU27" s="322">
        <f>'P NP TAMBAK IKAN'!$AT42</f>
        <v>0</v>
      </c>
      <c r="BV27" s="322">
        <f>'P NP TAMBAK IKAN'!$AS43</f>
        <v>0</v>
      </c>
      <c r="BW27" s="322">
        <f>'P NP TAMBAK IKAN'!$AT43</f>
        <v>0</v>
      </c>
      <c r="BX27" s="322">
        <f>'P NP TAMBAK IKAN'!$AS44</f>
        <v>0</v>
      </c>
      <c r="BY27" s="322">
        <f>'P NP TAMBAK IKAN'!$AT44</f>
        <v>0</v>
      </c>
      <c r="CA27" s="322">
        <f t="shared" si="5"/>
        <v>14113148</v>
      </c>
      <c r="CB27" s="322">
        <f t="shared" ca="1" si="6"/>
        <v>13092748</v>
      </c>
    </row>
    <row r="28" spans="1:80">
      <c r="A28" s="260" t="s">
        <v>138</v>
      </c>
      <c r="B28" s="320">
        <f t="shared" si="3"/>
        <v>854079</v>
      </c>
      <c r="C28" s="320">
        <f t="shared" si="4"/>
        <v>37876009</v>
      </c>
      <c r="D28" s="322">
        <f>'P NP TAMBAK IKAN'!AU8</f>
        <v>421876</v>
      </c>
      <c r="E28" s="322">
        <f>'P NP TAMBAK IKAN'!AV8</f>
        <v>11812528</v>
      </c>
      <c r="F28" s="322">
        <f>'P NP TAMBAK IKAN'!AU9</f>
        <v>0</v>
      </c>
      <c r="G28" s="322">
        <f>'P NP TAMBAK IKAN'!AV9</f>
        <v>0</v>
      </c>
      <c r="H28" s="322">
        <f>'P NP TAMBAK IKAN'!AU10</f>
        <v>5573</v>
      </c>
      <c r="I28" s="322">
        <f>'P NP TAMBAK IKAN'!AV10</f>
        <v>122606</v>
      </c>
      <c r="J28" s="322">
        <f>'P NP TAMBAK IKAN'!AU11</f>
        <v>0</v>
      </c>
      <c r="K28" s="322">
        <f>'P NP TAMBAK IKAN'!AV11</f>
        <v>0</v>
      </c>
      <c r="L28" s="322">
        <f>'P NP TAMBAK IKAN'!AU12</f>
        <v>0</v>
      </c>
      <c r="M28" s="322">
        <f>'P NP TAMBAK IKAN'!AV12</f>
        <v>0</v>
      </c>
      <c r="N28" s="322">
        <f>'P NP TAMBAK IKAN'!AU13</f>
        <v>20000</v>
      </c>
      <c r="O28" s="322">
        <f>'P NP TAMBAK IKAN'!AV13</f>
        <v>70000</v>
      </c>
      <c r="P28" s="322">
        <f>'P NP TAMBAK IKAN'!AU14</f>
        <v>0</v>
      </c>
      <c r="Q28" s="322">
        <f>'P NP TAMBAK IKAN'!AV14</f>
        <v>0</v>
      </c>
      <c r="R28" s="322">
        <f>'P NP TAMBAK IKAN'!AU15</f>
        <v>2930</v>
      </c>
      <c r="S28" s="322">
        <f>'P NP TAMBAK IKAN'!AV15</f>
        <v>87900</v>
      </c>
      <c r="T28" s="322">
        <f>'P NP TAMBAK IKAN'!AU16</f>
        <v>470</v>
      </c>
      <c r="U28" s="322">
        <f>'P NP TAMBAK IKAN'!AV16</f>
        <v>47000</v>
      </c>
      <c r="V28" s="322">
        <f>'P NP TAMBAK IKAN'!AU17</f>
        <v>0</v>
      </c>
      <c r="W28" s="322">
        <f>'P NP TAMBAK IKAN'!AV17</f>
        <v>0</v>
      </c>
      <c r="X28" s="322">
        <f>'P NP TAMBAK IKAN'!AU18</f>
        <v>0</v>
      </c>
      <c r="Y28" s="322">
        <f>'P NP TAMBAK IKAN'!AV18</f>
        <v>0</v>
      </c>
      <c r="Z28" s="322">
        <f>'P NP TAMBAK IKAN'!AU19</f>
        <v>0</v>
      </c>
      <c r="AA28" s="322">
        <f>'P NP TAMBAK IKAN'!AV19</f>
        <v>0</v>
      </c>
      <c r="AB28" s="322">
        <f>'P NP TAMBAK IKAN'!AU20</f>
        <v>0</v>
      </c>
      <c r="AC28" s="322">
        <f>'P NP TAMBAK IKAN'!AV20</f>
        <v>0</v>
      </c>
      <c r="AD28" s="322">
        <f>'P NP TAMBAK IKAN'!AU21</f>
        <v>0</v>
      </c>
      <c r="AE28" s="322">
        <f>'P NP TAMBAK IKAN'!AV21</f>
        <v>0</v>
      </c>
      <c r="AF28" s="322">
        <f>'P NP TAMBAK IKAN'!AU22</f>
        <v>0</v>
      </c>
      <c r="AG28" s="322">
        <f>'P NP TAMBAK IKAN'!AV22</f>
        <v>0</v>
      </c>
      <c r="AH28" s="322">
        <f>'P NP TAMBAK IKAN'!AU23</f>
        <v>0</v>
      </c>
      <c r="AI28" s="322">
        <f>'P NP TAMBAK IKAN'!AV23</f>
        <v>0</v>
      </c>
      <c r="AJ28" s="322">
        <f>'P NP TAMBAK IKAN'!AU24</f>
        <v>0</v>
      </c>
      <c r="AK28" s="322">
        <f>'P NP TAMBAK IKAN'!AV24</f>
        <v>0</v>
      </c>
      <c r="AL28" s="322">
        <f>'P NP TAMBAK IKAN'!AU25</f>
        <v>14745</v>
      </c>
      <c r="AM28" s="322">
        <f>'P NP TAMBAK IKAN'!AV25</f>
        <v>368625</v>
      </c>
      <c r="AN28" s="322">
        <f>'P NP TAMBAK IKAN'!AU26</f>
        <v>0</v>
      </c>
      <c r="AO28" s="322">
        <f>'P NP TAMBAK IKAN'!AV26</f>
        <v>0</v>
      </c>
      <c r="AP28" s="322">
        <f>'P NP TAMBAK IKAN'!AU27</f>
        <v>0</v>
      </c>
      <c r="AQ28" s="322">
        <f>'P NP TAMBAK IKAN'!AV27</f>
        <v>0</v>
      </c>
      <c r="AR28" s="322">
        <f>'P NP TAMBAK IKAN'!AU28</f>
        <v>0</v>
      </c>
      <c r="AS28" s="322">
        <f>'P NP TAMBAK IKAN'!AV28</f>
        <v>0</v>
      </c>
      <c r="AT28" s="322">
        <f>'P NP TAMBAK IKAN'!AU29</f>
        <v>0</v>
      </c>
      <c r="AU28" s="322">
        <f>'P NP TAMBAK IKAN'!AV29</f>
        <v>0</v>
      </c>
      <c r="AV28" s="322">
        <f>'P NP TAMBAK IKAN'!AU30</f>
        <v>0</v>
      </c>
      <c r="AW28" s="322">
        <f>'P NP TAMBAK IKAN'!AV30</f>
        <v>0</v>
      </c>
      <c r="AX28" s="322">
        <f>'P NP TAMBAK IKAN'!AU31</f>
        <v>0</v>
      </c>
      <c r="AY28" s="322">
        <f>'P NP TAMBAK IKAN'!AV31</f>
        <v>0</v>
      </c>
      <c r="AZ28" s="322">
        <f>'P NP TAMBAK IKAN'!AU32</f>
        <v>0</v>
      </c>
      <c r="BA28" s="322">
        <f>'P NP TAMBAK IKAN'!AV32</f>
        <v>0</v>
      </c>
      <c r="BB28" s="322">
        <f>'P NP TAMBAK IKAN'!AU33</f>
        <v>376080</v>
      </c>
      <c r="BC28" s="322">
        <f>'P NP TAMBAK IKAN'!AV33</f>
        <v>24445200</v>
      </c>
      <c r="BD28" s="322">
        <f>'P NP TAMBAK IKAN'!AU34</f>
        <v>11000</v>
      </c>
      <c r="BE28" s="322">
        <f>'P NP TAMBAK IKAN'!AV34</f>
        <v>880000</v>
      </c>
      <c r="BF28" s="322">
        <f>'P NP TAMBAK IKAN'!AU43</f>
        <v>0</v>
      </c>
      <c r="BG28" s="322">
        <f>'P NP TAMBAK IKAN'!AV43</f>
        <v>0</v>
      </c>
      <c r="BH28" s="322">
        <f>'P NP TAMBAK IKAN'!AU44</f>
        <v>0</v>
      </c>
      <c r="BI28" s="322">
        <f>'P NP TAMBAK IKAN'!AV44</f>
        <v>0</v>
      </c>
      <c r="BJ28" s="322">
        <f>'P NP TAMBAK IKAN'!C67</f>
        <v>0</v>
      </c>
      <c r="BK28" s="322">
        <f>'P NP TAMBAK IKAN'!D67</f>
        <v>0</v>
      </c>
      <c r="BL28" s="322">
        <f>'P NP TAMBAK IKAN'!C68</f>
        <v>0</v>
      </c>
      <c r="BM28" s="322">
        <f>'P NP TAMBAK IKAN'!D68</f>
        <v>0</v>
      </c>
      <c r="BN28" s="322">
        <f>'P NP TAMBAK IKAN'!C69</f>
        <v>0</v>
      </c>
      <c r="BO28" s="322">
        <f>'P NP TAMBAK IKAN'!D69</f>
        <v>0</v>
      </c>
      <c r="BP28" s="322">
        <f>'P NP TAMBAK IKAN'!AU40</f>
        <v>1405</v>
      </c>
      <c r="BQ28" s="322">
        <f>'P NP TAMBAK IKAN'!AV40</f>
        <v>42150</v>
      </c>
      <c r="BR28" s="322">
        <f>'P NP TAMBAK IKAN'!C71</f>
        <v>0</v>
      </c>
      <c r="BS28" s="322">
        <f>'P NP TAMBAK IKAN'!D71</f>
        <v>0</v>
      </c>
      <c r="BT28" s="322">
        <f>'P NP TAMBAK IKAN'!C72</f>
        <v>0</v>
      </c>
      <c r="BU28" s="322">
        <f>'P NP TAMBAK IKAN'!D72</f>
        <v>0</v>
      </c>
      <c r="BV28" s="322">
        <f>'P NP TAMBAK IKAN'!C73</f>
        <v>0</v>
      </c>
      <c r="BW28" s="322">
        <f>'P NP TAMBAK IKAN'!D73</f>
        <v>0</v>
      </c>
      <c r="BX28" s="322">
        <f>'P NP TAMBAK IKAN'!C74</f>
        <v>0</v>
      </c>
      <c r="BY28" s="322">
        <f>'P NP TAMBAK IKAN'!D74</f>
        <v>0</v>
      </c>
      <c r="CA28" s="322">
        <f t="shared" si="5"/>
        <v>854079</v>
      </c>
      <c r="CB28" s="322">
        <f t="shared" ca="1" si="6"/>
        <v>432203</v>
      </c>
    </row>
    <row r="29" spans="1:80">
      <c r="A29" s="260" t="s">
        <v>126</v>
      </c>
      <c r="B29" s="320">
        <f t="shared" si="3"/>
        <v>83044522</v>
      </c>
      <c r="C29" s="320">
        <f t="shared" si="4"/>
        <v>2026200713</v>
      </c>
      <c r="D29" s="322">
        <f>'P NP TAMBAK IKAN'!AW8</f>
        <v>35358000</v>
      </c>
      <c r="E29" s="322">
        <f>'P NP TAMBAK IKAN'!AX8</f>
        <v>777876000</v>
      </c>
      <c r="F29" s="322">
        <f>'P NP TAMBAK IKAN'!AW9</f>
        <v>0</v>
      </c>
      <c r="G29" s="322">
        <f>'P NP TAMBAK IKAN'!AX9</f>
        <v>0</v>
      </c>
      <c r="H29" s="322">
        <f>'P NP TAMBAK IKAN'!AW10</f>
        <v>0</v>
      </c>
      <c r="I29" s="322">
        <f>'P NP TAMBAK IKAN'!AX10</f>
        <v>0</v>
      </c>
      <c r="J29" s="322">
        <f>'P NP TAMBAK IKAN'!AW11</f>
        <v>0</v>
      </c>
      <c r="K29" s="322">
        <f>'P NP TAMBAK IKAN'!AX11</f>
        <v>0</v>
      </c>
      <c r="L29" s="322">
        <f>'P NP TAMBAK IKAN'!AW12</f>
        <v>0</v>
      </c>
      <c r="M29" s="322">
        <f>'P NP TAMBAK IKAN'!AX12</f>
        <v>0</v>
      </c>
      <c r="N29" s="322">
        <f>'P NP TAMBAK IKAN'!AW13</f>
        <v>13977800</v>
      </c>
      <c r="O29" s="322">
        <f>'P NP TAMBAK IKAN'!AX13</f>
        <v>32148940</v>
      </c>
      <c r="P29" s="322">
        <f>'P NP TAMBAK IKAN'!AW14</f>
        <v>0</v>
      </c>
      <c r="Q29" s="322">
        <f>'P NP TAMBAK IKAN'!AX14</f>
        <v>0</v>
      </c>
      <c r="R29" s="322">
        <f>'P NP TAMBAK IKAN'!AW15</f>
        <v>70556</v>
      </c>
      <c r="S29" s="322">
        <f>'P NP TAMBAK IKAN'!AX15</f>
        <v>2469460</v>
      </c>
      <c r="T29" s="322">
        <f>'P NP TAMBAK IKAN'!AW16</f>
        <v>234600</v>
      </c>
      <c r="U29" s="322">
        <f>'P NP TAMBAK IKAN'!AX16</f>
        <v>9384000</v>
      </c>
      <c r="V29" s="322">
        <f>'P NP TAMBAK IKAN'!AW17</f>
        <v>0</v>
      </c>
      <c r="W29" s="322">
        <f>'P NP TAMBAK IKAN'!AX17</f>
        <v>0</v>
      </c>
      <c r="X29" s="322">
        <f>'P NP TAMBAK IKAN'!AW18</f>
        <v>0</v>
      </c>
      <c r="Y29" s="322">
        <f>'P NP TAMBAK IKAN'!AX18</f>
        <v>0</v>
      </c>
      <c r="Z29" s="322">
        <f>'P NP TAMBAK IKAN'!AW19</f>
        <v>0</v>
      </c>
      <c r="AA29" s="322">
        <f>'P NP TAMBAK IKAN'!AX19</f>
        <v>0</v>
      </c>
      <c r="AB29" s="322">
        <f>'P NP TAMBAK IKAN'!AW20</f>
        <v>0</v>
      </c>
      <c r="AC29" s="322">
        <f>'P NP TAMBAK IKAN'!AX20</f>
        <v>0</v>
      </c>
      <c r="AD29" s="322">
        <f>'P NP TAMBAK IKAN'!AW21</f>
        <v>0</v>
      </c>
      <c r="AE29" s="322">
        <f>'P NP TAMBAK IKAN'!AX21</f>
        <v>0</v>
      </c>
      <c r="AF29" s="322">
        <f>'P NP TAMBAK IKAN'!AW22</f>
        <v>0</v>
      </c>
      <c r="AG29" s="322">
        <f>'P NP TAMBAK IKAN'!AX22</f>
        <v>0</v>
      </c>
      <c r="AH29" s="322">
        <f>'P NP TAMBAK IKAN'!AW23</f>
        <v>0</v>
      </c>
      <c r="AI29" s="322">
        <f>'P NP TAMBAK IKAN'!AX23</f>
        <v>0</v>
      </c>
      <c r="AJ29" s="322">
        <f>'P NP TAMBAK IKAN'!AW24</f>
        <v>0</v>
      </c>
      <c r="AK29" s="322">
        <f>'P NP TAMBAK IKAN'!AX24</f>
        <v>0</v>
      </c>
      <c r="AL29" s="322">
        <f>'P NP TAMBAK IKAN'!AW25</f>
        <v>3415700</v>
      </c>
      <c r="AM29" s="322">
        <f>'P NP TAMBAK IKAN'!AX25</f>
        <v>54651200</v>
      </c>
      <c r="AN29" s="322">
        <f>'P NP TAMBAK IKAN'!AW26</f>
        <v>15712211</v>
      </c>
      <c r="AO29" s="322">
        <f>'P NP TAMBAK IKAN'!AX26</f>
        <v>282819798</v>
      </c>
      <c r="AP29" s="322">
        <f>'P NP TAMBAK IKAN'!AW27</f>
        <v>0</v>
      </c>
      <c r="AQ29" s="322">
        <f>'P NP TAMBAK IKAN'!AX27</f>
        <v>0</v>
      </c>
      <c r="AR29" s="322">
        <f>'P NP TAMBAK IKAN'!AW28</f>
        <v>0</v>
      </c>
      <c r="AS29" s="322">
        <f>'P NP TAMBAK IKAN'!AX28</f>
        <v>0</v>
      </c>
      <c r="AT29" s="322">
        <f>'P NP TAMBAK IKAN'!AW29</f>
        <v>0</v>
      </c>
      <c r="AU29" s="322">
        <f>'P NP TAMBAK IKAN'!AX29</f>
        <v>0</v>
      </c>
      <c r="AV29" s="322">
        <f>'P NP TAMBAK IKAN'!AW30</f>
        <v>0</v>
      </c>
      <c r="AW29" s="322">
        <f>'P NP TAMBAK IKAN'!AX30</f>
        <v>0</v>
      </c>
      <c r="AX29" s="322">
        <f>'P NP TAMBAK IKAN'!AW31</f>
        <v>0</v>
      </c>
      <c r="AY29" s="322">
        <f>'P NP TAMBAK IKAN'!AX31</f>
        <v>0</v>
      </c>
      <c r="AZ29" s="322">
        <f>'P NP TAMBAK IKAN'!AW32</f>
        <v>930550</v>
      </c>
      <c r="BA29" s="322">
        <f>'P NP TAMBAK IKAN'!AX32</f>
        <v>41874750</v>
      </c>
      <c r="BB29" s="322">
        <f>'P NP TAMBAK IKAN'!AW33</f>
        <v>5964003</v>
      </c>
      <c r="BC29" s="322">
        <f>'P NP TAMBAK IKAN'!AX33</f>
        <v>357840180</v>
      </c>
      <c r="BD29" s="322">
        <f>'P NP TAMBAK IKAN'!AW34</f>
        <v>4042500</v>
      </c>
      <c r="BE29" s="322">
        <f>'P NP TAMBAK IKAN'!AX34</f>
        <v>363825000</v>
      </c>
      <c r="BF29" s="322">
        <f>'P NP TAMBAK IKAN'!AW35</f>
        <v>465701</v>
      </c>
      <c r="BG29" s="322">
        <f>'P NP TAMBAK IKAN'!AX35</f>
        <v>20956545</v>
      </c>
      <c r="BH29" s="322">
        <f>'P NP TAMBAK IKAN'!AW36</f>
        <v>1710001</v>
      </c>
      <c r="BI29" s="322">
        <f>'P NP TAMBAK IKAN'!AX36</f>
        <v>68400040</v>
      </c>
      <c r="BJ29" s="322">
        <f>'P NP TAMBAK IKAN'!C68</f>
        <v>0</v>
      </c>
      <c r="BK29" s="322">
        <f>'P NP TAMBAK IKAN'!D68</f>
        <v>0</v>
      </c>
      <c r="BL29" s="322">
        <f>'P NP TAMBAK IKAN'!C69</f>
        <v>0</v>
      </c>
      <c r="BM29" s="322">
        <f>'P NP TAMBAK IKAN'!D69</f>
        <v>0</v>
      </c>
      <c r="BN29" s="322">
        <f>'P NP TAMBAK IKAN'!C70</f>
        <v>0</v>
      </c>
      <c r="BO29" s="322">
        <f>'P NP TAMBAK IKAN'!D70</f>
        <v>0</v>
      </c>
      <c r="BP29" s="322">
        <f>'P NP TAMBAK IKAN'!C71</f>
        <v>0</v>
      </c>
      <c r="BQ29" s="322">
        <f>'P NP TAMBAK IKAN'!D71</f>
        <v>0</v>
      </c>
      <c r="BR29" s="322">
        <f>'P NP TAMBAK IKAN'!C72</f>
        <v>0</v>
      </c>
      <c r="BS29" s="322">
        <f>'P NP TAMBAK IKAN'!D72</f>
        <v>0</v>
      </c>
      <c r="BT29" s="322">
        <f>'P NP TAMBAK IKAN'!C73</f>
        <v>0</v>
      </c>
      <c r="BU29" s="322">
        <f>'P NP TAMBAK IKAN'!D73</f>
        <v>0</v>
      </c>
      <c r="BV29" s="322">
        <f>'P NP TAMBAK IKAN'!AW43</f>
        <v>1162900</v>
      </c>
      <c r="BW29" s="322">
        <f>'P NP TAMBAK IKAN'!AX43</f>
        <v>13954800</v>
      </c>
      <c r="BX29" s="322">
        <f>'P NP TAMBAK IKAN'!C75</f>
        <v>0</v>
      </c>
      <c r="BY29" s="322">
        <f>'P NP TAMBAK IKAN'!D75</f>
        <v>0</v>
      </c>
      <c r="CA29" s="322">
        <f t="shared" si="5"/>
        <v>83044522</v>
      </c>
      <c r="CB29" s="322">
        <f t="shared" ca="1" si="6"/>
        <v>47686522</v>
      </c>
    </row>
    <row r="30" spans="1:80">
      <c r="A30" s="260" t="s">
        <v>123</v>
      </c>
      <c r="B30" s="320">
        <f t="shared" si="3"/>
        <v>10978224</v>
      </c>
      <c r="C30" s="320">
        <f t="shared" si="4"/>
        <v>521622936</v>
      </c>
      <c r="D30" s="322">
        <f>'P NP TAMBAK IKAN'!AY8</f>
        <v>1910</v>
      </c>
      <c r="E30" s="322">
        <f>'P NP TAMBAK IKAN'!AZ8</f>
        <v>34380</v>
      </c>
      <c r="F30" s="322">
        <f>'P NP TAMBAK IKAN'!AY9</f>
        <v>0</v>
      </c>
      <c r="G30" s="322">
        <f>'P NP TAMBAK IKAN'!AZ9</f>
        <v>0</v>
      </c>
      <c r="H30" s="322">
        <f>'P NP TAMBAK IKAN'!AY10</f>
        <v>0</v>
      </c>
      <c r="I30" s="322">
        <f>'P NP TAMBAK IKAN'!AZ10</f>
        <v>0</v>
      </c>
      <c r="J30" s="322">
        <f>'P NP TAMBAK IKAN'!AY11</f>
        <v>0</v>
      </c>
      <c r="K30" s="322">
        <f>'P NP TAMBAK IKAN'!AZ11</f>
        <v>0</v>
      </c>
      <c r="L30" s="322">
        <f>'P NP TAMBAK IKAN'!AY12</f>
        <v>0</v>
      </c>
      <c r="M30" s="322">
        <f>'P NP TAMBAK IKAN'!AZ12</f>
        <v>0</v>
      </c>
      <c r="N30" s="322">
        <f>'P NP TAMBAK IKAN'!AY13</f>
        <v>124517</v>
      </c>
      <c r="O30" s="322">
        <f>'P NP TAMBAK IKAN'!AZ13</f>
        <v>373551</v>
      </c>
      <c r="P30" s="322">
        <f>'P NP TAMBAK IKAN'!AY14</f>
        <v>0</v>
      </c>
      <c r="Q30" s="322">
        <f>'P NP TAMBAK IKAN'!AZ14</f>
        <v>0</v>
      </c>
      <c r="R30" s="322">
        <f>'P NP TAMBAK IKAN'!AY15</f>
        <v>54313</v>
      </c>
      <c r="S30" s="322">
        <f>'P NP TAMBAK IKAN'!AZ15</f>
        <v>3380335</v>
      </c>
      <c r="T30" s="322">
        <f>'P NP TAMBAK IKAN'!AY16</f>
        <v>0</v>
      </c>
      <c r="U30" s="322">
        <f>'P NP TAMBAK IKAN'!AZ16</f>
        <v>0</v>
      </c>
      <c r="V30" s="322">
        <f>'P NP TAMBAK IKAN'!AY17</f>
        <v>0</v>
      </c>
      <c r="W30" s="322">
        <f>'P NP TAMBAK IKAN'!AZ17</f>
        <v>0</v>
      </c>
      <c r="X30" s="322">
        <f>'P NP TAMBAK IKAN'!AY18</f>
        <v>0</v>
      </c>
      <c r="Y30" s="322">
        <f>'P NP TAMBAK IKAN'!AZ18</f>
        <v>0</v>
      </c>
      <c r="Z30" s="322">
        <f>'P NP TAMBAK IKAN'!AY19</f>
        <v>0</v>
      </c>
      <c r="AA30" s="322">
        <f>'P NP TAMBAK IKAN'!AZ19</f>
        <v>0</v>
      </c>
      <c r="AB30" s="322">
        <f>'P NP TAMBAK IKAN'!AY20</f>
        <v>0</v>
      </c>
      <c r="AC30" s="322">
        <f>'P NP TAMBAK IKAN'!AZ20</f>
        <v>0</v>
      </c>
      <c r="AD30" s="322">
        <f>'P NP TAMBAK IKAN'!AY21</f>
        <v>0</v>
      </c>
      <c r="AE30" s="322">
        <f>'P NP TAMBAK IKAN'!AZ21</f>
        <v>0</v>
      </c>
      <c r="AF30" s="322">
        <f>'P NP TAMBAK IKAN'!AY22</f>
        <v>0</v>
      </c>
      <c r="AG30" s="322">
        <f>'P NP TAMBAK IKAN'!AZ22</f>
        <v>0</v>
      </c>
      <c r="AH30" s="322">
        <f>'P NP TAMBAK IKAN'!AY23</f>
        <v>0</v>
      </c>
      <c r="AI30" s="322">
        <f>'P NP TAMBAK IKAN'!AZ23</f>
        <v>0</v>
      </c>
      <c r="AJ30" s="322">
        <f>'P NP TAMBAK IKAN'!AY24</f>
        <v>0</v>
      </c>
      <c r="AK30" s="322">
        <f>'P NP TAMBAK IKAN'!AZ24</f>
        <v>0</v>
      </c>
      <c r="AL30" s="322">
        <f>'P NP TAMBAK IKAN'!AY25</f>
        <v>0</v>
      </c>
      <c r="AM30" s="322">
        <f>'P NP TAMBAK IKAN'!AZ25</f>
        <v>0</v>
      </c>
      <c r="AN30" s="322">
        <f>'P NP TAMBAK IKAN'!AY26</f>
        <v>0</v>
      </c>
      <c r="AO30" s="322">
        <f>'P NP TAMBAK IKAN'!AZ26</f>
        <v>0</v>
      </c>
      <c r="AP30" s="322">
        <f>'P NP TAMBAK IKAN'!AY27</f>
        <v>0</v>
      </c>
      <c r="AQ30" s="322">
        <f>'P NP TAMBAK IKAN'!AZ27</f>
        <v>0</v>
      </c>
      <c r="AR30" s="322">
        <f>'P NP TAMBAK IKAN'!AY28</f>
        <v>0</v>
      </c>
      <c r="AS30" s="322">
        <f>'P NP TAMBAK IKAN'!AZ28</f>
        <v>0</v>
      </c>
      <c r="AT30" s="322">
        <f>'P NP TAMBAK IKAN'!AY29</f>
        <v>0</v>
      </c>
      <c r="AU30" s="322">
        <f>'P NP TAMBAK IKAN'!AZ29</f>
        <v>0</v>
      </c>
      <c r="AV30" s="322">
        <f>'P NP TAMBAK IKAN'!AY30</f>
        <v>0</v>
      </c>
      <c r="AW30" s="322">
        <f>'P NP TAMBAK IKAN'!AZ30</f>
        <v>0</v>
      </c>
      <c r="AX30" s="322">
        <f>'P NP TAMBAK IKAN'!AY31</f>
        <v>0</v>
      </c>
      <c r="AY30" s="322">
        <f>'P NP TAMBAK IKAN'!AZ31</f>
        <v>0</v>
      </c>
      <c r="AZ30" s="322">
        <f>'P NP TAMBAK IKAN'!AY32</f>
        <v>0</v>
      </c>
      <c r="BA30" s="322">
        <f>'P NP TAMBAK IKAN'!AZ32</f>
        <v>0</v>
      </c>
      <c r="BB30" s="322">
        <f>'P NP TAMBAK IKAN'!AY33</f>
        <v>10796787</v>
      </c>
      <c r="BC30" s="322">
        <f>'P NP TAMBAK IKAN'!AZ33</f>
        <v>517730120</v>
      </c>
      <c r="BD30" s="322">
        <f>'P NP TAMBAK IKAN'!AY34</f>
        <v>697</v>
      </c>
      <c r="BE30" s="322">
        <f>'P NP TAMBAK IKAN'!AZ34</f>
        <v>104550</v>
      </c>
      <c r="BF30" s="322">
        <f>'P NP TAMBAK IKAN'!AY43</f>
        <v>0</v>
      </c>
      <c r="BG30" s="322">
        <f>'P NP TAMBAK IKAN'!AZ43</f>
        <v>0</v>
      </c>
      <c r="BH30" s="322">
        <f>'P NP TAMBAK IKAN'!AY44</f>
        <v>0</v>
      </c>
      <c r="BI30" s="322">
        <f>'P NP TAMBAK IKAN'!AZ44</f>
        <v>0</v>
      </c>
      <c r="BJ30" s="322">
        <f>'P NP TAMBAK IKAN'!C69</f>
        <v>0</v>
      </c>
      <c r="BK30" s="322">
        <f>'P NP TAMBAK IKAN'!D69</f>
        <v>0</v>
      </c>
      <c r="BL30" s="322">
        <f>'P NP TAMBAK IKAN'!C70</f>
        <v>0</v>
      </c>
      <c r="BM30" s="322">
        <f>'P NP TAMBAK IKAN'!D70</f>
        <v>0</v>
      </c>
      <c r="BN30" s="322">
        <f>'P NP TAMBAK IKAN'!C71</f>
        <v>0</v>
      </c>
      <c r="BO30" s="322">
        <f>'P NP TAMBAK IKAN'!D71</f>
        <v>0</v>
      </c>
      <c r="BP30" s="322">
        <f>'P NP TAMBAK IKAN'!C72</f>
        <v>0</v>
      </c>
      <c r="BQ30" s="322">
        <f>'P NP TAMBAK IKAN'!D72</f>
        <v>0</v>
      </c>
      <c r="BR30" s="322">
        <f>'P NP TAMBAK IKAN'!C73</f>
        <v>0</v>
      </c>
      <c r="BS30" s="322">
        <f>'P NP TAMBAK IKAN'!D73</f>
        <v>0</v>
      </c>
      <c r="BT30" s="322">
        <f>'P NP TAMBAK IKAN'!C74</f>
        <v>0</v>
      </c>
      <c r="BU30" s="322">
        <f>'P NP TAMBAK IKAN'!D74</f>
        <v>0</v>
      </c>
      <c r="BV30" s="322">
        <f>'P NP TAMBAK IKAN'!C75</f>
        <v>0</v>
      </c>
      <c r="BW30" s="322">
        <f>'P NP TAMBAK IKAN'!D75</f>
        <v>0</v>
      </c>
      <c r="BX30" s="322">
        <f>'P NP TAMBAK IKAN'!C76</f>
        <v>0</v>
      </c>
      <c r="BY30" s="322">
        <f>'P NP TAMBAK IKAN'!D76</f>
        <v>0</v>
      </c>
      <c r="CA30" s="322">
        <f t="shared" si="5"/>
        <v>10978224</v>
      </c>
      <c r="CB30" s="322">
        <f t="shared" ca="1" si="6"/>
        <v>10976314</v>
      </c>
    </row>
    <row r="31" spans="1:80">
      <c r="A31" s="260" t="s">
        <v>140</v>
      </c>
      <c r="B31" s="320">
        <f t="shared" si="3"/>
        <v>7596034</v>
      </c>
      <c r="C31" s="320">
        <f t="shared" si="4"/>
        <v>452829082</v>
      </c>
      <c r="D31" s="322">
        <f>'P NP TAMBAK IKAN'!BA8</f>
        <v>513763</v>
      </c>
      <c r="E31" s="322">
        <f>'P NP TAMBAK IKAN'!BB8</f>
        <v>14293740</v>
      </c>
      <c r="F31" s="322">
        <f>'P NP TAMBAK IKAN'!BA9</f>
        <v>0</v>
      </c>
      <c r="G31" s="322">
        <f>'P NP TAMBAK IKAN'!BB9</f>
        <v>0</v>
      </c>
      <c r="H31" s="322">
        <f>'P NP TAMBAK IKAN'!BA10</f>
        <v>0</v>
      </c>
      <c r="I31" s="322">
        <f>'P NP TAMBAK IKAN'!BB10</f>
        <v>0</v>
      </c>
      <c r="J31" s="322">
        <f>'P NP TAMBAK IKAN'!BA11</f>
        <v>0</v>
      </c>
      <c r="K31" s="322">
        <f>'P NP TAMBAK IKAN'!BB11</f>
        <v>0</v>
      </c>
      <c r="L31" s="322">
        <f>'P NP TAMBAK IKAN'!BA12</f>
        <v>0</v>
      </c>
      <c r="M31" s="322">
        <f>'P NP TAMBAK IKAN'!BB12</f>
        <v>0</v>
      </c>
      <c r="N31" s="322">
        <f>'P NP TAMBAK IKAN'!BA13</f>
        <v>0</v>
      </c>
      <c r="O31" s="322">
        <f>'P NP TAMBAK IKAN'!BB13</f>
        <v>0</v>
      </c>
      <c r="P31" s="322">
        <f>'P NP TAMBAK IKAN'!BA14</f>
        <v>0</v>
      </c>
      <c r="Q31" s="322">
        <f>'P NP TAMBAK IKAN'!BB14</f>
        <v>0</v>
      </c>
      <c r="R31" s="322">
        <f>'P NP TAMBAK IKAN'!BA15</f>
        <v>0</v>
      </c>
      <c r="S31" s="322">
        <f>'P NP TAMBAK IKAN'!BB15</f>
        <v>0</v>
      </c>
      <c r="T31" s="322">
        <f>'P NP TAMBAK IKAN'!BA16</f>
        <v>0</v>
      </c>
      <c r="U31" s="322">
        <f>'P NP TAMBAK IKAN'!BB16</f>
        <v>0</v>
      </c>
      <c r="V31" s="322">
        <f>'P NP TAMBAK IKAN'!BA17</f>
        <v>0</v>
      </c>
      <c r="W31" s="322">
        <f>'P NP TAMBAK IKAN'!BB17</f>
        <v>0</v>
      </c>
      <c r="X31" s="322">
        <f>'P NP TAMBAK IKAN'!BA18</f>
        <v>0</v>
      </c>
      <c r="Y31" s="322">
        <f>'P NP TAMBAK IKAN'!BB18</f>
        <v>0</v>
      </c>
      <c r="Z31" s="322">
        <f>'P NP TAMBAK IKAN'!BA19</f>
        <v>0</v>
      </c>
      <c r="AA31" s="322">
        <f>'P NP TAMBAK IKAN'!BB19</f>
        <v>0</v>
      </c>
      <c r="AB31" s="322">
        <f>'P NP TAMBAK IKAN'!BA20</f>
        <v>0</v>
      </c>
      <c r="AC31" s="322">
        <f>'P NP TAMBAK IKAN'!BB20</f>
        <v>0</v>
      </c>
      <c r="AD31" s="322">
        <f>'P NP TAMBAK IKAN'!BA21</f>
        <v>0</v>
      </c>
      <c r="AE31" s="322">
        <f>'P NP TAMBAK IKAN'!BB21</f>
        <v>0</v>
      </c>
      <c r="AF31" s="322">
        <f>'P NP TAMBAK IKAN'!BA22</f>
        <v>0</v>
      </c>
      <c r="AG31" s="322">
        <f>'P NP TAMBAK IKAN'!BB22</f>
        <v>0</v>
      </c>
      <c r="AH31" s="322">
        <f>'P NP TAMBAK IKAN'!BA23</f>
        <v>0</v>
      </c>
      <c r="AI31" s="322">
        <f>'P NP TAMBAK IKAN'!BB23</f>
        <v>0</v>
      </c>
      <c r="AJ31" s="322">
        <f>'P NP TAMBAK IKAN'!BA24</f>
        <v>0</v>
      </c>
      <c r="AK31" s="322">
        <f>'P NP TAMBAK IKAN'!BB24</f>
        <v>0</v>
      </c>
      <c r="AL31" s="322">
        <f>'P NP TAMBAK IKAN'!BA25</f>
        <v>0</v>
      </c>
      <c r="AM31" s="322">
        <f>'P NP TAMBAK IKAN'!BB25</f>
        <v>0</v>
      </c>
      <c r="AN31" s="322">
        <f>'P NP TAMBAK IKAN'!BA26</f>
        <v>52064</v>
      </c>
      <c r="AO31" s="322">
        <f>'P NP TAMBAK IKAN'!BB26</f>
        <v>1822240</v>
      </c>
      <c r="AP31" s="322">
        <f>'P NP TAMBAK IKAN'!BA27</f>
        <v>0</v>
      </c>
      <c r="AQ31" s="322">
        <f>'P NP TAMBAK IKAN'!BB27</f>
        <v>0</v>
      </c>
      <c r="AR31" s="322">
        <f>'P NP TAMBAK IKAN'!BA28</f>
        <v>0</v>
      </c>
      <c r="AS31" s="322">
        <f>'P NP TAMBAK IKAN'!BB28</f>
        <v>0</v>
      </c>
      <c r="AT31" s="322">
        <f>'P NP TAMBAK IKAN'!BA29</f>
        <v>0</v>
      </c>
      <c r="AU31" s="322">
        <f>'P NP TAMBAK IKAN'!BB29</f>
        <v>0</v>
      </c>
      <c r="AV31" s="322">
        <f>'P NP TAMBAK IKAN'!BA30</f>
        <v>0</v>
      </c>
      <c r="AW31" s="322">
        <f>'P NP TAMBAK IKAN'!BB30</f>
        <v>0</v>
      </c>
      <c r="AX31" s="322">
        <f>'P NP TAMBAK IKAN'!BA31</f>
        <v>0</v>
      </c>
      <c r="AY31" s="322">
        <f>'P NP TAMBAK IKAN'!BB31</f>
        <v>0</v>
      </c>
      <c r="AZ31" s="322">
        <f>'P NP TAMBAK IKAN'!BA32</f>
        <v>0</v>
      </c>
      <c r="BA31" s="322">
        <f>'P NP TAMBAK IKAN'!BB32</f>
        <v>0</v>
      </c>
      <c r="BB31" s="322">
        <f>'P NP TAMBAK IKAN'!BA33</f>
        <v>7030207</v>
      </c>
      <c r="BC31" s="322">
        <f>'P NP TAMBAK IKAN'!BB33</f>
        <v>436713102</v>
      </c>
      <c r="BD31" s="322">
        <f>'P NP TAMBAK IKAN'!BA34</f>
        <v>0</v>
      </c>
      <c r="BE31" s="322">
        <f>'P NP TAMBAK IKAN'!BB34</f>
        <v>0</v>
      </c>
      <c r="BF31" s="322">
        <f>'P NP TAMBAK IKAN'!BA43</f>
        <v>0</v>
      </c>
      <c r="BG31" s="322">
        <f>'P NP TAMBAK IKAN'!BB43</f>
        <v>0</v>
      </c>
      <c r="BH31" s="322">
        <f>'P NP TAMBAK IKAN'!BA44</f>
        <v>0</v>
      </c>
      <c r="BI31" s="322">
        <f>'P NP TAMBAK IKAN'!BB44</f>
        <v>0</v>
      </c>
      <c r="BJ31" s="322">
        <f>'P NP TAMBAK IKAN'!C70</f>
        <v>0</v>
      </c>
      <c r="BK31" s="322">
        <f>'P NP TAMBAK IKAN'!D70</f>
        <v>0</v>
      </c>
      <c r="BL31" s="322">
        <f>'P NP TAMBAK IKAN'!C71</f>
        <v>0</v>
      </c>
      <c r="BM31" s="322">
        <f>'P NP TAMBAK IKAN'!D71</f>
        <v>0</v>
      </c>
      <c r="BN31" s="322">
        <f>'P NP TAMBAK IKAN'!C72</f>
        <v>0</v>
      </c>
      <c r="BO31" s="322">
        <f>'P NP TAMBAK IKAN'!D72</f>
        <v>0</v>
      </c>
      <c r="BP31" s="322">
        <f>'P NP TAMBAK IKAN'!C73</f>
        <v>0</v>
      </c>
      <c r="BQ31" s="322">
        <f>'P NP TAMBAK IKAN'!D73</f>
        <v>0</v>
      </c>
      <c r="BR31" s="322">
        <f>'P NP TAMBAK IKAN'!C74</f>
        <v>0</v>
      </c>
      <c r="BS31" s="322">
        <f>'P NP TAMBAK IKAN'!D74</f>
        <v>0</v>
      </c>
      <c r="BT31" s="322">
        <f>'P NP TAMBAK IKAN'!C75</f>
        <v>0</v>
      </c>
      <c r="BU31" s="322">
        <f>'P NP TAMBAK IKAN'!D75</f>
        <v>0</v>
      </c>
      <c r="BV31" s="322">
        <f>'P NP TAMBAK IKAN'!C76</f>
        <v>0</v>
      </c>
      <c r="BW31" s="322">
        <f>'P NP TAMBAK IKAN'!D76</f>
        <v>0</v>
      </c>
      <c r="BX31" s="322">
        <f>'P NP TAMBAK IKAN'!C77</f>
        <v>0</v>
      </c>
      <c r="BY31" s="322">
        <f>'P NP TAMBAK IKAN'!D77</f>
        <v>0</v>
      </c>
      <c r="CA31" s="322">
        <f t="shared" si="5"/>
        <v>7596034</v>
      </c>
      <c r="CB31" s="322">
        <f t="shared" ca="1" si="6"/>
        <v>7082271</v>
      </c>
    </row>
    <row r="32" spans="1:80">
      <c r="A32" s="260" t="s">
        <v>114</v>
      </c>
      <c r="B32" s="320">
        <f t="shared" si="3"/>
        <v>273436</v>
      </c>
      <c r="C32" s="320">
        <f t="shared" si="4"/>
        <v>16905242</v>
      </c>
      <c r="D32" s="322">
        <f>'P NP TAMBAK IKAN'!BC8</f>
        <v>0</v>
      </c>
      <c r="E32" s="322">
        <f>'P NP TAMBAK IKAN'!BD8</f>
        <v>0</v>
      </c>
      <c r="F32" s="322">
        <f>'P NP TAMBAK IKAN'!BC9</f>
        <v>0</v>
      </c>
      <c r="G32" s="322">
        <f>'P NP TAMBAK IKAN'!BD9</f>
        <v>0</v>
      </c>
      <c r="H32" s="322">
        <f>'P NP TAMBAK IKAN'!BC10</f>
        <v>0</v>
      </c>
      <c r="I32" s="322">
        <f>'P NP TAMBAK IKAN'!BD10</f>
        <v>0</v>
      </c>
      <c r="J32" s="322">
        <f>'P NP TAMBAK IKAN'!BC11</f>
        <v>0</v>
      </c>
      <c r="K32" s="322">
        <f>'P NP TAMBAK IKAN'!BD11</f>
        <v>0</v>
      </c>
      <c r="L32" s="322">
        <f>'P NP TAMBAK IKAN'!BC12</f>
        <v>0</v>
      </c>
      <c r="M32" s="322">
        <f>'P NP TAMBAK IKAN'!BD12</f>
        <v>0</v>
      </c>
      <c r="N32" s="322">
        <f>'P NP TAMBAK IKAN'!BC13</f>
        <v>26950</v>
      </c>
      <c r="O32" s="322">
        <f>'P NP TAMBAK IKAN'!BD13</f>
        <v>606382</v>
      </c>
      <c r="P32" s="322">
        <f>'P NP TAMBAK IKAN'!BC14</f>
        <v>0</v>
      </c>
      <c r="Q32" s="322">
        <f>'P NP TAMBAK IKAN'!BD14</f>
        <v>0</v>
      </c>
      <c r="R32" s="322">
        <f>'P NP TAMBAK IKAN'!BC15</f>
        <v>0</v>
      </c>
      <c r="S32" s="322">
        <f>'P NP TAMBAK IKAN'!BD15</f>
        <v>0</v>
      </c>
      <c r="T32" s="322">
        <f>'P NP TAMBAK IKAN'!BC16</f>
        <v>0</v>
      </c>
      <c r="U32" s="322">
        <f>'P NP TAMBAK IKAN'!BD16</f>
        <v>0</v>
      </c>
      <c r="V32" s="322">
        <f>'P NP TAMBAK IKAN'!BC17</f>
        <v>0</v>
      </c>
      <c r="W32" s="322">
        <f>'P NP TAMBAK IKAN'!BD17</f>
        <v>0</v>
      </c>
      <c r="X32" s="322">
        <f>'P NP TAMBAK IKAN'!BC18</f>
        <v>0</v>
      </c>
      <c r="Y32" s="322">
        <f>'P NP TAMBAK IKAN'!BD18</f>
        <v>0</v>
      </c>
      <c r="Z32" s="322">
        <f>'P NP TAMBAK IKAN'!BC19</f>
        <v>0</v>
      </c>
      <c r="AA32" s="322">
        <f>'P NP TAMBAK IKAN'!BD19</f>
        <v>0</v>
      </c>
      <c r="AB32" s="322">
        <f>'P NP TAMBAK IKAN'!BC20</f>
        <v>0</v>
      </c>
      <c r="AC32" s="322">
        <f>'P NP TAMBAK IKAN'!BD20</f>
        <v>0</v>
      </c>
      <c r="AD32" s="322">
        <f>'P NP TAMBAK IKAN'!BC21</f>
        <v>0</v>
      </c>
      <c r="AE32" s="322">
        <f>'P NP TAMBAK IKAN'!BD21</f>
        <v>0</v>
      </c>
      <c r="AF32" s="322">
        <f>'P NP TAMBAK IKAN'!BC22</f>
        <v>0</v>
      </c>
      <c r="AG32" s="322">
        <f>'P NP TAMBAK IKAN'!BD22</f>
        <v>0</v>
      </c>
      <c r="AH32" s="322">
        <f>'P NP TAMBAK IKAN'!BC23</f>
        <v>0</v>
      </c>
      <c r="AI32" s="322">
        <f>'P NP TAMBAK IKAN'!BD23</f>
        <v>0</v>
      </c>
      <c r="AJ32" s="322">
        <f>'P NP TAMBAK IKAN'!BC24</f>
        <v>0</v>
      </c>
      <c r="AK32" s="322">
        <f>'P NP TAMBAK IKAN'!BD24</f>
        <v>0</v>
      </c>
      <c r="AL32" s="322">
        <f>'P NP TAMBAK IKAN'!BC25</f>
        <v>0</v>
      </c>
      <c r="AM32" s="322">
        <f>'P NP TAMBAK IKAN'!BD25</f>
        <v>0</v>
      </c>
      <c r="AN32" s="322">
        <f>'P NP TAMBAK IKAN'!BC26</f>
        <v>0</v>
      </c>
      <c r="AO32" s="322">
        <f>'P NP TAMBAK IKAN'!BD26</f>
        <v>0</v>
      </c>
      <c r="AP32" s="322">
        <f>'P NP TAMBAK IKAN'!BC27</f>
        <v>0</v>
      </c>
      <c r="AQ32" s="322">
        <f>'P NP TAMBAK IKAN'!BD27</f>
        <v>0</v>
      </c>
      <c r="AR32" s="322">
        <f>'P NP TAMBAK IKAN'!BC28</f>
        <v>0</v>
      </c>
      <c r="AS32" s="322">
        <f>'P NP TAMBAK IKAN'!BD28</f>
        <v>0</v>
      </c>
      <c r="AT32" s="322">
        <f>'P NP TAMBAK IKAN'!BC29</f>
        <v>0</v>
      </c>
      <c r="AU32" s="322">
        <f>'P NP TAMBAK IKAN'!BD29</f>
        <v>0</v>
      </c>
      <c r="AV32" s="322">
        <f>'P NP TAMBAK IKAN'!BC30</f>
        <v>0</v>
      </c>
      <c r="AW32" s="322">
        <f>'P NP TAMBAK IKAN'!BD30</f>
        <v>0</v>
      </c>
      <c r="AX32" s="322">
        <f>'P NP TAMBAK IKAN'!BC31</f>
        <v>0</v>
      </c>
      <c r="AY32" s="322">
        <f>'P NP TAMBAK IKAN'!BD31</f>
        <v>0</v>
      </c>
      <c r="AZ32" s="322">
        <f>'P NP TAMBAK IKAN'!BC32</f>
        <v>0</v>
      </c>
      <c r="BA32" s="322">
        <f>'P NP TAMBAK IKAN'!BD32</f>
        <v>0</v>
      </c>
      <c r="BB32" s="322">
        <f>'P NP TAMBAK IKAN'!BC33</f>
        <v>246486</v>
      </c>
      <c r="BC32" s="322">
        <f>'P NP TAMBAK IKAN'!BD33</f>
        <v>16298860</v>
      </c>
      <c r="BD32" s="322">
        <f>'P NP TAMBAK IKAN'!BC34</f>
        <v>0</v>
      </c>
      <c r="BE32" s="322">
        <f>'P NP TAMBAK IKAN'!BD34</f>
        <v>0</v>
      </c>
      <c r="BF32" s="322">
        <f>'P NP TAMBAK IKAN'!BC43</f>
        <v>0</v>
      </c>
      <c r="BG32" s="322">
        <f>'P NP TAMBAK IKAN'!BD43</f>
        <v>0</v>
      </c>
      <c r="BH32" s="322">
        <f>'P NP TAMBAK IKAN'!BC44</f>
        <v>0</v>
      </c>
      <c r="BI32" s="322">
        <f>'P NP TAMBAK IKAN'!BD44</f>
        <v>0</v>
      </c>
      <c r="BJ32" s="322">
        <f>'P NP TAMBAK IKAN'!C71</f>
        <v>0</v>
      </c>
      <c r="BK32" s="322">
        <f>'P NP TAMBAK IKAN'!D71</f>
        <v>0</v>
      </c>
      <c r="BL32" s="322">
        <f>'P NP TAMBAK IKAN'!C72</f>
        <v>0</v>
      </c>
      <c r="BM32" s="322">
        <f>'P NP TAMBAK IKAN'!D72</f>
        <v>0</v>
      </c>
      <c r="BN32" s="322">
        <f>'P NP TAMBAK IKAN'!C73</f>
        <v>0</v>
      </c>
      <c r="BO32" s="322">
        <f>'P NP TAMBAK IKAN'!D73</f>
        <v>0</v>
      </c>
      <c r="BP32" s="322">
        <f>'P NP TAMBAK IKAN'!C74</f>
        <v>0</v>
      </c>
      <c r="BQ32" s="322">
        <f>'P NP TAMBAK IKAN'!D74</f>
        <v>0</v>
      </c>
      <c r="BR32" s="322">
        <f>'P NP TAMBAK IKAN'!C75</f>
        <v>0</v>
      </c>
      <c r="BS32" s="322">
        <f>'P NP TAMBAK IKAN'!D75</f>
        <v>0</v>
      </c>
      <c r="BT32" s="322">
        <f>'P NP TAMBAK IKAN'!C76</f>
        <v>0</v>
      </c>
      <c r="BU32" s="322">
        <f>'P NP TAMBAK IKAN'!D76</f>
        <v>0</v>
      </c>
      <c r="BV32" s="322">
        <f>'P NP TAMBAK IKAN'!C77</f>
        <v>0</v>
      </c>
      <c r="BW32" s="322">
        <f>'P NP TAMBAK IKAN'!D77</f>
        <v>0</v>
      </c>
      <c r="BX32" s="322">
        <f>'P NP TAMBAK IKAN'!C78</f>
        <v>0</v>
      </c>
      <c r="BY32" s="322">
        <f>'P NP TAMBAK IKAN'!D78</f>
        <v>0</v>
      </c>
      <c r="CA32" s="322">
        <f t="shared" si="5"/>
        <v>273436</v>
      </c>
      <c r="CB32" s="322">
        <f t="shared" ca="1" si="6"/>
        <v>273436</v>
      </c>
    </row>
    <row r="33" spans="1:80">
      <c r="A33" s="260" t="s">
        <v>134</v>
      </c>
      <c r="B33" s="320">
        <f t="shared" si="3"/>
        <v>16478460</v>
      </c>
      <c r="C33" s="320">
        <f t="shared" si="4"/>
        <v>623211510</v>
      </c>
      <c r="D33" s="322">
        <f>'P NP TAMBAK IKAN'!BE8</f>
        <v>6012420</v>
      </c>
      <c r="E33" s="322">
        <f>'P NP TAMBAK IKAN'!BF8</f>
        <v>115564700</v>
      </c>
      <c r="F33" s="322">
        <f>'P NP TAMBAK IKAN'!BE9</f>
        <v>0</v>
      </c>
      <c r="G33" s="322">
        <f>'P NP TAMBAK IKAN'!BF9</f>
        <v>0</v>
      </c>
      <c r="H33" s="322">
        <f>'P NP TAMBAK IKAN'!BE10</f>
        <v>0</v>
      </c>
      <c r="I33" s="322">
        <f>'P NP TAMBAK IKAN'!BF10</f>
        <v>0</v>
      </c>
      <c r="J33" s="322">
        <f>'P NP TAMBAK IKAN'!BE11</f>
        <v>0</v>
      </c>
      <c r="K33" s="322">
        <f>'P NP TAMBAK IKAN'!BF11</f>
        <v>0</v>
      </c>
      <c r="L33" s="322">
        <f>'P NP TAMBAK IKAN'!BE12</f>
        <v>0</v>
      </c>
      <c r="M33" s="322">
        <f>'P NP TAMBAK IKAN'!BF12</f>
        <v>0</v>
      </c>
      <c r="N33" s="322">
        <f>'P NP TAMBAK IKAN'!BE13</f>
        <v>0</v>
      </c>
      <c r="O33" s="322">
        <f>'P NP TAMBAK IKAN'!BF13</f>
        <v>0</v>
      </c>
      <c r="P33" s="322">
        <f>'P NP TAMBAK IKAN'!BE14</f>
        <v>0</v>
      </c>
      <c r="Q33" s="322">
        <f>'P NP TAMBAK IKAN'!BF14</f>
        <v>0</v>
      </c>
      <c r="R33" s="322">
        <f>'P NP TAMBAK IKAN'!BE15</f>
        <v>35400</v>
      </c>
      <c r="S33" s="322">
        <f>'P NP TAMBAK IKAN'!BF15</f>
        <v>1476070</v>
      </c>
      <c r="T33" s="322">
        <f>'P NP TAMBAK IKAN'!BE16</f>
        <v>0</v>
      </c>
      <c r="U33" s="322">
        <f>'P NP TAMBAK IKAN'!BF16</f>
        <v>0</v>
      </c>
      <c r="V33" s="322">
        <f>'P NP TAMBAK IKAN'!BE17</f>
        <v>0</v>
      </c>
      <c r="W33" s="322">
        <f>'P NP TAMBAK IKAN'!BF17</f>
        <v>0</v>
      </c>
      <c r="X33" s="322">
        <f>'P NP TAMBAK IKAN'!BE18</f>
        <v>203130</v>
      </c>
      <c r="Y33" s="322">
        <f>'P NP TAMBAK IKAN'!BF18</f>
        <v>19120930</v>
      </c>
      <c r="Z33" s="322">
        <f>'P NP TAMBAK IKAN'!BE19</f>
        <v>0</v>
      </c>
      <c r="AA33" s="322">
        <f>'P NP TAMBAK IKAN'!BF19</f>
        <v>0</v>
      </c>
      <c r="AB33" s="322">
        <f>'P NP TAMBAK IKAN'!BE20</f>
        <v>0</v>
      </c>
      <c r="AC33" s="322">
        <f>'P NP TAMBAK IKAN'!BF20</f>
        <v>0</v>
      </c>
      <c r="AD33" s="322">
        <f>'P NP TAMBAK IKAN'!BE21</f>
        <v>0</v>
      </c>
      <c r="AE33" s="322">
        <f>'P NP TAMBAK IKAN'!BF21</f>
        <v>0</v>
      </c>
      <c r="AF33" s="322">
        <f>'P NP TAMBAK IKAN'!BE22</f>
        <v>0</v>
      </c>
      <c r="AG33" s="322">
        <f>'P NP TAMBAK IKAN'!BF22</f>
        <v>0</v>
      </c>
      <c r="AH33" s="322">
        <f>'P NP TAMBAK IKAN'!BE23</f>
        <v>0</v>
      </c>
      <c r="AI33" s="322">
        <f>'P NP TAMBAK IKAN'!BF23</f>
        <v>0</v>
      </c>
      <c r="AJ33" s="322">
        <f>'P NP TAMBAK IKAN'!BE24</f>
        <v>0</v>
      </c>
      <c r="AK33" s="322">
        <f>'P NP TAMBAK IKAN'!BF24</f>
        <v>0</v>
      </c>
      <c r="AL33" s="322">
        <f>'P NP TAMBAK IKAN'!BE25</f>
        <v>541370</v>
      </c>
      <c r="AM33" s="322">
        <f>'P NP TAMBAK IKAN'!BF25</f>
        <v>6161070</v>
      </c>
      <c r="AN33" s="322">
        <f>'P NP TAMBAK IKAN'!BE26</f>
        <v>1759180</v>
      </c>
      <c r="AO33" s="322">
        <f>'P NP TAMBAK IKAN'!BF26</f>
        <v>31665240</v>
      </c>
      <c r="AP33" s="322">
        <f>'P NP TAMBAK IKAN'!BE27</f>
        <v>0</v>
      </c>
      <c r="AQ33" s="322">
        <f>'P NP TAMBAK IKAN'!BF27</f>
        <v>0</v>
      </c>
      <c r="AR33" s="322">
        <f>'P NP TAMBAK IKAN'!BE28</f>
        <v>0</v>
      </c>
      <c r="AS33" s="322">
        <f>'P NP TAMBAK IKAN'!BF28</f>
        <v>0</v>
      </c>
      <c r="AT33" s="322">
        <f>'P NP TAMBAK IKAN'!BE29</f>
        <v>0</v>
      </c>
      <c r="AU33" s="322">
        <f>'P NP TAMBAK IKAN'!BF29</f>
        <v>0</v>
      </c>
      <c r="AV33" s="322">
        <f>'P NP TAMBAK IKAN'!BE30</f>
        <v>0</v>
      </c>
      <c r="AW33" s="322">
        <f>'P NP TAMBAK IKAN'!BF30</f>
        <v>0</v>
      </c>
      <c r="AX33" s="322">
        <f>'P NP TAMBAK IKAN'!BE31</f>
        <v>0</v>
      </c>
      <c r="AY33" s="322">
        <f>'P NP TAMBAK IKAN'!BF31</f>
        <v>0</v>
      </c>
      <c r="AZ33" s="322">
        <f>'P NP TAMBAK IKAN'!BE32</f>
        <v>0</v>
      </c>
      <c r="BA33" s="322">
        <f>'P NP TAMBAK IKAN'!BF32</f>
        <v>0</v>
      </c>
      <c r="BB33" s="322">
        <f>'P NP TAMBAK IKAN'!BE33</f>
        <v>7926960</v>
      </c>
      <c r="BC33" s="322">
        <f>'P NP TAMBAK IKAN'!BF33</f>
        <v>449223500</v>
      </c>
      <c r="BD33" s="322">
        <f>'P NP TAMBAK IKAN'!BE34</f>
        <v>0</v>
      </c>
      <c r="BE33" s="322">
        <f>'P NP TAMBAK IKAN'!BF34</f>
        <v>0</v>
      </c>
      <c r="BF33" s="322">
        <f>'P NP TAMBAK IKAN'!BE43</f>
        <v>0</v>
      </c>
      <c r="BG33" s="322">
        <f>'P NP TAMBAK IKAN'!BF43</f>
        <v>0</v>
      </c>
      <c r="BH33" s="322">
        <f>'P NP TAMBAK IKAN'!BE44</f>
        <v>0</v>
      </c>
      <c r="BI33" s="322">
        <f>'P NP TAMBAK IKAN'!BF44</f>
        <v>0</v>
      </c>
      <c r="BJ33" s="322">
        <f>'P NP TAMBAK IKAN'!C72</f>
        <v>0</v>
      </c>
      <c r="BK33" s="322">
        <f>'P NP TAMBAK IKAN'!D72</f>
        <v>0</v>
      </c>
      <c r="BL33" s="322">
        <f>'P NP TAMBAK IKAN'!C73</f>
        <v>0</v>
      </c>
      <c r="BM33" s="322">
        <f>'P NP TAMBAK IKAN'!D73</f>
        <v>0</v>
      </c>
      <c r="BN33" s="322">
        <f>'P NP TAMBAK IKAN'!C74</f>
        <v>0</v>
      </c>
      <c r="BO33" s="322">
        <f>'P NP TAMBAK IKAN'!D74</f>
        <v>0</v>
      </c>
      <c r="BP33" s="322">
        <f>'P NP TAMBAK IKAN'!C75</f>
        <v>0</v>
      </c>
      <c r="BQ33" s="322">
        <f>'P NP TAMBAK IKAN'!D75</f>
        <v>0</v>
      </c>
      <c r="BR33" s="322">
        <f>'P NP TAMBAK IKAN'!C76</f>
        <v>0</v>
      </c>
      <c r="BS33" s="322">
        <f>'P NP TAMBAK IKAN'!D76</f>
        <v>0</v>
      </c>
      <c r="BT33" s="322">
        <f>'P NP TAMBAK IKAN'!C77</f>
        <v>0</v>
      </c>
      <c r="BU33" s="322">
        <f>'P NP TAMBAK IKAN'!D77</f>
        <v>0</v>
      </c>
      <c r="BV33" s="322">
        <f>'P NP TAMBAK IKAN'!C78</f>
        <v>0</v>
      </c>
      <c r="BW33" s="322">
        <f>'P NP TAMBAK IKAN'!D78</f>
        <v>0</v>
      </c>
      <c r="BX33" s="322">
        <f>'P NP TAMBAK IKAN'!C79</f>
        <v>0</v>
      </c>
      <c r="BY33" s="322">
        <f>'P NP TAMBAK IKAN'!D79</f>
        <v>0</v>
      </c>
      <c r="CA33" s="322">
        <f t="shared" si="5"/>
        <v>16478460</v>
      </c>
      <c r="CB33" s="322">
        <f t="shared" ca="1" si="6"/>
        <v>10466040</v>
      </c>
    </row>
    <row r="34" spans="1:80">
      <c r="A34" s="260" t="s">
        <v>115</v>
      </c>
      <c r="B34" s="320">
        <f t="shared" si="3"/>
        <v>350000</v>
      </c>
      <c r="C34" s="320">
        <f t="shared" si="4"/>
        <v>21000000</v>
      </c>
      <c r="D34" s="322">
        <f>'P NP TAMBAK IKAN'!BG8</f>
        <v>0</v>
      </c>
      <c r="E34" s="322">
        <f>'P NP TAMBAK IKAN'!BH8</f>
        <v>0</v>
      </c>
      <c r="F34" s="322">
        <f>'P NP TAMBAK IKAN'!BG9</f>
        <v>0</v>
      </c>
      <c r="G34" s="322">
        <f>'P NP TAMBAK IKAN'!BH9</f>
        <v>0</v>
      </c>
      <c r="H34" s="322">
        <f>'P NP TAMBAK IKAN'!BG10</f>
        <v>0</v>
      </c>
      <c r="I34" s="322">
        <f>'P NP TAMBAK IKAN'!BH10</f>
        <v>0</v>
      </c>
      <c r="J34" s="322">
        <f>'P NP TAMBAK IKAN'!BG11</f>
        <v>0</v>
      </c>
      <c r="K34" s="322">
        <f>'P NP TAMBAK IKAN'!BH11</f>
        <v>0</v>
      </c>
      <c r="L34" s="322">
        <f>'P NP TAMBAK IKAN'!BG12</f>
        <v>0</v>
      </c>
      <c r="M34" s="322">
        <f>'P NP TAMBAK IKAN'!BH12</f>
        <v>0</v>
      </c>
      <c r="N34" s="322">
        <f>'P NP TAMBAK IKAN'!BG13</f>
        <v>0</v>
      </c>
      <c r="O34" s="322">
        <f>'P NP TAMBAK IKAN'!BH13</f>
        <v>0</v>
      </c>
      <c r="P34" s="322">
        <f>'P NP TAMBAK IKAN'!BG14</f>
        <v>0</v>
      </c>
      <c r="Q34" s="322">
        <f>'P NP TAMBAK IKAN'!BH14</f>
        <v>0</v>
      </c>
      <c r="R34" s="322">
        <f>'P NP TAMBAK IKAN'!BG15</f>
        <v>0</v>
      </c>
      <c r="S34" s="322">
        <f>'P NP TAMBAK IKAN'!BH15</f>
        <v>0</v>
      </c>
      <c r="T34" s="322">
        <f>'P NP TAMBAK IKAN'!BG16</f>
        <v>0</v>
      </c>
      <c r="U34" s="322">
        <f>'P NP TAMBAK IKAN'!BH16</f>
        <v>0</v>
      </c>
      <c r="V34" s="322">
        <f>'P NP TAMBAK IKAN'!BG17</f>
        <v>0</v>
      </c>
      <c r="W34" s="322">
        <f>'P NP TAMBAK IKAN'!BH17</f>
        <v>0</v>
      </c>
      <c r="X34" s="322">
        <f>'P NP TAMBAK IKAN'!BG18</f>
        <v>0</v>
      </c>
      <c r="Y34" s="322">
        <f>'P NP TAMBAK IKAN'!BH18</f>
        <v>0</v>
      </c>
      <c r="Z34" s="322">
        <f>'P NP TAMBAK IKAN'!BG19</f>
        <v>0</v>
      </c>
      <c r="AA34" s="322">
        <f>'P NP TAMBAK IKAN'!BH19</f>
        <v>0</v>
      </c>
      <c r="AB34" s="322">
        <f>'P NP TAMBAK IKAN'!BG20</f>
        <v>0</v>
      </c>
      <c r="AC34" s="322">
        <f>'P NP TAMBAK IKAN'!BH20</f>
        <v>0</v>
      </c>
      <c r="AD34" s="322">
        <f>'P NP TAMBAK IKAN'!BG21</f>
        <v>0</v>
      </c>
      <c r="AE34" s="322">
        <f>'P NP TAMBAK IKAN'!BH21</f>
        <v>0</v>
      </c>
      <c r="AF34" s="322">
        <f>'P NP TAMBAK IKAN'!BG22</f>
        <v>0</v>
      </c>
      <c r="AG34" s="322">
        <f>'P NP TAMBAK IKAN'!BH22</f>
        <v>0</v>
      </c>
      <c r="AH34" s="322">
        <f>'P NP TAMBAK IKAN'!BG23</f>
        <v>0</v>
      </c>
      <c r="AI34" s="322">
        <f>'P NP TAMBAK IKAN'!BH23</f>
        <v>0</v>
      </c>
      <c r="AJ34" s="322">
        <f>'P NP TAMBAK IKAN'!BG24</f>
        <v>0</v>
      </c>
      <c r="AK34" s="322">
        <f>'P NP TAMBAK IKAN'!BH24</f>
        <v>0</v>
      </c>
      <c r="AL34" s="322">
        <f>'P NP TAMBAK IKAN'!BG25</f>
        <v>0</v>
      </c>
      <c r="AM34" s="322">
        <f>'P NP TAMBAK IKAN'!BH25</f>
        <v>0</v>
      </c>
      <c r="AN34" s="322">
        <f>'P NP TAMBAK IKAN'!BG26</f>
        <v>0</v>
      </c>
      <c r="AO34" s="322">
        <f>'P NP TAMBAK IKAN'!BH26</f>
        <v>0</v>
      </c>
      <c r="AP34" s="322">
        <f>'P NP TAMBAK IKAN'!BG27</f>
        <v>0</v>
      </c>
      <c r="AQ34" s="322">
        <f>'P NP TAMBAK IKAN'!BH27</f>
        <v>0</v>
      </c>
      <c r="AR34" s="322">
        <f>'P NP TAMBAK IKAN'!BG28</f>
        <v>0</v>
      </c>
      <c r="AS34" s="322">
        <f>'P NP TAMBAK IKAN'!BH28</f>
        <v>0</v>
      </c>
      <c r="AT34" s="322">
        <f>'P NP TAMBAK IKAN'!BG29</f>
        <v>0</v>
      </c>
      <c r="AU34" s="322">
        <f>'P NP TAMBAK IKAN'!BH29</f>
        <v>0</v>
      </c>
      <c r="AV34" s="322">
        <f>'P NP TAMBAK IKAN'!BG30</f>
        <v>0</v>
      </c>
      <c r="AW34" s="322">
        <f>'P NP TAMBAK IKAN'!BH30</f>
        <v>0</v>
      </c>
      <c r="AX34" s="322">
        <f>'P NP TAMBAK IKAN'!BG31</f>
        <v>0</v>
      </c>
      <c r="AY34" s="322">
        <f>'P NP TAMBAK IKAN'!BH31</f>
        <v>0</v>
      </c>
      <c r="AZ34" s="322">
        <f>'P NP TAMBAK IKAN'!BG32</f>
        <v>0</v>
      </c>
      <c r="BA34" s="322">
        <f>'P NP TAMBAK IKAN'!BH32</f>
        <v>0</v>
      </c>
      <c r="BB34" s="322">
        <f>'P NP TAMBAK IKAN'!BG33</f>
        <v>350000</v>
      </c>
      <c r="BC34" s="322">
        <f>'P NP TAMBAK IKAN'!BH33</f>
        <v>21000000</v>
      </c>
      <c r="BD34" s="322">
        <f>'P NP TAMBAK IKAN'!BG34</f>
        <v>0</v>
      </c>
      <c r="BE34" s="322">
        <f>'P NP TAMBAK IKAN'!BH34</f>
        <v>0</v>
      </c>
      <c r="BF34" s="322">
        <f>'P NP TAMBAK IKAN'!BG43</f>
        <v>0</v>
      </c>
      <c r="BG34" s="322">
        <f>'P NP TAMBAK IKAN'!BH43</f>
        <v>0</v>
      </c>
      <c r="BH34" s="322">
        <f>'P NP TAMBAK IKAN'!BG44</f>
        <v>0</v>
      </c>
      <c r="BI34" s="322">
        <f>'P NP TAMBAK IKAN'!BH44</f>
        <v>0</v>
      </c>
      <c r="BJ34" s="322">
        <f>'P NP TAMBAK IKAN'!C73</f>
        <v>0</v>
      </c>
      <c r="BK34" s="322">
        <f>'P NP TAMBAK IKAN'!D73</f>
        <v>0</v>
      </c>
      <c r="BL34" s="322">
        <f>'P NP TAMBAK IKAN'!C74</f>
        <v>0</v>
      </c>
      <c r="BM34" s="322">
        <f>'P NP TAMBAK IKAN'!D74</f>
        <v>0</v>
      </c>
      <c r="BN34" s="322">
        <f>'P NP TAMBAK IKAN'!C75</f>
        <v>0</v>
      </c>
      <c r="BO34" s="322">
        <f>'P NP TAMBAK IKAN'!D75</f>
        <v>0</v>
      </c>
      <c r="BP34" s="322">
        <f>'P NP TAMBAK IKAN'!C76</f>
        <v>0</v>
      </c>
      <c r="BQ34" s="322">
        <f>'P NP TAMBAK IKAN'!D76</f>
        <v>0</v>
      </c>
      <c r="BR34" s="322">
        <f>'P NP TAMBAK IKAN'!C77</f>
        <v>0</v>
      </c>
      <c r="BS34" s="322">
        <f>'P NP TAMBAK IKAN'!D77</f>
        <v>0</v>
      </c>
      <c r="BT34" s="322">
        <f>'P NP TAMBAK IKAN'!C78</f>
        <v>0</v>
      </c>
      <c r="BU34" s="322">
        <f>'P NP TAMBAK IKAN'!D78</f>
        <v>0</v>
      </c>
      <c r="BV34" s="322">
        <f>'P NP TAMBAK IKAN'!C79</f>
        <v>0</v>
      </c>
      <c r="BW34" s="322">
        <f>'P NP TAMBAK IKAN'!D79</f>
        <v>0</v>
      </c>
      <c r="BX34" s="322">
        <f>'P NP TAMBAK IKAN'!C80</f>
        <v>0</v>
      </c>
      <c r="BY34" s="322">
        <f>'P NP TAMBAK IKAN'!D80</f>
        <v>0</v>
      </c>
      <c r="CA34" s="322">
        <f t="shared" si="5"/>
        <v>350000</v>
      </c>
      <c r="CB34" s="322">
        <f t="shared" ca="1" si="6"/>
        <v>350000</v>
      </c>
    </row>
    <row r="35" spans="1:80">
      <c r="A35" s="260" t="s">
        <v>149</v>
      </c>
      <c r="B35" s="320">
        <f t="shared" si="3"/>
        <v>0</v>
      </c>
      <c r="C35" s="320">
        <f t="shared" si="4"/>
        <v>0</v>
      </c>
      <c r="D35" s="322">
        <f>'P NP TAMBAK IKAN'!BI8</f>
        <v>0</v>
      </c>
      <c r="E35" s="322">
        <f>'P NP TAMBAK IKAN'!BJ8</f>
        <v>0</v>
      </c>
      <c r="F35" s="322">
        <f>'P NP TAMBAK IKAN'!BI9</f>
        <v>0</v>
      </c>
      <c r="G35" s="322">
        <f>'P NP TAMBAK IKAN'!BJ9</f>
        <v>0</v>
      </c>
      <c r="H35" s="322">
        <f>'P NP TAMBAK IKAN'!BI10</f>
        <v>0</v>
      </c>
      <c r="I35" s="322">
        <f>'P NP TAMBAK IKAN'!BJ10</f>
        <v>0</v>
      </c>
      <c r="J35" s="322">
        <f>'P NP TAMBAK IKAN'!BI11</f>
        <v>0</v>
      </c>
      <c r="K35" s="322">
        <f>'P NP TAMBAK IKAN'!BJ11</f>
        <v>0</v>
      </c>
      <c r="L35" s="322">
        <f>'P NP TAMBAK IKAN'!BI12</f>
        <v>0</v>
      </c>
      <c r="M35" s="322">
        <f>'P NP TAMBAK IKAN'!BJ12</f>
        <v>0</v>
      </c>
      <c r="N35" s="322">
        <f>'P NP TAMBAK IKAN'!BI13</f>
        <v>0</v>
      </c>
      <c r="O35" s="322">
        <f>'P NP TAMBAK IKAN'!BJ13</f>
        <v>0</v>
      </c>
      <c r="P35" s="322">
        <f>'P NP TAMBAK IKAN'!BI14</f>
        <v>0</v>
      </c>
      <c r="Q35" s="322">
        <f>'P NP TAMBAK IKAN'!BJ14</f>
        <v>0</v>
      </c>
      <c r="R35" s="322">
        <f>'P NP TAMBAK IKAN'!BI15</f>
        <v>0</v>
      </c>
      <c r="S35" s="322">
        <f>'P NP TAMBAK IKAN'!BJ15</f>
        <v>0</v>
      </c>
      <c r="T35" s="322">
        <f>'P NP TAMBAK IKAN'!BI16</f>
        <v>0</v>
      </c>
      <c r="U35" s="322">
        <f>'P NP TAMBAK IKAN'!BJ16</f>
        <v>0</v>
      </c>
      <c r="V35" s="322">
        <f>'P NP TAMBAK IKAN'!BI17</f>
        <v>0</v>
      </c>
      <c r="W35" s="322">
        <f>'P NP TAMBAK IKAN'!BJ17</f>
        <v>0</v>
      </c>
      <c r="X35" s="322">
        <f>'P NP TAMBAK IKAN'!BI18</f>
        <v>0</v>
      </c>
      <c r="Y35" s="322">
        <f>'P NP TAMBAK IKAN'!BJ18</f>
        <v>0</v>
      </c>
      <c r="Z35" s="322">
        <f>'P NP TAMBAK IKAN'!BI19</f>
        <v>0</v>
      </c>
      <c r="AA35" s="322">
        <f>'P NP TAMBAK IKAN'!BJ19</f>
        <v>0</v>
      </c>
      <c r="AB35" s="322">
        <f>'P NP TAMBAK IKAN'!BI20</f>
        <v>0</v>
      </c>
      <c r="AC35" s="322">
        <f>'P NP TAMBAK IKAN'!BJ20</f>
        <v>0</v>
      </c>
      <c r="AD35" s="322">
        <f>'P NP TAMBAK IKAN'!BI21</f>
        <v>0</v>
      </c>
      <c r="AE35" s="322">
        <f>'P NP TAMBAK IKAN'!BJ21</f>
        <v>0</v>
      </c>
      <c r="AF35" s="322">
        <f>'P NP TAMBAK IKAN'!BI22</f>
        <v>0</v>
      </c>
      <c r="AG35" s="322">
        <f>'P NP TAMBAK IKAN'!BJ22</f>
        <v>0</v>
      </c>
      <c r="AH35" s="322">
        <f>'P NP TAMBAK IKAN'!BI23</f>
        <v>0</v>
      </c>
      <c r="AI35" s="322">
        <f>'P NP TAMBAK IKAN'!BJ23</f>
        <v>0</v>
      </c>
      <c r="AJ35" s="322">
        <f>'P NP TAMBAK IKAN'!BI24</f>
        <v>0</v>
      </c>
      <c r="AK35" s="322">
        <f>'P NP TAMBAK IKAN'!BJ24</f>
        <v>0</v>
      </c>
      <c r="AL35" s="322">
        <f>'P NP TAMBAK IKAN'!BI25</f>
        <v>0</v>
      </c>
      <c r="AM35" s="322">
        <f>'P NP TAMBAK IKAN'!BJ25</f>
        <v>0</v>
      </c>
      <c r="AN35" s="322">
        <f>'P NP TAMBAK IKAN'!BI26</f>
        <v>0</v>
      </c>
      <c r="AO35" s="322">
        <f>'P NP TAMBAK IKAN'!BJ26</f>
        <v>0</v>
      </c>
      <c r="AP35" s="322">
        <f>'P NP TAMBAK IKAN'!BI27</f>
        <v>0</v>
      </c>
      <c r="AQ35" s="322">
        <f>'P NP TAMBAK IKAN'!BJ27</f>
        <v>0</v>
      </c>
      <c r="AR35" s="322">
        <f>'P NP TAMBAK IKAN'!BI28</f>
        <v>0</v>
      </c>
      <c r="AS35" s="322">
        <f>'P NP TAMBAK IKAN'!BJ28</f>
        <v>0</v>
      </c>
      <c r="AT35" s="322">
        <f>'P NP TAMBAK IKAN'!BI29</f>
        <v>0</v>
      </c>
      <c r="AU35" s="322">
        <f>'P NP TAMBAK IKAN'!BJ29</f>
        <v>0</v>
      </c>
      <c r="AV35" s="322">
        <f>'P NP TAMBAK IKAN'!BI30</f>
        <v>0</v>
      </c>
      <c r="AW35" s="322">
        <f>'P NP TAMBAK IKAN'!BJ30</f>
        <v>0</v>
      </c>
      <c r="AX35" s="322">
        <f>'P NP TAMBAK IKAN'!BI31</f>
        <v>0</v>
      </c>
      <c r="AY35" s="322">
        <f>'P NP TAMBAK IKAN'!BJ31</f>
        <v>0</v>
      </c>
      <c r="AZ35" s="322">
        <f>'P NP TAMBAK IKAN'!BI32</f>
        <v>0</v>
      </c>
      <c r="BA35" s="322">
        <f>'P NP TAMBAK IKAN'!BJ32</f>
        <v>0</v>
      </c>
      <c r="BB35" s="322">
        <f>'P NP TAMBAK IKAN'!BI33</f>
        <v>0</v>
      </c>
      <c r="BC35" s="322">
        <f>'P NP TAMBAK IKAN'!BJ33</f>
        <v>0</v>
      </c>
      <c r="BD35" s="322">
        <f>'P NP TAMBAK IKAN'!BI34</f>
        <v>0</v>
      </c>
      <c r="BE35" s="322">
        <f>'P NP TAMBAK IKAN'!BJ34</f>
        <v>0</v>
      </c>
      <c r="BF35" s="322">
        <f>'P NP TAMBAK IKAN'!BI43</f>
        <v>0</v>
      </c>
      <c r="BG35" s="322">
        <f>'P NP TAMBAK IKAN'!BJ43</f>
        <v>0</v>
      </c>
      <c r="BH35" s="322">
        <f>'P NP TAMBAK IKAN'!BI44</f>
        <v>0</v>
      </c>
      <c r="BI35" s="322">
        <f>'P NP TAMBAK IKAN'!BJ44</f>
        <v>0</v>
      </c>
      <c r="BJ35" s="322">
        <f>'P NP TAMBAK IKAN'!C74</f>
        <v>0</v>
      </c>
      <c r="BK35" s="322">
        <f>'P NP TAMBAK IKAN'!D74</f>
        <v>0</v>
      </c>
      <c r="BL35" s="322">
        <f>'P NP TAMBAK IKAN'!C75</f>
        <v>0</v>
      </c>
      <c r="BM35" s="322">
        <f>'P NP TAMBAK IKAN'!D75</f>
        <v>0</v>
      </c>
      <c r="BN35" s="322">
        <f>'P NP TAMBAK IKAN'!C76</f>
        <v>0</v>
      </c>
      <c r="BO35" s="322">
        <f>'P NP TAMBAK IKAN'!D76</f>
        <v>0</v>
      </c>
      <c r="BP35" s="322">
        <f>'P NP TAMBAK IKAN'!C77</f>
        <v>0</v>
      </c>
      <c r="BQ35" s="322">
        <f>'P NP TAMBAK IKAN'!D77</f>
        <v>0</v>
      </c>
      <c r="BR35" s="322">
        <f>'P NP TAMBAK IKAN'!C78</f>
        <v>0</v>
      </c>
      <c r="BS35" s="322">
        <f>'P NP TAMBAK IKAN'!D78</f>
        <v>0</v>
      </c>
      <c r="BT35" s="322">
        <f>'P NP TAMBAK IKAN'!C79</f>
        <v>0</v>
      </c>
      <c r="BU35" s="322">
        <f>'P NP TAMBAK IKAN'!D79</f>
        <v>0</v>
      </c>
      <c r="BV35" s="322">
        <f>'P NP TAMBAK IKAN'!C80</f>
        <v>0</v>
      </c>
      <c r="BW35" s="322">
        <f>'P NP TAMBAK IKAN'!D80</f>
        <v>0</v>
      </c>
      <c r="BX35" s="322">
        <f>'P NP TAMBAK IKAN'!C81</f>
        <v>0</v>
      </c>
      <c r="BY35" s="322">
        <f>'P NP TAMBAK IKAN'!D81</f>
        <v>0</v>
      </c>
      <c r="CA35" s="322">
        <f t="shared" si="5"/>
        <v>0</v>
      </c>
      <c r="CB35" s="322">
        <f t="shared" ca="1" si="6"/>
        <v>0</v>
      </c>
    </row>
    <row r="36" spans="1:80">
      <c r="A36" s="260" t="s">
        <v>142</v>
      </c>
      <c r="B36" s="320">
        <f t="shared" si="3"/>
        <v>0</v>
      </c>
      <c r="C36" s="320">
        <f t="shared" si="4"/>
        <v>0</v>
      </c>
      <c r="D36" s="322">
        <f>'P NP TAMBAK IKAN'!BK8</f>
        <v>0</v>
      </c>
      <c r="E36" s="322">
        <f>'P NP TAMBAK IKAN'!BL8</f>
        <v>0</v>
      </c>
      <c r="F36" s="322">
        <f>'P NP TAMBAK IKAN'!BK9</f>
        <v>0</v>
      </c>
      <c r="G36" s="322">
        <f>'P NP TAMBAK IKAN'!BL9</f>
        <v>0</v>
      </c>
      <c r="H36" s="322">
        <f>'P NP TAMBAK IKAN'!BK10</f>
        <v>0</v>
      </c>
      <c r="I36" s="322">
        <f>'P NP TAMBAK IKAN'!BL10</f>
        <v>0</v>
      </c>
      <c r="J36" s="322">
        <f>'P NP TAMBAK IKAN'!BK11</f>
        <v>0</v>
      </c>
      <c r="K36" s="322">
        <f>'P NP TAMBAK IKAN'!BL11</f>
        <v>0</v>
      </c>
      <c r="L36" s="322">
        <f>'P NP TAMBAK IKAN'!BK12</f>
        <v>0</v>
      </c>
      <c r="M36" s="322">
        <f>'P NP TAMBAK IKAN'!BL12</f>
        <v>0</v>
      </c>
      <c r="N36" s="322">
        <f>'P NP TAMBAK IKAN'!BK13</f>
        <v>0</v>
      </c>
      <c r="O36" s="322">
        <f>'P NP TAMBAK IKAN'!BL13</f>
        <v>0</v>
      </c>
      <c r="P36" s="322">
        <f>'P NP TAMBAK IKAN'!BK14</f>
        <v>0</v>
      </c>
      <c r="Q36" s="322">
        <f>'P NP TAMBAK IKAN'!BL14</f>
        <v>0</v>
      </c>
      <c r="R36" s="322">
        <f>'P NP TAMBAK IKAN'!BK15</f>
        <v>0</v>
      </c>
      <c r="S36" s="322">
        <f>'P NP TAMBAK IKAN'!BL15</f>
        <v>0</v>
      </c>
      <c r="T36" s="322">
        <f>'P NP TAMBAK IKAN'!BK16</f>
        <v>0</v>
      </c>
      <c r="U36" s="322">
        <f>'P NP TAMBAK IKAN'!BL16</f>
        <v>0</v>
      </c>
      <c r="V36" s="322">
        <f>'P NP TAMBAK IKAN'!BK17</f>
        <v>0</v>
      </c>
      <c r="W36" s="322">
        <f>'P NP TAMBAK IKAN'!BL17</f>
        <v>0</v>
      </c>
      <c r="X36" s="322">
        <f>'P NP TAMBAK IKAN'!BK18</f>
        <v>0</v>
      </c>
      <c r="Y36" s="322">
        <f>'P NP TAMBAK IKAN'!BL18</f>
        <v>0</v>
      </c>
      <c r="Z36" s="322">
        <f>'P NP TAMBAK IKAN'!BK19</f>
        <v>0</v>
      </c>
      <c r="AA36" s="322">
        <f>'P NP TAMBAK IKAN'!BL19</f>
        <v>0</v>
      </c>
      <c r="AB36" s="322">
        <f>'P NP TAMBAK IKAN'!BK20</f>
        <v>0</v>
      </c>
      <c r="AC36" s="322">
        <f>'P NP TAMBAK IKAN'!BL20</f>
        <v>0</v>
      </c>
      <c r="AD36" s="322">
        <f>'P NP TAMBAK IKAN'!BK21</f>
        <v>0</v>
      </c>
      <c r="AE36" s="322">
        <f>'P NP TAMBAK IKAN'!BL21</f>
        <v>0</v>
      </c>
      <c r="AF36" s="322">
        <f>'P NP TAMBAK IKAN'!BK22</f>
        <v>0</v>
      </c>
      <c r="AG36" s="322">
        <f>'P NP TAMBAK IKAN'!BL22</f>
        <v>0</v>
      </c>
      <c r="AH36" s="322">
        <f>'P NP TAMBAK IKAN'!BK23</f>
        <v>0</v>
      </c>
      <c r="AI36" s="322">
        <f>'P NP TAMBAK IKAN'!BL23</f>
        <v>0</v>
      </c>
      <c r="AJ36" s="322">
        <f>'P NP TAMBAK IKAN'!BK24</f>
        <v>0</v>
      </c>
      <c r="AK36" s="322">
        <f>'P NP TAMBAK IKAN'!BL24</f>
        <v>0</v>
      </c>
      <c r="AL36" s="322">
        <f>'P NP TAMBAK IKAN'!BK25</f>
        <v>0</v>
      </c>
      <c r="AM36" s="322">
        <f>'P NP TAMBAK IKAN'!BL25</f>
        <v>0</v>
      </c>
      <c r="AN36" s="322">
        <f>'P NP TAMBAK IKAN'!BK26</f>
        <v>0</v>
      </c>
      <c r="AO36" s="322">
        <f>'P NP TAMBAK IKAN'!BL26</f>
        <v>0</v>
      </c>
      <c r="AP36" s="322">
        <f>'P NP TAMBAK IKAN'!BK27</f>
        <v>0</v>
      </c>
      <c r="AQ36" s="322">
        <f>'P NP TAMBAK IKAN'!BL27</f>
        <v>0</v>
      </c>
      <c r="AR36" s="322">
        <f>'P NP TAMBAK IKAN'!BK28</f>
        <v>0</v>
      </c>
      <c r="AS36" s="322">
        <f>'P NP TAMBAK IKAN'!BL28</f>
        <v>0</v>
      </c>
      <c r="AT36" s="322">
        <f>'P NP TAMBAK IKAN'!BK29</f>
        <v>0</v>
      </c>
      <c r="AU36" s="322">
        <f>'P NP TAMBAK IKAN'!BL29</f>
        <v>0</v>
      </c>
      <c r="AV36" s="322">
        <f>'P NP TAMBAK IKAN'!BK30</f>
        <v>0</v>
      </c>
      <c r="AW36" s="322">
        <f>'P NP TAMBAK IKAN'!BL30</f>
        <v>0</v>
      </c>
      <c r="AX36" s="322">
        <f>'P NP TAMBAK IKAN'!BK31</f>
        <v>0</v>
      </c>
      <c r="AY36" s="322">
        <f>'P NP TAMBAK IKAN'!BL31</f>
        <v>0</v>
      </c>
      <c r="AZ36" s="322">
        <f>'P NP TAMBAK IKAN'!BK32</f>
        <v>0</v>
      </c>
      <c r="BA36" s="322">
        <f>'P NP TAMBAK IKAN'!BL32</f>
        <v>0</v>
      </c>
      <c r="BB36" s="322">
        <f>'P NP TAMBAK IKAN'!BK33</f>
        <v>0</v>
      </c>
      <c r="BC36" s="322">
        <f>'P NP TAMBAK IKAN'!BL33</f>
        <v>0</v>
      </c>
      <c r="BD36" s="322">
        <f>'P NP TAMBAK IKAN'!BK34</f>
        <v>0</v>
      </c>
      <c r="BE36" s="322">
        <f>'P NP TAMBAK IKAN'!BL34</f>
        <v>0</v>
      </c>
      <c r="BF36" s="322">
        <f>'P NP TAMBAK IKAN'!BK43</f>
        <v>0</v>
      </c>
      <c r="BG36" s="322">
        <f>'P NP TAMBAK IKAN'!BL43</f>
        <v>0</v>
      </c>
      <c r="BH36" s="322">
        <f>'P NP TAMBAK IKAN'!BK44</f>
        <v>0</v>
      </c>
      <c r="BI36" s="322">
        <f>'P NP TAMBAK IKAN'!BL44</f>
        <v>0</v>
      </c>
      <c r="BJ36" s="322">
        <f>'P NP TAMBAK IKAN'!C75</f>
        <v>0</v>
      </c>
      <c r="BK36" s="322">
        <f>'P NP TAMBAK IKAN'!D75</f>
        <v>0</v>
      </c>
      <c r="BL36" s="322">
        <f>'P NP TAMBAK IKAN'!C76</f>
        <v>0</v>
      </c>
      <c r="BM36" s="322">
        <f>'P NP TAMBAK IKAN'!D76</f>
        <v>0</v>
      </c>
      <c r="BN36" s="322">
        <f>'P NP TAMBAK IKAN'!C77</f>
        <v>0</v>
      </c>
      <c r="BO36" s="322">
        <f>'P NP TAMBAK IKAN'!D77</f>
        <v>0</v>
      </c>
      <c r="BP36" s="322">
        <f>'P NP TAMBAK IKAN'!C78</f>
        <v>0</v>
      </c>
      <c r="BQ36" s="322">
        <f>'P NP TAMBAK IKAN'!D78</f>
        <v>0</v>
      </c>
      <c r="BR36" s="322">
        <f>'P NP TAMBAK IKAN'!C79</f>
        <v>0</v>
      </c>
      <c r="BS36" s="322">
        <f>'P NP TAMBAK IKAN'!D79</f>
        <v>0</v>
      </c>
      <c r="BT36" s="322">
        <f>'P NP TAMBAK IKAN'!C80</f>
        <v>0</v>
      </c>
      <c r="BU36" s="322">
        <f>'P NP TAMBAK IKAN'!D80</f>
        <v>0</v>
      </c>
      <c r="BV36" s="322">
        <f>'P NP TAMBAK IKAN'!C81</f>
        <v>0</v>
      </c>
      <c r="BW36" s="322">
        <f>'P NP TAMBAK IKAN'!D81</f>
        <v>0</v>
      </c>
      <c r="BX36" s="322">
        <f>'P NP TAMBAK IKAN'!C82</f>
        <v>0</v>
      </c>
      <c r="BY36" s="322">
        <f>'P NP TAMBAK IKAN'!D82</f>
        <v>0</v>
      </c>
      <c r="CA36" s="322">
        <f t="shared" si="5"/>
        <v>0</v>
      </c>
      <c r="CB36" s="322">
        <f t="shared" ca="1" si="6"/>
        <v>0</v>
      </c>
    </row>
    <row r="37" spans="1:80">
      <c r="A37" s="260" t="s">
        <v>141</v>
      </c>
      <c r="B37" s="320">
        <f t="shared" si="3"/>
        <v>0</v>
      </c>
      <c r="C37" s="320">
        <f t="shared" si="4"/>
        <v>0</v>
      </c>
      <c r="D37" s="322">
        <f>'P NP TAMBAK IKAN'!BM8</f>
        <v>0</v>
      </c>
      <c r="E37" s="322">
        <f>'P NP TAMBAK IKAN'!BN8</f>
        <v>0</v>
      </c>
      <c r="F37" s="322">
        <f>'P NP TAMBAK IKAN'!BM9</f>
        <v>0</v>
      </c>
      <c r="G37" s="322">
        <f>'P NP TAMBAK IKAN'!BN9</f>
        <v>0</v>
      </c>
      <c r="H37" s="322">
        <f>'P NP TAMBAK IKAN'!BM10</f>
        <v>0</v>
      </c>
      <c r="I37" s="322">
        <f>'P NP TAMBAK IKAN'!BN10</f>
        <v>0</v>
      </c>
      <c r="J37" s="322">
        <f>'P NP TAMBAK IKAN'!BM11</f>
        <v>0</v>
      </c>
      <c r="K37" s="322">
        <f>'P NP TAMBAK IKAN'!BN11</f>
        <v>0</v>
      </c>
      <c r="L37" s="322">
        <f>'P NP TAMBAK IKAN'!BM12</f>
        <v>0</v>
      </c>
      <c r="M37" s="322">
        <f>'P NP TAMBAK IKAN'!BN12</f>
        <v>0</v>
      </c>
      <c r="N37" s="322">
        <f>'P NP TAMBAK IKAN'!BM13</f>
        <v>0</v>
      </c>
      <c r="O37" s="322">
        <f>'P NP TAMBAK IKAN'!BN13</f>
        <v>0</v>
      </c>
      <c r="P37" s="322">
        <f>'P NP TAMBAK IKAN'!BM14</f>
        <v>0</v>
      </c>
      <c r="Q37" s="322">
        <f>'P NP TAMBAK IKAN'!BN14</f>
        <v>0</v>
      </c>
      <c r="R37" s="322">
        <f>'P NP TAMBAK IKAN'!BM15</f>
        <v>0</v>
      </c>
      <c r="S37" s="322">
        <f>'P NP TAMBAK IKAN'!BN15</f>
        <v>0</v>
      </c>
      <c r="T37" s="322">
        <f>'P NP TAMBAK IKAN'!BM16</f>
        <v>0</v>
      </c>
      <c r="U37" s="322">
        <f>'P NP TAMBAK IKAN'!BN16</f>
        <v>0</v>
      </c>
      <c r="V37" s="322">
        <f>'P NP TAMBAK IKAN'!BM17</f>
        <v>0</v>
      </c>
      <c r="W37" s="322">
        <f>'P NP TAMBAK IKAN'!BN17</f>
        <v>0</v>
      </c>
      <c r="X37" s="322">
        <f>'P NP TAMBAK IKAN'!BM18</f>
        <v>0</v>
      </c>
      <c r="Y37" s="322">
        <f>'P NP TAMBAK IKAN'!BN18</f>
        <v>0</v>
      </c>
      <c r="Z37" s="322">
        <f>'P NP TAMBAK IKAN'!BM19</f>
        <v>0</v>
      </c>
      <c r="AA37" s="322">
        <f>'P NP TAMBAK IKAN'!BN19</f>
        <v>0</v>
      </c>
      <c r="AB37" s="322">
        <f>'P NP TAMBAK IKAN'!BM20</f>
        <v>0</v>
      </c>
      <c r="AC37" s="322">
        <f>'P NP TAMBAK IKAN'!BN20</f>
        <v>0</v>
      </c>
      <c r="AD37" s="322">
        <f>'P NP TAMBAK IKAN'!BM21</f>
        <v>0</v>
      </c>
      <c r="AE37" s="322">
        <f>'P NP TAMBAK IKAN'!BN21</f>
        <v>0</v>
      </c>
      <c r="AF37" s="322">
        <f>'P NP TAMBAK IKAN'!BM22</f>
        <v>0</v>
      </c>
      <c r="AG37" s="322">
        <f>'P NP TAMBAK IKAN'!BN22</f>
        <v>0</v>
      </c>
      <c r="AH37" s="322">
        <f>'P NP TAMBAK IKAN'!BM23</f>
        <v>0</v>
      </c>
      <c r="AI37" s="322">
        <f>'P NP TAMBAK IKAN'!BN23</f>
        <v>0</v>
      </c>
      <c r="AJ37" s="322">
        <f>'P NP TAMBAK IKAN'!BM24</f>
        <v>0</v>
      </c>
      <c r="AK37" s="322">
        <f>'P NP TAMBAK IKAN'!BN24</f>
        <v>0</v>
      </c>
      <c r="AL37" s="322">
        <f>'P NP TAMBAK IKAN'!BM25</f>
        <v>0</v>
      </c>
      <c r="AM37" s="322">
        <f>'P NP TAMBAK IKAN'!BN25</f>
        <v>0</v>
      </c>
      <c r="AN37" s="322">
        <f>'P NP TAMBAK IKAN'!BM26</f>
        <v>0</v>
      </c>
      <c r="AO37" s="322">
        <f>'P NP TAMBAK IKAN'!BN26</f>
        <v>0</v>
      </c>
      <c r="AP37" s="322">
        <f>'P NP TAMBAK IKAN'!BM27</f>
        <v>0</v>
      </c>
      <c r="AQ37" s="322">
        <f>'P NP TAMBAK IKAN'!BN27</f>
        <v>0</v>
      </c>
      <c r="AR37" s="322">
        <f>'P NP TAMBAK IKAN'!BM28</f>
        <v>0</v>
      </c>
      <c r="AS37" s="322">
        <f>'P NP TAMBAK IKAN'!BN28</f>
        <v>0</v>
      </c>
      <c r="AT37" s="322">
        <f>'P NP TAMBAK IKAN'!BM29</f>
        <v>0</v>
      </c>
      <c r="AU37" s="322">
        <f>'P NP TAMBAK IKAN'!BN29</f>
        <v>0</v>
      </c>
      <c r="AV37" s="322">
        <f>'P NP TAMBAK IKAN'!BM30</f>
        <v>0</v>
      </c>
      <c r="AW37" s="322">
        <f>'P NP TAMBAK IKAN'!BN30</f>
        <v>0</v>
      </c>
      <c r="AX37" s="322">
        <f>'P NP TAMBAK IKAN'!BM31</f>
        <v>0</v>
      </c>
      <c r="AY37" s="322">
        <f>'P NP TAMBAK IKAN'!BN31</f>
        <v>0</v>
      </c>
      <c r="AZ37" s="322">
        <f>'P NP TAMBAK IKAN'!BM32</f>
        <v>0</v>
      </c>
      <c r="BA37" s="322">
        <f>'P NP TAMBAK IKAN'!BN32</f>
        <v>0</v>
      </c>
      <c r="BB37" s="322">
        <f>'P NP TAMBAK IKAN'!BM33</f>
        <v>0</v>
      </c>
      <c r="BC37" s="322">
        <f>'P NP TAMBAK IKAN'!BN33</f>
        <v>0</v>
      </c>
      <c r="BD37" s="322">
        <f>'P NP TAMBAK IKAN'!BM34</f>
        <v>0</v>
      </c>
      <c r="BE37" s="322">
        <f>'P NP TAMBAK IKAN'!BN34</f>
        <v>0</v>
      </c>
      <c r="BF37" s="322">
        <f>'P NP TAMBAK IKAN'!BM43</f>
        <v>0</v>
      </c>
      <c r="BG37" s="322">
        <f>'P NP TAMBAK IKAN'!BN43</f>
        <v>0</v>
      </c>
      <c r="BH37" s="322">
        <f>'P NP TAMBAK IKAN'!BM44</f>
        <v>0</v>
      </c>
      <c r="BI37" s="322">
        <f>'P NP TAMBAK IKAN'!BN44</f>
        <v>0</v>
      </c>
      <c r="BJ37" s="322">
        <f>'P NP TAMBAK IKAN'!C76</f>
        <v>0</v>
      </c>
      <c r="BK37" s="322">
        <f>'P NP TAMBAK IKAN'!D76</f>
        <v>0</v>
      </c>
      <c r="BL37" s="322">
        <f>'P NP TAMBAK IKAN'!C77</f>
        <v>0</v>
      </c>
      <c r="BM37" s="322">
        <f>'P NP TAMBAK IKAN'!D77</f>
        <v>0</v>
      </c>
      <c r="BN37" s="322">
        <f>'P NP TAMBAK IKAN'!C78</f>
        <v>0</v>
      </c>
      <c r="BO37" s="322">
        <f>'P NP TAMBAK IKAN'!D78</f>
        <v>0</v>
      </c>
      <c r="BP37" s="322">
        <f>'P NP TAMBAK IKAN'!C79</f>
        <v>0</v>
      </c>
      <c r="BQ37" s="322">
        <f>'P NP TAMBAK IKAN'!D79</f>
        <v>0</v>
      </c>
      <c r="BR37" s="322">
        <f>'P NP TAMBAK IKAN'!C80</f>
        <v>0</v>
      </c>
      <c r="BS37" s="322">
        <f>'P NP TAMBAK IKAN'!D80</f>
        <v>0</v>
      </c>
      <c r="BT37" s="322">
        <f>'P NP TAMBAK IKAN'!C81</f>
        <v>0</v>
      </c>
      <c r="BU37" s="322">
        <f>'P NP TAMBAK IKAN'!D81</f>
        <v>0</v>
      </c>
      <c r="BV37" s="322">
        <f>'P NP TAMBAK IKAN'!C82</f>
        <v>0</v>
      </c>
      <c r="BW37" s="322">
        <f>'P NP TAMBAK IKAN'!D82</f>
        <v>0</v>
      </c>
      <c r="BX37" s="322">
        <f>'P NP TAMBAK IKAN'!C83</f>
        <v>0</v>
      </c>
      <c r="BY37" s="322">
        <f>'P NP TAMBAK IKAN'!D83</f>
        <v>0</v>
      </c>
      <c r="CA37" s="322">
        <f t="shared" si="5"/>
        <v>0</v>
      </c>
      <c r="CB37" s="322">
        <f t="shared" ca="1" si="6"/>
        <v>0</v>
      </c>
    </row>
    <row r="38" spans="1:80">
      <c r="A38" s="260" t="s">
        <v>147</v>
      </c>
      <c r="B38" s="320">
        <f t="shared" si="3"/>
        <v>0</v>
      </c>
      <c r="C38" s="320">
        <f t="shared" si="4"/>
        <v>0</v>
      </c>
      <c r="D38" s="322">
        <f>'P NP TAMBAK IKAN'!BO8</f>
        <v>0</v>
      </c>
      <c r="E38" s="322">
        <f>'P NP TAMBAK IKAN'!BP8</f>
        <v>0</v>
      </c>
      <c r="F38" s="322">
        <f>'P NP TAMBAK IKAN'!BO9</f>
        <v>0</v>
      </c>
      <c r="G38" s="322">
        <f>'P NP TAMBAK IKAN'!BP9</f>
        <v>0</v>
      </c>
      <c r="H38" s="322">
        <f>'P NP TAMBAK IKAN'!BO10</f>
        <v>0</v>
      </c>
      <c r="I38" s="322">
        <f>'P NP TAMBAK IKAN'!BP10</f>
        <v>0</v>
      </c>
      <c r="J38" s="322">
        <f>'P NP TAMBAK IKAN'!BO11</f>
        <v>0</v>
      </c>
      <c r="K38" s="322">
        <f>'P NP TAMBAK IKAN'!BP11</f>
        <v>0</v>
      </c>
      <c r="L38" s="322">
        <f>'P NP TAMBAK IKAN'!BO12</f>
        <v>0</v>
      </c>
      <c r="M38" s="322">
        <f>'P NP TAMBAK IKAN'!BP12</f>
        <v>0</v>
      </c>
      <c r="N38" s="322">
        <f>'P NP TAMBAK IKAN'!BO13</f>
        <v>0</v>
      </c>
      <c r="O38" s="322">
        <f>'P NP TAMBAK IKAN'!BP13</f>
        <v>0</v>
      </c>
      <c r="P38" s="322">
        <f>'P NP TAMBAK IKAN'!BO14</f>
        <v>0</v>
      </c>
      <c r="Q38" s="322">
        <f>'P NP TAMBAK IKAN'!BP14</f>
        <v>0</v>
      </c>
      <c r="R38" s="322">
        <f>'P NP TAMBAK IKAN'!BO15</f>
        <v>0</v>
      </c>
      <c r="S38" s="322">
        <f>'P NP TAMBAK IKAN'!BP15</f>
        <v>0</v>
      </c>
      <c r="T38" s="322">
        <f>'P NP TAMBAK IKAN'!BO16</f>
        <v>0</v>
      </c>
      <c r="U38" s="322">
        <f>'P NP TAMBAK IKAN'!BP16</f>
        <v>0</v>
      </c>
      <c r="V38" s="322">
        <f>'P NP TAMBAK IKAN'!BO17</f>
        <v>0</v>
      </c>
      <c r="W38" s="322">
        <f>'P NP TAMBAK IKAN'!BP17</f>
        <v>0</v>
      </c>
      <c r="X38" s="322">
        <f>'P NP TAMBAK IKAN'!BO18</f>
        <v>0</v>
      </c>
      <c r="Y38" s="322">
        <f>'P NP TAMBAK IKAN'!BP18</f>
        <v>0</v>
      </c>
      <c r="Z38" s="322">
        <f>'P NP TAMBAK IKAN'!BO19</f>
        <v>0</v>
      </c>
      <c r="AA38" s="322">
        <f>'P NP TAMBAK IKAN'!BP19</f>
        <v>0</v>
      </c>
      <c r="AB38" s="322">
        <f>'P NP TAMBAK IKAN'!BO20</f>
        <v>0</v>
      </c>
      <c r="AC38" s="322">
        <f>'P NP TAMBAK IKAN'!BP20</f>
        <v>0</v>
      </c>
      <c r="AD38" s="322">
        <f>'P NP TAMBAK IKAN'!BO21</f>
        <v>0</v>
      </c>
      <c r="AE38" s="322">
        <f>'P NP TAMBAK IKAN'!BP21</f>
        <v>0</v>
      </c>
      <c r="AF38" s="322">
        <f>'P NP TAMBAK IKAN'!BO22</f>
        <v>0</v>
      </c>
      <c r="AG38" s="322">
        <f>'P NP TAMBAK IKAN'!BP22</f>
        <v>0</v>
      </c>
      <c r="AH38" s="322">
        <f>'P NP TAMBAK IKAN'!BO23</f>
        <v>0</v>
      </c>
      <c r="AI38" s="322">
        <f>'P NP TAMBAK IKAN'!BP23</f>
        <v>0</v>
      </c>
      <c r="AJ38" s="322">
        <f>'P NP TAMBAK IKAN'!BO24</f>
        <v>0</v>
      </c>
      <c r="AK38" s="322">
        <f>'P NP TAMBAK IKAN'!BP24</f>
        <v>0</v>
      </c>
      <c r="AL38" s="322">
        <f>'P NP TAMBAK IKAN'!BO25</f>
        <v>0</v>
      </c>
      <c r="AM38" s="322">
        <f>'P NP TAMBAK IKAN'!BP25</f>
        <v>0</v>
      </c>
      <c r="AN38" s="322">
        <f>'P NP TAMBAK IKAN'!BO26</f>
        <v>0</v>
      </c>
      <c r="AO38" s="322">
        <f>'P NP TAMBAK IKAN'!BP26</f>
        <v>0</v>
      </c>
      <c r="AP38" s="322">
        <f>'P NP TAMBAK IKAN'!BO27</f>
        <v>0</v>
      </c>
      <c r="AQ38" s="322">
        <f>'P NP TAMBAK IKAN'!BP27</f>
        <v>0</v>
      </c>
      <c r="AR38" s="322">
        <f>'P NP TAMBAK IKAN'!BO28</f>
        <v>0</v>
      </c>
      <c r="AS38" s="322">
        <f>'P NP TAMBAK IKAN'!BP28</f>
        <v>0</v>
      </c>
      <c r="AT38" s="322">
        <f>'P NP TAMBAK IKAN'!BO29</f>
        <v>0</v>
      </c>
      <c r="AU38" s="322">
        <f>'P NP TAMBAK IKAN'!BP29</f>
        <v>0</v>
      </c>
      <c r="AV38" s="322">
        <f>'P NP TAMBAK IKAN'!BO30</f>
        <v>0</v>
      </c>
      <c r="AW38" s="322">
        <f>'P NP TAMBAK IKAN'!BP30</f>
        <v>0</v>
      </c>
      <c r="AX38" s="322">
        <f>'P NP TAMBAK IKAN'!BO31</f>
        <v>0</v>
      </c>
      <c r="AY38" s="322">
        <f>'P NP TAMBAK IKAN'!BP31</f>
        <v>0</v>
      </c>
      <c r="AZ38" s="322">
        <f>'P NP TAMBAK IKAN'!BO32</f>
        <v>0</v>
      </c>
      <c r="BA38" s="322">
        <f>'P NP TAMBAK IKAN'!BP32</f>
        <v>0</v>
      </c>
      <c r="BB38" s="322">
        <f>'P NP TAMBAK IKAN'!BO33</f>
        <v>0</v>
      </c>
      <c r="BC38" s="322">
        <f>'P NP TAMBAK IKAN'!BP33</f>
        <v>0</v>
      </c>
      <c r="BD38" s="322">
        <f>'P NP TAMBAK IKAN'!BO34</f>
        <v>0</v>
      </c>
      <c r="BE38" s="322">
        <f>'P NP TAMBAK IKAN'!BP34</f>
        <v>0</v>
      </c>
      <c r="BF38" s="322">
        <f>'P NP TAMBAK IKAN'!BO43</f>
        <v>0</v>
      </c>
      <c r="BG38" s="322">
        <f>'P NP TAMBAK IKAN'!BP43</f>
        <v>0</v>
      </c>
      <c r="BH38" s="322">
        <f>'P NP TAMBAK IKAN'!BO44</f>
        <v>0</v>
      </c>
      <c r="BI38" s="322">
        <f>'P NP TAMBAK IKAN'!BP44</f>
        <v>0</v>
      </c>
      <c r="BJ38" s="322">
        <f>'P NP TAMBAK IKAN'!C77</f>
        <v>0</v>
      </c>
      <c r="BK38" s="322">
        <f>'P NP TAMBAK IKAN'!D77</f>
        <v>0</v>
      </c>
      <c r="BL38" s="322">
        <f>'P NP TAMBAK IKAN'!C78</f>
        <v>0</v>
      </c>
      <c r="BM38" s="322">
        <f>'P NP TAMBAK IKAN'!D78</f>
        <v>0</v>
      </c>
      <c r="BN38" s="322">
        <f>'P NP TAMBAK IKAN'!C79</f>
        <v>0</v>
      </c>
      <c r="BO38" s="322">
        <f>'P NP TAMBAK IKAN'!D79</f>
        <v>0</v>
      </c>
      <c r="BP38" s="322">
        <f>'P NP TAMBAK IKAN'!C80</f>
        <v>0</v>
      </c>
      <c r="BQ38" s="322">
        <f>'P NP TAMBAK IKAN'!D80</f>
        <v>0</v>
      </c>
      <c r="BR38" s="322">
        <f>'P NP TAMBAK IKAN'!C81</f>
        <v>0</v>
      </c>
      <c r="BS38" s="322">
        <f>'P NP TAMBAK IKAN'!D81</f>
        <v>0</v>
      </c>
      <c r="BT38" s="322">
        <f>'P NP TAMBAK IKAN'!C82</f>
        <v>0</v>
      </c>
      <c r="BU38" s="322">
        <f>'P NP TAMBAK IKAN'!D82</f>
        <v>0</v>
      </c>
      <c r="BV38" s="322">
        <f>'P NP TAMBAK IKAN'!C83</f>
        <v>0</v>
      </c>
      <c r="BW38" s="322">
        <f>'P NP TAMBAK IKAN'!D83</f>
        <v>0</v>
      </c>
      <c r="BX38" s="322">
        <f>'P NP TAMBAK IKAN'!C84</f>
        <v>0</v>
      </c>
      <c r="BY38" s="322">
        <f>'P NP TAMBAK IKAN'!D84</f>
        <v>0</v>
      </c>
      <c r="CA38" s="322">
        <f t="shared" si="5"/>
        <v>0</v>
      </c>
      <c r="CB38" s="322">
        <f t="shared" ca="1" si="6"/>
        <v>0</v>
      </c>
    </row>
    <row r="39" spans="1:80">
      <c r="A39" s="260" t="s">
        <v>143</v>
      </c>
      <c r="B39" s="320">
        <f t="shared" si="3"/>
        <v>0</v>
      </c>
      <c r="C39" s="320">
        <f t="shared" si="4"/>
        <v>0</v>
      </c>
      <c r="D39" s="322">
        <f>'P NP TAMBAK IKAN'!BQ8</f>
        <v>0</v>
      </c>
      <c r="E39" s="322">
        <f>'P NP TAMBAK IKAN'!BR8</f>
        <v>0</v>
      </c>
      <c r="F39" s="322">
        <f>'P NP TAMBAK IKAN'!BQ9</f>
        <v>0</v>
      </c>
      <c r="G39" s="322">
        <f>'P NP TAMBAK IKAN'!BR9</f>
        <v>0</v>
      </c>
      <c r="H39" s="322">
        <f>'P NP TAMBAK IKAN'!BQ10</f>
        <v>0</v>
      </c>
      <c r="I39" s="322">
        <f>'P NP TAMBAK IKAN'!BR10</f>
        <v>0</v>
      </c>
      <c r="J39" s="322">
        <f>'P NP TAMBAK IKAN'!BQ11</f>
        <v>0</v>
      </c>
      <c r="K39" s="322">
        <f>'P NP TAMBAK IKAN'!BR11</f>
        <v>0</v>
      </c>
      <c r="L39" s="322">
        <f>'P NP TAMBAK IKAN'!BQ12</f>
        <v>0</v>
      </c>
      <c r="M39" s="322">
        <f>'P NP TAMBAK IKAN'!BR12</f>
        <v>0</v>
      </c>
      <c r="N39" s="322">
        <f>'P NP TAMBAK IKAN'!BQ13</f>
        <v>0</v>
      </c>
      <c r="O39" s="322">
        <f>'P NP TAMBAK IKAN'!BR13</f>
        <v>0</v>
      </c>
      <c r="P39" s="322">
        <f>'P NP TAMBAK IKAN'!BQ14</f>
        <v>0</v>
      </c>
      <c r="Q39" s="322">
        <f>'P NP TAMBAK IKAN'!BR14</f>
        <v>0</v>
      </c>
      <c r="R39" s="322">
        <f>'P NP TAMBAK IKAN'!BQ15</f>
        <v>0</v>
      </c>
      <c r="S39" s="322">
        <f>'P NP TAMBAK IKAN'!BR15</f>
        <v>0</v>
      </c>
      <c r="T39" s="322">
        <f>'P NP TAMBAK IKAN'!BQ16</f>
        <v>0</v>
      </c>
      <c r="U39" s="322">
        <f>'P NP TAMBAK IKAN'!BR16</f>
        <v>0</v>
      </c>
      <c r="V39" s="322">
        <f>'P NP TAMBAK IKAN'!BQ17</f>
        <v>0</v>
      </c>
      <c r="W39" s="322">
        <f>'P NP TAMBAK IKAN'!BR17</f>
        <v>0</v>
      </c>
      <c r="X39" s="322">
        <f>'P NP TAMBAK IKAN'!BQ18</f>
        <v>0</v>
      </c>
      <c r="Y39" s="322">
        <f>'P NP TAMBAK IKAN'!BR18</f>
        <v>0</v>
      </c>
      <c r="Z39" s="322">
        <f>'P NP TAMBAK IKAN'!BQ19</f>
        <v>0</v>
      </c>
      <c r="AA39" s="322">
        <f>'P NP TAMBAK IKAN'!BR19</f>
        <v>0</v>
      </c>
      <c r="AB39" s="322">
        <f>'P NP TAMBAK IKAN'!BQ20</f>
        <v>0</v>
      </c>
      <c r="AC39" s="322">
        <f>'P NP TAMBAK IKAN'!BR20</f>
        <v>0</v>
      </c>
      <c r="AD39" s="322">
        <f>'P NP TAMBAK IKAN'!BQ21</f>
        <v>0</v>
      </c>
      <c r="AE39" s="322">
        <f>'P NP TAMBAK IKAN'!BR21</f>
        <v>0</v>
      </c>
      <c r="AF39" s="322">
        <f>'P NP TAMBAK IKAN'!BQ22</f>
        <v>0</v>
      </c>
      <c r="AG39" s="322">
        <f>'P NP TAMBAK IKAN'!BR22</f>
        <v>0</v>
      </c>
      <c r="AH39" s="322">
        <f>'P NP TAMBAK IKAN'!BQ23</f>
        <v>0</v>
      </c>
      <c r="AI39" s="322">
        <f>'P NP TAMBAK IKAN'!BR23</f>
        <v>0</v>
      </c>
      <c r="AJ39" s="322">
        <f>'P NP TAMBAK IKAN'!BQ24</f>
        <v>0</v>
      </c>
      <c r="AK39" s="322">
        <f>'P NP TAMBAK IKAN'!BR24</f>
        <v>0</v>
      </c>
      <c r="AL39" s="322">
        <f>'P NP TAMBAK IKAN'!BQ25</f>
        <v>0</v>
      </c>
      <c r="AM39" s="322">
        <f>'P NP TAMBAK IKAN'!BR25</f>
        <v>0</v>
      </c>
      <c r="AN39" s="322">
        <f>'P NP TAMBAK IKAN'!BQ26</f>
        <v>0</v>
      </c>
      <c r="AO39" s="322">
        <f>'P NP TAMBAK IKAN'!BR26</f>
        <v>0</v>
      </c>
      <c r="AP39" s="322">
        <f>'P NP TAMBAK IKAN'!BQ27</f>
        <v>0</v>
      </c>
      <c r="AQ39" s="322">
        <f>'P NP TAMBAK IKAN'!BR27</f>
        <v>0</v>
      </c>
      <c r="AR39" s="322">
        <f>'P NP TAMBAK IKAN'!BQ28</f>
        <v>0</v>
      </c>
      <c r="AS39" s="322">
        <f>'P NP TAMBAK IKAN'!BR28</f>
        <v>0</v>
      </c>
      <c r="AT39" s="322">
        <f>'P NP TAMBAK IKAN'!BQ29</f>
        <v>0</v>
      </c>
      <c r="AU39" s="322">
        <f>'P NP TAMBAK IKAN'!BR29</f>
        <v>0</v>
      </c>
      <c r="AV39" s="322">
        <f>'P NP TAMBAK IKAN'!BQ30</f>
        <v>0</v>
      </c>
      <c r="AW39" s="322">
        <f>'P NP TAMBAK IKAN'!BR30</f>
        <v>0</v>
      </c>
      <c r="AX39" s="322">
        <f>'P NP TAMBAK IKAN'!BQ31</f>
        <v>0</v>
      </c>
      <c r="AY39" s="322">
        <f>'P NP TAMBAK IKAN'!BR31</f>
        <v>0</v>
      </c>
      <c r="AZ39" s="322">
        <f>'P NP TAMBAK IKAN'!BQ32</f>
        <v>0</v>
      </c>
      <c r="BA39" s="322">
        <f>'P NP TAMBAK IKAN'!BR32</f>
        <v>0</v>
      </c>
      <c r="BB39" s="322">
        <f>'P NP TAMBAK IKAN'!BQ33</f>
        <v>0</v>
      </c>
      <c r="BC39" s="322">
        <f>'P NP TAMBAK IKAN'!BR33</f>
        <v>0</v>
      </c>
      <c r="BD39" s="322">
        <f>'P NP TAMBAK IKAN'!BQ34</f>
        <v>0</v>
      </c>
      <c r="BE39" s="322">
        <f>'P NP TAMBAK IKAN'!BR34</f>
        <v>0</v>
      </c>
      <c r="BF39" s="322">
        <f>'P NP TAMBAK IKAN'!BQ43</f>
        <v>0</v>
      </c>
      <c r="BG39" s="322">
        <f>'P NP TAMBAK IKAN'!BR43</f>
        <v>0</v>
      </c>
      <c r="BH39" s="322">
        <f>'P NP TAMBAK IKAN'!BQ44</f>
        <v>0</v>
      </c>
      <c r="BI39" s="322">
        <f>'P NP TAMBAK IKAN'!BR44</f>
        <v>0</v>
      </c>
      <c r="BJ39" s="322">
        <f>'P NP TAMBAK IKAN'!C78</f>
        <v>0</v>
      </c>
      <c r="BK39" s="322">
        <f>'P NP TAMBAK IKAN'!D78</f>
        <v>0</v>
      </c>
      <c r="BL39" s="322">
        <f>'P NP TAMBAK IKAN'!C79</f>
        <v>0</v>
      </c>
      <c r="BM39" s="322">
        <f>'P NP TAMBAK IKAN'!D79</f>
        <v>0</v>
      </c>
      <c r="BN39" s="322">
        <f>'P NP TAMBAK IKAN'!C80</f>
        <v>0</v>
      </c>
      <c r="BO39" s="322">
        <f>'P NP TAMBAK IKAN'!D80</f>
        <v>0</v>
      </c>
      <c r="BP39" s="322">
        <f>'P NP TAMBAK IKAN'!C81</f>
        <v>0</v>
      </c>
      <c r="BQ39" s="322">
        <f>'P NP TAMBAK IKAN'!D81</f>
        <v>0</v>
      </c>
      <c r="BR39" s="322">
        <f>'P NP TAMBAK IKAN'!C82</f>
        <v>0</v>
      </c>
      <c r="BS39" s="322">
        <f>'P NP TAMBAK IKAN'!D82</f>
        <v>0</v>
      </c>
      <c r="BT39" s="322">
        <f>'P NP TAMBAK IKAN'!C83</f>
        <v>0</v>
      </c>
      <c r="BU39" s="322">
        <f>'P NP TAMBAK IKAN'!D83</f>
        <v>0</v>
      </c>
      <c r="BV39" s="322">
        <f>'P NP TAMBAK IKAN'!C84</f>
        <v>0</v>
      </c>
      <c r="BW39" s="322">
        <f>'P NP TAMBAK IKAN'!D84</f>
        <v>0</v>
      </c>
      <c r="BX39" s="322">
        <f>'P NP TAMBAK IKAN'!C85</f>
        <v>0</v>
      </c>
      <c r="BY39" s="322">
        <f>'P NP TAMBAK IKAN'!D85</f>
        <v>0</v>
      </c>
      <c r="CA39" s="322">
        <f t="shared" si="5"/>
        <v>0</v>
      </c>
      <c r="CB39" s="322">
        <f t="shared" ca="1" si="6"/>
        <v>0</v>
      </c>
    </row>
    <row r="40" spans="1:80">
      <c r="A40" s="260" t="s">
        <v>146</v>
      </c>
      <c r="B40" s="320">
        <f t="shared" si="3"/>
        <v>0</v>
      </c>
      <c r="C40" s="320">
        <f t="shared" si="4"/>
        <v>0</v>
      </c>
      <c r="D40" s="322">
        <f>'P NP TAMBAK IKAN'!BS8</f>
        <v>0</v>
      </c>
      <c r="E40" s="322">
        <f>'P NP TAMBAK IKAN'!BT8</f>
        <v>0</v>
      </c>
      <c r="F40" s="322">
        <f>'P NP TAMBAK IKAN'!BS9</f>
        <v>0</v>
      </c>
      <c r="G40" s="322">
        <f>'P NP TAMBAK IKAN'!BT9</f>
        <v>0</v>
      </c>
      <c r="H40" s="322">
        <f>'P NP TAMBAK IKAN'!BS10</f>
        <v>0</v>
      </c>
      <c r="I40" s="322">
        <f>'P NP TAMBAK IKAN'!BT10</f>
        <v>0</v>
      </c>
      <c r="J40" s="322">
        <f>'P NP TAMBAK IKAN'!BS11</f>
        <v>0</v>
      </c>
      <c r="K40" s="322">
        <f>'P NP TAMBAK IKAN'!BT11</f>
        <v>0</v>
      </c>
      <c r="L40" s="322">
        <f>'P NP TAMBAK IKAN'!BS12</f>
        <v>0</v>
      </c>
      <c r="M40" s="322">
        <f>'P NP TAMBAK IKAN'!BT12</f>
        <v>0</v>
      </c>
      <c r="N40" s="322">
        <f>'P NP TAMBAK IKAN'!BS13</f>
        <v>0</v>
      </c>
      <c r="O40" s="322">
        <f>'P NP TAMBAK IKAN'!BT13</f>
        <v>0</v>
      </c>
      <c r="P40" s="322">
        <f>'P NP TAMBAK IKAN'!BS14</f>
        <v>0</v>
      </c>
      <c r="Q40" s="322">
        <f>'P NP TAMBAK IKAN'!BT14</f>
        <v>0</v>
      </c>
      <c r="R40" s="322">
        <f>'P NP TAMBAK IKAN'!BS15</f>
        <v>0</v>
      </c>
      <c r="S40" s="322">
        <f>'P NP TAMBAK IKAN'!BT15</f>
        <v>0</v>
      </c>
      <c r="T40" s="322">
        <f>'P NP TAMBAK IKAN'!BS16</f>
        <v>0</v>
      </c>
      <c r="U40" s="322">
        <f>'P NP TAMBAK IKAN'!BT16</f>
        <v>0</v>
      </c>
      <c r="V40" s="322">
        <f>'P NP TAMBAK IKAN'!BS17</f>
        <v>0</v>
      </c>
      <c r="W40" s="322">
        <f>'P NP TAMBAK IKAN'!BT17</f>
        <v>0</v>
      </c>
      <c r="X40" s="322">
        <f>'P NP TAMBAK IKAN'!BS18</f>
        <v>0</v>
      </c>
      <c r="Y40" s="322">
        <f>'P NP TAMBAK IKAN'!BT18</f>
        <v>0</v>
      </c>
      <c r="Z40" s="322">
        <f>'P NP TAMBAK IKAN'!BS19</f>
        <v>0</v>
      </c>
      <c r="AA40" s="322">
        <f>'P NP TAMBAK IKAN'!BT19</f>
        <v>0</v>
      </c>
      <c r="AB40" s="322">
        <f>'P NP TAMBAK IKAN'!BS20</f>
        <v>0</v>
      </c>
      <c r="AC40" s="322">
        <f>'P NP TAMBAK IKAN'!BT20</f>
        <v>0</v>
      </c>
      <c r="AD40" s="322">
        <f>'P NP TAMBAK IKAN'!BS21</f>
        <v>0</v>
      </c>
      <c r="AE40" s="322">
        <f>'P NP TAMBAK IKAN'!BT21</f>
        <v>0</v>
      </c>
      <c r="AF40" s="322">
        <f>'P NP TAMBAK IKAN'!BS22</f>
        <v>0</v>
      </c>
      <c r="AG40" s="322">
        <f>'P NP TAMBAK IKAN'!BT22</f>
        <v>0</v>
      </c>
      <c r="AH40" s="322">
        <f>'P NP TAMBAK IKAN'!BS23</f>
        <v>0</v>
      </c>
      <c r="AI40" s="322">
        <f>'P NP TAMBAK IKAN'!BT23</f>
        <v>0</v>
      </c>
      <c r="AJ40" s="322">
        <f>'P NP TAMBAK IKAN'!BS24</f>
        <v>0</v>
      </c>
      <c r="AK40" s="322">
        <f>'P NP TAMBAK IKAN'!BT24</f>
        <v>0</v>
      </c>
      <c r="AL40" s="322">
        <f>'P NP TAMBAK IKAN'!BS25</f>
        <v>0</v>
      </c>
      <c r="AM40" s="322">
        <f>'P NP TAMBAK IKAN'!BT25</f>
        <v>0</v>
      </c>
      <c r="AN40" s="322">
        <f>'P NP TAMBAK IKAN'!BS26</f>
        <v>0</v>
      </c>
      <c r="AO40" s="322">
        <f>'P NP TAMBAK IKAN'!BT26</f>
        <v>0</v>
      </c>
      <c r="AP40" s="322">
        <f>'P NP TAMBAK IKAN'!BS27</f>
        <v>0</v>
      </c>
      <c r="AQ40" s="322">
        <f>'P NP TAMBAK IKAN'!BT27</f>
        <v>0</v>
      </c>
      <c r="AR40" s="322">
        <f>'P NP TAMBAK IKAN'!BS28</f>
        <v>0</v>
      </c>
      <c r="AS40" s="322">
        <f>'P NP TAMBAK IKAN'!BT28</f>
        <v>0</v>
      </c>
      <c r="AT40" s="322">
        <f>'P NP TAMBAK IKAN'!BS29</f>
        <v>0</v>
      </c>
      <c r="AU40" s="322">
        <f>'P NP TAMBAK IKAN'!BT29</f>
        <v>0</v>
      </c>
      <c r="AV40" s="322">
        <f>'P NP TAMBAK IKAN'!BS30</f>
        <v>0</v>
      </c>
      <c r="AW40" s="322">
        <f>'P NP TAMBAK IKAN'!BT30</f>
        <v>0</v>
      </c>
      <c r="AX40" s="322">
        <f>'P NP TAMBAK IKAN'!BS31</f>
        <v>0</v>
      </c>
      <c r="AY40" s="322">
        <f>'P NP TAMBAK IKAN'!BT31</f>
        <v>0</v>
      </c>
      <c r="AZ40" s="322">
        <f>'P NP TAMBAK IKAN'!BS32</f>
        <v>0</v>
      </c>
      <c r="BA40" s="322">
        <f>'P NP TAMBAK IKAN'!BT32</f>
        <v>0</v>
      </c>
      <c r="BB40" s="322">
        <f>'P NP TAMBAK IKAN'!BS33</f>
        <v>0</v>
      </c>
      <c r="BC40" s="322">
        <f>'P NP TAMBAK IKAN'!BT33</f>
        <v>0</v>
      </c>
      <c r="BD40" s="322">
        <f>'P NP TAMBAK IKAN'!BS34</f>
        <v>0</v>
      </c>
      <c r="BE40" s="322">
        <f>'P NP TAMBAK IKAN'!BT34</f>
        <v>0</v>
      </c>
      <c r="BF40" s="322">
        <f>'P NP TAMBAK IKAN'!BS43</f>
        <v>0</v>
      </c>
      <c r="BG40" s="322">
        <f>'P NP TAMBAK IKAN'!BT43</f>
        <v>0</v>
      </c>
      <c r="BH40" s="322">
        <f>'P NP TAMBAK IKAN'!BS44</f>
        <v>0</v>
      </c>
      <c r="BI40" s="322">
        <f>'P NP TAMBAK IKAN'!BT44</f>
        <v>0</v>
      </c>
      <c r="BJ40" s="322">
        <f>'P NP TAMBAK IKAN'!C79</f>
        <v>0</v>
      </c>
      <c r="BK40" s="322">
        <f>'P NP TAMBAK IKAN'!D79</f>
        <v>0</v>
      </c>
      <c r="BL40" s="322">
        <f>'P NP TAMBAK IKAN'!C80</f>
        <v>0</v>
      </c>
      <c r="BM40" s="322">
        <f>'P NP TAMBAK IKAN'!D80</f>
        <v>0</v>
      </c>
      <c r="BN40" s="322">
        <f>'P NP TAMBAK IKAN'!C81</f>
        <v>0</v>
      </c>
      <c r="BO40" s="322">
        <f>'P NP TAMBAK IKAN'!D81</f>
        <v>0</v>
      </c>
      <c r="BP40" s="322">
        <f>'P NP TAMBAK IKAN'!C82</f>
        <v>0</v>
      </c>
      <c r="BQ40" s="322">
        <f>'P NP TAMBAK IKAN'!D82</f>
        <v>0</v>
      </c>
      <c r="BR40" s="322">
        <f>'P NP TAMBAK IKAN'!C83</f>
        <v>0</v>
      </c>
      <c r="BS40" s="322">
        <f>'P NP TAMBAK IKAN'!D83</f>
        <v>0</v>
      </c>
      <c r="BT40" s="322">
        <f>'P NP TAMBAK IKAN'!C84</f>
        <v>0</v>
      </c>
      <c r="BU40" s="322">
        <f>'P NP TAMBAK IKAN'!D84</f>
        <v>0</v>
      </c>
      <c r="BV40" s="322">
        <f>'P NP TAMBAK IKAN'!C85</f>
        <v>0</v>
      </c>
      <c r="BW40" s="322">
        <f>'P NP TAMBAK IKAN'!D85</f>
        <v>0</v>
      </c>
      <c r="BX40" s="322">
        <f>'P NP TAMBAK IKAN'!C86</f>
        <v>0</v>
      </c>
      <c r="BY40" s="322">
        <f>'P NP TAMBAK IKAN'!D86</f>
        <v>0</v>
      </c>
      <c r="CA40" s="322">
        <f t="shared" si="5"/>
        <v>0</v>
      </c>
      <c r="CB40" s="322">
        <f t="shared" ca="1" si="6"/>
        <v>0</v>
      </c>
    </row>
    <row r="41" spans="1:80">
      <c r="A41" s="260" t="s">
        <v>145</v>
      </c>
      <c r="B41" s="320">
        <f t="shared" si="3"/>
        <v>2627052</v>
      </c>
      <c r="C41" s="320">
        <f t="shared" si="4"/>
        <v>22829529</v>
      </c>
      <c r="D41" s="322">
        <f>'P NP TAMBAK IKAN'!BU8</f>
        <v>1133090</v>
      </c>
      <c r="E41" s="322">
        <f>'P NP TAMBAK IKAN'!BV8</f>
        <v>18816404</v>
      </c>
      <c r="F41" s="322">
        <f>'P NP TAMBAK IKAN'!BU9</f>
        <v>0</v>
      </c>
      <c r="G41" s="322">
        <f>'P NP TAMBAK IKAN'!BV9</f>
        <v>0</v>
      </c>
      <c r="H41" s="322">
        <f>'P NP TAMBAK IKAN'!BU10</f>
        <v>0</v>
      </c>
      <c r="I41" s="322">
        <f>'P NP TAMBAK IKAN'!BV10</f>
        <v>0</v>
      </c>
      <c r="J41" s="322">
        <f>'P NP TAMBAK IKAN'!BU11</f>
        <v>0</v>
      </c>
      <c r="K41" s="322">
        <f>'P NP TAMBAK IKAN'!BV11</f>
        <v>0</v>
      </c>
      <c r="L41" s="322">
        <f>'P NP TAMBAK IKAN'!BU12</f>
        <v>0</v>
      </c>
      <c r="M41" s="322">
        <f>'P NP TAMBAK IKAN'!BV12</f>
        <v>0</v>
      </c>
      <c r="N41" s="322">
        <f>'P NP TAMBAK IKAN'!BU13</f>
        <v>1445900</v>
      </c>
      <c r="O41" s="322">
        <f>'P NP TAMBAK IKAN'!BV13</f>
        <v>1022420</v>
      </c>
      <c r="P41" s="322">
        <f>'P NP TAMBAK IKAN'!BU14</f>
        <v>0</v>
      </c>
      <c r="Q41" s="322">
        <f>'P NP TAMBAK IKAN'!BV14</f>
        <v>0</v>
      </c>
      <c r="R41" s="322">
        <f>'P NP TAMBAK IKAN'!BU15</f>
        <v>0</v>
      </c>
      <c r="S41" s="322">
        <f>'P NP TAMBAK IKAN'!BV15</f>
        <v>0</v>
      </c>
      <c r="T41" s="322">
        <f>'P NP TAMBAK IKAN'!BU16</f>
        <v>0</v>
      </c>
      <c r="U41" s="322">
        <f>'P NP TAMBAK IKAN'!BV16</f>
        <v>0</v>
      </c>
      <c r="V41" s="322">
        <f>'P NP TAMBAK IKAN'!BU17</f>
        <v>0</v>
      </c>
      <c r="W41" s="322">
        <f>'P NP TAMBAK IKAN'!BV17</f>
        <v>0</v>
      </c>
      <c r="X41" s="322">
        <f>'P NP TAMBAK IKAN'!BU18</f>
        <v>0</v>
      </c>
      <c r="Y41" s="322">
        <f>'P NP TAMBAK IKAN'!BV18</f>
        <v>0</v>
      </c>
      <c r="Z41" s="322">
        <f>'P NP TAMBAK IKAN'!BU19</f>
        <v>0</v>
      </c>
      <c r="AA41" s="322">
        <f>'P NP TAMBAK IKAN'!BV19</f>
        <v>0</v>
      </c>
      <c r="AB41" s="322">
        <f>'P NP TAMBAK IKAN'!BU20</f>
        <v>0</v>
      </c>
      <c r="AC41" s="322">
        <f>'P NP TAMBAK IKAN'!BV20</f>
        <v>0</v>
      </c>
      <c r="AD41" s="322">
        <f>'P NP TAMBAK IKAN'!BU21</f>
        <v>0</v>
      </c>
      <c r="AE41" s="322">
        <f>'P NP TAMBAK IKAN'!BV21</f>
        <v>0</v>
      </c>
      <c r="AF41" s="322">
        <f>'P NP TAMBAK IKAN'!BU22</f>
        <v>0</v>
      </c>
      <c r="AG41" s="322">
        <f>'P NP TAMBAK IKAN'!BV22</f>
        <v>0</v>
      </c>
      <c r="AH41" s="322">
        <f>'P NP TAMBAK IKAN'!BU23</f>
        <v>0</v>
      </c>
      <c r="AI41" s="322">
        <f>'P NP TAMBAK IKAN'!BV23</f>
        <v>0</v>
      </c>
      <c r="AJ41" s="322">
        <f>'P NP TAMBAK IKAN'!BU24</f>
        <v>0</v>
      </c>
      <c r="AK41" s="322">
        <f>'P NP TAMBAK IKAN'!BV24</f>
        <v>0</v>
      </c>
      <c r="AL41" s="322">
        <f>'P NP TAMBAK IKAN'!BU25</f>
        <v>0</v>
      </c>
      <c r="AM41" s="322">
        <f>'P NP TAMBAK IKAN'!BV25</f>
        <v>0</v>
      </c>
      <c r="AN41" s="322">
        <f>'P NP TAMBAK IKAN'!BU26</f>
        <v>5580</v>
      </c>
      <c r="AO41" s="322">
        <f>'P NP TAMBAK IKAN'!BV26</f>
        <v>142375</v>
      </c>
      <c r="AP41" s="322">
        <f>'P NP TAMBAK IKAN'!BU27</f>
        <v>0</v>
      </c>
      <c r="AQ41" s="322">
        <f>'P NP TAMBAK IKAN'!BV27</f>
        <v>0</v>
      </c>
      <c r="AR41" s="322">
        <f>'P NP TAMBAK IKAN'!BU28</f>
        <v>0</v>
      </c>
      <c r="AS41" s="322">
        <f>'P NP TAMBAK IKAN'!BV28</f>
        <v>0</v>
      </c>
      <c r="AT41" s="322">
        <f>'P NP TAMBAK IKAN'!BU29</f>
        <v>0</v>
      </c>
      <c r="AU41" s="322">
        <f>'P NP TAMBAK IKAN'!BV29</f>
        <v>0</v>
      </c>
      <c r="AV41" s="322">
        <f>'P NP TAMBAK IKAN'!BU30</f>
        <v>0</v>
      </c>
      <c r="AW41" s="322">
        <f>'P NP TAMBAK IKAN'!BV30</f>
        <v>0</v>
      </c>
      <c r="AX41" s="322">
        <f>'P NP TAMBAK IKAN'!BU31</f>
        <v>0</v>
      </c>
      <c r="AY41" s="322">
        <f>'P NP TAMBAK IKAN'!BV31</f>
        <v>0</v>
      </c>
      <c r="AZ41" s="322">
        <f>'P NP TAMBAK IKAN'!BU32</f>
        <v>0</v>
      </c>
      <c r="BA41" s="322">
        <f>'P NP TAMBAK IKAN'!BV32</f>
        <v>0</v>
      </c>
      <c r="BB41" s="322">
        <f>'P NP TAMBAK IKAN'!BU33</f>
        <v>42482</v>
      </c>
      <c r="BC41" s="322">
        <f>'P NP TAMBAK IKAN'!BV33</f>
        <v>2848330</v>
      </c>
      <c r="BD41" s="322">
        <f>'P NP TAMBAK IKAN'!BU34</f>
        <v>0</v>
      </c>
      <c r="BE41" s="322">
        <f>'P NP TAMBAK IKAN'!BV34</f>
        <v>0</v>
      </c>
      <c r="BF41" s="322">
        <f>'P NP TAMBAK IKAN'!BU43</f>
        <v>0</v>
      </c>
      <c r="BG41" s="322">
        <f>'P NP TAMBAK IKAN'!BV43</f>
        <v>0</v>
      </c>
      <c r="BH41" s="322">
        <f>'P NP TAMBAK IKAN'!BU44</f>
        <v>0</v>
      </c>
      <c r="BI41" s="322">
        <f>'P NP TAMBAK IKAN'!BV44</f>
        <v>0</v>
      </c>
      <c r="BJ41" s="322">
        <f>'P NP TAMBAK IKAN'!C80</f>
        <v>0</v>
      </c>
      <c r="BK41" s="322">
        <f>'P NP TAMBAK IKAN'!D80</f>
        <v>0</v>
      </c>
      <c r="BL41" s="322">
        <f>'P NP TAMBAK IKAN'!C81</f>
        <v>0</v>
      </c>
      <c r="BM41" s="322">
        <f>'P NP TAMBAK IKAN'!D81</f>
        <v>0</v>
      </c>
      <c r="BN41" s="322">
        <f>'P NP TAMBAK IKAN'!C82</f>
        <v>0</v>
      </c>
      <c r="BO41" s="322">
        <f>'P NP TAMBAK IKAN'!D82</f>
        <v>0</v>
      </c>
      <c r="BP41" s="322">
        <f>'P NP TAMBAK IKAN'!C83</f>
        <v>0</v>
      </c>
      <c r="BQ41" s="322">
        <f>'P NP TAMBAK IKAN'!D83</f>
        <v>0</v>
      </c>
      <c r="BR41" s="322">
        <f>'P NP TAMBAK IKAN'!C84</f>
        <v>0</v>
      </c>
      <c r="BS41" s="322">
        <f>'P NP TAMBAK IKAN'!D84</f>
        <v>0</v>
      </c>
      <c r="BT41" s="322">
        <f>'P NP TAMBAK IKAN'!C85</f>
        <v>0</v>
      </c>
      <c r="BU41" s="322">
        <f>'P NP TAMBAK IKAN'!D85</f>
        <v>0</v>
      </c>
      <c r="BV41" s="322">
        <f>'P NP TAMBAK IKAN'!C86</f>
        <v>0</v>
      </c>
      <c r="BW41" s="322">
        <f>'P NP TAMBAK IKAN'!D86</f>
        <v>0</v>
      </c>
      <c r="BX41" s="322">
        <f>'P NP TAMBAK IKAN'!C87</f>
        <v>0</v>
      </c>
      <c r="BY41" s="322">
        <f>'P NP TAMBAK IKAN'!D87</f>
        <v>0</v>
      </c>
      <c r="CA41" s="322">
        <f t="shared" si="5"/>
        <v>2627052</v>
      </c>
      <c r="CB41" s="322">
        <f t="shared" ca="1" si="6"/>
        <v>1493962</v>
      </c>
    </row>
    <row r="42" spans="1:80">
      <c r="A42" s="260" t="s">
        <v>144</v>
      </c>
      <c r="B42" s="320">
        <f t="shared" si="3"/>
        <v>229970</v>
      </c>
      <c r="C42" s="320">
        <f t="shared" si="4"/>
        <v>9979736.6999999993</v>
      </c>
      <c r="D42" s="322">
        <f>'P NP TAMBAK IKAN'!BW8</f>
        <v>60320.7</v>
      </c>
      <c r="E42" s="322">
        <f>'P NP TAMBAK IKAN'!BX8</f>
        <v>965131.2</v>
      </c>
      <c r="F42" s="322">
        <f>'P NP TAMBAK IKAN'!BW9</f>
        <v>0</v>
      </c>
      <c r="G42" s="322">
        <f>'P NP TAMBAK IKAN'!BX9</f>
        <v>0</v>
      </c>
      <c r="H42" s="322">
        <f>'P NP TAMBAK IKAN'!BW10</f>
        <v>0</v>
      </c>
      <c r="I42" s="322">
        <f>'P NP TAMBAK IKAN'!BX10</f>
        <v>0</v>
      </c>
      <c r="J42" s="322">
        <f>'P NP TAMBAK IKAN'!BW11</f>
        <v>0</v>
      </c>
      <c r="K42" s="322">
        <f>'P NP TAMBAK IKAN'!BX11</f>
        <v>0</v>
      </c>
      <c r="L42" s="322">
        <f>'P NP TAMBAK IKAN'!BW12</f>
        <v>0</v>
      </c>
      <c r="M42" s="322">
        <f>'P NP TAMBAK IKAN'!BX12</f>
        <v>0</v>
      </c>
      <c r="N42" s="322">
        <f>'P NP TAMBAK IKAN'!BW13</f>
        <v>0</v>
      </c>
      <c r="O42" s="322">
        <f>'P NP TAMBAK IKAN'!BX13</f>
        <v>0</v>
      </c>
      <c r="P42" s="322">
        <f>'P NP TAMBAK IKAN'!BW14</f>
        <v>0</v>
      </c>
      <c r="Q42" s="322">
        <f>'P NP TAMBAK IKAN'!BX14</f>
        <v>0</v>
      </c>
      <c r="R42" s="322">
        <f>'P NP TAMBAK IKAN'!BW15</f>
        <v>328.9</v>
      </c>
      <c r="S42" s="322">
        <f>'P NP TAMBAK IKAN'!BX15</f>
        <v>13156</v>
      </c>
      <c r="T42" s="322">
        <f>'P NP TAMBAK IKAN'!BW16</f>
        <v>2879.7</v>
      </c>
      <c r="U42" s="322">
        <f>'P NP TAMBAK IKAN'!BX16</f>
        <v>172782</v>
      </c>
      <c r="V42" s="322">
        <f>'P NP TAMBAK IKAN'!BW17</f>
        <v>0</v>
      </c>
      <c r="W42" s="322">
        <f>'P NP TAMBAK IKAN'!BX17</f>
        <v>0</v>
      </c>
      <c r="X42" s="322">
        <f>'P NP TAMBAK IKAN'!BW18</f>
        <v>0</v>
      </c>
      <c r="Y42" s="322">
        <f>'P NP TAMBAK IKAN'!BX18</f>
        <v>0</v>
      </c>
      <c r="Z42" s="322">
        <f>'P NP TAMBAK IKAN'!BW19</f>
        <v>0</v>
      </c>
      <c r="AA42" s="322">
        <f>'P NP TAMBAK IKAN'!BX19</f>
        <v>0</v>
      </c>
      <c r="AB42" s="322">
        <f>'P NP TAMBAK IKAN'!BW20</f>
        <v>0</v>
      </c>
      <c r="AC42" s="322">
        <f>'P NP TAMBAK IKAN'!BX20</f>
        <v>0</v>
      </c>
      <c r="AD42" s="322">
        <f>'P NP TAMBAK IKAN'!BW21</f>
        <v>0</v>
      </c>
      <c r="AE42" s="322">
        <f>'P NP TAMBAK IKAN'!BX21</f>
        <v>0</v>
      </c>
      <c r="AF42" s="322">
        <f>'P NP TAMBAK IKAN'!BW22</f>
        <v>0</v>
      </c>
      <c r="AG42" s="322">
        <f>'P NP TAMBAK IKAN'!BX22</f>
        <v>0</v>
      </c>
      <c r="AH42" s="322">
        <f>'P NP TAMBAK IKAN'!BW23</f>
        <v>0</v>
      </c>
      <c r="AI42" s="322">
        <f>'P NP TAMBAK IKAN'!BX23</f>
        <v>0</v>
      </c>
      <c r="AJ42" s="322">
        <f>'P NP TAMBAK IKAN'!BW24</f>
        <v>37</v>
      </c>
      <c r="AK42" s="322">
        <f>'P NP TAMBAK IKAN'!BX24</f>
        <v>333</v>
      </c>
      <c r="AL42" s="322">
        <f>'P NP TAMBAK IKAN'!BW25</f>
        <v>533</v>
      </c>
      <c r="AM42" s="322">
        <f>'P NP TAMBAK IKAN'!BX25</f>
        <v>4797</v>
      </c>
      <c r="AN42" s="322">
        <f>'P NP TAMBAK IKAN'!BW26</f>
        <v>9419.5</v>
      </c>
      <c r="AO42" s="322">
        <f>'P NP TAMBAK IKAN'!BX26</f>
        <v>228448.5</v>
      </c>
      <c r="AP42" s="322">
        <f>'P NP TAMBAK IKAN'!BW27</f>
        <v>0</v>
      </c>
      <c r="AQ42" s="322">
        <f>'P NP TAMBAK IKAN'!BX27</f>
        <v>0</v>
      </c>
      <c r="AR42" s="322">
        <f>'P NP TAMBAK IKAN'!BW28</f>
        <v>0</v>
      </c>
      <c r="AS42" s="322">
        <f>'P NP TAMBAK IKAN'!BX28</f>
        <v>0</v>
      </c>
      <c r="AT42" s="322">
        <f>'P NP TAMBAK IKAN'!BW29</f>
        <v>0</v>
      </c>
      <c r="AU42" s="322">
        <f>'P NP TAMBAK IKAN'!BX29</f>
        <v>0</v>
      </c>
      <c r="AV42" s="322">
        <f>'P NP TAMBAK IKAN'!BW30</f>
        <v>0</v>
      </c>
      <c r="AW42" s="322">
        <f>'P NP TAMBAK IKAN'!BX30</f>
        <v>0</v>
      </c>
      <c r="AX42" s="322">
        <f>'P NP TAMBAK IKAN'!BW31</f>
        <v>0</v>
      </c>
      <c r="AY42" s="322">
        <f>'P NP TAMBAK IKAN'!BX31</f>
        <v>0</v>
      </c>
      <c r="AZ42" s="322">
        <f>'P NP TAMBAK IKAN'!BW32</f>
        <v>2996.8</v>
      </c>
      <c r="BA42" s="322">
        <f>'P NP TAMBAK IKAN'!BX32</f>
        <v>149840</v>
      </c>
      <c r="BB42" s="322">
        <f>'P NP TAMBAK IKAN'!BW33</f>
        <v>152928.70000000001</v>
      </c>
      <c r="BC42" s="322">
        <f>'P NP TAMBAK IKAN'!BX33</f>
        <v>8411078.5</v>
      </c>
      <c r="BD42" s="322">
        <f>'P NP TAMBAK IKAN'!BW34</f>
        <v>525.70000000000005</v>
      </c>
      <c r="BE42" s="322">
        <f>'P NP TAMBAK IKAN'!BX34</f>
        <v>34170.5</v>
      </c>
      <c r="BF42" s="322">
        <f>'P NP TAMBAK IKAN'!BW43</f>
        <v>0</v>
      </c>
      <c r="BG42" s="322">
        <f>'P NP TAMBAK IKAN'!BX43</f>
        <v>0</v>
      </c>
      <c r="BH42" s="322">
        <f>'P NP TAMBAK IKAN'!BW44</f>
        <v>0</v>
      </c>
      <c r="BI42" s="322">
        <f>'P NP TAMBAK IKAN'!BX44</f>
        <v>0</v>
      </c>
      <c r="BJ42" s="322">
        <f>'P NP TAMBAK IKAN'!C81</f>
        <v>0</v>
      </c>
      <c r="BK42" s="322">
        <f>'P NP TAMBAK IKAN'!D81</f>
        <v>0</v>
      </c>
      <c r="BL42" s="322">
        <f>'P NP TAMBAK IKAN'!C82</f>
        <v>0</v>
      </c>
      <c r="BM42" s="322">
        <f>'P NP TAMBAK IKAN'!D82</f>
        <v>0</v>
      </c>
      <c r="BN42" s="322">
        <f>'P NP TAMBAK IKAN'!C83</f>
        <v>0</v>
      </c>
      <c r="BO42" s="322">
        <f>'P NP TAMBAK IKAN'!D83</f>
        <v>0</v>
      </c>
      <c r="BP42" s="322">
        <f>'P NP TAMBAK IKAN'!C84</f>
        <v>0</v>
      </c>
      <c r="BQ42" s="322">
        <f>'P NP TAMBAK IKAN'!D84</f>
        <v>0</v>
      </c>
      <c r="BR42" s="322">
        <f>'P NP TAMBAK IKAN'!C85</f>
        <v>0</v>
      </c>
      <c r="BS42" s="322">
        <f>'P NP TAMBAK IKAN'!D85</f>
        <v>0</v>
      </c>
      <c r="BT42" s="322">
        <f>'P NP TAMBAK IKAN'!C86</f>
        <v>0</v>
      </c>
      <c r="BU42" s="322">
        <f>'P NP TAMBAK IKAN'!D86</f>
        <v>0</v>
      </c>
      <c r="BV42" s="322">
        <f>'P NP TAMBAK IKAN'!C87</f>
        <v>0</v>
      </c>
      <c r="BW42" s="322">
        <f>'P NP TAMBAK IKAN'!D87</f>
        <v>0</v>
      </c>
      <c r="BX42" s="322">
        <f>'P NP TAMBAK IKAN'!C88</f>
        <v>0</v>
      </c>
      <c r="BY42" s="322">
        <f>'P NP TAMBAK IKAN'!D88</f>
        <v>0</v>
      </c>
      <c r="CA42" s="322">
        <f t="shared" si="5"/>
        <v>229970</v>
      </c>
      <c r="CB42" s="322">
        <f t="shared" ca="1" si="6"/>
        <v>169649.30000000002</v>
      </c>
    </row>
    <row r="43" spans="1:80" ht="15" thickBot="1">
      <c r="A43" s="272" t="s">
        <v>148</v>
      </c>
      <c r="B43" s="320">
        <f t="shared" si="3"/>
        <v>5228433</v>
      </c>
      <c r="C43" s="320">
        <f t="shared" si="4"/>
        <v>185596500</v>
      </c>
      <c r="D43" s="322">
        <f>'P NP TAMBAK IKAN'!BY8</f>
        <v>3599669</v>
      </c>
      <c r="E43" s="322">
        <f>'P NP TAMBAK IKAN'!BZ8</f>
        <v>118713245</v>
      </c>
      <c r="F43" s="322">
        <f>'P NP TAMBAK IKAN'!BY9</f>
        <v>0</v>
      </c>
      <c r="G43" s="322">
        <f>'P NP TAMBAK IKAN'!BZ9</f>
        <v>0</v>
      </c>
      <c r="H43" s="322">
        <f>'P NP TAMBAK IKAN'!BY10</f>
        <v>0</v>
      </c>
      <c r="I43" s="322">
        <f>'P NP TAMBAK IKAN'!BZ10</f>
        <v>0</v>
      </c>
      <c r="J43" s="322">
        <f>'P NP TAMBAK IKAN'!BY11</f>
        <v>0</v>
      </c>
      <c r="K43" s="322">
        <f>'P NP TAMBAK IKAN'!BZ11</f>
        <v>0</v>
      </c>
      <c r="L43" s="322">
        <f>'P NP TAMBAK IKAN'!BY12</f>
        <v>0</v>
      </c>
      <c r="M43" s="322">
        <f>'P NP TAMBAK IKAN'!BZ12</f>
        <v>0</v>
      </c>
      <c r="N43" s="322">
        <f>'P NP TAMBAK IKAN'!BY13</f>
        <v>0</v>
      </c>
      <c r="O43" s="322">
        <f>'P NP TAMBAK IKAN'!BZ13</f>
        <v>0</v>
      </c>
      <c r="P43" s="322">
        <f>'P NP TAMBAK IKAN'!BY14</f>
        <v>0</v>
      </c>
      <c r="Q43" s="322">
        <f>'P NP TAMBAK IKAN'!BZ14</f>
        <v>0</v>
      </c>
      <c r="R43" s="322">
        <f>'P NP TAMBAK IKAN'!BY15</f>
        <v>0</v>
      </c>
      <c r="S43" s="322">
        <f>'P NP TAMBAK IKAN'!BZ15</f>
        <v>0</v>
      </c>
      <c r="T43" s="322">
        <f>'P NP TAMBAK IKAN'!BY16</f>
        <v>0</v>
      </c>
      <c r="U43" s="322">
        <f>'P NP TAMBAK IKAN'!BZ16</f>
        <v>0</v>
      </c>
      <c r="V43" s="322">
        <f>'P NP TAMBAK IKAN'!BY17</f>
        <v>0</v>
      </c>
      <c r="W43" s="322">
        <f>'P NP TAMBAK IKAN'!BZ17</f>
        <v>0</v>
      </c>
      <c r="X43" s="322">
        <f>'P NP TAMBAK IKAN'!BY18</f>
        <v>0</v>
      </c>
      <c r="Y43" s="322">
        <f>'P NP TAMBAK IKAN'!BZ18</f>
        <v>0</v>
      </c>
      <c r="Z43" s="322">
        <f>'P NP TAMBAK IKAN'!BY19</f>
        <v>0</v>
      </c>
      <c r="AA43" s="322">
        <f>'P NP TAMBAK IKAN'!BZ19</f>
        <v>0</v>
      </c>
      <c r="AB43" s="322">
        <f>'P NP TAMBAK IKAN'!BY20</f>
        <v>0</v>
      </c>
      <c r="AC43" s="322">
        <f>'P NP TAMBAK IKAN'!BZ20</f>
        <v>0</v>
      </c>
      <c r="AD43" s="322">
        <f>'P NP TAMBAK IKAN'!BY21</f>
        <v>0</v>
      </c>
      <c r="AE43" s="322">
        <f>'P NP TAMBAK IKAN'!BZ21</f>
        <v>0</v>
      </c>
      <c r="AF43" s="322">
        <f>'P NP TAMBAK IKAN'!BY22</f>
        <v>0</v>
      </c>
      <c r="AG43" s="322">
        <f>'P NP TAMBAK IKAN'!BZ22</f>
        <v>0</v>
      </c>
      <c r="AH43" s="322">
        <f>'P NP TAMBAK IKAN'!BY23</f>
        <v>0</v>
      </c>
      <c r="AI43" s="322">
        <f>'P NP TAMBAK IKAN'!BZ23</f>
        <v>0</v>
      </c>
      <c r="AJ43" s="322">
        <f>'P NP TAMBAK IKAN'!BY24</f>
        <v>0</v>
      </c>
      <c r="AK43" s="322">
        <f>'P NP TAMBAK IKAN'!BZ24</f>
        <v>0</v>
      </c>
      <c r="AL43" s="322">
        <f>'P NP TAMBAK IKAN'!BY25</f>
        <v>0</v>
      </c>
      <c r="AM43" s="322">
        <f>'P NP TAMBAK IKAN'!BZ25</f>
        <v>0</v>
      </c>
      <c r="AN43" s="322">
        <f>'P NP TAMBAK IKAN'!BY26</f>
        <v>784915</v>
      </c>
      <c r="AO43" s="322">
        <f>'P NP TAMBAK IKAN'!BZ26</f>
        <v>22084780</v>
      </c>
      <c r="AP43" s="322">
        <f>'P NP TAMBAK IKAN'!BY27</f>
        <v>0</v>
      </c>
      <c r="AQ43" s="322">
        <f>'P NP TAMBAK IKAN'!BZ27</f>
        <v>0</v>
      </c>
      <c r="AR43" s="322">
        <f>'P NP TAMBAK IKAN'!BY28</f>
        <v>0</v>
      </c>
      <c r="AS43" s="322">
        <f>'P NP TAMBAK IKAN'!BZ28</f>
        <v>0</v>
      </c>
      <c r="AT43" s="322">
        <f>'P NP TAMBAK IKAN'!BY29</f>
        <v>0</v>
      </c>
      <c r="AU43" s="322">
        <f>'P NP TAMBAK IKAN'!BZ29</f>
        <v>0</v>
      </c>
      <c r="AV43" s="322">
        <f>'P NP TAMBAK IKAN'!BY30</f>
        <v>0</v>
      </c>
      <c r="AW43" s="322">
        <f>'P NP TAMBAK IKAN'!BZ30</f>
        <v>0</v>
      </c>
      <c r="AX43" s="322">
        <f>'P NP TAMBAK IKAN'!BY31</f>
        <v>0</v>
      </c>
      <c r="AY43" s="322">
        <f>'P NP TAMBAK IKAN'!BZ31</f>
        <v>0</v>
      </c>
      <c r="AZ43" s="322">
        <f>'P NP TAMBAK IKAN'!BY32</f>
        <v>0</v>
      </c>
      <c r="BA43" s="322">
        <f>'P NP TAMBAK IKAN'!BZ32</f>
        <v>0</v>
      </c>
      <c r="BB43" s="322">
        <f>'P NP TAMBAK IKAN'!BY33</f>
        <v>768881</v>
      </c>
      <c r="BC43" s="322">
        <f>'P NP TAMBAK IKAN'!BZ33</f>
        <v>38245605</v>
      </c>
      <c r="BD43" s="322">
        <f>'P NP TAMBAK IKAN'!BY34</f>
        <v>74968</v>
      </c>
      <c r="BE43" s="322">
        <f>'P NP TAMBAK IKAN'!BZ34</f>
        <v>6552870</v>
      </c>
      <c r="BF43" s="322">
        <f>'P NP TAMBAK IKAN'!BY43</f>
        <v>0</v>
      </c>
      <c r="BG43" s="322">
        <f>'P NP TAMBAK IKAN'!BZ43</f>
        <v>0</v>
      </c>
      <c r="BH43" s="322">
        <f>'P NP TAMBAK IKAN'!BY44</f>
        <v>0</v>
      </c>
      <c r="BI43" s="322">
        <f>'P NP TAMBAK IKAN'!BZ44</f>
        <v>0</v>
      </c>
      <c r="BJ43" s="322">
        <f>'P NP TAMBAK IKAN'!C82</f>
        <v>0</v>
      </c>
      <c r="BK43" s="322">
        <f>'P NP TAMBAK IKAN'!D82</f>
        <v>0</v>
      </c>
      <c r="BL43" s="322">
        <f>'P NP TAMBAK IKAN'!C83</f>
        <v>0</v>
      </c>
      <c r="BM43" s="322">
        <f>'P NP TAMBAK IKAN'!D83</f>
        <v>0</v>
      </c>
      <c r="BN43" s="322">
        <f>'P NP TAMBAK IKAN'!C84</f>
        <v>0</v>
      </c>
      <c r="BO43" s="322">
        <f>'P NP TAMBAK IKAN'!D84</f>
        <v>0</v>
      </c>
      <c r="BP43" s="322">
        <f>'P NP TAMBAK IKAN'!C85</f>
        <v>0</v>
      </c>
      <c r="BQ43" s="322">
        <f>'P NP TAMBAK IKAN'!D85</f>
        <v>0</v>
      </c>
      <c r="BR43" s="322">
        <f>'P NP TAMBAK IKAN'!C86</f>
        <v>0</v>
      </c>
      <c r="BS43" s="322">
        <f>'P NP TAMBAK IKAN'!D86</f>
        <v>0</v>
      </c>
      <c r="BT43" s="322">
        <f>'P NP TAMBAK IKAN'!C87</f>
        <v>0</v>
      </c>
      <c r="BU43" s="322">
        <f>'P NP TAMBAK IKAN'!D87</f>
        <v>0</v>
      </c>
      <c r="BV43" s="322">
        <f>'P NP TAMBAK IKAN'!C88</f>
        <v>0</v>
      </c>
      <c r="BW43" s="322">
        <f>'P NP TAMBAK IKAN'!D88</f>
        <v>0</v>
      </c>
      <c r="BX43" s="322">
        <f>'P NP TAMBAK IKAN'!C89</f>
        <v>0</v>
      </c>
      <c r="BY43" s="322">
        <f>'P NP TAMBAK IKAN'!D89</f>
        <v>0</v>
      </c>
      <c r="CA43" s="322">
        <f t="shared" si="5"/>
        <v>5228433</v>
      </c>
      <c r="CB43" s="322">
        <f t="shared" ca="1" si="6"/>
        <v>1628764</v>
      </c>
    </row>
    <row r="44" spans="1:80">
      <c r="A44" s="168"/>
      <c r="B44" s="168"/>
      <c r="C44" s="168"/>
      <c r="D44" s="168"/>
      <c r="E44" s="168"/>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65"/>
      <c r="BO44" s="165"/>
      <c r="BP44" s="165"/>
      <c r="BQ44" s="165"/>
      <c r="BR44" s="165"/>
      <c r="BS44" s="165"/>
      <c r="BT44" s="165"/>
      <c r="BU44" s="165"/>
      <c r="BV44" s="165"/>
      <c r="BW44" s="165"/>
      <c r="BX44" s="165"/>
      <c r="BY44" s="165"/>
      <c r="CA44" s="165"/>
      <c r="CB44" s="165"/>
    </row>
  </sheetData>
  <sortState xmlns:xlrd2="http://schemas.microsoft.com/office/spreadsheetml/2017/richdata2" ref="A6:A43">
    <sortCondition ref="A6:A43"/>
  </sortState>
  <mergeCells count="37">
    <mergeCell ref="N2:O2"/>
    <mergeCell ref="D2:E2"/>
    <mergeCell ref="F2:G2"/>
    <mergeCell ref="H2:I2"/>
    <mergeCell ref="J2:K2"/>
    <mergeCell ref="L2:M2"/>
    <mergeCell ref="AL2:AM2"/>
    <mergeCell ref="P2:Q2"/>
    <mergeCell ref="R2:S2"/>
    <mergeCell ref="T2:U2"/>
    <mergeCell ref="V2:W2"/>
    <mergeCell ref="X2:Y2"/>
    <mergeCell ref="Z2:AA2"/>
    <mergeCell ref="AB2:AC2"/>
    <mergeCell ref="AD2:AE2"/>
    <mergeCell ref="AF2:AG2"/>
    <mergeCell ref="AH2:AI2"/>
    <mergeCell ref="AJ2:AK2"/>
    <mergeCell ref="BJ2:BK2"/>
    <mergeCell ref="AN2:AO2"/>
    <mergeCell ref="AP2:AQ2"/>
    <mergeCell ref="AR2:AS2"/>
    <mergeCell ref="AT2:AU2"/>
    <mergeCell ref="AV2:AW2"/>
    <mergeCell ref="AX2:AY2"/>
    <mergeCell ref="AZ2:BA2"/>
    <mergeCell ref="BB2:BC2"/>
    <mergeCell ref="BD2:BE2"/>
    <mergeCell ref="BF2:BG2"/>
    <mergeCell ref="BH2:BI2"/>
    <mergeCell ref="BX2:BY2"/>
    <mergeCell ref="BL2:BM2"/>
    <mergeCell ref="BN2:BO2"/>
    <mergeCell ref="BP2:BQ2"/>
    <mergeCell ref="BR2:BS2"/>
    <mergeCell ref="BT2:BU2"/>
    <mergeCell ref="BV2:BW2"/>
  </mergeCells>
  <pageMargins left="0.7" right="0.7" top="0.75" bottom="0.75" header="0.3" footer="0.3"/>
  <pageSetup paperSize="9" orientation="portrait" horizontalDpi="4294967293"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67041-4C56-465B-B439-B4C4FF8DDBBD}">
  <sheetPr>
    <tabColor rgb="FFFF0000"/>
  </sheetPr>
  <dimension ref="A1:CC45"/>
  <sheetViews>
    <sheetView workbookViewId="0">
      <pane xSplit="2" ySplit="7" topLeftCell="C8" activePane="bottomRight" state="frozen"/>
      <selection pane="topRight" activeCell="B1" sqref="B1"/>
      <selection pane="bottomLeft" activeCell="A8" sqref="A8"/>
      <selection pane="bottomRight" activeCell="C1" sqref="C1:D1"/>
    </sheetView>
  </sheetViews>
  <sheetFormatPr defaultRowHeight="11.5"/>
  <cols>
    <col min="1" max="1" width="8.7265625" style="205"/>
    <col min="2" max="2" width="25.54296875" style="205" customWidth="1"/>
    <col min="3" max="78" width="13.81640625" style="205" customWidth="1"/>
    <col min="79" max="79" width="8.7265625" style="205"/>
    <col min="80" max="81" width="13.81640625" style="205" customWidth="1"/>
    <col min="82" max="257" width="8.7265625" style="205"/>
    <col min="258" max="258" width="25.54296875" style="205" customWidth="1"/>
    <col min="259" max="296" width="13.81640625" style="205" customWidth="1"/>
    <col min="297" max="513" width="8.7265625" style="205"/>
    <col min="514" max="514" width="25.54296875" style="205" customWidth="1"/>
    <col min="515" max="552" width="13.81640625" style="205" customWidth="1"/>
    <col min="553" max="769" width="8.7265625" style="205"/>
    <col min="770" max="770" width="25.54296875" style="205" customWidth="1"/>
    <col min="771" max="808" width="13.81640625" style="205" customWidth="1"/>
    <col min="809" max="1025" width="8.7265625" style="205"/>
    <col min="1026" max="1026" width="25.54296875" style="205" customWidth="1"/>
    <col min="1027" max="1064" width="13.81640625" style="205" customWidth="1"/>
    <col min="1065" max="1281" width="8.7265625" style="205"/>
    <col min="1282" max="1282" width="25.54296875" style="205" customWidth="1"/>
    <col min="1283" max="1320" width="13.81640625" style="205" customWidth="1"/>
    <col min="1321" max="1537" width="8.7265625" style="205"/>
    <col min="1538" max="1538" width="25.54296875" style="205" customWidth="1"/>
    <col min="1539" max="1576" width="13.81640625" style="205" customWidth="1"/>
    <col min="1577" max="1793" width="8.7265625" style="205"/>
    <col min="1794" max="1794" width="25.54296875" style="205" customWidth="1"/>
    <col min="1795" max="1832" width="13.81640625" style="205" customWidth="1"/>
    <col min="1833" max="2049" width="8.7265625" style="205"/>
    <col min="2050" max="2050" width="25.54296875" style="205" customWidth="1"/>
    <col min="2051" max="2088" width="13.81640625" style="205" customWidth="1"/>
    <col min="2089" max="2305" width="8.7265625" style="205"/>
    <col min="2306" max="2306" width="25.54296875" style="205" customWidth="1"/>
    <col min="2307" max="2344" width="13.81640625" style="205" customWidth="1"/>
    <col min="2345" max="2561" width="8.7265625" style="205"/>
    <col min="2562" max="2562" width="25.54296875" style="205" customWidth="1"/>
    <col min="2563" max="2600" width="13.81640625" style="205" customWidth="1"/>
    <col min="2601" max="2817" width="8.7265625" style="205"/>
    <col min="2818" max="2818" width="25.54296875" style="205" customWidth="1"/>
    <col min="2819" max="2856" width="13.81640625" style="205" customWidth="1"/>
    <col min="2857" max="3073" width="8.7265625" style="205"/>
    <col min="3074" max="3074" width="25.54296875" style="205" customWidth="1"/>
    <col min="3075" max="3112" width="13.81640625" style="205" customWidth="1"/>
    <col min="3113" max="3329" width="8.7265625" style="205"/>
    <col min="3330" max="3330" width="25.54296875" style="205" customWidth="1"/>
    <col min="3331" max="3368" width="13.81640625" style="205" customWidth="1"/>
    <col min="3369" max="3585" width="8.7265625" style="205"/>
    <col min="3586" max="3586" width="25.54296875" style="205" customWidth="1"/>
    <col min="3587" max="3624" width="13.81640625" style="205" customWidth="1"/>
    <col min="3625" max="3841" width="8.7265625" style="205"/>
    <col min="3842" max="3842" width="25.54296875" style="205" customWidth="1"/>
    <col min="3843" max="3880" width="13.81640625" style="205" customWidth="1"/>
    <col min="3881" max="4097" width="8.7265625" style="205"/>
    <col min="4098" max="4098" width="25.54296875" style="205" customWidth="1"/>
    <col min="4099" max="4136" width="13.81640625" style="205" customWidth="1"/>
    <col min="4137" max="4353" width="8.7265625" style="205"/>
    <col min="4354" max="4354" width="25.54296875" style="205" customWidth="1"/>
    <col min="4355" max="4392" width="13.81640625" style="205" customWidth="1"/>
    <col min="4393" max="4609" width="8.7265625" style="205"/>
    <col min="4610" max="4610" width="25.54296875" style="205" customWidth="1"/>
    <col min="4611" max="4648" width="13.81640625" style="205" customWidth="1"/>
    <col min="4649" max="4865" width="8.7265625" style="205"/>
    <col min="4866" max="4866" width="25.54296875" style="205" customWidth="1"/>
    <col min="4867" max="4904" width="13.81640625" style="205" customWidth="1"/>
    <col min="4905" max="5121" width="8.7265625" style="205"/>
    <col min="5122" max="5122" width="25.54296875" style="205" customWidth="1"/>
    <col min="5123" max="5160" width="13.81640625" style="205" customWidth="1"/>
    <col min="5161" max="5377" width="8.7265625" style="205"/>
    <col min="5378" max="5378" width="25.54296875" style="205" customWidth="1"/>
    <col min="5379" max="5416" width="13.81640625" style="205" customWidth="1"/>
    <col min="5417" max="5633" width="8.7265625" style="205"/>
    <col min="5634" max="5634" width="25.54296875" style="205" customWidth="1"/>
    <col min="5635" max="5672" width="13.81640625" style="205" customWidth="1"/>
    <col min="5673" max="5889" width="8.7265625" style="205"/>
    <col min="5890" max="5890" width="25.54296875" style="205" customWidth="1"/>
    <col min="5891" max="5928" width="13.81640625" style="205" customWidth="1"/>
    <col min="5929" max="6145" width="8.7265625" style="205"/>
    <col min="6146" max="6146" width="25.54296875" style="205" customWidth="1"/>
    <col min="6147" max="6184" width="13.81640625" style="205" customWidth="1"/>
    <col min="6185" max="6401" width="8.7265625" style="205"/>
    <col min="6402" max="6402" width="25.54296875" style="205" customWidth="1"/>
    <col min="6403" max="6440" width="13.81640625" style="205" customWidth="1"/>
    <col min="6441" max="6657" width="8.7265625" style="205"/>
    <col min="6658" max="6658" width="25.54296875" style="205" customWidth="1"/>
    <col min="6659" max="6696" width="13.81640625" style="205" customWidth="1"/>
    <col min="6697" max="6913" width="8.7265625" style="205"/>
    <col min="6914" max="6914" width="25.54296875" style="205" customWidth="1"/>
    <col min="6915" max="6952" width="13.81640625" style="205" customWidth="1"/>
    <col min="6953" max="7169" width="8.7265625" style="205"/>
    <col min="7170" max="7170" width="25.54296875" style="205" customWidth="1"/>
    <col min="7171" max="7208" width="13.81640625" style="205" customWidth="1"/>
    <col min="7209" max="7425" width="8.7265625" style="205"/>
    <col min="7426" max="7426" width="25.54296875" style="205" customWidth="1"/>
    <col min="7427" max="7464" width="13.81640625" style="205" customWidth="1"/>
    <col min="7465" max="7681" width="8.7265625" style="205"/>
    <col min="7682" max="7682" width="25.54296875" style="205" customWidth="1"/>
    <col min="7683" max="7720" width="13.81640625" style="205" customWidth="1"/>
    <col min="7721" max="7937" width="8.7265625" style="205"/>
    <col min="7938" max="7938" width="25.54296875" style="205" customWidth="1"/>
    <col min="7939" max="7976" width="13.81640625" style="205" customWidth="1"/>
    <col min="7977" max="8193" width="8.7265625" style="205"/>
    <col min="8194" max="8194" width="25.54296875" style="205" customWidth="1"/>
    <col min="8195" max="8232" width="13.81640625" style="205" customWidth="1"/>
    <col min="8233" max="8449" width="8.7265625" style="205"/>
    <col min="8450" max="8450" width="25.54296875" style="205" customWidth="1"/>
    <col min="8451" max="8488" width="13.81640625" style="205" customWidth="1"/>
    <col min="8489" max="8705" width="8.7265625" style="205"/>
    <col min="8706" max="8706" width="25.54296875" style="205" customWidth="1"/>
    <col min="8707" max="8744" width="13.81640625" style="205" customWidth="1"/>
    <col min="8745" max="8961" width="8.7265625" style="205"/>
    <col min="8962" max="8962" width="25.54296875" style="205" customWidth="1"/>
    <col min="8963" max="9000" width="13.81640625" style="205" customWidth="1"/>
    <col min="9001" max="9217" width="8.7265625" style="205"/>
    <col min="9218" max="9218" width="25.54296875" style="205" customWidth="1"/>
    <col min="9219" max="9256" width="13.81640625" style="205" customWidth="1"/>
    <col min="9257" max="9473" width="8.7265625" style="205"/>
    <col min="9474" max="9474" width="25.54296875" style="205" customWidth="1"/>
    <col min="9475" max="9512" width="13.81640625" style="205" customWidth="1"/>
    <col min="9513" max="9729" width="8.7265625" style="205"/>
    <col min="9730" max="9730" width="25.54296875" style="205" customWidth="1"/>
    <col min="9731" max="9768" width="13.81640625" style="205" customWidth="1"/>
    <col min="9769" max="9985" width="8.7265625" style="205"/>
    <col min="9986" max="9986" width="25.54296875" style="205" customWidth="1"/>
    <col min="9987" max="10024" width="13.81640625" style="205" customWidth="1"/>
    <col min="10025" max="10241" width="8.7265625" style="205"/>
    <col min="10242" max="10242" width="25.54296875" style="205" customWidth="1"/>
    <col min="10243" max="10280" width="13.81640625" style="205" customWidth="1"/>
    <col min="10281" max="10497" width="8.7265625" style="205"/>
    <col min="10498" max="10498" width="25.54296875" style="205" customWidth="1"/>
    <col min="10499" max="10536" width="13.81640625" style="205" customWidth="1"/>
    <col min="10537" max="10753" width="8.7265625" style="205"/>
    <col min="10754" max="10754" width="25.54296875" style="205" customWidth="1"/>
    <col min="10755" max="10792" width="13.81640625" style="205" customWidth="1"/>
    <col min="10793" max="11009" width="8.7265625" style="205"/>
    <col min="11010" max="11010" width="25.54296875" style="205" customWidth="1"/>
    <col min="11011" max="11048" width="13.81640625" style="205" customWidth="1"/>
    <col min="11049" max="11265" width="8.7265625" style="205"/>
    <col min="11266" max="11266" width="25.54296875" style="205" customWidth="1"/>
    <col min="11267" max="11304" width="13.81640625" style="205" customWidth="1"/>
    <col min="11305" max="11521" width="8.7265625" style="205"/>
    <col min="11522" max="11522" width="25.54296875" style="205" customWidth="1"/>
    <col min="11523" max="11560" width="13.81640625" style="205" customWidth="1"/>
    <col min="11561" max="11777" width="8.7265625" style="205"/>
    <col min="11778" max="11778" width="25.54296875" style="205" customWidth="1"/>
    <col min="11779" max="11816" width="13.81640625" style="205" customWidth="1"/>
    <col min="11817" max="12033" width="8.7265625" style="205"/>
    <col min="12034" max="12034" width="25.54296875" style="205" customWidth="1"/>
    <col min="12035" max="12072" width="13.81640625" style="205" customWidth="1"/>
    <col min="12073" max="12289" width="8.7265625" style="205"/>
    <col min="12290" max="12290" width="25.54296875" style="205" customWidth="1"/>
    <col min="12291" max="12328" width="13.81640625" style="205" customWidth="1"/>
    <col min="12329" max="12545" width="8.7265625" style="205"/>
    <col min="12546" max="12546" width="25.54296875" style="205" customWidth="1"/>
    <col min="12547" max="12584" width="13.81640625" style="205" customWidth="1"/>
    <col min="12585" max="12801" width="8.7265625" style="205"/>
    <col min="12802" max="12802" width="25.54296875" style="205" customWidth="1"/>
    <col min="12803" max="12840" width="13.81640625" style="205" customWidth="1"/>
    <col min="12841" max="13057" width="8.7265625" style="205"/>
    <col min="13058" max="13058" width="25.54296875" style="205" customWidth="1"/>
    <col min="13059" max="13096" width="13.81640625" style="205" customWidth="1"/>
    <col min="13097" max="13313" width="8.7265625" style="205"/>
    <col min="13314" max="13314" width="25.54296875" style="205" customWidth="1"/>
    <col min="13315" max="13352" width="13.81640625" style="205" customWidth="1"/>
    <col min="13353" max="13569" width="8.7265625" style="205"/>
    <col min="13570" max="13570" width="25.54296875" style="205" customWidth="1"/>
    <col min="13571" max="13608" width="13.81640625" style="205" customWidth="1"/>
    <col min="13609" max="13825" width="8.7265625" style="205"/>
    <col min="13826" max="13826" width="25.54296875" style="205" customWidth="1"/>
    <col min="13827" max="13864" width="13.81640625" style="205" customWidth="1"/>
    <col min="13865" max="14081" width="8.7265625" style="205"/>
    <col min="14082" max="14082" width="25.54296875" style="205" customWidth="1"/>
    <col min="14083" max="14120" width="13.81640625" style="205" customWidth="1"/>
    <col min="14121" max="14337" width="8.7265625" style="205"/>
    <col min="14338" max="14338" width="25.54296875" style="205" customWidth="1"/>
    <col min="14339" max="14376" width="13.81640625" style="205" customWidth="1"/>
    <col min="14377" max="14593" width="8.7265625" style="205"/>
    <col min="14594" max="14594" width="25.54296875" style="205" customWidth="1"/>
    <col min="14595" max="14632" width="13.81640625" style="205" customWidth="1"/>
    <col min="14633" max="14849" width="8.7265625" style="205"/>
    <col min="14850" max="14850" width="25.54296875" style="205" customWidth="1"/>
    <col min="14851" max="14888" width="13.81640625" style="205" customWidth="1"/>
    <col min="14889" max="15105" width="8.7265625" style="205"/>
    <col min="15106" max="15106" width="25.54296875" style="205" customWidth="1"/>
    <col min="15107" max="15144" width="13.81640625" style="205" customWidth="1"/>
    <col min="15145" max="15361" width="8.7265625" style="205"/>
    <col min="15362" max="15362" width="25.54296875" style="205" customWidth="1"/>
    <col min="15363" max="15400" width="13.81640625" style="205" customWidth="1"/>
    <col min="15401" max="15617" width="8.7265625" style="205"/>
    <col min="15618" max="15618" width="25.54296875" style="205" customWidth="1"/>
    <col min="15619" max="15656" width="13.81640625" style="205" customWidth="1"/>
    <col min="15657" max="15873" width="8.7265625" style="205"/>
    <col min="15874" max="15874" width="25.54296875" style="205" customWidth="1"/>
    <col min="15875" max="15912" width="13.81640625" style="205" customWidth="1"/>
    <col min="15913" max="16129" width="8.7265625" style="205"/>
    <col min="16130" max="16130" width="25.54296875" style="205" customWidth="1"/>
    <col min="16131" max="16168" width="13.81640625" style="205" customWidth="1"/>
    <col min="16169" max="16384" width="8.7265625" style="205"/>
  </cols>
  <sheetData>
    <row r="1" spans="1:81" ht="17.25" customHeight="1">
      <c r="A1" s="311" t="s">
        <v>27</v>
      </c>
      <c r="B1" s="312">
        <f>CB7</f>
        <v>0</v>
      </c>
      <c r="C1" s="974">
        <v>1</v>
      </c>
      <c r="D1" s="974"/>
      <c r="E1" s="974">
        <v>2</v>
      </c>
      <c r="F1" s="974"/>
      <c r="G1" s="974">
        <v>3</v>
      </c>
      <c r="H1" s="974"/>
      <c r="I1" s="974">
        <v>4</v>
      </c>
      <c r="J1" s="974"/>
      <c r="K1" s="974">
        <v>5</v>
      </c>
      <c r="L1" s="974"/>
      <c r="M1" s="974">
        <v>6</v>
      </c>
      <c r="N1" s="974"/>
      <c r="O1" s="974">
        <v>7</v>
      </c>
      <c r="P1" s="974"/>
      <c r="Q1" s="974">
        <v>8</v>
      </c>
      <c r="R1" s="974"/>
      <c r="S1" s="974">
        <v>9</v>
      </c>
      <c r="T1" s="974"/>
      <c r="U1" s="974">
        <v>10</v>
      </c>
      <c r="V1" s="974"/>
      <c r="W1" s="974">
        <v>11</v>
      </c>
      <c r="X1" s="974"/>
      <c r="Y1" s="974">
        <v>12</v>
      </c>
      <c r="Z1" s="974"/>
      <c r="AA1" s="974">
        <v>13</v>
      </c>
      <c r="AB1" s="974"/>
      <c r="AC1" s="974">
        <v>14</v>
      </c>
      <c r="AD1" s="974"/>
      <c r="AE1" s="974">
        <v>15</v>
      </c>
      <c r="AF1" s="974"/>
      <c r="AG1" s="974">
        <v>16</v>
      </c>
      <c r="AH1" s="974"/>
      <c r="AI1" s="974">
        <v>17</v>
      </c>
      <c r="AJ1" s="974"/>
      <c r="AK1" s="974">
        <v>18</v>
      </c>
      <c r="AL1" s="974"/>
      <c r="AM1" s="974">
        <v>19</v>
      </c>
      <c r="AN1" s="974"/>
      <c r="AO1" s="974">
        <v>20</v>
      </c>
      <c r="AP1" s="974"/>
      <c r="AQ1" s="974">
        <v>21</v>
      </c>
      <c r="AR1" s="974"/>
      <c r="AS1" s="974">
        <v>22</v>
      </c>
      <c r="AT1" s="974"/>
      <c r="AU1" s="974">
        <v>23</v>
      </c>
      <c r="AV1" s="974"/>
      <c r="AW1" s="974">
        <v>24</v>
      </c>
      <c r="AX1" s="974"/>
      <c r="AY1" s="974">
        <v>25</v>
      </c>
      <c r="AZ1" s="974"/>
      <c r="BA1" s="974">
        <v>26</v>
      </c>
      <c r="BB1" s="974"/>
      <c r="BC1" s="974">
        <v>27</v>
      </c>
      <c r="BD1" s="974"/>
      <c r="BE1" s="974">
        <v>28</v>
      </c>
      <c r="BF1" s="974"/>
      <c r="BG1" s="974">
        <v>29</v>
      </c>
      <c r="BH1" s="974"/>
      <c r="BI1" s="974">
        <v>30</v>
      </c>
      <c r="BJ1" s="974"/>
      <c r="BK1" s="974">
        <v>31</v>
      </c>
      <c r="BL1" s="974"/>
      <c r="BM1" s="974">
        <v>32</v>
      </c>
      <c r="BN1" s="974"/>
      <c r="BO1" s="974">
        <v>33</v>
      </c>
      <c r="BP1" s="974"/>
      <c r="BQ1" s="974">
        <v>34</v>
      </c>
      <c r="BR1" s="974"/>
      <c r="BS1" s="974">
        <v>35</v>
      </c>
      <c r="BT1" s="974"/>
      <c r="BU1" s="974">
        <v>36</v>
      </c>
      <c r="BV1" s="974"/>
      <c r="BW1" s="974">
        <v>37</v>
      </c>
      <c r="BX1" s="974"/>
      <c r="BY1" s="974">
        <v>38</v>
      </c>
      <c r="BZ1" s="974"/>
      <c r="CB1" s="974"/>
      <c r="CC1" s="974"/>
    </row>
    <row r="2" spans="1:81" ht="14.5">
      <c r="A2" s="311"/>
      <c r="B2" s="313">
        <f>'P &amp; NP'!WR11</f>
        <v>0</v>
      </c>
      <c r="C2" s="975" t="s">
        <v>89</v>
      </c>
      <c r="D2" s="975"/>
      <c r="E2" s="975" t="s">
        <v>73</v>
      </c>
      <c r="F2" s="975"/>
      <c r="G2" s="975" t="s">
        <v>68</v>
      </c>
      <c r="H2" s="975"/>
      <c r="I2" s="975" t="s">
        <v>85</v>
      </c>
      <c r="J2" s="975"/>
      <c r="K2" s="975" t="s">
        <v>74</v>
      </c>
      <c r="L2" s="975"/>
      <c r="M2" s="975" t="s">
        <v>88</v>
      </c>
      <c r="N2" s="975"/>
      <c r="O2" s="975" t="s">
        <v>72</v>
      </c>
      <c r="P2" s="975"/>
      <c r="Q2" s="975" t="s">
        <v>80</v>
      </c>
      <c r="R2" s="975"/>
      <c r="S2" s="975" t="s">
        <v>69</v>
      </c>
      <c r="T2" s="975"/>
      <c r="U2" s="975" t="s">
        <v>87</v>
      </c>
      <c r="V2" s="975"/>
      <c r="W2" s="975" t="s">
        <v>71</v>
      </c>
      <c r="X2" s="975"/>
      <c r="Y2" s="975" t="s">
        <v>82</v>
      </c>
      <c r="Z2" s="975"/>
      <c r="AA2" s="975" t="s">
        <v>83</v>
      </c>
      <c r="AB2" s="975"/>
      <c r="AC2" s="975" t="s">
        <v>70</v>
      </c>
      <c r="AD2" s="975"/>
      <c r="AE2" s="975" t="s">
        <v>79</v>
      </c>
      <c r="AF2" s="975"/>
      <c r="AG2" s="975" t="s">
        <v>81</v>
      </c>
      <c r="AH2" s="975"/>
      <c r="AI2" s="975" t="s">
        <v>84</v>
      </c>
      <c r="AJ2" s="975"/>
      <c r="AK2" s="975" t="s">
        <v>36</v>
      </c>
      <c r="AL2" s="975"/>
      <c r="AM2" s="975" t="s">
        <v>91</v>
      </c>
      <c r="AN2" s="975"/>
      <c r="AO2" s="862" t="s">
        <v>77</v>
      </c>
      <c r="AP2" s="862"/>
      <c r="AQ2" s="862" t="s">
        <v>38</v>
      </c>
      <c r="AR2" s="862"/>
      <c r="AS2" s="862" t="s">
        <v>76</v>
      </c>
      <c r="AT2" s="862"/>
      <c r="AU2" s="862" t="s">
        <v>90</v>
      </c>
      <c r="AV2" s="862"/>
      <c r="AW2" s="862" t="s">
        <v>78</v>
      </c>
      <c r="AX2" s="862"/>
      <c r="AY2" s="862" t="s">
        <v>75</v>
      </c>
      <c r="AZ2" s="862"/>
      <c r="BA2" s="862" t="s">
        <v>92</v>
      </c>
      <c r="BB2" s="862"/>
      <c r="BC2" s="862" t="s">
        <v>39</v>
      </c>
      <c r="BD2" s="862"/>
      <c r="BE2" s="862" t="s">
        <v>86</v>
      </c>
      <c r="BF2" s="862"/>
      <c r="BG2" s="862" t="s">
        <v>40</v>
      </c>
      <c r="BH2" s="862"/>
      <c r="BI2" s="862" t="s">
        <v>101</v>
      </c>
      <c r="BJ2" s="862"/>
      <c r="BK2" s="862" t="s">
        <v>94</v>
      </c>
      <c r="BL2" s="862"/>
      <c r="BM2" s="862" t="s">
        <v>93</v>
      </c>
      <c r="BN2" s="862"/>
      <c r="BO2" s="862" t="s">
        <v>99</v>
      </c>
      <c r="BP2" s="862"/>
      <c r="BQ2" s="862" t="s">
        <v>95</v>
      </c>
      <c r="BR2" s="862"/>
      <c r="BS2" s="862" t="s">
        <v>98</v>
      </c>
      <c r="BT2" s="862"/>
      <c r="BU2" s="862" t="s">
        <v>97</v>
      </c>
      <c r="BV2" s="862"/>
      <c r="BW2" s="862" t="s">
        <v>96</v>
      </c>
      <c r="BX2" s="862"/>
      <c r="BY2" s="862" t="s">
        <v>100</v>
      </c>
      <c r="BZ2" s="862"/>
      <c r="CB2" s="862"/>
      <c r="CC2" s="862"/>
    </row>
    <row r="3" spans="1:81" ht="14.5">
      <c r="A3" s="311"/>
      <c r="B3" s="311"/>
      <c r="C3" s="975" t="s">
        <v>558</v>
      </c>
      <c r="D3" s="975"/>
      <c r="E3" s="975" t="s">
        <v>558</v>
      </c>
      <c r="F3" s="975"/>
      <c r="G3" s="975" t="s">
        <v>558</v>
      </c>
      <c r="H3" s="975"/>
      <c r="I3" s="975" t="s">
        <v>558</v>
      </c>
      <c r="J3" s="975"/>
      <c r="K3" s="975" t="s">
        <v>558</v>
      </c>
      <c r="L3" s="975"/>
      <c r="M3" s="975" t="s">
        <v>558</v>
      </c>
      <c r="N3" s="975"/>
      <c r="O3" s="975" t="s">
        <v>558</v>
      </c>
      <c r="P3" s="975"/>
      <c r="Q3" s="975" t="s">
        <v>558</v>
      </c>
      <c r="R3" s="975"/>
      <c r="S3" s="975" t="s">
        <v>558</v>
      </c>
      <c r="T3" s="975"/>
      <c r="U3" s="975" t="s">
        <v>558</v>
      </c>
      <c r="V3" s="975"/>
      <c r="W3" s="975" t="s">
        <v>558</v>
      </c>
      <c r="X3" s="975"/>
      <c r="Y3" s="975" t="s">
        <v>558</v>
      </c>
      <c r="Z3" s="975"/>
      <c r="AA3" s="975" t="s">
        <v>558</v>
      </c>
      <c r="AB3" s="975"/>
      <c r="AC3" s="975" t="s">
        <v>558</v>
      </c>
      <c r="AD3" s="975"/>
      <c r="AE3" s="975" t="s">
        <v>558</v>
      </c>
      <c r="AF3" s="975"/>
      <c r="AG3" s="975" t="s">
        <v>558</v>
      </c>
      <c r="AH3" s="975"/>
      <c r="AI3" s="975" t="s">
        <v>558</v>
      </c>
      <c r="AJ3" s="975"/>
      <c r="AK3" s="975" t="s">
        <v>558</v>
      </c>
      <c r="AL3" s="975"/>
      <c r="AM3" s="975" t="s">
        <v>558</v>
      </c>
      <c r="AN3" s="975"/>
      <c r="AO3" s="975" t="s">
        <v>558</v>
      </c>
      <c r="AP3" s="975"/>
      <c r="AQ3" s="975" t="s">
        <v>558</v>
      </c>
      <c r="AR3" s="975"/>
      <c r="AS3" s="975" t="s">
        <v>558</v>
      </c>
      <c r="AT3" s="975"/>
      <c r="AU3" s="975" t="s">
        <v>558</v>
      </c>
      <c r="AV3" s="975"/>
      <c r="AW3" s="975" t="s">
        <v>558</v>
      </c>
      <c r="AX3" s="975"/>
      <c r="AY3" s="975" t="s">
        <v>558</v>
      </c>
      <c r="AZ3" s="975"/>
      <c r="BA3" s="975" t="s">
        <v>558</v>
      </c>
      <c r="BB3" s="975"/>
      <c r="BC3" s="975" t="s">
        <v>558</v>
      </c>
      <c r="BD3" s="975"/>
      <c r="BE3" s="975" t="s">
        <v>558</v>
      </c>
      <c r="BF3" s="975"/>
      <c r="BG3" s="975" t="s">
        <v>558</v>
      </c>
      <c r="BH3" s="975"/>
      <c r="BI3" s="975" t="s">
        <v>558</v>
      </c>
      <c r="BJ3" s="975"/>
      <c r="BK3" s="975" t="s">
        <v>558</v>
      </c>
      <c r="BL3" s="975"/>
      <c r="BM3" s="975" t="s">
        <v>558</v>
      </c>
      <c r="BN3" s="975"/>
      <c r="BO3" s="975" t="s">
        <v>558</v>
      </c>
      <c r="BP3" s="975"/>
      <c r="BQ3" s="975" t="s">
        <v>558</v>
      </c>
      <c r="BR3" s="975"/>
      <c r="BS3" s="975" t="s">
        <v>558</v>
      </c>
      <c r="BT3" s="975"/>
      <c r="BU3" s="975" t="s">
        <v>558</v>
      </c>
      <c r="BV3" s="975"/>
      <c r="BW3" s="975" t="s">
        <v>558</v>
      </c>
      <c r="BX3" s="975"/>
      <c r="BY3" s="975" t="s">
        <v>558</v>
      </c>
      <c r="BZ3" s="975"/>
      <c r="CB3" s="975"/>
      <c r="CC3" s="975"/>
    </row>
    <row r="4" spans="1:81" ht="14.5">
      <c r="A4" s="311" t="s">
        <v>28</v>
      </c>
      <c r="B4" s="312">
        <f>CC7</f>
        <v>0</v>
      </c>
      <c r="C4" s="204" t="s">
        <v>27</v>
      </c>
      <c r="D4" s="204" t="s">
        <v>28</v>
      </c>
      <c r="E4" s="204" t="s">
        <v>27</v>
      </c>
      <c r="F4" s="204" t="s">
        <v>28</v>
      </c>
      <c r="G4" s="204" t="s">
        <v>27</v>
      </c>
      <c r="H4" s="204" t="s">
        <v>28</v>
      </c>
      <c r="I4" s="204" t="s">
        <v>27</v>
      </c>
      <c r="J4" s="204" t="s">
        <v>28</v>
      </c>
      <c r="K4" s="204" t="s">
        <v>27</v>
      </c>
      <c r="L4" s="204" t="s">
        <v>28</v>
      </c>
      <c r="M4" s="204" t="s">
        <v>27</v>
      </c>
      <c r="N4" s="204" t="s">
        <v>28</v>
      </c>
      <c r="O4" s="204" t="s">
        <v>27</v>
      </c>
      <c r="P4" s="204" t="s">
        <v>28</v>
      </c>
      <c r="Q4" s="204" t="s">
        <v>27</v>
      </c>
      <c r="R4" s="204" t="s">
        <v>28</v>
      </c>
      <c r="S4" s="204" t="s">
        <v>27</v>
      </c>
      <c r="T4" s="204" t="s">
        <v>28</v>
      </c>
      <c r="U4" s="204" t="s">
        <v>27</v>
      </c>
      <c r="V4" s="204" t="s">
        <v>28</v>
      </c>
      <c r="W4" s="204" t="s">
        <v>27</v>
      </c>
      <c r="X4" s="204" t="s">
        <v>28</v>
      </c>
      <c r="Y4" s="204" t="s">
        <v>27</v>
      </c>
      <c r="Z4" s="204" t="s">
        <v>28</v>
      </c>
      <c r="AA4" s="204" t="s">
        <v>27</v>
      </c>
      <c r="AB4" s="204" t="s">
        <v>28</v>
      </c>
      <c r="AC4" s="204" t="s">
        <v>27</v>
      </c>
      <c r="AD4" s="204" t="s">
        <v>28</v>
      </c>
      <c r="AE4" s="204" t="s">
        <v>27</v>
      </c>
      <c r="AF4" s="204" t="s">
        <v>28</v>
      </c>
      <c r="AG4" s="204" t="s">
        <v>27</v>
      </c>
      <c r="AH4" s="204" t="s">
        <v>28</v>
      </c>
      <c r="AI4" s="204" t="s">
        <v>27</v>
      </c>
      <c r="AJ4" s="204" t="s">
        <v>28</v>
      </c>
      <c r="AK4" s="204" t="s">
        <v>27</v>
      </c>
      <c r="AL4" s="204" t="s">
        <v>28</v>
      </c>
      <c r="AM4" s="204" t="s">
        <v>27</v>
      </c>
      <c r="AN4" s="204" t="s">
        <v>28</v>
      </c>
      <c r="AO4" s="87" t="s">
        <v>27</v>
      </c>
      <c r="AP4" s="87" t="s">
        <v>28</v>
      </c>
      <c r="AQ4" s="87" t="s">
        <v>27</v>
      </c>
      <c r="AR4" s="87" t="s">
        <v>28</v>
      </c>
      <c r="AS4" s="87" t="s">
        <v>27</v>
      </c>
      <c r="AT4" s="87" t="s">
        <v>28</v>
      </c>
      <c r="AU4" s="87" t="s">
        <v>27</v>
      </c>
      <c r="AV4" s="87" t="s">
        <v>28</v>
      </c>
      <c r="AW4" s="87" t="s">
        <v>27</v>
      </c>
      <c r="AX4" s="87" t="s">
        <v>28</v>
      </c>
      <c r="AY4" s="87" t="s">
        <v>27</v>
      </c>
      <c r="AZ4" s="87" t="s">
        <v>28</v>
      </c>
      <c r="BA4" s="87" t="s">
        <v>27</v>
      </c>
      <c r="BB4" s="87" t="s">
        <v>28</v>
      </c>
      <c r="BC4" s="87" t="s">
        <v>27</v>
      </c>
      <c r="BD4" s="87" t="s">
        <v>28</v>
      </c>
      <c r="BE4" s="87" t="s">
        <v>27</v>
      </c>
      <c r="BF4" s="87" t="s">
        <v>28</v>
      </c>
      <c r="BG4" s="87" t="s">
        <v>27</v>
      </c>
      <c r="BH4" s="87" t="s">
        <v>28</v>
      </c>
      <c r="BI4" s="87" t="s">
        <v>27</v>
      </c>
      <c r="BJ4" s="87" t="s">
        <v>28</v>
      </c>
      <c r="BK4" s="87" t="s">
        <v>27</v>
      </c>
      <c r="BL4" s="87" t="s">
        <v>28</v>
      </c>
      <c r="BM4" s="87" t="s">
        <v>27</v>
      </c>
      <c r="BN4" s="87" t="s">
        <v>28</v>
      </c>
      <c r="BO4" s="87" t="s">
        <v>27</v>
      </c>
      <c r="BP4" s="87" t="s">
        <v>28</v>
      </c>
      <c r="BQ4" s="87" t="s">
        <v>27</v>
      </c>
      <c r="BR4" s="87" t="s">
        <v>28</v>
      </c>
      <c r="BS4" s="87" t="s">
        <v>27</v>
      </c>
      <c r="BT4" s="87" t="s">
        <v>28</v>
      </c>
      <c r="BU4" s="87" t="s">
        <v>27</v>
      </c>
      <c r="BV4" s="87" t="s">
        <v>28</v>
      </c>
      <c r="BW4" s="87" t="s">
        <v>27</v>
      </c>
      <c r="BX4" s="87" t="s">
        <v>28</v>
      </c>
      <c r="BY4" s="87" t="s">
        <v>27</v>
      </c>
      <c r="BZ4" s="87" t="s">
        <v>28</v>
      </c>
      <c r="CB4" s="87" t="s">
        <v>27</v>
      </c>
      <c r="CC4" s="87" t="s">
        <v>28</v>
      </c>
    </row>
    <row r="5" spans="1:81" ht="14.5">
      <c r="B5" s="314">
        <f>'P &amp; NP'!WS11</f>
        <v>0</v>
      </c>
      <c r="C5" s="204" t="s">
        <v>29</v>
      </c>
      <c r="D5" s="204" t="s">
        <v>30</v>
      </c>
      <c r="E5" s="204" t="s">
        <v>29</v>
      </c>
      <c r="F5" s="204" t="s">
        <v>30</v>
      </c>
      <c r="G5" s="204" t="s">
        <v>29</v>
      </c>
      <c r="H5" s="204" t="s">
        <v>30</v>
      </c>
      <c r="I5" s="204" t="s">
        <v>29</v>
      </c>
      <c r="J5" s="204" t="s">
        <v>30</v>
      </c>
      <c r="K5" s="204" t="s">
        <v>29</v>
      </c>
      <c r="L5" s="204" t="s">
        <v>30</v>
      </c>
      <c r="M5" s="204" t="s">
        <v>29</v>
      </c>
      <c r="N5" s="204" t="s">
        <v>30</v>
      </c>
      <c r="O5" s="204" t="s">
        <v>29</v>
      </c>
      <c r="P5" s="204" t="s">
        <v>30</v>
      </c>
      <c r="Q5" s="204" t="s">
        <v>29</v>
      </c>
      <c r="R5" s="204" t="s">
        <v>30</v>
      </c>
      <c r="S5" s="204" t="s">
        <v>29</v>
      </c>
      <c r="T5" s="204" t="s">
        <v>30</v>
      </c>
      <c r="U5" s="204" t="s">
        <v>29</v>
      </c>
      <c r="V5" s="204" t="s">
        <v>30</v>
      </c>
      <c r="W5" s="204" t="s">
        <v>29</v>
      </c>
      <c r="X5" s="204" t="s">
        <v>30</v>
      </c>
      <c r="Y5" s="204" t="s">
        <v>29</v>
      </c>
      <c r="Z5" s="204" t="s">
        <v>30</v>
      </c>
      <c r="AA5" s="204" t="s">
        <v>29</v>
      </c>
      <c r="AB5" s="204" t="s">
        <v>30</v>
      </c>
      <c r="AC5" s="204" t="s">
        <v>29</v>
      </c>
      <c r="AD5" s="204" t="s">
        <v>30</v>
      </c>
      <c r="AE5" s="204" t="s">
        <v>29</v>
      </c>
      <c r="AF5" s="204" t="s">
        <v>30</v>
      </c>
      <c r="AG5" s="204" t="s">
        <v>29</v>
      </c>
      <c r="AH5" s="204" t="s">
        <v>30</v>
      </c>
      <c r="AI5" s="204" t="s">
        <v>29</v>
      </c>
      <c r="AJ5" s="204" t="s">
        <v>30</v>
      </c>
      <c r="AK5" s="204" t="s">
        <v>29</v>
      </c>
      <c r="AL5" s="204" t="s">
        <v>30</v>
      </c>
      <c r="AM5" s="204" t="s">
        <v>29</v>
      </c>
      <c r="AN5" s="204" t="s">
        <v>30</v>
      </c>
      <c r="AO5" s="87" t="s">
        <v>29</v>
      </c>
      <c r="AP5" s="87" t="s">
        <v>30</v>
      </c>
      <c r="AQ5" s="87" t="s">
        <v>29</v>
      </c>
      <c r="AR5" s="87" t="s">
        <v>30</v>
      </c>
      <c r="AS5" s="87" t="s">
        <v>29</v>
      </c>
      <c r="AT5" s="87" t="s">
        <v>30</v>
      </c>
      <c r="AU5" s="87" t="s">
        <v>29</v>
      </c>
      <c r="AV5" s="87" t="s">
        <v>30</v>
      </c>
      <c r="AW5" s="87" t="s">
        <v>29</v>
      </c>
      <c r="AX5" s="87" t="s">
        <v>30</v>
      </c>
      <c r="AY5" s="87" t="s">
        <v>29</v>
      </c>
      <c r="AZ5" s="87" t="s">
        <v>30</v>
      </c>
      <c r="BA5" s="87" t="s">
        <v>29</v>
      </c>
      <c r="BB5" s="87" t="s">
        <v>30</v>
      </c>
      <c r="BC5" s="87" t="s">
        <v>29</v>
      </c>
      <c r="BD5" s="87" t="s">
        <v>30</v>
      </c>
      <c r="BE5" s="87" t="s">
        <v>29</v>
      </c>
      <c r="BF5" s="87" t="s">
        <v>30</v>
      </c>
      <c r="BG5" s="87" t="s">
        <v>29</v>
      </c>
      <c r="BH5" s="87" t="s">
        <v>30</v>
      </c>
      <c r="BI5" s="87" t="s">
        <v>29</v>
      </c>
      <c r="BJ5" s="87" t="s">
        <v>30</v>
      </c>
      <c r="BK5" s="87" t="s">
        <v>29</v>
      </c>
      <c r="BL5" s="87" t="s">
        <v>30</v>
      </c>
      <c r="BM5" s="87" t="s">
        <v>29</v>
      </c>
      <c r="BN5" s="87" t="s">
        <v>30</v>
      </c>
      <c r="BO5" s="87" t="s">
        <v>29</v>
      </c>
      <c r="BP5" s="87" t="s">
        <v>30</v>
      </c>
      <c r="BQ5" s="87" t="s">
        <v>29</v>
      </c>
      <c r="BR5" s="87" t="s">
        <v>30</v>
      </c>
      <c r="BS5" s="87" t="s">
        <v>29</v>
      </c>
      <c r="BT5" s="87" t="s">
        <v>30</v>
      </c>
      <c r="BU5" s="87" t="s">
        <v>29</v>
      </c>
      <c r="BV5" s="87" t="s">
        <v>30</v>
      </c>
      <c r="BW5" s="87" t="s">
        <v>29</v>
      </c>
      <c r="BX5" s="87" t="s">
        <v>30</v>
      </c>
      <c r="BY5" s="87" t="s">
        <v>29</v>
      </c>
      <c r="BZ5" s="87" t="s">
        <v>30</v>
      </c>
      <c r="CB5" s="87" t="s">
        <v>29</v>
      </c>
      <c r="CC5" s="87" t="s">
        <v>30</v>
      </c>
    </row>
    <row r="6" spans="1:81">
      <c r="B6" s="206">
        <f>B5-B4</f>
        <v>0</v>
      </c>
      <c r="C6" s="206">
        <f>'P &amp; NP'!G484</f>
        <v>0</v>
      </c>
      <c r="D6" s="206">
        <f>'P &amp; NP'!H484</f>
        <v>0</v>
      </c>
      <c r="E6" s="206">
        <f>'P &amp; NP'!W484</f>
        <v>0</v>
      </c>
      <c r="F6" s="206">
        <f>'P &amp; NP'!X484</f>
        <v>0</v>
      </c>
      <c r="G6" s="206">
        <f>'P &amp; NP'!AM484</f>
        <v>0</v>
      </c>
      <c r="H6" s="206">
        <f>'P &amp; NP'!AN484</f>
        <v>0</v>
      </c>
      <c r="I6" s="206">
        <f>'P &amp; NP'!BC484</f>
        <v>0</v>
      </c>
      <c r="J6" s="206">
        <f>'P &amp; NP'!BD484</f>
        <v>0</v>
      </c>
      <c r="K6" s="206">
        <f>'P &amp; NP'!BS484</f>
        <v>0</v>
      </c>
      <c r="L6" s="206">
        <f>'P &amp; NP'!BT484</f>
        <v>0</v>
      </c>
      <c r="M6" s="206">
        <f>'P &amp; NP'!CI484</f>
        <v>0</v>
      </c>
      <c r="N6" s="206">
        <f>'P &amp; NP'!CJ484</f>
        <v>0</v>
      </c>
      <c r="O6" s="206">
        <f>'P &amp; NP'!CY484</f>
        <v>0</v>
      </c>
      <c r="P6" s="206">
        <f>'P &amp; NP'!CZ484</f>
        <v>0</v>
      </c>
      <c r="Q6" s="206">
        <f>'P &amp; NP'!DO484</f>
        <v>0</v>
      </c>
      <c r="R6" s="206">
        <f>'P &amp; NP'!DP484</f>
        <v>0</v>
      </c>
      <c r="S6" s="206">
        <f>'P &amp; NP'!EE484</f>
        <v>0</v>
      </c>
      <c r="T6" s="206">
        <f>'P &amp; NP'!EF484</f>
        <v>0</v>
      </c>
      <c r="U6" s="206">
        <f>'P &amp; NP'!EU484</f>
        <v>0</v>
      </c>
      <c r="V6" s="206">
        <f>'P &amp; NP'!EV484</f>
        <v>0</v>
      </c>
      <c r="W6" s="206">
        <f>'P &amp; NP'!FK484</f>
        <v>0</v>
      </c>
      <c r="X6" s="206">
        <f>'P &amp; NP'!FL484</f>
        <v>0</v>
      </c>
      <c r="Y6" s="206">
        <f>'P &amp; NP'!GA484</f>
        <v>0</v>
      </c>
      <c r="Z6" s="206">
        <f>'P &amp; NP'!GB484</f>
        <v>0</v>
      </c>
      <c r="AA6" s="206">
        <f>'P &amp; NP'!GQ484</f>
        <v>0</v>
      </c>
      <c r="AB6" s="206">
        <f>'P &amp; NP'!GR484</f>
        <v>0</v>
      </c>
      <c r="AC6" s="206">
        <f>'P &amp; NP'!HG484</f>
        <v>0</v>
      </c>
      <c r="AD6" s="206">
        <f>'P &amp; NP'!HH484</f>
        <v>0</v>
      </c>
      <c r="AE6" s="206">
        <f>'P &amp; NP'!HW484</f>
        <v>0</v>
      </c>
      <c r="AF6" s="206">
        <f>'P &amp; NP'!HX484</f>
        <v>0</v>
      </c>
      <c r="AG6" s="206">
        <f>'P &amp; NP'!IM484</f>
        <v>0</v>
      </c>
      <c r="AH6" s="206">
        <f>'P &amp; NP'!IN484</f>
        <v>0</v>
      </c>
      <c r="AI6" s="206">
        <f>'P &amp; NP'!JC484</f>
        <v>0</v>
      </c>
      <c r="AJ6" s="206">
        <f>'P &amp; NP'!JD484</f>
        <v>0</v>
      </c>
      <c r="AK6" s="206">
        <f>'P &amp; NP'!JS484</f>
        <v>0</v>
      </c>
      <c r="AL6" s="206">
        <f>'P &amp; NP'!JT484</f>
        <v>0</v>
      </c>
      <c r="AM6" s="206">
        <f>'P &amp; NP'!KI484</f>
        <v>0</v>
      </c>
      <c r="AN6" s="206">
        <f>'P &amp; NP'!KJ484</f>
        <v>0</v>
      </c>
      <c r="AO6" s="206">
        <f>'P &amp; NP'!KY484</f>
        <v>0</v>
      </c>
      <c r="AP6" s="206">
        <f>'P &amp; NP'!KZ484</f>
        <v>0</v>
      </c>
      <c r="AQ6" s="206">
        <f>'P &amp; NP'!LO484</f>
        <v>0</v>
      </c>
      <c r="AR6" s="206">
        <f>'P &amp; NP'!LP484</f>
        <v>0</v>
      </c>
      <c r="AS6" s="206">
        <f>'P &amp; NP'!ME484</f>
        <v>0</v>
      </c>
      <c r="AT6" s="206">
        <f>'P &amp; NP'!MF484</f>
        <v>0</v>
      </c>
      <c r="AU6" s="206">
        <f>'P &amp; NP'!MU484</f>
        <v>0</v>
      </c>
      <c r="AV6" s="206">
        <f>'P &amp; NP'!MV484</f>
        <v>0</v>
      </c>
      <c r="AW6" s="206">
        <f>'P &amp; NP'!NK484</f>
        <v>0</v>
      </c>
      <c r="AX6" s="206">
        <f>'P &amp; NP'!NL484</f>
        <v>0</v>
      </c>
      <c r="AY6" s="206">
        <f>'P &amp; NP'!OA484</f>
        <v>0</v>
      </c>
      <c r="AZ6" s="206">
        <f>'P &amp; NP'!OB484</f>
        <v>0</v>
      </c>
      <c r="BA6" s="206">
        <f>'P &amp; NP'!OQ484</f>
        <v>0</v>
      </c>
      <c r="BB6" s="206">
        <f>'P &amp; NP'!OR484</f>
        <v>0</v>
      </c>
      <c r="BC6" s="206">
        <f>'P &amp; NP'!PG484</f>
        <v>0</v>
      </c>
      <c r="BD6" s="206">
        <f>'P &amp; NP'!PH484</f>
        <v>0</v>
      </c>
      <c r="BE6" s="206">
        <f>'P &amp; NP'!PW484</f>
        <v>0</v>
      </c>
      <c r="BF6" s="206">
        <f>'P &amp; NP'!PX484</f>
        <v>0</v>
      </c>
      <c r="BG6" s="206">
        <f>'P &amp; NP'!QM484</f>
        <v>0</v>
      </c>
      <c r="BH6" s="206">
        <f>'P &amp; NP'!QN484</f>
        <v>0</v>
      </c>
      <c r="BI6" s="206">
        <f>'P &amp; NP'!RC484</f>
        <v>0</v>
      </c>
      <c r="BJ6" s="206">
        <f>'P &amp; NP'!RD484</f>
        <v>0</v>
      </c>
      <c r="BK6" s="206">
        <f>'P &amp; NP'!RS484</f>
        <v>0</v>
      </c>
      <c r="BL6" s="206">
        <f>'P &amp; NP'!RT484</f>
        <v>0</v>
      </c>
      <c r="BM6" s="206">
        <f>'P &amp; NP'!SI484</f>
        <v>0</v>
      </c>
      <c r="BN6" s="206">
        <f>'P &amp; NP'!SJ484</f>
        <v>0</v>
      </c>
      <c r="BO6" s="206">
        <f>'P &amp; NP'!SY484</f>
        <v>0</v>
      </c>
      <c r="BP6" s="206">
        <f>'P &amp; NP'!SZ484</f>
        <v>0</v>
      </c>
      <c r="BQ6" s="206">
        <f>'P &amp; NP'!TO484</f>
        <v>0</v>
      </c>
      <c r="BR6" s="206">
        <f>'P &amp; NP'!TP484</f>
        <v>0</v>
      </c>
      <c r="BS6" s="206">
        <f>'P &amp; NP'!UE484</f>
        <v>0</v>
      </c>
      <c r="BT6" s="206">
        <f>'P &amp; NP'!UF484</f>
        <v>0</v>
      </c>
      <c r="BU6" s="206">
        <f>'P &amp; NP'!UU484</f>
        <v>0</v>
      </c>
      <c r="BV6" s="206">
        <f>'P &amp; NP'!UV484</f>
        <v>0</v>
      </c>
      <c r="BW6" s="206">
        <f>'P &amp; NP'!VK484</f>
        <v>0</v>
      </c>
      <c r="BX6" s="206">
        <f>'P &amp; NP'!VL484</f>
        <v>0</v>
      </c>
      <c r="BY6" s="206">
        <f>'P &amp; NP'!WA484</f>
        <v>0</v>
      </c>
      <c r="BZ6" s="206">
        <f>'P &amp; NP'!WB484</f>
        <v>0</v>
      </c>
      <c r="CB6" s="731">
        <f>'P &amp; NP'!WR11</f>
        <v>0</v>
      </c>
      <c r="CC6" s="731">
        <f>'P &amp; NP'!WS11</f>
        <v>0</v>
      </c>
    </row>
    <row r="7" spans="1:81" s="208" customFormat="1">
      <c r="C7" s="209">
        <f t="shared" ref="C7:BN7" si="0">SUM(C8:C44)</f>
        <v>0</v>
      </c>
      <c r="D7" s="209">
        <f t="shared" si="0"/>
        <v>0</v>
      </c>
      <c r="E7" s="209">
        <f t="shared" si="0"/>
        <v>0</v>
      </c>
      <c r="F7" s="209">
        <f t="shared" si="0"/>
        <v>0</v>
      </c>
      <c r="G7" s="209">
        <f t="shared" si="0"/>
        <v>0</v>
      </c>
      <c r="H7" s="209">
        <f t="shared" si="0"/>
        <v>0</v>
      </c>
      <c r="I7" s="209">
        <f t="shared" si="0"/>
        <v>0</v>
      </c>
      <c r="J7" s="209">
        <f t="shared" si="0"/>
        <v>0</v>
      </c>
      <c r="K7" s="209">
        <f t="shared" si="0"/>
        <v>0</v>
      </c>
      <c r="L7" s="209">
        <f t="shared" si="0"/>
        <v>0</v>
      </c>
      <c r="M7" s="209">
        <f t="shared" si="0"/>
        <v>0</v>
      </c>
      <c r="N7" s="209">
        <f t="shared" si="0"/>
        <v>0</v>
      </c>
      <c r="O7" s="209">
        <f t="shared" si="0"/>
        <v>0</v>
      </c>
      <c r="P7" s="209">
        <f t="shared" si="0"/>
        <v>0</v>
      </c>
      <c r="Q7" s="209">
        <f t="shared" si="0"/>
        <v>0</v>
      </c>
      <c r="R7" s="209">
        <f t="shared" si="0"/>
        <v>0</v>
      </c>
      <c r="S7" s="209">
        <f t="shared" si="0"/>
        <v>0</v>
      </c>
      <c r="T7" s="209">
        <f t="shared" si="0"/>
        <v>0</v>
      </c>
      <c r="U7" s="209">
        <f t="shared" si="0"/>
        <v>0</v>
      </c>
      <c r="V7" s="209">
        <f t="shared" si="0"/>
        <v>0</v>
      </c>
      <c r="W7" s="209">
        <f t="shared" si="0"/>
        <v>0</v>
      </c>
      <c r="X7" s="209">
        <f t="shared" si="0"/>
        <v>0</v>
      </c>
      <c r="Y7" s="209">
        <f t="shared" si="0"/>
        <v>0</v>
      </c>
      <c r="Z7" s="209">
        <f t="shared" si="0"/>
        <v>0</v>
      </c>
      <c r="AA7" s="209">
        <f t="shared" si="0"/>
        <v>0</v>
      </c>
      <c r="AB7" s="209">
        <f t="shared" si="0"/>
        <v>0</v>
      </c>
      <c r="AC7" s="209">
        <f t="shared" si="0"/>
        <v>0</v>
      </c>
      <c r="AD7" s="209">
        <f t="shared" si="0"/>
        <v>0</v>
      </c>
      <c r="AE7" s="209">
        <f t="shared" si="0"/>
        <v>0</v>
      </c>
      <c r="AF7" s="209">
        <f t="shared" si="0"/>
        <v>0</v>
      </c>
      <c r="AG7" s="209">
        <f t="shared" si="0"/>
        <v>0</v>
      </c>
      <c r="AH7" s="209">
        <f t="shared" si="0"/>
        <v>0</v>
      </c>
      <c r="AI7" s="209">
        <f t="shared" si="0"/>
        <v>0</v>
      </c>
      <c r="AJ7" s="209">
        <f t="shared" si="0"/>
        <v>0</v>
      </c>
      <c r="AK7" s="209">
        <f t="shared" si="0"/>
        <v>0</v>
      </c>
      <c r="AL7" s="209">
        <f t="shared" si="0"/>
        <v>0</v>
      </c>
      <c r="AM7" s="209">
        <f t="shared" si="0"/>
        <v>0</v>
      </c>
      <c r="AN7" s="209">
        <f t="shared" si="0"/>
        <v>0</v>
      </c>
      <c r="AO7" s="209">
        <f t="shared" si="0"/>
        <v>0</v>
      </c>
      <c r="AP7" s="209">
        <f t="shared" si="0"/>
        <v>0</v>
      </c>
      <c r="AQ7" s="209">
        <f t="shared" si="0"/>
        <v>0</v>
      </c>
      <c r="AR7" s="209">
        <f t="shared" si="0"/>
        <v>0</v>
      </c>
      <c r="AS7" s="209">
        <f t="shared" si="0"/>
        <v>0</v>
      </c>
      <c r="AT7" s="209">
        <f t="shared" si="0"/>
        <v>0</v>
      </c>
      <c r="AU7" s="209">
        <f t="shared" si="0"/>
        <v>0</v>
      </c>
      <c r="AV7" s="209">
        <f t="shared" si="0"/>
        <v>0</v>
      </c>
      <c r="AW7" s="209">
        <f t="shared" si="0"/>
        <v>0</v>
      </c>
      <c r="AX7" s="209">
        <f t="shared" si="0"/>
        <v>0</v>
      </c>
      <c r="AY7" s="209">
        <f t="shared" si="0"/>
        <v>0</v>
      </c>
      <c r="AZ7" s="209">
        <f t="shared" si="0"/>
        <v>0</v>
      </c>
      <c r="BA7" s="209">
        <f t="shared" si="0"/>
        <v>0</v>
      </c>
      <c r="BB7" s="209">
        <f t="shared" si="0"/>
        <v>0</v>
      </c>
      <c r="BC7" s="209">
        <f t="shared" si="0"/>
        <v>0</v>
      </c>
      <c r="BD7" s="209">
        <f t="shared" si="0"/>
        <v>0</v>
      </c>
      <c r="BE7" s="209">
        <f t="shared" si="0"/>
        <v>0</v>
      </c>
      <c r="BF7" s="209">
        <f t="shared" si="0"/>
        <v>0</v>
      </c>
      <c r="BG7" s="209">
        <f t="shared" si="0"/>
        <v>0</v>
      </c>
      <c r="BH7" s="209">
        <f t="shared" si="0"/>
        <v>0</v>
      </c>
      <c r="BI7" s="209">
        <f t="shared" si="0"/>
        <v>0</v>
      </c>
      <c r="BJ7" s="209">
        <f t="shared" si="0"/>
        <v>0</v>
      </c>
      <c r="BK7" s="209">
        <f t="shared" si="0"/>
        <v>0</v>
      </c>
      <c r="BL7" s="209">
        <f t="shared" si="0"/>
        <v>0</v>
      </c>
      <c r="BM7" s="209">
        <f t="shared" si="0"/>
        <v>0</v>
      </c>
      <c r="BN7" s="209">
        <f t="shared" si="0"/>
        <v>0</v>
      </c>
      <c r="BO7" s="209">
        <f t="shared" ref="BO7:BZ7" si="1">SUM(BO8:BO44)</f>
        <v>0</v>
      </c>
      <c r="BP7" s="209">
        <f t="shared" si="1"/>
        <v>0</v>
      </c>
      <c r="BQ7" s="209">
        <f t="shared" si="1"/>
        <v>0</v>
      </c>
      <c r="BR7" s="209">
        <f t="shared" si="1"/>
        <v>0</v>
      </c>
      <c r="BS7" s="209">
        <f t="shared" si="1"/>
        <v>0</v>
      </c>
      <c r="BT7" s="209">
        <f t="shared" si="1"/>
        <v>0</v>
      </c>
      <c r="BU7" s="209">
        <f t="shared" si="1"/>
        <v>0</v>
      </c>
      <c r="BV7" s="209">
        <f t="shared" si="1"/>
        <v>0</v>
      </c>
      <c r="BW7" s="209">
        <f t="shared" si="1"/>
        <v>0</v>
      </c>
      <c r="BX7" s="209">
        <f t="shared" si="1"/>
        <v>0</v>
      </c>
      <c r="BY7" s="209">
        <f t="shared" si="1"/>
        <v>0</v>
      </c>
      <c r="BZ7" s="209">
        <f t="shared" si="1"/>
        <v>0</v>
      </c>
      <c r="CB7" s="209">
        <f>SUM(CB8:CB44)</f>
        <v>0</v>
      </c>
      <c r="CC7" s="209">
        <f>SUM(CC8:CC44)</f>
        <v>0</v>
      </c>
    </row>
    <row r="8" spans="1:81">
      <c r="B8" s="207" t="str">
        <f>'P &amp; NP'!B14</f>
        <v xml:space="preserve">Bandeng </v>
      </c>
      <c r="C8" s="206">
        <f>'P &amp; NP'!G485</f>
        <v>0</v>
      </c>
      <c r="D8" s="206">
        <f>'P &amp; NP'!H485</f>
        <v>0</v>
      </c>
      <c r="E8" s="206">
        <f>'P &amp; NP'!W485</f>
        <v>0</v>
      </c>
      <c r="F8" s="206">
        <f>'P &amp; NP'!X485</f>
        <v>0</v>
      </c>
      <c r="G8" s="206">
        <f>'P &amp; NP'!AM485</f>
        <v>0</v>
      </c>
      <c r="H8" s="206">
        <f>'P &amp; NP'!AN485</f>
        <v>0</v>
      </c>
      <c r="I8" s="206">
        <f>'P &amp; NP'!BC485</f>
        <v>0</v>
      </c>
      <c r="J8" s="206">
        <f>'P &amp; NP'!BD485</f>
        <v>0</v>
      </c>
      <c r="K8" s="206">
        <f>'P &amp; NP'!BS485</f>
        <v>0</v>
      </c>
      <c r="L8" s="206">
        <f>'P &amp; NP'!BT485</f>
        <v>0</v>
      </c>
      <c r="M8" s="206">
        <f>'P &amp; NP'!CI485</f>
        <v>0</v>
      </c>
      <c r="N8" s="206">
        <f>'P &amp; NP'!CJ485</f>
        <v>0</v>
      </c>
      <c r="O8" s="206">
        <f>'P &amp; NP'!CY485</f>
        <v>0</v>
      </c>
      <c r="P8" s="206">
        <f>'P &amp; NP'!CZ485</f>
        <v>0</v>
      </c>
      <c r="Q8" s="206">
        <f>'P &amp; NP'!DO485</f>
        <v>0</v>
      </c>
      <c r="R8" s="206">
        <f>'P &amp; NP'!DP485</f>
        <v>0</v>
      </c>
      <c r="S8" s="206">
        <f>'P &amp; NP'!EE485</f>
        <v>0</v>
      </c>
      <c r="T8" s="206">
        <f>'P &amp; NP'!EF485</f>
        <v>0</v>
      </c>
      <c r="U8" s="206">
        <f>'P &amp; NP'!EU485</f>
        <v>0</v>
      </c>
      <c r="V8" s="206">
        <f>'P &amp; NP'!EV485</f>
        <v>0</v>
      </c>
      <c r="W8" s="206">
        <f>'P &amp; NP'!FK485</f>
        <v>0</v>
      </c>
      <c r="X8" s="206">
        <f>'P &amp; NP'!FL485</f>
        <v>0</v>
      </c>
      <c r="Y8" s="206">
        <f>'P &amp; NP'!GA485</f>
        <v>0</v>
      </c>
      <c r="Z8" s="206">
        <f>'P &amp; NP'!GB485</f>
        <v>0</v>
      </c>
      <c r="AA8" s="206">
        <f>'P &amp; NP'!GQ485</f>
        <v>0</v>
      </c>
      <c r="AB8" s="206">
        <f>'P &amp; NP'!GR485</f>
        <v>0</v>
      </c>
      <c r="AC8" s="206">
        <f>'P &amp; NP'!HG485</f>
        <v>0</v>
      </c>
      <c r="AD8" s="206">
        <f>'P &amp; NP'!HH485</f>
        <v>0</v>
      </c>
      <c r="AE8" s="206">
        <f>'P &amp; NP'!HW485</f>
        <v>0</v>
      </c>
      <c r="AF8" s="206">
        <f>'P &amp; NP'!HX485</f>
        <v>0</v>
      </c>
      <c r="AG8" s="206">
        <f>'P &amp; NP'!IM485</f>
        <v>0</v>
      </c>
      <c r="AH8" s="206">
        <f>'P &amp; NP'!IN485</f>
        <v>0</v>
      </c>
      <c r="AI8" s="206">
        <f>'P &amp; NP'!JC485</f>
        <v>0</v>
      </c>
      <c r="AJ8" s="206">
        <f>'P &amp; NP'!JD485</f>
        <v>0</v>
      </c>
      <c r="AK8" s="206">
        <f>'P &amp; NP'!JS485</f>
        <v>0</v>
      </c>
      <c r="AL8" s="206">
        <f>'P &amp; NP'!JT485</f>
        <v>0</v>
      </c>
      <c r="AM8" s="206">
        <f>'P &amp; NP'!KI485</f>
        <v>0</v>
      </c>
      <c r="AN8" s="206">
        <f>'P &amp; NP'!KJ485</f>
        <v>0</v>
      </c>
      <c r="AO8" s="206">
        <f>'P &amp; NP'!KY485</f>
        <v>0</v>
      </c>
      <c r="AP8" s="206">
        <f>'P &amp; NP'!KZ485</f>
        <v>0</v>
      </c>
      <c r="AQ8" s="206">
        <f>'P &amp; NP'!LO485</f>
        <v>0</v>
      </c>
      <c r="AR8" s="206">
        <f>'P &amp; NP'!LP485</f>
        <v>0</v>
      </c>
      <c r="AS8" s="206">
        <f>'P &amp; NP'!ME485</f>
        <v>0</v>
      </c>
      <c r="AT8" s="206">
        <f>'P &amp; NP'!MF485</f>
        <v>0</v>
      </c>
      <c r="AU8" s="206">
        <f>'P &amp; NP'!MU485</f>
        <v>0</v>
      </c>
      <c r="AV8" s="206">
        <f>'P &amp; NP'!MV485</f>
        <v>0</v>
      </c>
      <c r="AW8" s="206">
        <f>'P &amp; NP'!NK485</f>
        <v>0</v>
      </c>
      <c r="AX8" s="206">
        <f>'P &amp; NP'!NL485</f>
        <v>0</v>
      </c>
      <c r="AY8" s="206">
        <f>'P &amp; NP'!OA485</f>
        <v>0</v>
      </c>
      <c r="AZ8" s="206">
        <f>'P &amp; NP'!OB485</f>
        <v>0</v>
      </c>
      <c r="BA8" s="206">
        <f>'P &amp; NP'!OQ485</f>
        <v>0</v>
      </c>
      <c r="BB8" s="206">
        <f>'P &amp; NP'!OR485</f>
        <v>0</v>
      </c>
      <c r="BC8" s="206">
        <f>'P &amp; NP'!PG485</f>
        <v>0</v>
      </c>
      <c r="BD8" s="206">
        <f>'P &amp; NP'!PH485</f>
        <v>0</v>
      </c>
      <c r="BE8" s="206">
        <f>'P &amp; NP'!PW485</f>
        <v>0</v>
      </c>
      <c r="BF8" s="206">
        <f>'P &amp; NP'!PX485</f>
        <v>0</v>
      </c>
      <c r="BG8" s="206">
        <f>'P &amp; NP'!QM485</f>
        <v>0</v>
      </c>
      <c r="BH8" s="206">
        <f>'P &amp; NP'!QN485</f>
        <v>0</v>
      </c>
      <c r="BI8" s="206">
        <f>'P &amp; NP'!RC485</f>
        <v>0</v>
      </c>
      <c r="BJ8" s="206">
        <f>'P &amp; NP'!RD485</f>
        <v>0</v>
      </c>
      <c r="BK8" s="206">
        <f>'P &amp; NP'!RS485</f>
        <v>0</v>
      </c>
      <c r="BL8" s="206">
        <f>'P &amp; NP'!RT485</f>
        <v>0</v>
      </c>
      <c r="BM8" s="206">
        <f>'P &amp; NP'!SI485</f>
        <v>0</v>
      </c>
      <c r="BN8" s="206">
        <f>'P &amp; NP'!SJ485</f>
        <v>0</v>
      </c>
      <c r="BO8" s="206">
        <f>'P &amp; NP'!SY485</f>
        <v>0</v>
      </c>
      <c r="BP8" s="206">
        <f>'P &amp; NP'!SZ485</f>
        <v>0</v>
      </c>
      <c r="BQ8" s="206">
        <f>'P &amp; NP'!TO485</f>
        <v>0</v>
      </c>
      <c r="BR8" s="206">
        <f>'P &amp; NP'!TP485</f>
        <v>0</v>
      </c>
      <c r="BS8" s="206">
        <f>'P &amp; NP'!UE485</f>
        <v>0</v>
      </c>
      <c r="BT8" s="206">
        <f>'P &amp; NP'!UF485</f>
        <v>0</v>
      </c>
      <c r="BU8" s="206">
        <f>'P &amp; NP'!UU485</f>
        <v>0</v>
      </c>
      <c r="BV8" s="206">
        <f>'P &amp; NP'!UV485</f>
        <v>0</v>
      </c>
      <c r="BW8" s="206">
        <f>'P &amp; NP'!VK485</f>
        <v>0</v>
      </c>
      <c r="BX8" s="206">
        <f>'P &amp; NP'!VL485</f>
        <v>0</v>
      </c>
      <c r="BY8" s="206">
        <f>'P &amp; NP'!WA485</f>
        <v>0</v>
      </c>
      <c r="BZ8" s="206">
        <f>'P &amp; NP'!WB485</f>
        <v>0</v>
      </c>
      <c r="CB8" s="206">
        <f>SUMIF($C$4:$BZ$4,$CB$4,C8:BZ8)</f>
        <v>0</v>
      </c>
      <c r="CC8" s="206">
        <f>SUMIF($C$4:$BZ$4,$CC$4,C8:BZ8)</f>
        <v>0</v>
      </c>
    </row>
    <row r="9" spans="1:81">
      <c r="B9" s="207" t="str">
        <f>'P &amp; NP'!B15</f>
        <v xml:space="preserve">Bawal </v>
      </c>
      <c r="C9" s="206">
        <f>'P &amp; NP'!G486</f>
        <v>0</v>
      </c>
      <c r="D9" s="206">
        <f>'P &amp; NP'!H486</f>
        <v>0</v>
      </c>
      <c r="E9" s="206">
        <f>'P &amp; NP'!W486</f>
        <v>0</v>
      </c>
      <c r="F9" s="206">
        <f>'P &amp; NP'!X486</f>
        <v>0</v>
      </c>
      <c r="G9" s="206">
        <f>'P &amp; NP'!AM486</f>
        <v>0</v>
      </c>
      <c r="H9" s="206">
        <f>'P &amp; NP'!AN486</f>
        <v>0</v>
      </c>
      <c r="I9" s="206">
        <f>'P &amp; NP'!BC486</f>
        <v>0</v>
      </c>
      <c r="J9" s="206">
        <f>'P &amp; NP'!BD486</f>
        <v>0</v>
      </c>
      <c r="K9" s="206">
        <f>'P &amp; NP'!BS486</f>
        <v>0</v>
      </c>
      <c r="L9" s="206">
        <f>'P &amp; NP'!BT486</f>
        <v>0</v>
      </c>
      <c r="M9" s="206">
        <f>'P &amp; NP'!CI486</f>
        <v>0</v>
      </c>
      <c r="N9" s="206">
        <f>'P &amp; NP'!CJ486</f>
        <v>0</v>
      </c>
      <c r="O9" s="206">
        <f>'P &amp; NP'!CY486</f>
        <v>0</v>
      </c>
      <c r="P9" s="206">
        <f>'P &amp; NP'!CZ486</f>
        <v>0</v>
      </c>
      <c r="Q9" s="206">
        <f>'P &amp; NP'!DO486</f>
        <v>0</v>
      </c>
      <c r="R9" s="206">
        <f>'P &amp; NP'!DP486</f>
        <v>0</v>
      </c>
      <c r="S9" s="206">
        <f>'P &amp; NP'!EE486</f>
        <v>0</v>
      </c>
      <c r="T9" s="206">
        <f>'P &amp; NP'!EF486</f>
        <v>0</v>
      </c>
      <c r="U9" s="206">
        <f>'P &amp; NP'!EU486</f>
        <v>0</v>
      </c>
      <c r="V9" s="206">
        <f>'P &amp; NP'!EV486</f>
        <v>0</v>
      </c>
      <c r="W9" s="206">
        <f>'P &amp; NP'!FK486</f>
        <v>0</v>
      </c>
      <c r="X9" s="206">
        <f>'P &amp; NP'!FL486</f>
        <v>0</v>
      </c>
      <c r="Y9" s="206">
        <f>'P &amp; NP'!GA486</f>
        <v>0</v>
      </c>
      <c r="Z9" s="206">
        <f>'P &amp; NP'!GB486</f>
        <v>0</v>
      </c>
      <c r="AA9" s="206">
        <f>'P &amp; NP'!GQ486</f>
        <v>0</v>
      </c>
      <c r="AB9" s="206">
        <f>'P &amp; NP'!GR486</f>
        <v>0</v>
      </c>
      <c r="AC9" s="206">
        <f>'P &amp; NP'!HG486</f>
        <v>0</v>
      </c>
      <c r="AD9" s="206">
        <f>'P &amp; NP'!HH486</f>
        <v>0</v>
      </c>
      <c r="AE9" s="206">
        <f>'P &amp; NP'!HW486</f>
        <v>0</v>
      </c>
      <c r="AF9" s="206">
        <f>'P &amp; NP'!HX486</f>
        <v>0</v>
      </c>
      <c r="AG9" s="206">
        <f>'P &amp; NP'!IM486</f>
        <v>0</v>
      </c>
      <c r="AH9" s="206">
        <f>'P &amp; NP'!IN486</f>
        <v>0</v>
      </c>
      <c r="AI9" s="206">
        <f>'P &amp; NP'!JC486</f>
        <v>0</v>
      </c>
      <c r="AJ9" s="206">
        <f>'P &amp; NP'!JD486</f>
        <v>0</v>
      </c>
      <c r="AK9" s="206">
        <f>'P &amp; NP'!JS486</f>
        <v>0</v>
      </c>
      <c r="AL9" s="206">
        <f>'P &amp; NP'!JT486</f>
        <v>0</v>
      </c>
      <c r="AM9" s="206">
        <f>'P &amp; NP'!KI486</f>
        <v>0</v>
      </c>
      <c r="AN9" s="206">
        <f>'P &amp; NP'!KJ486</f>
        <v>0</v>
      </c>
      <c r="AO9" s="206">
        <f>'P &amp; NP'!KY486</f>
        <v>0</v>
      </c>
      <c r="AP9" s="206">
        <f>'P &amp; NP'!KZ486</f>
        <v>0</v>
      </c>
      <c r="AQ9" s="206">
        <f>'P &amp; NP'!LO486</f>
        <v>0</v>
      </c>
      <c r="AR9" s="206">
        <f>'P &amp; NP'!LP486</f>
        <v>0</v>
      </c>
      <c r="AS9" s="206">
        <f>'P &amp; NP'!ME486</f>
        <v>0</v>
      </c>
      <c r="AT9" s="206">
        <f>'P &amp; NP'!MF486</f>
        <v>0</v>
      </c>
      <c r="AU9" s="206">
        <f>'P &amp; NP'!MU486</f>
        <v>0</v>
      </c>
      <c r="AV9" s="206">
        <f>'P &amp; NP'!MV486</f>
        <v>0</v>
      </c>
      <c r="AW9" s="206">
        <f>'P &amp; NP'!NK486</f>
        <v>0</v>
      </c>
      <c r="AX9" s="206">
        <f>'P &amp; NP'!NL486</f>
        <v>0</v>
      </c>
      <c r="AY9" s="206">
        <f>'P &amp; NP'!OA486</f>
        <v>0</v>
      </c>
      <c r="AZ9" s="206">
        <f>'P &amp; NP'!OB486</f>
        <v>0</v>
      </c>
      <c r="BA9" s="206">
        <f>'P &amp; NP'!OQ486</f>
        <v>0</v>
      </c>
      <c r="BB9" s="206">
        <f>'P &amp; NP'!OR486</f>
        <v>0</v>
      </c>
      <c r="BC9" s="206">
        <f>'P &amp; NP'!PG486</f>
        <v>0</v>
      </c>
      <c r="BD9" s="206">
        <f>'P &amp; NP'!PH486</f>
        <v>0</v>
      </c>
      <c r="BE9" s="206">
        <f>'P &amp; NP'!PW486</f>
        <v>0</v>
      </c>
      <c r="BF9" s="206">
        <f>'P &amp; NP'!PX486</f>
        <v>0</v>
      </c>
      <c r="BG9" s="206">
        <f>'P &amp; NP'!QM486</f>
        <v>0</v>
      </c>
      <c r="BH9" s="206">
        <f>'P &amp; NP'!QN486</f>
        <v>0</v>
      </c>
      <c r="BI9" s="206">
        <f>'P &amp; NP'!RC486</f>
        <v>0</v>
      </c>
      <c r="BJ9" s="206">
        <f>'P &amp; NP'!RD486</f>
        <v>0</v>
      </c>
      <c r="BK9" s="206">
        <f>'P &amp; NP'!RS486</f>
        <v>0</v>
      </c>
      <c r="BL9" s="206">
        <f>'P &amp; NP'!RT486</f>
        <v>0</v>
      </c>
      <c r="BM9" s="206">
        <f>'P &amp; NP'!SI486</f>
        <v>0</v>
      </c>
      <c r="BN9" s="206">
        <f>'P &amp; NP'!SJ486</f>
        <v>0</v>
      </c>
      <c r="BO9" s="206">
        <f>'P &amp; NP'!SY486</f>
        <v>0</v>
      </c>
      <c r="BP9" s="206">
        <f>'P &amp; NP'!SZ486</f>
        <v>0</v>
      </c>
      <c r="BQ9" s="206">
        <f>'P &amp; NP'!TO486</f>
        <v>0</v>
      </c>
      <c r="BR9" s="206">
        <f>'P &amp; NP'!TP486</f>
        <v>0</v>
      </c>
      <c r="BS9" s="206">
        <f>'P &amp; NP'!UE486</f>
        <v>0</v>
      </c>
      <c r="BT9" s="206">
        <f>'P &amp; NP'!UF486</f>
        <v>0</v>
      </c>
      <c r="BU9" s="206">
        <f>'P &amp; NP'!UU486</f>
        <v>0</v>
      </c>
      <c r="BV9" s="206">
        <f>'P &amp; NP'!UV486</f>
        <v>0</v>
      </c>
      <c r="BW9" s="206">
        <f>'P &amp; NP'!VK486</f>
        <v>0</v>
      </c>
      <c r="BX9" s="206">
        <f>'P &amp; NP'!VL486</f>
        <v>0</v>
      </c>
      <c r="BY9" s="206">
        <f>'P &amp; NP'!WA486</f>
        <v>0</v>
      </c>
      <c r="BZ9" s="206">
        <f>'P &amp; NP'!WB486</f>
        <v>0</v>
      </c>
      <c r="CB9" s="206">
        <f t="shared" ref="CB9:CB34" si="2">SUMIF($C$4:$BZ$4,$CB$4,C9:BZ9)</f>
        <v>0</v>
      </c>
      <c r="CC9" s="206">
        <f t="shared" ref="CC9:CC34" si="3">SUMIF($C$4:$BZ$4,$CC$4,C9:BZ9)</f>
        <v>0</v>
      </c>
    </row>
    <row r="10" spans="1:81">
      <c r="B10" s="207" t="str">
        <f>'P &amp; NP'!B16</f>
        <v xml:space="preserve">Belanak </v>
      </c>
      <c r="C10" s="206">
        <f>'P &amp; NP'!G487</f>
        <v>0</v>
      </c>
      <c r="D10" s="206">
        <f>'P &amp; NP'!H487</f>
        <v>0</v>
      </c>
      <c r="E10" s="206">
        <f>'P &amp; NP'!W487</f>
        <v>0</v>
      </c>
      <c r="F10" s="206">
        <f>'P &amp; NP'!X487</f>
        <v>0</v>
      </c>
      <c r="G10" s="206">
        <f>'P &amp; NP'!AM487</f>
        <v>0</v>
      </c>
      <c r="H10" s="206">
        <f>'P &amp; NP'!AN487</f>
        <v>0</v>
      </c>
      <c r="I10" s="206">
        <f>'P &amp; NP'!BC487</f>
        <v>0</v>
      </c>
      <c r="J10" s="206">
        <f>'P &amp; NP'!BD487</f>
        <v>0</v>
      </c>
      <c r="K10" s="206">
        <f>'P &amp; NP'!BS487</f>
        <v>0</v>
      </c>
      <c r="L10" s="206">
        <f>'P &amp; NP'!BT487</f>
        <v>0</v>
      </c>
      <c r="M10" s="206">
        <f>'P &amp; NP'!CI487</f>
        <v>0</v>
      </c>
      <c r="N10" s="206">
        <f>'P &amp; NP'!CJ487</f>
        <v>0</v>
      </c>
      <c r="O10" s="206">
        <f>'P &amp; NP'!CY487</f>
        <v>0</v>
      </c>
      <c r="P10" s="206">
        <f>'P &amp; NP'!CZ487</f>
        <v>0</v>
      </c>
      <c r="Q10" s="206">
        <f>'P &amp; NP'!DO487</f>
        <v>0</v>
      </c>
      <c r="R10" s="206">
        <f>'P &amp; NP'!DP487</f>
        <v>0</v>
      </c>
      <c r="S10" s="206">
        <f>'P &amp; NP'!EE487</f>
        <v>0</v>
      </c>
      <c r="T10" s="206">
        <f>'P &amp; NP'!EF487</f>
        <v>0</v>
      </c>
      <c r="U10" s="206">
        <f>'P &amp; NP'!EU487</f>
        <v>0</v>
      </c>
      <c r="V10" s="206">
        <f>'P &amp; NP'!EV487</f>
        <v>0</v>
      </c>
      <c r="W10" s="206">
        <f>'P &amp; NP'!FK487</f>
        <v>0</v>
      </c>
      <c r="X10" s="206">
        <f>'P &amp; NP'!FL487</f>
        <v>0</v>
      </c>
      <c r="Y10" s="206">
        <f>'P &amp; NP'!GA487</f>
        <v>0</v>
      </c>
      <c r="Z10" s="206">
        <f>'P &amp; NP'!GB487</f>
        <v>0</v>
      </c>
      <c r="AA10" s="206">
        <f>'P &amp; NP'!GQ487</f>
        <v>0</v>
      </c>
      <c r="AB10" s="206">
        <f>'P &amp; NP'!GR487</f>
        <v>0</v>
      </c>
      <c r="AC10" s="206">
        <f>'P &amp; NP'!HG487</f>
        <v>0</v>
      </c>
      <c r="AD10" s="206">
        <f>'P &amp; NP'!HH487</f>
        <v>0</v>
      </c>
      <c r="AE10" s="206">
        <f>'P &amp; NP'!HW487</f>
        <v>0</v>
      </c>
      <c r="AF10" s="206">
        <f>'P &amp; NP'!HX487</f>
        <v>0</v>
      </c>
      <c r="AG10" s="206">
        <f>'P &amp; NP'!IM487</f>
        <v>0</v>
      </c>
      <c r="AH10" s="206">
        <f>'P &amp; NP'!IN487</f>
        <v>0</v>
      </c>
      <c r="AI10" s="206">
        <f>'P &amp; NP'!JC487</f>
        <v>0</v>
      </c>
      <c r="AJ10" s="206">
        <f>'P &amp; NP'!JD487</f>
        <v>0</v>
      </c>
      <c r="AK10" s="206">
        <f>'P &amp; NP'!JS487</f>
        <v>0</v>
      </c>
      <c r="AL10" s="206">
        <f>'P &amp; NP'!JT487</f>
        <v>0</v>
      </c>
      <c r="AM10" s="206">
        <f>'P &amp; NP'!KI487</f>
        <v>0</v>
      </c>
      <c r="AN10" s="206">
        <f>'P &amp; NP'!KJ487</f>
        <v>0</v>
      </c>
      <c r="AO10" s="206">
        <f>'P &amp; NP'!KY487</f>
        <v>0</v>
      </c>
      <c r="AP10" s="206">
        <f>'P &amp; NP'!KZ487</f>
        <v>0</v>
      </c>
      <c r="AQ10" s="206">
        <f>'P &amp; NP'!LO487</f>
        <v>0</v>
      </c>
      <c r="AR10" s="206">
        <f>'P &amp; NP'!LP487</f>
        <v>0</v>
      </c>
      <c r="AS10" s="206">
        <f>'P &amp; NP'!ME487</f>
        <v>0</v>
      </c>
      <c r="AT10" s="206">
        <f>'P &amp; NP'!MF487</f>
        <v>0</v>
      </c>
      <c r="AU10" s="206">
        <f>'P &amp; NP'!MU487</f>
        <v>0</v>
      </c>
      <c r="AV10" s="206">
        <f>'P &amp; NP'!MV487</f>
        <v>0</v>
      </c>
      <c r="AW10" s="206">
        <f>'P &amp; NP'!NK487</f>
        <v>0</v>
      </c>
      <c r="AX10" s="206">
        <f>'P &amp; NP'!NL487</f>
        <v>0</v>
      </c>
      <c r="AY10" s="206">
        <f>'P &amp; NP'!OA487</f>
        <v>0</v>
      </c>
      <c r="AZ10" s="206">
        <f>'P &amp; NP'!OB487</f>
        <v>0</v>
      </c>
      <c r="BA10" s="206">
        <f>'P &amp; NP'!OQ487</f>
        <v>0</v>
      </c>
      <c r="BB10" s="206">
        <f>'P &amp; NP'!OR487</f>
        <v>0</v>
      </c>
      <c r="BC10" s="206">
        <f>'P &amp; NP'!PG487</f>
        <v>0</v>
      </c>
      <c r="BD10" s="206">
        <f>'P &amp; NP'!PH487</f>
        <v>0</v>
      </c>
      <c r="BE10" s="206">
        <f>'P &amp; NP'!PW487</f>
        <v>0</v>
      </c>
      <c r="BF10" s="206">
        <f>'P &amp; NP'!PX487</f>
        <v>0</v>
      </c>
      <c r="BG10" s="206">
        <f>'P &amp; NP'!QM487</f>
        <v>0</v>
      </c>
      <c r="BH10" s="206">
        <f>'P &amp; NP'!QN487</f>
        <v>0</v>
      </c>
      <c r="BI10" s="206">
        <f>'P &amp; NP'!RC487</f>
        <v>0</v>
      </c>
      <c r="BJ10" s="206">
        <f>'P &amp; NP'!RD487</f>
        <v>0</v>
      </c>
      <c r="BK10" s="206">
        <f>'P &amp; NP'!RS487</f>
        <v>0</v>
      </c>
      <c r="BL10" s="206">
        <f>'P &amp; NP'!RT487</f>
        <v>0</v>
      </c>
      <c r="BM10" s="206">
        <f>'P &amp; NP'!SI487</f>
        <v>0</v>
      </c>
      <c r="BN10" s="206">
        <f>'P &amp; NP'!SJ487</f>
        <v>0</v>
      </c>
      <c r="BO10" s="206">
        <f>'P &amp; NP'!SY487</f>
        <v>0</v>
      </c>
      <c r="BP10" s="206">
        <f>'P &amp; NP'!SZ487</f>
        <v>0</v>
      </c>
      <c r="BQ10" s="206">
        <f>'P &amp; NP'!TO487</f>
        <v>0</v>
      </c>
      <c r="BR10" s="206">
        <f>'P &amp; NP'!TP487</f>
        <v>0</v>
      </c>
      <c r="BS10" s="206">
        <f>'P &amp; NP'!UE487</f>
        <v>0</v>
      </c>
      <c r="BT10" s="206">
        <f>'P &amp; NP'!UF487</f>
        <v>0</v>
      </c>
      <c r="BU10" s="206">
        <f>'P &amp; NP'!UU487</f>
        <v>0</v>
      </c>
      <c r="BV10" s="206">
        <f>'P &amp; NP'!UV487</f>
        <v>0</v>
      </c>
      <c r="BW10" s="206">
        <f>'P &amp; NP'!VK487</f>
        <v>0</v>
      </c>
      <c r="BX10" s="206">
        <f>'P &amp; NP'!VL487</f>
        <v>0</v>
      </c>
      <c r="BY10" s="206">
        <f>'P &amp; NP'!WA487</f>
        <v>0</v>
      </c>
      <c r="BZ10" s="206">
        <f>'P &amp; NP'!WB487</f>
        <v>0</v>
      </c>
      <c r="CB10" s="206">
        <f t="shared" si="2"/>
        <v>0</v>
      </c>
      <c r="CC10" s="206">
        <f t="shared" si="3"/>
        <v>0</v>
      </c>
    </row>
    <row r="11" spans="1:81">
      <c r="B11" s="207" t="str">
        <f>'P &amp; NP'!B17</f>
        <v xml:space="preserve">Eucheuma cottonii </v>
      </c>
      <c r="C11" s="206">
        <f>'P &amp; NP'!G488</f>
        <v>0</v>
      </c>
      <c r="D11" s="206">
        <f>'P &amp; NP'!H488</f>
        <v>0</v>
      </c>
      <c r="E11" s="206">
        <f>'P &amp; NP'!W488</f>
        <v>0</v>
      </c>
      <c r="F11" s="206">
        <f>'P &amp; NP'!X488</f>
        <v>0</v>
      </c>
      <c r="G11" s="206">
        <f>'P &amp; NP'!AM488</f>
        <v>0</v>
      </c>
      <c r="H11" s="206">
        <f>'P &amp; NP'!AN488</f>
        <v>0</v>
      </c>
      <c r="I11" s="206">
        <f>'P &amp; NP'!BC488</f>
        <v>0</v>
      </c>
      <c r="J11" s="206">
        <f>'P &amp; NP'!BD488</f>
        <v>0</v>
      </c>
      <c r="K11" s="206">
        <f>'P &amp; NP'!BS488</f>
        <v>0</v>
      </c>
      <c r="L11" s="206">
        <f>'P &amp; NP'!BT488</f>
        <v>0</v>
      </c>
      <c r="M11" s="206">
        <f>'P &amp; NP'!CI488</f>
        <v>0</v>
      </c>
      <c r="N11" s="206">
        <f>'P &amp; NP'!CJ488</f>
        <v>0</v>
      </c>
      <c r="O11" s="206">
        <f>'P &amp; NP'!CY488</f>
        <v>0</v>
      </c>
      <c r="P11" s="206">
        <f>'P &amp; NP'!CZ488</f>
        <v>0</v>
      </c>
      <c r="Q11" s="206">
        <f>'P &amp; NP'!DO488</f>
        <v>0</v>
      </c>
      <c r="R11" s="206">
        <f>'P &amp; NP'!DP488</f>
        <v>0</v>
      </c>
      <c r="S11" s="206">
        <f>'P &amp; NP'!EE488</f>
        <v>0</v>
      </c>
      <c r="T11" s="206">
        <f>'P &amp; NP'!EF488</f>
        <v>0</v>
      </c>
      <c r="U11" s="206">
        <f>'P &amp; NP'!EU488</f>
        <v>0</v>
      </c>
      <c r="V11" s="206">
        <f>'P &amp; NP'!EV488</f>
        <v>0</v>
      </c>
      <c r="W11" s="206">
        <f>'P &amp; NP'!FK488</f>
        <v>0</v>
      </c>
      <c r="X11" s="206">
        <f>'P &amp; NP'!FL488</f>
        <v>0</v>
      </c>
      <c r="Y11" s="206">
        <f>'P &amp; NP'!GA488</f>
        <v>0</v>
      </c>
      <c r="Z11" s="206">
        <f>'P &amp; NP'!GB488</f>
        <v>0</v>
      </c>
      <c r="AA11" s="206">
        <f>'P &amp; NP'!GQ488</f>
        <v>0</v>
      </c>
      <c r="AB11" s="206">
        <f>'P &amp; NP'!GR488</f>
        <v>0</v>
      </c>
      <c r="AC11" s="206">
        <f>'P &amp; NP'!HG488</f>
        <v>0</v>
      </c>
      <c r="AD11" s="206">
        <f>'P &amp; NP'!HH488</f>
        <v>0</v>
      </c>
      <c r="AE11" s="206">
        <f>'P &amp; NP'!HW488</f>
        <v>0</v>
      </c>
      <c r="AF11" s="206">
        <f>'P &amp; NP'!HX488</f>
        <v>0</v>
      </c>
      <c r="AG11" s="206">
        <f>'P &amp; NP'!IM488</f>
        <v>0</v>
      </c>
      <c r="AH11" s="206">
        <f>'P &amp; NP'!IN488</f>
        <v>0</v>
      </c>
      <c r="AI11" s="206">
        <f>'P &amp; NP'!JC488</f>
        <v>0</v>
      </c>
      <c r="AJ11" s="206">
        <f>'P &amp; NP'!JD488</f>
        <v>0</v>
      </c>
      <c r="AK11" s="206">
        <f>'P &amp; NP'!JS488</f>
        <v>0</v>
      </c>
      <c r="AL11" s="206">
        <f>'P &amp; NP'!JT488</f>
        <v>0</v>
      </c>
      <c r="AM11" s="206">
        <f>'P &amp; NP'!KI488</f>
        <v>0</v>
      </c>
      <c r="AN11" s="206">
        <f>'P &amp; NP'!KJ488</f>
        <v>0</v>
      </c>
      <c r="AO11" s="206">
        <f>'P &amp; NP'!KY488</f>
        <v>0</v>
      </c>
      <c r="AP11" s="206">
        <f>'P &amp; NP'!KZ488</f>
        <v>0</v>
      </c>
      <c r="AQ11" s="206">
        <f>'P &amp; NP'!LO488</f>
        <v>0</v>
      </c>
      <c r="AR11" s="206">
        <f>'P &amp; NP'!LP488</f>
        <v>0</v>
      </c>
      <c r="AS11" s="206">
        <f>'P &amp; NP'!ME488</f>
        <v>0</v>
      </c>
      <c r="AT11" s="206">
        <f>'P &amp; NP'!MF488</f>
        <v>0</v>
      </c>
      <c r="AU11" s="206">
        <f>'P &amp; NP'!MU488</f>
        <v>0</v>
      </c>
      <c r="AV11" s="206">
        <f>'P &amp; NP'!MV488</f>
        <v>0</v>
      </c>
      <c r="AW11" s="206">
        <f>'P &amp; NP'!NK488</f>
        <v>0</v>
      </c>
      <c r="AX11" s="206">
        <f>'P &amp; NP'!NL488</f>
        <v>0</v>
      </c>
      <c r="AY11" s="206">
        <f>'P &amp; NP'!OA488</f>
        <v>0</v>
      </c>
      <c r="AZ11" s="206">
        <f>'P &amp; NP'!OB488</f>
        <v>0</v>
      </c>
      <c r="BA11" s="206">
        <f>'P &amp; NP'!OQ488</f>
        <v>0</v>
      </c>
      <c r="BB11" s="206">
        <f>'P &amp; NP'!OR488</f>
        <v>0</v>
      </c>
      <c r="BC11" s="206">
        <f>'P &amp; NP'!PG488</f>
        <v>0</v>
      </c>
      <c r="BD11" s="206">
        <f>'P &amp; NP'!PH488</f>
        <v>0</v>
      </c>
      <c r="BE11" s="206">
        <f>'P &amp; NP'!PW488</f>
        <v>0</v>
      </c>
      <c r="BF11" s="206">
        <f>'P &amp; NP'!PX488</f>
        <v>0</v>
      </c>
      <c r="BG11" s="206">
        <f>'P &amp; NP'!QM488</f>
        <v>0</v>
      </c>
      <c r="BH11" s="206">
        <f>'P &amp; NP'!QN488</f>
        <v>0</v>
      </c>
      <c r="BI11" s="206">
        <f>'P &amp; NP'!RC488</f>
        <v>0</v>
      </c>
      <c r="BJ11" s="206">
        <f>'P &amp; NP'!RD488</f>
        <v>0</v>
      </c>
      <c r="BK11" s="206">
        <f>'P &amp; NP'!RS488</f>
        <v>0</v>
      </c>
      <c r="BL11" s="206">
        <f>'P &amp; NP'!RT488</f>
        <v>0</v>
      </c>
      <c r="BM11" s="206">
        <f>'P &amp; NP'!SI488</f>
        <v>0</v>
      </c>
      <c r="BN11" s="206">
        <f>'P &amp; NP'!SJ488</f>
        <v>0</v>
      </c>
      <c r="BO11" s="206">
        <f>'P &amp; NP'!SY488</f>
        <v>0</v>
      </c>
      <c r="BP11" s="206">
        <f>'P &amp; NP'!SZ488</f>
        <v>0</v>
      </c>
      <c r="BQ11" s="206">
        <f>'P &amp; NP'!TO488</f>
        <v>0</v>
      </c>
      <c r="BR11" s="206">
        <f>'P &amp; NP'!TP488</f>
        <v>0</v>
      </c>
      <c r="BS11" s="206">
        <f>'P &amp; NP'!UE488</f>
        <v>0</v>
      </c>
      <c r="BT11" s="206">
        <f>'P &amp; NP'!UF488</f>
        <v>0</v>
      </c>
      <c r="BU11" s="206">
        <f>'P &amp; NP'!UU488</f>
        <v>0</v>
      </c>
      <c r="BV11" s="206">
        <f>'P &amp; NP'!UV488</f>
        <v>0</v>
      </c>
      <c r="BW11" s="206">
        <f>'P &amp; NP'!VK488</f>
        <v>0</v>
      </c>
      <c r="BX11" s="206">
        <f>'P &amp; NP'!VL488</f>
        <v>0</v>
      </c>
      <c r="BY11" s="206">
        <f>'P &amp; NP'!WA488</f>
        <v>0</v>
      </c>
      <c r="BZ11" s="206">
        <f>'P &amp; NP'!WB488</f>
        <v>0</v>
      </c>
      <c r="CB11" s="206">
        <f t="shared" si="2"/>
        <v>0</v>
      </c>
      <c r="CC11" s="206">
        <f t="shared" si="3"/>
        <v>0</v>
      </c>
    </row>
    <row r="12" spans="1:81">
      <c r="B12" s="207" t="str">
        <f>'P &amp; NP'!B18</f>
        <v xml:space="preserve">Gabus </v>
      </c>
      <c r="C12" s="206">
        <f>'P &amp; NP'!G489</f>
        <v>0</v>
      </c>
      <c r="D12" s="206">
        <f>'P &amp; NP'!H489</f>
        <v>0</v>
      </c>
      <c r="E12" s="206">
        <f>'P &amp; NP'!W489</f>
        <v>0</v>
      </c>
      <c r="F12" s="206">
        <f>'P &amp; NP'!X489</f>
        <v>0</v>
      </c>
      <c r="G12" s="206">
        <f>'P &amp; NP'!AM489</f>
        <v>0</v>
      </c>
      <c r="H12" s="206">
        <f>'P &amp; NP'!AN489</f>
        <v>0</v>
      </c>
      <c r="I12" s="206">
        <f>'P &amp; NP'!BC489</f>
        <v>0</v>
      </c>
      <c r="J12" s="206">
        <f>'P &amp; NP'!BD489</f>
        <v>0</v>
      </c>
      <c r="K12" s="206">
        <f>'P &amp; NP'!BS489</f>
        <v>0</v>
      </c>
      <c r="L12" s="206">
        <f>'P &amp; NP'!BT489</f>
        <v>0</v>
      </c>
      <c r="M12" s="206">
        <f>'P &amp; NP'!CI489</f>
        <v>0</v>
      </c>
      <c r="N12" s="206">
        <f>'P &amp; NP'!CJ489</f>
        <v>0</v>
      </c>
      <c r="O12" s="206">
        <f>'P &amp; NP'!CY489</f>
        <v>0</v>
      </c>
      <c r="P12" s="206">
        <f>'P &amp; NP'!CZ489</f>
        <v>0</v>
      </c>
      <c r="Q12" s="206">
        <f>'P &amp; NP'!DO489</f>
        <v>0</v>
      </c>
      <c r="R12" s="206">
        <f>'P &amp; NP'!DP489</f>
        <v>0</v>
      </c>
      <c r="S12" s="206">
        <f>'P &amp; NP'!EE489</f>
        <v>0</v>
      </c>
      <c r="T12" s="206">
        <f>'P &amp; NP'!EF489</f>
        <v>0</v>
      </c>
      <c r="U12" s="206">
        <f>'P &amp; NP'!EU489</f>
        <v>0</v>
      </c>
      <c r="V12" s="206">
        <f>'P &amp; NP'!EV489</f>
        <v>0</v>
      </c>
      <c r="W12" s="206">
        <f>'P &amp; NP'!FK489</f>
        <v>0</v>
      </c>
      <c r="X12" s="206">
        <f>'P &amp; NP'!FL489</f>
        <v>0</v>
      </c>
      <c r="Y12" s="206">
        <f>'P &amp; NP'!GA489</f>
        <v>0</v>
      </c>
      <c r="Z12" s="206">
        <f>'P &amp; NP'!GB489</f>
        <v>0</v>
      </c>
      <c r="AA12" s="206">
        <f>'P &amp; NP'!GQ489</f>
        <v>0</v>
      </c>
      <c r="AB12" s="206">
        <f>'P &amp; NP'!GR489</f>
        <v>0</v>
      </c>
      <c r="AC12" s="206">
        <f>'P &amp; NP'!HG489</f>
        <v>0</v>
      </c>
      <c r="AD12" s="206">
        <f>'P &amp; NP'!HH489</f>
        <v>0</v>
      </c>
      <c r="AE12" s="206">
        <f>'P &amp; NP'!HW489</f>
        <v>0</v>
      </c>
      <c r="AF12" s="206">
        <f>'P &amp; NP'!HX489</f>
        <v>0</v>
      </c>
      <c r="AG12" s="206">
        <f>'P &amp; NP'!IM489</f>
        <v>0</v>
      </c>
      <c r="AH12" s="206">
        <f>'P &amp; NP'!IN489</f>
        <v>0</v>
      </c>
      <c r="AI12" s="206">
        <f>'P &amp; NP'!JC489</f>
        <v>0</v>
      </c>
      <c r="AJ12" s="206">
        <f>'P &amp; NP'!JD489</f>
        <v>0</v>
      </c>
      <c r="AK12" s="206">
        <f>'P &amp; NP'!JS489</f>
        <v>0</v>
      </c>
      <c r="AL12" s="206">
        <f>'P &amp; NP'!JT489</f>
        <v>0</v>
      </c>
      <c r="AM12" s="206">
        <f>'P &amp; NP'!KI489</f>
        <v>0</v>
      </c>
      <c r="AN12" s="206">
        <f>'P &amp; NP'!KJ489</f>
        <v>0</v>
      </c>
      <c r="AO12" s="206">
        <f>'P &amp; NP'!KY489</f>
        <v>0</v>
      </c>
      <c r="AP12" s="206">
        <f>'P &amp; NP'!KZ489</f>
        <v>0</v>
      </c>
      <c r="AQ12" s="206">
        <f>'P &amp; NP'!LO489</f>
        <v>0</v>
      </c>
      <c r="AR12" s="206">
        <f>'P &amp; NP'!LP489</f>
        <v>0</v>
      </c>
      <c r="AS12" s="206">
        <f>'P &amp; NP'!ME489</f>
        <v>0</v>
      </c>
      <c r="AT12" s="206">
        <f>'P &amp; NP'!MF489</f>
        <v>0</v>
      </c>
      <c r="AU12" s="206">
        <f>'P &amp; NP'!MU489</f>
        <v>0</v>
      </c>
      <c r="AV12" s="206">
        <f>'P &amp; NP'!MV489</f>
        <v>0</v>
      </c>
      <c r="AW12" s="206">
        <f>'P &amp; NP'!NK489</f>
        <v>0</v>
      </c>
      <c r="AX12" s="206">
        <f>'P &amp; NP'!NL489</f>
        <v>0</v>
      </c>
      <c r="AY12" s="206">
        <f>'P &amp; NP'!OA489</f>
        <v>0</v>
      </c>
      <c r="AZ12" s="206">
        <f>'P &amp; NP'!OB489</f>
        <v>0</v>
      </c>
      <c r="BA12" s="206">
        <f>'P &amp; NP'!OQ489</f>
        <v>0</v>
      </c>
      <c r="BB12" s="206">
        <f>'P &amp; NP'!OR489</f>
        <v>0</v>
      </c>
      <c r="BC12" s="206">
        <f>'P &amp; NP'!PG489</f>
        <v>0</v>
      </c>
      <c r="BD12" s="206">
        <f>'P &amp; NP'!PH489</f>
        <v>0</v>
      </c>
      <c r="BE12" s="206">
        <f>'P &amp; NP'!PW489</f>
        <v>0</v>
      </c>
      <c r="BF12" s="206">
        <f>'P &amp; NP'!PX489</f>
        <v>0</v>
      </c>
      <c r="BG12" s="206">
        <f>'P &amp; NP'!QM489</f>
        <v>0</v>
      </c>
      <c r="BH12" s="206">
        <f>'P &amp; NP'!QN489</f>
        <v>0</v>
      </c>
      <c r="BI12" s="206">
        <f>'P &amp; NP'!RC489</f>
        <v>0</v>
      </c>
      <c r="BJ12" s="206">
        <f>'P &amp; NP'!RD489</f>
        <v>0</v>
      </c>
      <c r="BK12" s="206">
        <f>'P &amp; NP'!RS489</f>
        <v>0</v>
      </c>
      <c r="BL12" s="206">
        <f>'P &amp; NP'!RT489</f>
        <v>0</v>
      </c>
      <c r="BM12" s="206">
        <f>'P &amp; NP'!SI489</f>
        <v>0</v>
      </c>
      <c r="BN12" s="206">
        <f>'P &amp; NP'!SJ489</f>
        <v>0</v>
      </c>
      <c r="BO12" s="206">
        <f>'P &amp; NP'!SY489</f>
        <v>0</v>
      </c>
      <c r="BP12" s="206">
        <f>'P &amp; NP'!SZ489</f>
        <v>0</v>
      </c>
      <c r="BQ12" s="206">
        <f>'P &amp; NP'!TO489</f>
        <v>0</v>
      </c>
      <c r="BR12" s="206">
        <f>'P &amp; NP'!TP489</f>
        <v>0</v>
      </c>
      <c r="BS12" s="206">
        <f>'P &amp; NP'!UE489</f>
        <v>0</v>
      </c>
      <c r="BT12" s="206">
        <f>'P &amp; NP'!UF489</f>
        <v>0</v>
      </c>
      <c r="BU12" s="206">
        <f>'P &amp; NP'!UU489</f>
        <v>0</v>
      </c>
      <c r="BV12" s="206">
        <f>'P &amp; NP'!UV489</f>
        <v>0</v>
      </c>
      <c r="BW12" s="206">
        <f>'P &amp; NP'!VK489</f>
        <v>0</v>
      </c>
      <c r="BX12" s="206">
        <f>'P &amp; NP'!VL489</f>
        <v>0</v>
      </c>
      <c r="BY12" s="206">
        <f>'P &amp; NP'!WA489</f>
        <v>0</v>
      </c>
      <c r="BZ12" s="206">
        <f>'P &amp; NP'!WB489</f>
        <v>0</v>
      </c>
      <c r="CB12" s="206">
        <f t="shared" si="2"/>
        <v>0</v>
      </c>
      <c r="CC12" s="206">
        <f t="shared" si="3"/>
        <v>0</v>
      </c>
    </row>
    <row r="13" spans="1:81">
      <c r="B13" s="207" t="str">
        <f>'P &amp; NP'!B19</f>
        <v xml:space="preserve">Gracilaria verrucosa </v>
      </c>
      <c r="C13" s="206">
        <f>'P &amp; NP'!G490</f>
        <v>0</v>
      </c>
      <c r="D13" s="206">
        <f>'P &amp; NP'!H490</f>
        <v>0</v>
      </c>
      <c r="E13" s="206">
        <f>'P &amp; NP'!W490</f>
        <v>0</v>
      </c>
      <c r="F13" s="206">
        <f>'P &amp; NP'!X490</f>
        <v>0</v>
      </c>
      <c r="G13" s="206">
        <f>'P &amp; NP'!AM490</f>
        <v>0</v>
      </c>
      <c r="H13" s="206">
        <f>'P &amp; NP'!AN490</f>
        <v>0</v>
      </c>
      <c r="I13" s="206">
        <f>'P &amp; NP'!BC490</f>
        <v>0</v>
      </c>
      <c r="J13" s="206">
        <f>'P &amp; NP'!BD490</f>
        <v>0</v>
      </c>
      <c r="K13" s="206">
        <f>'P &amp; NP'!BS490</f>
        <v>0</v>
      </c>
      <c r="L13" s="206">
        <f>'P &amp; NP'!BT490</f>
        <v>0</v>
      </c>
      <c r="M13" s="206">
        <f>'P &amp; NP'!CI490</f>
        <v>0</v>
      </c>
      <c r="N13" s="206">
        <f>'P &amp; NP'!CJ490</f>
        <v>0</v>
      </c>
      <c r="O13" s="206">
        <f>'P &amp; NP'!CY490</f>
        <v>0</v>
      </c>
      <c r="P13" s="206">
        <f>'P &amp; NP'!CZ490</f>
        <v>0</v>
      </c>
      <c r="Q13" s="206">
        <f>'P &amp; NP'!DO490</f>
        <v>0</v>
      </c>
      <c r="R13" s="206">
        <f>'P &amp; NP'!DP490</f>
        <v>0</v>
      </c>
      <c r="S13" s="206">
        <f>'P &amp; NP'!EE490</f>
        <v>0</v>
      </c>
      <c r="T13" s="206">
        <f>'P &amp; NP'!EF490</f>
        <v>0</v>
      </c>
      <c r="U13" s="206">
        <f>'P &amp; NP'!EU490</f>
        <v>0</v>
      </c>
      <c r="V13" s="206">
        <f>'P &amp; NP'!EV490</f>
        <v>0</v>
      </c>
      <c r="W13" s="206">
        <f>'P &amp; NP'!FK490</f>
        <v>0</v>
      </c>
      <c r="X13" s="206">
        <f>'P &amp; NP'!FL490</f>
        <v>0</v>
      </c>
      <c r="Y13" s="206">
        <f>'P &amp; NP'!GA490</f>
        <v>0</v>
      </c>
      <c r="Z13" s="206">
        <f>'P &amp; NP'!GB490</f>
        <v>0</v>
      </c>
      <c r="AA13" s="206">
        <f>'P &amp; NP'!GQ490</f>
        <v>0</v>
      </c>
      <c r="AB13" s="206">
        <f>'P &amp; NP'!GR490</f>
        <v>0</v>
      </c>
      <c r="AC13" s="206">
        <f>'P &amp; NP'!HG490</f>
        <v>0</v>
      </c>
      <c r="AD13" s="206">
        <f>'P &amp; NP'!HH490</f>
        <v>0</v>
      </c>
      <c r="AE13" s="206">
        <f>'P &amp; NP'!HW490</f>
        <v>0</v>
      </c>
      <c r="AF13" s="206">
        <f>'P &amp; NP'!HX490</f>
        <v>0</v>
      </c>
      <c r="AG13" s="206">
        <f>'P &amp; NP'!IM490</f>
        <v>0</v>
      </c>
      <c r="AH13" s="206">
        <f>'P &amp; NP'!IN490</f>
        <v>0</v>
      </c>
      <c r="AI13" s="206">
        <f>'P &amp; NP'!JC490</f>
        <v>0</v>
      </c>
      <c r="AJ13" s="206">
        <f>'P &amp; NP'!JD490</f>
        <v>0</v>
      </c>
      <c r="AK13" s="206">
        <f>'P &amp; NP'!JS490</f>
        <v>0</v>
      </c>
      <c r="AL13" s="206">
        <f>'P &amp; NP'!JT490</f>
        <v>0</v>
      </c>
      <c r="AM13" s="206">
        <f>'P &amp; NP'!KI490</f>
        <v>0</v>
      </c>
      <c r="AN13" s="206">
        <f>'P &amp; NP'!KJ490</f>
        <v>0</v>
      </c>
      <c r="AO13" s="206">
        <f>'P &amp; NP'!KY490</f>
        <v>0</v>
      </c>
      <c r="AP13" s="206">
        <f>'P &amp; NP'!KZ490</f>
        <v>0</v>
      </c>
      <c r="AQ13" s="206">
        <f>'P &amp; NP'!LO490</f>
        <v>0</v>
      </c>
      <c r="AR13" s="206">
        <f>'P &amp; NP'!LP490</f>
        <v>0</v>
      </c>
      <c r="AS13" s="206">
        <f>'P &amp; NP'!ME490</f>
        <v>0</v>
      </c>
      <c r="AT13" s="206">
        <f>'P &amp; NP'!MF490</f>
        <v>0</v>
      </c>
      <c r="AU13" s="206">
        <f>'P &amp; NP'!MU490</f>
        <v>0</v>
      </c>
      <c r="AV13" s="206">
        <f>'P &amp; NP'!MV490</f>
        <v>0</v>
      </c>
      <c r="AW13" s="206">
        <f>'P &amp; NP'!NK490</f>
        <v>0</v>
      </c>
      <c r="AX13" s="206">
        <f>'P &amp; NP'!NL490</f>
        <v>0</v>
      </c>
      <c r="AY13" s="206">
        <f>'P &amp; NP'!OA490</f>
        <v>0</v>
      </c>
      <c r="AZ13" s="206">
        <f>'P &amp; NP'!OB490</f>
        <v>0</v>
      </c>
      <c r="BA13" s="206">
        <f>'P &amp; NP'!OQ490</f>
        <v>0</v>
      </c>
      <c r="BB13" s="206">
        <f>'P &amp; NP'!OR490</f>
        <v>0</v>
      </c>
      <c r="BC13" s="206">
        <f>'P &amp; NP'!PG490</f>
        <v>0</v>
      </c>
      <c r="BD13" s="206">
        <f>'P &amp; NP'!PH490</f>
        <v>0</v>
      </c>
      <c r="BE13" s="206">
        <f>'P &amp; NP'!PW490</f>
        <v>0</v>
      </c>
      <c r="BF13" s="206">
        <f>'P &amp; NP'!PX490</f>
        <v>0</v>
      </c>
      <c r="BG13" s="206">
        <f>'P &amp; NP'!QM490</f>
        <v>0</v>
      </c>
      <c r="BH13" s="206">
        <f>'P &amp; NP'!QN490</f>
        <v>0</v>
      </c>
      <c r="BI13" s="206">
        <f>'P &amp; NP'!RC490</f>
        <v>0</v>
      </c>
      <c r="BJ13" s="206">
        <f>'P &amp; NP'!RD490</f>
        <v>0</v>
      </c>
      <c r="BK13" s="206">
        <f>'P &amp; NP'!RS490</f>
        <v>0</v>
      </c>
      <c r="BL13" s="206">
        <f>'P &amp; NP'!RT490</f>
        <v>0</v>
      </c>
      <c r="BM13" s="206">
        <f>'P &amp; NP'!SI490</f>
        <v>0</v>
      </c>
      <c r="BN13" s="206">
        <f>'P &amp; NP'!SJ490</f>
        <v>0</v>
      </c>
      <c r="BO13" s="206">
        <f>'P &amp; NP'!SY490</f>
        <v>0</v>
      </c>
      <c r="BP13" s="206">
        <f>'P &amp; NP'!SZ490</f>
        <v>0</v>
      </c>
      <c r="BQ13" s="206">
        <f>'P &amp; NP'!TO490</f>
        <v>0</v>
      </c>
      <c r="BR13" s="206">
        <f>'P &amp; NP'!TP490</f>
        <v>0</v>
      </c>
      <c r="BS13" s="206">
        <f>'P &amp; NP'!UE490</f>
        <v>0</v>
      </c>
      <c r="BT13" s="206">
        <f>'P &amp; NP'!UF490</f>
        <v>0</v>
      </c>
      <c r="BU13" s="206">
        <f>'P &amp; NP'!UU490</f>
        <v>0</v>
      </c>
      <c r="BV13" s="206">
        <f>'P &amp; NP'!UV490</f>
        <v>0</v>
      </c>
      <c r="BW13" s="206">
        <f>'P &amp; NP'!VK490</f>
        <v>0</v>
      </c>
      <c r="BX13" s="206">
        <f>'P &amp; NP'!VL490</f>
        <v>0</v>
      </c>
      <c r="BY13" s="206">
        <f>'P &amp; NP'!WA490</f>
        <v>0</v>
      </c>
      <c r="BZ13" s="206">
        <f>'P &amp; NP'!WB490</f>
        <v>0</v>
      </c>
      <c r="CB13" s="206">
        <f t="shared" si="2"/>
        <v>0</v>
      </c>
      <c r="CC13" s="206">
        <f t="shared" si="3"/>
        <v>0</v>
      </c>
    </row>
    <row r="14" spans="1:81">
      <c r="B14" s="207" t="str">
        <f>'P &amp; NP'!B20</f>
        <v xml:space="preserve">Gurame, Gurami </v>
      </c>
      <c r="C14" s="206">
        <f>'P &amp; NP'!G491</f>
        <v>0</v>
      </c>
      <c r="D14" s="206">
        <f>'P &amp; NP'!H491</f>
        <v>0</v>
      </c>
      <c r="E14" s="206">
        <f>'P &amp; NP'!W491</f>
        <v>0</v>
      </c>
      <c r="F14" s="206">
        <f>'P &amp; NP'!X491</f>
        <v>0</v>
      </c>
      <c r="G14" s="206">
        <f>'P &amp; NP'!AM491</f>
        <v>0</v>
      </c>
      <c r="H14" s="206">
        <f>'P &amp; NP'!AN491</f>
        <v>0</v>
      </c>
      <c r="I14" s="206">
        <f>'P &amp; NP'!BC491</f>
        <v>0</v>
      </c>
      <c r="J14" s="206">
        <f>'P &amp; NP'!BD491</f>
        <v>0</v>
      </c>
      <c r="K14" s="206">
        <f>'P &amp; NP'!BS491</f>
        <v>0</v>
      </c>
      <c r="L14" s="206">
        <f>'P &amp; NP'!BT491</f>
        <v>0</v>
      </c>
      <c r="M14" s="206">
        <f>'P &amp; NP'!CI491</f>
        <v>0</v>
      </c>
      <c r="N14" s="206">
        <f>'P &amp; NP'!CJ491</f>
        <v>0</v>
      </c>
      <c r="O14" s="206">
        <f>'P &amp; NP'!CY491</f>
        <v>0</v>
      </c>
      <c r="P14" s="206">
        <f>'P &amp; NP'!CZ491</f>
        <v>0</v>
      </c>
      <c r="Q14" s="206">
        <f>'P &amp; NP'!DO491</f>
        <v>0</v>
      </c>
      <c r="R14" s="206">
        <f>'P &amp; NP'!DP491</f>
        <v>0</v>
      </c>
      <c r="S14" s="206">
        <f>'P &amp; NP'!EE491</f>
        <v>0</v>
      </c>
      <c r="T14" s="206">
        <f>'P &amp; NP'!EF491</f>
        <v>0</v>
      </c>
      <c r="U14" s="206">
        <f>'P &amp; NP'!EU491</f>
        <v>0</v>
      </c>
      <c r="V14" s="206">
        <f>'P &amp; NP'!EV491</f>
        <v>0</v>
      </c>
      <c r="W14" s="206">
        <f>'P &amp; NP'!FK491</f>
        <v>0</v>
      </c>
      <c r="X14" s="206">
        <f>'P &amp; NP'!FL491</f>
        <v>0</v>
      </c>
      <c r="Y14" s="206">
        <f>'P &amp; NP'!GA491</f>
        <v>0</v>
      </c>
      <c r="Z14" s="206">
        <f>'P &amp; NP'!GB491</f>
        <v>0</v>
      </c>
      <c r="AA14" s="206">
        <f>'P &amp; NP'!GQ491</f>
        <v>0</v>
      </c>
      <c r="AB14" s="206">
        <f>'P &amp; NP'!GR491</f>
        <v>0</v>
      </c>
      <c r="AC14" s="206">
        <f>'P &amp; NP'!HG491</f>
        <v>0</v>
      </c>
      <c r="AD14" s="206">
        <f>'P &amp; NP'!HH491</f>
        <v>0</v>
      </c>
      <c r="AE14" s="206">
        <f>'P &amp; NP'!HW491</f>
        <v>0</v>
      </c>
      <c r="AF14" s="206">
        <f>'P &amp; NP'!HX491</f>
        <v>0</v>
      </c>
      <c r="AG14" s="206">
        <f>'P &amp; NP'!IM491</f>
        <v>0</v>
      </c>
      <c r="AH14" s="206">
        <f>'P &amp; NP'!IN491</f>
        <v>0</v>
      </c>
      <c r="AI14" s="206">
        <f>'P &amp; NP'!JC491</f>
        <v>0</v>
      </c>
      <c r="AJ14" s="206">
        <f>'P &amp; NP'!JD491</f>
        <v>0</v>
      </c>
      <c r="AK14" s="206">
        <f>'P &amp; NP'!JS491</f>
        <v>0</v>
      </c>
      <c r="AL14" s="206">
        <f>'P &amp; NP'!JT491</f>
        <v>0</v>
      </c>
      <c r="AM14" s="206">
        <f>'P &amp; NP'!KI491</f>
        <v>0</v>
      </c>
      <c r="AN14" s="206">
        <f>'P &amp; NP'!KJ491</f>
        <v>0</v>
      </c>
      <c r="AO14" s="206">
        <f>'P &amp; NP'!KY491</f>
        <v>0</v>
      </c>
      <c r="AP14" s="206">
        <f>'P &amp; NP'!KZ491</f>
        <v>0</v>
      </c>
      <c r="AQ14" s="206">
        <f>'P &amp; NP'!LO491</f>
        <v>0</v>
      </c>
      <c r="AR14" s="206">
        <f>'P &amp; NP'!LP491</f>
        <v>0</v>
      </c>
      <c r="AS14" s="206">
        <f>'P &amp; NP'!ME491</f>
        <v>0</v>
      </c>
      <c r="AT14" s="206">
        <f>'P &amp; NP'!MF491</f>
        <v>0</v>
      </c>
      <c r="AU14" s="206">
        <f>'P &amp; NP'!MU491</f>
        <v>0</v>
      </c>
      <c r="AV14" s="206">
        <f>'P &amp; NP'!MV491</f>
        <v>0</v>
      </c>
      <c r="AW14" s="206">
        <f>'P &amp; NP'!NK491</f>
        <v>0</v>
      </c>
      <c r="AX14" s="206">
        <f>'P &amp; NP'!NL491</f>
        <v>0</v>
      </c>
      <c r="AY14" s="206">
        <f>'P &amp; NP'!OA491</f>
        <v>0</v>
      </c>
      <c r="AZ14" s="206">
        <f>'P &amp; NP'!OB491</f>
        <v>0</v>
      </c>
      <c r="BA14" s="206">
        <f>'P &amp; NP'!OQ491</f>
        <v>0</v>
      </c>
      <c r="BB14" s="206">
        <f>'P &amp; NP'!OR491</f>
        <v>0</v>
      </c>
      <c r="BC14" s="206">
        <f>'P &amp; NP'!PG491</f>
        <v>0</v>
      </c>
      <c r="BD14" s="206">
        <f>'P &amp; NP'!PH491</f>
        <v>0</v>
      </c>
      <c r="BE14" s="206">
        <f>'P &amp; NP'!PW491</f>
        <v>0</v>
      </c>
      <c r="BF14" s="206">
        <f>'P &amp; NP'!PX491</f>
        <v>0</v>
      </c>
      <c r="BG14" s="206">
        <f>'P &amp; NP'!QM491</f>
        <v>0</v>
      </c>
      <c r="BH14" s="206">
        <f>'P &amp; NP'!QN491</f>
        <v>0</v>
      </c>
      <c r="BI14" s="206">
        <f>'P &amp; NP'!RC491</f>
        <v>0</v>
      </c>
      <c r="BJ14" s="206">
        <f>'P &amp; NP'!RD491</f>
        <v>0</v>
      </c>
      <c r="BK14" s="206">
        <f>'P &amp; NP'!RS491</f>
        <v>0</v>
      </c>
      <c r="BL14" s="206">
        <f>'P &amp; NP'!RT491</f>
        <v>0</v>
      </c>
      <c r="BM14" s="206">
        <f>'P &amp; NP'!SI491</f>
        <v>0</v>
      </c>
      <c r="BN14" s="206">
        <f>'P &amp; NP'!SJ491</f>
        <v>0</v>
      </c>
      <c r="BO14" s="206">
        <f>'P &amp; NP'!SY491</f>
        <v>0</v>
      </c>
      <c r="BP14" s="206">
        <f>'P &amp; NP'!SZ491</f>
        <v>0</v>
      </c>
      <c r="BQ14" s="206">
        <f>'P &amp; NP'!TO491</f>
        <v>0</v>
      </c>
      <c r="BR14" s="206">
        <f>'P &amp; NP'!TP491</f>
        <v>0</v>
      </c>
      <c r="BS14" s="206">
        <f>'P &amp; NP'!UE491</f>
        <v>0</v>
      </c>
      <c r="BT14" s="206">
        <f>'P &amp; NP'!UF491</f>
        <v>0</v>
      </c>
      <c r="BU14" s="206">
        <f>'P &amp; NP'!UU491</f>
        <v>0</v>
      </c>
      <c r="BV14" s="206">
        <f>'P &amp; NP'!UV491</f>
        <v>0</v>
      </c>
      <c r="BW14" s="206">
        <f>'P &amp; NP'!VK491</f>
        <v>0</v>
      </c>
      <c r="BX14" s="206">
        <f>'P &amp; NP'!VL491</f>
        <v>0</v>
      </c>
      <c r="BY14" s="206">
        <f>'P &amp; NP'!WA491</f>
        <v>0</v>
      </c>
      <c r="BZ14" s="206">
        <f>'P &amp; NP'!WB491</f>
        <v>0</v>
      </c>
      <c r="CB14" s="206">
        <f t="shared" si="2"/>
        <v>0</v>
      </c>
      <c r="CC14" s="206">
        <f t="shared" si="3"/>
        <v>0</v>
      </c>
    </row>
    <row r="15" spans="1:81">
      <c r="B15" s="207" t="str">
        <f>'P &amp; NP'!B21</f>
        <v>Kakap Putih</v>
      </c>
      <c r="C15" s="206">
        <f>'P &amp; NP'!G492</f>
        <v>0</v>
      </c>
      <c r="D15" s="206">
        <f>'P &amp; NP'!H492</f>
        <v>0</v>
      </c>
      <c r="E15" s="206">
        <f>'P &amp; NP'!W492</f>
        <v>0</v>
      </c>
      <c r="F15" s="206">
        <f>'P &amp; NP'!X492</f>
        <v>0</v>
      </c>
      <c r="G15" s="206">
        <f>'P &amp; NP'!AM492</f>
        <v>0</v>
      </c>
      <c r="H15" s="206">
        <f>'P &amp; NP'!AN492</f>
        <v>0</v>
      </c>
      <c r="I15" s="206">
        <f>'P &amp; NP'!BC492</f>
        <v>0</v>
      </c>
      <c r="J15" s="206">
        <f>'P &amp; NP'!BD492</f>
        <v>0</v>
      </c>
      <c r="K15" s="206">
        <f>'P &amp; NP'!BS492</f>
        <v>0</v>
      </c>
      <c r="L15" s="206">
        <f>'P &amp; NP'!BT492</f>
        <v>0</v>
      </c>
      <c r="M15" s="206">
        <f>'P &amp; NP'!CI492</f>
        <v>0</v>
      </c>
      <c r="N15" s="206">
        <f>'P &amp; NP'!CJ492</f>
        <v>0</v>
      </c>
      <c r="O15" s="206">
        <f>'P &amp; NP'!CY492</f>
        <v>0</v>
      </c>
      <c r="P15" s="206">
        <f>'P &amp; NP'!CZ492</f>
        <v>0</v>
      </c>
      <c r="Q15" s="206">
        <f>'P &amp; NP'!DO492</f>
        <v>0</v>
      </c>
      <c r="R15" s="206">
        <f>'P &amp; NP'!DP492</f>
        <v>0</v>
      </c>
      <c r="S15" s="206">
        <f>'P &amp; NP'!EE492</f>
        <v>0</v>
      </c>
      <c r="T15" s="206">
        <f>'P &amp; NP'!EF492</f>
        <v>0</v>
      </c>
      <c r="U15" s="206">
        <f>'P &amp; NP'!EU492</f>
        <v>0</v>
      </c>
      <c r="V15" s="206">
        <f>'P &amp; NP'!EV492</f>
        <v>0</v>
      </c>
      <c r="W15" s="206">
        <f>'P &amp; NP'!FK492</f>
        <v>0</v>
      </c>
      <c r="X15" s="206">
        <f>'P &amp; NP'!FL492</f>
        <v>0</v>
      </c>
      <c r="Y15" s="206">
        <f>'P &amp; NP'!GA492</f>
        <v>0</v>
      </c>
      <c r="Z15" s="206">
        <f>'P &amp; NP'!GB492</f>
        <v>0</v>
      </c>
      <c r="AA15" s="206">
        <f>'P &amp; NP'!GQ492</f>
        <v>0</v>
      </c>
      <c r="AB15" s="206">
        <f>'P &amp; NP'!GR492</f>
        <v>0</v>
      </c>
      <c r="AC15" s="206">
        <f>'P &amp; NP'!HG492</f>
        <v>0</v>
      </c>
      <c r="AD15" s="206">
        <f>'P &amp; NP'!HH492</f>
        <v>0</v>
      </c>
      <c r="AE15" s="206">
        <f>'P &amp; NP'!HW492</f>
        <v>0</v>
      </c>
      <c r="AF15" s="206">
        <f>'P &amp; NP'!HX492</f>
        <v>0</v>
      </c>
      <c r="AG15" s="206">
        <f>'P &amp; NP'!IM492</f>
        <v>0</v>
      </c>
      <c r="AH15" s="206">
        <f>'P &amp; NP'!IN492</f>
        <v>0</v>
      </c>
      <c r="AI15" s="206">
        <f>'P &amp; NP'!JC492</f>
        <v>0</v>
      </c>
      <c r="AJ15" s="206">
        <f>'P &amp; NP'!JD492</f>
        <v>0</v>
      </c>
      <c r="AK15" s="206">
        <f>'P &amp; NP'!JS492</f>
        <v>0</v>
      </c>
      <c r="AL15" s="206">
        <f>'P &amp; NP'!JT492</f>
        <v>0</v>
      </c>
      <c r="AM15" s="206">
        <f>'P &amp; NP'!KI492</f>
        <v>0</v>
      </c>
      <c r="AN15" s="206">
        <f>'P &amp; NP'!KJ492</f>
        <v>0</v>
      </c>
      <c r="AO15" s="206">
        <f>'P &amp; NP'!KY492</f>
        <v>0</v>
      </c>
      <c r="AP15" s="206">
        <f>'P &amp; NP'!KZ492</f>
        <v>0</v>
      </c>
      <c r="AQ15" s="206">
        <f>'P &amp; NP'!LO492</f>
        <v>0</v>
      </c>
      <c r="AR15" s="206">
        <f>'P &amp; NP'!LP492</f>
        <v>0</v>
      </c>
      <c r="AS15" s="206">
        <f>'P &amp; NP'!ME492</f>
        <v>0</v>
      </c>
      <c r="AT15" s="206">
        <f>'P &amp; NP'!MF492</f>
        <v>0</v>
      </c>
      <c r="AU15" s="206">
        <f>'P &amp; NP'!MU492</f>
        <v>0</v>
      </c>
      <c r="AV15" s="206">
        <f>'P &amp; NP'!MV492</f>
        <v>0</v>
      </c>
      <c r="AW15" s="206">
        <f>'P &amp; NP'!NK492</f>
        <v>0</v>
      </c>
      <c r="AX15" s="206">
        <f>'P &amp; NP'!NL492</f>
        <v>0</v>
      </c>
      <c r="AY15" s="206">
        <f>'P &amp; NP'!OA492</f>
        <v>0</v>
      </c>
      <c r="AZ15" s="206">
        <f>'P &amp; NP'!OB492</f>
        <v>0</v>
      </c>
      <c r="BA15" s="206">
        <f>'P &amp; NP'!OQ492</f>
        <v>0</v>
      </c>
      <c r="BB15" s="206">
        <f>'P &amp; NP'!OR492</f>
        <v>0</v>
      </c>
      <c r="BC15" s="206">
        <f>'P &amp; NP'!PG492</f>
        <v>0</v>
      </c>
      <c r="BD15" s="206">
        <f>'P &amp; NP'!PH492</f>
        <v>0</v>
      </c>
      <c r="BE15" s="206">
        <f>'P &amp; NP'!PW492</f>
        <v>0</v>
      </c>
      <c r="BF15" s="206">
        <f>'P &amp; NP'!PX492</f>
        <v>0</v>
      </c>
      <c r="BG15" s="206">
        <f>'P &amp; NP'!QM492</f>
        <v>0</v>
      </c>
      <c r="BH15" s="206">
        <f>'P &amp; NP'!QN492</f>
        <v>0</v>
      </c>
      <c r="BI15" s="206">
        <f>'P &amp; NP'!RC492</f>
        <v>0</v>
      </c>
      <c r="BJ15" s="206">
        <f>'P &amp; NP'!RD492</f>
        <v>0</v>
      </c>
      <c r="BK15" s="206">
        <f>'P &amp; NP'!RS492</f>
        <v>0</v>
      </c>
      <c r="BL15" s="206">
        <f>'P &amp; NP'!RT492</f>
        <v>0</v>
      </c>
      <c r="BM15" s="206">
        <f>'P &amp; NP'!SI492</f>
        <v>0</v>
      </c>
      <c r="BN15" s="206">
        <f>'P &amp; NP'!SJ492</f>
        <v>0</v>
      </c>
      <c r="BO15" s="206">
        <f>'P &amp; NP'!SY492</f>
        <v>0</v>
      </c>
      <c r="BP15" s="206">
        <f>'P &amp; NP'!SZ492</f>
        <v>0</v>
      </c>
      <c r="BQ15" s="206">
        <f>'P &amp; NP'!TO492</f>
        <v>0</v>
      </c>
      <c r="BR15" s="206">
        <f>'P &amp; NP'!TP492</f>
        <v>0</v>
      </c>
      <c r="BS15" s="206">
        <f>'P &amp; NP'!UE492</f>
        <v>0</v>
      </c>
      <c r="BT15" s="206">
        <f>'P &amp; NP'!UF492</f>
        <v>0</v>
      </c>
      <c r="BU15" s="206">
        <f>'P &amp; NP'!UU492</f>
        <v>0</v>
      </c>
      <c r="BV15" s="206">
        <f>'P &amp; NP'!UV492</f>
        <v>0</v>
      </c>
      <c r="BW15" s="206">
        <f>'P &amp; NP'!VK492</f>
        <v>0</v>
      </c>
      <c r="BX15" s="206">
        <f>'P &amp; NP'!VL492</f>
        <v>0</v>
      </c>
      <c r="BY15" s="206">
        <f>'P &amp; NP'!WA492</f>
        <v>0</v>
      </c>
      <c r="BZ15" s="206">
        <f>'P &amp; NP'!WB492</f>
        <v>0</v>
      </c>
      <c r="CB15" s="206">
        <f t="shared" si="2"/>
        <v>0</v>
      </c>
      <c r="CC15" s="206">
        <f t="shared" si="3"/>
        <v>0</v>
      </c>
    </row>
    <row r="16" spans="1:81">
      <c r="B16" s="207" t="str">
        <f>'P &amp; NP'!B22</f>
        <v>Kepiting  Bakau</v>
      </c>
      <c r="C16" s="206">
        <f>'P &amp; NP'!G493</f>
        <v>0</v>
      </c>
      <c r="D16" s="206">
        <f>'P &amp; NP'!H493</f>
        <v>0</v>
      </c>
      <c r="E16" s="206">
        <f>'P &amp; NP'!W493</f>
        <v>0</v>
      </c>
      <c r="F16" s="206">
        <f>'P &amp; NP'!X493</f>
        <v>0</v>
      </c>
      <c r="G16" s="206">
        <f>'P &amp; NP'!AM493</f>
        <v>0</v>
      </c>
      <c r="H16" s="206">
        <f>'P &amp; NP'!AN493</f>
        <v>0</v>
      </c>
      <c r="I16" s="206">
        <f>'P &amp; NP'!BC493</f>
        <v>0</v>
      </c>
      <c r="J16" s="206">
        <f>'P &amp; NP'!BD493</f>
        <v>0</v>
      </c>
      <c r="K16" s="206">
        <f>'P &amp; NP'!BS493</f>
        <v>0</v>
      </c>
      <c r="L16" s="206">
        <f>'P &amp; NP'!BT493</f>
        <v>0</v>
      </c>
      <c r="M16" s="206">
        <f>'P &amp; NP'!CI493</f>
        <v>0</v>
      </c>
      <c r="N16" s="206">
        <f>'P &amp; NP'!CJ493</f>
        <v>0</v>
      </c>
      <c r="O16" s="206">
        <f>'P &amp; NP'!CY493</f>
        <v>0</v>
      </c>
      <c r="P16" s="206">
        <f>'P &amp; NP'!CZ493</f>
        <v>0</v>
      </c>
      <c r="Q16" s="206">
        <f>'P &amp; NP'!DO493</f>
        <v>0</v>
      </c>
      <c r="R16" s="206">
        <f>'P &amp; NP'!DP493</f>
        <v>0</v>
      </c>
      <c r="S16" s="206">
        <f>'P &amp; NP'!EE493</f>
        <v>0</v>
      </c>
      <c r="T16" s="206">
        <f>'P &amp; NP'!EF493</f>
        <v>0</v>
      </c>
      <c r="U16" s="206">
        <f>'P &amp; NP'!EU493</f>
        <v>0</v>
      </c>
      <c r="V16" s="206">
        <f>'P &amp; NP'!EV493</f>
        <v>0</v>
      </c>
      <c r="W16" s="206">
        <f>'P &amp; NP'!FK493</f>
        <v>0</v>
      </c>
      <c r="X16" s="206">
        <f>'P &amp; NP'!FL493</f>
        <v>0</v>
      </c>
      <c r="Y16" s="206">
        <f>'P &amp; NP'!GA493</f>
        <v>0</v>
      </c>
      <c r="Z16" s="206">
        <f>'P &amp; NP'!GB493</f>
        <v>0</v>
      </c>
      <c r="AA16" s="206">
        <f>'P &amp; NP'!GQ493</f>
        <v>0</v>
      </c>
      <c r="AB16" s="206">
        <f>'P &amp; NP'!GR493</f>
        <v>0</v>
      </c>
      <c r="AC16" s="206">
        <f>'P &amp; NP'!HG493</f>
        <v>0</v>
      </c>
      <c r="AD16" s="206">
        <f>'P &amp; NP'!HH493</f>
        <v>0</v>
      </c>
      <c r="AE16" s="206">
        <f>'P &amp; NP'!HW493</f>
        <v>0</v>
      </c>
      <c r="AF16" s="206">
        <f>'P &amp; NP'!HX493</f>
        <v>0</v>
      </c>
      <c r="AG16" s="206">
        <f>'P &amp; NP'!IM493</f>
        <v>0</v>
      </c>
      <c r="AH16" s="206">
        <f>'P &amp; NP'!IN493</f>
        <v>0</v>
      </c>
      <c r="AI16" s="206">
        <f>'P &amp; NP'!JC493</f>
        <v>0</v>
      </c>
      <c r="AJ16" s="206">
        <f>'P &amp; NP'!JD493</f>
        <v>0</v>
      </c>
      <c r="AK16" s="206">
        <f>'P &amp; NP'!JS493</f>
        <v>0</v>
      </c>
      <c r="AL16" s="206">
        <f>'P &amp; NP'!JT493</f>
        <v>0</v>
      </c>
      <c r="AM16" s="206">
        <f>'P &amp; NP'!KI493</f>
        <v>0</v>
      </c>
      <c r="AN16" s="206">
        <f>'P &amp; NP'!KJ493</f>
        <v>0</v>
      </c>
      <c r="AO16" s="206">
        <f>'P &amp; NP'!KY493</f>
        <v>0</v>
      </c>
      <c r="AP16" s="206">
        <f>'P &amp; NP'!KZ493</f>
        <v>0</v>
      </c>
      <c r="AQ16" s="206">
        <f>'P &amp; NP'!LO493</f>
        <v>0</v>
      </c>
      <c r="AR16" s="206">
        <f>'P &amp; NP'!LP493</f>
        <v>0</v>
      </c>
      <c r="AS16" s="206">
        <f>'P &amp; NP'!ME493</f>
        <v>0</v>
      </c>
      <c r="AT16" s="206">
        <f>'P &amp; NP'!MF493</f>
        <v>0</v>
      </c>
      <c r="AU16" s="206">
        <f>'P &amp; NP'!MU493</f>
        <v>0</v>
      </c>
      <c r="AV16" s="206">
        <f>'P &amp; NP'!MV493</f>
        <v>0</v>
      </c>
      <c r="AW16" s="206">
        <f>'P &amp; NP'!NK493</f>
        <v>0</v>
      </c>
      <c r="AX16" s="206">
        <f>'P &amp; NP'!NL493</f>
        <v>0</v>
      </c>
      <c r="AY16" s="206">
        <f>'P &amp; NP'!OA493</f>
        <v>0</v>
      </c>
      <c r="AZ16" s="206">
        <f>'P &amp; NP'!OB493</f>
        <v>0</v>
      </c>
      <c r="BA16" s="206">
        <f>'P &amp; NP'!OQ493</f>
        <v>0</v>
      </c>
      <c r="BB16" s="206">
        <f>'P &amp; NP'!OR493</f>
        <v>0</v>
      </c>
      <c r="BC16" s="206">
        <f>'P &amp; NP'!PG493</f>
        <v>0</v>
      </c>
      <c r="BD16" s="206">
        <f>'P &amp; NP'!PH493</f>
        <v>0</v>
      </c>
      <c r="BE16" s="206">
        <f>'P &amp; NP'!PW493</f>
        <v>0</v>
      </c>
      <c r="BF16" s="206">
        <f>'P &amp; NP'!PX493</f>
        <v>0</v>
      </c>
      <c r="BG16" s="206">
        <f>'P &amp; NP'!QM493</f>
        <v>0</v>
      </c>
      <c r="BH16" s="206">
        <f>'P &amp; NP'!QN493</f>
        <v>0</v>
      </c>
      <c r="BI16" s="206">
        <f>'P &amp; NP'!RC493</f>
        <v>0</v>
      </c>
      <c r="BJ16" s="206">
        <f>'P &amp; NP'!RD493</f>
        <v>0</v>
      </c>
      <c r="BK16" s="206">
        <f>'P &amp; NP'!RS493</f>
        <v>0</v>
      </c>
      <c r="BL16" s="206">
        <f>'P &amp; NP'!RT493</f>
        <v>0</v>
      </c>
      <c r="BM16" s="206">
        <f>'P &amp; NP'!SI493</f>
        <v>0</v>
      </c>
      <c r="BN16" s="206">
        <f>'P &amp; NP'!SJ493</f>
        <v>0</v>
      </c>
      <c r="BO16" s="206">
        <f>'P &amp; NP'!SY493</f>
        <v>0</v>
      </c>
      <c r="BP16" s="206">
        <f>'P &amp; NP'!SZ493</f>
        <v>0</v>
      </c>
      <c r="BQ16" s="206">
        <f>'P &amp; NP'!TO493</f>
        <v>0</v>
      </c>
      <c r="BR16" s="206">
        <f>'P &amp; NP'!TP493</f>
        <v>0</v>
      </c>
      <c r="BS16" s="206">
        <f>'P &amp; NP'!UE493</f>
        <v>0</v>
      </c>
      <c r="BT16" s="206">
        <f>'P &amp; NP'!UF493</f>
        <v>0</v>
      </c>
      <c r="BU16" s="206">
        <f>'P &amp; NP'!UU493</f>
        <v>0</v>
      </c>
      <c r="BV16" s="206">
        <f>'P &amp; NP'!UV493</f>
        <v>0</v>
      </c>
      <c r="BW16" s="206">
        <f>'P &amp; NP'!VK493</f>
        <v>0</v>
      </c>
      <c r="BX16" s="206">
        <f>'P &amp; NP'!VL493</f>
        <v>0</v>
      </c>
      <c r="BY16" s="206">
        <f>'P &amp; NP'!WA493</f>
        <v>0</v>
      </c>
      <c r="BZ16" s="206">
        <f>'P &amp; NP'!WB493</f>
        <v>0</v>
      </c>
      <c r="CB16" s="206">
        <f t="shared" si="2"/>
        <v>0</v>
      </c>
      <c r="CC16" s="206">
        <f t="shared" si="3"/>
        <v>0</v>
      </c>
    </row>
    <row r="17" spans="2:81">
      <c r="B17" s="207" t="str">
        <f>'P &amp; NP'!B23</f>
        <v xml:space="preserve">Kerang Hijau </v>
      </c>
      <c r="C17" s="206">
        <f>'P &amp; NP'!G494</f>
        <v>0</v>
      </c>
      <c r="D17" s="206">
        <f>'P &amp; NP'!H494</f>
        <v>0</v>
      </c>
      <c r="E17" s="206">
        <f>'P &amp; NP'!W494</f>
        <v>0</v>
      </c>
      <c r="F17" s="206">
        <f>'P &amp; NP'!X494</f>
        <v>0</v>
      </c>
      <c r="G17" s="206">
        <f>'P &amp; NP'!AM494</f>
        <v>0</v>
      </c>
      <c r="H17" s="206">
        <f>'P &amp; NP'!AN494</f>
        <v>0</v>
      </c>
      <c r="I17" s="206">
        <f>'P &amp; NP'!BC494</f>
        <v>0</v>
      </c>
      <c r="J17" s="206">
        <f>'P &amp; NP'!BD494</f>
        <v>0</v>
      </c>
      <c r="K17" s="206">
        <f>'P &amp; NP'!BS494</f>
        <v>0</v>
      </c>
      <c r="L17" s="206">
        <f>'P &amp; NP'!BT494</f>
        <v>0</v>
      </c>
      <c r="M17" s="206">
        <f>'P &amp; NP'!CI494</f>
        <v>0</v>
      </c>
      <c r="N17" s="206">
        <f>'P &amp; NP'!CJ494</f>
        <v>0</v>
      </c>
      <c r="O17" s="206">
        <f>'P &amp; NP'!CY494</f>
        <v>0</v>
      </c>
      <c r="P17" s="206">
        <f>'P &amp; NP'!CZ494</f>
        <v>0</v>
      </c>
      <c r="Q17" s="206">
        <f>'P &amp; NP'!DO494</f>
        <v>0</v>
      </c>
      <c r="R17" s="206">
        <f>'P &amp; NP'!DP494</f>
        <v>0</v>
      </c>
      <c r="S17" s="206">
        <f>'P &amp; NP'!EE494</f>
        <v>0</v>
      </c>
      <c r="T17" s="206">
        <f>'P &amp; NP'!EF494</f>
        <v>0</v>
      </c>
      <c r="U17" s="206">
        <f>'P &amp; NP'!EU494</f>
        <v>0</v>
      </c>
      <c r="V17" s="206">
        <f>'P &amp; NP'!EV494</f>
        <v>0</v>
      </c>
      <c r="W17" s="206">
        <f>'P &amp; NP'!FK494</f>
        <v>0</v>
      </c>
      <c r="X17" s="206">
        <f>'P &amp; NP'!FL494</f>
        <v>0</v>
      </c>
      <c r="Y17" s="206">
        <f>'P &amp; NP'!GA494</f>
        <v>0</v>
      </c>
      <c r="Z17" s="206">
        <f>'P &amp; NP'!GB494</f>
        <v>0</v>
      </c>
      <c r="AA17" s="206">
        <f>'P &amp; NP'!GQ494</f>
        <v>0</v>
      </c>
      <c r="AB17" s="206">
        <f>'P &amp; NP'!GR494</f>
        <v>0</v>
      </c>
      <c r="AC17" s="206">
        <f>'P &amp; NP'!HG494</f>
        <v>0</v>
      </c>
      <c r="AD17" s="206">
        <f>'P &amp; NP'!HH494</f>
        <v>0</v>
      </c>
      <c r="AE17" s="206">
        <f>'P &amp; NP'!HW494</f>
        <v>0</v>
      </c>
      <c r="AF17" s="206">
        <f>'P &amp; NP'!HX494</f>
        <v>0</v>
      </c>
      <c r="AG17" s="206">
        <f>'P &amp; NP'!IM494</f>
        <v>0</v>
      </c>
      <c r="AH17" s="206">
        <f>'P &amp; NP'!IN494</f>
        <v>0</v>
      </c>
      <c r="AI17" s="206">
        <f>'P &amp; NP'!JC494</f>
        <v>0</v>
      </c>
      <c r="AJ17" s="206">
        <f>'P &amp; NP'!JD494</f>
        <v>0</v>
      </c>
      <c r="AK17" s="206">
        <f>'P &amp; NP'!JS494</f>
        <v>0</v>
      </c>
      <c r="AL17" s="206">
        <f>'P &amp; NP'!JT494</f>
        <v>0</v>
      </c>
      <c r="AM17" s="206">
        <f>'P &amp; NP'!KI494</f>
        <v>0</v>
      </c>
      <c r="AN17" s="206">
        <f>'P &amp; NP'!KJ494</f>
        <v>0</v>
      </c>
      <c r="AO17" s="206">
        <f>'P &amp; NP'!KY494</f>
        <v>0</v>
      </c>
      <c r="AP17" s="206">
        <f>'P &amp; NP'!KZ494</f>
        <v>0</v>
      </c>
      <c r="AQ17" s="206">
        <f>'P &amp; NP'!LO494</f>
        <v>0</v>
      </c>
      <c r="AR17" s="206">
        <f>'P &amp; NP'!LP494</f>
        <v>0</v>
      </c>
      <c r="AS17" s="206">
        <f>'P &amp; NP'!ME494</f>
        <v>0</v>
      </c>
      <c r="AT17" s="206">
        <f>'P &amp; NP'!MF494</f>
        <v>0</v>
      </c>
      <c r="AU17" s="206">
        <f>'P &amp; NP'!MU494</f>
        <v>0</v>
      </c>
      <c r="AV17" s="206">
        <f>'P &amp; NP'!MV494</f>
        <v>0</v>
      </c>
      <c r="AW17" s="206">
        <f>'P &amp; NP'!NK494</f>
        <v>0</v>
      </c>
      <c r="AX17" s="206">
        <f>'P &amp; NP'!NL494</f>
        <v>0</v>
      </c>
      <c r="AY17" s="206">
        <f>'P &amp; NP'!OA494</f>
        <v>0</v>
      </c>
      <c r="AZ17" s="206">
        <f>'P &amp; NP'!OB494</f>
        <v>0</v>
      </c>
      <c r="BA17" s="206">
        <f>'P &amp; NP'!OQ494</f>
        <v>0</v>
      </c>
      <c r="BB17" s="206">
        <f>'P &amp; NP'!OR494</f>
        <v>0</v>
      </c>
      <c r="BC17" s="206">
        <f>'P &amp; NP'!PG494</f>
        <v>0</v>
      </c>
      <c r="BD17" s="206">
        <f>'P &amp; NP'!PH494</f>
        <v>0</v>
      </c>
      <c r="BE17" s="206">
        <f>'P &amp; NP'!PW494</f>
        <v>0</v>
      </c>
      <c r="BF17" s="206">
        <f>'P &amp; NP'!PX494</f>
        <v>0</v>
      </c>
      <c r="BG17" s="206">
        <f>'P &amp; NP'!QM494</f>
        <v>0</v>
      </c>
      <c r="BH17" s="206">
        <f>'P &amp; NP'!QN494</f>
        <v>0</v>
      </c>
      <c r="BI17" s="206">
        <f>'P &amp; NP'!RC494</f>
        <v>0</v>
      </c>
      <c r="BJ17" s="206">
        <f>'P &amp; NP'!RD494</f>
        <v>0</v>
      </c>
      <c r="BK17" s="206">
        <f>'P &amp; NP'!RS494</f>
        <v>0</v>
      </c>
      <c r="BL17" s="206">
        <f>'P &amp; NP'!RT494</f>
        <v>0</v>
      </c>
      <c r="BM17" s="206">
        <f>'P &amp; NP'!SI494</f>
        <v>0</v>
      </c>
      <c r="BN17" s="206">
        <f>'P &amp; NP'!SJ494</f>
        <v>0</v>
      </c>
      <c r="BO17" s="206">
        <f>'P &amp; NP'!SY494</f>
        <v>0</v>
      </c>
      <c r="BP17" s="206">
        <f>'P &amp; NP'!SZ494</f>
        <v>0</v>
      </c>
      <c r="BQ17" s="206">
        <f>'P &amp; NP'!TO494</f>
        <v>0</v>
      </c>
      <c r="BR17" s="206">
        <f>'P &amp; NP'!TP494</f>
        <v>0</v>
      </c>
      <c r="BS17" s="206">
        <f>'P &amp; NP'!UE494</f>
        <v>0</v>
      </c>
      <c r="BT17" s="206">
        <f>'P &amp; NP'!UF494</f>
        <v>0</v>
      </c>
      <c r="BU17" s="206">
        <f>'P &amp; NP'!UU494</f>
        <v>0</v>
      </c>
      <c r="BV17" s="206">
        <f>'P &amp; NP'!UV494</f>
        <v>0</v>
      </c>
      <c r="BW17" s="206">
        <f>'P &amp; NP'!VK494</f>
        <v>0</v>
      </c>
      <c r="BX17" s="206">
        <f>'P &amp; NP'!VL494</f>
        <v>0</v>
      </c>
      <c r="BY17" s="206">
        <f>'P &amp; NP'!WA494</f>
        <v>0</v>
      </c>
      <c r="BZ17" s="206">
        <f>'P &amp; NP'!WB494</f>
        <v>0</v>
      </c>
      <c r="CB17" s="206">
        <f t="shared" si="2"/>
        <v>0</v>
      </c>
      <c r="CC17" s="206">
        <f t="shared" si="3"/>
        <v>0</v>
      </c>
    </row>
    <row r="18" spans="2:81">
      <c r="B18" s="207" t="str">
        <f>'P &amp; NP'!B24</f>
        <v>Kerapu Cantang</v>
      </c>
      <c r="C18" s="206">
        <f>'P &amp; NP'!G495</f>
        <v>0</v>
      </c>
      <c r="D18" s="206">
        <f>'P &amp; NP'!H495</f>
        <v>0</v>
      </c>
      <c r="E18" s="206">
        <f>'P &amp; NP'!W495</f>
        <v>0</v>
      </c>
      <c r="F18" s="206">
        <f>'P &amp; NP'!X495</f>
        <v>0</v>
      </c>
      <c r="G18" s="206">
        <f>'P &amp; NP'!AM495</f>
        <v>0</v>
      </c>
      <c r="H18" s="206">
        <f>'P &amp; NP'!AN495</f>
        <v>0</v>
      </c>
      <c r="I18" s="206">
        <f>'P &amp; NP'!BC495</f>
        <v>0</v>
      </c>
      <c r="J18" s="206">
        <f>'P &amp; NP'!BD495</f>
        <v>0</v>
      </c>
      <c r="K18" s="206">
        <f>'P &amp; NP'!BS495</f>
        <v>0</v>
      </c>
      <c r="L18" s="206">
        <f>'P &amp; NP'!BT495</f>
        <v>0</v>
      </c>
      <c r="M18" s="206">
        <f>'P &amp; NP'!CI495</f>
        <v>0</v>
      </c>
      <c r="N18" s="206">
        <f>'P &amp; NP'!CJ495</f>
        <v>0</v>
      </c>
      <c r="O18" s="206">
        <f>'P &amp; NP'!CY495</f>
        <v>0</v>
      </c>
      <c r="P18" s="206">
        <f>'P &amp; NP'!CZ495</f>
        <v>0</v>
      </c>
      <c r="Q18" s="206">
        <f>'P &amp; NP'!DO495</f>
        <v>0</v>
      </c>
      <c r="R18" s="206">
        <f>'P &amp; NP'!DP495</f>
        <v>0</v>
      </c>
      <c r="S18" s="206">
        <f>'P &amp; NP'!EE495</f>
        <v>0</v>
      </c>
      <c r="T18" s="206">
        <f>'P &amp; NP'!EF495</f>
        <v>0</v>
      </c>
      <c r="U18" s="206">
        <f>'P &amp; NP'!EU495</f>
        <v>0</v>
      </c>
      <c r="V18" s="206">
        <f>'P &amp; NP'!EV495</f>
        <v>0</v>
      </c>
      <c r="W18" s="206">
        <f>'P &amp; NP'!FK495</f>
        <v>0</v>
      </c>
      <c r="X18" s="206">
        <f>'P &amp; NP'!FL495</f>
        <v>0</v>
      </c>
      <c r="Y18" s="206">
        <f>'P &amp; NP'!GA495</f>
        <v>0</v>
      </c>
      <c r="Z18" s="206">
        <f>'P &amp; NP'!GB495</f>
        <v>0</v>
      </c>
      <c r="AA18" s="206">
        <f>'P &amp; NP'!GQ495</f>
        <v>0</v>
      </c>
      <c r="AB18" s="206">
        <f>'P &amp; NP'!GR495</f>
        <v>0</v>
      </c>
      <c r="AC18" s="206">
        <f>'P &amp; NP'!HG495</f>
        <v>0</v>
      </c>
      <c r="AD18" s="206">
        <f>'P &amp; NP'!HH495</f>
        <v>0</v>
      </c>
      <c r="AE18" s="206">
        <f>'P &amp; NP'!HW495</f>
        <v>0</v>
      </c>
      <c r="AF18" s="206">
        <f>'P &amp; NP'!HX495</f>
        <v>0</v>
      </c>
      <c r="AG18" s="206">
        <f>'P &amp; NP'!IM495</f>
        <v>0</v>
      </c>
      <c r="AH18" s="206">
        <f>'P &amp; NP'!IN495</f>
        <v>0</v>
      </c>
      <c r="AI18" s="206">
        <f>'P &amp; NP'!JC495</f>
        <v>0</v>
      </c>
      <c r="AJ18" s="206">
        <f>'P &amp; NP'!JD495</f>
        <v>0</v>
      </c>
      <c r="AK18" s="206">
        <f>'P &amp; NP'!JS495</f>
        <v>0</v>
      </c>
      <c r="AL18" s="206">
        <f>'P &amp; NP'!JT495</f>
        <v>0</v>
      </c>
      <c r="AM18" s="206">
        <f>'P &amp; NP'!KI495</f>
        <v>0</v>
      </c>
      <c r="AN18" s="206">
        <f>'P &amp; NP'!KJ495</f>
        <v>0</v>
      </c>
      <c r="AO18" s="206">
        <f>'P &amp; NP'!KY495</f>
        <v>0</v>
      </c>
      <c r="AP18" s="206">
        <f>'P &amp; NP'!KZ495</f>
        <v>0</v>
      </c>
      <c r="AQ18" s="206">
        <f>'P &amp; NP'!LO495</f>
        <v>0</v>
      </c>
      <c r="AR18" s="206">
        <f>'P &amp; NP'!LP495</f>
        <v>0</v>
      </c>
      <c r="AS18" s="206">
        <f>'P &amp; NP'!ME495</f>
        <v>0</v>
      </c>
      <c r="AT18" s="206">
        <f>'P &amp; NP'!MF495</f>
        <v>0</v>
      </c>
      <c r="AU18" s="206">
        <f>'P &amp; NP'!MU495</f>
        <v>0</v>
      </c>
      <c r="AV18" s="206">
        <f>'P &amp; NP'!MV495</f>
        <v>0</v>
      </c>
      <c r="AW18" s="206">
        <f>'P &amp; NP'!NK495</f>
        <v>0</v>
      </c>
      <c r="AX18" s="206">
        <f>'P &amp; NP'!NL495</f>
        <v>0</v>
      </c>
      <c r="AY18" s="206">
        <f>'P &amp; NP'!OA495</f>
        <v>0</v>
      </c>
      <c r="AZ18" s="206">
        <f>'P &amp; NP'!OB495</f>
        <v>0</v>
      </c>
      <c r="BA18" s="206">
        <f>'P &amp; NP'!OQ495</f>
        <v>0</v>
      </c>
      <c r="BB18" s="206">
        <f>'P &amp; NP'!OR495</f>
        <v>0</v>
      </c>
      <c r="BC18" s="206">
        <f>'P &amp; NP'!PG495</f>
        <v>0</v>
      </c>
      <c r="BD18" s="206">
        <f>'P &amp; NP'!PH495</f>
        <v>0</v>
      </c>
      <c r="BE18" s="206">
        <f>'P &amp; NP'!PW495</f>
        <v>0</v>
      </c>
      <c r="BF18" s="206">
        <f>'P &amp; NP'!PX495</f>
        <v>0</v>
      </c>
      <c r="BG18" s="206">
        <f>'P &amp; NP'!QM495</f>
        <v>0</v>
      </c>
      <c r="BH18" s="206">
        <f>'P &amp; NP'!QN495</f>
        <v>0</v>
      </c>
      <c r="BI18" s="206">
        <f>'P &amp; NP'!RC495</f>
        <v>0</v>
      </c>
      <c r="BJ18" s="206">
        <f>'P &amp; NP'!RD495</f>
        <v>0</v>
      </c>
      <c r="BK18" s="206">
        <f>'P &amp; NP'!RS495</f>
        <v>0</v>
      </c>
      <c r="BL18" s="206">
        <f>'P &amp; NP'!RT495</f>
        <v>0</v>
      </c>
      <c r="BM18" s="206">
        <f>'P &amp; NP'!SI495</f>
        <v>0</v>
      </c>
      <c r="BN18" s="206">
        <f>'P &amp; NP'!SJ495</f>
        <v>0</v>
      </c>
      <c r="BO18" s="206">
        <f>'P &amp; NP'!SY495</f>
        <v>0</v>
      </c>
      <c r="BP18" s="206">
        <f>'P &amp; NP'!SZ495</f>
        <v>0</v>
      </c>
      <c r="BQ18" s="206">
        <f>'P &amp; NP'!TO495</f>
        <v>0</v>
      </c>
      <c r="BR18" s="206">
        <f>'P &amp; NP'!TP495</f>
        <v>0</v>
      </c>
      <c r="BS18" s="206">
        <f>'P &amp; NP'!UE495</f>
        <v>0</v>
      </c>
      <c r="BT18" s="206">
        <f>'P &amp; NP'!UF495</f>
        <v>0</v>
      </c>
      <c r="BU18" s="206">
        <f>'P &amp; NP'!UU495</f>
        <v>0</v>
      </c>
      <c r="BV18" s="206">
        <f>'P &amp; NP'!UV495</f>
        <v>0</v>
      </c>
      <c r="BW18" s="206">
        <f>'P &amp; NP'!VK495</f>
        <v>0</v>
      </c>
      <c r="BX18" s="206">
        <f>'P &amp; NP'!VL495</f>
        <v>0</v>
      </c>
      <c r="BY18" s="206">
        <f>'P &amp; NP'!WA495</f>
        <v>0</v>
      </c>
      <c r="BZ18" s="206">
        <f>'P &amp; NP'!WB495</f>
        <v>0</v>
      </c>
      <c r="CB18" s="206">
        <f t="shared" si="2"/>
        <v>0</v>
      </c>
      <c r="CC18" s="206">
        <f t="shared" si="3"/>
        <v>0</v>
      </c>
    </row>
    <row r="19" spans="2:81">
      <c r="B19" s="207" t="str">
        <f>'P &amp; NP'!B25</f>
        <v>Kerapu Macan</v>
      </c>
      <c r="C19" s="206">
        <f>'P &amp; NP'!G496</f>
        <v>0</v>
      </c>
      <c r="D19" s="206">
        <f>'P &amp; NP'!H496</f>
        <v>0</v>
      </c>
      <c r="E19" s="206">
        <f>'P &amp; NP'!W496</f>
        <v>0</v>
      </c>
      <c r="F19" s="206">
        <f>'P &amp; NP'!X496</f>
        <v>0</v>
      </c>
      <c r="G19" s="206">
        <f>'P &amp; NP'!AM496</f>
        <v>0</v>
      </c>
      <c r="H19" s="206">
        <f>'P &amp; NP'!AN496</f>
        <v>0</v>
      </c>
      <c r="I19" s="206">
        <f>'P &amp; NP'!BC496</f>
        <v>0</v>
      </c>
      <c r="J19" s="206">
        <f>'P &amp; NP'!BD496</f>
        <v>0</v>
      </c>
      <c r="K19" s="206">
        <f>'P &amp; NP'!BS496</f>
        <v>0</v>
      </c>
      <c r="L19" s="206">
        <f>'P &amp; NP'!BT496</f>
        <v>0</v>
      </c>
      <c r="M19" s="206">
        <f>'P &amp; NP'!CI496</f>
        <v>0</v>
      </c>
      <c r="N19" s="206">
        <f>'P &amp; NP'!CJ496</f>
        <v>0</v>
      </c>
      <c r="O19" s="206">
        <f>'P &amp; NP'!CY496</f>
        <v>0</v>
      </c>
      <c r="P19" s="206">
        <f>'P &amp; NP'!CZ496</f>
        <v>0</v>
      </c>
      <c r="Q19" s="206">
        <f>'P &amp; NP'!DO496</f>
        <v>0</v>
      </c>
      <c r="R19" s="206">
        <f>'P &amp; NP'!DP496</f>
        <v>0</v>
      </c>
      <c r="S19" s="206">
        <f>'P &amp; NP'!EE496</f>
        <v>0</v>
      </c>
      <c r="T19" s="206">
        <f>'P &amp; NP'!EF496</f>
        <v>0</v>
      </c>
      <c r="U19" s="206">
        <f>'P &amp; NP'!EU496</f>
        <v>0</v>
      </c>
      <c r="V19" s="206">
        <f>'P &amp; NP'!EV496</f>
        <v>0</v>
      </c>
      <c r="W19" s="206">
        <f>'P &amp; NP'!FK496</f>
        <v>0</v>
      </c>
      <c r="X19" s="206">
        <f>'P &amp; NP'!FL496</f>
        <v>0</v>
      </c>
      <c r="Y19" s="206">
        <f>'P &amp; NP'!GA496</f>
        <v>0</v>
      </c>
      <c r="Z19" s="206">
        <f>'P &amp; NP'!GB496</f>
        <v>0</v>
      </c>
      <c r="AA19" s="206">
        <f>'P &amp; NP'!GQ496</f>
        <v>0</v>
      </c>
      <c r="AB19" s="206">
        <f>'P &amp; NP'!GR496</f>
        <v>0</v>
      </c>
      <c r="AC19" s="206">
        <f>'P &amp; NP'!HG496</f>
        <v>0</v>
      </c>
      <c r="AD19" s="206">
        <f>'P &amp; NP'!HH496</f>
        <v>0</v>
      </c>
      <c r="AE19" s="206">
        <f>'P &amp; NP'!HW496</f>
        <v>0</v>
      </c>
      <c r="AF19" s="206">
        <f>'P &amp; NP'!HX496</f>
        <v>0</v>
      </c>
      <c r="AG19" s="206">
        <f>'P &amp; NP'!IM496</f>
        <v>0</v>
      </c>
      <c r="AH19" s="206">
        <f>'P &amp; NP'!IN496</f>
        <v>0</v>
      </c>
      <c r="AI19" s="206">
        <f>'P &amp; NP'!JC496</f>
        <v>0</v>
      </c>
      <c r="AJ19" s="206">
        <f>'P &amp; NP'!JD496</f>
        <v>0</v>
      </c>
      <c r="AK19" s="206">
        <f>'P &amp; NP'!JS496</f>
        <v>0</v>
      </c>
      <c r="AL19" s="206">
        <f>'P &amp; NP'!JT496</f>
        <v>0</v>
      </c>
      <c r="AM19" s="206">
        <f>'P &amp; NP'!KI496</f>
        <v>0</v>
      </c>
      <c r="AN19" s="206">
        <f>'P &amp; NP'!KJ496</f>
        <v>0</v>
      </c>
      <c r="AO19" s="206">
        <f>'P &amp; NP'!KY496</f>
        <v>0</v>
      </c>
      <c r="AP19" s="206">
        <f>'P &amp; NP'!KZ496</f>
        <v>0</v>
      </c>
      <c r="AQ19" s="206">
        <f>'P &amp; NP'!LO496</f>
        <v>0</v>
      </c>
      <c r="AR19" s="206">
        <f>'P &amp; NP'!LP496</f>
        <v>0</v>
      </c>
      <c r="AS19" s="206">
        <f>'P &amp; NP'!ME496</f>
        <v>0</v>
      </c>
      <c r="AT19" s="206">
        <f>'P &amp; NP'!MF496</f>
        <v>0</v>
      </c>
      <c r="AU19" s="206">
        <f>'P &amp; NP'!MU496</f>
        <v>0</v>
      </c>
      <c r="AV19" s="206">
        <f>'P &amp; NP'!MV496</f>
        <v>0</v>
      </c>
      <c r="AW19" s="206">
        <f>'P &amp; NP'!NK496</f>
        <v>0</v>
      </c>
      <c r="AX19" s="206">
        <f>'P &amp; NP'!NL496</f>
        <v>0</v>
      </c>
      <c r="AY19" s="206">
        <f>'P &amp; NP'!OA496</f>
        <v>0</v>
      </c>
      <c r="AZ19" s="206">
        <f>'P &amp; NP'!OB496</f>
        <v>0</v>
      </c>
      <c r="BA19" s="206">
        <f>'P &amp; NP'!OQ496</f>
        <v>0</v>
      </c>
      <c r="BB19" s="206">
        <f>'P &amp; NP'!OR496</f>
        <v>0</v>
      </c>
      <c r="BC19" s="206">
        <f>'P &amp; NP'!PG496</f>
        <v>0</v>
      </c>
      <c r="BD19" s="206">
        <f>'P &amp; NP'!PH496</f>
        <v>0</v>
      </c>
      <c r="BE19" s="206">
        <f>'P &amp; NP'!PW496</f>
        <v>0</v>
      </c>
      <c r="BF19" s="206">
        <f>'P &amp; NP'!PX496</f>
        <v>0</v>
      </c>
      <c r="BG19" s="206">
        <f>'P &amp; NP'!QM496</f>
        <v>0</v>
      </c>
      <c r="BH19" s="206">
        <f>'P &amp; NP'!QN496</f>
        <v>0</v>
      </c>
      <c r="BI19" s="206">
        <f>'P &amp; NP'!RC496</f>
        <v>0</v>
      </c>
      <c r="BJ19" s="206">
        <f>'P &amp; NP'!RD496</f>
        <v>0</v>
      </c>
      <c r="BK19" s="206">
        <f>'P &amp; NP'!RS496</f>
        <v>0</v>
      </c>
      <c r="BL19" s="206">
        <f>'P &amp; NP'!RT496</f>
        <v>0</v>
      </c>
      <c r="BM19" s="206">
        <f>'P &amp; NP'!SI496</f>
        <v>0</v>
      </c>
      <c r="BN19" s="206">
        <f>'P &amp; NP'!SJ496</f>
        <v>0</v>
      </c>
      <c r="BO19" s="206">
        <f>'P &amp; NP'!SY496</f>
        <v>0</v>
      </c>
      <c r="BP19" s="206">
        <f>'P &amp; NP'!SZ496</f>
        <v>0</v>
      </c>
      <c r="BQ19" s="206">
        <f>'P &amp; NP'!TO496</f>
        <v>0</v>
      </c>
      <c r="BR19" s="206">
        <f>'P &amp; NP'!TP496</f>
        <v>0</v>
      </c>
      <c r="BS19" s="206">
        <f>'P &amp; NP'!UE496</f>
        <v>0</v>
      </c>
      <c r="BT19" s="206">
        <f>'P &amp; NP'!UF496</f>
        <v>0</v>
      </c>
      <c r="BU19" s="206">
        <f>'P &amp; NP'!UU496</f>
        <v>0</v>
      </c>
      <c r="BV19" s="206">
        <f>'P &amp; NP'!UV496</f>
        <v>0</v>
      </c>
      <c r="BW19" s="206">
        <f>'P &amp; NP'!VK496</f>
        <v>0</v>
      </c>
      <c r="BX19" s="206">
        <f>'P &amp; NP'!VL496</f>
        <v>0</v>
      </c>
      <c r="BY19" s="206">
        <f>'P &amp; NP'!WA496</f>
        <v>0</v>
      </c>
      <c r="BZ19" s="206">
        <f>'P &amp; NP'!WB496</f>
        <v>0</v>
      </c>
      <c r="CB19" s="206">
        <f t="shared" si="2"/>
        <v>0</v>
      </c>
      <c r="CC19" s="206">
        <f t="shared" si="3"/>
        <v>0</v>
      </c>
    </row>
    <row r="20" spans="2:81">
      <c r="B20" s="207" t="str">
        <f>'P &amp; NP'!B26</f>
        <v>Kerong Kerong</v>
      </c>
      <c r="C20" s="206">
        <f>'P &amp; NP'!G497</f>
        <v>0</v>
      </c>
      <c r="D20" s="206">
        <f>'P &amp; NP'!H497</f>
        <v>0</v>
      </c>
      <c r="E20" s="206">
        <f>'P &amp; NP'!W497</f>
        <v>0</v>
      </c>
      <c r="F20" s="206">
        <f>'P &amp; NP'!X497</f>
        <v>0</v>
      </c>
      <c r="G20" s="206">
        <f>'P &amp; NP'!AM497</f>
        <v>0</v>
      </c>
      <c r="H20" s="206">
        <f>'P &amp; NP'!AN497</f>
        <v>0</v>
      </c>
      <c r="I20" s="206">
        <f>'P &amp; NP'!BC497</f>
        <v>0</v>
      </c>
      <c r="J20" s="206">
        <f>'P &amp; NP'!BD497</f>
        <v>0</v>
      </c>
      <c r="K20" s="206">
        <f>'P &amp; NP'!BS497</f>
        <v>0</v>
      </c>
      <c r="L20" s="206">
        <f>'P &amp; NP'!BT497</f>
        <v>0</v>
      </c>
      <c r="M20" s="206">
        <f>'P &amp; NP'!CI497</f>
        <v>0</v>
      </c>
      <c r="N20" s="206">
        <f>'P &amp; NP'!CJ497</f>
        <v>0</v>
      </c>
      <c r="O20" s="206">
        <f>'P &amp; NP'!CY497</f>
        <v>0</v>
      </c>
      <c r="P20" s="206">
        <f>'P &amp; NP'!CZ497</f>
        <v>0</v>
      </c>
      <c r="Q20" s="206">
        <f>'P &amp; NP'!DO497</f>
        <v>0</v>
      </c>
      <c r="R20" s="206">
        <f>'P &amp; NP'!DP497</f>
        <v>0</v>
      </c>
      <c r="S20" s="206">
        <f>'P &amp; NP'!EE497</f>
        <v>0</v>
      </c>
      <c r="T20" s="206">
        <f>'P &amp; NP'!EF497</f>
        <v>0</v>
      </c>
      <c r="U20" s="206">
        <f>'P &amp; NP'!EU497</f>
        <v>0</v>
      </c>
      <c r="V20" s="206">
        <f>'P &amp; NP'!EV497</f>
        <v>0</v>
      </c>
      <c r="W20" s="206">
        <f>'P &amp; NP'!FK497</f>
        <v>0</v>
      </c>
      <c r="X20" s="206">
        <f>'P &amp; NP'!FL497</f>
        <v>0</v>
      </c>
      <c r="Y20" s="206">
        <f>'P &amp; NP'!GA497</f>
        <v>0</v>
      </c>
      <c r="Z20" s="206">
        <f>'P &amp; NP'!GB497</f>
        <v>0</v>
      </c>
      <c r="AA20" s="206">
        <f>'P &amp; NP'!GQ497</f>
        <v>0</v>
      </c>
      <c r="AB20" s="206">
        <f>'P &amp; NP'!GR497</f>
        <v>0</v>
      </c>
      <c r="AC20" s="206">
        <f>'P &amp; NP'!HG497</f>
        <v>0</v>
      </c>
      <c r="AD20" s="206">
        <f>'P &amp; NP'!HH497</f>
        <v>0</v>
      </c>
      <c r="AE20" s="206">
        <f>'P &amp; NP'!HW497</f>
        <v>0</v>
      </c>
      <c r="AF20" s="206">
        <f>'P &amp; NP'!HX497</f>
        <v>0</v>
      </c>
      <c r="AG20" s="206">
        <f>'P &amp; NP'!IM497</f>
        <v>0</v>
      </c>
      <c r="AH20" s="206">
        <f>'P &amp; NP'!IN497</f>
        <v>0</v>
      </c>
      <c r="AI20" s="206">
        <f>'P &amp; NP'!JC497</f>
        <v>0</v>
      </c>
      <c r="AJ20" s="206">
        <f>'P &amp; NP'!JD497</f>
        <v>0</v>
      </c>
      <c r="AK20" s="206">
        <f>'P &amp; NP'!JS497</f>
        <v>0</v>
      </c>
      <c r="AL20" s="206">
        <f>'P &amp; NP'!JT497</f>
        <v>0</v>
      </c>
      <c r="AM20" s="206">
        <f>'P &amp; NP'!KI497</f>
        <v>0</v>
      </c>
      <c r="AN20" s="206">
        <f>'P &amp; NP'!KJ497</f>
        <v>0</v>
      </c>
      <c r="AO20" s="206">
        <f>'P &amp; NP'!KY497</f>
        <v>0</v>
      </c>
      <c r="AP20" s="206">
        <f>'P &amp; NP'!KZ497</f>
        <v>0</v>
      </c>
      <c r="AQ20" s="206">
        <f>'P &amp; NP'!LO497</f>
        <v>0</v>
      </c>
      <c r="AR20" s="206">
        <f>'P &amp; NP'!LP497</f>
        <v>0</v>
      </c>
      <c r="AS20" s="206">
        <f>'P &amp; NP'!ME497</f>
        <v>0</v>
      </c>
      <c r="AT20" s="206">
        <f>'P &amp; NP'!MF497</f>
        <v>0</v>
      </c>
      <c r="AU20" s="206">
        <f>'P &amp; NP'!MU497</f>
        <v>0</v>
      </c>
      <c r="AV20" s="206">
        <f>'P &amp; NP'!MV497</f>
        <v>0</v>
      </c>
      <c r="AW20" s="206">
        <f>'P &amp; NP'!NK497</f>
        <v>0</v>
      </c>
      <c r="AX20" s="206">
        <f>'P &amp; NP'!NL497</f>
        <v>0</v>
      </c>
      <c r="AY20" s="206">
        <f>'P &amp; NP'!OA497</f>
        <v>0</v>
      </c>
      <c r="AZ20" s="206">
        <f>'P &amp; NP'!OB497</f>
        <v>0</v>
      </c>
      <c r="BA20" s="206">
        <f>'P &amp; NP'!OQ497</f>
        <v>0</v>
      </c>
      <c r="BB20" s="206">
        <f>'P &amp; NP'!OR497</f>
        <v>0</v>
      </c>
      <c r="BC20" s="206">
        <f>'P &amp; NP'!PG497</f>
        <v>0</v>
      </c>
      <c r="BD20" s="206">
        <f>'P &amp; NP'!PH497</f>
        <v>0</v>
      </c>
      <c r="BE20" s="206">
        <f>'P &amp; NP'!PW497</f>
        <v>0</v>
      </c>
      <c r="BF20" s="206">
        <f>'P &amp; NP'!PX497</f>
        <v>0</v>
      </c>
      <c r="BG20" s="206">
        <f>'P &amp; NP'!QM497</f>
        <v>0</v>
      </c>
      <c r="BH20" s="206">
        <f>'P &amp; NP'!QN497</f>
        <v>0</v>
      </c>
      <c r="BI20" s="206">
        <f>'P &amp; NP'!RC497</f>
        <v>0</v>
      </c>
      <c r="BJ20" s="206">
        <f>'P &amp; NP'!RD497</f>
        <v>0</v>
      </c>
      <c r="BK20" s="206">
        <f>'P &amp; NP'!RS497</f>
        <v>0</v>
      </c>
      <c r="BL20" s="206">
        <f>'P &amp; NP'!RT497</f>
        <v>0</v>
      </c>
      <c r="BM20" s="206">
        <f>'P &amp; NP'!SI497</f>
        <v>0</v>
      </c>
      <c r="BN20" s="206">
        <f>'P &amp; NP'!SJ497</f>
        <v>0</v>
      </c>
      <c r="BO20" s="206">
        <f>'P &amp; NP'!SY497</f>
        <v>0</v>
      </c>
      <c r="BP20" s="206">
        <f>'P &amp; NP'!SZ497</f>
        <v>0</v>
      </c>
      <c r="BQ20" s="206">
        <f>'P &amp; NP'!TO497</f>
        <v>0</v>
      </c>
      <c r="BR20" s="206">
        <f>'P &amp; NP'!TP497</f>
        <v>0</v>
      </c>
      <c r="BS20" s="206">
        <f>'P &amp; NP'!UE497</f>
        <v>0</v>
      </c>
      <c r="BT20" s="206">
        <f>'P &amp; NP'!UF497</f>
        <v>0</v>
      </c>
      <c r="BU20" s="206">
        <f>'P &amp; NP'!UU497</f>
        <v>0</v>
      </c>
      <c r="BV20" s="206">
        <f>'P &amp; NP'!UV497</f>
        <v>0</v>
      </c>
      <c r="BW20" s="206">
        <f>'P &amp; NP'!VK497</f>
        <v>0</v>
      </c>
      <c r="BX20" s="206">
        <f>'P &amp; NP'!VL497</f>
        <v>0</v>
      </c>
      <c r="BY20" s="206">
        <f>'P &amp; NP'!WA497</f>
        <v>0</v>
      </c>
      <c r="BZ20" s="206">
        <f>'P &amp; NP'!WB497</f>
        <v>0</v>
      </c>
      <c r="CB20" s="206">
        <f t="shared" si="2"/>
        <v>0</v>
      </c>
      <c r="CC20" s="206">
        <f t="shared" si="3"/>
        <v>0</v>
      </c>
    </row>
    <row r="21" spans="2:81">
      <c r="B21" s="207" t="str">
        <f>'P &amp; NP'!B27</f>
        <v xml:space="preserve">Lele </v>
      </c>
      <c r="C21" s="206">
        <f>'P &amp; NP'!G498</f>
        <v>0</v>
      </c>
      <c r="D21" s="206">
        <f>'P &amp; NP'!H498</f>
        <v>0</v>
      </c>
      <c r="E21" s="206">
        <f>'P &amp; NP'!W498</f>
        <v>0</v>
      </c>
      <c r="F21" s="206">
        <f>'P &amp; NP'!X498</f>
        <v>0</v>
      </c>
      <c r="G21" s="206">
        <f>'P &amp; NP'!AM498</f>
        <v>0</v>
      </c>
      <c r="H21" s="206">
        <f>'P &amp; NP'!AN498</f>
        <v>0</v>
      </c>
      <c r="I21" s="206">
        <f>'P &amp; NP'!BC498</f>
        <v>0</v>
      </c>
      <c r="J21" s="206">
        <f>'P &amp; NP'!BD498</f>
        <v>0</v>
      </c>
      <c r="K21" s="206">
        <f>'P &amp; NP'!BS498</f>
        <v>0</v>
      </c>
      <c r="L21" s="206">
        <f>'P &amp; NP'!BT498</f>
        <v>0</v>
      </c>
      <c r="M21" s="206">
        <f>'P &amp; NP'!CI498</f>
        <v>0</v>
      </c>
      <c r="N21" s="206">
        <f>'P &amp; NP'!CJ498</f>
        <v>0</v>
      </c>
      <c r="O21" s="206">
        <f>'P &amp; NP'!CY498</f>
        <v>0</v>
      </c>
      <c r="P21" s="206">
        <f>'P &amp; NP'!CZ498</f>
        <v>0</v>
      </c>
      <c r="Q21" s="206">
        <f>'P &amp; NP'!DO498</f>
        <v>0</v>
      </c>
      <c r="R21" s="206">
        <f>'P &amp; NP'!DP498</f>
        <v>0</v>
      </c>
      <c r="S21" s="206">
        <f>'P &amp; NP'!EE498</f>
        <v>0</v>
      </c>
      <c r="T21" s="206">
        <f>'P &amp; NP'!EF498</f>
        <v>0</v>
      </c>
      <c r="U21" s="206">
        <f>'P &amp; NP'!EU498</f>
        <v>0</v>
      </c>
      <c r="V21" s="206">
        <f>'P &amp; NP'!EV498</f>
        <v>0</v>
      </c>
      <c r="W21" s="206">
        <f>'P &amp; NP'!FK498</f>
        <v>0</v>
      </c>
      <c r="X21" s="206">
        <f>'P &amp; NP'!FL498</f>
        <v>0</v>
      </c>
      <c r="Y21" s="206">
        <f>'P &amp; NP'!GA498</f>
        <v>0</v>
      </c>
      <c r="Z21" s="206">
        <f>'P &amp; NP'!GB498</f>
        <v>0</v>
      </c>
      <c r="AA21" s="206">
        <f>'P &amp; NP'!GQ498</f>
        <v>0</v>
      </c>
      <c r="AB21" s="206">
        <f>'P &amp; NP'!GR498</f>
        <v>0</v>
      </c>
      <c r="AC21" s="206">
        <f>'P &amp; NP'!HG498</f>
        <v>0</v>
      </c>
      <c r="AD21" s="206">
        <f>'P &amp; NP'!HH498</f>
        <v>0</v>
      </c>
      <c r="AE21" s="206">
        <f>'P &amp; NP'!HW498</f>
        <v>0</v>
      </c>
      <c r="AF21" s="206">
        <f>'P &amp; NP'!HX498</f>
        <v>0</v>
      </c>
      <c r="AG21" s="206">
        <f>'P &amp; NP'!IM498</f>
        <v>0</v>
      </c>
      <c r="AH21" s="206">
        <f>'P &amp; NP'!IN498</f>
        <v>0</v>
      </c>
      <c r="AI21" s="206">
        <f>'P &amp; NP'!JC498</f>
        <v>0</v>
      </c>
      <c r="AJ21" s="206">
        <f>'P &amp; NP'!JD498</f>
        <v>0</v>
      </c>
      <c r="AK21" s="206">
        <f>'P &amp; NP'!JS498</f>
        <v>0</v>
      </c>
      <c r="AL21" s="206">
        <f>'P &amp; NP'!JT498</f>
        <v>0</v>
      </c>
      <c r="AM21" s="206">
        <f>'P &amp; NP'!KI498</f>
        <v>0</v>
      </c>
      <c r="AN21" s="206">
        <f>'P &amp; NP'!KJ498</f>
        <v>0</v>
      </c>
      <c r="AO21" s="206">
        <f>'P &amp; NP'!KY498</f>
        <v>0</v>
      </c>
      <c r="AP21" s="206">
        <f>'P &amp; NP'!KZ498</f>
        <v>0</v>
      </c>
      <c r="AQ21" s="206">
        <f>'P &amp; NP'!LO498</f>
        <v>0</v>
      </c>
      <c r="AR21" s="206">
        <f>'P &amp; NP'!LP498</f>
        <v>0</v>
      </c>
      <c r="AS21" s="206">
        <f>'P &amp; NP'!ME498</f>
        <v>0</v>
      </c>
      <c r="AT21" s="206">
        <f>'P &amp; NP'!MF498</f>
        <v>0</v>
      </c>
      <c r="AU21" s="206">
        <f>'P &amp; NP'!MU498</f>
        <v>0</v>
      </c>
      <c r="AV21" s="206">
        <f>'P &amp; NP'!MV498</f>
        <v>0</v>
      </c>
      <c r="AW21" s="206">
        <f>'P &amp; NP'!NK498</f>
        <v>0</v>
      </c>
      <c r="AX21" s="206">
        <f>'P &amp; NP'!NL498</f>
        <v>0</v>
      </c>
      <c r="AY21" s="206">
        <f>'P &amp; NP'!OA498</f>
        <v>0</v>
      </c>
      <c r="AZ21" s="206">
        <f>'P &amp; NP'!OB498</f>
        <v>0</v>
      </c>
      <c r="BA21" s="206">
        <f>'P &amp; NP'!OQ498</f>
        <v>0</v>
      </c>
      <c r="BB21" s="206">
        <f>'P &amp; NP'!OR498</f>
        <v>0</v>
      </c>
      <c r="BC21" s="206">
        <f>'P &amp; NP'!PG498</f>
        <v>0</v>
      </c>
      <c r="BD21" s="206">
        <f>'P &amp; NP'!PH498</f>
        <v>0</v>
      </c>
      <c r="BE21" s="206">
        <f>'P &amp; NP'!PW498</f>
        <v>0</v>
      </c>
      <c r="BF21" s="206">
        <f>'P &amp; NP'!PX498</f>
        <v>0</v>
      </c>
      <c r="BG21" s="206">
        <f>'P &amp; NP'!QM498</f>
        <v>0</v>
      </c>
      <c r="BH21" s="206">
        <f>'P &amp; NP'!QN498</f>
        <v>0</v>
      </c>
      <c r="BI21" s="206">
        <f>'P &amp; NP'!RC498</f>
        <v>0</v>
      </c>
      <c r="BJ21" s="206">
        <f>'P &amp; NP'!RD498</f>
        <v>0</v>
      </c>
      <c r="BK21" s="206">
        <f>'P &amp; NP'!RS498</f>
        <v>0</v>
      </c>
      <c r="BL21" s="206">
        <f>'P &amp; NP'!RT498</f>
        <v>0</v>
      </c>
      <c r="BM21" s="206">
        <f>'P &amp; NP'!SI498</f>
        <v>0</v>
      </c>
      <c r="BN21" s="206">
        <f>'P &amp; NP'!SJ498</f>
        <v>0</v>
      </c>
      <c r="BO21" s="206">
        <f>'P &amp; NP'!SY498</f>
        <v>0</v>
      </c>
      <c r="BP21" s="206">
        <f>'P &amp; NP'!SZ498</f>
        <v>0</v>
      </c>
      <c r="BQ21" s="206">
        <f>'P &amp; NP'!TO498</f>
        <v>0</v>
      </c>
      <c r="BR21" s="206">
        <f>'P &amp; NP'!TP498</f>
        <v>0</v>
      </c>
      <c r="BS21" s="206">
        <f>'P &amp; NP'!UE498</f>
        <v>0</v>
      </c>
      <c r="BT21" s="206">
        <f>'P &amp; NP'!UF498</f>
        <v>0</v>
      </c>
      <c r="BU21" s="206">
        <f>'P &amp; NP'!UU498</f>
        <v>0</v>
      </c>
      <c r="BV21" s="206">
        <f>'P &amp; NP'!UV498</f>
        <v>0</v>
      </c>
      <c r="BW21" s="206">
        <f>'P &amp; NP'!VK498</f>
        <v>0</v>
      </c>
      <c r="BX21" s="206">
        <f>'P &amp; NP'!VL498</f>
        <v>0</v>
      </c>
      <c r="BY21" s="206">
        <f>'P &amp; NP'!WA498</f>
        <v>0</v>
      </c>
      <c r="BZ21" s="206">
        <f>'P &amp; NP'!WB498</f>
        <v>0</v>
      </c>
      <c r="CB21" s="206">
        <f t="shared" si="2"/>
        <v>0</v>
      </c>
      <c r="CC21" s="206">
        <f t="shared" si="3"/>
        <v>0</v>
      </c>
    </row>
    <row r="22" spans="2:81">
      <c r="B22" s="207" t="str">
        <f>'P &amp; NP'!B28</f>
        <v xml:space="preserve">Lobster Air Laut </v>
      </c>
      <c r="C22" s="206">
        <f>'P &amp; NP'!G499</f>
        <v>0</v>
      </c>
      <c r="D22" s="206">
        <f>'P &amp; NP'!H499</f>
        <v>0</v>
      </c>
      <c r="E22" s="206">
        <f>'P &amp; NP'!W499</f>
        <v>0</v>
      </c>
      <c r="F22" s="206">
        <f>'P &amp; NP'!X499</f>
        <v>0</v>
      </c>
      <c r="G22" s="206">
        <f>'P &amp; NP'!AM499</f>
        <v>0</v>
      </c>
      <c r="H22" s="206">
        <f>'P &amp; NP'!AN499</f>
        <v>0</v>
      </c>
      <c r="I22" s="206">
        <f>'P &amp; NP'!BC499</f>
        <v>0</v>
      </c>
      <c r="J22" s="206">
        <f>'P &amp; NP'!BD499</f>
        <v>0</v>
      </c>
      <c r="K22" s="206">
        <f>'P &amp; NP'!BS499</f>
        <v>0</v>
      </c>
      <c r="L22" s="206">
        <f>'P &amp; NP'!BT499</f>
        <v>0</v>
      </c>
      <c r="M22" s="206">
        <f>'P &amp; NP'!CI499</f>
        <v>0</v>
      </c>
      <c r="N22" s="206">
        <f>'P &amp; NP'!CJ499</f>
        <v>0</v>
      </c>
      <c r="O22" s="206">
        <f>'P &amp; NP'!CY499</f>
        <v>0</v>
      </c>
      <c r="P22" s="206">
        <f>'P &amp; NP'!CZ499</f>
        <v>0</v>
      </c>
      <c r="Q22" s="206">
        <f>'P &amp; NP'!DO499</f>
        <v>0</v>
      </c>
      <c r="R22" s="206">
        <f>'P &amp; NP'!DP499</f>
        <v>0</v>
      </c>
      <c r="S22" s="206">
        <f>'P &amp; NP'!EE499</f>
        <v>0</v>
      </c>
      <c r="T22" s="206">
        <f>'P &amp; NP'!EF499</f>
        <v>0</v>
      </c>
      <c r="U22" s="206">
        <f>'P &amp; NP'!EU499</f>
        <v>0</v>
      </c>
      <c r="V22" s="206">
        <f>'P &amp; NP'!EV499</f>
        <v>0</v>
      </c>
      <c r="W22" s="206">
        <f>'P &amp; NP'!FK499</f>
        <v>0</v>
      </c>
      <c r="X22" s="206">
        <f>'P &amp; NP'!FL499</f>
        <v>0</v>
      </c>
      <c r="Y22" s="206">
        <f>'P &amp; NP'!GA499</f>
        <v>0</v>
      </c>
      <c r="Z22" s="206">
        <f>'P &amp; NP'!GB499</f>
        <v>0</v>
      </c>
      <c r="AA22" s="206">
        <f>'P &amp; NP'!GQ499</f>
        <v>0</v>
      </c>
      <c r="AB22" s="206">
        <f>'P &amp; NP'!GR499</f>
        <v>0</v>
      </c>
      <c r="AC22" s="206">
        <f>'P &amp; NP'!HG499</f>
        <v>0</v>
      </c>
      <c r="AD22" s="206">
        <f>'P &amp; NP'!HH499</f>
        <v>0</v>
      </c>
      <c r="AE22" s="206">
        <f>'P &amp; NP'!HW499</f>
        <v>0</v>
      </c>
      <c r="AF22" s="206">
        <f>'P &amp; NP'!HX499</f>
        <v>0</v>
      </c>
      <c r="AG22" s="206">
        <f>'P &amp; NP'!IM499</f>
        <v>0</v>
      </c>
      <c r="AH22" s="206">
        <f>'P &amp; NP'!IN499</f>
        <v>0</v>
      </c>
      <c r="AI22" s="206">
        <f>'P &amp; NP'!JC499</f>
        <v>0</v>
      </c>
      <c r="AJ22" s="206">
        <f>'P &amp; NP'!JD499</f>
        <v>0</v>
      </c>
      <c r="AK22" s="206">
        <f>'P &amp; NP'!JS499</f>
        <v>0</v>
      </c>
      <c r="AL22" s="206">
        <f>'P &amp; NP'!JT499</f>
        <v>0</v>
      </c>
      <c r="AM22" s="206">
        <f>'P &amp; NP'!KI499</f>
        <v>0</v>
      </c>
      <c r="AN22" s="206">
        <f>'P &amp; NP'!KJ499</f>
        <v>0</v>
      </c>
      <c r="AO22" s="206">
        <f>'P &amp; NP'!KY499</f>
        <v>0</v>
      </c>
      <c r="AP22" s="206">
        <f>'P &amp; NP'!KZ499</f>
        <v>0</v>
      </c>
      <c r="AQ22" s="206">
        <f>'P &amp; NP'!LO499</f>
        <v>0</v>
      </c>
      <c r="AR22" s="206">
        <f>'P &amp; NP'!LP499</f>
        <v>0</v>
      </c>
      <c r="AS22" s="206">
        <f>'P &amp; NP'!ME499</f>
        <v>0</v>
      </c>
      <c r="AT22" s="206">
        <f>'P &amp; NP'!MF499</f>
        <v>0</v>
      </c>
      <c r="AU22" s="206">
        <f>'P &amp; NP'!MU499</f>
        <v>0</v>
      </c>
      <c r="AV22" s="206">
        <f>'P &amp; NP'!MV499</f>
        <v>0</v>
      </c>
      <c r="AW22" s="206">
        <f>'P &amp; NP'!NK499</f>
        <v>0</v>
      </c>
      <c r="AX22" s="206">
        <f>'P &amp; NP'!NL499</f>
        <v>0</v>
      </c>
      <c r="AY22" s="206">
        <f>'P &amp; NP'!OA499</f>
        <v>0</v>
      </c>
      <c r="AZ22" s="206">
        <f>'P &amp; NP'!OB499</f>
        <v>0</v>
      </c>
      <c r="BA22" s="206">
        <f>'P &amp; NP'!OQ499</f>
        <v>0</v>
      </c>
      <c r="BB22" s="206">
        <f>'P &amp; NP'!OR499</f>
        <v>0</v>
      </c>
      <c r="BC22" s="206">
        <f>'P &amp; NP'!PG499</f>
        <v>0</v>
      </c>
      <c r="BD22" s="206">
        <f>'P &amp; NP'!PH499</f>
        <v>0</v>
      </c>
      <c r="BE22" s="206">
        <f>'P &amp; NP'!PW499</f>
        <v>0</v>
      </c>
      <c r="BF22" s="206">
        <f>'P &amp; NP'!PX499</f>
        <v>0</v>
      </c>
      <c r="BG22" s="206">
        <f>'P &amp; NP'!QM499</f>
        <v>0</v>
      </c>
      <c r="BH22" s="206">
        <f>'P &amp; NP'!QN499</f>
        <v>0</v>
      </c>
      <c r="BI22" s="206">
        <f>'P &amp; NP'!RC499</f>
        <v>0</v>
      </c>
      <c r="BJ22" s="206">
        <f>'P &amp; NP'!RD499</f>
        <v>0</v>
      </c>
      <c r="BK22" s="206">
        <f>'P &amp; NP'!RS499</f>
        <v>0</v>
      </c>
      <c r="BL22" s="206">
        <f>'P &amp; NP'!RT499</f>
        <v>0</v>
      </c>
      <c r="BM22" s="206">
        <f>'P &amp; NP'!SI499</f>
        <v>0</v>
      </c>
      <c r="BN22" s="206">
        <f>'P &amp; NP'!SJ499</f>
        <v>0</v>
      </c>
      <c r="BO22" s="206">
        <f>'P &amp; NP'!SY499</f>
        <v>0</v>
      </c>
      <c r="BP22" s="206">
        <f>'P &amp; NP'!SZ499</f>
        <v>0</v>
      </c>
      <c r="BQ22" s="206">
        <f>'P &amp; NP'!TO499</f>
        <v>0</v>
      </c>
      <c r="BR22" s="206">
        <f>'P &amp; NP'!TP499</f>
        <v>0</v>
      </c>
      <c r="BS22" s="206">
        <f>'P &amp; NP'!UE499</f>
        <v>0</v>
      </c>
      <c r="BT22" s="206">
        <f>'P &amp; NP'!UF499</f>
        <v>0</v>
      </c>
      <c r="BU22" s="206">
        <f>'P &amp; NP'!UU499</f>
        <v>0</v>
      </c>
      <c r="BV22" s="206">
        <f>'P &amp; NP'!UV499</f>
        <v>0</v>
      </c>
      <c r="BW22" s="206">
        <f>'P &amp; NP'!VK499</f>
        <v>0</v>
      </c>
      <c r="BX22" s="206">
        <f>'P &amp; NP'!VL499</f>
        <v>0</v>
      </c>
      <c r="BY22" s="206">
        <f>'P &amp; NP'!WA499</f>
        <v>0</v>
      </c>
      <c r="BZ22" s="206">
        <f>'P &amp; NP'!WB499</f>
        <v>0</v>
      </c>
      <c r="CB22" s="206">
        <f t="shared" si="2"/>
        <v>0</v>
      </c>
      <c r="CC22" s="206">
        <f t="shared" si="3"/>
        <v>0</v>
      </c>
    </row>
    <row r="23" spans="2:81">
      <c r="B23" s="207" t="str">
        <f>'P &amp; NP'!B29</f>
        <v xml:space="preserve">Lobster Air Tawar, Cherax </v>
      </c>
      <c r="C23" s="206">
        <f>'P &amp; NP'!G500</f>
        <v>0</v>
      </c>
      <c r="D23" s="206">
        <f>'P &amp; NP'!H500</f>
        <v>0</v>
      </c>
      <c r="E23" s="206">
        <f>'P &amp; NP'!W500</f>
        <v>0</v>
      </c>
      <c r="F23" s="206">
        <f>'P &amp; NP'!X500</f>
        <v>0</v>
      </c>
      <c r="G23" s="206">
        <f>'P &amp; NP'!AM500</f>
        <v>0</v>
      </c>
      <c r="H23" s="206">
        <f>'P &amp; NP'!AN500</f>
        <v>0</v>
      </c>
      <c r="I23" s="206">
        <f>'P &amp; NP'!BC500</f>
        <v>0</v>
      </c>
      <c r="J23" s="206">
        <f>'P &amp; NP'!BD500</f>
        <v>0</v>
      </c>
      <c r="K23" s="206">
        <f>'P &amp; NP'!BS500</f>
        <v>0</v>
      </c>
      <c r="L23" s="206">
        <f>'P &amp; NP'!BT500</f>
        <v>0</v>
      </c>
      <c r="M23" s="206">
        <f>'P &amp; NP'!CI500</f>
        <v>0</v>
      </c>
      <c r="N23" s="206">
        <f>'P &amp; NP'!CJ500</f>
        <v>0</v>
      </c>
      <c r="O23" s="206">
        <f>'P &amp; NP'!CY500</f>
        <v>0</v>
      </c>
      <c r="P23" s="206">
        <f>'P &amp; NP'!CZ500</f>
        <v>0</v>
      </c>
      <c r="Q23" s="206">
        <f>'P &amp; NP'!DO500</f>
        <v>0</v>
      </c>
      <c r="R23" s="206">
        <f>'P &amp; NP'!DP500</f>
        <v>0</v>
      </c>
      <c r="S23" s="206">
        <f>'P &amp; NP'!EE500</f>
        <v>0</v>
      </c>
      <c r="T23" s="206">
        <f>'P &amp; NP'!EF500</f>
        <v>0</v>
      </c>
      <c r="U23" s="206">
        <f>'P &amp; NP'!EU500</f>
        <v>0</v>
      </c>
      <c r="V23" s="206">
        <f>'P &amp; NP'!EV500</f>
        <v>0</v>
      </c>
      <c r="W23" s="206">
        <f>'P &amp; NP'!FK500</f>
        <v>0</v>
      </c>
      <c r="X23" s="206">
        <f>'P &amp; NP'!FL500</f>
        <v>0</v>
      </c>
      <c r="Y23" s="206">
        <f>'P &amp; NP'!GA500</f>
        <v>0</v>
      </c>
      <c r="Z23" s="206">
        <f>'P &amp; NP'!GB500</f>
        <v>0</v>
      </c>
      <c r="AA23" s="206">
        <f>'P &amp; NP'!GQ500</f>
        <v>0</v>
      </c>
      <c r="AB23" s="206">
        <f>'P &amp; NP'!GR500</f>
        <v>0</v>
      </c>
      <c r="AC23" s="206">
        <f>'P &amp; NP'!HG500</f>
        <v>0</v>
      </c>
      <c r="AD23" s="206">
        <f>'P &amp; NP'!HH500</f>
        <v>0</v>
      </c>
      <c r="AE23" s="206">
        <f>'P &amp; NP'!HW500</f>
        <v>0</v>
      </c>
      <c r="AF23" s="206">
        <f>'P &amp; NP'!HX500</f>
        <v>0</v>
      </c>
      <c r="AG23" s="206">
        <f>'P &amp; NP'!IM500</f>
        <v>0</v>
      </c>
      <c r="AH23" s="206">
        <f>'P &amp; NP'!IN500</f>
        <v>0</v>
      </c>
      <c r="AI23" s="206">
        <f>'P &amp; NP'!JC500</f>
        <v>0</v>
      </c>
      <c r="AJ23" s="206">
        <f>'P &amp; NP'!JD500</f>
        <v>0</v>
      </c>
      <c r="AK23" s="206">
        <f>'P &amp; NP'!JS500</f>
        <v>0</v>
      </c>
      <c r="AL23" s="206">
        <f>'P &amp; NP'!JT500</f>
        <v>0</v>
      </c>
      <c r="AM23" s="206">
        <f>'P &amp; NP'!KI500</f>
        <v>0</v>
      </c>
      <c r="AN23" s="206">
        <f>'P &amp; NP'!KJ500</f>
        <v>0</v>
      </c>
      <c r="AO23" s="206">
        <f>'P &amp; NP'!KY500</f>
        <v>0</v>
      </c>
      <c r="AP23" s="206">
        <f>'P &amp; NP'!KZ500</f>
        <v>0</v>
      </c>
      <c r="AQ23" s="206">
        <f>'P &amp; NP'!LO500</f>
        <v>0</v>
      </c>
      <c r="AR23" s="206">
        <f>'P &amp; NP'!LP500</f>
        <v>0</v>
      </c>
      <c r="AS23" s="206">
        <f>'P &amp; NP'!ME500</f>
        <v>0</v>
      </c>
      <c r="AT23" s="206">
        <f>'P &amp; NP'!MF500</f>
        <v>0</v>
      </c>
      <c r="AU23" s="206">
        <f>'P &amp; NP'!MU500</f>
        <v>0</v>
      </c>
      <c r="AV23" s="206">
        <f>'P &amp; NP'!MV500</f>
        <v>0</v>
      </c>
      <c r="AW23" s="206">
        <f>'P &amp; NP'!NK500</f>
        <v>0</v>
      </c>
      <c r="AX23" s="206">
        <f>'P &amp; NP'!NL500</f>
        <v>0</v>
      </c>
      <c r="AY23" s="206">
        <f>'P &amp; NP'!OA500</f>
        <v>0</v>
      </c>
      <c r="AZ23" s="206">
        <f>'P &amp; NP'!OB500</f>
        <v>0</v>
      </c>
      <c r="BA23" s="206">
        <f>'P &amp; NP'!OQ500</f>
        <v>0</v>
      </c>
      <c r="BB23" s="206">
        <f>'P &amp; NP'!OR500</f>
        <v>0</v>
      </c>
      <c r="BC23" s="206">
        <f>'P &amp; NP'!PG500</f>
        <v>0</v>
      </c>
      <c r="BD23" s="206">
        <f>'P &amp; NP'!PH500</f>
        <v>0</v>
      </c>
      <c r="BE23" s="206">
        <f>'P &amp; NP'!PW500</f>
        <v>0</v>
      </c>
      <c r="BF23" s="206">
        <f>'P &amp; NP'!PX500</f>
        <v>0</v>
      </c>
      <c r="BG23" s="206">
        <f>'P &amp; NP'!QM500</f>
        <v>0</v>
      </c>
      <c r="BH23" s="206">
        <f>'P &amp; NP'!QN500</f>
        <v>0</v>
      </c>
      <c r="BI23" s="206">
        <f>'P &amp; NP'!RC500</f>
        <v>0</v>
      </c>
      <c r="BJ23" s="206">
        <f>'P &amp; NP'!RD500</f>
        <v>0</v>
      </c>
      <c r="BK23" s="206">
        <f>'P &amp; NP'!RS500</f>
        <v>0</v>
      </c>
      <c r="BL23" s="206">
        <f>'P &amp; NP'!RT500</f>
        <v>0</v>
      </c>
      <c r="BM23" s="206">
        <f>'P &amp; NP'!SI500</f>
        <v>0</v>
      </c>
      <c r="BN23" s="206">
        <f>'P &amp; NP'!SJ500</f>
        <v>0</v>
      </c>
      <c r="BO23" s="206">
        <f>'P &amp; NP'!SY500</f>
        <v>0</v>
      </c>
      <c r="BP23" s="206">
        <f>'P &amp; NP'!SZ500</f>
        <v>0</v>
      </c>
      <c r="BQ23" s="206">
        <f>'P &amp; NP'!TO500</f>
        <v>0</v>
      </c>
      <c r="BR23" s="206">
        <f>'P &amp; NP'!TP500</f>
        <v>0</v>
      </c>
      <c r="BS23" s="206">
        <f>'P &amp; NP'!UE500</f>
        <v>0</v>
      </c>
      <c r="BT23" s="206">
        <f>'P &amp; NP'!UF500</f>
        <v>0</v>
      </c>
      <c r="BU23" s="206">
        <f>'P &amp; NP'!UU500</f>
        <v>0</v>
      </c>
      <c r="BV23" s="206">
        <f>'P &amp; NP'!UV500</f>
        <v>0</v>
      </c>
      <c r="BW23" s="206">
        <f>'P &amp; NP'!VK500</f>
        <v>0</v>
      </c>
      <c r="BX23" s="206">
        <f>'P &amp; NP'!VL500</f>
        <v>0</v>
      </c>
      <c r="BY23" s="206">
        <f>'P &amp; NP'!WA500</f>
        <v>0</v>
      </c>
      <c r="BZ23" s="206">
        <f>'P &amp; NP'!WB500</f>
        <v>0</v>
      </c>
      <c r="CB23" s="206">
        <f t="shared" si="2"/>
        <v>0</v>
      </c>
      <c r="CC23" s="206">
        <f t="shared" si="3"/>
        <v>0</v>
      </c>
    </row>
    <row r="24" spans="2:81">
      <c r="B24" s="207" t="str">
        <f>'P &amp; NP'!B30</f>
        <v xml:space="preserve">Mas, Ikan Mas, Karper </v>
      </c>
      <c r="C24" s="206">
        <f>'P &amp; NP'!G501</f>
        <v>0</v>
      </c>
      <c r="D24" s="206">
        <f>'P &amp; NP'!H501</f>
        <v>0</v>
      </c>
      <c r="E24" s="206">
        <f>'P &amp; NP'!W501</f>
        <v>0</v>
      </c>
      <c r="F24" s="206">
        <f>'P &amp; NP'!X501</f>
        <v>0</v>
      </c>
      <c r="G24" s="206">
        <f>'P &amp; NP'!AM501</f>
        <v>0</v>
      </c>
      <c r="H24" s="206">
        <f>'P &amp; NP'!AN501</f>
        <v>0</v>
      </c>
      <c r="I24" s="206">
        <f>'P &amp; NP'!BC501</f>
        <v>0</v>
      </c>
      <c r="J24" s="206">
        <f>'P &amp; NP'!BD501</f>
        <v>0</v>
      </c>
      <c r="K24" s="206">
        <f>'P &amp; NP'!BS501</f>
        <v>0</v>
      </c>
      <c r="L24" s="206">
        <f>'P &amp; NP'!BT501</f>
        <v>0</v>
      </c>
      <c r="M24" s="206">
        <f>'P &amp; NP'!CI501</f>
        <v>0</v>
      </c>
      <c r="N24" s="206">
        <f>'P &amp; NP'!CJ501</f>
        <v>0</v>
      </c>
      <c r="O24" s="206">
        <f>'P &amp; NP'!CY501</f>
        <v>0</v>
      </c>
      <c r="P24" s="206">
        <f>'P &amp; NP'!CZ501</f>
        <v>0</v>
      </c>
      <c r="Q24" s="206">
        <f>'P &amp; NP'!DO501</f>
        <v>0</v>
      </c>
      <c r="R24" s="206">
        <f>'P &amp; NP'!DP501</f>
        <v>0</v>
      </c>
      <c r="S24" s="206">
        <f>'P &amp; NP'!EE501</f>
        <v>0</v>
      </c>
      <c r="T24" s="206">
        <f>'P &amp; NP'!EF501</f>
        <v>0</v>
      </c>
      <c r="U24" s="206">
        <f>'P &amp; NP'!EU501</f>
        <v>0</v>
      </c>
      <c r="V24" s="206">
        <f>'P &amp; NP'!EV501</f>
        <v>0</v>
      </c>
      <c r="W24" s="206">
        <f>'P &amp; NP'!FK501</f>
        <v>0</v>
      </c>
      <c r="X24" s="206">
        <f>'P &amp; NP'!FL501</f>
        <v>0</v>
      </c>
      <c r="Y24" s="206">
        <f>'P &amp; NP'!GA501</f>
        <v>0</v>
      </c>
      <c r="Z24" s="206">
        <f>'P &amp; NP'!GB501</f>
        <v>0</v>
      </c>
      <c r="AA24" s="206">
        <f>'P &amp; NP'!GQ501</f>
        <v>0</v>
      </c>
      <c r="AB24" s="206">
        <f>'P &amp; NP'!GR501</f>
        <v>0</v>
      </c>
      <c r="AC24" s="206">
        <f>'P &amp; NP'!HG501</f>
        <v>0</v>
      </c>
      <c r="AD24" s="206">
        <f>'P &amp; NP'!HH501</f>
        <v>0</v>
      </c>
      <c r="AE24" s="206">
        <f>'P &amp; NP'!HW501</f>
        <v>0</v>
      </c>
      <c r="AF24" s="206">
        <f>'P &amp; NP'!HX501</f>
        <v>0</v>
      </c>
      <c r="AG24" s="206">
        <f>'P &amp; NP'!IM501</f>
        <v>0</v>
      </c>
      <c r="AH24" s="206">
        <f>'P &amp; NP'!IN501</f>
        <v>0</v>
      </c>
      <c r="AI24" s="206">
        <f>'P &amp; NP'!JC501</f>
        <v>0</v>
      </c>
      <c r="AJ24" s="206">
        <f>'P &amp; NP'!JD501</f>
        <v>0</v>
      </c>
      <c r="AK24" s="206">
        <f>'P &amp; NP'!JS501</f>
        <v>0</v>
      </c>
      <c r="AL24" s="206">
        <f>'P &amp; NP'!JT501</f>
        <v>0</v>
      </c>
      <c r="AM24" s="206">
        <f>'P &amp; NP'!KI501</f>
        <v>0</v>
      </c>
      <c r="AN24" s="206">
        <f>'P &amp; NP'!KJ501</f>
        <v>0</v>
      </c>
      <c r="AO24" s="206">
        <f>'P &amp; NP'!KY501</f>
        <v>0</v>
      </c>
      <c r="AP24" s="206">
        <f>'P &amp; NP'!KZ501</f>
        <v>0</v>
      </c>
      <c r="AQ24" s="206">
        <f>'P &amp; NP'!LO501</f>
        <v>0</v>
      </c>
      <c r="AR24" s="206">
        <f>'P &amp; NP'!LP501</f>
        <v>0</v>
      </c>
      <c r="AS24" s="206">
        <f>'P &amp; NP'!ME501</f>
        <v>0</v>
      </c>
      <c r="AT24" s="206">
        <f>'P &amp; NP'!MF501</f>
        <v>0</v>
      </c>
      <c r="AU24" s="206">
        <f>'P &amp; NP'!MU501</f>
        <v>0</v>
      </c>
      <c r="AV24" s="206">
        <f>'P &amp; NP'!MV501</f>
        <v>0</v>
      </c>
      <c r="AW24" s="206">
        <f>'P &amp; NP'!NK501</f>
        <v>0</v>
      </c>
      <c r="AX24" s="206">
        <f>'P &amp; NP'!NL501</f>
        <v>0</v>
      </c>
      <c r="AY24" s="206">
        <f>'P &amp; NP'!OA501</f>
        <v>0</v>
      </c>
      <c r="AZ24" s="206">
        <f>'P &amp; NP'!OB501</f>
        <v>0</v>
      </c>
      <c r="BA24" s="206">
        <f>'P &amp; NP'!OQ501</f>
        <v>0</v>
      </c>
      <c r="BB24" s="206">
        <f>'P &amp; NP'!OR501</f>
        <v>0</v>
      </c>
      <c r="BC24" s="206">
        <f>'P &amp; NP'!PG501</f>
        <v>0</v>
      </c>
      <c r="BD24" s="206">
        <f>'P &amp; NP'!PH501</f>
        <v>0</v>
      </c>
      <c r="BE24" s="206">
        <f>'P &amp; NP'!PW501</f>
        <v>0</v>
      </c>
      <c r="BF24" s="206">
        <f>'P &amp; NP'!PX501</f>
        <v>0</v>
      </c>
      <c r="BG24" s="206">
        <f>'P &amp; NP'!QM501</f>
        <v>0</v>
      </c>
      <c r="BH24" s="206">
        <f>'P &amp; NP'!QN501</f>
        <v>0</v>
      </c>
      <c r="BI24" s="206">
        <f>'P &amp; NP'!RC501</f>
        <v>0</v>
      </c>
      <c r="BJ24" s="206">
        <f>'P &amp; NP'!RD501</f>
        <v>0</v>
      </c>
      <c r="BK24" s="206">
        <f>'P &amp; NP'!RS501</f>
        <v>0</v>
      </c>
      <c r="BL24" s="206">
        <f>'P &amp; NP'!RT501</f>
        <v>0</v>
      </c>
      <c r="BM24" s="206">
        <f>'P &amp; NP'!SI501</f>
        <v>0</v>
      </c>
      <c r="BN24" s="206">
        <f>'P &amp; NP'!SJ501</f>
        <v>0</v>
      </c>
      <c r="BO24" s="206">
        <f>'P &amp; NP'!SY501</f>
        <v>0</v>
      </c>
      <c r="BP24" s="206">
        <f>'P &amp; NP'!SZ501</f>
        <v>0</v>
      </c>
      <c r="BQ24" s="206">
        <f>'P &amp; NP'!TO501</f>
        <v>0</v>
      </c>
      <c r="BR24" s="206">
        <f>'P &amp; NP'!TP501</f>
        <v>0</v>
      </c>
      <c r="BS24" s="206">
        <f>'P &amp; NP'!UE501</f>
        <v>0</v>
      </c>
      <c r="BT24" s="206">
        <f>'P &amp; NP'!UF501</f>
        <v>0</v>
      </c>
      <c r="BU24" s="206">
        <f>'P &amp; NP'!UU501</f>
        <v>0</v>
      </c>
      <c r="BV24" s="206">
        <f>'P &amp; NP'!UV501</f>
        <v>0</v>
      </c>
      <c r="BW24" s="206">
        <f>'P &amp; NP'!VK501</f>
        <v>0</v>
      </c>
      <c r="BX24" s="206">
        <f>'P &amp; NP'!VL501</f>
        <v>0</v>
      </c>
      <c r="BY24" s="206">
        <f>'P &amp; NP'!WA501</f>
        <v>0</v>
      </c>
      <c r="BZ24" s="206">
        <f>'P &amp; NP'!WB501</f>
        <v>0</v>
      </c>
      <c r="CB24" s="206">
        <f t="shared" si="2"/>
        <v>0</v>
      </c>
      <c r="CC24" s="206">
        <f t="shared" si="3"/>
        <v>0</v>
      </c>
    </row>
    <row r="25" spans="2:81">
      <c r="B25" s="207" t="str">
        <f>'P &amp; NP'!B31</f>
        <v xml:space="preserve">Mujair </v>
      </c>
      <c r="C25" s="206">
        <f>'P &amp; NP'!G502</f>
        <v>0</v>
      </c>
      <c r="D25" s="206">
        <f>'P &amp; NP'!H502</f>
        <v>0</v>
      </c>
      <c r="E25" s="206">
        <f>'P &amp; NP'!W502</f>
        <v>0</v>
      </c>
      <c r="F25" s="206">
        <f>'P &amp; NP'!X502</f>
        <v>0</v>
      </c>
      <c r="G25" s="206">
        <f>'P &amp; NP'!AM502</f>
        <v>0</v>
      </c>
      <c r="H25" s="206">
        <f>'P &amp; NP'!AN502</f>
        <v>0</v>
      </c>
      <c r="I25" s="206">
        <f>'P &amp; NP'!BC502</f>
        <v>0</v>
      </c>
      <c r="J25" s="206">
        <f>'P &amp; NP'!BD502</f>
        <v>0</v>
      </c>
      <c r="K25" s="206">
        <f>'P &amp; NP'!BS502</f>
        <v>0</v>
      </c>
      <c r="L25" s="206">
        <f>'P &amp; NP'!BT502</f>
        <v>0</v>
      </c>
      <c r="M25" s="206">
        <f>'P &amp; NP'!CI502</f>
        <v>0</v>
      </c>
      <c r="N25" s="206">
        <f>'P &amp; NP'!CJ502</f>
        <v>0</v>
      </c>
      <c r="O25" s="206">
        <f>'P &amp; NP'!CY502</f>
        <v>0</v>
      </c>
      <c r="P25" s="206">
        <f>'P &amp; NP'!CZ502</f>
        <v>0</v>
      </c>
      <c r="Q25" s="206">
        <f>'P &amp; NP'!DO502</f>
        <v>0</v>
      </c>
      <c r="R25" s="206">
        <f>'P &amp; NP'!DP502</f>
        <v>0</v>
      </c>
      <c r="S25" s="206">
        <f>'P &amp; NP'!EE502</f>
        <v>0</v>
      </c>
      <c r="T25" s="206">
        <f>'P &amp; NP'!EF502</f>
        <v>0</v>
      </c>
      <c r="U25" s="206">
        <f>'P &amp; NP'!EU502</f>
        <v>0</v>
      </c>
      <c r="V25" s="206">
        <f>'P &amp; NP'!EV502</f>
        <v>0</v>
      </c>
      <c r="W25" s="206">
        <f>'P &amp; NP'!FK502</f>
        <v>0</v>
      </c>
      <c r="X25" s="206">
        <f>'P &amp; NP'!FL502</f>
        <v>0</v>
      </c>
      <c r="Y25" s="206">
        <f>'P &amp; NP'!GA502</f>
        <v>0</v>
      </c>
      <c r="Z25" s="206">
        <f>'P &amp; NP'!GB502</f>
        <v>0</v>
      </c>
      <c r="AA25" s="206">
        <f>'P &amp; NP'!GQ502</f>
        <v>0</v>
      </c>
      <c r="AB25" s="206">
        <f>'P &amp; NP'!GR502</f>
        <v>0</v>
      </c>
      <c r="AC25" s="206">
        <f>'P &amp; NP'!HG502</f>
        <v>0</v>
      </c>
      <c r="AD25" s="206">
        <f>'P &amp; NP'!HH502</f>
        <v>0</v>
      </c>
      <c r="AE25" s="206">
        <f>'P &amp; NP'!HW502</f>
        <v>0</v>
      </c>
      <c r="AF25" s="206">
        <f>'P &amp; NP'!HX502</f>
        <v>0</v>
      </c>
      <c r="AG25" s="206">
        <f>'P &amp; NP'!IM502</f>
        <v>0</v>
      </c>
      <c r="AH25" s="206">
        <f>'P &amp; NP'!IN502</f>
        <v>0</v>
      </c>
      <c r="AI25" s="206">
        <f>'P &amp; NP'!JC502</f>
        <v>0</v>
      </c>
      <c r="AJ25" s="206">
        <f>'P &amp; NP'!JD502</f>
        <v>0</v>
      </c>
      <c r="AK25" s="206">
        <f>'P &amp; NP'!JS502</f>
        <v>0</v>
      </c>
      <c r="AL25" s="206">
        <f>'P &amp; NP'!JT502</f>
        <v>0</v>
      </c>
      <c r="AM25" s="206">
        <f>'P &amp; NP'!KI502</f>
        <v>0</v>
      </c>
      <c r="AN25" s="206">
        <f>'P &amp; NP'!KJ502</f>
        <v>0</v>
      </c>
      <c r="AO25" s="206">
        <f>'P &amp; NP'!KY502</f>
        <v>0</v>
      </c>
      <c r="AP25" s="206">
        <f>'P &amp; NP'!KZ502</f>
        <v>0</v>
      </c>
      <c r="AQ25" s="206">
        <f>'P &amp; NP'!LO502</f>
        <v>0</v>
      </c>
      <c r="AR25" s="206">
        <f>'P &amp; NP'!LP502</f>
        <v>0</v>
      </c>
      <c r="AS25" s="206">
        <f>'P &amp; NP'!ME502</f>
        <v>0</v>
      </c>
      <c r="AT25" s="206">
        <f>'P &amp; NP'!MF502</f>
        <v>0</v>
      </c>
      <c r="AU25" s="206">
        <f>'P &amp; NP'!MU502</f>
        <v>0</v>
      </c>
      <c r="AV25" s="206">
        <f>'P &amp; NP'!MV502</f>
        <v>0</v>
      </c>
      <c r="AW25" s="206">
        <f>'P &amp; NP'!NK502</f>
        <v>0</v>
      </c>
      <c r="AX25" s="206">
        <f>'P &amp; NP'!NL502</f>
        <v>0</v>
      </c>
      <c r="AY25" s="206">
        <f>'P &amp; NP'!OA502</f>
        <v>0</v>
      </c>
      <c r="AZ25" s="206">
        <f>'P &amp; NP'!OB502</f>
        <v>0</v>
      </c>
      <c r="BA25" s="206">
        <f>'P &amp; NP'!OQ502</f>
        <v>0</v>
      </c>
      <c r="BB25" s="206">
        <f>'P &amp; NP'!OR502</f>
        <v>0</v>
      </c>
      <c r="BC25" s="206">
        <f>'P &amp; NP'!PG502</f>
        <v>0</v>
      </c>
      <c r="BD25" s="206">
        <f>'P &amp; NP'!PH502</f>
        <v>0</v>
      </c>
      <c r="BE25" s="206">
        <f>'P &amp; NP'!PW502</f>
        <v>0</v>
      </c>
      <c r="BF25" s="206">
        <f>'P &amp; NP'!PX502</f>
        <v>0</v>
      </c>
      <c r="BG25" s="206">
        <f>'P &amp; NP'!QM502</f>
        <v>0</v>
      </c>
      <c r="BH25" s="206">
        <f>'P &amp; NP'!QN502</f>
        <v>0</v>
      </c>
      <c r="BI25" s="206">
        <f>'P &amp; NP'!RC502</f>
        <v>0</v>
      </c>
      <c r="BJ25" s="206">
        <f>'P &amp; NP'!RD502</f>
        <v>0</v>
      </c>
      <c r="BK25" s="206">
        <f>'P &amp; NP'!RS502</f>
        <v>0</v>
      </c>
      <c r="BL25" s="206">
        <f>'P &amp; NP'!RT502</f>
        <v>0</v>
      </c>
      <c r="BM25" s="206">
        <f>'P &amp; NP'!SI502</f>
        <v>0</v>
      </c>
      <c r="BN25" s="206">
        <f>'P &amp; NP'!SJ502</f>
        <v>0</v>
      </c>
      <c r="BO25" s="206">
        <f>'P &amp; NP'!SY502</f>
        <v>0</v>
      </c>
      <c r="BP25" s="206">
        <f>'P &amp; NP'!SZ502</f>
        <v>0</v>
      </c>
      <c r="BQ25" s="206">
        <f>'P &amp; NP'!TO502</f>
        <v>0</v>
      </c>
      <c r="BR25" s="206">
        <f>'P &amp; NP'!TP502</f>
        <v>0</v>
      </c>
      <c r="BS25" s="206">
        <f>'P &amp; NP'!UE502</f>
        <v>0</v>
      </c>
      <c r="BT25" s="206">
        <f>'P &amp; NP'!UF502</f>
        <v>0</v>
      </c>
      <c r="BU25" s="206">
        <f>'P &amp; NP'!UU502</f>
        <v>0</v>
      </c>
      <c r="BV25" s="206">
        <f>'P &amp; NP'!UV502</f>
        <v>0</v>
      </c>
      <c r="BW25" s="206">
        <f>'P &amp; NP'!VK502</f>
        <v>0</v>
      </c>
      <c r="BX25" s="206">
        <f>'P &amp; NP'!VL502</f>
        <v>0</v>
      </c>
      <c r="BY25" s="206">
        <f>'P &amp; NP'!WA502</f>
        <v>0</v>
      </c>
      <c r="BZ25" s="206">
        <f>'P &amp; NP'!WB502</f>
        <v>0</v>
      </c>
      <c r="CB25" s="206">
        <f t="shared" si="2"/>
        <v>0</v>
      </c>
      <c r="CC25" s="206">
        <f t="shared" si="3"/>
        <v>0</v>
      </c>
    </row>
    <row r="26" spans="2:81">
      <c r="B26" s="207" t="str">
        <f>'P &amp; NP'!B32</f>
        <v xml:space="preserve">Nila </v>
      </c>
      <c r="C26" s="206">
        <f>'P &amp; NP'!G503</f>
        <v>0</v>
      </c>
      <c r="D26" s="206">
        <f>'P &amp; NP'!H503</f>
        <v>0</v>
      </c>
      <c r="E26" s="206">
        <f>'P &amp; NP'!W503</f>
        <v>0</v>
      </c>
      <c r="F26" s="206">
        <f>'P &amp; NP'!X503</f>
        <v>0</v>
      </c>
      <c r="G26" s="206">
        <f>'P &amp; NP'!AM503</f>
        <v>0</v>
      </c>
      <c r="H26" s="206">
        <f>'P &amp; NP'!AN503</f>
        <v>0</v>
      </c>
      <c r="I26" s="206">
        <f>'P &amp; NP'!BC503</f>
        <v>0</v>
      </c>
      <c r="J26" s="206">
        <f>'P &amp; NP'!BD503</f>
        <v>0</v>
      </c>
      <c r="K26" s="206">
        <f>'P &amp; NP'!BS503</f>
        <v>0</v>
      </c>
      <c r="L26" s="206">
        <f>'P &amp; NP'!BT503</f>
        <v>0</v>
      </c>
      <c r="M26" s="206">
        <f>'P &amp; NP'!CI503</f>
        <v>0</v>
      </c>
      <c r="N26" s="206">
        <f>'P &amp; NP'!CJ503</f>
        <v>0</v>
      </c>
      <c r="O26" s="206">
        <f>'P &amp; NP'!CY503</f>
        <v>0</v>
      </c>
      <c r="P26" s="206">
        <f>'P &amp; NP'!CZ503</f>
        <v>0</v>
      </c>
      <c r="Q26" s="206">
        <f>'P &amp; NP'!DO503</f>
        <v>0</v>
      </c>
      <c r="R26" s="206">
        <f>'P &amp; NP'!DP503</f>
        <v>0</v>
      </c>
      <c r="S26" s="206">
        <f>'P &amp; NP'!EE503</f>
        <v>0</v>
      </c>
      <c r="T26" s="206">
        <f>'P &amp; NP'!EF503</f>
        <v>0</v>
      </c>
      <c r="U26" s="206">
        <f>'P &amp; NP'!EU503</f>
        <v>0</v>
      </c>
      <c r="V26" s="206">
        <f>'P &amp; NP'!EV503</f>
        <v>0</v>
      </c>
      <c r="W26" s="206">
        <f>'P &amp; NP'!FK503</f>
        <v>0</v>
      </c>
      <c r="X26" s="206">
        <f>'P &amp; NP'!FL503</f>
        <v>0</v>
      </c>
      <c r="Y26" s="206">
        <f>'P &amp; NP'!GA503</f>
        <v>0</v>
      </c>
      <c r="Z26" s="206">
        <f>'P &amp; NP'!GB503</f>
        <v>0</v>
      </c>
      <c r="AA26" s="206">
        <f>'P &amp; NP'!GQ503</f>
        <v>0</v>
      </c>
      <c r="AB26" s="206">
        <f>'P &amp; NP'!GR503</f>
        <v>0</v>
      </c>
      <c r="AC26" s="206">
        <f>'P &amp; NP'!HG503</f>
        <v>0</v>
      </c>
      <c r="AD26" s="206">
        <f>'P &amp; NP'!HH503</f>
        <v>0</v>
      </c>
      <c r="AE26" s="206">
        <f>'P &amp; NP'!HW503</f>
        <v>0</v>
      </c>
      <c r="AF26" s="206">
        <f>'P &amp; NP'!HX503</f>
        <v>0</v>
      </c>
      <c r="AG26" s="206">
        <f>'P &amp; NP'!IM503</f>
        <v>0</v>
      </c>
      <c r="AH26" s="206">
        <f>'P &amp; NP'!IN503</f>
        <v>0</v>
      </c>
      <c r="AI26" s="206">
        <f>'P &amp; NP'!JC503</f>
        <v>0</v>
      </c>
      <c r="AJ26" s="206">
        <f>'P &amp; NP'!JD503</f>
        <v>0</v>
      </c>
      <c r="AK26" s="206">
        <f>'P &amp; NP'!JS503</f>
        <v>0</v>
      </c>
      <c r="AL26" s="206">
        <f>'P &amp; NP'!JT503</f>
        <v>0</v>
      </c>
      <c r="AM26" s="206">
        <f>'P &amp; NP'!KI503</f>
        <v>0</v>
      </c>
      <c r="AN26" s="206">
        <f>'P &amp; NP'!KJ503</f>
        <v>0</v>
      </c>
      <c r="AO26" s="206">
        <f>'P &amp; NP'!KY503</f>
        <v>0</v>
      </c>
      <c r="AP26" s="206">
        <f>'P &amp; NP'!KZ503</f>
        <v>0</v>
      </c>
      <c r="AQ26" s="206">
        <f>'P &amp; NP'!LO503</f>
        <v>0</v>
      </c>
      <c r="AR26" s="206">
        <f>'P &amp; NP'!LP503</f>
        <v>0</v>
      </c>
      <c r="AS26" s="206">
        <f>'P &amp; NP'!ME503</f>
        <v>0</v>
      </c>
      <c r="AT26" s="206">
        <f>'P &amp; NP'!MF503</f>
        <v>0</v>
      </c>
      <c r="AU26" s="206">
        <f>'P &amp; NP'!MU503</f>
        <v>0</v>
      </c>
      <c r="AV26" s="206">
        <f>'P &amp; NP'!MV503</f>
        <v>0</v>
      </c>
      <c r="AW26" s="206">
        <f>'P &amp; NP'!NK503</f>
        <v>0</v>
      </c>
      <c r="AX26" s="206">
        <f>'P &amp; NP'!NL503</f>
        <v>0</v>
      </c>
      <c r="AY26" s="206">
        <f>'P &amp; NP'!OA503</f>
        <v>0</v>
      </c>
      <c r="AZ26" s="206">
        <f>'P &amp; NP'!OB503</f>
        <v>0</v>
      </c>
      <c r="BA26" s="206">
        <f>'P &amp; NP'!OQ503</f>
        <v>0</v>
      </c>
      <c r="BB26" s="206">
        <f>'P &amp; NP'!OR503</f>
        <v>0</v>
      </c>
      <c r="BC26" s="206">
        <f>'P &amp; NP'!PG503</f>
        <v>0</v>
      </c>
      <c r="BD26" s="206">
        <f>'P &amp; NP'!PH503</f>
        <v>0</v>
      </c>
      <c r="BE26" s="206">
        <f>'P &amp; NP'!PW503</f>
        <v>0</v>
      </c>
      <c r="BF26" s="206">
        <f>'P &amp; NP'!PX503</f>
        <v>0</v>
      </c>
      <c r="BG26" s="206">
        <f>'P &amp; NP'!QM503</f>
        <v>0</v>
      </c>
      <c r="BH26" s="206">
        <f>'P &amp; NP'!QN503</f>
        <v>0</v>
      </c>
      <c r="BI26" s="206">
        <f>'P &amp; NP'!RC503</f>
        <v>0</v>
      </c>
      <c r="BJ26" s="206">
        <f>'P &amp; NP'!RD503</f>
        <v>0</v>
      </c>
      <c r="BK26" s="206">
        <f>'P &amp; NP'!RS503</f>
        <v>0</v>
      </c>
      <c r="BL26" s="206">
        <f>'P &amp; NP'!RT503</f>
        <v>0</v>
      </c>
      <c r="BM26" s="206">
        <f>'P &amp; NP'!SI503</f>
        <v>0</v>
      </c>
      <c r="BN26" s="206">
        <f>'P &amp; NP'!SJ503</f>
        <v>0</v>
      </c>
      <c r="BO26" s="206">
        <f>'P &amp; NP'!SY503</f>
        <v>0</v>
      </c>
      <c r="BP26" s="206">
        <f>'P &amp; NP'!SZ503</f>
        <v>0</v>
      </c>
      <c r="BQ26" s="206">
        <f>'P &amp; NP'!TO503</f>
        <v>0</v>
      </c>
      <c r="BR26" s="206">
        <f>'P &amp; NP'!TP503</f>
        <v>0</v>
      </c>
      <c r="BS26" s="206">
        <f>'P &amp; NP'!UE503</f>
        <v>0</v>
      </c>
      <c r="BT26" s="206">
        <f>'P &amp; NP'!UF503</f>
        <v>0</v>
      </c>
      <c r="BU26" s="206">
        <f>'P &amp; NP'!UU503</f>
        <v>0</v>
      </c>
      <c r="BV26" s="206">
        <f>'P &amp; NP'!UV503</f>
        <v>0</v>
      </c>
      <c r="BW26" s="206">
        <f>'P &amp; NP'!VK503</f>
        <v>0</v>
      </c>
      <c r="BX26" s="206">
        <f>'P &amp; NP'!VL503</f>
        <v>0</v>
      </c>
      <c r="BY26" s="206">
        <f>'P &amp; NP'!WA503</f>
        <v>0</v>
      </c>
      <c r="BZ26" s="206">
        <f>'P &amp; NP'!WB503</f>
        <v>0</v>
      </c>
      <c r="CB26" s="206">
        <f t="shared" si="2"/>
        <v>0</v>
      </c>
      <c r="CC26" s="206">
        <f t="shared" si="3"/>
        <v>0</v>
      </c>
    </row>
    <row r="27" spans="2:81">
      <c r="B27" s="207" t="str">
        <f>'P &amp; NP'!B33</f>
        <v xml:space="preserve">Patin </v>
      </c>
      <c r="C27" s="206">
        <f>'P &amp; NP'!G504</f>
        <v>0</v>
      </c>
      <c r="D27" s="206">
        <f>'P &amp; NP'!H504</f>
        <v>0</v>
      </c>
      <c r="E27" s="206">
        <f>'P &amp; NP'!W504</f>
        <v>0</v>
      </c>
      <c r="F27" s="206">
        <f>'P &amp; NP'!X504</f>
        <v>0</v>
      </c>
      <c r="G27" s="206">
        <f>'P &amp; NP'!AM504</f>
        <v>0</v>
      </c>
      <c r="H27" s="206">
        <f>'P &amp; NP'!AN504</f>
        <v>0</v>
      </c>
      <c r="I27" s="206">
        <f>'P &amp; NP'!BC504</f>
        <v>0</v>
      </c>
      <c r="J27" s="206">
        <f>'P &amp; NP'!BD504</f>
        <v>0</v>
      </c>
      <c r="K27" s="206">
        <f>'P &amp; NP'!BS504</f>
        <v>0</v>
      </c>
      <c r="L27" s="206">
        <f>'P &amp; NP'!BT504</f>
        <v>0</v>
      </c>
      <c r="M27" s="206">
        <f>'P &amp; NP'!CI504</f>
        <v>0</v>
      </c>
      <c r="N27" s="206">
        <f>'P &amp; NP'!CJ504</f>
        <v>0</v>
      </c>
      <c r="O27" s="206">
        <f>'P &amp; NP'!CY504</f>
        <v>0</v>
      </c>
      <c r="P27" s="206">
        <f>'P &amp; NP'!CZ504</f>
        <v>0</v>
      </c>
      <c r="Q27" s="206">
        <f>'P &amp; NP'!DO504</f>
        <v>0</v>
      </c>
      <c r="R27" s="206">
        <f>'P &amp; NP'!DP504</f>
        <v>0</v>
      </c>
      <c r="S27" s="206">
        <f>'P &amp; NP'!EE504</f>
        <v>0</v>
      </c>
      <c r="T27" s="206">
        <f>'P &amp; NP'!EF504</f>
        <v>0</v>
      </c>
      <c r="U27" s="206">
        <f>'P &amp; NP'!EU504</f>
        <v>0</v>
      </c>
      <c r="V27" s="206">
        <f>'P &amp; NP'!EV504</f>
        <v>0</v>
      </c>
      <c r="W27" s="206">
        <f>'P &amp; NP'!FK504</f>
        <v>0</v>
      </c>
      <c r="X27" s="206">
        <f>'P &amp; NP'!FL504</f>
        <v>0</v>
      </c>
      <c r="Y27" s="206">
        <f>'P &amp; NP'!GA504</f>
        <v>0</v>
      </c>
      <c r="Z27" s="206">
        <f>'P &amp; NP'!GB504</f>
        <v>0</v>
      </c>
      <c r="AA27" s="206">
        <f>'P &amp; NP'!GQ504</f>
        <v>0</v>
      </c>
      <c r="AB27" s="206">
        <f>'P &amp; NP'!GR504</f>
        <v>0</v>
      </c>
      <c r="AC27" s="206">
        <f>'P &amp; NP'!HG504</f>
        <v>0</v>
      </c>
      <c r="AD27" s="206">
        <f>'P &amp; NP'!HH504</f>
        <v>0</v>
      </c>
      <c r="AE27" s="206">
        <f>'P &amp; NP'!HW504</f>
        <v>0</v>
      </c>
      <c r="AF27" s="206">
        <f>'P &amp; NP'!HX504</f>
        <v>0</v>
      </c>
      <c r="AG27" s="206">
        <f>'P &amp; NP'!IM504</f>
        <v>0</v>
      </c>
      <c r="AH27" s="206">
        <f>'P &amp; NP'!IN504</f>
        <v>0</v>
      </c>
      <c r="AI27" s="206">
        <f>'P &amp; NP'!JC504</f>
        <v>0</v>
      </c>
      <c r="AJ27" s="206">
        <f>'P &amp; NP'!JD504</f>
        <v>0</v>
      </c>
      <c r="AK27" s="206">
        <f>'P &amp; NP'!JS504</f>
        <v>0</v>
      </c>
      <c r="AL27" s="206">
        <f>'P &amp; NP'!JT504</f>
        <v>0</v>
      </c>
      <c r="AM27" s="206">
        <f>'P &amp; NP'!KI504</f>
        <v>0</v>
      </c>
      <c r="AN27" s="206">
        <f>'P &amp; NP'!KJ504</f>
        <v>0</v>
      </c>
      <c r="AO27" s="206">
        <f>'P &amp; NP'!KY504</f>
        <v>0</v>
      </c>
      <c r="AP27" s="206">
        <f>'P &amp; NP'!KZ504</f>
        <v>0</v>
      </c>
      <c r="AQ27" s="206">
        <f>'P &amp; NP'!LO504</f>
        <v>0</v>
      </c>
      <c r="AR27" s="206">
        <f>'P &amp; NP'!LP504</f>
        <v>0</v>
      </c>
      <c r="AS27" s="206">
        <f>'P &amp; NP'!ME504</f>
        <v>0</v>
      </c>
      <c r="AT27" s="206">
        <f>'P &amp; NP'!MF504</f>
        <v>0</v>
      </c>
      <c r="AU27" s="206">
        <f>'P &amp; NP'!MU504</f>
        <v>0</v>
      </c>
      <c r="AV27" s="206">
        <f>'P &amp; NP'!MV504</f>
        <v>0</v>
      </c>
      <c r="AW27" s="206">
        <f>'P &amp; NP'!NK504</f>
        <v>0</v>
      </c>
      <c r="AX27" s="206">
        <f>'P &amp; NP'!NL504</f>
        <v>0</v>
      </c>
      <c r="AY27" s="206">
        <f>'P &amp; NP'!OA504</f>
        <v>0</v>
      </c>
      <c r="AZ27" s="206">
        <f>'P &amp; NP'!OB504</f>
        <v>0</v>
      </c>
      <c r="BA27" s="206">
        <f>'P &amp; NP'!OQ504</f>
        <v>0</v>
      </c>
      <c r="BB27" s="206">
        <f>'P &amp; NP'!OR504</f>
        <v>0</v>
      </c>
      <c r="BC27" s="206">
        <f>'P &amp; NP'!PG504</f>
        <v>0</v>
      </c>
      <c r="BD27" s="206">
        <f>'P &amp; NP'!PH504</f>
        <v>0</v>
      </c>
      <c r="BE27" s="206">
        <f>'P &amp; NP'!PW504</f>
        <v>0</v>
      </c>
      <c r="BF27" s="206">
        <f>'P &amp; NP'!PX504</f>
        <v>0</v>
      </c>
      <c r="BG27" s="206">
        <f>'P &amp; NP'!QM504</f>
        <v>0</v>
      </c>
      <c r="BH27" s="206">
        <f>'P &amp; NP'!QN504</f>
        <v>0</v>
      </c>
      <c r="BI27" s="206">
        <f>'P &amp; NP'!RC504</f>
        <v>0</v>
      </c>
      <c r="BJ27" s="206">
        <f>'P &amp; NP'!RD504</f>
        <v>0</v>
      </c>
      <c r="BK27" s="206">
        <f>'P &amp; NP'!RS504</f>
        <v>0</v>
      </c>
      <c r="BL27" s="206">
        <f>'P &amp; NP'!RT504</f>
        <v>0</v>
      </c>
      <c r="BM27" s="206">
        <f>'P &amp; NP'!SI504</f>
        <v>0</v>
      </c>
      <c r="BN27" s="206">
        <f>'P &amp; NP'!SJ504</f>
        <v>0</v>
      </c>
      <c r="BO27" s="206">
        <f>'P &amp; NP'!SY504</f>
        <v>0</v>
      </c>
      <c r="BP27" s="206">
        <f>'P &amp; NP'!SZ504</f>
        <v>0</v>
      </c>
      <c r="BQ27" s="206">
        <f>'P &amp; NP'!TO504</f>
        <v>0</v>
      </c>
      <c r="BR27" s="206">
        <f>'P &amp; NP'!TP504</f>
        <v>0</v>
      </c>
      <c r="BS27" s="206">
        <f>'P &amp; NP'!UE504</f>
        <v>0</v>
      </c>
      <c r="BT27" s="206">
        <f>'P &amp; NP'!UF504</f>
        <v>0</v>
      </c>
      <c r="BU27" s="206">
        <f>'P &amp; NP'!UU504</f>
        <v>0</v>
      </c>
      <c r="BV27" s="206">
        <f>'P &amp; NP'!UV504</f>
        <v>0</v>
      </c>
      <c r="BW27" s="206">
        <f>'P &amp; NP'!VK504</f>
        <v>0</v>
      </c>
      <c r="BX27" s="206">
        <f>'P &amp; NP'!VL504</f>
        <v>0</v>
      </c>
      <c r="BY27" s="206">
        <f>'P &amp; NP'!WA504</f>
        <v>0</v>
      </c>
      <c r="BZ27" s="206">
        <f>'P &amp; NP'!WB504</f>
        <v>0</v>
      </c>
      <c r="CB27" s="206">
        <f t="shared" si="2"/>
        <v>0</v>
      </c>
      <c r="CC27" s="206">
        <f t="shared" si="3"/>
        <v>0</v>
      </c>
    </row>
    <row r="28" spans="2:81">
      <c r="B28" s="207" t="str">
        <f>'P &amp; NP'!B34</f>
        <v xml:space="preserve">Rajungan </v>
      </c>
      <c r="C28" s="206">
        <f>'P &amp; NP'!G505</f>
        <v>0</v>
      </c>
      <c r="D28" s="206">
        <f>'P &amp; NP'!H505</f>
        <v>0</v>
      </c>
      <c r="E28" s="206">
        <f>'P &amp; NP'!W505</f>
        <v>0</v>
      </c>
      <c r="F28" s="206">
        <f>'P &amp; NP'!X505</f>
        <v>0</v>
      </c>
      <c r="G28" s="206">
        <f>'P &amp; NP'!AM505</f>
        <v>0</v>
      </c>
      <c r="H28" s="206">
        <f>'P &amp; NP'!AN505</f>
        <v>0</v>
      </c>
      <c r="I28" s="206">
        <f>'P &amp; NP'!BC505</f>
        <v>0</v>
      </c>
      <c r="J28" s="206">
        <f>'P &amp; NP'!BD505</f>
        <v>0</v>
      </c>
      <c r="K28" s="206">
        <f>'P &amp; NP'!BS505</f>
        <v>0</v>
      </c>
      <c r="L28" s="206">
        <f>'P &amp; NP'!BT505</f>
        <v>0</v>
      </c>
      <c r="M28" s="206">
        <f>'P &amp; NP'!CI505</f>
        <v>0</v>
      </c>
      <c r="N28" s="206">
        <f>'P &amp; NP'!CJ505</f>
        <v>0</v>
      </c>
      <c r="O28" s="206">
        <f>'P &amp; NP'!CY505</f>
        <v>0</v>
      </c>
      <c r="P28" s="206">
        <f>'P &amp; NP'!CZ505</f>
        <v>0</v>
      </c>
      <c r="Q28" s="206">
        <f>'P &amp; NP'!DO505</f>
        <v>0</v>
      </c>
      <c r="R28" s="206">
        <f>'P &amp; NP'!DP505</f>
        <v>0</v>
      </c>
      <c r="S28" s="206">
        <f>'P &amp; NP'!EE505</f>
        <v>0</v>
      </c>
      <c r="T28" s="206">
        <f>'P &amp; NP'!EF505</f>
        <v>0</v>
      </c>
      <c r="U28" s="206">
        <f>'P &amp; NP'!EU505</f>
        <v>0</v>
      </c>
      <c r="V28" s="206">
        <f>'P &amp; NP'!EV505</f>
        <v>0</v>
      </c>
      <c r="W28" s="206">
        <f>'P &amp; NP'!FK505</f>
        <v>0</v>
      </c>
      <c r="X28" s="206">
        <f>'P &amp; NP'!FL505</f>
        <v>0</v>
      </c>
      <c r="Y28" s="206">
        <f>'P &amp; NP'!GA505</f>
        <v>0</v>
      </c>
      <c r="Z28" s="206">
        <f>'P &amp; NP'!GB505</f>
        <v>0</v>
      </c>
      <c r="AA28" s="206">
        <f>'P &amp; NP'!GQ505</f>
        <v>0</v>
      </c>
      <c r="AB28" s="206">
        <f>'P &amp; NP'!GR505</f>
        <v>0</v>
      </c>
      <c r="AC28" s="206">
        <f>'P &amp; NP'!HG505</f>
        <v>0</v>
      </c>
      <c r="AD28" s="206">
        <f>'P &amp; NP'!HH505</f>
        <v>0</v>
      </c>
      <c r="AE28" s="206">
        <f>'P &amp; NP'!HW505</f>
        <v>0</v>
      </c>
      <c r="AF28" s="206">
        <f>'P &amp; NP'!HX505</f>
        <v>0</v>
      </c>
      <c r="AG28" s="206">
        <f>'P &amp; NP'!IM505</f>
        <v>0</v>
      </c>
      <c r="AH28" s="206">
        <f>'P &amp; NP'!IN505</f>
        <v>0</v>
      </c>
      <c r="AI28" s="206">
        <f>'P &amp; NP'!JC505</f>
        <v>0</v>
      </c>
      <c r="AJ28" s="206">
        <f>'P &amp; NP'!JD505</f>
        <v>0</v>
      </c>
      <c r="AK28" s="206">
        <f>'P &amp; NP'!JS505</f>
        <v>0</v>
      </c>
      <c r="AL28" s="206">
        <f>'P &amp; NP'!JT505</f>
        <v>0</v>
      </c>
      <c r="AM28" s="206">
        <f>'P &amp; NP'!KI505</f>
        <v>0</v>
      </c>
      <c r="AN28" s="206">
        <f>'P &amp; NP'!KJ505</f>
        <v>0</v>
      </c>
      <c r="AO28" s="206">
        <f>'P &amp; NP'!KY505</f>
        <v>0</v>
      </c>
      <c r="AP28" s="206">
        <f>'P &amp; NP'!KZ505</f>
        <v>0</v>
      </c>
      <c r="AQ28" s="206">
        <f>'P &amp; NP'!LO505</f>
        <v>0</v>
      </c>
      <c r="AR28" s="206">
        <f>'P &amp; NP'!LP505</f>
        <v>0</v>
      </c>
      <c r="AS28" s="206">
        <f>'P &amp; NP'!ME505</f>
        <v>0</v>
      </c>
      <c r="AT28" s="206">
        <f>'P &amp; NP'!MF505</f>
        <v>0</v>
      </c>
      <c r="AU28" s="206">
        <f>'P &amp; NP'!MU505</f>
        <v>0</v>
      </c>
      <c r="AV28" s="206">
        <f>'P &amp; NP'!MV505</f>
        <v>0</v>
      </c>
      <c r="AW28" s="206">
        <f>'P &amp; NP'!NK505</f>
        <v>0</v>
      </c>
      <c r="AX28" s="206">
        <f>'P &amp; NP'!NL505</f>
        <v>0</v>
      </c>
      <c r="AY28" s="206">
        <f>'P &amp; NP'!OA505</f>
        <v>0</v>
      </c>
      <c r="AZ28" s="206">
        <f>'P &amp; NP'!OB505</f>
        <v>0</v>
      </c>
      <c r="BA28" s="206">
        <f>'P &amp; NP'!OQ505</f>
        <v>0</v>
      </c>
      <c r="BB28" s="206">
        <f>'P &amp; NP'!OR505</f>
        <v>0</v>
      </c>
      <c r="BC28" s="206">
        <f>'P &amp; NP'!PG505</f>
        <v>0</v>
      </c>
      <c r="BD28" s="206">
        <f>'P &amp; NP'!PH505</f>
        <v>0</v>
      </c>
      <c r="BE28" s="206">
        <f>'P &amp; NP'!PW505</f>
        <v>0</v>
      </c>
      <c r="BF28" s="206">
        <f>'P &amp; NP'!PX505</f>
        <v>0</v>
      </c>
      <c r="BG28" s="206">
        <f>'P &amp; NP'!QM505</f>
        <v>0</v>
      </c>
      <c r="BH28" s="206">
        <f>'P &amp; NP'!QN505</f>
        <v>0</v>
      </c>
      <c r="BI28" s="206">
        <f>'P &amp; NP'!RC505</f>
        <v>0</v>
      </c>
      <c r="BJ28" s="206">
        <f>'P &amp; NP'!RD505</f>
        <v>0</v>
      </c>
      <c r="BK28" s="206">
        <f>'P &amp; NP'!RS505</f>
        <v>0</v>
      </c>
      <c r="BL28" s="206">
        <f>'P &amp; NP'!RT505</f>
        <v>0</v>
      </c>
      <c r="BM28" s="206">
        <f>'P &amp; NP'!SI505</f>
        <v>0</v>
      </c>
      <c r="BN28" s="206">
        <f>'P &amp; NP'!SJ505</f>
        <v>0</v>
      </c>
      <c r="BO28" s="206">
        <f>'P &amp; NP'!SY505</f>
        <v>0</v>
      </c>
      <c r="BP28" s="206">
        <f>'P &amp; NP'!SZ505</f>
        <v>0</v>
      </c>
      <c r="BQ28" s="206">
        <f>'P &amp; NP'!TO505</f>
        <v>0</v>
      </c>
      <c r="BR28" s="206">
        <f>'P &amp; NP'!TP505</f>
        <v>0</v>
      </c>
      <c r="BS28" s="206">
        <f>'P &amp; NP'!UE505</f>
        <v>0</v>
      </c>
      <c r="BT28" s="206">
        <f>'P &amp; NP'!UF505</f>
        <v>0</v>
      </c>
      <c r="BU28" s="206">
        <f>'P &amp; NP'!UU505</f>
        <v>0</v>
      </c>
      <c r="BV28" s="206">
        <f>'P &amp; NP'!UV505</f>
        <v>0</v>
      </c>
      <c r="BW28" s="206">
        <f>'P &amp; NP'!VK505</f>
        <v>0</v>
      </c>
      <c r="BX28" s="206">
        <f>'P &amp; NP'!VL505</f>
        <v>0</v>
      </c>
      <c r="BY28" s="206">
        <f>'P &amp; NP'!WA505</f>
        <v>0</v>
      </c>
      <c r="BZ28" s="206">
        <f>'P &amp; NP'!WB505</f>
        <v>0</v>
      </c>
      <c r="CB28" s="206">
        <f t="shared" si="2"/>
        <v>0</v>
      </c>
      <c r="CC28" s="206">
        <f t="shared" si="3"/>
        <v>0</v>
      </c>
    </row>
    <row r="29" spans="2:81">
      <c r="B29" s="207" t="str">
        <f>'P &amp; NP'!B35</f>
        <v>Tawes</v>
      </c>
      <c r="C29" s="206">
        <f>'P &amp; NP'!G506</f>
        <v>0</v>
      </c>
      <c r="D29" s="206">
        <f>'P &amp; NP'!H506</f>
        <v>0</v>
      </c>
      <c r="E29" s="206">
        <f>'P &amp; NP'!W506</f>
        <v>0</v>
      </c>
      <c r="F29" s="206">
        <f>'P &amp; NP'!X506</f>
        <v>0</v>
      </c>
      <c r="G29" s="206">
        <f>'P &amp; NP'!AM506</f>
        <v>0</v>
      </c>
      <c r="H29" s="206">
        <f>'P &amp; NP'!AN506</f>
        <v>0</v>
      </c>
      <c r="I29" s="206">
        <f>'P &amp; NP'!BC506</f>
        <v>0</v>
      </c>
      <c r="J29" s="206">
        <f>'P &amp; NP'!BD506</f>
        <v>0</v>
      </c>
      <c r="K29" s="206">
        <f>'P &amp; NP'!BS506</f>
        <v>0</v>
      </c>
      <c r="L29" s="206">
        <f>'P &amp; NP'!BT506</f>
        <v>0</v>
      </c>
      <c r="M29" s="206">
        <f>'P &amp; NP'!CI506</f>
        <v>0</v>
      </c>
      <c r="N29" s="206">
        <f>'P &amp; NP'!CJ506</f>
        <v>0</v>
      </c>
      <c r="O29" s="206">
        <f>'P &amp; NP'!CY506</f>
        <v>0</v>
      </c>
      <c r="P29" s="206">
        <f>'P &amp; NP'!CZ506</f>
        <v>0</v>
      </c>
      <c r="Q29" s="206">
        <f>'P &amp; NP'!DO506</f>
        <v>0</v>
      </c>
      <c r="R29" s="206">
        <f>'P &amp; NP'!DP506</f>
        <v>0</v>
      </c>
      <c r="S29" s="206">
        <f>'P &amp; NP'!EE506</f>
        <v>0</v>
      </c>
      <c r="T29" s="206">
        <f>'P &amp; NP'!EF506</f>
        <v>0</v>
      </c>
      <c r="U29" s="206">
        <f>'P &amp; NP'!EU506</f>
        <v>0</v>
      </c>
      <c r="V29" s="206">
        <f>'P &amp; NP'!EV506</f>
        <v>0</v>
      </c>
      <c r="W29" s="206">
        <f>'P &amp; NP'!FK506</f>
        <v>0</v>
      </c>
      <c r="X29" s="206">
        <f>'P &amp; NP'!FL506</f>
        <v>0</v>
      </c>
      <c r="Y29" s="206">
        <f>'P &amp; NP'!GA506</f>
        <v>0</v>
      </c>
      <c r="Z29" s="206">
        <f>'P &amp; NP'!GB506</f>
        <v>0</v>
      </c>
      <c r="AA29" s="206">
        <f>'P &amp; NP'!GQ506</f>
        <v>0</v>
      </c>
      <c r="AB29" s="206">
        <f>'P &amp; NP'!GR506</f>
        <v>0</v>
      </c>
      <c r="AC29" s="206">
        <f>'P &amp; NP'!HG506</f>
        <v>0</v>
      </c>
      <c r="AD29" s="206">
        <f>'P &amp; NP'!HH506</f>
        <v>0</v>
      </c>
      <c r="AE29" s="206">
        <f>'P &amp; NP'!HW506</f>
        <v>0</v>
      </c>
      <c r="AF29" s="206">
        <f>'P &amp; NP'!HX506</f>
        <v>0</v>
      </c>
      <c r="AG29" s="206">
        <f>'P &amp; NP'!IM506</f>
        <v>0</v>
      </c>
      <c r="AH29" s="206">
        <f>'P &amp; NP'!IN506</f>
        <v>0</v>
      </c>
      <c r="AI29" s="206">
        <f>'P &amp; NP'!JC506</f>
        <v>0</v>
      </c>
      <c r="AJ29" s="206">
        <f>'P &amp; NP'!JD506</f>
        <v>0</v>
      </c>
      <c r="AK29" s="206">
        <f>'P &amp; NP'!JS506</f>
        <v>0</v>
      </c>
      <c r="AL29" s="206">
        <f>'P &amp; NP'!JT506</f>
        <v>0</v>
      </c>
      <c r="AM29" s="206">
        <f>'P &amp; NP'!KI506</f>
        <v>0</v>
      </c>
      <c r="AN29" s="206">
        <f>'P &amp; NP'!KJ506</f>
        <v>0</v>
      </c>
      <c r="AO29" s="206">
        <f>'P &amp; NP'!KY506</f>
        <v>0</v>
      </c>
      <c r="AP29" s="206">
        <f>'P &amp; NP'!KZ506</f>
        <v>0</v>
      </c>
      <c r="AQ29" s="206">
        <f>'P &amp; NP'!LO506</f>
        <v>0</v>
      </c>
      <c r="AR29" s="206">
        <f>'P &amp; NP'!LP506</f>
        <v>0</v>
      </c>
      <c r="AS29" s="206">
        <f>'P &amp; NP'!ME506</f>
        <v>0</v>
      </c>
      <c r="AT29" s="206">
        <f>'P &amp; NP'!MF506</f>
        <v>0</v>
      </c>
      <c r="AU29" s="206">
        <f>'P &amp; NP'!MU506</f>
        <v>0</v>
      </c>
      <c r="AV29" s="206">
        <f>'P &amp; NP'!MV506</f>
        <v>0</v>
      </c>
      <c r="AW29" s="206">
        <f>'P &amp; NP'!NK506</f>
        <v>0</v>
      </c>
      <c r="AX29" s="206">
        <f>'P &amp; NP'!NL506</f>
        <v>0</v>
      </c>
      <c r="AY29" s="206">
        <f>'P &amp; NP'!OA506</f>
        <v>0</v>
      </c>
      <c r="AZ29" s="206">
        <f>'P &amp; NP'!OB506</f>
        <v>0</v>
      </c>
      <c r="BA29" s="206">
        <f>'P &amp; NP'!OQ506</f>
        <v>0</v>
      </c>
      <c r="BB29" s="206">
        <f>'P &amp; NP'!OR506</f>
        <v>0</v>
      </c>
      <c r="BC29" s="206">
        <f>'P &amp; NP'!PG506</f>
        <v>0</v>
      </c>
      <c r="BD29" s="206">
        <f>'P &amp; NP'!PH506</f>
        <v>0</v>
      </c>
      <c r="BE29" s="206">
        <f>'P &amp; NP'!PW506</f>
        <v>0</v>
      </c>
      <c r="BF29" s="206">
        <f>'P &amp; NP'!PX506</f>
        <v>0</v>
      </c>
      <c r="BG29" s="206">
        <f>'P &amp; NP'!QM506</f>
        <v>0</v>
      </c>
      <c r="BH29" s="206">
        <f>'P &amp; NP'!QN506</f>
        <v>0</v>
      </c>
      <c r="BI29" s="206">
        <f>'P &amp; NP'!RC506</f>
        <v>0</v>
      </c>
      <c r="BJ29" s="206">
        <f>'P &amp; NP'!RD506</f>
        <v>0</v>
      </c>
      <c r="BK29" s="206">
        <f>'P &amp; NP'!RS506</f>
        <v>0</v>
      </c>
      <c r="BL29" s="206">
        <f>'P &amp; NP'!RT506</f>
        <v>0</v>
      </c>
      <c r="BM29" s="206">
        <f>'P &amp; NP'!SI506</f>
        <v>0</v>
      </c>
      <c r="BN29" s="206">
        <f>'P &amp; NP'!SJ506</f>
        <v>0</v>
      </c>
      <c r="BO29" s="206">
        <f>'P &amp; NP'!SY506</f>
        <v>0</v>
      </c>
      <c r="BP29" s="206">
        <f>'P &amp; NP'!SZ506</f>
        <v>0</v>
      </c>
      <c r="BQ29" s="206">
        <f>'P &amp; NP'!TO506</f>
        <v>0</v>
      </c>
      <c r="BR29" s="206">
        <f>'P &amp; NP'!TP506</f>
        <v>0</v>
      </c>
      <c r="BS29" s="206">
        <f>'P &amp; NP'!UE506</f>
        <v>0</v>
      </c>
      <c r="BT29" s="206">
        <f>'P &amp; NP'!UF506</f>
        <v>0</v>
      </c>
      <c r="BU29" s="206">
        <f>'P &amp; NP'!UU506</f>
        <v>0</v>
      </c>
      <c r="BV29" s="206">
        <f>'P &amp; NP'!UV506</f>
        <v>0</v>
      </c>
      <c r="BW29" s="206">
        <f>'P &amp; NP'!VK506</f>
        <v>0</v>
      </c>
      <c r="BX29" s="206">
        <f>'P &amp; NP'!VL506</f>
        <v>0</v>
      </c>
      <c r="BY29" s="206">
        <f>'P &amp; NP'!WA506</f>
        <v>0</v>
      </c>
      <c r="BZ29" s="206">
        <f>'P &amp; NP'!WB506</f>
        <v>0</v>
      </c>
      <c r="CB29" s="206">
        <f t="shared" si="2"/>
        <v>0</v>
      </c>
      <c r="CC29" s="206">
        <f t="shared" si="3"/>
        <v>0</v>
      </c>
    </row>
    <row r="30" spans="2:81">
      <c r="B30" s="207" t="str">
        <f>'P &amp; NP'!B36</f>
        <v>Teri</v>
      </c>
      <c r="C30" s="206">
        <f>'P &amp; NP'!G507</f>
        <v>0</v>
      </c>
      <c r="D30" s="206">
        <f>'P &amp; NP'!H507</f>
        <v>0</v>
      </c>
      <c r="E30" s="206">
        <f>'P &amp; NP'!W507</f>
        <v>0</v>
      </c>
      <c r="F30" s="206">
        <f>'P &amp; NP'!X507</f>
        <v>0</v>
      </c>
      <c r="G30" s="206">
        <f>'P &amp; NP'!AM507</f>
        <v>0</v>
      </c>
      <c r="H30" s="206">
        <f>'P &amp; NP'!AN507</f>
        <v>0</v>
      </c>
      <c r="I30" s="206">
        <f>'P &amp; NP'!BC507</f>
        <v>0</v>
      </c>
      <c r="J30" s="206">
        <f>'P &amp; NP'!BD507</f>
        <v>0</v>
      </c>
      <c r="K30" s="206">
        <f>'P &amp; NP'!BS507</f>
        <v>0</v>
      </c>
      <c r="L30" s="206">
        <f>'P &amp; NP'!BT507</f>
        <v>0</v>
      </c>
      <c r="M30" s="206">
        <f>'P &amp; NP'!CI507</f>
        <v>0</v>
      </c>
      <c r="N30" s="206">
        <f>'P &amp; NP'!CJ507</f>
        <v>0</v>
      </c>
      <c r="O30" s="206">
        <f>'P &amp; NP'!CY507</f>
        <v>0</v>
      </c>
      <c r="P30" s="206">
        <f>'P &amp; NP'!CZ507</f>
        <v>0</v>
      </c>
      <c r="Q30" s="206">
        <f>'P &amp; NP'!DO507</f>
        <v>0</v>
      </c>
      <c r="R30" s="206">
        <f>'P &amp; NP'!DP507</f>
        <v>0</v>
      </c>
      <c r="S30" s="206">
        <f>'P &amp; NP'!EE507</f>
        <v>0</v>
      </c>
      <c r="T30" s="206">
        <f>'P &amp; NP'!EF507</f>
        <v>0</v>
      </c>
      <c r="U30" s="206">
        <f>'P &amp; NP'!EU507</f>
        <v>0</v>
      </c>
      <c r="V30" s="206">
        <f>'P &amp; NP'!EV507</f>
        <v>0</v>
      </c>
      <c r="W30" s="206">
        <f>'P &amp; NP'!FK507</f>
        <v>0</v>
      </c>
      <c r="X30" s="206">
        <f>'P &amp; NP'!FL507</f>
        <v>0</v>
      </c>
      <c r="Y30" s="206">
        <f>'P &amp; NP'!GA507</f>
        <v>0</v>
      </c>
      <c r="Z30" s="206">
        <f>'P &amp; NP'!GB507</f>
        <v>0</v>
      </c>
      <c r="AA30" s="206">
        <f>'P &amp; NP'!GQ507</f>
        <v>0</v>
      </c>
      <c r="AB30" s="206">
        <f>'P &amp; NP'!GR507</f>
        <v>0</v>
      </c>
      <c r="AC30" s="206">
        <f>'P &amp; NP'!HG507</f>
        <v>0</v>
      </c>
      <c r="AD30" s="206">
        <f>'P &amp; NP'!HH507</f>
        <v>0</v>
      </c>
      <c r="AE30" s="206">
        <f>'P &amp; NP'!HW507</f>
        <v>0</v>
      </c>
      <c r="AF30" s="206">
        <f>'P &amp; NP'!HX507</f>
        <v>0</v>
      </c>
      <c r="AG30" s="206">
        <f>'P &amp; NP'!IM507</f>
        <v>0</v>
      </c>
      <c r="AH30" s="206">
        <f>'P &amp; NP'!IN507</f>
        <v>0</v>
      </c>
      <c r="AI30" s="206">
        <f>'P &amp; NP'!JC507</f>
        <v>0</v>
      </c>
      <c r="AJ30" s="206">
        <f>'P &amp; NP'!JD507</f>
        <v>0</v>
      </c>
      <c r="AK30" s="206">
        <f>'P &amp; NP'!JS507</f>
        <v>0</v>
      </c>
      <c r="AL30" s="206">
        <f>'P &amp; NP'!JT507</f>
        <v>0</v>
      </c>
      <c r="AM30" s="206">
        <f>'P &amp; NP'!KI507</f>
        <v>0</v>
      </c>
      <c r="AN30" s="206">
        <f>'P &amp; NP'!KJ507</f>
        <v>0</v>
      </c>
      <c r="AO30" s="206">
        <f>'P &amp; NP'!KY507</f>
        <v>0</v>
      </c>
      <c r="AP30" s="206">
        <f>'P &amp; NP'!KZ507</f>
        <v>0</v>
      </c>
      <c r="AQ30" s="206">
        <f>'P &amp; NP'!LO507</f>
        <v>0</v>
      </c>
      <c r="AR30" s="206">
        <f>'P &amp; NP'!LP507</f>
        <v>0</v>
      </c>
      <c r="AS30" s="206">
        <f>'P &amp; NP'!ME507</f>
        <v>0</v>
      </c>
      <c r="AT30" s="206">
        <f>'P &amp; NP'!MF507</f>
        <v>0</v>
      </c>
      <c r="AU30" s="206">
        <f>'P &amp; NP'!MU507</f>
        <v>0</v>
      </c>
      <c r="AV30" s="206">
        <f>'P &amp; NP'!MV507</f>
        <v>0</v>
      </c>
      <c r="AW30" s="206">
        <f>'P &amp; NP'!NK507</f>
        <v>0</v>
      </c>
      <c r="AX30" s="206">
        <f>'P &amp; NP'!NL507</f>
        <v>0</v>
      </c>
      <c r="AY30" s="206">
        <f>'P &amp; NP'!OA507</f>
        <v>0</v>
      </c>
      <c r="AZ30" s="206">
        <f>'P &amp; NP'!OB507</f>
        <v>0</v>
      </c>
      <c r="BA30" s="206">
        <f>'P &amp; NP'!OQ507</f>
        <v>0</v>
      </c>
      <c r="BB30" s="206">
        <f>'P &amp; NP'!OR507</f>
        <v>0</v>
      </c>
      <c r="BC30" s="206">
        <f>'P &amp; NP'!PG507</f>
        <v>0</v>
      </c>
      <c r="BD30" s="206">
        <f>'P &amp; NP'!PH507</f>
        <v>0</v>
      </c>
      <c r="BE30" s="206">
        <f>'P &amp; NP'!PW507</f>
        <v>0</v>
      </c>
      <c r="BF30" s="206">
        <f>'P &amp; NP'!PX507</f>
        <v>0</v>
      </c>
      <c r="BG30" s="206">
        <f>'P &amp; NP'!QM507</f>
        <v>0</v>
      </c>
      <c r="BH30" s="206">
        <f>'P &amp; NP'!QN507</f>
        <v>0</v>
      </c>
      <c r="BI30" s="206">
        <f>'P &amp; NP'!RC507</f>
        <v>0</v>
      </c>
      <c r="BJ30" s="206">
        <f>'P &amp; NP'!RD507</f>
        <v>0</v>
      </c>
      <c r="BK30" s="206">
        <f>'P &amp; NP'!RS507</f>
        <v>0</v>
      </c>
      <c r="BL30" s="206">
        <f>'P &amp; NP'!RT507</f>
        <v>0</v>
      </c>
      <c r="BM30" s="206">
        <f>'P &amp; NP'!SI507</f>
        <v>0</v>
      </c>
      <c r="BN30" s="206">
        <f>'P &amp; NP'!SJ507</f>
        <v>0</v>
      </c>
      <c r="BO30" s="206">
        <f>'P &amp; NP'!SY507</f>
        <v>0</v>
      </c>
      <c r="BP30" s="206">
        <f>'P &amp; NP'!SZ507</f>
        <v>0</v>
      </c>
      <c r="BQ30" s="206">
        <f>'P &amp; NP'!TO507</f>
        <v>0</v>
      </c>
      <c r="BR30" s="206">
        <f>'P &amp; NP'!TP507</f>
        <v>0</v>
      </c>
      <c r="BS30" s="206">
        <f>'P &amp; NP'!UE507</f>
        <v>0</v>
      </c>
      <c r="BT30" s="206">
        <f>'P &amp; NP'!UF507</f>
        <v>0</v>
      </c>
      <c r="BU30" s="206">
        <f>'P &amp; NP'!UU507</f>
        <v>0</v>
      </c>
      <c r="BV30" s="206">
        <f>'P &amp; NP'!UV507</f>
        <v>0</v>
      </c>
      <c r="BW30" s="206">
        <f>'P &amp; NP'!VK507</f>
        <v>0</v>
      </c>
      <c r="BX30" s="206">
        <f>'P &amp; NP'!VL507</f>
        <v>0</v>
      </c>
      <c r="BY30" s="206">
        <f>'P &amp; NP'!WA507</f>
        <v>0</v>
      </c>
      <c r="BZ30" s="206">
        <f>'P &amp; NP'!WB507</f>
        <v>0</v>
      </c>
      <c r="CB30" s="206">
        <f t="shared" si="2"/>
        <v>0</v>
      </c>
      <c r="CC30" s="206">
        <f t="shared" si="3"/>
        <v>0</v>
      </c>
    </row>
    <row r="31" spans="2:81">
      <c r="B31" s="207" t="str">
        <f>'P &amp; NP'!B37</f>
        <v xml:space="preserve">Udang Galah </v>
      </c>
      <c r="C31" s="206">
        <f>'P &amp; NP'!G508</f>
        <v>0</v>
      </c>
      <c r="D31" s="206">
        <f>'P &amp; NP'!H508</f>
        <v>0</v>
      </c>
      <c r="E31" s="206">
        <f>'P &amp; NP'!W508</f>
        <v>0</v>
      </c>
      <c r="F31" s="206">
        <f>'P &amp; NP'!X508</f>
        <v>0</v>
      </c>
      <c r="G31" s="206">
        <f>'P &amp; NP'!AM508</f>
        <v>0</v>
      </c>
      <c r="H31" s="206">
        <f>'P &amp; NP'!AN508</f>
        <v>0</v>
      </c>
      <c r="I31" s="206">
        <f>'P &amp; NP'!BC508</f>
        <v>0</v>
      </c>
      <c r="J31" s="206">
        <f>'P &amp; NP'!BD508</f>
        <v>0</v>
      </c>
      <c r="K31" s="206">
        <f>'P &amp; NP'!BS508</f>
        <v>0</v>
      </c>
      <c r="L31" s="206">
        <f>'P &amp; NP'!BT508</f>
        <v>0</v>
      </c>
      <c r="M31" s="206">
        <f>'P &amp; NP'!CI508</f>
        <v>0</v>
      </c>
      <c r="N31" s="206">
        <f>'P &amp; NP'!CJ508</f>
        <v>0</v>
      </c>
      <c r="O31" s="206">
        <f>'P &amp; NP'!CY508</f>
        <v>0</v>
      </c>
      <c r="P31" s="206">
        <f>'P &amp; NP'!CZ508</f>
        <v>0</v>
      </c>
      <c r="Q31" s="206">
        <f>'P &amp; NP'!DO508</f>
        <v>0</v>
      </c>
      <c r="R31" s="206">
        <f>'P &amp; NP'!DP508</f>
        <v>0</v>
      </c>
      <c r="S31" s="206">
        <f>'P &amp; NP'!EE508</f>
        <v>0</v>
      </c>
      <c r="T31" s="206">
        <f>'P &amp; NP'!EF508</f>
        <v>0</v>
      </c>
      <c r="U31" s="206">
        <f>'P &amp; NP'!EU508</f>
        <v>0</v>
      </c>
      <c r="V31" s="206">
        <f>'P &amp; NP'!EV508</f>
        <v>0</v>
      </c>
      <c r="W31" s="206">
        <f>'P &amp; NP'!FK508</f>
        <v>0</v>
      </c>
      <c r="X31" s="206">
        <f>'P &amp; NP'!FL508</f>
        <v>0</v>
      </c>
      <c r="Y31" s="206">
        <f>'P &amp; NP'!GA508</f>
        <v>0</v>
      </c>
      <c r="Z31" s="206">
        <f>'P &amp; NP'!GB508</f>
        <v>0</v>
      </c>
      <c r="AA31" s="206">
        <f>'P &amp; NP'!GQ508</f>
        <v>0</v>
      </c>
      <c r="AB31" s="206">
        <f>'P &amp; NP'!GR508</f>
        <v>0</v>
      </c>
      <c r="AC31" s="206">
        <f>'P &amp; NP'!HG508</f>
        <v>0</v>
      </c>
      <c r="AD31" s="206">
        <f>'P &amp; NP'!HH508</f>
        <v>0</v>
      </c>
      <c r="AE31" s="206">
        <f>'P &amp; NP'!HW508</f>
        <v>0</v>
      </c>
      <c r="AF31" s="206">
        <f>'P &amp; NP'!HX508</f>
        <v>0</v>
      </c>
      <c r="AG31" s="206">
        <f>'P &amp; NP'!IM508</f>
        <v>0</v>
      </c>
      <c r="AH31" s="206">
        <f>'P &amp; NP'!IN508</f>
        <v>0</v>
      </c>
      <c r="AI31" s="206">
        <f>'P &amp; NP'!JC508</f>
        <v>0</v>
      </c>
      <c r="AJ31" s="206">
        <f>'P &amp; NP'!JD508</f>
        <v>0</v>
      </c>
      <c r="AK31" s="206">
        <f>'P &amp; NP'!JS508</f>
        <v>0</v>
      </c>
      <c r="AL31" s="206">
        <f>'P &amp; NP'!JT508</f>
        <v>0</v>
      </c>
      <c r="AM31" s="206">
        <f>'P &amp; NP'!KI508</f>
        <v>0</v>
      </c>
      <c r="AN31" s="206">
        <f>'P &amp; NP'!KJ508</f>
        <v>0</v>
      </c>
      <c r="AO31" s="206">
        <f>'P &amp; NP'!KY508</f>
        <v>0</v>
      </c>
      <c r="AP31" s="206">
        <f>'P &amp; NP'!KZ508</f>
        <v>0</v>
      </c>
      <c r="AQ31" s="206">
        <f>'P &amp; NP'!LO508</f>
        <v>0</v>
      </c>
      <c r="AR31" s="206">
        <f>'P &amp; NP'!LP508</f>
        <v>0</v>
      </c>
      <c r="AS31" s="206">
        <f>'P &amp; NP'!ME508</f>
        <v>0</v>
      </c>
      <c r="AT31" s="206">
        <f>'P &amp; NP'!MF508</f>
        <v>0</v>
      </c>
      <c r="AU31" s="206">
        <f>'P &amp; NP'!MU508</f>
        <v>0</v>
      </c>
      <c r="AV31" s="206">
        <f>'P &amp; NP'!MV508</f>
        <v>0</v>
      </c>
      <c r="AW31" s="206">
        <f>'P &amp; NP'!NK508</f>
        <v>0</v>
      </c>
      <c r="AX31" s="206">
        <f>'P &amp; NP'!NL508</f>
        <v>0</v>
      </c>
      <c r="AY31" s="206">
        <f>'P &amp; NP'!OA508</f>
        <v>0</v>
      </c>
      <c r="AZ31" s="206">
        <f>'P &amp; NP'!OB508</f>
        <v>0</v>
      </c>
      <c r="BA31" s="206">
        <f>'P &amp; NP'!OQ508</f>
        <v>0</v>
      </c>
      <c r="BB31" s="206">
        <f>'P &amp; NP'!OR508</f>
        <v>0</v>
      </c>
      <c r="BC31" s="206">
        <f>'P &amp; NP'!PG508</f>
        <v>0</v>
      </c>
      <c r="BD31" s="206">
        <f>'P &amp; NP'!PH508</f>
        <v>0</v>
      </c>
      <c r="BE31" s="206">
        <f>'P &amp; NP'!PW508</f>
        <v>0</v>
      </c>
      <c r="BF31" s="206">
        <f>'P &amp; NP'!PX508</f>
        <v>0</v>
      </c>
      <c r="BG31" s="206">
        <f>'P &amp; NP'!QM508</f>
        <v>0</v>
      </c>
      <c r="BH31" s="206">
        <f>'P &amp; NP'!QN508</f>
        <v>0</v>
      </c>
      <c r="BI31" s="206">
        <f>'P &amp; NP'!RC508</f>
        <v>0</v>
      </c>
      <c r="BJ31" s="206">
        <f>'P &amp; NP'!RD508</f>
        <v>0</v>
      </c>
      <c r="BK31" s="206">
        <f>'P &amp; NP'!RS508</f>
        <v>0</v>
      </c>
      <c r="BL31" s="206">
        <f>'P &amp; NP'!RT508</f>
        <v>0</v>
      </c>
      <c r="BM31" s="206">
        <f>'P &amp; NP'!SI508</f>
        <v>0</v>
      </c>
      <c r="BN31" s="206">
        <f>'P &amp; NP'!SJ508</f>
        <v>0</v>
      </c>
      <c r="BO31" s="206">
        <f>'P &amp; NP'!SY508</f>
        <v>0</v>
      </c>
      <c r="BP31" s="206">
        <f>'P &amp; NP'!SZ508</f>
        <v>0</v>
      </c>
      <c r="BQ31" s="206">
        <f>'P &amp; NP'!TO508</f>
        <v>0</v>
      </c>
      <c r="BR31" s="206">
        <f>'P &amp; NP'!TP508</f>
        <v>0</v>
      </c>
      <c r="BS31" s="206">
        <f>'P &amp; NP'!UE508</f>
        <v>0</v>
      </c>
      <c r="BT31" s="206">
        <f>'P &amp; NP'!UF508</f>
        <v>0</v>
      </c>
      <c r="BU31" s="206">
        <f>'P &amp; NP'!UU508</f>
        <v>0</v>
      </c>
      <c r="BV31" s="206">
        <f>'P &amp; NP'!UV508</f>
        <v>0</v>
      </c>
      <c r="BW31" s="206">
        <f>'P &amp; NP'!VK508</f>
        <v>0</v>
      </c>
      <c r="BX31" s="206">
        <f>'P &amp; NP'!VL508</f>
        <v>0</v>
      </c>
      <c r="BY31" s="206">
        <f>'P &amp; NP'!WA508</f>
        <v>0</v>
      </c>
      <c r="BZ31" s="206">
        <f>'P &amp; NP'!WB508</f>
        <v>0</v>
      </c>
      <c r="CB31" s="206">
        <f t="shared" si="2"/>
        <v>0</v>
      </c>
      <c r="CC31" s="206">
        <f t="shared" si="3"/>
        <v>0</v>
      </c>
    </row>
    <row r="32" spans="2:81">
      <c r="B32" s="207" t="str">
        <f>'P &amp; NP'!B38</f>
        <v>Udang Putih</v>
      </c>
      <c r="C32" s="206">
        <f>'P &amp; NP'!G509</f>
        <v>0</v>
      </c>
      <c r="D32" s="206">
        <f>'P &amp; NP'!H509</f>
        <v>0</v>
      </c>
      <c r="E32" s="206">
        <f>'P &amp; NP'!W509</f>
        <v>0</v>
      </c>
      <c r="F32" s="206">
        <f>'P &amp; NP'!X509</f>
        <v>0</v>
      </c>
      <c r="G32" s="206">
        <f>'P &amp; NP'!AM509</f>
        <v>0</v>
      </c>
      <c r="H32" s="206">
        <f>'P &amp; NP'!AN509</f>
        <v>0</v>
      </c>
      <c r="I32" s="206">
        <f>'P &amp; NP'!BC509</f>
        <v>0</v>
      </c>
      <c r="J32" s="206">
        <f>'P &amp; NP'!BD509</f>
        <v>0</v>
      </c>
      <c r="K32" s="206">
        <f>'P &amp; NP'!BS509</f>
        <v>0</v>
      </c>
      <c r="L32" s="206">
        <f>'P &amp; NP'!BT509</f>
        <v>0</v>
      </c>
      <c r="M32" s="206">
        <f>'P &amp; NP'!CI509</f>
        <v>0</v>
      </c>
      <c r="N32" s="206">
        <f>'P &amp; NP'!CJ509</f>
        <v>0</v>
      </c>
      <c r="O32" s="206">
        <f>'P &amp; NP'!CY509</f>
        <v>0</v>
      </c>
      <c r="P32" s="206">
        <f>'P &amp; NP'!CZ509</f>
        <v>0</v>
      </c>
      <c r="Q32" s="206">
        <f>'P &amp; NP'!DO509</f>
        <v>0</v>
      </c>
      <c r="R32" s="206">
        <f>'P &amp; NP'!DP509</f>
        <v>0</v>
      </c>
      <c r="S32" s="206">
        <f>'P &amp; NP'!EE509</f>
        <v>0</v>
      </c>
      <c r="T32" s="206">
        <f>'P &amp; NP'!EF509</f>
        <v>0</v>
      </c>
      <c r="U32" s="206">
        <f>'P &amp; NP'!EU509</f>
        <v>0</v>
      </c>
      <c r="V32" s="206">
        <f>'P &amp; NP'!EV509</f>
        <v>0</v>
      </c>
      <c r="W32" s="206">
        <f>'P &amp; NP'!FK509</f>
        <v>0</v>
      </c>
      <c r="X32" s="206">
        <f>'P &amp; NP'!FL509</f>
        <v>0</v>
      </c>
      <c r="Y32" s="206">
        <f>'P &amp; NP'!GA509</f>
        <v>0</v>
      </c>
      <c r="Z32" s="206">
        <f>'P &amp; NP'!GB509</f>
        <v>0</v>
      </c>
      <c r="AA32" s="206">
        <f>'P &amp; NP'!GQ509</f>
        <v>0</v>
      </c>
      <c r="AB32" s="206">
        <f>'P &amp; NP'!GR509</f>
        <v>0</v>
      </c>
      <c r="AC32" s="206">
        <f>'P &amp; NP'!HG509</f>
        <v>0</v>
      </c>
      <c r="AD32" s="206">
        <f>'P &amp; NP'!HH509</f>
        <v>0</v>
      </c>
      <c r="AE32" s="206">
        <f>'P &amp; NP'!HW509</f>
        <v>0</v>
      </c>
      <c r="AF32" s="206">
        <f>'P &amp; NP'!HX509</f>
        <v>0</v>
      </c>
      <c r="AG32" s="206">
        <f>'P &amp; NP'!IM509</f>
        <v>0</v>
      </c>
      <c r="AH32" s="206">
        <f>'P &amp; NP'!IN509</f>
        <v>0</v>
      </c>
      <c r="AI32" s="206">
        <f>'P &amp; NP'!JC509</f>
        <v>0</v>
      </c>
      <c r="AJ32" s="206">
        <f>'P &amp; NP'!JD509</f>
        <v>0</v>
      </c>
      <c r="AK32" s="206">
        <f>'P &amp; NP'!JS509</f>
        <v>0</v>
      </c>
      <c r="AL32" s="206">
        <f>'P &amp; NP'!JT509</f>
        <v>0</v>
      </c>
      <c r="AM32" s="206">
        <f>'P &amp; NP'!KI509</f>
        <v>0</v>
      </c>
      <c r="AN32" s="206">
        <f>'P &amp; NP'!KJ509</f>
        <v>0</v>
      </c>
      <c r="AO32" s="206">
        <f>'P &amp; NP'!KY509</f>
        <v>0</v>
      </c>
      <c r="AP32" s="206">
        <f>'P &amp; NP'!KZ509</f>
        <v>0</v>
      </c>
      <c r="AQ32" s="206">
        <f>'P &amp; NP'!LO509</f>
        <v>0</v>
      </c>
      <c r="AR32" s="206">
        <f>'P &amp; NP'!LP509</f>
        <v>0</v>
      </c>
      <c r="AS32" s="206">
        <f>'P &amp; NP'!ME509</f>
        <v>0</v>
      </c>
      <c r="AT32" s="206">
        <f>'P &amp; NP'!MF509</f>
        <v>0</v>
      </c>
      <c r="AU32" s="206">
        <f>'P &amp; NP'!MU509</f>
        <v>0</v>
      </c>
      <c r="AV32" s="206">
        <f>'P &amp; NP'!MV509</f>
        <v>0</v>
      </c>
      <c r="AW32" s="206">
        <f>'P &amp; NP'!NK509</f>
        <v>0</v>
      </c>
      <c r="AX32" s="206">
        <f>'P &amp; NP'!NL509</f>
        <v>0</v>
      </c>
      <c r="AY32" s="206">
        <f>'P &amp; NP'!OA509</f>
        <v>0</v>
      </c>
      <c r="AZ32" s="206">
        <f>'P &amp; NP'!OB509</f>
        <v>0</v>
      </c>
      <c r="BA32" s="206">
        <f>'P &amp; NP'!OQ509</f>
        <v>0</v>
      </c>
      <c r="BB32" s="206">
        <f>'P &amp; NP'!OR509</f>
        <v>0</v>
      </c>
      <c r="BC32" s="206">
        <f>'P &amp; NP'!PG509</f>
        <v>0</v>
      </c>
      <c r="BD32" s="206">
        <f>'P &amp; NP'!PH509</f>
        <v>0</v>
      </c>
      <c r="BE32" s="206">
        <f>'P &amp; NP'!PW509</f>
        <v>0</v>
      </c>
      <c r="BF32" s="206">
        <f>'P &amp; NP'!PX509</f>
        <v>0</v>
      </c>
      <c r="BG32" s="206">
        <f>'P &amp; NP'!QM509</f>
        <v>0</v>
      </c>
      <c r="BH32" s="206">
        <f>'P &amp; NP'!QN509</f>
        <v>0</v>
      </c>
      <c r="BI32" s="206">
        <f>'P &amp; NP'!RC509</f>
        <v>0</v>
      </c>
      <c r="BJ32" s="206">
        <f>'P &amp; NP'!RD509</f>
        <v>0</v>
      </c>
      <c r="BK32" s="206">
        <f>'P &amp; NP'!RS509</f>
        <v>0</v>
      </c>
      <c r="BL32" s="206">
        <f>'P &amp; NP'!RT509</f>
        <v>0</v>
      </c>
      <c r="BM32" s="206">
        <f>'P &amp; NP'!SI509</f>
        <v>0</v>
      </c>
      <c r="BN32" s="206">
        <f>'P &amp; NP'!SJ509</f>
        <v>0</v>
      </c>
      <c r="BO32" s="206">
        <f>'P &amp; NP'!SY509</f>
        <v>0</v>
      </c>
      <c r="BP32" s="206">
        <f>'P &amp; NP'!SZ509</f>
        <v>0</v>
      </c>
      <c r="BQ32" s="206">
        <f>'P &amp; NP'!TO509</f>
        <v>0</v>
      </c>
      <c r="BR32" s="206">
        <f>'P &amp; NP'!TP509</f>
        <v>0</v>
      </c>
      <c r="BS32" s="206">
        <f>'P &amp; NP'!UE509</f>
        <v>0</v>
      </c>
      <c r="BT32" s="206">
        <f>'P &amp; NP'!UF509</f>
        <v>0</v>
      </c>
      <c r="BU32" s="206">
        <f>'P &amp; NP'!UU509</f>
        <v>0</v>
      </c>
      <c r="BV32" s="206">
        <f>'P &amp; NP'!UV509</f>
        <v>0</v>
      </c>
      <c r="BW32" s="206">
        <f>'P &amp; NP'!VK509</f>
        <v>0</v>
      </c>
      <c r="BX32" s="206">
        <f>'P &amp; NP'!VL509</f>
        <v>0</v>
      </c>
      <c r="BY32" s="206">
        <f>'P &amp; NP'!WA509</f>
        <v>0</v>
      </c>
      <c r="BZ32" s="206">
        <f>'P &amp; NP'!WB509</f>
        <v>0</v>
      </c>
      <c r="CB32" s="206">
        <f t="shared" si="2"/>
        <v>0</v>
      </c>
      <c r="CC32" s="206">
        <f t="shared" si="3"/>
        <v>0</v>
      </c>
    </row>
    <row r="33" spans="1:81">
      <c r="B33" s="207" t="str">
        <f>'P &amp; NP'!B39</f>
        <v xml:space="preserve">Udang Vaname </v>
      </c>
      <c r="C33" s="206">
        <f>'P &amp; NP'!G510</f>
        <v>0</v>
      </c>
      <c r="D33" s="206">
        <f>'P &amp; NP'!H510</f>
        <v>0</v>
      </c>
      <c r="E33" s="206">
        <f>'P &amp; NP'!W510</f>
        <v>0</v>
      </c>
      <c r="F33" s="206">
        <f>'P &amp; NP'!X510</f>
        <v>0</v>
      </c>
      <c r="G33" s="206">
        <f>'P &amp; NP'!AM510</f>
        <v>0</v>
      </c>
      <c r="H33" s="206">
        <f>'P &amp; NP'!AN510</f>
        <v>0</v>
      </c>
      <c r="I33" s="206">
        <f>'P &amp; NP'!BC510</f>
        <v>0</v>
      </c>
      <c r="J33" s="206">
        <f>'P &amp; NP'!BD510</f>
        <v>0</v>
      </c>
      <c r="K33" s="206">
        <f>'P &amp; NP'!BS510</f>
        <v>0</v>
      </c>
      <c r="L33" s="206">
        <f>'P &amp; NP'!BT510</f>
        <v>0</v>
      </c>
      <c r="M33" s="206">
        <f>'P &amp; NP'!CI510</f>
        <v>0</v>
      </c>
      <c r="N33" s="206">
        <f>'P &amp; NP'!CJ510</f>
        <v>0</v>
      </c>
      <c r="O33" s="206">
        <f>'P &amp; NP'!CY510</f>
        <v>0</v>
      </c>
      <c r="P33" s="206">
        <f>'P &amp; NP'!CZ510</f>
        <v>0</v>
      </c>
      <c r="Q33" s="206">
        <f>'P &amp; NP'!DO510</f>
        <v>0</v>
      </c>
      <c r="R33" s="206">
        <f>'P &amp; NP'!DP510</f>
        <v>0</v>
      </c>
      <c r="S33" s="206">
        <f>'P &amp; NP'!EE510</f>
        <v>0</v>
      </c>
      <c r="T33" s="206">
        <f>'P &amp; NP'!EF510</f>
        <v>0</v>
      </c>
      <c r="U33" s="206">
        <f>'P &amp; NP'!EU510</f>
        <v>0</v>
      </c>
      <c r="V33" s="206">
        <f>'P &amp; NP'!EV510</f>
        <v>0</v>
      </c>
      <c r="W33" s="206">
        <f>'P &amp; NP'!FK510</f>
        <v>0</v>
      </c>
      <c r="X33" s="206">
        <f>'P &amp; NP'!FL510</f>
        <v>0</v>
      </c>
      <c r="Y33" s="206">
        <f>'P &amp; NP'!GA510</f>
        <v>0</v>
      </c>
      <c r="Z33" s="206">
        <f>'P &amp; NP'!GB510</f>
        <v>0</v>
      </c>
      <c r="AA33" s="206">
        <f>'P &amp; NP'!GQ510</f>
        <v>0</v>
      </c>
      <c r="AB33" s="206">
        <f>'P &amp; NP'!GR510</f>
        <v>0</v>
      </c>
      <c r="AC33" s="206">
        <f>'P &amp; NP'!HG510</f>
        <v>0</v>
      </c>
      <c r="AD33" s="206">
        <f>'P &amp; NP'!HH510</f>
        <v>0</v>
      </c>
      <c r="AE33" s="206">
        <f>'P &amp; NP'!HW510</f>
        <v>0</v>
      </c>
      <c r="AF33" s="206">
        <f>'P &amp; NP'!HX510</f>
        <v>0</v>
      </c>
      <c r="AG33" s="206">
        <f>'P &amp; NP'!IM510</f>
        <v>0</v>
      </c>
      <c r="AH33" s="206">
        <f>'P &amp; NP'!IN510</f>
        <v>0</v>
      </c>
      <c r="AI33" s="206">
        <f>'P &amp; NP'!JC510</f>
        <v>0</v>
      </c>
      <c r="AJ33" s="206">
        <f>'P &amp; NP'!JD510</f>
        <v>0</v>
      </c>
      <c r="AK33" s="206">
        <f>'P &amp; NP'!JS510</f>
        <v>0</v>
      </c>
      <c r="AL33" s="206">
        <f>'P &amp; NP'!JT510</f>
        <v>0</v>
      </c>
      <c r="AM33" s="206">
        <f>'P &amp; NP'!KI510</f>
        <v>0</v>
      </c>
      <c r="AN33" s="206">
        <f>'P &amp; NP'!KJ510</f>
        <v>0</v>
      </c>
      <c r="AO33" s="206">
        <f>'P &amp; NP'!KY510</f>
        <v>0</v>
      </c>
      <c r="AP33" s="206">
        <f>'P &amp; NP'!KZ510</f>
        <v>0</v>
      </c>
      <c r="AQ33" s="206">
        <f>'P &amp; NP'!LO510</f>
        <v>0</v>
      </c>
      <c r="AR33" s="206">
        <f>'P &amp; NP'!LP510</f>
        <v>0</v>
      </c>
      <c r="AS33" s="206">
        <f>'P &amp; NP'!ME510</f>
        <v>0</v>
      </c>
      <c r="AT33" s="206">
        <f>'P &amp; NP'!MF510</f>
        <v>0</v>
      </c>
      <c r="AU33" s="206">
        <f>'P &amp; NP'!MU510</f>
        <v>0</v>
      </c>
      <c r="AV33" s="206">
        <f>'P &amp; NP'!MV510</f>
        <v>0</v>
      </c>
      <c r="AW33" s="206">
        <f>'P &amp; NP'!NK510</f>
        <v>0</v>
      </c>
      <c r="AX33" s="206">
        <f>'P &amp; NP'!NL510</f>
        <v>0</v>
      </c>
      <c r="AY33" s="206">
        <f>'P &amp; NP'!OA510</f>
        <v>0</v>
      </c>
      <c r="AZ33" s="206">
        <f>'P &amp; NP'!OB510</f>
        <v>0</v>
      </c>
      <c r="BA33" s="206">
        <f>'P &amp; NP'!OQ510</f>
        <v>0</v>
      </c>
      <c r="BB33" s="206">
        <f>'P &amp; NP'!OR510</f>
        <v>0</v>
      </c>
      <c r="BC33" s="206">
        <f>'P &amp; NP'!PG510</f>
        <v>0</v>
      </c>
      <c r="BD33" s="206">
        <f>'P &amp; NP'!PH510</f>
        <v>0</v>
      </c>
      <c r="BE33" s="206">
        <f>'P &amp; NP'!PW510</f>
        <v>0</v>
      </c>
      <c r="BF33" s="206">
        <f>'P &amp; NP'!PX510</f>
        <v>0</v>
      </c>
      <c r="BG33" s="206">
        <f>'P &amp; NP'!QM510</f>
        <v>0</v>
      </c>
      <c r="BH33" s="206">
        <f>'P &amp; NP'!QN510</f>
        <v>0</v>
      </c>
      <c r="BI33" s="206">
        <f>'P &amp; NP'!RC510</f>
        <v>0</v>
      </c>
      <c r="BJ33" s="206">
        <f>'P &amp; NP'!RD510</f>
        <v>0</v>
      </c>
      <c r="BK33" s="206">
        <f>'P &amp; NP'!RS510</f>
        <v>0</v>
      </c>
      <c r="BL33" s="206">
        <f>'P &amp; NP'!RT510</f>
        <v>0</v>
      </c>
      <c r="BM33" s="206">
        <f>'P &amp; NP'!SI510</f>
        <v>0</v>
      </c>
      <c r="BN33" s="206">
        <f>'P &amp; NP'!SJ510</f>
        <v>0</v>
      </c>
      <c r="BO33" s="206">
        <f>'P &amp; NP'!SY510</f>
        <v>0</v>
      </c>
      <c r="BP33" s="206">
        <f>'P &amp; NP'!SZ510</f>
        <v>0</v>
      </c>
      <c r="BQ33" s="206">
        <f>'P &amp; NP'!TO510</f>
        <v>0</v>
      </c>
      <c r="BR33" s="206">
        <f>'P &amp; NP'!TP510</f>
        <v>0</v>
      </c>
      <c r="BS33" s="206">
        <f>'P &amp; NP'!UE510</f>
        <v>0</v>
      </c>
      <c r="BT33" s="206">
        <f>'P &amp; NP'!UF510</f>
        <v>0</v>
      </c>
      <c r="BU33" s="206">
        <f>'P &amp; NP'!UU510</f>
        <v>0</v>
      </c>
      <c r="BV33" s="206">
        <f>'P &amp; NP'!UV510</f>
        <v>0</v>
      </c>
      <c r="BW33" s="206">
        <f>'P &amp; NP'!VK510</f>
        <v>0</v>
      </c>
      <c r="BX33" s="206">
        <f>'P &amp; NP'!VL510</f>
        <v>0</v>
      </c>
      <c r="BY33" s="206">
        <f>'P &amp; NP'!WA510</f>
        <v>0</v>
      </c>
      <c r="BZ33" s="206">
        <f>'P &amp; NP'!WB510</f>
        <v>0</v>
      </c>
      <c r="CB33" s="206">
        <f t="shared" si="2"/>
        <v>0</v>
      </c>
      <c r="CC33" s="206">
        <f t="shared" si="3"/>
        <v>0</v>
      </c>
    </row>
    <row r="34" spans="1:81">
      <c r="B34" s="207" t="str">
        <f>'P &amp; NP'!B40</f>
        <v xml:space="preserve">Udang Windu </v>
      </c>
      <c r="C34" s="206">
        <f>'P &amp; NP'!G511</f>
        <v>0</v>
      </c>
      <c r="D34" s="206">
        <f>'P &amp; NP'!H511</f>
        <v>0</v>
      </c>
      <c r="E34" s="206">
        <f>'P &amp; NP'!W511</f>
        <v>0</v>
      </c>
      <c r="F34" s="206">
        <f>'P &amp; NP'!X511</f>
        <v>0</v>
      </c>
      <c r="G34" s="206">
        <f>'P &amp; NP'!AM511</f>
        <v>0</v>
      </c>
      <c r="H34" s="206">
        <f>'P &amp; NP'!AN511</f>
        <v>0</v>
      </c>
      <c r="I34" s="206">
        <f>'P &amp; NP'!BC511</f>
        <v>0</v>
      </c>
      <c r="J34" s="206">
        <f>'P &amp; NP'!BD511</f>
        <v>0</v>
      </c>
      <c r="K34" s="206">
        <f>'P &amp; NP'!BS511</f>
        <v>0</v>
      </c>
      <c r="L34" s="206">
        <f>'P &amp; NP'!BT511</f>
        <v>0</v>
      </c>
      <c r="M34" s="206">
        <f>'P &amp; NP'!CI511</f>
        <v>0</v>
      </c>
      <c r="N34" s="206">
        <f>'P &amp; NP'!CJ511</f>
        <v>0</v>
      </c>
      <c r="O34" s="206">
        <f>'P &amp; NP'!CY511</f>
        <v>0</v>
      </c>
      <c r="P34" s="206">
        <f>'P &amp; NP'!CZ511</f>
        <v>0</v>
      </c>
      <c r="Q34" s="206">
        <f>'P &amp; NP'!DO511</f>
        <v>0</v>
      </c>
      <c r="R34" s="206">
        <f>'P &amp; NP'!DP511</f>
        <v>0</v>
      </c>
      <c r="S34" s="206">
        <f>'P &amp; NP'!EE511</f>
        <v>0</v>
      </c>
      <c r="T34" s="206">
        <f>'P &amp; NP'!EF511</f>
        <v>0</v>
      </c>
      <c r="U34" s="206">
        <f>'P &amp; NP'!EU511</f>
        <v>0</v>
      </c>
      <c r="V34" s="206">
        <f>'P &amp; NP'!EV511</f>
        <v>0</v>
      </c>
      <c r="W34" s="206">
        <f>'P &amp; NP'!FK511</f>
        <v>0</v>
      </c>
      <c r="X34" s="206">
        <f>'P &amp; NP'!FL511</f>
        <v>0</v>
      </c>
      <c r="Y34" s="206">
        <f>'P &amp; NP'!GA511</f>
        <v>0</v>
      </c>
      <c r="Z34" s="206">
        <f>'P &amp; NP'!GB511</f>
        <v>0</v>
      </c>
      <c r="AA34" s="206">
        <f>'P &amp; NP'!GQ511</f>
        <v>0</v>
      </c>
      <c r="AB34" s="206">
        <f>'P &amp; NP'!GR511</f>
        <v>0</v>
      </c>
      <c r="AC34" s="206">
        <f>'P &amp; NP'!HG511</f>
        <v>0</v>
      </c>
      <c r="AD34" s="206">
        <f>'P &amp; NP'!HH511</f>
        <v>0</v>
      </c>
      <c r="AE34" s="206">
        <f>'P &amp; NP'!HW511</f>
        <v>0</v>
      </c>
      <c r="AF34" s="206">
        <f>'P &amp; NP'!HX511</f>
        <v>0</v>
      </c>
      <c r="AG34" s="206">
        <f>'P &amp; NP'!IM511</f>
        <v>0</v>
      </c>
      <c r="AH34" s="206">
        <f>'P &amp; NP'!IN511</f>
        <v>0</v>
      </c>
      <c r="AI34" s="206">
        <f>'P &amp; NP'!JC511</f>
        <v>0</v>
      </c>
      <c r="AJ34" s="206">
        <f>'P &amp; NP'!JD511</f>
        <v>0</v>
      </c>
      <c r="AK34" s="206">
        <f>'P &amp; NP'!JS511</f>
        <v>0</v>
      </c>
      <c r="AL34" s="206">
        <f>'P &amp; NP'!JT511</f>
        <v>0</v>
      </c>
      <c r="AM34" s="206">
        <f>'P &amp; NP'!KI511</f>
        <v>0</v>
      </c>
      <c r="AN34" s="206">
        <f>'P &amp; NP'!KJ511</f>
        <v>0</v>
      </c>
      <c r="AO34" s="206">
        <f>'P &amp; NP'!KY511</f>
        <v>0</v>
      </c>
      <c r="AP34" s="206">
        <f>'P &amp; NP'!KZ511</f>
        <v>0</v>
      </c>
      <c r="AQ34" s="206">
        <f>'P &amp; NP'!LO511</f>
        <v>0</v>
      </c>
      <c r="AR34" s="206">
        <f>'P &amp; NP'!LP511</f>
        <v>0</v>
      </c>
      <c r="AS34" s="206">
        <f>'P &amp; NP'!ME511</f>
        <v>0</v>
      </c>
      <c r="AT34" s="206">
        <f>'P &amp; NP'!MF511</f>
        <v>0</v>
      </c>
      <c r="AU34" s="206">
        <f>'P &amp; NP'!MU511</f>
        <v>0</v>
      </c>
      <c r="AV34" s="206">
        <f>'P &amp; NP'!MV511</f>
        <v>0</v>
      </c>
      <c r="AW34" s="206">
        <f>'P &amp; NP'!NK511</f>
        <v>0</v>
      </c>
      <c r="AX34" s="206">
        <f>'P &amp; NP'!NL511</f>
        <v>0</v>
      </c>
      <c r="AY34" s="206">
        <f>'P &amp; NP'!OA511</f>
        <v>0</v>
      </c>
      <c r="AZ34" s="206">
        <f>'P &amp; NP'!OB511</f>
        <v>0</v>
      </c>
      <c r="BA34" s="206">
        <f>'P &amp; NP'!OQ511</f>
        <v>0</v>
      </c>
      <c r="BB34" s="206">
        <f>'P &amp; NP'!OR511</f>
        <v>0</v>
      </c>
      <c r="BC34" s="206">
        <f>'P &amp; NP'!PG511</f>
        <v>0</v>
      </c>
      <c r="BD34" s="206">
        <f>'P &amp; NP'!PH511</f>
        <v>0</v>
      </c>
      <c r="BE34" s="206">
        <f>'P &amp; NP'!PW511</f>
        <v>0</v>
      </c>
      <c r="BF34" s="206">
        <f>'P &amp; NP'!PX511</f>
        <v>0</v>
      </c>
      <c r="BG34" s="206">
        <f>'P &amp; NP'!QM511</f>
        <v>0</v>
      </c>
      <c r="BH34" s="206">
        <f>'P &amp; NP'!QN511</f>
        <v>0</v>
      </c>
      <c r="BI34" s="206">
        <f>'P &amp; NP'!RC511</f>
        <v>0</v>
      </c>
      <c r="BJ34" s="206">
        <f>'P &amp; NP'!RD511</f>
        <v>0</v>
      </c>
      <c r="BK34" s="206">
        <f>'P &amp; NP'!RS511</f>
        <v>0</v>
      </c>
      <c r="BL34" s="206">
        <f>'P &amp; NP'!RT511</f>
        <v>0</v>
      </c>
      <c r="BM34" s="206">
        <f>'P &amp; NP'!SI511</f>
        <v>0</v>
      </c>
      <c r="BN34" s="206">
        <f>'P &amp; NP'!SJ511</f>
        <v>0</v>
      </c>
      <c r="BO34" s="206">
        <f>'P &amp; NP'!SY511</f>
        <v>0</v>
      </c>
      <c r="BP34" s="206">
        <f>'P &amp; NP'!SZ511</f>
        <v>0</v>
      </c>
      <c r="BQ34" s="206">
        <f>'P &amp; NP'!TO511</f>
        <v>0</v>
      </c>
      <c r="BR34" s="206">
        <f>'P &amp; NP'!TP511</f>
        <v>0</v>
      </c>
      <c r="BS34" s="206">
        <f>'P &amp; NP'!UE511</f>
        <v>0</v>
      </c>
      <c r="BT34" s="206">
        <f>'P &amp; NP'!UF511</f>
        <v>0</v>
      </c>
      <c r="BU34" s="206">
        <f>'P &amp; NP'!UU511</f>
        <v>0</v>
      </c>
      <c r="BV34" s="206">
        <f>'P &amp; NP'!UV511</f>
        <v>0</v>
      </c>
      <c r="BW34" s="206">
        <f>'P &amp; NP'!VK511</f>
        <v>0</v>
      </c>
      <c r="BX34" s="206">
        <f>'P &amp; NP'!VL511</f>
        <v>0</v>
      </c>
      <c r="BY34" s="206">
        <f>'P &amp; NP'!WA511</f>
        <v>0</v>
      </c>
      <c r="BZ34" s="206">
        <f>'P &amp; NP'!WB511</f>
        <v>0</v>
      </c>
      <c r="CB34" s="206">
        <f t="shared" si="2"/>
        <v>0</v>
      </c>
      <c r="CC34" s="206">
        <f t="shared" si="3"/>
        <v>0</v>
      </c>
    </row>
    <row r="35" spans="1:81">
      <c r="B35" s="207" t="str">
        <f>'P &amp; NP'!B41</f>
        <v xml:space="preserve">Udang_01 (Udang Api-Api) </v>
      </c>
      <c r="C35" s="206">
        <f>'P &amp; NP'!G512</f>
        <v>0</v>
      </c>
      <c r="D35" s="206">
        <f>'P &amp; NP'!H512</f>
        <v>0</v>
      </c>
      <c r="E35" s="206">
        <f>'P &amp; NP'!W512</f>
        <v>0</v>
      </c>
      <c r="F35" s="206">
        <f>'P &amp; NP'!X512</f>
        <v>0</v>
      </c>
      <c r="G35" s="206">
        <f>'P &amp; NP'!AM512</f>
        <v>0</v>
      </c>
      <c r="H35" s="206">
        <f>'P &amp; NP'!AN512</f>
        <v>0</v>
      </c>
      <c r="I35" s="206">
        <f>'P &amp; NP'!BC512</f>
        <v>0</v>
      </c>
      <c r="J35" s="206">
        <f>'P &amp; NP'!BD512</f>
        <v>0</v>
      </c>
      <c r="K35" s="206">
        <f>'P &amp; NP'!BS512</f>
        <v>0</v>
      </c>
      <c r="L35" s="206">
        <f>'P &amp; NP'!BT512</f>
        <v>0</v>
      </c>
      <c r="M35" s="206">
        <f>'P &amp; NP'!CI512</f>
        <v>0</v>
      </c>
      <c r="N35" s="206">
        <f>'P &amp; NP'!CJ512</f>
        <v>0</v>
      </c>
      <c r="O35" s="206">
        <f>'P &amp; NP'!CY512</f>
        <v>0</v>
      </c>
      <c r="P35" s="206">
        <f>'P &amp; NP'!CZ512</f>
        <v>0</v>
      </c>
      <c r="Q35" s="206">
        <f>'P &amp; NP'!DO512</f>
        <v>0</v>
      </c>
      <c r="R35" s="206">
        <f>'P &amp; NP'!DP512</f>
        <v>0</v>
      </c>
      <c r="S35" s="206">
        <f>'P &amp; NP'!EE512</f>
        <v>0</v>
      </c>
      <c r="T35" s="206">
        <f>'P &amp; NP'!EF512</f>
        <v>0</v>
      </c>
      <c r="U35" s="206">
        <f>'P &amp; NP'!EU512</f>
        <v>0</v>
      </c>
      <c r="V35" s="206">
        <f>'P &amp; NP'!EV512</f>
        <v>0</v>
      </c>
      <c r="W35" s="206">
        <f>'P &amp; NP'!FK512</f>
        <v>0</v>
      </c>
      <c r="X35" s="206">
        <f>'P &amp; NP'!FL512</f>
        <v>0</v>
      </c>
      <c r="Y35" s="206">
        <f>'P &amp; NP'!GA512</f>
        <v>0</v>
      </c>
      <c r="Z35" s="206">
        <f>'P &amp; NP'!GB512</f>
        <v>0</v>
      </c>
      <c r="AA35" s="206">
        <f>'P &amp; NP'!GQ512</f>
        <v>0</v>
      </c>
      <c r="AB35" s="206">
        <f>'P &amp; NP'!GR512</f>
        <v>0</v>
      </c>
      <c r="AC35" s="206">
        <f>'P &amp; NP'!HG512</f>
        <v>0</v>
      </c>
      <c r="AD35" s="206">
        <f>'P &amp; NP'!HH512</f>
        <v>0</v>
      </c>
      <c r="AE35" s="206">
        <f>'P &amp; NP'!HW512</f>
        <v>0</v>
      </c>
      <c r="AF35" s="206">
        <f>'P &amp; NP'!HX512</f>
        <v>0</v>
      </c>
      <c r="AG35" s="206">
        <f>'P &amp; NP'!IM512</f>
        <v>0</v>
      </c>
      <c r="AH35" s="206">
        <f>'P &amp; NP'!IN512</f>
        <v>0</v>
      </c>
      <c r="AI35" s="206">
        <f>'P &amp; NP'!JC512</f>
        <v>0</v>
      </c>
      <c r="AJ35" s="206">
        <f>'P &amp; NP'!JD512</f>
        <v>0</v>
      </c>
      <c r="AK35" s="206">
        <f>'P &amp; NP'!JS512</f>
        <v>0</v>
      </c>
      <c r="AL35" s="206">
        <f>'P &amp; NP'!JT512</f>
        <v>0</v>
      </c>
      <c r="AM35" s="206">
        <f>'P &amp; NP'!KI512</f>
        <v>0</v>
      </c>
      <c r="AN35" s="206">
        <f>'P &amp; NP'!KJ512</f>
        <v>0</v>
      </c>
      <c r="AO35" s="206">
        <f>'P &amp; NP'!KY512</f>
        <v>0</v>
      </c>
      <c r="AP35" s="206">
        <f>'P &amp; NP'!KZ512</f>
        <v>0</v>
      </c>
      <c r="AQ35" s="206">
        <f>'P &amp; NP'!LO512</f>
        <v>0</v>
      </c>
      <c r="AR35" s="206">
        <f>'P &amp; NP'!LP512</f>
        <v>0</v>
      </c>
      <c r="AS35" s="206">
        <f>'P &amp; NP'!ME512</f>
        <v>0</v>
      </c>
      <c r="AT35" s="206">
        <f>'P &amp; NP'!MF512</f>
        <v>0</v>
      </c>
      <c r="AU35" s="206">
        <f>'P &amp; NP'!MU512</f>
        <v>0</v>
      </c>
      <c r="AV35" s="206">
        <f>'P &amp; NP'!MV512</f>
        <v>0</v>
      </c>
      <c r="AW35" s="206">
        <f>'P &amp; NP'!NK512</f>
        <v>0</v>
      </c>
      <c r="AX35" s="206">
        <f>'P &amp; NP'!NL512</f>
        <v>0</v>
      </c>
      <c r="AY35" s="206">
        <f>'P &amp; NP'!OA512</f>
        <v>0</v>
      </c>
      <c r="AZ35" s="206">
        <f>'P &amp; NP'!OB512</f>
        <v>0</v>
      </c>
      <c r="BA35" s="206">
        <f>'P &amp; NP'!OQ512</f>
        <v>0</v>
      </c>
      <c r="BB35" s="206">
        <f>'P &amp; NP'!OR512</f>
        <v>0</v>
      </c>
      <c r="BC35" s="206">
        <f>'P &amp; NP'!PG512</f>
        <v>0</v>
      </c>
      <c r="BD35" s="206">
        <f>'P &amp; NP'!PH512</f>
        <v>0</v>
      </c>
      <c r="BE35" s="206">
        <f>'P &amp; NP'!PW512</f>
        <v>0</v>
      </c>
      <c r="BF35" s="206">
        <f>'P &amp; NP'!PX512</f>
        <v>0</v>
      </c>
      <c r="BG35" s="206">
        <f>'P &amp; NP'!QM512</f>
        <v>0</v>
      </c>
      <c r="BH35" s="206">
        <f>'P &amp; NP'!QN512</f>
        <v>0</v>
      </c>
      <c r="BI35" s="206">
        <f>'P &amp; NP'!RC512</f>
        <v>0</v>
      </c>
      <c r="BJ35" s="206">
        <f>'P &amp; NP'!RD512</f>
        <v>0</v>
      </c>
      <c r="BK35" s="206">
        <f>'P &amp; NP'!RS512</f>
        <v>0</v>
      </c>
      <c r="BL35" s="206">
        <f>'P &amp; NP'!RT512</f>
        <v>0</v>
      </c>
      <c r="BM35" s="206">
        <f>'P &amp; NP'!SI512</f>
        <v>0</v>
      </c>
      <c r="BN35" s="206">
        <f>'P &amp; NP'!SJ512</f>
        <v>0</v>
      </c>
      <c r="BO35" s="206">
        <f>'P &amp; NP'!SY512</f>
        <v>0</v>
      </c>
      <c r="BP35" s="206">
        <f>'P &amp; NP'!SZ512</f>
        <v>0</v>
      </c>
      <c r="BQ35" s="206">
        <f>'P &amp; NP'!TO512</f>
        <v>0</v>
      </c>
      <c r="BR35" s="206">
        <f>'P &amp; NP'!TP512</f>
        <v>0</v>
      </c>
      <c r="BS35" s="206">
        <f>'P &amp; NP'!UE512</f>
        <v>0</v>
      </c>
      <c r="BT35" s="206">
        <f>'P &amp; NP'!UF512</f>
        <v>0</v>
      </c>
      <c r="BU35" s="206">
        <f>'P &amp; NP'!UU512</f>
        <v>0</v>
      </c>
      <c r="BV35" s="206">
        <f>'P &amp; NP'!UV512</f>
        <v>0</v>
      </c>
      <c r="BW35" s="206">
        <f>'P &amp; NP'!VK512</f>
        <v>0</v>
      </c>
      <c r="BX35" s="206">
        <f>'P &amp; NP'!VL512</f>
        <v>0</v>
      </c>
      <c r="BY35" s="206">
        <f>'P &amp; NP'!WA512</f>
        <v>0</v>
      </c>
      <c r="BZ35" s="206">
        <f>'P &amp; NP'!WB512</f>
        <v>0</v>
      </c>
      <c r="CB35" s="206">
        <f>SUMIF($C$4:$BZ$4,$CB$4,C35:BZ35)</f>
        <v>0</v>
      </c>
      <c r="CC35" s="206">
        <f>SUMIF($C$4:$BZ$4,$CC$4,C35:BZ35)</f>
        <v>0</v>
      </c>
    </row>
    <row r="36" spans="1:81">
      <c r="B36" s="207" t="str">
        <f>'P &amp; NP'!B42</f>
        <v xml:space="preserve">Udang_02 (Udang Rebon) </v>
      </c>
      <c r="C36" s="206">
        <f>'P &amp; NP'!G513</f>
        <v>0</v>
      </c>
      <c r="D36" s="206">
        <f>'P &amp; NP'!H513</f>
        <v>0</v>
      </c>
      <c r="E36" s="206">
        <f>'P &amp; NP'!W513</f>
        <v>0</v>
      </c>
      <c r="F36" s="206">
        <f>'P &amp; NP'!X513</f>
        <v>0</v>
      </c>
      <c r="G36" s="206">
        <f>'P &amp; NP'!AM513</f>
        <v>0</v>
      </c>
      <c r="H36" s="206">
        <f>'P &amp; NP'!AN513</f>
        <v>0</v>
      </c>
      <c r="I36" s="206">
        <f>'P &amp; NP'!BC513</f>
        <v>0</v>
      </c>
      <c r="J36" s="206">
        <f>'P &amp; NP'!BD513</f>
        <v>0</v>
      </c>
      <c r="K36" s="206">
        <f>'P &amp; NP'!BS513</f>
        <v>0</v>
      </c>
      <c r="L36" s="206">
        <f>'P &amp; NP'!BT513</f>
        <v>0</v>
      </c>
      <c r="M36" s="206">
        <f>'P &amp; NP'!CI513</f>
        <v>0</v>
      </c>
      <c r="N36" s="206">
        <f>'P &amp; NP'!CJ513</f>
        <v>0</v>
      </c>
      <c r="O36" s="206">
        <f>'P &amp; NP'!CY513</f>
        <v>0</v>
      </c>
      <c r="P36" s="206">
        <f>'P &amp; NP'!CZ513</f>
        <v>0</v>
      </c>
      <c r="Q36" s="206">
        <f>'P &amp; NP'!DO513</f>
        <v>0</v>
      </c>
      <c r="R36" s="206">
        <f>'P &amp; NP'!DP513</f>
        <v>0</v>
      </c>
      <c r="S36" s="206">
        <f>'P &amp; NP'!EE513</f>
        <v>0</v>
      </c>
      <c r="T36" s="206">
        <f>'P &amp; NP'!EF513</f>
        <v>0</v>
      </c>
      <c r="U36" s="206">
        <f>'P &amp; NP'!EU513</f>
        <v>0</v>
      </c>
      <c r="V36" s="206">
        <f>'P &amp; NP'!EV513</f>
        <v>0</v>
      </c>
      <c r="W36" s="206">
        <f>'P &amp; NP'!FK513</f>
        <v>0</v>
      </c>
      <c r="X36" s="206">
        <f>'P &amp; NP'!FL513</f>
        <v>0</v>
      </c>
      <c r="Y36" s="206">
        <f>'P &amp; NP'!GA513</f>
        <v>0</v>
      </c>
      <c r="Z36" s="206">
        <f>'P &amp; NP'!GB513</f>
        <v>0</v>
      </c>
      <c r="AA36" s="206">
        <f>'P &amp; NP'!GQ513</f>
        <v>0</v>
      </c>
      <c r="AB36" s="206">
        <f>'P &amp; NP'!GR513</f>
        <v>0</v>
      </c>
      <c r="AC36" s="206">
        <f>'P &amp; NP'!HG513</f>
        <v>0</v>
      </c>
      <c r="AD36" s="206">
        <f>'P &amp; NP'!HH513</f>
        <v>0</v>
      </c>
      <c r="AE36" s="206">
        <f>'P &amp; NP'!HW513</f>
        <v>0</v>
      </c>
      <c r="AF36" s="206">
        <f>'P &amp; NP'!HX513</f>
        <v>0</v>
      </c>
      <c r="AG36" s="206">
        <f>'P &amp; NP'!IM513</f>
        <v>0</v>
      </c>
      <c r="AH36" s="206">
        <f>'P &amp; NP'!IN513</f>
        <v>0</v>
      </c>
      <c r="AI36" s="206">
        <f>'P &amp; NP'!JC513</f>
        <v>0</v>
      </c>
      <c r="AJ36" s="206">
        <f>'P &amp; NP'!JD513</f>
        <v>0</v>
      </c>
      <c r="AK36" s="206">
        <f>'P &amp; NP'!JS513</f>
        <v>0</v>
      </c>
      <c r="AL36" s="206">
        <f>'P &amp; NP'!JT513</f>
        <v>0</v>
      </c>
      <c r="AM36" s="206">
        <f>'P &amp; NP'!KI513</f>
        <v>0</v>
      </c>
      <c r="AN36" s="206">
        <f>'P &amp; NP'!KJ513</f>
        <v>0</v>
      </c>
      <c r="AO36" s="206">
        <f>'P &amp; NP'!KY513</f>
        <v>0</v>
      </c>
      <c r="AP36" s="206">
        <f>'P &amp; NP'!KZ513</f>
        <v>0</v>
      </c>
      <c r="AQ36" s="206">
        <f>'P &amp; NP'!LO513</f>
        <v>0</v>
      </c>
      <c r="AR36" s="206">
        <f>'P &amp; NP'!LP513</f>
        <v>0</v>
      </c>
      <c r="AS36" s="206">
        <f>'P &amp; NP'!ME513</f>
        <v>0</v>
      </c>
      <c r="AT36" s="206">
        <f>'P &amp; NP'!MF513</f>
        <v>0</v>
      </c>
      <c r="AU36" s="206">
        <f>'P &amp; NP'!MU513</f>
        <v>0</v>
      </c>
      <c r="AV36" s="206">
        <f>'P &amp; NP'!MV513</f>
        <v>0</v>
      </c>
      <c r="AW36" s="206">
        <f>'P &amp; NP'!NK513</f>
        <v>0</v>
      </c>
      <c r="AX36" s="206">
        <f>'P &amp; NP'!NL513</f>
        <v>0</v>
      </c>
      <c r="AY36" s="206">
        <f>'P &amp; NP'!OA513</f>
        <v>0</v>
      </c>
      <c r="AZ36" s="206">
        <f>'P &amp; NP'!OB513</f>
        <v>0</v>
      </c>
      <c r="BA36" s="206">
        <f>'P &amp; NP'!OQ513</f>
        <v>0</v>
      </c>
      <c r="BB36" s="206">
        <f>'P &amp; NP'!OR513</f>
        <v>0</v>
      </c>
      <c r="BC36" s="206">
        <f>'P &amp; NP'!PG513</f>
        <v>0</v>
      </c>
      <c r="BD36" s="206">
        <f>'P &amp; NP'!PH513</f>
        <v>0</v>
      </c>
      <c r="BE36" s="206">
        <f>'P &amp; NP'!PW513</f>
        <v>0</v>
      </c>
      <c r="BF36" s="206">
        <f>'P &amp; NP'!PX513</f>
        <v>0</v>
      </c>
      <c r="BG36" s="206">
        <f>'P &amp; NP'!QM513</f>
        <v>0</v>
      </c>
      <c r="BH36" s="206">
        <f>'P &amp; NP'!QN513</f>
        <v>0</v>
      </c>
      <c r="BI36" s="206">
        <f>'P &amp; NP'!RC513</f>
        <v>0</v>
      </c>
      <c r="BJ36" s="206">
        <f>'P &amp; NP'!RD513</f>
        <v>0</v>
      </c>
      <c r="BK36" s="206">
        <f>'P &amp; NP'!RS513</f>
        <v>0</v>
      </c>
      <c r="BL36" s="206">
        <f>'P &amp; NP'!RT513</f>
        <v>0</v>
      </c>
      <c r="BM36" s="206">
        <f>'P &amp; NP'!SI513</f>
        <v>0</v>
      </c>
      <c r="BN36" s="206">
        <f>'P &amp; NP'!SJ513</f>
        <v>0</v>
      </c>
      <c r="BO36" s="206">
        <f>'P &amp; NP'!SY513</f>
        <v>0</v>
      </c>
      <c r="BP36" s="206">
        <f>'P &amp; NP'!SZ513</f>
        <v>0</v>
      </c>
      <c r="BQ36" s="206">
        <f>'P &amp; NP'!TO513</f>
        <v>0</v>
      </c>
      <c r="BR36" s="206">
        <f>'P &amp; NP'!TP513</f>
        <v>0</v>
      </c>
      <c r="BS36" s="206">
        <f>'P &amp; NP'!UE513</f>
        <v>0</v>
      </c>
      <c r="BT36" s="206">
        <f>'P &amp; NP'!UF513</f>
        <v>0</v>
      </c>
      <c r="BU36" s="206">
        <f>'P &amp; NP'!UU513</f>
        <v>0</v>
      </c>
      <c r="BV36" s="206">
        <f>'P &amp; NP'!UV513</f>
        <v>0</v>
      </c>
      <c r="BW36" s="206">
        <f>'P &amp; NP'!VK513</f>
        <v>0</v>
      </c>
      <c r="BX36" s="206">
        <f>'P &amp; NP'!VL513</f>
        <v>0</v>
      </c>
      <c r="BY36" s="206">
        <f>'P &amp; NP'!WA513</f>
        <v>0</v>
      </c>
      <c r="BZ36" s="206">
        <f>'P &amp; NP'!WB513</f>
        <v>0</v>
      </c>
      <c r="CB36" s="206">
        <f t="shared" ref="CB36:CB44" si="4">SUMIF($C$4:$BZ$4,$CB$4,C36:BZ36)</f>
        <v>0</v>
      </c>
      <c r="CC36" s="206">
        <f t="shared" ref="CC36:CC44" si="5">SUMIF($C$4:$BZ$4,$CC$4,C36:BZ36)</f>
        <v>0</v>
      </c>
    </row>
    <row r="37" spans="1:81">
      <c r="B37" s="207" t="str">
        <f>'P &amp; NP'!B43</f>
        <v xml:space="preserve">Belut Sawah </v>
      </c>
      <c r="C37" s="206">
        <f>'P &amp; NP'!G514</f>
        <v>0</v>
      </c>
      <c r="D37" s="206">
        <f>'P &amp; NP'!H514</f>
        <v>0</v>
      </c>
      <c r="E37" s="206">
        <f>'P &amp; NP'!W514</f>
        <v>0</v>
      </c>
      <c r="F37" s="206">
        <f>'P &amp; NP'!X514</f>
        <v>0</v>
      </c>
      <c r="G37" s="206">
        <f>'P &amp; NP'!AM514</f>
        <v>0</v>
      </c>
      <c r="H37" s="206">
        <f>'P &amp; NP'!AN514</f>
        <v>0</v>
      </c>
      <c r="I37" s="206">
        <f>'P &amp; NP'!BC514</f>
        <v>0</v>
      </c>
      <c r="J37" s="206">
        <f>'P &amp; NP'!BD514</f>
        <v>0</v>
      </c>
      <c r="K37" s="206">
        <f>'P &amp; NP'!BS514</f>
        <v>0</v>
      </c>
      <c r="L37" s="206">
        <f>'P &amp; NP'!BT514</f>
        <v>0</v>
      </c>
      <c r="M37" s="206">
        <f>'P &amp; NP'!CI514</f>
        <v>0</v>
      </c>
      <c r="N37" s="206">
        <f>'P &amp; NP'!CJ514</f>
        <v>0</v>
      </c>
      <c r="O37" s="206">
        <f>'P &amp; NP'!CY514</f>
        <v>0</v>
      </c>
      <c r="P37" s="206">
        <f>'P &amp; NP'!CZ514</f>
        <v>0</v>
      </c>
      <c r="Q37" s="206">
        <f>'P &amp; NP'!DO514</f>
        <v>0</v>
      </c>
      <c r="R37" s="206">
        <f>'P &amp; NP'!DP514</f>
        <v>0</v>
      </c>
      <c r="S37" s="206">
        <f>'P &amp; NP'!EE514</f>
        <v>0</v>
      </c>
      <c r="T37" s="206">
        <f>'P &amp; NP'!EF514</f>
        <v>0</v>
      </c>
      <c r="U37" s="206">
        <f>'P &amp; NP'!EU514</f>
        <v>0</v>
      </c>
      <c r="V37" s="206">
        <f>'P &amp; NP'!EV514</f>
        <v>0</v>
      </c>
      <c r="W37" s="206">
        <f>'P &amp; NP'!FK514</f>
        <v>0</v>
      </c>
      <c r="X37" s="206">
        <f>'P &amp; NP'!FL514</f>
        <v>0</v>
      </c>
      <c r="Y37" s="206">
        <f>'P &amp; NP'!GA514</f>
        <v>0</v>
      </c>
      <c r="Z37" s="206">
        <f>'P &amp; NP'!GB514</f>
        <v>0</v>
      </c>
      <c r="AA37" s="206">
        <f>'P &amp; NP'!GQ514</f>
        <v>0</v>
      </c>
      <c r="AB37" s="206">
        <f>'P &amp; NP'!GR514</f>
        <v>0</v>
      </c>
      <c r="AC37" s="206">
        <f>'P &amp; NP'!HG514</f>
        <v>0</v>
      </c>
      <c r="AD37" s="206">
        <f>'P &amp; NP'!HH514</f>
        <v>0</v>
      </c>
      <c r="AE37" s="206">
        <f>'P &amp; NP'!HW514</f>
        <v>0</v>
      </c>
      <c r="AF37" s="206">
        <f>'P &amp; NP'!HX514</f>
        <v>0</v>
      </c>
      <c r="AG37" s="206">
        <f>'P &amp; NP'!IM514</f>
        <v>0</v>
      </c>
      <c r="AH37" s="206">
        <f>'P &amp; NP'!IN514</f>
        <v>0</v>
      </c>
      <c r="AI37" s="206">
        <f>'P &amp; NP'!JC514</f>
        <v>0</v>
      </c>
      <c r="AJ37" s="206">
        <f>'P &amp; NP'!JD514</f>
        <v>0</v>
      </c>
      <c r="AK37" s="206">
        <f>'P &amp; NP'!JS514</f>
        <v>0</v>
      </c>
      <c r="AL37" s="206">
        <f>'P &amp; NP'!JT514</f>
        <v>0</v>
      </c>
      <c r="AM37" s="206">
        <f>'P &amp; NP'!KI514</f>
        <v>0</v>
      </c>
      <c r="AN37" s="206">
        <f>'P &amp; NP'!KJ514</f>
        <v>0</v>
      </c>
      <c r="AO37" s="206">
        <f>'P &amp; NP'!KY514</f>
        <v>0</v>
      </c>
      <c r="AP37" s="206">
        <f>'P &amp; NP'!KZ514</f>
        <v>0</v>
      </c>
      <c r="AQ37" s="206">
        <f>'P &amp; NP'!LO514</f>
        <v>0</v>
      </c>
      <c r="AR37" s="206">
        <f>'P &amp; NP'!LP514</f>
        <v>0</v>
      </c>
      <c r="AS37" s="206">
        <f>'P &amp; NP'!ME514</f>
        <v>0</v>
      </c>
      <c r="AT37" s="206">
        <f>'P &amp; NP'!MF514</f>
        <v>0</v>
      </c>
      <c r="AU37" s="206">
        <f>'P &amp; NP'!MU514</f>
        <v>0</v>
      </c>
      <c r="AV37" s="206">
        <f>'P &amp; NP'!MV514</f>
        <v>0</v>
      </c>
      <c r="AW37" s="206">
        <f>'P &amp; NP'!NK514</f>
        <v>0</v>
      </c>
      <c r="AX37" s="206">
        <f>'P &amp; NP'!NL514</f>
        <v>0</v>
      </c>
      <c r="AY37" s="206">
        <f>'P &amp; NP'!OA514</f>
        <v>0</v>
      </c>
      <c r="AZ37" s="206">
        <f>'P &amp; NP'!OB514</f>
        <v>0</v>
      </c>
      <c r="BA37" s="206">
        <f>'P &amp; NP'!OQ514</f>
        <v>0</v>
      </c>
      <c r="BB37" s="206">
        <f>'P &amp; NP'!OR514</f>
        <v>0</v>
      </c>
      <c r="BC37" s="206">
        <f>'P &amp; NP'!PG514</f>
        <v>0</v>
      </c>
      <c r="BD37" s="206">
        <f>'P &amp; NP'!PH514</f>
        <v>0</v>
      </c>
      <c r="BE37" s="206">
        <f>'P &amp; NP'!PW514</f>
        <v>0</v>
      </c>
      <c r="BF37" s="206">
        <f>'P &amp; NP'!PX514</f>
        <v>0</v>
      </c>
      <c r="BG37" s="206">
        <f>'P &amp; NP'!QM514</f>
        <v>0</v>
      </c>
      <c r="BH37" s="206">
        <f>'P &amp; NP'!QN514</f>
        <v>0</v>
      </c>
      <c r="BI37" s="206">
        <f>'P &amp; NP'!RC514</f>
        <v>0</v>
      </c>
      <c r="BJ37" s="206">
        <f>'P &amp; NP'!RD514</f>
        <v>0</v>
      </c>
      <c r="BK37" s="206">
        <f>'P &amp; NP'!RS514</f>
        <v>0</v>
      </c>
      <c r="BL37" s="206">
        <f>'P &amp; NP'!RT514</f>
        <v>0</v>
      </c>
      <c r="BM37" s="206">
        <f>'P &amp; NP'!SI514</f>
        <v>0</v>
      </c>
      <c r="BN37" s="206">
        <f>'P &amp; NP'!SJ514</f>
        <v>0</v>
      </c>
      <c r="BO37" s="206">
        <f>'P &amp; NP'!SY514</f>
        <v>0</v>
      </c>
      <c r="BP37" s="206">
        <f>'P &amp; NP'!SZ514</f>
        <v>0</v>
      </c>
      <c r="BQ37" s="206">
        <f>'P &amp; NP'!TO514</f>
        <v>0</v>
      </c>
      <c r="BR37" s="206">
        <f>'P &amp; NP'!TP514</f>
        <v>0</v>
      </c>
      <c r="BS37" s="206">
        <f>'P &amp; NP'!UE514</f>
        <v>0</v>
      </c>
      <c r="BT37" s="206">
        <f>'P &amp; NP'!UF514</f>
        <v>0</v>
      </c>
      <c r="BU37" s="206">
        <f>'P &amp; NP'!UU514</f>
        <v>0</v>
      </c>
      <c r="BV37" s="206">
        <f>'P &amp; NP'!UV514</f>
        <v>0</v>
      </c>
      <c r="BW37" s="206">
        <f>'P &amp; NP'!VK514</f>
        <v>0</v>
      </c>
      <c r="BX37" s="206">
        <f>'P &amp; NP'!VL514</f>
        <v>0</v>
      </c>
      <c r="BY37" s="206">
        <f>'P &amp; NP'!WA514</f>
        <v>0</v>
      </c>
      <c r="BZ37" s="206">
        <f>'P &amp; NP'!WB514</f>
        <v>0</v>
      </c>
      <c r="CB37" s="206">
        <f t="shared" si="4"/>
        <v>0</v>
      </c>
      <c r="CC37" s="206">
        <f t="shared" si="5"/>
        <v>0</v>
      </c>
    </row>
    <row r="38" spans="1:81">
      <c r="B38" s="207" t="str">
        <f>'P &amp; NP'!B44</f>
        <v xml:space="preserve">Udang_04 (Udang Lainnya) </v>
      </c>
      <c r="C38" s="206">
        <f>'P &amp; NP'!G515</f>
        <v>0</v>
      </c>
      <c r="D38" s="206">
        <f>'P &amp; NP'!H515</f>
        <v>0</v>
      </c>
      <c r="E38" s="206">
        <f>'P &amp; NP'!W515</f>
        <v>0</v>
      </c>
      <c r="F38" s="206">
        <f>'P &amp; NP'!X515</f>
        <v>0</v>
      </c>
      <c r="G38" s="206">
        <f>'P &amp; NP'!AM515</f>
        <v>0</v>
      </c>
      <c r="H38" s="206">
        <f>'P &amp; NP'!AN515</f>
        <v>0</v>
      </c>
      <c r="I38" s="206">
        <f>'P &amp; NP'!BC515</f>
        <v>0</v>
      </c>
      <c r="J38" s="206">
        <f>'P &amp; NP'!BD515</f>
        <v>0</v>
      </c>
      <c r="K38" s="206">
        <f>'P &amp; NP'!BS515</f>
        <v>0</v>
      </c>
      <c r="L38" s="206">
        <f>'P &amp; NP'!BT515</f>
        <v>0</v>
      </c>
      <c r="M38" s="206">
        <f>'P &amp; NP'!CI515</f>
        <v>0</v>
      </c>
      <c r="N38" s="206">
        <f>'P &amp; NP'!CJ515</f>
        <v>0</v>
      </c>
      <c r="O38" s="206">
        <f>'P &amp; NP'!CY515</f>
        <v>0</v>
      </c>
      <c r="P38" s="206">
        <f>'P &amp; NP'!CZ515</f>
        <v>0</v>
      </c>
      <c r="Q38" s="206">
        <f>'P &amp; NP'!DO515</f>
        <v>0</v>
      </c>
      <c r="R38" s="206">
        <f>'P &amp; NP'!DP515</f>
        <v>0</v>
      </c>
      <c r="S38" s="206">
        <f>'P &amp; NP'!EE515</f>
        <v>0</v>
      </c>
      <c r="T38" s="206">
        <f>'P &amp; NP'!EF515</f>
        <v>0</v>
      </c>
      <c r="U38" s="206">
        <f>'P &amp; NP'!EU515</f>
        <v>0</v>
      </c>
      <c r="V38" s="206">
        <f>'P &amp; NP'!EV515</f>
        <v>0</v>
      </c>
      <c r="W38" s="206">
        <f>'P &amp; NP'!FK515</f>
        <v>0</v>
      </c>
      <c r="X38" s="206">
        <f>'P &amp; NP'!FL515</f>
        <v>0</v>
      </c>
      <c r="Y38" s="206">
        <f>'P &amp; NP'!GA515</f>
        <v>0</v>
      </c>
      <c r="Z38" s="206">
        <f>'P &amp; NP'!GB515</f>
        <v>0</v>
      </c>
      <c r="AA38" s="206">
        <f>'P &amp; NP'!GQ515</f>
        <v>0</v>
      </c>
      <c r="AB38" s="206">
        <f>'P &amp; NP'!GR515</f>
        <v>0</v>
      </c>
      <c r="AC38" s="206">
        <f>'P &amp; NP'!HG515</f>
        <v>0</v>
      </c>
      <c r="AD38" s="206">
        <f>'P &amp; NP'!HH515</f>
        <v>0</v>
      </c>
      <c r="AE38" s="206">
        <f>'P &amp; NP'!HW515</f>
        <v>0</v>
      </c>
      <c r="AF38" s="206">
        <f>'P &amp; NP'!HX515</f>
        <v>0</v>
      </c>
      <c r="AG38" s="206">
        <f>'P &amp; NP'!IM515</f>
        <v>0</v>
      </c>
      <c r="AH38" s="206">
        <f>'P &amp; NP'!IN515</f>
        <v>0</v>
      </c>
      <c r="AI38" s="206">
        <f>'P &amp; NP'!JC515</f>
        <v>0</v>
      </c>
      <c r="AJ38" s="206">
        <f>'P &amp; NP'!JD515</f>
        <v>0</v>
      </c>
      <c r="AK38" s="206">
        <f>'P &amp; NP'!JS515</f>
        <v>0</v>
      </c>
      <c r="AL38" s="206">
        <f>'P &amp; NP'!JT515</f>
        <v>0</v>
      </c>
      <c r="AM38" s="206">
        <f>'P &amp; NP'!KI515</f>
        <v>0</v>
      </c>
      <c r="AN38" s="206">
        <f>'P &amp; NP'!KJ515</f>
        <v>0</v>
      </c>
      <c r="AO38" s="206">
        <f>'P &amp; NP'!KY515</f>
        <v>0</v>
      </c>
      <c r="AP38" s="206">
        <f>'P &amp; NP'!KZ515</f>
        <v>0</v>
      </c>
      <c r="AQ38" s="206">
        <f>'P &amp; NP'!LO515</f>
        <v>0</v>
      </c>
      <c r="AR38" s="206">
        <f>'P &amp; NP'!LP515</f>
        <v>0</v>
      </c>
      <c r="AS38" s="206">
        <f>'P &amp; NP'!ME515</f>
        <v>0</v>
      </c>
      <c r="AT38" s="206">
        <f>'P &amp; NP'!MF515</f>
        <v>0</v>
      </c>
      <c r="AU38" s="206">
        <f>'P &amp; NP'!MU515</f>
        <v>0</v>
      </c>
      <c r="AV38" s="206">
        <f>'P &amp; NP'!MV515</f>
        <v>0</v>
      </c>
      <c r="AW38" s="206">
        <f>'P &amp; NP'!NK515</f>
        <v>0</v>
      </c>
      <c r="AX38" s="206">
        <f>'P &amp; NP'!NL515</f>
        <v>0</v>
      </c>
      <c r="AY38" s="206">
        <f>'P &amp; NP'!OA515</f>
        <v>0</v>
      </c>
      <c r="AZ38" s="206">
        <f>'P &amp; NP'!OB515</f>
        <v>0</v>
      </c>
      <c r="BA38" s="206">
        <f>'P &amp; NP'!OQ515</f>
        <v>0</v>
      </c>
      <c r="BB38" s="206">
        <f>'P &amp; NP'!OR515</f>
        <v>0</v>
      </c>
      <c r="BC38" s="206">
        <f>'P &amp; NP'!PG515</f>
        <v>0</v>
      </c>
      <c r="BD38" s="206">
        <f>'P &amp; NP'!PH515</f>
        <v>0</v>
      </c>
      <c r="BE38" s="206">
        <f>'P &amp; NP'!PW515</f>
        <v>0</v>
      </c>
      <c r="BF38" s="206">
        <f>'P &amp; NP'!PX515</f>
        <v>0</v>
      </c>
      <c r="BG38" s="206">
        <f>'P &amp; NP'!QM515</f>
        <v>0</v>
      </c>
      <c r="BH38" s="206">
        <f>'P &amp; NP'!QN515</f>
        <v>0</v>
      </c>
      <c r="BI38" s="206">
        <f>'P &amp; NP'!RC515</f>
        <v>0</v>
      </c>
      <c r="BJ38" s="206">
        <f>'P &amp; NP'!RD515</f>
        <v>0</v>
      </c>
      <c r="BK38" s="206">
        <f>'P &amp; NP'!RS515</f>
        <v>0</v>
      </c>
      <c r="BL38" s="206">
        <f>'P &amp; NP'!RT515</f>
        <v>0</v>
      </c>
      <c r="BM38" s="206">
        <f>'P &amp; NP'!SI515</f>
        <v>0</v>
      </c>
      <c r="BN38" s="206">
        <f>'P &amp; NP'!SJ515</f>
        <v>0</v>
      </c>
      <c r="BO38" s="206">
        <f>'P &amp; NP'!SY515</f>
        <v>0</v>
      </c>
      <c r="BP38" s="206">
        <f>'P &amp; NP'!SZ515</f>
        <v>0</v>
      </c>
      <c r="BQ38" s="206">
        <f>'P &amp; NP'!TO515</f>
        <v>0</v>
      </c>
      <c r="BR38" s="206">
        <f>'P &amp; NP'!TP515</f>
        <v>0</v>
      </c>
      <c r="BS38" s="206">
        <f>'P &amp; NP'!UE515</f>
        <v>0</v>
      </c>
      <c r="BT38" s="206">
        <f>'P &amp; NP'!UF515</f>
        <v>0</v>
      </c>
      <c r="BU38" s="206">
        <f>'P &amp; NP'!UU515</f>
        <v>0</v>
      </c>
      <c r="BV38" s="206">
        <f>'P &amp; NP'!UV515</f>
        <v>0</v>
      </c>
      <c r="BW38" s="206">
        <f>'P &amp; NP'!VK515</f>
        <v>0</v>
      </c>
      <c r="BX38" s="206">
        <f>'P &amp; NP'!VL515</f>
        <v>0</v>
      </c>
      <c r="BY38" s="206">
        <f>'P &amp; NP'!WA515</f>
        <v>0</v>
      </c>
      <c r="BZ38" s="206">
        <f>'P &amp; NP'!WB515</f>
        <v>0</v>
      </c>
      <c r="CB38" s="206">
        <f t="shared" si="4"/>
        <v>0</v>
      </c>
      <c r="CC38" s="206">
        <f t="shared" si="5"/>
        <v>0</v>
      </c>
    </row>
    <row r="39" spans="1:81">
      <c r="B39" s="207" t="str">
        <f>'P &amp; NP'!B45</f>
        <v xml:space="preserve">Udang_05 (Udang Lainnya) </v>
      </c>
      <c r="C39" s="206">
        <f>'P &amp; NP'!G516</f>
        <v>0</v>
      </c>
      <c r="D39" s="206">
        <f>'P &amp; NP'!H516</f>
        <v>0</v>
      </c>
      <c r="E39" s="206">
        <f>'P &amp; NP'!W516</f>
        <v>0</v>
      </c>
      <c r="F39" s="206">
        <f>'P &amp; NP'!X516</f>
        <v>0</v>
      </c>
      <c r="G39" s="206">
        <f>'P &amp; NP'!AM516</f>
        <v>0</v>
      </c>
      <c r="H39" s="206">
        <f>'P &amp; NP'!AN516</f>
        <v>0</v>
      </c>
      <c r="I39" s="206">
        <f>'P &amp; NP'!BC516</f>
        <v>0</v>
      </c>
      <c r="J39" s="206">
        <f>'P &amp; NP'!BD516</f>
        <v>0</v>
      </c>
      <c r="K39" s="206">
        <f>'P &amp; NP'!BS516</f>
        <v>0</v>
      </c>
      <c r="L39" s="206">
        <f>'P &amp; NP'!BT516</f>
        <v>0</v>
      </c>
      <c r="M39" s="206">
        <f>'P &amp; NP'!CI516</f>
        <v>0</v>
      </c>
      <c r="N39" s="206">
        <f>'P &amp; NP'!CJ516</f>
        <v>0</v>
      </c>
      <c r="O39" s="206">
        <f>'P &amp; NP'!CY516</f>
        <v>0</v>
      </c>
      <c r="P39" s="206">
        <f>'P &amp; NP'!CZ516</f>
        <v>0</v>
      </c>
      <c r="Q39" s="206">
        <f>'P &amp; NP'!DO516</f>
        <v>0</v>
      </c>
      <c r="R39" s="206">
        <f>'P &amp; NP'!DP516</f>
        <v>0</v>
      </c>
      <c r="S39" s="206">
        <f>'P &amp; NP'!EE516</f>
        <v>0</v>
      </c>
      <c r="T39" s="206">
        <f>'P &amp; NP'!EF516</f>
        <v>0</v>
      </c>
      <c r="U39" s="206">
        <f>'P &amp; NP'!EU516</f>
        <v>0</v>
      </c>
      <c r="V39" s="206">
        <f>'P &amp; NP'!EV516</f>
        <v>0</v>
      </c>
      <c r="W39" s="206">
        <f>'P &amp; NP'!FK516</f>
        <v>0</v>
      </c>
      <c r="X39" s="206">
        <f>'P &amp; NP'!FL516</f>
        <v>0</v>
      </c>
      <c r="Y39" s="206">
        <f>'P &amp; NP'!GA516</f>
        <v>0</v>
      </c>
      <c r="Z39" s="206">
        <f>'P &amp; NP'!GB516</f>
        <v>0</v>
      </c>
      <c r="AA39" s="206">
        <f>'P &amp; NP'!GQ516</f>
        <v>0</v>
      </c>
      <c r="AB39" s="206">
        <f>'P &amp; NP'!GR516</f>
        <v>0</v>
      </c>
      <c r="AC39" s="206">
        <f>'P &amp; NP'!HG516</f>
        <v>0</v>
      </c>
      <c r="AD39" s="206">
        <f>'P &amp; NP'!HH516</f>
        <v>0</v>
      </c>
      <c r="AE39" s="206">
        <f>'P &amp; NP'!HW516</f>
        <v>0</v>
      </c>
      <c r="AF39" s="206">
        <f>'P &amp; NP'!HX516</f>
        <v>0</v>
      </c>
      <c r="AG39" s="206">
        <f>'P &amp; NP'!IM516</f>
        <v>0</v>
      </c>
      <c r="AH39" s="206">
        <f>'P &amp; NP'!IN516</f>
        <v>0</v>
      </c>
      <c r="AI39" s="206">
        <f>'P &amp; NP'!JC516</f>
        <v>0</v>
      </c>
      <c r="AJ39" s="206">
        <f>'P &amp; NP'!JD516</f>
        <v>0</v>
      </c>
      <c r="AK39" s="206">
        <f>'P &amp; NP'!JS516</f>
        <v>0</v>
      </c>
      <c r="AL39" s="206">
        <f>'P &amp; NP'!JT516</f>
        <v>0</v>
      </c>
      <c r="AM39" s="206">
        <f>'P &amp; NP'!KI516</f>
        <v>0</v>
      </c>
      <c r="AN39" s="206">
        <f>'P &amp; NP'!KJ516</f>
        <v>0</v>
      </c>
      <c r="AO39" s="206">
        <f>'P &amp; NP'!KY516</f>
        <v>0</v>
      </c>
      <c r="AP39" s="206">
        <f>'P &amp; NP'!KZ516</f>
        <v>0</v>
      </c>
      <c r="AQ39" s="206">
        <f>'P &amp; NP'!LO516</f>
        <v>0</v>
      </c>
      <c r="AR39" s="206">
        <f>'P &amp; NP'!LP516</f>
        <v>0</v>
      </c>
      <c r="AS39" s="206">
        <f>'P &amp; NP'!ME516</f>
        <v>0</v>
      </c>
      <c r="AT39" s="206">
        <f>'P &amp; NP'!MF516</f>
        <v>0</v>
      </c>
      <c r="AU39" s="206">
        <f>'P &amp; NP'!MU516</f>
        <v>0</v>
      </c>
      <c r="AV39" s="206">
        <f>'P &amp; NP'!MV516</f>
        <v>0</v>
      </c>
      <c r="AW39" s="206">
        <f>'P &amp; NP'!NK516</f>
        <v>0</v>
      </c>
      <c r="AX39" s="206">
        <f>'P &amp; NP'!NL516</f>
        <v>0</v>
      </c>
      <c r="AY39" s="206">
        <f>'P &amp; NP'!OA516</f>
        <v>0</v>
      </c>
      <c r="AZ39" s="206">
        <f>'P &amp; NP'!OB516</f>
        <v>0</v>
      </c>
      <c r="BA39" s="206">
        <f>'P &amp; NP'!OQ516</f>
        <v>0</v>
      </c>
      <c r="BB39" s="206">
        <f>'P &amp; NP'!OR516</f>
        <v>0</v>
      </c>
      <c r="BC39" s="206">
        <f>'P &amp; NP'!PG516</f>
        <v>0</v>
      </c>
      <c r="BD39" s="206">
        <f>'P &amp; NP'!PH516</f>
        <v>0</v>
      </c>
      <c r="BE39" s="206">
        <f>'P &amp; NP'!PW516</f>
        <v>0</v>
      </c>
      <c r="BF39" s="206">
        <f>'P &amp; NP'!PX516</f>
        <v>0</v>
      </c>
      <c r="BG39" s="206">
        <f>'P &amp; NP'!QM516</f>
        <v>0</v>
      </c>
      <c r="BH39" s="206">
        <f>'P &amp; NP'!QN516</f>
        <v>0</v>
      </c>
      <c r="BI39" s="206">
        <f>'P &amp; NP'!RC516</f>
        <v>0</v>
      </c>
      <c r="BJ39" s="206">
        <f>'P &amp; NP'!RD516</f>
        <v>0</v>
      </c>
      <c r="BK39" s="206">
        <f>'P &amp; NP'!RS516</f>
        <v>0</v>
      </c>
      <c r="BL39" s="206">
        <f>'P &amp; NP'!RT516</f>
        <v>0</v>
      </c>
      <c r="BM39" s="206">
        <f>'P &amp; NP'!SI516</f>
        <v>0</v>
      </c>
      <c r="BN39" s="206">
        <f>'P &amp; NP'!SJ516</f>
        <v>0</v>
      </c>
      <c r="BO39" s="206">
        <f>'P &amp; NP'!SY516</f>
        <v>0</v>
      </c>
      <c r="BP39" s="206">
        <f>'P &amp; NP'!SZ516</f>
        <v>0</v>
      </c>
      <c r="BQ39" s="206">
        <f>'P &amp; NP'!TO516</f>
        <v>0</v>
      </c>
      <c r="BR39" s="206">
        <f>'P &amp; NP'!TP516</f>
        <v>0</v>
      </c>
      <c r="BS39" s="206">
        <f>'P &amp; NP'!UE516</f>
        <v>0</v>
      </c>
      <c r="BT39" s="206">
        <f>'P &amp; NP'!UF516</f>
        <v>0</v>
      </c>
      <c r="BU39" s="206">
        <f>'P &amp; NP'!UU516</f>
        <v>0</v>
      </c>
      <c r="BV39" s="206">
        <f>'P &amp; NP'!UV516</f>
        <v>0</v>
      </c>
      <c r="BW39" s="206">
        <f>'P &amp; NP'!VK516</f>
        <v>0</v>
      </c>
      <c r="BX39" s="206">
        <f>'P &amp; NP'!VL516</f>
        <v>0</v>
      </c>
      <c r="BY39" s="206">
        <f>'P &amp; NP'!WA516</f>
        <v>0</v>
      </c>
      <c r="BZ39" s="206">
        <f>'P &amp; NP'!WB516</f>
        <v>0</v>
      </c>
      <c r="CB39" s="206">
        <f t="shared" si="4"/>
        <v>0</v>
      </c>
      <c r="CC39" s="206">
        <f t="shared" si="5"/>
        <v>0</v>
      </c>
    </row>
    <row r="40" spans="1:81">
      <c r="B40" s="207" t="str">
        <f>'P &amp; NP'!B46</f>
        <v>Ikan_01 (Ikan Lainnya)</v>
      </c>
      <c r="C40" s="206">
        <f>'P &amp; NP'!G517</f>
        <v>0</v>
      </c>
      <c r="D40" s="206">
        <f>'P &amp; NP'!H517</f>
        <v>0</v>
      </c>
      <c r="E40" s="206">
        <f>'P &amp; NP'!W517</f>
        <v>0</v>
      </c>
      <c r="F40" s="206">
        <f>'P &amp; NP'!X517</f>
        <v>0</v>
      </c>
      <c r="G40" s="206">
        <f>'P &amp; NP'!AM517</f>
        <v>0</v>
      </c>
      <c r="H40" s="206">
        <f>'P &amp; NP'!AN517</f>
        <v>0</v>
      </c>
      <c r="I40" s="206">
        <f>'P &amp; NP'!BC517</f>
        <v>0</v>
      </c>
      <c r="J40" s="206">
        <f>'P &amp; NP'!BD517</f>
        <v>0</v>
      </c>
      <c r="K40" s="206">
        <f>'P &amp; NP'!BS517</f>
        <v>0</v>
      </c>
      <c r="L40" s="206">
        <f>'P &amp; NP'!BT517</f>
        <v>0</v>
      </c>
      <c r="M40" s="206">
        <f>'P &amp; NP'!CI517</f>
        <v>0</v>
      </c>
      <c r="N40" s="206">
        <f>'P &amp; NP'!CJ517</f>
        <v>0</v>
      </c>
      <c r="O40" s="206">
        <f>'P &amp; NP'!CY517</f>
        <v>0</v>
      </c>
      <c r="P40" s="206">
        <f>'P &amp; NP'!CZ517</f>
        <v>0</v>
      </c>
      <c r="Q40" s="206">
        <f>'P &amp; NP'!DO517</f>
        <v>0</v>
      </c>
      <c r="R40" s="206">
        <f>'P &amp; NP'!DP517</f>
        <v>0</v>
      </c>
      <c r="S40" s="206">
        <f>'P &amp; NP'!EE517</f>
        <v>0</v>
      </c>
      <c r="T40" s="206">
        <f>'P &amp; NP'!EF517</f>
        <v>0</v>
      </c>
      <c r="U40" s="206">
        <f>'P &amp; NP'!EU517</f>
        <v>0</v>
      </c>
      <c r="V40" s="206">
        <f>'P &amp; NP'!EV517</f>
        <v>0</v>
      </c>
      <c r="W40" s="206">
        <f>'P &amp; NP'!FK517</f>
        <v>0</v>
      </c>
      <c r="X40" s="206">
        <f>'P &amp; NP'!FL517</f>
        <v>0</v>
      </c>
      <c r="Y40" s="206">
        <f>'P &amp; NP'!GA517</f>
        <v>0</v>
      </c>
      <c r="Z40" s="206">
        <f>'P &amp; NP'!GB517</f>
        <v>0</v>
      </c>
      <c r="AA40" s="206">
        <f>'P &amp; NP'!GQ517</f>
        <v>0</v>
      </c>
      <c r="AB40" s="206">
        <f>'P &amp; NP'!GR517</f>
        <v>0</v>
      </c>
      <c r="AC40" s="206">
        <f>'P &amp; NP'!HG517</f>
        <v>0</v>
      </c>
      <c r="AD40" s="206">
        <f>'P &amp; NP'!HH517</f>
        <v>0</v>
      </c>
      <c r="AE40" s="206">
        <f>'P &amp; NP'!HW517</f>
        <v>0</v>
      </c>
      <c r="AF40" s="206">
        <f>'P &amp; NP'!HX517</f>
        <v>0</v>
      </c>
      <c r="AG40" s="206">
        <f>'P &amp; NP'!IM517</f>
        <v>0</v>
      </c>
      <c r="AH40" s="206">
        <f>'P &amp; NP'!IN517</f>
        <v>0</v>
      </c>
      <c r="AI40" s="206">
        <f>'P &amp; NP'!JC517</f>
        <v>0</v>
      </c>
      <c r="AJ40" s="206">
        <f>'P &amp; NP'!JD517</f>
        <v>0</v>
      </c>
      <c r="AK40" s="206">
        <f>'P &amp; NP'!JS517</f>
        <v>0</v>
      </c>
      <c r="AL40" s="206">
        <f>'P &amp; NP'!JT517</f>
        <v>0</v>
      </c>
      <c r="AM40" s="206">
        <f>'P &amp; NP'!KI517</f>
        <v>0</v>
      </c>
      <c r="AN40" s="206">
        <f>'P &amp; NP'!KJ517</f>
        <v>0</v>
      </c>
      <c r="AO40" s="206">
        <f>'P &amp; NP'!KY517</f>
        <v>0</v>
      </c>
      <c r="AP40" s="206">
        <f>'P &amp; NP'!KZ517</f>
        <v>0</v>
      </c>
      <c r="AQ40" s="206">
        <f>'P &amp; NP'!LO517</f>
        <v>0</v>
      </c>
      <c r="AR40" s="206">
        <f>'P &amp; NP'!LP517</f>
        <v>0</v>
      </c>
      <c r="AS40" s="206">
        <f>'P &amp; NP'!ME517</f>
        <v>0</v>
      </c>
      <c r="AT40" s="206">
        <f>'P &amp; NP'!MF517</f>
        <v>0</v>
      </c>
      <c r="AU40" s="206">
        <f>'P &amp; NP'!MU517</f>
        <v>0</v>
      </c>
      <c r="AV40" s="206">
        <f>'P &amp; NP'!MV517</f>
        <v>0</v>
      </c>
      <c r="AW40" s="206">
        <f>'P &amp; NP'!NK517</f>
        <v>0</v>
      </c>
      <c r="AX40" s="206">
        <f>'P &amp; NP'!NL517</f>
        <v>0</v>
      </c>
      <c r="AY40" s="206">
        <f>'P &amp; NP'!OA517</f>
        <v>0</v>
      </c>
      <c r="AZ40" s="206">
        <f>'P &amp; NP'!OB517</f>
        <v>0</v>
      </c>
      <c r="BA40" s="206">
        <f>'P &amp; NP'!OQ517</f>
        <v>0</v>
      </c>
      <c r="BB40" s="206">
        <f>'P &amp; NP'!OR517</f>
        <v>0</v>
      </c>
      <c r="BC40" s="206">
        <f>'P &amp; NP'!PG517</f>
        <v>0</v>
      </c>
      <c r="BD40" s="206">
        <f>'P &amp; NP'!PH517</f>
        <v>0</v>
      </c>
      <c r="BE40" s="206">
        <f>'P &amp; NP'!PW517</f>
        <v>0</v>
      </c>
      <c r="BF40" s="206">
        <f>'P &amp; NP'!PX517</f>
        <v>0</v>
      </c>
      <c r="BG40" s="206">
        <f>'P &amp; NP'!QM517</f>
        <v>0</v>
      </c>
      <c r="BH40" s="206">
        <f>'P &amp; NP'!QN517</f>
        <v>0</v>
      </c>
      <c r="BI40" s="206">
        <f>'P &amp; NP'!RC517</f>
        <v>0</v>
      </c>
      <c r="BJ40" s="206">
        <f>'P &amp; NP'!RD517</f>
        <v>0</v>
      </c>
      <c r="BK40" s="206">
        <f>'P &amp; NP'!RS517</f>
        <v>0</v>
      </c>
      <c r="BL40" s="206">
        <f>'P &amp; NP'!RT517</f>
        <v>0</v>
      </c>
      <c r="BM40" s="206">
        <f>'P &amp; NP'!SI517</f>
        <v>0</v>
      </c>
      <c r="BN40" s="206">
        <f>'P &amp; NP'!SJ517</f>
        <v>0</v>
      </c>
      <c r="BO40" s="206">
        <f>'P &amp; NP'!SY517</f>
        <v>0</v>
      </c>
      <c r="BP40" s="206">
        <f>'P &amp; NP'!SZ517</f>
        <v>0</v>
      </c>
      <c r="BQ40" s="206">
        <f>'P &amp; NP'!TO517</f>
        <v>0</v>
      </c>
      <c r="BR40" s="206">
        <f>'P &amp; NP'!TP517</f>
        <v>0</v>
      </c>
      <c r="BS40" s="206">
        <f>'P &amp; NP'!UE517</f>
        <v>0</v>
      </c>
      <c r="BT40" s="206">
        <f>'P &amp; NP'!UF517</f>
        <v>0</v>
      </c>
      <c r="BU40" s="206">
        <f>'P &amp; NP'!UU517</f>
        <v>0</v>
      </c>
      <c r="BV40" s="206">
        <f>'P &amp; NP'!UV517</f>
        <v>0</v>
      </c>
      <c r="BW40" s="206">
        <f>'P &amp; NP'!VK517</f>
        <v>0</v>
      </c>
      <c r="BX40" s="206">
        <f>'P &amp; NP'!VL517</f>
        <v>0</v>
      </c>
      <c r="BY40" s="206">
        <f>'P &amp; NP'!WA517</f>
        <v>0</v>
      </c>
      <c r="BZ40" s="206">
        <f>'P &amp; NP'!WB517</f>
        <v>0</v>
      </c>
      <c r="CB40" s="206">
        <f t="shared" si="4"/>
        <v>0</v>
      </c>
      <c r="CC40" s="206">
        <f t="shared" si="5"/>
        <v>0</v>
      </c>
    </row>
    <row r="41" spans="1:81">
      <c r="B41" s="207" t="str">
        <f>'P &amp; NP'!B47</f>
        <v>Ikan_02 (Tiram)</v>
      </c>
      <c r="C41" s="206">
        <f>'P &amp; NP'!G518</f>
        <v>0</v>
      </c>
      <c r="D41" s="206">
        <f>'P &amp; NP'!H518</f>
        <v>0</v>
      </c>
      <c r="E41" s="206">
        <f>'P &amp; NP'!W518</f>
        <v>0</v>
      </c>
      <c r="F41" s="206">
        <f>'P &amp; NP'!X518</f>
        <v>0</v>
      </c>
      <c r="G41" s="206">
        <f>'P &amp; NP'!AM518</f>
        <v>0</v>
      </c>
      <c r="H41" s="206">
        <f>'P &amp; NP'!AN518</f>
        <v>0</v>
      </c>
      <c r="I41" s="206">
        <f>'P &amp; NP'!BC518</f>
        <v>0</v>
      </c>
      <c r="J41" s="206">
        <f>'P &amp; NP'!BD518</f>
        <v>0</v>
      </c>
      <c r="K41" s="206">
        <f>'P &amp; NP'!BS518</f>
        <v>0</v>
      </c>
      <c r="L41" s="206">
        <f>'P &amp; NP'!BT518</f>
        <v>0</v>
      </c>
      <c r="M41" s="206">
        <f>'P &amp; NP'!CI518</f>
        <v>0</v>
      </c>
      <c r="N41" s="206">
        <f>'P &amp; NP'!CJ518</f>
        <v>0</v>
      </c>
      <c r="O41" s="206">
        <f>'P &amp; NP'!CY518</f>
        <v>0</v>
      </c>
      <c r="P41" s="206">
        <f>'P &amp; NP'!CZ518</f>
        <v>0</v>
      </c>
      <c r="Q41" s="206">
        <f>'P &amp; NP'!DO518</f>
        <v>0</v>
      </c>
      <c r="R41" s="206">
        <f>'P &amp; NP'!DP518</f>
        <v>0</v>
      </c>
      <c r="S41" s="206">
        <f>'P &amp; NP'!EE518</f>
        <v>0</v>
      </c>
      <c r="T41" s="206">
        <f>'P &amp; NP'!EF518</f>
        <v>0</v>
      </c>
      <c r="U41" s="206">
        <f>'P &amp; NP'!EU518</f>
        <v>0</v>
      </c>
      <c r="V41" s="206">
        <f>'P &amp; NP'!EV518</f>
        <v>0</v>
      </c>
      <c r="W41" s="206">
        <f>'P &amp; NP'!FK518</f>
        <v>0</v>
      </c>
      <c r="X41" s="206">
        <f>'P &amp; NP'!FL518</f>
        <v>0</v>
      </c>
      <c r="Y41" s="206">
        <f>'P &amp; NP'!GA518</f>
        <v>0</v>
      </c>
      <c r="Z41" s="206">
        <f>'P &amp; NP'!GB518</f>
        <v>0</v>
      </c>
      <c r="AA41" s="206">
        <f>'P &amp; NP'!GQ518</f>
        <v>0</v>
      </c>
      <c r="AB41" s="206">
        <f>'P &amp; NP'!GR518</f>
        <v>0</v>
      </c>
      <c r="AC41" s="206">
        <f>'P &amp; NP'!HG518</f>
        <v>0</v>
      </c>
      <c r="AD41" s="206">
        <f>'P &amp; NP'!HH518</f>
        <v>0</v>
      </c>
      <c r="AE41" s="206">
        <f>'P &amp; NP'!HW518</f>
        <v>0</v>
      </c>
      <c r="AF41" s="206">
        <f>'P &amp; NP'!HX518</f>
        <v>0</v>
      </c>
      <c r="AG41" s="206">
        <f>'P &amp; NP'!IM518</f>
        <v>0</v>
      </c>
      <c r="AH41" s="206">
        <f>'P &amp; NP'!IN518</f>
        <v>0</v>
      </c>
      <c r="AI41" s="206">
        <f>'P &amp; NP'!JC518</f>
        <v>0</v>
      </c>
      <c r="AJ41" s="206">
        <f>'P &amp; NP'!JD518</f>
        <v>0</v>
      </c>
      <c r="AK41" s="206">
        <f>'P &amp; NP'!JS518</f>
        <v>0</v>
      </c>
      <c r="AL41" s="206">
        <f>'P &amp; NP'!JT518</f>
        <v>0</v>
      </c>
      <c r="AM41" s="206">
        <f>'P &amp; NP'!KI518</f>
        <v>0</v>
      </c>
      <c r="AN41" s="206">
        <f>'P &amp; NP'!KJ518</f>
        <v>0</v>
      </c>
      <c r="AO41" s="206">
        <f>'P &amp; NP'!KY518</f>
        <v>0</v>
      </c>
      <c r="AP41" s="206">
        <f>'P &amp; NP'!KZ518</f>
        <v>0</v>
      </c>
      <c r="AQ41" s="206">
        <f>'P &amp; NP'!LO518</f>
        <v>0</v>
      </c>
      <c r="AR41" s="206">
        <f>'P &amp; NP'!LP518</f>
        <v>0</v>
      </c>
      <c r="AS41" s="206">
        <f>'P &amp; NP'!ME518</f>
        <v>0</v>
      </c>
      <c r="AT41" s="206">
        <f>'P &amp; NP'!MF518</f>
        <v>0</v>
      </c>
      <c r="AU41" s="206">
        <f>'P &amp; NP'!MU518</f>
        <v>0</v>
      </c>
      <c r="AV41" s="206">
        <f>'P &amp; NP'!MV518</f>
        <v>0</v>
      </c>
      <c r="AW41" s="206">
        <f>'P &amp; NP'!NK518</f>
        <v>0</v>
      </c>
      <c r="AX41" s="206">
        <f>'P &amp; NP'!NL518</f>
        <v>0</v>
      </c>
      <c r="AY41" s="206">
        <f>'P &amp; NP'!OA518</f>
        <v>0</v>
      </c>
      <c r="AZ41" s="206">
        <f>'P &amp; NP'!OB518</f>
        <v>0</v>
      </c>
      <c r="BA41" s="206">
        <f>'P &amp; NP'!OQ518</f>
        <v>0</v>
      </c>
      <c r="BB41" s="206">
        <f>'P &amp; NP'!OR518</f>
        <v>0</v>
      </c>
      <c r="BC41" s="206">
        <f>'P &amp; NP'!PG518</f>
        <v>0</v>
      </c>
      <c r="BD41" s="206">
        <f>'P &amp; NP'!PH518</f>
        <v>0</v>
      </c>
      <c r="BE41" s="206">
        <f>'P &amp; NP'!PW518</f>
        <v>0</v>
      </c>
      <c r="BF41" s="206">
        <f>'P &amp; NP'!PX518</f>
        <v>0</v>
      </c>
      <c r="BG41" s="206">
        <f>'P &amp; NP'!QM518</f>
        <v>0</v>
      </c>
      <c r="BH41" s="206">
        <f>'P &amp; NP'!QN518</f>
        <v>0</v>
      </c>
      <c r="BI41" s="206">
        <f>'P &amp; NP'!RC518</f>
        <v>0</v>
      </c>
      <c r="BJ41" s="206">
        <f>'P &amp; NP'!RD518</f>
        <v>0</v>
      </c>
      <c r="BK41" s="206">
        <f>'P &amp; NP'!RS518</f>
        <v>0</v>
      </c>
      <c r="BL41" s="206">
        <f>'P &amp; NP'!RT518</f>
        <v>0</v>
      </c>
      <c r="BM41" s="206">
        <f>'P &amp; NP'!SI518</f>
        <v>0</v>
      </c>
      <c r="BN41" s="206">
        <f>'P &amp; NP'!SJ518</f>
        <v>0</v>
      </c>
      <c r="BO41" s="206">
        <f>'P &amp; NP'!SY518</f>
        <v>0</v>
      </c>
      <c r="BP41" s="206">
        <f>'P &amp; NP'!SZ518</f>
        <v>0</v>
      </c>
      <c r="BQ41" s="206">
        <f>'P &amp; NP'!TO518</f>
        <v>0</v>
      </c>
      <c r="BR41" s="206">
        <f>'P &amp; NP'!TP518</f>
        <v>0</v>
      </c>
      <c r="BS41" s="206">
        <f>'P &amp; NP'!UE518</f>
        <v>0</v>
      </c>
      <c r="BT41" s="206">
        <f>'P &amp; NP'!UF518</f>
        <v>0</v>
      </c>
      <c r="BU41" s="206">
        <f>'P &amp; NP'!UU518</f>
        <v>0</v>
      </c>
      <c r="BV41" s="206">
        <f>'P &amp; NP'!UV518</f>
        <v>0</v>
      </c>
      <c r="BW41" s="206">
        <f>'P &amp; NP'!VK518</f>
        <v>0</v>
      </c>
      <c r="BX41" s="206">
        <f>'P &amp; NP'!VL518</f>
        <v>0</v>
      </c>
      <c r="BY41" s="206">
        <f>'P &amp; NP'!WA518</f>
        <v>0</v>
      </c>
      <c r="BZ41" s="206">
        <f>'P &amp; NP'!WB518</f>
        <v>0</v>
      </c>
      <c r="CB41" s="206">
        <f t="shared" si="4"/>
        <v>0</v>
      </c>
      <c r="CC41" s="206">
        <f t="shared" si="5"/>
        <v>0</v>
      </c>
    </row>
    <row r="42" spans="1:81">
      <c r="B42" s="207" t="str">
        <f>'P &amp; NP'!B48</f>
        <v>Ikan_03 (Kerang Darah)</v>
      </c>
      <c r="C42" s="206">
        <f>'P &amp; NP'!G519</f>
        <v>0</v>
      </c>
      <c r="D42" s="206">
        <f>'P &amp; NP'!H519</f>
        <v>0</v>
      </c>
      <c r="E42" s="206">
        <f>'P &amp; NP'!W519</f>
        <v>0</v>
      </c>
      <c r="F42" s="206">
        <f>'P &amp; NP'!X519</f>
        <v>0</v>
      </c>
      <c r="G42" s="206">
        <f>'P &amp; NP'!AM519</f>
        <v>0</v>
      </c>
      <c r="H42" s="206">
        <f>'P &amp; NP'!AN519</f>
        <v>0</v>
      </c>
      <c r="I42" s="206">
        <f>'P &amp; NP'!BC519</f>
        <v>0</v>
      </c>
      <c r="J42" s="206">
        <f>'P &amp; NP'!BD519</f>
        <v>0</v>
      </c>
      <c r="K42" s="206">
        <f>'P &amp; NP'!BS519</f>
        <v>0</v>
      </c>
      <c r="L42" s="206">
        <f>'P &amp; NP'!BT519</f>
        <v>0</v>
      </c>
      <c r="M42" s="206">
        <f>'P &amp; NP'!CI519</f>
        <v>0</v>
      </c>
      <c r="N42" s="206">
        <f>'P &amp; NP'!CJ519</f>
        <v>0</v>
      </c>
      <c r="O42" s="206">
        <f>'P &amp; NP'!CY519</f>
        <v>0</v>
      </c>
      <c r="P42" s="206">
        <f>'P &amp; NP'!CZ519</f>
        <v>0</v>
      </c>
      <c r="Q42" s="206">
        <f>'P &amp; NP'!DO519</f>
        <v>0</v>
      </c>
      <c r="R42" s="206">
        <f>'P &amp; NP'!DP519</f>
        <v>0</v>
      </c>
      <c r="S42" s="206">
        <f>'P &amp; NP'!EE519</f>
        <v>0</v>
      </c>
      <c r="T42" s="206">
        <f>'P &amp; NP'!EF519</f>
        <v>0</v>
      </c>
      <c r="U42" s="206">
        <f>'P &amp; NP'!EU519</f>
        <v>0</v>
      </c>
      <c r="V42" s="206">
        <f>'P &amp; NP'!EV519</f>
        <v>0</v>
      </c>
      <c r="W42" s="206">
        <f>'P &amp; NP'!FK519</f>
        <v>0</v>
      </c>
      <c r="X42" s="206">
        <f>'P &amp; NP'!FL519</f>
        <v>0</v>
      </c>
      <c r="Y42" s="206">
        <f>'P &amp; NP'!GA519</f>
        <v>0</v>
      </c>
      <c r="Z42" s="206">
        <f>'P &amp; NP'!GB519</f>
        <v>0</v>
      </c>
      <c r="AA42" s="206">
        <f>'P &amp; NP'!GQ519</f>
        <v>0</v>
      </c>
      <c r="AB42" s="206">
        <f>'P &amp; NP'!GR519</f>
        <v>0</v>
      </c>
      <c r="AC42" s="206">
        <f>'P &amp; NP'!HG519</f>
        <v>0</v>
      </c>
      <c r="AD42" s="206">
        <f>'P &amp; NP'!HH519</f>
        <v>0</v>
      </c>
      <c r="AE42" s="206">
        <f>'P &amp; NP'!HW519</f>
        <v>0</v>
      </c>
      <c r="AF42" s="206">
        <f>'P &amp; NP'!HX519</f>
        <v>0</v>
      </c>
      <c r="AG42" s="206">
        <f>'P &amp; NP'!IM519</f>
        <v>0</v>
      </c>
      <c r="AH42" s="206">
        <f>'P &amp; NP'!IN519</f>
        <v>0</v>
      </c>
      <c r="AI42" s="206">
        <f>'P &amp; NP'!JC519</f>
        <v>0</v>
      </c>
      <c r="AJ42" s="206">
        <f>'P &amp; NP'!JD519</f>
        <v>0</v>
      </c>
      <c r="AK42" s="206">
        <f>'P &amp; NP'!JS519</f>
        <v>0</v>
      </c>
      <c r="AL42" s="206">
        <f>'P &amp; NP'!JT519</f>
        <v>0</v>
      </c>
      <c r="AM42" s="206">
        <f>'P &amp; NP'!KI519</f>
        <v>0</v>
      </c>
      <c r="AN42" s="206">
        <f>'P &amp; NP'!KJ519</f>
        <v>0</v>
      </c>
      <c r="AO42" s="206">
        <f>'P &amp; NP'!KY519</f>
        <v>0</v>
      </c>
      <c r="AP42" s="206">
        <f>'P &amp; NP'!KZ519</f>
        <v>0</v>
      </c>
      <c r="AQ42" s="206">
        <f>'P &amp; NP'!LO519</f>
        <v>0</v>
      </c>
      <c r="AR42" s="206">
        <f>'P &amp; NP'!LP519</f>
        <v>0</v>
      </c>
      <c r="AS42" s="206">
        <f>'P &amp; NP'!ME519</f>
        <v>0</v>
      </c>
      <c r="AT42" s="206">
        <f>'P &amp; NP'!MF519</f>
        <v>0</v>
      </c>
      <c r="AU42" s="206">
        <f>'P &amp; NP'!MU519</f>
        <v>0</v>
      </c>
      <c r="AV42" s="206">
        <f>'P &amp; NP'!MV519</f>
        <v>0</v>
      </c>
      <c r="AW42" s="206">
        <f>'P &amp; NP'!NK519</f>
        <v>0</v>
      </c>
      <c r="AX42" s="206">
        <f>'P &amp; NP'!NL519</f>
        <v>0</v>
      </c>
      <c r="AY42" s="206">
        <f>'P &amp; NP'!OA519</f>
        <v>0</v>
      </c>
      <c r="AZ42" s="206">
        <f>'P &amp; NP'!OB519</f>
        <v>0</v>
      </c>
      <c r="BA42" s="206">
        <f>'P &amp; NP'!OQ519</f>
        <v>0</v>
      </c>
      <c r="BB42" s="206">
        <f>'P &amp; NP'!OR519</f>
        <v>0</v>
      </c>
      <c r="BC42" s="206">
        <f>'P &amp; NP'!PG519</f>
        <v>0</v>
      </c>
      <c r="BD42" s="206">
        <f>'P &amp; NP'!PH519</f>
        <v>0</v>
      </c>
      <c r="BE42" s="206">
        <f>'P &amp; NP'!PW519</f>
        <v>0</v>
      </c>
      <c r="BF42" s="206">
        <f>'P &amp; NP'!PX519</f>
        <v>0</v>
      </c>
      <c r="BG42" s="206">
        <f>'P &amp; NP'!QM519</f>
        <v>0</v>
      </c>
      <c r="BH42" s="206">
        <f>'P &amp; NP'!QN519</f>
        <v>0</v>
      </c>
      <c r="BI42" s="206">
        <f>'P &amp; NP'!RC519</f>
        <v>0</v>
      </c>
      <c r="BJ42" s="206">
        <f>'P &amp; NP'!RD519</f>
        <v>0</v>
      </c>
      <c r="BK42" s="206">
        <f>'P &amp; NP'!RS519</f>
        <v>0</v>
      </c>
      <c r="BL42" s="206">
        <f>'P &amp; NP'!RT519</f>
        <v>0</v>
      </c>
      <c r="BM42" s="206">
        <f>'P &amp; NP'!SI519</f>
        <v>0</v>
      </c>
      <c r="BN42" s="206">
        <f>'P &amp; NP'!SJ519</f>
        <v>0</v>
      </c>
      <c r="BO42" s="206">
        <f>'P &amp; NP'!SY519</f>
        <v>0</v>
      </c>
      <c r="BP42" s="206">
        <f>'P &amp; NP'!SZ519</f>
        <v>0</v>
      </c>
      <c r="BQ42" s="206">
        <f>'P &amp; NP'!TO519</f>
        <v>0</v>
      </c>
      <c r="BR42" s="206">
        <f>'P &amp; NP'!TP519</f>
        <v>0</v>
      </c>
      <c r="BS42" s="206">
        <f>'P &amp; NP'!UE519</f>
        <v>0</v>
      </c>
      <c r="BT42" s="206">
        <f>'P &amp; NP'!UF519</f>
        <v>0</v>
      </c>
      <c r="BU42" s="206">
        <f>'P &amp; NP'!UU519</f>
        <v>0</v>
      </c>
      <c r="BV42" s="206">
        <f>'P &amp; NP'!UV519</f>
        <v>0</v>
      </c>
      <c r="BW42" s="206">
        <f>'P &amp; NP'!VK519</f>
        <v>0</v>
      </c>
      <c r="BX42" s="206">
        <f>'P &amp; NP'!VL519</f>
        <v>0</v>
      </c>
      <c r="BY42" s="206">
        <f>'P &amp; NP'!WA519</f>
        <v>0</v>
      </c>
      <c r="BZ42" s="206">
        <f>'P &amp; NP'!WB519</f>
        <v>0</v>
      </c>
      <c r="CB42" s="206">
        <f t="shared" si="4"/>
        <v>0</v>
      </c>
      <c r="CC42" s="206">
        <f t="shared" si="5"/>
        <v>0</v>
      </c>
    </row>
    <row r="43" spans="1:81">
      <c r="B43" s="207" t="str">
        <f>'P &amp; NP'!B49</f>
        <v>Ikan_04 (Ikan Keting)</v>
      </c>
      <c r="C43" s="206">
        <f>'P &amp; NP'!G520</f>
        <v>0</v>
      </c>
      <c r="D43" s="206">
        <f>'P &amp; NP'!H520</f>
        <v>0</v>
      </c>
      <c r="E43" s="206">
        <f>'P &amp; NP'!W520</f>
        <v>0</v>
      </c>
      <c r="F43" s="206">
        <f>'P &amp; NP'!X520</f>
        <v>0</v>
      </c>
      <c r="G43" s="206">
        <f>'P &amp; NP'!AM520</f>
        <v>0</v>
      </c>
      <c r="H43" s="206">
        <f>'P &amp; NP'!AN520</f>
        <v>0</v>
      </c>
      <c r="I43" s="206">
        <f>'P &amp; NP'!BC520</f>
        <v>0</v>
      </c>
      <c r="J43" s="206">
        <f>'P &amp; NP'!BD520</f>
        <v>0</v>
      </c>
      <c r="K43" s="206">
        <f>'P &amp; NP'!BS520</f>
        <v>0</v>
      </c>
      <c r="L43" s="206">
        <f>'P &amp; NP'!BT520</f>
        <v>0</v>
      </c>
      <c r="M43" s="206">
        <f>'P &amp; NP'!CI520</f>
        <v>0</v>
      </c>
      <c r="N43" s="206">
        <f>'P &amp; NP'!CJ520</f>
        <v>0</v>
      </c>
      <c r="O43" s="206">
        <f>'P &amp; NP'!CY520</f>
        <v>0</v>
      </c>
      <c r="P43" s="206">
        <f>'P &amp; NP'!CZ520</f>
        <v>0</v>
      </c>
      <c r="Q43" s="206">
        <f>'P &amp; NP'!DO520</f>
        <v>0</v>
      </c>
      <c r="R43" s="206">
        <f>'P &amp; NP'!DP520</f>
        <v>0</v>
      </c>
      <c r="S43" s="206">
        <f>'P &amp; NP'!EE520</f>
        <v>0</v>
      </c>
      <c r="T43" s="206">
        <f>'P &amp; NP'!EF520</f>
        <v>0</v>
      </c>
      <c r="U43" s="206">
        <f>'P &amp; NP'!EU520</f>
        <v>0</v>
      </c>
      <c r="V43" s="206">
        <f>'P &amp; NP'!EV520</f>
        <v>0</v>
      </c>
      <c r="W43" s="206">
        <f>'P &amp; NP'!FK520</f>
        <v>0</v>
      </c>
      <c r="X43" s="206">
        <f>'P &amp; NP'!FL520</f>
        <v>0</v>
      </c>
      <c r="Y43" s="206">
        <f>'P &amp; NP'!GA520</f>
        <v>0</v>
      </c>
      <c r="Z43" s="206">
        <f>'P &amp; NP'!GB520</f>
        <v>0</v>
      </c>
      <c r="AA43" s="206">
        <f>'P &amp; NP'!GQ520</f>
        <v>0</v>
      </c>
      <c r="AB43" s="206">
        <f>'P &amp; NP'!GR520</f>
        <v>0</v>
      </c>
      <c r="AC43" s="206">
        <f>'P &amp; NP'!HG520</f>
        <v>0</v>
      </c>
      <c r="AD43" s="206">
        <f>'P &amp; NP'!HH520</f>
        <v>0</v>
      </c>
      <c r="AE43" s="206">
        <f>'P &amp; NP'!HW520</f>
        <v>0</v>
      </c>
      <c r="AF43" s="206">
        <f>'P &amp; NP'!HX520</f>
        <v>0</v>
      </c>
      <c r="AG43" s="206">
        <f>'P &amp; NP'!IM520</f>
        <v>0</v>
      </c>
      <c r="AH43" s="206">
        <f>'P &amp; NP'!IN520</f>
        <v>0</v>
      </c>
      <c r="AI43" s="206">
        <f>'P &amp; NP'!JC520</f>
        <v>0</v>
      </c>
      <c r="AJ43" s="206">
        <f>'P &amp; NP'!JD520</f>
        <v>0</v>
      </c>
      <c r="AK43" s="206">
        <f>'P &amp; NP'!JS520</f>
        <v>0</v>
      </c>
      <c r="AL43" s="206">
        <f>'P &amp; NP'!JT520</f>
        <v>0</v>
      </c>
      <c r="AM43" s="206">
        <f>'P &amp; NP'!KI520</f>
        <v>0</v>
      </c>
      <c r="AN43" s="206">
        <f>'P &amp; NP'!KJ520</f>
        <v>0</v>
      </c>
      <c r="AO43" s="206">
        <f>'P &amp; NP'!KY520</f>
        <v>0</v>
      </c>
      <c r="AP43" s="206">
        <f>'P &amp; NP'!KZ520</f>
        <v>0</v>
      </c>
      <c r="AQ43" s="206">
        <f>'P &amp; NP'!LO520</f>
        <v>0</v>
      </c>
      <c r="AR43" s="206">
        <f>'P &amp; NP'!LP520</f>
        <v>0</v>
      </c>
      <c r="AS43" s="206">
        <f>'P &amp; NP'!ME520</f>
        <v>0</v>
      </c>
      <c r="AT43" s="206">
        <f>'P &amp; NP'!MF520</f>
        <v>0</v>
      </c>
      <c r="AU43" s="206">
        <f>'P &amp; NP'!MU520</f>
        <v>0</v>
      </c>
      <c r="AV43" s="206">
        <f>'P &amp; NP'!MV520</f>
        <v>0</v>
      </c>
      <c r="AW43" s="206">
        <f>'P &amp; NP'!NK520</f>
        <v>0</v>
      </c>
      <c r="AX43" s="206">
        <f>'P &amp; NP'!NL520</f>
        <v>0</v>
      </c>
      <c r="AY43" s="206">
        <f>'P &amp; NP'!OA520</f>
        <v>0</v>
      </c>
      <c r="AZ43" s="206">
        <f>'P &amp; NP'!OB520</f>
        <v>0</v>
      </c>
      <c r="BA43" s="206">
        <f>'P &amp; NP'!OQ520</f>
        <v>0</v>
      </c>
      <c r="BB43" s="206">
        <f>'P &amp; NP'!OR520</f>
        <v>0</v>
      </c>
      <c r="BC43" s="206">
        <f>'P &amp; NP'!PG520</f>
        <v>0</v>
      </c>
      <c r="BD43" s="206">
        <f>'P &amp; NP'!PH520</f>
        <v>0</v>
      </c>
      <c r="BE43" s="206">
        <f>'P &amp; NP'!PW520</f>
        <v>0</v>
      </c>
      <c r="BF43" s="206">
        <f>'P &amp; NP'!PX520</f>
        <v>0</v>
      </c>
      <c r="BG43" s="206">
        <f>'P &amp; NP'!QM520</f>
        <v>0</v>
      </c>
      <c r="BH43" s="206">
        <f>'P &amp; NP'!QN520</f>
        <v>0</v>
      </c>
      <c r="BI43" s="206">
        <f>'P &amp; NP'!RC520</f>
        <v>0</v>
      </c>
      <c r="BJ43" s="206">
        <f>'P &amp; NP'!RD520</f>
        <v>0</v>
      </c>
      <c r="BK43" s="206">
        <f>'P &amp; NP'!RS520</f>
        <v>0</v>
      </c>
      <c r="BL43" s="206">
        <f>'P &amp; NP'!RT520</f>
        <v>0</v>
      </c>
      <c r="BM43" s="206">
        <f>'P &amp; NP'!SI520</f>
        <v>0</v>
      </c>
      <c r="BN43" s="206">
        <f>'P &amp; NP'!SJ520</f>
        <v>0</v>
      </c>
      <c r="BO43" s="206">
        <f>'P &amp; NP'!SY520</f>
        <v>0</v>
      </c>
      <c r="BP43" s="206">
        <f>'P &amp; NP'!SZ520</f>
        <v>0</v>
      </c>
      <c r="BQ43" s="206">
        <f>'P &amp; NP'!TO520</f>
        <v>0</v>
      </c>
      <c r="BR43" s="206">
        <f>'P &amp; NP'!TP520</f>
        <v>0</v>
      </c>
      <c r="BS43" s="206">
        <f>'P &amp; NP'!UE520</f>
        <v>0</v>
      </c>
      <c r="BT43" s="206">
        <f>'P &amp; NP'!UF520</f>
        <v>0</v>
      </c>
      <c r="BU43" s="206">
        <f>'P &amp; NP'!UU520</f>
        <v>0</v>
      </c>
      <c r="BV43" s="206">
        <f>'P &amp; NP'!UV520</f>
        <v>0</v>
      </c>
      <c r="BW43" s="206">
        <f>'P &amp; NP'!VK520</f>
        <v>0</v>
      </c>
      <c r="BX43" s="206">
        <f>'P &amp; NP'!VL520</f>
        <v>0</v>
      </c>
      <c r="BY43" s="206">
        <f>'P &amp; NP'!WA520</f>
        <v>0</v>
      </c>
      <c r="BZ43" s="206">
        <f>'P &amp; NP'!WB520</f>
        <v>0</v>
      </c>
      <c r="CB43" s="206">
        <f t="shared" si="4"/>
        <v>0</v>
      </c>
      <c r="CC43" s="206">
        <f t="shared" si="5"/>
        <v>0</v>
      </c>
    </row>
    <row r="44" spans="1:81">
      <c r="B44" s="207" t="str">
        <f>'P &amp; NP'!B50</f>
        <v>Ikan_05 (Ikan betutu)</v>
      </c>
      <c r="C44" s="206">
        <f>'P &amp; NP'!G521</f>
        <v>0</v>
      </c>
      <c r="D44" s="206">
        <f>'P &amp; NP'!H521</f>
        <v>0</v>
      </c>
      <c r="E44" s="206">
        <f>'P &amp; NP'!W521</f>
        <v>0</v>
      </c>
      <c r="F44" s="206">
        <f>'P &amp; NP'!X521</f>
        <v>0</v>
      </c>
      <c r="G44" s="206">
        <f>'P &amp; NP'!AM521</f>
        <v>0</v>
      </c>
      <c r="H44" s="206">
        <f>'P &amp; NP'!AN521</f>
        <v>0</v>
      </c>
      <c r="I44" s="206">
        <f>'P &amp; NP'!BC521</f>
        <v>0</v>
      </c>
      <c r="J44" s="206">
        <f>'P &amp; NP'!BD521</f>
        <v>0</v>
      </c>
      <c r="K44" s="206">
        <f>'P &amp; NP'!BS521</f>
        <v>0</v>
      </c>
      <c r="L44" s="206">
        <f>'P &amp; NP'!BT521</f>
        <v>0</v>
      </c>
      <c r="M44" s="206">
        <f>'P &amp; NP'!CI521</f>
        <v>0</v>
      </c>
      <c r="N44" s="206">
        <f>'P &amp; NP'!CJ521</f>
        <v>0</v>
      </c>
      <c r="O44" s="206">
        <f>'P &amp; NP'!CY521</f>
        <v>0</v>
      </c>
      <c r="P44" s="206">
        <f>'P &amp; NP'!CZ521</f>
        <v>0</v>
      </c>
      <c r="Q44" s="206">
        <f>'P &amp; NP'!DO521</f>
        <v>0</v>
      </c>
      <c r="R44" s="206">
        <f>'P &amp; NP'!DP521</f>
        <v>0</v>
      </c>
      <c r="S44" s="206">
        <f>'P &amp; NP'!EE521</f>
        <v>0</v>
      </c>
      <c r="T44" s="206">
        <f>'P &amp; NP'!EF521</f>
        <v>0</v>
      </c>
      <c r="U44" s="206">
        <f>'P &amp; NP'!EU521</f>
        <v>0</v>
      </c>
      <c r="V44" s="206">
        <f>'P &amp; NP'!EV521</f>
        <v>0</v>
      </c>
      <c r="W44" s="206">
        <f>'P &amp; NP'!FK521</f>
        <v>0</v>
      </c>
      <c r="X44" s="206">
        <f>'P &amp; NP'!FL521</f>
        <v>0</v>
      </c>
      <c r="Y44" s="206">
        <f>'P &amp; NP'!GA521</f>
        <v>0</v>
      </c>
      <c r="Z44" s="206">
        <f>'P &amp; NP'!GB521</f>
        <v>0</v>
      </c>
      <c r="AA44" s="206">
        <f>'P &amp; NP'!GQ521</f>
        <v>0</v>
      </c>
      <c r="AB44" s="206">
        <f>'P &amp; NP'!GR521</f>
        <v>0</v>
      </c>
      <c r="AC44" s="206">
        <f>'P &amp; NP'!HG521</f>
        <v>0</v>
      </c>
      <c r="AD44" s="206">
        <f>'P &amp; NP'!HH521</f>
        <v>0</v>
      </c>
      <c r="AE44" s="206">
        <f>'P &amp; NP'!HW521</f>
        <v>0</v>
      </c>
      <c r="AF44" s="206">
        <f>'P &amp; NP'!HX521</f>
        <v>0</v>
      </c>
      <c r="AG44" s="206">
        <f>'P &amp; NP'!IM521</f>
        <v>0</v>
      </c>
      <c r="AH44" s="206">
        <f>'P &amp; NP'!IN521</f>
        <v>0</v>
      </c>
      <c r="AI44" s="206">
        <f>'P &amp; NP'!JC521</f>
        <v>0</v>
      </c>
      <c r="AJ44" s="206">
        <f>'P &amp; NP'!JD521</f>
        <v>0</v>
      </c>
      <c r="AK44" s="206">
        <f>'P &amp; NP'!JS521</f>
        <v>0</v>
      </c>
      <c r="AL44" s="206">
        <f>'P &amp; NP'!JT521</f>
        <v>0</v>
      </c>
      <c r="AM44" s="206">
        <f>'P &amp; NP'!KI521</f>
        <v>0</v>
      </c>
      <c r="AN44" s="206">
        <f>'P &amp; NP'!KJ521</f>
        <v>0</v>
      </c>
      <c r="AO44" s="206">
        <f>'P &amp; NP'!KY521</f>
        <v>0</v>
      </c>
      <c r="AP44" s="206">
        <f>'P &amp; NP'!KZ521</f>
        <v>0</v>
      </c>
      <c r="AQ44" s="206">
        <f>'P &amp; NP'!LO521</f>
        <v>0</v>
      </c>
      <c r="AR44" s="206">
        <f>'P &amp; NP'!LP521</f>
        <v>0</v>
      </c>
      <c r="AS44" s="206">
        <f>'P &amp; NP'!ME521</f>
        <v>0</v>
      </c>
      <c r="AT44" s="206">
        <f>'P &amp; NP'!MF521</f>
        <v>0</v>
      </c>
      <c r="AU44" s="206">
        <f>'P &amp; NP'!MU521</f>
        <v>0</v>
      </c>
      <c r="AV44" s="206">
        <f>'P &amp; NP'!MV521</f>
        <v>0</v>
      </c>
      <c r="AW44" s="206">
        <f>'P &amp; NP'!NK521</f>
        <v>0</v>
      </c>
      <c r="AX44" s="206">
        <f>'P &amp; NP'!NL521</f>
        <v>0</v>
      </c>
      <c r="AY44" s="206">
        <f>'P &amp; NP'!OA521</f>
        <v>0</v>
      </c>
      <c r="AZ44" s="206">
        <f>'P &amp; NP'!OB521</f>
        <v>0</v>
      </c>
      <c r="BA44" s="206">
        <f>'P &amp; NP'!OQ521</f>
        <v>0</v>
      </c>
      <c r="BB44" s="206">
        <f>'P &amp; NP'!OR521</f>
        <v>0</v>
      </c>
      <c r="BC44" s="206">
        <f>'P &amp; NP'!PG521</f>
        <v>0</v>
      </c>
      <c r="BD44" s="206">
        <f>'P &amp; NP'!PH521</f>
        <v>0</v>
      </c>
      <c r="BE44" s="206">
        <f>'P &amp; NP'!PW521</f>
        <v>0</v>
      </c>
      <c r="BF44" s="206">
        <f>'P &amp; NP'!PX521</f>
        <v>0</v>
      </c>
      <c r="BG44" s="206">
        <f>'P &amp; NP'!QM521</f>
        <v>0</v>
      </c>
      <c r="BH44" s="206">
        <f>'P &amp; NP'!QN521</f>
        <v>0</v>
      </c>
      <c r="BI44" s="206">
        <f>'P &amp; NP'!RC521</f>
        <v>0</v>
      </c>
      <c r="BJ44" s="206">
        <f>'P &amp; NP'!RD521</f>
        <v>0</v>
      </c>
      <c r="BK44" s="206">
        <f>'P &amp; NP'!RS521</f>
        <v>0</v>
      </c>
      <c r="BL44" s="206">
        <f>'P &amp; NP'!RT521</f>
        <v>0</v>
      </c>
      <c r="BM44" s="206">
        <f>'P &amp; NP'!SI521</f>
        <v>0</v>
      </c>
      <c r="BN44" s="206">
        <f>'P &amp; NP'!SJ521</f>
        <v>0</v>
      </c>
      <c r="BO44" s="206">
        <f>'P &amp; NP'!SY521</f>
        <v>0</v>
      </c>
      <c r="BP44" s="206">
        <f>'P &amp; NP'!SZ521</f>
        <v>0</v>
      </c>
      <c r="BQ44" s="206">
        <f>'P &amp; NP'!TO521</f>
        <v>0</v>
      </c>
      <c r="BR44" s="206">
        <f>'P &amp; NP'!TP521</f>
        <v>0</v>
      </c>
      <c r="BS44" s="206">
        <f>'P &amp; NP'!UE521</f>
        <v>0</v>
      </c>
      <c r="BT44" s="206">
        <f>'P &amp; NP'!UF521</f>
        <v>0</v>
      </c>
      <c r="BU44" s="206">
        <f>'P &amp; NP'!UU521</f>
        <v>0</v>
      </c>
      <c r="BV44" s="206">
        <f>'P &amp; NP'!UV521</f>
        <v>0</v>
      </c>
      <c r="BW44" s="206">
        <f>'P &amp; NP'!VK521</f>
        <v>0</v>
      </c>
      <c r="BX44" s="206">
        <f>'P &amp; NP'!VL521</f>
        <v>0</v>
      </c>
      <c r="BY44" s="206">
        <f>'P &amp; NP'!WA521</f>
        <v>0</v>
      </c>
      <c r="BZ44" s="206">
        <f>'P &amp; NP'!WB521</f>
        <v>0</v>
      </c>
      <c r="CB44" s="206">
        <f t="shared" si="4"/>
        <v>0</v>
      </c>
      <c r="CC44" s="206">
        <f t="shared" si="5"/>
        <v>0</v>
      </c>
    </row>
    <row r="45" spans="1:81" customFormat="1" ht="14.5">
      <c r="A45" s="168"/>
      <c r="B45" s="168"/>
      <c r="C45" s="168"/>
      <c r="D45" s="168"/>
      <c r="E45" s="168"/>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c r="AE45" s="165"/>
      <c r="AF45" s="165"/>
      <c r="AG45" s="165"/>
      <c r="AH45" s="165"/>
      <c r="AI45" s="165"/>
      <c r="AJ45" s="165"/>
      <c r="AK45" s="165"/>
      <c r="AL45" s="165"/>
      <c r="AM45" s="165"/>
      <c r="AN45" s="165"/>
      <c r="AO45" s="165"/>
      <c r="AP45" s="165"/>
      <c r="AQ45" s="165"/>
      <c r="AR45" s="165"/>
      <c r="AS45" s="165"/>
      <c r="AT45" s="165"/>
      <c r="AU45" s="165"/>
      <c r="AV45" s="165"/>
      <c r="AW45" s="165"/>
      <c r="AX45" s="165"/>
      <c r="AY45" s="165"/>
      <c r="AZ45" s="165"/>
      <c r="BA45" s="165"/>
      <c r="BB45" s="165"/>
      <c r="BC45" s="165"/>
      <c r="BD45" s="165"/>
      <c r="BE45" s="165"/>
      <c r="BF45" s="165"/>
      <c r="BG45" s="165"/>
      <c r="BH45" s="165"/>
      <c r="BI45" s="165"/>
      <c r="BJ45" s="165"/>
      <c r="BK45" s="165"/>
      <c r="BL45" s="165"/>
      <c r="BM45" s="165"/>
      <c r="BN45" s="165"/>
      <c r="BO45" s="165"/>
      <c r="BP45" s="165"/>
      <c r="BQ45" s="165"/>
      <c r="BR45" s="165"/>
      <c r="BS45" s="165"/>
      <c r="BT45" s="165"/>
      <c r="BU45" s="165"/>
      <c r="BV45" s="165"/>
      <c r="BW45" s="165"/>
      <c r="BX45" s="165"/>
      <c r="BY45" s="165"/>
      <c r="BZ45" s="168"/>
      <c r="CB45" s="168"/>
      <c r="CC45" s="168"/>
    </row>
  </sheetData>
  <mergeCells count="117">
    <mergeCell ref="O1:P1"/>
    <mergeCell ref="Q1:R1"/>
    <mergeCell ref="S1:T1"/>
    <mergeCell ref="U1:V1"/>
    <mergeCell ref="W1:X1"/>
    <mergeCell ref="Y1:Z1"/>
    <mergeCell ref="C1:D1"/>
    <mergeCell ref="E1:F1"/>
    <mergeCell ref="G1:H1"/>
    <mergeCell ref="I1:J1"/>
    <mergeCell ref="K1:L1"/>
    <mergeCell ref="M1:N1"/>
    <mergeCell ref="AQ1:AR1"/>
    <mergeCell ref="AS1:AT1"/>
    <mergeCell ref="AU1:AV1"/>
    <mergeCell ref="AW1:AX1"/>
    <mergeCell ref="AA1:AB1"/>
    <mergeCell ref="AC1:AD1"/>
    <mergeCell ref="AE1:AF1"/>
    <mergeCell ref="AG1:AH1"/>
    <mergeCell ref="AI1:AJ1"/>
    <mergeCell ref="AK1:AL1"/>
    <mergeCell ref="BW1:BX1"/>
    <mergeCell ref="BY1:BZ1"/>
    <mergeCell ref="CB1:CC1"/>
    <mergeCell ref="C2:D2"/>
    <mergeCell ref="E2:F2"/>
    <mergeCell ref="G2:H2"/>
    <mergeCell ref="I2:J2"/>
    <mergeCell ref="K2:L2"/>
    <mergeCell ref="M2:N2"/>
    <mergeCell ref="O2:P2"/>
    <mergeCell ref="BK1:BL1"/>
    <mergeCell ref="BM1:BN1"/>
    <mergeCell ref="BO1:BP1"/>
    <mergeCell ref="BQ1:BR1"/>
    <mergeCell ref="BS1:BT1"/>
    <mergeCell ref="BU1:BV1"/>
    <mergeCell ref="AY1:AZ1"/>
    <mergeCell ref="BA1:BB1"/>
    <mergeCell ref="BC1:BD1"/>
    <mergeCell ref="BE1:BF1"/>
    <mergeCell ref="BG1:BH1"/>
    <mergeCell ref="BI1:BJ1"/>
    <mergeCell ref="AM1:AN1"/>
    <mergeCell ref="AO1:AP1"/>
    <mergeCell ref="AC2:AD2"/>
    <mergeCell ref="AE2:AF2"/>
    <mergeCell ref="AG2:AH2"/>
    <mergeCell ref="AI2:AJ2"/>
    <mergeCell ref="AK2:AL2"/>
    <mergeCell ref="AM2:AN2"/>
    <mergeCell ref="Q2:R2"/>
    <mergeCell ref="S2:T2"/>
    <mergeCell ref="U2:V2"/>
    <mergeCell ref="W2:X2"/>
    <mergeCell ref="Y2:Z2"/>
    <mergeCell ref="AA2:AB2"/>
    <mergeCell ref="BE2:BF2"/>
    <mergeCell ref="BG2:BH2"/>
    <mergeCell ref="BI2:BJ2"/>
    <mergeCell ref="BK2:BL2"/>
    <mergeCell ref="AO2:AP2"/>
    <mergeCell ref="AQ2:AR2"/>
    <mergeCell ref="AS2:AT2"/>
    <mergeCell ref="AU2:AV2"/>
    <mergeCell ref="AW2:AX2"/>
    <mergeCell ref="AY2:AZ2"/>
    <mergeCell ref="S3:T3"/>
    <mergeCell ref="U3:V3"/>
    <mergeCell ref="W3:X3"/>
    <mergeCell ref="Y3:Z3"/>
    <mergeCell ref="AA3:AB3"/>
    <mergeCell ref="AC3:AD3"/>
    <mergeCell ref="BY2:BZ2"/>
    <mergeCell ref="CB2:CC2"/>
    <mergeCell ref="C3:D3"/>
    <mergeCell ref="E3:F3"/>
    <mergeCell ref="G3:H3"/>
    <mergeCell ref="I3:J3"/>
    <mergeCell ref="K3:L3"/>
    <mergeCell ref="M3:N3"/>
    <mergeCell ref="O3:P3"/>
    <mergeCell ref="Q3:R3"/>
    <mergeCell ref="BM2:BN2"/>
    <mergeCell ref="BO2:BP2"/>
    <mergeCell ref="BQ2:BR2"/>
    <mergeCell ref="BS2:BT2"/>
    <mergeCell ref="BU2:BV2"/>
    <mergeCell ref="BW2:BX2"/>
    <mergeCell ref="BA2:BB2"/>
    <mergeCell ref="BC2:BD2"/>
    <mergeCell ref="AQ3:AR3"/>
    <mergeCell ref="AS3:AT3"/>
    <mergeCell ref="AU3:AV3"/>
    <mergeCell ref="AW3:AX3"/>
    <mergeCell ref="AY3:AZ3"/>
    <mergeCell ref="BA3:BB3"/>
    <mergeCell ref="AE3:AF3"/>
    <mergeCell ref="AG3:AH3"/>
    <mergeCell ref="AI3:AJ3"/>
    <mergeCell ref="AK3:AL3"/>
    <mergeCell ref="AM3:AN3"/>
    <mergeCell ref="AO3:AP3"/>
    <mergeCell ref="CB3:CC3"/>
    <mergeCell ref="BO3:BP3"/>
    <mergeCell ref="BQ3:BR3"/>
    <mergeCell ref="BS3:BT3"/>
    <mergeCell ref="BU3:BV3"/>
    <mergeCell ref="BW3:BX3"/>
    <mergeCell ref="BY3:BZ3"/>
    <mergeCell ref="BC3:BD3"/>
    <mergeCell ref="BE3:BF3"/>
    <mergeCell ref="BG3:BH3"/>
    <mergeCell ref="BI3:BJ3"/>
    <mergeCell ref="BK3:BL3"/>
    <mergeCell ref="BM3:BN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A469D-B758-4871-9490-BEB69B15CE6D}">
  <sheetPr>
    <tabColor rgb="FFFF0000"/>
  </sheetPr>
  <dimension ref="A1:CB45"/>
  <sheetViews>
    <sheetView workbookViewId="0">
      <pane xSplit="3" ySplit="5" topLeftCell="F6" activePane="bottomRight" state="frozen"/>
      <selection pane="topRight" activeCell="D1" sqref="D1"/>
      <selection pane="bottomLeft" activeCell="A6" sqref="A6"/>
      <selection pane="bottomRight" activeCell="W10" sqref="W10"/>
    </sheetView>
  </sheetViews>
  <sheetFormatPr defaultRowHeight="14.5"/>
  <cols>
    <col min="1" max="1" width="36.81640625" customWidth="1"/>
    <col min="2" max="2" width="16.1796875" customWidth="1"/>
    <col min="3" max="3" width="17.54296875" customWidth="1"/>
    <col min="4" max="4" width="12.54296875" style="315" customWidth="1"/>
    <col min="5" max="5" width="13.54296875" style="315" customWidth="1"/>
    <col min="6" max="77" width="12.54296875" style="315" customWidth="1"/>
    <col min="79" max="80" width="12.54296875" style="315" customWidth="1"/>
  </cols>
  <sheetData>
    <row r="1" spans="1:80">
      <c r="A1" s="325" t="s">
        <v>313</v>
      </c>
      <c r="B1" s="213"/>
      <c r="C1" s="213"/>
    </row>
    <row r="2" spans="1:80">
      <c r="A2" s="230" t="s">
        <v>103</v>
      </c>
      <c r="B2" s="316"/>
      <c r="C2" s="316"/>
      <c r="D2" s="976">
        <v>1</v>
      </c>
      <c r="E2" s="976"/>
      <c r="F2" s="976">
        <v>2</v>
      </c>
      <c r="G2" s="976"/>
      <c r="H2" s="976">
        <v>3</v>
      </c>
      <c r="I2" s="976"/>
      <c r="J2" s="976">
        <v>4</v>
      </c>
      <c r="K2" s="976"/>
      <c r="L2" s="976">
        <v>5</v>
      </c>
      <c r="M2" s="976"/>
      <c r="N2" s="976">
        <v>6</v>
      </c>
      <c r="O2" s="976"/>
      <c r="P2" s="976">
        <v>7</v>
      </c>
      <c r="Q2" s="976"/>
      <c r="R2" s="976">
        <v>8</v>
      </c>
      <c r="S2" s="976"/>
      <c r="T2" s="976">
        <v>9</v>
      </c>
      <c r="U2" s="976"/>
      <c r="V2" s="976">
        <v>10</v>
      </c>
      <c r="W2" s="976"/>
      <c r="X2" s="976">
        <v>11</v>
      </c>
      <c r="Y2" s="976"/>
      <c r="Z2" s="976">
        <v>12</v>
      </c>
      <c r="AA2" s="976"/>
      <c r="AB2" s="976">
        <v>13</v>
      </c>
      <c r="AC2" s="976"/>
      <c r="AD2" s="976">
        <v>14</v>
      </c>
      <c r="AE2" s="976"/>
      <c r="AF2" s="976">
        <v>15</v>
      </c>
      <c r="AG2" s="976"/>
      <c r="AH2" s="976">
        <v>16</v>
      </c>
      <c r="AI2" s="976"/>
      <c r="AJ2" s="976">
        <v>17</v>
      </c>
      <c r="AK2" s="976"/>
      <c r="AL2" s="976">
        <v>18</v>
      </c>
      <c r="AM2" s="976"/>
      <c r="AN2" s="976">
        <v>19</v>
      </c>
      <c r="AO2" s="976"/>
      <c r="AP2" s="976">
        <v>20</v>
      </c>
      <c r="AQ2" s="976"/>
      <c r="AR2" s="976">
        <v>21</v>
      </c>
      <c r="AS2" s="976"/>
      <c r="AT2" s="976">
        <v>22</v>
      </c>
      <c r="AU2" s="976"/>
      <c r="AV2" s="976">
        <v>23</v>
      </c>
      <c r="AW2" s="976"/>
      <c r="AX2" s="976">
        <v>24</v>
      </c>
      <c r="AY2" s="976"/>
      <c r="AZ2" s="976">
        <v>25</v>
      </c>
      <c r="BA2" s="976"/>
      <c r="BB2" s="976">
        <v>26</v>
      </c>
      <c r="BC2" s="976"/>
      <c r="BD2" s="976">
        <v>27</v>
      </c>
      <c r="BE2" s="976"/>
      <c r="BF2" s="976">
        <v>28</v>
      </c>
      <c r="BG2" s="976"/>
      <c r="BH2" s="976">
        <v>29</v>
      </c>
      <c r="BI2" s="976"/>
      <c r="BJ2" s="976">
        <v>30</v>
      </c>
      <c r="BK2" s="976"/>
      <c r="BL2" s="976">
        <v>31</v>
      </c>
      <c r="BM2" s="976"/>
      <c r="BN2" s="976">
        <v>32</v>
      </c>
      <c r="BO2" s="976"/>
      <c r="BP2" s="976">
        <v>33</v>
      </c>
      <c r="BQ2" s="976"/>
      <c r="BR2" s="976">
        <v>34</v>
      </c>
      <c r="BS2" s="976"/>
      <c r="BT2" s="976">
        <v>35</v>
      </c>
      <c r="BU2" s="976"/>
      <c r="BV2" s="976">
        <v>36</v>
      </c>
      <c r="BW2" s="976"/>
      <c r="BX2" s="976">
        <v>37</v>
      </c>
      <c r="BY2" s="976"/>
      <c r="CA2" s="734">
        <f>'P &amp; NP'!WP11</f>
        <v>282359631.46421683</v>
      </c>
      <c r="CB2" s="734">
        <f>'P &amp; NP'!WQ11</f>
        <v>9677403259.5202065</v>
      </c>
    </row>
    <row r="3" spans="1:80" s="333" customFormat="1">
      <c r="A3" s="331" t="s">
        <v>105</v>
      </c>
      <c r="B3" s="735">
        <f>'P &amp; NP'!WR11</f>
        <v>0</v>
      </c>
      <c r="C3" s="735">
        <f>'P &amp; NP'!WS11</f>
        <v>0</v>
      </c>
      <c r="D3" s="732" t="s">
        <v>537</v>
      </c>
      <c r="E3" s="732"/>
      <c r="F3" s="732" t="s">
        <v>538</v>
      </c>
      <c r="G3" s="732"/>
      <c r="H3" s="732" t="s">
        <v>539</v>
      </c>
      <c r="I3" s="732"/>
      <c r="J3" s="732" t="s">
        <v>540</v>
      </c>
      <c r="K3" s="732"/>
      <c r="L3" s="732" t="s">
        <v>392</v>
      </c>
      <c r="M3" s="732"/>
      <c r="N3" s="732" t="s">
        <v>541</v>
      </c>
      <c r="O3" s="732"/>
      <c r="P3" s="732" t="s">
        <v>542</v>
      </c>
      <c r="Q3" s="732"/>
      <c r="R3" s="732" t="s">
        <v>10</v>
      </c>
      <c r="S3" s="732"/>
      <c r="T3" s="732" t="s">
        <v>231</v>
      </c>
      <c r="U3" s="732"/>
      <c r="V3" s="732" t="s">
        <v>543</v>
      </c>
      <c r="W3" s="732"/>
      <c r="X3" s="732" t="s">
        <v>544</v>
      </c>
      <c r="Y3" s="732"/>
      <c r="Z3" s="732" t="s">
        <v>545</v>
      </c>
      <c r="AA3" s="732"/>
      <c r="AB3" s="732" t="s">
        <v>546</v>
      </c>
      <c r="AC3" s="732"/>
      <c r="AD3" s="732" t="s">
        <v>547</v>
      </c>
      <c r="AE3" s="732"/>
      <c r="AF3" s="732" t="s">
        <v>548</v>
      </c>
      <c r="AG3" s="732"/>
      <c r="AH3" s="732" t="s">
        <v>549</v>
      </c>
      <c r="AI3" s="732"/>
      <c r="AJ3" s="732" t="s">
        <v>550</v>
      </c>
      <c r="AK3" s="732"/>
      <c r="AL3" s="732" t="s">
        <v>551</v>
      </c>
      <c r="AM3" s="732"/>
      <c r="AN3" s="732" t="s">
        <v>552</v>
      </c>
      <c r="AO3" s="732"/>
      <c r="AP3" s="732" t="s">
        <v>553</v>
      </c>
      <c r="AQ3" s="732"/>
      <c r="AR3" s="732" t="s">
        <v>554</v>
      </c>
      <c r="AS3" s="732"/>
      <c r="AT3" s="732" t="s">
        <v>20</v>
      </c>
      <c r="AU3" s="732"/>
      <c r="AV3" s="732" t="s">
        <v>555</v>
      </c>
      <c r="AW3" s="732"/>
      <c r="AX3" s="732" t="s">
        <v>556</v>
      </c>
      <c r="AY3" s="732"/>
      <c r="AZ3" s="732" t="s">
        <v>24</v>
      </c>
      <c r="BA3" s="732"/>
      <c r="BB3" s="732" t="s">
        <v>557</v>
      </c>
      <c r="BC3" s="732"/>
      <c r="BD3" s="732" t="s">
        <v>359</v>
      </c>
      <c r="BE3" s="732"/>
      <c r="BF3" s="732" t="s">
        <v>602</v>
      </c>
      <c r="BG3" s="732"/>
      <c r="BH3" s="732" t="s">
        <v>603</v>
      </c>
      <c r="BI3" s="732"/>
      <c r="BJ3" s="732" t="s">
        <v>604</v>
      </c>
      <c r="BK3" s="732"/>
      <c r="BL3" s="732" t="s">
        <v>605</v>
      </c>
      <c r="BM3" s="732"/>
      <c r="BN3" s="732" t="s">
        <v>606</v>
      </c>
      <c r="BO3" s="732"/>
      <c r="BP3" s="732" t="s">
        <v>607</v>
      </c>
      <c r="BQ3" s="732"/>
      <c r="BR3" s="732" t="s">
        <v>483</v>
      </c>
      <c r="BS3" s="732"/>
      <c r="BT3" s="732" t="s">
        <v>608</v>
      </c>
      <c r="BU3" s="732"/>
      <c r="BV3" s="732" t="s">
        <v>609</v>
      </c>
      <c r="BW3" s="732"/>
      <c r="BX3" s="732" t="s">
        <v>610</v>
      </c>
      <c r="BY3" s="732"/>
      <c r="CA3" s="732" t="s">
        <v>165</v>
      </c>
      <c r="CB3" s="732"/>
    </row>
    <row r="4" spans="1:80">
      <c r="A4" s="246"/>
      <c r="B4" s="327" t="s">
        <v>27</v>
      </c>
      <c r="C4" s="327" t="s">
        <v>28</v>
      </c>
      <c r="D4" s="326" t="s">
        <v>27</v>
      </c>
      <c r="E4" s="326" t="s">
        <v>28</v>
      </c>
      <c r="F4" s="326" t="s">
        <v>27</v>
      </c>
      <c r="G4" s="326" t="s">
        <v>28</v>
      </c>
      <c r="H4" s="326" t="s">
        <v>27</v>
      </c>
      <c r="I4" s="326" t="s">
        <v>28</v>
      </c>
      <c r="J4" s="326" t="s">
        <v>27</v>
      </c>
      <c r="K4" s="326" t="s">
        <v>28</v>
      </c>
      <c r="L4" s="326" t="s">
        <v>27</v>
      </c>
      <c r="M4" s="326" t="s">
        <v>28</v>
      </c>
      <c r="N4" s="326" t="s">
        <v>27</v>
      </c>
      <c r="O4" s="326" t="s">
        <v>28</v>
      </c>
      <c r="P4" s="326" t="s">
        <v>27</v>
      </c>
      <c r="Q4" s="326" t="s">
        <v>28</v>
      </c>
      <c r="R4" s="326" t="s">
        <v>27</v>
      </c>
      <c r="S4" s="326" t="s">
        <v>28</v>
      </c>
      <c r="T4" s="326" t="s">
        <v>27</v>
      </c>
      <c r="U4" s="326" t="s">
        <v>28</v>
      </c>
      <c r="V4" s="326" t="s">
        <v>27</v>
      </c>
      <c r="W4" s="326" t="s">
        <v>28</v>
      </c>
      <c r="X4" s="326" t="s">
        <v>27</v>
      </c>
      <c r="Y4" s="326" t="s">
        <v>28</v>
      </c>
      <c r="Z4" s="326" t="s">
        <v>27</v>
      </c>
      <c r="AA4" s="326" t="s">
        <v>28</v>
      </c>
      <c r="AB4" s="326" t="s">
        <v>27</v>
      </c>
      <c r="AC4" s="326" t="s">
        <v>28</v>
      </c>
      <c r="AD4" s="326" t="s">
        <v>27</v>
      </c>
      <c r="AE4" s="326" t="s">
        <v>28</v>
      </c>
      <c r="AF4" s="326" t="s">
        <v>27</v>
      </c>
      <c r="AG4" s="326" t="s">
        <v>28</v>
      </c>
      <c r="AH4" s="326" t="s">
        <v>27</v>
      </c>
      <c r="AI4" s="326" t="s">
        <v>28</v>
      </c>
      <c r="AJ4" s="326" t="s">
        <v>27</v>
      </c>
      <c r="AK4" s="326" t="s">
        <v>28</v>
      </c>
      <c r="AL4" s="326" t="s">
        <v>27</v>
      </c>
      <c r="AM4" s="326" t="s">
        <v>28</v>
      </c>
      <c r="AN4" s="326" t="s">
        <v>27</v>
      </c>
      <c r="AO4" s="326" t="s">
        <v>28</v>
      </c>
      <c r="AP4" s="326" t="s">
        <v>27</v>
      </c>
      <c r="AQ4" s="326" t="s">
        <v>28</v>
      </c>
      <c r="AR4" s="326" t="s">
        <v>27</v>
      </c>
      <c r="AS4" s="326" t="s">
        <v>28</v>
      </c>
      <c r="AT4" s="326" t="s">
        <v>27</v>
      </c>
      <c r="AU4" s="326" t="s">
        <v>28</v>
      </c>
      <c r="AV4" s="326" t="s">
        <v>27</v>
      </c>
      <c r="AW4" s="326" t="s">
        <v>28</v>
      </c>
      <c r="AX4" s="326" t="s">
        <v>27</v>
      </c>
      <c r="AY4" s="326" t="s">
        <v>28</v>
      </c>
      <c r="AZ4" s="326" t="s">
        <v>27</v>
      </c>
      <c r="BA4" s="326" t="s">
        <v>28</v>
      </c>
      <c r="BB4" s="326" t="s">
        <v>27</v>
      </c>
      <c r="BC4" s="326" t="s">
        <v>28</v>
      </c>
      <c r="BD4" s="326" t="s">
        <v>27</v>
      </c>
      <c r="BE4" s="326" t="s">
        <v>28</v>
      </c>
      <c r="BF4" s="326" t="s">
        <v>27</v>
      </c>
      <c r="BG4" s="326" t="s">
        <v>28</v>
      </c>
      <c r="BH4" s="326" t="s">
        <v>27</v>
      </c>
      <c r="BI4" s="326" t="s">
        <v>28</v>
      </c>
      <c r="BJ4" s="326" t="s">
        <v>27</v>
      </c>
      <c r="BK4" s="326" t="s">
        <v>28</v>
      </c>
      <c r="BL4" s="326" t="s">
        <v>27</v>
      </c>
      <c r="BM4" s="326" t="s">
        <v>28</v>
      </c>
      <c r="BN4" s="326" t="s">
        <v>27</v>
      </c>
      <c r="BO4" s="326" t="s">
        <v>28</v>
      </c>
      <c r="BP4" s="326" t="s">
        <v>27</v>
      </c>
      <c r="BQ4" s="326" t="s">
        <v>28</v>
      </c>
      <c r="BR4" s="326" t="s">
        <v>27</v>
      </c>
      <c r="BS4" s="326" t="s">
        <v>28</v>
      </c>
      <c r="BT4" s="326" t="s">
        <v>27</v>
      </c>
      <c r="BU4" s="326" t="s">
        <v>28</v>
      </c>
      <c r="BV4" s="326" t="s">
        <v>27</v>
      </c>
      <c r="BW4" s="326" t="s">
        <v>28</v>
      </c>
      <c r="BX4" s="326" t="s">
        <v>27</v>
      </c>
      <c r="BY4" s="326" t="s">
        <v>28</v>
      </c>
      <c r="CA4" s="326" t="s">
        <v>27</v>
      </c>
      <c r="CB4" s="326" t="s">
        <v>28</v>
      </c>
    </row>
    <row r="5" spans="1:80">
      <c r="A5" s="255" t="s">
        <v>111</v>
      </c>
      <c r="B5" s="321">
        <f>SUM(B6:B43)</f>
        <v>0</v>
      </c>
      <c r="C5" s="321">
        <f>SUM(C6:C43)</f>
        <v>0</v>
      </c>
      <c r="D5" s="322">
        <f>SUM(D6:D43)</f>
        <v>0</v>
      </c>
      <c r="E5" s="322">
        <f t="shared" ref="E5:BP5" si="0">SUM(E6:E43)</f>
        <v>0</v>
      </c>
      <c r="F5" s="322">
        <f t="shared" si="0"/>
        <v>0</v>
      </c>
      <c r="G5" s="322">
        <f t="shared" si="0"/>
        <v>0</v>
      </c>
      <c r="H5" s="322">
        <f t="shared" si="0"/>
        <v>0</v>
      </c>
      <c r="I5" s="322">
        <f t="shared" si="0"/>
        <v>0</v>
      </c>
      <c r="J5" s="322">
        <f t="shared" si="0"/>
        <v>0</v>
      </c>
      <c r="K5" s="322">
        <f t="shared" si="0"/>
        <v>0</v>
      </c>
      <c r="L5" s="322">
        <f t="shared" si="0"/>
        <v>0</v>
      </c>
      <c r="M5" s="322">
        <f t="shared" si="0"/>
        <v>0</v>
      </c>
      <c r="N5" s="322">
        <f t="shared" si="0"/>
        <v>0</v>
      </c>
      <c r="O5" s="322">
        <f t="shared" si="0"/>
        <v>0</v>
      </c>
      <c r="P5" s="322">
        <f t="shared" si="0"/>
        <v>0</v>
      </c>
      <c r="Q5" s="322">
        <f t="shared" si="0"/>
        <v>0</v>
      </c>
      <c r="R5" s="322">
        <f t="shared" si="0"/>
        <v>0</v>
      </c>
      <c r="S5" s="322">
        <f t="shared" si="0"/>
        <v>0</v>
      </c>
      <c r="T5" s="322">
        <f t="shared" si="0"/>
        <v>0</v>
      </c>
      <c r="U5" s="322">
        <f t="shared" si="0"/>
        <v>0</v>
      </c>
      <c r="V5" s="322">
        <f t="shared" si="0"/>
        <v>0</v>
      </c>
      <c r="W5" s="322">
        <f t="shared" si="0"/>
        <v>0</v>
      </c>
      <c r="X5" s="322">
        <f t="shared" si="0"/>
        <v>0</v>
      </c>
      <c r="Y5" s="322">
        <f t="shared" si="0"/>
        <v>0</v>
      </c>
      <c r="Z5" s="322">
        <f t="shared" si="0"/>
        <v>0</v>
      </c>
      <c r="AA5" s="322">
        <f t="shared" si="0"/>
        <v>0</v>
      </c>
      <c r="AB5" s="322">
        <f t="shared" si="0"/>
        <v>0</v>
      </c>
      <c r="AC5" s="322">
        <f t="shared" si="0"/>
        <v>0</v>
      </c>
      <c r="AD5" s="322">
        <f t="shared" si="0"/>
        <v>0</v>
      </c>
      <c r="AE5" s="322">
        <f t="shared" si="0"/>
        <v>0</v>
      </c>
      <c r="AF5" s="322">
        <f t="shared" si="0"/>
        <v>0</v>
      </c>
      <c r="AG5" s="322">
        <f t="shared" si="0"/>
        <v>0</v>
      </c>
      <c r="AH5" s="322">
        <f t="shared" si="0"/>
        <v>0</v>
      </c>
      <c r="AI5" s="322">
        <f t="shared" si="0"/>
        <v>0</v>
      </c>
      <c r="AJ5" s="322">
        <f t="shared" si="0"/>
        <v>0</v>
      </c>
      <c r="AK5" s="322">
        <f t="shared" si="0"/>
        <v>0</v>
      </c>
      <c r="AL5" s="322">
        <f t="shared" si="0"/>
        <v>0</v>
      </c>
      <c r="AM5" s="322">
        <f t="shared" si="0"/>
        <v>0</v>
      </c>
      <c r="AN5" s="322">
        <f t="shared" si="0"/>
        <v>0</v>
      </c>
      <c r="AO5" s="322">
        <f t="shared" si="0"/>
        <v>0</v>
      </c>
      <c r="AP5" s="322">
        <f t="shared" si="0"/>
        <v>0</v>
      </c>
      <c r="AQ5" s="322">
        <f t="shared" si="0"/>
        <v>0</v>
      </c>
      <c r="AR5" s="322">
        <f t="shared" si="0"/>
        <v>0</v>
      </c>
      <c r="AS5" s="322">
        <f t="shared" si="0"/>
        <v>0</v>
      </c>
      <c r="AT5" s="322">
        <f t="shared" si="0"/>
        <v>0</v>
      </c>
      <c r="AU5" s="322">
        <f t="shared" si="0"/>
        <v>0</v>
      </c>
      <c r="AV5" s="322">
        <f t="shared" si="0"/>
        <v>0</v>
      </c>
      <c r="AW5" s="322">
        <f t="shared" si="0"/>
        <v>0</v>
      </c>
      <c r="AX5" s="322">
        <f t="shared" si="0"/>
        <v>0</v>
      </c>
      <c r="AY5" s="322">
        <f t="shared" si="0"/>
        <v>0</v>
      </c>
      <c r="AZ5" s="322">
        <f t="shared" si="0"/>
        <v>0</v>
      </c>
      <c r="BA5" s="322">
        <f t="shared" si="0"/>
        <v>0</v>
      </c>
      <c r="BB5" s="322">
        <f t="shared" si="0"/>
        <v>0</v>
      </c>
      <c r="BC5" s="322">
        <f t="shared" si="0"/>
        <v>0</v>
      </c>
      <c r="BD5" s="322">
        <f t="shared" si="0"/>
        <v>0</v>
      </c>
      <c r="BE5" s="322">
        <f t="shared" si="0"/>
        <v>0</v>
      </c>
      <c r="BF5" s="322">
        <f t="shared" si="0"/>
        <v>0</v>
      </c>
      <c r="BG5" s="322">
        <f t="shared" si="0"/>
        <v>0</v>
      </c>
      <c r="BH5" s="322">
        <f t="shared" si="0"/>
        <v>0</v>
      </c>
      <c r="BI5" s="322">
        <f t="shared" si="0"/>
        <v>0</v>
      </c>
      <c r="BJ5" s="322">
        <f t="shared" si="0"/>
        <v>0</v>
      </c>
      <c r="BK5" s="322">
        <f t="shared" si="0"/>
        <v>0</v>
      </c>
      <c r="BL5" s="322">
        <f t="shared" si="0"/>
        <v>0</v>
      </c>
      <c r="BM5" s="322">
        <f t="shared" si="0"/>
        <v>0</v>
      </c>
      <c r="BN5" s="322">
        <f t="shared" si="0"/>
        <v>0</v>
      </c>
      <c r="BO5" s="322">
        <f t="shared" si="0"/>
        <v>0</v>
      </c>
      <c r="BP5" s="322">
        <f t="shared" si="0"/>
        <v>0</v>
      </c>
      <c r="BQ5" s="322">
        <f t="shared" ref="BQ5:BY5" si="1">SUM(BQ6:BQ43)</f>
        <v>0</v>
      </c>
      <c r="BR5" s="322">
        <f t="shared" si="1"/>
        <v>0</v>
      </c>
      <c r="BS5" s="322">
        <f t="shared" si="1"/>
        <v>0</v>
      </c>
      <c r="BT5" s="322">
        <f t="shared" si="1"/>
        <v>0</v>
      </c>
      <c r="BU5" s="322">
        <f t="shared" si="1"/>
        <v>0</v>
      </c>
      <c r="BV5" s="322">
        <f t="shared" si="1"/>
        <v>0</v>
      </c>
      <c r="BW5" s="322">
        <f t="shared" si="1"/>
        <v>0</v>
      </c>
      <c r="BX5" s="322">
        <f t="shared" si="1"/>
        <v>0</v>
      </c>
      <c r="BY5" s="322">
        <f t="shared" si="1"/>
        <v>0</v>
      </c>
      <c r="CA5" s="322">
        <f t="shared" ref="CA5:CB5" si="2">SUM(CA6:CA43)</f>
        <v>0</v>
      </c>
      <c r="CB5" s="322">
        <f t="shared" si="2"/>
        <v>0</v>
      </c>
    </row>
    <row r="6" spans="1:80">
      <c r="A6" s="260" t="s">
        <v>137</v>
      </c>
      <c r="B6" s="320">
        <f>SUMIF($D$4:$BY$4,$B$4,D6:BY6)</f>
        <v>0</v>
      </c>
      <c r="C6" s="320">
        <f>SUMIF($D$4:$BY$4,$C$4,D6:BY6)</f>
        <v>0</v>
      </c>
      <c r="D6" s="322">
        <f>'P NP TBK SEDERHANA IKAN'!C8</f>
        <v>0</v>
      </c>
      <c r="E6" s="322">
        <f>'P NP TBK SEDERHANA IKAN'!D8</f>
        <v>0</v>
      </c>
      <c r="F6" s="322">
        <f>'P NP TBK SEDERHANA IKAN'!C9</f>
        <v>0</v>
      </c>
      <c r="G6" s="322">
        <f>'P NP TBK SEDERHANA IKAN'!D9</f>
        <v>0</v>
      </c>
      <c r="H6" s="322">
        <f>'P NP TBK SEDERHANA IKAN'!C10</f>
        <v>0</v>
      </c>
      <c r="I6" s="322">
        <f>'P NP TBK SEDERHANA IKAN'!D10</f>
        <v>0</v>
      </c>
      <c r="J6" s="322">
        <f>'P NP TBK SEDERHANA IKAN'!C11</f>
        <v>0</v>
      </c>
      <c r="K6" s="322">
        <f>'P NP TBK SEDERHANA IKAN'!D11</f>
        <v>0</v>
      </c>
      <c r="L6" s="322">
        <f>'P NP TBK SEDERHANA IKAN'!C12</f>
        <v>0</v>
      </c>
      <c r="M6" s="322">
        <f>'P NP TBK SEDERHANA IKAN'!D12</f>
        <v>0</v>
      </c>
      <c r="N6" s="322">
        <f>'P NP TBK SEDERHANA IKAN'!C13</f>
        <v>0</v>
      </c>
      <c r="O6" s="322">
        <f>'P NP TBK SEDERHANA IKAN'!D13</f>
        <v>0</v>
      </c>
      <c r="P6" s="322">
        <f>'P NP TBK SEDERHANA IKAN'!C14</f>
        <v>0</v>
      </c>
      <c r="Q6" s="322">
        <f>'P NP TBK SEDERHANA IKAN'!D14</f>
        <v>0</v>
      </c>
      <c r="R6" s="322">
        <f>'P NP TBK SEDERHANA IKAN'!C15</f>
        <v>0</v>
      </c>
      <c r="S6" s="322">
        <f>'P NP TBK SEDERHANA IKAN'!D15</f>
        <v>0</v>
      </c>
      <c r="T6" s="322">
        <f>'P NP TBK SEDERHANA IKAN'!C16</f>
        <v>0</v>
      </c>
      <c r="U6" s="322">
        <f>'P NP TBK SEDERHANA IKAN'!D16</f>
        <v>0</v>
      </c>
      <c r="V6" s="322">
        <f>'P NP TBK SEDERHANA IKAN'!C17</f>
        <v>0</v>
      </c>
      <c r="W6" s="322">
        <f>'P NP TBK SEDERHANA IKAN'!D17</f>
        <v>0</v>
      </c>
      <c r="X6" s="322">
        <f>'P NP TBK SEDERHANA IKAN'!C18</f>
        <v>0</v>
      </c>
      <c r="Y6" s="322">
        <f>'P NP TBK SEDERHANA IKAN'!D18</f>
        <v>0</v>
      </c>
      <c r="Z6" s="322">
        <f>'P NP TBK SEDERHANA IKAN'!C19</f>
        <v>0</v>
      </c>
      <c r="AA6" s="322">
        <f>'P NP TBK SEDERHANA IKAN'!D19</f>
        <v>0</v>
      </c>
      <c r="AB6" s="322">
        <f>'P NP TBK SEDERHANA IKAN'!C20</f>
        <v>0</v>
      </c>
      <c r="AC6" s="322">
        <f>'P NP TBK SEDERHANA IKAN'!D20</f>
        <v>0</v>
      </c>
      <c r="AD6" s="322">
        <f>'P NP TBK SEDERHANA IKAN'!C21</f>
        <v>0</v>
      </c>
      <c r="AE6" s="322">
        <f>'P NP TBK SEDERHANA IKAN'!D21</f>
        <v>0</v>
      </c>
      <c r="AF6" s="322">
        <f>'P NP TBK SEDERHANA IKAN'!C22</f>
        <v>0</v>
      </c>
      <c r="AG6" s="322">
        <f>'P NP TBK SEDERHANA IKAN'!D22</f>
        <v>0</v>
      </c>
      <c r="AH6" s="322">
        <f>'P NP TBK SEDERHANA IKAN'!C23</f>
        <v>0</v>
      </c>
      <c r="AI6" s="322">
        <f>'P NP TBK SEDERHANA IKAN'!D23</f>
        <v>0</v>
      </c>
      <c r="AJ6" s="322">
        <f>'P NP TBK SEDERHANA IKAN'!C24</f>
        <v>0</v>
      </c>
      <c r="AK6" s="322">
        <f>'P NP TBK SEDERHANA IKAN'!D24</f>
        <v>0</v>
      </c>
      <c r="AL6" s="322">
        <f>'P NP TBK SEDERHANA IKAN'!C25</f>
        <v>0</v>
      </c>
      <c r="AM6" s="322">
        <f>'P NP TBK SEDERHANA IKAN'!D25</f>
        <v>0</v>
      </c>
      <c r="AN6" s="322">
        <f>'P NP TBK SEDERHANA IKAN'!C26</f>
        <v>0</v>
      </c>
      <c r="AO6" s="322">
        <f>'P NP TBK SEDERHANA IKAN'!D26</f>
        <v>0</v>
      </c>
      <c r="AP6" s="322">
        <f>'P NP TBK SEDERHANA IKAN'!C27</f>
        <v>0</v>
      </c>
      <c r="AQ6" s="322">
        <f>'P NP TBK SEDERHANA IKAN'!D27</f>
        <v>0</v>
      </c>
      <c r="AR6" s="322">
        <f>'P NP TBK SEDERHANA IKAN'!C28</f>
        <v>0</v>
      </c>
      <c r="AS6" s="322">
        <f>'P NP TBK SEDERHANA IKAN'!D28</f>
        <v>0</v>
      </c>
      <c r="AT6" s="322">
        <f>'P NP TBK SEDERHANA IKAN'!C29</f>
        <v>0</v>
      </c>
      <c r="AU6" s="322">
        <f>'P NP TBK SEDERHANA IKAN'!D29</f>
        <v>0</v>
      </c>
      <c r="AV6" s="322">
        <f>'P NP TBK SEDERHANA IKAN'!C30</f>
        <v>0</v>
      </c>
      <c r="AW6" s="322">
        <f>'P NP TBK SEDERHANA IKAN'!D30</f>
        <v>0</v>
      </c>
      <c r="AX6" s="322">
        <f>'P NP TBK SEDERHANA IKAN'!C31</f>
        <v>0</v>
      </c>
      <c r="AY6" s="322">
        <f>'P NP TBK SEDERHANA IKAN'!D31</f>
        <v>0</v>
      </c>
      <c r="AZ6" s="322">
        <f>'P NP TBK SEDERHANA IKAN'!C32</f>
        <v>0</v>
      </c>
      <c r="BA6" s="322">
        <f>'P NP TBK SEDERHANA IKAN'!D32</f>
        <v>0</v>
      </c>
      <c r="BB6" s="322">
        <f>'P NP TBK SEDERHANA IKAN'!C33</f>
        <v>0</v>
      </c>
      <c r="BC6" s="322">
        <f>'P NP TBK SEDERHANA IKAN'!D33</f>
        <v>0</v>
      </c>
      <c r="BD6" s="322">
        <f>'P NP TBK SEDERHANA IKAN'!C34</f>
        <v>0</v>
      </c>
      <c r="BE6" s="322">
        <f>'P NP TBK SEDERHANA IKAN'!D34</f>
        <v>0</v>
      </c>
      <c r="BF6" s="322">
        <f>'P NP TBK SEDERHANA IKAN'!C35</f>
        <v>0</v>
      </c>
      <c r="BG6" s="322">
        <f>'P NP TBK SEDERHANA IKAN'!D35</f>
        <v>0</v>
      </c>
      <c r="BH6" s="322">
        <f>'P NP TBK SEDERHANA IKAN'!C36</f>
        <v>0</v>
      </c>
      <c r="BI6" s="322">
        <f>'P NP TBK SEDERHANA IKAN'!D36</f>
        <v>0</v>
      </c>
      <c r="BJ6" s="322">
        <f>'P NP TBK SEDERHANA IKAN'!C37</f>
        <v>0</v>
      </c>
      <c r="BK6" s="322">
        <f>'P NP TBK SEDERHANA IKAN'!D37</f>
        <v>0</v>
      </c>
      <c r="BL6" s="322">
        <f>'P NP TBK SEDERHANA IKAN'!C38</f>
        <v>0</v>
      </c>
      <c r="BM6" s="322">
        <f>'P NP TBK SEDERHANA IKAN'!D38</f>
        <v>0</v>
      </c>
      <c r="BN6" s="322">
        <f>'P NP TBK SEDERHANA IKAN'!C39</f>
        <v>0</v>
      </c>
      <c r="BO6" s="322">
        <f>'P NP TBK SEDERHANA IKAN'!D39</f>
        <v>0</v>
      </c>
      <c r="BP6" s="322">
        <f>'P NP TBK SEDERHANA IKAN'!C40</f>
        <v>0</v>
      </c>
      <c r="BQ6" s="322">
        <f>'P NP TBK SEDERHANA IKAN'!D40</f>
        <v>0</v>
      </c>
      <c r="BR6" s="322">
        <f>'P NP TBK SEDERHANA IKAN'!C41</f>
        <v>0</v>
      </c>
      <c r="BS6" s="322">
        <f>'P NP TBK SEDERHANA IKAN'!D41</f>
        <v>0</v>
      </c>
      <c r="BT6" s="322">
        <f>'P NP TBK SEDERHANA IKAN'!C42</f>
        <v>0</v>
      </c>
      <c r="BU6" s="322">
        <f>'P NP TBK SEDERHANA IKAN'!D42</f>
        <v>0</v>
      </c>
      <c r="BV6" s="322">
        <f>'P NP TBK SEDERHANA IKAN'!C43</f>
        <v>0</v>
      </c>
      <c r="BW6" s="322">
        <f>'P NP TBK SEDERHANA IKAN'!D43</f>
        <v>0</v>
      </c>
      <c r="BX6" s="322">
        <f>'P NP TBK SEDERHANA IKAN'!C44</f>
        <v>0</v>
      </c>
      <c r="BY6" s="322">
        <f>'P NP TBK SEDERHANA IKAN'!D44</f>
        <v>0</v>
      </c>
      <c r="CA6" s="322">
        <f>SUMIF($D$4:$BY$4,$CA$4,D6:BY6)</f>
        <v>0</v>
      </c>
      <c r="CB6" s="322">
        <f>SUMIF($D$4:$BY$4,$CB$4,D6:BY6)</f>
        <v>0</v>
      </c>
    </row>
    <row r="7" spans="1:80">
      <c r="A7" s="260" t="s">
        <v>121</v>
      </c>
      <c r="B7" s="320">
        <f t="shared" ref="B7:B43" si="3">SUMIF($D$4:$BY$4,$B$4,D7:BY7)</f>
        <v>0</v>
      </c>
      <c r="C7" s="320">
        <f t="shared" ref="C7:C43" si="4">SUMIF($D$4:$BY$4,$C$4,D7:BY7)</f>
        <v>0</v>
      </c>
      <c r="D7" s="322">
        <f>'P NP TBK SEDERHANA IKAN'!E8</f>
        <v>0</v>
      </c>
      <c r="E7" s="322">
        <f>'P NP TBK SEDERHANA IKAN'!F8</f>
        <v>0</v>
      </c>
      <c r="F7" s="322">
        <f>'P NP TBK SEDERHANA IKAN'!E9</f>
        <v>0</v>
      </c>
      <c r="G7" s="322">
        <f>'P NP TBK SEDERHANA IKAN'!F9</f>
        <v>0</v>
      </c>
      <c r="H7" s="322">
        <f>'P NP TBK SEDERHANA IKAN'!E10</f>
        <v>0</v>
      </c>
      <c r="I7" s="322">
        <f>'P NP TBK SEDERHANA IKAN'!F10</f>
        <v>0</v>
      </c>
      <c r="J7" s="322">
        <f>'P NP TBK SEDERHANA IKAN'!E11</f>
        <v>0</v>
      </c>
      <c r="K7" s="322">
        <f>'P NP TBK SEDERHANA IKAN'!F11</f>
        <v>0</v>
      </c>
      <c r="L7" s="322">
        <f>'P NP TBK SEDERHANA IKAN'!E12</f>
        <v>0</v>
      </c>
      <c r="M7" s="322">
        <f>'P NP TBK SEDERHANA IKAN'!F12</f>
        <v>0</v>
      </c>
      <c r="N7" s="322">
        <f>'P NP TBK SEDERHANA IKAN'!E13</f>
        <v>0</v>
      </c>
      <c r="O7" s="322">
        <f>'P NP TBK SEDERHANA IKAN'!F13</f>
        <v>0</v>
      </c>
      <c r="P7" s="322">
        <f>'P NP TBK SEDERHANA IKAN'!E14</f>
        <v>0</v>
      </c>
      <c r="Q7" s="322">
        <f>'P NP TBK SEDERHANA IKAN'!F14</f>
        <v>0</v>
      </c>
      <c r="R7" s="322">
        <f>'P NP TBK SEDERHANA IKAN'!E15</f>
        <v>0</v>
      </c>
      <c r="S7" s="322">
        <f>'P NP TBK SEDERHANA IKAN'!F15</f>
        <v>0</v>
      </c>
      <c r="T7" s="322">
        <f>'P NP TBK SEDERHANA IKAN'!E16</f>
        <v>0</v>
      </c>
      <c r="U7" s="322">
        <f>'P NP TBK SEDERHANA IKAN'!F16</f>
        <v>0</v>
      </c>
      <c r="V7" s="322">
        <f>'P NP TBK SEDERHANA IKAN'!E17</f>
        <v>0</v>
      </c>
      <c r="W7" s="322">
        <f>'P NP TBK SEDERHANA IKAN'!F17</f>
        <v>0</v>
      </c>
      <c r="X7" s="322">
        <f>'P NP TBK SEDERHANA IKAN'!E18</f>
        <v>0</v>
      </c>
      <c r="Y7" s="322">
        <f>'P NP TBK SEDERHANA IKAN'!F18</f>
        <v>0</v>
      </c>
      <c r="Z7" s="322">
        <f>'P NP TBK SEDERHANA IKAN'!E19</f>
        <v>0</v>
      </c>
      <c r="AA7" s="322">
        <f>'P NP TBK SEDERHANA IKAN'!F19</f>
        <v>0</v>
      </c>
      <c r="AB7" s="322">
        <f>'P NP TBK SEDERHANA IKAN'!E20</f>
        <v>0</v>
      </c>
      <c r="AC7" s="322">
        <f>'P NP TBK SEDERHANA IKAN'!F20</f>
        <v>0</v>
      </c>
      <c r="AD7" s="322">
        <f>'P NP TBK SEDERHANA IKAN'!E21</f>
        <v>0</v>
      </c>
      <c r="AE7" s="322">
        <f>'P NP TBK SEDERHANA IKAN'!F21</f>
        <v>0</v>
      </c>
      <c r="AF7" s="322">
        <f>'P NP TBK SEDERHANA IKAN'!E22</f>
        <v>0</v>
      </c>
      <c r="AG7" s="322">
        <f>'P NP TBK SEDERHANA IKAN'!F22</f>
        <v>0</v>
      </c>
      <c r="AH7" s="322">
        <f>'P NP TBK SEDERHANA IKAN'!E23</f>
        <v>0</v>
      </c>
      <c r="AI7" s="322">
        <f>'P NP TBK SEDERHANA IKAN'!F23</f>
        <v>0</v>
      </c>
      <c r="AJ7" s="322">
        <f>'P NP TBK SEDERHANA IKAN'!E24</f>
        <v>0</v>
      </c>
      <c r="AK7" s="322">
        <f>'P NP TBK SEDERHANA IKAN'!F24</f>
        <v>0</v>
      </c>
      <c r="AL7" s="322">
        <f>'P NP TBK SEDERHANA IKAN'!E25</f>
        <v>0</v>
      </c>
      <c r="AM7" s="322">
        <f>'P NP TBK SEDERHANA IKAN'!F25</f>
        <v>0</v>
      </c>
      <c r="AN7" s="322">
        <f>'P NP TBK SEDERHANA IKAN'!E26</f>
        <v>0</v>
      </c>
      <c r="AO7" s="322">
        <f>'P NP TBK SEDERHANA IKAN'!F26</f>
        <v>0</v>
      </c>
      <c r="AP7" s="322">
        <f>'P NP TBK SEDERHANA IKAN'!E27</f>
        <v>0</v>
      </c>
      <c r="AQ7" s="322">
        <f>'P NP TBK SEDERHANA IKAN'!F27</f>
        <v>0</v>
      </c>
      <c r="AR7" s="322">
        <f>'P NP TBK SEDERHANA IKAN'!E28</f>
        <v>0</v>
      </c>
      <c r="AS7" s="322">
        <f>'P NP TBK SEDERHANA IKAN'!F28</f>
        <v>0</v>
      </c>
      <c r="AT7" s="322">
        <f>'P NP TBK SEDERHANA IKAN'!E29</f>
        <v>0</v>
      </c>
      <c r="AU7" s="322">
        <f>'P NP TBK SEDERHANA IKAN'!F29</f>
        <v>0</v>
      </c>
      <c r="AV7" s="322">
        <f>'P NP TBK SEDERHANA IKAN'!E30</f>
        <v>0</v>
      </c>
      <c r="AW7" s="322">
        <f>'P NP TBK SEDERHANA IKAN'!F30</f>
        <v>0</v>
      </c>
      <c r="AX7" s="322">
        <f>'P NP TBK SEDERHANA IKAN'!E31</f>
        <v>0</v>
      </c>
      <c r="AY7" s="322">
        <f>'P NP TBK SEDERHANA IKAN'!F31</f>
        <v>0</v>
      </c>
      <c r="AZ7" s="322">
        <f>'P NP TBK SEDERHANA IKAN'!E32</f>
        <v>0</v>
      </c>
      <c r="BA7" s="322">
        <f>'P NP TBK SEDERHANA IKAN'!F32</f>
        <v>0</v>
      </c>
      <c r="BB7" s="322">
        <f>'P NP TBK SEDERHANA IKAN'!E33</f>
        <v>0</v>
      </c>
      <c r="BC7" s="322">
        <f>'P NP TBK SEDERHANA IKAN'!F33</f>
        <v>0</v>
      </c>
      <c r="BD7" s="322">
        <f>'P NP TBK SEDERHANA IKAN'!E34</f>
        <v>0</v>
      </c>
      <c r="BE7" s="322">
        <f>'P NP TBK SEDERHANA IKAN'!F34</f>
        <v>0</v>
      </c>
      <c r="BF7" s="322">
        <f>'P NP TBK SEDERHANA IKAN'!E35</f>
        <v>0</v>
      </c>
      <c r="BG7" s="322">
        <f>'P NP TBK SEDERHANA IKAN'!F35</f>
        <v>0</v>
      </c>
      <c r="BH7" s="322">
        <f>'P NP TBK SEDERHANA IKAN'!E36</f>
        <v>0</v>
      </c>
      <c r="BI7" s="322">
        <f>'P NP TBK SEDERHANA IKAN'!F36</f>
        <v>0</v>
      </c>
      <c r="BJ7" s="322">
        <f>'P NP TBK SEDERHANA IKAN'!E37</f>
        <v>0</v>
      </c>
      <c r="BK7" s="322">
        <f>'P NP TBK SEDERHANA IKAN'!F37</f>
        <v>0</v>
      </c>
      <c r="BL7" s="322">
        <f>'P NP TBK SEDERHANA IKAN'!E38</f>
        <v>0</v>
      </c>
      <c r="BM7" s="322">
        <f>'P NP TBK SEDERHANA IKAN'!D38</f>
        <v>0</v>
      </c>
      <c r="BN7" s="322">
        <f>'P NP TBK SEDERHANA IKAN'!E39</f>
        <v>0</v>
      </c>
      <c r="BO7" s="322">
        <f>'P NP TBK SEDERHANA IKAN'!F39</f>
        <v>0</v>
      </c>
      <c r="BP7" s="322">
        <f>'P NP TBK SEDERHANA IKAN'!E40</f>
        <v>0</v>
      </c>
      <c r="BQ7" s="322">
        <f>'P NP TBK SEDERHANA IKAN'!F40</f>
        <v>0</v>
      </c>
      <c r="BR7" s="322">
        <f>'P NP TBK SEDERHANA IKAN'!E41</f>
        <v>0</v>
      </c>
      <c r="BS7" s="322">
        <f>'P NP TBK SEDERHANA IKAN'!F41</f>
        <v>0</v>
      </c>
      <c r="BT7" s="322">
        <f>'P NP TBK SEDERHANA IKAN'!E42</f>
        <v>0</v>
      </c>
      <c r="BU7" s="322">
        <f>'P NP TBK SEDERHANA IKAN'!F42</f>
        <v>0</v>
      </c>
      <c r="BV7" s="322">
        <f>'P NP TBK SEDERHANA IKAN'!E43</f>
        <v>0</v>
      </c>
      <c r="BW7" s="322">
        <f>'P NP TBK SEDERHANA IKAN'!F43</f>
        <v>0</v>
      </c>
      <c r="BX7" s="322">
        <f>'P NP TBK SEDERHANA IKAN'!E44</f>
        <v>0</v>
      </c>
      <c r="BY7" s="322">
        <f>'P NP TBK SEDERHANA IKAN'!F44</f>
        <v>0</v>
      </c>
      <c r="CA7" s="322">
        <f t="shared" ref="CA7:CA43" si="5">SUMIF($D$4:$BY$4,$CA$4,D7:BY7)</f>
        <v>0</v>
      </c>
      <c r="CB7" s="322">
        <f t="shared" ref="CB7:CB43" si="6">SUMIF($D$4:$BY$4,$CB$4,D7:BY7)</f>
        <v>0</v>
      </c>
    </row>
    <row r="8" spans="1:80">
      <c r="A8" s="260" t="s">
        <v>116</v>
      </c>
      <c r="B8" s="320">
        <f t="shared" si="3"/>
        <v>0</v>
      </c>
      <c r="C8" s="320">
        <f t="shared" si="4"/>
        <v>0</v>
      </c>
      <c r="D8" s="322">
        <f>'P NP TBK SEDERHANA IKAN'!G8</f>
        <v>0</v>
      </c>
      <c r="E8" s="322">
        <f>'P NP TBK SEDERHANA IKAN'!H8</f>
        <v>0</v>
      </c>
      <c r="F8" s="322">
        <f>'P NP TBK SEDERHANA IKAN'!G9</f>
        <v>0</v>
      </c>
      <c r="G8" s="322">
        <f>'P NP TBK SEDERHANA IKAN'!H9</f>
        <v>0</v>
      </c>
      <c r="H8" s="322">
        <f>'P NP TBK SEDERHANA IKAN'!G10</f>
        <v>0</v>
      </c>
      <c r="I8" s="322">
        <f>'P NP TBK SEDERHANA IKAN'!H10</f>
        <v>0</v>
      </c>
      <c r="J8" s="322">
        <f>'P NP TBK SEDERHANA IKAN'!G11</f>
        <v>0</v>
      </c>
      <c r="K8" s="322">
        <f>'P NP TBK SEDERHANA IKAN'!H11</f>
        <v>0</v>
      </c>
      <c r="L8" s="322">
        <f>'P NP TBK SEDERHANA IKAN'!G12</f>
        <v>0</v>
      </c>
      <c r="M8" s="322">
        <f>'P NP TBK SEDERHANA IKAN'!H12</f>
        <v>0</v>
      </c>
      <c r="N8" s="322">
        <f>'P NP TBK SEDERHANA IKAN'!G13</f>
        <v>0</v>
      </c>
      <c r="O8" s="322">
        <f>'P NP TBK SEDERHANA IKAN'!H13</f>
        <v>0</v>
      </c>
      <c r="P8" s="322">
        <f>'P NP TBK SEDERHANA IKAN'!G14</f>
        <v>0</v>
      </c>
      <c r="Q8" s="322">
        <f>'P NP TBK SEDERHANA IKAN'!H14</f>
        <v>0</v>
      </c>
      <c r="R8" s="322">
        <f>'P NP TBK SEDERHANA IKAN'!G15</f>
        <v>0</v>
      </c>
      <c r="S8" s="322">
        <f>'P NP TBK SEDERHANA IKAN'!H15</f>
        <v>0</v>
      </c>
      <c r="T8" s="322">
        <f>'P NP TBK SEDERHANA IKAN'!G16</f>
        <v>0</v>
      </c>
      <c r="U8" s="322">
        <f>'P NP TBK SEDERHANA IKAN'!H16</f>
        <v>0</v>
      </c>
      <c r="V8" s="322">
        <f>'P NP TBK SEDERHANA IKAN'!G17</f>
        <v>0</v>
      </c>
      <c r="W8" s="322">
        <f>'P NP TBK SEDERHANA IKAN'!H17</f>
        <v>0</v>
      </c>
      <c r="X8" s="322">
        <f>'P NP TBK SEDERHANA IKAN'!G18</f>
        <v>0</v>
      </c>
      <c r="Y8" s="322">
        <f>'P NP TBK SEDERHANA IKAN'!H18</f>
        <v>0</v>
      </c>
      <c r="Z8" s="322">
        <f>'P NP TBK SEDERHANA IKAN'!G19</f>
        <v>0</v>
      </c>
      <c r="AA8" s="322">
        <f>'P NP TBK SEDERHANA IKAN'!H19</f>
        <v>0</v>
      </c>
      <c r="AB8" s="322">
        <f>'P NP TBK SEDERHANA IKAN'!G20</f>
        <v>0</v>
      </c>
      <c r="AC8" s="322">
        <f>'P NP TBK SEDERHANA IKAN'!H20</f>
        <v>0</v>
      </c>
      <c r="AD8" s="322">
        <f>'P NP TBK SEDERHANA IKAN'!G21</f>
        <v>0</v>
      </c>
      <c r="AE8" s="322">
        <f>'P NP TBK SEDERHANA IKAN'!H21</f>
        <v>0</v>
      </c>
      <c r="AF8" s="322">
        <f>'P NP TBK SEDERHANA IKAN'!G22</f>
        <v>0</v>
      </c>
      <c r="AG8" s="322">
        <f>'P NP TBK SEDERHANA IKAN'!H22</f>
        <v>0</v>
      </c>
      <c r="AH8" s="322">
        <f>'P NP TBK SEDERHANA IKAN'!G23</f>
        <v>0</v>
      </c>
      <c r="AI8" s="322">
        <f>'P NP TBK SEDERHANA IKAN'!H23</f>
        <v>0</v>
      </c>
      <c r="AJ8" s="322">
        <f>'P NP TBK SEDERHANA IKAN'!G24</f>
        <v>0</v>
      </c>
      <c r="AK8" s="322">
        <f>'P NP TBK SEDERHANA IKAN'!H24</f>
        <v>0</v>
      </c>
      <c r="AL8" s="322">
        <f>'P NP TBK SEDERHANA IKAN'!G25</f>
        <v>0</v>
      </c>
      <c r="AM8" s="322">
        <f>'P NP TBK SEDERHANA IKAN'!H25</f>
        <v>0</v>
      </c>
      <c r="AN8" s="322">
        <f>'P NP TBK SEDERHANA IKAN'!G26</f>
        <v>0</v>
      </c>
      <c r="AO8" s="322">
        <f>'P NP TBK SEDERHANA IKAN'!H26</f>
        <v>0</v>
      </c>
      <c r="AP8" s="322">
        <f>'P NP TBK SEDERHANA IKAN'!G27</f>
        <v>0</v>
      </c>
      <c r="AQ8" s="322">
        <f>'P NP TBK SEDERHANA IKAN'!H27</f>
        <v>0</v>
      </c>
      <c r="AR8" s="322">
        <f>'P NP TBK SEDERHANA IKAN'!G28</f>
        <v>0</v>
      </c>
      <c r="AS8" s="322">
        <f>'P NP TBK SEDERHANA IKAN'!H28</f>
        <v>0</v>
      </c>
      <c r="AT8" s="322">
        <f>'P NP TBK SEDERHANA IKAN'!G29</f>
        <v>0</v>
      </c>
      <c r="AU8" s="322">
        <f>'P NP TBK SEDERHANA IKAN'!H29</f>
        <v>0</v>
      </c>
      <c r="AV8" s="322">
        <f>'P NP TBK SEDERHANA IKAN'!G30</f>
        <v>0</v>
      </c>
      <c r="AW8" s="322">
        <f>'P NP TBK SEDERHANA IKAN'!H30</f>
        <v>0</v>
      </c>
      <c r="AX8" s="322">
        <f>'P NP TBK SEDERHANA IKAN'!G31</f>
        <v>0</v>
      </c>
      <c r="AY8" s="322">
        <f>'P NP TBK SEDERHANA IKAN'!H31</f>
        <v>0</v>
      </c>
      <c r="AZ8" s="322">
        <f>'P NP TBK SEDERHANA IKAN'!G32</f>
        <v>0</v>
      </c>
      <c r="BA8" s="322">
        <f>'P NP TBK SEDERHANA IKAN'!H32</f>
        <v>0</v>
      </c>
      <c r="BB8" s="322">
        <f>'P NP TBK SEDERHANA IKAN'!G33</f>
        <v>0</v>
      </c>
      <c r="BC8" s="322">
        <f>'P NP TBK SEDERHANA IKAN'!H33</f>
        <v>0</v>
      </c>
      <c r="BD8" s="322">
        <f>'P NP TBK SEDERHANA IKAN'!G34</f>
        <v>0</v>
      </c>
      <c r="BE8" s="322">
        <f>'P NP TBK SEDERHANA IKAN'!H34</f>
        <v>0</v>
      </c>
      <c r="BF8" s="322">
        <f>'P NP TBK SEDERHANA IKAN'!G35</f>
        <v>0</v>
      </c>
      <c r="BG8" s="322">
        <f>'P NP TBK SEDERHANA IKAN'!H35</f>
        <v>0</v>
      </c>
      <c r="BH8" s="322">
        <f>'P NP TBK SEDERHANA IKAN'!G36</f>
        <v>0</v>
      </c>
      <c r="BI8" s="322">
        <f>'P NP TBK SEDERHANA IKAN'!H36</f>
        <v>0</v>
      </c>
      <c r="BJ8" s="322">
        <f>'P NP TBK SEDERHANA IKAN'!G37</f>
        <v>0</v>
      </c>
      <c r="BK8" s="322">
        <f>'P NP TBK SEDERHANA IKAN'!H37</f>
        <v>0</v>
      </c>
      <c r="BL8" s="322">
        <f>'P NP TBK SEDERHANA IKAN'!G38</f>
        <v>0</v>
      </c>
      <c r="BM8" s="322">
        <f>'P NP TBK SEDERHANA IKAN'!H38</f>
        <v>0</v>
      </c>
      <c r="BN8" s="322">
        <f>'P NP TBK SEDERHANA IKAN'!G39</f>
        <v>0</v>
      </c>
      <c r="BO8" s="322">
        <f>'P NP TBK SEDERHANA IKAN'!F39</f>
        <v>0</v>
      </c>
      <c r="BP8" s="322">
        <f>'P NP TBK SEDERHANA IKAN'!G40</f>
        <v>0</v>
      </c>
      <c r="BQ8" s="322">
        <f>'P NP TBK SEDERHANA IKAN'!H40</f>
        <v>0</v>
      </c>
      <c r="BR8" s="322">
        <f>'P NP TBK SEDERHANA IKAN'!G41</f>
        <v>0</v>
      </c>
      <c r="BS8" s="322">
        <f>'P NP TBK SEDERHANA IKAN'!H41</f>
        <v>0</v>
      </c>
      <c r="BT8" s="322">
        <f>'P NP TBK SEDERHANA IKAN'!G42</f>
        <v>0</v>
      </c>
      <c r="BU8" s="322">
        <f>'P NP TBK SEDERHANA IKAN'!H42</f>
        <v>0</v>
      </c>
      <c r="BV8" s="322">
        <f>'P NP TBK SEDERHANA IKAN'!G43</f>
        <v>0</v>
      </c>
      <c r="BW8" s="322">
        <f>'P NP TBK SEDERHANA IKAN'!H43</f>
        <v>0</v>
      </c>
      <c r="BX8" s="322">
        <f>'P NP TBK SEDERHANA IKAN'!G44</f>
        <v>0</v>
      </c>
      <c r="BY8" s="322">
        <f>'P NP TBK SEDERHANA IKAN'!H44</f>
        <v>0</v>
      </c>
      <c r="CA8" s="322">
        <f t="shared" si="5"/>
        <v>0</v>
      </c>
      <c r="CB8" s="322">
        <f t="shared" si="6"/>
        <v>0</v>
      </c>
    </row>
    <row r="9" spans="1:80">
      <c r="A9" s="260" t="s">
        <v>133</v>
      </c>
      <c r="B9" s="320">
        <f t="shared" si="3"/>
        <v>0</v>
      </c>
      <c r="C9" s="320">
        <f t="shared" si="4"/>
        <v>0</v>
      </c>
      <c r="D9" s="322">
        <f>'P NP TBK SEDERHANA IKAN'!I8</f>
        <v>0</v>
      </c>
      <c r="E9" s="322">
        <f>'P NP TBK SEDERHANA IKAN'!J8</f>
        <v>0</v>
      </c>
      <c r="F9" s="322">
        <f>'P NP TBK SEDERHANA IKAN'!I9</f>
        <v>0</v>
      </c>
      <c r="G9" s="322">
        <f>'P NP TBK SEDERHANA IKAN'!J9</f>
        <v>0</v>
      </c>
      <c r="H9" s="322">
        <f>'P NP TBK SEDERHANA IKAN'!I10</f>
        <v>0</v>
      </c>
      <c r="I9" s="322">
        <f>'P NP TBK SEDERHANA IKAN'!J10</f>
        <v>0</v>
      </c>
      <c r="J9" s="322">
        <f>'P NP TBK SEDERHANA IKAN'!I11</f>
        <v>0</v>
      </c>
      <c r="K9" s="322">
        <f>'P NP TBK SEDERHANA IKAN'!J11</f>
        <v>0</v>
      </c>
      <c r="L9" s="322">
        <f>'P NP TBK SEDERHANA IKAN'!I12</f>
        <v>0</v>
      </c>
      <c r="M9" s="322">
        <f>'P NP TBK SEDERHANA IKAN'!J12</f>
        <v>0</v>
      </c>
      <c r="N9" s="322">
        <f>'P NP TBK SEDERHANA IKAN'!I13</f>
        <v>0</v>
      </c>
      <c r="O9" s="322">
        <f>'P NP TBK SEDERHANA IKAN'!J13</f>
        <v>0</v>
      </c>
      <c r="P9" s="322">
        <f>'P NP TBK SEDERHANA IKAN'!I14</f>
        <v>0</v>
      </c>
      <c r="Q9" s="322">
        <f>'P NP TBK SEDERHANA IKAN'!J14</f>
        <v>0</v>
      </c>
      <c r="R9" s="322">
        <f>'P NP TBK SEDERHANA IKAN'!I15</f>
        <v>0</v>
      </c>
      <c r="S9" s="322">
        <f>'P NP TBK SEDERHANA IKAN'!J15</f>
        <v>0</v>
      </c>
      <c r="T9" s="322">
        <f>'P NP TBK SEDERHANA IKAN'!I16</f>
        <v>0</v>
      </c>
      <c r="U9" s="322">
        <f>'P NP TBK SEDERHANA IKAN'!J16</f>
        <v>0</v>
      </c>
      <c r="V9" s="322">
        <f>'P NP TBK SEDERHANA IKAN'!I17</f>
        <v>0</v>
      </c>
      <c r="W9" s="322">
        <f>'P NP TBK SEDERHANA IKAN'!J17</f>
        <v>0</v>
      </c>
      <c r="X9" s="322">
        <f>'P NP TBK SEDERHANA IKAN'!I18</f>
        <v>0</v>
      </c>
      <c r="Y9" s="322">
        <f>'P NP TBK SEDERHANA IKAN'!J18</f>
        <v>0</v>
      </c>
      <c r="Z9" s="322">
        <f>'P NP TBK SEDERHANA IKAN'!I19</f>
        <v>0</v>
      </c>
      <c r="AA9" s="322">
        <f>'P NP TBK SEDERHANA IKAN'!J19</f>
        <v>0</v>
      </c>
      <c r="AB9" s="322">
        <f>'P NP TBK SEDERHANA IKAN'!I20</f>
        <v>0</v>
      </c>
      <c r="AC9" s="322">
        <f>'P NP TBK SEDERHANA IKAN'!J20</f>
        <v>0</v>
      </c>
      <c r="AD9" s="322">
        <f>'P NP TBK SEDERHANA IKAN'!I21</f>
        <v>0</v>
      </c>
      <c r="AE9" s="322">
        <f>'P NP TBK SEDERHANA IKAN'!J21</f>
        <v>0</v>
      </c>
      <c r="AF9" s="322">
        <f>'P NP TBK SEDERHANA IKAN'!I22</f>
        <v>0</v>
      </c>
      <c r="AG9" s="322">
        <f>'P NP TBK SEDERHANA IKAN'!J22</f>
        <v>0</v>
      </c>
      <c r="AH9" s="322">
        <f>'P NP TBK SEDERHANA IKAN'!I23</f>
        <v>0</v>
      </c>
      <c r="AI9" s="322">
        <f>'P NP TBK SEDERHANA IKAN'!J23</f>
        <v>0</v>
      </c>
      <c r="AJ9" s="322">
        <f>'P NP TBK SEDERHANA IKAN'!I24</f>
        <v>0</v>
      </c>
      <c r="AK9" s="322">
        <f>'P NP TBK SEDERHANA IKAN'!J24</f>
        <v>0</v>
      </c>
      <c r="AL9" s="322">
        <f>'P NP TBK SEDERHANA IKAN'!I25</f>
        <v>0</v>
      </c>
      <c r="AM9" s="322">
        <f>'P NP TBK SEDERHANA IKAN'!J25</f>
        <v>0</v>
      </c>
      <c r="AN9" s="322">
        <f>'P NP TBK SEDERHANA IKAN'!I26</f>
        <v>0</v>
      </c>
      <c r="AO9" s="322">
        <f>'P NP TBK SEDERHANA IKAN'!J26</f>
        <v>0</v>
      </c>
      <c r="AP9" s="322">
        <f>'P NP TBK SEDERHANA IKAN'!I27</f>
        <v>0</v>
      </c>
      <c r="AQ9" s="322">
        <f>'P NP TBK SEDERHANA IKAN'!J27</f>
        <v>0</v>
      </c>
      <c r="AR9" s="322">
        <f>'P NP TBK SEDERHANA IKAN'!I28</f>
        <v>0</v>
      </c>
      <c r="AS9" s="322">
        <f>'P NP TBK SEDERHANA IKAN'!J28</f>
        <v>0</v>
      </c>
      <c r="AT9" s="322">
        <f>'P NP TBK SEDERHANA IKAN'!I29</f>
        <v>0</v>
      </c>
      <c r="AU9" s="322">
        <f>'P NP TBK SEDERHANA IKAN'!J29</f>
        <v>0</v>
      </c>
      <c r="AV9" s="322">
        <f>'P NP TBK SEDERHANA IKAN'!I30</f>
        <v>0</v>
      </c>
      <c r="AW9" s="322">
        <f>'P NP TBK SEDERHANA IKAN'!J30</f>
        <v>0</v>
      </c>
      <c r="AX9" s="322">
        <f>'P NP TBK SEDERHANA IKAN'!I31</f>
        <v>0</v>
      </c>
      <c r="AY9" s="322">
        <f>'P NP TBK SEDERHANA IKAN'!J31</f>
        <v>0</v>
      </c>
      <c r="AZ9" s="322">
        <f>'P NP TBK SEDERHANA IKAN'!I32</f>
        <v>0</v>
      </c>
      <c r="BA9" s="322">
        <f>'P NP TBK SEDERHANA IKAN'!J32</f>
        <v>0</v>
      </c>
      <c r="BB9" s="322">
        <f>'P NP TBK SEDERHANA IKAN'!I33</f>
        <v>0</v>
      </c>
      <c r="BC9" s="322">
        <f>'P NP TBK SEDERHANA IKAN'!J33</f>
        <v>0</v>
      </c>
      <c r="BD9" s="322">
        <f>'P NP TBK SEDERHANA IKAN'!I34</f>
        <v>0</v>
      </c>
      <c r="BE9" s="322">
        <f>'P NP TBK SEDERHANA IKAN'!J34</f>
        <v>0</v>
      </c>
      <c r="BF9" s="322">
        <f>'P NP TBK SEDERHANA IKAN'!I35</f>
        <v>0</v>
      </c>
      <c r="BG9" s="322">
        <f>'P NP TBK SEDERHANA IKAN'!J35</f>
        <v>0</v>
      </c>
      <c r="BH9" s="322">
        <f>'P NP TBK SEDERHANA IKAN'!I36</f>
        <v>0</v>
      </c>
      <c r="BI9" s="322">
        <f>'P NP TBK SEDERHANA IKAN'!J36</f>
        <v>0</v>
      </c>
      <c r="BJ9" s="322">
        <f>'P NP TBK SEDERHANA IKAN'!I37</f>
        <v>0</v>
      </c>
      <c r="BK9" s="322">
        <f>'P NP TBK SEDERHANA IKAN'!J37</f>
        <v>0</v>
      </c>
      <c r="BL9" s="322">
        <f>'P NP TBK SEDERHANA IKAN'!I38</f>
        <v>0</v>
      </c>
      <c r="BM9" s="322">
        <f>'P NP TBK SEDERHANA IKAN'!J38</f>
        <v>0</v>
      </c>
      <c r="BN9" s="322">
        <f>'P NP TBK SEDERHANA IKAN'!I39</f>
        <v>0</v>
      </c>
      <c r="BO9" s="322">
        <f>'P NP TBK SEDERHANA IKAN'!J39</f>
        <v>0</v>
      </c>
      <c r="BP9" s="322">
        <f>'P NP TBK SEDERHANA IKAN'!I40</f>
        <v>0</v>
      </c>
      <c r="BQ9" s="322">
        <f>'P NP TBK SEDERHANA IKAN'!H40</f>
        <v>0</v>
      </c>
      <c r="BR9" s="322">
        <f>'P NP TBK SEDERHANA IKAN'!I41</f>
        <v>0</v>
      </c>
      <c r="BS9" s="322">
        <f>'P NP TBK SEDERHANA IKAN'!J41</f>
        <v>0</v>
      </c>
      <c r="BT9" s="322">
        <f>'P NP TBK SEDERHANA IKAN'!I42</f>
        <v>0</v>
      </c>
      <c r="BU9" s="322">
        <f>'P NP TBK SEDERHANA IKAN'!J42</f>
        <v>0</v>
      </c>
      <c r="BV9" s="322">
        <f>'P NP TBK SEDERHANA IKAN'!I43</f>
        <v>0</v>
      </c>
      <c r="BW9" s="322">
        <f>'P NP TBK SEDERHANA IKAN'!J43</f>
        <v>0</v>
      </c>
      <c r="BX9" s="322">
        <f>'P NP TBK SEDERHANA IKAN'!I44</f>
        <v>0</v>
      </c>
      <c r="BY9" s="322">
        <f>'P NP TBK SEDERHANA IKAN'!J44</f>
        <v>0</v>
      </c>
      <c r="CA9" s="322">
        <f t="shared" si="5"/>
        <v>0</v>
      </c>
      <c r="CB9" s="322">
        <f t="shared" si="6"/>
        <v>0</v>
      </c>
    </row>
    <row r="10" spans="1:80">
      <c r="A10" s="260" t="s">
        <v>122</v>
      </c>
      <c r="B10" s="320">
        <f t="shared" si="3"/>
        <v>0</v>
      </c>
      <c r="C10" s="320">
        <f t="shared" si="4"/>
        <v>0</v>
      </c>
      <c r="D10" s="322">
        <f>'P NP TBK SEDERHANA IKAN'!K8</f>
        <v>0</v>
      </c>
      <c r="E10" s="322">
        <f>'P NP TBK SEDERHANA IKAN'!L8</f>
        <v>0</v>
      </c>
      <c r="F10" s="322">
        <f>'P NP TBK SEDERHANA IKAN'!K9</f>
        <v>0</v>
      </c>
      <c r="G10" s="322">
        <f>'P NP TBK SEDERHANA IKAN'!L9</f>
        <v>0</v>
      </c>
      <c r="H10" s="322">
        <f>'P NP TBK SEDERHANA IKAN'!K10</f>
        <v>0</v>
      </c>
      <c r="I10" s="322">
        <f>'P NP TBK SEDERHANA IKAN'!L10</f>
        <v>0</v>
      </c>
      <c r="J10" s="322">
        <f>'P NP TBK SEDERHANA IKAN'!K11</f>
        <v>0</v>
      </c>
      <c r="K10" s="322">
        <f>'P NP TBK SEDERHANA IKAN'!L11</f>
        <v>0</v>
      </c>
      <c r="L10" s="322">
        <f>'P NP TBK SEDERHANA IKAN'!K12</f>
        <v>0</v>
      </c>
      <c r="M10" s="322">
        <f>'P NP TBK SEDERHANA IKAN'!L12</f>
        <v>0</v>
      </c>
      <c r="N10" s="322">
        <f>'P NP TBK SEDERHANA IKAN'!K13</f>
        <v>0</v>
      </c>
      <c r="O10" s="322">
        <f>'P NP TBK SEDERHANA IKAN'!L13</f>
        <v>0</v>
      </c>
      <c r="P10" s="322">
        <f>'P NP TBK SEDERHANA IKAN'!K14</f>
        <v>0</v>
      </c>
      <c r="Q10" s="322">
        <f>'P NP TBK SEDERHANA IKAN'!L14</f>
        <v>0</v>
      </c>
      <c r="R10" s="322">
        <f>'P NP TBK SEDERHANA IKAN'!K15</f>
        <v>0</v>
      </c>
      <c r="S10" s="322">
        <f>'P NP TBK SEDERHANA IKAN'!L15</f>
        <v>0</v>
      </c>
      <c r="T10" s="322">
        <f>'P NP TBK SEDERHANA IKAN'!K16</f>
        <v>0</v>
      </c>
      <c r="U10" s="322">
        <f>'P NP TBK SEDERHANA IKAN'!L16</f>
        <v>0</v>
      </c>
      <c r="V10" s="322">
        <f>'P NP TBK SEDERHANA IKAN'!K17</f>
        <v>0</v>
      </c>
      <c r="W10" s="322">
        <f>'P NP TBK SEDERHANA IKAN'!L17</f>
        <v>0</v>
      </c>
      <c r="X10" s="322">
        <f>'P NP TBK SEDERHANA IKAN'!K18</f>
        <v>0</v>
      </c>
      <c r="Y10" s="322">
        <f>'P NP TBK SEDERHANA IKAN'!L18</f>
        <v>0</v>
      </c>
      <c r="Z10" s="322">
        <f>'P NP TBK SEDERHANA IKAN'!K19</f>
        <v>0</v>
      </c>
      <c r="AA10" s="322">
        <f>'P NP TBK SEDERHANA IKAN'!L19</f>
        <v>0</v>
      </c>
      <c r="AB10" s="322">
        <f>'P NP TBK SEDERHANA IKAN'!K20</f>
        <v>0</v>
      </c>
      <c r="AC10" s="322">
        <f>'P NP TBK SEDERHANA IKAN'!L20</f>
        <v>0</v>
      </c>
      <c r="AD10" s="322">
        <f>'P NP TBK SEDERHANA IKAN'!K21</f>
        <v>0</v>
      </c>
      <c r="AE10" s="322">
        <f>'P NP TBK SEDERHANA IKAN'!L21</f>
        <v>0</v>
      </c>
      <c r="AF10" s="322">
        <f>'P NP TBK SEDERHANA IKAN'!K22</f>
        <v>0</v>
      </c>
      <c r="AG10" s="322">
        <f>'P NP TBK SEDERHANA IKAN'!L22</f>
        <v>0</v>
      </c>
      <c r="AH10" s="322">
        <f>'P NP TBK SEDERHANA IKAN'!K23</f>
        <v>0</v>
      </c>
      <c r="AI10" s="322">
        <f>'P NP TBK SEDERHANA IKAN'!L23</f>
        <v>0</v>
      </c>
      <c r="AJ10" s="322">
        <f>'P NP TBK SEDERHANA IKAN'!K24</f>
        <v>0</v>
      </c>
      <c r="AK10" s="322">
        <f>'P NP TBK SEDERHANA IKAN'!L24</f>
        <v>0</v>
      </c>
      <c r="AL10" s="322">
        <f>'P NP TBK SEDERHANA IKAN'!K25</f>
        <v>0</v>
      </c>
      <c r="AM10" s="322">
        <f>'P NP TBK SEDERHANA IKAN'!L25</f>
        <v>0</v>
      </c>
      <c r="AN10" s="322">
        <f>'P NP TBK SEDERHANA IKAN'!K26</f>
        <v>0</v>
      </c>
      <c r="AO10" s="322">
        <f>'P NP TBK SEDERHANA IKAN'!L26</f>
        <v>0</v>
      </c>
      <c r="AP10" s="322">
        <f>'P NP TBK SEDERHANA IKAN'!K27</f>
        <v>0</v>
      </c>
      <c r="AQ10" s="322">
        <f>'P NP TBK SEDERHANA IKAN'!L27</f>
        <v>0</v>
      </c>
      <c r="AR10" s="322">
        <f>'P NP TBK SEDERHANA IKAN'!K28</f>
        <v>0</v>
      </c>
      <c r="AS10" s="322">
        <f>'P NP TBK SEDERHANA IKAN'!L28</f>
        <v>0</v>
      </c>
      <c r="AT10" s="322">
        <f>'P NP TBK SEDERHANA IKAN'!K29</f>
        <v>0</v>
      </c>
      <c r="AU10" s="322">
        <f>'P NP TBK SEDERHANA IKAN'!L29</f>
        <v>0</v>
      </c>
      <c r="AV10" s="322">
        <f>'P NP TBK SEDERHANA IKAN'!K30</f>
        <v>0</v>
      </c>
      <c r="AW10" s="322">
        <f>'P NP TBK SEDERHANA IKAN'!L30</f>
        <v>0</v>
      </c>
      <c r="AX10" s="322">
        <f>'P NP TBK SEDERHANA IKAN'!K31</f>
        <v>0</v>
      </c>
      <c r="AY10" s="322">
        <f>'P NP TBK SEDERHANA IKAN'!L31</f>
        <v>0</v>
      </c>
      <c r="AZ10" s="322">
        <f>'P NP TBK SEDERHANA IKAN'!K32</f>
        <v>0</v>
      </c>
      <c r="BA10" s="322">
        <f>'P NP TBK SEDERHANA IKAN'!L32</f>
        <v>0</v>
      </c>
      <c r="BB10" s="322">
        <f>'P NP TBK SEDERHANA IKAN'!K33</f>
        <v>0</v>
      </c>
      <c r="BC10" s="322">
        <f>'P NP TBK SEDERHANA IKAN'!L33</f>
        <v>0</v>
      </c>
      <c r="BD10" s="322">
        <f>'P NP TBK SEDERHANA IKAN'!K34</f>
        <v>0</v>
      </c>
      <c r="BE10" s="322">
        <f>'P NP TBK SEDERHANA IKAN'!L34</f>
        <v>0</v>
      </c>
      <c r="BF10" s="322">
        <f>'P NP TBK SEDERHANA IKAN'!K35</f>
        <v>0</v>
      </c>
      <c r="BG10" s="322">
        <f>'P NP TBK SEDERHANA IKAN'!L35</f>
        <v>0</v>
      </c>
      <c r="BH10" s="322">
        <f>'P NP TBK SEDERHANA IKAN'!K36</f>
        <v>0</v>
      </c>
      <c r="BI10" s="322">
        <f>'P NP TBK SEDERHANA IKAN'!L36</f>
        <v>0</v>
      </c>
      <c r="BJ10" s="322">
        <f>'P NP TBK SEDERHANA IKAN'!K37</f>
        <v>0</v>
      </c>
      <c r="BK10" s="322">
        <f>'P NP TBK SEDERHANA IKAN'!L37</f>
        <v>0</v>
      </c>
      <c r="BL10" s="322">
        <f>'P NP TBK SEDERHANA IKAN'!K38</f>
        <v>0</v>
      </c>
      <c r="BM10" s="322">
        <f>'P NP TBK SEDERHANA IKAN'!L38</f>
        <v>0</v>
      </c>
      <c r="BN10" s="322">
        <f>'P NP TBK SEDERHANA IKAN'!K39</f>
        <v>0</v>
      </c>
      <c r="BO10" s="322">
        <f>'P NP TBK SEDERHANA IKAN'!L39</f>
        <v>0</v>
      </c>
      <c r="BP10" s="322">
        <f>'P NP TBK SEDERHANA IKAN'!K40</f>
        <v>0</v>
      </c>
      <c r="BQ10" s="322">
        <f>'P NP TBK SEDERHANA IKAN'!L40</f>
        <v>0</v>
      </c>
      <c r="BR10" s="322">
        <f>'P NP TBK SEDERHANA IKAN'!K41</f>
        <v>0</v>
      </c>
      <c r="BS10" s="322">
        <f>'P NP TBK SEDERHANA IKAN'!J41</f>
        <v>0</v>
      </c>
      <c r="BT10" s="322">
        <f>'P NP TBK SEDERHANA IKAN'!K42</f>
        <v>0</v>
      </c>
      <c r="BU10" s="322">
        <f>'P NP TBK SEDERHANA IKAN'!L42</f>
        <v>0</v>
      </c>
      <c r="BV10" s="322">
        <f>'P NP TBK SEDERHANA IKAN'!K43</f>
        <v>0</v>
      </c>
      <c r="BW10" s="322">
        <f>'P NP TBK SEDERHANA IKAN'!L43</f>
        <v>0</v>
      </c>
      <c r="BX10" s="322">
        <f>'P NP TBK SEDERHANA IKAN'!K44</f>
        <v>0</v>
      </c>
      <c r="BY10" s="322">
        <f>'P NP TBK SEDERHANA IKAN'!L44</f>
        <v>0</v>
      </c>
      <c r="CA10" s="322">
        <f t="shared" si="5"/>
        <v>0</v>
      </c>
      <c r="CB10" s="322">
        <f t="shared" si="6"/>
        <v>0</v>
      </c>
    </row>
    <row r="11" spans="1:80">
      <c r="A11" s="260" t="s">
        <v>136</v>
      </c>
      <c r="B11" s="320">
        <f t="shared" si="3"/>
        <v>0</v>
      </c>
      <c r="C11" s="320">
        <f t="shared" si="4"/>
        <v>0</v>
      </c>
      <c r="D11" s="322">
        <f>'P NP TBK SEDERHANA IKAN'!M8</f>
        <v>0</v>
      </c>
      <c r="E11" s="322">
        <f>'P NP TBK SEDERHANA IKAN'!N8</f>
        <v>0</v>
      </c>
      <c r="F11" s="322">
        <f>'P NP TBK SEDERHANA IKAN'!M9</f>
        <v>0</v>
      </c>
      <c r="G11" s="322">
        <f>'P NP TBK SEDERHANA IKAN'!N9</f>
        <v>0</v>
      </c>
      <c r="H11" s="322">
        <f>'P NP TBK SEDERHANA IKAN'!M10</f>
        <v>0</v>
      </c>
      <c r="I11" s="322">
        <f>'P NP TBK SEDERHANA IKAN'!N10</f>
        <v>0</v>
      </c>
      <c r="J11" s="322">
        <f>'P NP TBK SEDERHANA IKAN'!M11</f>
        <v>0</v>
      </c>
      <c r="K11" s="322">
        <f>'P NP TBK SEDERHANA IKAN'!N11</f>
        <v>0</v>
      </c>
      <c r="L11" s="322">
        <f>'P NP TBK SEDERHANA IKAN'!M12</f>
        <v>0</v>
      </c>
      <c r="M11" s="322">
        <f>'P NP TBK SEDERHANA IKAN'!N12</f>
        <v>0</v>
      </c>
      <c r="N11" s="322">
        <f>'P NP TBK SEDERHANA IKAN'!M13</f>
        <v>0</v>
      </c>
      <c r="O11" s="322">
        <f>'P NP TBK SEDERHANA IKAN'!N13</f>
        <v>0</v>
      </c>
      <c r="P11" s="322">
        <f>'P NP TBK SEDERHANA IKAN'!M14</f>
        <v>0</v>
      </c>
      <c r="Q11" s="322">
        <f>'P NP TBK SEDERHANA IKAN'!N14</f>
        <v>0</v>
      </c>
      <c r="R11" s="322">
        <f>'P NP TBK SEDERHANA IKAN'!M15</f>
        <v>0</v>
      </c>
      <c r="S11" s="322">
        <f>'P NP TBK SEDERHANA IKAN'!N15</f>
        <v>0</v>
      </c>
      <c r="T11" s="322">
        <f>'P NP TBK SEDERHANA IKAN'!M16</f>
        <v>0</v>
      </c>
      <c r="U11" s="322">
        <f>'P NP TBK SEDERHANA IKAN'!N16</f>
        <v>0</v>
      </c>
      <c r="V11" s="322">
        <f>'P NP TBK SEDERHANA IKAN'!M17</f>
        <v>0</v>
      </c>
      <c r="W11" s="322">
        <f>'P NP TBK SEDERHANA IKAN'!N17</f>
        <v>0</v>
      </c>
      <c r="X11" s="322">
        <f>'P NP TBK SEDERHANA IKAN'!M18</f>
        <v>0</v>
      </c>
      <c r="Y11" s="322">
        <f>'P NP TBK SEDERHANA IKAN'!N18</f>
        <v>0</v>
      </c>
      <c r="Z11" s="322">
        <f>'P NP TBK SEDERHANA IKAN'!M19</f>
        <v>0</v>
      </c>
      <c r="AA11" s="322">
        <f>'P NP TBK SEDERHANA IKAN'!N19</f>
        <v>0</v>
      </c>
      <c r="AB11" s="322">
        <f>'P NP TBK SEDERHANA IKAN'!M20</f>
        <v>0</v>
      </c>
      <c r="AC11" s="322">
        <f>'P NP TBK SEDERHANA IKAN'!N20</f>
        <v>0</v>
      </c>
      <c r="AD11" s="322">
        <f>'P NP TBK SEDERHANA IKAN'!M21</f>
        <v>0</v>
      </c>
      <c r="AE11" s="322">
        <f>'P NP TBK SEDERHANA IKAN'!N21</f>
        <v>0</v>
      </c>
      <c r="AF11" s="322">
        <f>'P NP TBK SEDERHANA IKAN'!M22</f>
        <v>0</v>
      </c>
      <c r="AG11" s="322">
        <f>'P NP TBK SEDERHANA IKAN'!N22</f>
        <v>0</v>
      </c>
      <c r="AH11" s="322">
        <f>'P NP TBK SEDERHANA IKAN'!M23</f>
        <v>0</v>
      </c>
      <c r="AI11" s="322">
        <f>'P NP TBK SEDERHANA IKAN'!N23</f>
        <v>0</v>
      </c>
      <c r="AJ11" s="322">
        <f>'P NP TBK SEDERHANA IKAN'!M24</f>
        <v>0</v>
      </c>
      <c r="AK11" s="322">
        <f>'P NP TBK SEDERHANA IKAN'!N24</f>
        <v>0</v>
      </c>
      <c r="AL11" s="322">
        <f>'P NP TBK SEDERHANA IKAN'!M25</f>
        <v>0</v>
      </c>
      <c r="AM11" s="322">
        <f>'P NP TBK SEDERHANA IKAN'!N25</f>
        <v>0</v>
      </c>
      <c r="AN11" s="322">
        <f>'P NP TBK SEDERHANA IKAN'!M26</f>
        <v>0</v>
      </c>
      <c r="AO11" s="322">
        <f>'P NP TBK SEDERHANA IKAN'!N26</f>
        <v>0</v>
      </c>
      <c r="AP11" s="322">
        <f>'P NP TBK SEDERHANA IKAN'!M27</f>
        <v>0</v>
      </c>
      <c r="AQ11" s="322">
        <f>'P NP TBK SEDERHANA IKAN'!N27</f>
        <v>0</v>
      </c>
      <c r="AR11" s="322">
        <f>'P NP TBK SEDERHANA IKAN'!M28</f>
        <v>0</v>
      </c>
      <c r="AS11" s="322">
        <f>'P NP TBK SEDERHANA IKAN'!N28</f>
        <v>0</v>
      </c>
      <c r="AT11" s="322">
        <f>'P NP TBK SEDERHANA IKAN'!M29</f>
        <v>0</v>
      </c>
      <c r="AU11" s="322">
        <f>'P NP TBK SEDERHANA IKAN'!N29</f>
        <v>0</v>
      </c>
      <c r="AV11" s="322">
        <f>'P NP TBK SEDERHANA IKAN'!M30</f>
        <v>0</v>
      </c>
      <c r="AW11" s="322">
        <f>'P NP TBK SEDERHANA IKAN'!N30</f>
        <v>0</v>
      </c>
      <c r="AX11" s="322">
        <f>'P NP TBK SEDERHANA IKAN'!M31</f>
        <v>0</v>
      </c>
      <c r="AY11" s="322">
        <f>'P NP TBK SEDERHANA IKAN'!N31</f>
        <v>0</v>
      </c>
      <c r="AZ11" s="322">
        <f>'P NP TBK SEDERHANA IKAN'!M32</f>
        <v>0</v>
      </c>
      <c r="BA11" s="322">
        <f>'P NP TBK SEDERHANA IKAN'!N32</f>
        <v>0</v>
      </c>
      <c r="BB11" s="322">
        <f>'P NP TBK SEDERHANA IKAN'!M33</f>
        <v>0</v>
      </c>
      <c r="BC11" s="322">
        <f>'P NP TBK SEDERHANA IKAN'!N33</f>
        <v>0</v>
      </c>
      <c r="BD11" s="322">
        <f>'P NP TBK SEDERHANA IKAN'!M34</f>
        <v>0</v>
      </c>
      <c r="BE11" s="322">
        <f>'P NP TBK SEDERHANA IKAN'!N34</f>
        <v>0</v>
      </c>
      <c r="BF11" s="322">
        <f>'P NP TBK SEDERHANA IKAN'!M35</f>
        <v>0</v>
      </c>
      <c r="BG11" s="322">
        <f>'P NP TBK SEDERHANA IKAN'!N35</f>
        <v>0</v>
      </c>
      <c r="BH11" s="322">
        <f>'P NP TBK SEDERHANA IKAN'!M36</f>
        <v>0</v>
      </c>
      <c r="BI11" s="322">
        <f>'P NP TBK SEDERHANA IKAN'!N36</f>
        <v>0</v>
      </c>
      <c r="BJ11" s="322">
        <f>'P NP TBK SEDERHANA IKAN'!M37</f>
        <v>0</v>
      </c>
      <c r="BK11" s="322">
        <f>'P NP TBK SEDERHANA IKAN'!N37</f>
        <v>0</v>
      </c>
      <c r="BL11" s="322">
        <f>'P NP TBK SEDERHANA IKAN'!M38</f>
        <v>0</v>
      </c>
      <c r="BM11" s="322">
        <f>'P NP TBK SEDERHANA IKAN'!N38</f>
        <v>0</v>
      </c>
      <c r="BN11" s="322">
        <f>'P NP TBK SEDERHANA IKAN'!M39</f>
        <v>0</v>
      </c>
      <c r="BO11" s="322">
        <f>'P NP TBK SEDERHANA IKAN'!N39</f>
        <v>0</v>
      </c>
      <c r="BP11" s="322">
        <f>'P NP TBK SEDERHANA IKAN'!M40</f>
        <v>0</v>
      </c>
      <c r="BQ11" s="322">
        <f>'P NP TBK SEDERHANA IKAN'!N40</f>
        <v>0</v>
      </c>
      <c r="BR11" s="322">
        <f>'P NP TBK SEDERHANA IKAN'!M41</f>
        <v>0</v>
      </c>
      <c r="BS11" s="322">
        <f>'P NP TBK SEDERHANA IKAN'!N41</f>
        <v>0</v>
      </c>
      <c r="BT11" s="322">
        <f>'P NP TBK SEDERHANA IKAN'!M42</f>
        <v>0</v>
      </c>
      <c r="BU11" s="322">
        <f>'P NP TBK SEDERHANA IKAN'!L42</f>
        <v>0</v>
      </c>
      <c r="BV11" s="322">
        <f>'P NP TBK SEDERHANA IKAN'!M43</f>
        <v>0</v>
      </c>
      <c r="BW11" s="322">
        <f>'P NP TBK SEDERHANA IKAN'!N43</f>
        <v>0</v>
      </c>
      <c r="BX11" s="322">
        <f>'P NP TBK SEDERHANA IKAN'!M44</f>
        <v>0</v>
      </c>
      <c r="BY11" s="322">
        <f>'P NP TBK SEDERHANA IKAN'!N44</f>
        <v>0</v>
      </c>
      <c r="CA11" s="322">
        <f t="shared" si="5"/>
        <v>0</v>
      </c>
      <c r="CB11" s="322">
        <f t="shared" si="6"/>
        <v>0</v>
      </c>
    </row>
    <row r="12" spans="1:80">
      <c r="A12" s="260" t="s">
        <v>120</v>
      </c>
      <c r="B12" s="320">
        <f t="shared" si="3"/>
        <v>0</v>
      </c>
      <c r="C12" s="320">
        <f t="shared" si="4"/>
        <v>0</v>
      </c>
      <c r="D12" s="322">
        <f>'P NP TBK SEDERHANA IKAN'!O8</f>
        <v>0</v>
      </c>
      <c r="E12" s="322">
        <f>'P NP TBK SEDERHANA IKAN'!P8</f>
        <v>0</v>
      </c>
      <c r="F12" s="322">
        <f>'P NP TBK SEDERHANA IKAN'!O9</f>
        <v>0</v>
      </c>
      <c r="G12" s="322">
        <f>'P NP TBK SEDERHANA IKAN'!P9</f>
        <v>0</v>
      </c>
      <c r="H12" s="322">
        <f>'P NP TBK SEDERHANA IKAN'!O10</f>
        <v>0</v>
      </c>
      <c r="I12" s="322">
        <f>'P NP TBK SEDERHANA IKAN'!P10</f>
        <v>0</v>
      </c>
      <c r="J12" s="322">
        <f>'P NP TBK SEDERHANA IKAN'!O11</f>
        <v>0</v>
      </c>
      <c r="K12" s="322">
        <f>'P NP TBK SEDERHANA IKAN'!P11</f>
        <v>0</v>
      </c>
      <c r="L12" s="322">
        <f>'P NP TBK SEDERHANA IKAN'!O12</f>
        <v>0</v>
      </c>
      <c r="M12" s="322">
        <f>'P NP TBK SEDERHANA IKAN'!P12</f>
        <v>0</v>
      </c>
      <c r="N12" s="322">
        <f>'P NP TBK SEDERHANA IKAN'!O13</f>
        <v>0</v>
      </c>
      <c r="O12" s="322">
        <f>'P NP TBK SEDERHANA IKAN'!P13</f>
        <v>0</v>
      </c>
      <c r="P12" s="322">
        <f>'P NP TBK SEDERHANA IKAN'!O14</f>
        <v>0</v>
      </c>
      <c r="Q12" s="322">
        <f>'P NP TBK SEDERHANA IKAN'!P14</f>
        <v>0</v>
      </c>
      <c r="R12" s="322">
        <f>'P NP TBK SEDERHANA IKAN'!O15</f>
        <v>0</v>
      </c>
      <c r="S12" s="322">
        <f>'P NP TBK SEDERHANA IKAN'!P15</f>
        <v>0</v>
      </c>
      <c r="T12" s="322">
        <f>'P NP TBK SEDERHANA IKAN'!O16</f>
        <v>0</v>
      </c>
      <c r="U12" s="322">
        <f>'P NP TBK SEDERHANA IKAN'!P16</f>
        <v>0</v>
      </c>
      <c r="V12" s="322">
        <f>'P NP TBK SEDERHANA IKAN'!O17</f>
        <v>0</v>
      </c>
      <c r="W12" s="322">
        <f>'P NP TBK SEDERHANA IKAN'!P17</f>
        <v>0</v>
      </c>
      <c r="X12" s="322">
        <f>'P NP TBK SEDERHANA IKAN'!O18</f>
        <v>0</v>
      </c>
      <c r="Y12" s="322">
        <f>'P NP TBK SEDERHANA IKAN'!P18</f>
        <v>0</v>
      </c>
      <c r="Z12" s="322">
        <f>'P NP TBK SEDERHANA IKAN'!O19</f>
        <v>0</v>
      </c>
      <c r="AA12" s="322">
        <f>'P NP TBK SEDERHANA IKAN'!P19</f>
        <v>0</v>
      </c>
      <c r="AB12" s="322">
        <f>'P NP TBK SEDERHANA IKAN'!O20</f>
        <v>0</v>
      </c>
      <c r="AC12" s="322">
        <f>'P NP TBK SEDERHANA IKAN'!P20</f>
        <v>0</v>
      </c>
      <c r="AD12" s="322">
        <f>'P NP TBK SEDERHANA IKAN'!O21</f>
        <v>0</v>
      </c>
      <c r="AE12" s="322">
        <f>'P NP TBK SEDERHANA IKAN'!P21</f>
        <v>0</v>
      </c>
      <c r="AF12" s="322">
        <f>'P NP TBK SEDERHANA IKAN'!O22</f>
        <v>0</v>
      </c>
      <c r="AG12" s="322">
        <f>'P NP TBK SEDERHANA IKAN'!P22</f>
        <v>0</v>
      </c>
      <c r="AH12" s="322">
        <f>'P NP TBK SEDERHANA IKAN'!O23</f>
        <v>0</v>
      </c>
      <c r="AI12" s="322">
        <f>'P NP TBK SEDERHANA IKAN'!P23</f>
        <v>0</v>
      </c>
      <c r="AJ12" s="322">
        <f>'P NP TBK SEDERHANA IKAN'!O24</f>
        <v>0</v>
      </c>
      <c r="AK12" s="322">
        <f>'P NP TBK SEDERHANA IKAN'!P24</f>
        <v>0</v>
      </c>
      <c r="AL12" s="322">
        <f>'P NP TBK SEDERHANA IKAN'!O25</f>
        <v>0</v>
      </c>
      <c r="AM12" s="322">
        <f>'P NP TBK SEDERHANA IKAN'!P25</f>
        <v>0</v>
      </c>
      <c r="AN12" s="322">
        <f>'P NP TBK SEDERHANA IKAN'!O26</f>
        <v>0</v>
      </c>
      <c r="AO12" s="322">
        <f>'P NP TBK SEDERHANA IKAN'!P26</f>
        <v>0</v>
      </c>
      <c r="AP12" s="322">
        <f>'P NP TBK SEDERHANA IKAN'!O27</f>
        <v>0</v>
      </c>
      <c r="AQ12" s="322">
        <f>'P NP TBK SEDERHANA IKAN'!P27</f>
        <v>0</v>
      </c>
      <c r="AR12" s="322">
        <f>'P NP TBK SEDERHANA IKAN'!O28</f>
        <v>0</v>
      </c>
      <c r="AS12" s="322">
        <f>'P NP TBK SEDERHANA IKAN'!P28</f>
        <v>0</v>
      </c>
      <c r="AT12" s="322">
        <f>'P NP TBK SEDERHANA IKAN'!O29</f>
        <v>0</v>
      </c>
      <c r="AU12" s="322">
        <f>'P NP TBK SEDERHANA IKAN'!P29</f>
        <v>0</v>
      </c>
      <c r="AV12" s="322">
        <f>'P NP TBK SEDERHANA IKAN'!O30</f>
        <v>0</v>
      </c>
      <c r="AW12" s="322">
        <f>'P NP TBK SEDERHANA IKAN'!P30</f>
        <v>0</v>
      </c>
      <c r="AX12" s="322">
        <f>'P NP TBK SEDERHANA IKAN'!O31</f>
        <v>0</v>
      </c>
      <c r="AY12" s="322">
        <f>'P NP TBK SEDERHANA IKAN'!P31</f>
        <v>0</v>
      </c>
      <c r="AZ12" s="322">
        <f>'P NP TBK SEDERHANA IKAN'!O32</f>
        <v>0</v>
      </c>
      <c r="BA12" s="322">
        <f>'P NP TBK SEDERHANA IKAN'!P32</f>
        <v>0</v>
      </c>
      <c r="BB12" s="322">
        <f>'P NP TBK SEDERHANA IKAN'!O33</f>
        <v>0</v>
      </c>
      <c r="BC12" s="322">
        <f>'P NP TBK SEDERHANA IKAN'!P33</f>
        <v>0</v>
      </c>
      <c r="BD12" s="322">
        <f>'P NP TBK SEDERHANA IKAN'!O34</f>
        <v>0</v>
      </c>
      <c r="BE12" s="322">
        <f>'P NP TBK SEDERHANA IKAN'!P34</f>
        <v>0</v>
      </c>
      <c r="BF12" s="322">
        <f>'P NP TBK SEDERHANA IKAN'!O35</f>
        <v>0</v>
      </c>
      <c r="BG12" s="322">
        <f>'P NP TBK SEDERHANA IKAN'!P35</f>
        <v>0</v>
      </c>
      <c r="BH12" s="322">
        <f>'P NP TBK SEDERHANA IKAN'!O36</f>
        <v>0</v>
      </c>
      <c r="BI12" s="322">
        <f>'P NP TBK SEDERHANA IKAN'!P36</f>
        <v>0</v>
      </c>
      <c r="BJ12" s="322">
        <f>'P NP TBK SEDERHANA IKAN'!O37</f>
        <v>0</v>
      </c>
      <c r="BK12" s="322">
        <f>'P NP TBK SEDERHANA IKAN'!P37</f>
        <v>0</v>
      </c>
      <c r="BL12" s="322">
        <f>'P NP TBK SEDERHANA IKAN'!O38</f>
        <v>0</v>
      </c>
      <c r="BM12" s="322">
        <f>'P NP TBK SEDERHANA IKAN'!P38</f>
        <v>0</v>
      </c>
      <c r="BN12" s="322">
        <f>'P NP TBK SEDERHANA IKAN'!O39</f>
        <v>0</v>
      </c>
      <c r="BO12" s="322">
        <f>'P NP TBK SEDERHANA IKAN'!P39</f>
        <v>0</v>
      </c>
      <c r="BP12" s="322">
        <f>'P NP TBK SEDERHANA IKAN'!O40</f>
        <v>0</v>
      </c>
      <c r="BQ12" s="322">
        <f>'P NP TBK SEDERHANA IKAN'!P40</f>
        <v>0</v>
      </c>
      <c r="BR12" s="322">
        <f>'P NP TBK SEDERHANA IKAN'!O41</f>
        <v>0</v>
      </c>
      <c r="BS12" s="322">
        <f>'P NP TBK SEDERHANA IKAN'!P41</f>
        <v>0</v>
      </c>
      <c r="BT12" s="322">
        <f>'P NP TBK SEDERHANA IKAN'!O42</f>
        <v>0</v>
      </c>
      <c r="BU12" s="322">
        <f>'P NP TBK SEDERHANA IKAN'!P42</f>
        <v>0</v>
      </c>
      <c r="BV12" s="322">
        <f>'P NP TBK SEDERHANA IKAN'!O43</f>
        <v>0</v>
      </c>
      <c r="BW12" s="322">
        <f>'P NP TBK SEDERHANA IKAN'!N43</f>
        <v>0</v>
      </c>
      <c r="BX12" s="322">
        <f>'P NP TBK SEDERHANA IKAN'!O44</f>
        <v>0</v>
      </c>
      <c r="BY12" s="322">
        <f>'P NP TBK SEDERHANA IKAN'!P44</f>
        <v>0</v>
      </c>
      <c r="CA12" s="322">
        <f t="shared" si="5"/>
        <v>0</v>
      </c>
      <c r="CB12" s="322">
        <f t="shared" si="6"/>
        <v>0</v>
      </c>
    </row>
    <row r="13" spans="1:80">
      <c r="A13" s="260" t="s">
        <v>128</v>
      </c>
      <c r="B13" s="320">
        <f t="shared" si="3"/>
        <v>0</v>
      </c>
      <c r="C13" s="320">
        <f t="shared" si="4"/>
        <v>0</v>
      </c>
      <c r="D13" s="322">
        <f>'P NP TBK SEDERHANA IKAN'!Q8</f>
        <v>0</v>
      </c>
      <c r="E13" s="322">
        <f>'P NP TBK SEDERHANA IKAN'!R8</f>
        <v>0</v>
      </c>
      <c r="F13" s="322">
        <f>'P NP TBK SEDERHANA IKAN'!Q9</f>
        <v>0</v>
      </c>
      <c r="G13" s="322">
        <f>'P NP TBK SEDERHANA IKAN'!R9</f>
        <v>0</v>
      </c>
      <c r="H13" s="322">
        <f>'P NP TBK SEDERHANA IKAN'!Q10</f>
        <v>0</v>
      </c>
      <c r="I13" s="322">
        <f>'P NP TBK SEDERHANA IKAN'!R10</f>
        <v>0</v>
      </c>
      <c r="J13" s="322">
        <f>'P NP TBK SEDERHANA IKAN'!Q11</f>
        <v>0</v>
      </c>
      <c r="K13" s="322">
        <f>'P NP TBK SEDERHANA IKAN'!R11</f>
        <v>0</v>
      </c>
      <c r="L13" s="322">
        <f>'P NP TBK SEDERHANA IKAN'!Q12</f>
        <v>0</v>
      </c>
      <c r="M13" s="322">
        <f>'P NP TBK SEDERHANA IKAN'!R12</f>
        <v>0</v>
      </c>
      <c r="N13" s="322">
        <f>'P NP TBK SEDERHANA IKAN'!Q13</f>
        <v>0</v>
      </c>
      <c r="O13" s="322">
        <f>'P NP TBK SEDERHANA IKAN'!R13</f>
        <v>0</v>
      </c>
      <c r="P13" s="322">
        <f>'P NP TBK SEDERHANA IKAN'!Q14</f>
        <v>0</v>
      </c>
      <c r="Q13" s="322">
        <f>'P NP TBK SEDERHANA IKAN'!R14</f>
        <v>0</v>
      </c>
      <c r="R13" s="322">
        <f>'P NP TBK SEDERHANA IKAN'!Q15</f>
        <v>0</v>
      </c>
      <c r="S13" s="322">
        <f>'P NP TBK SEDERHANA IKAN'!R15</f>
        <v>0</v>
      </c>
      <c r="T13" s="322">
        <f>'P NP TBK SEDERHANA IKAN'!Q16</f>
        <v>0</v>
      </c>
      <c r="U13" s="322">
        <f>'P NP TBK SEDERHANA IKAN'!R16</f>
        <v>0</v>
      </c>
      <c r="V13" s="322">
        <f>'P NP TBK SEDERHANA IKAN'!Q17</f>
        <v>0</v>
      </c>
      <c r="W13" s="322">
        <f>'P NP TBK SEDERHANA IKAN'!R17</f>
        <v>0</v>
      </c>
      <c r="X13" s="322">
        <f>'P NP TBK SEDERHANA IKAN'!Q18</f>
        <v>0</v>
      </c>
      <c r="Y13" s="322">
        <f>'P NP TBK SEDERHANA IKAN'!R18</f>
        <v>0</v>
      </c>
      <c r="Z13" s="322">
        <f>'P NP TBK SEDERHANA IKAN'!Q19</f>
        <v>0</v>
      </c>
      <c r="AA13" s="322">
        <f>'P NP TBK SEDERHANA IKAN'!R19</f>
        <v>0</v>
      </c>
      <c r="AB13" s="322">
        <f>'P NP TBK SEDERHANA IKAN'!Q20</f>
        <v>0</v>
      </c>
      <c r="AC13" s="322">
        <f>'P NP TBK SEDERHANA IKAN'!R20</f>
        <v>0</v>
      </c>
      <c r="AD13" s="322">
        <f>'P NP TBK SEDERHANA IKAN'!Q21</f>
        <v>0</v>
      </c>
      <c r="AE13" s="322">
        <f>'P NP TBK SEDERHANA IKAN'!R21</f>
        <v>0</v>
      </c>
      <c r="AF13" s="322">
        <f>'P NP TBK SEDERHANA IKAN'!Q22</f>
        <v>0</v>
      </c>
      <c r="AG13" s="322">
        <f>'P NP TBK SEDERHANA IKAN'!R22</f>
        <v>0</v>
      </c>
      <c r="AH13" s="322">
        <f>'P NP TBK SEDERHANA IKAN'!Q23</f>
        <v>0</v>
      </c>
      <c r="AI13" s="322">
        <f>'P NP TBK SEDERHANA IKAN'!R23</f>
        <v>0</v>
      </c>
      <c r="AJ13" s="322">
        <f>'P NP TBK SEDERHANA IKAN'!Q24</f>
        <v>0</v>
      </c>
      <c r="AK13" s="322">
        <f>'P NP TBK SEDERHANA IKAN'!R24</f>
        <v>0</v>
      </c>
      <c r="AL13" s="322">
        <f>'P NP TBK SEDERHANA IKAN'!Q25</f>
        <v>0</v>
      </c>
      <c r="AM13" s="322">
        <f>'P NP TBK SEDERHANA IKAN'!R25</f>
        <v>0</v>
      </c>
      <c r="AN13" s="322">
        <f>'P NP TBK SEDERHANA IKAN'!Q26</f>
        <v>0</v>
      </c>
      <c r="AO13" s="322">
        <f>'P NP TBK SEDERHANA IKAN'!R26</f>
        <v>0</v>
      </c>
      <c r="AP13" s="322">
        <f>'P NP TBK SEDERHANA IKAN'!Q27</f>
        <v>0</v>
      </c>
      <c r="AQ13" s="322">
        <f>'P NP TBK SEDERHANA IKAN'!R27</f>
        <v>0</v>
      </c>
      <c r="AR13" s="322">
        <f>'P NP TBK SEDERHANA IKAN'!Q28</f>
        <v>0</v>
      </c>
      <c r="AS13" s="322">
        <f>'P NP TBK SEDERHANA IKAN'!R28</f>
        <v>0</v>
      </c>
      <c r="AT13" s="322">
        <f>'P NP TBK SEDERHANA IKAN'!Q29</f>
        <v>0</v>
      </c>
      <c r="AU13" s="322">
        <f>'P NP TBK SEDERHANA IKAN'!R29</f>
        <v>0</v>
      </c>
      <c r="AV13" s="322">
        <f>'P NP TBK SEDERHANA IKAN'!Q30</f>
        <v>0</v>
      </c>
      <c r="AW13" s="322">
        <f>'P NP TBK SEDERHANA IKAN'!R30</f>
        <v>0</v>
      </c>
      <c r="AX13" s="322">
        <f>'P NP TBK SEDERHANA IKAN'!Q31</f>
        <v>0</v>
      </c>
      <c r="AY13" s="322">
        <f>'P NP TBK SEDERHANA IKAN'!R31</f>
        <v>0</v>
      </c>
      <c r="AZ13" s="322">
        <f>'P NP TBK SEDERHANA IKAN'!Q32</f>
        <v>0</v>
      </c>
      <c r="BA13" s="322">
        <f>'P NP TBK SEDERHANA IKAN'!R32</f>
        <v>0</v>
      </c>
      <c r="BB13" s="322">
        <f>'P NP TBK SEDERHANA IKAN'!Q33</f>
        <v>0</v>
      </c>
      <c r="BC13" s="322">
        <f>'P NP TBK SEDERHANA IKAN'!R33</f>
        <v>0</v>
      </c>
      <c r="BD13" s="322">
        <f>'P NP TBK SEDERHANA IKAN'!Q34</f>
        <v>0</v>
      </c>
      <c r="BE13" s="322">
        <f>'P NP TBK SEDERHANA IKAN'!R34</f>
        <v>0</v>
      </c>
      <c r="BF13" s="322">
        <f>'P NP TBK SEDERHANA IKAN'!Q35</f>
        <v>0</v>
      </c>
      <c r="BG13" s="322">
        <f>'P NP TBK SEDERHANA IKAN'!R35</f>
        <v>0</v>
      </c>
      <c r="BH13" s="322">
        <f>'P NP TBK SEDERHANA IKAN'!Q36</f>
        <v>0</v>
      </c>
      <c r="BI13" s="322">
        <f>'P NP TBK SEDERHANA IKAN'!R36</f>
        <v>0</v>
      </c>
      <c r="BJ13" s="322">
        <f>'P NP TBK SEDERHANA IKAN'!Q37</f>
        <v>0</v>
      </c>
      <c r="BK13" s="322">
        <f>'P NP TBK SEDERHANA IKAN'!R37</f>
        <v>0</v>
      </c>
      <c r="BL13" s="322">
        <f>'P NP TBK SEDERHANA IKAN'!Q38</f>
        <v>0</v>
      </c>
      <c r="BM13" s="322">
        <f>'P NP TBK SEDERHANA IKAN'!R38</f>
        <v>0</v>
      </c>
      <c r="BN13" s="322">
        <f>'P NP TBK SEDERHANA IKAN'!Q39</f>
        <v>0</v>
      </c>
      <c r="BO13" s="322">
        <f>'P NP TBK SEDERHANA IKAN'!R39</f>
        <v>0</v>
      </c>
      <c r="BP13" s="322">
        <f>'P NP TBK SEDERHANA IKAN'!Q40</f>
        <v>0</v>
      </c>
      <c r="BQ13" s="322">
        <f>'P NP TBK SEDERHANA IKAN'!R40</f>
        <v>0</v>
      </c>
      <c r="BR13" s="322">
        <f>'P NP TBK SEDERHANA IKAN'!Q41</f>
        <v>0</v>
      </c>
      <c r="BS13" s="322">
        <f>'P NP TBK SEDERHANA IKAN'!R41</f>
        <v>0</v>
      </c>
      <c r="BT13" s="322">
        <f>'P NP TBK SEDERHANA IKAN'!Q42</f>
        <v>0</v>
      </c>
      <c r="BU13" s="322">
        <f>'P NP TBK SEDERHANA IKAN'!R42</f>
        <v>0</v>
      </c>
      <c r="BV13" s="322">
        <f>'P NP TBK SEDERHANA IKAN'!Q43</f>
        <v>0</v>
      </c>
      <c r="BW13" s="322">
        <f>'P NP TBK SEDERHANA IKAN'!R43</f>
        <v>0</v>
      </c>
      <c r="BX13" s="322">
        <f>'P NP TBK SEDERHANA IKAN'!Q44</f>
        <v>0</v>
      </c>
      <c r="BY13" s="322">
        <f>'P NP TBK SEDERHANA IKAN'!P44</f>
        <v>0</v>
      </c>
      <c r="CA13" s="322">
        <f t="shared" si="5"/>
        <v>0</v>
      </c>
      <c r="CB13" s="322">
        <f t="shared" si="6"/>
        <v>0</v>
      </c>
    </row>
    <row r="14" spans="1:80">
      <c r="A14" s="260" t="s">
        <v>117</v>
      </c>
      <c r="B14" s="320">
        <f t="shared" si="3"/>
        <v>0</v>
      </c>
      <c r="C14" s="320">
        <f t="shared" si="4"/>
        <v>0</v>
      </c>
      <c r="D14" s="322">
        <f>'P NP TBK SEDERHANA IKAN'!S8</f>
        <v>0</v>
      </c>
      <c r="E14" s="322">
        <f>'P NP TBK SEDERHANA IKAN'!T8</f>
        <v>0</v>
      </c>
      <c r="F14" s="322">
        <f>'P NP TBK SEDERHANA IKAN'!S9</f>
        <v>0</v>
      </c>
      <c r="G14" s="322">
        <f>'P NP TBK SEDERHANA IKAN'!T9</f>
        <v>0</v>
      </c>
      <c r="H14" s="322">
        <f>'P NP TBK SEDERHANA IKAN'!S10</f>
        <v>0</v>
      </c>
      <c r="I14" s="322">
        <f>'P NP TBK SEDERHANA IKAN'!T10</f>
        <v>0</v>
      </c>
      <c r="J14" s="322">
        <f>'P NP TBK SEDERHANA IKAN'!S11</f>
        <v>0</v>
      </c>
      <c r="K14" s="322">
        <f>'P NP TBK SEDERHANA IKAN'!T11</f>
        <v>0</v>
      </c>
      <c r="L14" s="322">
        <f>'P NP TBK SEDERHANA IKAN'!S12</f>
        <v>0</v>
      </c>
      <c r="M14" s="322">
        <f>'P NP TBK SEDERHANA IKAN'!T12</f>
        <v>0</v>
      </c>
      <c r="N14" s="322">
        <f>'P NP TBK SEDERHANA IKAN'!S13</f>
        <v>0</v>
      </c>
      <c r="O14" s="322">
        <f>'P NP TBK SEDERHANA IKAN'!T13</f>
        <v>0</v>
      </c>
      <c r="P14" s="322">
        <f>'P NP TBK SEDERHANA IKAN'!S14</f>
        <v>0</v>
      </c>
      <c r="Q14" s="322">
        <f>'P NP TBK SEDERHANA IKAN'!T14</f>
        <v>0</v>
      </c>
      <c r="R14" s="322">
        <f>'P NP TBK SEDERHANA IKAN'!S15</f>
        <v>0</v>
      </c>
      <c r="S14" s="322">
        <f>'P NP TBK SEDERHANA IKAN'!T15</f>
        <v>0</v>
      </c>
      <c r="T14" s="322">
        <f>'P NP TBK SEDERHANA IKAN'!S16</f>
        <v>0</v>
      </c>
      <c r="U14" s="322">
        <f>'P NP TBK SEDERHANA IKAN'!T16</f>
        <v>0</v>
      </c>
      <c r="V14" s="322">
        <f>'P NP TBK SEDERHANA IKAN'!S17</f>
        <v>0</v>
      </c>
      <c r="W14" s="322">
        <f>'P NP TBK SEDERHANA IKAN'!T17</f>
        <v>0</v>
      </c>
      <c r="X14" s="322">
        <f>'P NP TBK SEDERHANA IKAN'!S18</f>
        <v>0</v>
      </c>
      <c r="Y14" s="322">
        <f>'P NP TBK SEDERHANA IKAN'!T18</f>
        <v>0</v>
      </c>
      <c r="Z14" s="322">
        <f>'P NP TBK SEDERHANA IKAN'!S19</f>
        <v>0</v>
      </c>
      <c r="AA14" s="322">
        <f>'P NP TBK SEDERHANA IKAN'!T19</f>
        <v>0</v>
      </c>
      <c r="AB14" s="322">
        <f>'P NP TBK SEDERHANA IKAN'!S20</f>
        <v>0</v>
      </c>
      <c r="AC14" s="322">
        <f>'P NP TBK SEDERHANA IKAN'!T20</f>
        <v>0</v>
      </c>
      <c r="AD14" s="322">
        <f>'P NP TBK SEDERHANA IKAN'!S21</f>
        <v>0</v>
      </c>
      <c r="AE14" s="322">
        <f>'P NP TBK SEDERHANA IKAN'!T21</f>
        <v>0</v>
      </c>
      <c r="AF14" s="322">
        <f>'P NP TBK SEDERHANA IKAN'!S22</f>
        <v>0</v>
      </c>
      <c r="AG14" s="322">
        <f>'P NP TBK SEDERHANA IKAN'!T22</f>
        <v>0</v>
      </c>
      <c r="AH14" s="322">
        <f>'P NP TBK SEDERHANA IKAN'!S23</f>
        <v>0</v>
      </c>
      <c r="AI14" s="322">
        <f>'P NP TBK SEDERHANA IKAN'!T23</f>
        <v>0</v>
      </c>
      <c r="AJ14" s="322">
        <f>'P NP TBK SEDERHANA IKAN'!S24</f>
        <v>0</v>
      </c>
      <c r="AK14" s="322">
        <f>'P NP TBK SEDERHANA IKAN'!T24</f>
        <v>0</v>
      </c>
      <c r="AL14" s="322">
        <f>'P NP TBK SEDERHANA IKAN'!S25</f>
        <v>0</v>
      </c>
      <c r="AM14" s="322">
        <f>'P NP TBK SEDERHANA IKAN'!T25</f>
        <v>0</v>
      </c>
      <c r="AN14" s="322">
        <f>'P NP TBK SEDERHANA IKAN'!S26</f>
        <v>0</v>
      </c>
      <c r="AO14" s="322">
        <f>'P NP TBK SEDERHANA IKAN'!T26</f>
        <v>0</v>
      </c>
      <c r="AP14" s="322">
        <f>'P NP TBK SEDERHANA IKAN'!S27</f>
        <v>0</v>
      </c>
      <c r="AQ14" s="322">
        <f>'P NP TBK SEDERHANA IKAN'!T27</f>
        <v>0</v>
      </c>
      <c r="AR14" s="322">
        <f>'P NP TBK SEDERHANA IKAN'!S28</f>
        <v>0</v>
      </c>
      <c r="AS14" s="322">
        <f>'P NP TBK SEDERHANA IKAN'!T28</f>
        <v>0</v>
      </c>
      <c r="AT14" s="322">
        <f>'P NP TBK SEDERHANA IKAN'!S29</f>
        <v>0</v>
      </c>
      <c r="AU14" s="322">
        <f>'P NP TBK SEDERHANA IKAN'!T29</f>
        <v>0</v>
      </c>
      <c r="AV14" s="322">
        <f>'P NP TBK SEDERHANA IKAN'!S30</f>
        <v>0</v>
      </c>
      <c r="AW14" s="322">
        <f>'P NP TBK SEDERHANA IKAN'!T30</f>
        <v>0</v>
      </c>
      <c r="AX14" s="322">
        <f>'P NP TBK SEDERHANA IKAN'!S31</f>
        <v>0</v>
      </c>
      <c r="AY14" s="322">
        <f>'P NP TBK SEDERHANA IKAN'!T31</f>
        <v>0</v>
      </c>
      <c r="AZ14" s="322">
        <f>'P NP TBK SEDERHANA IKAN'!S32</f>
        <v>0</v>
      </c>
      <c r="BA14" s="322">
        <f>'P NP TBK SEDERHANA IKAN'!T32</f>
        <v>0</v>
      </c>
      <c r="BB14" s="322">
        <f>'P NP TBK SEDERHANA IKAN'!S33</f>
        <v>0</v>
      </c>
      <c r="BC14" s="322">
        <f>'P NP TBK SEDERHANA IKAN'!T33</f>
        <v>0</v>
      </c>
      <c r="BD14" s="322">
        <f>'P NP TBK SEDERHANA IKAN'!S34</f>
        <v>0</v>
      </c>
      <c r="BE14" s="322">
        <f>'P NP TBK SEDERHANA IKAN'!T34</f>
        <v>0</v>
      </c>
      <c r="BF14" s="322">
        <f>'P NP TBK SEDERHANA IKAN'!S35</f>
        <v>0</v>
      </c>
      <c r="BG14" s="322">
        <f>'P NP TBK SEDERHANA IKAN'!T35</f>
        <v>0</v>
      </c>
      <c r="BH14" s="322">
        <f>'P NP TBK SEDERHANA IKAN'!S36</f>
        <v>0</v>
      </c>
      <c r="BI14" s="322">
        <f>'P NP TBK SEDERHANA IKAN'!T36</f>
        <v>0</v>
      </c>
      <c r="BJ14" s="322">
        <f>'P NP TBK SEDERHANA IKAN'!S37</f>
        <v>0</v>
      </c>
      <c r="BK14" s="322">
        <f>'P NP TBK SEDERHANA IKAN'!T37</f>
        <v>0</v>
      </c>
      <c r="BL14" s="322">
        <f>'P NP TBK SEDERHANA IKAN'!S38</f>
        <v>0</v>
      </c>
      <c r="BM14" s="322">
        <f>'P NP TBK SEDERHANA IKAN'!T38</f>
        <v>0</v>
      </c>
      <c r="BN14" s="322">
        <f>'P NP TBK SEDERHANA IKAN'!S39</f>
        <v>0</v>
      </c>
      <c r="BO14" s="322">
        <f>'P NP TBK SEDERHANA IKAN'!T39</f>
        <v>0</v>
      </c>
      <c r="BP14" s="322">
        <f>'P NP TBK SEDERHANA IKAN'!S40</f>
        <v>0</v>
      </c>
      <c r="BQ14" s="322">
        <f>'P NP TBK SEDERHANA IKAN'!T40</f>
        <v>0</v>
      </c>
      <c r="BR14" s="322">
        <f>'P NP TBK SEDERHANA IKAN'!S41</f>
        <v>0</v>
      </c>
      <c r="BS14" s="322">
        <f>'P NP TBK SEDERHANA IKAN'!T41</f>
        <v>0</v>
      </c>
      <c r="BT14" s="322">
        <f>'P NP TBK SEDERHANA IKAN'!S42</f>
        <v>0</v>
      </c>
      <c r="BU14" s="322">
        <f>'P NP TBK SEDERHANA IKAN'!T42</f>
        <v>0</v>
      </c>
      <c r="BV14" s="322">
        <f>'P NP TBK SEDERHANA IKAN'!S43</f>
        <v>0</v>
      </c>
      <c r="BW14" s="322">
        <f>'P NP TBK SEDERHANA IKAN'!T43</f>
        <v>0</v>
      </c>
      <c r="BX14" s="322">
        <f>'P NP TBK SEDERHANA IKAN'!S44</f>
        <v>0</v>
      </c>
      <c r="BY14" s="322">
        <f>'P NP TBK SEDERHANA IKAN'!T44</f>
        <v>0</v>
      </c>
      <c r="CA14" s="322">
        <f t="shared" si="5"/>
        <v>0</v>
      </c>
      <c r="CB14" s="322">
        <f t="shared" si="6"/>
        <v>0</v>
      </c>
    </row>
    <row r="15" spans="1:80">
      <c r="A15" s="260" t="s">
        <v>135</v>
      </c>
      <c r="B15" s="320">
        <f t="shared" si="3"/>
        <v>0</v>
      </c>
      <c r="C15" s="320">
        <f t="shared" si="4"/>
        <v>0</v>
      </c>
      <c r="D15" s="322">
        <f>'P NP TBK SEDERHANA IKAN'!U8</f>
        <v>0</v>
      </c>
      <c r="E15" s="322">
        <f>'P NP TBK SEDERHANA IKAN'!V8</f>
        <v>0</v>
      </c>
      <c r="F15" s="322">
        <f>'P NP TBK SEDERHANA IKAN'!U9</f>
        <v>0</v>
      </c>
      <c r="G15" s="322">
        <f>'P NP TBK SEDERHANA IKAN'!V9</f>
        <v>0</v>
      </c>
      <c r="H15" s="322">
        <f>'P NP TBK SEDERHANA IKAN'!U10</f>
        <v>0</v>
      </c>
      <c r="I15" s="322">
        <f>'P NP TBK SEDERHANA IKAN'!V10</f>
        <v>0</v>
      </c>
      <c r="J15" s="322">
        <f>'P NP TBK SEDERHANA IKAN'!U11</f>
        <v>0</v>
      </c>
      <c r="K15" s="322">
        <f>'P NP TBK SEDERHANA IKAN'!V11</f>
        <v>0</v>
      </c>
      <c r="L15" s="322">
        <f>'P NP TBK SEDERHANA IKAN'!U12</f>
        <v>0</v>
      </c>
      <c r="M15" s="322">
        <f>'P NP TBK SEDERHANA IKAN'!V12</f>
        <v>0</v>
      </c>
      <c r="N15" s="322">
        <f>'P NP TBK SEDERHANA IKAN'!U13</f>
        <v>0</v>
      </c>
      <c r="O15" s="322">
        <f>'P NP TBK SEDERHANA IKAN'!V13</f>
        <v>0</v>
      </c>
      <c r="P15" s="322">
        <f>'P NP TBK SEDERHANA IKAN'!U14</f>
        <v>0</v>
      </c>
      <c r="Q15" s="322">
        <f>'P NP TBK SEDERHANA IKAN'!V14</f>
        <v>0</v>
      </c>
      <c r="R15" s="322">
        <f>'P NP TBK SEDERHANA IKAN'!U15</f>
        <v>0</v>
      </c>
      <c r="S15" s="322">
        <f>'P NP TBK SEDERHANA IKAN'!V15</f>
        <v>0</v>
      </c>
      <c r="T15" s="322">
        <f>'P NP TBK SEDERHANA IKAN'!U16</f>
        <v>0</v>
      </c>
      <c r="U15" s="322">
        <f>'P NP TBK SEDERHANA IKAN'!V16</f>
        <v>0</v>
      </c>
      <c r="V15" s="322">
        <f>'P NP TBK SEDERHANA IKAN'!U17</f>
        <v>0</v>
      </c>
      <c r="W15" s="322">
        <f>'P NP TBK SEDERHANA IKAN'!V17</f>
        <v>0</v>
      </c>
      <c r="X15" s="322">
        <f>'P NP TBK SEDERHANA IKAN'!U18</f>
        <v>0</v>
      </c>
      <c r="Y15" s="322">
        <f>'P NP TBK SEDERHANA IKAN'!V18</f>
        <v>0</v>
      </c>
      <c r="Z15" s="322">
        <f>'P NP TBK SEDERHANA IKAN'!U19</f>
        <v>0</v>
      </c>
      <c r="AA15" s="322">
        <f>'P NP TBK SEDERHANA IKAN'!V19</f>
        <v>0</v>
      </c>
      <c r="AB15" s="322">
        <f>'P NP TBK SEDERHANA IKAN'!U20</f>
        <v>0</v>
      </c>
      <c r="AC15" s="322">
        <f>'P NP TBK SEDERHANA IKAN'!V20</f>
        <v>0</v>
      </c>
      <c r="AD15" s="322">
        <f>'P NP TBK SEDERHANA IKAN'!U21</f>
        <v>0</v>
      </c>
      <c r="AE15" s="322">
        <f>'P NP TBK SEDERHANA IKAN'!V21</f>
        <v>0</v>
      </c>
      <c r="AF15" s="322">
        <f>'P NP TBK SEDERHANA IKAN'!U22</f>
        <v>0</v>
      </c>
      <c r="AG15" s="322">
        <f>'P NP TBK SEDERHANA IKAN'!V22</f>
        <v>0</v>
      </c>
      <c r="AH15" s="322">
        <f>'P NP TBK SEDERHANA IKAN'!U23</f>
        <v>0</v>
      </c>
      <c r="AI15" s="322">
        <f>'P NP TBK SEDERHANA IKAN'!V23</f>
        <v>0</v>
      </c>
      <c r="AJ15" s="322">
        <f>'P NP TBK SEDERHANA IKAN'!U24</f>
        <v>0</v>
      </c>
      <c r="AK15" s="322">
        <f>'P NP TBK SEDERHANA IKAN'!V24</f>
        <v>0</v>
      </c>
      <c r="AL15" s="322">
        <f>'P NP TBK SEDERHANA IKAN'!U25</f>
        <v>0</v>
      </c>
      <c r="AM15" s="322">
        <f>'P NP TBK SEDERHANA IKAN'!V25</f>
        <v>0</v>
      </c>
      <c r="AN15" s="322">
        <f>'P NP TBK SEDERHANA IKAN'!U26</f>
        <v>0</v>
      </c>
      <c r="AO15" s="322">
        <f>'P NP TBK SEDERHANA IKAN'!V26</f>
        <v>0</v>
      </c>
      <c r="AP15" s="322">
        <f>'P NP TBK SEDERHANA IKAN'!U27</f>
        <v>0</v>
      </c>
      <c r="AQ15" s="322">
        <f>'P NP TBK SEDERHANA IKAN'!V27</f>
        <v>0</v>
      </c>
      <c r="AR15" s="322">
        <f>'P NP TBK SEDERHANA IKAN'!U28</f>
        <v>0</v>
      </c>
      <c r="AS15" s="322">
        <f>'P NP TBK SEDERHANA IKAN'!V28</f>
        <v>0</v>
      </c>
      <c r="AT15" s="322">
        <f>'P NP TBK SEDERHANA IKAN'!U29</f>
        <v>0</v>
      </c>
      <c r="AU15" s="322">
        <f>'P NP TBK SEDERHANA IKAN'!V29</f>
        <v>0</v>
      </c>
      <c r="AV15" s="322">
        <f>'P NP TBK SEDERHANA IKAN'!U30</f>
        <v>0</v>
      </c>
      <c r="AW15" s="322">
        <f>'P NP TBK SEDERHANA IKAN'!V30</f>
        <v>0</v>
      </c>
      <c r="AX15" s="322">
        <f>'P NP TBK SEDERHANA IKAN'!U31</f>
        <v>0</v>
      </c>
      <c r="AY15" s="322">
        <f>'P NP TBK SEDERHANA IKAN'!V31</f>
        <v>0</v>
      </c>
      <c r="AZ15" s="322">
        <f>'P NP TBK SEDERHANA IKAN'!U32</f>
        <v>0</v>
      </c>
      <c r="BA15" s="322">
        <f>'P NP TBK SEDERHANA IKAN'!V32</f>
        <v>0</v>
      </c>
      <c r="BB15" s="322">
        <f>'P NP TBK SEDERHANA IKAN'!U33</f>
        <v>0</v>
      </c>
      <c r="BC15" s="322">
        <f>'P NP TBK SEDERHANA IKAN'!V33</f>
        <v>0</v>
      </c>
      <c r="BD15" s="322">
        <f>'P NP TBK SEDERHANA IKAN'!U34</f>
        <v>0</v>
      </c>
      <c r="BE15" s="322">
        <f>'P NP TBK SEDERHANA IKAN'!V34</f>
        <v>0</v>
      </c>
      <c r="BF15" s="322">
        <f>'P NP TBK SEDERHANA IKAN'!U35</f>
        <v>0</v>
      </c>
      <c r="BG15" s="322">
        <f>'P NP TBK SEDERHANA IKAN'!V35</f>
        <v>0</v>
      </c>
      <c r="BH15" s="322">
        <f>'P NP TBK SEDERHANA IKAN'!U36</f>
        <v>0</v>
      </c>
      <c r="BI15" s="322">
        <f>'P NP TBK SEDERHANA IKAN'!V36</f>
        <v>0</v>
      </c>
      <c r="BJ15" s="322">
        <f>'P NP TBK SEDERHANA IKAN'!U37</f>
        <v>0</v>
      </c>
      <c r="BK15" s="322">
        <f>'P NP TBK SEDERHANA IKAN'!V37</f>
        <v>0</v>
      </c>
      <c r="BL15" s="322">
        <f>'P NP TBK SEDERHANA IKAN'!U38</f>
        <v>0</v>
      </c>
      <c r="BM15" s="322">
        <f>'P NP TBK SEDERHANA IKAN'!V38</f>
        <v>0</v>
      </c>
      <c r="BN15" s="322">
        <f>'P NP TBK SEDERHANA IKAN'!U39</f>
        <v>0</v>
      </c>
      <c r="BO15" s="322">
        <f>'P NP TBK SEDERHANA IKAN'!V39</f>
        <v>0</v>
      </c>
      <c r="BP15" s="322">
        <f>'P NP TBK SEDERHANA IKAN'!U40</f>
        <v>0</v>
      </c>
      <c r="BQ15" s="322">
        <f>'P NP TBK SEDERHANA IKAN'!V40</f>
        <v>0</v>
      </c>
      <c r="BR15" s="322">
        <f>'P NP TBK SEDERHANA IKAN'!U41</f>
        <v>0</v>
      </c>
      <c r="BS15" s="322">
        <f>'P NP TBK SEDERHANA IKAN'!V41</f>
        <v>0</v>
      </c>
      <c r="BT15" s="322">
        <f>'P NP TBK SEDERHANA IKAN'!U42</f>
        <v>0</v>
      </c>
      <c r="BU15" s="322">
        <f>'P NP TBK SEDERHANA IKAN'!V42</f>
        <v>0</v>
      </c>
      <c r="BV15" s="322">
        <f>'P NP TBK SEDERHANA IKAN'!U43</f>
        <v>0</v>
      </c>
      <c r="BW15" s="322">
        <f>'P NP TBK SEDERHANA IKAN'!V43</f>
        <v>0</v>
      </c>
      <c r="BX15" s="322">
        <f>'P NP TBK SEDERHANA IKAN'!U44</f>
        <v>0</v>
      </c>
      <c r="BY15" s="322">
        <f>'P NP TBK SEDERHANA IKAN'!V44</f>
        <v>0</v>
      </c>
      <c r="CA15" s="322">
        <f t="shared" si="5"/>
        <v>0</v>
      </c>
      <c r="CB15" s="322">
        <f t="shared" si="6"/>
        <v>0</v>
      </c>
    </row>
    <row r="16" spans="1:80">
      <c r="A16" s="260" t="s">
        <v>119</v>
      </c>
      <c r="B16" s="320">
        <f t="shared" si="3"/>
        <v>0</v>
      </c>
      <c r="C16" s="320">
        <f t="shared" si="4"/>
        <v>0</v>
      </c>
      <c r="D16" s="322">
        <f>'P NP TBK SEDERHANA IKAN'!W8</f>
        <v>0</v>
      </c>
      <c r="E16" s="322">
        <f>'P NP TBK SEDERHANA IKAN'!X8</f>
        <v>0</v>
      </c>
      <c r="F16" s="322">
        <f>'P NP TBK SEDERHANA IKAN'!W9</f>
        <v>0</v>
      </c>
      <c r="G16" s="322">
        <f>'P NP TBK SEDERHANA IKAN'!X9</f>
        <v>0</v>
      </c>
      <c r="H16" s="322">
        <f>'P NP TBK SEDERHANA IKAN'!W10</f>
        <v>0</v>
      </c>
      <c r="I16" s="322">
        <f>'P NP TBK SEDERHANA IKAN'!X10</f>
        <v>0</v>
      </c>
      <c r="J16" s="322">
        <f>'P NP TBK SEDERHANA IKAN'!W11</f>
        <v>0</v>
      </c>
      <c r="K16" s="322">
        <f>'P NP TBK SEDERHANA IKAN'!X11</f>
        <v>0</v>
      </c>
      <c r="L16" s="322">
        <f>'P NP TBK SEDERHANA IKAN'!W12</f>
        <v>0</v>
      </c>
      <c r="M16" s="322">
        <f>'P NP TBK SEDERHANA IKAN'!X12</f>
        <v>0</v>
      </c>
      <c r="N16" s="322">
        <f>'P NP TBK SEDERHANA IKAN'!W13</f>
        <v>0</v>
      </c>
      <c r="O16" s="322">
        <f>'P NP TBK SEDERHANA IKAN'!X13</f>
        <v>0</v>
      </c>
      <c r="P16" s="322">
        <f>'P NP TBK SEDERHANA IKAN'!W14</f>
        <v>0</v>
      </c>
      <c r="Q16" s="322">
        <f>'P NP TBK SEDERHANA IKAN'!X14</f>
        <v>0</v>
      </c>
      <c r="R16" s="322">
        <f>'P NP TBK SEDERHANA IKAN'!W15</f>
        <v>0</v>
      </c>
      <c r="S16" s="322">
        <f>'P NP TBK SEDERHANA IKAN'!X15</f>
        <v>0</v>
      </c>
      <c r="T16" s="322">
        <f>'P NP TBK SEDERHANA IKAN'!W16</f>
        <v>0</v>
      </c>
      <c r="U16" s="322">
        <f>'P NP TBK SEDERHANA IKAN'!X16</f>
        <v>0</v>
      </c>
      <c r="V16" s="322">
        <f>'P NP TBK SEDERHANA IKAN'!W17</f>
        <v>0</v>
      </c>
      <c r="W16" s="322">
        <f>'P NP TBK SEDERHANA IKAN'!X17</f>
        <v>0</v>
      </c>
      <c r="X16" s="322">
        <f>'P NP TBK SEDERHANA IKAN'!W18</f>
        <v>0</v>
      </c>
      <c r="Y16" s="322">
        <f>'P NP TBK SEDERHANA IKAN'!X18</f>
        <v>0</v>
      </c>
      <c r="Z16" s="322">
        <f>'P NP TBK SEDERHANA IKAN'!W19</f>
        <v>0</v>
      </c>
      <c r="AA16" s="322">
        <f>'P NP TBK SEDERHANA IKAN'!X19</f>
        <v>0</v>
      </c>
      <c r="AB16" s="322">
        <f>'P NP TBK SEDERHANA IKAN'!W20</f>
        <v>0</v>
      </c>
      <c r="AC16" s="322">
        <f>'P NP TBK SEDERHANA IKAN'!X20</f>
        <v>0</v>
      </c>
      <c r="AD16" s="322">
        <f>'P NP TBK SEDERHANA IKAN'!W21</f>
        <v>0</v>
      </c>
      <c r="AE16" s="322">
        <f>'P NP TBK SEDERHANA IKAN'!X21</f>
        <v>0</v>
      </c>
      <c r="AF16" s="322">
        <f>'P NP TBK SEDERHANA IKAN'!W22</f>
        <v>0</v>
      </c>
      <c r="AG16" s="322">
        <f>'P NP TBK SEDERHANA IKAN'!X22</f>
        <v>0</v>
      </c>
      <c r="AH16" s="322">
        <f>'P NP TBK SEDERHANA IKAN'!W23</f>
        <v>0</v>
      </c>
      <c r="AI16" s="322">
        <f>'P NP TBK SEDERHANA IKAN'!X23</f>
        <v>0</v>
      </c>
      <c r="AJ16" s="322">
        <f>'P NP TBK SEDERHANA IKAN'!W24</f>
        <v>0</v>
      </c>
      <c r="AK16" s="322">
        <f>'P NP TBK SEDERHANA IKAN'!X24</f>
        <v>0</v>
      </c>
      <c r="AL16" s="322">
        <f>'P NP TBK SEDERHANA IKAN'!W25</f>
        <v>0</v>
      </c>
      <c r="AM16" s="322">
        <f>'P NP TBK SEDERHANA IKAN'!X25</f>
        <v>0</v>
      </c>
      <c r="AN16" s="322">
        <f>'P NP TBK SEDERHANA IKAN'!W26</f>
        <v>0</v>
      </c>
      <c r="AO16" s="322">
        <f>'P NP TBK SEDERHANA IKAN'!X26</f>
        <v>0</v>
      </c>
      <c r="AP16" s="322">
        <f>'P NP TBK SEDERHANA IKAN'!W27</f>
        <v>0</v>
      </c>
      <c r="AQ16" s="322">
        <f>'P NP TBK SEDERHANA IKAN'!X27</f>
        <v>0</v>
      </c>
      <c r="AR16" s="322">
        <f>'P NP TBK SEDERHANA IKAN'!W28</f>
        <v>0</v>
      </c>
      <c r="AS16" s="322">
        <f>'P NP TBK SEDERHANA IKAN'!X28</f>
        <v>0</v>
      </c>
      <c r="AT16" s="322">
        <f>'P NP TBK SEDERHANA IKAN'!W29</f>
        <v>0</v>
      </c>
      <c r="AU16" s="322">
        <f>'P NP TBK SEDERHANA IKAN'!X29</f>
        <v>0</v>
      </c>
      <c r="AV16" s="322">
        <f>'P NP TBK SEDERHANA IKAN'!W30</f>
        <v>0</v>
      </c>
      <c r="AW16" s="322">
        <f>'P NP TBK SEDERHANA IKAN'!X30</f>
        <v>0</v>
      </c>
      <c r="AX16" s="322">
        <f>'P NP TBK SEDERHANA IKAN'!W31</f>
        <v>0</v>
      </c>
      <c r="AY16" s="322">
        <f>'P NP TBK SEDERHANA IKAN'!X31</f>
        <v>0</v>
      </c>
      <c r="AZ16" s="322">
        <f>'P NP TBK SEDERHANA IKAN'!W32</f>
        <v>0</v>
      </c>
      <c r="BA16" s="322">
        <f>'P NP TBK SEDERHANA IKAN'!X32</f>
        <v>0</v>
      </c>
      <c r="BB16" s="322">
        <f>'P NP TBK SEDERHANA IKAN'!W33</f>
        <v>0</v>
      </c>
      <c r="BC16" s="322">
        <f>'P NP TBK SEDERHANA IKAN'!X33</f>
        <v>0</v>
      </c>
      <c r="BD16" s="322">
        <f>'P NP TBK SEDERHANA IKAN'!W34</f>
        <v>0</v>
      </c>
      <c r="BE16" s="322">
        <f>'P NP TBK SEDERHANA IKAN'!X34</f>
        <v>0</v>
      </c>
      <c r="BF16" s="322">
        <f>'P NP TBK SEDERHANA IKAN'!W35</f>
        <v>0</v>
      </c>
      <c r="BG16" s="322">
        <f>'P NP TBK SEDERHANA IKAN'!X35</f>
        <v>0</v>
      </c>
      <c r="BH16" s="322">
        <f>'P NP TBK SEDERHANA IKAN'!W36</f>
        <v>0</v>
      </c>
      <c r="BI16" s="322">
        <f>'P NP TBK SEDERHANA IKAN'!X36</f>
        <v>0</v>
      </c>
      <c r="BJ16" s="322">
        <f>'P NP TBK SEDERHANA IKAN'!W37</f>
        <v>0</v>
      </c>
      <c r="BK16" s="322">
        <f>'P NP TBK SEDERHANA IKAN'!X37</f>
        <v>0</v>
      </c>
      <c r="BL16" s="322">
        <f>'P NP TBK SEDERHANA IKAN'!W38</f>
        <v>0</v>
      </c>
      <c r="BM16" s="322">
        <f>'P NP TBK SEDERHANA IKAN'!X38</f>
        <v>0</v>
      </c>
      <c r="BN16" s="322">
        <f>'P NP TBK SEDERHANA IKAN'!W39</f>
        <v>0</v>
      </c>
      <c r="BO16" s="322">
        <f>'P NP TBK SEDERHANA IKAN'!X39</f>
        <v>0</v>
      </c>
      <c r="BP16" s="322">
        <f>'P NP TBK SEDERHANA IKAN'!W40</f>
        <v>0</v>
      </c>
      <c r="BQ16" s="322">
        <f>'P NP TBK SEDERHANA IKAN'!X40</f>
        <v>0</v>
      </c>
      <c r="BR16" s="322">
        <f>'P NP TBK SEDERHANA IKAN'!W41</f>
        <v>0</v>
      </c>
      <c r="BS16" s="322">
        <f>'P NP TBK SEDERHANA IKAN'!X41</f>
        <v>0</v>
      </c>
      <c r="BT16" s="322">
        <f>'P NP TBK SEDERHANA IKAN'!W42</f>
        <v>0</v>
      </c>
      <c r="BU16" s="322">
        <f>'P NP TBK SEDERHANA IKAN'!X42</f>
        <v>0</v>
      </c>
      <c r="BV16" s="322">
        <f>'P NP TBK SEDERHANA IKAN'!W43</f>
        <v>0</v>
      </c>
      <c r="BW16" s="322">
        <f>'P NP TBK SEDERHANA IKAN'!X43</f>
        <v>0</v>
      </c>
      <c r="BX16" s="322">
        <f>'P NP TBK SEDERHANA IKAN'!W44</f>
        <v>0</v>
      </c>
      <c r="BY16" s="322">
        <f>'P NP TBK SEDERHANA IKAN'!X44</f>
        <v>0</v>
      </c>
      <c r="CA16" s="322">
        <f t="shared" si="5"/>
        <v>0</v>
      </c>
      <c r="CB16" s="322">
        <f t="shared" si="6"/>
        <v>0</v>
      </c>
    </row>
    <row r="17" spans="1:80">
      <c r="A17" s="260" t="s">
        <v>130</v>
      </c>
      <c r="B17" s="320">
        <f t="shared" si="3"/>
        <v>0</v>
      </c>
      <c r="C17" s="320">
        <f t="shared" si="4"/>
        <v>0</v>
      </c>
      <c r="D17" s="322">
        <f>'P NP TBK SEDERHANA IKAN'!Y8</f>
        <v>0</v>
      </c>
      <c r="E17" s="322">
        <f>'P NP TBK SEDERHANA IKAN'!Z8</f>
        <v>0</v>
      </c>
      <c r="F17" s="322">
        <f>'P NP TBK SEDERHANA IKAN'!Y9</f>
        <v>0</v>
      </c>
      <c r="G17" s="322">
        <f>'P NP TBK SEDERHANA IKAN'!Z9</f>
        <v>0</v>
      </c>
      <c r="H17" s="322">
        <f>'P NP TBK SEDERHANA IKAN'!Y10</f>
        <v>0</v>
      </c>
      <c r="I17" s="322">
        <f>'P NP TBK SEDERHANA IKAN'!Z10</f>
        <v>0</v>
      </c>
      <c r="J17" s="322">
        <f>'P NP TBK SEDERHANA IKAN'!Y11</f>
        <v>0</v>
      </c>
      <c r="K17" s="322">
        <f>'P NP TBK SEDERHANA IKAN'!Z11</f>
        <v>0</v>
      </c>
      <c r="L17" s="322">
        <f>'P NP TBK SEDERHANA IKAN'!Y12</f>
        <v>0</v>
      </c>
      <c r="M17" s="322">
        <f>'P NP TBK SEDERHANA IKAN'!Z12</f>
        <v>0</v>
      </c>
      <c r="N17" s="322">
        <f>'P NP TBK SEDERHANA IKAN'!Y13</f>
        <v>0</v>
      </c>
      <c r="O17" s="322">
        <f>'P NP TBK SEDERHANA IKAN'!Z13</f>
        <v>0</v>
      </c>
      <c r="P17" s="322">
        <f>'P NP TBK SEDERHANA IKAN'!Y14</f>
        <v>0</v>
      </c>
      <c r="Q17" s="322">
        <f>'P NP TBK SEDERHANA IKAN'!Z14</f>
        <v>0</v>
      </c>
      <c r="R17" s="322">
        <f>'P NP TBK SEDERHANA IKAN'!Y15</f>
        <v>0</v>
      </c>
      <c r="S17" s="322">
        <f>'P NP TBK SEDERHANA IKAN'!Z15</f>
        <v>0</v>
      </c>
      <c r="T17" s="322">
        <f>'P NP TBK SEDERHANA IKAN'!Y16</f>
        <v>0</v>
      </c>
      <c r="U17" s="322">
        <f>'P NP TBK SEDERHANA IKAN'!Z16</f>
        <v>0</v>
      </c>
      <c r="V17" s="322">
        <f>'P NP TBK SEDERHANA IKAN'!Y17</f>
        <v>0</v>
      </c>
      <c r="W17" s="322">
        <f>'P NP TBK SEDERHANA IKAN'!Z17</f>
        <v>0</v>
      </c>
      <c r="X17" s="322">
        <f>'P NP TBK SEDERHANA IKAN'!Y18</f>
        <v>0</v>
      </c>
      <c r="Y17" s="322">
        <f>'P NP TBK SEDERHANA IKAN'!Z18</f>
        <v>0</v>
      </c>
      <c r="Z17" s="322">
        <f>'P NP TBK SEDERHANA IKAN'!Y19</f>
        <v>0</v>
      </c>
      <c r="AA17" s="322">
        <f>'P NP TBK SEDERHANA IKAN'!Z19</f>
        <v>0</v>
      </c>
      <c r="AB17" s="322">
        <f>'P NP TBK SEDERHANA IKAN'!Y20</f>
        <v>0</v>
      </c>
      <c r="AC17" s="322">
        <f>'P NP TBK SEDERHANA IKAN'!Z20</f>
        <v>0</v>
      </c>
      <c r="AD17" s="322">
        <f>'P NP TBK SEDERHANA IKAN'!Y21</f>
        <v>0</v>
      </c>
      <c r="AE17" s="322">
        <f>'P NP TBK SEDERHANA IKAN'!Z21</f>
        <v>0</v>
      </c>
      <c r="AF17" s="322">
        <f>'P NP TBK SEDERHANA IKAN'!Y22</f>
        <v>0</v>
      </c>
      <c r="AG17" s="322">
        <f>'P NP TBK SEDERHANA IKAN'!Z22</f>
        <v>0</v>
      </c>
      <c r="AH17" s="322">
        <f>'P NP TBK SEDERHANA IKAN'!Y23</f>
        <v>0</v>
      </c>
      <c r="AI17" s="322">
        <f>'P NP TBK SEDERHANA IKAN'!Z23</f>
        <v>0</v>
      </c>
      <c r="AJ17" s="322">
        <f>'P NP TBK SEDERHANA IKAN'!Y24</f>
        <v>0</v>
      </c>
      <c r="AK17" s="322">
        <f>'P NP TBK SEDERHANA IKAN'!Z24</f>
        <v>0</v>
      </c>
      <c r="AL17" s="322">
        <f>'P NP TBK SEDERHANA IKAN'!Y25</f>
        <v>0</v>
      </c>
      <c r="AM17" s="322">
        <f>'P NP TBK SEDERHANA IKAN'!Z25</f>
        <v>0</v>
      </c>
      <c r="AN17" s="322">
        <f>'P NP TBK SEDERHANA IKAN'!Y26</f>
        <v>0</v>
      </c>
      <c r="AO17" s="322">
        <f>'P NP TBK SEDERHANA IKAN'!Z26</f>
        <v>0</v>
      </c>
      <c r="AP17" s="322">
        <f>'P NP TBK SEDERHANA IKAN'!Y27</f>
        <v>0</v>
      </c>
      <c r="AQ17" s="322">
        <f>'P NP TBK SEDERHANA IKAN'!Z27</f>
        <v>0</v>
      </c>
      <c r="AR17" s="322">
        <f>'P NP TBK SEDERHANA IKAN'!Y28</f>
        <v>0</v>
      </c>
      <c r="AS17" s="322">
        <f>'P NP TBK SEDERHANA IKAN'!Z28</f>
        <v>0</v>
      </c>
      <c r="AT17" s="322">
        <f>'P NP TBK SEDERHANA IKAN'!Y29</f>
        <v>0</v>
      </c>
      <c r="AU17" s="322">
        <f>'P NP TBK SEDERHANA IKAN'!Z29</f>
        <v>0</v>
      </c>
      <c r="AV17" s="322">
        <f>'P NP TBK SEDERHANA IKAN'!Y30</f>
        <v>0</v>
      </c>
      <c r="AW17" s="322">
        <f>'P NP TBK SEDERHANA IKAN'!Z30</f>
        <v>0</v>
      </c>
      <c r="AX17" s="322">
        <f>'P NP TBK SEDERHANA IKAN'!Y31</f>
        <v>0</v>
      </c>
      <c r="AY17" s="322">
        <f>'P NP TBK SEDERHANA IKAN'!Z31</f>
        <v>0</v>
      </c>
      <c r="AZ17" s="322">
        <f>'P NP TBK SEDERHANA IKAN'!Y32</f>
        <v>0</v>
      </c>
      <c r="BA17" s="322">
        <f>'P NP TBK SEDERHANA IKAN'!Z32</f>
        <v>0</v>
      </c>
      <c r="BB17" s="322">
        <f>'P NP TBK SEDERHANA IKAN'!Y33</f>
        <v>0</v>
      </c>
      <c r="BC17" s="322">
        <f>'P NP TBK SEDERHANA IKAN'!Z33</f>
        <v>0</v>
      </c>
      <c r="BD17" s="322">
        <f>'P NP TBK SEDERHANA IKAN'!Y34</f>
        <v>0</v>
      </c>
      <c r="BE17" s="322">
        <f>'P NP TBK SEDERHANA IKAN'!Z34</f>
        <v>0</v>
      </c>
      <c r="BF17" s="322">
        <f>'P NP TBK SEDERHANA IKAN'!Y35</f>
        <v>0</v>
      </c>
      <c r="BG17" s="322">
        <f>'P NP TBK SEDERHANA IKAN'!Z35</f>
        <v>0</v>
      </c>
      <c r="BH17" s="322">
        <f>'P NP TBK SEDERHANA IKAN'!Y36</f>
        <v>0</v>
      </c>
      <c r="BI17" s="322">
        <f>'P NP TBK SEDERHANA IKAN'!Z36</f>
        <v>0</v>
      </c>
      <c r="BJ17" s="322">
        <f>'P NP TBK SEDERHANA IKAN'!Y37</f>
        <v>0</v>
      </c>
      <c r="BK17" s="322">
        <f>'P NP TBK SEDERHANA IKAN'!Z37</f>
        <v>0</v>
      </c>
      <c r="BL17" s="322">
        <f>'P NP TBK SEDERHANA IKAN'!Y38</f>
        <v>0</v>
      </c>
      <c r="BM17" s="322">
        <f>'P NP TBK SEDERHANA IKAN'!Z38</f>
        <v>0</v>
      </c>
      <c r="BN17" s="322">
        <f>'P NP TBK SEDERHANA IKAN'!Y39</f>
        <v>0</v>
      </c>
      <c r="BO17" s="322">
        <f>'P NP TBK SEDERHANA IKAN'!Z39</f>
        <v>0</v>
      </c>
      <c r="BP17" s="322">
        <f>'P NP TBK SEDERHANA IKAN'!Y40</f>
        <v>0</v>
      </c>
      <c r="BQ17" s="322">
        <f>'P NP TBK SEDERHANA IKAN'!Z40</f>
        <v>0</v>
      </c>
      <c r="BR17" s="322">
        <f>'P NP TBK SEDERHANA IKAN'!Y41</f>
        <v>0</v>
      </c>
      <c r="BS17" s="322">
        <f>'P NP TBK SEDERHANA IKAN'!Z41</f>
        <v>0</v>
      </c>
      <c r="BT17" s="322">
        <f>'P NP TBK SEDERHANA IKAN'!Y42</f>
        <v>0</v>
      </c>
      <c r="BU17" s="322">
        <f>'P NP TBK SEDERHANA IKAN'!Z42</f>
        <v>0</v>
      </c>
      <c r="BV17" s="322">
        <f>'P NP TBK SEDERHANA IKAN'!Y43</f>
        <v>0</v>
      </c>
      <c r="BW17" s="322">
        <f>'P NP TBK SEDERHANA IKAN'!Z43</f>
        <v>0</v>
      </c>
      <c r="BX17" s="322">
        <f>'P NP TBK SEDERHANA IKAN'!Y44</f>
        <v>0</v>
      </c>
      <c r="BY17" s="322">
        <f>'P NP TBK SEDERHANA IKAN'!Z44</f>
        <v>0</v>
      </c>
      <c r="CA17" s="322">
        <f t="shared" si="5"/>
        <v>0</v>
      </c>
      <c r="CB17" s="322">
        <f t="shared" si="6"/>
        <v>0</v>
      </c>
    </row>
    <row r="18" spans="1:80">
      <c r="A18" s="260" t="s">
        <v>131</v>
      </c>
      <c r="B18" s="320">
        <f t="shared" si="3"/>
        <v>0</v>
      </c>
      <c r="C18" s="320">
        <f t="shared" si="4"/>
        <v>0</v>
      </c>
      <c r="D18" s="322">
        <f>'P NP TBK SEDERHANA IKAN'!AA8</f>
        <v>0</v>
      </c>
      <c r="E18" s="322">
        <f>'P NP TBK SEDERHANA IKAN'!AB8</f>
        <v>0</v>
      </c>
      <c r="F18" s="322">
        <f>'P NP TBK SEDERHANA IKAN'!AA9</f>
        <v>0</v>
      </c>
      <c r="G18" s="322">
        <f>'P NP TBK SEDERHANA IKAN'!AB9</f>
        <v>0</v>
      </c>
      <c r="H18" s="322">
        <f>'P NP TBK SEDERHANA IKAN'!AA10</f>
        <v>0</v>
      </c>
      <c r="I18" s="322">
        <f>'P NP TBK SEDERHANA IKAN'!AB10</f>
        <v>0</v>
      </c>
      <c r="J18" s="322">
        <f>'P NP TBK SEDERHANA IKAN'!AA11</f>
        <v>0</v>
      </c>
      <c r="K18" s="322">
        <f>'P NP TBK SEDERHANA IKAN'!AB11</f>
        <v>0</v>
      </c>
      <c r="L18" s="322">
        <f>'P NP TBK SEDERHANA IKAN'!AA12</f>
        <v>0</v>
      </c>
      <c r="M18" s="322">
        <f>'P NP TBK SEDERHANA IKAN'!AB12</f>
        <v>0</v>
      </c>
      <c r="N18" s="322">
        <f>'P NP TBK SEDERHANA IKAN'!AA13</f>
        <v>0</v>
      </c>
      <c r="O18" s="322">
        <f>'P NP TBK SEDERHANA IKAN'!AB13</f>
        <v>0</v>
      </c>
      <c r="P18" s="322">
        <f>'P NP TBK SEDERHANA IKAN'!AA14</f>
        <v>0</v>
      </c>
      <c r="Q18" s="322">
        <f>'P NP TBK SEDERHANA IKAN'!AB14</f>
        <v>0</v>
      </c>
      <c r="R18" s="322">
        <f>'P NP TBK SEDERHANA IKAN'!AA15</f>
        <v>0</v>
      </c>
      <c r="S18" s="322">
        <f>'P NP TBK SEDERHANA IKAN'!AB15</f>
        <v>0</v>
      </c>
      <c r="T18" s="322">
        <f>'P NP TBK SEDERHANA IKAN'!AA16</f>
        <v>0</v>
      </c>
      <c r="U18" s="322">
        <f>'P NP TBK SEDERHANA IKAN'!AB16</f>
        <v>0</v>
      </c>
      <c r="V18" s="322">
        <f>'P NP TBK SEDERHANA IKAN'!AA17</f>
        <v>0</v>
      </c>
      <c r="W18" s="322">
        <f>'P NP TBK SEDERHANA IKAN'!AB17</f>
        <v>0</v>
      </c>
      <c r="X18" s="322">
        <f>'P NP TBK SEDERHANA IKAN'!AA18</f>
        <v>0</v>
      </c>
      <c r="Y18" s="322">
        <f>'P NP TBK SEDERHANA IKAN'!AB18</f>
        <v>0</v>
      </c>
      <c r="Z18" s="322">
        <f>'P NP TBK SEDERHANA IKAN'!AA19</f>
        <v>0</v>
      </c>
      <c r="AA18" s="322">
        <f>'P NP TBK SEDERHANA IKAN'!AB19</f>
        <v>0</v>
      </c>
      <c r="AB18" s="322">
        <f>'P NP TBK SEDERHANA IKAN'!AA20</f>
        <v>0</v>
      </c>
      <c r="AC18" s="322">
        <f>'P NP TBK SEDERHANA IKAN'!AB20</f>
        <v>0</v>
      </c>
      <c r="AD18" s="322">
        <f>'P NP TBK SEDERHANA IKAN'!AA21</f>
        <v>0</v>
      </c>
      <c r="AE18" s="322">
        <f>'P NP TBK SEDERHANA IKAN'!AB21</f>
        <v>0</v>
      </c>
      <c r="AF18" s="322">
        <f>'P NP TBK SEDERHANA IKAN'!AA22</f>
        <v>0</v>
      </c>
      <c r="AG18" s="322">
        <f>'P NP TBK SEDERHANA IKAN'!AB22</f>
        <v>0</v>
      </c>
      <c r="AH18" s="322">
        <f>'P NP TBK SEDERHANA IKAN'!AA23</f>
        <v>0</v>
      </c>
      <c r="AI18" s="322">
        <f>'P NP TBK SEDERHANA IKAN'!AB23</f>
        <v>0</v>
      </c>
      <c r="AJ18" s="322">
        <f>'P NP TBK SEDERHANA IKAN'!AA24</f>
        <v>0</v>
      </c>
      <c r="AK18" s="322">
        <f>'P NP TBK SEDERHANA IKAN'!AB24</f>
        <v>0</v>
      </c>
      <c r="AL18" s="322">
        <f>'P NP TBK SEDERHANA IKAN'!AA25</f>
        <v>0</v>
      </c>
      <c r="AM18" s="322">
        <f>'P NP TBK SEDERHANA IKAN'!AB25</f>
        <v>0</v>
      </c>
      <c r="AN18" s="322">
        <f>'P NP TBK SEDERHANA IKAN'!AA26</f>
        <v>0</v>
      </c>
      <c r="AO18" s="322">
        <f>'P NP TBK SEDERHANA IKAN'!AB26</f>
        <v>0</v>
      </c>
      <c r="AP18" s="322">
        <f>'P NP TBK SEDERHANA IKAN'!AA27</f>
        <v>0</v>
      </c>
      <c r="AQ18" s="322">
        <f>'P NP TBK SEDERHANA IKAN'!AB27</f>
        <v>0</v>
      </c>
      <c r="AR18" s="322">
        <f>'P NP TBK SEDERHANA IKAN'!AA28</f>
        <v>0</v>
      </c>
      <c r="AS18" s="322">
        <f>'P NP TBK SEDERHANA IKAN'!AB28</f>
        <v>0</v>
      </c>
      <c r="AT18" s="322">
        <f>'P NP TBK SEDERHANA IKAN'!AA29</f>
        <v>0</v>
      </c>
      <c r="AU18" s="322">
        <f>'P NP TBK SEDERHANA IKAN'!AB29</f>
        <v>0</v>
      </c>
      <c r="AV18" s="322">
        <f>'P NP TBK SEDERHANA IKAN'!AA30</f>
        <v>0</v>
      </c>
      <c r="AW18" s="322">
        <f>'P NP TBK SEDERHANA IKAN'!AB30</f>
        <v>0</v>
      </c>
      <c r="AX18" s="322">
        <f>'P NP TBK SEDERHANA IKAN'!AA31</f>
        <v>0</v>
      </c>
      <c r="AY18" s="322">
        <f>'P NP TBK SEDERHANA IKAN'!AB31</f>
        <v>0</v>
      </c>
      <c r="AZ18" s="322">
        <f>'P NP TBK SEDERHANA IKAN'!AA32</f>
        <v>0</v>
      </c>
      <c r="BA18" s="322">
        <f>'P NP TBK SEDERHANA IKAN'!AB32</f>
        <v>0</v>
      </c>
      <c r="BB18" s="322">
        <f>'P NP TBK SEDERHANA IKAN'!AA33</f>
        <v>0</v>
      </c>
      <c r="BC18" s="322">
        <f>'P NP TBK SEDERHANA IKAN'!AB33</f>
        <v>0</v>
      </c>
      <c r="BD18" s="322">
        <f>'P NP TBK SEDERHANA IKAN'!AA34</f>
        <v>0</v>
      </c>
      <c r="BE18" s="322">
        <f>'P NP TBK SEDERHANA IKAN'!AB34</f>
        <v>0</v>
      </c>
      <c r="BF18" s="322">
        <f>'P NP TBK SEDERHANA IKAN'!AA35</f>
        <v>0</v>
      </c>
      <c r="BG18" s="322">
        <f>'P NP TBK SEDERHANA IKAN'!AB35</f>
        <v>0</v>
      </c>
      <c r="BH18" s="322">
        <f>'P NP TBK SEDERHANA IKAN'!AA36</f>
        <v>0</v>
      </c>
      <c r="BI18" s="322">
        <f>'P NP TBK SEDERHANA IKAN'!AB36</f>
        <v>0</v>
      </c>
      <c r="BJ18" s="322">
        <f>'P NP TBK SEDERHANA IKAN'!AA37</f>
        <v>0</v>
      </c>
      <c r="BK18" s="322">
        <f>'P NP TBK SEDERHANA IKAN'!AB37</f>
        <v>0</v>
      </c>
      <c r="BL18" s="322">
        <f>'P NP TBK SEDERHANA IKAN'!AA38</f>
        <v>0</v>
      </c>
      <c r="BM18" s="322">
        <f>'P NP TBK SEDERHANA IKAN'!AB38</f>
        <v>0</v>
      </c>
      <c r="BN18" s="322">
        <f>'P NP TBK SEDERHANA IKAN'!AA39</f>
        <v>0</v>
      </c>
      <c r="BO18" s="322">
        <f>'P NP TBK SEDERHANA IKAN'!AB39</f>
        <v>0</v>
      </c>
      <c r="BP18" s="322">
        <f>'P NP TBK SEDERHANA IKAN'!AA40</f>
        <v>0</v>
      </c>
      <c r="BQ18" s="322">
        <f>'P NP TBK SEDERHANA IKAN'!AB40</f>
        <v>0</v>
      </c>
      <c r="BR18" s="322">
        <f>'P NP TBK SEDERHANA IKAN'!AA41</f>
        <v>0</v>
      </c>
      <c r="BS18" s="322">
        <f>'P NP TBK SEDERHANA IKAN'!AB41</f>
        <v>0</v>
      </c>
      <c r="BT18" s="322">
        <f>'P NP TBK SEDERHANA IKAN'!AA42</f>
        <v>0</v>
      </c>
      <c r="BU18" s="322">
        <f>'P NP TBK SEDERHANA IKAN'!AB42</f>
        <v>0</v>
      </c>
      <c r="BV18" s="322">
        <f>'P NP TBK SEDERHANA IKAN'!AA43</f>
        <v>0</v>
      </c>
      <c r="BW18" s="322">
        <f>'P NP TBK SEDERHANA IKAN'!AB43</f>
        <v>0</v>
      </c>
      <c r="BX18" s="322">
        <f>'P NP TBK SEDERHANA IKAN'!AA44</f>
        <v>0</v>
      </c>
      <c r="BY18" s="322">
        <f>'P NP TBK SEDERHANA IKAN'!AB44</f>
        <v>0</v>
      </c>
      <c r="CA18" s="322">
        <f t="shared" si="5"/>
        <v>0</v>
      </c>
      <c r="CB18" s="322">
        <f t="shared" si="6"/>
        <v>0</v>
      </c>
    </row>
    <row r="19" spans="1:80">
      <c r="A19" s="260" t="s">
        <v>118</v>
      </c>
      <c r="B19" s="320">
        <f t="shared" si="3"/>
        <v>0</v>
      </c>
      <c r="C19" s="320">
        <f t="shared" si="4"/>
        <v>0</v>
      </c>
      <c r="D19" s="322">
        <f>'P NP TBK SEDERHANA IKAN'!AC8</f>
        <v>0</v>
      </c>
      <c r="E19" s="322">
        <f>'P NP TBK SEDERHANA IKAN'!AD8</f>
        <v>0</v>
      </c>
      <c r="F19" s="322">
        <f>'P NP TBK SEDERHANA IKAN'!AC9</f>
        <v>0</v>
      </c>
      <c r="G19" s="322">
        <f>'P NP TBK SEDERHANA IKAN'!AD9</f>
        <v>0</v>
      </c>
      <c r="H19" s="322">
        <f>'P NP TBK SEDERHANA IKAN'!AC10</f>
        <v>0</v>
      </c>
      <c r="I19" s="322">
        <f>'P NP TBK SEDERHANA IKAN'!AD10</f>
        <v>0</v>
      </c>
      <c r="J19" s="322">
        <f>'P NP TBK SEDERHANA IKAN'!AC11</f>
        <v>0</v>
      </c>
      <c r="K19" s="322">
        <f>'P NP TBK SEDERHANA IKAN'!AD11</f>
        <v>0</v>
      </c>
      <c r="L19" s="322">
        <f>'P NP TBK SEDERHANA IKAN'!AC12</f>
        <v>0</v>
      </c>
      <c r="M19" s="322">
        <f>'P NP TBK SEDERHANA IKAN'!AD12</f>
        <v>0</v>
      </c>
      <c r="N19" s="322">
        <f>'P NP TBK SEDERHANA IKAN'!AC13</f>
        <v>0</v>
      </c>
      <c r="O19" s="322">
        <f>'P NP TBK SEDERHANA IKAN'!AD13</f>
        <v>0</v>
      </c>
      <c r="P19" s="322">
        <f>'P NP TBK SEDERHANA IKAN'!AC14</f>
        <v>0</v>
      </c>
      <c r="Q19" s="322">
        <f>'P NP TBK SEDERHANA IKAN'!AD14</f>
        <v>0</v>
      </c>
      <c r="R19" s="322">
        <f>'P NP TBK SEDERHANA IKAN'!AC15</f>
        <v>0</v>
      </c>
      <c r="S19" s="322">
        <f>'P NP TBK SEDERHANA IKAN'!AD15</f>
        <v>0</v>
      </c>
      <c r="T19" s="322">
        <f>'P NP TBK SEDERHANA IKAN'!AC16</f>
        <v>0</v>
      </c>
      <c r="U19" s="322">
        <f>'P NP TBK SEDERHANA IKAN'!AD16</f>
        <v>0</v>
      </c>
      <c r="V19" s="322">
        <f>'P NP TBK SEDERHANA IKAN'!AC17</f>
        <v>0</v>
      </c>
      <c r="W19" s="322">
        <f>'P NP TBK SEDERHANA IKAN'!AD17</f>
        <v>0</v>
      </c>
      <c r="X19" s="322">
        <f>'P NP TBK SEDERHANA IKAN'!AC18</f>
        <v>0</v>
      </c>
      <c r="Y19" s="322">
        <f>'P NP TBK SEDERHANA IKAN'!AD18</f>
        <v>0</v>
      </c>
      <c r="Z19" s="322">
        <f>'P NP TBK SEDERHANA IKAN'!AC19</f>
        <v>0</v>
      </c>
      <c r="AA19" s="322">
        <f>'P NP TBK SEDERHANA IKAN'!AD19</f>
        <v>0</v>
      </c>
      <c r="AB19" s="322">
        <f>'P NP TBK SEDERHANA IKAN'!AC20</f>
        <v>0</v>
      </c>
      <c r="AC19" s="322">
        <f>'P NP TBK SEDERHANA IKAN'!AD20</f>
        <v>0</v>
      </c>
      <c r="AD19" s="322">
        <f>'P NP TBK SEDERHANA IKAN'!AC21</f>
        <v>0</v>
      </c>
      <c r="AE19" s="322">
        <f>'P NP TBK SEDERHANA IKAN'!AD21</f>
        <v>0</v>
      </c>
      <c r="AF19" s="322">
        <f>'P NP TBK SEDERHANA IKAN'!AC22</f>
        <v>0</v>
      </c>
      <c r="AG19" s="322">
        <f>'P NP TBK SEDERHANA IKAN'!AD22</f>
        <v>0</v>
      </c>
      <c r="AH19" s="322">
        <f>'P NP TBK SEDERHANA IKAN'!AC23</f>
        <v>0</v>
      </c>
      <c r="AI19" s="322">
        <f>'P NP TBK SEDERHANA IKAN'!AD23</f>
        <v>0</v>
      </c>
      <c r="AJ19" s="322">
        <f>'P NP TBK SEDERHANA IKAN'!AC24</f>
        <v>0</v>
      </c>
      <c r="AK19" s="322">
        <f>'P NP TBK SEDERHANA IKAN'!AD24</f>
        <v>0</v>
      </c>
      <c r="AL19" s="322">
        <f>'P NP TBK SEDERHANA IKAN'!AC25</f>
        <v>0</v>
      </c>
      <c r="AM19" s="322">
        <f>'P NP TBK SEDERHANA IKAN'!AD25</f>
        <v>0</v>
      </c>
      <c r="AN19" s="322">
        <f>'P NP TBK SEDERHANA IKAN'!AC26</f>
        <v>0</v>
      </c>
      <c r="AO19" s="322">
        <f>'P NP TBK SEDERHANA IKAN'!AD26</f>
        <v>0</v>
      </c>
      <c r="AP19" s="322">
        <f>'P NP TBK SEDERHANA IKAN'!AC27</f>
        <v>0</v>
      </c>
      <c r="AQ19" s="322">
        <f>'P NP TBK SEDERHANA IKAN'!AD27</f>
        <v>0</v>
      </c>
      <c r="AR19" s="322">
        <f>'P NP TBK SEDERHANA IKAN'!AC28</f>
        <v>0</v>
      </c>
      <c r="AS19" s="322">
        <f>'P NP TBK SEDERHANA IKAN'!AD28</f>
        <v>0</v>
      </c>
      <c r="AT19" s="322">
        <f>'P NP TBK SEDERHANA IKAN'!AC29</f>
        <v>0</v>
      </c>
      <c r="AU19" s="322">
        <f>'P NP TBK SEDERHANA IKAN'!AD29</f>
        <v>0</v>
      </c>
      <c r="AV19" s="322">
        <f>'P NP TBK SEDERHANA IKAN'!AC30</f>
        <v>0</v>
      </c>
      <c r="AW19" s="322">
        <f>'P NP TBK SEDERHANA IKAN'!AD30</f>
        <v>0</v>
      </c>
      <c r="AX19" s="322">
        <f>'P NP TBK SEDERHANA IKAN'!AC31</f>
        <v>0</v>
      </c>
      <c r="AY19" s="322">
        <f>'P NP TBK SEDERHANA IKAN'!AD31</f>
        <v>0</v>
      </c>
      <c r="AZ19" s="322">
        <f>'P NP TBK SEDERHANA IKAN'!AC32</f>
        <v>0</v>
      </c>
      <c r="BA19" s="322">
        <f>'P NP TBK SEDERHANA IKAN'!AD32</f>
        <v>0</v>
      </c>
      <c r="BB19" s="322">
        <f>'P NP TBK SEDERHANA IKAN'!AC33</f>
        <v>0</v>
      </c>
      <c r="BC19" s="322">
        <f>'P NP TBK SEDERHANA IKAN'!AD33</f>
        <v>0</v>
      </c>
      <c r="BD19" s="322">
        <f>'P NP TBK SEDERHANA IKAN'!AC34</f>
        <v>0</v>
      </c>
      <c r="BE19" s="322">
        <f>'P NP TBK SEDERHANA IKAN'!AD34</f>
        <v>0</v>
      </c>
      <c r="BF19" s="322">
        <f>'P NP TBK SEDERHANA IKAN'!AC35</f>
        <v>0</v>
      </c>
      <c r="BG19" s="322">
        <f>'P NP TBK SEDERHANA IKAN'!AD35</f>
        <v>0</v>
      </c>
      <c r="BH19" s="322">
        <f>'P NP TBK SEDERHANA IKAN'!AC36</f>
        <v>0</v>
      </c>
      <c r="BI19" s="322">
        <f>'P NP TBK SEDERHANA IKAN'!AD36</f>
        <v>0</v>
      </c>
      <c r="BJ19" s="322">
        <f>'P NP TBK SEDERHANA IKAN'!AC37</f>
        <v>0</v>
      </c>
      <c r="BK19" s="322">
        <f>'P NP TBK SEDERHANA IKAN'!AD37</f>
        <v>0</v>
      </c>
      <c r="BL19" s="322">
        <f>'P NP TBK SEDERHANA IKAN'!AC38</f>
        <v>0</v>
      </c>
      <c r="BM19" s="322">
        <f>'P NP TBK SEDERHANA IKAN'!AD38</f>
        <v>0</v>
      </c>
      <c r="BN19" s="322">
        <f>'P NP TBK SEDERHANA IKAN'!AC39</f>
        <v>0</v>
      </c>
      <c r="BO19" s="322">
        <f>'P NP TBK SEDERHANA IKAN'!AD39</f>
        <v>0</v>
      </c>
      <c r="BP19" s="322">
        <f>'P NP TBK SEDERHANA IKAN'!AC40</f>
        <v>0</v>
      </c>
      <c r="BQ19" s="322">
        <f>'P NP TBK SEDERHANA IKAN'!AD40</f>
        <v>0</v>
      </c>
      <c r="BR19" s="322">
        <f>'P NP TBK SEDERHANA IKAN'!AC41</f>
        <v>0</v>
      </c>
      <c r="BS19" s="322">
        <f>'P NP TBK SEDERHANA IKAN'!AD41</f>
        <v>0</v>
      </c>
      <c r="BT19" s="322">
        <f>'P NP TBK SEDERHANA IKAN'!AC42</f>
        <v>0</v>
      </c>
      <c r="BU19" s="322">
        <f>'P NP TBK SEDERHANA IKAN'!AD42</f>
        <v>0</v>
      </c>
      <c r="BV19" s="322">
        <f>'P NP TBK SEDERHANA IKAN'!AC43</f>
        <v>0</v>
      </c>
      <c r="BW19" s="322">
        <f>'P NP TBK SEDERHANA IKAN'!AD43</f>
        <v>0</v>
      </c>
      <c r="BX19" s="322">
        <f>'P NP TBK SEDERHANA IKAN'!AC44</f>
        <v>0</v>
      </c>
      <c r="BY19" s="322">
        <f>'P NP TBK SEDERHANA IKAN'!AD44</f>
        <v>0</v>
      </c>
      <c r="CA19" s="322">
        <f t="shared" si="5"/>
        <v>0</v>
      </c>
      <c r="CB19" s="322">
        <f t="shared" si="6"/>
        <v>0</v>
      </c>
    </row>
    <row r="20" spans="1:80">
      <c r="A20" s="260" t="s">
        <v>127</v>
      </c>
      <c r="B20" s="320">
        <f t="shared" si="3"/>
        <v>0</v>
      </c>
      <c r="C20" s="320">
        <f t="shared" si="4"/>
        <v>0</v>
      </c>
      <c r="D20" s="322">
        <f>'P NP TBK SEDERHANA IKAN'!AE8</f>
        <v>0</v>
      </c>
      <c r="E20" s="322">
        <f>'P NP TBK SEDERHANA IKAN'!AF8</f>
        <v>0</v>
      </c>
      <c r="F20" s="322">
        <f>'P NP TBK SEDERHANA IKAN'!AE9</f>
        <v>0</v>
      </c>
      <c r="G20" s="322">
        <f>'P NP TBK SEDERHANA IKAN'!AF9</f>
        <v>0</v>
      </c>
      <c r="H20" s="322">
        <f>'P NP TBK SEDERHANA IKAN'!AE10</f>
        <v>0</v>
      </c>
      <c r="I20" s="322">
        <f>'P NP TBK SEDERHANA IKAN'!AF10</f>
        <v>0</v>
      </c>
      <c r="J20" s="322">
        <f>'P NP TBK SEDERHANA IKAN'!AE11</f>
        <v>0</v>
      </c>
      <c r="K20" s="322">
        <f>'P NP TBK SEDERHANA IKAN'!AF11</f>
        <v>0</v>
      </c>
      <c r="L20" s="322">
        <f>'P NP TBK SEDERHANA IKAN'!AE12</f>
        <v>0</v>
      </c>
      <c r="M20" s="322">
        <f>'P NP TBK SEDERHANA IKAN'!AF12</f>
        <v>0</v>
      </c>
      <c r="N20" s="322">
        <f>'P NP TBK SEDERHANA IKAN'!AE13</f>
        <v>0</v>
      </c>
      <c r="O20" s="322">
        <f>'P NP TBK SEDERHANA IKAN'!AF13</f>
        <v>0</v>
      </c>
      <c r="P20" s="322">
        <f>'P NP TBK SEDERHANA IKAN'!AE14</f>
        <v>0</v>
      </c>
      <c r="Q20" s="322">
        <f>'P NP TBK SEDERHANA IKAN'!AF14</f>
        <v>0</v>
      </c>
      <c r="R20" s="322">
        <f>'P NP TBK SEDERHANA IKAN'!AE15</f>
        <v>0</v>
      </c>
      <c r="S20" s="322">
        <f>'P NP TBK SEDERHANA IKAN'!AF15</f>
        <v>0</v>
      </c>
      <c r="T20" s="322">
        <f>'P NP TBK SEDERHANA IKAN'!AE16</f>
        <v>0</v>
      </c>
      <c r="U20" s="322">
        <f>'P NP TBK SEDERHANA IKAN'!AF16</f>
        <v>0</v>
      </c>
      <c r="V20" s="322">
        <f>'P NP TBK SEDERHANA IKAN'!AE17</f>
        <v>0</v>
      </c>
      <c r="W20" s="322">
        <f>'P NP TBK SEDERHANA IKAN'!AF17</f>
        <v>0</v>
      </c>
      <c r="X20" s="322">
        <f>'P NP TBK SEDERHANA IKAN'!AE18</f>
        <v>0</v>
      </c>
      <c r="Y20" s="322">
        <f>'P NP TBK SEDERHANA IKAN'!AF18</f>
        <v>0</v>
      </c>
      <c r="Z20" s="322">
        <f>'P NP TBK SEDERHANA IKAN'!AE19</f>
        <v>0</v>
      </c>
      <c r="AA20" s="322">
        <f>'P NP TBK SEDERHANA IKAN'!AF19</f>
        <v>0</v>
      </c>
      <c r="AB20" s="322">
        <f>'P NP TBK SEDERHANA IKAN'!AE20</f>
        <v>0</v>
      </c>
      <c r="AC20" s="322">
        <f>'P NP TBK SEDERHANA IKAN'!AF20</f>
        <v>0</v>
      </c>
      <c r="AD20" s="322">
        <f>'P NP TBK SEDERHANA IKAN'!AE21</f>
        <v>0</v>
      </c>
      <c r="AE20" s="322">
        <f>'P NP TBK SEDERHANA IKAN'!AF21</f>
        <v>0</v>
      </c>
      <c r="AF20" s="322">
        <f>'P NP TBK SEDERHANA IKAN'!AE22</f>
        <v>0</v>
      </c>
      <c r="AG20" s="322">
        <f>'P NP TBK SEDERHANA IKAN'!AF22</f>
        <v>0</v>
      </c>
      <c r="AH20" s="322">
        <f>'P NP TBK SEDERHANA IKAN'!AE23</f>
        <v>0</v>
      </c>
      <c r="AI20" s="322">
        <f>'P NP TBK SEDERHANA IKAN'!AF23</f>
        <v>0</v>
      </c>
      <c r="AJ20" s="322">
        <f>'P NP TBK SEDERHANA IKAN'!AE24</f>
        <v>0</v>
      </c>
      <c r="AK20" s="322">
        <f>'P NP TBK SEDERHANA IKAN'!AF24</f>
        <v>0</v>
      </c>
      <c r="AL20" s="322">
        <f>'P NP TBK SEDERHANA IKAN'!AE25</f>
        <v>0</v>
      </c>
      <c r="AM20" s="322">
        <f>'P NP TBK SEDERHANA IKAN'!AF25</f>
        <v>0</v>
      </c>
      <c r="AN20" s="322">
        <f>'P NP TBK SEDERHANA IKAN'!AE26</f>
        <v>0</v>
      </c>
      <c r="AO20" s="322">
        <f>'P NP TBK SEDERHANA IKAN'!AF26</f>
        <v>0</v>
      </c>
      <c r="AP20" s="322">
        <f>'P NP TBK SEDERHANA IKAN'!AE27</f>
        <v>0</v>
      </c>
      <c r="AQ20" s="322">
        <f>'P NP TBK SEDERHANA IKAN'!AF27</f>
        <v>0</v>
      </c>
      <c r="AR20" s="322">
        <f>'P NP TBK SEDERHANA IKAN'!AE28</f>
        <v>0</v>
      </c>
      <c r="AS20" s="322">
        <f>'P NP TBK SEDERHANA IKAN'!AF28</f>
        <v>0</v>
      </c>
      <c r="AT20" s="322">
        <f>'P NP TBK SEDERHANA IKAN'!AE29</f>
        <v>0</v>
      </c>
      <c r="AU20" s="322">
        <f>'P NP TBK SEDERHANA IKAN'!AF29</f>
        <v>0</v>
      </c>
      <c r="AV20" s="322">
        <f>'P NP TBK SEDERHANA IKAN'!AE30</f>
        <v>0</v>
      </c>
      <c r="AW20" s="322">
        <f>'P NP TBK SEDERHANA IKAN'!AF30</f>
        <v>0</v>
      </c>
      <c r="AX20" s="322">
        <f>'P NP TBK SEDERHANA IKAN'!AE31</f>
        <v>0</v>
      </c>
      <c r="AY20" s="322">
        <f>'P NP TBK SEDERHANA IKAN'!AF31</f>
        <v>0</v>
      </c>
      <c r="AZ20" s="322">
        <f>'P NP TBK SEDERHANA IKAN'!AE32</f>
        <v>0</v>
      </c>
      <c r="BA20" s="322">
        <f>'P NP TBK SEDERHANA IKAN'!AF32</f>
        <v>0</v>
      </c>
      <c r="BB20" s="322">
        <f>'P NP TBK SEDERHANA IKAN'!AE33</f>
        <v>0</v>
      </c>
      <c r="BC20" s="322">
        <f>'P NP TBK SEDERHANA IKAN'!AF33</f>
        <v>0</v>
      </c>
      <c r="BD20" s="322">
        <f>'P NP TBK SEDERHANA IKAN'!AE34</f>
        <v>0</v>
      </c>
      <c r="BE20" s="322">
        <f>'P NP TBK SEDERHANA IKAN'!AF34</f>
        <v>0</v>
      </c>
      <c r="BF20" s="322">
        <f>'P NP TBK SEDERHANA IKAN'!AE35</f>
        <v>0</v>
      </c>
      <c r="BG20" s="322">
        <f>'P NP TBK SEDERHANA IKAN'!AF35</f>
        <v>0</v>
      </c>
      <c r="BH20" s="322">
        <f>'P NP TBK SEDERHANA IKAN'!AE36</f>
        <v>0</v>
      </c>
      <c r="BI20" s="322">
        <f>'P NP TBK SEDERHANA IKAN'!AF36</f>
        <v>0</v>
      </c>
      <c r="BJ20" s="322">
        <f>'P NP TBK SEDERHANA IKAN'!AE37</f>
        <v>0</v>
      </c>
      <c r="BK20" s="322">
        <f>'P NP TBK SEDERHANA IKAN'!AF37</f>
        <v>0</v>
      </c>
      <c r="BL20" s="322">
        <f>'P NP TBK SEDERHANA IKAN'!AE38</f>
        <v>0</v>
      </c>
      <c r="BM20" s="322">
        <f>'P NP TBK SEDERHANA IKAN'!AF38</f>
        <v>0</v>
      </c>
      <c r="BN20" s="322">
        <f>'P NP TBK SEDERHANA IKAN'!AE39</f>
        <v>0</v>
      </c>
      <c r="BO20" s="322">
        <f>'P NP TBK SEDERHANA IKAN'!AF39</f>
        <v>0</v>
      </c>
      <c r="BP20" s="322">
        <f>'P NP TBK SEDERHANA IKAN'!AE40</f>
        <v>0</v>
      </c>
      <c r="BQ20" s="322">
        <f>'P NP TBK SEDERHANA IKAN'!AF40</f>
        <v>0</v>
      </c>
      <c r="BR20" s="322">
        <f>'P NP TBK SEDERHANA IKAN'!AE41</f>
        <v>0</v>
      </c>
      <c r="BS20" s="322">
        <f>'P NP TBK SEDERHANA IKAN'!AF41</f>
        <v>0</v>
      </c>
      <c r="BT20" s="322">
        <f>'P NP TBK SEDERHANA IKAN'!AE42</f>
        <v>0</v>
      </c>
      <c r="BU20" s="322">
        <f>'P NP TBK SEDERHANA IKAN'!AF42</f>
        <v>0</v>
      </c>
      <c r="BV20" s="322">
        <f>'P NP TBK SEDERHANA IKAN'!AE43</f>
        <v>0</v>
      </c>
      <c r="BW20" s="322">
        <f>'P NP TBK SEDERHANA IKAN'!AF43</f>
        <v>0</v>
      </c>
      <c r="BX20" s="322">
        <f>'P NP TBK SEDERHANA IKAN'!AE44</f>
        <v>0</v>
      </c>
      <c r="BY20" s="322">
        <f>'P NP TBK SEDERHANA IKAN'!AF44</f>
        <v>0</v>
      </c>
      <c r="CA20" s="322">
        <f t="shared" si="5"/>
        <v>0</v>
      </c>
      <c r="CB20" s="322">
        <f t="shared" si="6"/>
        <v>0</v>
      </c>
    </row>
    <row r="21" spans="1:80">
      <c r="A21" s="260" t="s">
        <v>129</v>
      </c>
      <c r="B21" s="320">
        <f t="shared" si="3"/>
        <v>0</v>
      </c>
      <c r="C21" s="320">
        <f t="shared" si="4"/>
        <v>0</v>
      </c>
      <c r="D21" s="322">
        <f>'P NP TBK SEDERHANA IKAN'!AG8</f>
        <v>0</v>
      </c>
      <c r="E21" s="322">
        <f>'P NP TBK SEDERHANA IKAN'!AH8</f>
        <v>0</v>
      </c>
      <c r="F21" s="322">
        <f>'P NP TBK SEDERHANA IKAN'!AG9</f>
        <v>0</v>
      </c>
      <c r="G21" s="322">
        <f>'P NP TBK SEDERHANA IKAN'!AH9</f>
        <v>0</v>
      </c>
      <c r="H21" s="322">
        <f>'P NP TBK SEDERHANA IKAN'!AG10</f>
        <v>0</v>
      </c>
      <c r="I21" s="322">
        <f>'P NP TBK SEDERHANA IKAN'!AH10</f>
        <v>0</v>
      </c>
      <c r="J21" s="322">
        <f>'P NP TBK SEDERHANA IKAN'!AG11</f>
        <v>0</v>
      </c>
      <c r="K21" s="322">
        <f>'P NP TBK SEDERHANA IKAN'!AH11</f>
        <v>0</v>
      </c>
      <c r="L21" s="322">
        <f>'P NP TBK SEDERHANA IKAN'!AG12</f>
        <v>0</v>
      </c>
      <c r="M21" s="322">
        <f>'P NP TBK SEDERHANA IKAN'!AH12</f>
        <v>0</v>
      </c>
      <c r="N21" s="322">
        <f>'P NP TBK SEDERHANA IKAN'!AG13</f>
        <v>0</v>
      </c>
      <c r="O21" s="322">
        <f>'P NP TBK SEDERHANA IKAN'!AH13</f>
        <v>0</v>
      </c>
      <c r="P21" s="322">
        <f>'P NP TBK SEDERHANA IKAN'!AG14</f>
        <v>0</v>
      </c>
      <c r="Q21" s="322">
        <f>'P NP TBK SEDERHANA IKAN'!AH14</f>
        <v>0</v>
      </c>
      <c r="R21" s="322">
        <f>'P NP TBK SEDERHANA IKAN'!AG15</f>
        <v>0</v>
      </c>
      <c r="S21" s="322">
        <f>'P NP TBK SEDERHANA IKAN'!AH15</f>
        <v>0</v>
      </c>
      <c r="T21" s="322">
        <f>'P NP TBK SEDERHANA IKAN'!AG16</f>
        <v>0</v>
      </c>
      <c r="U21" s="322">
        <f>'P NP TBK SEDERHANA IKAN'!AH16</f>
        <v>0</v>
      </c>
      <c r="V21" s="322">
        <f>'P NP TBK SEDERHANA IKAN'!AG17</f>
        <v>0</v>
      </c>
      <c r="W21" s="322">
        <f>'P NP TBK SEDERHANA IKAN'!AH17</f>
        <v>0</v>
      </c>
      <c r="X21" s="322">
        <f>'P NP TBK SEDERHANA IKAN'!AG18</f>
        <v>0</v>
      </c>
      <c r="Y21" s="322">
        <f>'P NP TBK SEDERHANA IKAN'!AH18</f>
        <v>0</v>
      </c>
      <c r="Z21" s="322">
        <f>'P NP TBK SEDERHANA IKAN'!AG19</f>
        <v>0</v>
      </c>
      <c r="AA21" s="322">
        <f>'P NP TBK SEDERHANA IKAN'!AH19</f>
        <v>0</v>
      </c>
      <c r="AB21" s="322">
        <f>'P NP TBK SEDERHANA IKAN'!AG20</f>
        <v>0</v>
      </c>
      <c r="AC21" s="322">
        <f>'P NP TBK SEDERHANA IKAN'!AH20</f>
        <v>0</v>
      </c>
      <c r="AD21" s="322">
        <f>'P NP TBK SEDERHANA IKAN'!AG21</f>
        <v>0</v>
      </c>
      <c r="AE21" s="322">
        <f>'P NP TBK SEDERHANA IKAN'!AH21</f>
        <v>0</v>
      </c>
      <c r="AF21" s="322">
        <f>'P NP TBK SEDERHANA IKAN'!AG22</f>
        <v>0</v>
      </c>
      <c r="AG21" s="322">
        <f>'P NP TBK SEDERHANA IKAN'!AH22</f>
        <v>0</v>
      </c>
      <c r="AH21" s="322">
        <f>'P NP TBK SEDERHANA IKAN'!AG23</f>
        <v>0</v>
      </c>
      <c r="AI21" s="322">
        <f>'P NP TBK SEDERHANA IKAN'!AH23</f>
        <v>0</v>
      </c>
      <c r="AJ21" s="322">
        <f>'P NP TBK SEDERHANA IKAN'!AG24</f>
        <v>0</v>
      </c>
      <c r="AK21" s="322">
        <f>'P NP TBK SEDERHANA IKAN'!AH24</f>
        <v>0</v>
      </c>
      <c r="AL21" s="322">
        <f>'P NP TBK SEDERHANA IKAN'!AG25</f>
        <v>0</v>
      </c>
      <c r="AM21" s="322">
        <f>'P NP TBK SEDERHANA IKAN'!AH25</f>
        <v>0</v>
      </c>
      <c r="AN21" s="322">
        <f>'P NP TBK SEDERHANA IKAN'!AG26</f>
        <v>0</v>
      </c>
      <c r="AO21" s="322">
        <f>'P NP TBK SEDERHANA IKAN'!AH26</f>
        <v>0</v>
      </c>
      <c r="AP21" s="322">
        <f>'P NP TBK SEDERHANA IKAN'!AG27</f>
        <v>0</v>
      </c>
      <c r="AQ21" s="322">
        <f>'P NP TBK SEDERHANA IKAN'!AH27</f>
        <v>0</v>
      </c>
      <c r="AR21" s="322">
        <f>'P NP TBK SEDERHANA IKAN'!AG28</f>
        <v>0</v>
      </c>
      <c r="AS21" s="322">
        <f>'P NP TBK SEDERHANA IKAN'!AH28</f>
        <v>0</v>
      </c>
      <c r="AT21" s="322">
        <f>'P NP TBK SEDERHANA IKAN'!AG29</f>
        <v>0</v>
      </c>
      <c r="AU21" s="322">
        <f>'P NP TBK SEDERHANA IKAN'!AH29</f>
        <v>0</v>
      </c>
      <c r="AV21" s="322">
        <f>'P NP TBK SEDERHANA IKAN'!AG30</f>
        <v>0</v>
      </c>
      <c r="AW21" s="322">
        <f>'P NP TBK SEDERHANA IKAN'!AH30</f>
        <v>0</v>
      </c>
      <c r="AX21" s="322">
        <f>'P NP TBK SEDERHANA IKAN'!AG31</f>
        <v>0</v>
      </c>
      <c r="AY21" s="322">
        <f>'P NP TBK SEDERHANA IKAN'!AH31</f>
        <v>0</v>
      </c>
      <c r="AZ21" s="322">
        <f>'P NP TBK SEDERHANA IKAN'!AG32</f>
        <v>0</v>
      </c>
      <c r="BA21" s="322">
        <f>'P NP TBK SEDERHANA IKAN'!AH32</f>
        <v>0</v>
      </c>
      <c r="BB21" s="322">
        <f>'P NP TBK SEDERHANA IKAN'!AG33</f>
        <v>0</v>
      </c>
      <c r="BC21" s="322">
        <f>'P NP TBK SEDERHANA IKAN'!AH33</f>
        <v>0</v>
      </c>
      <c r="BD21" s="322">
        <f>'P NP TBK SEDERHANA IKAN'!AG34</f>
        <v>0</v>
      </c>
      <c r="BE21" s="322">
        <f>'P NP TBK SEDERHANA IKAN'!AH34</f>
        <v>0</v>
      </c>
      <c r="BF21" s="322">
        <f>'P NP TBK SEDERHANA IKAN'!AG35</f>
        <v>0</v>
      </c>
      <c r="BG21" s="322">
        <f>'P NP TBK SEDERHANA IKAN'!AH35</f>
        <v>0</v>
      </c>
      <c r="BH21" s="322">
        <f>'P NP TBK SEDERHANA IKAN'!AG36</f>
        <v>0</v>
      </c>
      <c r="BI21" s="322">
        <f>'P NP TBK SEDERHANA IKAN'!AH36</f>
        <v>0</v>
      </c>
      <c r="BJ21" s="322">
        <f>'P NP TBK SEDERHANA IKAN'!AG37</f>
        <v>0</v>
      </c>
      <c r="BK21" s="322">
        <f>'P NP TBK SEDERHANA IKAN'!AH37</f>
        <v>0</v>
      </c>
      <c r="BL21" s="322">
        <f>'P NP TBK SEDERHANA IKAN'!AG38</f>
        <v>0</v>
      </c>
      <c r="BM21" s="322">
        <f>'P NP TBK SEDERHANA IKAN'!AH38</f>
        <v>0</v>
      </c>
      <c r="BN21" s="322">
        <f>'P NP TBK SEDERHANA IKAN'!AG39</f>
        <v>0</v>
      </c>
      <c r="BO21" s="322">
        <f>'P NP TBK SEDERHANA IKAN'!AH39</f>
        <v>0</v>
      </c>
      <c r="BP21" s="322">
        <f>'P NP TBK SEDERHANA IKAN'!AG40</f>
        <v>0</v>
      </c>
      <c r="BQ21" s="322">
        <f>'P NP TBK SEDERHANA IKAN'!AH40</f>
        <v>0</v>
      </c>
      <c r="BR21" s="322">
        <f>'P NP TBK SEDERHANA IKAN'!AG41</f>
        <v>0</v>
      </c>
      <c r="BS21" s="322">
        <f>'P NP TBK SEDERHANA IKAN'!AH41</f>
        <v>0</v>
      </c>
      <c r="BT21" s="322">
        <f>'P NP TBK SEDERHANA IKAN'!AG42</f>
        <v>0</v>
      </c>
      <c r="BU21" s="322">
        <f>'P NP TBK SEDERHANA IKAN'!AH42</f>
        <v>0</v>
      </c>
      <c r="BV21" s="322">
        <f>'P NP TBK SEDERHANA IKAN'!AG43</f>
        <v>0</v>
      </c>
      <c r="BW21" s="322">
        <f>'P NP TBK SEDERHANA IKAN'!AH43</f>
        <v>0</v>
      </c>
      <c r="BX21" s="322">
        <f>'P NP TBK SEDERHANA IKAN'!AG44</f>
        <v>0</v>
      </c>
      <c r="BY21" s="322">
        <f>'P NP TBK SEDERHANA IKAN'!AH44</f>
        <v>0</v>
      </c>
      <c r="CA21" s="322">
        <f t="shared" si="5"/>
        <v>0</v>
      </c>
      <c r="CB21" s="322">
        <f t="shared" si="6"/>
        <v>0</v>
      </c>
    </row>
    <row r="22" spans="1:80">
      <c r="A22" s="260" t="s">
        <v>132</v>
      </c>
      <c r="B22" s="320">
        <f t="shared" si="3"/>
        <v>0</v>
      </c>
      <c r="C22" s="320">
        <f t="shared" si="4"/>
        <v>0</v>
      </c>
      <c r="D22" s="322">
        <f>'P NP TBK SEDERHANA IKAN'!AI8</f>
        <v>0</v>
      </c>
      <c r="E22" s="322">
        <f>'P NP TBK SEDERHANA IKAN'!AJ8</f>
        <v>0</v>
      </c>
      <c r="F22" s="322">
        <f>'P NP TBK SEDERHANA IKAN'!AI9</f>
        <v>0</v>
      </c>
      <c r="G22" s="322">
        <f>'P NP TBK SEDERHANA IKAN'!AJ9</f>
        <v>0</v>
      </c>
      <c r="H22" s="322">
        <f>'P NP TBK SEDERHANA IKAN'!AI10</f>
        <v>0</v>
      </c>
      <c r="I22" s="322">
        <f>'P NP TBK SEDERHANA IKAN'!AJ10</f>
        <v>0</v>
      </c>
      <c r="J22" s="322">
        <f>'P NP TBK SEDERHANA IKAN'!AI11</f>
        <v>0</v>
      </c>
      <c r="K22" s="322">
        <f>'P NP TBK SEDERHANA IKAN'!AJ11</f>
        <v>0</v>
      </c>
      <c r="L22" s="322">
        <f>'P NP TBK SEDERHANA IKAN'!AI12</f>
        <v>0</v>
      </c>
      <c r="M22" s="322">
        <f>'P NP TBK SEDERHANA IKAN'!AJ12</f>
        <v>0</v>
      </c>
      <c r="N22" s="322">
        <f>'P NP TBK SEDERHANA IKAN'!AI13</f>
        <v>0</v>
      </c>
      <c r="O22" s="322">
        <f>'P NP TBK SEDERHANA IKAN'!AJ13</f>
        <v>0</v>
      </c>
      <c r="P22" s="322">
        <f>'P NP TBK SEDERHANA IKAN'!AI14</f>
        <v>0</v>
      </c>
      <c r="Q22" s="322">
        <f>'P NP TBK SEDERHANA IKAN'!AJ14</f>
        <v>0</v>
      </c>
      <c r="R22" s="322">
        <f>'P NP TBK SEDERHANA IKAN'!AI15</f>
        <v>0</v>
      </c>
      <c r="S22" s="322">
        <f>'P NP TBK SEDERHANA IKAN'!AJ15</f>
        <v>0</v>
      </c>
      <c r="T22" s="322">
        <f>'P NP TBK SEDERHANA IKAN'!AI16</f>
        <v>0</v>
      </c>
      <c r="U22" s="322">
        <f>'P NP TBK SEDERHANA IKAN'!AJ16</f>
        <v>0</v>
      </c>
      <c r="V22" s="322">
        <f>'P NP TBK SEDERHANA IKAN'!AI17</f>
        <v>0</v>
      </c>
      <c r="W22" s="322">
        <f>'P NP TBK SEDERHANA IKAN'!AJ17</f>
        <v>0</v>
      </c>
      <c r="X22" s="322">
        <f>'P NP TBK SEDERHANA IKAN'!AI18</f>
        <v>0</v>
      </c>
      <c r="Y22" s="322">
        <f>'P NP TBK SEDERHANA IKAN'!AJ18</f>
        <v>0</v>
      </c>
      <c r="Z22" s="322">
        <f>'P NP TBK SEDERHANA IKAN'!AI19</f>
        <v>0</v>
      </c>
      <c r="AA22" s="322">
        <f>'P NP TBK SEDERHANA IKAN'!AJ19</f>
        <v>0</v>
      </c>
      <c r="AB22" s="322">
        <f>'P NP TBK SEDERHANA IKAN'!AI20</f>
        <v>0</v>
      </c>
      <c r="AC22" s="322">
        <f>'P NP TBK SEDERHANA IKAN'!AJ20</f>
        <v>0</v>
      </c>
      <c r="AD22" s="322">
        <f>'P NP TBK SEDERHANA IKAN'!AI21</f>
        <v>0</v>
      </c>
      <c r="AE22" s="322">
        <f>'P NP TBK SEDERHANA IKAN'!AJ21</f>
        <v>0</v>
      </c>
      <c r="AF22" s="322">
        <f>'P NP TBK SEDERHANA IKAN'!AI22</f>
        <v>0</v>
      </c>
      <c r="AG22" s="322">
        <f>'P NP TBK SEDERHANA IKAN'!AJ22</f>
        <v>0</v>
      </c>
      <c r="AH22" s="322">
        <f>'P NP TBK SEDERHANA IKAN'!AI23</f>
        <v>0</v>
      </c>
      <c r="AI22" s="322">
        <f>'P NP TBK SEDERHANA IKAN'!AJ23</f>
        <v>0</v>
      </c>
      <c r="AJ22" s="322">
        <f>'P NP TBK SEDERHANA IKAN'!AI24</f>
        <v>0</v>
      </c>
      <c r="AK22" s="322">
        <f>'P NP TBK SEDERHANA IKAN'!AJ24</f>
        <v>0</v>
      </c>
      <c r="AL22" s="322">
        <f>'P NP TBK SEDERHANA IKAN'!AI25</f>
        <v>0</v>
      </c>
      <c r="AM22" s="322">
        <f>'P NP TBK SEDERHANA IKAN'!AJ25</f>
        <v>0</v>
      </c>
      <c r="AN22" s="322">
        <f>'P NP TBK SEDERHANA IKAN'!AI26</f>
        <v>0</v>
      </c>
      <c r="AO22" s="322">
        <f>'P NP TBK SEDERHANA IKAN'!AJ26</f>
        <v>0</v>
      </c>
      <c r="AP22" s="322">
        <f>'P NP TBK SEDERHANA IKAN'!AI27</f>
        <v>0</v>
      </c>
      <c r="AQ22" s="322">
        <f>'P NP TBK SEDERHANA IKAN'!AJ27</f>
        <v>0</v>
      </c>
      <c r="AR22" s="322">
        <f>'P NP TBK SEDERHANA IKAN'!AI28</f>
        <v>0</v>
      </c>
      <c r="AS22" s="322">
        <f>'P NP TBK SEDERHANA IKAN'!AJ28</f>
        <v>0</v>
      </c>
      <c r="AT22" s="322">
        <f>'P NP TBK SEDERHANA IKAN'!AI29</f>
        <v>0</v>
      </c>
      <c r="AU22" s="322">
        <f>'P NP TBK SEDERHANA IKAN'!AJ29</f>
        <v>0</v>
      </c>
      <c r="AV22" s="322">
        <f>'P NP TBK SEDERHANA IKAN'!AI30</f>
        <v>0</v>
      </c>
      <c r="AW22" s="322">
        <f>'P NP TBK SEDERHANA IKAN'!AJ30</f>
        <v>0</v>
      </c>
      <c r="AX22" s="322">
        <f>'P NP TBK SEDERHANA IKAN'!AI31</f>
        <v>0</v>
      </c>
      <c r="AY22" s="322">
        <f>'P NP TBK SEDERHANA IKAN'!AJ31</f>
        <v>0</v>
      </c>
      <c r="AZ22" s="322">
        <f>'P NP TBK SEDERHANA IKAN'!AI32</f>
        <v>0</v>
      </c>
      <c r="BA22" s="322">
        <f>'P NP TBK SEDERHANA IKAN'!AJ32</f>
        <v>0</v>
      </c>
      <c r="BB22" s="322">
        <f>'P NP TBK SEDERHANA IKAN'!AI33</f>
        <v>0</v>
      </c>
      <c r="BC22" s="322">
        <f>'P NP TBK SEDERHANA IKAN'!AJ33</f>
        <v>0</v>
      </c>
      <c r="BD22" s="322">
        <f>'P NP TBK SEDERHANA IKAN'!AI34</f>
        <v>0</v>
      </c>
      <c r="BE22" s="322">
        <f>'P NP TBK SEDERHANA IKAN'!AJ34</f>
        <v>0</v>
      </c>
      <c r="BF22" s="322">
        <f>'P NP TBK SEDERHANA IKAN'!AI35</f>
        <v>0</v>
      </c>
      <c r="BG22" s="322">
        <f>'P NP TBK SEDERHANA IKAN'!AJ35</f>
        <v>0</v>
      </c>
      <c r="BH22" s="322">
        <f>'P NP TBK SEDERHANA IKAN'!AI36</f>
        <v>0</v>
      </c>
      <c r="BI22" s="322">
        <f>'P NP TBK SEDERHANA IKAN'!AJ36</f>
        <v>0</v>
      </c>
      <c r="BJ22" s="322">
        <f>'P NP TBK SEDERHANA IKAN'!AI37</f>
        <v>0</v>
      </c>
      <c r="BK22" s="322">
        <f>'P NP TBK SEDERHANA IKAN'!AJ37</f>
        <v>0</v>
      </c>
      <c r="BL22" s="322">
        <f>'P NP TBK SEDERHANA IKAN'!AI38</f>
        <v>0</v>
      </c>
      <c r="BM22" s="322">
        <f>'P NP TBK SEDERHANA IKAN'!AJ38</f>
        <v>0</v>
      </c>
      <c r="BN22" s="322">
        <f>'P NP TBK SEDERHANA IKAN'!AI39</f>
        <v>0</v>
      </c>
      <c r="BO22" s="322">
        <f>'P NP TBK SEDERHANA IKAN'!AJ39</f>
        <v>0</v>
      </c>
      <c r="BP22" s="322">
        <f>'P NP TBK SEDERHANA IKAN'!AI40</f>
        <v>0</v>
      </c>
      <c r="BQ22" s="322">
        <f>'P NP TBK SEDERHANA IKAN'!AJ40</f>
        <v>0</v>
      </c>
      <c r="BR22" s="322">
        <f>'P NP TBK SEDERHANA IKAN'!AI41</f>
        <v>0</v>
      </c>
      <c r="BS22" s="322">
        <f>'P NP TBK SEDERHANA IKAN'!AJ41</f>
        <v>0</v>
      </c>
      <c r="BT22" s="322">
        <f>'P NP TBK SEDERHANA IKAN'!AI42</f>
        <v>0</v>
      </c>
      <c r="BU22" s="322">
        <f>'P NP TBK SEDERHANA IKAN'!AJ42</f>
        <v>0</v>
      </c>
      <c r="BV22" s="322">
        <f>'P NP TBK SEDERHANA IKAN'!AI43</f>
        <v>0</v>
      </c>
      <c r="BW22" s="322">
        <f>'P NP TBK SEDERHANA IKAN'!AJ43</f>
        <v>0</v>
      </c>
      <c r="BX22" s="322">
        <f>'P NP TBK SEDERHANA IKAN'!AI44</f>
        <v>0</v>
      </c>
      <c r="BY22" s="322">
        <f>'P NP TBK SEDERHANA IKAN'!AJ44</f>
        <v>0</v>
      </c>
      <c r="CA22" s="322">
        <f t="shared" si="5"/>
        <v>0</v>
      </c>
      <c r="CB22" s="322">
        <f t="shared" si="6"/>
        <v>0</v>
      </c>
    </row>
    <row r="23" spans="1:80">
      <c r="A23" s="260" t="s">
        <v>112</v>
      </c>
      <c r="B23" s="320">
        <f t="shared" si="3"/>
        <v>0</v>
      </c>
      <c r="C23" s="320">
        <f t="shared" si="4"/>
        <v>0</v>
      </c>
      <c r="D23" s="322">
        <f>'P NP TBK SEDERHANA IKAN'!AK8</f>
        <v>0</v>
      </c>
      <c r="E23" s="322">
        <f>'P NP TBK SEDERHANA IKAN'!AL8</f>
        <v>0</v>
      </c>
      <c r="F23" s="322">
        <f>'P NP TBK SEDERHANA IKAN'!AK9</f>
        <v>0</v>
      </c>
      <c r="G23" s="322">
        <f>'P NP TBK SEDERHANA IKAN'!AL9</f>
        <v>0</v>
      </c>
      <c r="H23" s="322">
        <f>'P NP TBK SEDERHANA IKAN'!AK10</f>
        <v>0</v>
      </c>
      <c r="I23" s="322">
        <f>'P NP TBK SEDERHANA IKAN'!AL10</f>
        <v>0</v>
      </c>
      <c r="J23" s="322">
        <f>'P NP TBK SEDERHANA IKAN'!AK11</f>
        <v>0</v>
      </c>
      <c r="K23" s="322">
        <f>'P NP TBK SEDERHANA IKAN'!AL11</f>
        <v>0</v>
      </c>
      <c r="L23" s="322">
        <f>'P NP TBK SEDERHANA IKAN'!AK12</f>
        <v>0</v>
      </c>
      <c r="M23" s="322">
        <f>'P NP TBK SEDERHANA IKAN'!AL12</f>
        <v>0</v>
      </c>
      <c r="N23" s="322">
        <f>'P NP TBK SEDERHANA IKAN'!AK13</f>
        <v>0</v>
      </c>
      <c r="O23" s="322">
        <f>'P NP TBK SEDERHANA IKAN'!AL13</f>
        <v>0</v>
      </c>
      <c r="P23" s="322">
        <f>'P NP TBK SEDERHANA IKAN'!AK14</f>
        <v>0</v>
      </c>
      <c r="Q23" s="322">
        <f>'P NP TBK SEDERHANA IKAN'!AL14</f>
        <v>0</v>
      </c>
      <c r="R23" s="322">
        <f>'P NP TBK SEDERHANA IKAN'!AK15</f>
        <v>0</v>
      </c>
      <c r="S23" s="322">
        <f>'P NP TBK SEDERHANA IKAN'!AL15</f>
        <v>0</v>
      </c>
      <c r="T23" s="322">
        <f>'P NP TBK SEDERHANA IKAN'!AK16</f>
        <v>0</v>
      </c>
      <c r="U23" s="322">
        <f>'P NP TBK SEDERHANA IKAN'!AL16</f>
        <v>0</v>
      </c>
      <c r="V23" s="322">
        <f>'P NP TBK SEDERHANA IKAN'!AK17</f>
        <v>0</v>
      </c>
      <c r="W23" s="322">
        <f>'P NP TBK SEDERHANA IKAN'!AL17</f>
        <v>0</v>
      </c>
      <c r="X23" s="322">
        <f>'P NP TBK SEDERHANA IKAN'!AK18</f>
        <v>0</v>
      </c>
      <c r="Y23" s="322">
        <f>'P NP TBK SEDERHANA IKAN'!AL18</f>
        <v>0</v>
      </c>
      <c r="Z23" s="322">
        <f>'P NP TBK SEDERHANA IKAN'!AK19</f>
        <v>0</v>
      </c>
      <c r="AA23" s="322">
        <f>'P NP TBK SEDERHANA IKAN'!AL19</f>
        <v>0</v>
      </c>
      <c r="AB23" s="322">
        <f>'P NP TBK SEDERHANA IKAN'!AK20</f>
        <v>0</v>
      </c>
      <c r="AC23" s="322">
        <f>'P NP TBK SEDERHANA IKAN'!AL20</f>
        <v>0</v>
      </c>
      <c r="AD23" s="322">
        <f>'P NP TBK SEDERHANA IKAN'!AK21</f>
        <v>0</v>
      </c>
      <c r="AE23" s="322">
        <f>'P NP TBK SEDERHANA IKAN'!AL21</f>
        <v>0</v>
      </c>
      <c r="AF23" s="322">
        <f>'P NP TBK SEDERHANA IKAN'!AK22</f>
        <v>0</v>
      </c>
      <c r="AG23" s="322">
        <f>'P NP TBK SEDERHANA IKAN'!AL22</f>
        <v>0</v>
      </c>
      <c r="AH23" s="322">
        <f>'P NP TBK SEDERHANA IKAN'!AK23</f>
        <v>0</v>
      </c>
      <c r="AI23" s="322">
        <f>'P NP TBK SEDERHANA IKAN'!AL23</f>
        <v>0</v>
      </c>
      <c r="AJ23" s="322">
        <f>'P NP TBK SEDERHANA IKAN'!AK24</f>
        <v>0</v>
      </c>
      <c r="AK23" s="322">
        <f>'P NP TBK SEDERHANA IKAN'!AL24</f>
        <v>0</v>
      </c>
      <c r="AL23" s="322">
        <f>'P NP TBK SEDERHANA IKAN'!AK25</f>
        <v>0</v>
      </c>
      <c r="AM23" s="322">
        <f>'P NP TBK SEDERHANA IKAN'!AL25</f>
        <v>0</v>
      </c>
      <c r="AN23" s="322">
        <f>'P NP TBK SEDERHANA IKAN'!AK26</f>
        <v>0</v>
      </c>
      <c r="AO23" s="322">
        <f>'P NP TBK SEDERHANA IKAN'!AL26</f>
        <v>0</v>
      </c>
      <c r="AP23" s="322">
        <f>'P NP TBK SEDERHANA IKAN'!AK27</f>
        <v>0</v>
      </c>
      <c r="AQ23" s="322">
        <f>'P NP TBK SEDERHANA IKAN'!AL27</f>
        <v>0</v>
      </c>
      <c r="AR23" s="322">
        <f>'P NP TBK SEDERHANA IKAN'!AK28</f>
        <v>0</v>
      </c>
      <c r="AS23" s="322">
        <f>'P NP TBK SEDERHANA IKAN'!AL28</f>
        <v>0</v>
      </c>
      <c r="AT23" s="322">
        <f>'P NP TBK SEDERHANA IKAN'!AK29</f>
        <v>0</v>
      </c>
      <c r="AU23" s="322">
        <f>'P NP TBK SEDERHANA IKAN'!AL29</f>
        <v>0</v>
      </c>
      <c r="AV23" s="322">
        <f>'P NP TBK SEDERHANA IKAN'!AK30</f>
        <v>0</v>
      </c>
      <c r="AW23" s="322">
        <f>'P NP TBK SEDERHANA IKAN'!AL30</f>
        <v>0</v>
      </c>
      <c r="AX23" s="322">
        <f>'P NP TBK SEDERHANA IKAN'!AK31</f>
        <v>0</v>
      </c>
      <c r="AY23" s="322">
        <f>'P NP TBK SEDERHANA IKAN'!AL31</f>
        <v>0</v>
      </c>
      <c r="AZ23" s="322">
        <f>'P NP TBK SEDERHANA IKAN'!AK32</f>
        <v>0</v>
      </c>
      <c r="BA23" s="322">
        <f>'P NP TBK SEDERHANA IKAN'!AL32</f>
        <v>0</v>
      </c>
      <c r="BB23" s="322">
        <f>'P NP TBK SEDERHANA IKAN'!AK33</f>
        <v>0</v>
      </c>
      <c r="BC23" s="322">
        <f>'P NP TBK SEDERHANA IKAN'!AL33</f>
        <v>0</v>
      </c>
      <c r="BD23" s="322">
        <f>'P NP TBK SEDERHANA IKAN'!AK34</f>
        <v>0</v>
      </c>
      <c r="BE23" s="322">
        <f>'P NP TBK SEDERHANA IKAN'!AL34</f>
        <v>0</v>
      </c>
      <c r="BF23" s="322">
        <f>'P NP TBK SEDERHANA IKAN'!AK35</f>
        <v>0</v>
      </c>
      <c r="BG23" s="322">
        <f>'P NP TBK SEDERHANA IKAN'!AL35</f>
        <v>0</v>
      </c>
      <c r="BH23" s="322">
        <f>'P NP TBK SEDERHANA IKAN'!AK36</f>
        <v>0</v>
      </c>
      <c r="BI23" s="322">
        <f>'P NP TBK SEDERHANA IKAN'!AL36</f>
        <v>0</v>
      </c>
      <c r="BJ23" s="322">
        <f>'P NP TBK SEDERHANA IKAN'!AK37</f>
        <v>0</v>
      </c>
      <c r="BK23" s="322">
        <f>'P NP TBK SEDERHANA IKAN'!AL37</f>
        <v>0</v>
      </c>
      <c r="BL23" s="322">
        <f>'P NP TBK SEDERHANA IKAN'!AK38</f>
        <v>0</v>
      </c>
      <c r="BM23" s="322">
        <f>'P NP TBK SEDERHANA IKAN'!AL38</f>
        <v>0</v>
      </c>
      <c r="BN23" s="322">
        <f>'P NP TBK SEDERHANA IKAN'!AK39</f>
        <v>0</v>
      </c>
      <c r="BO23" s="322">
        <f>'P NP TBK SEDERHANA IKAN'!AL39</f>
        <v>0</v>
      </c>
      <c r="BP23" s="322">
        <f>'P NP TBK SEDERHANA IKAN'!AK40</f>
        <v>0</v>
      </c>
      <c r="BQ23" s="322">
        <f>'P NP TBK SEDERHANA IKAN'!AL40</f>
        <v>0</v>
      </c>
      <c r="BR23" s="322">
        <f>'P NP TBK SEDERHANA IKAN'!AK41</f>
        <v>0</v>
      </c>
      <c r="BS23" s="322">
        <f>'P NP TBK SEDERHANA IKAN'!AL41</f>
        <v>0</v>
      </c>
      <c r="BT23" s="322">
        <f>'P NP TBK SEDERHANA IKAN'!AK42</f>
        <v>0</v>
      </c>
      <c r="BU23" s="322">
        <f>'P NP TBK SEDERHANA IKAN'!AL42</f>
        <v>0</v>
      </c>
      <c r="BV23" s="322">
        <f>'P NP TBK SEDERHANA IKAN'!AK43</f>
        <v>0</v>
      </c>
      <c r="BW23" s="322">
        <f>'P NP TBK SEDERHANA IKAN'!AL43</f>
        <v>0</v>
      </c>
      <c r="BX23" s="322">
        <f>'P NP TBK SEDERHANA IKAN'!AK44</f>
        <v>0</v>
      </c>
      <c r="BY23" s="322">
        <f>'P NP TBK SEDERHANA IKAN'!AL44</f>
        <v>0</v>
      </c>
      <c r="CA23" s="322">
        <f t="shared" si="5"/>
        <v>0</v>
      </c>
      <c r="CB23" s="322">
        <f t="shared" si="6"/>
        <v>0</v>
      </c>
    </row>
    <row r="24" spans="1:80">
      <c r="A24" s="260" t="s">
        <v>139</v>
      </c>
      <c r="B24" s="320">
        <f t="shared" si="3"/>
        <v>0</v>
      </c>
      <c r="C24" s="320">
        <f t="shared" si="4"/>
        <v>0</v>
      </c>
      <c r="D24" s="322">
        <f>'P NP TBK SEDERHANA IKAN'!AM8</f>
        <v>0</v>
      </c>
      <c r="E24" s="322">
        <f>'P NP TBK SEDERHANA IKAN'!AN8</f>
        <v>0</v>
      </c>
      <c r="F24" s="322">
        <f>'P NP TBK SEDERHANA IKAN'!AM9</f>
        <v>0</v>
      </c>
      <c r="G24" s="322">
        <f>'P NP TBK SEDERHANA IKAN'!AN9</f>
        <v>0</v>
      </c>
      <c r="H24" s="322">
        <f>'P NP TBK SEDERHANA IKAN'!AM10</f>
        <v>0</v>
      </c>
      <c r="I24" s="322">
        <f>'P NP TBK SEDERHANA IKAN'!AN10</f>
        <v>0</v>
      </c>
      <c r="J24" s="322">
        <f>'P NP TBK SEDERHANA IKAN'!AM11</f>
        <v>0</v>
      </c>
      <c r="K24" s="322">
        <f>'P NP TBK SEDERHANA IKAN'!AN11</f>
        <v>0</v>
      </c>
      <c r="L24" s="322">
        <f>'P NP TBK SEDERHANA IKAN'!AM12</f>
        <v>0</v>
      </c>
      <c r="M24" s="322">
        <f>'P NP TBK SEDERHANA IKAN'!AN12</f>
        <v>0</v>
      </c>
      <c r="N24" s="322">
        <f>'P NP TBK SEDERHANA IKAN'!AM13</f>
        <v>0</v>
      </c>
      <c r="O24" s="322">
        <f>'P NP TBK SEDERHANA IKAN'!AN13</f>
        <v>0</v>
      </c>
      <c r="P24" s="322">
        <f>'P NP TBK SEDERHANA IKAN'!AM14</f>
        <v>0</v>
      </c>
      <c r="Q24" s="322">
        <f>'P NP TBK SEDERHANA IKAN'!AN14</f>
        <v>0</v>
      </c>
      <c r="R24" s="322">
        <f>'P NP TBK SEDERHANA IKAN'!AM15</f>
        <v>0</v>
      </c>
      <c r="S24" s="322">
        <f>'P NP TBK SEDERHANA IKAN'!AN15</f>
        <v>0</v>
      </c>
      <c r="T24" s="322">
        <f>'P NP TBK SEDERHANA IKAN'!AM16</f>
        <v>0</v>
      </c>
      <c r="U24" s="322">
        <f>'P NP TBK SEDERHANA IKAN'!AN16</f>
        <v>0</v>
      </c>
      <c r="V24" s="322">
        <f>'P NP TBK SEDERHANA IKAN'!AM17</f>
        <v>0</v>
      </c>
      <c r="W24" s="322">
        <f>'P NP TBK SEDERHANA IKAN'!AN17</f>
        <v>0</v>
      </c>
      <c r="X24" s="322">
        <f>'P NP TBK SEDERHANA IKAN'!AM18</f>
        <v>0</v>
      </c>
      <c r="Y24" s="322">
        <f>'P NP TBK SEDERHANA IKAN'!AN18</f>
        <v>0</v>
      </c>
      <c r="Z24" s="322">
        <f>'P NP TBK SEDERHANA IKAN'!AM19</f>
        <v>0</v>
      </c>
      <c r="AA24" s="322">
        <f>'P NP TBK SEDERHANA IKAN'!AN19</f>
        <v>0</v>
      </c>
      <c r="AB24" s="322">
        <f>'P NP TBK SEDERHANA IKAN'!AM20</f>
        <v>0</v>
      </c>
      <c r="AC24" s="322">
        <f>'P NP TBK SEDERHANA IKAN'!AN20</f>
        <v>0</v>
      </c>
      <c r="AD24" s="322">
        <f>'P NP TBK SEDERHANA IKAN'!AM21</f>
        <v>0</v>
      </c>
      <c r="AE24" s="322">
        <f>'P NP TBK SEDERHANA IKAN'!AN21</f>
        <v>0</v>
      </c>
      <c r="AF24" s="322">
        <f>'P NP TBK SEDERHANA IKAN'!AM22</f>
        <v>0</v>
      </c>
      <c r="AG24" s="322">
        <f>'P NP TBK SEDERHANA IKAN'!AN22</f>
        <v>0</v>
      </c>
      <c r="AH24" s="322">
        <f>'P NP TBK SEDERHANA IKAN'!AM23</f>
        <v>0</v>
      </c>
      <c r="AI24" s="322">
        <f>'P NP TBK SEDERHANA IKAN'!AN23</f>
        <v>0</v>
      </c>
      <c r="AJ24" s="322">
        <f>'P NP TBK SEDERHANA IKAN'!AM24</f>
        <v>0</v>
      </c>
      <c r="AK24" s="322">
        <f>'P NP TBK SEDERHANA IKAN'!AN24</f>
        <v>0</v>
      </c>
      <c r="AL24" s="322">
        <f>'P NP TBK SEDERHANA IKAN'!AM25</f>
        <v>0</v>
      </c>
      <c r="AM24" s="322">
        <f>'P NP TBK SEDERHANA IKAN'!AN25</f>
        <v>0</v>
      </c>
      <c r="AN24" s="322">
        <f>'P NP TBK SEDERHANA IKAN'!AM26</f>
        <v>0</v>
      </c>
      <c r="AO24" s="322">
        <f>'P NP TBK SEDERHANA IKAN'!AN26</f>
        <v>0</v>
      </c>
      <c r="AP24" s="322">
        <f>'P NP TBK SEDERHANA IKAN'!AM27</f>
        <v>0</v>
      </c>
      <c r="AQ24" s="322">
        <f>'P NP TBK SEDERHANA IKAN'!AN27</f>
        <v>0</v>
      </c>
      <c r="AR24" s="322">
        <f>'P NP TBK SEDERHANA IKAN'!AM28</f>
        <v>0</v>
      </c>
      <c r="AS24" s="322">
        <f>'P NP TBK SEDERHANA IKAN'!AN28</f>
        <v>0</v>
      </c>
      <c r="AT24" s="322">
        <f>'P NP TBK SEDERHANA IKAN'!AM29</f>
        <v>0</v>
      </c>
      <c r="AU24" s="322">
        <f>'P NP TBK SEDERHANA IKAN'!AN29</f>
        <v>0</v>
      </c>
      <c r="AV24" s="322">
        <f>'P NP TBK SEDERHANA IKAN'!AM30</f>
        <v>0</v>
      </c>
      <c r="AW24" s="322">
        <f>'P NP TBK SEDERHANA IKAN'!AN30</f>
        <v>0</v>
      </c>
      <c r="AX24" s="322">
        <f>'P NP TBK SEDERHANA IKAN'!AM31</f>
        <v>0</v>
      </c>
      <c r="AY24" s="322">
        <f>'P NP TBK SEDERHANA IKAN'!AN31</f>
        <v>0</v>
      </c>
      <c r="AZ24" s="322">
        <f>'P NP TBK SEDERHANA IKAN'!AM32</f>
        <v>0</v>
      </c>
      <c r="BA24" s="322">
        <f>'P NP TBK SEDERHANA IKAN'!AN32</f>
        <v>0</v>
      </c>
      <c r="BB24" s="322">
        <f>'P NP TBK SEDERHANA IKAN'!AM33</f>
        <v>0</v>
      </c>
      <c r="BC24" s="322">
        <f>'P NP TBK SEDERHANA IKAN'!AN33</f>
        <v>0</v>
      </c>
      <c r="BD24" s="322">
        <f>'P NP TBK SEDERHANA IKAN'!AM34</f>
        <v>0</v>
      </c>
      <c r="BE24" s="322">
        <f>'P NP TBK SEDERHANA IKAN'!AN34</f>
        <v>0</v>
      </c>
      <c r="BF24" s="322">
        <f>'P NP TBK SEDERHANA IKAN'!AM35</f>
        <v>0</v>
      </c>
      <c r="BG24" s="322">
        <f>'P NP TBK SEDERHANA IKAN'!AN35</f>
        <v>0</v>
      </c>
      <c r="BH24" s="322">
        <f>'P NP TBK SEDERHANA IKAN'!AM36</f>
        <v>0</v>
      </c>
      <c r="BI24" s="322">
        <f>'P NP TBK SEDERHANA IKAN'!AN36</f>
        <v>0</v>
      </c>
      <c r="BJ24" s="322">
        <f>'P NP TBK SEDERHANA IKAN'!AM37</f>
        <v>0</v>
      </c>
      <c r="BK24" s="322">
        <f>'P NP TBK SEDERHANA IKAN'!AN37</f>
        <v>0</v>
      </c>
      <c r="BL24" s="322">
        <f>'P NP TBK SEDERHANA IKAN'!AM38</f>
        <v>0</v>
      </c>
      <c r="BM24" s="322">
        <f>'P NP TBK SEDERHANA IKAN'!AN38</f>
        <v>0</v>
      </c>
      <c r="BN24" s="322">
        <f>'P NP TBK SEDERHANA IKAN'!AM39</f>
        <v>0</v>
      </c>
      <c r="BO24" s="322">
        <f>'P NP TBK SEDERHANA IKAN'!AN39</f>
        <v>0</v>
      </c>
      <c r="BP24" s="322">
        <f>'P NP TBK SEDERHANA IKAN'!AM40</f>
        <v>0</v>
      </c>
      <c r="BQ24" s="322">
        <f>'P NP TBK SEDERHANA IKAN'!AN40</f>
        <v>0</v>
      </c>
      <c r="BR24" s="322">
        <f>'P NP TBK SEDERHANA IKAN'!AM41</f>
        <v>0</v>
      </c>
      <c r="BS24" s="322">
        <f>'P NP TBK SEDERHANA IKAN'!AN41</f>
        <v>0</v>
      </c>
      <c r="BT24" s="322">
        <f>'P NP TBK SEDERHANA IKAN'!AM42</f>
        <v>0</v>
      </c>
      <c r="BU24" s="322">
        <f>'P NP TBK SEDERHANA IKAN'!AN42</f>
        <v>0</v>
      </c>
      <c r="BV24" s="322">
        <f>'P NP TBK SEDERHANA IKAN'!AM43</f>
        <v>0</v>
      </c>
      <c r="BW24" s="322">
        <f>'P NP TBK SEDERHANA IKAN'!AN43</f>
        <v>0</v>
      </c>
      <c r="BX24" s="322">
        <f>'P NP TBK SEDERHANA IKAN'!AM44</f>
        <v>0</v>
      </c>
      <c r="BY24" s="322">
        <f>'P NP TBK SEDERHANA IKAN'!AN44</f>
        <v>0</v>
      </c>
      <c r="CA24" s="322">
        <f t="shared" si="5"/>
        <v>0</v>
      </c>
      <c r="CB24" s="322">
        <f t="shared" si="6"/>
        <v>0</v>
      </c>
    </row>
    <row r="25" spans="1:80">
      <c r="A25" s="260" t="s">
        <v>125</v>
      </c>
      <c r="B25" s="320">
        <f t="shared" si="3"/>
        <v>0</v>
      </c>
      <c r="C25" s="320">
        <f t="shared" si="4"/>
        <v>0</v>
      </c>
      <c r="D25" s="322">
        <f>'P NP TBK SEDERHANA IKAN'!AO8</f>
        <v>0</v>
      </c>
      <c r="E25" s="322">
        <f>'P NP TBK SEDERHANA IKAN'!AP8</f>
        <v>0</v>
      </c>
      <c r="F25" s="322">
        <f>'P NP TBK SEDERHANA IKAN'!AO9</f>
        <v>0</v>
      </c>
      <c r="G25" s="322">
        <f>'P NP TBK SEDERHANA IKAN'!AP9</f>
        <v>0</v>
      </c>
      <c r="H25" s="322">
        <f>'P NP TBK SEDERHANA IKAN'!AO10</f>
        <v>0</v>
      </c>
      <c r="I25" s="322">
        <f>'P NP TBK SEDERHANA IKAN'!AP10</f>
        <v>0</v>
      </c>
      <c r="J25" s="322">
        <f>'P NP TBK SEDERHANA IKAN'!AO11</f>
        <v>0</v>
      </c>
      <c r="K25" s="322">
        <f>'P NP TBK SEDERHANA IKAN'!AP11</f>
        <v>0</v>
      </c>
      <c r="L25" s="322">
        <f>'P NP TBK SEDERHANA IKAN'!AO12</f>
        <v>0</v>
      </c>
      <c r="M25" s="322">
        <f>'P NP TBK SEDERHANA IKAN'!AP12</f>
        <v>0</v>
      </c>
      <c r="N25" s="322">
        <f>'P NP TBK SEDERHANA IKAN'!AO13</f>
        <v>0</v>
      </c>
      <c r="O25" s="322">
        <f>'P NP TBK SEDERHANA IKAN'!AP13</f>
        <v>0</v>
      </c>
      <c r="P25" s="322">
        <f>'P NP TBK SEDERHANA IKAN'!AO14</f>
        <v>0</v>
      </c>
      <c r="Q25" s="322">
        <f>'P NP TBK SEDERHANA IKAN'!AP14</f>
        <v>0</v>
      </c>
      <c r="R25" s="322">
        <f>'P NP TBK SEDERHANA IKAN'!AO15</f>
        <v>0</v>
      </c>
      <c r="S25" s="322">
        <f>'P NP TBK SEDERHANA IKAN'!AP15</f>
        <v>0</v>
      </c>
      <c r="T25" s="322">
        <f>'P NP TBK SEDERHANA IKAN'!AO16</f>
        <v>0</v>
      </c>
      <c r="U25" s="322">
        <f>'P NP TBK SEDERHANA IKAN'!AP16</f>
        <v>0</v>
      </c>
      <c r="V25" s="322">
        <f>'P NP TBK SEDERHANA IKAN'!AO17</f>
        <v>0</v>
      </c>
      <c r="W25" s="322">
        <f>'P NP TBK SEDERHANA IKAN'!AP17</f>
        <v>0</v>
      </c>
      <c r="X25" s="322">
        <f>'P NP TBK SEDERHANA IKAN'!AO18</f>
        <v>0</v>
      </c>
      <c r="Y25" s="322">
        <f>'P NP TBK SEDERHANA IKAN'!AP18</f>
        <v>0</v>
      </c>
      <c r="Z25" s="322">
        <f>'P NP TBK SEDERHANA IKAN'!AO19</f>
        <v>0</v>
      </c>
      <c r="AA25" s="322">
        <f>'P NP TBK SEDERHANA IKAN'!AP19</f>
        <v>0</v>
      </c>
      <c r="AB25" s="322">
        <f>'P NP TBK SEDERHANA IKAN'!AO20</f>
        <v>0</v>
      </c>
      <c r="AC25" s="322">
        <f>'P NP TBK SEDERHANA IKAN'!AP20</f>
        <v>0</v>
      </c>
      <c r="AD25" s="322">
        <f>'P NP TBK SEDERHANA IKAN'!AO21</f>
        <v>0</v>
      </c>
      <c r="AE25" s="322">
        <f>'P NP TBK SEDERHANA IKAN'!AP21</f>
        <v>0</v>
      </c>
      <c r="AF25" s="322">
        <f>'P NP TBK SEDERHANA IKAN'!AO22</f>
        <v>0</v>
      </c>
      <c r="AG25" s="322">
        <f>'P NP TBK SEDERHANA IKAN'!AP22</f>
        <v>0</v>
      </c>
      <c r="AH25" s="322">
        <f>'P NP TBK SEDERHANA IKAN'!AO23</f>
        <v>0</v>
      </c>
      <c r="AI25" s="322">
        <f>'P NP TBK SEDERHANA IKAN'!AP23</f>
        <v>0</v>
      </c>
      <c r="AJ25" s="322">
        <f>'P NP TBK SEDERHANA IKAN'!AO24</f>
        <v>0</v>
      </c>
      <c r="AK25" s="322">
        <f>'P NP TBK SEDERHANA IKAN'!AP24</f>
        <v>0</v>
      </c>
      <c r="AL25" s="322">
        <f>'P NP TBK SEDERHANA IKAN'!AO25</f>
        <v>0</v>
      </c>
      <c r="AM25" s="322">
        <f>'P NP TBK SEDERHANA IKAN'!AP25</f>
        <v>0</v>
      </c>
      <c r="AN25" s="322">
        <f>'P NP TBK SEDERHANA IKAN'!AO26</f>
        <v>0</v>
      </c>
      <c r="AO25" s="322">
        <f>'P NP TBK SEDERHANA IKAN'!AP26</f>
        <v>0</v>
      </c>
      <c r="AP25" s="322">
        <f>'P NP TBK SEDERHANA IKAN'!AO27</f>
        <v>0</v>
      </c>
      <c r="AQ25" s="322">
        <f>'P NP TBK SEDERHANA IKAN'!AP27</f>
        <v>0</v>
      </c>
      <c r="AR25" s="322">
        <f>'P NP TBK SEDERHANA IKAN'!AO28</f>
        <v>0</v>
      </c>
      <c r="AS25" s="322">
        <f>'P NP TBK SEDERHANA IKAN'!AP28</f>
        <v>0</v>
      </c>
      <c r="AT25" s="322">
        <f>'P NP TBK SEDERHANA IKAN'!AO29</f>
        <v>0</v>
      </c>
      <c r="AU25" s="322">
        <f>'P NP TBK SEDERHANA IKAN'!AP29</f>
        <v>0</v>
      </c>
      <c r="AV25" s="322">
        <f>'P NP TBK SEDERHANA IKAN'!AO30</f>
        <v>0</v>
      </c>
      <c r="AW25" s="322">
        <f>'P NP TBK SEDERHANA IKAN'!AP30</f>
        <v>0</v>
      </c>
      <c r="AX25" s="322">
        <f>'P NP TBK SEDERHANA IKAN'!AO31</f>
        <v>0</v>
      </c>
      <c r="AY25" s="322">
        <f>'P NP TBK SEDERHANA IKAN'!AP31</f>
        <v>0</v>
      </c>
      <c r="AZ25" s="322">
        <f>'P NP TBK SEDERHANA IKAN'!AO32</f>
        <v>0</v>
      </c>
      <c r="BA25" s="322">
        <f>'P NP TBK SEDERHANA IKAN'!AP32</f>
        <v>0</v>
      </c>
      <c r="BB25" s="322">
        <f>'P NP TBK SEDERHANA IKAN'!AO33</f>
        <v>0</v>
      </c>
      <c r="BC25" s="322">
        <f>'P NP TBK SEDERHANA IKAN'!AP33</f>
        <v>0</v>
      </c>
      <c r="BD25" s="322">
        <f>'P NP TBK SEDERHANA IKAN'!AO34</f>
        <v>0</v>
      </c>
      <c r="BE25" s="322">
        <f>'P NP TBK SEDERHANA IKAN'!AP34</f>
        <v>0</v>
      </c>
      <c r="BF25" s="322">
        <f>'P NP TBK SEDERHANA IKAN'!AO35</f>
        <v>0</v>
      </c>
      <c r="BG25" s="322">
        <f>'P NP TBK SEDERHANA IKAN'!AP35</f>
        <v>0</v>
      </c>
      <c r="BH25" s="322">
        <f>'P NP TBK SEDERHANA IKAN'!AO36</f>
        <v>0</v>
      </c>
      <c r="BI25" s="322">
        <f>'P NP TBK SEDERHANA IKAN'!AP36</f>
        <v>0</v>
      </c>
      <c r="BJ25" s="322">
        <f>'P NP TBK SEDERHANA IKAN'!AO37</f>
        <v>0</v>
      </c>
      <c r="BK25" s="322">
        <f>'P NP TBK SEDERHANA IKAN'!AP37</f>
        <v>0</v>
      </c>
      <c r="BL25" s="322">
        <f>'P NP TBK SEDERHANA IKAN'!AO38</f>
        <v>0</v>
      </c>
      <c r="BM25" s="322">
        <f>'P NP TBK SEDERHANA IKAN'!AP38</f>
        <v>0</v>
      </c>
      <c r="BN25" s="322">
        <f>'P NP TBK SEDERHANA IKAN'!AO39</f>
        <v>0</v>
      </c>
      <c r="BO25" s="322">
        <f>'P NP TBK SEDERHANA IKAN'!AP39</f>
        <v>0</v>
      </c>
      <c r="BP25" s="322">
        <f>'P NP TBK SEDERHANA IKAN'!AO40</f>
        <v>0</v>
      </c>
      <c r="BQ25" s="322">
        <f>'P NP TBK SEDERHANA IKAN'!AP40</f>
        <v>0</v>
      </c>
      <c r="BR25" s="322">
        <f>'P NP TBK SEDERHANA IKAN'!AO41</f>
        <v>0</v>
      </c>
      <c r="BS25" s="322">
        <f>'P NP TBK SEDERHANA IKAN'!AP41</f>
        <v>0</v>
      </c>
      <c r="BT25" s="322">
        <f>'P NP TBK SEDERHANA IKAN'!AO42</f>
        <v>0</v>
      </c>
      <c r="BU25" s="322">
        <f>'P NP TBK SEDERHANA IKAN'!AP42</f>
        <v>0</v>
      </c>
      <c r="BV25" s="322">
        <f>'P NP TBK SEDERHANA IKAN'!AO43</f>
        <v>0</v>
      </c>
      <c r="BW25" s="322">
        <f>'P NP TBK SEDERHANA IKAN'!AP43</f>
        <v>0</v>
      </c>
      <c r="BX25" s="322">
        <f>'P NP TBK SEDERHANA IKAN'!AO44</f>
        <v>0</v>
      </c>
      <c r="BY25" s="322">
        <f>'P NP TBK SEDERHANA IKAN'!AP44</f>
        <v>0</v>
      </c>
      <c r="CA25" s="322">
        <f t="shared" si="5"/>
        <v>0</v>
      </c>
      <c r="CB25" s="322">
        <f t="shared" si="6"/>
        <v>0</v>
      </c>
    </row>
    <row r="26" spans="1:80">
      <c r="A26" s="260" t="s">
        <v>113</v>
      </c>
      <c r="B26" s="320">
        <f t="shared" si="3"/>
        <v>0</v>
      </c>
      <c r="C26" s="320">
        <f t="shared" si="4"/>
        <v>0</v>
      </c>
      <c r="D26" s="322">
        <f>'P NP TBK SEDERHANA IKAN'!AQ8</f>
        <v>0</v>
      </c>
      <c r="E26" s="322">
        <f>'P NP TBK SEDERHANA IKAN'!AR8</f>
        <v>0</v>
      </c>
      <c r="F26" s="322">
        <f>'P NP TBK SEDERHANA IKAN'!AQ9</f>
        <v>0</v>
      </c>
      <c r="G26" s="322">
        <f>'P NP TBK SEDERHANA IKAN'!AR9</f>
        <v>0</v>
      </c>
      <c r="H26" s="322">
        <f>'P NP TBK SEDERHANA IKAN'!AQ10</f>
        <v>0</v>
      </c>
      <c r="I26" s="322">
        <f>'P NP TBK SEDERHANA IKAN'!AR10</f>
        <v>0</v>
      </c>
      <c r="J26" s="322">
        <f>'P NP TBK SEDERHANA IKAN'!AQ11</f>
        <v>0</v>
      </c>
      <c r="K26" s="322">
        <f>'P NP TBK SEDERHANA IKAN'!AR11</f>
        <v>0</v>
      </c>
      <c r="L26" s="322">
        <f>'P NP TBK SEDERHANA IKAN'!AQ12</f>
        <v>0</v>
      </c>
      <c r="M26" s="322">
        <f>'P NP TBK SEDERHANA IKAN'!AR12</f>
        <v>0</v>
      </c>
      <c r="N26" s="322">
        <f>'P NP TBK SEDERHANA IKAN'!AQ13</f>
        <v>0</v>
      </c>
      <c r="O26" s="322">
        <f>'P NP TBK SEDERHANA IKAN'!AR13</f>
        <v>0</v>
      </c>
      <c r="P26" s="322">
        <f>'P NP TBK SEDERHANA IKAN'!AQ14</f>
        <v>0</v>
      </c>
      <c r="Q26" s="322">
        <f>'P NP TBK SEDERHANA IKAN'!AR14</f>
        <v>0</v>
      </c>
      <c r="R26" s="322">
        <f>'P NP TBK SEDERHANA IKAN'!AQ15</f>
        <v>0</v>
      </c>
      <c r="S26" s="322">
        <f>'P NP TBK SEDERHANA IKAN'!AR15</f>
        <v>0</v>
      </c>
      <c r="T26" s="322">
        <f>'P NP TBK SEDERHANA IKAN'!AQ16</f>
        <v>0</v>
      </c>
      <c r="U26" s="322">
        <f>'P NP TBK SEDERHANA IKAN'!AR16</f>
        <v>0</v>
      </c>
      <c r="V26" s="322">
        <f>'P NP TBK SEDERHANA IKAN'!AQ17</f>
        <v>0</v>
      </c>
      <c r="W26" s="322">
        <f>'P NP TBK SEDERHANA IKAN'!AR17</f>
        <v>0</v>
      </c>
      <c r="X26" s="322">
        <f>'P NP TBK SEDERHANA IKAN'!AQ18</f>
        <v>0</v>
      </c>
      <c r="Y26" s="322">
        <f>'P NP TBK SEDERHANA IKAN'!AR18</f>
        <v>0</v>
      </c>
      <c r="Z26" s="322">
        <f>'P NP TBK SEDERHANA IKAN'!AQ19</f>
        <v>0</v>
      </c>
      <c r="AA26" s="322">
        <f>'P NP TBK SEDERHANA IKAN'!AR19</f>
        <v>0</v>
      </c>
      <c r="AB26" s="322">
        <f>'P NP TBK SEDERHANA IKAN'!AQ20</f>
        <v>0</v>
      </c>
      <c r="AC26" s="322">
        <f>'P NP TBK SEDERHANA IKAN'!AR20</f>
        <v>0</v>
      </c>
      <c r="AD26" s="322">
        <f>'P NP TBK SEDERHANA IKAN'!AQ21</f>
        <v>0</v>
      </c>
      <c r="AE26" s="322">
        <f>'P NP TBK SEDERHANA IKAN'!AR21</f>
        <v>0</v>
      </c>
      <c r="AF26" s="322">
        <f>'P NP TBK SEDERHANA IKAN'!AQ22</f>
        <v>0</v>
      </c>
      <c r="AG26" s="322">
        <f>'P NP TBK SEDERHANA IKAN'!AR22</f>
        <v>0</v>
      </c>
      <c r="AH26" s="322">
        <f>'P NP TBK SEDERHANA IKAN'!AQ23</f>
        <v>0</v>
      </c>
      <c r="AI26" s="322">
        <f>'P NP TBK SEDERHANA IKAN'!AR23</f>
        <v>0</v>
      </c>
      <c r="AJ26" s="322">
        <f>'P NP TBK SEDERHANA IKAN'!AQ24</f>
        <v>0</v>
      </c>
      <c r="AK26" s="322">
        <f>'P NP TBK SEDERHANA IKAN'!AR24</f>
        <v>0</v>
      </c>
      <c r="AL26" s="322">
        <f>'P NP TBK SEDERHANA IKAN'!AQ25</f>
        <v>0</v>
      </c>
      <c r="AM26" s="322">
        <f>'P NP TBK SEDERHANA IKAN'!AR25</f>
        <v>0</v>
      </c>
      <c r="AN26" s="322">
        <f>'P NP TBK SEDERHANA IKAN'!AQ26</f>
        <v>0</v>
      </c>
      <c r="AO26" s="322">
        <f>'P NP TBK SEDERHANA IKAN'!AR26</f>
        <v>0</v>
      </c>
      <c r="AP26" s="322">
        <f>'P NP TBK SEDERHANA IKAN'!AQ27</f>
        <v>0</v>
      </c>
      <c r="AQ26" s="322">
        <f>'P NP TBK SEDERHANA IKAN'!AR27</f>
        <v>0</v>
      </c>
      <c r="AR26" s="322">
        <f>'P NP TBK SEDERHANA IKAN'!AQ28</f>
        <v>0</v>
      </c>
      <c r="AS26" s="322">
        <f>'P NP TBK SEDERHANA IKAN'!AR28</f>
        <v>0</v>
      </c>
      <c r="AT26" s="322">
        <f>'P NP TBK SEDERHANA IKAN'!AQ29</f>
        <v>0</v>
      </c>
      <c r="AU26" s="322">
        <f>'P NP TBK SEDERHANA IKAN'!AR29</f>
        <v>0</v>
      </c>
      <c r="AV26" s="322">
        <f>'P NP TBK SEDERHANA IKAN'!AQ30</f>
        <v>0</v>
      </c>
      <c r="AW26" s="322">
        <f>'P NP TBK SEDERHANA IKAN'!AR30</f>
        <v>0</v>
      </c>
      <c r="AX26" s="322">
        <f>'P NP TBK SEDERHANA IKAN'!AQ31</f>
        <v>0</v>
      </c>
      <c r="AY26" s="322">
        <f>'P NP TBK SEDERHANA IKAN'!AR31</f>
        <v>0</v>
      </c>
      <c r="AZ26" s="322">
        <f>'P NP TBK SEDERHANA IKAN'!AQ32</f>
        <v>0</v>
      </c>
      <c r="BA26" s="322">
        <f>'P NP TBK SEDERHANA IKAN'!AR32</f>
        <v>0</v>
      </c>
      <c r="BB26" s="322">
        <f>'P NP TBK SEDERHANA IKAN'!AQ33</f>
        <v>0</v>
      </c>
      <c r="BC26" s="322">
        <f>'P NP TBK SEDERHANA IKAN'!AR33</f>
        <v>0</v>
      </c>
      <c r="BD26" s="322">
        <f>'P NP TBK SEDERHANA IKAN'!AQ34</f>
        <v>0</v>
      </c>
      <c r="BE26" s="322">
        <f>'P NP TBK SEDERHANA IKAN'!AR34</f>
        <v>0</v>
      </c>
      <c r="BF26" s="322">
        <f>'P NP TBK SEDERHANA IKAN'!AQ35</f>
        <v>0</v>
      </c>
      <c r="BG26" s="322">
        <f>'P NP TBK SEDERHANA IKAN'!AR35</f>
        <v>0</v>
      </c>
      <c r="BH26" s="322">
        <f>'P NP TBK SEDERHANA IKAN'!AQ36</f>
        <v>0</v>
      </c>
      <c r="BI26" s="322">
        <f>'P NP TBK SEDERHANA IKAN'!AR36</f>
        <v>0</v>
      </c>
      <c r="BJ26" s="322">
        <f>'P NP TBK SEDERHANA IKAN'!AQ37</f>
        <v>0</v>
      </c>
      <c r="BK26" s="322">
        <f>'P NP TBK SEDERHANA IKAN'!AR37</f>
        <v>0</v>
      </c>
      <c r="BL26" s="322">
        <f>'P NP TBK SEDERHANA IKAN'!AQ38</f>
        <v>0</v>
      </c>
      <c r="BM26" s="322">
        <f>'P NP TBK SEDERHANA IKAN'!AR38</f>
        <v>0</v>
      </c>
      <c r="BN26" s="322">
        <f>'P NP TBK SEDERHANA IKAN'!AQ39</f>
        <v>0</v>
      </c>
      <c r="BO26" s="322">
        <f>'P NP TBK SEDERHANA IKAN'!AR39</f>
        <v>0</v>
      </c>
      <c r="BP26" s="322">
        <f>'P NP TBK SEDERHANA IKAN'!AQ40</f>
        <v>0</v>
      </c>
      <c r="BQ26" s="322">
        <f>'P NP TBK SEDERHANA IKAN'!AR40</f>
        <v>0</v>
      </c>
      <c r="BR26" s="322">
        <f>'P NP TBK SEDERHANA IKAN'!AQ41</f>
        <v>0</v>
      </c>
      <c r="BS26" s="322">
        <f>'P NP TBK SEDERHANA IKAN'!AR41</f>
        <v>0</v>
      </c>
      <c r="BT26" s="322">
        <f>'P NP TBK SEDERHANA IKAN'!AQ42</f>
        <v>0</v>
      </c>
      <c r="BU26" s="322">
        <f>'P NP TBK SEDERHANA IKAN'!AR42</f>
        <v>0</v>
      </c>
      <c r="BV26" s="322">
        <f>'P NP TBK SEDERHANA IKAN'!AQ43</f>
        <v>0</v>
      </c>
      <c r="BW26" s="322">
        <f>'P NP TBK SEDERHANA IKAN'!AR43</f>
        <v>0</v>
      </c>
      <c r="BX26" s="322">
        <f>'P NP TBK SEDERHANA IKAN'!AQ44</f>
        <v>0</v>
      </c>
      <c r="BY26" s="322">
        <f>'P NP TBK SEDERHANA IKAN'!AR44</f>
        <v>0</v>
      </c>
      <c r="CA26" s="322">
        <f t="shared" si="5"/>
        <v>0</v>
      </c>
      <c r="CB26" s="322">
        <f t="shared" si="6"/>
        <v>0</v>
      </c>
    </row>
    <row r="27" spans="1:80">
      <c r="A27" s="260" t="s">
        <v>124</v>
      </c>
      <c r="B27" s="320">
        <f t="shared" si="3"/>
        <v>0</v>
      </c>
      <c r="C27" s="320">
        <f t="shared" si="4"/>
        <v>0</v>
      </c>
      <c r="D27" s="322">
        <f>'P NP TBK SEDERHANA IKAN'!AS8</f>
        <v>0</v>
      </c>
      <c r="E27" s="322">
        <f>'P NP TBK SEDERHANA IKAN'!AT8</f>
        <v>0</v>
      </c>
      <c r="F27" s="322">
        <f>'P NP TBK SEDERHANA IKAN'!AS9</f>
        <v>0</v>
      </c>
      <c r="G27" s="322">
        <f>'P NP TBK SEDERHANA IKAN'!AT9</f>
        <v>0</v>
      </c>
      <c r="H27" s="322">
        <f>'P NP TBK SEDERHANA IKAN'!AS10</f>
        <v>0</v>
      </c>
      <c r="I27" s="322">
        <f>'P NP TBK SEDERHANA IKAN'!AT10</f>
        <v>0</v>
      </c>
      <c r="J27" s="322">
        <f>'P NP TBK SEDERHANA IKAN'!AS11</f>
        <v>0</v>
      </c>
      <c r="K27" s="322">
        <f>'P NP TBK SEDERHANA IKAN'!AT11</f>
        <v>0</v>
      </c>
      <c r="L27" s="322">
        <f>'P NP TBK SEDERHANA IKAN'!AS12</f>
        <v>0</v>
      </c>
      <c r="M27" s="322">
        <f>'P NP TBK SEDERHANA IKAN'!AT12</f>
        <v>0</v>
      </c>
      <c r="N27" s="322">
        <f>'P NP TBK SEDERHANA IKAN'!AS13</f>
        <v>0</v>
      </c>
      <c r="O27" s="322">
        <f>'P NP TBK SEDERHANA IKAN'!AT13</f>
        <v>0</v>
      </c>
      <c r="P27" s="322">
        <f>'P NP TBK SEDERHANA IKAN'!AS14</f>
        <v>0</v>
      </c>
      <c r="Q27" s="322">
        <f>'P NP TBK SEDERHANA IKAN'!AT14</f>
        <v>0</v>
      </c>
      <c r="R27" s="322">
        <f>'P NP TBK SEDERHANA IKAN'!AS15</f>
        <v>0</v>
      </c>
      <c r="S27" s="322">
        <f>'P NP TBK SEDERHANA IKAN'!AT15</f>
        <v>0</v>
      </c>
      <c r="T27" s="322">
        <f>'P NP TBK SEDERHANA IKAN'!AS16</f>
        <v>0</v>
      </c>
      <c r="U27" s="322">
        <f>'P NP TBK SEDERHANA IKAN'!AT16</f>
        <v>0</v>
      </c>
      <c r="V27" s="322">
        <f>'P NP TBK SEDERHANA IKAN'!AS17</f>
        <v>0</v>
      </c>
      <c r="W27" s="322">
        <f>'P NP TBK SEDERHANA IKAN'!AT17</f>
        <v>0</v>
      </c>
      <c r="X27" s="322">
        <f>'P NP TBK SEDERHANA IKAN'!AS18</f>
        <v>0</v>
      </c>
      <c r="Y27" s="322">
        <f>'P NP TBK SEDERHANA IKAN'!AT18</f>
        <v>0</v>
      </c>
      <c r="Z27" s="322">
        <f>'P NP TBK SEDERHANA IKAN'!AS19</f>
        <v>0</v>
      </c>
      <c r="AA27" s="322">
        <f>'P NP TBK SEDERHANA IKAN'!AT19</f>
        <v>0</v>
      </c>
      <c r="AB27" s="322">
        <f>'P NP TBK SEDERHANA IKAN'!AS20</f>
        <v>0</v>
      </c>
      <c r="AC27" s="322">
        <f>'P NP TBK SEDERHANA IKAN'!AT20</f>
        <v>0</v>
      </c>
      <c r="AD27" s="322">
        <f>'P NP TBK SEDERHANA IKAN'!AS21</f>
        <v>0</v>
      </c>
      <c r="AE27" s="322">
        <f>'P NP TBK SEDERHANA IKAN'!AT21</f>
        <v>0</v>
      </c>
      <c r="AF27" s="322">
        <f>'P NP TBK SEDERHANA IKAN'!AS22</f>
        <v>0</v>
      </c>
      <c r="AG27" s="322">
        <f>'P NP TBK SEDERHANA IKAN'!AT22</f>
        <v>0</v>
      </c>
      <c r="AH27" s="322">
        <f>'P NP TBK SEDERHANA IKAN'!AS23</f>
        <v>0</v>
      </c>
      <c r="AI27" s="322">
        <f>'P NP TBK SEDERHANA IKAN'!AT23</f>
        <v>0</v>
      </c>
      <c r="AJ27" s="322">
        <f>'P NP TBK SEDERHANA IKAN'!AS24</f>
        <v>0</v>
      </c>
      <c r="AK27" s="322">
        <f>'P NP TBK SEDERHANA IKAN'!AT24</f>
        <v>0</v>
      </c>
      <c r="AL27" s="322">
        <f>'P NP TBK SEDERHANA IKAN'!AS25</f>
        <v>0</v>
      </c>
      <c r="AM27" s="322">
        <f>'P NP TBK SEDERHANA IKAN'!AT25</f>
        <v>0</v>
      </c>
      <c r="AN27" s="322">
        <f>'P NP TBK SEDERHANA IKAN'!AS26</f>
        <v>0</v>
      </c>
      <c r="AO27" s="322">
        <f>'P NP TBK SEDERHANA IKAN'!AT26</f>
        <v>0</v>
      </c>
      <c r="AP27" s="322">
        <f>'P NP TBK SEDERHANA IKAN'!AS27</f>
        <v>0</v>
      </c>
      <c r="AQ27" s="322">
        <f>'P NP TBK SEDERHANA IKAN'!AT27</f>
        <v>0</v>
      </c>
      <c r="AR27" s="322">
        <f>'P NP TBK SEDERHANA IKAN'!AS28</f>
        <v>0</v>
      </c>
      <c r="AS27" s="322">
        <f>'P NP TBK SEDERHANA IKAN'!AT28</f>
        <v>0</v>
      </c>
      <c r="AT27" s="322">
        <f>'P NP TBK SEDERHANA IKAN'!AS29</f>
        <v>0</v>
      </c>
      <c r="AU27" s="322">
        <f>'P NP TBK SEDERHANA IKAN'!AT29</f>
        <v>0</v>
      </c>
      <c r="AV27" s="322">
        <f>'P NP TBK SEDERHANA IKAN'!AS30</f>
        <v>0</v>
      </c>
      <c r="AW27" s="322">
        <f>'P NP TBK SEDERHANA IKAN'!AT30</f>
        <v>0</v>
      </c>
      <c r="AX27" s="322">
        <f>'P NP TBK SEDERHANA IKAN'!AS31</f>
        <v>0</v>
      </c>
      <c r="AY27" s="322">
        <f>'P NP TBK SEDERHANA IKAN'!AT31</f>
        <v>0</v>
      </c>
      <c r="AZ27" s="322">
        <f>'P NP TBK SEDERHANA IKAN'!AS32</f>
        <v>0</v>
      </c>
      <c r="BA27" s="322">
        <f>'P NP TBK SEDERHANA IKAN'!AT32</f>
        <v>0</v>
      </c>
      <c r="BB27" s="322">
        <f>'P NP TBK SEDERHANA IKAN'!AS33</f>
        <v>0</v>
      </c>
      <c r="BC27" s="322">
        <f>'P NP TBK SEDERHANA IKAN'!AT33</f>
        <v>0</v>
      </c>
      <c r="BD27" s="322">
        <f>'P NP TBK SEDERHANA IKAN'!AS34</f>
        <v>0</v>
      </c>
      <c r="BE27" s="322">
        <f>'P NP TBK SEDERHANA IKAN'!AT34</f>
        <v>0</v>
      </c>
      <c r="BF27" s="322">
        <f>'P NP TBK SEDERHANA IKAN'!AS35</f>
        <v>0</v>
      </c>
      <c r="BG27" s="322">
        <f>'P NP TBK SEDERHANA IKAN'!AT35</f>
        <v>0</v>
      </c>
      <c r="BH27" s="322">
        <f>'P NP TBK SEDERHANA IKAN'!AS36</f>
        <v>0</v>
      </c>
      <c r="BI27" s="322">
        <f>'P NP TBK SEDERHANA IKAN'!AT36</f>
        <v>0</v>
      </c>
      <c r="BJ27" s="322">
        <f>'P NP TBK SEDERHANA IKAN'!AS37</f>
        <v>0</v>
      </c>
      <c r="BK27" s="322">
        <f>'P NP TBK SEDERHANA IKAN'!AT37</f>
        <v>0</v>
      </c>
      <c r="BL27" s="322">
        <f>'P NP TBK SEDERHANA IKAN'!AS38</f>
        <v>0</v>
      </c>
      <c r="BM27" s="322">
        <f>'P NP TBK SEDERHANA IKAN'!AT38</f>
        <v>0</v>
      </c>
      <c r="BN27" s="322">
        <f>'P NP TBK SEDERHANA IKAN'!AS39</f>
        <v>0</v>
      </c>
      <c r="BO27" s="322">
        <f>'P NP TBK SEDERHANA IKAN'!AT39</f>
        <v>0</v>
      </c>
      <c r="BP27" s="322">
        <f>'P NP TBK SEDERHANA IKAN'!AS40</f>
        <v>0</v>
      </c>
      <c r="BQ27" s="322">
        <f>'P NP TBK SEDERHANA IKAN'!AT40</f>
        <v>0</v>
      </c>
      <c r="BR27" s="322">
        <f>'P NP TBK SEDERHANA IKAN'!AS41</f>
        <v>0</v>
      </c>
      <c r="BS27" s="322">
        <f>'P NP TBK SEDERHANA IKAN'!AT41</f>
        <v>0</v>
      </c>
      <c r="BT27" s="322">
        <f>'P NP TBK SEDERHANA IKAN'!AS42</f>
        <v>0</v>
      </c>
      <c r="BU27" s="322">
        <f>'P NP TBK SEDERHANA IKAN'!AT42</f>
        <v>0</v>
      </c>
      <c r="BV27" s="322">
        <f>'P NP TBK SEDERHANA IKAN'!AS43</f>
        <v>0</v>
      </c>
      <c r="BW27" s="322">
        <f>'P NP TBK SEDERHANA IKAN'!AT43</f>
        <v>0</v>
      </c>
      <c r="BX27" s="322">
        <f>'P NP TBK SEDERHANA IKAN'!AS44</f>
        <v>0</v>
      </c>
      <c r="BY27" s="322">
        <f>'P NP TBK SEDERHANA IKAN'!AT44</f>
        <v>0</v>
      </c>
      <c r="CA27" s="322">
        <f t="shared" si="5"/>
        <v>0</v>
      </c>
      <c r="CB27" s="322">
        <f t="shared" si="6"/>
        <v>0</v>
      </c>
    </row>
    <row r="28" spans="1:80">
      <c r="A28" s="260" t="s">
        <v>138</v>
      </c>
      <c r="B28" s="320">
        <f t="shared" si="3"/>
        <v>0</v>
      </c>
      <c r="C28" s="320">
        <f t="shared" si="4"/>
        <v>0</v>
      </c>
      <c r="D28" s="322">
        <f>'P NP TBK SEDERHANA IKAN'!AU8</f>
        <v>0</v>
      </c>
      <c r="E28" s="322">
        <f>'P NP TBK SEDERHANA IKAN'!AV8</f>
        <v>0</v>
      </c>
      <c r="F28" s="322">
        <f>'P NP TBK SEDERHANA IKAN'!AU9</f>
        <v>0</v>
      </c>
      <c r="G28" s="322">
        <f>'P NP TBK SEDERHANA IKAN'!AV9</f>
        <v>0</v>
      </c>
      <c r="H28" s="322">
        <f>'P NP TBK SEDERHANA IKAN'!AU10</f>
        <v>0</v>
      </c>
      <c r="I28" s="322">
        <f>'P NP TBK SEDERHANA IKAN'!AV10</f>
        <v>0</v>
      </c>
      <c r="J28" s="322">
        <f>'P NP TBK SEDERHANA IKAN'!AU11</f>
        <v>0</v>
      </c>
      <c r="K28" s="322">
        <f>'P NP TBK SEDERHANA IKAN'!AV11</f>
        <v>0</v>
      </c>
      <c r="L28" s="322">
        <f>'P NP TBK SEDERHANA IKAN'!AU12</f>
        <v>0</v>
      </c>
      <c r="M28" s="322">
        <f>'P NP TBK SEDERHANA IKAN'!AV12</f>
        <v>0</v>
      </c>
      <c r="N28" s="322">
        <f>'P NP TBK SEDERHANA IKAN'!AU13</f>
        <v>0</v>
      </c>
      <c r="O28" s="322">
        <f>'P NP TBK SEDERHANA IKAN'!AV13</f>
        <v>0</v>
      </c>
      <c r="P28" s="322">
        <f>'P NP TBK SEDERHANA IKAN'!AU14</f>
        <v>0</v>
      </c>
      <c r="Q28" s="322">
        <f>'P NP TBK SEDERHANA IKAN'!AV14</f>
        <v>0</v>
      </c>
      <c r="R28" s="322">
        <f>'P NP TBK SEDERHANA IKAN'!AU15</f>
        <v>0</v>
      </c>
      <c r="S28" s="322">
        <f>'P NP TBK SEDERHANA IKAN'!AV15</f>
        <v>0</v>
      </c>
      <c r="T28" s="322">
        <f>'P NP TBK SEDERHANA IKAN'!AU16</f>
        <v>0</v>
      </c>
      <c r="U28" s="322">
        <f>'P NP TBK SEDERHANA IKAN'!AV16</f>
        <v>0</v>
      </c>
      <c r="V28" s="322">
        <f>'P NP TBK SEDERHANA IKAN'!AU17</f>
        <v>0</v>
      </c>
      <c r="W28" s="322">
        <f>'P NP TBK SEDERHANA IKAN'!AV17</f>
        <v>0</v>
      </c>
      <c r="X28" s="322">
        <f>'P NP TBK SEDERHANA IKAN'!AU18</f>
        <v>0</v>
      </c>
      <c r="Y28" s="322">
        <f>'P NP TBK SEDERHANA IKAN'!AV18</f>
        <v>0</v>
      </c>
      <c r="Z28" s="322">
        <f>'P NP TBK SEDERHANA IKAN'!AU19</f>
        <v>0</v>
      </c>
      <c r="AA28" s="322">
        <f>'P NP TBK SEDERHANA IKAN'!AV19</f>
        <v>0</v>
      </c>
      <c r="AB28" s="322">
        <f>'P NP TBK SEDERHANA IKAN'!AU20</f>
        <v>0</v>
      </c>
      <c r="AC28" s="322">
        <f>'P NP TBK SEDERHANA IKAN'!AV20</f>
        <v>0</v>
      </c>
      <c r="AD28" s="322">
        <f>'P NP TBK SEDERHANA IKAN'!AU21</f>
        <v>0</v>
      </c>
      <c r="AE28" s="322">
        <f>'P NP TBK SEDERHANA IKAN'!AV21</f>
        <v>0</v>
      </c>
      <c r="AF28" s="322">
        <f>'P NP TBK SEDERHANA IKAN'!AU22</f>
        <v>0</v>
      </c>
      <c r="AG28" s="322">
        <f>'P NP TBK SEDERHANA IKAN'!AV22</f>
        <v>0</v>
      </c>
      <c r="AH28" s="322">
        <f>'P NP TBK SEDERHANA IKAN'!AU23</f>
        <v>0</v>
      </c>
      <c r="AI28" s="322">
        <f>'P NP TBK SEDERHANA IKAN'!AV23</f>
        <v>0</v>
      </c>
      <c r="AJ28" s="322">
        <f>'P NP TBK SEDERHANA IKAN'!AU24</f>
        <v>0</v>
      </c>
      <c r="AK28" s="322">
        <f>'P NP TBK SEDERHANA IKAN'!AV24</f>
        <v>0</v>
      </c>
      <c r="AL28" s="322">
        <f>'P NP TBK SEDERHANA IKAN'!AU25</f>
        <v>0</v>
      </c>
      <c r="AM28" s="322">
        <f>'P NP TBK SEDERHANA IKAN'!AV25</f>
        <v>0</v>
      </c>
      <c r="AN28" s="322">
        <f>'P NP TBK SEDERHANA IKAN'!AU26</f>
        <v>0</v>
      </c>
      <c r="AO28" s="322">
        <f>'P NP TBK SEDERHANA IKAN'!AV26</f>
        <v>0</v>
      </c>
      <c r="AP28" s="322">
        <f>'P NP TBK SEDERHANA IKAN'!AU27</f>
        <v>0</v>
      </c>
      <c r="AQ28" s="322">
        <f>'P NP TBK SEDERHANA IKAN'!AV27</f>
        <v>0</v>
      </c>
      <c r="AR28" s="322">
        <f>'P NP TBK SEDERHANA IKAN'!AU28</f>
        <v>0</v>
      </c>
      <c r="AS28" s="322">
        <f>'P NP TBK SEDERHANA IKAN'!AV28</f>
        <v>0</v>
      </c>
      <c r="AT28" s="322">
        <f>'P NP TBK SEDERHANA IKAN'!AU29</f>
        <v>0</v>
      </c>
      <c r="AU28" s="322">
        <f>'P NP TBK SEDERHANA IKAN'!AV29</f>
        <v>0</v>
      </c>
      <c r="AV28" s="322">
        <f>'P NP TBK SEDERHANA IKAN'!AU30</f>
        <v>0</v>
      </c>
      <c r="AW28" s="322">
        <f>'P NP TBK SEDERHANA IKAN'!AV30</f>
        <v>0</v>
      </c>
      <c r="AX28" s="322">
        <f>'P NP TBK SEDERHANA IKAN'!AU31</f>
        <v>0</v>
      </c>
      <c r="AY28" s="322">
        <f>'P NP TBK SEDERHANA IKAN'!AV31</f>
        <v>0</v>
      </c>
      <c r="AZ28" s="322">
        <f>'P NP TBK SEDERHANA IKAN'!AU32</f>
        <v>0</v>
      </c>
      <c r="BA28" s="322">
        <f>'P NP TBK SEDERHANA IKAN'!AV32</f>
        <v>0</v>
      </c>
      <c r="BB28" s="322">
        <f>'P NP TBK SEDERHANA IKAN'!AU33</f>
        <v>0</v>
      </c>
      <c r="BC28" s="322">
        <f>'P NP TBK SEDERHANA IKAN'!AV33</f>
        <v>0</v>
      </c>
      <c r="BD28" s="322">
        <f>'P NP TBK SEDERHANA IKAN'!AU34</f>
        <v>0</v>
      </c>
      <c r="BE28" s="322">
        <f>'P NP TBK SEDERHANA IKAN'!AV34</f>
        <v>0</v>
      </c>
      <c r="BF28" s="322">
        <f>'P NP TBK SEDERHANA IKAN'!AU35</f>
        <v>0</v>
      </c>
      <c r="BG28" s="322">
        <f>'P NP TBK SEDERHANA IKAN'!AV35</f>
        <v>0</v>
      </c>
      <c r="BH28" s="322">
        <f>'P NP TBK SEDERHANA IKAN'!AU36</f>
        <v>0</v>
      </c>
      <c r="BI28" s="322">
        <f>'P NP TBK SEDERHANA IKAN'!AV36</f>
        <v>0</v>
      </c>
      <c r="BJ28" s="322">
        <f>'P NP TBK SEDERHANA IKAN'!AU37</f>
        <v>0</v>
      </c>
      <c r="BK28" s="322">
        <f>'P NP TBK SEDERHANA IKAN'!AV37</f>
        <v>0</v>
      </c>
      <c r="BL28" s="322">
        <f>'P NP TBK SEDERHANA IKAN'!AU38</f>
        <v>0</v>
      </c>
      <c r="BM28" s="322">
        <f>'P NP TBK SEDERHANA IKAN'!AV38</f>
        <v>0</v>
      </c>
      <c r="BN28" s="322">
        <f>'P NP TBK SEDERHANA IKAN'!AU39</f>
        <v>0</v>
      </c>
      <c r="BO28" s="322">
        <f>'P NP TBK SEDERHANA IKAN'!AV39</f>
        <v>0</v>
      </c>
      <c r="BP28" s="322">
        <f>'P NP TBK SEDERHANA IKAN'!AU40</f>
        <v>0</v>
      </c>
      <c r="BQ28" s="322">
        <f>'P NP TBK SEDERHANA IKAN'!AV40</f>
        <v>0</v>
      </c>
      <c r="BR28" s="322">
        <f>'P NP TBK SEDERHANA IKAN'!AU41</f>
        <v>0</v>
      </c>
      <c r="BS28" s="322">
        <f>'P NP TBK SEDERHANA IKAN'!AV41</f>
        <v>0</v>
      </c>
      <c r="BT28" s="322">
        <f>'P NP TBK SEDERHANA IKAN'!AU42</f>
        <v>0</v>
      </c>
      <c r="BU28" s="322">
        <f>'P NP TBK SEDERHANA IKAN'!AV42</f>
        <v>0</v>
      </c>
      <c r="BV28" s="322">
        <f>'P NP TBK SEDERHANA IKAN'!AU43</f>
        <v>0</v>
      </c>
      <c r="BW28" s="322">
        <f>'P NP TBK SEDERHANA IKAN'!AV43</f>
        <v>0</v>
      </c>
      <c r="BX28" s="322">
        <f>'P NP TBK SEDERHANA IKAN'!AU44</f>
        <v>0</v>
      </c>
      <c r="BY28" s="322">
        <f>'P NP TBK SEDERHANA IKAN'!AV44</f>
        <v>0</v>
      </c>
      <c r="CA28" s="322">
        <f t="shared" si="5"/>
        <v>0</v>
      </c>
      <c r="CB28" s="322">
        <f t="shared" si="6"/>
        <v>0</v>
      </c>
    </row>
    <row r="29" spans="1:80">
      <c r="A29" s="260" t="s">
        <v>126</v>
      </c>
      <c r="B29" s="320">
        <f t="shared" si="3"/>
        <v>0</v>
      </c>
      <c r="C29" s="320">
        <f t="shared" si="4"/>
        <v>0</v>
      </c>
      <c r="D29" s="322">
        <f>'P NP TBK SEDERHANA IKAN'!AW8</f>
        <v>0</v>
      </c>
      <c r="E29" s="322">
        <f>'P NP TBK SEDERHANA IKAN'!AX8</f>
        <v>0</v>
      </c>
      <c r="F29" s="322">
        <f>'P NP TBK SEDERHANA IKAN'!AW9</f>
        <v>0</v>
      </c>
      <c r="G29" s="322">
        <f>'P NP TBK SEDERHANA IKAN'!AX9</f>
        <v>0</v>
      </c>
      <c r="H29" s="322">
        <f>'P NP TBK SEDERHANA IKAN'!AW10</f>
        <v>0</v>
      </c>
      <c r="I29" s="322">
        <f>'P NP TBK SEDERHANA IKAN'!AX10</f>
        <v>0</v>
      </c>
      <c r="J29" s="322">
        <f>'P NP TBK SEDERHANA IKAN'!AW11</f>
        <v>0</v>
      </c>
      <c r="K29" s="322">
        <f>'P NP TBK SEDERHANA IKAN'!AX11</f>
        <v>0</v>
      </c>
      <c r="L29" s="322">
        <f>'P NP TBK SEDERHANA IKAN'!AW12</f>
        <v>0</v>
      </c>
      <c r="M29" s="322">
        <f>'P NP TBK SEDERHANA IKAN'!AX12</f>
        <v>0</v>
      </c>
      <c r="N29" s="322">
        <f>'P NP TBK SEDERHANA IKAN'!AW13</f>
        <v>0</v>
      </c>
      <c r="O29" s="322">
        <f>'P NP TBK SEDERHANA IKAN'!AX13</f>
        <v>0</v>
      </c>
      <c r="P29" s="322">
        <f>'P NP TBK SEDERHANA IKAN'!AW14</f>
        <v>0</v>
      </c>
      <c r="Q29" s="322">
        <f>'P NP TBK SEDERHANA IKAN'!AX14</f>
        <v>0</v>
      </c>
      <c r="R29" s="322">
        <f>'P NP TBK SEDERHANA IKAN'!AW15</f>
        <v>0</v>
      </c>
      <c r="S29" s="322">
        <f>'P NP TBK SEDERHANA IKAN'!AX15</f>
        <v>0</v>
      </c>
      <c r="T29" s="322">
        <f>'P NP TBK SEDERHANA IKAN'!AW16</f>
        <v>0</v>
      </c>
      <c r="U29" s="322">
        <f>'P NP TBK SEDERHANA IKAN'!AX16</f>
        <v>0</v>
      </c>
      <c r="V29" s="322">
        <f>'P NP TBK SEDERHANA IKAN'!AW17</f>
        <v>0</v>
      </c>
      <c r="W29" s="322">
        <f>'P NP TBK SEDERHANA IKAN'!AX17</f>
        <v>0</v>
      </c>
      <c r="X29" s="322">
        <f>'P NP TBK SEDERHANA IKAN'!AW18</f>
        <v>0</v>
      </c>
      <c r="Y29" s="322">
        <f>'P NP TBK SEDERHANA IKAN'!AX18</f>
        <v>0</v>
      </c>
      <c r="Z29" s="322">
        <f>'P NP TBK SEDERHANA IKAN'!AW19</f>
        <v>0</v>
      </c>
      <c r="AA29" s="322">
        <f>'P NP TBK SEDERHANA IKAN'!AX19</f>
        <v>0</v>
      </c>
      <c r="AB29" s="322">
        <f>'P NP TBK SEDERHANA IKAN'!AW20</f>
        <v>0</v>
      </c>
      <c r="AC29" s="322">
        <f>'P NP TBK SEDERHANA IKAN'!AX20</f>
        <v>0</v>
      </c>
      <c r="AD29" s="322">
        <f>'P NP TBK SEDERHANA IKAN'!AW21</f>
        <v>0</v>
      </c>
      <c r="AE29" s="322">
        <f>'P NP TBK SEDERHANA IKAN'!AX21</f>
        <v>0</v>
      </c>
      <c r="AF29" s="322">
        <f>'P NP TBK SEDERHANA IKAN'!AW22</f>
        <v>0</v>
      </c>
      <c r="AG29" s="322">
        <f>'P NP TBK SEDERHANA IKAN'!AX22</f>
        <v>0</v>
      </c>
      <c r="AH29" s="322">
        <f>'P NP TBK SEDERHANA IKAN'!AW23</f>
        <v>0</v>
      </c>
      <c r="AI29" s="322">
        <f>'P NP TBK SEDERHANA IKAN'!AX23</f>
        <v>0</v>
      </c>
      <c r="AJ29" s="322">
        <f>'P NP TBK SEDERHANA IKAN'!AW24</f>
        <v>0</v>
      </c>
      <c r="AK29" s="322">
        <f>'P NP TBK SEDERHANA IKAN'!AX24</f>
        <v>0</v>
      </c>
      <c r="AL29" s="322">
        <f>'P NP TBK SEDERHANA IKAN'!AW25</f>
        <v>0</v>
      </c>
      <c r="AM29" s="322">
        <f>'P NP TBK SEDERHANA IKAN'!AX25</f>
        <v>0</v>
      </c>
      <c r="AN29" s="322">
        <f>'P NP TBK SEDERHANA IKAN'!AW26</f>
        <v>0</v>
      </c>
      <c r="AO29" s="322">
        <f>'P NP TBK SEDERHANA IKAN'!AX26</f>
        <v>0</v>
      </c>
      <c r="AP29" s="322">
        <f>'P NP TBK SEDERHANA IKAN'!AW27</f>
        <v>0</v>
      </c>
      <c r="AQ29" s="322">
        <f>'P NP TBK SEDERHANA IKAN'!AX27</f>
        <v>0</v>
      </c>
      <c r="AR29" s="322">
        <f>'P NP TBK SEDERHANA IKAN'!AW28</f>
        <v>0</v>
      </c>
      <c r="AS29" s="322">
        <f>'P NP TBK SEDERHANA IKAN'!AX28</f>
        <v>0</v>
      </c>
      <c r="AT29" s="322">
        <f>'P NP TBK SEDERHANA IKAN'!AW29</f>
        <v>0</v>
      </c>
      <c r="AU29" s="322">
        <f>'P NP TBK SEDERHANA IKAN'!AX29</f>
        <v>0</v>
      </c>
      <c r="AV29" s="322">
        <f>'P NP TBK SEDERHANA IKAN'!AW30</f>
        <v>0</v>
      </c>
      <c r="AW29" s="322">
        <f>'P NP TBK SEDERHANA IKAN'!AX30</f>
        <v>0</v>
      </c>
      <c r="AX29" s="322">
        <f>'P NP TBK SEDERHANA IKAN'!AW31</f>
        <v>0</v>
      </c>
      <c r="AY29" s="322">
        <f>'P NP TBK SEDERHANA IKAN'!AX31</f>
        <v>0</v>
      </c>
      <c r="AZ29" s="322">
        <f>'P NP TBK SEDERHANA IKAN'!AW32</f>
        <v>0</v>
      </c>
      <c r="BA29" s="322">
        <f>'P NP TBK SEDERHANA IKAN'!AX32</f>
        <v>0</v>
      </c>
      <c r="BB29" s="322">
        <f>'P NP TBK SEDERHANA IKAN'!AW33</f>
        <v>0</v>
      </c>
      <c r="BC29" s="322">
        <f>'P NP TBK SEDERHANA IKAN'!AX33</f>
        <v>0</v>
      </c>
      <c r="BD29" s="322">
        <f>'P NP TBK SEDERHANA IKAN'!AW34</f>
        <v>0</v>
      </c>
      <c r="BE29" s="322">
        <f>'P NP TBK SEDERHANA IKAN'!AX34</f>
        <v>0</v>
      </c>
      <c r="BF29" s="322">
        <f>'P NP TBK SEDERHANA IKAN'!AW35</f>
        <v>0</v>
      </c>
      <c r="BG29" s="322">
        <f>'P NP TBK SEDERHANA IKAN'!AX35</f>
        <v>0</v>
      </c>
      <c r="BH29" s="322">
        <f>'P NP TBK SEDERHANA IKAN'!AW36</f>
        <v>0</v>
      </c>
      <c r="BI29" s="322">
        <f>'P NP TBK SEDERHANA IKAN'!AX36</f>
        <v>0</v>
      </c>
      <c r="BJ29" s="322">
        <f>'P NP TBK SEDERHANA IKAN'!AW37</f>
        <v>0</v>
      </c>
      <c r="BK29" s="322">
        <f>'P NP TBK SEDERHANA IKAN'!AX37</f>
        <v>0</v>
      </c>
      <c r="BL29" s="322">
        <f>'P NP TBK SEDERHANA IKAN'!AW38</f>
        <v>0</v>
      </c>
      <c r="BM29" s="322">
        <f>'P NP TBK SEDERHANA IKAN'!AX38</f>
        <v>0</v>
      </c>
      <c r="BN29" s="322">
        <f>'P NP TBK SEDERHANA IKAN'!AW39</f>
        <v>0</v>
      </c>
      <c r="BO29" s="322">
        <f>'P NP TBK SEDERHANA IKAN'!AX39</f>
        <v>0</v>
      </c>
      <c r="BP29" s="322">
        <f>'P NP TBK SEDERHANA IKAN'!AW40</f>
        <v>0</v>
      </c>
      <c r="BQ29" s="322">
        <f>'P NP TBK SEDERHANA IKAN'!AX40</f>
        <v>0</v>
      </c>
      <c r="BR29" s="322">
        <f>'P NP TBK SEDERHANA IKAN'!AW41</f>
        <v>0</v>
      </c>
      <c r="BS29" s="322">
        <f>'P NP TBK SEDERHANA IKAN'!AX41</f>
        <v>0</v>
      </c>
      <c r="BT29" s="322">
        <f>'P NP TBK SEDERHANA IKAN'!AW42</f>
        <v>0</v>
      </c>
      <c r="BU29" s="322">
        <f>'P NP TBK SEDERHANA IKAN'!AX42</f>
        <v>0</v>
      </c>
      <c r="BV29" s="322">
        <f>'P NP TBK SEDERHANA IKAN'!AW43</f>
        <v>0</v>
      </c>
      <c r="BW29" s="322">
        <f>'P NP TBK SEDERHANA IKAN'!AX43</f>
        <v>0</v>
      </c>
      <c r="BX29" s="322">
        <f>'P NP TBK SEDERHANA IKAN'!AW44</f>
        <v>0</v>
      </c>
      <c r="BY29" s="322">
        <f>'P NP TBK SEDERHANA IKAN'!AX44</f>
        <v>0</v>
      </c>
      <c r="CA29" s="322">
        <f t="shared" si="5"/>
        <v>0</v>
      </c>
      <c r="CB29" s="322">
        <f t="shared" si="6"/>
        <v>0</v>
      </c>
    </row>
    <row r="30" spans="1:80">
      <c r="A30" s="260" t="s">
        <v>123</v>
      </c>
      <c r="B30" s="320">
        <f t="shared" si="3"/>
        <v>0</v>
      </c>
      <c r="C30" s="320">
        <f t="shared" si="4"/>
        <v>0</v>
      </c>
      <c r="D30" s="322">
        <f>'P NP TBK SEDERHANA IKAN'!AY8</f>
        <v>0</v>
      </c>
      <c r="E30" s="322">
        <f>'P NP TBK SEDERHANA IKAN'!AZ8</f>
        <v>0</v>
      </c>
      <c r="F30" s="322">
        <f>'P NP TBK SEDERHANA IKAN'!AY9</f>
        <v>0</v>
      </c>
      <c r="G30" s="322">
        <f>'P NP TBK SEDERHANA IKAN'!AZ9</f>
        <v>0</v>
      </c>
      <c r="H30" s="322">
        <f>'P NP TBK SEDERHANA IKAN'!AY10</f>
        <v>0</v>
      </c>
      <c r="I30" s="322">
        <f>'P NP TBK SEDERHANA IKAN'!AZ10</f>
        <v>0</v>
      </c>
      <c r="J30" s="322">
        <f>'P NP TBK SEDERHANA IKAN'!AY11</f>
        <v>0</v>
      </c>
      <c r="K30" s="322">
        <f>'P NP TBK SEDERHANA IKAN'!AZ11</f>
        <v>0</v>
      </c>
      <c r="L30" s="322">
        <f>'P NP TBK SEDERHANA IKAN'!AY12</f>
        <v>0</v>
      </c>
      <c r="M30" s="322">
        <f>'P NP TBK SEDERHANA IKAN'!AZ12</f>
        <v>0</v>
      </c>
      <c r="N30" s="322">
        <f>'P NP TBK SEDERHANA IKAN'!AY13</f>
        <v>0</v>
      </c>
      <c r="O30" s="322">
        <f>'P NP TBK SEDERHANA IKAN'!AZ13</f>
        <v>0</v>
      </c>
      <c r="P30" s="322">
        <f>'P NP TBK SEDERHANA IKAN'!AY14</f>
        <v>0</v>
      </c>
      <c r="Q30" s="322">
        <f>'P NP TBK SEDERHANA IKAN'!AZ14</f>
        <v>0</v>
      </c>
      <c r="R30" s="322">
        <f>'P NP TBK SEDERHANA IKAN'!AY15</f>
        <v>0</v>
      </c>
      <c r="S30" s="322">
        <f>'P NP TBK SEDERHANA IKAN'!AZ15</f>
        <v>0</v>
      </c>
      <c r="T30" s="322">
        <f>'P NP TBK SEDERHANA IKAN'!AY16</f>
        <v>0</v>
      </c>
      <c r="U30" s="322">
        <f>'P NP TBK SEDERHANA IKAN'!AZ16</f>
        <v>0</v>
      </c>
      <c r="V30" s="322">
        <f>'P NP TBK SEDERHANA IKAN'!AY17</f>
        <v>0</v>
      </c>
      <c r="W30" s="322">
        <f>'P NP TBK SEDERHANA IKAN'!AZ17</f>
        <v>0</v>
      </c>
      <c r="X30" s="322">
        <f>'P NP TBK SEDERHANA IKAN'!AY18</f>
        <v>0</v>
      </c>
      <c r="Y30" s="322">
        <f>'P NP TBK SEDERHANA IKAN'!AZ18</f>
        <v>0</v>
      </c>
      <c r="Z30" s="322">
        <f>'P NP TBK SEDERHANA IKAN'!AY19</f>
        <v>0</v>
      </c>
      <c r="AA30" s="322">
        <f>'P NP TBK SEDERHANA IKAN'!AZ19</f>
        <v>0</v>
      </c>
      <c r="AB30" s="322">
        <f>'P NP TBK SEDERHANA IKAN'!AY20</f>
        <v>0</v>
      </c>
      <c r="AC30" s="322">
        <f>'P NP TBK SEDERHANA IKAN'!AZ20</f>
        <v>0</v>
      </c>
      <c r="AD30" s="322">
        <f>'P NP TBK SEDERHANA IKAN'!AY21</f>
        <v>0</v>
      </c>
      <c r="AE30" s="322">
        <f>'P NP TBK SEDERHANA IKAN'!AZ21</f>
        <v>0</v>
      </c>
      <c r="AF30" s="322">
        <f>'P NP TBK SEDERHANA IKAN'!AY22</f>
        <v>0</v>
      </c>
      <c r="AG30" s="322">
        <f>'P NP TBK SEDERHANA IKAN'!AZ22</f>
        <v>0</v>
      </c>
      <c r="AH30" s="322">
        <f>'P NP TBK SEDERHANA IKAN'!AY23</f>
        <v>0</v>
      </c>
      <c r="AI30" s="322">
        <f>'P NP TBK SEDERHANA IKAN'!AZ23</f>
        <v>0</v>
      </c>
      <c r="AJ30" s="322">
        <f>'P NP TBK SEDERHANA IKAN'!AY24</f>
        <v>0</v>
      </c>
      <c r="AK30" s="322">
        <f>'P NP TBK SEDERHANA IKAN'!AZ24</f>
        <v>0</v>
      </c>
      <c r="AL30" s="322">
        <f>'P NP TBK SEDERHANA IKAN'!AY25</f>
        <v>0</v>
      </c>
      <c r="AM30" s="322">
        <f>'P NP TBK SEDERHANA IKAN'!AZ25</f>
        <v>0</v>
      </c>
      <c r="AN30" s="322">
        <f>'P NP TBK SEDERHANA IKAN'!AY26</f>
        <v>0</v>
      </c>
      <c r="AO30" s="322">
        <f>'P NP TBK SEDERHANA IKAN'!AZ26</f>
        <v>0</v>
      </c>
      <c r="AP30" s="322">
        <f>'P NP TBK SEDERHANA IKAN'!AY27</f>
        <v>0</v>
      </c>
      <c r="AQ30" s="322">
        <f>'P NP TBK SEDERHANA IKAN'!AZ27</f>
        <v>0</v>
      </c>
      <c r="AR30" s="322">
        <f>'P NP TBK SEDERHANA IKAN'!AY28</f>
        <v>0</v>
      </c>
      <c r="AS30" s="322">
        <f>'P NP TBK SEDERHANA IKAN'!AZ28</f>
        <v>0</v>
      </c>
      <c r="AT30" s="322">
        <f>'P NP TBK SEDERHANA IKAN'!AY29</f>
        <v>0</v>
      </c>
      <c r="AU30" s="322">
        <f>'P NP TBK SEDERHANA IKAN'!AZ29</f>
        <v>0</v>
      </c>
      <c r="AV30" s="322">
        <f>'P NP TBK SEDERHANA IKAN'!AY30</f>
        <v>0</v>
      </c>
      <c r="AW30" s="322">
        <f>'P NP TBK SEDERHANA IKAN'!AZ30</f>
        <v>0</v>
      </c>
      <c r="AX30" s="322">
        <f>'P NP TBK SEDERHANA IKAN'!AY31</f>
        <v>0</v>
      </c>
      <c r="AY30" s="322">
        <f>'P NP TBK SEDERHANA IKAN'!AZ31</f>
        <v>0</v>
      </c>
      <c r="AZ30" s="322">
        <f>'P NP TBK SEDERHANA IKAN'!AY32</f>
        <v>0</v>
      </c>
      <c r="BA30" s="322">
        <f>'P NP TBK SEDERHANA IKAN'!AZ32</f>
        <v>0</v>
      </c>
      <c r="BB30" s="322">
        <f>'P NP TBK SEDERHANA IKAN'!AY33</f>
        <v>0</v>
      </c>
      <c r="BC30" s="322">
        <f>'P NP TBK SEDERHANA IKAN'!AZ33</f>
        <v>0</v>
      </c>
      <c r="BD30" s="322">
        <f>'P NP TBK SEDERHANA IKAN'!AY34</f>
        <v>0</v>
      </c>
      <c r="BE30" s="322">
        <f>'P NP TBK SEDERHANA IKAN'!AZ34</f>
        <v>0</v>
      </c>
      <c r="BF30" s="322">
        <f>'P NP TBK SEDERHANA IKAN'!AY35</f>
        <v>0</v>
      </c>
      <c r="BG30" s="322">
        <f>'P NP TBK SEDERHANA IKAN'!AZ35</f>
        <v>0</v>
      </c>
      <c r="BH30" s="322">
        <f>'P NP TBK SEDERHANA IKAN'!AY36</f>
        <v>0</v>
      </c>
      <c r="BI30" s="322">
        <f>'P NP TBK SEDERHANA IKAN'!AZ36</f>
        <v>0</v>
      </c>
      <c r="BJ30" s="322">
        <f>'P NP TBK SEDERHANA IKAN'!AY37</f>
        <v>0</v>
      </c>
      <c r="BK30" s="322">
        <f>'P NP TBK SEDERHANA IKAN'!AZ37</f>
        <v>0</v>
      </c>
      <c r="BL30" s="322">
        <f>'P NP TBK SEDERHANA IKAN'!AY38</f>
        <v>0</v>
      </c>
      <c r="BM30" s="322">
        <f>'P NP TBK SEDERHANA IKAN'!AZ38</f>
        <v>0</v>
      </c>
      <c r="BN30" s="322">
        <f>'P NP TBK SEDERHANA IKAN'!AY39</f>
        <v>0</v>
      </c>
      <c r="BO30" s="322">
        <f>'P NP TBK SEDERHANA IKAN'!AZ39</f>
        <v>0</v>
      </c>
      <c r="BP30" s="322">
        <f>'P NP TBK SEDERHANA IKAN'!AY40</f>
        <v>0</v>
      </c>
      <c r="BQ30" s="322">
        <f>'P NP TBK SEDERHANA IKAN'!AZ40</f>
        <v>0</v>
      </c>
      <c r="BR30" s="322">
        <f>'P NP TBK SEDERHANA IKAN'!AY41</f>
        <v>0</v>
      </c>
      <c r="BS30" s="322">
        <f>'P NP TBK SEDERHANA IKAN'!AZ41</f>
        <v>0</v>
      </c>
      <c r="BT30" s="322">
        <f>'P NP TBK SEDERHANA IKAN'!AY42</f>
        <v>0</v>
      </c>
      <c r="BU30" s="322">
        <f>'P NP TBK SEDERHANA IKAN'!AZ42</f>
        <v>0</v>
      </c>
      <c r="BV30" s="322">
        <f>'P NP TBK SEDERHANA IKAN'!AY43</f>
        <v>0</v>
      </c>
      <c r="BW30" s="322">
        <f>'P NP TBK SEDERHANA IKAN'!AZ43</f>
        <v>0</v>
      </c>
      <c r="BX30" s="322">
        <f>'P NP TBK SEDERHANA IKAN'!AY44</f>
        <v>0</v>
      </c>
      <c r="BY30" s="322">
        <f>'P NP TBK SEDERHANA IKAN'!AZ44</f>
        <v>0</v>
      </c>
      <c r="CA30" s="322">
        <f t="shared" si="5"/>
        <v>0</v>
      </c>
      <c r="CB30" s="322">
        <f t="shared" si="6"/>
        <v>0</v>
      </c>
    </row>
    <row r="31" spans="1:80">
      <c r="A31" s="260" t="s">
        <v>140</v>
      </c>
      <c r="B31" s="320">
        <f t="shared" si="3"/>
        <v>0</v>
      </c>
      <c r="C31" s="320">
        <f t="shared" si="4"/>
        <v>0</v>
      </c>
      <c r="D31" s="322">
        <f>'P NP TBK SEDERHANA IKAN'!BA8</f>
        <v>0</v>
      </c>
      <c r="E31" s="322">
        <f>'P NP TBK SEDERHANA IKAN'!BB8</f>
        <v>0</v>
      </c>
      <c r="F31" s="322">
        <f>'P NP TBK SEDERHANA IKAN'!BA9</f>
        <v>0</v>
      </c>
      <c r="G31" s="322">
        <f>'P NP TBK SEDERHANA IKAN'!BB9</f>
        <v>0</v>
      </c>
      <c r="H31" s="322">
        <f>'P NP TBK SEDERHANA IKAN'!BA10</f>
        <v>0</v>
      </c>
      <c r="I31" s="322">
        <f>'P NP TBK SEDERHANA IKAN'!BB10</f>
        <v>0</v>
      </c>
      <c r="J31" s="322">
        <f>'P NP TBK SEDERHANA IKAN'!BA11</f>
        <v>0</v>
      </c>
      <c r="K31" s="322">
        <f>'P NP TBK SEDERHANA IKAN'!BB11</f>
        <v>0</v>
      </c>
      <c r="L31" s="322">
        <f>'P NP TBK SEDERHANA IKAN'!BA12</f>
        <v>0</v>
      </c>
      <c r="M31" s="322">
        <f>'P NP TBK SEDERHANA IKAN'!BB12</f>
        <v>0</v>
      </c>
      <c r="N31" s="322">
        <f>'P NP TBK SEDERHANA IKAN'!BA13</f>
        <v>0</v>
      </c>
      <c r="O31" s="322">
        <f>'P NP TBK SEDERHANA IKAN'!BB13</f>
        <v>0</v>
      </c>
      <c r="P31" s="322">
        <f>'P NP TBK SEDERHANA IKAN'!BA14</f>
        <v>0</v>
      </c>
      <c r="Q31" s="322">
        <f>'P NP TBK SEDERHANA IKAN'!BB14</f>
        <v>0</v>
      </c>
      <c r="R31" s="322">
        <f>'P NP TBK SEDERHANA IKAN'!BA15</f>
        <v>0</v>
      </c>
      <c r="S31" s="322">
        <f>'P NP TBK SEDERHANA IKAN'!BB15</f>
        <v>0</v>
      </c>
      <c r="T31" s="322">
        <f>'P NP TBK SEDERHANA IKAN'!BA16</f>
        <v>0</v>
      </c>
      <c r="U31" s="322">
        <f>'P NP TBK SEDERHANA IKAN'!BB16</f>
        <v>0</v>
      </c>
      <c r="V31" s="322">
        <f>'P NP TBK SEDERHANA IKAN'!BA17</f>
        <v>0</v>
      </c>
      <c r="W31" s="322">
        <f>'P NP TBK SEDERHANA IKAN'!BB17</f>
        <v>0</v>
      </c>
      <c r="X31" s="322">
        <f>'P NP TBK SEDERHANA IKAN'!BA18</f>
        <v>0</v>
      </c>
      <c r="Y31" s="322">
        <f>'P NP TBK SEDERHANA IKAN'!BB18</f>
        <v>0</v>
      </c>
      <c r="Z31" s="322">
        <f>'P NP TBK SEDERHANA IKAN'!BA19</f>
        <v>0</v>
      </c>
      <c r="AA31" s="322">
        <f>'P NP TBK SEDERHANA IKAN'!BB19</f>
        <v>0</v>
      </c>
      <c r="AB31" s="322">
        <f>'P NP TBK SEDERHANA IKAN'!BA20</f>
        <v>0</v>
      </c>
      <c r="AC31" s="322">
        <f>'P NP TBK SEDERHANA IKAN'!BB20</f>
        <v>0</v>
      </c>
      <c r="AD31" s="322">
        <f>'P NP TBK SEDERHANA IKAN'!BA21</f>
        <v>0</v>
      </c>
      <c r="AE31" s="322">
        <f>'P NP TBK SEDERHANA IKAN'!BB21</f>
        <v>0</v>
      </c>
      <c r="AF31" s="322">
        <f>'P NP TBK SEDERHANA IKAN'!BA22</f>
        <v>0</v>
      </c>
      <c r="AG31" s="322">
        <f>'P NP TBK SEDERHANA IKAN'!BB22</f>
        <v>0</v>
      </c>
      <c r="AH31" s="322">
        <f>'P NP TBK SEDERHANA IKAN'!BA23</f>
        <v>0</v>
      </c>
      <c r="AI31" s="322">
        <f>'P NP TBK SEDERHANA IKAN'!BB23</f>
        <v>0</v>
      </c>
      <c r="AJ31" s="322">
        <f>'P NP TBK SEDERHANA IKAN'!BA24</f>
        <v>0</v>
      </c>
      <c r="AK31" s="322">
        <f>'P NP TBK SEDERHANA IKAN'!BB24</f>
        <v>0</v>
      </c>
      <c r="AL31" s="322">
        <f>'P NP TBK SEDERHANA IKAN'!BA25</f>
        <v>0</v>
      </c>
      <c r="AM31" s="322">
        <f>'P NP TBK SEDERHANA IKAN'!BB25</f>
        <v>0</v>
      </c>
      <c r="AN31" s="322">
        <f>'P NP TBK SEDERHANA IKAN'!BA26</f>
        <v>0</v>
      </c>
      <c r="AO31" s="322">
        <f>'P NP TBK SEDERHANA IKAN'!BB26</f>
        <v>0</v>
      </c>
      <c r="AP31" s="322">
        <f>'P NP TBK SEDERHANA IKAN'!BA27</f>
        <v>0</v>
      </c>
      <c r="AQ31" s="322">
        <f>'P NP TBK SEDERHANA IKAN'!BB27</f>
        <v>0</v>
      </c>
      <c r="AR31" s="322">
        <f>'P NP TBK SEDERHANA IKAN'!BA28</f>
        <v>0</v>
      </c>
      <c r="AS31" s="322">
        <f>'P NP TBK SEDERHANA IKAN'!BB28</f>
        <v>0</v>
      </c>
      <c r="AT31" s="322">
        <f>'P NP TBK SEDERHANA IKAN'!BA29</f>
        <v>0</v>
      </c>
      <c r="AU31" s="322">
        <f>'P NP TBK SEDERHANA IKAN'!BB29</f>
        <v>0</v>
      </c>
      <c r="AV31" s="322">
        <f>'P NP TBK SEDERHANA IKAN'!BA30</f>
        <v>0</v>
      </c>
      <c r="AW31" s="322">
        <f>'P NP TBK SEDERHANA IKAN'!BB30</f>
        <v>0</v>
      </c>
      <c r="AX31" s="322">
        <f>'P NP TBK SEDERHANA IKAN'!BA31</f>
        <v>0</v>
      </c>
      <c r="AY31" s="322">
        <f>'P NP TBK SEDERHANA IKAN'!BB31</f>
        <v>0</v>
      </c>
      <c r="AZ31" s="322">
        <f>'P NP TBK SEDERHANA IKAN'!BA32</f>
        <v>0</v>
      </c>
      <c r="BA31" s="322">
        <f>'P NP TBK SEDERHANA IKAN'!BB32</f>
        <v>0</v>
      </c>
      <c r="BB31" s="322">
        <f>'P NP TBK SEDERHANA IKAN'!BA33</f>
        <v>0</v>
      </c>
      <c r="BC31" s="322">
        <f>'P NP TBK SEDERHANA IKAN'!BB33</f>
        <v>0</v>
      </c>
      <c r="BD31" s="322">
        <f>'P NP TBK SEDERHANA IKAN'!BA34</f>
        <v>0</v>
      </c>
      <c r="BE31" s="322">
        <f>'P NP TBK SEDERHANA IKAN'!BB34</f>
        <v>0</v>
      </c>
      <c r="BF31" s="322">
        <f>'P NP TBK SEDERHANA IKAN'!BA35</f>
        <v>0</v>
      </c>
      <c r="BG31" s="322">
        <f>'P NP TBK SEDERHANA IKAN'!BB35</f>
        <v>0</v>
      </c>
      <c r="BH31" s="322">
        <f>'P NP TBK SEDERHANA IKAN'!BA36</f>
        <v>0</v>
      </c>
      <c r="BI31" s="322">
        <f>'P NP TBK SEDERHANA IKAN'!BB36</f>
        <v>0</v>
      </c>
      <c r="BJ31" s="322">
        <f>'P NP TBK SEDERHANA IKAN'!BA37</f>
        <v>0</v>
      </c>
      <c r="BK31" s="322">
        <f>'P NP TBK SEDERHANA IKAN'!BB37</f>
        <v>0</v>
      </c>
      <c r="BL31" s="322">
        <f>'P NP TBK SEDERHANA IKAN'!BA38</f>
        <v>0</v>
      </c>
      <c r="BM31" s="322">
        <f>'P NP TBK SEDERHANA IKAN'!BB38</f>
        <v>0</v>
      </c>
      <c r="BN31" s="322">
        <f>'P NP TBK SEDERHANA IKAN'!BA39</f>
        <v>0</v>
      </c>
      <c r="BO31" s="322">
        <f>'P NP TBK SEDERHANA IKAN'!BB39</f>
        <v>0</v>
      </c>
      <c r="BP31" s="322">
        <f>'P NP TBK SEDERHANA IKAN'!BA40</f>
        <v>0</v>
      </c>
      <c r="BQ31" s="322">
        <f>'P NP TBK SEDERHANA IKAN'!BB40</f>
        <v>0</v>
      </c>
      <c r="BR31" s="322">
        <f>'P NP TBK SEDERHANA IKAN'!BA41</f>
        <v>0</v>
      </c>
      <c r="BS31" s="322">
        <f>'P NP TBK SEDERHANA IKAN'!BB41</f>
        <v>0</v>
      </c>
      <c r="BT31" s="322">
        <f>'P NP TBK SEDERHANA IKAN'!BA42</f>
        <v>0</v>
      </c>
      <c r="BU31" s="322">
        <f>'P NP TBK SEDERHANA IKAN'!BB42</f>
        <v>0</v>
      </c>
      <c r="BV31" s="322">
        <f>'P NP TBK SEDERHANA IKAN'!BA43</f>
        <v>0</v>
      </c>
      <c r="BW31" s="322">
        <f>'P NP TBK SEDERHANA IKAN'!BB43</f>
        <v>0</v>
      </c>
      <c r="BX31" s="322">
        <f>'P NP TBK SEDERHANA IKAN'!BA44</f>
        <v>0</v>
      </c>
      <c r="BY31" s="322">
        <f>'P NP TBK SEDERHANA IKAN'!BB44</f>
        <v>0</v>
      </c>
      <c r="CA31" s="322">
        <f t="shared" si="5"/>
        <v>0</v>
      </c>
      <c r="CB31" s="322">
        <f t="shared" si="6"/>
        <v>0</v>
      </c>
    </row>
    <row r="32" spans="1:80">
      <c r="A32" s="260" t="s">
        <v>114</v>
      </c>
      <c r="B32" s="320">
        <f t="shared" si="3"/>
        <v>0</v>
      </c>
      <c r="C32" s="320">
        <f t="shared" si="4"/>
        <v>0</v>
      </c>
      <c r="D32" s="322">
        <f>'P NP TBK SEDERHANA IKAN'!BC8</f>
        <v>0</v>
      </c>
      <c r="E32" s="322">
        <f>'P NP TBK SEDERHANA IKAN'!BD8</f>
        <v>0</v>
      </c>
      <c r="F32" s="322">
        <f>'P NP TBK SEDERHANA IKAN'!BC9</f>
        <v>0</v>
      </c>
      <c r="G32" s="322">
        <f>'P NP TBK SEDERHANA IKAN'!BD9</f>
        <v>0</v>
      </c>
      <c r="H32" s="322">
        <f>'P NP TBK SEDERHANA IKAN'!BC10</f>
        <v>0</v>
      </c>
      <c r="I32" s="322">
        <f>'P NP TBK SEDERHANA IKAN'!BD10</f>
        <v>0</v>
      </c>
      <c r="J32" s="322">
        <f>'P NP TBK SEDERHANA IKAN'!BC11</f>
        <v>0</v>
      </c>
      <c r="K32" s="322">
        <f>'P NP TBK SEDERHANA IKAN'!BD11</f>
        <v>0</v>
      </c>
      <c r="L32" s="322">
        <f>'P NP TBK SEDERHANA IKAN'!BC12</f>
        <v>0</v>
      </c>
      <c r="M32" s="322">
        <f>'P NP TBK SEDERHANA IKAN'!BD12</f>
        <v>0</v>
      </c>
      <c r="N32" s="322">
        <f>'P NP TBK SEDERHANA IKAN'!BC13</f>
        <v>0</v>
      </c>
      <c r="O32" s="322">
        <f>'P NP TBK SEDERHANA IKAN'!BD13</f>
        <v>0</v>
      </c>
      <c r="P32" s="322">
        <f>'P NP TBK SEDERHANA IKAN'!BC14</f>
        <v>0</v>
      </c>
      <c r="Q32" s="322">
        <f>'P NP TBK SEDERHANA IKAN'!BD14</f>
        <v>0</v>
      </c>
      <c r="R32" s="322">
        <f>'P NP TBK SEDERHANA IKAN'!BC15</f>
        <v>0</v>
      </c>
      <c r="S32" s="322">
        <f>'P NP TBK SEDERHANA IKAN'!BD15</f>
        <v>0</v>
      </c>
      <c r="T32" s="322">
        <f>'P NP TBK SEDERHANA IKAN'!BC16</f>
        <v>0</v>
      </c>
      <c r="U32" s="322">
        <f>'P NP TBK SEDERHANA IKAN'!BD16</f>
        <v>0</v>
      </c>
      <c r="V32" s="322">
        <f>'P NP TBK SEDERHANA IKAN'!BC17</f>
        <v>0</v>
      </c>
      <c r="W32" s="322">
        <f>'P NP TBK SEDERHANA IKAN'!BD17</f>
        <v>0</v>
      </c>
      <c r="X32" s="322">
        <f>'P NP TBK SEDERHANA IKAN'!BC18</f>
        <v>0</v>
      </c>
      <c r="Y32" s="322">
        <f>'P NP TBK SEDERHANA IKAN'!BD18</f>
        <v>0</v>
      </c>
      <c r="Z32" s="322">
        <f>'P NP TBK SEDERHANA IKAN'!BC19</f>
        <v>0</v>
      </c>
      <c r="AA32" s="322">
        <f>'P NP TBK SEDERHANA IKAN'!BD19</f>
        <v>0</v>
      </c>
      <c r="AB32" s="322">
        <f>'P NP TBK SEDERHANA IKAN'!BC20</f>
        <v>0</v>
      </c>
      <c r="AC32" s="322">
        <f>'P NP TBK SEDERHANA IKAN'!BD20</f>
        <v>0</v>
      </c>
      <c r="AD32" s="322">
        <f>'P NP TBK SEDERHANA IKAN'!BC21</f>
        <v>0</v>
      </c>
      <c r="AE32" s="322">
        <f>'P NP TBK SEDERHANA IKAN'!BD21</f>
        <v>0</v>
      </c>
      <c r="AF32" s="322">
        <f>'P NP TBK SEDERHANA IKAN'!BC22</f>
        <v>0</v>
      </c>
      <c r="AG32" s="322">
        <f>'P NP TBK SEDERHANA IKAN'!BD22</f>
        <v>0</v>
      </c>
      <c r="AH32" s="322">
        <f>'P NP TBK SEDERHANA IKAN'!BC23</f>
        <v>0</v>
      </c>
      <c r="AI32" s="322">
        <f>'P NP TBK SEDERHANA IKAN'!BD23</f>
        <v>0</v>
      </c>
      <c r="AJ32" s="322">
        <f>'P NP TBK SEDERHANA IKAN'!BC24</f>
        <v>0</v>
      </c>
      <c r="AK32" s="322">
        <f>'P NP TBK SEDERHANA IKAN'!BD24</f>
        <v>0</v>
      </c>
      <c r="AL32" s="322">
        <f>'P NP TBK SEDERHANA IKAN'!BC25</f>
        <v>0</v>
      </c>
      <c r="AM32" s="322">
        <f>'P NP TBK SEDERHANA IKAN'!BD25</f>
        <v>0</v>
      </c>
      <c r="AN32" s="322">
        <f>'P NP TBK SEDERHANA IKAN'!BC26</f>
        <v>0</v>
      </c>
      <c r="AO32" s="322">
        <f>'P NP TBK SEDERHANA IKAN'!BD26</f>
        <v>0</v>
      </c>
      <c r="AP32" s="322">
        <f>'P NP TBK SEDERHANA IKAN'!BC27</f>
        <v>0</v>
      </c>
      <c r="AQ32" s="322">
        <f>'P NP TBK SEDERHANA IKAN'!BD27</f>
        <v>0</v>
      </c>
      <c r="AR32" s="322">
        <f>'P NP TBK SEDERHANA IKAN'!BC28</f>
        <v>0</v>
      </c>
      <c r="AS32" s="322">
        <f>'P NP TBK SEDERHANA IKAN'!BD28</f>
        <v>0</v>
      </c>
      <c r="AT32" s="322">
        <f>'P NP TBK SEDERHANA IKAN'!BC29</f>
        <v>0</v>
      </c>
      <c r="AU32" s="322">
        <f>'P NP TBK SEDERHANA IKAN'!BD29</f>
        <v>0</v>
      </c>
      <c r="AV32" s="322">
        <f>'P NP TBK SEDERHANA IKAN'!BC30</f>
        <v>0</v>
      </c>
      <c r="AW32" s="322">
        <f>'P NP TBK SEDERHANA IKAN'!BD30</f>
        <v>0</v>
      </c>
      <c r="AX32" s="322">
        <f>'P NP TBK SEDERHANA IKAN'!BC31</f>
        <v>0</v>
      </c>
      <c r="AY32" s="322">
        <f>'P NP TBK SEDERHANA IKAN'!BD31</f>
        <v>0</v>
      </c>
      <c r="AZ32" s="322">
        <f>'P NP TBK SEDERHANA IKAN'!BC32</f>
        <v>0</v>
      </c>
      <c r="BA32" s="322">
        <f>'P NP TBK SEDERHANA IKAN'!BD32</f>
        <v>0</v>
      </c>
      <c r="BB32" s="322">
        <f>'P NP TBK SEDERHANA IKAN'!BC33</f>
        <v>0</v>
      </c>
      <c r="BC32" s="322">
        <f>'P NP TBK SEDERHANA IKAN'!BD33</f>
        <v>0</v>
      </c>
      <c r="BD32" s="322">
        <f>'P NP TBK SEDERHANA IKAN'!BC34</f>
        <v>0</v>
      </c>
      <c r="BE32" s="322">
        <f>'P NP TBK SEDERHANA IKAN'!BD34</f>
        <v>0</v>
      </c>
      <c r="BF32" s="322">
        <f>'P NP TBK SEDERHANA IKAN'!BC35</f>
        <v>0</v>
      </c>
      <c r="BG32" s="322">
        <f>'P NP TBK SEDERHANA IKAN'!BD35</f>
        <v>0</v>
      </c>
      <c r="BH32" s="322">
        <f>'P NP TBK SEDERHANA IKAN'!BC36</f>
        <v>0</v>
      </c>
      <c r="BI32" s="322">
        <f>'P NP TBK SEDERHANA IKAN'!BD36</f>
        <v>0</v>
      </c>
      <c r="BJ32" s="322">
        <f>'P NP TBK SEDERHANA IKAN'!BC37</f>
        <v>0</v>
      </c>
      <c r="BK32" s="322">
        <f>'P NP TBK SEDERHANA IKAN'!BD37</f>
        <v>0</v>
      </c>
      <c r="BL32" s="322">
        <f>'P NP TBK SEDERHANA IKAN'!BC38</f>
        <v>0</v>
      </c>
      <c r="BM32" s="322">
        <f>'P NP TBK SEDERHANA IKAN'!BD38</f>
        <v>0</v>
      </c>
      <c r="BN32" s="322">
        <f>'P NP TBK SEDERHANA IKAN'!BC39</f>
        <v>0</v>
      </c>
      <c r="BO32" s="322">
        <f>'P NP TBK SEDERHANA IKAN'!BD39</f>
        <v>0</v>
      </c>
      <c r="BP32" s="322">
        <f>'P NP TBK SEDERHANA IKAN'!BC40</f>
        <v>0</v>
      </c>
      <c r="BQ32" s="322">
        <f>'P NP TBK SEDERHANA IKAN'!BD40</f>
        <v>0</v>
      </c>
      <c r="BR32" s="322">
        <f>'P NP TBK SEDERHANA IKAN'!BC41</f>
        <v>0</v>
      </c>
      <c r="BS32" s="322">
        <f>'P NP TBK SEDERHANA IKAN'!BD41</f>
        <v>0</v>
      </c>
      <c r="BT32" s="322">
        <f>'P NP TBK SEDERHANA IKAN'!BC42</f>
        <v>0</v>
      </c>
      <c r="BU32" s="322">
        <f>'P NP TBK SEDERHANA IKAN'!BD42</f>
        <v>0</v>
      </c>
      <c r="BV32" s="322">
        <f>'P NP TBK SEDERHANA IKAN'!BC43</f>
        <v>0</v>
      </c>
      <c r="BW32" s="322">
        <f>'P NP TBK SEDERHANA IKAN'!BD43</f>
        <v>0</v>
      </c>
      <c r="BX32" s="322">
        <f>'P NP TBK SEDERHANA IKAN'!BC44</f>
        <v>0</v>
      </c>
      <c r="BY32" s="322">
        <f>'P NP TBK SEDERHANA IKAN'!BD44</f>
        <v>0</v>
      </c>
      <c r="CA32" s="322">
        <f t="shared" si="5"/>
        <v>0</v>
      </c>
      <c r="CB32" s="322">
        <f t="shared" si="6"/>
        <v>0</v>
      </c>
    </row>
    <row r="33" spans="1:80">
      <c r="A33" s="260" t="s">
        <v>134</v>
      </c>
      <c r="B33" s="320">
        <f t="shared" si="3"/>
        <v>0</v>
      </c>
      <c r="C33" s="320">
        <f t="shared" si="4"/>
        <v>0</v>
      </c>
      <c r="D33" s="322">
        <f>'P NP TBK SEDERHANA IKAN'!BE8</f>
        <v>0</v>
      </c>
      <c r="E33" s="322">
        <f>'P NP TBK SEDERHANA IKAN'!BF8</f>
        <v>0</v>
      </c>
      <c r="F33" s="322">
        <f>'P NP TBK SEDERHANA IKAN'!BE9</f>
        <v>0</v>
      </c>
      <c r="G33" s="322">
        <f>'P NP TBK SEDERHANA IKAN'!BF9</f>
        <v>0</v>
      </c>
      <c r="H33" s="322">
        <f>'P NP TBK SEDERHANA IKAN'!BE10</f>
        <v>0</v>
      </c>
      <c r="I33" s="322">
        <f>'P NP TBK SEDERHANA IKAN'!BF10</f>
        <v>0</v>
      </c>
      <c r="J33" s="322">
        <f>'P NP TBK SEDERHANA IKAN'!BE11</f>
        <v>0</v>
      </c>
      <c r="K33" s="322">
        <f>'P NP TBK SEDERHANA IKAN'!BF11</f>
        <v>0</v>
      </c>
      <c r="L33" s="322">
        <f>'P NP TBK SEDERHANA IKAN'!BE12</f>
        <v>0</v>
      </c>
      <c r="M33" s="322">
        <f>'P NP TBK SEDERHANA IKAN'!BF12</f>
        <v>0</v>
      </c>
      <c r="N33" s="322">
        <f>'P NP TBK SEDERHANA IKAN'!BE13</f>
        <v>0</v>
      </c>
      <c r="O33" s="322">
        <f>'P NP TBK SEDERHANA IKAN'!BF13</f>
        <v>0</v>
      </c>
      <c r="P33" s="322">
        <f>'P NP TBK SEDERHANA IKAN'!BE14</f>
        <v>0</v>
      </c>
      <c r="Q33" s="322">
        <f>'P NP TBK SEDERHANA IKAN'!BF14</f>
        <v>0</v>
      </c>
      <c r="R33" s="322">
        <f>'P NP TBK SEDERHANA IKAN'!BE15</f>
        <v>0</v>
      </c>
      <c r="S33" s="322">
        <f>'P NP TBK SEDERHANA IKAN'!BF15</f>
        <v>0</v>
      </c>
      <c r="T33" s="322">
        <f>'P NP TBK SEDERHANA IKAN'!BE16</f>
        <v>0</v>
      </c>
      <c r="U33" s="322">
        <f>'P NP TBK SEDERHANA IKAN'!BF16</f>
        <v>0</v>
      </c>
      <c r="V33" s="322">
        <f>'P NP TBK SEDERHANA IKAN'!BE17</f>
        <v>0</v>
      </c>
      <c r="W33" s="322">
        <f>'P NP TBK SEDERHANA IKAN'!BF17</f>
        <v>0</v>
      </c>
      <c r="X33" s="322">
        <f>'P NP TBK SEDERHANA IKAN'!BE18</f>
        <v>0</v>
      </c>
      <c r="Y33" s="322">
        <f>'P NP TBK SEDERHANA IKAN'!BF18</f>
        <v>0</v>
      </c>
      <c r="Z33" s="322">
        <f>'P NP TBK SEDERHANA IKAN'!BE19</f>
        <v>0</v>
      </c>
      <c r="AA33" s="322">
        <f>'P NP TBK SEDERHANA IKAN'!BF19</f>
        <v>0</v>
      </c>
      <c r="AB33" s="322">
        <f>'P NP TBK SEDERHANA IKAN'!BE20</f>
        <v>0</v>
      </c>
      <c r="AC33" s="322">
        <f>'P NP TBK SEDERHANA IKAN'!BF20</f>
        <v>0</v>
      </c>
      <c r="AD33" s="322">
        <f>'P NP TBK SEDERHANA IKAN'!BE21</f>
        <v>0</v>
      </c>
      <c r="AE33" s="322">
        <f>'P NP TBK SEDERHANA IKAN'!BF21</f>
        <v>0</v>
      </c>
      <c r="AF33" s="322">
        <f>'P NP TBK SEDERHANA IKAN'!BE22</f>
        <v>0</v>
      </c>
      <c r="AG33" s="322">
        <f>'P NP TBK SEDERHANA IKAN'!BF22</f>
        <v>0</v>
      </c>
      <c r="AH33" s="322">
        <f>'P NP TBK SEDERHANA IKAN'!BE23</f>
        <v>0</v>
      </c>
      <c r="AI33" s="322">
        <f>'P NP TBK SEDERHANA IKAN'!BF23</f>
        <v>0</v>
      </c>
      <c r="AJ33" s="322">
        <f>'P NP TBK SEDERHANA IKAN'!BE24</f>
        <v>0</v>
      </c>
      <c r="AK33" s="322">
        <f>'P NP TBK SEDERHANA IKAN'!BF24</f>
        <v>0</v>
      </c>
      <c r="AL33" s="322">
        <f>'P NP TBK SEDERHANA IKAN'!BE25</f>
        <v>0</v>
      </c>
      <c r="AM33" s="322">
        <f>'P NP TBK SEDERHANA IKAN'!BF25</f>
        <v>0</v>
      </c>
      <c r="AN33" s="322">
        <f>'P NP TBK SEDERHANA IKAN'!BE26</f>
        <v>0</v>
      </c>
      <c r="AO33" s="322">
        <f>'P NP TBK SEDERHANA IKAN'!BF26</f>
        <v>0</v>
      </c>
      <c r="AP33" s="322">
        <f>'P NP TBK SEDERHANA IKAN'!BE27</f>
        <v>0</v>
      </c>
      <c r="AQ33" s="322">
        <f>'P NP TBK SEDERHANA IKAN'!BF27</f>
        <v>0</v>
      </c>
      <c r="AR33" s="322">
        <f>'P NP TBK SEDERHANA IKAN'!BE28</f>
        <v>0</v>
      </c>
      <c r="AS33" s="322">
        <f>'P NP TBK SEDERHANA IKAN'!BF28</f>
        <v>0</v>
      </c>
      <c r="AT33" s="322">
        <f>'P NP TBK SEDERHANA IKAN'!BE29</f>
        <v>0</v>
      </c>
      <c r="AU33" s="322">
        <f>'P NP TBK SEDERHANA IKAN'!BF29</f>
        <v>0</v>
      </c>
      <c r="AV33" s="322">
        <f>'P NP TBK SEDERHANA IKAN'!BE30</f>
        <v>0</v>
      </c>
      <c r="AW33" s="322">
        <f>'P NP TBK SEDERHANA IKAN'!BF30</f>
        <v>0</v>
      </c>
      <c r="AX33" s="322">
        <f>'P NP TBK SEDERHANA IKAN'!BE31</f>
        <v>0</v>
      </c>
      <c r="AY33" s="322">
        <f>'P NP TBK SEDERHANA IKAN'!BF31</f>
        <v>0</v>
      </c>
      <c r="AZ33" s="322">
        <f>'P NP TBK SEDERHANA IKAN'!BE32</f>
        <v>0</v>
      </c>
      <c r="BA33" s="322">
        <f>'P NP TBK SEDERHANA IKAN'!BF32</f>
        <v>0</v>
      </c>
      <c r="BB33" s="322">
        <f>'P NP TBK SEDERHANA IKAN'!BE33</f>
        <v>0</v>
      </c>
      <c r="BC33" s="322">
        <f>'P NP TBK SEDERHANA IKAN'!BF33</f>
        <v>0</v>
      </c>
      <c r="BD33" s="322">
        <f>'P NP TBK SEDERHANA IKAN'!BE34</f>
        <v>0</v>
      </c>
      <c r="BE33" s="322">
        <f>'P NP TBK SEDERHANA IKAN'!BF34</f>
        <v>0</v>
      </c>
      <c r="BF33" s="322">
        <f>'P NP TBK SEDERHANA IKAN'!BE35</f>
        <v>0</v>
      </c>
      <c r="BG33" s="322">
        <f>'P NP TBK SEDERHANA IKAN'!BF35</f>
        <v>0</v>
      </c>
      <c r="BH33" s="322">
        <f>'P NP TBK SEDERHANA IKAN'!BE36</f>
        <v>0</v>
      </c>
      <c r="BI33" s="322">
        <f>'P NP TBK SEDERHANA IKAN'!BF36</f>
        <v>0</v>
      </c>
      <c r="BJ33" s="322">
        <f>'P NP TBK SEDERHANA IKAN'!BE37</f>
        <v>0</v>
      </c>
      <c r="BK33" s="322">
        <f>'P NP TBK SEDERHANA IKAN'!BF37</f>
        <v>0</v>
      </c>
      <c r="BL33" s="322">
        <f>'P NP TBK SEDERHANA IKAN'!BE38</f>
        <v>0</v>
      </c>
      <c r="BM33" s="322">
        <f>'P NP TBK SEDERHANA IKAN'!BF38</f>
        <v>0</v>
      </c>
      <c r="BN33" s="322">
        <f>'P NP TBK SEDERHANA IKAN'!BE39</f>
        <v>0</v>
      </c>
      <c r="BO33" s="322">
        <f>'P NP TBK SEDERHANA IKAN'!BF39</f>
        <v>0</v>
      </c>
      <c r="BP33" s="322">
        <f>'P NP TBK SEDERHANA IKAN'!BE40</f>
        <v>0</v>
      </c>
      <c r="BQ33" s="322">
        <f>'P NP TBK SEDERHANA IKAN'!BF40</f>
        <v>0</v>
      </c>
      <c r="BR33" s="322">
        <f>'P NP TBK SEDERHANA IKAN'!BE41</f>
        <v>0</v>
      </c>
      <c r="BS33" s="322">
        <f>'P NP TBK SEDERHANA IKAN'!BF41</f>
        <v>0</v>
      </c>
      <c r="BT33" s="322">
        <f>'P NP TBK SEDERHANA IKAN'!BE42</f>
        <v>0</v>
      </c>
      <c r="BU33" s="322">
        <f>'P NP TBK SEDERHANA IKAN'!BF42</f>
        <v>0</v>
      </c>
      <c r="BV33" s="322">
        <f>'P NP TBK SEDERHANA IKAN'!BE43</f>
        <v>0</v>
      </c>
      <c r="BW33" s="322">
        <f>'P NP TBK SEDERHANA IKAN'!BF43</f>
        <v>0</v>
      </c>
      <c r="BX33" s="322">
        <f>'P NP TBK SEDERHANA IKAN'!BE44</f>
        <v>0</v>
      </c>
      <c r="BY33" s="322">
        <f>'P NP TBK SEDERHANA IKAN'!BF44</f>
        <v>0</v>
      </c>
      <c r="CA33" s="322">
        <f t="shared" si="5"/>
        <v>0</v>
      </c>
      <c r="CB33" s="322">
        <f t="shared" si="6"/>
        <v>0</v>
      </c>
    </row>
    <row r="34" spans="1:80">
      <c r="A34" s="260" t="s">
        <v>115</v>
      </c>
      <c r="B34" s="320">
        <f t="shared" si="3"/>
        <v>0</v>
      </c>
      <c r="C34" s="320">
        <f t="shared" si="4"/>
        <v>0</v>
      </c>
      <c r="D34" s="322">
        <f>'P NP TBK SEDERHANA IKAN'!BG8</f>
        <v>0</v>
      </c>
      <c r="E34" s="322">
        <f>'P NP TBK SEDERHANA IKAN'!BH8</f>
        <v>0</v>
      </c>
      <c r="F34" s="322">
        <f>'P NP TBK SEDERHANA IKAN'!BG9</f>
        <v>0</v>
      </c>
      <c r="G34" s="322">
        <f>'P NP TBK SEDERHANA IKAN'!BH9</f>
        <v>0</v>
      </c>
      <c r="H34" s="322">
        <f>'P NP TBK SEDERHANA IKAN'!BG10</f>
        <v>0</v>
      </c>
      <c r="I34" s="322">
        <f>'P NP TBK SEDERHANA IKAN'!BH10</f>
        <v>0</v>
      </c>
      <c r="J34" s="322">
        <f>'P NP TBK SEDERHANA IKAN'!BG11</f>
        <v>0</v>
      </c>
      <c r="K34" s="322">
        <f>'P NP TBK SEDERHANA IKAN'!BH11</f>
        <v>0</v>
      </c>
      <c r="L34" s="322">
        <f>'P NP TBK SEDERHANA IKAN'!BG12</f>
        <v>0</v>
      </c>
      <c r="M34" s="322">
        <f>'P NP TBK SEDERHANA IKAN'!BH12</f>
        <v>0</v>
      </c>
      <c r="N34" s="322">
        <f>'P NP TBK SEDERHANA IKAN'!BG13</f>
        <v>0</v>
      </c>
      <c r="O34" s="322">
        <f>'P NP TBK SEDERHANA IKAN'!BH13</f>
        <v>0</v>
      </c>
      <c r="P34" s="322">
        <f>'P NP TBK SEDERHANA IKAN'!BG14</f>
        <v>0</v>
      </c>
      <c r="Q34" s="322">
        <f>'P NP TBK SEDERHANA IKAN'!BH14</f>
        <v>0</v>
      </c>
      <c r="R34" s="322">
        <f>'P NP TBK SEDERHANA IKAN'!BG15</f>
        <v>0</v>
      </c>
      <c r="S34" s="322">
        <f>'P NP TBK SEDERHANA IKAN'!BH15</f>
        <v>0</v>
      </c>
      <c r="T34" s="322">
        <f>'P NP TBK SEDERHANA IKAN'!BG16</f>
        <v>0</v>
      </c>
      <c r="U34" s="322">
        <f>'P NP TBK SEDERHANA IKAN'!BH16</f>
        <v>0</v>
      </c>
      <c r="V34" s="322">
        <f>'P NP TBK SEDERHANA IKAN'!BG17</f>
        <v>0</v>
      </c>
      <c r="W34" s="322">
        <f>'P NP TBK SEDERHANA IKAN'!BH17</f>
        <v>0</v>
      </c>
      <c r="X34" s="322">
        <f>'P NP TBK SEDERHANA IKAN'!BG18</f>
        <v>0</v>
      </c>
      <c r="Y34" s="322">
        <f>'P NP TBK SEDERHANA IKAN'!BH18</f>
        <v>0</v>
      </c>
      <c r="Z34" s="322">
        <f>'P NP TBK SEDERHANA IKAN'!BG19</f>
        <v>0</v>
      </c>
      <c r="AA34" s="322">
        <f>'P NP TBK SEDERHANA IKAN'!BH19</f>
        <v>0</v>
      </c>
      <c r="AB34" s="322">
        <f>'P NP TBK SEDERHANA IKAN'!BG20</f>
        <v>0</v>
      </c>
      <c r="AC34" s="322">
        <f>'P NP TBK SEDERHANA IKAN'!BH20</f>
        <v>0</v>
      </c>
      <c r="AD34" s="322">
        <f>'P NP TBK SEDERHANA IKAN'!BG21</f>
        <v>0</v>
      </c>
      <c r="AE34" s="322">
        <f>'P NP TBK SEDERHANA IKAN'!BH21</f>
        <v>0</v>
      </c>
      <c r="AF34" s="322">
        <f>'P NP TBK SEDERHANA IKAN'!BG22</f>
        <v>0</v>
      </c>
      <c r="AG34" s="322">
        <f>'P NP TBK SEDERHANA IKAN'!BH22</f>
        <v>0</v>
      </c>
      <c r="AH34" s="322">
        <f>'P NP TBK SEDERHANA IKAN'!BG23</f>
        <v>0</v>
      </c>
      <c r="AI34" s="322">
        <f>'P NP TBK SEDERHANA IKAN'!BH23</f>
        <v>0</v>
      </c>
      <c r="AJ34" s="322">
        <f>'P NP TBK SEDERHANA IKAN'!BG24</f>
        <v>0</v>
      </c>
      <c r="AK34" s="322">
        <f>'P NP TBK SEDERHANA IKAN'!BH24</f>
        <v>0</v>
      </c>
      <c r="AL34" s="322">
        <f>'P NP TBK SEDERHANA IKAN'!BG25</f>
        <v>0</v>
      </c>
      <c r="AM34" s="322">
        <f>'P NP TBK SEDERHANA IKAN'!BH25</f>
        <v>0</v>
      </c>
      <c r="AN34" s="322">
        <f>'P NP TBK SEDERHANA IKAN'!BG26</f>
        <v>0</v>
      </c>
      <c r="AO34" s="322">
        <f>'P NP TBK SEDERHANA IKAN'!BH26</f>
        <v>0</v>
      </c>
      <c r="AP34" s="322">
        <f>'P NP TBK SEDERHANA IKAN'!BG27</f>
        <v>0</v>
      </c>
      <c r="AQ34" s="322">
        <f>'P NP TBK SEDERHANA IKAN'!BH27</f>
        <v>0</v>
      </c>
      <c r="AR34" s="322">
        <f>'P NP TBK SEDERHANA IKAN'!BG28</f>
        <v>0</v>
      </c>
      <c r="AS34" s="322">
        <f>'P NP TBK SEDERHANA IKAN'!BH28</f>
        <v>0</v>
      </c>
      <c r="AT34" s="322">
        <f>'P NP TBK SEDERHANA IKAN'!BG29</f>
        <v>0</v>
      </c>
      <c r="AU34" s="322">
        <f>'P NP TBK SEDERHANA IKAN'!BH29</f>
        <v>0</v>
      </c>
      <c r="AV34" s="322">
        <f>'P NP TBK SEDERHANA IKAN'!BG30</f>
        <v>0</v>
      </c>
      <c r="AW34" s="322">
        <f>'P NP TBK SEDERHANA IKAN'!BH30</f>
        <v>0</v>
      </c>
      <c r="AX34" s="322">
        <f>'P NP TBK SEDERHANA IKAN'!BG31</f>
        <v>0</v>
      </c>
      <c r="AY34" s="322">
        <f>'P NP TBK SEDERHANA IKAN'!BH31</f>
        <v>0</v>
      </c>
      <c r="AZ34" s="322">
        <f>'P NP TBK SEDERHANA IKAN'!BG32</f>
        <v>0</v>
      </c>
      <c r="BA34" s="322">
        <f>'P NP TBK SEDERHANA IKAN'!BH32</f>
        <v>0</v>
      </c>
      <c r="BB34" s="322">
        <f>'P NP TBK SEDERHANA IKAN'!BG33</f>
        <v>0</v>
      </c>
      <c r="BC34" s="322">
        <f>'P NP TBK SEDERHANA IKAN'!BH33</f>
        <v>0</v>
      </c>
      <c r="BD34" s="322">
        <f>'P NP TBK SEDERHANA IKAN'!BG34</f>
        <v>0</v>
      </c>
      <c r="BE34" s="322">
        <f>'P NP TBK SEDERHANA IKAN'!BH34</f>
        <v>0</v>
      </c>
      <c r="BF34" s="322">
        <f>'P NP TBK SEDERHANA IKAN'!BG35</f>
        <v>0</v>
      </c>
      <c r="BG34" s="322">
        <f>'P NP TBK SEDERHANA IKAN'!BH35</f>
        <v>0</v>
      </c>
      <c r="BH34" s="322">
        <f>'P NP TBK SEDERHANA IKAN'!BG36</f>
        <v>0</v>
      </c>
      <c r="BI34" s="322">
        <f>'P NP TBK SEDERHANA IKAN'!BH36</f>
        <v>0</v>
      </c>
      <c r="BJ34" s="322">
        <f>'P NP TBK SEDERHANA IKAN'!BG37</f>
        <v>0</v>
      </c>
      <c r="BK34" s="322">
        <f>'P NP TBK SEDERHANA IKAN'!BH37</f>
        <v>0</v>
      </c>
      <c r="BL34" s="322">
        <f>'P NP TBK SEDERHANA IKAN'!BG38</f>
        <v>0</v>
      </c>
      <c r="BM34" s="322">
        <f>'P NP TBK SEDERHANA IKAN'!BH38</f>
        <v>0</v>
      </c>
      <c r="BN34" s="322">
        <f>'P NP TBK SEDERHANA IKAN'!BG39</f>
        <v>0</v>
      </c>
      <c r="BO34" s="322">
        <f>'P NP TBK SEDERHANA IKAN'!BH39</f>
        <v>0</v>
      </c>
      <c r="BP34" s="322">
        <f>'P NP TBK SEDERHANA IKAN'!BG40</f>
        <v>0</v>
      </c>
      <c r="BQ34" s="322">
        <f>'P NP TBK SEDERHANA IKAN'!BH40</f>
        <v>0</v>
      </c>
      <c r="BR34" s="322">
        <f>'P NP TBK SEDERHANA IKAN'!BG41</f>
        <v>0</v>
      </c>
      <c r="BS34" s="322">
        <f>'P NP TBK SEDERHANA IKAN'!BH41</f>
        <v>0</v>
      </c>
      <c r="BT34" s="322">
        <f>'P NP TBK SEDERHANA IKAN'!BG42</f>
        <v>0</v>
      </c>
      <c r="BU34" s="322">
        <f>'P NP TBK SEDERHANA IKAN'!BH42</f>
        <v>0</v>
      </c>
      <c r="BV34" s="322">
        <f>'P NP TBK SEDERHANA IKAN'!BG43</f>
        <v>0</v>
      </c>
      <c r="BW34" s="322">
        <f>'P NP TBK SEDERHANA IKAN'!BH43</f>
        <v>0</v>
      </c>
      <c r="BX34" s="322">
        <f>'P NP TBK SEDERHANA IKAN'!BG44</f>
        <v>0</v>
      </c>
      <c r="BY34" s="322">
        <f>'P NP TBK SEDERHANA IKAN'!BH44</f>
        <v>0</v>
      </c>
      <c r="CA34" s="322">
        <f t="shared" si="5"/>
        <v>0</v>
      </c>
      <c r="CB34" s="322">
        <f t="shared" si="6"/>
        <v>0</v>
      </c>
    </row>
    <row r="35" spans="1:80">
      <c r="A35" s="260" t="s">
        <v>149</v>
      </c>
      <c r="B35" s="320">
        <f t="shared" si="3"/>
        <v>0</v>
      </c>
      <c r="C35" s="320">
        <f t="shared" si="4"/>
        <v>0</v>
      </c>
      <c r="D35" s="322">
        <f>'P NP TBK SEDERHANA IKAN'!BI8</f>
        <v>0</v>
      </c>
      <c r="E35" s="322">
        <f>'P NP TBK SEDERHANA IKAN'!BJ8</f>
        <v>0</v>
      </c>
      <c r="F35" s="322">
        <f>'P NP TBK SEDERHANA IKAN'!BI9</f>
        <v>0</v>
      </c>
      <c r="G35" s="322">
        <f>'P NP TBK SEDERHANA IKAN'!BJ9</f>
        <v>0</v>
      </c>
      <c r="H35" s="322">
        <f>'P NP TBK SEDERHANA IKAN'!BI10</f>
        <v>0</v>
      </c>
      <c r="I35" s="322">
        <f>'P NP TBK SEDERHANA IKAN'!BJ10</f>
        <v>0</v>
      </c>
      <c r="J35" s="322">
        <f>'P NP TBK SEDERHANA IKAN'!BI11</f>
        <v>0</v>
      </c>
      <c r="K35" s="322">
        <f>'P NP TBK SEDERHANA IKAN'!BJ11</f>
        <v>0</v>
      </c>
      <c r="L35" s="322">
        <f>'P NP TBK SEDERHANA IKAN'!BI12</f>
        <v>0</v>
      </c>
      <c r="M35" s="322">
        <f>'P NP TBK SEDERHANA IKAN'!BJ12</f>
        <v>0</v>
      </c>
      <c r="N35" s="322">
        <f>'P NP TBK SEDERHANA IKAN'!BI13</f>
        <v>0</v>
      </c>
      <c r="O35" s="322">
        <f>'P NP TBK SEDERHANA IKAN'!BJ13</f>
        <v>0</v>
      </c>
      <c r="P35" s="322">
        <f>'P NP TBK SEDERHANA IKAN'!BI14</f>
        <v>0</v>
      </c>
      <c r="Q35" s="322">
        <f>'P NP TBK SEDERHANA IKAN'!BJ14</f>
        <v>0</v>
      </c>
      <c r="R35" s="322">
        <f>'P NP TBK SEDERHANA IKAN'!BI15</f>
        <v>0</v>
      </c>
      <c r="S35" s="322">
        <f>'P NP TBK SEDERHANA IKAN'!BJ15</f>
        <v>0</v>
      </c>
      <c r="T35" s="322">
        <f>'P NP TBK SEDERHANA IKAN'!BI16</f>
        <v>0</v>
      </c>
      <c r="U35" s="322">
        <f>'P NP TBK SEDERHANA IKAN'!BJ16</f>
        <v>0</v>
      </c>
      <c r="V35" s="322">
        <f>'P NP TBK SEDERHANA IKAN'!BI17</f>
        <v>0</v>
      </c>
      <c r="W35" s="322">
        <f>'P NP TBK SEDERHANA IKAN'!BJ17</f>
        <v>0</v>
      </c>
      <c r="X35" s="322">
        <f>'P NP TBK SEDERHANA IKAN'!BI18</f>
        <v>0</v>
      </c>
      <c r="Y35" s="322">
        <f>'P NP TBK SEDERHANA IKAN'!BJ18</f>
        <v>0</v>
      </c>
      <c r="Z35" s="322">
        <f>'P NP TBK SEDERHANA IKAN'!BI19</f>
        <v>0</v>
      </c>
      <c r="AA35" s="322">
        <f>'P NP TBK SEDERHANA IKAN'!BJ19</f>
        <v>0</v>
      </c>
      <c r="AB35" s="322">
        <f>'P NP TBK SEDERHANA IKAN'!BI20</f>
        <v>0</v>
      </c>
      <c r="AC35" s="322">
        <f>'P NP TBK SEDERHANA IKAN'!BJ20</f>
        <v>0</v>
      </c>
      <c r="AD35" s="322">
        <f>'P NP TBK SEDERHANA IKAN'!BI21</f>
        <v>0</v>
      </c>
      <c r="AE35" s="322">
        <f>'P NP TBK SEDERHANA IKAN'!BJ21</f>
        <v>0</v>
      </c>
      <c r="AF35" s="322">
        <f>'P NP TBK SEDERHANA IKAN'!BI22</f>
        <v>0</v>
      </c>
      <c r="AG35" s="322">
        <f>'P NP TBK SEDERHANA IKAN'!BJ22</f>
        <v>0</v>
      </c>
      <c r="AH35" s="322">
        <f>'P NP TBK SEDERHANA IKAN'!BI23</f>
        <v>0</v>
      </c>
      <c r="AI35" s="322">
        <f>'P NP TBK SEDERHANA IKAN'!BJ23</f>
        <v>0</v>
      </c>
      <c r="AJ35" s="322">
        <f>'P NP TBK SEDERHANA IKAN'!BI24</f>
        <v>0</v>
      </c>
      <c r="AK35" s="322">
        <f>'P NP TBK SEDERHANA IKAN'!BJ24</f>
        <v>0</v>
      </c>
      <c r="AL35" s="322">
        <f>'P NP TBK SEDERHANA IKAN'!BI25</f>
        <v>0</v>
      </c>
      <c r="AM35" s="322">
        <f>'P NP TBK SEDERHANA IKAN'!BJ25</f>
        <v>0</v>
      </c>
      <c r="AN35" s="322">
        <f>'P NP TBK SEDERHANA IKAN'!BI26</f>
        <v>0</v>
      </c>
      <c r="AO35" s="322">
        <f>'P NP TBK SEDERHANA IKAN'!BJ26</f>
        <v>0</v>
      </c>
      <c r="AP35" s="322">
        <f>'P NP TBK SEDERHANA IKAN'!BI27</f>
        <v>0</v>
      </c>
      <c r="AQ35" s="322">
        <f>'P NP TBK SEDERHANA IKAN'!BJ27</f>
        <v>0</v>
      </c>
      <c r="AR35" s="322">
        <f>'P NP TBK SEDERHANA IKAN'!BI28</f>
        <v>0</v>
      </c>
      <c r="AS35" s="322">
        <f>'P NP TBK SEDERHANA IKAN'!BJ28</f>
        <v>0</v>
      </c>
      <c r="AT35" s="322">
        <f>'P NP TBK SEDERHANA IKAN'!BI29</f>
        <v>0</v>
      </c>
      <c r="AU35" s="322">
        <f>'P NP TBK SEDERHANA IKAN'!BJ29</f>
        <v>0</v>
      </c>
      <c r="AV35" s="322">
        <f>'P NP TBK SEDERHANA IKAN'!BI30</f>
        <v>0</v>
      </c>
      <c r="AW35" s="322">
        <f>'P NP TBK SEDERHANA IKAN'!BJ30</f>
        <v>0</v>
      </c>
      <c r="AX35" s="322">
        <f>'P NP TBK SEDERHANA IKAN'!BI31</f>
        <v>0</v>
      </c>
      <c r="AY35" s="322">
        <f>'P NP TBK SEDERHANA IKAN'!BJ31</f>
        <v>0</v>
      </c>
      <c r="AZ35" s="322">
        <f>'P NP TBK SEDERHANA IKAN'!BI32</f>
        <v>0</v>
      </c>
      <c r="BA35" s="322">
        <f>'P NP TBK SEDERHANA IKAN'!BJ32</f>
        <v>0</v>
      </c>
      <c r="BB35" s="322">
        <f>'P NP TBK SEDERHANA IKAN'!BI33</f>
        <v>0</v>
      </c>
      <c r="BC35" s="322">
        <f>'P NP TBK SEDERHANA IKAN'!BJ33</f>
        <v>0</v>
      </c>
      <c r="BD35" s="322">
        <f>'P NP TBK SEDERHANA IKAN'!BI34</f>
        <v>0</v>
      </c>
      <c r="BE35" s="322">
        <f>'P NP TBK SEDERHANA IKAN'!BJ34</f>
        <v>0</v>
      </c>
      <c r="BF35" s="322">
        <f>'P NP TBK SEDERHANA IKAN'!BI35</f>
        <v>0</v>
      </c>
      <c r="BG35" s="322">
        <f>'P NP TBK SEDERHANA IKAN'!BJ35</f>
        <v>0</v>
      </c>
      <c r="BH35" s="322">
        <f>'P NP TBK SEDERHANA IKAN'!BI36</f>
        <v>0</v>
      </c>
      <c r="BI35" s="322">
        <f>'P NP TBK SEDERHANA IKAN'!BJ36</f>
        <v>0</v>
      </c>
      <c r="BJ35" s="322">
        <f>'P NP TBK SEDERHANA IKAN'!BI37</f>
        <v>0</v>
      </c>
      <c r="BK35" s="322">
        <f>'P NP TBK SEDERHANA IKAN'!BJ37</f>
        <v>0</v>
      </c>
      <c r="BL35" s="322">
        <f>'P NP TBK SEDERHANA IKAN'!BI38</f>
        <v>0</v>
      </c>
      <c r="BM35" s="322">
        <f>'P NP TBK SEDERHANA IKAN'!BJ38</f>
        <v>0</v>
      </c>
      <c r="BN35" s="322">
        <f>'P NP TBK SEDERHANA IKAN'!BI39</f>
        <v>0</v>
      </c>
      <c r="BO35" s="322">
        <f>'P NP TBK SEDERHANA IKAN'!BJ39</f>
        <v>0</v>
      </c>
      <c r="BP35" s="322">
        <f>'P NP TBK SEDERHANA IKAN'!BI40</f>
        <v>0</v>
      </c>
      <c r="BQ35" s="322">
        <f>'P NP TBK SEDERHANA IKAN'!BJ40</f>
        <v>0</v>
      </c>
      <c r="BR35" s="322">
        <f>'P NP TBK SEDERHANA IKAN'!BI41</f>
        <v>0</v>
      </c>
      <c r="BS35" s="322">
        <f>'P NP TBK SEDERHANA IKAN'!BJ41</f>
        <v>0</v>
      </c>
      <c r="BT35" s="322">
        <f>'P NP TBK SEDERHANA IKAN'!BI42</f>
        <v>0</v>
      </c>
      <c r="BU35" s="322">
        <f>'P NP TBK SEDERHANA IKAN'!BJ42</f>
        <v>0</v>
      </c>
      <c r="BV35" s="322">
        <f>'P NP TBK SEDERHANA IKAN'!BI43</f>
        <v>0</v>
      </c>
      <c r="BW35" s="322">
        <f>'P NP TBK SEDERHANA IKAN'!BJ43</f>
        <v>0</v>
      </c>
      <c r="BX35" s="322">
        <f>'P NP TBK SEDERHANA IKAN'!BI44</f>
        <v>0</v>
      </c>
      <c r="BY35" s="322">
        <f>'P NP TBK SEDERHANA IKAN'!BJ44</f>
        <v>0</v>
      </c>
      <c r="CA35" s="322">
        <f t="shared" si="5"/>
        <v>0</v>
      </c>
      <c r="CB35" s="322">
        <f t="shared" si="6"/>
        <v>0</v>
      </c>
    </row>
    <row r="36" spans="1:80">
      <c r="A36" s="260" t="s">
        <v>142</v>
      </c>
      <c r="B36" s="320">
        <f t="shared" si="3"/>
        <v>0</v>
      </c>
      <c r="C36" s="320">
        <f t="shared" si="4"/>
        <v>0</v>
      </c>
      <c r="D36" s="322">
        <f>'P NP TBK SEDERHANA IKAN'!BK8</f>
        <v>0</v>
      </c>
      <c r="E36" s="322">
        <f>'P NP TBK SEDERHANA IKAN'!BL8</f>
        <v>0</v>
      </c>
      <c r="F36" s="322">
        <f>'P NP TBK SEDERHANA IKAN'!BK9</f>
        <v>0</v>
      </c>
      <c r="G36" s="322">
        <f>'P NP TBK SEDERHANA IKAN'!BL9</f>
        <v>0</v>
      </c>
      <c r="H36" s="322">
        <f>'P NP TBK SEDERHANA IKAN'!BK10</f>
        <v>0</v>
      </c>
      <c r="I36" s="322">
        <f>'P NP TBK SEDERHANA IKAN'!BL10</f>
        <v>0</v>
      </c>
      <c r="J36" s="322">
        <f>'P NP TBK SEDERHANA IKAN'!BK11</f>
        <v>0</v>
      </c>
      <c r="K36" s="322">
        <f>'P NP TBK SEDERHANA IKAN'!BL11</f>
        <v>0</v>
      </c>
      <c r="L36" s="322">
        <f>'P NP TBK SEDERHANA IKAN'!BK12</f>
        <v>0</v>
      </c>
      <c r="M36" s="322">
        <f>'P NP TBK SEDERHANA IKAN'!BL12</f>
        <v>0</v>
      </c>
      <c r="N36" s="322">
        <f>'P NP TBK SEDERHANA IKAN'!BK13</f>
        <v>0</v>
      </c>
      <c r="O36" s="322">
        <f>'P NP TBK SEDERHANA IKAN'!BL13</f>
        <v>0</v>
      </c>
      <c r="P36" s="322">
        <f>'P NP TBK SEDERHANA IKAN'!BK14</f>
        <v>0</v>
      </c>
      <c r="Q36" s="322">
        <f>'P NP TBK SEDERHANA IKAN'!BL14</f>
        <v>0</v>
      </c>
      <c r="R36" s="322">
        <f>'P NP TBK SEDERHANA IKAN'!BK15</f>
        <v>0</v>
      </c>
      <c r="S36" s="322">
        <f>'P NP TBK SEDERHANA IKAN'!BL15</f>
        <v>0</v>
      </c>
      <c r="T36" s="322">
        <f>'P NP TBK SEDERHANA IKAN'!BK16</f>
        <v>0</v>
      </c>
      <c r="U36" s="322">
        <f>'P NP TBK SEDERHANA IKAN'!BL16</f>
        <v>0</v>
      </c>
      <c r="V36" s="322">
        <f>'P NP TBK SEDERHANA IKAN'!BK17</f>
        <v>0</v>
      </c>
      <c r="W36" s="322">
        <f>'P NP TBK SEDERHANA IKAN'!BL17</f>
        <v>0</v>
      </c>
      <c r="X36" s="322">
        <f>'P NP TBK SEDERHANA IKAN'!BK18</f>
        <v>0</v>
      </c>
      <c r="Y36" s="322">
        <f>'P NP TBK SEDERHANA IKAN'!BL18</f>
        <v>0</v>
      </c>
      <c r="Z36" s="322">
        <f>'P NP TBK SEDERHANA IKAN'!BK19</f>
        <v>0</v>
      </c>
      <c r="AA36" s="322">
        <f>'P NP TBK SEDERHANA IKAN'!BL19</f>
        <v>0</v>
      </c>
      <c r="AB36" s="322">
        <f>'P NP TBK SEDERHANA IKAN'!BK20</f>
        <v>0</v>
      </c>
      <c r="AC36" s="322">
        <f>'P NP TBK SEDERHANA IKAN'!BL20</f>
        <v>0</v>
      </c>
      <c r="AD36" s="322">
        <f>'P NP TBK SEDERHANA IKAN'!BK21</f>
        <v>0</v>
      </c>
      <c r="AE36" s="322">
        <f>'P NP TBK SEDERHANA IKAN'!BL21</f>
        <v>0</v>
      </c>
      <c r="AF36" s="322">
        <f>'P NP TBK SEDERHANA IKAN'!BK22</f>
        <v>0</v>
      </c>
      <c r="AG36" s="322">
        <f>'P NP TBK SEDERHANA IKAN'!BL22</f>
        <v>0</v>
      </c>
      <c r="AH36" s="322">
        <f>'P NP TBK SEDERHANA IKAN'!BK23</f>
        <v>0</v>
      </c>
      <c r="AI36" s="322">
        <f>'P NP TBK SEDERHANA IKAN'!BL23</f>
        <v>0</v>
      </c>
      <c r="AJ36" s="322">
        <f>'P NP TBK SEDERHANA IKAN'!BK24</f>
        <v>0</v>
      </c>
      <c r="AK36" s="322">
        <f>'P NP TBK SEDERHANA IKAN'!BL24</f>
        <v>0</v>
      </c>
      <c r="AL36" s="322">
        <f>'P NP TBK SEDERHANA IKAN'!BK25</f>
        <v>0</v>
      </c>
      <c r="AM36" s="322">
        <f>'P NP TBK SEDERHANA IKAN'!BL25</f>
        <v>0</v>
      </c>
      <c r="AN36" s="322">
        <f>'P NP TBK SEDERHANA IKAN'!BK26</f>
        <v>0</v>
      </c>
      <c r="AO36" s="322">
        <f>'P NP TBK SEDERHANA IKAN'!BL26</f>
        <v>0</v>
      </c>
      <c r="AP36" s="322">
        <f>'P NP TBK SEDERHANA IKAN'!BK27</f>
        <v>0</v>
      </c>
      <c r="AQ36" s="322">
        <f>'P NP TBK SEDERHANA IKAN'!BL27</f>
        <v>0</v>
      </c>
      <c r="AR36" s="322">
        <f>'P NP TBK SEDERHANA IKAN'!BK28</f>
        <v>0</v>
      </c>
      <c r="AS36" s="322">
        <f>'P NP TBK SEDERHANA IKAN'!BL28</f>
        <v>0</v>
      </c>
      <c r="AT36" s="322">
        <f>'P NP TBK SEDERHANA IKAN'!BK29</f>
        <v>0</v>
      </c>
      <c r="AU36" s="322">
        <f>'P NP TBK SEDERHANA IKAN'!BL29</f>
        <v>0</v>
      </c>
      <c r="AV36" s="322">
        <f>'P NP TBK SEDERHANA IKAN'!BK30</f>
        <v>0</v>
      </c>
      <c r="AW36" s="322">
        <f>'P NP TBK SEDERHANA IKAN'!BL30</f>
        <v>0</v>
      </c>
      <c r="AX36" s="322">
        <f>'P NP TBK SEDERHANA IKAN'!BK31</f>
        <v>0</v>
      </c>
      <c r="AY36" s="322">
        <f>'P NP TBK SEDERHANA IKAN'!BL31</f>
        <v>0</v>
      </c>
      <c r="AZ36" s="322">
        <f>'P NP TBK SEDERHANA IKAN'!BK32</f>
        <v>0</v>
      </c>
      <c r="BA36" s="322">
        <f>'P NP TBK SEDERHANA IKAN'!BL32</f>
        <v>0</v>
      </c>
      <c r="BB36" s="322">
        <f>'P NP TBK SEDERHANA IKAN'!BK33</f>
        <v>0</v>
      </c>
      <c r="BC36" s="322">
        <f>'P NP TBK SEDERHANA IKAN'!BL33</f>
        <v>0</v>
      </c>
      <c r="BD36" s="322">
        <f>'P NP TBK SEDERHANA IKAN'!BK34</f>
        <v>0</v>
      </c>
      <c r="BE36" s="322">
        <f>'P NP TBK SEDERHANA IKAN'!BL34</f>
        <v>0</v>
      </c>
      <c r="BF36" s="322">
        <f>'P NP TBK SEDERHANA IKAN'!BK35</f>
        <v>0</v>
      </c>
      <c r="BG36" s="322">
        <f>'P NP TBK SEDERHANA IKAN'!BL35</f>
        <v>0</v>
      </c>
      <c r="BH36" s="322">
        <f>'P NP TBK SEDERHANA IKAN'!BK36</f>
        <v>0</v>
      </c>
      <c r="BI36" s="322">
        <f>'P NP TBK SEDERHANA IKAN'!BL36</f>
        <v>0</v>
      </c>
      <c r="BJ36" s="322">
        <f>'P NP TBK SEDERHANA IKAN'!BK37</f>
        <v>0</v>
      </c>
      <c r="BK36" s="322">
        <f>'P NP TBK SEDERHANA IKAN'!BL37</f>
        <v>0</v>
      </c>
      <c r="BL36" s="322">
        <f>'P NP TBK SEDERHANA IKAN'!BK38</f>
        <v>0</v>
      </c>
      <c r="BM36" s="322">
        <f>'P NP TBK SEDERHANA IKAN'!BL38</f>
        <v>0</v>
      </c>
      <c r="BN36" s="322">
        <f>'P NP TBK SEDERHANA IKAN'!BK39</f>
        <v>0</v>
      </c>
      <c r="BO36" s="322">
        <f>'P NP TBK SEDERHANA IKAN'!BL39</f>
        <v>0</v>
      </c>
      <c r="BP36" s="322">
        <f>'P NP TBK SEDERHANA IKAN'!BK40</f>
        <v>0</v>
      </c>
      <c r="BQ36" s="322">
        <f>'P NP TBK SEDERHANA IKAN'!BL40</f>
        <v>0</v>
      </c>
      <c r="BR36" s="322">
        <f>'P NP TBK SEDERHANA IKAN'!BK41</f>
        <v>0</v>
      </c>
      <c r="BS36" s="322">
        <f>'P NP TBK SEDERHANA IKAN'!BL41</f>
        <v>0</v>
      </c>
      <c r="BT36" s="322">
        <f>'P NP TBK SEDERHANA IKAN'!BK42</f>
        <v>0</v>
      </c>
      <c r="BU36" s="322">
        <f>'P NP TBK SEDERHANA IKAN'!BL42</f>
        <v>0</v>
      </c>
      <c r="BV36" s="322">
        <f>'P NP TBK SEDERHANA IKAN'!BK43</f>
        <v>0</v>
      </c>
      <c r="BW36" s="322">
        <f>'P NP TBK SEDERHANA IKAN'!BL43</f>
        <v>0</v>
      </c>
      <c r="BX36" s="322">
        <f>'P NP TBK SEDERHANA IKAN'!BK44</f>
        <v>0</v>
      </c>
      <c r="BY36" s="322">
        <f>'P NP TBK SEDERHANA IKAN'!BL44</f>
        <v>0</v>
      </c>
      <c r="CA36" s="322">
        <f t="shared" si="5"/>
        <v>0</v>
      </c>
      <c r="CB36" s="322">
        <f t="shared" si="6"/>
        <v>0</v>
      </c>
    </row>
    <row r="37" spans="1:80">
      <c r="A37" s="260" t="s">
        <v>141</v>
      </c>
      <c r="B37" s="320">
        <f t="shared" si="3"/>
        <v>0</v>
      </c>
      <c r="C37" s="320">
        <f t="shared" si="4"/>
        <v>0</v>
      </c>
      <c r="D37" s="322">
        <f>'P NP TBK SEDERHANA IKAN'!BM8</f>
        <v>0</v>
      </c>
      <c r="E37" s="322">
        <f>'P NP TBK SEDERHANA IKAN'!BN8</f>
        <v>0</v>
      </c>
      <c r="F37" s="322">
        <f>'P NP TBK SEDERHANA IKAN'!BM9</f>
        <v>0</v>
      </c>
      <c r="G37" s="322">
        <f>'P NP TBK SEDERHANA IKAN'!BN9</f>
        <v>0</v>
      </c>
      <c r="H37" s="322">
        <f>'P NP TBK SEDERHANA IKAN'!BM10</f>
        <v>0</v>
      </c>
      <c r="I37" s="322">
        <f>'P NP TBK SEDERHANA IKAN'!BN10</f>
        <v>0</v>
      </c>
      <c r="J37" s="322">
        <f>'P NP TBK SEDERHANA IKAN'!BM11</f>
        <v>0</v>
      </c>
      <c r="K37" s="322">
        <f>'P NP TBK SEDERHANA IKAN'!BN11</f>
        <v>0</v>
      </c>
      <c r="L37" s="322">
        <f>'P NP TBK SEDERHANA IKAN'!BM12</f>
        <v>0</v>
      </c>
      <c r="M37" s="322">
        <f>'P NP TBK SEDERHANA IKAN'!BN12</f>
        <v>0</v>
      </c>
      <c r="N37" s="322">
        <f>'P NP TBK SEDERHANA IKAN'!BM13</f>
        <v>0</v>
      </c>
      <c r="O37" s="322">
        <f>'P NP TBK SEDERHANA IKAN'!BN13</f>
        <v>0</v>
      </c>
      <c r="P37" s="322">
        <f>'P NP TBK SEDERHANA IKAN'!BM14</f>
        <v>0</v>
      </c>
      <c r="Q37" s="322">
        <f>'P NP TBK SEDERHANA IKAN'!BN14</f>
        <v>0</v>
      </c>
      <c r="R37" s="322">
        <f>'P NP TBK SEDERHANA IKAN'!BM15</f>
        <v>0</v>
      </c>
      <c r="S37" s="322">
        <f>'P NP TBK SEDERHANA IKAN'!BN15</f>
        <v>0</v>
      </c>
      <c r="T37" s="322">
        <f>'P NP TBK SEDERHANA IKAN'!BM16</f>
        <v>0</v>
      </c>
      <c r="U37" s="322">
        <f>'P NP TBK SEDERHANA IKAN'!BN16</f>
        <v>0</v>
      </c>
      <c r="V37" s="322">
        <f>'P NP TBK SEDERHANA IKAN'!BM17</f>
        <v>0</v>
      </c>
      <c r="W37" s="322">
        <f>'P NP TBK SEDERHANA IKAN'!BN17</f>
        <v>0</v>
      </c>
      <c r="X37" s="322">
        <f>'P NP TBK SEDERHANA IKAN'!BM18</f>
        <v>0</v>
      </c>
      <c r="Y37" s="322">
        <f>'P NP TBK SEDERHANA IKAN'!BN18</f>
        <v>0</v>
      </c>
      <c r="Z37" s="322">
        <f>'P NP TBK SEDERHANA IKAN'!BM19</f>
        <v>0</v>
      </c>
      <c r="AA37" s="322">
        <f>'P NP TBK SEDERHANA IKAN'!BN19</f>
        <v>0</v>
      </c>
      <c r="AB37" s="322">
        <f>'P NP TBK SEDERHANA IKAN'!BM20</f>
        <v>0</v>
      </c>
      <c r="AC37" s="322">
        <f>'P NP TBK SEDERHANA IKAN'!BN20</f>
        <v>0</v>
      </c>
      <c r="AD37" s="322">
        <f>'P NP TBK SEDERHANA IKAN'!BM21</f>
        <v>0</v>
      </c>
      <c r="AE37" s="322">
        <f>'P NP TBK SEDERHANA IKAN'!BN21</f>
        <v>0</v>
      </c>
      <c r="AF37" s="322">
        <f>'P NP TBK SEDERHANA IKAN'!BM22</f>
        <v>0</v>
      </c>
      <c r="AG37" s="322">
        <f>'P NP TBK SEDERHANA IKAN'!BN22</f>
        <v>0</v>
      </c>
      <c r="AH37" s="322">
        <f>'P NP TBK SEDERHANA IKAN'!BM23</f>
        <v>0</v>
      </c>
      <c r="AI37" s="322">
        <f>'P NP TBK SEDERHANA IKAN'!BN23</f>
        <v>0</v>
      </c>
      <c r="AJ37" s="322">
        <f>'P NP TBK SEDERHANA IKAN'!BM24</f>
        <v>0</v>
      </c>
      <c r="AK37" s="322">
        <f>'P NP TBK SEDERHANA IKAN'!BN24</f>
        <v>0</v>
      </c>
      <c r="AL37" s="322">
        <f>'P NP TBK SEDERHANA IKAN'!BM25</f>
        <v>0</v>
      </c>
      <c r="AM37" s="322">
        <f>'P NP TBK SEDERHANA IKAN'!BN25</f>
        <v>0</v>
      </c>
      <c r="AN37" s="322">
        <f>'P NP TBK SEDERHANA IKAN'!BM26</f>
        <v>0</v>
      </c>
      <c r="AO37" s="322">
        <f>'P NP TBK SEDERHANA IKAN'!BN26</f>
        <v>0</v>
      </c>
      <c r="AP37" s="322">
        <f>'P NP TBK SEDERHANA IKAN'!BM27</f>
        <v>0</v>
      </c>
      <c r="AQ37" s="322">
        <f>'P NP TBK SEDERHANA IKAN'!BN27</f>
        <v>0</v>
      </c>
      <c r="AR37" s="322">
        <f>'P NP TBK SEDERHANA IKAN'!BM28</f>
        <v>0</v>
      </c>
      <c r="AS37" s="322">
        <f>'P NP TBK SEDERHANA IKAN'!BN28</f>
        <v>0</v>
      </c>
      <c r="AT37" s="322">
        <f>'P NP TBK SEDERHANA IKAN'!BM29</f>
        <v>0</v>
      </c>
      <c r="AU37" s="322">
        <f>'P NP TBK SEDERHANA IKAN'!BN29</f>
        <v>0</v>
      </c>
      <c r="AV37" s="322">
        <f>'P NP TBK SEDERHANA IKAN'!BM30</f>
        <v>0</v>
      </c>
      <c r="AW37" s="322">
        <f>'P NP TBK SEDERHANA IKAN'!BN30</f>
        <v>0</v>
      </c>
      <c r="AX37" s="322">
        <f>'P NP TBK SEDERHANA IKAN'!BM31</f>
        <v>0</v>
      </c>
      <c r="AY37" s="322">
        <f>'P NP TBK SEDERHANA IKAN'!BN31</f>
        <v>0</v>
      </c>
      <c r="AZ37" s="322">
        <f>'P NP TBK SEDERHANA IKAN'!BM32</f>
        <v>0</v>
      </c>
      <c r="BA37" s="322">
        <f>'P NP TBK SEDERHANA IKAN'!BN32</f>
        <v>0</v>
      </c>
      <c r="BB37" s="322">
        <f>'P NP TBK SEDERHANA IKAN'!BM33</f>
        <v>0</v>
      </c>
      <c r="BC37" s="322">
        <f>'P NP TBK SEDERHANA IKAN'!BN33</f>
        <v>0</v>
      </c>
      <c r="BD37" s="322">
        <f>'P NP TBK SEDERHANA IKAN'!BM34</f>
        <v>0</v>
      </c>
      <c r="BE37" s="322">
        <f>'P NP TBK SEDERHANA IKAN'!BN34</f>
        <v>0</v>
      </c>
      <c r="BF37" s="322">
        <f>'P NP TBK SEDERHANA IKAN'!BM35</f>
        <v>0</v>
      </c>
      <c r="BG37" s="322">
        <f>'P NP TBK SEDERHANA IKAN'!BN35</f>
        <v>0</v>
      </c>
      <c r="BH37" s="322">
        <f>'P NP TBK SEDERHANA IKAN'!BM36</f>
        <v>0</v>
      </c>
      <c r="BI37" s="322">
        <f>'P NP TBK SEDERHANA IKAN'!BN36</f>
        <v>0</v>
      </c>
      <c r="BJ37" s="322">
        <f>'P NP TBK SEDERHANA IKAN'!BM37</f>
        <v>0</v>
      </c>
      <c r="BK37" s="322">
        <f>'P NP TBK SEDERHANA IKAN'!BN37</f>
        <v>0</v>
      </c>
      <c r="BL37" s="322">
        <f>'P NP TBK SEDERHANA IKAN'!BM38</f>
        <v>0</v>
      </c>
      <c r="BM37" s="322">
        <f>'P NP TBK SEDERHANA IKAN'!BN38</f>
        <v>0</v>
      </c>
      <c r="BN37" s="322">
        <f>'P NP TBK SEDERHANA IKAN'!BM39</f>
        <v>0</v>
      </c>
      <c r="BO37" s="322">
        <f>'P NP TBK SEDERHANA IKAN'!BN39</f>
        <v>0</v>
      </c>
      <c r="BP37" s="322">
        <f>'P NP TBK SEDERHANA IKAN'!BM40</f>
        <v>0</v>
      </c>
      <c r="BQ37" s="322">
        <f>'P NP TBK SEDERHANA IKAN'!BN40</f>
        <v>0</v>
      </c>
      <c r="BR37" s="322">
        <f>'P NP TBK SEDERHANA IKAN'!BM41</f>
        <v>0</v>
      </c>
      <c r="BS37" s="322">
        <f>'P NP TBK SEDERHANA IKAN'!BN41</f>
        <v>0</v>
      </c>
      <c r="BT37" s="322">
        <f>'P NP TBK SEDERHANA IKAN'!BM42</f>
        <v>0</v>
      </c>
      <c r="BU37" s="322">
        <f>'P NP TBK SEDERHANA IKAN'!BN42</f>
        <v>0</v>
      </c>
      <c r="BV37" s="322">
        <f>'P NP TBK SEDERHANA IKAN'!BM43</f>
        <v>0</v>
      </c>
      <c r="BW37" s="322">
        <f>'P NP TBK SEDERHANA IKAN'!BN43</f>
        <v>0</v>
      </c>
      <c r="BX37" s="322">
        <f>'P NP TBK SEDERHANA IKAN'!BM44</f>
        <v>0</v>
      </c>
      <c r="BY37" s="322">
        <f>'P NP TBK SEDERHANA IKAN'!BN44</f>
        <v>0</v>
      </c>
      <c r="CA37" s="322">
        <f t="shared" si="5"/>
        <v>0</v>
      </c>
      <c r="CB37" s="322">
        <f t="shared" si="6"/>
        <v>0</v>
      </c>
    </row>
    <row r="38" spans="1:80">
      <c r="A38" s="260" t="s">
        <v>147</v>
      </c>
      <c r="B38" s="320">
        <f t="shared" si="3"/>
        <v>0</v>
      </c>
      <c r="C38" s="320">
        <f t="shared" si="4"/>
        <v>0</v>
      </c>
      <c r="D38" s="322">
        <f>'P NP TBK SEDERHANA IKAN'!BO8</f>
        <v>0</v>
      </c>
      <c r="E38" s="322">
        <f>'P NP TBK SEDERHANA IKAN'!BP8</f>
        <v>0</v>
      </c>
      <c r="F38" s="322">
        <f>'P NP TBK SEDERHANA IKAN'!BO9</f>
        <v>0</v>
      </c>
      <c r="G38" s="322">
        <f>'P NP TBK SEDERHANA IKAN'!BP9</f>
        <v>0</v>
      </c>
      <c r="H38" s="322">
        <f>'P NP TBK SEDERHANA IKAN'!BO10</f>
        <v>0</v>
      </c>
      <c r="I38" s="322">
        <f>'P NP TBK SEDERHANA IKAN'!BP10</f>
        <v>0</v>
      </c>
      <c r="J38" s="322">
        <f>'P NP TBK SEDERHANA IKAN'!BO11</f>
        <v>0</v>
      </c>
      <c r="K38" s="322">
        <f>'P NP TBK SEDERHANA IKAN'!BP11</f>
        <v>0</v>
      </c>
      <c r="L38" s="322">
        <f>'P NP TBK SEDERHANA IKAN'!BO12</f>
        <v>0</v>
      </c>
      <c r="M38" s="322">
        <f>'P NP TBK SEDERHANA IKAN'!BP12</f>
        <v>0</v>
      </c>
      <c r="N38" s="322">
        <f>'P NP TBK SEDERHANA IKAN'!BO13</f>
        <v>0</v>
      </c>
      <c r="O38" s="322">
        <f>'P NP TBK SEDERHANA IKAN'!BP13</f>
        <v>0</v>
      </c>
      <c r="P38" s="322">
        <f>'P NP TBK SEDERHANA IKAN'!BO14</f>
        <v>0</v>
      </c>
      <c r="Q38" s="322">
        <f>'P NP TBK SEDERHANA IKAN'!BP14</f>
        <v>0</v>
      </c>
      <c r="R38" s="322">
        <f>'P NP TBK SEDERHANA IKAN'!BO15</f>
        <v>0</v>
      </c>
      <c r="S38" s="322">
        <f>'P NP TBK SEDERHANA IKAN'!BP15</f>
        <v>0</v>
      </c>
      <c r="T38" s="322">
        <f>'P NP TBK SEDERHANA IKAN'!BO16</f>
        <v>0</v>
      </c>
      <c r="U38" s="322">
        <f>'P NP TBK SEDERHANA IKAN'!BP16</f>
        <v>0</v>
      </c>
      <c r="V38" s="322">
        <f>'P NP TBK SEDERHANA IKAN'!BO17</f>
        <v>0</v>
      </c>
      <c r="W38" s="322">
        <f>'P NP TBK SEDERHANA IKAN'!BP17</f>
        <v>0</v>
      </c>
      <c r="X38" s="322">
        <f>'P NP TBK SEDERHANA IKAN'!BO18</f>
        <v>0</v>
      </c>
      <c r="Y38" s="322">
        <f>'P NP TBK SEDERHANA IKAN'!BP18</f>
        <v>0</v>
      </c>
      <c r="Z38" s="322">
        <f>'P NP TBK SEDERHANA IKAN'!BO19</f>
        <v>0</v>
      </c>
      <c r="AA38" s="322">
        <f>'P NP TBK SEDERHANA IKAN'!BP19</f>
        <v>0</v>
      </c>
      <c r="AB38" s="322">
        <f>'P NP TBK SEDERHANA IKAN'!BO20</f>
        <v>0</v>
      </c>
      <c r="AC38" s="322">
        <f>'P NP TBK SEDERHANA IKAN'!BP20</f>
        <v>0</v>
      </c>
      <c r="AD38" s="322">
        <f>'P NP TBK SEDERHANA IKAN'!BO21</f>
        <v>0</v>
      </c>
      <c r="AE38" s="322">
        <f>'P NP TBK SEDERHANA IKAN'!BP21</f>
        <v>0</v>
      </c>
      <c r="AF38" s="322">
        <f>'P NP TBK SEDERHANA IKAN'!BO22</f>
        <v>0</v>
      </c>
      <c r="AG38" s="322">
        <f>'P NP TBK SEDERHANA IKAN'!BP22</f>
        <v>0</v>
      </c>
      <c r="AH38" s="322">
        <f>'P NP TBK SEDERHANA IKAN'!BO23</f>
        <v>0</v>
      </c>
      <c r="AI38" s="322">
        <f>'P NP TBK SEDERHANA IKAN'!BP23</f>
        <v>0</v>
      </c>
      <c r="AJ38" s="322">
        <f>'P NP TBK SEDERHANA IKAN'!BO24</f>
        <v>0</v>
      </c>
      <c r="AK38" s="322">
        <f>'P NP TBK SEDERHANA IKAN'!BP24</f>
        <v>0</v>
      </c>
      <c r="AL38" s="322">
        <f>'P NP TBK SEDERHANA IKAN'!BO25</f>
        <v>0</v>
      </c>
      <c r="AM38" s="322">
        <f>'P NP TBK SEDERHANA IKAN'!BP25</f>
        <v>0</v>
      </c>
      <c r="AN38" s="322">
        <f>'P NP TBK SEDERHANA IKAN'!BO26</f>
        <v>0</v>
      </c>
      <c r="AO38" s="322">
        <f>'P NP TBK SEDERHANA IKAN'!BP26</f>
        <v>0</v>
      </c>
      <c r="AP38" s="322">
        <f>'P NP TBK SEDERHANA IKAN'!BO27</f>
        <v>0</v>
      </c>
      <c r="AQ38" s="322">
        <f>'P NP TBK SEDERHANA IKAN'!BP27</f>
        <v>0</v>
      </c>
      <c r="AR38" s="322">
        <f>'P NP TBK SEDERHANA IKAN'!BO28</f>
        <v>0</v>
      </c>
      <c r="AS38" s="322">
        <f>'P NP TBK SEDERHANA IKAN'!BP28</f>
        <v>0</v>
      </c>
      <c r="AT38" s="322">
        <f>'P NP TBK SEDERHANA IKAN'!BO29</f>
        <v>0</v>
      </c>
      <c r="AU38" s="322">
        <f>'P NP TBK SEDERHANA IKAN'!BP29</f>
        <v>0</v>
      </c>
      <c r="AV38" s="322">
        <f>'P NP TBK SEDERHANA IKAN'!BO30</f>
        <v>0</v>
      </c>
      <c r="AW38" s="322">
        <f>'P NP TBK SEDERHANA IKAN'!BP30</f>
        <v>0</v>
      </c>
      <c r="AX38" s="322">
        <f>'P NP TBK SEDERHANA IKAN'!BO31</f>
        <v>0</v>
      </c>
      <c r="AY38" s="322">
        <f>'P NP TBK SEDERHANA IKAN'!BP31</f>
        <v>0</v>
      </c>
      <c r="AZ38" s="322">
        <f>'P NP TBK SEDERHANA IKAN'!BO32</f>
        <v>0</v>
      </c>
      <c r="BA38" s="322">
        <f>'P NP TBK SEDERHANA IKAN'!BP32</f>
        <v>0</v>
      </c>
      <c r="BB38" s="322">
        <f>'P NP TBK SEDERHANA IKAN'!BO33</f>
        <v>0</v>
      </c>
      <c r="BC38" s="322">
        <f>'P NP TBK SEDERHANA IKAN'!BP33</f>
        <v>0</v>
      </c>
      <c r="BD38" s="322">
        <f>'P NP TBK SEDERHANA IKAN'!BO34</f>
        <v>0</v>
      </c>
      <c r="BE38" s="322">
        <f>'P NP TBK SEDERHANA IKAN'!BP34</f>
        <v>0</v>
      </c>
      <c r="BF38" s="322">
        <f>'P NP TBK SEDERHANA IKAN'!BO35</f>
        <v>0</v>
      </c>
      <c r="BG38" s="322">
        <f>'P NP TBK SEDERHANA IKAN'!BP35</f>
        <v>0</v>
      </c>
      <c r="BH38" s="322">
        <f>'P NP TBK SEDERHANA IKAN'!BO36</f>
        <v>0</v>
      </c>
      <c r="BI38" s="322">
        <f>'P NP TBK SEDERHANA IKAN'!BP36</f>
        <v>0</v>
      </c>
      <c r="BJ38" s="322">
        <f>'P NP TBK SEDERHANA IKAN'!BO37</f>
        <v>0</v>
      </c>
      <c r="BK38" s="322">
        <f>'P NP TBK SEDERHANA IKAN'!BP37</f>
        <v>0</v>
      </c>
      <c r="BL38" s="322">
        <f>'P NP TBK SEDERHANA IKAN'!BO38</f>
        <v>0</v>
      </c>
      <c r="BM38" s="322">
        <f>'P NP TBK SEDERHANA IKAN'!BP38</f>
        <v>0</v>
      </c>
      <c r="BN38" s="322">
        <f>'P NP TBK SEDERHANA IKAN'!BO39</f>
        <v>0</v>
      </c>
      <c r="BO38" s="322">
        <f>'P NP TBK SEDERHANA IKAN'!BP39</f>
        <v>0</v>
      </c>
      <c r="BP38" s="322">
        <f>'P NP TBK SEDERHANA IKAN'!BO40</f>
        <v>0</v>
      </c>
      <c r="BQ38" s="322">
        <f>'P NP TBK SEDERHANA IKAN'!BP40</f>
        <v>0</v>
      </c>
      <c r="BR38" s="322">
        <f>'P NP TBK SEDERHANA IKAN'!BO41</f>
        <v>0</v>
      </c>
      <c r="BS38" s="322">
        <f>'P NP TBK SEDERHANA IKAN'!BP41</f>
        <v>0</v>
      </c>
      <c r="BT38" s="322">
        <f>'P NP TBK SEDERHANA IKAN'!BO42</f>
        <v>0</v>
      </c>
      <c r="BU38" s="322">
        <f>'P NP TBK SEDERHANA IKAN'!BP42</f>
        <v>0</v>
      </c>
      <c r="BV38" s="322">
        <f>'P NP TBK SEDERHANA IKAN'!BO43</f>
        <v>0</v>
      </c>
      <c r="BW38" s="322">
        <f>'P NP TBK SEDERHANA IKAN'!BP43</f>
        <v>0</v>
      </c>
      <c r="BX38" s="322">
        <f>'P NP TBK SEDERHANA IKAN'!BO44</f>
        <v>0</v>
      </c>
      <c r="BY38" s="322">
        <f>'P NP TBK SEDERHANA IKAN'!BP44</f>
        <v>0</v>
      </c>
      <c r="CA38" s="322">
        <f t="shared" si="5"/>
        <v>0</v>
      </c>
      <c r="CB38" s="322">
        <f t="shared" si="6"/>
        <v>0</v>
      </c>
    </row>
    <row r="39" spans="1:80">
      <c r="A39" s="260" t="s">
        <v>143</v>
      </c>
      <c r="B39" s="320">
        <f t="shared" si="3"/>
        <v>0</v>
      </c>
      <c r="C39" s="320">
        <f t="shared" si="4"/>
        <v>0</v>
      </c>
      <c r="D39" s="322">
        <f>'P NP TBK SEDERHANA IKAN'!BQ8</f>
        <v>0</v>
      </c>
      <c r="E39" s="322">
        <f>'P NP TBK SEDERHANA IKAN'!BR8</f>
        <v>0</v>
      </c>
      <c r="F39" s="322">
        <f>'P NP TBK SEDERHANA IKAN'!BQ9</f>
        <v>0</v>
      </c>
      <c r="G39" s="322">
        <f>'P NP TBK SEDERHANA IKAN'!BR9</f>
        <v>0</v>
      </c>
      <c r="H39" s="322">
        <f>'P NP TBK SEDERHANA IKAN'!BQ10</f>
        <v>0</v>
      </c>
      <c r="I39" s="322">
        <f>'P NP TBK SEDERHANA IKAN'!BR10</f>
        <v>0</v>
      </c>
      <c r="J39" s="322">
        <f>'P NP TBK SEDERHANA IKAN'!BQ11</f>
        <v>0</v>
      </c>
      <c r="K39" s="322">
        <f>'P NP TBK SEDERHANA IKAN'!BR11</f>
        <v>0</v>
      </c>
      <c r="L39" s="322">
        <f>'P NP TBK SEDERHANA IKAN'!BQ12</f>
        <v>0</v>
      </c>
      <c r="M39" s="322">
        <f>'P NP TBK SEDERHANA IKAN'!BR12</f>
        <v>0</v>
      </c>
      <c r="N39" s="322">
        <f>'P NP TBK SEDERHANA IKAN'!BQ13</f>
        <v>0</v>
      </c>
      <c r="O39" s="322">
        <f>'P NP TBK SEDERHANA IKAN'!BR13</f>
        <v>0</v>
      </c>
      <c r="P39" s="322">
        <f>'P NP TBK SEDERHANA IKAN'!BQ14</f>
        <v>0</v>
      </c>
      <c r="Q39" s="322">
        <f>'P NP TBK SEDERHANA IKAN'!BR14</f>
        <v>0</v>
      </c>
      <c r="R39" s="322">
        <f>'P NP TBK SEDERHANA IKAN'!BQ15</f>
        <v>0</v>
      </c>
      <c r="S39" s="322">
        <f>'P NP TBK SEDERHANA IKAN'!BR15</f>
        <v>0</v>
      </c>
      <c r="T39" s="322">
        <f>'P NP TBK SEDERHANA IKAN'!BQ16</f>
        <v>0</v>
      </c>
      <c r="U39" s="322">
        <f>'P NP TBK SEDERHANA IKAN'!BR16</f>
        <v>0</v>
      </c>
      <c r="V39" s="322">
        <f>'P NP TBK SEDERHANA IKAN'!BQ17</f>
        <v>0</v>
      </c>
      <c r="W39" s="322">
        <f>'P NP TBK SEDERHANA IKAN'!BR17</f>
        <v>0</v>
      </c>
      <c r="X39" s="322">
        <f>'P NP TBK SEDERHANA IKAN'!BQ18</f>
        <v>0</v>
      </c>
      <c r="Y39" s="322">
        <f>'P NP TBK SEDERHANA IKAN'!BR18</f>
        <v>0</v>
      </c>
      <c r="Z39" s="322">
        <f>'P NP TBK SEDERHANA IKAN'!BQ19</f>
        <v>0</v>
      </c>
      <c r="AA39" s="322">
        <f>'P NP TBK SEDERHANA IKAN'!BR19</f>
        <v>0</v>
      </c>
      <c r="AB39" s="322">
        <f>'P NP TBK SEDERHANA IKAN'!BQ20</f>
        <v>0</v>
      </c>
      <c r="AC39" s="322">
        <f>'P NP TBK SEDERHANA IKAN'!BR20</f>
        <v>0</v>
      </c>
      <c r="AD39" s="322">
        <f>'P NP TBK SEDERHANA IKAN'!BQ21</f>
        <v>0</v>
      </c>
      <c r="AE39" s="322">
        <f>'P NP TBK SEDERHANA IKAN'!BR21</f>
        <v>0</v>
      </c>
      <c r="AF39" s="322">
        <f>'P NP TBK SEDERHANA IKAN'!BQ22</f>
        <v>0</v>
      </c>
      <c r="AG39" s="322">
        <f>'P NP TBK SEDERHANA IKAN'!BR22</f>
        <v>0</v>
      </c>
      <c r="AH39" s="322">
        <f>'P NP TBK SEDERHANA IKAN'!BQ23</f>
        <v>0</v>
      </c>
      <c r="AI39" s="322">
        <f>'P NP TBK SEDERHANA IKAN'!BR23</f>
        <v>0</v>
      </c>
      <c r="AJ39" s="322">
        <f>'P NP TBK SEDERHANA IKAN'!BQ24</f>
        <v>0</v>
      </c>
      <c r="AK39" s="322">
        <f>'P NP TBK SEDERHANA IKAN'!BR24</f>
        <v>0</v>
      </c>
      <c r="AL39" s="322">
        <f>'P NP TBK SEDERHANA IKAN'!BQ25</f>
        <v>0</v>
      </c>
      <c r="AM39" s="322">
        <f>'P NP TBK SEDERHANA IKAN'!BR25</f>
        <v>0</v>
      </c>
      <c r="AN39" s="322">
        <f>'P NP TBK SEDERHANA IKAN'!BQ26</f>
        <v>0</v>
      </c>
      <c r="AO39" s="322">
        <f>'P NP TBK SEDERHANA IKAN'!BR26</f>
        <v>0</v>
      </c>
      <c r="AP39" s="322">
        <f>'P NP TBK SEDERHANA IKAN'!BQ27</f>
        <v>0</v>
      </c>
      <c r="AQ39" s="322">
        <f>'P NP TBK SEDERHANA IKAN'!BR27</f>
        <v>0</v>
      </c>
      <c r="AR39" s="322">
        <f>'P NP TBK SEDERHANA IKAN'!BQ28</f>
        <v>0</v>
      </c>
      <c r="AS39" s="322">
        <f>'P NP TBK SEDERHANA IKAN'!BR28</f>
        <v>0</v>
      </c>
      <c r="AT39" s="322">
        <f>'P NP TBK SEDERHANA IKAN'!BQ29</f>
        <v>0</v>
      </c>
      <c r="AU39" s="322">
        <f>'P NP TBK SEDERHANA IKAN'!BR29</f>
        <v>0</v>
      </c>
      <c r="AV39" s="322">
        <f>'P NP TBK SEDERHANA IKAN'!BQ30</f>
        <v>0</v>
      </c>
      <c r="AW39" s="322">
        <f>'P NP TBK SEDERHANA IKAN'!BR30</f>
        <v>0</v>
      </c>
      <c r="AX39" s="322">
        <f>'P NP TBK SEDERHANA IKAN'!BQ31</f>
        <v>0</v>
      </c>
      <c r="AY39" s="322">
        <f>'P NP TBK SEDERHANA IKAN'!BR31</f>
        <v>0</v>
      </c>
      <c r="AZ39" s="322">
        <f>'P NP TBK SEDERHANA IKAN'!BQ32</f>
        <v>0</v>
      </c>
      <c r="BA39" s="322">
        <f>'P NP TBK SEDERHANA IKAN'!BR32</f>
        <v>0</v>
      </c>
      <c r="BB39" s="322">
        <f>'P NP TBK SEDERHANA IKAN'!BQ33</f>
        <v>0</v>
      </c>
      <c r="BC39" s="322">
        <f>'P NP TBK SEDERHANA IKAN'!BR33</f>
        <v>0</v>
      </c>
      <c r="BD39" s="322">
        <f>'P NP TBK SEDERHANA IKAN'!BQ34</f>
        <v>0</v>
      </c>
      <c r="BE39" s="322">
        <f>'P NP TBK SEDERHANA IKAN'!BR34</f>
        <v>0</v>
      </c>
      <c r="BF39" s="322">
        <f>'P NP TBK SEDERHANA IKAN'!BQ35</f>
        <v>0</v>
      </c>
      <c r="BG39" s="322">
        <f>'P NP TBK SEDERHANA IKAN'!BR35</f>
        <v>0</v>
      </c>
      <c r="BH39" s="322">
        <f>'P NP TBK SEDERHANA IKAN'!BQ36</f>
        <v>0</v>
      </c>
      <c r="BI39" s="322">
        <f>'P NP TBK SEDERHANA IKAN'!BR36</f>
        <v>0</v>
      </c>
      <c r="BJ39" s="322">
        <f>'P NP TBK SEDERHANA IKAN'!BQ37</f>
        <v>0</v>
      </c>
      <c r="BK39" s="322">
        <f>'P NP TBK SEDERHANA IKAN'!BR37</f>
        <v>0</v>
      </c>
      <c r="BL39" s="322">
        <f>'P NP TBK SEDERHANA IKAN'!BQ38</f>
        <v>0</v>
      </c>
      <c r="BM39" s="322">
        <f>'P NP TBK SEDERHANA IKAN'!BR38</f>
        <v>0</v>
      </c>
      <c r="BN39" s="322">
        <f>'P NP TBK SEDERHANA IKAN'!BQ39</f>
        <v>0</v>
      </c>
      <c r="BO39" s="322">
        <f>'P NP TBK SEDERHANA IKAN'!BR39</f>
        <v>0</v>
      </c>
      <c r="BP39" s="322">
        <f>'P NP TBK SEDERHANA IKAN'!BQ40</f>
        <v>0</v>
      </c>
      <c r="BQ39" s="322">
        <f>'P NP TBK SEDERHANA IKAN'!BR40</f>
        <v>0</v>
      </c>
      <c r="BR39" s="322">
        <f>'P NP TBK SEDERHANA IKAN'!BQ41</f>
        <v>0</v>
      </c>
      <c r="BS39" s="322">
        <f>'P NP TBK SEDERHANA IKAN'!BR41</f>
        <v>0</v>
      </c>
      <c r="BT39" s="322">
        <f>'P NP TBK SEDERHANA IKAN'!BQ42</f>
        <v>0</v>
      </c>
      <c r="BU39" s="322">
        <f>'P NP TBK SEDERHANA IKAN'!BR42</f>
        <v>0</v>
      </c>
      <c r="BV39" s="322">
        <f>'P NP TBK SEDERHANA IKAN'!BQ43</f>
        <v>0</v>
      </c>
      <c r="BW39" s="322">
        <f>'P NP TBK SEDERHANA IKAN'!BR43</f>
        <v>0</v>
      </c>
      <c r="BX39" s="322">
        <f>'P NP TBK SEDERHANA IKAN'!BQ44</f>
        <v>0</v>
      </c>
      <c r="BY39" s="322">
        <f>'P NP TBK SEDERHANA IKAN'!BR44</f>
        <v>0</v>
      </c>
      <c r="CA39" s="322">
        <f t="shared" si="5"/>
        <v>0</v>
      </c>
      <c r="CB39" s="322">
        <f t="shared" si="6"/>
        <v>0</v>
      </c>
    </row>
    <row r="40" spans="1:80">
      <c r="A40" s="260" t="s">
        <v>146</v>
      </c>
      <c r="B40" s="320">
        <f t="shared" si="3"/>
        <v>0</v>
      </c>
      <c r="C40" s="320">
        <f t="shared" si="4"/>
        <v>0</v>
      </c>
      <c r="D40" s="322">
        <f>'P NP TBK SEDERHANA IKAN'!BS8</f>
        <v>0</v>
      </c>
      <c r="E40" s="322">
        <f>'P NP TBK SEDERHANA IKAN'!BT8</f>
        <v>0</v>
      </c>
      <c r="F40" s="322">
        <f>'P NP TBK SEDERHANA IKAN'!BS9</f>
        <v>0</v>
      </c>
      <c r="G40" s="322">
        <f>'P NP TBK SEDERHANA IKAN'!BT9</f>
        <v>0</v>
      </c>
      <c r="H40" s="322">
        <f>'P NP TBK SEDERHANA IKAN'!BS10</f>
        <v>0</v>
      </c>
      <c r="I40" s="322">
        <f>'P NP TBK SEDERHANA IKAN'!BT10</f>
        <v>0</v>
      </c>
      <c r="J40" s="322">
        <f>'P NP TBK SEDERHANA IKAN'!BS11</f>
        <v>0</v>
      </c>
      <c r="K40" s="322">
        <f>'P NP TBK SEDERHANA IKAN'!BT11</f>
        <v>0</v>
      </c>
      <c r="L40" s="322">
        <f>'P NP TBK SEDERHANA IKAN'!BS12</f>
        <v>0</v>
      </c>
      <c r="M40" s="322">
        <f>'P NP TBK SEDERHANA IKAN'!BT12</f>
        <v>0</v>
      </c>
      <c r="N40" s="322">
        <f>'P NP TBK SEDERHANA IKAN'!BS13</f>
        <v>0</v>
      </c>
      <c r="O40" s="322">
        <f>'P NP TBK SEDERHANA IKAN'!BT13</f>
        <v>0</v>
      </c>
      <c r="P40" s="322">
        <f>'P NP TBK SEDERHANA IKAN'!BS14</f>
        <v>0</v>
      </c>
      <c r="Q40" s="322">
        <f>'P NP TBK SEDERHANA IKAN'!BT14</f>
        <v>0</v>
      </c>
      <c r="R40" s="322">
        <f>'P NP TBK SEDERHANA IKAN'!BS15</f>
        <v>0</v>
      </c>
      <c r="S40" s="322">
        <f>'P NP TBK SEDERHANA IKAN'!BT15</f>
        <v>0</v>
      </c>
      <c r="T40" s="322">
        <f>'P NP TBK SEDERHANA IKAN'!BS16</f>
        <v>0</v>
      </c>
      <c r="U40" s="322">
        <f>'P NP TBK SEDERHANA IKAN'!BT16</f>
        <v>0</v>
      </c>
      <c r="V40" s="322">
        <f>'P NP TBK SEDERHANA IKAN'!BS17</f>
        <v>0</v>
      </c>
      <c r="W40" s="322">
        <f>'P NP TBK SEDERHANA IKAN'!BT17</f>
        <v>0</v>
      </c>
      <c r="X40" s="322">
        <f>'P NP TBK SEDERHANA IKAN'!BS18</f>
        <v>0</v>
      </c>
      <c r="Y40" s="322">
        <f>'P NP TBK SEDERHANA IKAN'!BT18</f>
        <v>0</v>
      </c>
      <c r="Z40" s="322">
        <f>'P NP TBK SEDERHANA IKAN'!BS19</f>
        <v>0</v>
      </c>
      <c r="AA40" s="322">
        <f>'P NP TBK SEDERHANA IKAN'!BT19</f>
        <v>0</v>
      </c>
      <c r="AB40" s="322">
        <f>'P NP TBK SEDERHANA IKAN'!BS20</f>
        <v>0</v>
      </c>
      <c r="AC40" s="322">
        <f>'P NP TBK SEDERHANA IKAN'!BT20</f>
        <v>0</v>
      </c>
      <c r="AD40" s="322">
        <f>'P NP TBK SEDERHANA IKAN'!BS21</f>
        <v>0</v>
      </c>
      <c r="AE40" s="322">
        <f>'P NP TBK SEDERHANA IKAN'!BT21</f>
        <v>0</v>
      </c>
      <c r="AF40" s="322">
        <f>'P NP TBK SEDERHANA IKAN'!BS22</f>
        <v>0</v>
      </c>
      <c r="AG40" s="322">
        <f>'P NP TBK SEDERHANA IKAN'!BT22</f>
        <v>0</v>
      </c>
      <c r="AH40" s="322">
        <f>'P NP TBK SEDERHANA IKAN'!BS23</f>
        <v>0</v>
      </c>
      <c r="AI40" s="322">
        <f>'P NP TBK SEDERHANA IKAN'!BT23</f>
        <v>0</v>
      </c>
      <c r="AJ40" s="322">
        <f>'P NP TBK SEDERHANA IKAN'!BS24</f>
        <v>0</v>
      </c>
      <c r="AK40" s="322">
        <f>'P NP TBK SEDERHANA IKAN'!BT24</f>
        <v>0</v>
      </c>
      <c r="AL40" s="322">
        <f>'P NP TBK SEDERHANA IKAN'!BS25</f>
        <v>0</v>
      </c>
      <c r="AM40" s="322">
        <f>'P NP TBK SEDERHANA IKAN'!BT25</f>
        <v>0</v>
      </c>
      <c r="AN40" s="322">
        <f>'P NP TBK SEDERHANA IKAN'!BS26</f>
        <v>0</v>
      </c>
      <c r="AO40" s="322">
        <f>'P NP TBK SEDERHANA IKAN'!BT26</f>
        <v>0</v>
      </c>
      <c r="AP40" s="322">
        <f>'P NP TBK SEDERHANA IKAN'!BS27</f>
        <v>0</v>
      </c>
      <c r="AQ40" s="322">
        <f>'P NP TBK SEDERHANA IKAN'!BT27</f>
        <v>0</v>
      </c>
      <c r="AR40" s="322">
        <f>'P NP TBK SEDERHANA IKAN'!BS28</f>
        <v>0</v>
      </c>
      <c r="AS40" s="322">
        <f>'P NP TBK SEDERHANA IKAN'!BT28</f>
        <v>0</v>
      </c>
      <c r="AT40" s="322">
        <f>'P NP TBK SEDERHANA IKAN'!BS29</f>
        <v>0</v>
      </c>
      <c r="AU40" s="322">
        <f>'P NP TBK SEDERHANA IKAN'!BT29</f>
        <v>0</v>
      </c>
      <c r="AV40" s="322">
        <f>'P NP TBK SEDERHANA IKAN'!BS30</f>
        <v>0</v>
      </c>
      <c r="AW40" s="322">
        <f>'P NP TBK SEDERHANA IKAN'!BT30</f>
        <v>0</v>
      </c>
      <c r="AX40" s="322">
        <f>'P NP TBK SEDERHANA IKAN'!BS31</f>
        <v>0</v>
      </c>
      <c r="AY40" s="322">
        <f>'P NP TBK SEDERHANA IKAN'!BT31</f>
        <v>0</v>
      </c>
      <c r="AZ40" s="322">
        <f>'P NP TBK SEDERHANA IKAN'!BS32</f>
        <v>0</v>
      </c>
      <c r="BA40" s="322">
        <f>'P NP TBK SEDERHANA IKAN'!BT32</f>
        <v>0</v>
      </c>
      <c r="BB40" s="322">
        <f>'P NP TBK SEDERHANA IKAN'!BS33</f>
        <v>0</v>
      </c>
      <c r="BC40" s="322">
        <f>'P NP TBK SEDERHANA IKAN'!BT33</f>
        <v>0</v>
      </c>
      <c r="BD40" s="322">
        <f>'P NP TBK SEDERHANA IKAN'!BS34</f>
        <v>0</v>
      </c>
      <c r="BE40" s="322">
        <f>'P NP TBK SEDERHANA IKAN'!BT34</f>
        <v>0</v>
      </c>
      <c r="BF40" s="322">
        <f>'P NP TBK SEDERHANA IKAN'!BS35</f>
        <v>0</v>
      </c>
      <c r="BG40" s="322">
        <f>'P NP TBK SEDERHANA IKAN'!BT35</f>
        <v>0</v>
      </c>
      <c r="BH40" s="322">
        <f>'P NP TBK SEDERHANA IKAN'!BS36</f>
        <v>0</v>
      </c>
      <c r="BI40" s="322">
        <f>'P NP TBK SEDERHANA IKAN'!BT36</f>
        <v>0</v>
      </c>
      <c r="BJ40" s="322">
        <f>'P NP TBK SEDERHANA IKAN'!BS37</f>
        <v>0</v>
      </c>
      <c r="BK40" s="322">
        <f>'P NP TBK SEDERHANA IKAN'!BT37</f>
        <v>0</v>
      </c>
      <c r="BL40" s="322">
        <f>'P NP TBK SEDERHANA IKAN'!BS38</f>
        <v>0</v>
      </c>
      <c r="BM40" s="322">
        <f>'P NP TBK SEDERHANA IKAN'!BT38</f>
        <v>0</v>
      </c>
      <c r="BN40" s="322">
        <f>'P NP TBK SEDERHANA IKAN'!BS39</f>
        <v>0</v>
      </c>
      <c r="BO40" s="322">
        <f>'P NP TBK SEDERHANA IKAN'!BT39</f>
        <v>0</v>
      </c>
      <c r="BP40" s="322">
        <f>'P NP TBK SEDERHANA IKAN'!BS40</f>
        <v>0</v>
      </c>
      <c r="BQ40" s="322">
        <f>'P NP TBK SEDERHANA IKAN'!BT40</f>
        <v>0</v>
      </c>
      <c r="BR40" s="322">
        <f>'P NP TBK SEDERHANA IKAN'!BS41</f>
        <v>0</v>
      </c>
      <c r="BS40" s="322">
        <f>'P NP TBK SEDERHANA IKAN'!BT41</f>
        <v>0</v>
      </c>
      <c r="BT40" s="322">
        <f>'P NP TBK SEDERHANA IKAN'!BS42</f>
        <v>0</v>
      </c>
      <c r="BU40" s="322">
        <f>'P NP TBK SEDERHANA IKAN'!BT42</f>
        <v>0</v>
      </c>
      <c r="BV40" s="322">
        <f>'P NP TBK SEDERHANA IKAN'!BS43</f>
        <v>0</v>
      </c>
      <c r="BW40" s="322">
        <f>'P NP TBK SEDERHANA IKAN'!BT43</f>
        <v>0</v>
      </c>
      <c r="BX40" s="322">
        <f>'P NP TBK SEDERHANA IKAN'!BS44</f>
        <v>0</v>
      </c>
      <c r="BY40" s="322">
        <f>'P NP TBK SEDERHANA IKAN'!BT44</f>
        <v>0</v>
      </c>
      <c r="CA40" s="322">
        <f t="shared" si="5"/>
        <v>0</v>
      </c>
      <c r="CB40" s="322">
        <f t="shared" si="6"/>
        <v>0</v>
      </c>
    </row>
    <row r="41" spans="1:80">
      <c r="A41" s="260" t="s">
        <v>145</v>
      </c>
      <c r="B41" s="320">
        <f t="shared" si="3"/>
        <v>0</v>
      </c>
      <c r="C41" s="320">
        <f t="shared" si="4"/>
        <v>0</v>
      </c>
      <c r="D41" s="322">
        <f>'P NP TBK SEDERHANA IKAN'!BU8</f>
        <v>0</v>
      </c>
      <c r="E41" s="322">
        <f>'P NP TBK SEDERHANA IKAN'!BV8</f>
        <v>0</v>
      </c>
      <c r="F41" s="322">
        <f>'P NP TBK SEDERHANA IKAN'!BU9</f>
        <v>0</v>
      </c>
      <c r="G41" s="322">
        <f>'P NP TBK SEDERHANA IKAN'!BV9</f>
        <v>0</v>
      </c>
      <c r="H41" s="322">
        <f>'P NP TBK SEDERHANA IKAN'!BU10</f>
        <v>0</v>
      </c>
      <c r="I41" s="322">
        <f>'P NP TBK SEDERHANA IKAN'!BV10</f>
        <v>0</v>
      </c>
      <c r="J41" s="322">
        <f>'P NP TBK SEDERHANA IKAN'!BU11</f>
        <v>0</v>
      </c>
      <c r="K41" s="322">
        <f>'P NP TBK SEDERHANA IKAN'!BV11</f>
        <v>0</v>
      </c>
      <c r="L41" s="322">
        <f>'P NP TBK SEDERHANA IKAN'!BU12</f>
        <v>0</v>
      </c>
      <c r="M41" s="322">
        <f>'P NP TBK SEDERHANA IKAN'!BV12</f>
        <v>0</v>
      </c>
      <c r="N41" s="322">
        <f>'P NP TBK SEDERHANA IKAN'!BU13</f>
        <v>0</v>
      </c>
      <c r="O41" s="322">
        <f>'P NP TBK SEDERHANA IKAN'!BV13</f>
        <v>0</v>
      </c>
      <c r="P41" s="322">
        <f>'P NP TBK SEDERHANA IKAN'!BU14</f>
        <v>0</v>
      </c>
      <c r="Q41" s="322">
        <f>'P NP TBK SEDERHANA IKAN'!BV14</f>
        <v>0</v>
      </c>
      <c r="R41" s="322">
        <f>'P NP TBK SEDERHANA IKAN'!BU15</f>
        <v>0</v>
      </c>
      <c r="S41" s="322">
        <f>'P NP TBK SEDERHANA IKAN'!BV15</f>
        <v>0</v>
      </c>
      <c r="T41" s="322">
        <f>'P NP TBK SEDERHANA IKAN'!BU16</f>
        <v>0</v>
      </c>
      <c r="U41" s="322">
        <f>'P NP TBK SEDERHANA IKAN'!BV16</f>
        <v>0</v>
      </c>
      <c r="V41" s="322">
        <f>'P NP TBK SEDERHANA IKAN'!BU17</f>
        <v>0</v>
      </c>
      <c r="W41" s="322">
        <f>'P NP TBK SEDERHANA IKAN'!BV17</f>
        <v>0</v>
      </c>
      <c r="X41" s="322">
        <f>'P NP TBK SEDERHANA IKAN'!BU18</f>
        <v>0</v>
      </c>
      <c r="Y41" s="322">
        <f>'P NP TBK SEDERHANA IKAN'!BV18</f>
        <v>0</v>
      </c>
      <c r="Z41" s="322">
        <f>'P NP TBK SEDERHANA IKAN'!BU19</f>
        <v>0</v>
      </c>
      <c r="AA41" s="322">
        <f>'P NP TBK SEDERHANA IKAN'!BV19</f>
        <v>0</v>
      </c>
      <c r="AB41" s="322">
        <f>'P NP TBK SEDERHANA IKAN'!BU20</f>
        <v>0</v>
      </c>
      <c r="AC41" s="322">
        <f>'P NP TBK SEDERHANA IKAN'!BV20</f>
        <v>0</v>
      </c>
      <c r="AD41" s="322">
        <f>'P NP TBK SEDERHANA IKAN'!BU21</f>
        <v>0</v>
      </c>
      <c r="AE41" s="322">
        <f>'P NP TBK SEDERHANA IKAN'!BV21</f>
        <v>0</v>
      </c>
      <c r="AF41" s="322">
        <f>'P NP TBK SEDERHANA IKAN'!BU22</f>
        <v>0</v>
      </c>
      <c r="AG41" s="322">
        <f>'P NP TBK SEDERHANA IKAN'!BV22</f>
        <v>0</v>
      </c>
      <c r="AH41" s="322">
        <f>'P NP TBK SEDERHANA IKAN'!BU23</f>
        <v>0</v>
      </c>
      <c r="AI41" s="322">
        <f>'P NP TBK SEDERHANA IKAN'!BV23</f>
        <v>0</v>
      </c>
      <c r="AJ41" s="322">
        <f>'P NP TBK SEDERHANA IKAN'!BU24</f>
        <v>0</v>
      </c>
      <c r="AK41" s="322">
        <f>'P NP TBK SEDERHANA IKAN'!BV24</f>
        <v>0</v>
      </c>
      <c r="AL41" s="322">
        <f>'P NP TBK SEDERHANA IKAN'!BU25</f>
        <v>0</v>
      </c>
      <c r="AM41" s="322">
        <f>'P NP TBK SEDERHANA IKAN'!BV25</f>
        <v>0</v>
      </c>
      <c r="AN41" s="322">
        <f>'P NP TBK SEDERHANA IKAN'!BU26</f>
        <v>0</v>
      </c>
      <c r="AO41" s="322">
        <f>'P NP TBK SEDERHANA IKAN'!BV26</f>
        <v>0</v>
      </c>
      <c r="AP41" s="322">
        <f>'P NP TBK SEDERHANA IKAN'!BU27</f>
        <v>0</v>
      </c>
      <c r="AQ41" s="322">
        <f>'P NP TBK SEDERHANA IKAN'!BV27</f>
        <v>0</v>
      </c>
      <c r="AR41" s="322">
        <f>'P NP TBK SEDERHANA IKAN'!BU28</f>
        <v>0</v>
      </c>
      <c r="AS41" s="322">
        <f>'P NP TBK SEDERHANA IKAN'!BV28</f>
        <v>0</v>
      </c>
      <c r="AT41" s="322">
        <f>'P NP TBK SEDERHANA IKAN'!BU29</f>
        <v>0</v>
      </c>
      <c r="AU41" s="322">
        <f>'P NP TBK SEDERHANA IKAN'!BV29</f>
        <v>0</v>
      </c>
      <c r="AV41" s="322">
        <f>'P NP TBK SEDERHANA IKAN'!BU30</f>
        <v>0</v>
      </c>
      <c r="AW41" s="322">
        <f>'P NP TBK SEDERHANA IKAN'!BV30</f>
        <v>0</v>
      </c>
      <c r="AX41" s="322">
        <f>'P NP TBK SEDERHANA IKAN'!BU31</f>
        <v>0</v>
      </c>
      <c r="AY41" s="322">
        <f>'P NP TBK SEDERHANA IKAN'!BV31</f>
        <v>0</v>
      </c>
      <c r="AZ41" s="322">
        <f>'P NP TBK SEDERHANA IKAN'!BU32</f>
        <v>0</v>
      </c>
      <c r="BA41" s="322">
        <f>'P NP TBK SEDERHANA IKAN'!BV32</f>
        <v>0</v>
      </c>
      <c r="BB41" s="322">
        <f>'P NP TBK SEDERHANA IKAN'!BU33</f>
        <v>0</v>
      </c>
      <c r="BC41" s="322">
        <f>'P NP TBK SEDERHANA IKAN'!BV33</f>
        <v>0</v>
      </c>
      <c r="BD41" s="322">
        <f>'P NP TBK SEDERHANA IKAN'!BU34</f>
        <v>0</v>
      </c>
      <c r="BE41" s="322">
        <f>'P NP TBK SEDERHANA IKAN'!BV34</f>
        <v>0</v>
      </c>
      <c r="BF41" s="322">
        <f>'P NP TBK SEDERHANA IKAN'!BU35</f>
        <v>0</v>
      </c>
      <c r="BG41" s="322">
        <f>'P NP TBK SEDERHANA IKAN'!BV35</f>
        <v>0</v>
      </c>
      <c r="BH41" s="322">
        <f>'P NP TBK SEDERHANA IKAN'!BU36</f>
        <v>0</v>
      </c>
      <c r="BI41" s="322">
        <f>'P NP TBK SEDERHANA IKAN'!BV36</f>
        <v>0</v>
      </c>
      <c r="BJ41" s="322">
        <f>'P NP TBK SEDERHANA IKAN'!BU37</f>
        <v>0</v>
      </c>
      <c r="BK41" s="322">
        <f>'P NP TBK SEDERHANA IKAN'!BV37</f>
        <v>0</v>
      </c>
      <c r="BL41" s="322">
        <f>'P NP TBK SEDERHANA IKAN'!BU38</f>
        <v>0</v>
      </c>
      <c r="BM41" s="322">
        <f>'P NP TBK SEDERHANA IKAN'!BV38</f>
        <v>0</v>
      </c>
      <c r="BN41" s="322">
        <f>'P NP TBK SEDERHANA IKAN'!BU39</f>
        <v>0</v>
      </c>
      <c r="BO41" s="322">
        <f>'P NP TBK SEDERHANA IKAN'!BV39</f>
        <v>0</v>
      </c>
      <c r="BP41" s="322">
        <f>'P NP TBK SEDERHANA IKAN'!BU40</f>
        <v>0</v>
      </c>
      <c r="BQ41" s="322">
        <f>'P NP TBK SEDERHANA IKAN'!BV40</f>
        <v>0</v>
      </c>
      <c r="BR41" s="322">
        <f>'P NP TBK SEDERHANA IKAN'!BU41</f>
        <v>0</v>
      </c>
      <c r="BS41" s="322">
        <f>'P NP TBK SEDERHANA IKAN'!BV41</f>
        <v>0</v>
      </c>
      <c r="BT41" s="322">
        <f>'P NP TBK SEDERHANA IKAN'!BU42</f>
        <v>0</v>
      </c>
      <c r="BU41" s="322">
        <f>'P NP TBK SEDERHANA IKAN'!BV42</f>
        <v>0</v>
      </c>
      <c r="BV41" s="322">
        <f>'P NP TBK SEDERHANA IKAN'!BU43</f>
        <v>0</v>
      </c>
      <c r="BW41" s="322">
        <f>'P NP TBK SEDERHANA IKAN'!BV43</f>
        <v>0</v>
      </c>
      <c r="BX41" s="322">
        <f>'P NP TBK SEDERHANA IKAN'!BU44</f>
        <v>0</v>
      </c>
      <c r="BY41" s="322">
        <f>'P NP TBK SEDERHANA IKAN'!BV44</f>
        <v>0</v>
      </c>
      <c r="CA41" s="322">
        <f t="shared" si="5"/>
        <v>0</v>
      </c>
      <c r="CB41" s="322">
        <f t="shared" si="6"/>
        <v>0</v>
      </c>
    </row>
    <row r="42" spans="1:80">
      <c r="A42" s="260" t="s">
        <v>144</v>
      </c>
      <c r="B42" s="320">
        <f t="shared" si="3"/>
        <v>0</v>
      </c>
      <c r="C42" s="320">
        <f t="shared" si="4"/>
        <v>0</v>
      </c>
      <c r="D42" s="322">
        <f>'P NP TBK SEDERHANA IKAN'!BW8</f>
        <v>0</v>
      </c>
      <c r="E42" s="322">
        <f>'P NP TBK SEDERHANA IKAN'!BX8</f>
        <v>0</v>
      </c>
      <c r="F42" s="322">
        <f>'P NP TBK SEDERHANA IKAN'!BW9</f>
        <v>0</v>
      </c>
      <c r="G42" s="322">
        <f>'P NP TBK SEDERHANA IKAN'!BX9</f>
        <v>0</v>
      </c>
      <c r="H42" s="322">
        <f>'P NP TBK SEDERHANA IKAN'!BW10</f>
        <v>0</v>
      </c>
      <c r="I42" s="322">
        <f>'P NP TBK SEDERHANA IKAN'!BX10</f>
        <v>0</v>
      </c>
      <c r="J42" s="322">
        <f>'P NP TBK SEDERHANA IKAN'!BW11</f>
        <v>0</v>
      </c>
      <c r="K42" s="322">
        <f>'P NP TBK SEDERHANA IKAN'!BX11</f>
        <v>0</v>
      </c>
      <c r="L42" s="322">
        <f>'P NP TBK SEDERHANA IKAN'!BW12</f>
        <v>0</v>
      </c>
      <c r="M42" s="322">
        <f>'P NP TBK SEDERHANA IKAN'!BX12</f>
        <v>0</v>
      </c>
      <c r="N42" s="322">
        <f>'P NP TBK SEDERHANA IKAN'!BW13</f>
        <v>0</v>
      </c>
      <c r="O42" s="322">
        <f>'P NP TBK SEDERHANA IKAN'!BX13</f>
        <v>0</v>
      </c>
      <c r="P42" s="322">
        <f>'P NP TBK SEDERHANA IKAN'!BW14</f>
        <v>0</v>
      </c>
      <c r="Q42" s="322">
        <f>'P NP TBK SEDERHANA IKAN'!BX14</f>
        <v>0</v>
      </c>
      <c r="R42" s="322">
        <f>'P NP TBK SEDERHANA IKAN'!BW15</f>
        <v>0</v>
      </c>
      <c r="S42" s="322">
        <f>'P NP TBK SEDERHANA IKAN'!BX15</f>
        <v>0</v>
      </c>
      <c r="T42" s="322">
        <f>'P NP TBK SEDERHANA IKAN'!BW16</f>
        <v>0</v>
      </c>
      <c r="U42" s="322">
        <f>'P NP TBK SEDERHANA IKAN'!BX16</f>
        <v>0</v>
      </c>
      <c r="V42" s="322">
        <f>'P NP TBK SEDERHANA IKAN'!BW17</f>
        <v>0</v>
      </c>
      <c r="W42" s="322">
        <f>'P NP TBK SEDERHANA IKAN'!BX17</f>
        <v>0</v>
      </c>
      <c r="X42" s="322">
        <f>'P NP TBK SEDERHANA IKAN'!BW18</f>
        <v>0</v>
      </c>
      <c r="Y42" s="322">
        <f>'P NP TBK SEDERHANA IKAN'!BX18</f>
        <v>0</v>
      </c>
      <c r="Z42" s="322">
        <f>'P NP TBK SEDERHANA IKAN'!BW19</f>
        <v>0</v>
      </c>
      <c r="AA42" s="322">
        <f>'P NP TBK SEDERHANA IKAN'!BX19</f>
        <v>0</v>
      </c>
      <c r="AB42" s="322">
        <f>'P NP TBK SEDERHANA IKAN'!BW20</f>
        <v>0</v>
      </c>
      <c r="AC42" s="322">
        <f>'P NP TBK SEDERHANA IKAN'!BX20</f>
        <v>0</v>
      </c>
      <c r="AD42" s="322">
        <f>'P NP TBK SEDERHANA IKAN'!BW21</f>
        <v>0</v>
      </c>
      <c r="AE42" s="322">
        <f>'P NP TBK SEDERHANA IKAN'!BX21</f>
        <v>0</v>
      </c>
      <c r="AF42" s="322">
        <f>'P NP TBK SEDERHANA IKAN'!BW22</f>
        <v>0</v>
      </c>
      <c r="AG42" s="322">
        <f>'P NP TBK SEDERHANA IKAN'!BX22</f>
        <v>0</v>
      </c>
      <c r="AH42" s="322">
        <f>'P NP TBK SEDERHANA IKAN'!BW23</f>
        <v>0</v>
      </c>
      <c r="AI42" s="322">
        <f>'P NP TBK SEDERHANA IKAN'!BX23</f>
        <v>0</v>
      </c>
      <c r="AJ42" s="322">
        <f>'P NP TBK SEDERHANA IKAN'!BW24</f>
        <v>0</v>
      </c>
      <c r="AK42" s="322">
        <f>'P NP TBK SEDERHANA IKAN'!BX24</f>
        <v>0</v>
      </c>
      <c r="AL42" s="322">
        <f>'P NP TBK SEDERHANA IKAN'!BW25</f>
        <v>0</v>
      </c>
      <c r="AM42" s="322">
        <f>'P NP TBK SEDERHANA IKAN'!BX25</f>
        <v>0</v>
      </c>
      <c r="AN42" s="322">
        <f>'P NP TBK SEDERHANA IKAN'!BW26</f>
        <v>0</v>
      </c>
      <c r="AO42" s="322">
        <f>'P NP TBK SEDERHANA IKAN'!BX26</f>
        <v>0</v>
      </c>
      <c r="AP42" s="322">
        <f>'P NP TBK SEDERHANA IKAN'!BW27</f>
        <v>0</v>
      </c>
      <c r="AQ42" s="322">
        <f>'P NP TBK SEDERHANA IKAN'!BX27</f>
        <v>0</v>
      </c>
      <c r="AR42" s="322">
        <f>'P NP TBK SEDERHANA IKAN'!BW28</f>
        <v>0</v>
      </c>
      <c r="AS42" s="322">
        <f>'P NP TBK SEDERHANA IKAN'!BX28</f>
        <v>0</v>
      </c>
      <c r="AT42" s="322">
        <f>'P NP TBK SEDERHANA IKAN'!BW29</f>
        <v>0</v>
      </c>
      <c r="AU42" s="322">
        <f>'P NP TBK SEDERHANA IKAN'!BX29</f>
        <v>0</v>
      </c>
      <c r="AV42" s="322">
        <f>'P NP TBK SEDERHANA IKAN'!BW30</f>
        <v>0</v>
      </c>
      <c r="AW42" s="322">
        <f>'P NP TBK SEDERHANA IKAN'!BX30</f>
        <v>0</v>
      </c>
      <c r="AX42" s="322">
        <f>'P NP TBK SEDERHANA IKAN'!BW31</f>
        <v>0</v>
      </c>
      <c r="AY42" s="322">
        <f>'P NP TBK SEDERHANA IKAN'!BX31</f>
        <v>0</v>
      </c>
      <c r="AZ42" s="322">
        <f>'P NP TBK SEDERHANA IKAN'!BW32</f>
        <v>0</v>
      </c>
      <c r="BA42" s="322">
        <f>'P NP TBK SEDERHANA IKAN'!BX32</f>
        <v>0</v>
      </c>
      <c r="BB42" s="322">
        <f>'P NP TBK SEDERHANA IKAN'!BW33</f>
        <v>0</v>
      </c>
      <c r="BC42" s="322">
        <f>'P NP TBK SEDERHANA IKAN'!BX33</f>
        <v>0</v>
      </c>
      <c r="BD42" s="322">
        <f>'P NP TBK SEDERHANA IKAN'!BW34</f>
        <v>0</v>
      </c>
      <c r="BE42" s="322">
        <f>'P NP TBK SEDERHANA IKAN'!BX34</f>
        <v>0</v>
      </c>
      <c r="BF42" s="322">
        <f>'P NP TBK SEDERHANA IKAN'!BW35</f>
        <v>0</v>
      </c>
      <c r="BG42" s="322">
        <f>'P NP TBK SEDERHANA IKAN'!BX35</f>
        <v>0</v>
      </c>
      <c r="BH42" s="322">
        <f>'P NP TBK SEDERHANA IKAN'!BW36</f>
        <v>0</v>
      </c>
      <c r="BI42" s="322">
        <f>'P NP TBK SEDERHANA IKAN'!BX36</f>
        <v>0</v>
      </c>
      <c r="BJ42" s="322">
        <f>'P NP TBK SEDERHANA IKAN'!BW37</f>
        <v>0</v>
      </c>
      <c r="BK42" s="322">
        <f>'P NP TBK SEDERHANA IKAN'!BX37</f>
        <v>0</v>
      </c>
      <c r="BL42" s="322">
        <f>'P NP TBK SEDERHANA IKAN'!BW38</f>
        <v>0</v>
      </c>
      <c r="BM42" s="322">
        <f>'P NP TBK SEDERHANA IKAN'!BX38</f>
        <v>0</v>
      </c>
      <c r="BN42" s="322">
        <f>'P NP TBK SEDERHANA IKAN'!BW39</f>
        <v>0</v>
      </c>
      <c r="BO42" s="322">
        <f>'P NP TBK SEDERHANA IKAN'!BX39</f>
        <v>0</v>
      </c>
      <c r="BP42" s="322">
        <f>'P NP TBK SEDERHANA IKAN'!BW40</f>
        <v>0</v>
      </c>
      <c r="BQ42" s="322">
        <f>'P NP TBK SEDERHANA IKAN'!BX40</f>
        <v>0</v>
      </c>
      <c r="BR42" s="322">
        <f>'P NP TBK SEDERHANA IKAN'!BW41</f>
        <v>0</v>
      </c>
      <c r="BS42" s="322">
        <f>'P NP TBK SEDERHANA IKAN'!BX41</f>
        <v>0</v>
      </c>
      <c r="BT42" s="322">
        <f>'P NP TBK SEDERHANA IKAN'!BW42</f>
        <v>0</v>
      </c>
      <c r="BU42" s="322">
        <f>'P NP TBK SEDERHANA IKAN'!BX42</f>
        <v>0</v>
      </c>
      <c r="BV42" s="322">
        <f>'P NP TBK SEDERHANA IKAN'!BW43</f>
        <v>0</v>
      </c>
      <c r="BW42" s="322">
        <f>'P NP TBK SEDERHANA IKAN'!BX43</f>
        <v>0</v>
      </c>
      <c r="BX42" s="322">
        <f>'P NP TBK SEDERHANA IKAN'!BW44</f>
        <v>0</v>
      </c>
      <c r="BY42" s="322">
        <f>'P NP TBK SEDERHANA IKAN'!BX44</f>
        <v>0</v>
      </c>
      <c r="CA42" s="322">
        <f t="shared" si="5"/>
        <v>0</v>
      </c>
      <c r="CB42" s="322">
        <f t="shared" si="6"/>
        <v>0</v>
      </c>
    </row>
    <row r="43" spans="1:80" ht="15" thickBot="1">
      <c r="A43" s="272" t="s">
        <v>148</v>
      </c>
      <c r="B43" s="320">
        <f t="shared" si="3"/>
        <v>0</v>
      </c>
      <c r="C43" s="320">
        <f t="shared" si="4"/>
        <v>0</v>
      </c>
      <c r="D43" s="322">
        <f>'P NP TBK SEDERHANA IKAN'!BY8</f>
        <v>0</v>
      </c>
      <c r="E43" s="322">
        <f>'P NP TBK SEDERHANA IKAN'!BZ8</f>
        <v>0</v>
      </c>
      <c r="F43" s="322">
        <f>'P NP TBK SEDERHANA IKAN'!BY9</f>
        <v>0</v>
      </c>
      <c r="G43" s="322">
        <f>'P NP TBK SEDERHANA IKAN'!BZ9</f>
        <v>0</v>
      </c>
      <c r="H43" s="322">
        <f>'P NP TBK SEDERHANA IKAN'!BY10</f>
        <v>0</v>
      </c>
      <c r="I43" s="322">
        <f>'P NP TBK SEDERHANA IKAN'!BZ10</f>
        <v>0</v>
      </c>
      <c r="J43" s="322">
        <f>'P NP TBK SEDERHANA IKAN'!BY11</f>
        <v>0</v>
      </c>
      <c r="K43" s="322">
        <f>'P NP TBK SEDERHANA IKAN'!BZ11</f>
        <v>0</v>
      </c>
      <c r="L43" s="322">
        <f>'P NP TBK SEDERHANA IKAN'!BY12</f>
        <v>0</v>
      </c>
      <c r="M43" s="322">
        <f>'P NP TBK SEDERHANA IKAN'!BZ12</f>
        <v>0</v>
      </c>
      <c r="N43" s="322">
        <f>'P NP TBK SEDERHANA IKAN'!BY13</f>
        <v>0</v>
      </c>
      <c r="O43" s="322">
        <f>'P NP TBK SEDERHANA IKAN'!BZ13</f>
        <v>0</v>
      </c>
      <c r="P43" s="322">
        <f>'P NP TBK SEDERHANA IKAN'!BY14</f>
        <v>0</v>
      </c>
      <c r="Q43" s="322">
        <f>'P NP TBK SEDERHANA IKAN'!BZ14</f>
        <v>0</v>
      </c>
      <c r="R43" s="322">
        <f>'P NP TBK SEDERHANA IKAN'!BY15</f>
        <v>0</v>
      </c>
      <c r="S43" s="322">
        <f>'P NP TBK SEDERHANA IKAN'!BZ15</f>
        <v>0</v>
      </c>
      <c r="T43" s="322">
        <f>'P NP TBK SEDERHANA IKAN'!BY16</f>
        <v>0</v>
      </c>
      <c r="U43" s="322">
        <f>'P NP TBK SEDERHANA IKAN'!BZ16</f>
        <v>0</v>
      </c>
      <c r="V43" s="322">
        <f>'P NP TBK SEDERHANA IKAN'!BY17</f>
        <v>0</v>
      </c>
      <c r="W43" s="322">
        <f>'P NP TBK SEDERHANA IKAN'!BZ17</f>
        <v>0</v>
      </c>
      <c r="X43" s="322">
        <f>'P NP TBK SEDERHANA IKAN'!BY18</f>
        <v>0</v>
      </c>
      <c r="Y43" s="322">
        <f>'P NP TBK SEDERHANA IKAN'!BZ18</f>
        <v>0</v>
      </c>
      <c r="Z43" s="322">
        <f>'P NP TBK SEDERHANA IKAN'!BY19</f>
        <v>0</v>
      </c>
      <c r="AA43" s="322">
        <f>'P NP TBK SEDERHANA IKAN'!BZ19</f>
        <v>0</v>
      </c>
      <c r="AB43" s="322">
        <f>'P NP TBK SEDERHANA IKAN'!BY20</f>
        <v>0</v>
      </c>
      <c r="AC43" s="322">
        <f>'P NP TBK SEDERHANA IKAN'!BZ20</f>
        <v>0</v>
      </c>
      <c r="AD43" s="322">
        <f>'P NP TBK SEDERHANA IKAN'!BY21</f>
        <v>0</v>
      </c>
      <c r="AE43" s="322">
        <f>'P NP TBK SEDERHANA IKAN'!BZ21</f>
        <v>0</v>
      </c>
      <c r="AF43" s="322">
        <f>'P NP TBK SEDERHANA IKAN'!BY22</f>
        <v>0</v>
      </c>
      <c r="AG43" s="322">
        <f>'P NP TBK SEDERHANA IKAN'!BZ22</f>
        <v>0</v>
      </c>
      <c r="AH43" s="322">
        <f>'P NP TBK SEDERHANA IKAN'!BY23</f>
        <v>0</v>
      </c>
      <c r="AI43" s="322">
        <f>'P NP TBK SEDERHANA IKAN'!BZ23</f>
        <v>0</v>
      </c>
      <c r="AJ43" s="322">
        <f>'P NP TBK SEDERHANA IKAN'!BY24</f>
        <v>0</v>
      </c>
      <c r="AK43" s="322">
        <f>'P NP TBK SEDERHANA IKAN'!BZ24</f>
        <v>0</v>
      </c>
      <c r="AL43" s="322">
        <f>'P NP TBK SEDERHANA IKAN'!BY25</f>
        <v>0</v>
      </c>
      <c r="AM43" s="322">
        <f>'P NP TBK SEDERHANA IKAN'!BZ25</f>
        <v>0</v>
      </c>
      <c r="AN43" s="322">
        <f>'P NP TBK SEDERHANA IKAN'!BY26</f>
        <v>0</v>
      </c>
      <c r="AO43" s="322">
        <f>'P NP TBK SEDERHANA IKAN'!BZ26</f>
        <v>0</v>
      </c>
      <c r="AP43" s="322">
        <f>'P NP TBK SEDERHANA IKAN'!BY27</f>
        <v>0</v>
      </c>
      <c r="AQ43" s="322">
        <f>'P NP TBK SEDERHANA IKAN'!BZ27</f>
        <v>0</v>
      </c>
      <c r="AR43" s="322">
        <f>'P NP TBK SEDERHANA IKAN'!BY28</f>
        <v>0</v>
      </c>
      <c r="AS43" s="322">
        <f>'P NP TBK SEDERHANA IKAN'!BZ28</f>
        <v>0</v>
      </c>
      <c r="AT43" s="322">
        <f>'P NP TBK SEDERHANA IKAN'!BY29</f>
        <v>0</v>
      </c>
      <c r="AU43" s="322">
        <f>'P NP TBK SEDERHANA IKAN'!BZ29</f>
        <v>0</v>
      </c>
      <c r="AV43" s="322">
        <f>'P NP TBK SEDERHANA IKAN'!BY30</f>
        <v>0</v>
      </c>
      <c r="AW43" s="322">
        <f>'P NP TBK SEDERHANA IKAN'!BZ30</f>
        <v>0</v>
      </c>
      <c r="AX43" s="322">
        <f>'P NP TBK SEDERHANA IKAN'!BY31</f>
        <v>0</v>
      </c>
      <c r="AY43" s="322">
        <f>'P NP TBK SEDERHANA IKAN'!BZ31</f>
        <v>0</v>
      </c>
      <c r="AZ43" s="322">
        <f>'P NP TBK SEDERHANA IKAN'!BY32</f>
        <v>0</v>
      </c>
      <c r="BA43" s="322">
        <f>'P NP TBK SEDERHANA IKAN'!BZ32</f>
        <v>0</v>
      </c>
      <c r="BB43" s="322">
        <f>'P NP TBK SEDERHANA IKAN'!BY33</f>
        <v>0</v>
      </c>
      <c r="BC43" s="322">
        <f>'P NP TBK SEDERHANA IKAN'!BZ33</f>
        <v>0</v>
      </c>
      <c r="BD43" s="322">
        <f>'P NP TBK SEDERHANA IKAN'!BY34</f>
        <v>0</v>
      </c>
      <c r="BE43" s="322">
        <f>'P NP TBK SEDERHANA IKAN'!BZ34</f>
        <v>0</v>
      </c>
      <c r="BF43" s="322">
        <f>'P NP TBK SEDERHANA IKAN'!BY35</f>
        <v>0</v>
      </c>
      <c r="BG43" s="322">
        <f>'P NP TBK SEDERHANA IKAN'!BZ35</f>
        <v>0</v>
      </c>
      <c r="BH43" s="322">
        <f>'P NP TBK SEDERHANA IKAN'!BY36</f>
        <v>0</v>
      </c>
      <c r="BI43" s="322">
        <f>'P NP TBK SEDERHANA IKAN'!BZ36</f>
        <v>0</v>
      </c>
      <c r="BJ43" s="322">
        <f>'P NP TBK SEDERHANA IKAN'!BY37</f>
        <v>0</v>
      </c>
      <c r="BK43" s="322">
        <f>'P NP TBK SEDERHANA IKAN'!BZ37</f>
        <v>0</v>
      </c>
      <c r="BL43" s="322">
        <f>'P NP TBK SEDERHANA IKAN'!BY38</f>
        <v>0</v>
      </c>
      <c r="BM43" s="322">
        <f>'P NP TBK SEDERHANA IKAN'!BZ38</f>
        <v>0</v>
      </c>
      <c r="BN43" s="322">
        <f>'P NP TBK SEDERHANA IKAN'!BY39</f>
        <v>0</v>
      </c>
      <c r="BO43" s="322">
        <f>'P NP TBK SEDERHANA IKAN'!BZ39</f>
        <v>0</v>
      </c>
      <c r="BP43" s="322">
        <f>'P NP TBK SEDERHANA IKAN'!BY40</f>
        <v>0</v>
      </c>
      <c r="BQ43" s="322">
        <f>'P NP TBK SEDERHANA IKAN'!BZ40</f>
        <v>0</v>
      </c>
      <c r="BR43" s="322">
        <f>'P NP TBK SEDERHANA IKAN'!BY41</f>
        <v>0</v>
      </c>
      <c r="BS43" s="322">
        <f>'P NP TBK SEDERHANA IKAN'!BZ41</f>
        <v>0</v>
      </c>
      <c r="BT43" s="322">
        <f>'P NP TBK SEDERHANA IKAN'!BY42</f>
        <v>0</v>
      </c>
      <c r="BU43" s="322">
        <f>'P NP TBK SEDERHANA IKAN'!BZ42</f>
        <v>0</v>
      </c>
      <c r="BV43" s="322">
        <f>'P NP TBK SEDERHANA IKAN'!BY43</f>
        <v>0</v>
      </c>
      <c r="BW43" s="322">
        <f>'P NP TBK SEDERHANA IKAN'!BZ43</f>
        <v>0</v>
      </c>
      <c r="BX43" s="322">
        <f>'P NP TBK SEDERHANA IKAN'!BY44</f>
        <v>0</v>
      </c>
      <c r="BY43" s="322">
        <f>'P NP TBK SEDERHANA IKAN'!BZ44</f>
        <v>0</v>
      </c>
      <c r="CA43" s="322">
        <f t="shared" si="5"/>
        <v>0</v>
      </c>
      <c r="CB43" s="322">
        <f t="shared" si="6"/>
        <v>0</v>
      </c>
    </row>
    <row r="44" spans="1:80">
      <c r="A44" s="168"/>
      <c r="B44" s="168"/>
      <c r="C44" s="168"/>
      <c r="D44" s="168"/>
      <c r="E44" s="168"/>
      <c r="F44" s="165"/>
      <c r="G44" s="165"/>
      <c r="H44" s="165"/>
      <c r="I44" s="165"/>
      <c r="J44" s="165"/>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324"/>
      <c r="AI44" s="324"/>
      <c r="AJ44" s="324"/>
      <c r="AK44" s="324"/>
      <c r="AL44" s="324"/>
      <c r="AM44" s="324"/>
      <c r="AN44" s="324"/>
      <c r="AO44" s="324"/>
      <c r="AP44" s="324"/>
      <c r="AQ44" s="324"/>
      <c r="AR44" s="324"/>
      <c r="AS44" s="324"/>
      <c r="AT44" s="324"/>
      <c r="AU44" s="324"/>
      <c r="AV44" s="324"/>
      <c r="AW44" s="324"/>
      <c r="AX44" s="324"/>
      <c r="AY44" s="324"/>
      <c r="AZ44" s="324"/>
      <c r="BA44" s="324"/>
      <c r="BB44" s="324"/>
      <c r="BC44" s="324"/>
      <c r="BD44" s="324"/>
      <c r="BE44" s="324"/>
      <c r="BF44" s="324"/>
      <c r="BG44" s="324"/>
      <c r="BH44" s="324"/>
      <c r="BI44" s="324"/>
      <c r="BJ44" s="324"/>
      <c r="BK44" s="324"/>
      <c r="BL44" s="324"/>
      <c r="BM44" s="324"/>
      <c r="BN44" s="324"/>
      <c r="BO44" s="324"/>
      <c r="BP44" s="324"/>
      <c r="BQ44" s="324"/>
      <c r="BR44" s="324"/>
      <c r="BS44" s="324"/>
      <c r="BT44" s="324"/>
      <c r="BU44" s="324"/>
      <c r="BV44" s="324"/>
      <c r="BW44" s="324"/>
      <c r="BX44" s="324"/>
      <c r="BY44" s="324"/>
      <c r="BZ44" s="168"/>
      <c r="CA44" s="165"/>
      <c r="CB44" s="165"/>
    </row>
    <row r="45" spans="1:80">
      <c r="V45" s="322">
        <f>'P NP TBK SEDERHANA IKAN'!CC17</f>
        <v>0</v>
      </c>
      <c r="W45" s="322">
        <f>'P NP TBK SEDERHANA IKAN'!CD17</f>
        <v>0</v>
      </c>
      <c r="BN45" s="322">
        <f>'P NP TBK SEDERHANA IKAN'!CA40</f>
        <v>0</v>
      </c>
      <c r="BO45" s="322">
        <f>'P NP TBK SEDERHANA IKAN'!CB40</f>
        <v>0</v>
      </c>
    </row>
  </sheetData>
  <mergeCells count="37">
    <mergeCell ref="N2:O2"/>
    <mergeCell ref="D2:E2"/>
    <mergeCell ref="F2:G2"/>
    <mergeCell ref="H2:I2"/>
    <mergeCell ref="J2:K2"/>
    <mergeCell ref="L2:M2"/>
    <mergeCell ref="AL2:AM2"/>
    <mergeCell ref="P2:Q2"/>
    <mergeCell ref="R2:S2"/>
    <mergeCell ref="T2:U2"/>
    <mergeCell ref="V2:W2"/>
    <mergeCell ref="X2:Y2"/>
    <mergeCell ref="Z2:AA2"/>
    <mergeCell ref="AB2:AC2"/>
    <mergeCell ref="AD2:AE2"/>
    <mergeCell ref="AF2:AG2"/>
    <mergeCell ref="AH2:AI2"/>
    <mergeCell ref="AJ2:AK2"/>
    <mergeCell ref="BJ2:BK2"/>
    <mergeCell ref="AN2:AO2"/>
    <mergeCell ref="AP2:AQ2"/>
    <mergeCell ref="AR2:AS2"/>
    <mergeCell ref="AT2:AU2"/>
    <mergeCell ref="AV2:AW2"/>
    <mergeCell ref="AX2:AY2"/>
    <mergeCell ref="AZ2:BA2"/>
    <mergeCell ref="BB2:BC2"/>
    <mergeCell ref="BD2:BE2"/>
    <mergeCell ref="BF2:BG2"/>
    <mergeCell ref="BH2:BI2"/>
    <mergeCell ref="BX2:BY2"/>
    <mergeCell ref="BL2:BM2"/>
    <mergeCell ref="BN2:BO2"/>
    <mergeCell ref="BP2:BQ2"/>
    <mergeCell ref="BR2:BS2"/>
    <mergeCell ref="BT2:BU2"/>
    <mergeCell ref="BV2:BW2"/>
  </mergeCells>
  <pageMargins left="0.7" right="0.7" top="0.75" bottom="0.75" header="0.3" footer="0.3"/>
  <pageSetup paperSize="9" orientation="portrait" horizontalDpi="4294967293"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A1:CC45"/>
  <sheetViews>
    <sheetView workbookViewId="0">
      <pane xSplit="2" ySplit="7" topLeftCell="BU30" activePane="bottomRight" state="frozen"/>
      <selection pane="topRight" activeCell="B1" sqref="B1"/>
      <selection pane="bottomLeft" activeCell="A8" sqref="A8"/>
      <selection pane="bottomRight" activeCell="BE7" sqref="BE7"/>
    </sheetView>
  </sheetViews>
  <sheetFormatPr defaultRowHeight="11.5"/>
  <cols>
    <col min="1" max="1" width="9.1796875" style="205"/>
    <col min="2" max="2" width="25.54296875" style="205" customWidth="1"/>
    <col min="3" max="78" width="13.81640625" style="205" customWidth="1"/>
    <col min="79" max="79" width="9.1796875" style="205"/>
    <col min="80" max="81" width="13.81640625" style="739" customWidth="1"/>
    <col min="82" max="257" width="9.1796875" style="205"/>
    <col min="258" max="258" width="25.54296875" style="205" customWidth="1"/>
    <col min="259" max="296" width="13.81640625" style="205" customWidth="1"/>
    <col min="297" max="513" width="9.1796875" style="205"/>
    <col min="514" max="514" width="25.54296875" style="205" customWidth="1"/>
    <col min="515" max="552" width="13.81640625" style="205" customWidth="1"/>
    <col min="553" max="769" width="9.1796875" style="205"/>
    <col min="770" max="770" width="25.54296875" style="205" customWidth="1"/>
    <col min="771" max="808" width="13.81640625" style="205" customWidth="1"/>
    <col min="809" max="1025" width="9.1796875" style="205"/>
    <col min="1026" max="1026" width="25.54296875" style="205" customWidth="1"/>
    <col min="1027" max="1064" width="13.81640625" style="205" customWidth="1"/>
    <col min="1065" max="1281" width="9.1796875" style="205"/>
    <col min="1282" max="1282" width="25.54296875" style="205" customWidth="1"/>
    <col min="1283" max="1320" width="13.81640625" style="205" customWidth="1"/>
    <col min="1321" max="1537" width="9.1796875" style="205"/>
    <col min="1538" max="1538" width="25.54296875" style="205" customWidth="1"/>
    <col min="1539" max="1576" width="13.81640625" style="205" customWidth="1"/>
    <col min="1577" max="1793" width="9.1796875" style="205"/>
    <col min="1794" max="1794" width="25.54296875" style="205" customWidth="1"/>
    <col min="1795" max="1832" width="13.81640625" style="205" customWidth="1"/>
    <col min="1833" max="2049" width="9.1796875" style="205"/>
    <col min="2050" max="2050" width="25.54296875" style="205" customWidth="1"/>
    <col min="2051" max="2088" width="13.81640625" style="205" customWidth="1"/>
    <col min="2089" max="2305" width="9.1796875" style="205"/>
    <col min="2306" max="2306" width="25.54296875" style="205" customWidth="1"/>
    <col min="2307" max="2344" width="13.81640625" style="205" customWidth="1"/>
    <col min="2345" max="2561" width="9.1796875" style="205"/>
    <col min="2562" max="2562" width="25.54296875" style="205" customWidth="1"/>
    <col min="2563" max="2600" width="13.81640625" style="205" customWidth="1"/>
    <col min="2601" max="2817" width="9.1796875" style="205"/>
    <col min="2818" max="2818" width="25.54296875" style="205" customWidth="1"/>
    <col min="2819" max="2856" width="13.81640625" style="205" customWidth="1"/>
    <col min="2857" max="3073" width="9.1796875" style="205"/>
    <col min="3074" max="3074" width="25.54296875" style="205" customWidth="1"/>
    <col min="3075" max="3112" width="13.81640625" style="205" customWidth="1"/>
    <col min="3113" max="3329" width="9.1796875" style="205"/>
    <col min="3330" max="3330" width="25.54296875" style="205" customWidth="1"/>
    <col min="3331" max="3368" width="13.81640625" style="205" customWidth="1"/>
    <col min="3369" max="3585" width="9.1796875" style="205"/>
    <col min="3586" max="3586" width="25.54296875" style="205" customWidth="1"/>
    <col min="3587" max="3624" width="13.81640625" style="205" customWidth="1"/>
    <col min="3625" max="3841" width="9.1796875" style="205"/>
    <col min="3842" max="3842" width="25.54296875" style="205" customWidth="1"/>
    <col min="3843" max="3880" width="13.81640625" style="205" customWidth="1"/>
    <col min="3881" max="4097" width="9.1796875" style="205"/>
    <col min="4098" max="4098" width="25.54296875" style="205" customWidth="1"/>
    <col min="4099" max="4136" width="13.81640625" style="205" customWidth="1"/>
    <col min="4137" max="4353" width="9.1796875" style="205"/>
    <col min="4354" max="4354" width="25.54296875" style="205" customWidth="1"/>
    <col min="4355" max="4392" width="13.81640625" style="205" customWidth="1"/>
    <col min="4393" max="4609" width="9.1796875" style="205"/>
    <col min="4610" max="4610" width="25.54296875" style="205" customWidth="1"/>
    <col min="4611" max="4648" width="13.81640625" style="205" customWidth="1"/>
    <col min="4649" max="4865" width="9.1796875" style="205"/>
    <col min="4866" max="4866" width="25.54296875" style="205" customWidth="1"/>
    <col min="4867" max="4904" width="13.81640625" style="205" customWidth="1"/>
    <col min="4905" max="5121" width="9.1796875" style="205"/>
    <col min="5122" max="5122" width="25.54296875" style="205" customWidth="1"/>
    <col min="5123" max="5160" width="13.81640625" style="205" customWidth="1"/>
    <col min="5161" max="5377" width="9.1796875" style="205"/>
    <col min="5378" max="5378" width="25.54296875" style="205" customWidth="1"/>
    <col min="5379" max="5416" width="13.81640625" style="205" customWidth="1"/>
    <col min="5417" max="5633" width="9.1796875" style="205"/>
    <col min="5634" max="5634" width="25.54296875" style="205" customWidth="1"/>
    <col min="5635" max="5672" width="13.81640625" style="205" customWidth="1"/>
    <col min="5673" max="5889" width="9.1796875" style="205"/>
    <col min="5890" max="5890" width="25.54296875" style="205" customWidth="1"/>
    <col min="5891" max="5928" width="13.81640625" style="205" customWidth="1"/>
    <col min="5929" max="6145" width="9.1796875" style="205"/>
    <col min="6146" max="6146" width="25.54296875" style="205" customWidth="1"/>
    <col min="6147" max="6184" width="13.81640625" style="205" customWidth="1"/>
    <col min="6185" max="6401" width="9.1796875" style="205"/>
    <col min="6402" max="6402" width="25.54296875" style="205" customWidth="1"/>
    <col min="6403" max="6440" width="13.81640625" style="205" customWidth="1"/>
    <col min="6441" max="6657" width="9.1796875" style="205"/>
    <col min="6658" max="6658" width="25.54296875" style="205" customWidth="1"/>
    <col min="6659" max="6696" width="13.81640625" style="205" customWidth="1"/>
    <col min="6697" max="6913" width="9.1796875" style="205"/>
    <col min="6914" max="6914" width="25.54296875" style="205" customWidth="1"/>
    <col min="6915" max="6952" width="13.81640625" style="205" customWidth="1"/>
    <col min="6953" max="7169" width="9.1796875" style="205"/>
    <col min="7170" max="7170" width="25.54296875" style="205" customWidth="1"/>
    <col min="7171" max="7208" width="13.81640625" style="205" customWidth="1"/>
    <col min="7209" max="7425" width="9.1796875" style="205"/>
    <col min="7426" max="7426" width="25.54296875" style="205" customWidth="1"/>
    <col min="7427" max="7464" width="13.81640625" style="205" customWidth="1"/>
    <col min="7465" max="7681" width="9.1796875" style="205"/>
    <col min="7682" max="7682" width="25.54296875" style="205" customWidth="1"/>
    <col min="7683" max="7720" width="13.81640625" style="205" customWidth="1"/>
    <col min="7721" max="7937" width="9.1796875" style="205"/>
    <col min="7938" max="7938" width="25.54296875" style="205" customWidth="1"/>
    <col min="7939" max="7976" width="13.81640625" style="205" customWidth="1"/>
    <col min="7977" max="8193" width="9.1796875" style="205"/>
    <col min="8194" max="8194" width="25.54296875" style="205" customWidth="1"/>
    <col min="8195" max="8232" width="13.81640625" style="205" customWidth="1"/>
    <col min="8233" max="8449" width="9.1796875" style="205"/>
    <col min="8450" max="8450" width="25.54296875" style="205" customWidth="1"/>
    <col min="8451" max="8488" width="13.81640625" style="205" customWidth="1"/>
    <col min="8489" max="8705" width="9.1796875" style="205"/>
    <col min="8706" max="8706" width="25.54296875" style="205" customWidth="1"/>
    <col min="8707" max="8744" width="13.81640625" style="205" customWidth="1"/>
    <col min="8745" max="8961" width="9.1796875" style="205"/>
    <col min="8962" max="8962" width="25.54296875" style="205" customWidth="1"/>
    <col min="8963" max="9000" width="13.81640625" style="205" customWidth="1"/>
    <col min="9001" max="9217" width="9.1796875" style="205"/>
    <col min="9218" max="9218" width="25.54296875" style="205" customWidth="1"/>
    <col min="9219" max="9256" width="13.81640625" style="205" customWidth="1"/>
    <col min="9257" max="9473" width="9.1796875" style="205"/>
    <col min="9474" max="9474" width="25.54296875" style="205" customWidth="1"/>
    <col min="9475" max="9512" width="13.81640625" style="205" customWidth="1"/>
    <col min="9513" max="9729" width="9.1796875" style="205"/>
    <col min="9730" max="9730" width="25.54296875" style="205" customWidth="1"/>
    <col min="9731" max="9768" width="13.81640625" style="205" customWidth="1"/>
    <col min="9769" max="9985" width="9.1796875" style="205"/>
    <col min="9986" max="9986" width="25.54296875" style="205" customWidth="1"/>
    <col min="9987" max="10024" width="13.81640625" style="205" customWidth="1"/>
    <col min="10025" max="10241" width="9.1796875" style="205"/>
    <col min="10242" max="10242" width="25.54296875" style="205" customWidth="1"/>
    <col min="10243" max="10280" width="13.81640625" style="205" customWidth="1"/>
    <col min="10281" max="10497" width="9.1796875" style="205"/>
    <col min="10498" max="10498" width="25.54296875" style="205" customWidth="1"/>
    <col min="10499" max="10536" width="13.81640625" style="205" customWidth="1"/>
    <col min="10537" max="10753" width="9.1796875" style="205"/>
    <col min="10754" max="10754" width="25.54296875" style="205" customWidth="1"/>
    <col min="10755" max="10792" width="13.81640625" style="205" customWidth="1"/>
    <col min="10793" max="11009" width="9.1796875" style="205"/>
    <col min="11010" max="11010" width="25.54296875" style="205" customWidth="1"/>
    <col min="11011" max="11048" width="13.81640625" style="205" customWidth="1"/>
    <col min="11049" max="11265" width="9.1796875" style="205"/>
    <col min="11266" max="11266" width="25.54296875" style="205" customWidth="1"/>
    <col min="11267" max="11304" width="13.81640625" style="205" customWidth="1"/>
    <col min="11305" max="11521" width="9.1796875" style="205"/>
    <col min="11522" max="11522" width="25.54296875" style="205" customWidth="1"/>
    <col min="11523" max="11560" width="13.81640625" style="205" customWidth="1"/>
    <col min="11561" max="11777" width="9.1796875" style="205"/>
    <col min="11778" max="11778" width="25.54296875" style="205" customWidth="1"/>
    <col min="11779" max="11816" width="13.81640625" style="205" customWidth="1"/>
    <col min="11817" max="12033" width="9.1796875" style="205"/>
    <col min="12034" max="12034" width="25.54296875" style="205" customWidth="1"/>
    <col min="12035" max="12072" width="13.81640625" style="205" customWidth="1"/>
    <col min="12073" max="12289" width="9.1796875" style="205"/>
    <col min="12290" max="12290" width="25.54296875" style="205" customWidth="1"/>
    <col min="12291" max="12328" width="13.81640625" style="205" customWidth="1"/>
    <col min="12329" max="12545" width="9.1796875" style="205"/>
    <col min="12546" max="12546" width="25.54296875" style="205" customWidth="1"/>
    <col min="12547" max="12584" width="13.81640625" style="205" customWidth="1"/>
    <col min="12585" max="12801" width="9.1796875" style="205"/>
    <col min="12802" max="12802" width="25.54296875" style="205" customWidth="1"/>
    <col min="12803" max="12840" width="13.81640625" style="205" customWidth="1"/>
    <col min="12841" max="13057" width="9.1796875" style="205"/>
    <col min="13058" max="13058" width="25.54296875" style="205" customWidth="1"/>
    <col min="13059" max="13096" width="13.81640625" style="205" customWidth="1"/>
    <col min="13097" max="13313" width="9.1796875" style="205"/>
    <col min="13314" max="13314" width="25.54296875" style="205" customWidth="1"/>
    <col min="13315" max="13352" width="13.81640625" style="205" customWidth="1"/>
    <col min="13353" max="13569" width="9.1796875" style="205"/>
    <col min="13570" max="13570" width="25.54296875" style="205" customWidth="1"/>
    <col min="13571" max="13608" width="13.81640625" style="205" customWidth="1"/>
    <col min="13609" max="13825" width="9.1796875" style="205"/>
    <col min="13826" max="13826" width="25.54296875" style="205" customWidth="1"/>
    <col min="13827" max="13864" width="13.81640625" style="205" customWidth="1"/>
    <col min="13865" max="14081" width="9.1796875" style="205"/>
    <col min="14082" max="14082" width="25.54296875" style="205" customWidth="1"/>
    <col min="14083" max="14120" width="13.81640625" style="205" customWidth="1"/>
    <col min="14121" max="14337" width="9.1796875" style="205"/>
    <col min="14338" max="14338" width="25.54296875" style="205" customWidth="1"/>
    <col min="14339" max="14376" width="13.81640625" style="205" customWidth="1"/>
    <col min="14377" max="14593" width="9.1796875" style="205"/>
    <col min="14594" max="14594" width="25.54296875" style="205" customWidth="1"/>
    <col min="14595" max="14632" width="13.81640625" style="205" customWidth="1"/>
    <col min="14633" max="14849" width="9.1796875" style="205"/>
    <col min="14850" max="14850" width="25.54296875" style="205" customWidth="1"/>
    <col min="14851" max="14888" width="13.81640625" style="205" customWidth="1"/>
    <col min="14889" max="15105" width="9.1796875" style="205"/>
    <col min="15106" max="15106" width="25.54296875" style="205" customWidth="1"/>
    <col min="15107" max="15144" width="13.81640625" style="205" customWidth="1"/>
    <col min="15145" max="15361" width="9.1796875" style="205"/>
    <col min="15362" max="15362" width="25.54296875" style="205" customWidth="1"/>
    <col min="15363" max="15400" width="13.81640625" style="205" customWidth="1"/>
    <col min="15401" max="15617" width="9.1796875" style="205"/>
    <col min="15618" max="15618" width="25.54296875" style="205" customWidth="1"/>
    <col min="15619" max="15656" width="13.81640625" style="205" customWidth="1"/>
    <col min="15657" max="15873" width="9.1796875" style="205"/>
    <col min="15874" max="15874" width="25.54296875" style="205" customWidth="1"/>
    <col min="15875" max="15912" width="13.81640625" style="205" customWidth="1"/>
    <col min="15913" max="16129" width="9.1796875" style="205"/>
    <col min="16130" max="16130" width="25.54296875" style="205" customWidth="1"/>
    <col min="16131" max="16168" width="13.81640625" style="205" customWidth="1"/>
    <col min="16169" max="16384" width="9.1796875" style="205"/>
  </cols>
  <sheetData>
    <row r="1" spans="1:81" ht="17.25" customHeight="1">
      <c r="A1" s="311" t="s">
        <v>27</v>
      </c>
      <c r="B1" s="312">
        <f>SUMIF($C$4:$BZ$4,$C$4,C7:BZ7)</f>
        <v>356728672.96641648</v>
      </c>
      <c r="C1" s="974">
        <v>1</v>
      </c>
      <c r="D1" s="974"/>
      <c r="E1" s="974">
        <v>2</v>
      </c>
      <c r="F1" s="974"/>
      <c r="G1" s="974">
        <v>3</v>
      </c>
      <c r="H1" s="974"/>
      <c r="I1" s="974">
        <v>4</v>
      </c>
      <c r="J1" s="974"/>
      <c r="K1" s="974">
        <v>5</v>
      </c>
      <c r="L1" s="974"/>
      <c r="M1" s="974">
        <v>6</v>
      </c>
      <c r="N1" s="974"/>
      <c r="O1" s="974">
        <v>7</v>
      </c>
      <c r="P1" s="974"/>
      <c r="Q1" s="974">
        <v>8</v>
      </c>
      <c r="R1" s="974"/>
      <c r="S1" s="974">
        <v>9</v>
      </c>
      <c r="T1" s="974"/>
      <c r="U1" s="974">
        <v>10</v>
      </c>
      <c r="V1" s="974"/>
      <c r="W1" s="974">
        <v>11</v>
      </c>
      <c r="X1" s="974"/>
      <c r="Y1" s="974">
        <v>12</v>
      </c>
      <c r="Z1" s="974"/>
      <c r="AA1" s="974">
        <v>13</v>
      </c>
      <c r="AB1" s="974"/>
      <c r="AC1" s="974">
        <v>14</v>
      </c>
      <c r="AD1" s="974"/>
      <c r="AE1" s="974">
        <v>15</v>
      </c>
      <c r="AF1" s="974"/>
      <c r="AG1" s="974">
        <v>16</v>
      </c>
      <c r="AH1" s="974"/>
      <c r="AI1" s="974">
        <v>17</v>
      </c>
      <c r="AJ1" s="974"/>
      <c r="AK1" s="974">
        <v>18</v>
      </c>
      <c r="AL1" s="974"/>
      <c r="AM1" s="974">
        <v>19</v>
      </c>
      <c r="AN1" s="974"/>
      <c r="AO1" s="974">
        <v>20</v>
      </c>
      <c r="AP1" s="974"/>
      <c r="AQ1" s="974">
        <v>21</v>
      </c>
      <c r="AR1" s="974"/>
      <c r="AS1" s="974">
        <v>22</v>
      </c>
      <c r="AT1" s="974"/>
      <c r="AU1" s="974">
        <v>23</v>
      </c>
      <c r="AV1" s="974"/>
      <c r="AW1" s="974">
        <v>24</v>
      </c>
      <c r="AX1" s="974"/>
      <c r="AY1" s="974">
        <v>25</v>
      </c>
      <c r="AZ1" s="974"/>
      <c r="BA1" s="974">
        <v>26</v>
      </c>
      <c r="BB1" s="974"/>
      <c r="BC1" s="974">
        <v>27</v>
      </c>
      <c r="BD1" s="974"/>
      <c r="BE1" s="974">
        <v>28</v>
      </c>
      <c r="BF1" s="974"/>
      <c r="BG1" s="974">
        <v>29</v>
      </c>
      <c r="BH1" s="974"/>
      <c r="BI1" s="974">
        <v>30</v>
      </c>
      <c r="BJ1" s="974"/>
      <c r="BK1" s="974">
        <v>31</v>
      </c>
      <c r="BL1" s="974"/>
      <c r="BM1" s="974">
        <v>32</v>
      </c>
      <c r="BN1" s="974"/>
      <c r="BO1" s="974">
        <v>33</v>
      </c>
      <c r="BP1" s="974"/>
      <c r="BQ1" s="974">
        <v>34</v>
      </c>
      <c r="BR1" s="974"/>
      <c r="BS1" s="974">
        <v>35</v>
      </c>
      <c r="BT1" s="974"/>
      <c r="BU1" s="974">
        <v>36</v>
      </c>
      <c r="BV1" s="974"/>
      <c r="BW1" s="974">
        <v>37</v>
      </c>
      <c r="BX1" s="974"/>
      <c r="BY1" s="974">
        <v>38</v>
      </c>
      <c r="BZ1" s="974"/>
      <c r="CB1" s="977"/>
      <c r="CC1" s="977"/>
    </row>
    <row r="2" spans="1:81" ht="14.5">
      <c r="A2" s="311"/>
      <c r="B2" s="313">
        <f>'P &amp; NP'!WT11</f>
        <v>356728672.96641648</v>
      </c>
      <c r="C2" s="975" t="s">
        <v>89</v>
      </c>
      <c r="D2" s="975"/>
      <c r="E2" s="975" t="s">
        <v>73</v>
      </c>
      <c r="F2" s="975"/>
      <c r="G2" s="975" t="s">
        <v>68</v>
      </c>
      <c r="H2" s="975"/>
      <c r="I2" s="975" t="s">
        <v>85</v>
      </c>
      <c r="J2" s="975"/>
      <c r="K2" s="975" t="s">
        <v>74</v>
      </c>
      <c r="L2" s="975"/>
      <c r="M2" s="975" t="s">
        <v>88</v>
      </c>
      <c r="N2" s="975"/>
      <c r="O2" s="975" t="s">
        <v>72</v>
      </c>
      <c r="P2" s="975"/>
      <c r="Q2" s="975" t="s">
        <v>80</v>
      </c>
      <c r="R2" s="975"/>
      <c r="S2" s="975" t="s">
        <v>69</v>
      </c>
      <c r="T2" s="975"/>
      <c r="U2" s="975" t="s">
        <v>87</v>
      </c>
      <c r="V2" s="975"/>
      <c r="W2" s="975" t="s">
        <v>71</v>
      </c>
      <c r="X2" s="975"/>
      <c r="Y2" s="975" t="s">
        <v>82</v>
      </c>
      <c r="Z2" s="975"/>
      <c r="AA2" s="975" t="s">
        <v>83</v>
      </c>
      <c r="AB2" s="975"/>
      <c r="AC2" s="975" t="s">
        <v>70</v>
      </c>
      <c r="AD2" s="975"/>
      <c r="AE2" s="975" t="s">
        <v>79</v>
      </c>
      <c r="AF2" s="975"/>
      <c r="AG2" s="975" t="s">
        <v>81</v>
      </c>
      <c r="AH2" s="975"/>
      <c r="AI2" s="975" t="s">
        <v>84</v>
      </c>
      <c r="AJ2" s="975"/>
      <c r="AK2" s="975" t="s">
        <v>36</v>
      </c>
      <c r="AL2" s="975"/>
      <c r="AM2" s="975" t="s">
        <v>91</v>
      </c>
      <c r="AN2" s="975"/>
      <c r="AO2" s="862" t="s">
        <v>77</v>
      </c>
      <c r="AP2" s="862"/>
      <c r="AQ2" s="862" t="s">
        <v>38</v>
      </c>
      <c r="AR2" s="862"/>
      <c r="AS2" s="862" t="s">
        <v>76</v>
      </c>
      <c r="AT2" s="862"/>
      <c r="AU2" s="862" t="s">
        <v>90</v>
      </c>
      <c r="AV2" s="862"/>
      <c r="AW2" s="862" t="s">
        <v>78</v>
      </c>
      <c r="AX2" s="862"/>
      <c r="AY2" s="862" t="s">
        <v>75</v>
      </c>
      <c r="AZ2" s="862"/>
      <c r="BA2" s="862" t="s">
        <v>92</v>
      </c>
      <c r="BB2" s="862"/>
      <c r="BC2" s="862" t="s">
        <v>39</v>
      </c>
      <c r="BD2" s="862"/>
      <c r="BE2" s="862" t="s">
        <v>86</v>
      </c>
      <c r="BF2" s="862"/>
      <c r="BG2" s="862" t="s">
        <v>40</v>
      </c>
      <c r="BH2" s="862"/>
      <c r="BI2" s="862" t="s">
        <v>101</v>
      </c>
      <c r="BJ2" s="862"/>
      <c r="BK2" s="862" t="s">
        <v>94</v>
      </c>
      <c r="BL2" s="862"/>
      <c r="BM2" s="862" t="s">
        <v>93</v>
      </c>
      <c r="BN2" s="862"/>
      <c r="BO2" s="862" t="s">
        <v>99</v>
      </c>
      <c r="BP2" s="862"/>
      <c r="BQ2" s="862" t="s">
        <v>95</v>
      </c>
      <c r="BR2" s="862"/>
      <c r="BS2" s="862" t="s">
        <v>98</v>
      </c>
      <c r="BT2" s="862"/>
      <c r="BU2" s="862" t="s">
        <v>97</v>
      </c>
      <c r="BV2" s="862"/>
      <c r="BW2" s="862" t="s">
        <v>96</v>
      </c>
      <c r="BX2" s="862"/>
      <c r="BY2" s="862" t="s">
        <v>100</v>
      </c>
      <c r="BZ2" s="862"/>
      <c r="CB2" s="978" t="s">
        <v>165</v>
      </c>
      <c r="CC2" s="978"/>
    </row>
    <row r="3" spans="1:81" ht="14.5">
      <c r="A3" s="311"/>
      <c r="B3" s="311"/>
      <c r="C3" s="975" t="s">
        <v>32</v>
      </c>
      <c r="D3" s="975"/>
      <c r="E3" s="975" t="s">
        <v>32</v>
      </c>
      <c r="F3" s="975"/>
      <c r="G3" s="975" t="s">
        <v>32</v>
      </c>
      <c r="H3" s="975"/>
      <c r="I3" s="975" t="s">
        <v>32</v>
      </c>
      <c r="J3" s="975"/>
      <c r="K3" s="975" t="s">
        <v>32</v>
      </c>
      <c r="L3" s="975"/>
      <c r="M3" s="975" t="s">
        <v>32</v>
      </c>
      <c r="N3" s="975"/>
      <c r="O3" s="975" t="s">
        <v>32</v>
      </c>
      <c r="P3" s="975"/>
      <c r="Q3" s="975" t="s">
        <v>32</v>
      </c>
      <c r="R3" s="975"/>
      <c r="S3" s="975" t="s">
        <v>32</v>
      </c>
      <c r="T3" s="975"/>
      <c r="U3" s="975" t="s">
        <v>32</v>
      </c>
      <c r="V3" s="975"/>
      <c r="W3" s="975" t="s">
        <v>32</v>
      </c>
      <c r="X3" s="975"/>
      <c r="Y3" s="975" t="s">
        <v>32</v>
      </c>
      <c r="Z3" s="975"/>
      <c r="AA3" s="975" t="s">
        <v>32</v>
      </c>
      <c r="AB3" s="975"/>
      <c r="AC3" s="975" t="s">
        <v>32</v>
      </c>
      <c r="AD3" s="975"/>
      <c r="AE3" s="975" t="s">
        <v>32</v>
      </c>
      <c r="AF3" s="975"/>
      <c r="AG3" s="975" t="s">
        <v>32</v>
      </c>
      <c r="AH3" s="975"/>
      <c r="AI3" s="975" t="s">
        <v>32</v>
      </c>
      <c r="AJ3" s="975"/>
      <c r="AK3" s="975" t="s">
        <v>32</v>
      </c>
      <c r="AL3" s="975"/>
      <c r="AM3" s="975" t="s">
        <v>32</v>
      </c>
      <c r="AN3" s="975"/>
      <c r="AO3" s="975" t="s">
        <v>32</v>
      </c>
      <c r="AP3" s="975"/>
      <c r="AQ3" s="975" t="s">
        <v>32</v>
      </c>
      <c r="AR3" s="975"/>
      <c r="AS3" s="975" t="s">
        <v>32</v>
      </c>
      <c r="AT3" s="975"/>
      <c r="AU3" s="975" t="s">
        <v>32</v>
      </c>
      <c r="AV3" s="975"/>
      <c r="AW3" s="975" t="s">
        <v>32</v>
      </c>
      <c r="AX3" s="975"/>
      <c r="AY3" s="975" t="s">
        <v>32</v>
      </c>
      <c r="AZ3" s="975"/>
      <c r="BA3" s="975" t="s">
        <v>32</v>
      </c>
      <c r="BB3" s="975"/>
      <c r="BC3" s="975" t="s">
        <v>32</v>
      </c>
      <c r="BD3" s="975"/>
      <c r="BE3" s="975" t="s">
        <v>32</v>
      </c>
      <c r="BF3" s="975"/>
      <c r="BG3" s="975" t="s">
        <v>32</v>
      </c>
      <c r="BH3" s="975"/>
      <c r="BI3" s="975" t="s">
        <v>32</v>
      </c>
      <c r="BJ3" s="975"/>
      <c r="BK3" s="975" t="s">
        <v>32</v>
      </c>
      <c r="BL3" s="975"/>
      <c r="BM3" s="975" t="s">
        <v>32</v>
      </c>
      <c r="BN3" s="975"/>
      <c r="BO3" s="975" t="s">
        <v>32</v>
      </c>
      <c r="BP3" s="975"/>
      <c r="BQ3" s="975" t="s">
        <v>32</v>
      </c>
      <c r="BR3" s="975"/>
      <c r="BS3" s="975" t="s">
        <v>32</v>
      </c>
      <c r="BT3" s="975"/>
      <c r="BU3" s="975" t="s">
        <v>32</v>
      </c>
      <c r="BV3" s="975"/>
      <c r="BW3" s="975" t="s">
        <v>32</v>
      </c>
      <c r="BX3" s="975"/>
      <c r="BY3" s="975" t="s">
        <v>32</v>
      </c>
      <c r="BZ3" s="975"/>
      <c r="CB3" s="979"/>
      <c r="CC3" s="979"/>
    </row>
    <row r="4" spans="1:81" ht="14.5">
      <c r="A4" s="311" t="s">
        <v>28</v>
      </c>
      <c r="B4" s="312">
        <f>SUMIF($C$4:$BZ$4,$D$4,C7:BZ7)</f>
        <v>7160588868.2689142</v>
      </c>
      <c r="C4" s="204" t="s">
        <v>27</v>
      </c>
      <c r="D4" s="204" t="s">
        <v>28</v>
      </c>
      <c r="E4" s="204" t="s">
        <v>27</v>
      </c>
      <c r="F4" s="204" t="s">
        <v>28</v>
      </c>
      <c r="G4" s="204" t="s">
        <v>27</v>
      </c>
      <c r="H4" s="204" t="s">
        <v>28</v>
      </c>
      <c r="I4" s="204" t="s">
        <v>27</v>
      </c>
      <c r="J4" s="204" t="s">
        <v>28</v>
      </c>
      <c r="K4" s="204" t="s">
        <v>27</v>
      </c>
      <c r="L4" s="204" t="s">
        <v>28</v>
      </c>
      <c r="M4" s="204" t="s">
        <v>27</v>
      </c>
      <c r="N4" s="204" t="s">
        <v>28</v>
      </c>
      <c r="O4" s="204" t="s">
        <v>27</v>
      </c>
      <c r="P4" s="204" t="s">
        <v>28</v>
      </c>
      <c r="Q4" s="204" t="s">
        <v>27</v>
      </c>
      <c r="R4" s="204" t="s">
        <v>28</v>
      </c>
      <c r="S4" s="204" t="s">
        <v>27</v>
      </c>
      <c r="T4" s="204" t="s">
        <v>28</v>
      </c>
      <c r="U4" s="204" t="s">
        <v>27</v>
      </c>
      <c r="V4" s="204" t="s">
        <v>28</v>
      </c>
      <c r="W4" s="204" t="s">
        <v>27</v>
      </c>
      <c r="X4" s="204" t="s">
        <v>28</v>
      </c>
      <c r="Y4" s="204" t="s">
        <v>27</v>
      </c>
      <c r="Z4" s="204" t="s">
        <v>28</v>
      </c>
      <c r="AA4" s="204" t="s">
        <v>27</v>
      </c>
      <c r="AB4" s="204" t="s">
        <v>28</v>
      </c>
      <c r="AC4" s="204" t="s">
        <v>27</v>
      </c>
      <c r="AD4" s="204" t="s">
        <v>28</v>
      </c>
      <c r="AE4" s="204" t="s">
        <v>27</v>
      </c>
      <c r="AF4" s="204" t="s">
        <v>28</v>
      </c>
      <c r="AG4" s="204" t="s">
        <v>27</v>
      </c>
      <c r="AH4" s="204" t="s">
        <v>28</v>
      </c>
      <c r="AI4" s="204" t="s">
        <v>27</v>
      </c>
      <c r="AJ4" s="204" t="s">
        <v>28</v>
      </c>
      <c r="AK4" s="204" t="s">
        <v>27</v>
      </c>
      <c r="AL4" s="204" t="s">
        <v>28</v>
      </c>
      <c r="AM4" s="204" t="s">
        <v>27</v>
      </c>
      <c r="AN4" s="204" t="s">
        <v>28</v>
      </c>
      <c r="AO4" s="87" t="s">
        <v>27</v>
      </c>
      <c r="AP4" s="87" t="s">
        <v>28</v>
      </c>
      <c r="AQ4" s="87" t="s">
        <v>27</v>
      </c>
      <c r="AR4" s="87" t="s">
        <v>28</v>
      </c>
      <c r="AS4" s="87" t="s">
        <v>27</v>
      </c>
      <c r="AT4" s="87" t="s">
        <v>28</v>
      </c>
      <c r="AU4" s="87" t="s">
        <v>27</v>
      </c>
      <c r="AV4" s="87" t="s">
        <v>28</v>
      </c>
      <c r="AW4" s="87" t="s">
        <v>27</v>
      </c>
      <c r="AX4" s="87" t="s">
        <v>28</v>
      </c>
      <c r="AY4" s="87" t="s">
        <v>27</v>
      </c>
      <c r="AZ4" s="87" t="s">
        <v>28</v>
      </c>
      <c r="BA4" s="87" t="s">
        <v>27</v>
      </c>
      <c r="BB4" s="87" t="s">
        <v>28</v>
      </c>
      <c r="BC4" s="87" t="s">
        <v>27</v>
      </c>
      <c r="BD4" s="87" t="s">
        <v>28</v>
      </c>
      <c r="BE4" s="87" t="s">
        <v>27</v>
      </c>
      <c r="BF4" s="87" t="s">
        <v>28</v>
      </c>
      <c r="BG4" s="87" t="s">
        <v>27</v>
      </c>
      <c r="BH4" s="87" t="s">
        <v>28</v>
      </c>
      <c r="BI4" s="87" t="s">
        <v>27</v>
      </c>
      <c r="BJ4" s="87" t="s">
        <v>28</v>
      </c>
      <c r="BK4" s="87" t="s">
        <v>27</v>
      </c>
      <c r="BL4" s="87" t="s">
        <v>28</v>
      </c>
      <c r="BM4" s="87" t="s">
        <v>27</v>
      </c>
      <c r="BN4" s="87" t="s">
        <v>28</v>
      </c>
      <c r="BO4" s="87" t="s">
        <v>27</v>
      </c>
      <c r="BP4" s="87" t="s">
        <v>28</v>
      </c>
      <c r="BQ4" s="87" t="s">
        <v>27</v>
      </c>
      <c r="BR4" s="87" t="s">
        <v>28</v>
      </c>
      <c r="BS4" s="87" t="s">
        <v>27</v>
      </c>
      <c r="BT4" s="87" t="s">
        <v>28</v>
      </c>
      <c r="BU4" s="87" t="s">
        <v>27</v>
      </c>
      <c r="BV4" s="87" t="s">
        <v>28</v>
      </c>
      <c r="BW4" s="87" t="s">
        <v>27</v>
      </c>
      <c r="BX4" s="87" t="s">
        <v>28</v>
      </c>
      <c r="BY4" s="87" t="s">
        <v>27</v>
      </c>
      <c r="BZ4" s="87" t="s">
        <v>28</v>
      </c>
      <c r="CB4" s="92" t="s">
        <v>27</v>
      </c>
      <c r="CC4" s="92" t="s">
        <v>28</v>
      </c>
    </row>
    <row r="5" spans="1:81" ht="14.5">
      <c r="B5" s="314">
        <f>'P &amp; NP'!WU11</f>
        <v>7160588868.2689142</v>
      </c>
      <c r="C5" s="204" t="s">
        <v>29</v>
      </c>
      <c r="D5" s="204" t="s">
        <v>30</v>
      </c>
      <c r="E5" s="204" t="s">
        <v>29</v>
      </c>
      <c r="F5" s="204" t="s">
        <v>30</v>
      </c>
      <c r="G5" s="204" t="s">
        <v>29</v>
      </c>
      <c r="H5" s="204" t="s">
        <v>30</v>
      </c>
      <c r="I5" s="204" t="s">
        <v>29</v>
      </c>
      <c r="J5" s="204" t="s">
        <v>30</v>
      </c>
      <c r="K5" s="204" t="s">
        <v>29</v>
      </c>
      <c r="L5" s="204" t="s">
        <v>30</v>
      </c>
      <c r="M5" s="204" t="s">
        <v>29</v>
      </c>
      <c r="N5" s="204" t="s">
        <v>30</v>
      </c>
      <c r="O5" s="204" t="s">
        <v>29</v>
      </c>
      <c r="P5" s="204" t="s">
        <v>30</v>
      </c>
      <c r="Q5" s="204" t="s">
        <v>29</v>
      </c>
      <c r="R5" s="204" t="s">
        <v>30</v>
      </c>
      <c r="S5" s="204" t="s">
        <v>29</v>
      </c>
      <c r="T5" s="204" t="s">
        <v>30</v>
      </c>
      <c r="U5" s="204" t="s">
        <v>29</v>
      </c>
      <c r="V5" s="204" t="s">
        <v>30</v>
      </c>
      <c r="W5" s="204" t="s">
        <v>29</v>
      </c>
      <c r="X5" s="204" t="s">
        <v>30</v>
      </c>
      <c r="Y5" s="204" t="s">
        <v>29</v>
      </c>
      <c r="Z5" s="204" t="s">
        <v>30</v>
      </c>
      <c r="AA5" s="204" t="s">
        <v>29</v>
      </c>
      <c r="AB5" s="204" t="s">
        <v>30</v>
      </c>
      <c r="AC5" s="204" t="s">
        <v>29</v>
      </c>
      <c r="AD5" s="204" t="s">
        <v>30</v>
      </c>
      <c r="AE5" s="204" t="s">
        <v>29</v>
      </c>
      <c r="AF5" s="204" t="s">
        <v>30</v>
      </c>
      <c r="AG5" s="204" t="s">
        <v>29</v>
      </c>
      <c r="AH5" s="204" t="s">
        <v>30</v>
      </c>
      <c r="AI5" s="204" t="s">
        <v>29</v>
      </c>
      <c r="AJ5" s="204" t="s">
        <v>30</v>
      </c>
      <c r="AK5" s="204" t="s">
        <v>29</v>
      </c>
      <c r="AL5" s="204" t="s">
        <v>30</v>
      </c>
      <c r="AM5" s="204" t="s">
        <v>29</v>
      </c>
      <c r="AN5" s="204" t="s">
        <v>30</v>
      </c>
      <c r="AO5" s="87" t="s">
        <v>29</v>
      </c>
      <c r="AP5" s="87" t="s">
        <v>30</v>
      </c>
      <c r="AQ5" s="87" t="s">
        <v>29</v>
      </c>
      <c r="AR5" s="87" t="s">
        <v>30</v>
      </c>
      <c r="AS5" s="87" t="s">
        <v>29</v>
      </c>
      <c r="AT5" s="87" t="s">
        <v>30</v>
      </c>
      <c r="AU5" s="87" t="s">
        <v>29</v>
      </c>
      <c r="AV5" s="87" t="s">
        <v>30</v>
      </c>
      <c r="AW5" s="87" t="s">
        <v>29</v>
      </c>
      <c r="AX5" s="87" t="s">
        <v>30</v>
      </c>
      <c r="AY5" s="87" t="s">
        <v>29</v>
      </c>
      <c r="AZ5" s="87" t="s">
        <v>30</v>
      </c>
      <c r="BA5" s="87" t="s">
        <v>29</v>
      </c>
      <c r="BB5" s="87" t="s">
        <v>30</v>
      </c>
      <c r="BC5" s="87" t="s">
        <v>29</v>
      </c>
      <c r="BD5" s="87" t="s">
        <v>30</v>
      </c>
      <c r="BE5" s="87" t="s">
        <v>29</v>
      </c>
      <c r="BF5" s="87" t="s">
        <v>30</v>
      </c>
      <c r="BG5" s="87" t="s">
        <v>29</v>
      </c>
      <c r="BH5" s="87" t="s">
        <v>30</v>
      </c>
      <c r="BI5" s="87" t="s">
        <v>29</v>
      </c>
      <c r="BJ5" s="87" t="s">
        <v>30</v>
      </c>
      <c r="BK5" s="87" t="s">
        <v>29</v>
      </c>
      <c r="BL5" s="87" t="s">
        <v>30</v>
      </c>
      <c r="BM5" s="87" t="s">
        <v>29</v>
      </c>
      <c r="BN5" s="87" t="s">
        <v>30</v>
      </c>
      <c r="BO5" s="87" t="s">
        <v>29</v>
      </c>
      <c r="BP5" s="87" t="s">
        <v>30</v>
      </c>
      <c r="BQ5" s="87" t="s">
        <v>29</v>
      </c>
      <c r="BR5" s="87" t="s">
        <v>30</v>
      </c>
      <c r="BS5" s="87" t="s">
        <v>29</v>
      </c>
      <c r="BT5" s="87" t="s">
        <v>30</v>
      </c>
      <c r="BU5" s="87" t="s">
        <v>29</v>
      </c>
      <c r="BV5" s="87" t="s">
        <v>30</v>
      </c>
      <c r="BW5" s="87" t="s">
        <v>29</v>
      </c>
      <c r="BX5" s="87" t="s">
        <v>30</v>
      </c>
      <c r="BY5" s="87" t="s">
        <v>29</v>
      </c>
      <c r="BZ5" s="87" t="s">
        <v>30</v>
      </c>
      <c r="CB5" s="92" t="s">
        <v>29</v>
      </c>
      <c r="CC5" s="92" t="s">
        <v>30</v>
      </c>
    </row>
    <row r="6" spans="1:81" s="731" customFormat="1">
      <c r="B6" s="731">
        <f>B5-B4</f>
        <v>0</v>
      </c>
      <c r="C6" s="731">
        <f>'P &amp; NP'!I484</f>
        <v>853750</v>
      </c>
      <c r="D6" s="731">
        <f>'P &amp; NP'!J484</f>
        <v>19204750</v>
      </c>
      <c r="E6" s="731">
        <f>'P &amp; NP'!Y484</f>
        <v>10385735</v>
      </c>
      <c r="F6" s="731">
        <f>'P &amp; NP'!Z484</f>
        <v>211580220</v>
      </c>
      <c r="G6" s="731">
        <f>'P &amp; NP'!AO484</f>
        <v>17270300</v>
      </c>
      <c r="H6" s="731">
        <f>'P &amp; NP'!AP484</f>
        <v>385112100</v>
      </c>
      <c r="I6" s="731">
        <f>'P &amp; NP'!BE484</f>
        <v>5268405</v>
      </c>
      <c r="J6" s="731">
        <f>'P &amp; NP'!BF484</f>
        <v>105656405.5</v>
      </c>
      <c r="K6" s="731">
        <f>'P &amp; NP'!BU484</f>
        <v>849316</v>
      </c>
      <c r="L6" s="731">
        <f>'P &amp; NP'!BV484</f>
        <v>18251469</v>
      </c>
      <c r="M6" s="731">
        <f>'P &amp; NP'!CK484</f>
        <v>64252434.849478073</v>
      </c>
      <c r="N6" s="731">
        <f>'P &amp; NP'!CL484</f>
        <v>1106280395.0529156</v>
      </c>
      <c r="O6" s="731">
        <f>'P &amp; NP'!DA484</f>
        <v>12436925.536938433</v>
      </c>
      <c r="P6" s="731">
        <f>'P &amp; NP'!DB484</f>
        <v>272994871.54900002</v>
      </c>
      <c r="Q6" s="731">
        <f>'P &amp; NP'!DQ484</f>
        <v>14792000</v>
      </c>
      <c r="R6" s="731">
        <f>'P &amp; NP'!DR484</f>
        <v>269622700</v>
      </c>
      <c r="S6" s="731">
        <f>'P &amp; NP'!EG484</f>
        <v>25514275</v>
      </c>
      <c r="T6" s="731">
        <f>'P &amp; NP'!EH484</f>
        <v>482643365</v>
      </c>
      <c r="U6" s="731">
        <f>'P &amp; NP'!EW484</f>
        <v>41981324</v>
      </c>
      <c r="V6" s="731">
        <f>'P &amp; NP'!EX484</f>
        <v>1131862037</v>
      </c>
      <c r="W6" s="731">
        <f>'P &amp; NP'!FM484</f>
        <v>2736500.4</v>
      </c>
      <c r="X6" s="731">
        <f>'P &amp; NP'!FN484</f>
        <v>69421076.5</v>
      </c>
      <c r="Y6" s="731">
        <f>'P &amp; NP'!GC484</f>
        <v>3850100</v>
      </c>
      <c r="Z6" s="731">
        <f>'P &amp; NP'!GD484</f>
        <v>79363625</v>
      </c>
      <c r="AA6" s="731">
        <f>'P &amp; NP'!GS484</f>
        <v>1858550</v>
      </c>
      <c r="AB6" s="731">
        <f>'P &amp; NP'!GT484</f>
        <v>36091175</v>
      </c>
      <c r="AC6" s="731">
        <f>'P &amp; NP'!HI484</f>
        <v>7364300</v>
      </c>
      <c r="AD6" s="731">
        <f>'P &amp; NP'!HJ484</f>
        <v>134808000</v>
      </c>
      <c r="AE6" s="731">
        <f>'P &amp; NP'!HY484</f>
        <v>1813118</v>
      </c>
      <c r="AF6" s="731">
        <f>'P &amp; NP'!HZ484</f>
        <v>34905400</v>
      </c>
      <c r="AG6" s="731">
        <f>'P &amp; NP'!IO484</f>
        <v>11030000</v>
      </c>
      <c r="AH6" s="731">
        <f>'P &amp; NP'!IP484</f>
        <v>217798004</v>
      </c>
      <c r="AI6" s="731">
        <f>'P &amp; NP'!JE484</f>
        <v>4406525</v>
      </c>
      <c r="AJ6" s="731">
        <f>'P &amp; NP'!JF484</f>
        <v>83744202</v>
      </c>
      <c r="AK6" s="731">
        <f>'P &amp; NP'!JU484</f>
        <v>930887</v>
      </c>
      <c r="AL6" s="731">
        <f>'P &amp; NP'!JV484</f>
        <v>24238782</v>
      </c>
      <c r="AM6" s="731">
        <f>'P &amp; NP'!KK484</f>
        <v>800050</v>
      </c>
      <c r="AN6" s="731">
        <f>'P &amp; NP'!KL484</f>
        <v>16075010</v>
      </c>
      <c r="AO6" s="731">
        <f>'P &amp; NP'!LA484</f>
        <v>15942118.630000001</v>
      </c>
      <c r="AP6" s="731">
        <f>'P &amp; NP'!LB484</f>
        <v>291949904</v>
      </c>
      <c r="AQ6" s="731">
        <f>'P &amp; NP'!LQ484</f>
        <v>2179713</v>
      </c>
      <c r="AR6" s="731">
        <f>'P &amp; NP'!LR484</f>
        <v>44477930.730000004</v>
      </c>
      <c r="AS6" s="731">
        <f>'P &amp; NP'!MG484</f>
        <v>856340</v>
      </c>
      <c r="AT6" s="731">
        <f>'P &amp; NP'!MH484</f>
        <v>15853965</v>
      </c>
      <c r="AU6" s="731">
        <f>'P &amp; NP'!MW484</f>
        <v>228949</v>
      </c>
      <c r="AV6" s="731">
        <f>'P &amp; NP'!MX484</f>
        <v>5273422</v>
      </c>
      <c r="AW6" s="731">
        <f>'P &amp; NP'!NM484</f>
        <v>26544645</v>
      </c>
      <c r="AX6" s="731">
        <f>'P &amp; NP'!NN484</f>
        <v>429100720</v>
      </c>
      <c r="AY6" s="731">
        <f>'P &amp; NP'!OC484</f>
        <v>637829</v>
      </c>
      <c r="AZ6" s="731">
        <f>'P &amp; NP'!OD484</f>
        <v>12175405</v>
      </c>
      <c r="BA6" s="731">
        <f>'P &amp; NP'!OS484</f>
        <v>2548876.4</v>
      </c>
      <c r="BB6" s="731">
        <f>'P &amp; NP'!OT484</f>
        <v>24139934.899999999</v>
      </c>
      <c r="BC6" s="731">
        <f>'P &amp; NP'!PI484</f>
        <v>4813018</v>
      </c>
      <c r="BD6" s="731">
        <f>'P &amp; NP'!PJ484</f>
        <v>86957019</v>
      </c>
      <c r="BE6" s="731">
        <f>'P &amp; NP'!PY484</f>
        <v>15105580</v>
      </c>
      <c r="BF6" s="731">
        <f>'P &amp; NP'!PZ484</f>
        <v>283634856.41100001</v>
      </c>
      <c r="BG6" s="731">
        <f>'P &amp; NP'!QO484</f>
        <v>53401500</v>
      </c>
      <c r="BH6" s="731">
        <f>'P &amp; NP'!QP484</f>
        <v>1124622500</v>
      </c>
      <c r="BI6" s="731">
        <f>'P &amp; NP'!RE484</f>
        <v>65339</v>
      </c>
      <c r="BJ6" s="731">
        <f>'P &amp; NP'!RF484</f>
        <v>1575859</v>
      </c>
      <c r="BK6" s="731">
        <f>'P &amp; NP'!RU484</f>
        <v>244780</v>
      </c>
      <c r="BL6" s="731">
        <f>'P &amp; NP'!RV484</f>
        <v>5157835</v>
      </c>
      <c r="BM6" s="731">
        <f>'P &amp; NP'!SK484</f>
        <v>193100</v>
      </c>
      <c r="BN6" s="731">
        <f>'P &amp; NP'!SL484</f>
        <v>3685600</v>
      </c>
      <c r="BO6" s="731">
        <f>'P &amp; NP'!TA484</f>
        <v>290624.94999999995</v>
      </c>
      <c r="BP6" s="731">
        <f>'P &amp; NP'!TB484</f>
        <v>6407714.6219999995</v>
      </c>
      <c r="BQ6" s="731">
        <f>'P &amp; NP'!TQ484</f>
        <v>143400</v>
      </c>
      <c r="BR6" s="731">
        <f>'P &amp; NP'!TR484</f>
        <v>2955300</v>
      </c>
      <c r="BS6" s="731">
        <f>'P &amp; NP'!UG484</f>
        <v>228711</v>
      </c>
      <c r="BT6" s="731">
        <f>'P &amp; NP'!UH484</f>
        <v>4188392.0039999997</v>
      </c>
      <c r="BU6" s="731">
        <f>'P &amp; NP'!UW484</f>
        <v>35863</v>
      </c>
      <c r="BV6" s="731">
        <f>'P &amp; NP'!UX484</f>
        <v>689827</v>
      </c>
      <c r="BW6" s="731">
        <f>'P &amp; NP'!VM484</f>
        <v>199112.2</v>
      </c>
      <c r="BX6" s="731">
        <f>'P &amp; NP'!VN484</f>
        <v>4056530</v>
      </c>
      <c r="BY6" s="731">
        <f>'P &amp; NP'!WC484</f>
        <v>4674678</v>
      </c>
      <c r="BZ6" s="731">
        <f>'P &amp; NP'!WD484</f>
        <v>114032566</v>
      </c>
      <c r="CB6" s="736"/>
      <c r="CC6" s="736"/>
    </row>
    <row r="7" spans="1:81" s="208" customFormat="1">
      <c r="C7" s="209">
        <f t="shared" ref="C7:AH7" si="0">SUM(C8:C44)</f>
        <v>853750</v>
      </c>
      <c r="D7" s="209">
        <f t="shared" si="0"/>
        <v>19204750</v>
      </c>
      <c r="E7" s="209">
        <f t="shared" si="0"/>
        <v>10385735</v>
      </c>
      <c r="F7" s="209">
        <f t="shared" si="0"/>
        <v>211580220</v>
      </c>
      <c r="G7" s="209">
        <f t="shared" si="0"/>
        <v>17270300</v>
      </c>
      <c r="H7" s="209">
        <f t="shared" si="0"/>
        <v>385112100</v>
      </c>
      <c r="I7" s="209">
        <f t="shared" si="0"/>
        <v>5268405</v>
      </c>
      <c r="J7" s="209">
        <f t="shared" si="0"/>
        <v>105656405.5</v>
      </c>
      <c r="K7" s="209">
        <f t="shared" si="0"/>
        <v>849316</v>
      </c>
      <c r="L7" s="209">
        <f t="shared" si="0"/>
        <v>18251469</v>
      </c>
      <c r="M7" s="209">
        <f t="shared" si="0"/>
        <v>64252434.849478073</v>
      </c>
      <c r="N7" s="209">
        <f t="shared" si="0"/>
        <v>1106280395.0529156</v>
      </c>
      <c r="O7" s="209">
        <f t="shared" si="0"/>
        <v>12436925.536938433</v>
      </c>
      <c r="P7" s="209">
        <f t="shared" si="0"/>
        <v>272994871.54900002</v>
      </c>
      <c r="Q7" s="209">
        <f t="shared" si="0"/>
        <v>14792000</v>
      </c>
      <c r="R7" s="209">
        <f t="shared" si="0"/>
        <v>269622700</v>
      </c>
      <c r="S7" s="209">
        <f t="shared" si="0"/>
        <v>25514275</v>
      </c>
      <c r="T7" s="209">
        <f t="shared" si="0"/>
        <v>482643365</v>
      </c>
      <c r="U7" s="209">
        <f t="shared" si="0"/>
        <v>41981324</v>
      </c>
      <c r="V7" s="209">
        <f t="shared" si="0"/>
        <v>1131862037</v>
      </c>
      <c r="W7" s="209">
        <f t="shared" si="0"/>
        <v>2736500.4</v>
      </c>
      <c r="X7" s="209">
        <f t="shared" si="0"/>
        <v>69421076.5</v>
      </c>
      <c r="Y7" s="209">
        <f t="shared" si="0"/>
        <v>3850100</v>
      </c>
      <c r="Z7" s="209">
        <f t="shared" si="0"/>
        <v>79363625</v>
      </c>
      <c r="AA7" s="209">
        <f t="shared" si="0"/>
        <v>1858550</v>
      </c>
      <c r="AB7" s="209">
        <f t="shared" si="0"/>
        <v>36091175</v>
      </c>
      <c r="AC7" s="209">
        <f t="shared" si="0"/>
        <v>7364300</v>
      </c>
      <c r="AD7" s="209">
        <f t="shared" si="0"/>
        <v>134808000</v>
      </c>
      <c r="AE7" s="209">
        <f t="shared" si="0"/>
        <v>1813118</v>
      </c>
      <c r="AF7" s="209">
        <f t="shared" si="0"/>
        <v>34905400</v>
      </c>
      <c r="AG7" s="209">
        <f t="shared" si="0"/>
        <v>11030000</v>
      </c>
      <c r="AH7" s="209">
        <f t="shared" si="0"/>
        <v>217798004</v>
      </c>
      <c r="AI7" s="209">
        <f t="shared" ref="AI7:BN7" si="1">SUM(AI8:AI44)</f>
        <v>4406525</v>
      </c>
      <c r="AJ7" s="209">
        <f t="shared" si="1"/>
        <v>83744202</v>
      </c>
      <c r="AK7" s="209">
        <f t="shared" si="1"/>
        <v>930887</v>
      </c>
      <c r="AL7" s="209">
        <f t="shared" si="1"/>
        <v>24238782</v>
      </c>
      <c r="AM7" s="209">
        <f t="shared" si="1"/>
        <v>800050</v>
      </c>
      <c r="AN7" s="209">
        <f t="shared" si="1"/>
        <v>16075010</v>
      </c>
      <c r="AO7" s="209">
        <f t="shared" si="1"/>
        <v>15942118.630000001</v>
      </c>
      <c r="AP7" s="209">
        <f t="shared" si="1"/>
        <v>291949904</v>
      </c>
      <c r="AQ7" s="209">
        <f t="shared" si="1"/>
        <v>2179713</v>
      </c>
      <c r="AR7" s="209">
        <f t="shared" si="1"/>
        <v>44477930.730000004</v>
      </c>
      <c r="AS7" s="209">
        <f t="shared" si="1"/>
        <v>856340</v>
      </c>
      <c r="AT7" s="209">
        <f t="shared" si="1"/>
        <v>15853965</v>
      </c>
      <c r="AU7" s="209">
        <f t="shared" si="1"/>
        <v>228949</v>
      </c>
      <c r="AV7" s="209">
        <f t="shared" si="1"/>
        <v>5273422</v>
      </c>
      <c r="AW7" s="209">
        <f t="shared" si="1"/>
        <v>26544645</v>
      </c>
      <c r="AX7" s="209">
        <f t="shared" si="1"/>
        <v>429100720</v>
      </c>
      <c r="AY7" s="209">
        <f t="shared" si="1"/>
        <v>637829</v>
      </c>
      <c r="AZ7" s="209">
        <f t="shared" si="1"/>
        <v>12175405</v>
      </c>
      <c r="BA7" s="209">
        <f t="shared" si="1"/>
        <v>2548876.4</v>
      </c>
      <c r="BB7" s="209">
        <f t="shared" si="1"/>
        <v>24139934.899999999</v>
      </c>
      <c r="BC7" s="209">
        <f t="shared" si="1"/>
        <v>4813018</v>
      </c>
      <c r="BD7" s="209">
        <f t="shared" si="1"/>
        <v>86957019</v>
      </c>
      <c r="BE7" s="209">
        <f t="shared" si="1"/>
        <v>15105580</v>
      </c>
      <c r="BF7" s="209">
        <f t="shared" si="1"/>
        <v>283634856.41100001</v>
      </c>
      <c r="BG7" s="209">
        <f t="shared" si="1"/>
        <v>53401500</v>
      </c>
      <c r="BH7" s="209">
        <f t="shared" si="1"/>
        <v>1124622500</v>
      </c>
      <c r="BI7" s="209">
        <f t="shared" si="1"/>
        <v>65339</v>
      </c>
      <c r="BJ7" s="209">
        <f t="shared" si="1"/>
        <v>1575859</v>
      </c>
      <c r="BK7" s="209">
        <f t="shared" si="1"/>
        <v>244780</v>
      </c>
      <c r="BL7" s="209">
        <f t="shared" si="1"/>
        <v>5157835</v>
      </c>
      <c r="BM7" s="209">
        <f t="shared" si="1"/>
        <v>193100</v>
      </c>
      <c r="BN7" s="209">
        <f t="shared" si="1"/>
        <v>3685600</v>
      </c>
      <c r="BO7" s="209">
        <f t="shared" ref="BO7:BZ7" si="2">SUM(BO8:BO44)</f>
        <v>290624.94999999995</v>
      </c>
      <c r="BP7" s="209">
        <f t="shared" si="2"/>
        <v>6407714.6219999995</v>
      </c>
      <c r="BQ7" s="209">
        <f t="shared" si="2"/>
        <v>143400</v>
      </c>
      <c r="BR7" s="209">
        <f t="shared" si="2"/>
        <v>2955300</v>
      </c>
      <c r="BS7" s="209">
        <f t="shared" si="2"/>
        <v>228711</v>
      </c>
      <c r="BT7" s="209">
        <f t="shared" si="2"/>
        <v>4188392.0039999997</v>
      </c>
      <c r="BU7" s="209">
        <f t="shared" si="2"/>
        <v>35863</v>
      </c>
      <c r="BV7" s="209">
        <f t="shared" si="2"/>
        <v>689827</v>
      </c>
      <c r="BW7" s="209">
        <f t="shared" si="2"/>
        <v>199112.2</v>
      </c>
      <c r="BX7" s="209">
        <f t="shared" si="2"/>
        <v>4056530</v>
      </c>
      <c r="BY7" s="209">
        <f t="shared" si="2"/>
        <v>4674678</v>
      </c>
      <c r="BZ7" s="209">
        <f t="shared" si="2"/>
        <v>114032566</v>
      </c>
      <c r="CB7" s="737">
        <f>SUM(CB8:CB44)</f>
        <v>356728672.96641654</v>
      </c>
      <c r="CC7" s="737">
        <f>SUM(CC8:CC44)</f>
        <v>7160588868.2689152</v>
      </c>
    </row>
    <row r="8" spans="1:81">
      <c r="B8" s="207" t="str">
        <f>'P &amp; NP'!B14</f>
        <v xml:space="preserve">Bandeng </v>
      </c>
      <c r="C8" s="209">
        <f>'P &amp; NP'!I485</f>
        <v>270100</v>
      </c>
      <c r="D8" s="209">
        <f>'P &amp; NP'!J485</f>
        <v>6752500</v>
      </c>
      <c r="E8" s="209">
        <f>'P &amp; NP'!Y485</f>
        <v>0</v>
      </c>
      <c r="F8" s="209">
        <f>'P &amp; NP'!Z485</f>
        <v>0</v>
      </c>
      <c r="G8" s="209">
        <f>'P &amp; NP'!AO485</f>
        <v>0</v>
      </c>
      <c r="H8" s="209">
        <f>'P &amp; NP'!AP485</f>
        <v>0</v>
      </c>
      <c r="I8" s="209">
        <f>'P &amp; NP'!BE485</f>
        <v>15813</v>
      </c>
      <c r="J8" s="209">
        <f>'P &amp; NP'!BF485</f>
        <v>268821</v>
      </c>
      <c r="K8" s="206">
        <f>'P &amp; NP'!BU485</f>
        <v>0</v>
      </c>
      <c r="L8" s="206">
        <f>'P &amp; NP'!BV485</f>
        <v>0</v>
      </c>
      <c r="M8" s="206">
        <f>'P &amp; NP'!CK485</f>
        <v>41501212.795808762</v>
      </c>
      <c r="N8" s="206">
        <f>'P &amp; NP'!CL485</f>
        <v>863723308.85591936</v>
      </c>
      <c r="O8" s="206">
        <f>'P &amp; NP'!DA485</f>
        <v>0</v>
      </c>
      <c r="P8" s="206">
        <f>'P &amp; NP'!DB485</f>
        <v>0</v>
      </c>
      <c r="Q8" s="206">
        <f>'P &amp; NP'!DQ485</f>
        <v>0</v>
      </c>
      <c r="R8" s="206">
        <f>'P &amp; NP'!DR485</f>
        <v>0</v>
      </c>
      <c r="S8" s="206">
        <f>'P &amp; NP'!EG485</f>
        <v>0</v>
      </c>
      <c r="T8" s="206">
        <f>'P &amp; NP'!EH485</f>
        <v>0</v>
      </c>
      <c r="U8" s="206">
        <f>'P &amp; NP'!EW485</f>
        <v>11794804</v>
      </c>
      <c r="V8" s="206">
        <f>'P &amp; NP'!EX485</f>
        <v>224744595</v>
      </c>
      <c r="W8" s="206">
        <f>'P &amp; NP'!FM485</f>
        <v>0</v>
      </c>
      <c r="X8" s="206">
        <f>'P &amp; NP'!FN485</f>
        <v>0</v>
      </c>
      <c r="Y8" s="206">
        <f>'P &amp; NP'!GC485</f>
        <v>0</v>
      </c>
      <c r="Z8" s="206">
        <f>'P &amp; NP'!GD485</f>
        <v>0</v>
      </c>
      <c r="AA8" s="206">
        <f>'P &amp; NP'!GS485</f>
        <v>0</v>
      </c>
      <c r="AB8" s="206">
        <f>'P &amp; NP'!GT485</f>
        <v>0</v>
      </c>
      <c r="AC8" s="206">
        <f>'P &amp; NP'!HI485</f>
        <v>0</v>
      </c>
      <c r="AD8" s="206">
        <f>'P &amp; NP'!HJ485</f>
        <v>0</v>
      </c>
      <c r="AE8" s="206">
        <f>'P &amp; NP'!HY485</f>
        <v>0</v>
      </c>
      <c r="AF8" s="206">
        <f>'P &amp; NP'!HZ485</f>
        <v>0</v>
      </c>
      <c r="AG8" s="206">
        <f>'P &amp; NP'!IO485</f>
        <v>0</v>
      </c>
      <c r="AH8" s="206">
        <f>'P &amp; NP'!IP485</f>
        <v>0</v>
      </c>
      <c r="AI8" s="206">
        <f>'P &amp; NP'!JE485</f>
        <v>0</v>
      </c>
      <c r="AJ8" s="206">
        <f>'P &amp; NP'!JF485</f>
        <v>0</v>
      </c>
      <c r="AK8" s="206">
        <f>'P &amp; NP'!JU485</f>
        <v>0</v>
      </c>
      <c r="AL8" s="206">
        <f>'P &amp; NP'!JV485</f>
        <v>0</v>
      </c>
      <c r="AM8" s="206">
        <f>'P &amp; NP'!KK485</f>
        <v>0</v>
      </c>
      <c r="AN8" s="206">
        <f>'P &amp; NP'!KL485</f>
        <v>0</v>
      </c>
      <c r="AO8" s="206">
        <f>'P &amp; NP'!LA485</f>
        <v>0</v>
      </c>
      <c r="AP8" s="206">
        <f>'P &amp; NP'!LB485</f>
        <v>0</v>
      </c>
      <c r="AQ8" s="206">
        <f>'P &amp; NP'!LQ485</f>
        <v>0</v>
      </c>
      <c r="AR8" s="206">
        <f>'P &amp; NP'!LR485</f>
        <v>0</v>
      </c>
      <c r="AS8" s="206">
        <f>'P &amp; NP'!MG485</f>
        <v>0</v>
      </c>
      <c r="AT8" s="206">
        <f>'P &amp; NP'!MH485</f>
        <v>0</v>
      </c>
      <c r="AU8" s="206">
        <f>'P &amp; NP'!MW485</f>
        <v>0</v>
      </c>
      <c r="AV8" s="206">
        <f>'P &amp; NP'!MX485</f>
        <v>0</v>
      </c>
      <c r="AW8" s="206">
        <f>'P &amp; NP'!NM485</f>
        <v>0</v>
      </c>
      <c r="AX8" s="206">
        <f>'P &amp; NP'!NN485</f>
        <v>0</v>
      </c>
      <c r="AY8" s="206">
        <f>'P &amp; NP'!OC485</f>
        <v>0</v>
      </c>
      <c r="AZ8" s="206">
        <f>'P &amp; NP'!OD485</f>
        <v>0</v>
      </c>
      <c r="BA8" s="206">
        <f>'P &amp; NP'!OS485</f>
        <v>0</v>
      </c>
      <c r="BB8" s="206">
        <f>'P &amp; NP'!OT485</f>
        <v>0</v>
      </c>
      <c r="BC8" s="206">
        <f>'P &amp; NP'!PI485</f>
        <v>0</v>
      </c>
      <c r="BD8" s="206">
        <f>'P &amp; NP'!PJ485</f>
        <v>0</v>
      </c>
      <c r="BE8" s="206">
        <f>'P &amp; NP'!PY485</f>
        <v>0</v>
      </c>
      <c r="BF8" s="206">
        <f>'P &amp; NP'!PZ485</f>
        <v>0</v>
      </c>
      <c r="BG8" s="206">
        <f>'P &amp; NP'!QO485</f>
        <v>0</v>
      </c>
      <c r="BH8" s="206">
        <f>'P &amp; NP'!QP485</f>
        <v>0</v>
      </c>
      <c r="BI8" s="206">
        <f>'P &amp; NP'!RE485</f>
        <v>0</v>
      </c>
      <c r="BJ8" s="206">
        <f>'P &amp; NP'!RF485</f>
        <v>0</v>
      </c>
      <c r="BK8" s="206">
        <f>'P &amp; NP'!RU485</f>
        <v>0</v>
      </c>
      <c r="BL8" s="206">
        <f>'P &amp; NP'!RV485</f>
        <v>0</v>
      </c>
      <c r="BM8" s="206">
        <f>'P &amp; NP'!SK485</f>
        <v>0</v>
      </c>
      <c r="BN8" s="206">
        <f>'P &amp; NP'!SL485</f>
        <v>0</v>
      </c>
      <c r="BO8" s="206">
        <f>'P &amp; NP'!TA485</f>
        <v>0</v>
      </c>
      <c r="BP8" s="206">
        <f>'P &amp; NP'!TB485</f>
        <v>0</v>
      </c>
      <c r="BQ8" s="206">
        <f>'P &amp; NP'!TQ485</f>
        <v>0</v>
      </c>
      <c r="BR8" s="206">
        <f>'P &amp; NP'!TR485</f>
        <v>0</v>
      </c>
      <c r="BS8" s="206">
        <f>'P &amp; NP'!UG485</f>
        <v>0</v>
      </c>
      <c r="BT8" s="206">
        <f>'P &amp; NP'!UH485</f>
        <v>0</v>
      </c>
      <c r="BU8" s="206">
        <f>'P &amp; NP'!UW485</f>
        <v>0</v>
      </c>
      <c r="BV8" s="206">
        <f>'P &amp; NP'!UX485</f>
        <v>0</v>
      </c>
      <c r="BW8" s="206">
        <f>'P &amp; NP'!VM485</f>
        <v>0</v>
      </c>
      <c r="BX8" s="206">
        <f>'P &amp; NP'!VN485</f>
        <v>0</v>
      </c>
      <c r="BY8" s="206">
        <f>'P &amp; NP'!WC485</f>
        <v>1071728</v>
      </c>
      <c r="BZ8" s="206">
        <f>'P &amp; NP'!WD485</f>
        <v>32126690</v>
      </c>
      <c r="CB8" s="737">
        <f>SUM(C8,E8,G8,I8,K8,M8,O8,Q8,S8,U8,W8,Y8,AA8,AC8,AE8,AG8,AI8,AK8,AM8,AO8,AQ8,AS8,AU8,AW8,AY8,BA8,BC8,BE8,BG8,BI8,BK8,BM8,BO8,BQ8,BS8,BU8,BW8,BY8)</f>
        <v>54653657.795808762</v>
      </c>
      <c r="CC8" s="737">
        <f>SUM(D8,F8,H8,J8,L8,N8,P8,R8,T8,V8,X8,Z8,AB8,AD8,AF8,AH8,AJ8,AL8,AN8,AP8,AR8,AT8,AV8,AX8,AZ8,BB8,BD8,BF8,BH8,BJ8,BL8,BN8,BP8,BR8,BT8,BV8,BX8,BZ8)</f>
        <v>1127615914.8559194</v>
      </c>
    </row>
    <row r="9" spans="1:81">
      <c r="B9" s="207" t="str">
        <f>'P &amp; NP'!B15</f>
        <v xml:space="preserve">Bawal </v>
      </c>
      <c r="C9" s="209">
        <f>'P &amp; NP'!I486</f>
        <v>0</v>
      </c>
      <c r="D9" s="209">
        <f>'P &amp; NP'!J486</f>
        <v>0</v>
      </c>
      <c r="E9" s="209">
        <f>'P &amp; NP'!Y486</f>
        <v>24710</v>
      </c>
      <c r="F9" s="209">
        <f>'P &amp; NP'!Z486</f>
        <v>494200</v>
      </c>
      <c r="G9" s="209">
        <f>'P &amp; NP'!AO486</f>
        <v>0</v>
      </c>
      <c r="H9" s="209">
        <f>'P &amp; NP'!AP486</f>
        <v>0</v>
      </c>
      <c r="I9" s="209">
        <f>'P &amp; NP'!BE486</f>
        <v>0</v>
      </c>
      <c r="J9" s="209">
        <f>'P &amp; NP'!BF486</f>
        <v>0</v>
      </c>
      <c r="K9" s="206">
        <f>'P &amp; NP'!BU486</f>
        <v>0</v>
      </c>
      <c r="L9" s="206">
        <f>'P &amp; NP'!BV486</f>
        <v>0</v>
      </c>
      <c r="M9" s="206">
        <f>'P &amp; NP'!CK486</f>
        <v>0</v>
      </c>
      <c r="N9" s="206">
        <f>'P &amp; NP'!CL486</f>
        <v>0</v>
      </c>
      <c r="O9" s="206">
        <f>'P &amp; NP'!DA486</f>
        <v>0</v>
      </c>
      <c r="P9" s="206">
        <f>'P &amp; NP'!DB486</f>
        <v>0</v>
      </c>
      <c r="Q9" s="206">
        <f>'P &amp; NP'!DQ486</f>
        <v>4562200</v>
      </c>
      <c r="R9" s="206">
        <f>'P &amp; NP'!DR486</f>
        <v>73891300</v>
      </c>
      <c r="S9" s="206">
        <f>'P &amp; NP'!EG486</f>
        <v>892300</v>
      </c>
      <c r="T9" s="206">
        <f>'P &amp; NP'!EH486</f>
        <v>9815300</v>
      </c>
      <c r="U9" s="206">
        <f>'P &amp; NP'!EW486</f>
        <v>0</v>
      </c>
      <c r="V9" s="206">
        <f>'P &amp; NP'!EX486</f>
        <v>0</v>
      </c>
      <c r="W9" s="206">
        <f>'P &amp; NP'!FM486</f>
        <v>0</v>
      </c>
      <c r="X9" s="206">
        <f>'P &amp; NP'!FN486</f>
        <v>0</v>
      </c>
      <c r="Y9" s="206">
        <f>'P &amp; NP'!GC486</f>
        <v>0</v>
      </c>
      <c r="Z9" s="206">
        <f>'P &amp; NP'!GD486</f>
        <v>0</v>
      </c>
      <c r="AA9" s="206">
        <f>'P &amp; NP'!GS486</f>
        <v>0</v>
      </c>
      <c r="AB9" s="206">
        <f>'P &amp; NP'!GT486</f>
        <v>0</v>
      </c>
      <c r="AC9" s="206">
        <f>'P &amp; NP'!HI486</f>
        <v>0</v>
      </c>
      <c r="AD9" s="206">
        <f>'P &amp; NP'!HJ486</f>
        <v>0</v>
      </c>
      <c r="AE9" s="206">
        <f>'P &amp; NP'!HY486</f>
        <v>0</v>
      </c>
      <c r="AF9" s="206">
        <f>'P &amp; NP'!HZ486</f>
        <v>0</v>
      </c>
      <c r="AG9" s="206">
        <f>'P &amp; NP'!IO486</f>
        <v>24450</v>
      </c>
      <c r="AH9" s="206">
        <f>'P &amp; NP'!IP486</f>
        <v>611250</v>
      </c>
      <c r="AI9" s="206">
        <f>'P &amp; NP'!JE486</f>
        <v>0</v>
      </c>
      <c r="AJ9" s="206">
        <f>'P &amp; NP'!JF486</f>
        <v>0</v>
      </c>
      <c r="AK9" s="206">
        <f>'P &amp; NP'!JU486</f>
        <v>0</v>
      </c>
      <c r="AL9" s="206">
        <f>'P &amp; NP'!JV486</f>
        <v>0</v>
      </c>
      <c r="AM9" s="206">
        <f>'P &amp; NP'!KK486</f>
        <v>0</v>
      </c>
      <c r="AN9" s="206">
        <f>'P &amp; NP'!KL486</f>
        <v>0</v>
      </c>
      <c r="AO9" s="206">
        <f>'P &amp; NP'!LA486</f>
        <v>0</v>
      </c>
      <c r="AP9" s="206">
        <f>'P &amp; NP'!LB486</f>
        <v>0</v>
      </c>
      <c r="AQ9" s="206">
        <f>'P &amp; NP'!LQ486</f>
        <v>0</v>
      </c>
      <c r="AR9" s="206">
        <f>'P &amp; NP'!LR486</f>
        <v>0</v>
      </c>
      <c r="AS9" s="206">
        <f>'P &amp; NP'!MG486</f>
        <v>0</v>
      </c>
      <c r="AT9" s="206">
        <f>'P &amp; NP'!MH486</f>
        <v>0</v>
      </c>
      <c r="AU9" s="206">
        <f>'P &amp; NP'!MW486</f>
        <v>0</v>
      </c>
      <c r="AV9" s="206">
        <f>'P &amp; NP'!MX486</f>
        <v>0</v>
      </c>
      <c r="AW9" s="206">
        <f>'P &amp; NP'!NM486</f>
        <v>0</v>
      </c>
      <c r="AX9" s="206">
        <f>'P &amp; NP'!NN486</f>
        <v>0</v>
      </c>
      <c r="AY9" s="206">
        <f>'P &amp; NP'!OC486</f>
        <v>0</v>
      </c>
      <c r="AZ9" s="206">
        <f>'P &amp; NP'!OD486</f>
        <v>0</v>
      </c>
      <c r="BA9" s="206">
        <f>'P &amp; NP'!OS486</f>
        <v>0</v>
      </c>
      <c r="BB9" s="206">
        <f>'P &amp; NP'!OT486</f>
        <v>0</v>
      </c>
      <c r="BC9" s="206">
        <f>'P &amp; NP'!PI486</f>
        <v>0</v>
      </c>
      <c r="BD9" s="206">
        <f>'P &amp; NP'!PJ486</f>
        <v>0</v>
      </c>
      <c r="BE9" s="206">
        <f>'P &amp; NP'!PY486</f>
        <v>188257</v>
      </c>
      <c r="BF9" s="206">
        <f>'P &amp; NP'!PZ486</f>
        <v>3566600</v>
      </c>
      <c r="BG9" s="206">
        <f>'P &amp; NP'!QO486</f>
        <v>0</v>
      </c>
      <c r="BH9" s="206">
        <f>'P &amp; NP'!QP486</f>
        <v>0</v>
      </c>
      <c r="BI9" s="206">
        <f>'P &amp; NP'!RE486</f>
        <v>0</v>
      </c>
      <c r="BJ9" s="206">
        <f>'P &amp; NP'!RF486</f>
        <v>0</v>
      </c>
      <c r="BK9" s="206">
        <f>'P &amp; NP'!RU486</f>
        <v>0</v>
      </c>
      <c r="BL9" s="206">
        <f>'P &amp; NP'!RV486</f>
        <v>0</v>
      </c>
      <c r="BM9" s="206">
        <f>'P &amp; NP'!SK486</f>
        <v>0</v>
      </c>
      <c r="BN9" s="206">
        <f>'P &amp; NP'!SL486</f>
        <v>0</v>
      </c>
      <c r="BO9" s="206">
        <f>'P &amp; NP'!TA486</f>
        <v>0</v>
      </c>
      <c r="BP9" s="206">
        <f>'P &amp; NP'!TB486</f>
        <v>0</v>
      </c>
      <c r="BQ9" s="206">
        <f>'P &amp; NP'!TQ486</f>
        <v>0</v>
      </c>
      <c r="BR9" s="206">
        <f>'P &amp; NP'!TR486</f>
        <v>0</v>
      </c>
      <c r="BS9" s="206">
        <f>'P &amp; NP'!UG486</f>
        <v>0</v>
      </c>
      <c r="BT9" s="206">
        <f>'P &amp; NP'!UH486</f>
        <v>0</v>
      </c>
      <c r="BU9" s="206">
        <f>'P &amp; NP'!UW486</f>
        <v>0</v>
      </c>
      <c r="BV9" s="206">
        <f>'P &amp; NP'!UX486</f>
        <v>0</v>
      </c>
      <c r="BW9" s="206">
        <f>'P &amp; NP'!VM486</f>
        <v>0</v>
      </c>
      <c r="BX9" s="206">
        <f>'P &amp; NP'!VN486</f>
        <v>0</v>
      </c>
      <c r="BY9" s="206">
        <f>'P &amp; NP'!WC486</f>
        <v>0</v>
      </c>
      <c r="BZ9" s="206">
        <f>'P &amp; NP'!WD486</f>
        <v>0</v>
      </c>
      <c r="CB9" s="737">
        <f t="shared" ref="CB9:CB34" si="3">SUM(C9,E9,G9,I9,K9,M9,O9,Q9,S9,U9,W9,Y9,AA9,AC9,AE9,AG9,AI9,AK9,AM9,AO9,AQ9,AS9,AU9,AW9,AY9,BA9,BC9,BE9,BG9,BI9,BK9,BM9,BO9,BQ9,BS9,BU9,BW9,BY9)</f>
        <v>5691917</v>
      </c>
      <c r="CC9" s="737">
        <f t="shared" ref="CC9:CC34" si="4">SUM(D9,F9,H9,J9,L9,N9,P9,R9,T9,V9,X9,Z9,AB9,AD9,AF9,AH9,AJ9,AL9,AN9,AP9,AR9,AT9,AV9,AX9,AZ9,BB9,BD9,BF9,BH9,BJ9,BL9,BN9,BP9,BR9,BT9,BV9,BX9,BZ9)</f>
        <v>88378650</v>
      </c>
    </row>
    <row r="10" spans="1:81">
      <c r="B10" s="207" t="str">
        <f>'P &amp; NP'!B16</f>
        <v xml:space="preserve">Belanak </v>
      </c>
      <c r="C10" s="209">
        <f>'P &amp; NP'!I487</f>
        <v>0</v>
      </c>
      <c r="D10" s="209">
        <f>'P &amp; NP'!J487</f>
        <v>0</v>
      </c>
      <c r="E10" s="209">
        <f>'P &amp; NP'!Y487</f>
        <v>0</v>
      </c>
      <c r="F10" s="209">
        <f>'P &amp; NP'!Z487</f>
        <v>0</v>
      </c>
      <c r="G10" s="209">
        <f>'P &amp; NP'!AO487</f>
        <v>0</v>
      </c>
      <c r="H10" s="209">
        <f>'P &amp; NP'!AP487</f>
        <v>0</v>
      </c>
      <c r="I10" s="209">
        <f>'P &amp; NP'!BE487</f>
        <v>0</v>
      </c>
      <c r="J10" s="209">
        <f>'P &amp; NP'!BF487</f>
        <v>0</v>
      </c>
      <c r="K10" s="206">
        <f>'P &amp; NP'!BU487</f>
        <v>0</v>
      </c>
      <c r="L10" s="206">
        <f>'P &amp; NP'!BV487</f>
        <v>0</v>
      </c>
      <c r="M10" s="206">
        <f>'P &amp; NP'!CK487</f>
        <v>0</v>
      </c>
      <c r="N10" s="206">
        <f>'P &amp; NP'!CL487</f>
        <v>0</v>
      </c>
      <c r="O10" s="206">
        <f>'P &amp; NP'!DA487</f>
        <v>0</v>
      </c>
      <c r="P10" s="206">
        <f>'P &amp; NP'!DB487</f>
        <v>0</v>
      </c>
      <c r="Q10" s="206">
        <f>'P &amp; NP'!DQ487</f>
        <v>0</v>
      </c>
      <c r="R10" s="206">
        <f>'P &amp; NP'!DR487</f>
        <v>0</v>
      </c>
      <c r="S10" s="206">
        <f>'P &amp; NP'!EG487</f>
        <v>0</v>
      </c>
      <c r="T10" s="206">
        <f>'P &amp; NP'!EH487</f>
        <v>0</v>
      </c>
      <c r="U10" s="206">
        <f>'P &amp; NP'!EW487</f>
        <v>0</v>
      </c>
      <c r="V10" s="206">
        <f>'P &amp; NP'!EX487</f>
        <v>0</v>
      </c>
      <c r="W10" s="206">
        <f>'P &amp; NP'!FM487</f>
        <v>0</v>
      </c>
      <c r="X10" s="206">
        <f>'P &amp; NP'!FN487</f>
        <v>0</v>
      </c>
      <c r="Y10" s="206">
        <f>'P &amp; NP'!GC487</f>
        <v>0</v>
      </c>
      <c r="Z10" s="206">
        <f>'P &amp; NP'!GD487</f>
        <v>0</v>
      </c>
      <c r="AA10" s="206">
        <f>'P &amp; NP'!GS487</f>
        <v>0</v>
      </c>
      <c r="AB10" s="206">
        <f>'P &amp; NP'!GT487</f>
        <v>0</v>
      </c>
      <c r="AC10" s="206">
        <f>'P &amp; NP'!HI487</f>
        <v>0</v>
      </c>
      <c r="AD10" s="206">
        <f>'P &amp; NP'!HJ487</f>
        <v>0</v>
      </c>
      <c r="AE10" s="206">
        <f>'P &amp; NP'!HY487</f>
        <v>0</v>
      </c>
      <c r="AF10" s="206">
        <f>'P &amp; NP'!HZ487</f>
        <v>0</v>
      </c>
      <c r="AG10" s="206">
        <f>'P &amp; NP'!IO487</f>
        <v>0</v>
      </c>
      <c r="AH10" s="206">
        <f>'P &amp; NP'!IP487</f>
        <v>0</v>
      </c>
      <c r="AI10" s="206">
        <f>'P &amp; NP'!JE487</f>
        <v>0</v>
      </c>
      <c r="AJ10" s="206">
        <f>'P &amp; NP'!JF487</f>
        <v>0</v>
      </c>
      <c r="AK10" s="206">
        <f>'P &amp; NP'!JU487</f>
        <v>0</v>
      </c>
      <c r="AL10" s="206">
        <f>'P &amp; NP'!JV487</f>
        <v>0</v>
      </c>
      <c r="AM10" s="206">
        <f>'P &amp; NP'!KK487</f>
        <v>0</v>
      </c>
      <c r="AN10" s="206">
        <f>'P &amp; NP'!KL487</f>
        <v>0</v>
      </c>
      <c r="AO10" s="206">
        <f>'P &amp; NP'!LA487</f>
        <v>0</v>
      </c>
      <c r="AP10" s="206">
        <f>'P &amp; NP'!LB487</f>
        <v>0</v>
      </c>
      <c r="AQ10" s="206">
        <f>'P &amp; NP'!LQ487</f>
        <v>0</v>
      </c>
      <c r="AR10" s="206">
        <f>'P &amp; NP'!LR487</f>
        <v>0</v>
      </c>
      <c r="AS10" s="206">
        <f>'P &amp; NP'!MG487</f>
        <v>0</v>
      </c>
      <c r="AT10" s="206">
        <f>'P &amp; NP'!MH487</f>
        <v>0</v>
      </c>
      <c r="AU10" s="206">
        <f>'P &amp; NP'!MW487</f>
        <v>0</v>
      </c>
      <c r="AV10" s="206">
        <f>'P &amp; NP'!MX487</f>
        <v>0</v>
      </c>
      <c r="AW10" s="206">
        <f>'P &amp; NP'!NM487</f>
        <v>0</v>
      </c>
      <c r="AX10" s="206">
        <f>'P &amp; NP'!NN487</f>
        <v>0</v>
      </c>
      <c r="AY10" s="206">
        <f>'P &amp; NP'!OC487</f>
        <v>0</v>
      </c>
      <c r="AZ10" s="206">
        <f>'P &amp; NP'!OD487</f>
        <v>0</v>
      </c>
      <c r="BA10" s="206">
        <f>'P &amp; NP'!OS487</f>
        <v>0</v>
      </c>
      <c r="BB10" s="206">
        <f>'P &amp; NP'!OT487</f>
        <v>0</v>
      </c>
      <c r="BC10" s="206">
        <f>'P &amp; NP'!PI487</f>
        <v>0</v>
      </c>
      <c r="BD10" s="206">
        <f>'P &amp; NP'!PJ487</f>
        <v>0</v>
      </c>
      <c r="BE10" s="206">
        <f>'P &amp; NP'!PY487</f>
        <v>0</v>
      </c>
      <c r="BF10" s="206">
        <f>'P &amp; NP'!PZ487</f>
        <v>0</v>
      </c>
      <c r="BG10" s="206">
        <f>'P &amp; NP'!QO487</f>
        <v>0</v>
      </c>
      <c r="BH10" s="206">
        <f>'P &amp; NP'!QP487</f>
        <v>0</v>
      </c>
      <c r="BI10" s="206">
        <f>'P &amp; NP'!RE487</f>
        <v>0</v>
      </c>
      <c r="BJ10" s="206">
        <f>'P &amp; NP'!RF487</f>
        <v>0</v>
      </c>
      <c r="BK10" s="206">
        <f>'P &amp; NP'!RU487</f>
        <v>0</v>
      </c>
      <c r="BL10" s="206">
        <f>'P &amp; NP'!RV487</f>
        <v>0</v>
      </c>
      <c r="BM10" s="206">
        <f>'P &amp; NP'!SK487</f>
        <v>0</v>
      </c>
      <c r="BN10" s="206">
        <f>'P &amp; NP'!SL487</f>
        <v>0</v>
      </c>
      <c r="BO10" s="206">
        <f>'P &amp; NP'!TA487</f>
        <v>0</v>
      </c>
      <c r="BP10" s="206">
        <f>'P &amp; NP'!TB487</f>
        <v>0</v>
      </c>
      <c r="BQ10" s="206">
        <f>'P &amp; NP'!TQ487</f>
        <v>0</v>
      </c>
      <c r="BR10" s="206">
        <f>'P &amp; NP'!TR487</f>
        <v>0</v>
      </c>
      <c r="BS10" s="206">
        <f>'P &amp; NP'!UG487</f>
        <v>0</v>
      </c>
      <c r="BT10" s="206">
        <f>'P &amp; NP'!UH487</f>
        <v>0</v>
      </c>
      <c r="BU10" s="206">
        <f>'P &amp; NP'!UW487</f>
        <v>0</v>
      </c>
      <c r="BV10" s="206">
        <f>'P &amp; NP'!UX487</f>
        <v>0</v>
      </c>
      <c r="BW10" s="206">
        <f>'P &amp; NP'!VM487</f>
        <v>0</v>
      </c>
      <c r="BX10" s="206">
        <f>'P &amp; NP'!VN487</f>
        <v>0</v>
      </c>
      <c r="BY10" s="206">
        <f>'P &amp; NP'!WC487</f>
        <v>0</v>
      </c>
      <c r="BZ10" s="206">
        <f>'P &amp; NP'!WD487</f>
        <v>0</v>
      </c>
      <c r="CB10" s="737">
        <f t="shared" si="3"/>
        <v>0</v>
      </c>
      <c r="CC10" s="737">
        <f t="shared" si="4"/>
        <v>0</v>
      </c>
    </row>
    <row r="11" spans="1:81">
      <c r="B11" s="207" t="str">
        <f>'P &amp; NP'!B17</f>
        <v xml:space="preserve">Eucheuma cottonii </v>
      </c>
      <c r="C11" s="209">
        <f>'P &amp; NP'!I488</f>
        <v>0</v>
      </c>
      <c r="D11" s="209">
        <f>'P &amp; NP'!J488</f>
        <v>0</v>
      </c>
      <c r="E11" s="209">
        <f>'P &amp; NP'!Y488</f>
        <v>0</v>
      </c>
      <c r="F11" s="209">
        <f>'P &amp; NP'!Z488</f>
        <v>0</v>
      </c>
      <c r="G11" s="209">
        <f>'P &amp; NP'!AO488</f>
        <v>0</v>
      </c>
      <c r="H11" s="209">
        <f>'P &amp; NP'!AP488</f>
        <v>0</v>
      </c>
      <c r="I11" s="209">
        <f>'P &amp; NP'!BE488</f>
        <v>0</v>
      </c>
      <c r="J11" s="209">
        <f>'P &amp; NP'!BF488</f>
        <v>0</v>
      </c>
      <c r="K11" s="206">
        <f>'P &amp; NP'!BU488</f>
        <v>0</v>
      </c>
      <c r="L11" s="206">
        <f>'P &amp; NP'!BV488</f>
        <v>0</v>
      </c>
      <c r="M11" s="206">
        <f>'P &amp; NP'!CK488</f>
        <v>0</v>
      </c>
      <c r="N11" s="206">
        <f>'P &amp; NP'!CL488</f>
        <v>0</v>
      </c>
      <c r="O11" s="206">
        <f>'P &amp; NP'!DA488</f>
        <v>0</v>
      </c>
      <c r="P11" s="206">
        <f>'P &amp; NP'!DB488</f>
        <v>0</v>
      </c>
      <c r="Q11" s="206">
        <f>'P &amp; NP'!DQ488</f>
        <v>0</v>
      </c>
      <c r="R11" s="206">
        <f>'P &amp; NP'!DR488</f>
        <v>0</v>
      </c>
      <c r="S11" s="206">
        <f>'P &amp; NP'!EG488</f>
        <v>0</v>
      </c>
      <c r="T11" s="206">
        <f>'P &amp; NP'!EH488</f>
        <v>0</v>
      </c>
      <c r="U11" s="206">
        <f>'P &amp; NP'!EW488</f>
        <v>0</v>
      </c>
      <c r="V11" s="206">
        <f>'P &amp; NP'!EX488</f>
        <v>0</v>
      </c>
      <c r="W11" s="206">
        <f>'P &amp; NP'!FM488</f>
        <v>0</v>
      </c>
      <c r="X11" s="206">
        <f>'P &amp; NP'!FN488</f>
        <v>0</v>
      </c>
      <c r="Y11" s="206">
        <f>'P &amp; NP'!GC488</f>
        <v>0</v>
      </c>
      <c r="Z11" s="206">
        <f>'P &amp; NP'!GD488</f>
        <v>0</v>
      </c>
      <c r="AA11" s="206">
        <f>'P &amp; NP'!GS488</f>
        <v>0</v>
      </c>
      <c r="AB11" s="206">
        <f>'P &amp; NP'!GT488</f>
        <v>0</v>
      </c>
      <c r="AC11" s="206">
        <f>'P &amp; NP'!HI488</f>
        <v>0</v>
      </c>
      <c r="AD11" s="206">
        <f>'P &amp; NP'!HJ488</f>
        <v>0</v>
      </c>
      <c r="AE11" s="206">
        <f>'P &amp; NP'!HY488</f>
        <v>0</v>
      </c>
      <c r="AF11" s="206">
        <f>'P &amp; NP'!HZ488</f>
        <v>0</v>
      </c>
      <c r="AG11" s="206">
        <f>'P &amp; NP'!IO488</f>
        <v>0</v>
      </c>
      <c r="AH11" s="206">
        <f>'P &amp; NP'!IP488</f>
        <v>0</v>
      </c>
      <c r="AI11" s="206">
        <f>'P &amp; NP'!JE488</f>
        <v>0</v>
      </c>
      <c r="AJ11" s="206">
        <f>'P &amp; NP'!JF488</f>
        <v>0</v>
      </c>
      <c r="AK11" s="206">
        <f>'P &amp; NP'!JU488</f>
        <v>0</v>
      </c>
      <c r="AL11" s="206">
        <f>'P &amp; NP'!JV488</f>
        <v>0</v>
      </c>
      <c r="AM11" s="206">
        <f>'P &amp; NP'!KK488</f>
        <v>0</v>
      </c>
      <c r="AN11" s="206">
        <f>'P &amp; NP'!KL488</f>
        <v>0</v>
      </c>
      <c r="AO11" s="206">
        <f>'P &amp; NP'!LA488</f>
        <v>0</v>
      </c>
      <c r="AP11" s="206">
        <f>'P &amp; NP'!LB488</f>
        <v>0</v>
      </c>
      <c r="AQ11" s="206">
        <f>'P &amp; NP'!LQ488</f>
        <v>0</v>
      </c>
      <c r="AR11" s="206">
        <f>'P &amp; NP'!LR488</f>
        <v>0</v>
      </c>
      <c r="AS11" s="206">
        <f>'P &amp; NP'!MG488</f>
        <v>0</v>
      </c>
      <c r="AT11" s="206">
        <f>'P &amp; NP'!MH488</f>
        <v>0</v>
      </c>
      <c r="AU11" s="206">
        <f>'P &amp; NP'!MW488</f>
        <v>0</v>
      </c>
      <c r="AV11" s="206">
        <f>'P &amp; NP'!MX488</f>
        <v>0</v>
      </c>
      <c r="AW11" s="206">
        <f>'P &amp; NP'!NM488</f>
        <v>0</v>
      </c>
      <c r="AX11" s="206">
        <f>'P &amp; NP'!NN488</f>
        <v>0</v>
      </c>
      <c r="AY11" s="206">
        <f>'P &amp; NP'!OC488</f>
        <v>0</v>
      </c>
      <c r="AZ11" s="206">
        <f>'P &amp; NP'!OD488</f>
        <v>0</v>
      </c>
      <c r="BA11" s="206">
        <f>'P &amp; NP'!OS488</f>
        <v>0</v>
      </c>
      <c r="BB11" s="206">
        <f>'P &amp; NP'!OT488</f>
        <v>0</v>
      </c>
      <c r="BC11" s="206">
        <f>'P &amp; NP'!PI488</f>
        <v>0</v>
      </c>
      <c r="BD11" s="206">
        <f>'P &amp; NP'!PJ488</f>
        <v>0</v>
      </c>
      <c r="BE11" s="206">
        <f>'P &amp; NP'!PY488</f>
        <v>0</v>
      </c>
      <c r="BF11" s="206">
        <f>'P &amp; NP'!PZ488</f>
        <v>0</v>
      </c>
      <c r="BG11" s="206">
        <f>'P &amp; NP'!QO488</f>
        <v>0</v>
      </c>
      <c r="BH11" s="206">
        <f>'P &amp; NP'!QP488</f>
        <v>0</v>
      </c>
      <c r="BI11" s="206">
        <f>'P &amp; NP'!RE488</f>
        <v>0</v>
      </c>
      <c r="BJ11" s="206">
        <f>'P &amp; NP'!RF488</f>
        <v>0</v>
      </c>
      <c r="BK11" s="206">
        <f>'P &amp; NP'!RU488</f>
        <v>0</v>
      </c>
      <c r="BL11" s="206">
        <f>'P &amp; NP'!RV488</f>
        <v>0</v>
      </c>
      <c r="BM11" s="206">
        <f>'P &amp; NP'!SK488</f>
        <v>0</v>
      </c>
      <c r="BN11" s="206">
        <f>'P &amp; NP'!SL488</f>
        <v>0</v>
      </c>
      <c r="BO11" s="206">
        <f>'P &amp; NP'!TA488</f>
        <v>0</v>
      </c>
      <c r="BP11" s="206">
        <f>'P &amp; NP'!TB488</f>
        <v>0</v>
      </c>
      <c r="BQ11" s="206">
        <f>'P &amp; NP'!TQ488</f>
        <v>0</v>
      </c>
      <c r="BR11" s="206">
        <f>'P &amp; NP'!TR488</f>
        <v>0</v>
      </c>
      <c r="BS11" s="206">
        <f>'P &amp; NP'!UG488</f>
        <v>0</v>
      </c>
      <c r="BT11" s="206">
        <f>'P &amp; NP'!UH488</f>
        <v>0</v>
      </c>
      <c r="BU11" s="206">
        <f>'P &amp; NP'!UW488</f>
        <v>0</v>
      </c>
      <c r="BV11" s="206">
        <f>'P &amp; NP'!UX488</f>
        <v>0</v>
      </c>
      <c r="BW11" s="206">
        <f>'P &amp; NP'!VM488</f>
        <v>0</v>
      </c>
      <c r="BX11" s="206">
        <f>'P &amp; NP'!VN488</f>
        <v>0</v>
      </c>
      <c r="BY11" s="206">
        <f>'P &amp; NP'!WC488</f>
        <v>0</v>
      </c>
      <c r="BZ11" s="206">
        <f>'P &amp; NP'!WD488</f>
        <v>0</v>
      </c>
      <c r="CB11" s="737">
        <f t="shared" si="3"/>
        <v>0</v>
      </c>
      <c r="CC11" s="737">
        <f t="shared" si="4"/>
        <v>0</v>
      </c>
    </row>
    <row r="12" spans="1:81">
      <c r="B12" s="207" t="str">
        <f>'P &amp; NP'!B18</f>
        <v xml:space="preserve">Gabus </v>
      </c>
      <c r="C12" s="209">
        <f>'P &amp; NP'!I489</f>
        <v>0</v>
      </c>
      <c r="D12" s="209">
        <f>'P &amp; NP'!J489</f>
        <v>0</v>
      </c>
      <c r="E12" s="209">
        <f>'P &amp; NP'!Y489</f>
        <v>4390</v>
      </c>
      <c r="F12" s="209">
        <f>'P &amp; NP'!Z489</f>
        <v>175600</v>
      </c>
      <c r="G12" s="209">
        <f>'P &amp; NP'!AO489</f>
        <v>0</v>
      </c>
      <c r="H12" s="209">
        <f>'P &amp; NP'!AP489</f>
        <v>0</v>
      </c>
      <c r="I12" s="209">
        <f>'P &amp; NP'!BE489</f>
        <v>0</v>
      </c>
      <c r="J12" s="209">
        <f>'P &amp; NP'!BF489</f>
        <v>0</v>
      </c>
      <c r="K12" s="206">
        <f>'P &amp; NP'!BU489</f>
        <v>0</v>
      </c>
      <c r="L12" s="206">
        <f>'P &amp; NP'!BV489</f>
        <v>0</v>
      </c>
      <c r="M12" s="206">
        <f>'P &amp; NP'!CK489</f>
        <v>0</v>
      </c>
      <c r="N12" s="206">
        <f>'P &amp; NP'!CL489</f>
        <v>0</v>
      </c>
      <c r="O12" s="206">
        <f>'P &amp; NP'!DA489</f>
        <v>0</v>
      </c>
      <c r="P12" s="206">
        <f>'P &amp; NP'!DB489</f>
        <v>0</v>
      </c>
      <c r="Q12" s="206">
        <f>'P &amp; NP'!DQ489</f>
        <v>0</v>
      </c>
      <c r="R12" s="206">
        <f>'P &amp; NP'!DR489</f>
        <v>0</v>
      </c>
      <c r="S12" s="206">
        <f>'P &amp; NP'!EG489</f>
        <v>0</v>
      </c>
      <c r="T12" s="206">
        <f>'P &amp; NP'!EH489</f>
        <v>0</v>
      </c>
      <c r="U12" s="206">
        <f>'P &amp; NP'!EW489</f>
        <v>19606</v>
      </c>
      <c r="V12" s="206">
        <f>'P &amp; NP'!EX489</f>
        <v>937585</v>
      </c>
      <c r="W12" s="206">
        <f>'P &amp; NP'!FM489</f>
        <v>3800</v>
      </c>
      <c r="X12" s="206">
        <f>'P &amp; NP'!FN489</f>
        <v>159850</v>
      </c>
      <c r="Y12" s="206">
        <f>'P &amp; NP'!GC489</f>
        <v>0</v>
      </c>
      <c r="Z12" s="206">
        <f>'P &amp; NP'!GD489</f>
        <v>0</v>
      </c>
      <c r="AA12" s="206">
        <f>'P &amp; NP'!GS489</f>
        <v>0</v>
      </c>
      <c r="AB12" s="206">
        <f>'P &amp; NP'!GT489</f>
        <v>0</v>
      </c>
      <c r="AC12" s="206">
        <f>'P &amp; NP'!HI489</f>
        <v>0</v>
      </c>
      <c r="AD12" s="206">
        <f>'P &amp; NP'!HJ489</f>
        <v>0</v>
      </c>
      <c r="AE12" s="206">
        <f>'P &amp; NP'!HY489</f>
        <v>0</v>
      </c>
      <c r="AF12" s="206">
        <f>'P &amp; NP'!HZ489</f>
        <v>0</v>
      </c>
      <c r="AG12" s="206">
        <f>'P &amp; NP'!IO489</f>
        <v>3200</v>
      </c>
      <c r="AH12" s="206">
        <f>'P &amp; NP'!IP489</f>
        <v>112000</v>
      </c>
      <c r="AI12" s="206">
        <f>'P &amp; NP'!JE489</f>
        <v>0</v>
      </c>
      <c r="AJ12" s="206">
        <f>'P &amp; NP'!JF489</f>
        <v>0</v>
      </c>
      <c r="AK12" s="206">
        <f>'P &amp; NP'!JU489</f>
        <v>0</v>
      </c>
      <c r="AL12" s="206">
        <f>'P &amp; NP'!JV489</f>
        <v>0</v>
      </c>
      <c r="AM12" s="206">
        <f>'P &amp; NP'!KK489</f>
        <v>0</v>
      </c>
      <c r="AN12" s="206">
        <f>'P &amp; NP'!KL489</f>
        <v>0</v>
      </c>
      <c r="AO12" s="206">
        <f>'P &amp; NP'!LA489</f>
        <v>0</v>
      </c>
      <c r="AP12" s="206">
        <f>'P &amp; NP'!LB489</f>
        <v>0</v>
      </c>
      <c r="AQ12" s="206">
        <f>'P &amp; NP'!LQ489</f>
        <v>922</v>
      </c>
      <c r="AR12" s="206">
        <f>'P &amp; NP'!LR489</f>
        <v>55080</v>
      </c>
      <c r="AS12" s="206">
        <f>'P &amp; NP'!MG489</f>
        <v>0</v>
      </c>
      <c r="AT12" s="206">
        <f>'P &amp; NP'!MH489</f>
        <v>0</v>
      </c>
      <c r="AU12" s="206">
        <f>'P &amp; NP'!MW489</f>
        <v>0</v>
      </c>
      <c r="AV12" s="206">
        <f>'P &amp; NP'!MX489</f>
        <v>0</v>
      </c>
      <c r="AW12" s="206">
        <f>'P &amp; NP'!NM489</f>
        <v>0</v>
      </c>
      <c r="AX12" s="206">
        <f>'P &amp; NP'!NN489</f>
        <v>0</v>
      </c>
      <c r="AY12" s="206">
        <f>'P &amp; NP'!OC489</f>
        <v>0</v>
      </c>
      <c r="AZ12" s="206">
        <f>'P &amp; NP'!OD489</f>
        <v>0</v>
      </c>
      <c r="BA12" s="206">
        <f>'P &amp; NP'!OS489</f>
        <v>0</v>
      </c>
      <c r="BB12" s="206">
        <f>'P &amp; NP'!OT489</f>
        <v>0</v>
      </c>
      <c r="BC12" s="206">
        <f>'P &amp; NP'!PI489</f>
        <v>8796</v>
      </c>
      <c r="BD12" s="206">
        <f>'P &amp; NP'!PJ489</f>
        <v>253244</v>
      </c>
      <c r="BE12" s="206">
        <f>'P &amp; NP'!PY489</f>
        <v>113790</v>
      </c>
      <c r="BF12" s="206">
        <f>'P &amp; NP'!PZ489</f>
        <v>5659450</v>
      </c>
      <c r="BG12" s="206">
        <f>'P &amp; NP'!QO489</f>
        <v>62000</v>
      </c>
      <c r="BH12" s="206">
        <f>'P &amp; NP'!QP489</f>
        <v>2170000</v>
      </c>
      <c r="BI12" s="206">
        <f>'P &amp; NP'!RE489</f>
        <v>0</v>
      </c>
      <c r="BJ12" s="206">
        <f>'P &amp; NP'!RF489</f>
        <v>0</v>
      </c>
      <c r="BK12" s="206">
        <f>'P &amp; NP'!RU489</f>
        <v>0</v>
      </c>
      <c r="BL12" s="206">
        <f>'P &amp; NP'!RV489</f>
        <v>0</v>
      </c>
      <c r="BM12" s="206">
        <f>'P &amp; NP'!SK489</f>
        <v>0</v>
      </c>
      <c r="BN12" s="206">
        <f>'P &amp; NP'!SL489</f>
        <v>0</v>
      </c>
      <c r="BO12" s="206">
        <f>'P &amp; NP'!TA489</f>
        <v>0</v>
      </c>
      <c r="BP12" s="206">
        <f>'P &amp; NP'!TB489</f>
        <v>0</v>
      </c>
      <c r="BQ12" s="206">
        <f>'P &amp; NP'!TQ489</f>
        <v>0</v>
      </c>
      <c r="BR12" s="206">
        <f>'P &amp; NP'!TR489</f>
        <v>0</v>
      </c>
      <c r="BS12" s="206">
        <f>'P &amp; NP'!UG489</f>
        <v>0</v>
      </c>
      <c r="BT12" s="206">
        <f>'P &amp; NP'!UH489</f>
        <v>0</v>
      </c>
      <c r="BU12" s="206">
        <f>'P &amp; NP'!UW489</f>
        <v>0</v>
      </c>
      <c r="BV12" s="206">
        <f>'P &amp; NP'!UX489</f>
        <v>0</v>
      </c>
      <c r="BW12" s="206">
        <f>'P &amp; NP'!VM489</f>
        <v>0</v>
      </c>
      <c r="BX12" s="206">
        <f>'P &amp; NP'!VN489</f>
        <v>0</v>
      </c>
      <c r="BY12" s="206">
        <f>'P &amp; NP'!WC489</f>
        <v>0</v>
      </c>
      <c r="BZ12" s="206">
        <f>'P &amp; NP'!WD489</f>
        <v>0</v>
      </c>
      <c r="CB12" s="737">
        <f t="shared" si="3"/>
        <v>216504</v>
      </c>
      <c r="CC12" s="737">
        <f t="shared" si="4"/>
        <v>9522809</v>
      </c>
    </row>
    <row r="13" spans="1:81">
      <c r="B13" s="207" t="str">
        <f>'P &amp; NP'!B19</f>
        <v xml:space="preserve">Gracilaria verrucosa </v>
      </c>
      <c r="C13" s="209">
        <f>'P &amp; NP'!I490</f>
        <v>0</v>
      </c>
      <c r="D13" s="209">
        <f>'P &amp; NP'!J490</f>
        <v>0</v>
      </c>
      <c r="E13" s="209">
        <f>'P &amp; NP'!Y490</f>
        <v>0</v>
      </c>
      <c r="F13" s="209">
        <f>'P &amp; NP'!Z490</f>
        <v>0</v>
      </c>
      <c r="G13" s="209">
        <f>'P &amp; NP'!AO490</f>
        <v>0</v>
      </c>
      <c r="H13" s="209">
        <f>'P &amp; NP'!AP490</f>
        <v>0</v>
      </c>
      <c r="I13" s="209">
        <f>'P &amp; NP'!BE490</f>
        <v>0</v>
      </c>
      <c r="J13" s="209">
        <f>'P &amp; NP'!BF490</f>
        <v>0</v>
      </c>
      <c r="K13" s="206">
        <f>'P &amp; NP'!BU490</f>
        <v>0</v>
      </c>
      <c r="L13" s="206">
        <f>'P &amp; NP'!BV490</f>
        <v>0</v>
      </c>
      <c r="M13" s="206">
        <f>'P &amp; NP'!CK490</f>
        <v>0</v>
      </c>
      <c r="N13" s="206">
        <f>'P &amp; NP'!CL490</f>
        <v>0</v>
      </c>
      <c r="O13" s="206">
        <f>'P &amp; NP'!DA490</f>
        <v>0</v>
      </c>
      <c r="P13" s="206">
        <f>'P &amp; NP'!DB490</f>
        <v>0</v>
      </c>
      <c r="Q13" s="206">
        <f>'P &amp; NP'!DQ490</f>
        <v>0</v>
      </c>
      <c r="R13" s="206">
        <f>'P &amp; NP'!DR490</f>
        <v>0</v>
      </c>
      <c r="S13" s="206">
        <f>'P &amp; NP'!EG490</f>
        <v>0</v>
      </c>
      <c r="T13" s="206">
        <f>'P &amp; NP'!EH490</f>
        <v>0</v>
      </c>
      <c r="U13" s="206">
        <f>'P &amp; NP'!EW490</f>
        <v>0</v>
      </c>
      <c r="V13" s="206">
        <f>'P &amp; NP'!EX490</f>
        <v>0</v>
      </c>
      <c r="W13" s="206">
        <f>'P &amp; NP'!FM490</f>
        <v>0</v>
      </c>
      <c r="X13" s="206">
        <f>'P &amp; NP'!FN490</f>
        <v>0</v>
      </c>
      <c r="Y13" s="206">
        <f>'P &amp; NP'!GC490</f>
        <v>0</v>
      </c>
      <c r="Z13" s="206">
        <f>'P &amp; NP'!GD490</f>
        <v>0</v>
      </c>
      <c r="AA13" s="206">
        <f>'P &amp; NP'!GS490</f>
        <v>0</v>
      </c>
      <c r="AB13" s="206">
        <f>'P &amp; NP'!GT490</f>
        <v>0</v>
      </c>
      <c r="AC13" s="206">
        <f>'P &amp; NP'!HI490</f>
        <v>0</v>
      </c>
      <c r="AD13" s="206">
        <f>'P &amp; NP'!HJ490</f>
        <v>0</v>
      </c>
      <c r="AE13" s="206">
        <f>'P &amp; NP'!HY490</f>
        <v>0</v>
      </c>
      <c r="AF13" s="206">
        <f>'P &amp; NP'!HZ490</f>
        <v>0</v>
      </c>
      <c r="AG13" s="206">
        <f>'P &amp; NP'!IO490</f>
        <v>0</v>
      </c>
      <c r="AH13" s="206">
        <f>'P &amp; NP'!IP490</f>
        <v>0</v>
      </c>
      <c r="AI13" s="206">
        <f>'P &amp; NP'!JE490</f>
        <v>0</v>
      </c>
      <c r="AJ13" s="206">
        <f>'P &amp; NP'!JF490</f>
        <v>0</v>
      </c>
      <c r="AK13" s="206">
        <f>'P &amp; NP'!JU490</f>
        <v>0</v>
      </c>
      <c r="AL13" s="206">
        <f>'P &amp; NP'!JV490</f>
        <v>0</v>
      </c>
      <c r="AM13" s="206">
        <f>'P &amp; NP'!KK490</f>
        <v>0</v>
      </c>
      <c r="AN13" s="206">
        <f>'P &amp; NP'!KL490</f>
        <v>0</v>
      </c>
      <c r="AO13" s="206">
        <f>'P &amp; NP'!LA490</f>
        <v>0</v>
      </c>
      <c r="AP13" s="206">
        <f>'P &amp; NP'!LB490</f>
        <v>0</v>
      </c>
      <c r="AQ13" s="206">
        <f>'P &amp; NP'!LQ490</f>
        <v>0</v>
      </c>
      <c r="AR13" s="206">
        <f>'P &amp; NP'!LR490</f>
        <v>50</v>
      </c>
      <c r="AS13" s="206">
        <f>'P &amp; NP'!MG490</f>
        <v>0</v>
      </c>
      <c r="AT13" s="206">
        <f>'P &amp; NP'!MH490</f>
        <v>0</v>
      </c>
      <c r="AU13" s="206">
        <f>'P &amp; NP'!MW490</f>
        <v>0</v>
      </c>
      <c r="AV13" s="206">
        <f>'P &amp; NP'!MX490</f>
        <v>0</v>
      </c>
      <c r="AW13" s="206">
        <f>'P &amp; NP'!NM490</f>
        <v>0</v>
      </c>
      <c r="AX13" s="206">
        <f>'P &amp; NP'!NN490</f>
        <v>0</v>
      </c>
      <c r="AY13" s="206">
        <f>'P &amp; NP'!OC490</f>
        <v>0</v>
      </c>
      <c r="AZ13" s="206">
        <f>'P &amp; NP'!OD490</f>
        <v>0</v>
      </c>
      <c r="BA13" s="206">
        <f>'P &amp; NP'!OS490</f>
        <v>0</v>
      </c>
      <c r="BB13" s="206">
        <f>'P &amp; NP'!OT490</f>
        <v>0</v>
      </c>
      <c r="BC13" s="206">
        <f>'P &amp; NP'!PI490</f>
        <v>0</v>
      </c>
      <c r="BD13" s="206">
        <f>'P &amp; NP'!PJ490</f>
        <v>0</v>
      </c>
      <c r="BE13" s="206">
        <f>'P &amp; NP'!PY490</f>
        <v>0</v>
      </c>
      <c r="BF13" s="206">
        <f>'P &amp; NP'!PZ490</f>
        <v>0</v>
      </c>
      <c r="BG13" s="206">
        <f>'P &amp; NP'!QO490</f>
        <v>0</v>
      </c>
      <c r="BH13" s="206">
        <f>'P &amp; NP'!QP490</f>
        <v>0</v>
      </c>
      <c r="BI13" s="206">
        <f>'P &amp; NP'!RE490</f>
        <v>0</v>
      </c>
      <c r="BJ13" s="206">
        <f>'P &amp; NP'!RF490</f>
        <v>0</v>
      </c>
      <c r="BK13" s="206">
        <f>'P &amp; NP'!RU490</f>
        <v>0</v>
      </c>
      <c r="BL13" s="206">
        <f>'P &amp; NP'!RV490</f>
        <v>0</v>
      </c>
      <c r="BM13" s="206">
        <f>'P &amp; NP'!SK490</f>
        <v>0</v>
      </c>
      <c r="BN13" s="206">
        <f>'P &amp; NP'!SL490</f>
        <v>0</v>
      </c>
      <c r="BO13" s="206">
        <f>'P &amp; NP'!TA490</f>
        <v>0</v>
      </c>
      <c r="BP13" s="206">
        <f>'P &amp; NP'!TB490</f>
        <v>0</v>
      </c>
      <c r="BQ13" s="206">
        <f>'P &amp; NP'!TQ490</f>
        <v>0</v>
      </c>
      <c r="BR13" s="206">
        <f>'P &amp; NP'!TR490</f>
        <v>0</v>
      </c>
      <c r="BS13" s="206">
        <f>'P &amp; NP'!UG490</f>
        <v>0</v>
      </c>
      <c r="BT13" s="206">
        <f>'P &amp; NP'!UH490</f>
        <v>0</v>
      </c>
      <c r="BU13" s="206">
        <f>'P &amp; NP'!UW490</f>
        <v>0</v>
      </c>
      <c r="BV13" s="206">
        <f>'P &amp; NP'!UX490</f>
        <v>0</v>
      </c>
      <c r="BW13" s="206">
        <f>'P &amp; NP'!VM490</f>
        <v>0</v>
      </c>
      <c r="BX13" s="206">
        <f>'P &amp; NP'!VN490</f>
        <v>0</v>
      </c>
      <c r="BY13" s="206">
        <f>'P &amp; NP'!WC490</f>
        <v>0</v>
      </c>
      <c r="BZ13" s="206">
        <f>'P &amp; NP'!WD490</f>
        <v>0</v>
      </c>
      <c r="CB13" s="737">
        <f t="shared" si="3"/>
        <v>0</v>
      </c>
      <c r="CC13" s="737">
        <f t="shared" si="4"/>
        <v>50</v>
      </c>
    </row>
    <row r="14" spans="1:81">
      <c r="B14" s="207" t="str">
        <f>'P &amp; NP'!B20</f>
        <v xml:space="preserve">Gurame, Gurami </v>
      </c>
      <c r="C14" s="209">
        <f>'P &amp; NP'!I491</f>
        <v>0</v>
      </c>
      <c r="D14" s="209">
        <f>'P &amp; NP'!J491</f>
        <v>0</v>
      </c>
      <c r="E14" s="209">
        <f>'P &amp; NP'!Y491</f>
        <v>177330</v>
      </c>
      <c r="F14" s="209">
        <f>'P &amp; NP'!Z491</f>
        <v>6206550</v>
      </c>
      <c r="G14" s="209">
        <f>'P &amp; NP'!AO491</f>
        <v>7261500</v>
      </c>
      <c r="H14" s="209">
        <f>'P &amp; NP'!AP491</f>
        <v>209730200</v>
      </c>
      <c r="I14" s="209">
        <f>'P &amp; NP'!BE491</f>
        <v>68631</v>
      </c>
      <c r="J14" s="209">
        <f>'P &amp; NP'!BF491</f>
        <v>2058930</v>
      </c>
      <c r="K14" s="206">
        <f>'P &amp; NP'!BU491</f>
        <v>40918</v>
      </c>
      <c r="L14" s="206">
        <f>'P &amp; NP'!BV491</f>
        <v>1554884</v>
      </c>
      <c r="M14" s="206">
        <f>'P &amp; NP'!CK491</f>
        <v>4398.9264637253982</v>
      </c>
      <c r="N14" s="206">
        <f>'P &amp; NP'!CL491</f>
        <v>117478.722540847</v>
      </c>
      <c r="O14" s="206">
        <f>'P &amp; NP'!DA491</f>
        <v>2809342</v>
      </c>
      <c r="P14" s="206">
        <f>'P &amp; NP'!DB491</f>
        <v>87284868</v>
      </c>
      <c r="Q14" s="206">
        <f>'P &amp; NP'!DQ491</f>
        <v>424900</v>
      </c>
      <c r="R14" s="206">
        <f>'P &amp; NP'!DR491</f>
        <v>12976200</v>
      </c>
      <c r="S14" s="206">
        <f>'P &amp; NP'!EG491</f>
        <v>2576700</v>
      </c>
      <c r="T14" s="206">
        <f>'P &amp; NP'!EH491</f>
        <v>72147600</v>
      </c>
      <c r="U14" s="206">
        <f>'P &amp; NP'!EW491</f>
        <v>0</v>
      </c>
      <c r="V14" s="206">
        <f>'P &amp; NP'!EX491</f>
        <v>0</v>
      </c>
      <c r="W14" s="206">
        <f>'P &amp; NP'!FM491</f>
        <v>794200</v>
      </c>
      <c r="X14" s="206">
        <f>'P &amp; NP'!FN491</f>
        <v>27797000</v>
      </c>
      <c r="Y14" s="206">
        <f>'P &amp; NP'!GC491</f>
        <v>443100</v>
      </c>
      <c r="Z14" s="206">
        <f>'P &amp; NP'!GD491</f>
        <v>12954500</v>
      </c>
      <c r="AA14" s="206">
        <f>'P &amp; NP'!GS491</f>
        <v>80150</v>
      </c>
      <c r="AB14" s="206">
        <f>'P &amp; NP'!GT491</f>
        <v>2275100</v>
      </c>
      <c r="AC14" s="206">
        <f>'P &amp; NP'!HI491</f>
        <v>73000</v>
      </c>
      <c r="AD14" s="206">
        <f>'P &amp; NP'!HJ491</f>
        <v>2250000</v>
      </c>
      <c r="AE14" s="206">
        <f>'P &amp; NP'!HY491</f>
        <v>91200</v>
      </c>
      <c r="AF14" s="206">
        <f>'P &amp; NP'!HZ491</f>
        <v>3128160</v>
      </c>
      <c r="AG14" s="206">
        <f>'P &amp; NP'!IO491</f>
        <v>1110104</v>
      </c>
      <c r="AH14" s="206">
        <f>'P &amp; NP'!IP491</f>
        <v>34358898</v>
      </c>
      <c r="AI14" s="206">
        <f>'P &amp; NP'!JE491</f>
        <v>183130</v>
      </c>
      <c r="AJ14" s="206">
        <f>'P &amp; NP'!JF491</f>
        <v>5493900</v>
      </c>
      <c r="AK14" s="206">
        <f>'P &amp; NP'!JU491</f>
        <v>555</v>
      </c>
      <c r="AL14" s="206">
        <f>'P &amp; NP'!JV491</f>
        <v>19425</v>
      </c>
      <c r="AM14" s="206">
        <f>'P &amp; NP'!KK491</f>
        <v>2066</v>
      </c>
      <c r="AN14" s="206">
        <f>'P &amp; NP'!KL491</f>
        <v>103300</v>
      </c>
      <c r="AO14" s="206">
        <f>'P &amp; NP'!LA491</f>
        <v>150742.07999999999</v>
      </c>
      <c r="AP14" s="206">
        <f>'P &amp; NP'!LB491</f>
        <v>5275968</v>
      </c>
      <c r="AQ14" s="206">
        <f>'P &amp; NP'!LQ491</f>
        <v>320623</v>
      </c>
      <c r="AR14" s="206">
        <f>'P &amp; NP'!LR491</f>
        <v>9545037.5300000012</v>
      </c>
      <c r="AS14" s="206">
        <f>'P &amp; NP'!MG491</f>
        <v>1570</v>
      </c>
      <c r="AT14" s="206">
        <f>'P &amp; NP'!MH491</f>
        <v>42390</v>
      </c>
      <c r="AU14" s="206">
        <f>'P &amp; NP'!MW491</f>
        <v>0</v>
      </c>
      <c r="AV14" s="206">
        <f>'P &amp; NP'!MX491</f>
        <v>0</v>
      </c>
      <c r="AW14" s="206">
        <f>'P &amp; NP'!NM491</f>
        <v>252200</v>
      </c>
      <c r="AX14" s="206">
        <f>'P &amp; NP'!NN491</f>
        <v>7061600</v>
      </c>
      <c r="AY14" s="206">
        <f>'P &amp; NP'!OC491</f>
        <v>2661</v>
      </c>
      <c r="AZ14" s="206">
        <f>'P &amp; NP'!OD491</f>
        <v>104440</v>
      </c>
      <c r="BA14" s="206">
        <f>'P &amp; NP'!OS491</f>
        <v>14987</v>
      </c>
      <c r="BB14" s="206">
        <f>'P &amp; NP'!OT491</f>
        <v>758558</v>
      </c>
      <c r="BC14" s="206">
        <f>'P &amp; NP'!PI491</f>
        <v>276277</v>
      </c>
      <c r="BD14" s="206">
        <f>'P &amp; NP'!PJ491</f>
        <v>6340330</v>
      </c>
      <c r="BE14" s="206">
        <f>'P &amp; NP'!PY491</f>
        <v>149543</v>
      </c>
      <c r="BF14" s="206">
        <f>'P &amp; NP'!PZ491</f>
        <v>7192090</v>
      </c>
      <c r="BG14" s="206">
        <f>'P &amp; NP'!QO491</f>
        <v>21720000</v>
      </c>
      <c r="BH14" s="206">
        <f>'P &amp; NP'!QP491</f>
        <v>548445000</v>
      </c>
      <c r="BI14" s="206">
        <f>'P &amp; NP'!RE491</f>
        <v>0</v>
      </c>
      <c r="BJ14" s="206">
        <f>'P &amp; NP'!RF491</f>
        <v>0</v>
      </c>
      <c r="BK14" s="206">
        <f>'P &amp; NP'!RU491</f>
        <v>48630</v>
      </c>
      <c r="BL14" s="206">
        <f>'P &amp; NP'!RV491</f>
        <v>1286720</v>
      </c>
      <c r="BM14" s="206">
        <f>'P &amp; NP'!SK491</f>
        <v>1500</v>
      </c>
      <c r="BN14" s="206">
        <f>'P &amp; NP'!SL491</f>
        <v>41500</v>
      </c>
      <c r="BO14" s="206">
        <f>'P &amp; NP'!TA491</f>
        <v>59344.979999999996</v>
      </c>
      <c r="BP14" s="206">
        <f>'P &amp; NP'!TB491</f>
        <v>1893684.3699999999</v>
      </c>
      <c r="BQ14" s="206">
        <f>'P &amp; NP'!TQ491</f>
        <v>0</v>
      </c>
      <c r="BR14" s="206">
        <f>'P &amp; NP'!TR491</f>
        <v>0</v>
      </c>
      <c r="BS14" s="206">
        <f>'P &amp; NP'!UG491</f>
        <v>3171</v>
      </c>
      <c r="BT14" s="206">
        <f>'P &amp; NP'!UH491</f>
        <v>95130</v>
      </c>
      <c r="BU14" s="206">
        <f>'P &amp; NP'!UW491</f>
        <v>0</v>
      </c>
      <c r="BV14" s="206">
        <f>'P &amp; NP'!UX491</f>
        <v>0</v>
      </c>
      <c r="BW14" s="206">
        <f>'P &amp; NP'!VM491</f>
        <v>10694</v>
      </c>
      <c r="BX14" s="206">
        <f>'P &amp; NP'!VN491</f>
        <v>392456</v>
      </c>
      <c r="BY14" s="206">
        <f>'P &amp; NP'!WC491</f>
        <v>0</v>
      </c>
      <c r="BZ14" s="206">
        <f>'P &amp; NP'!WD491</f>
        <v>0</v>
      </c>
      <c r="CB14" s="737">
        <f t="shared" si="3"/>
        <v>39153167.986463718</v>
      </c>
      <c r="CC14" s="737">
        <f t="shared" si="4"/>
        <v>1068931897.6225408</v>
      </c>
    </row>
    <row r="15" spans="1:81">
      <c r="B15" s="207" t="str">
        <f>'P &amp; NP'!B21</f>
        <v>Kakap Putih</v>
      </c>
      <c r="C15" s="209">
        <f>'P &amp; NP'!I492</f>
        <v>0</v>
      </c>
      <c r="D15" s="209">
        <f>'P &amp; NP'!J492</f>
        <v>0</v>
      </c>
      <c r="E15" s="209">
        <f>'P &amp; NP'!Y492</f>
        <v>0</v>
      </c>
      <c r="F15" s="209">
        <f>'P &amp; NP'!Z492</f>
        <v>0</v>
      </c>
      <c r="G15" s="209">
        <f>'P &amp; NP'!AO492</f>
        <v>0</v>
      </c>
      <c r="H15" s="209">
        <f>'P &amp; NP'!AP492</f>
        <v>0</v>
      </c>
      <c r="I15" s="209">
        <f>'P &amp; NP'!BE492</f>
        <v>0</v>
      </c>
      <c r="J15" s="209">
        <f>'P &amp; NP'!BF492</f>
        <v>0</v>
      </c>
      <c r="K15" s="206">
        <f>'P &amp; NP'!BU492</f>
        <v>0</v>
      </c>
      <c r="L15" s="206">
        <f>'P &amp; NP'!BV492</f>
        <v>0</v>
      </c>
      <c r="M15" s="206">
        <f>'P &amp; NP'!CK492</f>
        <v>0</v>
      </c>
      <c r="N15" s="206">
        <f>'P &amp; NP'!CL492</f>
        <v>0</v>
      </c>
      <c r="O15" s="206">
        <f>'P &amp; NP'!DA492</f>
        <v>0</v>
      </c>
      <c r="P15" s="206">
        <f>'P &amp; NP'!DB492</f>
        <v>0</v>
      </c>
      <c r="Q15" s="206">
        <f>'P &amp; NP'!DQ492</f>
        <v>0</v>
      </c>
      <c r="R15" s="206">
        <f>'P &amp; NP'!DR492</f>
        <v>0</v>
      </c>
      <c r="S15" s="206">
        <f>'P &amp; NP'!EG492</f>
        <v>0</v>
      </c>
      <c r="T15" s="206">
        <f>'P &amp; NP'!EH492</f>
        <v>0</v>
      </c>
      <c r="U15" s="206">
        <f>'P &amp; NP'!EW492</f>
        <v>0</v>
      </c>
      <c r="V15" s="206">
        <f>'P &amp; NP'!EX492</f>
        <v>0</v>
      </c>
      <c r="W15" s="206">
        <f>'P &amp; NP'!FM492</f>
        <v>0</v>
      </c>
      <c r="X15" s="206">
        <f>'P &amp; NP'!FN492</f>
        <v>0</v>
      </c>
      <c r="Y15" s="206">
        <f>'P &amp; NP'!GC492</f>
        <v>0</v>
      </c>
      <c r="Z15" s="206">
        <f>'P &amp; NP'!GD492</f>
        <v>0</v>
      </c>
      <c r="AA15" s="206">
        <f>'P &amp; NP'!GS492</f>
        <v>0</v>
      </c>
      <c r="AB15" s="206">
        <f>'P &amp; NP'!GT492</f>
        <v>0</v>
      </c>
      <c r="AC15" s="206">
        <f>'P &amp; NP'!HI492</f>
        <v>0</v>
      </c>
      <c r="AD15" s="206">
        <f>'P &amp; NP'!HJ492</f>
        <v>0</v>
      </c>
      <c r="AE15" s="206">
        <f>'P &amp; NP'!HY492</f>
        <v>0</v>
      </c>
      <c r="AF15" s="206">
        <f>'P &amp; NP'!HZ492</f>
        <v>0</v>
      </c>
      <c r="AG15" s="206">
        <f>'P &amp; NP'!IO492</f>
        <v>0</v>
      </c>
      <c r="AH15" s="206">
        <f>'P &amp; NP'!IP492</f>
        <v>0</v>
      </c>
      <c r="AI15" s="206">
        <f>'P &amp; NP'!JE492</f>
        <v>0</v>
      </c>
      <c r="AJ15" s="206">
        <f>'P &amp; NP'!JF492</f>
        <v>0</v>
      </c>
      <c r="AK15" s="206">
        <f>'P &amp; NP'!JU492</f>
        <v>0</v>
      </c>
      <c r="AL15" s="206">
        <f>'P &amp; NP'!JV492</f>
        <v>0</v>
      </c>
      <c r="AM15" s="206">
        <f>'P &amp; NP'!KK492</f>
        <v>0</v>
      </c>
      <c r="AN15" s="206">
        <f>'P &amp; NP'!KL492</f>
        <v>0</v>
      </c>
      <c r="AO15" s="206">
        <f>'P &amp; NP'!LA492</f>
        <v>0</v>
      </c>
      <c r="AP15" s="206">
        <f>'P &amp; NP'!LB492</f>
        <v>0</v>
      </c>
      <c r="AQ15" s="206">
        <f>'P &amp; NP'!LQ492</f>
        <v>0</v>
      </c>
      <c r="AR15" s="206">
        <f>'P &amp; NP'!LR492</f>
        <v>0</v>
      </c>
      <c r="AS15" s="206">
        <f>'P &amp; NP'!MG492</f>
        <v>0</v>
      </c>
      <c r="AT15" s="206">
        <f>'P &amp; NP'!MH492</f>
        <v>0</v>
      </c>
      <c r="AU15" s="206">
        <f>'P &amp; NP'!MW492</f>
        <v>0</v>
      </c>
      <c r="AV15" s="206">
        <f>'P &amp; NP'!MX492</f>
        <v>0</v>
      </c>
      <c r="AW15" s="206">
        <f>'P &amp; NP'!NM492</f>
        <v>0</v>
      </c>
      <c r="AX15" s="206">
        <f>'P &amp; NP'!NN492</f>
        <v>0</v>
      </c>
      <c r="AY15" s="206">
        <f>'P &amp; NP'!OC492</f>
        <v>0</v>
      </c>
      <c r="AZ15" s="206">
        <f>'P &amp; NP'!OD492</f>
        <v>0</v>
      </c>
      <c r="BA15" s="206">
        <f>'P &amp; NP'!OS492</f>
        <v>0</v>
      </c>
      <c r="BB15" s="206">
        <f>'P &amp; NP'!OT492</f>
        <v>0</v>
      </c>
      <c r="BC15" s="206">
        <f>'P &amp; NP'!PI492</f>
        <v>0</v>
      </c>
      <c r="BD15" s="206">
        <f>'P &amp; NP'!PJ492</f>
        <v>0</v>
      </c>
      <c r="BE15" s="206">
        <f>'P &amp; NP'!PY492</f>
        <v>0</v>
      </c>
      <c r="BF15" s="206">
        <f>'P &amp; NP'!PZ492</f>
        <v>0</v>
      </c>
      <c r="BG15" s="206">
        <f>'P &amp; NP'!QO492</f>
        <v>0</v>
      </c>
      <c r="BH15" s="206">
        <f>'P &amp; NP'!QP492</f>
        <v>0</v>
      </c>
      <c r="BI15" s="206">
        <f>'P &amp; NP'!RE492</f>
        <v>0</v>
      </c>
      <c r="BJ15" s="206">
        <f>'P &amp; NP'!RF492</f>
        <v>0</v>
      </c>
      <c r="BK15" s="206">
        <f>'P &amp; NP'!RU492</f>
        <v>0</v>
      </c>
      <c r="BL15" s="206">
        <f>'P &amp; NP'!RV492</f>
        <v>0</v>
      </c>
      <c r="BM15" s="206">
        <f>'P &amp; NP'!SK492</f>
        <v>0</v>
      </c>
      <c r="BN15" s="206">
        <f>'P &amp; NP'!SL492</f>
        <v>0</v>
      </c>
      <c r="BO15" s="206">
        <f>'P &amp; NP'!TA492</f>
        <v>0</v>
      </c>
      <c r="BP15" s="206">
        <f>'P &amp; NP'!TB492</f>
        <v>0</v>
      </c>
      <c r="BQ15" s="206">
        <f>'P &amp; NP'!TQ492</f>
        <v>0</v>
      </c>
      <c r="BR15" s="206">
        <f>'P &amp; NP'!TR492</f>
        <v>0</v>
      </c>
      <c r="BS15" s="206">
        <f>'P &amp; NP'!UG492</f>
        <v>0</v>
      </c>
      <c r="BT15" s="206">
        <f>'P &amp; NP'!UH492</f>
        <v>0</v>
      </c>
      <c r="BU15" s="206">
        <f>'P &amp; NP'!UW492</f>
        <v>0</v>
      </c>
      <c r="BV15" s="206">
        <f>'P &amp; NP'!UX492</f>
        <v>0</v>
      </c>
      <c r="BW15" s="206">
        <f>'P &amp; NP'!VM492</f>
        <v>0</v>
      </c>
      <c r="BX15" s="206">
        <f>'P &amp; NP'!VN492</f>
        <v>0</v>
      </c>
      <c r="BY15" s="206">
        <f>'P &amp; NP'!WC492</f>
        <v>0</v>
      </c>
      <c r="BZ15" s="206">
        <f>'P &amp; NP'!WD492</f>
        <v>0</v>
      </c>
      <c r="CB15" s="737">
        <f t="shared" si="3"/>
        <v>0</v>
      </c>
      <c r="CC15" s="737">
        <f t="shared" si="4"/>
        <v>0</v>
      </c>
    </row>
    <row r="16" spans="1:81">
      <c r="B16" s="207" t="str">
        <f>'P &amp; NP'!B22</f>
        <v>Kepiting  Bakau</v>
      </c>
      <c r="C16" s="209">
        <f>'P &amp; NP'!I493</f>
        <v>0</v>
      </c>
      <c r="D16" s="209">
        <f>'P &amp; NP'!J493</f>
        <v>0</v>
      </c>
      <c r="E16" s="209">
        <f>'P &amp; NP'!Y493</f>
        <v>0</v>
      </c>
      <c r="F16" s="209">
        <f>'P &amp; NP'!Z493</f>
        <v>0</v>
      </c>
      <c r="G16" s="209">
        <f>'P &amp; NP'!AO493</f>
        <v>0</v>
      </c>
      <c r="H16" s="209">
        <f>'P &amp; NP'!AP493</f>
        <v>0</v>
      </c>
      <c r="I16" s="209">
        <f>'P &amp; NP'!BE493</f>
        <v>0</v>
      </c>
      <c r="J16" s="209">
        <f>'P &amp; NP'!BF493</f>
        <v>0</v>
      </c>
      <c r="K16" s="206">
        <f>'P &amp; NP'!BU493</f>
        <v>0</v>
      </c>
      <c r="L16" s="206">
        <f>'P &amp; NP'!BV493</f>
        <v>0</v>
      </c>
      <c r="M16" s="206">
        <f>'P &amp; NP'!CK493</f>
        <v>0</v>
      </c>
      <c r="N16" s="206">
        <f>'P &amp; NP'!CL493</f>
        <v>0</v>
      </c>
      <c r="O16" s="206">
        <f>'P &amp; NP'!DA493</f>
        <v>0</v>
      </c>
      <c r="P16" s="206">
        <f>'P &amp; NP'!DB493</f>
        <v>0</v>
      </c>
      <c r="Q16" s="206">
        <f>'P &amp; NP'!DQ493</f>
        <v>0</v>
      </c>
      <c r="R16" s="206">
        <f>'P &amp; NP'!DR493</f>
        <v>0</v>
      </c>
      <c r="S16" s="206">
        <f>'P &amp; NP'!EG493</f>
        <v>0</v>
      </c>
      <c r="T16" s="206">
        <f>'P &amp; NP'!EH493</f>
        <v>0</v>
      </c>
      <c r="U16" s="206">
        <f>'P &amp; NP'!EW493</f>
        <v>0</v>
      </c>
      <c r="V16" s="206">
        <f>'P &amp; NP'!EX493</f>
        <v>0</v>
      </c>
      <c r="W16" s="206">
        <f>'P &amp; NP'!FM493</f>
        <v>0</v>
      </c>
      <c r="X16" s="206">
        <f>'P &amp; NP'!FN493</f>
        <v>0</v>
      </c>
      <c r="Y16" s="206">
        <f>'P &amp; NP'!GC493</f>
        <v>0</v>
      </c>
      <c r="Z16" s="206">
        <f>'P &amp; NP'!GD493</f>
        <v>0</v>
      </c>
      <c r="AA16" s="206">
        <f>'P &amp; NP'!GS493</f>
        <v>0</v>
      </c>
      <c r="AB16" s="206">
        <f>'P &amp; NP'!GT493</f>
        <v>0</v>
      </c>
      <c r="AC16" s="206">
        <f>'P &amp; NP'!HI493</f>
        <v>0</v>
      </c>
      <c r="AD16" s="206">
        <f>'P &amp; NP'!HJ493</f>
        <v>0</v>
      </c>
      <c r="AE16" s="206">
        <f>'P &amp; NP'!HY493</f>
        <v>0</v>
      </c>
      <c r="AF16" s="206">
        <f>'P &amp; NP'!HZ493</f>
        <v>0</v>
      </c>
      <c r="AG16" s="206">
        <f>'P &amp; NP'!IO493</f>
        <v>0</v>
      </c>
      <c r="AH16" s="206">
        <f>'P &amp; NP'!IP493</f>
        <v>0</v>
      </c>
      <c r="AI16" s="206">
        <f>'P &amp; NP'!JE493</f>
        <v>0</v>
      </c>
      <c r="AJ16" s="206">
        <f>'P &amp; NP'!JF493</f>
        <v>0</v>
      </c>
      <c r="AK16" s="206">
        <f>'P &amp; NP'!JU493</f>
        <v>0</v>
      </c>
      <c r="AL16" s="206">
        <f>'P &amp; NP'!JV493</f>
        <v>0</v>
      </c>
      <c r="AM16" s="206">
        <f>'P &amp; NP'!KK493</f>
        <v>0</v>
      </c>
      <c r="AN16" s="206">
        <f>'P &amp; NP'!KL493</f>
        <v>0</v>
      </c>
      <c r="AO16" s="206">
        <f>'P &amp; NP'!LA493</f>
        <v>0</v>
      </c>
      <c r="AP16" s="206">
        <f>'P &amp; NP'!LB493</f>
        <v>0</v>
      </c>
      <c r="AQ16" s="206">
        <f>'P &amp; NP'!LQ493</f>
        <v>0</v>
      </c>
      <c r="AR16" s="206">
        <f>'P &amp; NP'!LR493</f>
        <v>0</v>
      </c>
      <c r="AS16" s="206">
        <f>'P &amp; NP'!MG493</f>
        <v>0</v>
      </c>
      <c r="AT16" s="206">
        <f>'P &amp; NP'!MH493</f>
        <v>0</v>
      </c>
      <c r="AU16" s="206">
        <f>'P &amp; NP'!MW493</f>
        <v>0</v>
      </c>
      <c r="AV16" s="206">
        <f>'P &amp; NP'!MX493</f>
        <v>0</v>
      </c>
      <c r="AW16" s="206">
        <f>'P &amp; NP'!NM493</f>
        <v>0</v>
      </c>
      <c r="AX16" s="206">
        <f>'P &amp; NP'!NN493</f>
        <v>0</v>
      </c>
      <c r="AY16" s="206">
        <f>'P &amp; NP'!OC493</f>
        <v>0</v>
      </c>
      <c r="AZ16" s="206">
        <f>'P &amp; NP'!OD493</f>
        <v>0</v>
      </c>
      <c r="BA16" s="206">
        <f>'P &amp; NP'!OS493</f>
        <v>0</v>
      </c>
      <c r="BB16" s="206">
        <f>'P &amp; NP'!OT493</f>
        <v>0</v>
      </c>
      <c r="BC16" s="206">
        <f>'P &amp; NP'!PI493</f>
        <v>0</v>
      </c>
      <c r="BD16" s="206">
        <f>'P &amp; NP'!PJ493</f>
        <v>0</v>
      </c>
      <c r="BE16" s="206">
        <f>'P &amp; NP'!PY493</f>
        <v>0</v>
      </c>
      <c r="BF16" s="206">
        <f>'P &amp; NP'!PZ493</f>
        <v>0</v>
      </c>
      <c r="BG16" s="206">
        <f>'P &amp; NP'!QO493</f>
        <v>0</v>
      </c>
      <c r="BH16" s="206">
        <f>'P &amp; NP'!QP493</f>
        <v>0</v>
      </c>
      <c r="BI16" s="206">
        <f>'P &amp; NP'!RE493</f>
        <v>0</v>
      </c>
      <c r="BJ16" s="206">
        <f>'P &amp; NP'!RF493</f>
        <v>0</v>
      </c>
      <c r="BK16" s="206">
        <f>'P &amp; NP'!RU493</f>
        <v>0</v>
      </c>
      <c r="BL16" s="206">
        <f>'P &amp; NP'!RV493</f>
        <v>0</v>
      </c>
      <c r="BM16" s="206">
        <f>'P &amp; NP'!SK493</f>
        <v>0</v>
      </c>
      <c r="BN16" s="206">
        <f>'P &amp; NP'!SL493</f>
        <v>0</v>
      </c>
      <c r="BO16" s="206">
        <f>'P &amp; NP'!TA493</f>
        <v>0</v>
      </c>
      <c r="BP16" s="206">
        <f>'P &amp; NP'!TB493</f>
        <v>0</v>
      </c>
      <c r="BQ16" s="206">
        <f>'P &amp; NP'!TQ493</f>
        <v>0</v>
      </c>
      <c r="BR16" s="206">
        <f>'P &amp; NP'!TR493</f>
        <v>0</v>
      </c>
      <c r="BS16" s="206">
        <f>'P &amp; NP'!UG493</f>
        <v>0</v>
      </c>
      <c r="BT16" s="206">
        <f>'P &amp; NP'!UH493</f>
        <v>0</v>
      </c>
      <c r="BU16" s="206">
        <f>'P &amp; NP'!UW493</f>
        <v>0</v>
      </c>
      <c r="BV16" s="206">
        <f>'P &amp; NP'!UX493</f>
        <v>0</v>
      </c>
      <c r="BW16" s="206">
        <f>'P &amp; NP'!VM493</f>
        <v>0</v>
      </c>
      <c r="BX16" s="206">
        <f>'P &amp; NP'!VN493</f>
        <v>0</v>
      </c>
      <c r="BY16" s="206">
        <f>'P &amp; NP'!WC493</f>
        <v>0</v>
      </c>
      <c r="BZ16" s="206">
        <f>'P &amp; NP'!WD493</f>
        <v>0</v>
      </c>
      <c r="CB16" s="737">
        <f t="shared" si="3"/>
        <v>0</v>
      </c>
      <c r="CC16" s="737">
        <f t="shared" si="4"/>
        <v>0</v>
      </c>
    </row>
    <row r="17" spans="2:81">
      <c r="B17" s="207" t="str">
        <f>'P &amp; NP'!B23</f>
        <v xml:space="preserve">Kerang Hijau </v>
      </c>
      <c r="C17" s="209">
        <f>'P &amp; NP'!I494</f>
        <v>0</v>
      </c>
      <c r="D17" s="209">
        <f>'P &amp; NP'!J494</f>
        <v>0</v>
      </c>
      <c r="E17" s="209">
        <f>'P &amp; NP'!Y494</f>
        <v>0</v>
      </c>
      <c r="F17" s="209">
        <f>'P &amp; NP'!Z494</f>
        <v>0</v>
      </c>
      <c r="G17" s="209">
        <f>'P &amp; NP'!AO494</f>
        <v>0</v>
      </c>
      <c r="H17" s="209">
        <f>'P &amp; NP'!AP494</f>
        <v>0</v>
      </c>
      <c r="I17" s="209">
        <f>'P &amp; NP'!BE494</f>
        <v>0</v>
      </c>
      <c r="J17" s="209">
        <f>'P &amp; NP'!BF494</f>
        <v>0</v>
      </c>
      <c r="K17" s="206">
        <f>'P &amp; NP'!BU494</f>
        <v>0</v>
      </c>
      <c r="L17" s="206">
        <f>'P &amp; NP'!BV494</f>
        <v>0</v>
      </c>
      <c r="M17" s="206">
        <f>'P &amp; NP'!CK494</f>
        <v>0</v>
      </c>
      <c r="N17" s="206">
        <f>'P &amp; NP'!CL494</f>
        <v>0</v>
      </c>
      <c r="O17" s="206">
        <f>'P &amp; NP'!DA494</f>
        <v>0</v>
      </c>
      <c r="P17" s="206">
        <f>'P &amp; NP'!DB494</f>
        <v>0</v>
      </c>
      <c r="Q17" s="206">
        <f>'P &amp; NP'!DQ494</f>
        <v>0</v>
      </c>
      <c r="R17" s="206">
        <f>'P &amp; NP'!DR494</f>
        <v>0</v>
      </c>
      <c r="S17" s="206">
        <f>'P &amp; NP'!EG494</f>
        <v>0</v>
      </c>
      <c r="T17" s="206">
        <f>'P &amp; NP'!EH494</f>
        <v>0</v>
      </c>
      <c r="U17" s="206">
        <f>'P &amp; NP'!EW494</f>
        <v>0</v>
      </c>
      <c r="V17" s="206">
        <f>'P &amp; NP'!EX494</f>
        <v>0</v>
      </c>
      <c r="W17" s="206">
        <f>'P &amp; NP'!FM494</f>
        <v>0</v>
      </c>
      <c r="X17" s="206">
        <f>'P &amp; NP'!FN494</f>
        <v>0</v>
      </c>
      <c r="Y17" s="206">
        <f>'P &amp; NP'!GC494</f>
        <v>0</v>
      </c>
      <c r="Z17" s="206">
        <f>'P &amp; NP'!GD494</f>
        <v>0</v>
      </c>
      <c r="AA17" s="206">
        <f>'P &amp; NP'!GS494</f>
        <v>0</v>
      </c>
      <c r="AB17" s="206">
        <f>'P &amp; NP'!GT494</f>
        <v>0</v>
      </c>
      <c r="AC17" s="206">
        <f>'P &amp; NP'!HI494</f>
        <v>0</v>
      </c>
      <c r="AD17" s="206">
        <f>'P &amp; NP'!HJ494</f>
        <v>0</v>
      </c>
      <c r="AE17" s="206">
        <f>'P &amp; NP'!HY494</f>
        <v>0</v>
      </c>
      <c r="AF17" s="206">
        <f>'P &amp; NP'!HZ494</f>
        <v>0</v>
      </c>
      <c r="AG17" s="206">
        <f>'P &amp; NP'!IO494</f>
        <v>0</v>
      </c>
      <c r="AH17" s="206">
        <f>'P &amp; NP'!IP494</f>
        <v>0</v>
      </c>
      <c r="AI17" s="206">
        <f>'P &amp; NP'!JE494</f>
        <v>0</v>
      </c>
      <c r="AJ17" s="206">
        <f>'P &amp; NP'!JF494</f>
        <v>0</v>
      </c>
      <c r="AK17" s="206">
        <f>'P &amp; NP'!JU494</f>
        <v>0</v>
      </c>
      <c r="AL17" s="206">
        <f>'P &amp; NP'!JV494</f>
        <v>0</v>
      </c>
      <c r="AM17" s="206">
        <f>'P &amp; NP'!KK494</f>
        <v>0</v>
      </c>
      <c r="AN17" s="206">
        <f>'P &amp; NP'!KL494</f>
        <v>0</v>
      </c>
      <c r="AO17" s="206">
        <f>'P &amp; NP'!LA494</f>
        <v>0</v>
      </c>
      <c r="AP17" s="206">
        <f>'P &amp; NP'!LB494</f>
        <v>0</v>
      </c>
      <c r="AQ17" s="206">
        <f>'P &amp; NP'!LQ494</f>
        <v>0</v>
      </c>
      <c r="AR17" s="206">
        <f>'P &amp; NP'!LR494</f>
        <v>0</v>
      </c>
      <c r="AS17" s="206">
        <f>'P &amp; NP'!MG494</f>
        <v>0</v>
      </c>
      <c r="AT17" s="206">
        <f>'P &amp; NP'!MH494</f>
        <v>0</v>
      </c>
      <c r="AU17" s="206">
        <f>'P &amp; NP'!MW494</f>
        <v>0</v>
      </c>
      <c r="AV17" s="206">
        <f>'P &amp; NP'!MX494</f>
        <v>0</v>
      </c>
      <c r="AW17" s="206">
        <f>'P &amp; NP'!NM494</f>
        <v>0</v>
      </c>
      <c r="AX17" s="206">
        <f>'P &amp; NP'!NN494</f>
        <v>0</v>
      </c>
      <c r="AY17" s="206">
        <f>'P &amp; NP'!OC494</f>
        <v>0</v>
      </c>
      <c r="AZ17" s="206">
        <f>'P &amp; NP'!OD494</f>
        <v>0</v>
      </c>
      <c r="BA17" s="206">
        <f>'P &amp; NP'!OS494</f>
        <v>0</v>
      </c>
      <c r="BB17" s="206">
        <f>'P &amp; NP'!OT494</f>
        <v>0</v>
      </c>
      <c r="BC17" s="206">
        <f>'P &amp; NP'!PI494</f>
        <v>0</v>
      </c>
      <c r="BD17" s="206">
        <f>'P &amp; NP'!PJ494</f>
        <v>0</v>
      </c>
      <c r="BE17" s="206">
        <f>'P &amp; NP'!PY494</f>
        <v>0</v>
      </c>
      <c r="BF17" s="206">
        <f>'P &amp; NP'!PZ494</f>
        <v>0</v>
      </c>
      <c r="BG17" s="206">
        <f>'P &amp; NP'!QO494</f>
        <v>0</v>
      </c>
      <c r="BH17" s="206">
        <f>'P &amp; NP'!QP494</f>
        <v>0</v>
      </c>
      <c r="BI17" s="206">
        <f>'P &amp; NP'!RE494</f>
        <v>0</v>
      </c>
      <c r="BJ17" s="206">
        <f>'P &amp; NP'!RF494</f>
        <v>0</v>
      </c>
      <c r="BK17" s="206">
        <f>'P &amp; NP'!RU494</f>
        <v>0</v>
      </c>
      <c r="BL17" s="206">
        <f>'P &amp; NP'!RV494</f>
        <v>0</v>
      </c>
      <c r="BM17" s="206">
        <f>'P &amp; NP'!SK494</f>
        <v>0</v>
      </c>
      <c r="BN17" s="206">
        <f>'P &amp; NP'!SL494</f>
        <v>0</v>
      </c>
      <c r="BO17" s="206">
        <f>'P &amp; NP'!TA494</f>
        <v>0</v>
      </c>
      <c r="BP17" s="206">
        <f>'P &amp; NP'!TB494</f>
        <v>0</v>
      </c>
      <c r="BQ17" s="206">
        <f>'P &amp; NP'!TQ494</f>
        <v>0</v>
      </c>
      <c r="BR17" s="206">
        <f>'P &amp; NP'!TR494</f>
        <v>0</v>
      </c>
      <c r="BS17" s="206">
        <f>'P &amp; NP'!UG494</f>
        <v>0</v>
      </c>
      <c r="BT17" s="206">
        <f>'P &amp; NP'!UH494</f>
        <v>0</v>
      </c>
      <c r="BU17" s="206">
        <f>'P &amp; NP'!UW494</f>
        <v>0</v>
      </c>
      <c r="BV17" s="206">
        <f>'P &amp; NP'!UX494</f>
        <v>0</v>
      </c>
      <c r="BW17" s="206">
        <f>'P &amp; NP'!VM494</f>
        <v>0</v>
      </c>
      <c r="BX17" s="206">
        <f>'P &amp; NP'!VN494</f>
        <v>0</v>
      </c>
      <c r="BY17" s="206">
        <f>'P &amp; NP'!WC494</f>
        <v>0</v>
      </c>
      <c r="BZ17" s="206">
        <f>'P &amp; NP'!WD494</f>
        <v>0</v>
      </c>
      <c r="CB17" s="737">
        <f t="shared" si="3"/>
        <v>0</v>
      </c>
      <c r="CC17" s="737">
        <f t="shared" si="4"/>
        <v>0</v>
      </c>
    </row>
    <row r="18" spans="2:81">
      <c r="B18" s="207" t="str">
        <f>'P &amp; NP'!B24</f>
        <v>Kerapu Cantang</v>
      </c>
      <c r="C18" s="209">
        <f>'P &amp; NP'!I495</f>
        <v>0</v>
      </c>
      <c r="D18" s="209">
        <f>'P &amp; NP'!J495</f>
        <v>0</v>
      </c>
      <c r="E18" s="209">
        <f>'P &amp; NP'!Y495</f>
        <v>0</v>
      </c>
      <c r="F18" s="209">
        <f>'P &amp; NP'!Z495</f>
        <v>0</v>
      </c>
      <c r="G18" s="209">
        <f>'P &amp; NP'!AO495</f>
        <v>0</v>
      </c>
      <c r="H18" s="209">
        <f>'P &amp; NP'!AP495</f>
        <v>0</v>
      </c>
      <c r="I18" s="209">
        <f>'P &amp; NP'!BE495</f>
        <v>0</v>
      </c>
      <c r="J18" s="209">
        <f>'P &amp; NP'!BF495</f>
        <v>0</v>
      </c>
      <c r="K18" s="206">
        <f>'P &amp; NP'!BU495</f>
        <v>0</v>
      </c>
      <c r="L18" s="206">
        <f>'P &amp; NP'!BV495</f>
        <v>0</v>
      </c>
      <c r="M18" s="206">
        <f>'P &amp; NP'!CK495</f>
        <v>0</v>
      </c>
      <c r="N18" s="206">
        <f>'P &amp; NP'!CL495</f>
        <v>0</v>
      </c>
      <c r="O18" s="206">
        <f>'P &amp; NP'!DA495</f>
        <v>0</v>
      </c>
      <c r="P18" s="206">
        <f>'P &amp; NP'!DB495</f>
        <v>0</v>
      </c>
      <c r="Q18" s="206">
        <f>'P &amp; NP'!DQ495</f>
        <v>0</v>
      </c>
      <c r="R18" s="206">
        <f>'P &amp; NP'!DR495</f>
        <v>0</v>
      </c>
      <c r="S18" s="206">
        <f>'P &amp; NP'!EG495</f>
        <v>0</v>
      </c>
      <c r="T18" s="206">
        <f>'P &amp; NP'!EH495</f>
        <v>0</v>
      </c>
      <c r="U18" s="206">
        <f>'P &amp; NP'!EW495</f>
        <v>0</v>
      </c>
      <c r="V18" s="206">
        <f>'P &amp; NP'!EX495</f>
        <v>0</v>
      </c>
      <c r="W18" s="206">
        <f>'P &amp; NP'!FM495</f>
        <v>0</v>
      </c>
      <c r="X18" s="206">
        <f>'P &amp; NP'!FN495</f>
        <v>0</v>
      </c>
      <c r="Y18" s="206">
        <f>'P &amp; NP'!GC495</f>
        <v>0</v>
      </c>
      <c r="Z18" s="206">
        <f>'P &amp; NP'!GD495</f>
        <v>0</v>
      </c>
      <c r="AA18" s="206">
        <f>'P &amp; NP'!GS495</f>
        <v>0</v>
      </c>
      <c r="AB18" s="206">
        <f>'P &amp; NP'!GT495</f>
        <v>0</v>
      </c>
      <c r="AC18" s="206">
        <f>'P &amp; NP'!HI495</f>
        <v>0</v>
      </c>
      <c r="AD18" s="206">
        <f>'P &amp; NP'!HJ495</f>
        <v>0</v>
      </c>
      <c r="AE18" s="206">
        <f>'P &amp; NP'!HY495</f>
        <v>0</v>
      </c>
      <c r="AF18" s="206">
        <f>'P &amp; NP'!HZ495</f>
        <v>0</v>
      </c>
      <c r="AG18" s="206">
        <f>'P &amp; NP'!IO495</f>
        <v>0</v>
      </c>
      <c r="AH18" s="206">
        <f>'P &amp; NP'!IP495</f>
        <v>0</v>
      </c>
      <c r="AI18" s="206">
        <f>'P &amp; NP'!JE495</f>
        <v>0</v>
      </c>
      <c r="AJ18" s="206">
        <f>'P &amp; NP'!JF495</f>
        <v>0</v>
      </c>
      <c r="AK18" s="206">
        <f>'P &amp; NP'!JU495</f>
        <v>0</v>
      </c>
      <c r="AL18" s="206">
        <f>'P &amp; NP'!JV495</f>
        <v>0</v>
      </c>
      <c r="AM18" s="206">
        <f>'P &amp; NP'!KK495</f>
        <v>0</v>
      </c>
      <c r="AN18" s="206">
        <f>'P &amp; NP'!KL495</f>
        <v>0</v>
      </c>
      <c r="AO18" s="206">
        <f>'P &amp; NP'!LA495</f>
        <v>0</v>
      </c>
      <c r="AP18" s="206">
        <f>'P &amp; NP'!LB495</f>
        <v>0</v>
      </c>
      <c r="AQ18" s="206">
        <f>'P &amp; NP'!LQ495</f>
        <v>0</v>
      </c>
      <c r="AR18" s="206">
        <f>'P &amp; NP'!LR495</f>
        <v>0</v>
      </c>
      <c r="AS18" s="206">
        <f>'P &amp; NP'!MG495</f>
        <v>0</v>
      </c>
      <c r="AT18" s="206">
        <f>'P &amp; NP'!MH495</f>
        <v>0</v>
      </c>
      <c r="AU18" s="206">
        <f>'P &amp; NP'!MW495</f>
        <v>0</v>
      </c>
      <c r="AV18" s="206">
        <f>'P &amp; NP'!MX495</f>
        <v>0</v>
      </c>
      <c r="AW18" s="206">
        <f>'P &amp; NP'!NM495</f>
        <v>0</v>
      </c>
      <c r="AX18" s="206">
        <f>'P &amp; NP'!NN495</f>
        <v>0</v>
      </c>
      <c r="AY18" s="206">
        <f>'P &amp; NP'!OC495</f>
        <v>0</v>
      </c>
      <c r="AZ18" s="206">
        <f>'P &amp; NP'!OD495</f>
        <v>0</v>
      </c>
      <c r="BA18" s="206">
        <f>'P &amp; NP'!OS495</f>
        <v>0</v>
      </c>
      <c r="BB18" s="206">
        <f>'P &amp; NP'!OT495</f>
        <v>0</v>
      </c>
      <c r="BC18" s="206">
        <f>'P &amp; NP'!PI495</f>
        <v>0</v>
      </c>
      <c r="BD18" s="206">
        <f>'P &amp; NP'!PJ495</f>
        <v>0</v>
      </c>
      <c r="BE18" s="206">
        <f>'P &amp; NP'!PY495</f>
        <v>0</v>
      </c>
      <c r="BF18" s="206">
        <f>'P &amp; NP'!PZ495</f>
        <v>0</v>
      </c>
      <c r="BG18" s="206">
        <f>'P &amp; NP'!QO495</f>
        <v>0</v>
      </c>
      <c r="BH18" s="206">
        <f>'P &amp; NP'!QP495</f>
        <v>0</v>
      </c>
      <c r="BI18" s="206">
        <f>'P &amp; NP'!RE495</f>
        <v>0</v>
      </c>
      <c r="BJ18" s="206">
        <f>'P &amp; NP'!RF495</f>
        <v>0</v>
      </c>
      <c r="BK18" s="206">
        <f>'P &amp; NP'!RU495</f>
        <v>0</v>
      </c>
      <c r="BL18" s="206">
        <f>'P &amp; NP'!RV495</f>
        <v>0</v>
      </c>
      <c r="BM18" s="206">
        <f>'P &amp; NP'!SK495</f>
        <v>0</v>
      </c>
      <c r="BN18" s="206">
        <f>'P &amp; NP'!SL495</f>
        <v>0</v>
      </c>
      <c r="BO18" s="206">
        <f>'P &amp; NP'!TA495</f>
        <v>0</v>
      </c>
      <c r="BP18" s="206">
        <f>'P &amp; NP'!TB495</f>
        <v>0</v>
      </c>
      <c r="BQ18" s="206">
        <f>'P &amp; NP'!TQ495</f>
        <v>0</v>
      </c>
      <c r="BR18" s="206">
        <f>'P &amp; NP'!TR495</f>
        <v>0</v>
      </c>
      <c r="BS18" s="206">
        <f>'P &amp; NP'!UG495</f>
        <v>0</v>
      </c>
      <c r="BT18" s="206">
        <f>'P &amp; NP'!UH495</f>
        <v>0</v>
      </c>
      <c r="BU18" s="206">
        <f>'P &amp; NP'!UW495</f>
        <v>0</v>
      </c>
      <c r="BV18" s="206">
        <f>'P &amp; NP'!UX495</f>
        <v>0</v>
      </c>
      <c r="BW18" s="206">
        <f>'P &amp; NP'!VM495</f>
        <v>0</v>
      </c>
      <c r="BX18" s="206">
        <f>'P &amp; NP'!VN495</f>
        <v>0</v>
      </c>
      <c r="BY18" s="206">
        <f>'P &amp; NP'!WC495</f>
        <v>0</v>
      </c>
      <c r="BZ18" s="206">
        <f>'P &amp; NP'!WD495</f>
        <v>0</v>
      </c>
      <c r="CB18" s="737">
        <f t="shared" si="3"/>
        <v>0</v>
      </c>
      <c r="CC18" s="737">
        <f t="shared" si="4"/>
        <v>0</v>
      </c>
    </row>
    <row r="19" spans="2:81">
      <c r="B19" s="207" t="str">
        <f>'P &amp; NP'!B25</f>
        <v>Kerapu Macan</v>
      </c>
      <c r="C19" s="209">
        <f>'P &amp; NP'!I496</f>
        <v>0</v>
      </c>
      <c r="D19" s="209">
        <f>'P &amp; NP'!J496</f>
        <v>0</v>
      </c>
      <c r="E19" s="209">
        <f>'P &amp; NP'!Y496</f>
        <v>0</v>
      </c>
      <c r="F19" s="209">
        <f>'P &amp; NP'!Z496</f>
        <v>0</v>
      </c>
      <c r="G19" s="209">
        <f>'P &amp; NP'!AO496</f>
        <v>0</v>
      </c>
      <c r="H19" s="209">
        <f>'P &amp; NP'!AP496</f>
        <v>0</v>
      </c>
      <c r="I19" s="209">
        <f>'P &amp; NP'!BE496</f>
        <v>0</v>
      </c>
      <c r="J19" s="209">
        <f>'P &amp; NP'!BF496</f>
        <v>0</v>
      </c>
      <c r="K19" s="206">
        <f>'P &amp; NP'!BU496</f>
        <v>0</v>
      </c>
      <c r="L19" s="206">
        <f>'P &amp; NP'!BV496</f>
        <v>0</v>
      </c>
      <c r="M19" s="206">
        <f>'P &amp; NP'!CK496</f>
        <v>0</v>
      </c>
      <c r="N19" s="206">
        <f>'P &amp; NP'!CL496</f>
        <v>0</v>
      </c>
      <c r="O19" s="206">
        <f>'P &amp; NP'!DA496</f>
        <v>0</v>
      </c>
      <c r="P19" s="206">
        <f>'P &amp; NP'!DB496</f>
        <v>0</v>
      </c>
      <c r="Q19" s="206">
        <f>'P &amp; NP'!DQ496</f>
        <v>0</v>
      </c>
      <c r="R19" s="206">
        <f>'P &amp; NP'!DR496</f>
        <v>0</v>
      </c>
      <c r="S19" s="206">
        <f>'P &amp; NP'!EG496</f>
        <v>0</v>
      </c>
      <c r="T19" s="206">
        <f>'P &amp; NP'!EH496</f>
        <v>0</v>
      </c>
      <c r="U19" s="206">
        <f>'P &amp; NP'!EW496</f>
        <v>0</v>
      </c>
      <c r="V19" s="206">
        <f>'P &amp; NP'!EX496</f>
        <v>0</v>
      </c>
      <c r="W19" s="206">
        <f>'P &amp; NP'!FM496</f>
        <v>0</v>
      </c>
      <c r="X19" s="206">
        <f>'P &amp; NP'!FN496</f>
        <v>0</v>
      </c>
      <c r="Y19" s="206">
        <f>'P &amp; NP'!GC496</f>
        <v>0</v>
      </c>
      <c r="Z19" s="206">
        <f>'P &amp; NP'!GD496</f>
        <v>0</v>
      </c>
      <c r="AA19" s="206">
        <f>'P &amp; NP'!GS496</f>
        <v>0</v>
      </c>
      <c r="AB19" s="206">
        <f>'P &amp; NP'!GT496</f>
        <v>0</v>
      </c>
      <c r="AC19" s="206">
        <f>'P &amp; NP'!HI496</f>
        <v>0</v>
      </c>
      <c r="AD19" s="206">
        <f>'P &amp; NP'!HJ496</f>
        <v>0</v>
      </c>
      <c r="AE19" s="206">
        <f>'P &amp; NP'!HY496</f>
        <v>0</v>
      </c>
      <c r="AF19" s="206">
        <f>'P &amp; NP'!HZ496</f>
        <v>0</v>
      </c>
      <c r="AG19" s="206">
        <f>'P &amp; NP'!IO496</f>
        <v>0</v>
      </c>
      <c r="AH19" s="206">
        <f>'P &amp; NP'!IP496</f>
        <v>0</v>
      </c>
      <c r="AI19" s="206">
        <f>'P &amp; NP'!JE496</f>
        <v>0</v>
      </c>
      <c r="AJ19" s="206">
        <f>'P &amp; NP'!JF496</f>
        <v>0</v>
      </c>
      <c r="AK19" s="206">
        <f>'P &amp; NP'!JU496</f>
        <v>0</v>
      </c>
      <c r="AL19" s="206">
        <f>'P &amp; NP'!JV496</f>
        <v>0</v>
      </c>
      <c r="AM19" s="206">
        <f>'P &amp; NP'!KK496</f>
        <v>0</v>
      </c>
      <c r="AN19" s="206">
        <f>'P &amp; NP'!KL496</f>
        <v>0</v>
      </c>
      <c r="AO19" s="206">
        <f>'P &amp; NP'!LA496</f>
        <v>0</v>
      </c>
      <c r="AP19" s="206">
        <f>'P &amp; NP'!LB496</f>
        <v>0</v>
      </c>
      <c r="AQ19" s="206">
        <f>'P &amp; NP'!LQ496</f>
        <v>0</v>
      </c>
      <c r="AR19" s="206">
        <f>'P &amp; NP'!LR496</f>
        <v>0</v>
      </c>
      <c r="AS19" s="206">
        <f>'P &amp; NP'!MG496</f>
        <v>0</v>
      </c>
      <c r="AT19" s="206">
        <f>'P &amp; NP'!MH496</f>
        <v>0</v>
      </c>
      <c r="AU19" s="206">
        <f>'P &amp; NP'!MW496</f>
        <v>0</v>
      </c>
      <c r="AV19" s="206">
        <f>'P &amp; NP'!MX496</f>
        <v>0</v>
      </c>
      <c r="AW19" s="206">
        <f>'P &amp; NP'!NM496</f>
        <v>0</v>
      </c>
      <c r="AX19" s="206">
        <f>'P &amp; NP'!NN496</f>
        <v>0</v>
      </c>
      <c r="AY19" s="206">
        <f>'P &amp; NP'!OC496</f>
        <v>0</v>
      </c>
      <c r="AZ19" s="206">
        <f>'P &amp; NP'!OD496</f>
        <v>0</v>
      </c>
      <c r="BA19" s="206">
        <f>'P &amp; NP'!OS496</f>
        <v>0</v>
      </c>
      <c r="BB19" s="206">
        <f>'P &amp; NP'!OT496</f>
        <v>0</v>
      </c>
      <c r="BC19" s="206">
        <f>'P &amp; NP'!PI496</f>
        <v>0</v>
      </c>
      <c r="BD19" s="206">
        <f>'P &amp; NP'!PJ496</f>
        <v>0</v>
      </c>
      <c r="BE19" s="206">
        <f>'P &amp; NP'!PY496</f>
        <v>0</v>
      </c>
      <c r="BF19" s="206">
        <f>'P &amp; NP'!PZ496</f>
        <v>0</v>
      </c>
      <c r="BG19" s="206">
        <f>'P &amp; NP'!QO496</f>
        <v>0</v>
      </c>
      <c r="BH19" s="206">
        <f>'P &amp; NP'!QP496</f>
        <v>0</v>
      </c>
      <c r="BI19" s="206">
        <f>'P &amp; NP'!RE496</f>
        <v>0</v>
      </c>
      <c r="BJ19" s="206">
        <f>'P &amp; NP'!RF496</f>
        <v>0</v>
      </c>
      <c r="BK19" s="206">
        <f>'P &amp; NP'!RU496</f>
        <v>0</v>
      </c>
      <c r="BL19" s="206">
        <f>'P &amp; NP'!RV496</f>
        <v>0</v>
      </c>
      <c r="BM19" s="206">
        <f>'P &amp; NP'!SK496</f>
        <v>0</v>
      </c>
      <c r="BN19" s="206">
        <f>'P &amp; NP'!SL496</f>
        <v>0</v>
      </c>
      <c r="BO19" s="206">
        <f>'P &amp; NP'!TA496</f>
        <v>0</v>
      </c>
      <c r="BP19" s="206">
        <f>'P &amp; NP'!TB496</f>
        <v>0</v>
      </c>
      <c r="BQ19" s="206">
        <f>'P &amp; NP'!TQ496</f>
        <v>0</v>
      </c>
      <c r="BR19" s="206">
        <f>'P &amp; NP'!TR496</f>
        <v>0</v>
      </c>
      <c r="BS19" s="206">
        <f>'P &amp; NP'!UG496</f>
        <v>0</v>
      </c>
      <c r="BT19" s="206">
        <f>'P &amp; NP'!UH496</f>
        <v>0</v>
      </c>
      <c r="BU19" s="206">
        <f>'P &amp; NP'!UW496</f>
        <v>0</v>
      </c>
      <c r="BV19" s="206">
        <f>'P &amp; NP'!UX496</f>
        <v>0</v>
      </c>
      <c r="BW19" s="206">
        <f>'P &amp; NP'!VM496</f>
        <v>0</v>
      </c>
      <c r="BX19" s="206">
        <f>'P &amp; NP'!VN496</f>
        <v>0</v>
      </c>
      <c r="BY19" s="206">
        <f>'P &amp; NP'!WC496</f>
        <v>0</v>
      </c>
      <c r="BZ19" s="206">
        <f>'P &amp; NP'!WD496</f>
        <v>0</v>
      </c>
      <c r="CB19" s="737">
        <f t="shared" si="3"/>
        <v>0</v>
      </c>
      <c r="CC19" s="737">
        <f t="shared" si="4"/>
        <v>0</v>
      </c>
    </row>
    <row r="20" spans="2:81">
      <c r="B20" s="207" t="str">
        <f>'P &amp; NP'!B26</f>
        <v>Kerong Kerong</v>
      </c>
      <c r="C20" s="209">
        <f>'P &amp; NP'!I497</f>
        <v>0</v>
      </c>
      <c r="D20" s="209">
        <f>'P &amp; NP'!J497</f>
        <v>0</v>
      </c>
      <c r="E20" s="209">
        <f>'P &amp; NP'!Y497</f>
        <v>519905</v>
      </c>
      <c r="F20" s="209">
        <f>'P &amp; NP'!Z497</f>
        <v>10398100</v>
      </c>
      <c r="G20" s="209">
        <f>'P &amp; NP'!AO497</f>
        <v>0</v>
      </c>
      <c r="H20" s="209">
        <f>'P &amp; NP'!AP497</f>
        <v>0</v>
      </c>
      <c r="I20" s="209">
        <f>'P &amp; NP'!BE497</f>
        <v>0</v>
      </c>
      <c r="J20" s="209">
        <f>'P &amp; NP'!BF497</f>
        <v>0</v>
      </c>
      <c r="K20" s="206">
        <f>'P &amp; NP'!BU497</f>
        <v>0</v>
      </c>
      <c r="L20" s="206">
        <f>'P &amp; NP'!BV497</f>
        <v>0</v>
      </c>
      <c r="M20" s="206">
        <f>'P &amp; NP'!CK497</f>
        <v>0</v>
      </c>
      <c r="N20" s="206">
        <f>'P &amp; NP'!CL497</f>
        <v>0</v>
      </c>
      <c r="O20" s="206">
        <f>'P &amp; NP'!DA497</f>
        <v>0</v>
      </c>
      <c r="P20" s="206">
        <f>'P &amp; NP'!DB497</f>
        <v>0</v>
      </c>
      <c r="Q20" s="206">
        <f>'P &amp; NP'!DQ497</f>
        <v>0</v>
      </c>
      <c r="R20" s="206">
        <f>'P &amp; NP'!DR497</f>
        <v>0</v>
      </c>
      <c r="S20" s="206">
        <f>'P &amp; NP'!EG497</f>
        <v>0</v>
      </c>
      <c r="T20" s="206">
        <f>'P &amp; NP'!EH497</f>
        <v>0</v>
      </c>
      <c r="U20" s="206">
        <f>'P &amp; NP'!EW497</f>
        <v>0</v>
      </c>
      <c r="V20" s="206">
        <f>'P &amp; NP'!EX497</f>
        <v>0</v>
      </c>
      <c r="W20" s="206">
        <f>'P &amp; NP'!FM497</f>
        <v>0</v>
      </c>
      <c r="X20" s="206">
        <f>'P &amp; NP'!FN497</f>
        <v>0</v>
      </c>
      <c r="Y20" s="206">
        <f>'P &amp; NP'!GC497</f>
        <v>0</v>
      </c>
      <c r="Z20" s="206">
        <f>'P &amp; NP'!GD497</f>
        <v>0</v>
      </c>
      <c r="AA20" s="206">
        <f>'P &amp; NP'!GS497</f>
        <v>0</v>
      </c>
      <c r="AB20" s="206">
        <f>'P &amp; NP'!GT497</f>
        <v>0</v>
      </c>
      <c r="AC20" s="206">
        <f>'P &amp; NP'!HI497</f>
        <v>0</v>
      </c>
      <c r="AD20" s="206">
        <f>'P &amp; NP'!HJ497</f>
        <v>0</v>
      </c>
      <c r="AE20" s="206">
        <f>'P &amp; NP'!HY497</f>
        <v>0</v>
      </c>
      <c r="AF20" s="206">
        <f>'P &amp; NP'!HZ497</f>
        <v>0</v>
      </c>
      <c r="AG20" s="206">
        <f>'P &amp; NP'!IO497</f>
        <v>0</v>
      </c>
      <c r="AH20" s="206">
        <f>'P &amp; NP'!IP497</f>
        <v>0</v>
      </c>
      <c r="AI20" s="206">
        <f>'P &amp; NP'!JE497</f>
        <v>0</v>
      </c>
      <c r="AJ20" s="206">
        <f>'P &amp; NP'!JF497</f>
        <v>0</v>
      </c>
      <c r="AK20" s="206">
        <f>'P &amp; NP'!JU497</f>
        <v>0</v>
      </c>
      <c r="AL20" s="206">
        <f>'P &amp; NP'!JV497</f>
        <v>0</v>
      </c>
      <c r="AM20" s="206">
        <f>'P &amp; NP'!KK497</f>
        <v>0</v>
      </c>
      <c r="AN20" s="206">
        <f>'P &amp; NP'!KL497</f>
        <v>0</v>
      </c>
      <c r="AO20" s="206">
        <f>'P &amp; NP'!LA497</f>
        <v>0</v>
      </c>
      <c r="AP20" s="206">
        <f>'P &amp; NP'!LB497</f>
        <v>0</v>
      </c>
      <c r="AQ20" s="206">
        <f>'P &amp; NP'!LQ497</f>
        <v>0</v>
      </c>
      <c r="AR20" s="206">
        <f>'P &amp; NP'!LR497</f>
        <v>0</v>
      </c>
      <c r="AS20" s="206">
        <f>'P &amp; NP'!MG497</f>
        <v>0</v>
      </c>
      <c r="AT20" s="206">
        <f>'P &amp; NP'!MH497</f>
        <v>0</v>
      </c>
      <c r="AU20" s="206">
        <f>'P &amp; NP'!MW497</f>
        <v>0</v>
      </c>
      <c r="AV20" s="206">
        <f>'P &amp; NP'!MX497</f>
        <v>0</v>
      </c>
      <c r="AW20" s="206">
        <f>'P &amp; NP'!NM497</f>
        <v>0</v>
      </c>
      <c r="AX20" s="206">
        <f>'P &amp; NP'!NN497</f>
        <v>0</v>
      </c>
      <c r="AY20" s="206">
        <f>'P &amp; NP'!OC497</f>
        <v>0</v>
      </c>
      <c r="AZ20" s="206">
        <f>'P &amp; NP'!OD497</f>
        <v>0</v>
      </c>
      <c r="BA20" s="206">
        <f>'P &amp; NP'!OS497</f>
        <v>0</v>
      </c>
      <c r="BB20" s="206">
        <f>'P &amp; NP'!OT497</f>
        <v>0</v>
      </c>
      <c r="BC20" s="206">
        <f>'P &amp; NP'!PI497</f>
        <v>0</v>
      </c>
      <c r="BD20" s="206">
        <f>'P &amp; NP'!PJ497</f>
        <v>0</v>
      </c>
      <c r="BE20" s="206">
        <f>'P &amp; NP'!PY497</f>
        <v>0</v>
      </c>
      <c r="BF20" s="206">
        <f>'P &amp; NP'!PZ497</f>
        <v>0</v>
      </c>
      <c r="BG20" s="206">
        <f>'P &amp; NP'!QO497</f>
        <v>0</v>
      </c>
      <c r="BH20" s="206">
        <f>'P &amp; NP'!QP497</f>
        <v>0</v>
      </c>
      <c r="BI20" s="206">
        <f>'P &amp; NP'!RE497</f>
        <v>0</v>
      </c>
      <c r="BJ20" s="206">
        <f>'P &amp; NP'!RF497</f>
        <v>0</v>
      </c>
      <c r="BK20" s="206">
        <f>'P &amp; NP'!RU497</f>
        <v>0</v>
      </c>
      <c r="BL20" s="206">
        <f>'P &amp; NP'!RV497</f>
        <v>0</v>
      </c>
      <c r="BM20" s="206">
        <f>'P &amp; NP'!SK497</f>
        <v>0</v>
      </c>
      <c r="BN20" s="206">
        <f>'P &amp; NP'!SL497</f>
        <v>0</v>
      </c>
      <c r="BO20" s="206">
        <f>'P &amp; NP'!TA497</f>
        <v>0</v>
      </c>
      <c r="BP20" s="206">
        <f>'P &amp; NP'!TB497</f>
        <v>0</v>
      </c>
      <c r="BQ20" s="206">
        <f>'P &amp; NP'!TQ497</f>
        <v>0</v>
      </c>
      <c r="BR20" s="206">
        <f>'P &amp; NP'!TR497</f>
        <v>0</v>
      </c>
      <c r="BS20" s="206">
        <f>'P &amp; NP'!UG497</f>
        <v>0</v>
      </c>
      <c r="BT20" s="206">
        <f>'P &amp; NP'!UH497</f>
        <v>0</v>
      </c>
      <c r="BU20" s="206">
        <f>'P &amp; NP'!UW497</f>
        <v>0</v>
      </c>
      <c r="BV20" s="206">
        <f>'P &amp; NP'!UX497</f>
        <v>0</v>
      </c>
      <c r="BW20" s="206">
        <f>'P &amp; NP'!VM497</f>
        <v>15560</v>
      </c>
      <c r="BX20" s="206">
        <f>'P &amp; NP'!VN497</f>
        <v>295640</v>
      </c>
      <c r="BY20" s="206">
        <f>'P &amp; NP'!WC497</f>
        <v>0</v>
      </c>
      <c r="BZ20" s="206">
        <f>'P &amp; NP'!WD497</f>
        <v>0</v>
      </c>
      <c r="CB20" s="737">
        <f t="shared" si="3"/>
        <v>535465</v>
      </c>
      <c r="CC20" s="737">
        <f t="shared" si="4"/>
        <v>10693740</v>
      </c>
    </row>
    <row r="21" spans="2:81">
      <c r="B21" s="207" t="str">
        <f>'P &amp; NP'!B27</f>
        <v xml:space="preserve">Lele </v>
      </c>
      <c r="C21" s="209">
        <f>'P &amp; NP'!I498</f>
        <v>431400</v>
      </c>
      <c r="D21" s="209">
        <f>'P &amp; NP'!J498</f>
        <v>8628000</v>
      </c>
      <c r="E21" s="209">
        <f>'P &amp; NP'!Y498</f>
        <v>6716140</v>
      </c>
      <c r="F21" s="209">
        <f>'P &amp; NP'!Z498</f>
        <v>134322800</v>
      </c>
      <c r="G21" s="209">
        <f>'P &amp; NP'!AO498</f>
        <v>9163400</v>
      </c>
      <c r="H21" s="209">
        <f>'P &amp; NP'!AP498</f>
        <v>155777800</v>
      </c>
      <c r="I21" s="209">
        <f>'P &amp; NP'!BE498</f>
        <v>3846132</v>
      </c>
      <c r="J21" s="209">
        <f>'P &amp; NP'!BF498</f>
        <v>72418596.5</v>
      </c>
      <c r="K21" s="206">
        <f>'P &amp; NP'!BU498</f>
        <v>731793</v>
      </c>
      <c r="L21" s="206">
        <f>'P &amp; NP'!BV498</f>
        <v>14635860</v>
      </c>
      <c r="M21" s="206">
        <f>'P &amp; NP'!CK498</f>
        <v>1640329.6886446942</v>
      </c>
      <c r="N21" s="206">
        <f>'P &amp; NP'!CL498</f>
        <v>26274159.335785836</v>
      </c>
      <c r="O21" s="206">
        <f>'P &amp; NP'!DA498</f>
        <v>8585940.5369262099</v>
      </c>
      <c r="P21" s="206">
        <f>'P &amp; NP'!DB498</f>
        <v>158418625.54800001</v>
      </c>
      <c r="Q21" s="206">
        <f>'P &amp; NP'!DQ498</f>
        <v>7299400</v>
      </c>
      <c r="R21" s="206">
        <f>'P &amp; NP'!DR498</f>
        <v>134143300</v>
      </c>
      <c r="S21" s="206">
        <f>'P &amp; NP'!EG498</f>
        <v>17645200</v>
      </c>
      <c r="T21" s="206">
        <f>'P &amp; NP'!EH498</f>
        <v>317613600</v>
      </c>
      <c r="U21" s="206">
        <f>'P &amp; NP'!EW498</f>
        <v>3590186</v>
      </c>
      <c r="V21" s="206">
        <f>'P &amp; NP'!EX498</f>
        <v>68090097</v>
      </c>
      <c r="W21" s="206">
        <f>'P &amp; NP'!FM498</f>
        <v>1164300</v>
      </c>
      <c r="X21" s="206">
        <f>'P &amp; NP'!FN498</f>
        <v>21688451.5</v>
      </c>
      <c r="Y21" s="206">
        <f>'P &amp; NP'!GC498</f>
        <v>2562000</v>
      </c>
      <c r="Z21" s="206">
        <f>'P &amp; NP'!GD498</f>
        <v>47098500</v>
      </c>
      <c r="AA21" s="206">
        <f>'P &amp; NP'!GS498</f>
        <v>1613000</v>
      </c>
      <c r="AB21" s="206">
        <f>'P &amp; NP'!GT498</f>
        <v>29515800</v>
      </c>
      <c r="AC21" s="206">
        <f>'P &amp; NP'!HI498</f>
        <v>6520000</v>
      </c>
      <c r="AD21" s="206">
        <f>'P &amp; NP'!HJ498</f>
        <v>115260000</v>
      </c>
      <c r="AE21" s="206">
        <f>'P &amp; NP'!HY498</f>
        <v>1587945</v>
      </c>
      <c r="AF21" s="206">
        <f>'P &amp; NP'!HZ498</f>
        <v>28493630</v>
      </c>
      <c r="AG21" s="206">
        <f>'P &amp; NP'!IO498</f>
        <v>9694106</v>
      </c>
      <c r="AH21" s="206">
        <f>'P &amp; NP'!IP498</f>
        <v>178015581</v>
      </c>
      <c r="AI21" s="206">
        <f>'P &amp; NP'!JE498</f>
        <v>3959902</v>
      </c>
      <c r="AJ21" s="206">
        <f>'P &amp; NP'!JF498</f>
        <v>73258187</v>
      </c>
      <c r="AK21" s="206">
        <f>'P &amp; NP'!JU498</f>
        <v>759333</v>
      </c>
      <c r="AL21" s="206">
        <f>'P &amp; NP'!JV498</f>
        <v>18223992</v>
      </c>
      <c r="AM21" s="206">
        <f>'P &amp; NP'!KK498</f>
        <v>795578</v>
      </c>
      <c r="AN21" s="206">
        <f>'P &amp; NP'!KL498</f>
        <v>15911560</v>
      </c>
      <c r="AO21" s="206">
        <f>'P &amp; NP'!LA498</f>
        <v>15288590.49</v>
      </c>
      <c r="AP21" s="206">
        <f>'P &amp; NP'!LB498</f>
        <v>277251092</v>
      </c>
      <c r="AQ21" s="206">
        <f>'P &amp; NP'!LQ498</f>
        <v>1787644</v>
      </c>
      <c r="AR21" s="206">
        <f>'P &amp; NP'!LR498</f>
        <v>33041010.199999999</v>
      </c>
      <c r="AS21" s="206">
        <f>'P &amp; NP'!MG498</f>
        <v>843430</v>
      </c>
      <c r="AT21" s="206">
        <f>'P &amp; NP'!MH498</f>
        <v>15603455</v>
      </c>
      <c r="AU21" s="206">
        <f>'P &amp; NP'!MW498</f>
        <v>227864</v>
      </c>
      <c r="AV21" s="206">
        <f>'P &amp; NP'!MX498</f>
        <v>5240872</v>
      </c>
      <c r="AW21" s="206">
        <f>'P &amp; NP'!NM498</f>
        <v>25612445</v>
      </c>
      <c r="AX21" s="206">
        <f>'P &amp; NP'!NN498</f>
        <v>409799120</v>
      </c>
      <c r="AY21" s="206">
        <f>'P &amp; NP'!OC498</f>
        <v>634611</v>
      </c>
      <c r="AZ21" s="206">
        <f>'P &amp; NP'!OD498</f>
        <v>12057609</v>
      </c>
      <c r="BA21" s="206">
        <f>'P &amp; NP'!OS498</f>
        <v>2533889.4</v>
      </c>
      <c r="BB21" s="206">
        <f>'P &amp; NP'!OT498</f>
        <v>23381376.899999999</v>
      </c>
      <c r="BC21" s="206">
        <f>'P &amp; NP'!PI498</f>
        <v>3853897</v>
      </c>
      <c r="BD21" s="206">
        <f>'P &amp; NP'!PJ498</f>
        <v>68578304</v>
      </c>
      <c r="BE21" s="206">
        <f>'P &amp; NP'!PY498</f>
        <v>9699815</v>
      </c>
      <c r="BF21" s="206">
        <f>'P &amp; NP'!PZ498</f>
        <v>183124311.41100001</v>
      </c>
      <c r="BG21" s="206">
        <f>'P &amp; NP'!QO498</f>
        <v>11070000</v>
      </c>
      <c r="BH21" s="206">
        <f>'P &amp; NP'!QP498</f>
        <v>200985000</v>
      </c>
      <c r="BI21" s="206">
        <f>'P &amp; NP'!RE498</f>
        <v>29902</v>
      </c>
      <c r="BJ21" s="206">
        <f>'P &amp; NP'!RF498</f>
        <v>598040</v>
      </c>
      <c r="BK21" s="206">
        <f>'P &amp; NP'!RU498</f>
        <v>116300</v>
      </c>
      <c r="BL21" s="206">
        <f>'P &amp; NP'!RV498</f>
        <v>2054445</v>
      </c>
      <c r="BM21" s="206">
        <f>'P &amp; NP'!SK498</f>
        <v>183300</v>
      </c>
      <c r="BN21" s="206">
        <f>'P &amp; NP'!SL498</f>
        <v>3438600</v>
      </c>
      <c r="BO21" s="206">
        <f>'P &amp; NP'!TA498</f>
        <v>199694.99</v>
      </c>
      <c r="BP21" s="206">
        <f>'P &amp; NP'!TB498</f>
        <v>3647498.3169999998</v>
      </c>
      <c r="BQ21" s="206">
        <f>'P &amp; NP'!TQ498</f>
        <v>102050</v>
      </c>
      <c r="BR21" s="206">
        <f>'P &amp; NP'!TR498</f>
        <v>1938950</v>
      </c>
      <c r="BS21" s="206">
        <f>'P &amp; NP'!UG498</f>
        <v>217211</v>
      </c>
      <c r="BT21" s="206">
        <f>'P &amp; NP'!UH498</f>
        <v>3909798</v>
      </c>
      <c r="BU21" s="206">
        <f>'P &amp; NP'!UW498</f>
        <v>35833</v>
      </c>
      <c r="BV21" s="206">
        <f>'P &amp; NP'!UX498</f>
        <v>689167</v>
      </c>
      <c r="BW21" s="206">
        <f>'P &amp; NP'!VM498</f>
        <v>160557.5</v>
      </c>
      <c r="BX21" s="206">
        <f>'P &amp; NP'!VN498</f>
        <v>3050592.5</v>
      </c>
      <c r="BY21" s="206">
        <f>'P &amp; NP'!WC498</f>
        <v>2200065</v>
      </c>
      <c r="BZ21" s="206">
        <f>'P &amp; NP'!WD498</f>
        <v>45351390</v>
      </c>
      <c r="CB21" s="737">
        <f t="shared" si="3"/>
        <v>163103184.60557091</v>
      </c>
      <c r="CC21" s="737">
        <f t="shared" si="4"/>
        <v>2911529171.2117858</v>
      </c>
    </row>
    <row r="22" spans="2:81">
      <c r="B22" s="207" t="str">
        <f>'P &amp; NP'!B28</f>
        <v xml:space="preserve">Lobster Air Laut </v>
      </c>
      <c r="C22" s="209">
        <f>'P &amp; NP'!I499</f>
        <v>0</v>
      </c>
      <c r="D22" s="209">
        <f>'P &amp; NP'!J499</f>
        <v>0</v>
      </c>
      <c r="E22" s="209">
        <f>'P &amp; NP'!Y499</f>
        <v>0</v>
      </c>
      <c r="F22" s="209">
        <f>'P &amp; NP'!Z499</f>
        <v>0</v>
      </c>
      <c r="G22" s="209">
        <f>'P &amp; NP'!AO499</f>
        <v>0</v>
      </c>
      <c r="H22" s="209">
        <f>'P &amp; NP'!AP499</f>
        <v>0</v>
      </c>
      <c r="I22" s="209">
        <f>'P &amp; NP'!BE499</f>
        <v>0</v>
      </c>
      <c r="J22" s="209">
        <f>'P &amp; NP'!BF499</f>
        <v>0</v>
      </c>
      <c r="K22" s="206">
        <f>'P &amp; NP'!BU499</f>
        <v>0</v>
      </c>
      <c r="L22" s="206">
        <f>'P &amp; NP'!BV499</f>
        <v>0</v>
      </c>
      <c r="M22" s="206">
        <f>'P &amp; NP'!CK499</f>
        <v>0</v>
      </c>
      <c r="N22" s="206">
        <f>'P &amp; NP'!CL499</f>
        <v>0</v>
      </c>
      <c r="O22" s="206">
        <f>'P &amp; NP'!DA499</f>
        <v>0</v>
      </c>
      <c r="P22" s="206">
        <f>'P &amp; NP'!DB499</f>
        <v>0</v>
      </c>
      <c r="Q22" s="206">
        <f>'P &amp; NP'!DQ499</f>
        <v>0</v>
      </c>
      <c r="R22" s="206">
        <f>'P &amp; NP'!DR499</f>
        <v>0</v>
      </c>
      <c r="S22" s="206">
        <f>'P &amp; NP'!EG499</f>
        <v>0</v>
      </c>
      <c r="T22" s="206">
        <f>'P &amp; NP'!EH499</f>
        <v>0</v>
      </c>
      <c r="U22" s="206">
        <f>'P &amp; NP'!EW499</f>
        <v>0</v>
      </c>
      <c r="V22" s="206">
        <f>'P &amp; NP'!EX499</f>
        <v>0</v>
      </c>
      <c r="W22" s="206">
        <f>'P &amp; NP'!FM499</f>
        <v>0</v>
      </c>
      <c r="X22" s="206">
        <f>'P &amp; NP'!FN499</f>
        <v>0</v>
      </c>
      <c r="Y22" s="206">
        <f>'P &amp; NP'!GC499</f>
        <v>0</v>
      </c>
      <c r="Z22" s="206">
        <f>'P &amp; NP'!GD499</f>
        <v>0</v>
      </c>
      <c r="AA22" s="206">
        <f>'P &amp; NP'!GS499</f>
        <v>0</v>
      </c>
      <c r="AB22" s="206">
        <f>'P &amp; NP'!GT499</f>
        <v>0</v>
      </c>
      <c r="AC22" s="206">
        <f>'P &amp; NP'!HI499</f>
        <v>0</v>
      </c>
      <c r="AD22" s="206">
        <f>'P &amp; NP'!HJ499</f>
        <v>0</v>
      </c>
      <c r="AE22" s="206">
        <f>'P &amp; NP'!HY499</f>
        <v>0</v>
      </c>
      <c r="AF22" s="206">
        <f>'P &amp; NP'!HZ499</f>
        <v>0</v>
      </c>
      <c r="AG22" s="206">
        <f>'P &amp; NP'!IO499</f>
        <v>0</v>
      </c>
      <c r="AH22" s="206">
        <f>'P &amp; NP'!IP499</f>
        <v>0</v>
      </c>
      <c r="AI22" s="206">
        <f>'P &amp; NP'!JE499</f>
        <v>0</v>
      </c>
      <c r="AJ22" s="206">
        <f>'P &amp; NP'!JF499</f>
        <v>0</v>
      </c>
      <c r="AK22" s="206">
        <f>'P &amp; NP'!JU499</f>
        <v>0</v>
      </c>
      <c r="AL22" s="206">
        <f>'P &amp; NP'!JV499</f>
        <v>0</v>
      </c>
      <c r="AM22" s="206">
        <f>'P &amp; NP'!KK499</f>
        <v>0</v>
      </c>
      <c r="AN22" s="206">
        <f>'P &amp; NP'!KL499</f>
        <v>0</v>
      </c>
      <c r="AO22" s="206">
        <f>'P &amp; NP'!LA499</f>
        <v>0</v>
      </c>
      <c r="AP22" s="206">
        <f>'P &amp; NP'!LB499</f>
        <v>0</v>
      </c>
      <c r="AQ22" s="206">
        <f>'P &amp; NP'!LQ499</f>
        <v>0</v>
      </c>
      <c r="AR22" s="206">
        <f>'P &amp; NP'!LR499</f>
        <v>0</v>
      </c>
      <c r="AS22" s="206">
        <f>'P &amp; NP'!MG499</f>
        <v>0</v>
      </c>
      <c r="AT22" s="206">
        <f>'P &amp; NP'!MH499</f>
        <v>0</v>
      </c>
      <c r="AU22" s="206">
        <f>'P &amp; NP'!MW499</f>
        <v>0</v>
      </c>
      <c r="AV22" s="206">
        <f>'P &amp; NP'!MX499</f>
        <v>0</v>
      </c>
      <c r="AW22" s="206">
        <f>'P &amp; NP'!NM499</f>
        <v>0</v>
      </c>
      <c r="AX22" s="206">
        <f>'P &amp; NP'!NN499</f>
        <v>0</v>
      </c>
      <c r="AY22" s="206">
        <f>'P &amp; NP'!OC499</f>
        <v>0</v>
      </c>
      <c r="AZ22" s="206">
        <f>'P &amp; NP'!OD499</f>
        <v>0</v>
      </c>
      <c r="BA22" s="206">
        <f>'P &amp; NP'!OS499</f>
        <v>0</v>
      </c>
      <c r="BB22" s="206">
        <f>'P &amp; NP'!OT499</f>
        <v>0</v>
      </c>
      <c r="BC22" s="206">
        <f>'P &amp; NP'!PI499</f>
        <v>0</v>
      </c>
      <c r="BD22" s="206">
        <f>'P &amp; NP'!PJ499</f>
        <v>0</v>
      </c>
      <c r="BE22" s="206">
        <f>'P &amp; NP'!PY499</f>
        <v>0</v>
      </c>
      <c r="BF22" s="206">
        <f>'P &amp; NP'!PZ499</f>
        <v>0</v>
      </c>
      <c r="BG22" s="206">
        <f>'P &amp; NP'!QO499</f>
        <v>0</v>
      </c>
      <c r="BH22" s="206">
        <f>'P &amp; NP'!QP499</f>
        <v>0</v>
      </c>
      <c r="BI22" s="206">
        <f>'P &amp; NP'!RE499</f>
        <v>0</v>
      </c>
      <c r="BJ22" s="206">
        <f>'P &amp; NP'!RF499</f>
        <v>0</v>
      </c>
      <c r="BK22" s="206">
        <f>'P &amp; NP'!RU499</f>
        <v>0</v>
      </c>
      <c r="BL22" s="206">
        <f>'P &amp; NP'!RV499</f>
        <v>0</v>
      </c>
      <c r="BM22" s="206">
        <f>'P &amp; NP'!SK499</f>
        <v>0</v>
      </c>
      <c r="BN22" s="206">
        <f>'P &amp; NP'!SL499</f>
        <v>0</v>
      </c>
      <c r="BO22" s="206">
        <f>'P &amp; NP'!TA499</f>
        <v>0</v>
      </c>
      <c r="BP22" s="206">
        <f>'P &amp; NP'!TB499</f>
        <v>0</v>
      </c>
      <c r="BQ22" s="206">
        <f>'P &amp; NP'!TQ499</f>
        <v>0</v>
      </c>
      <c r="BR22" s="206">
        <f>'P &amp; NP'!TR499</f>
        <v>0</v>
      </c>
      <c r="BS22" s="206">
        <f>'P &amp; NP'!UG499</f>
        <v>0</v>
      </c>
      <c r="BT22" s="206">
        <f>'P &amp; NP'!UH499</f>
        <v>0</v>
      </c>
      <c r="BU22" s="206">
        <f>'P &amp; NP'!UW499</f>
        <v>0</v>
      </c>
      <c r="BV22" s="206">
        <f>'P &amp; NP'!UX499</f>
        <v>0</v>
      </c>
      <c r="BW22" s="206">
        <f>'P &amp; NP'!VM499</f>
        <v>0</v>
      </c>
      <c r="BX22" s="206">
        <f>'P &amp; NP'!VN499</f>
        <v>0</v>
      </c>
      <c r="BY22" s="206">
        <f>'P &amp; NP'!WC499</f>
        <v>0</v>
      </c>
      <c r="BZ22" s="206">
        <f>'P &amp; NP'!WD499</f>
        <v>0</v>
      </c>
      <c r="CB22" s="737">
        <f t="shared" si="3"/>
        <v>0</v>
      </c>
      <c r="CC22" s="737">
        <f t="shared" si="4"/>
        <v>0</v>
      </c>
    </row>
    <row r="23" spans="2:81">
      <c r="B23" s="207" t="str">
        <f>'P &amp; NP'!B29</f>
        <v xml:space="preserve">Lobster Air Tawar, Cherax </v>
      </c>
      <c r="C23" s="209">
        <f>'P &amp; NP'!I500</f>
        <v>0</v>
      </c>
      <c r="D23" s="209">
        <f>'P &amp; NP'!J500</f>
        <v>0</v>
      </c>
      <c r="E23" s="209">
        <f>'P &amp; NP'!Y500</f>
        <v>0</v>
      </c>
      <c r="F23" s="209">
        <f>'P &amp; NP'!Z500</f>
        <v>0</v>
      </c>
      <c r="G23" s="209">
        <f>'P &amp; NP'!AO500</f>
        <v>0</v>
      </c>
      <c r="H23" s="209">
        <f>'P &amp; NP'!AP500</f>
        <v>0</v>
      </c>
      <c r="I23" s="209">
        <f>'P &amp; NP'!BE500</f>
        <v>0</v>
      </c>
      <c r="J23" s="209">
        <f>'P &amp; NP'!BF500</f>
        <v>0</v>
      </c>
      <c r="K23" s="206">
        <f>'P &amp; NP'!BU500</f>
        <v>0</v>
      </c>
      <c r="L23" s="206">
        <f>'P &amp; NP'!BV500</f>
        <v>0</v>
      </c>
      <c r="M23" s="206">
        <f>'P &amp; NP'!CK500</f>
        <v>0</v>
      </c>
      <c r="N23" s="206">
        <f>'P &amp; NP'!CL500</f>
        <v>0</v>
      </c>
      <c r="O23" s="206">
        <f>'P &amp; NP'!DA500</f>
        <v>0</v>
      </c>
      <c r="P23" s="206">
        <f>'P &amp; NP'!DB500</f>
        <v>0</v>
      </c>
      <c r="Q23" s="206">
        <f>'P &amp; NP'!DQ500</f>
        <v>0</v>
      </c>
      <c r="R23" s="206">
        <f>'P &amp; NP'!DR500</f>
        <v>0</v>
      </c>
      <c r="S23" s="206">
        <f>'P &amp; NP'!EG500</f>
        <v>0</v>
      </c>
      <c r="T23" s="206">
        <f>'P &amp; NP'!EH500</f>
        <v>0</v>
      </c>
      <c r="U23" s="206">
        <f>'P &amp; NP'!EW500</f>
        <v>0</v>
      </c>
      <c r="V23" s="206">
        <f>'P &amp; NP'!EX500</f>
        <v>0</v>
      </c>
      <c r="W23" s="206">
        <f>'P &amp; NP'!FM500</f>
        <v>0</v>
      </c>
      <c r="X23" s="206">
        <f>'P &amp; NP'!FN500</f>
        <v>0</v>
      </c>
      <c r="Y23" s="206">
        <f>'P &amp; NP'!GC500</f>
        <v>0</v>
      </c>
      <c r="Z23" s="206">
        <f>'P &amp; NP'!GD500</f>
        <v>0</v>
      </c>
      <c r="AA23" s="206">
        <f>'P &amp; NP'!GS500</f>
        <v>0</v>
      </c>
      <c r="AB23" s="206">
        <f>'P &amp; NP'!GT500</f>
        <v>0</v>
      </c>
      <c r="AC23" s="206">
        <f>'P &amp; NP'!HI500</f>
        <v>0</v>
      </c>
      <c r="AD23" s="206">
        <f>'P &amp; NP'!HJ500</f>
        <v>0</v>
      </c>
      <c r="AE23" s="206">
        <f>'P &amp; NP'!HY500</f>
        <v>0</v>
      </c>
      <c r="AF23" s="206">
        <f>'P &amp; NP'!HZ500</f>
        <v>0</v>
      </c>
      <c r="AG23" s="206">
        <f>'P &amp; NP'!IO500</f>
        <v>2650</v>
      </c>
      <c r="AH23" s="206">
        <f>'P &amp; NP'!IP500</f>
        <v>284500</v>
      </c>
      <c r="AI23" s="206">
        <f>'P &amp; NP'!JE500</f>
        <v>0</v>
      </c>
      <c r="AJ23" s="206">
        <f>'P &amp; NP'!JF500</f>
        <v>0</v>
      </c>
      <c r="AK23" s="206">
        <f>'P &amp; NP'!JU500</f>
        <v>0</v>
      </c>
      <c r="AL23" s="206">
        <f>'P &amp; NP'!JV500</f>
        <v>0</v>
      </c>
      <c r="AM23" s="206">
        <f>'P &amp; NP'!KK500</f>
        <v>0</v>
      </c>
      <c r="AN23" s="206">
        <f>'P &amp; NP'!KL500</f>
        <v>0</v>
      </c>
      <c r="AO23" s="206">
        <f>'P &amp; NP'!LA500</f>
        <v>0</v>
      </c>
      <c r="AP23" s="206">
        <f>'P &amp; NP'!LB500</f>
        <v>0</v>
      </c>
      <c r="AQ23" s="206">
        <f>'P &amp; NP'!LQ500</f>
        <v>0</v>
      </c>
      <c r="AR23" s="206">
        <f>'P &amp; NP'!LR500</f>
        <v>0</v>
      </c>
      <c r="AS23" s="206">
        <f>'P &amp; NP'!MG500</f>
        <v>0</v>
      </c>
      <c r="AT23" s="206">
        <f>'P &amp; NP'!MH500</f>
        <v>0</v>
      </c>
      <c r="AU23" s="206">
        <f>'P &amp; NP'!MW500</f>
        <v>0</v>
      </c>
      <c r="AV23" s="206">
        <f>'P &amp; NP'!MX500</f>
        <v>0</v>
      </c>
      <c r="AW23" s="206">
        <f>'P &amp; NP'!NM500</f>
        <v>0</v>
      </c>
      <c r="AX23" s="206">
        <f>'P &amp; NP'!NN500</f>
        <v>0</v>
      </c>
      <c r="AY23" s="206">
        <f>'P &amp; NP'!OC500</f>
        <v>0</v>
      </c>
      <c r="AZ23" s="206">
        <f>'P &amp; NP'!OD500</f>
        <v>0</v>
      </c>
      <c r="BA23" s="206">
        <f>'P &amp; NP'!OS500</f>
        <v>0</v>
      </c>
      <c r="BB23" s="206">
        <f>'P &amp; NP'!OT500</f>
        <v>0</v>
      </c>
      <c r="BC23" s="206">
        <f>'P &amp; NP'!PI500</f>
        <v>0</v>
      </c>
      <c r="BD23" s="206">
        <f>'P &amp; NP'!PJ500</f>
        <v>0</v>
      </c>
      <c r="BE23" s="206">
        <f>'P &amp; NP'!PY500</f>
        <v>0</v>
      </c>
      <c r="BF23" s="206">
        <f>'P &amp; NP'!PZ500</f>
        <v>0</v>
      </c>
      <c r="BG23" s="206">
        <f>'P &amp; NP'!QO500</f>
        <v>0</v>
      </c>
      <c r="BH23" s="206">
        <f>'P &amp; NP'!QP500</f>
        <v>0</v>
      </c>
      <c r="BI23" s="206">
        <f>'P &amp; NP'!RE500</f>
        <v>0</v>
      </c>
      <c r="BJ23" s="206">
        <f>'P &amp; NP'!RF500</f>
        <v>0</v>
      </c>
      <c r="BK23" s="206">
        <f>'P &amp; NP'!RU500</f>
        <v>0</v>
      </c>
      <c r="BL23" s="206">
        <f>'P &amp; NP'!RV500</f>
        <v>0</v>
      </c>
      <c r="BM23" s="206">
        <f>'P &amp; NP'!SK500</f>
        <v>0</v>
      </c>
      <c r="BN23" s="206">
        <f>'P &amp; NP'!SL500</f>
        <v>0</v>
      </c>
      <c r="BO23" s="206">
        <f>'P &amp; NP'!TA500</f>
        <v>0</v>
      </c>
      <c r="BP23" s="206">
        <f>'P &amp; NP'!TB500</f>
        <v>0</v>
      </c>
      <c r="BQ23" s="206">
        <f>'P &amp; NP'!TQ500</f>
        <v>0</v>
      </c>
      <c r="BR23" s="206">
        <f>'P &amp; NP'!TR500</f>
        <v>0</v>
      </c>
      <c r="BS23" s="206">
        <f>'P &amp; NP'!UG500</f>
        <v>0</v>
      </c>
      <c r="BT23" s="206">
        <f>'P &amp; NP'!UH500</f>
        <v>0</v>
      </c>
      <c r="BU23" s="206">
        <f>'P &amp; NP'!UW500</f>
        <v>0</v>
      </c>
      <c r="BV23" s="206">
        <f>'P &amp; NP'!UX500</f>
        <v>0</v>
      </c>
      <c r="BW23" s="206">
        <f>'P &amp; NP'!VM500</f>
        <v>0</v>
      </c>
      <c r="BX23" s="206">
        <f>'P &amp; NP'!VN500</f>
        <v>0</v>
      </c>
      <c r="BY23" s="206">
        <f>'P &amp; NP'!WC500</f>
        <v>0</v>
      </c>
      <c r="BZ23" s="206">
        <f>'P &amp; NP'!WD500</f>
        <v>0</v>
      </c>
      <c r="CB23" s="737">
        <f t="shared" si="3"/>
        <v>2650</v>
      </c>
      <c r="CC23" s="737">
        <f t="shared" si="4"/>
        <v>284500</v>
      </c>
    </row>
    <row r="24" spans="2:81">
      <c r="B24" s="207" t="str">
        <f>'P &amp; NP'!B30</f>
        <v xml:space="preserve">Mas, Ikan Mas, Karper </v>
      </c>
      <c r="C24" s="209">
        <f>'P &amp; NP'!I501</f>
        <v>0</v>
      </c>
      <c r="D24" s="209">
        <f>'P &amp; NP'!J501</f>
        <v>0</v>
      </c>
      <c r="E24" s="209">
        <f>'P &amp; NP'!Y501</f>
        <v>100775</v>
      </c>
      <c r="F24" s="209">
        <f>'P &amp; NP'!Z501</f>
        <v>3527125</v>
      </c>
      <c r="G24" s="209">
        <f>'P &amp; NP'!AO501</f>
        <v>0</v>
      </c>
      <c r="H24" s="209">
        <f>'P &amp; NP'!AP501</f>
        <v>0</v>
      </c>
      <c r="I24" s="209">
        <f>'P &amp; NP'!BE501</f>
        <v>16867</v>
      </c>
      <c r="J24" s="209">
        <f>'P &amp; NP'!BF501</f>
        <v>253005</v>
      </c>
      <c r="K24" s="206">
        <f>'P &amp; NP'!BU501</f>
        <v>2450</v>
      </c>
      <c r="L24" s="206">
        <f>'P &amp; NP'!BV501</f>
        <v>66150</v>
      </c>
      <c r="M24" s="206">
        <f>'P &amp; NP'!CK501</f>
        <v>2290636.6226174068</v>
      </c>
      <c r="N24" s="206">
        <f>'P &amp; NP'!CL501</f>
        <v>28400920.210789979</v>
      </c>
      <c r="O24" s="206">
        <f>'P &amp; NP'!DA501</f>
        <v>51272.000012222001</v>
      </c>
      <c r="P24" s="206">
        <f>'P &amp; NP'!DB501</f>
        <v>1161169.0009999999</v>
      </c>
      <c r="Q24" s="206">
        <f>'P &amp; NP'!DQ501</f>
        <v>227700</v>
      </c>
      <c r="R24" s="206">
        <f>'P &amp; NP'!DR501</f>
        <v>4799200</v>
      </c>
      <c r="S24" s="206">
        <f>'P &amp; NP'!EG501</f>
        <v>5635</v>
      </c>
      <c r="T24" s="206">
        <f>'P &amp; NP'!EH501</f>
        <v>84525</v>
      </c>
      <c r="U24" s="206">
        <f>'P &amp; NP'!EW501</f>
        <v>1636075</v>
      </c>
      <c r="V24" s="206">
        <f>'P &amp; NP'!EX501</f>
        <v>23484574</v>
      </c>
      <c r="W24" s="206">
        <f>'P &amp; NP'!FM501</f>
        <v>3665</v>
      </c>
      <c r="X24" s="206">
        <f>'P &amp; NP'!FN501</f>
        <v>109950</v>
      </c>
      <c r="Y24" s="206">
        <f>'P &amp; NP'!GC501</f>
        <v>3150</v>
      </c>
      <c r="Z24" s="206">
        <f>'P &amp; NP'!GD501</f>
        <v>78750</v>
      </c>
      <c r="AA24" s="206">
        <f>'P &amp; NP'!GS501</f>
        <v>22850</v>
      </c>
      <c r="AB24" s="206">
        <f>'P &amp; NP'!GT501</f>
        <v>631000</v>
      </c>
      <c r="AC24" s="206">
        <f>'P &amp; NP'!HI501</f>
        <v>16300</v>
      </c>
      <c r="AD24" s="206">
        <f>'P &amp; NP'!HJ501</f>
        <v>440000</v>
      </c>
      <c r="AE24" s="206">
        <f>'P &amp; NP'!HY501</f>
        <v>0</v>
      </c>
      <c r="AF24" s="206">
        <f>'P &amp; NP'!HZ501</f>
        <v>0</v>
      </c>
      <c r="AG24" s="206">
        <f>'P &amp; NP'!IO501</f>
        <v>2600</v>
      </c>
      <c r="AH24" s="206">
        <f>'P &amp; NP'!IP501</f>
        <v>92050</v>
      </c>
      <c r="AI24" s="206">
        <f>'P &amp; NP'!JE501</f>
        <v>949</v>
      </c>
      <c r="AJ24" s="206">
        <f>'P &amp; NP'!JF501</f>
        <v>21910</v>
      </c>
      <c r="AK24" s="206">
        <f>'P &amp; NP'!JU501</f>
        <v>0</v>
      </c>
      <c r="AL24" s="206">
        <f>'P &amp; NP'!JV501</f>
        <v>0</v>
      </c>
      <c r="AM24" s="206">
        <f>'P &amp; NP'!KK501</f>
        <v>0</v>
      </c>
      <c r="AN24" s="206">
        <f>'P &amp; NP'!KL501</f>
        <v>0</v>
      </c>
      <c r="AO24" s="206">
        <f>'P &amp; NP'!LA501</f>
        <v>0</v>
      </c>
      <c r="AP24" s="206">
        <f>'P &amp; NP'!LB501</f>
        <v>0</v>
      </c>
      <c r="AQ24" s="206">
        <f>'P &amp; NP'!LQ501</f>
        <v>0</v>
      </c>
      <c r="AR24" s="206">
        <f>'P &amp; NP'!LR501</f>
        <v>0</v>
      </c>
      <c r="AS24" s="206">
        <f>'P &amp; NP'!MG501</f>
        <v>0</v>
      </c>
      <c r="AT24" s="206">
        <f>'P &amp; NP'!MH501</f>
        <v>0</v>
      </c>
      <c r="AU24" s="206">
        <f>'P &amp; NP'!MW501</f>
        <v>0</v>
      </c>
      <c r="AV24" s="206">
        <f>'P &amp; NP'!MX501</f>
        <v>0</v>
      </c>
      <c r="AW24" s="206">
        <f>'P &amp; NP'!NM501</f>
        <v>0</v>
      </c>
      <c r="AX24" s="206">
        <f>'P &amp; NP'!NN501</f>
        <v>0</v>
      </c>
      <c r="AY24" s="206">
        <f>'P &amp; NP'!OC501</f>
        <v>0</v>
      </c>
      <c r="AZ24" s="206">
        <f>'P &amp; NP'!OD501</f>
        <v>0</v>
      </c>
      <c r="BA24" s="206">
        <f>'P &amp; NP'!OS501</f>
        <v>0</v>
      </c>
      <c r="BB24" s="206">
        <f>'P &amp; NP'!OT501</f>
        <v>0</v>
      </c>
      <c r="BC24" s="206">
        <f>'P &amp; NP'!PI501</f>
        <v>0</v>
      </c>
      <c r="BD24" s="206">
        <f>'P &amp; NP'!PJ501</f>
        <v>0</v>
      </c>
      <c r="BE24" s="206">
        <f>'P &amp; NP'!PY501</f>
        <v>1665420</v>
      </c>
      <c r="BF24" s="206">
        <f>'P &amp; NP'!PZ501</f>
        <v>29977560</v>
      </c>
      <c r="BG24" s="206">
        <f>'P &amp; NP'!QO501</f>
        <v>0</v>
      </c>
      <c r="BH24" s="206">
        <f>'P &amp; NP'!QP501</f>
        <v>0</v>
      </c>
      <c r="BI24" s="206">
        <f>'P &amp; NP'!RE501</f>
        <v>2102</v>
      </c>
      <c r="BJ24" s="206">
        <f>'P &amp; NP'!RF501</f>
        <v>77774</v>
      </c>
      <c r="BK24" s="206">
        <f>'P &amp; NP'!RU501</f>
        <v>0</v>
      </c>
      <c r="BL24" s="206">
        <f>'P &amp; NP'!RV501</f>
        <v>0</v>
      </c>
      <c r="BM24" s="206">
        <f>'P &amp; NP'!SK501</f>
        <v>0</v>
      </c>
      <c r="BN24" s="206">
        <f>'P &amp; NP'!SL501</f>
        <v>0</v>
      </c>
      <c r="BO24" s="206">
        <f>'P &amp; NP'!TA501</f>
        <v>0</v>
      </c>
      <c r="BP24" s="206">
        <f>'P &amp; NP'!TB501</f>
        <v>0</v>
      </c>
      <c r="BQ24" s="206">
        <f>'P &amp; NP'!TQ501</f>
        <v>0</v>
      </c>
      <c r="BR24" s="206">
        <f>'P &amp; NP'!TR501</f>
        <v>0</v>
      </c>
      <c r="BS24" s="206">
        <f>'P &amp; NP'!UG501</f>
        <v>0</v>
      </c>
      <c r="BT24" s="206">
        <f>'P &amp; NP'!UH501</f>
        <v>0</v>
      </c>
      <c r="BU24" s="206">
        <f>'P &amp; NP'!UW501</f>
        <v>0</v>
      </c>
      <c r="BV24" s="206">
        <f>'P &amp; NP'!UX501</f>
        <v>0</v>
      </c>
      <c r="BW24" s="206">
        <f>'P &amp; NP'!VM501</f>
        <v>0</v>
      </c>
      <c r="BX24" s="206">
        <f>'P &amp; NP'!VN501</f>
        <v>0</v>
      </c>
      <c r="BY24" s="206">
        <f>'P &amp; NP'!WC501</f>
        <v>0</v>
      </c>
      <c r="BZ24" s="206">
        <f>'P &amp; NP'!WD501</f>
        <v>0</v>
      </c>
      <c r="CB24" s="737">
        <f t="shared" si="3"/>
        <v>6048446.6226296294</v>
      </c>
      <c r="CC24" s="737">
        <f t="shared" si="4"/>
        <v>93205662.211789981</v>
      </c>
    </row>
    <row r="25" spans="2:81">
      <c r="B25" s="207" t="str">
        <f>'P &amp; NP'!B31</f>
        <v xml:space="preserve">Mujair </v>
      </c>
      <c r="C25" s="209">
        <f>'P &amp; NP'!I502</f>
        <v>33750</v>
      </c>
      <c r="D25" s="209">
        <f>'P &amp; NP'!J502</f>
        <v>506250</v>
      </c>
      <c r="E25" s="209">
        <f>'P &amp; NP'!Y502</f>
        <v>65880</v>
      </c>
      <c r="F25" s="209">
        <f>'P &amp; NP'!Z502</f>
        <v>988200</v>
      </c>
      <c r="G25" s="209">
        <f>'P &amp; NP'!AO502</f>
        <v>0</v>
      </c>
      <c r="H25" s="209">
        <f>'P &amp; NP'!AP502</f>
        <v>0</v>
      </c>
      <c r="I25" s="209">
        <f>'P &amp; NP'!BE502</f>
        <v>0</v>
      </c>
      <c r="J25" s="209">
        <f>'P &amp; NP'!BF502</f>
        <v>0</v>
      </c>
      <c r="K25" s="206">
        <f>'P &amp; NP'!BU502</f>
        <v>940</v>
      </c>
      <c r="L25" s="206">
        <f>'P &amp; NP'!BV502</f>
        <v>25260</v>
      </c>
      <c r="M25" s="206">
        <f>'P &amp; NP'!CK502</f>
        <v>7176255.7103055483</v>
      </c>
      <c r="N25" s="206">
        <f>'P &amp; NP'!CL502</f>
        <v>60055067.352229565</v>
      </c>
      <c r="O25" s="206">
        <f>'P &amp; NP'!DA502</f>
        <v>0</v>
      </c>
      <c r="P25" s="206">
        <f>'P &amp; NP'!DB502</f>
        <v>0</v>
      </c>
      <c r="Q25" s="206">
        <f>'P &amp; NP'!DQ502</f>
        <v>0</v>
      </c>
      <c r="R25" s="206">
        <f>'P &amp; NP'!DR502</f>
        <v>0</v>
      </c>
      <c r="S25" s="206">
        <f>'P &amp; NP'!EG502</f>
        <v>500</v>
      </c>
      <c r="T25" s="206">
        <f>'P &amp; NP'!EH502</f>
        <v>7500</v>
      </c>
      <c r="U25" s="206">
        <f>'P &amp; NP'!EW502</f>
        <v>130061</v>
      </c>
      <c r="V25" s="206">
        <f>'P &amp; NP'!EX502</f>
        <v>650305</v>
      </c>
      <c r="W25" s="206">
        <f>'P &amp; NP'!FM502</f>
        <v>0</v>
      </c>
      <c r="X25" s="206">
        <f>'P &amp; NP'!FN502</f>
        <v>0</v>
      </c>
      <c r="Y25" s="206">
        <f>'P &amp; NP'!GC502</f>
        <v>400</v>
      </c>
      <c r="Z25" s="206">
        <f>'P &amp; NP'!GD502</f>
        <v>10000</v>
      </c>
      <c r="AA25" s="206">
        <f>'P &amp; NP'!GS502</f>
        <v>0</v>
      </c>
      <c r="AB25" s="206">
        <f>'P &amp; NP'!GT502</f>
        <v>0</v>
      </c>
      <c r="AC25" s="206">
        <f>'P &amp; NP'!HI502</f>
        <v>0</v>
      </c>
      <c r="AD25" s="206">
        <f>'P &amp; NP'!HJ502</f>
        <v>0</v>
      </c>
      <c r="AE25" s="206">
        <f>'P &amp; NP'!HY502</f>
        <v>0</v>
      </c>
      <c r="AF25" s="206">
        <f>'P &amp; NP'!HZ502</f>
        <v>0</v>
      </c>
      <c r="AG25" s="206">
        <f>'P &amp; NP'!IO502</f>
        <v>0</v>
      </c>
      <c r="AH25" s="206">
        <f>'P &amp; NP'!IP502</f>
        <v>0</v>
      </c>
      <c r="AI25" s="206">
        <f>'P &amp; NP'!JE502</f>
        <v>0</v>
      </c>
      <c r="AJ25" s="206">
        <f>'P &amp; NP'!JF502</f>
        <v>0</v>
      </c>
      <c r="AK25" s="206">
        <f>'P &amp; NP'!JU502</f>
        <v>0</v>
      </c>
      <c r="AL25" s="206">
        <f>'P &amp; NP'!JV502</f>
        <v>0</v>
      </c>
      <c r="AM25" s="206">
        <f>'P &amp; NP'!KK502</f>
        <v>0</v>
      </c>
      <c r="AN25" s="206">
        <f>'P &amp; NP'!KL502</f>
        <v>0</v>
      </c>
      <c r="AO25" s="206">
        <f>'P &amp; NP'!LA502</f>
        <v>0</v>
      </c>
      <c r="AP25" s="206">
        <f>'P &amp; NP'!LB502</f>
        <v>0</v>
      </c>
      <c r="AQ25" s="206">
        <f>'P &amp; NP'!LQ502</f>
        <v>0</v>
      </c>
      <c r="AR25" s="206">
        <f>'P &amp; NP'!LR502</f>
        <v>0</v>
      </c>
      <c r="AS25" s="206">
        <f>'P &amp; NP'!MG502</f>
        <v>0</v>
      </c>
      <c r="AT25" s="206">
        <f>'P &amp; NP'!MH502</f>
        <v>0</v>
      </c>
      <c r="AU25" s="206">
        <f>'P &amp; NP'!MW502</f>
        <v>0</v>
      </c>
      <c r="AV25" s="206">
        <f>'P &amp; NP'!MX502</f>
        <v>0</v>
      </c>
      <c r="AW25" s="206">
        <f>'P &amp; NP'!NM502</f>
        <v>0</v>
      </c>
      <c r="AX25" s="206">
        <f>'P &amp; NP'!NN502</f>
        <v>0</v>
      </c>
      <c r="AY25" s="206">
        <f>'P &amp; NP'!OC502</f>
        <v>0</v>
      </c>
      <c r="AZ25" s="206">
        <f>'P &amp; NP'!OD502</f>
        <v>0</v>
      </c>
      <c r="BA25" s="206">
        <f>'P &amp; NP'!OS502</f>
        <v>0</v>
      </c>
      <c r="BB25" s="206">
        <f>'P &amp; NP'!OT502</f>
        <v>0</v>
      </c>
      <c r="BC25" s="206">
        <f>'P &amp; NP'!PI502</f>
        <v>0</v>
      </c>
      <c r="BD25" s="206">
        <f>'P &amp; NP'!PJ502</f>
        <v>0</v>
      </c>
      <c r="BE25" s="206">
        <f>'P &amp; NP'!PY502</f>
        <v>0</v>
      </c>
      <c r="BF25" s="206">
        <f>'P &amp; NP'!PZ502</f>
        <v>0</v>
      </c>
      <c r="BG25" s="206">
        <f>'P &amp; NP'!QO502</f>
        <v>0</v>
      </c>
      <c r="BH25" s="206">
        <f>'P &amp; NP'!QP502</f>
        <v>0</v>
      </c>
      <c r="BI25" s="206">
        <f>'P &amp; NP'!RE502</f>
        <v>0</v>
      </c>
      <c r="BJ25" s="206">
        <f>'P &amp; NP'!RF502</f>
        <v>0</v>
      </c>
      <c r="BK25" s="206">
        <f>'P &amp; NP'!RU502</f>
        <v>0</v>
      </c>
      <c r="BL25" s="206">
        <f>'P &amp; NP'!RV502</f>
        <v>0</v>
      </c>
      <c r="BM25" s="206">
        <f>'P &amp; NP'!SK502</f>
        <v>0</v>
      </c>
      <c r="BN25" s="206">
        <f>'P &amp; NP'!SL502</f>
        <v>0</v>
      </c>
      <c r="BO25" s="206">
        <f>'P &amp; NP'!TA502</f>
        <v>0</v>
      </c>
      <c r="BP25" s="206">
        <f>'P &amp; NP'!TB502</f>
        <v>0</v>
      </c>
      <c r="BQ25" s="206">
        <f>'P &amp; NP'!TQ502</f>
        <v>0</v>
      </c>
      <c r="BR25" s="206">
        <f>'P &amp; NP'!TR502</f>
        <v>0</v>
      </c>
      <c r="BS25" s="206">
        <f>'P &amp; NP'!UG502</f>
        <v>0</v>
      </c>
      <c r="BT25" s="206">
        <f>'P &amp; NP'!UH502</f>
        <v>0</v>
      </c>
      <c r="BU25" s="206">
        <f>'P &amp; NP'!UW502</f>
        <v>0</v>
      </c>
      <c r="BV25" s="206">
        <f>'P &amp; NP'!UX502</f>
        <v>0</v>
      </c>
      <c r="BW25" s="206">
        <f>'P &amp; NP'!VM502</f>
        <v>0</v>
      </c>
      <c r="BX25" s="206">
        <f>'P &amp; NP'!VN502</f>
        <v>0</v>
      </c>
      <c r="BY25" s="206">
        <f>'P &amp; NP'!WC502</f>
        <v>0</v>
      </c>
      <c r="BZ25" s="206">
        <f>'P &amp; NP'!WD502</f>
        <v>0</v>
      </c>
      <c r="CB25" s="737">
        <f t="shared" si="3"/>
        <v>7407786.7103055483</v>
      </c>
      <c r="CC25" s="737">
        <f t="shared" si="4"/>
        <v>62242582.352229565</v>
      </c>
    </row>
    <row r="26" spans="2:81">
      <c r="B26" s="207" t="str">
        <f>'P &amp; NP'!B32</f>
        <v xml:space="preserve">Nila </v>
      </c>
      <c r="C26" s="209">
        <f>'P &amp; NP'!I503</f>
        <v>118500</v>
      </c>
      <c r="D26" s="209">
        <f>'P &amp; NP'!J503</f>
        <v>3318000</v>
      </c>
      <c r="E26" s="209">
        <f>'P &amp; NP'!Y503</f>
        <v>147987</v>
      </c>
      <c r="F26" s="209">
        <f>'P &amp; NP'!Z503</f>
        <v>2959740</v>
      </c>
      <c r="G26" s="209">
        <f>'P &amp; NP'!AO503</f>
        <v>701100</v>
      </c>
      <c r="H26" s="209">
        <f>'P &amp; NP'!AP503</f>
        <v>17150600</v>
      </c>
      <c r="I26" s="209">
        <f>'P &amp; NP'!BE503</f>
        <v>1018415</v>
      </c>
      <c r="J26" s="209">
        <f>'P &amp; NP'!BF503</f>
        <v>25460375</v>
      </c>
      <c r="K26" s="206">
        <f>'P &amp; NP'!BU503</f>
        <v>71960</v>
      </c>
      <c r="L26" s="206">
        <f>'P &amp; NP'!BV503</f>
        <v>1942920</v>
      </c>
      <c r="M26" s="206">
        <f>'P &amp; NP'!CK503</f>
        <v>4122716.0602724766</v>
      </c>
      <c r="N26" s="206">
        <f>'P &amp; NP'!CL503</f>
        <v>61770473.617955975</v>
      </c>
      <c r="O26" s="206">
        <f>'P &amp; NP'!DA503</f>
        <v>986433</v>
      </c>
      <c r="P26" s="206">
        <f>'P &amp; NP'!DB503</f>
        <v>26064625</v>
      </c>
      <c r="Q26" s="206">
        <f>'P &amp; NP'!DQ503</f>
        <v>211800</v>
      </c>
      <c r="R26" s="206">
        <f>'P &amp; NP'!DR503</f>
        <v>4455600</v>
      </c>
      <c r="S26" s="206">
        <f>'P &amp; NP'!EG503</f>
        <v>2845150</v>
      </c>
      <c r="T26" s="206">
        <f>'P &amp; NP'!EH503</f>
        <v>59748150</v>
      </c>
      <c r="U26" s="206">
        <f>'P &amp; NP'!EW503</f>
        <v>10101429</v>
      </c>
      <c r="V26" s="206">
        <f>'P &amp; NP'!EX503</f>
        <v>185332531</v>
      </c>
      <c r="W26" s="206">
        <f>'P &amp; NP'!FM503</f>
        <v>759935</v>
      </c>
      <c r="X26" s="206">
        <f>'P &amp; NP'!FN503</f>
        <v>19435375</v>
      </c>
      <c r="Y26" s="206">
        <f>'P &amp; NP'!GC503</f>
        <v>465000</v>
      </c>
      <c r="Z26" s="206">
        <f>'P &amp; NP'!GD503</f>
        <v>12332000</v>
      </c>
      <c r="AA26" s="206">
        <f>'P &amp; NP'!GS503</f>
        <v>115700</v>
      </c>
      <c r="AB26" s="206">
        <f>'P &amp; NP'!GT503</f>
        <v>3215400</v>
      </c>
      <c r="AC26" s="206">
        <f>'P &amp; NP'!HI503</f>
        <v>755000</v>
      </c>
      <c r="AD26" s="206">
        <f>'P &amp; NP'!HJ503</f>
        <v>16858000</v>
      </c>
      <c r="AE26" s="206">
        <f>'P &amp; NP'!HY503</f>
        <v>110423</v>
      </c>
      <c r="AF26" s="206">
        <f>'P &amp; NP'!HZ503</f>
        <v>2848610</v>
      </c>
      <c r="AG26" s="206">
        <f>'P &amp; NP'!IO503</f>
        <v>107350</v>
      </c>
      <c r="AH26" s="206">
        <f>'P &amp; NP'!IP503</f>
        <v>2818350</v>
      </c>
      <c r="AI26" s="206">
        <f>'P &amp; NP'!JE503</f>
        <v>83690</v>
      </c>
      <c r="AJ26" s="206">
        <f>'P &amp; NP'!JF503</f>
        <v>1841180</v>
      </c>
      <c r="AK26" s="206">
        <f>'P &amp; NP'!JU503</f>
        <v>170739</v>
      </c>
      <c r="AL26" s="206">
        <f>'P &amp; NP'!JV503</f>
        <v>5975865</v>
      </c>
      <c r="AM26" s="206">
        <f>'P &amp; NP'!KK503</f>
        <v>2406</v>
      </c>
      <c r="AN26" s="206">
        <f>'P &amp; NP'!KL503</f>
        <v>60150</v>
      </c>
      <c r="AO26" s="206">
        <f>'P &amp; NP'!LA503</f>
        <v>502786.06</v>
      </c>
      <c r="AP26" s="206">
        <f>'P &amp; NP'!LB503</f>
        <v>9422844</v>
      </c>
      <c r="AQ26" s="206">
        <f>'P &amp; NP'!LQ503</f>
        <v>51167</v>
      </c>
      <c r="AR26" s="206">
        <f>'P &amp; NP'!LR503</f>
        <v>1460476</v>
      </c>
      <c r="AS26" s="206">
        <f>'P &amp; NP'!MG503</f>
        <v>11340</v>
      </c>
      <c r="AT26" s="206">
        <f>'P &amp; NP'!MH503</f>
        <v>208120</v>
      </c>
      <c r="AU26" s="206">
        <f>'P &amp; NP'!MW503</f>
        <v>1085</v>
      </c>
      <c r="AV26" s="206">
        <f>'P &amp; NP'!MX503</f>
        <v>32550</v>
      </c>
      <c r="AW26" s="206">
        <f>'P &amp; NP'!NM503</f>
        <v>381700</v>
      </c>
      <c r="AX26" s="206">
        <f>'P &amp; NP'!NN503</f>
        <v>6870600</v>
      </c>
      <c r="AY26" s="206">
        <f>'P &amp; NP'!OC503</f>
        <v>557</v>
      </c>
      <c r="AZ26" s="206">
        <f>'P &amp; NP'!OD503</f>
        <v>13356</v>
      </c>
      <c r="BA26" s="206">
        <f>'P &amp; NP'!OS503</f>
        <v>0</v>
      </c>
      <c r="BB26" s="206">
        <f>'P &amp; NP'!OT503</f>
        <v>0</v>
      </c>
      <c r="BC26" s="206">
        <f>'P &amp; NP'!PI503</f>
        <v>168796</v>
      </c>
      <c r="BD26" s="206">
        <f>'P &amp; NP'!PJ503</f>
        <v>3245637</v>
      </c>
      <c r="BE26" s="206">
        <f>'P &amp; NP'!PY503</f>
        <v>1845865</v>
      </c>
      <c r="BF26" s="206">
        <f>'P &amp; NP'!PZ503</f>
        <v>33127030</v>
      </c>
      <c r="BG26" s="206">
        <f>'P &amp; NP'!QO503</f>
        <v>112500</v>
      </c>
      <c r="BH26" s="206">
        <f>'P &amp; NP'!QP503</f>
        <v>1976500</v>
      </c>
      <c r="BI26" s="206">
        <f>'P &amp; NP'!RE503</f>
        <v>33335</v>
      </c>
      <c r="BJ26" s="206">
        <f>'P &amp; NP'!RF503</f>
        <v>900045</v>
      </c>
      <c r="BK26" s="206">
        <f>'P &amp; NP'!RU503</f>
        <v>66950</v>
      </c>
      <c r="BL26" s="206">
        <f>'P &amp; NP'!RV503</f>
        <v>1600570</v>
      </c>
      <c r="BM26" s="206">
        <f>'P &amp; NP'!SK503</f>
        <v>8300</v>
      </c>
      <c r="BN26" s="206">
        <f>'P &amp; NP'!SL503</f>
        <v>205500</v>
      </c>
      <c r="BO26" s="206">
        <f>'P &amp; NP'!TA503</f>
        <v>31584.98</v>
      </c>
      <c r="BP26" s="206">
        <f>'P &amp; NP'!TB503</f>
        <v>866531.93500000006</v>
      </c>
      <c r="BQ26" s="206">
        <f>'P &amp; NP'!TQ503</f>
        <v>41350</v>
      </c>
      <c r="BR26" s="206">
        <f>'P &amp; NP'!TR503</f>
        <v>1016350</v>
      </c>
      <c r="BS26" s="206">
        <f>'P &amp; NP'!UG503</f>
        <v>5628</v>
      </c>
      <c r="BT26" s="206">
        <f>'P &amp; NP'!UH503</f>
        <v>129444.00200000001</v>
      </c>
      <c r="BU26" s="206">
        <f>'P &amp; NP'!UW503</f>
        <v>0</v>
      </c>
      <c r="BV26" s="206">
        <f>'P &amp; NP'!UX503</f>
        <v>0</v>
      </c>
      <c r="BW26" s="206">
        <f>'P &amp; NP'!VM503</f>
        <v>12300.7</v>
      </c>
      <c r="BX26" s="206">
        <f>'P &amp; NP'!VN503</f>
        <v>317841.5</v>
      </c>
      <c r="BY26" s="206">
        <f>'P &amp; NP'!WC503</f>
        <v>1397859</v>
      </c>
      <c r="BZ26" s="206">
        <f>'P &amp; NP'!WD503</f>
        <v>36437122</v>
      </c>
      <c r="CB26" s="737">
        <f t="shared" si="3"/>
        <v>27568836.800272476</v>
      </c>
      <c r="CC26" s="737">
        <f t="shared" si="4"/>
        <v>551418462.05495596</v>
      </c>
    </row>
    <row r="27" spans="2:81">
      <c r="B27" s="207" t="str">
        <f>'P &amp; NP'!B33</f>
        <v xml:space="preserve">Patin </v>
      </c>
      <c r="C27" s="209">
        <f>'P &amp; NP'!I504</f>
        <v>0</v>
      </c>
      <c r="D27" s="209">
        <f>'P &amp; NP'!J504</f>
        <v>0</v>
      </c>
      <c r="E27" s="209">
        <f>'P &amp; NP'!Y504</f>
        <v>2607133</v>
      </c>
      <c r="F27" s="209">
        <f>'P &amp; NP'!Z504</f>
        <v>52142660</v>
      </c>
      <c r="G27" s="209">
        <f>'P &amp; NP'!AO504</f>
        <v>144300</v>
      </c>
      <c r="H27" s="209">
        <f>'P &amp; NP'!AP504</f>
        <v>2453500</v>
      </c>
      <c r="I27" s="209">
        <f>'P &amp; NP'!BE504</f>
        <v>271401</v>
      </c>
      <c r="J27" s="209">
        <f>'P &amp; NP'!BF504</f>
        <v>4885218</v>
      </c>
      <c r="K27" s="206">
        <f>'P &amp; NP'!BU504</f>
        <v>185</v>
      </c>
      <c r="L27" s="206">
        <f>'P &amp; NP'!BV504</f>
        <v>4995</v>
      </c>
      <c r="M27" s="206">
        <f>'P &amp; NP'!CK504</f>
        <v>18352.278126552195</v>
      </c>
      <c r="N27" s="206">
        <f>'P &amp; NP'!CL504</f>
        <v>348160.49785030633</v>
      </c>
      <c r="O27" s="206">
        <f>'P &amp; NP'!DA504</f>
        <v>0</v>
      </c>
      <c r="P27" s="206">
        <f>'P &amp; NP'!DB504</f>
        <v>0</v>
      </c>
      <c r="Q27" s="206">
        <f>'P &amp; NP'!DQ504</f>
        <v>2066000</v>
      </c>
      <c r="R27" s="206">
        <f>'P &amp; NP'!DR504</f>
        <v>39357100</v>
      </c>
      <c r="S27" s="206">
        <f>'P &amp; NP'!EG504</f>
        <v>1547500</v>
      </c>
      <c r="T27" s="206">
        <f>'P &amp; NP'!EH504</f>
        <v>23212500</v>
      </c>
      <c r="U27" s="206">
        <f>'P &amp; NP'!EW504</f>
        <v>5154</v>
      </c>
      <c r="V27" s="206">
        <f>'P &amp; NP'!EX504</f>
        <v>91843</v>
      </c>
      <c r="W27" s="206">
        <f>'P &amp; NP'!FM504</f>
        <v>9700.4</v>
      </c>
      <c r="X27" s="206">
        <f>'P &amp; NP'!FN504</f>
        <v>213500</v>
      </c>
      <c r="Y27" s="206">
        <f>'P &amp; NP'!GC504</f>
        <v>374000</v>
      </c>
      <c r="Z27" s="206">
        <f>'P &amp; NP'!GD504</f>
        <v>6857000</v>
      </c>
      <c r="AA27" s="206">
        <f>'P &amp; NP'!GS504</f>
        <v>26850</v>
      </c>
      <c r="AB27" s="206">
        <f>'P &amp; NP'!GT504</f>
        <v>453875</v>
      </c>
      <c r="AC27" s="206">
        <f>'P &amp; NP'!HI504</f>
        <v>0</v>
      </c>
      <c r="AD27" s="206">
        <f>'P &amp; NP'!HJ504</f>
        <v>0</v>
      </c>
      <c r="AE27" s="206">
        <f>'P &amp; NP'!HY504</f>
        <v>23550</v>
      </c>
      <c r="AF27" s="206">
        <f>'P &amp; NP'!HZ504</f>
        <v>435000</v>
      </c>
      <c r="AG27" s="206">
        <f>'P &amp; NP'!IO504</f>
        <v>85540</v>
      </c>
      <c r="AH27" s="206">
        <f>'P &amp; NP'!IP504</f>
        <v>1505375</v>
      </c>
      <c r="AI27" s="206">
        <f>'P &amp; NP'!JE504</f>
        <v>178854</v>
      </c>
      <c r="AJ27" s="206">
        <f>'P &amp; NP'!JF504</f>
        <v>3129025</v>
      </c>
      <c r="AK27" s="206">
        <f>'P &amp; NP'!JU504</f>
        <v>0</v>
      </c>
      <c r="AL27" s="206">
        <f>'P &amp; NP'!JV504</f>
        <v>0</v>
      </c>
      <c r="AM27" s="206">
        <f>'P &amp; NP'!KK504</f>
        <v>0</v>
      </c>
      <c r="AN27" s="206">
        <f>'P &amp; NP'!KL504</f>
        <v>0</v>
      </c>
      <c r="AO27" s="206">
        <f>'P &amp; NP'!LA504</f>
        <v>0</v>
      </c>
      <c r="AP27" s="206">
        <f>'P &amp; NP'!LB504</f>
        <v>0</v>
      </c>
      <c r="AQ27" s="206">
        <f>'P &amp; NP'!LQ504</f>
        <v>19357</v>
      </c>
      <c r="AR27" s="206">
        <f>'P &amp; NP'!LR504</f>
        <v>376277</v>
      </c>
      <c r="AS27" s="206">
        <f>'P &amp; NP'!MG504</f>
        <v>0</v>
      </c>
      <c r="AT27" s="206">
        <f>'P &amp; NP'!MH504</f>
        <v>0</v>
      </c>
      <c r="AU27" s="206">
        <f>'P &amp; NP'!MW504</f>
        <v>0</v>
      </c>
      <c r="AV27" s="206">
        <f>'P &amp; NP'!MX504</f>
        <v>0</v>
      </c>
      <c r="AW27" s="206">
        <f>'P &amp; NP'!NM504</f>
        <v>298300</v>
      </c>
      <c r="AX27" s="206">
        <f>'P &amp; NP'!NN504</f>
        <v>5369400</v>
      </c>
      <c r="AY27" s="206">
        <f>'P &amp; NP'!OC504</f>
        <v>0</v>
      </c>
      <c r="AZ27" s="206">
        <f>'P &amp; NP'!OD504</f>
        <v>0</v>
      </c>
      <c r="BA27" s="206">
        <f>'P &amp; NP'!OS504</f>
        <v>0</v>
      </c>
      <c r="BB27" s="206">
        <f>'P &amp; NP'!OT504</f>
        <v>0</v>
      </c>
      <c r="BC27" s="206">
        <f>'P &amp; NP'!PI504</f>
        <v>505252</v>
      </c>
      <c r="BD27" s="206">
        <f>'P &amp; NP'!PJ504</f>
        <v>8539504</v>
      </c>
      <c r="BE27" s="206">
        <f>'P &amp; NP'!PY504</f>
        <v>539950</v>
      </c>
      <c r="BF27" s="206">
        <f>'P &amp; NP'!PZ504</f>
        <v>8111430</v>
      </c>
      <c r="BG27" s="206">
        <f>'P &amp; NP'!QO504</f>
        <v>20262000</v>
      </c>
      <c r="BH27" s="206">
        <f>'P &amp; NP'!QP504</f>
        <v>360546000</v>
      </c>
      <c r="BI27" s="206">
        <f>'P &amp; NP'!RE504</f>
        <v>0</v>
      </c>
      <c r="BJ27" s="206">
        <f>'P &amp; NP'!RF504</f>
        <v>0</v>
      </c>
      <c r="BK27" s="206">
        <f>'P &amp; NP'!RU504</f>
        <v>12900</v>
      </c>
      <c r="BL27" s="206">
        <f>'P &amp; NP'!RV504</f>
        <v>216100</v>
      </c>
      <c r="BM27" s="206">
        <f>'P &amp; NP'!SK504</f>
        <v>0</v>
      </c>
      <c r="BN27" s="206">
        <f>'P &amp; NP'!SL504</f>
        <v>0</v>
      </c>
      <c r="BO27" s="206">
        <f>'P &amp; NP'!TA504</f>
        <v>0</v>
      </c>
      <c r="BP27" s="206">
        <f>'P &amp; NP'!TB504</f>
        <v>0</v>
      </c>
      <c r="BQ27" s="206">
        <f>'P &amp; NP'!TQ504</f>
        <v>0</v>
      </c>
      <c r="BR27" s="206">
        <f>'P &amp; NP'!TR504</f>
        <v>0</v>
      </c>
      <c r="BS27" s="206">
        <f>'P &amp; NP'!UG504</f>
        <v>2701</v>
      </c>
      <c r="BT27" s="206">
        <f>'P &amp; NP'!UH504</f>
        <v>54020.002</v>
      </c>
      <c r="BU27" s="206">
        <f>'P &amp; NP'!UW504</f>
        <v>30</v>
      </c>
      <c r="BV27" s="206">
        <f>'P &amp; NP'!UX504</f>
        <v>660</v>
      </c>
      <c r="BW27" s="206">
        <f>'P &amp; NP'!VM504</f>
        <v>0</v>
      </c>
      <c r="BX27" s="206">
        <f>'P &amp; NP'!VN504</f>
        <v>0</v>
      </c>
      <c r="BY27" s="206">
        <f>'P &amp; NP'!WC504</f>
        <v>5026</v>
      </c>
      <c r="BZ27" s="206">
        <f>'P &amp; NP'!WD504</f>
        <v>117364</v>
      </c>
      <c r="CB27" s="737">
        <f t="shared" si="3"/>
        <v>29004035.678126551</v>
      </c>
      <c r="CC27" s="737">
        <f t="shared" si="4"/>
        <v>518420506.49985027</v>
      </c>
    </row>
    <row r="28" spans="2:81">
      <c r="B28" s="207" t="str">
        <f>'P &amp; NP'!B34</f>
        <v xml:space="preserve">Rajungan </v>
      </c>
      <c r="C28" s="209">
        <f>'P &amp; NP'!I505</f>
        <v>0</v>
      </c>
      <c r="D28" s="209">
        <f>'P &amp; NP'!J505</f>
        <v>0</v>
      </c>
      <c r="E28" s="209">
        <f>'P &amp; NP'!Y505</f>
        <v>0</v>
      </c>
      <c r="F28" s="209">
        <f>'P &amp; NP'!Z505</f>
        <v>0</v>
      </c>
      <c r="G28" s="209">
        <f>'P &amp; NP'!AO505</f>
        <v>0</v>
      </c>
      <c r="H28" s="209">
        <f>'P &amp; NP'!AP505</f>
        <v>0</v>
      </c>
      <c r="I28" s="209">
        <f>'P &amp; NP'!BE505</f>
        <v>0</v>
      </c>
      <c r="J28" s="209">
        <f>'P &amp; NP'!BF505</f>
        <v>0</v>
      </c>
      <c r="K28" s="206">
        <f>'P &amp; NP'!BU505</f>
        <v>0</v>
      </c>
      <c r="L28" s="206">
        <f>'P &amp; NP'!BV505</f>
        <v>0</v>
      </c>
      <c r="M28" s="206">
        <f>'P &amp; NP'!CK505</f>
        <v>0</v>
      </c>
      <c r="N28" s="206">
        <f>'P &amp; NP'!CL505</f>
        <v>0</v>
      </c>
      <c r="O28" s="206">
        <f>'P &amp; NP'!DA505</f>
        <v>0</v>
      </c>
      <c r="P28" s="206">
        <f>'P &amp; NP'!DB505</f>
        <v>0</v>
      </c>
      <c r="Q28" s="206">
        <f>'P &amp; NP'!DQ505</f>
        <v>0</v>
      </c>
      <c r="R28" s="206">
        <f>'P &amp; NP'!DR505</f>
        <v>0</v>
      </c>
      <c r="S28" s="206">
        <f>'P &amp; NP'!EG505</f>
        <v>0</v>
      </c>
      <c r="T28" s="206">
        <f>'P &amp; NP'!EH505</f>
        <v>0</v>
      </c>
      <c r="U28" s="206">
        <f>'P &amp; NP'!EW505</f>
        <v>0</v>
      </c>
      <c r="V28" s="206">
        <f>'P &amp; NP'!EX505</f>
        <v>0</v>
      </c>
      <c r="W28" s="206">
        <f>'P &amp; NP'!FM505</f>
        <v>0</v>
      </c>
      <c r="X28" s="206">
        <f>'P &amp; NP'!FN505</f>
        <v>0</v>
      </c>
      <c r="Y28" s="206">
        <f>'P &amp; NP'!GC505</f>
        <v>0</v>
      </c>
      <c r="Z28" s="206">
        <f>'P &amp; NP'!GD505</f>
        <v>0</v>
      </c>
      <c r="AA28" s="206">
        <f>'P &amp; NP'!GS505</f>
        <v>0</v>
      </c>
      <c r="AB28" s="206">
        <f>'P &amp; NP'!GT505</f>
        <v>0</v>
      </c>
      <c r="AC28" s="206">
        <f>'P &amp; NP'!HI505</f>
        <v>0</v>
      </c>
      <c r="AD28" s="206">
        <f>'P &amp; NP'!HJ505</f>
        <v>0</v>
      </c>
      <c r="AE28" s="206">
        <f>'P &amp; NP'!HY505</f>
        <v>0</v>
      </c>
      <c r="AF28" s="206">
        <f>'P &amp; NP'!HZ505</f>
        <v>0</v>
      </c>
      <c r="AG28" s="206">
        <f>'P &amp; NP'!IO505</f>
        <v>0</v>
      </c>
      <c r="AH28" s="206">
        <f>'P &amp; NP'!IP505</f>
        <v>0</v>
      </c>
      <c r="AI28" s="206">
        <f>'P &amp; NP'!JE505</f>
        <v>0</v>
      </c>
      <c r="AJ28" s="206">
        <f>'P &amp; NP'!JF505</f>
        <v>0</v>
      </c>
      <c r="AK28" s="206">
        <f>'P &amp; NP'!JU505</f>
        <v>0</v>
      </c>
      <c r="AL28" s="206">
        <f>'P &amp; NP'!JV505</f>
        <v>0</v>
      </c>
      <c r="AM28" s="206">
        <f>'P &amp; NP'!KK505</f>
        <v>0</v>
      </c>
      <c r="AN28" s="206">
        <f>'P &amp; NP'!KL505</f>
        <v>0</v>
      </c>
      <c r="AO28" s="206">
        <f>'P &amp; NP'!LA505</f>
        <v>0</v>
      </c>
      <c r="AP28" s="206">
        <f>'P &amp; NP'!LB505</f>
        <v>0</v>
      </c>
      <c r="AQ28" s="206">
        <f>'P &amp; NP'!LQ505</f>
        <v>0</v>
      </c>
      <c r="AR28" s="206">
        <f>'P &amp; NP'!LR505</f>
        <v>0</v>
      </c>
      <c r="AS28" s="206">
        <f>'P &amp; NP'!MG505</f>
        <v>0</v>
      </c>
      <c r="AT28" s="206">
        <f>'P &amp; NP'!MH505</f>
        <v>0</v>
      </c>
      <c r="AU28" s="206">
        <f>'P &amp; NP'!MW505</f>
        <v>0</v>
      </c>
      <c r="AV28" s="206">
        <f>'P &amp; NP'!MX505</f>
        <v>0</v>
      </c>
      <c r="AW28" s="206">
        <f>'P &amp; NP'!NM505</f>
        <v>0</v>
      </c>
      <c r="AX28" s="206">
        <f>'P &amp; NP'!NN505</f>
        <v>0</v>
      </c>
      <c r="AY28" s="206">
        <f>'P &amp; NP'!OC505</f>
        <v>0</v>
      </c>
      <c r="AZ28" s="206">
        <f>'P &amp; NP'!OD505</f>
        <v>0</v>
      </c>
      <c r="BA28" s="206">
        <f>'P &amp; NP'!OS505</f>
        <v>0</v>
      </c>
      <c r="BB28" s="206">
        <f>'P &amp; NP'!OT505</f>
        <v>0</v>
      </c>
      <c r="BC28" s="206">
        <f>'P &amp; NP'!PI505</f>
        <v>0</v>
      </c>
      <c r="BD28" s="206">
        <f>'P &amp; NP'!PJ505</f>
        <v>0</v>
      </c>
      <c r="BE28" s="206">
        <f>'P &amp; NP'!PY505</f>
        <v>0</v>
      </c>
      <c r="BF28" s="206">
        <f>'P &amp; NP'!PZ505</f>
        <v>0</v>
      </c>
      <c r="BG28" s="206">
        <f>'P &amp; NP'!QO505</f>
        <v>0</v>
      </c>
      <c r="BH28" s="206">
        <f>'P &amp; NP'!QP505</f>
        <v>0</v>
      </c>
      <c r="BI28" s="206">
        <f>'P &amp; NP'!RE505</f>
        <v>0</v>
      </c>
      <c r="BJ28" s="206">
        <f>'P &amp; NP'!RF505</f>
        <v>0</v>
      </c>
      <c r="BK28" s="206">
        <f>'P &amp; NP'!RU505</f>
        <v>0</v>
      </c>
      <c r="BL28" s="206">
        <f>'P &amp; NP'!RV505</f>
        <v>0</v>
      </c>
      <c r="BM28" s="206">
        <f>'P &amp; NP'!SK505</f>
        <v>0</v>
      </c>
      <c r="BN28" s="206">
        <f>'P &amp; NP'!SL505</f>
        <v>0</v>
      </c>
      <c r="BO28" s="206">
        <f>'P &amp; NP'!TA505</f>
        <v>0</v>
      </c>
      <c r="BP28" s="206">
        <f>'P &amp; NP'!TB505</f>
        <v>0</v>
      </c>
      <c r="BQ28" s="206">
        <f>'P &amp; NP'!TQ505</f>
        <v>0</v>
      </c>
      <c r="BR28" s="206">
        <f>'P &amp; NP'!TR505</f>
        <v>0</v>
      </c>
      <c r="BS28" s="206">
        <f>'P &amp; NP'!UG505</f>
        <v>0</v>
      </c>
      <c r="BT28" s="206">
        <f>'P &amp; NP'!UH505</f>
        <v>0</v>
      </c>
      <c r="BU28" s="206">
        <f>'P &amp; NP'!UW505</f>
        <v>0</v>
      </c>
      <c r="BV28" s="206">
        <f>'P &amp; NP'!UX505</f>
        <v>0</v>
      </c>
      <c r="BW28" s="206">
        <f>'P &amp; NP'!VM505</f>
        <v>0</v>
      </c>
      <c r="BX28" s="206">
        <f>'P &amp; NP'!VN505</f>
        <v>0</v>
      </c>
      <c r="BY28" s="206">
        <f>'P &amp; NP'!WC505</f>
        <v>0</v>
      </c>
      <c r="BZ28" s="206">
        <f>'P &amp; NP'!WD505</f>
        <v>0</v>
      </c>
      <c r="CB28" s="737">
        <f t="shared" si="3"/>
        <v>0</v>
      </c>
      <c r="CC28" s="737">
        <f t="shared" si="4"/>
        <v>0</v>
      </c>
    </row>
    <row r="29" spans="2:81">
      <c r="B29" s="207" t="str">
        <f>'P &amp; NP'!B35</f>
        <v>Tawes</v>
      </c>
      <c r="C29" s="209">
        <f>'P &amp; NP'!I506</f>
        <v>0</v>
      </c>
      <c r="D29" s="209">
        <f>'P &amp; NP'!J506</f>
        <v>0</v>
      </c>
      <c r="E29" s="209">
        <f>'P &amp; NP'!Y506</f>
        <v>21485</v>
      </c>
      <c r="F29" s="209">
        <f>'P &amp; NP'!Z506</f>
        <v>365245</v>
      </c>
      <c r="G29" s="209">
        <f>'P &amp; NP'!AO506</f>
        <v>0</v>
      </c>
      <c r="H29" s="209">
        <f>'P &amp; NP'!AP506</f>
        <v>0</v>
      </c>
      <c r="I29" s="209">
        <f>'P &amp; NP'!BE506</f>
        <v>31146</v>
      </c>
      <c r="J29" s="209">
        <f>'P &amp; NP'!BF506</f>
        <v>311460</v>
      </c>
      <c r="K29" s="206">
        <f>'P &amp; NP'!BU506</f>
        <v>1070</v>
      </c>
      <c r="L29" s="206">
        <f>'P &amp; NP'!BV506</f>
        <v>21400</v>
      </c>
      <c r="M29" s="206">
        <f>'P &amp; NP'!CK506</f>
        <v>4002267.3146035718</v>
      </c>
      <c r="N29" s="206">
        <f>'P &amp; NP'!CL506</f>
        <v>51129441.156187318</v>
      </c>
      <c r="O29" s="206">
        <f>'P &amp; NP'!DA506</f>
        <v>3938</v>
      </c>
      <c r="P29" s="206">
        <f>'P &amp; NP'!DB506</f>
        <v>65584</v>
      </c>
      <c r="Q29" s="206">
        <f>'P &amp; NP'!DQ506</f>
        <v>0</v>
      </c>
      <c r="R29" s="206">
        <f>'P &amp; NP'!DR506</f>
        <v>0</v>
      </c>
      <c r="S29" s="206">
        <f>'P &amp; NP'!EG506</f>
        <v>1290</v>
      </c>
      <c r="T29" s="206">
        <f>'P &amp; NP'!EH506</f>
        <v>14190</v>
      </c>
      <c r="U29" s="206">
        <f>'P &amp; NP'!EW506</f>
        <v>2498575</v>
      </c>
      <c r="V29" s="206">
        <f>'P &amp; NP'!EX506</f>
        <v>37004829</v>
      </c>
      <c r="W29" s="206">
        <f>'P &amp; NP'!FM506</f>
        <v>900</v>
      </c>
      <c r="X29" s="206">
        <f>'P &amp; NP'!FN506</f>
        <v>16950</v>
      </c>
      <c r="Y29" s="206">
        <f>'P &amp; NP'!GC506</f>
        <v>2450</v>
      </c>
      <c r="Z29" s="206">
        <f>'P &amp; NP'!GD506</f>
        <v>32875</v>
      </c>
      <c r="AA29" s="206">
        <f>'P &amp; NP'!GS506</f>
        <v>0</v>
      </c>
      <c r="AB29" s="206">
        <f>'P &amp; NP'!GT506</f>
        <v>0</v>
      </c>
      <c r="AC29" s="206">
        <f>'P &amp; NP'!HI506</f>
        <v>0</v>
      </c>
      <c r="AD29" s="206">
        <f>'P &amp; NP'!HJ506</f>
        <v>0</v>
      </c>
      <c r="AE29" s="206">
        <f>'P &amp; NP'!HY506</f>
        <v>0</v>
      </c>
      <c r="AF29" s="206">
        <f>'P &amp; NP'!HZ506</f>
        <v>0</v>
      </c>
      <c r="AG29" s="206">
        <f>'P &amp; NP'!IO506</f>
        <v>0</v>
      </c>
      <c r="AH29" s="206">
        <f>'P &amp; NP'!IP506</f>
        <v>0</v>
      </c>
      <c r="AI29" s="206">
        <f>'P &amp; NP'!JE506</f>
        <v>0</v>
      </c>
      <c r="AJ29" s="206">
        <f>'P &amp; NP'!JF506</f>
        <v>0</v>
      </c>
      <c r="AK29" s="206">
        <f>'P &amp; NP'!JU506</f>
        <v>0</v>
      </c>
      <c r="AL29" s="206">
        <f>'P &amp; NP'!JV506</f>
        <v>0</v>
      </c>
      <c r="AM29" s="206">
        <f>'P &amp; NP'!KK506</f>
        <v>0</v>
      </c>
      <c r="AN29" s="206">
        <f>'P &amp; NP'!KL506</f>
        <v>0</v>
      </c>
      <c r="AO29" s="206">
        <f>'P &amp; NP'!LA506</f>
        <v>0</v>
      </c>
      <c r="AP29" s="206">
        <f>'P &amp; NP'!LB506</f>
        <v>0</v>
      </c>
      <c r="AQ29" s="206">
        <f>'P &amp; NP'!LQ506</f>
        <v>0</v>
      </c>
      <c r="AR29" s="206">
        <f>'P &amp; NP'!LR506</f>
        <v>0</v>
      </c>
      <c r="AS29" s="206">
        <f>'P &amp; NP'!MG506</f>
        <v>0</v>
      </c>
      <c r="AT29" s="206">
        <f>'P &amp; NP'!MH506</f>
        <v>0</v>
      </c>
      <c r="AU29" s="206">
        <f>'P &amp; NP'!MW506</f>
        <v>0</v>
      </c>
      <c r="AV29" s="206">
        <f>'P &amp; NP'!MX506</f>
        <v>0</v>
      </c>
      <c r="AW29" s="206">
        <f>'P &amp; NP'!NM506</f>
        <v>0</v>
      </c>
      <c r="AX29" s="206">
        <f>'P &amp; NP'!NN506</f>
        <v>0</v>
      </c>
      <c r="AY29" s="206">
        <f>'P &amp; NP'!OC506</f>
        <v>0</v>
      </c>
      <c r="AZ29" s="206">
        <f>'P &amp; NP'!OD506</f>
        <v>0</v>
      </c>
      <c r="BA29" s="206">
        <f>'P &amp; NP'!OS506</f>
        <v>0</v>
      </c>
      <c r="BB29" s="206">
        <f>'P &amp; NP'!OT506</f>
        <v>0</v>
      </c>
      <c r="BC29" s="206">
        <f>'P &amp; NP'!PI506</f>
        <v>0</v>
      </c>
      <c r="BD29" s="206">
        <f>'P &amp; NP'!PJ506</f>
        <v>0</v>
      </c>
      <c r="BE29" s="206">
        <f>'P &amp; NP'!PY506</f>
        <v>902940</v>
      </c>
      <c r="BF29" s="206">
        <f>'P &amp; NP'!PZ506</f>
        <v>12876385</v>
      </c>
      <c r="BG29" s="206">
        <f>'P &amp; NP'!QO506</f>
        <v>0</v>
      </c>
      <c r="BH29" s="206">
        <f>'P &amp; NP'!QP506</f>
        <v>0</v>
      </c>
      <c r="BI29" s="206">
        <f>'P &amp; NP'!RE506</f>
        <v>0</v>
      </c>
      <c r="BJ29" s="206">
        <f>'P &amp; NP'!RF506</f>
        <v>0</v>
      </c>
      <c r="BK29" s="206">
        <f>'P &amp; NP'!RU506</f>
        <v>0</v>
      </c>
      <c r="BL29" s="206">
        <f>'P &amp; NP'!RV506</f>
        <v>0</v>
      </c>
      <c r="BM29" s="206">
        <f>'P &amp; NP'!SK506</f>
        <v>0</v>
      </c>
      <c r="BN29" s="206">
        <f>'P &amp; NP'!SL506</f>
        <v>0</v>
      </c>
      <c r="BO29" s="206">
        <f>'P &amp; NP'!TA506</f>
        <v>0</v>
      </c>
      <c r="BP29" s="206">
        <f>'P &amp; NP'!TB506</f>
        <v>0</v>
      </c>
      <c r="BQ29" s="206">
        <f>'P &amp; NP'!TQ506</f>
        <v>0</v>
      </c>
      <c r="BR29" s="206">
        <f>'P &amp; NP'!TR506</f>
        <v>0</v>
      </c>
      <c r="BS29" s="206">
        <f>'P &amp; NP'!UG506</f>
        <v>0</v>
      </c>
      <c r="BT29" s="206">
        <f>'P &amp; NP'!UH506</f>
        <v>0</v>
      </c>
      <c r="BU29" s="206">
        <f>'P &amp; NP'!UW506</f>
        <v>0</v>
      </c>
      <c r="BV29" s="206">
        <f>'P &amp; NP'!UX506</f>
        <v>0</v>
      </c>
      <c r="BW29" s="206">
        <f>'P &amp; NP'!VM506</f>
        <v>0</v>
      </c>
      <c r="BX29" s="206">
        <f>'P &amp; NP'!VN506</f>
        <v>0</v>
      </c>
      <c r="BY29" s="206">
        <f>'P &amp; NP'!WC506</f>
        <v>0</v>
      </c>
      <c r="BZ29" s="206">
        <f>'P &amp; NP'!WD506</f>
        <v>0</v>
      </c>
      <c r="CB29" s="737">
        <f t="shared" si="3"/>
        <v>7466061.3146035718</v>
      </c>
      <c r="CC29" s="737">
        <f t="shared" si="4"/>
        <v>101838359.15618733</v>
      </c>
    </row>
    <row r="30" spans="2:81">
      <c r="B30" s="207" t="str">
        <f>'P &amp; NP'!B36</f>
        <v>Teri</v>
      </c>
      <c r="C30" s="209">
        <f>'P &amp; NP'!I507</f>
        <v>0</v>
      </c>
      <c r="D30" s="209">
        <f>'P &amp; NP'!J507</f>
        <v>0</v>
      </c>
      <c r="E30" s="209">
        <f>'P &amp; NP'!Y507</f>
        <v>0</v>
      </c>
      <c r="F30" s="209">
        <f>'P &amp; NP'!Z507</f>
        <v>0</v>
      </c>
      <c r="G30" s="209">
        <f>'P &amp; NP'!AO507</f>
        <v>0</v>
      </c>
      <c r="H30" s="209">
        <f>'P &amp; NP'!AP507</f>
        <v>0</v>
      </c>
      <c r="I30" s="209">
        <f>'P &amp; NP'!BE507</f>
        <v>0</v>
      </c>
      <c r="J30" s="209">
        <f>'P &amp; NP'!BF507</f>
        <v>0</v>
      </c>
      <c r="K30" s="206">
        <f>'P &amp; NP'!BU507</f>
        <v>0</v>
      </c>
      <c r="L30" s="206">
        <f>'P &amp; NP'!BV507</f>
        <v>0</v>
      </c>
      <c r="M30" s="206">
        <f>'P &amp; NP'!CK507</f>
        <v>0</v>
      </c>
      <c r="N30" s="206">
        <f>'P &amp; NP'!CL507</f>
        <v>0</v>
      </c>
      <c r="O30" s="206">
        <f>'P &amp; NP'!DA507</f>
        <v>0</v>
      </c>
      <c r="P30" s="206">
        <f>'P &amp; NP'!DB507</f>
        <v>0</v>
      </c>
      <c r="Q30" s="206">
        <f>'P &amp; NP'!DQ507</f>
        <v>0</v>
      </c>
      <c r="R30" s="206">
        <f>'P &amp; NP'!DR507</f>
        <v>0</v>
      </c>
      <c r="S30" s="206">
        <f>'P &amp; NP'!EG507</f>
        <v>0</v>
      </c>
      <c r="T30" s="206">
        <f>'P &amp; NP'!EH507</f>
        <v>0</v>
      </c>
      <c r="U30" s="206">
        <f>'P &amp; NP'!EW507</f>
        <v>0</v>
      </c>
      <c r="V30" s="206">
        <f>'P &amp; NP'!EX507</f>
        <v>0</v>
      </c>
      <c r="W30" s="206">
        <f>'P &amp; NP'!FM507</f>
        <v>0</v>
      </c>
      <c r="X30" s="206">
        <f>'P &amp; NP'!FN507</f>
        <v>0</v>
      </c>
      <c r="Y30" s="206">
        <f>'P &amp; NP'!GC507</f>
        <v>0</v>
      </c>
      <c r="Z30" s="206">
        <f>'P &amp; NP'!GD507</f>
        <v>0</v>
      </c>
      <c r="AA30" s="206">
        <f>'P &amp; NP'!GS507</f>
        <v>0</v>
      </c>
      <c r="AB30" s="206">
        <f>'P &amp; NP'!GT507</f>
        <v>0</v>
      </c>
      <c r="AC30" s="206">
        <f>'P &amp; NP'!HI507</f>
        <v>0</v>
      </c>
      <c r="AD30" s="206">
        <f>'P &amp; NP'!HJ507</f>
        <v>0</v>
      </c>
      <c r="AE30" s="206">
        <f>'P &amp; NP'!HY507</f>
        <v>0</v>
      </c>
      <c r="AF30" s="206">
        <f>'P &amp; NP'!HZ507</f>
        <v>0</v>
      </c>
      <c r="AG30" s="206">
        <f>'P &amp; NP'!IO507</f>
        <v>0</v>
      </c>
      <c r="AH30" s="206">
        <f>'P &amp; NP'!IP507</f>
        <v>0</v>
      </c>
      <c r="AI30" s="206">
        <f>'P &amp; NP'!JE507</f>
        <v>0</v>
      </c>
      <c r="AJ30" s="206">
        <f>'P &amp; NP'!JF507</f>
        <v>0</v>
      </c>
      <c r="AK30" s="206">
        <f>'P &amp; NP'!JU507</f>
        <v>0</v>
      </c>
      <c r="AL30" s="206">
        <f>'P &amp; NP'!JV507</f>
        <v>0</v>
      </c>
      <c r="AM30" s="206">
        <f>'P &amp; NP'!KK507</f>
        <v>0</v>
      </c>
      <c r="AN30" s="206">
        <f>'P &amp; NP'!KL507</f>
        <v>0</v>
      </c>
      <c r="AO30" s="206">
        <f>'P &amp; NP'!LA507</f>
        <v>0</v>
      </c>
      <c r="AP30" s="206">
        <f>'P &amp; NP'!LB507</f>
        <v>0</v>
      </c>
      <c r="AQ30" s="206">
        <f>'P &amp; NP'!LQ507</f>
        <v>0</v>
      </c>
      <c r="AR30" s="206">
        <f>'P &amp; NP'!LR507</f>
        <v>0</v>
      </c>
      <c r="AS30" s="206">
        <f>'P &amp; NP'!MG507</f>
        <v>0</v>
      </c>
      <c r="AT30" s="206">
        <f>'P &amp; NP'!MH507</f>
        <v>0</v>
      </c>
      <c r="AU30" s="206">
        <f>'P &amp; NP'!MW507</f>
        <v>0</v>
      </c>
      <c r="AV30" s="206">
        <f>'P &amp; NP'!MX507</f>
        <v>0</v>
      </c>
      <c r="AW30" s="206">
        <f>'P &amp; NP'!NM507</f>
        <v>0</v>
      </c>
      <c r="AX30" s="206">
        <f>'P &amp; NP'!NN507</f>
        <v>0</v>
      </c>
      <c r="AY30" s="206">
        <f>'P &amp; NP'!OC507</f>
        <v>0</v>
      </c>
      <c r="AZ30" s="206">
        <f>'P &amp; NP'!OD507</f>
        <v>0</v>
      </c>
      <c r="BA30" s="206">
        <f>'P &amp; NP'!OS507</f>
        <v>0</v>
      </c>
      <c r="BB30" s="206">
        <f>'P &amp; NP'!OT507</f>
        <v>0</v>
      </c>
      <c r="BC30" s="206">
        <f>'P &amp; NP'!PI507</f>
        <v>0</v>
      </c>
      <c r="BD30" s="206">
        <f>'P &amp; NP'!PJ507</f>
        <v>0</v>
      </c>
      <c r="BE30" s="206">
        <f>'P &amp; NP'!PY507</f>
        <v>0</v>
      </c>
      <c r="BF30" s="206">
        <f>'P &amp; NP'!PZ507</f>
        <v>0</v>
      </c>
      <c r="BG30" s="206">
        <f>'P &amp; NP'!QO507</f>
        <v>0</v>
      </c>
      <c r="BH30" s="206">
        <f>'P &amp; NP'!QP507</f>
        <v>0</v>
      </c>
      <c r="BI30" s="206">
        <f>'P &amp; NP'!RE507</f>
        <v>0</v>
      </c>
      <c r="BJ30" s="206">
        <f>'P &amp; NP'!RF507</f>
        <v>0</v>
      </c>
      <c r="BK30" s="206">
        <f>'P &amp; NP'!RU507</f>
        <v>0</v>
      </c>
      <c r="BL30" s="206">
        <f>'P &amp; NP'!RV507</f>
        <v>0</v>
      </c>
      <c r="BM30" s="206">
        <f>'P &amp; NP'!SK507</f>
        <v>0</v>
      </c>
      <c r="BN30" s="206">
        <f>'P &amp; NP'!SL507</f>
        <v>0</v>
      </c>
      <c r="BO30" s="206">
        <f>'P &amp; NP'!TA507</f>
        <v>0</v>
      </c>
      <c r="BP30" s="206">
        <f>'P &amp; NP'!TB507</f>
        <v>0</v>
      </c>
      <c r="BQ30" s="206">
        <f>'P &amp; NP'!TQ507</f>
        <v>0</v>
      </c>
      <c r="BR30" s="206">
        <f>'P &amp; NP'!TR507</f>
        <v>0</v>
      </c>
      <c r="BS30" s="206">
        <f>'P &amp; NP'!UG507</f>
        <v>0</v>
      </c>
      <c r="BT30" s="206">
        <f>'P &amp; NP'!UH507</f>
        <v>0</v>
      </c>
      <c r="BU30" s="206">
        <f>'P &amp; NP'!UW507</f>
        <v>0</v>
      </c>
      <c r="BV30" s="206">
        <f>'P &amp; NP'!UX507</f>
        <v>0</v>
      </c>
      <c r="BW30" s="206">
        <f>'P &amp; NP'!VM507</f>
        <v>0</v>
      </c>
      <c r="BX30" s="206">
        <f>'P &amp; NP'!VN507</f>
        <v>0</v>
      </c>
      <c r="BY30" s="206">
        <f>'P &amp; NP'!WC507</f>
        <v>0</v>
      </c>
      <c r="BZ30" s="206">
        <f>'P &amp; NP'!WD507</f>
        <v>0</v>
      </c>
      <c r="CB30" s="737">
        <f t="shared" si="3"/>
        <v>0</v>
      </c>
      <c r="CC30" s="737">
        <f t="shared" si="4"/>
        <v>0</v>
      </c>
    </row>
    <row r="31" spans="2:81">
      <c r="B31" s="207" t="str">
        <f>'P &amp; NP'!B37</f>
        <v xml:space="preserve">Udang Galah </v>
      </c>
      <c r="C31" s="209">
        <f>'P &amp; NP'!I508</f>
        <v>0</v>
      </c>
      <c r="D31" s="209">
        <f>'P &amp; NP'!J508</f>
        <v>0</v>
      </c>
      <c r="E31" s="209">
        <f>'P &amp; NP'!Y508</f>
        <v>0</v>
      </c>
      <c r="F31" s="209">
        <f>'P &amp; NP'!Z508</f>
        <v>0</v>
      </c>
      <c r="G31" s="209">
        <f>'P &amp; NP'!AO508</f>
        <v>0</v>
      </c>
      <c r="H31" s="209">
        <f>'P &amp; NP'!AP508</f>
        <v>0</v>
      </c>
      <c r="I31" s="209">
        <f>'P &amp; NP'!BE508</f>
        <v>0</v>
      </c>
      <c r="J31" s="209">
        <f>'P &amp; NP'!BF508</f>
        <v>0</v>
      </c>
      <c r="K31" s="206">
        <f>'P &amp; NP'!BU508</f>
        <v>0</v>
      </c>
      <c r="L31" s="206">
        <f>'P &amp; NP'!BV508</f>
        <v>0</v>
      </c>
      <c r="M31" s="206">
        <f>'P &amp; NP'!CK508</f>
        <v>0</v>
      </c>
      <c r="N31" s="206">
        <f>'P &amp; NP'!CL508</f>
        <v>0</v>
      </c>
      <c r="O31" s="206">
        <f>'P &amp; NP'!DA508</f>
        <v>0</v>
      </c>
      <c r="P31" s="206">
        <f>'P &amp; NP'!DB508</f>
        <v>0</v>
      </c>
      <c r="Q31" s="206">
        <f>'P &amp; NP'!DQ508</f>
        <v>0</v>
      </c>
      <c r="R31" s="206">
        <f>'P &amp; NP'!DR508</f>
        <v>0</v>
      </c>
      <c r="S31" s="206">
        <f>'P &amp; NP'!EG508</f>
        <v>0</v>
      </c>
      <c r="T31" s="206">
        <f>'P &amp; NP'!EH508</f>
        <v>0</v>
      </c>
      <c r="U31" s="206">
        <f>'P &amp; NP'!EW508</f>
        <v>0</v>
      </c>
      <c r="V31" s="206">
        <f>'P &amp; NP'!EX508</f>
        <v>0</v>
      </c>
      <c r="W31" s="206">
        <f>'P &amp; NP'!FM508</f>
        <v>0</v>
      </c>
      <c r="X31" s="206">
        <f>'P &amp; NP'!FN508</f>
        <v>0</v>
      </c>
      <c r="Y31" s="206">
        <f>'P &amp; NP'!GC508</f>
        <v>0</v>
      </c>
      <c r="Z31" s="206">
        <f>'P &amp; NP'!GD508</f>
        <v>0</v>
      </c>
      <c r="AA31" s="206">
        <f>'P &amp; NP'!GS508</f>
        <v>0</v>
      </c>
      <c r="AB31" s="206">
        <f>'P &amp; NP'!GT508</f>
        <v>0</v>
      </c>
      <c r="AC31" s="206">
        <f>'P &amp; NP'!HI508</f>
        <v>0</v>
      </c>
      <c r="AD31" s="206">
        <f>'P &amp; NP'!HJ508</f>
        <v>0</v>
      </c>
      <c r="AE31" s="206">
        <f>'P &amp; NP'!HY508</f>
        <v>0</v>
      </c>
      <c r="AF31" s="206">
        <f>'P &amp; NP'!HZ508</f>
        <v>0</v>
      </c>
      <c r="AG31" s="206">
        <f>'P &amp; NP'!IO508</f>
        <v>0</v>
      </c>
      <c r="AH31" s="206">
        <f>'P &amp; NP'!IP508</f>
        <v>0</v>
      </c>
      <c r="AI31" s="206">
        <f>'P &amp; NP'!JE508</f>
        <v>0</v>
      </c>
      <c r="AJ31" s="206">
        <f>'P &amp; NP'!JF508</f>
        <v>0</v>
      </c>
      <c r="AK31" s="206">
        <f>'P &amp; NP'!JU508</f>
        <v>0</v>
      </c>
      <c r="AL31" s="206">
        <f>'P &amp; NP'!JV508</f>
        <v>0</v>
      </c>
      <c r="AM31" s="206">
        <f>'P &amp; NP'!KK508</f>
        <v>0</v>
      </c>
      <c r="AN31" s="206">
        <f>'P &amp; NP'!KL508</f>
        <v>0</v>
      </c>
      <c r="AO31" s="206">
        <f>'P &amp; NP'!LA508</f>
        <v>0</v>
      </c>
      <c r="AP31" s="206">
        <f>'P &amp; NP'!LB508</f>
        <v>0</v>
      </c>
      <c r="AQ31" s="206">
        <f>'P &amp; NP'!LQ508</f>
        <v>0</v>
      </c>
      <c r="AR31" s="206">
        <f>'P &amp; NP'!LR508</f>
        <v>0</v>
      </c>
      <c r="AS31" s="206">
        <f>'P &amp; NP'!MG508</f>
        <v>0</v>
      </c>
      <c r="AT31" s="206">
        <f>'P &amp; NP'!MH508</f>
        <v>0</v>
      </c>
      <c r="AU31" s="206">
        <f>'P &amp; NP'!MW508</f>
        <v>0</v>
      </c>
      <c r="AV31" s="206">
        <f>'P &amp; NP'!MX508</f>
        <v>0</v>
      </c>
      <c r="AW31" s="206">
        <f>'P &amp; NP'!NM508</f>
        <v>0</v>
      </c>
      <c r="AX31" s="206">
        <f>'P &amp; NP'!NN508</f>
        <v>0</v>
      </c>
      <c r="AY31" s="206">
        <f>'P &amp; NP'!OC508</f>
        <v>0</v>
      </c>
      <c r="AZ31" s="206">
        <f>'P &amp; NP'!OD508</f>
        <v>0</v>
      </c>
      <c r="BA31" s="206">
        <f>'P &amp; NP'!OS508</f>
        <v>0</v>
      </c>
      <c r="BB31" s="206">
        <f>'P &amp; NP'!OT508</f>
        <v>0</v>
      </c>
      <c r="BC31" s="206">
        <f>'P &amp; NP'!PI508</f>
        <v>0</v>
      </c>
      <c r="BD31" s="206">
        <f>'P &amp; NP'!PJ508</f>
        <v>0</v>
      </c>
      <c r="BE31" s="206">
        <f>'P &amp; NP'!PY508</f>
        <v>0</v>
      </c>
      <c r="BF31" s="206">
        <f>'P &amp; NP'!PZ508</f>
        <v>0</v>
      </c>
      <c r="BG31" s="206">
        <f>'P &amp; NP'!QO508</f>
        <v>0</v>
      </c>
      <c r="BH31" s="206">
        <f>'P &amp; NP'!QP508</f>
        <v>0</v>
      </c>
      <c r="BI31" s="206">
        <f>'P &amp; NP'!RE508</f>
        <v>0</v>
      </c>
      <c r="BJ31" s="206">
        <f>'P &amp; NP'!RF508</f>
        <v>0</v>
      </c>
      <c r="BK31" s="206">
        <f>'P &amp; NP'!RU508</f>
        <v>0</v>
      </c>
      <c r="BL31" s="206">
        <f>'P &amp; NP'!RV508</f>
        <v>0</v>
      </c>
      <c r="BM31" s="206">
        <f>'P &amp; NP'!SK508</f>
        <v>0</v>
      </c>
      <c r="BN31" s="206">
        <f>'P &amp; NP'!SL508</f>
        <v>0</v>
      </c>
      <c r="BO31" s="206">
        <f>'P &amp; NP'!TA508</f>
        <v>0</v>
      </c>
      <c r="BP31" s="206">
        <f>'P &amp; NP'!TB508</f>
        <v>0</v>
      </c>
      <c r="BQ31" s="206">
        <f>'P &amp; NP'!TQ508</f>
        <v>0</v>
      </c>
      <c r="BR31" s="206">
        <f>'P &amp; NP'!TR508</f>
        <v>0</v>
      </c>
      <c r="BS31" s="206">
        <f>'P &amp; NP'!UG508</f>
        <v>0</v>
      </c>
      <c r="BT31" s="206">
        <f>'P &amp; NP'!UH508</f>
        <v>0</v>
      </c>
      <c r="BU31" s="206">
        <f>'P &amp; NP'!UW508</f>
        <v>0</v>
      </c>
      <c r="BV31" s="206">
        <f>'P &amp; NP'!UX508</f>
        <v>0</v>
      </c>
      <c r="BW31" s="206">
        <f>'P &amp; NP'!VM508</f>
        <v>0</v>
      </c>
      <c r="BX31" s="206">
        <f>'P &amp; NP'!VN508</f>
        <v>0</v>
      </c>
      <c r="BY31" s="206">
        <f>'P &amp; NP'!WC508</f>
        <v>0</v>
      </c>
      <c r="BZ31" s="206">
        <f>'P &amp; NP'!WD508</f>
        <v>0</v>
      </c>
      <c r="CB31" s="737">
        <f t="shared" si="3"/>
        <v>0</v>
      </c>
      <c r="CC31" s="737">
        <f t="shared" si="4"/>
        <v>0</v>
      </c>
    </row>
    <row r="32" spans="2:81">
      <c r="B32" s="207" t="str">
        <f>'P &amp; NP'!B38</f>
        <v>Udang Putih</v>
      </c>
      <c r="C32" s="209">
        <f>'P &amp; NP'!I509</f>
        <v>0</v>
      </c>
      <c r="D32" s="209">
        <f>'P &amp; NP'!J509</f>
        <v>0</v>
      </c>
      <c r="E32" s="209">
        <f>'P &amp; NP'!Y509</f>
        <v>0</v>
      </c>
      <c r="F32" s="209">
        <f>'P &amp; NP'!Z509</f>
        <v>0</v>
      </c>
      <c r="G32" s="209">
        <f>'P &amp; NP'!AO509</f>
        <v>0</v>
      </c>
      <c r="H32" s="209">
        <f>'P &amp; NP'!AP509</f>
        <v>0</v>
      </c>
      <c r="I32" s="209">
        <f>'P &amp; NP'!BE509</f>
        <v>0</v>
      </c>
      <c r="J32" s="209">
        <f>'P &amp; NP'!BF509</f>
        <v>0</v>
      </c>
      <c r="K32" s="206">
        <f>'P &amp; NP'!BU509</f>
        <v>0</v>
      </c>
      <c r="L32" s="206">
        <f>'P &amp; NP'!BV509</f>
        <v>0</v>
      </c>
      <c r="M32" s="206">
        <f>'P &amp; NP'!CK509</f>
        <v>0</v>
      </c>
      <c r="N32" s="206">
        <f>'P &amp; NP'!CL509</f>
        <v>0</v>
      </c>
      <c r="O32" s="206">
        <f>'P &amp; NP'!DA509</f>
        <v>0</v>
      </c>
      <c r="P32" s="206">
        <f>'P &amp; NP'!DB509</f>
        <v>0</v>
      </c>
      <c r="Q32" s="206">
        <f>'P &amp; NP'!DQ509</f>
        <v>0</v>
      </c>
      <c r="R32" s="206">
        <f>'P &amp; NP'!DR509</f>
        <v>0</v>
      </c>
      <c r="S32" s="206">
        <f>'P &amp; NP'!EG509</f>
        <v>0</v>
      </c>
      <c r="T32" s="206">
        <f>'P &amp; NP'!EH509</f>
        <v>0</v>
      </c>
      <c r="U32" s="206">
        <f>'P &amp; NP'!EW509</f>
        <v>0</v>
      </c>
      <c r="V32" s="206">
        <f>'P &amp; NP'!EX509</f>
        <v>0</v>
      </c>
      <c r="W32" s="206">
        <f>'P &amp; NP'!FM509</f>
        <v>0</v>
      </c>
      <c r="X32" s="206">
        <f>'P &amp; NP'!FN509</f>
        <v>0</v>
      </c>
      <c r="Y32" s="206">
        <f>'P &amp; NP'!GC509</f>
        <v>0</v>
      </c>
      <c r="Z32" s="206">
        <f>'P &amp; NP'!GD509</f>
        <v>0</v>
      </c>
      <c r="AA32" s="206">
        <f>'P &amp; NP'!GS509</f>
        <v>0</v>
      </c>
      <c r="AB32" s="206">
        <f>'P &amp; NP'!GT509</f>
        <v>0</v>
      </c>
      <c r="AC32" s="206">
        <f>'P &amp; NP'!HI509</f>
        <v>0</v>
      </c>
      <c r="AD32" s="206">
        <f>'P &amp; NP'!HJ509</f>
        <v>0</v>
      </c>
      <c r="AE32" s="206">
        <f>'P &amp; NP'!HY509</f>
        <v>0</v>
      </c>
      <c r="AF32" s="206">
        <f>'P &amp; NP'!HZ509</f>
        <v>0</v>
      </c>
      <c r="AG32" s="206">
        <f>'P &amp; NP'!IO509</f>
        <v>0</v>
      </c>
      <c r="AH32" s="206">
        <f>'P &amp; NP'!IP509</f>
        <v>0</v>
      </c>
      <c r="AI32" s="206">
        <f>'P &amp; NP'!JE509</f>
        <v>0</v>
      </c>
      <c r="AJ32" s="206">
        <f>'P &amp; NP'!JF509</f>
        <v>0</v>
      </c>
      <c r="AK32" s="206">
        <f>'P &amp; NP'!JU509</f>
        <v>0</v>
      </c>
      <c r="AL32" s="206">
        <f>'P &amp; NP'!JV509</f>
        <v>0</v>
      </c>
      <c r="AM32" s="206">
        <f>'P &amp; NP'!KK509</f>
        <v>0</v>
      </c>
      <c r="AN32" s="206">
        <f>'P &amp; NP'!KL509</f>
        <v>0</v>
      </c>
      <c r="AO32" s="206">
        <f>'P &amp; NP'!LA509</f>
        <v>0</v>
      </c>
      <c r="AP32" s="206">
        <f>'P &amp; NP'!LB509</f>
        <v>0</v>
      </c>
      <c r="AQ32" s="206">
        <f>'P &amp; NP'!LQ509</f>
        <v>0</v>
      </c>
      <c r="AR32" s="206">
        <f>'P &amp; NP'!LR509</f>
        <v>0</v>
      </c>
      <c r="AS32" s="206">
        <f>'P &amp; NP'!MG509</f>
        <v>0</v>
      </c>
      <c r="AT32" s="206">
        <f>'P &amp; NP'!MH509</f>
        <v>0</v>
      </c>
      <c r="AU32" s="206">
        <f>'P &amp; NP'!MW509</f>
        <v>0</v>
      </c>
      <c r="AV32" s="206">
        <f>'P &amp; NP'!MX509</f>
        <v>0</v>
      </c>
      <c r="AW32" s="206">
        <f>'P &amp; NP'!NM509</f>
        <v>0</v>
      </c>
      <c r="AX32" s="206">
        <f>'P &amp; NP'!NN509</f>
        <v>0</v>
      </c>
      <c r="AY32" s="206">
        <f>'P &amp; NP'!OC509</f>
        <v>0</v>
      </c>
      <c r="AZ32" s="206">
        <f>'P &amp; NP'!OD509</f>
        <v>0</v>
      </c>
      <c r="BA32" s="206">
        <f>'P &amp; NP'!OS509</f>
        <v>0</v>
      </c>
      <c r="BB32" s="206">
        <f>'P &amp; NP'!OT509</f>
        <v>0</v>
      </c>
      <c r="BC32" s="206">
        <f>'P &amp; NP'!PI509</f>
        <v>0</v>
      </c>
      <c r="BD32" s="206">
        <f>'P &amp; NP'!PJ509</f>
        <v>0</v>
      </c>
      <c r="BE32" s="206">
        <f>'P &amp; NP'!PY509</f>
        <v>0</v>
      </c>
      <c r="BF32" s="206">
        <f>'P &amp; NP'!PZ509</f>
        <v>0</v>
      </c>
      <c r="BG32" s="206">
        <f>'P &amp; NP'!QO509</f>
        <v>0</v>
      </c>
      <c r="BH32" s="206">
        <f>'P &amp; NP'!QP509</f>
        <v>0</v>
      </c>
      <c r="BI32" s="206">
        <f>'P &amp; NP'!RE509</f>
        <v>0</v>
      </c>
      <c r="BJ32" s="206">
        <f>'P &amp; NP'!RF509</f>
        <v>0</v>
      </c>
      <c r="BK32" s="206">
        <f>'P &amp; NP'!RU509</f>
        <v>0</v>
      </c>
      <c r="BL32" s="206">
        <f>'P &amp; NP'!RV509</f>
        <v>0</v>
      </c>
      <c r="BM32" s="206">
        <f>'P &amp; NP'!SK509</f>
        <v>0</v>
      </c>
      <c r="BN32" s="206">
        <f>'P &amp; NP'!SL509</f>
        <v>0</v>
      </c>
      <c r="BO32" s="206">
        <f>'P &amp; NP'!TA509</f>
        <v>0</v>
      </c>
      <c r="BP32" s="206">
        <f>'P &amp; NP'!TB509</f>
        <v>0</v>
      </c>
      <c r="BQ32" s="206">
        <f>'P &amp; NP'!TQ509</f>
        <v>0</v>
      </c>
      <c r="BR32" s="206">
        <f>'P &amp; NP'!TR509</f>
        <v>0</v>
      </c>
      <c r="BS32" s="206">
        <f>'P &amp; NP'!UG509</f>
        <v>0</v>
      </c>
      <c r="BT32" s="206">
        <f>'P &amp; NP'!UH509</f>
        <v>0</v>
      </c>
      <c r="BU32" s="206">
        <f>'P &amp; NP'!UW509</f>
        <v>0</v>
      </c>
      <c r="BV32" s="206">
        <f>'P &amp; NP'!UX509</f>
        <v>0</v>
      </c>
      <c r="BW32" s="206">
        <f>'P &amp; NP'!VM509</f>
        <v>0</v>
      </c>
      <c r="BX32" s="206">
        <f>'P &amp; NP'!VN509</f>
        <v>0</v>
      </c>
      <c r="BY32" s="206">
        <f>'P &amp; NP'!WC509</f>
        <v>0</v>
      </c>
      <c r="BZ32" s="206">
        <f>'P &amp; NP'!WD509</f>
        <v>0</v>
      </c>
      <c r="CB32" s="737">
        <f t="shared" si="3"/>
        <v>0</v>
      </c>
      <c r="CC32" s="737">
        <f t="shared" si="4"/>
        <v>0</v>
      </c>
    </row>
    <row r="33" spans="2:81">
      <c r="B33" s="207" t="str">
        <f>'P &amp; NP'!B39</f>
        <v xml:space="preserve">Udang Vaname </v>
      </c>
      <c r="C33" s="209">
        <f>'P &amp; NP'!I510</f>
        <v>0</v>
      </c>
      <c r="D33" s="209">
        <f>'P &amp; NP'!J510</f>
        <v>0</v>
      </c>
      <c r="E33" s="209">
        <f>'P &amp; NP'!Y510</f>
        <v>0</v>
      </c>
      <c r="F33" s="209">
        <f>'P &amp; NP'!Z510</f>
        <v>0</v>
      </c>
      <c r="G33" s="209">
        <f>'P &amp; NP'!AO510</f>
        <v>0</v>
      </c>
      <c r="H33" s="209">
        <f>'P &amp; NP'!AP510</f>
        <v>0</v>
      </c>
      <c r="I33" s="209">
        <f>'P &amp; NP'!BE510</f>
        <v>0</v>
      </c>
      <c r="J33" s="209">
        <f>'P &amp; NP'!BF510</f>
        <v>0</v>
      </c>
      <c r="K33" s="206">
        <f>'P &amp; NP'!BU510</f>
        <v>0</v>
      </c>
      <c r="L33" s="206">
        <f>'P &amp; NP'!BV510</f>
        <v>0</v>
      </c>
      <c r="M33" s="206">
        <f>'P &amp; NP'!CK510</f>
        <v>0</v>
      </c>
      <c r="N33" s="206">
        <f>'P &amp; NP'!CL510</f>
        <v>0</v>
      </c>
      <c r="O33" s="206">
        <f>'P &amp; NP'!DA510</f>
        <v>0</v>
      </c>
      <c r="P33" s="206">
        <f>'P &amp; NP'!DB510</f>
        <v>0</v>
      </c>
      <c r="Q33" s="206">
        <f>'P &amp; NP'!DQ510</f>
        <v>0</v>
      </c>
      <c r="R33" s="206">
        <f>'P &amp; NP'!DR510</f>
        <v>0</v>
      </c>
      <c r="S33" s="206">
        <f>'P &amp; NP'!EG510</f>
        <v>0</v>
      </c>
      <c r="T33" s="206">
        <f>'P &amp; NP'!EH510</f>
        <v>0</v>
      </c>
      <c r="U33" s="206">
        <f>'P &amp; NP'!EW510</f>
        <v>12205434</v>
      </c>
      <c r="V33" s="206">
        <f>'P &amp; NP'!EX510</f>
        <v>591525678</v>
      </c>
      <c r="W33" s="206">
        <f>'P &amp; NP'!FM510</f>
        <v>0</v>
      </c>
      <c r="X33" s="206">
        <f>'P &amp; NP'!FN510</f>
        <v>0</v>
      </c>
      <c r="Y33" s="206">
        <f>'P &amp; NP'!GC510</f>
        <v>0</v>
      </c>
      <c r="Z33" s="206">
        <f>'P &amp; NP'!GD510</f>
        <v>0</v>
      </c>
      <c r="AA33" s="206">
        <f>'P &amp; NP'!GS510</f>
        <v>0</v>
      </c>
      <c r="AB33" s="206">
        <f>'P &amp; NP'!GT510</f>
        <v>0</v>
      </c>
      <c r="AC33" s="206">
        <f>'P &amp; NP'!HI510</f>
        <v>0</v>
      </c>
      <c r="AD33" s="206">
        <f>'P &amp; NP'!HJ510</f>
        <v>0</v>
      </c>
      <c r="AE33" s="206">
        <f>'P &amp; NP'!HY510</f>
        <v>0</v>
      </c>
      <c r="AF33" s="206">
        <f>'P &amp; NP'!HZ510</f>
        <v>0</v>
      </c>
      <c r="AG33" s="206">
        <f>'P &amp; NP'!IO510</f>
        <v>0</v>
      </c>
      <c r="AH33" s="206">
        <f>'P &amp; NP'!IP510</f>
        <v>0</v>
      </c>
      <c r="AI33" s="206">
        <f>'P &amp; NP'!JE510</f>
        <v>0</v>
      </c>
      <c r="AJ33" s="206">
        <f>'P &amp; NP'!JF510</f>
        <v>0</v>
      </c>
      <c r="AK33" s="206">
        <f>'P &amp; NP'!JU510</f>
        <v>0</v>
      </c>
      <c r="AL33" s="206">
        <f>'P &amp; NP'!JV510</f>
        <v>0</v>
      </c>
      <c r="AM33" s="206">
        <f>'P &amp; NP'!KK510</f>
        <v>0</v>
      </c>
      <c r="AN33" s="206">
        <f>'P &amp; NP'!KL510</f>
        <v>0</v>
      </c>
      <c r="AO33" s="206">
        <f>'P &amp; NP'!LA510</f>
        <v>0</v>
      </c>
      <c r="AP33" s="206">
        <f>'P &amp; NP'!LB510</f>
        <v>0</v>
      </c>
      <c r="AQ33" s="206">
        <f>'P &amp; NP'!LQ510</f>
        <v>0</v>
      </c>
      <c r="AR33" s="206">
        <f>'P &amp; NP'!LR510</f>
        <v>0</v>
      </c>
      <c r="AS33" s="206">
        <f>'P &amp; NP'!MG510</f>
        <v>0</v>
      </c>
      <c r="AT33" s="206">
        <f>'P &amp; NP'!MH510</f>
        <v>0</v>
      </c>
      <c r="AU33" s="206">
        <f>'P &amp; NP'!MW510</f>
        <v>0</v>
      </c>
      <c r="AV33" s="206">
        <f>'P &amp; NP'!MX510</f>
        <v>0</v>
      </c>
      <c r="AW33" s="206">
        <f>'P &amp; NP'!NM510</f>
        <v>0</v>
      </c>
      <c r="AX33" s="206">
        <f>'P &amp; NP'!NN510</f>
        <v>0</v>
      </c>
      <c r="AY33" s="206">
        <f>'P &amp; NP'!OC510</f>
        <v>0</v>
      </c>
      <c r="AZ33" s="206">
        <f>'P &amp; NP'!OD510</f>
        <v>0</v>
      </c>
      <c r="BA33" s="206">
        <f>'P &amp; NP'!OS510</f>
        <v>0</v>
      </c>
      <c r="BB33" s="206">
        <f>'P &amp; NP'!OT510</f>
        <v>0</v>
      </c>
      <c r="BC33" s="206">
        <f>'P &amp; NP'!PI510</f>
        <v>0</v>
      </c>
      <c r="BD33" s="206">
        <f>'P &amp; NP'!PJ510</f>
        <v>0</v>
      </c>
      <c r="BE33" s="206">
        <f>'P &amp; NP'!PY510</f>
        <v>0</v>
      </c>
      <c r="BF33" s="206">
        <f>'P &amp; NP'!PZ510</f>
        <v>0</v>
      </c>
      <c r="BG33" s="206">
        <f>'P &amp; NP'!QO510</f>
        <v>175000</v>
      </c>
      <c r="BH33" s="206">
        <f>'P &amp; NP'!QP510</f>
        <v>10500000</v>
      </c>
      <c r="BI33" s="206">
        <f>'P &amp; NP'!RE510</f>
        <v>0</v>
      </c>
      <c r="BJ33" s="206">
        <f>'P &amp; NP'!RF510</f>
        <v>0</v>
      </c>
      <c r="BK33" s="206">
        <f>'P &amp; NP'!RU510</f>
        <v>0</v>
      </c>
      <c r="BL33" s="206">
        <f>'P &amp; NP'!RV510</f>
        <v>0</v>
      </c>
      <c r="BM33" s="206">
        <f>'P &amp; NP'!SK510</f>
        <v>0</v>
      </c>
      <c r="BN33" s="206">
        <f>'P &amp; NP'!SL510</f>
        <v>0</v>
      </c>
      <c r="BO33" s="206">
        <f>'P &amp; NP'!TA510</f>
        <v>0</v>
      </c>
      <c r="BP33" s="206">
        <f>'P &amp; NP'!TB510</f>
        <v>0</v>
      </c>
      <c r="BQ33" s="206">
        <f>'P &amp; NP'!TQ510</f>
        <v>0</v>
      </c>
      <c r="BR33" s="206">
        <f>'P &amp; NP'!TR510</f>
        <v>0</v>
      </c>
      <c r="BS33" s="206">
        <f>'P &amp; NP'!UG510</f>
        <v>0</v>
      </c>
      <c r="BT33" s="206">
        <f>'P &amp; NP'!UH510</f>
        <v>0</v>
      </c>
      <c r="BU33" s="206">
        <f>'P &amp; NP'!UW510</f>
        <v>0</v>
      </c>
      <c r="BV33" s="206">
        <f>'P &amp; NP'!UX510</f>
        <v>0</v>
      </c>
      <c r="BW33" s="206">
        <f>'P &amp; NP'!VM510</f>
        <v>0</v>
      </c>
      <c r="BX33" s="206">
        <f>'P &amp; NP'!VN510</f>
        <v>0</v>
      </c>
      <c r="BY33" s="206">
        <f>'P &amp; NP'!WC510</f>
        <v>0</v>
      </c>
      <c r="BZ33" s="206">
        <f>'P &amp; NP'!WD510</f>
        <v>0</v>
      </c>
      <c r="CB33" s="737">
        <f t="shared" si="3"/>
        <v>12380434</v>
      </c>
      <c r="CC33" s="737">
        <f t="shared" si="4"/>
        <v>602025678</v>
      </c>
    </row>
    <row r="34" spans="2:81">
      <c r="B34" s="207" t="str">
        <f>'P &amp; NP'!B40</f>
        <v xml:space="preserve">Udang Windu </v>
      </c>
      <c r="C34" s="209">
        <f>'P &amp; NP'!I511</f>
        <v>0</v>
      </c>
      <c r="D34" s="209">
        <f>'P &amp; NP'!J511</f>
        <v>0</v>
      </c>
      <c r="E34" s="209">
        <f>'P &amp; NP'!Y511</f>
        <v>0</v>
      </c>
      <c r="F34" s="209">
        <f>'P &amp; NP'!Z511</f>
        <v>0</v>
      </c>
      <c r="G34" s="209">
        <f>'P &amp; NP'!AO511</f>
        <v>0</v>
      </c>
      <c r="H34" s="209">
        <f>'P &amp; NP'!AP511</f>
        <v>0</v>
      </c>
      <c r="I34" s="209">
        <f>'P &amp; NP'!BE511</f>
        <v>0</v>
      </c>
      <c r="J34" s="209">
        <f>'P &amp; NP'!BF511</f>
        <v>0</v>
      </c>
      <c r="K34" s="206">
        <f>'P &amp; NP'!BU511</f>
        <v>0</v>
      </c>
      <c r="L34" s="206">
        <f>'P &amp; NP'!BV511</f>
        <v>0</v>
      </c>
      <c r="M34" s="206">
        <f>'P &amp; NP'!CK511</f>
        <v>0</v>
      </c>
      <c r="N34" s="206">
        <f>'P &amp; NP'!CL511</f>
        <v>0</v>
      </c>
      <c r="O34" s="206">
        <f>'P &amp; NP'!DA511</f>
        <v>0</v>
      </c>
      <c r="P34" s="206">
        <f>'P &amp; NP'!DB511</f>
        <v>0</v>
      </c>
      <c r="Q34" s="206">
        <f>'P &amp; NP'!DQ511</f>
        <v>0</v>
      </c>
      <c r="R34" s="206">
        <f>'P &amp; NP'!DR511</f>
        <v>0</v>
      </c>
      <c r="S34" s="206">
        <f>'P &amp; NP'!EG511</f>
        <v>0</v>
      </c>
      <c r="T34" s="206">
        <f>'P &amp; NP'!EH511</f>
        <v>0</v>
      </c>
      <c r="U34" s="206">
        <f>'P &amp; NP'!EW511</f>
        <v>0</v>
      </c>
      <c r="V34" s="206">
        <f>'P &amp; NP'!EX511</f>
        <v>0</v>
      </c>
      <c r="W34" s="206">
        <f>'P &amp; NP'!FM511</f>
        <v>0</v>
      </c>
      <c r="X34" s="206">
        <f>'P &amp; NP'!FN511</f>
        <v>0</v>
      </c>
      <c r="Y34" s="206">
        <f>'P &amp; NP'!GC511</f>
        <v>0</v>
      </c>
      <c r="Z34" s="206">
        <f>'P &amp; NP'!GD511</f>
        <v>0</v>
      </c>
      <c r="AA34" s="206">
        <f>'P &amp; NP'!GS511</f>
        <v>0</v>
      </c>
      <c r="AB34" s="206">
        <f>'P &amp; NP'!GT511</f>
        <v>0</v>
      </c>
      <c r="AC34" s="206">
        <f>'P &amp; NP'!HI511</f>
        <v>0</v>
      </c>
      <c r="AD34" s="206">
        <f>'P &amp; NP'!HJ511</f>
        <v>0</v>
      </c>
      <c r="AE34" s="206">
        <f>'P &amp; NP'!HY511</f>
        <v>0</v>
      </c>
      <c r="AF34" s="206">
        <f>'P &amp; NP'!HZ511</f>
        <v>0</v>
      </c>
      <c r="AG34" s="206">
        <f>'P &amp; NP'!IO511</f>
        <v>0</v>
      </c>
      <c r="AH34" s="206">
        <f>'P &amp; NP'!IP511</f>
        <v>0</v>
      </c>
      <c r="AI34" s="206">
        <f>'P &amp; NP'!JE511</f>
        <v>0</v>
      </c>
      <c r="AJ34" s="206">
        <f>'P &amp; NP'!JF511</f>
        <v>0</v>
      </c>
      <c r="AK34" s="206">
        <f>'P &amp; NP'!JU511</f>
        <v>0</v>
      </c>
      <c r="AL34" s="206">
        <f>'P &amp; NP'!JV511</f>
        <v>0</v>
      </c>
      <c r="AM34" s="206">
        <f>'P &amp; NP'!KK511</f>
        <v>0</v>
      </c>
      <c r="AN34" s="206">
        <f>'P &amp; NP'!KL511</f>
        <v>0</v>
      </c>
      <c r="AO34" s="206">
        <f>'P &amp; NP'!LA511</f>
        <v>0</v>
      </c>
      <c r="AP34" s="206">
        <f>'P &amp; NP'!LB511</f>
        <v>0</v>
      </c>
      <c r="AQ34" s="206">
        <f>'P &amp; NP'!LQ511</f>
        <v>0</v>
      </c>
      <c r="AR34" s="206">
        <f>'P &amp; NP'!LR511</f>
        <v>0</v>
      </c>
      <c r="AS34" s="206">
        <f>'P &amp; NP'!MG511</f>
        <v>0</v>
      </c>
      <c r="AT34" s="206">
        <f>'P &amp; NP'!MH511</f>
        <v>0</v>
      </c>
      <c r="AU34" s="206">
        <f>'P &amp; NP'!MW511</f>
        <v>0</v>
      </c>
      <c r="AV34" s="206">
        <f>'P &amp; NP'!MX511</f>
        <v>0</v>
      </c>
      <c r="AW34" s="206">
        <f>'P &amp; NP'!NM511</f>
        <v>0</v>
      </c>
      <c r="AX34" s="206">
        <f>'P &amp; NP'!NN511</f>
        <v>0</v>
      </c>
      <c r="AY34" s="206">
        <f>'P &amp; NP'!OC511</f>
        <v>0</v>
      </c>
      <c r="AZ34" s="206">
        <f>'P &amp; NP'!OD511</f>
        <v>0</v>
      </c>
      <c r="BA34" s="206">
        <f>'P &amp; NP'!OS511</f>
        <v>0</v>
      </c>
      <c r="BB34" s="206">
        <f>'P &amp; NP'!OT511</f>
        <v>0</v>
      </c>
      <c r="BC34" s="206">
        <f>'P &amp; NP'!PI511</f>
        <v>0</v>
      </c>
      <c r="BD34" s="206">
        <f>'P &amp; NP'!PJ511</f>
        <v>0</v>
      </c>
      <c r="BE34" s="206">
        <f>'P &amp; NP'!PY511</f>
        <v>0</v>
      </c>
      <c r="BF34" s="206">
        <f>'P &amp; NP'!PZ511</f>
        <v>0</v>
      </c>
      <c r="BG34" s="206">
        <f>'P &amp; NP'!QO511</f>
        <v>0</v>
      </c>
      <c r="BH34" s="206">
        <f>'P &amp; NP'!QP511</f>
        <v>0</v>
      </c>
      <c r="BI34" s="206">
        <f>'P &amp; NP'!RE511</f>
        <v>0</v>
      </c>
      <c r="BJ34" s="206">
        <f>'P &amp; NP'!RF511</f>
        <v>0</v>
      </c>
      <c r="BK34" s="206">
        <f>'P &amp; NP'!RU511</f>
        <v>0</v>
      </c>
      <c r="BL34" s="206">
        <f>'P &amp; NP'!RV511</f>
        <v>0</v>
      </c>
      <c r="BM34" s="206">
        <f>'P &amp; NP'!SK511</f>
        <v>0</v>
      </c>
      <c r="BN34" s="206">
        <f>'P &amp; NP'!SL511</f>
        <v>0</v>
      </c>
      <c r="BO34" s="206">
        <f>'P &amp; NP'!TA511</f>
        <v>0</v>
      </c>
      <c r="BP34" s="206">
        <f>'P &amp; NP'!TB511</f>
        <v>0</v>
      </c>
      <c r="BQ34" s="206">
        <f>'P &amp; NP'!TQ511</f>
        <v>0</v>
      </c>
      <c r="BR34" s="206">
        <f>'P &amp; NP'!TR511</f>
        <v>0</v>
      </c>
      <c r="BS34" s="206">
        <f>'P &amp; NP'!UG511</f>
        <v>0</v>
      </c>
      <c r="BT34" s="206">
        <f>'P &amp; NP'!UH511</f>
        <v>0</v>
      </c>
      <c r="BU34" s="206">
        <f>'P &amp; NP'!UW511</f>
        <v>0</v>
      </c>
      <c r="BV34" s="206">
        <f>'P &amp; NP'!UX511</f>
        <v>0</v>
      </c>
      <c r="BW34" s="206">
        <f>'P &amp; NP'!VM511</f>
        <v>0</v>
      </c>
      <c r="BX34" s="206">
        <f>'P &amp; NP'!VN511</f>
        <v>0</v>
      </c>
      <c r="BY34" s="206">
        <f>'P &amp; NP'!WC511</f>
        <v>0</v>
      </c>
      <c r="BZ34" s="206">
        <f>'P &amp; NP'!WD511</f>
        <v>0</v>
      </c>
      <c r="CB34" s="737">
        <f t="shared" si="3"/>
        <v>0</v>
      </c>
      <c r="CC34" s="737">
        <f t="shared" si="4"/>
        <v>0</v>
      </c>
    </row>
    <row r="35" spans="2:81">
      <c r="B35" s="207" t="str">
        <f>'P &amp; NP'!B41</f>
        <v xml:space="preserve">Udang_01 (Udang Api-Api) </v>
      </c>
      <c r="C35" s="209">
        <f>'P &amp; NP'!I512</f>
        <v>0</v>
      </c>
      <c r="D35" s="209">
        <f>'P &amp; NP'!J512</f>
        <v>0</v>
      </c>
      <c r="E35" s="209">
        <f>'P &amp; NP'!Y512</f>
        <v>0</v>
      </c>
      <c r="F35" s="209">
        <f>'P &amp; NP'!Z512</f>
        <v>0</v>
      </c>
      <c r="G35" s="209">
        <f>'P &amp; NP'!AO512</f>
        <v>0</v>
      </c>
      <c r="H35" s="209">
        <f>'P &amp; NP'!AP512</f>
        <v>0</v>
      </c>
      <c r="I35" s="209">
        <f>'P &amp; NP'!BE512</f>
        <v>0</v>
      </c>
      <c r="J35" s="209">
        <f>'P &amp; NP'!BF512</f>
        <v>0</v>
      </c>
      <c r="K35" s="206">
        <f>'P &amp; NP'!BU512</f>
        <v>0</v>
      </c>
      <c r="L35" s="206">
        <f>'P &amp; NP'!BV512</f>
        <v>0</v>
      </c>
      <c r="M35" s="206">
        <f>'P &amp; NP'!CK512</f>
        <v>0</v>
      </c>
      <c r="N35" s="206">
        <f>'P &amp; NP'!CL512</f>
        <v>0</v>
      </c>
      <c r="O35" s="206">
        <f>'P &amp; NP'!DA512</f>
        <v>0</v>
      </c>
      <c r="P35" s="206">
        <f>'P &amp; NP'!DB512</f>
        <v>0</v>
      </c>
      <c r="Q35" s="206">
        <f>'P &amp; NP'!DQ512</f>
        <v>0</v>
      </c>
      <c r="R35" s="206">
        <f>'P &amp; NP'!DR512</f>
        <v>0</v>
      </c>
      <c r="S35" s="206">
        <f>'P &amp; NP'!EG512</f>
        <v>0</v>
      </c>
      <c r="T35" s="206">
        <f>'P &amp; NP'!EH512</f>
        <v>0</v>
      </c>
      <c r="U35" s="206">
        <f>'P &amp; NP'!EW512</f>
        <v>0</v>
      </c>
      <c r="V35" s="206">
        <f>'P &amp; NP'!EX512</f>
        <v>0</v>
      </c>
      <c r="W35" s="206">
        <f>'P &amp; NP'!FM512</f>
        <v>0</v>
      </c>
      <c r="X35" s="206">
        <f>'P &amp; NP'!FN512</f>
        <v>0</v>
      </c>
      <c r="Y35" s="206">
        <f>'P &amp; NP'!GC512</f>
        <v>0</v>
      </c>
      <c r="Z35" s="206">
        <f>'P &amp; NP'!GD512</f>
        <v>0</v>
      </c>
      <c r="AA35" s="206">
        <f>'P &amp; NP'!GS512</f>
        <v>0</v>
      </c>
      <c r="AB35" s="206">
        <f>'P &amp; NP'!GT512</f>
        <v>0</v>
      </c>
      <c r="AC35" s="206">
        <f>'P &amp; NP'!HI512</f>
        <v>0</v>
      </c>
      <c r="AD35" s="206">
        <f>'P &amp; NP'!HJ512</f>
        <v>0</v>
      </c>
      <c r="AE35" s="206">
        <f>'P &amp; NP'!HY512</f>
        <v>0</v>
      </c>
      <c r="AF35" s="206">
        <f>'P &amp; NP'!HZ512</f>
        <v>0</v>
      </c>
      <c r="AG35" s="206">
        <f>'P &amp; NP'!IO512</f>
        <v>0</v>
      </c>
      <c r="AH35" s="206">
        <f>'P &amp; NP'!IP512</f>
        <v>0</v>
      </c>
      <c r="AI35" s="206">
        <f>'P &amp; NP'!JE512</f>
        <v>0</v>
      </c>
      <c r="AJ35" s="206">
        <f>'P &amp; NP'!JF512</f>
        <v>0</v>
      </c>
      <c r="AK35" s="206">
        <f>'P &amp; NP'!JU512</f>
        <v>0</v>
      </c>
      <c r="AL35" s="206">
        <f>'P &amp; NP'!JV512</f>
        <v>0</v>
      </c>
      <c r="AM35" s="206">
        <f>'P &amp; NP'!KK512</f>
        <v>0</v>
      </c>
      <c r="AN35" s="206">
        <f>'P &amp; NP'!KL512</f>
        <v>0</v>
      </c>
      <c r="AO35" s="206">
        <f>'P &amp; NP'!LA512</f>
        <v>0</v>
      </c>
      <c r="AP35" s="206">
        <f>'P &amp; NP'!LB512</f>
        <v>0</v>
      </c>
      <c r="AQ35" s="206">
        <f>'P &amp; NP'!LQ512</f>
        <v>0</v>
      </c>
      <c r="AR35" s="206">
        <f>'P &amp; NP'!LR512</f>
        <v>0</v>
      </c>
      <c r="AS35" s="206">
        <f>'P &amp; NP'!MG512</f>
        <v>0</v>
      </c>
      <c r="AT35" s="206">
        <f>'P &amp; NP'!MH512</f>
        <v>0</v>
      </c>
      <c r="AU35" s="206">
        <f>'P &amp; NP'!MW512</f>
        <v>0</v>
      </c>
      <c r="AV35" s="206">
        <f>'P &amp; NP'!MX512</f>
        <v>0</v>
      </c>
      <c r="AW35" s="206">
        <f>'P &amp; NP'!NM512</f>
        <v>0</v>
      </c>
      <c r="AX35" s="206">
        <f>'P &amp; NP'!NN512</f>
        <v>0</v>
      </c>
      <c r="AY35" s="206">
        <f>'P &amp; NP'!OC512</f>
        <v>0</v>
      </c>
      <c r="AZ35" s="206">
        <f>'P &amp; NP'!OD512</f>
        <v>0</v>
      </c>
      <c r="BA35" s="206">
        <f>'P &amp; NP'!OS512</f>
        <v>0</v>
      </c>
      <c r="BB35" s="206">
        <f>'P &amp; NP'!OT512</f>
        <v>0</v>
      </c>
      <c r="BC35" s="206">
        <f>'P &amp; NP'!PI512</f>
        <v>0</v>
      </c>
      <c r="BD35" s="206">
        <f>'P &amp; NP'!PJ512</f>
        <v>0</v>
      </c>
      <c r="BE35" s="206">
        <f>'P &amp; NP'!PY512</f>
        <v>0</v>
      </c>
      <c r="BF35" s="206">
        <f>'P &amp; NP'!PZ512</f>
        <v>0</v>
      </c>
      <c r="BG35" s="206">
        <f>'P &amp; NP'!QO512</f>
        <v>0</v>
      </c>
      <c r="BH35" s="206">
        <f>'P &amp; NP'!QP512</f>
        <v>0</v>
      </c>
      <c r="BI35" s="206">
        <f>'P &amp; NP'!RE512</f>
        <v>0</v>
      </c>
      <c r="BJ35" s="206">
        <f>'P &amp; NP'!RF512</f>
        <v>0</v>
      </c>
      <c r="BK35" s="206">
        <f>'P &amp; NP'!RU512</f>
        <v>0</v>
      </c>
      <c r="BL35" s="206">
        <f>'P &amp; NP'!RV512</f>
        <v>0</v>
      </c>
      <c r="BM35" s="206">
        <f>'P &amp; NP'!SK512</f>
        <v>0</v>
      </c>
      <c r="BN35" s="206">
        <f>'P &amp; NP'!SL512</f>
        <v>0</v>
      </c>
      <c r="BO35" s="206">
        <f>'P &amp; NP'!TA512</f>
        <v>0</v>
      </c>
      <c r="BP35" s="206">
        <f>'P &amp; NP'!TB512</f>
        <v>0</v>
      </c>
      <c r="BQ35" s="206">
        <f>'P &amp; NP'!TQ512</f>
        <v>0</v>
      </c>
      <c r="BR35" s="206">
        <f>'P &amp; NP'!TR512</f>
        <v>0</v>
      </c>
      <c r="BS35" s="206">
        <f>'P &amp; NP'!UG512</f>
        <v>0</v>
      </c>
      <c r="BT35" s="206">
        <f>'P &amp; NP'!UH512</f>
        <v>0</v>
      </c>
      <c r="BU35" s="206">
        <f>'P &amp; NP'!UW512</f>
        <v>0</v>
      </c>
      <c r="BV35" s="206">
        <f>'P &amp; NP'!UX512</f>
        <v>0</v>
      </c>
      <c r="BW35" s="206">
        <f>'P &amp; NP'!VM512</f>
        <v>0</v>
      </c>
      <c r="BX35" s="206">
        <f>'P &amp; NP'!VN512</f>
        <v>0</v>
      </c>
      <c r="BY35" s="206">
        <f>'P &amp; NP'!WC512</f>
        <v>0</v>
      </c>
      <c r="BZ35" s="206">
        <f>'P &amp; NP'!WD512</f>
        <v>0</v>
      </c>
      <c r="CB35" s="737">
        <f t="shared" ref="CB35:CB44" si="5">SUM(C35,E35,G35,I35,K35,M35,O35,Q35,S35,U35,W35,Y35,AA35,AC35,AE35,AG35,AI35,AK35,AM35,AO35,AQ35,AS35,AU35,AW35,AY35,BA35,BC35,BE35,BG35,BI35,BK35,BM35,BO35,BQ35,BS35,BU35,BW35,BY35)</f>
        <v>0</v>
      </c>
      <c r="CC35" s="737">
        <f t="shared" ref="CC35:CC44" si="6">SUM(D35,F35,H35,J35,L35,N35,P35,R35,T35,V35,X35,Z35,AB35,AD35,AF35,AH35,AJ35,AL35,AN35,AP35,AR35,AT35,AV35,AX35,AZ35,BB35,BD35,BF35,BH35,BJ35,BL35,BN35,BP35,BR35,BT35,BV35,BX35,BZ35)</f>
        <v>0</v>
      </c>
    </row>
    <row r="36" spans="2:81">
      <c r="B36" s="207" t="str">
        <f>'P &amp; NP'!B42</f>
        <v xml:space="preserve">Udang_02 (Udang Rebon) </v>
      </c>
      <c r="C36" s="209">
        <f>'P &amp; NP'!I513</f>
        <v>0</v>
      </c>
      <c r="D36" s="209">
        <f>'P &amp; NP'!J513</f>
        <v>0</v>
      </c>
      <c r="E36" s="209">
        <f>'P &amp; NP'!Y513</f>
        <v>0</v>
      </c>
      <c r="F36" s="209">
        <f>'P &amp; NP'!Z513</f>
        <v>0</v>
      </c>
      <c r="G36" s="209">
        <f>'P &amp; NP'!AO513</f>
        <v>0</v>
      </c>
      <c r="H36" s="209">
        <f>'P &amp; NP'!AP513</f>
        <v>0</v>
      </c>
      <c r="I36" s="209">
        <f>'P &amp; NP'!BE513</f>
        <v>0</v>
      </c>
      <c r="J36" s="209">
        <f>'P &amp; NP'!BF513</f>
        <v>0</v>
      </c>
      <c r="K36" s="206">
        <f>'P &amp; NP'!BU513</f>
        <v>0</v>
      </c>
      <c r="L36" s="206">
        <f>'P &amp; NP'!BV513</f>
        <v>0</v>
      </c>
      <c r="M36" s="206">
        <f>'P &amp; NP'!CK513</f>
        <v>0</v>
      </c>
      <c r="N36" s="206">
        <f>'P &amp; NP'!CL513</f>
        <v>0</v>
      </c>
      <c r="O36" s="206">
        <f>'P &amp; NP'!DA513</f>
        <v>0</v>
      </c>
      <c r="P36" s="206">
        <f>'P &amp; NP'!DB513</f>
        <v>0</v>
      </c>
      <c r="Q36" s="206">
        <f>'P &amp; NP'!DQ513</f>
        <v>0</v>
      </c>
      <c r="R36" s="206">
        <f>'P &amp; NP'!DR513</f>
        <v>0</v>
      </c>
      <c r="S36" s="206">
        <f>'P &amp; NP'!EG513</f>
        <v>0</v>
      </c>
      <c r="T36" s="206">
        <f>'P &amp; NP'!EH513</f>
        <v>0</v>
      </c>
      <c r="U36" s="206">
        <f>'P &amp; NP'!EW513</f>
        <v>0</v>
      </c>
      <c r="V36" s="206">
        <f>'P &amp; NP'!EX513</f>
        <v>0</v>
      </c>
      <c r="W36" s="206">
        <f>'P &amp; NP'!FM513</f>
        <v>0</v>
      </c>
      <c r="X36" s="206">
        <f>'P &amp; NP'!FN513</f>
        <v>0</v>
      </c>
      <c r="Y36" s="206">
        <f>'P &amp; NP'!GC513</f>
        <v>0</v>
      </c>
      <c r="Z36" s="206">
        <f>'P &amp; NP'!GD513</f>
        <v>0</v>
      </c>
      <c r="AA36" s="206">
        <f>'P &amp; NP'!GS513</f>
        <v>0</v>
      </c>
      <c r="AB36" s="206">
        <f>'P &amp; NP'!GT513</f>
        <v>0</v>
      </c>
      <c r="AC36" s="206">
        <f>'P &amp; NP'!HI513</f>
        <v>0</v>
      </c>
      <c r="AD36" s="206">
        <f>'P &amp; NP'!HJ513</f>
        <v>0</v>
      </c>
      <c r="AE36" s="206">
        <f>'P &amp; NP'!HY513</f>
        <v>0</v>
      </c>
      <c r="AF36" s="206">
        <f>'P &amp; NP'!HZ513</f>
        <v>0</v>
      </c>
      <c r="AG36" s="206">
        <f>'P &amp; NP'!IO513</f>
        <v>0</v>
      </c>
      <c r="AH36" s="206">
        <f>'P &amp; NP'!IP513</f>
        <v>0</v>
      </c>
      <c r="AI36" s="206">
        <f>'P &amp; NP'!JE513</f>
        <v>0</v>
      </c>
      <c r="AJ36" s="206">
        <f>'P &amp; NP'!JF513</f>
        <v>0</v>
      </c>
      <c r="AK36" s="206">
        <f>'P &amp; NP'!JU513</f>
        <v>0</v>
      </c>
      <c r="AL36" s="206">
        <f>'P &amp; NP'!JV513</f>
        <v>0</v>
      </c>
      <c r="AM36" s="206">
        <f>'P &amp; NP'!KK513</f>
        <v>0</v>
      </c>
      <c r="AN36" s="206">
        <f>'P &amp; NP'!KL513</f>
        <v>0</v>
      </c>
      <c r="AO36" s="206">
        <f>'P &amp; NP'!LA513</f>
        <v>0</v>
      </c>
      <c r="AP36" s="206">
        <f>'P &amp; NP'!LB513</f>
        <v>0</v>
      </c>
      <c r="AQ36" s="206">
        <f>'P &amp; NP'!LQ513</f>
        <v>0</v>
      </c>
      <c r="AR36" s="206">
        <f>'P &amp; NP'!LR513</f>
        <v>0</v>
      </c>
      <c r="AS36" s="206">
        <f>'P &amp; NP'!MG513</f>
        <v>0</v>
      </c>
      <c r="AT36" s="206">
        <f>'P &amp; NP'!MH513</f>
        <v>0</v>
      </c>
      <c r="AU36" s="206">
        <f>'P &amp; NP'!MW513</f>
        <v>0</v>
      </c>
      <c r="AV36" s="206">
        <f>'P &amp; NP'!MX513</f>
        <v>0</v>
      </c>
      <c r="AW36" s="206">
        <f>'P &amp; NP'!NM513</f>
        <v>0</v>
      </c>
      <c r="AX36" s="206">
        <f>'P &amp; NP'!NN513</f>
        <v>0</v>
      </c>
      <c r="AY36" s="206">
        <f>'P &amp; NP'!OC513</f>
        <v>0</v>
      </c>
      <c r="AZ36" s="206">
        <f>'P &amp; NP'!OD513</f>
        <v>0</v>
      </c>
      <c r="BA36" s="206">
        <f>'P &amp; NP'!OS513</f>
        <v>0</v>
      </c>
      <c r="BB36" s="206">
        <f>'P &amp; NP'!OT513</f>
        <v>0</v>
      </c>
      <c r="BC36" s="206">
        <f>'P &amp; NP'!PI513</f>
        <v>0</v>
      </c>
      <c r="BD36" s="206">
        <f>'P &amp; NP'!PJ513</f>
        <v>0</v>
      </c>
      <c r="BE36" s="206">
        <f>'P &amp; NP'!PY513</f>
        <v>0</v>
      </c>
      <c r="BF36" s="206">
        <f>'P &amp; NP'!PZ513</f>
        <v>0</v>
      </c>
      <c r="BG36" s="206">
        <f>'P &amp; NP'!QO513</f>
        <v>0</v>
      </c>
      <c r="BH36" s="206">
        <f>'P &amp; NP'!QP513</f>
        <v>0</v>
      </c>
      <c r="BI36" s="206">
        <f>'P &amp; NP'!RE513</f>
        <v>0</v>
      </c>
      <c r="BJ36" s="206">
        <f>'P &amp; NP'!RF513</f>
        <v>0</v>
      </c>
      <c r="BK36" s="206">
        <f>'P &amp; NP'!RU513</f>
        <v>0</v>
      </c>
      <c r="BL36" s="206">
        <f>'P &amp; NP'!RV513</f>
        <v>0</v>
      </c>
      <c r="BM36" s="206">
        <f>'P &amp; NP'!SK513</f>
        <v>0</v>
      </c>
      <c r="BN36" s="206">
        <f>'P &amp; NP'!SL513</f>
        <v>0</v>
      </c>
      <c r="BO36" s="206">
        <f>'P &amp; NP'!TA513</f>
        <v>0</v>
      </c>
      <c r="BP36" s="206">
        <f>'P &amp; NP'!TB513</f>
        <v>0</v>
      </c>
      <c r="BQ36" s="206">
        <f>'P &amp; NP'!TQ513</f>
        <v>0</v>
      </c>
      <c r="BR36" s="206">
        <f>'P &amp; NP'!TR513</f>
        <v>0</v>
      </c>
      <c r="BS36" s="206">
        <f>'P &amp; NP'!UG513</f>
        <v>0</v>
      </c>
      <c r="BT36" s="206">
        <f>'P &amp; NP'!UH513</f>
        <v>0</v>
      </c>
      <c r="BU36" s="206">
        <f>'P &amp; NP'!UW513</f>
        <v>0</v>
      </c>
      <c r="BV36" s="206">
        <f>'P &amp; NP'!UX513</f>
        <v>0</v>
      </c>
      <c r="BW36" s="206">
        <f>'P &amp; NP'!VM513</f>
        <v>0</v>
      </c>
      <c r="BX36" s="206">
        <f>'P &amp; NP'!VN513</f>
        <v>0</v>
      </c>
      <c r="BY36" s="206">
        <f>'P &amp; NP'!WC513</f>
        <v>0</v>
      </c>
      <c r="BZ36" s="206">
        <f>'P &amp; NP'!WD513</f>
        <v>0</v>
      </c>
      <c r="CB36" s="737">
        <f t="shared" si="5"/>
        <v>0</v>
      </c>
      <c r="CC36" s="737">
        <f t="shared" si="6"/>
        <v>0</v>
      </c>
    </row>
    <row r="37" spans="2:81">
      <c r="B37" s="207" t="str">
        <f>'P &amp; NP'!B43</f>
        <v xml:space="preserve">Belut Sawah </v>
      </c>
      <c r="C37" s="209">
        <f>'P &amp; NP'!I514</f>
        <v>0</v>
      </c>
      <c r="D37" s="209">
        <f>'P &amp; NP'!J514</f>
        <v>0</v>
      </c>
      <c r="E37" s="209">
        <f>'P &amp; NP'!Y514</f>
        <v>0</v>
      </c>
      <c r="F37" s="209">
        <f>'P &amp; NP'!Z514</f>
        <v>0</v>
      </c>
      <c r="G37" s="209">
        <f>'P &amp; NP'!AO514</f>
        <v>0</v>
      </c>
      <c r="H37" s="209">
        <f>'P &amp; NP'!AP514</f>
        <v>0</v>
      </c>
      <c r="I37" s="209">
        <f>'P &amp; NP'!BE514</f>
        <v>0</v>
      </c>
      <c r="J37" s="209">
        <f>'P &amp; NP'!BF514</f>
        <v>0</v>
      </c>
      <c r="K37" s="206">
        <f>'P &amp; NP'!BU514</f>
        <v>0</v>
      </c>
      <c r="L37" s="206">
        <f>'P &amp; NP'!BV514</f>
        <v>0</v>
      </c>
      <c r="M37" s="206">
        <f>'P &amp; NP'!CK514</f>
        <v>0</v>
      </c>
      <c r="N37" s="206">
        <f>'P &amp; NP'!CL514</f>
        <v>0</v>
      </c>
      <c r="O37" s="206">
        <f>'P &amp; NP'!DA514</f>
        <v>0</v>
      </c>
      <c r="P37" s="206">
        <f>'P &amp; NP'!DB514</f>
        <v>0</v>
      </c>
      <c r="Q37" s="206">
        <f>'P &amp; NP'!DQ514</f>
        <v>0</v>
      </c>
      <c r="R37" s="206">
        <f>'P &amp; NP'!DR514</f>
        <v>0</v>
      </c>
      <c r="S37" s="206">
        <f>'P &amp; NP'!EG514</f>
        <v>0</v>
      </c>
      <c r="T37" s="206">
        <f>'P &amp; NP'!EH514</f>
        <v>0</v>
      </c>
      <c r="U37" s="206">
        <f>'P &amp; NP'!EW514</f>
        <v>0</v>
      </c>
      <c r="V37" s="206">
        <f>'P &amp; NP'!EX514</f>
        <v>0</v>
      </c>
      <c r="W37" s="206">
        <f>'P &amp; NP'!FM514</f>
        <v>0</v>
      </c>
      <c r="X37" s="206">
        <f>'P &amp; NP'!FN514</f>
        <v>0</v>
      </c>
      <c r="Y37" s="206">
        <f>'P &amp; NP'!GC514</f>
        <v>0</v>
      </c>
      <c r="Z37" s="206">
        <f>'P &amp; NP'!GD514</f>
        <v>0</v>
      </c>
      <c r="AA37" s="206">
        <f>'P &amp; NP'!GS514</f>
        <v>0</v>
      </c>
      <c r="AB37" s="206">
        <f>'P &amp; NP'!GT514</f>
        <v>0</v>
      </c>
      <c r="AC37" s="206">
        <f>'P &amp; NP'!HI514</f>
        <v>0</v>
      </c>
      <c r="AD37" s="206">
        <f>'P &amp; NP'!HJ514</f>
        <v>0</v>
      </c>
      <c r="AE37" s="206">
        <f>'P &amp; NP'!HY514</f>
        <v>0</v>
      </c>
      <c r="AF37" s="206">
        <f>'P &amp; NP'!HZ514</f>
        <v>0</v>
      </c>
      <c r="AG37" s="206">
        <f>'P &amp; NP'!IO514</f>
        <v>0</v>
      </c>
      <c r="AH37" s="206">
        <f>'P &amp; NP'!IP514</f>
        <v>0</v>
      </c>
      <c r="AI37" s="206">
        <f>'P &amp; NP'!JE514</f>
        <v>0</v>
      </c>
      <c r="AJ37" s="206">
        <f>'P &amp; NP'!JF514</f>
        <v>0</v>
      </c>
      <c r="AK37" s="206">
        <f>'P &amp; NP'!JU514</f>
        <v>260</v>
      </c>
      <c r="AL37" s="206">
        <f>'P &amp; NP'!JV514</f>
        <v>19500</v>
      </c>
      <c r="AM37" s="206">
        <f>'P &amp; NP'!KK514</f>
        <v>0</v>
      </c>
      <c r="AN37" s="206">
        <f>'P &amp; NP'!KL514</f>
        <v>0</v>
      </c>
      <c r="AO37" s="206">
        <f>'P &amp; NP'!LA514</f>
        <v>0</v>
      </c>
      <c r="AP37" s="206">
        <f>'P &amp; NP'!LB514</f>
        <v>0</v>
      </c>
      <c r="AQ37" s="206">
        <f>'P &amp; NP'!LQ514</f>
        <v>0</v>
      </c>
      <c r="AR37" s="206">
        <f>'P &amp; NP'!LR514</f>
        <v>0</v>
      </c>
      <c r="AS37" s="206">
        <f>'P &amp; NP'!MG514</f>
        <v>0</v>
      </c>
      <c r="AT37" s="206">
        <f>'P &amp; NP'!MH514</f>
        <v>0</v>
      </c>
      <c r="AU37" s="206">
        <f>'P &amp; NP'!MW514</f>
        <v>0</v>
      </c>
      <c r="AV37" s="206">
        <f>'P &amp; NP'!MX514</f>
        <v>0</v>
      </c>
      <c r="AW37" s="206">
        <f>'P &amp; NP'!NM514</f>
        <v>0</v>
      </c>
      <c r="AX37" s="206">
        <f>'P &amp; NP'!NN514</f>
        <v>0</v>
      </c>
      <c r="AY37" s="206">
        <f>'P &amp; NP'!OC514</f>
        <v>0</v>
      </c>
      <c r="AZ37" s="206">
        <f>'P &amp; NP'!OD514</f>
        <v>0</v>
      </c>
      <c r="BA37" s="206">
        <f>'P &amp; NP'!OS514</f>
        <v>0</v>
      </c>
      <c r="BB37" s="206">
        <f>'P &amp; NP'!OT514</f>
        <v>0</v>
      </c>
      <c r="BC37" s="206">
        <f>'P &amp; NP'!PI514</f>
        <v>0</v>
      </c>
      <c r="BD37" s="206">
        <f>'P &amp; NP'!PJ514</f>
        <v>0</v>
      </c>
      <c r="BE37" s="206">
        <f>'P &amp; NP'!PY514</f>
        <v>0</v>
      </c>
      <c r="BF37" s="206">
        <f>'P &amp; NP'!PZ514</f>
        <v>0</v>
      </c>
      <c r="BG37" s="206">
        <f>'P &amp; NP'!QO514</f>
        <v>0</v>
      </c>
      <c r="BH37" s="206">
        <f>'P &amp; NP'!QP514</f>
        <v>0</v>
      </c>
      <c r="BI37" s="206">
        <f>'P &amp; NP'!RE514</f>
        <v>0</v>
      </c>
      <c r="BJ37" s="206">
        <f>'P &amp; NP'!RF514</f>
        <v>0</v>
      </c>
      <c r="BK37" s="206">
        <f>'P &amp; NP'!RU514</f>
        <v>0</v>
      </c>
      <c r="BL37" s="206">
        <f>'P &amp; NP'!RV514</f>
        <v>0</v>
      </c>
      <c r="BM37" s="206">
        <f>'P &amp; NP'!SK514</f>
        <v>0</v>
      </c>
      <c r="BN37" s="206">
        <f>'P &amp; NP'!SL514</f>
        <v>0</v>
      </c>
      <c r="BO37" s="206">
        <f>'P &amp; NP'!TA514</f>
        <v>0</v>
      </c>
      <c r="BP37" s="206">
        <f>'P &amp; NP'!TB514</f>
        <v>0</v>
      </c>
      <c r="BQ37" s="206">
        <f>'P &amp; NP'!TQ514</f>
        <v>0</v>
      </c>
      <c r="BR37" s="206">
        <f>'P &amp; NP'!TR514</f>
        <v>0</v>
      </c>
      <c r="BS37" s="206">
        <f>'P &amp; NP'!UG514</f>
        <v>0</v>
      </c>
      <c r="BT37" s="206">
        <f>'P &amp; NP'!UH514</f>
        <v>0</v>
      </c>
      <c r="BU37" s="206">
        <f>'P &amp; NP'!UW514</f>
        <v>0</v>
      </c>
      <c r="BV37" s="206">
        <f>'P &amp; NP'!UX514</f>
        <v>0</v>
      </c>
      <c r="BW37" s="206">
        <f>'P &amp; NP'!VM514</f>
        <v>0</v>
      </c>
      <c r="BX37" s="206">
        <f>'P &amp; NP'!VN514</f>
        <v>0</v>
      </c>
      <c r="BY37" s="206">
        <f>'P &amp; NP'!WC514</f>
        <v>0</v>
      </c>
      <c r="BZ37" s="206">
        <f>'P &amp; NP'!WD514</f>
        <v>0</v>
      </c>
      <c r="CB37" s="737">
        <f t="shared" si="5"/>
        <v>260</v>
      </c>
      <c r="CC37" s="737">
        <f t="shared" si="6"/>
        <v>19500</v>
      </c>
    </row>
    <row r="38" spans="2:81">
      <c r="B38" s="207" t="str">
        <f>'P &amp; NP'!B44</f>
        <v xml:space="preserve">Udang_04 (Udang Lainnya) </v>
      </c>
      <c r="C38" s="209">
        <f>'P &amp; NP'!I515</f>
        <v>0</v>
      </c>
      <c r="D38" s="209">
        <f>'P &amp; NP'!J515</f>
        <v>0</v>
      </c>
      <c r="E38" s="209">
        <f>'P &amp; NP'!Y515</f>
        <v>0</v>
      </c>
      <c r="F38" s="209">
        <f>'P &amp; NP'!Z515</f>
        <v>0</v>
      </c>
      <c r="G38" s="209">
        <f>'P &amp; NP'!AO515</f>
        <v>0</v>
      </c>
      <c r="H38" s="209">
        <f>'P &amp; NP'!AP515</f>
        <v>0</v>
      </c>
      <c r="I38" s="209">
        <f>'P &amp; NP'!BE515</f>
        <v>0</v>
      </c>
      <c r="J38" s="209">
        <f>'P &amp; NP'!BF515</f>
        <v>0</v>
      </c>
      <c r="K38" s="206">
        <f>'P &amp; NP'!BU515</f>
        <v>0</v>
      </c>
      <c r="L38" s="206">
        <f>'P &amp; NP'!BV515</f>
        <v>0</v>
      </c>
      <c r="M38" s="206">
        <f>'P &amp; NP'!CK515</f>
        <v>0</v>
      </c>
      <c r="N38" s="206">
        <f>'P &amp; NP'!CL515</f>
        <v>0</v>
      </c>
      <c r="O38" s="206">
        <f>'P &amp; NP'!DA515</f>
        <v>0</v>
      </c>
      <c r="P38" s="206">
        <f>'P &amp; NP'!DB515</f>
        <v>0</v>
      </c>
      <c r="Q38" s="206">
        <f>'P &amp; NP'!DQ515</f>
        <v>0</v>
      </c>
      <c r="R38" s="206">
        <f>'P &amp; NP'!DR515</f>
        <v>0</v>
      </c>
      <c r="S38" s="206">
        <f>'P &amp; NP'!EG515</f>
        <v>0</v>
      </c>
      <c r="T38" s="206">
        <f>'P &amp; NP'!EH515</f>
        <v>0</v>
      </c>
      <c r="U38" s="206">
        <f>'P &amp; NP'!EW515</f>
        <v>0</v>
      </c>
      <c r="V38" s="206">
        <f>'P &amp; NP'!EX515</f>
        <v>0</v>
      </c>
      <c r="W38" s="206">
        <f>'P &amp; NP'!FM515</f>
        <v>0</v>
      </c>
      <c r="X38" s="206">
        <f>'P &amp; NP'!FN515</f>
        <v>0</v>
      </c>
      <c r="Y38" s="206">
        <f>'P &amp; NP'!GC515</f>
        <v>0</v>
      </c>
      <c r="Z38" s="206">
        <f>'P &amp; NP'!GD515</f>
        <v>0</v>
      </c>
      <c r="AA38" s="206">
        <f>'P &amp; NP'!GS515</f>
        <v>0</v>
      </c>
      <c r="AB38" s="206">
        <f>'P &amp; NP'!GT515</f>
        <v>0</v>
      </c>
      <c r="AC38" s="206">
        <f>'P &amp; NP'!HI515</f>
        <v>0</v>
      </c>
      <c r="AD38" s="206">
        <f>'P &amp; NP'!HJ515</f>
        <v>0</v>
      </c>
      <c r="AE38" s="206">
        <f>'P &amp; NP'!HY515</f>
        <v>0</v>
      </c>
      <c r="AF38" s="206">
        <f>'P &amp; NP'!HZ515</f>
        <v>0</v>
      </c>
      <c r="AG38" s="206">
        <f>'P &amp; NP'!IO515</f>
        <v>0</v>
      </c>
      <c r="AH38" s="206">
        <f>'P &amp; NP'!IP515</f>
        <v>0</v>
      </c>
      <c r="AI38" s="206">
        <f>'P &amp; NP'!JE515</f>
        <v>0</v>
      </c>
      <c r="AJ38" s="206">
        <f>'P &amp; NP'!JF515</f>
        <v>0</v>
      </c>
      <c r="AK38" s="206">
        <f>'P &amp; NP'!JU515</f>
        <v>0</v>
      </c>
      <c r="AL38" s="206">
        <f>'P &amp; NP'!JV515</f>
        <v>0</v>
      </c>
      <c r="AM38" s="206">
        <f>'P &amp; NP'!KK515</f>
        <v>0</v>
      </c>
      <c r="AN38" s="206">
        <f>'P &amp; NP'!KL515</f>
        <v>0</v>
      </c>
      <c r="AO38" s="206">
        <f>'P &amp; NP'!LA515</f>
        <v>0</v>
      </c>
      <c r="AP38" s="206">
        <f>'P &amp; NP'!LB515</f>
        <v>0</v>
      </c>
      <c r="AQ38" s="206">
        <f>'P &amp; NP'!LQ515</f>
        <v>0</v>
      </c>
      <c r="AR38" s="206">
        <f>'P &amp; NP'!LR515</f>
        <v>0</v>
      </c>
      <c r="AS38" s="206">
        <f>'P &amp; NP'!MG515</f>
        <v>0</v>
      </c>
      <c r="AT38" s="206">
        <f>'P &amp; NP'!MH515</f>
        <v>0</v>
      </c>
      <c r="AU38" s="206">
        <f>'P &amp; NP'!MW515</f>
        <v>0</v>
      </c>
      <c r="AV38" s="206">
        <f>'P &amp; NP'!MX515</f>
        <v>0</v>
      </c>
      <c r="AW38" s="206">
        <f>'P &amp; NP'!NM515</f>
        <v>0</v>
      </c>
      <c r="AX38" s="206">
        <f>'P &amp; NP'!NN515</f>
        <v>0</v>
      </c>
      <c r="AY38" s="206">
        <f>'P &amp; NP'!OC515</f>
        <v>0</v>
      </c>
      <c r="AZ38" s="206">
        <f>'P &amp; NP'!OD515</f>
        <v>0</v>
      </c>
      <c r="BA38" s="206">
        <f>'P &amp; NP'!OS515</f>
        <v>0</v>
      </c>
      <c r="BB38" s="206">
        <f>'P &amp; NP'!OT515</f>
        <v>0</v>
      </c>
      <c r="BC38" s="206">
        <f>'P &amp; NP'!PI515</f>
        <v>0</v>
      </c>
      <c r="BD38" s="206">
        <f>'P &amp; NP'!PJ515</f>
        <v>0</v>
      </c>
      <c r="BE38" s="206">
        <f>'P &amp; NP'!PY515</f>
        <v>0</v>
      </c>
      <c r="BF38" s="206">
        <f>'P &amp; NP'!PZ515</f>
        <v>0</v>
      </c>
      <c r="BG38" s="206">
        <f>'P &amp; NP'!QO515</f>
        <v>0</v>
      </c>
      <c r="BH38" s="206">
        <f>'P &amp; NP'!QP515</f>
        <v>0</v>
      </c>
      <c r="BI38" s="206">
        <f>'P &amp; NP'!RE515</f>
        <v>0</v>
      </c>
      <c r="BJ38" s="206">
        <f>'P &amp; NP'!RF515</f>
        <v>0</v>
      </c>
      <c r="BK38" s="206">
        <f>'P &amp; NP'!RU515</f>
        <v>0</v>
      </c>
      <c r="BL38" s="206">
        <f>'P &amp; NP'!RV515</f>
        <v>0</v>
      </c>
      <c r="BM38" s="206">
        <f>'P &amp; NP'!SK515</f>
        <v>0</v>
      </c>
      <c r="BN38" s="206">
        <f>'P &amp; NP'!SL515</f>
        <v>0</v>
      </c>
      <c r="BO38" s="206">
        <f>'P &amp; NP'!TA515</f>
        <v>0</v>
      </c>
      <c r="BP38" s="206">
        <f>'P &amp; NP'!TB515</f>
        <v>0</v>
      </c>
      <c r="BQ38" s="206">
        <f>'P &amp; NP'!TQ515</f>
        <v>0</v>
      </c>
      <c r="BR38" s="206">
        <f>'P &amp; NP'!TR515</f>
        <v>0</v>
      </c>
      <c r="BS38" s="206">
        <f>'P &amp; NP'!UG515</f>
        <v>0</v>
      </c>
      <c r="BT38" s="206">
        <f>'P &amp; NP'!UH515</f>
        <v>0</v>
      </c>
      <c r="BU38" s="206">
        <f>'P &amp; NP'!UW515</f>
        <v>0</v>
      </c>
      <c r="BV38" s="206">
        <f>'P &amp; NP'!UX515</f>
        <v>0</v>
      </c>
      <c r="BW38" s="206">
        <f>'P &amp; NP'!VM515</f>
        <v>0</v>
      </c>
      <c r="BX38" s="206">
        <f>'P &amp; NP'!VN515</f>
        <v>0</v>
      </c>
      <c r="BY38" s="206">
        <f>'P &amp; NP'!WC515</f>
        <v>0</v>
      </c>
      <c r="BZ38" s="206">
        <f>'P &amp; NP'!WD515</f>
        <v>0</v>
      </c>
      <c r="CB38" s="737">
        <f t="shared" si="5"/>
        <v>0</v>
      </c>
      <c r="CC38" s="737">
        <f t="shared" si="6"/>
        <v>0</v>
      </c>
    </row>
    <row r="39" spans="2:81">
      <c r="B39" s="207" t="str">
        <f>'P &amp; NP'!B45</f>
        <v xml:space="preserve">Udang_05 (Udang Lainnya) </v>
      </c>
      <c r="C39" s="209">
        <f>'P &amp; NP'!I516</f>
        <v>0</v>
      </c>
      <c r="D39" s="209">
        <f>'P &amp; NP'!J516</f>
        <v>0</v>
      </c>
      <c r="E39" s="209">
        <f>'P &amp; NP'!Y516</f>
        <v>0</v>
      </c>
      <c r="F39" s="209">
        <f>'P &amp; NP'!Z516</f>
        <v>0</v>
      </c>
      <c r="G39" s="209">
        <f>'P &amp; NP'!AO516</f>
        <v>0</v>
      </c>
      <c r="H39" s="209">
        <f>'P &amp; NP'!AP516</f>
        <v>0</v>
      </c>
      <c r="I39" s="209">
        <f>'P &amp; NP'!BE516</f>
        <v>0</v>
      </c>
      <c r="J39" s="209">
        <f>'P &amp; NP'!BF516</f>
        <v>0</v>
      </c>
      <c r="K39" s="206">
        <f>'P &amp; NP'!BU516</f>
        <v>0</v>
      </c>
      <c r="L39" s="206">
        <f>'P &amp; NP'!BV516</f>
        <v>0</v>
      </c>
      <c r="M39" s="206">
        <f>'P &amp; NP'!CK516</f>
        <v>0</v>
      </c>
      <c r="N39" s="206">
        <f>'P &amp; NP'!CL516</f>
        <v>0</v>
      </c>
      <c r="O39" s="206">
        <f>'P &amp; NP'!DA516</f>
        <v>0</v>
      </c>
      <c r="P39" s="206">
        <f>'P &amp; NP'!DB516</f>
        <v>0</v>
      </c>
      <c r="Q39" s="206">
        <f>'P &amp; NP'!DQ516</f>
        <v>0</v>
      </c>
      <c r="R39" s="206">
        <f>'P &amp; NP'!DR516</f>
        <v>0</v>
      </c>
      <c r="S39" s="206">
        <f>'P &amp; NP'!EG516</f>
        <v>0</v>
      </c>
      <c r="T39" s="206">
        <f>'P &amp; NP'!EH516</f>
        <v>0</v>
      </c>
      <c r="U39" s="206">
        <f>'P &amp; NP'!EW516</f>
        <v>0</v>
      </c>
      <c r="V39" s="206">
        <f>'P &amp; NP'!EX516</f>
        <v>0</v>
      </c>
      <c r="W39" s="206">
        <f>'P &amp; NP'!FM516</f>
        <v>0</v>
      </c>
      <c r="X39" s="206">
        <f>'P &amp; NP'!FN516</f>
        <v>0</v>
      </c>
      <c r="Y39" s="206">
        <f>'P &amp; NP'!GC516</f>
        <v>0</v>
      </c>
      <c r="Z39" s="206">
        <f>'P &amp; NP'!GD516</f>
        <v>0</v>
      </c>
      <c r="AA39" s="206">
        <f>'P &amp; NP'!GS516</f>
        <v>0</v>
      </c>
      <c r="AB39" s="206">
        <f>'P &amp; NP'!GT516</f>
        <v>0</v>
      </c>
      <c r="AC39" s="206">
        <f>'P &amp; NP'!HI516</f>
        <v>0</v>
      </c>
      <c r="AD39" s="206">
        <f>'P &amp; NP'!HJ516</f>
        <v>0</v>
      </c>
      <c r="AE39" s="206">
        <f>'P &amp; NP'!HY516</f>
        <v>0</v>
      </c>
      <c r="AF39" s="206">
        <f>'P &amp; NP'!HZ516</f>
        <v>0</v>
      </c>
      <c r="AG39" s="206">
        <f>'P &amp; NP'!IO516</f>
        <v>0</v>
      </c>
      <c r="AH39" s="206">
        <f>'P &amp; NP'!IP516</f>
        <v>0</v>
      </c>
      <c r="AI39" s="206">
        <f>'P &amp; NP'!JE516</f>
        <v>0</v>
      </c>
      <c r="AJ39" s="206">
        <f>'P &amp; NP'!JF516</f>
        <v>0</v>
      </c>
      <c r="AK39" s="206">
        <f>'P &amp; NP'!JU516</f>
        <v>0</v>
      </c>
      <c r="AL39" s="206">
        <f>'P &amp; NP'!JV516</f>
        <v>0</v>
      </c>
      <c r="AM39" s="206">
        <f>'P &amp; NP'!KK516</f>
        <v>0</v>
      </c>
      <c r="AN39" s="206">
        <f>'P &amp; NP'!KL516</f>
        <v>0</v>
      </c>
      <c r="AO39" s="206">
        <f>'P &amp; NP'!LA516</f>
        <v>0</v>
      </c>
      <c r="AP39" s="206">
        <f>'P &amp; NP'!LB516</f>
        <v>0</v>
      </c>
      <c r="AQ39" s="206">
        <f>'P &amp; NP'!LQ516</f>
        <v>0</v>
      </c>
      <c r="AR39" s="206">
        <f>'P &amp; NP'!LR516</f>
        <v>0</v>
      </c>
      <c r="AS39" s="206">
        <f>'P &amp; NP'!MG516</f>
        <v>0</v>
      </c>
      <c r="AT39" s="206">
        <f>'P &amp; NP'!MH516</f>
        <v>0</v>
      </c>
      <c r="AU39" s="206">
        <f>'P &amp; NP'!MW516</f>
        <v>0</v>
      </c>
      <c r="AV39" s="206">
        <f>'P &amp; NP'!MX516</f>
        <v>0</v>
      </c>
      <c r="AW39" s="206">
        <f>'P &amp; NP'!NM516</f>
        <v>0</v>
      </c>
      <c r="AX39" s="206">
        <f>'P &amp; NP'!NN516</f>
        <v>0</v>
      </c>
      <c r="AY39" s="206">
        <f>'P &amp; NP'!OC516</f>
        <v>0</v>
      </c>
      <c r="AZ39" s="206">
        <f>'P &amp; NP'!OD516</f>
        <v>0</v>
      </c>
      <c r="BA39" s="206">
        <f>'P &amp; NP'!OS516</f>
        <v>0</v>
      </c>
      <c r="BB39" s="206">
        <f>'P &amp; NP'!OT516</f>
        <v>0</v>
      </c>
      <c r="BC39" s="206">
        <f>'P &amp; NP'!PI516</f>
        <v>0</v>
      </c>
      <c r="BD39" s="206">
        <f>'P &amp; NP'!PJ516</f>
        <v>0</v>
      </c>
      <c r="BE39" s="206">
        <f>'P &amp; NP'!PY516</f>
        <v>0</v>
      </c>
      <c r="BF39" s="206">
        <f>'P &amp; NP'!PZ516</f>
        <v>0</v>
      </c>
      <c r="BG39" s="206">
        <f>'P &amp; NP'!QO516</f>
        <v>0</v>
      </c>
      <c r="BH39" s="206">
        <f>'P &amp; NP'!QP516</f>
        <v>0</v>
      </c>
      <c r="BI39" s="206">
        <f>'P &amp; NP'!RE516</f>
        <v>0</v>
      </c>
      <c r="BJ39" s="206">
        <f>'P &amp; NP'!RF516</f>
        <v>0</v>
      </c>
      <c r="BK39" s="206">
        <f>'P &amp; NP'!RU516</f>
        <v>0</v>
      </c>
      <c r="BL39" s="206">
        <f>'P &amp; NP'!RV516</f>
        <v>0</v>
      </c>
      <c r="BM39" s="206">
        <f>'P &amp; NP'!SK516</f>
        <v>0</v>
      </c>
      <c r="BN39" s="206">
        <f>'P &amp; NP'!SL516</f>
        <v>0</v>
      </c>
      <c r="BO39" s="206">
        <f>'P &amp; NP'!TA516</f>
        <v>0</v>
      </c>
      <c r="BP39" s="206">
        <f>'P &amp; NP'!TB516</f>
        <v>0</v>
      </c>
      <c r="BQ39" s="206">
        <f>'P &amp; NP'!TQ516</f>
        <v>0</v>
      </c>
      <c r="BR39" s="206">
        <f>'P &amp; NP'!TR516</f>
        <v>0</v>
      </c>
      <c r="BS39" s="206">
        <f>'P &amp; NP'!UG516</f>
        <v>0</v>
      </c>
      <c r="BT39" s="206">
        <f>'P &amp; NP'!UH516</f>
        <v>0</v>
      </c>
      <c r="BU39" s="206">
        <f>'P &amp; NP'!UW516</f>
        <v>0</v>
      </c>
      <c r="BV39" s="206">
        <f>'P &amp; NP'!UX516</f>
        <v>0</v>
      </c>
      <c r="BW39" s="206">
        <f>'P &amp; NP'!VM516</f>
        <v>0</v>
      </c>
      <c r="BX39" s="206">
        <f>'P &amp; NP'!VN516</f>
        <v>0</v>
      </c>
      <c r="BY39" s="206">
        <f>'P &amp; NP'!WC516</f>
        <v>0</v>
      </c>
      <c r="BZ39" s="206">
        <f>'P &amp; NP'!WD516</f>
        <v>0</v>
      </c>
      <c r="CB39" s="737">
        <f t="shared" si="5"/>
        <v>0</v>
      </c>
      <c r="CC39" s="737">
        <f t="shared" si="6"/>
        <v>0</v>
      </c>
    </row>
    <row r="40" spans="2:81">
      <c r="B40" s="207" t="str">
        <f>'P &amp; NP'!B46</f>
        <v>Ikan_01 (Ikan Lainnya)</v>
      </c>
      <c r="C40" s="209">
        <f>'P &amp; NP'!I517</f>
        <v>0</v>
      </c>
      <c r="D40" s="209">
        <f>'P &amp; NP'!J517</f>
        <v>0</v>
      </c>
      <c r="E40" s="209">
        <f>'P &amp; NP'!Y517</f>
        <v>0</v>
      </c>
      <c r="F40" s="209">
        <f>'P &amp; NP'!Z517</f>
        <v>0</v>
      </c>
      <c r="G40" s="209">
        <f>'P &amp; NP'!AO517</f>
        <v>0</v>
      </c>
      <c r="H40" s="209">
        <f>'P &amp; NP'!AP517</f>
        <v>0</v>
      </c>
      <c r="I40" s="209">
        <f>'P &amp; NP'!BE517</f>
        <v>0</v>
      </c>
      <c r="J40" s="209">
        <f>'P &amp; NP'!BF517</f>
        <v>0</v>
      </c>
      <c r="K40" s="206">
        <f>'P &amp; NP'!BU517</f>
        <v>0</v>
      </c>
      <c r="L40" s="206">
        <f>'P &amp; NP'!BV517</f>
        <v>0</v>
      </c>
      <c r="M40" s="206">
        <f>'P &amp; NP'!CK517</f>
        <v>3496265.4526353306</v>
      </c>
      <c r="N40" s="206">
        <f>'P &amp; NP'!CL517</f>
        <v>14461385.303656366</v>
      </c>
      <c r="O40" s="206">
        <f>'P &amp; NP'!DA517</f>
        <v>0</v>
      </c>
      <c r="P40" s="206">
        <f>'P &amp; NP'!DB517</f>
        <v>0</v>
      </c>
      <c r="Q40" s="206">
        <f>'P &amp; NP'!DQ517</f>
        <v>0</v>
      </c>
      <c r="R40" s="206">
        <f>'P &amp; NP'!DR517</f>
        <v>0</v>
      </c>
      <c r="S40" s="206">
        <f>'P &amp; NP'!EG517</f>
        <v>0</v>
      </c>
      <c r="T40" s="206">
        <f>'P &amp; NP'!EH517</f>
        <v>0</v>
      </c>
      <c r="U40" s="206">
        <f>'P &amp; NP'!EW517</f>
        <v>0</v>
      </c>
      <c r="V40" s="206">
        <f>'P &amp; NP'!EX517</f>
        <v>0</v>
      </c>
      <c r="W40" s="206">
        <f>'P &amp; NP'!FM517</f>
        <v>0</v>
      </c>
      <c r="X40" s="206">
        <f>'P &amp; NP'!FN517</f>
        <v>0</v>
      </c>
      <c r="Y40" s="206">
        <f>'P &amp; NP'!GC517</f>
        <v>0</v>
      </c>
      <c r="Z40" s="206">
        <f>'P &amp; NP'!GD517</f>
        <v>0</v>
      </c>
      <c r="AA40" s="206">
        <f>'P &amp; NP'!GS517</f>
        <v>0</v>
      </c>
      <c r="AB40" s="206">
        <f>'P &amp; NP'!GT517</f>
        <v>0</v>
      </c>
      <c r="AC40" s="206">
        <f>'P &amp; NP'!HI517</f>
        <v>0</v>
      </c>
      <c r="AD40" s="206">
        <f>'P &amp; NP'!HJ517</f>
        <v>0</v>
      </c>
      <c r="AE40" s="206">
        <f>'P &amp; NP'!HY517</f>
        <v>0</v>
      </c>
      <c r="AF40" s="206">
        <f>'P &amp; NP'!HZ517</f>
        <v>0</v>
      </c>
      <c r="AG40" s="206">
        <f>'P &amp; NP'!IO517</f>
        <v>0</v>
      </c>
      <c r="AH40" s="206">
        <f>'P &amp; NP'!IP517</f>
        <v>0</v>
      </c>
      <c r="AI40" s="206">
        <f>'P &amp; NP'!JE517</f>
        <v>0</v>
      </c>
      <c r="AJ40" s="206">
        <f>'P &amp; NP'!JF517</f>
        <v>0</v>
      </c>
      <c r="AK40" s="206">
        <f>'P &amp; NP'!JU517</f>
        <v>0</v>
      </c>
      <c r="AL40" s="206">
        <f>'P &amp; NP'!JV517</f>
        <v>0</v>
      </c>
      <c r="AM40" s="206">
        <f>'P &amp; NP'!KK517</f>
        <v>0</v>
      </c>
      <c r="AN40" s="206">
        <f>'P &amp; NP'!KL517</f>
        <v>0</v>
      </c>
      <c r="AO40" s="206">
        <f>'P &amp; NP'!LA517</f>
        <v>0</v>
      </c>
      <c r="AP40" s="206">
        <f>'P &amp; NP'!LB517</f>
        <v>0</v>
      </c>
      <c r="AQ40" s="206">
        <f>'P &amp; NP'!LQ517</f>
        <v>0</v>
      </c>
      <c r="AR40" s="206">
        <f>'P &amp; NP'!LR517</f>
        <v>0</v>
      </c>
      <c r="AS40" s="206">
        <f>'P &amp; NP'!MG517</f>
        <v>0</v>
      </c>
      <c r="AT40" s="206">
        <f>'P &amp; NP'!MH517</f>
        <v>0</v>
      </c>
      <c r="AU40" s="206">
        <f>'P &amp; NP'!MW517</f>
        <v>0</v>
      </c>
      <c r="AV40" s="206">
        <f>'P &amp; NP'!MX517</f>
        <v>0</v>
      </c>
      <c r="AW40" s="206">
        <f>'P &amp; NP'!NM517</f>
        <v>0</v>
      </c>
      <c r="AX40" s="206">
        <f>'P &amp; NP'!NN517</f>
        <v>0</v>
      </c>
      <c r="AY40" s="206">
        <f>'P &amp; NP'!OC517</f>
        <v>0</v>
      </c>
      <c r="AZ40" s="206">
        <f>'P &amp; NP'!OD517</f>
        <v>0</v>
      </c>
      <c r="BA40" s="206">
        <f>'P &amp; NP'!OS517</f>
        <v>0</v>
      </c>
      <c r="BB40" s="206">
        <f>'P &amp; NP'!OT517</f>
        <v>0</v>
      </c>
      <c r="BC40" s="206">
        <f>'P &amp; NP'!PI517</f>
        <v>0</v>
      </c>
      <c r="BD40" s="206">
        <f>'P &amp; NP'!PJ517</f>
        <v>0</v>
      </c>
      <c r="BE40" s="206">
        <f>'P &amp; NP'!PY517</f>
        <v>0</v>
      </c>
      <c r="BF40" s="206">
        <f>'P &amp; NP'!PZ517</f>
        <v>0</v>
      </c>
      <c r="BG40" s="206">
        <f>'P &amp; NP'!QO517</f>
        <v>0</v>
      </c>
      <c r="BH40" s="206">
        <f>'P &amp; NP'!QP517</f>
        <v>0</v>
      </c>
      <c r="BI40" s="206">
        <f>'P &amp; NP'!RE517</f>
        <v>0</v>
      </c>
      <c r="BJ40" s="206">
        <f>'P &amp; NP'!RF517</f>
        <v>0</v>
      </c>
      <c r="BK40" s="206">
        <f>'P &amp; NP'!RU517</f>
        <v>0</v>
      </c>
      <c r="BL40" s="206">
        <f>'P &amp; NP'!RV517</f>
        <v>0</v>
      </c>
      <c r="BM40" s="206">
        <f>'P &amp; NP'!SK517</f>
        <v>0</v>
      </c>
      <c r="BN40" s="206">
        <f>'P &amp; NP'!SL517</f>
        <v>0</v>
      </c>
      <c r="BO40" s="206">
        <f>'P &amp; NP'!TA517</f>
        <v>0</v>
      </c>
      <c r="BP40" s="206">
        <f>'P &amp; NP'!TB517</f>
        <v>0</v>
      </c>
      <c r="BQ40" s="206">
        <f>'P &amp; NP'!TQ517</f>
        <v>0</v>
      </c>
      <c r="BR40" s="206">
        <f>'P &amp; NP'!TR517</f>
        <v>0</v>
      </c>
      <c r="BS40" s="206">
        <f>'P &amp; NP'!UG517</f>
        <v>0</v>
      </c>
      <c r="BT40" s="206">
        <f>'P &amp; NP'!UH517</f>
        <v>0</v>
      </c>
      <c r="BU40" s="206">
        <f>'P &amp; NP'!UW517</f>
        <v>0</v>
      </c>
      <c r="BV40" s="206">
        <f>'P &amp; NP'!UX517</f>
        <v>0</v>
      </c>
      <c r="BW40" s="206">
        <f>'P &amp; NP'!VM517</f>
        <v>0</v>
      </c>
      <c r="BX40" s="206">
        <f>'P &amp; NP'!VN517</f>
        <v>0</v>
      </c>
      <c r="BY40" s="206">
        <f>'P &amp; NP'!WC517</f>
        <v>0</v>
      </c>
      <c r="BZ40" s="206">
        <f>'P &amp; NP'!WD517</f>
        <v>0</v>
      </c>
      <c r="CB40" s="737">
        <f t="shared" si="5"/>
        <v>3496265.4526353306</v>
      </c>
      <c r="CC40" s="737">
        <f t="shared" si="6"/>
        <v>14461385.303656366</v>
      </c>
    </row>
    <row r="41" spans="2:81">
      <c r="B41" s="207" t="str">
        <f>'P &amp; NP'!B47</f>
        <v>Ikan_02 (Tiram)</v>
      </c>
      <c r="C41" s="209">
        <f>'P &amp; NP'!I518</f>
        <v>0</v>
      </c>
      <c r="D41" s="209">
        <f>'P &amp; NP'!J518</f>
        <v>0</v>
      </c>
      <c r="E41" s="209">
        <f>'P &amp; NP'!Y518</f>
        <v>0</v>
      </c>
      <c r="F41" s="209">
        <f>'P &amp; NP'!Z518</f>
        <v>0</v>
      </c>
      <c r="G41" s="209">
        <f>'P &amp; NP'!AO518</f>
        <v>0</v>
      </c>
      <c r="H41" s="209">
        <f>'P &amp; NP'!AP518</f>
        <v>0</v>
      </c>
      <c r="I41" s="209">
        <f>'P &amp; NP'!BE518</f>
        <v>0</v>
      </c>
      <c r="J41" s="209">
        <f>'P &amp; NP'!BF518</f>
        <v>0</v>
      </c>
      <c r="K41" s="206">
        <f>'P &amp; NP'!BU518</f>
        <v>0</v>
      </c>
      <c r="L41" s="206">
        <f>'P &amp; NP'!BV518</f>
        <v>0</v>
      </c>
      <c r="M41" s="206">
        <f>'P &amp; NP'!CK518</f>
        <v>0</v>
      </c>
      <c r="N41" s="206">
        <f>'P &amp; NP'!CL518</f>
        <v>0</v>
      </c>
      <c r="O41" s="206">
        <f>'P &amp; NP'!DA518</f>
        <v>0</v>
      </c>
      <c r="P41" s="206">
        <f>'P &amp; NP'!DB518</f>
        <v>0</v>
      </c>
      <c r="Q41" s="206">
        <f>'P &amp; NP'!DQ518</f>
        <v>0</v>
      </c>
      <c r="R41" s="206">
        <f>'P &amp; NP'!DR518</f>
        <v>0</v>
      </c>
      <c r="S41" s="206">
        <f>'P &amp; NP'!EG518</f>
        <v>0</v>
      </c>
      <c r="T41" s="206">
        <f>'P &amp; NP'!EH518</f>
        <v>0</v>
      </c>
      <c r="U41" s="206">
        <f>'P &amp; NP'!EW518</f>
        <v>0</v>
      </c>
      <c r="V41" s="206">
        <f>'P &amp; NP'!EX518</f>
        <v>0</v>
      </c>
      <c r="W41" s="206">
        <f>'P &amp; NP'!FM518</f>
        <v>0</v>
      </c>
      <c r="X41" s="206">
        <f>'P &amp; NP'!FN518</f>
        <v>0</v>
      </c>
      <c r="Y41" s="206">
        <f>'P &amp; NP'!GC518</f>
        <v>0</v>
      </c>
      <c r="Z41" s="206">
        <f>'P &amp; NP'!GD518</f>
        <v>0</v>
      </c>
      <c r="AA41" s="206">
        <f>'P &amp; NP'!GS518</f>
        <v>0</v>
      </c>
      <c r="AB41" s="206">
        <f>'P &amp; NP'!GT518</f>
        <v>0</v>
      </c>
      <c r="AC41" s="206">
        <f>'P &amp; NP'!HI518</f>
        <v>0</v>
      </c>
      <c r="AD41" s="206">
        <f>'P &amp; NP'!HJ518</f>
        <v>0</v>
      </c>
      <c r="AE41" s="206">
        <f>'P &amp; NP'!HY518</f>
        <v>0</v>
      </c>
      <c r="AF41" s="206">
        <f>'P &amp; NP'!HZ518</f>
        <v>0</v>
      </c>
      <c r="AG41" s="206">
        <f>'P &amp; NP'!IO518</f>
        <v>0</v>
      </c>
      <c r="AH41" s="206">
        <f>'P &amp; NP'!IP518</f>
        <v>0</v>
      </c>
      <c r="AI41" s="206">
        <f>'P &amp; NP'!JE518</f>
        <v>0</v>
      </c>
      <c r="AJ41" s="206">
        <f>'P &amp; NP'!JF518</f>
        <v>0</v>
      </c>
      <c r="AK41" s="206">
        <f>'P &amp; NP'!JU518</f>
        <v>0</v>
      </c>
      <c r="AL41" s="206">
        <f>'P &amp; NP'!JV518</f>
        <v>0</v>
      </c>
      <c r="AM41" s="206">
        <f>'P &amp; NP'!KK518</f>
        <v>0</v>
      </c>
      <c r="AN41" s="206">
        <f>'P &amp; NP'!KL518</f>
        <v>0</v>
      </c>
      <c r="AO41" s="206">
        <f>'P &amp; NP'!LA518</f>
        <v>0</v>
      </c>
      <c r="AP41" s="206">
        <f>'P &amp; NP'!LB518</f>
        <v>0</v>
      </c>
      <c r="AQ41" s="206">
        <f>'P &amp; NP'!LQ518</f>
        <v>0</v>
      </c>
      <c r="AR41" s="206">
        <f>'P &amp; NP'!LR518</f>
        <v>0</v>
      </c>
      <c r="AS41" s="206">
        <f>'P &amp; NP'!MG518</f>
        <v>0</v>
      </c>
      <c r="AT41" s="206">
        <f>'P &amp; NP'!MH518</f>
        <v>0</v>
      </c>
      <c r="AU41" s="206">
        <f>'P &amp; NP'!MW518</f>
        <v>0</v>
      </c>
      <c r="AV41" s="206">
        <f>'P &amp; NP'!MX518</f>
        <v>0</v>
      </c>
      <c r="AW41" s="206">
        <f>'P &amp; NP'!NM518</f>
        <v>0</v>
      </c>
      <c r="AX41" s="206">
        <f>'P &amp; NP'!NN518</f>
        <v>0</v>
      </c>
      <c r="AY41" s="206">
        <f>'P &amp; NP'!OC518</f>
        <v>0</v>
      </c>
      <c r="AZ41" s="206">
        <f>'P &amp; NP'!OD518</f>
        <v>0</v>
      </c>
      <c r="BA41" s="206">
        <f>'P &amp; NP'!OS518</f>
        <v>0</v>
      </c>
      <c r="BB41" s="206">
        <f>'P &amp; NP'!OT518</f>
        <v>0</v>
      </c>
      <c r="BC41" s="206">
        <f>'P &amp; NP'!PI518</f>
        <v>0</v>
      </c>
      <c r="BD41" s="206">
        <f>'P &amp; NP'!PJ518</f>
        <v>0</v>
      </c>
      <c r="BE41" s="206">
        <f>'P &amp; NP'!PY518</f>
        <v>0</v>
      </c>
      <c r="BF41" s="206">
        <f>'P &amp; NP'!PZ518</f>
        <v>0</v>
      </c>
      <c r="BG41" s="206">
        <f>'P &amp; NP'!QO518</f>
        <v>0</v>
      </c>
      <c r="BH41" s="206">
        <f>'P &amp; NP'!QP518</f>
        <v>0</v>
      </c>
      <c r="BI41" s="206">
        <f>'P &amp; NP'!RE518</f>
        <v>0</v>
      </c>
      <c r="BJ41" s="206">
        <f>'P &amp; NP'!RF518</f>
        <v>0</v>
      </c>
      <c r="BK41" s="206">
        <f>'P &amp; NP'!RU518</f>
        <v>0</v>
      </c>
      <c r="BL41" s="206">
        <f>'P &amp; NP'!RV518</f>
        <v>0</v>
      </c>
      <c r="BM41" s="206">
        <f>'P &amp; NP'!SK518</f>
        <v>0</v>
      </c>
      <c r="BN41" s="206">
        <f>'P &amp; NP'!SL518</f>
        <v>0</v>
      </c>
      <c r="BO41" s="206">
        <f>'P &amp; NP'!TA518</f>
        <v>0</v>
      </c>
      <c r="BP41" s="206">
        <f>'P &amp; NP'!TB518</f>
        <v>0</v>
      </c>
      <c r="BQ41" s="206">
        <f>'P &amp; NP'!TQ518</f>
        <v>0</v>
      </c>
      <c r="BR41" s="206">
        <f>'P &amp; NP'!TR518</f>
        <v>0</v>
      </c>
      <c r="BS41" s="206">
        <f>'P &amp; NP'!UG518</f>
        <v>0</v>
      </c>
      <c r="BT41" s="206">
        <f>'P &amp; NP'!UH518</f>
        <v>0</v>
      </c>
      <c r="BU41" s="206">
        <f>'P &amp; NP'!UW518</f>
        <v>0</v>
      </c>
      <c r="BV41" s="206">
        <f>'P &amp; NP'!UX518</f>
        <v>0</v>
      </c>
      <c r="BW41" s="206">
        <f>'P &amp; NP'!VM518</f>
        <v>0</v>
      </c>
      <c r="BX41" s="206">
        <f>'P &amp; NP'!VN518</f>
        <v>0</v>
      </c>
      <c r="BY41" s="206">
        <f>'P &amp; NP'!WC518</f>
        <v>0</v>
      </c>
      <c r="BZ41" s="206">
        <f>'P &amp; NP'!WD518</f>
        <v>0</v>
      </c>
      <c r="CB41" s="737">
        <f t="shared" si="5"/>
        <v>0</v>
      </c>
      <c r="CC41" s="737">
        <f t="shared" si="6"/>
        <v>0</v>
      </c>
    </row>
    <row r="42" spans="2:81">
      <c r="B42" s="207" t="str">
        <f>'P &amp; NP'!B48</f>
        <v>Ikan_03 (Kerang Darah)</v>
      </c>
      <c r="C42" s="209">
        <f>'P &amp; NP'!I519</f>
        <v>0</v>
      </c>
      <c r="D42" s="209">
        <f>'P &amp; NP'!J519</f>
        <v>0</v>
      </c>
      <c r="E42" s="209">
        <f>'P &amp; NP'!Y519</f>
        <v>0</v>
      </c>
      <c r="F42" s="209">
        <f>'P &amp; NP'!Z519</f>
        <v>0</v>
      </c>
      <c r="G42" s="209">
        <f>'P &amp; NP'!AO519</f>
        <v>0</v>
      </c>
      <c r="H42" s="209">
        <f>'P &amp; NP'!AP519</f>
        <v>0</v>
      </c>
      <c r="I42" s="209">
        <f>'P &amp; NP'!BE519</f>
        <v>0</v>
      </c>
      <c r="J42" s="209">
        <f>'P &amp; NP'!BF519</f>
        <v>0</v>
      </c>
      <c r="K42" s="206">
        <f>'P &amp; NP'!BU519</f>
        <v>0</v>
      </c>
      <c r="L42" s="206">
        <f>'P &amp; NP'!BV519</f>
        <v>0</v>
      </c>
      <c r="M42" s="206">
        <f>'P &amp; NP'!CK519</f>
        <v>0</v>
      </c>
      <c r="N42" s="206">
        <f>'P &amp; NP'!CL519</f>
        <v>0</v>
      </c>
      <c r="O42" s="206">
        <f>'P &amp; NP'!DA519</f>
        <v>0</v>
      </c>
      <c r="P42" s="206">
        <f>'P &amp; NP'!DB519</f>
        <v>0</v>
      </c>
      <c r="Q42" s="206">
        <f>'P &amp; NP'!DQ519</f>
        <v>0</v>
      </c>
      <c r="R42" s="206">
        <f>'P &amp; NP'!DR519</f>
        <v>0</v>
      </c>
      <c r="S42" s="206">
        <f>'P &amp; NP'!EG519</f>
        <v>0</v>
      </c>
      <c r="T42" s="206">
        <f>'P &amp; NP'!EH519</f>
        <v>0</v>
      </c>
      <c r="U42" s="206">
        <f>'P &amp; NP'!EW519</f>
        <v>0</v>
      </c>
      <c r="V42" s="206">
        <f>'P &amp; NP'!EX519</f>
        <v>0</v>
      </c>
      <c r="W42" s="206">
        <f>'P &amp; NP'!FM519</f>
        <v>0</v>
      </c>
      <c r="X42" s="206">
        <f>'P &amp; NP'!FN519</f>
        <v>0</v>
      </c>
      <c r="Y42" s="206">
        <f>'P &amp; NP'!GC519</f>
        <v>0</v>
      </c>
      <c r="Z42" s="206">
        <f>'P &amp; NP'!GD519</f>
        <v>0</v>
      </c>
      <c r="AA42" s="206">
        <f>'P &amp; NP'!GS519</f>
        <v>0</v>
      </c>
      <c r="AB42" s="206">
        <f>'P &amp; NP'!GT519</f>
        <v>0</v>
      </c>
      <c r="AC42" s="206">
        <f>'P &amp; NP'!HI519</f>
        <v>0</v>
      </c>
      <c r="AD42" s="206">
        <f>'P &amp; NP'!HJ519</f>
        <v>0</v>
      </c>
      <c r="AE42" s="206">
        <f>'P &amp; NP'!HY519</f>
        <v>0</v>
      </c>
      <c r="AF42" s="206">
        <f>'P &amp; NP'!HZ519</f>
        <v>0</v>
      </c>
      <c r="AG42" s="206">
        <f>'P &amp; NP'!IO519</f>
        <v>0</v>
      </c>
      <c r="AH42" s="206">
        <f>'P &amp; NP'!IP519</f>
        <v>0</v>
      </c>
      <c r="AI42" s="206">
        <f>'P &amp; NP'!JE519</f>
        <v>0</v>
      </c>
      <c r="AJ42" s="206">
        <f>'P &amp; NP'!JF519</f>
        <v>0</v>
      </c>
      <c r="AK42" s="206">
        <f>'P &amp; NP'!JU519</f>
        <v>0</v>
      </c>
      <c r="AL42" s="206">
        <f>'P &amp; NP'!JV519</f>
        <v>0</v>
      </c>
      <c r="AM42" s="206">
        <f>'P &amp; NP'!KK519</f>
        <v>0</v>
      </c>
      <c r="AN42" s="206">
        <f>'P &amp; NP'!KL519</f>
        <v>0</v>
      </c>
      <c r="AO42" s="206">
        <f>'P &amp; NP'!LA519</f>
        <v>0</v>
      </c>
      <c r="AP42" s="206">
        <f>'P &amp; NP'!LB519</f>
        <v>0</v>
      </c>
      <c r="AQ42" s="206">
        <f>'P &amp; NP'!LQ519</f>
        <v>0</v>
      </c>
      <c r="AR42" s="206">
        <f>'P &amp; NP'!LR519</f>
        <v>0</v>
      </c>
      <c r="AS42" s="206">
        <f>'P &amp; NP'!MG519</f>
        <v>0</v>
      </c>
      <c r="AT42" s="206">
        <f>'P &amp; NP'!MH519</f>
        <v>0</v>
      </c>
      <c r="AU42" s="206">
        <f>'P &amp; NP'!MW519</f>
        <v>0</v>
      </c>
      <c r="AV42" s="206">
        <f>'P &amp; NP'!MX519</f>
        <v>0</v>
      </c>
      <c r="AW42" s="206">
        <f>'P &amp; NP'!NM519</f>
        <v>0</v>
      </c>
      <c r="AX42" s="206">
        <f>'P &amp; NP'!NN519</f>
        <v>0</v>
      </c>
      <c r="AY42" s="206">
        <f>'P &amp; NP'!OC519</f>
        <v>0</v>
      </c>
      <c r="AZ42" s="206">
        <f>'P &amp; NP'!OD519</f>
        <v>0</v>
      </c>
      <c r="BA42" s="206">
        <f>'P &amp; NP'!OS519</f>
        <v>0</v>
      </c>
      <c r="BB42" s="206">
        <f>'P &amp; NP'!OT519</f>
        <v>0</v>
      </c>
      <c r="BC42" s="206">
        <f>'P &amp; NP'!PI519</f>
        <v>0</v>
      </c>
      <c r="BD42" s="206">
        <f>'P &amp; NP'!PJ519</f>
        <v>0</v>
      </c>
      <c r="BE42" s="206">
        <f>'P &amp; NP'!PY519</f>
        <v>0</v>
      </c>
      <c r="BF42" s="206">
        <f>'P &amp; NP'!PZ519</f>
        <v>0</v>
      </c>
      <c r="BG42" s="206">
        <f>'P &amp; NP'!QO519</f>
        <v>0</v>
      </c>
      <c r="BH42" s="206">
        <f>'P &amp; NP'!QP519</f>
        <v>0</v>
      </c>
      <c r="BI42" s="206">
        <f>'P &amp; NP'!RE519</f>
        <v>0</v>
      </c>
      <c r="BJ42" s="206">
        <f>'P &amp; NP'!RF519</f>
        <v>0</v>
      </c>
      <c r="BK42" s="206">
        <f>'P &amp; NP'!RU519</f>
        <v>0</v>
      </c>
      <c r="BL42" s="206">
        <f>'P &amp; NP'!RV519</f>
        <v>0</v>
      </c>
      <c r="BM42" s="206">
        <f>'P &amp; NP'!SK519</f>
        <v>0</v>
      </c>
      <c r="BN42" s="206">
        <f>'P &amp; NP'!SL519</f>
        <v>0</v>
      </c>
      <c r="BO42" s="206">
        <f>'P &amp; NP'!TA519</f>
        <v>0</v>
      </c>
      <c r="BP42" s="206">
        <f>'P &amp; NP'!TB519</f>
        <v>0</v>
      </c>
      <c r="BQ42" s="206">
        <f>'P &amp; NP'!TQ519</f>
        <v>0</v>
      </c>
      <c r="BR42" s="206">
        <f>'P &amp; NP'!TR519</f>
        <v>0</v>
      </c>
      <c r="BS42" s="206">
        <f>'P &amp; NP'!UG519</f>
        <v>0</v>
      </c>
      <c r="BT42" s="206">
        <f>'P &amp; NP'!UH519</f>
        <v>0</v>
      </c>
      <c r="BU42" s="206">
        <f>'P &amp; NP'!UW519</f>
        <v>0</v>
      </c>
      <c r="BV42" s="206">
        <f>'P &amp; NP'!UX519</f>
        <v>0</v>
      </c>
      <c r="BW42" s="206">
        <f>'P &amp; NP'!VM519</f>
        <v>0</v>
      </c>
      <c r="BX42" s="206">
        <f>'P &amp; NP'!VN519</f>
        <v>0</v>
      </c>
      <c r="BY42" s="206">
        <f>'P &amp; NP'!WC519</f>
        <v>0</v>
      </c>
      <c r="BZ42" s="206">
        <f>'P &amp; NP'!WD519</f>
        <v>0</v>
      </c>
      <c r="CB42" s="737">
        <f t="shared" si="5"/>
        <v>0</v>
      </c>
      <c r="CC42" s="737">
        <f t="shared" si="6"/>
        <v>0</v>
      </c>
    </row>
    <row r="43" spans="2:81">
      <c r="B43" s="207" t="str">
        <f>'P &amp; NP'!B49</f>
        <v>Ikan_04 (Ikan Keting)</v>
      </c>
      <c r="C43" s="209">
        <f>'P &amp; NP'!I520</f>
        <v>0</v>
      </c>
      <c r="D43" s="209">
        <f>'P &amp; NP'!J520</f>
        <v>0</v>
      </c>
      <c r="E43" s="209">
        <f>'P &amp; NP'!Y520</f>
        <v>0</v>
      </c>
      <c r="F43" s="209">
        <f>'P &amp; NP'!Z520</f>
        <v>0</v>
      </c>
      <c r="G43" s="209">
        <f>'P &amp; NP'!AO520</f>
        <v>0</v>
      </c>
      <c r="H43" s="209">
        <f>'P &amp; NP'!AP520</f>
        <v>0</v>
      </c>
      <c r="I43" s="209">
        <f>'P &amp; NP'!BE520</f>
        <v>0</v>
      </c>
      <c r="J43" s="209">
        <f>'P &amp; NP'!BF520</f>
        <v>0</v>
      </c>
      <c r="K43" s="206">
        <f>'P &amp; NP'!BU520</f>
        <v>0</v>
      </c>
      <c r="L43" s="206">
        <f>'P &amp; NP'!BV520</f>
        <v>0</v>
      </c>
      <c r="M43" s="206">
        <f>'P &amp; NP'!CK520</f>
        <v>0</v>
      </c>
      <c r="N43" s="206">
        <f>'P &amp; NP'!CL520</f>
        <v>0</v>
      </c>
      <c r="O43" s="206">
        <f>'P &amp; NP'!DA520</f>
        <v>0</v>
      </c>
      <c r="P43" s="206">
        <f>'P &amp; NP'!DB520</f>
        <v>0</v>
      </c>
      <c r="Q43" s="206">
        <f>'P &amp; NP'!DQ520</f>
        <v>0</v>
      </c>
      <c r="R43" s="206">
        <f>'P &amp; NP'!DR520</f>
        <v>0</v>
      </c>
      <c r="S43" s="206">
        <f>'P &amp; NP'!EG520</f>
        <v>0</v>
      </c>
      <c r="T43" s="206">
        <f>'P &amp; NP'!EH520</f>
        <v>0</v>
      </c>
      <c r="U43" s="206">
        <f>'P &amp; NP'!EW520</f>
        <v>0</v>
      </c>
      <c r="V43" s="206">
        <f>'P &amp; NP'!EX520</f>
        <v>0</v>
      </c>
      <c r="W43" s="206">
        <f>'P &amp; NP'!FM520</f>
        <v>0</v>
      </c>
      <c r="X43" s="206">
        <f>'P &amp; NP'!FN520</f>
        <v>0</v>
      </c>
      <c r="Y43" s="206">
        <f>'P &amp; NP'!GC520</f>
        <v>0</v>
      </c>
      <c r="Z43" s="206">
        <f>'P &amp; NP'!GD520</f>
        <v>0</v>
      </c>
      <c r="AA43" s="206">
        <f>'P &amp; NP'!GS520</f>
        <v>0</v>
      </c>
      <c r="AB43" s="206">
        <f>'P &amp; NP'!GT520</f>
        <v>0</v>
      </c>
      <c r="AC43" s="206">
        <f>'P &amp; NP'!HI520</f>
        <v>0</v>
      </c>
      <c r="AD43" s="206">
        <f>'P &amp; NP'!HJ520</f>
        <v>0</v>
      </c>
      <c r="AE43" s="206">
        <f>'P &amp; NP'!HY520</f>
        <v>0</v>
      </c>
      <c r="AF43" s="206">
        <f>'P &amp; NP'!HZ520</f>
        <v>0</v>
      </c>
      <c r="AG43" s="206">
        <f>'P &amp; NP'!IO520</f>
        <v>0</v>
      </c>
      <c r="AH43" s="206">
        <f>'P &amp; NP'!IP520</f>
        <v>0</v>
      </c>
      <c r="AI43" s="206">
        <f>'P &amp; NP'!JE520</f>
        <v>0</v>
      </c>
      <c r="AJ43" s="206">
        <f>'P &amp; NP'!JF520</f>
        <v>0</v>
      </c>
      <c r="AK43" s="206">
        <f>'P &amp; NP'!JU520</f>
        <v>0</v>
      </c>
      <c r="AL43" s="206">
        <f>'P &amp; NP'!JV520</f>
        <v>0</v>
      </c>
      <c r="AM43" s="206">
        <f>'P &amp; NP'!KK520</f>
        <v>0</v>
      </c>
      <c r="AN43" s="206">
        <f>'P &amp; NP'!KL520</f>
        <v>0</v>
      </c>
      <c r="AO43" s="206">
        <f>'P &amp; NP'!LA520</f>
        <v>0</v>
      </c>
      <c r="AP43" s="206">
        <f>'P &amp; NP'!LB520</f>
        <v>0</v>
      </c>
      <c r="AQ43" s="206">
        <f>'P &amp; NP'!LQ520</f>
        <v>0</v>
      </c>
      <c r="AR43" s="206">
        <f>'P &amp; NP'!LR520</f>
        <v>0</v>
      </c>
      <c r="AS43" s="206">
        <f>'P &amp; NP'!MG520</f>
        <v>0</v>
      </c>
      <c r="AT43" s="206">
        <f>'P &amp; NP'!MH520</f>
        <v>0</v>
      </c>
      <c r="AU43" s="206">
        <f>'P &amp; NP'!MW520</f>
        <v>0</v>
      </c>
      <c r="AV43" s="206">
        <f>'P &amp; NP'!MX520</f>
        <v>0</v>
      </c>
      <c r="AW43" s="206">
        <f>'P &amp; NP'!NM520</f>
        <v>0</v>
      </c>
      <c r="AX43" s="206">
        <f>'P &amp; NP'!NN520</f>
        <v>0</v>
      </c>
      <c r="AY43" s="206">
        <f>'P &amp; NP'!OC520</f>
        <v>0</v>
      </c>
      <c r="AZ43" s="206">
        <f>'P &amp; NP'!OD520</f>
        <v>0</v>
      </c>
      <c r="BA43" s="206">
        <f>'P &amp; NP'!OS520</f>
        <v>0</v>
      </c>
      <c r="BB43" s="206">
        <f>'P &amp; NP'!OT520</f>
        <v>0</v>
      </c>
      <c r="BC43" s="206">
        <f>'P &amp; NP'!PI520</f>
        <v>0</v>
      </c>
      <c r="BD43" s="206">
        <f>'P &amp; NP'!PJ520</f>
        <v>0</v>
      </c>
      <c r="BE43" s="206">
        <f>'P &amp; NP'!PY520</f>
        <v>0</v>
      </c>
      <c r="BF43" s="206">
        <f>'P &amp; NP'!PZ520</f>
        <v>0</v>
      </c>
      <c r="BG43" s="206">
        <f>'P &amp; NP'!QO520</f>
        <v>0</v>
      </c>
      <c r="BH43" s="206">
        <f>'P &amp; NP'!QP520</f>
        <v>0</v>
      </c>
      <c r="BI43" s="206">
        <f>'P &amp; NP'!RE520</f>
        <v>0</v>
      </c>
      <c r="BJ43" s="206">
        <f>'P &amp; NP'!RF520</f>
        <v>0</v>
      </c>
      <c r="BK43" s="206">
        <f>'P &amp; NP'!RU520</f>
        <v>0</v>
      </c>
      <c r="BL43" s="206">
        <f>'P &amp; NP'!RV520</f>
        <v>0</v>
      </c>
      <c r="BM43" s="206">
        <f>'P &amp; NP'!SK520</f>
        <v>0</v>
      </c>
      <c r="BN43" s="206">
        <f>'P &amp; NP'!SL520</f>
        <v>0</v>
      </c>
      <c r="BO43" s="206">
        <f>'P &amp; NP'!TA520</f>
        <v>0</v>
      </c>
      <c r="BP43" s="206">
        <f>'P &amp; NP'!TB520</f>
        <v>0</v>
      </c>
      <c r="BQ43" s="206">
        <f>'P &amp; NP'!TQ520</f>
        <v>0</v>
      </c>
      <c r="BR43" s="206">
        <f>'P &amp; NP'!TR520</f>
        <v>0</v>
      </c>
      <c r="BS43" s="206">
        <f>'P &amp; NP'!UG520</f>
        <v>0</v>
      </c>
      <c r="BT43" s="206">
        <f>'P &amp; NP'!UH520</f>
        <v>0</v>
      </c>
      <c r="BU43" s="206">
        <f>'P &amp; NP'!UW520</f>
        <v>0</v>
      </c>
      <c r="BV43" s="206">
        <f>'P &amp; NP'!UX520</f>
        <v>0</v>
      </c>
      <c r="BW43" s="206">
        <f>'P &amp; NP'!VM520</f>
        <v>0</v>
      </c>
      <c r="BX43" s="206">
        <f>'P &amp; NP'!VN520</f>
        <v>0</v>
      </c>
      <c r="BY43" s="206">
        <f>'P &amp; NP'!WC520</f>
        <v>0</v>
      </c>
      <c r="BZ43" s="206">
        <f>'P &amp; NP'!WD520</f>
        <v>0</v>
      </c>
      <c r="CB43" s="737">
        <f t="shared" si="5"/>
        <v>0</v>
      </c>
      <c r="CC43" s="737">
        <f t="shared" si="6"/>
        <v>0</v>
      </c>
    </row>
    <row r="44" spans="2:81">
      <c r="B44" s="207" t="str">
        <f>'P &amp; NP'!B50</f>
        <v>Ikan_05 (Ikan betutu)</v>
      </c>
      <c r="C44" s="209">
        <f>'P &amp; NP'!I521</f>
        <v>0</v>
      </c>
      <c r="D44" s="209">
        <f>'P &amp; NP'!J521</f>
        <v>0</v>
      </c>
      <c r="E44" s="209">
        <f>'P &amp; NP'!Y521</f>
        <v>0</v>
      </c>
      <c r="F44" s="209">
        <f>'P &amp; NP'!Z521</f>
        <v>0</v>
      </c>
      <c r="G44" s="209">
        <f>'P &amp; NP'!AO521</f>
        <v>0</v>
      </c>
      <c r="H44" s="209">
        <f>'P &amp; NP'!AP521</f>
        <v>0</v>
      </c>
      <c r="I44" s="209">
        <f>'P &amp; NP'!BE521</f>
        <v>0</v>
      </c>
      <c r="J44" s="209">
        <f>'P &amp; NP'!BF521</f>
        <v>0</v>
      </c>
      <c r="K44" s="206">
        <f>'P &amp; NP'!BU521</f>
        <v>0</v>
      </c>
      <c r="L44" s="206">
        <f>'P &amp; NP'!BV521</f>
        <v>0</v>
      </c>
      <c r="M44" s="206">
        <f>'P &amp; NP'!CK521</f>
        <v>0</v>
      </c>
      <c r="N44" s="206">
        <f>'P &amp; NP'!CL521</f>
        <v>0</v>
      </c>
      <c r="O44" s="206">
        <f>'P &amp; NP'!DA521</f>
        <v>0</v>
      </c>
      <c r="P44" s="206">
        <f>'P &amp; NP'!DB521</f>
        <v>0</v>
      </c>
      <c r="Q44" s="206">
        <f>'P &amp; NP'!DQ521</f>
        <v>0</v>
      </c>
      <c r="R44" s="206">
        <f>'P &amp; NP'!DR521</f>
        <v>0</v>
      </c>
      <c r="S44" s="206">
        <f>'P &amp; NP'!EG521</f>
        <v>0</v>
      </c>
      <c r="T44" s="206">
        <f>'P &amp; NP'!EH521</f>
        <v>0</v>
      </c>
      <c r="U44" s="206">
        <f>'P &amp; NP'!EW521</f>
        <v>0</v>
      </c>
      <c r="V44" s="206">
        <f>'P &amp; NP'!EX521</f>
        <v>0</v>
      </c>
      <c r="W44" s="206">
        <f>'P &amp; NP'!FM521</f>
        <v>0</v>
      </c>
      <c r="X44" s="206">
        <f>'P &amp; NP'!FN521</f>
        <v>0</v>
      </c>
      <c r="Y44" s="206">
        <f>'P &amp; NP'!GC521</f>
        <v>0</v>
      </c>
      <c r="Z44" s="206">
        <f>'P &amp; NP'!GD521</f>
        <v>0</v>
      </c>
      <c r="AA44" s="206">
        <f>'P &amp; NP'!GS521</f>
        <v>0</v>
      </c>
      <c r="AB44" s="206">
        <f>'P &amp; NP'!GT521</f>
        <v>0</v>
      </c>
      <c r="AC44" s="206">
        <f>'P &amp; NP'!HI521</f>
        <v>0</v>
      </c>
      <c r="AD44" s="206">
        <f>'P &amp; NP'!HJ521</f>
        <v>0</v>
      </c>
      <c r="AE44" s="206">
        <f>'P &amp; NP'!HY521</f>
        <v>0</v>
      </c>
      <c r="AF44" s="206">
        <f>'P &amp; NP'!HZ521</f>
        <v>0</v>
      </c>
      <c r="AG44" s="206">
        <f>'P &amp; NP'!IO521</f>
        <v>0</v>
      </c>
      <c r="AH44" s="206">
        <f>'P &amp; NP'!IP521</f>
        <v>0</v>
      </c>
      <c r="AI44" s="206">
        <f>'P &amp; NP'!JE521</f>
        <v>0</v>
      </c>
      <c r="AJ44" s="206">
        <f>'P &amp; NP'!JF521</f>
        <v>0</v>
      </c>
      <c r="AK44" s="206">
        <f>'P &amp; NP'!JU521</f>
        <v>0</v>
      </c>
      <c r="AL44" s="206">
        <f>'P &amp; NP'!JV521</f>
        <v>0</v>
      </c>
      <c r="AM44" s="206">
        <f>'P &amp; NP'!KK521</f>
        <v>0</v>
      </c>
      <c r="AN44" s="206">
        <f>'P &amp; NP'!KL521</f>
        <v>0</v>
      </c>
      <c r="AO44" s="206">
        <f>'P &amp; NP'!LA521</f>
        <v>0</v>
      </c>
      <c r="AP44" s="206">
        <f>'P &amp; NP'!LB521</f>
        <v>0</v>
      </c>
      <c r="AQ44" s="206">
        <f>'P &amp; NP'!LQ521</f>
        <v>0</v>
      </c>
      <c r="AR44" s="206">
        <f>'P &amp; NP'!LR521</f>
        <v>0</v>
      </c>
      <c r="AS44" s="206">
        <f>'P &amp; NP'!MG521</f>
        <v>0</v>
      </c>
      <c r="AT44" s="206">
        <f>'P &amp; NP'!MH521</f>
        <v>0</v>
      </c>
      <c r="AU44" s="206">
        <f>'P &amp; NP'!MW521</f>
        <v>0</v>
      </c>
      <c r="AV44" s="206">
        <f>'P &amp; NP'!MX521</f>
        <v>0</v>
      </c>
      <c r="AW44" s="206">
        <f>'P &amp; NP'!NM521</f>
        <v>0</v>
      </c>
      <c r="AX44" s="206">
        <f>'P &amp; NP'!NN521</f>
        <v>0</v>
      </c>
      <c r="AY44" s="206">
        <f>'P &amp; NP'!OC521</f>
        <v>0</v>
      </c>
      <c r="AZ44" s="206">
        <f>'P &amp; NP'!OD521</f>
        <v>0</v>
      </c>
      <c r="BA44" s="206">
        <f>'P &amp; NP'!OS521</f>
        <v>0</v>
      </c>
      <c r="BB44" s="206">
        <f>'P &amp; NP'!OT521</f>
        <v>0</v>
      </c>
      <c r="BC44" s="206">
        <f>'P &amp; NP'!PI521</f>
        <v>0</v>
      </c>
      <c r="BD44" s="206">
        <f>'P &amp; NP'!PJ521</f>
        <v>0</v>
      </c>
      <c r="BE44" s="206">
        <f>'P &amp; NP'!PY521</f>
        <v>0</v>
      </c>
      <c r="BF44" s="206">
        <f>'P &amp; NP'!PZ521</f>
        <v>0</v>
      </c>
      <c r="BG44" s="206">
        <f>'P &amp; NP'!QO521</f>
        <v>0</v>
      </c>
      <c r="BH44" s="206">
        <f>'P &amp; NP'!QP521</f>
        <v>0</v>
      </c>
      <c r="BI44" s="206">
        <f>'P &amp; NP'!RE521</f>
        <v>0</v>
      </c>
      <c r="BJ44" s="206">
        <f>'P &amp; NP'!RF521</f>
        <v>0</v>
      </c>
      <c r="BK44" s="206">
        <f>'P &amp; NP'!RU521</f>
        <v>0</v>
      </c>
      <c r="BL44" s="206">
        <f>'P &amp; NP'!RV521</f>
        <v>0</v>
      </c>
      <c r="BM44" s="206">
        <f>'P &amp; NP'!SK521</f>
        <v>0</v>
      </c>
      <c r="BN44" s="206">
        <f>'P &amp; NP'!SL521</f>
        <v>0</v>
      </c>
      <c r="BO44" s="206">
        <f>'P &amp; NP'!TA521</f>
        <v>0</v>
      </c>
      <c r="BP44" s="206">
        <f>'P &amp; NP'!TB521</f>
        <v>0</v>
      </c>
      <c r="BQ44" s="206">
        <f>'P &amp; NP'!TQ521</f>
        <v>0</v>
      </c>
      <c r="BR44" s="206">
        <f>'P &amp; NP'!TR521</f>
        <v>0</v>
      </c>
      <c r="BS44" s="206">
        <f>'P &amp; NP'!UG521</f>
        <v>0</v>
      </c>
      <c r="BT44" s="206">
        <f>'P &amp; NP'!UH521</f>
        <v>0</v>
      </c>
      <c r="BU44" s="206">
        <f>'P &amp; NP'!UW521</f>
        <v>0</v>
      </c>
      <c r="BV44" s="206">
        <f>'P &amp; NP'!UX521</f>
        <v>0</v>
      </c>
      <c r="BW44" s="206">
        <f>'P &amp; NP'!VM521</f>
        <v>0</v>
      </c>
      <c r="BX44" s="206">
        <f>'P &amp; NP'!VN521</f>
        <v>0</v>
      </c>
      <c r="BY44" s="206">
        <f>'P &amp; NP'!WC521</f>
        <v>0</v>
      </c>
      <c r="BZ44" s="206">
        <f>'P &amp; NP'!WD521</f>
        <v>0</v>
      </c>
      <c r="CB44" s="737">
        <f t="shared" si="5"/>
        <v>0</v>
      </c>
      <c r="CC44" s="737">
        <f t="shared" si="6"/>
        <v>0</v>
      </c>
    </row>
    <row r="45" spans="2:81" s="359" customFormat="1">
      <c r="CB45" s="738"/>
      <c r="CC45" s="738"/>
    </row>
  </sheetData>
  <mergeCells count="117">
    <mergeCell ref="BW3:BX3"/>
    <mergeCell ref="BY3:BZ3"/>
    <mergeCell ref="BK3:BL3"/>
    <mergeCell ref="BM3:BN3"/>
    <mergeCell ref="BO3:BP3"/>
    <mergeCell ref="BQ3:BR3"/>
    <mergeCell ref="BS3:BT3"/>
    <mergeCell ref="BU3:BV3"/>
    <mergeCell ref="AY3:AZ3"/>
    <mergeCell ref="BA3:BB3"/>
    <mergeCell ref="BC3:BD3"/>
    <mergeCell ref="BE3:BF3"/>
    <mergeCell ref="BG3:BH3"/>
    <mergeCell ref="BI3:BJ3"/>
    <mergeCell ref="AM3:AN3"/>
    <mergeCell ref="AO3:AP3"/>
    <mergeCell ref="AQ3:AR3"/>
    <mergeCell ref="AS3:AT3"/>
    <mergeCell ref="AU3:AV3"/>
    <mergeCell ref="AW3:AX3"/>
    <mergeCell ref="AA3:AB3"/>
    <mergeCell ref="AC3:AD3"/>
    <mergeCell ref="AE3:AF3"/>
    <mergeCell ref="AG3:AH3"/>
    <mergeCell ref="AI3:AJ3"/>
    <mergeCell ref="AK3:AL3"/>
    <mergeCell ref="O3:P3"/>
    <mergeCell ref="Q3:R3"/>
    <mergeCell ref="S3:T3"/>
    <mergeCell ref="U3:V3"/>
    <mergeCell ref="W3:X3"/>
    <mergeCell ref="Y3:Z3"/>
    <mergeCell ref="C3:D3"/>
    <mergeCell ref="E3:F3"/>
    <mergeCell ref="G3:H3"/>
    <mergeCell ref="I3:J3"/>
    <mergeCell ref="K3:L3"/>
    <mergeCell ref="M3:N3"/>
    <mergeCell ref="BO2:BP2"/>
    <mergeCell ref="BQ2:BR2"/>
    <mergeCell ref="BS2:BT2"/>
    <mergeCell ref="BU2:BV2"/>
    <mergeCell ref="BW2:BX2"/>
    <mergeCell ref="BY2:BZ2"/>
    <mergeCell ref="BC2:BD2"/>
    <mergeCell ref="BE2:BF2"/>
    <mergeCell ref="BG2:BH2"/>
    <mergeCell ref="BI2:BJ2"/>
    <mergeCell ref="BK2:BL2"/>
    <mergeCell ref="BM2:BN2"/>
    <mergeCell ref="BW1:BX1"/>
    <mergeCell ref="BY1:BZ1"/>
    <mergeCell ref="C2:D2"/>
    <mergeCell ref="E2:F2"/>
    <mergeCell ref="G2:H2"/>
    <mergeCell ref="I2:J2"/>
    <mergeCell ref="K2:L2"/>
    <mergeCell ref="M2:N2"/>
    <mergeCell ref="O2:P2"/>
    <mergeCell ref="Q2:R2"/>
    <mergeCell ref="BK1:BL1"/>
    <mergeCell ref="BM1:BN1"/>
    <mergeCell ref="BO1:BP1"/>
    <mergeCell ref="BQ1:BR1"/>
    <mergeCell ref="BS1:BT1"/>
    <mergeCell ref="BU1:BV1"/>
    <mergeCell ref="AY1:AZ1"/>
    <mergeCell ref="BA1:BB1"/>
    <mergeCell ref="AQ2:AR2"/>
    <mergeCell ref="AS2:AT2"/>
    <mergeCell ref="AU2:AV2"/>
    <mergeCell ref="AW2:AX2"/>
    <mergeCell ref="AY2:AZ2"/>
    <mergeCell ref="BA2:BB2"/>
    <mergeCell ref="BI1:BJ1"/>
    <mergeCell ref="AM1:AN1"/>
    <mergeCell ref="AO1:AP1"/>
    <mergeCell ref="AQ1:AR1"/>
    <mergeCell ref="AS1:AT1"/>
    <mergeCell ref="AU1:AV1"/>
    <mergeCell ref="AW1:AX1"/>
    <mergeCell ref="S2:T2"/>
    <mergeCell ref="U2:V2"/>
    <mergeCell ref="W2:X2"/>
    <mergeCell ref="Y2:Z2"/>
    <mergeCell ref="AA2:AB2"/>
    <mergeCell ref="AC2:AD2"/>
    <mergeCell ref="AE2:AF2"/>
    <mergeCell ref="AG2:AH2"/>
    <mergeCell ref="AI2:AJ2"/>
    <mergeCell ref="AK2:AL2"/>
    <mergeCell ref="AM2:AN2"/>
    <mergeCell ref="AO2:AP2"/>
    <mergeCell ref="CB1:CC1"/>
    <mergeCell ref="CB2:CC2"/>
    <mergeCell ref="CB3:CC3"/>
    <mergeCell ref="C1:D1"/>
    <mergeCell ref="E1:F1"/>
    <mergeCell ref="G1:H1"/>
    <mergeCell ref="I1:J1"/>
    <mergeCell ref="K1:L1"/>
    <mergeCell ref="M1:N1"/>
    <mergeCell ref="AA1:AB1"/>
    <mergeCell ref="AC1:AD1"/>
    <mergeCell ref="AE1:AF1"/>
    <mergeCell ref="AG1:AH1"/>
    <mergeCell ref="AI1:AJ1"/>
    <mergeCell ref="AK1:AL1"/>
    <mergeCell ref="O1:P1"/>
    <mergeCell ref="Q1:R1"/>
    <mergeCell ref="S1:T1"/>
    <mergeCell ref="U1:V1"/>
    <mergeCell ref="W1:X1"/>
    <mergeCell ref="Y1:Z1"/>
    <mergeCell ref="BC1:BD1"/>
    <mergeCell ref="BE1:BF1"/>
    <mergeCell ref="BG1:BH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A1:BY44"/>
  <sheetViews>
    <sheetView workbookViewId="0">
      <pane xSplit="3" ySplit="5" topLeftCell="BX6" activePane="bottomRight" state="frozen"/>
      <selection pane="topRight" activeCell="D1" sqref="D1"/>
      <selection pane="bottomLeft" activeCell="A6" sqref="A6"/>
      <selection pane="bottomRight" activeCell="BF3" sqref="BF3:BY3"/>
    </sheetView>
  </sheetViews>
  <sheetFormatPr defaultRowHeight="14.5"/>
  <cols>
    <col min="1" max="1" width="36.81640625" customWidth="1"/>
    <col min="2" max="2" width="16.1796875" customWidth="1"/>
    <col min="3" max="3" width="17.54296875" customWidth="1"/>
    <col min="4" max="4" width="12.54296875" style="315" customWidth="1"/>
    <col min="5" max="5" width="13.54296875" style="315" customWidth="1"/>
    <col min="6" max="16" width="12.54296875" style="315" customWidth="1"/>
    <col min="17" max="17" width="13.453125" style="315" bestFit="1" customWidth="1"/>
    <col min="18" max="30" width="12.54296875" style="315" customWidth="1"/>
    <col min="31" max="31" width="13.453125" style="315" bestFit="1" customWidth="1"/>
    <col min="32" max="58" width="12.54296875" style="315" customWidth="1"/>
    <col min="59" max="59" width="13.81640625" style="315" customWidth="1"/>
    <col min="60" max="77" width="12.54296875" style="315" customWidth="1"/>
  </cols>
  <sheetData>
    <row r="1" spans="1:77">
      <c r="A1" s="325" t="s">
        <v>313</v>
      </c>
      <c r="B1" s="213"/>
      <c r="C1" s="213"/>
    </row>
    <row r="2" spans="1:77">
      <c r="A2" s="230" t="s">
        <v>103</v>
      </c>
      <c r="B2" s="316"/>
      <c r="C2" s="316"/>
      <c r="D2" s="976">
        <v>1</v>
      </c>
      <c r="E2" s="976"/>
      <c r="F2" s="976">
        <v>2</v>
      </c>
      <c r="G2" s="976"/>
      <c r="H2" s="976">
        <v>3</v>
      </c>
      <c r="I2" s="976"/>
      <c r="J2" s="976">
        <v>4</v>
      </c>
      <c r="K2" s="976"/>
      <c r="L2" s="976">
        <v>5</v>
      </c>
      <c r="M2" s="976"/>
      <c r="N2" s="976">
        <v>6</v>
      </c>
      <c r="O2" s="976"/>
      <c r="P2" s="976">
        <v>7</v>
      </c>
      <c r="Q2" s="976"/>
      <c r="R2" s="976">
        <v>8</v>
      </c>
      <c r="S2" s="976"/>
      <c r="T2" s="976">
        <v>9</v>
      </c>
      <c r="U2" s="976"/>
      <c r="V2" s="976">
        <v>10</v>
      </c>
      <c r="W2" s="976"/>
      <c r="X2" s="976">
        <v>11</v>
      </c>
      <c r="Y2" s="976"/>
      <c r="Z2" s="976">
        <v>12</v>
      </c>
      <c r="AA2" s="976"/>
      <c r="AB2" s="976">
        <v>13</v>
      </c>
      <c r="AC2" s="976"/>
      <c r="AD2" s="976">
        <v>14</v>
      </c>
      <c r="AE2" s="976"/>
      <c r="AF2" s="976">
        <v>15</v>
      </c>
      <c r="AG2" s="976"/>
      <c r="AH2" s="976">
        <v>16</v>
      </c>
      <c r="AI2" s="976"/>
      <c r="AJ2" s="976">
        <v>17</v>
      </c>
      <c r="AK2" s="976"/>
      <c r="AL2" s="976">
        <v>18</v>
      </c>
      <c r="AM2" s="976"/>
      <c r="AN2" s="976">
        <v>19</v>
      </c>
      <c r="AO2" s="976"/>
      <c r="AP2" s="976">
        <v>20</v>
      </c>
      <c r="AQ2" s="976"/>
      <c r="AR2" s="976">
        <v>21</v>
      </c>
      <c r="AS2" s="976"/>
      <c r="AT2" s="976">
        <v>22</v>
      </c>
      <c r="AU2" s="976"/>
      <c r="AV2" s="976">
        <v>23</v>
      </c>
      <c r="AW2" s="976"/>
      <c r="AX2" s="976">
        <v>24</v>
      </c>
      <c r="AY2" s="976"/>
      <c r="AZ2" s="976">
        <v>25</v>
      </c>
      <c r="BA2" s="976"/>
      <c r="BB2" s="976">
        <v>26</v>
      </c>
      <c r="BC2" s="976"/>
      <c r="BD2" s="976">
        <v>27</v>
      </c>
      <c r="BE2" s="976"/>
      <c r="BF2" s="976">
        <v>28</v>
      </c>
      <c r="BG2" s="976"/>
      <c r="BH2" s="976">
        <v>29</v>
      </c>
      <c r="BI2" s="976"/>
      <c r="BJ2" s="976">
        <v>30</v>
      </c>
      <c r="BK2" s="976"/>
      <c r="BL2" s="976">
        <v>31</v>
      </c>
      <c r="BM2" s="976"/>
      <c r="BN2" s="976">
        <v>32</v>
      </c>
      <c r="BO2" s="976"/>
      <c r="BP2" s="976">
        <v>33</v>
      </c>
      <c r="BQ2" s="976"/>
      <c r="BR2" s="976">
        <v>34</v>
      </c>
      <c r="BS2" s="976"/>
      <c r="BT2" s="976">
        <v>35</v>
      </c>
      <c r="BU2" s="976"/>
      <c r="BV2" s="976">
        <v>36</v>
      </c>
      <c r="BW2" s="976"/>
      <c r="BX2" s="976">
        <v>37</v>
      </c>
      <c r="BY2" s="976"/>
    </row>
    <row r="3" spans="1:77" s="333" customFormat="1">
      <c r="A3" s="331" t="s">
        <v>105</v>
      </c>
      <c r="B3" s="332">
        <f>'P &amp; NP'!WT11</f>
        <v>356728672.96641648</v>
      </c>
      <c r="C3" s="332">
        <f>'P &amp; NP'!WU11</f>
        <v>7160588868.2689142</v>
      </c>
      <c r="D3" s="732" t="s">
        <v>537</v>
      </c>
      <c r="E3" s="732"/>
      <c r="F3" s="732" t="s">
        <v>538</v>
      </c>
      <c r="G3" s="732"/>
      <c r="H3" s="732" t="s">
        <v>539</v>
      </c>
      <c r="I3" s="732"/>
      <c r="J3" s="732" t="s">
        <v>540</v>
      </c>
      <c r="K3" s="732"/>
      <c r="L3" s="732" t="s">
        <v>392</v>
      </c>
      <c r="M3" s="732"/>
      <c r="N3" s="732" t="s">
        <v>541</v>
      </c>
      <c r="O3" s="732"/>
      <c r="P3" s="732" t="s">
        <v>542</v>
      </c>
      <c r="Q3" s="732"/>
      <c r="R3" s="732" t="s">
        <v>10</v>
      </c>
      <c r="S3" s="732"/>
      <c r="T3" s="732" t="s">
        <v>231</v>
      </c>
      <c r="U3" s="732"/>
      <c r="V3" s="732" t="s">
        <v>543</v>
      </c>
      <c r="W3" s="732"/>
      <c r="X3" s="732" t="s">
        <v>544</v>
      </c>
      <c r="Y3" s="732"/>
      <c r="Z3" s="732" t="s">
        <v>545</v>
      </c>
      <c r="AA3" s="732"/>
      <c r="AB3" s="732" t="s">
        <v>546</v>
      </c>
      <c r="AC3" s="732"/>
      <c r="AD3" s="732" t="s">
        <v>547</v>
      </c>
      <c r="AE3" s="732"/>
      <c r="AF3" s="732" t="s">
        <v>548</v>
      </c>
      <c r="AG3" s="732"/>
      <c r="AH3" s="732" t="s">
        <v>549</v>
      </c>
      <c r="AI3" s="732"/>
      <c r="AJ3" s="732" t="s">
        <v>550</v>
      </c>
      <c r="AK3" s="732"/>
      <c r="AL3" s="732" t="s">
        <v>551</v>
      </c>
      <c r="AM3" s="732"/>
      <c r="AN3" s="732" t="s">
        <v>552</v>
      </c>
      <c r="AO3" s="732"/>
      <c r="AP3" s="732" t="s">
        <v>553</v>
      </c>
      <c r="AQ3" s="732"/>
      <c r="AR3" s="732" t="s">
        <v>554</v>
      </c>
      <c r="AS3" s="732"/>
      <c r="AT3" s="732" t="s">
        <v>20</v>
      </c>
      <c r="AU3" s="732"/>
      <c r="AV3" s="732" t="s">
        <v>555</v>
      </c>
      <c r="AW3" s="732"/>
      <c r="AX3" s="732" t="s">
        <v>556</v>
      </c>
      <c r="AY3" s="732"/>
      <c r="AZ3" s="732" t="s">
        <v>24</v>
      </c>
      <c r="BA3" s="732"/>
      <c r="BB3" s="732" t="s">
        <v>557</v>
      </c>
      <c r="BC3" s="732"/>
      <c r="BD3" s="732" t="s">
        <v>359</v>
      </c>
      <c r="BE3" s="732"/>
      <c r="BF3" s="732" t="s">
        <v>668</v>
      </c>
      <c r="BG3" s="732"/>
      <c r="BH3" s="732" t="s">
        <v>671</v>
      </c>
      <c r="BI3" s="732"/>
      <c r="BJ3" s="732" t="s">
        <v>674</v>
      </c>
      <c r="BK3" s="732"/>
      <c r="BL3" s="732" t="s">
        <v>605</v>
      </c>
      <c r="BM3" s="732"/>
      <c r="BN3" s="732" t="s">
        <v>606</v>
      </c>
      <c r="BO3" s="732"/>
      <c r="BP3" s="732" t="s">
        <v>607</v>
      </c>
      <c r="BQ3" s="732"/>
      <c r="BR3" s="732" t="s">
        <v>669</v>
      </c>
      <c r="BS3" s="732"/>
      <c r="BT3" s="732" t="s">
        <v>670</v>
      </c>
      <c r="BU3" s="732"/>
      <c r="BV3" s="732" t="s">
        <v>672</v>
      </c>
      <c r="BW3" s="732"/>
      <c r="BX3" s="732" t="s">
        <v>673</v>
      </c>
      <c r="BY3" s="732"/>
    </row>
    <row r="4" spans="1:77">
      <c r="A4" s="246"/>
      <c r="B4" s="327" t="s">
        <v>27</v>
      </c>
      <c r="C4" s="327" t="s">
        <v>28</v>
      </c>
      <c r="D4" s="326" t="s">
        <v>27</v>
      </c>
      <c r="E4" s="326" t="s">
        <v>28</v>
      </c>
      <c r="F4" s="326" t="s">
        <v>27</v>
      </c>
      <c r="G4" s="326" t="s">
        <v>28</v>
      </c>
      <c r="H4" s="326" t="s">
        <v>27</v>
      </c>
      <c r="I4" s="326" t="s">
        <v>28</v>
      </c>
      <c r="J4" s="326" t="s">
        <v>27</v>
      </c>
      <c r="K4" s="326" t="s">
        <v>28</v>
      </c>
      <c r="L4" s="326" t="s">
        <v>27</v>
      </c>
      <c r="M4" s="326" t="s">
        <v>28</v>
      </c>
      <c r="N4" s="326" t="s">
        <v>27</v>
      </c>
      <c r="O4" s="326" t="s">
        <v>28</v>
      </c>
      <c r="P4" s="326" t="s">
        <v>27</v>
      </c>
      <c r="Q4" s="326" t="s">
        <v>28</v>
      </c>
      <c r="R4" s="326" t="s">
        <v>27</v>
      </c>
      <c r="S4" s="326" t="s">
        <v>28</v>
      </c>
      <c r="T4" s="326" t="s">
        <v>27</v>
      </c>
      <c r="U4" s="326" t="s">
        <v>28</v>
      </c>
      <c r="V4" s="326" t="s">
        <v>27</v>
      </c>
      <c r="W4" s="326" t="s">
        <v>28</v>
      </c>
      <c r="X4" s="326" t="s">
        <v>27</v>
      </c>
      <c r="Y4" s="326" t="s">
        <v>28</v>
      </c>
      <c r="Z4" s="326" t="s">
        <v>27</v>
      </c>
      <c r="AA4" s="326" t="s">
        <v>28</v>
      </c>
      <c r="AB4" s="326" t="s">
        <v>27</v>
      </c>
      <c r="AC4" s="326" t="s">
        <v>28</v>
      </c>
      <c r="AD4" s="326" t="s">
        <v>27</v>
      </c>
      <c r="AE4" s="326" t="s">
        <v>28</v>
      </c>
      <c r="AF4" s="326" t="s">
        <v>27</v>
      </c>
      <c r="AG4" s="326" t="s">
        <v>28</v>
      </c>
      <c r="AH4" s="326" t="s">
        <v>27</v>
      </c>
      <c r="AI4" s="326" t="s">
        <v>28</v>
      </c>
      <c r="AJ4" s="326" t="s">
        <v>27</v>
      </c>
      <c r="AK4" s="326" t="s">
        <v>28</v>
      </c>
      <c r="AL4" s="326" t="s">
        <v>27</v>
      </c>
      <c r="AM4" s="326" t="s">
        <v>28</v>
      </c>
      <c r="AN4" s="326" t="s">
        <v>27</v>
      </c>
      <c r="AO4" s="326" t="s">
        <v>28</v>
      </c>
      <c r="AP4" s="326" t="s">
        <v>27</v>
      </c>
      <c r="AQ4" s="326" t="s">
        <v>28</v>
      </c>
      <c r="AR4" s="326" t="s">
        <v>27</v>
      </c>
      <c r="AS4" s="326" t="s">
        <v>28</v>
      </c>
      <c r="AT4" s="326" t="s">
        <v>27</v>
      </c>
      <c r="AU4" s="326" t="s">
        <v>28</v>
      </c>
      <c r="AV4" s="326" t="s">
        <v>27</v>
      </c>
      <c r="AW4" s="326" t="s">
        <v>28</v>
      </c>
      <c r="AX4" s="326" t="s">
        <v>27</v>
      </c>
      <c r="AY4" s="326" t="s">
        <v>28</v>
      </c>
      <c r="AZ4" s="326" t="s">
        <v>27</v>
      </c>
      <c r="BA4" s="326" t="s">
        <v>28</v>
      </c>
      <c r="BB4" s="326" t="s">
        <v>27</v>
      </c>
      <c r="BC4" s="326" t="s">
        <v>28</v>
      </c>
      <c r="BD4" s="326" t="s">
        <v>27</v>
      </c>
      <c r="BE4" s="326" t="s">
        <v>28</v>
      </c>
      <c r="BF4" s="326" t="s">
        <v>27</v>
      </c>
      <c r="BG4" s="326" t="s">
        <v>28</v>
      </c>
      <c r="BH4" s="326" t="s">
        <v>27</v>
      </c>
      <c r="BI4" s="326" t="s">
        <v>28</v>
      </c>
      <c r="BJ4" s="326" t="s">
        <v>27</v>
      </c>
      <c r="BK4" s="326" t="s">
        <v>28</v>
      </c>
      <c r="BL4" s="326" t="s">
        <v>27</v>
      </c>
      <c r="BM4" s="326" t="s">
        <v>28</v>
      </c>
      <c r="BN4" s="326" t="s">
        <v>27</v>
      </c>
      <c r="BO4" s="326" t="s">
        <v>28</v>
      </c>
      <c r="BP4" s="326" t="s">
        <v>27</v>
      </c>
      <c r="BQ4" s="326" t="s">
        <v>28</v>
      </c>
      <c r="BR4" s="326" t="s">
        <v>27</v>
      </c>
      <c r="BS4" s="326" t="s">
        <v>28</v>
      </c>
      <c r="BT4" s="326" t="s">
        <v>27</v>
      </c>
      <c r="BU4" s="326" t="s">
        <v>28</v>
      </c>
      <c r="BV4" s="326" t="s">
        <v>27</v>
      </c>
      <c r="BW4" s="326" t="s">
        <v>28</v>
      </c>
      <c r="BX4" s="326" t="s">
        <v>27</v>
      </c>
      <c r="BY4" s="326" t="s">
        <v>28</v>
      </c>
    </row>
    <row r="5" spans="1:77">
      <c r="A5" s="255" t="s">
        <v>111</v>
      </c>
      <c r="B5" s="321">
        <f>SUM(B6:B43)</f>
        <v>356728672.96641648</v>
      </c>
      <c r="C5" s="321">
        <f>SUM(C6:C43)</f>
        <v>7160588868.2689142</v>
      </c>
      <c r="D5" s="322">
        <f>SUM(D6:D43)</f>
        <v>54653657.795808762</v>
      </c>
      <c r="E5" s="322">
        <f t="shared" ref="E5:BP5" si="0">SUM(E6:E43)</f>
        <v>1127615914.8559194</v>
      </c>
      <c r="F5" s="322">
        <f t="shared" si="0"/>
        <v>5691917</v>
      </c>
      <c r="G5" s="322">
        <f t="shared" si="0"/>
        <v>88378650</v>
      </c>
      <c r="H5" s="322">
        <f t="shared" si="0"/>
        <v>0</v>
      </c>
      <c r="I5" s="322">
        <f t="shared" si="0"/>
        <v>0</v>
      </c>
      <c r="J5" s="322">
        <f t="shared" si="0"/>
        <v>0</v>
      </c>
      <c r="K5" s="322">
        <f t="shared" si="0"/>
        <v>0</v>
      </c>
      <c r="L5" s="322">
        <f t="shared" si="0"/>
        <v>216504</v>
      </c>
      <c r="M5" s="322">
        <f t="shared" si="0"/>
        <v>9522809</v>
      </c>
      <c r="N5" s="322">
        <f t="shared" si="0"/>
        <v>0</v>
      </c>
      <c r="O5" s="322">
        <f t="shared" si="0"/>
        <v>50</v>
      </c>
      <c r="P5" s="322">
        <f t="shared" si="0"/>
        <v>39153167.986463718</v>
      </c>
      <c r="Q5" s="322">
        <f t="shared" si="0"/>
        <v>1068931897.6225408</v>
      </c>
      <c r="R5" s="322">
        <f t="shared" si="0"/>
        <v>0</v>
      </c>
      <c r="S5" s="322">
        <f t="shared" si="0"/>
        <v>0</v>
      </c>
      <c r="T5" s="322">
        <f t="shared" si="0"/>
        <v>0</v>
      </c>
      <c r="U5" s="322">
        <f t="shared" si="0"/>
        <v>0</v>
      </c>
      <c r="V5" s="322">
        <f t="shared" si="0"/>
        <v>0</v>
      </c>
      <c r="W5" s="322">
        <f t="shared" si="0"/>
        <v>0</v>
      </c>
      <c r="X5" s="322">
        <f t="shared" si="0"/>
        <v>0</v>
      </c>
      <c r="Y5" s="322">
        <f t="shared" si="0"/>
        <v>0</v>
      </c>
      <c r="Z5" s="322">
        <f t="shared" si="0"/>
        <v>0</v>
      </c>
      <c r="AA5" s="322">
        <f t="shared" si="0"/>
        <v>0</v>
      </c>
      <c r="AB5" s="322">
        <f t="shared" si="0"/>
        <v>535465</v>
      </c>
      <c r="AC5" s="322">
        <f t="shared" si="0"/>
        <v>10693740</v>
      </c>
      <c r="AD5" s="322">
        <f t="shared" si="0"/>
        <v>163103184.60557091</v>
      </c>
      <c r="AE5" s="322">
        <f t="shared" si="0"/>
        <v>2911529171.2117858</v>
      </c>
      <c r="AF5" s="322">
        <f t="shared" si="0"/>
        <v>0</v>
      </c>
      <c r="AG5" s="322">
        <f t="shared" si="0"/>
        <v>0</v>
      </c>
      <c r="AH5" s="322">
        <f t="shared" si="0"/>
        <v>2650</v>
      </c>
      <c r="AI5" s="322">
        <f t="shared" si="0"/>
        <v>284500</v>
      </c>
      <c r="AJ5" s="322">
        <f t="shared" si="0"/>
        <v>6048446.6226296294</v>
      </c>
      <c r="AK5" s="322">
        <f t="shared" si="0"/>
        <v>93205662.211789981</v>
      </c>
      <c r="AL5" s="322">
        <f t="shared" si="0"/>
        <v>7407786.7103055483</v>
      </c>
      <c r="AM5" s="322">
        <f t="shared" si="0"/>
        <v>62242582.352229565</v>
      </c>
      <c r="AN5" s="322">
        <f t="shared" si="0"/>
        <v>27568836.800272476</v>
      </c>
      <c r="AO5" s="322">
        <f t="shared" si="0"/>
        <v>551418462.05495596</v>
      </c>
      <c r="AP5" s="322">
        <f t="shared" si="0"/>
        <v>29004035.678126551</v>
      </c>
      <c r="AQ5" s="322">
        <f t="shared" si="0"/>
        <v>518420506.49985027</v>
      </c>
      <c r="AR5" s="322">
        <f t="shared" si="0"/>
        <v>0</v>
      </c>
      <c r="AS5" s="322">
        <f t="shared" si="0"/>
        <v>0</v>
      </c>
      <c r="AT5" s="322">
        <f t="shared" si="0"/>
        <v>7466061.3146035718</v>
      </c>
      <c r="AU5" s="322">
        <f t="shared" si="0"/>
        <v>101838359.15618733</v>
      </c>
      <c r="AV5" s="322">
        <f t="shared" si="0"/>
        <v>0</v>
      </c>
      <c r="AW5" s="322">
        <f t="shared" si="0"/>
        <v>0</v>
      </c>
      <c r="AX5" s="322">
        <f t="shared" si="0"/>
        <v>0</v>
      </c>
      <c r="AY5" s="322">
        <f t="shared" si="0"/>
        <v>0</v>
      </c>
      <c r="AZ5" s="322">
        <f t="shared" si="0"/>
        <v>0</v>
      </c>
      <c r="BA5" s="322">
        <f t="shared" si="0"/>
        <v>0</v>
      </c>
      <c r="BB5" s="322">
        <f t="shared" si="0"/>
        <v>12380434</v>
      </c>
      <c r="BC5" s="322">
        <f t="shared" si="0"/>
        <v>602025678</v>
      </c>
      <c r="BD5" s="322">
        <f t="shared" si="0"/>
        <v>0</v>
      </c>
      <c r="BE5" s="322">
        <f t="shared" si="0"/>
        <v>0</v>
      </c>
      <c r="BF5" s="322">
        <f t="shared" si="0"/>
        <v>0</v>
      </c>
      <c r="BG5" s="322">
        <f t="shared" si="0"/>
        <v>0</v>
      </c>
      <c r="BH5" s="322">
        <f t="shared" si="0"/>
        <v>0</v>
      </c>
      <c r="BI5" s="322">
        <f t="shared" si="0"/>
        <v>0</v>
      </c>
      <c r="BJ5" s="322">
        <f t="shared" si="0"/>
        <v>260</v>
      </c>
      <c r="BK5" s="322">
        <f t="shared" si="0"/>
        <v>19500</v>
      </c>
      <c r="BL5" s="322">
        <f t="shared" si="0"/>
        <v>0</v>
      </c>
      <c r="BM5" s="322">
        <f t="shared" si="0"/>
        <v>0</v>
      </c>
      <c r="BN5" s="322">
        <f t="shared" si="0"/>
        <v>0</v>
      </c>
      <c r="BO5" s="322">
        <f t="shared" si="0"/>
        <v>0</v>
      </c>
      <c r="BP5" s="322">
        <f t="shared" si="0"/>
        <v>3496265.4526353306</v>
      </c>
      <c r="BQ5" s="322">
        <f t="shared" ref="BQ5:BY5" si="1">SUM(BQ6:BQ43)</f>
        <v>14461385.303656366</v>
      </c>
      <c r="BR5" s="322">
        <f t="shared" si="1"/>
        <v>0</v>
      </c>
      <c r="BS5" s="322">
        <f t="shared" si="1"/>
        <v>0</v>
      </c>
      <c r="BT5" s="322">
        <f t="shared" si="1"/>
        <v>0</v>
      </c>
      <c r="BU5" s="322">
        <f t="shared" si="1"/>
        <v>0</v>
      </c>
      <c r="BV5" s="322">
        <f t="shared" si="1"/>
        <v>0</v>
      </c>
      <c r="BW5" s="322">
        <f t="shared" si="1"/>
        <v>0</v>
      </c>
      <c r="BX5" s="322">
        <f t="shared" si="1"/>
        <v>0</v>
      </c>
      <c r="BY5" s="322">
        <f t="shared" si="1"/>
        <v>0</v>
      </c>
    </row>
    <row r="6" spans="1:77">
      <c r="A6" s="260" t="s">
        <v>137</v>
      </c>
      <c r="B6" s="320">
        <f>SUMIF($D$4:$BY$4,$B$4,D6:BY6)</f>
        <v>853750</v>
      </c>
      <c r="C6" s="320">
        <f>SUMIF($D$4:$BY$4,$C$4,D6:BY6)</f>
        <v>19204750</v>
      </c>
      <c r="D6" s="322">
        <f>'P NP KOLAM IKAN'!C8</f>
        <v>270100</v>
      </c>
      <c r="E6" s="322">
        <f>'P NP KOLAM IKAN'!D8</f>
        <v>6752500</v>
      </c>
      <c r="F6" s="322">
        <f>'P NP KOLAM IKAN'!C9</f>
        <v>0</v>
      </c>
      <c r="G6" s="322">
        <f>'P NP KOLAM IKAN'!D9</f>
        <v>0</v>
      </c>
      <c r="H6" s="322">
        <f>'P NP KOLAM IKAN'!C10</f>
        <v>0</v>
      </c>
      <c r="I6" s="322">
        <f>'P NP KOLAM IKAN'!D10</f>
        <v>0</v>
      </c>
      <c r="J6" s="322">
        <f>'P NP KOLAM IKAN'!C11</f>
        <v>0</v>
      </c>
      <c r="K6" s="322">
        <f>'P NP KOLAM IKAN'!D11</f>
        <v>0</v>
      </c>
      <c r="L6" s="322">
        <f>'P NP KOLAM IKAN'!C12</f>
        <v>0</v>
      </c>
      <c r="M6" s="322">
        <f>'P NP KOLAM IKAN'!D12</f>
        <v>0</v>
      </c>
      <c r="N6" s="322">
        <f>'P NP KOLAM IKAN'!C13</f>
        <v>0</v>
      </c>
      <c r="O6" s="322">
        <f>'P NP KOLAM IKAN'!D13</f>
        <v>0</v>
      </c>
      <c r="P6" s="322">
        <f>'P NP KOLAM IKAN'!C14</f>
        <v>0</v>
      </c>
      <c r="Q6" s="322">
        <f>'P NP KOLAM IKAN'!D14</f>
        <v>0</v>
      </c>
      <c r="R6" s="322">
        <f>'P NP KOLAM IKAN'!C15</f>
        <v>0</v>
      </c>
      <c r="S6" s="322">
        <f>'P NP KOLAM IKAN'!D15</f>
        <v>0</v>
      </c>
      <c r="T6" s="322">
        <f>'P NP KOLAM IKAN'!C16</f>
        <v>0</v>
      </c>
      <c r="U6" s="322">
        <f>'P NP KOLAM IKAN'!D16</f>
        <v>0</v>
      </c>
      <c r="V6" s="322">
        <f>'P NP KOLAM IKAN'!C17</f>
        <v>0</v>
      </c>
      <c r="W6" s="322">
        <f>'P NP KOLAM IKAN'!D17</f>
        <v>0</v>
      </c>
      <c r="X6" s="322">
        <f>'P NP KOLAM IKAN'!C18</f>
        <v>0</v>
      </c>
      <c r="Y6" s="322">
        <f>'P NP KOLAM IKAN'!D18</f>
        <v>0</v>
      </c>
      <c r="Z6" s="322">
        <f>'P NP KOLAM IKAN'!C19</f>
        <v>0</v>
      </c>
      <c r="AA6" s="322">
        <f>'P NP KOLAM IKAN'!D19</f>
        <v>0</v>
      </c>
      <c r="AB6" s="322">
        <f>'P NP KOLAM IKAN'!C20</f>
        <v>0</v>
      </c>
      <c r="AC6" s="322">
        <f>'P NP KOLAM IKAN'!D20</f>
        <v>0</v>
      </c>
      <c r="AD6" s="322">
        <f>'P NP KOLAM IKAN'!C21</f>
        <v>431400</v>
      </c>
      <c r="AE6" s="322">
        <f>'P NP KOLAM IKAN'!D21</f>
        <v>8628000</v>
      </c>
      <c r="AF6" s="322">
        <f>'P NP KOLAM IKAN'!C22</f>
        <v>0</v>
      </c>
      <c r="AG6" s="322">
        <f>'P NP KOLAM IKAN'!D22</f>
        <v>0</v>
      </c>
      <c r="AH6" s="322">
        <f>'P NP KOLAM IKAN'!C23</f>
        <v>0</v>
      </c>
      <c r="AI6" s="322">
        <f>'P NP KOLAM IKAN'!D23</f>
        <v>0</v>
      </c>
      <c r="AJ6" s="322">
        <f>'P NP KOLAM IKAN'!C24</f>
        <v>0</v>
      </c>
      <c r="AK6" s="322">
        <f>'P NP KOLAM IKAN'!D24</f>
        <v>0</v>
      </c>
      <c r="AL6" s="322">
        <f>'P NP KOLAM IKAN'!C25</f>
        <v>33750</v>
      </c>
      <c r="AM6" s="322">
        <f>'P NP KOLAM IKAN'!D25</f>
        <v>506250</v>
      </c>
      <c r="AN6" s="322">
        <f>'P NP KOLAM IKAN'!C26</f>
        <v>118500</v>
      </c>
      <c r="AO6" s="322">
        <f>'P NP KOLAM IKAN'!D26</f>
        <v>3318000</v>
      </c>
      <c r="AP6" s="322">
        <f>'P NP KOLAM IKAN'!C27</f>
        <v>0</v>
      </c>
      <c r="AQ6" s="322">
        <f>'P NP KOLAM IKAN'!D27</f>
        <v>0</v>
      </c>
      <c r="AR6" s="322">
        <f>'P NP KOLAM IKAN'!C28</f>
        <v>0</v>
      </c>
      <c r="AS6" s="322">
        <f>'P NP KOLAM IKAN'!D28</f>
        <v>0</v>
      </c>
      <c r="AT6" s="322">
        <f>'P NP KOLAM IKAN'!C29</f>
        <v>0</v>
      </c>
      <c r="AU6" s="322">
        <f>'P NP KOLAM IKAN'!D29</f>
        <v>0</v>
      </c>
      <c r="AV6" s="322">
        <f>'P NP KOLAM IKAN'!C30</f>
        <v>0</v>
      </c>
      <c r="AW6" s="322">
        <f>'P NP KOLAM IKAN'!D30</f>
        <v>0</v>
      </c>
      <c r="AX6" s="322">
        <f>'P NP KOLAM IKAN'!C31</f>
        <v>0</v>
      </c>
      <c r="AY6" s="322">
        <f>'P NP KOLAM IKAN'!D31</f>
        <v>0</v>
      </c>
      <c r="AZ6" s="322">
        <f>'P NP KOLAM IKAN'!C32</f>
        <v>0</v>
      </c>
      <c r="BA6" s="322">
        <f>'P NP KOLAM IKAN'!D32</f>
        <v>0</v>
      </c>
      <c r="BB6" s="322">
        <f>'P NP KOLAM IKAN'!C33</f>
        <v>0</v>
      </c>
      <c r="BC6" s="322">
        <f>'P NP KOLAM IKAN'!D33</f>
        <v>0</v>
      </c>
      <c r="BD6" s="322">
        <f>'P NP KOLAM IKAN'!C34</f>
        <v>0</v>
      </c>
      <c r="BE6" s="322">
        <f>'P NP KOLAM IKAN'!D34</f>
        <v>0</v>
      </c>
      <c r="BF6" s="322">
        <f>'P NP KOLAM IKAN'!C43</f>
        <v>0</v>
      </c>
      <c r="BG6" s="322">
        <f>'P NP KOLAM IKAN'!D43</f>
        <v>0</v>
      </c>
      <c r="BH6" s="322">
        <f>'P NP KOLAM IKAN'!C44</f>
        <v>0</v>
      </c>
      <c r="BI6" s="322">
        <f>'P NP KOLAM IKAN'!D44</f>
        <v>0</v>
      </c>
      <c r="BJ6" s="322">
        <f>'P NP KOLAM IKAN'!C45</f>
        <v>0</v>
      </c>
      <c r="BK6" s="322">
        <f>'P NP KOLAM IKAN'!D45</f>
        <v>0</v>
      </c>
      <c r="BL6" s="322">
        <f>'P NP KOLAM IKAN'!C46</f>
        <v>0</v>
      </c>
      <c r="BM6" s="322">
        <f>'P NP KOLAM IKAN'!D46</f>
        <v>0</v>
      </c>
      <c r="BN6" s="322">
        <f>'P NP KOLAM IKAN'!C47</f>
        <v>0</v>
      </c>
      <c r="BO6" s="322">
        <f>'P NP KOLAM IKAN'!D47</f>
        <v>0</v>
      </c>
      <c r="BP6" s="322">
        <f>'P NP KOLAM IKAN'!C48</f>
        <v>0</v>
      </c>
      <c r="BQ6" s="322">
        <f>'P NP KOLAM IKAN'!D48</f>
        <v>0</v>
      </c>
      <c r="BR6" s="322">
        <f>'P NP KOLAM IKAN'!C49</f>
        <v>0</v>
      </c>
      <c r="BS6" s="322">
        <f>'P NP KOLAM IKAN'!D49</f>
        <v>0</v>
      </c>
      <c r="BT6" s="322">
        <f>'P NP KOLAM IKAN'!C50</f>
        <v>0</v>
      </c>
      <c r="BU6" s="322">
        <f>'P NP KOLAM IKAN'!D50</f>
        <v>0</v>
      </c>
      <c r="BV6" s="322">
        <f>'P NP KOLAM IKAN'!C51</f>
        <v>0</v>
      </c>
      <c r="BW6" s="322">
        <f>'P NP KOLAM IKAN'!D51</f>
        <v>0</v>
      </c>
      <c r="BX6" s="322">
        <f>'P NP KOLAM IKAN'!C52</f>
        <v>0</v>
      </c>
      <c r="BY6" s="322">
        <f>'P NP KOLAM IKAN'!D52</f>
        <v>0</v>
      </c>
    </row>
    <row r="7" spans="1:77">
      <c r="A7" s="260" t="s">
        <v>121</v>
      </c>
      <c r="B7" s="320">
        <f t="shared" ref="B7:B43" si="2">SUMIF($D$4:$BY$4,$B$4,D7:BY7)</f>
        <v>10385735</v>
      </c>
      <c r="C7" s="320">
        <f t="shared" ref="C7:C43" si="3">SUMIF($D$4:$BY$4,$C$4,D7:BY7)</f>
        <v>211580220</v>
      </c>
      <c r="D7" s="322">
        <f>'P NP KOLAM IKAN'!E8</f>
        <v>0</v>
      </c>
      <c r="E7" s="322">
        <f>'P NP KOLAM IKAN'!F8</f>
        <v>0</v>
      </c>
      <c r="F7" s="322">
        <f>'P NP KOLAM IKAN'!E9</f>
        <v>24710</v>
      </c>
      <c r="G7" s="322">
        <f>'P NP KOLAM IKAN'!F9</f>
        <v>494200</v>
      </c>
      <c r="H7" s="322">
        <f>'P NP KOLAM IKAN'!E10</f>
        <v>0</v>
      </c>
      <c r="I7" s="322">
        <f>'P NP KOLAM IKAN'!F10</f>
        <v>0</v>
      </c>
      <c r="J7" s="322">
        <f>'P NP KOLAM IKAN'!E11</f>
        <v>0</v>
      </c>
      <c r="K7" s="322">
        <f>'P NP KOLAM IKAN'!F11</f>
        <v>0</v>
      </c>
      <c r="L7" s="322">
        <f>'P NP KOLAM IKAN'!E12</f>
        <v>4390</v>
      </c>
      <c r="M7" s="322">
        <f>'P NP KOLAM IKAN'!F12</f>
        <v>175600</v>
      </c>
      <c r="N7" s="322">
        <f>'P NP KOLAM IKAN'!E13</f>
        <v>0</v>
      </c>
      <c r="O7" s="322">
        <f>'P NP KOLAM IKAN'!F13</f>
        <v>0</v>
      </c>
      <c r="P7" s="322">
        <f>'P NP KOLAM IKAN'!E14</f>
        <v>177330</v>
      </c>
      <c r="Q7" s="322">
        <f>'P NP KOLAM IKAN'!F14</f>
        <v>6206550</v>
      </c>
      <c r="R7" s="322">
        <f>'P NP KOLAM IKAN'!E15</f>
        <v>0</v>
      </c>
      <c r="S7" s="322">
        <f>'P NP KOLAM IKAN'!F15</f>
        <v>0</v>
      </c>
      <c r="T7" s="322">
        <f>'P NP KOLAM IKAN'!E16</f>
        <v>0</v>
      </c>
      <c r="U7" s="322">
        <f>'P NP KOLAM IKAN'!F16</f>
        <v>0</v>
      </c>
      <c r="V7" s="322">
        <f>'P NP KOLAM IKAN'!E17</f>
        <v>0</v>
      </c>
      <c r="W7" s="322">
        <f>'P NP KOLAM IKAN'!F17</f>
        <v>0</v>
      </c>
      <c r="X7" s="322">
        <f>'P NP KOLAM IKAN'!E18</f>
        <v>0</v>
      </c>
      <c r="Y7" s="322">
        <f>'P NP KOLAM IKAN'!F18</f>
        <v>0</v>
      </c>
      <c r="Z7" s="322">
        <f>'P NP KOLAM IKAN'!E19</f>
        <v>0</v>
      </c>
      <c r="AA7" s="322">
        <f>'P NP KOLAM IKAN'!F19</f>
        <v>0</v>
      </c>
      <c r="AB7" s="322">
        <f>'P NP KOLAM IKAN'!E20</f>
        <v>519905</v>
      </c>
      <c r="AC7" s="322">
        <f>'P NP KOLAM IKAN'!F20</f>
        <v>10398100</v>
      </c>
      <c r="AD7" s="322">
        <f>'P NP KOLAM IKAN'!E21</f>
        <v>6716140</v>
      </c>
      <c r="AE7" s="322">
        <f>'P NP KOLAM IKAN'!F21</f>
        <v>134322800</v>
      </c>
      <c r="AF7" s="322">
        <f>'P NP KOLAM IKAN'!E22</f>
        <v>0</v>
      </c>
      <c r="AG7" s="322">
        <f>'P NP KOLAM IKAN'!F22</f>
        <v>0</v>
      </c>
      <c r="AH7" s="322">
        <f>'P NP KOLAM IKAN'!E23</f>
        <v>0</v>
      </c>
      <c r="AI7" s="322">
        <f>'P NP KOLAM IKAN'!F23</f>
        <v>0</v>
      </c>
      <c r="AJ7" s="322">
        <f>'P NP KOLAM IKAN'!E24</f>
        <v>100775</v>
      </c>
      <c r="AK7" s="322">
        <f>'P NP KOLAM IKAN'!F24</f>
        <v>3527125</v>
      </c>
      <c r="AL7" s="322">
        <f>'P NP KOLAM IKAN'!E25</f>
        <v>65880</v>
      </c>
      <c r="AM7" s="322">
        <f>'P NP KOLAM IKAN'!F25</f>
        <v>988200</v>
      </c>
      <c r="AN7" s="322">
        <f>'P NP KOLAM IKAN'!E26</f>
        <v>147987</v>
      </c>
      <c r="AO7" s="322">
        <f>'P NP KOLAM IKAN'!F26</f>
        <v>2959740</v>
      </c>
      <c r="AP7" s="322">
        <f>'P NP KOLAM IKAN'!E27</f>
        <v>2607133</v>
      </c>
      <c r="AQ7" s="322">
        <f>'P NP KOLAM IKAN'!F27</f>
        <v>52142660</v>
      </c>
      <c r="AR7" s="322">
        <f>'P NP KOLAM IKAN'!E28</f>
        <v>0</v>
      </c>
      <c r="AS7" s="322">
        <f>'P NP KOLAM IKAN'!F28</f>
        <v>0</v>
      </c>
      <c r="AT7" s="322">
        <f>'P NP KOLAM IKAN'!E29</f>
        <v>21485</v>
      </c>
      <c r="AU7" s="322">
        <f>'P NP KOLAM IKAN'!F29</f>
        <v>365245</v>
      </c>
      <c r="AV7" s="322">
        <f>'P NP KOLAM IKAN'!E30</f>
        <v>0</v>
      </c>
      <c r="AW7" s="322">
        <f>'P NP KOLAM IKAN'!F30</f>
        <v>0</v>
      </c>
      <c r="AX7" s="322">
        <f>'P NP KOLAM IKAN'!E31</f>
        <v>0</v>
      </c>
      <c r="AY7" s="322">
        <f>'P NP KOLAM IKAN'!F31</f>
        <v>0</v>
      </c>
      <c r="AZ7" s="322">
        <f>'P NP KOLAM IKAN'!E32</f>
        <v>0</v>
      </c>
      <c r="BA7" s="322">
        <f>'P NP KOLAM IKAN'!F32</f>
        <v>0</v>
      </c>
      <c r="BB7" s="322">
        <f>'P NP KOLAM IKAN'!E33</f>
        <v>0</v>
      </c>
      <c r="BC7" s="322">
        <f>'P NP KOLAM IKAN'!F33</f>
        <v>0</v>
      </c>
      <c r="BD7" s="322">
        <f>'P NP KOLAM IKAN'!E34</f>
        <v>0</v>
      </c>
      <c r="BE7" s="322">
        <f>'P NP KOLAM IKAN'!F34</f>
        <v>0</v>
      </c>
      <c r="BF7" s="322">
        <f>'P NP KOLAM IKAN'!E43</f>
        <v>0</v>
      </c>
      <c r="BG7" s="322">
        <f>'P NP KOLAM IKAN'!F43</f>
        <v>0</v>
      </c>
      <c r="BH7" s="322">
        <f>'P NP KOLAM IKAN'!E44</f>
        <v>0</v>
      </c>
      <c r="BI7" s="322">
        <f>'P NP KOLAM IKAN'!F44</f>
        <v>0</v>
      </c>
      <c r="BJ7" s="322">
        <f>'P NP KOLAM IKAN'!E45</f>
        <v>0</v>
      </c>
      <c r="BK7" s="322">
        <f>'P NP KOLAM IKAN'!F45</f>
        <v>0</v>
      </c>
      <c r="BL7" s="322">
        <f>'P NP KOLAM IKAN'!E46</f>
        <v>0</v>
      </c>
      <c r="BM7" s="322">
        <f>'P NP KOLAM IKAN'!F46</f>
        <v>0</v>
      </c>
      <c r="BN7" s="322">
        <f>'P NP KOLAM IKAN'!E47</f>
        <v>0</v>
      </c>
      <c r="BO7" s="322">
        <f>'P NP KOLAM IKAN'!F47</f>
        <v>0</v>
      </c>
      <c r="BP7" s="322">
        <f>'P NP KOLAM IKAN'!E48</f>
        <v>0</v>
      </c>
      <c r="BQ7" s="322">
        <f>'P NP KOLAM IKAN'!F48</f>
        <v>0</v>
      </c>
      <c r="BR7" s="322">
        <f>'P NP KOLAM IKAN'!E49</f>
        <v>0</v>
      </c>
      <c r="BS7" s="322">
        <f>'P NP KOLAM IKAN'!F49</f>
        <v>0</v>
      </c>
      <c r="BT7" s="322">
        <f>'P NP KOLAM IKAN'!E50</f>
        <v>0</v>
      </c>
      <c r="BU7" s="322">
        <f>'P NP KOLAM IKAN'!F50</f>
        <v>0</v>
      </c>
      <c r="BV7" s="322">
        <f>'P NP KOLAM IKAN'!E51</f>
        <v>0</v>
      </c>
      <c r="BW7" s="322">
        <f>'P NP KOLAM IKAN'!F51</f>
        <v>0</v>
      </c>
      <c r="BX7" s="322">
        <f>'P NP KOLAM IKAN'!E52</f>
        <v>0</v>
      </c>
      <c r="BY7" s="322">
        <f>'P NP KOLAM IKAN'!F52</f>
        <v>0</v>
      </c>
    </row>
    <row r="8" spans="1:77">
      <c r="A8" s="260" t="s">
        <v>116</v>
      </c>
      <c r="B8" s="320">
        <f t="shared" si="2"/>
        <v>17270300</v>
      </c>
      <c r="C8" s="320">
        <f t="shared" si="3"/>
        <v>385112100</v>
      </c>
      <c r="D8" s="322">
        <f>'P NP KOLAM IKAN'!G8</f>
        <v>0</v>
      </c>
      <c r="E8" s="322">
        <f>'P NP KOLAM IKAN'!H8</f>
        <v>0</v>
      </c>
      <c r="F8" s="322">
        <f>'P NP KOLAM IKAN'!G9</f>
        <v>0</v>
      </c>
      <c r="G8" s="322">
        <f>'P NP KOLAM IKAN'!H9</f>
        <v>0</v>
      </c>
      <c r="H8" s="322">
        <f>'P NP KOLAM IKAN'!G10</f>
        <v>0</v>
      </c>
      <c r="I8" s="322">
        <f>'P NP KOLAM IKAN'!H10</f>
        <v>0</v>
      </c>
      <c r="J8" s="322">
        <f>'P NP KOLAM IKAN'!G11</f>
        <v>0</v>
      </c>
      <c r="K8" s="322">
        <f>'P NP KOLAM IKAN'!H11</f>
        <v>0</v>
      </c>
      <c r="L8" s="322">
        <f>'P NP KOLAM IKAN'!G12</f>
        <v>0</v>
      </c>
      <c r="M8" s="322">
        <f>'P NP KOLAM IKAN'!H12</f>
        <v>0</v>
      </c>
      <c r="N8" s="322">
        <f>'P NP KOLAM IKAN'!G13</f>
        <v>0</v>
      </c>
      <c r="O8" s="322">
        <f>'P NP KOLAM IKAN'!H13</f>
        <v>0</v>
      </c>
      <c r="P8" s="322">
        <f>'P NP KOLAM IKAN'!G14</f>
        <v>7261500</v>
      </c>
      <c r="Q8" s="322">
        <f>'P NP KOLAM IKAN'!H14</f>
        <v>209730200</v>
      </c>
      <c r="R8" s="322">
        <f>'P NP KOLAM IKAN'!G15</f>
        <v>0</v>
      </c>
      <c r="S8" s="322">
        <f>'P NP KOLAM IKAN'!H15</f>
        <v>0</v>
      </c>
      <c r="T8" s="322">
        <f>'P NP KOLAM IKAN'!G16</f>
        <v>0</v>
      </c>
      <c r="U8" s="322">
        <f>'P NP KOLAM IKAN'!H16</f>
        <v>0</v>
      </c>
      <c r="V8" s="322">
        <f>'P NP KOLAM IKAN'!G17</f>
        <v>0</v>
      </c>
      <c r="W8" s="322">
        <f>'P NP KOLAM IKAN'!H17</f>
        <v>0</v>
      </c>
      <c r="X8" s="322">
        <f>'P NP KOLAM IKAN'!G18</f>
        <v>0</v>
      </c>
      <c r="Y8" s="322">
        <f>'P NP KOLAM IKAN'!H18</f>
        <v>0</v>
      </c>
      <c r="Z8" s="322">
        <f>'P NP KOLAM IKAN'!G19</f>
        <v>0</v>
      </c>
      <c r="AA8" s="322">
        <f>'P NP KOLAM IKAN'!H19</f>
        <v>0</v>
      </c>
      <c r="AB8" s="322">
        <f>'P NP KOLAM IKAN'!G20</f>
        <v>0</v>
      </c>
      <c r="AC8" s="322">
        <f>'P NP KOLAM IKAN'!H20</f>
        <v>0</v>
      </c>
      <c r="AD8" s="322">
        <f>'P NP KOLAM IKAN'!G21</f>
        <v>9163400</v>
      </c>
      <c r="AE8" s="322">
        <f>'P NP KOLAM IKAN'!H21</f>
        <v>155777800</v>
      </c>
      <c r="AF8" s="322">
        <f>'P NP KOLAM IKAN'!G22</f>
        <v>0</v>
      </c>
      <c r="AG8" s="322">
        <f>'P NP KOLAM IKAN'!H22</f>
        <v>0</v>
      </c>
      <c r="AH8" s="322">
        <f>'P NP KOLAM IKAN'!G23</f>
        <v>0</v>
      </c>
      <c r="AI8" s="322">
        <f>'P NP KOLAM IKAN'!H23</f>
        <v>0</v>
      </c>
      <c r="AJ8" s="322">
        <f>'P NP KOLAM IKAN'!G24</f>
        <v>0</v>
      </c>
      <c r="AK8" s="322">
        <f>'P NP KOLAM IKAN'!H24</f>
        <v>0</v>
      </c>
      <c r="AL8" s="322">
        <f>'P NP KOLAM IKAN'!G25</f>
        <v>0</v>
      </c>
      <c r="AM8" s="322">
        <f>'P NP KOLAM IKAN'!H25</f>
        <v>0</v>
      </c>
      <c r="AN8" s="322">
        <f>'P NP KOLAM IKAN'!G26</f>
        <v>701100</v>
      </c>
      <c r="AO8" s="322">
        <f>'P NP KOLAM IKAN'!H26</f>
        <v>17150600</v>
      </c>
      <c r="AP8" s="322">
        <f>'P NP KOLAM IKAN'!G27</f>
        <v>144300</v>
      </c>
      <c r="AQ8" s="322">
        <f>'P NP KOLAM IKAN'!H27</f>
        <v>2453500</v>
      </c>
      <c r="AR8" s="322">
        <f>'P NP KOLAM IKAN'!G28</f>
        <v>0</v>
      </c>
      <c r="AS8" s="322">
        <f>'P NP KOLAM IKAN'!H28</f>
        <v>0</v>
      </c>
      <c r="AT8" s="322">
        <f>'P NP KOLAM IKAN'!G29</f>
        <v>0</v>
      </c>
      <c r="AU8" s="322">
        <f>'P NP KOLAM IKAN'!H29</f>
        <v>0</v>
      </c>
      <c r="AV8" s="322">
        <f>'P NP KOLAM IKAN'!G30</f>
        <v>0</v>
      </c>
      <c r="AW8" s="322">
        <f>'P NP KOLAM IKAN'!H30</f>
        <v>0</v>
      </c>
      <c r="AX8" s="322">
        <f>'P NP KOLAM IKAN'!G31</f>
        <v>0</v>
      </c>
      <c r="AY8" s="322">
        <f>'P NP KOLAM IKAN'!H31</f>
        <v>0</v>
      </c>
      <c r="AZ8" s="322">
        <f>'P NP KOLAM IKAN'!G32</f>
        <v>0</v>
      </c>
      <c r="BA8" s="322">
        <f>'P NP KOLAM IKAN'!H32</f>
        <v>0</v>
      </c>
      <c r="BB8" s="322">
        <f>'P NP KOLAM IKAN'!G33</f>
        <v>0</v>
      </c>
      <c r="BC8" s="322">
        <f>'P NP KOLAM IKAN'!H33</f>
        <v>0</v>
      </c>
      <c r="BD8" s="322">
        <f>'P NP KOLAM IKAN'!G34</f>
        <v>0</v>
      </c>
      <c r="BE8" s="322">
        <f>'P NP KOLAM IKAN'!H34</f>
        <v>0</v>
      </c>
      <c r="BF8" s="322">
        <f>'P NP KOLAM IKAN'!G43</f>
        <v>0</v>
      </c>
      <c r="BG8" s="322">
        <f>'P NP KOLAM IKAN'!H43</f>
        <v>0</v>
      </c>
      <c r="BH8" s="322">
        <f>'P NP KOLAM IKAN'!G44</f>
        <v>0</v>
      </c>
      <c r="BI8" s="322">
        <f>'P NP KOLAM IKAN'!H44</f>
        <v>0</v>
      </c>
      <c r="BJ8" s="322">
        <f>'P NP KOLAM IKAN'!G45</f>
        <v>0</v>
      </c>
      <c r="BK8" s="322">
        <f>'P NP KOLAM IKAN'!H45</f>
        <v>0</v>
      </c>
      <c r="BL8" s="322">
        <f>'P NP KOLAM IKAN'!G46</f>
        <v>0</v>
      </c>
      <c r="BM8" s="322">
        <f>'P NP KOLAM IKAN'!H46</f>
        <v>0</v>
      </c>
      <c r="BN8" s="322">
        <f>'P NP KOLAM IKAN'!G47</f>
        <v>0</v>
      </c>
      <c r="BO8" s="322">
        <f>'P NP KOLAM IKAN'!H47</f>
        <v>0</v>
      </c>
      <c r="BP8" s="322">
        <f>'P NP KOLAM IKAN'!G48</f>
        <v>0</v>
      </c>
      <c r="BQ8" s="322">
        <f>'P NP KOLAM IKAN'!H48</f>
        <v>0</v>
      </c>
      <c r="BR8" s="322">
        <f>'P NP KOLAM IKAN'!G49</f>
        <v>0</v>
      </c>
      <c r="BS8" s="322">
        <f>'P NP KOLAM IKAN'!H49</f>
        <v>0</v>
      </c>
      <c r="BT8" s="322">
        <f>'P NP KOLAM IKAN'!G50</f>
        <v>0</v>
      </c>
      <c r="BU8" s="322">
        <f>'P NP KOLAM IKAN'!H50</f>
        <v>0</v>
      </c>
      <c r="BV8" s="322">
        <f>'P NP KOLAM IKAN'!G51</f>
        <v>0</v>
      </c>
      <c r="BW8" s="322">
        <f>'P NP KOLAM IKAN'!H51</f>
        <v>0</v>
      </c>
      <c r="BX8" s="322">
        <f>'P NP KOLAM IKAN'!G52</f>
        <v>0</v>
      </c>
      <c r="BY8" s="322">
        <f>'P NP KOLAM IKAN'!H52</f>
        <v>0</v>
      </c>
    </row>
    <row r="9" spans="1:77">
      <c r="A9" s="260" t="s">
        <v>133</v>
      </c>
      <c r="B9" s="320">
        <f t="shared" si="2"/>
        <v>5268405</v>
      </c>
      <c r="C9" s="320">
        <f t="shared" si="3"/>
        <v>105656405.5</v>
      </c>
      <c r="D9" s="322">
        <f>'P NP KOLAM IKAN'!I8</f>
        <v>15813</v>
      </c>
      <c r="E9" s="322">
        <f>'P NP KOLAM IKAN'!J8</f>
        <v>268821</v>
      </c>
      <c r="F9" s="322">
        <f>'P NP KOLAM IKAN'!I9</f>
        <v>0</v>
      </c>
      <c r="G9" s="322">
        <f>'P NP KOLAM IKAN'!J9</f>
        <v>0</v>
      </c>
      <c r="H9" s="322">
        <f>'P NP KOLAM IKAN'!I10</f>
        <v>0</v>
      </c>
      <c r="I9" s="322">
        <f>'P NP KOLAM IKAN'!J10</f>
        <v>0</v>
      </c>
      <c r="J9" s="322">
        <f>'P NP KOLAM IKAN'!I11</f>
        <v>0</v>
      </c>
      <c r="K9" s="322">
        <f>'P NP KOLAM IKAN'!J11</f>
        <v>0</v>
      </c>
      <c r="L9" s="322">
        <f>'P NP KOLAM IKAN'!I12</f>
        <v>0</v>
      </c>
      <c r="M9" s="322">
        <f>'P NP KOLAM IKAN'!J12</f>
        <v>0</v>
      </c>
      <c r="N9" s="322">
        <f>'P NP KOLAM IKAN'!I13</f>
        <v>0</v>
      </c>
      <c r="O9" s="322">
        <f>'P NP KOLAM IKAN'!J13</f>
        <v>0</v>
      </c>
      <c r="P9" s="322">
        <f>'P NP KOLAM IKAN'!I14</f>
        <v>68631</v>
      </c>
      <c r="Q9" s="322">
        <f>'P NP KOLAM IKAN'!J14</f>
        <v>2058930</v>
      </c>
      <c r="R9" s="322">
        <f>'P NP KOLAM IKAN'!I15</f>
        <v>0</v>
      </c>
      <c r="S9" s="322">
        <f>'P NP KOLAM IKAN'!J15</f>
        <v>0</v>
      </c>
      <c r="T9" s="322">
        <f>'P NP KOLAM IKAN'!I16</f>
        <v>0</v>
      </c>
      <c r="U9" s="322">
        <f>'P NP KOLAM IKAN'!J16</f>
        <v>0</v>
      </c>
      <c r="V9" s="322">
        <f>'P NP KOLAM IKAN'!I17</f>
        <v>0</v>
      </c>
      <c r="W9" s="322">
        <f>'P NP KOLAM IKAN'!J17</f>
        <v>0</v>
      </c>
      <c r="X9" s="322">
        <f>'P NP KOLAM IKAN'!I18</f>
        <v>0</v>
      </c>
      <c r="Y9" s="322">
        <f>'P NP KOLAM IKAN'!J18</f>
        <v>0</v>
      </c>
      <c r="Z9" s="322">
        <f>'P NP KOLAM IKAN'!I19</f>
        <v>0</v>
      </c>
      <c r="AA9" s="322">
        <f>'P NP KOLAM IKAN'!J19</f>
        <v>0</v>
      </c>
      <c r="AB9" s="322">
        <f>'P NP KOLAM IKAN'!I20</f>
        <v>0</v>
      </c>
      <c r="AC9" s="322">
        <f>'P NP KOLAM IKAN'!J20</f>
        <v>0</v>
      </c>
      <c r="AD9" s="322">
        <f>'P NP KOLAM IKAN'!I21</f>
        <v>3846132</v>
      </c>
      <c r="AE9" s="322">
        <f>'P NP KOLAM IKAN'!J21</f>
        <v>72418596.5</v>
      </c>
      <c r="AF9" s="322">
        <f>'P NP KOLAM IKAN'!I22</f>
        <v>0</v>
      </c>
      <c r="AG9" s="322">
        <f>'P NP KOLAM IKAN'!J22</f>
        <v>0</v>
      </c>
      <c r="AH9" s="322">
        <f>'P NP KOLAM IKAN'!I23</f>
        <v>0</v>
      </c>
      <c r="AI9" s="322">
        <f>'P NP KOLAM IKAN'!J23</f>
        <v>0</v>
      </c>
      <c r="AJ9" s="322">
        <f>'P NP KOLAM IKAN'!I24</f>
        <v>16867</v>
      </c>
      <c r="AK9" s="322">
        <f>'P NP KOLAM IKAN'!J24</f>
        <v>253005</v>
      </c>
      <c r="AL9" s="322">
        <f>'P NP KOLAM IKAN'!I25</f>
        <v>0</v>
      </c>
      <c r="AM9" s="322">
        <f>'P NP KOLAM IKAN'!J25</f>
        <v>0</v>
      </c>
      <c r="AN9" s="322">
        <f>'P NP KOLAM IKAN'!I26</f>
        <v>1018415</v>
      </c>
      <c r="AO9" s="322">
        <f>'P NP KOLAM IKAN'!J26</f>
        <v>25460375</v>
      </c>
      <c r="AP9" s="322">
        <f>'P NP KOLAM IKAN'!I27</f>
        <v>271401</v>
      </c>
      <c r="AQ9" s="322">
        <f>'P NP KOLAM IKAN'!J27</f>
        <v>4885218</v>
      </c>
      <c r="AR9" s="322">
        <f>'P NP KOLAM IKAN'!I28</f>
        <v>0</v>
      </c>
      <c r="AS9" s="322">
        <f>'P NP KOLAM IKAN'!J28</f>
        <v>0</v>
      </c>
      <c r="AT9" s="322">
        <f>'P NP KOLAM IKAN'!I29</f>
        <v>31146</v>
      </c>
      <c r="AU9" s="322">
        <f>'P NP KOLAM IKAN'!J29</f>
        <v>311460</v>
      </c>
      <c r="AV9" s="322">
        <f>'P NP KOLAM IKAN'!I30</f>
        <v>0</v>
      </c>
      <c r="AW9" s="322">
        <f>'P NP KOLAM IKAN'!J30</f>
        <v>0</v>
      </c>
      <c r="AX9" s="322">
        <f>'P NP KOLAM IKAN'!I31</f>
        <v>0</v>
      </c>
      <c r="AY9" s="322">
        <f>'P NP KOLAM IKAN'!J31</f>
        <v>0</v>
      </c>
      <c r="AZ9" s="322">
        <f>'P NP KOLAM IKAN'!I32</f>
        <v>0</v>
      </c>
      <c r="BA9" s="322">
        <f>'P NP KOLAM IKAN'!J32</f>
        <v>0</v>
      </c>
      <c r="BB9" s="322">
        <f>'P NP KOLAM IKAN'!I33</f>
        <v>0</v>
      </c>
      <c r="BC9" s="322">
        <f>'P NP KOLAM IKAN'!J33</f>
        <v>0</v>
      </c>
      <c r="BD9" s="322">
        <f>'P NP KOLAM IKAN'!I34</f>
        <v>0</v>
      </c>
      <c r="BE9" s="322">
        <f>'P NP KOLAM IKAN'!J34</f>
        <v>0</v>
      </c>
      <c r="BF9" s="322">
        <f>'P NP KOLAM IKAN'!I43</f>
        <v>0</v>
      </c>
      <c r="BG9" s="322">
        <f>'P NP KOLAM IKAN'!J43</f>
        <v>0</v>
      </c>
      <c r="BH9" s="322">
        <f>'P NP KOLAM IKAN'!I44</f>
        <v>0</v>
      </c>
      <c r="BI9" s="322">
        <f>'P NP KOLAM IKAN'!J44</f>
        <v>0</v>
      </c>
      <c r="BJ9" s="322">
        <f>'P NP KOLAM IKAN'!I45</f>
        <v>0</v>
      </c>
      <c r="BK9" s="322">
        <f>'P NP KOLAM IKAN'!J45</f>
        <v>0</v>
      </c>
      <c r="BL9" s="322">
        <f>'P NP KOLAM IKAN'!I46</f>
        <v>0</v>
      </c>
      <c r="BM9" s="322">
        <f>'P NP KOLAM IKAN'!J46</f>
        <v>0</v>
      </c>
      <c r="BN9" s="322">
        <f>'P NP KOLAM IKAN'!I47</f>
        <v>0</v>
      </c>
      <c r="BO9" s="322">
        <f>'P NP KOLAM IKAN'!J47</f>
        <v>0</v>
      </c>
      <c r="BP9" s="322">
        <f>'P NP KOLAM IKAN'!I48</f>
        <v>0</v>
      </c>
      <c r="BQ9" s="322">
        <f>'P NP KOLAM IKAN'!J48</f>
        <v>0</v>
      </c>
      <c r="BR9" s="322">
        <f>'P NP KOLAM IKAN'!I49</f>
        <v>0</v>
      </c>
      <c r="BS9" s="322">
        <f>'P NP KOLAM IKAN'!J49</f>
        <v>0</v>
      </c>
      <c r="BT9" s="322">
        <f>'P NP KOLAM IKAN'!I50</f>
        <v>0</v>
      </c>
      <c r="BU9" s="322">
        <f>'P NP KOLAM IKAN'!J50</f>
        <v>0</v>
      </c>
      <c r="BV9" s="322">
        <f>'P NP KOLAM IKAN'!I51</f>
        <v>0</v>
      </c>
      <c r="BW9" s="322">
        <f>'P NP KOLAM IKAN'!J51</f>
        <v>0</v>
      </c>
      <c r="BX9" s="322">
        <f>'P NP KOLAM IKAN'!I52</f>
        <v>0</v>
      </c>
      <c r="BY9" s="322">
        <f>'P NP KOLAM IKAN'!J52</f>
        <v>0</v>
      </c>
    </row>
    <row r="10" spans="1:77">
      <c r="A10" s="260" t="s">
        <v>122</v>
      </c>
      <c r="B10" s="320">
        <f t="shared" si="2"/>
        <v>849316</v>
      </c>
      <c r="C10" s="320">
        <f t="shared" si="3"/>
        <v>18251469</v>
      </c>
      <c r="D10" s="322">
        <f>'P NP KOLAM IKAN'!K8</f>
        <v>0</v>
      </c>
      <c r="E10" s="322">
        <f>'P NP KOLAM IKAN'!L8</f>
        <v>0</v>
      </c>
      <c r="F10" s="322">
        <f>'P NP KOLAM IKAN'!K9</f>
        <v>0</v>
      </c>
      <c r="G10" s="322">
        <f>'P NP KOLAM IKAN'!L9</f>
        <v>0</v>
      </c>
      <c r="H10" s="322">
        <f>'P NP KOLAM IKAN'!K10</f>
        <v>0</v>
      </c>
      <c r="I10" s="322">
        <f>'P NP KOLAM IKAN'!L10</f>
        <v>0</v>
      </c>
      <c r="J10" s="322">
        <f>'P NP KOLAM IKAN'!K11</f>
        <v>0</v>
      </c>
      <c r="K10" s="322">
        <f>'P NP KOLAM IKAN'!L11</f>
        <v>0</v>
      </c>
      <c r="L10" s="322">
        <f>'P NP KOLAM IKAN'!K12</f>
        <v>0</v>
      </c>
      <c r="M10" s="322">
        <f>'P NP KOLAM IKAN'!L12</f>
        <v>0</v>
      </c>
      <c r="N10" s="322">
        <f>'P NP KOLAM IKAN'!K13</f>
        <v>0</v>
      </c>
      <c r="O10" s="322">
        <f>'P NP KOLAM IKAN'!L13</f>
        <v>0</v>
      </c>
      <c r="P10" s="322">
        <f>'P NP KOLAM IKAN'!K14</f>
        <v>40918</v>
      </c>
      <c r="Q10" s="322">
        <f>'P NP KOLAM IKAN'!L14</f>
        <v>1554884</v>
      </c>
      <c r="R10" s="322">
        <f>'P NP KOLAM IKAN'!K15</f>
        <v>0</v>
      </c>
      <c r="S10" s="322">
        <f>'P NP KOLAM IKAN'!L15</f>
        <v>0</v>
      </c>
      <c r="T10" s="322">
        <f>'P NP KOLAM IKAN'!K16</f>
        <v>0</v>
      </c>
      <c r="U10" s="322">
        <f>'P NP KOLAM IKAN'!L16</f>
        <v>0</v>
      </c>
      <c r="V10" s="322">
        <f>'P NP KOLAM IKAN'!K17</f>
        <v>0</v>
      </c>
      <c r="W10" s="322">
        <f>'P NP KOLAM IKAN'!L17</f>
        <v>0</v>
      </c>
      <c r="X10" s="322">
        <f>'P NP KOLAM IKAN'!K18</f>
        <v>0</v>
      </c>
      <c r="Y10" s="322">
        <f>'P NP KOLAM IKAN'!L18</f>
        <v>0</v>
      </c>
      <c r="Z10" s="322">
        <f>'P NP KOLAM IKAN'!K19</f>
        <v>0</v>
      </c>
      <c r="AA10" s="322">
        <f>'P NP KOLAM IKAN'!L19</f>
        <v>0</v>
      </c>
      <c r="AB10" s="322">
        <f>'P NP KOLAM IKAN'!K20</f>
        <v>0</v>
      </c>
      <c r="AC10" s="322">
        <f>'P NP KOLAM IKAN'!L20</f>
        <v>0</v>
      </c>
      <c r="AD10" s="322">
        <f>'P NP KOLAM IKAN'!K21</f>
        <v>731793</v>
      </c>
      <c r="AE10" s="322">
        <f>'P NP KOLAM IKAN'!L21</f>
        <v>14635860</v>
      </c>
      <c r="AF10" s="322">
        <f>'P NP KOLAM IKAN'!K22</f>
        <v>0</v>
      </c>
      <c r="AG10" s="322">
        <f>'P NP KOLAM IKAN'!L22</f>
        <v>0</v>
      </c>
      <c r="AH10" s="322">
        <f>'P NP KOLAM IKAN'!K23</f>
        <v>0</v>
      </c>
      <c r="AI10" s="322">
        <f>'P NP KOLAM IKAN'!L23</f>
        <v>0</v>
      </c>
      <c r="AJ10" s="322">
        <f>'P NP KOLAM IKAN'!K24</f>
        <v>2450</v>
      </c>
      <c r="AK10" s="322">
        <f>'P NP KOLAM IKAN'!L24</f>
        <v>66150</v>
      </c>
      <c r="AL10" s="322">
        <f>'P NP KOLAM IKAN'!K25</f>
        <v>940</v>
      </c>
      <c r="AM10" s="322">
        <f>'P NP KOLAM IKAN'!L25</f>
        <v>25260</v>
      </c>
      <c r="AN10" s="322">
        <f>'P NP KOLAM IKAN'!K26</f>
        <v>71960</v>
      </c>
      <c r="AO10" s="322">
        <f>'P NP KOLAM IKAN'!L26</f>
        <v>1942920</v>
      </c>
      <c r="AP10" s="322">
        <f>'P NP KOLAM IKAN'!K27</f>
        <v>185</v>
      </c>
      <c r="AQ10" s="322">
        <f>'P NP KOLAM IKAN'!L27</f>
        <v>4995</v>
      </c>
      <c r="AR10" s="322">
        <f>'P NP KOLAM IKAN'!K28</f>
        <v>0</v>
      </c>
      <c r="AS10" s="322">
        <f>'P NP KOLAM IKAN'!L28</f>
        <v>0</v>
      </c>
      <c r="AT10" s="322">
        <f>'P NP KOLAM IKAN'!K29</f>
        <v>1070</v>
      </c>
      <c r="AU10" s="322">
        <f>'P NP KOLAM IKAN'!L29</f>
        <v>21400</v>
      </c>
      <c r="AV10" s="322">
        <f>'P NP KOLAM IKAN'!K30</f>
        <v>0</v>
      </c>
      <c r="AW10" s="322">
        <f>'P NP KOLAM IKAN'!L30</f>
        <v>0</v>
      </c>
      <c r="AX10" s="322">
        <f>'P NP KOLAM IKAN'!K31</f>
        <v>0</v>
      </c>
      <c r="AY10" s="322">
        <f>'P NP KOLAM IKAN'!L31</f>
        <v>0</v>
      </c>
      <c r="AZ10" s="322">
        <f>'P NP KOLAM IKAN'!K32</f>
        <v>0</v>
      </c>
      <c r="BA10" s="322">
        <f>'P NP KOLAM IKAN'!L32</f>
        <v>0</v>
      </c>
      <c r="BB10" s="322">
        <f>'P NP KOLAM IKAN'!K33</f>
        <v>0</v>
      </c>
      <c r="BC10" s="322">
        <f>'P NP KOLAM IKAN'!L33</f>
        <v>0</v>
      </c>
      <c r="BD10" s="322">
        <f>'P NP KOLAM IKAN'!K34</f>
        <v>0</v>
      </c>
      <c r="BE10" s="322">
        <f>'P NP KOLAM IKAN'!L34</f>
        <v>0</v>
      </c>
      <c r="BF10" s="322">
        <f>'P NP KOLAM IKAN'!K43</f>
        <v>0</v>
      </c>
      <c r="BG10" s="322">
        <f>'P NP KOLAM IKAN'!L43</f>
        <v>0</v>
      </c>
      <c r="BH10" s="322">
        <f>'P NP KOLAM IKAN'!K44</f>
        <v>0</v>
      </c>
      <c r="BI10" s="322">
        <f>'P NP KOLAM IKAN'!L44</f>
        <v>0</v>
      </c>
      <c r="BJ10" s="322">
        <f>'P NP KOLAM IKAN'!K45</f>
        <v>0</v>
      </c>
      <c r="BK10" s="322">
        <f>'P NP KOLAM IKAN'!L45</f>
        <v>0</v>
      </c>
      <c r="BL10" s="322">
        <f>'P NP KOLAM IKAN'!K46</f>
        <v>0</v>
      </c>
      <c r="BM10" s="322">
        <f>'P NP KOLAM IKAN'!L46</f>
        <v>0</v>
      </c>
      <c r="BN10" s="322">
        <f>'P NP KOLAM IKAN'!K47</f>
        <v>0</v>
      </c>
      <c r="BO10" s="322">
        <f>'P NP KOLAM IKAN'!L47</f>
        <v>0</v>
      </c>
      <c r="BP10" s="322">
        <f>'P NP KOLAM IKAN'!K48</f>
        <v>0</v>
      </c>
      <c r="BQ10" s="322">
        <f>'P NP KOLAM IKAN'!L48</f>
        <v>0</v>
      </c>
      <c r="BR10" s="322">
        <f>'P NP KOLAM IKAN'!K49</f>
        <v>0</v>
      </c>
      <c r="BS10" s="322">
        <f>'P NP KOLAM IKAN'!L49</f>
        <v>0</v>
      </c>
      <c r="BT10" s="322">
        <f>'P NP KOLAM IKAN'!K50</f>
        <v>0</v>
      </c>
      <c r="BU10" s="322">
        <f>'P NP KOLAM IKAN'!L50</f>
        <v>0</v>
      </c>
      <c r="BV10" s="322">
        <f>'P NP KOLAM IKAN'!K51</f>
        <v>0</v>
      </c>
      <c r="BW10" s="322">
        <f>'P NP KOLAM IKAN'!L51</f>
        <v>0</v>
      </c>
      <c r="BX10" s="322">
        <f>'P NP KOLAM IKAN'!K52</f>
        <v>0</v>
      </c>
      <c r="BY10" s="322">
        <f>'P NP KOLAM IKAN'!L52</f>
        <v>0</v>
      </c>
    </row>
    <row r="11" spans="1:77">
      <c r="A11" s="260" t="s">
        <v>136</v>
      </c>
      <c r="B11" s="320">
        <f t="shared" si="2"/>
        <v>64252434.849478073</v>
      </c>
      <c r="C11" s="320">
        <f t="shared" si="3"/>
        <v>1106280395.0529156</v>
      </c>
      <c r="D11" s="322">
        <f>'P NP KOLAM IKAN'!M8</f>
        <v>41501212.795808762</v>
      </c>
      <c r="E11" s="322">
        <f>'P NP KOLAM IKAN'!N8</f>
        <v>863723308.85591936</v>
      </c>
      <c r="F11" s="322">
        <f>'P NP KOLAM IKAN'!M9</f>
        <v>0</v>
      </c>
      <c r="G11" s="322">
        <f>'P NP KOLAM IKAN'!N9</f>
        <v>0</v>
      </c>
      <c r="H11" s="322">
        <f>'P NP KOLAM IKAN'!M10</f>
        <v>0</v>
      </c>
      <c r="I11" s="322">
        <f>'P NP KOLAM IKAN'!N10</f>
        <v>0</v>
      </c>
      <c r="J11" s="322">
        <f>'P NP KOLAM IKAN'!M11</f>
        <v>0</v>
      </c>
      <c r="K11" s="322">
        <f>'P NP KOLAM IKAN'!N11</f>
        <v>0</v>
      </c>
      <c r="L11" s="322">
        <f>'P NP KOLAM IKAN'!M12</f>
        <v>0</v>
      </c>
      <c r="M11" s="322">
        <f>'P NP KOLAM IKAN'!N12</f>
        <v>0</v>
      </c>
      <c r="N11" s="322">
        <f>'P NP KOLAM IKAN'!M13</f>
        <v>0</v>
      </c>
      <c r="O11" s="322">
        <f>'P NP KOLAM IKAN'!N13</f>
        <v>0</v>
      </c>
      <c r="P11" s="322">
        <f>'P NP KOLAM IKAN'!M14</f>
        <v>4398.9264637253982</v>
      </c>
      <c r="Q11" s="322">
        <f>'P NP KOLAM IKAN'!N14</f>
        <v>117478.722540847</v>
      </c>
      <c r="R11" s="322">
        <f>'P NP KOLAM IKAN'!M15</f>
        <v>0</v>
      </c>
      <c r="S11" s="322">
        <f>'P NP KOLAM IKAN'!N15</f>
        <v>0</v>
      </c>
      <c r="T11" s="322">
        <f>'P NP KOLAM IKAN'!M16</f>
        <v>0</v>
      </c>
      <c r="U11" s="322">
        <f>'P NP KOLAM IKAN'!N16</f>
        <v>0</v>
      </c>
      <c r="V11" s="322">
        <f>'P NP KOLAM IKAN'!M17</f>
        <v>0</v>
      </c>
      <c r="W11" s="322">
        <f>'P NP KOLAM IKAN'!N17</f>
        <v>0</v>
      </c>
      <c r="X11" s="322">
        <f>'P NP KOLAM IKAN'!M18</f>
        <v>0</v>
      </c>
      <c r="Y11" s="322">
        <f>'P NP KOLAM IKAN'!N18</f>
        <v>0</v>
      </c>
      <c r="Z11" s="322">
        <f>'P NP KOLAM IKAN'!M19</f>
        <v>0</v>
      </c>
      <c r="AA11" s="322">
        <f>'P NP KOLAM IKAN'!N19</f>
        <v>0</v>
      </c>
      <c r="AB11" s="322">
        <f>'P NP KOLAM IKAN'!M20</f>
        <v>0</v>
      </c>
      <c r="AC11" s="322">
        <f>'P NP KOLAM IKAN'!N20</f>
        <v>0</v>
      </c>
      <c r="AD11" s="322">
        <f>'P NP KOLAM IKAN'!M21</f>
        <v>1640329.6886446942</v>
      </c>
      <c r="AE11" s="322">
        <f>'P NP KOLAM IKAN'!N21</f>
        <v>26274159.335785836</v>
      </c>
      <c r="AF11" s="322">
        <f>'P NP KOLAM IKAN'!M22</f>
        <v>0</v>
      </c>
      <c r="AG11" s="322">
        <f>'P NP KOLAM IKAN'!N22</f>
        <v>0</v>
      </c>
      <c r="AH11" s="322">
        <f>'P NP KOLAM IKAN'!M23</f>
        <v>0</v>
      </c>
      <c r="AI11" s="322">
        <f>'P NP KOLAM IKAN'!N23</f>
        <v>0</v>
      </c>
      <c r="AJ11" s="322">
        <f>'P NP KOLAM IKAN'!M24</f>
        <v>2290636.6226174068</v>
      </c>
      <c r="AK11" s="322">
        <f>'P NP KOLAM IKAN'!N24</f>
        <v>28400920.210789979</v>
      </c>
      <c r="AL11" s="322">
        <f>'P NP KOLAM IKAN'!M25</f>
        <v>7176255.7103055483</v>
      </c>
      <c r="AM11" s="322">
        <f>'P NP KOLAM IKAN'!N25</f>
        <v>60055067.352229565</v>
      </c>
      <c r="AN11" s="322">
        <f>'P NP KOLAM IKAN'!M26</f>
        <v>4122716.0602724766</v>
      </c>
      <c r="AO11" s="322">
        <f>'P NP KOLAM IKAN'!N26</f>
        <v>61770473.617955975</v>
      </c>
      <c r="AP11" s="322">
        <f>'P NP KOLAM IKAN'!M27</f>
        <v>18352.278126552195</v>
      </c>
      <c r="AQ11" s="322">
        <f>'P NP KOLAM IKAN'!N27</f>
        <v>348160.49785030633</v>
      </c>
      <c r="AR11" s="322">
        <f>'P NP KOLAM IKAN'!M28</f>
        <v>0</v>
      </c>
      <c r="AS11" s="322">
        <f>'P NP KOLAM IKAN'!N28</f>
        <v>0</v>
      </c>
      <c r="AT11" s="322">
        <f>'P NP KOLAM IKAN'!M29</f>
        <v>4002267.3146035718</v>
      </c>
      <c r="AU11" s="322">
        <f>'P NP KOLAM IKAN'!N29</f>
        <v>51129441.156187318</v>
      </c>
      <c r="AV11" s="322">
        <f>'P NP KOLAM IKAN'!M30</f>
        <v>0</v>
      </c>
      <c r="AW11" s="322">
        <f>'P NP KOLAM IKAN'!N30</f>
        <v>0</v>
      </c>
      <c r="AX11" s="322">
        <f>'P NP KOLAM IKAN'!M31</f>
        <v>0</v>
      </c>
      <c r="AY11" s="322">
        <f>'P NP KOLAM IKAN'!N31</f>
        <v>0</v>
      </c>
      <c r="AZ11" s="322">
        <f>'P NP KOLAM IKAN'!M32</f>
        <v>0</v>
      </c>
      <c r="BA11" s="322">
        <f>'P NP KOLAM IKAN'!N32</f>
        <v>0</v>
      </c>
      <c r="BB11" s="322">
        <f>'P NP KOLAM IKAN'!M33</f>
        <v>0</v>
      </c>
      <c r="BC11" s="322">
        <f>'P NP KOLAM IKAN'!N33</f>
        <v>0</v>
      </c>
      <c r="BD11" s="322">
        <f>'P NP KOLAM IKAN'!M34</f>
        <v>0</v>
      </c>
      <c r="BE11" s="322">
        <f>'P NP KOLAM IKAN'!N34</f>
        <v>0</v>
      </c>
      <c r="BF11" s="322">
        <f>'P NP KOLAM IKAN'!M43</f>
        <v>0</v>
      </c>
      <c r="BG11" s="322">
        <f>'P NP KOLAM IKAN'!N43</f>
        <v>0</v>
      </c>
      <c r="BH11" s="322">
        <f>'P NP KOLAM IKAN'!M44</f>
        <v>0</v>
      </c>
      <c r="BI11" s="322">
        <f>'P NP KOLAM IKAN'!N44</f>
        <v>0</v>
      </c>
      <c r="BJ11" s="322">
        <f>'P NP KOLAM IKAN'!M45</f>
        <v>0</v>
      </c>
      <c r="BK11" s="322">
        <f>'P NP KOLAM IKAN'!N45</f>
        <v>0</v>
      </c>
      <c r="BL11" s="322">
        <f>'P NP KOLAM IKAN'!M46</f>
        <v>0</v>
      </c>
      <c r="BM11" s="322">
        <f>'P NP KOLAM IKAN'!N46</f>
        <v>0</v>
      </c>
      <c r="BN11" s="322">
        <f>'P NP KOLAM IKAN'!M47</f>
        <v>0</v>
      </c>
      <c r="BO11" s="322">
        <f>'P NP KOLAM IKAN'!N47</f>
        <v>0</v>
      </c>
      <c r="BP11" s="322">
        <f>'P NP KOLAM IKAN'!M40</f>
        <v>3496265.4526353306</v>
      </c>
      <c r="BQ11" s="322">
        <f>'P NP KOLAM IKAN'!N40</f>
        <v>14461385.303656366</v>
      </c>
      <c r="BR11" s="322">
        <f>'P NP KOLAM IKAN'!M49</f>
        <v>0</v>
      </c>
      <c r="BS11" s="322">
        <f>'P NP KOLAM IKAN'!N49</f>
        <v>0</v>
      </c>
      <c r="BT11" s="322">
        <f>'P NP KOLAM IKAN'!M50</f>
        <v>0</v>
      </c>
      <c r="BU11" s="322">
        <f>'P NP KOLAM IKAN'!N50</f>
        <v>0</v>
      </c>
      <c r="BV11" s="322">
        <f>'P NP KOLAM IKAN'!M51</f>
        <v>0</v>
      </c>
      <c r="BW11" s="322">
        <f>'P NP KOLAM IKAN'!N51</f>
        <v>0</v>
      </c>
      <c r="BX11" s="322">
        <f>'P NP KOLAM IKAN'!M52</f>
        <v>0</v>
      </c>
      <c r="BY11" s="322">
        <f>'P NP KOLAM IKAN'!N52</f>
        <v>0</v>
      </c>
    </row>
    <row r="12" spans="1:77">
      <c r="A12" s="260" t="s">
        <v>120</v>
      </c>
      <c r="B12" s="320">
        <f t="shared" si="2"/>
        <v>12436925.536938433</v>
      </c>
      <c r="C12" s="320">
        <f t="shared" si="3"/>
        <v>272994871.54900002</v>
      </c>
      <c r="D12" s="322">
        <f>'P NP KOLAM IKAN'!O8</f>
        <v>0</v>
      </c>
      <c r="E12" s="322">
        <f>'P NP KOLAM IKAN'!P8</f>
        <v>0</v>
      </c>
      <c r="F12" s="322">
        <f>'P NP KOLAM IKAN'!O9</f>
        <v>0</v>
      </c>
      <c r="G12" s="322">
        <f>'P NP KOLAM IKAN'!P9</f>
        <v>0</v>
      </c>
      <c r="H12" s="322">
        <f>'P NP KOLAM IKAN'!O10</f>
        <v>0</v>
      </c>
      <c r="I12" s="322">
        <f>'P NP KOLAM IKAN'!P10</f>
        <v>0</v>
      </c>
      <c r="J12" s="322">
        <f>'P NP KOLAM IKAN'!O11</f>
        <v>0</v>
      </c>
      <c r="K12" s="322">
        <f>'P NP KOLAM IKAN'!P11</f>
        <v>0</v>
      </c>
      <c r="L12" s="322">
        <f>'P NP KOLAM IKAN'!O12</f>
        <v>0</v>
      </c>
      <c r="M12" s="322">
        <f>'P NP KOLAM IKAN'!P12</f>
        <v>0</v>
      </c>
      <c r="N12" s="322">
        <f>'P NP KOLAM IKAN'!O13</f>
        <v>0</v>
      </c>
      <c r="O12" s="322">
        <f>'P NP KOLAM IKAN'!P13</f>
        <v>0</v>
      </c>
      <c r="P12" s="322">
        <f>'P NP KOLAM IKAN'!O14</f>
        <v>2809342</v>
      </c>
      <c r="Q12" s="322">
        <f>'P NP KOLAM IKAN'!P14</f>
        <v>87284868</v>
      </c>
      <c r="R12" s="322">
        <f>'P NP KOLAM IKAN'!O15</f>
        <v>0</v>
      </c>
      <c r="S12" s="322">
        <f>'P NP KOLAM IKAN'!P15</f>
        <v>0</v>
      </c>
      <c r="T12" s="322">
        <f>'P NP KOLAM IKAN'!O16</f>
        <v>0</v>
      </c>
      <c r="U12" s="322">
        <f>'P NP KOLAM IKAN'!P16</f>
        <v>0</v>
      </c>
      <c r="V12" s="322">
        <f>'P NP KOLAM IKAN'!O17</f>
        <v>0</v>
      </c>
      <c r="W12" s="322">
        <f>'P NP KOLAM IKAN'!P17</f>
        <v>0</v>
      </c>
      <c r="X12" s="322">
        <f>'P NP KOLAM IKAN'!O18</f>
        <v>0</v>
      </c>
      <c r="Y12" s="322">
        <f>'P NP KOLAM IKAN'!P18</f>
        <v>0</v>
      </c>
      <c r="Z12" s="322">
        <f>'P NP KOLAM IKAN'!O19</f>
        <v>0</v>
      </c>
      <c r="AA12" s="322">
        <f>'P NP KOLAM IKAN'!P19</f>
        <v>0</v>
      </c>
      <c r="AB12" s="322">
        <f>'P NP KOLAM IKAN'!O20</f>
        <v>0</v>
      </c>
      <c r="AC12" s="322">
        <f>'P NP KOLAM IKAN'!P20</f>
        <v>0</v>
      </c>
      <c r="AD12" s="322">
        <f>'P NP KOLAM IKAN'!O21</f>
        <v>8585940.5369262099</v>
      </c>
      <c r="AE12" s="322">
        <f>'P NP KOLAM IKAN'!P21</f>
        <v>158418625.54800001</v>
      </c>
      <c r="AF12" s="322">
        <f>'P NP KOLAM IKAN'!O22</f>
        <v>0</v>
      </c>
      <c r="AG12" s="322">
        <f>'P NP KOLAM IKAN'!P22</f>
        <v>0</v>
      </c>
      <c r="AH12" s="322">
        <f>'P NP KOLAM IKAN'!O23</f>
        <v>0</v>
      </c>
      <c r="AI12" s="322">
        <f>'P NP KOLAM IKAN'!P23</f>
        <v>0</v>
      </c>
      <c r="AJ12" s="322">
        <f>'P NP KOLAM IKAN'!O24</f>
        <v>51272.000012222001</v>
      </c>
      <c r="AK12" s="322">
        <f>'P NP KOLAM IKAN'!P24</f>
        <v>1161169.0009999999</v>
      </c>
      <c r="AL12" s="322">
        <f>'P NP KOLAM IKAN'!O25</f>
        <v>0</v>
      </c>
      <c r="AM12" s="322">
        <f>'P NP KOLAM IKAN'!P25</f>
        <v>0</v>
      </c>
      <c r="AN12" s="322">
        <f>'P NP KOLAM IKAN'!O26</f>
        <v>986433</v>
      </c>
      <c r="AO12" s="322">
        <f>'P NP KOLAM IKAN'!P26</f>
        <v>26064625</v>
      </c>
      <c r="AP12" s="322">
        <f>'P NP KOLAM IKAN'!O27</f>
        <v>0</v>
      </c>
      <c r="AQ12" s="322">
        <f>'P NP KOLAM IKAN'!P27</f>
        <v>0</v>
      </c>
      <c r="AR12" s="322">
        <f>'P NP KOLAM IKAN'!O28</f>
        <v>0</v>
      </c>
      <c r="AS12" s="322">
        <f>'P NP KOLAM IKAN'!P28</f>
        <v>0</v>
      </c>
      <c r="AT12" s="322">
        <f>'P NP KOLAM IKAN'!O29</f>
        <v>3938</v>
      </c>
      <c r="AU12" s="322">
        <f>'P NP KOLAM IKAN'!P29</f>
        <v>65584</v>
      </c>
      <c r="AV12" s="322">
        <f>'P NP KOLAM IKAN'!O30</f>
        <v>0</v>
      </c>
      <c r="AW12" s="322">
        <f>'P NP KOLAM IKAN'!P30</f>
        <v>0</v>
      </c>
      <c r="AX12" s="322">
        <f>'P NP KOLAM IKAN'!O31</f>
        <v>0</v>
      </c>
      <c r="AY12" s="322">
        <f>'P NP KOLAM IKAN'!P31</f>
        <v>0</v>
      </c>
      <c r="AZ12" s="322">
        <f>'P NP KOLAM IKAN'!O32</f>
        <v>0</v>
      </c>
      <c r="BA12" s="322">
        <f>'P NP KOLAM IKAN'!P32</f>
        <v>0</v>
      </c>
      <c r="BB12" s="322">
        <f>'P NP KOLAM IKAN'!O33</f>
        <v>0</v>
      </c>
      <c r="BC12" s="322">
        <f>'P NP KOLAM IKAN'!P33</f>
        <v>0</v>
      </c>
      <c r="BD12" s="322">
        <f>'P NP KOLAM IKAN'!O34</f>
        <v>0</v>
      </c>
      <c r="BE12" s="322">
        <f>'P NP KOLAM IKAN'!P34</f>
        <v>0</v>
      </c>
      <c r="BF12" s="322">
        <f>'P NP KOLAM IKAN'!O43</f>
        <v>0</v>
      </c>
      <c r="BG12" s="322">
        <f>'P NP KOLAM IKAN'!P43</f>
        <v>0</v>
      </c>
      <c r="BH12" s="322">
        <f>'P NP KOLAM IKAN'!O44</f>
        <v>0</v>
      </c>
      <c r="BI12" s="322">
        <f>'P NP KOLAM IKAN'!P44</f>
        <v>0</v>
      </c>
      <c r="BJ12" s="322">
        <f>'P NP KOLAM IKAN'!O45</f>
        <v>0</v>
      </c>
      <c r="BK12" s="322">
        <f>'P NP KOLAM IKAN'!P45</f>
        <v>0</v>
      </c>
      <c r="BL12" s="322">
        <f>'P NP KOLAM IKAN'!O46</f>
        <v>0</v>
      </c>
      <c r="BM12" s="322">
        <f>'P NP KOLAM IKAN'!P46</f>
        <v>0</v>
      </c>
      <c r="BN12" s="322">
        <f>'P NP KOLAM IKAN'!O47</f>
        <v>0</v>
      </c>
      <c r="BO12" s="322">
        <f>'P NP KOLAM IKAN'!P47</f>
        <v>0</v>
      </c>
      <c r="BP12" s="322">
        <f>'P NP KOLAM IKAN'!O48</f>
        <v>0</v>
      </c>
      <c r="BQ12" s="322">
        <f>'P NP KOLAM IKAN'!P48</f>
        <v>0</v>
      </c>
      <c r="BR12" s="322">
        <f>'P NP KOLAM IKAN'!O49</f>
        <v>0</v>
      </c>
      <c r="BS12" s="322">
        <f>'P NP KOLAM IKAN'!P49</f>
        <v>0</v>
      </c>
      <c r="BT12" s="322">
        <f>'P NP KOLAM IKAN'!O50</f>
        <v>0</v>
      </c>
      <c r="BU12" s="322">
        <f>'P NP KOLAM IKAN'!P50</f>
        <v>0</v>
      </c>
      <c r="BV12" s="322">
        <f>'P NP KOLAM IKAN'!O51</f>
        <v>0</v>
      </c>
      <c r="BW12" s="322">
        <f>'P NP KOLAM IKAN'!P51</f>
        <v>0</v>
      </c>
      <c r="BX12" s="322">
        <f>'P NP KOLAM IKAN'!O52</f>
        <v>0</v>
      </c>
      <c r="BY12" s="322">
        <f>'P NP KOLAM IKAN'!P52</f>
        <v>0</v>
      </c>
    </row>
    <row r="13" spans="1:77">
      <c r="A13" s="260" t="s">
        <v>128</v>
      </c>
      <c r="B13" s="320">
        <f t="shared" si="2"/>
        <v>14792000</v>
      </c>
      <c r="C13" s="320">
        <f t="shared" si="3"/>
        <v>269622700</v>
      </c>
      <c r="D13" s="322">
        <f>'P NP KOLAM IKAN'!Q8</f>
        <v>0</v>
      </c>
      <c r="E13" s="322">
        <f>'P NP KOLAM IKAN'!R8</f>
        <v>0</v>
      </c>
      <c r="F13" s="322">
        <f>'P NP KOLAM IKAN'!Q9</f>
        <v>4562200</v>
      </c>
      <c r="G13" s="322">
        <f>'P NP KOLAM IKAN'!R9</f>
        <v>73891300</v>
      </c>
      <c r="H13" s="322">
        <f>'P NP KOLAM IKAN'!Q10</f>
        <v>0</v>
      </c>
      <c r="I13" s="322">
        <f>'P NP KOLAM IKAN'!R10</f>
        <v>0</v>
      </c>
      <c r="J13" s="322">
        <f>'P NP KOLAM IKAN'!Q11</f>
        <v>0</v>
      </c>
      <c r="K13" s="322">
        <f>'P NP KOLAM IKAN'!R11</f>
        <v>0</v>
      </c>
      <c r="L13" s="322">
        <f>'P NP KOLAM IKAN'!Q12</f>
        <v>0</v>
      </c>
      <c r="M13" s="322">
        <f>'P NP KOLAM IKAN'!R12</f>
        <v>0</v>
      </c>
      <c r="N13" s="322">
        <f>'P NP KOLAM IKAN'!Q13</f>
        <v>0</v>
      </c>
      <c r="O13" s="322">
        <f>'P NP KOLAM IKAN'!R13</f>
        <v>0</v>
      </c>
      <c r="P13" s="322">
        <f>'P NP KOLAM IKAN'!Q14</f>
        <v>424900</v>
      </c>
      <c r="Q13" s="322">
        <f>'P NP KOLAM IKAN'!R14</f>
        <v>12976200</v>
      </c>
      <c r="R13" s="322">
        <f>'P NP KOLAM IKAN'!Q15</f>
        <v>0</v>
      </c>
      <c r="S13" s="322">
        <f>'P NP KOLAM IKAN'!R15</f>
        <v>0</v>
      </c>
      <c r="T13" s="322">
        <f>'P NP KOLAM IKAN'!Q16</f>
        <v>0</v>
      </c>
      <c r="U13" s="322">
        <f>'P NP KOLAM IKAN'!R16</f>
        <v>0</v>
      </c>
      <c r="V13" s="322">
        <f>'P NP KOLAM IKAN'!Q17</f>
        <v>0</v>
      </c>
      <c r="W13" s="322">
        <f>'P NP KOLAM IKAN'!R17</f>
        <v>0</v>
      </c>
      <c r="X13" s="322">
        <f>'P NP KOLAM IKAN'!Q18</f>
        <v>0</v>
      </c>
      <c r="Y13" s="322">
        <f>'P NP KOLAM IKAN'!R18</f>
        <v>0</v>
      </c>
      <c r="Z13" s="322">
        <f>'P NP KOLAM IKAN'!Q19</f>
        <v>0</v>
      </c>
      <c r="AA13" s="322">
        <f>'P NP KOLAM IKAN'!R19</f>
        <v>0</v>
      </c>
      <c r="AB13" s="322">
        <f>'P NP KOLAM IKAN'!Q20</f>
        <v>0</v>
      </c>
      <c r="AC13" s="322">
        <f>'P NP KOLAM IKAN'!R20</f>
        <v>0</v>
      </c>
      <c r="AD13" s="322">
        <f>'P NP KOLAM IKAN'!Q21</f>
        <v>7299400</v>
      </c>
      <c r="AE13" s="322">
        <f>'P NP KOLAM IKAN'!R21</f>
        <v>134143300</v>
      </c>
      <c r="AF13" s="322">
        <f>'P NP KOLAM IKAN'!Q22</f>
        <v>0</v>
      </c>
      <c r="AG13" s="322">
        <f>'P NP KOLAM IKAN'!R22</f>
        <v>0</v>
      </c>
      <c r="AH13" s="322">
        <f>'P NP KOLAM IKAN'!Q23</f>
        <v>0</v>
      </c>
      <c r="AI13" s="322">
        <f>'P NP KOLAM IKAN'!R23</f>
        <v>0</v>
      </c>
      <c r="AJ13" s="322">
        <f>'P NP KOLAM IKAN'!Q24</f>
        <v>227700</v>
      </c>
      <c r="AK13" s="322">
        <f>'P NP KOLAM IKAN'!R24</f>
        <v>4799200</v>
      </c>
      <c r="AL13" s="322">
        <f>'P NP KOLAM IKAN'!Q25</f>
        <v>0</v>
      </c>
      <c r="AM13" s="322">
        <f>'P NP KOLAM IKAN'!R25</f>
        <v>0</v>
      </c>
      <c r="AN13" s="322">
        <f>'P NP KOLAM IKAN'!Q26</f>
        <v>211800</v>
      </c>
      <c r="AO13" s="322">
        <f>'P NP KOLAM IKAN'!R26</f>
        <v>4455600</v>
      </c>
      <c r="AP13" s="322">
        <f>'P NP KOLAM IKAN'!Q27</f>
        <v>2066000</v>
      </c>
      <c r="AQ13" s="322">
        <f>'P NP KOLAM IKAN'!R27</f>
        <v>39357100</v>
      </c>
      <c r="AR13" s="322">
        <f>'P NP KOLAM IKAN'!Q28</f>
        <v>0</v>
      </c>
      <c r="AS13" s="322">
        <f>'P NP KOLAM IKAN'!R28</f>
        <v>0</v>
      </c>
      <c r="AT13" s="322">
        <f>'P NP KOLAM IKAN'!Q29</f>
        <v>0</v>
      </c>
      <c r="AU13" s="322">
        <f>'P NP KOLAM IKAN'!R29</f>
        <v>0</v>
      </c>
      <c r="AV13" s="322">
        <f>'P NP KOLAM IKAN'!Q30</f>
        <v>0</v>
      </c>
      <c r="AW13" s="322">
        <f>'P NP KOLAM IKAN'!R30</f>
        <v>0</v>
      </c>
      <c r="AX13" s="322">
        <f>'P NP KOLAM IKAN'!Q31</f>
        <v>0</v>
      </c>
      <c r="AY13" s="322">
        <f>'P NP KOLAM IKAN'!R31</f>
        <v>0</v>
      </c>
      <c r="AZ13" s="322">
        <f>'P NP KOLAM IKAN'!Q32</f>
        <v>0</v>
      </c>
      <c r="BA13" s="322">
        <f>'P NP KOLAM IKAN'!R32</f>
        <v>0</v>
      </c>
      <c r="BB13" s="322">
        <f>'P NP KOLAM IKAN'!Q33</f>
        <v>0</v>
      </c>
      <c r="BC13" s="322">
        <f>'P NP KOLAM IKAN'!R33</f>
        <v>0</v>
      </c>
      <c r="BD13" s="322">
        <f>'P NP KOLAM IKAN'!Q34</f>
        <v>0</v>
      </c>
      <c r="BE13" s="322">
        <f>'P NP KOLAM IKAN'!R34</f>
        <v>0</v>
      </c>
      <c r="BF13" s="322">
        <f>'P NP KOLAM IKAN'!Q43</f>
        <v>0</v>
      </c>
      <c r="BG13" s="322">
        <f>'P NP KOLAM IKAN'!R43</f>
        <v>0</v>
      </c>
      <c r="BH13" s="322">
        <f>'P NP KOLAM IKAN'!Q44</f>
        <v>0</v>
      </c>
      <c r="BI13" s="322">
        <f>'P NP KOLAM IKAN'!R44</f>
        <v>0</v>
      </c>
      <c r="BJ13" s="322">
        <f>'P NP KOLAM IKAN'!Q37</f>
        <v>0</v>
      </c>
      <c r="BK13" s="322">
        <f>'P NP KOLAM IKAN'!R37</f>
        <v>0</v>
      </c>
      <c r="BL13" s="322">
        <f>'P NP KOLAM IKAN'!Q46</f>
        <v>0</v>
      </c>
      <c r="BM13" s="322">
        <f>'P NP KOLAM IKAN'!R46</f>
        <v>0</v>
      </c>
      <c r="BN13" s="322">
        <f>'P NP KOLAM IKAN'!Q47</f>
        <v>0</v>
      </c>
      <c r="BO13" s="322">
        <f>'P NP KOLAM IKAN'!R47</f>
        <v>0</v>
      </c>
      <c r="BP13" s="322">
        <f>'P NP KOLAM IKAN'!Q48</f>
        <v>0</v>
      </c>
      <c r="BQ13" s="322">
        <f>'P NP KOLAM IKAN'!R48</f>
        <v>0</v>
      </c>
      <c r="BR13" s="322">
        <f>'P NP KOLAM IKAN'!Q49</f>
        <v>0</v>
      </c>
      <c r="BS13" s="322">
        <f>'P NP KOLAM IKAN'!R49</f>
        <v>0</v>
      </c>
      <c r="BT13" s="322">
        <f>'P NP KOLAM IKAN'!Q50</f>
        <v>0</v>
      </c>
      <c r="BU13" s="322">
        <f>'P NP KOLAM IKAN'!R50</f>
        <v>0</v>
      </c>
      <c r="BV13" s="322">
        <f>'P NP KOLAM IKAN'!Q51</f>
        <v>0</v>
      </c>
      <c r="BW13" s="322">
        <f>'P NP KOLAM IKAN'!R51</f>
        <v>0</v>
      </c>
      <c r="BX13" s="322">
        <f>'P NP KOLAM IKAN'!Q52</f>
        <v>0</v>
      </c>
      <c r="BY13" s="322">
        <f>'P NP KOLAM IKAN'!R52</f>
        <v>0</v>
      </c>
    </row>
    <row r="14" spans="1:77">
      <c r="A14" s="260" t="s">
        <v>117</v>
      </c>
      <c r="B14" s="320">
        <f t="shared" si="2"/>
        <v>25514275</v>
      </c>
      <c r="C14" s="320">
        <f t="shared" si="3"/>
        <v>482643365</v>
      </c>
      <c r="D14" s="322">
        <f>'P NP KOLAM IKAN'!S8</f>
        <v>0</v>
      </c>
      <c r="E14" s="322">
        <f>'P NP KOLAM IKAN'!T8</f>
        <v>0</v>
      </c>
      <c r="F14" s="322">
        <f>'P NP KOLAM IKAN'!S9</f>
        <v>892300</v>
      </c>
      <c r="G14" s="322">
        <f>'P NP KOLAM IKAN'!T9</f>
        <v>9815300</v>
      </c>
      <c r="H14" s="322">
        <f>'P NP KOLAM IKAN'!S10</f>
        <v>0</v>
      </c>
      <c r="I14" s="322">
        <f>'P NP KOLAM IKAN'!T10</f>
        <v>0</v>
      </c>
      <c r="J14" s="322">
        <f>'P NP KOLAM IKAN'!S11</f>
        <v>0</v>
      </c>
      <c r="K14" s="322">
        <f>'P NP KOLAM IKAN'!T11</f>
        <v>0</v>
      </c>
      <c r="L14" s="322">
        <f>'P NP KOLAM IKAN'!S12</f>
        <v>0</v>
      </c>
      <c r="M14" s="322">
        <f>'P NP KOLAM IKAN'!T12</f>
        <v>0</v>
      </c>
      <c r="N14" s="322">
        <f>'P NP KOLAM IKAN'!S13</f>
        <v>0</v>
      </c>
      <c r="O14" s="322">
        <f>'P NP KOLAM IKAN'!T13</f>
        <v>0</v>
      </c>
      <c r="P14" s="322">
        <f>'P NP KOLAM IKAN'!S14</f>
        <v>2576700</v>
      </c>
      <c r="Q14" s="322">
        <f>'P NP KOLAM IKAN'!T14</f>
        <v>72147600</v>
      </c>
      <c r="R14" s="322">
        <f>'P NP KOLAM IKAN'!S15</f>
        <v>0</v>
      </c>
      <c r="S14" s="322">
        <f>'P NP KOLAM IKAN'!T15</f>
        <v>0</v>
      </c>
      <c r="T14" s="322">
        <f>'P NP KOLAM IKAN'!S16</f>
        <v>0</v>
      </c>
      <c r="U14" s="322">
        <f>'P NP KOLAM IKAN'!T16</f>
        <v>0</v>
      </c>
      <c r="V14" s="322">
        <f>'P NP KOLAM IKAN'!S17</f>
        <v>0</v>
      </c>
      <c r="W14" s="322">
        <f>'P NP KOLAM IKAN'!T17</f>
        <v>0</v>
      </c>
      <c r="X14" s="322">
        <f>'P NP KOLAM IKAN'!S18</f>
        <v>0</v>
      </c>
      <c r="Y14" s="322">
        <f>'P NP KOLAM IKAN'!T18</f>
        <v>0</v>
      </c>
      <c r="Z14" s="322">
        <f>'P NP KOLAM IKAN'!S19</f>
        <v>0</v>
      </c>
      <c r="AA14" s="322">
        <f>'P NP KOLAM IKAN'!T19</f>
        <v>0</v>
      </c>
      <c r="AB14" s="322">
        <f>'P NP KOLAM IKAN'!S20</f>
        <v>0</v>
      </c>
      <c r="AC14" s="322">
        <f>'P NP KOLAM IKAN'!T20</f>
        <v>0</v>
      </c>
      <c r="AD14" s="322">
        <f>'P NP KOLAM IKAN'!S21</f>
        <v>17645200</v>
      </c>
      <c r="AE14" s="322">
        <f>'P NP KOLAM IKAN'!T21</f>
        <v>317613600</v>
      </c>
      <c r="AF14" s="322">
        <f>'P NP KOLAM IKAN'!S22</f>
        <v>0</v>
      </c>
      <c r="AG14" s="322">
        <f>'P NP KOLAM IKAN'!T22</f>
        <v>0</v>
      </c>
      <c r="AH14" s="322">
        <f>'P NP KOLAM IKAN'!S23</f>
        <v>0</v>
      </c>
      <c r="AI14" s="322">
        <f>'P NP KOLAM IKAN'!T23</f>
        <v>0</v>
      </c>
      <c r="AJ14" s="322">
        <f>'P NP KOLAM IKAN'!S24</f>
        <v>5635</v>
      </c>
      <c r="AK14" s="322">
        <f>'P NP KOLAM IKAN'!T24</f>
        <v>84525</v>
      </c>
      <c r="AL14" s="322">
        <f>'P NP KOLAM IKAN'!S25</f>
        <v>500</v>
      </c>
      <c r="AM14" s="322">
        <f>'P NP KOLAM IKAN'!T25</f>
        <v>7500</v>
      </c>
      <c r="AN14" s="322">
        <f>'P NP KOLAM IKAN'!S26</f>
        <v>2845150</v>
      </c>
      <c r="AO14" s="322">
        <f>'P NP KOLAM IKAN'!T26</f>
        <v>59748150</v>
      </c>
      <c r="AP14" s="322">
        <f>'P NP KOLAM IKAN'!S27</f>
        <v>1547500</v>
      </c>
      <c r="AQ14" s="322">
        <f>'P NP KOLAM IKAN'!T27</f>
        <v>23212500</v>
      </c>
      <c r="AR14" s="322">
        <f>'P NP KOLAM IKAN'!S28</f>
        <v>0</v>
      </c>
      <c r="AS14" s="322">
        <f>'P NP KOLAM IKAN'!T28</f>
        <v>0</v>
      </c>
      <c r="AT14" s="322">
        <f>'P NP KOLAM IKAN'!S29</f>
        <v>1290</v>
      </c>
      <c r="AU14" s="322">
        <f>'P NP KOLAM IKAN'!T29</f>
        <v>14190</v>
      </c>
      <c r="AV14" s="322">
        <f>'P NP KOLAM IKAN'!S30</f>
        <v>0</v>
      </c>
      <c r="AW14" s="322">
        <f>'P NP KOLAM IKAN'!T30</f>
        <v>0</v>
      </c>
      <c r="AX14" s="322">
        <f>'P NP KOLAM IKAN'!S31</f>
        <v>0</v>
      </c>
      <c r="AY14" s="322">
        <f>'P NP KOLAM IKAN'!T31</f>
        <v>0</v>
      </c>
      <c r="AZ14" s="322">
        <f>'P NP KOLAM IKAN'!S32</f>
        <v>0</v>
      </c>
      <c r="BA14" s="322">
        <f>'P NP KOLAM IKAN'!T32</f>
        <v>0</v>
      </c>
      <c r="BB14" s="322">
        <f>'P NP KOLAM IKAN'!S33</f>
        <v>0</v>
      </c>
      <c r="BC14" s="322">
        <f>'P NP KOLAM IKAN'!T33</f>
        <v>0</v>
      </c>
      <c r="BD14" s="322">
        <f>'P NP KOLAM IKAN'!S34</f>
        <v>0</v>
      </c>
      <c r="BE14" s="322">
        <f>'P NP KOLAM IKAN'!T34</f>
        <v>0</v>
      </c>
      <c r="BF14" s="322">
        <f>'P NP KOLAM IKAN'!S43</f>
        <v>0</v>
      </c>
      <c r="BG14" s="322">
        <f>'P NP KOLAM IKAN'!T43</f>
        <v>0</v>
      </c>
      <c r="BH14" s="322">
        <f>'P NP KOLAM IKAN'!S44</f>
        <v>0</v>
      </c>
      <c r="BI14" s="322">
        <f>'P NP KOLAM IKAN'!T44</f>
        <v>0</v>
      </c>
      <c r="BJ14" s="322">
        <f>'P NP KOLAM IKAN'!S45</f>
        <v>0</v>
      </c>
      <c r="BK14" s="322">
        <f>'P NP KOLAM IKAN'!T45</f>
        <v>0</v>
      </c>
      <c r="BL14" s="322">
        <f>'P NP KOLAM IKAN'!S46</f>
        <v>0</v>
      </c>
      <c r="BM14" s="322">
        <f>'P NP KOLAM IKAN'!T46</f>
        <v>0</v>
      </c>
      <c r="BN14" s="322">
        <f>'P NP KOLAM IKAN'!S47</f>
        <v>0</v>
      </c>
      <c r="BO14" s="322">
        <f>'P NP KOLAM IKAN'!T47</f>
        <v>0</v>
      </c>
      <c r="BP14" s="322">
        <f>'P NP KOLAM IKAN'!S48</f>
        <v>0</v>
      </c>
      <c r="BQ14" s="322">
        <f>'P NP KOLAM IKAN'!T48</f>
        <v>0</v>
      </c>
      <c r="BR14" s="322">
        <f>'P NP KOLAM IKAN'!S49</f>
        <v>0</v>
      </c>
      <c r="BS14" s="322">
        <f>'P NP KOLAM IKAN'!T49</f>
        <v>0</v>
      </c>
      <c r="BT14" s="322">
        <f>'P NP KOLAM IKAN'!S50</f>
        <v>0</v>
      </c>
      <c r="BU14" s="322">
        <f>'P NP KOLAM IKAN'!T50</f>
        <v>0</v>
      </c>
      <c r="BV14" s="322">
        <f>'P NP KOLAM IKAN'!S51</f>
        <v>0</v>
      </c>
      <c r="BW14" s="322">
        <f>'P NP KOLAM IKAN'!T51</f>
        <v>0</v>
      </c>
      <c r="BX14" s="322">
        <f>'P NP KOLAM IKAN'!S52</f>
        <v>0</v>
      </c>
      <c r="BY14" s="322">
        <f>'P NP KOLAM IKAN'!T52</f>
        <v>0</v>
      </c>
    </row>
    <row r="15" spans="1:77">
      <c r="A15" s="260" t="s">
        <v>135</v>
      </c>
      <c r="B15" s="320">
        <f t="shared" si="2"/>
        <v>41981324</v>
      </c>
      <c r="C15" s="320">
        <f t="shared" si="3"/>
        <v>1131862037</v>
      </c>
      <c r="D15" s="322">
        <f>'P NP KOLAM IKAN'!U8</f>
        <v>11794804</v>
      </c>
      <c r="E15" s="322">
        <f>'P NP KOLAM IKAN'!V8</f>
        <v>224744595</v>
      </c>
      <c r="F15" s="322">
        <f>'P NP KOLAM IKAN'!U9</f>
        <v>0</v>
      </c>
      <c r="G15" s="322">
        <f>'P NP KOLAM IKAN'!V9</f>
        <v>0</v>
      </c>
      <c r="H15" s="322">
        <f>'P NP KOLAM IKAN'!U10</f>
        <v>0</v>
      </c>
      <c r="I15" s="322">
        <f>'P NP KOLAM IKAN'!V10</f>
        <v>0</v>
      </c>
      <c r="J15" s="322">
        <f>'P NP KOLAM IKAN'!U11</f>
        <v>0</v>
      </c>
      <c r="K15" s="322">
        <f>'P NP KOLAM IKAN'!V11</f>
        <v>0</v>
      </c>
      <c r="L15" s="322">
        <f>'P NP KOLAM IKAN'!U12</f>
        <v>19606</v>
      </c>
      <c r="M15" s="322">
        <f>'P NP KOLAM IKAN'!V12</f>
        <v>937585</v>
      </c>
      <c r="N15" s="322">
        <f>'P NP KOLAM IKAN'!U13</f>
        <v>0</v>
      </c>
      <c r="O15" s="322">
        <f>'P NP KOLAM IKAN'!V13</f>
        <v>0</v>
      </c>
      <c r="P15" s="322">
        <f>'P NP KOLAM IKAN'!U14</f>
        <v>0</v>
      </c>
      <c r="Q15" s="322">
        <f>'P NP KOLAM IKAN'!V14</f>
        <v>0</v>
      </c>
      <c r="R15" s="322">
        <f>'P NP KOLAM IKAN'!U15</f>
        <v>0</v>
      </c>
      <c r="S15" s="322">
        <f>'P NP KOLAM IKAN'!V15</f>
        <v>0</v>
      </c>
      <c r="T15" s="322">
        <f>'P NP KOLAM IKAN'!U16</f>
        <v>0</v>
      </c>
      <c r="U15" s="322">
        <f>'P NP KOLAM IKAN'!V16</f>
        <v>0</v>
      </c>
      <c r="V15" s="322">
        <f>'P NP KOLAM IKAN'!U17</f>
        <v>0</v>
      </c>
      <c r="W15" s="322">
        <f>'P NP KOLAM IKAN'!V17</f>
        <v>0</v>
      </c>
      <c r="X15" s="322">
        <f>'P NP KOLAM IKAN'!U18</f>
        <v>0</v>
      </c>
      <c r="Y15" s="322">
        <f>'P NP KOLAM IKAN'!V18</f>
        <v>0</v>
      </c>
      <c r="Z15" s="322">
        <f>'P NP KOLAM IKAN'!U19</f>
        <v>0</v>
      </c>
      <c r="AA15" s="322">
        <f>'P NP KOLAM IKAN'!V19</f>
        <v>0</v>
      </c>
      <c r="AB15" s="322">
        <f>'P NP KOLAM IKAN'!U20</f>
        <v>0</v>
      </c>
      <c r="AC15" s="322">
        <f>'P NP KOLAM IKAN'!V20</f>
        <v>0</v>
      </c>
      <c r="AD15" s="322">
        <f>'P NP KOLAM IKAN'!U21</f>
        <v>3590186</v>
      </c>
      <c r="AE15" s="322">
        <f>'P NP KOLAM IKAN'!V21</f>
        <v>68090097</v>
      </c>
      <c r="AF15" s="322">
        <f>'P NP KOLAM IKAN'!U22</f>
        <v>0</v>
      </c>
      <c r="AG15" s="322">
        <f>'P NP KOLAM IKAN'!V22</f>
        <v>0</v>
      </c>
      <c r="AH15" s="322">
        <f>'P NP KOLAM IKAN'!U23</f>
        <v>0</v>
      </c>
      <c r="AI15" s="322">
        <f>'P NP KOLAM IKAN'!V23</f>
        <v>0</v>
      </c>
      <c r="AJ15" s="322">
        <f>'P NP KOLAM IKAN'!U24</f>
        <v>1636075</v>
      </c>
      <c r="AK15" s="322">
        <f>'P NP KOLAM IKAN'!V24</f>
        <v>23484574</v>
      </c>
      <c r="AL15" s="322">
        <f>'P NP KOLAM IKAN'!U25</f>
        <v>130061</v>
      </c>
      <c r="AM15" s="322">
        <f>'P NP KOLAM IKAN'!V25</f>
        <v>650305</v>
      </c>
      <c r="AN15" s="322">
        <f>'P NP KOLAM IKAN'!U26</f>
        <v>10101429</v>
      </c>
      <c r="AO15" s="322">
        <f>'P NP KOLAM IKAN'!V26</f>
        <v>185332531</v>
      </c>
      <c r="AP15" s="322">
        <f>'P NP KOLAM IKAN'!U27</f>
        <v>5154</v>
      </c>
      <c r="AQ15" s="322">
        <f>'P NP KOLAM IKAN'!V27</f>
        <v>91843</v>
      </c>
      <c r="AR15" s="322">
        <f>'P NP KOLAM IKAN'!U28</f>
        <v>0</v>
      </c>
      <c r="AS15" s="322">
        <f>'P NP KOLAM IKAN'!V28</f>
        <v>0</v>
      </c>
      <c r="AT15" s="322">
        <f>'P NP KOLAM IKAN'!U29</f>
        <v>2498575</v>
      </c>
      <c r="AU15" s="322">
        <f>'P NP KOLAM IKAN'!V29</f>
        <v>37004829</v>
      </c>
      <c r="AV15" s="322">
        <f>'P NP KOLAM IKAN'!U30</f>
        <v>0</v>
      </c>
      <c r="AW15" s="322">
        <f>'P NP KOLAM IKAN'!V30</f>
        <v>0</v>
      </c>
      <c r="AX15" s="322">
        <f>'P NP KOLAM IKAN'!U31</f>
        <v>0</v>
      </c>
      <c r="AY15" s="322">
        <f>'P NP KOLAM IKAN'!V31</f>
        <v>0</v>
      </c>
      <c r="AZ15" s="322">
        <f>'P NP KOLAM IKAN'!U32</f>
        <v>0</v>
      </c>
      <c r="BA15" s="322">
        <f>'P NP KOLAM IKAN'!V32</f>
        <v>0</v>
      </c>
      <c r="BB15" s="322">
        <f>'P NP KOLAM IKAN'!U33</f>
        <v>12205434</v>
      </c>
      <c r="BC15" s="322">
        <f>'P NP KOLAM IKAN'!V33</f>
        <v>591525678</v>
      </c>
      <c r="BD15" s="322">
        <f>'P NP KOLAM IKAN'!U34</f>
        <v>0</v>
      </c>
      <c r="BE15" s="322">
        <f>'P NP KOLAM IKAN'!V34</f>
        <v>0</v>
      </c>
      <c r="BF15" s="322">
        <f>'P NP KOLAM IKAN'!U43</f>
        <v>0</v>
      </c>
      <c r="BG15" s="322">
        <f>'P NP KOLAM IKAN'!V43</f>
        <v>0</v>
      </c>
      <c r="BH15" s="322">
        <f>'P NP KOLAM IKAN'!U44</f>
        <v>0</v>
      </c>
      <c r="BI15" s="322">
        <f>'P NP KOLAM IKAN'!V44</f>
        <v>0</v>
      </c>
      <c r="BJ15" s="322">
        <f>'P NP KOLAM IKAN'!U45</f>
        <v>0</v>
      </c>
      <c r="BK15" s="322">
        <f>'P NP KOLAM IKAN'!V45</f>
        <v>0</v>
      </c>
      <c r="BL15" s="322">
        <f>'P NP KOLAM IKAN'!U46</f>
        <v>0</v>
      </c>
      <c r="BM15" s="322">
        <f>'P NP KOLAM IKAN'!V46</f>
        <v>0</v>
      </c>
      <c r="BN15" s="322">
        <f>'P NP KOLAM IKAN'!U47</f>
        <v>0</v>
      </c>
      <c r="BO15" s="322">
        <f>'P NP KOLAM IKAN'!V47</f>
        <v>0</v>
      </c>
      <c r="BP15" s="322">
        <f>'P NP KOLAM IKAN'!U48</f>
        <v>0</v>
      </c>
      <c r="BQ15" s="322">
        <f>'P NP KOLAM IKAN'!V48</f>
        <v>0</v>
      </c>
      <c r="BR15" s="322">
        <f>'P NP KOLAM IKAN'!U49</f>
        <v>0</v>
      </c>
      <c r="BS15" s="322">
        <f>'P NP KOLAM IKAN'!V49</f>
        <v>0</v>
      </c>
      <c r="BT15" s="322">
        <f>'P NP KOLAM IKAN'!U50</f>
        <v>0</v>
      </c>
      <c r="BU15" s="322">
        <f>'P NP KOLAM IKAN'!V50</f>
        <v>0</v>
      </c>
      <c r="BV15" s="322">
        <f>'P NP KOLAM IKAN'!U51</f>
        <v>0</v>
      </c>
      <c r="BW15" s="322">
        <f>'P NP KOLAM IKAN'!V51</f>
        <v>0</v>
      </c>
      <c r="BX15" s="322">
        <f>'P NP KOLAM IKAN'!U52</f>
        <v>0</v>
      </c>
      <c r="BY15" s="322">
        <f>'P NP KOLAM IKAN'!V52</f>
        <v>0</v>
      </c>
    </row>
    <row r="16" spans="1:77">
      <c r="A16" s="260" t="s">
        <v>119</v>
      </c>
      <c r="B16" s="320">
        <f t="shared" si="2"/>
        <v>2736500.4</v>
      </c>
      <c r="C16" s="320">
        <f t="shared" si="3"/>
        <v>69421076.5</v>
      </c>
      <c r="D16" s="322">
        <f>'P NP KOLAM IKAN'!W8</f>
        <v>0</v>
      </c>
      <c r="E16" s="322">
        <f>'P NP KOLAM IKAN'!X8</f>
        <v>0</v>
      </c>
      <c r="F16" s="322">
        <f>'P NP KOLAM IKAN'!W9</f>
        <v>0</v>
      </c>
      <c r="G16" s="322">
        <f>'P NP KOLAM IKAN'!X9</f>
        <v>0</v>
      </c>
      <c r="H16" s="322">
        <f>'P NP KOLAM IKAN'!W10</f>
        <v>0</v>
      </c>
      <c r="I16" s="322">
        <f>'P NP KOLAM IKAN'!X10</f>
        <v>0</v>
      </c>
      <c r="J16" s="322">
        <f>'P NP KOLAM IKAN'!W11</f>
        <v>0</v>
      </c>
      <c r="K16" s="322">
        <f>'P NP KOLAM IKAN'!X11</f>
        <v>0</v>
      </c>
      <c r="L16" s="322">
        <f>'P NP KOLAM IKAN'!W12</f>
        <v>3800</v>
      </c>
      <c r="M16" s="322">
        <f>'P NP KOLAM IKAN'!X12</f>
        <v>159850</v>
      </c>
      <c r="N16" s="322">
        <f>'P NP KOLAM IKAN'!W13</f>
        <v>0</v>
      </c>
      <c r="O16" s="322">
        <f>'P NP KOLAM IKAN'!X13</f>
        <v>0</v>
      </c>
      <c r="P16" s="322">
        <f>'P NP KOLAM IKAN'!W14</f>
        <v>794200</v>
      </c>
      <c r="Q16" s="322">
        <f>'P NP KOLAM IKAN'!X14</f>
        <v>27797000</v>
      </c>
      <c r="R16" s="322">
        <f>'P NP KOLAM IKAN'!W15</f>
        <v>0</v>
      </c>
      <c r="S16" s="322">
        <f>'P NP KOLAM IKAN'!X15</f>
        <v>0</v>
      </c>
      <c r="T16" s="322">
        <f>'P NP KOLAM IKAN'!W16</f>
        <v>0</v>
      </c>
      <c r="U16" s="322">
        <f>'P NP KOLAM IKAN'!X16</f>
        <v>0</v>
      </c>
      <c r="V16" s="322">
        <f>'P NP KOLAM IKAN'!W17</f>
        <v>0</v>
      </c>
      <c r="W16" s="322">
        <f>'P NP KOLAM IKAN'!X17</f>
        <v>0</v>
      </c>
      <c r="X16" s="322">
        <f>'P NP KOLAM IKAN'!W18</f>
        <v>0</v>
      </c>
      <c r="Y16" s="322">
        <f>'P NP KOLAM IKAN'!X18</f>
        <v>0</v>
      </c>
      <c r="Z16" s="322">
        <f>'P NP KOLAM IKAN'!W19</f>
        <v>0</v>
      </c>
      <c r="AA16" s="322">
        <f>'P NP KOLAM IKAN'!X19</f>
        <v>0</v>
      </c>
      <c r="AB16" s="322">
        <f>'P NP KOLAM IKAN'!W20</f>
        <v>0</v>
      </c>
      <c r="AC16" s="322">
        <f>'P NP KOLAM IKAN'!X20</f>
        <v>0</v>
      </c>
      <c r="AD16" s="322">
        <f>'P NP KOLAM IKAN'!W21</f>
        <v>1164300</v>
      </c>
      <c r="AE16" s="322">
        <f>'P NP KOLAM IKAN'!X21</f>
        <v>21688451.5</v>
      </c>
      <c r="AF16" s="322">
        <f>'P NP KOLAM IKAN'!W22</f>
        <v>0</v>
      </c>
      <c r="AG16" s="322">
        <f>'P NP KOLAM IKAN'!X22</f>
        <v>0</v>
      </c>
      <c r="AH16" s="322">
        <f>'P NP KOLAM IKAN'!W23</f>
        <v>0</v>
      </c>
      <c r="AI16" s="322">
        <f>'P NP KOLAM IKAN'!X23</f>
        <v>0</v>
      </c>
      <c r="AJ16" s="322">
        <f>'P NP KOLAM IKAN'!W24</f>
        <v>3665</v>
      </c>
      <c r="AK16" s="322">
        <f>'P NP KOLAM IKAN'!X24</f>
        <v>109950</v>
      </c>
      <c r="AL16" s="322">
        <f>'P NP KOLAM IKAN'!W25</f>
        <v>0</v>
      </c>
      <c r="AM16" s="322">
        <f>'P NP KOLAM IKAN'!X25</f>
        <v>0</v>
      </c>
      <c r="AN16" s="322">
        <f>'P NP KOLAM IKAN'!W26</f>
        <v>759935</v>
      </c>
      <c r="AO16" s="322">
        <f>'P NP KOLAM IKAN'!X26</f>
        <v>19435375</v>
      </c>
      <c r="AP16" s="322">
        <f>'P NP KOLAM IKAN'!W27</f>
        <v>9700.4</v>
      </c>
      <c r="AQ16" s="322">
        <f>'P NP KOLAM IKAN'!X27</f>
        <v>213500</v>
      </c>
      <c r="AR16" s="322">
        <f>'P NP KOLAM IKAN'!W28</f>
        <v>0</v>
      </c>
      <c r="AS16" s="322">
        <f>'P NP KOLAM IKAN'!X28</f>
        <v>0</v>
      </c>
      <c r="AT16" s="322">
        <f>'P NP KOLAM IKAN'!W29</f>
        <v>900</v>
      </c>
      <c r="AU16" s="322">
        <f>'P NP KOLAM IKAN'!X29</f>
        <v>16950</v>
      </c>
      <c r="AV16" s="322">
        <f>'P NP KOLAM IKAN'!W30</f>
        <v>0</v>
      </c>
      <c r="AW16" s="322">
        <f>'P NP KOLAM IKAN'!X30</f>
        <v>0</v>
      </c>
      <c r="AX16" s="322">
        <f>'P NP KOLAM IKAN'!W31</f>
        <v>0</v>
      </c>
      <c r="AY16" s="322">
        <f>'P NP KOLAM IKAN'!X31</f>
        <v>0</v>
      </c>
      <c r="AZ16" s="322">
        <f>'P NP KOLAM IKAN'!W32</f>
        <v>0</v>
      </c>
      <c r="BA16" s="322">
        <f>'P NP KOLAM IKAN'!X32</f>
        <v>0</v>
      </c>
      <c r="BB16" s="322">
        <f>'P NP KOLAM IKAN'!W33</f>
        <v>0</v>
      </c>
      <c r="BC16" s="322">
        <f>'P NP KOLAM IKAN'!X33</f>
        <v>0</v>
      </c>
      <c r="BD16" s="322">
        <f>'P NP KOLAM IKAN'!W34</f>
        <v>0</v>
      </c>
      <c r="BE16" s="322">
        <f>'P NP KOLAM IKAN'!X34</f>
        <v>0</v>
      </c>
      <c r="BF16" s="322">
        <f>'P NP KOLAM IKAN'!W43</f>
        <v>0</v>
      </c>
      <c r="BG16" s="322">
        <f>'P NP KOLAM IKAN'!X43</f>
        <v>0</v>
      </c>
      <c r="BH16" s="322">
        <f>'P NP KOLAM IKAN'!W44</f>
        <v>0</v>
      </c>
      <c r="BI16" s="322">
        <f>'P NP KOLAM IKAN'!X44</f>
        <v>0</v>
      </c>
      <c r="BJ16" s="322">
        <f>'P NP KOLAM IKAN'!W45</f>
        <v>0</v>
      </c>
      <c r="BK16" s="322">
        <f>'P NP KOLAM IKAN'!X45</f>
        <v>0</v>
      </c>
      <c r="BL16" s="322">
        <f>'P NP KOLAM IKAN'!W46</f>
        <v>0</v>
      </c>
      <c r="BM16" s="322">
        <f>'P NP KOLAM IKAN'!X46</f>
        <v>0</v>
      </c>
      <c r="BN16" s="322">
        <f>'P NP KOLAM IKAN'!W47</f>
        <v>0</v>
      </c>
      <c r="BO16" s="322">
        <f>'P NP KOLAM IKAN'!X47</f>
        <v>0</v>
      </c>
      <c r="BP16" s="322">
        <f>'P NP KOLAM IKAN'!W48</f>
        <v>0</v>
      </c>
      <c r="BQ16" s="322">
        <f>'P NP KOLAM IKAN'!X48</f>
        <v>0</v>
      </c>
      <c r="BR16" s="322">
        <f>'P NP KOLAM IKAN'!W49</f>
        <v>0</v>
      </c>
      <c r="BS16" s="322">
        <f>'P NP KOLAM IKAN'!X49</f>
        <v>0</v>
      </c>
      <c r="BT16" s="322">
        <f>'P NP KOLAM IKAN'!W50</f>
        <v>0</v>
      </c>
      <c r="BU16" s="322">
        <f>'P NP KOLAM IKAN'!X50</f>
        <v>0</v>
      </c>
      <c r="BV16" s="322">
        <f>'P NP KOLAM IKAN'!W51</f>
        <v>0</v>
      </c>
      <c r="BW16" s="322">
        <f>'P NP KOLAM IKAN'!X51</f>
        <v>0</v>
      </c>
      <c r="BX16" s="322">
        <f>'P NP KOLAM IKAN'!W52</f>
        <v>0</v>
      </c>
      <c r="BY16" s="322">
        <f>'P NP KOLAM IKAN'!X52</f>
        <v>0</v>
      </c>
    </row>
    <row r="17" spans="1:77">
      <c r="A17" s="260" t="s">
        <v>130</v>
      </c>
      <c r="B17" s="320">
        <f t="shared" si="2"/>
        <v>3850100</v>
      </c>
      <c r="C17" s="320">
        <f t="shared" si="3"/>
        <v>79363625</v>
      </c>
      <c r="D17" s="322">
        <f>'P NP KOLAM IKAN'!Y8</f>
        <v>0</v>
      </c>
      <c r="E17" s="322">
        <f>'P NP KOLAM IKAN'!Z8</f>
        <v>0</v>
      </c>
      <c r="F17" s="322">
        <f>'P NP KOLAM IKAN'!Y9</f>
        <v>0</v>
      </c>
      <c r="G17" s="322">
        <f>'P NP KOLAM IKAN'!Z9</f>
        <v>0</v>
      </c>
      <c r="H17" s="322">
        <f>'P NP KOLAM IKAN'!Y10</f>
        <v>0</v>
      </c>
      <c r="I17" s="322">
        <f>'P NP KOLAM IKAN'!Z10</f>
        <v>0</v>
      </c>
      <c r="J17" s="322">
        <f>'P NP KOLAM IKAN'!Y11</f>
        <v>0</v>
      </c>
      <c r="K17" s="322">
        <f>'P NP KOLAM IKAN'!Z11</f>
        <v>0</v>
      </c>
      <c r="L17" s="322">
        <f>'P NP KOLAM IKAN'!Y12</f>
        <v>0</v>
      </c>
      <c r="M17" s="322">
        <f>'P NP KOLAM IKAN'!Z12</f>
        <v>0</v>
      </c>
      <c r="N17" s="322">
        <f>'P NP KOLAM IKAN'!Y13</f>
        <v>0</v>
      </c>
      <c r="O17" s="322">
        <f>'P NP KOLAM IKAN'!Z13</f>
        <v>0</v>
      </c>
      <c r="P17" s="322">
        <f>'P NP KOLAM IKAN'!Y14</f>
        <v>443100</v>
      </c>
      <c r="Q17" s="322">
        <f>'P NP KOLAM IKAN'!Z14</f>
        <v>12954500</v>
      </c>
      <c r="R17" s="322">
        <f>'P NP KOLAM IKAN'!Y15</f>
        <v>0</v>
      </c>
      <c r="S17" s="322">
        <f>'P NP KOLAM IKAN'!Z15</f>
        <v>0</v>
      </c>
      <c r="T17" s="322">
        <f>'P NP KOLAM IKAN'!Y16</f>
        <v>0</v>
      </c>
      <c r="U17" s="322">
        <f>'P NP KOLAM IKAN'!Z16</f>
        <v>0</v>
      </c>
      <c r="V17" s="322">
        <f>'P NP KOLAM IKAN'!Y17</f>
        <v>0</v>
      </c>
      <c r="W17" s="322">
        <f>'P NP KOLAM IKAN'!Z17</f>
        <v>0</v>
      </c>
      <c r="X17" s="322">
        <f>'P NP KOLAM IKAN'!Y18</f>
        <v>0</v>
      </c>
      <c r="Y17" s="322">
        <f>'P NP KOLAM IKAN'!Z18</f>
        <v>0</v>
      </c>
      <c r="Z17" s="322">
        <f>'P NP KOLAM IKAN'!Y19</f>
        <v>0</v>
      </c>
      <c r="AA17" s="322">
        <f>'P NP KOLAM IKAN'!Z19</f>
        <v>0</v>
      </c>
      <c r="AB17" s="322">
        <f>'P NP KOLAM IKAN'!Y20</f>
        <v>0</v>
      </c>
      <c r="AC17" s="322">
        <f>'P NP KOLAM IKAN'!Z20</f>
        <v>0</v>
      </c>
      <c r="AD17" s="322">
        <f>'P NP KOLAM IKAN'!Y21</f>
        <v>2562000</v>
      </c>
      <c r="AE17" s="322">
        <f>'P NP KOLAM IKAN'!Z21</f>
        <v>47098500</v>
      </c>
      <c r="AF17" s="322">
        <f>'P NP KOLAM IKAN'!Y22</f>
        <v>0</v>
      </c>
      <c r="AG17" s="322">
        <f>'P NP KOLAM IKAN'!Z22</f>
        <v>0</v>
      </c>
      <c r="AH17" s="322">
        <f>'P NP KOLAM IKAN'!Y23</f>
        <v>0</v>
      </c>
      <c r="AI17" s="322">
        <f>'P NP KOLAM IKAN'!Z23</f>
        <v>0</v>
      </c>
      <c r="AJ17" s="322">
        <f>'P NP KOLAM IKAN'!Y24</f>
        <v>3150</v>
      </c>
      <c r="AK17" s="322">
        <f>'P NP KOLAM IKAN'!Z24</f>
        <v>78750</v>
      </c>
      <c r="AL17" s="322">
        <f>'P NP KOLAM IKAN'!Y25</f>
        <v>400</v>
      </c>
      <c r="AM17" s="322">
        <f>'P NP KOLAM IKAN'!Z25</f>
        <v>10000</v>
      </c>
      <c r="AN17" s="322">
        <f>'P NP KOLAM IKAN'!Y26</f>
        <v>465000</v>
      </c>
      <c r="AO17" s="322">
        <f>'P NP KOLAM IKAN'!Z26</f>
        <v>12332000</v>
      </c>
      <c r="AP17" s="322">
        <f>'P NP KOLAM IKAN'!Y27</f>
        <v>374000</v>
      </c>
      <c r="AQ17" s="322">
        <f>'P NP KOLAM IKAN'!Z27</f>
        <v>6857000</v>
      </c>
      <c r="AR17" s="322">
        <f>'P NP KOLAM IKAN'!Y28</f>
        <v>0</v>
      </c>
      <c r="AS17" s="322">
        <f>'P NP KOLAM IKAN'!Z28</f>
        <v>0</v>
      </c>
      <c r="AT17" s="322">
        <f>'P NP KOLAM IKAN'!Y29</f>
        <v>2450</v>
      </c>
      <c r="AU17" s="322">
        <f>'P NP KOLAM IKAN'!Z29</f>
        <v>32875</v>
      </c>
      <c r="AV17" s="322">
        <f>'P NP KOLAM IKAN'!Y30</f>
        <v>0</v>
      </c>
      <c r="AW17" s="322">
        <f>'P NP KOLAM IKAN'!Z30</f>
        <v>0</v>
      </c>
      <c r="AX17" s="322">
        <f>'P NP KOLAM IKAN'!Y31</f>
        <v>0</v>
      </c>
      <c r="AY17" s="322">
        <f>'P NP KOLAM IKAN'!Z31</f>
        <v>0</v>
      </c>
      <c r="AZ17" s="322">
        <f>'P NP KOLAM IKAN'!Y32</f>
        <v>0</v>
      </c>
      <c r="BA17" s="322">
        <f>'P NP KOLAM IKAN'!Z32</f>
        <v>0</v>
      </c>
      <c r="BB17" s="322">
        <f>'P NP KOLAM IKAN'!Y33</f>
        <v>0</v>
      </c>
      <c r="BC17" s="322">
        <f>'P NP KOLAM IKAN'!Z33</f>
        <v>0</v>
      </c>
      <c r="BD17" s="322">
        <f>'P NP KOLAM IKAN'!Y34</f>
        <v>0</v>
      </c>
      <c r="BE17" s="322">
        <f>'P NP KOLAM IKAN'!Z34</f>
        <v>0</v>
      </c>
      <c r="BF17" s="322">
        <f>'P NP KOLAM IKAN'!Y43</f>
        <v>0</v>
      </c>
      <c r="BG17" s="322">
        <f>'P NP KOLAM IKAN'!Z43</f>
        <v>0</v>
      </c>
      <c r="BH17" s="322">
        <f>'P NP KOLAM IKAN'!Y44</f>
        <v>0</v>
      </c>
      <c r="BI17" s="322">
        <f>'P NP KOLAM IKAN'!Z44</f>
        <v>0</v>
      </c>
      <c r="BJ17" s="322">
        <f>'P NP KOLAM IKAN'!Y45</f>
        <v>0</v>
      </c>
      <c r="BK17" s="322">
        <f>'P NP KOLAM IKAN'!Z45</f>
        <v>0</v>
      </c>
      <c r="BL17" s="322">
        <f>'P NP KOLAM IKAN'!Y46</f>
        <v>0</v>
      </c>
      <c r="BM17" s="322">
        <f>'P NP KOLAM IKAN'!Z46</f>
        <v>0</v>
      </c>
      <c r="BN17" s="322">
        <f>'P NP KOLAM IKAN'!Y47</f>
        <v>0</v>
      </c>
      <c r="BO17" s="322">
        <f>'P NP KOLAM IKAN'!Z47</f>
        <v>0</v>
      </c>
      <c r="BP17" s="322">
        <f>'P NP KOLAM IKAN'!Y48</f>
        <v>0</v>
      </c>
      <c r="BQ17" s="322">
        <f>'P NP KOLAM IKAN'!Z48</f>
        <v>0</v>
      </c>
      <c r="BR17" s="322">
        <f>'P NP KOLAM IKAN'!Y49</f>
        <v>0</v>
      </c>
      <c r="BS17" s="322">
        <f>'P NP KOLAM IKAN'!Z49</f>
        <v>0</v>
      </c>
      <c r="BT17" s="322">
        <f>'P NP KOLAM IKAN'!Y50</f>
        <v>0</v>
      </c>
      <c r="BU17" s="322">
        <f>'P NP KOLAM IKAN'!Z50</f>
        <v>0</v>
      </c>
      <c r="BV17" s="322">
        <f>'P NP KOLAM IKAN'!Y51</f>
        <v>0</v>
      </c>
      <c r="BW17" s="322">
        <f>'P NP KOLAM IKAN'!Z51</f>
        <v>0</v>
      </c>
      <c r="BX17" s="322">
        <f>'P NP KOLAM IKAN'!Y52</f>
        <v>0</v>
      </c>
      <c r="BY17" s="322">
        <f>'P NP KOLAM IKAN'!Z52</f>
        <v>0</v>
      </c>
    </row>
    <row r="18" spans="1:77">
      <c r="A18" s="260" t="s">
        <v>131</v>
      </c>
      <c r="B18" s="320">
        <f t="shared" si="2"/>
        <v>1858550</v>
      </c>
      <c r="C18" s="320">
        <f t="shared" si="3"/>
        <v>36091175</v>
      </c>
      <c r="D18" s="322">
        <f>'P NP KOLAM IKAN'!AA8</f>
        <v>0</v>
      </c>
      <c r="E18" s="322">
        <f>'P NP KOLAM IKAN'!AB8</f>
        <v>0</v>
      </c>
      <c r="F18" s="322">
        <f>'P NP KOLAM IKAN'!AA9</f>
        <v>0</v>
      </c>
      <c r="G18" s="322">
        <f>'P NP KOLAM IKAN'!AB9</f>
        <v>0</v>
      </c>
      <c r="H18" s="322">
        <f>'P NP KOLAM IKAN'!AA10</f>
        <v>0</v>
      </c>
      <c r="I18" s="322">
        <f>'P NP KOLAM IKAN'!AB10</f>
        <v>0</v>
      </c>
      <c r="J18" s="322">
        <f>'P NP KOLAM IKAN'!AA11</f>
        <v>0</v>
      </c>
      <c r="K18" s="322">
        <f>'P NP KOLAM IKAN'!AB11</f>
        <v>0</v>
      </c>
      <c r="L18" s="322">
        <f>'P NP KOLAM IKAN'!AA12</f>
        <v>0</v>
      </c>
      <c r="M18" s="322">
        <f>'P NP KOLAM IKAN'!AB12</f>
        <v>0</v>
      </c>
      <c r="N18" s="322">
        <f>'P NP KOLAM IKAN'!AA13</f>
        <v>0</v>
      </c>
      <c r="O18" s="322">
        <f>'P NP KOLAM IKAN'!AB13</f>
        <v>0</v>
      </c>
      <c r="P18" s="322">
        <f>'P NP KOLAM IKAN'!AA14</f>
        <v>80150</v>
      </c>
      <c r="Q18" s="322">
        <f>'P NP KOLAM IKAN'!AB14</f>
        <v>2275100</v>
      </c>
      <c r="R18" s="322">
        <f>'P NP KOLAM IKAN'!AA15</f>
        <v>0</v>
      </c>
      <c r="S18" s="322">
        <f>'P NP KOLAM IKAN'!AB15</f>
        <v>0</v>
      </c>
      <c r="T18" s="322">
        <f>'P NP KOLAM IKAN'!AA16</f>
        <v>0</v>
      </c>
      <c r="U18" s="322">
        <f>'P NP KOLAM IKAN'!AB16</f>
        <v>0</v>
      </c>
      <c r="V18" s="322">
        <f>'P NP KOLAM IKAN'!AA17</f>
        <v>0</v>
      </c>
      <c r="W18" s="322">
        <f>'P NP KOLAM IKAN'!AB17</f>
        <v>0</v>
      </c>
      <c r="X18" s="322">
        <f>'P NP KOLAM IKAN'!AA18</f>
        <v>0</v>
      </c>
      <c r="Y18" s="322">
        <f>'P NP KOLAM IKAN'!AB18</f>
        <v>0</v>
      </c>
      <c r="Z18" s="322">
        <f>'P NP KOLAM IKAN'!AA19</f>
        <v>0</v>
      </c>
      <c r="AA18" s="322">
        <f>'P NP KOLAM IKAN'!AB19</f>
        <v>0</v>
      </c>
      <c r="AB18" s="322">
        <f>'P NP KOLAM IKAN'!AA20</f>
        <v>0</v>
      </c>
      <c r="AC18" s="322">
        <f>'P NP KOLAM IKAN'!AB20</f>
        <v>0</v>
      </c>
      <c r="AD18" s="322">
        <f>'P NP KOLAM IKAN'!AA21</f>
        <v>1613000</v>
      </c>
      <c r="AE18" s="322">
        <f>'P NP KOLAM IKAN'!AB21</f>
        <v>29515800</v>
      </c>
      <c r="AF18" s="322">
        <f>'P NP KOLAM IKAN'!AA22</f>
        <v>0</v>
      </c>
      <c r="AG18" s="322">
        <f>'P NP KOLAM IKAN'!AB22</f>
        <v>0</v>
      </c>
      <c r="AH18" s="322">
        <f>'P NP KOLAM IKAN'!AA23</f>
        <v>0</v>
      </c>
      <c r="AI18" s="322">
        <f>'P NP KOLAM IKAN'!AB23</f>
        <v>0</v>
      </c>
      <c r="AJ18" s="322">
        <f>'P NP KOLAM IKAN'!AA24</f>
        <v>22850</v>
      </c>
      <c r="AK18" s="322">
        <f>'P NP KOLAM IKAN'!AB24</f>
        <v>631000</v>
      </c>
      <c r="AL18" s="322">
        <f>'P NP KOLAM IKAN'!AA25</f>
        <v>0</v>
      </c>
      <c r="AM18" s="322">
        <f>'P NP KOLAM IKAN'!AB25</f>
        <v>0</v>
      </c>
      <c r="AN18" s="322">
        <f>'P NP KOLAM IKAN'!AA26</f>
        <v>115700</v>
      </c>
      <c r="AO18" s="322">
        <f>'P NP KOLAM IKAN'!AB26</f>
        <v>3215400</v>
      </c>
      <c r="AP18" s="322">
        <f>'P NP KOLAM IKAN'!AA27</f>
        <v>26850</v>
      </c>
      <c r="AQ18" s="322">
        <f>'P NP KOLAM IKAN'!AB27</f>
        <v>453875</v>
      </c>
      <c r="AR18" s="322">
        <f>'P NP KOLAM IKAN'!AA28</f>
        <v>0</v>
      </c>
      <c r="AS18" s="322">
        <f>'P NP KOLAM IKAN'!AB28</f>
        <v>0</v>
      </c>
      <c r="AT18" s="322">
        <f>'P NP KOLAM IKAN'!AA29</f>
        <v>0</v>
      </c>
      <c r="AU18" s="322">
        <f>'P NP KOLAM IKAN'!AB29</f>
        <v>0</v>
      </c>
      <c r="AV18" s="322">
        <f>'P NP KOLAM IKAN'!AA30</f>
        <v>0</v>
      </c>
      <c r="AW18" s="322">
        <f>'P NP KOLAM IKAN'!AB30</f>
        <v>0</v>
      </c>
      <c r="AX18" s="322">
        <f>'P NP KOLAM IKAN'!AA31</f>
        <v>0</v>
      </c>
      <c r="AY18" s="322">
        <f>'P NP KOLAM IKAN'!AB31</f>
        <v>0</v>
      </c>
      <c r="AZ18" s="322">
        <f>'P NP KOLAM IKAN'!AA32</f>
        <v>0</v>
      </c>
      <c r="BA18" s="322">
        <f>'P NP KOLAM IKAN'!AB32</f>
        <v>0</v>
      </c>
      <c r="BB18" s="322">
        <f>'P NP KOLAM IKAN'!AA33</f>
        <v>0</v>
      </c>
      <c r="BC18" s="322">
        <f>'P NP KOLAM IKAN'!AB33</f>
        <v>0</v>
      </c>
      <c r="BD18" s="322">
        <f>'P NP KOLAM IKAN'!AA34</f>
        <v>0</v>
      </c>
      <c r="BE18" s="322">
        <f>'P NP KOLAM IKAN'!AB34</f>
        <v>0</v>
      </c>
      <c r="BF18" s="322">
        <f>'P NP KOLAM IKAN'!AA43</f>
        <v>0</v>
      </c>
      <c r="BG18" s="322">
        <f>'P NP KOLAM IKAN'!AB43</f>
        <v>0</v>
      </c>
      <c r="BH18" s="322">
        <f>'P NP KOLAM IKAN'!AA44</f>
        <v>0</v>
      </c>
      <c r="BI18" s="322">
        <f>'P NP KOLAM IKAN'!AB44</f>
        <v>0</v>
      </c>
      <c r="BJ18" s="322">
        <f>'P NP KOLAM IKAN'!AA45</f>
        <v>0</v>
      </c>
      <c r="BK18" s="322">
        <f>'P NP KOLAM IKAN'!AB45</f>
        <v>0</v>
      </c>
      <c r="BL18" s="322">
        <f>'P NP KOLAM IKAN'!AA46</f>
        <v>0</v>
      </c>
      <c r="BM18" s="322">
        <f>'P NP KOLAM IKAN'!AB46</f>
        <v>0</v>
      </c>
      <c r="BN18" s="322">
        <f>'P NP KOLAM IKAN'!AA47</f>
        <v>0</v>
      </c>
      <c r="BO18" s="322">
        <f>'P NP KOLAM IKAN'!AB47</f>
        <v>0</v>
      </c>
      <c r="BP18" s="322">
        <f>'P NP KOLAM IKAN'!AA48</f>
        <v>0</v>
      </c>
      <c r="BQ18" s="322">
        <f>'P NP KOLAM IKAN'!AB48</f>
        <v>0</v>
      </c>
      <c r="BR18" s="322">
        <f>'P NP KOLAM IKAN'!AA49</f>
        <v>0</v>
      </c>
      <c r="BS18" s="322">
        <f>'P NP KOLAM IKAN'!AB49</f>
        <v>0</v>
      </c>
      <c r="BT18" s="322">
        <f>'P NP KOLAM IKAN'!AA50</f>
        <v>0</v>
      </c>
      <c r="BU18" s="322">
        <f>'P NP KOLAM IKAN'!AB50</f>
        <v>0</v>
      </c>
      <c r="BV18" s="322">
        <f>'P NP KOLAM IKAN'!AA51</f>
        <v>0</v>
      </c>
      <c r="BW18" s="322">
        <f>'P NP KOLAM IKAN'!AB51</f>
        <v>0</v>
      </c>
      <c r="BX18" s="322">
        <f>'P NP KOLAM IKAN'!AA52</f>
        <v>0</v>
      </c>
      <c r="BY18" s="322">
        <f>'P NP KOLAM IKAN'!AB52</f>
        <v>0</v>
      </c>
    </row>
    <row r="19" spans="1:77">
      <c r="A19" s="260" t="s">
        <v>118</v>
      </c>
      <c r="B19" s="320">
        <f t="shared" si="2"/>
        <v>7364300</v>
      </c>
      <c r="C19" s="320">
        <f t="shared" si="3"/>
        <v>134808000</v>
      </c>
      <c r="D19" s="322">
        <f>'P NP KOLAM IKAN'!AC8</f>
        <v>0</v>
      </c>
      <c r="E19" s="322">
        <f>'P NP KOLAM IKAN'!AD8</f>
        <v>0</v>
      </c>
      <c r="F19" s="322">
        <f>'P NP KOLAM IKAN'!AC9</f>
        <v>0</v>
      </c>
      <c r="G19" s="322">
        <f>'P NP KOLAM IKAN'!AD9</f>
        <v>0</v>
      </c>
      <c r="H19" s="322">
        <f>'P NP KOLAM IKAN'!AC10</f>
        <v>0</v>
      </c>
      <c r="I19" s="322">
        <f>'P NP KOLAM IKAN'!AD10</f>
        <v>0</v>
      </c>
      <c r="J19" s="322">
        <f>'P NP KOLAM IKAN'!AC11</f>
        <v>0</v>
      </c>
      <c r="K19" s="322">
        <f>'P NP KOLAM IKAN'!AD11</f>
        <v>0</v>
      </c>
      <c r="L19" s="322">
        <f>'P NP KOLAM IKAN'!AC12</f>
        <v>0</v>
      </c>
      <c r="M19" s="322">
        <f>'P NP KOLAM IKAN'!AD12</f>
        <v>0</v>
      </c>
      <c r="N19" s="322">
        <f>'P NP KOLAM IKAN'!AC13</f>
        <v>0</v>
      </c>
      <c r="O19" s="322">
        <f>'P NP KOLAM IKAN'!AD13</f>
        <v>0</v>
      </c>
      <c r="P19" s="322">
        <f>'P NP KOLAM IKAN'!AC14</f>
        <v>73000</v>
      </c>
      <c r="Q19" s="322">
        <f>'P NP KOLAM IKAN'!AD14</f>
        <v>2250000</v>
      </c>
      <c r="R19" s="322">
        <f>'P NP KOLAM IKAN'!AC15</f>
        <v>0</v>
      </c>
      <c r="S19" s="322">
        <f>'P NP KOLAM IKAN'!AD15</f>
        <v>0</v>
      </c>
      <c r="T19" s="322">
        <f>'P NP KOLAM IKAN'!AC16</f>
        <v>0</v>
      </c>
      <c r="U19" s="322">
        <f>'P NP KOLAM IKAN'!AD16</f>
        <v>0</v>
      </c>
      <c r="V19" s="322">
        <f>'P NP KOLAM IKAN'!AC17</f>
        <v>0</v>
      </c>
      <c r="W19" s="322">
        <f>'P NP KOLAM IKAN'!AD17</f>
        <v>0</v>
      </c>
      <c r="X19" s="322">
        <f>'P NP KOLAM IKAN'!AC18</f>
        <v>0</v>
      </c>
      <c r="Y19" s="322">
        <f>'P NP KOLAM IKAN'!AD18</f>
        <v>0</v>
      </c>
      <c r="Z19" s="322">
        <f>'P NP KOLAM IKAN'!AC19</f>
        <v>0</v>
      </c>
      <c r="AA19" s="322">
        <f>'P NP KOLAM IKAN'!AD19</f>
        <v>0</v>
      </c>
      <c r="AB19" s="322">
        <f>'P NP KOLAM IKAN'!AC20</f>
        <v>0</v>
      </c>
      <c r="AC19" s="322">
        <f>'P NP KOLAM IKAN'!AD20</f>
        <v>0</v>
      </c>
      <c r="AD19" s="322">
        <f>'P NP KOLAM IKAN'!AC21</f>
        <v>6520000</v>
      </c>
      <c r="AE19" s="322">
        <f>'P NP KOLAM IKAN'!AD21</f>
        <v>115260000</v>
      </c>
      <c r="AF19" s="322">
        <f>'P NP KOLAM IKAN'!AC22</f>
        <v>0</v>
      </c>
      <c r="AG19" s="322">
        <f>'P NP KOLAM IKAN'!AD22</f>
        <v>0</v>
      </c>
      <c r="AH19" s="322">
        <f>'P NP KOLAM IKAN'!AC23</f>
        <v>0</v>
      </c>
      <c r="AI19" s="322">
        <f>'P NP KOLAM IKAN'!AD23</f>
        <v>0</v>
      </c>
      <c r="AJ19" s="322">
        <f>'P NP KOLAM IKAN'!AC24</f>
        <v>16300</v>
      </c>
      <c r="AK19" s="322">
        <f>'P NP KOLAM IKAN'!AD24</f>
        <v>440000</v>
      </c>
      <c r="AL19" s="322">
        <f>'P NP KOLAM IKAN'!AC25</f>
        <v>0</v>
      </c>
      <c r="AM19" s="322">
        <f>'P NP KOLAM IKAN'!AD25</f>
        <v>0</v>
      </c>
      <c r="AN19" s="322">
        <f>'P NP KOLAM IKAN'!AC26</f>
        <v>755000</v>
      </c>
      <c r="AO19" s="322">
        <f>'P NP KOLAM IKAN'!AD26</f>
        <v>16858000</v>
      </c>
      <c r="AP19" s="322">
        <f>'P NP KOLAM IKAN'!AC27</f>
        <v>0</v>
      </c>
      <c r="AQ19" s="322">
        <f>'P NP KOLAM IKAN'!AD27</f>
        <v>0</v>
      </c>
      <c r="AR19" s="322">
        <f>'P NP KOLAM IKAN'!AC28</f>
        <v>0</v>
      </c>
      <c r="AS19" s="322">
        <f>'P NP KOLAM IKAN'!AD28</f>
        <v>0</v>
      </c>
      <c r="AT19" s="322">
        <f>'P NP KOLAM IKAN'!AC29</f>
        <v>0</v>
      </c>
      <c r="AU19" s="322">
        <f>'P NP KOLAM IKAN'!AD29</f>
        <v>0</v>
      </c>
      <c r="AV19" s="322">
        <f>'P NP KOLAM IKAN'!AC30</f>
        <v>0</v>
      </c>
      <c r="AW19" s="322">
        <f>'P NP KOLAM IKAN'!AD30</f>
        <v>0</v>
      </c>
      <c r="AX19" s="322">
        <f>'P NP KOLAM IKAN'!AC31</f>
        <v>0</v>
      </c>
      <c r="AY19" s="322">
        <f>'P NP KOLAM IKAN'!AD31</f>
        <v>0</v>
      </c>
      <c r="AZ19" s="322">
        <f>'P NP KOLAM IKAN'!AC32</f>
        <v>0</v>
      </c>
      <c r="BA19" s="322">
        <f>'P NP KOLAM IKAN'!AD32</f>
        <v>0</v>
      </c>
      <c r="BB19" s="322">
        <f>'P NP KOLAM IKAN'!AC33</f>
        <v>0</v>
      </c>
      <c r="BC19" s="322">
        <f>'P NP KOLAM IKAN'!AD33</f>
        <v>0</v>
      </c>
      <c r="BD19" s="322">
        <f>'P NP KOLAM IKAN'!AC34</f>
        <v>0</v>
      </c>
      <c r="BE19" s="322">
        <f>'P NP KOLAM IKAN'!AD34</f>
        <v>0</v>
      </c>
      <c r="BF19" s="322">
        <f>'P NP KOLAM IKAN'!AC43</f>
        <v>0</v>
      </c>
      <c r="BG19" s="322">
        <f>'P NP KOLAM IKAN'!AD43</f>
        <v>0</v>
      </c>
      <c r="BH19" s="322">
        <f>'P NP KOLAM IKAN'!AC44</f>
        <v>0</v>
      </c>
      <c r="BI19" s="322">
        <f>'P NP KOLAM IKAN'!AD44</f>
        <v>0</v>
      </c>
      <c r="BJ19" s="322">
        <f>'P NP KOLAM IKAN'!AC45</f>
        <v>0</v>
      </c>
      <c r="BK19" s="322">
        <f>'P NP KOLAM IKAN'!AD45</f>
        <v>0</v>
      </c>
      <c r="BL19" s="322">
        <f>'P NP KOLAM IKAN'!AC46</f>
        <v>0</v>
      </c>
      <c r="BM19" s="322">
        <f>'P NP KOLAM IKAN'!AD46</f>
        <v>0</v>
      </c>
      <c r="BN19" s="322">
        <f>'P NP KOLAM IKAN'!AC47</f>
        <v>0</v>
      </c>
      <c r="BO19" s="322">
        <f>'P NP KOLAM IKAN'!AD47</f>
        <v>0</v>
      </c>
      <c r="BP19" s="322">
        <f>'P NP KOLAM IKAN'!AC48</f>
        <v>0</v>
      </c>
      <c r="BQ19" s="322">
        <f>'P NP KOLAM IKAN'!AD48</f>
        <v>0</v>
      </c>
      <c r="BR19" s="322">
        <f>'P NP KOLAM IKAN'!AC49</f>
        <v>0</v>
      </c>
      <c r="BS19" s="322">
        <f>'P NP KOLAM IKAN'!AD49</f>
        <v>0</v>
      </c>
      <c r="BT19" s="322">
        <f>'P NP KOLAM IKAN'!AC50</f>
        <v>0</v>
      </c>
      <c r="BU19" s="322">
        <f>'P NP KOLAM IKAN'!AD50</f>
        <v>0</v>
      </c>
      <c r="BV19" s="322">
        <f>'P NP KOLAM IKAN'!AC51</f>
        <v>0</v>
      </c>
      <c r="BW19" s="322">
        <f>'P NP KOLAM IKAN'!AD51</f>
        <v>0</v>
      </c>
      <c r="BX19" s="322">
        <f>'P NP KOLAM IKAN'!AC52</f>
        <v>0</v>
      </c>
      <c r="BY19" s="322">
        <f>'P NP KOLAM IKAN'!AD52</f>
        <v>0</v>
      </c>
    </row>
    <row r="20" spans="1:77">
      <c r="A20" s="260" t="s">
        <v>127</v>
      </c>
      <c r="B20" s="320">
        <f t="shared" si="2"/>
        <v>1813118</v>
      </c>
      <c r="C20" s="320">
        <f t="shared" si="3"/>
        <v>34905400</v>
      </c>
      <c r="D20" s="322">
        <f>'P NP KOLAM IKAN'!AE8</f>
        <v>0</v>
      </c>
      <c r="E20" s="322">
        <f>'P NP KOLAM IKAN'!AF8</f>
        <v>0</v>
      </c>
      <c r="F20" s="322">
        <f>'P NP KOLAM IKAN'!AE9</f>
        <v>0</v>
      </c>
      <c r="G20" s="322">
        <f>'P NP KOLAM IKAN'!AF9</f>
        <v>0</v>
      </c>
      <c r="H20" s="322">
        <f>'P NP KOLAM IKAN'!AE10</f>
        <v>0</v>
      </c>
      <c r="I20" s="322">
        <f>'P NP KOLAM IKAN'!AF10</f>
        <v>0</v>
      </c>
      <c r="J20" s="322">
        <f>'P NP KOLAM IKAN'!AE11</f>
        <v>0</v>
      </c>
      <c r="K20" s="322">
        <f>'P NP KOLAM IKAN'!AF11</f>
        <v>0</v>
      </c>
      <c r="L20" s="322">
        <f>'P NP KOLAM IKAN'!AE12</f>
        <v>0</v>
      </c>
      <c r="M20" s="322">
        <f>'P NP KOLAM IKAN'!AF12</f>
        <v>0</v>
      </c>
      <c r="N20" s="322">
        <f>'P NP KOLAM IKAN'!AE13</f>
        <v>0</v>
      </c>
      <c r="O20" s="322">
        <f>'P NP KOLAM IKAN'!AF13</f>
        <v>0</v>
      </c>
      <c r="P20" s="322">
        <f>'P NP KOLAM IKAN'!AE14</f>
        <v>91200</v>
      </c>
      <c r="Q20" s="322">
        <f>'P NP KOLAM IKAN'!AF14</f>
        <v>3128160</v>
      </c>
      <c r="R20" s="322">
        <f>'P NP KOLAM IKAN'!AE15</f>
        <v>0</v>
      </c>
      <c r="S20" s="322">
        <f>'P NP KOLAM IKAN'!AF15</f>
        <v>0</v>
      </c>
      <c r="T20" s="322">
        <f>'P NP KOLAM IKAN'!AE16</f>
        <v>0</v>
      </c>
      <c r="U20" s="322">
        <f>'P NP KOLAM IKAN'!AF16</f>
        <v>0</v>
      </c>
      <c r="V20" s="322">
        <f>'P NP KOLAM IKAN'!AE17</f>
        <v>0</v>
      </c>
      <c r="W20" s="322">
        <f>'P NP KOLAM IKAN'!AF17</f>
        <v>0</v>
      </c>
      <c r="X20" s="322">
        <f>'P NP KOLAM IKAN'!AE18</f>
        <v>0</v>
      </c>
      <c r="Y20" s="322">
        <f>'P NP KOLAM IKAN'!AF18</f>
        <v>0</v>
      </c>
      <c r="Z20" s="322">
        <f>'P NP KOLAM IKAN'!AE19</f>
        <v>0</v>
      </c>
      <c r="AA20" s="322">
        <f>'P NP KOLAM IKAN'!AF19</f>
        <v>0</v>
      </c>
      <c r="AB20" s="322">
        <f>'P NP KOLAM IKAN'!AE20</f>
        <v>0</v>
      </c>
      <c r="AC20" s="322">
        <f>'P NP KOLAM IKAN'!AF20</f>
        <v>0</v>
      </c>
      <c r="AD20" s="322">
        <f>'P NP KOLAM IKAN'!AE21</f>
        <v>1587945</v>
      </c>
      <c r="AE20" s="322">
        <f>'P NP KOLAM IKAN'!AF21</f>
        <v>28493630</v>
      </c>
      <c r="AF20" s="322">
        <f>'P NP KOLAM IKAN'!AE22</f>
        <v>0</v>
      </c>
      <c r="AG20" s="322">
        <f>'P NP KOLAM IKAN'!AF22</f>
        <v>0</v>
      </c>
      <c r="AH20" s="322">
        <f>'P NP KOLAM IKAN'!AE23</f>
        <v>0</v>
      </c>
      <c r="AI20" s="322">
        <f>'P NP KOLAM IKAN'!AF23</f>
        <v>0</v>
      </c>
      <c r="AJ20" s="322">
        <f>'P NP KOLAM IKAN'!AE24</f>
        <v>0</v>
      </c>
      <c r="AK20" s="322">
        <f>'P NP KOLAM IKAN'!AF24</f>
        <v>0</v>
      </c>
      <c r="AL20" s="322">
        <f>'P NP KOLAM IKAN'!AE25</f>
        <v>0</v>
      </c>
      <c r="AM20" s="322">
        <f>'P NP KOLAM IKAN'!AF25</f>
        <v>0</v>
      </c>
      <c r="AN20" s="322">
        <f>'P NP KOLAM IKAN'!AE26</f>
        <v>110423</v>
      </c>
      <c r="AO20" s="322">
        <f>'P NP KOLAM IKAN'!AF26</f>
        <v>2848610</v>
      </c>
      <c r="AP20" s="322">
        <f>'P NP KOLAM IKAN'!AE27</f>
        <v>23550</v>
      </c>
      <c r="AQ20" s="322">
        <f>'P NP KOLAM IKAN'!AF27</f>
        <v>435000</v>
      </c>
      <c r="AR20" s="322">
        <f>'P NP KOLAM IKAN'!AE28</f>
        <v>0</v>
      </c>
      <c r="AS20" s="322">
        <f>'P NP KOLAM IKAN'!AF28</f>
        <v>0</v>
      </c>
      <c r="AT20" s="322">
        <f>'P NP KOLAM IKAN'!AE29</f>
        <v>0</v>
      </c>
      <c r="AU20" s="322">
        <f>'P NP KOLAM IKAN'!AF29</f>
        <v>0</v>
      </c>
      <c r="AV20" s="322">
        <f>'P NP KOLAM IKAN'!AE30</f>
        <v>0</v>
      </c>
      <c r="AW20" s="322">
        <f>'P NP KOLAM IKAN'!AF30</f>
        <v>0</v>
      </c>
      <c r="AX20" s="322">
        <f>'P NP KOLAM IKAN'!AE31</f>
        <v>0</v>
      </c>
      <c r="AY20" s="322">
        <f>'P NP KOLAM IKAN'!AF31</f>
        <v>0</v>
      </c>
      <c r="AZ20" s="322">
        <f>'P NP KOLAM IKAN'!AE32</f>
        <v>0</v>
      </c>
      <c r="BA20" s="322">
        <f>'P NP KOLAM IKAN'!AF32</f>
        <v>0</v>
      </c>
      <c r="BB20" s="322">
        <f>'P NP KOLAM IKAN'!AE33</f>
        <v>0</v>
      </c>
      <c r="BC20" s="322">
        <f>'P NP KOLAM IKAN'!AF33</f>
        <v>0</v>
      </c>
      <c r="BD20" s="322">
        <f>'P NP KOLAM IKAN'!AE34</f>
        <v>0</v>
      </c>
      <c r="BE20" s="322">
        <f>'P NP KOLAM IKAN'!AF34</f>
        <v>0</v>
      </c>
      <c r="BF20" s="322">
        <f>'P NP KOLAM IKAN'!AE43</f>
        <v>0</v>
      </c>
      <c r="BG20" s="322">
        <f>'P NP KOLAM IKAN'!AF43</f>
        <v>0</v>
      </c>
      <c r="BH20" s="322">
        <f>'P NP KOLAM IKAN'!AE44</f>
        <v>0</v>
      </c>
      <c r="BI20" s="322">
        <f>'P NP KOLAM IKAN'!AF44</f>
        <v>0</v>
      </c>
      <c r="BJ20" s="322">
        <f>'P NP KOLAM IKAN'!AE45</f>
        <v>0</v>
      </c>
      <c r="BK20" s="322">
        <f>'P NP KOLAM IKAN'!AF45</f>
        <v>0</v>
      </c>
      <c r="BL20" s="322">
        <f>'P NP KOLAM IKAN'!AE46</f>
        <v>0</v>
      </c>
      <c r="BM20" s="322">
        <f>'P NP KOLAM IKAN'!AF46</f>
        <v>0</v>
      </c>
      <c r="BN20" s="322">
        <f>'P NP KOLAM IKAN'!AE47</f>
        <v>0</v>
      </c>
      <c r="BO20" s="322">
        <f>'P NP KOLAM IKAN'!AF47</f>
        <v>0</v>
      </c>
      <c r="BP20" s="322">
        <f>'P NP KOLAM IKAN'!AE48</f>
        <v>0</v>
      </c>
      <c r="BQ20" s="322">
        <f>'P NP KOLAM IKAN'!AF48</f>
        <v>0</v>
      </c>
      <c r="BR20" s="322">
        <f>'P NP KOLAM IKAN'!AE49</f>
        <v>0</v>
      </c>
      <c r="BS20" s="322">
        <f>'P NP KOLAM IKAN'!AF49</f>
        <v>0</v>
      </c>
      <c r="BT20" s="322">
        <f>'P NP KOLAM IKAN'!AE50</f>
        <v>0</v>
      </c>
      <c r="BU20" s="322">
        <f>'P NP KOLAM IKAN'!AF50</f>
        <v>0</v>
      </c>
      <c r="BV20" s="322">
        <f>'P NP KOLAM IKAN'!AE51</f>
        <v>0</v>
      </c>
      <c r="BW20" s="322">
        <f>'P NP KOLAM IKAN'!AF51</f>
        <v>0</v>
      </c>
      <c r="BX20" s="322">
        <f>'P NP KOLAM IKAN'!AE52</f>
        <v>0</v>
      </c>
      <c r="BY20" s="322">
        <f>'P NP KOLAM IKAN'!AF52</f>
        <v>0</v>
      </c>
    </row>
    <row r="21" spans="1:77">
      <c r="A21" s="260" t="s">
        <v>129</v>
      </c>
      <c r="B21" s="320">
        <f t="shared" si="2"/>
        <v>11030000</v>
      </c>
      <c r="C21" s="320">
        <f t="shared" si="3"/>
        <v>217798004</v>
      </c>
      <c r="D21" s="322">
        <f>'P NP KOLAM IKAN'!AG8</f>
        <v>0</v>
      </c>
      <c r="E21" s="322">
        <f>'P NP KOLAM IKAN'!AH8</f>
        <v>0</v>
      </c>
      <c r="F21" s="322">
        <f>'P NP KOLAM IKAN'!AG9</f>
        <v>24450</v>
      </c>
      <c r="G21" s="322">
        <f>'P NP KOLAM IKAN'!AH9</f>
        <v>611250</v>
      </c>
      <c r="H21" s="322">
        <f>'P NP KOLAM IKAN'!AG10</f>
        <v>0</v>
      </c>
      <c r="I21" s="322">
        <f>'P NP KOLAM IKAN'!AH10</f>
        <v>0</v>
      </c>
      <c r="J21" s="322">
        <f>'P NP KOLAM IKAN'!AG11</f>
        <v>0</v>
      </c>
      <c r="K21" s="322">
        <f>'P NP KOLAM IKAN'!AH11</f>
        <v>0</v>
      </c>
      <c r="L21" s="322">
        <f>'P NP KOLAM IKAN'!AG12</f>
        <v>3200</v>
      </c>
      <c r="M21" s="322">
        <f>'P NP KOLAM IKAN'!AH12</f>
        <v>112000</v>
      </c>
      <c r="N21" s="322">
        <f>'P NP KOLAM IKAN'!AG13</f>
        <v>0</v>
      </c>
      <c r="O21" s="322">
        <f>'P NP KOLAM IKAN'!AH13</f>
        <v>0</v>
      </c>
      <c r="P21" s="322">
        <f>'P NP KOLAM IKAN'!AG14</f>
        <v>1110104</v>
      </c>
      <c r="Q21" s="322">
        <f>'P NP KOLAM IKAN'!AH14</f>
        <v>34358898</v>
      </c>
      <c r="R21" s="322">
        <f>'P NP KOLAM IKAN'!AG15</f>
        <v>0</v>
      </c>
      <c r="S21" s="322">
        <f>'P NP KOLAM IKAN'!AH15</f>
        <v>0</v>
      </c>
      <c r="T21" s="322">
        <f>'P NP KOLAM IKAN'!AG16</f>
        <v>0</v>
      </c>
      <c r="U21" s="322">
        <f>'P NP KOLAM IKAN'!AH16</f>
        <v>0</v>
      </c>
      <c r="V21" s="322">
        <f>'P NP KOLAM IKAN'!AG17</f>
        <v>0</v>
      </c>
      <c r="W21" s="322">
        <f>'P NP KOLAM IKAN'!AH17</f>
        <v>0</v>
      </c>
      <c r="X21" s="322">
        <f>'P NP KOLAM IKAN'!AG18</f>
        <v>0</v>
      </c>
      <c r="Y21" s="322">
        <f>'P NP KOLAM IKAN'!AH18</f>
        <v>0</v>
      </c>
      <c r="Z21" s="322">
        <f>'P NP KOLAM IKAN'!AG19</f>
        <v>0</v>
      </c>
      <c r="AA21" s="322">
        <f>'P NP KOLAM IKAN'!AH19</f>
        <v>0</v>
      </c>
      <c r="AB21" s="322">
        <f>'P NP KOLAM IKAN'!AG20</f>
        <v>0</v>
      </c>
      <c r="AC21" s="322">
        <f>'P NP KOLAM IKAN'!AH20</f>
        <v>0</v>
      </c>
      <c r="AD21" s="322">
        <f>'P NP KOLAM IKAN'!AG21</f>
        <v>9694106</v>
      </c>
      <c r="AE21" s="322">
        <f>'P NP KOLAM IKAN'!AH21</f>
        <v>178015581</v>
      </c>
      <c r="AF21" s="322">
        <f>'P NP KOLAM IKAN'!AG22</f>
        <v>0</v>
      </c>
      <c r="AG21" s="322">
        <f>'P NP KOLAM IKAN'!AH22</f>
        <v>0</v>
      </c>
      <c r="AH21" s="322">
        <f>'P NP KOLAM IKAN'!AG23</f>
        <v>2650</v>
      </c>
      <c r="AI21" s="322">
        <f>'P NP KOLAM IKAN'!AH23</f>
        <v>284500</v>
      </c>
      <c r="AJ21" s="322">
        <f>'P NP KOLAM IKAN'!AG24</f>
        <v>2600</v>
      </c>
      <c r="AK21" s="322">
        <f>'P NP KOLAM IKAN'!AH24</f>
        <v>92050</v>
      </c>
      <c r="AL21" s="322">
        <f>'P NP KOLAM IKAN'!AG25</f>
        <v>0</v>
      </c>
      <c r="AM21" s="322">
        <f>'P NP KOLAM IKAN'!AH25</f>
        <v>0</v>
      </c>
      <c r="AN21" s="322">
        <f>'P NP KOLAM IKAN'!AG26</f>
        <v>107350</v>
      </c>
      <c r="AO21" s="322">
        <f>'P NP KOLAM IKAN'!AH26</f>
        <v>2818350</v>
      </c>
      <c r="AP21" s="322">
        <f>'P NP KOLAM IKAN'!AG27</f>
        <v>85540</v>
      </c>
      <c r="AQ21" s="322">
        <f>'P NP KOLAM IKAN'!AH27</f>
        <v>1505375</v>
      </c>
      <c r="AR21" s="322">
        <f>'P NP KOLAM IKAN'!AG28</f>
        <v>0</v>
      </c>
      <c r="AS21" s="322">
        <f>'P NP KOLAM IKAN'!AH28</f>
        <v>0</v>
      </c>
      <c r="AT21" s="322">
        <f>'P NP KOLAM IKAN'!AG29</f>
        <v>0</v>
      </c>
      <c r="AU21" s="322">
        <f>'P NP KOLAM IKAN'!AH29</f>
        <v>0</v>
      </c>
      <c r="AV21" s="322">
        <f>'P NP KOLAM IKAN'!AG30</f>
        <v>0</v>
      </c>
      <c r="AW21" s="322">
        <f>'P NP KOLAM IKAN'!AH30</f>
        <v>0</v>
      </c>
      <c r="AX21" s="322">
        <f>'P NP KOLAM IKAN'!AG31</f>
        <v>0</v>
      </c>
      <c r="AY21" s="322">
        <f>'P NP KOLAM IKAN'!AH31</f>
        <v>0</v>
      </c>
      <c r="AZ21" s="322">
        <f>'P NP KOLAM IKAN'!AG32</f>
        <v>0</v>
      </c>
      <c r="BA21" s="322">
        <f>'P NP KOLAM IKAN'!AH32</f>
        <v>0</v>
      </c>
      <c r="BB21" s="322">
        <f>'P NP KOLAM IKAN'!AG33</f>
        <v>0</v>
      </c>
      <c r="BC21" s="322">
        <f>'P NP KOLAM IKAN'!AH33</f>
        <v>0</v>
      </c>
      <c r="BD21" s="322">
        <f>'P NP KOLAM IKAN'!AG34</f>
        <v>0</v>
      </c>
      <c r="BE21" s="322">
        <f>'P NP KOLAM IKAN'!AH34</f>
        <v>0</v>
      </c>
      <c r="BF21" s="322">
        <f>'P NP KOLAM IKAN'!AG43</f>
        <v>0</v>
      </c>
      <c r="BG21" s="322">
        <f>'P NP KOLAM IKAN'!AH43</f>
        <v>0</v>
      </c>
      <c r="BH21" s="322">
        <f>'P NP KOLAM IKAN'!AG44</f>
        <v>0</v>
      </c>
      <c r="BI21" s="322">
        <f>'P NP KOLAM IKAN'!AH44</f>
        <v>0</v>
      </c>
      <c r="BJ21" s="322">
        <f>'P NP KOLAM IKAN'!AG45</f>
        <v>0</v>
      </c>
      <c r="BK21" s="322">
        <f>'P NP KOLAM IKAN'!AH45</f>
        <v>0</v>
      </c>
      <c r="BL21" s="322">
        <f>'P NP KOLAM IKAN'!AG46</f>
        <v>0</v>
      </c>
      <c r="BM21" s="322">
        <f>'P NP KOLAM IKAN'!AH46</f>
        <v>0</v>
      </c>
      <c r="BN21" s="322">
        <f>'P NP KOLAM IKAN'!AG47</f>
        <v>0</v>
      </c>
      <c r="BO21" s="322">
        <f>'P NP KOLAM IKAN'!AH47</f>
        <v>0</v>
      </c>
      <c r="BP21" s="322">
        <f>'P NP KOLAM IKAN'!AG48</f>
        <v>0</v>
      </c>
      <c r="BQ21" s="322">
        <f>'P NP KOLAM IKAN'!AH48</f>
        <v>0</v>
      </c>
      <c r="BR21" s="322">
        <f>'P NP KOLAM IKAN'!AG49</f>
        <v>0</v>
      </c>
      <c r="BS21" s="322">
        <f>'P NP KOLAM IKAN'!AH49</f>
        <v>0</v>
      </c>
      <c r="BT21" s="322">
        <f>'P NP KOLAM IKAN'!AG50</f>
        <v>0</v>
      </c>
      <c r="BU21" s="322">
        <f>'P NP KOLAM IKAN'!AH50</f>
        <v>0</v>
      </c>
      <c r="BV21" s="322">
        <f>'P NP KOLAM IKAN'!AG51</f>
        <v>0</v>
      </c>
      <c r="BW21" s="322">
        <f>'P NP KOLAM IKAN'!AH51</f>
        <v>0</v>
      </c>
      <c r="BX21" s="322">
        <f>'P NP KOLAM IKAN'!AG52</f>
        <v>0</v>
      </c>
      <c r="BY21" s="322">
        <f>'P NP KOLAM IKAN'!AH52</f>
        <v>0</v>
      </c>
    </row>
    <row r="22" spans="1:77">
      <c r="A22" s="260" t="s">
        <v>132</v>
      </c>
      <c r="B22" s="320">
        <f t="shared" si="2"/>
        <v>4406525</v>
      </c>
      <c r="C22" s="320">
        <f t="shared" si="3"/>
        <v>83744202</v>
      </c>
      <c r="D22" s="322">
        <f>'P NP KOLAM IKAN'!AI8</f>
        <v>0</v>
      </c>
      <c r="E22" s="322">
        <f>'P NP KOLAM IKAN'!AJ8</f>
        <v>0</v>
      </c>
      <c r="F22" s="322">
        <f>'P NP KOLAM IKAN'!AI9</f>
        <v>0</v>
      </c>
      <c r="G22" s="322">
        <f>'P NP KOLAM IKAN'!AJ9</f>
        <v>0</v>
      </c>
      <c r="H22" s="322">
        <f>'P NP KOLAM IKAN'!AI10</f>
        <v>0</v>
      </c>
      <c r="I22" s="322">
        <f>'P NP KOLAM IKAN'!AJ10</f>
        <v>0</v>
      </c>
      <c r="J22" s="322">
        <f>'P NP KOLAM IKAN'!AI11</f>
        <v>0</v>
      </c>
      <c r="K22" s="322">
        <f>'P NP KOLAM IKAN'!AJ11</f>
        <v>0</v>
      </c>
      <c r="L22" s="322">
        <f>'P NP KOLAM IKAN'!AI12</f>
        <v>0</v>
      </c>
      <c r="M22" s="322">
        <f>'P NP KOLAM IKAN'!AJ12</f>
        <v>0</v>
      </c>
      <c r="N22" s="322">
        <f>'P NP KOLAM IKAN'!AI13</f>
        <v>0</v>
      </c>
      <c r="O22" s="322">
        <f>'P NP KOLAM IKAN'!AJ13</f>
        <v>0</v>
      </c>
      <c r="P22" s="322">
        <f>'P NP KOLAM IKAN'!AI14</f>
        <v>183130</v>
      </c>
      <c r="Q22" s="322">
        <f>'P NP KOLAM IKAN'!AJ14</f>
        <v>5493900</v>
      </c>
      <c r="R22" s="322">
        <f>'P NP KOLAM IKAN'!AI15</f>
        <v>0</v>
      </c>
      <c r="S22" s="322">
        <f>'P NP KOLAM IKAN'!AJ15</f>
        <v>0</v>
      </c>
      <c r="T22" s="322">
        <f>'P NP KOLAM IKAN'!AI16</f>
        <v>0</v>
      </c>
      <c r="U22" s="322">
        <f>'P NP KOLAM IKAN'!AJ16</f>
        <v>0</v>
      </c>
      <c r="V22" s="322">
        <f>'P NP KOLAM IKAN'!AI17</f>
        <v>0</v>
      </c>
      <c r="W22" s="322">
        <f>'P NP KOLAM IKAN'!AJ17</f>
        <v>0</v>
      </c>
      <c r="X22" s="322">
        <f>'P NP KOLAM IKAN'!AI18</f>
        <v>0</v>
      </c>
      <c r="Y22" s="322">
        <f>'P NP KOLAM IKAN'!AJ18</f>
        <v>0</v>
      </c>
      <c r="Z22" s="322">
        <f>'P NP KOLAM IKAN'!AI19</f>
        <v>0</v>
      </c>
      <c r="AA22" s="322">
        <f>'P NP KOLAM IKAN'!AJ19</f>
        <v>0</v>
      </c>
      <c r="AB22" s="322">
        <f>'P NP KOLAM IKAN'!AI20</f>
        <v>0</v>
      </c>
      <c r="AC22" s="322">
        <f>'P NP KOLAM IKAN'!AJ20</f>
        <v>0</v>
      </c>
      <c r="AD22" s="322">
        <f>'P NP KOLAM IKAN'!AI21</f>
        <v>3959902</v>
      </c>
      <c r="AE22" s="322">
        <f>'P NP KOLAM IKAN'!AJ21</f>
        <v>73258187</v>
      </c>
      <c r="AF22" s="322">
        <f>'P NP KOLAM IKAN'!AI22</f>
        <v>0</v>
      </c>
      <c r="AG22" s="322">
        <f>'P NP KOLAM IKAN'!AJ22</f>
        <v>0</v>
      </c>
      <c r="AH22" s="322">
        <f>'P NP KOLAM IKAN'!AI23</f>
        <v>0</v>
      </c>
      <c r="AI22" s="322">
        <f>'P NP KOLAM IKAN'!AJ23</f>
        <v>0</v>
      </c>
      <c r="AJ22" s="322">
        <f>'P NP KOLAM IKAN'!AI24</f>
        <v>949</v>
      </c>
      <c r="AK22" s="322">
        <f>'P NP KOLAM IKAN'!AJ24</f>
        <v>21910</v>
      </c>
      <c r="AL22" s="322">
        <f>'P NP KOLAM IKAN'!AI25</f>
        <v>0</v>
      </c>
      <c r="AM22" s="322">
        <f>'P NP KOLAM IKAN'!AJ25</f>
        <v>0</v>
      </c>
      <c r="AN22" s="322">
        <f>'P NP KOLAM IKAN'!AI26</f>
        <v>83690</v>
      </c>
      <c r="AO22" s="322">
        <f>'P NP KOLAM IKAN'!AJ26</f>
        <v>1841180</v>
      </c>
      <c r="AP22" s="322">
        <f>'P NP KOLAM IKAN'!AI27</f>
        <v>178854</v>
      </c>
      <c r="AQ22" s="322">
        <f>'P NP KOLAM IKAN'!AJ27</f>
        <v>3129025</v>
      </c>
      <c r="AR22" s="322">
        <f>'P NP KOLAM IKAN'!AI28</f>
        <v>0</v>
      </c>
      <c r="AS22" s="322">
        <f>'P NP KOLAM IKAN'!AJ28</f>
        <v>0</v>
      </c>
      <c r="AT22" s="322">
        <f>'P NP KOLAM IKAN'!AI29</f>
        <v>0</v>
      </c>
      <c r="AU22" s="322">
        <f>'P NP KOLAM IKAN'!AJ29</f>
        <v>0</v>
      </c>
      <c r="AV22" s="322">
        <f>'P NP KOLAM IKAN'!AI30</f>
        <v>0</v>
      </c>
      <c r="AW22" s="322">
        <f>'P NP KOLAM IKAN'!AJ30</f>
        <v>0</v>
      </c>
      <c r="AX22" s="322">
        <f>'P NP KOLAM IKAN'!AI31</f>
        <v>0</v>
      </c>
      <c r="AY22" s="322">
        <f>'P NP KOLAM IKAN'!AJ31</f>
        <v>0</v>
      </c>
      <c r="AZ22" s="322">
        <f>'P NP KOLAM IKAN'!AI32</f>
        <v>0</v>
      </c>
      <c r="BA22" s="322">
        <f>'P NP KOLAM IKAN'!AJ32</f>
        <v>0</v>
      </c>
      <c r="BB22" s="322">
        <f>'P NP KOLAM IKAN'!AI33</f>
        <v>0</v>
      </c>
      <c r="BC22" s="322">
        <f>'P NP KOLAM IKAN'!AJ33</f>
        <v>0</v>
      </c>
      <c r="BD22" s="322">
        <f>'P NP KOLAM IKAN'!AI34</f>
        <v>0</v>
      </c>
      <c r="BE22" s="322">
        <f>'P NP KOLAM IKAN'!AJ34</f>
        <v>0</v>
      </c>
      <c r="BF22" s="322">
        <f>'P NP KOLAM IKAN'!AI43</f>
        <v>0</v>
      </c>
      <c r="BG22" s="322">
        <f>'P NP KOLAM IKAN'!AJ43</f>
        <v>0</v>
      </c>
      <c r="BH22" s="322">
        <f>'P NP KOLAM IKAN'!AI44</f>
        <v>0</v>
      </c>
      <c r="BI22" s="322">
        <f>'P NP KOLAM IKAN'!AJ44</f>
        <v>0</v>
      </c>
      <c r="BJ22" s="322">
        <f>'P NP KOLAM IKAN'!AI45</f>
        <v>0</v>
      </c>
      <c r="BK22" s="322">
        <f>'P NP KOLAM IKAN'!AJ45</f>
        <v>0</v>
      </c>
      <c r="BL22" s="322">
        <f>'P NP KOLAM IKAN'!AI46</f>
        <v>0</v>
      </c>
      <c r="BM22" s="322">
        <f>'P NP KOLAM IKAN'!AJ46</f>
        <v>0</v>
      </c>
      <c r="BN22" s="322">
        <f>'P NP KOLAM IKAN'!AI47</f>
        <v>0</v>
      </c>
      <c r="BO22" s="322">
        <f>'P NP KOLAM IKAN'!AJ47</f>
        <v>0</v>
      </c>
      <c r="BP22" s="322">
        <f>'P NP KOLAM IKAN'!AI48</f>
        <v>0</v>
      </c>
      <c r="BQ22" s="322">
        <f>'P NP KOLAM IKAN'!AJ48</f>
        <v>0</v>
      </c>
      <c r="BR22" s="322">
        <f>'P NP KOLAM IKAN'!AI49</f>
        <v>0</v>
      </c>
      <c r="BS22" s="322">
        <f>'P NP KOLAM IKAN'!AJ49</f>
        <v>0</v>
      </c>
      <c r="BT22" s="322">
        <f>'P NP KOLAM IKAN'!AI50</f>
        <v>0</v>
      </c>
      <c r="BU22" s="322">
        <f>'P NP KOLAM IKAN'!AJ50</f>
        <v>0</v>
      </c>
      <c r="BV22" s="322">
        <f>'P NP KOLAM IKAN'!AI51</f>
        <v>0</v>
      </c>
      <c r="BW22" s="322">
        <f>'P NP KOLAM IKAN'!AJ51</f>
        <v>0</v>
      </c>
      <c r="BX22" s="322">
        <f>'P NP KOLAM IKAN'!AI52</f>
        <v>0</v>
      </c>
      <c r="BY22" s="322">
        <f>'P NP KOLAM IKAN'!AJ52</f>
        <v>0</v>
      </c>
    </row>
    <row r="23" spans="1:77">
      <c r="A23" s="260" t="s">
        <v>112</v>
      </c>
      <c r="B23" s="320">
        <f t="shared" si="2"/>
        <v>930887</v>
      </c>
      <c r="C23" s="320">
        <f t="shared" si="3"/>
        <v>24238782</v>
      </c>
      <c r="D23" s="322">
        <f>'P NP KOLAM IKAN'!AK8</f>
        <v>0</v>
      </c>
      <c r="E23" s="322">
        <f>'P NP KOLAM IKAN'!AL8</f>
        <v>0</v>
      </c>
      <c r="F23" s="322">
        <f>'P NP KOLAM IKAN'!AK9</f>
        <v>0</v>
      </c>
      <c r="G23" s="322">
        <f>'P NP KOLAM IKAN'!AL9</f>
        <v>0</v>
      </c>
      <c r="H23" s="322">
        <f>'P NP KOLAM IKAN'!AK10</f>
        <v>0</v>
      </c>
      <c r="I23" s="322">
        <f>'P NP KOLAM IKAN'!AL10</f>
        <v>0</v>
      </c>
      <c r="J23" s="322">
        <f>'P NP KOLAM IKAN'!AK11</f>
        <v>0</v>
      </c>
      <c r="K23" s="322">
        <f>'P NP KOLAM IKAN'!AL11</f>
        <v>0</v>
      </c>
      <c r="L23" s="322">
        <f>'P NP KOLAM IKAN'!AK12</f>
        <v>0</v>
      </c>
      <c r="M23" s="322">
        <f>'P NP KOLAM IKAN'!AL12</f>
        <v>0</v>
      </c>
      <c r="N23" s="322">
        <f>'P NP KOLAM IKAN'!AK13</f>
        <v>0</v>
      </c>
      <c r="O23" s="322">
        <f>'P NP KOLAM IKAN'!AL13</f>
        <v>0</v>
      </c>
      <c r="P23" s="322">
        <f>'P NP KOLAM IKAN'!AK14</f>
        <v>555</v>
      </c>
      <c r="Q23" s="322">
        <f>'P NP KOLAM IKAN'!AL14</f>
        <v>19425</v>
      </c>
      <c r="R23" s="322">
        <f>'P NP KOLAM IKAN'!AK15</f>
        <v>0</v>
      </c>
      <c r="S23" s="322">
        <f>'P NP KOLAM IKAN'!AL15</f>
        <v>0</v>
      </c>
      <c r="T23" s="322">
        <f>'P NP KOLAM IKAN'!AK16</f>
        <v>0</v>
      </c>
      <c r="U23" s="322">
        <f>'P NP KOLAM IKAN'!AL16</f>
        <v>0</v>
      </c>
      <c r="V23" s="322">
        <f>'P NP KOLAM IKAN'!AK17</f>
        <v>0</v>
      </c>
      <c r="W23" s="322">
        <f>'P NP KOLAM IKAN'!AL17</f>
        <v>0</v>
      </c>
      <c r="X23" s="322">
        <f>'P NP KOLAM IKAN'!AK18</f>
        <v>0</v>
      </c>
      <c r="Y23" s="322">
        <f>'P NP KOLAM IKAN'!AL18</f>
        <v>0</v>
      </c>
      <c r="Z23" s="322">
        <f>'P NP KOLAM IKAN'!AK19</f>
        <v>0</v>
      </c>
      <c r="AA23" s="322">
        <f>'P NP KOLAM IKAN'!AL19</f>
        <v>0</v>
      </c>
      <c r="AB23" s="322">
        <f>'P NP KOLAM IKAN'!AK20</f>
        <v>0</v>
      </c>
      <c r="AC23" s="322">
        <f>'P NP KOLAM IKAN'!AL20</f>
        <v>0</v>
      </c>
      <c r="AD23" s="322">
        <f>'P NP KOLAM IKAN'!AK21</f>
        <v>759333</v>
      </c>
      <c r="AE23" s="322">
        <f>'P NP KOLAM IKAN'!AL21</f>
        <v>18223992</v>
      </c>
      <c r="AF23" s="322">
        <f>'P NP KOLAM IKAN'!AK22</f>
        <v>0</v>
      </c>
      <c r="AG23" s="322">
        <f>'P NP KOLAM IKAN'!AL22</f>
        <v>0</v>
      </c>
      <c r="AH23" s="322">
        <f>'P NP KOLAM IKAN'!AK23</f>
        <v>0</v>
      </c>
      <c r="AI23" s="322">
        <f>'P NP KOLAM IKAN'!AL23</f>
        <v>0</v>
      </c>
      <c r="AJ23" s="322">
        <f>'P NP KOLAM IKAN'!AK24</f>
        <v>0</v>
      </c>
      <c r="AK23" s="322">
        <f>'P NP KOLAM IKAN'!AL24</f>
        <v>0</v>
      </c>
      <c r="AL23" s="322">
        <f>'P NP KOLAM IKAN'!AK25</f>
        <v>0</v>
      </c>
      <c r="AM23" s="322">
        <f>'P NP KOLAM IKAN'!AL25</f>
        <v>0</v>
      </c>
      <c r="AN23" s="322">
        <f>'P NP KOLAM IKAN'!AK26</f>
        <v>170739</v>
      </c>
      <c r="AO23" s="322">
        <f>'P NP KOLAM IKAN'!AL26</f>
        <v>5975865</v>
      </c>
      <c r="AP23" s="322">
        <f>'P NP KOLAM IKAN'!AK27</f>
        <v>0</v>
      </c>
      <c r="AQ23" s="322">
        <f>'P NP KOLAM IKAN'!AL27</f>
        <v>0</v>
      </c>
      <c r="AR23" s="322">
        <f>'P NP KOLAM IKAN'!AK28</f>
        <v>0</v>
      </c>
      <c r="AS23" s="322">
        <f>'P NP KOLAM IKAN'!AL28</f>
        <v>0</v>
      </c>
      <c r="AT23" s="322">
        <f>'P NP KOLAM IKAN'!AK29</f>
        <v>0</v>
      </c>
      <c r="AU23" s="322">
        <f>'P NP KOLAM IKAN'!AL29</f>
        <v>0</v>
      </c>
      <c r="AV23" s="322">
        <f>'P NP KOLAM IKAN'!AK30</f>
        <v>0</v>
      </c>
      <c r="AW23" s="322">
        <f>'P NP KOLAM IKAN'!AL30</f>
        <v>0</v>
      </c>
      <c r="AX23" s="322">
        <f>'P NP KOLAM IKAN'!AK31</f>
        <v>0</v>
      </c>
      <c r="AY23" s="322">
        <f>'P NP KOLAM IKAN'!AL31</f>
        <v>0</v>
      </c>
      <c r="AZ23" s="322">
        <f>'P NP KOLAM IKAN'!AK32</f>
        <v>0</v>
      </c>
      <c r="BA23" s="322">
        <f>'P NP KOLAM IKAN'!AL32</f>
        <v>0</v>
      </c>
      <c r="BB23" s="322">
        <f>'P NP KOLAM IKAN'!AK33</f>
        <v>0</v>
      </c>
      <c r="BC23" s="322">
        <f>'P NP KOLAM IKAN'!AL33</f>
        <v>0</v>
      </c>
      <c r="BD23" s="322">
        <f>'P NP KOLAM IKAN'!AK34</f>
        <v>0</v>
      </c>
      <c r="BE23" s="322">
        <f>'P NP KOLAM IKAN'!AL34</f>
        <v>0</v>
      </c>
      <c r="BF23" s="322">
        <f>'P NP KOLAM IKAN'!AK43</f>
        <v>0</v>
      </c>
      <c r="BG23" s="322">
        <f>'P NP KOLAM IKAN'!AL43</f>
        <v>0</v>
      </c>
      <c r="BH23" s="322">
        <f>'P NP KOLAM IKAN'!AK44</f>
        <v>0</v>
      </c>
      <c r="BI23" s="322">
        <f>'P NP KOLAM IKAN'!AL44</f>
        <v>0</v>
      </c>
      <c r="BJ23" s="322">
        <f>'P NP KOLAM IKAN'!AK37</f>
        <v>260</v>
      </c>
      <c r="BK23" s="322">
        <f>'P NP KOLAM IKAN'!AL37</f>
        <v>19500</v>
      </c>
      <c r="BL23" s="322">
        <f>'P NP KOLAM IKAN'!AK46</f>
        <v>0</v>
      </c>
      <c r="BM23" s="322">
        <f>'P NP KOLAM IKAN'!AL46</f>
        <v>0</v>
      </c>
      <c r="BN23" s="322">
        <f>'P NP KOLAM IKAN'!AK47</f>
        <v>0</v>
      </c>
      <c r="BO23" s="322">
        <f>'P NP KOLAM IKAN'!AL47</f>
        <v>0</v>
      </c>
      <c r="BP23" s="322">
        <f>'P NP KOLAM IKAN'!AK48</f>
        <v>0</v>
      </c>
      <c r="BQ23" s="322">
        <f>'P NP KOLAM IKAN'!AL48</f>
        <v>0</v>
      </c>
      <c r="BR23" s="322">
        <f>'P NP KOLAM IKAN'!AK49</f>
        <v>0</v>
      </c>
      <c r="BS23" s="322">
        <f>'P NP KOLAM IKAN'!AL49</f>
        <v>0</v>
      </c>
      <c r="BT23" s="322">
        <f>'P NP KOLAM IKAN'!AK50</f>
        <v>0</v>
      </c>
      <c r="BU23" s="322">
        <f>'P NP KOLAM IKAN'!AL50</f>
        <v>0</v>
      </c>
      <c r="BV23" s="322">
        <f>'P NP KOLAM IKAN'!AK51</f>
        <v>0</v>
      </c>
      <c r="BW23" s="322">
        <f>'P NP KOLAM IKAN'!AL51</f>
        <v>0</v>
      </c>
      <c r="BX23" s="322">
        <f>'P NP KOLAM IKAN'!AK52</f>
        <v>0</v>
      </c>
      <c r="BY23" s="322">
        <f>'P NP KOLAM IKAN'!AL52</f>
        <v>0</v>
      </c>
    </row>
    <row r="24" spans="1:77">
      <c r="A24" s="260" t="s">
        <v>139</v>
      </c>
      <c r="B24" s="320">
        <f t="shared" si="2"/>
        <v>800050</v>
      </c>
      <c r="C24" s="320">
        <f t="shared" si="3"/>
        <v>16075010</v>
      </c>
      <c r="D24" s="322">
        <f>'P NP KOLAM IKAN'!AM8</f>
        <v>0</v>
      </c>
      <c r="E24" s="322">
        <f>'P NP KOLAM IKAN'!AN8</f>
        <v>0</v>
      </c>
      <c r="F24" s="322">
        <f>'P NP KOLAM IKAN'!AM9</f>
        <v>0</v>
      </c>
      <c r="G24" s="322">
        <f>'P NP KOLAM IKAN'!AN9</f>
        <v>0</v>
      </c>
      <c r="H24" s="322">
        <f>'P NP KOLAM IKAN'!AM10</f>
        <v>0</v>
      </c>
      <c r="I24" s="322">
        <f>'P NP KOLAM IKAN'!AN10</f>
        <v>0</v>
      </c>
      <c r="J24" s="322">
        <f>'P NP KOLAM IKAN'!AM11</f>
        <v>0</v>
      </c>
      <c r="K24" s="322">
        <f>'P NP KOLAM IKAN'!AN11</f>
        <v>0</v>
      </c>
      <c r="L24" s="322">
        <f>'P NP KOLAM IKAN'!AM12</f>
        <v>0</v>
      </c>
      <c r="M24" s="322">
        <f>'P NP KOLAM IKAN'!AN12</f>
        <v>0</v>
      </c>
      <c r="N24" s="322">
        <f>'P NP KOLAM IKAN'!AM13</f>
        <v>0</v>
      </c>
      <c r="O24" s="322">
        <f>'P NP KOLAM IKAN'!AN13</f>
        <v>0</v>
      </c>
      <c r="P24" s="322">
        <f>'P NP KOLAM IKAN'!AM14</f>
        <v>2066</v>
      </c>
      <c r="Q24" s="322">
        <f>'P NP KOLAM IKAN'!AN14</f>
        <v>103300</v>
      </c>
      <c r="R24" s="322">
        <f>'P NP KOLAM IKAN'!AM15</f>
        <v>0</v>
      </c>
      <c r="S24" s="322">
        <f>'P NP KOLAM IKAN'!AN15</f>
        <v>0</v>
      </c>
      <c r="T24" s="322">
        <f>'P NP KOLAM IKAN'!AM16</f>
        <v>0</v>
      </c>
      <c r="U24" s="322">
        <f>'P NP KOLAM IKAN'!AN16</f>
        <v>0</v>
      </c>
      <c r="V24" s="322">
        <f>'P NP KOLAM IKAN'!AM17</f>
        <v>0</v>
      </c>
      <c r="W24" s="322">
        <f>'P NP KOLAM IKAN'!AN17</f>
        <v>0</v>
      </c>
      <c r="X24" s="322">
        <f>'P NP KOLAM IKAN'!AM18</f>
        <v>0</v>
      </c>
      <c r="Y24" s="322">
        <f>'P NP KOLAM IKAN'!AN18</f>
        <v>0</v>
      </c>
      <c r="Z24" s="322">
        <f>'P NP KOLAM IKAN'!AM19</f>
        <v>0</v>
      </c>
      <c r="AA24" s="322">
        <f>'P NP KOLAM IKAN'!AN19</f>
        <v>0</v>
      </c>
      <c r="AB24" s="322">
        <f>'P NP KOLAM IKAN'!AM20</f>
        <v>0</v>
      </c>
      <c r="AC24" s="322">
        <f>'P NP KOLAM IKAN'!AN20</f>
        <v>0</v>
      </c>
      <c r="AD24" s="322">
        <f>'P NP KOLAM IKAN'!AM21</f>
        <v>795578</v>
      </c>
      <c r="AE24" s="322">
        <f>'P NP KOLAM IKAN'!AN21</f>
        <v>15911560</v>
      </c>
      <c r="AF24" s="322">
        <f>'P NP KOLAM IKAN'!AM22</f>
        <v>0</v>
      </c>
      <c r="AG24" s="322">
        <f>'P NP KOLAM IKAN'!AN22</f>
        <v>0</v>
      </c>
      <c r="AH24" s="322">
        <f>'P NP KOLAM IKAN'!AM23</f>
        <v>0</v>
      </c>
      <c r="AI24" s="322">
        <f>'P NP KOLAM IKAN'!AN23</f>
        <v>0</v>
      </c>
      <c r="AJ24" s="322">
        <f>'P NP KOLAM IKAN'!AM24</f>
        <v>0</v>
      </c>
      <c r="AK24" s="322">
        <f>'P NP KOLAM IKAN'!AN24</f>
        <v>0</v>
      </c>
      <c r="AL24" s="322">
        <f>'P NP KOLAM IKAN'!AM25</f>
        <v>0</v>
      </c>
      <c r="AM24" s="322">
        <f>'P NP KOLAM IKAN'!AN25</f>
        <v>0</v>
      </c>
      <c r="AN24" s="322">
        <f>'P NP KOLAM IKAN'!AM26</f>
        <v>2406</v>
      </c>
      <c r="AO24" s="322">
        <f>'P NP KOLAM IKAN'!AN26</f>
        <v>60150</v>
      </c>
      <c r="AP24" s="322">
        <f>'P NP KOLAM IKAN'!AM27</f>
        <v>0</v>
      </c>
      <c r="AQ24" s="322">
        <f>'P NP KOLAM IKAN'!AN27</f>
        <v>0</v>
      </c>
      <c r="AR24" s="322">
        <f>'P NP KOLAM IKAN'!AM28</f>
        <v>0</v>
      </c>
      <c r="AS24" s="322">
        <f>'P NP KOLAM IKAN'!AN28</f>
        <v>0</v>
      </c>
      <c r="AT24" s="322">
        <f>'P NP KOLAM IKAN'!AM29</f>
        <v>0</v>
      </c>
      <c r="AU24" s="322">
        <f>'P NP KOLAM IKAN'!AN29</f>
        <v>0</v>
      </c>
      <c r="AV24" s="322">
        <f>'P NP KOLAM IKAN'!AM30</f>
        <v>0</v>
      </c>
      <c r="AW24" s="322">
        <f>'P NP KOLAM IKAN'!AN30</f>
        <v>0</v>
      </c>
      <c r="AX24" s="322">
        <f>'P NP KOLAM IKAN'!AM31</f>
        <v>0</v>
      </c>
      <c r="AY24" s="322">
        <f>'P NP KOLAM IKAN'!AN31</f>
        <v>0</v>
      </c>
      <c r="AZ24" s="322">
        <f>'P NP KOLAM IKAN'!AM32</f>
        <v>0</v>
      </c>
      <c r="BA24" s="322">
        <f>'P NP KOLAM IKAN'!AN32</f>
        <v>0</v>
      </c>
      <c r="BB24" s="322">
        <f>'P NP KOLAM IKAN'!AM33</f>
        <v>0</v>
      </c>
      <c r="BC24" s="322">
        <f>'P NP KOLAM IKAN'!AN33</f>
        <v>0</v>
      </c>
      <c r="BD24" s="322">
        <f>'P NP KOLAM IKAN'!AM34</f>
        <v>0</v>
      </c>
      <c r="BE24" s="322">
        <f>'P NP KOLAM IKAN'!AN34</f>
        <v>0</v>
      </c>
      <c r="BF24" s="322">
        <f>'P NP KOLAM IKAN'!AM43</f>
        <v>0</v>
      </c>
      <c r="BG24" s="322">
        <f>'P NP KOLAM IKAN'!AN43</f>
        <v>0</v>
      </c>
      <c r="BH24" s="322">
        <f>'P NP KOLAM IKAN'!AM44</f>
        <v>0</v>
      </c>
      <c r="BI24" s="322">
        <f>'P NP KOLAM IKAN'!AN44</f>
        <v>0</v>
      </c>
      <c r="BJ24" s="322">
        <f>'P NP KOLAM IKAN'!AM45</f>
        <v>0</v>
      </c>
      <c r="BK24" s="322">
        <f>'P NP KOLAM IKAN'!AN45</f>
        <v>0</v>
      </c>
      <c r="BL24" s="322">
        <f>'P NP KOLAM IKAN'!AM46</f>
        <v>0</v>
      </c>
      <c r="BM24" s="322">
        <f>'P NP KOLAM IKAN'!AN46</f>
        <v>0</v>
      </c>
      <c r="BN24" s="322">
        <f>'P NP KOLAM IKAN'!AM47</f>
        <v>0</v>
      </c>
      <c r="BO24" s="322">
        <f>'P NP KOLAM IKAN'!AN47</f>
        <v>0</v>
      </c>
      <c r="BP24" s="322">
        <f>'P NP KOLAM IKAN'!AM48</f>
        <v>0</v>
      </c>
      <c r="BQ24" s="322">
        <f>'P NP KOLAM IKAN'!AN48</f>
        <v>0</v>
      </c>
      <c r="BR24" s="322">
        <f>'P NP KOLAM IKAN'!AM49</f>
        <v>0</v>
      </c>
      <c r="BS24" s="322">
        <f>'P NP KOLAM IKAN'!AN49</f>
        <v>0</v>
      </c>
      <c r="BT24" s="322">
        <f>'P NP KOLAM IKAN'!AM50</f>
        <v>0</v>
      </c>
      <c r="BU24" s="322">
        <f>'P NP KOLAM IKAN'!AN50</f>
        <v>0</v>
      </c>
      <c r="BV24" s="322">
        <f>'P NP KOLAM IKAN'!AM51</f>
        <v>0</v>
      </c>
      <c r="BW24" s="322">
        <f>'P NP KOLAM IKAN'!AN51</f>
        <v>0</v>
      </c>
      <c r="BX24" s="322">
        <f>'P NP KOLAM IKAN'!AM52</f>
        <v>0</v>
      </c>
      <c r="BY24" s="322">
        <f>'P NP KOLAM IKAN'!AN52</f>
        <v>0</v>
      </c>
    </row>
    <row r="25" spans="1:77">
      <c r="A25" s="260" t="s">
        <v>125</v>
      </c>
      <c r="B25" s="320">
        <f t="shared" si="2"/>
        <v>15942118.630000001</v>
      </c>
      <c r="C25" s="320">
        <f t="shared" si="3"/>
        <v>291949904</v>
      </c>
      <c r="D25" s="322">
        <f>'P NP KOLAM IKAN'!AO8</f>
        <v>0</v>
      </c>
      <c r="E25" s="322">
        <f>'P NP KOLAM IKAN'!AP8</f>
        <v>0</v>
      </c>
      <c r="F25" s="322">
        <f>'P NP KOLAM IKAN'!AO9</f>
        <v>0</v>
      </c>
      <c r="G25" s="322">
        <f>'P NP KOLAM IKAN'!AP9</f>
        <v>0</v>
      </c>
      <c r="H25" s="322">
        <f>'P NP KOLAM IKAN'!AO10</f>
        <v>0</v>
      </c>
      <c r="I25" s="322">
        <f>'P NP KOLAM IKAN'!AP10</f>
        <v>0</v>
      </c>
      <c r="J25" s="322">
        <f>'P NP KOLAM IKAN'!AO11</f>
        <v>0</v>
      </c>
      <c r="K25" s="322">
        <f>'P NP KOLAM IKAN'!AP11</f>
        <v>0</v>
      </c>
      <c r="L25" s="322">
        <f>'P NP KOLAM IKAN'!AO12</f>
        <v>0</v>
      </c>
      <c r="M25" s="322">
        <f>'P NP KOLAM IKAN'!AP12</f>
        <v>0</v>
      </c>
      <c r="N25" s="322">
        <f>'P NP KOLAM IKAN'!AO13</f>
        <v>0</v>
      </c>
      <c r="O25" s="322">
        <f>'P NP KOLAM IKAN'!AP13</f>
        <v>0</v>
      </c>
      <c r="P25" s="322">
        <f>'P NP KOLAM IKAN'!AO14</f>
        <v>150742.07999999999</v>
      </c>
      <c r="Q25" s="322">
        <f>'P NP KOLAM IKAN'!AP14</f>
        <v>5275968</v>
      </c>
      <c r="R25" s="322">
        <f>'P NP KOLAM IKAN'!AO15</f>
        <v>0</v>
      </c>
      <c r="S25" s="322">
        <f>'P NP KOLAM IKAN'!AP15</f>
        <v>0</v>
      </c>
      <c r="T25" s="322">
        <f>'P NP KOLAM IKAN'!AO16</f>
        <v>0</v>
      </c>
      <c r="U25" s="322">
        <f>'P NP KOLAM IKAN'!AP16</f>
        <v>0</v>
      </c>
      <c r="V25" s="322">
        <f>'P NP KOLAM IKAN'!AO17</f>
        <v>0</v>
      </c>
      <c r="W25" s="322">
        <f>'P NP KOLAM IKAN'!AP17</f>
        <v>0</v>
      </c>
      <c r="X25" s="322">
        <f>'P NP KOLAM IKAN'!AO18</f>
        <v>0</v>
      </c>
      <c r="Y25" s="322">
        <f>'P NP KOLAM IKAN'!AP18</f>
        <v>0</v>
      </c>
      <c r="Z25" s="322">
        <f>'P NP KOLAM IKAN'!AO19</f>
        <v>0</v>
      </c>
      <c r="AA25" s="322">
        <f>'P NP KOLAM IKAN'!AP19</f>
        <v>0</v>
      </c>
      <c r="AB25" s="322">
        <f>'P NP KOLAM IKAN'!AO20</f>
        <v>0</v>
      </c>
      <c r="AC25" s="322">
        <f>'P NP KOLAM IKAN'!AP20</f>
        <v>0</v>
      </c>
      <c r="AD25" s="322">
        <f>'P NP KOLAM IKAN'!AO21</f>
        <v>15288590.49</v>
      </c>
      <c r="AE25" s="322">
        <f>'P NP KOLAM IKAN'!AP21</f>
        <v>277251092</v>
      </c>
      <c r="AF25" s="322">
        <f>'P NP KOLAM IKAN'!AO22</f>
        <v>0</v>
      </c>
      <c r="AG25" s="322">
        <f>'P NP KOLAM IKAN'!AP22</f>
        <v>0</v>
      </c>
      <c r="AH25" s="322">
        <f>'P NP KOLAM IKAN'!AO23</f>
        <v>0</v>
      </c>
      <c r="AI25" s="322">
        <f>'P NP KOLAM IKAN'!AP23</f>
        <v>0</v>
      </c>
      <c r="AJ25" s="322">
        <f>'P NP KOLAM IKAN'!AO24</f>
        <v>0</v>
      </c>
      <c r="AK25" s="322">
        <f>'P NP KOLAM IKAN'!AP24</f>
        <v>0</v>
      </c>
      <c r="AL25" s="322">
        <f>'P NP KOLAM IKAN'!AO25</f>
        <v>0</v>
      </c>
      <c r="AM25" s="322">
        <f>'P NP KOLAM IKAN'!AP25</f>
        <v>0</v>
      </c>
      <c r="AN25" s="322">
        <f>'P NP KOLAM IKAN'!AO26</f>
        <v>502786.06</v>
      </c>
      <c r="AO25" s="322">
        <f>'P NP KOLAM IKAN'!AP26</f>
        <v>9422844</v>
      </c>
      <c r="AP25" s="322">
        <f>'P NP KOLAM IKAN'!AO27</f>
        <v>0</v>
      </c>
      <c r="AQ25" s="322">
        <f>'P NP KOLAM IKAN'!AP27</f>
        <v>0</v>
      </c>
      <c r="AR25" s="322">
        <f>'P NP KOLAM IKAN'!AO28</f>
        <v>0</v>
      </c>
      <c r="AS25" s="322">
        <f>'P NP KOLAM IKAN'!AP28</f>
        <v>0</v>
      </c>
      <c r="AT25" s="322">
        <f>'P NP KOLAM IKAN'!AO29</f>
        <v>0</v>
      </c>
      <c r="AU25" s="322">
        <f>'P NP KOLAM IKAN'!AP29</f>
        <v>0</v>
      </c>
      <c r="AV25" s="322">
        <f>'P NP KOLAM IKAN'!AO30</f>
        <v>0</v>
      </c>
      <c r="AW25" s="322">
        <f>'P NP KOLAM IKAN'!AP30</f>
        <v>0</v>
      </c>
      <c r="AX25" s="322">
        <f>'P NP KOLAM IKAN'!AO31</f>
        <v>0</v>
      </c>
      <c r="AY25" s="322">
        <f>'P NP KOLAM IKAN'!AP31</f>
        <v>0</v>
      </c>
      <c r="AZ25" s="322">
        <f>'P NP KOLAM IKAN'!AO32</f>
        <v>0</v>
      </c>
      <c r="BA25" s="322">
        <f>'P NP KOLAM IKAN'!AP32</f>
        <v>0</v>
      </c>
      <c r="BB25" s="322">
        <f>'P NP KOLAM IKAN'!AO33</f>
        <v>0</v>
      </c>
      <c r="BC25" s="322">
        <f>'P NP KOLAM IKAN'!AP33</f>
        <v>0</v>
      </c>
      <c r="BD25" s="322">
        <f>'P NP KOLAM IKAN'!AO34</f>
        <v>0</v>
      </c>
      <c r="BE25" s="322">
        <f>'P NP KOLAM IKAN'!AP34</f>
        <v>0</v>
      </c>
      <c r="BF25" s="322">
        <f>'P NP KOLAM IKAN'!AO43</f>
        <v>0</v>
      </c>
      <c r="BG25" s="322">
        <f>'P NP KOLAM IKAN'!AP43</f>
        <v>0</v>
      </c>
      <c r="BH25" s="322">
        <f>'P NP KOLAM IKAN'!AO44</f>
        <v>0</v>
      </c>
      <c r="BI25" s="322">
        <f>'P NP KOLAM IKAN'!AP44</f>
        <v>0</v>
      </c>
      <c r="BJ25" s="322">
        <f>'P NP KOLAM IKAN'!AO45</f>
        <v>0</v>
      </c>
      <c r="BK25" s="322">
        <f>'P NP KOLAM IKAN'!AP45</f>
        <v>0</v>
      </c>
      <c r="BL25" s="322">
        <f>'P NP KOLAM IKAN'!AO46</f>
        <v>0</v>
      </c>
      <c r="BM25" s="322">
        <f>'P NP KOLAM IKAN'!AP46</f>
        <v>0</v>
      </c>
      <c r="BN25" s="322">
        <f>'P NP KOLAM IKAN'!AO47</f>
        <v>0</v>
      </c>
      <c r="BO25" s="322">
        <f>'P NP KOLAM IKAN'!AP47</f>
        <v>0</v>
      </c>
      <c r="BP25" s="322">
        <f>'P NP KOLAM IKAN'!AO48</f>
        <v>0</v>
      </c>
      <c r="BQ25" s="322">
        <f>'P NP KOLAM IKAN'!AP48</f>
        <v>0</v>
      </c>
      <c r="BR25" s="322">
        <f>'P NP KOLAM IKAN'!AO49</f>
        <v>0</v>
      </c>
      <c r="BS25" s="322">
        <f>'P NP KOLAM IKAN'!AP49</f>
        <v>0</v>
      </c>
      <c r="BT25" s="322">
        <f>'P NP KOLAM IKAN'!AO50</f>
        <v>0</v>
      </c>
      <c r="BU25" s="322">
        <f>'P NP KOLAM IKAN'!AP50</f>
        <v>0</v>
      </c>
      <c r="BV25" s="322">
        <f>'P NP KOLAM IKAN'!AO51</f>
        <v>0</v>
      </c>
      <c r="BW25" s="322">
        <f>'P NP KOLAM IKAN'!AP51</f>
        <v>0</v>
      </c>
      <c r="BX25" s="322">
        <f>'P NP KOLAM IKAN'!AO52</f>
        <v>0</v>
      </c>
      <c r="BY25" s="322">
        <f>'P NP KOLAM IKAN'!AP52</f>
        <v>0</v>
      </c>
    </row>
    <row r="26" spans="1:77">
      <c r="A26" s="260" t="s">
        <v>113</v>
      </c>
      <c r="B26" s="320">
        <f t="shared" si="2"/>
        <v>2179713</v>
      </c>
      <c r="C26" s="320">
        <f t="shared" si="3"/>
        <v>44477930.730000004</v>
      </c>
      <c r="D26" s="322">
        <f>'P NP KOLAM IKAN'!AQ8</f>
        <v>0</v>
      </c>
      <c r="E26" s="322">
        <f>'P NP KOLAM IKAN'!AR8</f>
        <v>0</v>
      </c>
      <c r="F26" s="322">
        <f>'P NP KOLAM IKAN'!AQ9</f>
        <v>0</v>
      </c>
      <c r="G26" s="322">
        <f>'P NP KOLAM IKAN'!AR9</f>
        <v>0</v>
      </c>
      <c r="H26" s="322">
        <f>'P NP KOLAM IKAN'!AQ10</f>
        <v>0</v>
      </c>
      <c r="I26" s="322">
        <f>'P NP KOLAM IKAN'!AR10</f>
        <v>0</v>
      </c>
      <c r="J26" s="322">
        <f>'P NP KOLAM IKAN'!AQ11</f>
        <v>0</v>
      </c>
      <c r="K26" s="322">
        <f>'P NP KOLAM IKAN'!AR11</f>
        <v>0</v>
      </c>
      <c r="L26" s="322">
        <f>'P NP KOLAM IKAN'!AQ12</f>
        <v>922</v>
      </c>
      <c r="M26" s="322">
        <f>'P NP KOLAM IKAN'!AR12</f>
        <v>55080</v>
      </c>
      <c r="N26" s="322">
        <f>'P NP KOLAM IKAN'!AQ13</f>
        <v>0</v>
      </c>
      <c r="O26" s="322">
        <f>'P NP KOLAM IKAN'!AR13</f>
        <v>50</v>
      </c>
      <c r="P26" s="322">
        <f>'P NP KOLAM IKAN'!AQ14</f>
        <v>320623</v>
      </c>
      <c r="Q26" s="322">
        <f>'P NP KOLAM IKAN'!AR14</f>
        <v>9545037.5300000012</v>
      </c>
      <c r="R26" s="322">
        <f>'P NP KOLAM IKAN'!AQ15</f>
        <v>0</v>
      </c>
      <c r="S26" s="322">
        <f>'P NP KOLAM IKAN'!AR15</f>
        <v>0</v>
      </c>
      <c r="T26" s="322">
        <f>'P NP KOLAM IKAN'!AQ16</f>
        <v>0</v>
      </c>
      <c r="U26" s="322">
        <f>'P NP KOLAM IKAN'!AR16</f>
        <v>0</v>
      </c>
      <c r="V26" s="322">
        <f>'P NP KOLAM IKAN'!AQ17</f>
        <v>0</v>
      </c>
      <c r="W26" s="322">
        <f>'P NP KOLAM IKAN'!AR17</f>
        <v>0</v>
      </c>
      <c r="X26" s="322">
        <f>'P NP KOLAM IKAN'!AQ18</f>
        <v>0</v>
      </c>
      <c r="Y26" s="322">
        <f>'P NP KOLAM IKAN'!AR18</f>
        <v>0</v>
      </c>
      <c r="Z26" s="322">
        <f>'P NP KOLAM IKAN'!AQ19</f>
        <v>0</v>
      </c>
      <c r="AA26" s="322">
        <f>'P NP KOLAM IKAN'!AR19</f>
        <v>0</v>
      </c>
      <c r="AB26" s="322">
        <f>'P NP KOLAM IKAN'!AQ20</f>
        <v>0</v>
      </c>
      <c r="AC26" s="322">
        <f>'P NP KOLAM IKAN'!AR20</f>
        <v>0</v>
      </c>
      <c r="AD26" s="322">
        <f>'P NP KOLAM IKAN'!AQ21</f>
        <v>1787644</v>
      </c>
      <c r="AE26" s="322">
        <f>'P NP KOLAM IKAN'!AR21</f>
        <v>33041010.199999999</v>
      </c>
      <c r="AF26" s="322">
        <f>'P NP KOLAM IKAN'!AQ22</f>
        <v>0</v>
      </c>
      <c r="AG26" s="322">
        <f>'P NP KOLAM IKAN'!AR22</f>
        <v>0</v>
      </c>
      <c r="AH26" s="322">
        <f>'P NP KOLAM IKAN'!AQ23</f>
        <v>0</v>
      </c>
      <c r="AI26" s="322">
        <f>'P NP KOLAM IKAN'!AR23</f>
        <v>0</v>
      </c>
      <c r="AJ26" s="322">
        <f>'P NP KOLAM IKAN'!AQ24</f>
        <v>0</v>
      </c>
      <c r="AK26" s="322">
        <f>'P NP KOLAM IKAN'!AR24</f>
        <v>0</v>
      </c>
      <c r="AL26" s="322">
        <f>'P NP KOLAM IKAN'!AQ25</f>
        <v>0</v>
      </c>
      <c r="AM26" s="322">
        <f>'P NP KOLAM IKAN'!AR25</f>
        <v>0</v>
      </c>
      <c r="AN26" s="322">
        <f>'P NP KOLAM IKAN'!AQ26</f>
        <v>51167</v>
      </c>
      <c r="AO26" s="322">
        <f>'P NP KOLAM IKAN'!AR26</f>
        <v>1460476</v>
      </c>
      <c r="AP26" s="322">
        <f>'P NP KOLAM IKAN'!AQ27</f>
        <v>19357</v>
      </c>
      <c r="AQ26" s="322">
        <f>'P NP KOLAM IKAN'!AR27</f>
        <v>376277</v>
      </c>
      <c r="AR26" s="322">
        <f>'P NP KOLAM IKAN'!AQ28</f>
        <v>0</v>
      </c>
      <c r="AS26" s="322">
        <f>'P NP KOLAM IKAN'!AR28</f>
        <v>0</v>
      </c>
      <c r="AT26" s="322">
        <f>'P NP KOLAM IKAN'!AQ29</f>
        <v>0</v>
      </c>
      <c r="AU26" s="322">
        <f>'P NP KOLAM IKAN'!AR29</f>
        <v>0</v>
      </c>
      <c r="AV26" s="322">
        <f>'P NP KOLAM IKAN'!AQ30</f>
        <v>0</v>
      </c>
      <c r="AW26" s="322">
        <f>'P NP KOLAM IKAN'!AR30</f>
        <v>0</v>
      </c>
      <c r="AX26" s="322">
        <f>'P NP KOLAM IKAN'!AQ31</f>
        <v>0</v>
      </c>
      <c r="AY26" s="322">
        <f>'P NP KOLAM IKAN'!AR31</f>
        <v>0</v>
      </c>
      <c r="AZ26" s="322">
        <f>'P NP KOLAM IKAN'!AQ32</f>
        <v>0</v>
      </c>
      <c r="BA26" s="322">
        <f>'P NP KOLAM IKAN'!AR32</f>
        <v>0</v>
      </c>
      <c r="BB26" s="322">
        <f>'P NP KOLAM IKAN'!AQ33</f>
        <v>0</v>
      </c>
      <c r="BC26" s="322">
        <f>'P NP KOLAM IKAN'!AR33</f>
        <v>0</v>
      </c>
      <c r="BD26" s="322">
        <f>'P NP KOLAM IKAN'!AQ34</f>
        <v>0</v>
      </c>
      <c r="BE26" s="322">
        <f>'P NP KOLAM IKAN'!AR34</f>
        <v>0</v>
      </c>
      <c r="BF26" s="322">
        <f>'P NP KOLAM IKAN'!AQ43</f>
        <v>0</v>
      </c>
      <c r="BG26" s="322">
        <f>'P NP KOLAM IKAN'!AR43</f>
        <v>0</v>
      </c>
      <c r="BH26" s="322">
        <f>'P NP KOLAM IKAN'!AQ44</f>
        <v>0</v>
      </c>
      <c r="BI26" s="322">
        <f>'P NP KOLAM IKAN'!AR44</f>
        <v>0</v>
      </c>
      <c r="BJ26" s="322">
        <f>'P NP KOLAM IKAN'!AQ45</f>
        <v>0</v>
      </c>
      <c r="BK26" s="322">
        <f>'P NP KOLAM IKAN'!AR45</f>
        <v>0</v>
      </c>
      <c r="BL26" s="322">
        <f>'P NP KOLAM IKAN'!AQ46</f>
        <v>0</v>
      </c>
      <c r="BM26" s="322">
        <f>'P NP KOLAM IKAN'!AR46</f>
        <v>0</v>
      </c>
      <c r="BN26" s="322">
        <f>'P NP KOLAM IKAN'!AQ47</f>
        <v>0</v>
      </c>
      <c r="BO26" s="322">
        <f>'P NP KOLAM IKAN'!AR47</f>
        <v>0</v>
      </c>
      <c r="BP26" s="322">
        <f>'P NP KOLAM IKAN'!AQ48</f>
        <v>0</v>
      </c>
      <c r="BQ26" s="322">
        <f>'P NP KOLAM IKAN'!AR48</f>
        <v>0</v>
      </c>
      <c r="BR26" s="322">
        <f>'P NP KOLAM IKAN'!AQ49</f>
        <v>0</v>
      </c>
      <c r="BS26" s="322">
        <f>'P NP KOLAM IKAN'!AR49</f>
        <v>0</v>
      </c>
      <c r="BT26" s="322">
        <f>'P NP KOLAM IKAN'!AQ50</f>
        <v>0</v>
      </c>
      <c r="BU26" s="322">
        <f>'P NP KOLAM IKAN'!AR50</f>
        <v>0</v>
      </c>
      <c r="BV26" s="322">
        <f>'P NP KOLAM IKAN'!AQ51</f>
        <v>0</v>
      </c>
      <c r="BW26" s="322">
        <f>'P NP KOLAM IKAN'!AR51</f>
        <v>0</v>
      </c>
      <c r="BX26" s="322">
        <f>'P NP KOLAM IKAN'!AQ52</f>
        <v>0</v>
      </c>
      <c r="BY26" s="322">
        <f>'P NP KOLAM IKAN'!AR52</f>
        <v>0</v>
      </c>
    </row>
    <row r="27" spans="1:77">
      <c r="A27" s="260" t="s">
        <v>124</v>
      </c>
      <c r="B27" s="320">
        <f t="shared" si="2"/>
        <v>856340</v>
      </c>
      <c r="C27" s="320">
        <f t="shared" si="3"/>
        <v>15853965</v>
      </c>
      <c r="D27" s="322">
        <f>'P NP KOLAM IKAN'!AS8</f>
        <v>0</v>
      </c>
      <c r="E27" s="322">
        <f>'P NP KOLAM IKAN'!AT8</f>
        <v>0</v>
      </c>
      <c r="F27" s="322">
        <f>'P NP KOLAM IKAN'!AS9</f>
        <v>0</v>
      </c>
      <c r="G27" s="322">
        <f>'P NP KOLAM IKAN'!AT9</f>
        <v>0</v>
      </c>
      <c r="H27" s="322">
        <f>'P NP KOLAM IKAN'!AS10</f>
        <v>0</v>
      </c>
      <c r="I27" s="322">
        <f>'P NP KOLAM IKAN'!AT10</f>
        <v>0</v>
      </c>
      <c r="J27" s="322">
        <f>'P NP KOLAM IKAN'!AS11</f>
        <v>0</v>
      </c>
      <c r="K27" s="322">
        <f>'P NP KOLAM IKAN'!AT11</f>
        <v>0</v>
      </c>
      <c r="L27" s="322">
        <f>'P NP KOLAM IKAN'!AS12</f>
        <v>0</v>
      </c>
      <c r="M27" s="322">
        <f>'P NP KOLAM IKAN'!AT12</f>
        <v>0</v>
      </c>
      <c r="N27" s="322">
        <f>'P NP KOLAM IKAN'!AS13</f>
        <v>0</v>
      </c>
      <c r="O27" s="322">
        <f>'P NP KOLAM IKAN'!AT13</f>
        <v>0</v>
      </c>
      <c r="P27" s="322">
        <f>'P NP KOLAM IKAN'!AS14</f>
        <v>1570</v>
      </c>
      <c r="Q27" s="322">
        <f>'P NP KOLAM IKAN'!AT14</f>
        <v>42390</v>
      </c>
      <c r="R27" s="322">
        <f>'P NP KOLAM IKAN'!AS15</f>
        <v>0</v>
      </c>
      <c r="S27" s="322">
        <f>'P NP KOLAM IKAN'!AT15</f>
        <v>0</v>
      </c>
      <c r="T27" s="322">
        <f>'P NP KOLAM IKAN'!AS16</f>
        <v>0</v>
      </c>
      <c r="U27" s="322">
        <f>'P NP KOLAM IKAN'!AT16</f>
        <v>0</v>
      </c>
      <c r="V27" s="322">
        <f>'P NP KOLAM IKAN'!AS17</f>
        <v>0</v>
      </c>
      <c r="W27" s="322">
        <f>'P NP KOLAM IKAN'!AT17</f>
        <v>0</v>
      </c>
      <c r="X27" s="322">
        <f>'P NP KOLAM IKAN'!AS18</f>
        <v>0</v>
      </c>
      <c r="Y27" s="322">
        <f>'P NP KOLAM IKAN'!AT18</f>
        <v>0</v>
      </c>
      <c r="Z27" s="322">
        <f>'P NP KOLAM IKAN'!AS19</f>
        <v>0</v>
      </c>
      <c r="AA27" s="322">
        <f>'P NP KOLAM IKAN'!AT19</f>
        <v>0</v>
      </c>
      <c r="AB27" s="322">
        <f>'P NP KOLAM IKAN'!AS20</f>
        <v>0</v>
      </c>
      <c r="AC27" s="322">
        <f>'P NP KOLAM IKAN'!AT20</f>
        <v>0</v>
      </c>
      <c r="AD27" s="322">
        <f>'P NP KOLAM IKAN'!AS21</f>
        <v>843430</v>
      </c>
      <c r="AE27" s="322">
        <f>'P NP KOLAM IKAN'!AT21</f>
        <v>15603455</v>
      </c>
      <c r="AF27" s="322">
        <f>'P NP KOLAM IKAN'!AS22</f>
        <v>0</v>
      </c>
      <c r="AG27" s="322">
        <f>'P NP KOLAM IKAN'!AT22</f>
        <v>0</v>
      </c>
      <c r="AH27" s="322">
        <f>'P NP KOLAM IKAN'!AS23</f>
        <v>0</v>
      </c>
      <c r="AI27" s="322">
        <f>'P NP KOLAM IKAN'!AT23</f>
        <v>0</v>
      </c>
      <c r="AJ27" s="322">
        <f>'P NP KOLAM IKAN'!AS24</f>
        <v>0</v>
      </c>
      <c r="AK27" s="322">
        <f>'P NP KOLAM IKAN'!AT24</f>
        <v>0</v>
      </c>
      <c r="AL27" s="322">
        <f>'P NP KOLAM IKAN'!AS25</f>
        <v>0</v>
      </c>
      <c r="AM27" s="322">
        <f>'P NP KOLAM IKAN'!AT25</f>
        <v>0</v>
      </c>
      <c r="AN27" s="322">
        <f>'P NP KOLAM IKAN'!AS26</f>
        <v>11340</v>
      </c>
      <c r="AO27" s="322">
        <f>'P NP KOLAM IKAN'!AT26</f>
        <v>208120</v>
      </c>
      <c r="AP27" s="322">
        <f>'P NP KOLAM IKAN'!AS27</f>
        <v>0</v>
      </c>
      <c r="AQ27" s="322">
        <f>'P NP KOLAM IKAN'!AT27</f>
        <v>0</v>
      </c>
      <c r="AR27" s="322">
        <f>'P NP KOLAM IKAN'!AS28</f>
        <v>0</v>
      </c>
      <c r="AS27" s="322">
        <f>'P NP KOLAM IKAN'!AT28</f>
        <v>0</v>
      </c>
      <c r="AT27" s="322">
        <f>'P NP KOLAM IKAN'!AS29</f>
        <v>0</v>
      </c>
      <c r="AU27" s="322">
        <f>'P NP KOLAM IKAN'!AT29</f>
        <v>0</v>
      </c>
      <c r="AV27" s="322">
        <f>'P NP KOLAM IKAN'!AS30</f>
        <v>0</v>
      </c>
      <c r="AW27" s="322">
        <f>'P NP KOLAM IKAN'!AT30</f>
        <v>0</v>
      </c>
      <c r="AX27" s="322">
        <f>'P NP KOLAM IKAN'!AS31</f>
        <v>0</v>
      </c>
      <c r="AY27" s="322">
        <f>'P NP KOLAM IKAN'!AT31</f>
        <v>0</v>
      </c>
      <c r="AZ27" s="322">
        <f>'P NP KOLAM IKAN'!AS32</f>
        <v>0</v>
      </c>
      <c r="BA27" s="322">
        <f>'P NP KOLAM IKAN'!AT32</f>
        <v>0</v>
      </c>
      <c r="BB27" s="322">
        <f>'P NP KOLAM IKAN'!AS33</f>
        <v>0</v>
      </c>
      <c r="BC27" s="322">
        <f>'P NP KOLAM IKAN'!AT33</f>
        <v>0</v>
      </c>
      <c r="BD27" s="322">
        <f>'P NP KOLAM IKAN'!AS34</f>
        <v>0</v>
      </c>
      <c r="BE27" s="322">
        <f>'P NP KOLAM IKAN'!AT34</f>
        <v>0</v>
      </c>
      <c r="BF27" s="322">
        <f>'P NP KOLAM IKAN'!AS43</f>
        <v>0</v>
      </c>
      <c r="BG27" s="322">
        <f>'P NP KOLAM IKAN'!AT43</f>
        <v>0</v>
      </c>
      <c r="BH27" s="322">
        <f>'P NP KOLAM IKAN'!AS44</f>
        <v>0</v>
      </c>
      <c r="BI27" s="322">
        <f>'P NP KOLAM IKAN'!AT44</f>
        <v>0</v>
      </c>
      <c r="BJ27" s="322">
        <f>'P NP KOLAM IKAN'!AS45</f>
        <v>0</v>
      </c>
      <c r="BK27" s="322">
        <f>'P NP KOLAM IKAN'!AT45</f>
        <v>0</v>
      </c>
      <c r="BL27" s="322">
        <f>'P NP KOLAM IKAN'!AS46</f>
        <v>0</v>
      </c>
      <c r="BM27" s="322">
        <f>'P NP KOLAM IKAN'!AT46</f>
        <v>0</v>
      </c>
      <c r="BN27" s="322">
        <f>'P NP KOLAM IKAN'!AS47</f>
        <v>0</v>
      </c>
      <c r="BO27" s="322">
        <f>'P NP KOLAM IKAN'!AT47</f>
        <v>0</v>
      </c>
      <c r="BP27" s="322">
        <f>'P NP KOLAM IKAN'!AS48</f>
        <v>0</v>
      </c>
      <c r="BQ27" s="322">
        <f>'P NP KOLAM IKAN'!AT48</f>
        <v>0</v>
      </c>
      <c r="BR27" s="322">
        <f>'P NP KOLAM IKAN'!AS49</f>
        <v>0</v>
      </c>
      <c r="BS27" s="322">
        <f>'P NP KOLAM IKAN'!AT49</f>
        <v>0</v>
      </c>
      <c r="BT27" s="322">
        <f>'P NP KOLAM IKAN'!AS50</f>
        <v>0</v>
      </c>
      <c r="BU27" s="322">
        <f>'P NP KOLAM IKAN'!AT50</f>
        <v>0</v>
      </c>
      <c r="BV27" s="322">
        <f>'P NP KOLAM IKAN'!AS51</f>
        <v>0</v>
      </c>
      <c r="BW27" s="322">
        <f>'P NP KOLAM IKAN'!AT51</f>
        <v>0</v>
      </c>
      <c r="BX27" s="322">
        <f>'P NP KOLAM IKAN'!AS52</f>
        <v>0</v>
      </c>
      <c r="BY27" s="322">
        <f>'P NP KOLAM IKAN'!AT52</f>
        <v>0</v>
      </c>
    </row>
    <row r="28" spans="1:77">
      <c r="A28" s="260" t="s">
        <v>138</v>
      </c>
      <c r="B28" s="320">
        <f t="shared" si="2"/>
        <v>228949</v>
      </c>
      <c r="C28" s="320">
        <f t="shared" si="3"/>
        <v>5273422</v>
      </c>
      <c r="D28" s="322">
        <f>'P NP KOLAM IKAN'!AU8</f>
        <v>0</v>
      </c>
      <c r="E28" s="322">
        <f>'P NP KOLAM IKAN'!AV8</f>
        <v>0</v>
      </c>
      <c r="F28" s="322">
        <f>'P NP KOLAM IKAN'!AU9</f>
        <v>0</v>
      </c>
      <c r="G28" s="322">
        <f>'P NP KOLAM IKAN'!AV9</f>
        <v>0</v>
      </c>
      <c r="H28" s="322">
        <f>'P NP KOLAM IKAN'!AU10</f>
        <v>0</v>
      </c>
      <c r="I28" s="322">
        <f>'P NP KOLAM IKAN'!AV10</f>
        <v>0</v>
      </c>
      <c r="J28" s="322">
        <f>'P NP KOLAM IKAN'!AU11</f>
        <v>0</v>
      </c>
      <c r="K28" s="322">
        <f>'P NP KOLAM IKAN'!AV11</f>
        <v>0</v>
      </c>
      <c r="L28" s="322">
        <f>'P NP KOLAM IKAN'!AU12</f>
        <v>0</v>
      </c>
      <c r="M28" s="322">
        <f>'P NP KOLAM IKAN'!AV12</f>
        <v>0</v>
      </c>
      <c r="N28" s="322">
        <f>'P NP KOLAM IKAN'!AU13</f>
        <v>0</v>
      </c>
      <c r="O28" s="322">
        <f>'P NP KOLAM IKAN'!AV13</f>
        <v>0</v>
      </c>
      <c r="P28" s="322">
        <f>'P NP KOLAM IKAN'!AU14</f>
        <v>0</v>
      </c>
      <c r="Q28" s="322">
        <f>'P NP KOLAM IKAN'!AV14</f>
        <v>0</v>
      </c>
      <c r="R28" s="322">
        <f>'P NP KOLAM IKAN'!AU15</f>
        <v>0</v>
      </c>
      <c r="S28" s="322">
        <f>'P NP KOLAM IKAN'!AV15</f>
        <v>0</v>
      </c>
      <c r="T28" s="322">
        <f>'P NP KOLAM IKAN'!AU16</f>
        <v>0</v>
      </c>
      <c r="U28" s="322">
        <f>'P NP KOLAM IKAN'!AV16</f>
        <v>0</v>
      </c>
      <c r="V28" s="322">
        <f>'P NP KOLAM IKAN'!AU17</f>
        <v>0</v>
      </c>
      <c r="W28" s="322">
        <f>'P NP KOLAM IKAN'!AV17</f>
        <v>0</v>
      </c>
      <c r="X28" s="322">
        <f>'P NP KOLAM IKAN'!AU18</f>
        <v>0</v>
      </c>
      <c r="Y28" s="322">
        <f>'P NP KOLAM IKAN'!AV18</f>
        <v>0</v>
      </c>
      <c r="Z28" s="322">
        <f>'P NP KOLAM IKAN'!AU19</f>
        <v>0</v>
      </c>
      <c r="AA28" s="322">
        <f>'P NP KOLAM IKAN'!AV19</f>
        <v>0</v>
      </c>
      <c r="AB28" s="322">
        <f>'P NP KOLAM IKAN'!AU20</f>
        <v>0</v>
      </c>
      <c r="AC28" s="322">
        <f>'P NP KOLAM IKAN'!AV20</f>
        <v>0</v>
      </c>
      <c r="AD28" s="322">
        <f>'P NP KOLAM IKAN'!AU21</f>
        <v>227864</v>
      </c>
      <c r="AE28" s="322">
        <f>'P NP KOLAM IKAN'!AV21</f>
        <v>5240872</v>
      </c>
      <c r="AF28" s="322">
        <f>'P NP KOLAM IKAN'!AU22</f>
        <v>0</v>
      </c>
      <c r="AG28" s="322">
        <f>'P NP KOLAM IKAN'!AV22</f>
        <v>0</v>
      </c>
      <c r="AH28" s="322">
        <f>'P NP KOLAM IKAN'!AU23</f>
        <v>0</v>
      </c>
      <c r="AI28" s="322">
        <f>'P NP KOLAM IKAN'!AV23</f>
        <v>0</v>
      </c>
      <c r="AJ28" s="322">
        <f>'P NP KOLAM IKAN'!AU24</f>
        <v>0</v>
      </c>
      <c r="AK28" s="322">
        <f>'P NP KOLAM IKAN'!AV24</f>
        <v>0</v>
      </c>
      <c r="AL28" s="322">
        <f>'P NP KOLAM IKAN'!AU25</f>
        <v>0</v>
      </c>
      <c r="AM28" s="322">
        <f>'P NP KOLAM IKAN'!AV25</f>
        <v>0</v>
      </c>
      <c r="AN28" s="322">
        <f>'P NP KOLAM IKAN'!AU26</f>
        <v>1085</v>
      </c>
      <c r="AO28" s="322">
        <f>'P NP KOLAM IKAN'!AV26</f>
        <v>32550</v>
      </c>
      <c r="AP28" s="322">
        <f>'P NP KOLAM IKAN'!AU27</f>
        <v>0</v>
      </c>
      <c r="AQ28" s="322">
        <f>'P NP KOLAM IKAN'!AV27</f>
        <v>0</v>
      </c>
      <c r="AR28" s="322">
        <f>'P NP KOLAM IKAN'!AU28</f>
        <v>0</v>
      </c>
      <c r="AS28" s="322">
        <f>'P NP KOLAM IKAN'!AV28</f>
        <v>0</v>
      </c>
      <c r="AT28" s="322">
        <f>'P NP KOLAM IKAN'!AU29</f>
        <v>0</v>
      </c>
      <c r="AU28" s="322">
        <f>'P NP KOLAM IKAN'!AV29</f>
        <v>0</v>
      </c>
      <c r="AV28" s="322">
        <f>'P NP KOLAM IKAN'!AU30</f>
        <v>0</v>
      </c>
      <c r="AW28" s="322">
        <f>'P NP KOLAM IKAN'!AV30</f>
        <v>0</v>
      </c>
      <c r="AX28" s="322">
        <f>'P NP KOLAM IKAN'!AU31</f>
        <v>0</v>
      </c>
      <c r="AY28" s="322">
        <f>'P NP KOLAM IKAN'!AV31</f>
        <v>0</v>
      </c>
      <c r="AZ28" s="322">
        <f>'P NP KOLAM IKAN'!AU32</f>
        <v>0</v>
      </c>
      <c r="BA28" s="322">
        <f>'P NP KOLAM IKAN'!AV32</f>
        <v>0</v>
      </c>
      <c r="BB28" s="322">
        <f>'P NP KOLAM IKAN'!AU33</f>
        <v>0</v>
      </c>
      <c r="BC28" s="322">
        <f>'P NP KOLAM IKAN'!AV33</f>
        <v>0</v>
      </c>
      <c r="BD28" s="322">
        <f>'P NP KOLAM IKAN'!AU34</f>
        <v>0</v>
      </c>
      <c r="BE28" s="322">
        <f>'P NP KOLAM IKAN'!AV34</f>
        <v>0</v>
      </c>
      <c r="BF28" s="322">
        <f>'P NP KOLAM IKAN'!AU43</f>
        <v>0</v>
      </c>
      <c r="BG28" s="322">
        <f>'P NP KOLAM IKAN'!AV43</f>
        <v>0</v>
      </c>
      <c r="BH28" s="322">
        <f>'P NP KOLAM IKAN'!AU44</f>
        <v>0</v>
      </c>
      <c r="BI28" s="322">
        <f>'P NP KOLAM IKAN'!AV44</f>
        <v>0</v>
      </c>
      <c r="BJ28" s="322">
        <f>'P NP KOLAM IKAN'!AU45</f>
        <v>0</v>
      </c>
      <c r="BK28" s="322">
        <f>'P NP KOLAM IKAN'!AV45</f>
        <v>0</v>
      </c>
      <c r="BL28" s="322">
        <f>'P NP KOLAM IKAN'!AU46</f>
        <v>0</v>
      </c>
      <c r="BM28" s="322">
        <f>'P NP KOLAM IKAN'!AV46</f>
        <v>0</v>
      </c>
      <c r="BN28" s="322">
        <f>'P NP KOLAM IKAN'!AU47</f>
        <v>0</v>
      </c>
      <c r="BO28" s="322">
        <f>'P NP KOLAM IKAN'!AV47</f>
        <v>0</v>
      </c>
      <c r="BP28" s="322">
        <f>'P NP KOLAM IKAN'!AU48</f>
        <v>0</v>
      </c>
      <c r="BQ28" s="322">
        <f>'P NP KOLAM IKAN'!AV48</f>
        <v>0</v>
      </c>
      <c r="BR28" s="322">
        <f>'P NP KOLAM IKAN'!AU49</f>
        <v>0</v>
      </c>
      <c r="BS28" s="322">
        <f>'P NP KOLAM IKAN'!AV49</f>
        <v>0</v>
      </c>
      <c r="BT28" s="322">
        <f>'P NP KOLAM IKAN'!AU50</f>
        <v>0</v>
      </c>
      <c r="BU28" s="322">
        <f>'P NP KOLAM IKAN'!AV50</f>
        <v>0</v>
      </c>
      <c r="BV28" s="322">
        <f>'P NP KOLAM IKAN'!AU51</f>
        <v>0</v>
      </c>
      <c r="BW28" s="322">
        <f>'P NP KOLAM IKAN'!AV51</f>
        <v>0</v>
      </c>
      <c r="BX28" s="322">
        <f>'P NP KOLAM IKAN'!AU52</f>
        <v>0</v>
      </c>
      <c r="BY28" s="322">
        <f>'P NP KOLAM IKAN'!AV52</f>
        <v>0</v>
      </c>
    </row>
    <row r="29" spans="1:77">
      <c r="A29" s="260" t="s">
        <v>126</v>
      </c>
      <c r="B29" s="320">
        <f t="shared" si="2"/>
        <v>26544645</v>
      </c>
      <c r="C29" s="320">
        <f t="shared" si="3"/>
        <v>429100720</v>
      </c>
      <c r="D29" s="322">
        <f>'P NP KOLAM IKAN'!AW8</f>
        <v>0</v>
      </c>
      <c r="E29" s="322">
        <f>'P NP KOLAM IKAN'!AX8</f>
        <v>0</v>
      </c>
      <c r="F29" s="322">
        <f>'P NP KOLAM IKAN'!AW9</f>
        <v>0</v>
      </c>
      <c r="G29" s="322">
        <f>'P NP KOLAM IKAN'!AX9</f>
        <v>0</v>
      </c>
      <c r="H29" s="322">
        <f>'P NP KOLAM IKAN'!AW10</f>
        <v>0</v>
      </c>
      <c r="I29" s="322">
        <f>'P NP KOLAM IKAN'!AX10</f>
        <v>0</v>
      </c>
      <c r="J29" s="322">
        <f>'P NP KOLAM IKAN'!AW11</f>
        <v>0</v>
      </c>
      <c r="K29" s="322">
        <f>'P NP KOLAM IKAN'!AX11</f>
        <v>0</v>
      </c>
      <c r="L29" s="322">
        <f>'P NP KOLAM IKAN'!AW12</f>
        <v>0</v>
      </c>
      <c r="M29" s="322">
        <f>'P NP KOLAM IKAN'!AX12</f>
        <v>0</v>
      </c>
      <c r="N29" s="322">
        <f>'P NP KOLAM IKAN'!AW13</f>
        <v>0</v>
      </c>
      <c r="O29" s="322">
        <f>'P NP KOLAM IKAN'!AX13</f>
        <v>0</v>
      </c>
      <c r="P29" s="322">
        <f>'P NP KOLAM IKAN'!AW14</f>
        <v>252200</v>
      </c>
      <c r="Q29" s="322">
        <f>'P NP KOLAM IKAN'!AX14</f>
        <v>7061600</v>
      </c>
      <c r="R29" s="322">
        <f>'P NP KOLAM IKAN'!AW15</f>
        <v>0</v>
      </c>
      <c r="S29" s="322">
        <f>'P NP KOLAM IKAN'!AX15</f>
        <v>0</v>
      </c>
      <c r="T29" s="322">
        <f>'P NP KOLAM IKAN'!AW16</f>
        <v>0</v>
      </c>
      <c r="U29" s="322">
        <f>'P NP KOLAM IKAN'!AX16</f>
        <v>0</v>
      </c>
      <c r="V29" s="322">
        <f>'P NP KOLAM IKAN'!AW17</f>
        <v>0</v>
      </c>
      <c r="W29" s="322">
        <f>'P NP KOLAM IKAN'!AX17</f>
        <v>0</v>
      </c>
      <c r="X29" s="322">
        <f>'P NP KOLAM IKAN'!AW18</f>
        <v>0</v>
      </c>
      <c r="Y29" s="322">
        <f>'P NP KOLAM IKAN'!AX18</f>
        <v>0</v>
      </c>
      <c r="Z29" s="322">
        <f>'P NP KOLAM IKAN'!AW19</f>
        <v>0</v>
      </c>
      <c r="AA29" s="322">
        <f>'P NP KOLAM IKAN'!AX19</f>
        <v>0</v>
      </c>
      <c r="AB29" s="322">
        <f>'P NP KOLAM IKAN'!AW20</f>
        <v>0</v>
      </c>
      <c r="AC29" s="322">
        <f>'P NP KOLAM IKAN'!AX20</f>
        <v>0</v>
      </c>
      <c r="AD29" s="322">
        <f>'P NP KOLAM IKAN'!AW21</f>
        <v>25612445</v>
      </c>
      <c r="AE29" s="322">
        <f>'P NP KOLAM IKAN'!AX21</f>
        <v>409799120</v>
      </c>
      <c r="AF29" s="322">
        <f>'P NP KOLAM IKAN'!AW22</f>
        <v>0</v>
      </c>
      <c r="AG29" s="322">
        <f>'P NP KOLAM IKAN'!AX22</f>
        <v>0</v>
      </c>
      <c r="AH29" s="322">
        <f>'P NP KOLAM IKAN'!AW23</f>
        <v>0</v>
      </c>
      <c r="AI29" s="322">
        <f>'P NP KOLAM IKAN'!AX23</f>
        <v>0</v>
      </c>
      <c r="AJ29" s="322">
        <f>'P NP KOLAM IKAN'!AW24</f>
        <v>0</v>
      </c>
      <c r="AK29" s="322">
        <f>'P NP KOLAM IKAN'!AX24</f>
        <v>0</v>
      </c>
      <c r="AL29" s="322">
        <f>'P NP KOLAM IKAN'!AW25</f>
        <v>0</v>
      </c>
      <c r="AM29" s="322">
        <f>'P NP KOLAM IKAN'!AX25</f>
        <v>0</v>
      </c>
      <c r="AN29" s="322">
        <f>'P NP KOLAM IKAN'!AW26</f>
        <v>381700</v>
      </c>
      <c r="AO29" s="322">
        <f>'P NP KOLAM IKAN'!AX26</f>
        <v>6870600</v>
      </c>
      <c r="AP29" s="322">
        <f>'P NP KOLAM IKAN'!AW27</f>
        <v>298300</v>
      </c>
      <c r="AQ29" s="322">
        <f>'P NP KOLAM IKAN'!AX27</f>
        <v>5369400</v>
      </c>
      <c r="AR29" s="322">
        <f>'P NP KOLAM IKAN'!AW28</f>
        <v>0</v>
      </c>
      <c r="AS29" s="322">
        <f>'P NP KOLAM IKAN'!AX28</f>
        <v>0</v>
      </c>
      <c r="AT29" s="322">
        <f>'P NP KOLAM IKAN'!AW29</f>
        <v>0</v>
      </c>
      <c r="AU29" s="322">
        <f>'P NP KOLAM IKAN'!AX29</f>
        <v>0</v>
      </c>
      <c r="AV29" s="322">
        <f>'P NP KOLAM IKAN'!AW30</f>
        <v>0</v>
      </c>
      <c r="AW29" s="322">
        <f>'P NP KOLAM IKAN'!AX30</f>
        <v>0</v>
      </c>
      <c r="AX29" s="322">
        <f>'P NP KOLAM IKAN'!AW31</f>
        <v>0</v>
      </c>
      <c r="AY29" s="322">
        <f>'P NP KOLAM IKAN'!AX31</f>
        <v>0</v>
      </c>
      <c r="AZ29" s="322">
        <f>'P NP KOLAM IKAN'!AW32</f>
        <v>0</v>
      </c>
      <c r="BA29" s="322">
        <f>'P NP KOLAM IKAN'!AX32</f>
        <v>0</v>
      </c>
      <c r="BB29" s="322">
        <f>'P NP KOLAM IKAN'!AW33</f>
        <v>0</v>
      </c>
      <c r="BC29" s="322">
        <f>'P NP KOLAM IKAN'!AX33</f>
        <v>0</v>
      </c>
      <c r="BD29" s="322">
        <f>'P NP KOLAM IKAN'!AW34</f>
        <v>0</v>
      </c>
      <c r="BE29" s="322">
        <f>'P NP KOLAM IKAN'!AX34</f>
        <v>0</v>
      </c>
      <c r="BF29" s="322">
        <f>'P NP KOLAM IKAN'!AW43</f>
        <v>0</v>
      </c>
      <c r="BG29" s="322">
        <f>'P NP KOLAM IKAN'!AX43</f>
        <v>0</v>
      </c>
      <c r="BH29" s="322">
        <f>'P NP KOLAM IKAN'!AW44</f>
        <v>0</v>
      </c>
      <c r="BI29" s="322">
        <f>'P NP KOLAM IKAN'!AX44</f>
        <v>0</v>
      </c>
      <c r="BJ29" s="322">
        <f>'P NP KOLAM IKAN'!AW45</f>
        <v>0</v>
      </c>
      <c r="BK29" s="322">
        <f>'P NP KOLAM IKAN'!AX45</f>
        <v>0</v>
      </c>
      <c r="BL29" s="322">
        <f>'P NP KOLAM IKAN'!AW46</f>
        <v>0</v>
      </c>
      <c r="BM29" s="322">
        <f>'P NP KOLAM IKAN'!AX46</f>
        <v>0</v>
      </c>
      <c r="BN29" s="322">
        <f>'P NP KOLAM IKAN'!AW47</f>
        <v>0</v>
      </c>
      <c r="BO29" s="322">
        <f>'P NP KOLAM IKAN'!AX47</f>
        <v>0</v>
      </c>
      <c r="BP29" s="322">
        <f>'P NP KOLAM IKAN'!AW48</f>
        <v>0</v>
      </c>
      <c r="BQ29" s="322">
        <f>'P NP KOLAM IKAN'!AX48</f>
        <v>0</v>
      </c>
      <c r="BR29" s="322">
        <f>'P NP KOLAM IKAN'!AW49</f>
        <v>0</v>
      </c>
      <c r="BS29" s="322">
        <f>'P NP KOLAM IKAN'!AX49</f>
        <v>0</v>
      </c>
      <c r="BT29" s="322">
        <f>'P NP KOLAM IKAN'!AW50</f>
        <v>0</v>
      </c>
      <c r="BU29" s="322">
        <f>'P NP KOLAM IKAN'!AX50</f>
        <v>0</v>
      </c>
      <c r="BV29" s="322">
        <f>'P NP KOLAM IKAN'!AW51</f>
        <v>0</v>
      </c>
      <c r="BW29" s="322">
        <f>'P NP KOLAM IKAN'!AX51</f>
        <v>0</v>
      </c>
      <c r="BX29" s="322">
        <f>'P NP KOLAM IKAN'!AW52</f>
        <v>0</v>
      </c>
      <c r="BY29" s="322">
        <f>'P NP KOLAM IKAN'!AX52</f>
        <v>0</v>
      </c>
    </row>
    <row r="30" spans="1:77">
      <c r="A30" s="260" t="s">
        <v>123</v>
      </c>
      <c r="B30" s="320">
        <f t="shared" si="2"/>
        <v>637829</v>
      </c>
      <c r="C30" s="320">
        <f t="shared" si="3"/>
        <v>12175405</v>
      </c>
      <c r="D30" s="322">
        <f>'P NP KOLAM IKAN'!AY8</f>
        <v>0</v>
      </c>
      <c r="E30" s="322">
        <f>'P NP KOLAM IKAN'!AZ8</f>
        <v>0</v>
      </c>
      <c r="F30" s="322">
        <f>'P NP KOLAM IKAN'!AY9</f>
        <v>0</v>
      </c>
      <c r="G30" s="322">
        <f>'P NP KOLAM IKAN'!AZ9</f>
        <v>0</v>
      </c>
      <c r="H30" s="322">
        <f>'P NP KOLAM IKAN'!AY10</f>
        <v>0</v>
      </c>
      <c r="I30" s="322">
        <f>'P NP KOLAM IKAN'!AZ10</f>
        <v>0</v>
      </c>
      <c r="J30" s="322">
        <f>'P NP KOLAM IKAN'!AY11</f>
        <v>0</v>
      </c>
      <c r="K30" s="322">
        <f>'P NP KOLAM IKAN'!AZ11</f>
        <v>0</v>
      </c>
      <c r="L30" s="322">
        <f>'P NP KOLAM IKAN'!AY12</f>
        <v>0</v>
      </c>
      <c r="M30" s="322">
        <f>'P NP KOLAM IKAN'!AZ12</f>
        <v>0</v>
      </c>
      <c r="N30" s="322">
        <f>'P NP KOLAM IKAN'!AY13</f>
        <v>0</v>
      </c>
      <c r="O30" s="322">
        <f>'P NP KOLAM IKAN'!AZ13</f>
        <v>0</v>
      </c>
      <c r="P30" s="322">
        <f>'P NP KOLAM IKAN'!AY14</f>
        <v>2661</v>
      </c>
      <c r="Q30" s="322">
        <f>'P NP KOLAM IKAN'!AZ14</f>
        <v>104440</v>
      </c>
      <c r="R30" s="322">
        <f>'P NP KOLAM IKAN'!AY15</f>
        <v>0</v>
      </c>
      <c r="S30" s="322">
        <f>'P NP KOLAM IKAN'!AZ15</f>
        <v>0</v>
      </c>
      <c r="T30" s="322">
        <f>'P NP KOLAM IKAN'!AY16</f>
        <v>0</v>
      </c>
      <c r="U30" s="322">
        <f>'P NP KOLAM IKAN'!AZ16</f>
        <v>0</v>
      </c>
      <c r="V30" s="322">
        <f>'P NP KOLAM IKAN'!AY17</f>
        <v>0</v>
      </c>
      <c r="W30" s="322">
        <f>'P NP KOLAM IKAN'!AZ17</f>
        <v>0</v>
      </c>
      <c r="X30" s="322">
        <f>'P NP KOLAM IKAN'!AY18</f>
        <v>0</v>
      </c>
      <c r="Y30" s="322">
        <f>'P NP KOLAM IKAN'!AZ18</f>
        <v>0</v>
      </c>
      <c r="Z30" s="322">
        <f>'P NP KOLAM IKAN'!AY19</f>
        <v>0</v>
      </c>
      <c r="AA30" s="322">
        <f>'P NP KOLAM IKAN'!AZ19</f>
        <v>0</v>
      </c>
      <c r="AB30" s="322">
        <f>'P NP KOLAM IKAN'!AY20</f>
        <v>0</v>
      </c>
      <c r="AC30" s="322">
        <f>'P NP KOLAM IKAN'!AZ20</f>
        <v>0</v>
      </c>
      <c r="AD30" s="322">
        <f>'P NP KOLAM IKAN'!AY21</f>
        <v>634611</v>
      </c>
      <c r="AE30" s="322">
        <f>'P NP KOLAM IKAN'!AZ21</f>
        <v>12057609</v>
      </c>
      <c r="AF30" s="322">
        <f>'P NP KOLAM IKAN'!AY22</f>
        <v>0</v>
      </c>
      <c r="AG30" s="322">
        <f>'P NP KOLAM IKAN'!AZ22</f>
        <v>0</v>
      </c>
      <c r="AH30" s="322">
        <f>'P NP KOLAM IKAN'!AY23</f>
        <v>0</v>
      </c>
      <c r="AI30" s="322">
        <f>'P NP KOLAM IKAN'!AZ23</f>
        <v>0</v>
      </c>
      <c r="AJ30" s="322">
        <f>'P NP KOLAM IKAN'!AY24</f>
        <v>0</v>
      </c>
      <c r="AK30" s="322">
        <f>'P NP KOLAM IKAN'!AZ24</f>
        <v>0</v>
      </c>
      <c r="AL30" s="322">
        <f>'P NP KOLAM IKAN'!AY25</f>
        <v>0</v>
      </c>
      <c r="AM30" s="322">
        <f>'P NP KOLAM IKAN'!AZ25</f>
        <v>0</v>
      </c>
      <c r="AN30" s="322">
        <f>'P NP KOLAM IKAN'!AY26</f>
        <v>557</v>
      </c>
      <c r="AO30" s="322">
        <f>'P NP KOLAM IKAN'!AZ26</f>
        <v>13356</v>
      </c>
      <c r="AP30" s="322">
        <f>'P NP KOLAM IKAN'!AY27</f>
        <v>0</v>
      </c>
      <c r="AQ30" s="322">
        <f>'P NP KOLAM IKAN'!AZ27</f>
        <v>0</v>
      </c>
      <c r="AR30" s="322">
        <f>'P NP KOLAM IKAN'!AY28</f>
        <v>0</v>
      </c>
      <c r="AS30" s="322">
        <f>'P NP KOLAM IKAN'!AZ28</f>
        <v>0</v>
      </c>
      <c r="AT30" s="322">
        <f>'P NP KOLAM IKAN'!AY29</f>
        <v>0</v>
      </c>
      <c r="AU30" s="322">
        <f>'P NP KOLAM IKAN'!AZ29</f>
        <v>0</v>
      </c>
      <c r="AV30" s="322">
        <f>'P NP KOLAM IKAN'!AY30</f>
        <v>0</v>
      </c>
      <c r="AW30" s="322">
        <f>'P NP KOLAM IKAN'!AZ30</f>
        <v>0</v>
      </c>
      <c r="AX30" s="322">
        <f>'P NP KOLAM IKAN'!AY31</f>
        <v>0</v>
      </c>
      <c r="AY30" s="322">
        <f>'P NP KOLAM IKAN'!AZ31</f>
        <v>0</v>
      </c>
      <c r="AZ30" s="322">
        <f>'P NP KOLAM IKAN'!AY32</f>
        <v>0</v>
      </c>
      <c r="BA30" s="322">
        <f>'P NP KOLAM IKAN'!AZ32</f>
        <v>0</v>
      </c>
      <c r="BB30" s="322">
        <f>'P NP KOLAM IKAN'!AY33</f>
        <v>0</v>
      </c>
      <c r="BC30" s="322">
        <f>'P NP KOLAM IKAN'!AZ33</f>
        <v>0</v>
      </c>
      <c r="BD30" s="322">
        <f>'P NP KOLAM IKAN'!AY34</f>
        <v>0</v>
      </c>
      <c r="BE30" s="322">
        <f>'P NP KOLAM IKAN'!AZ34</f>
        <v>0</v>
      </c>
      <c r="BF30" s="322">
        <f>'P NP KOLAM IKAN'!AY43</f>
        <v>0</v>
      </c>
      <c r="BG30" s="322">
        <f>'P NP KOLAM IKAN'!AZ43</f>
        <v>0</v>
      </c>
      <c r="BH30" s="322">
        <f>'P NP KOLAM IKAN'!AY44</f>
        <v>0</v>
      </c>
      <c r="BI30" s="322">
        <f>'P NP KOLAM IKAN'!AZ44</f>
        <v>0</v>
      </c>
      <c r="BJ30" s="322">
        <f>'P NP KOLAM IKAN'!AY45</f>
        <v>0</v>
      </c>
      <c r="BK30" s="322">
        <f>'P NP KOLAM IKAN'!AZ45</f>
        <v>0</v>
      </c>
      <c r="BL30" s="322">
        <f>'P NP KOLAM IKAN'!AY46</f>
        <v>0</v>
      </c>
      <c r="BM30" s="322">
        <f>'P NP KOLAM IKAN'!AZ46</f>
        <v>0</v>
      </c>
      <c r="BN30" s="322">
        <f>'P NP KOLAM IKAN'!AY47</f>
        <v>0</v>
      </c>
      <c r="BO30" s="322">
        <f>'P NP KOLAM IKAN'!AZ47</f>
        <v>0</v>
      </c>
      <c r="BP30" s="322">
        <f>'P NP KOLAM IKAN'!AY48</f>
        <v>0</v>
      </c>
      <c r="BQ30" s="322">
        <f>'P NP KOLAM IKAN'!AZ48</f>
        <v>0</v>
      </c>
      <c r="BR30" s="322">
        <f>'P NP KOLAM IKAN'!AY49</f>
        <v>0</v>
      </c>
      <c r="BS30" s="322">
        <f>'P NP KOLAM IKAN'!AZ49</f>
        <v>0</v>
      </c>
      <c r="BT30" s="322">
        <f>'P NP KOLAM IKAN'!AY50</f>
        <v>0</v>
      </c>
      <c r="BU30" s="322">
        <f>'P NP KOLAM IKAN'!AZ50</f>
        <v>0</v>
      </c>
      <c r="BV30" s="322">
        <f>'P NP KOLAM IKAN'!AY51</f>
        <v>0</v>
      </c>
      <c r="BW30" s="322">
        <f>'P NP KOLAM IKAN'!AZ51</f>
        <v>0</v>
      </c>
      <c r="BX30" s="322">
        <f>'P NP KOLAM IKAN'!AY52</f>
        <v>0</v>
      </c>
      <c r="BY30" s="322">
        <f>'P NP KOLAM IKAN'!AZ52</f>
        <v>0</v>
      </c>
    </row>
    <row r="31" spans="1:77">
      <c r="A31" s="260" t="s">
        <v>140</v>
      </c>
      <c r="B31" s="320">
        <f t="shared" si="2"/>
        <v>2548876.4</v>
      </c>
      <c r="C31" s="320">
        <f t="shared" si="3"/>
        <v>24139934.899999999</v>
      </c>
      <c r="D31" s="322">
        <f>'P NP KOLAM IKAN'!BA8</f>
        <v>0</v>
      </c>
      <c r="E31" s="322">
        <f>'P NP KOLAM IKAN'!BB8</f>
        <v>0</v>
      </c>
      <c r="F31" s="322">
        <f>'P NP KOLAM IKAN'!BA9</f>
        <v>0</v>
      </c>
      <c r="G31" s="322">
        <f>'P NP KOLAM IKAN'!BB9</f>
        <v>0</v>
      </c>
      <c r="H31" s="322">
        <f>'P NP KOLAM IKAN'!BA10</f>
        <v>0</v>
      </c>
      <c r="I31" s="322">
        <f>'P NP KOLAM IKAN'!BB10</f>
        <v>0</v>
      </c>
      <c r="J31" s="322">
        <f>'P NP KOLAM IKAN'!BA11</f>
        <v>0</v>
      </c>
      <c r="K31" s="322">
        <f>'P NP KOLAM IKAN'!BB11</f>
        <v>0</v>
      </c>
      <c r="L31" s="322">
        <f>'P NP KOLAM IKAN'!BA12</f>
        <v>0</v>
      </c>
      <c r="M31" s="322">
        <f>'P NP KOLAM IKAN'!BB12</f>
        <v>0</v>
      </c>
      <c r="N31" s="322">
        <f>'P NP KOLAM IKAN'!BA13</f>
        <v>0</v>
      </c>
      <c r="O31" s="322">
        <f>'P NP KOLAM IKAN'!BB13</f>
        <v>0</v>
      </c>
      <c r="P31" s="322">
        <f>'P NP KOLAM IKAN'!BA14</f>
        <v>14987</v>
      </c>
      <c r="Q31" s="322">
        <f>'P NP KOLAM IKAN'!BB14</f>
        <v>758558</v>
      </c>
      <c r="R31" s="322">
        <f>'P NP KOLAM IKAN'!BA15</f>
        <v>0</v>
      </c>
      <c r="S31" s="322">
        <f>'P NP KOLAM IKAN'!BB15</f>
        <v>0</v>
      </c>
      <c r="T31" s="322">
        <f>'P NP KOLAM IKAN'!BA16</f>
        <v>0</v>
      </c>
      <c r="U31" s="322">
        <f>'P NP KOLAM IKAN'!BB16</f>
        <v>0</v>
      </c>
      <c r="V31" s="322">
        <f>'P NP KOLAM IKAN'!BA17</f>
        <v>0</v>
      </c>
      <c r="W31" s="322">
        <f>'P NP KOLAM IKAN'!BB17</f>
        <v>0</v>
      </c>
      <c r="X31" s="322">
        <f>'P NP KOLAM IKAN'!BA18</f>
        <v>0</v>
      </c>
      <c r="Y31" s="322">
        <f>'P NP KOLAM IKAN'!BB18</f>
        <v>0</v>
      </c>
      <c r="Z31" s="322">
        <f>'P NP KOLAM IKAN'!BA19</f>
        <v>0</v>
      </c>
      <c r="AA31" s="322">
        <f>'P NP KOLAM IKAN'!BB19</f>
        <v>0</v>
      </c>
      <c r="AB31" s="322">
        <f>'P NP KOLAM IKAN'!BA20</f>
        <v>0</v>
      </c>
      <c r="AC31" s="322">
        <f>'P NP KOLAM IKAN'!BB20</f>
        <v>0</v>
      </c>
      <c r="AD31" s="322">
        <f>'P NP KOLAM IKAN'!BA21</f>
        <v>2533889.4</v>
      </c>
      <c r="AE31" s="322">
        <f>'P NP KOLAM IKAN'!BB21</f>
        <v>23381376.899999999</v>
      </c>
      <c r="AF31" s="322">
        <f>'P NP KOLAM IKAN'!BA22</f>
        <v>0</v>
      </c>
      <c r="AG31" s="322">
        <f>'P NP KOLAM IKAN'!BB22</f>
        <v>0</v>
      </c>
      <c r="AH31" s="322">
        <f>'P NP KOLAM IKAN'!BA23</f>
        <v>0</v>
      </c>
      <c r="AI31" s="322">
        <f>'P NP KOLAM IKAN'!BB23</f>
        <v>0</v>
      </c>
      <c r="AJ31" s="322">
        <f>'P NP KOLAM IKAN'!BA24</f>
        <v>0</v>
      </c>
      <c r="AK31" s="322">
        <f>'P NP KOLAM IKAN'!BB24</f>
        <v>0</v>
      </c>
      <c r="AL31" s="322">
        <f>'P NP KOLAM IKAN'!BA25</f>
        <v>0</v>
      </c>
      <c r="AM31" s="322">
        <f>'P NP KOLAM IKAN'!BB25</f>
        <v>0</v>
      </c>
      <c r="AN31" s="322">
        <f>'P NP KOLAM IKAN'!BA26</f>
        <v>0</v>
      </c>
      <c r="AO31" s="322">
        <f>'P NP KOLAM IKAN'!BB26</f>
        <v>0</v>
      </c>
      <c r="AP31" s="322">
        <f>'P NP KOLAM IKAN'!BA27</f>
        <v>0</v>
      </c>
      <c r="AQ31" s="322">
        <f>'P NP KOLAM IKAN'!BB27</f>
        <v>0</v>
      </c>
      <c r="AR31" s="322">
        <f>'P NP KOLAM IKAN'!BA28</f>
        <v>0</v>
      </c>
      <c r="AS31" s="322">
        <f>'P NP KOLAM IKAN'!BB28</f>
        <v>0</v>
      </c>
      <c r="AT31" s="322">
        <f>'P NP KOLAM IKAN'!BA29</f>
        <v>0</v>
      </c>
      <c r="AU31" s="322">
        <f>'P NP KOLAM IKAN'!BB29</f>
        <v>0</v>
      </c>
      <c r="AV31" s="322">
        <f>'P NP KOLAM IKAN'!BA30</f>
        <v>0</v>
      </c>
      <c r="AW31" s="322">
        <f>'P NP KOLAM IKAN'!BB30</f>
        <v>0</v>
      </c>
      <c r="AX31" s="322">
        <f>'P NP KOLAM IKAN'!BA31</f>
        <v>0</v>
      </c>
      <c r="AY31" s="322">
        <f>'P NP KOLAM IKAN'!BB31</f>
        <v>0</v>
      </c>
      <c r="AZ31" s="322">
        <f>'P NP KOLAM IKAN'!BA32</f>
        <v>0</v>
      </c>
      <c r="BA31" s="322">
        <f>'P NP KOLAM IKAN'!BB32</f>
        <v>0</v>
      </c>
      <c r="BB31" s="322">
        <f>'P NP KOLAM IKAN'!BA33</f>
        <v>0</v>
      </c>
      <c r="BC31" s="322">
        <f>'P NP KOLAM IKAN'!BB33</f>
        <v>0</v>
      </c>
      <c r="BD31" s="322">
        <f>'P NP KOLAM IKAN'!BA34</f>
        <v>0</v>
      </c>
      <c r="BE31" s="322">
        <f>'P NP KOLAM IKAN'!BB34</f>
        <v>0</v>
      </c>
      <c r="BF31" s="322">
        <f>'P NP KOLAM IKAN'!BA43</f>
        <v>0</v>
      </c>
      <c r="BG31" s="322">
        <f>'P NP KOLAM IKAN'!BB43</f>
        <v>0</v>
      </c>
      <c r="BH31" s="322">
        <f>'P NP KOLAM IKAN'!BA44</f>
        <v>0</v>
      </c>
      <c r="BI31" s="322">
        <f>'P NP KOLAM IKAN'!BB44</f>
        <v>0</v>
      </c>
      <c r="BJ31" s="322">
        <f>'P NP KOLAM IKAN'!BA45</f>
        <v>0</v>
      </c>
      <c r="BK31" s="322">
        <f>'P NP KOLAM IKAN'!BB45</f>
        <v>0</v>
      </c>
      <c r="BL31" s="322">
        <f>'P NP KOLAM IKAN'!BA46</f>
        <v>0</v>
      </c>
      <c r="BM31" s="322">
        <f>'P NP KOLAM IKAN'!BB46</f>
        <v>0</v>
      </c>
      <c r="BN31" s="322">
        <f>'P NP KOLAM IKAN'!BA47</f>
        <v>0</v>
      </c>
      <c r="BO31" s="322">
        <f>'P NP KOLAM IKAN'!BB47</f>
        <v>0</v>
      </c>
      <c r="BP31" s="322">
        <f>'P NP KOLAM IKAN'!BA48</f>
        <v>0</v>
      </c>
      <c r="BQ31" s="322">
        <f>'P NP KOLAM IKAN'!BB48</f>
        <v>0</v>
      </c>
      <c r="BR31" s="322">
        <f>'P NP KOLAM IKAN'!BA49</f>
        <v>0</v>
      </c>
      <c r="BS31" s="322">
        <f>'P NP KOLAM IKAN'!BB49</f>
        <v>0</v>
      </c>
      <c r="BT31" s="322">
        <f>'P NP KOLAM IKAN'!BA50</f>
        <v>0</v>
      </c>
      <c r="BU31" s="322">
        <f>'P NP KOLAM IKAN'!BB50</f>
        <v>0</v>
      </c>
      <c r="BV31" s="322">
        <f>'P NP KOLAM IKAN'!BA51</f>
        <v>0</v>
      </c>
      <c r="BW31" s="322">
        <f>'P NP KOLAM IKAN'!BB51</f>
        <v>0</v>
      </c>
      <c r="BX31" s="322">
        <f>'P NP KOLAM IKAN'!BA52</f>
        <v>0</v>
      </c>
      <c r="BY31" s="322">
        <f>'P NP KOLAM IKAN'!BB52</f>
        <v>0</v>
      </c>
    </row>
    <row r="32" spans="1:77">
      <c r="A32" s="260" t="s">
        <v>114</v>
      </c>
      <c r="B32" s="320">
        <f t="shared" si="2"/>
        <v>4813018</v>
      </c>
      <c r="C32" s="320">
        <f t="shared" si="3"/>
        <v>86957019</v>
      </c>
      <c r="D32" s="322">
        <f>'P NP KOLAM IKAN'!BC8</f>
        <v>0</v>
      </c>
      <c r="E32" s="322">
        <f>'P NP KOLAM IKAN'!BD8</f>
        <v>0</v>
      </c>
      <c r="F32" s="322">
        <f>'P NP KOLAM IKAN'!BC9</f>
        <v>0</v>
      </c>
      <c r="G32" s="322">
        <f>'P NP KOLAM IKAN'!BD9</f>
        <v>0</v>
      </c>
      <c r="H32" s="322">
        <f>'P NP KOLAM IKAN'!BC10</f>
        <v>0</v>
      </c>
      <c r="I32" s="322">
        <f>'P NP KOLAM IKAN'!BD10</f>
        <v>0</v>
      </c>
      <c r="J32" s="322">
        <f>'P NP KOLAM IKAN'!BC11</f>
        <v>0</v>
      </c>
      <c r="K32" s="322">
        <f>'P NP KOLAM IKAN'!BD11</f>
        <v>0</v>
      </c>
      <c r="L32" s="322">
        <f>'P NP KOLAM IKAN'!BC12</f>
        <v>8796</v>
      </c>
      <c r="M32" s="322">
        <f>'P NP KOLAM IKAN'!BD12</f>
        <v>253244</v>
      </c>
      <c r="N32" s="322">
        <f>'P NP KOLAM IKAN'!BC13</f>
        <v>0</v>
      </c>
      <c r="O32" s="322">
        <f>'P NP KOLAM IKAN'!BD13</f>
        <v>0</v>
      </c>
      <c r="P32" s="322">
        <f>'P NP KOLAM IKAN'!BC14</f>
        <v>276277</v>
      </c>
      <c r="Q32" s="322">
        <f>'P NP KOLAM IKAN'!BD14</f>
        <v>6340330</v>
      </c>
      <c r="R32" s="322">
        <f>'P NP KOLAM IKAN'!BC15</f>
        <v>0</v>
      </c>
      <c r="S32" s="322">
        <f>'P NP KOLAM IKAN'!BD15</f>
        <v>0</v>
      </c>
      <c r="T32" s="322">
        <f>'P NP KOLAM IKAN'!BC16</f>
        <v>0</v>
      </c>
      <c r="U32" s="322">
        <f>'P NP KOLAM IKAN'!BD16</f>
        <v>0</v>
      </c>
      <c r="V32" s="322">
        <f>'P NP KOLAM IKAN'!BC17</f>
        <v>0</v>
      </c>
      <c r="W32" s="322">
        <f>'P NP KOLAM IKAN'!BD17</f>
        <v>0</v>
      </c>
      <c r="X32" s="322">
        <f>'P NP KOLAM IKAN'!BC18</f>
        <v>0</v>
      </c>
      <c r="Y32" s="322">
        <f>'P NP KOLAM IKAN'!BD18</f>
        <v>0</v>
      </c>
      <c r="Z32" s="322">
        <f>'P NP KOLAM IKAN'!BC19</f>
        <v>0</v>
      </c>
      <c r="AA32" s="322">
        <f>'P NP KOLAM IKAN'!BD19</f>
        <v>0</v>
      </c>
      <c r="AB32" s="322">
        <f>'P NP KOLAM IKAN'!BC20</f>
        <v>0</v>
      </c>
      <c r="AC32" s="322">
        <f>'P NP KOLAM IKAN'!BD20</f>
        <v>0</v>
      </c>
      <c r="AD32" s="322">
        <f>'P NP KOLAM IKAN'!BC21</f>
        <v>3853897</v>
      </c>
      <c r="AE32" s="322">
        <f>'P NP KOLAM IKAN'!BD21</f>
        <v>68578304</v>
      </c>
      <c r="AF32" s="322">
        <f>'P NP KOLAM IKAN'!BC22</f>
        <v>0</v>
      </c>
      <c r="AG32" s="322">
        <f>'P NP KOLAM IKAN'!BD22</f>
        <v>0</v>
      </c>
      <c r="AH32" s="322">
        <f>'P NP KOLAM IKAN'!BC23</f>
        <v>0</v>
      </c>
      <c r="AI32" s="322">
        <f>'P NP KOLAM IKAN'!BD23</f>
        <v>0</v>
      </c>
      <c r="AJ32" s="322">
        <f>'P NP KOLAM IKAN'!BC24</f>
        <v>0</v>
      </c>
      <c r="AK32" s="322">
        <f>'P NP KOLAM IKAN'!BD24</f>
        <v>0</v>
      </c>
      <c r="AL32" s="322">
        <f>'P NP KOLAM IKAN'!BC25</f>
        <v>0</v>
      </c>
      <c r="AM32" s="322">
        <f>'P NP KOLAM IKAN'!BD25</f>
        <v>0</v>
      </c>
      <c r="AN32" s="322">
        <f>'P NP KOLAM IKAN'!BC26</f>
        <v>168796</v>
      </c>
      <c r="AO32" s="322">
        <f>'P NP KOLAM IKAN'!BD26</f>
        <v>3245637</v>
      </c>
      <c r="AP32" s="322">
        <f>'P NP KOLAM IKAN'!BC27</f>
        <v>505252</v>
      </c>
      <c r="AQ32" s="322">
        <f>'P NP KOLAM IKAN'!BD27</f>
        <v>8539504</v>
      </c>
      <c r="AR32" s="322">
        <f>'P NP KOLAM IKAN'!BC28</f>
        <v>0</v>
      </c>
      <c r="AS32" s="322">
        <f>'P NP KOLAM IKAN'!BD28</f>
        <v>0</v>
      </c>
      <c r="AT32" s="322">
        <f>'P NP KOLAM IKAN'!BC29</f>
        <v>0</v>
      </c>
      <c r="AU32" s="322">
        <f>'P NP KOLAM IKAN'!BD29</f>
        <v>0</v>
      </c>
      <c r="AV32" s="322">
        <f>'P NP KOLAM IKAN'!BC30</f>
        <v>0</v>
      </c>
      <c r="AW32" s="322">
        <f>'P NP KOLAM IKAN'!BD30</f>
        <v>0</v>
      </c>
      <c r="AX32" s="322">
        <f>'P NP KOLAM IKAN'!BC31</f>
        <v>0</v>
      </c>
      <c r="AY32" s="322">
        <f>'P NP KOLAM IKAN'!BD31</f>
        <v>0</v>
      </c>
      <c r="AZ32" s="322">
        <f>'P NP KOLAM IKAN'!BC32</f>
        <v>0</v>
      </c>
      <c r="BA32" s="322">
        <f>'P NP KOLAM IKAN'!BD32</f>
        <v>0</v>
      </c>
      <c r="BB32" s="322">
        <f>'P NP KOLAM IKAN'!BC33</f>
        <v>0</v>
      </c>
      <c r="BC32" s="322">
        <f>'P NP KOLAM IKAN'!BD33</f>
        <v>0</v>
      </c>
      <c r="BD32" s="322">
        <f>'P NP KOLAM IKAN'!BC34</f>
        <v>0</v>
      </c>
      <c r="BE32" s="322">
        <f>'P NP KOLAM IKAN'!BD34</f>
        <v>0</v>
      </c>
      <c r="BF32" s="322">
        <f>'P NP KOLAM IKAN'!BC43</f>
        <v>0</v>
      </c>
      <c r="BG32" s="322">
        <f>'P NP KOLAM IKAN'!BD43</f>
        <v>0</v>
      </c>
      <c r="BH32" s="322">
        <f>'P NP KOLAM IKAN'!BC44</f>
        <v>0</v>
      </c>
      <c r="BI32" s="322">
        <f>'P NP KOLAM IKAN'!BD44</f>
        <v>0</v>
      </c>
      <c r="BJ32" s="322">
        <f>'P NP KOLAM IKAN'!BC45</f>
        <v>0</v>
      </c>
      <c r="BK32" s="322">
        <f>'P NP KOLAM IKAN'!BD45</f>
        <v>0</v>
      </c>
      <c r="BL32" s="322">
        <f>'P NP KOLAM IKAN'!BC46</f>
        <v>0</v>
      </c>
      <c r="BM32" s="322">
        <f>'P NP KOLAM IKAN'!BD46</f>
        <v>0</v>
      </c>
      <c r="BN32" s="322">
        <f>'P NP KOLAM IKAN'!BC47</f>
        <v>0</v>
      </c>
      <c r="BO32" s="322">
        <f>'P NP KOLAM IKAN'!BD47</f>
        <v>0</v>
      </c>
      <c r="BP32" s="322">
        <f>'P NP KOLAM IKAN'!BC48</f>
        <v>0</v>
      </c>
      <c r="BQ32" s="322">
        <f>'P NP KOLAM IKAN'!BD48</f>
        <v>0</v>
      </c>
      <c r="BR32" s="322">
        <f>'P NP KOLAM IKAN'!BC49</f>
        <v>0</v>
      </c>
      <c r="BS32" s="322">
        <f>'P NP KOLAM IKAN'!BD49</f>
        <v>0</v>
      </c>
      <c r="BT32" s="322">
        <f>'P NP KOLAM IKAN'!BC50</f>
        <v>0</v>
      </c>
      <c r="BU32" s="322">
        <f>'P NP KOLAM IKAN'!BD50</f>
        <v>0</v>
      </c>
      <c r="BV32" s="322">
        <f>'P NP KOLAM IKAN'!BC51</f>
        <v>0</v>
      </c>
      <c r="BW32" s="322">
        <f>'P NP KOLAM IKAN'!BD51</f>
        <v>0</v>
      </c>
      <c r="BX32" s="322">
        <f>'P NP KOLAM IKAN'!BC52</f>
        <v>0</v>
      </c>
      <c r="BY32" s="322">
        <f>'P NP KOLAM IKAN'!BD52</f>
        <v>0</v>
      </c>
    </row>
    <row r="33" spans="1:77">
      <c r="A33" s="260" t="s">
        <v>134</v>
      </c>
      <c r="B33" s="320">
        <f t="shared" si="2"/>
        <v>15105580</v>
      </c>
      <c r="C33" s="320">
        <f t="shared" si="3"/>
        <v>283634856.41100001</v>
      </c>
      <c r="D33" s="322">
        <f>'P NP KOLAM IKAN'!BE8</f>
        <v>0</v>
      </c>
      <c r="E33" s="322">
        <f>'P NP KOLAM IKAN'!BF8</f>
        <v>0</v>
      </c>
      <c r="F33" s="322">
        <f>'P NP KOLAM IKAN'!BE9</f>
        <v>188257</v>
      </c>
      <c r="G33" s="322">
        <f>'P NP KOLAM IKAN'!BF9</f>
        <v>3566600</v>
      </c>
      <c r="H33" s="322">
        <f>'P NP KOLAM IKAN'!BE10</f>
        <v>0</v>
      </c>
      <c r="I33" s="322">
        <f>'P NP KOLAM IKAN'!BF10</f>
        <v>0</v>
      </c>
      <c r="J33" s="322">
        <f>'P NP KOLAM IKAN'!BE11</f>
        <v>0</v>
      </c>
      <c r="K33" s="322">
        <f>'P NP KOLAM IKAN'!BF11</f>
        <v>0</v>
      </c>
      <c r="L33" s="322">
        <f>'P NP KOLAM IKAN'!BE12</f>
        <v>113790</v>
      </c>
      <c r="M33" s="322">
        <f>'P NP KOLAM IKAN'!BF12</f>
        <v>5659450</v>
      </c>
      <c r="N33" s="322">
        <f>'P NP KOLAM IKAN'!BE13</f>
        <v>0</v>
      </c>
      <c r="O33" s="322">
        <f>'P NP KOLAM IKAN'!BF13</f>
        <v>0</v>
      </c>
      <c r="P33" s="322">
        <f>'P NP KOLAM IKAN'!BE14</f>
        <v>149543</v>
      </c>
      <c r="Q33" s="322">
        <f>'P NP KOLAM IKAN'!BF14</f>
        <v>7192090</v>
      </c>
      <c r="R33" s="322">
        <f>'P NP KOLAM IKAN'!BE15</f>
        <v>0</v>
      </c>
      <c r="S33" s="322">
        <f>'P NP KOLAM IKAN'!BF15</f>
        <v>0</v>
      </c>
      <c r="T33" s="322">
        <f>'P NP KOLAM IKAN'!BE16</f>
        <v>0</v>
      </c>
      <c r="U33" s="322">
        <f>'P NP KOLAM IKAN'!BF16</f>
        <v>0</v>
      </c>
      <c r="V33" s="322">
        <f>'P NP KOLAM IKAN'!BE17</f>
        <v>0</v>
      </c>
      <c r="W33" s="322">
        <f>'P NP KOLAM IKAN'!BF17</f>
        <v>0</v>
      </c>
      <c r="X33" s="322">
        <f>'P NP KOLAM IKAN'!BE18</f>
        <v>0</v>
      </c>
      <c r="Y33" s="322">
        <f>'P NP KOLAM IKAN'!BF18</f>
        <v>0</v>
      </c>
      <c r="Z33" s="322">
        <f>'P NP KOLAM IKAN'!BE19</f>
        <v>0</v>
      </c>
      <c r="AA33" s="322">
        <f>'P NP KOLAM IKAN'!BF19</f>
        <v>0</v>
      </c>
      <c r="AB33" s="322">
        <f>'P NP KOLAM IKAN'!BE20</f>
        <v>0</v>
      </c>
      <c r="AC33" s="322">
        <f>'P NP KOLAM IKAN'!BF20</f>
        <v>0</v>
      </c>
      <c r="AD33" s="322">
        <f>'P NP KOLAM IKAN'!BE21</f>
        <v>9699815</v>
      </c>
      <c r="AE33" s="322">
        <f>'P NP KOLAM IKAN'!BF21</f>
        <v>183124311.41100001</v>
      </c>
      <c r="AF33" s="322">
        <f>'P NP KOLAM IKAN'!BE22</f>
        <v>0</v>
      </c>
      <c r="AG33" s="322">
        <f>'P NP KOLAM IKAN'!BF22</f>
        <v>0</v>
      </c>
      <c r="AH33" s="322">
        <f>'P NP KOLAM IKAN'!BE23</f>
        <v>0</v>
      </c>
      <c r="AI33" s="322">
        <f>'P NP KOLAM IKAN'!BF23</f>
        <v>0</v>
      </c>
      <c r="AJ33" s="322">
        <f>'P NP KOLAM IKAN'!BE24</f>
        <v>1665420</v>
      </c>
      <c r="AK33" s="322">
        <f>'P NP KOLAM IKAN'!BF24</f>
        <v>29977560</v>
      </c>
      <c r="AL33" s="322">
        <f>'P NP KOLAM IKAN'!BE25</f>
        <v>0</v>
      </c>
      <c r="AM33" s="322">
        <f>'P NP KOLAM IKAN'!BF25</f>
        <v>0</v>
      </c>
      <c r="AN33" s="322">
        <f>'P NP KOLAM IKAN'!BE26</f>
        <v>1845865</v>
      </c>
      <c r="AO33" s="322">
        <f>'P NP KOLAM IKAN'!BF26</f>
        <v>33127030</v>
      </c>
      <c r="AP33" s="322">
        <f>'P NP KOLAM IKAN'!BE27</f>
        <v>539950</v>
      </c>
      <c r="AQ33" s="322">
        <f>'P NP KOLAM IKAN'!BF27</f>
        <v>8111430</v>
      </c>
      <c r="AR33" s="322">
        <f>'P NP KOLAM IKAN'!BE28</f>
        <v>0</v>
      </c>
      <c r="AS33" s="322">
        <f>'P NP KOLAM IKAN'!BF28</f>
        <v>0</v>
      </c>
      <c r="AT33" s="322">
        <f>'P NP KOLAM IKAN'!BE29</f>
        <v>902940</v>
      </c>
      <c r="AU33" s="322">
        <f>'P NP KOLAM IKAN'!BF29</f>
        <v>12876385</v>
      </c>
      <c r="AV33" s="322">
        <f>'P NP KOLAM IKAN'!BE30</f>
        <v>0</v>
      </c>
      <c r="AW33" s="322">
        <f>'P NP KOLAM IKAN'!BF30</f>
        <v>0</v>
      </c>
      <c r="AX33" s="322">
        <f>'P NP KOLAM IKAN'!BE31</f>
        <v>0</v>
      </c>
      <c r="AY33" s="322">
        <f>'P NP KOLAM IKAN'!BF31</f>
        <v>0</v>
      </c>
      <c r="AZ33" s="322">
        <f>'P NP KOLAM IKAN'!BE32</f>
        <v>0</v>
      </c>
      <c r="BA33" s="322">
        <f>'P NP KOLAM IKAN'!BF32</f>
        <v>0</v>
      </c>
      <c r="BB33" s="322">
        <f>'P NP KOLAM IKAN'!BE33</f>
        <v>0</v>
      </c>
      <c r="BC33" s="322">
        <f>'P NP KOLAM IKAN'!BF33</f>
        <v>0</v>
      </c>
      <c r="BD33" s="322">
        <f>'P NP KOLAM IKAN'!BE34</f>
        <v>0</v>
      </c>
      <c r="BE33" s="322">
        <f>'P NP KOLAM IKAN'!BF34</f>
        <v>0</v>
      </c>
      <c r="BF33" s="322">
        <f>'P NP KOLAM IKAN'!BE43</f>
        <v>0</v>
      </c>
      <c r="BG33" s="322">
        <f>'P NP KOLAM IKAN'!BF43</f>
        <v>0</v>
      </c>
      <c r="BH33" s="322">
        <f>'P NP KOLAM IKAN'!BE44</f>
        <v>0</v>
      </c>
      <c r="BI33" s="322">
        <f>'P NP KOLAM IKAN'!BF44</f>
        <v>0</v>
      </c>
      <c r="BJ33" s="322">
        <f>'P NP KOLAM IKAN'!BE45</f>
        <v>0</v>
      </c>
      <c r="BK33" s="322">
        <f>'P NP KOLAM IKAN'!BF45</f>
        <v>0</v>
      </c>
      <c r="BL33" s="322">
        <f>'P NP KOLAM IKAN'!BE46</f>
        <v>0</v>
      </c>
      <c r="BM33" s="322">
        <f>'P NP KOLAM IKAN'!BF46</f>
        <v>0</v>
      </c>
      <c r="BN33" s="322">
        <f>'P NP KOLAM IKAN'!BE47</f>
        <v>0</v>
      </c>
      <c r="BO33" s="322">
        <f>'P NP KOLAM IKAN'!BF47</f>
        <v>0</v>
      </c>
      <c r="BP33" s="322">
        <f>'P NP KOLAM IKAN'!BE48</f>
        <v>0</v>
      </c>
      <c r="BQ33" s="322">
        <f>'P NP KOLAM IKAN'!BF48</f>
        <v>0</v>
      </c>
      <c r="BR33" s="322">
        <f>'P NP KOLAM IKAN'!BE49</f>
        <v>0</v>
      </c>
      <c r="BS33" s="322">
        <f>'P NP KOLAM IKAN'!BF49</f>
        <v>0</v>
      </c>
      <c r="BT33" s="322">
        <f>'P NP KOLAM IKAN'!BE50</f>
        <v>0</v>
      </c>
      <c r="BU33" s="322">
        <f>'P NP KOLAM IKAN'!BF50</f>
        <v>0</v>
      </c>
      <c r="BV33" s="322">
        <f>'P NP KOLAM IKAN'!BE51</f>
        <v>0</v>
      </c>
      <c r="BW33" s="322">
        <f>'P NP KOLAM IKAN'!BF51</f>
        <v>0</v>
      </c>
      <c r="BX33" s="322">
        <f>'P NP KOLAM IKAN'!BE52</f>
        <v>0</v>
      </c>
      <c r="BY33" s="322">
        <f>'P NP KOLAM IKAN'!BF52</f>
        <v>0</v>
      </c>
    </row>
    <row r="34" spans="1:77">
      <c r="A34" s="260" t="s">
        <v>115</v>
      </c>
      <c r="B34" s="320">
        <f t="shared" si="2"/>
        <v>53401500</v>
      </c>
      <c r="C34" s="320">
        <f t="shared" si="3"/>
        <v>1124622500</v>
      </c>
      <c r="D34" s="322">
        <f>'P NP KOLAM IKAN'!BG8</f>
        <v>0</v>
      </c>
      <c r="E34" s="322">
        <f>'P NP KOLAM IKAN'!BH8</f>
        <v>0</v>
      </c>
      <c r="F34" s="322">
        <f>'P NP KOLAM IKAN'!BG9</f>
        <v>0</v>
      </c>
      <c r="G34" s="322">
        <f>'P NP KOLAM IKAN'!BH9</f>
        <v>0</v>
      </c>
      <c r="H34" s="322">
        <f>'P NP KOLAM IKAN'!BG10</f>
        <v>0</v>
      </c>
      <c r="I34" s="322">
        <f>'P NP KOLAM IKAN'!BH10</f>
        <v>0</v>
      </c>
      <c r="J34" s="322">
        <f>'P NP KOLAM IKAN'!BG11</f>
        <v>0</v>
      </c>
      <c r="K34" s="322">
        <f>'P NP KOLAM IKAN'!BH11</f>
        <v>0</v>
      </c>
      <c r="L34" s="322">
        <f>'P NP KOLAM IKAN'!BG12</f>
        <v>62000</v>
      </c>
      <c r="M34" s="322">
        <f>'P NP KOLAM IKAN'!BH12</f>
        <v>2170000</v>
      </c>
      <c r="N34" s="322">
        <f>'P NP KOLAM IKAN'!BG13</f>
        <v>0</v>
      </c>
      <c r="O34" s="322">
        <f>'P NP KOLAM IKAN'!BH13</f>
        <v>0</v>
      </c>
      <c r="P34" s="322">
        <f>'P NP KOLAM IKAN'!BG14</f>
        <v>21720000</v>
      </c>
      <c r="Q34" s="322">
        <f>'P NP KOLAM IKAN'!BH14</f>
        <v>548445000</v>
      </c>
      <c r="R34" s="322">
        <f>'P NP KOLAM IKAN'!BG15</f>
        <v>0</v>
      </c>
      <c r="S34" s="322">
        <f>'P NP KOLAM IKAN'!BH15</f>
        <v>0</v>
      </c>
      <c r="T34" s="322">
        <f>'P NP KOLAM IKAN'!BG16</f>
        <v>0</v>
      </c>
      <c r="U34" s="322">
        <f>'P NP KOLAM IKAN'!BH16</f>
        <v>0</v>
      </c>
      <c r="V34" s="322">
        <f>'P NP KOLAM IKAN'!BG17</f>
        <v>0</v>
      </c>
      <c r="W34" s="322">
        <f>'P NP KOLAM IKAN'!BH17</f>
        <v>0</v>
      </c>
      <c r="X34" s="322">
        <f>'P NP KOLAM IKAN'!BG18</f>
        <v>0</v>
      </c>
      <c r="Y34" s="322">
        <f>'P NP KOLAM IKAN'!BH18</f>
        <v>0</v>
      </c>
      <c r="Z34" s="322">
        <f>'P NP KOLAM IKAN'!BG19</f>
        <v>0</v>
      </c>
      <c r="AA34" s="322">
        <f>'P NP KOLAM IKAN'!BH19</f>
        <v>0</v>
      </c>
      <c r="AB34" s="322">
        <f>'P NP KOLAM IKAN'!BG20</f>
        <v>0</v>
      </c>
      <c r="AC34" s="322">
        <f>'P NP KOLAM IKAN'!BH20</f>
        <v>0</v>
      </c>
      <c r="AD34" s="322">
        <f>'P NP KOLAM IKAN'!BG21</f>
        <v>11070000</v>
      </c>
      <c r="AE34" s="322">
        <f>'P NP KOLAM IKAN'!BH21</f>
        <v>200985000</v>
      </c>
      <c r="AF34" s="322">
        <f>'P NP KOLAM IKAN'!BG22</f>
        <v>0</v>
      </c>
      <c r="AG34" s="322">
        <f>'P NP KOLAM IKAN'!BH22</f>
        <v>0</v>
      </c>
      <c r="AH34" s="322">
        <f>'P NP KOLAM IKAN'!BG23</f>
        <v>0</v>
      </c>
      <c r="AI34" s="322">
        <f>'P NP KOLAM IKAN'!BH23</f>
        <v>0</v>
      </c>
      <c r="AJ34" s="322">
        <f>'P NP KOLAM IKAN'!BG24</f>
        <v>0</v>
      </c>
      <c r="AK34" s="322">
        <f>'P NP KOLAM IKAN'!BH24</f>
        <v>0</v>
      </c>
      <c r="AL34" s="322">
        <f>'P NP KOLAM IKAN'!BG25</f>
        <v>0</v>
      </c>
      <c r="AM34" s="322">
        <f>'P NP KOLAM IKAN'!BH25</f>
        <v>0</v>
      </c>
      <c r="AN34" s="322">
        <f>'P NP KOLAM IKAN'!BG26</f>
        <v>112500</v>
      </c>
      <c r="AO34" s="322">
        <f>'P NP KOLAM IKAN'!BH26</f>
        <v>1976500</v>
      </c>
      <c r="AP34" s="322">
        <f>'P NP KOLAM IKAN'!BG27</f>
        <v>20262000</v>
      </c>
      <c r="AQ34" s="322">
        <f>'P NP KOLAM IKAN'!BH27</f>
        <v>360546000</v>
      </c>
      <c r="AR34" s="322">
        <f>'P NP KOLAM IKAN'!BG28</f>
        <v>0</v>
      </c>
      <c r="AS34" s="322">
        <f>'P NP KOLAM IKAN'!BH28</f>
        <v>0</v>
      </c>
      <c r="AT34" s="322">
        <f>'P NP KOLAM IKAN'!BG29</f>
        <v>0</v>
      </c>
      <c r="AU34" s="322">
        <f>'P NP KOLAM IKAN'!BH29</f>
        <v>0</v>
      </c>
      <c r="AV34" s="322">
        <f>'P NP KOLAM IKAN'!BG30</f>
        <v>0</v>
      </c>
      <c r="AW34" s="322">
        <f>'P NP KOLAM IKAN'!BH30</f>
        <v>0</v>
      </c>
      <c r="AX34" s="322">
        <f>'P NP KOLAM IKAN'!BG31</f>
        <v>0</v>
      </c>
      <c r="AY34" s="322">
        <f>'P NP KOLAM IKAN'!BH31</f>
        <v>0</v>
      </c>
      <c r="AZ34" s="322">
        <f>'P NP KOLAM IKAN'!BG32</f>
        <v>0</v>
      </c>
      <c r="BA34" s="322">
        <f>'P NP KOLAM IKAN'!BH32</f>
        <v>0</v>
      </c>
      <c r="BB34" s="322">
        <f>'P NP KOLAM IKAN'!BG33</f>
        <v>175000</v>
      </c>
      <c r="BC34" s="322">
        <f>'P NP KOLAM IKAN'!BH33</f>
        <v>10500000</v>
      </c>
      <c r="BD34" s="322">
        <f>'P NP KOLAM IKAN'!BG34</f>
        <v>0</v>
      </c>
      <c r="BE34" s="322">
        <f>'P NP KOLAM IKAN'!BH34</f>
        <v>0</v>
      </c>
      <c r="BF34" s="322">
        <f>'P NP KOLAM IKAN'!BG43</f>
        <v>0</v>
      </c>
      <c r="BG34" s="322">
        <f>'P NP KOLAM IKAN'!BH43</f>
        <v>0</v>
      </c>
      <c r="BH34" s="322">
        <f>'P NP KOLAM IKAN'!BG44</f>
        <v>0</v>
      </c>
      <c r="BI34" s="322">
        <f>'P NP KOLAM IKAN'!BH44</f>
        <v>0</v>
      </c>
      <c r="BJ34" s="322">
        <f>'P NP KOLAM IKAN'!BG45</f>
        <v>0</v>
      </c>
      <c r="BK34" s="322">
        <f>'P NP KOLAM IKAN'!BH45</f>
        <v>0</v>
      </c>
      <c r="BL34" s="322">
        <f>'P NP KOLAM IKAN'!BG46</f>
        <v>0</v>
      </c>
      <c r="BM34" s="322">
        <f>'P NP KOLAM IKAN'!BH46</f>
        <v>0</v>
      </c>
      <c r="BN34" s="322">
        <f>'P NP KOLAM IKAN'!BG47</f>
        <v>0</v>
      </c>
      <c r="BO34" s="322">
        <f>'P NP KOLAM IKAN'!BH47</f>
        <v>0</v>
      </c>
      <c r="BP34" s="322">
        <f>'P NP KOLAM IKAN'!BG48</f>
        <v>0</v>
      </c>
      <c r="BQ34" s="322">
        <f>'P NP KOLAM IKAN'!BH48</f>
        <v>0</v>
      </c>
      <c r="BR34" s="322">
        <f>'P NP KOLAM IKAN'!BG49</f>
        <v>0</v>
      </c>
      <c r="BS34" s="322">
        <f>'P NP KOLAM IKAN'!BH49</f>
        <v>0</v>
      </c>
      <c r="BT34" s="322">
        <f>'P NP KOLAM IKAN'!BG50</f>
        <v>0</v>
      </c>
      <c r="BU34" s="322">
        <f>'P NP KOLAM IKAN'!BH50</f>
        <v>0</v>
      </c>
      <c r="BV34" s="322">
        <f>'P NP KOLAM IKAN'!BG51</f>
        <v>0</v>
      </c>
      <c r="BW34" s="322">
        <f>'P NP KOLAM IKAN'!BH51</f>
        <v>0</v>
      </c>
      <c r="BX34" s="322">
        <f>'P NP KOLAM IKAN'!BG52</f>
        <v>0</v>
      </c>
      <c r="BY34" s="322">
        <f>'P NP KOLAM IKAN'!BH52</f>
        <v>0</v>
      </c>
    </row>
    <row r="35" spans="1:77">
      <c r="A35" s="260" t="s">
        <v>149</v>
      </c>
      <c r="B35" s="320">
        <f t="shared" si="2"/>
        <v>65339</v>
      </c>
      <c r="C35" s="320">
        <f t="shared" si="3"/>
        <v>1575859</v>
      </c>
      <c r="D35" s="322">
        <f>'P NP KOLAM IKAN'!BI8</f>
        <v>0</v>
      </c>
      <c r="E35" s="322">
        <f>'P NP KOLAM IKAN'!BJ8</f>
        <v>0</v>
      </c>
      <c r="F35" s="322">
        <f>'P NP KOLAM IKAN'!BI9</f>
        <v>0</v>
      </c>
      <c r="G35" s="322">
        <f>'P NP KOLAM IKAN'!BJ9</f>
        <v>0</v>
      </c>
      <c r="H35" s="322">
        <f>'P NP KOLAM IKAN'!BI10</f>
        <v>0</v>
      </c>
      <c r="I35" s="322">
        <f>'P NP KOLAM IKAN'!BJ10</f>
        <v>0</v>
      </c>
      <c r="J35" s="322">
        <f>'P NP KOLAM IKAN'!BI11</f>
        <v>0</v>
      </c>
      <c r="K35" s="322">
        <f>'P NP KOLAM IKAN'!BJ11</f>
        <v>0</v>
      </c>
      <c r="L35" s="322">
        <f>'P NP KOLAM IKAN'!BI12</f>
        <v>0</v>
      </c>
      <c r="M35" s="322">
        <f>'P NP KOLAM IKAN'!BJ12</f>
        <v>0</v>
      </c>
      <c r="N35" s="322">
        <f>'P NP KOLAM IKAN'!BI13</f>
        <v>0</v>
      </c>
      <c r="O35" s="322">
        <f>'P NP KOLAM IKAN'!BJ13</f>
        <v>0</v>
      </c>
      <c r="P35" s="322">
        <f>'P NP KOLAM IKAN'!BI14</f>
        <v>0</v>
      </c>
      <c r="Q35" s="322">
        <f>'P NP KOLAM IKAN'!BJ14</f>
        <v>0</v>
      </c>
      <c r="R35" s="322">
        <f>'P NP KOLAM IKAN'!BI15</f>
        <v>0</v>
      </c>
      <c r="S35" s="322">
        <f>'P NP KOLAM IKAN'!BJ15</f>
        <v>0</v>
      </c>
      <c r="T35" s="322">
        <f>'P NP KOLAM IKAN'!BI16</f>
        <v>0</v>
      </c>
      <c r="U35" s="322">
        <f>'P NP KOLAM IKAN'!BJ16</f>
        <v>0</v>
      </c>
      <c r="V35" s="322">
        <f>'P NP KOLAM IKAN'!BI17</f>
        <v>0</v>
      </c>
      <c r="W35" s="322">
        <f>'P NP KOLAM IKAN'!BJ17</f>
        <v>0</v>
      </c>
      <c r="X35" s="322">
        <f>'P NP KOLAM IKAN'!BI18</f>
        <v>0</v>
      </c>
      <c r="Y35" s="322">
        <f>'P NP KOLAM IKAN'!BJ18</f>
        <v>0</v>
      </c>
      <c r="Z35" s="322">
        <f>'P NP KOLAM IKAN'!BI19</f>
        <v>0</v>
      </c>
      <c r="AA35" s="322">
        <f>'P NP KOLAM IKAN'!BJ19</f>
        <v>0</v>
      </c>
      <c r="AB35" s="322">
        <f>'P NP KOLAM IKAN'!BI20</f>
        <v>0</v>
      </c>
      <c r="AC35" s="322">
        <f>'P NP KOLAM IKAN'!BJ20</f>
        <v>0</v>
      </c>
      <c r="AD35" s="322">
        <f>'P NP KOLAM IKAN'!BI21</f>
        <v>29902</v>
      </c>
      <c r="AE35" s="322">
        <f>'P NP KOLAM IKAN'!BJ21</f>
        <v>598040</v>
      </c>
      <c r="AF35" s="322">
        <f>'P NP KOLAM IKAN'!BI22</f>
        <v>0</v>
      </c>
      <c r="AG35" s="322">
        <f>'P NP KOLAM IKAN'!BJ22</f>
        <v>0</v>
      </c>
      <c r="AH35" s="322">
        <f>'P NP KOLAM IKAN'!BI23</f>
        <v>0</v>
      </c>
      <c r="AI35" s="322">
        <f>'P NP KOLAM IKAN'!BJ23</f>
        <v>0</v>
      </c>
      <c r="AJ35" s="322">
        <f>'P NP KOLAM IKAN'!BI24</f>
        <v>2102</v>
      </c>
      <c r="AK35" s="322">
        <f>'P NP KOLAM IKAN'!BJ24</f>
        <v>77774</v>
      </c>
      <c r="AL35" s="322">
        <f>'P NP KOLAM IKAN'!BI25</f>
        <v>0</v>
      </c>
      <c r="AM35" s="322">
        <f>'P NP KOLAM IKAN'!BJ25</f>
        <v>0</v>
      </c>
      <c r="AN35" s="322">
        <f>'P NP KOLAM IKAN'!BI26</f>
        <v>33335</v>
      </c>
      <c r="AO35" s="322">
        <f>'P NP KOLAM IKAN'!BJ26</f>
        <v>900045</v>
      </c>
      <c r="AP35" s="322">
        <f>'P NP KOLAM IKAN'!BI27</f>
        <v>0</v>
      </c>
      <c r="AQ35" s="322">
        <f>'P NP KOLAM IKAN'!BJ27</f>
        <v>0</v>
      </c>
      <c r="AR35" s="322">
        <f>'P NP KOLAM IKAN'!BI28</f>
        <v>0</v>
      </c>
      <c r="AS35" s="322">
        <f>'P NP KOLAM IKAN'!BJ28</f>
        <v>0</v>
      </c>
      <c r="AT35" s="322">
        <f>'P NP KOLAM IKAN'!BI29</f>
        <v>0</v>
      </c>
      <c r="AU35" s="322">
        <f>'P NP KOLAM IKAN'!BJ29</f>
        <v>0</v>
      </c>
      <c r="AV35" s="322">
        <f>'P NP KOLAM IKAN'!BI30</f>
        <v>0</v>
      </c>
      <c r="AW35" s="322">
        <f>'P NP KOLAM IKAN'!BJ30</f>
        <v>0</v>
      </c>
      <c r="AX35" s="322">
        <f>'P NP KOLAM IKAN'!BI31</f>
        <v>0</v>
      </c>
      <c r="AY35" s="322">
        <f>'P NP KOLAM IKAN'!BJ31</f>
        <v>0</v>
      </c>
      <c r="AZ35" s="322">
        <f>'P NP KOLAM IKAN'!BI32</f>
        <v>0</v>
      </c>
      <c r="BA35" s="322">
        <f>'P NP KOLAM IKAN'!BJ32</f>
        <v>0</v>
      </c>
      <c r="BB35" s="322">
        <f>'P NP KOLAM IKAN'!BI33</f>
        <v>0</v>
      </c>
      <c r="BC35" s="322">
        <f>'P NP KOLAM IKAN'!BJ33</f>
        <v>0</v>
      </c>
      <c r="BD35" s="322">
        <f>'P NP KOLAM IKAN'!BI34</f>
        <v>0</v>
      </c>
      <c r="BE35" s="322">
        <f>'P NP KOLAM IKAN'!BJ34</f>
        <v>0</v>
      </c>
      <c r="BF35" s="322">
        <f>'P NP KOLAM IKAN'!BI43</f>
        <v>0</v>
      </c>
      <c r="BG35" s="322">
        <f>'P NP KOLAM IKAN'!BJ43</f>
        <v>0</v>
      </c>
      <c r="BH35" s="322">
        <f>'P NP KOLAM IKAN'!BI44</f>
        <v>0</v>
      </c>
      <c r="BI35" s="322">
        <f>'P NP KOLAM IKAN'!BJ44</f>
        <v>0</v>
      </c>
      <c r="BJ35" s="322">
        <f>'P NP KOLAM IKAN'!BI45</f>
        <v>0</v>
      </c>
      <c r="BK35" s="322">
        <f>'P NP KOLAM IKAN'!BJ45</f>
        <v>0</v>
      </c>
      <c r="BL35" s="322">
        <f>'P NP KOLAM IKAN'!BI46</f>
        <v>0</v>
      </c>
      <c r="BM35" s="322">
        <f>'P NP KOLAM IKAN'!BJ46</f>
        <v>0</v>
      </c>
      <c r="BN35" s="322">
        <f>'P NP KOLAM IKAN'!BI47</f>
        <v>0</v>
      </c>
      <c r="BO35" s="322">
        <f>'P NP KOLAM IKAN'!BJ47</f>
        <v>0</v>
      </c>
      <c r="BP35" s="322">
        <f>'P NP KOLAM IKAN'!BI48</f>
        <v>0</v>
      </c>
      <c r="BQ35" s="322">
        <f>'P NP KOLAM IKAN'!BJ48</f>
        <v>0</v>
      </c>
      <c r="BR35" s="322">
        <f>'P NP KOLAM IKAN'!BI49</f>
        <v>0</v>
      </c>
      <c r="BS35" s="322">
        <f>'P NP KOLAM IKAN'!BJ49</f>
        <v>0</v>
      </c>
      <c r="BT35" s="322">
        <f>'P NP KOLAM IKAN'!BI50</f>
        <v>0</v>
      </c>
      <c r="BU35" s="322">
        <f>'P NP KOLAM IKAN'!BJ50</f>
        <v>0</v>
      </c>
      <c r="BV35" s="322">
        <f>'P NP KOLAM IKAN'!BI51</f>
        <v>0</v>
      </c>
      <c r="BW35" s="322">
        <f>'P NP KOLAM IKAN'!BJ51</f>
        <v>0</v>
      </c>
      <c r="BX35" s="322">
        <f>'P NP KOLAM IKAN'!BI52</f>
        <v>0</v>
      </c>
      <c r="BY35" s="322">
        <f>'P NP KOLAM IKAN'!BJ52</f>
        <v>0</v>
      </c>
    </row>
    <row r="36" spans="1:77">
      <c r="A36" s="260" t="s">
        <v>142</v>
      </c>
      <c r="B36" s="320">
        <f t="shared" si="2"/>
        <v>244780</v>
      </c>
      <c r="C36" s="320">
        <f t="shared" si="3"/>
        <v>5157835</v>
      </c>
      <c r="D36" s="322">
        <f>'P NP KOLAM IKAN'!BK8</f>
        <v>0</v>
      </c>
      <c r="E36" s="322">
        <f>'P NP KOLAM IKAN'!BL8</f>
        <v>0</v>
      </c>
      <c r="F36" s="322">
        <f>'P NP KOLAM IKAN'!BK9</f>
        <v>0</v>
      </c>
      <c r="G36" s="322">
        <f>'P NP KOLAM IKAN'!BL9</f>
        <v>0</v>
      </c>
      <c r="H36" s="322">
        <f>'P NP KOLAM IKAN'!BK10</f>
        <v>0</v>
      </c>
      <c r="I36" s="322">
        <f>'P NP KOLAM IKAN'!BL10</f>
        <v>0</v>
      </c>
      <c r="J36" s="322">
        <f>'P NP KOLAM IKAN'!BK11</f>
        <v>0</v>
      </c>
      <c r="K36" s="322">
        <f>'P NP KOLAM IKAN'!BL11</f>
        <v>0</v>
      </c>
      <c r="L36" s="322">
        <f>'P NP KOLAM IKAN'!BK12</f>
        <v>0</v>
      </c>
      <c r="M36" s="322">
        <f>'P NP KOLAM IKAN'!BL12</f>
        <v>0</v>
      </c>
      <c r="N36" s="322">
        <f>'P NP KOLAM IKAN'!BK13</f>
        <v>0</v>
      </c>
      <c r="O36" s="322">
        <f>'P NP KOLAM IKAN'!BL13</f>
        <v>0</v>
      </c>
      <c r="P36" s="322">
        <f>'P NP KOLAM IKAN'!BK14</f>
        <v>48630</v>
      </c>
      <c r="Q36" s="322">
        <f>'P NP KOLAM IKAN'!BL14</f>
        <v>1286720</v>
      </c>
      <c r="R36" s="322">
        <f>'P NP KOLAM IKAN'!BK15</f>
        <v>0</v>
      </c>
      <c r="S36" s="322">
        <f>'P NP KOLAM IKAN'!BL15</f>
        <v>0</v>
      </c>
      <c r="T36" s="322">
        <f>'P NP KOLAM IKAN'!BK16</f>
        <v>0</v>
      </c>
      <c r="U36" s="322">
        <f>'P NP KOLAM IKAN'!BL16</f>
        <v>0</v>
      </c>
      <c r="V36" s="322">
        <f>'P NP KOLAM IKAN'!BK17</f>
        <v>0</v>
      </c>
      <c r="W36" s="322">
        <f>'P NP KOLAM IKAN'!BL17</f>
        <v>0</v>
      </c>
      <c r="X36" s="322">
        <f>'P NP KOLAM IKAN'!BK18</f>
        <v>0</v>
      </c>
      <c r="Y36" s="322">
        <f>'P NP KOLAM IKAN'!BL18</f>
        <v>0</v>
      </c>
      <c r="Z36" s="322">
        <f>'P NP KOLAM IKAN'!BK19</f>
        <v>0</v>
      </c>
      <c r="AA36" s="322">
        <f>'P NP KOLAM IKAN'!BL19</f>
        <v>0</v>
      </c>
      <c r="AB36" s="322">
        <f>'P NP KOLAM IKAN'!BK20</f>
        <v>0</v>
      </c>
      <c r="AC36" s="322">
        <f>'P NP KOLAM IKAN'!BL20</f>
        <v>0</v>
      </c>
      <c r="AD36" s="322">
        <f>'P NP KOLAM IKAN'!BK21</f>
        <v>116300</v>
      </c>
      <c r="AE36" s="322">
        <f>'P NP KOLAM IKAN'!BL21</f>
        <v>2054445</v>
      </c>
      <c r="AF36" s="322">
        <f>'P NP KOLAM IKAN'!BK22</f>
        <v>0</v>
      </c>
      <c r="AG36" s="322">
        <f>'P NP KOLAM IKAN'!BL22</f>
        <v>0</v>
      </c>
      <c r="AH36" s="322">
        <f>'P NP KOLAM IKAN'!BK23</f>
        <v>0</v>
      </c>
      <c r="AI36" s="322">
        <f>'P NP KOLAM IKAN'!BL23</f>
        <v>0</v>
      </c>
      <c r="AJ36" s="322">
        <f>'P NP KOLAM IKAN'!BK24</f>
        <v>0</v>
      </c>
      <c r="AK36" s="322">
        <f>'P NP KOLAM IKAN'!BL24</f>
        <v>0</v>
      </c>
      <c r="AL36" s="322">
        <f>'P NP KOLAM IKAN'!BK25</f>
        <v>0</v>
      </c>
      <c r="AM36" s="322">
        <f>'P NP KOLAM IKAN'!BL25</f>
        <v>0</v>
      </c>
      <c r="AN36" s="322">
        <f>'P NP KOLAM IKAN'!BK26</f>
        <v>66950</v>
      </c>
      <c r="AO36" s="322">
        <f>'P NP KOLAM IKAN'!BL26</f>
        <v>1600570</v>
      </c>
      <c r="AP36" s="322">
        <f>'P NP KOLAM IKAN'!BK27</f>
        <v>12900</v>
      </c>
      <c r="AQ36" s="322">
        <f>'P NP KOLAM IKAN'!BL27</f>
        <v>216100</v>
      </c>
      <c r="AR36" s="322">
        <f>'P NP KOLAM IKAN'!BK28</f>
        <v>0</v>
      </c>
      <c r="AS36" s="322">
        <f>'P NP KOLAM IKAN'!BL28</f>
        <v>0</v>
      </c>
      <c r="AT36" s="322">
        <f>'P NP KOLAM IKAN'!BK29</f>
        <v>0</v>
      </c>
      <c r="AU36" s="322">
        <f>'P NP KOLAM IKAN'!BL29</f>
        <v>0</v>
      </c>
      <c r="AV36" s="322">
        <f>'P NP KOLAM IKAN'!BK30</f>
        <v>0</v>
      </c>
      <c r="AW36" s="322">
        <f>'P NP KOLAM IKAN'!BL30</f>
        <v>0</v>
      </c>
      <c r="AX36" s="322">
        <f>'P NP KOLAM IKAN'!BK31</f>
        <v>0</v>
      </c>
      <c r="AY36" s="322">
        <f>'P NP KOLAM IKAN'!BL31</f>
        <v>0</v>
      </c>
      <c r="AZ36" s="322">
        <f>'P NP KOLAM IKAN'!BK32</f>
        <v>0</v>
      </c>
      <c r="BA36" s="322">
        <f>'P NP KOLAM IKAN'!BL32</f>
        <v>0</v>
      </c>
      <c r="BB36" s="322">
        <f>'P NP KOLAM IKAN'!BK33</f>
        <v>0</v>
      </c>
      <c r="BC36" s="322">
        <f>'P NP KOLAM IKAN'!BL33</f>
        <v>0</v>
      </c>
      <c r="BD36" s="322">
        <f>'P NP KOLAM IKAN'!BK34</f>
        <v>0</v>
      </c>
      <c r="BE36" s="322">
        <f>'P NP KOLAM IKAN'!BL34</f>
        <v>0</v>
      </c>
      <c r="BF36" s="322">
        <f>'P NP KOLAM IKAN'!BK43</f>
        <v>0</v>
      </c>
      <c r="BG36" s="322">
        <f>'P NP KOLAM IKAN'!BL43</f>
        <v>0</v>
      </c>
      <c r="BH36" s="322">
        <f>'P NP KOLAM IKAN'!BK44</f>
        <v>0</v>
      </c>
      <c r="BI36" s="322">
        <f>'P NP KOLAM IKAN'!BL44</f>
        <v>0</v>
      </c>
      <c r="BJ36" s="322">
        <f>'P NP KOLAM IKAN'!BK45</f>
        <v>0</v>
      </c>
      <c r="BK36" s="322">
        <f>'P NP KOLAM IKAN'!BL45</f>
        <v>0</v>
      </c>
      <c r="BL36" s="322">
        <f>'P NP KOLAM IKAN'!BK46</f>
        <v>0</v>
      </c>
      <c r="BM36" s="322">
        <f>'P NP KOLAM IKAN'!BL46</f>
        <v>0</v>
      </c>
      <c r="BN36" s="322">
        <f>'P NP KOLAM IKAN'!BK47</f>
        <v>0</v>
      </c>
      <c r="BO36" s="322">
        <f>'P NP KOLAM IKAN'!BL47</f>
        <v>0</v>
      </c>
      <c r="BP36" s="322">
        <f>'P NP KOLAM IKAN'!BK48</f>
        <v>0</v>
      </c>
      <c r="BQ36" s="322">
        <f>'P NP KOLAM IKAN'!BL48</f>
        <v>0</v>
      </c>
      <c r="BR36" s="322">
        <f>'P NP KOLAM IKAN'!BK49</f>
        <v>0</v>
      </c>
      <c r="BS36" s="322">
        <f>'P NP KOLAM IKAN'!BL49</f>
        <v>0</v>
      </c>
      <c r="BT36" s="322">
        <f>'P NP KOLAM IKAN'!BK50</f>
        <v>0</v>
      </c>
      <c r="BU36" s="322">
        <f>'P NP KOLAM IKAN'!BL50</f>
        <v>0</v>
      </c>
      <c r="BV36" s="322">
        <f>'P NP KOLAM IKAN'!BK51</f>
        <v>0</v>
      </c>
      <c r="BW36" s="322">
        <f>'P NP KOLAM IKAN'!BL51</f>
        <v>0</v>
      </c>
      <c r="BX36" s="322">
        <f>'P NP KOLAM IKAN'!BK52</f>
        <v>0</v>
      </c>
      <c r="BY36" s="322">
        <f>'P NP KOLAM IKAN'!BL52</f>
        <v>0</v>
      </c>
    </row>
    <row r="37" spans="1:77">
      <c r="A37" s="260" t="s">
        <v>141</v>
      </c>
      <c r="B37" s="320">
        <f t="shared" si="2"/>
        <v>193100</v>
      </c>
      <c r="C37" s="320">
        <f t="shared" si="3"/>
        <v>3685600</v>
      </c>
      <c r="D37" s="322">
        <f>'P NP KOLAM IKAN'!BM8</f>
        <v>0</v>
      </c>
      <c r="E37" s="322">
        <f>'P NP KOLAM IKAN'!BN8</f>
        <v>0</v>
      </c>
      <c r="F37" s="322">
        <f>'P NP KOLAM IKAN'!BM9</f>
        <v>0</v>
      </c>
      <c r="G37" s="322">
        <f>'P NP KOLAM IKAN'!BN9</f>
        <v>0</v>
      </c>
      <c r="H37" s="322">
        <f>'P NP KOLAM IKAN'!BM10</f>
        <v>0</v>
      </c>
      <c r="I37" s="322">
        <f>'P NP KOLAM IKAN'!BN10</f>
        <v>0</v>
      </c>
      <c r="J37" s="322">
        <f>'P NP KOLAM IKAN'!BM11</f>
        <v>0</v>
      </c>
      <c r="K37" s="322">
        <f>'P NP KOLAM IKAN'!BN11</f>
        <v>0</v>
      </c>
      <c r="L37" s="322">
        <f>'P NP KOLAM IKAN'!BM12</f>
        <v>0</v>
      </c>
      <c r="M37" s="322">
        <f>'P NP KOLAM IKAN'!BN12</f>
        <v>0</v>
      </c>
      <c r="N37" s="322">
        <f>'P NP KOLAM IKAN'!BM13</f>
        <v>0</v>
      </c>
      <c r="O37" s="322">
        <f>'P NP KOLAM IKAN'!BN13</f>
        <v>0</v>
      </c>
      <c r="P37" s="322">
        <f>'P NP KOLAM IKAN'!BM14</f>
        <v>1500</v>
      </c>
      <c r="Q37" s="322">
        <f>'P NP KOLAM IKAN'!BN14</f>
        <v>41500</v>
      </c>
      <c r="R37" s="322">
        <f>'P NP KOLAM IKAN'!BM15</f>
        <v>0</v>
      </c>
      <c r="S37" s="322">
        <f>'P NP KOLAM IKAN'!BN15</f>
        <v>0</v>
      </c>
      <c r="T37" s="322">
        <f>'P NP KOLAM IKAN'!BM16</f>
        <v>0</v>
      </c>
      <c r="U37" s="322">
        <f>'P NP KOLAM IKAN'!BN16</f>
        <v>0</v>
      </c>
      <c r="V37" s="322">
        <f>'P NP KOLAM IKAN'!BM17</f>
        <v>0</v>
      </c>
      <c r="W37" s="322">
        <f>'P NP KOLAM IKAN'!BN17</f>
        <v>0</v>
      </c>
      <c r="X37" s="322">
        <f>'P NP KOLAM IKAN'!BM18</f>
        <v>0</v>
      </c>
      <c r="Y37" s="322">
        <f>'P NP KOLAM IKAN'!BN18</f>
        <v>0</v>
      </c>
      <c r="Z37" s="322">
        <f>'P NP KOLAM IKAN'!BM19</f>
        <v>0</v>
      </c>
      <c r="AA37" s="322">
        <f>'P NP KOLAM IKAN'!BN19</f>
        <v>0</v>
      </c>
      <c r="AB37" s="322">
        <f>'P NP KOLAM IKAN'!BM20</f>
        <v>0</v>
      </c>
      <c r="AC37" s="322">
        <f>'P NP KOLAM IKAN'!BN20</f>
        <v>0</v>
      </c>
      <c r="AD37" s="322">
        <f>'P NP KOLAM IKAN'!BM21</f>
        <v>183300</v>
      </c>
      <c r="AE37" s="322">
        <f>'P NP KOLAM IKAN'!BN21</f>
        <v>3438600</v>
      </c>
      <c r="AF37" s="322">
        <f>'P NP KOLAM IKAN'!BM22</f>
        <v>0</v>
      </c>
      <c r="AG37" s="322">
        <f>'P NP KOLAM IKAN'!BN22</f>
        <v>0</v>
      </c>
      <c r="AH37" s="322">
        <f>'P NP KOLAM IKAN'!BM23</f>
        <v>0</v>
      </c>
      <c r="AI37" s="322">
        <f>'P NP KOLAM IKAN'!BN23</f>
        <v>0</v>
      </c>
      <c r="AJ37" s="322">
        <f>'P NP KOLAM IKAN'!BM24</f>
        <v>0</v>
      </c>
      <c r="AK37" s="322">
        <f>'P NP KOLAM IKAN'!BN24</f>
        <v>0</v>
      </c>
      <c r="AL37" s="322">
        <f>'P NP KOLAM IKAN'!BM25</f>
        <v>0</v>
      </c>
      <c r="AM37" s="322">
        <f>'P NP KOLAM IKAN'!BN25</f>
        <v>0</v>
      </c>
      <c r="AN37" s="322">
        <f>'P NP KOLAM IKAN'!BM26</f>
        <v>8300</v>
      </c>
      <c r="AO37" s="322">
        <f>'P NP KOLAM IKAN'!BN26</f>
        <v>205500</v>
      </c>
      <c r="AP37" s="322">
        <f>'P NP KOLAM IKAN'!BM27</f>
        <v>0</v>
      </c>
      <c r="AQ37" s="322">
        <f>'P NP KOLAM IKAN'!BN27</f>
        <v>0</v>
      </c>
      <c r="AR37" s="322">
        <f>'P NP KOLAM IKAN'!BM28</f>
        <v>0</v>
      </c>
      <c r="AS37" s="322">
        <f>'P NP KOLAM IKAN'!BN28</f>
        <v>0</v>
      </c>
      <c r="AT37" s="322">
        <f>'P NP KOLAM IKAN'!BM29</f>
        <v>0</v>
      </c>
      <c r="AU37" s="322">
        <f>'P NP KOLAM IKAN'!BN29</f>
        <v>0</v>
      </c>
      <c r="AV37" s="322">
        <f>'P NP KOLAM IKAN'!BM30</f>
        <v>0</v>
      </c>
      <c r="AW37" s="322">
        <f>'P NP KOLAM IKAN'!BN30</f>
        <v>0</v>
      </c>
      <c r="AX37" s="322">
        <f>'P NP KOLAM IKAN'!BM31</f>
        <v>0</v>
      </c>
      <c r="AY37" s="322">
        <f>'P NP KOLAM IKAN'!BN31</f>
        <v>0</v>
      </c>
      <c r="AZ37" s="322">
        <f>'P NP KOLAM IKAN'!BM32</f>
        <v>0</v>
      </c>
      <c r="BA37" s="322">
        <f>'P NP KOLAM IKAN'!BN32</f>
        <v>0</v>
      </c>
      <c r="BB37" s="322">
        <f>'P NP KOLAM IKAN'!BM33</f>
        <v>0</v>
      </c>
      <c r="BC37" s="322">
        <f>'P NP KOLAM IKAN'!BN33</f>
        <v>0</v>
      </c>
      <c r="BD37" s="322">
        <f>'P NP KOLAM IKAN'!BM34</f>
        <v>0</v>
      </c>
      <c r="BE37" s="322">
        <f>'P NP KOLAM IKAN'!BN34</f>
        <v>0</v>
      </c>
      <c r="BF37" s="322">
        <f>'P NP KOLAM IKAN'!BM43</f>
        <v>0</v>
      </c>
      <c r="BG37" s="322">
        <f>'P NP KOLAM IKAN'!BN43</f>
        <v>0</v>
      </c>
      <c r="BH37" s="322">
        <f>'P NP KOLAM IKAN'!BM44</f>
        <v>0</v>
      </c>
      <c r="BI37" s="322">
        <f>'P NP KOLAM IKAN'!BN44</f>
        <v>0</v>
      </c>
      <c r="BJ37" s="322">
        <f>'P NP KOLAM IKAN'!BM45</f>
        <v>0</v>
      </c>
      <c r="BK37" s="322">
        <f>'P NP KOLAM IKAN'!BN45</f>
        <v>0</v>
      </c>
      <c r="BL37" s="322">
        <f>'P NP KOLAM IKAN'!BM46</f>
        <v>0</v>
      </c>
      <c r="BM37" s="322">
        <f>'P NP KOLAM IKAN'!BN46</f>
        <v>0</v>
      </c>
      <c r="BN37" s="322">
        <f>'P NP KOLAM IKAN'!BM47</f>
        <v>0</v>
      </c>
      <c r="BO37" s="322">
        <f>'P NP KOLAM IKAN'!BN47</f>
        <v>0</v>
      </c>
      <c r="BP37" s="322">
        <f>'P NP KOLAM IKAN'!BM48</f>
        <v>0</v>
      </c>
      <c r="BQ37" s="322">
        <f>'P NP KOLAM IKAN'!BN48</f>
        <v>0</v>
      </c>
      <c r="BR37" s="322">
        <f>'P NP KOLAM IKAN'!BM49</f>
        <v>0</v>
      </c>
      <c r="BS37" s="322">
        <f>'P NP KOLAM IKAN'!BN49</f>
        <v>0</v>
      </c>
      <c r="BT37" s="322">
        <f>'P NP KOLAM IKAN'!BM50</f>
        <v>0</v>
      </c>
      <c r="BU37" s="322">
        <f>'P NP KOLAM IKAN'!BN50</f>
        <v>0</v>
      </c>
      <c r="BV37" s="322">
        <f>'P NP KOLAM IKAN'!BM51</f>
        <v>0</v>
      </c>
      <c r="BW37" s="322">
        <f>'P NP KOLAM IKAN'!BN51</f>
        <v>0</v>
      </c>
      <c r="BX37" s="322">
        <f>'P NP KOLAM IKAN'!BM52</f>
        <v>0</v>
      </c>
      <c r="BY37" s="322">
        <f>'P NP KOLAM IKAN'!BN52</f>
        <v>0</v>
      </c>
    </row>
    <row r="38" spans="1:77">
      <c r="A38" s="260" t="s">
        <v>147</v>
      </c>
      <c r="B38" s="320">
        <f t="shared" si="2"/>
        <v>290624.94999999995</v>
      </c>
      <c r="C38" s="320">
        <f t="shared" si="3"/>
        <v>6407714.6219999995</v>
      </c>
      <c r="D38" s="322">
        <f>'P NP KOLAM IKAN'!BO8</f>
        <v>0</v>
      </c>
      <c r="E38" s="322">
        <f>'P NP KOLAM IKAN'!BP8</f>
        <v>0</v>
      </c>
      <c r="F38" s="322">
        <f>'P NP KOLAM IKAN'!BO9</f>
        <v>0</v>
      </c>
      <c r="G38" s="322">
        <f>'P NP KOLAM IKAN'!BP9</f>
        <v>0</v>
      </c>
      <c r="H38" s="322">
        <f>'P NP KOLAM IKAN'!BO10</f>
        <v>0</v>
      </c>
      <c r="I38" s="322">
        <f>'P NP KOLAM IKAN'!BP10</f>
        <v>0</v>
      </c>
      <c r="J38" s="322">
        <f>'P NP KOLAM IKAN'!BO11</f>
        <v>0</v>
      </c>
      <c r="K38" s="322">
        <f>'P NP KOLAM IKAN'!BP11</f>
        <v>0</v>
      </c>
      <c r="L38" s="322">
        <f>'P NP KOLAM IKAN'!BO12</f>
        <v>0</v>
      </c>
      <c r="M38" s="322">
        <f>'P NP KOLAM IKAN'!BP12</f>
        <v>0</v>
      </c>
      <c r="N38" s="322">
        <f>'P NP KOLAM IKAN'!BO13</f>
        <v>0</v>
      </c>
      <c r="O38" s="322">
        <f>'P NP KOLAM IKAN'!BP13</f>
        <v>0</v>
      </c>
      <c r="P38" s="322">
        <f>'P NP KOLAM IKAN'!BO14</f>
        <v>59344.979999999996</v>
      </c>
      <c r="Q38" s="322">
        <f>'P NP KOLAM IKAN'!BP14</f>
        <v>1893684.3699999999</v>
      </c>
      <c r="R38" s="322">
        <f>'P NP KOLAM IKAN'!BO15</f>
        <v>0</v>
      </c>
      <c r="S38" s="322">
        <f>'P NP KOLAM IKAN'!BP15</f>
        <v>0</v>
      </c>
      <c r="T38" s="322">
        <f>'P NP KOLAM IKAN'!BO16</f>
        <v>0</v>
      </c>
      <c r="U38" s="322">
        <f>'P NP KOLAM IKAN'!BP16</f>
        <v>0</v>
      </c>
      <c r="V38" s="322">
        <f>'P NP KOLAM IKAN'!BO17</f>
        <v>0</v>
      </c>
      <c r="W38" s="322">
        <f>'P NP KOLAM IKAN'!BP17</f>
        <v>0</v>
      </c>
      <c r="X38" s="322">
        <f>'P NP KOLAM IKAN'!BO18</f>
        <v>0</v>
      </c>
      <c r="Y38" s="322">
        <f>'P NP KOLAM IKAN'!BP18</f>
        <v>0</v>
      </c>
      <c r="Z38" s="322">
        <f>'P NP KOLAM IKAN'!BO19</f>
        <v>0</v>
      </c>
      <c r="AA38" s="322">
        <f>'P NP KOLAM IKAN'!BP19</f>
        <v>0</v>
      </c>
      <c r="AB38" s="322">
        <f>'P NP KOLAM IKAN'!BO20</f>
        <v>0</v>
      </c>
      <c r="AC38" s="322">
        <f>'P NP KOLAM IKAN'!BP20</f>
        <v>0</v>
      </c>
      <c r="AD38" s="322">
        <f>'P NP KOLAM IKAN'!BO21</f>
        <v>199694.99</v>
      </c>
      <c r="AE38" s="322">
        <f>'P NP KOLAM IKAN'!BP21</f>
        <v>3647498.3169999998</v>
      </c>
      <c r="AF38" s="322">
        <f>'P NP KOLAM IKAN'!BO22</f>
        <v>0</v>
      </c>
      <c r="AG38" s="322">
        <f>'P NP KOLAM IKAN'!BP22</f>
        <v>0</v>
      </c>
      <c r="AH38" s="322">
        <f>'P NP KOLAM IKAN'!BO23</f>
        <v>0</v>
      </c>
      <c r="AI38" s="322">
        <f>'P NP KOLAM IKAN'!BP23</f>
        <v>0</v>
      </c>
      <c r="AJ38" s="322">
        <f>'P NP KOLAM IKAN'!BO24</f>
        <v>0</v>
      </c>
      <c r="AK38" s="322">
        <f>'P NP KOLAM IKAN'!BP24</f>
        <v>0</v>
      </c>
      <c r="AL38" s="322">
        <f>'P NP KOLAM IKAN'!BO25</f>
        <v>0</v>
      </c>
      <c r="AM38" s="322">
        <f>'P NP KOLAM IKAN'!BP25</f>
        <v>0</v>
      </c>
      <c r="AN38" s="322">
        <f>'P NP KOLAM IKAN'!BO26</f>
        <v>31584.98</v>
      </c>
      <c r="AO38" s="322">
        <f>'P NP KOLAM IKAN'!BP26</f>
        <v>866531.93500000006</v>
      </c>
      <c r="AP38" s="322">
        <f>'P NP KOLAM IKAN'!BO27</f>
        <v>0</v>
      </c>
      <c r="AQ38" s="322">
        <f>'P NP KOLAM IKAN'!BP27</f>
        <v>0</v>
      </c>
      <c r="AR38" s="322">
        <f>'P NP KOLAM IKAN'!BO28</f>
        <v>0</v>
      </c>
      <c r="AS38" s="322">
        <f>'P NP KOLAM IKAN'!BP28</f>
        <v>0</v>
      </c>
      <c r="AT38" s="322">
        <f>'P NP KOLAM IKAN'!BO29</f>
        <v>0</v>
      </c>
      <c r="AU38" s="322">
        <f>'P NP KOLAM IKAN'!BP29</f>
        <v>0</v>
      </c>
      <c r="AV38" s="322">
        <f>'P NP KOLAM IKAN'!BO30</f>
        <v>0</v>
      </c>
      <c r="AW38" s="322">
        <f>'P NP KOLAM IKAN'!BP30</f>
        <v>0</v>
      </c>
      <c r="AX38" s="322">
        <f>'P NP KOLAM IKAN'!BO31</f>
        <v>0</v>
      </c>
      <c r="AY38" s="322">
        <f>'P NP KOLAM IKAN'!BP31</f>
        <v>0</v>
      </c>
      <c r="AZ38" s="322">
        <f>'P NP KOLAM IKAN'!BO32</f>
        <v>0</v>
      </c>
      <c r="BA38" s="322">
        <f>'P NP KOLAM IKAN'!BP32</f>
        <v>0</v>
      </c>
      <c r="BB38" s="322">
        <f>'P NP KOLAM IKAN'!BO33</f>
        <v>0</v>
      </c>
      <c r="BC38" s="322">
        <f>'P NP KOLAM IKAN'!BP33</f>
        <v>0</v>
      </c>
      <c r="BD38" s="322">
        <f>'P NP KOLAM IKAN'!BO34</f>
        <v>0</v>
      </c>
      <c r="BE38" s="322">
        <f>'P NP KOLAM IKAN'!BP34</f>
        <v>0</v>
      </c>
      <c r="BF38" s="322">
        <f>'P NP KOLAM IKAN'!BO43</f>
        <v>0</v>
      </c>
      <c r="BG38" s="322">
        <f>'P NP KOLAM IKAN'!BP43</f>
        <v>0</v>
      </c>
      <c r="BH38" s="322">
        <f>'P NP KOLAM IKAN'!BO44</f>
        <v>0</v>
      </c>
      <c r="BI38" s="322">
        <f>'P NP KOLAM IKAN'!BP44</f>
        <v>0</v>
      </c>
      <c r="BJ38" s="322">
        <f>'P NP KOLAM IKAN'!BO45</f>
        <v>0</v>
      </c>
      <c r="BK38" s="322">
        <f>'P NP KOLAM IKAN'!BP45</f>
        <v>0</v>
      </c>
      <c r="BL38" s="322">
        <f>'P NP KOLAM IKAN'!BO46</f>
        <v>0</v>
      </c>
      <c r="BM38" s="322">
        <f>'P NP KOLAM IKAN'!BP46</f>
        <v>0</v>
      </c>
      <c r="BN38" s="322">
        <f>'P NP KOLAM IKAN'!BO47</f>
        <v>0</v>
      </c>
      <c r="BO38" s="322">
        <f>'P NP KOLAM IKAN'!BP47</f>
        <v>0</v>
      </c>
      <c r="BP38" s="322">
        <f>'P NP KOLAM IKAN'!BO48</f>
        <v>0</v>
      </c>
      <c r="BQ38" s="322">
        <f>'P NP KOLAM IKAN'!BP48</f>
        <v>0</v>
      </c>
      <c r="BR38" s="322">
        <f>'P NP KOLAM IKAN'!BO49</f>
        <v>0</v>
      </c>
      <c r="BS38" s="322">
        <f>'P NP KOLAM IKAN'!BP49</f>
        <v>0</v>
      </c>
      <c r="BT38" s="322">
        <f>'P NP KOLAM IKAN'!BO50</f>
        <v>0</v>
      </c>
      <c r="BU38" s="322">
        <f>'P NP KOLAM IKAN'!BP50</f>
        <v>0</v>
      </c>
      <c r="BV38" s="322">
        <f>'P NP KOLAM IKAN'!BO51</f>
        <v>0</v>
      </c>
      <c r="BW38" s="322">
        <f>'P NP KOLAM IKAN'!BP51</f>
        <v>0</v>
      </c>
      <c r="BX38" s="322">
        <f>'P NP KOLAM IKAN'!BO52</f>
        <v>0</v>
      </c>
      <c r="BY38" s="322">
        <f>'P NP KOLAM IKAN'!BP52</f>
        <v>0</v>
      </c>
    </row>
    <row r="39" spans="1:77">
      <c r="A39" s="260" t="s">
        <v>143</v>
      </c>
      <c r="B39" s="320">
        <f t="shared" si="2"/>
        <v>143400</v>
      </c>
      <c r="C39" s="320">
        <f t="shared" si="3"/>
        <v>2955300</v>
      </c>
      <c r="D39" s="322">
        <f>'P NP KOLAM IKAN'!BQ8</f>
        <v>0</v>
      </c>
      <c r="E39" s="322">
        <f>'P NP KOLAM IKAN'!BR8</f>
        <v>0</v>
      </c>
      <c r="F39" s="322">
        <f>'P NP KOLAM IKAN'!BQ9</f>
        <v>0</v>
      </c>
      <c r="G39" s="322">
        <f>'P NP KOLAM IKAN'!BR9</f>
        <v>0</v>
      </c>
      <c r="H39" s="322">
        <f>'P NP KOLAM IKAN'!BQ10</f>
        <v>0</v>
      </c>
      <c r="I39" s="322">
        <f>'P NP KOLAM IKAN'!BR10</f>
        <v>0</v>
      </c>
      <c r="J39" s="322">
        <f>'P NP KOLAM IKAN'!BQ11</f>
        <v>0</v>
      </c>
      <c r="K39" s="322">
        <f>'P NP KOLAM IKAN'!BR11</f>
        <v>0</v>
      </c>
      <c r="L39" s="322">
        <f>'P NP KOLAM IKAN'!BQ12</f>
        <v>0</v>
      </c>
      <c r="M39" s="322">
        <f>'P NP KOLAM IKAN'!BR12</f>
        <v>0</v>
      </c>
      <c r="N39" s="322">
        <f>'P NP KOLAM IKAN'!BQ13</f>
        <v>0</v>
      </c>
      <c r="O39" s="322">
        <f>'P NP KOLAM IKAN'!BR13</f>
        <v>0</v>
      </c>
      <c r="P39" s="322">
        <f>'P NP KOLAM IKAN'!BQ14</f>
        <v>0</v>
      </c>
      <c r="Q39" s="322">
        <f>'P NP KOLAM IKAN'!BR14</f>
        <v>0</v>
      </c>
      <c r="R39" s="322">
        <f>'P NP KOLAM IKAN'!BQ15</f>
        <v>0</v>
      </c>
      <c r="S39" s="322">
        <f>'P NP KOLAM IKAN'!BR15</f>
        <v>0</v>
      </c>
      <c r="T39" s="322">
        <f>'P NP KOLAM IKAN'!BQ16</f>
        <v>0</v>
      </c>
      <c r="U39" s="322">
        <f>'P NP KOLAM IKAN'!BR16</f>
        <v>0</v>
      </c>
      <c r="V39" s="322">
        <f>'P NP KOLAM IKAN'!BQ17</f>
        <v>0</v>
      </c>
      <c r="W39" s="322">
        <f>'P NP KOLAM IKAN'!BR17</f>
        <v>0</v>
      </c>
      <c r="X39" s="322">
        <f>'P NP KOLAM IKAN'!BQ18</f>
        <v>0</v>
      </c>
      <c r="Y39" s="322">
        <f>'P NP KOLAM IKAN'!BR18</f>
        <v>0</v>
      </c>
      <c r="Z39" s="322">
        <f>'P NP KOLAM IKAN'!BQ19</f>
        <v>0</v>
      </c>
      <c r="AA39" s="322">
        <f>'P NP KOLAM IKAN'!BR19</f>
        <v>0</v>
      </c>
      <c r="AB39" s="322">
        <f>'P NP KOLAM IKAN'!BQ20</f>
        <v>0</v>
      </c>
      <c r="AC39" s="322">
        <f>'P NP KOLAM IKAN'!BR20</f>
        <v>0</v>
      </c>
      <c r="AD39" s="322">
        <f>'P NP KOLAM IKAN'!BQ21</f>
        <v>102050</v>
      </c>
      <c r="AE39" s="322">
        <f>'P NP KOLAM IKAN'!BR21</f>
        <v>1938950</v>
      </c>
      <c r="AF39" s="322">
        <f>'P NP KOLAM IKAN'!BQ22</f>
        <v>0</v>
      </c>
      <c r="AG39" s="322">
        <f>'P NP KOLAM IKAN'!BR22</f>
        <v>0</v>
      </c>
      <c r="AH39" s="322">
        <f>'P NP KOLAM IKAN'!BQ23</f>
        <v>0</v>
      </c>
      <c r="AI39" s="322">
        <f>'P NP KOLAM IKAN'!BR23</f>
        <v>0</v>
      </c>
      <c r="AJ39" s="322">
        <f>'P NP KOLAM IKAN'!BQ24</f>
        <v>0</v>
      </c>
      <c r="AK39" s="322">
        <f>'P NP KOLAM IKAN'!BR24</f>
        <v>0</v>
      </c>
      <c r="AL39" s="322">
        <f>'P NP KOLAM IKAN'!BQ25</f>
        <v>0</v>
      </c>
      <c r="AM39" s="322">
        <f>'P NP KOLAM IKAN'!BR25</f>
        <v>0</v>
      </c>
      <c r="AN39" s="322">
        <f>'P NP KOLAM IKAN'!BQ26</f>
        <v>41350</v>
      </c>
      <c r="AO39" s="322">
        <f>'P NP KOLAM IKAN'!BR26</f>
        <v>1016350</v>
      </c>
      <c r="AP39" s="322">
        <f>'P NP KOLAM IKAN'!BQ27</f>
        <v>0</v>
      </c>
      <c r="AQ39" s="322">
        <f>'P NP KOLAM IKAN'!BR27</f>
        <v>0</v>
      </c>
      <c r="AR39" s="322">
        <f>'P NP KOLAM IKAN'!BQ28</f>
        <v>0</v>
      </c>
      <c r="AS39" s="322">
        <f>'P NP KOLAM IKAN'!BR28</f>
        <v>0</v>
      </c>
      <c r="AT39" s="322">
        <f>'P NP KOLAM IKAN'!BQ29</f>
        <v>0</v>
      </c>
      <c r="AU39" s="322">
        <f>'P NP KOLAM IKAN'!BR29</f>
        <v>0</v>
      </c>
      <c r="AV39" s="322">
        <f>'P NP KOLAM IKAN'!BQ30</f>
        <v>0</v>
      </c>
      <c r="AW39" s="322">
        <f>'P NP KOLAM IKAN'!BR30</f>
        <v>0</v>
      </c>
      <c r="AX39" s="322">
        <f>'P NP KOLAM IKAN'!BQ31</f>
        <v>0</v>
      </c>
      <c r="AY39" s="322">
        <f>'P NP KOLAM IKAN'!BR31</f>
        <v>0</v>
      </c>
      <c r="AZ39" s="322">
        <f>'P NP KOLAM IKAN'!BQ32</f>
        <v>0</v>
      </c>
      <c r="BA39" s="322">
        <f>'P NP KOLAM IKAN'!BR32</f>
        <v>0</v>
      </c>
      <c r="BB39" s="322">
        <f>'P NP KOLAM IKAN'!BQ33</f>
        <v>0</v>
      </c>
      <c r="BC39" s="322">
        <f>'P NP KOLAM IKAN'!BR33</f>
        <v>0</v>
      </c>
      <c r="BD39" s="322">
        <f>'P NP KOLAM IKAN'!BQ34</f>
        <v>0</v>
      </c>
      <c r="BE39" s="322">
        <f>'P NP KOLAM IKAN'!BR34</f>
        <v>0</v>
      </c>
      <c r="BF39" s="322">
        <f>'P NP KOLAM IKAN'!BQ43</f>
        <v>0</v>
      </c>
      <c r="BG39" s="322">
        <f>'P NP KOLAM IKAN'!BR43</f>
        <v>0</v>
      </c>
      <c r="BH39" s="322">
        <f>'P NP KOLAM IKAN'!BQ44</f>
        <v>0</v>
      </c>
      <c r="BI39" s="322">
        <f>'P NP KOLAM IKAN'!BR44</f>
        <v>0</v>
      </c>
      <c r="BJ39" s="322">
        <f>'P NP KOLAM IKAN'!BQ45</f>
        <v>0</v>
      </c>
      <c r="BK39" s="322">
        <f>'P NP KOLAM IKAN'!BR45</f>
        <v>0</v>
      </c>
      <c r="BL39" s="322">
        <f>'P NP KOLAM IKAN'!BQ46</f>
        <v>0</v>
      </c>
      <c r="BM39" s="322">
        <f>'P NP KOLAM IKAN'!BR46</f>
        <v>0</v>
      </c>
      <c r="BN39" s="322">
        <f>'P NP KOLAM IKAN'!BQ47</f>
        <v>0</v>
      </c>
      <c r="BO39" s="322">
        <f>'P NP KOLAM IKAN'!BR47</f>
        <v>0</v>
      </c>
      <c r="BP39" s="322">
        <f>'P NP KOLAM IKAN'!BQ48</f>
        <v>0</v>
      </c>
      <c r="BQ39" s="322">
        <f>'P NP KOLAM IKAN'!BR48</f>
        <v>0</v>
      </c>
      <c r="BR39" s="322">
        <f>'P NP KOLAM IKAN'!BQ49</f>
        <v>0</v>
      </c>
      <c r="BS39" s="322">
        <f>'P NP KOLAM IKAN'!BR49</f>
        <v>0</v>
      </c>
      <c r="BT39" s="322">
        <f>'P NP KOLAM IKAN'!BQ50</f>
        <v>0</v>
      </c>
      <c r="BU39" s="322">
        <f>'P NP KOLAM IKAN'!BR50</f>
        <v>0</v>
      </c>
      <c r="BV39" s="322">
        <f>'P NP KOLAM IKAN'!BQ51</f>
        <v>0</v>
      </c>
      <c r="BW39" s="322">
        <f>'P NP KOLAM IKAN'!BR51</f>
        <v>0</v>
      </c>
      <c r="BX39" s="322">
        <f>'P NP KOLAM IKAN'!BQ52</f>
        <v>0</v>
      </c>
      <c r="BY39" s="322">
        <f>'P NP KOLAM IKAN'!BR52</f>
        <v>0</v>
      </c>
    </row>
    <row r="40" spans="1:77">
      <c r="A40" s="260" t="s">
        <v>146</v>
      </c>
      <c r="B40" s="320">
        <f t="shared" si="2"/>
        <v>228711</v>
      </c>
      <c r="C40" s="320">
        <f t="shared" si="3"/>
        <v>4188392.0039999997</v>
      </c>
      <c r="D40" s="322">
        <f>'P NP KOLAM IKAN'!BS8</f>
        <v>0</v>
      </c>
      <c r="E40" s="322">
        <f>'P NP KOLAM IKAN'!BT8</f>
        <v>0</v>
      </c>
      <c r="F40" s="322">
        <f>'P NP KOLAM IKAN'!BS9</f>
        <v>0</v>
      </c>
      <c r="G40" s="322">
        <f>'P NP KOLAM IKAN'!BT9</f>
        <v>0</v>
      </c>
      <c r="H40" s="322">
        <f>'P NP KOLAM IKAN'!BS10</f>
        <v>0</v>
      </c>
      <c r="I40" s="322">
        <f>'P NP KOLAM IKAN'!BT10</f>
        <v>0</v>
      </c>
      <c r="J40" s="322">
        <f>'P NP KOLAM IKAN'!BS11</f>
        <v>0</v>
      </c>
      <c r="K40" s="322">
        <f>'P NP KOLAM IKAN'!BT11</f>
        <v>0</v>
      </c>
      <c r="L40" s="322">
        <f>'P NP KOLAM IKAN'!BS12</f>
        <v>0</v>
      </c>
      <c r="M40" s="322">
        <f>'P NP KOLAM IKAN'!BT12</f>
        <v>0</v>
      </c>
      <c r="N40" s="322">
        <f>'P NP KOLAM IKAN'!BS13</f>
        <v>0</v>
      </c>
      <c r="O40" s="322">
        <f>'P NP KOLAM IKAN'!BT13</f>
        <v>0</v>
      </c>
      <c r="P40" s="322">
        <f>'P NP KOLAM IKAN'!BS14</f>
        <v>3171</v>
      </c>
      <c r="Q40" s="322">
        <f>'P NP KOLAM IKAN'!BT14</f>
        <v>95130</v>
      </c>
      <c r="R40" s="322">
        <f>'P NP KOLAM IKAN'!BS15</f>
        <v>0</v>
      </c>
      <c r="S40" s="322">
        <f>'P NP KOLAM IKAN'!BT15</f>
        <v>0</v>
      </c>
      <c r="T40" s="322">
        <f>'P NP KOLAM IKAN'!BS16</f>
        <v>0</v>
      </c>
      <c r="U40" s="322">
        <f>'P NP KOLAM IKAN'!BT16</f>
        <v>0</v>
      </c>
      <c r="V40" s="322">
        <f>'P NP KOLAM IKAN'!BS17</f>
        <v>0</v>
      </c>
      <c r="W40" s="322">
        <f>'P NP KOLAM IKAN'!BT17</f>
        <v>0</v>
      </c>
      <c r="X40" s="322">
        <f>'P NP KOLAM IKAN'!BS18</f>
        <v>0</v>
      </c>
      <c r="Y40" s="322">
        <f>'P NP KOLAM IKAN'!BT18</f>
        <v>0</v>
      </c>
      <c r="Z40" s="322">
        <f>'P NP KOLAM IKAN'!BS19</f>
        <v>0</v>
      </c>
      <c r="AA40" s="322">
        <f>'P NP KOLAM IKAN'!BT19</f>
        <v>0</v>
      </c>
      <c r="AB40" s="322">
        <f>'P NP KOLAM IKAN'!BS20</f>
        <v>0</v>
      </c>
      <c r="AC40" s="322">
        <f>'P NP KOLAM IKAN'!BT20</f>
        <v>0</v>
      </c>
      <c r="AD40" s="322">
        <f>'P NP KOLAM IKAN'!BS21</f>
        <v>217211</v>
      </c>
      <c r="AE40" s="322">
        <f>'P NP KOLAM IKAN'!BT21</f>
        <v>3909798</v>
      </c>
      <c r="AF40" s="322">
        <f>'P NP KOLAM IKAN'!BS22</f>
        <v>0</v>
      </c>
      <c r="AG40" s="322">
        <f>'P NP KOLAM IKAN'!BT22</f>
        <v>0</v>
      </c>
      <c r="AH40" s="322">
        <f>'P NP KOLAM IKAN'!BS23</f>
        <v>0</v>
      </c>
      <c r="AI40" s="322">
        <f>'P NP KOLAM IKAN'!BT23</f>
        <v>0</v>
      </c>
      <c r="AJ40" s="322">
        <f>'P NP KOLAM IKAN'!BS24</f>
        <v>0</v>
      </c>
      <c r="AK40" s="322">
        <f>'P NP KOLAM IKAN'!BT24</f>
        <v>0</v>
      </c>
      <c r="AL40" s="322">
        <f>'P NP KOLAM IKAN'!BS25</f>
        <v>0</v>
      </c>
      <c r="AM40" s="322">
        <f>'P NP KOLAM IKAN'!BT25</f>
        <v>0</v>
      </c>
      <c r="AN40" s="322">
        <f>'P NP KOLAM IKAN'!BS26</f>
        <v>5628</v>
      </c>
      <c r="AO40" s="322">
        <f>'P NP KOLAM IKAN'!BT26</f>
        <v>129444.00200000001</v>
      </c>
      <c r="AP40" s="322">
        <f>'P NP KOLAM IKAN'!BS27</f>
        <v>2701</v>
      </c>
      <c r="AQ40" s="322">
        <f>'P NP KOLAM IKAN'!BT27</f>
        <v>54020.002</v>
      </c>
      <c r="AR40" s="322">
        <f>'P NP KOLAM IKAN'!BS28</f>
        <v>0</v>
      </c>
      <c r="AS40" s="322">
        <f>'P NP KOLAM IKAN'!BT28</f>
        <v>0</v>
      </c>
      <c r="AT40" s="322">
        <f>'P NP KOLAM IKAN'!BS29</f>
        <v>0</v>
      </c>
      <c r="AU40" s="322">
        <f>'P NP KOLAM IKAN'!BT29</f>
        <v>0</v>
      </c>
      <c r="AV40" s="322">
        <f>'P NP KOLAM IKAN'!BS30</f>
        <v>0</v>
      </c>
      <c r="AW40" s="322">
        <f>'P NP KOLAM IKAN'!BT30</f>
        <v>0</v>
      </c>
      <c r="AX40" s="322">
        <f>'P NP KOLAM IKAN'!BS31</f>
        <v>0</v>
      </c>
      <c r="AY40" s="322">
        <f>'P NP KOLAM IKAN'!BT31</f>
        <v>0</v>
      </c>
      <c r="AZ40" s="322">
        <f>'P NP KOLAM IKAN'!BS32</f>
        <v>0</v>
      </c>
      <c r="BA40" s="322">
        <f>'P NP KOLAM IKAN'!BT32</f>
        <v>0</v>
      </c>
      <c r="BB40" s="322">
        <f>'P NP KOLAM IKAN'!BS33</f>
        <v>0</v>
      </c>
      <c r="BC40" s="322">
        <f>'P NP KOLAM IKAN'!BT33</f>
        <v>0</v>
      </c>
      <c r="BD40" s="322">
        <f>'P NP KOLAM IKAN'!BS34</f>
        <v>0</v>
      </c>
      <c r="BE40" s="322">
        <f>'P NP KOLAM IKAN'!BT34</f>
        <v>0</v>
      </c>
      <c r="BF40" s="322">
        <f>'P NP KOLAM IKAN'!BS43</f>
        <v>0</v>
      </c>
      <c r="BG40" s="322">
        <f>'P NP KOLAM IKAN'!BT43</f>
        <v>0</v>
      </c>
      <c r="BH40" s="322">
        <f>'P NP KOLAM IKAN'!BS44</f>
        <v>0</v>
      </c>
      <c r="BI40" s="322">
        <f>'P NP KOLAM IKAN'!BT44</f>
        <v>0</v>
      </c>
      <c r="BJ40" s="322">
        <f>'P NP KOLAM IKAN'!BS45</f>
        <v>0</v>
      </c>
      <c r="BK40" s="322">
        <f>'P NP KOLAM IKAN'!BT45</f>
        <v>0</v>
      </c>
      <c r="BL40" s="322">
        <f>'P NP KOLAM IKAN'!BS46</f>
        <v>0</v>
      </c>
      <c r="BM40" s="322">
        <f>'P NP KOLAM IKAN'!BT46</f>
        <v>0</v>
      </c>
      <c r="BN40" s="322">
        <f>'P NP KOLAM IKAN'!BS47</f>
        <v>0</v>
      </c>
      <c r="BO40" s="322">
        <f>'P NP KOLAM IKAN'!BT47</f>
        <v>0</v>
      </c>
      <c r="BP40" s="322">
        <f>'P NP KOLAM IKAN'!BS48</f>
        <v>0</v>
      </c>
      <c r="BQ40" s="322">
        <f>'P NP KOLAM IKAN'!BT48</f>
        <v>0</v>
      </c>
      <c r="BR40" s="322">
        <f>'P NP KOLAM IKAN'!BS49</f>
        <v>0</v>
      </c>
      <c r="BS40" s="322">
        <f>'P NP KOLAM IKAN'!BT49</f>
        <v>0</v>
      </c>
      <c r="BT40" s="322">
        <f>'P NP KOLAM IKAN'!BS50</f>
        <v>0</v>
      </c>
      <c r="BU40" s="322">
        <f>'P NP KOLAM IKAN'!BT50</f>
        <v>0</v>
      </c>
      <c r="BV40" s="322">
        <f>'P NP KOLAM IKAN'!BS51</f>
        <v>0</v>
      </c>
      <c r="BW40" s="322">
        <f>'P NP KOLAM IKAN'!BT51</f>
        <v>0</v>
      </c>
      <c r="BX40" s="322">
        <f>'P NP KOLAM IKAN'!BS52</f>
        <v>0</v>
      </c>
      <c r="BY40" s="322">
        <f>'P NP KOLAM IKAN'!BT52</f>
        <v>0</v>
      </c>
    </row>
    <row r="41" spans="1:77">
      <c r="A41" s="260" t="s">
        <v>145</v>
      </c>
      <c r="B41" s="320">
        <f t="shared" si="2"/>
        <v>35863</v>
      </c>
      <c r="C41" s="320">
        <f t="shared" si="3"/>
        <v>689827</v>
      </c>
      <c r="D41" s="322">
        <f>'P NP KOLAM IKAN'!BU8</f>
        <v>0</v>
      </c>
      <c r="E41" s="322">
        <f>'P NP KOLAM IKAN'!BV8</f>
        <v>0</v>
      </c>
      <c r="F41" s="322">
        <f>'P NP KOLAM IKAN'!BU9</f>
        <v>0</v>
      </c>
      <c r="G41" s="322">
        <f>'P NP KOLAM IKAN'!BV9</f>
        <v>0</v>
      </c>
      <c r="H41" s="322">
        <f>'P NP KOLAM IKAN'!BU10</f>
        <v>0</v>
      </c>
      <c r="I41" s="322">
        <f>'P NP KOLAM IKAN'!BV10</f>
        <v>0</v>
      </c>
      <c r="J41" s="322">
        <f>'P NP KOLAM IKAN'!BU11</f>
        <v>0</v>
      </c>
      <c r="K41" s="322">
        <f>'P NP KOLAM IKAN'!BV11</f>
        <v>0</v>
      </c>
      <c r="L41" s="322">
        <f>'P NP KOLAM IKAN'!BU12</f>
        <v>0</v>
      </c>
      <c r="M41" s="322">
        <f>'P NP KOLAM IKAN'!BV12</f>
        <v>0</v>
      </c>
      <c r="N41" s="322">
        <f>'P NP KOLAM IKAN'!BU13</f>
        <v>0</v>
      </c>
      <c r="O41" s="322">
        <f>'P NP KOLAM IKAN'!BV13</f>
        <v>0</v>
      </c>
      <c r="P41" s="322">
        <f>'P NP KOLAM IKAN'!BU14</f>
        <v>0</v>
      </c>
      <c r="Q41" s="322">
        <f>'P NP KOLAM IKAN'!BV14</f>
        <v>0</v>
      </c>
      <c r="R41" s="322">
        <f>'P NP KOLAM IKAN'!BU15</f>
        <v>0</v>
      </c>
      <c r="S41" s="322">
        <f>'P NP KOLAM IKAN'!BV15</f>
        <v>0</v>
      </c>
      <c r="T41" s="322">
        <f>'P NP KOLAM IKAN'!BU16</f>
        <v>0</v>
      </c>
      <c r="U41" s="322">
        <f>'P NP KOLAM IKAN'!BV16</f>
        <v>0</v>
      </c>
      <c r="V41" s="322">
        <f>'P NP KOLAM IKAN'!BU17</f>
        <v>0</v>
      </c>
      <c r="W41" s="322">
        <f>'P NP KOLAM IKAN'!BV17</f>
        <v>0</v>
      </c>
      <c r="X41" s="322">
        <f>'P NP KOLAM IKAN'!BU18</f>
        <v>0</v>
      </c>
      <c r="Y41" s="322">
        <f>'P NP KOLAM IKAN'!BV18</f>
        <v>0</v>
      </c>
      <c r="Z41" s="322">
        <f>'P NP KOLAM IKAN'!BU19</f>
        <v>0</v>
      </c>
      <c r="AA41" s="322">
        <f>'P NP KOLAM IKAN'!BV19</f>
        <v>0</v>
      </c>
      <c r="AB41" s="322">
        <f>'P NP KOLAM IKAN'!BU20</f>
        <v>0</v>
      </c>
      <c r="AC41" s="322">
        <f>'P NP KOLAM IKAN'!BV20</f>
        <v>0</v>
      </c>
      <c r="AD41" s="322">
        <f>'P NP KOLAM IKAN'!BU21</f>
        <v>35833</v>
      </c>
      <c r="AE41" s="322">
        <f>'P NP KOLAM IKAN'!BV21</f>
        <v>689167</v>
      </c>
      <c r="AF41" s="322">
        <f>'P NP KOLAM IKAN'!BU22</f>
        <v>0</v>
      </c>
      <c r="AG41" s="322">
        <f>'P NP KOLAM IKAN'!BV22</f>
        <v>0</v>
      </c>
      <c r="AH41" s="322">
        <f>'P NP KOLAM IKAN'!BU23</f>
        <v>0</v>
      </c>
      <c r="AI41" s="322">
        <f>'P NP KOLAM IKAN'!BV23</f>
        <v>0</v>
      </c>
      <c r="AJ41" s="322">
        <f>'P NP KOLAM IKAN'!BU24</f>
        <v>0</v>
      </c>
      <c r="AK41" s="322">
        <f>'P NP KOLAM IKAN'!BV24</f>
        <v>0</v>
      </c>
      <c r="AL41" s="322">
        <f>'P NP KOLAM IKAN'!BU25</f>
        <v>0</v>
      </c>
      <c r="AM41" s="322">
        <f>'P NP KOLAM IKAN'!BV25</f>
        <v>0</v>
      </c>
      <c r="AN41" s="322">
        <f>'P NP KOLAM IKAN'!BU26</f>
        <v>0</v>
      </c>
      <c r="AO41" s="322">
        <f>'P NP KOLAM IKAN'!BV26</f>
        <v>0</v>
      </c>
      <c r="AP41" s="322">
        <f>'P NP KOLAM IKAN'!BU27</f>
        <v>30</v>
      </c>
      <c r="AQ41" s="322">
        <f>'P NP KOLAM IKAN'!BV27</f>
        <v>660</v>
      </c>
      <c r="AR41" s="322">
        <f>'P NP KOLAM IKAN'!BU28</f>
        <v>0</v>
      </c>
      <c r="AS41" s="322">
        <f>'P NP KOLAM IKAN'!BV28</f>
        <v>0</v>
      </c>
      <c r="AT41" s="322">
        <f>'P NP KOLAM IKAN'!BU29</f>
        <v>0</v>
      </c>
      <c r="AU41" s="322">
        <f>'P NP KOLAM IKAN'!BV29</f>
        <v>0</v>
      </c>
      <c r="AV41" s="322">
        <f>'P NP KOLAM IKAN'!BU30</f>
        <v>0</v>
      </c>
      <c r="AW41" s="322">
        <f>'P NP KOLAM IKAN'!BV30</f>
        <v>0</v>
      </c>
      <c r="AX41" s="322">
        <f>'P NP KOLAM IKAN'!BU31</f>
        <v>0</v>
      </c>
      <c r="AY41" s="322">
        <f>'P NP KOLAM IKAN'!BV31</f>
        <v>0</v>
      </c>
      <c r="AZ41" s="322">
        <f>'P NP KOLAM IKAN'!BU32</f>
        <v>0</v>
      </c>
      <c r="BA41" s="322">
        <f>'P NP KOLAM IKAN'!BV32</f>
        <v>0</v>
      </c>
      <c r="BB41" s="322">
        <f>'P NP KOLAM IKAN'!BU33</f>
        <v>0</v>
      </c>
      <c r="BC41" s="322">
        <f>'P NP KOLAM IKAN'!BV33</f>
        <v>0</v>
      </c>
      <c r="BD41" s="322">
        <f>'P NP KOLAM IKAN'!BU34</f>
        <v>0</v>
      </c>
      <c r="BE41" s="322">
        <f>'P NP KOLAM IKAN'!BV34</f>
        <v>0</v>
      </c>
      <c r="BF41" s="322">
        <f>'P NP KOLAM IKAN'!BU43</f>
        <v>0</v>
      </c>
      <c r="BG41" s="322">
        <f>'P NP KOLAM IKAN'!BV43</f>
        <v>0</v>
      </c>
      <c r="BH41" s="322">
        <f>'P NP KOLAM IKAN'!BU44</f>
        <v>0</v>
      </c>
      <c r="BI41" s="322">
        <f>'P NP KOLAM IKAN'!BV44</f>
        <v>0</v>
      </c>
      <c r="BJ41" s="322">
        <f>'P NP KOLAM IKAN'!BU45</f>
        <v>0</v>
      </c>
      <c r="BK41" s="322">
        <f>'P NP KOLAM IKAN'!BV45</f>
        <v>0</v>
      </c>
      <c r="BL41" s="322">
        <f>'P NP KOLAM IKAN'!BU46</f>
        <v>0</v>
      </c>
      <c r="BM41" s="322">
        <f>'P NP KOLAM IKAN'!BV46</f>
        <v>0</v>
      </c>
      <c r="BN41" s="322">
        <f>'P NP KOLAM IKAN'!BU47</f>
        <v>0</v>
      </c>
      <c r="BO41" s="322">
        <f>'P NP KOLAM IKAN'!BV47</f>
        <v>0</v>
      </c>
      <c r="BP41" s="322">
        <f>'P NP KOLAM IKAN'!BU48</f>
        <v>0</v>
      </c>
      <c r="BQ41" s="322">
        <f>'P NP KOLAM IKAN'!BV48</f>
        <v>0</v>
      </c>
      <c r="BR41" s="322">
        <f>'P NP KOLAM IKAN'!BU49</f>
        <v>0</v>
      </c>
      <c r="BS41" s="322">
        <f>'P NP KOLAM IKAN'!BV49</f>
        <v>0</v>
      </c>
      <c r="BT41" s="322">
        <f>'P NP KOLAM IKAN'!BU50</f>
        <v>0</v>
      </c>
      <c r="BU41" s="322">
        <f>'P NP KOLAM IKAN'!BV50</f>
        <v>0</v>
      </c>
      <c r="BV41" s="322">
        <f>'P NP KOLAM IKAN'!BU51</f>
        <v>0</v>
      </c>
      <c r="BW41" s="322">
        <f>'P NP KOLAM IKAN'!BV51</f>
        <v>0</v>
      </c>
      <c r="BX41" s="322">
        <f>'P NP KOLAM IKAN'!BU52</f>
        <v>0</v>
      </c>
      <c r="BY41" s="322">
        <f>'P NP KOLAM IKAN'!BV52</f>
        <v>0</v>
      </c>
    </row>
    <row r="42" spans="1:77">
      <c r="A42" s="260" t="s">
        <v>144</v>
      </c>
      <c r="B42" s="320">
        <f t="shared" si="2"/>
        <v>199112.2</v>
      </c>
      <c r="C42" s="320">
        <f t="shared" si="3"/>
        <v>4056530</v>
      </c>
      <c r="D42" s="322">
        <f>'P NP KOLAM IKAN'!BW8</f>
        <v>0</v>
      </c>
      <c r="E42" s="322">
        <f>'P NP KOLAM IKAN'!BX8</f>
        <v>0</v>
      </c>
      <c r="F42" s="322">
        <f>'P NP KOLAM IKAN'!BW9</f>
        <v>0</v>
      </c>
      <c r="G42" s="322">
        <f>'P NP KOLAM IKAN'!BX9</f>
        <v>0</v>
      </c>
      <c r="H42" s="322">
        <f>'P NP KOLAM IKAN'!BW10</f>
        <v>0</v>
      </c>
      <c r="I42" s="322">
        <f>'P NP KOLAM IKAN'!BX10</f>
        <v>0</v>
      </c>
      <c r="J42" s="322">
        <f>'P NP KOLAM IKAN'!BW11</f>
        <v>0</v>
      </c>
      <c r="K42" s="322">
        <f>'P NP KOLAM IKAN'!BX11</f>
        <v>0</v>
      </c>
      <c r="L42" s="322">
        <f>'P NP KOLAM IKAN'!BW12</f>
        <v>0</v>
      </c>
      <c r="M42" s="322">
        <f>'P NP KOLAM IKAN'!BX12</f>
        <v>0</v>
      </c>
      <c r="N42" s="322">
        <f>'P NP KOLAM IKAN'!BW13</f>
        <v>0</v>
      </c>
      <c r="O42" s="322">
        <f>'P NP KOLAM IKAN'!BX13</f>
        <v>0</v>
      </c>
      <c r="P42" s="322">
        <f>'P NP KOLAM IKAN'!BW14</f>
        <v>10694</v>
      </c>
      <c r="Q42" s="322">
        <f>'P NP KOLAM IKAN'!BX14</f>
        <v>392456</v>
      </c>
      <c r="R42" s="322">
        <f>'P NP KOLAM IKAN'!BW15</f>
        <v>0</v>
      </c>
      <c r="S42" s="322">
        <f>'P NP KOLAM IKAN'!BX15</f>
        <v>0</v>
      </c>
      <c r="T42" s="322">
        <f>'P NP KOLAM IKAN'!BW16</f>
        <v>0</v>
      </c>
      <c r="U42" s="322">
        <f>'P NP KOLAM IKAN'!BX16</f>
        <v>0</v>
      </c>
      <c r="V42" s="322">
        <f>'P NP KOLAM IKAN'!BW17</f>
        <v>0</v>
      </c>
      <c r="W42" s="322">
        <f>'P NP KOLAM IKAN'!BX17</f>
        <v>0</v>
      </c>
      <c r="X42" s="322">
        <f>'P NP KOLAM IKAN'!BW18</f>
        <v>0</v>
      </c>
      <c r="Y42" s="322">
        <f>'P NP KOLAM IKAN'!BX18</f>
        <v>0</v>
      </c>
      <c r="Z42" s="322">
        <f>'P NP KOLAM IKAN'!BW19</f>
        <v>0</v>
      </c>
      <c r="AA42" s="322">
        <f>'P NP KOLAM IKAN'!BX19</f>
        <v>0</v>
      </c>
      <c r="AB42" s="322">
        <f>'P NP KOLAM IKAN'!BW20</f>
        <v>15560</v>
      </c>
      <c r="AC42" s="322">
        <f>'P NP KOLAM IKAN'!BX20</f>
        <v>295640</v>
      </c>
      <c r="AD42" s="322">
        <f>'P NP KOLAM IKAN'!BW21</f>
        <v>160557.5</v>
      </c>
      <c r="AE42" s="322">
        <f>'P NP KOLAM IKAN'!BX21</f>
        <v>3050592.5</v>
      </c>
      <c r="AF42" s="322">
        <f>'P NP KOLAM IKAN'!BW22</f>
        <v>0</v>
      </c>
      <c r="AG42" s="322">
        <f>'P NP KOLAM IKAN'!BX22</f>
        <v>0</v>
      </c>
      <c r="AH42" s="322">
        <f>'P NP KOLAM IKAN'!BW23</f>
        <v>0</v>
      </c>
      <c r="AI42" s="322">
        <f>'P NP KOLAM IKAN'!BX23</f>
        <v>0</v>
      </c>
      <c r="AJ42" s="322">
        <f>'P NP KOLAM IKAN'!BW24</f>
        <v>0</v>
      </c>
      <c r="AK42" s="322">
        <f>'P NP KOLAM IKAN'!BX24</f>
        <v>0</v>
      </c>
      <c r="AL42" s="322">
        <f>'P NP KOLAM IKAN'!BW25</f>
        <v>0</v>
      </c>
      <c r="AM42" s="322">
        <f>'P NP KOLAM IKAN'!BX25</f>
        <v>0</v>
      </c>
      <c r="AN42" s="322">
        <f>'P NP KOLAM IKAN'!BW26</f>
        <v>12300.7</v>
      </c>
      <c r="AO42" s="322">
        <f>'P NP KOLAM IKAN'!BX26</f>
        <v>317841.5</v>
      </c>
      <c r="AP42" s="322">
        <f>'P NP KOLAM IKAN'!BW27</f>
        <v>0</v>
      </c>
      <c r="AQ42" s="322">
        <f>'P NP KOLAM IKAN'!BX27</f>
        <v>0</v>
      </c>
      <c r="AR42" s="322">
        <f>'P NP KOLAM IKAN'!BW28</f>
        <v>0</v>
      </c>
      <c r="AS42" s="322">
        <f>'P NP KOLAM IKAN'!BX28</f>
        <v>0</v>
      </c>
      <c r="AT42" s="322">
        <f>'P NP KOLAM IKAN'!BW29</f>
        <v>0</v>
      </c>
      <c r="AU42" s="322">
        <f>'P NP KOLAM IKAN'!BX29</f>
        <v>0</v>
      </c>
      <c r="AV42" s="322">
        <f>'P NP KOLAM IKAN'!BW30</f>
        <v>0</v>
      </c>
      <c r="AW42" s="322">
        <f>'P NP KOLAM IKAN'!BX30</f>
        <v>0</v>
      </c>
      <c r="AX42" s="322">
        <f>'P NP KOLAM IKAN'!BW31</f>
        <v>0</v>
      </c>
      <c r="AY42" s="322">
        <f>'P NP KOLAM IKAN'!BX31</f>
        <v>0</v>
      </c>
      <c r="AZ42" s="322">
        <f>'P NP KOLAM IKAN'!BW32</f>
        <v>0</v>
      </c>
      <c r="BA42" s="322">
        <f>'P NP KOLAM IKAN'!BX32</f>
        <v>0</v>
      </c>
      <c r="BB42" s="322">
        <f>'P NP KOLAM IKAN'!BW33</f>
        <v>0</v>
      </c>
      <c r="BC42" s="322">
        <f>'P NP KOLAM IKAN'!BX33</f>
        <v>0</v>
      </c>
      <c r="BD42" s="322">
        <f>'P NP KOLAM IKAN'!BW34</f>
        <v>0</v>
      </c>
      <c r="BE42" s="322">
        <f>'P NP KOLAM IKAN'!BX34</f>
        <v>0</v>
      </c>
      <c r="BF42" s="322">
        <f>'P NP KOLAM IKAN'!BW43</f>
        <v>0</v>
      </c>
      <c r="BG42" s="322">
        <f>'P NP KOLAM IKAN'!BX43</f>
        <v>0</v>
      </c>
      <c r="BH42" s="322">
        <f>'P NP KOLAM IKAN'!BW44</f>
        <v>0</v>
      </c>
      <c r="BI42" s="322">
        <f>'P NP KOLAM IKAN'!BX44</f>
        <v>0</v>
      </c>
      <c r="BJ42" s="322">
        <f>'P NP KOLAM IKAN'!BW45</f>
        <v>0</v>
      </c>
      <c r="BK42" s="322">
        <f>'P NP KOLAM IKAN'!BX45</f>
        <v>0</v>
      </c>
      <c r="BL42" s="322">
        <f>'P NP KOLAM IKAN'!BW46</f>
        <v>0</v>
      </c>
      <c r="BM42" s="322">
        <f>'P NP KOLAM IKAN'!BX46</f>
        <v>0</v>
      </c>
      <c r="BN42" s="322">
        <f>'P NP KOLAM IKAN'!BW47</f>
        <v>0</v>
      </c>
      <c r="BO42" s="322">
        <f>'P NP KOLAM IKAN'!BX47</f>
        <v>0</v>
      </c>
      <c r="BP42" s="322">
        <f>'P NP KOLAM IKAN'!BW48</f>
        <v>0</v>
      </c>
      <c r="BQ42" s="322">
        <f>'P NP KOLAM IKAN'!BX48</f>
        <v>0</v>
      </c>
      <c r="BR42" s="322">
        <f>'P NP KOLAM IKAN'!BW49</f>
        <v>0</v>
      </c>
      <c r="BS42" s="322">
        <f>'P NP KOLAM IKAN'!BX49</f>
        <v>0</v>
      </c>
      <c r="BT42" s="322">
        <f>'P NP KOLAM IKAN'!BW50</f>
        <v>0</v>
      </c>
      <c r="BU42" s="322">
        <f>'P NP KOLAM IKAN'!BX50</f>
        <v>0</v>
      </c>
      <c r="BV42" s="322">
        <f>'P NP KOLAM IKAN'!BW51</f>
        <v>0</v>
      </c>
      <c r="BW42" s="322">
        <f>'P NP KOLAM IKAN'!BX51</f>
        <v>0</v>
      </c>
      <c r="BX42" s="322">
        <f>'P NP KOLAM IKAN'!BW52</f>
        <v>0</v>
      </c>
      <c r="BY42" s="322">
        <f>'P NP KOLAM IKAN'!BX52</f>
        <v>0</v>
      </c>
    </row>
    <row r="43" spans="1:77" ht="15" thickBot="1">
      <c r="A43" s="272" t="s">
        <v>148</v>
      </c>
      <c r="B43" s="320">
        <f t="shared" si="2"/>
        <v>4674678</v>
      </c>
      <c r="C43" s="320">
        <f t="shared" si="3"/>
        <v>114032566</v>
      </c>
      <c r="D43" s="322">
        <f>'P NP KOLAM IKAN'!BY8</f>
        <v>1071728</v>
      </c>
      <c r="E43" s="322">
        <f>'P NP KOLAM IKAN'!BZ8</f>
        <v>32126690</v>
      </c>
      <c r="F43" s="322">
        <f>'P NP KOLAM IKAN'!BY9</f>
        <v>0</v>
      </c>
      <c r="G43" s="322">
        <f>'P NP KOLAM IKAN'!BZ9</f>
        <v>0</v>
      </c>
      <c r="H43" s="322">
        <f>'P NP KOLAM IKAN'!BY10</f>
        <v>0</v>
      </c>
      <c r="I43" s="322">
        <f>'P NP KOLAM IKAN'!BZ10</f>
        <v>0</v>
      </c>
      <c r="J43" s="322">
        <f>'P NP KOLAM IKAN'!BY11</f>
        <v>0</v>
      </c>
      <c r="K43" s="322">
        <f>'P NP KOLAM IKAN'!BZ11</f>
        <v>0</v>
      </c>
      <c r="L43" s="322">
        <f>'P NP KOLAM IKAN'!BY12</f>
        <v>0</v>
      </c>
      <c r="M43" s="322">
        <f>'P NP KOLAM IKAN'!BZ12</f>
        <v>0</v>
      </c>
      <c r="N43" s="322">
        <f>'P NP KOLAM IKAN'!BY13</f>
        <v>0</v>
      </c>
      <c r="O43" s="322">
        <f>'P NP KOLAM IKAN'!BZ13</f>
        <v>0</v>
      </c>
      <c r="P43" s="322">
        <f>'P NP KOLAM IKAN'!BY14</f>
        <v>0</v>
      </c>
      <c r="Q43" s="322">
        <f>'P NP KOLAM IKAN'!BZ14</f>
        <v>0</v>
      </c>
      <c r="R43" s="322">
        <f>'P NP KOLAM IKAN'!BY15</f>
        <v>0</v>
      </c>
      <c r="S43" s="322">
        <f>'P NP KOLAM IKAN'!BZ15</f>
        <v>0</v>
      </c>
      <c r="T43" s="322">
        <f>'P NP KOLAM IKAN'!BY16</f>
        <v>0</v>
      </c>
      <c r="U43" s="322">
        <f>'P NP KOLAM IKAN'!BZ16</f>
        <v>0</v>
      </c>
      <c r="V43" s="322">
        <f>'P NP KOLAM IKAN'!BY17</f>
        <v>0</v>
      </c>
      <c r="W43" s="322">
        <f>'P NP KOLAM IKAN'!BZ17</f>
        <v>0</v>
      </c>
      <c r="X43" s="322">
        <f>'P NP KOLAM IKAN'!BY18</f>
        <v>0</v>
      </c>
      <c r="Y43" s="322">
        <f>'P NP KOLAM IKAN'!BZ18</f>
        <v>0</v>
      </c>
      <c r="Z43" s="322">
        <f>'P NP KOLAM IKAN'!BY19</f>
        <v>0</v>
      </c>
      <c r="AA43" s="322">
        <f>'P NP KOLAM IKAN'!BZ19</f>
        <v>0</v>
      </c>
      <c r="AB43" s="322">
        <f>'P NP KOLAM IKAN'!BY20</f>
        <v>0</v>
      </c>
      <c r="AC43" s="322">
        <f>'P NP KOLAM IKAN'!BZ20</f>
        <v>0</v>
      </c>
      <c r="AD43" s="322">
        <f>'P NP KOLAM IKAN'!BY21</f>
        <v>2200065</v>
      </c>
      <c r="AE43" s="322">
        <f>'P NP KOLAM IKAN'!BZ21</f>
        <v>45351390</v>
      </c>
      <c r="AF43" s="322">
        <f>'P NP KOLAM IKAN'!BY22</f>
        <v>0</v>
      </c>
      <c r="AG43" s="322">
        <f>'P NP KOLAM IKAN'!BZ22</f>
        <v>0</v>
      </c>
      <c r="AH43" s="322">
        <f>'P NP KOLAM IKAN'!BY23</f>
        <v>0</v>
      </c>
      <c r="AI43" s="322">
        <f>'P NP KOLAM IKAN'!BZ23</f>
        <v>0</v>
      </c>
      <c r="AJ43" s="322">
        <f>'P NP KOLAM IKAN'!BY24</f>
        <v>0</v>
      </c>
      <c r="AK43" s="322">
        <f>'P NP KOLAM IKAN'!BZ24</f>
        <v>0</v>
      </c>
      <c r="AL43" s="322">
        <f>'P NP KOLAM IKAN'!BY25</f>
        <v>0</v>
      </c>
      <c r="AM43" s="322">
        <f>'P NP KOLAM IKAN'!BZ25</f>
        <v>0</v>
      </c>
      <c r="AN43" s="322">
        <f>'P NP KOLAM IKAN'!BY26</f>
        <v>1397859</v>
      </c>
      <c r="AO43" s="322">
        <f>'P NP KOLAM IKAN'!BZ26</f>
        <v>36437122</v>
      </c>
      <c r="AP43" s="322">
        <f>'P NP KOLAM IKAN'!BY27</f>
        <v>5026</v>
      </c>
      <c r="AQ43" s="322">
        <f>'P NP KOLAM IKAN'!BZ27</f>
        <v>117364</v>
      </c>
      <c r="AR43" s="322">
        <f>'P NP KOLAM IKAN'!BY28</f>
        <v>0</v>
      </c>
      <c r="AS43" s="322">
        <f>'P NP KOLAM IKAN'!BZ28</f>
        <v>0</v>
      </c>
      <c r="AT43" s="322">
        <f>'P NP KOLAM IKAN'!BY29</f>
        <v>0</v>
      </c>
      <c r="AU43" s="322">
        <f>'P NP KOLAM IKAN'!BZ29</f>
        <v>0</v>
      </c>
      <c r="AV43" s="322">
        <f>'P NP KOLAM IKAN'!BY30</f>
        <v>0</v>
      </c>
      <c r="AW43" s="322">
        <f>'P NP KOLAM IKAN'!BZ30</f>
        <v>0</v>
      </c>
      <c r="AX43" s="322">
        <f>'P NP KOLAM IKAN'!BY31</f>
        <v>0</v>
      </c>
      <c r="AY43" s="322">
        <f>'P NP KOLAM IKAN'!BZ31</f>
        <v>0</v>
      </c>
      <c r="AZ43" s="322">
        <f>'P NP KOLAM IKAN'!BY32</f>
        <v>0</v>
      </c>
      <c r="BA43" s="322">
        <f>'P NP KOLAM IKAN'!BZ32</f>
        <v>0</v>
      </c>
      <c r="BB43" s="322">
        <f>'P NP KOLAM IKAN'!BY33</f>
        <v>0</v>
      </c>
      <c r="BC43" s="322">
        <f>'P NP KOLAM IKAN'!BZ33</f>
        <v>0</v>
      </c>
      <c r="BD43" s="322">
        <f>'P NP KOLAM IKAN'!BY34</f>
        <v>0</v>
      </c>
      <c r="BE43" s="322">
        <f>'P NP KOLAM IKAN'!BZ34</f>
        <v>0</v>
      </c>
      <c r="BF43" s="322">
        <f>'P NP KOLAM IKAN'!BY43</f>
        <v>0</v>
      </c>
      <c r="BG43" s="322">
        <f>'P NP KOLAM IKAN'!BZ43</f>
        <v>0</v>
      </c>
      <c r="BH43" s="322">
        <f>'P NP KOLAM IKAN'!BY44</f>
        <v>0</v>
      </c>
      <c r="BI43" s="322">
        <f>'P NP KOLAM IKAN'!BZ44</f>
        <v>0</v>
      </c>
      <c r="BJ43" s="322">
        <f>'P NP KOLAM IKAN'!BY45</f>
        <v>0</v>
      </c>
      <c r="BK43" s="322">
        <f>'P NP KOLAM IKAN'!BZ45</f>
        <v>0</v>
      </c>
      <c r="BL43" s="322">
        <f>'P NP KOLAM IKAN'!BY46</f>
        <v>0</v>
      </c>
      <c r="BM43" s="322">
        <f>'P NP KOLAM IKAN'!BZ46</f>
        <v>0</v>
      </c>
      <c r="BN43" s="322">
        <f>'P NP KOLAM IKAN'!BY47</f>
        <v>0</v>
      </c>
      <c r="BO43" s="322">
        <f>'P NP KOLAM IKAN'!BZ47</f>
        <v>0</v>
      </c>
      <c r="BP43" s="322">
        <f>'P NP KOLAM IKAN'!BY48</f>
        <v>0</v>
      </c>
      <c r="BQ43" s="322">
        <f>'P NP KOLAM IKAN'!BZ48</f>
        <v>0</v>
      </c>
      <c r="BR43" s="322">
        <f>'P NP KOLAM IKAN'!BY49</f>
        <v>0</v>
      </c>
      <c r="BS43" s="322">
        <f>'P NP KOLAM IKAN'!BZ49</f>
        <v>0</v>
      </c>
      <c r="BT43" s="322">
        <f>'P NP KOLAM IKAN'!BY50</f>
        <v>0</v>
      </c>
      <c r="BU43" s="322">
        <f>'P NP KOLAM IKAN'!BZ50</f>
        <v>0</v>
      </c>
      <c r="BV43" s="322">
        <f>'P NP KOLAM IKAN'!BY51</f>
        <v>0</v>
      </c>
      <c r="BW43" s="322">
        <f>'P NP KOLAM IKAN'!BZ51</f>
        <v>0</v>
      </c>
      <c r="BX43" s="322">
        <f>'P NP KOLAM IKAN'!BY52</f>
        <v>0</v>
      </c>
      <c r="BY43" s="322">
        <f>'P NP KOLAM IKAN'!BZ52</f>
        <v>0</v>
      </c>
    </row>
    <row r="44" spans="1:77" s="168" customFormat="1">
      <c r="D44" s="323"/>
      <c r="E44" s="323"/>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322">
        <f>'P NP KOLAM IKAN'!CA23</f>
        <v>0</v>
      </c>
      <c r="AI44" s="322">
        <f>'P NP KOLAM IKAN'!CB23</f>
        <v>2650</v>
      </c>
      <c r="AJ44" s="322">
        <f>'P NP KOLAM IKAN'!CA24</f>
        <v>0</v>
      </c>
      <c r="AK44" s="322">
        <f>'P NP KOLAM IKAN'!CB24</f>
        <v>6048446.6226296294</v>
      </c>
      <c r="AL44" s="322">
        <f>'P NP KOLAM IKAN'!CA25</f>
        <v>0</v>
      </c>
      <c r="AM44" s="322">
        <f>'P NP KOLAM IKAN'!CB25</f>
        <v>7407786.7103055483</v>
      </c>
      <c r="AN44" s="322">
        <f>'P NP KOLAM IKAN'!CA26</f>
        <v>0</v>
      </c>
      <c r="AO44" s="322">
        <f>'P NP KOLAM IKAN'!CB26</f>
        <v>27568836.800272476</v>
      </c>
      <c r="AP44" s="322">
        <f>'P NP KOLAM IKAN'!CA27</f>
        <v>0</v>
      </c>
      <c r="AQ44" s="322">
        <f>'P NP KOLAM IKAN'!CB27</f>
        <v>29004035.678126551</v>
      </c>
      <c r="AR44" s="322">
        <f>'P NP KOLAM IKAN'!CA28</f>
        <v>0</v>
      </c>
      <c r="AS44" s="322">
        <f>'P NP KOLAM IKAN'!CB28</f>
        <v>0</v>
      </c>
      <c r="AT44" s="322">
        <f>'P NP KOLAM IKAN'!CA29</f>
        <v>0</v>
      </c>
      <c r="AU44" s="322">
        <f>'P NP KOLAM IKAN'!CB29</f>
        <v>7466061.3146035718</v>
      </c>
      <c r="AV44" s="322">
        <f>'P NP KOLAM IKAN'!CA30</f>
        <v>0</v>
      </c>
      <c r="AW44" s="322">
        <f>'P NP KOLAM IKAN'!CB30</f>
        <v>0</v>
      </c>
      <c r="AX44" s="322">
        <f>'P NP KOLAM IKAN'!CA31</f>
        <v>0</v>
      </c>
      <c r="AY44" s="322">
        <f>'P NP KOLAM IKAN'!CB31</f>
        <v>0</v>
      </c>
      <c r="AZ44" s="322">
        <f>'P NP KOLAM IKAN'!CA32</f>
        <v>0</v>
      </c>
      <c r="BA44" s="322">
        <f>'P NP KOLAM IKAN'!CB32</f>
        <v>0</v>
      </c>
      <c r="BB44" s="322">
        <f>'P NP KOLAM IKAN'!CA33</f>
        <v>0</v>
      </c>
      <c r="BC44" s="322">
        <f>'P NP KOLAM IKAN'!CB33</f>
        <v>12380434</v>
      </c>
      <c r="BD44" s="322">
        <f>'P NP KOLAM IKAN'!CA34</f>
        <v>0</v>
      </c>
      <c r="BE44" s="322">
        <f>'P NP KOLAM IKAN'!CB34</f>
        <v>0</v>
      </c>
      <c r="BF44" s="322">
        <f>'P NP KOLAM IKAN'!CA43</f>
        <v>0</v>
      </c>
      <c r="BG44" s="322">
        <f>'P NP KOLAM IKAN'!CB43</f>
        <v>0</v>
      </c>
      <c r="BH44" s="322">
        <f>'P NP KOLAM IKAN'!CA44</f>
        <v>0</v>
      </c>
      <c r="BI44" s="322">
        <f>'P NP KOLAM IKAN'!CB44</f>
        <v>0</v>
      </c>
      <c r="BJ44" s="322">
        <f>'P NP KOLAM IKAN'!CA45</f>
        <v>0</v>
      </c>
      <c r="BK44" s="322">
        <f>'P NP KOLAM IKAN'!CB45</f>
        <v>0</v>
      </c>
      <c r="BL44" s="322">
        <f>'P NP KOLAM IKAN'!CA46</f>
        <v>0</v>
      </c>
      <c r="BM44" s="322">
        <f>'P NP KOLAM IKAN'!CB46</f>
        <v>0</v>
      </c>
      <c r="BN44" s="322">
        <f>'P NP KOLAM IKAN'!CA47</f>
        <v>0</v>
      </c>
      <c r="BO44" s="322">
        <f>'P NP KOLAM IKAN'!CB47</f>
        <v>0</v>
      </c>
      <c r="BP44" s="322">
        <f>'P NP KOLAM IKAN'!CA48</f>
        <v>0</v>
      </c>
      <c r="BQ44" s="322">
        <f>'P NP KOLAM IKAN'!CB48</f>
        <v>0</v>
      </c>
      <c r="BR44" s="322">
        <f>'P NP KOLAM IKAN'!CA49</f>
        <v>0</v>
      </c>
      <c r="BS44" s="322">
        <f>'P NP KOLAM IKAN'!CB49</f>
        <v>0</v>
      </c>
      <c r="BT44" s="322">
        <f>'P NP KOLAM IKAN'!CA50</f>
        <v>0</v>
      </c>
      <c r="BU44" s="322">
        <f>'P NP KOLAM IKAN'!CB50</f>
        <v>0</v>
      </c>
      <c r="BV44" s="322">
        <f>'P NP KOLAM IKAN'!CA51</f>
        <v>0</v>
      </c>
      <c r="BW44" s="322">
        <f>'P NP KOLAM IKAN'!CB51</f>
        <v>0</v>
      </c>
      <c r="BX44" s="322">
        <f>'P NP KOLAM IKAN'!CA52</f>
        <v>0</v>
      </c>
      <c r="BY44" s="322">
        <f>'P NP KOLAM IKAN'!CB52</f>
        <v>0</v>
      </c>
    </row>
  </sheetData>
  <sortState xmlns:xlrd2="http://schemas.microsoft.com/office/spreadsheetml/2017/richdata2" ref="A6:A43">
    <sortCondition ref="A6:A43"/>
  </sortState>
  <mergeCells count="37">
    <mergeCell ref="N2:O2"/>
    <mergeCell ref="D2:E2"/>
    <mergeCell ref="F2:G2"/>
    <mergeCell ref="H2:I2"/>
    <mergeCell ref="J2:K2"/>
    <mergeCell ref="L2:M2"/>
    <mergeCell ref="AL2:AM2"/>
    <mergeCell ref="P2:Q2"/>
    <mergeCell ref="R2:S2"/>
    <mergeCell ref="T2:U2"/>
    <mergeCell ref="V2:W2"/>
    <mergeCell ref="X2:Y2"/>
    <mergeCell ref="Z2:AA2"/>
    <mergeCell ref="AB2:AC2"/>
    <mergeCell ref="AD2:AE2"/>
    <mergeCell ref="AF2:AG2"/>
    <mergeCell ref="AH2:AI2"/>
    <mergeCell ref="AJ2:AK2"/>
    <mergeCell ref="BJ2:BK2"/>
    <mergeCell ref="AN2:AO2"/>
    <mergeCell ref="AP2:AQ2"/>
    <mergeCell ref="AR2:AS2"/>
    <mergeCell ref="AT2:AU2"/>
    <mergeCell ref="AV2:AW2"/>
    <mergeCell ref="AX2:AY2"/>
    <mergeCell ref="AZ2:BA2"/>
    <mergeCell ref="BB2:BC2"/>
    <mergeCell ref="BD2:BE2"/>
    <mergeCell ref="BF2:BG2"/>
    <mergeCell ref="BH2:BI2"/>
    <mergeCell ref="BX2:BY2"/>
    <mergeCell ref="BL2:BM2"/>
    <mergeCell ref="BN2:BO2"/>
    <mergeCell ref="BP2:BQ2"/>
    <mergeCell ref="BR2:BS2"/>
    <mergeCell ref="BT2:BU2"/>
    <mergeCell ref="BV2:BW2"/>
  </mergeCells>
  <pageMargins left="0.7" right="0.7" top="0.75" bottom="0.75" header="0.3" footer="0.3"/>
  <pageSetup paperSize="9" orientation="portrait" horizontalDpi="4294967293"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sheetPr>
  <dimension ref="A1:CC45"/>
  <sheetViews>
    <sheetView workbookViewId="0">
      <pane xSplit="2" ySplit="7" topLeftCell="BQ15" activePane="bottomRight" state="frozen"/>
      <selection pane="topRight" activeCell="C1" sqref="C1"/>
      <selection pane="bottomLeft" activeCell="A8" sqref="A8"/>
      <selection pane="bottomRight" activeCell="BR23" sqref="BR23"/>
    </sheetView>
  </sheetViews>
  <sheetFormatPr defaultRowHeight="14.5"/>
  <cols>
    <col min="1" max="1" width="9.1796875" style="205"/>
    <col min="2" max="2" width="25.54296875" style="205" customWidth="1"/>
    <col min="3" max="78" width="13.81640625" customWidth="1"/>
    <col min="80" max="81" width="12.54296875" style="205" customWidth="1"/>
    <col min="258" max="258" width="25.54296875" customWidth="1"/>
    <col min="259" max="296" width="13.81640625" customWidth="1"/>
    <col min="514" max="514" width="25.54296875" customWidth="1"/>
    <col min="515" max="552" width="13.81640625" customWidth="1"/>
    <col min="770" max="770" width="25.54296875" customWidth="1"/>
    <col min="771" max="808" width="13.81640625" customWidth="1"/>
    <col min="1026" max="1026" width="25.54296875" customWidth="1"/>
    <col min="1027" max="1064" width="13.81640625" customWidth="1"/>
    <col min="1282" max="1282" width="25.54296875" customWidth="1"/>
    <col min="1283" max="1320" width="13.81640625" customWidth="1"/>
    <col min="1538" max="1538" width="25.54296875" customWidth="1"/>
    <col min="1539" max="1576" width="13.81640625" customWidth="1"/>
    <col min="1794" max="1794" width="25.54296875" customWidth="1"/>
    <col min="1795" max="1832" width="13.81640625" customWidth="1"/>
    <col min="2050" max="2050" width="25.54296875" customWidth="1"/>
    <col min="2051" max="2088" width="13.81640625" customWidth="1"/>
    <col min="2306" max="2306" width="25.54296875" customWidth="1"/>
    <col min="2307" max="2344" width="13.81640625" customWidth="1"/>
    <col min="2562" max="2562" width="25.54296875" customWidth="1"/>
    <col min="2563" max="2600" width="13.81640625" customWidth="1"/>
    <col min="2818" max="2818" width="25.54296875" customWidth="1"/>
    <col min="2819" max="2856" width="13.81640625" customWidth="1"/>
    <col min="3074" max="3074" width="25.54296875" customWidth="1"/>
    <col min="3075" max="3112" width="13.81640625" customWidth="1"/>
    <col min="3330" max="3330" width="25.54296875" customWidth="1"/>
    <col min="3331" max="3368" width="13.81640625" customWidth="1"/>
    <col min="3586" max="3586" width="25.54296875" customWidth="1"/>
    <col min="3587" max="3624" width="13.81640625" customWidth="1"/>
    <col min="3842" max="3842" width="25.54296875" customWidth="1"/>
    <col min="3843" max="3880" width="13.81640625" customWidth="1"/>
    <col min="4098" max="4098" width="25.54296875" customWidth="1"/>
    <col min="4099" max="4136" width="13.81640625" customWidth="1"/>
    <col min="4354" max="4354" width="25.54296875" customWidth="1"/>
    <col min="4355" max="4392" width="13.81640625" customWidth="1"/>
    <col min="4610" max="4610" width="25.54296875" customWidth="1"/>
    <col min="4611" max="4648" width="13.81640625" customWidth="1"/>
    <col min="4866" max="4866" width="25.54296875" customWidth="1"/>
    <col min="4867" max="4904" width="13.81640625" customWidth="1"/>
    <col min="5122" max="5122" width="25.54296875" customWidth="1"/>
    <col min="5123" max="5160" width="13.81640625" customWidth="1"/>
    <col min="5378" max="5378" width="25.54296875" customWidth="1"/>
    <col min="5379" max="5416" width="13.81640625" customWidth="1"/>
    <col min="5634" max="5634" width="25.54296875" customWidth="1"/>
    <col min="5635" max="5672" width="13.81640625" customWidth="1"/>
    <col min="5890" max="5890" width="25.54296875" customWidth="1"/>
    <col min="5891" max="5928" width="13.81640625" customWidth="1"/>
    <col min="6146" max="6146" width="25.54296875" customWidth="1"/>
    <col min="6147" max="6184" width="13.81640625" customWidth="1"/>
    <col min="6402" max="6402" width="25.54296875" customWidth="1"/>
    <col min="6403" max="6440" width="13.81640625" customWidth="1"/>
    <col min="6658" max="6658" width="25.54296875" customWidth="1"/>
    <col min="6659" max="6696" width="13.81640625" customWidth="1"/>
    <col min="6914" max="6914" width="25.54296875" customWidth="1"/>
    <col min="6915" max="6952" width="13.81640625" customWidth="1"/>
    <col min="7170" max="7170" width="25.54296875" customWidth="1"/>
    <col min="7171" max="7208" width="13.81640625" customWidth="1"/>
    <col min="7426" max="7426" width="25.54296875" customWidth="1"/>
    <col min="7427" max="7464" width="13.81640625" customWidth="1"/>
    <col min="7682" max="7682" width="25.54296875" customWidth="1"/>
    <col min="7683" max="7720" width="13.81640625" customWidth="1"/>
    <col min="7938" max="7938" width="25.54296875" customWidth="1"/>
    <col min="7939" max="7976" width="13.81640625" customWidth="1"/>
    <col min="8194" max="8194" width="25.54296875" customWidth="1"/>
    <col min="8195" max="8232" width="13.81640625" customWidth="1"/>
    <col min="8450" max="8450" width="25.54296875" customWidth="1"/>
    <col min="8451" max="8488" width="13.81640625" customWidth="1"/>
    <col min="8706" max="8706" width="25.54296875" customWidth="1"/>
    <col min="8707" max="8744" width="13.81640625" customWidth="1"/>
    <col min="8962" max="8962" width="25.54296875" customWidth="1"/>
    <col min="8963" max="9000" width="13.81640625" customWidth="1"/>
    <col min="9218" max="9218" width="25.54296875" customWidth="1"/>
    <col min="9219" max="9256" width="13.81640625" customWidth="1"/>
    <col min="9474" max="9474" width="25.54296875" customWidth="1"/>
    <col min="9475" max="9512" width="13.81640625" customWidth="1"/>
    <col min="9730" max="9730" width="25.54296875" customWidth="1"/>
    <col min="9731" max="9768" width="13.81640625" customWidth="1"/>
    <col min="9986" max="9986" width="25.54296875" customWidth="1"/>
    <col min="9987" max="10024" width="13.81640625" customWidth="1"/>
    <col min="10242" max="10242" width="25.54296875" customWidth="1"/>
    <col min="10243" max="10280" width="13.81640625" customWidth="1"/>
    <col min="10498" max="10498" width="25.54296875" customWidth="1"/>
    <col min="10499" max="10536" width="13.81640625" customWidth="1"/>
    <col min="10754" max="10754" width="25.54296875" customWidth="1"/>
    <col min="10755" max="10792" width="13.81640625" customWidth="1"/>
    <col min="11010" max="11010" width="25.54296875" customWidth="1"/>
    <col min="11011" max="11048" width="13.81640625" customWidth="1"/>
    <col min="11266" max="11266" width="25.54296875" customWidth="1"/>
    <col min="11267" max="11304" width="13.81640625" customWidth="1"/>
    <col min="11522" max="11522" width="25.54296875" customWidth="1"/>
    <col min="11523" max="11560" width="13.81640625" customWidth="1"/>
    <col min="11778" max="11778" width="25.54296875" customWidth="1"/>
    <col min="11779" max="11816" width="13.81640625" customWidth="1"/>
    <col min="12034" max="12034" width="25.54296875" customWidth="1"/>
    <col min="12035" max="12072" width="13.81640625" customWidth="1"/>
    <col min="12290" max="12290" width="25.54296875" customWidth="1"/>
    <col min="12291" max="12328" width="13.81640625" customWidth="1"/>
    <col min="12546" max="12546" width="25.54296875" customWidth="1"/>
    <col min="12547" max="12584" width="13.81640625" customWidth="1"/>
    <col min="12802" max="12802" width="25.54296875" customWidth="1"/>
    <col min="12803" max="12840" width="13.81640625" customWidth="1"/>
    <col min="13058" max="13058" width="25.54296875" customWidth="1"/>
    <col min="13059" max="13096" width="13.81640625" customWidth="1"/>
    <col min="13314" max="13314" width="25.54296875" customWidth="1"/>
    <col min="13315" max="13352" width="13.81640625" customWidth="1"/>
    <col min="13570" max="13570" width="25.54296875" customWidth="1"/>
    <col min="13571" max="13608" width="13.81640625" customWidth="1"/>
    <col min="13826" max="13826" width="25.54296875" customWidth="1"/>
    <col min="13827" max="13864" width="13.81640625" customWidth="1"/>
    <col min="14082" max="14082" width="25.54296875" customWidth="1"/>
    <col min="14083" max="14120" width="13.81640625" customWidth="1"/>
    <col min="14338" max="14338" width="25.54296875" customWidth="1"/>
    <col min="14339" max="14376" width="13.81640625" customWidth="1"/>
    <col min="14594" max="14594" width="25.54296875" customWidth="1"/>
    <col min="14595" max="14632" width="13.81640625" customWidth="1"/>
    <col min="14850" max="14850" width="25.54296875" customWidth="1"/>
    <col min="14851" max="14888" width="13.81640625" customWidth="1"/>
    <col min="15106" max="15106" width="25.54296875" customWidth="1"/>
    <col min="15107" max="15144" width="13.81640625" customWidth="1"/>
    <col min="15362" max="15362" width="25.54296875" customWidth="1"/>
    <col min="15363" max="15400" width="13.81640625" customWidth="1"/>
    <col min="15618" max="15618" width="25.54296875" customWidth="1"/>
    <col min="15619" max="15656" width="13.81640625" customWidth="1"/>
    <col min="15874" max="15874" width="25.54296875" customWidth="1"/>
    <col min="15875" max="15912" width="13.81640625" customWidth="1"/>
    <col min="16130" max="16130" width="25.54296875" customWidth="1"/>
    <col min="16131" max="16168" width="13.81640625" customWidth="1"/>
  </cols>
  <sheetData>
    <row r="1" spans="1:81" s="205" customFormat="1" ht="17.25" customHeight="1">
      <c r="A1" s="311" t="s">
        <v>27</v>
      </c>
      <c r="B1" s="312">
        <f>SUMIF($C$4:$BZ$4,$C$4,C7:BZ7)</f>
        <v>6969165</v>
      </c>
      <c r="C1" s="974">
        <v>1</v>
      </c>
      <c r="D1" s="974"/>
      <c r="E1" s="974">
        <v>2</v>
      </c>
      <c r="F1" s="974"/>
      <c r="G1" s="974">
        <v>3</v>
      </c>
      <c r="H1" s="974"/>
      <c r="I1" s="974">
        <v>4</v>
      </c>
      <c r="J1" s="974"/>
      <c r="K1" s="974">
        <v>5</v>
      </c>
      <c r="L1" s="974"/>
      <c r="M1" s="974">
        <v>6</v>
      </c>
      <c r="N1" s="974"/>
      <c r="O1" s="974">
        <v>7</v>
      </c>
      <c r="P1" s="974"/>
      <c r="Q1" s="974">
        <v>8</v>
      </c>
      <c r="R1" s="974"/>
      <c r="S1" s="974">
        <v>9</v>
      </c>
      <c r="T1" s="974"/>
      <c r="U1" s="974">
        <v>10</v>
      </c>
      <c r="V1" s="974"/>
      <c r="W1" s="974">
        <v>11</v>
      </c>
      <c r="X1" s="974"/>
      <c r="Y1" s="974">
        <v>12</v>
      </c>
      <c r="Z1" s="974"/>
      <c r="AA1" s="974">
        <v>13</v>
      </c>
      <c r="AB1" s="974"/>
      <c r="AC1" s="974">
        <v>14</v>
      </c>
      <c r="AD1" s="974"/>
      <c r="AE1" s="974">
        <v>15</v>
      </c>
      <c r="AF1" s="974"/>
      <c r="AG1" s="974">
        <v>16</v>
      </c>
      <c r="AH1" s="974"/>
      <c r="AI1" s="974">
        <v>17</v>
      </c>
      <c r="AJ1" s="974"/>
      <c r="AK1" s="974">
        <v>18</v>
      </c>
      <c r="AL1" s="974"/>
      <c r="AM1" s="974">
        <v>19</v>
      </c>
      <c r="AN1" s="974"/>
      <c r="AO1" s="974">
        <v>20</v>
      </c>
      <c r="AP1" s="974"/>
      <c r="AQ1" s="974">
        <v>21</v>
      </c>
      <c r="AR1" s="974"/>
      <c r="AS1" s="974">
        <v>22</v>
      </c>
      <c r="AT1" s="974"/>
      <c r="AU1" s="974">
        <v>23</v>
      </c>
      <c r="AV1" s="974"/>
      <c r="AW1" s="974">
        <v>24</v>
      </c>
      <c r="AX1" s="974"/>
      <c r="AY1" s="974">
        <v>25</v>
      </c>
      <c r="AZ1" s="974"/>
      <c r="BA1" s="974">
        <v>26</v>
      </c>
      <c r="BB1" s="974"/>
      <c r="BC1" s="974">
        <v>27</v>
      </c>
      <c r="BD1" s="974"/>
      <c r="BE1" s="974">
        <v>28</v>
      </c>
      <c r="BF1" s="974"/>
      <c r="BG1" s="974">
        <v>29</v>
      </c>
      <c r="BH1" s="974"/>
      <c r="BI1" s="974">
        <v>30</v>
      </c>
      <c r="BJ1" s="974"/>
      <c r="BK1" s="974">
        <v>31</v>
      </c>
      <c r="BL1" s="974"/>
      <c r="BM1" s="974">
        <v>32</v>
      </c>
      <c r="BN1" s="974"/>
      <c r="BO1" s="974">
        <v>33</v>
      </c>
      <c r="BP1" s="974"/>
      <c r="BQ1" s="974">
        <v>34</v>
      </c>
      <c r="BR1" s="974"/>
      <c r="BS1" s="974">
        <v>35</v>
      </c>
      <c r="BT1" s="974"/>
      <c r="BU1" s="974">
        <v>36</v>
      </c>
      <c r="BV1" s="974"/>
      <c r="BW1" s="974">
        <v>37</v>
      </c>
      <c r="BX1" s="974"/>
      <c r="BY1" s="974">
        <v>38</v>
      </c>
      <c r="BZ1" s="974"/>
    </row>
    <row r="2" spans="1:81" s="205" customFormat="1">
      <c r="A2" s="311"/>
      <c r="B2" s="313">
        <f>'P &amp; NP'!WX11</f>
        <v>6969165</v>
      </c>
      <c r="C2" s="975" t="s">
        <v>89</v>
      </c>
      <c r="D2" s="975"/>
      <c r="E2" s="975" t="s">
        <v>73</v>
      </c>
      <c r="F2" s="975"/>
      <c r="G2" s="975" t="s">
        <v>68</v>
      </c>
      <c r="H2" s="975"/>
      <c r="I2" s="975" t="s">
        <v>85</v>
      </c>
      <c r="J2" s="975"/>
      <c r="K2" s="975" t="s">
        <v>74</v>
      </c>
      <c r="L2" s="975"/>
      <c r="M2" s="975" t="s">
        <v>88</v>
      </c>
      <c r="N2" s="975"/>
      <c r="O2" s="975" t="s">
        <v>72</v>
      </c>
      <c r="P2" s="975"/>
      <c r="Q2" s="975" t="s">
        <v>80</v>
      </c>
      <c r="R2" s="975"/>
      <c r="S2" s="975" t="s">
        <v>69</v>
      </c>
      <c r="T2" s="975"/>
      <c r="U2" s="975" t="s">
        <v>87</v>
      </c>
      <c r="V2" s="975"/>
      <c r="W2" s="975" t="s">
        <v>71</v>
      </c>
      <c r="X2" s="975"/>
      <c r="Y2" s="975" t="s">
        <v>82</v>
      </c>
      <c r="Z2" s="975"/>
      <c r="AA2" s="975" t="s">
        <v>83</v>
      </c>
      <c r="AB2" s="975"/>
      <c r="AC2" s="975" t="s">
        <v>70</v>
      </c>
      <c r="AD2" s="975"/>
      <c r="AE2" s="975" t="s">
        <v>79</v>
      </c>
      <c r="AF2" s="975"/>
      <c r="AG2" s="975" t="s">
        <v>81</v>
      </c>
      <c r="AH2" s="975"/>
      <c r="AI2" s="975" t="s">
        <v>84</v>
      </c>
      <c r="AJ2" s="975"/>
      <c r="AK2" s="975" t="s">
        <v>36</v>
      </c>
      <c r="AL2" s="975"/>
      <c r="AM2" s="975" t="s">
        <v>91</v>
      </c>
      <c r="AN2" s="975"/>
      <c r="AO2" s="862" t="s">
        <v>77</v>
      </c>
      <c r="AP2" s="862"/>
      <c r="AQ2" s="862" t="s">
        <v>38</v>
      </c>
      <c r="AR2" s="862"/>
      <c r="AS2" s="862" t="s">
        <v>76</v>
      </c>
      <c r="AT2" s="862"/>
      <c r="AU2" s="862" t="s">
        <v>90</v>
      </c>
      <c r="AV2" s="862"/>
      <c r="AW2" s="862" t="s">
        <v>78</v>
      </c>
      <c r="AX2" s="862"/>
      <c r="AY2" s="862" t="s">
        <v>75</v>
      </c>
      <c r="AZ2" s="862"/>
      <c r="BA2" s="862" t="s">
        <v>92</v>
      </c>
      <c r="BB2" s="862"/>
      <c r="BC2" s="862" t="s">
        <v>39</v>
      </c>
      <c r="BD2" s="862"/>
      <c r="BE2" s="862" t="s">
        <v>86</v>
      </c>
      <c r="BF2" s="862"/>
      <c r="BG2" s="862" t="s">
        <v>40</v>
      </c>
      <c r="BH2" s="862"/>
      <c r="BI2" s="862" t="s">
        <v>101</v>
      </c>
      <c r="BJ2" s="862"/>
      <c r="BK2" s="862" t="s">
        <v>94</v>
      </c>
      <c r="BL2" s="862"/>
      <c r="BM2" s="862" t="s">
        <v>93</v>
      </c>
      <c r="BN2" s="862"/>
      <c r="BO2" s="862" t="s">
        <v>99</v>
      </c>
      <c r="BP2" s="862"/>
      <c r="BQ2" s="862" t="s">
        <v>95</v>
      </c>
      <c r="BR2" s="862"/>
      <c r="BS2" s="862" t="s">
        <v>98</v>
      </c>
      <c r="BT2" s="862"/>
      <c r="BU2" s="862" t="s">
        <v>97</v>
      </c>
      <c r="BV2" s="862"/>
      <c r="BW2" s="862" t="s">
        <v>96</v>
      </c>
      <c r="BX2" s="862"/>
      <c r="BY2" s="862" t="s">
        <v>100</v>
      </c>
      <c r="BZ2" s="862"/>
      <c r="CB2" s="206">
        <f>B1-CB7</f>
        <v>0</v>
      </c>
      <c r="CC2" s="206">
        <f>B4-CC7</f>
        <v>0</v>
      </c>
    </row>
    <row r="3" spans="1:81" s="205" customFormat="1">
      <c r="A3" s="311"/>
      <c r="B3" s="311"/>
      <c r="C3" s="975" t="s">
        <v>33</v>
      </c>
      <c r="D3" s="975"/>
      <c r="E3" s="975" t="s">
        <v>33</v>
      </c>
      <c r="F3" s="975"/>
      <c r="G3" s="975" t="s">
        <v>33</v>
      </c>
      <c r="H3" s="975"/>
      <c r="I3" s="975" t="s">
        <v>33</v>
      </c>
      <c r="J3" s="975"/>
      <c r="K3" s="975" t="s">
        <v>33</v>
      </c>
      <c r="L3" s="975"/>
      <c r="M3" s="975" t="s">
        <v>33</v>
      </c>
      <c r="N3" s="975"/>
      <c r="O3" s="975" t="s">
        <v>33</v>
      </c>
      <c r="P3" s="975"/>
      <c r="Q3" s="975" t="s">
        <v>33</v>
      </c>
      <c r="R3" s="975"/>
      <c r="S3" s="975" t="s">
        <v>33</v>
      </c>
      <c r="T3" s="975"/>
      <c r="U3" s="975" t="s">
        <v>33</v>
      </c>
      <c r="V3" s="975"/>
      <c r="W3" s="975" t="s">
        <v>33</v>
      </c>
      <c r="X3" s="975"/>
      <c r="Y3" s="975" t="s">
        <v>33</v>
      </c>
      <c r="Z3" s="975"/>
      <c r="AA3" s="975" t="s">
        <v>33</v>
      </c>
      <c r="AB3" s="975"/>
      <c r="AC3" s="975" t="s">
        <v>33</v>
      </c>
      <c r="AD3" s="975"/>
      <c r="AE3" s="975" t="s">
        <v>33</v>
      </c>
      <c r="AF3" s="975"/>
      <c r="AG3" s="975" t="s">
        <v>33</v>
      </c>
      <c r="AH3" s="975"/>
      <c r="AI3" s="975" t="s">
        <v>33</v>
      </c>
      <c r="AJ3" s="975"/>
      <c r="AK3" s="975" t="s">
        <v>33</v>
      </c>
      <c r="AL3" s="975"/>
      <c r="AM3" s="975" t="s">
        <v>33</v>
      </c>
      <c r="AN3" s="975"/>
      <c r="AO3" s="975" t="s">
        <v>33</v>
      </c>
      <c r="AP3" s="975"/>
      <c r="AQ3" s="975" t="s">
        <v>33</v>
      </c>
      <c r="AR3" s="975"/>
      <c r="AS3" s="975" t="s">
        <v>33</v>
      </c>
      <c r="AT3" s="975"/>
      <c r="AU3" s="975" t="s">
        <v>33</v>
      </c>
      <c r="AV3" s="975"/>
      <c r="AW3" s="975" t="s">
        <v>33</v>
      </c>
      <c r="AX3" s="975"/>
      <c r="AY3" s="975" t="s">
        <v>33</v>
      </c>
      <c r="AZ3" s="975"/>
      <c r="BA3" s="975" t="s">
        <v>33</v>
      </c>
      <c r="BB3" s="975"/>
      <c r="BC3" s="975" t="s">
        <v>33</v>
      </c>
      <c r="BD3" s="975"/>
      <c r="BE3" s="975" t="s">
        <v>33</v>
      </c>
      <c r="BF3" s="975"/>
      <c r="BG3" s="975" t="s">
        <v>33</v>
      </c>
      <c r="BH3" s="975"/>
      <c r="BI3" s="975" t="s">
        <v>33</v>
      </c>
      <c r="BJ3" s="975"/>
      <c r="BK3" s="975" t="s">
        <v>33</v>
      </c>
      <c r="BL3" s="975"/>
      <c r="BM3" s="975" t="s">
        <v>33</v>
      </c>
      <c r="BN3" s="975"/>
      <c r="BO3" s="975" t="s">
        <v>33</v>
      </c>
      <c r="BP3" s="975"/>
      <c r="BQ3" s="975" t="s">
        <v>33</v>
      </c>
      <c r="BR3" s="975"/>
      <c r="BS3" s="975" t="s">
        <v>33</v>
      </c>
      <c r="BT3" s="975"/>
      <c r="BU3" s="975" t="s">
        <v>33</v>
      </c>
      <c r="BV3" s="975"/>
      <c r="BW3" s="975" t="s">
        <v>33</v>
      </c>
      <c r="BX3" s="975"/>
      <c r="BY3" s="975" t="s">
        <v>33</v>
      </c>
      <c r="BZ3" s="975"/>
    </row>
    <row r="4" spans="1:81" s="205" customFormat="1">
      <c r="A4" s="311" t="s">
        <v>28</v>
      </c>
      <c r="B4" s="312">
        <f>SUMIF($C$4:$BZ$4,$D$4,C7:BZ7)</f>
        <v>129078479</v>
      </c>
      <c r="C4" s="204" t="s">
        <v>27</v>
      </c>
      <c r="D4" s="204" t="s">
        <v>28</v>
      </c>
      <c r="E4" s="204" t="s">
        <v>27</v>
      </c>
      <c r="F4" s="204" t="s">
        <v>28</v>
      </c>
      <c r="G4" s="204" t="s">
        <v>27</v>
      </c>
      <c r="H4" s="204" t="s">
        <v>28</v>
      </c>
      <c r="I4" s="204" t="s">
        <v>27</v>
      </c>
      <c r="J4" s="204" t="s">
        <v>28</v>
      </c>
      <c r="K4" s="204" t="s">
        <v>27</v>
      </c>
      <c r="L4" s="204" t="s">
        <v>28</v>
      </c>
      <c r="M4" s="204" t="s">
        <v>27</v>
      </c>
      <c r="N4" s="204" t="s">
        <v>28</v>
      </c>
      <c r="O4" s="204" t="s">
        <v>27</v>
      </c>
      <c r="P4" s="204" t="s">
        <v>28</v>
      </c>
      <c r="Q4" s="204" t="s">
        <v>27</v>
      </c>
      <c r="R4" s="204" t="s">
        <v>28</v>
      </c>
      <c r="S4" s="204" t="s">
        <v>27</v>
      </c>
      <c r="T4" s="204" t="s">
        <v>28</v>
      </c>
      <c r="U4" s="204" t="s">
        <v>27</v>
      </c>
      <c r="V4" s="204" t="s">
        <v>28</v>
      </c>
      <c r="W4" s="204" t="s">
        <v>27</v>
      </c>
      <c r="X4" s="204" t="s">
        <v>28</v>
      </c>
      <c r="Y4" s="204" t="s">
        <v>27</v>
      </c>
      <c r="Z4" s="204" t="s">
        <v>28</v>
      </c>
      <c r="AA4" s="204" t="s">
        <v>27</v>
      </c>
      <c r="AB4" s="204" t="s">
        <v>28</v>
      </c>
      <c r="AC4" s="204" t="s">
        <v>27</v>
      </c>
      <c r="AD4" s="204" t="s">
        <v>28</v>
      </c>
      <c r="AE4" s="204" t="s">
        <v>27</v>
      </c>
      <c r="AF4" s="204" t="s">
        <v>28</v>
      </c>
      <c r="AG4" s="204" t="s">
        <v>27</v>
      </c>
      <c r="AH4" s="204" t="s">
        <v>28</v>
      </c>
      <c r="AI4" s="204" t="s">
        <v>27</v>
      </c>
      <c r="AJ4" s="204" t="s">
        <v>28</v>
      </c>
      <c r="AK4" s="204" t="s">
        <v>27</v>
      </c>
      <c r="AL4" s="204" t="s">
        <v>28</v>
      </c>
      <c r="AM4" s="204" t="s">
        <v>27</v>
      </c>
      <c r="AN4" s="204" t="s">
        <v>28</v>
      </c>
      <c r="AO4" s="87" t="s">
        <v>27</v>
      </c>
      <c r="AP4" s="87" t="s">
        <v>28</v>
      </c>
      <c r="AQ4" s="87" t="s">
        <v>27</v>
      </c>
      <c r="AR4" s="87" t="s">
        <v>28</v>
      </c>
      <c r="AS4" s="87" t="s">
        <v>27</v>
      </c>
      <c r="AT4" s="87" t="s">
        <v>28</v>
      </c>
      <c r="AU4" s="87" t="s">
        <v>27</v>
      </c>
      <c r="AV4" s="87" t="s">
        <v>28</v>
      </c>
      <c r="AW4" s="87" t="s">
        <v>27</v>
      </c>
      <c r="AX4" s="87" t="s">
        <v>28</v>
      </c>
      <c r="AY4" s="87" t="s">
        <v>27</v>
      </c>
      <c r="AZ4" s="87" t="s">
        <v>28</v>
      </c>
      <c r="BA4" s="87" t="s">
        <v>27</v>
      </c>
      <c r="BB4" s="87" t="s">
        <v>28</v>
      </c>
      <c r="BC4" s="87" t="s">
        <v>27</v>
      </c>
      <c r="BD4" s="87" t="s">
        <v>28</v>
      </c>
      <c r="BE4" s="87" t="s">
        <v>27</v>
      </c>
      <c r="BF4" s="87" t="s">
        <v>28</v>
      </c>
      <c r="BG4" s="87" t="s">
        <v>27</v>
      </c>
      <c r="BH4" s="87" t="s">
        <v>28</v>
      </c>
      <c r="BI4" s="87" t="s">
        <v>27</v>
      </c>
      <c r="BJ4" s="87" t="s">
        <v>28</v>
      </c>
      <c r="BK4" s="87" t="s">
        <v>27</v>
      </c>
      <c r="BL4" s="87" t="s">
        <v>28</v>
      </c>
      <c r="BM4" s="87" t="s">
        <v>27</v>
      </c>
      <c r="BN4" s="87" t="s">
        <v>28</v>
      </c>
      <c r="BO4" s="87" t="s">
        <v>27</v>
      </c>
      <c r="BP4" s="87" t="s">
        <v>28</v>
      </c>
      <c r="BQ4" s="87" t="s">
        <v>27</v>
      </c>
      <c r="BR4" s="87" t="s">
        <v>28</v>
      </c>
      <c r="BS4" s="87" t="s">
        <v>27</v>
      </c>
      <c r="BT4" s="87" t="s">
        <v>28</v>
      </c>
      <c r="BU4" s="87" t="s">
        <v>27</v>
      </c>
      <c r="BV4" s="87" t="s">
        <v>28</v>
      </c>
      <c r="BW4" s="87" t="s">
        <v>27</v>
      </c>
      <c r="BX4" s="87" t="s">
        <v>28</v>
      </c>
      <c r="BY4" s="87" t="s">
        <v>27</v>
      </c>
      <c r="BZ4" s="87" t="s">
        <v>28</v>
      </c>
      <c r="CB4" s="370" t="s">
        <v>27</v>
      </c>
      <c r="CC4" s="370" t="s">
        <v>28</v>
      </c>
    </row>
    <row r="5" spans="1:81" s="205" customFormat="1">
      <c r="B5" s="314">
        <f>'P &amp; NP'!WY11</f>
        <v>129078479</v>
      </c>
      <c r="C5" s="204" t="s">
        <v>29</v>
      </c>
      <c r="D5" s="204" t="s">
        <v>30</v>
      </c>
      <c r="E5" s="204" t="s">
        <v>29</v>
      </c>
      <c r="F5" s="204" t="s">
        <v>30</v>
      </c>
      <c r="G5" s="204" t="s">
        <v>29</v>
      </c>
      <c r="H5" s="204" t="s">
        <v>30</v>
      </c>
      <c r="I5" s="204" t="s">
        <v>29</v>
      </c>
      <c r="J5" s="204" t="s">
        <v>30</v>
      </c>
      <c r="K5" s="204" t="s">
        <v>29</v>
      </c>
      <c r="L5" s="204" t="s">
        <v>30</v>
      </c>
      <c r="M5" s="204" t="s">
        <v>29</v>
      </c>
      <c r="N5" s="204" t="s">
        <v>30</v>
      </c>
      <c r="O5" s="204" t="s">
        <v>29</v>
      </c>
      <c r="P5" s="204" t="s">
        <v>30</v>
      </c>
      <c r="Q5" s="204" t="s">
        <v>29</v>
      </c>
      <c r="R5" s="204" t="s">
        <v>30</v>
      </c>
      <c r="S5" s="204" t="s">
        <v>29</v>
      </c>
      <c r="T5" s="204" t="s">
        <v>30</v>
      </c>
      <c r="U5" s="204" t="s">
        <v>29</v>
      </c>
      <c r="V5" s="204" t="s">
        <v>30</v>
      </c>
      <c r="W5" s="204" t="s">
        <v>29</v>
      </c>
      <c r="X5" s="204" t="s">
        <v>30</v>
      </c>
      <c r="Y5" s="204" t="s">
        <v>29</v>
      </c>
      <c r="Z5" s="204" t="s">
        <v>30</v>
      </c>
      <c r="AA5" s="204" t="s">
        <v>29</v>
      </c>
      <c r="AB5" s="204" t="s">
        <v>30</v>
      </c>
      <c r="AC5" s="204" t="s">
        <v>29</v>
      </c>
      <c r="AD5" s="204" t="s">
        <v>30</v>
      </c>
      <c r="AE5" s="204" t="s">
        <v>29</v>
      </c>
      <c r="AF5" s="204" t="s">
        <v>30</v>
      </c>
      <c r="AG5" s="204" t="s">
        <v>29</v>
      </c>
      <c r="AH5" s="204" t="s">
        <v>30</v>
      </c>
      <c r="AI5" s="204" t="s">
        <v>29</v>
      </c>
      <c r="AJ5" s="204" t="s">
        <v>30</v>
      </c>
      <c r="AK5" s="204" t="s">
        <v>29</v>
      </c>
      <c r="AL5" s="204" t="s">
        <v>30</v>
      </c>
      <c r="AM5" s="204" t="s">
        <v>29</v>
      </c>
      <c r="AN5" s="204" t="s">
        <v>30</v>
      </c>
      <c r="AO5" s="87" t="s">
        <v>29</v>
      </c>
      <c r="AP5" s="87" t="s">
        <v>30</v>
      </c>
      <c r="AQ5" s="87" t="s">
        <v>29</v>
      </c>
      <c r="AR5" s="87" t="s">
        <v>30</v>
      </c>
      <c r="AS5" s="87" t="s">
        <v>29</v>
      </c>
      <c r="AT5" s="87" t="s">
        <v>30</v>
      </c>
      <c r="AU5" s="87" t="s">
        <v>29</v>
      </c>
      <c r="AV5" s="87" t="s">
        <v>30</v>
      </c>
      <c r="AW5" s="87" t="s">
        <v>29</v>
      </c>
      <c r="AX5" s="87" t="s">
        <v>30</v>
      </c>
      <c r="AY5" s="87" t="s">
        <v>29</v>
      </c>
      <c r="AZ5" s="87" t="s">
        <v>30</v>
      </c>
      <c r="BA5" s="87" t="s">
        <v>29</v>
      </c>
      <c r="BB5" s="87" t="s">
        <v>30</v>
      </c>
      <c r="BC5" s="87" t="s">
        <v>29</v>
      </c>
      <c r="BD5" s="87" t="s">
        <v>30</v>
      </c>
      <c r="BE5" s="87" t="s">
        <v>29</v>
      </c>
      <c r="BF5" s="87" t="s">
        <v>30</v>
      </c>
      <c r="BG5" s="87" t="s">
        <v>29</v>
      </c>
      <c r="BH5" s="87" t="s">
        <v>30</v>
      </c>
      <c r="BI5" s="87" t="s">
        <v>29</v>
      </c>
      <c r="BJ5" s="87" t="s">
        <v>30</v>
      </c>
      <c r="BK5" s="87" t="s">
        <v>29</v>
      </c>
      <c r="BL5" s="87" t="s">
        <v>30</v>
      </c>
      <c r="BM5" s="87" t="s">
        <v>29</v>
      </c>
      <c r="BN5" s="87" t="s">
        <v>30</v>
      </c>
      <c r="BO5" s="87" t="s">
        <v>29</v>
      </c>
      <c r="BP5" s="87" t="s">
        <v>30</v>
      </c>
      <c r="BQ5" s="87" t="s">
        <v>29</v>
      </c>
      <c r="BR5" s="87" t="s">
        <v>30</v>
      </c>
      <c r="BS5" s="87" t="s">
        <v>29</v>
      </c>
      <c r="BT5" s="87" t="s">
        <v>30</v>
      </c>
      <c r="BU5" s="87" t="s">
        <v>29</v>
      </c>
      <c r="BV5" s="87" t="s">
        <v>30</v>
      </c>
      <c r="BW5" s="87" t="s">
        <v>29</v>
      </c>
      <c r="BX5" s="87" t="s">
        <v>30</v>
      </c>
      <c r="BY5" s="87" t="s">
        <v>29</v>
      </c>
      <c r="BZ5" s="87" t="s">
        <v>30</v>
      </c>
    </row>
    <row r="6" spans="1:81" s="205" customFormat="1">
      <c r="B6" s="206">
        <f>B5-B4</f>
        <v>0</v>
      </c>
      <c r="C6" s="206">
        <f>'P &amp; NP'!M484</f>
        <v>4600</v>
      </c>
      <c r="D6" s="206">
        <f>'P &amp; NP'!N484</f>
        <v>92000</v>
      </c>
      <c r="E6" s="116">
        <f>'P &amp; NP'!AC484</f>
        <v>47815</v>
      </c>
      <c r="F6" s="116">
        <f>'P &amp; NP'!AD484</f>
        <v>1317575</v>
      </c>
      <c r="G6" s="116">
        <f>'P &amp; NP'!AS484</f>
        <v>0</v>
      </c>
      <c r="H6" s="116">
        <f>'P &amp; NP'!AT484</f>
        <v>0</v>
      </c>
      <c r="I6" s="116">
        <f>'P &amp; NP'!BI484</f>
        <v>0</v>
      </c>
      <c r="J6" s="116">
        <f>'P &amp; NP'!BJ484</f>
        <v>0</v>
      </c>
      <c r="K6" s="116">
        <f>'P &amp; NP'!BY484</f>
        <v>0</v>
      </c>
      <c r="L6" s="116">
        <f>'P &amp; NP'!BZ484</f>
        <v>0</v>
      </c>
      <c r="M6" s="116">
        <f>'P &amp; NP'!CO484</f>
        <v>0</v>
      </c>
      <c r="N6" s="116">
        <f>'P &amp; NP'!CP484</f>
        <v>0</v>
      </c>
      <c r="O6" s="116">
        <f>'P &amp; NP'!DE484</f>
        <v>0</v>
      </c>
      <c r="P6" s="116">
        <f>'P &amp; NP'!DF484</f>
        <v>0</v>
      </c>
      <c r="Q6" s="116">
        <f>'P &amp; NP'!DU484</f>
        <v>0</v>
      </c>
      <c r="R6" s="116">
        <f>'P &amp; NP'!DV484</f>
        <v>0</v>
      </c>
      <c r="S6" s="116">
        <f>'P &amp; NP'!EK484</f>
        <v>0</v>
      </c>
      <c r="T6" s="116">
        <f>'P &amp; NP'!EL484</f>
        <v>0</v>
      </c>
      <c r="U6" s="116">
        <f>'P &amp; NP'!FA484</f>
        <v>74030</v>
      </c>
      <c r="V6" s="116">
        <f>'P &amp; NP'!FB484</f>
        <v>1375104</v>
      </c>
      <c r="W6" s="116">
        <f>'P &amp; NP'!FQ484</f>
        <v>0</v>
      </c>
      <c r="X6" s="116">
        <f>'P &amp; NP'!FR484</f>
        <v>0</v>
      </c>
      <c r="Y6" s="116">
        <f>'P &amp; NP'!GG484</f>
        <v>0</v>
      </c>
      <c r="Z6" s="116">
        <f>'P &amp; NP'!GH484</f>
        <v>0</v>
      </c>
      <c r="AA6" s="116">
        <f>'P &amp; NP'!GW484</f>
        <v>0</v>
      </c>
      <c r="AB6" s="116">
        <f>'P &amp; NP'!GX484</f>
        <v>0</v>
      </c>
      <c r="AC6" s="116">
        <f>'P &amp; NP'!HM484</f>
        <v>0</v>
      </c>
      <c r="AD6" s="116">
        <f>'P &amp; NP'!HN484</f>
        <v>0</v>
      </c>
      <c r="AE6" s="116">
        <f>'P &amp; NP'!IC484</f>
        <v>1800</v>
      </c>
      <c r="AF6" s="116">
        <f>'P &amp; NP'!ID484</f>
        <v>45400</v>
      </c>
      <c r="AG6" s="116">
        <f>'P &amp; NP'!IS484</f>
        <v>0</v>
      </c>
      <c r="AH6" s="116">
        <f>'P &amp; NP'!IT484</f>
        <v>0</v>
      </c>
      <c r="AI6" s="116">
        <f>'P &amp; NP'!JI484</f>
        <v>0</v>
      </c>
      <c r="AJ6" s="116">
        <f>'P &amp; NP'!JJ484</f>
        <v>0</v>
      </c>
      <c r="AK6" s="116">
        <f>'P &amp; NP'!JY484</f>
        <v>0</v>
      </c>
      <c r="AL6" s="116">
        <f>'P &amp; NP'!JZ484</f>
        <v>0</v>
      </c>
      <c r="AM6" s="116">
        <f>'P &amp; NP'!KO484</f>
        <v>0</v>
      </c>
      <c r="AN6" s="116">
        <f>'P &amp; NP'!KP484</f>
        <v>0</v>
      </c>
      <c r="AO6" s="116">
        <f>'P &amp; NP'!LE484</f>
        <v>0</v>
      </c>
      <c r="AP6" s="116">
        <f>'P &amp; NP'!LF484</f>
        <v>0</v>
      </c>
      <c r="AQ6" s="116">
        <f>'P &amp; NP'!LU484</f>
        <v>0</v>
      </c>
      <c r="AR6" s="116">
        <f>'P &amp; NP'!LV484</f>
        <v>0</v>
      </c>
      <c r="AS6" s="116">
        <f>'P &amp; NP'!MK484</f>
        <v>0</v>
      </c>
      <c r="AT6" s="116">
        <f>'P &amp; NP'!ML484</f>
        <v>0</v>
      </c>
      <c r="AU6" s="116">
        <f>'P &amp; NP'!NA484</f>
        <v>0</v>
      </c>
      <c r="AV6" s="116">
        <f>'P &amp; NP'!NB484</f>
        <v>0</v>
      </c>
      <c r="AW6" s="116">
        <f>'P &amp; NP'!NQ484</f>
        <v>312620</v>
      </c>
      <c r="AX6" s="116">
        <f>'P &amp; NP'!NR484</f>
        <v>5690196</v>
      </c>
      <c r="AY6" s="116">
        <f>'P &amp; NP'!OG484</f>
        <v>0</v>
      </c>
      <c r="AZ6" s="116">
        <f>'P &amp; NP'!OH484</f>
        <v>0</v>
      </c>
      <c r="BA6" s="116">
        <f>'P &amp; NP'!OW484</f>
        <v>0</v>
      </c>
      <c r="BB6" s="116">
        <f>'P &amp; NP'!OX484</f>
        <v>0</v>
      </c>
      <c r="BC6" s="116">
        <f>'P &amp; NP'!PM484</f>
        <v>0</v>
      </c>
      <c r="BD6" s="116">
        <f>'P &amp; NP'!PN484</f>
        <v>0</v>
      </c>
      <c r="BE6" s="116">
        <f>'P &amp; NP'!QC484</f>
        <v>6509700</v>
      </c>
      <c r="BF6" s="116">
        <f>'P &amp; NP'!QD484</f>
        <v>119961954</v>
      </c>
      <c r="BG6" s="116">
        <f>'P &amp; NP'!QS484</f>
        <v>0</v>
      </c>
      <c r="BH6" s="116">
        <f>'P &amp; NP'!QT484</f>
        <v>0</v>
      </c>
      <c r="BI6" s="116">
        <f>'P &amp; NP'!RI484</f>
        <v>0</v>
      </c>
      <c r="BJ6" s="116">
        <f>'P &amp; NP'!RJ484</f>
        <v>0</v>
      </c>
      <c r="BK6" s="116">
        <f>'P &amp; NP'!RY484</f>
        <v>0</v>
      </c>
      <c r="BL6" s="116">
        <f>'P &amp; NP'!RZ484</f>
        <v>0</v>
      </c>
      <c r="BM6" s="116">
        <f>'P &amp; NP'!SO484</f>
        <v>0</v>
      </c>
      <c r="BN6" s="116">
        <f>'P &amp; NP'!SP484</f>
        <v>0</v>
      </c>
      <c r="BO6" s="116">
        <f>'P &amp; NP'!TE484</f>
        <v>0</v>
      </c>
      <c r="BP6" s="116">
        <f>'P &amp; NP'!TF484</f>
        <v>0</v>
      </c>
      <c r="BQ6" s="116">
        <f>'P &amp; NP'!TU484</f>
        <v>18600</v>
      </c>
      <c r="BR6" s="116">
        <f>'P &amp; NP'!TV484</f>
        <v>596250</v>
      </c>
      <c r="BS6" s="116">
        <f>'P &amp; NP'!UK484</f>
        <v>0</v>
      </c>
      <c r="BT6" s="116">
        <f>'P &amp; NP'!UL484</f>
        <v>0</v>
      </c>
      <c r="BU6" s="116">
        <f>'P &amp; NP'!VA484</f>
        <v>0</v>
      </c>
      <c r="BV6" s="116">
        <f>'P &amp; NP'!VB484</f>
        <v>0</v>
      </c>
      <c r="BW6" s="116">
        <f>'P &amp; NP'!VQ484</f>
        <v>0</v>
      </c>
      <c r="BX6" s="116">
        <f>'P &amp; NP'!VR484</f>
        <v>0</v>
      </c>
      <c r="BY6" s="116">
        <f>'P &amp; NP'!WG484</f>
        <v>0</v>
      </c>
      <c r="BZ6" s="116">
        <f>'P &amp; NP'!WH484</f>
        <v>0</v>
      </c>
    </row>
    <row r="7" spans="1:81">
      <c r="A7" s="208"/>
      <c r="B7" s="208"/>
      <c r="C7" s="116">
        <f t="shared" ref="C7:J7" si="0">SUM(C8:C44)</f>
        <v>4600</v>
      </c>
      <c r="D7" s="116">
        <f t="shared" si="0"/>
        <v>92000</v>
      </c>
      <c r="E7" s="116">
        <f t="shared" si="0"/>
        <v>47815</v>
      </c>
      <c r="F7" s="116">
        <f t="shared" si="0"/>
        <v>1317575</v>
      </c>
      <c r="G7" s="116">
        <f t="shared" si="0"/>
        <v>0</v>
      </c>
      <c r="H7" s="116">
        <f t="shared" si="0"/>
        <v>0</v>
      </c>
      <c r="I7" s="116">
        <f t="shared" si="0"/>
        <v>0</v>
      </c>
      <c r="J7" s="116">
        <f t="shared" si="0"/>
        <v>0</v>
      </c>
      <c r="K7" s="116">
        <f t="shared" ref="K7" si="1">SUM(K8:K44)</f>
        <v>0</v>
      </c>
      <c r="L7" s="116">
        <f t="shared" ref="L7" si="2">SUM(L8:L44)</f>
        <v>0</v>
      </c>
      <c r="M7" s="116">
        <f t="shared" ref="M7" si="3">SUM(M8:M44)</f>
        <v>0</v>
      </c>
      <c r="N7" s="116">
        <f t="shared" ref="N7" si="4">SUM(N8:N44)</f>
        <v>0</v>
      </c>
      <c r="O7" s="116">
        <f t="shared" ref="O7" si="5">SUM(O8:O44)</f>
        <v>0</v>
      </c>
      <c r="P7" s="116">
        <f t="shared" ref="P7" si="6">SUM(P8:P44)</f>
        <v>0</v>
      </c>
      <c r="Q7" s="116">
        <f t="shared" ref="Q7" si="7">SUM(Q8:Q44)</f>
        <v>0</v>
      </c>
      <c r="R7" s="116">
        <f t="shared" ref="R7" si="8">SUM(R8:R44)</f>
        <v>0</v>
      </c>
      <c r="S7" s="116">
        <f t="shared" ref="S7" si="9">SUM(S8:S44)</f>
        <v>0</v>
      </c>
      <c r="T7" s="116">
        <f t="shared" ref="T7" si="10">SUM(T8:T44)</f>
        <v>0</v>
      </c>
      <c r="U7" s="116">
        <f t="shared" ref="U7" si="11">SUM(U8:U44)</f>
        <v>74030</v>
      </c>
      <c r="V7" s="116">
        <f t="shared" ref="V7" si="12">SUM(V8:V44)</f>
        <v>1375104</v>
      </c>
      <c r="W7" s="116">
        <f t="shared" ref="W7" si="13">SUM(W8:W44)</f>
        <v>0</v>
      </c>
      <c r="X7" s="116">
        <f t="shared" ref="X7" si="14">SUM(X8:X44)</f>
        <v>0</v>
      </c>
      <c r="Y7" s="116">
        <f t="shared" ref="Y7" si="15">SUM(Y8:Y44)</f>
        <v>0</v>
      </c>
      <c r="Z7" s="116">
        <f t="shared" ref="Z7" si="16">SUM(Z8:Z44)</f>
        <v>0</v>
      </c>
      <c r="AA7" s="116">
        <f t="shared" ref="AA7" si="17">SUM(AA8:AA44)</f>
        <v>0</v>
      </c>
      <c r="AB7" s="116">
        <f t="shared" ref="AB7" si="18">SUM(AB8:AB44)</f>
        <v>0</v>
      </c>
      <c r="AC7" s="116">
        <f t="shared" ref="AC7" si="19">SUM(AC8:AC44)</f>
        <v>0</v>
      </c>
      <c r="AD7" s="116">
        <f t="shared" ref="AD7" si="20">SUM(AD8:AD44)</f>
        <v>0</v>
      </c>
      <c r="AE7" s="116">
        <f t="shared" ref="AE7" si="21">SUM(AE8:AE44)</f>
        <v>1800</v>
      </c>
      <c r="AF7" s="116">
        <f t="shared" ref="AF7" si="22">SUM(AF8:AF44)</f>
        <v>45400</v>
      </c>
      <c r="AG7" s="116">
        <f t="shared" ref="AG7" si="23">SUM(AG8:AG44)</f>
        <v>0</v>
      </c>
      <c r="AH7" s="116">
        <f t="shared" ref="AH7" si="24">SUM(AH8:AH44)</f>
        <v>0</v>
      </c>
      <c r="AI7" s="116">
        <f t="shared" ref="AI7" si="25">SUM(AI8:AI44)</f>
        <v>0</v>
      </c>
      <c r="AJ7" s="116">
        <f t="shared" ref="AJ7" si="26">SUM(AJ8:AJ44)</f>
        <v>0</v>
      </c>
      <c r="AK7" s="116">
        <f t="shared" ref="AK7" si="27">SUM(AK8:AK44)</f>
        <v>0</v>
      </c>
      <c r="AL7" s="116">
        <f t="shared" ref="AL7" si="28">SUM(AL8:AL44)</f>
        <v>0</v>
      </c>
      <c r="AM7" s="116">
        <f t="shared" ref="AM7" si="29">SUM(AM8:AM44)</f>
        <v>0</v>
      </c>
      <c r="AN7" s="116">
        <f t="shared" ref="AN7" si="30">SUM(AN8:AN44)</f>
        <v>0</v>
      </c>
      <c r="AO7" s="116">
        <f t="shared" ref="AO7" si="31">SUM(AO8:AO44)</f>
        <v>0</v>
      </c>
      <c r="AP7" s="116">
        <f t="shared" ref="AP7" si="32">SUM(AP8:AP44)</f>
        <v>0</v>
      </c>
      <c r="AQ7" s="116">
        <f t="shared" ref="AQ7" si="33">SUM(AQ8:AQ44)</f>
        <v>0</v>
      </c>
      <c r="AR7" s="116">
        <f t="shared" ref="AR7" si="34">SUM(AR8:AR44)</f>
        <v>0</v>
      </c>
      <c r="AS7" s="116">
        <f t="shared" ref="AS7" si="35">SUM(AS8:AS44)</f>
        <v>0</v>
      </c>
      <c r="AT7" s="116">
        <f t="shared" ref="AT7" si="36">SUM(AT8:AT44)</f>
        <v>0</v>
      </c>
      <c r="AU7" s="116">
        <f t="shared" ref="AU7" si="37">SUM(AU8:AU44)</f>
        <v>0</v>
      </c>
      <c r="AV7" s="116">
        <f t="shared" ref="AV7" si="38">SUM(AV8:AV44)</f>
        <v>0</v>
      </c>
      <c r="AW7" s="116">
        <f t="shared" ref="AW7" si="39">SUM(AW8:AW44)</f>
        <v>312620</v>
      </c>
      <c r="AX7" s="116">
        <f t="shared" ref="AX7" si="40">SUM(AX8:AX44)</f>
        <v>5690196</v>
      </c>
      <c r="AY7" s="116">
        <f t="shared" ref="AY7" si="41">SUM(AY8:AY44)</f>
        <v>0</v>
      </c>
      <c r="AZ7" s="116">
        <f t="shared" ref="AZ7" si="42">SUM(AZ8:AZ44)</f>
        <v>0</v>
      </c>
      <c r="BA7" s="116">
        <f t="shared" ref="BA7" si="43">SUM(BA8:BA44)</f>
        <v>0</v>
      </c>
      <c r="BB7" s="116">
        <f t="shared" ref="BB7" si="44">SUM(BB8:BB44)</f>
        <v>0</v>
      </c>
      <c r="BC7" s="116">
        <f t="shared" ref="BC7" si="45">SUM(BC8:BC44)</f>
        <v>0</v>
      </c>
      <c r="BD7" s="116">
        <f t="shared" ref="BD7" si="46">SUM(BD8:BD44)</f>
        <v>0</v>
      </c>
      <c r="BE7" s="116">
        <f t="shared" ref="BE7" si="47">SUM(BE8:BE44)</f>
        <v>6509700</v>
      </c>
      <c r="BF7" s="116">
        <f t="shared" ref="BF7" si="48">SUM(BF8:BF44)</f>
        <v>119961954</v>
      </c>
      <c r="BG7" s="116">
        <f t="shared" ref="BG7" si="49">SUM(BG8:BG44)</f>
        <v>0</v>
      </c>
      <c r="BH7" s="116">
        <f t="shared" ref="BH7" si="50">SUM(BH8:BH44)</f>
        <v>0</v>
      </c>
      <c r="BI7" s="116">
        <f t="shared" ref="BI7" si="51">SUM(BI8:BI44)</f>
        <v>0</v>
      </c>
      <c r="BJ7" s="116">
        <f t="shared" ref="BJ7" si="52">SUM(BJ8:BJ44)</f>
        <v>0</v>
      </c>
      <c r="BK7" s="116">
        <f t="shared" ref="BK7" si="53">SUM(BK8:BK44)</f>
        <v>0</v>
      </c>
      <c r="BL7" s="116">
        <f t="shared" ref="BL7" si="54">SUM(BL8:BL44)</f>
        <v>0</v>
      </c>
      <c r="BM7" s="116">
        <f t="shared" ref="BM7" si="55">SUM(BM8:BM44)</f>
        <v>0</v>
      </c>
      <c r="BN7" s="116">
        <f t="shared" ref="BN7" si="56">SUM(BN8:BN44)</f>
        <v>0</v>
      </c>
      <c r="BO7" s="116">
        <f t="shared" ref="BO7" si="57">SUM(BO8:BO44)</f>
        <v>0</v>
      </c>
      <c r="BP7" s="116">
        <f t="shared" ref="BP7" si="58">SUM(BP8:BP44)</f>
        <v>0</v>
      </c>
      <c r="BQ7" s="116">
        <f t="shared" ref="BQ7" si="59">SUM(BQ8:BQ44)</f>
        <v>18600</v>
      </c>
      <c r="BR7" s="116">
        <f t="shared" ref="BR7" si="60">SUM(BR8:BR44)</f>
        <v>596250</v>
      </c>
      <c r="BS7" s="116">
        <f t="shared" ref="BS7" si="61">SUM(BS8:BS44)</f>
        <v>0</v>
      </c>
      <c r="BT7" s="116">
        <f t="shared" ref="BT7" si="62">SUM(BT8:BT44)</f>
        <v>0</v>
      </c>
      <c r="BU7" s="116">
        <f t="shared" ref="BU7" si="63">SUM(BU8:BU44)</f>
        <v>0</v>
      </c>
      <c r="BV7" s="116">
        <f t="shared" ref="BV7" si="64">SUM(BV8:BV44)</f>
        <v>0</v>
      </c>
      <c r="BW7" s="116">
        <f t="shared" ref="BW7" si="65">SUM(BW8:BW44)</f>
        <v>0</v>
      </c>
      <c r="BX7" s="116">
        <f t="shared" ref="BX7" si="66">SUM(BX8:BX44)</f>
        <v>0</v>
      </c>
      <c r="BY7" s="116">
        <f t="shared" ref="BY7" si="67">SUM(BY8:BY44)</f>
        <v>0</v>
      </c>
      <c r="BZ7" s="116">
        <f t="shared" ref="BZ7" si="68">SUM(BZ8:BZ44)</f>
        <v>0</v>
      </c>
      <c r="CB7" s="209">
        <f>SUM(CB8:CB44)</f>
        <v>6969165</v>
      </c>
      <c r="CC7" s="209">
        <f>SUM(CC8:CC44)</f>
        <v>129078479</v>
      </c>
    </row>
    <row r="8" spans="1:81">
      <c r="B8" s="207" t="str">
        <f>'P &amp; NP'!B14</f>
        <v xml:space="preserve">Bandeng </v>
      </c>
      <c r="C8" s="116">
        <f>'P &amp; NP'!M485</f>
        <v>0</v>
      </c>
      <c r="D8" s="116">
        <f>'P &amp; NP'!N485</f>
        <v>0</v>
      </c>
      <c r="E8" s="116">
        <f>'P &amp; NP'!AC485</f>
        <v>0</v>
      </c>
      <c r="F8" s="116">
        <f>'P &amp; NP'!AD485</f>
        <v>0</v>
      </c>
      <c r="G8" s="116">
        <f>'P &amp; NP'!AS485</f>
        <v>0</v>
      </c>
      <c r="H8" s="116">
        <f>'P &amp; NP'!AT485</f>
        <v>0</v>
      </c>
      <c r="I8" s="116">
        <f t="shared" ref="I8:I43" si="69">SUM(I9:I45)</f>
        <v>0</v>
      </c>
      <c r="J8" s="116">
        <f>'P &amp; NP'!BJ486</f>
        <v>0</v>
      </c>
      <c r="K8" s="116">
        <f>'P &amp; NP'!BY486</f>
        <v>0</v>
      </c>
      <c r="L8" s="116">
        <f>'P &amp; NP'!BZ486</f>
        <v>0</v>
      </c>
      <c r="M8" s="116">
        <f>'P &amp; NP'!CO486</f>
        <v>0</v>
      </c>
      <c r="N8" s="116">
        <f>'P &amp; NP'!CP486</f>
        <v>0</v>
      </c>
      <c r="O8" s="116">
        <f>'P &amp; NP'!DE486</f>
        <v>0</v>
      </c>
      <c r="P8" s="116">
        <f>'P &amp; NP'!DF486</f>
        <v>0</v>
      </c>
      <c r="Q8" s="116">
        <f>'P &amp; NP'!DU486</f>
        <v>0</v>
      </c>
      <c r="R8" s="116">
        <f>'P &amp; NP'!DV486</f>
        <v>0</v>
      </c>
      <c r="S8" s="116">
        <f>'P &amp; NP'!EK486</f>
        <v>0</v>
      </c>
      <c r="T8" s="116">
        <f>'P &amp; NP'!EL486</f>
        <v>0</v>
      </c>
      <c r="U8" s="116">
        <f>'P &amp; NP'!FA485</f>
        <v>0</v>
      </c>
      <c r="V8" s="116">
        <f>'P &amp; NP'!FB485</f>
        <v>0</v>
      </c>
      <c r="W8" s="116">
        <f>'P &amp; NP'!FQ486</f>
        <v>0</v>
      </c>
      <c r="X8" s="116">
        <f>'P &amp; NP'!FR486</f>
        <v>0</v>
      </c>
      <c r="Y8" s="116">
        <f>'P &amp; NP'!GG485</f>
        <v>0</v>
      </c>
      <c r="Z8" s="116">
        <f>'P &amp; NP'!GH485</f>
        <v>0</v>
      </c>
      <c r="AA8" s="116">
        <f>'P &amp; NP'!GW486</f>
        <v>0</v>
      </c>
      <c r="AB8" s="116">
        <f>'P &amp; NP'!GX486</f>
        <v>0</v>
      </c>
      <c r="AC8" s="116">
        <f>'P &amp; NP'!HM486</f>
        <v>0</v>
      </c>
      <c r="AD8" s="116">
        <f>'P &amp; NP'!HN486</f>
        <v>0</v>
      </c>
      <c r="AE8" s="116">
        <f>'P &amp; NP'!IC486</f>
        <v>0</v>
      </c>
      <c r="AF8" s="116">
        <f>'P &amp; NP'!ID486</f>
        <v>0</v>
      </c>
      <c r="AG8" s="116">
        <f>'P &amp; NP'!IS486</f>
        <v>0</v>
      </c>
      <c r="AH8" s="116">
        <f>'P &amp; NP'!IT486</f>
        <v>0</v>
      </c>
      <c r="AI8" s="116">
        <f>'P &amp; NP'!JI486</f>
        <v>0</v>
      </c>
      <c r="AJ8" s="116">
        <f>'P &amp; NP'!JJ486</f>
        <v>0</v>
      </c>
      <c r="AK8" s="116">
        <f>'P &amp; NP'!JY486</f>
        <v>0</v>
      </c>
      <c r="AL8" s="116">
        <f>'P &amp; NP'!JZ486</f>
        <v>0</v>
      </c>
      <c r="AM8" s="116">
        <f>'P &amp; NP'!KO486</f>
        <v>0</v>
      </c>
      <c r="AN8" s="116">
        <f>'P &amp; NP'!KP486</f>
        <v>0</v>
      </c>
      <c r="AO8" s="116">
        <f>'P &amp; NP'!LE486</f>
        <v>0</v>
      </c>
      <c r="AP8" s="116">
        <f>'P &amp; NP'!LF486</f>
        <v>0</v>
      </c>
      <c r="AQ8" s="116">
        <f>'P &amp; NP'!LU486</f>
        <v>0</v>
      </c>
      <c r="AR8" s="116">
        <f>'P &amp; NP'!LV486</f>
        <v>0</v>
      </c>
      <c r="AS8" s="116">
        <f>'P &amp; NP'!MK486</f>
        <v>0</v>
      </c>
      <c r="AT8" s="116">
        <f>'P &amp; NP'!ML486</f>
        <v>0</v>
      </c>
      <c r="AU8" s="116">
        <f>'P &amp; NP'!NA486</f>
        <v>0</v>
      </c>
      <c r="AV8" s="116">
        <f>'P &amp; NP'!NB486</f>
        <v>0</v>
      </c>
      <c r="AW8" s="116">
        <f>'P &amp; NP'!NQ485</f>
        <v>0</v>
      </c>
      <c r="AX8" s="116">
        <f>'P &amp; NP'!NR485</f>
        <v>0</v>
      </c>
      <c r="AY8" s="116">
        <f>'P &amp; NP'!OG486</f>
        <v>0</v>
      </c>
      <c r="AZ8" s="116">
        <f>'P &amp; NP'!OH486</f>
        <v>0</v>
      </c>
      <c r="BA8" s="116">
        <f>'P &amp; NP'!OW486</f>
        <v>0</v>
      </c>
      <c r="BB8" s="116">
        <f>'P &amp; NP'!OX486</f>
        <v>0</v>
      </c>
      <c r="BC8" s="116">
        <f>'P &amp; NP'!PM486</f>
        <v>0</v>
      </c>
      <c r="BD8" s="116">
        <f>'P &amp; NP'!PN486</f>
        <v>0</v>
      </c>
      <c r="BE8" s="116">
        <f>'P &amp; NP'!$QC485</f>
        <v>0</v>
      </c>
      <c r="BF8" s="116">
        <f>'P &amp; NP'!$QD485</f>
        <v>0</v>
      </c>
      <c r="BG8" s="116">
        <f>'P &amp; NP'!QS486</f>
        <v>0</v>
      </c>
      <c r="BH8" s="116">
        <f>'P &amp; NP'!QT486</f>
        <v>0</v>
      </c>
      <c r="BI8" s="116">
        <f>'P &amp; NP'!RI486</f>
        <v>0</v>
      </c>
      <c r="BJ8" s="116">
        <f>'P &amp; NP'!RJ486</f>
        <v>0</v>
      </c>
      <c r="BK8" s="116">
        <f>'P &amp; NP'!RY486</f>
        <v>0</v>
      </c>
      <c r="BL8" s="116">
        <f>'P &amp; NP'!RZ486</f>
        <v>0</v>
      </c>
      <c r="BM8" s="116">
        <f>'P &amp; NP'!SO486</f>
        <v>0</v>
      </c>
      <c r="BN8" s="116">
        <f>'P &amp; NP'!SP486</f>
        <v>0</v>
      </c>
      <c r="BO8" s="116">
        <f>'P &amp; NP'!TE486</f>
        <v>0</v>
      </c>
      <c r="BP8" s="116">
        <f>'P &amp; NP'!TF486</f>
        <v>0</v>
      </c>
      <c r="BQ8" s="116">
        <f>'P &amp; NP'!TU485</f>
        <v>0</v>
      </c>
      <c r="BR8" s="116">
        <f>'P &amp; NP'!TV485</f>
        <v>0</v>
      </c>
      <c r="BS8" s="116">
        <f>'P &amp; NP'!UK486</f>
        <v>0</v>
      </c>
      <c r="BT8" s="116">
        <f>'P &amp; NP'!UL486</f>
        <v>0</v>
      </c>
      <c r="BU8" s="116">
        <f>'P &amp; NP'!VA486</f>
        <v>0</v>
      </c>
      <c r="BV8" s="116">
        <f>'P &amp; NP'!VB486</f>
        <v>0</v>
      </c>
      <c r="BW8" s="116">
        <f>'P &amp; NP'!VQ486</f>
        <v>0</v>
      </c>
      <c r="BX8" s="116">
        <f>'P &amp; NP'!VR486</f>
        <v>0</v>
      </c>
      <c r="BY8" s="116">
        <f>'P &amp; NP'!WG486</f>
        <v>0</v>
      </c>
      <c r="BZ8" s="116">
        <f>'P &amp; NP'!WH486</f>
        <v>0</v>
      </c>
      <c r="CB8" s="206">
        <f>SUMIF($C$4:$BZ$4,$CB$4,C8:BZ8)</f>
        <v>0</v>
      </c>
      <c r="CC8" s="206">
        <f>SUMIF($C$4:$BZ$4,$CC$4,C8:BZ8)</f>
        <v>0</v>
      </c>
    </row>
    <row r="9" spans="1:81">
      <c r="B9" s="207" t="str">
        <f>'P &amp; NP'!B15</f>
        <v xml:space="preserve">Bawal </v>
      </c>
      <c r="C9" s="116">
        <f>'P &amp; NP'!M486</f>
        <v>0</v>
      </c>
      <c r="D9" s="116">
        <f>'P &amp; NP'!N486</f>
        <v>0</v>
      </c>
      <c r="E9" s="116">
        <f>'P &amp; NP'!AC486</f>
        <v>0</v>
      </c>
      <c r="F9" s="116">
        <f>'P &amp; NP'!AD486</f>
        <v>0</v>
      </c>
      <c r="G9" s="116">
        <f>'P &amp; NP'!AS486</f>
        <v>0</v>
      </c>
      <c r="H9" s="116">
        <f>'P &amp; NP'!AT486</f>
        <v>0</v>
      </c>
      <c r="I9" s="116">
        <f t="shared" si="69"/>
        <v>0</v>
      </c>
      <c r="J9" s="116">
        <f>'P &amp; NP'!BJ487</f>
        <v>0</v>
      </c>
      <c r="K9" s="116">
        <f>'P &amp; NP'!BY487</f>
        <v>0</v>
      </c>
      <c r="L9" s="116">
        <f>'P &amp; NP'!BZ487</f>
        <v>0</v>
      </c>
      <c r="M9" s="116">
        <f>'P &amp; NP'!CO487</f>
        <v>0</v>
      </c>
      <c r="N9" s="116">
        <f>'P &amp; NP'!CP487</f>
        <v>0</v>
      </c>
      <c r="O9" s="116">
        <f>'P &amp; NP'!DE487</f>
        <v>0</v>
      </c>
      <c r="P9" s="116">
        <f>'P &amp; NP'!DF487</f>
        <v>0</v>
      </c>
      <c r="Q9" s="116">
        <f>'P &amp; NP'!DU487</f>
        <v>0</v>
      </c>
      <c r="R9" s="116">
        <f>'P &amp; NP'!DV487</f>
        <v>0</v>
      </c>
      <c r="S9" s="116">
        <f>'P &amp; NP'!EK487</f>
        <v>0</v>
      </c>
      <c r="T9" s="116">
        <f>'P &amp; NP'!EL487</f>
        <v>0</v>
      </c>
      <c r="U9" s="116">
        <f>'P &amp; NP'!FA486</f>
        <v>0</v>
      </c>
      <c r="V9" s="116">
        <f>'P &amp; NP'!FB486</f>
        <v>0</v>
      </c>
      <c r="W9" s="116">
        <f>'P &amp; NP'!FQ487</f>
        <v>0</v>
      </c>
      <c r="X9" s="116">
        <f>'P &amp; NP'!FR487</f>
        <v>0</v>
      </c>
      <c r="Y9" s="116">
        <f>'P &amp; NP'!GG486</f>
        <v>0</v>
      </c>
      <c r="Z9" s="116">
        <f>'P &amp; NP'!GH486</f>
        <v>0</v>
      </c>
      <c r="AA9" s="116">
        <f>'P &amp; NP'!GW487</f>
        <v>0</v>
      </c>
      <c r="AB9" s="116">
        <f>'P &amp; NP'!GX487</f>
        <v>0</v>
      </c>
      <c r="AC9" s="116">
        <f>'P &amp; NP'!HM487</f>
        <v>0</v>
      </c>
      <c r="AD9" s="116">
        <f>'P &amp; NP'!HN487</f>
        <v>0</v>
      </c>
      <c r="AE9" s="116">
        <f>'P &amp; NP'!IC487</f>
        <v>0</v>
      </c>
      <c r="AF9" s="116">
        <f>'P &amp; NP'!ID487</f>
        <v>0</v>
      </c>
      <c r="AG9" s="116">
        <f>'P &amp; NP'!IS487</f>
        <v>0</v>
      </c>
      <c r="AH9" s="116">
        <f>'P &amp; NP'!IT487</f>
        <v>0</v>
      </c>
      <c r="AI9" s="116">
        <f>'P &amp; NP'!JI487</f>
        <v>0</v>
      </c>
      <c r="AJ9" s="116">
        <f>'P &amp; NP'!JJ487</f>
        <v>0</v>
      </c>
      <c r="AK9" s="116">
        <f>'P &amp; NP'!JY487</f>
        <v>0</v>
      </c>
      <c r="AL9" s="116">
        <f>'P &amp; NP'!JZ487</f>
        <v>0</v>
      </c>
      <c r="AM9" s="116">
        <f>'P &amp; NP'!KO487</f>
        <v>0</v>
      </c>
      <c r="AN9" s="116">
        <f>'P &amp; NP'!KP487</f>
        <v>0</v>
      </c>
      <c r="AO9" s="116">
        <f>'P &amp; NP'!LE487</f>
        <v>0</v>
      </c>
      <c r="AP9" s="116">
        <f>'P &amp; NP'!LF487</f>
        <v>0</v>
      </c>
      <c r="AQ9" s="116">
        <f>'P &amp; NP'!LU487</f>
        <v>0</v>
      </c>
      <c r="AR9" s="116">
        <f>'P &amp; NP'!LV487</f>
        <v>0</v>
      </c>
      <c r="AS9" s="116">
        <f>'P &amp; NP'!MK487</f>
        <v>0</v>
      </c>
      <c r="AT9" s="116">
        <f>'P &amp; NP'!ML487</f>
        <v>0</v>
      </c>
      <c r="AU9" s="116">
        <f>'P &amp; NP'!NA487</f>
        <v>0</v>
      </c>
      <c r="AV9" s="116">
        <f>'P &amp; NP'!NB487</f>
        <v>0</v>
      </c>
      <c r="AW9" s="116">
        <f>'P &amp; NP'!NQ486</f>
        <v>1388</v>
      </c>
      <c r="AX9" s="116">
        <f>'P &amp; NP'!NR486</f>
        <v>24984</v>
      </c>
      <c r="AY9" s="116">
        <f>'P &amp; NP'!OG487</f>
        <v>0</v>
      </c>
      <c r="AZ9" s="116">
        <f>'P &amp; NP'!OH487</f>
        <v>0</v>
      </c>
      <c r="BA9" s="116">
        <f>'P &amp; NP'!OW487</f>
        <v>0</v>
      </c>
      <c r="BB9" s="116">
        <f>'P &amp; NP'!OX487</f>
        <v>0</v>
      </c>
      <c r="BC9" s="116">
        <f>'P &amp; NP'!PM487</f>
        <v>0</v>
      </c>
      <c r="BD9" s="116">
        <f>'P &amp; NP'!PN487</f>
        <v>0</v>
      </c>
      <c r="BE9" s="116">
        <f>'P &amp; NP'!$QC486</f>
        <v>269900</v>
      </c>
      <c r="BF9" s="116">
        <f>'P &amp; NP'!$QD486</f>
        <v>5107540</v>
      </c>
      <c r="BG9" s="116">
        <f>'P &amp; NP'!QS487</f>
        <v>0</v>
      </c>
      <c r="BH9" s="116">
        <f>'P &amp; NP'!QT487</f>
        <v>0</v>
      </c>
      <c r="BI9" s="116">
        <f>'P &amp; NP'!RI487</f>
        <v>0</v>
      </c>
      <c r="BJ9" s="116">
        <f>'P &amp; NP'!RJ487</f>
        <v>0</v>
      </c>
      <c r="BK9" s="116">
        <f>'P &amp; NP'!RY487</f>
        <v>0</v>
      </c>
      <c r="BL9" s="116">
        <f>'P &amp; NP'!RZ487</f>
        <v>0</v>
      </c>
      <c r="BM9" s="116">
        <f>'P &amp; NP'!SO487</f>
        <v>0</v>
      </c>
      <c r="BN9" s="116">
        <f>'P &amp; NP'!SP487</f>
        <v>0</v>
      </c>
      <c r="BO9" s="116">
        <f>'P &amp; NP'!TE487</f>
        <v>0</v>
      </c>
      <c r="BP9" s="116">
        <f>'P &amp; NP'!TF487</f>
        <v>0</v>
      </c>
      <c r="BQ9" s="116">
        <f>'P &amp; NP'!TU486</f>
        <v>0</v>
      </c>
      <c r="BR9" s="116">
        <f>'P &amp; NP'!TV486</f>
        <v>0</v>
      </c>
      <c r="BS9" s="116">
        <f>'P &amp; NP'!UK487</f>
        <v>0</v>
      </c>
      <c r="BT9" s="116">
        <f>'P &amp; NP'!UL487</f>
        <v>0</v>
      </c>
      <c r="BU9" s="116">
        <f>'P &amp; NP'!VA487</f>
        <v>0</v>
      </c>
      <c r="BV9" s="116">
        <f>'P &amp; NP'!VB487</f>
        <v>0</v>
      </c>
      <c r="BW9" s="116">
        <f>'P &amp; NP'!VQ487</f>
        <v>0</v>
      </c>
      <c r="BX9" s="116">
        <f>'P &amp; NP'!VR487</f>
        <v>0</v>
      </c>
      <c r="BY9" s="116">
        <f>'P &amp; NP'!WG487</f>
        <v>0</v>
      </c>
      <c r="BZ9" s="116">
        <f>'P &amp; NP'!WH487</f>
        <v>0</v>
      </c>
      <c r="CB9" s="206">
        <f t="shared" ref="CB9:CB44" si="70">SUMIF($C$4:$BZ$4,$CB$4,C9:BZ9)</f>
        <v>271288</v>
      </c>
      <c r="CC9" s="206">
        <f t="shared" ref="CC9:CC44" si="71">SUMIF($C$4:$BZ$4,$CC$4,C9:BZ9)</f>
        <v>5132524</v>
      </c>
    </row>
    <row r="10" spans="1:81">
      <c r="B10" s="207" t="str">
        <f>'P &amp; NP'!B16</f>
        <v xml:space="preserve">Belanak </v>
      </c>
      <c r="C10" s="116">
        <f>'P &amp; NP'!M487</f>
        <v>0</v>
      </c>
      <c r="D10" s="116">
        <f>'P &amp; NP'!N487</f>
        <v>0</v>
      </c>
      <c r="E10" s="116">
        <f>'P &amp; NP'!AC487</f>
        <v>0</v>
      </c>
      <c r="F10" s="116">
        <f>'P &amp; NP'!AD487</f>
        <v>0</v>
      </c>
      <c r="G10" s="116">
        <f>'P &amp; NP'!AS487</f>
        <v>0</v>
      </c>
      <c r="H10" s="116">
        <f>'P &amp; NP'!AT487</f>
        <v>0</v>
      </c>
      <c r="I10" s="116">
        <f t="shared" si="69"/>
        <v>0</v>
      </c>
      <c r="J10" s="116">
        <f>'P &amp; NP'!BJ488</f>
        <v>0</v>
      </c>
      <c r="K10" s="116">
        <f>'P &amp; NP'!BY488</f>
        <v>0</v>
      </c>
      <c r="L10" s="116">
        <f>'P &amp; NP'!BZ488</f>
        <v>0</v>
      </c>
      <c r="M10" s="116">
        <f>'P &amp; NP'!CO488</f>
        <v>0</v>
      </c>
      <c r="N10" s="116">
        <f>'P &amp; NP'!CP488</f>
        <v>0</v>
      </c>
      <c r="O10" s="116">
        <f>'P &amp; NP'!DE488</f>
        <v>0</v>
      </c>
      <c r="P10" s="116">
        <f>'P &amp; NP'!DF488</f>
        <v>0</v>
      </c>
      <c r="Q10" s="116">
        <f>'P &amp; NP'!DU488</f>
        <v>0</v>
      </c>
      <c r="R10" s="116">
        <f>'P &amp; NP'!DV488</f>
        <v>0</v>
      </c>
      <c r="S10" s="116">
        <f>'P &amp; NP'!EK488</f>
        <v>0</v>
      </c>
      <c r="T10" s="116">
        <f>'P &amp; NP'!EL488</f>
        <v>0</v>
      </c>
      <c r="U10" s="116">
        <f>'P &amp; NP'!FA487</f>
        <v>0</v>
      </c>
      <c r="V10" s="116">
        <f>'P &amp; NP'!FB487</f>
        <v>0</v>
      </c>
      <c r="W10" s="116">
        <f>'P &amp; NP'!FQ488</f>
        <v>0</v>
      </c>
      <c r="X10" s="116">
        <f>'P &amp; NP'!FR488</f>
        <v>0</v>
      </c>
      <c r="Y10" s="116">
        <f>'P &amp; NP'!GG487</f>
        <v>0</v>
      </c>
      <c r="Z10" s="116">
        <f>'P &amp; NP'!GH487</f>
        <v>0</v>
      </c>
      <c r="AA10" s="116">
        <f>'P &amp; NP'!GW488</f>
        <v>0</v>
      </c>
      <c r="AB10" s="116">
        <f>'P &amp; NP'!GX488</f>
        <v>0</v>
      </c>
      <c r="AC10" s="116">
        <f>'P &amp; NP'!HM488</f>
        <v>0</v>
      </c>
      <c r="AD10" s="116">
        <f>'P &amp; NP'!HN488</f>
        <v>0</v>
      </c>
      <c r="AE10" s="116">
        <f>'P &amp; NP'!IC488</f>
        <v>0</v>
      </c>
      <c r="AF10" s="116">
        <f>'P &amp; NP'!ID488</f>
        <v>0</v>
      </c>
      <c r="AG10" s="116">
        <f>'P &amp; NP'!IS488</f>
        <v>0</v>
      </c>
      <c r="AH10" s="116">
        <f>'P &amp; NP'!IT488</f>
        <v>0</v>
      </c>
      <c r="AI10" s="116">
        <f>'P &amp; NP'!JI488</f>
        <v>0</v>
      </c>
      <c r="AJ10" s="116">
        <f>'P &amp; NP'!JJ488</f>
        <v>0</v>
      </c>
      <c r="AK10" s="116">
        <f>'P &amp; NP'!JY488</f>
        <v>0</v>
      </c>
      <c r="AL10" s="116">
        <f>'P &amp; NP'!JZ488</f>
        <v>0</v>
      </c>
      <c r="AM10" s="116">
        <f>'P &amp; NP'!KO488</f>
        <v>0</v>
      </c>
      <c r="AN10" s="116">
        <f>'P &amp; NP'!KP488</f>
        <v>0</v>
      </c>
      <c r="AO10" s="116">
        <f>'P &amp; NP'!LE488</f>
        <v>0</v>
      </c>
      <c r="AP10" s="116">
        <f>'P &amp; NP'!LF488</f>
        <v>0</v>
      </c>
      <c r="AQ10" s="116">
        <f>'P &amp; NP'!LU488</f>
        <v>0</v>
      </c>
      <c r="AR10" s="116">
        <f>'P &amp; NP'!LV488</f>
        <v>0</v>
      </c>
      <c r="AS10" s="116">
        <f>'P &amp; NP'!MK488</f>
        <v>0</v>
      </c>
      <c r="AT10" s="116">
        <f>'P &amp; NP'!ML488</f>
        <v>0</v>
      </c>
      <c r="AU10" s="116">
        <f>'P &amp; NP'!NA488</f>
        <v>0</v>
      </c>
      <c r="AV10" s="116">
        <f>'P &amp; NP'!NB488</f>
        <v>0</v>
      </c>
      <c r="AW10" s="116">
        <f>'P &amp; NP'!NQ487</f>
        <v>0</v>
      </c>
      <c r="AX10" s="116">
        <f>'P &amp; NP'!NR487</f>
        <v>0</v>
      </c>
      <c r="AY10" s="116">
        <f>'P &amp; NP'!OG488</f>
        <v>0</v>
      </c>
      <c r="AZ10" s="116">
        <f>'P &amp; NP'!OH488</f>
        <v>0</v>
      </c>
      <c r="BA10" s="116">
        <f>'P &amp; NP'!OW488</f>
        <v>0</v>
      </c>
      <c r="BB10" s="116">
        <f>'P &amp; NP'!OX488</f>
        <v>0</v>
      </c>
      <c r="BC10" s="116">
        <f>'P &amp; NP'!PM488</f>
        <v>0</v>
      </c>
      <c r="BD10" s="116">
        <f>'P &amp; NP'!PN488</f>
        <v>0</v>
      </c>
      <c r="BE10" s="116">
        <f>'P &amp; NP'!$QC487</f>
        <v>0</v>
      </c>
      <c r="BF10" s="116">
        <f>'P &amp; NP'!$QD487</f>
        <v>0</v>
      </c>
      <c r="BG10" s="116">
        <f>'P &amp; NP'!QS488</f>
        <v>0</v>
      </c>
      <c r="BH10" s="116">
        <f>'P &amp; NP'!QT488</f>
        <v>0</v>
      </c>
      <c r="BI10" s="116">
        <f>'P &amp; NP'!RI488</f>
        <v>0</v>
      </c>
      <c r="BJ10" s="116">
        <f>'P &amp; NP'!RJ488</f>
        <v>0</v>
      </c>
      <c r="BK10" s="116">
        <f>'P &amp; NP'!RY488</f>
        <v>0</v>
      </c>
      <c r="BL10" s="116">
        <f>'P &amp; NP'!RZ488</f>
        <v>0</v>
      </c>
      <c r="BM10" s="116">
        <f>'P &amp; NP'!SO488</f>
        <v>0</v>
      </c>
      <c r="BN10" s="116">
        <f>'P &amp; NP'!SP488</f>
        <v>0</v>
      </c>
      <c r="BO10" s="116">
        <f>'P &amp; NP'!TE488</f>
        <v>0</v>
      </c>
      <c r="BP10" s="116">
        <f>'P &amp; NP'!TF488</f>
        <v>0</v>
      </c>
      <c r="BQ10" s="116">
        <f>'P &amp; NP'!TU487</f>
        <v>0</v>
      </c>
      <c r="BR10" s="116">
        <f>'P &amp; NP'!TV487</f>
        <v>0</v>
      </c>
      <c r="BS10" s="116">
        <f>'P &amp; NP'!UK488</f>
        <v>0</v>
      </c>
      <c r="BT10" s="116">
        <f>'P &amp; NP'!UL488</f>
        <v>0</v>
      </c>
      <c r="BU10" s="116">
        <f>'P &amp; NP'!VA488</f>
        <v>0</v>
      </c>
      <c r="BV10" s="116">
        <f>'P &amp; NP'!VB488</f>
        <v>0</v>
      </c>
      <c r="BW10" s="116">
        <f>'P &amp; NP'!VQ488</f>
        <v>0</v>
      </c>
      <c r="BX10" s="116">
        <f>'P &amp; NP'!VR488</f>
        <v>0</v>
      </c>
      <c r="BY10" s="116">
        <f>'P &amp; NP'!WG488</f>
        <v>0</v>
      </c>
      <c r="BZ10" s="116">
        <f>'P &amp; NP'!WH488</f>
        <v>0</v>
      </c>
      <c r="CB10" s="206">
        <f t="shared" si="70"/>
        <v>0</v>
      </c>
      <c r="CC10" s="206">
        <f t="shared" si="71"/>
        <v>0</v>
      </c>
    </row>
    <row r="11" spans="1:81">
      <c r="B11" s="207" t="str">
        <f>'P &amp; NP'!B17</f>
        <v xml:space="preserve">Eucheuma cottonii </v>
      </c>
      <c r="C11" s="116">
        <f>'P &amp; NP'!M488</f>
        <v>0</v>
      </c>
      <c r="D11" s="116">
        <f>'P &amp; NP'!N488</f>
        <v>0</v>
      </c>
      <c r="E11" s="116">
        <f>'P &amp; NP'!AC488</f>
        <v>0</v>
      </c>
      <c r="F11" s="116">
        <f>'P &amp; NP'!AD488</f>
        <v>0</v>
      </c>
      <c r="G11" s="116">
        <f>'P &amp; NP'!AS488</f>
        <v>0</v>
      </c>
      <c r="H11" s="116">
        <f>'P &amp; NP'!AT488</f>
        <v>0</v>
      </c>
      <c r="I11" s="116">
        <f t="shared" si="69"/>
        <v>0</v>
      </c>
      <c r="J11" s="116">
        <f>'P &amp; NP'!BJ489</f>
        <v>0</v>
      </c>
      <c r="K11" s="116">
        <f>'P &amp; NP'!BY489</f>
        <v>0</v>
      </c>
      <c r="L11" s="116">
        <f>'P &amp; NP'!BZ489</f>
        <v>0</v>
      </c>
      <c r="M11" s="116">
        <f>'P &amp; NP'!CO489</f>
        <v>0</v>
      </c>
      <c r="N11" s="116">
        <f>'P &amp; NP'!CP489</f>
        <v>0</v>
      </c>
      <c r="O11" s="116">
        <f>'P &amp; NP'!DE489</f>
        <v>0</v>
      </c>
      <c r="P11" s="116">
        <f>'P &amp; NP'!DF489</f>
        <v>0</v>
      </c>
      <c r="Q11" s="116">
        <f>'P &amp; NP'!DU489</f>
        <v>0</v>
      </c>
      <c r="R11" s="116">
        <f>'P &amp; NP'!DV489</f>
        <v>0</v>
      </c>
      <c r="S11" s="116">
        <f>'P &amp; NP'!EK489</f>
        <v>0</v>
      </c>
      <c r="T11" s="116">
        <f>'P &amp; NP'!EL489</f>
        <v>0</v>
      </c>
      <c r="U11" s="116">
        <f>'P &amp; NP'!FA488</f>
        <v>0</v>
      </c>
      <c r="V11" s="116">
        <f>'P &amp; NP'!FB488</f>
        <v>0</v>
      </c>
      <c r="W11" s="116">
        <f>'P &amp; NP'!FQ489</f>
        <v>0</v>
      </c>
      <c r="X11" s="116">
        <f>'P &amp; NP'!FR489</f>
        <v>0</v>
      </c>
      <c r="Y11" s="116">
        <f>'P &amp; NP'!GG488</f>
        <v>0</v>
      </c>
      <c r="Z11" s="116">
        <f>'P &amp; NP'!GH488</f>
        <v>0</v>
      </c>
      <c r="AA11" s="116">
        <f>'P &amp; NP'!GW489</f>
        <v>0</v>
      </c>
      <c r="AB11" s="116">
        <f>'P &amp; NP'!GX489</f>
        <v>0</v>
      </c>
      <c r="AC11" s="116">
        <f>'P &amp; NP'!HM489</f>
        <v>0</v>
      </c>
      <c r="AD11" s="116">
        <f>'P &amp; NP'!HN489</f>
        <v>0</v>
      </c>
      <c r="AE11" s="116">
        <f>'P &amp; NP'!IC489</f>
        <v>0</v>
      </c>
      <c r="AF11" s="116">
        <f>'P &amp; NP'!ID489</f>
        <v>0</v>
      </c>
      <c r="AG11" s="116">
        <f>'P &amp; NP'!IS489</f>
        <v>0</v>
      </c>
      <c r="AH11" s="116">
        <f>'P &amp; NP'!IT489</f>
        <v>0</v>
      </c>
      <c r="AI11" s="116">
        <f>'P &amp; NP'!JI489</f>
        <v>0</v>
      </c>
      <c r="AJ11" s="116">
        <f>'P &amp; NP'!JJ489</f>
        <v>0</v>
      </c>
      <c r="AK11" s="116">
        <f>'P &amp; NP'!JY489</f>
        <v>0</v>
      </c>
      <c r="AL11" s="116">
        <f>'P &amp; NP'!JZ489</f>
        <v>0</v>
      </c>
      <c r="AM11" s="116">
        <f>'P &amp; NP'!KO489</f>
        <v>0</v>
      </c>
      <c r="AN11" s="116">
        <f>'P &amp; NP'!KP489</f>
        <v>0</v>
      </c>
      <c r="AO11" s="116">
        <f>'P &amp; NP'!LE489</f>
        <v>0</v>
      </c>
      <c r="AP11" s="116">
        <f>'P &amp; NP'!LF489</f>
        <v>0</v>
      </c>
      <c r="AQ11" s="116">
        <f>'P &amp; NP'!LU489</f>
        <v>0</v>
      </c>
      <c r="AR11" s="116">
        <f>'P &amp; NP'!LV489</f>
        <v>0</v>
      </c>
      <c r="AS11" s="116">
        <f>'P &amp; NP'!MK489</f>
        <v>0</v>
      </c>
      <c r="AT11" s="116">
        <f>'P &amp; NP'!ML489</f>
        <v>0</v>
      </c>
      <c r="AU11" s="116">
        <f>'P &amp; NP'!NA489</f>
        <v>0</v>
      </c>
      <c r="AV11" s="116">
        <f>'P &amp; NP'!NB489</f>
        <v>0</v>
      </c>
      <c r="AW11" s="116">
        <f>'P &amp; NP'!NQ488</f>
        <v>0</v>
      </c>
      <c r="AX11" s="116">
        <f>'P &amp; NP'!NR488</f>
        <v>0</v>
      </c>
      <c r="AY11" s="116">
        <f>'P &amp; NP'!OG489</f>
        <v>0</v>
      </c>
      <c r="AZ11" s="116">
        <f>'P &amp; NP'!OH489</f>
        <v>0</v>
      </c>
      <c r="BA11" s="116">
        <f>'P &amp; NP'!OW489</f>
        <v>0</v>
      </c>
      <c r="BB11" s="116">
        <f>'P &amp; NP'!OX489</f>
        <v>0</v>
      </c>
      <c r="BC11" s="116">
        <f>'P &amp; NP'!PM489</f>
        <v>0</v>
      </c>
      <c r="BD11" s="116">
        <f>'P &amp; NP'!PN489</f>
        <v>0</v>
      </c>
      <c r="BE11" s="116">
        <f>'P &amp; NP'!$QC488</f>
        <v>0</v>
      </c>
      <c r="BF11" s="116">
        <f>'P &amp; NP'!$QD488</f>
        <v>0</v>
      </c>
      <c r="BG11" s="116">
        <f>'P &amp; NP'!QS489</f>
        <v>0</v>
      </c>
      <c r="BH11" s="116">
        <f>'P &amp; NP'!QT489</f>
        <v>0</v>
      </c>
      <c r="BI11" s="116">
        <f>'P &amp; NP'!RI489</f>
        <v>0</v>
      </c>
      <c r="BJ11" s="116">
        <f>'P &amp; NP'!RJ489</f>
        <v>0</v>
      </c>
      <c r="BK11" s="116">
        <f>'P &amp; NP'!RY489</f>
        <v>0</v>
      </c>
      <c r="BL11" s="116">
        <f>'P &amp; NP'!RZ489</f>
        <v>0</v>
      </c>
      <c r="BM11" s="116">
        <f>'P &amp; NP'!SO489</f>
        <v>0</v>
      </c>
      <c r="BN11" s="116">
        <f>'P &amp; NP'!SP489</f>
        <v>0</v>
      </c>
      <c r="BO11" s="116">
        <f>'P &amp; NP'!TE489</f>
        <v>0</v>
      </c>
      <c r="BP11" s="116">
        <f>'P &amp; NP'!TF489</f>
        <v>0</v>
      </c>
      <c r="BQ11" s="116">
        <f>'P &amp; NP'!TU488</f>
        <v>0</v>
      </c>
      <c r="BR11" s="116">
        <f>'P &amp; NP'!TV488</f>
        <v>0</v>
      </c>
      <c r="BS11" s="116">
        <f>'P &amp; NP'!UK489</f>
        <v>0</v>
      </c>
      <c r="BT11" s="116">
        <f>'P &amp; NP'!UL489</f>
        <v>0</v>
      </c>
      <c r="BU11" s="116">
        <f>'P &amp; NP'!VA489</f>
        <v>0</v>
      </c>
      <c r="BV11" s="116">
        <f>'P &amp; NP'!VB489</f>
        <v>0</v>
      </c>
      <c r="BW11" s="116">
        <f>'P &amp; NP'!VQ489</f>
        <v>0</v>
      </c>
      <c r="BX11" s="116">
        <f>'P &amp; NP'!VR489</f>
        <v>0</v>
      </c>
      <c r="BY11" s="116">
        <f>'P &amp; NP'!WG489</f>
        <v>0</v>
      </c>
      <c r="BZ11" s="116">
        <f>'P &amp; NP'!WH489</f>
        <v>0</v>
      </c>
      <c r="CB11" s="206">
        <f t="shared" si="70"/>
        <v>0</v>
      </c>
      <c r="CC11" s="206">
        <f t="shared" si="71"/>
        <v>0</v>
      </c>
    </row>
    <row r="12" spans="1:81">
      <c r="B12" s="207" t="str">
        <f>'P &amp; NP'!B18</f>
        <v xml:space="preserve">Gabus </v>
      </c>
      <c r="C12" s="116">
        <f>'P &amp; NP'!M489</f>
        <v>0</v>
      </c>
      <c r="D12" s="116">
        <f>'P &amp; NP'!N489</f>
        <v>0</v>
      </c>
      <c r="E12" s="116">
        <f>'P &amp; NP'!AC489</f>
        <v>0</v>
      </c>
      <c r="F12" s="116">
        <f>'P &amp; NP'!AD489</f>
        <v>0</v>
      </c>
      <c r="G12" s="116">
        <f>'P &amp; NP'!AS489</f>
        <v>0</v>
      </c>
      <c r="H12" s="116">
        <f>'P &amp; NP'!AT489</f>
        <v>0</v>
      </c>
      <c r="I12" s="116">
        <f t="shared" si="69"/>
        <v>0</v>
      </c>
      <c r="J12" s="116">
        <f>'P &amp; NP'!BJ490</f>
        <v>0</v>
      </c>
      <c r="K12" s="116">
        <f>'P &amp; NP'!BY490</f>
        <v>0</v>
      </c>
      <c r="L12" s="116">
        <f>'P &amp; NP'!BZ490</f>
        <v>0</v>
      </c>
      <c r="M12" s="116">
        <f>'P &amp; NP'!CO490</f>
        <v>0</v>
      </c>
      <c r="N12" s="116">
        <f>'P &amp; NP'!CP490</f>
        <v>0</v>
      </c>
      <c r="O12" s="116">
        <f>'P &amp; NP'!DE490</f>
        <v>0</v>
      </c>
      <c r="P12" s="116">
        <f>'P &amp; NP'!DF490</f>
        <v>0</v>
      </c>
      <c r="Q12" s="116">
        <f>'P &amp; NP'!DU490</f>
        <v>0</v>
      </c>
      <c r="R12" s="116">
        <f>'P &amp; NP'!DV490</f>
        <v>0</v>
      </c>
      <c r="S12" s="116">
        <f>'P &amp; NP'!EK490</f>
        <v>0</v>
      </c>
      <c r="T12" s="116">
        <f>'P &amp; NP'!EL490</f>
        <v>0</v>
      </c>
      <c r="U12" s="116">
        <f>'P &amp; NP'!FA489</f>
        <v>0</v>
      </c>
      <c r="V12" s="116">
        <f>'P &amp; NP'!FB489</f>
        <v>0</v>
      </c>
      <c r="W12" s="116">
        <f>'P &amp; NP'!FQ490</f>
        <v>0</v>
      </c>
      <c r="X12" s="116">
        <f>'P &amp; NP'!FR490</f>
        <v>0</v>
      </c>
      <c r="Y12" s="116">
        <f>'P &amp; NP'!GG489</f>
        <v>0</v>
      </c>
      <c r="Z12" s="116">
        <f>'P &amp; NP'!GH489</f>
        <v>0</v>
      </c>
      <c r="AA12" s="116">
        <f>'P &amp; NP'!GW490</f>
        <v>0</v>
      </c>
      <c r="AB12" s="116">
        <f>'P &amp; NP'!GX490</f>
        <v>0</v>
      </c>
      <c r="AC12" s="116">
        <f>'P &amp; NP'!HM490</f>
        <v>0</v>
      </c>
      <c r="AD12" s="116">
        <f>'P &amp; NP'!HN490</f>
        <v>0</v>
      </c>
      <c r="AE12" s="116">
        <f>'P &amp; NP'!IC490</f>
        <v>0</v>
      </c>
      <c r="AF12" s="116">
        <f>'P &amp; NP'!ID490</f>
        <v>0</v>
      </c>
      <c r="AG12" s="116">
        <f>'P &amp; NP'!IS490</f>
        <v>0</v>
      </c>
      <c r="AH12" s="116">
        <f>'P &amp; NP'!IT490</f>
        <v>0</v>
      </c>
      <c r="AI12" s="116">
        <f>'P &amp; NP'!JI490</f>
        <v>0</v>
      </c>
      <c r="AJ12" s="116">
        <f>'P &amp; NP'!JJ490</f>
        <v>0</v>
      </c>
      <c r="AK12" s="116">
        <f>'P &amp; NP'!JY490</f>
        <v>0</v>
      </c>
      <c r="AL12" s="116">
        <f>'P &amp; NP'!JZ490</f>
        <v>0</v>
      </c>
      <c r="AM12" s="116">
        <f>'P &amp; NP'!KO490</f>
        <v>0</v>
      </c>
      <c r="AN12" s="116">
        <f>'P &amp; NP'!KP490</f>
        <v>0</v>
      </c>
      <c r="AO12" s="116">
        <f>'P &amp; NP'!LE490</f>
        <v>0</v>
      </c>
      <c r="AP12" s="116">
        <f>'P &amp; NP'!LF490</f>
        <v>0</v>
      </c>
      <c r="AQ12" s="116">
        <f>'P &amp; NP'!LU490</f>
        <v>0</v>
      </c>
      <c r="AR12" s="116">
        <f>'P &amp; NP'!LV490</f>
        <v>0</v>
      </c>
      <c r="AS12" s="116">
        <f>'P &amp; NP'!MK490</f>
        <v>0</v>
      </c>
      <c r="AT12" s="116">
        <f>'P &amp; NP'!ML490</f>
        <v>0</v>
      </c>
      <c r="AU12" s="116">
        <f>'P &amp; NP'!NA490</f>
        <v>0</v>
      </c>
      <c r="AV12" s="116">
        <f>'P &amp; NP'!NB490</f>
        <v>0</v>
      </c>
      <c r="AW12" s="116">
        <f>'P &amp; NP'!NQ489</f>
        <v>0</v>
      </c>
      <c r="AX12" s="116">
        <f>'P &amp; NP'!NR489</f>
        <v>0</v>
      </c>
      <c r="AY12" s="116">
        <f>'P &amp; NP'!OG490</f>
        <v>0</v>
      </c>
      <c r="AZ12" s="116">
        <f>'P &amp; NP'!OH490</f>
        <v>0</v>
      </c>
      <c r="BA12" s="116">
        <f>'P &amp; NP'!OW490</f>
        <v>0</v>
      </c>
      <c r="BB12" s="116">
        <f>'P &amp; NP'!OX490</f>
        <v>0</v>
      </c>
      <c r="BC12" s="116">
        <f>'P &amp; NP'!PM490</f>
        <v>0</v>
      </c>
      <c r="BD12" s="116">
        <f>'P &amp; NP'!PN490</f>
        <v>0</v>
      </c>
      <c r="BE12" s="116">
        <f>'P &amp; NP'!$QC489</f>
        <v>0</v>
      </c>
      <c r="BF12" s="116">
        <f>'P &amp; NP'!$QD489</f>
        <v>0</v>
      </c>
      <c r="BG12" s="116">
        <f>'P &amp; NP'!QS490</f>
        <v>0</v>
      </c>
      <c r="BH12" s="116">
        <f>'P &amp; NP'!QT490</f>
        <v>0</v>
      </c>
      <c r="BI12" s="116">
        <f>'P &amp; NP'!RI490</f>
        <v>0</v>
      </c>
      <c r="BJ12" s="116">
        <f>'P &amp; NP'!RJ490</f>
        <v>0</v>
      </c>
      <c r="BK12" s="116">
        <f>'P &amp; NP'!RY490</f>
        <v>0</v>
      </c>
      <c r="BL12" s="116">
        <f>'P &amp; NP'!RZ490</f>
        <v>0</v>
      </c>
      <c r="BM12" s="116">
        <f>'P &amp; NP'!SO490</f>
        <v>0</v>
      </c>
      <c r="BN12" s="116">
        <f>'P &amp; NP'!SP490</f>
        <v>0</v>
      </c>
      <c r="BO12" s="116">
        <f>'P &amp; NP'!TE490</f>
        <v>0</v>
      </c>
      <c r="BP12" s="116">
        <f>'P &amp; NP'!TF490</f>
        <v>0</v>
      </c>
      <c r="BQ12" s="116">
        <f>'P &amp; NP'!TU489</f>
        <v>0</v>
      </c>
      <c r="BR12" s="116">
        <f>'P &amp; NP'!TV489</f>
        <v>0</v>
      </c>
      <c r="BS12" s="116">
        <f>'P &amp; NP'!UK490</f>
        <v>0</v>
      </c>
      <c r="BT12" s="116">
        <f>'P &amp; NP'!UL490</f>
        <v>0</v>
      </c>
      <c r="BU12" s="116">
        <f>'P &amp; NP'!VA490</f>
        <v>0</v>
      </c>
      <c r="BV12" s="116">
        <f>'P &amp; NP'!VB490</f>
        <v>0</v>
      </c>
      <c r="BW12" s="116">
        <f>'P &amp; NP'!VQ490</f>
        <v>0</v>
      </c>
      <c r="BX12" s="116">
        <f>'P &amp; NP'!VR490</f>
        <v>0</v>
      </c>
      <c r="BY12" s="116">
        <f>'P &amp; NP'!WG490</f>
        <v>0</v>
      </c>
      <c r="BZ12" s="116">
        <f>'P &amp; NP'!WH490</f>
        <v>0</v>
      </c>
      <c r="CB12" s="206">
        <f t="shared" si="70"/>
        <v>0</v>
      </c>
      <c r="CC12" s="206">
        <f t="shared" si="71"/>
        <v>0</v>
      </c>
    </row>
    <row r="13" spans="1:81">
      <c r="B13" s="207" t="str">
        <f>'P &amp; NP'!B19</f>
        <v xml:space="preserve">Gracilaria verrucosa </v>
      </c>
      <c r="C13" s="116">
        <f>'P &amp; NP'!M490</f>
        <v>0</v>
      </c>
      <c r="D13" s="116">
        <f>'P &amp; NP'!N490</f>
        <v>0</v>
      </c>
      <c r="E13" s="116">
        <f>'P &amp; NP'!AC490</f>
        <v>0</v>
      </c>
      <c r="F13" s="116">
        <f>'P &amp; NP'!AD490</f>
        <v>0</v>
      </c>
      <c r="G13" s="116">
        <f>'P &amp; NP'!AS490</f>
        <v>0</v>
      </c>
      <c r="H13" s="116">
        <f>'P &amp; NP'!AT490</f>
        <v>0</v>
      </c>
      <c r="I13" s="116">
        <f t="shared" si="69"/>
        <v>0</v>
      </c>
      <c r="J13" s="116">
        <f>'P &amp; NP'!BJ491</f>
        <v>0</v>
      </c>
      <c r="K13" s="116">
        <f>'P &amp; NP'!BY491</f>
        <v>0</v>
      </c>
      <c r="L13" s="116">
        <f>'P &amp; NP'!BZ491</f>
        <v>0</v>
      </c>
      <c r="M13" s="116">
        <f>'P &amp; NP'!CO491</f>
        <v>0</v>
      </c>
      <c r="N13" s="116">
        <f>'P &amp; NP'!CP491</f>
        <v>0</v>
      </c>
      <c r="O13" s="116">
        <f>'P &amp; NP'!DE491</f>
        <v>0</v>
      </c>
      <c r="P13" s="116">
        <f>'P &amp; NP'!DF491</f>
        <v>0</v>
      </c>
      <c r="Q13" s="116">
        <f>'P &amp; NP'!DU491</f>
        <v>0</v>
      </c>
      <c r="R13" s="116">
        <f>'P &amp; NP'!DV491</f>
        <v>0</v>
      </c>
      <c r="S13" s="116">
        <f>'P &amp; NP'!EK491</f>
        <v>0</v>
      </c>
      <c r="T13" s="116">
        <f>'P &amp; NP'!EL491</f>
        <v>0</v>
      </c>
      <c r="U13" s="116">
        <f>'P &amp; NP'!FA490</f>
        <v>0</v>
      </c>
      <c r="V13" s="116">
        <f>'P &amp; NP'!FB490</f>
        <v>0</v>
      </c>
      <c r="W13" s="116">
        <f>'P &amp; NP'!FQ491</f>
        <v>0</v>
      </c>
      <c r="X13" s="116">
        <f>'P &amp; NP'!FR491</f>
        <v>0</v>
      </c>
      <c r="Y13" s="116">
        <f>'P &amp; NP'!GG490</f>
        <v>0</v>
      </c>
      <c r="Z13" s="116">
        <f>'P &amp; NP'!GH490</f>
        <v>0</v>
      </c>
      <c r="AA13" s="116">
        <f>'P &amp; NP'!GW491</f>
        <v>0</v>
      </c>
      <c r="AB13" s="116">
        <f>'P &amp; NP'!GX491</f>
        <v>0</v>
      </c>
      <c r="AC13" s="116">
        <f>'P &amp; NP'!HM491</f>
        <v>0</v>
      </c>
      <c r="AD13" s="116">
        <f>'P &amp; NP'!HN491</f>
        <v>0</v>
      </c>
      <c r="AE13" s="116">
        <f>'P &amp; NP'!IC491</f>
        <v>0</v>
      </c>
      <c r="AF13" s="116">
        <f>'P &amp; NP'!ID491</f>
        <v>0</v>
      </c>
      <c r="AG13" s="116">
        <f>'P &amp; NP'!IS491</f>
        <v>0</v>
      </c>
      <c r="AH13" s="116">
        <f>'P &amp; NP'!IT491</f>
        <v>0</v>
      </c>
      <c r="AI13" s="116">
        <f>'P &amp; NP'!JI491</f>
        <v>0</v>
      </c>
      <c r="AJ13" s="116">
        <f>'P &amp; NP'!JJ491</f>
        <v>0</v>
      </c>
      <c r="AK13" s="116">
        <f>'P &amp; NP'!JY491</f>
        <v>0</v>
      </c>
      <c r="AL13" s="116">
        <f>'P &amp; NP'!JZ491</f>
        <v>0</v>
      </c>
      <c r="AM13" s="116">
        <f>'P &amp; NP'!KO491</f>
        <v>0</v>
      </c>
      <c r="AN13" s="116">
        <f>'P &amp; NP'!KP491</f>
        <v>0</v>
      </c>
      <c r="AO13" s="116">
        <f>'P &amp; NP'!LE491</f>
        <v>0</v>
      </c>
      <c r="AP13" s="116">
        <f>'P &amp; NP'!LF491</f>
        <v>0</v>
      </c>
      <c r="AQ13" s="116">
        <f>'P &amp; NP'!LU491</f>
        <v>0</v>
      </c>
      <c r="AR13" s="116">
        <f>'P &amp; NP'!LV491</f>
        <v>0</v>
      </c>
      <c r="AS13" s="116">
        <f>'P &amp; NP'!MK491</f>
        <v>0</v>
      </c>
      <c r="AT13" s="116">
        <f>'P &amp; NP'!ML491</f>
        <v>0</v>
      </c>
      <c r="AU13" s="116">
        <f>'P &amp; NP'!NA491</f>
        <v>0</v>
      </c>
      <c r="AV13" s="116">
        <f>'P &amp; NP'!NB491</f>
        <v>0</v>
      </c>
      <c r="AW13" s="116">
        <f>'P &amp; NP'!NQ490</f>
        <v>0</v>
      </c>
      <c r="AX13" s="116">
        <f>'P &amp; NP'!NR490</f>
        <v>0</v>
      </c>
      <c r="AY13" s="116">
        <f>'P &amp; NP'!OG491</f>
        <v>0</v>
      </c>
      <c r="AZ13" s="116">
        <f>'P &amp; NP'!OH491</f>
        <v>0</v>
      </c>
      <c r="BA13" s="116">
        <f>'P &amp; NP'!OW491</f>
        <v>0</v>
      </c>
      <c r="BB13" s="116">
        <f>'P &amp; NP'!OX491</f>
        <v>0</v>
      </c>
      <c r="BC13" s="116">
        <f>'P &amp; NP'!PM491</f>
        <v>0</v>
      </c>
      <c r="BD13" s="116">
        <f>'P &amp; NP'!PN491</f>
        <v>0</v>
      </c>
      <c r="BE13" s="116">
        <f>'P &amp; NP'!$QC490</f>
        <v>0</v>
      </c>
      <c r="BF13" s="116">
        <f>'P &amp; NP'!$QD490</f>
        <v>0</v>
      </c>
      <c r="BG13" s="116">
        <f>'P &amp; NP'!QS491</f>
        <v>0</v>
      </c>
      <c r="BH13" s="116">
        <f>'P &amp; NP'!QT491</f>
        <v>0</v>
      </c>
      <c r="BI13" s="116">
        <f>'P &amp; NP'!RI491</f>
        <v>0</v>
      </c>
      <c r="BJ13" s="116">
        <f>'P &amp; NP'!RJ491</f>
        <v>0</v>
      </c>
      <c r="BK13" s="116">
        <f>'P &amp; NP'!RY491</f>
        <v>0</v>
      </c>
      <c r="BL13" s="116">
        <f>'P &amp; NP'!RZ491</f>
        <v>0</v>
      </c>
      <c r="BM13" s="116">
        <f>'P &amp; NP'!SO491</f>
        <v>0</v>
      </c>
      <c r="BN13" s="116">
        <f>'P &amp; NP'!SP491</f>
        <v>0</v>
      </c>
      <c r="BO13" s="116">
        <f>'P &amp; NP'!TE491</f>
        <v>0</v>
      </c>
      <c r="BP13" s="116">
        <f>'P &amp; NP'!TF491</f>
        <v>0</v>
      </c>
      <c r="BQ13" s="116">
        <f>'P &amp; NP'!TU490</f>
        <v>0</v>
      </c>
      <c r="BR13" s="116">
        <f>'P &amp; NP'!TV490</f>
        <v>0</v>
      </c>
      <c r="BS13" s="116">
        <f>'P &amp; NP'!UK491</f>
        <v>0</v>
      </c>
      <c r="BT13" s="116">
        <f>'P &amp; NP'!UL491</f>
        <v>0</v>
      </c>
      <c r="BU13" s="116">
        <f>'P &amp; NP'!VA491</f>
        <v>0</v>
      </c>
      <c r="BV13" s="116">
        <f>'P &amp; NP'!VB491</f>
        <v>0</v>
      </c>
      <c r="BW13" s="116">
        <f>'P &amp; NP'!VQ491</f>
        <v>0</v>
      </c>
      <c r="BX13" s="116">
        <f>'P &amp; NP'!VR491</f>
        <v>0</v>
      </c>
      <c r="BY13" s="116">
        <f>'P &amp; NP'!WG491</f>
        <v>0</v>
      </c>
      <c r="BZ13" s="116">
        <f>'P &amp; NP'!WH491</f>
        <v>0</v>
      </c>
      <c r="CB13" s="206">
        <f t="shared" si="70"/>
        <v>0</v>
      </c>
      <c r="CC13" s="206">
        <f t="shared" si="71"/>
        <v>0</v>
      </c>
    </row>
    <row r="14" spans="1:81">
      <c r="B14" s="207" t="str">
        <f>'P &amp; NP'!B20</f>
        <v xml:space="preserve">Gurame, Gurami </v>
      </c>
      <c r="C14" s="116">
        <f>'P &amp; NP'!M491</f>
        <v>0</v>
      </c>
      <c r="D14" s="116">
        <f>'P &amp; NP'!N491</f>
        <v>0</v>
      </c>
      <c r="E14" s="116">
        <f>'P &amp; NP'!AC491</f>
        <v>0</v>
      </c>
      <c r="F14" s="116">
        <f>'P &amp; NP'!AD491</f>
        <v>0</v>
      </c>
      <c r="G14" s="116">
        <f>'P &amp; NP'!AS491</f>
        <v>0</v>
      </c>
      <c r="H14" s="116">
        <f>'P &amp; NP'!AT491</f>
        <v>0</v>
      </c>
      <c r="I14" s="116">
        <f t="shared" si="69"/>
        <v>0</v>
      </c>
      <c r="J14" s="116">
        <f>'P &amp; NP'!BJ492</f>
        <v>0</v>
      </c>
      <c r="K14" s="116">
        <f>'P &amp; NP'!BY492</f>
        <v>0</v>
      </c>
      <c r="L14" s="116">
        <f>'P &amp; NP'!BZ492</f>
        <v>0</v>
      </c>
      <c r="M14" s="116">
        <f>'P &amp; NP'!CO492</f>
        <v>0</v>
      </c>
      <c r="N14" s="116">
        <f>'P &amp; NP'!CP492</f>
        <v>0</v>
      </c>
      <c r="O14" s="116">
        <f>'P &amp; NP'!DE492</f>
        <v>0</v>
      </c>
      <c r="P14" s="116">
        <f>'P &amp; NP'!DF492</f>
        <v>0</v>
      </c>
      <c r="Q14" s="116">
        <f>'P &amp; NP'!DU492</f>
        <v>0</v>
      </c>
      <c r="R14" s="116">
        <f>'P &amp; NP'!DV492</f>
        <v>0</v>
      </c>
      <c r="S14" s="116">
        <f>'P &amp; NP'!EK492</f>
        <v>0</v>
      </c>
      <c r="T14" s="116">
        <f>'P &amp; NP'!EL492</f>
        <v>0</v>
      </c>
      <c r="U14" s="116">
        <f>'P &amp; NP'!FA491</f>
        <v>0</v>
      </c>
      <c r="V14" s="116">
        <f>'P &amp; NP'!FB491</f>
        <v>0</v>
      </c>
      <c r="W14" s="116">
        <f>'P &amp; NP'!FQ492</f>
        <v>0</v>
      </c>
      <c r="X14" s="116">
        <f>'P &amp; NP'!FR492</f>
        <v>0</v>
      </c>
      <c r="Y14" s="116">
        <f>'P &amp; NP'!GG491</f>
        <v>0</v>
      </c>
      <c r="Z14" s="116">
        <f>'P &amp; NP'!GH491</f>
        <v>0</v>
      </c>
      <c r="AA14" s="116">
        <f>'P &amp; NP'!GW492</f>
        <v>0</v>
      </c>
      <c r="AB14" s="116">
        <f>'P &amp; NP'!GX492</f>
        <v>0</v>
      </c>
      <c r="AC14" s="116">
        <f>'P &amp; NP'!HM492</f>
        <v>0</v>
      </c>
      <c r="AD14" s="116">
        <f>'P &amp; NP'!HN492</f>
        <v>0</v>
      </c>
      <c r="AE14" s="116">
        <f>'P &amp; NP'!IC492</f>
        <v>0</v>
      </c>
      <c r="AF14" s="116">
        <f>'P &amp; NP'!ID492</f>
        <v>0</v>
      </c>
      <c r="AG14" s="116">
        <f>'P &amp; NP'!IS492</f>
        <v>0</v>
      </c>
      <c r="AH14" s="116">
        <f>'P &amp; NP'!IT492</f>
        <v>0</v>
      </c>
      <c r="AI14" s="116">
        <f>'P &amp; NP'!JI492</f>
        <v>0</v>
      </c>
      <c r="AJ14" s="116">
        <f>'P &amp; NP'!JJ492</f>
        <v>0</v>
      </c>
      <c r="AK14" s="116">
        <f>'P &amp; NP'!JY492</f>
        <v>0</v>
      </c>
      <c r="AL14" s="116">
        <f>'P &amp; NP'!JZ492</f>
        <v>0</v>
      </c>
      <c r="AM14" s="116">
        <f>'P &amp; NP'!KO492</f>
        <v>0</v>
      </c>
      <c r="AN14" s="116">
        <f>'P &amp; NP'!KP492</f>
        <v>0</v>
      </c>
      <c r="AO14" s="116">
        <f>'P &amp; NP'!LE492</f>
        <v>0</v>
      </c>
      <c r="AP14" s="116">
        <f>'P &amp; NP'!LF492</f>
        <v>0</v>
      </c>
      <c r="AQ14" s="116">
        <f>'P &amp; NP'!LU492</f>
        <v>0</v>
      </c>
      <c r="AR14" s="116">
        <f>'P &amp; NP'!LV492</f>
        <v>0</v>
      </c>
      <c r="AS14" s="116">
        <f>'P &amp; NP'!MK492</f>
        <v>0</v>
      </c>
      <c r="AT14" s="116">
        <f>'P &amp; NP'!ML492</f>
        <v>0</v>
      </c>
      <c r="AU14" s="116">
        <f>'P &amp; NP'!NA492</f>
        <v>0</v>
      </c>
      <c r="AV14" s="116">
        <f>'P &amp; NP'!NB492</f>
        <v>0</v>
      </c>
      <c r="AW14" s="116">
        <f>'P &amp; NP'!NQ491</f>
        <v>8400</v>
      </c>
      <c r="AX14" s="116">
        <f>'P &amp; NP'!NR491</f>
        <v>235200</v>
      </c>
      <c r="AY14" s="116">
        <f>'P &amp; NP'!OG492</f>
        <v>0</v>
      </c>
      <c r="AZ14" s="116">
        <f>'P &amp; NP'!OH492</f>
        <v>0</v>
      </c>
      <c r="BA14" s="116">
        <f>'P &amp; NP'!OW492</f>
        <v>0</v>
      </c>
      <c r="BB14" s="116">
        <f>'P &amp; NP'!OX492</f>
        <v>0</v>
      </c>
      <c r="BC14" s="116">
        <f>'P &amp; NP'!PM492</f>
        <v>0</v>
      </c>
      <c r="BD14" s="116">
        <f>'P &amp; NP'!PN492</f>
        <v>0</v>
      </c>
      <c r="BE14" s="116">
        <f>'P &amp; NP'!$QC491</f>
        <v>126788</v>
      </c>
      <c r="BF14" s="116">
        <f>'P &amp; NP'!$QD491</f>
        <v>4104640</v>
      </c>
      <c r="BG14" s="116">
        <f>'P &amp; NP'!QS492</f>
        <v>0</v>
      </c>
      <c r="BH14" s="116">
        <f>'P &amp; NP'!QT492</f>
        <v>0</v>
      </c>
      <c r="BI14" s="116">
        <f>'P &amp; NP'!RI492</f>
        <v>0</v>
      </c>
      <c r="BJ14" s="116">
        <f>'P &amp; NP'!RJ492</f>
        <v>0</v>
      </c>
      <c r="BK14" s="116">
        <f>'P &amp; NP'!RY492</f>
        <v>0</v>
      </c>
      <c r="BL14" s="116">
        <f>'P &amp; NP'!RZ492</f>
        <v>0</v>
      </c>
      <c r="BM14" s="116">
        <f>'P &amp; NP'!SO492</f>
        <v>0</v>
      </c>
      <c r="BN14" s="116">
        <f>'P &amp; NP'!SP492</f>
        <v>0</v>
      </c>
      <c r="BO14" s="116">
        <f>'P &amp; NP'!TE492</f>
        <v>0</v>
      </c>
      <c r="BP14" s="116">
        <f>'P &amp; NP'!TF492</f>
        <v>0</v>
      </c>
      <c r="BQ14" s="116">
        <f>'P &amp; NP'!TU491</f>
        <v>0</v>
      </c>
      <c r="BR14" s="116">
        <f>'P &amp; NP'!TV491</f>
        <v>0</v>
      </c>
      <c r="BS14" s="116">
        <f>'P &amp; NP'!UK492</f>
        <v>0</v>
      </c>
      <c r="BT14" s="116">
        <f>'P &amp; NP'!UL492</f>
        <v>0</v>
      </c>
      <c r="BU14" s="116">
        <f>'P &amp; NP'!VA492</f>
        <v>0</v>
      </c>
      <c r="BV14" s="116">
        <f>'P &amp; NP'!VB492</f>
        <v>0</v>
      </c>
      <c r="BW14" s="116">
        <f>'P &amp; NP'!VQ492</f>
        <v>0</v>
      </c>
      <c r="BX14" s="116">
        <f>'P &amp; NP'!VR492</f>
        <v>0</v>
      </c>
      <c r="BY14" s="116">
        <f>'P &amp; NP'!WG492</f>
        <v>0</v>
      </c>
      <c r="BZ14" s="116">
        <f>'P &amp; NP'!WH492</f>
        <v>0</v>
      </c>
      <c r="CB14" s="206">
        <f t="shared" si="70"/>
        <v>135188</v>
      </c>
      <c r="CC14" s="206">
        <f t="shared" si="71"/>
        <v>4339840</v>
      </c>
    </row>
    <row r="15" spans="1:81">
      <c r="B15" s="207" t="str">
        <f>'P &amp; NP'!B21</f>
        <v>Kakap Putih</v>
      </c>
      <c r="C15" s="116">
        <f>'P &amp; NP'!M492</f>
        <v>0</v>
      </c>
      <c r="D15" s="116">
        <f>'P &amp; NP'!N492</f>
        <v>0</v>
      </c>
      <c r="E15" s="116">
        <f>'P &amp; NP'!AC492</f>
        <v>0</v>
      </c>
      <c r="F15" s="116">
        <f>'P &amp; NP'!AD492</f>
        <v>0</v>
      </c>
      <c r="G15" s="116">
        <f>'P &amp; NP'!AS492</f>
        <v>0</v>
      </c>
      <c r="H15" s="116">
        <f>'P &amp; NP'!AT492</f>
        <v>0</v>
      </c>
      <c r="I15" s="116">
        <f t="shared" si="69"/>
        <v>0</v>
      </c>
      <c r="J15" s="116">
        <f>'P &amp; NP'!BJ493</f>
        <v>0</v>
      </c>
      <c r="K15" s="116">
        <f>'P &amp; NP'!BY493</f>
        <v>0</v>
      </c>
      <c r="L15" s="116">
        <f>'P &amp; NP'!BZ493</f>
        <v>0</v>
      </c>
      <c r="M15" s="116">
        <f>'P &amp; NP'!CO493</f>
        <v>0</v>
      </c>
      <c r="N15" s="116">
        <f>'P &amp; NP'!CP493</f>
        <v>0</v>
      </c>
      <c r="O15" s="116">
        <f>'P &amp; NP'!DE493</f>
        <v>0</v>
      </c>
      <c r="P15" s="116">
        <f>'P &amp; NP'!DF493</f>
        <v>0</v>
      </c>
      <c r="Q15" s="116">
        <f>'P &amp; NP'!DU493</f>
        <v>0</v>
      </c>
      <c r="R15" s="116">
        <f>'P &amp; NP'!DV493</f>
        <v>0</v>
      </c>
      <c r="S15" s="116">
        <f>'P &amp; NP'!EK493</f>
        <v>0</v>
      </c>
      <c r="T15" s="116">
        <f>'P &amp; NP'!EL493</f>
        <v>0</v>
      </c>
      <c r="U15" s="116">
        <f>'P &amp; NP'!FA492</f>
        <v>0</v>
      </c>
      <c r="V15" s="116">
        <f>'P &amp; NP'!FB492</f>
        <v>0</v>
      </c>
      <c r="W15" s="116">
        <f>'P &amp; NP'!FQ493</f>
        <v>0</v>
      </c>
      <c r="X15" s="116">
        <f>'P &amp; NP'!FR493</f>
        <v>0</v>
      </c>
      <c r="Y15" s="116">
        <f>'P &amp; NP'!GG492</f>
        <v>0</v>
      </c>
      <c r="Z15" s="116">
        <f>'P &amp; NP'!GH492</f>
        <v>0</v>
      </c>
      <c r="AA15" s="116">
        <f>'P &amp; NP'!GW493</f>
        <v>0</v>
      </c>
      <c r="AB15" s="116">
        <f>'P &amp; NP'!GX493</f>
        <v>0</v>
      </c>
      <c r="AC15" s="116">
        <f>'P &amp; NP'!HM493</f>
        <v>0</v>
      </c>
      <c r="AD15" s="116">
        <f>'P &amp; NP'!HN493</f>
        <v>0</v>
      </c>
      <c r="AE15" s="116">
        <f>'P &amp; NP'!IC493</f>
        <v>0</v>
      </c>
      <c r="AF15" s="116">
        <f>'P &amp; NP'!ID493</f>
        <v>0</v>
      </c>
      <c r="AG15" s="116">
        <f>'P &amp; NP'!IS493</f>
        <v>0</v>
      </c>
      <c r="AH15" s="116">
        <f>'P &amp; NP'!IT493</f>
        <v>0</v>
      </c>
      <c r="AI15" s="116">
        <f>'P &amp; NP'!JI493</f>
        <v>0</v>
      </c>
      <c r="AJ15" s="116">
        <f>'P &amp; NP'!JJ493</f>
        <v>0</v>
      </c>
      <c r="AK15" s="116">
        <f>'P &amp; NP'!JY493</f>
        <v>0</v>
      </c>
      <c r="AL15" s="116">
        <f>'P &amp; NP'!JZ493</f>
        <v>0</v>
      </c>
      <c r="AM15" s="116">
        <f>'P &amp; NP'!KO493</f>
        <v>0</v>
      </c>
      <c r="AN15" s="116">
        <f>'P &amp; NP'!KP493</f>
        <v>0</v>
      </c>
      <c r="AO15" s="116">
        <f>'P &amp; NP'!LE493</f>
        <v>0</v>
      </c>
      <c r="AP15" s="116">
        <f>'P &amp; NP'!LF493</f>
        <v>0</v>
      </c>
      <c r="AQ15" s="116">
        <f>'P &amp; NP'!LU493</f>
        <v>0</v>
      </c>
      <c r="AR15" s="116">
        <f>'P &amp; NP'!LV493</f>
        <v>0</v>
      </c>
      <c r="AS15" s="116">
        <f>'P &amp; NP'!MK493</f>
        <v>0</v>
      </c>
      <c r="AT15" s="116">
        <f>'P &amp; NP'!ML493</f>
        <v>0</v>
      </c>
      <c r="AU15" s="116">
        <f>'P &amp; NP'!NA493</f>
        <v>0</v>
      </c>
      <c r="AV15" s="116">
        <f>'P &amp; NP'!NB493</f>
        <v>0</v>
      </c>
      <c r="AW15" s="116">
        <f>'P &amp; NP'!NQ492</f>
        <v>0</v>
      </c>
      <c r="AX15" s="116">
        <f>'P &amp; NP'!NR492</f>
        <v>0</v>
      </c>
      <c r="AY15" s="116">
        <f>'P &amp; NP'!OG493</f>
        <v>0</v>
      </c>
      <c r="AZ15" s="116">
        <f>'P &amp; NP'!OH493</f>
        <v>0</v>
      </c>
      <c r="BA15" s="116">
        <f>'P &amp; NP'!OW493</f>
        <v>0</v>
      </c>
      <c r="BB15" s="116">
        <f>'P &amp; NP'!OX493</f>
        <v>0</v>
      </c>
      <c r="BC15" s="116">
        <f>'P &amp; NP'!PM493</f>
        <v>0</v>
      </c>
      <c r="BD15" s="116">
        <f>'P &amp; NP'!PN493</f>
        <v>0</v>
      </c>
      <c r="BE15" s="116">
        <f>'P &amp; NP'!$QC492</f>
        <v>0</v>
      </c>
      <c r="BF15" s="116">
        <f>'P &amp; NP'!$QD492</f>
        <v>0</v>
      </c>
      <c r="BG15" s="116">
        <f>'P &amp; NP'!QS493</f>
        <v>0</v>
      </c>
      <c r="BH15" s="116">
        <f>'P &amp; NP'!QT493</f>
        <v>0</v>
      </c>
      <c r="BI15" s="116">
        <f>'P &amp; NP'!RI493</f>
        <v>0</v>
      </c>
      <c r="BJ15" s="116">
        <f>'P &amp; NP'!RJ493</f>
        <v>0</v>
      </c>
      <c r="BK15" s="116">
        <f>'P &amp; NP'!RY493</f>
        <v>0</v>
      </c>
      <c r="BL15" s="116">
        <f>'P &amp; NP'!RZ493</f>
        <v>0</v>
      </c>
      <c r="BM15" s="116">
        <f>'P &amp; NP'!SO493</f>
        <v>0</v>
      </c>
      <c r="BN15" s="116">
        <f>'P &amp; NP'!SP493</f>
        <v>0</v>
      </c>
      <c r="BO15" s="116">
        <f>'P &amp; NP'!TE493</f>
        <v>0</v>
      </c>
      <c r="BP15" s="116">
        <f>'P &amp; NP'!TF493</f>
        <v>0</v>
      </c>
      <c r="BQ15" s="116">
        <f>'P &amp; NP'!TU492</f>
        <v>0</v>
      </c>
      <c r="BR15" s="116">
        <f>'P &amp; NP'!TV492</f>
        <v>0</v>
      </c>
      <c r="BS15" s="116">
        <f>'P &amp; NP'!UK493</f>
        <v>0</v>
      </c>
      <c r="BT15" s="116">
        <f>'P &amp; NP'!UL493</f>
        <v>0</v>
      </c>
      <c r="BU15" s="116">
        <f>'P &amp; NP'!VA493</f>
        <v>0</v>
      </c>
      <c r="BV15" s="116">
        <f>'P &amp; NP'!VB493</f>
        <v>0</v>
      </c>
      <c r="BW15" s="116">
        <f>'P &amp; NP'!VQ493</f>
        <v>0</v>
      </c>
      <c r="BX15" s="116">
        <f>'P &amp; NP'!VR493</f>
        <v>0</v>
      </c>
      <c r="BY15" s="116">
        <f>'P &amp; NP'!WG493</f>
        <v>0</v>
      </c>
      <c r="BZ15" s="116">
        <f>'P &amp; NP'!WH493</f>
        <v>0</v>
      </c>
      <c r="CB15" s="206">
        <f t="shared" si="70"/>
        <v>0</v>
      </c>
      <c r="CC15" s="206">
        <f t="shared" si="71"/>
        <v>0</v>
      </c>
    </row>
    <row r="16" spans="1:81">
      <c r="B16" s="207" t="str">
        <f>'P &amp; NP'!B22</f>
        <v>Kepiting  Bakau</v>
      </c>
      <c r="C16" s="116">
        <f>'P &amp; NP'!M493</f>
        <v>0</v>
      </c>
      <c r="D16" s="116">
        <f>'P &amp; NP'!N493</f>
        <v>0</v>
      </c>
      <c r="E16" s="116">
        <f>'P &amp; NP'!AC493</f>
        <v>0</v>
      </c>
      <c r="F16" s="116">
        <f>'P &amp; NP'!AD493</f>
        <v>0</v>
      </c>
      <c r="G16" s="116">
        <f>'P &amp; NP'!AS493</f>
        <v>0</v>
      </c>
      <c r="H16" s="116">
        <f>'P &amp; NP'!AT493</f>
        <v>0</v>
      </c>
      <c r="I16" s="116">
        <f t="shared" si="69"/>
        <v>0</v>
      </c>
      <c r="J16" s="116">
        <f>'P &amp; NP'!BJ494</f>
        <v>0</v>
      </c>
      <c r="K16" s="116">
        <f>'P &amp; NP'!BY494</f>
        <v>0</v>
      </c>
      <c r="L16" s="116">
        <f>'P &amp; NP'!BZ494</f>
        <v>0</v>
      </c>
      <c r="M16" s="116">
        <f>'P &amp; NP'!CO494</f>
        <v>0</v>
      </c>
      <c r="N16" s="116">
        <f>'P &amp; NP'!CP494</f>
        <v>0</v>
      </c>
      <c r="O16" s="116">
        <f>'P &amp; NP'!DE494</f>
        <v>0</v>
      </c>
      <c r="P16" s="116">
        <f>'P &amp; NP'!DF494</f>
        <v>0</v>
      </c>
      <c r="Q16" s="116">
        <f>'P &amp; NP'!DU494</f>
        <v>0</v>
      </c>
      <c r="R16" s="116">
        <f>'P &amp; NP'!DV494</f>
        <v>0</v>
      </c>
      <c r="S16" s="116">
        <f>'P &amp; NP'!EK494</f>
        <v>0</v>
      </c>
      <c r="T16" s="116">
        <f>'P &amp; NP'!EL494</f>
        <v>0</v>
      </c>
      <c r="U16" s="116">
        <f>'P &amp; NP'!FA493</f>
        <v>0</v>
      </c>
      <c r="V16" s="116">
        <f>'P &amp; NP'!FB493</f>
        <v>0</v>
      </c>
      <c r="W16" s="116">
        <f>'P &amp; NP'!FQ494</f>
        <v>0</v>
      </c>
      <c r="X16" s="116">
        <f>'P &amp; NP'!FR494</f>
        <v>0</v>
      </c>
      <c r="Y16" s="116">
        <f>'P &amp; NP'!GG493</f>
        <v>0</v>
      </c>
      <c r="Z16" s="116">
        <f>'P &amp; NP'!GH493</f>
        <v>0</v>
      </c>
      <c r="AA16" s="116">
        <f>'P &amp; NP'!GW494</f>
        <v>0</v>
      </c>
      <c r="AB16" s="116">
        <f>'P &amp; NP'!GX494</f>
        <v>0</v>
      </c>
      <c r="AC16" s="116">
        <f>'P &amp; NP'!HM494</f>
        <v>0</v>
      </c>
      <c r="AD16" s="116">
        <f>'P &amp; NP'!HN494</f>
        <v>0</v>
      </c>
      <c r="AE16" s="116">
        <f>'P &amp; NP'!IC494</f>
        <v>0</v>
      </c>
      <c r="AF16" s="116">
        <f>'P &amp; NP'!ID494</f>
        <v>0</v>
      </c>
      <c r="AG16" s="116">
        <f>'P &amp; NP'!IS494</f>
        <v>0</v>
      </c>
      <c r="AH16" s="116">
        <f>'P &amp; NP'!IT494</f>
        <v>0</v>
      </c>
      <c r="AI16" s="116">
        <f>'P &amp; NP'!JI494</f>
        <v>0</v>
      </c>
      <c r="AJ16" s="116">
        <f>'P &amp; NP'!JJ494</f>
        <v>0</v>
      </c>
      <c r="AK16" s="116">
        <f>'P &amp; NP'!JY494</f>
        <v>0</v>
      </c>
      <c r="AL16" s="116">
        <f>'P &amp; NP'!JZ494</f>
        <v>0</v>
      </c>
      <c r="AM16" s="116">
        <f>'P &amp; NP'!KO494</f>
        <v>0</v>
      </c>
      <c r="AN16" s="116">
        <f>'P &amp; NP'!KP494</f>
        <v>0</v>
      </c>
      <c r="AO16" s="116">
        <f>'P &amp; NP'!LE494</f>
        <v>0</v>
      </c>
      <c r="AP16" s="116">
        <f>'P &amp; NP'!LF494</f>
        <v>0</v>
      </c>
      <c r="AQ16" s="116">
        <f>'P &amp; NP'!LU494</f>
        <v>0</v>
      </c>
      <c r="AR16" s="116">
        <f>'P &amp; NP'!LV494</f>
        <v>0</v>
      </c>
      <c r="AS16" s="116">
        <f>'P &amp; NP'!MK494</f>
        <v>0</v>
      </c>
      <c r="AT16" s="116">
        <f>'P &amp; NP'!ML494</f>
        <v>0</v>
      </c>
      <c r="AU16" s="116">
        <f>'P &amp; NP'!NA494</f>
        <v>0</v>
      </c>
      <c r="AV16" s="116">
        <f>'P &amp; NP'!NB494</f>
        <v>0</v>
      </c>
      <c r="AW16" s="116">
        <f>'P &amp; NP'!NQ493</f>
        <v>0</v>
      </c>
      <c r="AX16" s="116">
        <f>'P &amp; NP'!NR493</f>
        <v>0</v>
      </c>
      <c r="AY16" s="116">
        <f>'P &amp; NP'!OG494</f>
        <v>0</v>
      </c>
      <c r="AZ16" s="116">
        <f>'P &amp; NP'!OH494</f>
        <v>0</v>
      </c>
      <c r="BA16" s="116">
        <f>'P &amp; NP'!OW494</f>
        <v>0</v>
      </c>
      <c r="BB16" s="116">
        <f>'P &amp; NP'!OX494</f>
        <v>0</v>
      </c>
      <c r="BC16" s="116">
        <f>'P &amp; NP'!PM494</f>
        <v>0</v>
      </c>
      <c r="BD16" s="116">
        <f>'P &amp; NP'!PN494</f>
        <v>0</v>
      </c>
      <c r="BE16" s="116">
        <f>'P &amp; NP'!$QC493</f>
        <v>0</v>
      </c>
      <c r="BF16" s="116">
        <f>'P &amp; NP'!$QD493</f>
        <v>0</v>
      </c>
      <c r="BG16" s="116">
        <f>'P &amp; NP'!QS494</f>
        <v>0</v>
      </c>
      <c r="BH16" s="116">
        <f>'P &amp; NP'!QT494</f>
        <v>0</v>
      </c>
      <c r="BI16" s="116">
        <f>'P &amp; NP'!RI494</f>
        <v>0</v>
      </c>
      <c r="BJ16" s="116">
        <f>'P &amp; NP'!RJ494</f>
        <v>0</v>
      </c>
      <c r="BK16" s="116">
        <f>'P &amp; NP'!RY494</f>
        <v>0</v>
      </c>
      <c r="BL16" s="116">
        <f>'P &amp; NP'!RZ494</f>
        <v>0</v>
      </c>
      <c r="BM16" s="116">
        <f>'P &amp; NP'!SO494</f>
        <v>0</v>
      </c>
      <c r="BN16" s="116">
        <f>'P &amp; NP'!SP494</f>
        <v>0</v>
      </c>
      <c r="BO16" s="116">
        <f>'P &amp; NP'!TE494</f>
        <v>0</v>
      </c>
      <c r="BP16" s="116">
        <f>'P &amp; NP'!TF494</f>
        <v>0</v>
      </c>
      <c r="BQ16" s="116">
        <f>'P &amp; NP'!TU493</f>
        <v>0</v>
      </c>
      <c r="BR16" s="116">
        <f>'P &amp; NP'!TV493</f>
        <v>0</v>
      </c>
      <c r="BS16" s="116">
        <f>'P &amp; NP'!UK494</f>
        <v>0</v>
      </c>
      <c r="BT16" s="116">
        <f>'P &amp; NP'!UL494</f>
        <v>0</v>
      </c>
      <c r="BU16" s="116">
        <f>'P &amp; NP'!VA494</f>
        <v>0</v>
      </c>
      <c r="BV16" s="116">
        <f>'P &amp; NP'!VB494</f>
        <v>0</v>
      </c>
      <c r="BW16" s="116">
        <f>'P &amp; NP'!VQ494</f>
        <v>0</v>
      </c>
      <c r="BX16" s="116">
        <f>'P &amp; NP'!VR494</f>
        <v>0</v>
      </c>
      <c r="BY16" s="116">
        <f>'P &amp; NP'!WG494</f>
        <v>0</v>
      </c>
      <c r="BZ16" s="116">
        <f>'P &amp; NP'!WH494</f>
        <v>0</v>
      </c>
      <c r="CB16" s="206">
        <f t="shared" si="70"/>
        <v>0</v>
      </c>
      <c r="CC16" s="206">
        <f t="shared" si="71"/>
        <v>0</v>
      </c>
    </row>
    <row r="17" spans="2:81">
      <c r="B17" s="207" t="str">
        <f>'P &amp; NP'!B23</f>
        <v xml:space="preserve">Kerang Hijau </v>
      </c>
      <c r="C17" s="116">
        <f>'P &amp; NP'!M494</f>
        <v>0</v>
      </c>
      <c r="D17" s="116">
        <f>'P &amp; NP'!N494</f>
        <v>0</v>
      </c>
      <c r="E17" s="116">
        <f>'P &amp; NP'!AC494</f>
        <v>0</v>
      </c>
      <c r="F17" s="116">
        <f>'P &amp; NP'!AD494</f>
        <v>0</v>
      </c>
      <c r="G17" s="116">
        <f>'P &amp; NP'!AS494</f>
        <v>0</v>
      </c>
      <c r="H17" s="116">
        <f>'P &amp; NP'!AT494</f>
        <v>0</v>
      </c>
      <c r="I17" s="116">
        <f t="shared" si="69"/>
        <v>0</v>
      </c>
      <c r="J17" s="116">
        <f>'P &amp; NP'!BJ495</f>
        <v>0</v>
      </c>
      <c r="K17" s="116">
        <f>'P &amp; NP'!BY495</f>
        <v>0</v>
      </c>
      <c r="L17" s="116">
        <f>'P &amp; NP'!BZ495</f>
        <v>0</v>
      </c>
      <c r="M17" s="116">
        <f>'P &amp; NP'!CO495</f>
        <v>0</v>
      </c>
      <c r="N17" s="116">
        <f>'P &amp; NP'!CP495</f>
        <v>0</v>
      </c>
      <c r="O17" s="116">
        <f>'P &amp; NP'!DE495</f>
        <v>0</v>
      </c>
      <c r="P17" s="116">
        <f>'P &amp; NP'!DF495</f>
        <v>0</v>
      </c>
      <c r="Q17" s="116">
        <f>'P &amp; NP'!DU495</f>
        <v>0</v>
      </c>
      <c r="R17" s="116">
        <f>'P &amp; NP'!DV495</f>
        <v>0</v>
      </c>
      <c r="S17" s="116">
        <f>'P &amp; NP'!EK495</f>
        <v>0</v>
      </c>
      <c r="T17" s="116">
        <f>'P &amp; NP'!EL495</f>
        <v>0</v>
      </c>
      <c r="U17" s="116">
        <f>'P &amp; NP'!FA494</f>
        <v>0</v>
      </c>
      <c r="V17" s="116">
        <f>'P &amp; NP'!FB494</f>
        <v>0</v>
      </c>
      <c r="W17" s="116">
        <f>'P &amp; NP'!FQ495</f>
        <v>0</v>
      </c>
      <c r="X17" s="116">
        <f>'P &amp; NP'!FR495</f>
        <v>0</v>
      </c>
      <c r="Y17" s="116">
        <f>'P &amp; NP'!GG494</f>
        <v>0</v>
      </c>
      <c r="Z17" s="116">
        <f>'P &amp; NP'!GH494</f>
        <v>0</v>
      </c>
      <c r="AA17" s="116">
        <f>'P &amp; NP'!GW495</f>
        <v>0</v>
      </c>
      <c r="AB17" s="116">
        <f>'P &amp; NP'!GX495</f>
        <v>0</v>
      </c>
      <c r="AC17" s="116">
        <f>'P &amp; NP'!HM495</f>
        <v>0</v>
      </c>
      <c r="AD17" s="116">
        <f>'P &amp; NP'!HN495</f>
        <v>0</v>
      </c>
      <c r="AE17" s="116">
        <f>'P &amp; NP'!IC495</f>
        <v>0</v>
      </c>
      <c r="AF17" s="116">
        <f>'P &amp; NP'!ID495</f>
        <v>0</v>
      </c>
      <c r="AG17" s="116">
        <f>'P &amp; NP'!IS495</f>
        <v>0</v>
      </c>
      <c r="AH17" s="116">
        <f>'P &amp; NP'!IT495</f>
        <v>0</v>
      </c>
      <c r="AI17" s="116">
        <f>'P &amp; NP'!JI495</f>
        <v>0</v>
      </c>
      <c r="AJ17" s="116">
        <f>'P &amp; NP'!JJ495</f>
        <v>0</v>
      </c>
      <c r="AK17" s="116">
        <f>'P &amp; NP'!JY495</f>
        <v>0</v>
      </c>
      <c r="AL17" s="116">
        <f>'P &amp; NP'!JZ495</f>
        <v>0</v>
      </c>
      <c r="AM17" s="116">
        <f>'P &amp; NP'!KO495</f>
        <v>0</v>
      </c>
      <c r="AN17" s="116">
        <f>'P &amp; NP'!KP495</f>
        <v>0</v>
      </c>
      <c r="AO17" s="116">
        <f>'P &amp; NP'!LE495</f>
        <v>0</v>
      </c>
      <c r="AP17" s="116">
        <f>'P &amp; NP'!LF495</f>
        <v>0</v>
      </c>
      <c r="AQ17" s="116">
        <f>'P &amp; NP'!LU495</f>
        <v>0</v>
      </c>
      <c r="AR17" s="116">
        <f>'P &amp; NP'!LV495</f>
        <v>0</v>
      </c>
      <c r="AS17" s="116">
        <f>'P &amp; NP'!MK495</f>
        <v>0</v>
      </c>
      <c r="AT17" s="116">
        <f>'P &amp; NP'!ML495</f>
        <v>0</v>
      </c>
      <c r="AU17" s="116">
        <f>'P &amp; NP'!NA495</f>
        <v>0</v>
      </c>
      <c r="AV17" s="116">
        <f>'P &amp; NP'!NB495</f>
        <v>0</v>
      </c>
      <c r="AW17" s="116">
        <f>'P &amp; NP'!NQ494</f>
        <v>0</v>
      </c>
      <c r="AX17" s="116">
        <f>'P &amp; NP'!NR494</f>
        <v>0</v>
      </c>
      <c r="AY17" s="116">
        <f>'P &amp; NP'!OG495</f>
        <v>0</v>
      </c>
      <c r="AZ17" s="116">
        <f>'P &amp; NP'!OH495</f>
        <v>0</v>
      </c>
      <c r="BA17" s="116">
        <f>'P &amp; NP'!OW495</f>
        <v>0</v>
      </c>
      <c r="BB17" s="116">
        <f>'P &amp; NP'!OX495</f>
        <v>0</v>
      </c>
      <c r="BC17" s="116">
        <f>'P &amp; NP'!PM495</f>
        <v>0</v>
      </c>
      <c r="BD17" s="116">
        <f>'P &amp; NP'!PN495</f>
        <v>0</v>
      </c>
      <c r="BE17" s="116">
        <f>'P &amp; NP'!$QC494</f>
        <v>0</v>
      </c>
      <c r="BF17" s="116">
        <f>'P &amp; NP'!$QD494</f>
        <v>0</v>
      </c>
      <c r="BG17" s="116">
        <f>'P &amp; NP'!QS495</f>
        <v>0</v>
      </c>
      <c r="BH17" s="116">
        <f>'P &amp; NP'!QT495</f>
        <v>0</v>
      </c>
      <c r="BI17" s="116">
        <f>'P &amp; NP'!RI495</f>
        <v>0</v>
      </c>
      <c r="BJ17" s="116">
        <f>'P &amp; NP'!RJ495</f>
        <v>0</v>
      </c>
      <c r="BK17" s="116">
        <f>'P &amp; NP'!RY495</f>
        <v>0</v>
      </c>
      <c r="BL17" s="116">
        <f>'P &amp; NP'!RZ495</f>
        <v>0</v>
      </c>
      <c r="BM17" s="116">
        <f>'P &amp; NP'!SO495</f>
        <v>0</v>
      </c>
      <c r="BN17" s="116">
        <f>'P &amp; NP'!SP495</f>
        <v>0</v>
      </c>
      <c r="BO17" s="116">
        <f>'P &amp; NP'!TE495</f>
        <v>0</v>
      </c>
      <c r="BP17" s="116">
        <f>'P &amp; NP'!TF495</f>
        <v>0</v>
      </c>
      <c r="BQ17" s="116">
        <f>'P &amp; NP'!TU494</f>
        <v>0</v>
      </c>
      <c r="BR17" s="116">
        <f>'P &amp; NP'!TV494</f>
        <v>0</v>
      </c>
      <c r="BS17" s="116">
        <f>'P &amp; NP'!UK495</f>
        <v>0</v>
      </c>
      <c r="BT17" s="116">
        <f>'P &amp; NP'!UL495</f>
        <v>0</v>
      </c>
      <c r="BU17" s="116">
        <f>'P &amp; NP'!VA495</f>
        <v>0</v>
      </c>
      <c r="BV17" s="116">
        <f>'P &amp; NP'!VB495</f>
        <v>0</v>
      </c>
      <c r="BW17" s="116">
        <f>'P &amp; NP'!VQ495</f>
        <v>0</v>
      </c>
      <c r="BX17" s="116">
        <f>'P &amp; NP'!VR495</f>
        <v>0</v>
      </c>
      <c r="BY17" s="116">
        <f>'P &amp; NP'!WG495</f>
        <v>0</v>
      </c>
      <c r="BZ17" s="116">
        <f>'P &amp; NP'!WH495</f>
        <v>0</v>
      </c>
      <c r="CB17" s="206">
        <f t="shared" si="70"/>
        <v>0</v>
      </c>
      <c r="CC17" s="206">
        <f t="shared" si="71"/>
        <v>0</v>
      </c>
    </row>
    <row r="18" spans="2:81">
      <c r="B18" s="207" t="str">
        <f>'P &amp; NP'!B24</f>
        <v>Kerapu Cantang</v>
      </c>
      <c r="C18" s="116">
        <f>'P &amp; NP'!M495</f>
        <v>0</v>
      </c>
      <c r="D18" s="116">
        <f>'P &amp; NP'!N495</f>
        <v>0</v>
      </c>
      <c r="E18" s="116">
        <f>'P &amp; NP'!AC495</f>
        <v>0</v>
      </c>
      <c r="F18" s="116">
        <f>'P &amp; NP'!AD495</f>
        <v>0</v>
      </c>
      <c r="G18" s="116">
        <f>'P &amp; NP'!AS495</f>
        <v>0</v>
      </c>
      <c r="H18" s="116">
        <f>'P &amp; NP'!AT495</f>
        <v>0</v>
      </c>
      <c r="I18" s="116">
        <f t="shared" si="69"/>
        <v>0</v>
      </c>
      <c r="J18" s="116">
        <f>'P &amp; NP'!BJ496</f>
        <v>0</v>
      </c>
      <c r="K18" s="116">
        <f>'P &amp; NP'!BY496</f>
        <v>0</v>
      </c>
      <c r="L18" s="116">
        <f>'P &amp; NP'!BZ496</f>
        <v>0</v>
      </c>
      <c r="M18" s="116">
        <f>'P &amp; NP'!CO496</f>
        <v>0</v>
      </c>
      <c r="N18" s="116">
        <f>'P &amp; NP'!CP496</f>
        <v>0</v>
      </c>
      <c r="O18" s="116">
        <f>'P &amp; NP'!DE496</f>
        <v>0</v>
      </c>
      <c r="P18" s="116">
        <f>'P &amp; NP'!DF496</f>
        <v>0</v>
      </c>
      <c r="Q18" s="116">
        <f>'P &amp; NP'!DU496</f>
        <v>0</v>
      </c>
      <c r="R18" s="116">
        <f>'P &amp; NP'!DV496</f>
        <v>0</v>
      </c>
      <c r="S18" s="116">
        <f>'P &amp; NP'!EK496</f>
        <v>0</v>
      </c>
      <c r="T18" s="116">
        <f>'P &amp; NP'!EL496</f>
        <v>0</v>
      </c>
      <c r="U18" s="116">
        <f>'P &amp; NP'!FA495</f>
        <v>0</v>
      </c>
      <c r="V18" s="116">
        <f>'P &amp; NP'!FB495</f>
        <v>0</v>
      </c>
      <c r="W18" s="116">
        <f>'P &amp; NP'!FQ496</f>
        <v>0</v>
      </c>
      <c r="X18" s="116">
        <f>'P &amp; NP'!FR496</f>
        <v>0</v>
      </c>
      <c r="Y18" s="116">
        <f>'P &amp; NP'!GG495</f>
        <v>0</v>
      </c>
      <c r="Z18" s="116">
        <f>'P &amp; NP'!GH495</f>
        <v>0</v>
      </c>
      <c r="AA18" s="116">
        <f>'P &amp; NP'!GW496</f>
        <v>0</v>
      </c>
      <c r="AB18" s="116">
        <f>'P &amp; NP'!GX496</f>
        <v>0</v>
      </c>
      <c r="AC18" s="116">
        <f>'P &amp; NP'!HM496</f>
        <v>0</v>
      </c>
      <c r="AD18" s="116">
        <f>'P &amp; NP'!HN496</f>
        <v>0</v>
      </c>
      <c r="AE18" s="116">
        <f>'P &amp; NP'!IC496</f>
        <v>0</v>
      </c>
      <c r="AF18" s="116">
        <f>'P &amp; NP'!ID496</f>
        <v>0</v>
      </c>
      <c r="AG18" s="116">
        <f>'P &amp; NP'!IS496</f>
        <v>0</v>
      </c>
      <c r="AH18" s="116">
        <f>'P &amp; NP'!IT496</f>
        <v>0</v>
      </c>
      <c r="AI18" s="116">
        <f>'P &amp; NP'!JI496</f>
        <v>0</v>
      </c>
      <c r="AJ18" s="116">
        <f>'P &amp; NP'!JJ496</f>
        <v>0</v>
      </c>
      <c r="AK18" s="116">
        <f>'P &amp; NP'!JY496</f>
        <v>0</v>
      </c>
      <c r="AL18" s="116">
        <f>'P &amp; NP'!JZ496</f>
        <v>0</v>
      </c>
      <c r="AM18" s="116">
        <f>'P &amp; NP'!KO496</f>
        <v>0</v>
      </c>
      <c r="AN18" s="116">
        <f>'P &amp; NP'!KP496</f>
        <v>0</v>
      </c>
      <c r="AO18" s="116">
        <f>'P &amp; NP'!LE496</f>
        <v>0</v>
      </c>
      <c r="AP18" s="116">
        <f>'P &amp; NP'!LF496</f>
        <v>0</v>
      </c>
      <c r="AQ18" s="116">
        <f>'P &amp; NP'!LU496</f>
        <v>0</v>
      </c>
      <c r="AR18" s="116">
        <f>'P &amp; NP'!LV496</f>
        <v>0</v>
      </c>
      <c r="AS18" s="116">
        <f>'P &amp; NP'!MK496</f>
        <v>0</v>
      </c>
      <c r="AT18" s="116">
        <f>'P &amp; NP'!ML496</f>
        <v>0</v>
      </c>
      <c r="AU18" s="116">
        <f>'P &amp; NP'!NA496</f>
        <v>0</v>
      </c>
      <c r="AV18" s="116">
        <f>'P &amp; NP'!NB496</f>
        <v>0</v>
      </c>
      <c r="AW18" s="116">
        <f>'P &amp; NP'!NQ495</f>
        <v>0</v>
      </c>
      <c r="AX18" s="116">
        <f>'P &amp; NP'!NR495</f>
        <v>0</v>
      </c>
      <c r="AY18" s="116">
        <f>'P &amp; NP'!OG496</f>
        <v>0</v>
      </c>
      <c r="AZ18" s="116">
        <f>'P &amp; NP'!OH496</f>
        <v>0</v>
      </c>
      <c r="BA18" s="116">
        <f>'P &amp; NP'!OW496</f>
        <v>0</v>
      </c>
      <c r="BB18" s="116">
        <f>'P &amp; NP'!OX496</f>
        <v>0</v>
      </c>
      <c r="BC18" s="116">
        <f>'P &amp; NP'!PM496</f>
        <v>0</v>
      </c>
      <c r="BD18" s="116">
        <f>'P &amp; NP'!PN496</f>
        <v>0</v>
      </c>
      <c r="BE18" s="116">
        <f>'P &amp; NP'!$QC495</f>
        <v>0</v>
      </c>
      <c r="BF18" s="116">
        <f>'P &amp; NP'!$QD495</f>
        <v>0</v>
      </c>
      <c r="BG18" s="116">
        <f>'P &amp; NP'!QS496</f>
        <v>0</v>
      </c>
      <c r="BH18" s="116">
        <f>'P &amp; NP'!QT496</f>
        <v>0</v>
      </c>
      <c r="BI18" s="116">
        <f>'P &amp; NP'!RI496</f>
        <v>0</v>
      </c>
      <c r="BJ18" s="116">
        <f>'P &amp; NP'!RJ496</f>
        <v>0</v>
      </c>
      <c r="BK18" s="116">
        <f>'P &amp; NP'!RY496</f>
        <v>0</v>
      </c>
      <c r="BL18" s="116">
        <f>'P &amp; NP'!RZ496</f>
        <v>0</v>
      </c>
      <c r="BM18" s="116">
        <f>'P &amp; NP'!SO496</f>
        <v>0</v>
      </c>
      <c r="BN18" s="116">
        <f>'P &amp; NP'!SP496</f>
        <v>0</v>
      </c>
      <c r="BO18" s="116">
        <f>'P &amp; NP'!TE496</f>
        <v>0</v>
      </c>
      <c r="BP18" s="116">
        <f>'P &amp; NP'!TF496</f>
        <v>0</v>
      </c>
      <c r="BQ18" s="116">
        <f>'P &amp; NP'!TU495</f>
        <v>0</v>
      </c>
      <c r="BR18" s="116">
        <f>'P &amp; NP'!TV495</f>
        <v>0</v>
      </c>
      <c r="BS18" s="116">
        <f>'P &amp; NP'!UK496</f>
        <v>0</v>
      </c>
      <c r="BT18" s="116">
        <f>'P &amp; NP'!UL496</f>
        <v>0</v>
      </c>
      <c r="BU18" s="116">
        <f>'P &amp; NP'!VA496</f>
        <v>0</v>
      </c>
      <c r="BV18" s="116">
        <f>'P &amp; NP'!VB496</f>
        <v>0</v>
      </c>
      <c r="BW18" s="116">
        <f>'P &amp; NP'!VQ496</f>
        <v>0</v>
      </c>
      <c r="BX18" s="116">
        <f>'P &amp; NP'!VR496</f>
        <v>0</v>
      </c>
      <c r="BY18" s="116">
        <f>'P &amp; NP'!WG496</f>
        <v>0</v>
      </c>
      <c r="BZ18" s="116">
        <f>'P &amp; NP'!WH496</f>
        <v>0</v>
      </c>
      <c r="CB18" s="206">
        <f t="shared" si="70"/>
        <v>0</v>
      </c>
      <c r="CC18" s="206">
        <f t="shared" si="71"/>
        <v>0</v>
      </c>
    </row>
    <row r="19" spans="2:81">
      <c r="B19" s="207" t="str">
        <f>'P &amp; NP'!B25</f>
        <v>Kerapu Macan</v>
      </c>
      <c r="C19" s="116">
        <f>'P &amp; NP'!M496</f>
        <v>0</v>
      </c>
      <c r="D19" s="116">
        <f>'P &amp; NP'!N496</f>
        <v>0</v>
      </c>
      <c r="E19" s="116">
        <f>'P &amp; NP'!AC496</f>
        <v>0</v>
      </c>
      <c r="F19" s="116">
        <f>'P &amp; NP'!AD496</f>
        <v>0</v>
      </c>
      <c r="G19" s="116">
        <f>'P &amp; NP'!AS496</f>
        <v>0</v>
      </c>
      <c r="H19" s="116">
        <f>'P &amp; NP'!AT496</f>
        <v>0</v>
      </c>
      <c r="I19" s="116">
        <f t="shared" si="69"/>
        <v>0</v>
      </c>
      <c r="J19" s="116">
        <f>'P &amp; NP'!BJ497</f>
        <v>0</v>
      </c>
      <c r="K19" s="116">
        <f>'P &amp; NP'!BY497</f>
        <v>0</v>
      </c>
      <c r="L19" s="116">
        <f>'P &amp; NP'!BZ497</f>
        <v>0</v>
      </c>
      <c r="M19" s="116">
        <f>'P &amp; NP'!CO497</f>
        <v>0</v>
      </c>
      <c r="N19" s="116">
        <f>'P &amp; NP'!CP497</f>
        <v>0</v>
      </c>
      <c r="O19" s="116">
        <f>'P &amp; NP'!DE497</f>
        <v>0</v>
      </c>
      <c r="P19" s="116">
        <f>'P &amp; NP'!DF497</f>
        <v>0</v>
      </c>
      <c r="Q19" s="116">
        <f>'P &amp; NP'!DU497</f>
        <v>0</v>
      </c>
      <c r="R19" s="116">
        <f>'P &amp; NP'!DV497</f>
        <v>0</v>
      </c>
      <c r="S19" s="116">
        <f>'P &amp; NP'!EK497</f>
        <v>0</v>
      </c>
      <c r="T19" s="116">
        <f>'P &amp; NP'!EL497</f>
        <v>0</v>
      </c>
      <c r="U19" s="116">
        <f>'P &amp; NP'!FA496</f>
        <v>0</v>
      </c>
      <c r="V19" s="116">
        <f>'P &amp; NP'!FB496</f>
        <v>0</v>
      </c>
      <c r="W19" s="116">
        <f>'P &amp; NP'!FQ497</f>
        <v>0</v>
      </c>
      <c r="X19" s="116">
        <f>'P &amp; NP'!FR497</f>
        <v>0</v>
      </c>
      <c r="Y19" s="116">
        <f>'P &amp; NP'!GG496</f>
        <v>0</v>
      </c>
      <c r="Z19" s="116">
        <f>'P &amp; NP'!GH496</f>
        <v>0</v>
      </c>
      <c r="AA19" s="116">
        <f>'P &amp; NP'!GW497</f>
        <v>0</v>
      </c>
      <c r="AB19" s="116">
        <f>'P &amp; NP'!GX497</f>
        <v>0</v>
      </c>
      <c r="AC19" s="116">
        <f>'P &amp; NP'!HM497</f>
        <v>0</v>
      </c>
      <c r="AD19" s="116">
        <f>'P &amp; NP'!HN497</f>
        <v>0</v>
      </c>
      <c r="AE19" s="116">
        <f>'P &amp; NP'!IC497</f>
        <v>0</v>
      </c>
      <c r="AF19" s="116">
        <f>'P &amp; NP'!ID497</f>
        <v>0</v>
      </c>
      <c r="AG19" s="116">
        <f>'P &amp; NP'!IS497</f>
        <v>0</v>
      </c>
      <c r="AH19" s="116">
        <f>'P &amp; NP'!IT497</f>
        <v>0</v>
      </c>
      <c r="AI19" s="116">
        <f>'P &amp; NP'!JI497</f>
        <v>0</v>
      </c>
      <c r="AJ19" s="116">
        <f>'P &amp; NP'!JJ497</f>
        <v>0</v>
      </c>
      <c r="AK19" s="116">
        <f>'P &amp; NP'!JY497</f>
        <v>0</v>
      </c>
      <c r="AL19" s="116">
        <f>'P &amp; NP'!JZ497</f>
        <v>0</v>
      </c>
      <c r="AM19" s="116">
        <f>'P &amp; NP'!KO497</f>
        <v>0</v>
      </c>
      <c r="AN19" s="116">
        <f>'P &amp; NP'!KP497</f>
        <v>0</v>
      </c>
      <c r="AO19" s="116">
        <f>'P &amp; NP'!LE497</f>
        <v>0</v>
      </c>
      <c r="AP19" s="116">
        <f>'P &amp; NP'!LF497</f>
        <v>0</v>
      </c>
      <c r="AQ19" s="116">
        <f>'P &amp; NP'!LU497</f>
        <v>0</v>
      </c>
      <c r="AR19" s="116">
        <f>'P &amp; NP'!LV497</f>
        <v>0</v>
      </c>
      <c r="AS19" s="116">
        <f>'P &amp; NP'!MK497</f>
        <v>0</v>
      </c>
      <c r="AT19" s="116">
        <f>'P &amp; NP'!ML497</f>
        <v>0</v>
      </c>
      <c r="AU19" s="116">
        <f>'P &amp; NP'!NA497</f>
        <v>0</v>
      </c>
      <c r="AV19" s="116">
        <f>'P &amp; NP'!NB497</f>
        <v>0</v>
      </c>
      <c r="AW19" s="116">
        <f>'P &amp; NP'!NQ496</f>
        <v>0</v>
      </c>
      <c r="AX19" s="116">
        <f>'P &amp; NP'!NR496</f>
        <v>0</v>
      </c>
      <c r="AY19" s="116">
        <f>'P &amp; NP'!OG497</f>
        <v>0</v>
      </c>
      <c r="AZ19" s="116">
        <f>'P &amp; NP'!OH497</f>
        <v>0</v>
      </c>
      <c r="BA19" s="116">
        <f>'P &amp; NP'!OW497</f>
        <v>0</v>
      </c>
      <c r="BB19" s="116">
        <f>'P &amp; NP'!OX497</f>
        <v>0</v>
      </c>
      <c r="BC19" s="116">
        <f>'P &amp; NP'!PM497</f>
        <v>0</v>
      </c>
      <c r="BD19" s="116">
        <f>'P &amp; NP'!PN497</f>
        <v>0</v>
      </c>
      <c r="BE19" s="116">
        <f>'P &amp; NP'!$QC496</f>
        <v>0</v>
      </c>
      <c r="BF19" s="116">
        <f>'P &amp; NP'!$QD496</f>
        <v>0</v>
      </c>
      <c r="BG19" s="116">
        <f>'P &amp; NP'!QS497</f>
        <v>0</v>
      </c>
      <c r="BH19" s="116">
        <f>'P &amp; NP'!QT497</f>
        <v>0</v>
      </c>
      <c r="BI19" s="116">
        <f>'P &amp; NP'!RI497</f>
        <v>0</v>
      </c>
      <c r="BJ19" s="116">
        <f>'P &amp; NP'!RJ497</f>
        <v>0</v>
      </c>
      <c r="BK19" s="116">
        <f>'P &amp; NP'!RY497</f>
        <v>0</v>
      </c>
      <c r="BL19" s="116">
        <f>'P &amp; NP'!RZ497</f>
        <v>0</v>
      </c>
      <c r="BM19" s="116">
        <f>'P &amp; NP'!SO497</f>
        <v>0</v>
      </c>
      <c r="BN19" s="116">
        <f>'P &amp; NP'!SP497</f>
        <v>0</v>
      </c>
      <c r="BO19" s="116">
        <f>'P &amp; NP'!TE497</f>
        <v>0</v>
      </c>
      <c r="BP19" s="116">
        <f>'P &amp; NP'!TF497</f>
        <v>0</v>
      </c>
      <c r="BQ19" s="116">
        <f>'P &amp; NP'!TU496</f>
        <v>0</v>
      </c>
      <c r="BR19" s="116">
        <f>'P &amp; NP'!TV496</f>
        <v>0</v>
      </c>
      <c r="BS19" s="116">
        <f>'P &amp; NP'!UK497</f>
        <v>0</v>
      </c>
      <c r="BT19" s="116">
        <f>'P &amp; NP'!UL497</f>
        <v>0</v>
      </c>
      <c r="BU19" s="116">
        <f>'P &amp; NP'!VA497</f>
        <v>0</v>
      </c>
      <c r="BV19" s="116">
        <f>'P &amp; NP'!VB497</f>
        <v>0</v>
      </c>
      <c r="BW19" s="116">
        <f>'P &amp; NP'!VQ497</f>
        <v>0</v>
      </c>
      <c r="BX19" s="116">
        <f>'P &amp; NP'!VR497</f>
        <v>0</v>
      </c>
      <c r="BY19" s="116">
        <f>'P &amp; NP'!WG497</f>
        <v>0</v>
      </c>
      <c r="BZ19" s="116">
        <f>'P &amp; NP'!WH497</f>
        <v>0</v>
      </c>
      <c r="CB19" s="206">
        <f t="shared" si="70"/>
        <v>0</v>
      </c>
      <c r="CC19" s="206">
        <f t="shared" si="71"/>
        <v>0</v>
      </c>
    </row>
    <row r="20" spans="2:81">
      <c r="B20" s="207" t="str">
        <f>'P &amp; NP'!B26</f>
        <v>Kerong Kerong</v>
      </c>
      <c r="C20" s="116">
        <f>'P &amp; NP'!M497</f>
        <v>0</v>
      </c>
      <c r="D20" s="116">
        <f>'P &amp; NP'!N497</f>
        <v>0</v>
      </c>
      <c r="E20" s="116">
        <f>'P &amp; NP'!AC497</f>
        <v>0</v>
      </c>
      <c r="F20" s="116">
        <f>'P &amp; NP'!AD497</f>
        <v>0</v>
      </c>
      <c r="G20" s="116">
        <f>'P &amp; NP'!AS497</f>
        <v>0</v>
      </c>
      <c r="H20" s="116">
        <f>'P &amp; NP'!AT497</f>
        <v>0</v>
      </c>
      <c r="I20" s="116">
        <f t="shared" si="69"/>
        <v>0</v>
      </c>
      <c r="J20" s="116">
        <f>'P &amp; NP'!BJ498</f>
        <v>0</v>
      </c>
      <c r="K20" s="116">
        <f>'P &amp; NP'!BY498</f>
        <v>0</v>
      </c>
      <c r="L20" s="116">
        <f>'P &amp; NP'!BZ498</f>
        <v>0</v>
      </c>
      <c r="M20" s="116">
        <f>'P &amp; NP'!CO498</f>
        <v>0</v>
      </c>
      <c r="N20" s="116">
        <f>'P &amp; NP'!CP498</f>
        <v>0</v>
      </c>
      <c r="O20" s="116">
        <f>'P &amp; NP'!DE498</f>
        <v>0</v>
      </c>
      <c r="P20" s="116">
        <f>'P &amp; NP'!DF498</f>
        <v>0</v>
      </c>
      <c r="Q20" s="116">
        <f>'P &amp; NP'!DU498</f>
        <v>0</v>
      </c>
      <c r="R20" s="116">
        <f>'P &amp; NP'!DV498</f>
        <v>0</v>
      </c>
      <c r="S20" s="116">
        <f>'P &amp; NP'!EK498</f>
        <v>0</v>
      </c>
      <c r="T20" s="116">
        <f>'P &amp; NP'!EL498</f>
        <v>0</v>
      </c>
      <c r="U20" s="116">
        <f>'P &amp; NP'!FA497</f>
        <v>0</v>
      </c>
      <c r="V20" s="116">
        <f>'P &amp; NP'!FB497</f>
        <v>0</v>
      </c>
      <c r="W20" s="116">
        <f>'P &amp; NP'!FQ498</f>
        <v>0</v>
      </c>
      <c r="X20" s="116">
        <f>'P &amp; NP'!FR498</f>
        <v>0</v>
      </c>
      <c r="Y20" s="116">
        <f>'P &amp; NP'!GG497</f>
        <v>0</v>
      </c>
      <c r="Z20" s="116">
        <f>'P &amp; NP'!GH497</f>
        <v>0</v>
      </c>
      <c r="AA20" s="116">
        <f>'P &amp; NP'!GW498</f>
        <v>0</v>
      </c>
      <c r="AB20" s="116">
        <f>'P &amp; NP'!GX498</f>
        <v>0</v>
      </c>
      <c r="AC20" s="116">
        <f>'P &amp; NP'!HM498</f>
        <v>0</v>
      </c>
      <c r="AD20" s="116">
        <f>'P &amp; NP'!HN498</f>
        <v>0</v>
      </c>
      <c r="AE20" s="116">
        <f>'P &amp; NP'!IC498</f>
        <v>0</v>
      </c>
      <c r="AF20" s="116">
        <f>'P &amp; NP'!ID498</f>
        <v>0</v>
      </c>
      <c r="AG20" s="116">
        <f>'P &amp; NP'!IS498</f>
        <v>0</v>
      </c>
      <c r="AH20" s="116">
        <f>'P &amp; NP'!IT498</f>
        <v>0</v>
      </c>
      <c r="AI20" s="116">
        <f>'P &amp; NP'!JI498</f>
        <v>0</v>
      </c>
      <c r="AJ20" s="116">
        <f>'P &amp; NP'!JJ498</f>
        <v>0</v>
      </c>
      <c r="AK20" s="116">
        <f>'P &amp; NP'!JY498</f>
        <v>0</v>
      </c>
      <c r="AL20" s="116">
        <f>'P &amp; NP'!JZ498</f>
        <v>0</v>
      </c>
      <c r="AM20" s="116">
        <f>'P &amp; NP'!KO498</f>
        <v>0</v>
      </c>
      <c r="AN20" s="116">
        <f>'P &amp; NP'!KP498</f>
        <v>0</v>
      </c>
      <c r="AO20" s="116">
        <f>'P &amp; NP'!LE498</f>
        <v>0</v>
      </c>
      <c r="AP20" s="116">
        <f>'P &amp; NP'!LF498</f>
        <v>0</v>
      </c>
      <c r="AQ20" s="116">
        <f>'P &amp; NP'!LU498</f>
        <v>0</v>
      </c>
      <c r="AR20" s="116">
        <f>'P &amp; NP'!LV498</f>
        <v>0</v>
      </c>
      <c r="AS20" s="116">
        <f>'P &amp; NP'!MK498</f>
        <v>0</v>
      </c>
      <c r="AT20" s="116">
        <f>'P &amp; NP'!ML498</f>
        <v>0</v>
      </c>
      <c r="AU20" s="116">
        <f>'P &amp; NP'!NA498</f>
        <v>0</v>
      </c>
      <c r="AV20" s="116">
        <f>'P &amp; NP'!NB498</f>
        <v>0</v>
      </c>
      <c r="AW20" s="116">
        <f>'P &amp; NP'!NQ497</f>
        <v>0</v>
      </c>
      <c r="AX20" s="116">
        <f>'P &amp; NP'!NR497</f>
        <v>0</v>
      </c>
      <c r="AY20" s="116">
        <f>'P &amp; NP'!OG498</f>
        <v>0</v>
      </c>
      <c r="AZ20" s="116">
        <f>'P &amp; NP'!OH498</f>
        <v>0</v>
      </c>
      <c r="BA20" s="116">
        <f>'P &amp; NP'!OW498</f>
        <v>0</v>
      </c>
      <c r="BB20" s="116">
        <f>'P &amp; NP'!OX498</f>
        <v>0</v>
      </c>
      <c r="BC20" s="116">
        <f>'P &amp; NP'!PM498</f>
        <v>0</v>
      </c>
      <c r="BD20" s="116">
        <f>'P &amp; NP'!PN498</f>
        <v>0</v>
      </c>
      <c r="BE20" s="116">
        <f>'P &amp; NP'!$QC497</f>
        <v>0</v>
      </c>
      <c r="BF20" s="116">
        <f>'P &amp; NP'!$QD497</f>
        <v>0</v>
      </c>
      <c r="BG20" s="116">
        <f>'P &amp; NP'!QS498</f>
        <v>0</v>
      </c>
      <c r="BH20" s="116">
        <f>'P &amp; NP'!QT498</f>
        <v>0</v>
      </c>
      <c r="BI20" s="116">
        <f>'P &amp; NP'!RI498</f>
        <v>0</v>
      </c>
      <c r="BJ20" s="116">
        <f>'P &amp; NP'!RJ498</f>
        <v>0</v>
      </c>
      <c r="BK20" s="116">
        <f>'P &amp; NP'!RY498</f>
        <v>0</v>
      </c>
      <c r="BL20" s="116">
        <f>'P &amp; NP'!RZ498</f>
        <v>0</v>
      </c>
      <c r="BM20" s="116">
        <f>'P &amp; NP'!SO498</f>
        <v>0</v>
      </c>
      <c r="BN20" s="116">
        <f>'P &amp; NP'!SP498</f>
        <v>0</v>
      </c>
      <c r="BO20" s="116">
        <f>'P &amp; NP'!TE498</f>
        <v>0</v>
      </c>
      <c r="BP20" s="116">
        <f>'P &amp; NP'!TF498</f>
        <v>0</v>
      </c>
      <c r="BQ20" s="116">
        <f>'P &amp; NP'!TU497</f>
        <v>0</v>
      </c>
      <c r="BR20" s="116">
        <f>'P &amp; NP'!TV497</f>
        <v>0</v>
      </c>
      <c r="BS20" s="116">
        <f>'P &amp; NP'!UK498</f>
        <v>0</v>
      </c>
      <c r="BT20" s="116">
        <f>'P &amp; NP'!UL498</f>
        <v>0</v>
      </c>
      <c r="BU20" s="116">
        <f>'P &amp; NP'!VA498</f>
        <v>0</v>
      </c>
      <c r="BV20" s="116">
        <f>'P &amp; NP'!VB498</f>
        <v>0</v>
      </c>
      <c r="BW20" s="116">
        <f>'P &amp; NP'!VQ498</f>
        <v>0</v>
      </c>
      <c r="BX20" s="116">
        <f>'P &amp; NP'!VR498</f>
        <v>0</v>
      </c>
      <c r="BY20" s="116">
        <f>'P &amp; NP'!WG498</f>
        <v>0</v>
      </c>
      <c r="BZ20" s="116">
        <f>'P &amp; NP'!WH498</f>
        <v>0</v>
      </c>
      <c r="CB20" s="206">
        <f t="shared" si="70"/>
        <v>0</v>
      </c>
      <c r="CC20" s="206">
        <f t="shared" si="71"/>
        <v>0</v>
      </c>
    </row>
    <row r="21" spans="2:81">
      <c r="B21" s="207" t="str">
        <f>'P &amp; NP'!B27</f>
        <v xml:space="preserve">Lele </v>
      </c>
      <c r="C21" s="116">
        <f>'P &amp; NP'!M498</f>
        <v>4600</v>
      </c>
      <c r="D21" s="116">
        <f>'P &amp; NP'!N498</f>
        <v>92000</v>
      </c>
      <c r="E21" s="116">
        <f>'P &amp; NP'!AC498</f>
        <v>0</v>
      </c>
      <c r="F21" s="116">
        <f>'P &amp; NP'!AD498</f>
        <v>0</v>
      </c>
      <c r="G21" s="116">
        <f>'P &amp; NP'!AS498</f>
        <v>0</v>
      </c>
      <c r="H21" s="116">
        <f>'P &amp; NP'!AT498</f>
        <v>0</v>
      </c>
      <c r="I21" s="116">
        <f t="shared" si="69"/>
        <v>0</v>
      </c>
      <c r="J21" s="116">
        <f>'P &amp; NP'!BJ499</f>
        <v>0</v>
      </c>
      <c r="K21" s="116">
        <f>'P &amp; NP'!BY499</f>
        <v>0</v>
      </c>
      <c r="L21" s="116">
        <f>'P &amp; NP'!BZ499</f>
        <v>0</v>
      </c>
      <c r="M21" s="116">
        <f>'P &amp; NP'!CO499</f>
        <v>0</v>
      </c>
      <c r="N21" s="116">
        <f>'P &amp; NP'!CP499</f>
        <v>0</v>
      </c>
      <c r="O21" s="116">
        <f>'P &amp; NP'!DE499</f>
        <v>0</v>
      </c>
      <c r="P21" s="116">
        <f>'P &amp; NP'!DF499</f>
        <v>0</v>
      </c>
      <c r="Q21" s="116">
        <f>'P &amp; NP'!DU499</f>
        <v>0</v>
      </c>
      <c r="R21" s="116">
        <f>'P &amp; NP'!DV499</f>
        <v>0</v>
      </c>
      <c r="S21" s="116">
        <f>'P &amp; NP'!EK499</f>
        <v>0</v>
      </c>
      <c r="T21" s="116">
        <f>'P &amp; NP'!EL499</f>
        <v>0</v>
      </c>
      <c r="U21" s="116">
        <f>'P &amp; NP'!FA498</f>
        <v>74030</v>
      </c>
      <c r="V21" s="116">
        <f>'P &amp; NP'!FB498</f>
        <v>1375104</v>
      </c>
      <c r="W21" s="116">
        <f>'P &amp; NP'!FQ499</f>
        <v>0</v>
      </c>
      <c r="X21" s="116">
        <f>'P &amp; NP'!FR499</f>
        <v>0</v>
      </c>
      <c r="Y21" s="116">
        <f>'P &amp; NP'!GG498</f>
        <v>0</v>
      </c>
      <c r="Z21" s="116">
        <f>'P &amp; NP'!GH498</f>
        <v>0</v>
      </c>
      <c r="AA21" s="116">
        <f>'P &amp; NP'!GW499</f>
        <v>0</v>
      </c>
      <c r="AB21" s="116">
        <f>'P &amp; NP'!GX499</f>
        <v>0</v>
      </c>
      <c r="AC21" s="116">
        <f>'P &amp; NP'!HM499</f>
        <v>0</v>
      </c>
      <c r="AD21" s="116">
        <f>'P &amp; NP'!HN499</f>
        <v>0</v>
      </c>
      <c r="AE21" s="116">
        <f>'P &amp; NP'!IC499</f>
        <v>0</v>
      </c>
      <c r="AF21" s="116">
        <f>'P &amp; NP'!ID499</f>
        <v>0</v>
      </c>
      <c r="AG21" s="116">
        <f>'P &amp; NP'!IS499</f>
        <v>0</v>
      </c>
      <c r="AH21" s="116">
        <f>'P &amp; NP'!IT499</f>
        <v>0</v>
      </c>
      <c r="AI21" s="116">
        <f>'P &amp; NP'!JI499</f>
        <v>0</v>
      </c>
      <c r="AJ21" s="116">
        <f>'P &amp; NP'!JJ499</f>
        <v>0</v>
      </c>
      <c r="AK21" s="116">
        <f>'P &amp; NP'!JY499</f>
        <v>0</v>
      </c>
      <c r="AL21" s="116">
        <f>'P &amp; NP'!JZ499</f>
        <v>0</v>
      </c>
      <c r="AM21" s="116">
        <f>'P &amp; NP'!KO499</f>
        <v>0</v>
      </c>
      <c r="AN21" s="116">
        <f>'P &amp; NP'!KP499</f>
        <v>0</v>
      </c>
      <c r="AO21" s="116">
        <f>'P &amp; NP'!LE499</f>
        <v>0</v>
      </c>
      <c r="AP21" s="116">
        <f>'P &amp; NP'!LF499</f>
        <v>0</v>
      </c>
      <c r="AQ21" s="116">
        <f>'P &amp; NP'!LU499</f>
        <v>0</v>
      </c>
      <c r="AR21" s="116">
        <f>'P &amp; NP'!LV499</f>
        <v>0</v>
      </c>
      <c r="AS21" s="116">
        <f>'P &amp; NP'!MK499</f>
        <v>0</v>
      </c>
      <c r="AT21" s="116">
        <f>'P &amp; NP'!ML499</f>
        <v>0</v>
      </c>
      <c r="AU21" s="116">
        <f>'P &amp; NP'!NA499</f>
        <v>0</v>
      </c>
      <c r="AV21" s="116">
        <f>'P &amp; NP'!NB499</f>
        <v>0</v>
      </c>
      <c r="AW21" s="116">
        <f>'P &amp; NP'!NQ498</f>
        <v>8530</v>
      </c>
      <c r="AX21" s="116">
        <f>'P &amp; NP'!NR498</f>
        <v>136480</v>
      </c>
      <c r="AY21" s="116">
        <f>'P &amp; NP'!OG499</f>
        <v>0</v>
      </c>
      <c r="AZ21" s="116">
        <f>'P &amp; NP'!OH499</f>
        <v>0</v>
      </c>
      <c r="BA21" s="116">
        <f>'P &amp; NP'!OW499</f>
        <v>0</v>
      </c>
      <c r="BB21" s="116">
        <f>'P &amp; NP'!OX499</f>
        <v>0</v>
      </c>
      <c r="BC21" s="116">
        <f>'P &amp; NP'!PM499</f>
        <v>0</v>
      </c>
      <c r="BD21" s="116">
        <f>'P &amp; NP'!PN499</f>
        <v>0</v>
      </c>
      <c r="BE21" s="116">
        <f>'P &amp; NP'!$QC498</f>
        <v>2681230</v>
      </c>
      <c r="BF21" s="116">
        <f>'P &amp; NP'!$QD498</f>
        <v>49645420</v>
      </c>
      <c r="BG21" s="116">
        <f>'P &amp; NP'!QS499</f>
        <v>0</v>
      </c>
      <c r="BH21" s="116">
        <f>'P &amp; NP'!QT499</f>
        <v>0</v>
      </c>
      <c r="BI21" s="116">
        <f>'P &amp; NP'!RI499</f>
        <v>0</v>
      </c>
      <c r="BJ21" s="116">
        <f>'P &amp; NP'!RJ499</f>
        <v>0</v>
      </c>
      <c r="BK21" s="116">
        <f>'P &amp; NP'!RY499</f>
        <v>0</v>
      </c>
      <c r="BL21" s="116">
        <f>'P &amp; NP'!RZ499</f>
        <v>0</v>
      </c>
      <c r="BM21" s="116">
        <f>'P &amp; NP'!SO499</f>
        <v>0</v>
      </c>
      <c r="BN21" s="116">
        <f>'P &amp; NP'!SP499</f>
        <v>0</v>
      </c>
      <c r="BO21" s="116">
        <f>'P &amp; NP'!TE499</f>
        <v>0</v>
      </c>
      <c r="BP21" s="116">
        <f>'P &amp; NP'!TF499</f>
        <v>0</v>
      </c>
      <c r="BQ21" s="116">
        <f>'P &amp; NP'!TU498</f>
        <v>0</v>
      </c>
      <c r="BR21" s="116">
        <f>'P &amp; NP'!TV498</f>
        <v>0</v>
      </c>
      <c r="BS21" s="116">
        <f>'P &amp; NP'!UK499</f>
        <v>0</v>
      </c>
      <c r="BT21" s="116">
        <f>'P &amp; NP'!UL499</f>
        <v>0</v>
      </c>
      <c r="BU21" s="116">
        <f>'P &amp; NP'!VA499</f>
        <v>0</v>
      </c>
      <c r="BV21" s="116">
        <f>'P &amp; NP'!VB499</f>
        <v>0</v>
      </c>
      <c r="BW21" s="116">
        <f>'P &amp; NP'!VQ499</f>
        <v>0</v>
      </c>
      <c r="BX21" s="116">
        <f>'P &amp; NP'!VR499</f>
        <v>0</v>
      </c>
      <c r="BY21" s="116">
        <f>'P &amp; NP'!WG499</f>
        <v>0</v>
      </c>
      <c r="BZ21" s="116">
        <f>'P &amp; NP'!WH499</f>
        <v>0</v>
      </c>
      <c r="CB21" s="206">
        <f t="shared" si="70"/>
        <v>2768390</v>
      </c>
      <c r="CC21" s="206">
        <f t="shared" si="71"/>
        <v>51249004</v>
      </c>
    </row>
    <row r="22" spans="2:81">
      <c r="B22" s="207" t="str">
        <f>'P &amp; NP'!B28</f>
        <v xml:space="preserve">Lobster Air Laut </v>
      </c>
      <c r="C22" s="116">
        <f>'P &amp; NP'!M499</f>
        <v>0</v>
      </c>
      <c r="D22" s="116">
        <f>'P &amp; NP'!N499</f>
        <v>0</v>
      </c>
      <c r="E22" s="116">
        <f>'P &amp; NP'!AC499</f>
        <v>0</v>
      </c>
      <c r="F22" s="116">
        <f>'P &amp; NP'!AD499</f>
        <v>0</v>
      </c>
      <c r="G22" s="116">
        <f>'P &amp; NP'!AS499</f>
        <v>0</v>
      </c>
      <c r="H22" s="116">
        <f>'P &amp; NP'!AT499</f>
        <v>0</v>
      </c>
      <c r="I22" s="116">
        <f t="shared" si="69"/>
        <v>0</v>
      </c>
      <c r="J22" s="116">
        <f>'P &amp; NP'!BJ500</f>
        <v>0</v>
      </c>
      <c r="K22" s="116">
        <f>'P &amp; NP'!BY500</f>
        <v>0</v>
      </c>
      <c r="L22" s="116">
        <f>'P &amp; NP'!BZ500</f>
        <v>0</v>
      </c>
      <c r="M22" s="116">
        <f>'P &amp; NP'!CO500</f>
        <v>0</v>
      </c>
      <c r="N22" s="116">
        <f>'P &amp; NP'!CP500</f>
        <v>0</v>
      </c>
      <c r="O22" s="116">
        <f>'P &amp; NP'!DE500</f>
        <v>0</v>
      </c>
      <c r="P22" s="116">
        <f>'P &amp; NP'!DF500</f>
        <v>0</v>
      </c>
      <c r="Q22" s="116">
        <f>'P &amp; NP'!DU500</f>
        <v>0</v>
      </c>
      <c r="R22" s="116">
        <f>'P &amp; NP'!DV500</f>
        <v>0</v>
      </c>
      <c r="S22" s="116">
        <f>'P &amp; NP'!EK500</f>
        <v>0</v>
      </c>
      <c r="T22" s="116">
        <f>'P &amp; NP'!EL500</f>
        <v>0</v>
      </c>
      <c r="U22" s="116">
        <f>'P &amp; NP'!FA499</f>
        <v>0</v>
      </c>
      <c r="V22" s="116">
        <f>'P &amp; NP'!FB499</f>
        <v>0</v>
      </c>
      <c r="W22" s="116">
        <f>'P &amp; NP'!FQ500</f>
        <v>0</v>
      </c>
      <c r="X22" s="116">
        <f>'P &amp; NP'!FR500</f>
        <v>0</v>
      </c>
      <c r="Y22" s="116">
        <f>'P &amp; NP'!GG499</f>
        <v>0</v>
      </c>
      <c r="Z22" s="116">
        <f>'P &amp; NP'!GH499</f>
        <v>0</v>
      </c>
      <c r="AA22" s="116">
        <f>'P &amp; NP'!GW500</f>
        <v>0</v>
      </c>
      <c r="AB22" s="116">
        <f>'P &amp; NP'!GX500</f>
        <v>0</v>
      </c>
      <c r="AC22" s="116">
        <f>'P &amp; NP'!HM500</f>
        <v>0</v>
      </c>
      <c r="AD22" s="116">
        <f>'P &amp; NP'!HN500</f>
        <v>0</v>
      </c>
      <c r="AE22" s="116">
        <f>'P &amp; NP'!IC500</f>
        <v>0</v>
      </c>
      <c r="AF22" s="116">
        <f>'P &amp; NP'!ID500</f>
        <v>0</v>
      </c>
      <c r="AG22" s="116">
        <f>'P &amp; NP'!IS500</f>
        <v>0</v>
      </c>
      <c r="AH22" s="116">
        <f>'P &amp; NP'!IT500</f>
        <v>0</v>
      </c>
      <c r="AI22" s="116">
        <f>'P &amp; NP'!JI500</f>
        <v>0</v>
      </c>
      <c r="AJ22" s="116">
        <f>'P &amp; NP'!JJ500</f>
        <v>0</v>
      </c>
      <c r="AK22" s="116">
        <f>'P &amp; NP'!JY500</f>
        <v>0</v>
      </c>
      <c r="AL22" s="116">
        <f>'P &amp; NP'!JZ500</f>
        <v>0</v>
      </c>
      <c r="AM22" s="116">
        <f>'P &amp; NP'!KO500</f>
        <v>0</v>
      </c>
      <c r="AN22" s="116">
        <f>'P &amp; NP'!KP500</f>
        <v>0</v>
      </c>
      <c r="AO22" s="116">
        <f>'P &amp; NP'!LE500</f>
        <v>0</v>
      </c>
      <c r="AP22" s="116">
        <f>'P &amp; NP'!LF500</f>
        <v>0</v>
      </c>
      <c r="AQ22" s="116">
        <f>'P &amp; NP'!LU500</f>
        <v>0</v>
      </c>
      <c r="AR22" s="116">
        <f>'P &amp; NP'!LV500</f>
        <v>0</v>
      </c>
      <c r="AS22" s="116">
        <f>'P &amp; NP'!MK500</f>
        <v>0</v>
      </c>
      <c r="AT22" s="116">
        <f>'P &amp; NP'!ML500</f>
        <v>0</v>
      </c>
      <c r="AU22" s="116">
        <f>'P &amp; NP'!NA500</f>
        <v>0</v>
      </c>
      <c r="AV22" s="116">
        <f>'P &amp; NP'!NB500</f>
        <v>0</v>
      </c>
      <c r="AW22" s="116">
        <f>'P &amp; NP'!NQ499</f>
        <v>0</v>
      </c>
      <c r="AX22" s="116">
        <f>'P &amp; NP'!NR499</f>
        <v>0</v>
      </c>
      <c r="AY22" s="116">
        <f>'P &amp; NP'!OG500</f>
        <v>0</v>
      </c>
      <c r="AZ22" s="116">
        <f>'P &amp; NP'!OH500</f>
        <v>0</v>
      </c>
      <c r="BA22" s="116">
        <f>'P &amp; NP'!OW500</f>
        <v>0</v>
      </c>
      <c r="BB22" s="116">
        <f>'P &amp; NP'!OX500</f>
        <v>0</v>
      </c>
      <c r="BC22" s="116">
        <f>'P &amp; NP'!PM500</f>
        <v>0</v>
      </c>
      <c r="BD22" s="116">
        <f>'P &amp; NP'!PN500</f>
        <v>0</v>
      </c>
      <c r="BE22" s="116">
        <f>'P &amp; NP'!$QC499</f>
        <v>0</v>
      </c>
      <c r="BF22" s="116">
        <f>'P &amp; NP'!$QD499</f>
        <v>0</v>
      </c>
      <c r="BG22" s="116">
        <f>'P &amp; NP'!QS500</f>
        <v>0</v>
      </c>
      <c r="BH22" s="116">
        <f>'P &amp; NP'!QT500</f>
        <v>0</v>
      </c>
      <c r="BI22" s="116">
        <f>'P &amp; NP'!RI500</f>
        <v>0</v>
      </c>
      <c r="BJ22" s="116">
        <f>'P &amp; NP'!RJ500</f>
        <v>0</v>
      </c>
      <c r="BK22" s="116">
        <f>'P &amp; NP'!RY500</f>
        <v>0</v>
      </c>
      <c r="BL22" s="116">
        <f>'P &amp; NP'!RZ500</f>
        <v>0</v>
      </c>
      <c r="BM22" s="116">
        <f>'P &amp; NP'!SO500</f>
        <v>0</v>
      </c>
      <c r="BN22" s="116">
        <f>'P &amp; NP'!SP500</f>
        <v>0</v>
      </c>
      <c r="BO22" s="116">
        <f>'P &amp; NP'!TE500</f>
        <v>0</v>
      </c>
      <c r="BP22" s="116">
        <f>'P &amp; NP'!TF500</f>
        <v>0</v>
      </c>
      <c r="BQ22" s="116">
        <f>'P &amp; NP'!TU499</f>
        <v>0</v>
      </c>
      <c r="BR22" s="116">
        <f>'P &amp; NP'!TV499</f>
        <v>0</v>
      </c>
      <c r="BS22" s="116">
        <f>'P &amp; NP'!UK500</f>
        <v>0</v>
      </c>
      <c r="BT22" s="116">
        <f>'P &amp; NP'!UL500</f>
        <v>0</v>
      </c>
      <c r="BU22" s="116">
        <f>'P &amp; NP'!VA500</f>
        <v>0</v>
      </c>
      <c r="BV22" s="116">
        <f>'P &amp; NP'!VB500</f>
        <v>0</v>
      </c>
      <c r="BW22" s="116">
        <f>'P &amp; NP'!VQ500</f>
        <v>0</v>
      </c>
      <c r="BX22" s="116">
        <f>'P &amp; NP'!VR500</f>
        <v>0</v>
      </c>
      <c r="BY22" s="116">
        <f>'P &amp; NP'!WG500</f>
        <v>0</v>
      </c>
      <c r="BZ22" s="116">
        <f>'P &amp; NP'!WH500</f>
        <v>0</v>
      </c>
      <c r="CB22" s="206">
        <f t="shared" si="70"/>
        <v>0</v>
      </c>
      <c r="CC22" s="206">
        <f t="shared" si="71"/>
        <v>0</v>
      </c>
    </row>
    <row r="23" spans="2:81">
      <c r="B23" s="207" t="str">
        <f>'P &amp; NP'!B29</f>
        <v xml:space="preserve">Lobster Air Tawar, Cherax </v>
      </c>
      <c r="C23" s="116">
        <f>'P &amp; NP'!M500</f>
        <v>0</v>
      </c>
      <c r="D23" s="116">
        <f>'P &amp; NP'!N500</f>
        <v>0</v>
      </c>
      <c r="E23" s="116">
        <f>'P &amp; NP'!AC500</f>
        <v>0</v>
      </c>
      <c r="F23" s="116">
        <f>'P &amp; NP'!AD500</f>
        <v>0</v>
      </c>
      <c r="G23" s="116">
        <f>'P &amp; NP'!AS500</f>
        <v>0</v>
      </c>
      <c r="H23" s="116">
        <f>'P &amp; NP'!AT500</f>
        <v>0</v>
      </c>
      <c r="I23" s="116">
        <f t="shared" si="69"/>
        <v>0</v>
      </c>
      <c r="J23" s="116">
        <f>'P &amp; NP'!BJ501</f>
        <v>0</v>
      </c>
      <c r="K23" s="116">
        <f>'P &amp; NP'!BY501</f>
        <v>0</v>
      </c>
      <c r="L23" s="116">
        <f>'P &amp; NP'!BZ501</f>
        <v>0</v>
      </c>
      <c r="M23" s="116">
        <f>'P &amp; NP'!CO501</f>
        <v>0</v>
      </c>
      <c r="N23" s="116">
        <f>'P &amp; NP'!CP501</f>
        <v>0</v>
      </c>
      <c r="O23" s="116">
        <f>'P &amp; NP'!DE501</f>
        <v>0</v>
      </c>
      <c r="P23" s="116">
        <f>'P &amp; NP'!DF501</f>
        <v>0</v>
      </c>
      <c r="Q23" s="116">
        <f>'P &amp; NP'!DU501</f>
        <v>0</v>
      </c>
      <c r="R23" s="116">
        <f>'P &amp; NP'!DV501</f>
        <v>0</v>
      </c>
      <c r="S23" s="116">
        <f>'P &amp; NP'!EK501</f>
        <v>0</v>
      </c>
      <c r="T23" s="116">
        <f>'P &amp; NP'!EL501</f>
        <v>0</v>
      </c>
      <c r="U23" s="116">
        <f>'P &amp; NP'!FA500</f>
        <v>0</v>
      </c>
      <c r="V23" s="116">
        <f>'P &amp; NP'!FB500</f>
        <v>0</v>
      </c>
      <c r="W23" s="116">
        <f>'P &amp; NP'!FQ501</f>
        <v>0</v>
      </c>
      <c r="X23" s="116">
        <f>'P &amp; NP'!FR501</f>
        <v>0</v>
      </c>
      <c r="Y23" s="116">
        <f>'P &amp; NP'!GG500</f>
        <v>0</v>
      </c>
      <c r="Z23" s="116">
        <f>'P &amp; NP'!GH500</f>
        <v>0</v>
      </c>
      <c r="AA23" s="116">
        <f>'P &amp; NP'!GW501</f>
        <v>0</v>
      </c>
      <c r="AB23" s="116">
        <f>'P &amp; NP'!GX501</f>
        <v>0</v>
      </c>
      <c r="AC23" s="116">
        <f>'P &amp; NP'!HM501</f>
        <v>0</v>
      </c>
      <c r="AD23" s="116">
        <f>'P &amp; NP'!HN501</f>
        <v>0</v>
      </c>
      <c r="AE23" s="116">
        <f>'P &amp; NP'!IC501</f>
        <v>0</v>
      </c>
      <c r="AF23" s="116">
        <f>'P &amp; NP'!ID501</f>
        <v>0</v>
      </c>
      <c r="AG23" s="116">
        <f>'P &amp; NP'!IS501</f>
        <v>0</v>
      </c>
      <c r="AH23" s="116">
        <f>'P &amp; NP'!IT501</f>
        <v>0</v>
      </c>
      <c r="AI23" s="116">
        <f>'P &amp; NP'!JI501</f>
        <v>0</v>
      </c>
      <c r="AJ23" s="116">
        <f>'P &amp; NP'!JJ501</f>
        <v>0</v>
      </c>
      <c r="AK23" s="116">
        <f>'P &amp; NP'!JY501</f>
        <v>0</v>
      </c>
      <c r="AL23" s="116">
        <f>'P &amp; NP'!JZ501</f>
        <v>0</v>
      </c>
      <c r="AM23" s="116">
        <f>'P &amp; NP'!KO501</f>
        <v>0</v>
      </c>
      <c r="AN23" s="116">
        <f>'P &amp; NP'!KP501</f>
        <v>0</v>
      </c>
      <c r="AO23" s="116">
        <f>'P &amp; NP'!LE501</f>
        <v>0</v>
      </c>
      <c r="AP23" s="116">
        <f>'P &amp; NP'!LF501</f>
        <v>0</v>
      </c>
      <c r="AQ23" s="116">
        <f>'P &amp; NP'!LU501</f>
        <v>0</v>
      </c>
      <c r="AR23" s="116">
        <f>'P &amp; NP'!LV501</f>
        <v>0</v>
      </c>
      <c r="AS23" s="116">
        <f>'P &amp; NP'!MK501</f>
        <v>0</v>
      </c>
      <c r="AT23" s="116">
        <f>'P &amp; NP'!ML501</f>
        <v>0</v>
      </c>
      <c r="AU23" s="116">
        <f>'P &amp; NP'!NA501</f>
        <v>0</v>
      </c>
      <c r="AV23" s="116">
        <f>'P &amp; NP'!NB501</f>
        <v>0</v>
      </c>
      <c r="AW23" s="116">
        <f>'P &amp; NP'!NQ500</f>
        <v>0</v>
      </c>
      <c r="AX23" s="116">
        <f>'P &amp; NP'!NR500</f>
        <v>0</v>
      </c>
      <c r="AY23" s="116">
        <f>'P &amp; NP'!OG501</f>
        <v>0</v>
      </c>
      <c r="AZ23" s="116">
        <f>'P &amp; NP'!OH501</f>
        <v>0</v>
      </c>
      <c r="BA23" s="116">
        <f>'P &amp; NP'!OW501</f>
        <v>0</v>
      </c>
      <c r="BB23" s="116">
        <f>'P &amp; NP'!OX501</f>
        <v>0</v>
      </c>
      <c r="BC23" s="116">
        <f>'P &amp; NP'!PM501</f>
        <v>0</v>
      </c>
      <c r="BD23" s="116">
        <f>'P &amp; NP'!PN501</f>
        <v>0</v>
      </c>
      <c r="BE23" s="116">
        <f>'P &amp; NP'!$QC500</f>
        <v>0</v>
      </c>
      <c r="BF23" s="116">
        <f>'P &amp; NP'!$QD500</f>
        <v>0</v>
      </c>
      <c r="BG23" s="116">
        <f>'P &amp; NP'!QS501</f>
        <v>0</v>
      </c>
      <c r="BH23" s="116">
        <f>'P &amp; NP'!QT501</f>
        <v>0</v>
      </c>
      <c r="BI23" s="116">
        <f>'P &amp; NP'!RI501</f>
        <v>0</v>
      </c>
      <c r="BJ23" s="116">
        <f>'P &amp; NP'!RJ501</f>
        <v>0</v>
      </c>
      <c r="BK23" s="116">
        <f>'P &amp; NP'!RY501</f>
        <v>0</v>
      </c>
      <c r="BL23" s="116">
        <f>'P &amp; NP'!RZ501</f>
        <v>0</v>
      </c>
      <c r="BM23" s="116">
        <f>'P &amp; NP'!SO501</f>
        <v>0</v>
      </c>
      <c r="BN23" s="116">
        <f>'P &amp; NP'!SP501</f>
        <v>0</v>
      </c>
      <c r="BO23" s="116">
        <f>'P &amp; NP'!TE501</f>
        <v>0</v>
      </c>
      <c r="BP23" s="116">
        <f>'P &amp; NP'!TF501</f>
        <v>0</v>
      </c>
      <c r="BQ23" s="116">
        <f>'P &amp; NP'!TU500</f>
        <v>0</v>
      </c>
      <c r="BR23" s="116">
        <f>'P &amp; NP'!TV500</f>
        <v>0</v>
      </c>
      <c r="BS23" s="116">
        <f>'P &amp; NP'!UK501</f>
        <v>0</v>
      </c>
      <c r="BT23" s="116">
        <f>'P &amp; NP'!UL501</f>
        <v>0</v>
      </c>
      <c r="BU23" s="116">
        <f>'P &amp; NP'!VA501</f>
        <v>0</v>
      </c>
      <c r="BV23" s="116">
        <f>'P &amp; NP'!VB501</f>
        <v>0</v>
      </c>
      <c r="BW23" s="116">
        <f>'P &amp; NP'!VQ501</f>
        <v>0</v>
      </c>
      <c r="BX23" s="116">
        <f>'P &amp; NP'!VR501</f>
        <v>0</v>
      </c>
      <c r="BY23" s="116">
        <f>'P &amp; NP'!WG501</f>
        <v>0</v>
      </c>
      <c r="BZ23" s="116">
        <f>'P &amp; NP'!WH501</f>
        <v>0</v>
      </c>
      <c r="CB23" s="206">
        <f t="shared" si="70"/>
        <v>0</v>
      </c>
      <c r="CC23" s="206">
        <f t="shared" si="71"/>
        <v>0</v>
      </c>
    </row>
    <row r="24" spans="2:81">
      <c r="B24" s="207" t="str">
        <f>'P &amp; NP'!B30</f>
        <v xml:space="preserve">Mas, Ikan Mas, Karper </v>
      </c>
      <c r="C24" s="116">
        <f>'P &amp; NP'!M501</f>
        <v>0</v>
      </c>
      <c r="D24" s="116">
        <f>'P &amp; NP'!N501</f>
        <v>0</v>
      </c>
      <c r="E24" s="116">
        <f>'P &amp; NP'!AC501</f>
        <v>24085</v>
      </c>
      <c r="F24" s="116">
        <f>'P &amp; NP'!AD501</f>
        <v>842975</v>
      </c>
      <c r="G24" s="116">
        <f>'P &amp; NP'!AS501</f>
        <v>0</v>
      </c>
      <c r="H24" s="116">
        <f>'P &amp; NP'!AT501</f>
        <v>0</v>
      </c>
      <c r="I24" s="116">
        <f t="shared" si="69"/>
        <v>0</v>
      </c>
      <c r="J24" s="116">
        <f>'P &amp; NP'!BJ502</f>
        <v>0</v>
      </c>
      <c r="K24" s="116">
        <f>'P &amp; NP'!BY502</f>
        <v>0</v>
      </c>
      <c r="L24" s="116">
        <f>'P &amp; NP'!BZ502</f>
        <v>0</v>
      </c>
      <c r="M24" s="116">
        <f>'P &amp; NP'!CO502</f>
        <v>0</v>
      </c>
      <c r="N24" s="116">
        <f>'P &amp; NP'!CP502</f>
        <v>0</v>
      </c>
      <c r="O24" s="116">
        <f>'P &amp; NP'!DE502</f>
        <v>0</v>
      </c>
      <c r="P24" s="116">
        <f>'P &amp; NP'!DF502</f>
        <v>0</v>
      </c>
      <c r="Q24" s="116">
        <f>'P &amp; NP'!DU502</f>
        <v>0</v>
      </c>
      <c r="R24" s="116">
        <f>'P &amp; NP'!DV502</f>
        <v>0</v>
      </c>
      <c r="S24" s="116">
        <f>'P &amp; NP'!EK502</f>
        <v>0</v>
      </c>
      <c r="T24" s="116">
        <f>'P &amp; NP'!EL502</f>
        <v>0</v>
      </c>
      <c r="U24" s="116">
        <f>'P &amp; NP'!FA501</f>
        <v>0</v>
      </c>
      <c r="V24" s="116">
        <f>'P &amp; NP'!FB501</f>
        <v>0</v>
      </c>
      <c r="W24" s="116">
        <f>'P &amp; NP'!FQ502</f>
        <v>0</v>
      </c>
      <c r="X24" s="116">
        <f>'P &amp; NP'!FR502</f>
        <v>0</v>
      </c>
      <c r="Y24" s="116">
        <f>'P &amp; NP'!GG501</f>
        <v>0</v>
      </c>
      <c r="Z24" s="116">
        <f>'P &amp; NP'!GH501</f>
        <v>0</v>
      </c>
      <c r="AA24" s="116">
        <f>'P &amp; NP'!GW502</f>
        <v>0</v>
      </c>
      <c r="AB24" s="116">
        <f>'P &amp; NP'!GX502</f>
        <v>0</v>
      </c>
      <c r="AC24" s="116">
        <f>'P &amp; NP'!HM502</f>
        <v>0</v>
      </c>
      <c r="AD24" s="116">
        <f>'P &amp; NP'!HN502</f>
        <v>0</v>
      </c>
      <c r="AE24" s="116">
        <f>'P &amp; NP'!IC502</f>
        <v>0</v>
      </c>
      <c r="AF24" s="116">
        <f>'P &amp; NP'!ID502</f>
        <v>0</v>
      </c>
      <c r="AG24" s="116">
        <f>'P &amp; NP'!IS502</f>
        <v>0</v>
      </c>
      <c r="AH24" s="116">
        <f>'P &amp; NP'!IT502</f>
        <v>0</v>
      </c>
      <c r="AI24" s="116">
        <f>'P &amp; NP'!JI502</f>
        <v>0</v>
      </c>
      <c r="AJ24" s="116">
        <f>'P &amp; NP'!JJ502</f>
        <v>0</v>
      </c>
      <c r="AK24" s="116">
        <f>'P &amp; NP'!JY502</f>
        <v>0</v>
      </c>
      <c r="AL24" s="116">
        <f>'P &amp; NP'!JZ502</f>
        <v>0</v>
      </c>
      <c r="AM24" s="116">
        <f>'P &amp; NP'!KO502</f>
        <v>0</v>
      </c>
      <c r="AN24" s="116">
        <f>'P &amp; NP'!KP502</f>
        <v>0</v>
      </c>
      <c r="AO24" s="116">
        <f>'P &amp; NP'!LE502</f>
        <v>0</v>
      </c>
      <c r="AP24" s="116">
        <f>'P &amp; NP'!LF502</f>
        <v>0</v>
      </c>
      <c r="AQ24" s="116">
        <f>'P &amp; NP'!LU502</f>
        <v>0</v>
      </c>
      <c r="AR24" s="116">
        <f>'P &amp; NP'!LV502</f>
        <v>0</v>
      </c>
      <c r="AS24" s="116">
        <f>'P &amp; NP'!MK502</f>
        <v>0</v>
      </c>
      <c r="AT24" s="116">
        <f>'P &amp; NP'!ML502</f>
        <v>0</v>
      </c>
      <c r="AU24" s="116">
        <f>'P &amp; NP'!NA502</f>
        <v>0</v>
      </c>
      <c r="AV24" s="116">
        <f>'P &amp; NP'!NB502</f>
        <v>0</v>
      </c>
      <c r="AW24" s="116">
        <f>'P &amp; NP'!NQ501</f>
        <v>0</v>
      </c>
      <c r="AX24" s="116">
        <f>'P &amp; NP'!NR501</f>
        <v>0</v>
      </c>
      <c r="AY24" s="116">
        <f>'P &amp; NP'!OG502</f>
        <v>0</v>
      </c>
      <c r="AZ24" s="116">
        <f>'P &amp; NP'!OH502</f>
        <v>0</v>
      </c>
      <c r="BA24" s="116">
        <f>'P &amp; NP'!OW502</f>
        <v>0</v>
      </c>
      <c r="BB24" s="116">
        <f>'P &amp; NP'!OX502</f>
        <v>0</v>
      </c>
      <c r="BC24" s="116">
        <f>'P &amp; NP'!PM502</f>
        <v>0</v>
      </c>
      <c r="BD24" s="116">
        <f>'P &amp; NP'!PN502</f>
        <v>0</v>
      </c>
      <c r="BE24" s="116">
        <f>'P &amp; NP'!$QC501</f>
        <v>1416580</v>
      </c>
      <c r="BF24" s="116">
        <f>'P &amp; NP'!$QD501</f>
        <v>25498440</v>
      </c>
      <c r="BG24" s="116">
        <f>'P &amp; NP'!QS502</f>
        <v>0</v>
      </c>
      <c r="BH24" s="116">
        <f>'P &amp; NP'!QT502</f>
        <v>0</v>
      </c>
      <c r="BI24" s="116">
        <f>'P &amp; NP'!RI502</f>
        <v>0</v>
      </c>
      <c r="BJ24" s="116">
        <f>'P &amp; NP'!RJ502</f>
        <v>0</v>
      </c>
      <c r="BK24" s="116">
        <f>'P &amp; NP'!RY502</f>
        <v>0</v>
      </c>
      <c r="BL24" s="116">
        <f>'P &amp; NP'!RZ502</f>
        <v>0</v>
      </c>
      <c r="BM24" s="116">
        <f>'P &amp; NP'!SO502</f>
        <v>0</v>
      </c>
      <c r="BN24" s="116">
        <f>'P &amp; NP'!SP502</f>
        <v>0</v>
      </c>
      <c r="BO24" s="116">
        <f>'P &amp; NP'!TE502</f>
        <v>0</v>
      </c>
      <c r="BP24" s="116">
        <f>'P &amp; NP'!TF502</f>
        <v>0</v>
      </c>
      <c r="BQ24" s="116">
        <f>'P &amp; NP'!TU501</f>
        <v>7650</v>
      </c>
      <c r="BR24" s="116">
        <f>'P &amp; NP'!TV501</f>
        <v>267750</v>
      </c>
      <c r="BS24" s="116">
        <f>'P &amp; NP'!UK502</f>
        <v>0</v>
      </c>
      <c r="BT24" s="116">
        <f>'P &amp; NP'!UL502</f>
        <v>0</v>
      </c>
      <c r="BU24" s="116">
        <f>'P &amp; NP'!VA502</f>
        <v>0</v>
      </c>
      <c r="BV24" s="116">
        <f>'P &amp; NP'!VB502</f>
        <v>0</v>
      </c>
      <c r="BW24" s="116">
        <f>'P &amp; NP'!VQ502</f>
        <v>0</v>
      </c>
      <c r="BX24" s="116">
        <f>'P &amp; NP'!VR502</f>
        <v>0</v>
      </c>
      <c r="BY24" s="116">
        <f>'P &amp; NP'!WG502</f>
        <v>0</v>
      </c>
      <c r="BZ24" s="116">
        <f>'P &amp; NP'!WH502</f>
        <v>0</v>
      </c>
      <c r="CB24" s="206">
        <f t="shared" si="70"/>
        <v>1448315</v>
      </c>
      <c r="CC24" s="206">
        <f t="shared" si="71"/>
        <v>26609165</v>
      </c>
    </row>
    <row r="25" spans="2:81">
      <c r="B25" s="207" t="str">
        <f>'P &amp; NP'!B31</f>
        <v xml:space="preserve">Mujair </v>
      </c>
      <c r="C25" s="116">
        <f>'P &amp; NP'!M502</f>
        <v>0</v>
      </c>
      <c r="D25" s="116">
        <f>'P &amp; NP'!N502</f>
        <v>0</v>
      </c>
      <c r="E25" s="116">
        <f>'P &amp; NP'!AC502</f>
        <v>0</v>
      </c>
      <c r="F25" s="116">
        <f>'P &amp; NP'!AD502</f>
        <v>0</v>
      </c>
      <c r="G25" s="116">
        <f>'P &amp; NP'!AS502</f>
        <v>0</v>
      </c>
      <c r="H25" s="116">
        <f>'P &amp; NP'!AT502</f>
        <v>0</v>
      </c>
      <c r="I25" s="116">
        <f t="shared" si="69"/>
        <v>0</v>
      </c>
      <c r="J25" s="116">
        <f>'P &amp; NP'!BJ503</f>
        <v>0</v>
      </c>
      <c r="K25" s="116">
        <f>'P &amp; NP'!BY503</f>
        <v>0</v>
      </c>
      <c r="L25" s="116">
        <f>'P &amp; NP'!BZ503</f>
        <v>0</v>
      </c>
      <c r="M25" s="116">
        <f>'P &amp; NP'!CO503</f>
        <v>0</v>
      </c>
      <c r="N25" s="116">
        <f>'P &amp; NP'!CP503</f>
        <v>0</v>
      </c>
      <c r="O25" s="116">
        <f>'P &amp; NP'!DE503</f>
        <v>0</v>
      </c>
      <c r="P25" s="116">
        <f>'P &amp; NP'!DF503</f>
        <v>0</v>
      </c>
      <c r="Q25" s="116">
        <f>'P &amp; NP'!DU503</f>
        <v>0</v>
      </c>
      <c r="R25" s="116">
        <f>'P &amp; NP'!DV503</f>
        <v>0</v>
      </c>
      <c r="S25" s="116">
        <f>'P &amp; NP'!EK503</f>
        <v>0</v>
      </c>
      <c r="T25" s="116">
        <f>'P &amp; NP'!EL503</f>
        <v>0</v>
      </c>
      <c r="U25" s="116">
        <f>'P &amp; NP'!FA502</f>
        <v>0</v>
      </c>
      <c r="V25" s="116">
        <f>'P &amp; NP'!FB502</f>
        <v>0</v>
      </c>
      <c r="W25" s="116">
        <f>'P &amp; NP'!FQ503</f>
        <v>0</v>
      </c>
      <c r="X25" s="116">
        <f>'P &amp; NP'!FR503</f>
        <v>0</v>
      </c>
      <c r="Y25" s="116">
        <f>'P &amp; NP'!GG502</f>
        <v>0</v>
      </c>
      <c r="Z25" s="116">
        <f>'P &amp; NP'!GH502</f>
        <v>0</v>
      </c>
      <c r="AA25" s="116">
        <f>'P &amp; NP'!GW503</f>
        <v>0</v>
      </c>
      <c r="AB25" s="116">
        <f>'P &amp; NP'!GX503</f>
        <v>0</v>
      </c>
      <c r="AC25" s="116">
        <f>'P &amp; NP'!HM503</f>
        <v>0</v>
      </c>
      <c r="AD25" s="116">
        <f>'P &amp; NP'!HN503</f>
        <v>0</v>
      </c>
      <c r="AE25" s="116">
        <f>'P &amp; NP'!IC503</f>
        <v>1800</v>
      </c>
      <c r="AF25" s="116">
        <f>'P &amp; NP'!ID503</f>
        <v>45400</v>
      </c>
      <c r="AG25" s="116">
        <f>'P &amp; NP'!IS503</f>
        <v>0</v>
      </c>
      <c r="AH25" s="116">
        <f>'P &amp; NP'!IT503</f>
        <v>0</v>
      </c>
      <c r="AI25" s="116">
        <f>'P &amp; NP'!JI503</f>
        <v>0</v>
      </c>
      <c r="AJ25" s="116">
        <f>'P &amp; NP'!JJ503</f>
        <v>0</v>
      </c>
      <c r="AK25" s="116">
        <f>'P &amp; NP'!JY503</f>
        <v>0</v>
      </c>
      <c r="AL25" s="116">
        <f>'P &amp; NP'!JZ503</f>
        <v>0</v>
      </c>
      <c r="AM25" s="116">
        <f>'P &amp; NP'!KO503</f>
        <v>0</v>
      </c>
      <c r="AN25" s="116">
        <f>'P &amp; NP'!KP503</f>
        <v>0</v>
      </c>
      <c r="AO25" s="116">
        <f>'P &amp; NP'!LE503</f>
        <v>0</v>
      </c>
      <c r="AP25" s="116">
        <f>'P &amp; NP'!LF503</f>
        <v>0</v>
      </c>
      <c r="AQ25" s="116">
        <f>'P &amp; NP'!LU503</f>
        <v>0</v>
      </c>
      <c r="AR25" s="116">
        <f>'P &amp; NP'!LV503</f>
        <v>0</v>
      </c>
      <c r="AS25" s="116">
        <f>'P &amp; NP'!MK503</f>
        <v>0</v>
      </c>
      <c r="AT25" s="116">
        <f>'P &amp; NP'!ML503</f>
        <v>0</v>
      </c>
      <c r="AU25" s="116">
        <f>'P &amp; NP'!NA503</f>
        <v>0</v>
      </c>
      <c r="AV25" s="116">
        <f>'P &amp; NP'!NB503</f>
        <v>0</v>
      </c>
      <c r="AW25" s="116">
        <f>'P &amp; NP'!NQ502</f>
        <v>0</v>
      </c>
      <c r="AX25" s="116">
        <f>'P &amp; NP'!NR502</f>
        <v>0</v>
      </c>
      <c r="AY25" s="116">
        <f>'P &amp; NP'!OG503</f>
        <v>0</v>
      </c>
      <c r="AZ25" s="116">
        <f>'P &amp; NP'!OH503</f>
        <v>0</v>
      </c>
      <c r="BA25" s="116">
        <f>'P &amp; NP'!OW503</f>
        <v>0</v>
      </c>
      <c r="BB25" s="116">
        <f>'P &amp; NP'!OX503</f>
        <v>0</v>
      </c>
      <c r="BC25" s="116">
        <f>'P &amp; NP'!PM503</f>
        <v>0</v>
      </c>
      <c r="BD25" s="116">
        <f>'P &amp; NP'!PN503</f>
        <v>0</v>
      </c>
      <c r="BE25" s="116">
        <f>'P &amp; NP'!$QC502</f>
        <v>0</v>
      </c>
      <c r="BF25" s="116">
        <f>'P &amp; NP'!$QD502</f>
        <v>0</v>
      </c>
      <c r="BG25" s="116">
        <f>'P &amp; NP'!QS503</f>
        <v>0</v>
      </c>
      <c r="BH25" s="116">
        <f>'P &amp; NP'!QT503</f>
        <v>0</v>
      </c>
      <c r="BI25" s="116">
        <f>'P &amp; NP'!RI503</f>
        <v>0</v>
      </c>
      <c r="BJ25" s="116">
        <f>'P &amp; NP'!RJ503</f>
        <v>0</v>
      </c>
      <c r="BK25" s="116">
        <f>'P &amp; NP'!RY503</f>
        <v>0</v>
      </c>
      <c r="BL25" s="116">
        <f>'P &amp; NP'!RZ503</f>
        <v>0</v>
      </c>
      <c r="BM25" s="116">
        <f>'P &amp; NP'!SO503</f>
        <v>0</v>
      </c>
      <c r="BN25" s="116">
        <f>'P &amp; NP'!SP503</f>
        <v>0</v>
      </c>
      <c r="BO25" s="116">
        <f>'P &amp; NP'!TE503</f>
        <v>0</v>
      </c>
      <c r="BP25" s="116">
        <f>'P &amp; NP'!TF503</f>
        <v>0</v>
      </c>
      <c r="BQ25" s="116">
        <f>'P &amp; NP'!TU502</f>
        <v>0</v>
      </c>
      <c r="BR25" s="116">
        <f>'P &amp; NP'!TV502</f>
        <v>0</v>
      </c>
      <c r="BS25" s="116">
        <f>'P &amp; NP'!UK503</f>
        <v>0</v>
      </c>
      <c r="BT25" s="116">
        <f>'P &amp; NP'!UL503</f>
        <v>0</v>
      </c>
      <c r="BU25" s="116">
        <f>'P &amp; NP'!VA503</f>
        <v>0</v>
      </c>
      <c r="BV25" s="116">
        <f>'P &amp; NP'!VB503</f>
        <v>0</v>
      </c>
      <c r="BW25" s="116">
        <f>'P &amp; NP'!VQ503</f>
        <v>0</v>
      </c>
      <c r="BX25" s="116">
        <f>'P &amp; NP'!VR503</f>
        <v>0</v>
      </c>
      <c r="BY25" s="116">
        <f>'P &amp; NP'!WG503</f>
        <v>0</v>
      </c>
      <c r="BZ25" s="116">
        <f>'P &amp; NP'!WH503</f>
        <v>0</v>
      </c>
      <c r="CB25" s="206">
        <f t="shared" si="70"/>
        <v>1800</v>
      </c>
      <c r="CC25" s="206">
        <f t="shared" si="71"/>
        <v>45400</v>
      </c>
    </row>
    <row r="26" spans="2:81">
      <c r="B26" s="207" t="str">
        <f>'P &amp; NP'!B32</f>
        <v xml:space="preserve">Nila </v>
      </c>
      <c r="C26" s="116">
        <f>'P &amp; NP'!M503</f>
        <v>0</v>
      </c>
      <c r="D26" s="116">
        <f>'P &amp; NP'!N503</f>
        <v>0</v>
      </c>
      <c r="E26" s="116">
        <f>'P &amp; NP'!AC503</f>
        <v>23730</v>
      </c>
      <c r="F26" s="116">
        <f>'P &amp; NP'!AD503</f>
        <v>474600</v>
      </c>
      <c r="G26" s="116">
        <f>'P &amp; NP'!AS503</f>
        <v>0</v>
      </c>
      <c r="H26" s="116">
        <f>'P &amp; NP'!AT503</f>
        <v>0</v>
      </c>
      <c r="I26" s="116">
        <f t="shared" si="69"/>
        <v>0</v>
      </c>
      <c r="J26" s="116">
        <f>'P &amp; NP'!BJ504</f>
        <v>0</v>
      </c>
      <c r="K26" s="116">
        <f>'P &amp; NP'!BY504</f>
        <v>0</v>
      </c>
      <c r="L26" s="116">
        <f>'P &amp; NP'!BZ504</f>
        <v>0</v>
      </c>
      <c r="M26" s="116">
        <f>'P &amp; NP'!CO504</f>
        <v>0</v>
      </c>
      <c r="N26" s="116">
        <f>'P &amp; NP'!CP504</f>
        <v>0</v>
      </c>
      <c r="O26" s="116">
        <f>'P &amp; NP'!DE504</f>
        <v>0</v>
      </c>
      <c r="P26" s="116">
        <f>'P &amp; NP'!DF504</f>
        <v>0</v>
      </c>
      <c r="Q26" s="116">
        <f>'P &amp; NP'!DU504</f>
        <v>0</v>
      </c>
      <c r="R26" s="116">
        <f>'P &amp; NP'!DV504</f>
        <v>0</v>
      </c>
      <c r="S26" s="116">
        <f>'P &amp; NP'!EK504</f>
        <v>0</v>
      </c>
      <c r="T26" s="116">
        <f>'P &amp; NP'!EL504</f>
        <v>0</v>
      </c>
      <c r="U26" s="116">
        <f>'P &amp; NP'!FA503</f>
        <v>0</v>
      </c>
      <c r="V26" s="116">
        <f>'P &amp; NP'!FB503</f>
        <v>0</v>
      </c>
      <c r="W26" s="116">
        <f>'P &amp; NP'!FQ504</f>
        <v>0</v>
      </c>
      <c r="X26" s="116">
        <f>'P &amp; NP'!FR504</f>
        <v>0</v>
      </c>
      <c r="Y26" s="116">
        <f>'P &amp; NP'!GG503</f>
        <v>0</v>
      </c>
      <c r="Z26" s="116">
        <f>'P &amp; NP'!GH503</f>
        <v>0</v>
      </c>
      <c r="AA26" s="116">
        <f>'P &amp; NP'!GW504</f>
        <v>0</v>
      </c>
      <c r="AB26" s="116">
        <f>'P &amp; NP'!GX504</f>
        <v>0</v>
      </c>
      <c r="AC26" s="116">
        <f>'P &amp; NP'!HM504</f>
        <v>0</v>
      </c>
      <c r="AD26" s="116">
        <f>'P &amp; NP'!HN504</f>
        <v>0</v>
      </c>
      <c r="AE26" s="116">
        <f>'P &amp; NP'!IC504</f>
        <v>0</v>
      </c>
      <c r="AF26" s="116">
        <f>'P &amp; NP'!ID504</f>
        <v>0</v>
      </c>
      <c r="AG26" s="116">
        <f>'P &amp; NP'!IS504</f>
        <v>0</v>
      </c>
      <c r="AH26" s="116">
        <f>'P &amp; NP'!IT504</f>
        <v>0</v>
      </c>
      <c r="AI26" s="116">
        <f>'P &amp; NP'!JI504</f>
        <v>0</v>
      </c>
      <c r="AJ26" s="116">
        <f>'P &amp; NP'!JJ504</f>
        <v>0</v>
      </c>
      <c r="AK26" s="116">
        <f>'P &amp; NP'!JY504</f>
        <v>0</v>
      </c>
      <c r="AL26" s="116">
        <f>'P &amp; NP'!JZ504</f>
        <v>0</v>
      </c>
      <c r="AM26" s="116">
        <f>'P &amp; NP'!KO504</f>
        <v>0</v>
      </c>
      <c r="AN26" s="116">
        <f>'P &amp; NP'!KP504</f>
        <v>0</v>
      </c>
      <c r="AO26" s="116">
        <f>'P &amp; NP'!LE504</f>
        <v>0</v>
      </c>
      <c r="AP26" s="116">
        <f>'P &amp; NP'!LF504</f>
        <v>0</v>
      </c>
      <c r="AQ26" s="116">
        <f>'P &amp; NP'!LU504</f>
        <v>0</v>
      </c>
      <c r="AR26" s="116">
        <f>'P &amp; NP'!LV504</f>
        <v>0</v>
      </c>
      <c r="AS26" s="116">
        <f>'P &amp; NP'!MK504</f>
        <v>0</v>
      </c>
      <c r="AT26" s="116">
        <f>'P &amp; NP'!ML504</f>
        <v>0</v>
      </c>
      <c r="AU26" s="116">
        <f>'P &amp; NP'!NA504</f>
        <v>0</v>
      </c>
      <c r="AV26" s="116">
        <f>'P &amp; NP'!NB504</f>
        <v>0</v>
      </c>
      <c r="AW26" s="116">
        <f>'P &amp; NP'!NQ503</f>
        <v>49350</v>
      </c>
      <c r="AX26" s="116">
        <f>'P &amp; NP'!NR503</f>
        <v>888300</v>
      </c>
      <c r="AY26" s="116">
        <f>'P &amp; NP'!OG504</f>
        <v>0</v>
      </c>
      <c r="AZ26" s="116">
        <f>'P &amp; NP'!OH504</f>
        <v>0</v>
      </c>
      <c r="BA26" s="116">
        <f>'P &amp; NP'!OW504</f>
        <v>0</v>
      </c>
      <c r="BB26" s="116">
        <f>'P &amp; NP'!OX504</f>
        <v>0</v>
      </c>
      <c r="BC26" s="116">
        <f>'P &amp; NP'!PM504</f>
        <v>0</v>
      </c>
      <c r="BD26" s="116">
        <f>'P &amp; NP'!PN504</f>
        <v>0</v>
      </c>
      <c r="BE26" s="116">
        <f>'P &amp; NP'!$QC503</f>
        <v>1664680</v>
      </c>
      <c r="BF26" s="116">
        <f>'P &amp; NP'!$QD503</f>
        <v>29872720</v>
      </c>
      <c r="BG26" s="116">
        <f>'P &amp; NP'!QS504</f>
        <v>0</v>
      </c>
      <c r="BH26" s="116">
        <f>'P &amp; NP'!QT504</f>
        <v>0</v>
      </c>
      <c r="BI26" s="116">
        <f>'P &amp; NP'!RI504</f>
        <v>0</v>
      </c>
      <c r="BJ26" s="116">
        <f>'P &amp; NP'!RJ504</f>
        <v>0</v>
      </c>
      <c r="BK26" s="116">
        <f>'P &amp; NP'!RY504</f>
        <v>0</v>
      </c>
      <c r="BL26" s="116">
        <f>'P &amp; NP'!RZ504</f>
        <v>0</v>
      </c>
      <c r="BM26" s="116">
        <f>'P &amp; NP'!SO504</f>
        <v>0</v>
      </c>
      <c r="BN26" s="116">
        <f>'P &amp; NP'!SP504</f>
        <v>0</v>
      </c>
      <c r="BO26" s="116">
        <f>'P &amp; NP'!TE504</f>
        <v>0</v>
      </c>
      <c r="BP26" s="116">
        <f>'P &amp; NP'!TF504</f>
        <v>0</v>
      </c>
      <c r="BQ26" s="116">
        <f>'P &amp; NP'!TU503</f>
        <v>10950</v>
      </c>
      <c r="BR26" s="116">
        <f>'P &amp; NP'!TV503</f>
        <v>328500</v>
      </c>
      <c r="BS26" s="116">
        <f>'P &amp; NP'!UK504</f>
        <v>0</v>
      </c>
      <c r="BT26" s="116">
        <f>'P &amp; NP'!UL504</f>
        <v>0</v>
      </c>
      <c r="BU26" s="116">
        <f>'P &amp; NP'!VA504</f>
        <v>0</v>
      </c>
      <c r="BV26" s="116">
        <f>'P &amp; NP'!VB504</f>
        <v>0</v>
      </c>
      <c r="BW26" s="116">
        <f>'P &amp; NP'!VQ504</f>
        <v>0</v>
      </c>
      <c r="BX26" s="116">
        <f>'P &amp; NP'!VR504</f>
        <v>0</v>
      </c>
      <c r="BY26" s="116">
        <f>'P &amp; NP'!WG504</f>
        <v>0</v>
      </c>
      <c r="BZ26" s="116">
        <f>'P &amp; NP'!WH504</f>
        <v>0</v>
      </c>
      <c r="CB26" s="206">
        <f t="shared" si="70"/>
        <v>1748710</v>
      </c>
      <c r="CC26" s="206">
        <f t="shared" si="71"/>
        <v>31564120</v>
      </c>
    </row>
    <row r="27" spans="2:81">
      <c r="B27" s="207" t="str">
        <f>'P &amp; NP'!B33</f>
        <v xml:space="preserve">Patin </v>
      </c>
      <c r="C27" s="116">
        <f>'P &amp; NP'!M504</f>
        <v>0</v>
      </c>
      <c r="D27" s="116">
        <f>'P &amp; NP'!N504</f>
        <v>0</v>
      </c>
      <c r="E27" s="116">
        <f>'P &amp; NP'!AC504</f>
        <v>0</v>
      </c>
      <c r="F27" s="116">
        <f>'P &amp; NP'!AD504</f>
        <v>0</v>
      </c>
      <c r="G27" s="116">
        <f>'P &amp; NP'!AS504</f>
        <v>0</v>
      </c>
      <c r="H27" s="116">
        <f>'P &amp; NP'!AT504</f>
        <v>0</v>
      </c>
      <c r="I27" s="116">
        <f t="shared" si="69"/>
        <v>0</v>
      </c>
      <c r="J27" s="116">
        <f>'P &amp; NP'!BJ505</f>
        <v>0</v>
      </c>
      <c r="K27" s="116">
        <f>'P &amp; NP'!BY505</f>
        <v>0</v>
      </c>
      <c r="L27" s="116">
        <f>'P &amp; NP'!BZ505</f>
        <v>0</v>
      </c>
      <c r="M27" s="116">
        <f>'P &amp; NP'!CO505</f>
        <v>0</v>
      </c>
      <c r="N27" s="116">
        <f>'P &amp; NP'!CP505</f>
        <v>0</v>
      </c>
      <c r="O27" s="116">
        <f>'P &amp; NP'!DE505</f>
        <v>0</v>
      </c>
      <c r="P27" s="116">
        <f>'P &amp; NP'!DF505</f>
        <v>0</v>
      </c>
      <c r="Q27" s="116">
        <f>'P &amp; NP'!DU505</f>
        <v>0</v>
      </c>
      <c r="R27" s="116">
        <f>'P &amp; NP'!DV505</f>
        <v>0</v>
      </c>
      <c r="S27" s="116">
        <f>'P &amp; NP'!EK505</f>
        <v>0</v>
      </c>
      <c r="T27" s="116">
        <f>'P &amp; NP'!EL505</f>
        <v>0</v>
      </c>
      <c r="U27" s="116">
        <f>'P &amp; NP'!FA504</f>
        <v>0</v>
      </c>
      <c r="V27" s="116">
        <f>'P &amp; NP'!FB504</f>
        <v>0</v>
      </c>
      <c r="W27" s="116">
        <f>'P &amp; NP'!FQ505</f>
        <v>0</v>
      </c>
      <c r="X27" s="116">
        <f>'P &amp; NP'!FR505</f>
        <v>0</v>
      </c>
      <c r="Y27" s="116">
        <f>'P &amp; NP'!GG504</f>
        <v>0</v>
      </c>
      <c r="Z27" s="116">
        <f>'P &amp; NP'!GH504</f>
        <v>0</v>
      </c>
      <c r="AA27" s="116">
        <f>'P &amp; NP'!GW505</f>
        <v>0</v>
      </c>
      <c r="AB27" s="116">
        <f>'P &amp; NP'!GX505</f>
        <v>0</v>
      </c>
      <c r="AC27" s="116">
        <f>'P &amp; NP'!HM505</f>
        <v>0</v>
      </c>
      <c r="AD27" s="116">
        <f>'P &amp; NP'!HN505</f>
        <v>0</v>
      </c>
      <c r="AE27" s="116">
        <f>'P &amp; NP'!IC505</f>
        <v>0</v>
      </c>
      <c r="AF27" s="116">
        <f>'P &amp; NP'!ID505</f>
        <v>0</v>
      </c>
      <c r="AG27" s="116">
        <f>'P &amp; NP'!IS505</f>
        <v>0</v>
      </c>
      <c r="AH27" s="116">
        <f>'P &amp; NP'!IT505</f>
        <v>0</v>
      </c>
      <c r="AI27" s="116">
        <f>'P &amp; NP'!JI505</f>
        <v>0</v>
      </c>
      <c r="AJ27" s="116">
        <f>'P &amp; NP'!JJ505</f>
        <v>0</v>
      </c>
      <c r="AK27" s="116">
        <f>'P &amp; NP'!JY505</f>
        <v>0</v>
      </c>
      <c r="AL27" s="116">
        <f>'P &amp; NP'!JZ505</f>
        <v>0</v>
      </c>
      <c r="AM27" s="116">
        <f>'P &amp; NP'!KO505</f>
        <v>0</v>
      </c>
      <c r="AN27" s="116">
        <f>'P &amp; NP'!KP505</f>
        <v>0</v>
      </c>
      <c r="AO27" s="116">
        <f>'P &amp; NP'!LE505</f>
        <v>0</v>
      </c>
      <c r="AP27" s="116">
        <f>'P &amp; NP'!LF505</f>
        <v>0</v>
      </c>
      <c r="AQ27" s="116">
        <f>'P &amp; NP'!LU505</f>
        <v>0</v>
      </c>
      <c r="AR27" s="116">
        <f>'P &amp; NP'!LV505</f>
        <v>0</v>
      </c>
      <c r="AS27" s="116">
        <f>'P &amp; NP'!MK505</f>
        <v>0</v>
      </c>
      <c r="AT27" s="116">
        <f>'P &amp; NP'!ML505</f>
        <v>0</v>
      </c>
      <c r="AU27" s="116">
        <f>'P &amp; NP'!NA505</f>
        <v>0</v>
      </c>
      <c r="AV27" s="116">
        <f>'P &amp; NP'!NB505</f>
        <v>0</v>
      </c>
      <c r="AW27" s="116">
        <f>'P &amp; NP'!NQ504</f>
        <v>243000</v>
      </c>
      <c r="AX27" s="116">
        <f>'P &amp; NP'!NR504</f>
        <v>4374000</v>
      </c>
      <c r="AY27" s="116">
        <f>'P &amp; NP'!OG505</f>
        <v>0</v>
      </c>
      <c r="AZ27" s="116">
        <f>'P &amp; NP'!OH505</f>
        <v>0</v>
      </c>
      <c r="BA27" s="116">
        <f>'P &amp; NP'!OW505</f>
        <v>0</v>
      </c>
      <c r="BB27" s="116">
        <f>'P &amp; NP'!OX505</f>
        <v>0</v>
      </c>
      <c r="BC27" s="116">
        <f>'P &amp; NP'!PM505</f>
        <v>0</v>
      </c>
      <c r="BD27" s="116">
        <f>'P &amp; NP'!PN505</f>
        <v>0</v>
      </c>
      <c r="BE27" s="116">
        <f>'P &amp; NP'!$QC504</f>
        <v>350522</v>
      </c>
      <c r="BF27" s="116">
        <f>'P &amp; NP'!$QD504</f>
        <v>5733194</v>
      </c>
      <c r="BG27" s="116">
        <f>'P &amp; NP'!QS505</f>
        <v>0</v>
      </c>
      <c r="BH27" s="116">
        <f>'P &amp; NP'!QT505</f>
        <v>0</v>
      </c>
      <c r="BI27" s="116">
        <f>'P &amp; NP'!RI505</f>
        <v>0</v>
      </c>
      <c r="BJ27" s="116">
        <f>'P &amp; NP'!RJ505</f>
        <v>0</v>
      </c>
      <c r="BK27" s="116">
        <f>'P &amp; NP'!RY505</f>
        <v>0</v>
      </c>
      <c r="BL27" s="116">
        <f>'P &amp; NP'!RZ505</f>
        <v>0</v>
      </c>
      <c r="BM27" s="116">
        <f>'P &amp; NP'!SO505</f>
        <v>0</v>
      </c>
      <c r="BN27" s="116">
        <f>'P &amp; NP'!SP505</f>
        <v>0</v>
      </c>
      <c r="BO27" s="116">
        <f>'P &amp; NP'!TE505</f>
        <v>0</v>
      </c>
      <c r="BP27" s="116">
        <f>'P &amp; NP'!TF505</f>
        <v>0</v>
      </c>
      <c r="BQ27" s="116">
        <f>'P &amp; NP'!TU504</f>
        <v>0</v>
      </c>
      <c r="BR27" s="116">
        <f>'P &amp; NP'!TV504</f>
        <v>0</v>
      </c>
      <c r="BS27" s="116">
        <f>'P &amp; NP'!UK505</f>
        <v>0</v>
      </c>
      <c r="BT27" s="116">
        <f>'P &amp; NP'!UL505</f>
        <v>0</v>
      </c>
      <c r="BU27" s="116">
        <f>'P &amp; NP'!VA505</f>
        <v>0</v>
      </c>
      <c r="BV27" s="116">
        <f>'P &amp; NP'!VB505</f>
        <v>0</v>
      </c>
      <c r="BW27" s="116">
        <f>'P &amp; NP'!VQ505</f>
        <v>0</v>
      </c>
      <c r="BX27" s="116">
        <f>'P &amp; NP'!VR505</f>
        <v>0</v>
      </c>
      <c r="BY27" s="116">
        <f>'P &amp; NP'!WG505</f>
        <v>0</v>
      </c>
      <c r="BZ27" s="116">
        <f>'P &amp; NP'!WH505</f>
        <v>0</v>
      </c>
      <c r="CB27" s="206">
        <f t="shared" si="70"/>
        <v>593522</v>
      </c>
      <c r="CC27" s="206">
        <f t="shared" si="71"/>
        <v>10107194</v>
      </c>
    </row>
    <row r="28" spans="2:81">
      <c r="B28" s="207" t="str">
        <f>'P &amp; NP'!B34</f>
        <v xml:space="preserve">Rajungan </v>
      </c>
      <c r="C28" s="116">
        <f>'P &amp; NP'!M505</f>
        <v>0</v>
      </c>
      <c r="D28" s="116">
        <f>'P &amp; NP'!N505</f>
        <v>0</v>
      </c>
      <c r="E28" s="116">
        <f>'P &amp; NP'!AC505</f>
        <v>0</v>
      </c>
      <c r="F28" s="116">
        <f>'P &amp; NP'!AD505</f>
        <v>0</v>
      </c>
      <c r="G28" s="116">
        <f>'P &amp; NP'!AS505</f>
        <v>0</v>
      </c>
      <c r="H28" s="116">
        <f>'P &amp; NP'!AT505</f>
        <v>0</v>
      </c>
      <c r="I28" s="116">
        <f t="shared" si="69"/>
        <v>0</v>
      </c>
      <c r="J28" s="116">
        <f>'P &amp; NP'!BJ506</f>
        <v>0</v>
      </c>
      <c r="K28" s="116">
        <f>'P &amp; NP'!BY506</f>
        <v>0</v>
      </c>
      <c r="L28" s="116">
        <f>'P &amp; NP'!BZ506</f>
        <v>0</v>
      </c>
      <c r="M28" s="116">
        <f>'P &amp; NP'!CO506</f>
        <v>0</v>
      </c>
      <c r="N28" s="116">
        <f>'P &amp; NP'!CP506</f>
        <v>0</v>
      </c>
      <c r="O28" s="116">
        <f>'P &amp; NP'!DE506</f>
        <v>0</v>
      </c>
      <c r="P28" s="116">
        <f>'P &amp; NP'!DF506</f>
        <v>0</v>
      </c>
      <c r="Q28" s="116">
        <f>'P &amp; NP'!DU506</f>
        <v>0</v>
      </c>
      <c r="R28" s="116">
        <f>'P &amp; NP'!DV506</f>
        <v>0</v>
      </c>
      <c r="S28" s="116">
        <f>'P &amp; NP'!EK506</f>
        <v>0</v>
      </c>
      <c r="T28" s="116">
        <f>'P &amp; NP'!EL506</f>
        <v>0</v>
      </c>
      <c r="U28" s="116">
        <f>'P &amp; NP'!FA505</f>
        <v>0</v>
      </c>
      <c r="V28" s="116">
        <f>'P &amp; NP'!FB505</f>
        <v>0</v>
      </c>
      <c r="W28" s="116">
        <f>'P &amp; NP'!FQ506</f>
        <v>0</v>
      </c>
      <c r="X28" s="116">
        <f>'P &amp; NP'!FR506</f>
        <v>0</v>
      </c>
      <c r="Y28" s="116">
        <f>'P &amp; NP'!GG505</f>
        <v>0</v>
      </c>
      <c r="Z28" s="116">
        <f>'P &amp; NP'!GH505</f>
        <v>0</v>
      </c>
      <c r="AA28" s="116">
        <f>'P &amp; NP'!GW506</f>
        <v>0</v>
      </c>
      <c r="AB28" s="116">
        <f>'P &amp; NP'!GX506</f>
        <v>0</v>
      </c>
      <c r="AC28" s="116">
        <f>'P &amp; NP'!HM506</f>
        <v>0</v>
      </c>
      <c r="AD28" s="116">
        <f>'P &amp; NP'!HN506</f>
        <v>0</v>
      </c>
      <c r="AE28" s="116">
        <f>'P &amp; NP'!IC506</f>
        <v>0</v>
      </c>
      <c r="AF28" s="116">
        <f>'P &amp; NP'!ID506</f>
        <v>0</v>
      </c>
      <c r="AG28" s="116">
        <f>'P &amp; NP'!IS506</f>
        <v>0</v>
      </c>
      <c r="AH28" s="116">
        <f>'P &amp; NP'!IT506</f>
        <v>0</v>
      </c>
      <c r="AI28" s="116">
        <f>'P &amp; NP'!JI506</f>
        <v>0</v>
      </c>
      <c r="AJ28" s="116">
        <f>'P &amp; NP'!JJ506</f>
        <v>0</v>
      </c>
      <c r="AK28" s="116">
        <f>'P &amp; NP'!JY506</f>
        <v>0</v>
      </c>
      <c r="AL28" s="116">
        <f>'P &amp; NP'!JZ506</f>
        <v>0</v>
      </c>
      <c r="AM28" s="116">
        <f>'P &amp; NP'!KO506</f>
        <v>0</v>
      </c>
      <c r="AN28" s="116">
        <f>'P &amp; NP'!KP506</f>
        <v>0</v>
      </c>
      <c r="AO28" s="116">
        <f>'P &amp; NP'!LE506</f>
        <v>0</v>
      </c>
      <c r="AP28" s="116">
        <f>'P &amp; NP'!LF506</f>
        <v>0</v>
      </c>
      <c r="AQ28" s="116">
        <f>'P &amp; NP'!LU506</f>
        <v>0</v>
      </c>
      <c r="AR28" s="116">
        <f>'P &amp; NP'!LV506</f>
        <v>0</v>
      </c>
      <c r="AS28" s="116">
        <f>'P &amp; NP'!MK506</f>
        <v>0</v>
      </c>
      <c r="AT28" s="116">
        <f>'P &amp; NP'!ML506</f>
        <v>0</v>
      </c>
      <c r="AU28" s="116">
        <f>'P &amp; NP'!NA506</f>
        <v>0</v>
      </c>
      <c r="AV28" s="116">
        <f>'P &amp; NP'!NB506</f>
        <v>0</v>
      </c>
      <c r="AW28" s="116">
        <f>'P &amp; NP'!NQ505</f>
        <v>0</v>
      </c>
      <c r="AX28" s="116">
        <f>'P &amp; NP'!NR505</f>
        <v>0</v>
      </c>
      <c r="AY28" s="116">
        <f>'P &amp; NP'!OG506</f>
        <v>0</v>
      </c>
      <c r="AZ28" s="116">
        <f>'P &amp; NP'!OH506</f>
        <v>0</v>
      </c>
      <c r="BA28" s="116">
        <f>'P &amp; NP'!OW506</f>
        <v>0</v>
      </c>
      <c r="BB28" s="116">
        <f>'P &amp; NP'!OX506</f>
        <v>0</v>
      </c>
      <c r="BC28" s="116">
        <f>'P &amp; NP'!PM506</f>
        <v>0</v>
      </c>
      <c r="BD28" s="116">
        <f>'P &amp; NP'!PN506</f>
        <v>0</v>
      </c>
      <c r="BE28" s="116">
        <f>'P &amp; NP'!$QC505</f>
        <v>0</v>
      </c>
      <c r="BF28" s="116">
        <f>'P &amp; NP'!$QD505</f>
        <v>0</v>
      </c>
      <c r="BG28" s="116">
        <f>'P &amp; NP'!QS506</f>
        <v>0</v>
      </c>
      <c r="BH28" s="116">
        <f>'P &amp; NP'!QT506</f>
        <v>0</v>
      </c>
      <c r="BI28" s="116">
        <f>'P &amp; NP'!RI506</f>
        <v>0</v>
      </c>
      <c r="BJ28" s="116">
        <f>'P &amp; NP'!RJ506</f>
        <v>0</v>
      </c>
      <c r="BK28" s="116">
        <f>'P &amp; NP'!RY506</f>
        <v>0</v>
      </c>
      <c r="BL28" s="116">
        <f>'P &amp; NP'!RZ506</f>
        <v>0</v>
      </c>
      <c r="BM28" s="116">
        <f>'P &amp; NP'!SO506</f>
        <v>0</v>
      </c>
      <c r="BN28" s="116">
        <f>'P &amp; NP'!SP506</f>
        <v>0</v>
      </c>
      <c r="BO28" s="116">
        <f>'P &amp; NP'!TE506</f>
        <v>0</v>
      </c>
      <c r="BP28" s="116">
        <f>'P &amp; NP'!TF506</f>
        <v>0</v>
      </c>
      <c r="BQ28" s="116">
        <f>'P &amp; NP'!TU505</f>
        <v>0</v>
      </c>
      <c r="BR28" s="116">
        <f>'P &amp; NP'!TV505</f>
        <v>0</v>
      </c>
      <c r="BS28" s="116">
        <f>'P &amp; NP'!UK506</f>
        <v>0</v>
      </c>
      <c r="BT28" s="116">
        <f>'P &amp; NP'!UL506</f>
        <v>0</v>
      </c>
      <c r="BU28" s="116">
        <f>'P &amp; NP'!VA506</f>
        <v>0</v>
      </c>
      <c r="BV28" s="116">
        <f>'P &amp; NP'!VB506</f>
        <v>0</v>
      </c>
      <c r="BW28" s="116">
        <f>'P &amp; NP'!VQ506</f>
        <v>0</v>
      </c>
      <c r="BX28" s="116">
        <f>'P &amp; NP'!VR506</f>
        <v>0</v>
      </c>
      <c r="BY28" s="116">
        <f>'P &amp; NP'!WG506</f>
        <v>0</v>
      </c>
      <c r="BZ28" s="116">
        <f>'P &amp; NP'!WH506</f>
        <v>0</v>
      </c>
      <c r="CB28" s="206">
        <f t="shared" si="70"/>
        <v>0</v>
      </c>
      <c r="CC28" s="206">
        <f t="shared" si="71"/>
        <v>0</v>
      </c>
    </row>
    <row r="29" spans="2:81">
      <c r="B29" s="207" t="str">
        <f>'P &amp; NP'!B35</f>
        <v>Tawes</v>
      </c>
      <c r="C29" s="116">
        <f>'P &amp; NP'!M506</f>
        <v>0</v>
      </c>
      <c r="D29" s="116">
        <f>'P &amp; NP'!N506</f>
        <v>0</v>
      </c>
      <c r="E29" s="116">
        <f>'P &amp; NP'!AC506</f>
        <v>0</v>
      </c>
      <c r="F29" s="116">
        <f>'P &amp; NP'!AD506</f>
        <v>0</v>
      </c>
      <c r="G29" s="116">
        <f>'P &amp; NP'!AS506</f>
        <v>0</v>
      </c>
      <c r="H29" s="116">
        <f>'P &amp; NP'!AT506</f>
        <v>0</v>
      </c>
      <c r="I29" s="116">
        <f t="shared" si="69"/>
        <v>0</v>
      </c>
      <c r="J29" s="116">
        <f>'P &amp; NP'!BJ507</f>
        <v>0</v>
      </c>
      <c r="K29" s="116">
        <f>'P &amp; NP'!BY507</f>
        <v>0</v>
      </c>
      <c r="L29" s="116">
        <f>'P &amp; NP'!BZ507</f>
        <v>0</v>
      </c>
      <c r="M29" s="116">
        <f>'P &amp; NP'!CO507</f>
        <v>0</v>
      </c>
      <c r="N29" s="116">
        <f>'P &amp; NP'!CP507</f>
        <v>0</v>
      </c>
      <c r="O29" s="116">
        <f>'P &amp; NP'!DE507</f>
        <v>0</v>
      </c>
      <c r="P29" s="116">
        <f>'P &amp; NP'!DF507</f>
        <v>0</v>
      </c>
      <c r="Q29" s="116">
        <f>'P &amp; NP'!DU507</f>
        <v>0</v>
      </c>
      <c r="R29" s="116">
        <f>'P &amp; NP'!DV507</f>
        <v>0</v>
      </c>
      <c r="S29" s="116">
        <f>'P &amp; NP'!EK507</f>
        <v>0</v>
      </c>
      <c r="T29" s="116">
        <f>'P &amp; NP'!EL507</f>
        <v>0</v>
      </c>
      <c r="U29" s="116">
        <f>'P &amp; NP'!FA506</f>
        <v>0</v>
      </c>
      <c r="V29" s="116">
        <f>'P &amp; NP'!FB506</f>
        <v>0</v>
      </c>
      <c r="W29" s="116">
        <f>'P &amp; NP'!FQ507</f>
        <v>0</v>
      </c>
      <c r="X29" s="116">
        <f>'P &amp; NP'!FR507</f>
        <v>0</v>
      </c>
      <c r="Y29" s="116">
        <f>'P &amp; NP'!GG506</f>
        <v>0</v>
      </c>
      <c r="Z29" s="116">
        <f>'P &amp; NP'!GH506</f>
        <v>0</v>
      </c>
      <c r="AA29" s="116">
        <f>'P &amp; NP'!GW507</f>
        <v>0</v>
      </c>
      <c r="AB29" s="116">
        <f>'P &amp; NP'!GX507</f>
        <v>0</v>
      </c>
      <c r="AC29" s="116">
        <f>'P &amp; NP'!HM507</f>
        <v>0</v>
      </c>
      <c r="AD29" s="116">
        <f>'P &amp; NP'!HN507</f>
        <v>0</v>
      </c>
      <c r="AE29" s="116">
        <f>'P &amp; NP'!IC507</f>
        <v>0</v>
      </c>
      <c r="AF29" s="116">
        <f>'P &amp; NP'!ID507</f>
        <v>0</v>
      </c>
      <c r="AG29" s="116">
        <f>'P &amp; NP'!IS507</f>
        <v>0</v>
      </c>
      <c r="AH29" s="116">
        <f>'P &amp; NP'!IT507</f>
        <v>0</v>
      </c>
      <c r="AI29" s="116">
        <f>'P &amp; NP'!JI507</f>
        <v>0</v>
      </c>
      <c r="AJ29" s="116">
        <f>'P &amp; NP'!JJ507</f>
        <v>0</v>
      </c>
      <c r="AK29" s="116">
        <f>'P &amp; NP'!JY507</f>
        <v>0</v>
      </c>
      <c r="AL29" s="116">
        <f>'P &amp; NP'!JZ507</f>
        <v>0</v>
      </c>
      <c r="AM29" s="116">
        <f>'P &amp; NP'!KO507</f>
        <v>0</v>
      </c>
      <c r="AN29" s="116">
        <f>'P &amp; NP'!KP507</f>
        <v>0</v>
      </c>
      <c r="AO29" s="116">
        <f>'P &amp; NP'!LE507</f>
        <v>0</v>
      </c>
      <c r="AP29" s="116">
        <f>'P &amp; NP'!LF507</f>
        <v>0</v>
      </c>
      <c r="AQ29" s="116">
        <f>'P &amp; NP'!LU507</f>
        <v>0</v>
      </c>
      <c r="AR29" s="116">
        <f>'P &amp; NP'!LV507</f>
        <v>0</v>
      </c>
      <c r="AS29" s="116">
        <f>'P &amp; NP'!MK507</f>
        <v>0</v>
      </c>
      <c r="AT29" s="116">
        <f>'P &amp; NP'!ML507</f>
        <v>0</v>
      </c>
      <c r="AU29" s="116">
        <f>'P &amp; NP'!NA507</f>
        <v>0</v>
      </c>
      <c r="AV29" s="116">
        <f>'P &amp; NP'!NB507</f>
        <v>0</v>
      </c>
      <c r="AW29" s="116">
        <f>'P &amp; NP'!NQ506</f>
        <v>1952</v>
      </c>
      <c r="AX29" s="116">
        <f>'P &amp; NP'!NR506</f>
        <v>31232</v>
      </c>
      <c r="AY29" s="116">
        <f>'P &amp; NP'!OG507</f>
        <v>0</v>
      </c>
      <c r="AZ29" s="116">
        <f>'P &amp; NP'!OH507</f>
        <v>0</v>
      </c>
      <c r="BA29" s="116">
        <f>'P &amp; NP'!OW507</f>
        <v>0</v>
      </c>
      <c r="BB29" s="116">
        <f>'P &amp; NP'!OX507</f>
        <v>0</v>
      </c>
      <c r="BC29" s="116">
        <f>'P &amp; NP'!PM507</f>
        <v>0</v>
      </c>
      <c r="BD29" s="116">
        <f>'P &amp; NP'!PN507</f>
        <v>0</v>
      </c>
      <c r="BE29" s="116">
        <f>'P &amp; NP'!$QC506</f>
        <v>0</v>
      </c>
      <c r="BF29" s="116">
        <f>'P &amp; NP'!$QD506</f>
        <v>0</v>
      </c>
      <c r="BG29" s="116">
        <f>'P &amp; NP'!QS507</f>
        <v>0</v>
      </c>
      <c r="BH29" s="116">
        <f>'P &amp; NP'!QT507</f>
        <v>0</v>
      </c>
      <c r="BI29" s="116">
        <f>'P &amp; NP'!RI507</f>
        <v>0</v>
      </c>
      <c r="BJ29" s="116">
        <f>'P &amp; NP'!RJ507</f>
        <v>0</v>
      </c>
      <c r="BK29" s="116">
        <f>'P &amp; NP'!RY507</f>
        <v>0</v>
      </c>
      <c r="BL29" s="116">
        <f>'P &amp; NP'!RZ507</f>
        <v>0</v>
      </c>
      <c r="BM29" s="116">
        <f>'P &amp; NP'!SO507</f>
        <v>0</v>
      </c>
      <c r="BN29" s="116">
        <f>'P &amp; NP'!SP507</f>
        <v>0</v>
      </c>
      <c r="BO29" s="116">
        <f>'P &amp; NP'!TE507</f>
        <v>0</v>
      </c>
      <c r="BP29" s="116">
        <f>'P &amp; NP'!TF507</f>
        <v>0</v>
      </c>
      <c r="BQ29" s="116">
        <f>'P &amp; NP'!TU506</f>
        <v>0</v>
      </c>
      <c r="BR29" s="116">
        <f>'P &amp; NP'!TV506</f>
        <v>0</v>
      </c>
      <c r="BS29" s="116">
        <f>'P &amp; NP'!UK507</f>
        <v>0</v>
      </c>
      <c r="BT29" s="116">
        <f>'P &amp; NP'!UL507</f>
        <v>0</v>
      </c>
      <c r="BU29" s="116">
        <f>'P &amp; NP'!VA507</f>
        <v>0</v>
      </c>
      <c r="BV29" s="116">
        <f>'P &amp; NP'!VB507</f>
        <v>0</v>
      </c>
      <c r="BW29" s="116">
        <f>'P &amp; NP'!VQ507</f>
        <v>0</v>
      </c>
      <c r="BX29" s="116">
        <f>'P &amp; NP'!VR507</f>
        <v>0</v>
      </c>
      <c r="BY29" s="116">
        <f>'P &amp; NP'!WG507</f>
        <v>0</v>
      </c>
      <c r="BZ29" s="116">
        <f>'P &amp; NP'!WH507</f>
        <v>0</v>
      </c>
      <c r="CB29" s="206">
        <f t="shared" si="70"/>
        <v>1952</v>
      </c>
      <c r="CC29" s="206">
        <f t="shared" si="71"/>
        <v>31232</v>
      </c>
    </row>
    <row r="30" spans="2:81">
      <c r="B30" s="207" t="str">
        <f>'P &amp; NP'!B36</f>
        <v>Teri</v>
      </c>
      <c r="C30" s="116">
        <f>'P &amp; NP'!M507</f>
        <v>0</v>
      </c>
      <c r="D30" s="116">
        <f>'P &amp; NP'!N507</f>
        <v>0</v>
      </c>
      <c r="E30" s="116">
        <f>'P &amp; NP'!AC507</f>
        <v>0</v>
      </c>
      <c r="F30" s="116">
        <f>'P &amp; NP'!AD507</f>
        <v>0</v>
      </c>
      <c r="G30" s="116">
        <f>'P &amp; NP'!AS507</f>
        <v>0</v>
      </c>
      <c r="H30" s="116">
        <f>'P &amp; NP'!AT507</f>
        <v>0</v>
      </c>
      <c r="I30" s="116">
        <f t="shared" si="69"/>
        <v>0</v>
      </c>
      <c r="J30" s="116">
        <f>'P &amp; NP'!BJ508</f>
        <v>0</v>
      </c>
      <c r="K30" s="116">
        <f>'P &amp; NP'!BY508</f>
        <v>0</v>
      </c>
      <c r="L30" s="116">
        <f>'P &amp; NP'!BZ508</f>
        <v>0</v>
      </c>
      <c r="M30" s="116">
        <f>'P &amp; NP'!CO508</f>
        <v>0</v>
      </c>
      <c r="N30" s="116">
        <f>'P &amp; NP'!CP508</f>
        <v>0</v>
      </c>
      <c r="O30" s="116">
        <f>'P &amp; NP'!DE508</f>
        <v>0</v>
      </c>
      <c r="P30" s="116">
        <f>'P &amp; NP'!DF508</f>
        <v>0</v>
      </c>
      <c r="Q30" s="116">
        <f>'P &amp; NP'!DU508</f>
        <v>0</v>
      </c>
      <c r="R30" s="116">
        <f>'P &amp; NP'!DV508</f>
        <v>0</v>
      </c>
      <c r="S30" s="116">
        <f>'P &amp; NP'!EK508</f>
        <v>0</v>
      </c>
      <c r="T30" s="116">
        <f>'P &amp; NP'!EL508</f>
        <v>0</v>
      </c>
      <c r="U30" s="116">
        <f>'P &amp; NP'!FA507</f>
        <v>0</v>
      </c>
      <c r="V30" s="116">
        <f>'P &amp; NP'!FB507</f>
        <v>0</v>
      </c>
      <c r="W30" s="116">
        <f>'P &amp; NP'!FQ508</f>
        <v>0</v>
      </c>
      <c r="X30" s="116">
        <f>'P &amp; NP'!FR508</f>
        <v>0</v>
      </c>
      <c r="Y30" s="116">
        <f>'P &amp; NP'!GG507</f>
        <v>0</v>
      </c>
      <c r="Z30" s="116">
        <f>'P &amp; NP'!GH507</f>
        <v>0</v>
      </c>
      <c r="AA30" s="116">
        <f>'P &amp; NP'!GW508</f>
        <v>0</v>
      </c>
      <c r="AB30" s="116">
        <f>'P &amp; NP'!GX508</f>
        <v>0</v>
      </c>
      <c r="AC30" s="116">
        <f>'P &amp; NP'!HM508</f>
        <v>0</v>
      </c>
      <c r="AD30" s="116">
        <f>'P &amp; NP'!HN508</f>
        <v>0</v>
      </c>
      <c r="AE30" s="116">
        <f>'P &amp; NP'!IC508</f>
        <v>0</v>
      </c>
      <c r="AF30" s="116">
        <f>'P &amp; NP'!ID508</f>
        <v>0</v>
      </c>
      <c r="AG30" s="116">
        <f>'P &amp; NP'!IS508</f>
        <v>0</v>
      </c>
      <c r="AH30" s="116">
        <f>'P &amp; NP'!IT508</f>
        <v>0</v>
      </c>
      <c r="AI30" s="116">
        <f>'P &amp; NP'!JI508</f>
        <v>0</v>
      </c>
      <c r="AJ30" s="116">
        <f>'P &amp; NP'!JJ508</f>
        <v>0</v>
      </c>
      <c r="AK30" s="116">
        <f>'P &amp; NP'!JY508</f>
        <v>0</v>
      </c>
      <c r="AL30" s="116">
        <f>'P &amp; NP'!JZ508</f>
        <v>0</v>
      </c>
      <c r="AM30" s="116">
        <f>'P &amp; NP'!KO508</f>
        <v>0</v>
      </c>
      <c r="AN30" s="116">
        <f>'P &amp; NP'!KP508</f>
        <v>0</v>
      </c>
      <c r="AO30" s="116">
        <f>'P &amp; NP'!LE508</f>
        <v>0</v>
      </c>
      <c r="AP30" s="116">
        <f>'P &amp; NP'!LF508</f>
        <v>0</v>
      </c>
      <c r="AQ30" s="116">
        <f>'P &amp; NP'!LU508</f>
        <v>0</v>
      </c>
      <c r="AR30" s="116">
        <f>'P &amp; NP'!LV508</f>
        <v>0</v>
      </c>
      <c r="AS30" s="116">
        <f>'P &amp; NP'!MK508</f>
        <v>0</v>
      </c>
      <c r="AT30" s="116">
        <f>'P &amp; NP'!ML508</f>
        <v>0</v>
      </c>
      <c r="AU30" s="116">
        <f>'P &amp; NP'!NA508</f>
        <v>0</v>
      </c>
      <c r="AV30" s="116">
        <f>'P &amp; NP'!NB508</f>
        <v>0</v>
      </c>
      <c r="AW30" s="116">
        <f>'P &amp; NP'!NQ507</f>
        <v>0</v>
      </c>
      <c r="AX30" s="116">
        <f>'P &amp; NP'!NR507</f>
        <v>0</v>
      </c>
      <c r="AY30" s="116">
        <f>'P &amp; NP'!OG508</f>
        <v>0</v>
      </c>
      <c r="AZ30" s="116">
        <f>'P &amp; NP'!OH508</f>
        <v>0</v>
      </c>
      <c r="BA30" s="116">
        <f>'P &amp; NP'!OW508</f>
        <v>0</v>
      </c>
      <c r="BB30" s="116">
        <f>'P &amp; NP'!OX508</f>
        <v>0</v>
      </c>
      <c r="BC30" s="116">
        <f>'P &amp; NP'!PM508</f>
        <v>0</v>
      </c>
      <c r="BD30" s="116">
        <f>'P &amp; NP'!PN508</f>
        <v>0</v>
      </c>
      <c r="BE30" s="116">
        <f>'P &amp; NP'!$QC507</f>
        <v>0</v>
      </c>
      <c r="BF30" s="116">
        <f>'P &amp; NP'!$QD507</f>
        <v>0</v>
      </c>
      <c r="BG30" s="116">
        <f>'P &amp; NP'!QS508</f>
        <v>0</v>
      </c>
      <c r="BH30" s="116">
        <f>'P &amp; NP'!QT508</f>
        <v>0</v>
      </c>
      <c r="BI30" s="116">
        <f>'P &amp; NP'!RI508</f>
        <v>0</v>
      </c>
      <c r="BJ30" s="116">
        <f>'P &amp; NP'!RJ508</f>
        <v>0</v>
      </c>
      <c r="BK30" s="116">
        <f>'P &amp; NP'!RY508</f>
        <v>0</v>
      </c>
      <c r="BL30" s="116">
        <f>'P &amp; NP'!RZ508</f>
        <v>0</v>
      </c>
      <c r="BM30" s="116">
        <f>'P &amp; NP'!SO508</f>
        <v>0</v>
      </c>
      <c r="BN30" s="116">
        <f>'P &amp; NP'!SP508</f>
        <v>0</v>
      </c>
      <c r="BO30" s="116">
        <f>'P &amp; NP'!TE508</f>
        <v>0</v>
      </c>
      <c r="BP30" s="116">
        <f>'P &amp; NP'!TF508</f>
        <v>0</v>
      </c>
      <c r="BQ30" s="116">
        <f>'P &amp; NP'!TU507</f>
        <v>0</v>
      </c>
      <c r="BR30" s="116">
        <f>'P &amp; NP'!TV507</f>
        <v>0</v>
      </c>
      <c r="BS30" s="116">
        <f>'P &amp; NP'!UK508</f>
        <v>0</v>
      </c>
      <c r="BT30" s="116">
        <f>'P &amp; NP'!UL508</f>
        <v>0</v>
      </c>
      <c r="BU30" s="116">
        <f>'P &amp; NP'!VA508</f>
        <v>0</v>
      </c>
      <c r="BV30" s="116">
        <f>'P &amp; NP'!VB508</f>
        <v>0</v>
      </c>
      <c r="BW30" s="116">
        <f>'P &amp; NP'!VQ508</f>
        <v>0</v>
      </c>
      <c r="BX30" s="116">
        <f>'P &amp; NP'!VR508</f>
        <v>0</v>
      </c>
      <c r="BY30" s="116">
        <f>'P &amp; NP'!WG508</f>
        <v>0</v>
      </c>
      <c r="BZ30" s="116">
        <f>'P &amp; NP'!WH508</f>
        <v>0</v>
      </c>
      <c r="CB30" s="206">
        <f t="shared" si="70"/>
        <v>0</v>
      </c>
      <c r="CC30" s="206">
        <f t="shared" si="71"/>
        <v>0</v>
      </c>
    </row>
    <row r="31" spans="2:81">
      <c r="B31" s="207" t="str">
        <f>'P &amp; NP'!B37</f>
        <v xml:space="preserve">Udang Galah </v>
      </c>
      <c r="C31" s="116">
        <f>'P &amp; NP'!M508</f>
        <v>0</v>
      </c>
      <c r="D31" s="116">
        <f>'P &amp; NP'!N508</f>
        <v>0</v>
      </c>
      <c r="E31" s="116">
        <f>'P &amp; NP'!AC508</f>
        <v>0</v>
      </c>
      <c r="F31" s="116">
        <f>'P &amp; NP'!AD508</f>
        <v>0</v>
      </c>
      <c r="G31" s="116">
        <f>'P &amp; NP'!AS508</f>
        <v>0</v>
      </c>
      <c r="H31" s="116">
        <f>'P &amp; NP'!AT508</f>
        <v>0</v>
      </c>
      <c r="I31" s="116">
        <f t="shared" si="69"/>
        <v>0</v>
      </c>
      <c r="J31" s="116">
        <f>'P &amp; NP'!BJ509</f>
        <v>0</v>
      </c>
      <c r="K31" s="116">
        <f>'P &amp; NP'!BY509</f>
        <v>0</v>
      </c>
      <c r="L31" s="116">
        <f>'P &amp; NP'!BZ509</f>
        <v>0</v>
      </c>
      <c r="M31" s="116">
        <f>'P &amp; NP'!CO509</f>
        <v>0</v>
      </c>
      <c r="N31" s="116">
        <f>'P &amp; NP'!CP509</f>
        <v>0</v>
      </c>
      <c r="O31" s="116">
        <f>'P &amp; NP'!DE509</f>
        <v>0</v>
      </c>
      <c r="P31" s="116">
        <f>'P &amp; NP'!DF509</f>
        <v>0</v>
      </c>
      <c r="Q31" s="116">
        <f>'P &amp; NP'!DU509</f>
        <v>0</v>
      </c>
      <c r="R31" s="116">
        <f>'P &amp; NP'!DV509</f>
        <v>0</v>
      </c>
      <c r="S31" s="116">
        <f>'P &amp; NP'!EK509</f>
        <v>0</v>
      </c>
      <c r="T31" s="116">
        <f>'P &amp; NP'!EL509</f>
        <v>0</v>
      </c>
      <c r="U31" s="116">
        <f>'P &amp; NP'!FA508</f>
        <v>0</v>
      </c>
      <c r="V31" s="116">
        <f>'P &amp; NP'!FB508</f>
        <v>0</v>
      </c>
      <c r="W31" s="116">
        <f>'P &amp; NP'!FQ509</f>
        <v>0</v>
      </c>
      <c r="X31" s="116">
        <f>'P &amp; NP'!FR509</f>
        <v>0</v>
      </c>
      <c r="Y31" s="116">
        <f>'P &amp; NP'!GG508</f>
        <v>0</v>
      </c>
      <c r="Z31" s="116">
        <f>'P &amp; NP'!GH508</f>
        <v>0</v>
      </c>
      <c r="AA31" s="116">
        <f>'P &amp; NP'!GW509</f>
        <v>0</v>
      </c>
      <c r="AB31" s="116">
        <f>'P &amp; NP'!GX509</f>
        <v>0</v>
      </c>
      <c r="AC31" s="116">
        <f>'P &amp; NP'!HM509</f>
        <v>0</v>
      </c>
      <c r="AD31" s="116">
        <f>'P &amp; NP'!HN509</f>
        <v>0</v>
      </c>
      <c r="AE31" s="116">
        <f>'P &amp; NP'!IC509</f>
        <v>0</v>
      </c>
      <c r="AF31" s="116">
        <f>'P &amp; NP'!ID509</f>
        <v>0</v>
      </c>
      <c r="AG31" s="116">
        <f>'P &amp; NP'!IS509</f>
        <v>0</v>
      </c>
      <c r="AH31" s="116">
        <f>'P &amp; NP'!IT509</f>
        <v>0</v>
      </c>
      <c r="AI31" s="116">
        <f>'P &amp; NP'!JI509</f>
        <v>0</v>
      </c>
      <c r="AJ31" s="116">
        <f>'P &amp; NP'!JJ509</f>
        <v>0</v>
      </c>
      <c r="AK31" s="116">
        <f>'P &amp; NP'!JY509</f>
        <v>0</v>
      </c>
      <c r="AL31" s="116">
        <f>'P &amp; NP'!JZ509</f>
        <v>0</v>
      </c>
      <c r="AM31" s="116">
        <f>'P &amp; NP'!KO509</f>
        <v>0</v>
      </c>
      <c r="AN31" s="116">
        <f>'P &amp; NP'!KP509</f>
        <v>0</v>
      </c>
      <c r="AO31" s="116">
        <f>'P &amp; NP'!LE509</f>
        <v>0</v>
      </c>
      <c r="AP31" s="116">
        <f>'P &amp; NP'!LF509</f>
        <v>0</v>
      </c>
      <c r="AQ31" s="116">
        <f>'P &amp; NP'!LU509</f>
        <v>0</v>
      </c>
      <c r="AR31" s="116">
        <f>'P &amp; NP'!LV509</f>
        <v>0</v>
      </c>
      <c r="AS31" s="116">
        <f>'P &amp; NP'!MK509</f>
        <v>0</v>
      </c>
      <c r="AT31" s="116">
        <f>'P &amp; NP'!ML509</f>
        <v>0</v>
      </c>
      <c r="AU31" s="116">
        <f>'P &amp; NP'!NA509</f>
        <v>0</v>
      </c>
      <c r="AV31" s="116">
        <f>'P &amp; NP'!NB509</f>
        <v>0</v>
      </c>
      <c r="AW31" s="116">
        <f>'P &amp; NP'!NQ508</f>
        <v>0</v>
      </c>
      <c r="AX31" s="116">
        <f>'P &amp; NP'!NR508</f>
        <v>0</v>
      </c>
      <c r="AY31" s="116">
        <f>'P &amp; NP'!OG509</f>
        <v>0</v>
      </c>
      <c r="AZ31" s="116">
        <f>'P &amp; NP'!OH509</f>
        <v>0</v>
      </c>
      <c r="BA31" s="116">
        <f>'P &amp; NP'!OW509</f>
        <v>0</v>
      </c>
      <c r="BB31" s="116">
        <f>'P &amp; NP'!OX509</f>
        <v>0</v>
      </c>
      <c r="BC31" s="116">
        <f>'P &amp; NP'!PM509</f>
        <v>0</v>
      </c>
      <c r="BD31" s="116">
        <f>'P &amp; NP'!PN509</f>
        <v>0</v>
      </c>
      <c r="BE31" s="116">
        <f>'P &amp; NP'!$QC508</f>
        <v>0</v>
      </c>
      <c r="BF31" s="116">
        <f>'P &amp; NP'!$QD508</f>
        <v>0</v>
      </c>
      <c r="BG31" s="116">
        <f>'P &amp; NP'!QS509</f>
        <v>0</v>
      </c>
      <c r="BH31" s="116">
        <f>'P &amp; NP'!QT509</f>
        <v>0</v>
      </c>
      <c r="BI31" s="116">
        <f>'P &amp; NP'!RI509</f>
        <v>0</v>
      </c>
      <c r="BJ31" s="116">
        <f>'P &amp; NP'!RJ509</f>
        <v>0</v>
      </c>
      <c r="BK31" s="116">
        <f>'P &amp; NP'!RY509</f>
        <v>0</v>
      </c>
      <c r="BL31" s="116">
        <f>'P &amp; NP'!RZ509</f>
        <v>0</v>
      </c>
      <c r="BM31" s="116">
        <f>'P &amp; NP'!SO509</f>
        <v>0</v>
      </c>
      <c r="BN31" s="116">
        <f>'P &amp; NP'!SP509</f>
        <v>0</v>
      </c>
      <c r="BO31" s="116">
        <f>'P &amp; NP'!TE509</f>
        <v>0</v>
      </c>
      <c r="BP31" s="116">
        <f>'P &amp; NP'!TF509</f>
        <v>0</v>
      </c>
      <c r="BQ31" s="116">
        <f>'P &amp; NP'!TU508</f>
        <v>0</v>
      </c>
      <c r="BR31" s="116">
        <f>'P &amp; NP'!TV508</f>
        <v>0</v>
      </c>
      <c r="BS31" s="116">
        <f>'P &amp; NP'!UK509</f>
        <v>0</v>
      </c>
      <c r="BT31" s="116">
        <f>'P &amp; NP'!UL509</f>
        <v>0</v>
      </c>
      <c r="BU31" s="116">
        <f>'P &amp; NP'!VA509</f>
        <v>0</v>
      </c>
      <c r="BV31" s="116">
        <f>'P &amp; NP'!VB509</f>
        <v>0</v>
      </c>
      <c r="BW31" s="116">
        <f>'P &amp; NP'!VQ509</f>
        <v>0</v>
      </c>
      <c r="BX31" s="116">
        <f>'P &amp; NP'!VR509</f>
        <v>0</v>
      </c>
      <c r="BY31" s="116">
        <f>'P &amp; NP'!WG509</f>
        <v>0</v>
      </c>
      <c r="BZ31" s="116">
        <f>'P &amp; NP'!WH509</f>
        <v>0</v>
      </c>
      <c r="CB31" s="206">
        <f t="shared" si="70"/>
        <v>0</v>
      </c>
      <c r="CC31" s="206">
        <f t="shared" si="71"/>
        <v>0</v>
      </c>
    </row>
    <row r="32" spans="2:81">
      <c r="B32" s="207" t="str">
        <f>'P &amp; NP'!B38</f>
        <v>Udang Putih</v>
      </c>
      <c r="C32" s="116">
        <f>'P &amp; NP'!M509</f>
        <v>0</v>
      </c>
      <c r="D32" s="116">
        <f>'P &amp; NP'!N509</f>
        <v>0</v>
      </c>
      <c r="E32" s="116">
        <f>'P &amp; NP'!AC509</f>
        <v>0</v>
      </c>
      <c r="F32" s="116">
        <f>'P &amp; NP'!AD509</f>
        <v>0</v>
      </c>
      <c r="G32" s="116">
        <f>'P &amp; NP'!AS509</f>
        <v>0</v>
      </c>
      <c r="H32" s="116">
        <f>'P &amp; NP'!AT509</f>
        <v>0</v>
      </c>
      <c r="I32" s="116">
        <f t="shared" si="69"/>
        <v>0</v>
      </c>
      <c r="J32" s="116">
        <f>'P &amp; NP'!BJ510</f>
        <v>0</v>
      </c>
      <c r="K32" s="116">
        <f>'P &amp; NP'!BY510</f>
        <v>0</v>
      </c>
      <c r="L32" s="116">
        <f>'P &amp; NP'!BZ510</f>
        <v>0</v>
      </c>
      <c r="M32" s="116">
        <f>'P &amp; NP'!CO510</f>
        <v>0</v>
      </c>
      <c r="N32" s="116">
        <f>'P &amp; NP'!CP510</f>
        <v>0</v>
      </c>
      <c r="O32" s="116">
        <f>'P &amp; NP'!DE510</f>
        <v>0</v>
      </c>
      <c r="P32" s="116">
        <f>'P &amp; NP'!DF510</f>
        <v>0</v>
      </c>
      <c r="Q32" s="116">
        <f>'P &amp; NP'!DU510</f>
        <v>0</v>
      </c>
      <c r="R32" s="116">
        <f>'P &amp; NP'!DV510</f>
        <v>0</v>
      </c>
      <c r="S32" s="116">
        <f>'P &amp; NP'!EK510</f>
        <v>0</v>
      </c>
      <c r="T32" s="116">
        <f>'P &amp; NP'!EL510</f>
        <v>0</v>
      </c>
      <c r="U32" s="116">
        <f>'P &amp; NP'!FA509</f>
        <v>0</v>
      </c>
      <c r="V32" s="116">
        <f>'P &amp; NP'!FB509</f>
        <v>0</v>
      </c>
      <c r="W32" s="116">
        <f>'P &amp; NP'!FQ510</f>
        <v>0</v>
      </c>
      <c r="X32" s="116">
        <f>'P &amp; NP'!FR510</f>
        <v>0</v>
      </c>
      <c r="Y32" s="116">
        <f>'P &amp; NP'!GG509</f>
        <v>0</v>
      </c>
      <c r="Z32" s="116">
        <f>'P &amp; NP'!GH509</f>
        <v>0</v>
      </c>
      <c r="AA32" s="116">
        <f>'P &amp; NP'!GW510</f>
        <v>0</v>
      </c>
      <c r="AB32" s="116">
        <f>'P &amp; NP'!GX510</f>
        <v>0</v>
      </c>
      <c r="AC32" s="116">
        <f>'P &amp; NP'!HM510</f>
        <v>0</v>
      </c>
      <c r="AD32" s="116">
        <f>'P &amp; NP'!HN510</f>
        <v>0</v>
      </c>
      <c r="AE32" s="116">
        <f>'P &amp; NP'!IC510</f>
        <v>0</v>
      </c>
      <c r="AF32" s="116">
        <f>'P &amp; NP'!ID510</f>
        <v>0</v>
      </c>
      <c r="AG32" s="116">
        <f>'P &amp; NP'!IS510</f>
        <v>0</v>
      </c>
      <c r="AH32" s="116">
        <f>'P &amp; NP'!IT510</f>
        <v>0</v>
      </c>
      <c r="AI32" s="116">
        <f>'P &amp; NP'!JI510</f>
        <v>0</v>
      </c>
      <c r="AJ32" s="116">
        <f>'P &amp; NP'!JJ510</f>
        <v>0</v>
      </c>
      <c r="AK32" s="116">
        <f>'P &amp; NP'!JY510</f>
        <v>0</v>
      </c>
      <c r="AL32" s="116">
        <f>'P &amp; NP'!JZ510</f>
        <v>0</v>
      </c>
      <c r="AM32" s="116">
        <f>'P &amp; NP'!KO510</f>
        <v>0</v>
      </c>
      <c r="AN32" s="116">
        <f>'P &amp; NP'!KP510</f>
        <v>0</v>
      </c>
      <c r="AO32" s="116">
        <f>'P &amp; NP'!LE510</f>
        <v>0</v>
      </c>
      <c r="AP32" s="116">
        <f>'P &amp; NP'!LF510</f>
        <v>0</v>
      </c>
      <c r="AQ32" s="116">
        <f>'P &amp; NP'!LU510</f>
        <v>0</v>
      </c>
      <c r="AR32" s="116">
        <f>'P &amp; NP'!LV510</f>
        <v>0</v>
      </c>
      <c r="AS32" s="116">
        <f>'P &amp; NP'!MK510</f>
        <v>0</v>
      </c>
      <c r="AT32" s="116">
        <f>'P &amp; NP'!ML510</f>
        <v>0</v>
      </c>
      <c r="AU32" s="116">
        <f>'P &amp; NP'!NA510</f>
        <v>0</v>
      </c>
      <c r="AV32" s="116">
        <f>'P &amp; NP'!NB510</f>
        <v>0</v>
      </c>
      <c r="AW32" s="116">
        <f>'P &amp; NP'!NQ509</f>
        <v>0</v>
      </c>
      <c r="AX32" s="116">
        <f>'P &amp; NP'!NR509</f>
        <v>0</v>
      </c>
      <c r="AY32" s="116">
        <f>'P &amp; NP'!OG510</f>
        <v>0</v>
      </c>
      <c r="AZ32" s="116">
        <f>'P &amp; NP'!OH510</f>
        <v>0</v>
      </c>
      <c r="BA32" s="116">
        <f>'P &amp; NP'!OW510</f>
        <v>0</v>
      </c>
      <c r="BB32" s="116">
        <f>'P &amp; NP'!OX510</f>
        <v>0</v>
      </c>
      <c r="BC32" s="116">
        <f>'P &amp; NP'!PM510</f>
        <v>0</v>
      </c>
      <c r="BD32" s="116">
        <f>'P &amp; NP'!PN510</f>
        <v>0</v>
      </c>
      <c r="BE32" s="116">
        <f>'P &amp; NP'!$QC509</f>
        <v>0</v>
      </c>
      <c r="BF32" s="116">
        <f>'P &amp; NP'!$QD509</f>
        <v>0</v>
      </c>
      <c r="BG32" s="116">
        <f>'P &amp; NP'!QS510</f>
        <v>0</v>
      </c>
      <c r="BH32" s="116">
        <f>'P &amp; NP'!QT510</f>
        <v>0</v>
      </c>
      <c r="BI32" s="116">
        <f>'P &amp; NP'!RI510</f>
        <v>0</v>
      </c>
      <c r="BJ32" s="116">
        <f>'P &amp; NP'!RJ510</f>
        <v>0</v>
      </c>
      <c r="BK32" s="116">
        <f>'P &amp; NP'!RY510</f>
        <v>0</v>
      </c>
      <c r="BL32" s="116">
        <f>'P &amp; NP'!RZ510</f>
        <v>0</v>
      </c>
      <c r="BM32" s="116">
        <f>'P &amp; NP'!SO510</f>
        <v>0</v>
      </c>
      <c r="BN32" s="116">
        <f>'P &amp; NP'!SP510</f>
        <v>0</v>
      </c>
      <c r="BO32" s="116">
        <f>'P &amp; NP'!TE510</f>
        <v>0</v>
      </c>
      <c r="BP32" s="116">
        <f>'P &amp; NP'!TF510</f>
        <v>0</v>
      </c>
      <c r="BQ32" s="116">
        <f>'P &amp; NP'!TU509</f>
        <v>0</v>
      </c>
      <c r="BR32" s="116">
        <f>'P &amp; NP'!TV509</f>
        <v>0</v>
      </c>
      <c r="BS32" s="116">
        <f>'P &amp; NP'!UK510</f>
        <v>0</v>
      </c>
      <c r="BT32" s="116">
        <f>'P &amp; NP'!UL510</f>
        <v>0</v>
      </c>
      <c r="BU32" s="116">
        <f>'P &amp; NP'!VA510</f>
        <v>0</v>
      </c>
      <c r="BV32" s="116">
        <f>'P &amp; NP'!VB510</f>
        <v>0</v>
      </c>
      <c r="BW32" s="116">
        <f>'P &amp; NP'!VQ510</f>
        <v>0</v>
      </c>
      <c r="BX32" s="116">
        <f>'P &amp; NP'!VR510</f>
        <v>0</v>
      </c>
      <c r="BY32" s="116">
        <f>'P &amp; NP'!WG510</f>
        <v>0</v>
      </c>
      <c r="BZ32" s="116">
        <f>'P &amp; NP'!WH510</f>
        <v>0</v>
      </c>
      <c r="CB32" s="206">
        <f t="shared" si="70"/>
        <v>0</v>
      </c>
      <c r="CC32" s="206">
        <f t="shared" si="71"/>
        <v>0</v>
      </c>
    </row>
    <row r="33" spans="1:81">
      <c r="B33" s="207" t="str">
        <f>'P &amp; NP'!B39</f>
        <v xml:space="preserve">Udang Vaname </v>
      </c>
      <c r="C33" s="116">
        <f>'P &amp; NP'!M510</f>
        <v>0</v>
      </c>
      <c r="D33" s="116">
        <f>'P &amp; NP'!N510</f>
        <v>0</v>
      </c>
      <c r="E33" s="116">
        <f>'P &amp; NP'!AC510</f>
        <v>0</v>
      </c>
      <c r="F33" s="116">
        <f>'P &amp; NP'!AD510</f>
        <v>0</v>
      </c>
      <c r="G33" s="116">
        <f>'P &amp; NP'!AS510</f>
        <v>0</v>
      </c>
      <c r="H33" s="116">
        <f>'P &amp; NP'!AT510</f>
        <v>0</v>
      </c>
      <c r="I33" s="116">
        <f t="shared" si="69"/>
        <v>0</v>
      </c>
      <c r="J33" s="116">
        <f>'P &amp; NP'!BJ511</f>
        <v>0</v>
      </c>
      <c r="K33" s="116">
        <f>'P &amp; NP'!BY511</f>
        <v>0</v>
      </c>
      <c r="L33" s="116">
        <f>'P &amp; NP'!BZ511</f>
        <v>0</v>
      </c>
      <c r="M33" s="116">
        <f>'P &amp; NP'!CO511</f>
        <v>0</v>
      </c>
      <c r="N33" s="116">
        <f>'P &amp; NP'!CP511</f>
        <v>0</v>
      </c>
      <c r="O33" s="116">
        <f>'P &amp; NP'!DE511</f>
        <v>0</v>
      </c>
      <c r="P33" s="116">
        <f>'P &amp; NP'!DF511</f>
        <v>0</v>
      </c>
      <c r="Q33" s="116">
        <f>'P &amp; NP'!DU511</f>
        <v>0</v>
      </c>
      <c r="R33" s="116">
        <f>'P &amp; NP'!DV511</f>
        <v>0</v>
      </c>
      <c r="S33" s="116">
        <f>'P &amp; NP'!EK511</f>
        <v>0</v>
      </c>
      <c r="T33" s="116">
        <f>'P &amp; NP'!EL511</f>
        <v>0</v>
      </c>
      <c r="U33" s="116">
        <f>'P &amp; NP'!FA510</f>
        <v>0</v>
      </c>
      <c r="V33" s="116">
        <f>'P &amp; NP'!FB510</f>
        <v>0</v>
      </c>
      <c r="W33" s="116">
        <f>'P &amp; NP'!FQ511</f>
        <v>0</v>
      </c>
      <c r="X33" s="116">
        <f>'P &amp; NP'!FR511</f>
        <v>0</v>
      </c>
      <c r="Y33" s="116">
        <f>'P &amp; NP'!GG510</f>
        <v>0</v>
      </c>
      <c r="Z33" s="116">
        <f>'P &amp; NP'!GH510</f>
        <v>0</v>
      </c>
      <c r="AA33" s="116">
        <f>'P &amp; NP'!GW511</f>
        <v>0</v>
      </c>
      <c r="AB33" s="116">
        <f>'P &amp; NP'!GX511</f>
        <v>0</v>
      </c>
      <c r="AC33" s="116">
        <f>'P &amp; NP'!HM511</f>
        <v>0</v>
      </c>
      <c r="AD33" s="116">
        <f>'P &amp; NP'!HN511</f>
        <v>0</v>
      </c>
      <c r="AE33" s="116">
        <f>'P &amp; NP'!IC511</f>
        <v>0</v>
      </c>
      <c r="AF33" s="116">
        <f>'P &amp; NP'!ID511</f>
        <v>0</v>
      </c>
      <c r="AG33" s="116">
        <f>'P &amp; NP'!IS511</f>
        <v>0</v>
      </c>
      <c r="AH33" s="116">
        <f>'P &amp; NP'!IT511</f>
        <v>0</v>
      </c>
      <c r="AI33" s="116">
        <f>'P &amp; NP'!JI511</f>
        <v>0</v>
      </c>
      <c r="AJ33" s="116">
        <f>'P &amp; NP'!JJ511</f>
        <v>0</v>
      </c>
      <c r="AK33" s="116">
        <f>'P &amp; NP'!JY511</f>
        <v>0</v>
      </c>
      <c r="AL33" s="116">
        <f>'P &amp; NP'!JZ511</f>
        <v>0</v>
      </c>
      <c r="AM33" s="116">
        <f>'P &amp; NP'!KO511</f>
        <v>0</v>
      </c>
      <c r="AN33" s="116">
        <f>'P &amp; NP'!KP511</f>
        <v>0</v>
      </c>
      <c r="AO33" s="116">
        <f>'P &amp; NP'!LE511</f>
        <v>0</v>
      </c>
      <c r="AP33" s="116">
        <f>'P &amp; NP'!LF511</f>
        <v>0</v>
      </c>
      <c r="AQ33" s="116">
        <f>'P &amp; NP'!LU511</f>
        <v>0</v>
      </c>
      <c r="AR33" s="116">
        <f>'P &amp; NP'!LV511</f>
        <v>0</v>
      </c>
      <c r="AS33" s="116">
        <f>'P &amp; NP'!MK511</f>
        <v>0</v>
      </c>
      <c r="AT33" s="116">
        <f>'P &amp; NP'!ML511</f>
        <v>0</v>
      </c>
      <c r="AU33" s="116">
        <f>'P &amp; NP'!NA511</f>
        <v>0</v>
      </c>
      <c r="AV33" s="116">
        <f>'P &amp; NP'!NB511</f>
        <v>0</v>
      </c>
      <c r="AW33" s="116">
        <f>'P &amp; NP'!NQ510</f>
        <v>0</v>
      </c>
      <c r="AX33" s="116">
        <f>'P &amp; NP'!NR510</f>
        <v>0</v>
      </c>
      <c r="AY33" s="116">
        <f>'P &amp; NP'!OG511</f>
        <v>0</v>
      </c>
      <c r="AZ33" s="116">
        <f>'P &amp; NP'!OH511</f>
        <v>0</v>
      </c>
      <c r="BA33" s="116">
        <f>'P &amp; NP'!OW511</f>
        <v>0</v>
      </c>
      <c r="BB33" s="116">
        <f>'P &amp; NP'!OX511</f>
        <v>0</v>
      </c>
      <c r="BC33" s="116">
        <f>'P &amp; NP'!PM511</f>
        <v>0</v>
      </c>
      <c r="BD33" s="116">
        <f>'P &amp; NP'!PN511</f>
        <v>0</v>
      </c>
      <c r="BE33" s="116">
        <f>'P &amp; NP'!$QC510</f>
        <v>0</v>
      </c>
      <c r="BF33" s="116">
        <f>'P &amp; NP'!$QD510</f>
        <v>0</v>
      </c>
      <c r="BG33" s="116">
        <f>'P &amp; NP'!QS511</f>
        <v>0</v>
      </c>
      <c r="BH33" s="116">
        <f>'P &amp; NP'!QT511</f>
        <v>0</v>
      </c>
      <c r="BI33" s="116">
        <f>'P &amp; NP'!RI511</f>
        <v>0</v>
      </c>
      <c r="BJ33" s="116">
        <f>'P &amp; NP'!RJ511</f>
        <v>0</v>
      </c>
      <c r="BK33" s="116">
        <f>'P &amp; NP'!RY511</f>
        <v>0</v>
      </c>
      <c r="BL33" s="116">
        <f>'P &amp; NP'!RZ511</f>
        <v>0</v>
      </c>
      <c r="BM33" s="116">
        <f>'P &amp; NP'!SO511</f>
        <v>0</v>
      </c>
      <c r="BN33" s="116">
        <f>'P &amp; NP'!SP511</f>
        <v>0</v>
      </c>
      <c r="BO33" s="116">
        <f>'P &amp; NP'!TE511</f>
        <v>0</v>
      </c>
      <c r="BP33" s="116">
        <f>'P &amp; NP'!TF511</f>
        <v>0</v>
      </c>
      <c r="BQ33" s="116">
        <f>'P &amp; NP'!TU510</f>
        <v>0</v>
      </c>
      <c r="BR33" s="116">
        <f>'P &amp; NP'!TV510</f>
        <v>0</v>
      </c>
      <c r="BS33" s="116">
        <f>'P &amp; NP'!UK511</f>
        <v>0</v>
      </c>
      <c r="BT33" s="116">
        <f>'P &amp; NP'!UL511</f>
        <v>0</v>
      </c>
      <c r="BU33" s="116">
        <f>'P &amp; NP'!VA511</f>
        <v>0</v>
      </c>
      <c r="BV33" s="116">
        <f>'P &amp; NP'!VB511</f>
        <v>0</v>
      </c>
      <c r="BW33" s="116">
        <f>'P &amp; NP'!VQ511</f>
        <v>0</v>
      </c>
      <c r="BX33" s="116">
        <f>'P &amp; NP'!VR511</f>
        <v>0</v>
      </c>
      <c r="BY33" s="116">
        <f>'P &amp; NP'!WG511</f>
        <v>0</v>
      </c>
      <c r="BZ33" s="116">
        <f>'P &amp; NP'!WH511</f>
        <v>0</v>
      </c>
      <c r="CB33" s="206">
        <f t="shared" si="70"/>
        <v>0</v>
      </c>
      <c r="CC33" s="206">
        <f t="shared" si="71"/>
        <v>0</v>
      </c>
    </row>
    <row r="34" spans="1:81">
      <c r="B34" s="207" t="str">
        <f>'P &amp; NP'!B40</f>
        <v xml:space="preserve">Udang Windu </v>
      </c>
      <c r="C34" s="116">
        <f>'P &amp; NP'!M511</f>
        <v>0</v>
      </c>
      <c r="D34" s="116">
        <f>'P &amp; NP'!N511</f>
        <v>0</v>
      </c>
      <c r="E34" s="116">
        <f>'P &amp; NP'!AC511</f>
        <v>0</v>
      </c>
      <c r="F34" s="116">
        <f>'P &amp; NP'!AD511</f>
        <v>0</v>
      </c>
      <c r="G34" s="116">
        <f>'P &amp; NP'!AS511</f>
        <v>0</v>
      </c>
      <c r="H34" s="116">
        <f>'P &amp; NP'!AT511</f>
        <v>0</v>
      </c>
      <c r="I34" s="116">
        <f t="shared" si="69"/>
        <v>0</v>
      </c>
      <c r="J34" s="116">
        <f>'P &amp; NP'!BJ512</f>
        <v>0</v>
      </c>
      <c r="K34" s="116">
        <f>'P &amp; NP'!BY512</f>
        <v>0</v>
      </c>
      <c r="L34" s="116">
        <f>'P &amp; NP'!BZ512</f>
        <v>0</v>
      </c>
      <c r="M34" s="116">
        <f>'P &amp; NP'!CO512</f>
        <v>0</v>
      </c>
      <c r="N34" s="116">
        <f>'P &amp; NP'!CP512</f>
        <v>0</v>
      </c>
      <c r="O34" s="116">
        <f>'P &amp; NP'!DE512</f>
        <v>0</v>
      </c>
      <c r="P34" s="116">
        <f>'P &amp; NP'!DF512</f>
        <v>0</v>
      </c>
      <c r="Q34" s="116">
        <f>'P &amp; NP'!DU512</f>
        <v>0</v>
      </c>
      <c r="R34" s="116">
        <f>'P &amp; NP'!DV512</f>
        <v>0</v>
      </c>
      <c r="S34" s="116">
        <f>'P &amp; NP'!EK512</f>
        <v>0</v>
      </c>
      <c r="T34" s="116">
        <f>'P &amp; NP'!EL512</f>
        <v>0</v>
      </c>
      <c r="U34" s="116">
        <f>'P &amp; NP'!FA511</f>
        <v>0</v>
      </c>
      <c r="V34" s="116">
        <f>'P &amp; NP'!FB511</f>
        <v>0</v>
      </c>
      <c r="W34" s="116">
        <f>'P &amp; NP'!FQ512</f>
        <v>0</v>
      </c>
      <c r="X34" s="116">
        <f>'P &amp; NP'!FR512</f>
        <v>0</v>
      </c>
      <c r="Y34" s="116">
        <f>'P &amp; NP'!GG511</f>
        <v>0</v>
      </c>
      <c r="Z34" s="116">
        <f>'P &amp; NP'!GH511</f>
        <v>0</v>
      </c>
      <c r="AA34" s="116">
        <f>'P &amp; NP'!GW512</f>
        <v>0</v>
      </c>
      <c r="AB34" s="116">
        <f>'P &amp; NP'!GX512</f>
        <v>0</v>
      </c>
      <c r="AC34" s="116">
        <f>'P &amp; NP'!HM512</f>
        <v>0</v>
      </c>
      <c r="AD34" s="116">
        <f>'P &amp; NP'!HN512</f>
        <v>0</v>
      </c>
      <c r="AE34" s="116">
        <f>'P &amp; NP'!IC512</f>
        <v>0</v>
      </c>
      <c r="AF34" s="116">
        <f>'P &amp; NP'!ID512</f>
        <v>0</v>
      </c>
      <c r="AG34" s="116">
        <f>'P &amp; NP'!IS512</f>
        <v>0</v>
      </c>
      <c r="AH34" s="116">
        <f>'P &amp; NP'!IT512</f>
        <v>0</v>
      </c>
      <c r="AI34" s="116">
        <f>'P &amp; NP'!JI512</f>
        <v>0</v>
      </c>
      <c r="AJ34" s="116">
        <f>'P &amp; NP'!JJ512</f>
        <v>0</v>
      </c>
      <c r="AK34" s="116">
        <f>'P &amp; NP'!JY512</f>
        <v>0</v>
      </c>
      <c r="AL34" s="116">
        <f>'P &amp; NP'!JZ512</f>
        <v>0</v>
      </c>
      <c r="AM34" s="116">
        <f>'P &amp; NP'!KO512</f>
        <v>0</v>
      </c>
      <c r="AN34" s="116">
        <f>'P &amp; NP'!KP512</f>
        <v>0</v>
      </c>
      <c r="AO34" s="116">
        <f>'P &amp; NP'!LE512</f>
        <v>0</v>
      </c>
      <c r="AP34" s="116">
        <f>'P &amp; NP'!LF512</f>
        <v>0</v>
      </c>
      <c r="AQ34" s="116">
        <f>'P &amp; NP'!LU512</f>
        <v>0</v>
      </c>
      <c r="AR34" s="116">
        <f>'P &amp; NP'!LV512</f>
        <v>0</v>
      </c>
      <c r="AS34" s="116">
        <f>'P &amp; NP'!MK512</f>
        <v>0</v>
      </c>
      <c r="AT34" s="116">
        <f>'P &amp; NP'!ML512</f>
        <v>0</v>
      </c>
      <c r="AU34" s="116">
        <f>'P &amp; NP'!NA512</f>
        <v>0</v>
      </c>
      <c r="AV34" s="116">
        <f>'P &amp; NP'!NB512</f>
        <v>0</v>
      </c>
      <c r="AW34" s="116">
        <f>'P &amp; NP'!NQ511</f>
        <v>0</v>
      </c>
      <c r="AX34" s="116">
        <f>'P &amp; NP'!NR511</f>
        <v>0</v>
      </c>
      <c r="AY34" s="116">
        <f>'P &amp; NP'!OG512</f>
        <v>0</v>
      </c>
      <c r="AZ34" s="116">
        <f>'P &amp; NP'!OH512</f>
        <v>0</v>
      </c>
      <c r="BA34" s="116">
        <f>'P &amp; NP'!OW512</f>
        <v>0</v>
      </c>
      <c r="BB34" s="116">
        <f>'P &amp; NP'!OX512</f>
        <v>0</v>
      </c>
      <c r="BC34" s="116">
        <f>'P &amp; NP'!PM512</f>
        <v>0</v>
      </c>
      <c r="BD34" s="116">
        <f>'P &amp; NP'!PN512</f>
        <v>0</v>
      </c>
      <c r="BE34" s="116">
        <f>'P &amp; NP'!$QC511</f>
        <v>0</v>
      </c>
      <c r="BF34" s="116">
        <f>'P &amp; NP'!$QD511</f>
        <v>0</v>
      </c>
      <c r="BG34" s="116">
        <f>'P &amp; NP'!QS512</f>
        <v>0</v>
      </c>
      <c r="BH34" s="116">
        <f>'P &amp; NP'!QT512</f>
        <v>0</v>
      </c>
      <c r="BI34" s="116">
        <f>'P &amp; NP'!RI512</f>
        <v>0</v>
      </c>
      <c r="BJ34" s="116">
        <f>'P &amp; NP'!RJ512</f>
        <v>0</v>
      </c>
      <c r="BK34" s="116">
        <f>'P &amp; NP'!RY512</f>
        <v>0</v>
      </c>
      <c r="BL34" s="116">
        <f>'P &amp; NP'!RZ512</f>
        <v>0</v>
      </c>
      <c r="BM34" s="116">
        <f>'P &amp; NP'!SO512</f>
        <v>0</v>
      </c>
      <c r="BN34" s="116">
        <f>'P &amp; NP'!SP512</f>
        <v>0</v>
      </c>
      <c r="BO34" s="116">
        <f>'P &amp; NP'!TE512</f>
        <v>0</v>
      </c>
      <c r="BP34" s="116">
        <f>'P &amp; NP'!TF512</f>
        <v>0</v>
      </c>
      <c r="BQ34" s="116">
        <f>'P &amp; NP'!TU511</f>
        <v>0</v>
      </c>
      <c r="BR34" s="116">
        <f>'P &amp; NP'!TV511</f>
        <v>0</v>
      </c>
      <c r="BS34" s="116">
        <f>'P &amp; NP'!UK512</f>
        <v>0</v>
      </c>
      <c r="BT34" s="116">
        <f>'P &amp; NP'!UL512</f>
        <v>0</v>
      </c>
      <c r="BU34" s="116">
        <f>'P &amp; NP'!VA512</f>
        <v>0</v>
      </c>
      <c r="BV34" s="116">
        <f>'P &amp; NP'!VB512</f>
        <v>0</v>
      </c>
      <c r="BW34" s="116">
        <f>'P &amp; NP'!VQ512</f>
        <v>0</v>
      </c>
      <c r="BX34" s="116">
        <f>'P &amp; NP'!VR512</f>
        <v>0</v>
      </c>
      <c r="BY34" s="116">
        <f>'P &amp; NP'!WG512</f>
        <v>0</v>
      </c>
      <c r="BZ34" s="116">
        <f>'P &amp; NP'!WH512</f>
        <v>0</v>
      </c>
      <c r="CB34" s="206">
        <f t="shared" si="70"/>
        <v>0</v>
      </c>
      <c r="CC34" s="206">
        <f t="shared" si="71"/>
        <v>0</v>
      </c>
    </row>
    <row r="35" spans="1:81">
      <c r="B35" s="207" t="str">
        <f>'P &amp; NP'!B41</f>
        <v xml:space="preserve">Udang_01 (Udang Api-Api) </v>
      </c>
      <c r="C35" s="116">
        <f>'P &amp; NP'!M512</f>
        <v>0</v>
      </c>
      <c r="D35" s="116">
        <f>'P &amp; NP'!N512</f>
        <v>0</v>
      </c>
      <c r="E35" s="116">
        <f>'P &amp; NP'!AC512</f>
        <v>0</v>
      </c>
      <c r="F35" s="116">
        <f>'P &amp; NP'!AD512</f>
        <v>0</v>
      </c>
      <c r="G35" s="116">
        <f>'P &amp; NP'!AS512</f>
        <v>0</v>
      </c>
      <c r="H35" s="116">
        <f>'P &amp; NP'!AT512</f>
        <v>0</v>
      </c>
      <c r="I35" s="116">
        <f t="shared" si="69"/>
        <v>0</v>
      </c>
      <c r="J35" s="116">
        <f>'P &amp; NP'!BJ513</f>
        <v>0</v>
      </c>
      <c r="K35" s="116">
        <f>'P &amp; NP'!BY513</f>
        <v>0</v>
      </c>
      <c r="L35" s="116">
        <f>'P &amp; NP'!BZ513</f>
        <v>0</v>
      </c>
      <c r="M35" s="116">
        <f>'P &amp; NP'!CO513</f>
        <v>0</v>
      </c>
      <c r="N35" s="116">
        <f>'P &amp; NP'!CP513</f>
        <v>0</v>
      </c>
      <c r="O35" s="116">
        <f>'P &amp; NP'!DE513</f>
        <v>0</v>
      </c>
      <c r="P35" s="116">
        <f>'P &amp; NP'!DF513</f>
        <v>0</v>
      </c>
      <c r="Q35" s="116">
        <f>'P &amp; NP'!DU513</f>
        <v>0</v>
      </c>
      <c r="R35" s="116">
        <f>'P &amp; NP'!DV513</f>
        <v>0</v>
      </c>
      <c r="S35" s="116">
        <f>'P &amp; NP'!EK513</f>
        <v>0</v>
      </c>
      <c r="T35" s="116">
        <f>'P &amp; NP'!EL513</f>
        <v>0</v>
      </c>
      <c r="U35" s="116">
        <f>'P &amp; NP'!FA512</f>
        <v>0</v>
      </c>
      <c r="V35" s="116">
        <f>'P &amp; NP'!FB512</f>
        <v>0</v>
      </c>
      <c r="W35" s="116">
        <f>'P &amp; NP'!FQ513</f>
        <v>0</v>
      </c>
      <c r="X35" s="116">
        <f>'P &amp; NP'!FR513</f>
        <v>0</v>
      </c>
      <c r="Y35" s="116">
        <f>'P &amp; NP'!GG512</f>
        <v>0</v>
      </c>
      <c r="Z35" s="116">
        <f>'P &amp; NP'!GH512</f>
        <v>0</v>
      </c>
      <c r="AA35" s="116">
        <f>'P &amp; NP'!GW513</f>
        <v>0</v>
      </c>
      <c r="AB35" s="116">
        <f>'P &amp; NP'!GX513</f>
        <v>0</v>
      </c>
      <c r="AC35" s="116">
        <f>'P &amp; NP'!HM513</f>
        <v>0</v>
      </c>
      <c r="AD35" s="116">
        <f>'P &amp; NP'!HN513</f>
        <v>0</v>
      </c>
      <c r="AE35" s="116">
        <f>'P &amp; NP'!IC513</f>
        <v>0</v>
      </c>
      <c r="AF35" s="116">
        <f>'P &amp; NP'!ID513</f>
        <v>0</v>
      </c>
      <c r="AG35" s="116">
        <f>'P &amp; NP'!IS513</f>
        <v>0</v>
      </c>
      <c r="AH35" s="116">
        <f>'P &amp; NP'!IT513</f>
        <v>0</v>
      </c>
      <c r="AI35" s="116">
        <f>'P &amp; NP'!JI513</f>
        <v>0</v>
      </c>
      <c r="AJ35" s="116">
        <f>'P &amp; NP'!JJ513</f>
        <v>0</v>
      </c>
      <c r="AK35" s="116">
        <f>'P &amp; NP'!JY513</f>
        <v>0</v>
      </c>
      <c r="AL35" s="116">
        <f>'P &amp; NP'!JZ513</f>
        <v>0</v>
      </c>
      <c r="AM35" s="116">
        <f>'P &amp; NP'!KO513</f>
        <v>0</v>
      </c>
      <c r="AN35" s="116">
        <f>'P &amp; NP'!KP513</f>
        <v>0</v>
      </c>
      <c r="AO35" s="116">
        <f>'P &amp; NP'!LE513</f>
        <v>0</v>
      </c>
      <c r="AP35" s="116">
        <f>'P &amp; NP'!LF513</f>
        <v>0</v>
      </c>
      <c r="AQ35" s="116">
        <f>'P &amp; NP'!LU513</f>
        <v>0</v>
      </c>
      <c r="AR35" s="116">
        <f>'P &amp; NP'!LV513</f>
        <v>0</v>
      </c>
      <c r="AS35" s="116">
        <f>'P &amp; NP'!MK513</f>
        <v>0</v>
      </c>
      <c r="AT35" s="116">
        <f>'P &amp; NP'!ML513</f>
        <v>0</v>
      </c>
      <c r="AU35" s="116">
        <f>'P &amp; NP'!NA513</f>
        <v>0</v>
      </c>
      <c r="AV35" s="116">
        <f>'P &amp; NP'!NB513</f>
        <v>0</v>
      </c>
      <c r="AW35" s="116">
        <f>'P &amp; NP'!NQ512</f>
        <v>0</v>
      </c>
      <c r="AX35" s="116">
        <f>'P &amp; NP'!NR512</f>
        <v>0</v>
      </c>
      <c r="AY35" s="116">
        <f>'P &amp; NP'!OG513</f>
        <v>0</v>
      </c>
      <c r="AZ35" s="116">
        <f>'P &amp; NP'!OH513</f>
        <v>0</v>
      </c>
      <c r="BA35" s="116">
        <f>'P &amp; NP'!OW513</f>
        <v>0</v>
      </c>
      <c r="BB35" s="116">
        <f>'P &amp; NP'!OX513</f>
        <v>0</v>
      </c>
      <c r="BC35" s="116">
        <f>'P &amp; NP'!PM513</f>
        <v>0</v>
      </c>
      <c r="BD35" s="116">
        <f>'P &amp; NP'!PN513</f>
        <v>0</v>
      </c>
      <c r="BE35" s="116">
        <f>'P &amp; NP'!$QC512</f>
        <v>0</v>
      </c>
      <c r="BF35" s="116">
        <f>'P &amp; NP'!$QD512</f>
        <v>0</v>
      </c>
      <c r="BG35" s="116">
        <f>'P &amp; NP'!QS513</f>
        <v>0</v>
      </c>
      <c r="BH35" s="116">
        <f>'P &amp; NP'!QT513</f>
        <v>0</v>
      </c>
      <c r="BI35" s="116">
        <f>'P &amp; NP'!RI513</f>
        <v>0</v>
      </c>
      <c r="BJ35" s="116">
        <f>'P &amp; NP'!RJ513</f>
        <v>0</v>
      </c>
      <c r="BK35" s="116">
        <f>'P &amp; NP'!RY513</f>
        <v>0</v>
      </c>
      <c r="BL35" s="116">
        <f>'P &amp; NP'!RZ513</f>
        <v>0</v>
      </c>
      <c r="BM35" s="116">
        <f>'P &amp; NP'!SO513</f>
        <v>0</v>
      </c>
      <c r="BN35" s="116">
        <f>'P &amp; NP'!SP513</f>
        <v>0</v>
      </c>
      <c r="BO35" s="116">
        <f>'P &amp; NP'!TE513</f>
        <v>0</v>
      </c>
      <c r="BP35" s="116">
        <f>'P &amp; NP'!TF513</f>
        <v>0</v>
      </c>
      <c r="BQ35" s="116">
        <f>'P &amp; NP'!TU512</f>
        <v>0</v>
      </c>
      <c r="BR35" s="116">
        <f>'P &amp; NP'!TV512</f>
        <v>0</v>
      </c>
      <c r="BS35" s="116">
        <f>'P &amp; NP'!UK513</f>
        <v>0</v>
      </c>
      <c r="BT35" s="116">
        <f>'P &amp; NP'!UL513</f>
        <v>0</v>
      </c>
      <c r="BU35" s="116">
        <f>'P &amp; NP'!VA513</f>
        <v>0</v>
      </c>
      <c r="BV35" s="116">
        <f>'P &amp; NP'!VB513</f>
        <v>0</v>
      </c>
      <c r="BW35" s="116">
        <f>'P &amp; NP'!VQ513</f>
        <v>0</v>
      </c>
      <c r="BX35" s="116">
        <f>'P &amp; NP'!VR513</f>
        <v>0</v>
      </c>
      <c r="BY35" s="116">
        <f>'P &amp; NP'!WG513</f>
        <v>0</v>
      </c>
      <c r="BZ35" s="116">
        <f>'P &amp; NP'!WH513</f>
        <v>0</v>
      </c>
      <c r="CB35" s="206">
        <f t="shared" si="70"/>
        <v>0</v>
      </c>
      <c r="CC35" s="206">
        <f t="shared" si="71"/>
        <v>0</v>
      </c>
    </row>
    <row r="36" spans="1:81">
      <c r="B36" s="207" t="str">
        <f>'P &amp; NP'!B42</f>
        <v xml:space="preserve">Udang_02 (Udang Rebon) </v>
      </c>
      <c r="C36" s="116">
        <f>'P &amp; NP'!M513</f>
        <v>0</v>
      </c>
      <c r="D36" s="116">
        <f>'P &amp; NP'!N513</f>
        <v>0</v>
      </c>
      <c r="E36" s="116">
        <f>'P &amp; NP'!AC513</f>
        <v>0</v>
      </c>
      <c r="F36" s="116">
        <f>'P &amp; NP'!AD513</f>
        <v>0</v>
      </c>
      <c r="G36" s="116">
        <f>'P &amp; NP'!AS513</f>
        <v>0</v>
      </c>
      <c r="H36" s="116">
        <f>'P &amp; NP'!AT513</f>
        <v>0</v>
      </c>
      <c r="I36" s="116">
        <f t="shared" si="69"/>
        <v>0</v>
      </c>
      <c r="J36" s="116">
        <f>'P &amp; NP'!BJ514</f>
        <v>0</v>
      </c>
      <c r="K36" s="116">
        <f>'P &amp; NP'!BY514</f>
        <v>0</v>
      </c>
      <c r="L36" s="116">
        <f>'P &amp; NP'!BZ514</f>
        <v>0</v>
      </c>
      <c r="M36" s="116">
        <f>'P &amp; NP'!CO514</f>
        <v>0</v>
      </c>
      <c r="N36" s="116">
        <f>'P &amp; NP'!CP514</f>
        <v>0</v>
      </c>
      <c r="O36" s="116">
        <f>'P &amp; NP'!DE514</f>
        <v>0</v>
      </c>
      <c r="P36" s="116">
        <f>'P &amp; NP'!DF514</f>
        <v>0</v>
      </c>
      <c r="Q36" s="116">
        <f>'P &amp; NP'!DU514</f>
        <v>0</v>
      </c>
      <c r="R36" s="116">
        <f>'P &amp; NP'!DV514</f>
        <v>0</v>
      </c>
      <c r="S36" s="116">
        <f>'P &amp; NP'!EK514</f>
        <v>0</v>
      </c>
      <c r="T36" s="116">
        <f>'P &amp; NP'!EL514</f>
        <v>0</v>
      </c>
      <c r="U36" s="116">
        <f>'P &amp; NP'!FA513</f>
        <v>0</v>
      </c>
      <c r="V36" s="116">
        <f>'P &amp; NP'!FB513</f>
        <v>0</v>
      </c>
      <c r="W36" s="116">
        <f>'P &amp; NP'!FQ514</f>
        <v>0</v>
      </c>
      <c r="X36" s="116">
        <f>'P &amp; NP'!FR514</f>
        <v>0</v>
      </c>
      <c r="Y36" s="116">
        <f>'P &amp; NP'!GG513</f>
        <v>0</v>
      </c>
      <c r="Z36" s="116">
        <f>'P &amp; NP'!GH513</f>
        <v>0</v>
      </c>
      <c r="AA36" s="116">
        <f>'P &amp; NP'!GW514</f>
        <v>0</v>
      </c>
      <c r="AB36" s="116">
        <f>'P &amp; NP'!GX514</f>
        <v>0</v>
      </c>
      <c r="AC36" s="116">
        <f>'P &amp; NP'!HM514</f>
        <v>0</v>
      </c>
      <c r="AD36" s="116">
        <f>'P &amp; NP'!HN514</f>
        <v>0</v>
      </c>
      <c r="AE36" s="116">
        <f>'P &amp; NP'!IC514</f>
        <v>0</v>
      </c>
      <c r="AF36" s="116">
        <f>'P &amp; NP'!ID514</f>
        <v>0</v>
      </c>
      <c r="AG36" s="116">
        <f>'P &amp; NP'!IS514</f>
        <v>0</v>
      </c>
      <c r="AH36" s="116">
        <f>'P &amp; NP'!IT514</f>
        <v>0</v>
      </c>
      <c r="AI36" s="116">
        <f>'P &amp; NP'!JI514</f>
        <v>0</v>
      </c>
      <c r="AJ36" s="116">
        <f>'P &amp; NP'!JJ514</f>
        <v>0</v>
      </c>
      <c r="AK36" s="116">
        <f>'P &amp; NP'!JY514</f>
        <v>0</v>
      </c>
      <c r="AL36" s="116">
        <f>'P &amp; NP'!JZ514</f>
        <v>0</v>
      </c>
      <c r="AM36" s="116">
        <f>'P &amp; NP'!KO514</f>
        <v>0</v>
      </c>
      <c r="AN36" s="116">
        <f>'P &amp; NP'!KP514</f>
        <v>0</v>
      </c>
      <c r="AO36" s="116">
        <f>'P &amp; NP'!LE514</f>
        <v>0</v>
      </c>
      <c r="AP36" s="116">
        <f>'P &amp; NP'!LF514</f>
        <v>0</v>
      </c>
      <c r="AQ36" s="116">
        <f>'P &amp; NP'!LU514</f>
        <v>0</v>
      </c>
      <c r="AR36" s="116">
        <f>'P &amp; NP'!LV514</f>
        <v>0</v>
      </c>
      <c r="AS36" s="116">
        <f>'P &amp; NP'!MK514</f>
        <v>0</v>
      </c>
      <c r="AT36" s="116">
        <f>'P &amp; NP'!ML514</f>
        <v>0</v>
      </c>
      <c r="AU36" s="116">
        <f>'P &amp; NP'!NA514</f>
        <v>0</v>
      </c>
      <c r="AV36" s="116">
        <f>'P &amp; NP'!NB514</f>
        <v>0</v>
      </c>
      <c r="AW36" s="116">
        <f>'P &amp; NP'!NQ513</f>
        <v>0</v>
      </c>
      <c r="AX36" s="116">
        <f>'P &amp; NP'!NR513</f>
        <v>0</v>
      </c>
      <c r="AY36" s="116">
        <f>'P &amp; NP'!OG514</f>
        <v>0</v>
      </c>
      <c r="AZ36" s="116">
        <f>'P &amp; NP'!OH514</f>
        <v>0</v>
      </c>
      <c r="BA36" s="116">
        <f>'P &amp; NP'!OW514</f>
        <v>0</v>
      </c>
      <c r="BB36" s="116">
        <f>'P &amp; NP'!OX514</f>
        <v>0</v>
      </c>
      <c r="BC36" s="116">
        <f>'P &amp; NP'!PM514</f>
        <v>0</v>
      </c>
      <c r="BD36" s="116">
        <f>'P &amp; NP'!PN514</f>
        <v>0</v>
      </c>
      <c r="BE36" s="116">
        <f>'P &amp; NP'!$QC513</f>
        <v>0</v>
      </c>
      <c r="BF36" s="116">
        <f>'P &amp; NP'!$QD513</f>
        <v>0</v>
      </c>
      <c r="BG36" s="116">
        <f>'P &amp; NP'!QS514</f>
        <v>0</v>
      </c>
      <c r="BH36" s="116">
        <f>'P &amp; NP'!QT514</f>
        <v>0</v>
      </c>
      <c r="BI36" s="116">
        <f>'P &amp; NP'!RI514</f>
        <v>0</v>
      </c>
      <c r="BJ36" s="116">
        <f>'P &amp; NP'!RJ514</f>
        <v>0</v>
      </c>
      <c r="BK36" s="116">
        <f>'P &amp; NP'!RY514</f>
        <v>0</v>
      </c>
      <c r="BL36" s="116">
        <f>'P &amp; NP'!RZ514</f>
        <v>0</v>
      </c>
      <c r="BM36" s="116">
        <f>'P &amp; NP'!SO514</f>
        <v>0</v>
      </c>
      <c r="BN36" s="116">
        <f>'P &amp; NP'!SP514</f>
        <v>0</v>
      </c>
      <c r="BO36" s="116">
        <f>'P &amp; NP'!TE514</f>
        <v>0</v>
      </c>
      <c r="BP36" s="116">
        <f>'P &amp; NP'!TF514</f>
        <v>0</v>
      </c>
      <c r="BQ36" s="116">
        <f>'P &amp; NP'!TU513</f>
        <v>0</v>
      </c>
      <c r="BR36" s="116">
        <f>'P &amp; NP'!TV513</f>
        <v>0</v>
      </c>
      <c r="BS36" s="116">
        <f>'P &amp; NP'!UK514</f>
        <v>0</v>
      </c>
      <c r="BT36" s="116">
        <f>'P &amp; NP'!UL514</f>
        <v>0</v>
      </c>
      <c r="BU36" s="116">
        <f>'P &amp; NP'!VA514</f>
        <v>0</v>
      </c>
      <c r="BV36" s="116">
        <f>'P &amp; NP'!VB514</f>
        <v>0</v>
      </c>
      <c r="BW36" s="116">
        <f>'P &amp; NP'!VQ514</f>
        <v>0</v>
      </c>
      <c r="BX36" s="116">
        <f>'P &amp; NP'!VR514</f>
        <v>0</v>
      </c>
      <c r="BY36" s="116">
        <f>'P &amp; NP'!WG514</f>
        <v>0</v>
      </c>
      <c r="BZ36" s="116">
        <f>'P &amp; NP'!WH514</f>
        <v>0</v>
      </c>
      <c r="CB36" s="206">
        <f t="shared" si="70"/>
        <v>0</v>
      </c>
      <c r="CC36" s="206">
        <f t="shared" si="71"/>
        <v>0</v>
      </c>
    </row>
    <row r="37" spans="1:81">
      <c r="B37" s="207" t="str">
        <f>'P &amp; NP'!B43</f>
        <v xml:space="preserve">Belut Sawah </v>
      </c>
      <c r="C37" s="116">
        <f>'P &amp; NP'!M514</f>
        <v>0</v>
      </c>
      <c r="D37" s="116">
        <f>'P &amp; NP'!N514</f>
        <v>0</v>
      </c>
      <c r="E37" s="116">
        <f>'P &amp; NP'!AC514</f>
        <v>0</v>
      </c>
      <c r="F37" s="116">
        <f>'P &amp; NP'!AD514</f>
        <v>0</v>
      </c>
      <c r="G37" s="116">
        <f>'P &amp; NP'!AS514</f>
        <v>0</v>
      </c>
      <c r="H37" s="116">
        <f>'P &amp; NP'!AT514</f>
        <v>0</v>
      </c>
      <c r="I37" s="116">
        <f t="shared" si="69"/>
        <v>0</v>
      </c>
      <c r="J37" s="116">
        <f>'P &amp; NP'!BJ515</f>
        <v>0</v>
      </c>
      <c r="K37" s="116">
        <f>'P &amp; NP'!BY515</f>
        <v>0</v>
      </c>
      <c r="L37" s="116">
        <f>'P &amp; NP'!BZ515</f>
        <v>0</v>
      </c>
      <c r="M37" s="116">
        <f>'P &amp; NP'!CO515</f>
        <v>0</v>
      </c>
      <c r="N37" s="116">
        <f>'P &amp; NP'!CP515</f>
        <v>0</v>
      </c>
      <c r="O37" s="116">
        <f>'P &amp; NP'!DE515</f>
        <v>0</v>
      </c>
      <c r="P37" s="116">
        <f>'P &amp; NP'!DF515</f>
        <v>0</v>
      </c>
      <c r="Q37" s="116">
        <f>'P &amp; NP'!DU515</f>
        <v>0</v>
      </c>
      <c r="R37" s="116">
        <f>'P &amp; NP'!DV515</f>
        <v>0</v>
      </c>
      <c r="S37" s="116">
        <f>'P &amp; NP'!EK515</f>
        <v>0</v>
      </c>
      <c r="T37" s="116">
        <f>'P &amp; NP'!EL515</f>
        <v>0</v>
      </c>
      <c r="U37" s="116">
        <f>'P &amp; NP'!FA514</f>
        <v>0</v>
      </c>
      <c r="V37" s="116">
        <f>'P &amp; NP'!FB514</f>
        <v>0</v>
      </c>
      <c r="W37" s="116">
        <f>'P &amp; NP'!FQ515</f>
        <v>0</v>
      </c>
      <c r="X37" s="116">
        <f>'P &amp; NP'!FR515</f>
        <v>0</v>
      </c>
      <c r="Y37" s="116">
        <f>'P &amp; NP'!GG514</f>
        <v>0</v>
      </c>
      <c r="Z37" s="116">
        <f>'P &amp; NP'!GH514</f>
        <v>0</v>
      </c>
      <c r="AA37" s="116">
        <f>'P &amp; NP'!GW515</f>
        <v>0</v>
      </c>
      <c r="AB37" s="116">
        <f>'P &amp; NP'!GX515</f>
        <v>0</v>
      </c>
      <c r="AC37" s="116">
        <f>'P &amp; NP'!HM515</f>
        <v>0</v>
      </c>
      <c r="AD37" s="116">
        <f>'P &amp; NP'!HN515</f>
        <v>0</v>
      </c>
      <c r="AE37" s="116">
        <f>'P &amp; NP'!IC515</f>
        <v>0</v>
      </c>
      <c r="AF37" s="116">
        <f>'P &amp; NP'!ID515</f>
        <v>0</v>
      </c>
      <c r="AG37" s="116">
        <f>'P &amp; NP'!IS515</f>
        <v>0</v>
      </c>
      <c r="AH37" s="116">
        <f>'P &amp; NP'!IT515</f>
        <v>0</v>
      </c>
      <c r="AI37" s="116">
        <f>'P &amp; NP'!JI515</f>
        <v>0</v>
      </c>
      <c r="AJ37" s="116">
        <f>'P &amp; NP'!JJ515</f>
        <v>0</v>
      </c>
      <c r="AK37" s="116">
        <f>'P &amp; NP'!JY515</f>
        <v>0</v>
      </c>
      <c r="AL37" s="116">
        <f>'P &amp; NP'!JZ515</f>
        <v>0</v>
      </c>
      <c r="AM37" s="116">
        <f>'P &amp; NP'!KO515</f>
        <v>0</v>
      </c>
      <c r="AN37" s="116">
        <f>'P &amp; NP'!KP515</f>
        <v>0</v>
      </c>
      <c r="AO37" s="116">
        <f>'P &amp; NP'!LE515</f>
        <v>0</v>
      </c>
      <c r="AP37" s="116">
        <f>'P &amp; NP'!LF515</f>
        <v>0</v>
      </c>
      <c r="AQ37" s="116">
        <f>'P &amp; NP'!LU515</f>
        <v>0</v>
      </c>
      <c r="AR37" s="116">
        <f>'P &amp; NP'!LV515</f>
        <v>0</v>
      </c>
      <c r="AS37" s="116">
        <f>'P &amp; NP'!MK515</f>
        <v>0</v>
      </c>
      <c r="AT37" s="116">
        <f>'P &amp; NP'!ML515</f>
        <v>0</v>
      </c>
      <c r="AU37" s="116">
        <f>'P &amp; NP'!NA515</f>
        <v>0</v>
      </c>
      <c r="AV37" s="116">
        <f>'P &amp; NP'!NB515</f>
        <v>0</v>
      </c>
      <c r="AW37" s="116">
        <f>'P &amp; NP'!NQ514</f>
        <v>0</v>
      </c>
      <c r="AX37" s="116">
        <f>'P &amp; NP'!NR514</f>
        <v>0</v>
      </c>
      <c r="AY37" s="116">
        <f>'P &amp; NP'!OG515</f>
        <v>0</v>
      </c>
      <c r="AZ37" s="116">
        <f>'P &amp; NP'!OH515</f>
        <v>0</v>
      </c>
      <c r="BA37" s="116">
        <f>'P &amp; NP'!OW515</f>
        <v>0</v>
      </c>
      <c r="BB37" s="116">
        <f>'P &amp; NP'!OX515</f>
        <v>0</v>
      </c>
      <c r="BC37" s="116">
        <f>'P &amp; NP'!PM515</f>
        <v>0</v>
      </c>
      <c r="BD37" s="116">
        <f>'P &amp; NP'!PN515</f>
        <v>0</v>
      </c>
      <c r="BE37" s="116">
        <f>'P &amp; NP'!$QC514</f>
        <v>0</v>
      </c>
      <c r="BF37" s="116">
        <f>'P &amp; NP'!$QD514</f>
        <v>0</v>
      </c>
      <c r="BG37" s="116">
        <f>'P &amp; NP'!QS515</f>
        <v>0</v>
      </c>
      <c r="BH37" s="116">
        <f>'P &amp; NP'!QT515</f>
        <v>0</v>
      </c>
      <c r="BI37" s="116">
        <f>'P &amp; NP'!RI515</f>
        <v>0</v>
      </c>
      <c r="BJ37" s="116">
        <f>'P &amp; NP'!RJ515</f>
        <v>0</v>
      </c>
      <c r="BK37" s="116">
        <f>'P &amp; NP'!RY515</f>
        <v>0</v>
      </c>
      <c r="BL37" s="116">
        <f>'P &amp; NP'!RZ515</f>
        <v>0</v>
      </c>
      <c r="BM37" s="116">
        <f>'P &amp; NP'!SO515</f>
        <v>0</v>
      </c>
      <c r="BN37" s="116">
        <f>'P &amp; NP'!SP515</f>
        <v>0</v>
      </c>
      <c r="BO37" s="116">
        <f>'P &amp; NP'!TE515</f>
        <v>0</v>
      </c>
      <c r="BP37" s="116">
        <f>'P &amp; NP'!TF515</f>
        <v>0</v>
      </c>
      <c r="BQ37" s="116">
        <f>'P &amp; NP'!TU514</f>
        <v>0</v>
      </c>
      <c r="BR37" s="116">
        <f>'P &amp; NP'!TV514</f>
        <v>0</v>
      </c>
      <c r="BS37" s="116">
        <f>'P &amp; NP'!UK515</f>
        <v>0</v>
      </c>
      <c r="BT37" s="116">
        <f>'P &amp; NP'!UL515</f>
        <v>0</v>
      </c>
      <c r="BU37" s="116">
        <f>'P &amp; NP'!VA515</f>
        <v>0</v>
      </c>
      <c r="BV37" s="116">
        <f>'P &amp; NP'!VB515</f>
        <v>0</v>
      </c>
      <c r="BW37" s="116">
        <f>'P &amp; NP'!VQ515</f>
        <v>0</v>
      </c>
      <c r="BX37" s="116">
        <f>'P &amp; NP'!VR515</f>
        <v>0</v>
      </c>
      <c r="BY37" s="116">
        <f>'P &amp; NP'!WG515</f>
        <v>0</v>
      </c>
      <c r="BZ37" s="116">
        <f>'P &amp; NP'!WH515</f>
        <v>0</v>
      </c>
      <c r="CB37" s="206">
        <f t="shared" si="70"/>
        <v>0</v>
      </c>
      <c r="CC37" s="206">
        <f t="shared" si="71"/>
        <v>0</v>
      </c>
    </row>
    <row r="38" spans="1:81">
      <c r="B38" s="207" t="str">
        <f>'P &amp; NP'!B44</f>
        <v xml:space="preserve">Udang_04 (Udang Lainnya) </v>
      </c>
      <c r="C38" s="116">
        <f>'P &amp; NP'!M515</f>
        <v>0</v>
      </c>
      <c r="D38" s="116">
        <f>'P &amp; NP'!N515</f>
        <v>0</v>
      </c>
      <c r="E38" s="116">
        <f>'P &amp; NP'!AC515</f>
        <v>0</v>
      </c>
      <c r="F38" s="116">
        <f>'P &amp; NP'!AD515</f>
        <v>0</v>
      </c>
      <c r="G38" s="116">
        <f>'P &amp; NP'!AS515</f>
        <v>0</v>
      </c>
      <c r="H38" s="116">
        <f>'P &amp; NP'!AT515</f>
        <v>0</v>
      </c>
      <c r="I38" s="116">
        <f t="shared" si="69"/>
        <v>0</v>
      </c>
      <c r="J38" s="116">
        <f>'P &amp; NP'!BJ516</f>
        <v>0</v>
      </c>
      <c r="K38" s="116">
        <f>'P &amp; NP'!BY516</f>
        <v>0</v>
      </c>
      <c r="L38" s="116">
        <f>'P &amp; NP'!BZ516</f>
        <v>0</v>
      </c>
      <c r="M38" s="116">
        <f>'P &amp; NP'!CO516</f>
        <v>0</v>
      </c>
      <c r="N38" s="116">
        <f>'P &amp; NP'!CP516</f>
        <v>0</v>
      </c>
      <c r="O38" s="116">
        <f>'P &amp; NP'!DE516</f>
        <v>0</v>
      </c>
      <c r="P38" s="116">
        <f>'P &amp; NP'!DF516</f>
        <v>0</v>
      </c>
      <c r="Q38" s="116">
        <f>'P &amp; NP'!DU516</f>
        <v>0</v>
      </c>
      <c r="R38" s="116">
        <f>'P &amp; NP'!DV516</f>
        <v>0</v>
      </c>
      <c r="S38" s="116">
        <f>'P &amp; NP'!EK516</f>
        <v>0</v>
      </c>
      <c r="T38" s="116">
        <f>'P &amp; NP'!EL516</f>
        <v>0</v>
      </c>
      <c r="U38" s="116">
        <f>'P &amp; NP'!FA515</f>
        <v>0</v>
      </c>
      <c r="V38" s="116">
        <f>'P &amp; NP'!FB515</f>
        <v>0</v>
      </c>
      <c r="W38" s="116">
        <f>'P &amp; NP'!FQ516</f>
        <v>0</v>
      </c>
      <c r="X38" s="116">
        <f>'P &amp; NP'!FR516</f>
        <v>0</v>
      </c>
      <c r="Y38" s="116">
        <f>'P &amp; NP'!GG515</f>
        <v>0</v>
      </c>
      <c r="Z38" s="116">
        <f>'P &amp; NP'!GH515</f>
        <v>0</v>
      </c>
      <c r="AA38" s="116">
        <f>'P &amp; NP'!GW516</f>
        <v>0</v>
      </c>
      <c r="AB38" s="116">
        <f>'P &amp; NP'!GX516</f>
        <v>0</v>
      </c>
      <c r="AC38" s="116">
        <f>'P &amp; NP'!HM516</f>
        <v>0</v>
      </c>
      <c r="AD38" s="116">
        <f>'P &amp; NP'!HN516</f>
        <v>0</v>
      </c>
      <c r="AE38" s="116">
        <f>'P &amp; NP'!IC516</f>
        <v>0</v>
      </c>
      <c r="AF38" s="116">
        <f>'P &amp; NP'!ID516</f>
        <v>0</v>
      </c>
      <c r="AG38" s="116">
        <f>'P &amp; NP'!IS516</f>
        <v>0</v>
      </c>
      <c r="AH38" s="116">
        <f>'P &amp; NP'!IT516</f>
        <v>0</v>
      </c>
      <c r="AI38" s="116">
        <f>'P &amp; NP'!JI516</f>
        <v>0</v>
      </c>
      <c r="AJ38" s="116">
        <f>'P &amp; NP'!JJ516</f>
        <v>0</v>
      </c>
      <c r="AK38" s="116">
        <f>'P &amp; NP'!JY516</f>
        <v>0</v>
      </c>
      <c r="AL38" s="116">
        <f>'P &amp; NP'!JZ516</f>
        <v>0</v>
      </c>
      <c r="AM38" s="116">
        <f>'P &amp; NP'!KO516</f>
        <v>0</v>
      </c>
      <c r="AN38" s="116">
        <f>'P &amp; NP'!KP516</f>
        <v>0</v>
      </c>
      <c r="AO38" s="116">
        <f>'P &amp; NP'!LE516</f>
        <v>0</v>
      </c>
      <c r="AP38" s="116">
        <f>'P &amp; NP'!LF516</f>
        <v>0</v>
      </c>
      <c r="AQ38" s="116">
        <f>'P &amp; NP'!LU516</f>
        <v>0</v>
      </c>
      <c r="AR38" s="116">
        <f>'P &amp; NP'!LV516</f>
        <v>0</v>
      </c>
      <c r="AS38" s="116">
        <f>'P &amp; NP'!MK516</f>
        <v>0</v>
      </c>
      <c r="AT38" s="116">
        <f>'P &amp; NP'!ML516</f>
        <v>0</v>
      </c>
      <c r="AU38" s="116">
        <f>'P &amp; NP'!NA516</f>
        <v>0</v>
      </c>
      <c r="AV38" s="116">
        <f>'P &amp; NP'!NB516</f>
        <v>0</v>
      </c>
      <c r="AW38" s="116">
        <f>'P &amp; NP'!NQ515</f>
        <v>0</v>
      </c>
      <c r="AX38" s="116">
        <f>'P &amp; NP'!NR515</f>
        <v>0</v>
      </c>
      <c r="AY38" s="116">
        <f>'P &amp; NP'!OG516</f>
        <v>0</v>
      </c>
      <c r="AZ38" s="116">
        <f>'P &amp; NP'!OH516</f>
        <v>0</v>
      </c>
      <c r="BA38" s="116">
        <f>'P &amp; NP'!OW516</f>
        <v>0</v>
      </c>
      <c r="BB38" s="116">
        <f>'P &amp; NP'!OX516</f>
        <v>0</v>
      </c>
      <c r="BC38" s="116">
        <f>'P &amp; NP'!PM516</f>
        <v>0</v>
      </c>
      <c r="BD38" s="116">
        <f>'P &amp; NP'!PN516</f>
        <v>0</v>
      </c>
      <c r="BE38" s="116">
        <f>'P &amp; NP'!$QC515</f>
        <v>0</v>
      </c>
      <c r="BF38" s="116">
        <f>'P &amp; NP'!$QD515</f>
        <v>0</v>
      </c>
      <c r="BG38" s="116">
        <f>'P &amp; NP'!QS516</f>
        <v>0</v>
      </c>
      <c r="BH38" s="116">
        <f>'P &amp; NP'!QT516</f>
        <v>0</v>
      </c>
      <c r="BI38" s="116">
        <f>'P &amp; NP'!RI516</f>
        <v>0</v>
      </c>
      <c r="BJ38" s="116">
        <f>'P &amp; NP'!RJ516</f>
        <v>0</v>
      </c>
      <c r="BK38" s="116">
        <f>'P &amp; NP'!RY516</f>
        <v>0</v>
      </c>
      <c r="BL38" s="116">
        <f>'P &amp; NP'!RZ516</f>
        <v>0</v>
      </c>
      <c r="BM38" s="116">
        <f>'P &amp; NP'!SO516</f>
        <v>0</v>
      </c>
      <c r="BN38" s="116">
        <f>'P &amp; NP'!SP516</f>
        <v>0</v>
      </c>
      <c r="BO38" s="116">
        <f>'P &amp; NP'!TE516</f>
        <v>0</v>
      </c>
      <c r="BP38" s="116">
        <f>'P &amp; NP'!TF516</f>
        <v>0</v>
      </c>
      <c r="BQ38" s="116">
        <f>'P &amp; NP'!TU515</f>
        <v>0</v>
      </c>
      <c r="BR38" s="116">
        <f>'P &amp; NP'!TV515</f>
        <v>0</v>
      </c>
      <c r="BS38" s="116">
        <f>'P &amp; NP'!UK516</f>
        <v>0</v>
      </c>
      <c r="BT38" s="116">
        <f>'P &amp; NP'!UL516</f>
        <v>0</v>
      </c>
      <c r="BU38" s="116">
        <f>'P &amp; NP'!VA516</f>
        <v>0</v>
      </c>
      <c r="BV38" s="116">
        <f>'P &amp; NP'!VB516</f>
        <v>0</v>
      </c>
      <c r="BW38" s="116">
        <f>'P &amp; NP'!VQ516</f>
        <v>0</v>
      </c>
      <c r="BX38" s="116">
        <f>'P &amp; NP'!VR516</f>
        <v>0</v>
      </c>
      <c r="BY38" s="116">
        <f>'P &amp; NP'!WG516</f>
        <v>0</v>
      </c>
      <c r="BZ38" s="116">
        <f>'P &amp; NP'!WH516</f>
        <v>0</v>
      </c>
      <c r="CB38" s="206">
        <f t="shared" si="70"/>
        <v>0</v>
      </c>
      <c r="CC38" s="206">
        <f t="shared" si="71"/>
        <v>0</v>
      </c>
    </row>
    <row r="39" spans="1:81">
      <c r="B39" s="207" t="str">
        <f>'P &amp; NP'!B45</f>
        <v xml:space="preserve">Udang_05 (Udang Lainnya) </v>
      </c>
      <c r="C39" s="116">
        <f>'P &amp; NP'!M516</f>
        <v>0</v>
      </c>
      <c r="D39" s="116">
        <f>'P &amp; NP'!N516</f>
        <v>0</v>
      </c>
      <c r="E39" s="116">
        <f>'P &amp; NP'!AC516</f>
        <v>0</v>
      </c>
      <c r="F39" s="116">
        <f>'P &amp; NP'!AD516</f>
        <v>0</v>
      </c>
      <c r="G39" s="116">
        <f>'P &amp; NP'!AS516</f>
        <v>0</v>
      </c>
      <c r="H39" s="116">
        <f>'P &amp; NP'!AT516</f>
        <v>0</v>
      </c>
      <c r="I39" s="116">
        <f t="shared" si="69"/>
        <v>0</v>
      </c>
      <c r="J39" s="116">
        <f>'P &amp; NP'!BJ517</f>
        <v>0</v>
      </c>
      <c r="K39" s="116">
        <f>'P &amp; NP'!BY517</f>
        <v>0</v>
      </c>
      <c r="L39" s="116">
        <f>'P &amp; NP'!BZ517</f>
        <v>0</v>
      </c>
      <c r="M39" s="116">
        <f>'P &amp; NP'!CO517</f>
        <v>0</v>
      </c>
      <c r="N39" s="116">
        <f>'P &amp; NP'!CP517</f>
        <v>0</v>
      </c>
      <c r="O39" s="116">
        <f>'P &amp; NP'!DE517</f>
        <v>0</v>
      </c>
      <c r="P39" s="116">
        <f>'P &amp; NP'!DF517</f>
        <v>0</v>
      </c>
      <c r="Q39" s="116">
        <f>'P &amp; NP'!DU517</f>
        <v>0</v>
      </c>
      <c r="R39" s="116">
        <f>'P &amp; NP'!DV517</f>
        <v>0</v>
      </c>
      <c r="S39" s="116">
        <f>'P &amp; NP'!EK517</f>
        <v>0</v>
      </c>
      <c r="T39" s="116">
        <f>'P &amp; NP'!EL517</f>
        <v>0</v>
      </c>
      <c r="U39" s="116">
        <f>'P &amp; NP'!FA516</f>
        <v>0</v>
      </c>
      <c r="V39" s="116">
        <f>'P &amp; NP'!FB516</f>
        <v>0</v>
      </c>
      <c r="W39" s="116">
        <f>'P &amp; NP'!FQ517</f>
        <v>0</v>
      </c>
      <c r="X39" s="116">
        <f>'P &amp; NP'!FR517</f>
        <v>0</v>
      </c>
      <c r="Y39" s="116">
        <f>'P &amp; NP'!GG516</f>
        <v>0</v>
      </c>
      <c r="Z39" s="116">
        <f>'P &amp; NP'!GH516</f>
        <v>0</v>
      </c>
      <c r="AA39" s="116">
        <f>'P &amp; NP'!GW517</f>
        <v>0</v>
      </c>
      <c r="AB39" s="116">
        <f>'P &amp; NP'!GX517</f>
        <v>0</v>
      </c>
      <c r="AC39" s="116">
        <f>'P &amp; NP'!HM517</f>
        <v>0</v>
      </c>
      <c r="AD39" s="116">
        <f>'P &amp; NP'!HN517</f>
        <v>0</v>
      </c>
      <c r="AE39" s="116">
        <f>'P &amp; NP'!IC517</f>
        <v>0</v>
      </c>
      <c r="AF39" s="116">
        <f>'P &amp; NP'!ID517</f>
        <v>0</v>
      </c>
      <c r="AG39" s="116">
        <f>'P &amp; NP'!IS517</f>
        <v>0</v>
      </c>
      <c r="AH39" s="116">
        <f>'P &amp; NP'!IT517</f>
        <v>0</v>
      </c>
      <c r="AI39" s="116">
        <f>'P &amp; NP'!JI517</f>
        <v>0</v>
      </c>
      <c r="AJ39" s="116">
        <f>'P &amp; NP'!JJ517</f>
        <v>0</v>
      </c>
      <c r="AK39" s="116">
        <f>'P &amp; NP'!JY517</f>
        <v>0</v>
      </c>
      <c r="AL39" s="116">
        <f>'P &amp; NP'!JZ517</f>
        <v>0</v>
      </c>
      <c r="AM39" s="116">
        <f>'P &amp; NP'!KO517</f>
        <v>0</v>
      </c>
      <c r="AN39" s="116">
        <f>'P &amp; NP'!KP517</f>
        <v>0</v>
      </c>
      <c r="AO39" s="116">
        <f>'P &amp; NP'!LE517</f>
        <v>0</v>
      </c>
      <c r="AP39" s="116">
        <f>'P &amp; NP'!LF517</f>
        <v>0</v>
      </c>
      <c r="AQ39" s="116">
        <f>'P &amp; NP'!LU517</f>
        <v>0</v>
      </c>
      <c r="AR39" s="116">
        <f>'P &amp; NP'!LV517</f>
        <v>0</v>
      </c>
      <c r="AS39" s="116">
        <f>'P &amp; NP'!MK517</f>
        <v>0</v>
      </c>
      <c r="AT39" s="116">
        <f>'P &amp; NP'!ML517</f>
        <v>0</v>
      </c>
      <c r="AU39" s="116">
        <f>'P &amp; NP'!NA517</f>
        <v>0</v>
      </c>
      <c r="AV39" s="116">
        <f>'P &amp; NP'!NB517</f>
        <v>0</v>
      </c>
      <c r="AW39" s="116">
        <f>'P &amp; NP'!NQ516</f>
        <v>0</v>
      </c>
      <c r="AX39" s="116">
        <f>'P &amp; NP'!NR516</f>
        <v>0</v>
      </c>
      <c r="AY39" s="116">
        <f>'P &amp; NP'!OG517</f>
        <v>0</v>
      </c>
      <c r="AZ39" s="116">
        <f>'P &amp; NP'!OH517</f>
        <v>0</v>
      </c>
      <c r="BA39" s="116">
        <f>'P &amp; NP'!OW517</f>
        <v>0</v>
      </c>
      <c r="BB39" s="116">
        <f>'P &amp; NP'!OX517</f>
        <v>0</v>
      </c>
      <c r="BC39" s="116">
        <f>'P &amp; NP'!PM517</f>
        <v>0</v>
      </c>
      <c r="BD39" s="116">
        <f>'P &amp; NP'!PN517</f>
        <v>0</v>
      </c>
      <c r="BE39" s="116">
        <f>'P &amp; NP'!$QC516</f>
        <v>0</v>
      </c>
      <c r="BF39" s="116">
        <f>'P &amp; NP'!$QD516</f>
        <v>0</v>
      </c>
      <c r="BG39" s="116">
        <f>'P &amp; NP'!QS517</f>
        <v>0</v>
      </c>
      <c r="BH39" s="116">
        <f>'P &amp; NP'!QT517</f>
        <v>0</v>
      </c>
      <c r="BI39" s="116">
        <f>'P &amp; NP'!RI517</f>
        <v>0</v>
      </c>
      <c r="BJ39" s="116">
        <f>'P &amp; NP'!RJ517</f>
        <v>0</v>
      </c>
      <c r="BK39" s="116">
        <f>'P &amp; NP'!RY517</f>
        <v>0</v>
      </c>
      <c r="BL39" s="116">
        <f>'P &amp; NP'!RZ517</f>
        <v>0</v>
      </c>
      <c r="BM39" s="116">
        <f>'P &amp; NP'!SO517</f>
        <v>0</v>
      </c>
      <c r="BN39" s="116">
        <f>'P &amp; NP'!SP517</f>
        <v>0</v>
      </c>
      <c r="BO39" s="116">
        <f>'P &amp; NP'!TE517</f>
        <v>0</v>
      </c>
      <c r="BP39" s="116">
        <f>'P &amp; NP'!TF517</f>
        <v>0</v>
      </c>
      <c r="BQ39" s="116">
        <f>'P &amp; NP'!TU516</f>
        <v>0</v>
      </c>
      <c r="BR39" s="116">
        <f>'P &amp; NP'!TV516</f>
        <v>0</v>
      </c>
      <c r="BS39" s="116">
        <f>'P &amp; NP'!UK517</f>
        <v>0</v>
      </c>
      <c r="BT39" s="116">
        <f>'P &amp; NP'!UL517</f>
        <v>0</v>
      </c>
      <c r="BU39" s="116">
        <f>'P &amp; NP'!VA517</f>
        <v>0</v>
      </c>
      <c r="BV39" s="116">
        <f>'P &amp; NP'!VB517</f>
        <v>0</v>
      </c>
      <c r="BW39" s="116">
        <f>'P &amp; NP'!VQ517</f>
        <v>0</v>
      </c>
      <c r="BX39" s="116">
        <f>'P &amp; NP'!VR517</f>
        <v>0</v>
      </c>
      <c r="BY39" s="116">
        <f>'P &amp; NP'!WG517</f>
        <v>0</v>
      </c>
      <c r="BZ39" s="116">
        <f>'P &amp; NP'!WH517</f>
        <v>0</v>
      </c>
      <c r="CB39" s="206">
        <f t="shared" si="70"/>
        <v>0</v>
      </c>
      <c r="CC39" s="206">
        <f t="shared" si="71"/>
        <v>0</v>
      </c>
    </row>
    <row r="40" spans="1:81">
      <c r="B40" s="207" t="str">
        <f>'P &amp; NP'!B46</f>
        <v>Ikan_01 (Ikan Lainnya)</v>
      </c>
      <c r="C40" s="116">
        <f>'P &amp; NP'!M517</f>
        <v>0</v>
      </c>
      <c r="D40" s="116">
        <f>'P &amp; NP'!N517</f>
        <v>0</v>
      </c>
      <c r="E40" s="116">
        <f>'P &amp; NP'!AC517</f>
        <v>0</v>
      </c>
      <c r="F40" s="116">
        <f>'P &amp; NP'!AD517</f>
        <v>0</v>
      </c>
      <c r="G40" s="116">
        <f>'P &amp; NP'!AS517</f>
        <v>0</v>
      </c>
      <c r="H40" s="116">
        <f>'P &amp; NP'!AT517</f>
        <v>0</v>
      </c>
      <c r="I40" s="116">
        <f t="shared" si="69"/>
        <v>0</v>
      </c>
      <c r="J40" s="116">
        <f>'P &amp; NP'!BJ518</f>
        <v>0</v>
      </c>
      <c r="K40" s="116">
        <f>'P &amp; NP'!BY518</f>
        <v>0</v>
      </c>
      <c r="L40" s="116">
        <f>'P &amp; NP'!BZ518</f>
        <v>0</v>
      </c>
      <c r="M40" s="116">
        <f>'P &amp; NP'!CO518</f>
        <v>0</v>
      </c>
      <c r="N40" s="116">
        <f>'P &amp; NP'!CP518</f>
        <v>0</v>
      </c>
      <c r="O40" s="116">
        <f>'P &amp; NP'!DE518</f>
        <v>0</v>
      </c>
      <c r="P40" s="116">
        <f>'P &amp; NP'!DF518</f>
        <v>0</v>
      </c>
      <c r="Q40" s="116">
        <f>'P &amp; NP'!DU518</f>
        <v>0</v>
      </c>
      <c r="R40" s="116">
        <f>'P &amp; NP'!DV518</f>
        <v>0</v>
      </c>
      <c r="S40" s="116">
        <f>'P &amp; NP'!EK518</f>
        <v>0</v>
      </c>
      <c r="T40" s="116">
        <f>'P &amp; NP'!EL518</f>
        <v>0</v>
      </c>
      <c r="U40" s="116">
        <f>'P &amp; NP'!FA517</f>
        <v>0</v>
      </c>
      <c r="V40" s="116">
        <f>'P &amp; NP'!FB517</f>
        <v>0</v>
      </c>
      <c r="W40" s="116">
        <f>'P &amp; NP'!FQ518</f>
        <v>0</v>
      </c>
      <c r="X40" s="116">
        <f>'P &amp; NP'!FR518</f>
        <v>0</v>
      </c>
      <c r="Y40" s="116">
        <f>'P &amp; NP'!GG517</f>
        <v>0</v>
      </c>
      <c r="Z40" s="116">
        <f>'P &amp; NP'!GH517</f>
        <v>0</v>
      </c>
      <c r="AA40" s="116">
        <f>'P &amp; NP'!GW518</f>
        <v>0</v>
      </c>
      <c r="AB40" s="116">
        <f>'P &amp; NP'!GX518</f>
        <v>0</v>
      </c>
      <c r="AC40" s="116">
        <f>'P &amp; NP'!HM518</f>
        <v>0</v>
      </c>
      <c r="AD40" s="116">
        <f>'P &amp; NP'!HN518</f>
        <v>0</v>
      </c>
      <c r="AE40" s="116">
        <f>'P &amp; NP'!IC518</f>
        <v>0</v>
      </c>
      <c r="AF40" s="116">
        <f>'P &amp; NP'!ID518</f>
        <v>0</v>
      </c>
      <c r="AG40" s="116">
        <f>'P &amp; NP'!IS518</f>
        <v>0</v>
      </c>
      <c r="AH40" s="116">
        <f>'P &amp; NP'!IT518</f>
        <v>0</v>
      </c>
      <c r="AI40" s="116">
        <f>'P &amp; NP'!JI518</f>
        <v>0</v>
      </c>
      <c r="AJ40" s="116">
        <f>'P &amp; NP'!JJ518</f>
        <v>0</v>
      </c>
      <c r="AK40" s="116">
        <f>'P &amp; NP'!JY518</f>
        <v>0</v>
      </c>
      <c r="AL40" s="116">
        <f>'P &amp; NP'!JZ518</f>
        <v>0</v>
      </c>
      <c r="AM40" s="116">
        <f>'P &amp; NP'!KO518</f>
        <v>0</v>
      </c>
      <c r="AN40" s="116">
        <f>'P &amp; NP'!KP518</f>
        <v>0</v>
      </c>
      <c r="AO40" s="116">
        <f>'P &amp; NP'!LE518</f>
        <v>0</v>
      </c>
      <c r="AP40" s="116">
        <f>'P &amp; NP'!LF518</f>
        <v>0</v>
      </c>
      <c r="AQ40" s="116">
        <f>'P &amp; NP'!LU518</f>
        <v>0</v>
      </c>
      <c r="AR40" s="116">
        <f>'P &amp; NP'!LV518</f>
        <v>0</v>
      </c>
      <c r="AS40" s="116">
        <f>'P &amp; NP'!MK518</f>
        <v>0</v>
      </c>
      <c r="AT40" s="116">
        <f>'P &amp; NP'!ML518</f>
        <v>0</v>
      </c>
      <c r="AU40" s="116">
        <f>'P &amp; NP'!NA518</f>
        <v>0</v>
      </c>
      <c r="AV40" s="116">
        <f>'P &amp; NP'!NB518</f>
        <v>0</v>
      </c>
      <c r="AW40" s="116">
        <f>'P &amp; NP'!NQ517</f>
        <v>0</v>
      </c>
      <c r="AX40" s="116">
        <f>'P &amp; NP'!NR517</f>
        <v>0</v>
      </c>
      <c r="AY40" s="116">
        <f>'P &amp; NP'!OG518</f>
        <v>0</v>
      </c>
      <c r="AZ40" s="116">
        <f>'P &amp; NP'!OH518</f>
        <v>0</v>
      </c>
      <c r="BA40" s="116">
        <f>'P &amp; NP'!OW518</f>
        <v>0</v>
      </c>
      <c r="BB40" s="116">
        <f>'P &amp; NP'!OX518</f>
        <v>0</v>
      </c>
      <c r="BC40" s="116">
        <f>'P &amp; NP'!PM518</f>
        <v>0</v>
      </c>
      <c r="BD40" s="116">
        <f>'P &amp; NP'!PN518</f>
        <v>0</v>
      </c>
      <c r="BE40" s="116">
        <f>'P &amp; NP'!$QC517</f>
        <v>0</v>
      </c>
      <c r="BF40" s="116">
        <f>'P &amp; NP'!$QD517</f>
        <v>0</v>
      </c>
      <c r="BG40" s="116">
        <f>'P &amp; NP'!QS518</f>
        <v>0</v>
      </c>
      <c r="BH40" s="116">
        <f>'P &amp; NP'!QT518</f>
        <v>0</v>
      </c>
      <c r="BI40" s="116">
        <f>'P &amp; NP'!RI518</f>
        <v>0</v>
      </c>
      <c r="BJ40" s="116">
        <f>'P &amp; NP'!RJ518</f>
        <v>0</v>
      </c>
      <c r="BK40" s="116">
        <f>'P &amp; NP'!RY518</f>
        <v>0</v>
      </c>
      <c r="BL40" s="116">
        <f>'P &amp; NP'!RZ518</f>
        <v>0</v>
      </c>
      <c r="BM40" s="116">
        <f>'P &amp; NP'!SO518</f>
        <v>0</v>
      </c>
      <c r="BN40" s="116">
        <f>'P &amp; NP'!SP518</f>
        <v>0</v>
      </c>
      <c r="BO40" s="116">
        <f>'P &amp; NP'!TE518</f>
        <v>0</v>
      </c>
      <c r="BP40" s="116">
        <f>'P &amp; NP'!TF518</f>
        <v>0</v>
      </c>
      <c r="BQ40" s="116">
        <f>'P &amp; NP'!TU517</f>
        <v>0</v>
      </c>
      <c r="BR40" s="116">
        <f>'P &amp; NP'!TV517</f>
        <v>0</v>
      </c>
      <c r="BS40" s="116">
        <f>'P &amp; NP'!UK518</f>
        <v>0</v>
      </c>
      <c r="BT40" s="116">
        <f>'P &amp; NP'!UL518</f>
        <v>0</v>
      </c>
      <c r="BU40" s="116">
        <f>'P &amp; NP'!VA518</f>
        <v>0</v>
      </c>
      <c r="BV40" s="116">
        <f>'P &amp; NP'!VB518</f>
        <v>0</v>
      </c>
      <c r="BW40" s="116">
        <f>'P &amp; NP'!VQ518</f>
        <v>0</v>
      </c>
      <c r="BX40" s="116">
        <f>'P &amp; NP'!VR518</f>
        <v>0</v>
      </c>
      <c r="BY40" s="116">
        <f>'P &amp; NP'!WG518</f>
        <v>0</v>
      </c>
      <c r="BZ40" s="116">
        <f>'P &amp; NP'!WH518</f>
        <v>0</v>
      </c>
      <c r="CB40" s="206">
        <f t="shared" si="70"/>
        <v>0</v>
      </c>
      <c r="CC40" s="206">
        <f t="shared" si="71"/>
        <v>0</v>
      </c>
    </row>
    <row r="41" spans="1:81">
      <c r="B41" s="207" t="str">
        <f>'P &amp; NP'!B47</f>
        <v>Ikan_02 (Tiram)</v>
      </c>
      <c r="C41" s="116">
        <f>'P &amp; NP'!M518</f>
        <v>0</v>
      </c>
      <c r="D41" s="116">
        <f>'P &amp; NP'!N518</f>
        <v>0</v>
      </c>
      <c r="E41" s="116">
        <f>'P &amp; NP'!AC518</f>
        <v>0</v>
      </c>
      <c r="F41" s="116">
        <f>'P &amp; NP'!AD518</f>
        <v>0</v>
      </c>
      <c r="G41" s="116">
        <f>'P &amp; NP'!AS518</f>
        <v>0</v>
      </c>
      <c r="H41" s="116">
        <f>'P &amp; NP'!AT518</f>
        <v>0</v>
      </c>
      <c r="I41" s="116">
        <f t="shared" si="69"/>
        <v>0</v>
      </c>
      <c r="J41" s="116">
        <f>'P &amp; NP'!BJ519</f>
        <v>0</v>
      </c>
      <c r="K41" s="116">
        <f>'P &amp; NP'!BY519</f>
        <v>0</v>
      </c>
      <c r="L41" s="116">
        <f>'P &amp; NP'!BZ519</f>
        <v>0</v>
      </c>
      <c r="M41" s="116">
        <f>'P &amp; NP'!CO519</f>
        <v>0</v>
      </c>
      <c r="N41" s="116">
        <f>'P &amp; NP'!CP519</f>
        <v>0</v>
      </c>
      <c r="O41" s="116">
        <f>'P &amp; NP'!DE519</f>
        <v>0</v>
      </c>
      <c r="P41" s="116">
        <f>'P &amp; NP'!DF519</f>
        <v>0</v>
      </c>
      <c r="Q41" s="116">
        <f>'P &amp; NP'!DU519</f>
        <v>0</v>
      </c>
      <c r="R41" s="116">
        <f>'P &amp; NP'!DV519</f>
        <v>0</v>
      </c>
      <c r="S41" s="116">
        <f>'P &amp; NP'!EK519</f>
        <v>0</v>
      </c>
      <c r="T41" s="116">
        <f>'P &amp; NP'!EL519</f>
        <v>0</v>
      </c>
      <c r="U41" s="116">
        <f>'P &amp; NP'!FA518</f>
        <v>0</v>
      </c>
      <c r="V41" s="116">
        <f>'P &amp; NP'!FB518</f>
        <v>0</v>
      </c>
      <c r="W41" s="116">
        <f>'P &amp; NP'!FQ519</f>
        <v>0</v>
      </c>
      <c r="X41" s="116">
        <f>'P &amp; NP'!FR519</f>
        <v>0</v>
      </c>
      <c r="Y41" s="116">
        <f>'P &amp; NP'!GG518</f>
        <v>0</v>
      </c>
      <c r="Z41" s="116">
        <f>'P &amp; NP'!GH518</f>
        <v>0</v>
      </c>
      <c r="AA41" s="116">
        <f>'P &amp; NP'!GW519</f>
        <v>0</v>
      </c>
      <c r="AB41" s="116">
        <f>'P &amp; NP'!GX519</f>
        <v>0</v>
      </c>
      <c r="AC41" s="116">
        <f>'P &amp; NP'!HM519</f>
        <v>0</v>
      </c>
      <c r="AD41" s="116">
        <f>'P &amp; NP'!HN519</f>
        <v>0</v>
      </c>
      <c r="AE41" s="116">
        <f>'P &amp; NP'!IC519</f>
        <v>0</v>
      </c>
      <c r="AF41" s="116">
        <f>'P &amp; NP'!ID519</f>
        <v>0</v>
      </c>
      <c r="AG41" s="116">
        <f>'P &amp; NP'!IS519</f>
        <v>0</v>
      </c>
      <c r="AH41" s="116">
        <f>'P &amp; NP'!IT519</f>
        <v>0</v>
      </c>
      <c r="AI41" s="116">
        <f>'P &amp; NP'!JI519</f>
        <v>0</v>
      </c>
      <c r="AJ41" s="116">
        <f>'P &amp; NP'!JJ519</f>
        <v>0</v>
      </c>
      <c r="AK41" s="116">
        <f>'P &amp; NP'!JY519</f>
        <v>0</v>
      </c>
      <c r="AL41" s="116">
        <f>'P &amp; NP'!JZ519</f>
        <v>0</v>
      </c>
      <c r="AM41" s="116">
        <f>'P &amp; NP'!KO519</f>
        <v>0</v>
      </c>
      <c r="AN41" s="116">
        <f>'P &amp; NP'!KP519</f>
        <v>0</v>
      </c>
      <c r="AO41" s="116">
        <f>'P &amp; NP'!LE519</f>
        <v>0</v>
      </c>
      <c r="AP41" s="116">
        <f>'P &amp; NP'!LF519</f>
        <v>0</v>
      </c>
      <c r="AQ41" s="116">
        <f>'P &amp; NP'!LU519</f>
        <v>0</v>
      </c>
      <c r="AR41" s="116">
        <f>'P &amp; NP'!LV519</f>
        <v>0</v>
      </c>
      <c r="AS41" s="116">
        <f>'P &amp; NP'!MK519</f>
        <v>0</v>
      </c>
      <c r="AT41" s="116">
        <f>'P &amp; NP'!ML519</f>
        <v>0</v>
      </c>
      <c r="AU41" s="116">
        <f>'P &amp; NP'!NA519</f>
        <v>0</v>
      </c>
      <c r="AV41" s="116">
        <f>'P &amp; NP'!NB519</f>
        <v>0</v>
      </c>
      <c r="AW41" s="116">
        <f>'P &amp; NP'!NQ518</f>
        <v>0</v>
      </c>
      <c r="AX41" s="116">
        <f>'P &amp; NP'!NR518</f>
        <v>0</v>
      </c>
      <c r="AY41" s="116">
        <f>'P &amp; NP'!OG519</f>
        <v>0</v>
      </c>
      <c r="AZ41" s="116">
        <f>'P &amp; NP'!OH519</f>
        <v>0</v>
      </c>
      <c r="BA41" s="116">
        <f>'P &amp; NP'!OW519</f>
        <v>0</v>
      </c>
      <c r="BB41" s="116">
        <f>'P &amp; NP'!OX519</f>
        <v>0</v>
      </c>
      <c r="BC41" s="116">
        <f>'P &amp; NP'!PM519</f>
        <v>0</v>
      </c>
      <c r="BD41" s="116">
        <f>'P &amp; NP'!PN519</f>
        <v>0</v>
      </c>
      <c r="BE41" s="116">
        <f>'P &amp; NP'!$QC518</f>
        <v>0</v>
      </c>
      <c r="BF41" s="116">
        <f>'P &amp; NP'!$QD518</f>
        <v>0</v>
      </c>
      <c r="BG41" s="116">
        <f>'P &amp; NP'!QS519</f>
        <v>0</v>
      </c>
      <c r="BH41" s="116">
        <f>'P &amp; NP'!QT519</f>
        <v>0</v>
      </c>
      <c r="BI41" s="116">
        <f>'P &amp; NP'!RI519</f>
        <v>0</v>
      </c>
      <c r="BJ41" s="116">
        <f>'P &amp; NP'!RJ519</f>
        <v>0</v>
      </c>
      <c r="BK41" s="116">
        <f>'P &amp; NP'!RY519</f>
        <v>0</v>
      </c>
      <c r="BL41" s="116">
        <f>'P &amp; NP'!RZ519</f>
        <v>0</v>
      </c>
      <c r="BM41" s="116">
        <f>'P &amp; NP'!SO519</f>
        <v>0</v>
      </c>
      <c r="BN41" s="116">
        <f>'P &amp; NP'!SP519</f>
        <v>0</v>
      </c>
      <c r="BO41" s="116">
        <f>'P &amp; NP'!TE519</f>
        <v>0</v>
      </c>
      <c r="BP41" s="116">
        <f>'P &amp; NP'!TF519</f>
        <v>0</v>
      </c>
      <c r="BQ41" s="116">
        <f>'P &amp; NP'!TU518</f>
        <v>0</v>
      </c>
      <c r="BR41" s="116">
        <f>'P &amp; NP'!TV518</f>
        <v>0</v>
      </c>
      <c r="BS41" s="116">
        <f>'P &amp; NP'!UK519</f>
        <v>0</v>
      </c>
      <c r="BT41" s="116">
        <f>'P &amp; NP'!UL519</f>
        <v>0</v>
      </c>
      <c r="BU41" s="116">
        <f>'P &amp; NP'!VA519</f>
        <v>0</v>
      </c>
      <c r="BV41" s="116">
        <f>'P &amp; NP'!VB519</f>
        <v>0</v>
      </c>
      <c r="BW41" s="116">
        <f>'P &amp; NP'!VQ519</f>
        <v>0</v>
      </c>
      <c r="BX41" s="116">
        <f>'P &amp; NP'!VR519</f>
        <v>0</v>
      </c>
      <c r="BY41" s="116">
        <f>'P &amp; NP'!WG519</f>
        <v>0</v>
      </c>
      <c r="BZ41" s="116">
        <f>'P &amp; NP'!WH519</f>
        <v>0</v>
      </c>
      <c r="CB41" s="206">
        <f t="shared" si="70"/>
        <v>0</v>
      </c>
      <c r="CC41" s="206">
        <f t="shared" si="71"/>
        <v>0</v>
      </c>
    </row>
    <row r="42" spans="1:81">
      <c r="B42" s="207" t="str">
        <f>'P &amp; NP'!B48</f>
        <v>Ikan_03 (Kerang Darah)</v>
      </c>
      <c r="C42" s="116">
        <f>'P &amp; NP'!M519</f>
        <v>0</v>
      </c>
      <c r="D42" s="116">
        <f>'P &amp; NP'!N519</f>
        <v>0</v>
      </c>
      <c r="E42" s="116">
        <f>'P &amp; NP'!AC519</f>
        <v>0</v>
      </c>
      <c r="F42" s="116">
        <f>'P &amp; NP'!AD519</f>
        <v>0</v>
      </c>
      <c r="G42" s="116">
        <f>'P &amp; NP'!AS519</f>
        <v>0</v>
      </c>
      <c r="H42" s="116">
        <f>'P &amp; NP'!AT519</f>
        <v>0</v>
      </c>
      <c r="I42" s="116">
        <f t="shared" si="69"/>
        <v>0</v>
      </c>
      <c r="J42" s="116">
        <f>'P &amp; NP'!BJ520</f>
        <v>0</v>
      </c>
      <c r="K42" s="116">
        <f>'P &amp; NP'!BY520</f>
        <v>0</v>
      </c>
      <c r="L42" s="116">
        <f>'P &amp; NP'!BZ520</f>
        <v>0</v>
      </c>
      <c r="M42" s="116">
        <f>'P &amp; NP'!CO520</f>
        <v>0</v>
      </c>
      <c r="N42" s="116">
        <f>'P &amp; NP'!CP520</f>
        <v>0</v>
      </c>
      <c r="O42" s="116">
        <f>'P &amp; NP'!DE520</f>
        <v>0</v>
      </c>
      <c r="P42" s="116">
        <f>'P &amp; NP'!DF520</f>
        <v>0</v>
      </c>
      <c r="Q42" s="116">
        <f>'P &amp; NP'!DU520</f>
        <v>0</v>
      </c>
      <c r="R42" s="116">
        <f>'P &amp; NP'!DV520</f>
        <v>0</v>
      </c>
      <c r="S42" s="116">
        <f>'P &amp; NP'!EK520</f>
        <v>0</v>
      </c>
      <c r="T42" s="116">
        <f>'P &amp; NP'!EL520</f>
        <v>0</v>
      </c>
      <c r="U42" s="116">
        <f>'P &amp; NP'!FA519</f>
        <v>0</v>
      </c>
      <c r="V42" s="116">
        <f>'P &amp; NP'!FB519</f>
        <v>0</v>
      </c>
      <c r="W42" s="116">
        <f>'P &amp; NP'!FQ520</f>
        <v>0</v>
      </c>
      <c r="X42" s="116">
        <f>'P &amp; NP'!FR520</f>
        <v>0</v>
      </c>
      <c r="Y42" s="116">
        <f>'P &amp; NP'!GG519</f>
        <v>0</v>
      </c>
      <c r="Z42" s="116">
        <f>'P &amp; NP'!GH519</f>
        <v>0</v>
      </c>
      <c r="AA42" s="116">
        <f>'P &amp; NP'!GW520</f>
        <v>0</v>
      </c>
      <c r="AB42" s="116">
        <f>'P &amp; NP'!GX520</f>
        <v>0</v>
      </c>
      <c r="AC42" s="116">
        <f>'P &amp; NP'!HM520</f>
        <v>0</v>
      </c>
      <c r="AD42" s="116">
        <f>'P &amp; NP'!HN520</f>
        <v>0</v>
      </c>
      <c r="AE42" s="116">
        <f>'P &amp; NP'!IC520</f>
        <v>0</v>
      </c>
      <c r="AF42" s="116">
        <f>'P &amp; NP'!ID520</f>
        <v>0</v>
      </c>
      <c r="AG42" s="116">
        <f>'P &amp; NP'!IS520</f>
        <v>0</v>
      </c>
      <c r="AH42" s="116">
        <f>'P &amp; NP'!IT520</f>
        <v>0</v>
      </c>
      <c r="AI42" s="116">
        <f>'P &amp; NP'!JI520</f>
        <v>0</v>
      </c>
      <c r="AJ42" s="116">
        <f>'P &amp; NP'!JJ520</f>
        <v>0</v>
      </c>
      <c r="AK42" s="116">
        <f>'P &amp; NP'!JY520</f>
        <v>0</v>
      </c>
      <c r="AL42" s="116">
        <f>'P &amp; NP'!JZ520</f>
        <v>0</v>
      </c>
      <c r="AM42" s="116">
        <f>'P &amp; NP'!KO520</f>
        <v>0</v>
      </c>
      <c r="AN42" s="116">
        <f>'P &amp; NP'!KP520</f>
        <v>0</v>
      </c>
      <c r="AO42" s="116">
        <f>'P &amp; NP'!LE520</f>
        <v>0</v>
      </c>
      <c r="AP42" s="116">
        <f>'P &amp; NP'!LF520</f>
        <v>0</v>
      </c>
      <c r="AQ42" s="116">
        <f>'P &amp; NP'!LU520</f>
        <v>0</v>
      </c>
      <c r="AR42" s="116">
        <f>'P &amp; NP'!LV520</f>
        <v>0</v>
      </c>
      <c r="AS42" s="116">
        <f>'P &amp; NP'!MK520</f>
        <v>0</v>
      </c>
      <c r="AT42" s="116">
        <f>'P &amp; NP'!ML520</f>
        <v>0</v>
      </c>
      <c r="AU42" s="116">
        <f>'P &amp; NP'!NA520</f>
        <v>0</v>
      </c>
      <c r="AV42" s="116">
        <f>'P &amp; NP'!NB520</f>
        <v>0</v>
      </c>
      <c r="AW42" s="116">
        <f>'P &amp; NP'!NQ519</f>
        <v>0</v>
      </c>
      <c r="AX42" s="116">
        <f>'P &amp; NP'!NR519</f>
        <v>0</v>
      </c>
      <c r="AY42" s="116">
        <f>'P &amp; NP'!OG520</f>
        <v>0</v>
      </c>
      <c r="AZ42" s="116">
        <f>'P &amp; NP'!OH520</f>
        <v>0</v>
      </c>
      <c r="BA42" s="116">
        <f>'P &amp; NP'!OW520</f>
        <v>0</v>
      </c>
      <c r="BB42" s="116">
        <f>'P &amp; NP'!OX520</f>
        <v>0</v>
      </c>
      <c r="BC42" s="116">
        <f>'P &amp; NP'!PM520</f>
        <v>0</v>
      </c>
      <c r="BD42" s="116">
        <f>'P &amp; NP'!PN520</f>
        <v>0</v>
      </c>
      <c r="BE42" s="116">
        <f>'P &amp; NP'!$QC519</f>
        <v>0</v>
      </c>
      <c r="BF42" s="116">
        <f>'P &amp; NP'!$QD519</f>
        <v>0</v>
      </c>
      <c r="BG42" s="116">
        <f>'P &amp; NP'!QS520</f>
        <v>0</v>
      </c>
      <c r="BH42" s="116">
        <f>'P &amp; NP'!QT520</f>
        <v>0</v>
      </c>
      <c r="BI42" s="116">
        <f>'P &amp; NP'!RI520</f>
        <v>0</v>
      </c>
      <c r="BJ42" s="116">
        <f>'P &amp; NP'!RJ520</f>
        <v>0</v>
      </c>
      <c r="BK42" s="116">
        <f>'P &amp; NP'!RY520</f>
        <v>0</v>
      </c>
      <c r="BL42" s="116">
        <f>'P &amp; NP'!RZ520</f>
        <v>0</v>
      </c>
      <c r="BM42" s="116">
        <f>'P &amp; NP'!SO520</f>
        <v>0</v>
      </c>
      <c r="BN42" s="116">
        <f>'P &amp; NP'!SP520</f>
        <v>0</v>
      </c>
      <c r="BO42" s="116">
        <f>'P &amp; NP'!TE520</f>
        <v>0</v>
      </c>
      <c r="BP42" s="116">
        <f>'P &amp; NP'!TF520</f>
        <v>0</v>
      </c>
      <c r="BQ42" s="116">
        <f>'P &amp; NP'!TU519</f>
        <v>0</v>
      </c>
      <c r="BR42" s="116">
        <f>'P &amp; NP'!TV519</f>
        <v>0</v>
      </c>
      <c r="BS42" s="116">
        <f>'P &amp; NP'!UK520</f>
        <v>0</v>
      </c>
      <c r="BT42" s="116">
        <f>'P &amp; NP'!UL520</f>
        <v>0</v>
      </c>
      <c r="BU42" s="116">
        <f>'P &amp; NP'!VA520</f>
        <v>0</v>
      </c>
      <c r="BV42" s="116">
        <f>'P &amp; NP'!VB520</f>
        <v>0</v>
      </c>
      <c r="BW42" s="116">
        <f>'P &amp; NP'!VQ520</f>
        <v>0</v>
      </c>
      <c r="BX42" s="116">
        <f>'P &amp; NP'!VR520</f>
        <v>0</v>
      </c>
      <c r="BY42" s="116">
        <f>'P &amp; NP'!WG520</f>
        <v>0</v>
      </c>
      <c r="BZ42" s="116">
        <f>'P &amp; NP'!WH520</f>
        <v>0</v>
      </c>
      <c r="CB42" s="206">
        <f t="shared" si="70"/>
        <v>0</v>
      </c>
      <c r="CC42" s="206">
        <f t="shared" si="71"/>
        <v>0</v>
      </c>
    </row>
    <row r="43" spans="1:81">
      <c r="B43" s="207" t="str">
        <f>'P &amp; NP'!B49</f>
        <v>Ikan_04 (Ikan Keting)</v>
      </c>
      <c r="C43" s="116">
        <f>'P &amp; NP'!M520</f>
        <v>0</v>
      </c>
      <c r="D43" s="116">
        <f>'P &amp; NP'!N520</f>
        <v>0</v>
      </c>
      <c r="E43" s="116">
        <f>'P &amp; NP'!AC520</f>
        <v>0</v>
      </c>
      <c r="F43" s="116">
        <f>'P &amp; NP'!AD520</f>
        <v>0</v>
      </c>
      <c r="G43" s="116">
        <f>'P &amp; NP'!AS520</f>
        <v>0</v>
      </c>
      <c r="H43" s="116">
        <f>'P &amp; NP'!AT520</f>
        <v>0</v>
      </c>
      <c r="I43" s="116">
        <f t="shared" si="69"/>
        <v>0</v>
      </c>
      <c r="J43" s="116">
        <f>'P &amp; NP'!BJ521</f>
        <v>0</v>
      </c>
      <c r="K43" s="116">
        <f>'P &amp; NP'!BY521</f>
        <v>0</v>
      </c>
      <c r="L43" s="116">
        <f>'P &amp; NP'!BZ521</f>
        <v>0</v>
      </c>
      <c r="M43" s="116">
        <f>'P &amp; NP'!CO521</f>
        <v>0</v>
      </c>
      <c r="N43" s="116">
        <f>'P &amp; NP'!CP521</f>
        <v>0</v>
      </c>
      <c r="O43" s="116">
        <f>'P &amp; NP'!DE521</f>
        <v>0</v>
      </c>
      <c r="P43" s="116">
        <f>'P &amp; NP'!DF521</f>
        <v>0</v>
      </c>
      <c r="Q43" s="116">
        <f>'P &amp; NP'!DU521</f>
        <v>0</v>
      </c>
      <c r="R43" s="116">
        <f>'P &amp; NP'!DV521</f>
        <v>0</v>
      </c>
      <c r="S43" s="116">
        <f>'P &amp; NP'!EK521</f>
        <v>0</v>
      </c>
      <c r="T43" s="116">
        <f>'P &amp; NP'!EL521</f>
        <v>0</v>
      </c>
      <c r="U43" s="116">
        <f>'P &amp; NP'!FA520</f>
        <v>0</v>
      </c>
      <c r="V43" s="116">
        <f>'P &amp; NP'!FB520</f>
        <v>0</v>
      </c>
      <c r="W43" s="116">
        <f>'P &amp; NP'!FQ521</f>
        <v>0</v>
      </c>
      <c r="X43" s="116">
        <f>'P &amp; NP'!FR521</f>
        <v>0</v>
      </c>
      <c r="Y43" s="116">
        <f>'P &amp; NP'!GG520</f>
        <v>0</v>
      </c>
      <c r="Z43" s="116">
        <f>'P &amp; NP'!GH520</f>
        <v>0</v>
      </c>
      <c r="AA43" s="116">
        <f>'P &amp; NP'!GW521</f>
        <v>0</v>
      </c>
      <c r="AB43" s="116">
        <f>'P &amp; NP'!GX521</f>
        <v>0</v>
      </c>
      <c r="AC43" s="116">
        <f>'P &amp; NP'!HM521</f>
        <v>0</v>
      </c>
      <c r="AD43" s="116">
        <f>'P &amp; NP'!HN521</f>
        <v>0</v>
      </c>
      <c r="AE43" s="116">
        <f>'P &amp; NP'!IC521</f>
        <v>0</v>
      </c>
      <c r="AF43" s="116">
        <f>'P &amp; NP'!ID521</f>
        <v>0</v>
      </c>
      <c r="AG43" s="116">
        <f>'P &amp; NP'!IS521</f>
        <v>0</v>
      </c>
      <c r="AH43" s="116">
        <f>'P &amp; NP'!IT521</f>
        <v>0</v>
      </c>
      <c r="AI43" s="116">
        <f>'P &amp; NP'!JI521</f>
        <v>0</v>
      </c>
      <c r="AJ43" s="116">
        <f>'P &amp; NP'!JJ521</f>
        <v>0</v>
      </c>
      <c r="AK43" s="116">
        <f>'P &amp; NP'!JY521</f>
        <v>0</v>
      </c>
      <c r="AL43" s="116">
        <f>'P &amp; NP'!JZ521</f>
        <v>0</v>
      </c>
      <c r="AM43" s="116">
        <f>'P &amp; NP'!KO521</f>
        <v>0</v>
      </c>
      <c r="AN43" s="116">
        <f>'P &amp; NP'!KP521</f>
        <v>0</v>
      </c>
      <c r="AO43" s="116">
        <f>'P &amp; NP'!LE521</f>
        <v>0</v>
      </c>
      <c r="AP43" s="116">
        <f>'P &amp; NP'!LF521</f>
        <v>0</v>
      </c>
      <c r="AQ43" s="116">
        <f>'P &amp; NP'!LU521</f>
        <v>0</v>
      </c>
      <c r="AR43" s="116">
        <f>'P &amp; NP'!LV521</f>
        <v>0</v>
      </c>
      <c r="AS43" s="116">
        <f>'P &amp; NP'!MK521</f>
        <v>0</v>
      </c>
      <c r="AT43" s="116">
        <f>'P &amp; NP'!ML521</f>
        <v>0</v>
      </c>
      <c r="AU43" s="116">
        <f>'P &amp; NP'!NA521</f>
        <v>0</v>
      </c>
      <c r="AV43" s="116">
        <f>'P &amp; NP'!NB521</f>
        <v>0</v>
      </c>
      <c r="AW43" s="116">
        <f>'P &amp; NP'!NQ520</f>
        <v>0</v>
      </c>
      <c r="AX43" s="116">
        <f>'P &amp; NP'!NR520</f>
        <v>0</v>
      </c>
      <c r="AY43" s="116">
        <f>'P &amp; NP'!OG521</f>
        <v>0</v>
      </c>
      <c r="AZ43" s="116">
        <f>'P &amp; NP'!OH521</f>
        <v>0</v>
      </c>
      <c r="BA43" s="116">
        <f>'P &amp; NP'!OW521</f>
        <v>0</v>
      </c>
      <c r="BB43" s="116">
        <f>'P &amp; NP'!OX521</f>
        <v>0</v>
      </c>
      <c r="BC43" s="116">
        <f>'P &amp; NP'!PM521</f>
        <v>0</v>
      </c>
      <c r="BD43" s="116">
        <f>'P &amp; NP'!PN521</f>
        <v>0</v>
      </c>
      <c r="BE43" s="116">
        <f>'P &amp; NP'!$QC520</f>
        <v>0</v>
      </c>
      <c r="BF43" s="116">
        <f>'P &amp; NP'!$QD520</f>
        <v>0</v>
      </c>
      <c r="BG43" s="116">
        <f>'P &amp; NP'!QS521</f>
        <v>0</v>
      </c>
      <c r="BH43" s="116">
        <f>'P &amp; NP'!QT521</f>
        <v>0</v>
      </c>
      <c r="BI43" s="116">
        <f>'P &amp; NP'!RI521</f>
        <v>0</v>
      </c>
      <c r="BJ43" s="116">
        <f>'P &amp; NP'!RJ521</f>
        <v>0</v>
      </c>
      <c r="BK43" s="116">
        <f>'P &amp; NP'!RY521</f>
        <v>0</v>
      </c>
      <c r="BL43" s="116">
        <f>'P &amp; NP'!RZ521</f>
        <v>0</v>
      </c>
      <c r="BM43" s="116">
        <f>'P &amp; NP'!SO521</f>
        <v>0</v>
      </c>
      <c r="BN43" s="116">
        <f>'P &amp; NP'!SP521</f>
        <v>0</v>
      </c>
      <c r="BO43" s="116">
        <f>'P &amp; NP'!TE521</f>
        <v>0</v>
      </c>
      <c r="BP43" s="116">
        <f>'P &amp; NP'!TF521</f>
        <v>0</v>
      </c>
      <c r="BQ43" s="116">
        <f>'P &amp; NP'!TU520</f>
        <v>0</v>
      </c>
      <c r="BR43" s="116">
        <f>'P &amp; NP'!TV520</f>
        <v>0</v>
      </c>
      <c r="BS43" s="116">
        <f>'P &amp; NP'!UK521</f>
        <v>0</v>
      </c>
      <c r="BT43" s="116">
        <f>'P &amp; NP'!UL521</f>
        <v>0</v>
      </c>
      <c r="BU43" s="116">
        <f>'P &amp; NP'!VA521</f>
        <v>0</v>
      </c>
      <c r="BV43" s="116">
        <f>'P &amp; NP'!VB521</f>
        <v>0</v>
      </c>
      <c r="BW43" s="116">
        <f>'P &amp; NP'!VQ521</f>
        <v>0</v>
      </c>
      <c r="BX43" s="116">
        <f>'P &amp; NP'!VR521</f>
        <v>0</v>
      </c>
      <c r="BY43" s="116">
        <f>'P &amp; NP'!WG521</f>
        <v>0</v>
      </c>
      <c r="BZ43" s="116">
        <f>'P &amp; NP'!WH521</f>
        <v>0</v>
      </c>
      <c r="CB43" s="206">
        <f t="shared" si="70"/>
        <v>0</v>
      </c>
      <c r="CC43" s="206">
        <f t="shared" si="71"/>
        <v>0</v>
      </c>
    </row>
    <row r="44" spans="1:81">
      <c r="B44" s="207" t="str">
        <f>'P &amp; NP'!B50</f>
        <v>Ikan_05 (Ikan betutu)</v>
      </c>
      <c r="C44" s="116">
        <f>'P &amp; NP'!M521</f>
        <v>0</v>
      </c>
      <c r="D44" s="116">
        <f>'P &amp; NP'!N521</f>
        <v>0</v>
      </c>
      <c r="E44" s="116">
        <f>'P &amp; NP'!AC521</f>
        <v>0</v>
      </c>
      <c r="F44" s="116">
        <f>'P &amp; NP'!AD521</f>
        <v>0</v>
      </c>
      <c r="G44" s="116">
        <f>'P &amp; NP'!AS521</f>
        <v>0</v>
      </c>
      <c r="H44" s="116">
        <f>'P &amp; NP'!AT521</f>
        <v>0</v>
      </c>
      <c r="I44" s="116">
        <f t="shared" ref="I44" si="72">SUM(I45:I81)</f>
        <v>0</v>
      </c>
      <c r="J44" s="116">
        <f>'P &amp; NP'!BJ522</f>
        <v>0</v>
      </c>
      <c r="K44" s="116">
        <f>'P &amp; NP'!BY522</f>
        <v>0</v>
      </c>
      <c r="L44" s="116">
        <f>'P &amp; NP'!BZ522</f>
        <v>0</v>
      </c>
      <c r="M44" s="116">
        <f>'P &amp; NP'!CO522</f>
        <v>0</v>
      </c>
      <c r="N44" s="116">
        <f>'P &amp; NP'!CP522</f>
        <v>0</v>
      </c>
      <c r="O44" s="116">
        <f>'P &amp; NP'!DE522</f>
        <v>0</v>
      </c>
      <c r="P44" s="116">
        <f>'P &amp; NP'!DF522</f>
        <v>0</v>
      </c>
      <c r="Q44" s="116">
        <f>'P &amp; NP'!DU522</f>
        <v>0</v>
      </c>
      <c r="R44" s="116">
        <f>'P &amp; NP'!DV522</f>
        <v>0</v>
      </c>
      <c r="S44" s="116">
        <f>'P &amp; NP'!EK522</f>
        <v>0</v>
      </c>
      <c r="T44" s="116">
        <f>'P &amp; NP'!EL522</f>
        <v>0</v>
      </c>
      <c r="U44" s="116">
        <f>'P &amp; NP'!FA521</f>
        <v>0</v>
      </c>
      <c r="V44" s="116">
        <f>'P &amp; NP'!FB521</f>
        <v>0</v>
      </c>
      <c r="W44" s="116">
        <f>'P &amp; NP'!FQ522</f>
        <v>0</v>
      </c>
      <c r="X44" s="116">
        <f>'P &amp; NP'!FR522</f>
        <v>0</v>
      </c>
      <c r="Y44" s="116">
        <f>'P &amp; NP'!GG521</f>
        <v>0</v>
      </c>
      <c r="Z44" s="116">
        <f>'P &amp; NP'!GH521</f>
        <v>0</v>
      </c>
      <c r="AA44" s="116">
        <f>'P &amp; NP'!GW522</f>
        <v>0</v>
      </c>
      <c r="AB44" s="116">
        <f>'P &amp; NP'!GX522</f>
        <v>0</v>
      </c>
      <c r="AC44" s="116">
        <f>'P &amp; NP'!HM522</f>
        <v>0</v>
      </c>
      <c r="AD44" s="116">
        <f>'P &amp; NP'!HN522</f>
        <v>0</v>
      </c>
      <c r="AE44" s="116">
        <f>'P &amp; NP'!IC522</f>
        <v>0</v>
      </c>
      <c r="AF44" s="116">
        <f>'P &amp; NP'!ID522</f>
        <v>0</v>
      </c>
      <c r="AG44" s="116">
        <f>'P &amp; NP'!IS522</f>
        <v>0</v>
      </c>
      <c r="AH44" s="116">
        <f>'P &amp; NP'!IT522</f>
        <v>0</v>
      </c>
      <c r="AI44" s="116">
        <f>'P &amp; NP'!JI522</f>
        <v>0</v>
      </c>
      <c r="AJ44" s="116">
        <f>'P &amp; NP'!JJ522</f>
        <v>0</v>
      </c>
      <c r="AK44" s="116">
        <f>'P &amp; NP'!JY522</f>
        <v>0</v>
      </c>
      <c r="AL44" s="116">
        <f>'P &amp; NP'!JZ522</f>
        <v>0</v>
      </c>
      <c r="AM44" s="116">
        <f>'P &amp; NP'!KO522</f>
        <v>0</v>
      </c>
      <c r="AN44" s="116">
        <f>'P &amp; NP'!KP522</f>
        <v>0</v>
      </c>
      <c r="AO44" s="116">
        <f>'P &amp; NP'!LE522</f>
        <v>0</v>
      </c>
      <c r="AP44" s="116">
        <f>'P &amp; NP'!LF522</f>
        <v>0</v>
      </c>
      <c r="AQ44" s="116">
        <f>'P &amp; NP'!LU522</f>
        <v>0</v>
      </c>
      <c r="AR44" s="116">
        <f>'P &amp; NP'!LV522</f>
        <v>0</v>
      </c>
      <c r="AS44" s="116">
        <f>'P &amp; NP'!MK522</f>
        <v>0</v>
      </c>
      <c r="AT44" s="116">
        <f>'P &amp; NP'!ML522</f>
        <v>0</v>
      </c>
      <c r="AU44" s="116">
        <f>'P &amp; NP'!NA522</f>
        <v>0</v>
      </c>
      <c r="AV44" s="116">
        <f>'P &amp; NP'!NB522</f>
        <v>0</v>
      </c>
      <c r="AW44" s="116">
        <f>'P &amp; NP'!NQ522</f>
        <v>0</v>
      </c>
      <c r="AX44" s="116">
        <f>'P &amp; NP'!NR522</f>
        <v>0</v>
      </c>
      <c r="AY44" s="116">
        <f>'P &amp; NP'!OG522</f>
        <v>0</v>
      </c>
      <c r="AZ44" s="116">
        <f>'P &amp; NP'!OH522</f>
        <v>0</v>
      </c>
      <c r="BA44" s="116">
        <f>'P &amp; NP'!OW522</f>
        <v>0</v>
      </c>
      <c r="BB44" s="116">
        <f>'P &amp; NP'!OX522</f>
        <v>0</v>
      </c>
      <c r="BC44" s="116">
        <f>'P &amp; NP'!PM522</f>
        <v>0</v>
      </c>
      <c r="BD44" s="116">
        <f>'P &amp; NP'!PN522</f>
        <v>0</v>
      </c>
      <c r="BE44" s="116">
        <f>'P &amp; NP'!$QC521</f>
        <v>0</v>
      </c>
      <c r="BF44" s="116">
        <f>'P &amp; NP'!$QD521</f>
        <v>0</v>
      </c>
      <c r="BG44" s="116">
        <f>'P &amp; NP'!QS522</f>
        <v>0</v>
      </c>
      <c r="BH44" s="116">
        <f>'P &amp; NP'!QT522</f>
        <v>0</v>
      </c>
      <c r="BI44" s="116">
        <f>'P &amp; NP'!RI522</f>
        <v>0</v>
      </c>
      <c r="BJ44" s="116">
        <f>'P &amp; NP'!RJ522</f>
        <v>0</v>
      </c>
      <c r="BK44" s="116">
        <f>'P &amp; NP'!RY522</f>
        <v>0</v>
      </c>
      <c r="BL44" s="116">
        <f>'P &amp; NP'!RZ522</f>
        <v>0</v>
      </c>
      <c r="BM44" s="116">
        <f>'P &amp; NP'!SO522</f>
        <v>0</v>
      </c>
      <c r="BN44" s="116">
        <f>'P &amp; NP'!SP522</f>
        <v>0</v>
      </c>
      <c r="BO44" s="116">
        <f>'P &amp; NP'!TE522</f>
        <v>0</v>
      </c>
      <c r="BP44" s="116">
        <f>'P &amp; NP'!TF522</f>
        <v>0</v>
      </c>
      <c r="BQ44" s="116">
        <f>'P &amp; NP'!TU521</f>
        <v>0</v>
      </c>
      <c r="BR44" s="116">
        <f>'P &amp; NP'!TV521</f>
        <v>0</v>
      </c>
      <c r="BS44" s="116">
        <f>'P &amp; NP'!UK522</f>
        <v>0</v>
      </c>
      <c r="BT44" s="116">
        <f>'P &amp; NP'!UL522</f>
        <v>0</v>
      </c>
      <c r="BU44" s="116">
        <f>'P &amp; NP'!VA522</f>
        <v>0</v>
      </c>
      <c r="BV44" s="116">
        <f>'P &amp; NP'!VB522</f>
        <v>0</v>
      </c>
      <c r="BW44" s="116">
        <f>'P &amp; NP'!VQ522</f>
        <v>0</v>
      </c>
      <c r="BX44" s="116">
        <f>'P &amp; NP'!VR522</f>
        <v>0</v>
      </c>
      <c r="BY44" s="116">
        <f>'P &amp; NP'!WG522</f>
        <v>0</v>
      </c>
      <c r="BZ44" s="116">
        <f>'P &amp; NP'!WH522</f>
        <v>0</v>
      </c>
      <c r="CB44" s="206">
        <f t="shared" si="70"/>
        <v>0</v>
      </c>
      <c r="CC44" s="206">
        <f t="shared" si="71"/>
        <v>0</v>
      </c>
    </row>
    <row r="45" spans="1:81" s="168" customFormat="1">
      <c r="A45" s="359"/>
      <c r="B45" s="359"/>
      <c r="E45" s="165"/>
      <c r="F45" s="165"/>
      <c r="CB45" s="359"/>
      <c r="CC45" s="359"/>
    </row>
  </sheetData>
  <mergeCells count="114">
    <mergeCell ref="BW3:BX3"/>
    <mergeCell ref="BY3:BZ3"/>
    <mergeCell ref="BK3:BL3"/>
    <mergeCell ref="BM3:BN3"/>
    <mergeCell ref="BO3:BP3"/>
    <mergeCell ref="BQ3:BR3"/>
    <mergeCell ref="BS3:BT3"/>
    <mergeCell ref="BU3:BV3"/>
    <mergeCell ref="AY3:AZ3"/>
    <mergeCell ref="BA3:BB3"/>
    <mergeCell ref="BC3:BD3"/>
    <mergeCell ref="BE3:BF3"/>
    <mergeCell ref="BG3:BH3"/>
    <mergeCell ref="BI3:BJ3"/>
    <mergeCell ref="AM3:AN3"/>
    <mergeCell ref="AO3:AP3"/>
    <mergeCell ref="AQ3:AR3"/>
    <mergeCell ref="AS3:AT3"/>
    <mergeCell ref="AU3:AV3"/>
    <mergeCell ref="AW3:AX3"/>
    <mergeCell ref="AA3:AB3"/>
    <mergeCell ref="AC3:AD3"/>
    <mergeCell ref="AE3:AF3"/>
    <mergeCell ref="AG3:AH3"/>
    <mergeCell ref="AI3:AJ3"/>
    <mergeCell ref="AK3:AL3"/>
    <mergeCell ref="O3:P3"/>
    <mergeCell ref="Q3:R3"/>
    <mergeCell ref="S3:T3"/>
    <mergeCell ref="U3:V3"/>
    <mergeCell ref="W3:X3"/>
    <mergeCell ref="Y3:Z3"/>
    <mergeCell ref="C3:D3"/>
    <mergeCell ref="E3:F3"/>
    <mergeCell ref="G3:H3"/>
    <mergeCell ref="I3:J3"/>
    <mergeCell ref="K3:L3"/>
    <mergeCell ref="M3:N3"/>
    <mergeCell ref="BO2:BP2"/>
    <mergeCell ref="BQ2:BR2"/>
    <mergeCell ref="BS2:BT2"/>
    <mergeCell ref="BU2:BV2"/>
    <mergeCell ref="BW2:BX2"/>
    <mergeCell ref="BY2:BZ2"/>
    <mergeCell ref="BC2:BD2"/>
    <mergeCell ref="BE2:BF2"/>
    <mergeCell ref="BG2:BH2"/>
    <mergeCell ref="BI2:BJ2"/>
    <mergeCell ref="BK2:BL2"/>
    <mergeCell ref="BM2:BN2"/>
    <mergeCell ref="AQ2:AR2"/>
    <mergeCell ref="AS2:AT2"/>
    <mergeCell ref="AU2:AV2"/>
    <mergeCell ref="AW2:AX2"/>
    <mergeCell ref="AY2:AZ2"/>
    <mergeCell ref="BA2:BB2"/>
    <mergeCell ref="AE2:AF2"/>
    <mergeCell ref="AG2:AH2"/>
    <mergeCell ref="AI2:AJ2"/>
    <mergeCell ref="AK2:AL2"/>
    <mergeCell ref="AM2:AN2"/>
    <mergeCell ref="AO2:AP2"/>
    <mergeCell ref="S2:T2"/>
    <mergeCell ref="U2:V2"/>
    <mergeCell ref="W2:X2"/>
    <mergeCell ref="Y2:Z2"/>
    <mergeCell ref="AA2:AB2"/>
    <mergeCell ref="AC2:AD2"/>
    <mergeCell ref="BW1:BX1"/>
    <mergeCell ref="BY1:BZ1"/>
    <mergeCell ref="C2:D2"/>
    <mergeCell ref="E2:F2"/>
    <mergeCell ref="G2:H2"/>
    <mergeCell ref="I2:J2"/>
    <mergeCell ref="K2:L2"/>
    <mergeCell ref="M2:N2"/>
    <mergeCell ref="O2:P2"/>
    <mergeCell ref="Q2:R2"/>
    <mergeCell ref="BK1:BL1"/>
    <mergeCell ref="BM1:BN1"/>
    <mergeCell ref="BO1:BP1"/>
    <mergeCell ref="BQ1:BR1"/>
    <mergeCell ref="BS1:BT1"/>
    <mergeCell ref="BU1:BV1"/>
    <mergeCell ref="AY1:AZ1"/>
    <mergeCell ref="BA1:BB1"/>
    <mergeCell ref="BC1:BD1"/>
    <mergeCell ref="BE1:BF1"/>
    <mergeCell ref="BG1:BH1"/>
    <mergeCell ref="BI1:BJ1"/>
    <mergeCell ref="AM1:AN1"/>
    <mergeCell ref="AO1:AP1"/>
    <mergeCell ref="AQ1:AR1"/>
    <mergeCell ref="AS1:AT1"/>
    <mergeCell ref="AU1:AV1"/>
    <mergeCell ref="AW1:AX1"/>
    <mergeCell ref="AG1:AH1"/>
    <mergeCell ref="AI1:AJ1"/>
    <mergeCell ref="AK1:AL1"/>
    <mergeCell ref="O1:P1"/>
    <mergeCell ref="Q1:R1"/>
    <mergeCell ref="S1:T1"/>
    <mergeCell ref="U1:V1"/>
    <mergeCell ref="W1:X1"/>
    <mergeCell ref="Y1:Z1"/>
    <mergeCell ref="C1:D1"/>
    <mergeCell ref="E1:F1"/>
    <mergeCell ref="G1:H1"/>
    <mergeCell ref="I1:J1"/>
    <mergeCell ref="K1:L1"/>
    <mergeCell ref="M1:N1"/>
    <mergeCell ref="AA1:AB1"/>
    <mergeCell ref="AC1:AD1"/>
    <mergeCell ref="AE1:AF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BY44"/>
  <sheetViews>
    <sheetView zoomScale="115" zoomScaleNormal="115" workbookViewId="0">
      <pane xSplit="3" ySplit="5" topLeftCell="D6" activePane="bottomRight" state="frozen"/>
      <selection pane="topRight" activeCell="D1" sqref="D1"/>
      <selection pane="bottomLeft" activeCell="A6" sqref="A6"/>
      <selection pane="bottomRight" activeCell="D3" sqref="D3:BY4"/>
    </sheetView>
  </sheetViews>
  <sheetFormatPr defaultRowHeight="14.5"/>
  <cols>
    <col min="1" max="1" width="36.81640625" customWidth="1"/>
    <col min="2" max="2" width="16.1796875" customWidth="1"/>
    <col min="3" max="3" width="17.54296875" customWidth="1"/>
    <col min="4" max="4" width="12.54296875" customWidth="1"/>
    <col min="5" max="5" width="13.54296875" customWidth="1"/>
    <col min="6" max="58" width="12.54296875" customWidth="1"/>
    <col min="59" max="59" width="13.81640625" customWidth="1"/>
    <col min="60" max="77" width="12.54296875" customWidth="1"/>
  </cols>
  <sheetData>
    <row r="1" spans="1:77">
      <c r="A1" s="325" t="s">
        <v>313</v>
      </c>
      <c r="B1" s="213"/>
      <c r="C1" s="213"/>
      <c r="D1" s="315"/>
      <c r="E1" s="315"/>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c r="AG1" s="315"/>
      <c r="AH1" s="315"/>
      <c r="AI1" s="315"/>
      <c r="AJ1" s="315"/>
      <c r="AK1" s="315"/>
      <c r="AL1" s="315"/>
      <c r="AM1" s="315"/>
      <c r="AN1" s="315"/>
      <c r="AO1" s="315"/>
      <c r="AP1" s="315"/>
      <c r="AQ1" s="315"/>
      <c r="AR1" s="315"/>
      <c r="AS1" s="315"/>
      <c r="AT1" s="315"/>
      <c r="AU1" s="315"/>
      <c r="AV1" s="315"/>
      <c r="AW1" s="315"/>
      <c r="AX1" s="315"/>
      <c r="AY1" s="315"/>
      <c r="AZ1" s="315"/>
      <c r="BA1" s="315"/>
      <c r="BB1" s="315"/>
      <c r="BC1" s="315"/>
      <c r="BD1" s="315"/>
      <c r="BE1" s="315"/>
      <c r="BF1" s="315"/>
      <c r="BG1" s="315"/>
      <c r="BH1" s="315"/>
      <c r="BI1" s="315"/>
      <c r="BJ1" s="315"/>
      <c r="BK1" s="315"/>
      <c r="BL1" s="315"/>
      <c r="BM1" s="315"/>
      <c r="BN1" s="315"/>
      <c r="BO1" s="315"/>
      <c r="BP1" s="315"/>
      <c r="BQ1" s="315"/>
      <c r="BR1" s="315"/>
      <c r="BS1" s="315"/>
      <c r="BT1" s="315"/>
      <c r="BU1" s="315"/>
      <c r="BV1" s="315"/>
      <c r="BW1" s="315"/>
      <c r="BX1" s="315"/>
      <c r="BY1" s="315"/>
    </row>
    <row r="2" spans="1:77">
      <c r="A2" s="230" t="s">
        <v>103</v>
      </c>
      <c r="B2" s="316"/>
      <c r="C2" s="316"/>
      <c r="D2" s="976">
        <v>1</v>
      </c>
      <c r="E2" s="976"/>
      <c r="F2" s="976">
        <v>2</v>
      </c>
      <c r="G2" s="976"/>
      <c r="H2" s="976">
        <v>3</v>
      </c>
      <c r="I2" s="976"/>
      <c r="J2" s="976">
        <v>4</v>
      </c>
      <c r="K2" s="976"/>
      <c r="L2" s="976">
        <v>5</v>
      </c>
      <c r="M2" s="976"/>
      <c r="N2" s="976">
        <v>6</v>
      </c>
      <c r="O2" s="976"/>
      <c r="P2" s="976">
        <v>7</v>
      </c>
      <c r="Q2" s="976"/>
      <c r="R2" s="976">
        <v>8</v>
      </c>
      <c r="S2" s="976"/>
      <c r="T2" s="976">
        <v>9</v>
      </c>
      <c r="U2" s="976"/>
      <c r="V2" s="976">
        <v>10</v>
      </c>
      <c r="W2" s="976"/>
      <c r="X2" s="976">
        <v>11</v>
      </c>
      <c r="Y2" s="976"/>
      <c r="Z2" s="976">
        <v>12</v>
      </c>
      <c r="AA2" s="976"/>
      <c r="AB2" s="976">
        <v>13</v>
      </c>
      <c r="AC2" s="976"/>
      <c r="AD2" s="976">
        <v>14</v>
      </c>
      <c r="AE2" s="976"/>
      <c r="AF2" s="976">
        <v>15</v>
      </c>
      <c r="AG2" s="976"/>
      <c r="AH2" s="976">
        <v>16</v>
      </c>
      <c r="AI2" s="976"/>
      <c r="AJ2" s="976">
        <v>17</v>
      </c>
      <c r="AK2" s="976"/>
      <c r="AL2" s="976">
        <v>18</v>
      </c>
      <c r="AM2" s="976"/>
      <c r="AN2" s="976">
        <v>19</v>
      </c>
      <c r="AO2" s="976"/>
      <c r="AP2" s="976">
        <v>20</v>
      </c>
      <c r="AQ2" s="976"/>
      <c r="AR2" s="976">
        <v>21</v>
      </c>
      <c r="AS2" s="976"/>
      <c r="AT2" s="976">
        <v>22</v>
      </c>
      <c r="AU2" s="976"/>
      <c r="AV2" s="976">
        <v>23</v>
      </c>
      <c r="AW2" s="976"/>
      <c r="AX2" s="976">
        <v>24</v>
      </c>
      <c r="AY2" s="976"/>
      <c r="AZ2" s="976">
        <v>25</v>
      </c>
      <c r="BA2" s="976"/>
      <c r="BB2" s="976">
        <v>26</v>
      </c>
      <c r="BC2" s="976"/>
      <c r="BD2" s="976">
        <v>27</v>
      </c>
      <c r="BE2" s="976"/>
      <c r="BF2" s="976">
        <v>28</v>
      </c>
      <c r="BG2" s="976"/>
      <c r="BH2" s="976">
        <v>29</v>
      </c>
      <c r="BI2" s="976"/>
      <c r="BJ2" s="976">
        <v>30</v>
      </c>
      <c r="BK2" s="976"/>
      <c r="BL2" s="976">
        <v>31</v>
      </c>
      <c r="BM2" s="976"/>
      <c r="BN2" s="976">
        <v>32</v>
      </c>
      <c r="BO2" s="976"/>
      <c r="BP2" s="976">
        <v>33</v>
      </c>
      <c r="BQ2" s="976"/>
      <c r="BR2" s="976">
        <v>34</v>
      </c>
      <c r="BS2" s="976"/>
      <c r="BT2" s="976">
        <v>35</v>
      </c>
      <c r="BU2" s="976"/>
      <c r="BV2" s="976">
        <v>36</v>
      </c>
      <c r="BW2" s="976"/>
      <c r="BX2" s="976">
        <v>37</v>
      </c>
      <c r="BY2" s="976"/>
    </row>
    <row r="3" spans="1:77" s="333" customFormat="1">
      <c r="A3" s="331" t="s">
        <v>105</v>
      </c>
      <c r="B3" s="332">
        <f>'P &amp; NP'!WX11</f>
        <v>6969165</v>
      </c>
      <c r="C3" s="332">
        <f>'P &amp; NP'!WY11</f>
        <v>129078479</v>
      </c>
      <c r="D3" s="732" t="s">
        <v>537</v>
      </c>
      <c r="E3" s="732"/>
      <c r="F3" s="732" t="s">
        <v>538</v>
      </c>
      <c r="G3" s="732"/>
      <c r="H3" s="732" t="s">
        <v>539</v>
      </c>
      <c r="I3" s="732"/>
      <c r="J3" s="732" t="s">
        <v>540</v>
      </c>
      <c r="K3" s="732"/>
      <c r="L3" s="732" t="s">
        <v>392</v>
      </c>
      <c r="M3" s="732"/>
      <c r="N3" s="732" t="s">
        <v>541</v>
      </c>
      <c r="O3" s="732"/>
      <c r="P3" s="732" t="s">
        <v>542</v>
      </c>
      <c r="Q3" s="732"/>
      <c r="R3" s="732" t="s">
        <v>10</v>
      </c>
      <c r="S3" s="732"/>
      <c r="T3" s="732" t="s">
        <v>231</v>
      </c>
      <c r="U3" s="732"/>
      <c r="V3" s="732" t="s">
        <v>543</v>
      </c>
      <c r="W3" s="732"/>
      <c r="X3" s="732" t="s">
        <v>544</v>
      </c>
      <c r="Y3" s="732"/>
      <c r="Z3" s="732" t="s">
        <v>545</v>
      </c>
      <c r="AA3" s="732"/>
      <c r="AB3" s="732" t="s">
        <v>546</v>
      </c>
      <c r="AC3" s="732"/>
      <c r="AD3" s="732" t="s">
        <v>547</v>
      </c>
      <c r="AE3" s="732"/>
      <c r="AF3" s="732" t="s">
        <v>548</v>
      </c>
      <c r="AG3" s="732"/>
      <c r="AH3" s="732" t="s">
        <v>549</v>
      </c>
      <c r="AI3" s="732"/>
      <c r="AJ3" s="732" t="s">
        <v>754</v>
      </c>
      <c r="AK3" s="732"/>
      <c r="AL3" s="732" t="s">
        <v>551</v>
      </c>
      <c r="AM3" s="732"/>
      <c r="AN3" s="732" t="s">
        <v>552</v>
      </c>
      <c r="AO3" s="732"/>
      <c r="AP3" s="732" t="s">
        <v>553</v>
      </c>
      <c r="AQ3" s="732"/>
      <c r="AR3" s="732" t="s">
        <v>554</v>
      </c>
      <c r="AS3" s="732"/>
      <c r="AT3" s="732" t="s">
        <v>20</v>
      </c>
      <c r="AU3" s="732"/>
      <c r="AV3" s="732" t="s">
        <v>555</v>
      </c>
      <c r="AW3" s="732"/>
      <c r="AX3" s="732" t="s">
        <v>556</v>
      </c>
      <c r="AY3" s="732"/>
      <c r="AZ3" s="732" t="s">
        <v>24</v>
      </c>
      <c r="BA3" s="732"/>
      <c r="BB3" s="732" t="s">
        <v>557</v>
      </c>
      <c r="BC3" s="732"/>
      <c r="BD3" s="732" t="s">
        <v>359</v>
      </c>
      <c r="BE3" s="732"/>
      <c r="BF3" s="732" t="s">
        <v>668</v>
      </c>
      <c r="BG3" s="732"/>
      <c r="BH3" s="732" t="s">
        <v>671</v>
      </c>
      <c r="BI3" s="732"/>
      <c r="BJ3" s="732" t="s">
        <v>674</v>
      </c>
      <c r="BK3" s="732"/>
      <c r="BL3" s="732" t="s">
        <v>605</v>
      </c>
      <c r="BM3" s="732"/>
      <c r="BN3" s="732" t="s">
        <v>606</v>
      </c>
      <c r="BO3" s="732"/>
      <c r="BP3" s="732" t="s">
        <v>607</v>
      </c>
      <c r="BQ3" s="732"/>
      <c r="BR3" s="732" t="s">
        <v>669</v>
      </c>
      <c r="BS3" s="732"/>
      <c r="BT3" s="732" t="s">
        <v>670</v>
      </c>
      <c r="BU3" s="732"/>
      <c r="BV3" s="732" t="s">
        <v>672</v>
      </c>
      <c r="BW3" s="732"/>
      <c r="BX3" s="732" t="s">
        <v>673</v>
      </c>
      <c r="BY3" s="732"/>
    </row>
    <row r="4" spans="1:77">
      <c r="A4" s="246"/>
      <c r="B4" s="327" t="s">
        <v>27</v>
      </c>
      <c r="C4" s="327" t="s">
        <v>28</v>
      </c>
      <c r="D4" s="326" t="s">
        <v>27</v>
      </c>
      <c r="E4" s="326" t="s">
        <v>28</v>
      </c>
      <c r="F4" s="326" t="s">
        <v>27</v>
      </c>
      <c r="G4" s="326" t="s">
        <v>28</v>
      </c>
      <c r="H4" s="326" t="s">
        <v>27</v>
      </c>
      <c r="I4" s="326" t="s">
        <v>28</v>
      </c>
      <c r="J4" s="326" t="s">
        <v>27</v>
      </c>
      <c r="K4" s="326" t="s">
        <v>28</v>
      </c>
      <c r="L4" s="326" t="s">
        <v>27</v>
      </c>
      <c r="M4" s="326" t="s">
        <v>28</v>
      </c>
      <c r="N4" s="326" t="s">
        <v>27</v>
      </c>
      <c r="O4" s="326" t="s">
        <v>28</v>
      </c>
      <c r="P4" s="326" t="s">
        <v>27</v>
      </c>
      <c r="Q4" s="326" t="s">
        <v>28</v>
      </c>
      <c r="R4" s="326" t="s">
        <v>27</v>
      </c>
      <c r="S4" s="326" t="s">
        <v>28</v>
      </c>
      <c r="T4" s="326" t="s">
        <v>27</v>
      </c>
      <c r="U4" s="326" t="s">
        <v>28</v>
      </c>
      <c r="V4" s="326" t="s">
        <v>27</v>
      </c>
      <c r="W4" s="326" t="s">
        <v>28</v>
      </c>
      <c r="X4" s="326" t="s">
        <v>27</v>
      </c>
      <c r="Y4" s="326" t="s">
        <v>28</v>
      </c>
      <c r="Z4" s="326" t="s">
        <v>27</v>
      </c>
      <c r="AA4" s="326" t="s">
        <v>28</v>
      </c>
      <c r="AB4" s="326" t="s">
        <v>27</v>
      </c>
      <c r="AC4" s="326" t="s">
        <v>28</v>
      </c>
      <c r="AD4" s="326" t="s">
        <v>27</v>
      </c>
      <c r="AE4" s="326" t="s">
        <v>28</v>
      </c>
      <c r="AF4" s="326" t="s">
        <v>27</v>
      </c>
      <c r="AG4" s="326" t="s">
        <v>28</v>
      </c>
      <c r="AH4" s="326" t="s">
        <v>27</v>
      </c>
      <c r="AI4" s="326" t="s">
        <v>28</v>
      </c>
      <c r="AJ4" s="326" t="s">
        <v>27</v>
      </c>
      <c r="AK4" s="326" t="s">
        <v>28</v>
      </c>
      <c r="AL4" s="326" t="s">
        <v>27</v>
      </c>
      <c r="AM4" s="326" t="s">
        <v>28</v>
      </c>
      <c r="AN4" s="326" t="s">
        <v>27</v>
      </c>
      <c r="AO4" s="326" t="s">
        <v>28</v>
      </c>
      <c r="AP4" s="326" t="s">
        <v>27</v>
      </c>
      <c r="AQ4" s="326" t="s">
        <v>28</v>
      </c>
      <c r="AR4" s="326" t="s">
        <v>27</v>
      </c>
      <c r="AS4" s="326" t="s">
        <v>28</v>
      </c>
      <c r="AT4" s="326" t="s">
        <v>27</v>
      </c>
      <c r="AU4" s="326" t="s">
        <v>28</v>
      </c>
      <c r="AV4" s="326" t="s">
        <v>27</v>
      </c>
      <c r="AW4" s="326" t="s">
        <v>28</v>
      </c>
      <c r="AX4" s="326" t="s">
        <v>27</v>
      </c>
      <c r="AY4" s="326" t="s">
        <v>28</v>
      </c>
      <c r="AZ4" s="326" t="s">
        <v>27</v>
      </c>
      <c r="BA4" s="326" t="s">
        <v>28</v>
      </c>
      <c r="BB4" s="326" t="s">
        <v>27</v>
      </c>
      <c r="BC4" s="326" t="s">
        <v>28</v>
      </c>
      <c r="BD4" s="326" t="s">
        <v>27</v>
      </c>
      <c r="BE4" s="326" t="s">
        <v>28</v>
      </c>
      <c r="BF4" s="326" t="s">
        <v>27</v>
      </c>
      <c r="BG4" s="326" t="s">
        <v>28</v>
      </c>
      <c r="BH4" s="326" t="s">
        <v>27</v>
      </c>
      <c r="BI4" s="326" t="s">
        <v>28</v>
      </c>
      <c r="BJ4" s="326" t="s">
        <v>27</v>
      </c>
      <c r="BK4" s="326" t="s">
        <v>28</v>
      </c>
      <c r="BL4" s="326" t="s">
        <v>27</v>
      </c>
      <c r="BM4" s="326" t="s">
        <v>28</v>
      </c>
      <c r="BN4" s="326" t="s">
        <v>27</v>
      </c>
      <c r="BO4" s="326" t="s">
        <v>28</v>
      </c>
      <c r="BP4" s="326" t="s">
        <v>27</v>
      </c>
      <c r="BQ4" s="326" t="s">
        <v>28</v>
      </c>
      <c r="BR4" s="326" t="s">
        <v>27</v>
      </c>
      <c r="BS4" s="326" t="s">
        <v>28</v>
      </c>
      <c r="BT4" s="326" t="s">
        <v>27</v>
      </c>
      <c r="BU4" s="326" t="s">
        <v>28</v>
      </c>
      <c r="BV4" s="326" t="s">
        <v>27</v>
      </c>
      <c r="BW4" s="326" t="s">
        <v>28</v>
      </c>
      <c r="BX4" s="326" t="s">
        <v>27</v>
      </c>
      <c r="BY4" s="326" t="s">
        <v>28</v>
      </c>
    </row>
    <row r="5" spans="1:77">
      <c r="A5" s="255" t="s">
        <v>111</v>
      </c>
      <c r="B5" s="321">
        <f>SUM(B6:B43)</f>
        <v>6969165</v>
      </c>
      <c r="C5" s="321">
        <f>SUM(C6:C43)</f>
        <v>129078479</v>
      </c>
      <c r="D5" s="322">
        <f>SUM(D6:D43)</f>
        <v>0</v>
      </c>
      <c r="E5" s="322">
        <f t="shared" ref="E5:BP5" si="0">SUM(E6:E43)</f>
        <v>0</v>
      </c>
      <c r="F5" s="322">
        <f t="shared" si="0"/>
        <v>271288</v>
      </c>
      <c r="G5" s="322">
        <f t="shared" si="0"/>
        <v>5132524</v>
      </c>
      <c r="H5" s="322">
        <f t="shared" si="0"/>
        <v>0</v>
      </c>
      <c r="I5" s="322">
        <f t="shared" si="0"/>
        <v>0</v>
      </c>
      <c r="J5" s="322">
        <f t="shared" si="0"/>
        <v>0</v>
      </c>
      <c r="K5" s="322">
        <f t="shared" si="0"/>
        <v>0</v>
      </c>
      <c r="L5" s="322">
        <f t="shared" si="0"/>
        <v>0</v>
      </c>
      <c r="M5" s="322">
        <f t="shared" si="0"/>
        <v>0</v>
      </c>
      <c r="N5" s="322">
        <f t="shared" si="0"/>
        <v>0</v>
      </c>
      <c r="O5" s="322">
        <f t="shared" si="0"/>
        <v>0</v>
      </c>
      <c r="P5" s="322">
        <f t="shared" si="0"/>
        <v>135188</v>
      </c>
      <c r="Q5" s="322">
        <f t="shared" si="0"/>
        <v>4339840</v>
      </c>
      <c r="R5" s="322">
        <f t="shared" si="0"/>
        <v>0</v>
      </c>
      <c r="S5" s="322">
        <f t="shared" si="0"/>
        <v>0</v>
      </c>
      <c r="T5" s="322">
        <f t="shared" si="0"/>
        <v>0</v>
      </c>
      <c r="U5" s="322">
        <f t="shared" si="0"/>
        <v>0</v>
      </c>
      <c r="V5" s="322">
        <f t="shared" si="0"/>
        <v>0</v>
      </c>
      <c r="W5" s="322">
        <f t="shared" si="0"/>
        <v>0</v>
      </c>
      <c r="X5" s="322">
        <f t="shared" si="0"/>
        <v>0</v>
      </c>
      <c r="Y5" s="322">
        <f t="shared" si="0"/>
        <v>0</v>
      </c>
      <c r="Z5" s="322">
        <f t="shared" si="0"/>
        <v>0</v>
      </c>
      <c r="AA5" s="322">
        <f t="shared" si="0"/>
        <v>0</v>
      </c>
      <c r="AB5" s="322">
        <f t="shared" si="0"/>
        <v>0</v>
      </c>
      <c r="AC5" s="322">
        <f t="shared" si="0"/>
        <v>0</v>
      </c>
      <c r="AD5" s="322">
        <f t="shared" si="0"/>
        <v>2768390</v>
      </c>
      <c r="AE5" s="322">
        <f t="shared" si="0"/>
        <v>51249004</v>
      </c>
      <c r="AF5" s="322">
        <f t="shared" si="0"/>
        <v>0</v>
      </c>
      <c r="AG5" s="322">
        <f t="shared" si="0"/>
        <v>0</v>
      </c>
      <c r="AH5" s="322">
        <f t="shared" si="0"/>
        <v>0</v>
      </c>
      <c r="AI5" s="322">
        <f t="shared" si="0"/>
        <v>0</v>
      </c>
      <c r="AJ5" s="322">
        <f t="shared" si="0"/>
        <v>1448315</v>
      </c>
      <c r="AK5" s="322">
        <f t="shared" si="0"/>
        <v>26609165</v>
      </c>
      <c r="AL5" s="322">
        <f t="shared" si="0"/>
        <v>1800</v>
      </c>
      <c r="AM5" s="322">
        <f t="shared" si="0"/>
        <v>45400</v>
      </c>
      <c r="AN5" s="322">
        <f t="shared" si="0"/>
        <v>1748710</v>
      </c>
      <c r="AO5" s="322">
        <f t="shared" si="0"/>
        <v>31564120</v>
      </c>
      <c r="AP5" s="322">
        <f t="shared" si="0"/>
        <v>593522</v>
      </c>
      <c r="AQ5" s="322">
        <f t="shared" si="0"/>
        <v>10107194</v>
      </c>
      <c r="AR5" s="322">
        <f t="shared" si="0"/>
        <v>0</v>
      </c>
      <c r="AS5" s="322">
        <f t="shared" si="0"/>
        <v>0</v>
      </c>
      <c r="AT5" s="322">
        <f t="shared" si="0"/>
        <v>1952</v>
      </c>
      <c r="AU5" s="322">
        <f t="shared" si="0"/>
        <v>31232</v>
      </c>
      <c r="AV5" s="322">
        <f t="shared" si="0"/>
        <v>0</v>
      </c>
      <c r="AW5" s="322">
        <f t="shared" si="0"/>
        <v>0</v>
      </c>
      <c r="AX5" s="322">
        <f t="shared" si="0"/>
        <v>0</v>
      </c>
      <c r="AY5" s="322">
        <f t="shared" si="0"/>
        <v>0</v>
      </c>
      <c r="AZ5" s="322">
        <f t="shared" si="0"/>
        <v>0</v>
      </c>
      <c r="BA5" s="322">
        <f t="shared" si="0"/>
        <v>0</v>
      </c>
      <c r="BB5" s="322">
        <f t="shared" si="0"/>
        <v>0</v>
      </c>
      <c r="BC5" s="322">
        <f t="shared" si="0"/>
        <v>0</v>
      </c>
      <c r="BD5" s="322">
        <f t="shared" si="0"/>
        <v>0</v>
      </c>
      <c r="BE5" s="322">
        <f t="shared" si="0"/>
        <v>0</v>
      </c>
      <c r="BF5" s="322">
        <f t="shared" si="0"/>
        <v>0</v>
      </c>
      <c r="BG5" s="322">
        <f t="shared" si="0"/>
        <v>0</v>
      </c>
      <c r="BH5" s="322">
        <f t="shared" si="0"/>
        <v>0</v>
      </c>
      <c r="BI5" s="322">
        <f t="shared" si="0"/>
        <v>0</v>
      </c>
      <c r="BJ5" s="322">
        <f t="shared" si="0"/>
        <v>0</v>
      </c>
      <c r="BK5" s="322">
        <f t="shared" si="0"/>
        <v>0</v>
      </c>
      <c r="BL5" s="322">
        <f t="shared" si="0"/>
        <v>0</v>
      </c>
      <c r="BM5" s="322">
        <f t="shared" si="0"/>
        <v>0</v>
      </c>
      <c r="BN5" s="322">
        <f t="shared" si="0"/>
        <v>0</v>
      </c>
      <c r="BO5" s="322">
        <f t="shared" si="0"/>
        <v>0</v>
      </c>
      <c r="BP5" s="322">
        <f t="shared" si="0"/>
        <v>0</v>
      </c>
      <c r="BQ5" s="322">
        <f t="shared" ref="BQ5:BY5" si="1">SUM(BQ6:BQ43)</f>
        <v>0</v>
      </c>
      <c r="BR5" s="322">
        <f t="shared" si="1"/>
        <v>0</v>
      </c>
      <c r="BS5" s="322">
        <f t="shared" si="1"/>
        <v>0</v>
      </c>
      <c r="BT5" s="322">
        <f t="shared" si="1"/>
        <v>0</v>
      </c>
      <c r="BU5" s="322">
        <f t="shared" si="1"/>
        <v>0</v>
      </c>
      <c r="BV5" s="322">
        <f t="shared" si="1"/>
        <v>0</v>
      </c>
      <c r="BW5" s="322">
        <f t="shared" si="1"/>
        <v>0</v>
      </c>
      <c r="BX5" s="322">
        <f t="shared" si="1"/>
        <v>0</v>
      </c>
      <c r="BY5" s="322">
        <f t="shared" si="1"/>
        <v>0</v>
      </c>
    </row>
    <row r="6" spans="1:77">
      <c r="A6" s="260" t="s">
        <v>137</v>
      </c>
      <c r="B6" s="116">
        <f>SUMIF($D$4:$BY$4,$B$4,D6:BY6)</f>
        <v>4600</v>
      </c>
      <c r="C6" s="116">
        <f>SUMIF($D$4:$BY$4,$C$4,D6:BY6)</f>
        <v>92000</v>
      </c>
      <c r="D6" s="116">
        <f>'P NP KARAMBA IKAN'!C8</f>
        <v>0</v>
      </c>
      <c r="E6" s="116">
        <f>'P NP KARAMBA IKAN'!D8</f>
        <v>0</v>
      </c>
      <c r="F6" s="116">
        <f>'P NP KARAMBA IKAN'!C9</f>
        <v>0</v>
      </c>
      <c r="G6" s="116">
        <f>'P NP KARAMBA IKAN'!D9</f>
        <v>0</v>
      </c>
      <c r="H6" s="116">
        <f>'P NP KARAMBA IKAN'!C10</f>
        <v>0</v>
      </c>
      <c r="I6" s="116">
        <f>'P NP KARAMBA IKAN'!D10</f>
        <v>0</v>
      </c>
      <c r="J6" s="116">
        <f>'P NP KARAMBA IKAN'!C11</f>
        <v>0</v>
      </c>
      <c r="K6" s="116">
        <f>'P NP KARAMBA IKAN'!D11</f>
        <v>0</v>
      </c>
      <c r="L6" s="116">
        <f>'P NP KARAMBA IKAN'!C12</f>
        <v>0</v>
      </c>
      <c r="M6" s="116">
        <f>'P NP KARAMBA IKAN'!D12</f>
        <v>0</v>
      </c>
      <c r="N6" s="116">
        <f>'P NP KARAMBA IKAN'!C13</f>
        <v>0</v>
      </c>
      <c r="O6" s="116">
        <f>'P NP KARAMBA IKAN'!D13</f>
        <v>0</v>
      </c>
      <c r="P6" s="116">
        <f>'P NP KARAMBA IKAN'!C14</f>
        <v>0</v>
      </c>
      <c r="Q6" s="116">
        <f>'P NP KARAMBA IKAN'!D14</f>
        <v>0</v>
      </c>
      <c r="R6" s="116">
        <f>'P NP KARAMBA IKAN'!C15</f>
        <v>0</v>
      </c>
      <c r="S6" s="116">
        <f>'P NP KARAMBA IKAN'!D15</f>
        <v>0</v>
      </c>
      <c r="T6" s="116">
        <f>'P NP KARAMBA IKAN'!C16</f>
        <v>0</v>
      </c>
      <c r="U6" s="116">
        <f>'P NP KARAMBA IKAN'!D16</f>
        <v>0</v>
      </c>
      <c r="V6" s="116">
        <f>'P NP KARAMBA IKAN'!C17</f>
        <v>0</v>
      </c>
      <c r="W6" s="116">
        <f>'P NP KARAMBA IKAN'!D17</f>
        <v>0</v>
      </c>
      <c r="X6" s="116">
        <f>'P NP KARAMBA IKAN'!C18</f>
        <v>0</v>
      </c>
      <c r="Y6" s="116">
        <f>'P NP KARAMBA IKAN'!D18</f>
        <v>0</v>
      </c>
      <c r="Z6" s="116">
        <f>'P NP KARAMBA IKAN'!C19</f>
        <v>0</v>
      </c>
      <c r="AA6" s="116">
        <f>'P NP KARAMBA IKAN'!D19</f>
        <v>0</v>
      </c>
      <c r="AB6" s="116">
        <f>'P NP KARAMBA IKAN'!C20</f>
        <v>0</v>
      </c>
      <c r="AC6" s="116">
        <f>'P NP KARAMBA IKAN'!D20</f>
        <v>0</v>
      </c>
      <c r="AD6" s="116">
        <f>'P NP KARAMBA IKAN'!C21</f>
        <v>4600</v>
      </c>
      <c r="AE6" s="116">
        <f>'P NP KARAMBA IKAN'!D21</f>
        <v>92000</v>
      </c>
      <c r="AF6" s="116">
        <f>'P NP KARAMBA IKAN'!C22</f>
        <v>0</v>
      </c>
      <c r="AG6" s="116">
        <f>'P NP KARAMBA IKAN'!D22</f>
        <v>0</v>
      </c>
      <c r="AH6" s="116">
        <f>'P NP KARAMBA IKAN'!C23</f>
        <v>0</v>
      </c>
      <c r="AI6" s="116">
        <f>'P NP KARAMBA IKAN'!D23</f>
        <v>0</v>
      </c>
      <c r="AJ6" s="116">
        <f>'P NP KARAMBA IKAN'!C24</f>
        <v>0</v>
      </c>
      <c r="AK6" s="116">
        <f>'P NP KARAMBA IKAN'!D24</f>
        <v>0</v>
      </c>
      <c r="AL6" s="116">
        <f>'P NP KARAMBA IKAN'!C25</f>
        <v>0</v>
      </c>
      <c r="AM6" s="116">
        <f>'P NP KARAMBA IKAN'!D25</f>
        <v>0</v>
      </c>
      <c r="AN6" s="116">
        <f>'P NP KARAMBA IKAN'!C26</f>
        <v>0</v>
      </c>
      <c r="AO6" s="116">
        <f>'P NP KARAMBA IKAN'!D26</f>
        <v>0</v>
      </c>
      <c r="AP6" s="116">
        <f>'P NP KARAMBA IKAN'!C27</f>
        <v>0</v>
      </c>
      <c r="AQ6" s="116">
        <f>'P NP KARAMBA IKAN'!D27</f>
        <v>0</v>
      </c>
      <c r="AR6" s="116">
        <f>'P NP KARAMBA IKAN'!C28</f>
        <v>0</v>
      </c>
      <c r="AS6" s="116">
        <f>'P NP KARAMBA IKAN'!D28</f>
        <v>0</v>
      </c>
      <c r="AT6" s="116">
        <f>'P NP KARAMBA IKAN'!C29</f>
        <v>0</v>
      </c>
      <c r="AU6" s="116">
        <f>'P NP KARAMBA IKAN'!D29</f>
        <v>0</v>
      </c>
      <c r="AV6" s="116">
        <f>'P NP KARAMBA IKAN'!C30</f>
        <v>0</v>
      </c>
      <c r="AW6" s="116">
        <f>'P NP KARAMBA IKAN'!D30</f>
        <v>0</v>
      </c>
      <c r="AX6" s="116">
        <f>'P NP KARAMBA IKAN'!C31</f>
        <v>0</v>
      </c>
      <c r="AY6" s="116">
        <f>'P NP KARAMBA IKAN'!D31</f>
        <v>0</v>
      </c>
      <c r="AZ6" s="116">
        <f>'P NP KARAMBA IKAN'!C32</f>
        <v>0</v>
      </c>
      <c r="BA6" s="116">
        <f>'P NP KARAMBA IKAN'!D32</f>
        <v>0</v>
      </c>
      <c r="BB6" s="116">
        <f>'P NP KARAMBA IKAN'!C33</f>
        <v>0</v>
      </c>
      <c r="BC6" s="116">
        <f>'P NP KARAMBA IKAN'!D33</f>
        <v>0</v>
      </c>
      <c r="BD6" s="116">
        <f>'P NP KARAMBA IKAN'!C34</f>
        <v>0</v>
      </c>
      <c r="BE6" s="116">
        <f>'P NP KARAMBA IKAN'!D34</f>
        <v>0</v>
      </c>
      <c r="BF6" s="116">
        <f>'P NP KARAMBA IKAN'!C35</f>
        <v>0</v>
      </c>
      <c r="BG6" s="116">
        <f>'P NP KARAMBA IKAN'!D35</f>
        <v>0</v>
      </c>
      <c r="BH6" s="116">
        <f>'P NP KARAMBA IKAN'!C36</f>
        <v>0</v>
      </c>
      <c r="BI6" s="116">
        <f>'P NP KARAMBA IKAN'!D36</f>
        <v>0</v>
      </c>
      <c r="BJ6" s="116">
        <f>'P NP KARAMBA IKAN'!C37</f>
        <v>0</v>
      </c>
      <c r="BK6" s="116">
        <f>'P NP KARAMBA IKAN'!D37</f>
        <v>0</v>
      </c>
      <c r="BL6" s="116">
        <f>'P NP KARAMBA IKAN'!BA13</f>
        <v>0</v>
      </c>
      <c r="BM6" s="116">
        <f>'P NP KARAMBA IKAN'!BB13</f>
        <v>0</v>
      </c>
      <c r="BN6" s="116">
        <f>'P NP KARAMBA IKAN'!BC13</f>
        <v>0</v>
      </c>
      <c r="BO6" s="116">
        <f>'P NP KARAMBA IKAN'!BD13</f>
        <v>0</v>
      </c>
      <c r="BP6" s="116">
        <f>'P NP KARAMBA IKAN'!C40</f>
        <v>0</v>
      </c>
      <c r="BQ6" s="116">
        <f>'P NP KARAMBA IKAN'!D40</f>
        <v>0</v>
      </c>
      <c r="BR6" s="116">
        <f>'P NP KARAMBA IKAN'!C41</f>
        <v>0</v>
      </c>
      <c r="BS6" s="116">
        <f>'P NP KARAMBA IKAN'!D41</f>
        <v>0</v>
      </c>
      <c r="BT6" s="116">
        <f>'P NP KARAMBA IKAN'!C42</f>
        <v>0</v>
      </c>
      <c r="BU6" s="116">
        <f>'P NP KARAMBA IKAN'!D42</f>
        <v>0</v>
      </c>
      <c r="BV6" s="116">
        <f>'P NP KARAMBA IKAN'!C43</f>
        <v>0</v>
      </c>
      <c r="BW6" s="116">
        <f>'P NP KARAMBA IKAN'!D43</f>
        <v>0</v>
      </c>
      <c r="BX6" s="116">
        <f>'P NP KARAMBA IKAN'!C44</f>
        <v>0</v>
      </c>
      <c r="BY6" s="116">
        <f>'P NP KARAMBA IKAN'!D44</f>
        <v>0</v>
      </c>
    </row>
    <row r="7" spans="1:77">
      <c r="A7" s="260" t="s">
        <v>121</v>
      </c>
      <c r="B7" s="116">
        <f t="shared" ref="B7:B43" si="2">SUMIF($D$4:$BY$4,$B$4,D7:BY7)</f>
        <v>47815</v>
      </c>
      <c r="C7" s="116">
        <f t="shared" ref="C7:C43" si="3">SUMIF($D$4:$BY$4,$C$4,D7:BY7)</f>
        <v>1317575</v>
      </c>
      <c r="D7" s="116">
        <f>'P NP KARAMBA IKAN'!E8</f>
        <v>0</v>
      </c>
      <c r="E7" s="116">
        <f>'P NP KARAMBA IKAN'!F8</f>
        <v>0</v>
      </c>
      <c r="F7" s="116">
        <f>'P NP KARAMBA IKAN'!E9</f>
        <v>0</v>
      </c>
      <c r="G7" s="116">
        <f>'P NP KARAMBA IKAN'!F9</f>
        <v>0</v>
      </c>
      <c r="H7" s="116">
        <f>'P NP KARAMBA IKAN'!E10</f>
        <v>0</v>
      </c>
      <c r="I7" s="116">
        <f>'P NP KARAMBA IKAN'!F10</f>
        <v>0</v>
      </c>
      <c r="J7" s="116">
        <f>'P NP KARAMBA IKAN'!E11</f>
        <v>0</v>
      </c>
      <c r="K7" s="116">
        <f>'P NP KARAMBA IKAN'!F11</f>
        <v>0</v>
      </c>
      <c r="L7" s="116">
        <f>'P NP KARAMBA IKAN'!E12</f>
        <v>0</v>
      </c>
      <c r="M7" s="116">
        <f>'P NP KARAMBA IKAN'!F12</f>
        <v>0</v>
      </c>
      <c r="N7" s="116">
        <f>'P NP KARAMBA IKAN'!E13</f>
        <v>0</v>
      </c>
      <c r="O7" s="116">
        <f>'P NP KARAMBA IKAN'!F13</f>
        <v>0</v>
      </c>
      <c r="P7" s="116">
        <f>'P NP KARAMBA IKAN'!E14</f>
        <v>0</v>
      </c>
      <c r="Q7" s="116">
        <f>'P NP KARAMBA IKAN'!F14</f>
        <v>0</v>
      </c>
      <c r="R7" s="116">
        <f>'P NP KARAMBA IKAN'!E15</f>
        <v>0</v>
      </c>
      <c r="S7" s="116">
        <f>'P NP KARAMBA IKAN'!F15</f>
        <v>0</v>
      </c>
      <c r="T7" s="116">
        <f>'P NP KARAMBA IKAN'!E16</f>
        <v>0</v>
      </c>
      <c r="U7" s="116">
        <f>'P NP KARAMBA IKAN'!F16</f>
        <v>0</v>
      </c>
      <c r="V7" s="116">
        <f>'P NP KARAMBA IKAN'!E17</f>
        <v>0</v>
      </c>
      <c r="W7" s="116">
        <f>'P NP KARAMBA IKAN'!F17</f>
        <v>0</v>
      </c>
      <c r="X7" s="116">
        <f>'P NP KARAMBA IKAN'!E18</f>
        <v>0</v>
      </c>
      <c r="Y7" s="116">
        <f>'P NP KARAMBA IKAN'!F18</f>
        <v>0</v>
      </c>
      <c r="Z7" s="116">
        <f>'P NP KARAMBA IKAN'!E19</f>
        <v>0</v>
      </c>
      <c r="AA7" s="116">
        <f>'P NP KARAMBA IKAN'!F19</f>
        <v>0</v>
      </c>
      <c r="AB7" s="116">
        <f>'P NP KARAMBA IKAN'!E20</f>
        <v>0</v>
      </c>
      <c r="AC7" s="116">
        <f>'P NP KARAMBA IKAN'!F20</f>
        <v>0</v>
      </c>
      <c r="AD7" s="116">
        <f>'P NP KARAMBA IKAN'!E21</f>
        <v>0</v>
      </c>
      <c r="AE7" s="116">
        <f>'P NP KARAMBA IKAN'!F21</f>
        <v>0</v>
      </c>
      <c r="AF7" s="116">
        <f>'P NP KARAMBA IKAN'!E22</f>
        <v>0</v>
      </c>
      <c r="AG7" s="116">
        <f>'P NP KARAMBA IKAN'!F22</f>
        <v>0</v>
      </c>
      <c r="AH7" s="116">
        <f>'P NP KARAMBA IKAN'!E23</f>
        <v>0</v>
      </c>
      <c r="AI7" s="116">
        <f>'P NP KARAMBA IKAN'!F23</f>
        <v>0</v>
      </c>
      <c r="AJ7" s="116">
        <f>'P NP KARAMBA IKAN'!E24</f>
        <v>24085</v>
      </c>
      <c r="AK7" s="116">
        <f>'P NP KARAMBA IKAN'!F24</f>
        <v>842975</v>
      </c>
      <c r="AL7" s="116">
        <f>'P NP KARAMBA IKAN'!E25</f>
        <v>0</v>
      </c>
      <c r="AM7" s="116">
        <f>'P NP KARAMBA IKAN'!F25</f>
        <v>0</v>
      </c>
      <c r="AN7" s="116">
        <f>'P NP KARAMBA IKAN'!E26</f>
        <v>23730</v>
      </c>
      <c r="AO7" s="116">
        <f>'P NP KARAMBA IKAN'!F26</f>
        <v>474600</v>
      </c>
      <c r="AP7" s="116">
        <f>'P NP KARAMBA IKAN'!E27</f>
        <v>0</v>
      </c>
      <c r="AQ7" s="116">
        <f>'P NP KARAMBA IKAN'!F27</f>
        <v>0</v>
      </c>
      <c r="AR7" s="116">
        <f>'P NP KARAMBA IKAN'!E28</f>
        <v>0</v>
      </c>
      <c r="AS7" s="116">
        <f>'P NP KARAMBA IKAN'!F28</f>
        <v>0</v>
      </c>
      <c r="AT7" s="116">
        <f>'P NP KARAMBA IKAN'!E29</f>
        <v>0</v>
      </c>
      <c r="AU7" s="116">
        <f>'P NP KARAMBA IKAN'!F29</f>
        <v>0</v>
      </c>
      <c r="AV7" s="116">
        <f>'P NP KARAMBA IKAN'!E30</f>
        <v>0</v>
      </c>
      <c r="AW7" s="116">
        <f>'P NP KARAMBA IKAN'!F30</f>
        <v>0</v>
      </c>
      <c r="AX7" s="116">
        <f>'P NP KARAMBA IKAN'!E31</f>
        <v>0</v>
      </c>
      <c r="AY7" s="116">
        <f>'P NP KARAMBA IKAN'!F31</f>
        <v>0</v>
      </c>
      <c r="AZ7" s="116">
        <f>'P NP KARAMBA IKAN'!E32</f>
        <v>0</v>
      </c>
      <c r="BA7" s="116">
        <f>'P NP KARAMBA IKAN'!F32</f>
        <v>0</v>
      </c>
      <c r="BB7" s="116">
        <f>'P NP KARAMBA IKAN'!E33</f>
        <v>0</v>
      </c>
      <c r="BC7" s="116">
        <f>'P NP KARAMBA IKAN'!F34</f>
        <v>0</v>
      </c>
      <c r="BD7" s="116">
        <f>'P NP KARAMBA IKAN'!E34</f>
        <v>0</v>
      </c>
      <c r="BE7" s="116">
        <f>'P NP KARAMBA IKAN'!F34</f>
        <v>0</v>
      </c>
      <c r="BF7" s="116">
        <f>'P NP KARAMBA IKAN'!E35</f>
        <v>0</v>
      </c>
      <c r="BG7" s="116">
        <f>'P NP KARAMBA IKAN'!F35</f>
        <v>0</v>
      </c>
      <c r="BH7" s="116">
        <f>'P NP KARAMBA IKAN'!E36</f>
        <v>0</v>
      </c>
      <c r="BI7" s="116">
        <f>'P NP KARAMBA IKAN'!F36</f>
        <v>0</v>
      </c>
      <c r="BJ7" s="116">
        <f>'P NP KARAMBA IKAN'!E37</f>
        <v>0</v>
      </c>
      <c r="BK7" s="116">
        <f>'P NP KARAMBA IKAN'!F37</f>
        <v>0</v>
      </c>
      <c r="BL7" s="116">
        <f>'P NP KARAMBA IKAN'!E38</f>
        <v>0</v>
      </c>
      <c r="BM7" s="116">
        <f>'P NP KARAMBA IKAN'!F38</f>
        <v>0</v>
      </c>
      <c r="BN7" s="116">
        <f>'P NP KARAMBA IKAN'!BC14</f>
        <v>0</v>
      </c>
      <c r="BO7" s="116">
        <f>'P NP KARAMBA IKAN'!BD14</f>
        <v>0</v>
      </c>
      <c r="BP7" s="116">
        <f>'P NP KARAMBA IKAN'!E40</f>
        <v>0</v>
      </c>
      <c r="BQ7" s="116">
        <f>'P NP KARAMBA IKAN'!F40</f>
        <v>0</v>
      </c>
      <c r="BR7" s="116">
        <f>'P NP KARAMBA IKAN'!E41</f>
        <v>0</v>
      </c>
      <c r="BS7" s="116">
        <f>'P NP KARAMBA IKAN'!F41</f>
        <v>0</v>
      </c>
      <c r="BT7" s="116">
        <f>'P NP KARAMBA IKAN'!E42</f>
        <v>0</v>
      </c>
      <c r="BU7" s="116">
        <f>'P NP KARAMBA IKAN'!F42</f>
        <v>0</v>
      </c>
      <c r="BV7" s="116">
        <f>'P NP KARAMBA IKAN'!E43</f>
        <v>0</v>
      </c>
      <c r="BW7" s="116">
        <f>'P NP KARAMBA IKAN'!F43</f>
        <v>0</v>
      </c>
      <c r="BX7" s="116">
        <f>'P NP KARAMBA IKAN'!E44</f>
        <v>0</v>
      </c>
      <c r="BY7" s="116">
        <f>'P NP KARAMBA IKAN'!F44</f>
        <v>0</v>
      </c>
    </row>
    <row r="8" spans="1:77">
      <c r="A8" s="260" t="s">
        <v>116</v>
      </c>
      <c r="B8" s="116">
        <f t="shared" si="2"/>
        <v>0</v>
      </c>
      <c r="C8" s="116">
        <f t="shared" si="3"/>
        <v>0</v>
      </c>
      <c r="D8" s="116">
        <f>'P NP KARAMBA IKAN'!G8</f>
        <v>0</v>
      </c>
      <c r="E8" s="116">
        <f>'P NP KARAMBA IKAN'!H8</f>
        <v>0</v>
      </c>
      <c r="F8" s="116">
        <f>'P NP KARAMBA IKAN'!G9</f>
        <v>0</v>
      </c>
      <c r="G8" s="116">
        <f>'P NP KARAMBA IKAN'!H9</f>
        <v>0</v>
      </c>
      <c r="H8" s="116">
        <f>'P NP KARAMBA IKAN'!G10</f>
        <v>0</v>
      </c>
      <c r="I8" s="116">
        <f>'P NP KARAMBA IKAN'!H10</f>
        <v>0</v>
      </c>
      <c r="J8" s="116">
        <f>'P NP KARAMBA IKAN'!G11</f>
        <v>0</v>
      </c>
      <c r="K8" s="116">
        <f>'P NP KARAMBA IKAN'!H11</f>
        <v>0</v>
      </c>
      <c r="L8" s="116">
        <f>'P NP KARAMBA IKAN'!G12</f>
        <v>0</v>
      </c>
      <c r="M8" s="116">
        <f>'P NP KARAMBA IKAN'!H12</f>
        <v>0</v>
      </c>
      <c r="N8" s="116">
        <f>'P NP KARAMBA IKAN'!G13</f>
        <v>0</v>
      </c>
      <c r="O8" s="116">
        <f>'P NP KARAMBA IKAN'!H13</f>
        <v>0</v>
      </c>
      <c r="P8" s="116">
        <f>'P NP KARAMBA IKAN'!G14</f>
        <v>0</v>
      </c>
      <c r="Q8" s="116">
        <f>'P NP KARAMBA IKAN'!H14</f>
        <v>0</v>
      </c>
      <c r="R8" s="116">
        <f>'P NP KARAMBA IKAN'!G15</f>
        <v>0</v>
      </c>
      <c r="S8" s="116">
        <f>'P NP KARAMBA IKAN'!H15</f>
        <v>0</v>
      </c>
      <c r="T8" s="116">
        <f>'P NP KARAMBA IKAN'!G16</f>
        <v>0</v>
      </c>
      <c r="U8" s="116">
        <f>'P NP KARAMBA IKAN'!H16</f>
        <v>0</v>
      </c>
      <c r="V8" s="116">
        <f>'P NP KARAMBA IKAN'!G17</f>
        <v>0</v>
      </c>
      <c r="W8" s="116">
        <f>'P NP KARAMBA IKAN'!H17</f>
        <v>0</v>
      </c>
      <c r="X8" s="116">
        <f>'P NP KARAMBA IKAN'!G18</f>
        <v>0</v>
      </c>
      <c r="Y8" s="116">
        <f>'P NP KARAMBA IKAN'!H18</f>
        <v>0</v>
      </c>
      <c r="Z8" s="116">
        <f>'P NP KARAMBA IKAN'!G19</f>
        <v>0</v>
      </c>
      <c r="AA8" s="116">
        <f>'P NP KARAMBA IKAN'!H19</f>
        <v>0</v>
      </c>
      <c r="AB8" s="116">
        <f>'P NP KARAMBA IKAN'!G20</f>
        <v>0</v>
      </c>
      <c r="AC8" s="116">
        <f>'P NP KARAMBA IKAN'!H20</f>
        <v>0</v>
      </c>
      <c r="AD8" s="116">
        <f>'P NP KARAMBA IKAN'!G21</f>
        <v>0</v>
      </c>
      <c r="AE8" s="116">
        <f>'P NP KARAMBA IKAN'!H21</f>
        <v>0</v>
      </c>
      <c r="AF8" s="116">
        <f>'P NP KARAMBA IKAN'!G22</f>
        <v>0</v>
      </c>
      <c r="AG8" s="116">
        <f>'P NP KARAMBA IKAN'!H22</f>
        <v>0</v>
      </c>
      <c r="AH8" s="116">
        <f>'P NP KARAMBA IKAN'!G23</f>
        <v>0</v>
      </c>
      <c r="AI8" s="116">
        <f>'P NP KARAMBA IKAN'!H23</f>
        <v>0</v>
      </c>
      <c r="AJ8" s="116">
        <f>'P NP KARAMBA IKAN'!G24</f>
        <v>0</v>
      </c>
      <c r="AK8" s="116">
        <f>'P NP KARAMBA IKAN'!H24</f>
        <v>0</v>
      </c>
      <c r="AL8" s="116">
        <f>'P NP KARAMBA IKAN'!G25</f>
        <v>0</v>
      </c>
      <c r="AM8" s="116">
        <f>'P NP KARAMBA IKAN'!H25</f>
        <v>0</v>
      </c>
      <c r="AN8" s="116">
        <f>'P NP KARAMBA IKAN'!G26</f>
        <v>0</v>
      </c>
      <c r="AO8" s="116">
        <f>'P NP KARAMBA IKAN'!H26</f>
        <v>0</v>
      </c>
      <c r="AP8" s="116">
        <f>'P NP KARAMBA IKAN'!G27</f>
        <v>0</v>
      </c>
      <c r="AQ8" s="116">
        <f>'P NP KARAMBA IKAN'!H27</f>
        <v>0</v>
      </c>
      <c r="AR8" s="116">
        <f>'P NP KARAMBA IKAN'!G28</f>
        <v>0</v>
      </c>
      <c r="AS8" s="116">
        <f>'P NP KARAMBA IKAN'!H28</f>
        <v>0</v>
      </c>
      <c r="AT8" s="116">
        <f>'P NP KARAMBA IKAN'!G29</f>
        <v>0</v>
      </c>
      <c r="AU8" s="116">
        <f>'P NP KARAMBA IKAN'!H29</f>
        <v>0</v>
      </c>
      <c r="AV8" s="116">
        <f>'P NP KARAMBA IKAN'!G30</f>
        <v>0</v>
      </c>
      <c r="AW8" s="116">
        <f>'P NP KARAMBA IKAN'!H30</f>
        <v>0</v>
      </c>
      <c r="AX8" s="116">
        <f>'P NP KARAMBA IKAN'!G31</f>
        <v>0</v>
      </c>
      <c r="AY8" s="116">
        <f>'P NP KARAMBA IKAN'!H31</f>
        <v>0</v>
      </c>
      <c r="AZ8" s="116">
        <f>'P NP KARAMBA IKAN'!G32</f>
        <v>0</v>
      </c>
      <c r="BA8" s="116">
        <f>'P NP KARAMBA IKAN'!H32</f>
        <v>0</v>
      </c>
      <c r="BB8" s="116">
        <f>'P NP KARAMBA IKAN'!G33</f>
        <v>0</v>
      </c>
      <c r="BC8" s="116">
        <f>'P NP KARAMBA IKAN'!H33</f>
        <v>0</v>
      </c>
      <c r="BD8" s="116">
        <f>'P NP KARAMBA IKAN'!G34</f>
        <v>0</v>
      </c>
      <c r="BE8" s="116">
        <f>'P NP KARAMBA IKAN'!AT15</f>
        <v>0</v>
      </c>
      <c r="BF8" s="116">
        <f>'P NP KARAMBA IKAN'!G35</f>
        <v>0</v>
      </c>
      <c r="BG8" s="116">
        <f>'P NP KARAMBA IKAN'!H35</f>
        <v>0</v>
      </c>
      <c r="BH8" s="116">
        <f>'P NP KARAMBA IKAN'!G36</f>
        <v>0</v>
      </c>
      <c r="BI8" s="116">
        <f>'P NP KARAMBA IKAN'!H36</f>
        <v>0</v>
      </c>
      <c r="BJ8" s="116">
        <f>'P NP KARAMBA IKAN'!G37</f>
        <v>0</v>
      </c>
      <c r="BK8" s="116">
        <f>'P NP KARAMBA IKAN'!H37</f>
        <v>0</v>
      </c>
      <c r="BL8" s="116">
        <f>'P NP KARAMBA IKAN'!G38</f>
        <v>0</v>
      </c>
      <c r="BM8" s="116">
        <f>'P NP KARAMBA IKAN'!H38</f>
        <v>0</v>
      </c>
      <c r="BN8" s="116">
        <f>'P NP KARAMBA IKAN'!G39</f>
        <v>0</v>
      </c>
      <c r="BO8" s="116">
        <f>'P NP KARAMBA IKAN'!H39</f>
        <v>0</v>
      </c>
      <c r="BP8" s="116">
        <f>'P NP KARAMBA IKAN'!BE15</f>
        <v>0</v>
      </c>
      <c r="BQ8" s="116">
        <f>'P NP KARAMBA IKAN'!BF15</f>
        <v>0</v>
      </c>
      <c r="BR8" s="116">
        <f>'P NP KARAMBA IKAN'!BG15</f>
        <v>0</v>
      </c>
      <c r="BS8" s="116">
        <f>'P NP KARAMBA IKAN'!BH15</f>
        <v>0</v>
      </c>
      <c r="BT8" s="116">
        <f>'P NP KARAMBA IKAN'!G42</f>
        <v>0</v>
      </c>
      <c r="BU8" s="116">
        <f>'P NP KARAMBA IKAN'!H42</f>
        <v>0</v>
      </c>
      <c r="BV8" s="116">
        <f>'P NP KARAMBA IKAN'!G43</f>
        <v>0</v>
      </c>
      <c r="BW8" s="116">
        <f>'P NP KARAMBA IKAN'!H43</f>
        <v>0</v>
      </c>
      <c r="BX8" s="116">
        <f>'P NP KARAMBA IKAN'!G44</f>
        <v>0</v>
      </c>
      <c r="BY8" s="116">
        <f>'P NP KARAMBA IKAN'!H44</f>
        <v>0</v>
      </c>
    </row>
    <row r="9" spans="1:77">
      <c r="A9" s="260" t="s">
        <v>133</v>
      </c>
      <c r="B9" s="116">
        <f t="shared" si="2"/>
        <v>0</v>
      </c>
      <c r="C9" s="116">
        <f t="shared" si="3"/>
        <v>0</v>
      </c>
      <c r="D9" s="116">
        <f>'P NP KARAMBA IKAN'!I8</f>
        <v>0</v>
      </c>
      <c r="E9" s="116">
        <f>'P NP KARAMBA IKAN'!J8</f>
        <v>0</v>
      </c>
      <c r="F9" s="116">
        <f>'P NP KARAMBA IKAN'!I9</f>
        <v>0</v>
      </c>
      <c r="G9" s="116">
        <f>'P NP KARAMBA IKAN'!J9</f>
        <v>0</v>
      </c>
      <c r="H9" s="116">
        <f>'P NP KARAMBA IKAN'!I10</f>
        <v>0</v>
      </c>
      <c r="I9" s="116">
        <f>'P NP KARAMBA IKAN'!J10</f>
        <v>0</v>
      </c>
      <c r="J9" s="116">
        <f>'P NP KARAMBA IKAN'!I11</f>
        <v>0</v>
      </c>
      <c r="K9" s="116">
        <f>'P NP KARAMBA IKAN'!J11</f>
        <v>0</v>
      </c>
      <c r="L9" s="116">
        <f>'P NP KARAMBA IKAN'!I12</f>
        <v>0</v>
      </c>
      <c r="M9" s="116">
        <f>'P NP KARAMBA IKAN'!J12</f>
        <v>0</v>
      </c>
      <c r="N9" s="116">
        <f>'P NP KARAMBA IKAN'!I13</f>
        <v>0</v>
      </c>
      <c r="O9" s="116">
        <f>'P NP KARAMBA IKAN'!J13</f>
        <v>0</v>
      </c>
      <c r="P9" s="116">
        <f>'P NP KARAMBA IKAN'!I14</f>
        <v>0</v>
      </c>
      <c r="Q9" s="116">
        <f>'P NP KARAMBA IKAN'!J14</f>
        <v>0</v>
      </c>
      <c r="R9" s="116">
        <f>'P NP KARAMBA IKAN'!I15</f>
        <v>0</v>
      </c>
      <c r="S9" s="116">
        <f>'P NP KARAMBA IKAN'!J15</f>
        <v>0</v>
      </c>
      <c r="T9" s="116">
        <f>'P NP KARAMBA IKAN'!I16</f>
        <v>0</v>
      </c>
      <c r="U9" s="116">
        <f>'P NP KARAMBA IKAN'!J16</f>
        <v>0</v>
      </c>
      <c r="V9" s="116">
        <f>'P NP KARAMBA IKAN'!I17</f>
        <v>0</v>
      </c>
      <c r="W9" s="116">
        <f>'P NP KARAMBA IKAN'!J17</f>
        <v>0</v>
      </c>
      <c r="X9" s="116">
        <f>'P NP KARAMBA IKAN'!I18</f>
        <v>0</v>
      </c>
      <c r="Y9" s="116">
        <f>'P NP KARAMBA IKAN'!J18</f>
        <v>0</v>
      </c>
      <c r="Z9" s="116">
        <f>'P NP KARAMBA IKAN'!I19</f>
        <v>0</v>
      </c>
      <c r="AA9" s="116">
        <f>'P NP KARAMBA IKAN'!J19</f>
        <v>0</v>
      </c>
      <c r="AB9" s="116">
        <f>'P NP KARAMBA IKAN'!I20</f>
        <v>0</v>
      </c>
      <c r="AC9" s="116">
        <f>'P NP KARAMBA IKAN'!J20</f>
        <v>0</v>
      </c>
      <c r="AD9" s="116">
        <f>'P NP KARAMBA IKAN'!I21</f>
        <v>0</v>
      </c>
      <c r="AE9" s="116">
        <f>'P NP KARAMBA IKAN'!J21</f>
        <v>0</v>
      </c>
      <c r="AF9" s="116">
        <f>'P NP KARAMBA IKAN'!I22</f>
        <v>0</v>
      </c>
      <c r="AG9" s="116">
        <f>'P NP KARAMBA IKAN'!J22</f>
        <v>0</v>
      </c>
      <c r="AH9" s="116">
        <f>'P NP KARAMBA IKAN'!I23</f>
        <v>0</v>
      </c>
      <c r="AI9" s="116">
        <f>'P NP KARAMBA IKAN'!J23</f>
        <v>0</v>
      </c>
      <c r="AJ9" s="116">
        <f>'P NP KARAMBA IKAN'!I24</f>
        <v>0</v>
      </c>
      <c r="AK9" s="116">
        <f>'P NP KARAMBA IKAN'!J24</f>
        <v>0</v>
      </c>
      <c r="AL9" s="116">
        <f>'P NP KARAMBA IKAN'!I25</f>
        <v>0</v>
      </c>
      <c r="AM9" s="116">
        <f>'P NP KARAMBA IKAN'!J25</f>
        <v>0</v>
      </c>
      <c r="AN9" s="116">
        <f>'P NP KARAMBA IKAN'!I26</f>
        <v>0</v>
      </c>
      <c r="AO9" s="116">
        <f>'P NP KARAMBA IKAN'!J26</f>
        <v>0</v>
      </c>
      <c r="AP9" s="116">
        <f>'P NP KARAMBA IKAN'!I27</f>
        <v>0</v>
      </c>
      <c r="AQ9" s="116">
        <f>'P NP KARAMBA IKAN'!J27</f>
        <v>0</v>
      </c>
      <c r="AR9" s="116">
        <f>'P NP KARAMBA IKAN'!I28</f>
        <v>0</v>
      </c>
      <c r="AS9" s="116">
        <f>'P NP KARAMBA IKAN'!J28</f>
        <v>0</v>
      </c>
      <c r="AT9" s="116">
        <f>'P NP KARAMBA IKAN'!I29</f>
        <v>0</v>
      </c>
      <c r="AU9" s="116">
        <f>'P NP KARAMBA IKAN'!J29</f>
        <v>0</v>
      </c>
      <c r="AV9" s="116">
        <f>'P NP KARAMBA IKAN'!I30</f>
        <v>0</v>
      </c>
      <c r="AW9" s="116">
        <f>'P NP KARAMBA IKAN'!J30</f>
        <v>0</v>
      </c>
      <c r="AX9" s="116">
        <f>'P NP KARAMBA IKAN'!I31</f>
        <v>0</v>
      </c>
      <c r="AY9" s="116">
        <f>'P NP KARAMBA IKAN'!J31</f>
        <v>0</v>
      </c>
      <c r="AZ9" s="116">
        <f>'P NP KARAMBA IKAN'!I32</f>
        <v>0</v>
      </c>
      <c r="BA9" s="116">
        <f>'P NP KARAMBA IKAN'!J32</f>
        <v>0</v>
      </c>
      <c r="BB9" s="116">
        <f>'P NP KARAMBA IKAN'!I33</f>
        <v>0</v>
      </c>
      <c r="BC9" s="116">
        <f>'P NP KARAMBA IKAN'!J33</f>
        <v>0</v>
      </c>
      <c r="BD9" s="116">
        <f>'P NP KARAMBA IKAN'!I34</f>
        <v>0</v>
      </c>
      <c r="BE9" s="116">
        <f>'P NP KARAMBA IKAN'!J34</f>
        <v>0</v>
      </c>
      <c r="BF9" s="116">
        <f>'P NP KARAMBA IKAN'!I35</f>
        <v>0</v>
      </c>
      <c r="BG9" s="116">
        <f>'P NP KARAMBA IKAN'!AV16</f>
        <v>0</v>
      </c>
      <c r="BH9" s="116">
        <f>'P NP KARAMBA IKAN'!I36</f>
        <v>0</v>
      </c>
      <c r="BI9" s="116">
        <f>'P NP KARAMBA IKAN'!J36</f>
        <v>0</v>
      </c>
      <c r="BJ9" s="116">
        <f>'P NP KARAMBA IKAN'!I37</f>
        <v>0</v>
      </c>
      <c r="BK9" s="116">
        <f>'P NP KARAMBA IKAN'!J37</f>
        <v>0</v>
      </c>
      <c r="BL9" s="116">
        <f>'P NP KARAMBA IKAN'!I38</f>
        <v>0</v>
      </c>
      <c r="BM9" s="116">
        <f>'P NP KARAMBA IKAN'!J38</f>
        <v>0</v>
      </c>
      <c r="BN9" s="116">
        <f>'P NP KARAMBA IKAN'!I39</f>
        <v>0</v>
      </c>
      <c r="BO9" s="116">
        <f>'P NP KARAMBA IKAN'!J39</f>
        <v>0</v>
      </c>
      <c r="BP9" s="116">
        <f>'P NP KARAMBA IKAN'!I40</f>
        <v>0</v>
      </c>
      <c r="BQ9" s="116">
        <f>'P NP KARAMBA IKAN'!J40</f>
        <v>0</v>
      </c>
      <c r="BR9" s="116">
        <f>'P NP KARAMBA IKAN'!BG16</f>
        <v>0</v>
      </c>
      <c r="BS9" s="116">
        <f>'P NP KARAMBA IKAN'!BH16</f>
        <v>0</v>
      </c>
      <c r="BT9" s="116">
        <f>'P NP KARAMBA IKAN'!BI16</f>
        <v>0</v>
      </c>
      <c r="BU9" s="116">
        <f>'P NP KARAMBA IKAN'!BJ16</f>
        <v>0</v>
      </c>
      <c r="BV9" s="116">
        <f>'P NP KARAMBA IKAN'!I43</f>
        <v>0</v>
      </c>
      <c r="BW9" s="116">
        <f>'P NP KARAMBA IKAN'!J43</f>
        <v>0</v>
      </c>
      <c r="BX9" s="116">
        <f>'P NP KARAMBA IKAN'!I44</f>
        <v>0</v>
      </c>
      <c r="BY9" s="116">
        <f>'P NP KARAMBA IKAN'!J44</f>
        <v>0</v>
      </c>
    </row>
    <row r="10" spans="1:77">
      <c r="A10" s="260" t="s">
        <v>122</v>
      </c>
      <c r="B10" s="116">
        <f t="shared" si="2"/>
        <v>0</v>
      </c>
      <c r="C10" s="116">
        <f t="shared" si="3"/>
        <v>0</v>
      </c>
      <c r="D10" s="116">
        <f>'P NP KARAMBA IKAN'!K8</f>
        <v>0</v>
      </c>
      <c r="E10" s="116">
        <f>'P NP KARAMBA IKAN'!L8</f>
        <v>0</v>
      </c>
      <c r="F10" s="116">
        <f>'P NP KARAMBA IKAN'!K9</f>
        <v>0</v>
      </c>
      <c r="G10" s="116">
        <f>'P NP KARAMBA IKAN'!L9</f>
        <v>0</v>
      </c>
      <c r="H10" s="116">
        <f>'P NP KARAMBA IKAN'!K10</f>
        <v>0</v>
      </c>
      <c r="I10" s="116">
        <f>'P NP KARAMBA IKAN'!L10</f>
        <v>0</v>
      </c>
      <c r="J10" s="116">
        <f>'P NP KARAMBA IKAN'!K11</f>
        <v>0</v>
      </c>
      <c r="K10" s="116">
        <f>'P NP KARAMBA IKAN'!L11</f>
        <v>0</v>
      </c>
      <c r="L10" s="116">
        <f>'P NP KARAMBA IKAN'!K12</f>
        <v>0</v>
      </c>
      <c r="M10" s="116">
        <f>'P NP KARAMBA IKAN'!L12</f>
        <v>0</v>
      </c>
      <c r="N10" s="116">
        <f>'P NP KARAMBA IKAN'!K13</f>
        <v>0</v>
      </c>
      <c r="O10" s="116">
        <f>'P NP KARAMBA IKAN'!L13</f>
        <v>0</v>
      </c>
      <c r="P10" s="116">
        <f>'P NP KARAMBA IKAN'!K14</f>
        <v>0</v>
      </c>
      <c r="Q10" s="116">
        <f>'P NP KARAMBA IKAN'!L14</f>
        <v>0</v>
      </c>
      <c r="R10" s="116">
        <f>'P NP KARAMBA IKAN'!K15</f>
        <v>0</v>
      </c>
      <c r="S10" s="116">
        <f>'P NP KARAMBA IKAN'!L15</f>
        <v>0</v>
      </c>
      <c r="T10" s="116">
        <f>'P NP KARAMBA IKAN'!K16</f>
        <v>0</v>
      </c>
      <c r="U10" s="116">
        <f>'P NP KARAMBA IKAN'!L16</f>
        <v>0</v>
      </c>
      <c r="V10" s="116">
        <f>'P NP KARAMBA IKAN'!K17</f>
        <v>0</v>
      </c>
      <c r="W10" s="116">
        <f>'P NP KARAMBA IKAN'!L17</f>
        <v>0</v>
      </c>
      <c r="X10" s="116">
        <f>'P NP KARAMBA IKAN'!K18</f>
        <v>0</v>
      </c>
      <c r="Y10" s="116">
        <f>'P NP KARAMBA IKAN'!L18</f>
        <v>0</v>
      </c>
      <c r="Z10" s="116">
        <f>'P NP KARAMBA IKAN'!K19</f>
        <v>0</v>
      </c>
      <c r="AA10" s="116">
        <f>'P NP KARAMBA IKAN'!L19</f>
        <v>0</v>
      </c>
      <c r="AB10" s="116">
        <f>'P NP KARAMBA IKAN'!K20</f>
        <v>0</v>
      </c>
      <c r="AC10" s="116">
        <f>'P NP KARAMBA IKAN'!L20</f>
        <v>0</v>
      </c>
      <c r="AD10" s="116">
        <f>'P NP KARAMBA IKAN'!K21</f>
        <v>0</v>
      </c>
      <c r="AE10" s="116">
        <f>'P NP KARAMBA IKAN'!L21</f>
        <v>0</v>
      </c>
      <c r="AF10" s="116">
        <f>'P NP KARAMBA IKAN'!K22</f>
        <v>0</v>
      </c>
      <c r="AG10" s="116">
        <f>'P NP KARAMBA IKAN'!L22</f>
        <v>0</v>
      </c>
      <c r="AH10" s="116">
        <f>'P NP KARAMBA IKAN'!K23</f>
        <v>0</v>
      </c>
      <c r="AI10" s="116">
        <f>'P NP KARAMBA IKAN'!L23</f>
        <v>0</v>
      </c>
      <c r="AJ10" s="116">
        <f>'P NP KARAMBA IKAN'!K24</f>
        <v>0</v>
      </c>
      <c r="AK10" s="116">
        <f>'P NP KARAMBA IKAN'!L24</f>
        <v>0</v>
      </c>
      <c r="AL10" s="116">
        <f>'P NP KARAMBA IKAN'!K25</f>
        <v>0</v>
      </c>
      <c r="AM10" s="116">
        <f>'P NP KARAMBA IKAN'!L25</f>
        <v>0</v>
      </c>
      <c r="AN10" s="116">
        <f>'P NP KARAMBA IKAN'!K26</f>
        <v>0</v>
      </c>
      <c r="AO10" s="116">
        <f>'P NP KARAMBA IKAN'!L26</f>
        <v>0</v>
      </c>
      <c r="AP10" s="116">
        <f>'P NP KARAMBA IKAN'!K27</f>
        <v>0</v>
      </c>
      <c r="AQ10" s="116">
        <f>'P NP KARAMBA IKAN'!L27</f>
        <v>0</v>
      </c>
      <c r="AR10" s="116">
        <f>'P NP KARAMBA IKAN'!K28</f>
        <v>0</v>
      </c>
      <c r="AS10" s="116">
        <f>'P NP KARAMBA IKAN'!L28</f>
        <v>0</v>
      </c>
      <c r="AT10" s="116">
        <f>'P NP KARAMBA IKAN'!K29</f>
        <v>0</v>
      </c>
      <c r="AU10" s="116">
        <f>'P NP KARAMBA IKAN'!L29</f>
        <v>0</v>
      </c>
      <c r="AV10" s="116">
        <f>'P NP KARAMBA IKAN'!K30</f>
        <v>0</v>
      </c>
      <c r="AW10" s="116">
        <f>'P NP KARAMBA IKAN'!L30</f>
        <v>0</v>
      </c>
      <c r="AX10" s="116">
        <f>'P NP KARAMBA IKAN'!K31</f>
        <v>0</v>
      </c>
      <c r="AY10" s="116">
        <f>'P NP KARAMBA IKAN'!L31</f>
        <v>0</v>
      </c>
      <c r="AZ10" s="116">
        <f>'P NP KARAMBA IKAN'!K32</f>
        <v>0</v>
      </c>
      <c r="BA10" s="116">
        <f>'P NP KARAMBA IKAN'!L32</f>
        <v>0</v>
      </c>
      <c r="BB10" s="116">
        <f>'P NP KARAMBA IKAN'!K33</f>
        <v>0</v>
      </c>
      <c r="BC10" s="116">
        <f>'P NP KARAMBA IKAN'!L33</f>
        <v>0</v>
      </c>
      <c r="BD10" s="116">
        <f>'P NP KARAMBA IKAN'!K34</f>
        <v>0</v>
      </c>
      <c r="BE10" s="116">
        <f>'P NP KARAMBA IKAN'!L34</f>
        <v>0</v>
      </c>
      <c r="BF10" s="116">
        <f>'P NP KARAMBA IKAN'!K35</f>
        <v>0</v>
      </c>
      <c r="BG10" s="116">
        <f>'P NP KARAMBA IKAN'!L35</f>
        <v>0</v>
      </c>
      <c r="BH10" s="116">
        <f>'P NP KARAMBA IKAN'!K36</f>
        <v>0</v>
      </c>
      <c r="BI10" s="116">
        <f>'P NP KARAMBA IKAN'!AX17</f>
        <v>0</v>
      </c>
      <c r="BJ10" s="116">
        <f>'P NP KARAMBA IKAN'!K37</f>
        <v>0</v>
      </c>
      <c r="BK10" s="116">
        <f>'P NP KARAMBA IKAN'!L37</f>
        <v>0</v>
      </c>
      <c r="BL10" s="116">
        <f>'P NP KARAMBA IKAN'!K38</f>
        <v>0</v>
      </c>
      <c r="BM10" s="116">
        <f>'P NP KARAMBA IKAN'!L38</f>
        <v>0</v>
      </c>
      <c r="BN10" s="116">
        <f>'P NP KARAMBA IKAN'!K39</f>
        <v>0</v>
      </c>
      <c r="BO10" s="116">
        <f>'P NP KARAMBA IKAN'!L39</f>
        <v>0</v>
      </c>
      <c r="BP10" s="116">
        <f>'P NP KARAMBA IKAN'!K40</f>
        <v>0</v>
      </c>
      <c r="BQ10" s="116">
        <f>'P NP KARAMBA IKAN'!L40</f>
        <v>0</v>
      </c>
      <c r="BR10" s="116">
        <f>'P NP KARAMBA IKAN'!K41</f>
        <v>0</v>
      </c>
      <c r="BS10" s="116">
        <f>'P NP KARAMBA IKAN'!L41</f>
        <v>0</v>
      </c>
      <c r="BT10" s="116">
        <f>'P NP KARAMBA IKAN'!BI17</f>
        <v>0</v>
      </c>
      <c r="BU10" s="116">
        <f>'P NP KARAMBA IKAN'!BJ17</f>
        <v>0</v>
      </c>
      <c r="BV10" s="116">
        <f>'P NP KARAMBA IKAN'!BK17</f>
        <v>0</v>
      </c>
      <c r="BW10" s="116">
        <f>'P NP KARAMBA IKAN'!BL17</f>
        <v>0</v>
      </c>
      <c r="BX10" s="116">
        <f>'P NP KARAMBA IKAN'!K44</f>
        <v>0</v>
      </c>
      <c r="BY10" s="116">
        <f>'P NP KARAMBA IKAN'!L44</f>
        <v>0</v>
      </c>
    </row>
    <row r="11" spans="1:77">
      <c r="A11" s="260" t="s">
        <v>136</v>
      </c>
      <c r="B11" s="116">
        <f t="shared" si="2"/>
        <v>0</v>
      </c>
      <c r="C11" s="116">
        <f t="shared" si="3"/>
        <v>0</v>
      </c>
      <c r="D11" s="116">
        <f>'P NP KARAMBA IKAN'!M8</f>
        <v>0</v>
      </c>
      <c r="E11" s="116">
        <f>'P NP KARAMBA IKAN'!N8</f>
        <v>0</v>
      </c>
      <c r="F11" s="116">
        <f>'P NP KARAMBA IKAN'!M9</f>
        <v>0</v>
      </c>
      <c r="G11" s="116">
        <f>'P NP KARAMBA IKAN'!N9</f>
        <v>0</v>
      </c>
      <c r="H11" s="116">
        <f>'P NP KARAMBA IKAN'!M10</f>
        <v>0</v>
      </c>
      <c r="I11" s="116">
        <f>'P NP KARAMBA IKAN'!N10</f>
        <v>0</v>
      </c>
      <c r="J11" s="116">
        <f>'P NP KARAMBA IKAN'!M11</f>
        <v>0</v>
      </c>
      <c r="K11" s="116">
        <f>'P NP KARAMBA IKAN'!N11</f>
        <v>0</v>
      </c>
      <c r="L11" s="116">
        <f>'P NP KARAMBA IKAN'!M12</f>
        <v>0</v>
      </c>
      <c r="M11" s="116">
        <f>'P NP KARAMBA IKAN'!N12</f>
        <v>0</v>
      </c>
      <c r="N11" s="116">
        <f>'P NP KARAMBA IKAN'!M13</f>
        <v>0</v>
      </c>
      <c r="O11" s="116">
        <f>'P NP KARAMBA IKAN'!N13</f>
        <v>0</v>
      </c>
      <c r="P11" s="116">
        <f>'P NP KARAMBA IKAN'!M14</f>
        <v>0</v>
      </c>
      <c r="Q11" s="116">
        <f>'P NP KARAMBA IKAN'!N14</f>
        <v>0</v>
      </c>
      <c r="R11" s="116">
        <f>'P NP KARAMBA IKAN'!M15</f>
        <v>0</v>
      </c>
      <c r="S11" s="116">
        <f>'P NP KARAMBA IKAN'!N15</f>
        <v>0</v>
      </c>
      <c r="T11" s="116">
        <f>'P NP KARAMBA IKAN'!M16</f>
        <v>0</v>
      </c>
      <c r="U11" s="116">
        <f>'P NP KARAMBA IKAN'!N16</f>
        <v>0</v>
      </c>
      <c r="V11" s="116">
        <f>'P NP KARAMBA IKAN'!M17</f>
        <v>0</v>
      </c>
      <c r="W11" s="116">
        <f>'P NP KARAMBA IKAN'!N17</f>
        <v>0</v>
      </c>
      <c r="X11" s="116">
        <f>'P NP KARAMBA IKAN'!M18</f>
        <v>0</v>
      </c>
      <c r="Y11" s="116">
        <f>'P NP KARAMBA IKAN'!N18</f>
        <v>0</v>
      </c>
      <c r="Z11" s="116">
        <f>'P NP KARAMBA IKAN'!M19</f>
        <v>0</v>
      </c>
      <c r="AA11" s="116">
        <f>'P NP KARAMBA IKAN'!N19</f>
        <v>0</v>
      </c>
      <c r="AB11" s="116">
        <f>'P NP KARAMBA IKAN'!M20</f>
        <v>0</v>
      </c>
      <c r="AC11" s="116">
        <f>'P NP KARAMBA IKAN'!N20</f>
        <v>0</v>
      </c>
      <c r="AD11" s="116">
        <f>'P NP KARAMBA IKAN'!M21</f>
        <v>0</v>
      </c>
      <c r="AE11" s="116">
        <f>'P NP KARAMBA IKAN'!N21</f>
        <v>0</v>
      </c>
      <c r="AF11" s="116">
        <f>'P NP KARAMBA IKAN'!M22</f>
        <v>0</v>
      </c>
      <c r="AG11" s="116">
        <f>'P NP KARAMBA IKAN'!N22</f>
        <v>0</v>
      </c>
      <c r="AH11" s="116">
        <f>'P NP KARAMBA IKAN'!M23</f>
        <v>0</v>
      </c>
      <c r="AI11" s="116">
        <f>'P NP KARAMBA IKAN'!N23</f>
        <v>0</v>
      </c>
      <c r="AJ11" s="116">
        <f>'P NP KARAMBA IKAN'!M24</f>
        <v>0</v>
      </c>
      <c r="AK11" s="116">
        <f>'P NP KARAMBA IKAN'!N24</f>
        <v>0</v>
      </c>
      <c r="AL11" s="116">
        <f>'P NP KARAMBA IKAN'!M25</f>
        <v>0</v>
      </c>
      <c r="AM11" s="116">
        <f>'P NP KARAMBA IKAN'!N25</f>
        <v>0</v>
      </c>
      <c r="AN11" s="116">
        <f>'P NP KARAMBA IKAN'!M26</f>
        <v>0</v>
      </c>
      <c r="AO11" s="116">
        <f>'P NP KARAMBA IKAN'!N26</f>
        <v>0</v>
      </c>
      <c r="AP11" s="116">
        <f>'P NP KARAMBA IKAN'!M27</f>
        <v>0</v>
      </c>
      <c r="AQ11" s="116">
        <f>'P NP KARAMBA IKAN'!N27</f>
        <v>0</v>
      </c>
      <c r="AR11" s="116">
        <f>'P NP KARAMBA IKAN'!M28</f>
        <v>0</v>
      </c>
      <c r="AS11" s="116">
        <f>'P NP KARAMBA IKAN'!N28</f>
        <v>0</v>
      </c>
      <c r="AT11" s="116">
        <f>'P NP KARAMBA IKAN'!M29</f>
        <v>0</v>
      </c>
      <c r="AU11" s="116">
        <f>'P NP KARAMBA IKAN'!N29</f>
        <v>0</v>
      </c>
      <c r="AV11" s="116">
        <f>'P NP KARAMBA IKAN'!M30</f>
        <v>0</v>
      </c>
      <c r="AW11" s="116">
        <f>'P NP KARAMBA IKAN'!N30</f>
        <v>0</v>
      </c>
      <c r="AX11" s="116">
        <f>'P NP KARAMBA IKAN'!M31</f>
        <v>0</v>
      </c>
      <c r="AY11" s="116">
        <f>'P NP KARAMBA IKAN'!N31</f>
        <v>0</v>
      </c>
      <c r="AZ11" s="116">
        <f>'P NP KARAMBA IKAN'!M32</f>
        <v>0</v>
      </c>
      <c r="BA11" s="116">
        <f>'P NP KARAMBA IKAN'!N32</f>
        <v>0</v>
      </c>
      <c r="BB11" s="116">
        <f>'P NP KARAMBA IKAN'!M33</f>
        <v>0</v>
      </c>
      <c r="BC11" s="116">
        <f>'P NP KARAMBA IKAN'!N33</f>
        <v>0</v>
      </c>
      <c r="BD11" s="116">
        <f>'P NP KARAMBA IKAN'!M34</f>
        <v>0</v>
      </c>
      <c r="BE11" s="116">
        <f>'P NP KARAMBA IKAN'!N34</f>
        <v>0</v>
      </c>
      <c r="BF11" s="116">
        <f>'P NP KARAMBA IKAN'!M35</f>
        <v>0</v>
      </c>
      <c r="BG11" s="116">
        <f>'P NP KARAMBA IKAN'!N35</f>
        <v>0</v>
      </c>
      <c r="BH11" s="116">
        <f>'P NP KARAMBA IKAN'!M36</f>
        <v>0</v>
      </c>
      <c r="BI11" s="116">
        <f>'P NP KARAMBA IKAN'!N36</f>
        <v>0</v>
      </c>
      <c r="BJ11" s="116">
        <f>'P NP KARAMBA IKAN'!M37</f>
        <v>0</v>
      </c>
      <c r="BK11" s="116">
        <f>'P NP KARAMBA IKAN'!AZ18</f>
        <v>0</v>
      </c>
      <c r="BL11" s="116">
        <f>'P NP KARAMBA IKAN'!M38</f>
        <v>0</v>
      </c>
      <c r="BM11" s="116">
        <f>'P NP KARAMBA IKAN'!N38</f>
        <v>0</v>
      </c>
      <c r="BN11" s="116">
        <f>'P NP KARAMBA IKAN'!M39</f>
        <v>0</v>
      </c>
      <c r="BO11" s="116">
        <f>'P NP KARAMBA IKAN'!N39</f>
        <v>0</v>
      </c>
      <c r="BP11" s="116">
        <f>'P NP KARAMBA IKAN'!M40</f>
        <v>0</v>
      </c>
      <c r="BQ11" s="116">
        <f>'P NP KARAMBA IKAN'!N40</f>
        <v>0</v>
      </c>
      <c r="BR11" s="116">
        <f>'P NP KARAMBA IKAN'!M41</f>
        <v>0</v>
      </c>
      <c r="BS11" s="116">
        <f>'P NP KARAMBA IKAN'!N41</f>
        <v>0</v>
      </c>
      <c r="BT11" s="116">
        <f>'P NP KARAMBA IKAN'!M42</f>
        <v>0</v>
      </c>
      <c r="BU11" s="116">
        <f>'P NP KARAMBA IKAN'!N42</f>
        <v>0</v>
      </c>
      <c r="BV11" s="116">
        <f>'P NP KARAMBA IKAN'!BK18</f>
        <v>0</v>
      </c>
      <c r="BW11" s="116">
        <f>'P NP KARAMBA IKAN'!BL18</f>
        <v>0</v>
      </c>
      <c r="BX11" s="116">
        <f>'P NP KARAMBA IKAN'!BM18</f>
        <v>0</v>
      </c>
      <c r="BY11" s="116">
        <f>'P NP KARAMBA IKAN'!BN18</f>
        <v>0</v>
      </c>
    </row>
    <row r="12" spans="1:77">
      <c r="A12" s="260" t="s">
        <v>120</v>
      </c>
      <c r="B12" s="116">
        <f t="shared" si="2"/>
        <v>0</v>
      </c>
      <c r="C12" s="116">
        <f t="shared" si="3"/>
        <v>0</v>
      </c>
      <c r="D12" s="116">
        <f>'P NP KARAMBA IKAN'!O8</f>
        <v>0</v>
      </c>
      <c r="E12" s="116">
        <f>'P NP KARAMBA IKAN'!P8</f>
        <v>0</v>
      </c>
      <c r="F12" s="116">
        <f>'P NP KARAMBA IKAN'!O9</f>
        <v>0</v>
      </c>
      <c r="G12" s="116">
        <f>'P NP KARAMBA IKAN'!P9</f>
        <v>0</v>
      </c>
      <c r="H12" s="116">
        <f>'P NP KARAMBA IKAN'!O10</f>
        <v>0</v>
      </c>
      <c r="I12" s="116">
        <f>'P NP KARAMBA IKAN'!P10</f>
        <v>0</v>
      </c>
      <c r="J12" s="116">
        <f>'P NP KARAMBA IKAN'!O11</f>
        <v>0</v>
      </c>
      <c r="K12" s="116">
        <f>'P NP KARAMBA IKAN'!P11</f>
        <v>0</v>
      </c>
      <c r="L12" s="116">
        <f>'P NP KARAMBA IKAN'!O12</f>
        <v>0</v>
      </c>
      <c r="M12" s="116">
        <f>'P NP KARAMBA IKAN'!P12</f>
        <v>0</v>
      </c>
      <c r="N12" s="116">
        <f>'P NP KARAMBA IKAN'!O13</f>
        <v>0</v>
      </c>
      <c r="O12" s="116">
        <f>'P NP KARAMBA IKAN'!P13</f>
        <v>0</v>
      </c>
      <c r="P12" s="116">
        <f>'P NP KARAMBA IKAN'!O14</f>
        <v>0</v>
      </c>
      <c r="Q12" s="116">
        <f>'P NP KARAMBA IKAN'!P14</f>
        <v>0</v>
      </c>
      <c r="R12" s="116">
        <f>'P NP KARAMBA IKAN'!O15</f>
        <v>0</v>
      </c>
      <c r="S12" s="116">
        <f>'P NP KARAMBA IKAN'!P15</f>
        <v>0</v>
      </c>
      <c r="T12" s="116">
        <f>'P NP KARAMBA IKAN'!O16</f>
        <v>0</v>
      </c>
      <c r="U12" s="116">
        <f>'P NP KARAMBA IKAN'!P16</f>
        <v>0</v>
      </c>
      <c r="V12" s="116">
        <f>'P NP KARAMBA IKAN'!O17</f>
        <v>0</v>
      </c>
      <c r="W12" s="116">
        <f>'P NP KARAMBA IKAN'!P17</f>
        <v>0</v>
      </c>
      <c r="X12" s="116">
        <f>'P NP KARAMBA IKAN'!O18</f>
        <v>0</v>
      </c>
      <c r="Y12" s="116">
        <f>'P NP KARAMBA IKAN'!P18</f>
        <v>0</v>
      </c>
      <c r="Z12" s="116">
        <f>'P NP KARAMBA IKAN'!O19</f>
        <v>0</v>
      </c>
      <c r="AA12" s="116">
        <f>'P NP KARAMBA IKAN'!P19</f>
        <v>0</v>
      </c>
      <c r="AB12" s="116">
        <f>'P NP KARAMBA IKAN'!O20</f>
        <v>0</v>
      </c>
      <c r="AC12" s="116">
        <f>'P NP KARAMBA IKAN'!P20</f>
        <v>0</v>
      </c>
      <c r="AD12" s="116">
        <f>'P NP KARAMBA IKAN'!O21</f>
        <v>0</v>
      </c>
      <c r="AE12" s="116">
        <f>'P NP KARAMBA IKAN'!P21</f>
        <v>0</v>
      </c>
      <c r="AF12" s="116">
        <f>'P NP KARAMBA IKAN'!O22</f>
        <v>0</v>
      </c>
      <c r="AG12" s="116">
        <f>'P NP KARAMBA IKAN'!P22</f>
        <v>0</v>
      </c>
      <c r="AH12" s="116">
        <f>'P NP KARAMBA IKAN'!O23</f>
        <v>0</v>
      </c>
      <c r="AI12" s="116">
        <f>'P NP KARAMBA IKAN'!P23</f>
        <v>0</v>
      </c>
      <c r="AJ12" s="116">
        <f>'P NP KARAMBA IKAN'!O24</f>
        <v>0</v>
      </c>
      <c r="AK12" s="116">
        <f>'P NP KARAMBA IKAN'!P24</f>
        <v>0</v>
      </c>
      <c r="AL12" s="116">
        <f>'P NP KARAMBA IKAN'!O25</f>
        <v>0</v>
      </c>
      <c r="AM12" s="116">
        <f>'P NP KARAMBA IKAN'!P25</f>
        <v>0</v>
      </c>
      <c r="AN12" s="116">
        <f>'P NP KARAMBA IKAN'!O26</f>
        <v>0</v>
      </c>
      <c r="AO12" s="116">
        <f>'P NP KARAMBA IKAN'!P26</f>
        <v>0</v>
      </c>
      <c r="AP12" s="116">
        <f>'P NP KARAMBA IKAN'!O27</f>
        <v>0</v>
      </c>
      <c r="AQ12" s="116">
        <f>'P NP KARAMBA IKAN'!P27</f>
        <v>0</v>
      </c>
      <c r="AR12" s="116">
        <f>'P NP KARAMBA IKAN'!O28</f>
        <v>0</v>
      </c>
      <c r="AS12" s="116">
        <f>'P NP KARAMBA IKAN'!P28</f>
        <v>0</v>
      </c>
      <c r="AT12" s="116">
        <f>'P NP KARAMBA IKAN'!O29</f>
        <v>0</v>
      </c>
      <c r="AU12" s="116">
        <f>'P NP KARAMBA IKAN'!P29</f>
        <v>0</v>
      </c>
      <c r="AV12" s="116">
        <f>'P NP KARAMBA IKAN'!O30</f>
        <v>0</v>
      </c>
      <c r="AW12" s="116">
        <f>'P NP KARAMBA IKAN'!P30</f>
        <v>0</v>
      </c>
      <c r="AX12" s="116">
        <f>'P NP KARAMBA IKAN'!O31</f>
        <v>0</v>
      </c>
      <c r="AY12" s="116">
        <f>'P NP KARAMBA IKAN'!P31</f>
        <v>0</v>
      </c>
      <c r="AZ12" s="116">
        <f>'P NP KARAMBA IKAN'!O32</f>
        <v>0</v>
      </c>
      <c r="BA12" s="116">
        <f>'P NP KARAMBA IKAN'!P32</f>
        <v>0</v>
      </c>
      <c r="BB12" s="116">
        <f>'P NP KARAMBA IKAN'!O33</f>
        <v>0</v>
      </c>
      <c r="BC12" s="116">
        <f>'P NP KARAMBA IKAN'!P33</f>
        <v>0</v>
      </c>
      <c r="BD12" s="116">
        <f>'P NP KARAMBA IKAN'!O34</f>
        <v>0</v>
      </c>
      <c r="BE12" s="116">
        <f>'P NP KARAMBA IKAN'!P34</f>
        <v>0</v>
      </c>
      <c r="BF12" s="116">
        <f>'P NP KARAMBA IKAN'!O35</f>
        <v>0</v>
      </c>
      <c r="BG12" s="116">
        <f>'P NP KARAMBA IKAN'!P35</f>
        <v>0</v>
      </c>
      <c r="BH12" s="116">
        <f>'P NP KARAMBA IKAN'!O36</f>
        <v>0</v>
      </c>
      <c r="BI12" s="116">
        <f>'P NP KARAMBA IKAN'!P36</f>
        <v>0</v>
      </c>
      <c r="BJ12" s="116">
        <f>'P NP KARAMBA IKAN'!O37</f>
        <v>0</v>
      </c>
      <c r="BK12" s="116">
        <f>'P NP KARAMBA IKAN'!P37</f>
        <v>0</v>
      </c>
      <c r="BL12" s="116">
        <f>'P NP KARAMBA IKAN'!O38</f>
        <v>0</v>
      </c>
      <c r="BM12" s="116">
        <f>'P NP KARAMBA IKAN'!BB19</f>
        <v>0</v>
      </c>
      <c r="BN12" s="116">
        <f>'P NP KARAMBA IKAN'!O39</f>
        <v>0</v>
      </c>
      <c r="BO12" s="116">
        <f>'P NP KARAMBA IKAN'!P39</f>
        <v>0</v>
      </c>
      <c r="BP12" s="116">
        <f>'P NP KARAMBA IKAN'!O40</f>
        <v>0</v>
      </c>
      <c r="BQ12" s="116">
        <f>'P NP KARAMBA IKAN'!P40</f>
        <v>0</v>
      </c>
      <c r="BR12" s="116">
        <f>'P NP KARAMBA IKAN'!O41</f>
        <v>0</v>
      </c>
      <c r="BS12" s="116">
        <f>'P NP KARAMBA IKAN'!P41</f>
        <v>0</v>
      </c>
      <c r="BT12" s="116">
        <f>'P NP KARAMBA IKAN'!O42</f>
        <v>0</v>
      </c>
      <c r="BU12" s="116">
        <f>'P NP KARAMBA IKAN'!P42</f>
        <v>0</v>
      </c>
      <c r="BV12" s="116">
        <f>'P NP KARAMBA IKAN'!O43</f>
        <v>0</v>
      </c>
      <c r="BW12" s="116">
        <f>'P NP KARAMBA IKAN'!P43</f>
        <v>0</v>
      </c>
      <c r="BX12" s="116">
        <f>'P NP KARAMBA IKAN'!BM19</f>
        <v>0</v>
      </c>
      <c r="BY12" s="116">
        <f>'P NP KARAMBA IKAN'!BN19</f>
        <v>0</v>
      </c>
    </row>
    <row r="13" spans="1:77">
      <c r="A13" s="260" t="s">
        <v>128</v>
      </c>
      <c r="B13" s="116">
        <f t="shared" si="2"/>
        <v>0</v>
      </c>
      <c r="C13" s="116">
        <f t="shared" si="3"/>
        <v>0</v>
      </c>
      <c r="D13" s="116">
        <f>'P NP KARAMBA IKAN'!Q8</f>
        <v>0</v>
      </c>
      <c r="E13" s="116">
        <f>'P NP KARAMBA IKAN'!R8</f>
        <v>0</v>
      </c>
      <c r="F13" s="116">
        <f>'P NP KARAMBA IKAN'!Q9</f>
        <v>0</v>
      </c>
      <c r="G13" s="116">
        <f>'P NP KARAMBA IKAN'!R9</f>
        <v>0</v>
      </c>
      <c r="H13" s="116">
        <f>'P NP KARAMBA IKAN'!Q10</f>
        <v>0</v>
      </c>
      <c r="I13" s="116">
        <f>'P NP KARAMBA IKAN'!R10</f>
        <v>0</v>
      </c>
      <c r="J13" s="116">
        <f>'P NP KARAMBA IKAN'!Q11</f>
        <v>0</v>
      </c>
      <c r="K13" s="116">
        <f>'P NP KARAMBA IKAN'!R11</f>
        <v>0</v>
      </c>
      <c r="L13" s="116">
        <f>'P NP KARAMBA IKAN'!Q12</f>
        <v>0</v>
      </c>
      <c r="M13" s="116">
        <f>'P NP KARAMBA IKAN'!R12</f>
        <v>0</v>
      </c>
      <c r="N13" s="116">
        <f>'P NP KARAMBA IKAN'!Q13</f>
        <v>0</v>
      </c>
      <c r="O13" s="116">
        <f>'P NP KARAMBA IKAN'!R13</f>
        <v>0</v>
      </c>
      <c r="P13" s="116">
        <f>'P NP KARAMBA IKAN'!Q14</f>
        <v>0</v>
      </c>
      <c r="Q13" s="116">
        <f>'P NP KARAMBA IKAN'!R14</f>
        <v>0</v>
      </c>
      <c r="R13" s="116">
        <f>'P NP KARAMBA IKAN'!Q15</f>
        <v>0</v>
      </c>
      <c r="S13" s="116">
        <f>'P NP KARAMBA IKAN'!R15</f>
        <v>0</v>
      </c>
      <c r="T13" s="116">
        <f>'P NP KARAMBA IKAN'!Q16</f>
        <v>0</v>
      </c>
      <c r="U13" s="116">
        <f>'P NP KARAMBA IKAN'!R16</f>
        <v>0</v>
      </c>
      <c r="V13" s="116">
        <f>'P NP KARAMBA IKAN'!Q17</f>
        <v>0</v>
      </c>
      <c r="W13" s="116">
        <f>'P NP KARAMBA IKAN'!R17</f>
        <v>0</v>
      </c>
      <c r="X13" s="116">
        <f>'P NP KARAMBA IKAN'!Q18</f>
        <v>0</v>
      </c>
      <c r="Y13" s="116">
        <f>'P NP KARAMBA IKAN'!R18</f>
        <v>0</v>
      </c>
      <c r="Z13" s="116">
        <f>'P NP KARAMBA IKAN'!Q19</f>
        <v>0</v>
      </c>
      <c r="AA13" s="116">
        <f>'P NP KARAMBA IKAN'!R19</f>
        <v>0</v>
      </c>
      <c r="AB13" s="116">
        <f>'P NP KARAMBA IKAN'!Q20</f>
        <v>0</v>
      </c>
      <c r="AC13" s="116">
        <f>'P NP KARAMBA IKAN'!R20</f>
        <v>0</v>
      </c>
      <c r="AD13" s="116">
        <f>'P NP KARAMBA IKAN'!Q21</f>
        <v>0</v>
      </c>
      <c r="AE13" s="116">
        <f>'P NP KARAMBA IKAN'!R21</f>
        <v>0</v>
      </c>
      <c r="AF13" s="116">
        <f>'P NP KARAMBA IKAN'!Q22</f>
        <v>0</v>
      </c>
      <c r="AG13" s="116">
        <f>'P NP KARAMBA IKAN'!R22</f>
        <v>0</v>
      </c>
      <c r="AH13" s="116">
        <f>'P NP KARAMBA IKAN'!Q23</f>
        <v>0</v>
      </c>
      <c r="AI13" s="116">
        <f>'P NP KARAMBA IKAN'!R23</f>
        <v>0</v>
      </c>
      <c r="AJ13" s="116">
        <f>'P NP KARAMBA IKAN'!Q24</f>
        <v>0</v>
      </c>
      <c r="AK13" s="116">
        <f>'P NP KARAMBA IKAN'!R24</f>
        <v>0</v>
      </c>
      <c r="AL13" s="116">
        <f>'P NP KARAMBA IKAN'!Q25</f>
        <v>0</v>
      </c>
      <c r="AM13" s="116">
        <f>'P NP KARAMBA IKAN'!R25</f>
        <v>0</v>
      </c>
      <c r="AN13" s="116">
        <f>'P NP KARAMBA IKAN'!Q26</f>
        <v>0</v>
      </c>
      <c r="AO13" s="116">
        <f>'P NP KARAMBA IKAN'!R26</f>
        <v>0</v>
      </c>
      <c r="AP13" s="116">
        <f>'P NP KARAMBA IKAN'!Q27</f>
        <v>0</v>
      </c>
      <c r="AQ13" s="116">
        <f>'P NP KARAMBA IKAN'!R27</f>
        <v>0</v>
      </c>
      <c r="AR13" s="116">
        <f>'P NP KARAMBA IKAN'!Q28</f>
        <v>0</v>
      </c>
      <c r="AS13" s="116">
        <f>'P NP KARAMBA IKAN'!R28</f>
        <v>0</v>
      </c>
      <c r="AT13" s="116">
        <f>'P NP KARAMBA IKAN'!Q29</f>
        <v>0</v>
      </c>
      <c r="AU13" s="116">
        <f>'P NP KARAMBA IKAN'!R29</f>
        <v>0</v>
      </c>
      <c r="AV13" s="116">
        <f>'P NP KARAMBA IKAN'!Q30</f>
        <v>0</v>
      </c>
      <c r="AW13" s="116">
        <f>'P NP KARAMBA IKAN'!R30</f>
        <v>0</v>
      </c>
      <c r="AX13" s="116">
        <f>'P NP KARAMBA IKAN'!Q31</f>
        <v>0</v>
      </c>
      <c r="AY13" s="116">
        <f>'P NP KARAMBA IKAN'!R31</f>
        <v>0</v>
      </c>
      <c r="AZ13" s="116">
        <f>'P NP KARAMBA IKAN'!Q32</f>
        <v>0</v>
      </c>
      <c r="BA13" s="116">
        <f>'P NP KARAMBA IKAN'!R32</f>
        <v>0</v>
      </c>
      <c r="BB13" s="116">
        <f>'P NP KARAMBA IKAN'!Q33</f>
        <v>0</v>
      </c>
      <c r="BC13" s="116">
        <f>'P NP KARAMBA IKAN'!R33</f>
        <v>0</v>
      </c>
      <c r="BD13" s="116">
        <f>'P NP KARAMBA IKAN'!Q34</f>
        <v>0</v>
      </c>
      <c r="BE13" s="116">
        <f>'P NP KARAMBA IKAN'!R34</f>
        <v>0</v>
      </c>
      <c r="BF13" s="116">
        <f>'P NP KARAMBA IKAN'!Q35</f>
        <v>0</v>
      </c>
      <c r="BG13" s="116">
        <f>'P NP KARAMBA IKAN'!R35</f>
        <v>0</v>
      </c>
      <c r="BH13" s="116">
        <f>'P NP KARAMBA IKAN'!Q36</f>
        <v>0</v>
      </c>
      <c r="BI13" s="116">
        <f>'P NP KARAMBA IKAN'!R36</f>
        <v>0</v>
      </c>
      <c r="BJ13" s="116">
        <f>'P NP KARAMBA IKAN'!Q37</f>
        <v>0</v>
      </c>
      <c r="BK13" s="116">
        <f>'P NP KARAMBA IKAN'!R37</f>
        <v>0</v>
      </c>
      <c r="BL13" s="116">
        <f>'P NP KARAMBA IKAN'!Q38</f>
        <v>0</v>
      </c>
      <c r="BM13" s="116">
        <f>'P NP KARAMBA IKAN'!R38</f>
        <v>0</v>
      </c>
      <c r="BN13" s="116">
        <f>'P NP KARAMBA IKAN'!Q39</f>
        <v>0</v>
      </c>
      <c r="BO13" s="116">
        <f>'P NP KARAMBA IKAN'!BD20</f>
        <v>0</v>
      </c>
      <c r="BP13" s="116">
        <f>'P NP KARAMBA IKAN'!Q40</f>
        <v>0</v>
      </c>
      <c r="BQ13" s="116">
        <f>'P NP KARAMBA IKAN'!R40</f>
        <v>0</v>
      </c>
      <c r="BR13" s="116">
        <f>'P NP KARAMBA IKAN'!Q41</f>
        <v>0</v>
      </c>
      <c r="BS13" s="116">
        <f>'P NP KARAMBA IKAN'!R41</f>
        <v>0</v>
      </c>
      <c r="BT13" s="116">
        <f>'P NP KARAMBA IKAN'!Q42</f>
        <v>0</v>
      </c>
      <c r="BU13" s="116">
        <f>'P NP KARAMBA IKAN'!R42</f>
        <v>0</v>
      </c>
      <c r="BV13" s="116">
        <f>'P NP KARAMBA IKAN'!Q43</f>
        <v>0</v>
      </c>
      <c r="BW13" s="116">
        <f>'P NP KARAMBA IKAN'!R43</f>
        <v>0</v>
      </c>
      <c r="BX13" s="116">
        <f>'P NP KARAMBA IKAN'!Q44</f>
        <v>0</v>
      </c>
      <c r="BY13" s="116">
        <f>'P NP KARAMBA IKAN'!R44</f>
        <v>0</v>
      </c>
    </row>
    <row r="14" spans="1:77">
      <c r="A14" s="260" t="s">
        <v>117</v>
      </c>
      <c r="B14" s="116">
        <f t="shared" si="2"/>
        <v>0</v>
      </c>
      <c r="C14" s="116">
        <f t="shared" si="3"/>
        <v>0</v>
      </c>
      <c r="D14" s="116">
        <f>'P NP KARAMBA IKAN'!S8</f>
        <v>0</v>
      </c>
      <c r="E14" s="116">
        <f>'P NP KARAMBA IKAN'!T8</f>
        <v>0</v>
      </c>
      <c r="F14" s="116">
        <f>'P NP KARAMBA IKAN'!S9</f>
        <v>0</v>
      </c>
      <c r="G14" s="116">
        <f>'P NP KARAMBA IKAN'!T9</f>
        <v>0</v>
      </c>
      <c r="H14" s="116">
        <f>'P NP KARAMBA IKAN'!S10</f>
        <v>0</v>
      </c>
      <c r="I14" s="116">
        <f>'P NP KARAMBA IKAN'!T10</f>
        <v>0</v>
      </c>
      <c r="J14" s="116">
        <f>'P NP KARAMBA IKAN'!S11</f>
        <v>0</v>
      </c>
      <c r="K14" s="116">
        <f>'P NP KARAMBA IKAN'!T11</f>
        <v>0</v>
      </c>
      <c r="L14" s="116">
        <f>'P NP KARAMBA IKAN'!S12</f>
        <v>0</v>
      </c>
      <c r="M14" s="116">
        <f>'P NP KARAMBA IKAN'!T12</f>
        <v>0</v>
      </c>
      <c r="N14" s="116">
        <f>'P NP KARAMBA IKAN'!S13</f>
        <v>0</v>
      </c>
      <c r="O14" s="116">
        <f>'P NP KARAMBA IKAN'!T13</f>
        <v>0</v>
      </c>
      <c r="P14" s="116">
        <f>'P NP KARAMBA IKAN'!S14</f>
        <v>0</v>
      </c>
      <c r="Q14" s="116">
        <f>'P NP KARAMBA IKAN'!T14</f>
        <v>0</v>
      </c>
      <c r="R14" s="116">
        <f>'P NP KARAMBA IKAN'!S15</f>
        <v>0</v>
      </c>
      <c r="S14" s="116">
        <f>'P NP KARAMBA IKAN'!T15</f>
        <v>0</v>
      </c>
      <c r="T14" s="116">
        <f>'P NP KARAMBA IKAN'!S16</f>
        <v>0</v>
      </c>
      <c r="U14" s="116">
        <f>'P NP KARAMBA IKAN'!T16</f>
        <v>0</v>
      </c>
      <c r="V14" s="116">
        <f>'P NP KARAMBA IKAN'!S17</f>
        <v>0</v>
      </c>
      <c r="W14" s="116">
        <f>'P NP KARAMBA IKAN'!T17</f>
        <v>0</v>
      </c>
      <c r="X14" s="116">
        <f>'P NP KARAMBA IKAN'!S18</f>
        <v>0</v>
      </c>
      <c r="Y14" s="116">
        <f>'P NP KARAMBA IKAN'!T18</f>
        <v>0</v>
      </c>
      <c r="Z14" s="116">
        <f>'P NP KARAMBA IKAN'!S19</f>
        <v>0</v>
      </c>
      <c r="AA14" s="116">
        <f>'P NP KARAMBA IKAN'!T19</f>
        <v>0</v>
      </c>
      <c r="AB14" s="116">
        <f>'P NP KARAMBA IKAN'!S20</f>
        <v>0</v>
      </c>
      <c r="AC14" s="116">
        <f>'P NP KARAMBA IKAN'!T20</f>
        <v>0</v>
      </c>
      <c r="AD14" s="116">
        <f>'P NP KARAMBA IKAN'!S21</f>
        <v>0</v>
      </c>
      <c r="AE14" s="116">
        <f>'P NP KARAMBA IKAN'!T21</f>
        <v>0</v>
      </c>
      <c r="AF14" s="116">
        <f>'P NP KARAMBA IKAN'!S22</f>
        <v>0</v>
      </c>
      <c r="AG14" s="116">
        <f>'P NP KARAMBA IKAN'!T22</f>
        <v>0</v>
      </c>
      <c r="AH14" s="116">
        <f>'P NP KARAMBA IKAN'!S23</f>
        <v>0</v>
      </c>
      <c r="AI14" s="116">
        <f>'P NP KARAMBA IKAN'!T23</f>
        <v>0</v>
      </c>
      <c r="AJ14" s="116">
        <f>'P NP KARAMBA IKAN'!S24</f>
        <v>0</v>
      </c>
      <c r="AK14" s="116">
        <f>'P NP KARAMBA IKAN'!T24</f>
        <v>0</v>
      </c>
      <c r="AL14" s="116">
        <f>'P NP KARAMBA IKAN'!S25</f>
        <v>0</v>
      </c>
      <c r="AM14" s="116">
        <f>'P NP KARAMBA IKAN'!T25</f>
        <v>0</v>
      </c>
      <c r="AN14" s="116">
        <f>'P NP KARAMBA IKAN'!S26</f>
        <v>0</v>
      </c>
      <c r="AO14" s="116">
        <f>'P NP KARAMBA IKAN'!T26</f>
        <v>0</v>
      </c>
      <c r="AP14" s="116">
        <f>'P NP KARAMBA IKAN'!S27</f>
        <v>0</v>
      </c>
      <c r="AQ14" s="116">
        <f>'P NP KARAMBA IKAN'!T27</f>
        <v>0</v>
      </c>
      <c r="AR14" s="116">
        <f>'P NP KARAMBA IKAN'!S28</f>
        <v>0</v>
      </c>
      <c r="AS14" s="116">
        <f>'P NP KARAMBA IKAN'!T28</f>
        <v>0</v>
      </c>
      <c r="AT14" s="116">
        <f>'P NP KARAMBA IKAN'!S29</f>
        <v>0</v>
      </c>
      <c r="AU14" s="116">
        <f>'P NP KARAMBA IKAN'!T29</f>
        <v>0</v>
      </c>
      <c r="AV14" s="116">
        <f>'P NP KARAMBA IKAN'!S30</f>
        <v>0</v>
      </c>
      <c r="AW14" s="116">
        <f>'P NP KARAMBA IKAN'!T30</f>
        <v>0</v>
      </c>
      <c r="AX14" s="116">
        <f>'P NP KARAMBA IKAN'!S31</f>
        <v>0</v>
      </c>
      <c r="AY14" s="116">
        <f>'P NP KARAMBA IKAN'!T31</f>
        <v>0</v>
      </c>
      <c r="AZ14" s="116">
        <f>'P NP KARAMBA IKAN'!S32</f>
        <v>0</v>
      </c>
      <c r="BA14" s="116">
        <f>'P NP KARAMBA IKAN'!T32</f>
        <v>0</v>
      </c>
      <c r="BB14" s="116">
        <f>'P NP KARAMBA IKAN'!S33</f>
        <v>0</v>
      </c>
      <c r="BC14" s="116">
        <f>'P NP KARAMBA IKAN'!T33</f>
        <v>0</v>
      </c>
      <c r="BD14" s="116">
        <f>'P NP KARAMBA IKAN'!S34</f>
        <v>0</v>
      </c>
      <c r="BE14" s="116">
        <f>'P NP KARAMBA IKAN'!T34</f>
        <v>0</v>
      </c>
      <c r="BF14" s="116">
        <f>'P NP KARAMBA IKAN'!S35</f>
        <v>0</v>
      </c>
      <c r="BG14" s="116">
        <f>'P NP KARAMBA IKAN'!T35</f>
        <v>0</v>
      </c>
      <c r="BH14" s="116">
        <f>'P NP KARAMBA IKAN'!S36</f>
        <v>0</v>
      </c>
      <c r="BI14" s="116">
        <f>'P NP KARAMBA IKAN'!T36</f>
        <v>0</v>
      </c>
      <c r="BJ14" s="116">
        <f>'P NP KARAMBA IKAN'!S37</f>
        <v>0</v>
      </c>
      <c r="BK14" s="116">
        <f>'P NP KARAMBA IKAN'!T37</f>
        <v>0</v>
      </c>
      <c r="BL14" s="116">
        <f>'P NP KARAMBA IKAN'!S38</f>
        <v>0</v>
      </c>
      <c r="BM14" s="116">
        <f>'P NP KARAMBA IKAN'!T38</f>
        <v>0</v>
      </c>
      <c r="BN14" s="116">
        <f>'P NP KARAMBA IKAN'!S39</f>
        <v>0</v>
      </c>
      <c r="BO14" s="116">
        <f>'P NP KARAMBA IKAN'!T39</f>
        <v>0</v>
      </c>
      <c r="BP14" s="116">
        <f>'P NP KARAMBA IKAN'!S40</f>
        <v>0</v>
      </c>
      <c r="BQ14" s="116">
        <f>'P NP KARAMBA IKAN'!T40</f>
        <v>0</v>
      </c>
      <c r="BR14" s="116">
        <f>'P NP KARAMBA IKAN'!S41</f>
        <v>0</v>
      </c>
      <c r="BS14" s="116">
        <f>'P NP KARAMBA IKAN'!T41</f>
        <v>0</v>
      </c>
      <c r="BT14" s="116">
        <f>'P NP KARAMBA IKAN'!S42</f>
        <v>0</v>
      </c>
      <c r="BU14" s="116">
        <f>'P NP KARAMBA IKAN'!T42</f>
        <v>0</v>
      </c>
      <c r="BV14" s="116">
        <f>'P NP KARAMBA IKAN'!S43</f>
        <v>0</v>
      </c>
      <c r="BW14" s="116">
        <f>'P NP KARAMBA IKAN'!T43</f>
        <v>0</v>
      </c>
      <c r="BX14" s="116">
        <f>'P NP KARAMBA IKAN'!S44</f>
        <v>0</v>
      </c>
      <c r="BY14" s="116">
        <f>'P NP KARAMBA IKAN'!T44</f>
        <v>0</v>
      </c>
    </row>
    <row r="15" spans="1:77">
      <c r="A15" s="260" t="s">
        <v>135</v>
      </c>
      <c r="B15" s="116">
        <f t="shared" si="2"/>
        <v>74030</v>
      </c>
      <c r="C15" s="116">
        <f t="shared" si="3"/>
        <v>1375104</v>
      </c>
      <c r="D15" s="116">
        <f>'P NP KARAMBA IKAN'!U8</f>
        <v>0</v>
      </c>
      <c r="E15" s="116">
        <f>'P NP KARAMBA IKAN'!V8</f>
        <v>0</v>
      </c>
      <c r="F15" s="116">
        <f>'P NP KARAMBA IKAN'!U9</f>
        <v>0</v>
      </c>
      <c r="G15" s="116">
        <f>'P NP KARAMBA IKAN'!V9</f>
        <v>0</v>
      </c>
      <c r="H15" s="116">
        <f>'P NP KARAMBA IKAN'!U10</f>
        <v>0</v>
      </c>
      <c r="I15" s="116">
        <f>'P NP KARAMBA IKAN'!V10</f>
        <v>0</v>
      </c>
      <c r="J15" s="116">
        <f>'P NP KARAMBA IKAN'!U11</f>
        <v>0</v>
      </c>
      <c r="K15" s="116">
        <f>'P NP KARAMBA IKAN'!V11</f>
        <v>0</v>
      </c>
      <c r="L15" s="116">
        <f>'P NP KARAMBA IKAN'!U12</f>
        <v>0</v>
      </c>
      <c r="M15" s="116">
        <f>'P NP KARAMBA IKAN'!V12</f>
        <v>0</v>
      </c>
      <c r="N15" s="116">
        <f>'P NP KARAMBA IKAN'!U13</f>
        <v>0</v>
      </c>
      <c r="O15" s="116">
        <f>'P NP KARAMBA IKAN'!V13</f>
        <v>0</v>
      </c>
      <c r="P15" s="116">
        <f>'P NP KARAMBA IKAN'!U14</f>
        <v>0</v>
      </c>
      <c r="Q15" s="116">
        <f>'P NP KARAMBA IKAN'!V14</f>
        <v>0</v>
      </c>
      <c r="R15" s="116">
        <f>'P NP KARAMBA IKAN'!U15</f>
        <v>0</v>
      </c>
      <c r="S15" s="116">
        <f>'P NP KARAMBA IKAN'!V15</f>
        <v>0</v>
      </c>
      <c r="T15" s="116">
        <f>'P NP KARAMBA IKAN'!U16</f>
        <v>0</v>
      </c>
      <c r="U15" s="116">
        <f>'P NP KARAMBA IKAN'!V16</f>
        <v>0</v>
      </c>
      <c r="V15" s="116">
        <f>'P NP KARAMBA IKAN'!U17</f>
        <v>0</v>
      </c>
      <c r="W15" s="116">
        <f>'P NP KARAMBA IKAN'!V17</f>
        <v>0</v>
      </c>
      <c r="X15" s="116">
        <f>'P NP KARAMBA IKAN'!U18</f>
        <v>0</v>
      </c>
      <c r="Y15" s="116">
        <f>'P NP KARAMBA IKAN'!V18</f>
        <v>0</v>
      </c>
      <c r="Z15" s="116">
        <f>'P NP KARAMBA IKAN'!U19</f>
        <v>0</v>
      </c>
      <c r="AA15" s="116">
        <f>'P NP KARAMBA IKAN'!V19</f>
        <v>0</v>
      </c>
      <c r="AB15" s="116">
        <f>'P NP KARAMBA IKAN'!U20</f>
        <v>0</v>
      </c>
      <c r="AC15" s="116">
        <f>'P NP KARAMBA IKAN'!V20</f>
        <v>0</v>
      </c>
      <c r="AD15" s="116">
        <f>'P NP KARAMBA IKAN'!U21</f>
        <v>74030</v>
      </c>
      <c r="AE15" s="116">
        <f>'P NP KARAMBA IKAN'!V21</f>
        <v>1375104</v>
      </c>
      <c r="AF15" s="116">
        <f>'P NP KARAMBA IKAN'!U22</f>
        <v>0</v>
      </c>
      <c r="AG15" s="116">
        <f>'P NP KARAMBA IKAN'!V22</f>
        <v>0</v>
      </c>
      <c r="AH15" s="116">
        <f>'P NP KARAMBA IKAN'!U23</f>
        <v>0</v>
      </c>
      <c r="AI15" s="116">
        <f>'P NP KARAMBA IKAN'!V23</f>
        <v>0</v>
      </c>
      <c r="AJ15" s="116">
        <f>'P NP KARAMBA IKAN'!U24</f>
        <v>0</v>
      </c>
      <c r="AK15" s="116">
        <f>'P NP KARAMBA IKAN'!V24</f>
        <v>0</v>
      </c>
      <c r="AL15" s="116">
        <f>'P NP KARAMBA IKAN'!U25</f>
        <v>0</v>
      </c>
      <c r="AM15" s="116">
        <f>'P NP KARAMBA IKAN'!V25</f>
        <v>0</v>
      </c>
      <c r="AN15" s="116">
        <f>'P NP KARAMBA IKAN'!U26</f>
        <v>0</v>
      </c>
      <c r="AO15" s="116">
        <f>'P NP KARAMBA IKAN'!V26</f>
        <v>0</v>
      </c>
      <c r="AP15" s="116">
        <f>'P NP KARAMBA IKAN'!U27</f>
        <v>0</v>
      </c>
      <c r="AQ15" s="116">
        <f>'P NP KARAMBA IKAN'!V27</f>
        <v>0</v>
      </c>
      <c r="AR15" s="116">
        <f>'P NP KARAMBA IKAN'!U28</f>
        <v>0</v>
      </c>
      <c r="AS15" s="116">
        <f>'P NP KARAMBA IKAN'!V28</f>
        <v>0</v>
      </c>
      <c r="AT15" s="116">
        <f>'P NP KARAMBA IKAN'!U29</f>
        <v>0</v>
      </c>
      <c r="AU15" s="116">
        <f>'P NP KARAMBA IKAN'!V29</f>
        <v>0</v>
      </c>
      <c r="AV15" s="116">
        <f>'P NP KARAMBA IKAN'!U30</f>
        <v>0</v>
      </c>
      <c r="AW15" s="116">
        <f>'P NP KARAMBA IKAN'!V30</f>
        <v>0</v>
      </c>
      <c r="AX15" s="116">
        <f>'P NP KARAMBA IKAN'!U31</f>
        <v>0</v>
      </c>
      <c r="AY15" s="116">
        <f>'P NP KARAMBA IKAN'!V31</f>
        <v>0</v>
      </c>
      <c r="AZ15" s="116">
        <f>'P NP KARAMBA IKAN'!U32</f>
        <v>0</v>
      </c>
      <c r="BA15" s="116">
        <f>'P NP KARAMBA IKAN'!V32</f>
        <v>0</v>
      </c>
      <c r="BB15" s="116">
        <f>'P NP KARAMBA IKAN'!U33</f>
        <v>0</v>
      </c>
      <c r="BC15" s="116">
        <f>'P NP KARAMBA IKAN'!V33</f>
        <v>0</v>
      </c>
      <c r="BD15" s="116">
        <f>'P NP KARAMBA IKAN'!U34</f>
        <v>0</v>
      </c>
      <c r="BE15" s="116">
        <f>'P NP KARAMBA IKAN'!V34</f>
        <v>0</v>
      </c>
      <c r="BF15" s="116">
        <f>'P NP KARAMBA IKAN'!U35</f>
        <v>0</v>
      </c>
      <c r="BG15" s="116">
        <f>'P NP KARAMBA IKAN'!V35</f>
        <v>0</v>
      </c>
      <c r="BH15" s="116">
        <f>'P NP KARAMBA IKAN'!U36</f>
        <v>0</v>
      </c>
      <c r="BI15" s="116">
        <f>'P NP KARAMBA IKAN'!V36</f>
        <v>0</v>
      </c>
      <c r="BJ15" s="116">
        <f>'P NP KARAMBA IKAN'!U37</f>
        <v>0</v>
      </c>
      <c r="BK15" s="116">
        <f>'P NP KARAMBA IKAN'!V37</f>
        <v>0</v>
      </c>
      <c r="BL15" s="116">
        <f>'P NP KARAMBA IKAN'!U38</f>
        <v>0</v>
      </c>
      <c r="BM15" s="116">
        <f>'P NP KARAMBA IKAN'!V38</f>
        <v>0</v>
      </c>
      <c r="BN15" s="116">
        <f>'P NP KARAMBA IKAN'!U39</f>
        <v>0</v>
      </c>
      <c r="BO15" s="116">
        <f>'P NP KARAMBA IKAN'!V39</f>
        <v>0</v>
      </c>
      <c r="BP15" s="116">
        <f>'P NP KARAMBA IKAN'!U40</f>
        <v>0</v>
      </c>
      <c r="BQ15" s="116">
        <f>'P NP KARAMBA IKAN'!V40</f>
        <v>0</v>
      </c>
      <c r="BR15" s="116">
        <f>'P NP KARAMBA IKAN'!U41</f>
        <v>0</v>
      </c>
      <c r="BS15" s="116">
        <f>'P NP KARAMBA IKAN'!V41</f>
        <v>0</v>
      </c>
      <c r="BT15" s="116">
        <f>'P NP KARAMBA IKAN'!U42</f>
        <v>0</v>
      </c>
      <c r="BU15" s="116">
        <f>'P NP KARAMBA IKAN'!V42</f>
        <v>0</v>
      </c>
      <c r="BV15" s="116">
        <f>'P NP KARAMBA IKAN'!U43</f>
        <v>0</v>
      </c>
      <c r="BW15" s="116">
        <f>'P NP KARAMBA IKAN'!V43</f>
        <v>0</v>
      </c>
      <c r="BX15" s="116">
        <f>'P NP KARAMBA IKAN'!U44</f>
        <v>0</v>
      </c>
      <c r="BY15" s="116">
        <f>'P NP KARAMBA IKAN'!V44</f>
        <v>0</v>
      </c>
    </row>
    <row r="16" spans="1:77">
      <c r="A16" s="260" t="s">
        <v>119</v>
      </c>
      <c r="B16" s="116">
        <f t="shared" si="2"/>
        <v>0</v>
      </c>
      <c r="C16" s="116">
        <f t="shared" si="3"/>
        <v>0</v>
      </c>
      <c r="D16" s="116">
        <f>'P NP KARAMBA IKAN'!W8</f>
        <v>0</v>
      </c>
      <c r="E16" s="116">
        <f>'P NP KARAMBA IKAN'!X8</f>
        <v>0</v>
      </c>
      <c r="F16" s="116">
        <f>'P NP KARAMBA IKAN'!W9</f>
        <v>0</v>
      </c>
      <c r="G16" s="116">
        <f>'P NP KARAMBA IKAN'!X9</f>
        <v>0</v>
      </c>
      <c r="H16" s="116">
        <f>'P NP KARAMBA IKAN'!W10</f>
        <v>0</v>
      </c>
      <c r="I16" s="116">
        <f>'P NP KARAMBA IKAN'!X10</f>
        <v>0</v>
      </c>
      <c r="J16" s="116">
        <f>'P NP KARAMBA IKAN'!W11</f>
        <v>0</v>
      </c>
      <c r="K16" s="116">
        <f>'P NP KARAMBA IKAN'!X11</f>
        <v>0</v>
      </c>
      <c r="L16" s="116">
        <f>'P NP KARAMBA IKAN'!W12</f>
        <v>0</v>
      </c>
      <c r="M16" s="116">
        <f>'P NP KARAMBA IKAN'!X12</f>
        <v>0</v>
      </c>
      <c r="N16" s="116">
        <f>'P NP KARAMBA IKAN'!W13</f>
        <v>0</v>
      </c>
      <c r="O16" s="116">
        <f>'P NP KARAMBA IKAN'!X13</f>
        <v>0</v>
      </c>
      <c r="P16" s="116">
        <f>'P NP KARAMBA IKAN'!W14</f>
        <v>0</v>
      </c>
      <c r="Q16" s="116">
        <f>'P NP KARAMBA IKAN'!X14</f>
        <v>0</v>
      </c>
      <c r="R16" s="116">
        <f>'P NP KARAMBA IKAN'!W15</f>
        <v>0</v>
      </c>
      <c r="S16" s="116">
        <f>'P NP KARAMBA IKAN'!X15</f>
        <v>0</v>
      </c>
      <c r="T16" s="116">
        <f>'P NP KARAMBA IKAN'!W16</f>
        <v>0</v>
      </c>
      <c r="U16" s="116">
        <f>'P NP KARAMBA IKAN'!X16</f>
        <v>0</v>
      </c>
      <c r="V16" s="116">
        <f>'P NP KARAMBA IKAN'!W17</f>
        <v>0</v>
      </c>
      <c r="W16" s="116">
        <f>'P NP KARAMBA IKAN'!X17</f>
        <v>0</v>
      </c>
      <c r="X16" s="116">
        <f>'P NP KARAMBA IKAN'!W18</f>
        <v>0</v>
      </c>
      <c r="Y16" s="116">
        <f>'P NP KARAMBA IKAN'!X18</f>
        <v>0</v>
      </c>
      <c r="Z16" s="116">
        <f>'P NP KARAMBA IKAN'!W19</f>
        <v>0</v>
      </c>
      <c r="AA16" s="116">
        <f>'P NP KARAMBA IKAN'!X19</f>
        <v>0</v>
      </c>
      <c r="AB16" s="116">
        <f>'P NP KARAMBA IKAN'!W20</f>
        <v>0</v>
      </c>
      <c r="AC16" s="116">
        <f>'P NP KARAMBA IKAN'!X20</f>
        <v>0</v>
      </c>
      <c r="AD16" s="116">
        <f>'P NP KARAMBA IKAN'!W21</f>
        <v>0</v>
      </c>
      <c r="AE16" s="116">
        <f>'P NP KARAMBA IKAN'!X21</f>
        <v>0</v>
      </c>
      <c r="AF16" s="116">
        <f>'P NP KARAMBA IKAN'!W22</f>
        <v>0</v>
      </c>
      <c r="AG16" s="116">
        <f>'P NP KARAMBA IKAN'!X22</f>
        <v>0</v>
      </c>
      <c r="AH16" s="116">
        <f>'P NP KARAMBA IKAN'!W23</f>
        <v>0</v>
      </c>
      <c r="AI16" s="116">
        <f>'P NP KARAMBA IKAN'!X23</f>
        <v>0</v>
      </c>
      <c r="AJ16" s="116">
        <f>'P NP KARAMBA IKAN'!W24</f>
        <v>0</v>
      </c>
      <c r="AK16" s="116">
        <f>'P NP KARAMBA IKAN'!X24</f>
        <v>0</v>
      </c>
      <c r="AL16" s="116">
        <f>'P NP KARAMBA IKAN'!W25</f>
        <v>0</v>
      </c>
      <c r="AM16" s="116">
        <f>'P NP KARAMBA IKAN'!X25</f>
        <v>0</v>
      </c>
      <c r="AN16" s="116">
        <f>'P NP KARAMBA IKAN'!W26</f>
        <v>0</v>
      </c>
      <c r="AO16" s="116">
        <f>'P NP KARAMBA IKAN'!X26</f>
        <v>0</v>
      </c>
      <c r="AP16" s="116">
        <f>'P NP KARAMBA IKAN'!W27</f>
        <v>0</v>
      </c>
      <c r="AQ16" s="116">
        <f>'P NP KARAMBA IKAN'!X27</f>
        <v>0</v>
      </c>
      <c r="AR16" s="116">
        <f>'P NP KARAMBA IKAN'!W28</f>
        <v>0</v>
      </c>
      <c r="AS16" s="116">
        <f>'P NP KARAMBA IKAN'!X28</f>
        <v>0</v>
      </c>
      <c r="AT16" s="116">
        <f>'P NP KARAMBA IKAN'!W29</f>
        <v>0</v>
      </c>
      <c r="AU16" s="116">
        <f>'P NP KARAMBA IKAN'!X29</f>
        <v>0</v>
      </c>
      <c r="AV16" s="116">
        <f>'P NP KARAMBA IKAN'!W30</f>
        <v>0</v>
      </c>
      <c r="AW16" s="116">
        <f>'P NP KARAMBA IKAN'!X30</f>
        <v>0</v>
      </c>
      <c r="AX16" s="116">
        <f>'P NP KARAMBA IKAN'!W31</f>
        <v>0</v>
      </c>
      <c r="AY16" s="116">
        <f>'P NP KARAMBA IKAN'!X31</f>
        <v>0</v>
      </c>
      <c r="AZ16" s="116">
        <f>'P NP KARAMBA IKAN'!W32</f>
        <v>0</v>
      </c>
      <c r="BA16" s="116">
        <f>'P NP KARAMBA IKAN'!X32</f>
        <v>0</v>
      </c>
      <c r="BB16" s="116">
        <f>'P NP KARAMBA IKAN'!W33</f>
        <v>0</v>
      </c>
      <c r="BC16" s="116">
        <f>'P NP KARAMBA IKAN'!X33</f>
        <v>0</v>
      </c>
      <c r="BD16" s="116">
        <f>'P NP KARAMBA IKAN'!W34</f>
        <v>0</v>
      </c>
      <c r="BE16" s="116">
        <f>'P NP KARAMBA IKAN'!X34</f>
        <v>0</v>
      </c>
      <c r="BF16" s="116">
        <f>'P NP KARAMBA IKAN'!W35</f>
        <v>0</v>
      </c>
      <c r="BG16" s="116">
        <f>'P NP KARAMBA IKAN'!X35</f>
        <v>0</v>
      </c>
      <c r="BH16" s="116">
        <f>'P NP KARAMBA IKAN'!W36</f>
        <v>0</v>
      </c>
      <c r="BI16" s="116">
        <f>'P NP KARAMBA IKAN'!X36</f>
        <v>0</v>
      </c>
      <c r="BJ16" s="116">
        <f>'P NP KARAMBA IKAN'!W37</f>
        <v>0</v>
      </c>
      <c r="BK16" s="116">
        <f>'P NP KARAMBA IKAN'!X37</f>
        <v>0</v>
      </c>
      <c r="BL16" s="116">
        <f>'P NP KARAMBA IKAN'!W38</f>
        <v>0</v>
      </c>
      <c r="BM16" s="116">
        <f>'P NP KARAMBA IKAN'!X38</f>
        <v>0</v>
      </c>
      <c r="BN16" s="116">
        <f>'P NP KARAMBA IKAN'!W39</f>
        <v>0</v>
      </c>
      <c r="BO16" s="116">
        <f>'P NP KARAMBA IKAN'!X39</f>
        <v>0</v>
      </c>
      <c r="BP16" s="116">
        <f>'P NP KARAMBA IKAN'!W40</f>
        <v>0</v>
      </c>
      <c r="BQ16" s="116">
        <f>'P NP KARAMBA IKAN'!X40</f>
        <v>0</v>
      </c>
      <c r="BR16" s="116">
        <f>'P NP KARAMBA IKAN'!W41</f>
        <v>0</v>
      </c>
      <c r="BS16" s="116">
        <f>'P NP KARAMBA IKAN'!X41</f>
        <v>0</v>
      </c>
      <c r="BT16" s="116">
        <f>'P NP KARAMBA IKAN'!W42</f>
        <v>0</v>
      </c>
      <c r="BU16" s="116">
        <f>'P NP KARAMBA IKAN'!BJ23</f>
        <v>0</v>
      </c>
      <c r="BV16" s="116">
        <f>'P NP KARAMBA IKAN'!W43</f>
        <v>0</v>
      </c>
      <c r="BW16" s="116">
        <f>'P NP KARAMBA IKAN'!X43</f>
        <v>0</v>
      </c>
      <c r="BX16" s="116">
        <f>'P NP KARAMBA IKAN'!W44</f>
        <v>0</v>
      </c>
      <c r="BY16" s="116">
        <f>'P NP KARAMBA IKAN'!X44</f>
        <v>0</v>
      </c>
    </row>
    <row r="17" spans="1:77">
      <c r="A17" s="260" t="s">
        <v>130</v>
      </c>
      <c r="B17" s="116">
        <f t="shared" si="2"/>
        <v>0</v>
      </c>
      <c r="C17" s="116">
        <f t="shared" si="3"/>
        <v>0</v>
      </c>
      <c r="D17" s="116">
        <f>'P NP KARAMBA IKAN'!Y8</f>
        <v>0</v>
      </c>
      <c r="E17" s="116">
        <f>'P NP KARAMBA IKAN'!Z8</f>
        <v>0</v>
      </c>
      <c r="F17" s="116">
        <f>'P NP KARAMBA IKAN'!Y9</f>
        <v>0</v>
      </c>
      <c r="G17" s="116">
        <f>'P NP KARAMBA IKAN'!Z9</f>
        <v>0</v>
      </c>
      <c r="H17" s="116">
        <f>'P NP KARAMBA IKAN'!Y10</f>
        <v>0</v>
      </c>
      <c r="I17" s="116">
        <f>'P NP KARAMBA IKAN'!Z10</f>
        <v>0</v>
      </c>
      <c r="J17" s="116">
        <f>'P NP KARAMBA IKAN'!Y11</f>
        <v>0</v>
      </c>
      <c r="K17" s="116">
        <f>'P NP KARAMBA IKAN'!Z11</f>
        <v>0</v>
      </c>
      <c r="L17" s="116">
        <f>'P NP KARAMBA IKAN'!Y12</f>
        <v>0</v>
      </c>
      <c r="M17" s="116">
        <f>'P NP KARAMBA IKAN'!Z12</f>
        <v>0</v>
      </c>
      <c r="N17" s="116">
        <f>'P NP KARAMBA IKAN'!Y13</f>
        <v>0</v>
      </c>
      <c r="O17" s="116">
        <f>'P NP KARAMBA IKAN'!Z13</f>
        <v>0</v>
      </c>
      <c r="P17" s="116">
        <f>'P NP KARAMBA IKAN'!Y14</f>
        <v>0</v>
      </c>
      <c r="Q17" s="116">
        <f>'P NP KARAMBA IKAN'!Z14</f>
        <v>0</v>
      </c>
      <c r="R17" s="116">
        <f>'P NP KARAMBA IKAN'!Y15</f>
        <v>0</v>
      </c>
      <c r="S17" s="116">
        <f>'P NP KARAMBA IKAN'!Z15</f>
        <v>0</v>
      </c>
      <c r="T17" s="116">
        <f>'P NP KARAMBA IKAN'!Y16</f>
        <v>0</v>
      </c>
      <c r="U17" s="116">
        <f>'P NP KARAMBA IKAN'!Z16</f>
        <v>0</v>
      </c>
      <c r="V17" s="116">
        <f>'P NP KARAMBA IKAN'!Y17</f>
        <v>0</v>
      </c>
      <c r="W17" s="116">
        <f>'P NP KARAMBA IKAN'!Z17</f>
        <v>0</v>
      </c>
      <c r="X17" s="116">
        <f>'P NP KARAMBA IKAN'!Y18</f>
        <v>0</v>
      </c>
      <c r="Y17" s="116">
        <f>'P NP KARAMBA IKAN'!Z18</f>
        <v>0</v>
      </c>
      <c r="Z17" s="116">
        <f>'P NP KARAMBA IKAN'!Y19</f>
        <v>0</v>
      </c>
      <c r="AA17" s="116">
        <f>'P NP KARAMBA IKAN'!Z19</f>
        <v>0</v>
      </c>
      <c r="AB17" s="116">
        <f>'P NP KARAMBA IKAN'!Y20</f>
        <v>0</v>
      </c>
      <c r="AC17" s="116">
        <f>'P NP KARAMBA IKAN'!Z20</f>
        <v>0</v>
      </c>
      <c r="AD17" s="116">
        <f>'P NP KARAMBA IKAN'!Y21</f>
        <v>0</v>
      </c>
      <c r="AE17" s="116">
        <f>'P NP KARAMBA IKAN'!Z21</f>
        <v>0</v>
      </c>
      <c r="AF17" s="116">
        <f>'P NP KARAMBA IKAN'!Y22</f>
        <v>0</v>
      </c>
      <c r="AG17" s="116">
        <f>'P NP KARAMBA IKAN'!Z22</f>
        <v>0</v>
      </c>
      <c r="AH17" s="116">
        <f>'P NP KARAMBA IKAN'!Y23</f>
        <v>0</v>
      </c>
      <c r="AI17" s="116">
        <f>'P NP KARAMBA IKAN'!Z23</f>
        <v>0</v>
      </c>
      <c r="AJ17" s="116">
        <f>'P NP KARAMBA IKAN'!Y24</f>
        <v>0</v>
      </c>
      <c r="AK17" s="116">
        <f>'P NP KARAMBA IKAN'!Z24</f>
        <v>0</v>
      </c>
      <c r="AL17" s="116">
        <f>'P NP KARAMBA IKAN'!Y25</f>
        <v>0</v>
      </c>
      <c r="AM17" s="116">
        <f>'P NP KARAMBA IKAN'!Z25</f>
        <v>0</v>
      </c>
      <c r="AN17" s="116">
        <f>'P NP KARAMBA IKAN'!Y26</f>
        <v>0</v>
      </c>
      <c r="AO17" s="116">
        <f>'P NP KARAMBA IKAN'!Z26</f>
        <v>0</v>
      </c>
      <c r="AP17" s="116">
        <f>'P NP KARAMBA IKAN'!Y27</f>
        <v>0</v>
      </c>
      <c r="AQ17" s="116">
        <f>'P NP KARAMBA IKAN'!Z27</f>
        <v>0</v>
      </c>
      <c r="AR17" s="116">
        <f>'P NP KARAMBA IKAN'!Y28</f>
        <v>0</v>
      </c>
      <c r="AS17" s="116">
        <f>'P NP KARAMBA IKAN'!Z28</f>
        <v>0</v>
      </c>
      <c r="AT17" s="116">
        <f>'P NP KARAMBA IKAN'!Y29</f>
        <v>0</v>
      </c>
      <c r="AU17" s="116">
        <f>'P NP KARAMBA IKAN'!Z29</f>
        <v>0</v>
      </c>
      <c r="AV17" s="116">
        <f>'P NP KARAMBA IKAN'!Y30</f>
        <v>0</v>
      </c>
      <c r="AW17" s="116">
        <f>'P NP KARAMBA IKAN'!Z30</f>
        <v>0</v>
      </c>
      <c r="AX17" s="116">
        <f>'P NP KARAMBA IKAN'!Y31</f>
        <v>0</v>
      </c>
      <c r="AY17" s="116">
        <f>'P NP KARAMBA IKAN'!Z31</f>
        <v>0</v>
      </c>
      <c r="AZ17" s="116">
        <f>'P NP KARAMBA IKAN'!Y32</f>
        <v>0</v>
      </c>
      <c r="BA17" s="116">
        <f>'P NP KARAMBA IKAN'!Z32</f>
        <v>0</v>
      </c>
      <c r="BB17" s="116">
        <f>'P NP KARAMBA IKAN'!Y33</f>
        <v>0</v>
      </c>
      <c r="BC17" s="116">
        <f>'P NP KARAMBA IKAN'!Z33</f>
        <v>0</v>
      </c>
      <c r="BD17" s="116">
        <f>'P NP KARAMBA IKAN'!Y34</f>
        <v>0</v>
      </c>
      <c r="BE17" s="116">
        <f>'P NP KARAMBA IKAN'!Z34</f>
        <v>0</v>
      </c>
      <c r="BF17" s="116">
        <f>'P NP KARAMBA IKAN'!Y35</f>
        <v>0</v>
      </c>
      <c r="BG17" s="116">
        <f>'P NP KARAMBA IKAN'!Z35</f>
        <v>0</v>
      </c>
      <c r="BH17" s="116">
        <f>'P NP KARAMBA IKAN'!Y36</f>
        <v>0</v>
      </c>
      <c r="BI17" s="116">
        <f>'P NP KARAMBA IKAN'!Z36</f>
        <v>0</v>
      </c>
      <c r="BJ17" s="116">
        <f>'P NP KARAMBA IKAN'!Y37</f>
        <v>0</v>
      </c>
      <c r="BK17" s="116">
        <f>'P NP KARAMBA IKAN'!Z37</f>
        <v>0</v>
      </c>
      <c r="BL17" s="116">
        <f>'P NP KARAMBA IKAN'!Y38</f>
        <v>0</v>
      </c>
      <c r="BM17" s="116">
        <f>'P NP KARAMBA IKAN'!Z38</f>
        <v>0</v>
      </c>
      <c r="BN17" s="116">
        <f>'P NP KARAMBA IKAN'!Y39</f>
        <v>0</v>
      </c>
      <c r="BO17" s="116">
        <f>'P NP KARAMBA IKAN'!Z39</f>
        <v>0</v>
      </c>
      <c r="BP17" s="116">
        <f>'P NP KARAMBA IKAN'!Y40</f>
        <v>0</v>
      </c>
      <c r="BQ17" s="116">
        <f>'P NP KARAMBA IKAN'!Z40</f>
        <v>0</v>
      </c>
      <c r="BR17" s="116">
        <f>'P NP KARAMBA IKAN'!Y41</f>
        <v>0</v>
      </c>
      <c r="BS17" s="116">
        <f>'P NP KARAMBA IKAN'!Z41</f>
        <v>0</v>
      </c>
      <c r="BT17" s="116">
        <f>'P NP KARAMBA IKAN'!Y42</f>
        <v>0</v>
      </c>
      <c r="BU17" s="116">
        <f>'P NP KARAMBA IKAN'!Z42</f>
        <v>0</v>
      </c>
      <c r="BV17" s="116">
        <f>'P NP KARAMBA IKAN'!Y43</f>
        <v>0</v>
      </c>
      <c r="BW17" s="116">
        <f>'P NP KARAMBA IKAN'!BL24</f>
        <v>0</v>
      </c>
      <c r="BX17" s="116">
        <f>'P NP KARAMBA IKAN'!Y44</f>
        <v>0</v>
      </c>
      <c r="BY17" s="116">
        <f>'P NP KARAMBA IKAN'!Z44</f>
        <v>0</v>
      </c>
    </row>
    <row r="18" spans="1:77">
      <c r="A18" s="260" t="s">
        <v>131</v>
      </c>
      <c r="B18" s="116">
        <f t="shared" si="2"/>
        <v>0</v>
      </c>
      <c r="C18" s="116">
        <f t="shared" si="3"/>
        <v>0</v>
      </c>
      <c r="D18" s="116">
        <f>'P NP KARAMBA IKAN'!AA8</f>
        <v>0</v>
      </c>
      <c r="E18" s="116">
        <f>'P NP KARAMBA IKAN'!AB8</f>
        <v>0</v>
      </c>
      <c r="F18" s="116">
        <f>'P NP KARAMBA IKAN'!AA9</f>
        <v>0</v>
      </c>
      <c r="G18" s="116">
        <f>'P NP KARAMBA IKAN'!AB9</f>
        <v>0</v>
      </c>
      <c r="H18" s="116">
        <f>'P NP KARAMBA IKAN'!AA10</f>
        <v>0</v>
      </c>
      <c r="I18" s="116">
        <f>'P NP KARAMBA IKAN'!AB10</f>
        <v>0</v>
      </c>
      <c r="J18" s="116">
        <f>'P NP KARAMBA IKAN'!AA11</f>
        <v>0</v>
      </c>
      <c r="K18" s="116">
        <f>'P NP KARAMBA IKAN'!AB11</f>
        <v>0</v>
      </c>
      <c r="L18" s="116">
        <f>'P NP KARAMBA IKAN'!AA12</f>
        <v>0</v>
      </c>
      <c r="M18" s="116">
        <f>'P NP KARAMBA IKAN'!AB12</f>
        <v>0</v>
      </c>
      <c r="N18" s="116">
        <f>'P NP KARAMBA IKAN'!AA13</f>
        <v>0</v>
      </c>
      <c r="O18" s="116">
        <f>'P NP KARAMBA IKAN'!AB13</f>
        <v>0</v>
      </c>
      <c r="P18" s="116">
        <f>'P NP KARAMBA IKAN'!AA14</f>
        <v>0</v>
      </c>
      <c r="Q18" s="116">
        <f>'P NP KARAMBA IKAN'!AB14</f>
        <v>0</v>
      </c>
      <c r="R18" s="116">
        <f>'P NP KARAMBA IKAN'!AA15</f>
        <v>0</v>
      </c>
      <c r="S18" s="116">
        <f>'P NP KARAMBA IKAN'!AB15</f>
        <v>0</v>
      </c>
      <c r="T18" s="116">
        <f>'P NP KARAMBA IKAN'!AA16</f>
        <v>0</v>
      </c>
      <c r="U18" s="116">
        <f>'P NP KARAMBA IKAN'!AB16</f>
        <v>0</v>
      </c>
      <c r="V18" s="116">
        <f>'P NP KARAMBA IKAN'!AA17</f>
        <v>0</v>
      </c>
      <c r="W18" s="116">
        <f>'P NP KARAMBA IKAN'!AB17</f>
        <v>0</v>
      </c>
      <c r="X18" s="116">
        <f>'P NP KARAMBA IKAN'!AA18</f>
        <v>0</v>
      </c>
      <c r="Y18" s="116">
        <f>'P NP KARAMBA IKAN'!AB18</f>
        <v>0</v>
      </c>
      <c r="Z18" s="116">
        <f>'P NP KARAMBA IKAN'!AA19</f>
        <v>0</v>
      </c>
      <c r="AA18" s="116">
        <f>'P NP KARAMBA IKAN'!AB19</f>
        <v>0</v>
      </c>
      <c r="AB18" s="116">
        <f>'P NP KARAMBA IKAN'!AA20</f>
        <v>0</v>
      </c>
      <c r="AC18" s="116">
        <f>'P NP KARAMBA IKAN'!AB20</f>
        <v>0</v>
      </c>
      <c r="AD18" s="116">
        <f>'P NP KARAMBA IKAN'!AA21</f>
        <v>0</v>
      </c>
      <c r="AE18" s="116">
        <f>'P NP KARAMBA IKAN'!AB21</f>
        <v>0</v>
      </c>
      <c r="AF18" s="116">
        <f>'P NP KARAMBA IKAN'!AA22</f>
        <v>0</v>
      </c>
      <c r="AG18" s="116">
        <f>'P NP KARAMBA IKAN'!AB22</f>
        <v>0</v>
      </c>
      <c r="AH18" s="116">
        <f>'P NP KARAMBA IKAN'!AA23</f>
        <v>0</v>
      </c>
      <c r="AI18" s="116">
        <f>'P NP KARAMBA IKAN'!AB23</f>
        <v>0</v>
      </c>
      <c r="AJ18" s="116">
        <f>'P NP KARAMBA IKAN'!AA24</f>
        <v>0</v>
      </c>
      <c r="AK18" s="116">
        <f>'P NP KARAMBA IKAN'!AB24</f>
        <v>0</v>
      </c>
      <c r="AL18" s="116">
        <f>'P NP KARAMBA IKAN'!AA25</f>
        <v>0</v>
      </c>
      <c r="AM18" s="116">
        <f>'P NP KARAMBA IKAN'!AB25</f>
        <v>0</v>
      </c>
      <c r="AN18" s="116">
        <f>'P NP KARAMBA IKAN'!AA26</f>
        <v>0</v>
      </c>
      <c r="AO18" s="116">
        <f>'P NP KARAMBA IKAN'!AB26</f>
        <v>0</v>
      </c>
      <c r="AP18" s="116">
        <f>'P NP KARAMBA IKAN'!AA27</f>
        <v>0</v>
      </c>
      <c r="AQ18" s="116">
        <f>'P NP KARAMBA IKAN'!AB27</f>
        <v>0</v>
      </c>
      <c r="AR18" s="116">
        <f>'P NP KARAMBA IKAN'!AA28</f>
        <v>0</v>
      </c>
      <c r="AS18" s="116">
        <f>'P NP KARAMBA IKAN'!AB28</f>
        <v>0</v>
      </c>
      <c r="AT18" s="116">
        <f>'P NP KARAMBA IKAN'!AA29</f>
        <v>0</v>
      </c>
      <c r="AU18" s="116">
        <f>'P NP KARAMBA IKAN'!AB29</f>
        <v>0</v>
      </c>
      <c r="AV18" s="116">
        <f>'P NP KARAMBA IKAN'!AA30</f>
        <v>0</v>
      </c>
      <c r="AW18" s="116">
        <f>'P NP KARAMBA IKAN'!AB30</f>
        <v>0</v>
      </c>
      <c r="AX18" s="116">
        <f>'P NP KARAMBA IKAN'!AA31</f>
        <v>0</v>
      </c>
      <c r="AY18" s="116">
        <f>'P NP KARAMBA IKAN'!AB31</f>
        <v>0</v>
      </c>
      <c r="AZ18" s="116">
        <f>'P NP KARAMBA IKAN'!AA32</f>
        <v>0</v>
      </c>
      <c r="BA18" s="116">
        <f>'P NP KARAMBA IKAN'!AB32</f>
        <v>0</v>
      </c>
      <c r="BB18" s="116">
        <f>'P NP KARAMBA IKAN'!AA33</f>
        <v>0</v>
      </c>
      <c r="BC18" s="116">
        <f>'P NP KARAMBA IKAN'!AB33</f>
        <v>0</v>
      </c>
      <c r="BD18" s="116">
        <f>'P NP KARAMBA IKAN'!AA34</f>
        <v>0</v>
      </c>
      <c r="BE18" s="116">
        <f>'P NP KARAMBA IKAN'!AB34</f>
        <v>0</v>
      </c>
      <c r="BF18" s="116">
        <f>'P NP KARAMBA IKAN'!AA35</f>
        <v>0</v>
      </c>
      <c r="BG18" s="116">
        <f>'P NP KARAMBA IKAN'!AB35</f>
        <v>0</v>
      </c>
      <c r="BH18" s="116">
        <f>'P NP KARAMBA IKAN'!AA36</f>
        <v>0</v>
      </c>
      <c r="BI18" s="116">
        <f>'P NP KARAMBA IKAN'!AB36</f>
        <v>0</v>
      </c>
      <c r="BJ18" s="116">
        <f>'P NP KARAMBA IKAN'!AA37</f>
        <v>0</v>
      </c>
      <c r="BK18" s="116">
        <f>'P NP KARAMBA IKAN'!AB37</f>
        <v>0</v>
      </c>
      <c r="BL18" s="116">
        <f>'P NP KARAMBA IKAN'!AA38</f>
        <v>0</v>
      </c>
      <c r="BM18" s="116">
        <f>'P NP KARAMBA IKAN'!AB38</f>
        <v>0</v>
      </c>
      <c r="BN18" s="116">
        <f>'P NP KARAMBA IKAN'!AA39</f>
        <v>0</v>
      </c>
      <c r="BO18" s="116">
        <f>'P NP KARAMBA IKAN'!AB39</f>
        <v>0</v>
      </c>
      <c r="BP18" s="116">
        <f>'P NP KARAMBA IKAN'!AA40</f>
        <v>0</v>
      </c>
      <c r="BQ18" s="116">
        <f>'P NP KARAMBA IKAN'!AB40</f>
        <v>0</v>
      </c>
      <c r="BR18" s="116">
        <f>'P NP KARAMBA IKAN'!AA41</f>
        <v>0</v>
      </c>
      <c r="BS18" s="116">
        <f>'P NP KARAMBA IKAN'!AB41</f>
        <v>0</v>
      </c>
      <c r="BT18" s="116">
        <f>'P NP KARAMBA IKAN'!AA42</f>
        <v>0</v>
      </c>
      <c r="BU18" s="116">
        <f>'P NP KARAMBA IKAN'!AB42</f>
        <v>0</v>
      </c>
      <c r="BV18" s="116">
        <f>'P NP KARAMBA IKAN'!AA43</f>
        <v>0</v>
      </c>
      <c r="BW18" s="116">
        <f>'P NP KARAMBA IKAN'!AB43</f>
        <v>0</v>
      </c>
      <c r="BX18" s="116">
        <f>'P NP KARAMBA IKAN'!AA44</f>
        <v>0</v>
      </c>
      <c r="BY18" s="116">
        <f>'P NP KARAMBA IKAN'!BN25</f>
        <v>0</v>
      </c>
    </row>
    <row r="19" spans="1:77">
      <c r="A19" s="260" t="s">
        <v>118</v>
      </c>
      <c r="B19" s="116">
        <f t="shared" si="2"/>
        <v>0</v>
      </c>
      <c r="C19" s="116">
        <f t="shared" si="3"/>
        <v>0</v>
      </c>
      <c r="D19" s="116">
        <f>'P NP KARAMBA IKAN'!AC8</f>
        <v>0</v>
      </c>
      <c r="E19" s="116">
        <f>'P NP KARAMBA IKAN'!AD8</f>
        <v>0</v>
      </c>
      <c r="F19" s="116">
        <f>'P NP KARAMBA IKAN'!AC9</f>
        <v>0</v>
      </c>
      <c r="G19" s="116">
        <f>'P NP KARAMBA IKAN'!AD9</f>
        <v>0</v>
      </c>
      <c r="H19" s="116">
        <f>'P NP KARAMBA IKAN'!AC10</f>
        <v>0</v>
      </c>
      <c r="I19" s="116">
        <f>'P NP KARAMBA IKAN'!AD10</f>
        <v>0</v>
      </c>
      <c r="J19" s="116">
        <f>'P NP KARAMBA IKAN'!AC11</f>
        <v>0</v>
      </c>
      <c r="K19" s="116">
        <f>'P NP KARAMBA IKAN'!AD11</f>
        <v>0</v>
      </c>
      <c r="L19" s="116">
        <f>'P NP KARAMBA IKAN'!AC12</f>
        <v>0</v>
      </c>
      <c r="M19" s="116">
        <f>'P NP KARAMBA IKAN'!AD12</f>
        <v>0</v>
      </c>
      <c r="N19" s="116">
        <f>'P NP KARAMBA IKAN'!AC13</f>
        <v>0</v>
      </c>
      <c r="O19" s="116">
        <f>'P NP KARAMBA IKAN'!AD13</f>
        <v>0</v>
      </c>
      <c r="P19" s="116">
        <f>'P NP KARAMBA IKAN'!AC14</f>
        <v>0</v>
      </c>
      <c r="Q19" s="116">
        <f>'P NP KARAMBA IKAN'!AD14</f>
        <v>0</v>
      </c>
      <c r="R19" s="116">
        <f>'P NP KARAMBA IKAN'!AC15</f>
        <v>0</v>
      </c>
      <c r="S19" s="116">
        <f>'P NP KARAMBA IKAN'!AD15</f>
        <v>0</v>
      </c>
      <c r="T19" s="116">
        <f>'P NP KARAMBA IKAN'!AC16</f>
        <v>0</v>
      </c>
      <c r="U19" s="116">
        <f>'P NP KARAMBA IKAN'!AD16</f>
        <v>0</v>
      </c>
      <c r="V19" s="116">
        <f>'P NP KARAMBA IKAN'!AC17</f>
        <v>0</v>
      </c>
      <c r="W19" s="116">
        <f>'P NP KARAMBA IKAN'!AD17</f>
        <v>0</v>
      </c>
      <c r="X19" s="116">
        <f>'P NP KARAMBA IKAN'!AC18</f>
        <v>0</v>
      </c>
      <c r="Y19" s="116">
        <f>'P NP KARAMBA IKAN'!AD18</f>
        <v>0</v>
      </c>
      <c r="Z19" s="116">
        <f>'P NP KARAMBA IKAN'!AC19</f>
        <v>0</v>
      </c>
      <c r="AA19" s="116">
        <f>'P NP KARAMBA IKAN'!AD19</f>
        <v>0</v>
      </c>
      <c r="AB19" s="116">
        <f>'P NP KARAMBA IKAN'!AC20</f>
        <v>0</v>
      </c>
      <c r="AC19" s="116">
        <f>'P NP KARAMBA IKAN'!AD20</f>
        <v>0</v>
      </c>
      <c r="AD19" s="116">
        <f>'P NP KARAMBA IKAN'!AC21</f>
        <v>0</v>
      </c>
      <c r="AE19" s="116">
        <f>'P NP KARAMBA IKAN'!AD21</f>
        <v>0</v>
      </c>
      <c r="AF19" s="116">
        <f>'P NP KARAMBA IKAN'!AC22</f>
        <v>0</v>
      </c>
      <c r="AG19" s="116">
        <f>'P NP KARAMBA IKAN'!AD22</f>
        <v>0</v>
      </c>
      <c r="AH19" s="116">
        <f>'P NP KARAMBA IKAN'!AC23</f>
        <v>0</v>
      </c>
      <c r="AI19" s="116">
        <f>'P NP KARAMBA IKAN'!AD23</f>
        <v>0</v>
      </c>
      <c r="AJ19" s="116">
        <f>'P NP KARAMBA IKAN'!AC24</f>
        <v>0</v>
      </c>
      <c r="AK19" s="116">
        <f>'P NP KARAMBA IKAN'!AD24</f>
        <v>0</v>
      </c>
      <c r="AL19" s="116">
        <f>'P NP KARAMBA IKAN'!AC25</f>
        <v>0</v>
      </c>
      <c r="AM19" s="116">
        <f>'P NP KARAMBA IKAN'!AD25</f>
        <v>0</v>
      </c>
      <c r="AN19" s="116">
        <f>'P NP KARAMBA IKAN'!AC26</f>
        <v>0</v>
      </c>
      <c r="AO19" s="116">
        <f>'P NP KARAMBA IKAN'!AD26</f>
        <v>0</v>
      </c>
      <c r="AP19" s="116">
        <f>'P NP KARAMBA IKAN'!AC27</f>
        <v>0</v>
      </c>
      <c r="AQ19" s="116">
        <f>'P NP KARAMBA IKAN'!AD27</f>
        <v>0</v>
      </c>
      <c r="AR19" s="116">
        <f>'P NP KARAMBA IKAN'!AC28</f>
        <v>0</v>
      </c>
      <c r="AS19" s="116">
        <f>'P NP KARAMBA IKAN'!AD28</f>
        <v>0</v>
      </c>
      <c r="AT19" s="116">
        <f>'P NP KARAMBA IKAN'!AC29</f>
        <v>0</v>
      </c>
      <c r="AU19" s="116">
        <f>'P NP KARAMBA IKAN'!AD29</f>
        <v>0</v>
      </c>
      <c r="AV19" s="116">
        <f>'P NP KARAMBA IKAN'!AC30</f>
        <v>0</v>
      </c>
      <c r="AW19" s="116">
        <f>'P NP KARAMBA IKAN'!AD30</f>
        <v>0</v>
      </c>
      <c r="AX19" s="116">
        <f>'P NP KARAMBA IKAN'!AC31</f>
        <v>0</v>
      </c>
      <c r="AY19" s="116">
        <f>'P NP KARAMBA IKAN'!AD31</f>
        <v>0</v>
      </c>
      <c r="AZ19" s="116">
        <f>'P NP KARAMBA IKAN'!AC32</f>
        <v>0</v>
      </c>
      <c r="BA19" s="116">
        <f>'P NP KARAMBA IKAN'!AD32</f>
        <v>0</v>
      </c>
      <c r="BB19" s="116">
        <f>'P NP KARAMBA IKAN'!AC33</f>
        <v>0</v>
      </c>
      <c r="BC19" s="116">
        <f>'P NP KARAMBA IKAN'!AD33</f>
        <v>0</v>
      </c>
      <c r="BD19" s="116">
        <f>'P NP KARAMBA IKAN'!AC34</f>
        <v>0</v>
      </c>
      <c r="BE19" s="116">
        <f>'P NP KARAMBA IKAN'!AD34</f>
        <v>0</v>
      </c>
      <c r="BF19" s="116">
        <f>'P NP KARAMBA IKAN'!AC35</f>
        <v>0</v>
      </c>
      <c r="BG19" s="116">
        <f>'P NP KARAMBA IKAN'!AD35</f>
        <v>0</v>
      </c>
      <c r="BH19" s="116">
        <f>'P NP KARAMBA IKAN'!AC36</f>
        <v>0</v>
      </c>
      <c r="BI19" s="116">
        <f>'P NP KARAMBA IKAN'!AD36</f>
        <v>0</v>
      </c>
      <c r="BJ19" s="116">
        <f>'P NP KARAMBA IKAN'!AC37</f>
        <v>0</v>
      </c>
      <c r="BK19" s="116">
        <f>'P NP KARAMBA IKAN'!AD37</f>
        <v>0</v>
      </c>
      <c r="BL19" s="116">
        <f>'P NP KARAMBA IKAN'!AC38</f>
        <v>0</v>
      </c>
      <c r="BM19" s="116">
        <f>'P NP KARAMBA IKAN'!AD38</f>
        <v>0</v>
      </c>
      <c r="BN19" s="116">
        <f>'P NP KARAMBA IKAN'!AC39</f>
        <v>0</v>
      </c>
      <c r="BO19" s="116">
        <f>'P NP KARAMBA IKAN'!AD39</f>
        <v>0</v>
      </c>
      <c r="BP19" s="116">
        <f>'P NP KARAMBA IKAN'!AC40</f>
        <v>0</v>
      </c>
      <c r="BQ19" s="116">
        <f>'P NP KARAMBA IKAN'!AD40</f>
        <v>0</v>
      </c>
      <c r="BR19" s="116">
        <f>'P NP KARAMBA IKAN'!AC41</f>
        <v>0</v>
      </c>
      <c r="BS19" s="116">
        <f>'P NP KARAMBA IKAN'!AD41</f>
        <v>0</v>
      </c>
      <c r="BT19" s="116">
        <f>'P NP KARAMBA IKAN'!AC42</f>
        <v>0</v>
      </c>
      <c r="BU19" s="116">
        <f>'P NP KARAMBA IKAN'!AD42</f>
        <v>0</v>
      </c>
      <c r="BV19" s="116">
        <f>'P NP KARAMBA IKAN'!AC43</f>
        <v>0</v>
      </c>
      <c r="BW19" s="116">
        <f>'P NP KARAMBA IKAN'!AD43</f>
        <v>0</v>
      </c>
      <c r="BX19" s="116">
        <f>'P NP KARAMBA IKAN'!AC44</f>
        <v>0</v>
      </c>
      <c r="BY19" s="116">
        <f>'P NP KARAMBA IKAN'!AD44</f>
        <v>0</v>
      </c>
    </row>
    <row r="20" spans="1:77">
      <c r="A20" s="260" t="s">
        <v>127</v>
      </c>
      <c r="B20" s="116">
        <f t="shared" si="2"/>
        <v>1800</v>
      </c>
      <c r="C20" s="116">
        <f t="shared" si="3"/>
        <v>45400</v>
      </c>
      <c r="D20" s="116">
        <f>'P NP KARAMBA IKAN'!AE8</f>
        <v>0</v>
      </c>
      <c r="E20" s="116">
        <f>'P NP KARAMBA IKAN'!AF8</f>
        <v>0</v>
      </c>
      <c r="F20" s="116">
        <f>'P NP KARAMBA IKAN'!AE9</f>
        <v>0</v>
      </c>
      <c r="G20" s="116">
        <f>'P NP KARAMBA IKAN'!AF9</f>
        <v>0</v>
      </c>
      <c r="H20" s="116">
        <f>'P NP KARAMBA IKAN'!AE10</f>
        <v>0</v>
      </c>
      <c r="I20" s="116">
        <f>'P NP KARAMBA IKAN'!AF10</f>
        <v>0</v>
      </c>
      <c r="J20" s="116">
        <f>'P NP KARAMBA IKAN'!AE11</f>
        <v>0</v>
      </c>
      <c r="K20" s="116">
        <f>'P NP KARAMBA IKAN'!AF11</f>
        <v>0</v>
      </c>
      <c r="L20" s="116">
        <f>'P NP KARAMBA IKAN'!AE12</f>
        <v>0</v>
      </c>
      <c r="M20" s="116">
        <f>'P NP KARAMBA IKAN'!AF12</f>
        <v>0</v>
      </c>
      <c r="N20" s="116">
        <f>'P NP KARAMBA IKAN'!AE13</f>
        <v>0</v>
      </c>
      <c r="O20" s="116">
        <f>'P NP KARAMBA IKAN'!AF13</f>
        <v>0</v>
      </c>
      <c r="P20" s="116">
        <f>'P NP KARAMBA IKAN'!AE14</f>
        <v>0</v>
      </c>
      <c r="Q20" s="116">
        <f>'P NP KARAMBA IKAN'!AF14</f>
        <v>0</v>
      </c>
      <c r="R20" s="116">
        <f>'P NP KARAMBA IKAN'!AE15</f>
        <v>0</v>
      </c>
      <c r="S20" s="116">
        <f>'P NP KARAMBA IKAN'!AF15</f>
        <v>0</v>
      </c>
      <c r="T20" s="116">
        <f>'P NP KARAMBA IKAN'!AE16</f>
        <v>0</v>
      </c>
      <c r="U20" s="116">
        <f>'P NP KARAMBA IKAN'!AF16</f>
        <v>0</v>
      </c>
      <c r="V20" s="116">
        <f>'P NP KARAMBA IKAN'!AE17</f>
        <v>0</v>
      </c>
      <c r="W20" s="116">
        <f>'P NP KARAMBA IKAN'!AF17</f>
        <v>0</v>
      </c>
      <c r="X20" s="116">
        <f>'P NP KARAMBA IKAN'!AE18</f>
        <v>0</v>
      </c>
      <c r="Y20" s="116">
        <f>'P NP KARAMBA IKAN'!AF18</f>
        <v>0</v>
      </c>
      <c r="Z20" s="116">
        <f>'P NP KARAMBA IKAN'!AE19</f>
        <v>0</v>
      </c>
      <c r="AA20" s="116">
        <f>'P NP KARAMBA IKAN'!AF19</f>
        <v>0</v>
      </c>
      <c r="AB20" s="116">
        <f>'P NP KARAMBA IKAN'!AE20</f>
        <v>0</v>
      </c>
      <c r="AC20" s="116">
        <f>'P NP KARAMBA IKAN'!AF20</f>
        <v>0</v>
      </c>
      <c r="AD20" s="116">
        <f>'P NP KARAMBA IKAN'!AE21</f>
        <v>0</v>
      </c>
      <c r="AE20" s="116">
        <f>'P NP KARAMBA IKAN'!AF21</f>
        <v>0</v>
      </c>
      <c r="AF20" s="116">
        <f>'P NP KARAMBA IKAN'!AE22</f>
        <v>0</v>
      </c>
      <c r="AG20" s="116">
        <f>'P NP KARAMBA IKAN'!AF22</f>
        <v>0</v>
      </c>
      <c r="AH20" s="116">
        <f>'P NP KARAMBA IKAN'!AE23</f>
        <v>0</v>
      </c>
      <c r="AI20" s="116">
        <f>'P NP KARAMBA IKAN'!AF23</f>
        <v>0</v>
      </c>
      <c r="AJ20" s="116">
        <f>'P NP KARAMBA IKAN'!AE24</f>
        <v>0</v>
      </c>
      <c r="AK20" s="116">
        <f>'P NP KARAMBA IKAN'!AF24</f>
        <v>0</v>
      </c>
      <c r="AL20" s="116">
        <f>'P NP KARAMBA IKAN'!AE25</f>
        <v>1800</v>
      </c>
      <c r="AM20" s="116">
        <f>'P NP KARAMBA IKAN'!AF25</f>
        <v>45400</v>
      </c>
      <c r="AN20" s="116">
        <f>'P NP KARAMBA IKAN'!AE26</f>
        <v>0</v>
      </c>
      <c r="AO20" s="116">
        <f>'P NP KARAMBA IKAN'!AF26</f>
        <v>0</v>
      </c>
      <c r="AP20" s="116">
        <f>'P NP KARAMBA IKAN'!AE27</f>
        <v>0</v>
      </c>
      <c r="AQ20" s="116">
        <f>'P NP KARAMBA IKAN'!AF27</f>
        <v>0</v>
      </c>
      <c r="AR20" s="116">
        <f>'P NP KARAMBA IKAN'!AE28</f>
        <v>0</v>
      </c>
      <c r="AS20" s="116">
        <f>'P NP KARAMBA IKAN'!AF28</f>
        <v>0</v>
      </c>
      <c r="AT20" s="116">
        <f>'P NP KARAMBA IKAN'!AE29</f>
        <v>0</v>
      </c>
      <c r="AU20" s="116">
        <f>'P NP KARAMBA IKAN'!AF29</f>
        <v>0</v>
      </c>
      <c r="AV20" s="116">
        <f>'P NP KARAMBA IKAN'!AE30</f>
        <v>0</v>
      </c>
      <c r="AW20" s="116">
        <f>'P NP KARAMBA IKAN'!AF30</f>
        <v>0</v>
      </c>
      <c r="AX20" s="116">
        <f>'P NP KARAMBA IKAN'!AE31</f>
        <v>0</v>
      </c>
      <c r="AY20" s="116">
        <f>'P NP KARAMBA IKAN'!AF31</f>
        <v>0</v>
      </c>
      <c r="AZ20" s="116">
        <f>'P NP KARAMBA IKAN'!AE32</f>
        <v>0</v>
      </c>
      <c r="BA20" s="116">
        <f>'P NP KARAMBA IKAN'!AF32</f>
        <v>0</v>
      </c>
      <c r="BB20" s="116">
        <f>'P NP KARAMBA IKAN'!AE33</f>
        <v>0</v>
      </c>
      <c r="BC20" s="116">
        <f>'P NP KARAMBA IKAN'!AF33</f>
        <v>0</v>
      </c>
      <c r="BD20" s="116">
        <f>'P NP KARAMBA IKAN'!AE34</f>
        <v>0</v>
      </c>
      <c r="BE20" s="116">
        <f>'P NP KARAMBA IKAN'!AF34</f>
        <v>0</v>
      </c>
      <c r="BF20" s="116">
        <f>'P NP KARAMBA IKAN'!AE35</f>
        <v>0</v>
      </c>
      <c r="BG20" s="116">
        <f>'P NP KARAMBA IKAN'!AF35</f>
        <v>0</v>
      </c>
      <c r="BH20" s="116">
        <f>'P NP KARAMBA IKAN'!AE36</f>
        <v>0</v>
      </c>
      <c r="BI20" s="116">
        <f>'P NP KARAMBA IKAN'!AF36</f>
        <v>0</v>
      </c>
      <c r="BJ20" s="116">
        <f>'P NP KARAMBA IKAN'!AE37</f>
        <v>0</v>
      </c>
      <c r="BK20" s="116">
        <f>'P NP KARAMBA IKAN'!AF37</f>
        <v>0</v>
      </c>
      <c r="BL20" s="116">
        <f>'P NP KARAMBA IKAN'!AE38</f>
        <v>0</v>
      </c>
      <c r="BM20" s="116">
        <f>'P NP KARAMBA IKAN'!AF38</f>
        <v>0</v>
      </c>
      <c r="BN20" s="116">
        <f>'P NP KARAMBA IKAN'!AE39</f>
        <v>0</v>
      </c>
      <c r="BO20" s="116">
        <f>'P NP KARAMBA IKAN'!AF39</f>
        <v>0</v>
      </c>
      <c r="BP20" s="116">
        <f>'P NP KARAMBA IKAN'!AE40</f>
        <v>0</v>
      </c>
      <c r="BQ20" s="116">
        <f>'P NP KARAMBA IKAN'!AF40</f>
        <v>0</v>
      </c>
      <c r="BR20" s="116">
        <f>'P NP KARAMBA IKAN'!AE41</f>
        <v>0</v>
      </c>
      <c r="BS20" s="116">
        <f>'P NP KARAMBA IKAN'!AF41</f>
        <v>0</v>
      </c>
      <c r="BT20" s="116">
        <f>'P NP KARAMBA IKAN'!AE42</f>
        <v>0</v>
      </c>
      <c r="BU20" s="116">
        <f>'P NP KARAMBA IKAN'!AF42</f>
        <v>0</v>
      </c>
      <c r="BV20" s="116">
        <f>'P NP KARAMBA IKAN'!AE43</f>
        <v>0</v>
      </c>
      <c r="BW20" s="116">
        <f>'P NP KARAMBA IKAN'!AF43</f>
        <v>0</v>
      </c>
      <c r="BX20" s="116">
        <f>'P NP KARAMBA IKAN'!AE44</f>
        <v>0</v>
      </c>
      <c r="BY20" s="116">
        <f>'P NP KARAMBA IKAN'!AF44</f>
        <v>0</v>
      </c>
    </row>
    <row r="21" spans="1:77">
      <c r="A21" s="260" t="s">
        <v>129</v>
      </c>
      <c r="B21" s="116">
        <f t="shared" si="2"/>
        <v>0</v>
      </c>
      <c r="C21" s="116">
        <f t="shared" si="3"/>
        <v>0</v>
      </c>
      <c r="D21" s="116">
        <f>'P NP KARAMBA IKAN'!AG8</f>
        <v>0</v>
      </c>
      <c r="E21" s="116">
        <f>'P NP KARAMBA IKAN'!AH8</f>
        <v>0</v>
      </c>
      <c r="F21" s="116">
        <f>'P NP KARAMBA IKAN'!AG9</f>
        <v>0</v>
      </c>
      <c r="G21" s="116">
        <f>'P NP KARAMBA IKAN'!AH9</f>
        <v>0</v>
      </c>
      <c r="H21" s="116">
        <f>'P NP KARAMBA IKAN'!AG10</f>
        <v>0</v>
      </c>
      <c r="I21" s="116">
        <f>'P NP KARAMBA IKAN'!AH10</f>
        <v>0</v>
      </c>
      <c r="J21" s="116">
        <f>'P NP KARAMBA IKAN'!AG11</f>
        <v>0</v>
      </c>
      <c r="K21" s="116">
        <f>'P NP KARAMBA IKAN'!AH11</f>
        <v>0</v>
      </c>
      <c r="L21" s="116">
        <f>'P NP KARAMBA IKAN'!AG12</f>
        <v>0</v>
      </c>
      <c r="M21" s="116">
        <f>'P NP KARAMBA IKAN'!AH12</f>
        <v>0</v>
      </c>
      <c r="N21" s="116">
        <f>'P NP KARAMBA IKAN'!AG13</f>
        <v>0</v>
      </c>
      <c r="O21" s="116">
        <f>'P NP KARAMBA IKAN'!AH13</f>
        <v>0</v>
      </c>
      <c r="P21" s="116">
        <f>'P NP KARAMBA IKAN'!AG14</f>
        <v>0</v>
      </c>
      <c r="Q21" s="116">
        <f>'P NP KARAMBA IKAN'!AH14</f>
        <v>0</v>
      </c>
      <c r="R21" s="116">
        <f>'P NP KARAMBA IKAN'!AG15</f>
        <v>0</v>
      </c>
      <c r="S21" s="116">
        <f>'P NP KARAMBA IKAN'!AH15</f>
        <v>0</v>
      </c>
      <c r="T21" s="116">
        <f>'P NP KARAMBA IKAN'!AG16</f>
        <v>0</v>
      </c>
      <c r="U21" s="116">
        <f>'P NP KARAMBA IKAN'!AH16</f>
        <v>0</v>
      </c>
      <c r="V21" s="116">
        <f>'P NP KARAMBA IKAN'!AG17</f>
        <v>0</v>
      </c>
      <c r="W21" s="116">
        <f>'P NP KARAMBA IKAN'!AH17</f>
        <v>0</v>
      </c>
      <c r="X21" s="116">
        <f>'P NP KARAMBA IKAN'!AG18</f>
        <v>0</v>
      </c>
      <c r="Y21" s="116">
        <f>'P NP KARAMBA IKAN'!AH18</f>
        <v>0</v>
      </c>
      <c r="Z21" s="116">
        <f>'P NP KARAMBA IKAN'!AG19</f>
        <v>0</v>
      </c>
      <c r="AA21" s="116">
        <f>'P NP KARAMBA IKAN'!AH19</f>
        <v>0</v>
      </c>
      <c r="AB21" s="116">
        <f>'P NP KARAMBA IKAN'!AG20</f>
        <v>0</v>
      </c>
      <c r="AC21" s="116">
        <f>'P NP KARAMBA IKAN'!AH20</f>
        <v>0</v>
      </c>
      <c r="AD21" s="116">
        <f>'P NP KARAMBA IKAN'!AG21</f>
        <v>0</v>
      </c>
      <c r="AE21" s="116">
        <f>'P NP KARAMBA IKAN'!AH21</f>
        <v>0</v>
      </c>
      <c r="AF21" s="116">
        <f>'P NP KARAMBA IKAN'!AG22</f>
        <v>0</v>
      </c>
      <c r="AG21" s="116">
        <f>'P NP KARAMBA IKAN'!AH22</f>
        <v>0</v>
      </c>
      <c r="AH21" s="116">
        <f>'P NP KARAMBA IKAN'!AG23</f>
        <v>0</v>
      </c>
      <c r="AI21" s="116">
        <f>'P NP KARAMBA IKAN'!AH23</f>
        <v>0</v>
      </c>
      <c r="AJ21" s="116">
        <f>'P NP KARAMBA IKAN'!AG24</f>
        <v>0</v>
      </c>
      <c r="AK21" s="116">
        <f>'P NP KARAMBA IKAN'!AH24</f>
        <v>0</v>
      </c>
      <c r="AL21" s="116">
        <f>'P NP KARAMBA IKAN'!AG25</f>
        <v>0</v>
      </c>
      <c r="AM21" s="116">
        <f>'P NP KARAMBA IKAN'!AH25</f>
        <v>0</v>
      </c>
      <c r="AN21" s="116">
        <f>'P NP KARAMBA IKAN'!AG26</f>
        <v>0</v>
      </c>
      <c r="AO21" s="116">
        <f>'P NP KARAMBA IKAN'!AH26</f>
        <v>0</v>
      </c>
      <c r="AP21" s="116">
        <f>'P NP KARAMBA IKAN'!AG27</f>
        <v>0</v>
      </c>
      <c r="AQ21" s="116">
        <f>'P NP KARAMBA IKAN'!AH27</f>
        <v>0</v>
      </c>
      <c r="AR21" s="116">
        <f>'P NP KARAMBA IKAN'!AG28</f>
        <v>0</v>
      </c>
      <c r="AS21" s="116">
        <f>'P NP KARAMBA IKAN'!AH28</f>
        <v>0</v>
      </c>
      <c r="AT21" s="116">
        <f>'P NP KARAMBA IKAN'!AG29</f>
        <v>0</v>
      </c>
      <c r="AU21" s="116">
        <f>'P NP KARAMBA IKAN'!AH29</f>
        <v>0</v>
      </c>
      <c r="AV21" s="116">
        <f>'P NP KARAMBA IKAN'!AG30</f>
        <v>0</v>
      </c>
      <c r="AW21" s="116">
        <f>'P NP KARAMBA IKAN'!AH30</f>
        <v>0</v>
      </c>
      <c r="AX21" s="116">
        <f>'P NP KARAMBA IKAN'!AG31</f>
        <v>0</v>
      </c>
      <c r="AY21" s="116">
        <f>'P NP KARAMBA IKAN'!AH31</f>
        <v>0</v>
      </c>
      <c r="AZ21" s="116">
        <f>'P NP KARAMBA IKAN'!AG32</f>
        <v>0</v>
      </c>
      <c r="BA21" s="116">
        <f>'P NP KARAMBA IKAN'!AH32</f>
        <v>0</v>
      </c>
      <c r="BB21" s="116">
        <f>'P NP KARAMBA IKAN'!AG33</f>
        <v>0</v>
      </c>
      <c r="BC21" s="116">
        <f>'P NP KARAMBA IKAN'!AH33</f>
        <v>0</v>
      </c>
      <c r="BD21" s="116">
        <f>'P NP KARAMBA IKAN'!AG34</f>
        <v>0</v>
      </c>
      <c r="BE21" s="116">
        <f>'P NP KARAMBA IKAN'!AH34</f>
        <v>0</v>
      </c>
      <c r="BF21" s="116">
        <f>'P NP KARAMBA IKAN'!AG35</f>
        <v>0</v>
      </c>
      <c r="BG21" s="116">
        <f>'P NP KARAMBA IKAN'!AH35</f>
        <v>0</v>
      </c>
      <c r="BH21" s="116">
        <f>'P NP KARAMBA IKAN'!AG36</f>
        <v>0</v>
      </c>
      <c r="BI21" s="116">
        <f>'P NP KARAMBA IKAN'!AH36</f>
        <v>0</v>
      </c>
      <c r="BJ21" s="116">
        <f>'P NP KARAMBA IKAN'!AG37</f>
        <v>0</v>
      </c>
      <c r="BK21" s="116">
        <f>'P NP KARAMBA IKAN'!AH37</f>
        <v>0</v>
      </c>
      <c r="BL21" s="116">
        <f>'P NP KARAMBA IKAN'!AG38</f>
        <v>0</v>
      </c>
      <c r="BM21" s="116">
        <f>'P NP KARAMBA IKAN'!AH38</f>
        <v>0</v>
      </c>
      <c r="BN21" s="116">
        <f>'P NP KARAMBA IKAN'!AG39</f>
        <v>0</v>
      </c>
      <c r="BO21" s="116">
        <f>'P NP KARAMBA IKAN'!AH39</f>
        <v>0</v>
      </c>
      <c r="BP21" s="116">
        <f>'P NP KARAMBA IKAN'!AG40</f>
        <v>0</v>
      </c>
      <c r="BQ21" s="116">
        <f>'P NP KARAMBA IKAN'!AH40</f>
        <v>0</v>
      </c>
      <c r="BR21" s="116">
        <f>'P NP KARAMBA IKAN'!AG41</f>
        <v>0</v>
      </c>
      <c r="BS21" s="116">
        <f>'P NP KARAMBA IKAN'!AH41</f>
        <v>0</v>
      </c>
      <c r="BT21" s="116">
        <f>'P NP KARAMBA IKAN'!AG42</f>
        <v>0</v>
      </c>
      <c r="BU21" s="116">
        <f>'P NP KARAMBA IKAN'!AH42</f>
        <v>0</v>
      </c>
      <c r="BV21" s="116">
        <f>'P NP KARAMBA IKAN'!AG43</f>
        <v>0</v>
      </c>
      <c r="BW21" s="116">
        <f>'P NP KARAMBA IKAN'!AH43</f>
        <v>0</v>
      </c>
      <c r="BX21" s="116">
        <f>'P NP KARAMBA IKAN'!AG44</f>
        <v>0</v>
      </c>
      <c r="BY21" s="116">
        <f>'P NP KARAMBA IKAN'!AH44</f>
        <v>0</v>
      </c>
    </row>
    <row r="22" spans="1:77">
      <c r="A22" s="260" t="s">
        <v>132</v>
      </c>
      <c r="B22" s="116">
        <f t="shared" si="2"/>
        <v>0</v>
      </c>
      <c r="C22" s="116">
        <f t="shared" si="3"/>
        <v>0</v>
      </c>
      <c r="D22" s="116">
        <f>'P NP KARAMBA IKAN'!AI8</f>
        <v>0</v>
      </c>
      <c r="E22" s="116">
        <f>'P NP KARAMBA IKAN'!AJ8</f>
        <v>0</v>
      </c>
      <c r="F22" s="116">
        <f>'P NP KARAMBA IKAN'!AI9</f>
        <v>0</v>
      </c>
      <c r="G22" s="116">
        <f>'P NP KARAMBA IKAN'!AJ9</f>
        <v>0</v>
      </c>
      <c r="H22" s="116">
        <f>'P NP KARAMBA IKAN'!AI10</f>
        <v>0</v>
      </c>
      <c r="I22" s="116">
        <f>'P NP KARAMBA IKAN'!AJ10</f>
        <v>0</v>
      </c>
      <c r="J22" s="116">
        <f>'P NP KARAMBA IKAN'!AI11</f>
        <v>0</v>
      </c>
      <c r="K22" s="116">
        <f>'P NP KARAMBA IKAN'!AJ11</f>
        <v>0</v>
      </c>
      <c r="L22" s="116">
        <f>'P NP KARAMBA IKAN'!AI12</f>
        <v>0</v>
      </c>
      <c r="M22" s="116">
        <f>'P NP KARAMBA IKAN'!AJ12</f>
        <v>0</v>
      </c>
      <c r="N22" s="116">
        <f>'P NP KARAMBA IKAN'!AI13</f>
        <v>0</v>
      </c>
      <c r="O22" s="116">
        <f>'P NP KARAMBA IKAN'!AJ13</f>
        <v>0</v>
      </c>
      <c r="P22" s="116">
        <f>'P NP KARAMBA IKAN'!AI14</f>
        <v>0</v>
      </c>
      <c r="Q22" s="116">
        <f>'P NP KARAMBA IKAN'!AJ14</f>
        <v>0</v>
      </c>
      <c r="R22" s="116">
        <f>'P NP KARAMBA IKAN'!AI15</f>
        <v>0</v>
      </c>
      <c r="S22" s="116">
        <f>'P NP KARAMBA IKAN'!AJ15</f>
        <v>0</v>
      </c>
      <c r="T22" s="116">
        <f>'P NP KARAMBA IKAN'!AI16</f>
        <v>0</v>
      </c>
      <c r="U22" s="116">
        <f>'P NP KARAMBA IKAN'!AJ16</f>
        <v>0</v>
      </c>
      <c r="V22" s="116">
        <f>'P NP KARAMBA IKAN'!AI17</f>
        <v>0</v>
      </c>
      <c r="W22" s="116">
        <f>'P NP KARAMBA IKAN'!AJ17</f>
        <v>0</v>
      </c>
      <c r="X22" s="116">
        <f>'P NP KARAMBA IKAN'!AI18</f>
        <v>0</v>
      </c>
      <c r="Y22" s="116">
        <f>'P NP KARAMBA IKAN'!AJ18</f>
        <v>0</v>
      </c>
      <c r="Z22" s="116">
        <f>'P NP KARAMBA IKAN'!AI19</f>
        <v>0</v>
      </c>
      <c r="AA22" s="116">
        <f>'P NP KARAMBA IKAN'!AJ19</f>
        <v>0</v>
      </c>
      <c r="AB22" s="116">
        <f>'P NP KARAMBA IKAN'!AI20</f>
        <v>0</v>
      </c>
      <c r="AC22" s="116">
        <f>'P NP KARAMBA IKAN'!AJ20</f>
        <v>0</v>
      </c>
      <c r="AD22" s="116">
        <f>'P NP KARAMBA IKAN'!AI21</f>
        <v>0</v>
      </c>
      <c r="AE22" s="116">
        <f>'P NP KARAMBA IKAN'!AJ21</f>
        <v>0</v>
      </c>
      <c r="AF22" s="116">
        <f>'P NP KARAMBA IKAN'!AI22</f>
        <v>0</v>
      </c>
      <c r="AG22" s="116">
        <f>'P NP KARAMBA IKAN'!AJ22</f>
        <v>0</v>
      </c>
      <c r="AH22" s="116">
        <f>'P NP KARAMBA IKAN'!AI23</f>
        <v>0</v>
      </c>
      <c r="AI22" s="116">
        <f>'P NP KARAMBA IKAN'!AJ23</f>
        <v>0</v>
      </c>
      <c r="AJ22" s="116">
        <f>'P NP KARAMBA IKAN'!AI24</f>
        <v>0</v>
      </c>
      <c r="AK22" s="116">
        <f>'P NP KARAMBA IKAN'!AJ24</f>
        <v>0</v>
      </c>
      <c r="AL22" s="116">
        <f>'P NP KARAMBA IKAN'!AI25</f>
        <v>0</v>
      </c>
      <c r="AM22" s="116">
        <f>'P NP KARAMBA IKAN'!AJ25</f>
        <v>0</v>
      </c>
      <c r="AN22" s="116">
        <f>'P NP KARAMBA IKAN'!AI26</f>
        <v>0</v>
      </c>
      <c r="AO22" s="116">
        <f>'P NP KARAMBA IKAN'!AJ26</f>
        <v>0</v>
      </c>
      <c r="AP22" s="116">
        <f>'P NP KARAMBA IKAN'!AI27</f>
        <v>0</v>
      </c>
      <c r="AQ22" s="116">
        <f>'P NP KARAMBA IKAN'!AJ27</f>
        <v>0</v>
      </c>
      <c r="AR22" s="116">
        <f>'P NP KARAMBA IKAN'!AI28</f>
        <v>0</v>
      </c>
      <c r="AS22" s="116">
        <f>'P NP KARAMBA IKAN'!AJ28</f>
        <v>0</v>
      </c>
      <c r="AT22" s="116">
        <f>'P NP KARAMBA IKAN'!AI29</f>
        <v>0</v>
      </c>
      <c r="AU22" s="116">
        <f>'P NP KARAMBA IKAN'!AJ29</f>
        <v>0</v>
      </c>
      <c r="AV22" s="116">
        <f>'P NP KARAMBA IKAN'!AI30</f>
        <v>0</v>
      </c>
      <c r="AW22" s="116">
        <f>'P NP KARAMBA IKAN'!AJ30</f>
        <v>0</v>
      </c>
      <c r="AX22" s="116">
        <f>'P NP KARAMBA IKAN'!AI31</f>
        <v>0</v>
      </c>
      <c r="AY22" s="116">
        <f>'P NP KARAMBA IKAN'!AJ31</f>
        <v>0</v>
      </c>
      <c r="AZ22" s="116">
        <f>'P NP KARAMBA IKAN'!AI32</f>
        <v>0</v>
      </c>
      <c r="BA22" s="116">
        <f>'P NP KARAMBA IKAN'!AJ32</f>
        <v>0</v>
      </c>
      <c r="BB22" s="116">
        <f>'P NP KARAMBA IKAN'!AI33</f>
        <v>0</v>
      </c>
      <c r="BC22" s="116">
        <f>'P NP KARAMBA IKAN'!AJ33</f>
        <v>0</v>
      </c>
      <c r="BD22" s="116">
        <f>'P NP KARAMBA IKAN'!AI34</f>
        <v>0</v>
      </c>
      <c r="BE22" s="116">
        <f>'P NP KARAMBA IKAN'!AJ34</f>
        <v>0</v>
      </c>
      <c r="BF22" s="116">
        <f>'P NP KARAMBA IKAN'!AI35</f>
        <v>0</v>
      </c>
      <c r="BG22" s="116">
        <f>'P NP KARAMBA IKAN'!AJ35</f>
        <v>0</v>
      </c>
      <c r="BH22" s="116">
        <f>'P NP KARAMBA IKAN'!AI36</f>
        <v>0</v>
      </c>
      <c r="BI22" s="116">
        <f>'P NP KARAMBA IKAN'!AJ36</f>
        <v>0</v>
      </c>
      <c r="BJ22" s="116">
        <f>'P NP KARAMBA IKAN'!AI37</f>
        <v>0</v>
      </c>
      <c r="BK22" s="116">
        <f>'P NP KARAMBA IKAN'!AJ37</f>
        <v>0</v>
      </c>
      <c r="BL22" s="116">
        <f>'P NP KARAMBA IKAN'!AI38</f>
        <v>0</v>
      </c>
      <c r="BM22" s="116">
        <f>'P NP KARAMBA IKAN'!AJ38</f>
        <v>0</v>
      </c>
      <c r="BN22" s="116">
        <f>'P NP KARAMBA IKAN'!AI39</f>
        <v>0</v>
      </c>
      <c r="BO22" s="116">
        <f>'P NP KARAMBA IKAN'!AJ39</f>
        <v>0</v>
      </c>
      <c r="BP22" s="116">
        <f>'P NP KARAMBA IKAN'!AI40</f>
        <v>0</v>
      </c>
      <c r="BQ22" s="116">
        <f>'P NP KARAMBA IKAN'!AJ40</f>
        <v>0</v>
      </c>
      <c r="BR22" s="116">
        <f>'P NP KARAMBA IKAN'!AI41</f>
        <v>0</v>
      </c>
      <c r="BS22" s="116">
        <f>'P NP KARAMBA IKAN'!AJ41</f>
        <v>0</v>
      </c>
      <c r="BT22" s="116">
        <f>'P NP KARAMBA IKAN'!AI42</f>
        <v>0</v>
      </c>
      <c r="BU22" s="116">
        <f>'P NP KARAMBA IKAN'!AJ42</f>
        <v>0</v>
      </c>
      <c r="BV22" s="116">
        <f>'P NP KARAMBA IKAN'!AI43</f>
        <v>0</v>
      </c>
      <c r="BW22" s="116">
        <f>'P NP KARAMBA IKAN'!AJ43</f>
        <v>0</v>
      </c>
      <c r="BX22" s="116">
        <f>'P NP KARAMBA IKAN'!AI44</f>
        <v>0</v>
      </c>
      <c r="BY22" s="116">
        <f>'P NP KARAMBA IKAN'!AJ44</f>
        <v>0</v>
      </c>
    </row>
    <row r="23" spans="1:77">
      <c r="A23" s="260" t="s">
        <v>112</v>
      </c>
      <c r="B23" s="116">
        <f t="shared" si="2"/>
        <v>0</v>
      </c>
      <c r="C23" s="116">
        <f t="shared" si="3"/>
        <v>0</v>
      </c>
      <c r="D23" s="116">
        <f>'P NP KARAMBA IKAN'!AK8</f>
        <v>0</v>
      </c>
      <c r="E23" s="116">
        <f>'P NP KARAMBA IKAN'!AL8</f>
        <v>0</v>
      </c>
      <c r="F23" s="116">
        <f>'P NP KARAMBA IKAN'!AK9</f>
        <v>0</v>
      </c>
      <c r="G23" s="116">
        <f>'P NP KARAMBA IKAN'!AL9</f>
        <v>0</v>
      </c>
      <c r="H23" s="116">
        <f>'P NP KARAMBA IKAN'!AK10</f>
        <v>0</v>
      </c>
      <c r="I23" s="116">
        <f>'P NP KARAMBA IKAN'!AL10</f>
        <v>0</v>
      </c>
      <c r="J23" s="116">
        <f>'P NP KARAMBA IKAN'!AK11</f>
        <v>0</v>
      </c>
      <c r="K23" s="116">
        <f>'P NP KARAMBA IKAN'!AL11</f>
        <v>0</v>
      </c>
      <c r="L23" s="116">
        <f>'P NP KARAMBA IKAN'!AK12</f>
        <v>0</v>
      </c>
      <c r="M23" s="116">
        <f>'P NP KARAMBA IKAN'!AL12</f>
        <v>0</v>
      </c>
      <c r="N23" s="116">
        <f>'P NP KARAMBA IKAN'!AK13</f>
        <v>0</v>
      </c>
      <c r="O23" s="116">
        <f>'P NP KARAMBA IKAN'!AL13</f>
        <v>0</v>
      </c>
      <c r="P23" s="116">
        <f>'P NP KARAMBA IKAN'!AK14</f>
        <v>0</v>
      </c>
      <c r="Q23" s="116">
        <f>'P NP KARAMBA IKAN'!AL14</f>
        <v>0</v>
      </c>
      <c r="R23" s="116">
        <f>'P NP KARAMBA IKAN'!AK15</f>
        <v>0</v>
      </c>
      <c r="S23" s="116">
        <f>'P NP KARAMBA IKAN'!AL15</f>
        <v>0</v>
      </c>
      <c r="T23" s="116">
        <f>'P NP KARAMBA IKAN'!AK16</f>
        <v>0</v>
      </c>
      <c r="U23" s="116">
        <f>'P NP KARAMBA IKAN'!AL16</f>
        <v>0</v>
      </c>
      <c r="V23" s="116">
        <f>'P NP KARAMBA IKAN'!AK17</f>
        <v>0</v>
      </c>
      <c r="W23" s="116">
        <f>'P NP KARAMBA IKAN'!AL17</f>
        <v>0</v>
      </c>
      <c r="X23" s="116">
        <f>'P NP KARAMBA IKAN'!AK18</f>
        <v>0</v>
      </c>
      <c r="Y23" s="116">
        <f>'P NP KARAMBA IKAN'!AL18</f>
        <v>0</v>
      </c>
      <c r="Z23" s="116">
        <f>'P NP KARAMBA IKAN'!AK19</f>
        <v>0</v>
      </c>
      <c r="AA23" s="116">
        <f>'P NP KARAMBA IKAN'!AL19</f>
        <v>0</v>
      </c>
      <c r="AB23" s="116">
        <f>'P NP KARAMBA IKAN'!AK20</f>
        <v>0</v>
      </c>
      <c r="AC23" s="116">
        <f>'P NP KARAMBA IKAN'!AL20</f>
        <v>0</v>
      </c>
      <c r="AD23" s="116">
        <f>'P NP KARAMBA IKAN'!AK21</f>
        <v>0</v>
      </c>
      <c r="AE23" s="116">
        <f>'P NP KARAMBA IKAN'!AL21</f>
        <v>0</v>
      </c>
      <c r="AF23" s="116">
        <f>'P NP KARAMBA IKAN'!AK22</f>
        <v>0</v>
      </c>
      <c r="AG23" s="116">
        <f>'P NP KARAMBA IKAN'!AL22</f>
        <v>0</v>
      </c>
      <c r="AH23" s="116">
        <f>'P NP KARAMBA IKAN'!AK23</f>
        <v>0</v>
      </c>
      <c r="AI23" s="116">
        <f>'P NP KARAMBA IKAN'!AL23</f>
        <v>0</v>
      </c>
      <c r="AJ23" s="116">
        <f>'P NP KARAMBA IKAN'!AK24</f>
        <v>0</v>
      </c>
      <c r="AK23" s="116">
        <f>'P NP KARAMBA IKAN'!AL24</f>
        <v>0</v>
      </c>
      <c r="AL23" s="116">
        <f>'P NP KARAMBA IKAN'!AK25</f>
        <v>0</v>
      </c>
      <c r="AM23" s="116">
        <f>'P NP KARAMBA IKAN'!AL25</f>
        <v>0</v>
      </c>
      <c r="AN23" s="116">
        <f>'P NP KARAMBA IKAN'!AK26</f>
        <v>0</v>
      </c>
      <c r="AO23" s="116">
        <f>'P NP KARAMBA IKAN'!AL26</f>
        <v>0</v>
      </c>
      <c r="AP23" s="116">
        <f>'P NP KARAMBA IKAN'!AK27</f>
        <v>0</v>
      </c>
      <c r="AQ23" s="116">
        <f>'P NP KARAMBA IKAN'!AL27</f>
        <v>0</v>
      </c>
      <c r="AR23" s="116">
        <f>'P NP KARAMBA IKAN'!AK28</f>
        <v>0</v>
      </c>
      <c r="AS23" s="116">
        <f>'P NP KARAMBA IKAN'!AL28</f>
        <v>0</v>
      </c>
      <c r="AT23" s="116">
        <f>'P NP KARAMBA IKAN'!AK29</f>
        <v>0</v>
      </c>
      <c r="AU23" s="116">
        <f>'P NP KARAMBA IKAN'!AL29</f>
        <v>0</v>
      </c>
      <c r="AV23" s="116">
        <f>'P NP KARAMBA IKAN'!AK30</f>
        <v>0</v>
      </c>
      <c r="AW23" s="116">
        <f>'P NP KARAMBA IKAN'!AL30</f>
        <v>0</v>
      </c>
      <c r="AX23" s="116">
        <f>'P NP KARAMBA IKAN'!AK31</f>
        <v>0</v>
      </c>
      <c r="AY23" s="116">
        <f>'P NP KARAMBA IKAN'!AL31</f>
        <v>0</v>
      </c>
      <c r="AZ23" s="116">
        <f>'P NP KARAMBA IKAN'!AK32</f>
        <v>0</v>
      </c>
      <c r="BA23" s="116">
        <f>'P NP KARAMBA IKAN'!AL32</f>
        <v>0</v>
      </c>
      <c r="BB23" s="116">
        <f>'P NP KARAMBA IKAN'!AK33</f>
        <v>0</v>
      </c>
      <c r="BC23" s="116">
        <f>'P NP KARAMBA IKAN'!AL33</f>
        <v>0</v>
      </c>
      <c r="BD23" s="116">
        <f>'P NP KARAMBA IKAN'!AK34</f>
        <v>0</v>
      </c>
      <c r="BE23" s="116">
        <f>'P NP KARAMBA IKAN'!AL34</f>
        <v>0</v>
      </c>
      <c r="BF23" s="116">
        <f>'P NP KARAMBA IKAN'!AK35</f>
        <v>0</v>
      </c>
      <c r="BG23" s="116">
        <f>'P NP KARAMBA IKAN'!AL35</f>
        <v>0</v>
      </c>
      <c r="BH23" s="116">
        <f>'P NP KARAMBA IKAN'!AK36</f>
        <v>0</v>
      </c>
      <c r="BI23" s="116">
        <f>'P NP KARAMBA IKAN'!AL36</f>
        <v>0</v>
      </c>
      <c r="BJ23" s="116">
        <f>'P NP KARAMBA IKAN'!AK37</f>
        <v>0</v>
      </c>
      <c r="BK23" s="116">
        <f>'P NP KARAMBA IKAN'!AL37</f>
        <v>0</v>
      </c>
      <c r="BL23" s="116">
        <f>'P NP KARAMBA IKAN'!AK38</f>
        <v>0</v>
      </c>
      <c r="BM23" s="116">
        <f>'P NP KARAMBA IKAN'!AL38</f>
        <v>0</v>
      </c>
      <c r="BN23" s="116">
        <f>'P NP KARAMBA IKAN'!AK39</f>
        <v>0</v>
      </c>
      <c r="BO23" s="116">
        <f>'P NP KARAMBA IKAN'!AL39</f>
        <v>0</v>
      </c>
      <c r="BP23" s="116">
        <f>'P NP KARAMBA IKAN'!AK40</f>
        <v>0</v>
      </c>
      <c r="BQ23" s="116">
        <f>'P NP KARAMBA IKAN'!AL40</f>
        <v>0</v>
      </c>
      <c r="BR23" s="116">
        <f>'P NP KARAMBA IKAN'!AK41</f>
        <v>0</v>
      </c>
      <c r="BS23" s="116">
        <f>'P NP KARAMBA IKAN'!AL41</f>
        <v>0</v>
      </c>
      <c r="BT23" s="116">
        <f>'P NP KARAMBA IKAN'!AK42</f>
        <v>0</v>
      </c>
      <c r="BU23" s="116">
        <f>'P NP KARAMBA IKAN'!AL42</f>
        <v>0</v>
      </c>
      <c r="BV23" s="116">
        <f>'P NP KARAMBA IKAN'!AK43</f>
        <v>0</v>
      </c>
      <c r="BW23" s="116">
        <f>'P NP KARAMBA IKAN'!AL43</f>
        <v>0</v>
      </c>
      <c r="BX23" s="116">
        <f>'P NP KARAMBA IKAN'!AK44</f>
        <v>0</v>
      </c>
      <c r="BY23" s="116">
        <f>'P NP KARAMBA IKAN'!AL44</f>
        <v>0</v>
      </c>
    </row>
    <row r="24" spans="1:77">
      <c r="A24" s="260" t="s">
        <v>139</v>
      </c>
      <c r="B24" s="116">
        <f t="shared" si="2"/>
        <v>0</v>
      </c>
      <c r="C24" s="116">
        <f t="shared" si="3"/>
        <v>0</v>
      </c>
      <c r="D24" s="116">
        <f>'P NP KARAMBA IKAN'!AM8</f>
        <v>0</v>
      </c>
      <c r="E24" s="116">
        <f>'P NP KARAMBA IKAN'!AN8</f>
        <v>0</v>
      </c>
      <c r="F24" s="116">
        <f>'P NP KARAMBA IKAN'!AM9</f>
        <v>0</v>
      </c>
      <c r="G24" s="116">
        <f>'P NP KARAMBA IKAN'!AN9</f>
        <v>0</v>
      </c>
      <c r="H24" s="116">
        <f>'P NP KARAMBA IKAN'!AM10</f>
        <v>0</v>
      </c>
      <c r="I24" s="116">
        <f>'P NP KARAMBA IKAN'!AN10</f>
        <v>0</v>
      </c>
      <c r="J24" s="116">
        <f>'P NP KARAMBA IKAN'!AM11</f>
        <v>0</v>
      </c>
      <c r="K24" s="116">
        <f>'P NP KARAMBA IKAN'!AN11</f>
        <v>0</v>
      </c>
      <c r="L24" s="116">
        <f>'P NP KARAMBA IKAN'!AM12</f>
        <v>0</v>
      </c>
      <c r="M24" s="116">
        <f>'P NP KARAMBA IKAN'!AN12</f>
        <v>0</v>
      </c>
      <c r="N24" s="116">
        <f>'P NP KARAMBA IKAN'!AM13</f>
        <v>0</v>
      </c>
      <c r="O24" s="116">
        <f>'P NP KARAMBA IKAN'!AN13</f>
        <v>0</v>
      </c>
      <c r="P24" s="116">
        <f>'P NP KARAMBA IKAN'!AM14</f>
        <v>0</v>
      </c>
      <c r="Q24" s="116">
        <f>'P NP KARAMBA IKAN'!AN14</f>
        <v>0</v>
      </c>
      <c r="R24" s="116">
        <f>'P NP KARAMBA IKAN'!AM15</f>
        <v>0</v>
      </c>
      <c r="S24" s="116">
        <f>'P NP KARAMBA IKAN'!AN15</f>
        <v>0</v>
      </c>
      <c r="T24" s="116">
        <f>'P NP KARAMBA IKAN'!AM16</f>
        <v>0</v>
      </c>
      <c r="U24" s="116">
        <f>'P NP KARAMBA IKAN'!AN16</f>
        <v>0</v>
      </c>
      <c r="V24" s="116">
        <f>'P NP KARAMBA IKAN'!AM17</f>
        <v>0</v>
      </c>
      <c r="W24" s="116">
        <f>'P NP KARAMBA IKAN'!AN17</f>
        <v>0</v>
      </c>
      <c r="X24" s="116">
        <f>'P NP KARAMBA IKAN'!AM18</f>
        <v>0</v>
      </c>
      <c r="Y24" s="116">
        <f>'P NP KARAMBA IKAN'!AN18</f>
        <v>0</v>
      </c>
      <c r="Z24" s="116">
        <f>'P NP KARAMBA IKAN'!AM19</f>
        <v>0</v>
      </c>
      <c r="AA24" s="116">
        <f>'P NP KARAMBA IKAN'!AN19</f>
        <v>0</v>
      </c>
      <c r="AB24" s="116">
        <f>'P NP KARAMBA IKAN'!AM20</f>
        <v>0</v>
      </c>
      <c r="AC24" s="116">
        <f>'P NP KARAMBA IKAN'!AN20</f>
        <v>0</v>
      </c>
      <c r="AD24" s="116">
        <f>'P NP KARAMBA IKAN'!AM21</f>
        <v>0</v>
      </c>
      <c r="AE24" s="116">
        <f>'P NP KARAMBA IKAN'!AN21</f>
        <v>0</v>
      </c>
      <c r="AF24" s="116">
        <f>'P NP KARAMBA IKAN'!AM22</f>
        <v>0</v>
      </c>
      <c r="AG24" s="116">
        <f>'P NP KARAMBA IKAN'!AN22</f>
        <v>0</v>
      </c>
      <c r="AH24" s="116">
        <f>'P NP KARAMBA IKAN'!AM23</f>
        <v>0</v>
      </c>
      <c r="AI24" s="116">
        <f>'P NP KARAMBA IKAN'!AN23</f>
        <v>0</v>
      </c>
      <c r="AJ24" s="116">
        <f>'P NP KARAMBA IKAN'!AM24</f>
        <v>0</v>
      </c>
      <c r="AK24" s="116">
        <f>'P NP KARAMBA IKAN'!AN24</f>
        <v>0</v>
      </c>
      <c r="AL24" s="116">
        <f>'P NP KARAMBA IKAN'!AM25</f>
        <v>0</v>
      </c>
      <c r="AM24" s="116">
        <f>'P NP KARAMBA IKAN'!AN25</f>
        <v>0</v>
      </c>
      <c r="AN24" s="116">
        <f>'P NP KARAMBA IKAN'!AM26</f>
        <v>0</v>
      </c>
      <c r="AO24" s="116">
        <f>'P NP KARAMBA IKAN'!AN26</f>
        <v>0</v>
      </c>
      <c r="AP24" s="116">
        <f>'P NP KARAMBA IKAN'!AM27</f>
        <v>0</v>
      </c>
      <c r="AQ24" s="116">
        <f>'P NP KARAMBA IKAN'!AN27</f>
        <v>0</v>
      </c>
      <c r="AR24" s="116">
        <f>'P NP KARAMBA IKAN'!AM28</f>
        <v>0</v>
      </c>
      <c r="AS24" s="116">
        <f>'P NP KARAMBA IKAN'!AN28</f>
        <v>0</v>
      </c>
      <c r="AT24" s="116">
        <f>'P NP KARAMBA IKAN'!AM29</f>
        <v>0</v>
      </c>
      <c r="AU24" s="116">
        <f>'P NP KARAMBA IKAN'!AN29</f>
        <v>0</v>
      </c>
      <c r="AV24" s="116">
        <f>'P NP KARAMBA IKAN'!AM30</f>
        <v>0</v>
      </c>
      <c r="AW24" s="116">
        <f>'P NP KARAMBA IKAN'!AN30</f>
        <v>0</v>
      </c>
      <c r="AX24" s="116">
        <f>'P NP KARAMBA IKAN'!AM31</f>
        <v>0</v>
      </c>
      <c r="AY24" s="116">
        <f>'P NP KARAMBA IKAN'!AN31</f>
        <v>0</v>
      </c>
      <c r="AZ24" s="116">
        <f>'P NP KARAMBA IKAN'!AM32</f>
        <v>0</v>
      </c>
      <c r="BA24" s="116">
        <f>'P NP KARAMBA IKAN'!AN32</f>
        <v>0</v>
      </c>
      <c r="BB24" s="116">
        <f>'P NP KARAMBA IKAN'!AM33</f>
        <v>0</v>
      </c>
      <c r="BC24" s="116">
        <f>'P NP KARAMBA IKAN'!AN33</f>
        <v>0</v>
      </c>
      <c r="BD24" s="116">
        <f>'P NP KARAMBA IKAN'!AM34</f>
        <v>0</v>
      </c>
      <c r="BE24" s="116">
        <f>'P NP KARAMBA IKAN'!AN34</f>
        <v>0</v>
      </c>
      <c r="BF24" s="116">
        <f>'P NP KARAMBA IKAN'!AM35</f>
        <v>0</v>
      </c>
      <c r="BG24" s="116">
        <f>'P NP KARAMBA IKAN'!AN35</f>
        <v>0</v>
      </c>
      <c r="BH24" s="116">
        <f>'P NP KARAMBA IKAN'!AM36</f>
        <v>0</v>
      </c>
      <c r="BI24" s="116">
        <f>'P NP KARAMBA IKAN'!AN36</f>
        <v>0</v>
      </c>
      <c r="BJ24" s="116">
        <f>'P NP KARAMBA IKAN'!AM37</f>
        <v>0</v>
      </c>
      <c r="BK24" s="116">
        <f>'P NP KARAMBA IKAN'!AN37</f>
        <v>0</v>
      </c>
      <c r="BL24" s="116">
        <f>'P NP KARAMBA IKAN'!AM38</f>
        <v>0</v>
      </c>
      <c r="BM24" s="116">
        <f>'P NP KARAMBA IKAN'!AN38</f>
        <v>0</v>
      </c>
      <c r="BN24" s="116">
        <f>'P NP KARAMBA IKAN'!AM39</f>
        <v>0</v>
      </c>
      <c r="BO24" s="116">
        <f>'P NP KARAMBA IKAN'!AN39</f>
        <v>0</v>
      </c>
      <c r="BP24" s="116">
        <f>'P NP KARAMBA IKAN'!AM40</f>
        <v>0</v>
      </c>
      <c r="BQ24" s="116">
        <f>'P NP KARAMBA IKAN'!AN40</f>
        <v>0</v>
      </c>
      <c r="BR24" s="116">
        <f>'P NP KARAMBA IKAN'!AM41</f>
        <v>0</v>
      </c>
      <c r="BS24" s="116">
        <f>'P NP KARAMBA IKAN'!AN41</f>
        <v>0</v>
      </c>
      <c r="BT24" s="116">
        <f>'P NP KARAMBA IKAN'!AM42</f>
        <v>0</v>
      </c>
      <c r="BU24" s="116">
        <f>'P NP KARAMBA IKAN'!AN42</f>
        <v>0</v>
      </c>
      <c r="BV24" s="116">
        <f>'P NP KARAMBA IKAN'!AM43</f>
        <v>0</v>
      </c>
      <c r="BW24" s="116">
        <f>'P NP KARAMBA IKAN'!AN43</f>
        <v>0</v>
      </c>
      <c r="BX24" s="116">
        <f>'P NP KARAMBA IKAN'!AM44</f>
        <v>0</v>
      </c>
      <c r="BY24" s="116">
        <f>'P NP KARAMBA IKAN'!AN44</f>
        <v>0</v>
      </c>
    </row>
    <row r="25" spans="1:77">
      <c r="A25" s="260" t="s">
        <v>125</v>
      </c>
      <c r="B25" s="116">
        <f t="shared" si="2"/>
        <v>0</v>
      </c>
      <c r="C25" s="116">
        <f t="shared" si="3"/>
        <v>0</v>
      </c>
      <c r="D25" s="116">
        <f>'P NP KARAMBA IKAN'!AO8</f>
        <v>0</v>
      </c>
      <c r="E25" s="116">
        <f>'P NP KARAMBA IKAN'!AP8</f>
        <v>0</v>
      </c>
      <c r="F25" s="116">
        <f>'P NP KARAMBA IKAN'!AO9</f>
        <v>0</v>
      </c>
      <c r="G25" s="116">
        <f>'P NP KARAMBA IKAN'!AP9</f>
        <v>0</v>
      </c>
      <c r="H25" s="116">
        <f>'P NP KARAMBA IKAN'!AO10</f>
        <v>0</v>
      </c>
      <c r="I25" s="116">
        <f>'P NP KARAMBA IKAN'!AP10</f>
        <v>0</v>
      </c>
      <c r="J25" s="116">
        <f>'P NP KARAMBA IKAN'!AO11</f>
        <v>0</v>
      </c>
      <c r="K25" s="116">
        <f>'P NP KARAMBA IKAN'!AP11</f>
        <v>0</v>
      </c>
      <c r="L25" s="116">
        <f>'P NP KARAMBA IKAN'!AO12</f>
        <v>0</v>
      </c>
      <c r="M25" s="116">
        <f>'P NP KARAMBA IKAN'!AP12</f>
        <v>0</v>
      </c>
      <c r="N25" s="116">
        <f>'P NP KARAMBA IKAN'!AO13</f>
        <v>0</v>
      </c>
      <c r="O25" s="116">
        <f>'P NP KARAMBA IKAN'!AP13</f>
        <v>0</v>
      </c>
      <c r="P25" s="116">
        <f>'P NP KARAMBA IKAN'!AO14</f>
        <v>0</v>
      </c>
      <c r="Q25" s="116">
        <f>'P NP KARAMBA IKAN'!AP14</f>
        <v>0</v>
      </c>
      <c r="R25" s="116">
        <f>'P NP KARAMBA IKAN'!AO15</f>
        <v>0</v>
      </c>
      <c r="S25" s="116">
        <f>'P NP KARAMBA IKAN'!AP15</f>
        <v>0</v>
      </c>
      <c r="T25" s="116">
        <f>'P NP KARAMBA IKAN'!AO16</f>
        <v>0</v>
      </c>
      <c r="U25" s="116">
        <f>'P NP KARAMBA IKAN'!AP16</f>
        <v>0</v>
      </c>
      <c r="V25" s="116">
        <f>'P NP KARAMBA IKAN'!AO17</f>
        <v>0</v>
      </c>
      <c r="W25" s="116">
        <f>'P NP KARAMBA IKAN'!AP17</f>
        <v>0</v>
      </c>
      <c r="X25" s="116">
        <f>'P NP KARAMBA IKAN'!AO18</f>
        <v>0</v>
      </c>
      <c r="Y25" s="116">
        <f>'P NP KARAMBA IKAN'!AP18</f>
        <v>0</v>
      </c>
      <c r="Z25" s="116">
        <f>'P NP KARAMBA IKAN'!AO19</f>
        <v>0</v>
      </c>
      <c r="AA25" s="116">
        <f>'P NP KARAMBA IKAN'!AP19</f>
        <v>0</v>
      </c>
      <c r="AB25" s="116">
        <f>'P NP KARAMBA IKAN'!AO20</f>
        <v>0</v>
      </c>
      <c r="AC25" s="116">
        <f>'P NP KARAMBA IKAN'!AP20</f>
        <v>0</v>
      </c>
      <c r="AD25" s="116">
        <f>'P NP KARAMBA IKAN'!AO21</f>
        <v>0</v>
      </c>
      <c r="AE25" s="116">
        <f>'P NP KARAMBA IKAN'!AP21</f>
        <v>0</v>
      </c>
      <c r="AF25" s="116">
        <f>'P NP KARAMBA IKAN'!AO22</f>
        <v>0</v>
      </c>
      <c r="AG25" s="116">
        <f>'P NP KARAMBA IKAN'!AP22</f>
        <v>0</v>
      </c>
      <c r="AH25" s="116">
        <f>'P NP KARAMBA IKAN'!AO23</f>
        <v>0</v>
      </c>
      <c r="AI25" s="116">
        <f>'P NP KARAMBA IKAN'!AP23</f>
        <v>0</v>
      </c>
      <c r="AJ25" s="116">
        <f>'P NP KARAMBA IKAN'!AO24</f>
        <v>0</v>
      </c>
      <c r="AK25" s="116">
        <f>'P NP KARAMBA IKAN'!AP24</f>
        <v>0</v>
      </c>
      <c r="AL25" s="116">
        <f>'P NP KARAMBA IKAN'!AO25</f>
        <v>0</v>
      </c>
      <c r="AM25" s="116">
        <f>'P NP KARAMBA IKAN'!AP25</f>
        <v>0</v>
      </c>
      <c r="AN25" s="116">
        <f>'P NP KARAMBA IKAN'!AO26</f>
        <v>0</v>
      </c>
      <c r="AO25" s="116">
        <f>'P NP KARAMBA IKAN'!AP26</f>
        <v>0</v>
      </c>
      <c r="AP25" s="116">
        <f>'P NP KARAMBA IKAN'!AO27</f>
        <v>0</v>
      </c>
      <c r="AQ25" s="116">
        <f>'P NP KARAMBA IKAN'!AP27</f>
        <v>0</v>
      </c>
      <c r="AR25" s="116">
        <f>'P NP KARAMBA IKAN'!AO28</f>
        <v>0</v>
      </c>
      <c r="AS25" s="116">
        <f>'P NP KARAMBA IKAN'!AP28</f>
        <v>0</v>
      </c>
      <c r="AT25" s="116">
        <f>'P NP KARAMBA IKAN'!AO29</f>
        <v>0</v>
      </c>
      <c r="AU25" s="116">
        <f>'P NP KARAMBA IKAN'!AP29</f>
        <v>0</v>
      </c>
      <c r="AV25" s="116">
        <f>'P NP KARAMBA IKAN'!AO30</f>
        <v>0</v>
      </c>
      <c r="AW25" s="116">
        <f>'P NP KARAMBA IKAN'!AP30</f>
        <v>0</v>
      </c>
      <c r="AX25" s="116">
        <f>'P NP KARAMBA IKAN'!AO31</f>
        <v>0</v>
      </c>
      <c r="AY25" s="116">
        <f>'P NP KARAMBA IKAN'!AP31</f>
        <v>0</v>
      </c>
      <c r="AZ25" s="116">
        <f>'P NP KARAMBA IKAN'!AO32</f>
        <v>0</v>
      </c>
      <c r="BA25" s="116">
        <f>'P NP KARAMBA IKAN'!AP32</f>
        <v>0</v>
      </c>
      <c r="BB25" s="116">
        <f>'P NP KARAMBA IKAN'!AO33</f>
        <v>0</v>
      </c>
      <c r="BC25" s="116">
        <f>'P NP KARAMBA IKAN'!AP33</f>
        <v>0</v>
      </c>
      <c r="BD25" s="116">
        <f>'P NP KARAMBA IKAN'!AO34</f>
        <v>0</v>
      </c>
      <c r="BE25" s="116">
        <f>'P NP KARAMBA IKAN'!AP34</f>
        <v>0</v>
      </c>
      <c r="BF25" s="116">
        <f>'P NP KARAMBA IKAN'!AO35</f>
        <v>0</v>
      </c>
      <c r="BG25" s="116">
        <f>'P NP KARAMBA IKAN'!AP35</f>
        <v>0</v>
      </c>
      <c r="BH25" s="116">
        <f>'P NP KARAMBA IKAN'!AO36</f>
        <v>0</v>
      </c>
      <c r="BI25" s="116">
        <f>'P NP KARAMBA IKAN'!AP36</f>
        <v>0</v>
      </c>
      <c r="BJ25" s="116">
        <f>'P NP KARAMBA IKAN'!AO37</f>
        <v>0</v>
      </c>
      <c r="BK25" s="116">
        <f>'P NP KARAMBA IKAN'!AP37</f>
        <v>0</v>
      </c>
      <c r="BL25" s="116">
        <f>'P NP KARAMBA IKAN'!AO38</f>
        <v>0</v>
      </c>
      <c r="BM25" s="116">
        <f>'P NP KARAMBA IKAN'!AP38</f>
        <v>0</v>
      </c>
      <c r="BN25" s="116">
        <f>'P NP KARAMBA IKAN'!AO39</f>
        <v>0</v>
      </c>
      <c r="BO25" s="116">
        <f>'P NP KARAMBA IKAN'!AP39</f>
        <v>0</v>
      </c>
      <c r="BP25" s="116">
        <f>'P NP KARAMBA IKAN'!AO40</f>
        <v>0</v>
      </c>
      <c r="BQ25" s="116">
        <f>'P NP KARAMBA IKAN'!AP40</f>
        <v>0</v>
      </c>
      <c r="BR25" s="116">
        <f>'P NP KARAMBA IKAN'!AO41</f>
        <v>0</v>
      </c>
      <c r="BS25" s="116">
        <f>'P NP KARAMBA IKAN'!AP41</f>
        <v>0</v>
      </c>
      <c r="BT25" s="116">
        <f>'P NP KARAMBA IKAN'!AO42</f>
        <v>0</v>
      </c>
      <c r="BU25" s="116">
        <f>'P NP KARAMBA IKAN'!AP42</f>
        <v>0</v>
      </c>
      <c r="BV25" s="116">
        <f>'P NP KARAMBA IKAN'!AO43</f>
        <v>0</v>
      </c>
      <c r="BW25" s="116">
        <f>'P NP KARAMBA IKAN'!AP43</f>
        <v>0</v>
      </c>
      <c r="BX25" s="116">
        <f>'P NP KARAMBA IKAN'!AO44</f>
        <v>0</v>
      </c>
      <c r="BY25" s="116">
        <f>'P NP KARAMBA IKAN'!AP44</f>
        <v>0</v>
      </c>
    </row>
    <row r="26" spans="1:77">
      <c r="A26" s="260" t="s">
        <v>113</v>
      </c>
      <c r="B26" s="116">
        <f t="shared" si="2"/>
        <v>0</v>
      </c>
      <c r="C26" s="116">
        <f t="shared" si="3"/>
        <v>0</v>
      </c>
      <c r="D26" s="116">
        <f>'P NP KARAMBA IKAN'!AQ8</f>
        <v>0</v>
      </c>
      <c r="E26" s="116">
        <f>'P NP KARAMBA IKAN'!AR8</f>
        <v>0</v>
      </c>
      <c r="F26" s="116">
        <f>'P NP KARAMBA IKAN'!AQ9</f>
        <v>0</v>
      </c>
      <c r="G26" s="116">
        <f>'P NP KARAMBA IKAN'!AR9</f>
        <v>0</v>
      </c>
      <c r="H26" s="116">
        <f>'P NP KARAMBA IKAN'!AQ10</f>
        <v>0</v>
      </c>
      <c r="I26" s="116">
        <f>'P NP KARAMBA IKAN'!AR10</f>
        <v>0</v>
      </c>
      <c r="J26" s="116">
        <f>'P NP KARAMBA IKAN'!AQ11</f>
        <v>0</v>
      </c>
      <c r="K26" s="116">
        <f>'P NP KARAMBA IKAN'!AR11</f>
        <v>0</v>
      </c>
      <c r="L26" s="116">
        <f>'P NP KARAMBA IKAN'!AQ12</f>
        <v>0</v>
      </c>
      <c r="M26" s="116">
        <f>'P NP KARAMBA IKAN'!AR12</f>
        <v>0</v>
      </c>
      <c r="N26" s="116">
        <f>'P NP KARAMBA IKAN'!AQ13</f>
        <v>0</v>
      </c>
      <c r="O26" s="116">
        <f>'P NP KARAMBA IKAN'!AR13</f>
        <v>0</v>
      </c>
      <c r="P26" s="116">
        <f>'P NP KARAMBA IKAN'!AQ14</f>
        <v>0</v>
      </c>
      <c r="Q26" s="116">
        <f>'P NP KARAMBA IKAN'!AR14</f>
        <v>0</v>
      </c>
      <c r="R26" s="116">
        <f>'P NP KARAMBA IKAN'!AQ15</f>
        <v>0</v>
      </c>
      <c r="S26" s="116">
        <f>'P NP KARAMBA IKAN'!AR15</f>
        <v>0</v>
      </c>
      <c r="T26" s="116">
        <f>'P NP KARAMBA IKAN'!AQ16</f>
        <v>0</v>
      </c>
      <c r="U26" s="116">
        <f>'P NP KARAMBA IKAN'!AR16</f>
        <v>0</v>
      </c>
      <c r="V26" s="116">
        <f>'P NP KARAMBA IKAN'!AQ17</f>
        <v>0</v>
      </c>
      <c r="W26" s="116">
        <f>'P NP KARAMBA IKAN'!AR17</f>
        <v>0</v>
      </c>
      <c r="X26" s="116">
        <f>'P NP KARAMBA IKAN'!AQ18</f>
        <v>0</v>
      </c>
      <c r="Y26" s="116">
        <f>'P NP KARAMBA IKAN'!AR18</f>
        <v>0</v>
      </c>
      <c r="Z26" s="116">
        <f>'P NP KARAMBA IKAN'!AQ19</f>
        <v>0</v>
      </c>
      <c r="AA26" s="116">
        <f>'P NP KARAMBA IKAN'!AR19</f>
        <v>0</v>
      </c>
      <c r="AB26" s="116">
        <f>'P NP KARAMBA IKAN'!AQ20</f>
        <v>0</v>
      </c>
      <c r="AC26" s="116">
        <f>'P NP KARAMBA IKAN'!AR20</f>
        <v>0</v>
      </c>
      <c r="AD26" s="116">
        <f>'P NP KARAMBA IKAN'!AQ21</f>
        <v>0</v>
      </c>
      <c r="AE26" s="116">
        <f>'P NP KARAMBA IKAN'!AR21</f>
        <v>0</v>
      </c>
      <c r="AF26" s="116">
        <f>'P NP KARAMBA IKAN'!AQ22</f>
        <v>0</v>
      </c>
      <c r="AG26" s="116">
        <f>'P NP KARAMBA IKAN'!AR22</f>
        <v>0</v>
      </c>
      <c r="AH26" s="116">
        <f>'P NP KARAMBA IKAN'!AQ23</f>
        <v>0</v>
      </c>
      <c r="AI26" s="116">
        <f>'P NP KARAMBA IKAN'!AR23</f>
        <v>0</v>
      </c>
      <c r="AJ26" s="116">
        <f>'P NP KARAMBA IKAN'!AQ24</f>
        <v>0</v>
      </c>
      <c r="AK26" s="116">
        <f>'P NP KARAMBA IKAN'!AR24</f>
        <v>0</v>
      </c>
      <c r="AL26" s="116">
        <f>'P NP KARAMBA IKAN'!AQ25</f>
        <v>0</v>
      </c>
      <c r="AM26" s="116">
        <f>'P NP KARAMBA IKAN'!AR25</f>
        <v>0</v>
      </c>
      <c r="AN26" s="116">
        <f>'P NP KARAMBA IKAN'!AQ26</f>
        <v>0</v>
      </c>
      <c r="AO26" s="116">
        <f>'P NP KARAMBA IKAN'!AR26</f>
        <v>0</v>
      </c>
      <c r="AP26" s="116">
        <f>'P NP KARAMBA IKAN'!AQ27</f>
        <v>0</v>
      </c>
      <c r="AQ26" s="116">
        <f>'P NP KARAMBA IKAN'!AR27</f>
        <v>0</v>
      </c>
      <c r="AR26" s="116">
        <f>'P NP KARAMBA IKAN'!AQ28</f>
        <v>0</v>
      </c>
      <c r="AS26" s="116">
        <f>'P NP KARAMBA IKAN'!AR28</f>
        <v>0</v>
      </c>
      <c r="AT26" s="116">
        <f>'P NP KARAMBA IKAN'!AQ29</f>
        <v>0</v>
      </c>
      <c r="AU26" s="116">
        <f>'P NP KARAMBA IKAN'!AR29</f>
        <v>0</v>
      </c>
      <c r="AV26" s="116">
        <f>'P NP KARAMBA IKAN'!AQ30</f>
        <v>0</v>
      </c>
      <c r="AW26" s="116">
        <f>'P NP KARAMBA IKAN'!AR30</f>
        <v>0</v>
      </c>
      <c r="AX26" s="116">
        <f>'P NP KARAMBA IKAN'!AQ31</f>
        <v>0</v>
      </c>
      <c r="AY26" s="116">
        <f>'P NP KARAMBA IKAN'!AR31</f>
        <v>0</v>
      </c>
      <c r="AZ26" s="116">
        <f>'P NP KARAMBA IKAN'!AQ32</f>
        <v>0</v>
      </c>
      <c r="BA26" s="116">
        <f>'P NP KARAMBA IKAN'!AR32</f>
        <v>0</v>
      </c>
      <c r="BB26" s="116">
        <f>'P NP KARAMBA IKAN'!AQ33</f>
        <v>0</v>
      </c>
      <c r="BC26" s="116">
        <f>'P NP KARAMBA IKAN'!AR33</f>
        <v>0</v>
      </c>
      <c r="BD26" s="116">
        <f>'P NP KARAMBA IKAN'!AQ34</f>
        <v>0</v>
      </c>
      <c r="BE26" s="116">
        <f>'P NP KARAMBA IKAN'!AR34</f>
        <v>0</v>
      </c>
      <c r="BF26" s="116">
        <f>'P NP KARAMBA IKAN'!AQ35</f>
        <v>0</v>
      </c>
      <c r="BG26" s="116">
        <f>'P NP KARAMBA IKAN'!AR35</f>
        <v>0</v>
      </c>
      <c r="BH26" s="116">
        <f>'P NP KARAMBA IKAN'!AQ36</f>
        <v>0</v>
      </c>
      <c r="BI26" s="116">
        <f>'P NP KARAMBA IKAN'!AR36</f>
        <v>0</v>
      </c>
      <c r="BJ26" s="116">
        <f>'P NP KARAMBA IKAN'!AQ37</f>
        <v>0</v>
      </c>
      <c r="BK26" s="116">
        <f>'P NP KARAMBA IKAN'!AR37</f>
        <v>0</v>
      </c>
      <c r="BL26" s="116">
        <f>'P NP KARAMBA IKAN'!AQ38</f>
        <v>0</v>
      </c>
      <c r="BM26" s="116">
        <f>'P NP KARAMBA IKAN'!AR38</f>
        <v>0</v>
      </c>
      <c r="BN26" s="116">
        <f>'P NP KARAMBA IKAN'!AQ39</f>
        <v>0</v>
      </c>
      <c r="BO26" s="116">
        <f>'P NP KARAMBA IKAN'!AR39</f>
        <v>0</v>
      </c>
      <c r="BP26" s="116">
        <f>'P NP KARAMBA IKAN'!AQ40</f>
        <v>0</v>
      </c>
      <c r="BQ26" s="116">
        <f>'P NP KARAMBA IKAN'!AR40</f>
        <v>0</v>
      </c>
      <c r="BR26" s="116">
        <f>'P NP KARAMBA IKAN'!AQ41</f>
        <v>0</v>
      </c>
      <c r="BS26" s="116">
        <f>'P NP KARAMBA IKAN'!AR41</f>
        <v>0</v>
      </c>
      <c r="BT26" s="116">
        <f>'P NP KARAMBA IKAN'!AQ42</f>
        <v>0</v>
      </c>
      <c r="BU26" s="116">
        <f>'P NP KARAMBA IKAN'!AR42</f>
        <v>0</v>
      </c>
      <c r="BV26" s="116">
        <f>'P NP KARAMBA IKAN'!AQ43</f>
        <v>0</v>
      </c>
      <c r="BW26" s="116">
        <f>'P NP KARAMBA IKAN'!AR43</f>
        <v>0</v>
      </c>
      <c r="BX26" s="116">
        <f>'P NP KARAMBA IKAN'!AQ44</f>
        <v>0</v>
      </c>
      <c r="BY26" s="116">
        <f>'P NP KARAMBA IKAN'!AR44</f>
        <v>0</v>
      </c>
    </row>
    <row r="27" spans="1:77">
      <c r="A27" s="260" t="s">
        <v>124</v>
      </c>
      <c r="B27" s="116">
        <f t="shared" si="2"/>
        <v>0</v>
      </c>
      <c r="C27" s="116">
        <f t="shared" si="3"/>
        <v>0</v>
      </c>
      <c r="D27" s="116">
        <f>'P NP KARAMBA IKAN'!AS8</f>
        <v>0</v>
      </c>
      <c r="E27" s="116">
        <f>'P NP KARAMBA IKAN'!AT8</f>
        <v>0</v>
      </c>
      <c r="F27" s="116">
        <f>'P NP KARAMBA IKAN'!AS9</f>
        <v>0</v>
      </c>
      <c r="G27" s="116">
        <f>'P NP KARAMBA IKAN'!AT9</f>
        <v>0</v>
      </c>
      <c r="H27" s="116">
        <f>'P NP KARAMBA IKAN'!AS10</f>
        <v>0</v>
      </c>
      <c r="I27" s="116">
        <f>'P NP KARAMBA IKAN'!AT10</f>
        <v>0</v>
      </c>
      <c r="J27" s="116">
        <f>'P NP KARAMBA IKAN'!AS11</f>
        <v>0</v>
      </c>
      <c r="K27" s="116">
        <f>'P NP KARAMBA IKAN'!AT11</f>
        <v>0</v>
      </c>
      <c r="L27" s="116">
        <f>'P NP KARAMBA IKAN'!AS12</f>
        <v>0</v>
      </c>
      <c r="M27" s="116">
        <f>'P NP KARAMBA IKAN'!AT12</f>
        <v>0</v>
      </c>
      <c r="N27" s="116">
        <f>'P NP KARAMBA IKAN'!AS13</f>
        <v>0</v>
      </c>
      <c r="O27" s="116">
        <f>'P NP KARAMBA IKAN'!AT13</f>
        <v>0</v>
      </c>
      <c r="P27" s="116">
        <f>'P NP KARAMBA IKAN'!AS14</f>
        <v>0</v>
      </c>
      <c r="Q27" s="116">
        <f>'P NP KARAMBA IKAN'!AT14</f>
        <v>0</v>
      </c>
      <c r="R27" s="116">
        <f>'P NP KARAMBA IKAN'!AS15</f>
        <v>0</v>
      </c>
      <c r="S27" s="116">
        <f>'P NP KARAMBA IKAN'!AT15</f>
        <v>0</v>
      </c>
      <c r="T27" s="116">
        <f>'P NP KARAMBA IKAN'!AS16</f>
        <v>0</v>
      </c>
      <c r="U27" s="116">
        <f>'P NP KARAMBA IKAN'!AT16</f>
        <v>0</v>
      </c>
      <c r="V27" s="116">
        <f>'P NP KARAMBA IKAN'!AS17</f>
        <v>0</v>
      </c>
      <c r="W27" s="116">
        <f>'P NP KARAMBA IKAN'!AT17</f>
        <v>0</v>
      </c>
      <c r="X27" s="116">
        <f>'P NP KARAMBA IKAN'!AS18</f>
        <v>0</v>
      </c>
      <c r="Y27" s="116">
        <f>'P NP KARAMBA IKAN'!AT18</f>
        <v>0</v>
      </c>
      <c r="Z27" s="116">
        <f>'P NP KARAMBA IKAN'!AS19</f>
        <v>0</v>
      </c>
      <c r="AA27" s="116">
        <f>'P NP KARAMBA IKAN'!AT19</f>
        <v>0</v>
      </c>
      <c r="AB27" s="116">
        <f>'P NP KARAMBA IKAN'!AS20</f>
        <v>0</v>
      </c>
      <c r="AC27" s="116">
        <f>'P NP KARAMBA IKAN'!AT20</f>
        <v>0</v>
      </c>
      <c r="AD27" s="116">
        <f>'P NP KARAMBA IKAN'!AS21</f>
        <v>0</v>
      </c>
      <c r="AE27" s="116">
        <f>'P NP KARAMBA IKAN'!AT21</f>
        <v>0</v>
      </c>
      <c r="AF27" s="116">
        <f>'P NP KARAMBA IKAN'!AS22</f>
        <v>0</v>
      </c>
      <c r="AG27" s="116">
        <f>'P NP KARAMBA IKAN'!AT22</f>
        <v>0</v>
      </c>
      <c r="AH27" s="116">
        <f>'P NP KARAMBA IKAN'!AS23</f>
        <v>0</v>
      </c>
      <c r="AI27" s="116">
        <f>'P NP KARAMBA IKAN'!AT23</f>
        <v>0</v>
      </c>
      <c r="AJ27" s="116">
        <f>'P NP KARAMBA IKAN'!AS24</f>
        <v>0</v>
      </c>
      <c r="AK27" s="116">
        <f>'P NP KARAMBA IKAN'!AT24</f>
        <v>0</v>
      </c>
      <c r="AL27" s="116">
        <f>'P NP KARAMBA IKAN'!AS25</f>
        <v>0</v>
      </c>
      <c r="AM27" s="116">
        <f>'P NP KARAMBA IKAN'!AT25</f>
        <v>0</v>
      </c>
      <c r="AN27" s="116">
        <f>'P NP KARAMBA IKAN'!AS26</f>
        <v>0</v>
      </c>
      <c r="AO27" s="116">
        <f>'P NP KARAMBA IKAN'!AT26</f>
        <v>0</v>
      </c>
      <c r="AP27" s="116">
        <f>'P NP KARAMBA IKAN'!AS27</f>
        <v>0</v>
      </c>
      <c r="AQ27" s="116">
        <f>'P NP KARAMBA IKAN'!AT27</f>
        <v>0</v>
      </c>
      <c r="AR27" s="116">
        <f>'P NP KARAMBA IKAN'!AS28</f>
        <v>0</v>
      </c>
      <c r="AS27" s="116">
        <f>'P NP KARAMBA IKAN'!AT28</f>
        <v>0</v>
      </c>
      <c r="AT27" s="116">
        <f>'P NP KARAMBA IKAN'!AS29</f>
        <v>0</v>
      </c>
      <c r="AU27" s="116">
        <f>'P NP KARAMBA IKAN'!AT29</f>
        <v>0</v>
      </c>
      <c r="AV27" s="116">
        <f>'P NP KARAMBA IKAN'!AS30</f>
        <v>0</v>
      </c>
      <c r="AW27" s="116">
        <f>'P NP KARAMBA IKAN'!AT30</f>
        <v>0</v>
      </c>
      <c r="AX27" s="116">
        <f>'P NP KARAMBA IKAN'!AS31</f>
        <v>0</v>
      </c>
      <c r="AY27" s="116">
        <f>'P NP KARAMBA IKAN'!AT31</f>
        <v>0</v>
      </c>
      <c r="AZ27" s="116">
        <f>'P NP KARAMBA IKAN'!AS32</f>
        <v>0</v>
      </c>
      <c r="BA27" s="116">
        <f>'P NP KARAMBA IKAN'!AT32</f>
        <v>0</v>
      </c>
      <c r="BB27" s="116">
        <f>'P NP KARAMBA IKAN'!AS33</f>
        <v>0</v>
      </c>
      <c r="BC27" s="116">
        <f>'P NP KARAMBA IKAN'!AT33</f>
        <v>0</v>
      </c>
      <c r="BD27" s="116">
        <f>'P NP KARAMBA IKAN'!AS34</f>
        <v>0</v>
      </c>
      <c r="BE27" s="116">
        <f>'P NP KARAMBA IKAN'!AT34</f>
        <v>0</v>
      </c>
      <c r="BF27" s="116">
        <f>'P NP KARAMBA IKAN'!AS35</f>
        <v>0</v>
      </c>
      <c r="BG27" s="116">
        <f>'P NP KARAMBA IKAN'!AT35</f>
        <v>0</v>
      </c>
      <c r="BH27" s="116">
        <f>'P NP KARAMBA IKAN'!AS36</f>
        <v>0</v>
      </c>
      <c r="BI27" s="116">
        <f>'P NP KARAMBA IKAN'!AT36</f>
        <v>0</v>
      </c>
      <c r="BJ27" s="116">
        <f>'P NP KARAMBA IKAN'!AS37</f>
        <v>0</v>
      </c>
      <c r="BK27" s="116">
        <f>'P NP KARAMBA IKAN'!AT37</f>
        <v>0</v>
      </c>
      <c r="BL27" s="116">
        <f>'P NP KARAMBA IKAN'!AS38</f>
        <v>0</v>
      </c>
      <c r="BM27" s="116">
        <f>'P NP KARAMBA IKAN'!AT38</f>
        <v>0</v>
      </c>
      <c r="BN27" s="116">
        <f>'P NP KARAMBA IKAN'!AS39</f>
        <v>0</v>
      </c>
      <c r="BO27" s="116">
        <f>'P NP KARAMBA IKAN'!AT39</f>
        <v>0</v>
      </c>
      <c r="BP27" s="116">
        <f>'P NP KARAMBA IKAN'!AS40</f>
        <v>0</v>
      </c>
      <c r="BQ27" s="116">
        <f>'P NP KARAMBA IKAN'!AT40</f>
        <v>0</v>
      </c>
      <c r="BR27" s="116">
        <f>'P NP KARAMBA IKAN'!AS41</f>
        <v>0</v>
      </c>
      <c r="BS27" s="116">
        <f>'P NP KARAMBA IKAN'!AT41</f>
        <v>0</v>
      </c>
      <c r="BT27" s="116">
        <f>'P NP KARAMBA IKAN'!AS42</f>
        <v>0</v>
      </c>
      <c r="BU27" s="116">
        <f>'P NP KARAMBA IKAN'!AT42</f>
        <v>0</v>
      </c>
      <c r="BV27" s="116">
        <f>'P NP KARAMBA IKAN'!AS43</f>
        <v>0</v>
      </c>
      <c r="BW27" s="116">
        <f>'P NP KARAMBA IKAN'!AT43</f>
        <v>0</v>
      </c>
      <c r="BX27" s="116">
        <f>'P NP KARAMBA IKAN'!AS44</f>
        <v>0</v>
      </c>
      <c r="BY27" s="116">
        <f>'P NP KARAMBA IKAN'!AT44</f>
        <v>0</v>
      </c>
    </row>
    <row r="28" spans="1:77">
      <c r="A28" s="260" t="s">
        <v>138</v>
      </c>
      <c r="B28" s="116">
        <f t="shared" si="2"/>
        <v>0</v>
      </c>
      <c r="C28" s="116">
        <f t="shared" si="3"/>
        <v>0</v>
      </c>
      <c r="D28" s="116">
        <f>'P NP KARAMBA IKAN'!AU8</f>
        <v>0</v>
      </c>
      <c r="E28" s="116">
        <f>'P NP KARAMBA IKAN'!AV8</f>
        <v>0</v>
      </c>
      <c r="F28" s="116">
        <f>'P NP KARAMBA IKAN'!AU9</f>
        <v>0</v>
      </c>
      <c r="G28" s="116">
        <f>'P NP KARAMBA IKAN'!AV9</f>
        <v>0</v>
      </c>
      <c r="H28" s="116">
        <f>'P NP KARAMBA IKAN'!AU10</f>
        <v>0</v>
      </c>
      <c r="I28" s="116">
        <f>'P NP KARAMBA IKAN'!AV10</f>
        <v>0</v>
      </c>
      <c r="J28" s="116">
        <f>'P NP KARAMBA IKAN'!AU11</f>
        <v>0</v>
      </c>
      <c r="K28" s="116">
        <f>'P NP KARAMBA IKAN'!AV11</f>
        <v>0</v>
      </c>
      <c r="L28" s="116">
        <f>'P NP KARAMBA IKAN'!AU12</f>
        <v>0</v>
      </c>
      <c r="M28" s="116">
        <f>'P NP KARAMBA IKAN'!AV12</f>
        <v>0</v>
      </c>
      <c r="N28" s="116">
        <f>'P NP KARAMBA IKAN'!AU13</f>
        <v>0</v>
      </c>
      <c r="O28" s="116">
        <f>'P NP KARAMBA IKAN'!AV13</f>
        <v>0</v>
      </c>
      <c r="P28" s="116">
        <f>'P NP KARAMBA IKAN'!AU14</f>
        <v>0</v>
      </c>
      <c r="Q28" s="116">
        <f>'P NP KARAMBA IKAN'!AV14</f>
        <v>0</v>
      </c>
      <c r="R28" s="116">
        <f>'P NP KARAMBA IKAN'!AU15</f>
        <v>0</v>
      </c>
      <c r="S28" s="116">
        <f>'P NP KARAMBA IKAN'!AV15</f>
        <v>0</v>
      </c>
      <c r="T28" s="116">
        <f>'P NP KARAMBA IKAN'!AU16</f>
        <v>0</v>
      </c>
      <c r="U28" s="116">
        <f>'P NP KARAMBA IKAN'!AV16</f>
        <v>0</v>
      </c>
      <c r="V28" s="116">
        <f>'P NP KARAMBA IKAN'!AU17</f>
        <v>0</v>
      </c>
      <c r="W28" s="116">
        <f>'P NP KARAMBA IKAN'!AV17</f>
        <v>0</v>
      </c>
      <c r="X28" s="116">
        <f>'P NP KARAMBA IKAN'!AU18</f>
        <v>0</v>
      </c>
      <c r="Y28" s="116">
        <f>'P NP KARAMBA IKAN'!AV18</f>
        <v>0</v>
      </c>
      <c r="Z28" s="116">
        <f>'P NP KARAMBA IKAN'!AU19</f>
        <v>0</v>
      </c>
      <c r="AA28" s="116">
        <f>'P NP KARAMBA IKAN'!AV19</f>
        <v>0</v>
      </c>
      <c r="AB28" s="116">
        <f>'P NP KARAMBA IKAN'!AU20</f>
        <v>0</v>
      </c>
      <c r="AC28" s="116">
        <f>'P NP KARAMBA IKAN'!AV20</f>
        <v>0</v>
      </c>
      <c r="AD28" s="116">
        <f>'P NP KARAMBA IKAN'!AU21</f>
        <v>0</v>
      </c>
      <c r="AE28" s="116">
        <f>'P NP KARAMBA IKAN'!AV21</f>
        <v>0</v>
      </c>
      <c r="AF28" s="116">
        <f>'P NP KARAMBA IKAN'!AU22</f>
        <v>0</v>
      </c>
      <c r="AG28" s="116">
        <f>'P NP KARAMBA IKAN'!AV22</f>
        <v>0</v>
      </c>
      <c r="AH28" s="116">
        <f>'P NP KARAMBA IKAN'!AU23</f>
        <v>0</v>
      </c>
      <c r="AI28" s="116">
        <f>'P NP KARAMBA IKAN'!AV23</f>
        <v>0</v>
      </c>
      <c r="AJ28" s="116">
        <f>'P NP KARAMBA IKAN'!AU24</f>
        <v>0</v>
      </c>
      <c r="AK28" s="116">
        <f>'P NP KARAMBA IKAN'!AV24</f>
        <v>0</v>
      </c>
      <c r="AL28" s="116">
        <f>'P NP KARAMBA IKAN'!AU25</f>
        <v>0</v>
      </c>
      <c r="AM28" s="116">
        <f>'P NP KARAMBA IKAN'!AV25</f>
        <v>0</v>
      </c>
      <c r="AN28" s="116">
        <f>'P NP KARAMBA IKAN'!AU26</f>
        <v>0</v>
      </c>
      <c r="AO28" s="116">
        <f>'P NP KARAMBA IKAN'!AV26</f>
        <v>0</v>
      </c>
      <c r="AP28" s="116">
        <f>'P NP KARAMBA IKAN'!AU27</f>
        <v>0</v>
      </c>
      <c r="AQ28" s="116">
        <f>'P NP KARAMBA IKAN'!AV27</f>
        <v>0</v>
      </c>
      <c r="AR28" s="116">
        <f>'P NP KARAMBA IKAN'!AU28</f>
        <v>0</v>
      </c>
      <c r="AS28" s="116">
        <f>'P NP KARAMBA IKAN'!AV28</f>
        <v>0</v>
      </c>
      <c r="AT28" s="116">
        <f>'P NP KARAMBA IKAN'!AU29</f>
        <v>0</v>
      </c>
      <c r="AU28" s="116">
        <f>'P NP KARAMBA IKAN'!AV29</f>
        <v>0</v>
      </c>
      <c r="AV28" s="116">
        <f>'P NP KARAMBA IKAN'!AU30</f>
        <v>0</v>
      </c>
      <c r="AW28" s="116">
        <f>'P NP KARAMBA IKAN'!AV30</f>
        <v>0</v>
      </c>
      <c r="AX28" s="116">
        <f>'P NP KARAMBA IKAN'!AU31</f>
        <v>0</v>
      </c>
      <c r="AY28" s="116">
        <f>'P NP KARAMBA IKAN'!AV31</f>
        <v>0</v>
      </c>
      <c r="AZ28" s="116">
        <f>'P NP KARAMBA IKAN'!AU32</f>
        <v>0</v>
      </c>
      <c r="BA28" s="116">
        <f>'P NP KARAMBA IKAN'!AV32</f>
        <v>0</v>
      </c>
      <c r="BB28" s="116">
        <f>'P NP KARAMBA IKAN'!AU33</f>
        <v>0</v>
      </c>
      <c r="BC28" s="116">
        <f>'P NP KARAMBA IKAN'!AV33</f>
        <v>0</v>
      </c>
      <c r="BD28" s="116">
        <f>'P NP KARAMBA IKAN'!AU34</f>
        <v>0</v>
      </c>
      <c r="BE28" s="116">
        <f>'P NP KARAMBA IKAN'!AV34</f>
        <v>0</v>
      </c>
      <c r="BF28" s="116">
        <f>'P NP KARAMBA IKAN'!AU35</f>
        <v>0</v>
      </c>
      <c r="BG28" s="116">
        <f>'P NP KARAMBA IKAN'!AV35</f>
        <v>0</v>
      </c>
      <c r="BH28" s="116">
        <f>'P NP KARAMBA IKAN'!AU36</f>
        <v>0</v>
      </c>
      <c r="BI28" s="116">
        <f>'P NP KARAMBA IKAN'!AV36</f>
        <v>0</v>
      </c>
      <c r="BJ28" s="116">
        <f>'P NP KARAMBA IKAN'!AU37</f>
        <v>0</v>
      </c>
      <c r="BK28" s="116">
        <f>'P NP KARAMBA IKAN'!AV37</f>
        <v>0</v>
      </c>
      <c r="BL28" s="116">
        <f>'P NP KARAMBA IKAN'!AU38</f>
        <v>0</v>
      </c>
      <c r="BM28" s="116">
        <f>'P NP KARAMBA IKAN'!AV38</f>
        <v>0</v>
      </c>
      <c r="BN28" s="116">
        <f>'P NP KARAMBA IKAN'!AU39</f>
        <v>0</v>
      </c>
      <c r="BO28" s="116">
        <f>'P NP KARAMBA IKAN'!AV39</f>
        <v>0</v>
      </c>
      <c r="BP28" s="116">
        <f>'P NP KARAMBA IKAN'!AU40</f>
        <v>0</v>
      </c>
      <c r="BQ28" s="116">
        <f>'P NP KARAMBA IKAN'!AV40</f>
        <v>0</v>
      </c>
      <c r="BR28" s="116">
        <f>'P NP KARAMBA IKAN'!AU41</f>
        <v>0</v>
      </c>
      <c r="BS28" s="116">
        <f>'P NP KARAMBA IKAN'!AV41</f>
        <v>0</v>
      </c>
      <c r="BT28" s="116">
        <f>'P NP KARAMBA IKAN'!AU42</f>
        <v>0</v>
      </c>
      <c r="BU28" s="116">
        <f>'P NP KARAMBA IKAN'!AV42</f>
        <v>0</v>
      </c>
      <c r="BV28" s="116">
        <f>'P NP KARAMBA IKAN'!AU43</f>
        <v>0</v>
      </c>
      <c r="BW28" s="116">
        <f>'P NP KARAMBA IKAN'!AV43</f>
        <v>0</v>
      </c>
      <c r="BX28" s="116">
        <f>'P NP KARAMBA IKAN'!AU44</f>
        <v>0</v>
      </c>
      <c r="BY28" s="116">
        <f>'P NP KARAMBA IKAN'!AV44</f>
        <v>0</v>
      </c>
    </row>
    <row r="29" spans="1:77">
      <c r="A29" s="260" t="s">
        <v>126</v>
      </c>
      <c r="B29" s="116">
        <f t="shared" si="2"/>
        <v>312620</v>
      </c>
      <c r="C29" s="116">
        <f t="shared" si="3"/>
        <v>5690196</v>
      </c>
      <c r="D29" s="116">
        <f>'P NP KARAMBA IKAN'!AW8</f>
        <v>0</v>
      </c>
      <c r="E29" s="116">
        <f>'P NP KARAMBA IKAN'!AX8</f>
        <v>0</v>
      </c>
      <c r="F29" s="116">
        <f>'P NP KARAMBA IKAN'!AW9</f>
        <v>1388</v>
      </c>
      <c r="G29" s="116">
        <f>'P NP KARAMBA IKAN'!AX9</f>
        <v>24984</v>
      </c>
      <c r="H29" s="116">
        <f>'P NP KARAMBA IKAN'!AW10</f>
        <v>0</v>
      </c>
      <c r="I29" s="116">
        <f>'P NP KARAMBA IKAN'!AX10</f>
        <v>0</v>
      </c>
      <c r="J29" s="116">
        <f>'P NP KARAMBA IKAN'!AW11</f>
        <v>0</v>
      </c>
      <c r="K29" s="116">
        <f>'P NP KARAMBA IKAN'!AX11</f>
        <v>0</v>
      </c>
      <c r="L29" s="116">
        <f>'P NP KARAMBA IKAN'!AW12</f>
        <v>0</v>
      </c>
      <c r="M29" s="116">
        <f>'P NP KARAMBA IKAN'!AX12</f>
        <v>0</v>
      </c>
      <c r="N29" s="116">
        <f>'P NP KARAMBA IKAN'!AW13</f>
        <v>0</v>
      </c>
      <c r="O29" s="116">
        <f>'P NP KARAMBA IKAN'!AX13</f>
        <v>0</v>
      </c>
      <c r="P29" s="116">
        <f>'P NP KARAMBA IKAN'!AW14</f>
        <v>8400</v>
      </c>
      <c r="Q29" s="116">
        <f>'P NP KARAMBA IKAN'!AX14</f>
        <v>235200</v>
      </c>
      <c r="R29" s="116">
        <f>'P NP KARAMBA IKAN'!AW15</f>
        <v>0</v>
      </c>
      <c r="S29" s="116">
        <f>'P NP KARAMBA IKAN'!AX15</f>
        <v>0</v>
      </c>
      <c r="T29" s="116">
        <f>'P NP KARAMBA IKAN'!AW16</f>
        <v>0</v>
      </c>
      <c r="U29" s="116">
        <f>'P NP KARAMBA IKAN'!AX16</f>
        <v>0</v>
      </c>
      <c r="V29" s="116">
        <f>'P NP KARAMBA IKAN'!AW17</f>
        <v>0</v>
      </c>
      <c r="W29" s="116">
        <f>'P NP KARAMBA IKAN'!AX17</f>
        <v>0</v>
      </c>
      <c r="X29" s="116">
        <f>'P NP KARAMBA IKAN'!AW18</f>
        <v>0</v>
      </c>
      <c r="Y29" s="116">
        <f>'P NP KARAMBA IKAN'!AX18</f>
        <v>0</v>
      </c>
      <c r="Z29" s="116">
        <f>'P NP KARAMBA IKAN'!AW19</f>
        <v>0</v>
      </c>
      <c r="AA29" s="116">
        <f>'P NP KARAMBA IKAN'!AX19</f>
        <v>0</v>
      </c>
      <c r="AB29" s="116">
        <f>'P NP KARAMBA IKAN'!AW20</f>
        <v>0</v>
      </c>
      <c r="AC29" s="116">
        <f>'P NP KARAMBA IKAN'!AX20</f>
        <v>0</v>
      </c>
      <c r="AD29" s="116">
        <f>'P NP KARAMBA IKAN'!AW21</f>
        <v>8530</v>
      </c>
      <c r="AE29" s="116">
        <f>'P NP KARAMBA IKAN'!AX21</f>
        <v>136480</v>
      </c>
      <c r="AF29" s="116">
        <f>'P NP KARAMBA IKAN'!AW22</f>
        <v>0</v>
      </c>
      <c r="AG29" s="116">
        <f>'P NP KARAMBA IKAN'!AX22</f>
        <v>0</v>
      </c>
      <c r="AH29" s="116">
        <f>'P NP KARAMBA IKAN'!AW23</f>
        <v>0</v>
      </c>
      <c r="AI29" s="116">
        <f>'P NP KARAMBA IKAN'!AX23</f>
        <v>0</v>
      </c>
      <c r="AJ29" s="116">
        <f>'P NP KARAMBA IKAN'!AW24</f>
        <v>0</v>
      </c>
      <c r="AK29" s="116">
        <f>'P NP KARAMBA IKAN'!AX24</f>
        <v>0</v>
      </c>
      <c r="AL29" s="116">
        <f>'P NP KARAMBA IKAN'!AW25</f>
        <v>0</v>
      </c>
      <c r="AM29" s="116">
        <f>'P NP KARAMBA IKAN'!AX25</f>
        <v>0</v>
      </c>
      <c r="AN29" s="116">
        <f>'P NP KARAMBA IKAN'!AW26</f>
        <v>49350</v>
      </c>
      <c r="AO29" s="116">
        <f>'P NP KARAMBA IKAN'!AX26</f>
        <v>888300</v>
      </c>
      <c r="AP29" s="116">
        <f>'P NP KARAMBA IKAN'!AW27</f>
        <v>243000</v>
      </c>
      <c r="AQ29" s="116">
        <f>'P NP KARAMBA IKAN'!AX27</f>
        <v>4374000</v>
      </c>
      <c r="AR29" s="116">
        <f>'P NP KARAMBA IKAN'!AW28</f>
        <v>0</v>
      </c>
      <c r="AS29" s="116">
        <f>'P NP KARAMBA IKAN'!AX28</f>
        <v>0</v>
      </c>
      <c r="AT29" s="116">
        <f>'P NP KARAMBA IKAN'!AW29</f>
        <v>1952</v>
      </c>
      <c r="AU29" s="116">
        <f>'P NP KARAMBA IKAN'!AX29</f>
        <v>31232</v>
      </c>
      <c r="AV29" s="116">
        <f>'P NP KARAMBA IKAN'!AW30</f>
        <v>0</v>
      </c>
      <c r="AW29" s="116">
        <f>'P NP KARAMBA IKAN'!AX30</f>
        <v>0</v>
      </c>
      <c r="AX29" s="116">
        <f>'P NP KARAMBA IKAN'!AW31</f>
        <v>0</v>
      </c>
      <c r="AY29" s="116">
        <f>'P NP KARAMBA IKAN'!AX31</f>
        <v>0</v>
      </c>
      <c r="AZ29" s="116">
        <f>'P NP KARAMBA IKAN'!AW32</f>
        <v>0</v>
      </c>
      <c r="BA29" s="116">
        <f>'P NP KARAMBA IKAN'!AX32</f>
        <v>0</v>
      </c>
      <c r="BB29" s="116">
        <f>'P NP KARAMBA IKAN'!AW33</f>
        <v>0</v>
      </c>
      <c r="BC29" s="116">
        <f>'P NP KARAMBA IKAN'!AX33</f>
        <v>0</v>
      </c>
      <c r="BD29" s="116">
        <f>'P NP KARAMBA IKAN'!AW34</f>
        <v>0</v>
      </c>
      <c r="BE29" s="116">
        <f>'P NP KARAMBA IKAN'!AX34</f>
        <v>0</v>
      </c>
      <c r="BF29" s="116">
        <f>'P NP KARAMBA IKAN'!AW35</f>
        <v>0</v>
      </c>
      <c r="BG29" s="116">
        <f>'P NP KARAMBA IKAN'!AX35</f>
        <v>0</v>
      </c>
      <c r="BH29" s="116">
        <f>'P NP KARAMBA IKAN'!AW36</f>
        <v>0</v>
      </c>
      <c r="BI29" s="116">
        <f>'P NP KARAMBA IKAN'!AX36</f>
        <v>0</v>
      </c>
      <c r="BJ29" s="116">
        <f>'P NP KARAMBA IKAN'!AW37</f>
        <v>0</v>
      </c>
      <c r="BK29" s="116">
        <f>'P NP KARAMBA IKAN'!AX37</f>
        <v>0</v>
      </c>
      <c r="BL29" s="116">
        <f>'P NP KARAMBA IKAN'!AW38</f>
        <v>0</v>
      </c>
      <c r="BM29" s="116">
        <f>'P NP KARAMBA IKAN'!AX38</f>
        <v>0</v>
      </c>
      <c r="BN29" s="116">
        <f>'P NP KARAMBA IKAN'!AW39</f>
        <v>0</v>
      </c>
      <c r="BO29" s="116">
        <f>'P NP KARAMBA IKAN'!AX39</f>
        <v>0</v>
      </c>
      <c r="BP29" s="116">
        <f>'P NP KARAMBA IKAN'!AW40</f>
        <v>0</v>
      </c>
      <c r="BQ29" s="116">
        <f>'P NP KARAMBA IKAN'!AX40</f>
        <v>0</v>
      </c>
      <c r="BR29" s="116">
        <f>'P NP KARAMBA IKAN'!AW41</f>
        <v>0</v>
      </c>
      <c r="BS29" s="116">
        <f>'P NP KARAMBA IKAN'!AX41</f>
        <v>0</v>
      </c>
      <c r="BT29" s="116">
        <f>'P NP KARAMBA IKAN'!AW42</f>
        <v>0</v>
      </c>
      <c r="BU29" s="116">
        <f>'P NP KARAMBA IKAN'!AX42</f>
        <v>0</v>
      </c>
      <c r="BV29" s="116">
        <f>'P NP KARAMBA IKAN'!AW43</f>
        <v>0</v>
      </c>
      <c r="BW29" s="116">
        <f>'P NP KARAMBA IKAN'!AX43</f>
        <v>0</v>
      </c>
      <c r="BX29" s="116">
        <f>'P NP KARAMBA IKAN'!AW44</f>
        <v>0</v>
      </c>
      <c r="BY29" s="116">
        <f>'P NP KARAMBA IKAN'!AX44</f>
        <v>0</v>
      </c>
    </row>
    <row r="30" spans="1:77">
      <c r="A30" s="260" t="s">
        <v>123</v>
      </c>
      <c r="B30" s="116">
        <f t="shared" si="2"/>
        <v>0</v>
      </c>
      <c r="C30" s="116">
        <f t="shared" si="3"/>
        <v>0</v>
      </c>
      <c r="D30" s="116">
        <f>'P NP KARAMBA IKAN'!AY8</f>
        <v>0</v>
      </c>
      <c r="E30" s="116">
        <f>'P NP KARAMBA IKAN'!AZ8</f>
        <v>0</v>
      </c>
      <c r="F30" s="116">
        <f>'P NP KARAMBA IKAN'!AY9</f>
        <v>0</v>
      </c>
      <c r="G30" s="116">
        <f>'P NP KARAMBA IKAN'!AZ9</f>
        <v>0</v>
      </c>
      <c r="H30" s="116">
        <f>'P NP KARAMBA IKAN'!AY10</f>
        <v>0</v>
      </c>
      <c r="I30" s="116">
        <f>'P NP KARAMBA IKAN'!AZ10</f>
        <v>0</v>
      </c>
      <c r="J30" s="116">
        <f>'P NP KARAMBA IKAN'!AY11</f>
        <v>0</v>
      </c>
      <c r="K30" s="116">
        <f>'P NP KARAMBA IKAN'!AZ11</f>
        <v>0</v>
      </c>
      <c r="L30" s="116">
        <f>'P NP KARAMBA IKAN'!AY12</f>
        <v>0</v>
      </c>
      <c r="M30" s="116">
        <f>'P NP KARAMBA IKAN'!AZ12</f>
        <v>0</v>
      </c>
      <c r="N30" s="116">
        <f>'P NP KARAMBA IKAN'!AY13</f>
        <v>0</v>
      </c>
      <c r="O30" s="116">
        <f>'P NP KARAMBA IKAN'!AZ13</f>
        <v>0</v>
      </c>
      <c r="P30" s="116">
        <f>'P NP KARAMBA IKAN'!AY14</f>
        <v>0</v>
      </c>
      <c r="Q30" s="116">
        <f>'P NP KARAMBA IKAN'!AZ14</f>
        <v>0</v>
      </c>
      <c r="R30" s="116">
        <f>'P NP KARAMBA IKAN'!AY15</f>
        <v>0</v>
      </c>
      <c r="S30" s="116">
        <f>'P NP KARAMBA IKAN'!AZ15</f>
        <v>0</v>
      </c>
      <c r="T30" s="116">
        <f>'P NP KARAMBA IKAN'!AY16</f>
        <v>0</v>
      </c>
      <c r="U30" s="116">
        <f>'P NP KARAMBA IKAN'!AZ16</f>
        <v>0</v>
      </c>
      <c r="V30" s="116">
        <f>'P NP KARAMBA IKAN'!AY17</f>
        <v>0</v>
      </c>
      <c r="W30" s="116">
        <f>'P NP KARAMBA IKAN'!AZ17</f>
        <v>0</v>
      </c>
      <c r="X30" s="116">
        <f>'P NP KARAMBA IKAN'!AY18</f>
        <v>0</v>
      </c>
      <c r="Y30" s="116">
        <f>'P NP KARAMBA IKAN'!AZ18</f>
        <v>0</v>
      </c>
      <c r="Z30" s="116">
        <f>'P NP KARAMBA IKAN'!AY19</f>
        <v>0</v>
      </c>
      <c r="AA30" s="116">
        <f>'P NP KARAMBA IKAN'!AZ19</f>
        <v>0</v>
      </c>
      <c r="AB30" s="116">
        <f>'P NP KARAMBA IKAN'!AY20</f>
        <v>0</v>
      </c>
      <c r="AC30" s="116">
        <f>'P NP KARAMBA IKAN'!AZ20</f>
        <v>0</v>
      </c>
      <c r="AD30" s="116">
        <f>'P NP KARAMBA IKAN'!AY21</f>
        <v>0</v>
      </c>
      <c r="AE30" s="116">
        <f>'P NP KARAMBA IKAN'!AZ21</f>
        <v>0</v>
      </c>
      <c r="AF30" s="116">
        <f>'P NP KARAMBA IKAN'!AY22</f>
        <v>0</v>
      </c>
      <c r="AG30" s="116">
        <f>'P NP KARAMBA IKAN'!AZ22</f>
        <v>0</v>
      </c>
      <c r="AH30" s="116">
        <f>'P NP KARAMBA IKAN'!AY23</f>
        <v>0</v>
      </c>
      <c r="AI30" s="116">
        <f>'P NP KARAMBA IKAN'!AZ23</f>
        <v>0</v>
      </c>
      <c r="AJ30" s="116">
        <f>'P NP KARAMBA IKAN'!AY24</f>
        <v>0</v>
      </c>
      <c r="AK30" s="116">
        <f>'P NP KARAMBA IKAN'!AZ24</f>
        <v>0</v>
      </c>
      <c r="AL30" s="116">
        <f>'P NP KARAMBA IKAN'!AY25</f>
        <v>0</v>
      </c>
      <c r="AM30" s="116">
        <f>'P NP KARAMBA IKAN'!AZ25</f>
        <v>0</v>
      </c>
      <c r="AN30" s="116">
        <f>'P NP KARAMBA IKAN'!AY26</f>
        <v>0</v>
      </c>
      <c r="AO30" s="116">
        <f>'P NP KARAMBA IKAN'!AZ26</f>
        <v>0</v>
      </c>
      <c r="AP30" s="116">
        <f>'P NP KARAMBA IKAN'!AY27</f>
        <v>0</v>
      </c>
      <c r="AQ30" s="116">
        <f>'P NP KARAMBA IKAN'!AZ27</f>
        <v>0</v>
      </c>
      <c r="AR30" s="116">
        <f>'P NP KARAMBA IKAN'!AY28</f>
        <v>0</v>
      </c>
      <c r="AS30" s="116">
        <f>'P NP KARAMBA IKAN'!AZ28</f>
        <v>0</v>
      </c>
      <c r="AT30" s="116">
        <f>'P NP KARAMBA IKAN'!AY29</f>
        <v>0</v>
      </c>
      <c r="AU30" s="116">
        <f>'P NP KARAMBA IKAN'!AZ29</f>
        <v>0</v>
      </c>
      <c r="AV30" s="116">
        <f>'P NP KARAMBA IKAN'!AY30</f>
        <v>0</v>
      </c>
      <c r="AW30" s="116">
        <f>'P NP KARAMBA IKAN'!AZ30</f>
        <v>0</v>
      </c>
      <c r="AX30" s="116">
        <f>'P NP KARAMBA IKAN'!AY31</f>
        <v>0</v>
      </c>
      <c r="AY30" s="116">
        <f>'P NP KARAMBA IKAN'!AZ31</f>
        <v>0</v>
      </c>
      <c r="AZ30" s="116">
        <f>'P NP KARAMBA IKAN'!AY32</f>
        <v>0</v>
      </c>
      <c r="BA30" s="116">
        <f>'P NP KARAMBA IKAN'!AZ32</f>
        <v>0</v>
      </c>
      <c r="BB30" s="116">
        <f>'P NP KARAMBA IKAN'!AY33</f>
        <v>0</v>
      </c>
      <c r="BC30" s="116">
        <f>'P NP KARAMBA IKAN'!AZ33</f>
        <v>0</v>
      </c>
      <c r="BD30" s="116">
        <f>'P NP KARAMBA IKAN'!AY34</f>
        <v>0</v>
      </c>
      <c r="BE30" s="116">
        <f>'P NP KARAMBA IKAN'!AZ34</f>
        <v>0</v>
      </c>
      <c r="BF30" s="116">
        <f>'P NP KARAMBA IKAN'!AY35</f>
        <v>0</v>
      </c>
      <c r="BG30" s="116">
        <f>'P NP KARAMBA IKAN'!AZ35</f>
        <v>0</v>
      </c>
      <c r="BH30" s="116">
        <f>'P NP KARAMBA IKAN'!AY36</f>
        <v>0</v>
      </c>
      <c r="BI30" s="116">
        <f>'P NP KARAMBA IKAN'!AZ36</f>
        <v>0</v>
      </c>
      <c r="BJ30" s="116">
        <f>'P NP KARAMBA IKAN'!AY37</f>
        <v>0</v>
      </c>
      <c r="BK30" s="116">
        <f>'P NP KARAMBA IKAN'!AZ37</f>
        <v>0</v>
      </c>
      <c r="BL30" s="116">
        <f>'P NP KARAMBA IKAN'!AY38</f>
        <v>0</v>
      </c>
      <c r="BM30" s="116">
        <f>'P NP KARAMBA IKAN'!AZ38</f>
        <v>0</v>
      </c>
      <c r="BN30" s="116">
        <f>'P NP KARAMBA IKAN'!AY39</f>
        <v>0</v>
      </c>
      <c r="BO30" s="116">
        <f>'P NP KARAMBA IKAN'!AZ39</f>
        <v>0</v>
      </c>
      <c r="BP30" s="116">
        <f>'P NP KARAMBA IKAN'!AY40</f>
        <v>0</v>
      </c>
      <c r="BQ30" s="116">
        <f>'P NP KARAMBA IKAN'!AZ40</f>
        <v>0</v>
      </c>
      <c r="BR30" s="116">
        <f>'P NP KARAMBA IKAN'!AY41</f>
        <v>0</v>
      </c>
      <c r="BS30" s="116">
        <f>'P NP KARAMBA IKAN'!AZ41</f>
        <v>0</v>
      </c>
      <c r="BT30" s="116">
        <f>'P NP KARAMBA IKAN'!AY42</f>
        <v>0</v>
      </c>
      <c r="BU30" s="116">
        <f>'P NP KARAMBA IKAN'!AZ42</f>
        <v>0</v>
      </c>
      <c r="BV30" s="116">
        <f>'P NP KARAMBA IKAN'!AY43</f>
        <v>0</v>
      </c>
      <c r="BW30" s="116">
        <f>'P NP KARAMBA IKAN'!AZ43</f>
        <v>0</v>
      </c>
      <c r="BX30" s="116">
        <f>'P NP KARAMBA IKAN'!AY44</f>
        <v>0</v>
      </c>
      <c r="BY30" s="116">
        <f>'P NP KARAMBA IKAN'!AZ44</f>
        <v>0</v>
      </c>
    </row>
    <row r="31" spans="1:77">
      <c r="A31" s="260" t="s">
        <v>140</v>
      </c>
      <c r="B31" s="116">
        <f t="shared" si="2"/>
        <v>0</v>
      </c>
      <c r="C31" s="116">
        <f t="shared" si="3"/>
        <v>0</v>
      </c>
      <c r="D31" s="116">
        <f>'P NP KARAMBA IKAN'!BA8</f>
        <v>0</v>
      </c>
      <c r="E31" s="116">
        <f>'P NP KARAMBA IKAN'!BB8</f>
        <v>0</v>
      </c>
      <c r="F31" s="116">
        <f>'P NP KARAMBA IKAN'!BA9</f>
        <v>0</v>
      </c>
      <c r="G31" s="116">
        <f>'P NP KARAMBA IKAN'!BB9</f>
        <v>0</v>
      </c>
      <c r="H31" s="116">
        <f>'P NP KARAMBA IKAN'!BA10</f>
        <v>0</v>
      </c>
      <c r="I31" s="116">
        <f>'P NP KARAMBA IKAN'!BB10</f>
        <v>0</v>
      </c>
      <c r="J31" s="116">
        <f>'P NP KARAMBA IKAN'!BA11</f>
        <v>0</v>
      </c>
      <c r="K31" s="116">
        <f>'P NP KARAMBA IKAN'!BB11</f>
        <v>0</v>
      </c>
      <c r="L31" s="116">
        <f>'P NP KARAMBA IKAN'!BA12</f>
        <v>0</v>
      </c>
      <c r="M31" s="116">
        <f>'P NP KARAMBA IKAN'!BB12</f>
        <v>0</v>
      </c>
      <c r="N31" s="116">
        <f>'P NP KARAMBA IKAN'!BA13</f>
        <v>0</v>
      </c>
      <c r="O31" s="116">
        <f>'P NP KARAMBA IKAN'!BB13</f>
        <v>0</v>
      </c>
      <c r="P31" s="116">
        <f>'P NP KARAMBA IKAN'!BA14</f>
        <v>0</v>
      </c>
      <c r="Q31" s="116">
        <f>'P NP KARAMBA IKAN'!BB14</f>
        <v>0</v>
      </c>
      <c r="R31" s="116">
        <f>'P NP KARAMBA IKAN'!BA15</f>
        <v>0</v>
      </c>
      <c r="S31" s="116">
        <f>'P NP KARAMBA IKAN'!BB15</f>
        <v>0</v>
      </c>
      <c r="T31" s="116">
        <f>'P NP KARAMBA IKAN'!BA16</f>
        <v>0</v>
      </c>
      <c r="U31" s="116">
        <f>'P NP KARAMBA IKAN'!BB16</f>
        <v>0</v>
      </c>
      <c r="V31" s="116">
        <f>'P NP KARAMBA IKAN'!BA17</f>
        <v>0</v>
      </c>
      <c r="W31" s="116">
        <f>'P NP KARAMBA IKAN'!BB17</f>
        <v>0</v>
      </c>
      <c r="X31" s="116">
        <f>'P NP KARAMBA IKAN'!BA18</f>
        <v>0</v>
      </c>
      <c r="Y31" s="116">
        <f>'P NP KARAMBA IKAN'!BB18</f>
        <v>0</v>
      </c>
      <c r="Z31" s="116">
        <f>'P NP KARAMBA IKAN'!BA19</f>
        <v>0</v>
      </c>
      <c r="AA31" s="116">
        <f>'P NP KARAMBA IKAN'!BB19</f>
        <v>0</v>
      </c>
      <c r="AB31" s="116">
        <f>'P NP KARAMBA IKAN'!BA20</f>
        <v>0</v>
      </c>
      <c r="AC31" s="116">
        <f>'P NP KARAMBA IKAN'!BB20</f>
        <v>0</v>
      </c>
      <c r="AD31" s="116">
        <f>'P NP KARAMBA IKAN'!BA21</f>
        <v>0</v>
      </c>
      <c r="AE31" s="116">
        <f>'P NP KARAMBA IKAN'!BB21</f>
        <v>0</v>
      </c>
      <c r="AF31" s="116">
        <f>'P NP KARAMBA IKAN'!BA22</f>
        <v>0</v>
      </c>
      <c r="AG31" s="116">
        <f>'P NP KARAMBA IKAN'!BB22</f>
        <v>0</v>
      </c>
      <c r="AH31" s="116">
        <f>'P NP KARAMBA IKAN'!BA23</f>
        <v>0</v>
      </c>
      <c r="AI31" s="116">
        <f>'P NP KARAMBA IKAN'!BB23</f>
        <v>0</v>
      </c>
      <c r="AJ31" s="116">
        <f>'P NP KARAMBA IKAN'!BA24</f>
        <v>0</v>
      </c>
      <c r="AK31" s="116">
        <f>'P NP KARAMBA IKAN'!BB24</f>
        <v>0</v>
      </c>
      <c r="AL31" s="116">
        <f>'P NP KARAMBA IKAN'!BA25</f>
        <v>0</v>
      </c>
      <c r="AM31" s="116">
        <f>'P NP KARAMBA IKAN'!BB25</f>
        <v>0</v>
      </c>
      <c r="AN31" s="116">
        <f>'P NP KARAMBA IKAN'!BA26</f>
        <v>0</v>
      </c>
      <c r="AO31" s="116">
        <f>'P NP KARAMBA IKAN'!BB26</f>
        <v>0</v>
      </c>
      <c r="AP31" s="116">
        <f>'P NP KARAMBA IKAN'!BA27</f>
        <v>0</v>
      </c>
      <c r="AQ31" s="116">
        <f>'P NP KARAMBA IKAN'!BB27</f>
        <v>0</v>
      </c>
      <c r="AR31" s="116">
        <f>'P NP KARAMBA IKAN'!BA28</f>
        <v>0</v>
      </c>
      <c r="AS31" s="116">
        <f>'P NP KARAMBA IKAN'!BB28</f>
        <v>0</v>
      </c>
      <c r="AT31" s="116">
        <f>'P NP KARAMBA IKAN'!BA29</f>
        <v>0</v>
      </c>
      <c r="AU31" s="116">
        <f>'P NP KARAMBA IKAN'!BB29</f>
        <v>0</v>
      </c>
      <c r="AV31" s="116">
        <f>'P NP KARAMBA IKAN'!BA30</f>
        <v>0</v>
      </c>
      <c r="AW31" s="116">
        <f>'P NP KARAMBA IKAN'!BB30</f>
        <v>0</v>
      </c>
      <c r="AX31" s="116">
        <f>'P NP KARAMBA IKAN'!BA31</f>
        <v>0</v>
      </c>
      <c r="AY31" s="116">
        <f>'P NP KARAMBA IKAN'!BB31</f>
        <v>0</v>
      </c>
      <c r="AZ31" s="116">
        <f>'P NP KARAMBA IKAN'!BA32</f>
        <v>0</v>
      </c>
      <c r="BA31" s="116">
        <f>'P NP KARAMBA IKAN'!BB32</f>
        <v>0</v>
      </c>
      <c r="BB31" s="116">
        <f>'P NP KARAMBA IKAN'!BA33</f>
        <v>0</v>
      </c>
      <c r="BC31" s="116">
        <f>'P NP KARAMBA IKAN'!BB33</f>
        <v>0</v>
      </c>
      <c r="BD31" s="116">
        <f>'P NP KARAMBA IKAN'!BA34</f>
        <v>0</v>
      </c>
      <c r="BE31" s="116">
        <f>'P NP KARAMBA IKAN'!BB34</f>
        <v>0</v>
      </c>
      <c r="BF31" s="116">
        <f>'P NP KARAMBA IKAN'!BA35</f>
        <v>0</v>
      </c>
      <c r="BG31" s="116">
        <f>'P NP KARAMBA IKAN'!BB35</f>
        <v>0</v>
      </c>
      <c r="BH31" s="116">
        <f>'P NP KARAMBA IKAN'!BA36</f>
        <v>0</v>
      </c>
      <c r="BI31" s="116">
        <f>'P NP KARAMBA IKAN'!BB36</f>
        <v>0</v>
      </c>
      <c r="BJ31" s="116">
        <f>'P NP KARAMBA IKAN'!BA37</f>
        <v>0</v>
      </c>
      <c r="BK31" s="116">
        <f>'P NP KARAMBA IKAN'!BB37</f>
        <v>0</v>
      </c>
      <c r="BL31" s="116">
        <f>'P NP KARAMBA IKAN'!BA38</f>
        <v>0</v>
      </c>
      <c r="BM31" s="116">
        <f>'P NP KARAMBA IKAN'!BB38</f>
        <v>0</v>
      </c>
      <c r="BN31" s="116">
        <f>'P NP KARAMBA IKAN'!BA39</f>
        <v>0</v>
      </c>
      <c r="BO31" s="116">
        <f>'P NP KARAMBA IKAN'!BB39</f>
        <v>0</v>
      </c>
      <c r="BP31" s="116">
        <f>'P NP KARAMBA IKAN'!BA40</f>
        <v>0</v>
      </c>
      <c r="BQ31" s="116">
        <f>'P NP KARAMBA IKAN'!BB40</f>
        <v>0</v>
      </c>
      <c r="BR31" s="116">
        <f>'P NP KARAMBA IKAN'!BA41</f>
        <v>0</v>
      </c>
      <c r="BS31" s="116">
        <f>'P NP KARAMBA IKAN'!BB41</f>
        <v>0</v>
      </c>
      <c r="BT31" s="116">
        <f>'P NP KARAMBA IKAN'!BA42</f>
        <v>0</v>
      </c>
      <c r="BU31" s="116">
        <f>'P NP KARAMBA IKAN'!BB42</f>
        <v>0</v>
      </c>
      <c r="BV31" s="116">
        <f>'P NP KARAMBA IKAN'!BA43</f>
        <v>0</v>
      </c>
      <c r="BW31" s="116">
        <f>'P NP KARAMBA IKAN'!BB43</f>
        <v>0</v>
      </c>
      <c r="BX31" s="116">
        <f>'P NP KARAMBA IKAN'!BA44</f>
        <v>0</v>
      </c>
      <c r="BY31" s="116">
        <f>'P NP KARAMBA IKAN'!BB44</f>
        <v>0</v>
      </c>
    </row>
    <row r="32" spans="1:77">
      <c r="A32" s="260" t="s">
        <v>114</v>
      </c>
      <c r="B32" s="116">
        <f t="shared" si="2"/>
        <v>0</v>
      </c>
      <c r="C32" s="116">
        <f t="shared" si="3"/>
        <v>0</v>
      </c>
      <c r="D32" s="116">
        <f>'P NP KARAMBA IKAN'!BC8</f>
        <v>0</v>
      </c>
      <c r="E32" s="116">
        <f>'P NP KARAMBA IKAN'!BD8</f>
        <v>0</v>
      </c>
      <c r="F32" s="116">
        <f>'P NP KARAMBA IKAN'!BC9</f>
        <v>0</v>
      </c>
      <c r="G32" s="116">
        <f>'P NP KARAMBA IKAN'!BD9</f>
        <v>0</v>
      </c>
      <c r="H32" s="116">
        <f>'P NP KARAMBA IKAN'!BC10</f>
        <v>0</v>
      </c>
      <c r="I32" s="116">
        <f>'P NP KARAMBA IKAN'!BD10</f>
        <v>0</v>
      </c>
      <c r="J32" s="116">
        <f>'P NP KARAMBA IKAN'!BC11</f>
        <v>0</v>
      </c>
      <c r="K32" s="116">
        <f>'P NP KARAMBA IKAN'!BD11</f>
        <v>0</v>
      </c>
      <c r="L32" s="116">
        <f>'P NP KARAMBA IKAN'!BC12</f>
        <v>0</v>
      </c>
      <c r="M32" s="116">
        <f>'P NP KARAMBA IKAN'!BD12</f>
        <v>0</v>
      </c>
      <c r="N32" s="116">
        <f>'P NP KARAMBA IKAN'!BC13</f>
        <v>0</v>
      </c>
      <c r="O32" s="116">
        <f>'P NP KARAMBA IKAN'!BD13</f>
        <v>0</v>
      </c>
      <c r="P32" s="116">
        <f>'P NP KARAMBA IKAN'!BC14</f>
        <v>0</v>
      </c>
      <c r="Q32" s="116">
        <f>'P NP KARAMBA IKAN'!BD14</f>
        <v>0</v>
      </c>
      <c r="R32" s="116">
        <f>'P NP KARAMBA IKAN'!BC15</f>
        <v>0</v>
      </c>
      <c r="S32" s="116">
        <f>'P NP KARAMBA IKAN'!BD15</f>
        <v>0</v>
      </c>
      <c r="T32" s="116">
        <f>'P NP KARAMBA IKAN'!BC16</f>
        <v>0</v>
      </c>
      <c r="U32" s="116">
        <f>'P NP KARAMBA IKAN'!BD16</f>
        <v>0</v>
      </c>
      <c r="V32" s="116">
        <f>'P NP KARAMBA IKAN'!BC17</f>
        <v>0</v>
      </c>
      <c r="W32" s="116">
        <f>'P NP KARAMBA IKAN'!BD17</f>
        <v>0</v>
      </c>
      <c r="X32" s="116">
        <f>'P NP KARAMBA IKAN'!BC18</f>
        <v>0</v>
      </c>
      <c r="Y32" s="116">
        <f>'P NP KARAMBA IKAN'!BD18</f>
        <v>0</v>
      </c>
      <c r="Z32" s="116">
        <f>'P NP KARAMBA IKAN'!BC19</f>
        <v>0</v>
      </c>
      <c r="AA32" s="116">
        <f>'P NP KARAMBA IKAN'!BD19</f>
        <v>0</v>
      </c>
      <c r="AB32" s="116">
        <f>'P NP KARAMBA IKAN'!BC20</f>
        <v>0</v>
      </c>
      <c r="AC32" s="116">
        <f>'P NP KARAMBA IKAN'!BD20</f>
        <v>0</v>
      </c>
      <c r="AD32" s="116">
        <f>'P NP KARAMBA IKAN'!BC21</f>
        <v>0</v>
      </c>
      <c r="AE32" s="116">
        <f>'P NP KARAMBA IKAN'!BD21</f>
        <v>0</v>
      </c>
      <c r="AF32" s="116">
        <f>'P NP KARAMBA IKAN'!BC22</f>
        <v>0</v>
      </c>
      <c r="AG32" s="116">
        <f>'P NP KARAMBA IKAN'!BD22</f>
        <v>0</v>
      </c>
      <c r="AH32" s="116">
        <f>'P NP KARAMBA IKAN'!BC23</f>
        <v>0</v>
      </c>
      <c r="AI32" s="116">
        <f>'P NP KARAMBA IKAN'!BD23</f>
        <v>0</v>
      </c>
      <c r="AJ32" s="116">
        <f>'P NP KARAMBA IKAN'!BC24</f>
        <v>0</v>
      </c>
      <c r="AK32" s="116">
        <f>'P NP KARAMBA IKAN'!BD24</f>
        <v>0</v>
      </c>
      <c r="AL32" s="116">
        <f>'P NP KARAMBA IKAN'!BC25</f>
        <v>0</v>
      </c>
      <c r="AM32" s="116">
        <f>'P NP KARAMBA IKAN'!BD25</f>
        <v>0</v>
      </c>
      <c r="AN32" s="116">
        <f>'P NP KARAMBA IKAN'!BC26</f>
        <v>0</v>
      </c>
      <c r="AO32" s="116">
        <f>'P NP KARAMBA IKAN'!BD26</f>
        <v>0</v>
      </c>
      <c r="AP32" s="116">
        <f>'P NP KARAMBA IKAN'!BC27</f>
        <v>0</v>
      </c>
      <c r="AQ32" s="116">
        <f>'P NP KARAMBA IKAN'!BD27</f>
        <v>0</v>
      </c>
      <c r="AR32" s="116">
        <f>'P NP KARAMBA IKAN'!BC28</f>
        <v>0</v>
      </c>
      <c r="AS32" s="116">
        <f>'P NP KARAMBA IKAN'!BD28</f>
        <v>0</v>
      </c>
      <c r="AT32" s="116">
        <f>'P NP KARAMBA IKAN'!BC29</f>
        <v>0</v>
      </c>
      <c r="AU32" s="116">
        <f>'P NP KARAMBA IKAN'!BD29</f>
        <v>0</v>
      </c>
      <c r="AV32" s="116">
        <f>'P NP KARAMBA IKAN'!BC30</f>
        <v>0</v>
      </c>
      <c r="AW32" s="116">
        <f>'P NP KARAMBA IKAN'!BD30</f>
        <v>0</v>
      </c>
      <c r="AX32" s="116">
        <f>'P NP KARAMBA IKAN'!BC31</f>
        <v>0</v>
      </c>
      <c r="AY32" s="116">
        <f>'P NP KARAMBA IKAN'!BD31</f>
        <v>0</v>
      </c>
      <c r="AZ32" s="116">
        <f>'P NP KARAMBA IKAN'!BC32</f>
        <v>0</v>
      </c>
      <c r="BA32" s="116">
        <f>'P NP KARAMBA IKAN'!BD32</f>
        <v>0</v>
      </c>
      <c r="BB32" s="116">
        <f>'P NP KARAMBA IKAN'!BC33</f>
        <v>0</v>
      </c>
      <c r="BC32" s="116">
        <f>'P NP KARAMBA IKAN'!BD33</f>
        <v>0</v>
      </c>
      <c r="BD32" s="116">
        <f>'P NP KARAMBA IKAN'!BC34</f>
        <v>0</v>
      </c>
      <c r="BE32" s="116">
        <f>'P NP KARAMBA IKAN'!BD34</f>
        <v>0</v>
      </c>
      <c r="BF32" s="116">
        <f>'P NP KARAMBA IKAN'!BC35</f>
        <v>0</v>
      </c>
      <c r="BG32" s="116">
        <f>'P NP KARAMBA IKAN'!BD35</f>
        <v>0</v>
      </c>
      <c r="BH32" s="116">
        <f>'P NP KARAMBA IKAN'!BC36</f>
        <v>0</v>
      </c>
      <c r="BI32" s="116">
        <f>'P NP KARAMBA IKAN'!BD36</f>
        <v>0</v>
      </c>
      <c r="BJ32" s="116">
        <f>'P NP KARAMBA IKAN'!BC37</f>
        <v>0</v>
      </c>
      <c r="BK32" s="116">
        <f>'P NP KARAMBA IKAN'!BD37</f>
        <v>0</v>
      </c>
      <c r="BL32" s="116">
        <f>'P NP KARAMBA IKAN'!BC38</f>
        <v>0</v>
      </c>
      <c r="BM32" s="116">
        <f>'P NP KARAMBA IKAN'!BD38</f>
        <v>0</v>
      </c>
      <c r="BN32" s="116">
        <f>'P NP KARAMBA IKAN'!BC39</f>
        <v>0</v>
      </c>
      <c r="BO32" s="116">
        <f>'P NP KARAMBA IKAN'!BD39</f>
        <v>0</v>
      </c>
      <c r="BP32" s="116">
        <f>'P NP KARAMBA IKAN'!BC40</f>
        <v>0</v>
      </c>
      <c r="BQ32" s="116">
        <f>'P NP KARAMBA IKAN'!BD40</f>
        <v>0</v>
      </c>
      <c r="BR32" s="116">
        <f>'P NP KARAMBA IKAN'!BC41</f>
        <v>0</v>
      </c>
      <c r="BS32" s="116">
        <f>'P NP KARAMBA IKAN'!BD41</f>
        <v>0</v>
      </c>
      <c r="BT32" s="116">
        <f>'P NP KARAMBA IKAN'!BC42</f>
        <v>0</v>
      </c>
      <c r="BU32" s="116">
        <f>'P NP KARAMBA IKAN'!BD42</f>
        <v>0</v>
      </c>
      <c r="BV32" s="116">
        <f>'P NP KARAMBA IKAN'!BC43</f>
        <v>0</v>
      </c>
      <c r="BW32" s="116">
        <f>'P NP KARAMBA IKAN'!BD43</f>
        <v>0</v>
      </c>
      <c r="BX32" s="116">
        <f>'P NP KARAMBA IKAN'!BC44</f>
        <v>0</v>
      </c>
      <c r="BY32" s="116">
        <f>'P NP KARAMBA IKAN'!BD44</f>
        <v>0</v>
      </c>
    </row>
    <row r="33" spans="1:77">
      <c r="A33" s="260" t="s">
        <v>134</v>
      </c>
      <c r="B33" s="116">
        <f t="shared" si="2"/>
        <v>6509700</v>
      </c>
      <c r="C33" s="116">
        <f t="shared" si="3"/>
        <v>119961954</v>
      </c>
      <c r="D33" s="116">
        <f>'P NP KARAMBA IKAN'!BE8</f>
        <v>0</v>
      </c>
      <c r="E33" s="116">
        <f>'P NP KARAMBA IKAN'!BF8</f>
        <v>0</v>
      </c>
      <c r="F33" s="116">
        <f>'P NP KARAMBA IKAN'!BE9</f>
        <v>269900</v>
      </c>
      <c r="G33" s="116">
        <f>'P NP KARAMBA IKAN'!BF9</f>
        <v>5107540</v>
      </c>
      <c r="H33" s="116">
        <f>'P NP KARAMBA IKAN'!BE10</f>
        <v>0</v>
      </c>
      <c r="I33" s="116">
        <f>'P NP KARAMBA IKAN'!BF10</f>
        <v>0</v>
      </c>
      <c r="J33" s="116">
        <f>'P NP KARAMBA IKAN'!BE11</f>
        <v>0</v>
      </c>
      <c r="K33" s="116">
        <f>'P NP KARAMBA IKAN'!BF11</f>
        <v>0</v>
      </c>
      <c r="L33" s="116">
        <f>'P NP KARAMBA IKAN'!BE12</f>
        <v>0</v>
      </c>
      <c r="M33" s="116">
        <f>'P NP KARAMBA IKAN'!BF12</f>
        <v>0</v>
      </c>
      <c r="N33" s="116">
        <f>'P NP KARAMBA IKAN'!BE13</f>
        <v>0</v>
      </c>
      <c r="O33" s="116">
        <f>'P NP KARAMBA IKAN'!BF13</f>
        <v>0</v>
      </c>
      <c r="P33" s="116">
        <f>'P NP KARAMBA IKAN'!BE14</f>
        <v>126788</v>
      </c>
      <c r="Q33" s="116">
        <f>'P NP KARAMBA IKAN'!BF14</f>
        <v>4104640</v>
      </c>
      <c r="R33" s="116">
        <f>'P NP KARAMBA IKAN'!BE15</f>
        <v>0</v>
      </c>
      <c r="S33" s="116">
        <f>'P NP KARAMBA IKAN'!BF15</f>
        <v>0</v>
      </c>
      <c r="T33" s="116">
        <f>'P NP KARAMBA IKAN'!BE16</f>
        <v>0</v>
      </c>
      <c r="U33" s="116">
        <f>'P NP KARAMBA IKAN'!BF16</f>
        <v>0</v>
      </c>
      <c r="V33" s="116">
        <f>'P NP KARAMBA IKAN'!BE17</f>
        <v>0</v>
      </c>
      <c r="W33" s="116">
        <f>'P NP KARAMBA IKAN'!BF17</f>
        <v>0</v>
      </c>
      <c r="X33" s="116">
        <f>'P NP KARAMBA IKAN'!BE18</f>
        <v>0</v>
      </c>
      <c r="Y33" s="116">
        <f>'P NP KARAMBA IKAN'!BF18</f>
        <v>0</v>
      </c>
      <c r="Z33" s="116">
        <f>'P NP KARAMBA IKAN'!BE19</f>
        <v>0</v>
      </c>
      <c r="AA33" s="116">
        <f>'P NP KARAMBA IKAN'!BF19</f>
        <v>0</v>
      </c>
      <c r="AB33" s="116">
        <f>'P NP KARAMBA IKAN'!BE20</f>
        <v>0</v>
      </c>
      <c r="AC33" s="116">
        <f>'P NP KARAMBA IKAN'!BF20</f>
        <v>0</v>
      </c>
      <c r="AD33" s="116">
        <f>'P NP KARAMBA IKAN'!BE21</f>
        <v>2681230</v>
      </c>
      <c r="AE33" s="116">
        <f>'P NP KARAMBA IKAN'!BF21</f>
        <v>49645420</v>
      </c>
      <c r="AF33" s="116">
        <f>'P NP KARAMBA IKAN'!BE22</f>
        <v>0</v>
      </c>
      <c r="AG33" s="116">
        <f>'P NP KARAMBA IKAN'!BF22</f>
        <v>0</v>
      </c>
      <c r="AH33" s="116">
        <f>'P NP KARAMBA IKAN'!BE23</f>
        <v>0</v>
      </c>
      <c r="AI33" s="116">
        <f>'P NP KARAMBA IKAN'!BF23</f>
        <v>0</v>
      </c>
      <c r="AJ33" s="116">
        <f>'P NP KARAMBA IKAN'!BE24</f>
        <v>1416580</v>
      </c>
      <c r="AK33" s="116">
        <f>'P NP KARAMBA IKAN'!BF24</f>
        <v>25498440</v>
      </c>
      <c r="AL33" s="116">
        <f>'P NP KARAMBA IKAN'!BE25</f>
        <v>0</v>
      </c>
      <c r="AM33" s="116">
        <f>'P NP KARAMBA IKAN'!BF25</f>
        <v>0</v>
      </c>
      <c r="AN33" s="116">
        <f>'P NP KARAMBA IKAN'!BE26</f>
        <v>1664680</v>
      </c>
      <c r="AO33" s="116">
        <f>'P NP KARAMBA IKAN'!BF26</f>
        <v>29872720</v>
      </c>
      <c r="AP33" s="116">
        <f>'P NP KARAMBA IKAN'!BE27</f>
        <v>350522</v>
      </c>
      <c r="AQ33" s="116">
        <f>'P NP KARAMBA IKAN'!BF27</f>
        <v>5733194</v>
      </c>
      <c r="AR33" s="116">
        <f>'P NP KARAMBA IKAN'!BE28</f>
        <v>0</v>
      </c>
      <c r="AS33" s="116">
        <f>'P NP KARAMBA IKAN'!BF28</f>
        <v>0</v>
      </c>
      <c r="AT33" s="116">
        <f>'P NP KARAMBA IKAN'!BE29</f>
        <v>0</v>
      </c>
      <c r="AU33" s="116">
        <f>'P NP KARAMBA IKAN'!BF29</f>
        <v>0</v>
      </c>
      <c r="AV33" s="116">
        <f>'P NP KARAMBA IKAN'!BE30</f>
        <v>0</v>
      </c>
      <c r="AW33" s="116">
        <f>'P NP KARAMBA IKAN'!BF30</f>
        <v>0</v>
      </c>
      <c r="AX33" s="116">
        <f>'P NP KARAMBA IKAN'!BE31</f>
        <v>0</v>
      </c>
      <c r="AY33" s="116">
        <f>'P NP KARAMBA IKAN'!BF31</f>
        <v>0</v>
      </c>
      <c r="AZ33" s="116">
        <f>'P NP KARAMBA IKAN'!BE32</f>
        <v>0</v>
      </c>
      <c r="BA33" s="116">
        <f>'P NP KARAMBA IKAN'!BF32</f>
        <v>0</v>
      </c>
      <c r="BB33" s="116">
        <f>'P NP KARAMBA IKAN'!BE33</f>
        <v>0</v>
      </c>
      <c r="BC33" s="116">
        <f>'P NP KARAMBA IKAN'!BF33</f>
        <v>0</v>
      </c>
      <c r="BD33" s="116">
        <f>'P NP KARAMBA IKAN'!BE34</f>
        <v>0</v>
      </c>
      <c r="BE33" s="116">
        <f>'P NP KARAMBA IKAN'!BF34</f>
        <v>0</v>
      </c>
      <c r="BF33" s="116">
        <f>'P NP KARAMBA IKAN'!BE35</f>
        <v>0</v>
      </c>
      <c r="BG33" s="116">
        <f>'P NP KARAMBA IKAN'!BF35</f>
        <v>0</v>
      </c>
      <c r="BH33" s="116">
        <f>'P NP KARAMBA IKAN'!BE36</f>
        <v>0</v>
      </c>
      <c r="BI33" s="116">
        <f>'P NP KARAMBA IKAN'!BF36</f>
        <v>0</v>
      </c>
      <c r="BJ33" s="116">
        <f>'P NP KARAMBA IKAN'!BE37</f>
        <v>0</v>
      </c>
      <c r="BK33" s="116">
        <f>'P NP KARAMBA IKAN'!BF37</f>
        <v>0</v>
      </c>
      <c r="BL33" s="116">
        <f>'P NP KARAMBA IKAN'!BE38</f>
        <v>0</v>
      </c>
      <c r="BM33" s="116">
        <f>'P NP KARAMBA IKAN'!BF38</f>
        <v>0</v>
      </c>
      <c r="BN33" s="116">
        <f>'P NP KARAMBA IKAN'!BE39</f>
        <v>0</v>
      </c>
      <c r="BO33" s="116">
        <f>'P NP KARAMBA IKAN'!BF39</f>
        <v>0</v>
      </c>
      <c r="BP33" s="116">
        <f>'P NP KARAMBA IKAN'!BE40</f>
        <v>0</v>
      </c>
      <c r="BQ33" s="116">
        <f>'P NP KARAMBA IKAN'!BF40</f>
        <v>0</v>
      </c>
      <c r="BR33" s="116">
        <f>'P NP KARAMBA IKAN'!BE41</f>
        <v>0</v>
      </c>
      <c r="BS33" s="116">
        <f>'P NP KARAMBA IKAN'!BF41</f>
        <v>0</v>
      </c>
      <c r="BT33" s="116">
        <f>'P NP KARAMBA IKAN'!BE42</f>
        <v>0</v>
      </c>
      <c r="BU33" s="116">
        <f>'P NP KARAMBA IKAN'!BF42</f>
        <v>0</v>
      </c>
      <c r="BV33" s="116">
        <f>'P NP KARAMBA IKAN'!BE43</f>
        <v>0</v>
      </c>
      <c r="BW33" s="116">
        <f>'P NP KARAMBA IKAN'!BF43</f>
        <v>0</v>
      </c>
      <c r="BX33" s="116">
        <f>'P NP KARAMBA IKAN'!BE44</f>
        <v>0</v>
      </c>
      <c r="BY33" s="116">
        <f>'P NP KARAMBA IKAN'!BF44</f>
        <v>0</v>
      </c>
    </row>
    <row r="34" spans="1:77">
      <c r="A34" s="260" t="s">
        <v>115</v>
      </c>
      <c r="B34" s="116">
        <f t="shared" si="2"/>
        <v>0</v>
      </c>
      <c r="C34" s="116">
        <f t="shared" si="3"/>
        <v>0</v>
      </c>
      <c r="D34" s="116">
        <f>'P NP KARAMBA IKAN'!BG8</f>
        <v>0</v>
      </c>
      <c r="E34" s="116">
        <f>'P NP KARAMBA IKAN'!BH8</f>
        <v>0</v>
      </c>
      <c r="F34" s="116">
        <f>'P NP KARAMBA IKAN'!BG9</f>
        <v>0</v>
      </c>
      <c r="G34" s="116">
        <f>'P NP KARAMBA IKAN'!BH9</f>
        <v>0</v>
      </c>
      <c r="H34" s="116">
        <f>'P NP KARAMBA IKAN'!BG10</f>
        <v>0</v>
      </c>
      <c r="I34" s="116">
        <f>'P NP KARAMBA IKAN'!BH10</f>
        <v>0</v>
      </c>
      <c r="J34" s="116">
        <f>'P NP KARAMBA IKAN'!BG11</f>
        <v>0</v>
      </c>
      <c r="K34" s="116">
        <f>'P NP KARAMBA IKAN'!BH11</f>
        <v>0</v>
      </c>
      <c r="L34" s="116">
        <f>'P NP KARAMBA IKAN'!BG12</f>
        <v>0</v>
      </c>
      <c r="M34" s="116">
        <f>'P NP KARAMBA IKAN'!BH12</f>
        <v>0</v>
      </c>
      <c r="N34" s="116">
        <f>'P NP KARAMBA IKAN'!BG13</f>
        <v>0</v>
      </c>
      <c r="O34" s="116">
        <f>'P NP KARAMBA IKAN'!BH13</f>
        <v>0</v>
      </c>
      <c r="P34" s="116">
        <f>'P NP KARAMBA IKAN'!BG14</f>
        <v>0</v>
      </c>
      <c r="Q34" s="116">
        <f>'P NP KARAMBA IKAN'!BH14</f>
        <v>0</v>
      </c>
      <c r="R34" s="116">
        <f>'P NP KARAMBA IKAN'!BG15</f>
        <v>0</v>
      </c>
      <c r="S34" s="116">
        <f>'P NP KARAMBA IKAN'!BH15</f>
        <v>0</v>
      </c>
      <c r="T34" s="116">
        <f>'P NP KARAMBA IKAN'!BG16</f>
        <v>0</v>
      </c>
      <c r="U34" s="116">
        <f>'P NP KARAMBA IKAN'!BH16</f>
        <v>0</v>
      </c>
      <c r="V34" s="116">
        <f>'P NP KARAMBA IKAN'!BG17</f>
        <v>0</v>
      </c>
      <c r="W34" s="116">
        <f>'P NP KARAMBA IKAN'!BH17</f>
        <v>0</v>
      </c>
      <c r="X34" s="116">
        <f>'P NP KARAMBA IKAN'!BG18</f>
        <v>0</v>
      </c>
      <c r="Y34" s="116">
        <f>'P NP KARAMBA IKAN'!BH18</f>
        <v>0</v>
      </c>
      <c r="Z34" s="116">
        <f>'P NP KARAMBA IKAN'!BG19</f>
        <v>0</v>
      </c>
      <c r="AA34" s="116">
        <f>'P NP KARAMBA IKAN'!BH19</f>
        <v>0</v>
      </c>
      <c r="AB34" s="116">
        <f>'P NP KARAMBA IKAN'!BG20</f>
        <v>0</v>
      </c>
      <c r="AC34" s="116">
        <f>'P NP KARAMBA IKAN'!BH20</f>
        <v>0</v>
      </c>
      <c r="AD34" s="116">
        <f>'P NP KARAMBA IKAN'!BG21</f>
        <v>0</v>
      </c>
      <c r="AE34" s="116">
        <f>'P NP KARAMBA IKAN'!BH21</f>
        <v>0</v>
      </c>
      <c r="AF34" s="116">
        <f>'P NP KARAMBA IKAN'!BG22</f>
        <v>0</v>
      </c>
      <c r="AG34" s="116">
        <f>'P NP KARAMBA IKAN'!BH22</f>
        <v>0</v>
      </c>
      <c r="AH34" s="116">
        <f>'P NP KARAMBA IKAN'!BG23</f>
        <v>0</v>
      </c>
      <c r="AI34" s="116">
        <f>'P NP KARAMBA IKAN'!BH23</f>
        <v>0</v>
      </c>
      <c r="AJ34" s="116">
        <f>'P NP KARAMBA IKAN'!BG24</f>
        <v>0</v>
      </c>
      <c r="AK34" s="116">
        <f>'P NP KARAMBA IKAN'!BH24</f>
        <v>0</v>
      </c>
      <c r="AL34" s="116">
        <f>'P NP KARAMBA IKAN'!BG25</f>
        <v>0</v>
      </c>
      <c r="AM34" s="116">
        <f>'P NP KARAMBA IKAN'!BH25</f>
        <v>0</v>
      </c>
      <c r="AN34" s="116">
        <f>'P NP KARAMBA IKAN'!BG26</f>
        <v>0</v>
      </c>
      <c r="AO34" s="116">
        <f>'P NP KARAMBA IKAN'!BH26</f>
        <v>0</v>
      </c>
      <c r="AP34" s="116">
        <f>'P NP KARAMBA IKAN'!BG27</f>
        <v>0</v>
      </c>
      <c r="AQ34" s="116">
        <f>'P NP KARAMBA IKAN'!BH27</f>
        <v>0</v>
      </c>
      <c r="AR34" s="116">
        <f>'P NP KARAMBA IKAN'!BG28</f>
        <v>0</v>
      </c>
      <c r="AS34" s="116">
        <f>'P NP KARAMBA IKAN'!BH28</f>
        <v>0</v>
      </c>
      <c r="AT34" s="116">
        <f>'P NP KARAMBA IKAN'!BG29</f>
        <v>0</v>
      </c>
      <c r="AU34" s="116">
        <f>'P NP KARAMBA IKAN'!BH29</f>
        <v>0</v>
      </c>
      <c r="AV34" s="116">
        <f>'P NP KARAMBA IKAN'!BG30</f>
        <v>0</v>
      </c>
      <c r="AW34" s="116">
        <f>'P NP KARAMBA IKAN'!BH30</f>
        <v>0</v>
      </c>
      <c r="AX34" s="116">
        <f>'P NP KARAMBA IKAN'!BG31</f>
        <v>0</v>
      </c>
      <c r="AY34" s="116">
        <f>'P NP KARAMBA IKAN'!BH31</f>
        <v>0</v>
      </c>
      <c r="AZ34" s="116">
        <f>'P NP KARAMBA IKAN'!BG32</f>
        <v>0</v>
      </c>
      <c r="BA34" s="116">
        <f>'P NP KARAMBA IKAN'!BH32</f>
        <v>0</v>
      </c>
      <c r="BB34" s="116">
        <f>'P NP KARAMBA IKAN'!BG33</f>
        <v>0</v>
      </c>
      <c r="BC34" s="116">
        <f>'P NP KARAMBA IKAN'!BH33</f>
        <v>0</v>
      </c>
      <c r="BD34" s="116">
        <f>'P NP KARAMBA IKAN'!BG34</f>
        <v>0</v>
      </c>
      <c r="BE34" s="116">
        <f>'P NP KARAMBA IKAN'!BH34</f>
        <v>0</v>
      </c>
      <c r="BF34" s="116">
        <f>'P NP KARAMBA IKAN'!BG35</f>
        <v>0</v>
      </c>
      <c r="BG34" s="116">
        <f>'P NP KARAMBA IKAN'!BH35</f>
        <v>0</v>
      </c>
      <c r="BH34" s="116">
        <f>'P NP KARAMBA IKAN'!BG36</f>
        <v>0</v>
      </c>
      <c r="BI34" s="116">
        <f>'P NP KARAMBA IKAN'!BH36</f>
        <v>0</v>
      </c>
      <c r="BJ34" s="116">
        <f>'P NP KARAMBA IKAN'!BG37</f>
        <v>0</v>
      </c>
      <c r="BK34" s="116">
        <f>'P NP KARAMBA IKAN'!BH37</f>
        <v>0</v>
      </c>
      <c r="BL34" s="116">
        <f>'P NP KARAMBA IKAN'!BG38</f>
        <v>0</v>
      </c>
      <c r="BM34" s="116">
        <f>'P NP KARAMBA IKAN'!BH38</f>
        <v>0</v>
      </c>
      <c r="BN34" s="116">
        <f>'P NP KARAMBA IKAN'!BG39</f>
        <v>0</v>
      </c>
      <c r="BO34" s="116">
        <f>'P NP KARAMBA IKAN'!BH39</f>
        <v>0</v>
      </c>
      <c r="BP34" s="116">
        <f>'P NP KARAMBA IKAN'!BG40</f>
        <v>0</v>
      </c>
      <c r="BQ34" s="116">
        <f>'P NP KARAMBA IKAN'!BH40</f>
        <v>0</v>
      </c>
      <c r="BR34" s="116">
        <f>'P NP KARAMBA IKAN'!BG41</f>
        <v>0</v>
      </c>
      <c r="BS34" s="116">
        <f>'P NP KARAMBA IKAN'!BH41</f>
        <v>0</v>
      </c>
      <c r="BT34" s="116">
        <f>'P NP KARAMBA IKAN'!BG42</f>
        <v>0</v>
      </c>
      <c r="BU34" s="116">
        <f>'P NP KARAMBA IKAN'!BH42</f>
        <v>0</v>
      </c>
      <c r="BV34" s="116">
        <f>'P NP KARAMBA IKAN'!BG43</f>
        <v>0</v>
      </c>
      <c r="BW34" s="116">
        <f>'P NP KARAMBA IKAN'!BH43</f>
        <v>0</v>
      </c>
      <c r="BX34" s="116">
        <f>'P NP KARAMBA IKAN'!BG44</f>
        <v>0</v>
      </c>
      <c r="BY34" s="116">
        <f>'P NP KARAMBA IKAN'!BH44</f>
        <v>0</v>
      </c>
    </row>
    <row r="35" spans="1:77">
      <c r="A35" s="260" t="s">
        <v>149</v>
      </c>
      <c r="B35" s="116">
        <f t="shared" si="2"/>
        <v>0</v>
      </c>
      <c r="C35" s="116">
        <f t="shared" si="3"/>
        <v>0</v>
      </c>
      <c r="D35" s="116">
        <f>'P NP KARAMBA IKAN'!BI8</f>
        <v>0</v>
      </c>
      <c r="E35" s="116">
        <f>'P NP KARAMBA IKAN'!BJ8</f>
        <v>0</v>
      </c>
      <c r="F35" s="116">
        <f>'P NP KARAMBA IKAN'!BI9</f>
        <v>0</v>
      </c>
      <c r="G35" s="116">
        <f>'P NP KARAMBA IKAN'!BJ9</f>
        <v>0</v>
      </c>
      <c r="H35" s="116">
        <f>'P NP KARAMBA IKAN'!BI10</f>
        <v>0</v>
      </c>
      <c r="I35" s="116">
        <f>'P NP KARAMBA IKAN'!BJ10</f>
        <v>0</v>
      </c>
      <c r="J35" s="116">
        <f>'P NP KARAMBA IKAN'!BI11</f>
        <v>0</v>
      </c>
      <c r="K35" s="116">
        <f>'P NP KARAMBA IKAN'!BJ11</f>
        <v>0</v>
      </c>
      <c r="L35" s="116">
        <f>'P NP KARAMBA IKAN'!BI12</f>
        <v>0</v>
      </c>
      <c r="M35" s="116">
        <f>'P NP KARAMBA IKAN'!BJ12</f>
        <v>0</v>
      </c>
      <c r="N35" s="116">
        <f>'P NP KARAMBA IKAN'!BI13</f>
        <v>0</v>
      </c>
      <c r="O35" s="116">
        <f>'P NP KARAMBA IKAN'!BJ13</f>
        <v>0</v>
      </c>
      <c r="P35" s="116">
        <f>'P NP KARAMBA IKAN'!BI14</f>
        <v>0</v>
      </c>
      <c r="Q35" s="116">
        <f>'P NP KARAMBA IKAN'!BJ14</f>
        <v>0</v>
      </c>
      <c r="R35" s="116">
        <f>'P NP KARAMBA IKAN'!BI15</f>
        <v>0</v>
      </c>
      <c r="S35" s="116">
        <f>'P NP KARAMBA IKAN'!BJ15</f>
        <v>0</v>
      </c>
      <c r="T35" s="116">
        <f>'P NP KARAMBA IKAN'!BI16</f>
        <v>0</v>
      </c>
      <c r="U35" s="116">
        <f>'P NP KARAMBA IKAN'!BJ16</f>
        <v>0</v>
      </c>
      <c r="V35" s="116">
        <f>'P NP KARAMBA IKAN'!BI17</f>
        <v>0</v>
      </c>
      <c r="W35" s="116">
        <f>'P NP KARAMBA IKAN'!BJ17</f>
        <v>0</v>
      </c>
      <c r="X35" s="116">
        <f>'P NP KARAMBA IKAN'!BI18</f>
        <v>0</v>
      </c>
      <c r="Y35" s="116">
        <f>'P NP KARAMBA IKAN'!BJ18</f>
        <v>0</v>
      </c>
      <c r="Z35" s="116">
        <f>'P NP KARAMBA IKAN'!BI19</f>
        <v>0</v>
      </c>
      <c r="AA35" s="116">
        <f>'P NP KARAMBA IKAN'!BJ19</f>
        <v>0</v>
      </c>
      <c r="AB35" s="116">
        <f>'P NP KARAMBA IKAN'!BI20</f>
        <v>0</v>
      </c>
      <c r="AC35" s="116">
        <f>'P NP KARAMBA IKAN'!BJ20</f>
        <v>0</v>
      </c>
      <c r="AD35" s="116">
        <f>'P NP KARAMBA IKAN'!BI21</f>
        <v>0</v>
      </c>
      <c r="AE35" s="116">
        <f>'P NP KARAMBA IKAN'!BJ21</f>
        <v>0</v>
      </c>
      <c r="AF35" s="116">
        <f>'P NP KARAMBA IKAN'!BI22</f>
        <v>0</v>
      </c>
      <c r="AG35" s="116">
        <f>'P NP KARAMBA IKAN'!BJ22</f>
        <v>0</v>
      </c>
      <c r="AH35" s="116">
        <f>'P NP KARAMBA IKAN'!BI23</f>
        <v>0</v>
      </c>
      <c r="AI35" s="116">
        <f>'P NP KARAMBA IKAN'!BJ23</f>
        <v>0</v>
      </c>
      <c r="AJ35" s="116">
        <f>'P NP KARAMBA IKAN'!BI24</f>
        <v>0</v>
      </c>
      <c r="AK35" s="116">
        <f>'P NP KARAMBA IKAN'!BJ24</f>
        <v>0</v>
      </c>
      <c r="AL35" s="116">
        <f>'P NP KARAMBA IKAN'!BI25</f>
        <v>0</v>
      </c>
      <c r="AM35" s="116">
        <f>'P NP KARAMBA IKAN'!BJ25</f>
        <v>0</v>
      </c>
      <c r="AN35" s="116">
        <f>'P NP KARAMBA IKAN'!BI26</f>
        <v>0</v>
      </c>
      <c r="AO35" s="116">
        <f>'P NP KARAMBA IKAN'!BJ26</f>
        <v>0</v>
      </c>
      <c r="AP35" s="116">
        <f>'P NP KARAMBA IKAN'!BI27</f>
        <v>0</v>
      </c>
      <c r="AQ35" s="116">
        <f>'P NP KARAMBA IKAN'!BJ27</f>
        <v>0</v>
      </c>
      <c r="AR35" s="116">
        <f>'P NP KARAMBA IKAN'!BI28</f>
        <v>0</v>
      </c>
      <c r="AS35" s="116">
        <f>'P NP KARAMBA IKAN'!BJ28</f>
        <v>0</v>
      </c>
      <c r="AT35" s="116">
        <f>'P NP KARAMBA IKAN'!BI29</f>
        <v>0</v>
      </c>
      <c r="AU35" s="116">
        <f>'P NP KARAMBA IKAN'!BJ29</f>
        <v>0</v>
      </c>
      <c r="AV35" s="116">
        <f>'P NP KARAMBA IKAN'!BI30</f>
        <v>0</v>
      </c>
      <c r="AW35" s="116">
        <f>'P NP KARAMBA IKAN'!BJ30</f>
        <v>0</v>
      </c>
      <c r="AX35" s="116">
        <f>'P NP KARAMBA IKAN'!BI31</f>
        <v>0</v>
      </c>
      <c r="AY35" s="116">
        <f>'P NP KARAMBA IKAN'!BJ31</f>
        <v>0</v>
      </c>
      <c r="AZ35" s="116">
        <f>'P NP KARAMBA IKAN'!BI32</f>
        <v>0</v>
      </c>
      <c r="BA35" s="116">
        <f>'P NP KARAMBA IKAN'!BJ32</f>
        <v>0</v>
      </c>
      <c r="BB35" s="116">
        <f>'P NP KARAMBA IKAN'!BI33</f>
        <v>0</v>
      </c>
      <c r="BC35" s="116">
        <f>'P NP KARAMBA IKAN'!BJ33</f>
        <v>0</v>
      </c>
      <c r="BD35" s="116">
        <f>'P NP KARAMBA IKAN'!BI34</f>
        <v>0</v>
      </c>
      <c r="BE35" s="116">
        <f>'P NP KARAMBA IKAN'!BJ34</f>
        <v>0</v>
      </c>
      <c r="BF35" s="116">
        <f>'P NP KARAMBA IKAN'!BI35</f>
        <v>0</v>
      </c>
      <c r="BG35" s="116">
        <f>'P NP KARAMBA IKAN'!BJ35</f>
        <v>0</v>
      </c>
      <c r="BH35" s="116">
        <f>'P NP KARAMBA IKAN'!BI36</f>
        <v>0</v>
      </c>
      <c r="BI35" s="116">
        <f>'P NP KARAMBA IKAN'!BJ36</f>
        <v>0</v>
      </c>
      <c r="BJ35" s="116">
        <f>'P NP KARAMBA IKAN'!BI37</f>
        <v>0</v>
      </c>
      <c r="BK35" s="116">
        <f>'P NP KARAMBA IKAN'!BJ37</f>
        <v>0</v>
      </c>
      <c r="BL35" s="116">
        <f>'P NP KARAMBA IKAN'!BI38</f>
        <v>0</v>
      </c>
      <c r="BM35" s="116">
        <f>'P NP KARAMBA IKAN'!BJ38</f>
        <v>0</v>
      </c>
      <c r="BN35" s="116">
        <f>'P NP KARAMBA IKAN'!BI39</f>
        <v>0</v>
      </c>
      <c r="BO35" s="116">
        <f>'P NP KARAMBA IKAN'!BJ39</f>
        <v>0</v>
      </c>
      <c r="BP35" s="116">
        <f>'P NP KARAMBA IKAN'!BI40</f>
        <v>0</v>
      </c>
      <c r="BQ35" s="116">
        <f>'P NP KARAMBA IKAN'!BJ40</f>
        <v>0</v>
      </c>
      <c r="BR35" s="116">
        <f>'P NP KARAMBA IKAN'!BI41</f>
        <v>0</v>
      </c>
      <c r="BS35" s="116">
        <f>'P NP KARAMBA IKAN'!BJ41</f>
        <v>0</v>
      </c>
      <c r="BT35" s="116">
        <f>'P NP KARAMBA IKAN'!BI42</f>
        <v>0</v>
      </c>
      <c r="BU35" s="116">
        <f>'P NP KARAMBA IKAN'!BJ42</f>
        <v>0</v>
      </c>
      <c r="BV35" s="116">
        <f>'P NP KARAMBA IKAN'!BI43</f>
        <v>0</v>
      </c>
      <c r="BW35" s="116">
        <f>'P NP KARAMBA IKAN'!BJ43</f>
        <v>0</v>
      </c>
      <c r="BX35" s="116">
        <f>'P NP KARAMBA IKAN'!BI44</f>
        <v>0</v>
      </c>
      <c r="BY35" s="116">
        <f>'P NP KARAMBA IKAN'!BJ44</f>
        <v>0</v>
      </c>
    </row>
    <row r="36" spans="1:77">
      <c r="A36" s="260" t="s">
        <v>142</v>
      </c>
      <c r="B36" s="116">
        <f t="shared" si="2"/>
        <v>0</v>
      </c>
      <c r="C36" s="116">
        <f t="shared" si="3"/>
        <v>0</v>
      </c>
      <c r="D36" s="116">
        <f>'P NP KARAMBA IKAN'!BK8</f>
        <v>0</v>
      </c>
      <c r="E36" s="116">
        <f>'P NP KARAMBA IKAN'!BL8</f>
        <v>0</v>
      </c>
      <c r="F36" s="116">
        <f>'P NP KARAMBA IKAN'!BK9</f>
        <v>0</v>
      </c>
      <c r="G36" s="116">
        <f>'P NP KARAMBA IKAN'!BL9</f>
        <v>0</v>
      </c>
      <c r="H36" s="116">
        <f>'P NP KARAMBA IKAN'!BK10</f>
        <v>0</v>
      </c>
      <c r="I36" s="116">
        <f>'P NP KARAMBA IKAN'!BL10</f>
        <v>0</v>
      </c>
      <c r="J36" s="116">
        <f>'P NP KARAMBA IKAN'!BK11</f>
        <v>0</v>
      </c>
      <c r="K36" s="116">
        <f>'P NP KARAMBA IKAN'!BL11</f>
        <v>0</v>
      </c>
      <c r="L36" s="116">
        <f>'P NP KARAMBA IKAN'!BK12</f>
        <v>0</v>
      </c>
      <c r="M36" s="116">
        <f>'P NP KARAMBA IKAN'!BL12</f>
        <v>0</v>
      </c>
      <c r="N36" s="116">
        <f>'P NP KARAMBA IKAN'!BK13</f>
        <v>0</v>
      </c>
      <c r="O36" s="116">
        <f>'P NP KARAMBA IKAN'!BL13</f>
        <v>0</v>
      </c>
      <c r="P36" s="116">
        <f>'P NP KARAMBA IKAN'!BK14</f>
        <v>0</v>
      </c>
      <c r="Q36" s="116">
        <f>'P NP KARAMBA IKAN'!BL14</f>
        <v>0</v>
      </c>
      <c r="R36" s="116">
        <f>'P NP KARAMBA IKAN'!BK15</f>
        <v>0</v>
      </c>
      <c r="S36" s="116">
        <f>'P NP KARAMBA IKAN'!BL15</f>
        <v>0</v>
      </c>
      <c r="T36" s="116">
        <f>'P NP KARAMBA IKAN'!BK16</f>
        <v>0</v>
      </c>
      <c r="U36" s="116">
        <f>'P NP KARAMBA IKAN'!BL16</f>
        <v>0</v>
      </c>
      <c r="V36" s="116">
        <f>'P NP KARAMBA IKAN'!BK17</f>
        <v>0</v>
      </c>
      <c r="W36" s="116">
        <f>'P NP KARAMBA IKAN'!BL17</f>
        <v>0</v>
      </c>
      <c r="X36" s="116">
        <f>'P NP KARAMBA IKAN'!BK18</f>
        <v>0</v>
      </c>
      <c r="Y36" s="116">
        <f>'P NP KARAMBA IKAN'!BL18</f>
        <v>0</v>
      </c>
      <c r="Z36" s="116">
        <f>'P NP KARAMBA IKAN'!BK19</f>
        <v>0</v>
      </c>
      <c r="AA36" s="116">
        <f>'P NP KARAMBA IKAN'!BL19</f>
        <v>0</v>
      </c>
      <c r="AB36" s="116">
        <f>'P NP KARAMBA IKAN'!BK20</f>
        <v>0</v>
      </c>
      <c r="AC36" s="116">
        <f>'P NP KARAMBA IKAN'!BL20</f>
        <v>0</v>
      </c>
      <c r="AD36" s="116">
        <f>'P NP KARAMBA IKAN'!BK21</f>
        <v>0</v>
      </c>
      <c r="AE36" s="116">
        <f>'P NP KARAMBA IKAN'!BL21</f>
        <v>0</v>
      </c>
      <c r="AF36" s="116">
        <f>'P NP KARAMBA IKAN'!BK22</f>
        <v>0</v>
      </c>
      <c r="AG36" s="116">
        <f>'P NP KARAMBA IKAN'!BL22</f>
        <v>0</v>
      </c>
      <c r="AH36" s="116">
        <f>'P NP KARAMBA IKAN'!BK23</f>
        <v>0</v>
      </c>
      <c r="AI36" s="116">
        <f>'P NP KARAMBA IKAN'!BL23</f>
        <v>0</v>
      </c>
      <c r="AJ36" s="116">
        <f>'P NP KARAMBA IKAN'!BK24</f>
        <v>0</v>
      </c>
      <c r="AK36" s="116">
        <f>'P NP KARAMBA IKAN'!BL24</f>
        <v>0</v>
      </c>
      <c r="AL36" s="116">
        <f>'P NP KARAMBA IKAN'!BK25</f>
        <v>0</v>
      </c>
      <c r="AM36" s="116">
        <f>'P NP KARAMBA IKAN'!BL25</f>
        <v>0</v>
      </c>
      <c r="AN36" s="116">
        <f>'P NP KARAMBA IKAN'!BK26</f>
        <v>0</v>
      </c>
      <c r="AO36" s="116">
        <f>'P NP KARAMBA IKAN'!BL26</f>
        <v>0</v>
      </c>
      <c r="AP36" s="116">
        <f>'P NP KARAMBA IKAN'!BK27</f>
        <v>0</v>
      </c>
      <c r="AQ36" s="116">
        <f>'P NP KARAMBA IKAN'!BL27</f>
        <v>0</v>
      </c>
      <c r="AR36" s="116">
        <f>'P NP KARAMBA IKAN'!BK28</f>
        <v>0</v>
      </c>
      <c r="AS36" s="116">
        <f>'P NP KARAMBA IKAN'!BL28</f>
        <v>0</v>
      </c>
      <c r="AT36" s="116">
        <f>'P NP KARAMBA IKAN'!BK29</f>
        <v>0</v>
      </c>
      <c r="AU36" s="116">
        <f>'P NP KARAMBA IKAN'!BL29</f>
        <v>0</v>
      </c>
      <c r="AV36" s="116">
        <f>'P NP KARAMBA IKAN'!BK30</f>
        <v>0</v>
      </c>
      <c r="AW36" s="116">
        <f>'P NP KARAMBA IKAN'!BL30</f>
        <v>0</v>
      </c>
      <c r="AX36" s="116">
        <f>'P NP KARAMBA IKAN'!BK31</f>
        <v>0</v>
      </c>
      <c r="AY36" s="116">
        <f>'P NP KARAMBA IKAN'!BL31</f>
        <v>0</v>
      </c>
      <c r="AZ36" s="116">
        <f>'P NP KARAMBA IKAN'!BK32</f>
        <v>0</v>
      </c>
      <c r="BA36" s="116">
        <f>'P NP KARAMBA IKAN'!BL32</f>
        <v>0</v>
      </c>
      <c r="BB36" s="116">
        <f>'P NP KARAMBA IKAN'!BK33</f>
        <v>0</v>
      </c>
      <c r="BC36" s="116">
        <f>'P NP KARAMBA IKAN'!BL33</f>
        <v>0</v>
      </c>
      <c r="BD36" s="116">
        <f>'P NP KARAMBA IKAN'!BK34</f>
        <v>0</v>
      </c>
      <c r="BE36" s="116">
        <f>'P NP KARAMBA IKAN'!BL34</f>
        <v>0</v>
      </c>
      <c r="BF36" s="116">
        <f>'P NP KARAMBA IKAN'!BK35</f>
        <v>0</v>
      </c>
      <c r="BG36" s="116">
        <f>'P NP KARAMBA IKAN'!BL35</f>
        <v>0</v>
      </c>
      <c r="BH36" s="116">
        <f>'P NP KARAMBA IKAN'!BK36</f>
        <v>0</v>
      </c>
      <c r="BI36" s="116">
        <f>'P NP KARAMBA IKAN'!BL36</f>
        <v>0</v>
      </c>
      <c r="BJ36" s="116">
        <f>'P NP KARAMBA IKAN'!BK37</f>
        <v>0</v>
      </c>
      <c r="BK36" s="116">
        <f>'P NP KARAMBA IKAN'!BL37</f>
        <v>0</v>
      </c>
      <c r="BL36" s="116">
        <f>'P NP KARAMBA IKAN'!BK38</f>
        <v>0</v>
      </c>
      <c r="BM36" s="116">
        <f>'P NP KARAMBA IKAN'!BL38</f>
        <v>0</v>
      </c>
      <c r="BN36" s="116">
        <f>'P NP KARAMBA IKAN'!BK39</f>
        <v>0</v>
      </c>
      <c r="BO36" s="116">
        <f>'P NP KARAMBA IKAN'!BL39</f>
        <v>0</v>
      </c>
      <c r="BP36" s="116">
        <f>'P NP KARAMBA IKAN'!BK40</f>
        <v>0</v>
      </c>
      <c r="BQ36" s="116">
        <f>'P NP KARAMBA IKAN'!BL40</f>
        <v>0</v>
      </c>
      <c r="BR36" s="116">
        <f>'P NP KARAMBA IKAN'!BK41</f>
        <v>0</v>
      </c>
      <c r="BS36" s="116">
        <f>'P NP KARAMBA IKAN'!BL41</f>
        <v>0</v>
      </c>
      <c r="BT36" s="116">
        <f>'P NP KARAMBA IKAN'!BK42</f>
        <v>0</v>
      </c>
      <c r="BU36" s="116">
        <f>'P NP KARAMBA IKAN'!BL42</f>
        <v>0</v>
      </c>
      <c r="BV36" s="116">
        <f>'P NP KARAMBA IKAN'!BK43</f>
        <v>0</v>
      </c>
      <c r="BW36" s="116">
        <f>'P NP KARAMBA IKAN'!BL43</f>
        <v>0</v>
      </c>
      <c r="BX36" s="116">
        <f>'P NP KARAMBA IKAN'!BK44</f>
        <v>0</v>
      </c>
      <c r="BY36" s="116">
        <f>'P NP KARAMBA IKAN'!BL44</f>
        <v>0</v>
      </c>
    </row>
    <row r="37" spans="1:77">
      <c r="A37" s="260" t="s">
        <v>141</v>
      </c>
      <c r="B37" s="116">
        <f t="shared" si="2"/>
        <v>0</v>
      </c>
      <c r="C37" s="116">
        <f t="shared" si="3"/>
        <v>0</v>
      </c>
      <c r="D37" s="116">
        <f>'P NP KARAMBA IKAN'!BM8</f>
        <v>0</v>
      </c>
      <c r="E37" s="116">
        <f>'P NP KARAMBA IKAN'!BN8</f>
        <v>0</v>
      </c>
      <c r="F37" s="116">
        <f>'P NP KARAMBA IKAN'!BM9</f>
        <v>0</v>
      </c>
      <c r="G37" s="116">
        <f>'P NP KARAMBA IKAN'!BN9</f>
        <v>0</v>
      </c>
      <c r="H37" s="116">
        <f>'P NP KARAMBA IKAN'!BM10</f>
        <v>0</v>
      </c>
      <c r="I37" s="116">
        <f>'P NP KARAMBA IKAN'!BN10</f>
        <v>0</v>
      </c>
      <c r="J37" s="116">
        <f>'P NP KARAMBA IKAN'!BM11</f>
        <v>0</v>
      </c>
      <c r="K37" s="116">
        <f>'P NP KARAMBA IKAN'!BN11</f>
        <v>0</v>
      </c>
      <c r="L37" s="116">
        <f>'P NP KARAMBA IKAN'!BM12</f>
        <v>0</v>
      </c>
      <c r="M37" s="116">
        <f>'P NP KARAMBA IKAN'!BN12</f>
        <v>0</v>
      </c>
      <c r="N37" s="116">
        <f>'P NP KARAMBA IKAN'!BM13</f>
        <v>0</v>
      </c>
      <c r="O37" s="116">
        <f>'P NP KARAMBA IKAN'!BN13</f>
        <v>0</v>
      </c>
      <c r="P37" s="116">
        <f>'P NP KARAMBA IKAN'!BM14</f>
        <v>0</v>
      </c>
      <c r="Q37" s="116">
        <f>'P NP KARAMBA IKAN'!BN14</f>
        <v>0</v>
      </c>
      <c r="R37" s="116">
        <f>'P NP KARAMBA IKAN'!BM15</f>
        <v>0</v>
      </c>
      <c r="S37" s="116">
        <f>'P NP KARAMBA IKAN'!BN15</f>
        <v>0</v>
      </c>
      <c r="T37" s="116">
        <f>'P NP KARAMBA IKAN'!BM16</f>
        <v>0</v>
      </c>
      <c r="U37" s="116">
        <f>'P NP KARAMBA IKAN'!BN16</f>
        <v>0</v>
      </c>
      <c r="V37" s="116">
        <f>'P NP KARAMBA IKAN'!BM17</f>
        <v>0</v>
      </c>
      <c r="W37" s="116">
        <f>'P NP KARAMBA IKAN'!BN17</f>
        <v>0</v>
      </c>
      <c r="X37" s="116">
        <f>'P NP KARAMBA IKAN'!BM18</f>
        <v>0</v>
      </c>
      <c r="Y37" s="116">
        <f>'P NP KARAMBA IKAN'!BN18</f>
        <v>0</v>
      </c>
      <c r="Z37" s="116">
        <f>'P NP KARAMBA IKAN'!BM19</f>
        <v>0</v>
      </c>
      <c r="AA37" s="116">
        <f>'P NP KARAMBA IKAN'!BN19</f>
        <v>0</v>
      </c>
      <c r="AB37" s="116">
        <f>'P NP KARAMBA IKAN'!BM20</f>
        <v>0</v>
      </c>
      <c r="AC37" s="116">
        <f>'P NP KARAMBA IKAN'!BN20</f>
        <v>0</v>
      </c>
      <c r="AD37" s="116">
        <f>'P NP KARAMBA IKAN'!BM21</f>
        <v>0</v>
      </c>
      <c r="AE37" s="116">
        <f>'P NP KARAMBA IKAN'!BN21</f>
        <v>0</v>
      </c>
      <c r="AF37" s="116">
        <f>'P NP KARAMBA IKAN'!BM22</f>
        <v>0</v>
      </c>
      <c r="AG37" s="116">
        <f>'P NP KARAMBA IKAN'!BN22</f>
        <v>0</v>
      </c>
      <c r="AH37" s="116">
        <f>'P NP KARAMBA IKAN'!BM23</f>
        <v>0</v>
      </c>
      <c r="AI37" s="116">
        <f>'P NP KARAMBA IKAN'!BN23</f>
        <v>0</v>
      </c>
      <c r="AJ37" s="116">
        <f>'P NP KARAMBA IKAN'!BM24</f>
        <v>0</v>
      </c>
      <c r="AK37" s="116">
        <f>'P NP KARAMBA IKAN'!BN24</f>
        <v>0</v>
      </c>
      <c r="AL37" s="116">
        <f>'P NP KARAMBA IKAN'!BM25</f>
        <v>0</v>
      </c>
      <c r="AM37" s="116">
        <f>'P NP KARAMBA IKAN'!BN25</f>
        <v>0</v>
      </c>
      <c r="AN37" s="116">
        <f>'P NP KARAMBA IKAN'!BM26</f>
        <v>0</v>
      </c>
      <c r="AO37" s="116">
        <f>'P NP KARAMBA IKAN'!BN26</f>
        <v>0</v>
      </c>
      <c r="AP37" s="116">
        <f>'P NP KARAMBA IKAN'!BM27</f>
        <v>0</v>
      </c>
      <c r="AQ37" s="116">
        <f>'P NP KARAMBA IKAN'!BN27</f>
        <v>0</v>
      </c>
      <c r="AR37" s="116">
        <f>'P NP KARAMBA IKAN'!BM28</f>
        <v>0</v>
      </c>
      <c r="AS37" s="116">
        <f>'P NP KARAMBA IKAN'!BN28</f>
        <v>0</v>
      </c>
      <c r="AT37" s="116">
        <f>'P NP KARAMBA IKAN'!BM29</f>
        <v>0</v>
      </c>
      <c r="AU37" s="116">
        <f>'P NP KARAMBA IKAN'!BN29</f>
        <v>0</v>
      </c>
      <c r="AV37" s="116">
        <f>'P NP KARAMBA IKAN'!BM30</f>
        <v>0</v>
      </c>
      <c r="AW37" s="116">
        <f>'P NP KARAMBA IKAN'!BN30</f>
        <v>0</v>
      </c>
      <c r="AX37" s="116">
        <f>'P NP KARAMBA IKAN'!BM31</f>
        <v>0</v>
      </c>
      <c r="AY37" s="116">
        <f>'P NP KARAMBA IKAN'!BN31</f>
        <v>0</v>
      </c>
      <c r="AZ37" s="116">
        <f>'P NP KARAMBA IKAN'!BM32</f>
        <v>0</v>
      </c>
      <c r="BA37" s="116">
        <f>'P NP KARAMBA IKAN'!BN32</f>
        <v>0</v>
      </c>
      <c r="BB37" s="116">
        <f>'P NP KARAMBA IKAN'!BM33</f>
        <v>0</v>
      </c>
      <c r="BC37" s="116">
        <f>'P NP KARAMBA IKAN'!BN33</f>
        <v>0</v>
      </c>
      <c r="BD37" s="116">
        <f>'P NP KARAMBA IKAN'!BM34</f>
        <v>0</v>
      </c>
      <c r="BE37" s="116">
        <f>'P NP KARAMBA IKAN'!BN34</f>
        <v>0</v>
      </c>
      <c r="BF37" s="116">
        <f>'P NP KARAMBA IKAN'!BM35</f>
        <v>0</v>
      </c>
      <c r="BG37" s="116">
        <f>'P NP KARAMBA IKAN'!BN35</f>
        <v>0</v>
      </c>
      <c r="BH37" s="116">
        <f>'P NP KARAMBA IKAN'!BM36</f>
        <v>0</v>
      </c>
      <c r="BI37" s="116">
        <f>'P NP KARAMBA IKAN'!BN36</f>
        <v>0</v>
      </c>
      <c r="BJ37" s="116">
        <f>'P NP KARAMBA IKAN'!BM37</f>
        <v>0</v>
      </c>
      <c r="BK37" s="116">
        <f>'P NP KARAMBA IKAN'!BN37</f>
        <v>0</v>
      </c>
      <c r="BL37" s="116">
        <f>'P NP KARAMBA IKAN'!BM38</f>
        <v>0</v>
      </c>
      <c r="BM37" s="116">
        <f>'P NP KARAMBA IKAN'!BN38</f>
        <v>0</v>
      </c>
      <c r="BN37" s="116">
        <f>'P NP KARAMBA IKAN'!BM39</f>
        <v>0</v>
      </c>
      <c r="BO37" s="116">
        <f>'P NP KARAMBA IKAN'!BN39</f>
        <v>0</v>
      </c>
      <c r="BP37" s="116">
        <f>'P NP KARAMBA IKAN'!BM40</f>
        <v>0</v>
      </c>
      <c r="BQ37" s="116">
        <f>'P NP KARAMBA IKAN'!BN40</f>
        <v>0</v>
      </c>
      <c r="BR37" s="116">
        <f>'P NP KARAMBA IKAN'!BM41</f>
        <v>0</v>
      </c>
      <c r="BS37" s="116">
        <f>'P NP KARAMBA IKAN'!BN41</f>
        <v>0</v>
      </c>
      <c r="BT37" s="116">
        <f>'P NP KARAMBA IKAN'!BM42</f>
        <v>0</v>
      </c>
      <c r="BU37" s="116">
        <f>'P NP KARAMBA IKAN'!BN42</f>
        <v>0</v>
      </c>
      <c r="BV37" s="116">
        <f>'P NP KARAMBA IKAN'!BM43</f>
        <v>0</v>
      </c>
      <c r="BW37" s="116">
        <f>'P NP KARAMBA IKAN'!BN43</f>
        <v>0</v>
      </c>
      <c r="BX37" s="116">
        <f>'P NP KARAMBA IKAN'!BM44</f>
        <v>0</v>
      </c>
      <c r="BY37" s="116">
        <f>'P NP KARAMBA IKAN'!BN44</f>
        <v>0</v>
      </c>
    </row>
    <row r="38" spans="1:77">
      <c r="A38" s="260" t="s">
        <v>147</v>
      </c>
      <c r="B38" s="116">
        <f t="shared" si="2"/>
        <v>0</v>
      </c>
      <c r="C38" s="116">
        <f t="shared" si="3"/>
        <v>0</v>
      </c>
      <c r="D38" s="116">
        <f>'P NP KARAMBA IKAN'!BO8</f>
        <v>0</v>
      </c>
      <c r="E38" s="116">
        <f>'P NP KARAMBA IKAN'!BP8</f>
        <v>0</v>
      </c>
      <c r="F38" s="116">
        <f>'P NP KARAMBA IKAN'!BO9</f>
        <v>0</v>
      </c>
      <c r="G38" s="116">
        <f>'P NP KARAMBA IKAN'!BP9</f>
        <v>0</v>
      </c>
      <c r="H38" s="116">
        <f>'P NP KARAMBA IKAN'!BO10</f>
        <v>0</v>
      </c>
      <c r="I38" s="116">
        <f>'P NP KARAMBA IKAN'!BP10</f>
        <v>0</v>
      </c>
      <c r="J38" s="116">
        <f>'P NP KARAMBA IKAN'!BO11</f>
        <v>0</v>
      </c>
      <c r="K38" s="116">
        <f>'P NP KARAMBA IKAN'!BP11</f>
        <v>0</v>
      </c>
      <c r="L38" s="116">
        <f>'P NP KARAMBA IKAN'!BO12</f>
        <v>0</v>
      </c>
      <c r="M38" s="116">
        <f>'P NP KARAMBA IKAN'!BP12</f>
        <v>0</v>
      </c>
      <c r="N38" s="116">
        <f>'P NP KARAMBA IKAN'!BO13</f>
        <v>0</v>
      </c>
      <c r="O38" s="116">
        <f>'P NP KARAMBA IKAN'!BP13</f>
        <v>0</v>
      </c>
      <c r="P38" s="116">
        <f>'P NP KARAMBA IKAN'!BO14</f>
        <v>0</v>
      </c>
      <c r="Q38" s="116">
        <f>'P NP KARAMBA IKAN'!BP14</f>
        <v>0</v>
      </c>
      <c r="R38" s="116">
        <f>'P NP KARAMBA IKAN'!BO15</f>
        <v>0</v>
      </c>
      <c r="S38" s="116">
        <f>'P NP KARAMBA IKAN'!BP15</f>
        <v>0</v>
      </c>
      <c r="T38" s="116">
        <f>'P NP KARAMBA IKAN'!BO16</f>
        <v>0</v>
      </c>
      <c r="U38" s="116">
        <f>'P NP KARAMBA IKAN'!BP16</f>
        <v>0</v>
      </c>
      <c r="V38" s="116">
        <f>'P NP KARAMBA IKAN'!BO17</f>
        <v>0</v>
      </c>
      <c r="W38" s="116">
        <f>'P NP KARAMBA IKAN'!BP17</f>
        <v>0</v>
      </c>
      <c r="X38" s="116">
        <f>'P NP KARAMBA IKAN'!BO18</f>
        <v>0</v>
      </c>
      <c r="Y38" s="116">
        <f>'P NP KARAMBA IKAN'!BP18</f>
        <v>0</v>
      </c>
      <c r="Z38" s="116">
        <f>'P NP KARAMBA IKAN'!BO19</f>
        <v>0</v>
      </c>
      <c r="AA38" s="116">
        <f>'P NP KARAMBA IKAN'!BP19</f>
        <v>0</v>
      </c>
      <c r="AB38" s="116">
        <f>'P NP KARAMBA IKAN'!BO20</f>
        <v>0</v>
      </c>
      <c r="AC38" s="116">
        <f>'P NP KARAMBA IKAN'!BP20</f>
        <v>0</v>
      </c>
      <c r="AD38" s="116">
        <f>'P NP KARAMBA IKAN'!BO21</f>
        <v>0</v>
      </c>
      <c r="AE38" s="116">
        <f>'P NP KARAMBA IKAN'!BP21</f>
        <v>0</v>
      </c>
      <c r="AF38" s="116">
        <f>'P NP KARAMBA IKAN'!BO22</f>
        <v>0</v>
      </c>
      <c r="AG38" s="116">
        <f>'P NP KARAMBA IKAN'!BP22</f>
        <v>0</v>
      </c>
      <c r="AH38" s="116">
        <f>'P NP KARAMBA IKAN'!BO23</f>
        <v>0</v>
      </c>
      <c r="AI38" s="116">
        <f>'P NP KARAMBA IKAN'!BP23</f>
        <v>0</v>
      </c>
      <c r="AJ38" s="116">
        <f>'P NP KARAMBA IKAN'!BO24</f>
        <v>0</v>
      </c>
      <c r="AK38" s="116">
        <f>'P NP KARAMBA IKAN'!BP24</f>
        <v>0</v>
      </c>
      <c r="AL38" s="116">
        <f>'P NP KARAMBA IKAN'!BO25</f>
        <v>0</v>
      </c>
      <c r="AM38" s="116">
        <f>'P NP KARAMBA IKAN'!BP25</f>
        <v>0</v>
      </c>
      <c r="AN38" s="116">
        <f>'P NP KARAMBA IKAN'!BO26</f>
        <v>0</v>
      </c>
      <c r="AO38" s="116">
        <f>'P NP KARAMBA IKAN'!BP26</f>
        <v>0</v>
      </c>
      <c r="AP38" s="116">
        <f>'P NP KARAMBA IKAN'!BO27</f>
        <v>0</v>
      </c>
      <c r="AQ38" s="116">
        <f>'P NP KARAMBA IKAN'!BP27</f>
        <v>0</v>
      </c>
      <c r="AR38" s="116">
        <f>'P NP KARAMBA IKAN'!BO28</f>
        <v>0</v>
      </c>
      <c r="AS38" s="116">
        <f>'P NP KARAMBA IKAN'!BP28</f>
        <v>0</v>
      </c>
      <c r="AT38" s="116">
        <f>'P NP KARAMBA IKAN'!BO29</f>
        <v>0</v>
      </c>
      <c r="AU38" s="116">
        <f>'P NP KARAMBA IKAN'!BP29</f>
        <v>0</v>
      </c>
      <c r="AV38" s="116">
        <f>'P NP KARAMBA IKAN'!BO30</f>
        <v>0</v>
      </c>
      <c r="AW38" s="116">
        <f>'P NP KARAMBA IKAN'!BP30</f>
        <v>0</v>
      </c>
      <c r="AX38" s="116">
        <f>'P NP KARAMBA IKAN'!BO31</f>
        <v>0</v>
      </c>
      <c r="AY38" s="116">
        <f>'P NP KARAMBA IKAN'!BP31</f>
        <v>0</v>
      </c>
      <c r="AZ38" s="116">
        <f>'P NP KARAMBA IKAN'!BO32</f>
        <v>0</v>
      </c>
      <c r="BA38" s="116">
        <f>'P NP KARAMBA IKAN'!BP32</f>
        <v>0</v>
      </c>
      <c r="BB38" s="116">
        <f>'P NP KARAMBA IKAN'!BO33</f>
        <v>0</v>
      </c>
      <c r="BC38" s="116">
        <f>'P NP KARAMBA IKAN'!BP33</f>
        <v>0</v>
      </c>
      <c r="BD38" s="116">
        <f>'P NP KARAMBA IKAN'!BO34</f>
        <v>0</v>
      </c>
      <c r="BE38" s="116">
        <f>'P NP KARAMBA IKAN'!BP34</f>
        <v>0</v>
      </c>
      <c r="BF38" s="116">
        <f>'P NP KARAMBA IKAN'!BO35</f>
        <v>0</v>
      </c>
      <c r="BG38" s="116">
        <f>'P NP KARAMBA IKAN'!BP35</f>
        <v>0</v>
      </c>
      <c r="BH38" s="116">
        <f>'P NP KARAMBA IKAN'!BO36</f>
        <v>0</v>
      </c>
      <c r="BI38" s="116">
        <f>'P NP KARAMBA IKAN'!BP36</f>
        <v>0</v>
      </c>
      <c r="BJ38" s="116">
        <f>'P NP KARAMBA IKAN'!BO37</f>
        <v>0</v>
      </c>
      <c r="BK38" s="116">
        <f>'P NP KARAMBA IKAN'!BP37</f>
        <v>0</v>
      </c>
      <c r="BL38" s="116">
        <f>'P NP KARAMBA IKAN'!BO38</f>
        <v>0</v>
      </c>
      <c r="BM38" s="116">
        <f>'P NP KARAMBA IKAN'!BP38</f>
        <v>0</v>
      </c>
      <c r="BN38" s="116">
        <f>'P NP KARAMBA IKAN'!BO39</f>
        <v>0</v>
      </c>
      <c r="BO38" s="116">
        <f>'P NP KARAMBA IKAN'!BP39</f>
        <v>0</v>
      </c>
      <c r="BP38" s="116">
        <f>'P NP KARAMBA IKAN'!BO40</f>
        <v>0</v>
      </c>
      <c r="BQ38" s="116">
        <f>'P NP KARAMBA IKAN'!BP40</f>
        <v>0</v>
      </c>
      <c r="BR38" s="116">
        <f>'P NP KARAMBA IKAN'!BO41</f>
        <v>0</v>
      </c>
      <c r="BS38" s="116">
        <f>'P NP KARAMBA IKAN'!BP41</f>
        <v>0</v>
      </c>
      <c r="BT38" s="116">
        <f>'P NP KARAMBA IKAN'!BO42</f>
        <v>0</v>
      </c>
      <c r="BU38" s="116">
        <f>'P NP KARAMBA IKAN'!BP42</f>
        <v>0</v>
      </c>
      <c r="BV38" s="116">
        <f>'P NP KARAMBA IKAN'!BO43</f>
        <v>0</v>
      </c>
      <c r="BW38" s="116">
        <f>'P NP KARAMBA IKAN'!BP43</f>
        <v>0</v>
      </c>
      <c r="BX38" s="116">
        <f>'P NP KARAMBA IKAN'!BO44</f>
        <v>0</v>
      </c>
      <c r="BY38" s="116">
        <f>'P NP KARAMBA IKAN'!BP44</f>
        <v>0</v>
      </c>
    </row>
    <row r="39" spans="1:77">
      <c r="A39" s="260" t="s">
        <v>143</v>
      </c>
      <c r="B39" s="116">
        <f t="shared" si="2"/>
        <v>18600</v>
      </c>
      <c r="C39" s="116">
        <f t="shared" si="3"/>
        <v>596250</v>
      </c>
      <c r="D39" s="116">
        <f>'P NP KARAMBA IKAN'!BQ8</f>
        <v>0</v>
      </c>
      <c r="E39" s="116">
        <f>'P NP KARAMBA IKAN'!BR8</f>
        <v>0</v>
      </c>
      <c r="F39" s="116">
        <f>'P NP KARAMBA IKAN'!BQ9</f>
        <v>0</v>
      </c>
      <c r="G39" s="116">
        <f>'P NP KARAMBA IKAN'!BR9</f>
        <v>0</v>
      </c>
      <c r="H39" s="116">
        <f>'P NP KARAMBA IKAN'!BQ10</f>
        <v>0</v>
      </c>
      <c r="I39" s="116">
        <f>'P NP KARAMBA IKAN'!BR10</f>
        <v>0</v>
      </c>
      <c r="J39" s="116">
        <f>'P NP KARAMBA IKAN'!BQ11</f>
        <v>0</v>
      </c>
      <c r="K39" s="116">
        <f>'P NP KARAMBA IKAN'!BR11</f>
        <v>0</v>
      </c>
      <c r="L39" s="116">
        <f>'P NP KARAMBA IKAN'!BQ12</f>
        <v>0</v>
      </c>
      <c r="M39" s="116">
        <f>'P NP KARAMBA IKAN'!BR12</f>
        <v>0</v>
      </c>
      <c r="N39" s="116">
        <f>'P NP KARAMBA IKAN'!BQ13</f>
        <v>0</v>
      </c>
      <c r="O39" s="116">
        <f>'P NP KARAMBA IKAN'!BR13</f>
        <v>0</v>
      </c>
      <c r="P39" s="116">
        <f>'P NP KARAMBA IKAN'!BQ14</f>
        <v>0</v>
      </c>
      <c r="Q39" s="116">
        <f>'P NP KARAMBA IKAN'!BR14</f>
        <v>0</v>
      </c>
      <c r="R39" s="116">
        <f>'P NP KARAMBA IKAN'!BQ15</f>
        <v>0</v>
      </c>
      <c r="S39" s="116">
        <f>'P NP KARAMBA IKAN'!BR15</f>
        <v>0</v>
      </c>
      <c r="T39" s="116">
        <f>'P NP KARAMBA IKAN'!BQ16</f>
        <v>0</v>
      </c>
      <c r="U39" s="116">
        <f>'P NP KARAMBA IKAN'!BR16</f>
        <v>0</v>
      </c>
      <c r="V39" s="116">
        <f>'P NP KARAMBA IKAN'!BQ17</f>
        <v>0</v>
      </c>
      <c r="W39" s="116">
        <f>'P NP KARAMBA IKAN'!BR17</f>
        <v>0</v>
      </c>
      <c r="X39" s="116">
        <f>'P NP KARAMBA IKAN'!BQ18</f>
        <v>0</v>
      </c>
      <c r="Y39" s="116">
        <f>'P NP KARAMBA IKAN'!BR18</f>
        <v>0</v>
      </c>
      <c r="Z39" s="116">
        <f>'P NP KARAMBA IKAN'!BQ19</f>
        <v>0</v>
      </c>
      <c r="AA39" s="116">
        <f>'P NP KARAMBA IKAN'!BR19</f>
        <v>0</v>
      </c>
      <c r="AB39" s="116">
        <f>'P NP KARAMBA IKAN'!BQ20</f>
        <v>0</v>
      </c>
      <c r="AC39" s="116">
        <f>'P NP KARAMBA IKAN'!BR20</f>
        <v>0</v>
      </c>
      <c r="AD39" s="116">
        <f>'P NP KARAMBA IKAN'!BQ21</f>
        <v>0</v>
      </c>
      <c r="AE39" s="116">
        <f>'P NP KARAMBA IKAN'!BR21</f>
        <v>0</v>
      </c>
      <c r="AF39" s="116">
        <f>'P NP KARAMBA IKAN'!BQ22</f>
        <v>0</v>
      </c>
      <c r="AG39" s="116">
        <f>'P NP KARAMBA IKAN'!BR22</f>
        <v>0</v>
      </c>
      <c r="AH39" s="116">
        <f>'P NP KARAMBA IKAN'!BQ23</f>
        <v>0</v>
      </c>
      <c r="AI39" s="116">
        <f>'P NP KARAMBA IKAN'!BR23</f>
        <v>0</v>
      </c>
      <c r="AJ39" s="116">
        <f>'P NP KARAMBA IKAN'!BQ24</f>
        <v>7650</v>
      </c>
      <c r="AK39" s="116">
        <f>'P NP KARAMBA IKAN'!BR24</f>
        <v>267750</v>
      </c>
      <c r="AL39" s="116">
        <f>'P NP KARAMBA IKAN'!BQ25</f>
        <v>0</v>
      </c>
      <c r="AM39" s="116">
        <f>'P NP KARAMBA IKAN'!BR25</f>
        <v>0</v>
      </c>
      <c r="AN39" s="116">
        <f>'P NP KARAMBA IKAN'!BQ26</f>
        <v>10950</v>
      </c>
      <c r="AO39" s="116">
        <f>'P NP KARAMBA IKAN'!BR26</f>
        <v>328500</v>
      </c>
      <c r="AP39" s="116">
        <f>'P NP KARAMBA IKAN'!BQ27</f>
        <v>0</v>
      </c>
      <c r="AQ39" s="116">
        <f>'P NP KARAMBA IKAN'!BR27</f>
        <v>0</v>
      </c>
      <c r="AR39" s="116">
        <f>'P NP KARAMBA IKAN'!BQ28</f>
        <v>0</v>
      </c>
      <c r="AS39" s="116">
        <f>'P NP KARAMBA IKAN'!BR28</f>
        <v>0</v>
      </c>
      <c r="AT39" s="116">
        <f>'P NP KARAMBA IKAN'!BQ29</f>
        <v>0</v>
      </c>
      <c r="AU39" s="116">
        <f>'P NP KARAMBA IKAN'!BR29</f>
        <v>0</v>
      </c>
      <c r="AV39" s="116">
        <f>'P NP KARAMBA IKAN'!BQ30</f>
        <v>0</v>
      </c>
      <c r="AW39" s="116">
        <f>'P NP KARAMBA IKAN'!BR30</f>
        <v>0</v>
      </c>
      <c r="AX39" s="116">
        <f>'P NP KARAMBA IKAN'!BQ31</f>
        <v>0</v>
      </c>
      <c r="AY39" s="116">
        <f>'P NP KARAMBA IKAN'!BR31</f>
        <v>0</v>
      </c>
      <c r="AZ39" s="116">
        <f>'P NP KARAMBA IKAN'!BQ32</f>
        <v>0</v>
      </c>
      <c r="BA39" s="116">
        <f>'P NP KARAMBA IKAN'!BR32</f>
        <v>0</v>
      </c>
      <c r="BB39" s="116">
        <f>'P NP KARAMBA IKAN'!BQ33</f>
        <v>0</v>
      </c>
      <c r="BC39" s="116">
        <f>'P NP KARAMBA IKAN'!BR33</f>
        <v>0</v>
      </c>
      <c r="BD39" s="116">
        <f>'P NP KARAMBA IKAN'!BQ34</f>
        <v>0</v>
      </c>
      <c r="BE39" s="116">
        <f>'P NP KARAMBA IKAN'!BR34</f>
        <v>0</v>
      </c>
      <c r="BF39" s="116">
        <f>'P NP KARAMBA IKAN'!BQ35</f>
        <v>0</v>
      </c>
      <c r="BG39" s="116">
        <f>'P NP KARAMBA IKAN'!BR35</f>
        <v>0</v>
      </c>
      <c r="BH39" s="116">
        <f>'P NP KARAMBA IKAN'!BQ36</f>
        <v>0</v>
      </c>
      <c r="BI39" s="116">
        <f>'P NP KARAMBA IKAN'!BR36</f>
        <v>0</v>
      </c>
      <c r="BJ39" s="116">
        <f>'P NP KARAMBA IKAN'!BQ37</f>
        <v>0</v>
      </c>
      <c r="BK39" s="116">
        <f>'P NP KARAMBA IKAN'!BR37</f>
        <v>0</v>
      </c>
      <c r="BL39" s="116">
        <f>'P NP KARAMBA IKAN'!BQ38</f>
        <v>0</v>
      </c>
      <c r="BM39" s="116">
        <f>'P NP KARAMBA IKAN'!BR38</f>
        <v>0</v>
      </c>
      <c r="BN39" s="116">
        <f>'P NP KARAMBA IKAN'!BQ39</f>
        <v>0</v>
      </c>
      <c r="BO39" s="116">
        <f>'P NP KARAMBA IKAN'!BR39</f>
        <v>0</v>
      </c>
      <c r="BP39" s="116">
        <f>'P NP KARAMBA IKAN'!BQ40</f>
        <v>0</v>
      </c>
      <c r="BQ39" s="116">
        <f>'P NP KARAMBA IKAN'!BR40</f>
        <v>0</v>
      </c>
      <c r="BR39" s="116">
        <f>'P NP KARAMBA IKAN'!BQ41</f>
        <v>0</v>
      </c>
      <c r="BS39" s="116">
        <f>'P NP KARAMBA IKAN'!BR41</f>
        <v>0</v>
      </c>
      <c r="BT39" s="116">
        <f>'P NP KARAMBA IKAN'!BQ42</f>
        <v>0</v>
      </c>
      <c r="BU39" s="116">
        <f>'P NP KARAMBA IKAN'!BR42</f>
        <v>0</v>
      </c>
      <c r="BV39" s="116">
        <f>'P NP KARAMBA IKAN'!BQ43</f>
        <v>0</v>
      </c>
      <c r="BW39" s="116">
        <f>'P NP KARAMBA IKAN'!BR43</f>
        <v>0</v>
      </c>
      <c r="BX39" s="116">
        <f>'P NP KARAMBA IKAN'!BQ44</f>
        <v>0</v>
      </c>
      <c r="BY39" s="116">
        <f>'P NP KARAMBA IKAN'!BR44</f>
        <v>0</v>
      </c>
    </row>
    <row r="40" spans="1:77">
      <c r="A40" s="260" t="s">
        <v>146</v>
      </c>
      <c r="B40" s="116">
        <f t="shared" si="2"/>
        <v>0</v>
      </c>
      <c r="C40" s="116">
        <f t="shared" si="3"/>
        <v>0</v>
      </c>
      <c r="D40" s="116">
        <f>'P NP KARAMBA IKAN'!BS8</f>
        <v>0</v>
      </c>
      <c r="E40" s="116">
        <f>'P NP KARAMBA IKAN'!BT8</f>
        <v>0</v>
      </c>
      <c r="F40" s="116">
        <f>'P NP KARAMBA IKAN'!BS9</f>
        <v>0</v>
      </c>
      <c r="G40" s="116">
        <f>'P NP KARAMBA IKAN'!BT9</f>
        <v>0</v>
      </c>
      <c r="H40" s="116">
        <f>'P NP KARAMBA IKAN'!BS10</f>
        <v>0</v>
      </c>
      <c r="I40" s="116">
        <f>'P NP KARAMBA IKAN'!BT10</f>
        <v>0</v>
      </c>
      <c r="J40" s="116">
        <f>'P NP KARAMBA IKAN'!BS11</f>
        <v>0</v>
      </c>
      <c r="K40" s="116">
        <f>'P NP KARAMBA IKAN'!BT11</f>
        <v>0</v>
      </c>
      <c r="L40" s="116">
        <f>'P NP KARAMBA IKAN'!BS12</f>
        <v>0</v>
      </c>
      <c r="M40" s="116">
        <f>'P NP KARAMBA IKAN'!BT12</f>
        <v>0</v>
      </c>
      <c r="N40" s="116">
        <f>'P NP KARAMBA IKAN'!BS13</f>
        <v>0</v>
      </c>
      <c r="O40" s="116">
        <f>'P NP KARAMBA IKAN'!BT13</f>
        <v>0</v>
      </c>
      <c r="P40" s="116">
        <f>'P NP KARAMBA IKAN'!BS14</f>
        <v>0</v>
      </c>
      <c r="Q40" s="116">
        <f>'P NP KARAMBA IKAN'!BT14</f>
        <v>0</v>
      </c>
      <c r="R40" s="116">
        <f>'P NP KARAMBA IKAN'!BS15</f>
        <v>0</v>
      </c>
      <c r="S40" s="116">
        <f>'P NP KARAMBA IKAN'!BT15</f>
        <v>0</v>
      </c>
      <c r="T40" s="116">
        <f>'P NP KARAMBA IKAN'!BS16</f>
        <v>0</v>
      </c>
      <c r="U40" s="116">
        <f>'P NP KARAMBA IKAN'!BT16</f>
        <v>0</v>
      </c>
      <c r="V40" s="116">
        <f>'P NP KARAMBA IKAN'!BS17</f>
        <v>0</v>
      </c>
      <c r="W40" s="116">
        <f>'P NP KARAMBA IKAN'!BT17</f>
        <v>0</v>
      </c>
      <c r="X40" s="116">
        <f>'P NP KARAMBA IKAN'!BS18</f>
        <v>0</v>
      </c>
      <c r="Y40" s="116">
        <f>'P NP KARAMBA IKAN'!BT18</f>
        <v>0</v>
      </c>
      <c r="Z40" s="116">
        <f>'P NP KARAMBA IKAN'!BS19</f>
        <v>0</v>
      </c>
      <c r="AA40" s="116">
        <f>'P NP KARAMBA IKAN'!BT19</f>
        <v>0</v>
      </c>
      <c r="AB40" s="116">
        <f>'P NP KARAMBA IKAN'!BS20</f>
        <v>0</v>
      </c>
      <c r="AC40" s="116">
        <f>'P NP KARAMBA IKAN'!BT20</f>
        <v>0</v>
      </c>
      <c r="AD40" s="116">
        <f>'P NP KARAMBA IKAN'!BS21</f>
        <v>0</v>
      </c>
      <c r="AE40" s="116">
        <f>'P NP KARAMBA IKAN'!BT21</f>
        <v>0</v>
      </c>
      <c r="AF40" s="116">
        <f>'P NP KARAMBA IKAN'!BS22</f>
        <v>0</v>
      </c>
      <c r="AG40" s="116">
        <f>'P NP KARAMBA IKAN'!BT22</f>
        <v>0</v>
      </c>
      <c r="AH40" s="116">
        <f>'P NP KARAMBA IKAN'!BS23</f>
        <v>0</v>
      </c>
      <c r="AI40" s="116">
        <f>'P NP KARAMBA IKAN'!BT23</f>
        <v>0</v>
      </c>
      <c r="AJ40" s="116">
        <f>'P NP KARAMBA IKAN'!BS24</f>
        <v>0</v>
      </c>
      <c r="AK40" s="116">
        <f>'P NP KARAMBA IKAN'!BT24</f>
        <v>0</v>
      </c>
      <c r="AL40" s="116">
        <f>'P NP KARAMBA IKAN'!BS25</f>
        <v>0</v>
      </c>
      <c r="AM40" s="116">
        <f>'P NP KARAMBA IKAN'!BT25</f>
        <v>0</v>
      </c>
      <c r="AN40" s="116">
        <f>'P NP KARAMBA IKAN'!BS26</f>
        <v>0</v>
      </c>
      <c r="AO40" s="116">
        <f>'P NP KARAMBA IKAN'!BT26</f>
        <v>0</v>
      </c>
      <c r="AP40" s="116">
        <f>'P NP KARAMBA IKAN'!BS27</f>
        <v>0</v>
      </c>
      <c r="AQ40" s="116">
        <f>'P NP KARAMBA IKAN'!BT27</f>
        <v>0</v>
      </c>
      <c r="AR40" s="116">
        <f>'P NP KARAMBA IKAN'!BS28</f>
        <v>0</v>
      </c>
      <c r="AS40" s="116">
        <f>'P NP KARAMBA IKAN'!BT28</f>
        <v>0</v>
      </c>
      <c r="AT40" s="116">
        <f>'P NP KARAMBA IKAN'!BS29</f>
        <v>0</v>
      </c>
      <c r="AU40" s="116">
        <f>'P NP KARAMBA IKAN'!BT29</f>
        <v>0</v>
      </c>
      <c r="AV40" s="116">
        <f>'P NP KARAMBA IKAN'!BS30</f>
        <v>0</v>
      </c>
      <c r="AW40" s="116">
        <f>'P NP KARAMBA IKAN'!BT30</f>
        <v>0</v>
      </c>
      <c r="AX40" s="116">
        <f>'P NP KARAMBA IKAN'!BS31</f>
        <v>0</v>
      </c>
      <c r="AY40" s="116">
        <f>'P NP KARAMBA IKAN'!BT31</f>
        <v>0</v>
      </c>
      <c r="AZ40" s="116">
        <f>'P NP KARAMBA IKAN'!BS32</f>
        <v>0</v>
      </c>
      <c r="BA40" s="116">
        <f>'P NP KARAMBA IKAN'!BT32</f>
        <v>0</v>
      </c>
      <c r="BB40" s="116">
        <f>'P NP KARAMBA IKAN'!BS33</f>
        <v>0</v>
      </c>
      <c r="BC40" s="116">
        <f>'P NP KARAMBA IKAN'!BT33</f>
        <v>0</v>
      </c>
      <c r="BD40" s="116">
        <f>'P NP KARAMBA IKAN'!BS34</f>
        <v>0</v>
      </c>
      <c r="BE40" s="116">
        <f>'P NP KARAMBA IKAN'!BT34</f>
        <v>0</v>
      </c>
      <c r="BF40" s="116">
        <f>'P NP KARAMBA IKAN'!BS35</f>
        <v>0</v>
      </c>
      <c r="BG40" s="116">
        <f>'P NP KARAMBA IKAN'!BT35</f>
        <v>0</v>
      </c>
      <c r="BH40" s="116">
        <f>'P NP KARAMBA IKAN'!BS36</f>
        <v>0</v>
      </c>
      <c r="BI40" s="116">
        <f>'P NP KARAMBA IKAN'!BT36</f>
        <v>0</v>
      </c>
      <c r="BJ40" s="116">
        <f>'P NP KARAMBA IKAN'!BS37</f>
        <v>0</v>
      </c>
      <c r="BK40" s="116">
        <f>'P NP KARAMBA IKAN'!BT37</f>
        <v>0</v>
      </c>
      <c r="BL40" s="116">
        <f>'P NP KARAMBA IKAN'!BS38</f>
        <v>0</v>
      </c>
      <c r="BM40" s="116">
        <f>'P NP KARAMBA IKAN'!BT38</f>
        <v>0</v>
      </c>
      <c r="BN40" s="116">
        <f>'P NP KARAMBA IKAN'!BS39</f>
        <v>0</v>
      </c>
      <c r="BO40" s="116">
        <f>'P NP KARAMBA IKAN'!BT39</f>
        <v>0</v>
      </c>
      <c r="BP40" s="116">
        <f>'P NP KARAMBA IKAN'!BS40</f>
        <v>0</v>
      </c>
      <c r="BQ40" s="116">
        <f>'P NP KARAMBA IKAN'!BT40</f>
        <v>0</v>
      </c>
      <c r="BR40" s="116">
        <f>'P NP KARAMBA IKAN'!BS41</f>
        <v>0</v>
      </c>
      <c r="BS40" s="116">
        <f>'P NP KARAMBA IKAN'!BT41</f>
        <v>0</v>
      </c>
      <c r="BT40" s="116">
        <f>'P NP KARAMBA IKAN'!BS42</f>
        <v>0</v>
      </c>
      <c r="BU40" s="116">
        <f>'P NP KARAMBA IKAN'!BT42</f>
        <v>0</v>
      </c>
      <c r="BV40" s="116">
        <f>'P NP KARAMBA IKAN'!BS43</f>
        <v>0</v>
      </c>
      <c r="BW40" s="116">
        <f>'P NP KARAMBA IKAN'!BT43</f>
        <v>0</v>
      </c>
      <c r="BX40" s="116">
        <f>'P NP KARAMBA IKAN'!BS44</f>
        <v>0</v>
      </c>
      <c r="BY40" s="116">
        <f>'P NP KARAMBA IKAN'!BT44</f>
        <v>0</v>
      </c>
    </row>
    <row r="41" spans="1:77">
      <c r="A41" s="260" t="s">
        <v>145</v>
      </c>
      <c r="B41" s="116">
        <f t="shared" si="2"/>
        <v>0</v>
      </c>
      <c r="C41" s="116">
        <f t="shared" si="3"/>
        <v>0</v>
      </c>
      <c r="D41" s="116">
        <f>'P NP KARAMBA IKAN'!BU8</f>
        <v>0</v>
      </c>
      <c r="E41" s="116">
        <f>'P NP KARAMBA IKAN'!BV8</f>
        <v>0</v>
      </c>
      <c r="F41" s="116">
        <f>'P NP KARAMBA IKAN'!BU9</f>
        <v>0</v>
      </c>
      <c r="G41" s="116">
        <f>'P NP KARAMBA IKAN'!BV9</f>
        <v>0</v>
      </c>
      <c r="H41" s="116">
        <f>'P NP KARAMBA IKAN'!BU10</f>
        <v>0</v>
      </c>
      <c r="I41" s="116">
        <f>'P NP KARAMBA IKAN'!BV10</f>
        <v>0</v>
      </c>
      <c r="J41" s="116">
        <f>'P NP KARAMBA IKAN'!BU11</f>
        <v>0</v>
      </c>
      <c r="K41" s="116">
        <f>'P NP KARAMBA IKAN'!BV11</f>
        <v>0</v>
      </c>
      <c r="L41" s="116">
        <f>'P NP KARAMBA IKAN'!BU12</f>
        <v>0</v>
      </c>
      <c r="M41" s="116">
        <f>'P NP KARAMBA IKAN'!BV12</f>
        <v>0</v>
      </c>
      <c r="N41" s="116">
        <f>'P NP KARAMBA IKAN'!BU13</f>
        <v>0</v>
      </c>
      <c r="O41" s="116">
        <f>'P NP KARAMBA IKAN'!BV13</f>
        <v>0</v>
      </c>
      <c r="P41" s="116">
        <f>'P NP KARAMBA IKAN'!BU14</f>
        <v>0</v>
      </c>
      <c r="Q41" s="116">
        <f>'P NP KARAMBA IKAN'!BV14</f>
        <v>0</v>
      </c>
      <c r="R41" s="116">
        <f>'P NP KARAMBA IKAN'!BU15</f>
        <v>0</v>
      </c>
      <c r="S41" s="116">
        <f>'P NP KARAMBA IKAN'!BV15</f>
        <v>0</v>
      </c>
      <c r="T41" s="116">
        <f>'P NP KARAMBA IKAN'!BU16</f>
        <v>0</v>
      </c>
      <c r="U41" s="116">
        <f>'P NP KARAMBA IKAN'!BV16</f>
        <v>0</v>
      </c>
      <c r="V41" s="116">
        <f>'P NP KARAMBA IKAN'!BU17</f>
        <v>0</v>
      </c>
      <c r="W41" s="116">
        <f>'P NP KARAMBA IKAN'!BV17</f>
        <v>0</v>
      </c>
      <c r="X41" s="116">
        <f>'P NP KARAMBA IKAN'!BU18</f>
        <v>0</v>
      </c>
      <c r="Y41" s="116">
        <f>'P NP KARAMBA IKAN'!BV18</f>
        <v>0</v>
      </c>
      <c r="Z41" s="116">
        <f>'P NP KARAMBA IKAN'!BU19</f>
        <v>0</v>
      </c>
      <c r="AA41" s="116">
        <f>'P NP KARAMBA IKAN'!BV19</f>
        <v>0</v>
      </c>
      <c r="AB41" s="116">
        <f>'P NP KARAMBA IKAN'!BU20</f>
        <v>0</v>
      </c>
      <c r="AC41" s="116">
        <f>'P NP KARAMBA IKAN'!BV20</f>
        <v>0</v>
      </c>
      <c r="AD41" s="116">
        <f>'P NP KARAMBA IKAN'!BU21</f>
        <v>0</v>
      </c>
      <c r="AE41" s="116">
        <f>'P NP KARAMBA IKAN'!BV21</f>
        <v>0</v>
      </c>
      <c r="AF41" s="116">
        <f>'P NP KARAMBA IKAN'!BU22</f>
        <v>0</v>
      </c>
      <c r="AG41" s="116">
        <f>'P NP KARAMBA IKAN'!BV22</f>
        <v>0</v>
      </c>
      <c r="AH41" s="116">
        <f>'P NP KARAMBA IKAN'!BU23</f>
        <v>0</v>
      </c>
      <c r="AI41" s="116">
        <f>'P NP KARAMBA IKAN'!BV23</f>
        <v>0</v>
      </c>
      <c r="AJ41" s="116">
        <f>'P NP KARAMBA IKAN'!BU24</f>
        <v>0</v>
      </c>
      <c r="AK41" s="116">
        <f>'P NP KARAMBA IKAN'!BV24</f>
        <v>0</v>
      </c>
      <c r="AL41" s="116">
        <f>'P NP KARAMBA IKAN'!BU25</f>
        <v>0</v>
      </c>
      <c r="AM41" s="116">
        <f>'P NP KARAMBA IKAN'!BV25</f>
        <v>0</v>
      </c>
      <c r="AN41" s="116">
        <f>'P NP KARAMBA IKAN'!BU26</f>
        <v>0</v>
      </c>
      <c r="AO41" s="116">
        <f>'P NP KARAMBA IKAN'!BV26</f>
        <v>0</v>
      </c>
      <c r="AP41" s="116">
        <f>'P NP KARAMBA IKAN'!BU27</f>
        <v>0</v>
      </c>
      <c r="AQ41" s="116">
        <f>'P NP KARAMBA IKAN'!BV27</f>
        <v>0</v>
      </c>
      <c r="AR41" s="116">
        <f>'P NP KARAMBA IKAN'!BU28</f>
        <v>0</v>
      </c>
      <c r="AS41" s="116">
        <f>'P NP KARAMBA IKAN'!BV28</f>
        <v>0</v>
      </c>
      <c r="AT41" s="116">
        <f>'P NP KARAMBA IKAN'!BU29</f>
        <v>0</v>
      </c>
      <c r="AU41" s="116">
        <f>'P NP KARAMBA IKAN'!BV29</f>
        <v>0</v>
      </c>
      <c r="AV41" s="116">
        <f>'P NP KARAMBA IKAN'!BU30</f>
        <v>0</v>
      </c>
      <c r="AW41" s="116">
        <f>'P NP KARAMBA IKAN'!BV30</f>
        <v>0</v>
      </c>
      <c r="AX41" s="116">
        <f>'P NP KARAMBA IKAN'!BU31</f>
        <v>0</v>
      </c>
      <c r="AY41" s="116">
        <f>'P NP KARAMBA IKAN'!BV31</f>
        <v>0</v>
      </c>
      <c r="AZ41" s="116">
        <f>'P NP KARAMBA IKAN'!BU32</f>
        <v>0</v>
      </c>
      <c r="BA41" s="116">
        <f>'P NP KARAMBA IKAN'!BV32</f>
        <v>0</v>
      </c>
      <c r="BB41" s="116">
        <f>'P NP KARAMBA IKAN'!BU33</f>
        <v>0</v>
      </c>
      <c r="BC41" s="116">
        <f>'P NP KARAMBA IKAN'!BV33</f>
        <v>0</v>
      </c>
      <c r="BD41" s="116">
        <f>'P NP KARAMBA IKAN'!BU34</f>
        <v>0</v>
      </c>
      <c r="BE41" s="116">
        <f>'P NP KARAMBA IKAN'!BV34</f>
        <v>0</v>
      </c>
      <c r="BF41" s="116">
        <f>'P NP KARAMBA IKAN'!BU35</f>
        <v>0</v>
      </c>
      <c r="BG41" s="116">
        <f>'P NP KARAMBA IKAN'!BV35</f>
        <v>0</v>
      </c>
      <c r="BH41" s="116">
        <f>'P NP KARAMBA IKAN'!BU36</f>
        <v>0</v>
      </c>
      <c r="BI41" s="116">
        <f>'P NP KARAMBA IKAN'!BV36</f>
        <v>0</v>
      </c>
      <c r="BJ41" s="116">
        <f>'P NP KARAMBA IKAN'!BU37</f>
        <v>0</v>
      </c>
      <c r="BK41" s="116">
        <f>'P NP KARAMBA IKAN'!BV37</f>
        <v>0</v>
      </c>
      <c r="BL41" s="116">
        <f>'P NP KARAMBA IKAN'!BU38</f>
        <v>0</v>
      </c>
      <c r="BM41" s="116">
        <f>'P NP KARAMBA IKAN'!BV38</f>
        <v>0</v>
      </c>
      <c r="BN41" s="116">
        <f>'P NP KARAMBA IKAN'!BU39</f>
        <v>0</v>
      </c>
      <c r="BO41" s="116">
        <f>'P NP KARAMBA IKAN'!BV39</f>
        <v>0</v>
      </c>
      <c r="BP41" s="116">
        <f>'P NP KARAMBA IKAN'!BU40</f>
        <v>0</v>
      </c>
      <c r="BQ41" s="116">
        <f>'P NP KARAMBA IKAN'!BV40</f>
        <v>0</v>
      </c>
      <c r="BR41" s="116">
        <f>'P NP KARAMBA IKAN'!BU41</f>
        <v>0</v>
      </c>
      <c r="BS41" s="116">
        <f>'P NP KARAMBA IKAN'!BV41</f>
        <v>0</v>
      </c>
      <c r="BT41" s="116">
        <f>'P NP KARAMBA IKAN'!BU42</f>
        <v>0</v>
      </c>
      <c r="BU41" s="116">
        <f>'P NP KARAMBA IKAN'!BV42</f>
        <v>0</v>
      </c>
      <c r="BV41" s="116">
        <f>'P NP KARAMBA IKAN'!BU43</f>
        <v>0</v>
      </c>
      <c r="BW41" s="116">
        <f>'P NP KARAMBA IKAN'!BV43</f>
        <v>0</v>
      </c>
      <c r="BX41" s="116">
        <f>'P NP KARAMBA IKAN'!BU44</f>
        <v>0</v>
      </c>
      <c r="BY41" s="116">
        <f>'P NP KARAMBA IKAN'!BV44</f>
        <v>0</v>
      </c>
    </row>
    <row r="42" spans="1:77">
      <c r="A42" s="260" t="s">
        <v>144</v>
      </c>
      <c r="B42" s="116">
        <f t="shared" si="2"/>
        <v>0</v>
      </c>
      <c r="C42" s="116">
        <f t="shared" si="3"/>
        <v>0</v>
      </c>
      <c r="D42" s="116">
        <f>'P NP KARAMBA IKAN'!BW8</f>
        <v>0</v>
      </c>
      <c r="E42" s="116">
        <f>'P NP KARAMBA IKAN'!BX8</f>
        <v>0</v>
      </c>
      <c r="F42" s="116">
        <f>'P NP KARAMBA IKAN'!BW9</f>
        <v>0</v>
      </c>
      <c r="G42" s="116">
        <f>'P NP KARAMBA IKAN'!BX9</f>
        <v>0</v>
      </c>
      <c r="H42" s="116">
        <f>'P NP KARAMBA IKAN'!BW10</f>
        <v>0</v>
      </c>
      <c r="I42" s="116">
        <f>'P NP KARAMBA IKAN'!BX10</f>
        <v>0</v>
      </c>
      <c r="J42" s="116">
        <f>'P NP KARAMBA IKAN'!BW11</f>
        <v>0</v>
      </c>
      <c r="K42" s="116">
        <f>'P NP KARAMBA IKAN'!BX11</f>
        <v>0</v>
      </c>
      <c r="L42" s="116">
        <f>'P NP KARAMBA IKAN'!BW12</f>
        <v>0</v>
      </c>
      <c r="M42" s="116">
        <f>'P NP KARAMBA IKAN'!BX12</f>
        <v>0</v>
      </c>
      <c r="N42" s="116">
        <f>'P NP KARAMBA IKAN'!BW13</f>
        <v>0</v>
      </c>
      <c r="O42" s="116">
        <f>'P NP KARAMBA IKAN'!BX13</f>
        <v>0</v>
      </c>
      <c r="P42" s="116">
        <f>'P NP KARAMBA IKAN'!BW14</f>
        <v>0</v>
      </c>
      <c r="Q42" s="116">
        <f>'P NP KARAMBA IKAN'!BX14</f>
        <v>0</v>
      </c>
      <c r="R42" s="116">
        <f>'P NP KARAMBA IKAN'!BW15</f>
        <v>0</v>
      </c>
      <c r="S42" s="116">
        <f>'P NP KARAMBA IKAN'!BX15</f>
        <v>0</v>
      </c>
      <c r="T42" s="116">
        <f>'P NP KARAMBA IKAN'!BW16</f>
        <v>0</v>
      </c>
      <c r="U42" s="116">
        <f>'P NP KARAMBA IKAN'!BX16</f>
        <v>0</v>
      </c>
      <c r="V42" s="116">
        <f>'P NP KARAMBA IKAN'!BW17</f>
        <v>0</v>
      </c>
      <c r="W42" s="116">
        <f>'P NP KARAMBA IKAN'!BX17</f>
        <v>0</v>
      </c>
      <c r="X42" s="116">
        <f>'P NP KARAMBA IKAN'!BW18</f>
        <v>0</v>
      </c>
      <c r="Y42" s="116">
        <f>'P NP KARAMBA IKAN'!BX18</f>
        <v>0</v>
      </c>
      <c r="Z42" s="116">
        <f>'P NP KARAMBA IKAN'!BW19</f>
        <v>0</v>
      </c>
      <c r="AA42" s="116">
        <f>'P NP KARAMBA IKAN'!BX19</f>
        <v>0</v>
      </c>
      <c r="AB42" s="116">
        <f>'P NP KARAMBA IKAN'!BW20</f>
        <v>0</v>
      </c>
      <c r="AC42" s="116">
        <f>'P NP KARAMBA IKAN'!BX20</f>
        <v>0</v>
      </c>
      <c r="AD42" s="116">
        <f>'P NP KARAMBA IKAN'!BW21</f>
        <v>0</v>
      </c>
      <c r="AE42" s="116">
        <f>'P NP KARAMBA IKAN'!BX21</f>
        <v>0</v>
      </c>
      <c r="AF42" s="116">
        <f>'P NP KARAMBA IKAN'!BW22</f>
        <v>0</v>
      </c>
      <c r="AG42" s="116">
        <f>'P NP KARAMBA IKAN'!BX22</f>
        <v>0</v>
      </c>
      <c r="AH42" s="116">
        <f>'P NP KARAMBA IKAN'!BW23</f>
        <v>0</v>
      </c>
      <c r="AI42" s="116">
        <f>'P NP KARAMBA IKAN'!BX23</f>
        <v>0</v>
      </c>
      <c r="AJ42" s="116">
        <f>'P NP KARAMBA IKAN'!BW24</f>
        <v>0</v>
      </c>
      <c r="AK42" s="116">
        <f>'P NP KARAMBA IKAN'!BX24</f>
        <v>0</v>
      </c>
      <c r="AL42" s="116">
        <f>'P NP KARAMBA IKAN'!BW25</f>
        <v>0</v>
      </c>
      <c r="AM42" s="116">
        <f>'P NP KARAMBA IKAN'!BX25</f>
        <v>0</v>
      </c>
      <c r="AN42" s="116">
        <f>'P NP KARAMBA IKAN'!BW26</f>
        <v>0</v>
      </c>
      <c r="AO42" s="116">
        <f>'P NP KARAMBA IKAN'!BX26</f>
        <v>0</v>
      </c>
      <c r="AP42" s="116">
        <f>'P NP KARAMBA IKAN'!BW27</f>
        <v>0</v>
      </c>
      <c r="AQ42" s="116">
        <f>'P NP KARAMBA IKAN'!BX27</f>
        <v>0</v>
      </c>
      <c r="AR42" s="116">
        <f>'P NP KARAMBA IKAN'!BW28</f>
        <v>0</v>
      </c>
      <c r="AS42" s="116">
        <f>'P NP KARAMBA IKAN'!BX28</f>
        <v>0</v>
      </c>
      <c r="AT42" s="116">
        <f>'P NP KARAMBA IKAN'!BW29</f>
        <v>0</v>
      </c>
      <c r="AU42" s="116">
        <f>'P NP KARAMBA IKAN'!BX29</f>
        <v>0</v>
      </c>
      <c r="AV42" s="116">
        <f>'P NP KARAMBA IKAN'!BW30</f>
        <v>0</v>
      </c>
      <c r="AW42" s="116">
        <f>'P NP KARAMBA IKAN'!BX30</f>
        <v>0</v>
      </c>
      <c r="AX42" s="116">
        <f>'P NP KARAMBA IKAN'!BW31</f>
        <v>0</v>
      </c>
      <c r="AY42" s="116">
        <f>'P NP KARAMBA IKAN'!BX31</f>
        <v>0</v>
      </c>
      <c r="AZ42" s="116">
        <f>'P NP KARAMBA IKAN'!BW32</f>
        <v>0</v>
      </c>
      <c r="BA42" s="116">
        <f>'P NP KARAMBA IKAN'!BX32</f>
        <v>0</v>
      </c>
      <c r="BB42" s="116">
        <f>'P NP KARAMBA IKAN'!BW33</f>
        <v>0</v>
      </c>
      <c r="BC42" s="116">
        <f>'P NP KARAMBA IKAN'!BX33</f>
        <v>0</v>
      </c>
      <c r="BD42" s="116">
        <f>'P NP KARAMBA IKAN'!BW34</f>
        <v>0</v>
      </c>
      <c r="BE42" s="116">
        <f>'P NP KARAMBA IKAN'!BX34</f>
        <v>0</v>
      </c>
      <c r="BF42" s="116">
        <f>'P NP KARAMBA IKAN'!BW35</f>
        <v>0</v>
      </c>
      <c r="BG42" s="116">
        <f>'P NP KARAMBA IKAN'!BX35</f>
        <v>0</v>
      </c>
      <c r="BH42" s="116">
        <f>'P NP KARAMBA IKAN'!BW36</f>
        <v>0</v>
      </c>
      <c r="BI42" s="116">
        <f>'P NP KARAMBA IKAN'!BX36</f>
        <v>0</v>
      </c>
      <c r="BJ42" s="116">
        <f>'P NP KARAMBA IKAN'!BW37</f>
        <v>0</v>
      </c>
      <c r="BK42" s="116">
        <f>'P NP KARAMBA IKAN'!BX37</f>
        <v>0</v>
      </c>
      <c r="BL42" s="116">
        <f>'P NP KARAMBA IKAN'!BW38</f>
        <v>0</v>
      </c>
      <c r="BM42" s="116">
        <f>'P NP KARAMBA IKAN'!BX38</f>
        <v>0</v>
      </c>
      <c r="BN42" s="116">
        <f>'P NP KARAMBA IKAN'!BW39</f>
        <v>0</v>
      </c>
      <c r="BO42" s="116">
        <f>'P NP KARAMBA IKAN'!BX39</f>
        <v>0</v>
      </c>
      <c r="BP42" s="116">
        <f>'P NP KARAMBA IKAN'!BW40</f>
        <v>0</v>
      </c>
      <c r="BQ42" s="116">
        <f>'P NP KARAMBA IKAN'!BX40</f>
        <v>0</v>
      </c>
      <c r="BR42" s="116">
        <f>'P NP KARAMBA IKAN'!BW41</f>
        <v>0</v>
      </c>
      <c r="BS42" s="116">
        <f>'P NP KARAMBA IKAN'!BX41</f>
        <v>0</v>
      </c>
      <c r="BT42" s="116">
        <f>'P NP KARAMBA IKAN'!BW42</f>
        <v>0</v>
      </c>
      <c r="BU42" s="116">
        <f>'P NP KARAMBA IKAN'!BX42</f>
        <v>0</v>
      </c>
      <c r="BV42" s="116">
        <f>'P NP KARAMBA IKAN'!BW43</f>
        <v>0</v>
      </c>
      <c r="BW42" s="116">
        <f>'P NP KARAMBA IKAN'!BX43</f>
        <v>0</v>
      </c>
      <c r="BX42" s="116">
        <f>'P NP KARAMBA IKAN'!BW44</f>
        <v>0</v>
      </c>
      <c r="BY42" s="116">
        <f>'P NP KARAMBA IKAN'!BX44</f>
        <v>0</v>
      </c>
    </row>
    <row r="43" spans="1:77" ht="15" thickBot="1">
      <c r="A43" s="272" t="s">
        <v>148</v>
      </c>
      <c r="B43" s="116">
        <f t="shared" si="2"/>
        <v>0</v>
      </c>
      <c r="C43" s="116">
        <f t="shared" si="3"/>
        <v>0</v>
      </c>
      <c r="D43" s="116">
        <f>'P NP KARAMBA IKAN'!BY8</f>
        <v>0</v>
      </c>
      <c r="E43" s="116">
        <f>'P NP KARAMBA IKAN'!BZ8</f>
        <v>0</v>
      </c>
      <c r="F43" s="116">
        <f>'P NP KARAMBA IKAN'!BY9</f>
        <v>0</v>
      </c>
      <c r="G43" s="116">
        <f>'P NP KARAMBA IKAN'!BZ9</f>
        <v>0</v>
      </c>
      <c r="H43" s="116">
        <f>'P NP KARAMBA IKAN'!BY10</f>
        <v>0</v>
      </c>
      <c r="I43" s="116">
        <f>'P NP KARAMBA IKAN'!BZ10</f>
        <v>0</v>
      </c>
      <c r="J43" s="116">
        <f>'P NP KARAMBA IKAN'!BY11</f>
        <v>0</v>
      </c>
      <c r="K43" s="116">
        <f>'P NP KARAMBA IKAN'!BZ11</f>
        <v>0</v>
      </c>
      <c r="L43" s="116">
        <f>'P NP KARAMBA IKAN'!BY12</f>
        <v>0</v>
      </c>
      <c r="M43" s="116">
        <f>'P NP KARAMBA IKAN'!BZ12</f>
        <v>0</v>
      </c>
      <c r="N43" s="116">
        <f>'P NP KARAMBA IKAN'!BY13</f>
        <v>0</v>
      </c>
      <c r="O43" s="116">
        <f>'P NP KARAMBA IKAN'!BZ13</f>
        <v>0</v>
      </c>
      <c r="P43" s="116">
        <f>'P NP KARAMBA IKAN'!BY14</f>
        <v>0</v>
      </c>
      <c r="Q43" s="116">
        <f>'P NP KARAMBA IKAN'!BZ14</f>
        <v>0</v>
      </c>
      <c r="R43" s="116">
        <f>'P NP KARAMBA IKAN'!BY15</f>
        <v>0</v>
      </c>
      <c r="S43" s="116">
        <f>'P NP KARAMBA IKAN'!BZ15</f>
        <v>0</v>
      </c>
      <c r="T43" s="116">
        <f>'P NP KARAMBA IKAN'!BY16</f>
        <v>0</v>
      </c>
      <c r="U43" s="116">
        <f>'P NP KARAMBA IKAN'!BZ16</f>
        <v>0</v>
      </c>
      <c r="V43" s="116">
        <f>'P NP KARAMBA IKAN'!BY17</f>
        <v>0</v>
      </c>
      <c r="W43" s="116">
        <f>'P NP KARAMBA IKAN'!BZ17</f>
        <v>0</v>
      </c>
      <c r="X43" s="116">
        <f>'P NP KARAMBA IKAN'!BY18</f>
        <v>0</v>
      </c>
      <c r="Y43" s="116">
        <f>'P NP KARAMBA IKAN'!BZ18</f>
        <v>0</v>
      </c>
      <c r="Z43" s="116">
        <f>'P NP KARAMBA IKAN'!BY19</f>
        <v>0</v>
      </c>
      <c r="AA43" s="116">
        <f>'P NP KARAMBA IKAN'!BZ19</f>
        <v>0</v>
      </c>
      <c r="AB43" s="116">
        <f>'P NP KARAMBA IKAN'!BY20</f>
        <v>0</v>
      </c>
      <c r="AC43" s="116">
        <f>'P NP KARAMBA IKAN'!BZ20</f>
        <v>0</v>
      </c>
      <c r="AD43" s="116">
        <f>'P NP KARAMBA IKAN'!BY21</f>
        <v>0</v>
      </c>
      <c r="AE43" s="116">
        <f>'P NP KARAMBA IKAN'!BZ21</f>
        <v>0</v>
      </c>
      <c r="AF43" s="116">
        <f>'P NP KARAMBA IKAN'!BY22</f>
        <v>0</v>
      </c>
      <c r="AG43" s="116">
        <f>'P NP KARAMBA IKAN'!BZ22</f>
        <v>0</v>
      </c>
      <c r="AH43" s="116">
        <f>'P NP KARAMBA IKAN'!BY23</f>
        <v>0</v>
      </c>
      <c r="AI43" s="116">
        <f>'P NP KARAMBA IKAN'!BZ23</f>
        <v>0</v>
      </c>
      <c r="AJ43" s="116">
        <f>'P NP KARAMBA IKAN'!BY24</f>
        <v>0</v>
      </c>
      <c r="AK43" s="116">
        <f>'P NP KARAMBA IKAN'!BZ24</f>
        <v>0</v>
      </c>
      <c r="AL43" s="116">
        <f>'P NP KARAMBA IKAN'!BY25</f>
        <v>0</v>
      </c>
      <c r="AM43" s="116">
        <f>'P NP KARAMBA IKAN'!BZ25</f>
        <v>0</v>
      </c>
      <c r="AN43" s="116">
        <f>'P NP KARAMBA IKAN'!BY26</f>
        <v>0</v>
      </c>
      <c r="AO43" s="116">
        <f>'P NP KARAMBA IKAN'!BZ26</f>
        <v>0</v>
      </c>
      <c r="AP43" s="116">
        <f>'P NP KARAMBA IKAN'!BY27</f>
        <v>0</v>
      </c>
      <c r="AQ43" s="116">
        <f>'P NP KARAMBA IKAN'!BZ27</f>
        <v>0</v>
      </c>
      <c r="AR43" s="116">
        <f>'P NP KARAMBA IKAN'!BY28</f>
        <v>0</v>
      </c>
      <c r="AS43" s="116">
        <f>'P NP KARAMBA IKAN'!BZ28</f>
        <v>0</v>
      </c>
      <c r="AT43" s="116">
        <f>'P NP KARAMBA IKAN'!BY29</f>
        <v>0</v>
      </c>
      <c r="AU43" s="116">
        <f>'P NP KARAMBA IKAN'!BZ29</f>
        <v>0</v>
      </c>
      <c r="AV43" s="116">
        <f>'P NP KARAMBA IKAN'!BY30</f>
        <v>0</v>
      </c>
      <c r="AW43" s="116">
        <f>'P NP KARAMBA IKAN'!BZ30</f>
        <v>0</v>
      </c>
      <c r="AX43" s="116">
        <f>'P NP KARAMBA IKAN'!BY31</f>
        <v>0</v>
      </c>
      <c r="AY43" s="116">
        <f>'P NP KARAMBA IKAN'!BZ31</f>
        <v>0</v>
      </c>
      <c r="AZ43" s="116">
        <f>'P NP KARAMBA IKAN'!BY32</f>
        <v>0</v>
      </c>
      <c r="BA43" s="116">
        <f>'P NP KARAMBA IKAN'!BZ32</f>
        <v>0</v>
      </c>
      <c r="BB43" s="116">
        <f>'P NP KARAMBA IKAN'!BY33</f>
        <v>0</v>
      </c>
      <c r="BC43" s="116">
        <f>'P NP KARAMBA IKAN'!BZ33</f>
        <v>0</v>
      </c>
      <c r="BD43" s="116">
        <f>'P NP KARAMBA IKAN'!BY34</f>
        <v>0</v>
      </c>
      <c r="BE43" s="116">
        <f>'P NP KARAMBA IKAN'!BZ34</f>
        <v>0</v>
      </c>
      <c r="BF43" s="116">
        <f>'P NP KARAMBA IKAN'!BY35</f>
        <v>0</v>
      </c>
      <c r="BG43" s="116">
        <f>'P NP KARAMBA IKAN'!BZ35</f>
        <v>0</v>
      </c>
      <c r="BH43" s="116">
        <f>'P NP KARAMBA IKAN'!BY36</f>
        <v>0</v>
      </c>
      <c r="BI43" s="116">
        <f>'P NP KARAMBA IKAN'!BZ36</f>
        <v>0</v>
      </c>
      <c r="BJ43" s="116">
        <f>'P NP KARAMBA IKAN'!BY37</f>
        <v>0</v>
      </c>
      <c r="BK43" s="116">
        <f>'P NP KARAMBA IKAN'!BZ37</f>
        <v>0</v>
      </c>
      <c r="BL43" s="116">
        <f>'P NP KARAMBA IKAN'!BY38</f>
        <v>0</v>
      </c>
      <c r="BM43" s="116">
        <f>'P NP KARAMBA IKAN'!BZ38</f>
        <v>0</v>
      </c>
      <c r="BN43" s="116">
        <f>'P NP KARAMBA IKAN'!BY39</f>
        <v>0</v>
      </c>
      <c r="BO43" s="116">
        <f>'P NP KARAMBA IKAN'!BZ39</f>
        <v>0</v>
      </c>
      <c r="BP43" s="116">
        <f>'P NP KARAMBA IKAN'!BY40</f>
        <v>0</v>
      </c>
      <c r="BQ43" s="116">
        <f>'P NP KARAMBA IKAN'!BZ40</f>
        <v>0</v>
      </c>
      <c r="BR43" s="116">
        <f>'P NP KARAMBA IKAN'!BY41</f>
        <v>0</v>
      </c>
      <c r="BS43" s="116">
        <f>'P NP KARAMBA IKAN'!BZ41</f>
        <v>0</v>
      </c>
      <c r="BT43" s="116">
        <f>'P NP KARAMBA IKAN'!BY42</f>
        <v>0</v>
      </c>
      <c r="BU43" s="116">
        <f>'P NP KARAMBA IKAN'!BZ42</f>
        <v>0</v>
      </c>
      <c r="BV43" s="116">
        <f>'P NP KARAMBA IKAN'!BY43</f>
        <v>0</v>
      </c>
      <c r="BW43" s="116">
        <f>'P NP KARAMBA IKAN'!BZ43</f>
        <v>0</v>
      </c>
      <c r="BX43" s="116">
        <f>'P NP KARAMBA IKAN'!BY44</f>
        <v>0</v>
      </c>
      <c r="BY43" s="116">
        <f>'P NP KARAMBA IKAN'!BZ44</f>
        <v>0</v>
      </c>
    </row>
    <row r="44" spans="1:77" s="168" customFormat="1">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16">
        <f>'P NP KARAMBA IKAN'!CA39</f>
        <v>0</v>
      </c>
      <c r="BO44" s="116">
        <f>'P NP KARAMBA IKAN'!CB39</f>
        <v>0</v>
      </c>
      <c r="BP44" s="165"/>
      <c r="BQ44" s="165"/>
      <c r="BR44" s="165"/>
      <c r="BS44" s="165"/>
      <c r="BT44" s="165"/>
      <c r="BU44" s="165"/>
      <c r="BV44" s="165"/>
      <c r="BW44" s="165"/>
      <c r="BX44" s="165"/>
      <c r="BY44" s="165"/>
    </row>
  </sheetData>
  <sortState xmlns:xlrd2="http://schemas.microsoft.com/office/spreadsheetml/2017/richdata2" ref="A6:A43">
    <sortCondition ref="A6:A43"/>
  </sortState>
  <mergeCells count="37">
    <mergeCell ref="BX2:BY2"/>
    <mergeCell ref="BV2:BW2"/>
    <mergeCell ref="AZ2:BA2"/>
    <mergeCell ref="BB2:BC2"/>
    <mergeCell ref="BD2:BE2"/>
    <mergeCell ref="BF2:BG2"/>
    <mergeCell ref="BH2:BI2"/>
    <mergeCell ref="BJ2:BK2"/>
    <mergeCell ref="BL2:BM2"/>
    <mergeCell ref="BN2:BO2"/>
    <mergeCell ref="BP2:BQ2"/>
    <mergeCell ref="BR2:BS2"/>
    <mergeCell ref="BT2:BU2"/>
    <mergeCell ref="AX2:AY2"/>
    <mergeCell ref="AB2:AC2"/>
    <mergeCell ref="AD2:AE2"/>
    <mergeCell ref="AF2:AG2"/>
    <mergeCell ref="AH2:AI2"/>
    <mergeCell ref="AJ2:AK2"/>
    <mergeCell ref="AL2:AM2"/>
    <mergeCell ref="AN2:AO2"/>
    <mergeCell ref="AP2:AQ2"/>
    <mergeCell ref="AR2:AS2"/>
    <mergeCell ref="AT2:AU2"/>
    <mergeCell ref="AV2:AW2"/>
    <mergeCell ref="Z2:AA2"/>
    <mergeCell ref="D2:E2"/>
    <mergeCell ref="F2:G2"/>
    <mergeCell ref="H2:I2"/>
    <mergeCell ref="J2:K2"/>
    <mergeCell ref="L2:M2"/>
    <mergeCell ref="N2:O2"/>
    <mergeCell ref="P2:Q2"/>
    <mergeCell ref="R2:S2"/>
    <mergeCell ref="T2:U2"/>
    <mergeCell ref="V2:W2"/>
    <mergeCell ref="X2:Y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sheetPr>
  <dimension ref="A1:CC45"/>
  <sheetViews>
    <sheetView workbookViewId="0">
      <pane xSplit="2" ySplit="7" topLeftCell="BO8" activePane="bottomRight" state="frozen"/>
      <selection pane="topRight" activeCell="B1" sqref="B1"/>
      <selection pane="bottomLeft" activeCell="A8" sqref="A8"/>
      <selection pane="bottomRight" activeCell="CB8" sqref="CB8:CC44"/>
    </sheetView>
  </sheetViews>
  <sheetFormatPr defaultRowHeight="11.5"/>
  <cols>
    <col min="1" max="1" width="9.1796875" style="205"/>
    <col min="2" max="2" width="25.54296875" style="205" customWidth="1"/>
    <col min="3" max="78" width="13.81640625" style="205" customWidth="1"/>
    <col min="79" max="79" width="9.1796875" style="205"/>
    <col min="80" max="81" width="12.54296875" style="205" customWidth="1"/>
    <col min="82" max="257" width="9.1796875" style="205"/>
    <col min="258" max="258" width="25.54296875" style="205" customWidth="1"/>
    <col min="259" max="296" width="13.81640625" style="205" customWidth="1"/>
    <col min="297" max="513" width="9.1796875" style="205"/>
    <col min="514" max="514" width="25.54296875" style="205" customWidth="1"/>
    <col min="515" max="552" width="13.81640625" style="205" customWidth="1"/>
    <col min="553" max="769" width="9.1796875" style="205"/>
    <col min="770" max="770" width="25.54296875" style="205" customWidth="1"/>
    <col min="771" max="808" width="13.81640625" style="205" customWidth="1"/>
    <col min="809" max="1025" width="9.1796875" style="205"/>
    <col min="1026" max="1026" width="25.54296875" style="205" customWidth="1"/>
    <col min="1027" max="1064" width="13.81640625" style="205" customWidth="1"/>
    <col min="1065" max="1281" width="9.1796875" style="205"/>
    <col min="1282" max="1282" width="25.54296875" style="205" customWidth="1"/>
    <col min="1283" max="1320" width="13.81640625" style="205" customWidth="1"/>
    <col min="1321" max="1537" width="9.1796875" style="205"/>
    <col min="1538" max="1538" width="25.54296875" style="205" customWidth="1"/>
    <col min="1539" max="1576" width="13.81640625" style="205" customWidth="1"/>
    <col min="1577" max="1793" width="9.1796875" style="205"/>
    <col min="1794" max="1794" width="25.54296875" style="205" customWidth="1"/>
    <col min="1795" max="1832" width="13.81640625" style="205" customWidth="1"/>
    <col min="1833" max="2049" width="9.1796875" style="205"/>
    <col min="2050" max="2050" width="25.54296875" style="205" customWidth="1"/>
    <col min="2051" max="2088" width="13.81640625" style="205" customWidth="1"/>
    <col min="2089" max="2305" width="9.1796875" style="205"/>
    <col min="2306" max="2306" width="25.54296875" style="205" customWidth="1"/>
    <col min="2307" max="2344" width="13.81640625" style="205" customWidth="1"/>
    <col min="2345" max="2561" width="9.1796875" style="205"/>
    <col min="2562" max="2562" width="25.54296875" style="205" customWidth="1"/>
    <col min="2563" max="2600" width="13.81640625" style="205" customWidth="1"/>
    <col min="2601" max="2817" width="9.1796875" style="205"/>
    <col min="2818" max="2818" width="25.54296875" style="205" customWidth="1"/>
    <col min="2819" max="2856" width="13.81640625" style="205" customWidth="1"/>
    <col min="2857" max="3073" width="9.1796875" style="205"/>
    <col min="3074" max="3074" width="25.54296875" style="205" customWidth="1"/>
    <col min="3075" max="3112" width="13.81640625" style="205" customWidth="1"/>
    <col min="3113" max="3329" width="9.1796875" style="205"/>
    <col min="3330" max="3330" width="25.54296875" style="205" customWidth="1"/>
    <col min="3331" max="3368" width="13.81640625" style="205" customWidth="1"/>
    <col min="3369" max="3585" width="9.1796875" style="205"/>
    <col min="3586" max="3586" width="25.54296875" style="205" customWidth="1"/>
    <col min="3587" max="3624" width="13.81640625" style="205" customWidth="1"/>
    <col min="3625" max="3841" width="9.1796875" style="205"/>
    <col min="3842" max="3842" width="25.54296875" style="205" customWidth="1"/>
    <col min="3843" max="3880" width="13.81640625" style="205" customWidth="1"/>
    <col min="3881" max="4097" width="9.1796875" style="205"/>
    <col min="4098" max="4098" width="25.54296875" style="205" customWidth="1"/>
    <col min="4099" max="4136" width="13.81640625" style="205" customWidth="1"/>
    <col min="4137" max="4353" width="9.1796875" style="205"/>
    <col min="4354" max="4354" width="25.54296875" style="205" customWidth="1"/>
    <col min="4355" max="4392" width="13.81640625" style="205" customWidth="1"/>
    <col min="4393" max="4609" width="9.1796875" style="205"/>
    <col min="4610" max="4610" width="25.54296875" style="205" customWidth="1"/>
    <col min="4611" max="4648" width="13.81640625" style="205" customWidth="1"/>
    <col min="4649" max="4865" width="9.1796875" style="205"/>
    <col min="4866" max="4866" width="25.54296875" style="205" customWidth="1"/>
    <col min="4867" max="4904" width="13.81640625" style="205" customWidth="1"/>
    <col min="4905" max="5121" width="9.1796875" style="205"/>
    <col min="5122" max="5122" width="25.54296875" style="205" customWidth="1"/>
    <col min="5123" max="5160" width="13.81640625" style="205" customWidth="1"/>
    <col min="5161" max="5377" width="9.1796875" style="205"/>
    <col min="5378" max="5378" width="25.54296875" style="205" customWidth="1"/>
    <col min="5379" max="5416" width="13.81640625" style="205" customWidth="1"/>
    <col min="5417" max="5633" width="9.1796875" style="205"/>
    <col min="5634" max="5634" width="25.54296875" style="205" customWidth="1"/>
    <col min="5635" max="5672" width="13.81640625" style="205" customWidth="1"/>
    <col min="5673" max="5889" width="9.1796875" style="205"/>
    <col min="5890" max="5890" width="25.54296875" style="205" customWidth="1"/>
    <col min="5891" max="5928" width="13.81640625" style="205" customWidth="1"/>
    <col min="5929" max="6145" width="9.1796875" style="205"/>
    <col min="6146" max="6146" width="25.54296875" style="205" customWidth="1"/>
    <col min="6147" max="6184" width="13.81640625" style="205" customWidth="1"/>
    <col min="6185" max="6401" width="9.1796875" style="205"/>
    <col min="6402" max="6402" width="25.54296875" style="205" customWidth="1"/>
    <col min="6403" max="6440" width="13.81640625" style="205" customWidth="1"/>
    <col min="6441" max="6657" width="9.1796875" style="205"/>
    <col min="6658" max="6658" width="25.54296875" style="205" customWidth="1"/>
    <col min="6659" max="6696" width="13.81640625" style="205" customWidth="1"/>
    <col min="6697" max="6913" width="9.1796875" style="205"/>
    <col min="6914" max="6914" width="25.54296875" style="205" customWidth="1"/>
    <col min="6915" max="6952" width="13.81640625" style="205" customWidth="1"/>
    <col min="6953" max="7169" width="9.1796875" style="205"/>
    <col min="7170" max="7170" width="25.54296875" style="205" customWidth="1"/>
    <col min="7171" max="7208" width="13.81640625" style="205" customWidth="1"/>
    <col min="7209" max="7425" width="9.1796875" style="205"/>
    <col min="7426" max="7426" width="25.54296875" style="205" customWidth="1"/>
    <col min="7427" max="7464" width="13.81640625" style="205" customWidth="1"/>
    <col min="7465" max="7681" width="9.1796875" style="205"/>
    <col min="7682" max="7682" width="25.54296875" style="205" customWidth="1"/>
    <col min="7683" max="7720" width="13.81640625" style="205" customWidth="1"/>
    <col min="7721" max="7937" width="9.1796875" style="205"/>
    <col min="7938" max="7938" width="25.54296875" style="205" customWidth="1"/>
    <col min="7939" max="7976" width="13.81640625" style="205" customWidth="1"/>
    <col min="7977" max="8193" width="9.1796875" style="205"/>
    <col min="8194" max="8194" width="25.54296875" style="205" customWidth="1"/>
    <col min="8195" max="8232" width="13.81640625" style="205" customWidth="1"/>
    <col min="8233" max="8449" width="9.1796875" style="205"/>
    <col min="8450" max="8450" width="25.54296875" style="205" customWidth="1"/>
    <col min="8451" max="8488" width="13.81640625" style="205" customWidth="1"/>
    <col min="8489" max="8705" width="9.1796875" style="205"/>
    <col min="8706" max="8706" width="25.54296875" style="205" customWidth="1"/>
    <col min="8707" max="8744" width="13.81640625" style="205" customWidth="1"/>
    <col min="8745" max="8961" width="9.1796875" style="205"/>
    <col min="8962" max="8962" width="25.54296875" style="205" customWidth="1"/>
    <col min="8963" max="9000" width="13.81640625" style="205" customWidth="1"/>
    <col min="9001" max="9217" width="9.1796875" style="205"/>
    <col min="9218" max="9218" width="25.54296875" style="205" customWidth="1"/>
    <col min="9219" max="9256" width="13.81640625" style="205" customWidth="1"/>
    <col min="9257" max="9473" width="9.1796875" style="205"/>
    <col min="9474" max="9474" width="25.54296875" style="205" customWidth="1"/>
    <col min="9475" max="9512" width="13.81640625" style="205" customWidth="1"/>
    <col min="9513" max="9729" width="9.1796875" style="205"/>
    <col min="9730" max="9730" width="25.54296875" style="205" customWidth="1"/>
    <col min="9731" max="9768" width="13.81640625" style="205" customWidth="1"/>
    <col min="9769" max="9985" width="9.1796875" style="205"/>
    <col min="9986" max="9986" width="25.54296875" style="205" customWidth="1"/>
    <col min="9987" max="10024" width="13.81640625" style="205" customWidth="1"/>
    <col min="10025" max="10241" width="9.1796875" style="205"/>
    <col min="10242" max="10242" width="25.54296875" style="205" customWidth="1"/>
    <col min="10243" max="10280" width="13.81640625" style="205" customWidth="1"/>
    <col min="10281" max="10497" width="9.1796875" style="205"/>
    <col min="10498" max="10498" width="25.54296875" style="205" customWidth="1"/>
    <col min="10499" max="10536" width="13.81640625" style="205" customWidth="1"/>
    <col min="10537" max="10753" width="9.1796875" style="205"/>
    <col min="10754" max="10754" width="25.54296875" style="205" customWidth="1"/>
    <col min="10755" max="10792" width="13.81640625" style="205" customWidth="1"/>
    <col min="10793" max="11009" width="9.1796875" style="205"/>
    <col min="11010" max="11010" width="25.54296875" style="205" customWidth="1"/>
    <col min="11011" max="11048" width="13.81640625" style="205" customWidth="1"/>
    <col min="11049" max="11265" width="9.1796875" style="205"/>
    <col min="11266" max="11266" width="25.54296875" style="205" customWidth="1"/>
    <col min="11267" max="11304" width="13.81640625" style="205" customWidth="1"/>
    <col min="11305" max="11521" width="9.1796875" style="205"/>
    <col min="11522" max="11522" width="25.54296875" style="205" customWidth="1"/>
    <col min="11523" max="11560" width="13.81640625" style="205" customWidth="1"/>
    <col min="11561" max="11777" width="9.1796875" style="205"/>
    <col min="11778" max="11778" width="25.54296875" style="205" customWidth="1"/>
    <col min="11779" max="11816" width="13.81640625" style="205" customWidth="1"/>
    <col min="11817" max="12033" width="9.1796875" style="205"/>
    <col min="12034" max="12034" width="25.54296875" style="205" customWidth="1"/>
    <col min="12035" max="12072" width="13.81640625" style="205" customWidth="1"/>
    <col min="12073" max="12289" width="9.1796875" style="205"/>
    <col min="12290" max="12290" width="25.54296875" style="205" customWidth="1"/>
    <col min="12291" max="12328" width="13.81640625" style="205" customWidth="1"/>
    <col min="12329" max="12545" width="9.1796875" style="205"/>
    <col min="12546" max="12546" width="25.54296875" style="205" customWidth="1"/>
    <col min="12547" max="12584" width="13.81640625" style="205" customWidth="1"/>
    <col min="12585" max="12801" width="9.1796875" style="205"/>
    <col min="12802" max="12802" width="25.54296875" style="205" customWidth="1"/>
    <col min="12803" max="12840" width="13.81640625" style="205" customWidth="1"/>
    <col min="12841" max="13057" width="9.1796875" style="205"/>
    <col min="13058" max="13058" width="25.54296875" style="205" customWidth="1"/>
    <col min="13059" max="13096" width="13.81640625" style="205" customWidth="1"/>
    <col min="13097" max="13313" width="9.1796875" style="205"/>
    <col min="13314" max="13314" width="25.54296875" style="205" customWidth="1"/>
    <col min="13315" max="13352" width="13.81640625" style="205" customWidth="1"/>
    <col min="13353" max="13569" width="9.1796875" style="205"/>
    <col min="13570" max="13570" width="25.54296875" style="205" customWidth="1"/>
    <col min="13571" max="13608" width="13.81640625" style="205" customWidth="1"/>
    <col min="13609" max="13825" width="9.1796875" style="205"/>
    <col min="13826" max="13826" width="25.54296875" style="205" customWidth="1"/>
    <col min="13827" max="13864" width="13.81640625" style="205" customWidth="1"/>
    <col min="13865" max="14081" width="9.1796875" style="205"/>
    <col min="14082" max="14082" width="25.54296875" style="205" customWidth="1"/>
    <col min="14083" max="14120" width="13.81640625" style="205" customWidth="1"/>
    <col min="14121" max="14337" width="9.1796875" style="205"/>
    <col min="14338" max="14338" width="25.54296875" style="205" customWidth="1"/>
    <col min="14339" max="14376" width="13.81640625" style="205" customWidth="1"/>
    <col min="14377" max="14593" width="9.1796875" style="205"/>
    <col min="14594" max="14594" width="25.54296875" style="205" customWidth="1"/>
    <col min="14595" max="14632" width="13.81640625" style="205" customWidth="1"/>
    <col min="14633" max="14849" width="9.1796875" style="205"/>
    <col min="14850" max="14850" width="25.54296875" style="205" customWidth="1"/>
    <col min="14851" max="14888" width="13.81640625" style="205" customWidth="1"/>
    <col min="14889" max="15105" width="9.1796875" style="205"/>
    <col min="15106" max="15106" width="25.54296875" style="205" customWidth="1"/>
    <col min="15107" max="15144" width="13.81640625" style="205" customWidth="1"/>
    <col min="15145" max="15361" width="9.1796875" style="205"/>
    <col min="15362" max="15362" width="25.54296875" style="205" customWidth="1"/>
    <col min="15363" max="15400" width="13.81640625" style="205" customWidth="1"/>
    <col min="15401" max="15617" width="9.1796875" style="205"/>
    <col min="15618" max="15618" width="25.54296875" style="205" customWidth="1"/>
    <col min="15619" max="15656" width="13.81640625" style="205" customWidth="1"/>
    <col min="15657" max="15873" width="9.1796875" style="205"/>
    <col min="15874" max="15874" width="25.54296875" style="205" customWidth="1"/>
    <col min="15875" max="15912" width="13.81640625" style="205" customWidth="1"/>
    <col min="15913" max="16129" width="9.1796875" style="205"/>
    <col min="16130" max="16130" width="25.54296875" style="205" customWidth="1"/>
    <col min="16131" max="16168" width="13.81640625" style="205" customWidth="1"/>
    <col min="16169" max="16384" width="9.1796875" style="205"/>
  </cols>
  <sheetData>
    <row r="1" spans="1:81" ht="17.25" customHeight="1">
      <c r="A1" s="311" t="s">
        <v>27</v>
      </c>
      <c r="B1" s="312">
        <f ca="1">SUMIF($C$4:$BZ$4,$C$4,BR7:BZ7)</f>
        <v>16250959.000366</v>
      </c>
      <c r="C1" s="974">
        <v>1</v>
      </c>
      <c r="D1" s="974"/>
      <c r="E1" s="974">
        <v>2</v>
      </c>
      <c r="F1" s="974"/>
      <c r="G1" s="974">
        <v>3</v>
      </c>
      <c r="H1" s="974"/>
      <c r="I1" s="974">
        <v>4</v>
      </c>
      <c r="J1" s="974"/>
      <c r="K1" s="974">
        <v>5</v>
      </c>
      <c r="L1" s="974"/>
      <c r="M1" s="974">
        <v>6</v>
      </c>
      <c r="N1" s="974"/>
      <c r="O1" s="974">
        <v>7</v>
      </c>
      <c r="P1" s="974"/>
      <c r="Q1" s="974">
        <v>8</v>
      </c>
      <c r="R1" s="974"/>
      <c r="S1" s="974">
        <v>9</v>
      </c>
      <c r="T1" s="974"/>
      <c r="U1" s="974">
        <v>10</v>
      </c>
      <c r="V1" s="974"/>
      <c r="W1" s="974">
        <v>11</v>
      </c>
      <c r="X1" s="974"/>
      <c r="Y1" s="974">
        <v>12</v>
      </c>
      <c r="Z1" s="974"/>
      <c r="AA1" s="974">
        <v>13</v>
      </c>
      <c r="AB1" s="974"/>
      <c r="AC1" s="974">
        <v>14</v>
      </c>
      <c r="AD1" s="974"/>
      <c r="AE1" s="974">
        <v>15</v>
      </c>
      <c r="AF1" s="974"/>
      <c r="AG1" s="974">
        <v>16</v>
      </c>
      <c r="AH1" s="974"/>
      <c r="AI1" s="974">
        <v>17</v>
      </c>
      <c r="AJ1" s="974"/>
      <c r="AK1" s="974">
        <v>18</v>
      </c>
      <c r="AL1" s="974"/>
      <c r="AM1" s="974">
        <v>19</v>
      </c>
      <c r="AN1" s="974"/>
      <c r="AO1" s="974">
        <v>20</v>
      </c>
      <c r="AP1" s="974"/>
      <c r="AQ1" s="974">
        <v>21</v>
      </c>
      <c r="AR1" s="974"/>
      <c r="AS1" s="974">
        <v>22</v>
      </c>
      <c r="AT1" s="974"/>
      <c r="AU1" s="974">
        <v>23</v>
      </c>
      <c r="AV1" s="974"/>
      <c r="AW1" s="974">
        <v>24</v>
      </c>
      <c r="AX1" s="974"/>
      <c r="AY1" s="974">
        <v>25</v>
      </c>
      <c r="AZ1" s="974"/>
      <c r="BA1" s="974">
        <v>26</v>
      </c>
      <c r="BB1" s="974"/>
      <c r="BC1" s="974">
        <v>27</v>
      </c>
      <c r="BD1" s="974"/>
      <c r="BE1" s="974">
        <v>28</v>
      </c>
      <c r="BF1" s="974"/>
      <c r="BG1" s="974">
        <v>29</v>
      </c>
      <c r="BH1" s="974"/>
      <c r="BI1" s="974">
        <v>30</v>
      </c>
      <c r="BJ1" s="974"/>
      <c r="BK1" s="974">
        <v>31</v>
      </c>
      <c r="BL1" s="974"/>
      <c r="BM1" s="974">
        <v>32</v>
      </c>
      <c r="BN1" s="974"/>
      <c r="BO1" s="974">
        <v>33</v>
      </c>
      <c r="BP1" s="974"/>
      <c r="BQ1" s="974">
        <v>34</v>
      </c>
      <c r="BR1" s="974"/>
      <c r="BS1" s="974">
        <v>35</v>
      </c>
      <c r="BT1" s="974"/>
      <c r="BU1" s="974">
        <v>36</v>
      </c>
      <c r="BV1" s="974"/>
      <c r="BW1" s="974">
        <v>37</v>
      </c>
      <c r="BX1" s="974"/>
      <c r="BY1" s="974">
        <v>38</v>
      </c>
      <c r="BZ1" s="974"/>
    </row>
    <row r="2" spans="1:81" ht="14.5">
      <c r="A2" s="311"/>
      <c r="B2" s="313">
        <f>'P &amp; NP'!WV11</f>
        <v>16250959.000366</v>
      </c>
      <c r="C2" s="975" t="s">
        <v>89</v>
      </c>
      <c r="D2" s="975"/>
      <c r="E2" s="975" t="s">
        <v>73</v>
      </c>
      <c r="F2" s="975"/>
      <c r="G2" s="975" t="s">
        <v>68</v>
      </c>
      <c r="H2" s="975"/>
      <c r="I2" s="975" t="s">
        <v>85</v>
      </c>
      <c r="J2" s="975"/>
      <c r="K2" s="975" t="s">
        <v>74</v>
      </c>
      <c r="L2" s="975"/>
      <c r="M2" s="975" t="s">
        <v>88</v>
      </c>
      <c r="N2" s="975"/>
      <c r="O2" s="975" t="s">
        <v>72</v>
      </c>
      <c r="P2" s="975"/>
      <c r="Q2" s="975" t="s">
        <v>80</v>
      </c>
      <c r="R2" s="975"/>
      <c r="S2" s="975" t="s">
        <v>69</v>
      </c>
      <c r="T2" s="975"/>
      <c r="U2" s="975" t="s">
        <v>87</v>
      </c>
      <c r="V2" s="975"/>
      <c r="W2" s="975" t="s">
        <v>71</v>
      </c>
      <c r="X2" s="975"/>
      <c r="Y2" s="975" t="s">
        <v>82</v>
      </c>
      <c r="Z2" s="975"/>
      <c r="AA2" s="975" t="s">
        <v>83</v>
      </c>
      <c r="AB2" s="975"/>
      <c r="AC2" s="975" t="s">
        <v>70</v>
      </c>
      <c r="AD2" s="975"/>
      <c r="AE2" s="975" t="s">
        <v>79</v>
      </c>
      <c r="AF2" s="975"/>
      <c r="AG2" s="975" t="s">
        <v>81</v>
      </c>
      <c r="AH2" s="975"/>
      <c r="AI2" s="975" t="s">
        <v>84</v>
      </c>
      <c r="AJ2" s="975"/>
      <c r="AK2" s="975" t="s">
        <v>36</v>
      </c>
      <c r="AL2" s="975"/>
      <c r="AM2" s="975" t="s">
        <v>91</v>
      </c>
      <c r="AN2" s="975"/>
      <c r="AO2" s="862" t="s">
        <v>77</v>
      </c>
      <c r="AP2" s="862"/>
      <c r="AQ2" s="862" t="s">
        <v>38</v>
      </c>
      <c r="AR2" s="862"/>
      <c r="AS2" s="862" t="s">
        <v>76</v>
      </c>
      <c r="AT2" s="862"/>
      <c r="AU2" s="862" t="s">
        <v>90</v>
      </c>
      <c r="AV2" s="862"/>
      <c r="AW2" s="862" t="s">
        <v>78</v>
      </c>
      <c r="AX2" s="862"/>
      <c r="AY2" s="862" t="s">
        <v>75</v>
      </c>
      <c r="AZ2" s="862"/>
      <c r="BA2" s="862" t="s">
        <v>92</v>
      </c>
      <c r="BB2" s="862"/>
      <c r="BC2" s="862" t="s">
        <v>39</v>
      </c>
      <c r="BD2" s="862"/>
      <c r="BE2" s="862" t="s">
        <v>86</v>
      </c>
      <c r="BF2" s="862"/>
      <c r="BG2" s="862" t="s">
        <v>40</v>
      </c>
      <c r="BH2" s="862"/>
      <c r="BI2" s="862" t="s">
        <v>101</v>
      </c>
      <c r="BJ2" s="862"/>
      <c r="BK2" s="862" t="s">
        <v>94</v>
      </c>
      <c r="BL2" s="862"/>
      <c r="BM2" s="862" t="s">
        <v>93</v>
      </c>
      <c r="BN2" s="862"/>
      <c r="BO2" s="862" t="s">
        <v>99</v>
      </c>
      <c r="BP2" s="862"/>
      <c r="BQ2" s="862" t="s">
        <v>95</v>
      </c>
      <c r="BR2" s="862"/>
      <c r="BS2" s="862" t="s">
        <v>98</v>
      </c>
      <c r="BT2" s="862"/>
      <c r="BU2" s="862" t="s">
        <v>97</v>
      </c>
      <c r="BV2" s="862"/>
      <c r="BW2" s="862" t="s">
        <v>96</v>
      </c>
      <c r="BX2" s="862"/>
      <c r="BY2" s="862" t="s">
        <v>100</v>
      </c>
      <c r="BZ2" s="862"/>
    </row>
    <row r="3" spans="1:81" ht="14.5">
      <c r="A3" s="311"/>
      <c r="B3" s="311"/>
      <c r="C3" s="975" t="s">
        <v>561</v>
      </c>
      <c r="D3" s="975"/>
      <c r="E3" s="975" t="s">
        <v>561</v>
      </c>
      <c r="F3" s="975"/>
      <c r="G3" s="975" t="s">
        <v>561</v>
      </c>
      <c r="H3" s="975"/>
      <c r="I3" s="975" t="s">
        <v>561</v>
      </c>
      <c r="J3" s="975"/>
      <c r="K3" s="975" t="s">
        <v>561</v>
      </c>
      <c r="L3" s="975"/>
      <c r="M3" s="975" t="s">
        <v>561</v>
      </c>
      <c r="N3" s="975"/>
      <c r="O3" s="975" t="s">
        <v>561</v>
      </c>
      <c r="P3" s="975"/>
      <c r="Q3" s="975" t="s">
        <v>561</v>
      </c>
      <c r="R3" s="975"/>
      <c r="S3" s="975" t="s">
        <v>561</v>
      </c>
      <c r="T3" s="975"/>
      <c r="U3" s="975" t="s">
        <v>561</v>
      </c>
      <c r="V3" s="975"/>
      <c r="W3" s="975" t="s">
        <v>561</v>
      </c>
      <c r="X3" s="975"/>
      <c r="Y3" s="975" t="s">
        <v>561</v>
      </c>
      <c r="Z3" s="975"/>
      <c r="AA3" s="975" t="s">
        <v>561</v>
      </c>
      <c r="AB3" s="975"/>
      <c r="AC3" s="975" t="s">
        <v>561</v>
      </c>
      <c r="AD3" s="975"/>
      <c r="AE3" s="975" t="s">
        <v>561</v>
      </c>
      <c r="AF3" s="975"/>
      <c r="AG3" s="975" t="s">
        <v>561</v>
      </c>
      <c r="AH3" s="975"/>
      <c r="AI3" s="975" t="s">
        <v>561</v>
      </c>
      <c r="AJ3" s="975"/>
      <c r="AK3" s="975" t="s">
        <v>561</v>
      </c>
      <c r="AL3" s="975"/>
      <c r="AM3" s="975" t="s">
        <v>561</v>
      </c>
      <c r="AN3" s="975"/>
      <c r="AO3" s="975" t="s">
        <v>561</v>
      </c>
      <c r="AP3" s="975"/>
      <c r="AQ3" s="975" t="s">
        <v>561</v>
      </c>
      <c r="AR3" s="975"/>
      <c r="AS3" s="975" t="s">
        <v>561</v>
      </c>
      <c r="AT3" s="975"/>
      <c r="AU3" s="975" t="s">
        <v>561</v>
      </c>
      <c r="AV3" s="975"/>
      <c r="AW3" s="975" t="s">
        <v>561</v>
      </c>
      <c r="AX3" s="975"/>
      <c r="AY3" s="975" t="s">
        <v>561</v>
      </c>
      <c r="AZ3" s="975"/>
      <c r="BA3" s="975" t="s">
        <v>561</v>
      </c>
      <c r="BB3" s="975"/>
      <c r="BC3" s="975" t="s">
        <v>561</v>
      </c>
      <c r="BD3" s="975"/>
      <c r="BE3" s="975" t="s">
        <v>561</v>
      </c>
      <c r="BF3" s="975"/>
      <c r="BG3" s="975" t="s">
        <v>561</v>
      </c>
      <c r="BH3" s="975"/>
      <c r="BI3" s="975" t="s">
        <v>561</v>
      </c>
      <c r="BJ3" s="975"/>
      <c r="BK3" s="975" t="s">
        <v>561</v>
      </c>
      <c r="BL3" s="975"/>
      <c r="BM3" s="975" t="s">
        <v>561</v>
      </c>
      <c r="BN3" s="975"/>
      <c r="BO3" s="975" t="s">
        <v>561</v>
      </c>
      <c r="BP3" s="975"/>
      <c r="BQ3" s="975" t="s">
        <v>561</v>
      </c>
      <c r="BR3" s="975"/>
      <c r="BS3" s="975" t="s">
        <v>561</v>
      </c>
      <c r="BT3" s="975"/>
      <c r="BU3" s="975" t="s">
        <v>561</v>
      </c>
      <c r="BV3" s="975"/>
      <c r="BW3" s="975" t="s">
        <v>561</v>
      </c>
      <c r="BX3" s="975"/>
      <c r="BY3" s="975" t="s">
        <v>561</v>
      </c>
      <c r="BZ3" s="975"/>
    </row>
    <row r="4" spans="1:81" ht="14.5">
      <c r="A4" s="311" t="s">
        <v>28</v>
      </c>
      <c r="B4" s="312">
        <f>SUM(D7,F7,H7,J7,L7,N7,P7,R7,T7,V7,X7,Z7,AB7,AD7,AF7,AH7,AJ7,AL7,AN7,AP7,AR7,AT7,AV7,AX7,AZ7,BB7,BD7,BF7,BH7,BJ7,BL7,BN7,BP7,BR7,BT7,BV7,BX7,BZ7)</f>
        <v>444438214.01499999</v>
      </c>
      <c r="C4" s="204" t="s">
        <v>27</v>
      </c>
      <c r="D4" s="204" t="s">
        <v>28</v>
      </c>
      <c r="E4" s="204" t="s">
        <v>27</v>
      </c>
      <c r="F4" s="204" t="s">
        <v>28</v>
      </c>
      <c r="G4" s="204" t="s">
        <v>27</v>
      </c>
      <c r="H4" s="204" t="s">
        <v>28</v>
      </c>
      <c r="I4" s="204" t="s">
        <v>27</v>
      </c>
      <c r="J4" s="204" t="s">
        <v>28</v>
      </c>
      <c r="K4" s="204" t="s">
        <v>27</v>
      </c>
      <c r="L4" s="204" t="s">
        <v>28</v>
      </c>
      <c r="M4" s="204" t="s">
        <v>27</v>
      </c>
      <c r="N4" s="204" t="s">
        <v>28</v>
      </c>
      <c r="O4" s="204" t="s">
        <v>27</v>
      </c>
      <c r="P4" s="204" t="s">
        <v>28</v>
      </c>
      <c r="Q4" s="204" t="s">
        <v>27</v>
      </c>
      <c r="R4" s="204" t="s">
        <v>28</v>
      </c>
      <c r="S4" s="204" t="s">
        <v>27</v>
      </c>
      <c r="T4" s="204" t="s">
        <v>28</v>
      </c>
      <c r="U4" s="204" t="s">
        <v>27</v>
      </c>
      <c r="V4" s="204" t="s">
        <v>28</v>
      </c>
      <c r="W4" s="204" t="s">
        <v>27</v>
      </c>
      <c r="X4" s="204" t="s">
        <v>28</v>
      </c>
      <c r="Y4" s="204" t="s">
        <v>27</v>
      </c>
      <c r="Z4" s="204" t="s">
        <v>28</v>
      </c>
      <c r="AA4" s="204" t="s">
        <v>27</v>
      </c>
      <c r="AB4" s="204" t="s">
        <v>28</v>
      </c>
      <c r="AC4" s="204" t="s">
        <v>27</v>
      </c>
      <c r="AD4" s="204" t="s">
        <v>28</v>
      </c>
      <c r="AE4" s="204" t="s">
        <v>27</v>
      </c>
      <c r="AF4" s="204" t="s">
        <v>28</v>
      </c>
      <c r="AG4" s="204" t="s">
        <v>27</v>
      </c>
      <c r="AH4" s="204" t="s">
        <v>28</v>
      </c>
      <c r="AI4" s="204" t="s">
        <v>27</v>
      </c>
      <c r="AJ4" s="204" t="s">
        <v>28</v>
      </c>
      <c r="AK4" s="204" t="s">
        <v>27</v>
      </c>
      <c r="AL4" s="204" t="s">
        <v>28</v>
      </c>
      <c r="AM4" s="204" t="s">
        <v>27</v>
      </c>
      <c r="AN4" s="204" t="s">
        <v>28</v>
      </c>
      <c r="AO4" s="87" t="s">
        <v>27</v>
      </c>
      <c r="AP4" s="87" t="s">
        <v>28</v>
      </c>
      <c r="AQ4" s="87" t="s">
        <v>27</v>
      </c>
      <c r="AR4" s="87" t="s">
        <v>28</v>
      </c>
      <c r="AS4" s="87" t="s">
        <v>27</v>
      </c>
      <c r="AT4" s="87" t="s">
        <v>28</v>
      </c>
      <c r="AU4" s="87" t="s">
        <v>27</v>
      </c>
      <c r="AV4" s="87" t="s">
        <v>28</v>
      </c>
      <c r="AW4" s="87" t="s">
        <v>27</v>
      </c>
      <c r="AX4" s="87" t="s">
        <v>28</v>
      </c>
      <c r="AY4" s="87" t="s">
        <v>27</v>
      </c>
      <c r="AZ4" s="87" t="s">
        <v>28</v>
      </c>
      <c r="BA4" s="87" t="s">
        <v>27</v>
      </c>
      <c r="BB4" s="87" t="s">
        <v>28</v>
      </c>
      <c r="BC4" s="87" t="s">
        <v>27</v>
      </c>
      <c r="BD4" s="87" t="s">
        <v>28</v>
      </c>
      <c r="BE4" s="87" t="s">
        <v>27</v>
      </c>
      <c r="BF4" s="87" t="s">
        <v>28</v>
      </c>
      <c r="BG4" s="87" t="s">
        <v>27</v>
      </c>
      <c r="BH4" s="87" t="s">
        <v>28</v>
      </c>
      <c r="BI4" s="87" t="s">
        <v>27</v>
      </c>
      <c r="BJ4" s="87" t="s">
        <v>28</v>
      </c>
      <c r="BK4" s="87" t="s">
        <v>27</v>
      </c>
      <c r="BL4" s="87" t="s">
        <v>28</v>
      </c>
      <c r="BM4" s="87" t="s">
        <v>27</v>
      </c>
      <c r="BN4" s="87" t="s">
        <v>28</v>
      </c>
      <c r="BO4" s="87" t="s">
        <v>27</v>
      </c>
      <c r="BP4" s="87" t="s">
        <v>28</v>
      </c>
      <c r="BQ4" s="87" t="s">
        <v>27</v>
      </c>
      <c r="BR4" s="87" t="s">
        <v>28</v>
      </c>
      <c r="BS4" s="87" t="s">
        <v>27</v>
      </c>
      <c r="BT4" s="87" t="s">
        <v>28</v>
      </c>
      <c r="BU4" s="87" t="s">
        <v>27</v>
      </c>
      <c r="BV4" s="87" t="s">
        <v>28</v>
      </c>
      <c r="BW4" s="87" t="s">
        <v>27</v>
      </c>
      <c r="BX4" s="87" t="s">
        <v>28</v>
      </c>
      <c r="BY4" s="87" t="s">
        <v>27</v>
      </c>
      <c r="BZ4" s="87" t="s">
        <v>28</v>
      </c>
      <c r="CB4" s="370" t="s">
        <v>27</v>
      </c>
      <c r="CC4" s="370" t="s">
        <v>28</v>
      </c>
    </row>
    <row r="5" spans="1:81" ht="14.5">
      <c r="B5" s="314">
        <f>'P &amp; NP'!WW11</f>
        <v>444438214.01499999</v>
      </c>
      <c r="C5" s="204" t="s">
        <v>29</v>
      </c>
      <c r="D5" s="204" t="s">
        <v>30</v>
      </c>
      <c r="E5" s="204" t="s">
        <v>29</v>
      </c>
      <c r="F5" s="204" t="s">
        <v>30</v>
      </c>
      <c r="G5" s="204" t="s">
        <v>29</v>
      </c>
      <c r="H5" s="204" t="s">
        <v>30</v>
      </c>
      <c r="I5" s="204" t="s">
        <v>29</v>
      </c>
      <c r="J5" s="204" t="s">
        <v>30</v>
      </c>
      <c r="K5" s="204" t="s">
        <v>29</v>
      </c>
      <c r="L5" s="204" t="s">
        <v>30</v>
      </c>
      <c r="M5" s="204" t="s">
        <v>29</v>
      </c>
      <c r="N5" s="204" t="s">
        <v>30</v>
      </c>
      <c r="O5" s="204" t="s">
        <v>29</v>
      </c>
      <c r="P5" s="204" t="s">
        <v>30</v>
      </c>
      <c r="Q5" s="204" t="s">
        <v>29</v>
      </c>
      <c r="R5" s="204" t="s">
        <v>30</v>
      </c>
      <c r="S5" s="204" t="s">
        <v>29</v>
      </c>
      <c r="T5" s="204" t="s">
        <v>30</v>
      </c>
      <c r="U5" s="204" t="s">
        <v>29</v>
      </c>
      <c r="V5" s="204" t="s">
        <v>30</v>
      </c>
      <c r="W5" s="204" t="s">
        <v>29</v>
      </c>
      <c r="X5" s="204" t="s">
        <v>30</v>
      </c>
      <c r="Y5" s="204" t="s">
        <v>29</v>
      </c>
      <c r="Z5" s="204" t="s">
        <v>30</v>
      </c>
      <c r="AA5" s="204" t="s">
        <v>29</v>
      </c>
      <c r="AB5" s="204" t="s">
        <v>30</v>
      </c>
      <c r="AC5" s="204" t="s">
        <v>29</v>
      </c>
      <c r="AD5" s="204" t="s">
        <v>30</v>
      </c>
      <c r="AE5" s="204" t="s">
        <v>29</v>
      </c>
      <c r="AF5" s="204" t="s">
        <v>30</v>
      </c>
      <c r="AG5" s="204" t="s">
        <v>29</v>
      </c>
      <c r="AH5" s="204" t="s">
        <v>30</v>
      </c>
      <c r="AI5" s="204" t="s">
        <v>29</v>
      </c>
      <c r="AJ5" s="204" t="s">
        <v>30</v>
      </c>
      <c r="AK5" s="204" t="s">
        <v>29</v>
      </c>
      <c r="AL5" s="204" t="s">
        <v>30</v>
      </c>
      <c r="AM5" s="204" t="s">
        <v>29</v>
      </c>
      <c r="AN5" s="204" t="s">
        <v>30</v>
      </c>
      <c r="AO5" s="87" t="s">
        <v>29</v>
      </c>
      <c r="AP5" s="87" t="s">
        <v>30</v>
      </c>
      <c r="AQ5" s="87" t="s">
        <v>29</v>
      </c>
      <c r="AR5" s="87" t="s">
        <v>30</v>
      </c>
      <c r="AS5" s="87" t="s">
        <v>29</v>
      </c>
      <c r="AT5" s="87" t="s">
        <v>30</v>
      </c>
      <c r="AU5" s="87" t="s">
        <v>29</v>
      </c>
      <c r="AV5" s="87" t="s">
        <v>30</v>
      </c>
      <c r="AW5" s="87" t="s">
        <v>29</v>
      </c>
      <c r="AX5" s="87" t="s">
        <v>30</v>
      </c>
      <c r="AY5" s="87" t="s">
        <v>29</v>
      </c>
      <c r="AZ5" s="87" t="s">
        <v>30</v>
      </c>
      <c r="BA5" s="87" t="s">
        <v>29</v>
      </c>
      <c r="BB5" s="87" t="s">
        <v>30</v>
      </c>
      <c r="BC5" s="87" t="s">
        <v>29</v>
      </c>
      <c r="BD5" s="87" t="s">
        <v>30</v>
      </c>
      <c r="BE5" s="87" t="s">
        <v>29</v>
      </c>
      <c r="BF5" s="87" t="s">
        <v>30</v>
      </c>
      <c r="BG5" s="87" t="s">
        <v>29</v>
      </c>
      <c r="BH5" s="87" t="s">
        <v>30</v>
      </c>
      <c r="BI5" s="87" t="s">
        <v>29</v>
      </c>
      <c r="BJ5" s="87" t="s">
        <v>30</v>
      </c>
      <c r="BK5" s="87" t="s">
        <v>29</v>
      </c>
      <c r="BL5" s="87" t="s">
        <v>30</v>
      </c>
      <c r="BM5" s="87" t="s">
        <v>29</v>
      </c>
      <c r="BN5" s="87" t="s">
        <v>30</v>
      </c>
      <c r="BO5" s="87" t="s">
        <v>29</v>
      </c>
      <c r="BP5" s="87" t="s">
        <v>30</v>
      </c>
      <c r="BQ5" s="87" t="s">
        <v>29</v>
      </c>
      <c r="BR5" s="87" t="s">
        <v>30</v>
      </c>
      <c r="BS5" s="87" t="s">
        <v>29</v>
      </c>
      <c r="BT5" s="87" t="s">
        <v>30</v>
      </c>
      <c r="BU5" s="87" t="s">
        <v>29</v>
      </c>
      <c r="BV5" s="87" t="s">
        <v>30</v>
      </c>
      <c r="BW5" s="87" t="s">
        <v>29</v>
      </c>
      <c r="BX5" s="87" t="s">
        <v>30</v>
      </c>
      <c r="BY5" s="87" t="s">
        <v>29</v>
      </c>
      <c r="BZ5" s="87" t="s">
        <v>30</v>
      </c>
    </row>
    <row r="6" spans="1:81" s="731" customFormat="1">
      <c r="B6" s="731">
        <f>B5-B4</f>
        <v>0</v>
      </c>
      <c r="C6" s="731">
        <f>'P &amp; NP'!K484</f>
        <v>0</v>
      </c>
      <c r="D6" s="731">
        <f>'P &amp; NP'!L484</f>
        <v>0</v>
      </c>
      <c r="E6" s="731">
        <f>'P &amp; NP'!AA484</f>
        <v>68205</v>
      </c>
      <c r="F6" s="731">
        <f>'P &amp; NP'!AB484</f>
        <v>1867275</v>
      </c>
      <c r="G6" s="209">
        <f>'P &amp; NP'!AQ484</f>
        <v>1820</v>
      </c>
      <c r="H6" s="209">
        <f>'P &amp; NP'!AR484</f>
        <v>43900</v>
      </c>
      <c r="I6" s="209">
        <f>'P &amp; NP'!BG484</f>
        <v>84222</v>
      </c>
      <c r="J6" s="209">
        <f>'P &amp; NP'!BH484</f>
        <v>1680599</v>
      </c>
      <c r="K6" s="206">
        <f>'P &amp; NP'!BW484</f>
        <v>0</v>
      </c>
      <c r="L6" s="206">
        <f>'P &amp; NP'!BX484</f>
        <v>0</v>
      </c>
      <c r="M6" s="206">
        <f>'P &amp; NP'!CM484</f>
        <v>0</v>
      </c>
      <c r="N6" s="206">
        <f>'P &amp; NP'!CN484</f>
        <v>0</v>
      </c>
      <c r="O6" s="206">
        <f>'P &amp; NP'!DC484</f>
        <v>35722.000366</v>
      </c>
      <c r="P6" s="206">
        <f>'P &amp; NP'!DD484</f>
        <v>879880.01500000001</v>
      </c>
      <c r="Q6" s="206">
        <f>'P &amp; NP'!DS484</f>
        <v>0</v>
      </c>
      <c r="R6" s="206">
        <f>'P &amp; NP'!DT484</f>
        <v>0</v>
      </c>
      <c r="S6" s="206">
        <f>'P &amp; NP'!EI484</f>
        <v>0</v>
      </c>
      <c r="T6" s="206">
        <f>'P &amp; NP'!EJ484</f>
        <v>0</v>
      </c>
      <c r="U6" s="206">
        <f>'P &amp; NP'!EY484</f>
        <v>0</v>
      </c>
      <c r="V6" s="206">
        <f>'P &amp; NP'!EZ484</f>
        <v>0</v>
      </c>
      <c r="W6" s="206">
        <f>'P &amp; NP'!FO484</f>
        <v>0</v>
      </c>
      <c r="X6" s="206">
        <f>'P &amp; NP'!FP484</f>
        <v>0</v>
      </c>
      <c r="Y6" s="206">
        <f>'P &amp; NP'!GE484</f>
        <v>0</v>
      </c>
      <c r="Z6" s="206">
        <f>'P &amp; NP'!GF484</f>
        <v>0</v>
      </c>
      <c r="AA6" s="206">
        <f>'P &amp; NP'!GU484</f>
        <v>0</v>
      </c>
      <c r="AB6" s="206">
        <f>'P &amp; NP'!GV484</f>
        <v>0</v>
      </c>
      <c r="AC6" s="206">
        <f>'P &amp; NP'!HK484</f>
        <v>0</v>
      </c>
      <c r="AD6" s="206">
        <f>'P &amp; NP'!HL484</f>
        <v>0</v>
      </c>
      <c r="AE6" s="206">
        <f>'P &amp; NP'!IA484</f>
        <v>0</v>
      </c>
      <c r="AF6" s="206">
        <f>'P &amp; NP'!IB484</f>
        <v>0</v>
      </c>
      <c r="AG6" s="206">
        <f>'P &amp; NP'!IQ484</f>
        <v>0</v>
      </c>
      <c r="AH6" s="206">
        <f>'P &amp; NP'!IR484</f>
        <v>0</v>
      </c>
      <c r="AI6" s="206">
        <f>'P &amp; NP'!JG484</f>
        <v>0</v>
      </c>
      <c r="AJ6" s="206">
        <f>'P &amp; NP'!JH484</f>
        <v>0</v>
      </c>
      <c r="AK6" s="206">
        <f>'P &amp; NP'!JW484</f>
        <v>0</v>
      </c>
      <c r="AL6" s="206">
        <f>'P &amp; NP'!JX484</f>
        <v>0</v>
      </c>
      <c r="AM6" s="206">
        <f>'P &amp; NP'!KM484</f>
        <v>0</v>
      </c>
      <c r="AN6" s="206">
        <f>'P &amp; NP'!KN484</f>
        <v>0</v>
      </c>
      <c r="AO6" s="206">
        <f>'P &amp; NP'!LC484</f>
        <v>0</v>
      </c>
      <c r="AP6" s="206">
        <f>'P &amp; NP'!LD484</f>
        <v>0</v>
      </c>
      <c r="AQ6" s="206">
        <f>'P &amp; NP'!LS484</f>
        <v>0</v>
      </c>
      <c r="AR6" s="206">
        <f>'P &amp; NP'!LT484</f>
        <v>0</v>
      </c>
      <c r="AS6" s="206">
        <f>'P &amp; NP'!MI484</f>
        <v>0</v>
      </c>
      <c r="AT6" s="206">
        <f>'P &amp; NP'!MJ484</f>
        <v>0</v>
      </c>
      <c r="AU6" s="206">
        <f>'P &amp; NP'!MY484</f>
        <v>0</v>
      </c>
      <c r="AV6" s="206">
        <f>'P &amp; NP'!MZ484</f>
        <v>0</v>
      </c>
      <c r="AW6" s="206">
        <f>'P &amp; NP'!NO484</f>
        <v>837900</v>
      </c>
      <c r="AX6" s="206">
        <f>'P &amp; NP'!NP484</f>
        <v>17875200</v>
      </c>
      <c r="AY6" s="206">
        <f>'P &amp; NP'!OE484</f>
        <v>0</v>
      </c>
      <c r="AZ6" s="206">
        <f>'P &amp; NP'!OF484</f>
        <v>0</v>
      </c>
      <c r="BA6" s="206">
        <f>'P &amp; NP'!OU484</f>
        <v>0</v>
      </c>
      <c r="BB6" s="206">
        <f>'P &amp; NP'!OV484</f>
        <v>0</v>
      </c>
      <c r="BC6" s="206">
        <f>'P &amp; NP'!PK484</f>
        <v>0</v>
      </c>
      <c r="BD6" s="206">
        <f>'P &amp; NP'!PL484</f>
        <v>0</v>
      </c>
      <c r="BE6" s="206">
        <f>'P &amp; NP'!QA484</f>
        <v>15223090</v>
      </c>
      <c r="BF6" s="206">
        <f>'P &amp; NP'!QB484</f>
        <v>422091360</v>
      </c>
      <c r="BG6" s="206">
        <f>'P &amp; NP'!QQ484</f>
        <v>0</v>
      </c>
      <c r="BH6" s="206">
        <f>'P &amp; NP'!QR484</f>
        <v>0</v>
      </c>
      <c r="BI6" s="206">
        <f>'P &amp; NP'!RG484</f>
        <v>0</v>
      </c>
      <c r="BJ6" s="206">
        <f>'P &amp; NP'!RH484</f>
        <v>0</v>
      </c>
      <c r="BK6" s="206">
        <f>'P &amp; NP'!RW484</f>
        <v>0</v>
      </c>
      <c r="BL6" s="206">
        <f>'P &amp; NP'!RX484</f>
        <v>0</v>
      </c>
      <c r="BM6" s="206">
        <f>'P &amp; NP'!SM484</f>
        <v>0</v>
      </c>
      <c r="BN6" s="206">
        <f>'P &amp; NP'!SN484</f>
        <v>0</v>
      </c>
      <c r="BO6" s="206">
        <f>'P &amp; NP'!TC484</f>
        <v>0</v>
      </c>
      <c r="BP6" s="206">
        <f>'P &amp; NP'!TD484</f>
        <v>0</v>
      </c>
      <c r="BQ6" s="206">
        <f>'P &amp; NP'!TS484</f>
        <v>0</v>
      </c>
      <c r="BR6" s="206">
        <f>'P &amp; NP'!TT484</f>
        <v>0</v>
      </c>
      <c r="BS6" s="206">
        <f>'P &amp; NP'!UI484</f>
        <v>0</v>
      </c>
      <c r="BT6" s="206">
        <f>'P &amp; NP'!UJ484</f>
        <v>0</v>
      </c>
      <c r="BU6" s="206">
        <f>'P &amp; NP'!UY484</f>
        <v>0</v>
      </c>
      <c r="BV6" s="206">
        <f>'P &amp; NP'!UZ484</f>
        <v>0</v>
      </c>
      <c r="BW6" s="206">
        <f>'P &amp; NP'!VO484</f>
        <v>0</v>
      </c>
      <c r="BX6" s="206">
        <f>'P &amp; NP'!VP484</f>
        <v>0</v>
      </c>
      <c r="BY6" s="206">
        <f>'P &amp; NP'!WE484</f>
        <v>0</v>
      </c>
      <c r="BZ6" s="206">
        <f>'P &amp; NP'!WF484</f>
        <v>0</v>
      </c>
    </row>
    <row r="7" spans="1:81" s="208" customFormat="1">
      <c r="C7" s="209">
        <f>SUM(C8:C44)</f>
        <v>0</v>
      </c>
      <c r="D7" s="209">
        <f t="shared" ref="D7:BO7" si="0">SUM(D8:D44)</f>
        <v>0</v>
      </c>
      <c r="E7" s="209">
        <f t="shared" si="0"/>
        <v>68205</v>
      </c>
      <c r="F7" s="209">
        <f t="shared" si="0"/>
        <v>1867275</v>
      </c>
      <c r="G7" s="209">
        <f t="shared" si="0"/>
        <v>1820</v>
      </c>
      <c r="H7" s="209">
        <f t="shared" si="0"/>
        <v>43900</v>
      </c>
      <c r="I7" s="209">
        <f t="shared" si="0"/>
        <v>84222</v>
      </c>
      <c r="J7" s="209">
        <f t="shared" si="0"/>
        <v>1680599</v>
      </c>
      <c r="K7" s="209">
        <f t="shared" si="0"/>
        <v>0</v>
      </c>
      <c r="L7" s="209">
        <f t="shared" si="0"/>
        <v>0</v>
      </c>
      <c r="M7" s="209">
        <f t="shared" si="0"/>
        <v>0</v>
      </c>
      <c r="N7" s="209">
        <f t="shared" si="0"/>
        <v>0</v>
      </c>
      <c r="O7" s="209">
        <f t="shared" si="0"/>
        <v>35722.000366</v>
      </c>
      <c r="P7" s="209">
        <f t="shared" si="0"/>
        <v>879880.01500000001</v>
      </c>
      <c r="Q7" s="209">
        <f t="shared" si="0"/>
        <v>0</v>
      </c>
      <c r="R7" s="209">
        <f t="shared" si="0"/>
        <v>0</v>
      </c>
      <c r="S7" s="209">
        <f t="shared" si="0"/>
        <v>0</v>
      </c>
      <c r="T7" s="209">
        <f t="shared" si="0"/>
        <v>0</v>
      </c>
      <c r="U7" s="209">
        <f t="shared" si="0"/>
        <v>0</v>
      </c>
      <c r="V7" s="209">
        <f t="shared" si="0"/>
        <v>0</v>
      </c>
      <c r="W7" s="209">
        <f t="shared" si="0"/>
        <v>0</v>
      </c>
      <c r="X7" s="209">
        <f t="shared" si="0"/>
        <v>0</v>
      </c>
      <c r="Y7" s="209">
        <f t="shared" si="0"/>
        <v>0</v>
      </c>
      <c r="Z7" s="209">
        <f t="shared" si="0"/>
        <v>0</v>
      </c>
      <c r="AA7" s="209">
        <f t="shared" si="0"/>
        <v>0</v>
      </c>
      <c r="AB7" s="209">
        <f t="shared" si="0"/>
        <v>0</v>
      </c>
      <c r="AC7" s="209">
        <f t="shared" si="0"/>
        <v>0</v>
      </c>
      <c r="AD7" s="209">
        <f t="shared" si="0"/>
        <v>0</v>
      </c>
      <c r="AE7" s="209">
        <f t="shared" si="0"/>
        <v>0</v>
      </c>
      <c r="AF7" s="209">
        <f t="shared" si="0"/>
        <v>0</v>
      </c>
      <c r="AG7" s="209">
        <f t="shared" si="0"/>
        <v>0</v>
      </c>
      <c r="AH7" s="209">
        <f t="shared" si="0"/>
        <v>0</v>
      </c>
      <c r="AI7" s="209">
        <f t="shared" si="0"/>
        <v>0</v>
      </c>
      <c r="AJ7" s="209">
        <f t="shared" si="0"/>
        <v>0</v>
      </c>
      <c r="AK7" s="209">
        <f t="shared" si="0"/>
        <v>0</v>
      </c>
      <c r="AL7" s="209">
        <f t="shared" si="0"/>
        <v>0</v>
      </c>
      <c r="AM7" s="209">
        <f t="shared" si="0"/>
        <v>0</v>
      </c>
      <c r="AN7" s="209">
        <f t="shared" si="0"/>
        <v>0</v>
      </c>
      <c r="AO7" s="209">
        <f t="shared" si="0"/>
        <v>0</v>
      </c>
      <c r="AP7" s="209">
        <f t="shared" si="0"/>
        <v>0</v>
      </c>
      <c r="AQ7" s="209">
        <f t="shared" si="0"/>
        <v>0</v>
      </c>
      <c r="AR7" s="209">
        <f t="shared" si="0"/>
        <v>0</v>
      </c>
      <c r="AS7" s="209">
        <f t="shared" si="0"/>
        <v>0</v>
      </c>
      <c r="AT7" s="209">
        <f t="shared" si="0"/>
        <v>0</v>
      </c>
      <c r="AU7" s="209">
        <f t="shared" si="0"/>
        <v>0</v>
      </c>
      <c r="AV7" s="209">
        <f t="shared" si="0"/>
        <v>0</v>
      </c>
      <c r="AW7" s="209">
        <f t="shared" si="0"/>
        <v>837900</v>
      </c>
      <c r="AX7" s="209">
        <f t="shared" si="0"/>
        <v>17875200</v>
      </c>
      <c r="AY7" s="209">
        <f t="shared" si="0"/>
        <v>0</v>
      </c>
      <c r="AZ7" s="209">
        <f t="shared" si="0"/>
        <v>0</v>
      </c>
      <c r="BA7" s="209">
        <f t="shared" si="0"/>
        <v>0</v>
      </c>
      <c r="BB7" s="209">
        <f t="shared" si="0"/>
        <v>0</v>
      </c>
      <c r="BC7" s="209">
        <f t="shared" si="0"/>
        <v>0</v>
      </c>
      <c r="BD7" s="209">
        <f t="shared" si="0"/>
        <v>0</v>
      </c>
      <c r="BE7" s="209">
        <f t="shared" si="0"/>
        <v>15223090</v>
      </c>
      <c r="BF7" s="209">
        <f t="shared" si="0"/>
        <v>422091360</v>
      </c>
      <c r="BG7" s="209">
        <f t="shared" si="0"/>
        <v>0</v>
      </c>
      <c r="BH7" s="209">
        <f t="shared" si="0"/>
        <v>0</v>
      </c>
      <c r="BI7" s="209">
        <f t="shared" si="0"/>
        <v>0</v>
      </c>
      <c r="BJ7" s="209">
        <f t="shared" si="0"/>
        <v>0</v>
      </c>
      <c r="BK7" s="209">
        <f t="shared" si="0"/>
        <v>0</v>
      </c>
      <c r="BL7" s="209">
        <f t="shared" si="0"/>
        <v>0</v>
      </c>
      <c r="BM7" s="209">
        <f t="shared" si="0"/>
        <v>0</v>
      </c>
      <c r="BN7" s="209">
        <f t="shared" si="0"/>
        <v>0</v>
      </c>
      <c r="BO7" s="209">
        <f t="shared" si="0"/>
        <v>0</v>
      </c>
      <c r="BP7" s="209">
        <f t="shared" ref="BP7:BZ7" si="1">SUM(BP8:BP44)</f>
        <v>0</v>
      </c>
      <c r="BQ7" s="209">
        <f t="shared" si="1"/>
        <v>0</v>
      </c>
      <c r="BR7" s="209">
        <f t="shared" si="1"/>
        <v>0</v>
      </c>
      <c r="BS7" s="209">
        <f t="shared" si="1"/>
        <v>0</v>
      </c>
      <c r="BT7" s="209">
        <f t="shared" si="1"/>
        <v>0</v>
      </c>
      <c r="BU7" s="209">
        <f t="shared" si="1"/>
        <v>0</v>
      </c>
      <c r="BV7" s="209">
        <f t="shared" si="1"/>
        <v>0</v>
      </c>
      <c r="BW7" s="209">
        <f t="shared" si="1"/>
        <v>0</v>
      </c>
      <c r="BX7" s="209">
        <f t="shared" si="1"/>
        <v>0</v>
      </c>
      <c r="BY7" s="209">
        <f t="shared" si="1"/>
        <v>0</v>
      </c>
      <c r="BZ7" s="209">
        <f t="shared" si="1"/>
        <v>0</v>
      </c>
      <c r="CB7" s="209">
        <f>SUM(CB8:CB44)</f>
        <v>16250959.000366</v>
      </c>
      <c r="CC7" s="209">
        <f>SUM(CC8:CC44)</f>
        <v>444438214.01499999</v>
      </c>
    </row>
    <row r="8" spans="1:81">
      <c r="B8" s="207" t="str">
        <f>'P &amp; NP'!B14</f>
        <v xml:space="preserve">Bandeng </v>
      </c>
      <c r="C8" s="209">
        <f>'P &amp; NP'!K485</f>
        <v>0</v>
      </c>
      <c r="D8" s="209">
        <f>'P &amp; NP'!L485</f>
        <v>0</v>
      </c>
      <c r="E8" s="209">
        <f>'P &amp; NP'!AA485</f>
        <v>0</v>
      </c>
      <c r="F8" s="209">
        <f>'P &amp; NP'!AB485</f>
        <v>0</v>
      </c>
      <c r="G8" s="209">
        <f>'P &amp; NP'!AQ485</f>
        <v>0</v>
      </c>
      <c r="H8" s="209">
        <f>'P &amp; NP'!AR485</f>
        <v>0</v>
      </c>
      <c r="I8" s="209">
        <f>'P &amp; NP'!BG485</f>
        <v>17732</v>
      </c>
      <c r="J8" s="209">
        <f>'P &amp; NP'!BH485</f>
        <v>301444</v>
      </c>
      <c r="K8" s="206">
        <f>'P &amp; NP'!BW485</f>
        <v>0</v>
      </c>
      <c r="L8" s="206">
        <f>'P &amp; NP'!BX485</f>
        <v>0</v>
      </c>
      <c r="M8" s="206">
        <f>'P &amp; NP'!CM485</f>
        <v>0</v>
      </c>
      <c r="N8" s="206">
        <f>'P &amp; NP'!CN485</f>
        <v>0</v>
      </c>
      <c r="O8" s="206">
        <f>'P &amp; NP'!DC485</f>
        <v>0</v>
      </c>
      <c r="P8" s="206">
        <f>'P &amp; NP'!DD485</f>
        <v>0</v>
      </c>
      <c r="Q8" s="206">
        <f>'P &amp; NP'!DS485</f>
        <v>0</v>
      </c>
      <c r="R8" s="206">
        <f>'P &amp; NP'!DT485</f>
        <v>0</v>
      </c>
      <c r="S8" s="206">
        <f>'P &amp; NP'!EI485</f>
        <v>0</v>
      </c>
      <c r="T8" s="206">
        <f>'P &amp; NP'!EJ485</f>
        <v>0</v>
      </c>
      <c r="U8" s="206">
        <f>'P &amp; NP'!EY485</f>
        <v>0</v>
      </c>
      <c r="V8" s="206">
        <f>'P &amp; NP'!EZ485</f>
        <v>0</v>
      </c>
      <c r="W8" s="206">
        <f>'P &amp; NP'!FO485</f>
        <v>0</v>
      </c>
      <c r="X8" s="206">
        <f>'P &amp; NP'!FP485</f>
        <v>0</v>
      </c>
      <c r="Y8" s="206">
        <f>'P &amp; NP'!GE485</f>
        <v>0</v>
      </c>
      <c r="Z8" s="206">
        <f>'P &amp; NP'!GF485</f>
        <v>0</v>
      </c>
      <c r="AA8" s="206">
        <f>'P &amp; NP'!GU485</f>
        <v>0</v>
      </c>
      <c r="AB8" s="206">
        <f>'P &amp; NP'!GV485</f>
        <v>0</v>
      </c>
      <c r="AC8" s="206">
        <f>'P &amp; NP'!HK485</f>
        <v>0</v>
      </c>
      <c r="AD8" s="206">
        <f>'P &amp; NP'!HL485</f>
        <v>0</v>
      </c>
      <c r="AE8" s="206">
        <f>'P &amp; NP'!IA485</f>
        <v>0</v>
      </c>
      <c r="AF8" s="206">
        <f>'P &amp; NP'!IB485</f>
        <v>0</v>
      </c>
      <c r="AG8" s="206">
        <f>'P &amp; NP'!IQ485</f>
        <v>0</v>
      </c>
      <c r="AH8" s="206">
        <f>'P &amp; NP'!IR485</f>
        <v>0</v>
      </c>
      <c r="AI8" s="206">
        <f>'P &amp; NP'!JG485</f>
        <v>0</v>
      </c>
      <c r="AJ8" s="206">
        <f>'P &amp; NP'!JH485</f>
        <v>0</v>
      </c>
      <c r="AK8" s="206">
        <f>'P &amp; NP'!JW485</f>
        <v>0</v>
      </c>
      <c r="AL8" s="206">
        <f>'P &amp; NP'!JX485</f>
        <v>0</v>
      </c>
      <c r="AM8" s="206">
        <f>'P &amp; NP'!KM485</f>
        <v>0</v>
      </c>
      <c r="AN8" s="206">
        <f>'P &amp; NP'!KN485</f>
        <v>0</v>
      </c>
      <c r="AO8" s="206">
        <f>'P &amp; NP'!LC485</f>
        <v>0</v>
      </c>
      <c r="AP8" s="206">
        <f>'P &amp; NP'!LD485</f>
        <v>0</v>
      </c>
      <c r="AQ8" s="206">
        <f>'P &amp; NP'!LS485</f>
        <v>0</v>
      </c>
      <c r="AR8" s="206">
        <f>'P &amp; NP'!LT485</f>
        <v>0</v>
      </c>
      <c r="AS8" s="206">
        <f>'P &amp; NP'!MI485</f>
        <v>0</v>
      </c>
      <c r="AT8" s="206">
        <f>'P &amp; NP'!MJ485</f>
        <v>0</v>
      </c>
      <c r="AU8" s="206">
        <f>'P &amp; NP'!MY485</f>
        <v>0</v>
      </c>
      <c r="AV8" s="206">
        <f>'P &amp; NP'!MZ485</f>
        <v>0</v>
      </c>
      <c r="AW8" s="206">
        <f>'P &amp; NP'!NO485</f>
        <v>0</v>
      </c>
      <c r="AX8" s="206">
        <f>'P &amp; NP'!NP485</f>
        <v>0</v>
      </c>
      <c r="AY8" s="206">
        <f>'P &amp; NP'!OE485</f>
        <v>0</v>
      </c>
      <c r="AZ8" s="206">
        <f>'P &amp; NP'!OF485</f>
        <v>0</v>
      </c>
      <c r="BA8" s="206">
        <f>'P &amp; NP'!OU485</f>
        <v>0</v>
      </c>
      <c r="BB8" s="206">
        <f>'P &amp; NP'!OV485</f>
        <v>0</v>
      </c>
      <c r="BC8" s="206">
        <f>'P &amp; NP'!PK485</f>
        <v>0</v>
      </c>
      <c r="BD8" s="206">
        <f>'P &amp; NP'!PL485</f>
        <v>0</v>
      </c>
      <c r="BE8" s="206">
        <f>'P &amp; NP'!QA485</f>
        <v>5012570</v>
      </c>
      <c r="BF8" s="206">
        <f>'P &amp; NP'!QB485</f>
        <v>99016440</v>
      </c>
      <c r="BG8" s="206">
        <f>'P &amp; NP'!QQ485</f>
        <v>0</v>
      </c>
      <c r="BH8" s="206">
        <f>'P &amp; NP'!QR485</f>
        <v>0</v>
      </c>
      <c r="BI8" s="206">
        <f>'P &amp; NP'!RG485</f>
        <v>0</v>
      </c>
      <c r="BJ8" s="206">
        <f>'P &amp; NP'!RH485</f>
        <v>0</v>
      </c>
      <c r="BK8" s="206">
        <f>'P &amp; NP'!RW485</f>
        <v>0</v>
      </c>
      <c r="BL8" s="206">
        <f>'P &amp; NP'!RX485</f>
        <v>0</v>
      </c>
      <c r="BM8" s="206">
        <f>'P &amp; NP'!SM485</f>
        <v>0</v>
      </c>
      <c r="BN8" s="206">
        <f>'P &amp; NP'!SN485</f>
        <v>0</v>
      </c>
      <c r="BO8" s="206">
        <f>'P &amp; NP'!TC485</f>
        <v>0</v>
      </c>
      <c r="BP8" s="206">
        <f>'P &amp; NP'!TD485</f>
        <v>0</v>
      </c>
      <c r="BQ8" s="206">
        <f>'P &amp; NP'!TS485</f>
        <v>0</v>
      </c>
      <c r="BR8" s="206">
        <f>'P &amp; NP'!TT485</f>
        <v>0</v>
      </c>
      <c r="BS8" s="206">
        <f>'P &amp; NP'!UI485</f>
        <v>0</v>
      </c>
      <c r="BT8" s="206">
        <f>'P &amp; NP'!UJ485</f>
        <v>0</v>
      </c>
      <c r="BU8" s="206">
        <f>'P &amp; NP'!UY485</f>
        <v>0</v>
      </c>
      <c r="BV8" s="206">
        <f>'P &amp; NP'!UZ485</f>
        <v>0</v>
      </c>
      <c r="BW8" s="206">
        <f>'P &amp; NP'!VO485</f>
        <v>0</v>
      </c>
      <c r="BX8" s="206">
        <f>'P &amp; NP'!VP485</f>
        <v>0</v>
      </c>
      <c r="BY8" s="206">
        <f>'P &amp; NP'!WE485</f>
        <v>0</v>
      </c>
      <c r="BZ8" s="206">
        <f>'P &amp; NP'!WF485</f>
        <v>0</v>
      </c>
      <c r="CB8" s="206">
        <f>SUMIF($C$4:$BZ$4,$CB$4,$C8:$BZ8)</f>
        <v>5030302</v>
      </c>
      <c r="CC8" s="206">
        <f>SUM(D8,F8,H8,J8,L8,N8,P8,R8,T8,V8,X8,Z8,AB8,AD8,AF8,AH8,AJ8,AL8,AN8,AP8,AR8,AT8,AV8,AX8,AZ8,BB8,BD8,BF8,BH8,BJ8,BL8,BN8,BP8,BR8,BT8,BV8,BX8,BZ8)</f>
        <v>99317884</v>
      </c>
    </row>
    <row r="9" spans="1:81">
      <c r="B9" s="207" t="str">
        <f>'P &amp; NP'!B15</f>
        <v xml:space="preserve">Bawal </v>
      </c>
      <c r="C9" s="209">
        <f>'P &amp; NP'!K486</f>
        <v>0</v>
      </c>
      <c r="D9" s="209">
        <f>'P &amp; NP'!L486</f>
        <v>0</v>
      </c>
      <c r="E9" s="209">
        <f>'P &amp; NP'!AA486</f>
        <v>0</v>
      </c>
      <c r="F9" s="209">
        <f>'P &amp; NP'!AB486</f>
        <v>0</v>
      </c>
      <c r="G9" s="209">
        <f>'P &amp; NP'!AQ486</f>
        <v>0</v>
      </c>
      <c r="H9" s="209">
        <f>'P &amp; NP'!AR486</f>
        <v>0</v>
      </c>
      <c r="I9" s="209">
        <f>'P &amp; NP'!BG486</f>
        <v>0</v>
      </c>
      <c r="J9" s="209">
        <f>'P &amp; NP'!BH486</f>
        <v>0</v>
      </c>
      <c r="K9" s="206">
        <f>'P &amp; NP'!BW486</f>
        <v>0</v>
      </c>
      <c r="L9" s="206">
        <f>'P &amp; NP'!BX486</f>
        <v>0</v>
      </c>
      <c r="M9" s="206">
        <f>'P &amp; NP'!CM486</f>
        <v>0</v>
      </c>
      <c r="N9" s="206">
        <f>'P &amp; NP'!CN486</f>
        <v>0</v>
      </c>
      <c r="O9" s="206">
        <f>'P &amp; NP'!DC486</f>
        <v>0</v>
      </c>
      <c r="P9" s="206">
        <f>'P &amp; NP'!DD486</f>
        <v>0</v>
      </c>
      <c r="Q9" s="206">
        <f>'P &amp; NP'!DS486</f>
        <v>0</v>
      </c>
      <c r="R9" s="206">
        <f>'P &amp; NP'!DT486</f>
        <v>0</v>
      </c>
      <c r="S9" s="206">
        <f>'P &amp; NP'!EI486</f>
        <v>0</v>
      </c>
      <c r="T9" s="206">
        <f>'P &amp; NP'!EJ486</f>
        <v>0</v>
      </c>
      <c r="U9" s="206">
        <f>'P &amp; NP'!EY486</f>
        <v>0</v>
      </c>
      <c r="V9" s="206">
        <f>'P &amp; NP'!EZ486</f>
        <v>0</v>
      </c>
      <c r="W9" s="206">
        <f>'P &amp; NP'!FO486</f>
        <v>0</v>
      </c>
      <c r="X9" s="206">
        <f>'P &amp; NP'!FP486</f>
        <v>0</v>
      </c>
      <c r="Y9" s="206">
        <f>'P &amp; NP'!GE486</f>
        <v>0</v>
      </c>
      <c r="Z9" s="206">
        <f>'P &amp; NP'!GF486</f>
        <v>0</v>
      </c>
      <c r="AA9" s="206">
        <f>'P &amp; NP'!GU486</f>
        <v>0</v>
      </c>
      <c r="AB9" s="206">
        <f>'P &amp; NP'!GV486</f>
        <v>0</v>
      </c>
      <c r="AC9" s="206">
        <f>'P &amp; NP'!HK486</f>
        <v>0</v>
      </c>
      <c r="AD9" s="206">
        <f>'P &amp; NP'!HL486</f>
        <v>0</v>
      </c>
      <c r="AE9" s="206">
        <f>'P &amp; NP'!IA486</f>
        <v>0</v>
      </c>
      <c r="AF9" s="206">
        <f>'P &amp; NP'!IB486</f>
        <v>0</v>
      </c>
      <c r="AG9" s="206">
        <f>'P &amp; NP'!IQ486</f>
        <v>0</v>
      </c>
      <c r="AH9" s="206">
        <f>'P &amp; NP'!IR486</f>
        <v>0</v>
      </c>
      <c r="AI9" s="206">
        <f>'P &amp; NP'!JG486</f>
        <v>0</v>
      </c>
      <c r="AJ9" s="206">
        <f>'P &amp; NP'!JH486</f>
        <v>0</v>
      </c>
      <c r="AK9" s="206">
        <f>'P &amp; NP'!JW486</f>
        <v>0</v>
      </c>
      <c r="AL9" s="206">
        <f>'P &amp; NP'!JX486</f>
        <v>0</v>
      </c>
      <c r="AM9" s="206">
        <f>'P &amp; NP'!KM486</f>
        <v>0</v>
      </c>
      <c r="AN9" s="206">
        <f>'P &amp; NP'!KN486</f>
        <v>0</v>
      </c>
      <c r="AO9" s="206">
        <f>'P &amp; NP'!LC486</f>
        <v>0</v>
      </c>
      <c r="AP9" s="206">
        <f>'P &amp; NP'!LD486</f>
        <v>0</v>
      </c>
      <c r="AQ9" s="206">
        <f>'P &amp; NP'!LS486</f>
        <v>0</v>
      </c>
      <c r="AR9" s="206">
        <f>'P &amp; NP'!LT486</f>
        <v>0</v>
      </c>
      <c r="AS9" s="206">
        <f>'P &amp; NP'!MI486</f>
        <v>0</v>
      </c>
      <c r="AT9" s="206">
        <f>'P &amp; NP'!MJ486</f>
        <v>0</v>
      </c>
      <c r="AU9" s="206">
        <f>'P &amp; NP'!MY486</f>
        <v>0</v>
      </c>
      <c r="AV9" s="206">
        <f>'P &amp; NP'!MZ486</f>
        <v>0</v>
      </c>
      <c r="AW9" s="206">
        <f>'P &amp; NP'!NO486</f>
        <v>0</v>
      </c>
      <c r="AX9" s="206">
        <f>'P &amp; NP'!NP486</f>
        <v>0</v>
      </c>
      <c r="AY9" s="206">
        <f>'P &amp; NP'!OE486</f>
        <v>0</v>
      </c>
      <c r="AZ9" s="206">
        <f>'P &amp; NP'!OF486</f>
        <v>0</v>
      </c>
      <c r="BA9" s="206">
        <f>'P &amp; NP'!OU486</f>
        <v>0</v>
      </c>
      <c r="BB9" s="206">
        <f>'P &amp; NP'!OV486</f>
        <v>0</v>
      </c>
      <c r="BC9" s="206">
        <f>'P &amp; NP'!PK486</f>
        <v>0</v>
      </c>
      <c r="BD9" s="206">
        <f>'P &amp; NP'!PL486</f>
        <v>0</v>
      </c>
      <c r="BE9" s="206">
        <f>'P &amp; NP'!QA486</f>
        <v>0</v>
      </c>
      <c r="BF9" s="206">
        <f>'P &amp; NP'!QB486</f>
        <v>0</v>
      </c>
      <c r="BG9" s="206">
        <f>'P &amp; NP'!QQ486</f>
        <v>0</v>
      </c>
      <c r="BH9" s="206">
        <f>'P &amp; NP'!QR486</f>
        <v>0</v>
      </c>
      <c r="BI9" s="206">
        <f>'P &amp; NP'!RG486</f>
        <v>0</v>
      </c>
      <c r="BJ9" s="206">
        <f>'P &amp; NP'!RH486</f>
        <v>0</v>
      </c>
      <c r="BK9" s="206">
        <f>'P &amp; NP'!RW486</f>
        <v>0</v>
      </c>
      <c r="BL9" s="206">
        <f>'P &amp; NP'!RX486</f>
        <v>0</v>
      </c>
      <c r="BM9" s="206">
        <f>'P &amp; NP'!SM486</f>
        <v>0</v>
      </c>
      <c r="BN9" s="206">
        <f>'P &amp; NP'!SN486</f>
        <v>0</v>
      </c>
      <c r="BO9" s="206">
        <f>'P &amp; NP'!TC486</f>
        <v>0</v>
      </c>
      <c r="BP9" s="206">
        <f>'P &amp; NP'!TD486</f>
        <v>0</v>
      </c>
      <c r="BQ9" s="206">
        <f>'P &amp; NP'!TS486</f>
        <v>0</v>
      </c>
      <c r="BR9" s="206">
        <f>'P &amp; NP'!TT486</f>
        <v>0</v>
      </c>
      <c r="BS9" s="206">
        <f>'P &amp; NP'!UI486</f>
        <v>0</v>
      </c>
      <c r="BT9" s="206">
        <f>'P &amp; NP'!UJ486</f>
        <v>0</v>
      </c>
      <c r="BU9" s="206">
        <f>'P &amp; NP'!UY486</f>
        <v>0</v>
      </c>
      <c r="BV9" s="206">
        <f>'P &amp; NP'!UZ486</f>
        <v>0</v>
      </c>
      <c r="BW9" s="206">
        <f>'P &amp; NP'!VO486</f>
        <v>0</v>
      </c>
      <c r="BX9" s="206">
        <f>'P &amp; NP'!VP486</f>
        <v>0</v>
      </c>
      <c r="BY9" s="206">
        <f>'P &amp; NP'!WE486</f>
        <v>0</v>
      </c>
      <c r="BZ9" s="206">
        <f>'P &amp; NP'!WF486</f>
        <v>0</v>
      </c>
      <c r="CB9" s="206">
        <f t="shared" ref="CB9:CB44" si="2">SUMIF($C$4:$BZ$4,$CB$4,$C9:$BZ9)</f>
        <v>0</v>
      </c>
      <c r="CC9" s="206">
        <f t="shared" ref="CC9:CC44" si="3">SUM(D9,F9,H9,J9,L9,N9,P9,R9,T9,V9,X9,Z9,AB9,AD9,AF9,AH9,AJ9,AL9,AN9,AP9,AR9,AT9,AV9,AX9,AZ9,BB9,BD9,BF9,BH9,BJ9,BL9,BN9,BP9,BR9,BT9,BV9,BX9,BZ9)</f>
        <v>0</v>
      </c>
    </row>
    <row r="10" spans="1:81">
      <c r="B10" s="207" t="str">
        <f>'P &amp; NP'!B16</f>
        <v xml:space="preserve">Belanak </v>
      </c>
      <c r="C10" s="209">
        <f>'P &amp; NP'!K487</f>
        <v>0</v>
      </c>
      <c r="D10" s="209">
        <f>'P &amp; NP'!L487</f>
        <v>0</v>
      </c>
      <c r="E10" s="209">
        <f>'P &amp; NP'!AA487</f>
        <v>0</v>
      </c>
      <c r="F10" s="209">
        <f>'P &amp; NP'!AB487</f>
        <v>0</v>
      </c>
      <c r="G10" s="209">
        <f>'P &amp; NP'!AQ487</f>
        <v>0</v>
      </c>
      <c r="H10" s="209">
        <f>'P &amp; NP'!AR487</f>
        <v>0</v>
      </c>
      <c r="I10" s="209">
        <f>'P &amp; NP'!BG487</f>
        <v>0</v>
      </c>
      <c r="J10" s="209">
        <f>'P &amp; NP'!BH487</f>
        <v>0</v>
      </c>
      <c r="K10" s="206">
        <f>'P &amp; NP'!BW487</f>
        <v>0</v>
      </c>
      <c r="L10" s="206">
        <f>'P &amp; NP'!BX487</f>
        <v>0</v>
      </c>
      <c r="M10" s="206">
        <f>'P &amp; NP'!CM487</f>
        <v>0</v>
      </c>
      <c r="N10" s="206">
        <f>'P &amp; NP'!CN487</f>
        <v>0</v>
      </c>
      <c r="O10" s="206">
        <f>'P &amp; NP'!DC487</f>
        <v>0</v>
      </c>
      <c r="P10" s="206">
        <f>'P &amp; NP'!DD487</f>
        <v>0</v>
      </c>
      <c r="Q10" s="206">
        <f>'P &amp; NP'!DS487</f>
        <v>0</v>
      </c>
      <c r="R10" s="206">
        <f>'P &amp; NP'!DT487</f>
        <v>0</v>
      </c>
      <c r="S10" s="206">
        <f>'P &amp; NP'!EI487</f>
        <v>0</v>
      </c>
      <c r="T10" s="206">
        <f>'P &amp; NP'!EJ487</f>
        <v>0</v>
      </c>
      <c r="U10" s="206">
        <f>'P &amp; NP'!EY487</f>
        <v>0</v>
      </c>
      <c r="V10" s="206">
        <f>'P &amp; NP'!EZ487</f>
        <v>0</v>
      </c>
      <c r="W10" s="206">
        <f>'P &amp; NP'!FO487</f>
        <v>0</v>
      </c>
      <c r="X10" s="206">
        <f>'P &amp; NP'!FP487</f>
        <v>0</v>
      </c>
      <c r="Y10" s="206">
        <f>'P &amp; NP'!GE487</f>
        <v>0</v>
      </c>
      <c r="Z10" s="206">
        <f>'P &amp; NP'!GF487</f>
        <v>0</v>
      </c>
      <c r="AA10" s="206">
        <f>'P &amp; NP'!GU487</f>
        <v>0</v>
      </c>
      <c r="AB10" s="206">
        <f>'P &amp; NP'!GV487</f>
        <v>0</v>
      </c>
      <c r="AC10" s="206">
        <f>'P &amp; NP'!HK487</f>
        <v>0</v>
      </c>
      <c r="AD10" s="206">
        <f>'P &amp; NP'!HL487</f>
        <v>0</v>
      </c>
      <c r="AE10" s="206">
        <f>'P &amp; NP'!IA487</f>
        <v>0</v>
      </c>
      <c r="AF10" s="206">
        <f>'P &amp; NP'!IB487</f>
        <v>0</v>
      </c>
      <c r="AG10" s="206">
        <f>'P &amp; NP'!IQ487</f>
        <v>0</v>
      </c>
      <c r="AH10" s="206">
        <f>'P &amp; NP'!IR487</f>
        <v>0</v>
      </c>
      <c r="AI10" s="206">
        <f>'P &amp; NP'!JG487</f>
        <v>0</v>
      </c>
      <c r="AJ10" s="206">
        <f>'P &amp; NP'!JH487</f>
        <v>0</v>
      </c>
      <c r="AK10" s="206">
        <f>'P &amp; NP'!JW487</f>
        <v>0</v>
      </c>
      <c r="AL10" s="206">
        <f>'P &amp; NP'!JX487</f>
        <v>0</v>
      </c>
      <c r="AM10" s="206">
        <f>'P &amp; NP'!KM487</f>
        <v>0</v>
      </c>
      <c r="AN10" s="206">
        <f>'P &amp; NP'!KN487</f>
        <v>0</v>
      </c>
      <c r="AO10" s="206">
        <f>'P &amp; NP'!LC487</f>
        <v>0</v>
      </c>
      <c r="AP10" s="206">
        <f>'P &amp; NP'!LD487</f>
        <v>0</v>
      </c>
      <c r="AQ10" s="206">
        <f>'P &amp; NP'!LS487</f>
        <v>0</v>
      </c>
      <c r="AR10" s="206">
        <f>'P &amp; NP'!LT487</f>
        <v>0</v>
      </c>
      <c r="AS10" s="206">
        <f>'P &amp; NP'!MI487</f>
        <v>0</v>
      </c>
      <c r="AT10" s="206">
        <f>'P &amp; NP'!MJ487</f>
        <v>0</v>
      </c>
      <c r="AU10" s="206">
        <f>'P &amp; NP'!MY487</f>
        <v>0</v>
      </c>
      <c r="AV10" s="206">
        <f>'P &amp; NP'!MZ487</f>
        <v>0</v>
      </c>
      <c r="AW10" s="206">
        <f>'P &amp; NP'!NO487</f>
        <v>0</v>
      </c>
      <c r="AX10" s="206">
        <f>'P &amp; NP'!NP487</f>
        <v>0</v>
      </c>
      <c r="AY10" s="206">
        <f>'P &amp; NP'!OE487</f>
        <v>0</v>
      </c>
      <c r="AZ10" s="206">
        <f>'P &amp; NP'!OF487</f>
        <v>0</v>
      </c>
      <c r="BA10" s="206">
        <f>'P &amp; NP'!OU487</f>
        <v>0</v>
      </c>
      <c r="BB10" s="206">
        <f>'P &amp; NP'!OV487</f>
        <v>0</v>
      </c>
      <c r="BC10" s="206">
        <f>'P &amp; NP'!PK487</f>
        <v>0</v>
      </c>
      <c r="BD10" s="206">
        <f>'P &amp; NP'!PL487</f>
        <v>0</v>
      </c>
      <c r="BE10" s="206">
        <f>'P &amp; NP'!QA487</f>
        <v>0</v>
      </c>
      <c r="BF10" s="206">
        <f>'P &amp; NP'!QB487</f>
        <v>0</v>
      </c>
      <c r="BG10" s="206">
        <f>'P &amp; NP'!QQ487</f>
        <v>0</v>
      </c>
      <c r="BH10" s="206">
        <f>'P &amp; NP'!QR487</f>
        <v>0</v>
      </c>
      <c r="BI10" s="206">
        <f>'P &amp; NP'!RG487</f>
        <v>0</v>
      </c>
      <c r="BJ10" s="206">
        <f>'P &amp; NP'!RH487</f>
        <v>0</v>
      </c>
      <c r="BK10" s="206">
        <f>'P &amp; NP'!RW487</f>
        <v>0</v>
      </c>
      <c r="BL10" s="206">
        <f>'P &amp; NP'!RX487</f>
        <v>0</v>
      </c>
      <c r="BM10" s="206">
        <f>'P &amp; NP'!SM487</f>
        <v>0</v>
      </c>
      <c r="BN10" s="206">
        <f>'P &amp; NP'!SN487</f>
        <v>0</v>
      </c>
      <c r="BO10" s="206">
        <f>'P &amp; NP'!TC487</f>
        <v>0</v>
      </c>
      <c r="BP10" s="206">
        <f>'P &amp; NP'!TD487</f>
        <v>0</v>
      </c>
      <c r="BQ10" s="206">
        <f>'P &amp; NP'!TS487</f>
        <v>0</v>
      </c>
      <c r="BR10" s="206">
        <f>'P &amp; NP'!TT487</f>
        <v>0</v>
      </c>
      <c r="BS10" s="206">
        <f>'P &amp; NP'!UI487</f>
        <v>0</v>
      </c>
      <c r="BT10" s="206">
        <f>'P &amp; NP'!UJ487</f>
        <v>0</v>
      </c>
      <c r="BU10" s="206">
        <f>'P &amp; NP'!UY487</f>
        <v>0</v>
      </c>
      <c r="BV10" s="206">
        <f>'P &amp; NP'!UZ487</f>
        <v>0</v>
      </c>
      <c r="BW10" s="206">
        <f>'P &amp; NP'!VO487</f>
        <v>0</v>
      </c>
      <c r="BX10" s="206">
        <f>'P &amp; NP'!VP487</f>
        <v>0</v>
      </c>
      <c r="BY10" s="206">
        <f>'P &amp; NP'!WE487</f>
        <v>0</v>
      </c>
      <c r="BZ10" s="206">
        <f>'P &amp; NP'!WF487</f>
        <v>0</v>
      </c>
      <c r="CB10" s="206">
        <f t="shared" si="2"/>
        <v>0</v>
      </c>
      <c r="CC10" s="206">
        <f t="shared" si="3"/>
        <v>0</v>
      </c>
    </row>
    <row r="11" spans="1:81">
      <c r="B11" s="207" t="str">
        <f>'P &amp; NP'!B17</f>
        <v xml:space="preserve">Eucheuma cottonii </v>
      </c>
      <c r="C11" s="209">
        <f>'P &amp; NP'!K488</f>
        <v>0</v>
      </c>
      <c r="D11" s="209">
        <f>'P &amp; NP'!L488</f>
        <v>0</v>
      </c>
      <c r="E11" s="209">
        <f>'P &amp; NP'!AA488</f>
        <v>0</v>
      </c>
      <c r="F11" s="209">
        <f>'P &amp; NP'!AB488</f>
        <v>0</v>
      </c>
      <c r="G11" s="209">
        <f>'P &amp; NP'!AQ488</f>
        <v>0</v>
      </c>
      <c r="H11" s="209">
        <f>'P &amp; NP'!AR488</f>
        <v>0</v>
      </c>
      <c r="I11" s="209">
        <f>'P &amp; NP'!BG488</f>
        <v>0</v>
      </c>
      <c r="J11" s="209">
        <f>'P &amp; NP'!BH488</f>
        <v>0</v>
      </c>
      <c r="K11" s="206">
        <f>'P &amp; NP'!BW488</f>
        <v>0</v>
      </c>
      <c r="L11" s="206">
        <f>'P &amp; NP'!BX488</f>
        <v>0</v>
      </c>
      <c r="M11" s="206">
        <f>'P &amp; NP'!CM488</f>
        <v>0</v>
      </c>
      <c r="N11" s="206">
        <f>'P &amp; NP'!CN488</f>
        <v>0</v>
      </c>
      <c r="O11" s="206">
        <f>'P &amp; NP'!DC488</f>
        <v>0</v>
      </c>
      <c r="P11" s="206">
        <f>'P &amp; NP'!DD488</f>
        <v>0</v>
      </c>
      <c r="Q11" s="206">
        <f>'P &amp; NP'!DS488</f>
        <v>0</v>
      </c>
      <c r="R11" s="206">
        <f>'P &amp; NP'!DT488</f>
        <v>0</v>
      </c>
      <c r="S11" s="206">
        <f>'P &amp; NP'!EI488</f>
        <v>0</v>
      </c>
      <c r="T11" s="206">
        <f>'P &amp; NP'!EJ488</f>
        <v>0</v>
      </c>
      <c r="U11" s="206">
        <f>'P &amp; NP'!EY488</f>
        <v>0</v>
      </c>
      <c r="V11" s="206">
        <f>'P &amp; NP'!EZ488</f>
        <v>0</v>
      </c>
      <c r="W11" s="206">
        <f>'P &amp; NP'!FO488</f>
        <v>0</v>
      </c>
      <c r="X11" s="206">
        <f>'P &amp; NP'!FP488</f>
        <v>0</v>
      </c>
      <c r="Y11" s="206">
        <f>'P &amp; NP'!GE488</f>
        <v>0</v>
      </c>
      <c r="Z11" s="206">
        <f>'P &amp; NP'!GF488</f>
        <v>0</v>
      </c>
      <c r="AA11" s="206">
        <f>'P &amp; NP'!GU488</f>
        <v>0</v>
      </c>
      <c r="AB11" s="206">
        <f>'P &amp; NP'!GV488</f>
        <v>0</v>
      </c>
      <c r="AC11" s="206">
        <f>'P &amp; NP'!HK488</f>
        <v>0</v>
      </c>
      <c r="AD11" s="206">
        <f>'P &amp; NP'!HL488</f>
        <v>0</v>
      </c>
      <c r="AE11" s="206">
        <f>'P &amp; NP'!IA488</f>
        <v>0</v>
      </c>
      <c r="AF11" s="206">
        <f>'P &amp; NP'!IB488</f>
        <v>0</v>
      </c>
      <c r="AG11" s="206">
        <f>'P &amp; NP'!IQ488</f>
        <v>0</v>
      </c>
      <c r="AH11" s="206">
        <f>'P &amp; NP'!IR488</f>
        <v>0</v>
      </c>
      <c r="AI11" s="206">
        <f>'P &amp; NP'!JG488</f>
        <v>0</v>
      </c>
      <c r="AJ11" s="206">
        <f>'P &amp; NP'!JH488</f>
        <v>0</v>
      </c>
      <c r="AK11" s="206">
        <f>'P &amp; NP'!JW488</f>
        <v>0</v>
      </c>
      <c r="AL11" s="206">
        <f>'P &amp; NP'!JX488</f>
        <v>0</v>
      </c>
      <c r="AM11" s="206">
        <f>'P &amp; NP'!KM488</f>
        <v>0</v>
      </c>
      <c r="AN11" s="206">
        <f>'P &amp; NP'!KN488</f>
        <v>0</v>
      </c>
      <c r="AO11" s="206">
        <f>'P &amp; NP'!LC488</f>
        <v>0</v>
      </c>
      <c r="AP11" s="206">
        <f>'P &amp; NP'!LD488</f>
        <v>0</v>
      </c>
      <c r="AQ11" s="206">
        <f>'P &amp; NP'!LS488</f>
        <v>0</v>
      </c>
      <c r="AR11" s="206">
        <f>'P &amp; NP'!LT488</f>
        <v>0</v>
      </c>
      <c r="AS11" s="206">
        <f>'P &amp; NP'!MI488</f>
        <v>0</v>
      </c>
      <c r="AT11" s="206">
        <f>'P &amp; NP'!MJ488</f>
        <v>0</v>
      </c>
      <c r="AU11" s="206">
        <f>'P &amp; NP'!MY488</f>
        <v>0</v>
      </c>
      <c r="AV11" s="206">
        <f>'P &amp; NP'!MZ488</f>
        <v>0</v>
      </c>
      <c r="AW11" s="206">
        <f>'P &amp; NP'!NO488</f>
        <v>0</v>
      </c>
      <c r="AX11" s="206">
        <f>'P &amp; NP'!NP488</f>
        <v>0</v>
      </c>
      <c r="AY11" s="206">
        <f>'P &amp; NP'!OE488</f>
        <v>0</v>
      </c>
      <c r="AZ11" s="206">
        <f>'P &amp; NP'!OF488</f>
        <v>0</v>
      </c>
      <c r="BA11" s="206">
        <f>'P &amp; NP'!OU488</f>
        <v>0</v>
      </c>
      <c r="BB11" s="206">
        <f>'P &amp; NP'!OV488</f>
        <v>0</v>
      </c>
      <c r="BC11" s="206">
        <f>'P &amp; NP'!PK488</f>
        <v>0</v>
      </c>
      <c r="BD11" s="206">
        <f>'P &amp; NP'!PL488</f>
        <v>0</v>
      </c>
      <c r="BE11" s="206">
        <f>'P &amp; NP'!QA488</f>
        <v>0</v>
      </c>
      <c r="BF11" s="206">
        <f>'P &amp; NP'!QB488</f>
        <v>0</v>
      </c>
      <c r="BG11" s="206">
        <f>'P &amp; NP'!QQ488</f>
        <v>0</v>
      </c>
      <c r="BH11" s="206">
        <f>'P &amp; NP'!QR488</f>
        <v>0</v>
      </c>
      <c r="BI11" s="206">
        <f>'P &amp; NP'!RG488</f>
        <v>0</v>
      </c>
      <c r="BJ11" s="206">
        <f>'P &amp; NP'!RH488</f>
        <v>0</v>
      </c>
      <c r="BK11" s="206">
        <f>'P &amp; NP'!RW488</f>
        <v>0</v>
      </c>
      <c r="BL11" s="206">
        <f>'P &amp; NP'!RX488</f>
        <v>0</v>
      </c>
      <c r="BM11" s="206">
        <f>'P &amp; NP'!SM488</f>
        <v>0</v>
      </c>
      <c r="BN11" s="206">
        <f>'P &amp; NP'!SN488</f>
        <v>0</v>
      </c>
      <c r="BO11" s="206">
        <f>'P &amp; NP'!TC488</f>
        <v>0</v>
      </c>
      <c r="BP11" s="206">
        <f>'P &amp; NP'!TD488</f>
        <v>0</v>
      </c>
      <c r="BQ11" s="206">
        <f>'P &amp; NP'!TS488</f>
        <v>0</v>
      </c>
      <c r="BR11" s="206">
        <f>'P &amp; NP'!TT488</f>
        <v>0</v>
      </c>
      <c r="BS11" s="206">
        <f>'P &amp; NP'!UI488</f>
        <v>0</v>
      </c>
      <c r="BT11" s="206">
        <f>'P &amp; NP'!UJ488</f>
        <v>0</v>
      </c>
      <c r="BU11" s="206">
        <f>'P &amp; NP'!UY488</f>
        <v>0</v>
      </c>
      <c r="BV11" s="206">
        <f>'P &amp; NP'!UZ488</f>
        <v>0</v>
      </c>
      <c r="BW11" s="206">
        <f>'P &amp; NP'!VO488</f>
        <v>0</v>
      </c>
      <c r="BX11" s="206">
        <f>'P &amp; NP'!VP488</f>
        <v>0</v>
      </c>
      <c r="BY11" s="206">
        <f>'P &amp; NP'!WE488</f>
        <v>0</v>
      </c>
      <c r="BZ11" s="206">
        <f>'P &amp; NP'!WF488</f>
        <v>0</v>
      </c>
      <c r="CB11" s="206">
        <f t="shared" si="2"/>
        <v>0</v>
      </c>
      <c r="CC11" s="206">
        <f t="shared" si="3"/>
        <v>0</v>
      </c>
    </row>
    <row r="12" spans="1:81">
      <c r="B12" s="207" t="str">
        <f>'P &amp; NP'!B18</f>
        <v xml:space="preserve">Gabus </v>
      </c>
      <c r="C12" s="209">
        <f>'P &amp; NP'!K489</f>
        <v>0</v>
      </c>
      <c r="D12" s="209">
        <f>'P &amp; NP'!L489</f>
        <v>0</v>
      </c>
      <c r="E12" s="209">
        <f>'P &amp; NP'!AA489</f>
        <v>0</v>
      </c>
      <c r="F12" s="209">
        <f>'P &amp; NP'!AB489</f>
        <v>0</v>
      </c>
      <c r="G12" s="209">
        <f>'P &amp; NP'!AQ489</f>
        <v>0</v>
      </c>
      <c r="H12" s="209">
        <f>'P &amp; NP'!AR489</f>
        <v>0</v>
      </c>
      <c r="I12" s="209">
        <f>'P &amp; NP'!BG489</f>
        <v>0</v>
      </c>
      <c r="J12" s="209">
        <f>'P &amp; NP'!BH489</f>
        <v>0</v>
      </c>
      <c r="K12" s="206">
        <f>'P &amp; NP'!BW489</f>
        <v>0</v>
      </c>
      <c r="L12" s="206">
        <f>'P &amp; NP'!BX489</f>
        <v>0</v>
      </c>
      <c r="M12" s="206">
        <f>'P &amp; NP'!CM489</f>
        <v>0</v>
      </c>
      <c r="N12" s="206">
        <f>'P &amp; NP'!CN489</f>
        <v>0</v>
      </c>
      <c r="O12" s="206">
        <f>'P &amp; NP'!DC489</f>
        <v>0</v>
      </c>
      <c r="P12" s="206">
        <f>'P &amp; NP'!DD489</f>
        <v>0</v>
      </c>
      <c r="Q12" s="206">
        <f>'P &amp; NP'!DS489</f>
        <v>0</v>
      </c>
      <c r="R12" s="206">
        <f>'P &amp; NP'!DT489</f>
        <v>0</v>
      </c>
      <c r="S12" s="206">
        <f>'P &amp; NP'!EI489</f>
        <v>0</v>
      </c>
      <c r="T12" s="206">
        <f>'P &amp; NP'!EJ489</f>
        <v>0</v>
      </c>
      <c r="U12" s="206">
        <f>'P &amp; NP'!EY489</f>
        <v>0</v>
      </c>
      <c r="V12" s="206">
        <f>'P &amp; NP'!EZ489</f>
        <v>0</v>
      </c>
      <c r="W12" s="206">
        <f>'P &amp; NP'!FO489</f>
        <v>0</v>
      </c>
      <c r="X12" s="206">
        <f>'P &amp; NP'!FP489</f>
        <v>0</v>
      </c>
      <c r="Y12" s="206">
        <f>'P &amp; NP'!GE489</f>
        <v>0</v>
      </c>
      <c r="Z12" s="206">
        <f>'P &amp; NP'!GF489</f>
        <v>0</v>
      </c>
      <c r="AA12" s="206">
        <f>'P &amp; NP'!GU489</f>
        <v>0</v>
      </c>
      <c r="AB12" s="206">
        <f>'P &amp; NP'!GV489</f>
        <v>0</v>
      </c>
      <c r="AC12" s="206">
        <f>'P &amp; NP'!HK489</f>
        <v>0</v>
      </c>
      <c r="AD12" s="206">
        <f>'P &amp; NP'!HL489</f>
        <v>0</v>
      </c>
      <c r="AE12" s="206">
        <f>'P &amp; NP'!IA489</f>
        <v>0</v>
      </c>
      <c r="AF12" s="206">
        <f>'P &amp; NP'!IB489</f>
        <v>0</v>
      </c>
      <c r="AG12" s="206">
        <f>'P &amp; NP'!IQ489</f>
        <v>0</v>
      </c>
      <c r="AH12" s="206">
        <f>'P &amp; NP'!IR489</f>
        <v>0</v>
      </c>
      <c r="AI12" s="206">
        <f>'P &amp; NP'!JG489</f>
        <v>0</v>
      </c>
      <c r="AJ12" s="206">
        <f>'P &amp; NP'!JH489</f>
        <v>0</v>
      </c>
      <c r="AK12" s="206">
        <f>'P &amp; NP'!JW489</f>
        <v>0</v>
      </c>
      <c r="AL12" s="206">
        <f>'P &amp; NP'!JX489</f>
        <v>0</v>
      </c>
      <c r="AM12" s="206">
        <f>'P &amp; NP'!KM489</f>
        <v>0</v>
      </c>
      <c r="AN12" s="206">
        <f>'P &amp; NP'!KN489</f>
        <v>0</v>
      </c>
      <c r="AO12" s="206">
        <f>'P &amp; NP'!LC489</f>
        <v>0</v>
      </c>
      <c r="AP12" s="206">
        <f>'P &amp; NP'!LD489</f>
        <v>0</v>
      </c>
      <c r="AQ12" s="206">
        <f>'P &amp; NP'!LS489</f>
        <v>0</v>
      </c>
      <c r="AR12" s="206">
        <f>'P &amp; NP'!LT489</f>
        <v>0</v>
      </c>
      <c r="AS12" s="206">
        <f>'P &amp; NP'!MI489</f>
        <v>0</v>
      </c>
      <c r="AT12" s="206">
        <f>'P &amp; NP'!MJ489</f>
        <v>0</v>
      </c>
      <c r="AU12" s="206">
        <f>'P &amp; NP'!MY489</f>
        <v>0</v>
      </c>
      <c r="AV12" s="206">
        <f>'P &amp; NP'!MZ489</f>
        <v>0</v>
      </c>
      <c r="AW12" s="206">
        <f>'P &amp; NP'!NO489</f>
        <v>0</v>
      </c>
      <c r="AX12" s="206">
        <f>'P &amp; NP'!NP489</f>
        <v>0</v>
      </c>
      <c r="AY12" s="206">
        <f>'P &amp; NP'!OE489</f>
        <v>0</v>
      </c>
      <c r="AZ12" s="206">
        <f>'P &amp; NP'!OF489</f>
        <v>0</v>
      </c>
      <c r="BA12" s="206">
        <f>'P &amp; NP'!OU489</f>
        <v>0</v>
      </c>
      <c r="BB12" s="206">
        <f>'P &amp; NP'!OV489</f>
        <v>0</v>
      </c>
      <c r="BC12" s="206">
        <f>'P &amp; NP'!PK489</f>
        <v>0</v>
      </c>
      <c r="BD12" s="206">
        <f>'P &amp; NP'!PL489</f>
        <v>0</v>
      </c>
      <c r="BE12" s="206">
        <f>'P &amp; NP'!QA489</f>
        <v>0</v>
      </c>
      <c r="BF12" s="206">
        <f>'P &amp; NP'!QB489</f>
        <v>0</v>
      </c>
      <c r="BG12" s="206">
        <f>'P &amp; NP'!QQ489</f>
        <v>0</v>
      </c>
      <c r="BH12" s="206">
        <f>'P &amp; NP'!QR489</f>
        <v>0</v>
      </c>
      <c r="BI12" s="206">
        <f>'P &amp; NP'!RG489</f>
        <v>0</v>
      </c>
      <c r="BJ12" s="206">
        <f>'P &amp; NP'!RH489</f>
        <v>0</v>
      </c>
      <c r="BK12" s="206">
        <f>'P &amp; NP'!RW489</f>
        <v>0</v>
      </c>
      <c r="BL12" s="206">
        <f>'P &amp; NP'!RX489</f>
        <v>0</v>
      </c>
      <c r="BM12" s="206">
        <f>'P &amp; NP'!SM489</f>
        <v>0</v>
      </c>
      <c r="BN12" s="206">
        <f>'P &amp; NP'!SN489</f>
        <v>0</v>
      </c>
      <c r="BO12" s="206">
        <f>'P &amp; NP'!TC489</f>
        <v>0</v>
      </c>
      <c r="BP12" s="206">
        <f>'P &amp; NP'!TD489</f>
        <v>0</v>
      </c>
      <c r="BQ12" s="206">
        <f>'P &amp; NP'!TS489</f>
        <v>0</v>
      </c>
      <c r="BR12" s="206">
        <f>'P &amp; NP'!TT489</f>
        <v>0</v>
      </c>
      <c r="BS12" s="206">
        <f>'P &amp; NP'!UI489</f>
        <v>0</v>
      </c>
      <c r="BT12" s="206">
        <f>'P &amp; NP'!UJ489</f>
        <v>0</v>
      </c>
      <c r="BU12" s="206">
        <f>'P &amp; NP'!UY489</f>
        <v>0</v>
      </c>
      <c r="BV12" s="206">
        <f>'P &amp; NP'!UZ489</f>
        <v>0</v>
      </c>
      <c r="BW12" s="206">
        <f>'P &amp; NP'!VO489</f>
        <v>0</v>
      </c>
      <c r="BX12" s="206">
        <f>'P &amp; NP'!VP489</f>
        <v>0</v>
      </c>
      <c r="BY12" s="206">
        <f>'P &amp; NP'!WE489</f>
        <v>0</v>
      </c>
      <c r="BZ12" s="206">
        <f>'P &amp; NP'!WF489</f>
        <v>0</v>
      </c>
      <c r="CB12" s="206">
        <f t="shared" si="2"/>
        <v>0</v>
      </c>
      <c r="CC12" s="206">
        <f t="shared" si="3"/>
        <v>0</v>
      </c>
    </row>
    <row r="13" spans="1:81">
      <c r="B13" s="207" t="str">
        <f>'P &amp; NP'!B19</f>
        <v xml:space="preserve">Gracilaria verrucosa </v>
      </c>
      <c r="C13" s="209">
        <f>'P &amp; NP'!K490</f>
        <v>0</v>
      </c>
      <c r="D13" s="209">
        <f>'P &amp; NP'!L490</f>
        <v>0</v>
      </c>
      <c r="E13" s="209">
        <f>'P &amp; NP'!AA490</f>
        <v>0</v>
      </c>
      <c r="F13" s="209">
        <f>'P &amp; NP'!AB490</f>
        <v>0</v>
      </c>
      <c r="G13" s="209">
        <f>'P &amp; NP'!AQ490</f>
        <v>0</v>
      </c>
      <c r="H13" s="209">
        <f>'P &amp; NP'!AR490</f>
        <v>0</v>
      </c>
      <c r="I13" s="209">
        <f>'P &amp; NP'!BG490</f>
        <v>0</v>
      </c>
      <c r="J13" s="209">
        <f>'P &amp; NP'!BH490</f>
        <v>0</v>
      </c>
      <c r="K13" s="206">
        <f>'P &amp; NP'!BW490</f>
        <v>0</v>
      </c>
      <c r="L13" s="206">
        <f>'P &amp; NP'!BX490</f>
        <v>0</v>
      </c>
      <c r="M13" s="206">
        <f>'P &amp; NP'!CM490</f>
        <v>0</v>
      </c>
      <c r="N13" s="206">
        <f>'P &amp; NP'!CN490</f>
        <v>0</v>
      </c>
      <c r="O13" s="206">
        <f>'P &amp; NP'!DC490</f>
        <v>0</v>
      </c>
      <c r="P13" s="206">
        <f>'P &amp; NP'!DD490</f>
        <v>0</v>
      </c>
      <c r="Q13" s="206">
        <f>'P &amp; NP'!DS490</f>
        <v>0</v>
      </c>
      <c r="R13" s="206">
        <f>'P &amp; NP'!DT490</f>
        <v>0</v>
      </c>
      <c r="S13" s="206">
        <f>'P &amp; NP'!EI490</f>
        <v>0</v>
      </c>
      <c r="T13" s="206">
        <f>'P &amp; NP'!EJ490</f>
        <v>0</v>
      </c>
      <c r="U13" s="206">
        <f>'P &amp; NP'!EY490</f>
        <v>0</v>
      </c>
      <c r="V13" s="206">
        <f>'P &amp; NP'!EZ490</f>
        <v>0</v>
      </c>
      <c r="W13" s="206">
        <f>'P &amp; NP'!FO490</f>
        <v>0</v>
      </c>
      <c r="X13" s="206">
        <f>'P &amp; NP'!FP490</f>
        <v>0</v>
      </c>
      <c r="Y13" s="206">
        <f>'P &amp; NP'!GE490</f>
        <v>0</v>
      </c>
      <c r="Z13" s="206">
        <f>'P &amp; NP'!GF490</f>
        <v>0</v>
      </c>
      <c r="AA13" s="206">
        <f>'P &amp; NP'!GU490</f>
        <v>0</v>
      </c>
      <c r="AB13" s="206">
        <f>'P &amp; NP'!GV490</f>
        <v>0</v>
      </c>
      <c r="AC13" s="206">
        <f>'P &amp; NP'!HK490</f>
        <v>0</v>
      </c>
      <c r="AD13" s="206">
        <f>'P &amp; NP'!HL490</f>
        <v>0</v>
      </c>
      <c r="AE13" s="206">
        <f>'P &amp; NP'!IA490</f>
        <v>0</v>
      </c>
      <c r="AF13" s="206">
        <f>'P &amp; NP'!IB490</f>
        <v>0</v>
      </c>
      <c r="AG13" s="206">
        <f>'P &amp; NP'!IQ490</f>
        <v>0</v>
      </c>
      <c r="AH13" s="206">
        <f>'P &amp; NP'!IR490</f>
        <v>0</v>
      </c>
      <c r="AI13" s="206">
        <f>'P &amp; NP'!JG490</f>
        <v>0</v>
      </c>
      <c r="AJ13" s="206">
        <f>'P &amp; NP'!JH490</f>
        <v>0</v>
      </c>
      <c r="AK13" s="206">
        <f>'P &amp; NP'!JW490</f>
        <v>0</v>
      </c>
      <c r="AL13" s="206">
        <f>'P &amp; NP'!JX490</f>
        <v>0</v>
      </c>
      <c r="AM13" s="206">
        <f>'P &amp; NP'!KM490</f>
        <v>0</v>
      </c>
      <c r="AN13" s="206">
        <f>'P &amp; NP'!KN490</f>
        <v>0</v>
      </c>
      <c r="AO13" s="206">
        <f>'P &amp; NP'!LC490</f>
        <v>0</v>
      </c>
      <c r="AP13" s="206">
        <f>'P &amp; NP'!LD490</f>
        <v>0</v>
      </c>
      <c r="AQ13" s="206">
        <f>'P &amp; NP'!LS490</f>
        <v>0</v>
      </c>
      <c r="AR13" s="206">
        <f>'P &amp; NP'!LT490</f>
        <v>0</v>
      </c>
      <c r="AS13" s="206">
        <f>'P &amp; NP'!MI490</f>
        <v>0</v>
      </c>
      <c r="AT13" s="206">
        <f>'P &amp; NP'!MJ490</f>
        <v>0</v>
      </c>
      <c r="AU13" s="206">
        <f>'P &amp; NP'!MY490</f>
        <v>0</v>
      </c>
      <c r="AV13" s="206">
        <f>'P &amp; NP'!MZ490</f>
        <v>0</v>
      </c>
      <c r="AW13" s="206">
        <f>'P &amp; NP'!NO490</f>
        <v>0</v>
      </c>
      <c r="AX13" s="206">
        <f>'P &amp; NP'!NP490</f>
        <v>0</v>
      </c>
      <c r="AY13" s="206">
        <f>'P &amp; NP'!OE490</f>
        <v>0</v>
      </c>
      <c r="AZ13" s="206">
        <f>'P &amp; NP'!OF490</f>
        <v>0</v>
      </c>
      <c r="BA13" s="206">
        <f>'P &amp; NP'!OU490</f>
        <v>0</v>
      </c>
      <c r="BB13" s="206">
        <f>'P &amp; NP'!OV490</f>
        <v>0</v>
      </c>
      <c r="BC13" s="206">
        <f>'P &amp; NP'!PK490</f>
        <v>0</v>
      </c>
      <c r="BD13" s="206">
        <f>'P &amp; NP'!PL490</f>
        <v>0</v>
      </c>
      <c r="BE13" s="206">
        <f>'P &amp; NP'!QA490</f>
        <v>0</v>
      </c>
      <c r="BF13" s="206">
        <f>'P &amp; NP'!QB490</f>
        <v>0</v>
      </c>
      <c r="BG13" s="206">
        <f>'P &amp; NP'!QQ490</f>
        <v>0</v>
      </c>
      <c r="BH13" s="206">
        <f>'P &amp; NP'!QR490</f>
        <v>0</v>
      </c>
      <c r="BI13" s="206">
        <f>'P &amp; NP'!RG490</f>
        <v>0</v>
      </c>
      <c r="BJ13" s="206">
        <f>'P &amp; NP'!RH490</f>
        <v>0</v>
      </c>
      <c r="BK13" s="206">
        <f>'P &amp; NP'!RW490</f>
        <v>0</v>
      </c>
      <c r="BL13" s="206">
        <f>'P &amp; NP'!RX490</f>
        <v>0</v>
      </c>
      <c r="BM13" s="206">
        <f>'P &amp; NP'!SM490</f>
        <v>0</v>
      </c>
      <c r="BN13" s="206">
        <f>'P &amp; NP'!SN490</f>
        <v>0</v>
      </c>
      <c r="BO13" s="206">
        <f>'P &amp; NP'!TC490</f>
        <v>0</v>
      </c>
      <c r="BP13" s="206">
        <f>'P &amp; NP'!TD490</f>
        <v>0</v>
      </c>
      <c r="BQ13" s="206">
        <f>'P &amp; NP'!TS490</f>
        <v>0</v>
      </c>
      <c r="BR13" s="206">
        <f>'P &amp; NP'!TT490</f>
        <v>0</v>
      </c>
      <c r="BS13" s="206">
        <f>'P &amp; NP'!UI490</f>
        <v>0</v>
      </c>
      <c r="BT13" s="206">
        <f>'P &amp; NP'!UJ490</f>
        <v>0</v>
      </c>
      <c r="BU13" s="206">
        <f>'P &amp; NP'!UY490</f>
        <v>0</v>
      </c>
      <c r="BV13" s="206">
        <f>'P &amp; NP'!UZ490</f>
        <v>0</v>
      </c>
      <c r="BW13" s="206">
        <f>'P &amp; NP'!VO490</f>
        <v>0</v>
      </c>
      <c r="BX13" s="206">
        <f>'P &amp; NP'!VP490</f>
        <v>0</v>
      </c>
      <c r="BY13" s="206">
        <f>'P &amp; NP'!WE490</f>
        <v>0</v>
      </c>
      <c r="BZ13" s="206">
        <f>'P &amp; NP'!WF490</f>
        <v>0</v>
      </c>
      <c r="CB13" s="206">
        <f t="shared" si="2"/>
        <v>0</v>
      </c>
      <c r="CC13" s="206">
        <f t="shared" si="3"/>
        <v>0</v>
      </c>
    </row>
    <row r="14" spans="1:81">
      <c r="B14" s="207" t="str">
        <f>'P &amp; NP'!B20</f>
        <v xml:space="preserve">Gurame, Gurami </v>
      </c>
      <c r="C14" s="209">
        <f>'P &amp; NP'!K491</f>
        <v>0</v>
      </c>
      <c r="D14" s="209">
        <f>'P &amp; NP'!L491</f>
        <v>0</v>
      </c>
      <c r="E14" s="209">
        <f>'P &amp; NP'!AA491</f>
        <v>0</v>
      </c>
      <c r="F14" s="209">
        <f>'P &amp; NP'!AB491</f>
        <v>0</v>
      </c>
      <c r="G14" s="209">
        <f>'P &amp; NP'!AQ491</f>
        <v>0</v>
      </c>
      <c r="H14" s="209">
        <f>'P &amp; NP'!AR491</f>
        <v>0</v>
      </c>
      <c r="I14" s="209">
        <f>'P &amp; NP'!BG491</f>
        <v>0</v>
      </c>
      <c r="J14" s="209">
        <f>'P &amp; NP'!BH491</f>
        <v>0</v>
      </c>
      <c r="K14" s="206">
        <f>'P &amp; NP'!BW491</f>
        <v>0</v>
      </c>
      <c r="L14" s="206">
        <f>'P &amp; NP'!BX491</f>
        <v>0</v>
      </c>
      <c r="M14" s="206">
        <f>'P &amp; NP'!CM491</f>
        <v>0</v>
      </c>
      <c r="N14" s="206">
        <f>'P &amp; NP'!CN491</f>
        <v>0</v>
      </c>
      <c r="O14" s="206">
        <f>'P &amp; NP'!DC491</f>
        <v>0</v>
      </c>
      <c r="P14" s="206">
        <f>'P &amp; NP'!DD491</f>
        <v>0</v>
      </c>
      <c r="Q14" s="206">
        <f>'P &amp; NP'!DS491</f>
        <v>0</v>
      </c>
      <c r="R14" s="206">
        <f>'P &amp; NP'!DT491</f>
        <v>0</v>
      </c>
      <c r="S14" s="206">
        <f>'P &amp; NP'!EI491</f>
        <v>0</v>
      </c>
      <c r="T14" s="206">
        <f>'P &amp; NP'!EJ491</f>
        <v>0</v>
      </c>
      <c r="U14" s="206">
        <f>'P &amp; NP'!EY491</f>
        <v>0</v>
      </c>
      <c r="V14" s="206">
        <f>'P &amp; NP'!EZ491</f>
        <v>0</v>
      </c>
      <c r="W14" s="206">
        <f>'P &amp; NP'!FO491</f>
        <v>0</v>
      </c>
      <c r="X14" s="206">
        <f>'P &amp; NP'!FP491</f>
        <v>0</v>
      </c>
      <c r="Y14" s="206">
        <f>'P &amp; NP'!GE491</f>
        <v>0</v>
      </c>
      <c r="Z14" s="206">
        <f>'P &amp; NP'!GF491</f>
        <v>0</v>
      </c>
      <c r="AA14" s="206">
        <f>'P &amp; NP'!GU491</f>
        <v>0</v>
      </c>
      <c r="AB14" s="206">
        <f>'P &amp; NP'!GV491</f>
        <v>0</v>
      </c>
      <c r="AC14" s="206">
        <f>'P &amp; NP'!HK491</f>
        <v>0</v>
      </c>
      <c r="AD14" s="206">
        <f>'P &amp; NP'!HL491</f>
        <v>0</v>
      </c>
      <c r="AE14" s="206">
        <f>'P &amp; NP'!IA491</f>
        <v>0</v>
      </c>
      <c r="AF14" s="206">
        <f>'P &amp; NP'!IB491</f>
        <v>0</v>
      </c>
      <c r="AG14" s="206">
        <f>'P &amp; NP'!IQ491</f>
        <v>0</v>
      </c>
      <c r="AH14" s="206">
        <f>'P &amp; NP'!IR491</f>
        <v>0</v>
      </c>
      <c r="AI14" s="206">
        <f>'P &amp; NP'!JG491</f>
        <v>0</v>
      </c>
      <c r="AJ14" s="206">
        <f>'P &amp; NP'!JH491</f>
        <v>0</v>
      </c>
      <c r="AK14" s="206">
        <f>'P &amp; NP'!JW491</f>
        <v>0</v>
      </c>
      <c r="AL14" s="206">
        <f>'P &amp; NP'!JX491</f>
        <v>0</v>
      </c>
      <c r="AM14" s="206">
        <f>'P &amp; NP'!KM491</f>
        <v>0</v>
      </c>
      <c r="AN14" s="206">
        <f>'P &amp; NP'!KN491</f>
        <v>0</v>
      </c>
      <c r="AO14" s="206">
        <f>'P &amp; NP'!LC491</f>
        <v>0</v>
      </c>
      <c r="AP14" s="206">
        <f>'P &amp; NP'!LD491</f>
        <v>0</v>
      </c>
      <c r="AQ14" s="206">
        <f>'P &amp; NP'!LS491</f>
        <v>0</v>
      </c>
      <c r="AR14" s="206">
        <f>'P &amp; NP'!LT491</f>
        <v>0</v>
      </c>
      <c r="AS14" s="206">
        <f>'P &amp; NP'!MI491</f>
        <v>0</v>
      </c>
      <c r="AT14" s="206">
        <f>'P &amp; NP'!MJ491</f>
        <v>0</v>
      </c>
      <c r="AU14" s="206">
        <f>'P &amp; NP'!MY491</f>
        <v>0</v>
      </c>
      <c r="AV14" s="206">
        <f>'P &amp; NP'!MZ491</f>
        <v>0</v>
      </c>
      <c r="AW14" s="206">
        <f>'P &amp; NP'!NO491</f>
        <v>0</v>
      </c>
      <c r="AX14" s="206">
        <f>'P &amp; NP'!NP491</f>
        <v>0</v>
      </c>
      <c r="AY14" s="206">
        <f>'P &amp; NP'!OE491</f>
        <v>0</v>
      </c>
      <c r="AZ14" s="206">
        <f>'P &amp; NP'!OF491</f>
        <v>0</v>
      </c>
      <c r="BA14" s="206">
        <f>'P &amp; NP'!OU491</f>
        <v>0</v>
      </c>
      <c r="BB14" s="206">
        <f>'P &amp; NP'!OV491</f>
        <v>0</v>
      </c>
      <c r="BC14" s="206">
        <f>'P &amp; NP'!PK491</f>
        <v>0</v>
      </c>
      <c r="BD14" s="206">
        <f>'P &amp; NP'!PL491</f>
        <v>0</v>
      </c>
      <c r="BE14" s="206">
        <f>'P &amp; NP'!QA491</f>
        <v>0</v>
      </c>
      <c r="BF14" s="206">
        <f>'P &amp; NP'!QB491</f>
        <v>0</v>
      </c>
      <c r="BG14" s="206">
        <f>'P &amp; NP'!QQ491</f>
        <v>0</v>
      </c>
      <c r="BH14" s="206">
        <f>'P &amp; NP'!QR491</f>
        <v>0</v>
      </c>
      <c r="BI14" s="206">
        <f>'P &amp; NP'!RG491</f>
        <v>0</v>
      </c>
      <c r="BJ14" s="206">
        <f>'P &amp; NP'!RH491</f>
        <v>0</v>
      </c>
      <c r="BK14" s="206">
        <f>'P &amp; NP'!RW491</f>
        <v>0</v>
      </c>
      <c r="BL14" s="206">
        <f>'P &amp; NP'!RX491</f>
        <v>0</v>
      </c>
      <c r="BM14" s="206">
        <f>'P &amp; NP'!SM491</f>
        <v>0</v>
      </c>
      <c r="BN14" s="206">
        <f>'P &amp; NP'!SN491</f>
        <v>0</v>
      </c>
      <c r="BO14" s="206">
        <f>'P &amp; NP'!TC491</f>
        <v>0</v>
      </c>
      <c r="BP14" s="206">
        <f>'P &amp; NP'!TD491</f>
        <v>0</v>
      </c>
      <c r="BQ14" s="206">
        <f>'P &amp; NP'!TS491</f>
        <v>0</v>
      </c>
      <c r="BR14" s="206">
        <f>'P &amp; NP'!TT491</f>
        <v>0</v>
      </c>
      <c r="BS14" s="206">
        <f>'P &amp; NP'!UI491</f>
        <v>0</v>
      </c>
      <c r="BT14" s="206">
        <f>'P &amp; NP'!UJ491</f>
        <v>0</v>
      </c>
      <c r="BU14" s="206">
        <f>'P &amp; NP'!UY491</f>
        <v>0</v>
      </c>
      <c r="BV14" s="206">
        <f>'P &amp; NP'!UZ491</f>
        <v>0</v>
      </c>
      <c r="BW14" s="206">
        <f>'P &amp; NP'!VO491</f>
        <v>0</v>
      </c>
      <c r="BX14" s="206">
        <f>'P &amp; NP'!VP491</f>
        <v>0</v>
      </c>
      <c r="BY14" s="206">
        <f>'P &amp; NP'!WE491</f>
        <v>0</v>
      </c>
      <c r="BZ14" s="206">
        <f>'P &amp; NP'!WF491</f>
        <v>0</v>
      </c>
      <c r="CB14" s="206">
        <f t="shared" si="2"/>
        <v>0</v>
      </c>
      <c r="CC14" s="206">
        <f t="shared" si="3"/>
        <v>0</v>
      </c>
    </row>
    <row r="15" spans="1:81">
      <c r="B15" s="207" t="str">
        <f>'P &amp; NP'!B21</f>
        <v>Kakap Putih</v>
      </c>
      <c r="C15" s="209">
        <f>'P &amp; NP'!K492</f>
        <v>0</v>
      </c>
      <c r="D15" s="209">
        <f>'P &amp; NP'!L492</f>
        <v>0</v>
      </c>
      <c r="E15" s="209">
        <f>'P &amp; NP'!AA492</f>
        <v>0</v>
      </c>
      <c r="F15" s="209">
        <f>'P &amp; NP'!AB492</f>
        <v>0</v>
      </c>
      <c r="G15" s="209">
        <f>'P &amp; NP'!AQ492</f>
        <v>0</v>
      </c>
      <c r="H15" s="209">
        <f>'P &amp; NP'!AR492</f>
        <v>0</v>
      </c>
      <c r="I15" s="209">
        <f>'P &amp; NP'!BG492</f>
        <v>0</v>
      </c>
      <c r="J15" s="209">
        <f>'P &amp; NP'!BH492</f>
        <v>0</v>
      </c>
      <c r="K15" s="206">
        <f>'P &amp; NP'!BW492</f>
        <v>0</v>
      </c>
      <c r="L15" s="206">
        <f>'P &amp; NP'!BX492</f>
        <v>0</v>
      </c>
      <c r="M15" s="206">
        <f>'P &amp; NP'!CM492</f>
        <v>0</v>
      </c>
      <c r="N15" s="206">
        <f>'P &amp; NP'!CN492</f>
        <v>0</v>
      </c>
      <c r="O15" s="206">
        <f>'P &amp; NP'!DC492</f>
        <v>0</v>
      </c>
      <c r="P15" s="206">
        <f>'P &amp; NP'!DD492</f>
        <v>0</v>
      </c>
      <c r="Q15" s="206">
        <f>'P &amp; NP'!DS492</f>
        <v>0</v>
      </c>
      <c r="R15" s="206">
        <f>'P &amp; NP'!DT492</f>
        <v>0</v>
      </c>
      <c r="S15" s="206">
        <f>'P &amp; NP'!EI492</f>
        <v>0</v>
      </c>
      <c r="T15" s="206">
        <f>'P &amp; NP'!EJ492</f>
        <v>0</v>
      </c>
      <c r="U15" s="206">
        <f>'P &amp; NP'!EY492</f>
        <v>0</v>
      </c>
      <c r="V15" s="206">
        <f>'P &amp; NP'!EZ492</f>
        <v>0</v>
      </c>
      <c r="W15" s="206">
        <f>'P &amp; NP'!FO492</f>
        <v>0</v>
      </c>
      <c r="X15" s="206">
        <f>'P &amp; NP'!FP492</f>
        <v>0</v>
      </c>
      <c r="Y15" s="206">
        <f>'P &amp; NP'!GE492</f>
        <v>0</v>
      </c>
      <c r="Z15" s="206">
        <f>'P &amp; NP'!GF492</f>
        <v>0</v>
      </c>
      <c r="AA15" s="206">
        <f>'P &amp; NP'!GU492</f>
        <v>0</v>
      </c>
      <c r="AB15" s="206">
        <f>'P &amp; NP'!GV492</f>
        <v>0</v>
      </c>
      <c r="AC15" s="206">
        <f>'P &amp; NP'!HK492</f>
        <v>0</v>
      </c>
      <c r="AD15" s="206">
        <f>'P &amp; NP'!HL492</f>
        <v>0</v>
      </c>
      <c r="AE15" s="206">
        <f>'P &amp; NP'!IA492</f>
        <v>0</v>
      </c>
      <c r="AF15" s="206">
        <f>'P &amp; NP'!IB492</f>
        <v>0</v>
      </c>
      <c r="AG15" s="206">
        <f>'P &amp; NP'!IQ492</f>
        <v>0</v>
      </c>
      <c r="AH15" s="206">
        <f>'P &amp; NP'!IR492</f>
        <v>0</v>
      </c>
      <c r="AI15" s="206">
        <f>'P &amp; NP'!JG492</f>
        <v>0</v>
      </c>
      <c r="AJ15" s="206">
        <f>'P &amp; NP'!JH492</f>
        <v>0</v>
      </c>
      <c r="AK15" s="206">
        <f>'P &amp; NP'!JW492</f>
        <v>0</v>
      </c>
      <c r="AL15" s="206">
        <f>'P &amp; NP'!JX492</f>
        <v>0</v>
      </c>
      <c r="AM15" s="206">
        <f>'P &amp; NP'!KM492</f>
        <v>0</v>
      </c>
      <c r="AN15" s="206">
        <f>'P &amp; NP'!KN492</f>
        <v>0</v>
      </c>
      <c r="AO15" s="206">
        <f>'P &amp; NP'!LC492</f>
        <v>0</v>
      </c>
      <c r="AP15" s="206">
        <f>'P &amp; NP'!LD492</f>
        <v>0</v>
      </c>
      <c r="AQ15" s="206">
        <f>'P &amp; NP'!LS492</f>
        <v>0</v>
      </c>
      <c r="AR15" s="206">
        <f>'P &amp; NP'!LT492</f>
        <v>0</v>
      </c>
      <c r="AS15" s="206">
        <f>'P &amp; NP'!MI492</f>
        <v>0</v>
      </c>
      <c r="AT15" s="206">
        <f>'P &amp; NP'!MJ492</f>
        <v>0</v>
      </c>
      <c r="AU15" s="206">
        <f>'P &amp; NP'!MY492</f>
        <v>0</v>
      </c>
      <c r="AV15" s="206">
        <f>'P &amp; NP'!MZ492</f>
        <v>0</v>
      </c>
      <c r="AW15" s="206">
        <f>'P &amp; NP'!NO492</f>
        <v>0</v>
      </c>
      <c r="AX15" s="206">
        <f>'P &amp; NP'!NP492</f>
        <v>0</v>
      </c>
      <c r="AY15" s="206">
        <f>'P &amp; NP'!OE492</f>
        <v>0</v>
      </c>
      <c r="AZ15" s="206">
        <f>'P &amp; NP'!OF492</f>
        <v>0</v>
      </c>
      <c r="BA15" s="206">
        <f>'P &amp; NP'!OU492</f>
        <v>0</v>
      </c>
      <c r="BB15" s="206">
        <f>'P &amp; NP'!OV492</f>
        <v>0</v>
      </c>
      <c r="BC15" s="206">
        <f>'P &amp; NP'!PK492</f>
        <v>0</v>
      </c>
      <c r="BD15" s="206">
        <f>'P &amp; NP'!PL492</f>
        <v>0</v>
      </c>
      <c r="BE15" s="206">
        <f>'P &amp; NP'!QA492</f>
        <v>0</v>
      </c>
      <c r="BF15" s="206">
        <f>'P &amp; NP'!QB492</f>
        <v>0</v>
      </c>
      <c r="BG15" s="206">
        <f>'P &amp; NP'!QQ492</f>
        <v>0</v>
      </c>
      <c r="BH15" s="206">
        <f>'P &amp; NP'!QR492</f>
        <v>0</v>
      </c>
      <c r="BI15" s="206">
        <f>'P &amp; NP'!RG492</f>
        <v>0</v>
      </c>
      <c r="BJ15" s="206">
        <f>'P &amp; NP'!RH492</f>
        <v>0</v>
      </c>
      <c r="BK15" s="206">
        <f>'P &amp; NP'!RW492</f>
        <v>0</v>
      </c>
      <c r="BL15" s="206">
        <f>'P &amp; NP'!RX492</f>
        <v>0</v>
      </c>
      <c r="BM15" s="206">
        <f>'P &amp; NP'!SM492</f>
        <v>0</v>
      </c>
      <c r="BN15" s="206">
        <f>'P &amp; NP'!SN492</f>
        <v>0</v>
      </c>
      <c r="BO15" s="206">
        <f>'P &amp; NP'!TC492</f>
        <v>0</v>
      </c>
      <c r="BP15" s="206">
        <f>'P &amp; NP'!TD492</f>
        <v>0</v>
      </c>
      <c r="BQ15" s="206">
        <f>'P &amp; NP'!TS492</f>
        <v>0</v>
      </c>
      <c r="BR15" s="206">
        <f>'P &amp; NP'!TT492</f>
        <v>0</v>
      </c>
      <c r="BS15" s="206">
        <f>'P &amp; NP'!UI492</f>
        <v>0</v>
      </c>
      <c r="BT15" s="206">
        <f>'P &amp; NP'!UJ492</f>
        <v>0</v>
      </c>
      <c r="BU15" s="206">
        <f>'P &amp; NP'!UY492</f>
        <v>0</v>
      </c>
      <c r="BV15" s="206">
        <f>'P &amp; NP'!UZ492</f>
        <v>0</v>
      </c>
      <c r="BW15" s="206">
        <f>'P &amp; NP'!VO492</f>
        <v>0</v>
      </c>
      <c r="BX15" s="206">
        <f>'P &amp; NP'!VP492</f>
        <v>0</v>
      </c>
      <c r="BY15" s="206">
        <f>'P &amp; NP'!WE492</f>
        <v>0</v>
      </c>
      <c r="BZ15" s="206">
        <f>'P &amp; NP'!WF492</f>
        <v>0</v>
      </c>
      <c r="CB15" s="206">
        <f t="shared" si="2"/>
        <v>0</v>
      </c>
      <c r="CC15" s="206">
        <f t="shared" si="3"/>
        <v>0</v>
      </c>
    </row>
    <row r="16" spans="1:81">
      <c r="B16" s="207" t="str">
        <f>'P &amp; NP'!B22</f>
        <v>Kepiting  Bakau</v>
      </c>
      <c r="C16" s="209">
        <f>'P &amp; NP'!K493</f>
        <v>0</v>
      </c>
      <c r="D16" s="209">
        <f>'P &amp; NP'!L493</f>
        <v>0</v>
      </c>
      <c r="E16" s="209">
        <f>'P &amp; NP'!AA493</f>
        <v>0</v>
      </c>
      <c r="F16" s="209">
        <f>'P &amp; NP'!AB493</f>
        <v>0</v>
      </c>
      <c r="G16" s="209">
        <f>'P &amp; NP'!AQ493</f>
        <v>0</v>
      </c>
      <c r="H16" s="209">
        <f>'P &amp; NP'!AR493</f>
        <v>0</v>
      </c>
      <c r="I16" s="209">
        <f>'P &amp; NP'!BG493</f>
        <v>0</v>
      </c>
      <c r="J16" s="209">
        <f>'P &amp; NP'!BH493</f>
        <v>0</v>
      </c>
      <c r="K16" s="206">
        <f>'P &amp; NP'!BW493</f>
        <v>0</v>
      </c>
      <c r="L16" s="206">
        <f>'P &amp; NP'!BX493</f>
        <v>0</v>
      </c>
      <c r="M16" s="206">
        <f>'P &amp; NP'!CM493</f>
        <v>0</v>
      </c>
      <c r="N16" s="206">
        <f>'P &amp; NP'!CN493</f>
        <v>0</v>
      </c>
      <c r="O16" s="206">
        <f>'P &amp; NP'!DC493</f>
        <v>0</v>
      </c>
      <c r="P16" s="206">
        <f>'P &amp; NP'!DD493</f>
        <v>0</v>
      </c>
      <c r="Q16" s="206">
        <f>'P &amp; NP'!DS493</f>
        <v>0</v>
      </c>
      <c r="R16" s="206">
        <f>'P &amp; NP'!DT493</f>
        <v>0</v>
      </c>
      <c r="S16" s="206">
        <f>'P &amp; NP'!EI493</f>
        <v>0</v>
      </c>
      <c r="T16" s="206">
        <f>'P &amp; NP'!EJ493</f>
        <v>0</v>
      </c>
      <c r="U16" s="206">
        <f>'P &amp; NP'!EY493</f>
        <v>0</v>
      </c>
      <c r="V16" s="206">
        <f>'P &amp; NP'!EZ493</f>
        <v>0</v>
      </c>
      <c r="W16" s="206">
        <f>'P &amp; NP'!FO493</f>
        <v>0</v>
      </c>
      <c r="X16" s="206">
        <f>'P &amp; NP'!FP493</f>
        <v>0</v>
      </c>
      <c r="Y16" s="206">
        <f>'P &amp; NP'!GE493</f>
        <v>0</v>
      </c>
      <c r="Z16" s="206">
        <f>'P &amp; NP'!GF493</f>
        <v>0</v>
      </c>
      <c r="AA16" s="206">
        <f>'P &amp; NP'!GU493</f>
        <v>0</v>
      </c>
      <c r="AB16" s="206">
        <f>'P &amp; NP'!GV493</f>
        <v>0</v>
      </c>
      <c r="AC16" s="206">
        <f>'P &amp; NP'!HK493</f>
        <v>0</v>
      </c>
      <c r="AD16" s="206">
        <f>'P &amp; NP'!HL493</f>
        <v>0</v>
      </c>
      <c r="AE16" s="206">
        <f>'P &amp; NP'!IA493</f>
        <v>0</v>
      </c>
      <c r="AF16" s="206">
        <f>'P &amp; NP'!IB493</f>
        <v>0</v>
      </c>
      <c r="AG16" s="206">
        <f>'P &amp; NP'!IQ493</f>
        <v>0</v>
      </c>
      <c r="AH16" s="206">
        <f>'P &amp; NP'!IR493</f>
        <v>0</v>
      </c>
      <c r="AI16" s="206">
        <f>'P &amp; NP'!JG493</f>
        <v>0</v>
      </c>
      <c r="AJ16" s="206">
        <f>'P &amp; NP'!JH493</f>
        <v>0</v>
      </c>
      <c r="AK16" s="206">
        <f>'P &amp; NP'!JW493</f>
        <v>0</v>
      </c>
      <c r="AL16" s="206">
        <f>'P &amp; NP'!JX493</f>
        <v>0</v>
      </c>
      <c r="AM16" s="206">
        <f>'P &amp; NP'!KM493</f>
        <v>0</v>
      </c>
      <c r="AN16" s="206">
        <f>'P &amp; NP'!KN493</f>
        <v>0</v>
      </c>
      <c r="AO16" s="206">
        <f>'P &amp; NP'!LC493</f>
        <v>0</v>
      </c>
      <c r="AP16" s="206">
        <f>'P &amp; NP'!LD493</f>
        <v>0</v>
      </c>
      <c r="AQ16" s="206">
        <f>'P &amp; NP'!LS493</f>
        <v>0</v>
      </c>
      <c r="AR16" s="206">
        <f>'P &amp; NP'!LT493</f>
        <v>0</v>
      </c>
      <c r="AS16" s="206">
        <f>'P &amp; NP'!MI493</f>
        <v>0</v>
      </c>
      <c r="AT16" s="206">
        <f>'P &amp; NP'!MJ493</f>
        <v>0</v>
      </c>
      <c r="AU16" s="206">
        <f>'P &amp; NP'!MY493</f>
        <v>0</v>
      </c>
      <c r="AV16" s="206">
        <f>'P &amp; NP'!MZ493</f>
        <v>0</v>
      </c>
      <c r="AW16" s="206">
        <f>'P &amp; NP'!NO493</f>
        <v>0</v>
      </c>
      <c r="AX16" s="206">
        <f>'P &amp; NP'!NP493</f>
        <v>0</v>
      </c>
      <c r="AY16" s="206">
        <f>'P &amp; NP'!OE493</f>
        <v>0</v>
      </c>
      <c r="AZ16" s="206">
        <f>'P &amp; NP'!OF493</f>
        <v>0</v>
      </c>
      <c r="BA16" s="206">
        <f>'P &amp; NP'!OU493</f>
        <v>0</v>
      </c>
      <c r="BB16" s="206">
        <f>'P &amp; NP'!OV493</f>
        <v>0</v>
      </c>
      <c r="BC16" s="206">
        <f>'P &amp; NP'!PK493</f>
        <v>0</v>
      </c>
      <c r="BD16" s="206">
        <f>'P &amp; NP'!PL493</f>
        <v>0</v>
      </c>
      <c r="BE16" s="206">
        <f>'P &amp; NP'!QA493</f>
        <v>0</v>
      </c>
      <c r="BF16" s="206">
        <f>'P &amp; NP'!QB493</f>
        <v>0</v>
      </c>
      <c r="BG16" s="206">
        <f>'P &amp; NP'!QQ493</f>
        <v>0</v>
      </c>
      <c r="BH16" s="206">
        <f>'P &amp; NP'!QR493</f>
        <v>0</v>
      </c>
      <c r="BI16" s="206">
        <f>'P &amp; NP'!RG493</f>
        <v>0</v>
      </c>
      <c r="BJ16" s="206">
        <f>'P &amp; NP'!RH493</f>
        <v>0</v>
      </c>
      <c r="BK16" s="206">
        <f>'P &amp; NP'!RW493</f>
        <v>0</v>
      </c>
      <c r="BL16" s="206">
        <f>'P &amp; NP'!RX493</f>
        <v>0</v>
      </c>
      <c r="BM16" s="206">
        <f>'P &amp; NP'!SM493</f>
        <v>0</v>
      </c>
      <c r="BN16" s="206">
        <f>'P &amp; NP'!SN493</f>
        <v>0</v>
      </c>
      <c r="BO16" s="206">
        <f>'P &amp; NP'!TC493</f>
        <v>0</v>
      </c>
      <c r="BP16" s="206">
        <f>'P &amp; NP'!TD493</f>
        <v>0</v>
      </c>
      <c r="BQ16" s="206">
        <f>'P &amp; NP'!TS493</f>
        <v>0</v>
      </c>
      <c r="BR16" s="206">
        <f>'P &amp; NP'!TT493</f>
        <v>0</v>
      </c>
      <c r="BS16" s="206">
        <f>'P &amp; NP'!UI493</f>
        <v>0</v>
      </c>
      <c r="BT16" s="206">
        <f>'P &amp; NP'!UJ493</f>
        <v>0</v>
      </c>
      <c r="BU16" s="206">
        <f>'P &amp; NP'!UY493</f>
        <v>0</v>
      </c>
      <c r="BV16" s="206">
        <f>'P &amp; NP'!UZ493</f>
        <v>0</v>
      </c>
      <c r="BW16" s="206">
        <f>'P &amp; NP'!VO493</f>
        <v>0</v>
      </c>
      <c r="BX16" s="206">
        <f>'P &amp; NP'!VP493</f>
        <v>0</v>
      </c>
      <c r="BY16" s="206">
        <f>'P &amp; NP'!WE493</f>
        <v>0</v>
      </c>
      <c r="BZ16" s="206">
        <f>'P &amp; NP'!WF493</f>
        <v>0</v>
      </c>
      <c r="CB16" s="206">
        <f t="shared" si="2"/>
        <v>0</v>
      </c>
      <c r="CC16" s="206">
        <f t="shared" si="3"/>
        <v>0</v>
      </c>
    </row>
    <row r="17" spans="2:81">
      <c r="B17" s="207" t="str">
        <f>'P &amp; NP'!B23</f>
        <v xml:space="preserve">Kerang Hijau </v>
      </c>
      <c r="C17" s="209">
        <f>'P &amp; NP'!K494</f>
        <v>0</v>
      </c>
      <c r="D17" s="209">
        <f>'P &amp; NP'!L494</f>
        <v>0</v>
      </c>
      <c r="E17" s="209">
        <f>'P &amp; NP'!AA494</f>
        <v>0</v>
      </c>
      <c r="F17" s="209">
        <f>'P &amp; NP'!AB494</f>
        <v>0</v>
      </c>
      <c r="G17" s="209">
        <f>'P &amp; NP'!AQ494</f>
        <v>0</v>
      </c>
      <c r="H17" s="209">
        <f>'P &amp; NP'!AR494</f>
        <v>0</v>
      </c>
      <c r="I17" s="209">
        <f>'P &amp; NP'!BG494</f>
        <v>0</v>
      </c>
      <c r="J17" s="209">
        <f>'P &amp; NP'!BH494</f>
        <v>0</v>
      </c>
      <c r="K17" s="206">
        <f>'P &amp; NP'!BW494</f>
        <v>0</v>
      </c>
      <c r="L17" s="206">
        <f>'P &amp; NP'!BX494</f>
        <v>0</v>
      </c>
      <c r="M17" s="206">
        <f>'P &amp; NP'!CM494</f>
        <v>0</v>
      </c>
      <c r="N17" s="206">
        <f>'P &amp; NP'!CN494</f>
        <v>0</v>
      </c>
      <c r="O17" s="206">
        <f>'P &amp; NP'!DC494</f>
        <v>0</v>
      </c>
      <c r="P17" s="206">
        <f>'P &amp; NP'!DD494</f>
        <v>0</v>
      </c>
      <c r="Q17" s="206">
        <f>'P &amp; NP'!DS494</f>
        <v>0</v>
      </c>
      <c r="R17" s="206">
        <f>'P &amp; NP'!DT494</f>
        <v>0</v>
      </c>
      <c r="S17" s="206">
        <f>'P &amp; NP'!EI494</f>
        <v>0</v>
      </c>
      <c r="T17" s="206">
        <f>'P &amp; NP'!EJ494</f>
        <v>0</v>
      </c>
      <c r="U17" s="206">
        <f>'P &amp; NP'!EY494</f>
        <v>0</v>
      </c>
      <c r="V17" s="206">
        <f>'P &amp; NP'!EZ494</f>
        <v>0</v>
      </c>
      <c r="W17" s="206">
        <f>'P &amp; NP'!FO494</f>
        <v>0</v>
      </c>
      <c r="X17" s="206">
        <f>'P &amp; NP'!FP494</f>
        <v>0</v>
      </c>
      <c r="Y17" s="206">
        <f>'P &amp; NP'!GE494</f>
        <v>0</v>
      </c>
      <c r="Z17" s="206">
        <f>'P &amp; NP'!GF494</f>
        <v>0</v>
      </c>
      <c r="AA17" s="206">
        <f>'P &amp; NP'!GU494</f>
        <v>0</v>
      </c>
      <c r="AB17" s="206">
        <f>'P &amp; NP'!GV494</f>
        <v>0</v>
      </c>
      <c r="AC17" s="206">
        <f>'P &amp; NP'!HK494</f>
        <v>0</v>
      </c>
      <c r="AD17" s="206">
        <f>'P &amp; NP'!HL494</f>
        <v>0</v>
      </c>
      <c r="AE17" s="206">
        <f>'P &amp; NP'!IA494</f>
        <v>0</v>
      </c>
      <c r="AF17" s="206">
        <f>'P &amp; NP'!IB494</f>
        <v>0</v>
      </c>
      <c r="AG17" s="206">
        <f>'P &amp; NP'!IQ494</f>
        <v>0</v>
      </c>
      <c r="AH17" s="206">
        <f>'P &amp; NP'!IR494</f>
        <v>0</v>
      </c>
      <c r="AI17" s="206">
        <f>'P &amp; NP'!JG494</f>
        <v>0</v>
      </c>
      <c r="AJ17" s="206">
        <f>'P &amp; NP'!JH494</f>
        <v>0</v>
      </c>
      <c r="AK17" s="206">
        <f>'P &amp; NP'!JW494</f>
        <v>0</v>
      </c>
      <c r="AL17" s="206">
        <f>'P &amp; NP'!JX494</f>
        <v>0</v>
      </c>
      <c r="AM17" s="206">
        <f>'P &amp; NP'!KM494</f>
        <v>0</v>
      </c>
      <c r="AN17" s="206">
        <f>'P &amp; NP'!KN494</f>
        <v>0</v>
      </c>
      <c r="AO17" s="206">
        <f>'P &amp; NP'!LC494</f>
        <v>0</v>
      </c>
      <c r="AP17" s="206">
        <f>'P &amp; NP'!LD494</f>
        <v>0</v>
      </c>
      <c r="AQ17" s="206">
        <f>'P &amp; NP'!LS494</f>
        <v>0</v>
      </c>
      <c r="AR17" s="206">
        <f>'P &amp; NP'!LT494</f>
        <v>0</v>
      </c>
      <c r="AS17" s="206">
        <f>'P &amp; NP'!MI494</f>
        <v>0</v>
      </c>
      <c r="AT17" s="206">
        <f>'P &amp; NP'!MJ494</f>
        <v>0</v>
      </c>
      <c r="AU17" s="206">
        <f>'P &amp; NP'!MY494</f>
        <v>0</v>
      </c>
      <c r="AV17" s="206">
        <f>'P &amp; NP'!MZ494</f>
        <v>0</v>
      </c>
      <c r="AW17" s="206">
        <f>'P &amp; NP'!NO494</f>
        <v>0</v>
      </c>
      <c r="AX17" s="206">
        <f>'P &amp; NP'!NP494</f>
        <v>0</v>
      </c>
      <c r="AY17" s="206">
        <f>'P &amp; NP'!OE494</f>
        <v>0</v>
      </c>
      <c r="AZ17" s="206">
        <f>'P &amp; NP'!OF494</f>
        <v>0</v>
      </c>
      <c r="BA17" s="206">
        <f>'P &amp; NP'!OU494</f>
        <v>0</v>
      </c>
      <c r="BB17" s="206">
        <f>'P &amp; NP'!OV494</f>
        <v>0</v>
      </c>
      <c r="BC17" s="206">
        <f>'P &amp; NP'!PK494</f>
        <v>0</v>
      </c>
      <c r="BD17" s="206">
        <f>'P &amp; NP'!PL494</f>
        <v>0</v>
      </c>
      <c r="BE17" s="206">
        <f>'P &amp; NP'!QA494</f>
        <v>0</v>
      </c>
      <c r="BF17" s="206">
        <f>'P &amp; NP'!QB494</f>
        <v>0</v>
      </c>
      <c r="BG17" s="206">
        <f>'P &amp; NP'!QQ494</f>
        <v>0</v>
      </c>
      <c r="BH17" s="206">
        <f>'P &amp; NP'!QR494</f>
        <v>0</v>
      </c>
      <c r="BI17" s="206">
        <f>'P &amp; NP'!RG494</f>
        <v>0</v>
      </c>
      <c r="BJ17" s="206">
        <f>'P &amp; NP'!RH494</f>
        <v>0</v>
      </c>
      <c r="BK17" s="206">
        <f>'P &amp; NP'!RW494</f>
        <v>0</v>
      </c>
      <c r="BL17" s="206">
        <f>'P &amp; NP'!RX494</f>
        <v>0</v>
      </c>
      <c r="BM17" s="206">
        <f>'P &amp; NP'!SM494</f>
        <v>0</v>
      </c>
      <c r="BN17" s="206">
        <f>'P &amp; NP'!SN494</f>
        <v>0</v>
      </c>
      <c r="BO17" s="206">
        <f>'P &amp; NP'!TC494</f>
        <v>0</v>
      </c>
      <c r="BP17" s="206">
        <f>'P &amp; NP'!TD494</f>
        <v>0</v>
      </c>
      <c r="BQ17" s="206">
        <f>'P &amp; NP'!TS494</f>
        <v>0</v>
      </c>
      <c r="BR17" s="206">
        <f>'P &amp; NP'!TT494</f>
        <v>0</v>
      </c>
      <c r="BS17" s="206">
        <f>'P &amp; NP'!UI494</f>
        <v>0</v>
      </c>
      <c r="BT17" s="206">
        <f>'P &amp; NP'!UJ494</f>
        <v>0</v>
      </c>
      <c r="BU17" s="206">
        <f>'P &amp; NP'!UY494</f>
        <v>0</v>
      </c>
      <c r="BV17" s="206">
        <f>'P &amp; NP'!UZ494</f>
        <v>0</v>
      </c>
      <c r="BW17" s="206">
        <f>'P &amp; NP'!VO494</f>
        <v>0</v>
      </c>
      <c r="BX17" s="206">
        <f>'P &amp; NP'!VP494</f>
        <v>0</v>
      </c>
      <c r="BY17" s="206">
        <f>'P &amp; NP'!WE494</f>
        <v>0</v>
      </c>
      <c r="BZ17" s="206">
        <f>'P &amp; NP'!WF494</f>
        <v>0</v>
      </c>
      <c r="CB17" s="206">
        <f t="shared" si="2"/>
        <v>0</v>
      </c>
      <c r="CC17" s="206">
        <f t="shared" si="3"/>
        <v>0</v>
      </c>
    </row>
    <row r="18" spans="2:81">
      <c r="B18" s="207" t="str">
        <f>'P &amp; NP'!B24</f>
        <v>Kerapu Cantang</v>
      </c>
      <c r="C18" s="209">
        <f>'P &amp; NP'!K495</f>
        <v>0</v>
      </c>
      <c r="D18" s="209">
        <f>'P &amp; NP'!L495</f>
        <v>0</v>
      </c>
      <c r="E18" s="209">
        <f>'P &amp; NP'!AA495</f>
        <v>0</v>
      </c>
      <c r="F18" s="209">
        <f>'P &amp; NP'!AB495</f>
        <v>0</v>
      </c>
      <c r="G18" s="209">
        <f>'P &amp; NP'!AQ495</f>
        <v>0</v>
      </c>
      <c r="H18" s="209">
        <f>'P &amp; NP'!AR495</f>
        <v>0</v>
      </c>
      <c r="I18" s="209">
        <f>'P &amp; NP'!BG495</f>
        <v>0</v>
      </c>
      <c r="J18" s="209">
        <f>'P &amp; NP'!BH495</f>
        <v>0</v>
      </c>
      <c r="K18" s="206">
        <f>'P &amp; NP'!BW495</f>
        <v>0</v>
      </c>
      <c r="L18" s="206">
        <f>'P &amp; NP'!BX495</f>
        <v>0</v>
      </c>
      <c r="M18" s="206">
        <f>'P &amp; NP'!CM495</f>
        <v>0</v>
      </c>
      <c r="N18" s="206">
        <f>'P &amp; NP'!CN495</f>
        <v>0</v>
      </c>
      <c r="O18" s="206">
        <f>'P &amp; NP'!DC495</f>
        <v>0</v>
      </c>
      <c r="P18" s="206">
        <f>'P &amp; NP'!DD495</f>
        <v>0</v>
      </c>
      <c r="Q18" s="206">
        <f>'P &amp; NP'!DS495</f>
        <v>0</v>
      </c>
      <c r="R18" s="206">
        <f>'P &amp; NP'!DT495</f>
        <v>0</v>
      </c>
      <c r="S18" s="206">
        <f>'P &amp; NP'!EI495</f>
        <v>0</v>
      </c>
      <c r="T18" s="206">
        <f>'P &amp; NP'!EJ495</f>
        <v>0</v>
      </c>
      <c r="U18" s="206">
        <f>'P &amp; NP'!EY495</f>
        <v>0</v>
      </c>
      <c r="V18" s="206">
        <f>'P &amp; NP'!EZ495</f>
        <v>0</v>
      </c>
      <c r="W18" s="206">
        <f>'P &amp; NP'!FO495</f>
        <v>0</v>
      </c>
      <c r="X18" s="206">
        <f>'P &amp; NP'!FP495</f>
        <v>0</v>
      </c>
      <c r="Y18" s="206">
        <f>'P &amp; NP'!GE495</f>
        <v>0</v>
      </c>
      <c r="Z18" s="206">
        <f>'P &amp; NP'!GF495</f>
        <v>0</v>
      </c>
      <c r="AA18" s="206">
        <f>'P &amp; NP'!GU495</f>
        <v>0</v>
      </c>
      <c r="AB18" s="206">
        <f>'P &amp; NP'!GV495</f>
        <v>0</v>
      </c>
      <c r="AC18" s="206">
        <f>'P &amp; NP'!HK495</f>
        <v>0</v>
      </c>
      <c r="AD18" s="206">
        <f>'P &amp; NP'!HL495</f>
        <v>0</v>
      </c>
      <c r="AE18" s="206">
        <f>'P &amp; NP'!IA495</f>
        <v>0</v>
      </c>
      <c r="AF18" s="206">
        <f>'P &amp; NP'!IB495</f>
        <v>0</v>
      </c>
      <c r="AG18" s="206">
        <f>'P &amp; NP'!IQ495</f>
        <v>0</v>
      </c>
      <c r="AH18" s="206">
        <f>'P &amp; NP'!IR495</f>
        <v>0</v>
      </c>
      <c r="AI18" s="206">
        <f>'P &amp; NP'!JG495</f>
        <v>0</v>
      </c>
      <c r="AJ18" s="206">
        <f>'P &amp; NP'!JH495</f>
        <v>0</v>
      </c>
      <c r="AK18" s="206">
        <f>'P &amp; NP'!JW495</f>
        <v>0</v>
      </c>
      <c r="AL18" s="206">
        <f>'P &amp; NP'!JX495</f>
        <v>0</v>
      </c>
      <c r="AM18" s="206">
        <f>'P &amp; NP'!KM495</f>
        <v>0</v>
      </c>
      <c r="AN18" s="206">
        <f>'P &amp; NP'!KN495</f>
        <v>0</v>
      </c>
      <c r="AO18" s="206">
        <f>'P &amp; NP'!LC495</f>
        <v>0</v>
      </c>
      <c r="AP18" s="206">
        <f>'P &amp; NP'!LD495</f>
        <v>0</v>
      </c>
      <c r="AQ18" s="206">
        <f>'P &amp; NP'!LS495</f>
        <v>0</v>
      </c>
      <c r="AR18" s="206">
        <f>'P &amp; NP'!LT495</f>
        <v>0</v>
      </c>
      <c r="AS18" s="206">
        <f>'P &amp; NP'!MI495</f>
        <v>0</v>
      </c>
      <c r="AT18" s="206">
        <f>'P &amp; NP'!MJ495</f>
        <v>0</v>
      </c>
      <c r="AU18" s="206">
        <f>'P &amp; NP'!MY495</f>
        <v>0</v>
      </c>
      <c r="AV18" s="206">
        <f>'P &amp; NP'!MZ495</f>
        <v>0</v>
      </c>
      <c r="AW18" s="206">
        <f>'P &amp; NP'!NO495</f>
        <v>0</v>
      </c>
      <c r="AX18" s="206">
        <f>'P &amp; NP'!NP495</f>
        <v>0</v>
      </c>
      <c r="AY18" s="206">
        <f>'P &amp; NP'!OE495</f>
        <v>0</v>
      </c>
      <c r="AZ18" s="206">
        <f>'P &amp; NP'!OF495</f>
        <v>0</v>
      </c>
      <c r="BA18" s="206">
        <f>'P &amp; NP'!OU495</f>
        <v>0</v>
      </c>
      <c r="BB18" s="206">
        <f>'P &amp; NP'!OV495</f>
        <v>0</v>
      </c>
      <c r="BC18" s="206">
        <f>'P &amp; NP'!PK495</f>
        <v>0</v>
      </c>
      <c r="BD18" s="206">
        <f>'P &amp; NP'!PL495</f>
        <v>0</v>
      </c>
      <c r="BE18" s="206">
        <f>'P &amp; NP'!QA495</f>
        <v>0</v>
      </c>
      <c r="BF18" s="206">
        <f>'P &amp; NP'!QB495</f>
        <v>0</v>
      </c>
      <c r="BG18" s="206">
        <f>'P &amp; NP'!QQ495</f>
        <v>0</v>
      </c>
      <c r="BH18" s="206">
        <f>'P &amp; NP'!QR495</f>
        <v>0</v>
      </c>
      <c r="BI18" s="206">
        <f>'P &amp; NP'!RG495</f>
        <v>0</v>
      </c>
      <c r="BJ18" s="206">
        <f>'P &amp; NP'!RH495</f>
        <v>0</v>
      </c>
      <c r="BK18" s="206">
        <f>'P &amp; NP'!RW495</f>
        <v>0</v>
      </c>
      <c r="BL18" s="206">
        <f>'P &amp; NP'!RX495</f>
        <v>0</v>
      </c>
      <c r="BM18" s="206">
        <f>'P &amp; NP'!SM495</f>
        <v>0</v>
      </c>
      <c r="BN18" s="206">
        <f>'P &amp; NP'!SN495</f>
        <v>0</v>
      </c>
      <c r="BO18" s="206">
        <f>'P &amp; NP'!TC495</f>
        <v>0</v>
      </c>
      <c r="BP18" s="206">
        <f>'P &amp; NP'!TD495</f>
        <v>0</v>
      </c>
      <c r="BQ18" s="206">
        <f>'P &amp; NP'!TS495</f>
        <v>0</v>
      </c>
      <c r="BR18" s="206">
        <f>'P &amp; NP'!TT495</f>
        <v>0</v>
      </c>
      <c r="BS18" s="206">
        <f>'P &amp; NP'!UI495</f>
        <v>0</v>
      </c>
      <c r="BT18" s="206">
        <f>'P &amp; NP'!UJ495</f>
        <v>0</v>
      </c>
      <c r="BU18" s="206">
        <f>'P &amp; NP'!UY495</f>
        <v>0</v>
      </c>
      <c r="BV18" s="206">
        <f>'P &amp; NP'!UZ495</f>
        <v>0</v>
      </c>
      <c r="BW18" s="206">
        <f>'P &amp; NP'!VO495</f>
        <v>0</v>
      </c>
      <c r="BX18" s="206">
        <f>'P &amp; NP'!VP495</f>
        <v>0</v>
      </c>
      <c r="BY18" s="206">
        <f>'P &amp; NP'!WE495</f>
        <v>0</v>
      </c>
      <c r="BZ18" s="206">
        <f>'P &amp; NP'!WF495</f>
        <v>0</v>
      </c>
      <c r="CB18" s="206">
        <f t="shared" si="2"/>
        <v>0</v>
      </c>
      <c r="CC18" s="206">
        <f t="shared" si="3"/>
        <v>0</v>
      </c>
    </row>
    <row r="19" spans="2:81">
      <c r="B19" s="207" t="str">
        <f>'P &amp; NP'!B25</f>
        <v>Kerapu Macan</v>
      </c>
      <c r="C19" s="209">
        <f>'P &amp; NP'!K496</f>
        <v>0</v>
      </c>
      <c r="D19" s="209">
        <f>'P &amp; NP'!L496</f>
        <v>0</v>
      </c>
      <c r="E19" s="209">
        <f>'P &amp; NP'!AA496</f>
        <v>0</v>
      </c>
      <c r="F19" s="209">
        <f>'P &amp; NP'!AB496</f>
        <v>0</v>
      </c>
      <c r="G19" s="209">
        <f>'P &amp; NP'!AQ496</f>
        <v>0</v>
      </c>
      <c r="H19" s="209">
        <f>'P &amp; NP'!AR496</f>
        <v>0</v>
      </c>
      <c r="I19" s="209">
        <f>'P &amp; NP'!BG496</f>
        <v>0</v>
      </c>
      <c r="J19" s="209">
        <f>'P &amp; NP'!BH496</f>
        <v>0</v>
      </c>
      <c r="K19" s="206">
        <f>'P &amp; NP'!BW496</f>
        <v>0</v>
      </c>
      <c r="L19" s="206">
        <f>'P &amp; NP'!BX496</f>
        <v>0</v>
      </c>
      <c r="M19" s="206">
        <f>'P &amp; NP'!CM496</f>
        <v>0</v>
      </c>
      <c r="N19" s="206">
        <f>'P &amp; NP'!CN496</f>
        <v>0</v>
      </c>
      <c r="O19" s="206">
        <f>'P &amp; NP'!DC496</f>
        <v>0</v>
      </c>
      <c r="P19" s="206">
        <f>'P &amp; NP'!DD496</f>
        <v>0</v>
      </c>
      <c r="Q19" s="206">
        <f>'P &amp; NP'!DS496</f>
        <v>0</v>
      </c>
      <c r="R19" s="206">
        <f>'P &amp; NP'!DT496</f>
        <v>0</v>
      </c>
      <c r="S19" s="206">
        <f>'P &amp; NP'!EI496</f>
        <v>0</v>
      </c>
      <c r="T19" s="206">
        <f>'P &amp; NP'!EJ496</f>
        <v>0</v>
      </c>
      <c r="U19" s="206">
        <f>'P &amp; NP'!EY496</f>
        <v>0</v>
      </c>
      <c r="V19" s="206">
        <f>'P &amp; NP'!EZ496</f>
        <v>0</v>
      </c>
      <c r="W19" s="206">
        <f>'P &amp; NP'!FO496</f>
        <v>0</v>
      </c>
      <c r="X19" s="206">
        <f>'P &amp; NP'!FP496</f>
        <v>0</v>
      </c>
      <c r="Y19" s="206">
        <f>'P &amp; NP'!GE496</f>
        <v>0</v>
      </c>
      <c r="Z19" s="206">
        <f>'P &amp; NP'!GF496</f>
        <v>0</v>
      </c>
      <c r="AA19" s="206">
        <f>'P &amp; NP'!GU496</f>
        <v>0</v>
      </c>
      <c r="AB19" s="206">
        <f>'P &amp; NP'!GV496</f>
        <v>0</v>
      </c>
      <c r="AC19" s="206">
        <f>'P &amp; NP'!HK496</f>
        <v>0</v>
      </c>
      <c r="AD19" s="206">
        <f>'P &amp; NP'!HL496</f>
        <v>0</v>
      </c>
      <c r="AE19" s="206">
        <f>'P &amp; NP'!IA496</f>
        <v>0</v>
      </c>
      <c r="AF19" s="206">
        <f>'P &amp; NP'!IB496</f>
        <v>0</v>
      </c>
      <c r="AG19" s="206">
        <f>'P &amp; NP'!IQ496</f>
        <v>0</v>
      </c>
      <c r="AH19" s="206">
        <f>'P &amp; NP'!IR496</f>
        <v>0</v>
      </c>
      <c r="AI19" s="206">
        <f>'P &amp; NP'!JG496</f>
        <v>0</v>
      </c>
      <c r="AJ19" s="206">
        <f>'P &amp; NP'!JH496</f>
        <v>0</v>
      </c>
      <c r="AK19" s="206">
        <f>'P &amp; NP'!JW496</f>
        <v>0</v>
      </c>
      <c r="AL19" s="206">
        <f>'P &amp; NP'!JX496</f>
        <v>0</v>
      </c>
      <c r="AM19" s="206">
        <f>'P &amp; NP'!KM496</f>
        <v>0</v>
      </c>
      <c r="AN19" s="206">
        <f>'P &amp; NP'!KN496</f>
        <v>0</v>
      </c>
      <c r="AO19" s="206">
        <f>'P &amp; NP'!LC496</f>
        <v>0</v>
      </c>
      <c r="AP19" s="206">
        <f>'P &amp; NP'!LD496</f>
        <v>0</v>
      </c>
      <c r="AQ19" s="206">
        <f>'P &amp; NP'!LS496</f>
        <v>0</v>
      </c>
      <c r="AR19" s="206">
        <f>'P &amp; NP'!LT496</f>
        <v>0</v>
      </c>
      <c r="AS19" s="206">
        <f>'P &amp; NP'!MI496</f>
        <v>0</v>
      </c>
      <c r="AT19" s="206">
        <f>'P &amp; NP'!MJ496</f>
        <v>0</v>
      </c>
      <c r="AU19" s="206">
        <f>'P &amp; NP'!MY496</f>
        <v>0</v>
      </c>
      <c r="AV19" s="206">
        <f>'P &amp; NP'!MZ496</f>
        <v>0</v>
      </c>
      <c r="AW19" s="206">
        <f>'P &amp; NP'!NO496</f>
        <v>0</v>
      </c>
      <c r="AX19" s="206">
        <f>'P &amp; NP'!NP496</f>
        <v>0</v>
      </c>
      <c r="AY19" s="206">
        <f>'P &amp; NP'!OE496</f>
        <v>0</v>
      </c>
      <c r="AZ19" s="206">
        <f>'P &amp; NP'!OF496</f>
        <v>0</v>
      </c>
      <c r="BA19" s="206">
        <f>'P &amp; NP'!OU496</f>
        <v>0</v>
      </c>
      <c r="BB19" s="206">
        <f>'P &amp; NP'!OV496</f>
        <v>0</v>
      </c>
      <c r="BC19" s="206">
        <f>'P &amp; NP'!PK496</f>
        <v>0</v>
      </c>
      <c r="BD19" s="206">
        <f>'P &amp; NP'!PL496</f>
        <v>0</v>
      </c>
      <c r="BE19" s="206">
        <f>'P &amp; NP'!QA496</f>
        <v>0</v>
      </c>
      <c r="BF19" s="206">
        <f>'P &amp; NP'!QB496</f>
        <v>0</v>
      </c>
      <c r="BG19" s="206">
        <f>'P &amp; NP'!QQ496</f>
        <v>0</v>
      </c>
      <c r="BH19" s="206">
        <f>'P &amp; NP'!QR496</f>
        <v>0</v>
      </c>
      <c r="BI19" s="206">
        <f>'P &amp; NP'!RG496</f>
        <v>0</v>
      </c>
      <c r="BJ19" s="206">
        <f>'P &amp; NP'!RH496</f>
        <v>0</v>
      </c>
      <c r="BK19" s="206">
        <f>'P &amp; NP'!RW496</f>
        <v>0</v>
      </c>
      <c r="BL19" s="206">
        <f>'P &amp; NP'!RX496</f>
        <v>0</v>
      </c>
      <c r="BM19" s="206">
        <f>'P &amp; NP'!SM496</f>
        <v>0</v>
      </c>
      <c r="BN19" s="206">
        <f>'P &amp; NP'!SN496</f>
        <v>0</v>
      </c>
      <c r="BO19" s="206">
        <f>'P &amp; NP'!TC496</f>
        <v>0</v>
      </c>
      <c r="BP19" s="206">
        <f>'P &amp; NP'!TD496</f>
        <v>0</v>
      </c>
      <c r="BQ19" s="206">
        <f>'P &amp; NP'!TS496</f>
        <v>0</v>
      </c>
      <c r="BR19" s="206">
        <f>'P &amp; NP'!TT496</f>
        <v>0</v>
      </c>
      <c r="BS19" s="206">
        <f>'P &amp; NP'!UI496</f>
        <v>0</v>
      </c>
      <c r="BT19" s="206">
        <f>'P &amp; NP'!UJ496</f>
        <v>0</v>
      </c>
      <c r="BU19" s="206">
        <f>'P &amp; NP'!UY496</f>
        <v>0</v>
      </c>
      <c r="BV19" s="206">
        <f>'P &amp; NP'!UZ496</f>
        <v>0</v>
      </c>
      <c r="BW19" s="206">
        <f>'P &amp; NP'!VO496</f>
        <v>0</v>
      </c>
      <c r="BX19" s="206">
        <f>'P &amp; NP'!VP496</f>
        <v>0</v>
      </c>
      <c r="BY19" s="206">
        <f>'P &amp; NP'!WE496</f>
        <v>0</v>
      </c>
      <c r="BZ19" s="206">
        <f>'P &amp; NP'!WF496</f>
        <v>0</v>
      </c>
      <c r="CB19" s="206">
        <f t="shared" si="2"/>
        <v>0</v>
      </c>
      <c r="CC19" s="206">
        <f t="shared" si="3"/>
        <v>0</v>
      </c>
    </row>
    <row r="20" spans="2:81">
      <c r="B20" s="207" t="str">
        <f>'P &amp; NP'!B26</f>
        <v>Kerong Kerong</v>
      </c>
      <c r="C20" s="209">
        <f>'P &amp; NP'!K497</f>
        <v>0</v>
      </c>
      <c r="D20" s="209">
        <f>'P &amp; NP'!L497</f>
        <v>0</v>
      </c>
      <c r="E20" s="209">
        <f>'P &amp; NP'!AA497</f>
        <v>0</v>
      </c>
      <c r="F20" s="209">
        <f>'P &amp; NP'!AB497</f>
        <v>0</v>
      </c>
      <c r="G20" s="209">
        <f>'P &amp; NP'!AQ497</f>
        <v>0</v>
      </c>
      <c r="H20" s="209">
        <f>'P &amp; NP'!AR497</f>
        <v>0</v>
      </c>
      <c r="I20" s="209">
        <f>'P &amp; NP'!BG497</f>
        <v>0</v>
      </c>
      <c r="J20" s="209">
        <f>'P &amp; NP'!BH497</f>
        <v>0</v>
      </c>
      <c r="K20" s="206">
        <f>'P &amp; NP'!BW497</f>
        <v>0</v>
      </c>
      <c r="L20" s="206">
        <f>'P &amp; NP'!BX497</f>
        <v>0</v>
      </c>
      <c r="M20" s="206">
        <f>'P &amp; NP'!CM497</f>
        <v>0</v>
      </c>
      <c r="N20" s="206">
        <f>'P &amp; NP'!CN497</f>
        <v>0</v>
      </c>
      <c r="O20" s="206">
        <f>'P &amp; NP'!DC497</f>
        <v>0</v>
      </c>
      <c r="P20" s="206">
        <f>'P &amp; NP'!DD497</f>
        <v>0</v>
      </c>
      <c r="Q20" s="206">
        <f>'P &amp; NP'!DS497</f>
        <v>0</v>
      </c>
      <c r="R20" s="206">
        <f>'P &amp; NP'!DT497</f>
        <v>0</v>
      </c>
      <c r="S20" s="206">
        <f>'P &amp; NP'!EI497</f>
        <v>0</v>
      </c>
      <c r="T20" s="206">
        <f>'P &amp; NP'!EJ497</f>
        <v>0</v>
      </c>
      <c r="U20" s="206">
        <f>'P &amp; NP'!EY497</f>
        <v>0</v>
      </c>
      <c r="V20" s="206">
        <f>'P &amp; NP'!EZ497</f>
        <v>0</v>
      </c>
      <c r="W20" s="206">
        <f>'P &amp; NP'!FO497</f>
        <v>0</v>
      </c>
      <c r="X20" s="206">
        <f>'P &amp; NP'!FP497</f>
        <v>0</v>
      </c>
      <c r="Y20" s="206">
        <f>'P &amp; NP'!GE497</f>
        <v>0</v>
      </c>
      <c r="Z20" s="206">
        <f>'P &amp; NP'!GF497</f>
        <v>0</v>
      </c>
      <c r="AA20" s="206">
        <f>'P &amp; NP'!GU497</f>
        <v>0</v>
      </c>
      <c r="AB20" s="206">
        <f>'P &amp; NP'!GV497</f>
        <v>0</v>
      </c>
      <c r="AC20" s="206">
        <f>'P &amp; NP'!HK497</f>
        <v>0</v>
      </c>
      <c r="AD20" s="206">
        <f>'P &amp; NP'!HL497</f>
        <v>0</v>
      </c>
      <c r="AE20" s="206">
        <f>'P &amp; NP'!IA497</f>
        <v>0</v>
      </c>
      <c r="AF20" s="206">
        <f>'P &amp; NP'!IB497</f>
        <v>0</v>
      </c>
      <c r="AG20" s="206">
        <f>'P &amp; NP'!IQ497</f>
        <v>0</v>
      </c>
      <c r="AH20" s="206">
        <f>'P &amp; NP'!IR497</f>
        <v>0</v>
      </c>
      <c r="AI20" s="206">
        <f>'P &amp; NP'!JG497</f>
        <v>0</v>
      </c>
      <c r="AJ20" s="206">
        <f>'P &amp; NP'!JH497</f>
        <v>0</v>
      </c>
      <c r="AK20" s="206">
        <f>'P &amp; NP'!JW497</f>
        <v>0</v>
      </c>
      <c r="AL20" s="206">
        <f>'P &amp; NP'!JX497</f>
        <v>0</v>
      </c>
      <c r="AM20" s="206">
        <f>'P &amp; NP'!KM497</f>
        <v>0</v>
      </c>
      <c r="AN20" s="206">
        <f>'P &amp; NP'!KN497</f>
        <v>0</v>
      </c>
      <c r="AO20" s="206">
        <f>'P &amp; NP'!LC497</f>
        <v>0</v>
      </c>
      <c r="AP20" s="206">
        <f>'P &amp; NP'!LD497</f>
        <v>0</v>
      </c>
      <c r="AQ20" s="206">
        <f>'P &amp; NP'!LS497</f>
        <v>0</v>
      </c>
      <c r="AR20" s="206">
        <f>'P &amp; NP'!LT497</f>
        <v>0</v>
      </c>
      <c r="AS20" s="206">
        <f>'P &amp; NP'!MI497</f>
        <v>0</v>
      </c>
      <c r="AT20" s="206">
        <f>'P &amp; NP'!MJ497</f>
        <v>0</v>
      </c>
      <c r="AU20" s="206">
        <f>'P &amp; NP'!MY497</f>
        <v>0</v>
      </c>
      <c r="AV20" s="206">
        <f>'P &amp; NP'!MZ497</f>
        <v>0</v>
      </c>
      <c r="AW20" s="206">
        <f>'P &amp; NP'!NO497</f>
        <v>0</v>
      </c>
      <c r="AX20" s="206">
        <f>'P &amp; NP'!NP497</f>
        <v>0</v>
      </c>
      <c r="AY20" s="206">
        <f>'P &amp; NP'!OE497</f>
        <v>0</v>
      </c>
      <c r="AZ20" s="206">
        <f>'P &amp; NP'!OF497</f>
        <v>0</v>
      </c>
      <c r="BA20" s="206">
        <f>'P &amp; NP'!OU497</f>
        <v>0</v>
      </c>
      <c r="BB20" s="206">
        <f>'P &amp; NP'!OV497</f>
        <v>0</v>
      </c>
      <c r="BC20" s="206">
        <f>'P &amp; NP'!PK497</f>
        <v>0</v>
      </c>
      <c r="BD20" s="206">
        <f>'P &amp; NP'!PL497</f>
        <v>0</v>
      </c>
      <c r="BE20" s="206">
        <f>'P &amp; NP'!QA497</f>
        <v>0</v>
      </c>
      <c r="BF20" s="206">
        <f>'P &amp; NP'!QB497</f>
        <v>0</v>
      </c>
      <c r="BG20" s="206">
        <f>'P &amp; NP'!QQ497</f>
        <v>0</v>
      </c>
      <c r="BH20" s="206">
        <f>'P &amp; NP'!QR497</f>
        <v>0</v>
      </c>
      <c r="BI20" s="206">
        <f>'P &amp; NP'!RG497</f>
        <v>0</v>
      </c>
      <c r="BJ20" s="206">
        <f>'P &amp; NP'!RH497</f>
        <v>0</v>
      </c>
      <c r="BK20" s="206">
        <f>'P &amp; NP'!RW497</f>
        <v>0</v>
      </c>
      <c r="BL20" s="206">
        <f>'P &amp; NP'!RX497</f>
        <v>0</v>
      </c>
      <c r="BM20" s="206">
        <f>'P &amp; NP'!SM497</f>
        <v>0</v>
      </c>
      <c r="BN20" s="206">
        <f>'P &amp; NP'!SN497</f>
        <v>0</v>
      </c>
      <c r="BO20" s="206">
        <f>'P &amp; NP'!TC497</f>
        <v>0</v>
      </c>
      <c r="BP20" s="206">
        <f>'P &amp; NP'!TD497</f>
        <v>0</v>
      </c>
      <c r="BQ20" s="206">
        <f>'P &amp; NP'!TS497</f>
        <v>0</v>
      </c>
      <c r="BR20" s="206">
        <f>'P &amp; NP'!TT497</f>
        <v>0</v>
      </c>
      <c r="BS20" s="206">
        <f>'P &amp; NP'!UI497</f>
        <v>0</v>
      </c>
      <c r="BT20" s="206">
        <f>'P &amp; NP'!UJ497</f>
        <v>0</v>
      </c>
      <c r="BU20" s="206">
        <f>'P &amp; NP'!UY497</f>
        <v>0</v>
      </c>
      <c r="BV20" s="206">
        <f>'P &amp; NP'!UZ497</f>
        <v>0</v>
      </c>
      <c r="BW20" s="206">
        <f>'P &amp; NP'!VO497</f>
        <v>0</v>
      </c>
      <c r="BX20" s="206">
        <f>'P &amp; NP'!VP497</f>
        <v>0</v>
      </c>
      <c r="BY20" s="206">
        <f>'P &amp; NP'!WE497</f>
        <v>0</v>
      </c>
      <c r="BZ20" s="206">
        <f>'P &amp; NP'!WF497</f>
        <v>0</v>
      </c>
      <c r="CB20" s="206">
        <f t="shared" si="2"/>
        <v>0</v>
      </c>
      <c r="CC20" s="206">
        <f t="shared" si="3"/>
        <v>0</v>
      </c>
    </row>
    <row r="21" spans="2:81">
      <c r="B21" s="207" t="str">
        <f>'P &amp; NP'!B27</f>
        <v xml:space="preserve">Lele </v>
      </c>
      <c r="C21" s="209">
        <f>'P &amp; NP'!K498</f>
        <v>0</v>
      </c>
      <c r="D21" s="209">
        <f>'P &amp; NP'!L498</f>
        <v>0</v>
      </c>
      <c r="E21" s="209">
        <f>'P &amp; NP'!AA498</f>
        <v>0</v>
      </c>
      <c r="F21" s="209">
        <f>'P &amp; NP'!AB498</f>
        <v>0</v>
      </c>
      <c r="G21" s="209">
        <f>'P &amp; NP'!AQ498</f>
        <v>0</v>
      </c>
      <c r="H21" s="209">
        <f>'P &amp; NP'!AR498</f>
        <v>0</v>
      </c>
      <c r="I21" s="209">
        <f>'P &amp; NP'!BG498</f>
        <v>0</v>
      </c>
      <c r="J21" s="209">
        <f>'P &amp; NP'!BH498</f>
        <v>0</v>
      </c>
      <c r="K21" s="206">
        <f>'P &amp; NP'!BW498</f>
        <v>0</v>
      </c>
      <c r="L21" s="206">
        <f>'P &amp; NP'!BX498</f>
        <v>0</v>
      </c>
      <c r="M21" s="206">
        <f>'P &amp; NP'!CM498</f>
        <v>0</v>
      </c>
      <c r="N21" s="206">
        <f>'P &amp; NP'!CN498</f>
        <v>0</v>
      </c>
      <c r="O21" s="206">
        <f>'P &amp; NP'!DC498</f>
        <v>0</v>
      </c>
      <c r="P21" s="206">
        <f>'P &amp; NP'!DD498</f>
        <v>0</v>
      </c>
      <c r="Q21" s="206">
        <f>'P &amp; NP'!DS498</f>
        <v>0</v>
      </c>
      <c r="R21" s="206">
        <f>'P &amp; NP'!DT498</f>
        <v>0</v>
      </c>
      <c r="S21" s="206">
        <f>'P &amp; NP'!EI498</f>
        <v>0</v>
      </c>
      <c r="T21" s="206">
        <f>'P &amp; NP'!EJ498</f>
        <v>0</v>
      </c>
      <c r="U21" s="206">
        <f>'P &amp; NP'!EY498</f>
        <v>0</v>
      </c>
      <c r="V21" s="206">
        <f>'P &amp; NP'!EZ498</f>
        <v>0</v>
      </c>
      <c r="W21" s="206">
        <f>'P &amp; NP'!FO498</f>
        <v>0</v>
      </c>
      <c r="X21" s="206">
        <f>'P &amp; NP'!FP498</f>
        <v>0</v>
      </c>
      <c r="Y21" s="206">
        <f>'P &amp; NP'!GE498</f>
        <v>0</v>
      </c>
      <c r="Z21" s="206">
        <f>'P &amp; NP'!GF498</f>
        <v>0</v>
      </c>
      <c r="AA21" s="206">
        <f>'P &amp; NP'!GU498</f>
        <v>0</v>
      </c>
      <c r="AB21" s="206">
        <f>'P &amp; NP'!GV498</f>
        <v>0</v>
      </c>
      <c r="AC21" s="206">
        <f>'P &amp; NP'!HK498</f>
        <v>0</v>
      </c>
      <c r="AD21" s="206">
        <f>'P &amp; NP'!HL498</f>
        <v>0</v>
      </c>
      <c r="AE21" s="206">
        <f>'P &amp; NP'!IA498</f>
        <v>0</v>
      </c>
      <c r="AF21" s="206">
        <f>'P &amp; NP'!IB498</f>
        <v>0</v>
      </c>
      <c r="AG21" s="206">
        <f>'P &amp; NP'!IQ498</f>
        <v>0</v>
      </c>
      <c r="AH21" s="206">
        <f>'P &amp; NP'!IR498</f>
        <v>0</v>
      </c>
      <c r="AI21" s="206">
        <f>'P &amp; NP'!JG498</f>
        <v>0</v>
      </c>
      <c r="AJ21" s="206">
        <f>'P &amp; NP'!JH498</f>
        <v>0</v>
      </c>
      <c r="AK21" s="206">
        <f>'P &amp; NP'!JW498</f>
        <v>0</v>
      </c>
      <c r="AL21" s="206">
        <f>'P &amp; NP'!JX498</f>
        <v>0</v>
      </c>
      <c r="AM21" s="206">
        <f>'P &amp; NP'!KM498</f>
        <v>0</v>
      </c>
      <c r="AN21" s="206">
        <f>'P &amp; NP'!KN498</f>
        <v>0</v>
      </c>
      <c r="AO21" s="206">
        <f>'P &amp; NP'!LC498</f>
        <v>0</v>
      </c>
      <c r="AP21" s="206">
        <f>'P &amp; NP'!LD498</f>
        <v>0</v>
      </c>
      <c r="AQ21" s="206">
        <f>'P &amp; NP'!LS498</f>
        <v>0</v>
      </c>
      <c r="AR21" s="206">
        <f>'P &amp; NP'!LT498</f>
        <v>0</v>
      </c>
      <c r="AS21" s="206">
        <f>'P &amp; NP'!MI498</f>
        <v>0</v>
      </c>
      <c r="AT21" s="206">
        <f>'P &amp; NP'!MJ498</f>
        <v>0</v>
      </c>
      <c r="AU21" s="206">
        <f>'P &amp; NP'!MY498</f>
        <v>0</v>
      </c>
      <c r="AV21" s="206">
        <f>'P &amp; NP'!MZ498</f>
        <v>0</v>
      </c>
      <c r="AW21" s="206">
        <f>'P &amp; NP'!NO498</f>
        <v>0</v>
      </c>
      <c r="AX21" s="206">
        <f>'P &amp; NP'!NP498</f>
        <v>0</v>
      </c>
      <c r="AY21" s="206">
        <f>'P &amp; NP'!OE498</f>
        <v>0</v>
      </c>
      <c r="AZ21" s="206">
        <f>'P &amp; NP'!OF498</f>
        <v>0</v>
      </c>
      <c r="BA21" s="206">
        <f>'P &amp; NP'!OU498</f>
        <v>0</v>
      </c>
      <c r="BB21" s="206">
        <f>'P &amp; NP'!OV498</f>
        <v>0</v>
      </c>
      <c r="BC21" s="206">
        <f>'P &amp; NP'!PK498</f>
        <v>0</v>
      </c>
      <c r="BD21" s="206">
        <f>'P &amp; NP'!PL498</f>
        <v>0</v>
      </c>
      <c r="BE21" s="206">
        <f>'P &amp; NP'!QA498</f>
        <v>0</v>
      </c>
      <c r="BF21" s="206">
        <f>'P &amp; NP'!QB498</f>
        <v>0</v>
      </c>
      <c r="BG21" s="206">
        <f>'P &amp; NP'!QQ498</f>
        <v>0</v>
      </c>
      <c r="BH21" s="206">
        <f>'P &amp; NP'!QR498</f>
        <v>0</v>
      </c>
      <c r="BI21" s="206">
        <f>'P &amp; NP'!RG498</f>
        <v>0</v>
      </c>
      <c r="BJ21" s="206">
        <f>'P &amp; NP'!RH498</f>
        <v>0</v>
      </c>
      <c r="BK21" s="206">
        <f>'P &amp; NP'!RW498</f>
        <v>0</v>
      </c>
      <c r="BL21" s="206">
        <f>'P &amp; NP'!RX498</f>
        <v>0</v>
      </c>
      <c r="BM21" s="206">
        <f>'P &amp; NP'!SM498</f>
        <v>0</v>
      </c>
      <c r="BN21" s="206">
        <f>'P &amp; NP'!SN498</f>
        <v>0</v>
      </c>
      <c r="BO21" s="206">
        <f>'P &amp; NP'!TC498</f>
        <v>0</v>
      </c>
      <c r="BP21" s="206">
        <f>'P &amp; NP'!TD498</f>
        <v>0</v>
      </c>
      <c r="BQ21" s="206">
        <f>'P &amp; NP'!TS498</f>
        <v>0</v>
      </c>
      <c r="BR21" s="206">
        <f>'P &amp; NP'!TT498</f>
        <v>0</v>
      </c>
      <c r="BS21" s="206">
        <f>'P &amp; NP'!UI498</f>
        <v>0</v>
      </c>
      <c r="BT21" s="206">
        <f>'P &amp; NP'!UJ498</f>
        <v>0</v>
      </c>
      <c r="BU21" s="206">
        <f>'P &amp; NP'!UY498</f>
        <v>0</v>
      </c>
      <c r="BV21" s="206">
        <f>'P &amp; NP'!UZ498</f>
        <v>0</v>
      </c>
      <c r="BW21" s="206">
        <f>'P &amp; NP'!VO498</f>
        <v>0</v>
      </c>
      <c r="BX21" s="206">
        <f>'P &amp; NP'!VP498</f>
        <v>0</v>
      </c>
      <c r="BY21" s="206">
        <f>'P &amp; NP'!WE498</f>
        <v>0</v>
      </c>
      <c r="BZ21" s="206">
        <f>'P &amp; NP'!WF498</f>
        <v>0</v>
      </c>
      <c r="CB21" s="206">
        <f t="shared" si="2"/>
        <v>0</v>
      </c>
      <c r="CC21" s="206">
        <f t="shared" si="3"/>
        <v>0</v>
      </c>
    </row>
    <row r="22" spans="2:81">
      <c r="B22" s="207" t="str">
        <f>'P &amp; NP'!B28</f>
        <v xml:space="preserve">Lobster Air Laut </v>
      </c>
      <c r="C22" s="209">
        <f>'P &amp; NP'!K499</f>
        <v>0</v>
      </c>
      <c r="D22" s="209">
        <f>'P &amp; NP'!L499</f>
        <v>0</v>
      </c>
      <c r="E22" s="209">
        <f>'P &amp; NP'!AA499</f>
        <v>0</v>
      </c>
      <c r="F22" s="209">
        <f>'P &amp; NP'!AB499</f>
        <v>0</v>
      </c>
      <c r="G22" s="209">
        <f>'P &amp; NP'!AQ499</f>
        <v>0</v>
      </c>
      <c r="H22" s="209">
        <f>'P &amp; NP'!AR499</f>
        <v>0</v>
      </c>
      <c r="I22" s="209">
        <f>'P &amp; NP'!BG499</f>
        <v>0</v>
      </c>
      <c r="J22" s="209">
        <f>'P &amp; NP'!BH499</f>
        <v>0</v>
      </c>
      <c r="K22" s="206">
        <f>'P &amp; NP'!BW499</f>
        <v>0</v>
      </c>
      <c r="L22" s="206">
        <f>'P &amp; NP'!BX499</f>
        <v>0</v>
      </c>
      <c r="M22" s="206">
        <f>'P &amp; NP'!CM499</f>
        <v>0</v>
      </c>
      <c r="N22" s="206">
        <f>'P &amp; NP'!CN499</f>
        <v>0</v>
      </c>
      <c r="O22" s="206">
        <f>'P &amp; NP'!DC499</f>
        <v>0</v>
      </c>
      <c r="P22" s="206">
        <f>'P &amp; NP'!DD499</f>
        <v>0</v>
      </c>
      <c r="Q22" s="206">
        <f>'P &amp; NP'!DS499</f>
        <v>0</v>
      </c>
      <c r="R22" s="206">
        <f>'P &amp; NP'!DT499</f>
        <v>0</v>
      </c>
      <c r="S22" s="206">
        <f>'P &amp; NP'!EI499</f>
        <v>0</v>
      </c>
      <c r="T22" s="206">
        <f>'P &amp; NP'!EJ499</f>
        <v>0</v>
      </c>
      <c r="U22" s="206">
        <f>'P &amp; NP'!EY499</f>
        <v>0</v>
      </c>
      <c r="V22" s="206">
        <f>'P &amp; NP'!EZ499</f>
        <v>0</v>
      </c>
      <c r="W22" s="206">
        <f>'P &amp; NP'!FO499</f>
        <v>0</v>
      </c>
      <c r="X22" s="206">
        <f>'P &amp; NP'!FP499</f>
        <v>0</v>
      </c>
      <c r="Y22" s="206">
        <f>'P &amp; NP'!GE499</f>
        <v>0</v>
      </c>
      <c r="Z22" s="206">
        <f>'P &amp; NP'!GF499</f>
        <v>0</v>
      </c>
      <c r="AA22" s="206">
        <f>'P &amp; NP'!GU499</f>
        <v>0</v>
      </c>
      <c r="AB22" s="206">
        <f>'P &amp; NP'!GV499</f>
        <v>0</v>
      </c>
      <c r="AC22" s="206">
        <f>'P &amp; NP'!HK499</f>
        <v>0</v>
      </c>
      <c r="AD22" s="206">
        <f>'P &amp; NP'!HL499</f>
        <v>0</v>
      </c>
      <c r="AE22" s="206">
        <f>'P &amp; NP'!IA499</f>
        <v>0</v>
      </c>
      <c r="AF22" s="206">
        <f>'P &amp; NP'!IB499</f>
        <v>0</v>
      </c>
      <c r="AG22" s="206">
        <f>'P &amp; NP'!IQ499</f>
        <v>0</v>
      </c>
      <c r="AH22" s="206">
        <f>'P &amp; NP'!IR499</f>
        <v>0</v>
      </c>
      <c r="AI22" s="206">
        <f>'P &amp; NP'!JG499</f>
        <v>0</v>
      </c>
      <c r="AJ22" s="206">
        <f>'P &amp; NP'!JH499</f>
        <v>0</v>
      </c>
      <c r="AK22" s="206">
        <f>'P &amp; NP'!JW499</f>
        <v>0</v>
      </c>
      <c r="AL22" s="206">
        <f>'P &amp; NP'!JX499</f>
        <v>0</v>
      </c>
      <c r="AM22" s="206">
        <f>'P &amp; NP'!KM499</f>
        <v>0</v>
      </c>
      <c r="AN22" s="206">
        <f>'P &amp; NP'!KN499</f>
        <v>0</v>
      </c>
      <c r="AO22" s="206">
        <f>'P &amp; NP'!LC499</f>
        <v>0</v>
      </c>
      <c r="AP22" s="206">
        <f>'P &amp; NP'!LD499</f>
        <v>0</v>
      </c>
      <c r="AQ22" s="206">
        <f>'P &amp; NP'!LS499</f>
        <v>0</v>
      </c>
      <c r="AR22" s="206">
        <f>'P &amp; NP'!LT499</f>
        <v>0</v>
      </c>
      <c r="AS22" s="206">
        <f>'P &amp; NP'!MI499</f>
        <v>0</v>
      </c>
      <c r="AT22" s="206">
        <f>'P &amp; NP'!MJ499</f>
        <v>0</v>
      </c>
      <c r="AU22" s="206">
        <f>'P &amp; NP'!MY499</f>
        <v>0</v>
      </c>
      <c r="AV22" s="206">
        <f>'P &amp; NP'!MZ499</f>
        <v>0</v>
      </c>
      <c r="AW22" s="206">
        <f>'P &amp; NP'!NO499</f>
        <v>0</v>
      </c>
      <c r="AX22" s="206">
        <f>'P &amp; NP'!NP499</f>
        <v>0</v>
      </c>
      <c r="AY22" s="206">
        <f>'P &amp; NP'!OE499</f>
        <v>0</v>
      </c>
      <c r="AZ22" s="206">
        <f>'P &amp; NP'!OF499</f>
        <v>0</v>
      </c>
      <c r="BA22" s="206">
        <f>'P &amp; NP'!OU499</f>
        <v>0</v>
      </c>
      <c r="BB22" s="206">
        <f>'P &amp; NP'!OV499</f>
        <v>0</v>
      </c>
      <c r="BC22" s="206">
        <f>'P &amp; NP'!PK499</f>
        <v>0</v>
      </c>
      <c r="BD22" s="206">
        <f>'P &amp; NP'!PL499</f>
        <v>0</v>
      </c>
      <c r="BE22" s="206">
        <f>'P &amp; NP'!QA499</f>
        <v>0</v>
      </c>
      <c r="BF22" s="206">
        <f>'P &amp; NP'!QB499</f>
        <v>0</v>
      </c>
      <c r="BG22" s="206">
        <f>'P &amp; NP'!QQ499</f>
        <v>0</v>
      </c>
      <c r="BH22" s="206">
        <f>'P &amp; NP'!QR499</f>
        <v>0</v>
      </c>
      <c r="BI22" s="206">
        <f>'P &amp; NP'!RG499</f>
        <v>0</v>
      </c>
      <c r="BJ22" s="206">
        <f>'P &amp; NP'!RH499</f>
        <v>0</v>
      </c>
      <c r="BK22" s="206">
        <f>'P &amp; NP'!RW499</f>
        <v>0</v>
      </c>
      <c r="BL22" s="206">
        <f>'P &amp; NP'!RX499</f>
        <v>0</v>
      </c>
      <c r="BM22" s="206">
        <f>'P &amp; NP'!SM499</f>
        <v>0</v>
      </c>
      <c r="BN22" s="206">
        <f>'P &amp; NP'!SN499</f>
        <v>0</v>
      </c>
      <c r="BO22" s="206">
        <f>'P &amp; NP'!TC499</f>
        <v>0</v>
      </c>
      <c r="BP22" s="206">
        <f>'P &amp; NP'!TD499</f>
        <v>0</v>
      </c>
      <c r="BQ22" s="206">
        <f>'P &amp; NP'!TS499</f>
        <v>0</v>
      </c>
      <c r="BR22" s="206">
        <f>'P &amp; NP'!TT499</f>
        <v>0</v>
      </c>
      <c r="BS22" s="206">
        <f>'P &amp; NP'!UI499</f>
        <v>0</v>
      </c>
      <c r="BT22" s="206">
        <f>'P &amp; NP'!UJ499</f>
        <v>0</v>
      </c>
      <c r="BU22" s="206">
        <f>'P &amp; NP'!UY499</f>
        <v>0</v>
      </c>
      <c r="BV22" s="206">
        <f>'P &amp; NP'!UZ499</f>
        <v>0</v>
      </c>
      <c r="BW22" s="206">
        <f>'P &amp; NP'!VO499</f>
        <v>0</v>
      </c>
      <c r="BX22" s="206">
        <f>'P &amp; NP'!VP499</f>
        <v>0</v>
      </c>
      <c r="BY22" s="206">
        <f>'P &amp; NP'!WE499</f>
        <v>0</v>
      </c>
      <c r="BZ22" s="206">
        <f>'P &amp; NP'!WF499</f>
        <v>0</v>
      </c>
      <c r="CB22" s="206">
        <f t="shared" si="2"/>
        <v>0</v>
      </c>
      <c r="CC22" s="206">
        <f t="shared" si="3"/>
        <v>0</v>
      </c>
    </row>
    <row r="23" spans="2:81">
      <c r="B23" s="207" t="str">
        <f>'P &amp; NP'!B29</f>
        <v xml:space="preserve">Lobster Air Tawar, Cherax </v>
      </c>
      <c r="C23" s="209">
        <f>'P &amp; NP'!K500</f>
        <v>0</v>
      </c>
      <c r="D23" s="209">
        <f>'P &amp; NP'!L500</f>
        <v>0</v>
      </c>
      <c r="E23" s="209">
        <f>'P &amp; NP'!AA500</f>
        <v>0</v>
      </c>
      <c r="F23" s="209">
        <f>'P &amp; NP'!AB500</f>
        <v>0</v>
      </c>
      <c r="G23" s="209">
        <f>'P &amp; NP'!AQ500</f>
        <v>0</v>
      </c>
      <c r="H23" s="209">
        <f>'P &amp; NP'!AR500</f>
        <v>0</v>
      </c>
      <c r="I23" s="209">
        <f>'P &amp; NP'!BG500</f>
        <v>0</v>
      </c>
      <c r="J23" s="209">
        <f>'P &amp; NP'!BH500</f>
        <v>0</v>
      </c>
      <c r="K23" s="206">
        <f>'P &amp; NP'!BW500</f>
        <v>0</v>
      </c>
      <c r="L23" s="206">
        <f>'P &amp; NP'!BX500</f>
        <v>0</v>
      </c>
      <c r="M23" s="206">
        <f>'P &amp; NP'!CM500</f>
        <v>0</v>
      </c>
      <c r="N23" s="206">
        <f>'P &amp; NP'!CN500</f>
        <v>0</v>
      </c>
      <c r="O23" s="206">
        <f>'P &amp; NP'!DC500</f>
        <v>0</v>
      </c>
      <c r="P23" s="206">
        <f>'P &amp; NP'!DD500</f>
        <v>0</v>
      </c>
      <c r="Q23" s="206">
        <f>'P &amp; NP'!DS500</f>
        <v>0</v>
      </c>
      <c r="R23" s="206">
        <f>'P &amp; NP'!DT500</f>
        <v>0</v>
      </c>
      <c r="S23" s="206">
        <f>'P &amp; NP'!EI500</f>
        <v>0</v>
      </c>
      <c r="T23" s="206">
        <f>'P &amp; NP'!EJ500</f>
        <v>0</v>
      </c>
      <c r="U23" s="206">
        <f>'P &amp; NP'!EY500</f>
        <v>0</v>
      </c>
      <c r="V23" s="206">
        <f>'P &amp; NP'!EZ500</f>
        <v>0</v>
      </c>
      <c r="W23" s="206">
        <f>'P &amp; NP'!FO500</f>
        <v>0</v>
      </c>
      <c r="X23" s="206">
        <f>'P &amp; NP'!FP500</f>
        <v>0</v>
      </c>
      <c r="Y23" s="206">
        <f>'P &amp; NP'!GE500</f>
        <v>0</v>
      </c>
      <c r="Z23" s="206">
        <f>'P &amp; NP'!GF500</f>
        <v>0</v>
      </c>
      <c r="AA23" s="206">
        <f>'P &amp; NP'!GU500</f>
        <v>0</v>
      </c>
      <c r="AB23" s="206">
        <f>'P &amp; NP'!GV500</f>
        <v>0</v>
      </c>
      <c r="AC23" s="206">
        <f>'P &amp; NP'!HK500</f>
        <v>0</v>
      </c>
      <c r="AD23" s="206">
        <f>'P &amp; NP'!HL500</f>
        <v>0</v>
      </c>
      <c r="AE23" s="206">
        <f>'P &amp; NP'!IA500</f>
        <v>0</v>
      </c>
      <c r="AF23" s="206">
        <f>'P &amp; NP'!IB500</f>
        <v>0</v>
      </c>
      <c r="AG23" s="206">
        <f>'P &amp; NP'!IQ500</f>
        <v>0</v>
      </c>
      <c r="AH23" s="206">
        <f>'P &amp; NP'!IR500</f>
        <v>0</v>
      </c>
      <c r="AI23" s="206">
        <f>'P &amp; NP'!JG500</f>
        <v>0</v>
      </c>
      <c r="AJ23" s="206">
        <f>'P &amp; NP'!JH500</f>
        <v>0</v>
      </c>
      <c r="AK23" s="206">
        <f>'P &amp; NP'!JW500</f>
        <v>0</v>
      </c>
      <c r="AL23" s="206">
        <f>'P &amp; NP'!JX500</f>
        <v>0</v>
      </c>
      <c r="AM23" s="206">
        <f>'P &amp; NP'!KM500</f>
        <v>0</v>
      </c>
      <c r="AN23" s="206">
        <f>'P &amp; NP'!KN500</f>
        <v>0</v>
      </c>
      <c r="AO23" s="206">
        <f>'P &amp; NP'!LC500</f>
        <v>0</v>
      </c>
      <c r="AP23" s="206">
        <f>'P &amp; NP'!LD500</f>
        <v>0</v>
      </c>
      <c r="AQ23" s="206">
        <f>'P &amp; NP'!LS500</f>
        <v>0</v>
      </c>
      <c r="AR23" s="206">
        <f>'P &amp; NP'!LT500</f>
        <v>0</v>
      </c>
      <c r="AS23" s="206">
        <f>'P &amp; NP'!MI500</f>
        <v>0</v>
      </c>
      <c r="AT23" s="206">
        <f>'P &amp; NP'!MJ500</f>
        <v>0</v>
      </c>
      <c r="AU23" s="206">
        <f>'P &amp; NP'!MY500</f>
        <v>0</v>
      </c>
      <c r="AV23" s="206">
        <f>'P &amp; NP'!MZ500</f>
        <v>0</v>
      </c>
      <c r="AW23" s="206">
        <f>'P &amp; NP'!NO500</f>
        <v>0</v>
      </c>
      <c r="AX23" s="206">
        <f>'P &amp; NP'!NP500</f>
        <v>0</v>
      </c>
      <c r="AY23" s="206">
        <f>'P &amp; NP'!OE500</f>
        <v>0</v>
      </c>
      <c r="AZ23" s="206">
        <f>'P &amp; NP'!OF500</f>
        <v>0</v>
      </c>
      <c r="BA23" s="206">
        <f>'P &amp; NP'!OU500</f>
        <v>0</v>
      </c>
      <c r="BB23" s="206">
        <f>'P &amp; NP'!OV500</f>
        <v>0</v>
      </c>
      <c r="BC23" s="206">
        <f>'P &amp; NP'!PK500</f>
        <v>0</v>
      </c>
      <c r="BD23" s="206">
        <f>'P &amp; NP'!PL500</f>
        <v>0</v>
      </c>
      <c r="BE23" s="206">
        <f>'P &amp; NP'!QA500</f>
        <v>0</v>
      </c>
      <c r="BF23" s="206">
        <f>'P &amp; NP'!QB500</f>
        <v>0</v>
      </c>
      <c r="BG23" s="206">
        <f>'P &amp; NP'!QQ500</f>
        <v>0</v>
      </c>
      <c r="BH23" s="206">
        <f>'P &amp; NP'!QR500</f>
        <v>0</v>
      </c>
      <c r="BI23" s="206">
        <f>'P &amp; NP'!RG500</f>
        <v>0</v>
      </c>
      <c r="BJ23" s="206">
        <f>'P &amp; NP'!RH500</f>
        <v>0</v>
      </c>
      <c r="BK23" s="206">
        <f>'P &amp; NP'!RW500</f>
        <v>0</v>
      </c>
      <c r="BL23" s="206">
        <f>'P &amp; NP'!RX500</f>
        <v>0</v>
      </c>
      <c r="BM23" s="206">
        <f>'P &amp; NP'!SM500</f>
        <v>0</v>
      </c>
      <c r="BN23" s="206">
        <f>'P &amp; NP'!SN500</f>
        <v>0</v>
      </c>
      <c r="BO23" s="206">
        <f>'P &amp; NP'!TC500</f>
        <v>0</v>
      </c>
      <c r="BP23" s="206">
        <f>'P &amp; NP'!TD500</f>
        <v>0</v>
      </c>
      <c r="BQ23" s="206">
        <f>'P &amp; NP'!TS500</f>
        <v>0</v>
      </c>
      <c r="BR23" s="206">
        <f>'P &amp; NP'!TT500</f>
        <v>0</v>
      </c>
      <c r="BS23" s="206">
        <f>'P &amp; NP'!UI500</f>
        <v>0</v>
      </c>
      <c r="BT23" s="206">
        <f>'P &amp; NP'!UJ500</f>
        <v>0</v>
      </c>
      <c r="BU23" s="206">
        <f>'P &amp; NP'!UY500</f>
        <v>0</v>
      </c>
      <c r="BV23" s="206">
        <f>'P &amp; NP'!UZ500</f>
        <v>0</v>
      </c>
      <c r="BW23" s="206">
        <f>'P &amp; NP'!VO500</f>
        <v>0</v>
      </c>
      <c r="BX23" s="206">
        <f>'P &amp; NP'!VP500</f>
        <v>0</v>
      </c>
      <c r="BY23" s="206">
        <f>'P &amp; NP'!WE500</f>
        <v>0</v>
      </c>
      <c r="BZ23" s="206">
        <f>'P &amp; NP'!WF500</f>
        <v>0</v>
      </c>
      <c r="CB23" s="206">
        <f t="shared" si="2"/>
        <v>0</v>
      </c>
      <c r="CC23" s="206">
        <f t="shared" si="3"/>
        <v>0</v>
      </c>
    </row>
    <row r="24" spans="2:81">
      <c r="B24" s="207" t="str">
        <f>'P &amp; NP'!B30</f>
        <v xml:space="preserve">Mas, Ikan Mas, Karper </v>
      </c>
      <c r="C24" s="209">
        <f>'P &amp; NP'!K501</f>
        <v>0</v>
      </c>
      <c r="D24" s="209">
        <f>'P &amp; NP'!L501</f>
        <v>0</v>
      </c>
      <c r="E24" s="209">
        <f>'P &amp; NP'!AA501</f>
        <v>33545</v>
      </c>
      <c r="F24" s="209">
        <f>'P &amp; NP'!AB501</f>
        <v>1174075</v>
      </c>
      <c r="G24" s="209">
        <f>'P &amp; NP'!AQ501</f>
        <v>0</v>
      </c>
      <c r="H24" s="209">
        <f>'P &amp; NP'!AR501</f>
        <v>0</v>
      </c>
      <c r="I24" s="209">
        <f>'P &amp; NP'!BG501</f>
        <v>2328</v>
      </c>
      <c r="J24" s="209">
        <f>'P &amp; NP'!BH501</f>
        <v>34920</v>
      </c>
      <c r="K24" s="206">
        <f>'P &amp; NP'!BW501</f>
        <v>0</v>
      </c>
      <c r="L24" s="206">
        <f>'P &amp; NP'!BX501</f>
        <v>0</v>
      </c>
      <c r="M24" s="206">
        <f>'P &amp; NP'!CM501</f>
        <v>0</v>
      </c>
      <c r="N24" s="206">
        <f>'P &amp; NP'!CN501</f>
        <v>0</v>
      </c>
      <c r="O24" s="206">
        <f>'P &amp; NP'!DC501</f>
        <v>6217</v>
      </c>
      <c r="P24" s="206">
        <f>'P &amp; NP'!DD501</f>
        <v>138854</v>
      </c>
      <c r="Q24" s="206">
        <f>'P &amp; NP'!DS501</f>
        <v>0</v>
      </c>
      <c r="R24" s="206">
        <f>'P &amp; NP'!DT501</f>
        <v>0</v>
      </c>
      <c r="S24" s="206">
        <f>'P &amp; NP'!EI501</f>
        <v>0</v>
      </c>
      <c r="T24" s="206">
        <f>'P &amp; NP'!EJ501</f>
        <v>0</v>
      </c>
      <c r="U24" s="206">
        <f>'P &amp; NP'!EY501</f>
        <v>0</v>
      </c>
      <c r="V24" s="206">
        <f>'P &amp; NP'!EZ501</f>
        <v>0</v>
      </c>
      <c r="W24" s="206">
        <f>'P &amp; NP'!FO501</f>
        <v>0</v>
      </c>
      <c r="X24" s="206">
        <f>'P &amp; NP'!FP501</f>
        <v>0</v>
      </c>
      <c r="Y24" s="206">
        <f>'P &amp; NP'!GE501</f>
        <v>0</v>
      </c>
      <c r="Z24" s="206">
        <f>'P &amp; NP'!GF501</f>
        <v>0</v>
      </c>
      <c r="AA24" s="206">
        <f>'P &amp; NP'!GU501</f>
        <v>0</v>
      </c>
      <c r="AB24" s="206">
        <f>'P &amp; NP'!GV501</f>
        <v>0</v>
      </c>
      <c r="AC24" s="206">
        <f>'P &amp; NP'!HK501</f>
        <v>0</v>
      </c>
      <c r="AD24" s="206">
        <f>'P &amp; NP'!HL501</f>
        <v>0</v>
      </c>
      <c r="AE24" s="206">
        <f>'P &amp; NP'!IA501</f>
        <v>0</v>
      </c>
      <c r="AF24" s="206">
        <f>'P &amp; NP'!IB501</f>
        <v>0</v>
      </c>
      <c r="AG24" s="206">
        <f>'P &amp; NP'!IQ501</f>
        <v>0</v>
      </c>
      <c r="AH24" s="206">
        <f>'P &amp; NP'!IR501</f>
        <v>0</v>
      </c>
      <c r="AI24" s="206">
        <f>'P &amp; NP'!JG501</f>
        <v>0</v>
      </c>
      <c r="AJ24" s="206">
        <f>'P &amp; NP'!JH501</f>
        <v>0</v>
      </c>
      <c r="AK24" s="206">
        <f>'P &amp; NP'!JW501</f>
        <v>0</v>
      </c>
      <c r="AL24" s="206">
        <f>'P &amp; NP'!JX501</f>
        <v>0</v>
      </c>
      <c r="AM24" s="206">
        <f>'P &amp; NP'!KM501</f>
        <v>0</v>
      </c>
      <c r="AN24" s="206">
        <f>'P &amp; NP'!KN501</f>
        <v>0</v>
      </c>
      <c r="AO24" s="206">
        <f>'P &amp; NP'!LC501</f>
        <v>0</v>
      </c>
      <c r="AP24" s="206">
        <f>'P &amp; NP'!LD501</f>
        <v>0</v>
      </c>
      <c r="AQ24" s="206">
        <f>'P &amp; NP'!LS501</f>
        <v>0</v>
      </c>
      <c r="AR24" s="206">
        <f>'P &amp; NP'!LT501</f>
        <v>0</v>
      </c>
      <c r="AS24" s="206">
        <f>'P &amp; NP'!MI501</f>
        <v>0</v>
      </c>
      <c r="AT24" s="206">
        <f>'P &amp; NP'!MJ501</f>
        <v>0</v>
      </c>
      <c r="AU24" s="206">
        <f>'P &amp; NP'!MY501</f>
        <v>0</v>
      </c>
      <c r="AV24" s="206">
        <f>'P &amp; NP'!MZ501</f>
        <v>0</v>
      </c>
      <c r="AW24" s="206">
        <f>'P &amp; NP'!NO501</f>
        <v>0</v>
      </c>
      <c r="AX24" s="206">
        <f>'P &amp; NP'!NP501</f>
        <v>0</v>
      </c>
      <c r="AY24" s="206">
        <f>'P &amp; NP'!OE501</f>
        <v>0</v>
      </c>
      <c r="AZ24" s="206">
        <f>'P &amp; NP'!OF501</f>
        <v>0</v>
      </c>
      <c r="BA24" s="206">
        <f>'P &amp; NP'!OU501</f>
        <v>0</v>
      </c>
      <c r="BB24" s="206">
        <f>'P &amp; NP'!OV501</f>
        <v>0</v>
      </c>
      <c r="BC24" s="206">
        <f>'P &amp; NP'!PK501</f>
        <v>0</v>
      </c>
      <c r="BD24" s="206">
        <f>'P &amp; NP'!PL501</f>
        <v>0</v>
      </c>
      <c r="BE24" s="206">
        <f>'P &amp; NP'!QA501</f>
        <v>1671920</v>
      </c>
      <c r="BF24" s="206">
        <f>'P &amp; NP'!QB501</f>
        <v>30094560</v>
      </c>
      <c r="BG24" s="206">
        <f>'P &amp; NP'!QQ501</f>
        <v>0</v>
      </c>
      <c r="BH24" s="206">
        <f>'P &amp; NP'!QR501</f>
        <v>0</v>
      </c>
      <c r="BI24" s="206">
        <f>'P &amp; NP'!RG501</f>
        <v>0</v>
      </c>
      <c r="BJ24" s="206">
        <f>'P &amp; NP'!RH501</f>
        <v>0</v>
      </c>
      <c r="BK24" s="206">
        <f>'P &amp; NP'!RW501</f>
        <v>0</v>
      </c>
      <c r="BL24" s="206">
        <f>'P &amp; NP'!RX501</f>
        <v>0</v>
      </c>
      <c r="BM24" s="206">
        <f>'P &amp; NP'!SM501</f>
        <v>0</v>
      </c>
      <c r="BN24" s="206">
        <f>'P &amp; NP'!SN501</f>
        <v>0</v>
      </c>
      <c r="BO24" s="206">
        <f>'P &amp; NP'!TC501</f>
        <v>0</v>
      </c>
      <c r="BP24" s="206">
        <f>'P &amp; NP'!TD501</f>
        <v>0</v>
      </c>
      <c r="BQ24" s="206">
        <f>'P &amp; NP'!TS501</f>
        <v>0</v>
      </c>
      <c r="BR24" s="206">
        <f>'P &amp; NP'!TT501</f>
        <v>0</v>
      </c>
      <c r="BS24" s="206">
        <f>'P &amp; NP'!UI501</f>
        <v>0</v>
      </c>
      <c r="BT24" s="206">
        <f>'P &amp; NP'!UJ501</f>
        <v>0</v>
      </c>
      <c r="BU24" s="206">
        <f>'P &amp; NP'!UY501</f>
        <v>0</v>
      </c>
      <c r="BV24" s="206">
        <f>'P &amp; NP'!UZ501</f>
        <v>0</v>
      </c>
      <c r="BW24" s="206">
        <f>'P &amp; NP'!VO501</f>
        <v>0</v>
      </c>
      <c r="BX24" s="206">
        <f>'P &amp; NP'!VP501</f>
        <v>0</v>
      </c>
      <c r="BY24" s="206">
        <f>'P &amp; NP'!WE501</f>
        <v>0</v>
      </c>
      <c r="BZ24" s="206">
        <f>'P &amp; NP'!WF501</f>
        <v>0</v>
      </c>
      <c r="CB24" s="206">
        <f t="shared" si="2"/>
        <v>1714010</v>
      </c>
      <c r="CC24" s="206">
        <f t="shared" si="3"/>
        <v>31442409</v>
      </c>
    </row>
    <row r="25" spans="2:81">
      <c r="B25" s="207" t="str">
        <f>'P &amp; NP'!B31</f>
        <v xml:space="preserve">Mujair </v>
      </c>
      <c r="C25" s="209">
        <f>'P &amp; NP'!K502</f>
        <v>0</v>
      </c>
      <c r="D25" s="209">
        <f>'P &amp; NP'!L502</f>
        <v>0</v>
      </c>
      <c r="E25" s="209">
        <f>'P &amp; NP'!AA502</f>
        <v>0</v>
      </c>
      <c r="F25" s="209">
        <f>'P &amp; NP'!AB502</f>
        <v>0</v>
      </c>
      <c r="G25" s="209">
        <f>'P &amp; NP'!AQ502</f>
        <v>0</v>
      </c>
      <c r="H25" s="209">
        <f>'P &amp; NP'!AR502</f>
        <v>0</v>
      </c>
      <c r="I25" s="209">
        <f>'P &amp; NP'!BG502</f>
        <v>0</v>
      </c>
      <c r="J25" s="209">
        <f>'P &amp; NP'!BH502</f>
        <v>0</v>
      </c>
      <c r="K25" s="206">
        <f>'P &amp; NP'!BW502</f>
        <v>0</v>
      </c>
      <c r="L25" s="206">
        <f>'P &amp; NP'!BX502</f>
        <v>0</v>
      </c>
      <c r="M25" s="206">
        <f>'P &amp; NP'!CM502</f>
        <v>0</v>
      </c>
      <c r="N25" s="206">
        <f>'P &amp; NP'!CN502</f>
        <v>0</v>
      </c>
      <c r="O25" s="206">
        <f>'P &amp; NP'!DC502</f>
        <v>0</v>
      </c>
      <c r="P25" s="206">
        <f>'P &amp; NP'!DD502</f>
        <v>0</v>
      </c>
      <c r="Q25" s="206">
        <f>'P &amp; NP'!DS502</f>
        <v>0</v>
      </c>
      <c r="R25" s="206">
        <f>'P &amp; NP'!DT502</f>
        <v>0</v>
      </c>
      <c r="S25" s="206">
        <f>'P &amp; NP'!EI502</f>
        <v>0</v>
      </c>
      <c r="T25" s="206">
        <f>'P &amp; NP'!EJ502</f>
        <v>0</v>
      </c>
      <c r="U25" s="206">
        <f>'P &amp; NP'!EY502</f>
        <v>0</v>
      </c>
      <c r="V25" s="206">
        <f>'P &amp; NP'!EZ502</f>
        <v>0</v>
      </c>
      <c r="W25" s="206">
        <f>'P &amp; NP'!FO502</f>
        <v>0</v>
      </c>
      <c r="X25" s="206">
        <f>'P &amp; NP'!FP502</f>
        <v>0</v>
      </c>
      <c r="Y25" s="206">
        <f>'P &amp; NP'!GE502</f>
        <v>0</v>
      </c>
      <c r="Z25" s="206">
        <f>'P &amp; NP'!GF502</f>
        <v>0</v>
      </c>
      <c r="AA25" s="206">
        <f>'P &amp; NP'!GU502</f>
        <v>0</v>
      </c>
      <c r="AB25" s="206">
        <f>'P &amp; NP'!GV502</f>
        <v>0</v>
      </c>
      <c r="AC25" s="206">
        <f>'P &amp; NP'!HK502</f>
        <v>0</v>
      </c>
      <c r="AD25" s="206">
        <f>'P &amp; NP'!HL502</f>
        <v>0</v>
      </c>
      <c r="AE25" s="206">
        <f>'P &amp; NP'!IA502</f>
        <v>0</v>
      </c>
      <c r="AF25" s="206">
        <f>'P &amp; NP'!IB502</f>
        <v>0</v>
      </c>
      <c r="AG25" s="206">
        <f>'P &amp; NP'!IQ502</f>
        <v>0</v>
      </c>
      <c r="AH25" s="206">
        <f>'P &amp; NP'!IR502</f>
        <v>0</v>
      </c>
      <c r="AI25" s="206">
        <f>'P &amp; NP'!JG502</f>
        <v>0</v>
      </c>
      <c r="AJ25" s="206">
        <f>'P &amp; NP'!JH502</f>
        <v>0</v>
      </c>
      <c r="AK25" s="206">
        <f>'P &amp; NP'!JW502</f>
        <v>0</v>
      </c>
      <c r="AL25" s="206">
        <f>'P &amp; NP'!JX502</f>
        <v>0</v>
      </c>
      <c r="AM25" s="206">
        <f>'P &amp; NP'!KM502</f>
        <v>0</v>
      </c>
      <c r="AN25" s="206">
        <f>'P &amp; NP'!KN502</f>
        <v>0</v>
      </c>
      <c r="AO25" s="206">
        <f>'P &amp; NP'!LC502</f>
        <v>0</v>
      </c>
      <c r="AP25" s="206">
        <f>'P &amp; NP'!LD502</f>
        <v>0</v>
      </c>
      <c r="AQ25" s="206">
        <f>'P &amp; NP'!LS502</f>
        <v>0</v>
      </c>
      <c r="AR25" s="206">
        <f>'P &amp; NP'!LT502</f>
        <v>0</v>
      </c>
      <c r="AS25" s="206">
        <f>'P &amp; NP'!MI502</f>
        <v>0</v>
      </c>
      <c r="AT25" s="206">
        <f>'P &amp; NP'!MJ502</f>
        <v>0</v>
      </c>
      <c r="AU25" s="206">
        <f>'P &amp; NP'!MY502</f>
        <v>0</v>
      </c>
      <c r="AV25" s="206">
        <f>'P &amp; NP'!MZ502</f>
        <v>0</v>
      </c>
      <c r="AW25" s="206">
        <f>'P &amp; NP'!NO502</f>
        <v>0</v>
      </c>
      <c r="AX25" s="206">
        <f>'P &amp; NP'!NP502</f>
        <v>0</v>
      </c>
      <c r="AY25" s="206">
        <f>'P &amp; NP'!OE502</f>
        <v>0</v>
      </c>
      <c r="AZ25" s="206">
        <f>'P &amp; NP'!OF502</f>
        <v>0</v>
      </c>
      <c r="BA25" s="206">
        <f>'P &amp; NP'!OU502</f>
        <v>0</v>
      </c>
      <c r="BB25" s="206">
        <f>'P &amp; NP'!OV502</f>
        <v>0</v>
      </c>
      <c r="BC25" s="206">
        <f>'P &amp; NP'!PK502</f>
        <v>0</v>
      </c>
      <c r="BD25" s="206">
        <f>'P &amp; NP'!PL502</f>
        <v>0</v>
      </c>
      <c r="BE25" s="206">
        <f>'P &amp; NP'!QA502</f>
        <v>35120</v>
      </c>
      <c r="BF25" s="206">
        <f>'P &amp; NP'!QB502</f>
        <v>421440</v>
      </c>
      <c r="BG25" s="206">
        <f>'P &amp; NP'!QQ502</f>
        <v>0</v>
      </c>
      <c r="BH25" s="206">
        <f>'P &amp; NP'!QR502</f>
        <v>0</v>
      </c>
      <c r="BI25" s="206">
        <f>'P &amp; NP'!RG502</f>
        <v>0</v>
      </c>
      <c r="BJ25" s="206">
        <f>'P &amp; NP'!RH502</f>
        <v>0</v>
      </c>
      <c r="BK25" s="206">
        <f>'P &amp; NP'!RW502</f>
        <v>0</v>
      </c>
      <c r="BL25" s="206">
        <f>'P &amp; NP'!RX502</f>
        <v>0</v>
      </c>
      <c r="BM25" s="206">
        <f>'P &amp; NP'!SM502</f>
        <v>0</v>
      </c>
      <c r="BN25" s="206">
        <f>'P &amp; NP'!SN502</f>
        <v>0</v>
      </c>
      <c r="BO25" s="206">
        <f>'P &amp; NP'!TC502</f>
        <v>0</v>
      </c>
      <c r="BP25" s="206">
        <f>'P &amp; NP'!TD502</f>
        <v>0</v>
      </c>
      <c r="BQ25" s="206">
        <f>'P &amp; NP'!TS502</f>
        <v>0</v>
      </c>
      <c r="BR25" s="206">
        <f>'P &amp; NP'!TT502</f>
        <v>0</v>
      </c>
      <c r="BS25" s="206">
        <f>'P &amp; NP'!UI502</f>
        <v>0</v>
      </c>
      <c r="BT25" s="206">
        <f>'P &amp; NP'!UJ502</f>
        <v>0</v>
      </c>
      <c r="BU25" s="206">
        <f>'P &amp; NP'!UY502</f>
        <v>0</v>
      </c>
      <c r="BV25" s="206">
        <f>'P &amp; NP'!UZ502</f>
        <v>0</v>
      </c>
      <c r="BW25" s="206">
        <f>'P &amp; NP'!VO502</f>
        <v>0</v>
      </c>
      <c r="BX25" s="206">
        <f>'P &amp; NP'!VP502</f>
        <v>0</v>
      </c>
      <c r="BY25" s="206">
        <f>'P &amp; NP'!WE502</f>
        <v>0</v>
      </c>
      <c r="BZ25" s="206">
        <f>'P &amp; NP'!WF502</f>
        <v>0</v>
      </c>
      <c r="CB25" s="206">
        <f t="shared" si="2"/>
        <v>35120</v>
      </c>
      <c r="CC25" s="206">
        <f t="shared" si="3"/>
        <v>421440</v>
      </c>
    </row>
    <row r="26" spans="2:81">
      <c r="B26" s="207" t="str">
        <f>'P &amp; NP'!B32</f>
        <v xml:space="preserve">Nila </v>
      </c>
      <c r="C26" s="209">
        <f>'P &amp; NP'!K503</f>
        <v>0</v>
      </c>
      <c r="D26" s="209">
        <f>'P &amp; NP'!L503</f>
        <v>0</v>
      </c>
      <c r="E26" s="209">
        <f>'P &amp; NP'!AA503</f>
        <v>34660</v>
      </c>
      <c r="F26" s="209">
        <f>'P &amp; NP'!AB503</f>
        <v>693200</v>
      </c>
      <c r="G26" s="209">
        <f>'P &amp; NP'!AQ503</f>
        <v>1820</v>
      </c>
      <c r="H26" s="209">
        <f>'P &amp; NP'!AR503</f>
        <v>43900</v>
      </c>
      <c r="I26" s="209">
        <f>'P &amp; NP'!BG503</f>
        <v>46841</v>
      </c>
      <c r="J26" s="209">
        <f>'P &amp; NP'!BH503</f>
        <v>1171025</v>
      </c>
      <c r="K26" s="206">
        <f>'P &amp; NP'!BW503</f>
        <v>0</v>
      </c>
      <c r="L26" s="206">
        <f>'P &amp; NP'!BX503</f>
        <v>0</v>
      </c>
      <c r="M26" s="206">
        <f>'P &amp; NP'!CM503</f>
        <v>0</v>
      </c>
      <c r="N26" s="206">
        <f>'P &amp; NP'!CN503</f>
        <v>0</v>
      </c>
      <c r="O26" s="206">
        <f>'P &amp; NP'!DC503</f>
        <v>29505.000366</v>
      </c>
      <c r="P26" s="206">
        <f>'P &amp; NP'!DD503</f>
        <v>741026.01500000001</v>
      </c>
      <c r="Q26" s="206">
        <f>'P &amp; NP'!DS503</f>
        <v>0</v>
      </c>
      <c r="R26" s="206">
        <f>'P &amp; NP'!DT503</f>
        <v>0</v>
      </c>
      <c r="S26" s="206">
        <f>'P &amp; NP'!EI503</f>
        <v>0</v>
      </c>
      <c r="T26" s="206">
        <f>'P &amp; NP'!EJ503</f>
        <v>0</v>
      </c>
      <c r="U26" s="206">
        <f>'P &amp; NP'!EY503</f>
        <v>0</v>
      </c>
      <c r="V26" s="206">
        <f>'P &amp; NP'!EZ503</f>
        <v>0</v>
      </c>
      <c r="W26" s="206">
        <f>'P &amp; NP'!FO503</f>
        <v>0</v>
      </c>
      <c r="X26" s="206">
        <f>'P &amp; NP'!FP503</f>
        <v>0</v>
      </c>
      <c r="Y26" s="206">
        <f>'P &amp; NP'!GE503</f>
        <v>0</v>
      </c>
      <c r="Z26" s="206">
        <f>'P &amp; NP'!GF503</f>
        <v>0</v>
      </c>
      <c r="AA26" s="206">
        <f>'P &amp; NP'!GU503</f>
        <v>0</v>
      </c>
      <c r="AB26" s="206">
        <f>'P &amp; NP'!GV503</f>
        <v>0</v>
      </c>
      <c r="AC26" s="206">
        <f>'P &amp; NP'!HK503</f>
        <v>0</v>
      </c>
      <c r="AD26" s="206">
        <f>'P &amp; NP'!HL503</f>
        <v>0</v>
      </c>
      <c r="AE26" s="206">
        <f>'P &amp; NP'!IA503</f>
        <v>0</v>
      </c>
      <c r="AF26" s="206">
        <f>'P &amp; NP'!IB503</f>
        <v>0</v>
      </c>
      <c r="AG26" s="206">
        <f>'P &amp; NP'!IQ503</f>
        <v>0</v>
      </c>
      <c r="AH26" s="206">
        <f>'P &amp; NP'!IR503</f>
        <v>0</v>
      </c>
      <c r="AI26" s="206">
        <f>'P &amp; NP'!JG503</f>
        <v>0</v>
      </c>
      <c r="AJ26" s="206">
        <f>'P &amp; NP'!JH503</f>
        <v>0</v>
      </c>
      <c r="AK26" s="206">
        <f>'P &amp; NP'!JW503</f>
        <v>0</v>
      </c>
      <c r="AL26" s="206">
        <f>'P &amp; NP'!JX503</f>
        <v>0</v>
      </c>
      <c r="AM26" s="206">
        <f>'P &amp; NP'!KM503</f>
        <v>0</v>
      </c>
      <c r="AN26" s="206">
        <f>'P &amp; NP'!KN503</f>
        <v>0</v>
      </c>
      <c r="AO26" s="206">
        <f>'P &amp; NP'!LC503</f>
        <v>0</v>
      </c>
      <c r="AP26" s="206">
        <f>'P &amp; NP'!LD503</f>
        <v>0</v>
      </c>
      <c r="AQ26" s="206">
        <f>'P &amp; NP'!LS503</f>
        <v>0</v>
      </c>
      <c r="AR26" s="206">
        <f>'P &amp; NP'!LT503</f>
        <v>0</v>
      </c>
      <c r="AS26" s="206">
        <f>'P &amp; NP'!MI503</f>
        <v>0</v>
      </c>
      <c r="AT26" s="206">
        <f>'P &amp; NP'!MJ503</f>
        <v>0</v>
      </c>
      <c r="AU26" s="206">
        <f>'P &amp; NP'!MY503</f>
        <v>0</v>
      </c>
      <c r="AV26" s="206">
        <f>'P &amp; NP'!MZ503</f>
        <v>0</v>
      </c>
      <c r="AW26" s="206">
        <f>'P &amp; NP'!NO503</f>
        <v>771400</v>
      </c>
      <c r="AX26" s="206">
        <f>'P &amp; NP'!NP503</f>
        <v>13885200</v>
      </c>
      <c r="AY26" s="206">
        <f>'P &amp; NP'!OE503</f>
        <v>0</v>
      </c>
      <c r="AZ26" s="206">
        <f>'P &amp; NP'!OF503</f>
        <v>0</v>
      </c>
      <c r="BA26" s="206">
        <f>'P &amp; NP'!OU503</f>
        <v>0</v>
      </c>
      <c r="BB26" s="206">
        <f>'P &amp; NP'!OV503</f>
        <v>0</v>
      </c>
      <c r="BC26" s="206">
        <f>'P &amp; NP'!PK503</f>
        <v>0</v>
      </c>
      <c r="BD26" s="206">
        <f>'P &amp; NP'!PL503</f>
        <v>0</v>
      </c>
      <c r="BE26" s="206">
        <f>'P &amp; NP'!QA503</f>
        <v>1800760</v>
      </c>
      <c r="BF26" s="206">
        <f>'P &amp; NP'!QB503</f>
        <v>32129700</v>
      </c>
      <c r="BG26" s="206">
        <f>'P &amp; NP'!QQ503</f>
        <v>0</v>
      </c>
      <c r="BH26" s="206">
        <f>'P &amp; NP'!QR503</f>
        <v>0</v>
      </c>
      <c r="BI26" s="206">
        <f>'P &amp; NP'!RG503</f>
        <v>0</v>
      </c>
      <c r="BJ26" s="206">
        <f>'P &amp; NP'!RH503</f>
        <v>0</v>
      </c>
      <c r="BK26" s="206">
        <f>'P &amp; NP'!RW503</f>
        <v>0</v>
      </c>
      <c r="BL26" s="206">
        <f>'P &amp; NP'!RX503</f>
        <v>0</v>
      </c>
      <c r="BM26" s="206">
        <f>'P &amp; NP'!SM503</f>
        <v>0</v>
      </c>
      <c r="BN26" s="206">
        <f>'P &amp; NP'!SN503</f>
        <v>0</v>
      </c>
      <c r="BO26" s="206">
        <f>'P &amp; NP'!TC503</f>
        <v>0</v>
      </c>
      <c r="BP26" s="206">
        <f>'P &amp; NP'!TD503</f>
        <v>0</v>
      </c>
      <c r="BQ26" s="206">
        <f>'P &amp; NP'!TS503</f>
        <v>0</v>
      </c>
      <c r="BR26" s="206">
        <f>'P &amp; NP'!TT503</f>
        <v>0</v>
      </c>
      <c r="BS26" s="206">
        <f>'P &amp; NP'!UI503</f>
        <v>0</v>
      </c>
      <c r="BT26" s="206">
        <f>'P &amp; NP'!UJ503</f>
        <v>0</v>
      </c>
      <c r="BU26" s="206">
        <f>'P &amp; NP'!UY503</f>
        <v>0</v>
      </c>
      <c r="BV26" s="206">
        <f>'P &amp; NP'!UZ503</f>
        <v>0</v>
      </c>
      <c r="BW26" s="206">
        <f>'P &amp; NP'!VO503</f>
        <v>0</v>
      </c>
      <c r="BX26" s="206">
        <f>'P &amp; NP'!VP503</f>
        <v>0</v>
      </c>
      <c r="BY26" s="206">
        <f>'P &amp; NP'!WE503</f>
        <v>0</v>
      </c>
      <c r="BZ26" s="206">
        <f>'P &amp; NP'!WF503</f>
        <v>0</v>
      </c>
      <c r="CB26" s="206">
        <f t="shared" si="2"/>
        <v>2684986.000366</v>
      </c>
      <c r="CC26" s="206">
        <f t="shared" si="3"/>
        <v>48664051.015000001</v>
      </c>
    </row>
    <row r="27" spans="2:81">
      <c r="B27" s="207" t="str">
        <f>'P &amp; NP'!B33</f>
        <v xml:space="preserve">Patin </v>
      </c>
      <c r="C27" s="209">
        <f>'P &amp; NP'!K504</f>
        <v>0</v>
      </c>
      <c r="D27" s="209">
        <f>'P &amp; NP'!L504</f>
        <v>0</v>
      </c>
      <c r="E27" s="209">
        <f>'P &amp; NP'!AA504</f>
        <v>0</v>
      </c>
      <c r="F27" s="209">
        <f>'P &amp; NP'!AB504</f>
        <v>0</v>
      </c>
      <c r="G27" s="209">
        <f>'P &amp; NP'!AQ504</f>
        <v>0</v>
      </c>
      <c r="H27" s="209">
        <f>'P &amp; NP'!AR504</f>
        <v>0</v>
      </c>
      <c r="I27" s="209">
        <f>'P &amp; NP'!BG504</f>
        <v>0</v>
      </c>
      <c r="J27" s="209">
        <f>'P &amp; NP'!BH504</f>
        <v>0</v>
      </c>
      <c r="K27" s="206">
        <f>'P &amp; NP'!BW504</f>
        <v>0</v>
      </c>
      <c r="L27" s="206">
        <f>'P &amp; NP'!BX504</f>
        <v>0</v>
      </c>
      <c r="M27" s="206">
        <f>'P &amp; NP'!CM504</f>
        <v>0</v>
      </c>
      <c r="N27" s="206">
        <f>'P &amp; NP'!CN504</f>
        <v>0</v>
      </c>
      <c r="O27" s="206">
        <f>'P &amp; NP'!DC504</f>
        <v>0</v>
      </c>
      <c r="P27" s="206">
        <f>'P &amp; NP'!DD504</f>
        <v>0</v>
      </c>
      <c r="Q27" s="206">
        <f>'P &amp; NP'!DS504</f>
        <v>0</v>
      </c>
      <c r="R27" s="206">
        <f>'P &amp; NP'!DT504</f>
        <v>0</v>
      </c>
      <c r="S27" s="206">
        <f>'P &amp; NP'!EI504</f>
        <v>0</v>
      </c>
      <c r="T27" s="206">
        <f>'P &amp; NP'!EJ504</f>
        <v>0</v>
      </c>
      <c r="U27" s="206">
        <f>'P &amp; NP'!EY504</f>
        <v>0</v>
      </c>
      <c r="V27" s="206">
        <f>'P &amp; NP'!EZ504</f>
        <v>0</v>
      </c>
      <c r="W27" s="206">
        <f>'P &amp; NP'!FO504</f>
        <v>0</v>
      </c>
      <c r="X27" s="206">
        <f>'P &amp; NP'!FP504</f>
        <v>0</v>
      </c>
      <c r="Y27" s="206">
        <f>'P &amp; NP'!GE504</f>
        <v>0</v>
      </c>
      <c r="Z27" s="206">
        <f>'P &amp; NP'!GF504</f>
        <v>0</v>
      </c>
      <c r="AA27" s="206">
        <f>'P &amp; NP'!GU504</f>
        <v>0</v>
      </c>
      <c r="AB27" s="206">
        <f>'P &amp; NP'!GV504</f>
        <v>0</v>
      </c>
      <c r="AC27" s="206">
        <f>'P &amp; NP'!HK504</f>
        <v>0</v>
      </c>
      <c r="AD27" s="206">
        <f>'P &amp; NP'!HL504</f>
        <v>0</v>
      </c>
      <c r="AE27" s="206">
        <f>'P &amp; NP'!IA504</f>
        <v>0</v>
      </c>
      <c r="AF27" s="206">
        <f>'P &amp; NP'!IB504</f>
        <v>0</v>
      </c>
      <c r="AG27" s="206">
        <f>'P &amp; NP'!IQ504</f>
        <v>0</v>
      </c>
      <c r="AH27" s="206">
        <f>'P &amp; NP'!IR504</f>
        <v>0</v>
      </c>
      <c r="AI27" s="206">
        <f>'P &amp; NP'!JG504</f>
        <v>0</v>
      </c>
      <c r="AJ27" s="206">
        <f>'P &amp; NP'!JH504</f>
        <v>0</v>
      </c>
      <c r="AK27" s="206">
        <f>'P &amp; NP'!JW504</f>
        <v>0</v>
      </c>
      <c r="AL27" s="206">
        <f>'P &amp; NP'!JX504</f>
        <v>0</v>
      </c>
      <c r="AM27" s="206">
        <f>'P &amp; NP'!KM504</f>
        <v>0</v>
      </c>
      <c r="AN27" s="206">
        <f>'P &amp; NP'!KN504</f>
        <v>0</v>
      </c>
      <c r="AO27" s="206">
        <f>'P &amp; NP'!LC504</f>
        <v>0</v>
      </c>
      <c r="AP27" s="206">
        <f>'P &amp; NP'!LD504</f>
        <v>0</v>
      </c>
      <c r="AQ27" s="206">
        <f>'P &amp; NP'!LS504</f>
        <v>0</v>
      </c>
      <c r="AR27" s="206">
        <f>'P &amp; NP'!LT504</f>
        <v>0</v>
      </c>
      <c r="AS27" s="206">
        <f>'P &amp; NP'!MI504</f>
        <v>0</v>
      </c>
      <c r="AT27" s="206">
        <f>'P &amp; NP'!MJ504</f>
        <v>0</v>
      </c>
      <c r="AU27" s="206">
        <f>'P &amp; NP'!MY504</f>
        <v>0</v>
      </c>
      <c r="AV27" s="206">
        <f>'P &amp; NP'!MZ504</f>
        <v>0</v>
      </c>
      <c r="AW27" s="206">
        <f>'P &amp; NP'!NO504</f>
        <v>0</v>
      </c>
      <c r="AX27" s="206">
        <f>'P &amp; NP'!NP504</f>
        <v>0</v>
      </c>
      <c r="AY27" s="206">
        <f>'P &amp; NP'!OE504</f>
        <v>0</v>
      </c>
      <c r="AZ27" s="206">
        <f>'P &amp; NP'!OF504</f>
        <v>0</v>
      </c>
      <c r="BA27" s="206">
        <f>'P &amp; NP'!OU504</f>
        <v>0</v>
      </c>
      <c r="BB27" s="206">
        <f>'P &amp; NP'!OV504</f>
        <v>0</v>
      </c>
      <c r="BC27" s="206">
        <f>'P &amp; NP'!PK504</f>
        <v>0</v>
      </c>
      <c r="BD27" s="206">
        <f>'P &amp; NP'!PL504</f>
        <v>0</v>
      </c>
      <c r="BE27" s="206">
        <f>'P &amp; NP'!QA504</f>
        <v>12990</v>
      </c>
      <c r="BF27" s="206">
        <f>'P &amp; NP'!QB504</f>
        <v>194850</v>
      </c>
      <c r="BG27" s="206">
        <f>'P &amp; NP'!QQ504</f>
        <v>0</v>
      </c>
      <c r="BH27" s="206">
        <f>'P &amp; NP'!QR504</f>
        <v>0</v>
      </c>
      <c r="BI27" s="206">
        <f>'P &amp; NP'!RG504</f>
        <v>0</v>
      </c>
      <c r="BJ27" s="206">
        <f>'P &amp; NP'!RH504</f>
        <v>0</v>
      </c>
      <c r="BK27" s="206">
        <f>'P &amp; NP'!RW504</f>
        <v>0</v>
      </c>
      <c r="BL27" s="206">
        <f>'P &amp; NP'!RX504</f>
        <v>0</v>
      </c>
      <c r="BM27" s="206">
        <f>'P &amp; NP'!SM504</f>
        <v>0</v>
      </c>
      <c r="BN27" s="206">
        <f>'P &amp; NP'!SN504</f>
        <v>0</v>
      </c>
      <c r="BO27" s="206">
        <f>'P &amp; NP'!TC504</f>
        <v>0</v>
      </c>
      <c r="BP27" s="206">
        <f>'P &amp; NP'!TD504</f>
        <v>0</v>
      </c>
      <c r="BQ27" s="206">
        <f>'P &amp; NP'!TS504</f>
        <v>0</v>
      </c>
      <c r="BR27" s="206">
        <f>'P &amp; NP'!TT504</f>
        <v>0</v>
      </c>
      <c r="BS27" s="206">
        <f>'P &amp; NP'!UI504</f>
        <v>0</v>
      </c>
      <c r="BT27" s="206">
        <f>'P &amp; NP'!UJ504</f>
        <v>0</v>
      </c>
      <c r="BU27" s="206">
        <f>'P &amp; NP'!UY504</f>
        <v>0</v>
      </c>
      <c r="BV27" s="206">
        <f>'P &amp; NP'!UZ504</f>
        <v>0</v>
      </c>
      <c r="BW27" s="206">
        <f>'P &amp; NP'!VO504</f>
        <v>0</v>
      </c>
      <c r="BX27" s="206">
        <f>'P &amp; NP'!VP504</f>
        <v>0</v>
      </c>
      <c r="BY27" s="206">
        <f>'P &amp; NP'!WE504</f>
        <v>0</v>
      </c>
      <c r="BZ27" s="206">
        <f>'P &amp; NP'!WF504</f>
        <v>0</v>
      </c>
      <c r="CB27" s="206">
        <f t="shared" si="2"/>
        <v>12990</v>
      </c>
      <c r="CC27" s="206">
        <f t="shared" si="3"/>
        <v>194850</v>
      </c>
    </row>
    <row r="28" spans="2:81">
      <c r="B28" s="207" t="str">
        <f>'P &amp; NP'!B34</f>
        <v xml:space="preserve">Rajungan </v>
      </c>
      <c r="C28" s="209">
        <f>'P &amp; NP'!K505</f>
        <v>0</v>
      </c>
      <c r="D28" s="209">
        <f>'P &amp; NP'!L505</f>
        <v>0</v>
      </c>
      <c r="E28" s="209">
        <f>'P &amp; NP'!AA505</f>
        <v>0</v>
      </c>
      <c r="F28" s="209">
        <f>'P &amp; NP'!AB505</f>
        <v>0</v>
      </c>
      <c r="G28" s="209">
        <f>'P &amp; NP'!AQ505</f>
        <v>0</v>
      </c>
      <c r="H28" s="209">
        <f>'P &amp; NP'!AR505</f>
        <v>0</v>
      </c>
      <c r="I28" s="209">
        <f>'P &amp; NP'!BG505</f>
        <v>0</v>
      </c>
      <c r="J28" s="209">
        <f>'P &amp; NP'!BH505</f>
        <v>0</v>
      </c>
      <c r="K28" s="206">
        <f>'P &amp; NP'!BW505</f>
        <v>0</v>
      </c>
      <c r="L28" s="206">
        <f>'P &amp; NP'!BX505</f>
        <v>0</v>
      </c>
      <c r="M28" s="206">
        <f>'P &amp; NP'!CM505</f>
        <v>0</v>
      </c>
      <c r="N28" s="206">
        <f>'P &amp; NP'!CN505</f>
        <v>0</v>
      </c>
      <c r="O28" s="206">
        <f>'P &amp; NP'!DC505</f>
        <v>0</v>
      </c>
      <c r="P28" s="206">
        <f>'P &amp; NP'!DD505</f>
        <v>0</v>
      </c>
      <c r="Q28" s="206">
        <f>'P &amp; NP'!DS505</f>
        <v>0</v>
      </c>
      <c r="R28" s="206">
        <f>'P &amp; NP'!DT505</f>
        <v>0</v>
      </c>
      <c r="S28" s="206">
        <f>'P &amp; NP'!EI505</f>
        <v>0</v>
      </c>
      <c r="T28" s="206">
        <f>'P &amp; NP'!EJ505</f>
        <v>0</v>
      </c>
      <c r="U28" s="206">
        <f>'P &amp; NP'!EY505</f>
        <v>0</v>
      </c>
      <c r="V28" s="206">
        <f>'P &amp; NP'!EZ505</f>
        <v>0</v>
      </c>
      <c r="W28" s="206">
        <f>'P &amp; NP'!FO505</f>
        <v>0</v>
      </c>
      <c r="X28" s="206">
        <f>'P &amp; NP'!FP505</f>
        <v>0</v>
      </c>
      <c r="Y28" s="206">
        <f>'P &amp; NP'!GE505</f>
        <v>0</v>
      </c>
      <c r="Z28" s="206">
        <f>'P &amp; NP'!GF505</f>
        <v>0</v>
      </c>
      <c r="AA28" s="206">
        <f>'P &amp; NP'!GU505</f>
        <v>0</v>
      </c>
      <c r="AB28" s="206">
        <f>'P &amp; NP'!GV505</f>
        <v>0</v>
      </c>
      <c r="AC28" s="206">
        <f>'P &amp; NP'!HK505</f>
        <v>0</v>
      </c>
      <c r="AD28" s="206">
        <f>'P &amp; NP'!HL505</f>
        <v>0</v>
      </c>
      <c r="AE28" s="206">
        <f>'P &amp; NP'!IA505</f>
        <v>0</v>
      </c>
      <c r="AF28" s="206">
        <f>'P &amp; NP'!IB505</f>
        <v>0</v>
      </c>
      <c r="AG28" s="206">
        <f>'P &amp; NP'!IQ505</f>
        <v>0</v>
      </c>
      <c r="AH28" s="206">
        <f>'P &amp; NP'!IR505</f>
        <v>0</v>
      </c>
      <c r="AI28" s="206">
        <f>'P &amp; NP'!JG505</f>
        <v>0</v>
      </c>
      <c r="AJ28" s="206">
        <f>'P &amp; NP'!JH505</f>
        <v>0</v>
      </c>
      <c r="AK28" s="206">
        <f>'P &amp; NP'!JW505</f>
        <v>0</v>
      </c>
      <c r="AL28" s="206">
        <f>'P &amp; NP'!JX505</f>
        <v>0</v>
      </c>
      <c r="AM28" s="206">
        <f>'P &amp; NP'!KM505</f>
        <v>0</v>
      </c>
      <c r="AN28" s="206">
        <f>'P &amp; NP'!KN505</f>
        <v>0</v>
      </c>
      <c r="AO28" s="206">
        <f>'P &amp; NP'!LC505</f>
        <v>0</v>
      </c>
      <c r="AP28" s="206">
        <f>'P &amp; NP'!LD505</f>
        <v>0</v>
      </c>
      <c r="AQ28" s="206">
        <f>'P &amp; NP'!LS505</f>
        <v>0</v>
      </c>
      <c r="AR28" s="206">
        <f>'P &amp; NP'!LT505</f>
        <v>0</v>
      </c>
      <c r="AS28" s="206">
        <f>'P &amp; NP'!MI505</f>
        <v>0</v>
      </c>
      <c r="AT28" s="206">
        <f>'P &amp; NP'!MJ505</f>
        <v>0</v>
      </c>
      <c r="AU28" s="206">
        <f>'P &amp; NP'!MY505</f>
        <v>0</v>
      </c>
      <c r="AV28" s="206">
        <f>'P &amp; NP'!MZ505</f>
        <v>0</v>
      </c>
      <c r="AW28" s="206">
        <f>'P &amp; NP'!NO505</f>
        <v>0</v>
      </c>
      <c r="AX28" s="206">
        <f>'P &amp; NP'!NP505</f>
        <v>0</v>
      </c>
      <c r="AY28" s="206">
        <f>'P &amp; NP'!OE505</f>
        <v>0</v>
      </c>
      <c r="AZ28" s="206">
        <f>'P &amp; NP'!OF505</f>
        <v>0</v>
      </c>
      <c r="BA28" s="206">
        <f>'P &amp; NP'!OU505</f>
        <v>0</v>
      </c>
      <c r="BB28" s="206">
        <f>'P &amp; NP'!OV505</f>
        <v>0</v>
      </c>
      <c r="BC28" s="206">
        <f>'P &amp; NP'!PK505</f>
        <v>0</v>
      </c>
      <c r="BD28" s="206">
        <f>'P &amp; NP'!PL505</f>
        <v>0</v>
      </c>
      <c r="BE28" s="206">
        <f>'P &amp; NP'!QA505</f>
        <v>0</v>
      </c>
      <c r="BF28" s="206">
        <f>'P &amp; NP'!QB505</f>
        <v>0</v>
      </c>
      <c r="BG28" s="206">
        <f>'P &amp; NP'!QQ505</f>
        <v>0</v>
      </c>
      <c r="BH28" s="206">
        <f>'P &amp; NP'!QR505</f>
        <v>0</v>
      </c>
      <c r="BI28" s="206">
        <f>'P &amp; NP'!RG505</f>
        <v>0</v>
      </c>
      <c r="BJ28" s="206">
        <f>'P &amp; NP'!RH505</f>
        <v>0</v>
      </c>
      <c r="BK28" s="206">
        <f>'P &amp; NP'!RW505</f>
        <v>0</v>
      </c>
      <c r="BL28" s="206">
        <f>'P &amp; NP'!RX505</f>
        <v>0</v>
      </c>
      <c r="BM28" s="206">
        <f>'P &amp; NP'!SM505</f>
        <v>0</v>
      </c>
      <c r="BN28" s="206">
        <f>'P &amp; NP'!SN505</f>
        <v>0</v>
      </c>
      <c r="BO28" s="206">
        <f>'P &amp; NP'!TC505</f>
        <v>0</v>
      </c>
      <c r="BP28" s="206">
        <f>'P &amp; NP'!TD505</f>
        <v>0</v>
      </c>
      <c r="BQ28" s="206">
        <f>'P &amp; NP'!TS505</f>
        <v>0</v>
      </c>
      <c r="BR28" s="206">
        <f>'P &amp; NP'!TT505</f>
        <v>0</v>
      </c>
      <c r="BS28" s="206">
        <f>'P &amp; NP'!UI505</f>
        <v>0</v>
      </c>
      <c r="BT28" s="206">
        <f>'P &amp; NP'!UJ505</f>
        <v>0</v>
      </c>
      <c r="BU28" s="206">
        <f>'P &amp; NP'!UY505</f>
        <v>0</v>
      </c>
      <c r="BV28" s="206">
        <f>'P &amp; NP'!UZ505</f>
        <v>0</v>
      </c>
      <c r="BW28" s="206">
        <f>'P &amp; NP'!VO505</f>
        <v>0</v>
      </c>
      <c r="BX28" s="206">
        <f>'P &amp; NP'!VP505</f>
        <v>0</v>
      </c>
      <c r="BY28" s="206">
        <f>'P &amp; NP'!WE505</f>
        <v>0</v>
      </c>
      <c r="BZ28" s="206">
        <f>'P &amp; NP'!WF505</f>
        <v>0</v>
      </c>
      <c r="CB28" s="206">
        <f t="shared" si="2"/>
        <v>0</v>
      </c>
      <c r="CC28" s="206">
        <f t="shared" si="3"/>
        <v>0</v>
      </c>
    </row>
    <row r="29" spans="2:81">
      <c r="B29" s="207" t="str">
        <f>'P &amp; NP'!B35</f>
        <v>Tawes</v>
      </c>
      <c r="C29" s="209">
        <f>'P &amp; NP'!K506</f>
        <v>0</v>
      </c>
      <c r="D29" s="209">
        <f>'P &amp; NP'!L506</f>
        <v>0</v>
      </c>
      <c r="E29" s="209">
        <f>'P &amp; NP'!AA506</f>
        <v>0</v>
      </c>
      <c r="F29" s="209">
        <f>'P &amp; NP'!AB506</f>
        <v>0</v>
      </c>
      <c r="G29" s="209">
        <f>'P &amp; NP'!AQ506</f>
        <v>0</v>
      </c>
      <c r="H29" s="209">
        <f>'P &amp; NP'!AR506</f>
        <v>0</v>
      </c>
      <c r="I29" s="209">
        <f>'P &amp; NP'!BG506</f>
        <v>17321</v>
      </c>
      <c r="J29" s="209">
        <f>'P &amp; NP'!BH506</f>
        <v>173210</v>
      </c>
      <c r="K29" s="206">
        <f>'P &amp; NP'!BW506</f>
        <v>0</v>
      </c>
      <c r="L29" s="206">
        <f>'P &amp; NP'!BX506</f>
        <v>0</v>
      </c>
      <c r="M29" s="206">
        <f>'P &amp; NP'!CM506</f>
        <v>0</v>
      </c>
      <c r="N29" s="206">
        <f>'P &amp; NP'!CN506</f>
        <v>0</v>
      </c>
      <c r="O29" s="206">
        <f>'P &amp; NP'!DC506</f>
        <v>0</v>
      </c>
      <c r="P29" s="206">
        <f>'P &amp; NP'!DD506</f>
        <v>0</v>
      </c>
      <c r="Q29" s="206">
        <f>'P &amp; NP'!DS506</f>
        <v>0</v>
      </c>
      <c r="R29" s="206">
        <f>'P &amp; NP'!DT506</f>
        <v>0</v>
      </c>
      <c r="S29" s="206">
        <f>'P &amp; NP'!EI506</f>
        <v>0</v>
      </c>
      <c r="T29" s="206">
        <f>'P &amp; NP'!EJ506</f>
        <v>0</v>
      </c>
      <c r="U29" s="206">
        <f>'P &amp; NP'!EY506</f>
        <v>0</v>
      </c>
      <c r="V29" s="206">
        <f>'P &amp; NP'!EZ506</f>
        <v>0</v>
      </c>
      <c r="W29" s="206">
        <f>'P &amp; NP'!FO506</f>
        <v>0</v>
      </c>
      <c r="X29" s="206">
        <f>'P &amp; NP'!FP506</f>
        <v>0</v>
      </c>
      <c r="Y29" s="206">
        <f>'P &amp; NP'!GE506</f>
        <v>0</v>
      </c>
      <c r="Z29" s="206">
        <f>'P &amp; NP'!GF506</f>
        <v>0</v>
      </c>
      <c r="AA29" s="206">
        <f>'P &amp; NP'!GU506</f>
        <v>0</v>
      </c>
      <c r="AB29" s="206">
        <f>'P &amp; NP'!GV506</f>
        <v>0</v>
      </c>
      <c r="AC29" s="206">
        <f>'P &amp; NP'!HK506</f>
        <v>0</v>
      </c>
      <c r="AD29" s="206">
        <f>'P &amp; NP'!HL506</f>
        <v>0</v>
      </c>
      <c r="AE29" s="206">
        <f>'P &amp; NP'!IA506</f>
        <v>0</v>
      </c>
      <c r="AF29" s="206">
        <f>'P &amp; NP'!IB506</f>
        <v>0</v>
      </c>
      <c r="AG29" s="206">
        <f>'P &amp; NP'!IQ506</f>
        <v>0</v>
      </c>
      <c r="AH29" s="206">
        <f>'P &amp; NP'!IR506</f>
        <v>0</v>
      </c>
      <c r="AI29" s="206">
        <f>'P &amp; NP'!JG506</f>
        <v>0</v>
      </c>
      <c r="AJ29" s="206">
        <f>'P &amp; NP'!JH506</f>
        <v>0</v>
      </c>
      <c r="AK29" s="206">
        <f>'P &amp; NP'!JW506</f>
        <v>0</v>
      </c>
      <c r="AL29" s="206">
        <f>'P &amp; NP'!JX506</f>
        <v>0</v>
      </c>
      <c r="AM29" s="206">
        <f>'P &amp; NP'!KM506</f>
        <v>0</v>
      </c>
      <c r="AN29" s="206">
        <f>'P &amp; NP'!KN506</f>
        <v>0</v>
      </c>
      <c r="AO29" s="206">
        <f>'P &amp; NP'!LC506</f>
        <v>0</v>
      </c>
      <c r="AP29" s="206">
        <f>'P &amp; NP'!LD506</f>
        <v>0</v>
      </c>
      <c r="AQ29" s="206">
        <f>'P &amp; NP'!LS506</f>
        <v>0</v>
      </c>
      <c r="AR29" s="206">
        <f>'P &amp; NP'!LT506</f>
        <v>0</v>
      </c>
      <c r="AS29" s="206">
        <f>'P &amp; NP'!MI506</f>
        <v>0</v>
      </c>
      <c r="AT29" s="206">
        <f>'P &amp; NP'!MJ506</f>
        <v>0</v>
      </c>
      <c r="AU29" s="206">
        <f>'P &amp; NP'!MY506</f>
        <v>0</v>
      </c>
      <c r="AV29" s="206">
        <f>'P &amp; NP'!MZ506</f>
        <v>0</v>
      </c>
      <c r="AW29" s="206">
        <f>'P &amp; NP'!NO506</f>
        <v>0</v>
      </c>
      <c r="AX29" s="206">
        <f>'P &amp; NP'!NP506</f>
        <v>0</v>
      </c>
      <c r="AY29" s="206">
        <f>'P &amp; NP'!OE506</f>
        <v>0</v>
      </c>
      <c r="AZ29" s="206">
        <f>'P &amp; NP'!OF506</f>
        <v>0</v>
      </c>
      <c r="BA29" s="206">
        <f>'P &amp; NP'!OU506</f>
        <v>0</v>
      </c>
      <c r="BB29" s="206">
        <f>'P &amp; NP'!OV506</f>
        <v>0</v>
      </c>
      <c r="BC29" s="206">
        <f>'P &amp; NP'!PK506</f>
        <v>0</v>
      </c>
      <c r="BD29" s="206">
        <f>'P &amp; NP'!PL506</f>
        <v>0</v>
      </c>
      <c r="BE29" s="206">
        <f>'P &amp; NP'!QA506</f>
        <v>1534880</v>
      </c>
      <c r="BF29" s="206">
        <f>'P &amp; NP'!QB506</f>
        <v>22176870</v>
      </c>
      <c r="BG29" s="206">
        <f>'P &amp; NP'!QQ506</f>
        <v>0</v>
      </c>
      <c r="BH29" s="206">
        <f>'P &amp; NP'!QR506</f>
        <v>0</v>
      </c>
      <c r="BI29" s="206">
        <f>'P &amp; NP'!RG506</f>
        <v>0</v>
      </c>
      <c r="BJ29" s="206">
        <f>'P &amp; NP'!RH506</f>
        <v>0</v>
      </c>
      <c r="BK29" s="206">
        <f>'P &amp; NP'!RW506</f>
        <v>0</v>
      </c>
      <c r="BL29" s="206">
        <f>'P &amp; NP'!RX506</f>
        <v>0</v>
      </c>
      <c r="BM29" s="206">
        <f>'P &amp; NP'!SM506</f>
        <v>0</v>
      </c>
      <c r="BN29" s="206">
        <f>'P &amp; NP'!SN506</f>
        <v>0</v>
      </c>
      <c r="BO29" s="206">
        <f>'P &amp; NP'!TC506</f>
        <v>0</v>
      </c>
      <c r="BP29" s="206">
        <f>'P &amp; NP'!TD506</f>
        <v>0</v>
      </c>
      <c r="BQ29" s="206">
        <f>'P &amp; NP'!TS506</f>
        <v>0</v>
      </c>
      <c r="BR29" s="206">
        <f>'P &amp; NP'!TT506</f>
        <v>0</v>
      </c>
      <c r="BS29" s="206">
        <f>'P &amp; NP'!UI506</f>
        <v>0</v>
      </c>
      <c r="BT29" s="206">
        <f>'P &amp; NP'!UJ506</f>
        <v>0</v>
      </c>
      <c r="BU29" s="206">
        <f>'P &amp; NP'!UY506</f>
        <v>0</v>
      </c>
      <c r="BV29" s="206">
        <f>'P &amp; NP'!UZ506</f>
        <v>0</v>
      </c>
      <c r="BW29" s="206">
        <f>'P &amp; NP'!VO506</f>
        <v>0</v>
      </c>
      <c r="BX29" s="206">
        <f>'P &amp; NP'!VP506</f>
        <v>0</v>
      </c>
      <c r="BY29" s="206">
        <f>'P &amp; NP'!WE506</f>
        <v>0</v>
      </c>
      <c r="BZ29" s="206">
        <f>'P &amp; NP'!WF506</f>
        <v>0</v>
      </c>
      <c r="CB29" s="206">
        <f t="shared" si="2"/>
        <v>1552201</v>
      </c>
      <c r="CC29" s="206">
        <f t="shared" si="3"/>
        <v>22350080</v>
      </c>
    </row>
    <row r="30" spans="2:81">
      <c r="B30" s="207" t="str">
        <f>'P &amp; NP'!B36</f>
        <v>Teri</v>
      </c>
      <c r="C30" s="209">
        <f>'P &amp; NP'!K507</f>
        <v>0</v>
      </c>
      <c r="D30" s="209">
        <f>'P &amp; NP'!L507</f>
        <v>0</v>
      </c>
      <c r="E30" s="209">
        <f>'P &amp; NP'!AA507</f>
        <v>0</v>
      </c>
      <c r="F30" s="209">
        <f>'P &amp; NP'!AB507</f>
        <v>0</v>
      </c>
      <c r="G30" s="209">
        <f>'P &amp; NP'!AQ507</f>
        <v>0</v>
      </c>
      <c r="H30" s="209">
        <f>'P &amp; NP'!AR507</f>
        <v>0</v>
      </c>
      <c r="I30" s="209">
        <f>'P &amp; NP'!BG507</f>
        <v>0</v>
      </c>
      <c r="J30" s="209">
        <f>'P &amp; NP'!BH507</f>
        <v>0</v>
      </c>
      <c r="K30" s="206">
        <f>'P &amp; NP'!BW507</f>
        <v>0</v>
      </c>
      <c r="L30" s="206">
        <f>'P &amp; NP'!BX507</f>
        <v>0</v>
      </c>
      <c r="M30" s="206">
        <f>'P &amp; NP'!CM507</f>
        <v>0</v>
      </c>
      <c r="N30" s="206">
        <f>'P &amp; NP'!CN507</f>
        <v>0</v>
      </c>
      <c r="O30" s="206">
        <f>'P &amp; NP'!DC507</f>
        <v>0</v>
      </c>
      <c r="P30" s="206">
        <f>'P &amp; NP'!DD507</f>
        <v>0</v>
      </c>
      <c r="Q30" s="206">
        <f>'P &amp; NP'!DS507</f>
        <v>0</v>
      </c>
      <c r="R30" s="206">
        <f>'P &amp; NP'!DT507</f>
        <v>0</v>
      </c>
      <c r="S30" s="206">
        <f>'P &amp; NP'!EI507</f>
        <v>0</v>
      </c>
      <c r="T30" s="206">
        <f>'P &amp; NP'!EJ507</f>
        <v>0</v>
      </c>
      <c r="U30" s="206">
        <f>'P &amp; NP'!EY507</f>
        <v>0</v>
      </c>
      <c r="V30" s="206">
        <f>'P &amp; NP'!EZ507</f>
        <v>0</v>
      </c>
      <c r="W30" s="206">
        <f>'P &amp; NP'!FO507</f>
        <v>0</v>
      </c>
      <c r="X30" s="206">
        <f>'P &amp; NP'!FP507</f>
        <v>0</v>
      </c>
      <c r="Y30" s="206">
        <f>'P &amp; NP'!GE507</f>
        <v>0</v>
      </c>
      <c r="Z30" s="206">
        <f>'P &amp; NP'!GF507</f>
        <v>0</v>
      </c>
      <c r="AA30" s="206">
        <f>'P &amp; NP'!GU507</f>
        <v>0</v>
      </c>
      <c r="AB30" s="206">
        <f>'P &amp; NP'!GV507</f>
        <v>0</v>
      </c>
      <c r="AC30" s="206">
        <f>'P &amp; NP'!HK507</f>
        <v>0</v>
      </c>
      <c r="AD30" s="206">
        <f>'P &amp; NP'!HL507</f>
        <v>0</v>
      </c>
      <c r="AE30" s="206">
        <f>'P &amp; NP'!IA507</f>
        <v>0</v>
      </c>
      <c r="AF30" s="206">
        <f>'P &amp; NP'!IB507</f>
        <v>0</v>
      </c>
      <c r="AG30" s="206">
        <f>'P &amp; NP'!IQ507</f>
        <v>0</v>
      </c>
      <c r="AH30" s="206">
        <f>'P &amp; NP'!IR507</f>
        <v>0</v>
      </c>
      <c r="AI30" s="206">
        <f>'P &amp; NP'!JG507</f>
        <v>0</v>
      </c>
      <c r="AJ30" s="206">
        <f>'P &amp; NP'!JH507</f>
        <v>0</v>
      </c>
      <c r="AK30" s="206">
        <f>'P &amp; NP'!JW507</f>
        <v>0</v>
      </c>
      <c r="AL30" s="206">
        <f>'P &amp; NP'!JX507</f>
        <v>0</v>
      </c>
      <c r="AM30" s="206">
        <f>'P &amp; NP'!KM507</f>
        <v>0</v>
      </c>
      <c r="AN30" s="206">
        <f>'P &amp; NP'!KN507</f>
        <v>0</v>
      </c>
      <c r="AO30" s="206">
        <f>'P &amp; NP'!LC507</f>
        <v>0</v>
      </c>
      <c r="AP30" s="206">
        <f>'P &amp; NP'!LD507</f>
        <v>0</v>
      </c>
      <c r="AQ30" s="206">
        <f>'P &amp; NP'!LS507</f>
        <v>0</v>
      </c>
      <c r="AR30" s="206">
        <f>'P &amp; NP'!LT507</f>
        <v>0</v>
      </c>
      <c r="AS30" s="206">
        <f>'P &amp; NP'!MI507</f>
        <v>0</v>
      </c>
      <c r="AT30" s="206">
        <f>'P &amp; NP'!MJ507</f>
        <v>0</v>
      </c>
      <c r="AU30" s="206">
        <f>'P &amp; NP'!MY507</f>
        <v>0</v>
      </c>
      <c r="AV30" s="206">
        <f>'P &amp; NP'!MZ507</f>
        <v>0</v>
      </c>
      <c r="AW30" s="206">
        <f>'P &amp; NP'!NO507</f>
        <v>0</v>
      </c>
      <c r="AX30" s="206">
        <f>'P &amp; NP'!NP507</f>
        <v>0</v>
      </c>
      <c r="AY30" s="206">
        <f>'P &amp; NP'!OE507</f>
        <v>0</v>
      </c>
      <c r="AZ30" s="206">
        <f>'P &amp; NP'!OF507</f>
        <v>0</v>
      </c>
      <c r="BA30" s="206">
        <f>'P &amp; NP'!OU507</f>
        <v>0</v>
      </c>
      <c r="BB30" s="206">
        <f>'P &amp; NP'!OV507</f>
        <v>0</v>
      </c>
      <c r="BC30" s="206">
        <f>'P &amp; NP'!PK507</f>
        <v>0</v>
      </c>
      <c r="BD30" s="206">
        <f>'P &amp; NP'!PL507</f>
        <v>0</v>
      </c>
      <c r="BE30" s="206">
        <f>'P &amp; NP'!QA507</f>
        <v>0</v>
      </c>
      <c r="BF30" s="206">
        <f>'P &amp; NP'!QB507</f>
        <v>0</v>
      </c>
      <c r="BG30" s="206">
        <f>'P &amp; NP'!QQ507</f>
        <v>0</v>
      </c>
      <c r="BH30" s="206">
        <f>'P &amp; NP'!QR507</f>
        <v>0</v>
      </c>
      <c r="BI30" s="206">
        <f>'P &amp; NP'!RG507</f>
        <v>0</v>
      </c>
      <c r="BJ30" s="206">
        <f>'P &amp; NP'!RH507</f>
        <v>0</v>
      </c>
      <c r="BK30" s="206">
        <f>'P &amp; NP'!RW507</f>
        <v>0</v>
      </c>
      <c r="BL30" s="206">
        <f>'P &amp; NP'!RX507</f>
        <v>0</v>
      </c>
      <c r="BM30" s="206">
        <f>'P &amp; NP'!SM507</f>
        <v>0</v>
      </c>
      <c r="BN30" s="206">
        <f>'P &amp; NP'!SN507</f>
        <v>0</v>
      </c>
      <c r="BO30" s="206">
        <f>'P &amp; NP'!TC507</f>
        <v>0</v>
      </c>
      <c r="BP30" s="206">
        <f>'P &amp; NP'!TD507</f>
        <v>0</v>
      </c>
      <c r="BQ30" s="206">
        <f>'P &amp; NP'!TS507</f>
        <v>0</v>
      </c>
      <c r="BR30" s="206">
        <f>'P &amp; NP'!TT507</f>
        <v>0</v>
      </c>
      <c r="BS30" s="206">
        <f>'P &amp; NP'!UI507</f>
        <v>0</v>
      </c>
      <c r="BT30" s="206">
        <f>'P &amp; NP'!UJ507</f>
        <v>0</v>
      </c>
      <c r="BU30" s="206">
        <f>'P &amp; NP'!UY507</f>
        <v>0</v>
      </c>
      <c r="BV30" s="206">
        <f>'P &amp; NP'!UZ507</f>
        <v>0</v>
      </c>
      <c r="BW30" s="206">
        <f>'P &amp; NP'!VO507</f>
        <v>0</v>
      </c>
      <c r="BX30" s="206">
        <f>'P &amp; NP'!VP507</f>
        <v>0</v>
      </c>
      <c r="BY30" s="206">
        <f>'P &amp; NP'!WE507</f>
        <v>0</v>
      </c>
      <c r="BZ30" s="206">
        <f>'P &amp; NP'!WF507</f>
        <v>0</v>
      </c>
      <c r="CB30" s="206">
        <f t="shared" si="2"/>
        <v>0</v>
      </c>
      <c r="CC30" s="206">
        <f t="shared" si="3"/>
        <v>0</v>
      </c>
    </row>
    <row r="31" spans="2:81">
      <c r="B31" s="207" t="str">
        <f>'P &amp; NP'!B37</f>
        <v xml:space="preserve">Udang Galah </v>
      </c>
      <c r="C31" s="209">
        <f>'P &amp; NP'!K508</f>
        <v>0</v>
      </c>
      <c r="D31" s="209">
        <f>'P &amp; NP'!L508</f>
        <v>0</v>
      </c>
      <c r="E31" s="209">
        <f>'P &amp; NP'!AA508</f>
        <v>0</v>
      </c>
      <c r="F31" s="209">
        <f>'P &amp; NP'!AB508</f>
        <v>0</v>
      </c>
      <c r="G31" s="209">
        <f>'P &amp; NP'!AQ508</f>
        <v>0</v>
      </c>
      <c r="H31" s="209">
        <f>'P &amp; NP'!AR508</f>
        <v>0</v>
      </c>
      <c r="I31" s="209">
        <f>'P &amp; NP'!BG508</f>
        <v>0</v>
      </c>
      <c r="J31" s="209">
        <f>'P &amp; NP'!BH508</f>
        <v>0</v>
      </c>
      <c r="K31" s="206">
        <f>'P &amp; NP'!BW508</f>
        <v>0</v>
      </c>
      <c r="L31" s="206">
        <f>'P &amp; NP'!BX508</f>
        <v>0</v>
      </c>
      <c r="M31" s="206">
        <f>'P &amp; NP'!CM508</f>
        <v>0</v>
      </c>
      <c r="N31" s="206">
        <f>'P &amp; NP'!CN508</f>
        <v>0</v>
      </c>
      <c r="O31" s="206">
        <f>'P &amp; NP'!DC508</f>
        <v>0</v>
      </c>
      <c r="P31" s="206">
        <f>'P &amp; NP'!DD508</f>
        <v>0</v>
      </c>
      <c r="Q31" s="206">
        <f>'P &amp; NP'!DS508</f>
        <v>0</v>
      </c>
      <c r="R31" s="206">
        <f>'P &amp; NP'!DT508</f>
        <v>0</v>
      </c>
      <c r="S31" s="206">
        <f>'P &amp; NP'!EI508</f>
        <v>0</v>
      </c>
      <c r="T31" s="206">
        <f>'P &amp; NP'!EJ508</f>
        <v>0</v>
      </c>
      <c r="U31" s="206">
        <f>'P &amp; NP'!EY508</f>
        <v>0</v>
      </c>
      <c r="V31" s="206">
        <f>'P &amp; NP'!EZ508</f>
        <v>0</v>
      </c>
      <c r="W31" s="206">
        <f>'P &amp; NP'!FO508</f>
        <v>0</v>
      </c>
      <c r="X31" s="206">
        <f>'P &amp; NP'!FP508</f>
        <v>0</v>
      </c>
      <c r="Y31" s="206">
        <f>'P &amp; NP'!GE508</f>
        <v>0</v>
      </c>
      <c r="Z31" s="206">
        <f>'P &amp; NP'!GF508</f>
        <v>0</v>
      </c>
      <c r="AA31" s="206">
        <f>'P &amp; NP'!GU508</f>
        <v>0</v>
      </c>
      <c r="AB31" s="206">
        <f>'P &amp; NP'!GV508</f>
        <v>0</v>
      </c>
      <c r="AC31" s="206">
        <f>'P &amp; NP'!HK508</f>
        <v>0</v>
      </c>
      <c r="AD31" s="206">
        <f>'P &amp; NP'!HL508</f>
        <v>0</v>
      </c>
      <c r="AE31" s="206">
        <f>'P &amp; NP'!IA508</f>
        <v>0</v>
      </c>
      <c r="AF31" s="206">
        <f>'P &amp; NP'!IB508</f>
        <v>0</v>
      </c>
      <c r="AG31" s="206">
        <f>'P &amp; NP'!IQ508</f>
        <v>0</v>
      </c>
      <c r="AH31" s="206">
        <f>'P &amp; NP'!IR508</f>
        <v>0</v>
      </c>
      <c r="AI31" s="206">
        <f>'P &amp; NP'!JG508</f>
        <v>0</v>
      </c>
      <c r="AJ31" s="206">
        <f>'P &amp; NP'!JH508</f>
        <v>0</v>
      </c>
      <c r="AK31" s="206">
        <f>'P &amp; NP'!JW508</f>
        <v>0</v>
      </c>
      <c r="AL31" s="206">
        <f>'P &amp; NP'!JX508</f>
        <v>0</v>
      </c>
      <c r="AM31" s="206">
        <f>'P &amp; NP'!KM508</f>
        <v>0</v>
      </c>
      <c r="AN31" s="206">
        <f>'P &amp; NP'!KN508</f>
        <v>0</v>
      </c>
      <c r="AO31" s="206">
        <f>'P &amp; NP'!LC508</f>
        <v>0</v>
      </c>
      <c r="AP31" s="206">
        <f>'P &amp; NP'!LD508</f>
        <v>0</v>
      </c>
      <c r="AQ31" s="206">
        <f>'P &amp; NP'!LS508</f>
        <v>0</v>
      </c>
      <c r="AR31" s="206">
        <f>'P &amp; NP'!LT508</f>
        <v>0</v>
      </c>
      <c r="AS31" s="206">
        <f>'P &amp; NP'!MI508</f>
        <v>0</v>
      </c>
      <c r="AT31" s="206">
        <f>'P &amp; NP'!MJ508</f>
        <v>0</v>
      </c>
      <c r="AU31" s="206">
        <f>'P &amp; NP'!MY508</f>
        <v>0</v>
      </c>
      <c r="AV31" s="206">
        <f>'P &amp; NP'!MZ508</f>
        <v>0</v>
      </c>
      <c r="AW31" s="206">
        <f>'P &amp; NP'!NO508</f>
        <v>0</v>
      </c>
      <c r="AX31" s="206">
        <f>'P &amp; NP'!NP508</f>
        <v>0</v>
      </c>
      <c r="AY31" s="206">
        <f>'P &amp; NP'!OE508</f>
        <v>0</v>
      </c>
      <c r="AZ31" s="206">
        <f>'P &amp; NP'!OF508</f>
        <v>0</v>
      </c>
      <c r="BA31" s="206">
        <f>'P &amp; NP'!OU508</f>
        <v>0</v>
      </c>
      <c r="BB31" s="206">
        <f>'P &amp; NP'!OV508</f>
        <v>0</v>
      </c>
      <c r="BC31" s="206">
        <f>'P &amp; NP'!PK508</f>
        <v>0</v>
      </c>
      <c r="BD31" s="206">
        <f>'P &amp; NP'!PL508</f>
        <v>0</v>
      </c>
      <c r="BE31" s="206">
        <f>'P &amp; NP'!QA508</f>
        <v>0</v>
      </c>
      <c r="BF31" s="206">
        <f>'P &amp; NP'!QB508</f>
        <v>0</v>
      </c>
      <c r="BG31" s="206">
        <f>'P &amp; NP'!QQ508</f>
        <v>0</v>
      </c>
      <c r="BH31" s="206">
        <f>'P &amp; NP'!QR508</f>
        <v>0</v>
      </c>
      <c r="BI31" s="206">
        <f>'P &amp; NP'!RG508</f>
        <v>0</v>
      </c>
      <c r="BJ31" s="206">
        <f>'P &amp; NP'!RH508</f>
        <v>0</v>
      </c>
      <c r="BK31" s="206">
        <f>'P &amp; NP'!RW508</f>
        <v>0</v>
      </c>
      <c r="BL31" s="206">
        <f>'P &amp; NP'!RX508</f>
        <v>0</v>
      </c>
      <c r="BM31" s="206">
        <f>'P &amp; NP'!SM508</f>
        <v>0</v>
      </c>
      <c r="BN31" s="206">
        <f>'P &amp; NP'!SN508</f>
        <v>0</v>
      </c>
      <c r="BO31" s="206">
        <f>'P &amp; NP'!TC508</f>
        <v>0</v>
      </c>
      <c r="BP31" s="206">
        <f>'P &amp; NP'!TD508</f>
        <v>0</v>
      </c>
      <c r="BQ31" s="206">
        <f>'P &amp; NP'!TS508</f>
        <v>0</v>
      </c>
      <c r="BR31" s="206">
        <f>'P &amp; NP'!TT508</f>
        <v>0</v>
      </c>
      <c r="BS31" s="206">
        <f>'P &amp; NP'!UI508</f>
        <v>0</v>
      </c>
      <c r="BT31" s="206">
        <f>'P &amp; NP'!UJ508</f>
        <v>0</v>
      </c>
      <c r="BU31" s="206">
        <f>'P &amp; NP'!UY508</f>
        <v>0</v>
      </c>
      <c r="BV31" s="206">
        <f>'P &amp; NP'!UZ508</f>
        <v>0</v>
      </c>
      <c r="BW31" s="206">
        <f>'P &amp; NP'!VO508</f>
        <v>0</v>
      </c>
      <c r="BX31" s="206">
        <f>'P &amp; NP'!VP508</f>
        <v>0</v>
      </c>
      <c r="BY31" s="206">
        <f>'P &amp; NP'!WE508</f>
        <v>0</v>
      </c>
      <c r="BZ31" s="206">
        <f>'P &amp; NP'!WF508</f>
        <v>0</v>
      </c>
      <c r="CB31" s="206">
        <f t="shared" si="2"/>
        <v>0</v>
      </c>
      <c r="CC31" s="206">
        <f t="shared" si="3"/>
        <v>0</v>
      </c>
    </row>
    <row r="32" spans="2:81">
      <c r="B32" s="207" t="str">
        <f>'P &amp; NP'!B38</f>
        <v>Udang Putih</v>
      </c>
      <c r="C32" s="209">
        <f>'P &amp; NP'!K509</f>
        <v>0</v>
      </c>
      <c r="D32" s="209">
        <f>'P &amp; NP'!L509</f>
        <v>0</v>
      </c>
      <c r="E32" s="209">
        <f>'P &amp; NP'!AA509</f>
        <v>0</v>
      </c>
      <c r="F32" s="209">
        <f>'P &amp; NP'!AB509</f>
        <v>0</v>
      </c>
      <c r="G32" s="209">
        <f>'P &amp; NP'!AQ509</f>
        <v>0</v>
      </c>
      <c r="H32" s="209">
        <f>'P &amp; NP'!AR509</f>
        <v>0</v>
      </c>
      <c r="I32" s="209">
        <f>'P &amp; NP'!BG509</f>
        <v>0</v>
      </c>
      <c r="J32" s="209">
        <f>'P &amp; NP'!BH509</f>
        <v>0</v>
      </c>
      <c r="K32" s="206">
        <f>'P &amp; NP'!BW509</f>
        <v>0</v>
      </c>
      <c r="L32" s="206">
        <f>'P &amp; NP'!BX509</f>
        <v>0</v>
      </c>
      <c r="M32" s="206">
        <f>'P &amp; NP'!CM509</f>
        <v>0</v>
      </c>
      <c r="N32" s="206">
        <f>'P &amp; NP'!CN509</f>
        <v>0</v>
      </c>
      <c r="O32" s="206">
        <f>'P &amp; NP'!DC509</f>
        <v>0</v>
      </c>
      <c r="P32" s="206">
        <f>'P &amp; NP'!DD509</f>
        <v>0</v>
      </c>
      <c r="Q32" s="206">
        <f>'P &amp; NP'!DS509</f>
        <v>0</v>
      </c>
      <c r="R32" s="206">
        <f>'P &amp; NP'!DT509</f>
        <v>0</v>
      </c>
      <c r="S32" s="206">
        <f>'P &amp; NP'!EI509</f>
        <v>0</v>
      </c>
      <c r="T32" s="206">
        <f>'P &amp; NP'!EJ509</f>
        <v>0</v>
      </c>
      <c r="U32" s="206">
        <f>'P &amp; NP'!EY509</f>
        <v>0</v>
      </c>
      <c r="V32" s="206">
        <f>'P &amp; NP'!EZ509</f>
        <v>0</v>
      </c>
      <c r="W32" s="206">
        <f>'P &amp; NP'!FO509</f>
        <v>0</v>
      </c>
      <c r="X32" s="206">
        <f>'P &amp; NP'!FP509</f>
        <v>0</v>
      </c>
      <c r="Y32" s="206">
        <f>'P &amp; NP'!GE509</f>
        <v>0</v>
      </c>
      <c r="Z32" s="206">
        <f>'P &amp; NP'!GF509</f>
        <v>0</v>
      </c>
      <c r="AA32" s="206">
        <f>'P &amp; NP'!GU509</f>
        <v>0</v>
      </c>
      <c r="AB32" s="206">
        <f>'P &amp; NP'!GV509</f>
        <v>0</v>
      </c>
      <c r="AC32" s="206">
        <f>'P &amp; NP'!HK509</f>
        <v>0</v>
      </c>
      <c r="AD32" s="206">
        <f>'P &amp; NP'!HL509</f>
        <v>0</v>
      </c>
      <c r="AE32" s="206">
        <f>'P &amp; NP'!IA509</f>
        <v>0</v>
      </c>
      <c r="AF32" s="206">
        <f>'P &amp; NP'!IB509</f>
        <v>0</v>
      </c>
      <c r="AG32" s="206">
        <f>'P &amp; NP'!IQ509</f>
        <v>0</v>
      </c>
      <c r="AH32" s="206">
        <f>'P &amp; NP'!IR509</f>
        <v>0</v>
      </c>
      <c r="AI32" s="206">
        <f>'P &amp; NP'!JG509</f>
        <v>0</v>
      </c>
      <c r="AJ32" s="206">
        <f>'P &amp; NP'!JH509</f>
        <v>0</v>
      </c>
      <c r="AK32" s="206">
        <f>'P &amp; NP'!JW509</f>
        <v>0</v>
      </c>
      <c r="AL32" s="206">
        <f>'P &amp; NP'!JX509</f>
        <v>0</v>
      </c>
      <c r="AM32" s="206">
        <f>'P &amp; NP'!KM509</f>
        <v>0</v>
      </c>
      <c r="AN32" s="206">
        <f>'P &amp; NP'!KN509</f>
        <v>0</v>
      </c>
      <c r="AO32" s="206">
        <f>'P &amp; NP'!LC509</f>
        <v>0</v>
      </c>
      <c r="AP32" s="206">
        <f>'P &amp; NP'!LD509</f>
        <v>0</v>
      </c>
      <c r="AQ32" s="206">
        <f>'P &amp; NP'!LS509</f>
        <v>0</v>
      </c>
      <c r="AR32" s="206">
        <f>'P &amp; NP'!LT509</f>
        <v>0</v>
      </c>
      <c r="AS32" s="206">
        <f>'P &amp; NP'!MI509</f>
        <v>0</v>
      </c>
      <c r="AT32" s="206">
        <f>'P &amp; NP'!MJ509</f>
        <v>0</v>
      </c>
      <c r="AU32" s="206">
        <f>'P &amp; NP'!MY509</f>
        <v>0</v>
      </c>
      <c r="AV32" s="206">
        <f>'P &amp; NP'!MZ509</f>
        <v>0</v>
      </c>
      <c r="AW32" s="206">
        <f>'P &amp; NP'!NO509</f>
        <v>0</v>
      </c>
      <c r="AX32" s="206">
        <f>'P &amp; NP'!NP509</f>
        <v>0</v>
      </c>
      <c r="AY32" s="206">
        <f>'P &amp; NP'!OE509</f>
        <v>0</v>
      </c>
      <c r="AZ32" s="206">
        <f>'P &amp; NP'!OF509</f>
        <v>0</v>
      </c>
      <c r="BA32" s="206">
        <f>'P &amp; NP'!OU509</f>
        <v>0</v>
      </c>
      <c r="BB32" s="206">
        <f>'P &amp; NP'!OV509</f>
        <v>0</v>
      </c>
      <c r="BC32" s="206">
        <f>'P &amp; NP'!PK509</f>
        <v>0</v>
      </c>
      <c r="BD32" s="206">
        <f>'P &amp; NP'!PL509</f>
        <v>0</v>
      </c>
      <c r="BE32" s="206">
        <f>'P &amp; NP'!QA509</f>
        <v>0</v>
      </c>
      <c r="BF32" s="206">
        <f>'P &amp; NP'!QB509</f>
        <v>0</v>
      </c>
      <c r="BG32" s="206">
        <f>'P &amp; NP'!QQ509</f>
        <v>0</v>
      </c>
      <c r="BH32" s="206">
        <f>'P &amp; NP'!QR509</f>
        <v>0</v>
      </c>
      <c r="BI32" s="206">
        <f>'P &amp; NP'!RG509</f>
        <v>0</v>
      </c>
      <c r="BJ32" s="206">
        <f>'P &amp; NP'!RH509</f>
        <v>0</v>
      </c>
      <c r="BK32" s="206">
        <f>'P &amp; NP'!RW509</f>
        <v>0</v>
      </c>
      <c r="BL32" s="206">
        <f>'P &amp; NP'!RX509</f>
        <v>0</v>
      </c>
      <c r="BM32" s="206">
        <f>'P &amp; NP'!SM509</f>
        <v>0</v>
      </c>
      <c r="BN32" s="206">
        <f>'P &amp; NP'!SN509</f>
        <v>0</v>
      </c>
      <c r="BO32" s="206">
        <f>'P &amp; NP'!TC509</f>
        <v>0</v>
      </c>
      <c r="BP32" s="206">
        <f>'P &amp; NP'!TD509</f>
        <v>0</v>
      </c>
      <c r="BQ32" s="206">
        <f>'P &amp; NP'!TS509</f>
        <v>0</v>
      </c>
      <c r="BR32" s="206">
        <f>'P &amp; NP'!TT509</f>
        <v>0</v>
      </c>
      <c r="BS32" s="206">
        <f>'P &amp; NP'!UI509</f>
        <v>0</v>
      </c>
      <c r="BT32" s="206">
        <f>'P &amp; NP'!UJ509</f>
        <v>0</v>
      </c>
      <c r="BU32" s="206">
        <f>'P &amp; NP'!UY509</f>
        <v>0</v>
      </c>
      <c r="BV32" s="206">
        <f>'P &amp; NP'!UZ509</f>
        <v>0</v>
      </c>
      <c r="BW32" s="206">
        <f>'P &amp; NP'!VO509</f>
        <v>0</v>
      </c>
      <c r="BX32" s="206">
        <f>'P &amp; NP'!VP509</f>
        <v>0</v>
      </c>
      <c r="BY32" s="206">
        <f>'P &amp; NP'!WE509</f>
        <v>0</v>
      </c>
      <c r="BZ32" s="206">
        <f>'P &amp; NP'!WF509</f>
        <v>0</v>
      </c>
      <c r="CB32" s="206">
        <f t="shared" si="2"/>
        <v>0</v>
      </c>
      <c r="CC32" s="206">
        <f t="shared" si="3"/>
        <v>0</v>
      </c>
    </row>
    <row r="33" spans="2:81">
      <c r="B33" s="207" t="str">
        <f>'P &amp; NP'!B39</f>
        <v xml:space="preserve">Udang Vaname </v>
      </c>
      <c r="C33" s="209">
        <f>'P &amp; NP'!K510</f>
        <v>0</v>
      </c>
      <c r="D33" s="209">
        <f>'P &amp; NP'!L510</f>
        <v>0</v>
      </c>
      <c r="E33" s="209">
        <f>'P &amp; NP'!AA510</f>
        <v>0</v>
      </c>
      <c r="F33" s="209">
        <f>'P &amp; NP'!AB510</f>
        <v>0</v>
      </c>
      <c r="G33" s="209">
        <f>'P &amp; NP'!AQ510</f>
        <v>0</v>
      </c>
      <c r="H33" s="209">
        <f>'P &amp; NP'!AR510</f>
        <v>0</v>
      </c>
      <c r="I33" s="209">
        <f>'P &amp; NP'!BG510</f>
        <v>0</v>
      </c>
      <c r="J33" s="209">
        <f>'P &amp; NP'!BH510</f>
        <v>0</v>
      </c>
      <c r="K33" s="206">
        <f>'P &amp; NP'!BW510</f>
        <v>0</v>
      </c>
      <c r="L33" s="206">
        <f>'P &amp; NP'!BX510</f>
        <v>0</v>
      </c>
      <c r="M33" s="206">
        <f>'P &amp; NP'!CM510</f>
        <v>0</v>
      </c>
      <c r="N33" s="206">
        <f>'P &amp; NP'!CN510</f>
        <v>0</v>
      </c>
      <c r="O33" s="206">
        <f>'P &amp; NP'!DC510</f>
        <v>0</v>
      </c>
      <c r="P33" s="206">
        <f>'P &amp; NP'!DD510</f>
        <v>0</v>
      </c>
      <c r="Q33" s="206">
        <f>'P &amp; NP'!DS510</f>
        <v>0</v>
      </c>
      <c r="R33" s="206">
        <f>'P &amp; NP'!DT510</f>
        <v>0</v>
      </c>
      <c r="S33" s="206">
        <f>'P &amp; NP'!EI510</f>
        <v>0</v>
      </c>
      <c r="T33" s="206">
        <f>'P &amp; NP'!EJ510</f>
        <v>0</v>
      </c>
      <c r="U33" s="206">
        <f>'P &amp; NP'!EY510</f>
        <v>0</v>
      </c>
      <c r="V33" s="206">
        <f>'P &amp; NP'!EZ510</f>
        <v>0</v>
      </c>
      <c r="W33" s="206">
        <f>'P &amp; NP'!FO510</f>
        <v>0</v>
      </c>
      <c r="X33" s="206">
        <f>'P &amp; NP'!FP510</f>
        <v>0</v>
      </c>
      <c r="Y33" s="206">
        <f>'P &amp; NP'!GE510</f>
        <v>0</v>
      </c>
      <c r="Z33" s="206">
        <f>'P &amp; NP'!GF510</f>
        <v>0</v>
      </c>
      <c r="AA33" s="206">
        <f>'P &amp; NP'!GU510</f>
        <v>0</v>
      </c>
      <c r="AB33" s="206">
        <f>'P &amp; NP'!GV510</f>
        <v>0</v>
      </c>
      <c r="AC33" s="206">
        <f>'P &amp; NP'!HK510</f>
        <v>0</v>
      </c>
      <c r="AD33" s="206">
        <f>'P &amp; NP'!HL510</f>
        <v>0</v>
      </c>
      <c r="AE33" s="206">
        <f>'P &amp; NP'!IA510</f>
        <v>0</v>
      </c>
      <c r="AF33" s="206">
        <f>'P &amp; NP'!IB510</f>
        <v>0</v>
      </c>
      <c r="AG33" s="206">
        <f>'P &amp; NP'!IQ510</f>
        <v>0</v>
      </c>
      <c r="AH33" s="206">
        <f>'P &amp; NP'!IR510</f>
        <v>0</v>
      </c>
      <c r="AI33" s="206">
        <f>'P &amp; NP'!JG510</f>
        <v>0</v>
      </c>
      <c r="AJ33" s="206">
        <f>'P &amp; NP'!JH510</f>
        <v>0</v>
      </c>
      <c r="AK33" s="206">
        <f>'P &amp; NP'!JW510</f>
        <v>0</v>
      </c>
      <c r="AL33" s="206">
        <f>'P &amp; NP'!JX510</f>
        <v>0</v>
      </c>
      <c r="AM33" s="206">
        <f>'P &amp; NP'!KM510</f>
        <v>0</v>
      </c>
      <c r="AN33" s="206">
        <f>'P &amp; NP'!KN510</f>
        <v>0</v>
      </c>
      <c r="AO33" s="206">
        <f>'P &amp; NP'!LC510</f>
        <v>0</v>
      </c>
      <c r="AP33" s="206">
        <f>'P &amp; NP'!LD510</f>
        <v>0</v>
      </c>
      <c r="AQ33" s="206">
        <f>'P &amp; NP'!LS510</f>
        <v>0</v>
      </c>
      <c r="AR33" s="206">
        <f>'P &amp; NP'!LT510</f>
        <v>0</v>
      </c>
      <c r="AS33" s="206">
        <f>'P &amp; NP'!MI510</f>
        <v>0</v>
      </c>
      <c r="AT33" s="206">
        <f>'P &amp; NP'!MJ510</f>
        <v>0</v>
      </c>
      <c r="AU33" s="206">
        <f>'P &amp; NP'!MY510</f>
        <v>0</v>
      </c>
      <c r="AV33" s="206">
        <f>'P &amp; NP'!MZ510</f>
        <v>0</v>
      </c>
      <c r="AW33" s="206">
        <f>'P &amp; NP'!NO510</f>
        <v>66500</v>
      </c>
      <c r="AX33" s="206">
        <f>'P &amp; NP'!NP510</f>
        <v>3990000</v>
      </c>
      <c r="AY33" s="206">
        <f>'P &amp; NP'!OE510</f>
        <v>0</v>
      </c>
      <c r="AZ33" s="206">
        <f>'P &amp; NP'!OF510</f>
        <v>0</v>
      </c>
      <c r="BA33" s="206">
        <f>'P &amp; NP'!OU510</f>
        <v>0</v>
      </c>
      <c r="BB33" s="206">
        <f>'P &amp; NP'!OV510</f>
        <v>0</v>
      </c>
      <c r="BC33" s="206">
        <f>'P &amp; NP'!PK510</f>
        <v>0</v>
      </c>
      <c r="BD33" s="206">
        <f>'P &amp; NP'!PL510</f>
        <v>0</v>
      </c>
      <c r="BE33" s="206">
        <f>'P &amp; NP'!QA510</f>
        <v>4549820</v>
      </c>
      <c r="BF33" s="206">
        <f>'P &amp; NP'!QB510</f>
        <v>225956900</v>
      </c>
      <c r="BG33" s="206">
        <f>'P &amp; NP'!QQ510</f>
        <v>0</v>
      </c>
      <c r="BH33" s="206">
        <f>'P &amp; NP'!QR510</f>
        <v>0</v>
      </c>
      <c r="BI33" s="206">
        <f>'P &amp; NP'!RG510</f>
        <v>0</v>
      </c>
      <c r="BJ33" s="206">
        <f>'P &amp; NP'!RH510</f>
        <v>0</v>
      </c>
      <c r="BK33" s="206">
        <f>'P &amp; NP'!RW510</f>
        <v>0</v>
      </c>
      <c r="BL33" s="206">
        <f>'P &amp; NP'!RX510</f>
        <v>0</v>
      </c>
      <c r="BM33" s="206">
        <f>'P &amp; NP'!SM510</f>
        <v>0</v>
      </c>
      <c r="BN33" s="206">
        <f>'P &amp; NP'!SN510</f>
        <v>0</v>
      </c>
      <c r="BO33" s="206">
        <f>'P &amp; NP'!TC510</f>
        <v>0</v>
      </c>
      <c r="BP33" s="206">
        <f>'P &amp; NP'!TD510</f>
        <v>0</v>
      </c>
      <c r="BQ33" s="206">
        <f>'P &amp; NP'!TS510</f>
        <v>0</v>
      </c>
      <c r="BR33" s="206">
        <f>'P &amp; NP'!TT510</f>
        <v>0</v>
      </c>
      <c r="BS33" s="206">
        <f>'P &amp; NP'!UI510</f>
        <v>0</v>
      </c>
      <c r="BT33" s="206">
        <f>'P &amp; NP'!UJ510</f>
        <v>0</v>
      </c>
      <c r="BU33" s="206">
        <f>'P &amp; NP'!UY510</f>
        <v>0</v>
      </c>
      <c r="BV33" s="206">
        <f>'P &amp; NP'!UZ510</f>
        <v>0</v>
      </c>
      <c r="BW33" s="206">
        <f>'P &amp; NP'!VO510</f>
        <v>0</v>
      </c>
      <c r="BX33" s="206">
        <f>'P &amp; NP'!VP510</f>
        <v>0</v>
      </c>
      <c r="BY33" s="206">
        <f>'P &amp; NP'!WE510</f>
        <v>0</v>
      </c>
      <c r="BZ33" s="206">
        <f>'P &amp; NP'!WF510</f>
        <v>0</v>
      </c>
      <c r="CB33" s="206">
        <f t="shared" si="2"/>
        <v>4616320</v>
      </c>
      <c r="CC33" s="206">
        <f t="shared" si="3"/>
        <v>229946900</v>
      </c>
    </row>
    <row r="34" spans="2:81">
      <c r="B34" s="207" t="str">
        <f>'P &amp; NP'!B40</f>
        <v xml:space="preserve">Udang Windu </v>
      </c>
      <c r="C34" s="209">
        <f>'P &amp; NP'!K511</f>
        <v>0</v>
      </c>
      <c r="D34" s="209">
        <f>'P &amp; NP'!L511</f>
        <v>0</v>
      </c>
      <c r="E34" s="209">
        <f>'P &amp; NP'!AA511</f>
        <v>0</v>
      </c>
      <c r="F34" s="209">
        <f>'P &amp; NP'!AB511</f>
        <v>0</v>
      </c>
      <c r="G34" s="209">
        <f>'P &amp; NP'!AQ511</f>
        <v>0</v>
      </c>
      <c r="H34" s="209">
        <f>'P &amp; NP'!AR511</f>
        <v>0</v>
      </c>
      <c r="I34" s="209">
        <f>'P &amp; NP'!BG511</f>
        <v>0</v>
      </c>
      <c r="J34" s="209">
        <f>'P &amp; NP'!BH511</f>
        <v>0</v>
      </c>
      <c r="K34" s="206">
        <f>'P &amp; NP'!BW511</f>
        <v>0</v>
      </c>
      <c r="L34" s="206">
        <f>'P &amp; NP'!BX511</f>
        <v>0</v>
      </c>
      <c r="M34" s="206">
        <f>'P &amp; NP'!CM511</f>
        <v>0</v>
      </c>
      <c r="N34" s="206">
        <f>'P &amp; NP'!CN511</f>
        <v>0</v>
      </c>
      <c r="O34" s="206">
        <f>'P &amp; NP'!DC511</f>
        <v>0</v>
      </c>
      <c r="P34" s="206">
        <f>'P &amp; NP'!DD511</f>
        <v>0</v>
      </c>
      <c r="Q34" s="206">
        <f>'P &amp; NP'!DS511</f>
        <v>0</v>
      </c>
      <c r="R34" s="206">
        <f>'P &amp; NP'!DT511</f>
        <v>0</v>
      </c>
      <c r="S34" s="206">
        <f>'P &amp; NP'!EI511</f>
        <v>0</v>
      </c>
      <c r="T34" s="206">
        <f>'P &amp; NP'!EJ511</f>
        <v>0</v>
      </c>
      <c r="U34" s="206">
        <f>'P &amp; NP'!EY511</f>
        <v>0</v>
      </c>
      <c r="V34" s="206">
        <f>'P &amp; NP'!EZ511</f>
        <v>0</v>
      </c>
      <c r="W34" s="206">
        <f>'P &amp; NP'!FO511</f>
        <v>0</v>
      </c>
      <c r="X34" s="206">
        <f>'P &amp; NP'!FP511</f>
        <v>0</v>
      </c>
      <c r="Y34" s="206">
        <f>'P &amp; NP'!GE511</f>
        <v>0</v>
      </c>
      <c r="Z34" s="206">
        <f>'P &amp; NP'!GF511</f>
        <v>0</v>
      </c>
      <c r="AA34" s="206">
        <f>'P &amp; NP'!GU511</f>
        <v>0</v>
      </c>
      <c r="AB34" s="206">
        <f>'P &amp; NP'!GV511</f>
        <v>0</v>
      </c>
      <c r="AC34" s="206">
        <f>'P &amp; NP'!HK511</f>
        <v>0</v>
      </c>
      <c r="AD34" s="206">
        <f>'P &amp; NP'!HL511</f>
        <v>0</v>
      </c>
      <c r="AE34" s="206">
        <f>'P &amp; NP'!IA511</f>
        <v>0</v>
      </c>
      <c r="AF34" s="206">
        <f>'P &amp; NP'!IB511</f>
        <v>0</v>
      </c>
      <c r="AG34" s="206">
        <f>'P &amp; NP'!IQ511</f>
        <v>0</v>
      </c>
      <c r="AH34" s="206">
        <f>'P &amp; NP'!IR511</f>
        <v>0</v>
      </c>
      <c r="AI34" s="206">
        <f>'P &amp; NP'!JG511</f>
        <v>0</v>
      </c>
      <c r="AJ34" s="206">
        <f>'P &amp; NP'!JH511</f>
        <v>0</v>
      </c>
      <c r="AK34" s="206">
        <f>'P &amp; NP'!JW511</f>
        <v>0</v>
      </c>
      <c r="AL34" s="206">
        <f>'P &amp; NP'!JX511</f>
        <v>0</v>
      </c>
      <c r="AM34" s="206">
        <f>'P &amp; NP'!KM511</f>
        <v>0</v>
      </c>
      <c r="AN34" s="206">
        <f>'P &amp; NP'!KN511</f>
        <v>0</v>
      </c>
      <c r="AO34" s="206">
        <f>'P &amp; NP'!LC511</f>
        <v>0</v>
      </c>
      <c r="AP34" s="206">
        <f>'P &amp; NP'!LD511</f>
        <v>0</v>
      </c>
      <c r="AQ34" s="206">
        <f>'P &amp; NP'!LS511</f>
        <v>0</v>
      </c>
      <c r="AR34" s="206">
        <f>'P &amp; NP'!LT511</f>
        <v>0</v>
      </c>
      <c r="AS34" s="206">
        <f>'P &amp; NP'!MI511</f>
        <v>0</v>
      </c>
      <c r="AT34" s="206">
        <f>'P &amp; NP'!MJ511</f>
        <v>0</v>
      </c>
      <c r="AU34" s="206">
        <f>'P &amp; NP'!MY511</f>
        <v>0</v>
      </c>
      <c r="AV34" s="206">
        <f>'P &amp; NP'!MZ511</f>
        <v>0</v>
      </c>
      <c r="AW34" s="206">
        <f>'P &amp; NP'!NO511</f>
        <v>0</v>
      </c>
      <c r="AX34" s="206">
        <f>'P &amp; NP'!NP511</f>
        <v>0</v>
      </c>
      <c r="AY34" s="206">
        <f>'P &amp; NP'!OE511</f>
        <v>0</v>
      </c>
      <c r="AZ34" s="206">
        <f>'P &amp; NP'!OF511</f>
        <v>0</v>
      </c>
      <c r="BA34" s="206">
        <f>'P &amp; NP'!OU511</f>
        <v>0</v>
      </c>
      <c r="BB34" s="206">
        <f>'P &amp; NP'!OV511</f>
        <v>0</v>
      </c>
      <c r="BC34" s="206">
        <f>'P &amp; NP'!PK511</f>
        <v>0</v>
      </c>
      <c r="BD34" s="206">
        <f>'P &amp; NP'!PL511</f>
        <v>0</v>
      </c>
      <c r="BE34" s="206">
        <f>'P &amp; NP'!QA511</f>
        <v>0</v>
      </c>
      <c r="BF34" s="206">
        <f>'P &amp; NP'!QB511</f>
        <v>0</v>
      </c>
      <c r="BG34" s="206">
        <f>'P &amp; NP'!QQ511</f>
        <v>0</v>
      </c>
      <c r="BH34" s="206">
        <f>'P &amp; NP'!QR511</f>
        <v>0</v>
      </c>
      <c r="BI34" s="206">
        <f>'P &amp; NP'!RG511</f>
        <v>0</v>
      </c>
      <c r="BJ34" s="206">
        <f>'P &amp; NP'!RH511</f>
        <v>0</v>
      </c>
      <c r="BK34" s="206">
        <f>'P &amp; NP'!RW511</f>
        <v>0</v>
      </c>
      <c r="BL34" s="206">
        <f>'P &amp; NP'!RX511</f>
        <v>0</v>
      </c>
      <c r="BM34" s="206">
        <f>'P &amp; NP'!SM511</f>
        <v>0</v>
      </c>
      <c r="BN34" s="206">
        <f>'P &amp; NP'!SN511</f>
        <v>0</v>
      </c>
      <c r="BO34" s="206">
        <f>'P &amp; NP'!TC511</f>
        <v>0</v>
      </c>
      <c r="BP34" s="206">
        <f>'P &amp; NP'!TD511</f>
        <v>0</v>
      </c>
      <c r="BQ34" s="206">
        <f>'P &amp; NP'!TS511</f>
        <v>0</v>
      </c>
      <c r="BR34" s="206">
        <f>'P &amp; NP'!TT511</f>
        <v>0</v>
      </c>
      <c r="BS34" s="206">
        <f>'P &amp; NP'!UI511</f>
        <v>0</v>
      </c>
      <c r="BT34" s="206">
        <f>'P &amp; NP'!UJ511</f>
        <v>0</v>
      </c>
      <c r="BU34" s="206">
        <f>'P &amp; NP'!UY511</f>
        <v>0</v>
      </c>
      <c r="BV34" s="206">
        <f>'P &amp; NP'!UZ511</f>
        <v>0</v>
      </c>
      <c r="BW34" s="206">
        <f>'P &amp; NP'!VO511</f>
        <v>0</v>
      </c>
      <c r="BX34" s="206">
        <f>'P &amp; NP'!VP511</f>
        <v>0</v>
      </c>
      <c r="BY34" s="206">
        <f>'P &amp; NP'!WE511</f>
        <v>0</v>
      </c>
      <c r="BZ34" s="206">
        <f>'P &amp; NP'!WF511</f>
        <v>0</v>
      </c>
      <c r="CB34" s="206">
        <f t="shared" si="2"/>
        <v>0</v>
      </c>
      <c r="CC34" s="206">
        <f t="shared" si="3"/>
        <v>0</v>
      </c>
    </row>
    <row r="35" spans="2:81">
      <c r="B35" s="207" t="str">
        <f>'P &amp; NP'!B41</f>
        <v xml:space="preserve">Udang_01 (Udang Api-Api) </v>
      </c>
      <c r="C35" s="209">
        <f>'P &amp; NP'!K512</f>
        <v>0</v>
      </c>
      <c r="D35" s="209">
        <f>'P &amp; NP'!L512</f>
        <v>0</v>
      </c>
      <c r="E35" s="209">
        <f>'P &amp; NP'!AA512</f>
        <v>0</v>
      </c>
      <c r="F35" s="209">
        <f>'P &amp; NP'!AB512</f>
        <v>0</v>
      </c>
      <c r="G35" s="209">
        <f>'P &amp; NP'!AQ512</f>
        <v>0</v>
      </c>
      <c r="H35" s="209">
        <f>'P &amp; NP'!AR512</f>
        <v>0</v>
      </c>
      <c r="I35" s="209">
        <f>'P &amp; NP'!BG512</f>
        <v>0</v>
      </c>
      <c r="J35" s="209">
        <f>'P &amp; NP'!BH512</f>
        <v>0</v>
      </c>
      <c r="K35" s="206">
        <f>'P &amp; NP'!BW512</f>
        <v>0</v>
      </c>
      <c r="L35" s="206">
        <f>'P &amp; NP'!BX512</f>
        <v>0</v>
      </c>
      <c r="M35" s="206">
        <f>'P &amp; NP'!CM512</f>
        <v>0</v>
      </c>
      <c r="N35" s="206">
        <f>'P &amp; NP'!CN512</f>
        <v>0</v>
      </c>
      <c r="O35" s="206">
        <f>'P &amp; NP'!DC512</f>
        <v>0</v>
      </c>
      <c r="P35" s="206">
        <f>'P &amp; NP'!DD512</f>
        <v>0</v>
      </c>
      <c r="Q35" s="206">
        <f>'P &amp; NP'!DS512</f>
        <v>0</v>
      </c>
      <c r="R35" s="206">
        <f>'P &amp; NP'!DT512</f>
        <v>0</v>
      </c>
      <c r="S35" s="206">
        <f>'P &amp; NP'!EI512</f>
        <v>0</v>
      </c>
      <c r="T35" s="206">
        <f>'P &amp; NP'!EJ512</f>
        <v>0</v>
      </c>
      <c r="U35" s="206">
        <f>'P &amp; NP'!EY512</f>
        <v>0</v>
      </c>
      <c r="V35" s="206">
        <f>'P &amp; NP'!EZ512</f>
        <v>0</v>
      </c>
      <c r="W35" s="206">
        <f>'P &amp; NP'!FO512</f>
        <v>0</v>
      </c>
      <c r="X35" s="206">
        <f>'P &amp; NP'!FP512</f>
        <v>0</v>
      </c>
      <c r="Y35" s="206">
        <f>'P &amp; NP'!GE512</f>
        <v>0</v>
      </c>
      <c r="Z35" s="206">
        <f>'P &amp; NP'!GF512</f>
        <v>0</v>
      </c>
      <c r="AA35" s="206">
        <f>'P &amp; NP'!GU512</f>
        <v>0</v>
      </c>
      <c r="AB35" s="206">
        <f>'P &amp; NP'!GV512</f>
        <v>0</v>
      </c>
      <c r="AC35" s="206">
        <f>'P &amp; NP'!HK512</f>
        <v>0</v>
      </c>
      <c r="AD35" s="206">
        <f>'P &amp; NP'!HL512</f>
        <v>0</v>
      </c>
      <c r="AE35" s="206">
        <f>'P &amp; NP'!IA512</f>
        <v>0</v>
      </c>
      <c r="AF35" s="206">
        <f>'P &amp; NP'!IB512</f>
        <v>0</v>
      </c>
      <c r="AG35" s="206">
        <f>'P &amp; NP'!IQ512</f>
        <v>0</v>
      </c>
      <c r="AH35" s="206">
        <f>'P &amp; NP'!IR512</f>
        <v>0</v>
      </c>
      <c r="AI35" s="206">
        <f>'P &amp; NP'!JG512</f>
        <v>0</v>
      </c>
      <c r="AJ35" s="206">
        <f>'P &amp; NP'!JH512</f>
        <v>0</v>
      </c>
      <c r="AK35" s="206">
        <f>'P &amp; NP'!JW512</f>
        <v>0</v>
      </c>
      <c r="AL35" s="206">
        <f>'P &amp; NP'!JX512</f>
        <v>0</v>
      </c>
      <c r="AM35" s="206">
        <f>'P &amp; NP'!KM512</f>
        <v>0</v>
      </c>
      <c r="AN35" s="206">
        <f>'P &amp; NP'!KN512</f>
        <v>0</v>
      </c>
      <c r="AO35" s="206">
        <f>'P &amp; NP'!LC512</f>
        <v>0</v>
      </c>
      <c r="AP35" s="206">
        <f>'P &amp; NP'!LD512</f>
        <v>0</v>
      </c>
      <c r="AQ35" s="206">
        <f>'P &amp; NP'!LS512</f>
        <v>0</v>
      </c>
      <c r="AR35" s="206">
        <f>'P &amp; NP'!LT512</f>
        <v>0</v>
      </c>
      <c r="AS35" s="206">
        <f>'P &amp; NP'!MI512</f>
        <v>0</v>
      </c>
      <c r="AT35" s="206">
        <f>'P &amp; NP'!MJ512</f>
        <v>0</v>
      </c>
      <c r="AU35" s="206">
        <f>'P &amp; NP'!MY512</f>
        <v>0</v>
      </c>
      <c r="AV35" s="206">
        <f>'P &amp; NP'!MZ512</f>
        <v>0</v>
      </c>
      <c r="AW35" s="206">
        <f>'P &amp; NP'!NO512</f>
        <v>0</v>
      </c>
      <c r="AX35" s="206">
        <f>'P &amp; NP'!NP512</f>
        <v>0</v>
      </c>
      <c r="AY35" s="206">
        <f>'P &amp; NP'!OE512</f>
        <v>0</v>
      </c>
      <c r="AZ35" s="206">
        <f>'P &amp; NP'!OF512</f>
        <v>0</v>
      </c>
      <c r="BA35" s="206">
        <f>'P &amp; NP'!OU512</f>
        <v>0</v>
      </c>
      <c r="BB35" s="206">
        <f>'P &amp; NP'!OV512</f>
        <v>0</v>
      </c>
      <c r="BC35" s="206">
        <f>'P &amp; NP'!PK512</f>
        <v>0</v>
      </c>
      <c r="BD35" s="206">
        <f>'P &amp; NP'!PL512</f>
        <v>0</v>
      </c>
      <c r="BE35" s="206">
        <f>'P &amp; NP'!QA512</f>
        <v>0</v>
      </c>
      <c r="BF35" s="206">
        <f>'P &amp; NP'!QB512</f>
        <v>0</v>
      </c>
      <c r="BG35" s="206">
        <f>'P &amp; NP'!QQ512</f>
        <v>0</v>
      </c>
      <c r="BH35" s="206">
        <f>'P &amp; NP'!QR512</f>
        <v>0</v>
      </c>
      <c r="BI35" s="206">
        <f>'P &amp; NP'!RG512</f>
        <v>0</v>
      </c>
      <c r="BJ35" s="206">
        <f>'P &amp; NP'!RH512</f>
        <v>0</v>
      </c>
      <c r="BK35" s="206">
        <f>'P &amp; NP'!RW512</f>
        <v>0</v>
      </c>
      <c r="BL35" s="206">
        <f>'P &amp; NP'!RX512</f>
        <v>0</v>
      </c>
      <c r="BM35" s="206">
        <f>'P &amp; NP'!SM512</f>
        <v>0</v>
      </c>
      <c r="BN35" s="206">
        <f>'P &amp; NP'!SN512</f>
        <v>0</v>
      </c>
      <c r="BO35" s="206">
        <f>'P &amp; NP'!TC512</f>
        <v>0</v>
      </c>
      <c r="BP35" s="206">
        <f>'P &amp; NP'!TD512</f>
        <v>0</v>
      </c>
      <c r="BQ35" s="206">
        <f>'P &amp; NP'!TS512</f>
        <v>0</v>
      </c>
      <c r="BR35" s="206">
        <f>'P &amp; NP'!TT512</f>
        <v>0</v>
      </c>
      <c r="BS35" s="206">
        <f>'P &amp; NP'!UI512</f>
        <v>0</v>
      </c>
      <c r="BT35" s="206">
        <f>'P &amp; NP'!UJ512</f>
        <v>0</v>
      </c>
      <c r="BU35" s="206">
        <f>'P &amp; NP'!UY512</f>
        <v>0</v>
      </c>
      <c r="BV35" s="206">
        <f>'P &amp; NP'!UZ512</f>
        <v>0</v>
      </c>
      <c r="BW35" s="206">
        <f>'P &amp; NP'!VO512</f>
        <v>0</v>
      </c>
      <c r="BX35" s="206">
        <f>'P &amp; NP'!VP512</f>
        <v>0</v>
      </c>
      <c r="BY35" s="206">
        <f>'P &amp; NP'!WE512</f>
        <v>0</v>
      </c>
      <c r="BZ35" s="206">
        <f>'P &amp; NP'!WF512</f>
        <v>0</v>
      </c>
      <c r="CB35" s="206">
        <f t="shared" si="2"/>
        <v>0</v>
      </c>
      <c r="CC35" s="206">
        <f t="shared" si="3"/>
        <v>0</v>
      </c>
    </row>
    <row r="36" spans="2:81">
      <c r="B36" s="207" t="str">
        <f>'P &amp; NP'!B42</f>
        <v xml:space="preserve">Udang_02 (Udang Rebon) </v>
      </c>
      <c r="C36" s="209">
        <f>'P &amp; NP'!K513</f>
        <v>0</v>
      </c>
      <c r="D36" s="209">
        <f>'P &amp; NP'!L513</f>
        <v>0</v>
      </c>
      <c r="E36" s="209">
        <f>'P &amp; NP'!AA513</f>
        <v>0</v>
      </c>
      <c r="F36" s="209">
        <f>'P &amp; NP'!AB513</f>
        <v>0</v>
      </c>
      <c r="G36" s="209">
        <f>'P &amp; NP'!AQ513</f>
        <v>0</v>
      </c>
      <c r="H36" s="209">
        <f>'P &amp; NP'!AR513</f>
        <v>0</v>
      </c>
      <c r="I36" s="209">
        <f>'P &amp; NP'!BG513</f>
        <v>0</v>
      </c>
      <c r="J36" s="209">
        <f>'P &amp; NP'!BH513</f>
        <v>0</v>
      </c>
      <c r="K36" s="206">
        <f>'P &amp; NP'!BW513</f>
        <v>0</v>
      </c>
      <c r="L36" s="206">
        <f>'P &amp; NP'!BX513</f>
        <v>0</v>
      </c>
      <c r="M36" s="206">
        <f>'P &amp; NP'!CM513</f>
        <v>0</v>
      </c>
      <c r="N36" s="206">
        <f>'P &amp; NP'!CN513</f>
        <v>0</v>
      </c>
      <c r="O36" s="206">
        <f>'P &amp; NP'!DC513</f>
        <v>0</v>
      </c>
      <c r="P36" s="206">
        <f>'P &amp; NP'!DD513</f>
        <v>0</v>
      </c>
      <c r="Q36" s="206">
        <f>'P &amp; NP'!DS513</f>
        <v>0</v>
      </c>
      <c r="R36" s="206">
        <f>'P &amp; NP'!DT513</f>
        <v>0</v>
      </c>
      <c r="S36" s="206">
        <f>'P &amp; NP'!EI513</f>
        <v>0</v>
      </c>
      <c r="T36" s="206">
        <f>'P &amp; NP'!EJ513</f>
        <v>0</v>
      </c>
      <c r="U36" s="206">
        <f>'P &amp; NP'!EY513</f>
        <v>0</v>
      </c>
      <c r="V36" s="206">
        <f>'P &amp; NP'!EZ513</f>
        <v>0</v>
      </c>
      <c r="W36" s="206">
        <f>'P &amp; NP'!FO513</f>
        <v>0</v>
      </c>
      <c r="X36" s="206">
        <f>'P &amp; NP'!FP513</f>
        <v>0</v>
      </c>
      <c r="Y36" s="206">
        <f>'P &amp; NP'!GE513</f>
        <v>0</v>
      </c>
      <c r="Z36" s="206">
        <f>'P &amp; NP'!GF513</f>
        <v>0</v>
      </c>
      <c r="AA36" s="206">
        <f>'P &amp; NP'!GU513</f>
        <v>0</v>
      </c>
      <c r="AB36" s="206">
        <f>'P &amp; NP'!GV513</f>
        <v>0</v>
      </c>
      <c r="AC36" s="206">
        <f>'P &amp; NP'!HK513</f>
        <v>0</v>
      </c>
      <c r="AD36" s="206">
        <f>'P &amp; NP'!HL513</f>
        <v>0</v>
      </c>
      <c r="AE36" s="206">
        <f>'P &amp; NP'!IA513</f>
        <v>0</v>
      </c>
      <c r="AF36" s="206">
        <f>'P &amp; NP'!IB513</f>
        <v>0</v>
      </c>
      <c r="AG36" s="206">
        <f>'P &amp; NP'!IQ513</f>
        <v>0</v>
      </c>
      <c r="AH36" s="206">
        <f>'P &amp; NP'!IR513</f>
        <v>0</v>
      </c>
      <c r="AI36" s="206">
        <f>'P &amp; NP'!JG513</f>
        <v>0</v>
      </c>
      <c r="AJ36" s="206">
        <f>'P &amp; NP'!JH513</f>
        <v>0</v>
      </c>
      <c r="AK36" s="206">
        <f>'P &amp; NP'!JW513</f>
        <v>0</v>
      </c>
      <c r="AL36" s="206">
        <f>'P &amp; NP'!JX513</f>
        <v>0</v>
      </c>
      <c r="AM36" s="206">
        <f>'P &amp; NP'!KM513</f>
        <v>0</v>
      </c>
      <c r="AN36" s="206">
        <f>'P &amp; NP'!KN513</f>
        <v>0</v>
      </c>
      <c r="AO36" s="206">
        <f>'P &amp; NP'!LC513</f>
        <v>0</v>
      </c>
      <c r="AP36" s="206">
        <f>'P &amp; NP'!LD513</f>
        <v>0</v>
      </c>
      <c r="AQ36" s="206">
        <f>'P &amp; NP'!LS513</f>
        <v>0</v>
      </c>
      <c r="AR36" s="206">
        <f>'P &amp; NP'!LT513</f>
        <v>0</v>
      </c>
      <c r="AS36" s="206">
        <f>'P &amp; NP'!MI513</f>
        <v>0</v>
      </c>
      <c r="AT36" s="206">
        <f>'P &amp; NP'!MJ513</f>
        <v>0</v>
      </c>
      <c r="AU36" s="206">
        <f>'P &amp; NP'!MY513</f>
        <v>0</v>
      </c>
      <c r="AV36" s="206">
        <f>'P &amp; NP'!MZ513</f>
        <v>0</v>
      </c>
      <c r="AW36" s="206">
        <f>'P &amp; NP'!NO513</f>
        <v>0</v>
      </c>
      <c r="AX36" s="206">
        <f>'P &amp; NP'!NP513</f>
        <v>0</v>
      </c>
      <c r="AY36" s="206">
        <f>'P &amp; NP'!OE513</f>
        <v>0</v>
      </c>
      <c r="AZ36" s="206">
        <f>'P &amp; NP'!OF513</f>
        <v>0</v>
      </c>
      <c r="BA36" s="206">
        <f>'P &amp; NP'!OU513</f>
        <v>0</v>
      </c>
      <c r="BB36" s="206">
        <f>'P &amp; NP'!OV513</f>
        <v>0</v>
      </c>
      <c r="BC36" s="206">
        <f>'P &amp; NP'!PK513</f>
        <v>0</v>
      </c>
      <c r="BD36" s="206">
        <f>'P &amp; NP'!PL513</f>
        <v>0</v>
      </c>
      <c r="BE36" s="206">
        <f>'P &amp; NP'!QA513</f>
        <v>0</v>
      </c>
      <c r="BF36" s="206">
        <f>'P &amp; NP'!QB513</f>
        <v>0</v>
      </c>
      <c r="BG36" s="206">
        <f>'P &amp; NP'!QQ513</f>
        <v>0</v>
      </c>
      <c r="BH36" s="206">
        <f>'P &amp; NP'!QR513</f>
        <v>0</v>
      </c>
      <c r="BI36" s="206">
        <f>'P &amp; NP'!RG513</f>
        <v>0</v>
      </c>
      <c r="BJ36" s="206">
        <f>'P &amp; NP'!RH513</f>
        <v>0</v>
      </c>
      <c r="BK36" s="206">
        <f>'P &amp; NP'!RW513</f>
        <v>0</v>
      </c>
      <c r="BL36" s="206">
        <f>'P &amp; NP'!RX513</f>
        <v>0</v>
      </c>
      <c r="BM36" s="206">
        <f>'P &amp; NP'!SM513</f>
        <v>0</v>
      </c>
      <c r="BN36" s="206">
        <f>'P &amp; NP'!SN513</f>
        <v>0</v>
      </c>
      <c r="BO36" s="206">
        <f>'P &amp; NP'!TC513</f>
        <v>0</v>
      </c>
      <c r="BP36" s="206">
        <f>'P &amp; NP'!TD513</f>
        <v>0</v>
      </c>
      <c r="BQ36" s="206">
        <f>'P &amp; NP'!TS513</f>
        <v>0</v>
      </c>
      <c r="BR36" s="206">
        <f>'P &amp; NP'!TT513</f>
        <v>0</v>
      </c>
      <c r="BS36" s="206">
        <f>'P &amp; NP'!UI513</f>
        <v>0</v>
      </c>
      <c r="BT36" s="206">
        <f>'P &amp; NP'!UJ513</f>
        <v>0</v>
      </c>
      <c r="BU36" s="206">
        <f>'P &amp; NP'!UY513</f>
        <v>0</v>
      </c>
      <c r="BV36" s="206">
        <f>'P &amp; NP'!UZ513</f>
        <v>0</v>
      </c>
      <c r="BW36" s="206">
        <f>'P &amp; NP'!VO513</f>
        <v>0</v>
      </c>
      <c r="BX36" s="206">
        <f>'P &amp; NP'!VP513</f>
        <v>0</v>
      </c>
      <c r="BY36" s="206">
        <f>'P &amp; NP'!WE513</f>
        <v>0</v>
      </c>
      <c r="BZ36" s="206">
        <f>'P &amp; NP'!WF513</f>
        <v>0</v>
      </c>
      <c r="CB36" s="206">
        <f t="shared" si="2"/>
        <v>0</v>
      </c>
      <c r="CC36" s="206">
        <f t="shared" si="3"/>
        <v>0</v>
      </c>
    </row>
    <row r="37" spans="2:81">
      <c r="B37" s="207" t="str">
        <f>'P &amp; NP'!B43</f>
        <v xml:space="preserve">Belut Sawah </v>
      </c>
      <c r="C37" s="209">
        <f>'P &amp; NP'!K514</f>
        <v>0</v>
      </c>
      <c r="D37" s="209">
        <f>'P &amp; NP'!L514</f>
        <v>0</v>
      </c>
      <c r="E37" s="209">
        <f>'P &amp; NP'!AA514</f>
        <v>0</v>
      </c>
      <c r="F37" s="209">
        <f>'P &amp; NP'!AB514</f>
        <v>0</v>
      </c>
      <c r="G37" s="209">
        <f>'P &amp; NP'!AQ514</f>
        <v>0</v>
      </c>
      <c r="H37" s="209">
        <f>'P &amp; NP'!AR514</f>
        <v>0</v>
      </c>
      <c r="I37" s="209">
        <f>'P &amp; NP'!BG514</f>
        <v>0</v>
      </c>
      <c r="J37" s="209">
        <f>'P &amp; NP'!BH514</f>
        <v>0</v>
      </c>
      <c r="K37" s="206">
        <f>'P &amp; NP'!BW514</f>
        <v>0</v>
      </c>
      <c r="L37" s="206">
        <f>'P &amp; NP'!BX514</f>
        <v>0</v>
      </c>
      <c r="M37" s="206">
        <f>'P &amp; NP'!CM514</f>
        <v>0</v>
      </c>
      <c r="N37" s="206">
        <f>'P &amp; NP'!CN514</f>
        <v>0</v>
      </c>
      <c r="O37" s="206">
        <f>'P &amp; NP'!DC514</f>
        <v>0</v>
      </c>
      <c r="P37" s="206">
        <f>'P &amp; NP'!DD514</f>
        <v>0</v>
      </c>
      <c r="Q37" s="206">
        <f>'P &amp; NP'!DS514</f>
        <v>0</v>
      </c>
      <c r="R37" s="206">
        <f>'P &amp; NP'!DT514</f>
        <v>0</v>
      </c>
      <c r="S37" s="206">
        <f>'P &amp; NP'!EI514</f>
        <v>0</v>
      </c>
      <c r="T37" s="206">
        <f>'P &amp; NP'!EJ514</f>
        <v>0</v>
      </c>
      <c r="U37" s="206">
        <f>'P &amp; NP'!EY514</f>
        <v>0</v>
      </c>
      <c r="V37" s="206">
        <f>'P &amp; NP'!EZ514</f>
        <v>0</v>
      </c>
      <c r="W37" s="206">
        <f>'P &amp; NP'!FO514</f>
        <v>0</v>
      </c>
      <c r="X37" s="206">
        <f>'P &amp; NP'!FP514</f>
        <v>0</v>
      </c>
      <c r="Y37" s="206">
        <f>'P &amp; NP'!GE514</f>
        <v>0</v>
      </c>
      <c r="Z37" s="206">
        <f>'P &amp; NP'!GF514</f>
        <v>0</v>
      </c>
      <c r="AA37" s="206">
        <f>'P &amp; NP'!GU514</f>
        <v>0</v>
      </c>
      <c r="AB37" s="206">
        <f>'P &amp; NP'!GV514</f>
        <v>0</v>
      </c>
      <c r="AC37" s="206">
        <f>'P &amp; NP'!HK514</f>
        <v>0</v>
      </c>
      <c r="AD37" s="206">
        <f>'P &amp; NP'!HL514</f>
        <v>0</v>
      </c>
      <c r="AE37" s="206">
        <f>'P &amp; NP'!IA514</f>
        <v>0</v>
      </c>
      <c r="AF37" s="206">
        <f>'P &amp; NP'!IB514</f>
        <v>0</v>
      </c>
      <c r="AG37" s="206">
        <f>'P &amp; NP'!IQ514</f>
        <v>0</v>
      </c>
      <c r="AH37" s="206">
        <f>'P &amp; NP'!IR514</f>
        <v>0</v>
      </c>
      <c r="AI37" s="206">
        <f>'P &amp; NP'!JG514</f>
        <v>0</v>
      </c>
      <c r="AJ37" s="206">
        <f>'P &amp; NP'!JH514</f>
        <v>0</v>
      </c>
      <c r="AK37" s="206">
        <f>'P &amp; NP'!JW514</f>
        <v>0</v>
      </c>
      <c r="AL37" s="206">
        <f>'P &amp; NP'!JX514</f>
        <v>0</v>
      </c>
      <c r="AM37" s="206">
        <f>'P &amp; NP'!KM514</f>
        <v>0</v>
      </c>
      <c r="AN37" s="206">
        <f>'P &amp; NP'!KN514</f>
        <v>0</v>
      </c>
      <c r="AO37" s="206">
        <f>'P &amp; NP'!LC514</f>
        <v>0</v>
      </c>
      <c r="AP37" s="206">
        <f>'P &amp; NP'!LD514</f>
        <v>0</v>
      </c>
      <c r="AQ37" s="206">
        <f>'P &amp; NP'!LS514</f>
        <v>0</v>
      </c>
      <c r="AR37" s="206">
        <f>'P &amp; NP'!LT514</f>
        <v>0</v>
      </c>
      <c r="AS37" s="206">
        <f>'P &amp; NP'!MI514</f>
        <v>0</v>
      </c>
      <c r="AT37" s="206">
        <f>'P &amp; NP'!MJ514</f>
        <v>0</v>
      </c>
      <c r="AU37" s="206">
        <f>'P &amp; NP'!MY514</f>
        <v>0</v>
      </c>
      <c r="AV37" s="206">
        <f>'P &amp; NP'!MZ514</f>
        <v>0</v>
      </c>
      <c r="AW37" s="206">
        <f>'P &amp; NP'!NO514</f>
        <v>0</v>
      </c>
      <c r="AX37" s="206">
        <f>'P &amp; NP'!NP514</f>
        <v>0</v>
      </c>
      <c r="AY37" s="206">
        <f>'P &amp; NP'!OE514</f>
        <v>0</v>
      </c>
      <c r="AZ37" s="206">
        <f>'P &amp; NP'!OF514</f>
        <v>0</v>
      </c>
      <c r="BA37" s="206">
        <f>'P &amp; NP'!OU514</f>
        <v>0</v>
      </c>
      <c r="BB37" s="206">
        <f>'P &amp; NP'!OV514</f>
        <v>0</v>
      </c>
      <c r="BC37" s="206">
        <f>'P &amp; NP'!PK514</f>
        <v>0</v>
      </c>
      <c r="BD37" s="206">
        <f>'P &amp; NP'!PL514</f>
        <v>0</v>
      </c>
      <c r="BE37" s="206">
        <f>'P &amp; NP'!QA514</f>
        <v>0</v>
      </c>
      <c r="BF37" s="206">
        <f>'P &amp; NP'!QB514</f>
        <v>0</v>
      </c>
      <c r="BG37" s="206">
        <f>'P &amp; NP'!QQ514</f>
        <v>0</v>
      </c>
      <c r="BH37" s="206">
        <f>'P &amp; NP'!QR514</f>
        <v>0</v>
      </c>
      <c r="BI37" s="206">
        <f>'P &amp; NP'!RG514</f>
        <v>0</v>
      </c>
      <c r="BJ37" s="206">
        <f>'P &amp; NP'!RH514</f>
        <v>0</v>
      </c>
      <c r="BK37" s="206">
        <f>'P &amp; NP'!RW514</f>
        <v>0</v>
      </c>
      <c r="BL37" s="206">
        <f>'P &amp; NP'!RX514</f>
        <v>0</v>
      </c>
      <c r="BM37" s="206">
        <f>'P &amp; NP'!SM514</f>
        <v>0</v>
      </c>
      <c r="BN37" s="206">
        <f>'P &amp; NP'!SN514</f>
        <v>0</v>
      </c>
      <c r="BO37" s="206">
        <f>'P &amp; NP'!TC514</f>
        <v>0</v>
      </c>
      <c r="BP37" s="206">
        <f>'P &amp; NP'!TD514</f>
        <v>0</v>
      </c>
      <c r="BQ37" s="206">
        <f>'P &amp; NP'!TS514</f>
        <v>0</v>
      </c>
      <c r="BR37" s="206">
        <f>'P &amp; NP'!TT514</f>
        <v>0</v>
      </c>
      <c r="BS37" s="206">
        <f>'P &amp; NP'!UI514</f>
        <v>0</v>
      </c>
      <c r="BT37" s="206">
        <f>'P &amp; NP'!UJ514</f>
        <v>0</v>
      </c>
      <c r="BU37" s="206">
        <f>'P &amp; NP'!UY514</f>
        <v>0</v>
      </c>
      <c r="BV37" s="206">
        <f>'P &amp; NP'!UZ514</f>
        <v>0</v>
      </c>
      <c r="BW37" s="206">
        <f>'P &amp; NP'!VO514</f>
        <v>0</v>
      </c>
      <c r="BX37" s="206">
        <f>'P &amp; NP'!VP514</f>
        <v>0</v>
      </c>
      <c r="BY37" s="206">
        <f>'P &amp; NP'!WE514</f>
        <v>0</v>
      </c>
      <c r="BZ37" s="206">
        <f>'P &amp; NP'!WF514</f>
        <v>0</v>
      </c>
      <c r="CB37" s="206">
        <f t="shared" si="2"/>
        <v>0</v>
      </c>
      <c r="CC37" s="206">
        <f t="shared" si="3"/>
        <v>0</v>
      </c>
    </row>
    <row r="38" spans="2:81">
      <c r="B38" s="207" t="str">
        <f>'P &amp; NP'!B44</f>
        <v xml:space="preserve">Udang_04 (Udang Lainnya) </v>
      </c>
      <c r="C38" s="209">
        <f>'P &amp; NP'!K515</f>
        <v>0</v>
      </c>
      <c r="D38" s="209">
        <f>'P &amp; NP'!L515</f>
        <v>0</v>
      </c>
      <c r="E38" s="209">
        <f>'P &amp; NP'!AA515</f>
        <v>0</v>
      </c>
      <c r="F38" s="209">
        <f>'P &amp; NP'!AB515</f>
        <v>0</v>
      </c>
      <c r="G38" s="209">
        <f>'P &amp; NP'!AQ515</f>
        <v>0</v>
      </c>
      <c r="H38" s="209">
        <f>'P &amp; NP'!AR515</f>
        <v>0</v>
      </c>
      <c r="I38" s="209">
        <f>'P &amp; NP'!BG515</f>
        <v>0</v>
      </c>
      <c r="J38" s="209">
        <f>'P &amp; NP'!BH515</f>
        <v>0</v>
      </c>
      <c r="K38" s="206">
        <f>'P &amp; NP'!BW515</f>
        <v>0</v>
      </c>
      <c r="L38" s="206">
        <f>'P &amp; NP'!BX515</f>
        <v>0</v>
      </c>
      <c r="M38" s="206">
        <f>'P &amp; NP'!CM515</f>
        <v>0</v>
      </c>
      <c r="N38" s="206">
        <f>'P &amp; NP'!CN515</f>
        <v>0</v>
      </c>
      <c r="O38" s="206">
        <f>'P &amp; NP'!DC515</f>
        <v>0</v>
      </c>
      <c r="P38" s="206">
        <f>'P &amp; NP'!DD515</f>
        <v>0</v>
      </c>
      <c r="Q38" s="206">
        <f>'P &amp; NP'!DS515</f>
        <v>0</v>
      </c>
      <c r="R38" s="206">
        <f>'P &amp; NP'!DT515</f>
        <v>0</v>
      </c>
      <c r="S38" s="206">
        <f>'P &amp; NP'!EI515</f>
        <v>0</v>
      </c>
      <c r="T38" s="206">
        <f>'P &amp; NP'!EJ515</f>
        <v>0</v>
      </c>
      <c r="U38" s="206">
        <f>'P &amp; NP'!EY515</f>
        <v>0</v>
      </c>
      <c r="V38" s="206">
        <f>'P &amp; NP'!EZ515</f>
        <v>0</v>
      </c>
      <c r="W38" s="206">
        <f>'P &amp; NP'!FO515</f>
        <v>0</v>
      </c>
      <c r="X38" s="206">
        <f>'P &amp; NP'!FP515</f>
        <v>0</v>
      </c>
      <c r="Y38" s="206">
        <f>'P &amp; NP'!GE515</f>
        <v>0</v>
      </c>
      <c r="Z38" s="206">
        <f>'P &amp; NP'!GF515</f>
        <v>0</v>
      </c>
      <c r="AA38" s="206">
        <f>'P &amp; NP'!GU515</f>
        <v>0</v>
      </c>
      <c r="AB38" s="206">
        <f>'P &amp; NP'!GV515</f>
        <v>0</v>
      </c>
      <c r="AC38" s="206">
        <f>'P &amp; NP'!HK515</f>
        <v>0</v>
      </c>
      <c r="AD38" s="206">
        <f>'P &amp; NP'!HL515</f>
        <v>0</v>
      </c>
      <c r="AE38" s="206">
        <f>'P &amp; NP'!IA515</f>
        <v>0</v>
      </c>
      <c r="AF38" s="206">
        <f>'P &amp; NP'!IB515</f>
        <v>0</v>
      </c>
      <c r="AG38" s="206">
        <f>'P &amp; NP'!IQ515</f>
        <v>0</v>
      </c>
      <c r="AH38" s="206">
        <f>'P &amp; NP'!IR515</f>
        <v>0</v>
      </c>
      <c r="AI38" s="206">
        <f>'P &amp; NP'!JG515</f>
        <v>0</v>
      </c>
      <c r="AJ38" s="206">
        <f>'P &amp; NP'!JH515</f>
        <v>0</v>
      </c>
      <c r="AK38" s="206">
        <f>'P &amp; NP'!JW515</f>
        <v>0</v>
      </c>
      <c r="AL38" s="206">
        <f>'P &amp; NP'!JX515</f>
        <v>0</v>
      </c>
      <c r="AM38" s="206">
        <f>'P &amp; NP'!KM515</f>
        <v>0</v>
      </c>
      <c r="AN38" s="206">
        <f>'P &amp; NP'!KN515</f>
        <v>0</v>
      </c>
      <c r="AO38" s="206">
        <f>'P &amp; NP'!LC515</f>
        <v>0</v>
      </c>
      <c r="AP38" s="206">
        <f>'P &amp; NP'!LD515</f>
        <v>0</v>
      </c>
      <c r="AQ38" s="206">
        <f>'P &amp; NP'!LS515</f>
        <v>0</v>
      </c>
      <c r="AR38" s="206">
        <f>'P &amp; NP'!LT515</f>
        <v>0</v>
      </c>
      <c r="AS38" s="206">
        <f>'P &amp; NP'!MI515</f>
        <v>0</v>
      </c>
      <c r="AT38" s="206">
        <f>'P &amp; NP'!MJ515</f>
        <v>0</v>
      </c>
      <c r="AU38" s="206">
        <f>'P &amp; NP'!MY515</f>
        <v>0</v>
      </c>
      <c r="AV38" s="206">
        <f>'P &amp; NP'!MZ515</f>
        <v>0</v>
      </c>
      <c r="AW38" s="206">
        <f>'P &amp; NP'!NO515</f>
        <v>0</v>
      </c>
      <c r="AX38" s="206">
        <f>'P &amp; NP'!NP515</f>
        <v>0</v>
      </c>
      <c r="AY38" s="206">
        <f>'P &amp; NP'!OE515</f>
        <v>0</v>
      </c>
      <c r="AZ38" s="206">
        <f>'P &amp; NP'!OF515</f>
        <v>0</v>
      </c>
      <c r="BA38" s="206">
        <f>'P &amp; NP'!OU515</f>
        <v>0</v>
      </c>
      <c r="BB38" s="206">
        <f>'P &amp; NP'!OV515</f>
        <v>0</v>
      </c>
      <c r="BC38" s="206">
        <f>'P &amp; NP'!PK515</f>
        <v>0</v>
      </c>
      <c r="BD38" s="206">
        <f>'P &amp; NP'!PL515</f>
        <v>0</v>
      </c>
      <c r="BE38" s="206">
        <f>'P &amp; NP'!QA515</f>
        <v>0</v>
      </c>
      <c r="BF38" s="206">
        <f>'P &amp; NP'!QB515</f>
        <v>0</v>
      </c>
      <c r="BG38" s="206">
        <f>'P &amp; NP'!QQ515</f>
        <v>0</v>
      </c>
      <c r="BH38" s="206">
        <f>'P &amp; NP'!QR515</f>
        <v>0</v>
      </c>
      <c r="BI38" s="206">
        <f>'P &amp; NP'!RG515</f>
        <v>0</v>
      </c>
      <c r="BJ38" s="206">
        <f>'P &amp; NP'!RH515</f>
        <v>0</v>
      </c>
      <c r="BK38" s="206">
        <f>'P &amp; NP'!RW515</f>
        <v>0</v>
      </c>
      <c r="BL38" s="206">
        <f>'P &amp; NP'!RX515</f>
        <v>0</v>
      </c>
      <c r="BM38" s="206">
        <f>'P &amp; NP'!SM515</f>
        <v>0</v>
      </c>
      <c r="BN38" s="206">
        <f>'P &amp; NP'!SN515</f>
        <v>0</v>
      </c>
      <c r="BO38" s="206">
        <f>'P &amp; NP'!TC515</f>
        <v>0</v>
      </c>
      <c r="BP38" s="206">
        <f>'P &amp; NP'!TD515</f>
        <v>0</v>
      </c>
      <c r="BQ38" s="206">
        <f>'P &amp; NP'!TS515</f>
        <v>0</v>
      </c>
      <c r="BR38" s="206">
        <f>'P &amp; NP'!TT515</f>
        <v>0</v>
      </c>
      <c r="BS38" s="206">
        <f>'P &amp; NP'!UI515</f>
        <v>0</v>
      </c>
      <c r="BT38" s="206">
        <f>'P &amp; NP'!UJ515</f>
        <v>0</v>
      </c>
      <c r="BU38" s="206">
        <f>'P &amp; NP'!UY515</f>
        <v>0</v>
      </c>
      <c r="BV38" s="206">
        <f>'P &amp; NP'!UZ515</f>
        <v>0</v>
      </c>
      <c r="BW38" s="206">
        <f>'P &amp; NP'!VO515</f>
        <v>0</v>
      </c>
      <c r="BX38" s="206">
        <f>'P &amp; NP'!VP515</f>
        <v>0</v>
      </c>
      <c r="BY38" s="206">
        <f>'P &amp; NP'!WE515</f>
        <v>0</v>
      </c>
      <c r="BZ38" s="206">
        <f>'P &amp; NP'!WF515</f>
        <v>0</v>
      </c>
      <c r="CB38" s="206">
        <f t="shared" si="2"/>
        <v>0</v>
      </c>
      <c r="CC38" s="206">
        <f t="shared" si="3"/>
        <v>0</v>
      </c>
    </row>
    <row r="39" spans="2:81">
      <c r="B39" s="207" t="str">
        <f>'P &amp; NP'!B45</f>
        <v xml:space="preserve">Udang_05 (Udang Lainnya) </v>
      </c>
      <c r="C39" s="209">
        <f>'P &amp; NP'!K516</f>
        <v>0</v>
      </c>
      <c r="D39" s="209">
        <f>'P &amp; NP'!L516</f>
        <v>0</v>
      </c>
      <c r="E39" s="209">
        <f>'P &amp; NP'!AA516</f>
        <v>0</v>
      </c>
      <c r="F39" s="209">
        <f>'P &amp; NP'!AB516</f>
        <v>0</v>
      </c>
      <c r="G39" s="209">
        <f>'P &amp; NP'!AQ516</f>
        <v>0</v>
      </c>
      <c r="H39" s="209">
        <f>'P &amp; NP'!AR516</f>
        <v>0</v>
      </c>
      <c r="I39" s="209">
        <f>'P &amp; NP'!BG516</f>
        <v>0</v>
      </c>
      <c r="J39" s="209">
        <f>'P &amp; NP'!BH516</f>
        <v>0</v>
      </c>
      <c r="K39" s="206">
        <f>'P &amp; NP'!BW516</f>
        <v>0</v>
      </c>
      <c r="L39" s="206">
        <f>'P &amp; NP'!BX516</f>
        <v>0</v>
      </c>
      <c r="M39" s="206">
        <f>'P &amp; NP'!CM516</f>
        <v>0</v>
      </c>
      <c r="N39" s="206">
        <f>'P &amp; NP'!CN516</f>
        <v>0</v>
      </c>
      <c r="O39" s="206">
        <f>'P &amp; NP'!DC516</f>
        <v>0</v>
      </c>
      <c r="P39" s="206">
        <f>'P &amp; NP'!DD516</f>
        <v>0</v>
      </c>
      <c r="Q39" s="206">
        <f>'P &amp; NP'!DS516</f>
        <v>0</v>
      </c>
      <c r="R39" s="206">
        <f>'P &amp; NP'!DT516</f>
        <v>0</v>
      </c>
      <c r="S39" s="206">
        <f>'P &amp; NP'!EI516</f>
        <v>0</v>
      </c>
      <c r="T39" s="206">
        <f>'P &amp; NP'!EJ516</f>
        <v>0</v>
      </c>
      <c r="U39" s="206">
        <f>'P &amp; NP'!EY516</f>
        <v>0</v>
      </c>
      <c r="V39" s="206">
        <f>'P &amp; NP'!EZ516</f>
        <v>0</v>
      </c>
      <c r="W39" s="206">
        <f>'P &amp; NP'!FO516</f>
        <v>0</v>
      </c>
      <c r="X39" s="206">
        <f>'P &amp; NP'!FP516</f>
        <v>0</v>
      </c>
      <c r="Y39" s="206">
        <f>'P &amp; NP'!GE516</f>
        <v>0</v>
      </c>
      <c r="Z39" s="206">
        <f>'P &amp; NP'!GF516</f>
        <v>0</v>
      </c>
      <c r="AA39" s="206">
        <f>'P &amp; NP'!GU516</f>
        <v>0</v>
      </c>
      <c r="AB39" s="206">
        <f>'P &amp; NP'!GV516</f>
        <v>0</v>
      </c>
      <c r="AC39" s="206">
        <f>'P &amp; NP'!HK516</f>
        <v>0</v>
      </c>
      <c r="AD39" s="206">
        <f>'P &amp; NP'!HL516</f>
        <v>0</v>
      </c>
      <c r="AE39" s="206">
        <f>'P &amp; NP'!IA516</f>
        <v>0</v>
      </c>
      <c r="AF39" s="206">
        <f>'P &amp; NP'!IB516</f>
        <v>0</v>
      </c>
      <c r="AG39" s="206">
        <f>'P &amp; NP'!IQ516</f>
        <v>0</v>
      </c>
      <c r="AH39" s="206">
        <f>'P &amp; NP'!IR516</f>
        <v>0</v>
      </c>
      <c r="AI39" s="206">
        <f>'P &amp; NP'!JG516</f>
        <v>0</v>
      </c>
      <c r="AJ39" s="206">
        <f>'P &amp; NP'!JH516</f>
        <v>0</v>
      </c>
      <c r="AK39" s="206">
        <f>'P &amp; NP'!JW516</f>
        <v>0</v>
      </c>
      <c r="AL39" s="206">
        <f>'P &amp; NP'!JX516</f>
        <v>0</v>
      </c>
      <c r="AM39" s="206">
        <f>'P &amp; NP'!KM516</f>
        <v>0</v>
      </c>
      <c r="AN39" s="206">
        <f>'P &amp; NP'!KN516</f>
        <v>0</v>
      </c>
      <c r="AO39" s="206">
        <f>'P &amp; NP'!LC516</f>
        <v>0</v>
      </c>
      <c r="AP39" s="206">
        <f>'P &amp; NP'!LD516</f>
        <v>0</v>
      </c>
      <c r="AQ39" s="206">
        <f>'P &amp; NP'!LS516</f>
        <v>0</v>
      </c>
      <c r="AR39" s="206">
        <f>'P &amp; NP'!LT516</f>
        <v>0</v>
      </c>
      <c r="AS39" s="206">
        <f>'P &amp; NP'!MI516</f>
        <v>0</v>
      </c>
      <c r="AT39" s="206">
        <f>'P &amp; NP'!MJ516</f>
        <v>0</v>
      </c>
      <c r="AU39" s="206">
        <f>'P &amp; NP'!MY516</f>
        <v>0</v>
      </c>
      <c r="AV39" s="206">
        <f>'P &amp; NP'!MZ516</f>
        <v>0</v>
      </c>
      <c r="AW39" s="206">
        <f>'P &amp; NP'!NO516</f>
        <v>0</v>
      </c>
      <c r="AX39" s="206">
        <f>'P &amp; NP'!NP516</f>
        <v>0</v>
      </c>
      <c r="AY39" s="206">
        <f>'P &amp; NP'!OE516</f>
        <v>0</v>
      </c>
      <c r="AZ39" s="206">
        <f>'P &amp; NP'!OF516</f>
        <v>0</v>
      </c>
      <c r="BA39" s="206">
        <f>'P &amp; NP'!OU516</f>
        <v>0</v>
      </c>
      <c r="BB39" s="206">
        <f>'P &amp; NP'!OV516</f>
        <v>0</v>
      </c>
      <c r="BC39" s="206">
        <f>'P &amp; NP'!PK516</f>
        <v>0</v>
      </c>
      <c r="BD39" s="206">
        <f>'P &amp; NP'!PL516</f>
        <v>0</v>
      </c>
      <c r="BE39" s="206">
        <f>'P &amp; NP'!QA516</f>
        <v>0</v>
      </c>
      <c r="BF39" s="206">
        <f>'P &amp; NP'!QB516</f>
        <v>0</v>
      </c>
      <c r="BG39" s="206">
        <f>'P &amp; NP'!QQ516</f>
        <v>0</v>
      </c>
      <c r="BH39" s="206">
        <f>'P &amp; NP'!QR516</f>
        <v>0</v>
      </c>
      <c r="BI39" s="206">
        <f>'P &amp; NP'!RG516</f>
        <v>0</v>
      </c>
      <c r="BJ39" s="206">
        <f>'P &amp; NP'!RH516</f>
        <v>0</v>
      </c>
      <c r="BK39" s="206">
        <f>'P &amp; NP'!RW516</f>
        <v>0</v>
      </c>
      <c r="BL39" s="206">
        <f>'P &amp; NP'!RX516</f>
        <v>0</v>
      </c>
      <c r="BM39" s="206">
        <f>'P &amp; NP'!SM516</f>
        <v>0</v>
      </c>
      <c r="BN39" s="206">
        <f>'P &amp; NP'!SN516</f>
        <v>0</v>
      </c>
      <c r="BO39" s="206">
        <f>'P &amp; NP'!TC516</f>
        <v>0</v>
      </c>
      <c r="BP39" s="206">
        <f>'P &amp; NP'!TD516</f>
        <v>0</v>
      </c>
      <c r="BQ39" s="206">
        <f>'P &amp; NP'!TS516</f>
        <v>0</v>
      </c>
      <c r="BR39" s="206">
        <f>'P &amp; NP'!TT516</f>
        <v>0</v>
      </c>
      <c r="BS39" s="206">
        <f>'P &amp; NP'!UI516</f>
        <v>0</v>
      </c>
      <c r="BT39" s="206">
        <f>'P &amp; NP'!UJ516</f>
        <v>0</v>
      </c>
      <c r="BU39" s="206">
        <f>'P &amp; NP'!UY516</f>
        <v>0</v>
      </c>
      <c r="BV39" s="206">
        <f>'P &amp; NP'!UZ516</f>
        <v>0</v>
      </c>
      <c r="BW39" s="206">
        <f>'P &amp; NP'!VO516</f>
        <v>0</v>
      </c>
      <c r="BX39" s="206">
        <f>'P &amp; NP'!VP516</f>
        <v>0</v>
      </c>
      <c r="BY39" s="206">
        <f>'P &amp; NP'!WE516</f>
        <v>0</v>
      </c>
      <c r="BZ39" s="206">
        <f>'P &amp; NP'!WF516</f>
        <v>0</v>
      </c>
      <c r="CB39" s="206">
        <f t="shared" si="2"/>
        <v>0</v>
      </c>
      <c r="CC39" s="206">
        <f t="shared" si="3"/>
        <v>0</v>
      </c>
    </row>
    <row r="40" spans="2:81">
      <c r="B40" s="207" t="str">
        <f>'P &amp; NP'!B46</f>
        <v>Ikan_01 (Ikan Lainnya)</v>
      </c>
      <c r="C40" s="209">
        <f>'P &amp; NP'!K517</f>
        <v>0</v>
      </c>
      <c r="D40" s="209">
        <f>'P &amp; NP'!L517</f>
        <v>0</v>
      </c>
      <c r="E40" s="209">
        <f>'P &amp; NP'!AA517</f>
        <v>0</v>
      </c>
      <c r="F40" s="209">
        <f>'P &amp; NP'!AB517</f>
        <v>0</v>
      </c>
      <c r="G40" s="209">
        <f>'P &amp; NP'!AQ517</f>
        <v>0</v>
      </c>
      <c r="H40" s="209">
        <f>'P &amp; NP'!AR517</f>
        <v>0</v>
      </c>
      <c r="I40" s="209">
        <f>'P &amp; NP'!BG517</f>
        <v>0</v>
      </c>
      <c r="J40" s="209">
        <f>'P &amp; NP'!BH517</f>
        <v>0</v>
      </c>
      <c r="K40" s="206">
        <f>'P &amp; NP'!BW517</f>
        <v>0</v>
      </c>
      <c r="L40" s="206">
        <f>'P &amp; NP'!BX517</f>
        <v>0</v>
      </c>
      <c r="M40" s="206">
        <f>'P &amp; NP'!CM517</f>
        <v>0</v>
      </c>
      <c r="N40" s="206">
        <f>'P &amp; NP'!CN517</f>
        <v>0</v>
      </c>
      <c r="O40" s="206">
        <f>'P &amp; NP'!DC517</f>
        <v>0</v>
      </c>
      <c r="P40" s="206">
        <f>'P &amp; NP'!DD517</f>
        <v>0</v>
      </c>
      <c r="Q40" s="206">
        <f>'P &amp; NP'!DS517</f>
        <v>0</v>
      </c>
      <c r="R40" s="206">
        <f>'P &amp; NP'!DT517</f>
        <v>0</v>
      </c>
      <c r="S40" s="206">
        <f>'P &amp; NP'!EI517</f>
        <v>0</v>
      </c>
      <c r="T40" s="206">
        <f>'P &amp; NP'!EJ517</f>
        <v>0</v>
      </c>
      <c r="U40" s="206">
        <f>'P &amp; NP'!EY517</f>
        <v>0</v>
      </c>
      <c r="V40" s="206">
        <f>'P &amp; NP'!EZ517</f>
        <v>0</v>
      </c>
      <c r="W40" s="206">
        <f>'P &amp; NP'!FO517</f>
        <v>0</v>
      </c>
      <c r="X40" s="206">
        <f>'P &amp; NP'!FP517</f>
        <v>0</v>
      </c>
      <c r="Y40" s="206">
        <f>'P &amp; NP'!GE517</f>
        <v>0</v>
      </c>
      <c r="Z40" s="206">
        <f>'P &amp; NP'!GF517</f>
        <v>0</v>
      </c>
      <c r="AA40" s="206">
        <f>'P &amp; NP'!GU517</f>
        <v>0</v>
      </c>
      <c r="AB40" s="206">
        <f>'P &amp; NP'!GV517</f>
        <v>0</v>
      </c>
      <c r="AC40" s="206">
        <f>'P &amp; NP'!HK517</f>
        <v>0</v>
      </c>
      <c r="AD40" s="206">
        <f>'P &amp; NP'!HL517</f>
        <v>0</v>
      </c>
      <c r="AE40" s="206">
        <f>'P &amp; NP'!IA517</f>
        <v>0</v>
      </c>
      <c r="AF40" s="206">
        <f>'P &amp; NP'!IB517</f>
        <v>0</v>
      </c>
      <c r="AG40" s="206">
        <f>'P &amp; NP'!IQ517</f>
        <v>0</v>
      </c>
      <c r="AH40" s="206">
        <f>'P &amp; NP'!IR517</f>
        <v>0</v>
      </c>
      <c r="AI40" s="206">
        <f>'P &amp; NP'!JG517</f>
        <v>0</v>
      </c>
      <c r="AJ40" s="206">
        <f>'P &amp; NP'!JH517</f>
        <v>0</v>
      </c>
      <c r="AK40" s="206">
        <f>'P &amp; NP'!JW517</f>
        <v>0</v>
      </c>
      <c r="AL40" s="206">
        <f>'P &amp; NP'!JX517</f>
        <v>0</v>
      </c>
      <c r="AM40" s="206">
        <f>'P &amp; NP'!KM517</f>
        <v>0</v>
      </c>
      <c r="AN40" s="206">
        <f>'P &amp; NP'!KN517</f>
        <v>0</v>
      </c>
      <c r="AO40" s="206">
        <f>'P &amp; NP'!LC517</f>
        <v>0</v>
      </c>
      <c r="AP40" s="206">
        <f>'P &amp; NP'!LD517</f>
        <v>0</v>
      </c>
      <c r="AQ40" s="206">
        <f>'P &amp; NP'!LS517</f>
        <v>0</v>
      </c>
      <c r="AR40" s="206">
        <f>'P &amp; NP'!LT517</f>
        <v>0</v>
      </c>
      <c r="AS40" s="206">
        <f>'P &amp; NP'!MI517</f>
        <v>0</v>
      </c>
      <c r="AT40" s="206">
        <f>'P &amp; NP'!MJ517</f>
        <v>0</v>
      </c>
      <c r="AU40" s="206">
        <f>'P &amp; NP'!MY517</f>
        <v>0</v>
      </c>
      <c r="AV40" s="206">
        <f>'P &amp; NP'!MZ517</f>
        <v>0</v>
      </c>
      <c r="AW40" s="206">
        <f>'P &amp; NP'!NO517</f>
        <v>0</v>
      </c>
      <c r="AX40" s="206">
        <f>'P &amp; NP'!NP517</f>
        <v>0</v>
      </c>
      <c r="AY40" s="206">
        <f>'P &amp; NP'!OE517</f>
        <v>0</v>
      </c>
      <c r="AZ40" s="206">
        <f>'P &amp; NP'!OF517</f>
        <v>0</v>
      </c>
      <c r="BA40" s="206">
        <f>'P &amp; NP'!OU517</f>
        <v>0</v>
      </c>
      <c r="BB40" s="206">
        <f>'P &amp; NP'!OV517</f>
        <v>0</v>
      </c>
      <c r="BC40" s="206">
        <f>'P &amp; NP'!PK517</f>
        <v>0</v>
      </c>
      <c r="BD40" s="206">
        <f>'P &amp; NP'!PL517</f>
        <v>0</v>
      </c>
      <c r="BE40" s="206">
        <f>'P &amp; NP'!QA517</f>
        <v>0</v>
      </c>
      <c r="BF40" s="206">
        <f>'P &amp; NP'!QB517</f>
        <v>0</v>
      </c>
      <c r="BG40" s="206">
        <f>'P &amp; NP'!QQ517</f>
        <v>0</v>
      </c>
      <c r="BH40" s="206">
        <f>'P &amp; NP'!QR517</f>
        <v>0</v>
      </c>
      <c r="BI40" s="206">
        <f>'P &amp; NP'!RG517</f>
        <v>0</v>
      </c>
      <c r="BJ40" s="206">
        <f>'P &amp; NP'!RH517</f>
        <v>0</v>
      </c>
      <c r="BK40" s="206">
        <f>'P &amp; NP'!RW517</f>
        <v>0</v>
      </c>
      <c r="BL40" s="206">
        <f>'P &amp; NP'!RX517</f>
        <v>0</v>
      </c>
      <c r="BM40" s="206">
        <f>'P &amp; NP'!SM517</f>
        <v>0</v>
      </c>
      <c r="BN40" s="206">
        <f>'P &amp; NP'!SN517</f>
        <v>0</v>
      </c>
      <c r="BO40" s="206">
        <f>'P &amp; NP'!TC517</f>
        <v>0</v>
      </c>
      <c r="BP40" s="206">
        <f>'P &amp; NP'!TD517</f>
        <v>0</v>
      </c>
      <c r="BQ40" s="206">
        <f>'P &amp; NP'!TS517</f>
        <v>0</v>
      </c>
      <c r="BR40" s="206">
        <f>'P &amp; NP'!TT517</f>
        <v>0</v>
      </c>
      <c r="BS40" s="206">
        <f>'P &amp; NP'!UI517</f>
        <v>0</v>
      </c>
      <c r="BT40" s="206">
        <f>'P &amp; NP'!UJ517</f>
        <v>0</v>
      </c>
      <c r="BU40" s="206">
        <f>'P &amp; NP'!UY517</f>
        <v>0</v>
      </c>
      <c r="BV40" s="206">
        <f>'P &amp; NP'!UZ517</f>
        <v>0</v>
      </c>
      <c r="BW40" s="206">
        <f>'P &amp; NP'!VO517</f>
        <v>0</v>
      </c>
      <c r="BX40" s="206">
        <f>'P &amp; NP'!VP517</f>
        <v>0</v>
      </c>
      <c r="BY40" s="206">
        <f>'P &amp; NP'!WE517</f>
        <v>0</v>
      </c>
      <c r="BZ40" s="206">
        <f>'P &amp; NP'!WF517</f>
        <v>0</v>
      </c>
      <c r="CB40" s="206">
        <f t="shared" si="2"/>
        <v>0</v>
      </c>
      <c r="CC40" s="206">
        <f t="shared" si="3"/>
        <v>0</v>
      </c>
    </row>
    <row r="41" spans="2:81">
      <c r="B41" s="207" t="str">
        <f>'P &amp; NP'!B47</f>
        <v>Ikan_02 (Tiram)</v>
      </c>
      <c r="C41" s="209">
        <f>'P &amp; NP'!K518</f>
        <v>0</v>
      </c>
      <c r="D41" s="209">
        <f>'P &amp; NP'!L518</f>
        <v>0</v>
      </c>
      <c r="E41" s="209">
        <f>'P &amp; NP'!AA518</f>
        <v>0</v>
      </c>
      <c r="F41" s="209">
        <f>'P &amp; NP'!AB518</f>
        <v>0</v>
      </c>
      <c r="G41" s="209">
        <f>'P &amp; NP'!AQ518</f>
        <v>0</v>
      </c>
      <c r="H41" s="209">
        <f>'P &amp; NP'!AR518</f>
        <v>0</v>
      </c>
      <c r="I41" s="209">
        <f>'P &amp; NP'!BG518</f>
        <v>0</v>
      </c>
      <c r="J41" s="209">
        <f>'P &amp; NP'!BH518</f>
        <v>0</v>
      </c>
      <c r="K41" s="206">
        <f>'P &amp; NP'!BW518</f>
        <v>0</v>
      </c>
      <c r="L41" s="206">
        <f>'P &amp; NP'!BX518</f>
        <v>0</v>
      </c>
      <c r="M41" s="206">
        <f>'P &amp; NP'!CM518</f>
        <v>0</v>
      </c>
      <c r="N41" s="206">
        <f>'P &amp; NP'!CN518</f>
        <v>0</v>
      </c>
      <c r="O41" s="206">
        <f>'P &amp; NP'!DC518</f>
        <v>0</v>
      </c>
      <c r="P41" s="206">
        <f>'P &amp; NP'!DD518</f>
        <v>0</v>
      </c>
      <c r="Q41" s="206">
        <f>'P &amp; NP'!DS518</f>
        <v>0</v>
      </c>
      <c r="R41" s="206">
        <f>'P &amp; NP'!DT518</f>
        <v>0</v>
      </c>
      <c r="S41" s="206">
        <f>'P &amp; NP'!EI518</f>
        <v>0</v>
      </c>
      <c r="T41" s="206">
        <f>'P &amp; NP'!EJ518</f>
        <v>0</v>
      </c>
      <c r="U41" s="206">
        <f>'P &amp; NP'!EY518</f>
        <v>0</v>
      </c>
      <c r="V41" s="206">
        <f>'P &amp; NP'!EZ518</f>
        <v>0</v>
      </c>
      <c r="W41" s="206">
        <f>'P &amp; NP'!FO518</f>
        <v>0</v>
      </c>
      <c r="X41" s="206">
        <f>'P &amp; NP'!FP518</f>
        <v>0</v>
      </c>
      <c r="Y41" s="206">
        <f>'P &amp; NP'!GE518</f>
        <v>0</v>
      </c>
      <c r="Z41" s="206">
        <f>'P &amp; NP'!GF518</f>
        <v>0</v>
      </c>
      <c r="AA41" s="206">
        <f>'P &amp; NP'!GU518</f>
        <v>0</v>
      </c>
      <c r="AB41" s="206">
        <f>'P &amp; NP'!GV518</f>
        <v>0</v>
      </c>
      <c r="AC41" s="206">
        <f>'P &amp; NP'!HK518</f>
        <v>0</v>
      </c>
      <c r="AD41" s="206">
        <f>'P &amp; NP'!HL518</f>
        <v>0</v>
      </c>
      <c r="AE41" s="206">
        <f>'P &amp; NP'!IA518</f>
        <v>0</v>
      </c>
      <c r="AF41" s="206">
        <f>'P &amp; NP'!IB518</f>
        <v>0</v>
      </c>
      <c r="AG41" s="206">
        <f>'P &amp; NP'!IQ518</f>
        <v>0</v>
      </c>
      <c r="AH41" s="206">
        <f>'P &amp; NP'!IR518</f>
        <v>0</v>
      </c>
      <c r="AI41" s="206">
        <f>'P &amp; NP'!JG518</f>
        <v>0</v>
      </c>
      <c r="AJ41" s="206">
        <f>'P &amp; NP'!JH518</f>
        <v>0</v>
      </c>
      <c r="AK41" s="206">
        <f>'P &amp; NP'!JW518</f>
        <v>0</v>
      </c>
      <c r="AL41" s="206">
        <f>'P &amp; NP'!JX518</f>
        <v>0</v>
      </c>
      <c r="AM41" s="206">
        <f>'P &amp; NP'!KM518</f>
        <v>0</v>
      </c>
      <c r="AN41" s="206">
        <f>'P &amp; NP'!KN518</f>
        <v>0</v>
      </c>
      <c r="AO41" s="206">
        <f>'P &amp; NP'!LC518</f>
        <v>0</v>
      </c>
      <c r="AP41" s="206">
        <f>'P &amp; NP'!LD518</f>
        <v>0</v>
      </c>
      <c r="AQ41" s="206">
        <f>'P &amp; NP'!LS518</f>
        <v>0</v>
      </c>
      <c r="AR41" s="206">
        <f>'P &amp; NP'!LT518</f>
        <v>0</v>
      </c>
      <c r="AS41" s="206">
        <f>'P &amp; NP'!MI518</f>
        <v>0</v>
      </c>
      <c r="AT41" s="206">
        <f>'P &amp; NP'!MJ518</f>
        <v>0</v>
      </c>
      <c r="AU41" s="206">
        <f>'P &amp; NP'!MY518</f>
        <v>0</v>
      </c>
      <c r="AV41" s="206">
        <f>'P &amp; NP'!MZ518</f>
        <v>0</v>
      </c>
      <c r="AW41" s="206">
        <f>'P &amp; NP'!NO518</f>
        <v>0</v>
      </c>
      <c r="AX41" s="206">
        <f>'P &amp; NP'!NP518</f>
        <v>0</v>
      </c>
      <c r="AY41" s="206">
        <f>'P &amp; NP'!OE518</f>
        <v>0</v>
      </c>
      <c r="AZ41" s="206">
        <f>'P &amp; NP'!OF518</f>
        <v>0</v>
      </c>
      <c r="BA41" s="206">
        <f>'P &amp; NP'!OU518</f>
        <v>0</v>
      </c>
      <c r="BB41" s="206">
        <f>'P &amp; NP'!OV518</f>
        <v>0</v>
      </c>
      <c r="BC41" s="206">
        <f>'P &amp; NP'!PK518</f>
        <v>0</v>
      </c>
      <c r="BD41" s="206">
        <f>'P &amp; NP'!PL518</f>
        <v>0</v>
      </c>
      <c r="BE41" s="206">
        <f>'P &amp; NP'!QA518</f>
        <v>0</v>
      </c>
      <c r="BF41" s="206">
        <f>'P &amp; NP'!QB518</f>
        <v>0</v>
      </c>
      <c r="BG41" s="206">
        <f>'P &amp; NP'!QQ518</f>
        <v>0</v>
      </c>
      <c r="BH41" s="206">
        <f>'P &amp; NP'!QR518</f>
        <v>0</v>
      </c>
      <c r="BI41" s="206">
        <f>'P &amp; NP'!RG518</f>
        <v>0</v>
      </c>
      <c r="BJ41" s="206">
        <f>'P &amp; NP'!RH518</f>
        <v>0</v>
      </c>
      <c r="BK41" s="206">
        <f>'P &amp; NP'!RW518</f>
        <v>0</v>
      </c>
      <c r="BL41" s="206">
        <f>'P &amp; NP'!RX518</f>
        <v>0</v>
      </c>
      <c r="BM41" s="206">
        <f>'P &amp; NP'!SM518</f>
        <v>0</v>
      </c>
      <c r="BN41" s="206">
        <f>'P &amp; NP'!SN518</f>
        <v>0</v>
      </c>
      <c r="BO41" s="206">
        <f>'P &amp; NP'!TC518</f>
        <v>0</v>
      </c>
      <c r="BP41" s="206">
        <f>'P &amp; NP'!TD518</f>
        <v>0</v>
      </c>
      <c r="BQ41" s="206">
        <f>'P &amp; NP'!TS518</f>
        <v>0</v>
      </c>
      <c r="BR41" s="206">
        <f>'P &amp; NP'!TT518</f>
        <v>0</v>
      </c>
      <c r="BS41" s="206">
        <f>'P &amp; NP'!UI518</f>
        <v>0</v>
      </c>
      <c r="BT41" s="206">
        <f>'P &amp; NP'!UJ518</f>
        <v>0</v>
      </c>
      <c r="BU41" s="206">
        <f>'P &amp; NP'!UY518</f>
        <v>0</v>
      </c>
      <c r="BV41" s="206">
        <f>'P &amp; NP'!UZ518</f>
        <v>0</v>
      </c>
      <c r="BW41" s="206">
        <f>'P &amp; NP'!VO518</f>
        <v>0</v>
      </c>
      <c r="BX41" s="206">
        <f>'P &amp; NP'!VP518</f>
        <v>0</v>
      </c>
      <c r="BY41" s="206">
        <f>'P &amp; NP'!WE518</f>
        <v>0</v>
      </c>
      <c r="BZ41" s="206">
        <f>'P &amp; NP'!WF518</f>
        <v>0</v>
      </c>
      <c r="CB41" s="206">
        <f t="shared" si="2"/>
        <v>0</v>
      </c>
      <c r="CC41" s="206">
        <f t="shared" si="3"/>
        <v>0</v>
      </c>
    </row>
    <row r="42" spans="2:81">
      <c r="B42" s="207" t="str">
        <f>'P &amp; NP'!B48</f>
        <v>Ikan_03 (Kerang Darah)</v>
      </c>
      <c r="C42" s="209">
        <f>'P &amp; NP'!K519</f>
        <v>0</v>
      </c>
      <c r="D42" s="209">
        <f>'P &amp; NP'!L519</f>
        <v>0</v>
      </c>
      <c r="E42" s="209">
        <f>'P &amp; NP'!AA519</f>
        <v>0</v>
      </c>
      <c r="F42" s="209">
        <f>'P &amp; NP'!AB519</f>
        <v>0</v>
      </c>
      <c r="G42" s="209">
        <f>'P &amp; NP'!AQ519</f>
        <v>0</v>
      </c>
      <c r="H42" s="209">
        <f>'P &amp; NP'!AR519</f>
        <v>0</v>
      </c>
      <c r="I42" s="209">
        <f>'P &amp; NP'!BG519</f>
        <v>0</v>
      </c>
      <c r="J42" s="209">
        <f>'P &amp; NP'!BH519</f>
        <v>0</v>
      </c>
      <c r="K42" s="206">
        <f>'P &amp; NP'!BW519</f>
        <v>0</v>
      </c>
      <c r="L42" s="206">
        <f>'P &amp; NP'!BX519</f>
        <v>0</v>
      </c>
      <c r="M42" s="206">
        <f>'P &amp; NP'!CM519</f>
        <v>0</v>
      </c>
      <c r="N42" s="206">
        <f>'P &amp; NP'!CN519</f>
        <v>0</v>
      </c>
      <c r="O42" s="206">
        <f>'P &amp; NP'!DC519</f>
        <v>0</v>
      </c>
      <c r="P42" s="206">
        <f>'P &amp; NP'!DD519</f>
        <v>0</v>
      </c>
      <c r="Q42" s="206">
        <f>'P &amp; NP'!DS519</f>
        <v>0</v>
      </c>
      <c r="R42" s="206">
        <f>'P &amp; NP'!DT519</f>
        <v>0</v>
      </c>
      <c r="S42" s="206">
        <f>'P &amp; NP'!EI519</f>
        <v>0</v>
      </c>
      <c r="T42" s="206">
        <f>'P &amp; NP'!EJ519</f>
        <v>0</v>
      </c>
      <c r="U42" s="206">
        <f>'P &amp; NP'!EY519</f>
        <v>0</v>
      </c>
      <c r="V42" s="206">
        <f>'P &amp; NP'!EZ519</f>
        <v>0</v>
      </c>
      <c r="W42" s="206">
        <f>'P &amp; NP'!FO519</f>
        <v>0</v>
      </c>
      <c r="X42" s="206">
        <f>'P &amp; NP'!FP519</f>
        <v>0</v>
      </c>
      <c r="Y42" s="206">
        <f>'P &amp; NP'!GE519</f>
        <v>0</v>
      </c>
      <c r="Z42" s="206">
        <f>'P &amp; NP'!GF519</f>
        <v>0</v>
      </c>
      <c r="AA42" s="206">
        <f>'P &amp; NP'!GU519</f>
        <v>0</v>
      </c>
      <c r="AB42" s="206">
        <f>'P &amp; NP'!GV519</f>
        <v>0</v>
      </c>
      <c r="AC42" s="206">
        <f>'P &amp; NP'!HK519</f>
        <v>0</v>
      </c>
      <c r="AD42" s="206">
        <f>'P &amp; NP'!HL519</f>
        <v>0</v>
      </c>
      <c r="AE42" s="206">
        <f>'P &amp; NP'!IA519</f>
        <v>0</v>
      </c>
      <c r="AF42" s="206">
        <f>'P &amp; NP'!IB519</f>
        <v>0</v>
      </c>
      <c r="AG42" s="206">
        <f>'P &amp; NP'!IQ519</f>
        <v>0</v>
      </c>
      <c r="AH42" s="206">
        <f>'P &amp; NP'!IR519</f>
        <v>0</v>
      </c>
      <c r="AI42" s="206">
        <f>'P &amp; NP'!JG519</f>
        <v>0</v>
      </c>
      <c r="AJ42" s="206">
        <f>'P &amp; NP'!JH519</f>
        <v>0</v>
      </c>
      <c r="AK42" s="206">
        <f>'P &amp; NP'!JW519</f>
        <v>0</v>
      </c>
      <c r="AL42" s="206">
        <f>'P &amp; NP'!JX519</f>
        <v>0</v>
      </c>
      <c r="AM42" s="206">
        <f>'P &amp; NP'!KM519</f>
        <v>0</v>
      </c>
      <c r="AN42" s="206">
        <f>'P &amp; NP'!KN519</f>
        <v>0</v>
      </c>
      <c r="AO42" s="206">
        <f>'P &amp; NP'!LC519</f>
        <v>0</v>
      </c>
      <c r="AP42" s="206">
        <f>'P &amp; NP'!LD519</f>
        <v>0</v>
      </c>
      <c r="AQ42" s="206">
        <f>'P &amp; NP'!LS519</f>
        <v>0</v>
      </c>
      <c r="AR42" s="206">
        <f>'P &amp; NP'!LT519</f>
        <v>0</v>
      </c>
      <c r="AS42" s="206">
        <f>'P &amp; NP'!MI519</f>
        <v>0</v>
      </c>
      <c r="AT42" s="206">
        <f>'P &amp; NP'!MJ519</f>
        <v>0</v>
      </c>
      <c r="AU42" s="206">
        <f>'P &amp; NP'!MY519</f>
        <v>0</v>
      </c>
      <c r="AV42" s="206">
        <f>'P &amp; NP'!MZ519</f>
        <v>0</v>
      </c>
      <c r="AW42" s="206">
        <f>'P &amp; NP'!NO519</f>
        <v>0</v>
      </c>
      <c r="AX42" s="206">
        <f>'P &amp; NP'!NP519</f>
        <v>0</v>
      </c>
      <c r="AY42" s="206">
        <f>'P &amp; NP'!OE519</f>
        <v>0</v>
      </c>
      <c r="AZ42" s="206">
        <f>'P &amp; NP'!OF519</f>
        <v>0</v>
      </c>
      <c r="BA42" s="206">
        <f>'P &amp; NP'!OU519</f>
        <v>0</v>
      </c>
      <c r="BB42" s="206">
        <f>'P &amp; NP'!OV519</f>
        <v>0</v>
      </c>
      <c r="BC42" s="206">
        <f>'P &amp; NP'!PK519</f>
        <v>0</v>
      </c>
      <c r="BD42" s="206">
        <f>'P &amp; NP'!PL519</f>
        <v>0</v>
      </c>
      <c r="BE42" s="206">
        <f>'P &amp; NP'!QA519</f>
        <v>0</v>
      </c>
      <c r="BF42" s="206">
        <f>'P &amp; NP'!QB519</f>
        <v>0</v>
      </c>
      <c r="BG42" s="206">
        <f>'P &amp; NP'!QQ519</f>
        <v>0</v>
      </c>
      <c r="BH42" s="206">
        <f>'P &amp; NP'!QR519</f>
        <v>0</v>
      </c>
      <c r="BI42" s="206">
        <f>'P &amp; NP'!RG519</f>
        <v>0</v>
      </c>
      <c r="BJ42" s="206">
        <f>'P &amp; NP'!RH519</f>
        <v>0</v>
      </c>
      <c r="BK42" s="206">
        <f>'P &amp; NP'!RW519</f>
        <v>0</v>
      </c>
      <c r="BL42" s="206">
        <f>'P &amp; NP'!RX519</f>
        <v>0</v>
      </c>
      <c r="BM42" s="206">
        <f>'P &amp; NP'!SM519</f>
        <v>0</v>
      </c>
      <c r="BN42" s="206">
        <f>'P &amp; NP'!SN519</f>
        <v>0</v>
      </c>
      <c r="BO42" s="206">
        <f>'P &amp; NP'!TC519</f>
        <v>0</v>
      </c>
      <c r="BP42" s="206">
        <f>'P &amp; NP'!TD519</f>
        <v>0</v>
      </c>
      <c r="BQ42" s="206">
        <f>'P &amp; NP'!TS519</f>
        <v>0</v>
      </c>
      <c r="BR42" s="206">
        <f>'P &amp; NP'!TT519</f>
        <v>0</v>
      </c>
      <c r="BS42" s="206">
        <f>'P &amp; NP'!UI519</f>
        <v>0</v>
      </c>
      <c r="BT42" s="206">
        <f>'P &amp; NP'!UJ519</f>
        <v>0</v>
      </c>
      <c r="BU42" s="206">
        <f>'P &amp; NP'!UY519</f>
        <v>0</v>
      </c>
      <c r="BV42" s="206">
        <f>'P &amp; NP'!UZ519</f>
        <v>0</v>
      </c>
      <c r="BW42" s="206">
        <f>'P &amp; NP'!VO519</f>
        <v>0</v>
      </c>
      <c r="BX42" s="206">
        <f>'P &amp; NP'!VP519</f>
        <v>0</v>
      </c>
      <c r="BY42" s="206">
        <f>'P &amp; NP'!WE519</f>
        <v>0</v>
      </c>
      <c r="BZ42" s="206">
        <f>'P &amp; NP'!WF519</f>
        <v>0</v>
      </c>
      <c r="CB42" s="206">
        <f t="shared" si="2"/>
        <v>0</v>
      </c>
      <c r="CC42" s="206">
        <f t="shared" si="3"/>
        <v>0</v>
      </c>
    </row>
    <row r="43" spans="2:81">
      <c r="B43" s="207" t="str">
        <f>'P &amp; NP'!B49</f>
        <v>Ikan_04 (Ikan Keting)</v>
      </c>
      <c r="C43" s="209">
        <f>'P &amp; NP'!K520</f>
        <v>0</v>
      </c>
      <c r="D43" s="209">
        <f>'P &amp; NP'!L520</f>
        <v>0</v>
      </c>
      <c r="E43" s="209">
        <f>'P &amp; NP'!AA520</f>
        <v>0</v>
      </c>
      <c r="F43" s="209">
        <f>'P &amp; NP'!AB520</f>
        <v>0</v>
      </c>
      <c r="G43" s="209">
        <f>'P &amp; NP'!AQ520</f>
        <v>0</v>
      </c>
      <c r="H43" s="209">
        <f>'P &amp; NP'!AR520</f>
        <v>0</v>
      </c>
      <c r="I43" s="209">
        <f>'P &amp; NP'!BG520</f>
        <v>0</v>
      </c>
      <c r="J43" s="209">
        <f>'P &amp; NP'!BH520</f>
        <v>0</v>
      </c>
      <c r="K43" s="206">
        <f>'P &amp; NP'!BW520</f>
        <v>0</v>
      </c>
      <c r="L43" s="206">
        <f>'P &amp; NP'!BX520</f>
        <v>0</v>
      </c>
      <c r="M43" s="206">
        <f>'P &amp; NP'!CM520</f>
        <v>0</v>
      </c>
      <c r="N43" s="206">
        <f>'P &amp; NP'!CN520</f>
        <v>0</v>
      </c>
      <c r="O43" s="206">
        <f>'P &amp; NP'!DC520</f>
        <v>0</v>
      </c>
      <c r="P43" s="206">
        <f>'P &amp; NP'!DD520</f>
        <v>0</v>
      </c>
      <c r="Q43" s="206">
        <f>'P &amp; NP'!DS520</f>
        <v>0</v>
      </c>
      <c r="R43" s="206">
        <f>'P &amp; NP'!DT520</f>
        <v>0</v>
      </c>
      <c r="S43" s="206">
        <f>'P &amp; NP'!EI520</f>
        <v>0</v>
      </c>
      <c r="T43" s="206">
        <f>'P &amp; NP'!EJ520</f>
        <v>0</v>
      </c>
      <c r="U43" s="206">
        <f>'P &amp; NP'!EY520</f>
        <v>0</v>
      </c>
      <c r="V43" s="206">
        <f>'P &amp; NP'!EZ520</f>
        <v>0</v>
      </c>
      <c r="W43" s="206">
        <f>'P &amp; NP'!FO520</f>
        <v>0</v>
      </c>
      <c r="X43" s="206">
        <f>'P &amp; NP'!FP520</f>
        <v>0</v>
      </c>
      <c r="Y43" s="206">
        <f>'P &amp; NP'!GE520</f>
        <v>0</v>
      </c>
      <c r="Z43" s="206">
        <f>'P &amp; NP'!GF520</f>
        <v>0</v>
      </c>
      <c r="AA43" s="206">
        <f>'P &amp; NP'!GU520</f>
        <v>0</v>
      </c>
      <c r="AB43" s="206">
        <f>'P &amp; NP'!GV520</f>
        <v>0</v>
      </c>
      <c r="AC43" s="206">
        <f>'P &amp; NP'!HK520</f>
        <v>0</v>
      </c>
      <c r="AD43" s="206">
        <f>'P &amp; NP'!HL520</f>
        <v>0</v>
      </c>
      <c r="AE43" s="206">
        <f>'P &amp; NP'!IA520</f>
        <v>0</v>
      </c>
      <c r="AF43" s="206">
        <f>'P &amp; NP'!IB520</f>
        <v>0</v>
      </c>
      <c r="AG43" s="206">
        <f>'P &amp; NP'!IQ520</f>
        <v>0</v>
      </c>
      <c r="AH43" s="206">
        <f>'P &amp; NP'!IR520</f>
        <v>0</v>
      </c>
      <c r="AI43" s="206">
        <f>'P &amp; NP'!JG520</f>
        <v>0</v>
      </c>
      <c r="AJ43" s="206">
        <f>'P &amp; NP'!JH520</f>
        <v>0</v>
      </c>
      <c r="AK43" s="206">
        <f>'P &amp; NP'!JW520</f>
        <v>0</v>
      </c>
      <c r="AL43" s="206">
        <f>'P &amp; NP'!JX520</f>
        <v>0</v>
      </c>
      <c r="AM43" s="206">
        <f>'P &amp; NP'!KM520</f>
        <v>0</v>
      </c>
      <c r="AN43" s="206">
        <f>'P &amp; NP'!KN520</f>
        <v>0</v>
      </c>
      <c r="AO43" s="206">
        <f>'P &amp; NP'!LC520</f>
        <v>0</v>
      </c>
      <c r="AP43" s="206">
        <f>'P &amp; NP'!LD520</f>
        <v>0</v>
      </c>
      <c r="AQ43" s="206">
        <f>'P &amp; NP'!LS520</f>
        <v>0</v>
      </c>
      <c r="AR43" s="206">
        <f>'P &amp; NP'!LT520</f>
        <v>0</v>
      </c>
      <c r="AS43" s="206">
        <f>'P &amp; NP'!MI520</f>
        <v>0</v>
      </c>
      <c r="AT43" s="206">
        <f>'P &amp; NP'!MJ520</f>
        <v>0</v>
      </c>
      <c r="AU43" s="206">
        <f>'P &amp; NP'!MY520</f>
        <v>0</v>
      </c>
      <c r="AV43" s="206">
        <f>'P &amp; NP'!MZ520</f>
        <v>0</v>
      </c>
      <c r="AW43" s="206">
        <f>'P &amp; NP'!NO520</f>
        <v>0</v>
      </c>
      <c r="AX43" s="206">
        <f>'P &amp; NP'!NP520</f>
        <v>0</v>
      </c>
      <c r="AY43" s="206">
        <f>'P &amp; NP'!OE520</f>
        <v>0</v>
      </c>
      <c r="AZ43" s="206">
        <f>'P &amp; NP'!OF520</f>
        <v>0</v>
      </c>
      <c r="BA43" s="206">
        <f>'P &amp; NP'!OU520</f>
        <v>0</v>
      </c>
      <c r="BB43" s="206">
        <f>'P &amp; NP'!OV520</f>
        <v>0</v>
      </c>
      <c r="BC43" s="206">
        <f>'P &amp; NP'!PK520</f>
        <v>0</v>
      </c>
      <c r="BD43" s="206">
        <f>'P &amp; NP'!PL520</f>
        <v>0</v>
      </c>
      <c r="BE43" s="206">
        <f>'P &amp; NP'!QA520</f>
        <v>0</v>
      </c>
      <c r="BF43" s="206">
        <f>'P &amp; NP'!QB520</f>
        <v>0</v>
      </c>
      <c r="BG43" s="206">
        <f>'P &amp; NP'!QQ520</f>
        <v>0</v>
      </c>
      <c r="BH43" s="206">
        <f>'P &amp; NP'!QR520</f>
        <v>0</v>
      </c>
      <c r="BI43" s="206">
        <f>'P &amp; NP'!RG520</f>
        <v>0</v>
      </c>
      <c r="BJ43" s="206">
        <f>'P &amp; NP'!RH520</f>
        <v>0</v>
      </c>
      <c r="BK43" s="206">
        <f>'P &amp; NP'!RW520</f>
        <v>0</v>
      </c>
      <c r="BL43" s="206">
        <f>'P &amp; NP'!RX520</f>
        <v>0</v>
      </c>
      <c r="BM43" s="206">
        <f>'P &amp; NP'!SM520</f>
        <v>0</v>
      </c>
      <c r="BN43" s="206">
        <f>'P &amp; NP'!SN520</f>
        <v>0</v>
      </c>
      <c r="BO43" s="206">
        <f>'P &amp; NP'!TC520</f>
        <v>0</v>
      </c>
      <c r="BP43" s="206">
        <f>'P &amp; NP'!TD520</f>
        <v>0</v>
      </c>
      <c r="BQ43" s="206">
        <f>'P &amp; NP'!TS520</f>
        <v>0</v>
      </c>
      <c r="BR43" s="206">
        <f>'P &amp; NP'!TT520</f>
        <v>0</v>
      </c>
      <c r="BS43" s="206">
        <f>'P &amp; NP'!UI520</f>
        <v>0</v>
      </c>
      <c r="BT43" s="206">
        <f>'P &amp; NP'!UJ520</f>
        <v>0</v>
      </c>
      <c r="BU43" s="206">
        <f>'P &amp; NP'!UY520</f>
        <v>0</v>
      </c>
      <c r="BV43" s="206">
        <f>'P &amp; NP'!UZ520</f>
        <v>0</v>
      </c>
      <c r="BW43" s="206">
        <f>'P &amp; NP'!VO520</f>
        <v>0</v>
      </c>
      <c r="BX43" s="206">
        <f>'P &amp; NP'!VP520</f>
        <v>0</v>
      </c>
      <c r="BY43" s="206">
        <f>'P &amp; NP'!WE520</f>
        <v>0</v>
      </c>
      <c r="BZ43" s="206">
        <f>'P &amp; NP'!WF520</f>
        <v>0</v>
      </c>
      <c r="CB43" s="206">
        <f t="shared" si="2"/>
        <v>0</v>
      </c>
      <c r="CC43" s="206">
        <f t="shared" si="3"/>
        <v>0</v>
      </c>
    </row>
    <row r="44" spans="2:81">
      <c r="B44" s="207" t="str">
        <f>'P &amp; NP'!B50</f>
        <v>Ikan_05 (Ikan betutu)</v>
      </c>
      <c r="C44" s="209">
        <f>'P &amp; NP'!K521</f>
        <v>0</v>
      </c>
      <c r="D44" s="209">
        <f>'P &amp; NP'!L521</f>
        <v>0</v>
      </c>
      <c r="E44" s="209">
        <f>'P &amp; NP'!AA521</f>
        <v>0</v>
      </c>
      <c r="F44" s="209">
        <f>'P &amp; NP'!AB521</f>
        <v>0</v>
      </c>
      <c r="G44" s="209">
        <f>'P &amp; NP'!AQ521</f>
        <v>0</v>
      </c>
      <c r="H44" s="209">
        <f>'P &amp; NP'!AR521</f>
        <v>0</v>
      </c>
      <c r="I44" s="209">
        <f>'P &amp; NP'!BG521</f>
        <v>0</v>
      </c>
      <c r="J44" s="209">
        <f>'P &amp; NP'!BH521</f>
        <v>0</v>
      </c>
      <c r="K44" s="206">
        <f>'P &amp; NP'!BW521</f>
        <v>0</v>
      </c>
      <c r="L44" s="206">
        <f>'P &amp; NP'!BX521</f>
        <v>0</v>
      </c>
      <c r="M44" s="206">
        <f>'P &amp; NP'!CM521</f>
        <v>0</v>
      </c>
      <c r="N44" s="206">
        <f>'P &amp; NP'!CN521</f>
        <v>0</v>
      </c>
      <c r="O44" s="206">
        <f>'P &amp; NP'!DC521</f>
        <v>0</v>
      </c>
      <c r="P44" s="206">
        <f>'P &amp; NP'!DD521</f>
        <v>0</v>
      </c>
      <c r="Q44" s="206">
        <f>'P &amp; NP'!DS521</f>
        <v>0</v>
      </c>
      <c r="R44" s="206">
        <f>'P &amp; NP'!DT521</f>
        <v>0</v>
      </c>
      <c r="S44" s="206">
        <f>'P &amp; NP'!EI521</f>
        <v>0</v>
      </c>
      <c r="T44" s="206">
        <f>'P &amp; NP'!EJ521</f>
        <v>0</v>
      </c>
      <c r="U44" s="206">
        <f>'P &amp; NP'!EY521</f>
        <v>0</v>
      </c>
      <c r="V44" s="206">
        <f>'P &amp; NP'!EZ521</f>
        <v>0</v>
      </c>
      <c r="W44" s="206">
        <f>'P &amp; NP'!FO521</f>
        <v>0</v>
      </c>
      <c r="X44" s="206">
        <f>'P &amp; NP'!FP521</f>
        <v>0</v>
      </c>
      <c r="Y44" s="206">
        <f>'P &amp; NP'!GE521</f>
        <v>0</v>
      </c>
      <c r="Z44" s="206">
        <f>'P &amp; NP'!GF521</f>
        <v>0</v>
      </c>
      <c r="AA44" s="206">
        <f>'P &amp; NP'!GU521</f>
        <v>0</v>
      </c>
      <c r="AB44" s="206">
        <f>'P &amp; NP'!GV521</f>
        <v>0</v>
      </c>
      <c r="AC44" s="206">
        <f>'P &amp; NP'!HK521</f>
        <v>0</v>
      </c>
      <c r="AD44" s="206">
        <f>'P &amp; NP'!HL521</f>
        <v>0</v>
      </c>
      <c r="AE44" s="206">
        <f>'P &amp; NP'!IA521</f>
        <v>0</v>
      </c>
      <c r="AF44" s="206">
        <f>'P &amp; NP'!IB521</f>
        <v>0</v>
      </c>
      <c r="AG44" s="206">
        <f>'P &amp; NP'!IQ521</f>
        <v>0</v>
      </c>
      <c r="AH44" s="206">
        <f>'P &amp; NP'!IR521</f>
        <v>0</v>
      </c>
      <c r="AI44" s="206">
        <f>'P &amp; NP'!JG521</f>
        <v>0</v>
      </c>
      <c r="AJ44" s="206">
        <f>'P &amp; NP'!JH521</f>
        <v>0</v>
      </c>
      <c r="AK44" s="206">
        <f>'P &amp; NP'!JW521</f>
        <v>0</v>
      </c>
      <c r="AL44" s="206">
        <f>'P &amp; NP'!JX521</f>
        <v>0</v>
      </c>
      <c r="AM44" s="206">
        <f>'P &amp; NP'!KM521</f>
        <v>0</v>
      </c>
      <c r="AN44" s="206">
        <f>'P &amp; NP'!KN521</f>
        <v>0</v>
      </c>
      <c r="AO44" s="206">
        <f>'P &amp; NP'!LC521</f>
        <v>0</v>
      </c>
      <c r="AP44" s="206">
        <f>'P &amp; NP'!LD521</f>
        <v>0</v>
      </c>
      <c r="AQ44" s="206">
        <f>'P &amp; NP'!LS521</f>
        <v>0</v>
      </c>
      <c r="AR44" s="206">
        <f>'P &amp; NP'!LT521</f>
        <v>0</v>
      </c>
      <c r="AS44" s="206">
        <f>'P &amp; NP'!MI521</f>
        <v>0</v>
      </c>
      <c r="AT44" s="206">
        <f>'P &amp; NP'!MJ521</f>
        <v>0</v>
      </c>
      <c r="AU44" s="206">
        <f>'P &amp; NP'!MY521</f>
        <v>0</v>
      </c>
      <c r="AV44" s="206">
        <f>'P &amp; NP'!MZ521</f>
        <v>0</v>
      </c>
      <c r="AW44" s="206">
        <f>'P &amp; NP'!NO521</f>
        <v>0</v>
      </c>
      <c r="AX44" s="206">
        <f>'P &amp; NP'!NP521</f>
        <v>0</v>
      </c>
      <c r="AY44" s="206">
        <f>'P &amp; NP'!OE521</f>
        <v>0</v>
      </c>
      <c r="AZ44" s="206">
        <f>'P &amp; NP'!OF521</f>
        <v>0</v>
      </c>
      <c r="BA44" s="206">
        <f>'P &amp; NP'!OU521</f>
        <v>0</v>
      </c>
      <c r="BB44" s="206">
        <f>'P &amp; NP'!OV521</f>
        <v>0</v>
      </c>
      <c r="BC44" s="206">
        <f>'P &amp; NP'!PK521</f>
        <v>0</v>
      </c>
      <c r="BD44" s="206">
        <f>'P &amp; NP'!PL521</f>
        <v>0</v>
      </c>
      <c r="BE44" s="206">
        <f>'P &amp; NP'!QA521</f>
        <v>605030</v>
      </c>
      <c r="BF44" s="206">
        <f>'P &amp; NP'!QB521</f>
        <v>12100600</v>
      </c>
      <c r="BG44" s="206">
        <f>'P &amp; NP'!QQ521</f>
        <v>0</v>
      </c>
      <c r="BH44" s="206">
        <f>'P &amp; NP'!QR521</f>
        <v>0</v>
      </c>
      <c r="BI44" s="206">
        <f>'P &amp; NP'!RG521</f>
        <v>0</v>
      </c>
      <c r="BJ44" s="206">
        <f>'P &amp; NP'!RH521</f>
        <v>0</v>
      </c>
      <c r="BK44" s="206">
        <f>'P &amp; NP'!RW521</f>
        <v>0</v>
      </c>
      <c r="BL44" s="206">
        <f>'P &amp; NP'!RX521</f>
        <v>0</v>
      </c>
      <c r="BM44" s="206">
        <f>'P &amp; NP'!SM521</f>
        <v>0</v>
      </c>
      <c r="BN44" s="206">
        <f>'P &amp; NP'!SN521</f>
        <v>0</v>
      </c>
      <c r="BO44" s="206">
        <f>'P &amp; NP'!TC521</f>
        <v>0</v>
      </c>
      <c r="BP44" s="206">
        <f>'P &amp; NP'!TD521</f>
        <v>0</v>
      </c>
      <c r="BQ44" s="206">
        <f>'P &amp; NP'!TS521</f>
        <v>0</v>
      </c>
      <c r="BR44" s="206">
        <f>'P &amp; NP'!TT521</f>
        <v>0</v>
      </c>
      <c r="BS44" s="206">
        <f>'P &amp; NP'!UI521</f>
        <v>0</v>
      </c>
      <c r="BT44" s="206">
        <f>'P &amp; NP'!UJ521</f>
        <v>0</v>
      </c>
      <c r="BU44" s="206">
        <f>'P &amp; NP'!UY521</f>
        <v>0</v>
      </c>
      <c r="BV44" s="206">
        <f>'P &amp; NP'!UZ521</f>
        <v>0</v>
      </c>
      <c r="BW44" s="206">
        <f>'P &amp; NP'!VO521</f>
        <v>0</v>
      </c>
      <c r="BX44" s="206">
        <f>'P &amp; NP'!VP521</f>
        <v>0</v>
      </c>
      <c r="BY44" s="206">
        <f>'P &amp; NP'!WE521</f>
        <v>0</v>
      </c>
      <c r="BZ44" s="206">
        <f>'P &amp; NP'!WF521</f>
        <v>0</v>
      </c>
      <c r="CB44" s="206">
        <f t="shared" si="2"/>
        <v>605030</v>
      </c>
      <c r="CC44" s="206">
        <f t="shared" si="3"/>
        <v>12100600</v>
      </c>
    </row>
    <row r="45" spans="2:81" s="359" customFormat="1"/>
  </sheetData>
  <mergeCells count="114">
    <mergeCell ref="BW3:BX3"/>
    <mergeCell ref="BY3:BZ3"/>
    <mergeCell ref="BK3:BL3"/>
    <mergeCell ref="BM3:BN3"/>
    <mergeCell ref="BO3:BP3"/>
    <mergeCell ref="BQ3:BR3"/>
    <mergeCell ref="BS3:BT3"/>
    <mergeCell ref="BU3:BV3"/>
    <mergeCell ref="AY3:AZ3"/>
    <mergeCell ref="BA3:BB3"/>
    <mergeCell ref="BC3:BD3"/>
    <mergeCell ref="BE3:BF3"/>
    <mergeCell ref="BG3:BH3"/>
    <mergeCell ref="BI3:BJ3"/>
    <mergeCell ref="AM3:AN3"/>
    <mergeCell ref="AO3:AP3"/>
    <mergeCell ref="AQ3:AR3"/>
    <mergeCell ref="AS3:AT3"/>
    <mergeCell ref="AU3:AV3"/>
    <mergeCell ref="AW3:AX3"/>
    <mergeCell ref="AA3:AB3"/>
    <mergeCell ref="AC3:AD3"/>
    <mergeCell ref="AE3:AF3"/>
    <mergeCell ref="AG3:AH3"/>
    <mergeCell ref="AI3:AJ3"/>
    <mergeCell ref="AK3:AL3"/>
    <mergeCell ref="O3:P3"/>
    <mergeCell ref="Q3:R3"/>
    <mergeCell ref="S3:T3"/>
    <mergeCell ref="U3:V3"/>
    <mergeCell ref="W3:X3"/>
    <mergeCell ref="Y3:Z3"/>
    <mergeCell ref="C3:D3"/>
    <mergeCell ref="E3:F3"/>
    <mergeCell ref="G3:H3"/>
    <mergeCell ref="I3:J3"/>
    <mergeCell ref="K3:L3"/>
    <mergeCell ref="M3:N3"/>
    <mergeCell ref="BO2:BP2"/>
    <mergeCell ref="BQ2:BR2"/>
    <mergeCell ref="BS2:BT2"/>
    <mergeCell ref="BU2:BV2"/>
    <mergeCell ref="BW2:BX2"/>
    <mergeCell ref="BY2:BZ2"/>
    <mergeCell ref="BC2:BD2"/>
    <mergeCell ref="BE2:BF2"/>
    <mergeCell ref="BG2:BH2"/>
    <mergeCell ref="BI2:BJ2"/>
    <mergeCell ref="BK2:BL2"/>
    <mergeCell ref="BM2:BN2"/>
    <mergeCell ref="AQ2:AR2"/>
    <mergeCell ref="AS2:AT2"/>
    <mergeCell ref="AU2:AV2"/>
    <mergeCell ref="AW2:AX2"/>
    <mergeCell ref="AY2:AZ2"/>
    <mergeCell ref="BA2:BB2"/>
    <mergeCell ref="AE2:AF2"/>
    <mergeCell ref="AG2:AH2"/>
    <mergeCell ref="AI2:AJ2"/>
    <mergeCell ref="AK2:AL2"/>
    <mergeCell ref="AM2:AN2"/>
    <mergeCell ref="AO2:AP2"/>
    <mergeCell ref="S2:T2"/>
    <mergeCell ref="U2:V2"/>
    <mergeCell ref="W2:X2"/>
    <mergeCell ref="Y2:Z2"/>
    <mergeCell ref="AA2:AB2"/>
    <mergeCell ref="AC2:AD2"/>
    <mergeCell ref="BW1:BX1"/>
    <mergeCell ref="BY1:BZ1"/>
    <mergeCell ref="C2:D2"/>
    <mergeCell ref="E2:F2"/>
    <mergeCell ref="G2:H2"/>
    <mergeCell ref="I2:J2"/>
    <mergeCell ref="K2:L2"/>
    <mergeCell ref="M2:N2"/>
    <mergeCell ref="O2:P2"/>
    <mergeCell ref="Q2:R2"/>
    <mergeCell ref="BK1:BL1"/>
    <mergeCell ref="BM1:BN1"/>
    <mergeCell ref="BO1:BP1"/>
    <mergeCell ref="BQ1:BR1"/>
    <mergeCell ref="BS1:BT1"/>
    <mergeCell ref="BU1:BV1"/>
    <mergeCell ref="AY1:AZ1"/>
    <mergeCell ref="BA1:BB1"/>
    <mergeCell ref="BC1:BD1"/>
    <mergeCell ref="BE1:BF1"/>
    <mergeCell ref="BG1:BH1"/>
    <mergeCell ref="BI1:BJ1"/>
    <mergeCell ref="AM1:AN1"/>
    <mergeCell ref="AO1:AP1"/>
    <mergeCell ref="AQ1:AR1"/>
    <mergeCell ref="AS1:AT1"/>
    <mergeCell ref="AU1:AV1"/>
    <mergeCell ref="AW1:AX1"/>
    <mergeCell ref="AG1:AH1"/>
    <mergeCell ref="AI1:AJ1"/>
    <mergeCell ref="AK1:AL1"/>
    <mergeCell ref="O1:P1"/>
    <mergeCell ref="Q1:R1"/>
    <mergeCell ref="S1:T1"/>
    <mergeCell ref="U1:V1"/>
    <mergeCell ref="W1:X1"/>
    <mergeCell ref="Y1:Z1"/>
    <mergeCell ref="C1:D1"/>
    <mergeCell ref="E1:F1"/>
    <mergeCell ref="G1:H1"/>
    <mergeCell ref="I1:J1"/>
    <mergeCell ref="K1:L1"/>
    <mergeCell ref="M1:N1"/>
    <mergeCell ref="AA1:AB1"/>
    <mergeCell ref="AC1:AD1"/>
    <mergeCell ref="AE1:AF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sheetPr>
  <dimension ref="A1:BY47"/>
  <sheetViews>
    <sheetView workbookViewId="0">
      <pane xSplit="3" ySplit="5" topLeftCell="BS6" activePane="bottomRight" state="frozen"/>
      <selection pane="topRight" activeCell="D1" sqref="D1"/>
      <selection pane="bottomLeft" activeCell="A6" sqref="A6"/>
      <selection pane="bottomRight" activeCell="BS9" sqref="BS9"/>
    </sheetView>
  </sheetViews>
  <sheetFormatPr defaultRowHeight="14.5"/>
  <cols>
    <col min="1" max="1" width="36.81640625" customWidth="1"/>
    <col min="2" max="2" width="16.1796875" customWidth="1"/>
    <col min="3" max="3" width="17.54296875" customWidth="1"/>
    <col min="4" max="4" width="12.54296875" style="315" customWidth="1"/>
    <col min="5" max="5" width="13.54296875" style="315" customWidth="1"/>
    <col min="6" max="9" width="12.54296875" style="315" customWidth="1"/>
    <col min="10" max="10" width="10.54296875" style="315" bestFit="1" customWidth="1"/>
    <col min="11" max="58" width="12.54296875" style="315" customWidth="1"/>
    <col min="59" max="59" width="13.81640625" style="315" customWidth="1"/>
    <col min="60" max="77" width="12.54296875" style="315" customWidth="1"/>
  </cols>
  <sheetData>
    <row r="1" spans="1:77">
      <c r="A1" s="325" t="s">
        <v>313</v>
      </c>
      <c r="B1" s="213"/>
      <c r="C1" s="213"/>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row>
    <row r="2" spans="1:77">
      <c r="A2" s="230" t="s">
        <v>103</v>
      </c>
      <c r="B2" s="316"/>
      <c r="C2" s="316"/>
      <c r="D2" s="315">
        <v>1</v>
      </c>
      <c r="F2" s="315">
        <v>2</v>
      </c>
      <c r="H2" s="315">
        <v>3</v>
      </c>
      <c r="J2" s="315">
        <v>4</v>
      </c>
      <c r="L2" s="315">
        <v>5</v>
      </c>
      <c r="N2" s="315">
        <v>6</v>
      </c>
      <c r="P2" s="315">
        <v>7</v>
      </c>
      <c r="R2" s="315">
        <v>8</v>
      </c>
      <c r="T2" s="315">
        <v>9</v>
      </c>
      <c r="V2" s="315">
        <v>10</v>
      </c>
      <c r="X2" s="315">
        <v>11</v>
      </c>
      <c r="Z2" s="315">
        <v>12</v>
      </c>
      <c r="AB2" s="315">
        <v>13</v>
      </c>
      <c r="AD2" s="315">
        <v>14</v>
      </c>
      <c r="AF2" s="315">
        <v>15</v>
      </c>
      <c r="AH2" s="315">
        <v>16</v>
      </c>
      <c r="AJ2" s="315">
        <v>17</v>
      </c>
      <c r="AL2" s="315">
        <v>18</v>
      </c>
      <c r="AN2" s="315">
        <v>19</v>
      </c>
      <c r="AP2" s="315">
        <v>20</v>
      </c>
      <c r="AR2" s="315">
        <v>21</v>
      </c>
      <c r="AT2" s="315">
        <v>22</v>
      </c>
      <c r="AV2" s="315">
        <v>23</v>
      </c>
      <c r="AX2" s="315">
        <v>24</v>
      </c>
      <c r="AZ2" s="315">
        <v>25</v>
      </c>
      <c r="BB2" s="315">
        <v>26</v>
      </c>
      <c r="BD2" s="315">
        <v>27</v>
      </c>
      <c r="BF2" s="315">
        <v>28</v>
      </c>
      <c r="BH2" s="315">
        <v>29</v>
      </c>
      <c r="BJ2" s="315">
        <v>30</v>
      </c>
      <c r="BL2" s="315">
        <v>31</v>
      </c>
      <c r="BN2" s="315">
        <v>32</v>
      </c>
      <c r="BP2" s="315">
        <v>33</v>
      </c>
      <c r="BR2" s="315">
        <v>34</v>
      </c>
      <c r="BT2" s="315">
        <v>35</v>
      </c>
      <c r="BV2" s="315">
        <v>36</v>
      </c>
      <c r="BX2" s="315">
        <v>37</v>
      </c>
    </row>
    <row r="3" spans="1:77" s="333" customFormat="1">
      <c r="A3" s="331" t="s">
        <v>105</v>
      </c>
      <c r="B3" s="332">
        <f>'P &amp; NP'!WV11</f>
        <v>16250959.000366</v>
      </c>
      <c r="C3" s="332">
        <f>'P &amp; NP'!WW11</f>
        <v>444438214.01499999</v>
      </c>
      <c r="D3" s="732" t="s">
        <v>537</v>
      </c>
      <c r="E3" s="732"/>
      <c r="F3" s="732" t="s">
        <v>538</v>
      </c>
      <c r="G3" s="732"/>
      <c r="H3" s="732" t="s">
        <v>539</v>
      </c>
      <c r="I3" s="732"/>
      <c r="J3" s="732" t="s">
        <v>540</v>
      </c>
      <c r="K3" s="732"/>
      <c r="L3" s="732" t="s">
        <v>392</v>
      </c>
      <c r="M3" s="732"/>
      <c r="N3" s="732" t="s">
        <v>541</v>
      </c>
      <c r="O3" s="732"/>
      <c r="P3" s="732" t="s">
        <v>542</v>
      </c>
      <c r="Q3" s="732"/>
      <c r="R3" s="732" t="s">
        <v>10</v>
      </c>
      <c r="S3" s="732"/>
      <c r="T3" s="732" t="s">
        <v>231</v>
      </c>
      <c r="U3" s="732"/>
      <c r="V3" s="732" t="s">
        <v>543</v>
      </c>
      <c r="W3" s="732"/>
      <c r="X3" s="732" t="s">
        <v>544</v>
      </c>
      <c r="Y3" s="732"/>
      <c r="Z3" s="732" t="s">
        <v>545</v>
      </c>
      <c r="AA3" s="732"/>
      <c r="AB3" s="732" t="s">
        <v>546</v>
      </c>
      <c r="AC3" s="732"/>
      <c r="AD3" s="732" t="s">
        <v>547</v>
      </c>
      <c r="AE3" s="732"/>
      <c r="AF3" s="732" t="s">
        <v>548</v>
      </c>
      <c r="AG3" s="732"/>
      <c r="AH3" s="732" t="s">
        <v>549</v>
      </c>
      <c r="AI3" s="732"/>
      <c r="AJ3" s="732" t="s">
        <v>754</v>
      </c>
      <c r="AK3" s="732"/>
      <c r="AL3" s="732" t="s">
        <v>551</v>
      </c>
      <c r="AM3" s="732"/>
      <c r="AN3" s="732" t="s">
        <v>552</v>
      </c>
      <c r="AO3" s="732"/>
      <c r="AP3" s="732" t="s">
        <v>553</v>
      </c>
      <c r="AQ3" s="732"/>
      <c r="AR3" s="732" t="s">
        <v>554</v>
      </c>
      <c r="AS3" s="732"/>
      <c r="AT3" s="732" t="s">
        <v>20</v>
      </c>
      <c r="AU3" s="732"/>
      <c r="AV3" s="732" t="s">
        <v>555</v>
      </c>
      <c r="AW3" s="732"/>
      <c r="AX3" s="732" t="s">
        <v>556</v>
      </c>
      <c r="AY3" s="732"/>
      <c r="AZ3" s="732" t="s">
        <v>24</v>
      </c>
      <c r="BA3" s="732"/>
      <c r="BB3" s="732" t="s">
        <v>557</v>
      </c>
      <c r="BC3" s="732"/>
      <c r="BD3" s="732" t="s">
        <v>359</v>
      </c>
      <c r="BE3" s="732"/>
      <c r="BF3" s="732" t="s">
        <v>668</v>
      </c>
      <c r="BG3" s="732"/>
      <c r="BH3" s="732" t="s">
        <v>671</v>
      </c>
      <c r="BI3" s="732"/>
      <c r="BJ3" s="732" t="s">
        <v>674</v>
      </c>
      <c r="BK3" s="732"/>
      <c r="BL3" s="732" t="s">
        <v>605</v>
      </c>
      <c r="BM3" s="732"/>
      <c r="BN3" s="732" t="s">
        <v>606</v>
      </c>
      <c r="BO3" s="732"/>
      <c r="BP3" s="732" t="s">
        <v>607</v>
      </c>
      <c r="BQ3" s="732"/>
      <c r="BR3" s="732" t="s">
        <v>669</v>
      </c>
      <c r="BS3" s="732"/>
      <c r="BT3" s="732" t="s">
        <v>670</v>
      </c>
      <c r="BU3" s="732"/>
      <c r="BV3" s="732" t="s">
        <v>672</v>
      </c>
      <c r="BW3" s="732"/>
      <c r="BX3" s="732" t="s">
        <v>673</v>
      </c>
      <c r="BY3" s="732"/>
    </row>
    <row r="4" spans="1:77">
      <c r="A4" s="246"/>
      <c r="B4" s="327" t="s">
        <v>27</v>
      </c>
      <c r="C4" s="327" t="s">
        <v>28</v>
      </c>
      <c r="D4" s="326" t="s">
        <v>27</v>
      </c>
      <c r="E4" s="326" t="s">
        <v>28</v>
      </c>
      <c r="F4" s="326" t="s">
        <v>27</v>
      </c>
      <c r="G4" s="326" t="s">
        <v>28</v>
      </c>
      <c r="H4" s="326" t="s">
        <v>27</v>
      </c>
      <c r="I4" s="326" t="s">
        <v>28</v>
      </c>
      <c r="J4" s="326" t="s">
        <v>27</v>
      </c>
      <c r="K4" s="326" t="s">
        <v>28</v>
      </c>
      <c r="L4" s="326" t="s">
        <v>27</v>
      </c>
      <c r="M4" s="326" t="s">
        <v>28</v>
      </c>
      <c r="N4" s="326" t="s">
        <v>27</v>
      </c>
      <c r="O4" s="326" t="s">
        <v>28</v>
      </c>
      <c r="P4" s="326" t="s">
        <v>27</v>
      </c>
      <c r="Q4" s="326" t="s">
        <v>28</v>
      </c>
      <c r="R4" s="326" t="s">
        <v>27</v>
      </c>
      <c r="S4" s="326" t="s">
        <v>28</v>
      </c>
      <c r="T4" s="326" t="s">
        <v>27</v>
      </c>
      <c r="U4" s="326" t="s">
        <v>28</v>
      </c>
      <c r="V4" s="326" t="s">
        <v>27</v>
      </c>
      <c r="W4" s="326" t="s">
        <v>28</v>
      </c>
      <c r="X4" s="326" t="s">
        <v>27</v>
      </c>
      <c r="Y4" s="326" t="s">
        <v>28</v>
      </c>
      <c r="Z4" s="326" t="s">
        <v>27</v>
      </c>
      <c r="AA4" s="326" t="s">
        <v>28</v>
      </c>
      <c r="AB4" s="326" t="s">
        <v>27</v>
      </c>
      <c r="AC4" s="326" t="s">
        <v>28</v>
      </c>
      <c r="AD4" s="326" t="s">
        <v>27</v>
      </c>
      <c r="AE4" s="326" t="s">
        <v>28</v>
      </c>
      <c r="AF4" s="326" t="s">
        <v>27</v>
      </c>
      <c r="AG4" s="326" t="s">
        <v>28</v>
      </c>
      <c r="AH4" s="326" t="s">
        <v>27</v>
      </c>
      <c r="AI4" s="326" t="s">
        <v>28</v>
      </c>
      <c r="AJ4" s="326" t="s">
        <v>27</v>
      </c>
      <c r="AK4" s="326" t="s">
        <v>28</v>
      </c>
      <c r="AL4" s="326" t="s">
        <v>27</v>
      </c>
      <c r="AM4" s="326" t="s">
        <v>28</v>
      </c>
      <c r="AN4" s="326" t="s">
        <v>27</v>
      </c>
      <c r="AO4" s="326" t="s">
        <v>28</v>
      </c>
      <c r="AP4" s="326" t="s">
        <v>27</v>
      </c>
      <c r="AQ4" s="326" t="s">
        <v>28</v>
      </c>
      <c r="AR4" s="326" t="s">
        <v>27</v>
      </c>
      <c r="AS4" s="326" t="s">
        <v>28</v>
      </c>
      <c r="AT4" s="326" t="s">
        <v>27</v>
      </c>
      <c r="AU4" s="326" t="s">
        <v>28</v>
      </c>
      <c r="AV4" s="326" t="s">
        <v>27</v>
      </c>
      <c r="AW4" s="326" t="s">
        <v>28</v>
      </c>
      <c r="AX4" s="326" t="s">
        <v>27</v>
      </c>
      <c r="AY4" s="326" t="s">
        <v>28</v>
      </c>
      <c r="AZ4" s="326" t="s">
        <v>27</v>
      </c>
      <c r="BA4" s="326" t="s">
        <v>28</v>
      </c>
      <c r="BB4" s="326" t="s">
        <v>27</v>
      </c>
      <c r="BC4" s="326" t="s">
        <v>28</v>
      </c>
      <c r="BD4" s="326" t="s">
        <v>27</v>
      </c>
      <c r="BE4" s="326" t="s">
        <v>28</v>
      </c>
      <c r="BF4" s="326" t="s">
        <v>27</v>
      </c>
      <c r="BG4" s="326" t="s">
        <v>28</v>
      </c>
      <c r="BH4" s="326" t="s">
        <v>27</v>
      </c>
      <c r="BI4" s="326" t="s">
        <v>28</v>
      </c>
      <c r="BJ4" s="326" t="s">
        <v>27</v>
      </c>
      <c r="BK4" s="326" t="s">
        <v>28</v>
      </c>
      <c r="BL4" s="326" t="s">
        <v>27</v>
      </c>
      <c r="BM4" s="326" t="s">
        <v>28</v>
      </c>
      <c r="BN4" s="326" t="s">
        <v>27</v>
      </c>
      <c r="BO4" s="326" t="s">
        <v>28</v>
      </c>
      <c r="BP4" s="326" t="s">
        <v>27</v>
      </c>
      <c r="BQ4" s="326" t="s">
        <v>28</v>
      </c>
      <c r="BR4" s="326" t="s">
        <v>27</v>
      </c>
      <c r="BS4" s="326" t="s">
        <v>28</v>
      </c>
      <c r="BT4" s="326" t="s">
        <v>27</v>
      </c>
      <c r="BU4" s="326" t="s">
        <v>28</v>
      </c>
      <c r="BV4" s="326" t="s">
        <v>27</v>
      </c>
      <c r="BW4" s="326" t="s">
        <v>28</v>
      </c>
      <c r="BX4" s="326" t="s">
        <v>27</v>
      </c>
      <c r="BY4" s="326" t="s">
        <v>28</v>
      </c>
    </row>
    <row r="5" spans="1:77">
      <c r="A5" s="255" t="s">
        <v>111</v>
      </c>
      <c r="B5" s="321">
        <f>SUM(B6:B43)</f>
        <v>16250959.000366</v>
      </c>
      <c r="C5" s="321">
        <f>SUM(C6:C43)</f>
        <v>444438214.01499999</v>
      </c>
      <c r="D5" s="322">
        <f>SUM(D6:D43)</f>
        <v>5030302</v>
      </c>
      <c r="E5" s="322">
        <f t="shared" ref="E5:BP5" si="0">SUM(E6:E43)</f>
        <v>99317884</v>
      </c>
      <c r="F5" s="322">
        <f t="shared" si="0"/>
        <v>0</v>
      </c>
      <c r="G5" s="322">
        <f t="shared" si="0"/>
        <v>0</v>
      </c>
      <c r="H5" s="322">
        <f t="shared" si="0"/>
        <v>0</v>
      </c>
      <c r="I5" s="322">
        <f t="shared" si="0"/>
        <v>0</v>
      </c>
      <c r="J5" s="322">
        <f t="shared" si="0"/>
        <v>0</v>
      </c>
      <c r="K5" s="322">
        <f t="shared" si="0"/>
        <v>0</v>
      </c>
      <c r="L5" s="322">
        <f t="shared" si="0"/>
        <v>0</v>
      </c>
      <c r="M5" s="322">
        <f t="shared" si="0"/>
        <v>0</v>
      </c>
      <c r="N5" s="322">
        <f t="shared" si="0"/>
        <v>0</v>
      </c>
      <c r="O5" s="322">
        <f t="shared" si="0"/>
        <v>0</v>
      </c>
      <c r="P5" s="322">
        <f t="shared" si="0"/>
        <v>0</v>
      </c>
      <c r="Q5" s="322">
        <f t="shared" si="0"/>
        <v>0</v>
      </c>
      <c r="R5" s="322">
        <f t="shared" si="0"/>
        <v>0</v>
      </c>
      <c r="S5" s="322">
        <f t="shared" si="0"/>
        <v>0</v>
      </c>
      <c r="T5" s="322">
        <f t="shared" si="0"/>
        <v>0</v>
      </c>
      <c r="U5" s="322">
        <f t="shared" si="0"/>
        <v>0</v>
      </c>
      <c r="V5" s="322">
        <f t="shared" si="0"/>
        <v>0</v>
      </c>
      <c r="W5" s="322">
        <f t="shared" si="0"/>
        <v>0</v>
      </c>
      <c r="X5" s="322">
        <f t="shared" si="0"/>
        <v>0</v>
      </c>
      <c r="Y5" s="322">
        <f t="shared" si="0"/>
        <v>0</v>
      </c>
      <c r="Z5" s="322">
        <f t="shared" si="0"/>
        <v>0</v>
      </c>
      <c r="AA5" s="322">
        <f t="shared" si="0"/>
        <v>0</v>
      </c>
      <c r="AB5" s="322">
        <f t="shared" si="0"/>
        <v>0</v>
      </c>
      <c r="AC5" s="322">
        <f t="shared" si="0"/>
        <v>0</v>
      </c>
      <c r="AD5" s="322">
        <f t="shared" si="0"/>
        <v>0</v>
      </c>
      <c r="AE5" s="322">
        <f t="shared" si="0"/>
        <v>0</v>
      </c>
      <c r="AF5" s="322">
        <f t="shared" si="0"/>
        <v>0</v>
      </c>
      <c r="AG5" s="322">
        <f t="shared" si="0"/>
        <v>0</v>
      </c>
      <c r="AH5" s="322">
        <f t="shared" si="0"/>
        <v>0</v>
      </c>
      <c r="AI5" s="322">
        <f t="shared" si="0"/>
        <v>0</v>
      </c>
      <c r="AJ5" s="322">
        <f t="shared" si="0"/>
        <v>1714010</v>
      </c>
      <c r="AK5" s="322">
        <f t="shared" si="0"/>
        <v>31442409</v>
      </c>
      <c r="AL5" s="322">
        <f t="shared" si="0"/>
        <v>35120</v>
      </c>
      <c r="AM5" s="322">
        <f t="shared" si="0"/>
        <v>421440</v>
      </c>
      <c r="AN5" s="322">
        <f t="shared" si="0"/>
        <v>2684986.000366</v>
      </c>
      <c r="AO5" s="322">
        <f t="shared" si="0"/>
        <v>48664051.015000001</v>
      </c>
      <c r="AP5" s="322">
        <f t="shared" si="0"/>
        <v>12990</v>
      </c>
      <c r="AQ5" s="322">
        <f t="shared" si="0"/>
        <v>194850</v>
      </c>
      <c r="AR5" s="322">
        <f t="shared" si="0"/>
        <v>0</v>
      </c>
      <c r="AS5" s="322">
        <f t="shared" si="0"/>
        <v>0</v>
      </c>
      <c r="AT5" s="322">
        <f t="shared" si="0"/>
        <v>1552201</v>
      </c>
      <c r="AU5" s="322">
        <f t="shared" si="0"/>
        <v>22350080</v>
      </c>
      <c r="AV5" s="322">
        <f t="shared" si="0"/>
        <v>0</v>
      </c>
      <c r="AW5" s="322">
        <f t="shared" si="0"/>
        <v>0</v>
      </c>
      <c r="AX5" s="322">
        <f t="shared" si="0"/>
        <v>0</v>
      </c>
      <c r="AY5" s="322">
        <f t="shared" si="0"/>
        <v>0</v>
      </c>
      <c r="AZ5" s="322">
        <f t="shared" si="0"/>
        <v>0</v>
      </c>
      <c r="BA5" s="322">
        <f t="shared" si="0"/>
        <v>0</v>
      </c>
      <c r="BB5" s="322">
        <f t="shared" si="0"/>
        <v>4616320</v>
      </c>
      <c r="BC5" s="322">
        <f t="shared" si="0"/>
        <v>229946900</v>
      </c>
      <c r="BD5" s="322">
        <f t="shared" si="0"/>
        <v>0</v>
      </c>
      <c r="BE5" s="322">
        <f t="shared" si="0"/>
        <v>0</v>
      </c>
      <c r="BF5" s="322">
        <f t="shared" si="0"/>
        <v>0</v>
      </c>
      <c r="BG5" s="322">
        <f t="shared" si="0"/>
        <v>0</v>
      </c>
      <c r="BH5" s="322">
        <f t="shared" si="0"/>
        <v>0</v>
      </c>
      <c r="BI5" s="322">
        <f t="shared" si="0"/>
        <v>0</v>
      </c>
      <c r="BJ5" s="322">
        <f t="shared" si="0"/>
        <v>0</v>
      </c>
      <c r="BK5" s="322">
        <f t="shared" si="0"/>
        <v>0</v>
      </c>
      <c r="BL5" s="322">
        <f t="shared" si="0"/>
        <v>0</v>
      </c>
      <c r="BM5" s="322">
        <f t="shared" si="0"/>
        <v>0</v>
      </c>
      <c r="BN5" s="322">
        <f t="shared" si="0"/>
        <v>0</v>
      </c>
      <c r="BO5" s="322">
        <f t="shared" si="0"/>
        <v>0</v>
      </c>
      <c r="BP5" s="322">
        <f t="shared" si="0"/>
        <v>0</v>
      </c>
      <c r="BQ5" s="322">
        <f t="shared" ref="BQ5:BY5" si="1">SUM(BQ6:BQ43)</f>
        <v>0</v>
      </c>
      <c r="BR5" s="322">
        <f t="shared" si="1"/>
        <v>0</v>
      </c>
      <c r="BS5" s="322">
        <f t="shared" si="1"/>
        <v>0</v>
      </c>
      <c r="BT5" s="322">
        <f t="shared" si="1"/>
        <v>0</v>
      </c>
      <c r="BU5" s="322">
        <f t="shared" si="1"/>
        <v>0</v>
      </c>
      <c r="BV5" s="322">
        <f t="shared" si="1"/>
        <v>0</v>
      </c>
      <c r="BW5" s="322">
        <f t="shared" si="1"/>
        <v>0</v>
      </c>
      <c r="BX5" s="322">
        <f t="shared" si="1"/>
        <v>605030</v>
      </c>
      <c r="BY5" s="322">
        <f t="shared" si="1"/>
        <v>12100600</v>
      </c>
    </row>
    <row r="6" spans="1:77">
      <c r="A6" s="260" t="s">
        <v>137</v>
      </c>
      <c r="B6" s="320">
        <f>SUMIF($D$4:$BY$4,$B$4,D6:BY6)</f>
        <v>0</v>
      </c>
      <c r="C6" s="320">
        <f>SUMIF($D$4:$BY$4,$C$4,D6:BY6)</f>
        <v>0</v>
      </c>
      <c r="D6" s="322">
        <f>'P NP MINAPADI IKAN'!C8</f>
        <v>0</v>
      </c>
      <c r="E6" s="322">
        <f>'P NP MINAPADI IKAN'!D8</f>
        <v>0</v>
      </c>
      <c r="F6" s="322">
        <f>'P NP MINAPADI IKAN'!C9</f>
        <v>0</v>
      </c>
      <c r="G6" s="322">
        <f>'P NP MINAPADI IKAN'!D9</f>
        <v>0</v>
      </c>
      <c r="H6" s="322">
        <f>'P NP MINAPADI IKAN'!C10</f>
        <v>0</v>
      </c>
      <c r="I6" s="322">
        <f>'P NP MINAPADI IKAN'!D10</f>
        <v>0</v>
      </c>
      <c r="J6" s="322">
        <f>'P NP MINAPADI IKAN'!C11</f>
        <v>0</v>
      </c>
      <c r="K6" s="322">
        <f>'P NP MINAPADI IKAN'!D11</f>
        <v>0</v>
      </c>
      <c r="L6" s="322">
        <f>'P NP MINAPADI IKAN'!C12</f>
        <v>0</v>
      </c>
      <c r="M6" s="322">
        <f>'P NP MINAPADI IKAN'!D12</f>
        <v>0</v>
      </c>
      <c r="N6" s="322">
        <f>'P NP MINAPADI IKAN'!C13</f>
        <v>0</v>
      </c>
      <c r="O6" s="322">
        <f>'P NP MINAPADI IKAN'!D13</f>
        <v>0</v>
      </c>
      <c r="P6" s="322">
        <f>'P NP MINAPADI IKAN'!C14</f>
        <v>0</v>
      </c>
      <c r="Q6" s="322">
        <f>'P NP MINAPADI IKAN'!D14</f>
        <v>0</v>
      </c>
      <c r="R6" s="322">
        <f>'P NP MINAPADI IKAN'!C15</f>
        <v>0</v>
      </c>
      <c r="S6" s="322">
        <f>'P NP MINAPADI IKAN'!D15</f>
        <v>0</v>
      </c>
      <c r="T6" s="322">
        <f>'P NP MINAPADI IKAN'!C16</f>
        <v>0</v>
      </c>
      <c r="U6" s="322">
        <f>'P NP MINAPADI IKAN'!D16</f>
        <v>0</v>
      </c>
      <c r="V6" s="322">
        <f>'P NP MINAPADI IKAN'!C17</f>
        <v>0</v>
      </c>
      <c r="W6" s="322">
        <f>'P NP MINAPADI IKAN'!D17</f>
        <v>0</v>
      </c>
      <c r="X6" s="322">
        <f>'P NP MINAPADI IKAN'!C18</f>
        <v>0</v>
      </c>
      <c r="Y6" s="322">
        <f>'P NP MINAPADI IKAN'!D18</f>
        <v>0</v>
      </c>
      <c r="Z6" s="322">
        <f>'P NP MINAPADI IKAN'!C19</f>
        <v>0</v>
      </c>
      <c r="AA6" s="322">
        <f>'P NP MINAPADI IKAN'!D19</f>
        <v>0</v>
      </c>
      <c r="AB6" s="322">
        <f>'P NP MINAPADI IKAN'!C20</f>
        <v>0</v>
      </c>
      <c r="AC6" s="322">
        <f>'P NP MINAPADI IKAN'!D20</f>
        <v>0</v>
      </c>
      <c r="AD6" s="322">
        <f>'P NP MINAPADI IKAN'!C21</f>
        <v>0</v>
      </c>
      <c r="AE6" s="322">
        <f>'P NP MINAPADI IKAN'!D21</f>
        <v>0</v>
      </c>
      <c r="AF6" s="322">
        <f>'P NP MINAPADI IKAN'!C22</f>
        <v>0</v>
      </c>
      <c r="AG6" s="322">
        <f>'P NP MINAPADI IKAN'!D22</f>
        <v>0</v>
      </c>
      <c r="AH6" s="322">
        <f>'P NP MINAPADI IKAN'!C23</f>
        <v>0</v>
      </c>
      <c r="AI6" s="322">
        <f>'P NP MINAPADI IKAN'!D23</f>
        <v>0</v>
      </c>
      <c r="AJ6" s="322">
        <f>'P NP MINAPADI IKAN'!C24</f>
        <v>0</v>
      </c>
      <c r="AK6" s="322">
        <f>'P NP MINAPADI IKAN'!D24</f>
        <v>0</v>
      </c>
      <c r="AL6" s="322">
        <f>'P NP MINAPADI IKAN'!C25</f>
        <v>0</v>
      </c>
      <c r="AM6" s="322">
        <f>'P NP MINAPADI IKAN'!D25</f>
        <v>0</v>
      </c>
      <c r="AN6" s="322">
        <f>'P NP MINAPADI IKAN'!C26</f>
        <v>0</v>
      </c>
      <c r="AO6" s="322">
        <f>'P NP MINAPADI IKAN'!D26</f>
        <v>0</v>
      </c>
      <c r="AP6" s="322">
        <f>'P NP MINAPADI IKAN'!C27</f>
        <v>0</v>
      </c>
      <c r="AQ6" s="322">
        <f>'P NP MINAPADI IKAN'!D27</f>
        <v>0</v>
      </c>
      <c r="AR6" s="322">
        <f>'P NP MINAPADI IKAN'!C28</f>
        <v>0</v>
      </c>
      <c r="AS6" s="322">
        <f>'P NP MINAPADI IKAN'!D28</f>
        <v>0</v>
      </c>
      <c r="AT6" s="322">
        <f>'P NP MINAPADI IKAN'!C29</f>
        <v>0</v>
      </c>
      <c r="AU6" s="322">
        <f>'P NP MINAPADI IKAN'!D29</f>
        <v>0</v>
      </c>
      <c r="AV6" s="322">
        <f>'P NP MINAPADI IKAN'!C30</f>
        <v>0</v>
      </c>
      <c r="AW6" s="322">
        <f>'P NP MINAPADI IKAN'!D30</f>
        <v>0</v>
      </c>
      <c r="AX6" s="322">
        <f>'P NP MINAPADI IKAN'!C31</f>
        <v>0</v>
      </c>
      <c r="AY6" s="322">
        <f>'P NP MINAPADI IKAN'!D31</f>
        <v>0</v>
      </c>
      <c r="AZ6" s="322">
        <f>'P NP MINAPADI IKAN'!C32</f>
        <v>0</v>
      </c>
      <c r="BA6" s="322">
        <f>'P NP MINAPADI IKAN'!D32</f>
        <v>0</v>
      </c>
      <c r="BB6" s="322">
        <f>'P NP MINAPADI IKAN'!C33</f>
        <v>0</v>
      </c>
      <c r="BC6" s="322">
        <f>'P NP MINAPADI IKAN'!D33</f>
        <v>0</v>
      </c>
      <c r="BD6" s="322">
        <f>'P NP MINAPADI IKAN'!C34</f>
        <v>0</v>
      </c>
      <c r="BE6" s="322">
        <f>'P NP MINAPADI IKAN'!D34</f>
        <v>0</v>
      </c>
      <c r="BF6" s="322">
        <f>'P NP MINAPADI IKAN'!C35</f>
        <v>0</v>
      </c>
      <c r="BG6" s="322">
        <f>'P NP MINAPADI IKAN'!D35</f>
        <v>0</v>
      </c>
      <c r="BH6" s="322">
        <f>'P NP MINAPADI IKAN'!C36</f>
        <v>0</v>
      </c>
      <c r="BI6" s="322">
        <f>'P NP MINAPADI IKAN'!D36</f>
        <v>0</v>
      </c>
      <c r="BJ6" s="322">
        <f>'P NP MINAPADI IKAN'!C37</f>
        <v>0</v>
      </c>
      <c r="BK6" s="322">
        <f>'P NP MINAPADI IKAN'!D37</f>
        <v>0</v>
      </c>
      <c r="BL6" s="322">
        <f>'P NP MINAPADI IKAN'!C38</f>
        <v>0</v>
      </c>
      <c r="BM6" s="322">
        <f>'P NP MINAPADI IKAN'!D38</f>
        <v>0</v>
      </c>
      <c r="BN6" s="322">
        <f>'P NP MINAPADI IKAN'!C39</f>
        <v>0</v>
      </c>
      <c r="BO6" s="322">
        <f>'P NP MINAPADI IKAN'!D39</f>
        <v>0</v>
      </c>
      <c r="BP6" s="322">
        <f>'P NP MINAPADI IKAN'!C40</f>
        <v>0</v>
      </c>
      <c r="BQ6" s="322">
        <f>'P NP MINAPADI IKAN'!D40</f>
        <v>0</v>
      </c>
      <c r="BR6" s="322">
        <f>'P NP MINAPADI IKAN'!C41</f>
        <v>0</v>
      </c>
      <c r="BS6" s="322">
        <f>'P NP MINAPADI IKAN'!D41</f>
        <v>0</v>
      </c>
      <c r="BT6" s="322">
        <f>'P NP MINAPADI IKAN'!C42</f>
        <v>0</v>
      </c>
      <c r="BU6" s="322">
        <f>'P NP MINAPADI IKAN'!D42</f>
        <v>0</v>
      </c>
      <c r="BV6" s="322">
        <f>'P NP MINAPADI IKAN'!C43</f>
        <v>0</v>
      </c>
      <c r="BW6" s="322">
        <f>'P NP MINAPADI IKAN'!D43</f>
        <v>0</v>
      </c>
      <c r="BX6" s="322">
        <f>'P NP MINAPADI IKAN'!C44</f>
        <v>0</v>
      </c>
      <c r="BY6" s="322">
        <f>'P NP MINAPADI IKAN'!D44</f>
        <v>0</v>
      </c>
    </row>
    <row r="7" spans="1:77">
      <c r="A7" s="260" t="s">
        <v>121</v>
      </c>
      <c r="B7" s="320">
        <f t="shared" ref="B7:B43" si="2">SUMIF($D$4:$BY$4,$B$4,D7:BY7)</f>
        <v>68205</v>
      </c>
      <c r="C7" s="320">
        <f t="shared" ref="C7:C43" si="3">SUMIF($D$4:$BY$4,$C$4,D7:BY7)</f>
        <v>1867275</v>
      </c>
      <c r="D7" s="322">
        <f>'P NP MINAPADI IKAN'!E8</f>
        <v>0</v>
      </c>
      <c r="E7" s="322">
        <f>'P NP MINAPADI IKAN'!F8</f>
        <v>0</v>
      </c>
      <c r="F7" s="322">
        <f>'P NP MINAPADI IKAN'!E9</f>
        <v>0</v>
      </c>
      <c r="G7" s="322">
        <f>'P NP MINAPADI IKAN'!F9</f>
        <v>0</v>
      </c>
      <c r="H7" s="322">
        <f>'P NP MINAPADI IKAN'!E10</f>
        <v>0</v>
      </c>
      <c r="I7" s="322">
        <f>'P NP MINAPADI IKAN'!F10</f>
        <v>0</v>
      </c>
      <c r="J7" s="322">
        <f>'P NP MINAPADI IKAN'!E11</f>
        <v>0</v>
      </c>
      <c r="K7" s="322">
        <f>'P NP MINAPADI IKAN'!F11</f>
        <v>0</v>
      </c>
      <c r="L7" s="322">
        <f>'P NP MINAPADI IKAN'!E12</f>
        <v>0</v>
      </c>
      <c r="M7" s="322">
        <f>'P NP MINAPADI IKAN'!F12</f>
        <v>0</v>
      </c>
      <c r="N7" s="322">
        <f>'P NP MINAPADI IKAN'!E13</f>
        <v>0</v>
      </c>
      <c r="O7" s="322">
        <f>'P NP MINAPADI IKAN'!F13</f>
        <v>0</v>
      </c>
      <c r="P7" s="322">
        <f>'P NP MINAPADI IKAN'!E14</f>
        <v>0</v>
      </c>
      <c r="Q7" s="322">
        <f>'P NP MINAPADI IKAN'!F14</f>
        <v>0</v>
      </c>
      <c r="R7" s="322">
        <f>'P NP MINAPADI IKAN'!E15</f>
        <v>0</v>
      </c>
      <c r="S7" s="322">
        <f>'P NP MINAPADI IKAN'!F15</f>
        <v>0</v>
      </c>
      <c r="T7" s="322">
        <f>'P NP MINAPADI IKAN'!E16</f>
        <v>0</v>
      </c>
      <c r="U7" s="322">
        <f>'P NP MINAPADI IKAN'!F16</f>
        <v>0</v>
      </c>
      <c r="V7" s="322">
        <f>'P NP MINAPADI IKAN'!E17</f>
        <v>0</v>
      </c>
      <c r="W7" s="322">
        <f>'P NP MINAPADI IKAN'!F17</f>
        <v>0</v>
      </c>
      <c r="X7" s="322">
        <f>'P NP MINAPADI IKAN'!E18</f>
        <v>0</v>
      </c>
      <c r="Y7" s="322">
        <f>'P NP MINAPADI IKAN'!F18</f>
        <v>0</v>
      </c>
      <c r="Z7" s="322">
        <f>'P NP MINAPADI IKAN'!E19</f>
        <v>0</v>
      </c>
      <c r="AA7" s="322">
        <f>'P NP MINAPADI IKAN'!F19</f>
        <v>0</v>
      </c>
      <c r="AB7" s="322">
        <f>'P NP MINAPADI IKAN'!E20</f>
        <v>0</v>
      </c>
      <c r="AC7" s="322">
        <f>'P NP MINAPADI IKAN'!F20</f>
        <v>0</v>
      </c>
      <c r="AD7" s="322">
        <f>'P NP MINAPADI IKAN'!E21</f>
        <v>0</v>
      </c>
      <c r="AE7" s="322">
        <f>'P NP MINAPADI IKAN'!F21</f>
        <v>0</v>
      </c>
      <c r="AF7" s="322">
        <f>'P NP MINAPADI IKAN'!E22</f>
        <v>0</v>
      </c>
      <c r="AG7" s="322">
        <f>'P NP MINAPADI IKAN'!F22</f>
        <v>0</v>
      </c>
      <c r="AH7" s="322">
        <f>'P NP MINAPADI IKAN'!E23</f>
        <v>0</v>
      </c>
      <c r="AI7" s="322">
        <f>'P NP MINAPADI IKAN'!F23</f>
        <v>0</v>
      </c>
      <c r="AJ7" s="322">
        <f>'P NP MINAPADI IKAN'!E24</f>
        <v>33545</v>
      </c>
      <c r="AK7" s="322">
        <f>'P NP MINAPADI IKAN'!F24</f>
        <v>1174075</v>
      </c>
      <c r="AL7" s="322">
        <f>'P NP MINAPADI IKAN'!E25</f>
        <v>0</v>
      </c>
      <c r="AM7" s="322">
        <f>'P NP MINAPADI IKAN'!F25</f>
        <v>0</v>
      </c>
      <c r="AN7" s="322">
        <f>'P NP MINAPADI IKAN'!E26</f>
        <v>34660</v>
      </c>
      <c r="AO7" s="322">
        <f>'P NP MINAPADI IKAN'!F26</f>
        <v>693200</v>
      </c>
      <c r="AP7" s="322">
        <f>'P NP MINAPADI IKAN'!E27</f>
        <v>0</v>
      </c>
      <c r="AQ7" s="322">
        <f>'P NP MINAPADI IKAN'!F27</f>
        <v>0</v>
      </c>
      <c r="AR7" s="322">
        <f>'P NP MINAPADI IKAN'!E28</f>
        <v>0</v>
      </c>
      <c r="AS7" s="322">
        <f>'P NP MINAPADI IKAN'!F28</f>
        <v>0</v>
      </c>
      <c r="AT7" s="322">
        <f>'P NP MINAPADI IKAN'!E29</f>
        <v>0</v>
      </c>
      <c r="AU7" s="322">
        <f>'P NP MINAPADI IKAN'!F29</f>
        <v>0</v>
      </c>
      <c r="AV7" s="322">
        <f>'P NP MINAPADI IKAN'!E30</f>
        <v>0</v>
      </c>
      <c r="AW7" s="322">
        <f>'P NP MINAPADI IKAN'!F30</f>
        <v>0</v>
      </c>
      <c r="AX7" s="322">
        <f>'P NP MINAPADI IKAN'!E31</f>
        <v>0</v>
      </c>
      <c r="AY7" s="322">
        <f>'P NP MINAPADI IKAN'!F31</f>
        <v>0</v>
      </c>
      <c r="AZ7" s="322">
        <f>'P NP MINAPADI IKAN'!E32</f>
        <v>0</v>
      </c>
      <c r="BA7" s="322">
        <f>'P NP MINAPADI IKAN'!F32</f>
        <v>0</v>
      </c>
      <c r="BB7" s="322">
        <f>'P NP MINAPADI IKAN'!E33</f>
        <v>0</v>
      </c>
      <c r="BC7" s="322">
        <f>'P NP MINAPADI IKAN'!F33</f>
        <v>0</v>
      </c>
      <c r="BD7" s="322">
        <f>'P NP MINAPADI IKAN'!E34</f>
        <v>0</v>
      </c>
      <c r="BE7" s="322">
        <f>'P NP MINAPADI IKAN'!F34</f>
        <v>0</v>
      </c>
      <c r="BF7" s="322">
        <f>'P NP MINAPADI IKAN'!E35</f>
        <v>0</v>
      </c>
      <c r="BG7" s="322">
        <f>'P NP MINAPADI IKAN'!F35</f>
        <v>0</v>
      </c>
      <c r="BH7" s="322">
        <f>'P NP MINAPADI IKAN'!E36</f>
        <v>0</v>
      </c>
      <c r="BI7" s="322">
        <f>'P NP MINAPADI IKAN'!F36</f>
        <v>0</v>
      </c>
      <c r="BJ7" s="322">
        <f>'P NP MINAPADI IKAN'!E37</f>
        <v>0</v>
      </c>
      <c r="BK7" s="322">
        <f>'P NP MINAPADI IKAN'!F37</f>
        <v>0</v>
      </c>
      <c r="BL7" s="322">
        <f>'P NP MINAPADI IKAN'!E38</f>
        <v>0</v>
      </c>
      <c r="BM7" s="322">
        <f>'P NP MINAPADI IKAN'!F38</f>
        <v>0</v>
      </c>
      <c r="BN7" s="322">
        <f>'P NP MINAPADI IKAN'!E39</f>
        <v>0</v>
      </c>
      <c r="BO7" s="322">
        <f>'P NP MINAPADI IKAN'!F39</f>
        <v>0</v>
      </c>
      <c r="BP7" s="322">
        <f>'P NP MINAPADI IKAN'!E40</f>
        <v>0</v>
      </c>
      <c r="BQ7" s="322">
        <f>'P NP MINAPADI IKAN'!F40</f>
        <v>0</v>
      </c>
      <c r="BR7" s="322">
        <f>'P NP MINAPADI IKAN'!E41</f>
        <v>0</v>
      </c>
      <c r="BS7" s="322">
        <f>'P NP MINAPADI IKAN'!F41</f>
        <v>0</v>
      </c>
      <c r="BT7" s="322">
        <f>'P NP MINAPADI IKAN'!E42</f>
        <v>0</v>
      </c>
      <c r="BU7" s="322">
        <f>'P NP MINAPADI IKAN'!F42</f>
        <v>0</v>
      </c>
      <c r="BV7" s="322">
        <f>'P NP MINAPADI IKAN'!E43</f>
        <v>0</v>
      </c>
      <c r="BW7" s="322">
        <f>'P NP MINAPADI IKAN'!F43</f>
        <v>0</v>
      </c>
      <c r="BX7" s="322">
        <f>'P NP MINAPADI IKAN'!E44</f>
        <v>0</v>
      </c>
      <c r="BY7" s="322">
        <f>'P NP MINAPADI IKAN'!F44</f>
        <v>0</v>
      </c>
    </row>
    <row r="8" spans="1:77">
      <c r="A8" s="260" t="s">
        <v>116</v>
      </c>
      <c r="B8" s="320">
        <f t="shared" si="2"/>
        <v>1820</v>
      </c>
      <c r="C8" s="320">
        <f t="shared" si="3"/>
        <v>43900</v>
      </c>
      <c r="D8" s="322">
        <f>'P NP MINAPADI IKAN'!G8</f>
        <v>0</v>
      </c>
      <c r="E8" s="322">
        <f>'P NP MINAPADI IKAN'!H8</f>
        <v>0</v>
      </c>
      <c r="F8" s="322">
        <f>'P NP MINAPADI IKAN'!G9</f>
        <v>0</v>
      </c>
      <c r="G8" s="322">
        <f>'P NP MINAPADI IKAN'!H9</f>
        <v>0</v>
      </c>
      <c r="H8" s="322">
        <f>'P NP MINAPADI IKAN'!G10</f>
        <v>0</v>
      </c>
      <c r="I8" s="322">
        <f>'P NP MINAPADI IKAN'!H10</f>
        <v>0</v>
      </c>
      <c r="J8" s="322">
        <f>'P NP MINAPADI IKAN'!G11</f>
        <v>0</v>
      </c>
      <c r="K8" s="322">
        <f>'P NP MINAPADI IKAN'!H11</f>
        <v>0</v>
      </c>
      <c r="L8" s="322">
        <f>'P NP MINAPADI IKAN'!G12</f>
        <v>0</v>
      </c>
      <c r="M8" s="322">
        <f>'P NP MINAPADI IKAN'!H12</f>
        <v>0</v>
      </c>
      <c r="N8" s="322">
        <f>'P NP MINAPADI IKAN'!G13</f>
        <v>0</v>
      </c>
      <c r="O8" s="322">
        <f>'P NP MINAPADI IKAN'!H13</f>
        <v>0</v>
      </c>
      <c r="P8" s="322">
        <f>'P NP MINAPADI IKAN'!G14</f>
        <v>0</v>
      </c>
      <c r="Q8" s="322">
        <f>'P NP MINAPADI IKAN'!H14</f>
        <v>0</v>
      </c>
      <c r="R8" s="322">
        <f>'P NP MINAPADI IKAN'!G15</f>
        <v>0</v>
      </c>
      <c r="S8" s="322">
        <f>'P NP MINAPADI IKAN'!H15</f>
        <v>0</v>
      </c>
      <c r="T8" s="322">
        <f>'P NP MINAPADI IKAN'!G16</f>
        <v>0</v>
      </c>
      <c r="U8" s="322">
        <f>'P NP MINAPADI IKAN'!H16</f>
        <v>0</v>
      </c>
      <c r="V8" s="322">
        <f>'P NP MINAPADI IKAN'!G17</f>
        <v>0</v>
      </c>
      <c r="W8" s="322">
        <f>'P NP MINAPADI IKAN'!H17</f>
        <v>0</v>
      </c>
      <c r="X8" s="322">
        <f>'P NP MINAPADI IKAN'!G18</f>
        <v>0</v>
      </c>
      <c r="Y8" s="322">
        <f>'P NP MINAPADI IKAN'!H18</f>
        <v>0</v>
      </c>
      <c r="Z8" s="322">
        <f>'P NP MINAPADI IKAN'!G19</f>
        <v>0</v>
      </c>
      <c r="AA8" s="322">
        <f>'P NP MINAPADI IKAN'!H19</f>
        <v>0</v>
      </c>
      <c r="AB8" s="322">
        <f>'P NP MINAPADI IKAN'!G20</f>
        <v>0</v>
      </c>
      <c r="AC8" s="322">
        <f>'P NP MINAPADI IKAN'!H20</f>
        <v>0</v>
      </c>
      <c r="AD8" s="322">
        <f>'P NP MINAPADI IKAN'!G21</f>
        <v>0</v>
      </c>
      <c r="AE8" s="322">
        <f>'P NP MINAPADI IKAN'!H21</f>
        <v>0</v>
      </c>
      <c r="AF8" s="322">
        <f>'P NP MINAPADI IKAN'!G22</f>
        <v>0</v>
      </c>
      <c r="AG8" s="322">
        <f>'P NP MINAPADI IKAN'!H22</f>
        <v>0</v>
      </c>
      <c r="AH8" s="322">
        <f>'P NP MINAPADI IKAN'!G23</f>
        <v>0</v>
      </c>
      <c r="AI8" s="322">
        <f>'P NP MINAPADI IKAN'!H23</f>
        <v>0</v>
      </c>
      <c r="AJ8" s="322">
        <f>'P NP MINAPADI IKAN'!G24</f>
        <v>0</v>
      </c>
      <c r="AK8" s="322">
        <f>'P NP MINAPADI IKAN'!H24</f>
        <v>0</v>
      </c>
      <c r="AL8" s="322">
        <f>'P NP MINAPADI IKAN'!G25</f>
        <v>0</v>
      </c>
      <c r="AM8" s="322">
        <f>'P NP MINAPADI IKAN'!H25</f>
        <v>0</v>
      </c>
      <c r="AN8" s="322">
        <f>'P NP MINAPADI IKAN'!G26</f>
        <v>1820</v>
      </c>
      <c r="AO8" s="322">
        <f>'P NP MINAPADI IKAN'!H26</f>
        <v>43900</v>
      </c>
      <c r="AP8" s="322">
        <f>'P NP MINAPADI IKAN'!G27</f>
        <v>0</v>
      </c>
      <c r="AQ8" s="322">
        <f>'P NP MINAPADI IKAN'!H27</f>
        <v>0</v>
      </c>
      <c r="AR8" s="322">
        <f>'P NP MINAPADI IKAN'!G28</f>
        <v>0</v>
      </c>
      <c r="AS8" s="322">
        <f>'P NP MINAPADI IKAN'!H28</f>
        <v>0</v>
      </c>
      <c r="AT8" s="322">
        <f>'P NP MINAPADI IKAN'!G29</f>
        <v>0</v>
      </c>
      <c r="AU8" s="322">
        <f>'P NP MINAPADI IKAN'!H29</f>
        <v>0</v>
      </c>
      <c r="AV8" s="322">
        <f>'P NP MINAPADI IKAN'!G30</f>
        <v>0</v>
      </c>
      <c r="AW8" s="322">
        <f>'P NP MINAPADI IKAN'!H30</f>
        <v>0</v>
      </c>
      <c r="AX8" s="322">
        <f>'P NP MINAPADI IKAN'!G31</f>
        <v>0</v>
      </c>
      <c r="AY8" s="322">
        <f>'P NP MINAPADI IKAN'!H31</f>
        <v>0</v>
      </c>
      <c r="AZ8" s="322">
        <f>'P NP MINAPADI IKAN'!G32</f>
        <v>0</v>
      </c>
      <c r="BA8" s="322">
        <f>'P NP MINAPADI IKAN'!H32</f>
        <v>0</v>
      </c>
      <c r="BB8" s="322">
        <f>'P NP MINAPADI IKAN'!G33</f>
        <v>0</v>
      </c>
      <c r="BC8" s="322">
        <f>'P NP MINAPADI IKAN'!H33</f>
        <v>0</v>
      </c>
      <c r="BD8" s="322">
        <f>'P NP MINAPADI IKAN'!G34</f>
        <v>0</v>
      </c>
      <c r="BE8" s="322">
        <f>'P NP MINAPADI IKAN'!H34</f>
        <v>0</v>
      </c>
      <c r="BF8" s="322">
        <f>'P NP MINAPADI IKAN'!G35</f>
        <v>0</v>
      </c>
      <c r="BG8" s="322">
        <f>'P NP MINAPADI IKAN'!H35</f>
        <v>0</v>
      </c>
      <c r="BH8" s="322">
        <f>'P NP MINAPADI IKAN'!G36</f>
        <v>0</v>
      </c>
      <c r="BI8" s="322">
        <f>'P NP MINAPADI IKAN'!H36</f>
        <v>0</v>
      </c>
      <c r="BJ8" s="322">
        <f>'P NP MINAPADI IKAN'!G37</f>
        <v>0</v>
      </c>
      <c r="BK8" s="322">
        <f>'P NP MINAPADI IKAN'!H37</f>
        <v>0</v>
      </c>
      <c r="BL8" s="322">
        <f>'P NP MINAPADI IKAN'!G38</f>
        <v>0</v>
      </c>
      <c r="BM8" s="322">
        <f>'P NP MINAPADI IKAN'!H38</f>
        <v>0</v>
      </c>
      <c r="BN8" s="322">
        <f>'P NP MINAPADI IKAN'!G39</f>
        <v>0</v>
      </c>
      <c r="BO8" s="322">
        <f>'P NP MINAPADI IKAN'!H39</f>
        <v>0</v>
      </c>
      <c r="BP8" s="322">
        <f>'P NP MINAPADI IKAN'!G40</f>
        <v>0</v>
      </c>
      <c r="BQ8" s="322">
        <f>'P NP MINAPADI IKAN'!H40</f>
        <v>0</v>
      </c>
      <c r="BR8" s="322">
        <f>'P NP MINAPADI IKAN'!G41</f>
        <v>0</v>
      </c>
      <c r="BS8" s="322">
        <f>'P NP MINAPADI IKAN'!H41</f>
        <v>0</v>
      </c>
      <c r="BT8" s="322">
        <f>'P NP MINAPADI IKAN'!G42</f>
        <v>0</v>
      </c>
      <c r="BU8" s="322">
        <f>'P NP MINAPADI IKAN'!H42</f>
        <v>0</v>
      </c>
      <c r="BV8" s="322">
        <f>'P NP MINAPADI IKAN'!G43</f>
        <v>0</v>
      </c>
      <c r="BW8" s="322">
        <f>'P NP MINAPADI IKAN'!H43</f>
        <v>0</v>
      </c>
      <c r="BX8" s="322">
        <f>'P NP MINAPADI IKAN'!G44</f>
        <v>0</v>
      </c>
      <c r="BY8" s="322">
        <f>'P NP MINAPADI IKAN'!H44</f>
        <v>0</v>
      </c>
    </row>
    <row r="9" spans="1:77">
      <c r="A9" s="260" t="s">
        <v>133</v>
      </c>
      <c r="B9" s="320">
        <f t="shared" si="2"/>
        <v>84222</v>
      </c>
      <c r="C9" s="320">
        <f t="shared" si="3"/>
        <v>1680599</v>
      </c>
      <c r="D9" s="322">
        <f>'P NP MINAPADI IKAN'!I8</f>
        <v>17732</v>
      </c>
      <c r="E9" s="322">
        <f>'P NP MINAPADI IKAN'!J8</f>
        <v>301444</v>
      </c>
      <c r="F9" s="322">
        <f>'P NP MINAPADI IKAN'!I9</f>
        <v>0</v>
      </c>
      <c r="G9" s="322">
        <f>'P NP MINAPADI IKAN'!J9</f>
        <v>0</v>
      </c>
      <c r="H9" s="322">
        <f>'P NP MINAPADI IKAN'!I10</f>
        <v>0</v>
      </c>
      <c r="I9" s="322">
        <f>'P NP MINAPADI IKAN'!J10</f>
        <v>0</v>
      </c>
      <c r="J9" s="322">
        <f>'P NP MINAPADI IKAN'!I11</f>
        <v>0</v>
      </c>
      <c r="K9" s="322">
        <f>'P NP MINAPADI IKAN'!J11</f>
        <v>0</v>
      </c>
      <c r="L9" s="322">
        <f>'P NP MINAPADI IKAN'!I12</f>
        <v>0</v>
      </c>
      <c r="M9" s="322">
        <f>'P NP MINAPADI IKAN'!J12</f>
        <v>0</v>
      </c>
      <c r="N9" s="322">
        <f>'P NP MINAPADI IKAN'!I13</f>
        <v>0</v>
      </c>
      <c r="O9" s="322">
        <f>'P NP MINAPADI IKAN'!J13</f>
        <v>0</v>
      </c>
      <c r="P9" s="322">
        <f>'P NP MINAPADI IKAN'!I14</f>
        <v>0</v>
      </c>
      <c r="Q9" s="322">
        <f>'P NP MINAPADI IKAN'!J14</f>
        <v>0</v>
      </c>
      <c r="R9" s="322">
        <f>'P NP MINAPADI IKAN'!I15</f>
        <v>0</v>
      </c>
      <c r="S9" s="322">
        <f>'P NP MINAPADI IKAN'!J15</f>
        <v>0</v>
      </c>
      <c r="T9" s="322">
        <f>'P NP MINAPADI IKAN'!K16</f>
        <v>0</v>
      </c>
      <c r="U9" s="322">
        <f>'P NP MINAPADI IKAN'!L16</f>
        <v>0</v>
      </c>
      <c r="V9" s="322">
        <f>'P NP MINAPADI IKAN'!I17</f>
        <v>0</v>
      </c>
      <c r="W9" s="322">
        <f>'P NP MINAPADI IKAN'!J17</f>
        <v>0</v>
      </c>
      <c r="X9" s="322">
        <f>'P NP MINAPADI IKAN'!I18</f>
        <v>0</v>
      </c>
      <c r="Y9" s="322">
        <f>'P NP MINAPADI IKAN'!J18</f>
        <v>0</v>
      </c>
      <c r="Z9" s="322">
        <f>'P NP MINAPADI IKAN'!I19</f>
        <v>0</v>
      </c>
      <c r="AA9" s="322">
        <f>'P NP MINAPADI IKAN'!J19</f>
        <v>0</v>
      </c>
      <c r="AB9" s="322">
        <f>'P NP MINAPADI IKAN'!I20</f>
        <v>0</v>
      </c>
      <c r="AC9" s="322">
        <f>'P NP MINAPADI IKAN'!J20</f>
        <v>0</v>
      </c>
      <c r="AD9" s="322">
        <f>'P NP MINAPADI IKAN'!I21</f>
        <v>0</v>
      </c>
      <c r="AE9" s="322">
        <f>'P NP MINAPADI IKAN'!J21</f>
        <v>0</v>
      </c>
      <c r="AF9" s="322">
        <f>'P NP MINAPADI IKAN'!I22</f>
        <v>0</v>
      </c>
      <c r="AG9" s="322">
        <f>'P NP MINAPADI IKAN'!J22</f>
        <v>0</v>
      </c>
      <c r="AH9" s="322">
        <f>'P NP MINAPADI IKAN'!I23</f>
        <v>0</v>
      </c>
      <c r="AI9" s="322">
        <f>'P NP MINAPADI IKAN'!J23</f>
        <v>0</v>
      </c>
      <c r="AJ9" s="322">
        <f>'P NP MINAPADI IKAN'!I24</f>
        <v>2328</v>
      </c>
      <c r="AK9" s="322">
        <f>'P NP MINAPADI IKAN'!J24</f>
        <v>34920</v>
      </c>
      <c r="AL9" s="322">
        <f>'P NP MINAPADI IKAN'!I25</f>
        <v>0</v>
      </c>
      <c r="AM9" s="322">
        <f>'P NP MINAPADI IKAN'!J25</f>
        <v>0</v>
      </c>
      <c r="AN9" s="322">
        <f>'P NP MINAPADI IKAN'!I26</f>
        <v>46841</v>
      </c>
      <c r="AO9" s="322">
        <f>'P NP MINAPADI IKAN'!J26</f>
        <v>1171025</v>
      </c>
      <c r="AP9" s="322">
        <f>'P NP MINAPADI IKAN'!I27</f>
        <v>0</v>
      </c>
      <c r="AQ9" s="322">
        <f>'P NP MINAPADI IKAN'!J27</f>
        <v>0</v>
      </c>
      <c r="AR9" s="322">
        <f>'P NP MINAPADI IKAN'!I28</f>
        <v>0</v>
      </c>
      <c r="AS9" s="322">
        <f>'P NP MINAPADI IKAN'!J28</f>
        <v>0</v>
      </c>
      <c r="AT9" s="322">
        <f>'P NP MINAPADI IKAN'!I29</f>
        <v>17321</v>
      </c>
      <c r="AU9" s="322">
        <f>'P NP MINAPADI IKAN'!J29</f>
        <v>173210</v>
      </c>
      <c r="AV9" s="322">
        <f>'P NP MINAPADI IKAN'!I30</f>
        <v>0</v>
      </c>
      <c r="AW9" s="322">
        <f>'P NP MINAPADI IKAN'!J30</f>
        <v>0</v>
      </c>
      <c r="AX9" s="322">
        <f>'P NP MINAPADI IKAN'!I31</f>
        <v>0</v>
      </c>
      <c r="AY9" s="322">
        <f>'P NP MINAPADI IKAN'!J31</f>
        <v>0</v>
      </c>
      <c r="AZ9" s="322">
        <f>'P NP MINAPADI IKAN'!I32</f>
        <v>0</v>
      </c>
      <c r="BA9" s="322">
        <f>'P NP MINAPADI IKAN'!J32</f>
        <v>0</v>
      </c>
      <c r="BB9" s="322">
        <f>'P NP MINAPADI IKAN'!I33</f>
        <v>0</v>
      </c>
      <c r="BC9" s="322">
        <f>'P NP MINAPADI IKAN'!J33</f>
        <v>0</v>
      </c>
      <c r="BD9" s="322">
        <f>'P NP MINAPADI IKAN'!I34</f>
        <v>0</v>
      </c>
      <c r="BE9" s="322">
        <f>'P NP MINAPADI IKAN'!J34</f>
        <v>0</v>
      </c>
      <c r="BF9" s="322">
        <f>'P NP MINAPADI IKAN'!I35</f>
        <v>0</v>
      </c>
      <c r="BG9" s="322">
        <f>'P NP MINAPADI IKAN'!J35</f>
        <v>0</v>
      </c>
      <c r="BH9" s="322">
        <f>'P NP MINAPADI IKAN'!I36</f>
        <v>0</v>
      </c>
      <c r="BI9" s="322">
        <f>'P NP MINAPADI IKAN'!J36</f>
        <v>0</v>
      </c>
      <c r="BJ9" s="322">
        <f>'P NP MINAPADI IKAN'!I37</f>
        <v>0</v>
      </c>
      <c r="BK9" s="322">
        <f>'P NP MINAPADI IKAN'!J37</f>
        <v>0</v>
      </c>
      <c r="BL9" s="322">
        <f>'P NP MINAPADI IKAN'!I38</f>
        <v>0</v>
      </c>
      <c r="BM9" s="322">
        <f>'P NP MINAPADI IKAN'!J38</f>
        <v>0</v>
      </c>
      <c r="BN9" s="322">
        <f>'P NP MINAPADI IKAN'!I39</f>
        <v>0</v>
      </c>
      <c r="BO9" s="322">
        <f>'P NP MINAPADI IKAN'!J39</f>
        <v>0</v>
      </c>
      <c r="BP9" s="322">
        <f>'P NP MINAPADI IKAN'!I40</f>
        <v>0</v>
      </c>
      <c r="BQ9" s="322">
        <f>'P NP MINAPADI IKAN'!J40</f>
        <v>0</v>
      </c>
      <c r="BR9" s="322">
        <f>'P NP MINAPADI IKAN'!I41</f>
        <v>0</v>
      </c>
      <c r="BS9" s="322">
        <f>'P NP MINAPADI IKAN'!J41</f>
        <v>0</v>
      </c>
      <c r="BT9" s="322">
        <f>'P NP MINAPADI IKAN'!I42</f>
        <v>0</v>
      </c>
      <c r="BU9" s="322">
        <f>'P NP MINAPADI IKAN'!J42</f>
        <v>0</v>
      </c>
      <c r="BV9" s="322">
        <f>'P NP MINAPADI IKAN'!I43</f>
        <v>0</v>
      </c>
      <c r="BW9" s="322">
        <f>'P NP MINAPADI IKAN'!J43</f>
        <v>0</v>
      </c>
      <c r="BX9" s="322">
        <f>'P NP MINAPADI IKAN'!I44</f>
        <v>0</v>
      </c>
      <c r="BY9" s="322">
        <f>'P NP MINAPADI IKAN'!J44</f>
        <v>0</v>
      </c>
    </row>
    <row r="10" spans="1:77">
      <c r="A10" s="260" t="s">
        <v>122</v>
      </c>
      <c r="B10" s="320">
        <f t="shared" si="2"/>
        <v>0</v>
      </c>
      <c r="C10" s="320">
        <f t="shared" si="3"/>
        <v>0</v>
      </c>
      <c r="D10" s="322">
        <f>'P NP MINAPADI IKAN'!K8</f>
        <v>0</v>
      </c>
      <c r="E10" s="322">
        <f>'P NP MINAPADI IKAN'!L8</f>
        <v>0</v>
      </c>
      <c r="F10" s="322">
        <f>'P NP MINAPADI IKAN'!K9</f>
        <v>0</v>
      </c>
      <c r="G10" s="322">
        <f>'P NP MINAPADI IKAN'!L9</f>
        <v>0</v>
      </c>
      <c r="H10" s="322">
        <f>'P NP MINAPADI IKAN'!K10</f>
        <v>0</v>
      </c>
      <c r="I10" s="322">
        <f>'P NP MINAPADI IKAN'!L10</f>
        <v>0</v>
      </c>
      <c r="J10" s="322">
        <f>'P NP MINAPADI IKAN'!K11</f>
        <v>0</v>
      </c>
      <c r="K10" s="322">
        <f>'P NP MINAPADI IKAN'!L11</f>
        <v>0</v>
      </c>
      <c r="L10" s="322">
        <f>'P NP MINAPADI IKAN'!K12</f>
        <v>0</v>
      </c>
      <c r="M10" s="322">
        <f>'P NP MINAPADI IKAN'!L12</f>
        <v>0</v>
      </c>
      <c r="N10" s="322">
        <f>'P NP MINAPADI IKAN'!K13</f>
        <v>0</v>
      </c>
      <c r="O10" s="322">
        <f>'P NP MINAPADI IKAN'!L13</f>
        <v>0</v>
      </c>
      <c r="P10" s="322">
        <f>'P NP MINAPADI IKAN'!K14</f>
        <v>0</v>
      </c>
      <c r="Q10" s="322">
        <f>'P NP MINAPADI IKAN'!L14</f>
        <v>0</v>
      </c>
      <c r="R10" s="322">
        <f>'P NP MINAPADI IKAN'!K15</f>
        <v>0</v>
      </c>
      <c r="S10" s="322">
        <f>'P NP MINAPADI IKAN'!L15</f>
        <v>0</v>
      </c>
      <c r="T10" s="322">
        <f>'P NP MINAPADI IKAN'!K16</f>
        <v>0</v>
      </c>
      <c r="U10" s="322">
        <f>'P NP MINAPADI IKAN'!L16</f>
        <v>0</v>
      </c>
      <c r="V10" s="322">
        <f>'P NP MINAPADI IKAN'!M17</f>
        <v>0</v>
      </c>
      <c r="W10" s="322">
        <f>'P NP MINAPADI IKAN'!N17</f>
        <v>0</v>
      </c>
      <c r="X10" s="322">
        <f>'P NP MINAPADI IKAN'!K18</f>
        <v>0</v>
      </c>
      <c r="Y10" s="322">
        <f>'P NP MINAPADI IKAN'!L18</f>
        <v>0</v>
      </c>
      <c r="Z10" s="322">
        <f>'P NP MINAPADI IKAN'!K19</f>
        <v>0</v>
      </c>
      <c r="AA10" s="322">
        <f>'P NP MINAPADI IKAN'!L19</f>
        <v>0</v>
      </c>
      <c r="AB10" s="322">
        <f>'P NP MINAPADI IKAN'!K20</f>
        <v>0</v>
      </c>
      <c r="AC10" s="322">
        <f>'P NP MINAPADI IKAN'!L20</f>
        <v>0</v>
      </c>
      <c r="AD10" s="322">
        <f>'P NP MINAPADI IKAN'!K21</f>
        <v>0</v>
      </c>
      <c r="AE10" s="322">
        <f>'P NP MINAPADI IKAN'!L21</f>
        <v>0</v>
      </c>
      <c r="AF10" s="322">
        <f>'P NP MINAPADI IKAN'!K22</f>
        <v>0</v>
      </c>
      <c r="AG10" s="322">
        <f>'P NP MINAPADI IKAN'!L22</f>
        <v>0</v>
      </c>
      <c r="AH10" s="322">
        <f>'P NP MINAPADI IKAN'!K23</f>
        <v>0</v>
      </c>
      <c r="AI10" s="322">
        <f>'P NP MINAPADI IKAN'!L23</f>
        <v>0</v>
      </c>
      <c r="AJ10" s="322">
        <f>'P NP MINAPADI IKAN'!K24</f>
        <v>0</v>
      </c>
      <c r="AK10" s="322">
        <f>'P NP MINAPADI IKAN'!L24</f>
        <v>0</v>
      </c>
      <c r="AL10" s="322">
        <f>'P NP MINAPADI IKAN'!K25</f>
        <v>0</v>
      </c>
      <c r="AM10" s="322">
        <f>'P NP MINAPADI IKAN'!L25</f>
        <v>0</v>
      </c>
      <c r="AN10" s="322">
        <f>'P NP MINAPADI IKAN'!K26</f>
        <v>0</v>
      </c>
      <c r="AO10" s="322">
        <f>'P NP MINAPADI IKAN'!L26</f>
        <v>0</v>
      </c>
      <c r="AP10" s="322">
        <f>'P NP MINAPADI IKAN'!K27</f>
        <v>0</v>
      </c>
      <c r="AQ10" s="322">
        <f>'P NP MINAPADI IKAN'!L27</f>
        <v>0</v>
      </c>
      <c r="AR10" s="322">
        <f>'P NP MINAPADI IKAN'!K28</f>
        <v>0</v>
      </c>
      <c r="AS10" s="322">
        <f>'P NP MINAPADI IKAN'!L28</f>
        <v>0</v>
      </c>
      <c r="AT10" s="322">
        <f>'P NP MINAPADI IKAN'!K29</f>
        <v>0</v>
      </c>
      <c r="AU10" s="322">
        <f>'P NP MINAPADI IKAN'!L29</f>
        <v>0</v>
      </c>
      <c r="AV10" s="322">
        <f>'P NP MINAPADI IKAN'!K30</f>
        <v>0</v>
      </c>
      <c r="AW10" s="322">
        <f>'P NP MINAPADI IKAN'!L30</f>
        <v>0</v>
      </c>
      <c r="AX10" s="322">
        <f>'P NP MINAPADI IKAN'!K31</f>
        <v>0</v>
      </c>
      <c r="AY10" s="322">
        <f>'P NP MINAPADI IKAN'!L31</f>
        <v>0</v>
      </c>
      <c r="AZ10" s="322">
        <f>'P NP MINAPADI IKAN'!K32</f>
        <v>0</v>
      </c>
      <c r="BA10" s="322">
        <f>'P NP MINAPADI IKAN'!L32</f>
        <v>0</v>
      </c>
      <c r="BB10" s="322">
        <f>'P NP MINAPADI IKAN'!K33</f>
        <v>0</v>
      </c>
      <c r="BC10" s="322">
        <f>'P NP MINAPADI IKAN'!L33</f>
        <v>0</v>
      </c>
      <c r="BD10" s="322">
        <f>'P NP MINAPADI IKAN'!K34</f>
        <v>0</v>
      </c>
      <c r="BE10" s="322">
        <f>'P NP MINAPADI IKAN'!L34</f>
        <v>0</v>
      </c>
      <c r="BF10" s="322">
        <f>'P NP MINAPADI IKAN'!K35</f>
        <v>0</v>
      </c>
      <c r="BG10" s="322">
        <f>'P NP MINAPADI IKAN'!L35</f>
        <v>0</v>
      </c>
      <c r="BH10" s="322">
        <f>'P NP MINAPADI IKAN'!K36</f>
        <v>0</v>
      </c>
      <c r="BI10" s="322">
        <f>'P NP MINAPADI IKAN'!L36</f>
        <v>0</v>
      </c>
      <c r="BJ10" s="322">
        <f>'P NP MINAPADI IKAN'!K37</f>
        <v>0</v>
      </c>
      <c r="BK10" s="322">
        <f>'P NP MINAPADI IKAN'!L37</f>
        <v>0</v>
      </c>
      <c r="BL10" s="322">
        <f>'P NP MINAPADI IKAN'!K38</f>
        <v>0</v>
      </c>
      <c r="BM10" s="322">
        <f>'P NP MINAPADI IKAN'!L38</f>
        <v>0</v>
      </c>
      <c r="BN10" s="322">
        <f>'P NP MINAPADI IKAN'!K39</f>
        <v>0</v>
      </c>
      <c r="BO10" s="322">
        <f>'P NP MINAPADI IKAN'!L39</f>
        <v>0</v>
      </c>
      <c r="BP10" s="322">
        <f>'P NP MINAPADI IKAN'!K40</f>
        <v>0</v>
      </c>
      <c r="BQ10" s="322">
        <f>'P NP MINAPADI IKAN'!L40</f>
        <v>0</v>
      </c>
      <c r="BR10" s="322">
        <f>'P NP MINAPADI IKAN'!K41</f>
        <v>0</v>
      </c>
      <c r="BS10" s="322">
        <f>'P NP MINAPADI IKAN'!L41</f>
        <v>0</v>
      </c>
      <c r="BT10" s="322">
        <f>'P NP MINAPADI IKAN'!K42</f>
        <v>0</v>
      </c>
      <c r="BU10" s="322">
        <f>'P NP MINAPADI IKAN'!L42</f>
        <v>0</v>
      </c>
      <c r="BV10" s="322">
        <f>'P NP MINAPADI IKAN'!K43</f>
        <v>0</v>
      </c>
      <c r="BW10" s="322">
        <f>'P NP MINAPADI IKAN'!L43</f>
        <v>0</v>
      </c>
      <c r="BX10" s="322">
        <f>'P NP MINAPADI IKAN'!K44</f>
        <v>0</v>
      </c>
      <c r="BY10" s="322">
        <f>'P NP MINAPADI IKAN'!L44</f>
        <v>0</v>
      </c>
    </row>
    <row r="11" spans="1:77">
      <c r="A11" s="260" t="s">
        <v>136</v>
      </c>
      <c r="B11" s="320">
        <f t="shared" si="2"/>
        <v>0</v>
      </c>
      <c r="C11" s="320">
        <f t="shared" si="3"/>
        <v>0</v>
      </c>
      <c r="D11" s="322">
        <f>'P NP MINAPADI IKAN'!M8</f>
        <v>0</v>
      </c>
      <c r="E11" s="322">
        <f>'P NP MINAPADI IKAN'!N8</f>
        <v>0</v>
      </c>
      <c r="F11" s="322">
        <f>'P NP MINAPADI IKAN'!M9</f>
        <v>0</v>
      </c>
      <c r="G11" s="322">
        <f>'P NP MINAPADI IKAN'!N9</f>
        <v>0</v>
      </c>
      <c r="H11" s="322">
        <f>'P NP MINAPADI IKAN'!M10</f>
        <v>0</v>
      </c>
      <c r="I11" s="322">
        <f>'P NP MINAPADI IKAN'!N10</f>
        <v>0</v>
      </c>
      <c r="J11" s="322">
        <f>'P NP MINAPADI IKAN'!M11</f>
        <v>0</v>
      </c>
      <c r="K11" s="322">
        <f>'P NP MINAPADI IKAN'!N11</f>
        <v>0</v>
      </c>
      <c r="L11" s="322">
        <f>'P NP MINAPADI IKAN'!M12</f>
        <v>0</v>
      </c>
      <c r="M11" s="322">
        <f>'P NP MINAPADI IKAN'!N12</f>
        <v>0</v>
      </c>
      <c r="N11" s="322">
        <f>'P NP MINAPADI IKAN'!M13</f>
        <v>0</v>
      </c>
      <c r="O11" s="322">
        <f>'P NP MINAPADI IKAN'!N13</f>
        <v>0</v>
      </c>
      <c r="P11" s="322">
        <f>'P NP MINAPADI IKAN'!M14</f>
        <v>0</v>
      </c>
      <c r="Q11" s="322">
        <f>'P NP MINAPADI IKAN'!N14</f>
        <v>0</v>
      </c>
      <c r="R11" s="322">
        <f>'P NP MINAPADI IKAN'!M15</f>
        <v>0</v>
      </c>
      <c r="S11" s="322">
        <f>'P NP MINAPADI IKAN'!N15</f>
        <v>0</v>
      </c>
      <c r="T11" s="322">
        <f>'P NP MINAPADI IKAN'!M16</f>
        <v>0</v>
      </c>
      <c r="U11" s="322">
        <f>'P NP MINAPADI IKAN'!N16</f>
        <v>0</v>
      </c>
      <c r="V11" s="322">
        <f>'P NP MINAPADI IKAN'!M17</f>
        <v>0</v>
      </c>
      <c r="W11" s="322">
        <f>'P NP MINAPADI IKAN'!N17</f>
        <v>0</v>
      </c>
      <c r="X11" s="322">
        <f>'P NP MINAPADI IKAN'!O18</f>
        <v>0</v>
      </c>
      <c r="Y11" s="322">
        <f>'P NP MINAPADI IKAN'!P18</f>
        <v>0</v>
      </c>
      <c r="Z11" s="322">
        <f>'P NP MINAPADI IKAN'!M19</f>
        <v>0</v>
      </c>
      <c r="AA11" s="322">
        <f>'P NP MINAPADI IKAN'!N19</f>
        <v>0</v>
      </c>
      <c r="AB11" s="322">
        <f>'P NP MINAPADI IKAN'!M20</f>
        <v>0</v>
      </c>
      <c r="AC11" s="322">
        <f>'P NP MINAPADI IKAN'!N20</f>
        <v>0</v>
      </c>
      <c r="AD11" s="322">
        <f>'P NP MINAPADI IKAN'!M21</f>
        <v>0</v>
      </c>
      <c r="AE11" s="322">
        <f>'P NP MINAPADI IKAN'!N21</f>
        <v>0</v>
      </c>
      <c r="AF11" s="322">
        <f>'P NP MINAPADI IKAN'!M22</f>
        <v>0</v>
      </c>
      <c r="AG11" s="322">
        <f>'P NP MINAPADI IKAN'!N22</f>
        <v>0</v>
      </c>
      <c r="AH11" s="322">
        <f>'P NP MINAPADI IKAN'!M23</f>
        <v>0</v>
      </c>
      <c r="AI11" s="322">
        <f>'P NP MINAPADI IKAN'!N23</f>
        <v>0</v>
      </c>
      <c r="AJ11" s="322">
        <f>'P NP MINAPADI IKAN'!M24</f>
        <v>0</v>
      </c>
      <c r="AK11" s="322">
        <f>'P NP MINAPADI IKAN'!N24</f>
        <v>0</v>
      </c>
      <c r="AL11" s="322">
        <f>'P NP MINAPADI IKAN'!M25</f>
        <v>0</v>
      </c>
      <c r="AM11" s="322">
        <f>'P NP MINAPADI IKAN'!N25</f>
        <v>0</v>
      </c>
      <c r="AN11" s="322">
        <f>'P NP MINAPADI IKAN'!M26</f>
        <v>0</v>
      </c>
      <c r="AO11" s="322">
        <f>'P NP MINAPADI IKAN'!N26</f>
        <v>0</v>
      </c>
      <c r="AP11" s="322">
        <f>'P NP MINAPADI IKAN'!M27</f>
        <v>0</v>
      </c>
      <c r="AQ11" s="322">
        <f>'P NP MINAPADI IKAN'!N27</f>
        <v>0</v>
      </c>
      <c r="AR11" s="322">
        <f>'P NP MINAPADI IKAN'!M28</f>
        <v>0</v>
      </c>
      <c r="AS11" s="322">
        <f>'P NP MINAPADI IKAN'!N28</f>
        <v>0</v>
      </c>
      <c r="AT11" s="322">
        <f>'P NP MINAPADI IKAN'!M29</f>
        <v>0</v>
      </c>
      <c r="AU11" s="322">
        <f>'P NP MINAPADI IKAN'!N29</f>
        <v>0</v>
      </c>
      <c r="AV11" s="322">
        <f>'P NP MINAPADI IKAN'!M30</f>
        <v>0</v>
      </c>
      <c r="AW11" s="322">
        <f>'P NP MINAPADI IKAN'!N30</f>
        <v>0</v>
      </c>
      <c r="AX11" s="322">
        <f>'P NP MINAPADI IKAN'!M31</f>
        <v>0</v>
      </c>
      <c r="AY11" s="322">
        <f>'P NP MINAPADI IKAN'!N31</f>
        <v>0</v>
      </c>
      <c r="AZ11" s="322">
        <f>'P NP MINAPADI IKAN'!M32</f>
        <v>0</v>
      </c>
      <c r="BA11" s="322">
        <f>'P NP MINAPADI IKAN'!N32</f>
        <v>0</v>
      </c>
      <c r="BB11" s="322">
        <f>'P NP MINAPADI IKAN'!M33</f>
        <v>0</v>
      </c>
      <c r="BC11" s="322">
        <f>'P NP MINAPADI IKAN'!N33</f>
        <v>0</v>
      </c>
      <c r="BD11" s="322">
        <f>'P NP MINAPADI IKAN'!M34</f>
        <v>0</v>
      </c>
      <c r="BE11" s="322">
        <f>'P NP MINAPADI IKAN'!N34</f>
        <v>0</v>
      </c>
      <c r="BF11" s="322">
        <f>'P NP MINAPADI IKAN'!M35</f>
        <v>0</v>
      </c>
      <c r="BG11" s="322">
        <f>'P NP MINAPADI IKAN'!N35</f>
        <v>0</v>
      </c>
      <c r="BH11" s="322">
        <f>'P NP MINAPADI IKAN'!M36</f>
        <v>0</v>
      </c>
      <c r="BI11" s="322">
        <f>'P NP MINAPADI IKAN'!N36</f>
        <v>0</v>
      </c>
      <c r="BJ11" s="322">
        <f>'P NP MINAPADI IKAN'!M37</f>
        <v>0</v>
      </c>
      <c r="BK11" s="322">
        <f>'P NP MINAPADI IKAN'!N37</f>
        <v>0</v>
      </c>
      <c r="BL11" s="322">
        <f>'P NP MINAPADI IKAN'!M38</f>
        <v>0</v>
      </c>
      <c r="BM11" s="322">
        <f>'P NP MINAPADI IKAN'!N38</f>
        <v>0</v>
      </c>
      <c r="BN11" s="322">
        <f>'P NP MINAPADI IKAN'!M39</f>
        <v>0</v>
      </c>
      <c r="BO11" s="322">
        <f>'P NP MINAPADI IKAN'!N39</f>
        <v>0</v>
      </c>
      <c r="BP11" s="322">
        <f>'P NP MINAPADI IKAN'!M40</f>
        <v>0</v>
      </c>
      <c r="BQ11" s="322">
        <f>'P NP MINAPADI IKAN'!N40</f>
        <v>0</v>
      </c>
      <c r="BR11" s="322">
        <f>'P NP MINAPADI IKAN'!M41</f>
        <v>0</v>
      </c>
      <c r="BS11" s="322">
        <f>'P NP MINAPADI IKAN'!N41</f>
        <v>0</v>
      </c>
      <c r="BT11" s="322">
        <f>'P NP MINAPADI IKAN'!M42</f>
        <v>0</v>
      </c>
      <c r="BU11" s="322">
        <f>'P NP MINAPADI IKAN'!N42</f>
        <v>0</v>
      </c>
      <c r="BV11" s="322">
        <f>'P NP MINAPADI IKAN'!M43</f>
        <v>0</v>
      </c>
      <c r="BW11" s="322">
        <f>'P NP MINAPADI IKAN'!N43</f>
        <v>0</v>
      </c>
      <c r="BX11" s="322">
        <f>'P NP MINAPADI IKAN'!M44</f>
        <v>0</v>
      </c>
      <c r="BY11" s="322">
        <f>'P NP MINAPADI IKAN'!N44</f>
        <v>0</v>
      </c>
    </row>
    <row r="12" spans="1:77">
      <c r="A12" s="260" t="s">
        <v>120</v>
      </c>
      <c r="B12" s="320">
        <f t="shared" si="2"/>
        <v>35722.000366</v>
      </c>
      <c r="C12" s="320">
        <f t="shared" si="3"/>
        <v>879880.01500000001</v>
      </c>
      <c r="D12" s="322">
        <f>'P NP MINAPADI IKAN'!O8</f>
        <v>0</v>
      </c>
      <c r="E12" s="322">
        <f>'P NP MINAPADI IKAN'!P8</f>
        <v>0</v>
      </c>
      <c r="F12" s="322">
        <f>'P NP MINAPADI IKAN'!O9</f>
        <v>0</v>
      </c>
      <c r="G12" s="322">
        <f>'P NP MINAPADI IKAN'!P9</f>
        <v>0</v>
      </c>
      <c r="H12" s="322">
        <f>'P NP MINAPADI IKAN'!O10</f>
        <v>0</v>
      </c>
      <c r="I12" s="322">
        <f>'P NP MINAPADI IKAN'!P10</f>
        <v>0</v>
      </c>
      <c r="J12" s="322">
        <f>'P NP MINAPADI IKAN'!O11</f>
        <v>0</v>
      </c>
      <c r="K12" s="322">
        <f>'P NP MINAPADI IKAN'!P11</f>
        <v>0</v>
      </c>
      <c r="L12" s="322">
        <f>'P NP MINAPADI IKAN'!O12</f>
        <v>0</v>
      </c>
      <c r="M12" s="322">
        <f>'P NP MINAPADI IKAN'!P12</f>
        <v>0</v>
      </c>
      <c r="N12" s="322">
        <f>'P NP MINAPADI IKAN'!O13</f>
        <v>0</v>
      </c>
      <c r="O12" s="322">
        <f>'P NP MINAPADI IKAN'!P13</f>
        <v>0</v>
      </c>
      <c r="P12" s="322">
        <f>'P NP MINAPADI IKAN'!O14</f>
        <v>0</v>
      </c>
      <c r="Q12" s="322">
        <f>'P NP MINAPADI IKAN'!P14</f>
        <v>0</v>
      </c>
      <c r="R12" s="322">
        <f>'P NP MINAPADI IKAN'!O15</f>
        <v>0</v>
      </c>
      <c r="S12" s="322">
        <f>'P NP MINAPADI IKAN'!P15</f>
        <v>0</v>
      </c>
      <c r="T12" s="322">
        <f>'P NP MINAPADI IKAN'!O16</f>
        <v>0</v>
      </c>
      <c r="U12" s="322">
        <f>'P NP MINAPADI IKAN'!P16</f>
        <v>0</v>
      </c>
      <c r="V12" s="322">
        <f>'P NP MINAPADI IKAN'!O17</f>
        <v>0</v>
      </c>
      <c r="W12" s="322">
        <f>'P NP MINAPADI IKAN'!P17</f>
        <v>0</v>
      </c>
      <c r="X12" s="322">
        <f>'P NP MINAPADI IKAN'!O18</f>
        <v>0</v>
      </c>
      <c r="Y12" s="322">
        <f>'P NP MINAPADI IKAN'!P18</f>
        <v>0</v>
      </c>
      <c r="Z12" s="322">
        <f>'P NP MINAPADI IKAN'!O19</f>
        <v>0</v>
      </c>
      <c r="AA12" s="322">
        <f>'P NP MINAPADI IKAN'!P19</f>
        <v>0</v>
      </c>
      <c r="AB12" s="322">
        <f>'P NP MINAPADI IKAN'!O20</f>
        <v>0</v>
      </c>
      <c r="AC12" s="322">
        <f>'P NP MINAPADI IKAN'!P20</f>
        <v>0</v>
      </c>
      <c r="AD12" s="322">
        <f>'P NP MINAPADI IKAN'!O21</f>
        <v>0</v>
      </c>
      <c r="AE12" s="322">
        <f>'P NP MINAPADI IKAN'!P21</f>
        <v>0</v>
      </c>
      <c r="AF12" s="322">
        <f>'P NP MINAPADI IKAN'!O22</f>
        <v>0</v>
      </c>
      <c r="AG12" s="322">
        <f>'P NP MINAPADI IKAN'!P22</f>
        <v>0</v>
      </c>
      <c r="AH12" s="322">
        <f>'P NP MINAPADI IKAN'!O23</f>
        <v>0</v>
      </c>
      <c r="AI12" s="322">
        <f>'P NP MINAPADI IKAN'!P23</f>
        <v>0</v>
      </c>
      <c r="AJ12" s="322">
        <f>'P NP MINAPADI IKAN'!O24</f>
        <v>6217</v>
      </c>
      <c r="AK12" s="322">
        <f>'P NP MINAPADI IKAN'!P24</f>
        <v>138854</v>
      </c>
      <c r="AL12" s="322">
        <f>'P NP MINAPADI IKAN'!O25</f>
        <v>0</v>
      </c>
      <c r="AM12" s="322">
        <f>'P NP MINAPADI IKAN'!P25</f>
        <v>0</v>
      </c>
      <c r="AN12" s="322">
        <f>'P NP MINAPADI IKAN'!O26</f>
        <v>29505.000366</v>
      </c>
      <c r="AO12" s="322">
        <f>'P NP MINAPADI IKAN'!P26</f>
        <v>741026.01500000001</v>
      </c>
      <c r="AP12" s="322">
        <f>'P NP MINAPADI IKAN'!O27</f>
        <v>0</v>
      </c>
      <c r="AQ12" s="322">
        <f>'P NP MINAPADI IKAN'!P27</f>
        <v>0</v>
      </c>
      <c r="AR12" s="322">
        <f>'P NP MINAPADI IKAN'!O28</f>
        <v>0</v>
      </c>
      <c r="AS12" s="322">
        <f>'P NP MINAPADI IKAN'!P28</f>
        <v>0</v>
      </c>
      <c r="AT12" s="322">
        <f>'P NP MINAPADI IKAN'!O29</f>
        <v>0</v>
      </c>
      <c r="AU12" s="322">
        <f>'P NP MINAPADI IKAN'!P29</f>
        <v>0</v>
      </c>
      <c r="AV12" s="322">
        <f>'P NP MINAPADI IKAN'!O30</f>
        <v>0</v>
      </c>
      <c r="AW12" s="322">
        <f>'P NP MINAPADI IKAN'!P30</f>
        <v>0</v>
      </c>
      <c r="AX12" s="322">
        <f>'P NP MINAPADI IKAN'!O31</f>
        <v>0</v>
      </c>
      <c r="AY12" s="322">
        <f>'P NP MINAPADI IKAN'!P31</f>
        <v>0</v>
      </c>
      <c r="AZ12" s="322">
        <f>'P NP MINAPADI IKAN'!O32</f>
        <v>0</v>
      </c>
      <c r="BA12" s="322">
        <f>'P NP MINAPADI IKAN'!P32</f>
        <v>0</v>
      </c>
      <c r="BB12" s="322">
        <f>'P NP MINAPADI IKAN'!O33</f>
        <v>0</v>
      </c>
      <c r="BC12" s="322">
        <f>'P NP MINAPADI IKAN'!P33</f>
        <v>0</v>
      </c>
      <c r="BD12" s="322">
        <f>'P NP MINAPADI IKAN'!O34</f>
        <v>0</v>
      </c>
      <c r="BE12" s="322">
        <f>'P NP MINAPADI IKAN'!P34</f>
        <v>0</v>
      </c>
      <c r="BF12" s="322">
        <f>'P NP MINAPADI IKAN'!O35</f>
        <v>0</v>
      </c>
      <c r="BG12" s="322">
        <f>'P NP MINAPADI IKAN'!P35</f>
        <v>0</v>
      </c>
      <c r="BH12" s="322">
        <f>'P NP MINAPADI IKAN'!O36</f>
        <v>0</v>
      </c>
      <c r="BI12" s="322">
        <f>'P NP MINAPADI IKAN'!P36</f>
        <v>0</v>
      </c>
      <c r="BJ12" s="322">
        <f>'P NP MINAPADI IKAN'!O37</f>
        <v>0</v>
      </c>
      <c r="BK12" s="322">
        <f>'P NP MINAPADI IKAN'!P37</f>
        <v>0</v>
      </c>
      <c r="BL12" s="322">
        <f>'P NP MINAPADI IKAN'!O38</f>
        <v>0</v>
      </c>
      <c r="BM12" s="322">
        <f>'P NP MINAPADI IKAN'!P38</f>
        <v>0</v>
      </c>
      <c r="BN12" s="322">
        <f>'P NP MINAPADI IKAN'!O39</f>
        <v>0</v>
      </c>
      <c r="BO12" s="322">
        <f>'P NP MINAPADI IKAN'!P39</f>
        <v>0</v>
      </c>
      <c r="BP12" s="322">
        <f>'P NP MINAPADI IKAN'!O40</f>
        <v>0</v>
      </c>
      <c r="BQ12" s="322">
        <f>'P NP MINAPADI IKAN'!P40</f>
        <v>0</v>
      </c>
      <c r="BR12" s="322">
        <f>'P NP MINAPADI IKAN'!O41</f>
        <v>0</v>
      </c>
      <c r="BS12" s="322">
        <f>'P NP MINAPADI IKAN'!P41</f>
        <v>0</v>
      </c>
      <c r="BT12" s="322">
        <f>'P NP MINAPADI IKAN'!O42</f>
        <v>0</v>
      </c>
      <c r="BU12" s="322">
        <f>'P NP MINAPADI IKAN'!P42</f>
        <v>0</v>
      </c>
      <c r="BV12" s="322">
        <f>'P NP MINAPADI IKAN'!O43</f>
        <v>0</v>
      </c>
      <c r="BW12" s="322">
        <f>'P NP MINAPADI IKAN'!P43</f>
        <v>0</v>
      </c>
      <c r="BX12" s="322">
        <f>'P NP MINAPADI IKAN'!O44</f>
        <v>0</v>
      </c>
      <c r="BY12" s="322">
        <f>'P NP MINAPADI IKAN'!P44</f>
        <v>0</v>
      </c>
    </row>
    <row r="13" spans="1:77">
      <c r="A13" s="260" t="s">
        <v>128</v>
      </c>
      <c r="B13" s="320">
        <f t="shared" si="2"/>
        <v>0</v>
      </c>
      <c r="C13" s="320">
        <f t="shared" si="3"/>
        <v>0</v>
      </c>
      <c r="D13" s="322">
        <f>'P NP MINAPADI IKAN'!Q8</f>
        <v>0</v>
      </c>
      <c r="E13" s="322">
        <f>'P NP MINAPADI IKAN'!R8</f>
        <v>0</v>
      </c>
      <c r="F13" s="322">
        <f>'P NP MINAPADI IKAN'!Q9</f>
        <v>0</v>
      </c>
      <c r="G13" s="322">
        <f>'P NP MINAPADI IKAN'!R9</f>
        <v>0</v>
      </c>
      <c r="H13" s="322">
        <f>'P NP MINAPADI IKAN'!Q10</f>
        <v>0</v>
      </c>
      <c r="I13" s="322">
        <f>'P NP MINAPADI IKAN'!R10</f>
        <v>0</v>
      </c>
      <c r="J13" s="322">
        <f>'P NP MINAPADI IKAN'!Q11</f>
        <v>0</v>
      </c>
      <c r="K13" s="322">
        <f>'P NP MINAPADI IKAN'!R11</f>
        <v>0</v>
      </c>
      <c r="L13" s="322">
        <f>'P NP MINAPADI IKAN'!Q12</f>
        <v>0</v>
      </c>
      <c r="M13" s="322">
        <f>'P NP MINAPADI IKAN'!R12</f>
        <v>0</v>
      </c>
      <c r="N13" s="322">
        <f>'P NP MINAPADI IKAN'!Q13</f>
        <v>0</v>
      </c>
      <c r="O13" s="322">
        <f>'P NP MINAPADI IKAN'!R13</f>
        <v>0</v>
      </c>
      <c r="P13" s="322">
        <f>'P NP MINAPADI IKAN'!Q14</f>
        <v>0</v>
      </c>
      <c r="Q13" s="322">
        <f>'P NP MINAPADI IKAN'!R14</f>
        <v>0</v>
      </c>
      <c r="R13" s="322">
        <f>'P NP MINAPADI IKAN'!Q15</f>
        <v>0</v>
      </c>
      <c r="S13" s="322">
        <f>'P NP MINAPADI IKAN'!R15</f>
        <v>0</v>
      </c>
      <c r="T13" s="322">
        <f>'P NP MINAPADI IKAN'!Q16</f>
        <v>0</v>
      </c>
      <c r="U13" s="322">
        <f>'P NP MINAPADI IKAN'!R16</f>
        <v>0</v>
      </c>
      <c r="V13" s="322">
        <f>'P NP MINAPADI IKAN'!Q17</f>
        <v>0</v>
      </c>
      <c r="W13" s="322">
        <f>'P NP MINAPADI IKAN'!R17</f>
        <v>0</v>
      </c>
      <c r="X13" s="322">
        <f>'P NP MINAPADI IKAN'!Q18</f>
        <v>0</v>
      </c>
      <c r="Y13" s="322">
        <f>'P NP MINAPADI IKAN'!R18</f>
        <v>0</v>
      </c>
      <c r="Z13" s="322">
        <f>'P NP MINAPADI IKAN'!Q19</f>
        <v>0</v>
      </c>
      <c r="AA13" s="322">
        <f>'P NP MINAPADI IKAN'!R19</f>
        <v>0</v>
      </c>
      <c r="AB13" s="322">
        <f>'P NP MINAPADI IKAN'!S20</f>
        <v>0</v>
      </c>
      <c r="AC13" s="322">
        <f>'P NP MINAPADI IKAN'!T20</f>
        <v>0</v>
      </c>
      <c r="AD13" s="322">
        <f>'P NP MINAPADI IKAN'!Q21</f>
        <v>0</v>
      </c>
      <c r="AE13" s="322">
        <f>'P NP MINAPADI IKAN'!R21</f>
        <v>0</v>
      </c>
      <c r="AF13" s="322">
        <f>'P NP MINAPADI IKAN'!Q22</f>
        <v>0</v>
      </c>
      <c r="AG13" s="322">
        <f>'P NP MINAPADI IKAN'!R22</f>
        <v>0</v>
      </c>
      <c r="AH13" s="322">
        <f>'P NP MINAPADI IKAN'!Q23</f>
        <v>0</v>
      </c>
      <c r="AI13" s="322">
        <f>'P NP MINAPADI IKAN'!R23</f>
        <v>0</v>
      </c>
      <c r="AJ13" s="322">
        <f>'P NP MINAPADI IKAN'!Q24</f>
        <v>0</v>
      </c>
      <c r="AK13" s="322">
        <f>'P NP MINAPADI IKAN'!R24</f>
        <v>0</v>
      </c>
      <c r="AL13" s="322">
        <f>'P NP MINAPADI IKAN'!Q25</f>
        <v>0</v>
      </c>
      <c r="AM13" s="322">
        <f>'P NP MINAPADI IKAN'!R25</f>
        <v>0</v>
      </c>
      <c r="AN13" s="322">
        <f>'P NP MINAPADI IKAN'!Q26</f>
        <v>0</v>
      </c>
      <c r="AO13" s="322">
        <f>'P NP MINAPADI IKAN'!R26</f>
        <v>0</v>
      </c>
      <c r="AP13" s="322">
        <f>'P NP MINAPADI IKAN'!Q27</f>
        <v>0</v>
      </c>
      <c r="AQ13" s="322">
        <f>'P NP MINAPADI IKAN'!R27</f>
        <v>0</v>
      </c>
      <c r="AR13" s="322">
        <f>'P NP MINAPADI IKAN'!Q28</f>
        <v>0</v>
      </c>
      <c r="AS13" s="322">
        <f>'P NP MINAPADI IKAN'!R28</f>
        <v>0</v>
      </c>
      <c r="AT13" s="322">
        <f>'P NP MINAPADI IKAN'!Q29</f>
        <v>0</v>
      </c>
      <c r="AU13" s="322">
        <f>'P NP MINAPADI IKAN'!R29</f>
        <v>0</v>
      </c>
      <c r="AV13" s="322">
        <f>'P NP MINAPADI IKAN'!Q30</f>
        <v>0</v>
      </c>
      <c r="AW13" s="322">
        <f>'P NP MINAPADI IKAN'!R30</f>
        <v>0</v>
      </c>
      <c r="AX13" s="322">
        <f>'P NP MINAPADI IKAN'!Q31</f>
        <v>0</v>
      </c>
      <c r="AY13" s="322">
        <f>'P NP MINAPADI IKAN'!R31</f>
        <v>0</v>
      </c>
      <c r="AZ13" s="322">
        <f>'P NP MINAPADI IKAN'!Q32</f>
        <v>0</v>
      </c>
      <c r="BA13" s="322">
        <f>'P NP MINAPADI IKAN'!R32</f>
        <v>0</v>
      </c>
      <c r="BB13" s="322">
        <f>'P NP MINAPADI IKAN'!Q33</f>
        <v>0</v>
      </c>
      <c r="BC13" s="322">
        <f>'P NP MINAPADI IKAN'!R33</f>
        <v>0</v>
      </c>
      <c r="BD13" s="322">
        <f>'P NP MINAPADI IKAN'!Q34</f>
        <v>0</v>
      </c>
      <c r="BE13" s="322">
        <f>'P NP MINAPADI IKAN'!R34</f>
        <v>0</v>
      </c>
      <c r="BF13" s="322">
        <f>'P NP MINAPADI IKAN'!Q35</f>
        <v>0</v>
      </c>
      <c r="BG13" s="322">
        <f>'P NP MINAPADI IKAN'!R35</f>
        <v>0</v>
      </c>
      <c r="BH13" s="322">
        <f>'P NP MINAPADI IKAN'!Q36</f>
        <v>0</v>
      </c>
      <c r="BI13" s="322">
        <f>'P NP MINAPADI IKAN'!R36</f>
        <v>0</v>
      </c>
      <c r="BJ13" s="322">
        <f>'P NP MINAPADI IKAN'!Q37</f>
        <v>0</v>
      </c>
      <c r="BK13" s="322">
        <f>'P NP MINAPADI IKAN'!R37</f>
        <v>0</v>
      </c>
      <c r="BL13" s="322">
        <f>'P NP MINAPADI IKAN'!Q38</f>
        <v>0</v>
      </c>
      <c r="BM13" s="322">
        <f>'P NP MINAPADI IKAN'!R38</f>
        <v>0</v>
      </c>
      <c r="BN13" s="322">
        <f>'P NP MINAPADI IKAN'!Q39</f>
        <v>0</v>
      </c>
      <c r="BO13" s="322">
        <f>'P NP MINAPADI IKAN'!R39</f>
        <v>0</v>
      </c>
      <c r="BP13" s="322">
        <f>'P NP MINAPADI IKAN'!Q40</f>
        <v>0</v>
      </c>
      <c r="BQ13" s="322">
        <f>'P NP MINAPADI IKAN'!R40</f>
        <v>0</v>
      </c>
      <c r="BR13" s="322">
        <f>'P NP MINAPADI IKAN'!Q41</f>
        <v>0</v>
      </c>
      <c r="BS13" s="322">
        <f>'P NP MINAPADI IKAN'!R41</f>
        <v>0</v>
      </c>
      <c r="BT13" s="322">
        <f>'P NP MINAPADI IKAN'!Q42</f>
        <v>0</v>
      </c>
      <c r="BU13" s="322">
        <f>'P NP MINAPADI IKAN'!R42</f>
        <v>0</v>
      </c>
      <c r="BV13" s="322">
        <f>'P NP MINAPADI IKAN'!Q43</f>
        <v>0</v>
      </c>
      <c r="BW13" s="322">
        <f>'P NP MINAPADI IKAN'!R43</f>
        <v>0</v>
      </c>
      <c r="BX13" s="322">
        <f>'P NP MINAPADI IKAN'!Q44</f>
        <v>0</v>
      </c>
      <c r="BY13" s="322">
        <f>'P NP MINAPADI IKAN'!R44</f>
        <v>0</v>
      </c>
    </row>
    <row r="14" spans="1:77">
      <c r="A14" s="260" t="s">
        <v>117</v>
      </c>
      <c r="B14" s="320">
        <f t="shared" si="2"/>
        <v>0</v>
      </c>
      <c r="C14" s="320">
        <f t="shared" si="3"/>
        <v>0</v>
      </c>
      <c r="D14" s="322">
        <f>'P NP MINAPADI IKAN'!S8</f>
        <v>0</v>
      </c>
      <c r="E14" s="322">
        <f>'P NP MINAPADI IKAN'!T8</f>
        <v>0</v>
      </c>
      <c r="F14" s="322">
        <f>'P NP MINAPADI IKAN'!S9</f>
        <v>0</v>
      </c>
      <c r="G14" s="322">
        <f>'P NP MINAPADI IKAN'!T9</f>
        <v>0</v>
      </c>
      <c r="H14" s="322">
        <f>'P NP MINAPADI IKAN'!S10</f>
        <v>0</v>
      </c>
      <c r="I14" s="322">
        <f>'P NP MINAPADI IKAN'!T10</f>
        <v>0</v>
      </c>
      <c r="J14" s="322">
        <f>'P NP MINAPADI IKAN'!S11</f>
        <v>0</v>
      </c>
      <c r="K14" s="322">
        <f>'P NP MINAPADI IKAN'!T11</f>
        <v>0</v>
      </c>
      <c r="L14" s="322">
        <f>'P NP MINAPADI IKAN'!S12</f>
        <v>0</v>
      </c>
      <c r="M14" s="322">
        <f>'P NP MINAPADI IKAN'!T12</f>
        <v>0</v>
      </c>
      <c r="N14" s="322">
        <f>'P NP MINAPADI IKAN'!S13</f>
        <v>0</v>
      </c>
      <c r="O14" s="322">
        <f>'P NP MINAPADI IKAN'!T13</f>
        <v>0</v>
      </c>
      <c r="P14" s="322">
        <f>'P NP MINAPADI IKAN'!S14</f>
        <v>0</v>
      </c>
      <c r="Q14" s="322">
        <f>'P NP MINAPADI IKAN'!T14</f>
        <v>0</v>
      </c>
      <c r="R14" s="322">
        <f>'P NP MINAPADI IKAN'!S15</f>
        <v>0</v>
      </c>
      <c r="S14" s="322">
        <f>'P NP MINAPADI IKAN'!T15</f>
        <v>0</v>
      </c>
      <c r="T14" s="322">
        <f>'P NP MINAPADI IKAN'!S16</f>
        <v>0</v>
      </c>
      <c r="U14" s="322">
        <f>'P NP MINAPADI IKAN'!T16</f>
        <v>0</v>
      </c>
      <c r="V14" s="322">
        <f>'P NP MINAPADI IKAN'!S17</f>
        <v>0</v>
      </c>
      <c r="W14" s="322">
        <f>'P NP MINAPADI IKAN'!T17</f>
        <v>0</v>
      </c>
      <c r="X14" s="322">
        <f>'P NP MINAPADI IKAN'!S18</f>
        <v>0</v>
      </c>
      <c r="Y14" s="322">
        <f>'P NP MINAPADI IKAN'!T18</f>
        <v>0</v>
      </c>
      <c r="Z14" s="322">
        <f>'P NP MINAPADI IKAN'!S19</f>
        <v>0</v>
      </c>
      <c r="AA14" s="322">
        <f>'P NP MINAPADI IKAN'!T19</f>
        <v>0</v>
      </c>
      <c r="AB14" s="322">
        <f>'P NP MINAPADI IKAN'!S20</f>
        <v>0</v>
      </c>
      <c r="AC14" s="322">
        <f>'P NP MINAPADI IKAN'!T20</f>
        <v>0</v>
      </c>
      <c r="AD14" s="322">
        <f>'P NP MINAPADI IKAN'!U21</f>
        <v>0</v>
      </c>
      <c r="AE14" s="322">
        <f>'P NP MINAPADI IKAN'!V21</f>
        <v>0</v>
      </c>
      <c r="AF14" s="322">
        <f>'P NP MINAPADI IKAN'!S22</f>
        <v>0</v>
      </c>
      <c r="AG14" s="322">
        <f>'P NP MINAPADI IKAN'!T22</f>
        <v>0</v>
      </c>
      <c r="AH14" s="322">
        <f>'P NP MINAPADI IKAN'!S23</f>
        <v>0</v>
      </c>
      <c r="AI14" s="322">
        <f>'P NP MINAPADI IKAN'!T23</f>
        <v>0</v>
      </c>
      <c r="AJ14" s="322">
        <f>'P NP MINAPADI IKAN'!S24</f>
        <v>0</v>
      </c>
      <c r="AK14" s="322">
        <f>'P NP MINAPADI IKAN'!T24</f>
        <v>0</v>
      </c>
      <c r="AL14" s="322">
        <f>'P NP MINAPADI IKAN'!S25</f>
        <v>0</v>
      </c>
      <c r="AM14" s="322">
        <f>'P NP MINAPADI IKAN'!T25</f>
        <v>0</v>
      </c>
      <c r="AN14" s="322">
        <f>'P NP MINAPADI IKAN'!S26</f>
        <v>0</v>
      </c>
      <c r="AO14" s="322">
        <f>'P NP MINAPADI IKAN'!T26</f>
        <v>0</v>
      </c>
      <c r="AP14" s="322">
        <f>'P NP MINAPADI IKAN'!S27</f>
        <v>0</v>
      </c>
      <c r="AQ14" s="322">
        <f>'P NP MINAPADI IKAN'!T27</f>
        <v>0</v>
      </c>
      <c r="AR14" s="322">
        <f>'P NP MINAPADI IKAN'!S28</f>
        <v>0</v>
      </c>
      <c r="AS14" s="322">
        <f>'P NP MINAPADI IKAN'!T28</f>
        <v>0</v>
      </c>
      <c r="AT14" s="322">
        <f>'P NP MINAPADI IKAN'!S29</f>
        <v>0</v>
      </c>
      <c r="AU14" s="322">
        <f>'P NP MINAPADI IKAN'!T29</f>
        <v>0</v>
      </c>
      <c r="AV14" s="322">
        <f>'P NP MINAPADI IKAN'!S30</f>
        <v>0</v>
      </c>
      <c r="AW14" s="322">
        <f>'P NP MINAPADI IKAN'!T30</f>
        <v>0</v>
      </c>
      <c r="AX14" s="322">
        <f>'P NP MINAPADI IKAN'!S31</f>
        <v>0</v>
      </c>
      <c r="AY14" s="322">
        <f>'P NP MINAPADI IKAN'!T31</f>
        <v>0</v>
      </c>
      <c r="AZ14" s="322">
        <f>'P NP MINAPADI IKAN'!S32</f>
        <v>0</v>
      </c>
      <c r="BA14" s="322">
        <f>'P NP MINAPADI IKAN'!T32</f>
        <v>0</v>
      </c>
      <c r="BB14" s="322">
        <f>'P NP MINAPADI IKAN'!S33</f>
        <v>0</v>
      </c>
      <c r="BC14" s="322">
        <f>'P NP MINAPADI IKAN'!T33</f>
        <v>0</v>
      </c>
      <c r="BD14" s="322">
        <f>'P NP MINAPADI IKAN'!S34</f>
        <v>0</v>
      </c>
      <c r="BE14" s="322">
        <f>'P NP MINAPADI IKAN'!T34</f>
        <v>0</v>
      </c>
      <c r="BF14" s="322">
        <f>'P NP MINAPADI IKAN'!S35</f>
        <v>0</v>
      </c>
      <c r="BG14" s="322">
        <f>'P NP MINAPADI IKAN'!T35</f>
        <v>0</v>
      </c>
      <c r="BH14" s="322">
        <f>'P NP MINAPADI IKAN'!S36</f>
        <v>0</v>
      </c>
      <c r="BI14" s="322">
        <f>'P NP MINAPADI IKAN'!T36</f>
        <v>0</v>
      </c>
      <c r="BJ14" s="322">
        <f>'P NP MINAPADI IKAN'!S37</f>
        <v>0</v>
      </c>
      <c r="BK14" s="322">
        <f>'P NP MINAPADI IKAN'!T37</f>
        <v>0</v>
      </c>
      <c r="BL14" s="322">
        <f>'P NP MINAPADI IKAN'!S38</f>
        <v>0</v>
      </c>
      <c r="BM14" s="322">
        <f>'P NP MINAPADI IKAN'!T38</f>
        <v>0</v>
      </c>
      <c r="BN14" s="322">
        <f>'P NP MINAPADI IKAN'!S39</f>
        <v>0</v>
      </c>
      <c r="BO14" s="322">
        <f>'P NP MINAPADI IKAN'!T39</f>
        <v>0</v>
      </c>
      <c r="BP14" s="322">
        <f>'P NP MINAPADI IKAN'!S40</f>
        <v>0</v>
      </c>
      <c r="BQ14" s="322">
        <f>'P NP MINAPADI IKAN'!T40</f>
        <v>0</v>
      </c>
      <c r="BR14" s="322">
        <f>'P NP MINAPADI IKAN'!S41</f>
        <v>0</v>
      </c>
      <c r="BS14" s="322">
        <f>'P NP MINAPADI IKAN'!T41</f>
        <v>0</v>
      </c>
      <c r="BT14" s="322">
        <f>'P NP MINAPADI IKAN'!S42</f>
        <v>0</v>
      </c>
      <c r="BU14" s="322">
        <f>'P NP MINAPADI IKAN'!T42</f>
        <v>0</v>
      </c>
      <c r="BV14" s="322">
        <f>'P NP MINAPADI IKAN'!S43</f>
        <v>0</v>
      </c>
      <c r="BW14" s="322">
        <f>'P NP MINAPADI IKAN'!T43</f>
        <v>0</v>
      </c>
      <c r="BX14" s="322">
        <f>'P NP MINAPADI IKAN'!S44</f>
        <v>0</v>
      </c>
      <c r="BY14" s="322">
        <f>'P NP MINAPADI IKAN'!T44</f>
        <v>0</v>
      </c>
    </row>
    <row r="15" spans="1:77">
      <c r="A15" s="260" t="s">
        <v>135</v>
      </c>
      <c r="B15" s="320">
        <f t="shared" si="2"/>
        <v>0</v>
      </c>
      <c r="C15" s="320">
        <f t="shared" si="3"/>
        <v>0</v>
      </c>
      <c r="D15" s="322">
        <f>'P NP MINAPADI IKAN'!U8</f>
        <v>0</v>
      </c>
      <c r="E15" s="322">
        <f>'P NP MINAPADI IKAN'!V8</f>
        <v>0</v>
      </c>
      <c r="F15" s="322">
        <f>'P NP MINAPADI IKAN'!U9</f>
        <v>0</v>
      </c>
      <c r="G15" s="322">
        <f>'P NP MINAPADI IKAN'!V9</f>
        <v>0</v>
      </c>
      <c r="H15" s="322">
        <f>'P NP MINAPADI IKAN'!U10</f>
        <v>0</v>
      </c>
      <c r="I15" s="322">
        <f>'P NP MINAPADI IKAN'!V10</f>
        <v>0</v>
      </c>
      <c r="J15" s="322">
        <f>'P NP MINAPADI IKAN'!U11</f>
        <v>0</v>
      </c>
      <c r="K15" s="322">
        <f>'P NP MINAPADI IKAN'!V11</f>
        <v>0</v>
      </c>
      <c r="L15" s="322">
        <f>'P NP MINAPADI IKAN'!U12</f>
        <v>0</v>
      </c>
      <c r="M15" s="322">
        <f>'P NP MINAPADI IKAN'!V12</f>
        <v>0</v>
      </c>
      <c r="N15" s="322">
        <f>'P NP MINAPADI IKAN'!U13</f>
        <v>0</v>
      </c>
      <c r="O15" s="322">
        <f>'P NP MINAPADI IKAN'!V13</f>
        <v>0</v>
      </c>
      <c r="P15" s="322">
        <f>'P NP MINAPADI IKAN'!U14</f>
        <v>0</v>
      </c>
      <c r="Q15" s="322">
        <f>'P NP MINAPADI IKAN'!V14</f>
        <v>0</v>
      </c>
      <c r="R15" s="322">
        <f>'P NP MINAPADI IKAN'!U15</f>
        <v>0</v>
      </c>
      <c r="S15" s="322">
        <f>'P NP MINAPADI IKAN'!V15</f>
        <v>0</v>
      </c>
      <c r="T15" s="322">
        <f>'P NP MINAPADI IKAN'!U16</f>
        <v>0</v>
      </c>
      <c r="U15" s="322">
        <f>'P NP MINAPADI IKAN'!V16</f>
        <v>0</v>
      </c>
      <c r="V15" s="322">
        <f>'P NP MINAPADI IKAN'!U17</f>
        <v>0</v>
      </c>
      <c r="W15" s="322">
        <f>'P NP MINAPADI IKAN'!V17</f>
        <v>0</v>
      </c>
      <c r="X15" s="322">
        <f>'P NP MINAPADI IKAN'!U18</f>
        <v>0</v>
      </c>
      <c r="Y15" s="322">
        <f>'P NP MINAPADI IKAN'!V18</f>
        <v>0</v>
      </c>
      <c r="Z15" s="322">
        <f>'P NP MINAPADI IKAN'!U19</f>
        <v>0</v>
      </c>
      <c r="AA15" s="322">
        <f>'P NP MINAPADI IKAN'!V19</f>
        <v>0</v>
      </c>
      <c r="AB15" s="322">
        <f>'P NP MINAPADI IKAN'!U20</f>
        <v>0</v>
      </c>
      <c r="AC15" s="322">
        <f>'P NP MINAPADI IKAN'!V20</f>
        <v>0</v>
      </c>
      <c r="AD15" s="322">
        <f>'P NP MINAPADI IKAN'!U21</f>
        <v>0</v>
      </c>
      <c r="AE15" s="322">
        <f>'P NP MINAPADI IKAN'!V21</f>
        <v>0</v>
      </c>
      <c r="AF15" s="322">
        <f>'P NP MINAPADI IKAN'!U22</f>
        <v>0</v>
      </c>
      <c r="AG15" s="322">
        <f>'P NP MINAPADI IKAN'!W22</f>
        <v>0</v>
      </c>
      <c r="AH15" s="322">
        <f>'P NP MINAPADI IKAN'!U23</f>
        <v>0</v>
      </c>
      <c r="AI15" s="322">
        <f>'P NP MINAPADI IKAN'!V23</f>
        <v>0</v>
      </c>
      <c r="AJ15" s="322">
        <f>'P NP MINAPADI IKAN'!U24</f>
        <v>0</v>
      </c>
      <c r="AK15" s="322">
        <f>'P NP MINAPADI IKAN'!V24</f>
        <v>0</v>
      </c>
      <c r="AL15" s="322">
        <f>'P NP MINAPADI IKAN'!U25</f>
        <v>0</v>
      </c>
      <c r="AM15" s="322">
        <f>'P NP MINAPADI IKAN'!V25</f>
        <v>0</v>
      </c>
      <c r="AN15" s="322">
        <f>'P NP MINAPADI IKAN'!U26</f>
        <v>0</v>
      </c>
      <c r="AO15" s="322">
        <f>'P NP MINAPADI IKAN'!V26</f>
        <v>0</v>
      </c>
      <c r="AP15" s="322">
        <f>'P NP MINAPADI IKAN'!U27</f>
        <v>0</v>
      </c>
      <c r="AQ15" s="322">
        <f>'P NP MINAPADI IKAN'!V27</f>
        <v>0</v>
      </c>
      <c r="AR15" s="322">
        <f>'P NP MINAPADI IKAN'!U28</f>
        <v>0</v>
      </c>
      <c r="AS15" s="322">
        <f>'P NP MINAPADI IKAN'!V28</f>
        <v>0</v>
      </c>
      <c r="AT15" s="322">
        <f>'P NP MINAPADI IKAN'!U29</f>
        <v>0</v>
      </c>
      <c r="AU15" s="322">
        <f>'P NP MINAPADI IKAN'!V29</f>
        <v>0</v>
      </c>
      <c r="AV15" s="322">
        <f>'P NP MINAPADI IKAN'!U30</f>
        <v>0</v>
      </c>
      <c r="AW15" s="322">
        <f>'P NP MINAPADI IKAN'!V30</f>
        <v>0</v>
      </c>
      <c r="AX15" s="322">
        <f>'P NP MINAPADI IKAN'!U31</f>
        <v>0</v>
      </c>
      <c r="AY15" s="322">
        <f>'P NP MINAPADI IKAN'!V31</f>
        <v>0</v>
      </c>
      <c r="AZ15" s="322">
        <f>'P NP MINAPADI IKAN'!U32</f>
        <v>0</v>
      </c>
      <c r="BA15" s="322">
        <f>'P NP MINAPADI IKAN'!V32</f>
        <v>0</v>
      </c>
      <c r="BB15" s="322">
        <f>'P NP MINAPADI IKAN'!U33</f>
        <v>0</v>
      </c>
      <c r="BC15" s="322">
        <f>'P NP MINAPADI IKAN'!V33</f>
        <v>0</v>
      </c>
      <c r="BD15" s="322">
        <f>'P NP MINAPADI IKAN'!U34</f>
        <v>0</v>
      </c>
      <c r="BE15" s="322">
        <f>'P NP MINAPADI IKAN'!V34</f>
        <v>0</v>
      </c>
      <c r="BF15" s="322">
        <f>'P NP MINAPADI IKAN'!U35</f>
        <v>0</v>
      </c>
      <c r="BG15" s="322">
        <f>'P NP MINAPADI IKAN'!V35</f>
        <v>0</v>
      </c>
      <c r="BH15" s="322">
        <f>'P NP MINAPADI IKAN'!U36</f>
        <v>0</v>
      </c>
      <c r="BI15" s="322">
        <f>'P NP MINAPADI IKAN'!V36</f>
        <v>0</v>
      </c>
      <c r="BJ15" s="322">
        <f>'P NP MINAPADI IKAN'!U37</f>
        <v>0</v>
      </c>
      <c r="BK15" s="322">
        <f>'P NP MINAPADI IKAN'!V37</f>
        <v>0</v>
      </c>
      <c r="BL15" s="322">
        <f>'P NP MINAPADI IKAN'!U38</f>
        <v>0</v>
      </c>
      <c r="BM15" s="322">
        <f>'P NP MINAPADI IKAN'!V38</f>
        <v>0</v>
      </c>
      <c r="BN15" s="322">
        <f>'P NP MINAPADI IKAN'!U39</f>
        <v>0</v>
      </c>
      <c r="BO15" s="322">
        <f>'P NP MINAPADI IKAN'!V39</f>
        <v>0</v>
      </c>
      <c r="BP15" s="322">
        <f>'P NP MINAPADI IKAN'!U40</f>
        <v>0</v>
      </c>
      <c r="BQ15" s="322">
        <f>'P NP MINAPADI IKAN'!V40</f>
        <v>0</v>
      </c>
      <c r="BR15" s="322">
        <f>'P NP MINAPADI IKAN'!U41</f>
        <v>0</v>
      </c>
      <c r="BS15" s="322">
        <f>'P NP MINAPADI IKAN'!V41</f>
        <v>0</v>
      </c>
      <c r="BT15" s="322">
        <f>'P NP MINAPADI IKAN'!U42</f>
        <v>0</v>
      </c>
      <c r="BU15" s="322">
        <f>'P NP MINAPADI IKAN'!V42</f>
        <v>0</v>
      </c>
      <c r="BV15" s="322">
        <f>'P NP MINAPADI IKAN'!U43</f>
        <v>0</v>
      </c>
      <c r="BW15" s="322">
        <f>'P NP MINAPADI IKAN'!V43</f>
        <v>0</v>
      </c>
      <c r="BX15" s="322">
        <f>'P NP MINAPADI IKAN'!U44</f>
        <v>0</v>
      </c>
      <c r="BY15" s="322">
        <f>'P NP MINAPADI IKAN'!V44</f>
        <v>0</v>
      </c>
    </row>
    <row r="16" spans="1:77">
      <c r="A16" s="260" t="s">
        <v>119</v>
      </c>
      <c r="B16" s="320">
        <f t="shared" si="2"/>
        <v>0</v>
      </c>
      <c r="C16" s="320">
        <f t="shared" si="3"/>
        <v>0</v>
      </c>
      <c r="D16" s="322">
        <f>'P NP MINAPADI IKAN'!W8</f>
        <v>0</v>
      </c>
      <c r="E16" s="322">
        <f>'P NP MINAPADI IKAN'!X8</f>
        <v>0</v>
      </c>
      <c r="F16" s="322">
        <f>'P NP MINAPADI IKAN'!W9</f>
        <v>0</v>
      </c>
      <c r="G16" s="322">
        <f>'P NP MINAPADI IKAN'!X9</f>
        <v>0</v>
      </c>
      <c r="H16" s="322">
        <f>'P NP MINAPADI IKAN'!W10</f>
        <v>0</v>
      </c>
      <c r="I16" s="322">
        <f>'P NP MINAPADI IKAN'!X10</f>
        <v>0</v>
      </c>
      <c r="J16" s="322">
        <f>'P NP MINAPADI IKAN'!W11</f>
        <v>0</v>
      </c>
      <c r="K16" s="322">
        <f>'P NP MINAPADI IKAN'!X11</f>
        <v>0</v>
      </c>
      <c r="L16" s="322">
        <f>'P NP MINAPADI IKAN'!W12</f>
        <v>0</v>
      </c>
      <c r="M16" s="322">
        <f>'P NP MINAPADI IKAN'!X12</f>
        <v>0</v>
      </c>
      <c r="N16" s="322">
        <f>'P NP MINAPADI IKAN'!W13</f>
        <v>0</v>
      </c>
      <c r="O16" s="322">
        <f>'P NP MINAPADI IKAN'!X13</f>
        <v>0</v>
      </c>
      <c r="P16" s="322">
        <f>'P NP MINAPADI IKAN'!W14</f>
        <v>0</v>
      </c>
      <c r="Q16" s="322">
        <f>'P NP MINAPADI IKAN'!X14</f>
        <v>0</v>
      </c>
      <c r="R16" s="322">
        <f>'P NP MINAPADI IKAN'!W15</f>
        <v>0</v>
      </c>
      <c r="S16" s="322">
        <f>'P NP MINAPADI IKAN'!X15</f>
        <v>0</v>
      </c>
      <c r="T16" s="322">
        <f>'P NP MINAPADI IKAN'!W16</f>
        <v>0</v>
      </c>
      <c r="U16" s="322">
        <f>'P NP MINAPADI IKAN'!X16</f>
        <v>0</v>
      </c>
      <c r="V16" s="322">
        <f>'P NP MINAPADI IKAN'!W17</f>
        <v>0</v>
      </c>
      <c r="W16" s="322">
        <f>'P NP MINAPADI IKAN'!X17</f>
        <v>0</v>
      </c>
      <c r="X16" s="322">
        <f>'P NP MINAPADI IKAN'!W18</f>
        <v>0</v>
      </c>
      <c r="Y16" s="322">
        <f>'P NP MINAPADI IKAN'!X18</f>
        <v>0</v>
      </c>
      <c r="Z16" s="322">
        <f>'P NP MINAPADI IKAN'!W19</f>
        <v>0</v>
      </c>
      <c r="AA16" s="322">
        <f>'P NP MINAPADI IKAN'!X19</f>
        <v>0</v>
      </c>
      <c r="AB16" s="322">
        <f>'P NP MINAPADI IKAN'!W20</f>
        <v>0</v>
      </c>
      <c r="AC16" s="322">
        <f>'P NP MINAPADI IKAN'!X20</f>
        <v>0</v>
      </c>
      <c r="AD16" s="322">
        <f>'P NP MINAPADI IKAN'!W21</f>
        <v>0</v>
      </c>
      <c r="AE16" s="322">
        <f>'P NP MINAPADI IKAN'!X21</f>
        <v>0</v>
      </c>
      <c r="AF16" s="322">
        <f>'P NP MINAPADI IKAN'!W22</f>
        <v>0</v>
      </c>
      <c r="AG16" s="322">
        <f>'P NP MINAPADI IKAN'!X22</f>
        <v>0</v>
      </c>
      <c r="AH16" s="322">
        <f>'P NP MINAPADI IKAN'!Y23</f>
        <v>0</v>
      </c>
      <c r="AI16" s="322">
        <f>'P NP MINAPADI IKAN'!Z23</f>
        <v>0</v>
      </c>
      <c r="AJ16" s="322">
        <f>'P NP MINAPADI IKAN'!W24</f>
        <v>0</v>
      </c>
      <c r="AK16" s="322">
        <f>'P NP MINAPADI IKAN'!X24</f>
        <v>0</v>
      </c>
      <c r="AL16" s="322">
        <f>'P NP MINAPADI IKAN'!W25</f>
        <v>0</v>
      </c>
      <c r="AM16" s="322">
        <f>'P NP MINAPADI IKAN'!X25</f>
        <v>0</v>
      </c>
      <c r="AN16" s="322">
        <f>'P NP MINAPADI IKAN'!W26</f>
        <v>0</v>
      </c>
      <c r="AO16" s="322">
        <f>'P NP MINAPADI IKAN'!X26</f>
        <v>0</v>
      </c>
      <c r="AP16" s="322">
        <f>'P NP MINAPADI IKAN'!W27</f>
        <v>0</v>
      </c>
      <c r="AQ16" s="322">
        <f>'P NP MINAPADI IKAN'!X27</f>
        <v>0</v>
      </c>
      <c r="AR16" s="322">
        <f>'P NP MINAPADI IKAN'!W28</f>
        <v>0</v>
      </c>
      <c r="AS16" s="322">
        <f>'P NP MINAPADI IKAN'!X28</f>
        <v>0</v>
      </c>
      <c r="AT16" s="322">
        <f>'P NP MINAPADI IKAN'!W29</f>
        <v>0</v>
      </c>
      <c r="AU16" s="322">
        <f>'P NP MINAPADI IKAN'!X29</f>
        <v>0</v>
      </c>
      <c r="AV16" s="322">
        <f>'P NP MINAPADI IKAN'!W30</f>
        <v>0</v>
      </c>
      <c r="AW16" s="322">
        <f>'P NP MINAPADI IKAN'!X30</f>
        <v>0</v>
      </c>
      <c r="AX16" s="322">
        <f>'P NP MINAPADI IKAN'!W31</f>
        <v>0</v>
      </c>
      <c r="AY16" s="322">
        <f>'P NP MINAPADI IKAN'!X31</f>
        <v>0</v>
      </c>
      <c r="AZ16" s="322">
        <f>'P NP MINAPADI IKAN'!W32</f>
        <v>0</v>
      </c>
      <c r="BA16" s="322">
        <f>'P NP MINAPADI IKAN'!X32</f>
        <v>0</v>
      </c>
      <c r="BB16" s="322">
        <f>'P NP MINAPADI IKAN'!W33</f>
        <v>0</v>
      </c>
      <c r="BC16" s="322">
        <f>'P NP MINAPADI IKAN'!X33</f>
        <v>0</v>
      </c>
      <c r="BD16" s="322">
        <f>'P NP MINAPADI IKAN'!W34</f>
        <v>0</v>
      </c>
      <c r="BE16" s="322">
        <f>'P NP MINAPADI IKAN'!X34</f>
        <v>0</v>
      </c>
      <c r="BF16" s="322">
        <f>'P NP MINAPADI IKAN'!W35</f>
        <v>0</v>
      </c>
      <c r="BG16" s="322">
        <f>'P NP MINAPADI IKAN'!X35</f>
        <v>0</v>
      </c>
      <c r="BH16" s="322">
        <f>'P NP MINAPADI IKAN'!W36</f>
        <v>0</v>
      </c>
      <c r="BI16" s="322">
        <f>'P NP MINAPADI IKAN'!X36</f>
        <v>0</v>
      </c>
      <c r="BJ16" s="322">
        <f>'P NP MINAPADI IKAN'!W37</f>
        <v>0</v>
      </c>
      <c r="BK16" s="322">
        <f>'P NP MINAPADI IKAN'!X37</f>
        <v>0</v>
      </c>
      <c r="BL16" s="322">
        <f>'P NP MINAPADI IKAN'!W38</f>
        <v>0</v>
      </c>
      <c r="BM16" s="322">
        <f>'P NP MINAPADI IKAN'!X38</f>
        <v>0</v>
      </c>
      <c r="BN16" s="322">
        <f>'P NP MINAPADI IKAN'!W39</f>
        <v>0</v>
      </c>
      <c r="BO16" s="322">
        <f>'P NP MINAPADI IKAN'!X39</f>
        <v>0</v>
      </c>
      <c r="BP16" s="322">
        <f>'P NP MINAPADI IKAN'!W40</f>
        <v>0</v>
      </c>
      <c r="BQ16" s="322">
        <f>'P NP MINAPADI IKAN'!X40</f>
        <v>0</v>
      </c>
      <c r="BR16" s="322">
        <f>'P NP MINAPADI IKAN'!W41</f>
        <v>0</v>
      </c>
      <c r="BS16" s="322">
        <f>'P NP MINAPADI IKAN'!X41</f>
        <v>0</v>
      </c>
      <c r="BT16" s="322">
        <f>'P NP MINAPADI IKAN'!W42</f>
        <v>0</v>
      </c>
      <c r="BU16" s="322">
        <f>'P NP MINAPADI IKAN'!X42</f>
        <v>0</v>
      </c>
      <c r="BV16" s="322">
        <f>'P NP MINAPADI IKAN'!W43</f>
        <v>0</v>
      </c>
      <c r="BW16" s="322">
        <f>'P NP MINAPADI IKAN'!X43</f>
        <v>0</v>
      </c>
      <c r="BX16" s="322">
        <f>'P NP MINAPADI IKAN'!W44</f>
        <v>0</v>
      </c>
      <c r="BY16" s="322">
        <f>'P NP MINAPADI IKAN'!X44</f>
        <v>0</v>
      </c>
    </row>
    <row r="17" spans="1:77">
      <c r="A17" s="260" t="s">
        <v>130</v>
      </c>
      <c r="B17" s="320">
        <f t="shared" si="2"/>
        <v>0</v>
      </c>
      <c r="C17" s="320">
        <f t="shared" si="3"/>
        <v>0</v>
      </c>
      <c r="D17" s="322">
        <f>'P NP MINAPADI IKAN'!Y8</f>
        <v>0</v>
      </c>
      <c r="E17" s="322">
        <f>'P NP MINAPADI IKAN'!Z8</f>
        <v>0</v>
      </c>
      <c r="F17" s="322">
        <f>'P NP MINAPADI IKAN'!Y9</f>
        <v>0</v>
      </c>
      <c r="G17" s="322">
        <f>'P NP MINAPADI IKAN'!Z9</f>
        <v>0</v>
      </c>
      <c r="H17" s="322">
        <f>'P NP MINAPADI IKAN'!Y10</f>
        <v>0</v>
      </c>
      <c r="I17" s="322">
        <f>'P NP MINAPADI IKAN'!Z10</f>
        <v>0</v>
      </c>
      <c r="J17" s="322">
        <f>'P NP MINAPADI IKAN'!Y11</f>
        <v>0</v>
      </c>
      <c r="K17" s="322">
        <f>'P NP MINAPADI IKAN'!Z11</f>
        <v>0</v>
      </c>
      <c r="L17" s="322">
        <f>'P NP MINAPADI IKAN'!Y12</f>
        <v>0</v>
      </c>
      <c r="M17" s="322">
        <f>'P NP MINAPADI IKAN'!Z12</f>
        <v>0</v>
      </c>
      <c r="N17" s="322">
        <f>'P NP MINAPADI IKAN'!Y13</f>
        <v>0</v>
      </c>
      <c r="O17" s="322">
        <f>'P NP MINAPADI IKAN'!Z13</f>
        <v>0</v>
      </c>
      <c r="P17" s="322">
        <f>'P NP MINAPADI IKAN'!Y14</f>
        <v>0</v>
      </c>
      <c r="Q17" s="322">
        <f>'P NP MINAPADI IKAN'!Z14</f>
        <v>0</v>
      </c>
      <c r="R17" s="322">
        <f>'P NP MINAPADI IKAN'!Y15</f>
        <v>0</v>
      </c>
      <c r="S17" s="322">
        <f>'P NP MINAPADI IKAN'!Z15</f>
        <v>0</v>
      </c>
      <c r="T17" s="322">
        <f>'P NP MINAPADI IKAN'!Y16</f>
        <v>0</v>
      </c>
      <c r="U17" s="322">
        <f>'P NP MINAPADI IKAN'!Z16</f>
        <v>0</v>
      </c>
      <c r="V17" s="322">
        <f>'P NP MINAPADI IKAN'!Y17</f>
        <v>0</v>
      </c>
      <c r="W17" s="322">
        <f>'P NP MINAPADI IKAN'!Z17</f>
        <v>0</v>
      </c>
      <c r="X17" s="322">
        <f>'P NP MINAPADI IKAN'!Y18</f>
        <v>0</v>
      </c>
      <c r="Y17" s="322">
        <f>'P NP MINAPADI IKAN'!Z18</f>
        <v>0</v>
      </c>
      <c r="Z17" s="322">
        <f>'P NP MINAPADI IKAN'!Y19</f>
        <v>0</v>
      </c>
      <c r="AA17" s="322">
        <f>'P NP MINAPADI IKAN'!Z19</f>
        <v>0</v>
      </c>
      <c r="AB17" s="322">
        <f>'P NP MINAPADI IKAN'!Y20</f>
        <v>0</v>
      </c>
      <c r="AC17" s="322">
        <f>'P NP MINAPADI IKAN'!Z20</f>
        <v>0</v>
      </c>
      <c r="AD17" s="322">
        <f>'P NP MINAPADI IKAN'!Y21</f>
        <v>0</v>
      </c>
      <c r="AE17" s="322">
        <f>'P NP MINAPADI IKAN'!Z21</f>
        <v>0</v>
      </c>
      <c r="AF17" s="322">
        <f>'P NP MINAPADI IKAN'!Y22</f>
        <v>0</v>
      </c>
      <c r="AG17" s="322">
        <f>'P NP MINAPADI IKAN'!Z22</f>
        <v>0</v>
      </c>
      <c r="AH17" s="322">
        <f>'P NP MINAPADI IKAN'!Y23</f>
        <v>0</v>
      </c>
      <c r="AI17" s="322">
        <f>'P NP MINAPADI IKAN'!Z23</f>
        <v>0</v>
      </c>
      <c r="AJ17" s="322">
        <f>'P NP MINAPADI IKAN'!AA24</f>
        <v>0</v>
      </c>
      <c r="AK17" s="322">
        <f>'P NP MINAPADI IKAN'!AB24</f>
        <v>0</v>
      </c>
      <c r="AL17" s="322">
        <f>'P NP MINAPADI IKAN'!Y25</f>
        <v>0</v>
      </c>
      <c r="AM17" s="322">
        <f>'P NP MINAPADI IKAN'!Z25</f>
        <v>0</v>
      </c>
      <c r="AN17" s="322">
        <f>'P NP MINAPADI IKAN'!Y26</f>
        <v>0</v>
      </c>
      <c r="AO17" s="322">
        <f>'P NP MINAPADI IKAN'!Z26</f>
        <v>0</v>
      </c>
      <c r="AP17" s="322">
        <f>'P NP MINAPADI IKAN'!Y27</f>
        <v>0</v>
      </c>
      <c r="AQ17" s="322">
        <f>'P NP MINAPADI IKAN'!Z27</f>
        <v>0</v>
      </c>
      <c r="AR17" s="322">
        <f>'P NP MINAPADI IKAN'!Y28</f>
        <v>0</v>
      </c>
      <c r="AS17" s="322">
        <f>'P NP MINAPADI IKAN'!Z28</f>
        <v>0</v>
      </c>
      <c r="AT17" s="322">
        <f>'P NP MINAPADI IKAN'!Y29</f>
        <v>0</v>
      </c>
      <c r="AU17" s="322">
        <f>'P NP MINAPADI IKAN'!Z29</f>
        <v>0</v>
      </c>
      <c r="AV17" s="322">
        <f>'P NP MINAPADI IKAN'!Y30</f>
        <v>0</v>
      </c>
      <c r="AW17" s="322">
        <f>'P NP MINAPADI IKAN'!Z30</f>
        <v>0</v>
      </c>
      <c r="AX17" s="322">
        <f>'P NP MINAPADI IKAN'!Y31</f>
        <v>0</v>
      </c>
      <c r="AY17" s="322">
        <f>'P NP MINAPADI IKAN'!Z31</f>
        <v>0</v>
      </c>
      <c r="AZ17" s="322">
        <f>'P NP MINAPADI IKAN'!Y32</f>
        <v>0</v>
      </c>
      <c r="BA17" s="322">
        <f>'P NP MINAPADI IKAN'!Z32</f>
        <v>0</v>
      </c>
      <c r="BB17" s="322">
        <f>'P NP MINAPADI IKAN'!Y33</f>
        <v>0</v>
      </c>
      <c r="BC17" s="322">
        <f>'P NP MINAPADI IKAN'!Z33</f>
        <v>0</v>
      </c>
      <c r="BD17" s="322">
        <f>'P NP MINAPADI IKAN'!Y34</f>
        <v>0</v>
      </c>
      <c r="BE17" s="322">
        <f>'P NP MINAPADI IKAN'!Z34</f>
        <v>0</v>
      </c>
      <c r="BF17" s="322">
        <f>'P NP MINAPADI IKAN'!Y35</f>
        <v>0</v>
      </c>
      <c r="BG17" s="322">
        <f>'P NP MINAPADI IKAN'!Z35</f>
        <v>0</v>
      </c>
      <c r="BH17" s="322">
        <f>'P NP MINAPADI IKAN'!Y36</f>
        <v>0</v>
      </c>
      <c r="BI17" s="322">
        <f>'P NP MINAPADI IKAN'!Z36</f>
        <v>0</v>
      </c>
      <c r="BJ17" s="322">
        <f>'P NP MINAPADI IKAN'!Y37</f>
        <v>0</v>
      </c>
      <c r="BK17" s="322">
        <f>'P NP MINAPADI IKAN'!Z37</f>
        <v>0</v>
      </c>
      <c r="BL17" s="322">
        <f>'P NP MINAPADI IKAN'!Y38</f>
        <v>0</v>
      </c>
      <c r="BM17" s="322">
        <f>'P NP MINAPADI IKAN'!Z38</f>
        <v>0</v>
      </c>
      <c r="BN17" s="322">
        <f>'P NP MINAPADI IKAN'!Y39</f>
        <v>0</v>
      </c>
      <c r="BO17" s="322">
        <f>'P NP MINAPADI IKAN'!Z39</f>
        <v>0</v>
      </c>
      <c r="BP17" s="322">
        <f>'P NP MINAPADI IKAN'!Y40</f>
        <v>0</v>
      </c>
      <c r="BQ17" s="322">
        <f>'P NP MINAPADI IKAN'!Z40</f>
        <v>0</v>
      </c>
      <c r="BR17" s="322">
        <f>'P NP MINAPADI IKAN'!Y41</f>
        <v>0</v>
      </c>
      <c r="BS17" s="322">
        <f>'P NP MINAPADI IKAN'!Z41</f>
        <v>0</v>
      </c>
      <c r="BT17" s="322">
        <f>'P NP MINAPADI IKAN'!Y42</f>
        <v>0</v>
      </c>
      <c r="BU17" s="322">
        <f>'P NP MINAPADI IKAN'!Z42</f>
        <v>0</v>
      </c>
      <c r="BV17" s="322">
        <f>'P NP MINAPADI IKAN'!Y43</f>
        <v>0</v>
      </c>
      <c r="BW17" s="322">
        <f>'P NP MINAPADI IKAN'!Z43</f>
        <v>0</v>
      </c>
      <c r="BX17" s="322">
        <f>'P NP MINAPADI IKAN'!Y44</f>
        <v>0</v>
      </c>
      <c r="BY17" s="322">
        <f>'P NP MINAPADI IKAN'!Z44</f>
        <v>0</v>
      </c>
    </row>
    <row r="18" spans="1:77">
      <c r="A18" s="260" t="s">
        <v>131</v>
      </c>
      <c r="B18" s="320">
        <f t="shared" si="2"/>
        <v>0</v>
      </c>
      <c r="C18" s="320">
        <f t="shared" si="3"/>
        <v>0</v>
      </c>
      <c r="D18" s="322">
        <f>'P NP MINAPADI IKAN'!AA8</f>
        <v>0</v>
      </c>
      <c r="E18" s="322">
        <f>'P NP MINAPADI IKAN'!AB8</f>
        <v>0</v>
      </c>
      <c r="F18" s="322">
        <f>'P NP MINAPADI IKAN'!AA9</f>
        <v>0</v>
      </c>
      <c r="G18" s="322">
        <f>'P NP MINAPADI IKAN'!AB9</f>
        <v>0</v>
      </c>
      <c r="H18" s="322">
        <f>'P NP MINAPADI IKAN'!AA10</f>
        <v>0</v>
      </c>
      <c r="I18" s="322">
        <f>'P NP MINAPADI IKAN'!AB10</f>
        <v>0</v>
      </c>
      <c r="J18" s="322">
        <f>'P NP MINAPADI IKAN'!AA11</f>
        <v>0</v>
      </c>
      <c r="K18" s="322">
        <f>'P NP MINAPADI IKAN'!AB11</f>
        <v>0</v>
      </c>
      <c r="L18" s="322">
        <f>'P NP MINAPADI IKAN'!AA12</f>
        <v>0</v>
      </c>
      <c r="M18" s="322">
        <f>'P NP MINAPADI IKAN'!AB12</f>
        <v>0</v>
      </c>
      <c r="N18" s="322">
        <f>'P NP MINAPADI IKAN'!AA13</f>
        <v>0</v>
      </c>
      <c r="O18" s="322">
        <f>'P NP MINAPADI IKAN'!AB13</f>
        <v>0</v>
      </c>
      <c r="P18" s="322">
        <f>'P NP MINAPADI IKAN'!AA14</f>
        <v>0</v>
      </c>
      <c r="Q18" s="322">
        <f>'P NP MINAPADI IKAN'!AB14</f>
        <v>0</v>
      </c>
      <c r="R18" s="322">
        <f>'P NP MINAPADI IKAN'!AA15</f>
        <v>0</v>
      </c>
      <c r="S18" s="322">
        <f>'P NP MINAPADI IKAN'!AB15</f>
        <v>0</v>
      </c>
      <c r="T18" s="322">
        <f>'P NP MINAPADI IKAN'!AA16</f>
        <v>0</v>
      </c>
      <c r="U18" s="322">
        <f>'P NP MINAPADI IKAN'!AB16</f>
        <v>0</v>
      </c>
      <c r="V18" s="322">
        <f>'P NP MINAPADI IKAN'!AA17</f>
        <v>0</v>
      </c>
      <c r="W18" s="322">
        <f>'P NP MINAPADI IKAN'!AB17</f>
        <v>0</v>
      </c>
      <c r="X18" s="322">
        <f>'P NP MINAPADI IKAN'!AA18</f>
        <v>0</v>
      </c>
      <c r="Y18" s="322">
        <f>'P NP MINAPADI IKAN'!AB18</f>
        <v>0</v>
      </c>
      <c r="Z18" s="322">
        <f>'P NP MINAPADI IKAN'!AA19</f>
        <v>0</v>
      </c>
      <c r="AA18" s="322">
        <f>'P NP MINAPADI IKAN'!AB19</f>
        <v>0</v>
      </c>
      <c r="AB18" s="322">
        <f>'P NP MINAPADI IKAN'!AA20</f>
        <v>0</v>
      </c>
      <c r="AC18" s="322">
        <f>'P NP MINAPADI IKAN'!AB20</f>
        <v>0</v>
      </c>
      <c r="AD18" s="322">
        <f>'P NP MINAPADI IKAN'!AA21</f>
        <v>0</v>
      </c>
      <c r="AE18" s="322">
        <f>'P NP MINAPADI IKAN'!AB21</f>
        <v>0</v>
      </c>
      <c r="AF18" s="322">
        <f>'P NP MINAPADI IKAN'!AA22</f>
        <v>0</v>
      </c>
      <c r="AG18" s="322">
        <f>'P NP MINAPADI IKAN'!AB22</f>
        <v>0</v>
      </c>
      <c r="AH18" s="322">
        <f>'P NP MINAPADI IKAN'!AA23</f>
        <v>0</v>
      </c>
      <c r="AI18" s="322">
        <f>'P NP MINAPADI IKAN'!AB23</f>
        <v>0</v>
      </c>
      <c r="AJ18" s="322">
        <f>'P NP MINAPADI IKAN'!AA24</f>
        <v>0</v>
      </c>
      <c r="AK18" s="322">
        <f>'P NP MINAPADI IKAN'!AB24</f>
        <v>0</v>
      </c>
      <c r="AL18" s="322">
        <f>'P NP MINAPADI IKAN'!AA25</f>
        <v>0</v>
      </c>
      <c r="AM18" s="322">
        <f>'P NP MINAPADI IKAN'!AB25</f>
        <v>0</v>
      </c>
      <c r="AN18" s="322">
        <f>'P NP MINAPADI IKAN'!AA26</f>
        <v>0</v>
      </c>
      <c r="AO18" s="322">
        <f>'P NP MINAPADI IKAN'!AB26</f>
        <v>0</v>
      </c>
      <c r="AP18" s="322">
        <f>'P NP MINAPADI IKAN'!AA27</f>
        <v>0</v>
      </c>
      <c r="AQ18" s="322">
        <f>'P NP MINAPADI IKAN'!AB27</f>
        <v>0</v>
      </c>
      <c r="AR18" s="322">
        <f>'P NP MINAPADI IKAN'!AA28</f>
        <v>0</v>
      </c>
      <c r="AS18" s="322">
        <f>'P NP MINAPADI IKAN'!AB28</f>
        <v>0</v>
      </c>
      <c r="AT18" s="322">
        <f>'P NP MINAPADI IKAN'!AA29</f>
        <v>0</v>
      </c>
      <c r="AU18" s="322">
        <f>'P NP MINAPADI IKAN'!AB29</f>
        <v>0</v>
      </c>
      <c r="AV18" s="322">
        <f>'P NP MINAPADI IKAN'!AA30</f>
        <v>0</v>
      </c>
      <c r="AW18" s="322">
        <f>'P NP MINAPADI IKAN'!AB30</f>
        <v>0</v>
      </c>
      <c r="AX18" s="322">
        <f>'P NP MINAPADI IKAN'!AA31</f>
        <v>0</v>
      </c>
      <c r="AY18" s="322">
        <f>'P NP MINAPADI IKAN'!AB31</f>
        <v>0</v>
      </c>
      <c r="AZ18" s="322">
        <f>'P NP MINAPADI IKAN'!AA32</f>
        <v>0</v>
      </c>
      <c r="BA18" s="322">
        <f>'P NP MINAPADI IKAN'!AB32</f>
        <v>0</v>
      </c>
      <c r="BB18" s="322">
        <f>'P NP MINAPADI IKAN'!AA33</f>
        <v>0</v>
      </c>
      <c r="BC18" s="322">
        <f>'P NP MINAPADI IKAN'!AB33</f>
        <v>0</v>
      </c>
      <c r="BD18" s="322">
        <f>'P NP MINAPADI IKAN'!AA34</f>
        <v>0</v>
      </c>
      <c r="BE18" s="322">
        <f>'P NP MINAPADI IKAN'!AB34</f>
        <v>0</v>
      </c>
      <c r="BF18" s="322">
        <f>'P NP MINAPADI IKAN'!AA35</f>
        <v>0</v>
      </c>
      <c r="BG18" s="322">
        <f>'P NP MINAPADI IKAN'!AB35</f>
        <v>0</v>
      </c>
      <c r="BH18" s="322">
        <f>'P NP MINAPADI IKAN'!AA36</f>
        <v>0</v>
      </c>
      <c r="BI18" s="322">
        <f>'P NP MINAPADI IKAN'!AB36</f>
        <v>0</v>
      </c>
      <c r="BJ18" s="322">
        <f>'P NP MINAPADI IKAN'!AA37</f>
        <v>0</v>
      </c>
      <c r="BK18" s="322">
        <f>'P NP MINAPADI IKAN'!AB37</f>
        <v>0</v>
      </c>
      <c r="BL18" s="322">
        <f>'P NP MINAPADI IKAN'!AA38</f>
        <v>0</v>
      </c>
      <c r="BM18" s="322">
        <f>'P NP MINAPADI IKAN'!AB38</f>
        <v>0</v>
      </c>
      <c r="BN18" s="322">
        <f>'P NP MINAPADI IKAN'!AA39</f>
        <v>0</v>
      </c>
      <c r="BO18" s="322">
        <f>'P NP MINAPADI IKAN'!AB39</f>
        <v>0</v>
      </c>
      <c r="BP18" s="322">
        <f>'P NP MINAPADI IKAN'!AA40</f>
        <v>0</v>
      </c>
      <c r="BQ18" s="322">
        <f>'P NP MINAPADI IKAN'!AB40</f>
        <v>0</v>
      </c>
      <c r="BR18" s="322">
        <f>'P NP MINAPADI IKAN'!AA41</f>
        <v>0</v>
      </c>
      <c r="BS18" s="322">
        <f>'P NP MINAPADI IKAN'!AB41</f>
        <v>0</v>
      </c>
      <c r="BT18" s="322">
        <f>'P NP MINAPADI IKAN'!AA42</f>
        <v>0</v>
      </c>
      <c r="BU18" s="322">
        <f>'P NP MINAPADI IKAN'!AB42</f>
        <v>0</v>
      </c>
      <c r="BV18" s="322">
        <f>'P NP MINAPADI IKAN'!AA43</f>
        <v>0</v>
      </c>
      <c r="BW18" s="322">
        <f>'P NP MINAPADI IKAN'!AB43</f>
        <v>0</v>
      </c>
      <c r="BX18" s="322">
        <f>'P NP MINAPADI IKAN'!AA44</f>
        <v>0</v>
      </c>
      <c r="BY18" s="322">
        <f>'P NP MINAPADI IKAN'!AB44</f>
        <v>0</v>
      </c>
    </row>
    <row r="19" spans="1:77">
      <c r="A19" s="260" t="s">
        <v>118</v>
      </c>
      <c r="B19" s="320">
        <f t="shared" si="2"/>
        <v>0</v>
      </c>
      <c r="C19" s="320">
        <f t="shared" si="3"/>
        <v>0</v>
      </c>
      <c r="D19" s="322">
        <f>'P NP MINAPADI IKAN'!AC8</f>
        <v>0</v>
      </c>
      <c r="E19" s="322">
        <f>'P NP MINAPADI IKAN'!AD8</f>
        <v>0</v>
      </c>
      <c r="F19" s="322">
        <f>'P NP MINAPADI IKAN'!AC9</f>
        <v>0</v>
      </c>
      <c r="G19" s="322">
        <f>'P NP MINAPADI IKAN'!AD9</f>
        <v>0</v>
      </c>
      <c r="H19" s="322">
        <f>'P NP MINAPADI IKAN'!AC10</f>
        <v>0</v>
      </c>
      <c r="I19" s="322">
        <f>'P NP MINAPADI IKAN'!AD10</f>
        <v>0</v>
      </c>
      <c r="J19" s="322">
        <f>'P NP MINAPADI IKAN'!AC11</f>
        <v>0</v>
      </c>
      <c r="K19" s="322">
        <f>'P NP MINAPADI IKAN'!AD11</f>
        <v>0</v>
      </c>
      <c r="L19" s="322">
        <f>'P NP MINAPADI IKAN'!AC12</f>
        <v>0</v>
      </c>
      <c r="M19" s="322">
        <f>'P NP MINAPADI IKAN'!AD12</f>
        <v>0</v>
      </c>
      <c r="N19" s="322">
        <f>'P NP MINAPADI IKAN'!AC13</f>
        <v>0</v>
      </c>
      <c r="O19" s="322">
        <f>'P NP MINAPADI IKAN'!AD13</f>
        <v>0</v>
      </c>
      <c r="P19" s="322">
        <f>'P NP MINAPADI IKAN'!AC14</f>
        <v>0</v>
      </c>
      <c r="Q19" s="322">
        <f>'P NP MINAPADI IKAN'!AD14</f>
        <v>0</v>
      </c>
      <c r="R19" s="322">
        <f>'P NP MINAPADI IKAN'!AC15</f>
        <v>0</v>
      </c>
      <c r="S19" s="322">
        <f>'P NP MINAPADI IKAN'!AD15</f>
        <v>0</v>
      </c>
      <c r="T19" s="322">
        <f>'P NP MINAPADI IKAN'!AC16</f>
        <v>0</v>
      </c>
      <c r="U19" s="322">
        <f>'P NP MINAPADI IKAN'!AD16</f>
        <v>0</v>
      </c>
      <c r="V19" s="322">
        <f>'P NP MINAPADI IKAN'!AC17</f>
        <v>0</v>
      </c>
      <c r="W19" s="322">
        <f>'P NP MINAPADI IKAN'!AD17</f>
        <v>0</v>
      </c>
      <c r="X19" s="322">
        <f>'P NP MINAPADI IKAN'!AC18</f>
        <v>0</v>
      </c>
      <c r="Y19" s="322">
        <f>'P NP MINAPADI IKAN'!AD18</f>
        <v>0</v>
      </c>
      <c r="Z19" s="322">
        <f>'P NP MINAPADI IKAN'!AC19</f>
        <v>0</v>
      </c>
      <c r="AA19" s="322">
        <f>'P NP MINAPADI IKAN'!AD19</f>
        <v>0</v>
      </c>
      <c r="AB19" s="322">
        <f>'P NP MINAPADI IKAN'!AC20</f>
        <v>0</v>
      </c>
      <c r="AC19" s="322">
        <f>'P NP MINAPADI IKAN'!AD20</f>
        <v>0</v>
      </c>
      <c r="AD19" s="322">
        <f>'P NP MINAPADI IKAN'!AC21</f>
        <v>0</v>
      </c>
      <c r="AE19" s="322">
        <f>'P NP MINAPADI IKAN'!AD21</f>
        <v>0</v>
      </c>
      <c r="AF19" s="322">
        <f>'P NP MINAPADI IKAN'!AC22</f>
        <v>0</v>
      </c>
      <c r="AG19" s="322">
        <f>'P NP MINAPADI IKAN'!AD22</f>
        <v>0</v>
      </c>
      <c r="AH19" s="322">
        <f>'P NP MINAPADI IKAN'!AC23</f>
        <v>0</v>
      </c>
      <c r="AI19" s="322">
        <f>'P NP MINAPADI IKAN'!AD23</f>
        <v>0</v>
      </c>
      <c r="AJ19" s="322">
        <f>'P NP MINAPADI IKAN'!AC24</f>
        <v>0</v>
      </c>
      <c r="AK19" s="322">
        <f>'P NP MINAPADI IKAN'!AD24</f>
        <v>0</v>
      </c>
      <c r="AL19" s="322">
        <f>'P NP MINAPADI IKAN'!AC25</f>
        <v>0</v>
      </c>
      <c r="AM19" s="322">
        <f>'P NP MINAPADI IKAN'!AD25</f>
        <v>0</v>
      </c>
      <c r="AN19" s="322">
        <f>'P NP MINAPADI IKAN'!AE26</f>
        <v>0</v>
      </c>
      <c r="AO19" s="322">
        <f>'P NP MINAPADI IKAN'!AF26</f>
        <v>0</v>
      </c>
      <c r="AP19" s="322">
        <f>'P NP MINAPADI IKAN'!AC27</f>
        <v>0</v>
      </c>
      <c r="AQ19" s="322">
        <f>'P NP MINAPADI IKAN'!AD27</f>
        <v>0</v>
      </c>
      <c r="AR19" s="322">
        <f>'P NP MINAPADI IKAN'!AC28</f>
        <v>0</v>
      </c>
      <c r="AS19" s="322">
        <f>'P NP MINAPADI IKAN'!AD28</f>
        <v>0</v>
      </c>
      <c r="AT19" s="322">
        <f>'P NP MINAPADI IKAN'!AC29</f>
        <v>0</v>
      </c>
      <c r="AU19" s="322">
        <f>'P NP MINAPADI IKAN'!AD29</f>
        <v>0</v>
      </c>
      <c r="AV19" s="322">
        <f>'P NP MINAPADI IKAN'!AC30</f>
        <v>0</v>
      </c>
      <c r="AW19" s="322">
        <f>'P NP MINAPADI IKAN'!AD30</f>
        <v>0</v>
      </c>
      <c r="AX19" s="322">
        <f>'P NP MINAPADI IKAN'!AC31</f>
        <v>0</v>
      </c>
      <c r="AY19" s="322">
        <f>'P NP MINAPADI IKAN'!AD31</f>
        <v>0</v>
      </c>
      <c r="AZ19" s="322">
        <f>'P NP MINAPADI IKAN'!AC32</f>
        <v>0</v>
      </c>
      <c r="BA19" s="322">
        <f>'P NP MINAPADI IKAN'!AD32</f>
        <v>0</v>
      </c>
      <c r="BB19" s="322">
        <f>'P NP MINAPADI IKAN'!AC33</f>
        <v>0</v>
      </c>
      <c r="BC19" s="322">
        <f>'P NP MINAPADI IKAN'!AD33</f>
        <v>0</v>
      </c>
      <c r="BD19" s="322">
        <f>'P NP MINAPADI IKAN'!AC34</f>
        <v>0</v>
      </c>
      <c r="BE19" s="322">
        <f>'P NP MINAPADI IKAN'!AD34</f>
        <v>0</v>
      </c>
      <c r="BF19" s="322">
        <f>'P NP MINAPADI IKAN'!AC35</f>
        <v>0</v>
      </c>
      <c r="BG19" s="322">
        <f>'P NP MINAPADI IKAN'!AD35</f>
        <v>0</v>
      </c>
      <c r="BH19" s="322">
        <f>'P NP MINAPADI IKAN'!AC36</f>
        <v>0</v>
      </c>
      <c r="BI19" s="322">
        <f>'P NP MINAPADI IKAN'!AD36</f>
        <v>0</v>
      </c>
      <c r="BJ19" s="322">
        <f>'P NP MINAPADI IKAN'!AC37</f>
        <v>0</v>
      </c>
      <c r="BK19" s="322">
        <f>'P NP MINAPADI IKAN'!AD37</f>
        <v>0</v>
      </c>
      <c r="BL19" s="322">
        <f>'P NP MINAPADI IKAN'!AC38</f>
        <v>0</v>
      </c>
      <c r="BM19" s="322">
        <f>'P NP MINAPADI IKAN'!AD38</f>
        <v>0</v>
      </c>
      <c r="BN19" s="322">
        <f>'P NP MINAPADI IKAN'!AC39</f>
        <v>0</v>
      </c>
      <c r="BO19" s="322">
        <f>'P NP MINAPADI IKAN'!AD39</f>
        <v>0</v>
      </c>
      <c r="BP19" s="322">
        <f>'P NP MINAPADI IKAN'!AC40</f>
        <v>0</v>
      </c>
      <c r="BQ19" s="322">
        <f>'P NP MINAPADI IKAN'!AD40</f>
        <v>0</v>
      </c>
      <c r="BR19" s="322">
        <f>'P NP MINAPADI IKAN'!AC41</f>
        <v>0</v>
      </c>
      <c r="BS19" s="322">
        <f>'P NP MINAPADI IKAN'!AD41</f>
        <v>0</v>
      </c>
      <c r="BT19" s="322">
        <f>'P NP MINAPADI IKAN'!AC42</f>
        <v>0</v>
      </c>
      <c r="BU19" s="322">
        <f>'P NP MINAPADI IKAN'!AD42</f>
        <v>0</v>
      </c>
      <c r="BV19" s="322">
        <f>'P NP MINAPADI IKAN'!AC43</f>
        <v>0</v>
      </c>
      <c r="BW19" s="322">
        <f>'P NP MINAPADI IKAN'!AD43</f>
        <v>0</v>
      </c>
      <c r="BX19" s="322">
        <f>'P NP MINAPADI IKAN'!AC44</f>
        <v>0</v>
      </c>
      <c r="BY19" s="322">
        <f>'P NP MINAPADI IKAN'!AD44</f>
        <v>0</v>
      </c>
    </row>
    <row r="20" spans="1:77">
      <c r="A20" s="260" t="s">
        <v>127</v>
      </c>
      <c r="B20" s="320">
        <f t="shared" si="2"/>
        <v>0</v>
      </c>
      <c r="C20" s="320">
        <f t="shared" si="3"/>
        <v>0</v>
      </c>
      <c r="D20" s="322">
        <f>'P NP MINAPADI IKAN'!AE8</f>
        <v>0</v>
      </c>
      <c r="E20" s="322">
        <f>'P NP MINAPADI IKAN'!AF8</f>
        <v>0</v>
      </c>
      <c r="F20" s="322">
        <f>'P NP MINAPADI IKAN'!AE9</f>
        <v>0</v>
      </c>
      <c r="G20" s="322">
        <f>'P NP MINAPADI IKAN'!AF9</f>
        <v>0</v>
      </c>
      <c r="H20" s="322">
        <f>'P NP MINAPADI IKAN'!AE10</f>
        <v>0</v>
      </c>
      <c r="I20" s="322">
        <f>'P NP MINAPADI IKAN'!AF10</f>
        <v>0</v>
      </c>
      <c r="J20" s="322">
        <f>'P NP MINAPADI IKAN'!AE11</f>
        <v>0</v>
      </c>
      <c r="K20" s="322">
        <f>'P NP MINAPADI IKAN'!AF11</f>
        <v>0</v>
      </c>
      <c r="L20" s="322">
        <f>'P NP MINAPADI IKAN'!AE12</f>
        <v>0</v>
      </c>
      <c r="M20" s="322">
        <f>'P NP MINAPADI IKAN'!AF12</f>
        <v>0</v>
      </c>
      <c r="N20" s="322">
        <f>'P NP MINAPADI IKAN'!AE13</f>
        <v>0</v>
      </c>
      <c r="O20" s="322">
        <f>'P NP MINAPADI IKAN'!AF13</f>
        <v>0</v>
      </c>
      <c r="P20" s="322">
        <f>'P NP MINAPADI IKAN'!AE14</f>
        <v>0</v>
      </c>
      <c r="Q20" s="322">
        <f>'P NP MINAPADI IKAN'!AF14</f>
        <v>0</v>
      </c>
      <c r="R20" s="322">
        <f>'P NP MINAPADI IKAN'!AE15</f>
        <v>0</v>
      </c>
      <c r="S20" s="322">
        <f>'P NP MINAPADI IKAN'!AF15</f>
        <v>0</v>
      </c>
      <c r="T20" s="322">
        <f>'P NP MINAPADI IKAN'!AE16</f>
        <v>0</v>
      </c>
      <c r="U20" s="322">
        <f>'P NP MINAPADI IKAN'!AF16</f>
        <v>0</v>
      </c>
      <c r="V20" s="322">
        <f>'P NP MINAPADI IKAN'!AE17</f>
        <v>0</v>
      </c>
      <c r="W20" s="322">
        <f>'P NP MINAPADI IKAN'!AF17</f>
        <v>0</v>
      </c>
      <c r="X20" s="322">
        <f>'P NP MINAPADI IKAN'!AE18</f>
        <v>0</v>
      </c>
      <c r="Y20" s="322">
        <f>'P NP MINAPADI IKAN'!AF18</f>
        <v>0</v>
      </c>
      <c r="Z20" s="322">
        <f>'P NP MINAPADI IKAN'!AE19</f>
        <v>0</v>
      </c>
      <c r="AA20" s="322">
        <f>'P NP MINAPADI IKAN'!AF19</f>
        <v>0</v>
      </c>
      <c r="AB20" s="322">
        <f>'P NP MINAPADI IKAN'!AE20</f>
        <v>0</v>
      </c>
      <c r="AC20" s="322">
        <f>'P NP MINAPADI IKAN'!AF20</f>
        <v>0</v>
      </c>
      <c r="AD20" s="322">
        <f>'P NP MINAPADI IKAN'!AE21</f>
        <v>0</v>
      </c>
      <c r="AE20" s="322">
        <f>'P NP MINAPADI IKAN'!AF21</f>
        <v>0</v>
      </c>
      <c r="AF20" s="322">
        <f>'P NP MINAPADI IKAN'!AE22</f>
        <v>0</v>
      </c>
      <c r="AG20" s="322">
        <f>'P NP MINAPADI IKAN'!AF22</f>
        <v>0</v>
      </c>
      <c r="AH20" s="322">
        <f>'P NP MINAPADI IKAN'!AE23</f>
        <v>0</v>
      </c>
      <c r="AI20" s="322">
        <f>'P NP MINAPADI IKAN'!AF23</f>
        <v>0</v>
      </c>
      <c r="AJ20" s="322">
        <f>'P NP MINAPADI IKAN'!AE24</f>
        <v>0</v>
      </c>
      <c r="AK20" s="322">
        <f>'P NP MINAPADI IKAN'!AF24</f>
        <v>0</v>
      </c>
      <c r="AL20" s="322">
        <f>'P NP MINAPADI IKAN'!AE25</f>
        <v>0</v>
      </c>
      <c r="AM20" s="322">
        <f>'P NP MINAPADI IKAN'!AF25</f>
        <v>0</v>
      </c>
      <c r="AN20" s="322">
        <f>'P NP MINAPADI IKAN'!AE26</f>
        <v>0</v>
      </c>
      <c r="AO20" s="322">
        <f>'P NP MINAPADI IKAN'!AF26</f>
        <v>0</v>
      </c>
      <c r="AP20" s="322">
        <f>'P NP MINAPADI IKAN'!AE27</f>
        <v>0</v>
      </c>
      <c r="AQ20" s="322">
        <f>'P NP MINAPADI IKAN'!AF27</f>
        <v>0</v>
      </c>
      <c r="AR20" s="322">
        <f>'P NP MINAPADI IKAN'!AE28</f>
        <v>0</v>
      </c>
      <c r="AS20" s="322">
        <f>'P NP MINAPADI IKAN'!AF28</f>
        <v>0</v>
      </c>
      <c r="AT20" s="322">
        <f>'P NP MINAPADI IKAN'!AE29</f>
        <v>0</v>
      </c>
      <c r="AU20" s="322">
        <f>'P NP MINAPADI IKAN'!AF29</f>
        <v>0</v>
      </c>
      <c r="AV20" s="322">
        <f>'P NP MINAPADI IKAN'!AE30</f>
        <v>0</v>
      </c>
      <c r="AW20" s="322">
        <f>'P NP MINAPADI IKAN'!AF30</f>
        <v>0</v>
      </c>
      <c r="AX20" s="322">
        <f>'P NP MINAPADI IKAN'!AE31</f>
        <v>0</v>
      </c>
      <c r="AY20" s="322">
        <f>'P NP MINAPADI IKAN'!AF31</f>
        <v>0</v>
      </c>
      <c r="AZ20" s="322">
        <f>'P NP MINAPADI IKAN'!AE32</f>
        <v>0</v>
      </c>
      <c r="BA20" s="322">
        <f>'P NP MINAPADI IKAN'!AF32</f>
        <v>0</v>
      </c>
      <c r="BB20" s="322">
        <f>'P NP MINAPADI IKAN'!AE33</f>
        <v>0</v>
      </c>
      <c r="BC20" s="322">
        <f>'P NP MINAPADI IKAN'!AF33</f>
        <v>0</v>
      </c>
      <c r="BD20" s="322">
        <f>'P NP MINAPADI IKAN'!AE34</f>
        <v>0</v>
      </c>
      <c r="BE20" s="322">
        <f>'P NP MINAPADI IKAN'!AF34</f>
        <v>0</v>
      </c>
      <c r="BF20" s="322">
        <f>'P NP MINAPADI IKAN'!AE35</f>
        <v>0</v>
      </c>
      <c r="BG20" s="322">
        <f>'P NP MINAPADI IKAN'!AF35</f>
        <v>0</v>
      </c>
      <c r="BH20" s="322">
        <f>'P NP MINAPADI IKAN'!AE36</f>
        <v>0</v>
      </c>
      <c r="BI20" s="322">
        <f>'P NP MINAPADI IKAN'!AF36</f>
        <v>0</v>
      </c>
      <c r="BJ20" s="322">
        <f>'P NP MINAPADI IKAN'!AE37</f>
        <v>0</v>
      </c>
      <c r="BK20" s="322">
        <f>'P NP MINAPADI IKAN'!AF37</f>
        <v>0</v>
      </c>
      <c r="BL20" s="322">
        <f>'P NP MINAPADI IKAN'!AE38</f>
        <v>0</v>
      </c>
      <c r="BM20" s="322">
        <f>'P NP MINAPADI IKAN'!AF38</f>
        <v>0</v>
      </c>
      <c r="BN20" s="322">
        <f>'P NP MINAPADI IKAN'!AE39</f>
        <v>0</v>
      </c>
      <c r="BO20" s="322">
        <f>'P NP MINAPADI IKAN'!AF39</f>
        <v>0</v>
      </c>
      <c r="BP20" s="322">
        <f>'P NP MINAPADI IKAN'!AE40</f>
        <v>0</v>
      </c>
      <c r="BQ20" s="322">
        <f>'P NP MINAPADI IKAN'!AF40</f>
        <v>0</v>
      </c>
      <c r="BR20" s="322">
        <f>'P NP MINAPADI IKAN'!AE41</f>
        <v>0</v>
      </c>
      <c r="BS20" s="322">
        <f>'P NP MINAPADI IKAN'!AF41</f>
        <v>0</v>
      </c>
      <c r="BT20" s="322">
        <f>'P NP MINAPADI IKAN'!AE42</f>
        <v>0</v>
      </c>
      <c r="BU20" s="322">
        <f>'P NP MINAPADI IKAN'!AF42</f>
        <v>0</v>
      </c>
      <c r="BV20" s="322">
        <f>'P NP MINAPADI IKAN'!AE43</f>
        <v>0</v>
      </c>
      <c r="BW20" s="322">
        <f>'P NP MINAPADI IKAN'!AF43</f>
        <v>0</v>
      </c>
      <c r="BX20" s="322">
        <f>'P NP MINAPADI IKAN'!AE44</f>
        <v>0</v>
      </c>
      <c r="BY20" s="322">
        <f>'P NP MINAPADI IKAN'!AF44</f>
        <v>0</v>
      </c>
    </row>
    <row r="21" spans="1:77">
      <c r="A21" s="260" t="s">
        <v>129</v>
      </c>
      <c r="B21" s="320">
        <f t="shared" si="2"/>
        <v>0</v>
      </c>
      <c r="C21" s="320">
        <f t="shared" si="3"/>
        <v>0</v>
      </c>
      <c r="D21" s="322">
        <f>'P NP MINAPADI IKAN'!AG8</f>
        <v>0</v>
      </c>
      <c r="E21" s="322">
        <f>'P NP MINAPADI IKAN'!AH8</f>
        <v>0</v>
      </c>
      <c r="F21" s="322">
        <f>'P NP MINAPADI IKAN'!AG9</f>
        <v>0</v>
      </c>
      <c r="G21" s="322">
        <f>'P NP MINAPADI IKAN'!AH9</f>
        <v>0</v>
      </c>
      <c r="H21" s="322">
        <f>'P NP MINAPADI IKAN'!AG10</f>
        <v>0</v>
      </c>
      <c r="I21" s="322">
        <f>'P NP MINAPADI IKAN'!AH10</f>
        <v>0</v>
      </c>
      <c r="J21" s="322">
        <f>'P NP MINAPADI IKAN'!AG11</f>
        <v>0</v>
      </c>
      <c r="K21" s="322">
        <f>'P NP MINAPADI IKAN'!AH11</f>
        <v>0</v>
      </c>
      <c r="L21" s="322">
        <f>'P NP MINAPADI IKAN'!AG12</f>
        <v>0</v>
      </c>
      <c r="M21" s="322">
        <f>'P NP MINAPADI IKAN'!AH12</f>
        <v>0</v>
      </c>
      <c r="N21" s="322">
        <f>'P NP MINAPADI IKAN'!AG13</f>
        <v>0</v>
      </c>
      <c r="O21" s="322">
        <f>'P NP MINAPADI IKAN'!AH13</f>
        <v>0</v>
      </c>
      <c r="P21" s="322">
        <f>'P NP MINAPADI IKAN'!AG14</f>
        <v>0</v>
      </c>
      <c r="Q21" s="322">
        <f>'P NP MINAPADI IKAN'!AH14</f>
        <v>0</v>
      </c>
      <c r="R21" s="322">
        <f>'P NP MINAPADI IKAN'!AG15</f>
        <v>0</v>
      </c>
      <c r="S21" s="322">
        <f>'P NP MINAPADI IKAN'!AH15</f>
        <v>0</v>
      </c>
      <c r="T21" s="322">
        <f>'P NP MINAPADI IKAN'!AG16</f>
        <v>0</v>
      </c>
      <c r="U21" s="322">
        <f>'P NP MINAPADI IKAN'!AH16</f>
        <v>0</v>
      </c>
      <c r="V21" s="322">
        <f>'P NP MINAPADI IKAN'!AG17</f>
        <v>0</v>
      </c>
      <c r="W21" s="322">
        <f>'P NP MINAPADI IKAN'!AH17</f>
        <v>0</v>
      </c>
      <c r="X21" s="322">
        <f>'P NP MINAPADI IKAN'!AG18</f>
        <v>0</v>
      </c>
      <c r="Y21" s="322">
        <f>'P NP MINAPADI IKAN'!AH18</f>
        <v>0</v>
      </c>
      <c r="Z21" s="322">
        <f>'P NP MINAPADI IKAN'!AG19</f>
        <v>0</v>
      </c>
      <c r="AA21" s="322">
        <f>'P NP MINAPADI IKAN'!AH19</f>
        <v>0</v>
      </c>
      <c r="AB21" s="322">
        <f>'P NP MINAPADI IKAN'!AG20</f>
        <v>0</v>
      </c>
      <c r="AC21" s="322">
        <f>'P NP MINAPADI IKAN'!AH20</f>
        <v>0</v>
      </c>
      <c r="AD21" s="322">
        <f>'P NP MINAPADI IKAN'!AG21</f>
        <v>0</v>
      </c>
      <c r="AE21" s="322">
        <f>'P NP MINAPADI IKAN'!AH21</f>
        <v>0</v>
      </c>
      <c r="AF21" s="322">
        <f>'P NP MINAPADI IKAN'!AG22</f>
        <v>0</v>
      </c>
      <c r="AG21" s="322">
        <f>'P NP MINAPADI IKAN'!AH22</f>
        <v>0</v>
      </c>
      <c r="AH21" s="322">
        <f>'P NP MINAPADI IKAN'!AG23</f>
        <v>0</v>
      </c>
      <c r="AI21" s="322">
        <f>'P NP MINAPADI IKAN'!AH23</f>
        <v>0</v>
      </c>
      <c r="AJ21" s="322">
        <f>'P NP MINAPADI IKAN'!AG24</f>
        <v>0</v>
      </c>
      <c r="AK21" s="322">
        <f>'P NP MINAPADI IKAN'!AH24</f>
        <v>0</v>
      </c>
      <c r="AL21" s="322">
        <f>'P NP MINAPADI IKAN'!AG25</f>
        <v>0</v>
      </c>
      <c r="AM21" s="322">
        <f>'P NP MINAPADI IKAN'!AH25</f>
        <v>0</v>
      </c>
      <c r="AN21" s="322">
        <f>'P NP MINAPADI IKAN'!AG26</f>
        <v>0</v>
      </c>
      <c r="AO21" s="322">
        <f>'P NP MINAPADI IKAN'!AH26</f>
        <v>0</v>
      </c>
      <c r="AP21" s="322">
        <f>'P NP MINAPADI IKAN'!AG27</f>
        <v>0</v>
      </c>
      <c r="AQ21" s="322">
        <f>'P NP MINAPADI IKAN'!AH27</f>
        <v>0</v>
      </c>
      <c r="AR21" s="322">
        <f>'P NP MINAPADI IKAN'!AG28</f>
        <v>0</v>
      </c>
      <c r="AS21" s="322">
        <f>'P NP MINAPADI IKAN'!AH28</f>
        <v>0</v>
      </c>
      <c r="AT21" s="322">
        <f>'P NP MINAPADI IKAN'!AG29</f>
        <v>0</v>
      </c>
      <c r="AU21" s="322">
        <f>'P NP MINAPADI IKAN'!AH29</f>
        <v>0</v>
      </c>
      <c r="AV21" s="322">
        <f>'P NP MINAPADI IKAN'!AG30</f>
        <v>0</v>
      </c>
      <c r="AW21" s="322">
        <f>'P NP MINAPADI IKAN'!AH30</f>
        <v>0</v>
      </c>
      <c r="AX21" s="322">
        <f>'P NP MINAPADI IKAN'!AG31</f>
        <v>0</v>
      </c>
      <c r="AY21" s="322">
        <f>'P NP MINAPADI IKAN'!AH31</f>
        <v>0</v>
      </c>
      <c r="AZ21" s="322">
        <f>'P NP MINAPADI IKAN'!AG32</f>
        <v>0</v>
      </c>
      <c r="BA21" s="322">
        <f>'P NP MINAPADI IKAN'!AH32</f>
        <v>0</v>
      </c>
      <c r="BB21" s="322">
        <f>'P NP MINAPADI IKAN'!AG33</f>
        <v>0</v>
      </c>
      <c r="BC21" s="322">
        <f>'P NP MINAPADI IKAN'!AH33</f>
        <v>0</v>
      </c>
      <c r="BD21" s="322">
        <f>'P NP MINAPADI IKAN'!AG34</f>
        <v>0</v>
      </c>
      <c r="BE21" s="322">
        <f>'P NP MINAPADI IKAN'!AH34</f>
        <v>0</v>
      </c>
      <c r="BF21" s="322">
        <f>'P NP MINAPADI IKAN'!AG35</f>
        <v>0</v>
      </c>
      <c r="BG21" s="322">
        <f>'P NP MINAPADI IKAN'!AH35</f>
        <v>0</v>
      </c>
      <c r="BH21" s="322">
        <f>'P NP MINAPADI IKAN'!AG36</f>
        <v>0</v>
      </c>
      <c r="BI21" s="322">
        <f>'P NP MINAPADI IKAN'!AH36</f>
        <v>0</v>
      </c>
      <c r="BJ21" s="322">
        <f>'P NP MINAPADI IKAN'!AG37</f>
        <v>0</v>
      </c>
      <c r="BK21" s="322">
        <f>'P NP MINAPADI IKAN'!AH37</f>
        <v>0</v>
      </c>
      <c r="BL21" s="322">
        <f>'P NP MINAPADI IKAN'!AG38</f>
        <v>0</v>
      </c>
      <c r="BM21" s="322">
        <f>'P NP MINAPADI IKAN'!AH38</f>
        <v>0</v>
      </c>
      <c r="BN21" s="322">
        <f>'P NP MINAPADI IKAN'!AG39</f>
        <v>0</v>
      </c>
      <c r="BO21" s="322">
        <f>'P NP MINAPADI IKAN'!AH39</f>
        <v>0</v>
      </c>
      <c r="BP21" s="322">
        <f>'P NP MINAPADI IKAN'!AG40</f>
        <v>0</v>
      </c>
      <c r="BQ21" s="322">
        <f>'P NP MINAPADI IKAN'!AH40</f>
        <v>0</v>
      </c>
      <c r="BR21" s="322">
        <f>'P NP MINAPADI IKAN'!AG41</f>
        <v>0</v>
      </c>
      <c r="BS21" s="322">
        <f>'P NP MINAPADI IKAN'!AH41</f>
        <v>0</v>
      </c>
      <c r="BT21" s="322">
        <f>'P NP MINAPADI IKAN'!AG42</f>
        <v>0</v>
      </c>
      <c r="BU21" s="322">
        <f>'P NP MINAPADI IKAN'!AH42</f>
        <v>0</v>
      </c>
      <c r="BV21" s="322">
        <f>'P NP MINAPADI IKAN'!AG43</f>
        <v>0</v>
      </c>
      <c r="BW21" s="322">
        <f>'P NP MINAPADI IKAN'!AH43</f>
        <v>0</v>
      </c>
      <c r="BX21" s="322">
        <f>'P NP MINAPADI IKAN'!AG44</f>
        <v>0</v>
      </c>
      <c r="BY21" s="322">
        <f>'P NP MINAPADI IKAN'!AH44</f>
        <v>0</v>
      </c>
    </row>
    <row r="22" spans="1:77">
      <c r="A22" s="260" t="s">
        <v>132</v>
      </c>
      <c r="B22" s="320">
        <f t="shared" si="2"/>
        <v>0</v>
      </c>
      <c r="C22" s="320">
        <f t="shared" si="3"/>
        <v>0</v>
      </c>
      <c r="D22" s="322">
        <f>'P NP MINAPADI IKAN'!AI8</f>
        <v>0</v>
      </c>
      <c r="E22" s="322">
        <f>'P NP MINAPADI IKAN'!AJ8</f>
        <v>0</v>
      </c>
      <c r="F22" s="322">
        <f>'P NP MINAPADI IKAN'!AI9</f>
        <v>0</v>
      </c>
      <c r="G22" s="322">
        <f>'P NP MINAPADI IKAN'!AJ9</f>
        <v>0</v>
      </c>
      <c r="H22" s="322">
        <f>'P NP MINAPADI IKAN'!AI10</f>
        <v>0</v>
      </c>
      <c r="I22" s="322">
        <f>'P NP MINAPADI IKAN'!AJ10</f>
        <v>0</v>
      </c>
      <c r="J22" s="322">
        <f>'P NP MINAPADI IKAN'!AI11</f>
        <v>0</v>
      </c>
      <c r="K22" s="322">
        <f>'P NP MINAPADI IKAN'!AJ11</f>
        <v>0</v>
      </c>
      <c r="L22" s="322">
        <f>'P NP MINAPADI IKAN'!AI12</f>
        <v>0</v>
      </c>
      <c r="M22" s="322">
        <f>'P NP MINAPADI IKAN'!AJ12</f>
        <v>0</v>
      </c>
      <c r="N22" s="322">
        <f>'P NP MINAPADI IKAN'!AI13</f>
        <v>0</v>
      </c>
      <c r="O22" s="322">
        <f>'P NP MINAPADI IKAN'!AJ13</f>
        <v>0</v>
      </c>
      <c r="P22" s="322">
        <f>'P NP MINAPADI IKAN'!AI14</f>
        <v>0</v>
      </c>
      <c r="Q22" s="322">
        <f>'P NP MINAPADI IKAN'!AJ14</f>
        <v>0</v>
      </c>
      <c r="R22" s="322">
        <f>'P NP MINAPADI IKAN'!AI15</f>
        <v>0</v>
      </c>
      <c r="S22" s="322">
        <f>'P NP MINAPADI IKAN'!AJ15</f>
        <v>0</v>
      </c>
      <c r="T22" s="322">
        <f>'P NP MINAPADI IKAN'!AI16</f>
        <v>0</v>
      </c>
      <c r="U22" s="322">
        <f>'P NP MINAPADI IKAN'!AJ16</f>
        <v>0</v>
      </c>
      <c r="V22" s="322">
        <f>'P NP MINAPADI IKAN'!AI17</f>
        <v>0</v>
      </c>
      <c r="W22" s="322">
        <f>'P NP MINAPADI IKAN'!AJ17</f>
        <v>0</v>
      </c>
      <c r="X22" s="322">
        <f>'P NP MINAPADI IKAN'!AI18</f>
        <v>0</v>
      </c>
      <c r="Y22" s="322">
        <f>'P NP MINAPADI IKAN'!AJ18</f>
        <v>0</v>
      </c>
      <c r="Z22" s="322">
        <f>'P NP MINAPADI IKAN'!AI19</f>
        <v>0</v>
      </c>
      <c r="AA22" s="322">
        <f>'P NP MINAPADI IKAN'!AJ19</f>
        <v>0</v>
      </c>
      <c r="AB22" s="322">
        <f>'P NP MINAPADI IKAN'!AI20</f>
        <v>0</v>
      </c>
      <c r="AC22" s="322">
        <f>'P NP MINAPADI IKAN'!AJ20</f>
        <v>0</v>
      </c>
      <c r="AD22" s="322">
        <f>'P NP MINAPADI IKAN'!AI21</f>
        <v>0</v>
      </c>
      <c r="AE22" s="322">
        <f>'P NP MINAPADI IKAN'!AJ21</f>
        <v>0</v>
      </c>
      <c r="AF22" s="322">
        <f>'P NP MINAPADI IKAN'!AI22</f>
        <v>0</v>
      </c>
      <c r="AG22" s="322">
        <f>'P NP MINAPADI IKAN'!AJ22</f>
        <v>0</v>
      </c>
      <c r="AH22" s="322">
        <f>'P NP MINAPADI IKAN'!AI23</f>
        <v>0</v>
      </c>
      <c r="AI22" s="322">
        <f>'P NP MINAPADI IKAN'!AJ23</f>
        <v>0</v>
      </c>
      <c r="AJ22" s="322">
        <f>'P NP MINAPADI IKAN'!AI24</f>
        <v>0</v>
      </c>
      <c r="AK22" s="322">
        <f>'P NP MINAPADI IKAN'!AJ24</f>
        <v>0</v>
      </c>
      <c r="AL22" s="322">
        <f>'P NP MINAPADI IKAN'!AI25</f>
        <v>0</v>
      </c>
      <c r="AM22" s="322">
        <f>'P NP MINAPADI IKAN'!AJ25</f>
        <v>0</v>
      </c>
      <c r="AN22" s="322">
        <f>'P NP MINAPADI IKAN'!AI26</f>
        <v>0</v>
      </c>
      <c r="AO22" s="322">
        <f>'P NP MINAPADI IKAN'!AJ26</f>
        <v>0</v>
      </c>
      <c r="AP22" s="322">
        <f>'P NP MINAPADI IKAN'!AI27</f>
        <v>0</v>
      </c>
      <c r="AQ22" s="322">
        <f>'P NP MINAPADI IKAN'!AJ27</f>
        <v>0</v>
      </c>
      <c r="AR22" s="322">
        <f>'P NP MINAPADI IKAN'!AI28</f>
        <v>0</v>
      </c>
      <c r="AS22" s="322">
        <f>'P NP MINAPADI IKAN'!AJ28</f>
        <v>0</v>
      </c>
      <c r="AT22" s="322">
        <f>'P NP MINAPADI IKAN'!AI29</f>
        <v>0</v>
      </c>
      <c r="AU22" s="322">
        <f>'P NP MINAPADI IKAN'!AJ29</f>
        <v>0</v>
      </c>
      <c r="AV22" s="322">
        <f>'P NP MINAPADI IKAN'!AI30</f>
        <v>0</v>
      </c>
      <c r="AW22" s="322">
        <f>'P NP MINAPADI IKAN'!AJ30</f>
        <v>0</v>
      </c>
      <c r="AX22" s="322">
        <f>'P NP MINAPADI IKAN'!AI31</f>
        <v>0</v>
      </c>
      <c r="AY22" s="322">
        <f>'P NP MINAPADI IKAN'!AJ31</f>
        <v>0</v>
      </c>
      <c r="AZ22" s="322">
        <f>'P NP MINAPADI IKAN'!AI32</f>
        <v>0</v>
      </c>
      <c r="BA22" s="322">
        <f>'P NP MINAPADI IKAN'!AJ32</f>
        <v>0</v>
      </c>
      <c r="BB22" s="322">
        <f>'P NP MINAPADI IKAN'!AI33</f>
        <v>0</v>
      </c>
      <c r="BC22" s="322">
        <f>'P NP MINAPADI IKAN'!AJ33</f>
        <v>0</v>
      </c>
      <c r="BD22" s="322">
        <f>'P NP MINAPADI IKAN'!AI34</f>
        <v>0</v>
      </c>
      <c r="BE22" s="322">
        <f>'P NP MINAPADI IKAN'!AJ34</f>
        <v>0</v>
      </c>
      <c r="BF22" s="322">
        <f>'P NP MINAPADI IKAN'!AI35</f>
        <v>0</v>
      </c>
      <c r="BG22" s="322">
        <f>'P NP MINAPADI IKAN'!AJ35</f>
        <v>0</v>
      </c>
      <c r="BH22" s="322">
        <f>'P NP MINAPADI IKAN'!AI36</f>
        <v>0</v>
      </c>
      <c r="BI22" s="322">
        <f>'P NP MINAPADI IKAN'!AJ36</f>
        <v>0</v>
      </c>
      <c r="BJ22" s="322">
        <f>'P NP MINAPADI IKAN'!AI37</f>
        <v>0</v>
      </c>
      <c r="BK22" s="322">
        <f>'P NP MINAPADI IKAN'!AJ37</f>
        <v>0</v>
      </c>
      <c r="BL22" s="322">
        <f>'P NP MINAPADI IKAN'!AI38</f>
        <v>0</v>
      </c>
      <c r="BM22" s="322">
        <f>'P NP MINAPADI IKAN'!AJ38</f>
        <v>0</v>
      </c>
      <c r="BN22" s="322">
        <f>'P NP MINAPADI IKAN'!AI39</f>
        <v>0</v>
      </c>
      <c r="BO22" s="322">
        <f>'P NP MINAPADI IKAN'!AJ39</f>
        <v>0</v>
      </c>
      <c r="BP22" s="322">
        <f>'P NP MINAPADI IKAN'!AI40</f>
        <v>0</v>
      </c>
      <c r="BQ22" s="322">
        <f>'P NP MINAPADI IKAN'!AJ40</f>
        <v>0</v>
      </c>
      <c r="BR22" s="322">
        <f>'P NP MINAPADI IKAN'!AI41</f>
        <v>0</v>
      </c>
      <c r="BS22" s="322">
        <f>'P NP MINAPADI IKAN'!AJ41</f>
        <v>0</v>
      </c>
      <c r="BT22" s="322">
        <f>'P NP MINAPADI IKAN'!AI42</f>
        <v>0</v>
      </c>
      <c r="BU22" s="322">
        <f>'P NP MINAPADI IKAN'!AJ42</f>
        <v>0</v>
      </c>
      <c r="BV22" s="322">
        <f>'P NP MINAPADI IKAN'!AI43</f>
        <v>0</v>
      </c>
      <c r="BW22" s="322">
        <f>'P NP MINAPADI IKAN'!AJ43</f>
        <v>0</v>
      </c>
      <c r="BX22" s="322">
        <f>'P NP MINAPADI IKAN'!AI44</f>
        <v>0</v>
      </c>
      <c r="BY22" s="322">
        <f>'P NP MINAPADI IKAN'!AJ44</f>
        <v>0</v>
      </c>
    </row>
    <row r="23" spans="1:77">
      <c r="A23" s="260" t="s">
        <v>112</v>
      </c>
      <c r="B23" s="320">
        <f t="shared" si="2"/>
        <v>0</v>
      </c>
      <c r="C23" s="320">
        <f t="shared" si="3"/>
        <v>0</v>
      </c>
      <c r="D23" s="322">
        <f>'P NP MINAPADI IKAN'!AK8</f>
        <v>0</v>
      </c>
      <c r="E23" s="322">
        <f>'P NP MINAPADI IKAN'!AL8</f>
        <v>0</v>
      </c>
      <c r="F23" s="322">
        <f>'P NP MINAPADI IKAN'!AK9</f>
        <v>0</v>
      </c>
      <c r="G23" s="322">
        <f>'P NP MINAPADI IKAN'!AL9</f>
        <v>0</v>
      </c>
      <c r="H23" s="322">
        <f>'P NP MINAPADI IKAN'!AK10</f>
        <v>0</v>
      </c>
      <c r="I23" s="322">
        <f>'P NP MINAPADI IKAN'!AL10</f>
        <v>0</v>
      </c>
      <c r="J23" s="322">
        <f>'P NP MINAPADI IKAN'!AK11</f>
        <v>0</v>
      </c>
      <c r="K23" s="322">
        <f>'P NP MINAPADI IKAN'!AL11</f>
        <v>0</v>
      </c>
      <c r="L23" s="322">
        <f>'P NP MINAPADI IKAN'!AK12</f>
        <v>0</v>
      </c>
      <c r="M23" s="322">
        <f>'P NP MINAPADI IKAN'!AL12</f>
        <v>0</v>
      </c>
      <c r="N23" s="322">
        <f>'P NP MINAPADI IKAN'!AK13</f>
        <v>0</v>
      </c>
      <c r="O23" s="322">
        <f>'P NP MINAPADI IKAN'!AL13</f>
        <v>0</v>
      </c>
      <c r="P23" s="322">
        <f>'P NP MINAPADI IKAN'!AK14</f>
        <v>0</v>
      </c>
      <c r="Q23" s="322">
        <f>'P NP MINAPADI IKAN'!AL14</f>
        <v>0</v>
      </c>
      <c r="R23" s="322">
        <f>'P NP MINAPADI IKAN'!AK15</f>
        <v>0</v>
      </c>
      <c r="S23" s="322">
        <f>'P NP MINAPADI IKAN'!AL15</f>
        <v>0</v>
      </c>
      <c r="T23" s="322">
        <f>'P NP MINAPADI IKAN'!AK16</f>
        <v>0</v>
      </c>
      <c r="U23" s="322">
        <f>'P NP MINAPADI IKAN'!AL16</f>
        <v>0</v>
      </c>
      <c r="V23" s="322">
        <f>'P NP MINAPADI IKAN'!AK17</f>
        <v>0</v>
      </c>
      <c r="W23" s="322">
        <f>'P NP MINAPADI IKAN'!AL17</f>
        <v>0</v>
      </c>
      <c r="X23" s="322">
        <f>'P NP MINAPADI IKAN'!AK18</f>
        <v>0</v>
      </c>
      <c r="Y23" s="322">
        <f>'P NP MINAPADI IKAN'!AL18</f>
        <v>0</v>
      </c>
      <c r="Z23" s="322">
        <f>'P NP MINAPADI IKAN'!AK19</f>
        <v>0</v>
      </c>
      <c r="AA23" s="322">
        <f>'P NP MINAPADI IKAN'!AL19</f>
        <v>0</v>
      </c>
      <c r="AB23" s="322">
        <f>'P NP MINAPADI IKAN'!AK20</f>
        <v>0</v>
      </c>
      <c r="AC23" s="322">
        <f>'P NP MINAPADI IKAN'!AL20</f>
        <v>0</v>
      </c>
      <c r="AD23" s="322">
        <f>'P NP MINAPADI IKAN'!AK21</f>
        <v>0</v>
      </c>
      <c r="AE23" s="322">
        <f>'P NP MINAPADI IKAN'!AL21</f>
        <v>0</v>
      </c>
      <c r="AF23" s="322">
        <f>'P NP MINAPADI IKAN'!AK22</f>
        <v>0</v>
      </c>
      <c r="AG23" s="322">
        <f>'P NP MINAPADI IKAN'!AL22</f>
        <v>0</v>
      </c>
      <c r="AH23" s="322">
        <f>'P NP MINAPADI IKAN'!AK23</f>
        <v>0</v>
      </c>
      <c r="AI23" s="322">
        <f>'P NP MINAPADI IKAN'!AL23</f>
        <v>0</v>
      </c>
      <c r="AJ23" s="322">
        <f>'P NP MINAPADI IKAN'!AK24</f>
        <v>0</v>
      </c>
      <c r="AK23" s="322">
        <f>'P NP MINAPADI IKAN'!AL24</f>
        <v>0</v>
      </c>
      <c r="AL23" s="322">
        <f>'P NP MINAPADI IKAN'!AK25</f>
        <v>0</v>
      </c>
      <c r="AM23" s="322">
        <f>'P NP MINAPADI IKAN'!AL25</f>
        <v>0</v>
      </c>
      <c r="AN23" s="322">
        <f>'P NP MINAPADI IKAN'!AK26</f>
        <v>0</v>
      </c>
      <c r="AO23" s="322">
        <f>'P NP MINAPADI IKAN'!AL26</f>
        <v>0</v>
      </c>
      <c r="AP23" s="322">
        <f>'P NP MINAPADI IKAN'!AK27</f>
        <v>0</v>
      </c>
      <c r="AQ23" s="322">
        <f>'P NP MINAPADI IKAN'!AL27</f>
        <v>0</v>
      </c>
      <c r="AR23" s="322">
        <f>'P NP MINAPADI IKAN'!AK28</f>
        <v>0</v>
      </c>
      <c r="AS23" s="322">
        <f>'P NP MINAPADI IKAN'!AL28</f>
        <v>0</v>
      </c>
      <c r="AT23" s="322">
        <f>'P NP MINAPADI IKAN'!AK29</f>
        <v>0</v>
      </c>
      <c r="AU23" s="322">
        <f>'P NP MINAPADI IKAN'!AL29</f>
        <v>0</v>
      </c>
      <c r="AV23" s="322">
        <f>'P NP MINAPADI IKAN'!AK30</f>
        <v>0</v>
      </c>
      <c r="AW23" s="322">
        <f>'P NP MINAPADI IKAN'!AL30</f>
        <v>0</v>
      </c>
      <c r="AX23" s="322">
        <f>'P NP MINAPADI IKAN'!AK31</f>
        <v>0</v>
      </c>
      <c r="AY23" s="322">
        <f>'P NP MINAPADI IKAN'!AL31</f>
        <v>0</v>
      </c>
      <c r="AZ23" s="322">
        <f>'P NP MINAPADI IKAN'!AK32</f>
        <v>0</v>
      </c>
      <c r="BA23" s="322">
        <f>'P NP MINAPADI IKAN'!AL32</f>
        <v>0</v>
      </c>
      <c r="BB23" s="322">
        <f>'P NP MINAPADI IKAN'!AK33</f>
        <v>0</v>
      </c>
      <c r="BC23" s="322">
        <f>'P NP MINAPADI IKAN'!AL33</f>
        <v>0</v>
      </c>
      <c r="BD23" s="322">
        <f>'P NP MINAPADI IKAN'!AK34</f>
        <v>0</v>
      </c>
      <c r="BE23" s="322">
        <f>'P NP MINAPADI IKAN'!AL34</f>
        <v>0</v>
      </c>
      <c r="BF23" s="322">
        <f>'P NP MINAPADI IKAN'!AK35</f>
        <v>0</v>
      </c>
      <c r="BG23" s="322">
        <f>'P NP MINAPADI IKAN'!AL35</f>
        <v>0</v>
      </c>
      <c r="BH23" s="322">
        <f>'P NP MINAPADI IKAN'!AK36</f>
        <v>0</v>
      </c>
      <c r="BI23" s="322">
        <f>'P NP MINAPADI IKAN'!AL36</f>
        <v>0</v>
      </c>
      <c r="BJ23" s="322">
        <f>'P NP MINAPADI IKAN'!AK37</f>
        <v>0</v>
      </c>
      <c r="BK23" s="322">
        <f>'P NP MINAPADI IKAN'!AL37</f>
        <v>0</v>
      </c>
      <c r="BL23" s="322">
        <f>'P NP MINAPADI IKAN'!AK38</f>
        <v>0</v>
      </c>
      <c r="BM23" s="322">
        <f>'P NP MINAPADI IKAN'!AL38</f>
        <v>0</v>
      </c>
      <c r="BN23" s="322">
        <f>'P NP MINAPADI IKAN'!AK39</f>
        <v>0</v>
      </c>
      <c r="BO23" s="322">
        <f>'P NP MINAPADI IKAN'!AL39</f>
        <v>0</v>
      </c>
      <c r="BP23" s="322">
        <f>'P NP MINAPADI IKAN'!AK40</f>
        <v>0</v>
      </c>
      <c r="BQ23" s="322">
        <f>'P NP MINAPADI IKAN'!AL40</f>
        <v>0</v>
      </c>
      <c r="BR23" s="322">
        <f>'P NP MINAPADI IKAN'!AK41</f>
        <v>0</v>
      </c>
      <c r="BS23" s="322">
        <f>'P NP MINAPADI IKAN'!AL41</f>
        <v>0</v>
      </c>
      <c r="BT23" s="322">
        <f>'P NP MINAPADI IKAN'!AK42</f>
        <v>0</v>
      </c>
      <c r="BU23" s="322">
        <f>'P NP MINAPADI IKAN'!AL42</f>
        <v>0</v>
      </c>
      <c r="BV23" s="322">
        <f>'P NP MINAPADI IKAN'!AK43</f>
        <v>0</v>
      </c>
      <c r="BW23" s="322">
        <f>'P NP MINAPADI IKAN'!AL43</f>
        <v>0</v>
      </c>
      <c r="BX23" s="322">
        <f>'P NP MINAPADI IKAN'!AK44</f>
        <v>0</v>
      </c>
      <c r="BY23" s="322">
        <f>'P NP MINAPADI IKAN'!AL44</f>
        <v>0</v>
      </c>
    </row>
    <row r="24" spans="1:77">
      <c r="A24" s="260" t="s">
        <v>139</v>
      </c>
      <c r="B24" s="320">
        <f t="shared" si="2"/>
        <v>0</v>
      </c>
      <c r="C24" s="320">
        <f t="shared" si="3"/>
        <v>0</v>
      </c>
      <c r="D24" s="322">
        <f>'P NP MINAPADI IKAN'!AM8</f>
        <v>0</v>
      </c>
      <c r="E24" s="322">
        <f>'P NP MINAPADI IKAN'!AN8</f>
        <v>0</v>
      </c>
      <c r="F24" s="322">
        <f>'P NP MINAPADI IKAN'!AM9</f>
        <v>0</v>
      </c>
      <c r="G24" s="322">
        <f>'P NP MINAPADI IKAN'!AN9</f>
        <v>0</v>
      </c>
      <c r="H24" s="322">
        <f>'P NP MINAPADI IKAN'!AM10</f>
        <v>0</v>
      </c>
      <c r="I24" s="322">
        <f>'P NP MINAPADI IKAN'!AN10</f>
        <v>0</v>
      </c>
      <c r="J24" s="322">
        <f>'P NP MINAPADI IKAN'!AM11</f>
        <v>0</v>
      </c>
      <c r="K24" s="322">
        <f>'P NP MINAPADI IKAN'!AN11</f>
        <v>0</v>
      </c>
      <c r="L24" s="322">
        <f>'P NP MINAPADI IKAN'!AM12</f>
        <v>0</v>
      </c>
      <c r="M24" s="322">
        <f>'P NP MINAPADI IKAN'!AN12</f>
        <v>0</v>
      </c>
      <c r="N24" s="322">
        <f>'P NP MINAPADI IKAN'!AM13</f>
        <v>0</v>
      </c>
      <c r="O24" s="322">
        <f>'P NP MINAPADI IKAN'!AN13</f>
        <v>0</v>
      </c>
      <c r="P24" s="322">
        <f>'P NP MINAPADI IKAN'!AM14</f>
        <v>0</v>
      </c>
      <c r="Q24" s="322">
        <f>'P NP MINAPADI IKAN'!AN14</f>
        <v>0</v>
      </c>
      <c r="R24" s="322">
        <f>'P NP MINAPADI IKAN'!AM15</f>
        <v>0</v>
      </c>
      <c r="S24" s="322">
        <f>'P NP MINAPADI IKAN'!AN15</f>
        <v>0</v>
      </c>
      <c r="T24" s="322">
        <f>'P NP MINAPADI IKAN'!AM16</f>
        <v>0</v>
      </c>
      <c r="U24" s="322">
        <f>'P NP MINAPADI IKAN'!AN16</f>
        <v>0</v>
      </c>
      <c r="V24" s="322">
        <f>'P NP MINAPADI IKAN'!AM17</f>
        <v>0</v>
      </c>
      <c r="W24" s="322">
        <f>'P NP MINAPADI IKAN'!AN17</f>
        <v>0</v>
      </c>
      <c r="X24" s="322">
        <f>'P NP MINAPADI IKAN'!AM18</f>
        <v>0</v>
      </c>
      <c r="Y24" s="322">
        <f>'P NP MINAPADI IKAN'!AN18</f>
        <v>0</v>
      </c>
      <c r="Z24" s="322">
        <f>'P NP MINAPADI IKAN'!AM19</f>
        <v>0</v>
      </c>
      <c r="AA24" s="322">
        <f>'P NP MINAPADI IKAN'!AN19</f>
        <v>0</v>
      </c>
      <c r="AB24" s="322">
        <f>'P NP MINAPADI IKAN'!AM20</f>
        <v>0</v>
      </c>
      <c r="AC24" s="322">
        <f>'P NP MINAPADI IKAN'!AN20</f>
        <v>0</v>
      </c>
      <c r="AD24" s="322">
        <f>'P NP MINAPADI IKAN'!AM21</f>
        <v>0</v>
      </c>
      <c r="AE24" s="322">
        <f>'P NP MINAPADI IKAN'!AN21</f>
        <v>0</v>
      </c>
      <c r="AF24" s="322">
        <f>'P NP MINAPADI IKAN'!AM22</f>
        <v>0</v>
      </c>
      <c r="AG24" s="322">
        <f>'P NP MINAPADI IKAN'!AN22</f>
        <v>0</v>
      </c>
      <c r="AH24" s="322">
        <f>'P NP MINAPADI IKAN'!AM23</f>
        <v>0</v>
      </c>
      <c r="AI24" s="322">
        <f>'P NP MINAPADI IKAN'!AN23</f>
        <v>0</v>
      </c>
      <c r="AJ24" s="322">
        <f>'P NP MINAPADI IKAN'!AM24</f>
        <v>0</v>
      </c>
      <c r="AK24" s="322">
        <f>'P NP MINAPADI IKAN'!AN24</f>
        <v>0</v>
      </c>
      <c r="AL24" s="322">
        <f>'P NP MINAPADI IKAN'!AM25</f>
        <v>0</v>
      </c>
      <c r="AM24" s="322">
        <f>'P NP MINAPADI IKAN'!AN25</f>
        <v>0</v>
      </c>
      <c r="AN24" s="322">
        <f>'P NP MINAPADI IKAN'!AM26</f>
        <v>0</v>
      </c>
      <c r="AO24" s="322">
        <f>'P NP MINAPADI IKAN'!AN26</f>
        <v>0</v>
      </c>
      <c r="AP24" s="322">
        <f>'P NP MINAPADI IKAN'!AM27</f>
        <v>0</v>
      </c>
      <c r="AQ24" s="322">
        <f>'P NP MINAPADI IKAN'!AN27</f>
        <v>0</v>
      </c>
      <c r="AR24" s="322">
        <f>'P NP MINAPADI IKAN'!AM28</f>
        <v>0</v>
      </c>
      <c r="AS24" s="322">
        <f>'P NP MINAPADI IKAN'!AN28</f>
        <v>0</v>
      </c>
      <c r="AT24" s="322">
        <f>'P NP MINAPADI IKAN'!AM29</f>
        <v>0</v>
      </c>
      <c r="AU24" s="322">
        <f>'P NP MINAPADI IKAN'!AN29</f>
        <v>0</v>
      </c>
      <c r="AV24" s="322">
        <f>'P NP MINAPADI IKAN'!AM30</f>
        <v>0</v>
      </c>
      <c r="AW24" s="322">
        <f>'P NP MINAPADI IKAN'!AN30</f>
        <v>0</v>
      </c>
      <c r="AX24" s="322">
        <f>'P NP MINAPADI IKAN'!AM31</f>
        <v>0</v>
      </c>
      <c r="AY24" s="322">
        <f>'P NP MINAPADI IKAN'!AN31</f>
        <v>0</v>
      </c>
      <c r="AZ24" s="322">
        <f>'P NP MINAPADI IKAN'!AM32</f>
        <v>0</v>
      </c>
      <c r="BA24" s="322">
        <f>'P NP MINAPADI IKAN'!AN32</f>
        <v>0</v>
      </c>
      <c r="BB24" s="322">
        <f>'P NP MINAPADI IKAN'!AM33</f>
        <v>0</v>
      </c>
      <c r="BC24" s="322">
        <f>'P NP MINAPADI IKAN'!AN33</f>
        <v>0</v>
      </c>
      <c r="BD24" s="322">
        <f>'P NP MINAPADI IKAN'!AM34</f>
        <v>0</v>
      </c>
      <c r="BE24" s="322">
        <f>'P NP MINAPADI IKAN'!AN34</f>
        <v>0</v>
      </c>
      <c r="BF24" s="322">
        <f>'P NP MINAPADI IKAN'!AM35</f>
        <v>0</v>
      </c>
      <c r="BG24" s="322">
        <f>'P NP MINAPADI IKAN'!AN35</f>
        <v>0</v>
      </c>
      <c r="BH24" s="322">
        <f>'P NP MINAPADI IKAN'!AM36</f>
        <v>0</v>
      </c>
      <c r="BI24" s="322">
        <f>'P NP MINAPADI IKAN'!AN36</f>
        <v>0</v>
      </c>
      <c r="BJ24" s="322">
        <f>'P NP MINAPADI IKAN'!AM37</f>
        <v>0</v>
      </c>
      <c r="BK24" s="322">
        <f>'P NP MINAPADI IKAN'!AN37</f>
        <v>0</v>
      </c>
      <c r="BL24" s="322">
        <f>'P NP MINAPADI IKAN'!AM38</f>
        <v>0</v>
      </c>
      <c r="BM24" s="322">
        <f>'P NP MINAPADI IKAN'!AN38</f>
        <v>0</v>
      </c>
      <c r="BN24" s="322">
        <f>'P NP MINAPADI IKAN'!AM39</f>
        <v>0</v>
      </c>
      <c r="BO24" s="322">
        <f>'P NP MINAPADI IKAN'!AN39</f>
        <v>0</v>
      </c>
      <c r="BP24" s="322">
        <f>'P NP MINAPADI IKAN'!AM40</f>
        <v>0</v>
      </c>
      <c r="BQ24" s="322">
        <f>'P NP MINAPADI IKAN'!AN40</f>
        <v>0</v>
      </c>
      <c r="BR24" s="322">
        <f>'P NP MINAPADI IKAN'!AM41</f>
        <v>0</v>
      </c>
      <c r="BS24" s="322">
        <f>'P NP MINAPADI IKAN'!AN41</f>
        <v>0</v>
      </c>
      <c r="BT24" s="322">
        <f>'P NP MINAPADI IKAN'!AM42</f>
        <v>0</v>
      </c>
      <c r="BU24" s="322">
        <f>'P NP MINAPADI IKAN'!AN42</f>
        <v>0</v>
      </c>
      <c r="BV24" s="322">
        <f>'P NP MINAPADI IKAN'!AM43</f>
        <v>0</v>
      </c>
      <c r="BW24" s="322">
        <f>'P NP MINAPADI IKAN'!AN43</f>
        <v>0</v>
      </c>
      <c r="BX24" s="322">
        <f>'P NP MINAPADI IKAN'!AM44</f>
        <v>0</v>
      </c>
      <c r="BY24" s="322">
        <f>'P NP MINAPADI IKAN'!AN44</f>
        <v>0</v>
      </c>
    </row>
    <row r="25" spans="1:77">
      <c r="A25" s="260" t="s">
        <v>125</v>
      </c>
      <c r="B25" s="320">
        <f t="shared" si="2"/>
        <v>0</v>
      </c>
      <c r="C25" s="320">
        <f t="shared" si="3"/>
        <v>0</v>
      </c>
      <c r="D25" s="322">
        <f>'P NP MINAPADI IKAN'!AO8</f>
        <v>0</v>
      </c>
      <c r="E25" s="322">
        <f>'P NP MINAPADI IKAN'!AP8</f>
        <v>0</v>
      </c>
      <c r="F25" s="322">
        <f>'P NP MINAPADI IKAN'!AO9</f>
        <v>0</v>
      </c>
      <c r="G25" s="322">
        <f>'P NP MINAPADI IKAN'!AP9</f>
        <v>0</v>
      </c>
      <c r="H25" s="322">
        <f>'P NP MINAPADI IKAN'!AO10</f>
        <v>0</v>
      </c>
      <c r="I25" s="322">
        <f>'P NP MINAPADI IKAN'!AP10</f>
        <v>0</v>
      </c>
      <c r="J25" s="322">
        <f>'P NP MINAPADI IKAN'!AO11</f>
        <v>0</v>
      </c>
      <c r="K25" s="322">
        <f>'P NP MINAPADI IKAN'!AP11</f>
        <v>0</v>
      </c>
      <c r="L25" s="322">
        <f>'P NP MINAPADI IKAN'!AO12</f>
        <v>0</v>
      </c>
      <c r="M25" s="322">
        <f>'P NP MINAPADI IKAN'!AP12</f>
        <v>0</v>
      </c>
      <c r="N25" s="322">
        <f>'P NP MINAPADI IKAN'!AO13</f>
        <v>0</v>
      </c>
      <c r="O25" s="322">
        <f>'P NP MINAPADI IKAN'!AP13</f>
        <v>0</v>
      </c>
      <c r="P25" s="322">
        <f>'P NP MINAPADI IKAN'!AO14</f>
        <v>0</v>
      </c>
      <c r="Q25" s="322">
        <f>'P NP MINAPADI IKAN'!AP14</f>
        <v>0</v>
      </c>
      <c r="R25" s="322">
        <f>'P NP MINAPADI IKAN'!AO15</f>
        <v>0</v>
      </c>
      <c r="S25" s="322">
        <f>'P NP MINAPADI IKAN'!AP15</f>
        <v>0</v>
      </c>
      <c r="T25" s="322">
        <f>'P NP MINAPADI IKAN'!AO16</f>
        <v>0</v>
      </c>
      <c r="U25" s="322">
        <f>'P NP MINAPADI IKAN'!AP16</f>
        <v>0</v>
      </c>
      <c r="V25" s="322">
        <f>'P NP MINAPADI IKAN'!AO17</f>
        <v>0</v>
      </c>
      <c r="W25" s="322">
        <f>'P NP MINAPADI IKAN'!AP17</f>
        <v>0</v>
      </c>
      <c r="X25" s="322">
        <f>'P NP MINAPADI IKAN'!AO18</f>
        <v>0</v>
      </c>
      <c r="Y25" s="322">
        <f>'P NP MINAPADI IKAN'!AP18</f>
        <v>0</v>
      </c>
      <c r="Z25" s="322">
        <f>'P NP MINAPADI IKAN'!AO19</f>
        <v>0</v>
      </c>
      <c r="AA25" s="322">
        <f>'P NP MINAPADI IKAN'!AP19</f>
        <v>0</v>
      </c>
      <c r="AB25" s="322">
        <f>'P NP MINAPADI IKAN'!AO20</f>
        <v>0</v>
      </c>
      <c r="AC25" s="322">
        <f>'P NP MINAPADI IKAN'!AP20</f>
        <v>0</v>
      </c>
      <c r="AD25" s="322">
        <f>'P NP MINAPADI IKAN'!AO21</f>
        <v>0</v>
      </c>
      <c r="AE25" s="322">
        <f>'P NP MINAPADI IKAN'!AP21</f>
        <v>0</v>
      </c>
      <c r="AF25" s="322">
        <f>'P NP MINAPADI IKAN'!AO22</f>
        <v>0</v>
      </c>
      <c r="AG25" s="322">
        <f>'P NP MINAPADI IKAN'!AP22</f>
        <v>0</v>
      </c>
      <c r="AH25" s="322">
        <f>'P NP MINAPADI IKAN'!AO23</f>
        <v>0</v>
      </c>
      <c r="AI25" s="322">
        <f>'P NP MINAPADI IKAN'!AP23</f>
        <v>0</v>
      </c>
      <c r="AJ25" s="322">
        <f>'P NP MINAPADI IKAN'!AO24</f>
        <v>0</v>
      </c>
      <c r="AK25" s="322">
        <f>'P NP MINAPADI IKAN'!AP24</f>
        <v>0</v>
      </c>
      <c r="AL25" s="322">
        <f>'P NP MINAPADI IKAN'!AO25</f>
        <v>0</v>
      </c>
      <c r="AM25" s="322">
        <f>'P NP MINAPADI IKAN'!AP25</f>
        <v>0</v>
      </c>
      <c r="AN25" s="322">
        <f>'P NP MINAPADI IKAN'!AO26</f>
        <v>0</v>
      </c>
      <c r="AO25" s="322">
        <f>'P NP MINAPADI IKAN'!AP26</f>
        <v>0</v>
      </c>
      <c r="AP25" s="322">
        <f>'P NP MINAPADI IKAN'!AO27</f>
        <v>0</v>
      </c>
      <c r="AQ25" s="322">
        <f>'P NP MINAPADI IKAN'!AP27</f>
        <v>0</v>
      </c>
      <c r="AR25" s="322">
        <f>'P NP MINAPADI IKAN'!AO28</f>
        <v>0</v>
      </c>
      <c r="AS25" s="322">
        <f>'P NP MINAPADI IKAN'!AP28</f>
        <v>0</v>
      </c>
      <c r="AT25" s="322">
        <f>'P NP MINAPADI IKAN'!AO29</f>
        <v>0</v>
      </c>
      <c r="AU25" s="322">
        <f>'P NP MINAPADI IKAN'!AP29</f>
        <v>0</v>
      </c>
      <c r="AV25" s="322">
        <f>'P NP MINAPADI IKAN'!AO30</f>
        <v>0</v>
      </c>
      <c r="AW25" s="322">
        <f>'P NP MINAPADI IKAN'!AP30</f>
        <v>0</v>
      </c>
      <c r="AX25" s="322">
        <f>'P NP MINAPADI IKAN'!AO31</f>
        <v>0</v>
      </c>
      <c r="AY25" s="322">
        <f>'P NP MINAPADI IKAN'!AP31</f>
        <v>0</v>
      </c>
      <c r="AZ25" s="322">
        <f>'P NP MINAPADI IKAN'!AO32</f>
        <v>0</v>
      </c>
      <c r="BA25" s="322">
        <f>'P NP MINAPADI IKAN'!AP32</f>
        <v>0</v>
      </c>
      <c r="BB25" s="322">
        <f>'P NP MINAPADI IKAN'!AO33</f>
        <v>0</v>
      </c>
      <c r="BC25" s="322">
        <f>'P NP MINAPADI IKAN'!AP33</f>
        <v>0</v>
      </c>
      <c r="BD25" s="322">
        <f>'P NP MINAPADI IKAN'!AO34</f>
        <v>0</v>
      </c>
      <c r="BE25" s="322">
        <f>'P NP MINAPADI IKAN'!AP34</f>
        <v>0</v>
      </c>
      <c r="BF25" s="322">
        <f>'P NP MINAPADI IKAN'!AO35</f>
        <v>0</v>
      </c>
      <c r="BG25" s="322">
        <f>'P NP MINAPADI IKAN'!AP35</f>
        <v>0</v>
      </c>
      <c r="BH25" s="322">
        <f>'P NP MINAPADI IKAN'!AO36</f>
        <v>0</v>
      </c>
      <c r="BI25" s="322">
        <f>'P NP MINAPADI IKAN'!AP36</f>
        <v>0</v>
      </c>
      <c r="BJ25" s="322">
        <f>'P NP MINAPADI IKAN'!AO37</f>
        <v>0</v>
      </c>
      <c r="BK25" s="322">
        <f>'P NP MINAPADI IKAN'!AP37</f>
        <v>0</v>
      </c>
      <c r="BL25" s="322">
        <f>'P NP MINAPADI IKAN'!AO38</f>
        <v>0</v>
      </c>
      <c r="BM25" s="322">
        <f>'P NP MINAPADI IKAN'!AP38</f>
        <v>0</v>
      </c>
      <c r="BN25" s="322">
        <f>'P NP MINAPADI IKAN'!AO39</f>
        <v>0</v>
      </c>
      <c r="BO25" s="322">
        <f>'P NP MINAPADI IKAN'!AP39</f>
        <v>0</v>
      </c>
      <c r="BP25" s="322">
        <f>'P NP MINAPADI IKAN'!AO40</f>
        <v>0</v>
      </c>
      <c r="BQ25" s="322">
        <f>'P NP MINAPADI IKAN'!AP40</f>
        <v>0</v>
      </c>
      <c r="BR25" s="322">
        <f>'P NP MINAPADI IKAN'!AO41</f>
        <v>0</v>
      </c>
      <c r="BS25" s="322">
        <f>'P NP MINAPADI IKAN'!AP41</f>
        <v>0</v>
      </c>
      <c r="BT25" s="322">
        <f>'P NP MINAPADI IKAN'!AO42</f>
        <v>0</v>
      </c>
      <c r="BU25" s="322">
        <f>'P NP MINAPADI IKAN'!AP42</f>
        <v>0</v>
      </c>
      <c r="BV25" s="322">
        <f>'P NP MINAPADI IKAN'!AO43</f>
        <v>0</v>
      </c>
      <c r="BW25" s="322">
        <f>'P NP MINAPADI IKAN'!AP43</f>
        <v>0</v>
      </c>
      <c r="BX25" s="322">
        <f>'P NP MINAPADI IKAN'!AO44</f>
        <v>0</v>
      </c>
      <c r="BY25" s="322">
        <f>'P NP MINAPADI IKAN'!AP44</f>
        <v>0</v>
      </c>
    </row>
    <row r="26" spans="1:77">
      <c r="A26" s="260" t="s">
        <v>113</v>
      </c>
      <c r="B26" s="320">
        <f t="shared" si="2"/>
        <v>0</v>
      </c>
      <c r="C26" s="320">
        <f t="shared" si="3"/>
        <v>0</v>
      </c>
      <c r="D26" s="322">
        <f>'P NP MINAPADI IKAN'!AQ8</f>
        <v>0</v>
      </c>
      <c r="E26" s="322">
        <f>'P NP MINAPADI IKAN'!AR8</f>
        <v>0</v>
      </c>
      <c r="F26" s="322">
        <f>'P NP MINAPADI IKAN'!AQ9</f>
        <v>0</v>
      </c>
      <c r="G26" s="322">
        <f>'P NP MINAPADI IKAN'!AR9</f>
        <v>0</v>
      </c>
      <c r="H26" s="322">
        <f>'P NP MINAPADI IKAN'!AQ10</f>
        <v>0</v>
      </c>
      <c r="I26" s="322">
        <f>'P NP MINAPADI IKAN'!AR10</f>
        <v>0</v>
      </c>
      <c r="J26" s="322">
        <f>'P NP MINAPADI IKAN'!AQ11</f>
        <v>0</v>
      </c>
      <c r="K26" s="322">
        <f>'P NP MINAPADI IKAN'!AR11</f>
        <v>0</v>
      </c>
      <c r="L26" s="322">
        <f>'P NP MINAPADI IKAN'!AQ12</f>
        <v>0</v>
      </c>
      <c r="M26" s="322">
        <f>'P NP MINAPADI IKAN'!AR12</f>
        <v>0</v>
      </c>
      <c r="N26" s="322">
        <f>'P NP MINAPADI IKAN'!AQ13</f>
        <v>0</v>
      </c>
      <c r="O26" s="322">
        <f>'P NP MINAPADI IKAN'!AR13</f>
        <v>0</v>
      </c>
      <c r="P26" s="322">
        <f>'P NP MINAPADI IKAN'!AQ14</f>
        <v>0</v>
      </c>
      <c r="Q26" s="322">
        <f>'P NP MINAPADI IKAN'!AR14</f>
        <v>0</v>
      </c>
      <c r="R26" s="322">
        <f>'P NP MINAPADI IKAN'!AQ15</f>
        <v>0</v>
      </c>
      <c r="S26" s="322">
        <f>'P NP MINAPADI IKAN'!AR15</f>
        <v>0</v>
      </c>
      <c r="T26" s="322">
        <f>'P NP MINAPADI IKAN'!AQ16</f>
        <v>0</v>
      </c>
      <c r="U26" s="322">
        <f>'P NP MINAPADI IKAN'!AR16</f>
        <v>0</v>
      </c>
      <c r="V26" s="322">
        <f>'P NP MINAPADI IKAN'!AQ17</f>
        <v>0</v>
      </c>
      <c r="W26" s="322">
        <f>'P NP MINAPADI IKAN'!AR17</f>
        <v>0</v>
      </c>
      <c r="X26" s="322">
        <f>'P NP MINAPADI IKAN'!AQ18</f>
        <v>0</v>
      </c>
      <c r="Y26" s="322">
        <f>'P NP MINAPADI IKAN'!AR18</f>
        <v>0</v>
      </c>
      <c r="Z26" s="322">
        <f>'P NP MINAPADI IKAN'!AQ19</f>
        <v>0</v>
      </c>
      <c r="AA26" s="322">
        <f>'P NP MINAPADI IKAN'!AR19</f>
        <v>0</v>
      </c>
      <c r="AB26" s="322">
        <f>'P NP MINAPADI IKAN'!AQ20</f>
        <v>0</v>
      </c>
      <c r="AC26" s="322">
        <f>'P NP MINAPADI IKAN'!AR20</f>
        <v>0</v>
      </c>
      <c r="AD26" s="322">
        <f>'P NP MINAPADI IKAN'!AQ21</f>
        <v>0</v>
      </c>
      <c r="AE26" s="322">
        <f>'P NP MINAPADI IKAN'!AR21</f>
        <v>0</v>
      </c>
      <c r="AF26" s="322">
        <f>'P NP MINAPADI IKAN'!AQ22</f>
        <v>0</v>
      </c>
      <c r="AG26" s="322">
        <f>'P NP MINAPADI IKAN'!AR22</f>
        <v>0</v>
      </c>
      <c r="AH26" s="322">
        <f>'P NP MINAPADI IKAN'!AQ23</f>
        <v>0</v>
      </c>
      <c r="AI26" s="322">
        <f>'P NP MINAPADI IKAN'!AR23</f>
        <v>0</v>
      </c>
      <c r="AJ26" s="322">
        <f>'P NP MINAPADI IKAN'!AQ24</f>
        <v>0</v>
      </c>
      <c r="AK26" s="322">
        <f>'P NP MINAPADI IKAN'!AR24</f>
        <v>0</v>
      </c>
      <c r="AL26" s="322">
        <f>'P NP MINAPADI IKAN'!AQ25</f>
        <v>0</v>
      </c>
      <c r="AM26" s="322">
        <f>'P NP MINAPADI IKAN'!AR25</f>
        <v>0</v>
      </c>
      <c r="AN26" s="322">
        <f>'P NP MINAPADI IKAN'!AQ26</f>
        <v>0</v>
      </c>
      <c r="AO26" s="322">
        <f>'P NP MINAPADI IKAN'!AR26</f>
        <v>0</v>
      </c>
      <c r="AP26" s="322">
        <f>'P NP MINAPADI IKAN'!AQ27</f>
        <v>0</v>
      </c>
      <c r="AQ26" s="322">
        <f>'P NP MINAPADI IKAN'!AR27</f>
        <v>0</v>
      </c>
      <c r="AR26" s="322">
        <f>'P NP MINAPADI IKAN'!AQ28</f>
        <v>0</v>
      </c>
      <c r="AS26" s="322">
        <f>'P NP MINAPADI IKAN'!AR28</f>
        <v>0</v>
      </c>
      <c r="AT26" s="322">
        <f>'P NP MINAPADI IKAN'!AQ29</f>
        <v>0</v>
      </c>
      <c r="AU26" s="322">
        <f>'P NP MINAPADI IKAN'!AR29</f>
        <v>0</v>
      </c>
      <c r="AV26" s="322">
        <f>'P NP MINAPADI IKAN'!AQ30</f>
        <v>0</v>
      </c>
      <c r="AW26" s="322">
        <f>'P NP MINAPADI IKAN'!AR30</f>
        <v>0</v>
      </c>
      <c r="AX26" s="322">
        <f>'P NP MINAPADI IKAN'!AQ31</f>
        <v>0</v>
      </c>
      <c r="AY26" s="322">
        <f>'P NP MINAPADI IKAN'!AR31</f>
        <v>0</v>
      </c>
      <c r="AZ26" s="322">
        <f>'P NP MINAPADI IKAN'!AQ32</f>
        <v>0</v>
      </c>
      <c r="BA26" s="322">
        <f>'P NP MINAPADI IKAN'!AR32</f>
        <v>0</v>
      </c>
      <c r="BB26" s="322">
        <f>'P NP MINAPADI IKAN'!AQ33</f>
        <v>0</v>
      </c>
      <c r="BC26" s="322">
        <f>'P NP MINAPADI IKAN'!AR33</f>
        <v>0</v>
      </c>
      <c r="BD26" s="322">
        <f>'P NP MINAPADI IKAN'!AQ34</f>
        <v>0</v>
      </c>
      <c r="BE26" s="322">
        <f>'P NP MINAPADI IKAN'!AR34</f>
        <v>0</v>
      </c>
      <c r="BF26" s="322">
        <f>'P NP MINAPADI IKAN'!AQ35</f>
        <v>0</v>
      </c>
      <c r="BG26" s="322">
        <f>'P NP MINAPADI IKAN'!AR35</f>
        <v>0</v>
      </c>
      <c r="BH26" s="322">
        <f>'P NP MINAPADI IKAN'!AQ36</f>
        <v>0</v>
      </c>
      <c r="BI26" s="322">
        <f>'P NP MINAPADI IKAN'!AR36</f>
        <v>0</v>
      </c>
      <c r="BJ26" s="322">
        <f>'P NP MINAPADI IKAN'!AQ37</f>
        <v>0</v>
      </c>
      <c r="BK26" s="322">
        <f>'P NP MINAPADI IKAN'!AR37</f>
        <v>0</v>
      </c>
      <c r="BL26" s="322">
        <f>'P NP MINAPADI IKAN'!AQ38</f>
        <v>0</v>
      </c>
      <c r="BM26" s="322">
        <f>'P NP MINAPADI IKAN'!AR38</f>
        <v>0</v>
      </c>
      <c r="BN26" s="322">
        <f>'P NP MINAPADI IKAN'!AQ39</f>
        <v>0</v>
      </c>
      <c r="BO26" s="322">
        <f>'P NP MINAPADI IKAN'!AR39</f>
        <v>0</v>
      </c>
      <c r="BP26" s="322">
        <f>'P NP MINAPADI IKAN'!AQ40</f>
        <v>0</v>
      </c>
      <c r="BQ26" s="322">
        <f>'P NP MINAPADI IKAN'!AR40</f>
        <v>0</v>
      </c>
      <c r="BR26" s="322">
        <f>'P NP MINAPADI IKAN'!AQ41</f>
        <v>0</v>
      </c>
      <c r="BS26" s="322">
        <f>'P NP MINAPADI IKAN'!AR41</f>
        <v>0</v>
      </c>
      <c r="BT26" s="322">
        <f>'P NP MINAPADI IKAN'!AQ42</f>
        <v>0</v>
      </c>
      <c r="BU26" s="322">
        <f>'P NP MINAPADI IKAN'!AR42</f>
        <v>0</v>
      </c>
      <c r="BV26" s="322">
        <f>'P NP MINAPADI IKAN'!AQ43</f>
        <v>0</v>
      </c>
      <c r="BW26" s="322">
        <f>'P NP MINAPADI IKAN'!AR43</f>
        <v>0</v>
      </c>
      <c r="BX26" s="322">
        <f>'P NP MINAPADI IKAN'!AQ44</f>
        <v>0</v>
      </c>
      <c r="BY26" s="322">
        <f>'P NP MINAPADI IKAN'!AR44</f>
        <v>0</v>
      </c>
    </row>
    <row r="27" spans="1:77">
      <c r="A27" s="260" t="s">
        <v>124</v>
      </c>
      <c r="B27" s="320">
        <f t="shared" si="2"/>
        <v>0</v>
      </c>
      <c r="C27" s="320">
        <f t="shared" si="3"/>
        <v>0</v>
      </c>
      <c r="D27" s="322">
        <f>'P NP MINAPADI IKAN'!AS8</f>
        <v>0</v>
      </c>
      <c r="E27" s="322">
        <f>'P NP MINAPADI IKAN'!AT8</f>
        <v>0</v>
      </c>
      <c r="F27" s="322">
        <f>'P NP MINAPADI IKAN'!AS9</f>
        <v>0</v>
      </c>
      <c r="G27" s="322">
        <f>'P NP MINAPADI IKAN'!AT9</f>
        <v>0</v>
      </c>
      <c r="H27" s="322">
        <f>'P NP MINAPADI IKAN'!AS10</f>
        <v>0</v>
      </c>
      <c r="I27" s="322">
        <f>'P NP MINAPADI IKAN'!AT10</f>
        <v>0</v>
      </c>
      <c r="J27" s="322">
        <f>'P NP MINAPADI IKAN'!AS11</f>
        <v>0</v>
      </c>
      <c r="K27" s="322">
        <f>'P NP MINAPADI IKAN'!AT11</f>
        <v>0</v>
      </c>
      <c r="L27" s="322">
        <f>'P NP MINAPADI IKAN'!AS12</f>
        <v>0</v>
      </c>
      <c r="M27" s="322">
        <f>'P NP MINAPADI IKAN'!AT12</f>
        <v>0</v>
      </c>
      <c r="N27" s="322">
        <f>'P NP MINAPADI IKAN'!AS13</f>
        <v>0</v>
      </c>
      <c r="O27" s="322">
        <f>'P NP MINAPADI IKAN'!AT13</f>
        <v>0</v>
      </c>
      <c r="P27" s="322">
        <f>'P NP MINAPADI IKAN'!AS14</f>
        <v>0</v>
      </c>
      <c r="Q27" s="322">
        <f>'P NP MINAPADI IKAN'!AT14</f>
        <v>0</v>
      </c>
      <c r="R27" s="322">
        <f>'P NP MINAPADI IKAN'!AS15</f>
        <v>0</v>
      </c>
      <c r="S27" s="322">
        <f>'P NP MINAPADI IKAN'!AT15</f>
        <v>0</v>
      </c>
      <c r="T27" s="322">
        <f>'P NP MINAPADI IKAN'!AS16</f>
        <v>0</v>
      </c>
      <c r="U27" s="322">
        <f>'P NP MINAPADI IKAN'!AT16</f>
        <v>0</v>
      </c>
      <c r="V27" s="322">
        <f>'P NP MINAPADI IKAN'!AS17</f>
        <v>0</v>
      </c>
      <c r="W27" s="322">
        <f>'P NP MINAPADI IKAN'!AT17</f>
        <v>0</v>
      </c>
      <c r="X27" s="322">
        <f>'P NP MINAPADI IKAN'!AS18</f>
        <v>0</v>
      </c>
      <c r="Y27" s="322">
        <f>'P NP MINAPADI IKAN'!AT18</f>
        <v>0</v>
      </c>
      <c r="Z27" s="322">
        <f>'P NP MINAPADI IKAN'!AS19</f>
        <v>0</v>
      </c>
      <c r="AA27" s="322">
        <f>'P NP MINAPADI IKAN'!AT19</f>
        <v>0</v>
      </c>
      <c r="AB27" s="322">
        <f>'P NP MINAPADI IKAN'!AS20</f>
        <v>0</v>
      </c>
      <c r="AC27" s="322">
        <f>'P NP MINAPADI IKAN'!AT20</f>
        <v>0</v>
      </c>
      <c r="AD27" s="322">
        <f>'P NP MINAPADI IKAN'!AS21</f>
        <v>0</v>
      </c>
      <c r="AE27" s="322">
        <f>'P NP MINAPADI IKAN'!AT21</f>
        <v>0</v>
      </c>
      <c r="AF27" s="322">
        <f>'P NP MINAPADI IKAN'!AS22</f>
        <v>0</v>
      </c>
      <c r="AG27" s="322">
        <f>'P NP MINAPADI IKAN'!AT22</f>
        <v>0</v>
      </c>
      <c r="AH27" s="322">
        <f>'P NP MINAPADI IKAN'!AS23</f>
        <v>0</v>
      </c>
      <c r="AI27" s="322">
        <f>'P NP MINAPADI IKAN'!AT23</f>
        <v>0</v>
      </c>
      <c r="AJ27" s="322">
        <f>'P NP MINAPADI IKAN'!AS24</f>
        <v>0</v>
      </c>
      <c r="AK27" s="322">
        <f>'P NP MINAPADI IKAN'!AT24</f>
        <v>0</v>
      </c>
      <c r="AL27" s="322">
        <f>'P NP MINAPADI IKAN'!AS25</f>
        <v>0</v>
      </c>
      <c r="AM27" s="322">
        <f>'P NP MINAPADI IKAN'!AT25</f>
        <v>0</v>
      </c>
      <c r="AN27" s="322">
        <f>'P NP MINAPADI IKAN'!AS26</f>
        <v>0</v>
      </c>
      <c r="AO27" s="322">
        <f>'P NP MINAPADI IKAN'!AT26</f>
        <v>0</v>
      </c>
      <c r="AP27" s="322">
        <f>'P NP MINAPADI IKAN'!AS27</f>
        <v>0</v>
      </c>
      <c r="AQ27" s="322">
        <f>'P NP MINAPADI IKAN'!AT27</f>
        <v>0</v>
      </c>
      <c r="AR27" s="322">
        <f>'P NP MINAPADI IKAN'!AS28</f>
        <v>0</v>
      </c>
      <c r="AS27" s="322">
        <f>'P NP MINAPADI IKAN'!AT28</f>
        <v>0</v>
      </c>
      <c r="AT27" s="322">
        <f>'P NP MINAPADI IKAN'!AS29</f>
        <v>0</v>
      </c>
      <c r="AU27" s="322">
        <f>'P NP MINAPADI IKAN'!AT29</f>
        <v>0</v>
      </c>
      <c r="AV27" s="322">
        <f>'P NP MINAPADI IKAN'!AS30</f>
        <v>0</v>
      </c>
      <c r="AW27" s="322">
        <f>'P NP MINAPADI IKAN'!AT30</f>
        <v>0</v>
      </c>
      <c r="AX27" s="322">
        <f>'P NP MINAPADI IKAN'!AS31</f>
        <v>0</v>
      </c>
      <c r="AY27" s="322">
        <f>'P NP MINAPADI IKAN'!AT31</f>
        <v>0</v>
      </c>
      <c r="AZ27" s="322">
        <f>'P NP MINAPADI IKAN'!AS32</f>
        <v>0</v>
      </c>
      <c r="BA27" s="322">
        <f>'P NP MINAPADI IKAN'!AT32</f>
        <v>0</v>
      </c>
      <c r="BB27" s="322">
        <f>'P NP MINAPADI IKAN'!AS33</f>
        <v>0</v>
      </c>
      <c r="BC27" s="322">
        <f>'P NP MINAPADI IKAN'!AT33</f>
        <v>0</v>
      </c>
      <c r="BD27" s="322">
        <f>'P NP MINAPADI IKAN'!AS34</f>
        <v>0</v>
      </c>
      <c r="BE27" s="322">
        <f>'P NP MINAPADI IKAN'!AT34</f>
        <v>0</v>
      </c>
      <c r="BF27" s="322">
        <f>'P NP MINAPADI IKAN'!AS35</f>
        <v>0</v>
      </c>
      <c r="BG27" s="322">
        <f>'P NP MINAPADI IKAN'!AT35</f>
        <v>0</v>
      </c>
      <c r="BH27" s="322">
        <f>'P NP MINAPADI IKAN'!AS36</f>
        <v>0</v>
      </c>
      <c r="BI27" s="322">
        <f>'P NP MINAPADI IKAN'!AT36</f>
        <v>0</v>
      </c>
      <c r="BJ27" s="322">
        <f>'P NP MINAPADI IKAN'!AS37</f>
        <v>0</v>
      </c>
      <c r="BK27" s="322">
        <f>'P NP MINAPADI IKAN'!AT37</f>
        <v>0</v>
      </c>
      <c r="BL27" s="322">
        <f>'P NP MINAPADI IKAN'!AS38</f>
        <v>0</v>
      </c>
      <c r="BM27" s="322">
        <f>'P NP MINAPADI IKAN'!AT38</f>
        <v>0</v>
      </c>
      <c r="BN27" s="322">
        <f>'P NP MINAPADI IKAN'!AS39</f>
        <v>0</v>
      </c>
      <c r="BO27" s="322">
        <f>'P NP MINAPADI IKAN'!AT39</f>
        <v>0</v>
      </c>
      <c r="BP27" s="322">
        <f>'P NP MINAPADI IKAN'!AS40</f>
        <v>0</v>
      </c>
      <c r="BQ27" s="322">
        <f>'P NP MINAPADI IKAN'!AT40</f>
        <v>0</v>
      </c>
      <c r="BR27" s="322">
        <f>'P NP MINAPADI IKAN'!AS41</f>
        <v>0</v>
      </c>
      <c r="BS27" s="322">
        <f>'P NP MINAPADI IKAN'!AT41</f>
        <v>0</v>
      </c>
      <c r="BT27" s="322">
        <f>'P NP MINAPADI IKAN'!AS42</f>
        <v>0</v>
      </c>
      <c r="BU27" s="322">
        <f>'P NP MINAPADI IKAN'!AT42</f>
        <v>0</v>
      </c>
      <c r="BV27" s="322">
        <f>'P NP MINAPADI IKAN'!AS43</f>
        <v>0</v>
      </c>
      <c r="BW27" s="322">
        <f>'P NP MINAPADI IKAN'!AT43</f>
        <v>0</v>
      </c>
      <c r="BX27" s="322">
        <f>'P NP MINAPADI IKAN'!AS44</f>
        <v>0</v>
      </c>
      <c r="BY27" s="322">
        <f>'P NP MINAPADI IKAN'!AT44</f>
        <v>0</v>
      </c>
    </row>
    <row r="28" spans="1:77">
      <c r="A28" s="260" t="s">
        <v>138</v>
      </c>
      <c r="B28" s="320">
        <f t="shared" si="2"/>
        <v>0</v>
      </c>
      <c r="C28" s="320">
        <f t="shared" si="3"/>
        <v>0</v>
      </c>
      <c r="D28" s="322">
        <f>'P NP MINAPADI IKAN'!AU8</f>
        <v>0</v>
      </c>
      <c r="E28" s="322">
        <f>'P NP MINAPADI IKAN'!AV8</f>
        <v>0</v>
      </c>
      <c r="F28" s="322">
        <f>'P NP MINAPADI IKAN'!AU9</f>
        <v>0</v>
      </c>
      <c r="G28" s="322">
        <f>'P NP MINAPADI IKAN'!AV9</f>
        <v>0</v>
      </c>
      <c r="H28" s="322">
        <f>'P NP MINAPADI IKAN'!AU10</f>
        <v>0</v>
      </c>
      <c r="I28" s="322">
        <f>'P NP MINAPADI IKAN'!AV10</f>
        <v>0</v>
      </c>
      <c r="J28" s="322">
        <f>'P NP MINAPADI IKAN'!AU11</f>
        <v>0</v>
      </c>
      <c r="K28" s="322">
        <f>'P NP MINAPADI IKAN'!AV11</f>
        <v>0</v>
      </c>
      <c r="L28" s="322">
        <f>'P NP MINAPADI IKAN'!AU12</f>
        <v>0</v>
      </c>
      <c r="M28" s="322">
        <f>'P NP MINAPADI IKAN'!AV12</f>
        <v>0</v>
      </c>
      <c r="N28" s="322">
        <f>'P NP MINAPADI IKAN'!AU13</f>
        <v>0</v>
      </c>
      <c r="O28" s="322">
        <f>'P NP MINAPADI IKAN'!AV13</f>
        <v>0</v>
      </c>
      <c r="P28" s="322">
        <f>'P NP MINAPADI IKAN'!AU14</f>
        <v>0</v>
      </c>
      <c r="Q28" s="322">
        <f>'P NP MINAPADI IKAN'!AV14</f>
        <v>0</v>
      </c>
      <c r="R28" s="322">
        <f>'P NP MINAPADI IKAN'!AU15</f>
        <v>0</v>
      </c>
      <c r="S28" s="322">
        <f>'P NP MINAPADI IKAN'!AV15</f>
        <v>0</v>
      </c>
      <c r="T28" s="322">
        <f>'P NP MINAPADI IKAN'!AU16</f>
        <v>0</v>
      </c>
      <c r="U28" s="322">
        <f>'P NP MINAPADI IKAN'!AV16</f>
        <v>0</v>
      </c>
      <c r="V28" s="322">
        <f>'P NP MINAPADI IKAN'!AU17</f>
        <v>0</v>
      </c>
      <c r="W28" s="322">
        <f>'P NP MINAPADI IKAN'!AV17</f>
        <v>0</v>
      </c>
      <c r="X28" s="322">
        <f>'P NP MINAPADI IKAN'!AU18</f>
        <v>0</v>
      </c>
      <c r="Y28" s="322">
        <f>'P NP MINAPADI IKAN'!AV18</f>
        <v>0</v>
      </c>
      <c r="Z28" s="322">
        <f>'P NP MINAPADI IKAN'!AU19</f>
        <v>0</v>
      </c>
      <c r="AA28" s="322">
        <f>'P NP MINAPADI IKAN'!AV19</f>
        <v>0</v>
      </c>
      <c r="AB28" s="322">
        <f>'P NP MINAPADI IKAN'!AU20</f>
        <v>0</v>
      </c>
      <c r="AC28" s="322">
        <f>'P NP MINAPADI IKAN'!AV20</f>
        <v>0</v>
      </c>
      <c r="AD28" s="322">
        <f>'P NP MINAPADI IKAN'!AU21</f>
        <v>0</v>
      </c>
      <c r="AE28" s="322">
        <f>'P NP MINAPADI IKAN'!AV21</f>
        <v>0</v>
      </c>
      <c r="AF28" s="322">
        <f>'P NP MINAPADI IKAN'!AU22</f>
        <v>0</v>
      </c>
      <c r="AG28" s="322">
        <f>'P NP MINAPADI IKAN'!AV22</f>
        <v>0</v>
      </c>
      <c r="AH28" s="322">
        <f>'P NP MINAPADI IKAN'!AU23</f>
        <v>0</v>
      </c>
      <c r="AI28" s="322">
        <f>'P NP MINAPADI IKAN'!AV23</f>
        <v>0</v>
      </c>
      <c r="AJ28" s="322">
        <f>'P NP MINAPADI IKAN'!AU24</f>
        <v>0</v>
      </c>
      <c r="AK28" s="322">
        <f>'P NP MINAPADI IKAN'!AV24</f>
        <v>0</v>
      </c>
      <c r="AL28" s="322">
        <f>'P NP MINAPADI IKAN'!AU25</f>
        <v>0</v>
      </c>
      <c r="AM28" s="322">
        <f>'P NP MINAPADI IKAN'!AV25</f>
        <v>0</v>
      </c>
      <c r="AN28" s="322">
        <f>'P NP MINAPADI IKAN'!AU26</f>
        <v>0</v>
      </c>
      <c r="AO28" s="322">
        <f>'P NP MINAPADI IKAN'!AV26</f>
        <v>0</v>
      </c>
      <c r="AP28" s="322">
        <f>'P NP MINAPADI IKAN'!AU27</f>
        <v>0</v>
      </c>
      <c r="AQ28" s="322">
        <f>'P NP MINAPADI IKAN'!AV27</f>
        <v>0</v>
      </c>
      <c r="AR28" s="322">
        <f>'P NP MINAPADI IKAN'!AU28</f>
        <v>0</v>
      </c>
      <c r="AS28" s="322">
        <f>'P NP MINAPADI IKAN'!AV28</f>
        <v>0</v>
      </c>
      <c r="AT28" s="322">
        <f>'P NP MINAPADI IKAN'!AU29</f>
        <v>0</v>
      </c>
      <c r="AU28" s="322">
        <f>'P NP MINAPADI IKAN'!AV29</f>
        <v>0</v>
      </c>
      <c r="AV28" s="322">
        <f>'P NP MINAPADI IKAN'!AU30</f>
        <v>0</v>
      </c>
      <c r="AW28" s="322">
        <f>'P NP MINAPADI IKAN'!AV30</f>
        <v>0</v>
      </c>
      <c r="AX28" s="322">
        <f>'P NP MINAPADI IKAN'!AU31</f>
        <v>0</v>
      </c>
      <c r="AY28" s="322">
        <f>'P NP MINAPADI IKAN'!AV31</f>
        <v>0</v>
      </c>
      <c r="AZ28" s="322">
        <f>'P NP MINAPADI IKAN'!AU32</f>
        <v>0</v>
      </c>
      <c r="BA28" s="322">
        <f>'P NP MINAPADI IKAN'!AV32</f>
        <v>0</v>
      </c>
      <c r="BB28" s="322">
        <f>'P NP MINAPADI IKAN'!AU33</f>
        <v>0</v>
      </c>
      <c r="BC28" s="322">
        <f>'P NP MINAPADI IKAN'!AV33</f>
        <v>0</v>
      </c>
      <c r="BD28" s="322">
        <f>'P NP MINAPADI IKAN'!AU34</f>
        <v>0</v>
      </c>
      <c r="BE28" s="322">
        <f>'P NP MINAPADI IKAN'!AV34</f>
        <v>0</v>
      </c>
      <c r="BF28" s="322">
        <f>'P NP MINAPADI IKAN'!AU35</f>
        <v>0</v>
      </c>
      <c r="BG28" s="322">
        <f>'P NP MINAPADI IKAN'!AV35</f>
        <v>0</v>
      </c>
      <c r="BH28" s="322">
        <f>'P NP MINAPADI IKAN'!AU36</f>
        <v>0</v>
      </c>
      <c r="BI28" s="322">
        <f>'P NP MINAPADI IKAN'!AV36</f>
        <v>0</v>
      </c>
      <c r="BJ28" s="322">
        <f>'P NP MINAPADI IKAN'!AU37</f>
        <v>0</v>
      </c>
      <c r="BK28" s="322">
        <f>'P NP MINAPADI IKAN'!AV37</f>
        <v>0</v>
      </c>
      <c r="BL28" s="322">
        <f>'P NP MINAPADI IKAN'!AU38</f>
        <v>0</v>
      </c>
      <c r="BM28" s="322">
        <f>'P NP MINAPADI IKAN'!AV38</f>
        <v>0</v>
      </c>
      <c r="BN28" s="322">
        <f>'P NP MINAPADI IKAN'!AU39</f>
        <v>0</v>
      </c>
      <c r="BO28" s="322">
        <f>'P NP MINAPADI IKAN'!AV39</f>
        <v>0</v>
      </c>
      <c r="BP28" s="322">
        <f>'P NP MINAPADI IKAN'!AU40</f>
        <v>0</v>
      </c>
      <c r="BQ28" s="322">
        <f>'P NP MINAPADI IKAN'!AV40</f>
        <v>0</v>
      </c>
      <c r="BR28" s="322">
        <f>'P NP MINAPADI IKAN'!AU41</f>
        <v>0</v>
      </c>
      <c r="BS28" s="322">
        <f>'P NP MINAPADI IKAN'!AV41</f>
        <v>0</v>
      </c>
      <c r="BT28" s="322">
        <f>'P NP MINAPADI IKAN'!AU42</f>
        <v>0</v>
      </c>
      <c r="BU28" s="322">
        <f>'P NP MINAPADI IKAN'!AV42</f>
        <v>0</v>
      </c>
      <c r="BV28" s="322">
        <f>'P NP MINAPADI IKAN'!AU43</f>
        <v>0</v>
      </c>
      <c r="BW28" s="322">
        <f>'P NP MINAPADI IKAN'!AV43</f>
        <v>0</v>
      </c>
      <c r="BX28" s="322">
        <f>'P NP MINAPADI IKAN'!AU44</f>
        <v>0</v>
      </c>
      <c r="BY28" s="322">
        <f>'P NP MINAPADI IKAN'!AV44</f>
        <v>0</v>
      </c>
    </row>
    <row r="29" spans="1:77">
      <c r="A29" s="260" t="s">
        <v>126</v>
      </c>
      <c r="B29" s="320">
        <f t="shared" si="2"/>
        <v>837900</v>
      </c>
      <c r="C29" s="320">
        <f t="shared" si="3"/>
        <v>17875200</v>
      </c>
      <c r="D29" s="322">
        <f>'P NP MINAPADI IKAN'!AW8</f>
        <v>0</v>
      </c>
      <c r="E29" s="322">
        <f>'P NP MINAPADI IKAN'!AX8</f>
        <v>0</v>
      </c>
      <c r="F29" s="322">
        <f>'P NP MINAPADI IKAN'!AW9</f>
        <v>0</v>
      </c>
      <c r="G29" s="322">
        <f>'P NP MINAPADI IKAN'!AX9</f>
        <v>0</v>
      </c>
      <c r="H29" s="322">
        <f>'P NP MINAPADI IKAN'!AW10</f>
        <v>0</v>
      </c>
      <c r="I29" s="322">
        <f>'P NP MINAPADI IKAN'!AX10</f>
        <v>0</v>
      </c>
      <c r="J29" s="322">
        <f>'P NP MINAPADI IKAN'!AW11</f>
        <v>0</v>
      </c>
      <c r="K29" s="322">
        <f>'P NP MINAPADI IKAN'!AX11</f>
        <v>0</v>
      </c>
      <c r="L29" s="322">
        <f>'P NP MINAPADI IKAN'!AW12</f>
        <v>0</v>
      </c>
      <c r="M29" s="322">
        <f>'P NP MINAPADI IKAN'!AX12</f>
        <v>0</v>
      </c>
      <c r="N29" s="322">
        <f>'P NP MINAPADI IKAN'!AW13</f>
        <v>0</v>
      </c>
      <c r="O29" s="322">
        <f>'P NP MINAPADI IKAN'!AX13</f>
        <v>0</v>
      </c>
      <c r="P29" s="322">
        <f>'P NP MINAPADI IKAN'!AW14</f>
        <v>0</v>
      </c>
      <c r="Q29" s="322">
        <f>'P NP MINAPADI IKAN'!AX14</f>
        <v>0</v>
      </c>
      <c r="R29" s="322">
        <f>'P NP MINAPADI IKAN'!AW15</f>
        <v>0</v>
      </c>
      <c r="S29" s="322">
        <f>'P NP MINAPADI IKAN'!AX15</f>
        <v>0</v>
      </c>
      <c r="T29" s="322">
        <f>'P NP MINAPADI IKAN'!AW16</f>
        <v>0</v>
      </c>
      <c r="U29" s="322">
        <f>'P NP MINAPADI IKAN'!AX16</f>
        <v>0</v>
      </c>
      <c r="V29" s="322">
        <f>'P NP MINAPADI IKAN'!AW17</f>
        <v>0</v>
      </c>
      <c r="W29" s="322">
        <f>'P NP MINAPADI IKAN'!AX17</f>
        <v>0</v>
      </c>
      <c r="X29" s="322">
        <f>'P NP MINAPADI IKAN'!AW18</f>
        <v>0</v>
      </c>
      <c r="Y29" s="322">
        <f>'P NP MINAPADI IKAN'!AX18</f>
        <v>0</v>
      </c>
      <c r="Z29" s="322">
        <f>'P NP MINAPADI IKAN'!AW19</f>
        <v>0</v>
      </c>
      <c r="AA29" s="322">
        <f>'P NP MINAPADI IKAN'!AX19</f>
        <v>0</v>
      </c>
      <c r="AB29" s="322">
        <f>'P NP MINAPADI IKAN'!AW20</f>
        <v>0</v>
      </c>
      <c r="AC29" s="322">
        <f>'P NP MINAPADI IKAN'!AX20</f>
        <v>0</v>
      </c>
      <c r="AD29" s="322">
        <f>'P NP MINAPADI IKAN'!AW21</f>
        <v>0</v>
      </c>
      <c r="AE29" s="322">
        <f>'P NP MINAPADI IKAN'!AX21</f>
        <v>0</v>
      </c>
      <c r="AF29" s="322">
        <f>'P NP MINAPADI IKAN'!AW22</f>
        <v>0</v>
      </c>
      <c r="AG29" s="322">
        <f>'P NP MINAPADI IKAN'!AX22</f>
        <v>0</v>
      </c>
      <c r="AH29" s="322">
        <f>'P NP MINAPADI IKAN'!AW23</f>
        <v>0</v>
      </c>
      <c r="AI29" s="322">
        <f>'P NP MINAPADI IKAN'!AX23</f>
        <v>0</v>
      </c>
      <c r="AJ29" s="322">
        <f>'P NP MINAPADI IKAN'!AW24</f>
        <v>0</v>
      </c>
      <c r="AK29" s="322">
        <f>'P NP MINAPADI IKAN'!AX24</f>
        <v>0</v>
      </c>
      <c r="AL29" s="322">
        <f>'P NP MINAPADI IKAN'!AW25</f>
        <v>0</v>
      </c>
      <c r="AM29" s="322">
        <f>'P NP MINAPADI IKAN'!AX25</f>
        <v>0</v>
      </c>
      <c r="AN29" s="322">
        <f>'P NP MINAPADI IKAN'!AW26</f>
        <v>771400</v>
      </c>
      <c r="AO29" s="322">
        <f>'P NP MINAPADI IKAN'!AX26</f>
        <v>13885200</v>
      </c>
      <c r="AP29" s="322">
        <f>'P NP MINAPADI IKAN'!AW27</f>
        <v>0</v>
      </c>
      <c r="AQ29" s="322">
        <f>'P NP MINAPADI IKAN'!AX27</f>
        <v>0</v>
      </c>
      <c r="AR29" s="322">
        <f>'P NP MINAPADI IKAN'!AW28</f>
        <v>0</v>
      </c>
      <c r="AS29" s="322">
        <f>'P NP MINAPADI IKAN'!AX28</f>
        <v>0</v>
      </c>
      <c r="AT29" s="322">
        <f>'P NP MINAPADI IKAN'!AW29</f>
        <v>0</v>
      </c>
      <c r="AU29" s="322">
        <f>'P NP MINAPADI IKAN'!AX29</f>
        <v>0</v>
      </c>
      <c r="AV29" s="322">
        <f>'P NP MINAPADI IKAN'!AW30</f>
        <v>0</v>
      </c>
      <c r="AW29" s="322">
        <f>'P NP MINAPADI IKAN'!AX30</f>
        <v>0</v>
      </c>
      <c r="AX29" s="322">
        <f>'P NP MINAPADI IKAN'!AW31</f>
        <v>0</v>
      </c>
      <c r="AY29" s="322">
        <f>'P NP MINAPADI IKAN'!AX31</f>
        <v>0</v>
      </c>
      <c r="AZ29" s="322">
        <f>'P NP MINAPADI IKAN'!AW32</f>
        <v>0</v>
      </c>
      <c r="BA29" s="322">
        <f>'P NP MINAPADI IKAN'!AX32</f>
        <v>0</v>
      </c>
      <c r="BB29" s="322">
        <f>'P NP MINAPADI IKAN'!AW33</f>
        <v>66500</v>
      </c>
      <c r="BC29" s="322">
        <f>'P NP MINAPADI IKAN'!AX33</f>
        <v>3990000</v>
      </c>
      <c r="BD29" s="322">
        <f>'P NP MINAPADI IKAN'!AW34</f>
        <v>0</v>
      </c>
      <c r="BE29" s="322">
        <f>'P NP MINAPADI IKAN'!AX34</f>
        <v>0</v>
      </c>
      <c r="BF29" s="322">
        <f>'P NP MINAPADI IKAN'!AW35</f>
        <v>0</v>
      </c>
      <c r="BG29" s="322">
        <f>'P NP MINAPADI IKAN'!AX35</f>
        <v>0</v>
      </c>
      <c r="BH29" s="322">
        <f>'P NP MINAPADI IKAN'!AW36</f>
        <v>0</v>
      </c>
      <c r="BI29" s="322">
        <f>'P NP MINAPADI IKAN'!AX36</f>
        <v>0</v>
      </c>
      <c r="BJ29" s="322">
        <f>'P NP MINAPADI IKAN'!AW37</f>
        <v>0</v>
      </c>
      <c r="BK29" s="322">
        <f>'P NP MINAPADI IKAN'!AX37</f>
        <v>0</v>
      </c>
      <c r="BL29" s="322">
        <f>'P NP MINAPADI IKAN'!AW38</f>
        <v>0</v>
      </c>
      <c r="BM29" s="322">
        <f>'P NP MINAPADI IKAN'!AX38</f>
        <v>0</v>
      </c>
      <c r="BN29" s="322">
        <f>'P NP MINAPADI IKAN'!AW39</f>
        <v>0</v>
      </c>
      <c r="BO29" s="322">
        <f>'P NP MINAPADI IKAN'!AX39</f>
        <v>0</v>
      </c>
      <c r="BP29" s="322">
        <f>'P NP MINAPADI IKAN'!AW40</f>
        <v>0</v>
      </c>
      <c r="BQ29" s="322">
        <f>'P NP MINAPADI IKAN'!AX40</f>
        <v>0</v>
      </c>
      <c r="BR29" s="322">
        <f>'P NP MINAPADI IKAN'!AW41</f>
        <v>0</v>
      </c>
      <c r="BS29" s="322">
        <f>'P NP MINAPADI IKAN'!AX41</f>
        <v>0</v>
      </c>
      <c r="BT29" s="322">
        <f>'P NP MINAPADI IKAN'!AW42</f>
        <v>0</v>
      </c>
      <c r="BU29" s="322">
        <f>'P NP MINAPADI IKAN'!AX42</f>
        <v>0</v>
      </c>
      <c r="BV29" s="322">
        <f>'P NP MINAPADI IKAN'!AW43</f>
        <v>0</v>
      </c>
      <c r="BW29" s="322">
        <f>'P NP MINAPADI IKAN'!AX43</f>
        <v>0</v>
      </c>
      <c r="BX29" s="322">
        <f>'P NP MINAPADI IKAN'!AW44</f>
        <v>0</v>
      </c>
      <c r="BY29" s="322">
        <f>'P NP MINAPADI IKAN'!AX44</f>
        <v>0</v>
      </c>
    </row>
    <row r="30" spans="1:77">
      <c r="A30" s="260" t="s">
        <v>123</v>
      </c>
      <c r="B30" s="320">
        <f t="shared" si="2"/>
        <v>0</v>
      </c>
      <c r="C30" s="320">
        <f t="shared" si="3"/>
        <v>0</v>
      </c>
      <c r="D30" s="322">
        <f>'P NP MINAPADI IKAN'!AY8</f>
        <v>0</v>
      </c>
      <c r="E30" s="322">
        <f>'P NP MINAPADI IKAN'!AZ8</f>
        <v>0</v>
      </c>
      <c r="F30" s="322">
        <f>'P NP MINAPADI IKAN'!AY9</f>
        <v>0</v>
      </c>
      <c r="G30" s="322">
        <f>'P NP MINAPADI IKAN'!AZ9</f>
        <v>0</v>
      </c>
      <c r="H30" s="322">
        <f>'P NP MINAPADI IKAN'!AY10</f>
        <v>0</v>
      </c>
      <c r="I30" s="322">
        <f>'P NP MINAPADI IKAN'!AZ10</f>
        <v>0</v>
      </c>
      <c r="J30" s="322">
        <f>'P NP MINAPADI IKAN'!AY11</f>
        <v>0</v>
      </c>
      <c r="K30" s="322">
        <f>'P NP MINAPADI IKAN'!AZ11</f>
        <v>0</v>
      </c>
      <c r="L30" s="322">
        <f>'P NP MINAPADI IKAN'!AY12</f>
        <v>0</v>
      </c>
      <c r="M30" s="322">
        <f>'P NP MINAPADI IKAN'!AZ12</f>
        <v>0</v>
      </c>
      <c r="N30" s="322">
        <f>'P NP MINAPADI IKAN'!AY13</f>
        <v>0</v>
      </c>
      <c r="O30" s="322">
        <f>'P NP MINAPADI IKAN'!AZ13</f>
        <v>0</v>
      </c>
      <c r="P30" s="322">
        <f>'P NP MINAPADI IKAN'!AY14</f>
        <v>0</v>
      </c>
      <c r="Q30" s="322">
        <f>'P NP MINAPADI IKAN'!AZ14</f>
        <v>0</v>
      </c>
      <c r="R30" s="322">
        <f>'P NP MINAPADI IKAN'!AY15</f>
        <v>0</v>
      </c>
      <c r="S30" s="322">
        <f>'P NP MINAPADI IKAN'!AZ15</f>
        <v>0</v>
      </c>
      <c r="T30" s="322">
        <f>'P NP MINAPADI IKAN'!AY16</f>
        <v>0</v>
      </c>
      <c r="U30" s="322">
        <f>'P NP MINAPADI IKAN'!AZ16</f>
        <v>0</v>
      </c>
      <c r="V30" s="322">
        <f>'P NP MINAPADI IKAN'!AY17</f>
        <v>0</v>
      </c>
      <c r="W30" s="322">
        <f>'P NP MINAPADI IKAN'!AZ17</f>
        <v>0</v>
      </c>
      <c r="X30" s="322">
        <f>'P NP MINAPADI IKAN'!AY18</f>
        <v>0</v>
      </c>
      <c r="Y30" s="322">
        <f>'P NP MINAPADI IKAN'!AZ18</f>
        <v>0</v>
      </c>
      <c r="Z30" s="322">
        <f>'P NP MINAPADI IKAN'!AY19</f>
        <v>0</v>
      </c>
      <c r="AA30" s="322">
        <f>'P NP MINAPADI IKAN'!AZ19</f>
        <v>0</v>
      </c>
      <c r="AB30" s="322">
        <f>'P NP MINAPADI IKAN'!AY20</f>
        <v>0</v>
      </c>
      <c r="AC30" s="322">
        <f>'P NP MINAPADI IKAN'!AZ20</f>
        <v>0</v>
      </c>
      <c r="AD30" s="322">
        <f>'P NP MINAPADI IKAN'!AY21</f>
        <v>0</v>
      </c>
      <c r="AE30" s="322">
        <f>'P NP MINAPADI IKAN'!AZ21</f>
        <v>0</v>
      </c>
      <c r="AF30" s="322">
        <f>'P NP MINAPADI IKAN'!AY22</f>
        <v>0</v>
      </c>
      <c r="AG30" s="322">
        <f>'P NP MINAPADI IKAN'!AZ22</f>
        <v>0</v>
      </c>
      <c r="AH30" s="322">
        <f>'P NP MINAPADI IKAN'!AY23</f>
        <v>0</v>
      </c>
      <c r="AI30" s="322">
        <f>'P NP MINAPADI IKAN'!AZ23</f>
        <v>0</v>
      </c>
      <c r="AJ30" s="322">
        <f>'P NP MINAPADI IKAN'!AY24</f>
        <v>0</v>
      </c>
      <c r="AK30" s="322">
        <f>'P NP MINAPADI IKAN'!AZ24</f>
        <v>0</v>
      </c>
      <c r="AL30" s="322">
        <f>'P NP MINAPADI IKAN'!AY25</f>
        <v>0</v>
      </c>
      <c r="AM30" s="322">
        <f>'P NP MINAPADI IKAN'!AZ25</f>
        <v>0</v>
      </c>
      <c r="AN30" s="322">
        <f>'P NP MINAPADI IKAN'!AY26</f>
        <v>0</v>
      </c>
      <c r="AO30" s="322">
        <f>'P NP MINAPADI IKAN'!AZ26</f>
        <v>0</v>
      </c>
      <c r="AP30" s="322">
        <f>'P NP MINAPADI IKAN'!AY27</f>
        <v>0</v>
      </c>
      <c r="AQ30" s="322">
        <f>'P NP MINAPADI IKAN'!AZ27</f>
        <v>0</v>
      </c>
      <c r="AR30" s="322">
        <f>'P NP MINAPADI IKAN'!AY28</f>
        <v>0</v>
      </c>
      <c r="AS30" s="322">
        <f>'P NP MINAPADI IKAN'!AZ28</f>
        <v>0</v>
      </c>
      <c r="AT30" s="322">
        <f>'P NP MINAPADI IKAN'!AY29</f>
        <v>0</v>
      </c>
      <c r="AU30" s="322">
        <f>'P NP MINAPADI IKAN'!AZ29</f>
        <v>0</v>
      </c>
      <c r="AV30" s="322">
        <f>'P NP MINAPADI IKAN'!AY30</f>
        <v>0</v>
      </c>
      <c r="AW30" s="322">
        <f>'P NP MINAPADI IKAN'!AZ30</f>
        <v>0</v>
      </c>
      <c r="AX30" s="322">
        <f>'P NP MINAPADI IKAN'!AY31</f>
        <v>0</v>
      </c>
      <c r="AY30" s="322">
        <f>'P NP MINAPADI IKAN'!AZ31</f>
        <v>0</v>
      </c>
      <c r="AZ30" s="322">
        <f>'P NP MINAPADI IKAN'!AY32</f>
        <v>0</v>
      </c>
      <c r="BA30" s="322">
        <f>'P NP MINAPADI IKAN'!AZ32</f>
        <v>0</v>
      </c>
      <c r="BB30" s="322">
        <f>'P NP MINAPADI IKAN'!AY33</f>
        <v>0</v>
      </c>
      <c r="BC30" s="322">
        <f>'P NP MINAPADI IKAN'!AZ33</f>
        <v>0</v>
      </c>
      <c r="BD30" s="322">
        <f>'P NP MINAPADI IKAN'!AY34</f>
        <v>0</v>
      </c>
      <c r="BE30" s="322">
        <f>'P NP MINAPADI IKAN'!AZ34</f>
        <v>0</v>
      </c>
      <c r="BF30" s="322">
        <f>'P NP MINAPADI IKAN'!AY35</f>
        <v>0</v>
      </c>
      <c r="BG30" s="322">
        <f>'P NP MINAPADI IKAN'!AZ35</f>
        <v>0</v>
      </c>
      <c r="BH30" s="322">
        <f>'P NP MINAPADI IKAN'!AY36</f>
        <v>0</v>
      </c>
      <c r="BI30" s="322">
        <f>'P NP MINAPADI IKAN'!AZ36</f>
        <v>0</v>
      </c>
      <c r="BJ30" s="322">
        <f>'P NP MINAPADI IKAN'!AY37</f>
        <v>0</v>
      </c>
      <c r="BK30" s="322">
        <f>'P NP MINAPADI IKAN'!AZ37</f>
        <v>0</v>
      </c>
      <c r="BL30" s="322">
        <f>'P NP MINAPADI IKAN'!AY38</f>
        <v>0</v>
      </c>
      <c r="BM30" s="322">
        <f>'P NP MINAPADI IKAN'!AZ38</f>
        <v>0</v>
      </c>
      <c r="BN30" s="322">
        <f>'P NP MINAPADI IKAN'!AY39</f>
        <v>0</v>
      </c>
      <c r="BO30" s="322">
        <f>'P NP MINAPADI IKAN'!AZ39</f>
        <v>0</v>
      </c>
      <c r="BP30" s="322">
        <f>'P NP MINAPADI IKAN'!AY40</f>
        <v>0</v>
      </c>
      <c r="BQ30" s="322">
        <f>'P NP MINAPADI IKAN'!AZ40</f>
        <v>0</v>
      </c>
      <c r="BR30" s="322">
        <f>'P NP MINAPADI IKAN'!AY41</f>
        <v>0</v>
      </c>
      <c r="BS30" s="322">
        <f>'P NP MINAPADI IKAN'!AZ41</f>
        <v>0</v>
      </c>
      <c r="BT30" s="322">
        <f>'P NP MINAPADI IKAN'!AY42</f>
        <v>0</v>
      </c>
      <c r="BU30" s="322">
        <f>'P NP MINAPADI IKAN'!AZ42</f>
        <v>0</v>
      </c>
      <c r="BV30" s="322">
        <f>'P NP MINAPADI IKAN'!AY43</f>
        <v>0</v>
      </c>
      <c r="BW30" s="322">
        <f>'P NP MINAPADI IKAN'!AZ43</f>
        <v>0</v>
      </c>
      <c r="BX30" s="322">
        <f>'P NP MINAPADI IKAN'!AY44</f>
        <v>0</v>
      </c>
      <c r="BY30" s="322">
        <f>'P NP MINAPADI IKAN'!AZ44</f>
        <v>0</v>
      </c>
    </row>
    <row r="31" spans="1:77">
      <c r="A31" s="260" t="s">
        <v>140</v>
      </c>
      <c r="B31" s="320">
        <f t="shared" si="2"/>
        <v>0</v>
      </c>
      <c r="C31" s="320">
        <f t="shared" si="3"/>
        <v>0</v>
      </c>
      <c r="D31" s="322">
        <f>'P NP MINAPADI IKAN'!BA8</f>
        <v>0</v>
      </c>
      <c r="E31" s="322">
        <f>'P NP MINAPADI IKAN'!BB8</f>
        <v>0</v>
      </c>
      <c r="F31" s="322">
        <f>'P NP MINAPADI IKAN'!BA9</f>
        <v>0</v>
      </c>
      <c r="G31" s="322">
        <f>'P NP MINAPADI IKAN'!BB9</f>
        <v>0</v>
      </c>
      <c r="H31" s="322">
        <f>'P NP MINAPADI IKAN'!BA10</f>
        <v>0</v>
      </c>
      <c r="I31" s="322">
        <f>'P NP MINAPADI IKAN'!BB10</f>
        <v>0</v>
      </c>
      <c r="J31" s="322">
        <f>'P NP MINAPADI IKAN'!BA11</f>
        <v>0</v>
      </c>
      <c r="K31" s="322">
        <f>'P NP MINAPADI IKAN'!BB11</f>
        <v>0</v>
      </c>
      <c r="L31" s="322">
        <f>'P NP MINAPADI IKAN'!BA12</f>
        <v>0</v>
      </c>
      <c r="M31" s="322">
        <f>'P NP MINAPADI IKAN'!BB12</f>
        <v>0</v>
      </c>
      <c r="N31" s="322">
        <f>'P NP MINAPADI IKAN'!BA13</f>
        <v>0</v>
      </c>
      <c r="O31" s="322">
        <f>'P NP MINAPADI IKAN'!BB13</f>
        <v>0</v>
      </c>
      <c r="P31" s="322">
        <f>'P NP MINAPADI IKAN'!BA14</f>
        <v>0</v>
      </c>
      <c r="Q31" s="322">
        <f>'P NP MINAPADI IKAN'!BB14</f>
        <v>0</v>
      </c>
      <c r="R31" s="322">
        <f>'P NP MINAPADI IKAN'!BA15</f>
        <v>0</v>
      </c>
      <c r="S31" s="322">
        <f>'P NP MINAPADI IKAN'!BB15</f>
        <v>0</v>
      </c>
      <c r="T31" s="322">
        <f>'P NP MINAPADI IKAN'!BA16</f>
        <v>0</v>
      </c>
      <c r="U31" s="322">
        <f>'P NP MINAPADI IKAN'!BB16</f>
        <v>0</v>
      </c>
      <c r="V31" s="322">
        <f>'P NP MINAPADI IKAN'!BA17</f>
        <v>0</v>
      </c>
      <c r="W31" s="322">
        <f>'P NP MINAPADI IKAN'!BB17</f>
        <v>0</v>
      </c>
      <c r="X31" s="322">
        <f>'P NP MINAPADI IKAN'!BA18</f>
        <v>0</v>
      </c>
      <c r="Y31" s="322">
        <f>'P NP MINAPADI IKAN'!BB18</f>
        <v>0</v>
      </c>
      <c r="Z31" s="322">
        <f>'P NP MINAPADI IKAN'!BA19</f>
        <v>0</v>
      </c>
      <c r="AA31" s="322">
        <f>'P NP MINAPADI IKAN'!BB19</f>
        <v>0</v>
      </c>
      <c r="AB31" s="322">
        <f>'P NP MINAPADI IKAN'!BA20</f>
        <v>0</v>
      </c>
      <c r="AC31" s="322">
        <f>'P NP MINAPADI IKAN'!BB20</f>
        <v>0</v>
      </c>
      <c r="AD31" s="322">
        <f>'P NP MINAPADI IKAN'!BA21</f>
        <v>0</v>
      </c>
      <c r="AE31" s="322">
        <f>'P NP MINAPADI IKAN'!BB21</f>
        <v>0</v>
      </c>
      <c r="AF31" s="322">
        <f>'P NP MINAPADI IKAN'!BA22</f>
        <v>0</v>
      </c>
      <c r="AG31" s="322">
        <f>'P NP MINAPADI IKAN'!BB22</f>
        <v>0</v>
      </c>
      <c r="AH31" s="322">
        <f>'P NP MINAPADI IKAN'!BA23</f>
        <v>0</v>
      </c>
      <c r="AI31" s="322">
        <f>'P NP MINAPADI IKAN'!BB23</f>
        <v>0</v>
      </c>
      <c r="AJ31" s="322">
        <f>'P NP MINAPADI IKAN'!BA24</f>
        <v>0</v>
      </c>
      <c r="AK31" s="322">
        <f>'P NP MINAPADI IKAN'!BB24</f>
        <v>0</v>
      </c>
      <c r="AL31" s="322">
        <f>'P NP MINAPADI IKAN'!BA25</f>
        <v>0</v>
      </c>
      <c r="AM31" s="322">
        <f>'P NP MINAPADI IKAN'!BB25</f>
        <v>0</v>
      </c>
      <c r="AN31" s="322">
        <f>'P NP MINAPADI IKAN'!BA26</f>
        <v>0</v>
      </c>
      <c r="AO31" s="322">
        <f>'P NP MINAPADI IKAN'!BB26</f>
        <v>0</v>
      </c>
      <c r="AP31" s="322">
        <f>'P NP MINAPADI IKAN'!BA27</f>
        <v>0</v>
      </c>
      <c r="AQ31" s="322">
        <f>'P NP MINAPADI IKAN'!BB27</f>
        <v>0</v>
      </c>
      <c r="AR31" s="322">
        <f>'P NP MINAPADI IKAN'!BA28</f>
        <v>0</v>
      </c>
      <c r="AS31" s="322">
        <f>'P NP MINAPADI IKAN'!BB28</f>
        <v>0</v>
      </c>
      <c r="AT31" s="322">
        <f>'P NP MINAPADI IKAN'!BA29</f>
        <v>0</v>
      </c>
      <c r="AU31" s="322">
        <f>'P NP MINAPADI IKAN'!BB29</f>
        <v>0</v>
      </c>
      <c r="AV31" s="322">
        <f>'P NP MINAPADI IKAN'!BA30</f>
        <v>0</v>
      </c>
      <c r="AW31" s="322">
        <f>'P NP MINAPADI IKAN'!BB30</f>
        <v>0</v>
      </c>
      <c r="AX31" s="322">
        <f>'P NP MINAPADI IKAN'!BA31</f>
        <v>0</v>
      </c>
      <c r="AY31" s="322">
        <f>'P NP MINAPADI IKAN'!BB31</f>
        <v>0</v>
      </c>
      <c r="AZ31" s="322">
        <f>'P NP MINAPADI IKAN'!BA32</f>
        <v>0</v>
      </c>
      <c r="BA31" s="322">
        <f>'P NP MINAPADI IKAN'!BB32</f>
        <v>0</v>
      </c>
      <c r="BB31" s="322">
        <f>'P NP MINAPADI IKAN'!BA33</f>
        <v>0</v>
      </c>
      <c r="BC31" s="322">
        <f>'P NP MINAPADI IKAN'!BB33</f>
        <v>0</v>
      </c>
      <c r="BD31" s="322">
        <f>'P NP MINAPADI IKAN'!BA34</f>
        <v>0</v>
      </c>
      <c r="BE31" s="322">
        <f>'P NP MINAPADI IKAN'!BB34</f>
        <v>0</v>
      </c>
      <c r="BF31" s="322">
        <f>'P NP MINAPADI IKAN'!BA35</f>
        <v>0</v>
      </c>
      <c r="BG31" s="322">
        <f>'P NP MINAPADI IKAN'!BB35</f>
        <v>0</v>
      </c>
      <c r="BH31" s="322">
        <f>'P NP MINAPADI IKAN'!BA36</f>
        <v>0</v>
      </c>
      <c r="BI31" s="322">
        <f>'P NP MINAPADI IKAN'!BB36</f>
        <v>0</v>
      </c>
      <c r="BJ31" s="322">
        <f>'P NP MINAPADI IKAN'!BA37</f>
        <v>0</v>
      </c>
      <c r="BK31" s="322">
        <f>'P NP MINAPADI IKAN'!BB37</f>
        <v>0</v>
      </c>
      <c r="BL31" s="322">
        <f>'P NP MINAPADI IKAN'!BA38</f>
        <v>0</v>
      </c>
      <c r="BM31" s="322">
        <f>'P NP MINAPADI IKAN'!BB38</f>
        <v>0</v>
      </c>
      <c r="BN31" s="322">
        <f>'P NP MINAPADI IKAN'!BA39</f>
        <v>0</v>
      </c>
      <c r="BO31" s="322">
        <f>'P NP MINAPADI IKAN'!BB39</f>
        <v>0</v>
      </c>
      <c r="BP31" s="322">
        <f>'P NP MINAPADI IKAN'!BA40</f>
        <v>0</v>
      </c>
      <c r="BQ31" s="322">
        <f>'P NP MINAPADI IKAN'!BB40</f>
        <v>0</v>
      </c>
      <c r="BR31" s="322">
        <f>'P NP MINAPADI IKAN'!BA41</f>
        <v>0</v>
      </c>
      <c r="BS31" s="322">
        <f>'P NP MINAPADI IKAN'!BB41</f>
        <v>0</v>
      </c>
      <c r="BT31" s="322">
        <f>'P NP MINAPADI IKAN'!BA42</f>
        <v>0</v>
      </c>
      <c r="BU31" s="322">
        <f>'P NP MINAPADI IKAN'!BB42</f>
        <v>0</v>
      </c>
      <c r="BV31" s="322">
        <f>'P NP MINAPADI IKAN'!BA43</f>
        <v>0</v>
      </c>
      <c r="BW31" s="322">
        <f>'P NP MINAPADI IKAN'!BB43</f>
        <v>0</v>
      </c>
      <c r="BX31" s="322">
        <f>'P NP MINAPADI IKAN'!BA44</f>
        <v>0</v>
      </c>
      <c r="BY31" s="322">
        <f>'P NP MINAPADI IKAN'!BB44</f>
        <v>0</v>
      </c>
    </row>
    <row r="32" spans="1:77">
      <c r="A32" s="260" t="s">
        <v>114</v>
      </c>
      <c r="B32" s="320">
        <f t="shared" si="2"/>
        <v>0</v>
      </c>
      <c r="C32" s="320">
        <f t="shared" si="3"/>
        <v>0</v>
      </c>
      <c r="D32" s="322">
        <f>'P NP MINAPADI IKAN'!BC8</f>
        <v>0</v>
      </c>
      <c r="E32" s="322">
        <f>'P NP MINAPADI IKAN'!BD8</f>
        <v>0</v>
      </c>
      <c r="F32" s="322">
        <f>'P NP MINAPADI IKAN'!BC9</f>
        <v>0</v>
      </c>
      <c r="G32" s="322">
        <f>'P NP MINAPADI IKAN'!BD9</f>
        <v>0</v>
      </c>
      <c r="H32" s="322">
        <f>'P NP MINAPADI IKAN'!BC10</f>
        <v>0</v>
      </c>
      <c r="I32" s="322">
        <f>'P NP MINAPADI IKAN'!BD10</f>
        <v>0</v>
      </c>
      <c r="J32" s="322">
        <f>'P NP MINAPADI IKAN'!BC11</f>
        <v>0</v>
      </c>
      <c r="K32" s="322">
        <f>'P NP MINAPADI IKAN'!BD11</f>
        <v>0</v>
      </c>
      <c r="L32" s="322">
        <f>'P NP MINAPADI IKAN'!BC12</f>
        <v>0</v>
      </c>
      <c r="M32" s="322">
        <f>'P NP MINAPADI IKAN'!BD12</f>
        <v>0</v>
      </c>
      <c r="N32" s="322">
        <f>'P NP MINAPADI IKAN'!BC13</f>
        <v>0</v>
      </c>
      <c r="O32" s="322">
        <f>'P NP MINAPADI IKAN'!BD13</f>
        <v>0</v>
      </c>
      <c r="P32" s="322">
        <f>'P NP MINAPADI IKAN'!BC14</f>
        <v>0</v>
      </c>
      <c r="Q32" s="322">
        <f>'P NP MINAPADI IKAN'!BD14</f>
        <v>0</v>
      </c>
      <c r="R32" s="322">
        <f>'P NP MINAPADI IKAN'!BC15</f>
        <v>0</v>
      </c>
      <c r="S32" s="322">
        <f>'P NP MINAPADI IKAN'!BD15</f>
        <v>0</v>
      </c>
      <c r="T32" s="322">
        <f>'P NP MINAPADI IKAN'!BC16</f>
        <v>0</v>
      </c>
      <c r="U32" s="322">
        <f>'P NP MINAPADI IKAN'!BD16</f>
        <v>0</v>
      </c>
      <c r="V32" s="322">
        <f>'P NP MINAPADI IKAN'!BC17</f>
        <v>0</v>
      </c>
      <c r="W32" s="322">
        <f>'P NP MINAPADI IKAN'!BD17</f>
        <v>0</v>
      </c>
      <c r="X32" s="322">
        <f>'P NP MINAPADI IKAN'!BC18</f>
        <v>0</v>
      </c>
      <c r="Y32" s="322">
        <f>'P NP MINAPADI IKAN'!BD18</f>
        <v>0</v>
      </c>
      <c r="Z32" s="322">
        <f>'P NP MINAPADI IKAN'!BC19</f>
        <v>0</v>
      </c>
      <c r="AA32" s="322">
        <f>'P NP MINAPADI IKAN'!BD19</f>
        <v>0</v>
      </c>
      <c r="AB32" s="322">
        <f>'P NP MINAPADI IKAN'!BC20</f>
        <v>0</v>
      </c>
      <c r="AC32" s="322">
        <f>'P NP MINAPADI IKAN'!BD20</f>
        <v>0</v>
      </c>
      <c r="AD32" s="322">
        <f>'P NP MINAPADI IKAN'!BC21</f>
        <v>0</v>
      </c>
      <c r="AE32" s="322">
        <f>'P NP MINAPADI IKAN'!BD21</f>
        <v>0</v>
      </c>
      <c r="AF32" s="322">
        <f>'P NP MINAPADI IKAN'!BC22</f>
        <v>0</v>
      </c>
      <c r="AG32" s="322">
        <f>'P NP MINAPADI IKAN'!BD22</f>
        <v>0</v>
      </c>
      <c r="AH32" s="322">
        <f>'P NP MINAPADI IKAN'!BC23</f>
        <v>0</v>
      </c>
      <c r="AI32" s="322">
        <f>'P NP MINAPADI IKAN'!BD23</f>
        <v>0</v>
      </c>
      <c r="AJ32" s="322">
        <f>'P NP MINAPADI IKAN'!BC24</f>
        <v>0</v>
      </c>
      <c r="AK32" s="322">
        <f>'P NP MINAPADI IKAN'!BD24</f>
        <v>0</v>
      </c>
      <c r="AL32" s="322">
        <f>'P NP MINAPADI IKAN'!BC25</f>
        <v>0</v>
      </c>
      <c r="AM32" s="322">
        <f>'P NP MINAPADI IKAN'!BD25</f>
        <v>0</v>
      </c>
      <c r="AN32" s="322">
        <f>'P NP MINAPADI IKAN'!BC26</f>
        <v>0</v>
      </c>
      <c r="AO32" s="322">
        <f>'P NP MINAPADI IKAN'!BD26</f>
        <v>0</v>
      </c>
      <c r="AP32" s="322">
        <f>'P NP MINAPADI IKAN'!BC27</f>
        <v>0</v>
      </c>
      <c r="AQ32" s="322">
        <f>'P NP MINAPADI IKAN'!BD27</f>
        <v>0</v>
      </c>
      <c r="AR32" s="322">
        <f>'P NP MINAPADI IKAN'!BC28</f>
        <v>0</v>
      </c>
      <c r="AS32" s="322">
        <f>'P NP MINAPADI IKAN'!BD28</f>
        <v>0</v>
      </c>
      <c r="AT32" s="322">
        <f>'P NP MINAPADI IKAN'!BC29</f>
        <v>0</v>
      </c>
      <c r="AU32" s="322">
        <f>'P NP MINAPADI IKAN'!BD29</f>
        <v>0</v>
      </c>
      <c r="AV32" s="322">
        <f>'P NP MINAPADI IKAN'!BC30</f>
        <v>0</v>
      </c>
      <c r="AW32" s="322">
        <f>'P NP MINAPADI IKAN'!BD30</f>
        <v>0</v>
      </c>
      <c r="AX32" s="322">
        <f>'P NP MINAPADI IKAN'!BC31</f>
        <v>0</v>
      </c>
      <c r="AY32" s="322">
        <f>'P NP MINAPADI IKAN'!BD31</f>
        <v>0</v>
      </c>
      <c r="AZ32" s="322">
        <f>'P NP MINAPADI IKAN'!BC32</f>
        <v>0</v>
      </c>
      <c r="BA32" s="322">
        <f>'P NP MINAPADI IKAN'!BD32</f>
        <v>0</v>
      </c>
      <c r="BB32" s="322">
        <f>'P NP MINAPADI IKAN'!BC33</f>
        <v>0</v>
      </c>
      <c r="BC32" s="322">
        <f>'P NP MINAPADI IKAN'!BD33</f>
        <v>0</v>
      </c>
      <c r="BD32" s="322">
        <f>'P NP MINAPADI IKAN'!BC34</f>
        <v>0</v>
      </c>
      <c r="BE32" s="322">
        <f>'P NP MINAPADI IKAN'!BD34</f>
        <v>0</v>
      </c>
      <c r="BF32" s="322">
        <f>'P NP MINAPADI IKAN'!BC35</f>
        <v>0</v>
      </c>
      <c r="BG32" s="322">
        <f>'P NP MINAPADI IKAN'!BD35</f>
        <v>0</v>
      </c>
      <c r="BH32" s="322">
        <f>'P NP MINAPADI IKAN'!BC36</f>
        <v>0</v>
      </c>
      <c r="BI32" s="322">
        <f>'P NP MINAPADI IKAN'!BD36</f>
        <v>0</v>
      </c>
      <c r="BJ32" s="322">
        <f>'P NP MINAPADI IKAN'!BC37</f>
        <v>0</v>
      </c>
      <c r="BK32" s="322">
        <f>'P NP MINAPADI IKAN'!BD37</f>
        <v>0</v>
      </c>
      <c r="BL32" s="322">
        <f>'P NP MINAPADI IKAN'!BC38</f>
        <v>0</v>
      </c>
      <c r="BM32" s="322">
        <f>'P NP MINAPADI IKAN'!BD38</f>
        <v>0</v>
      </c>
      <c r="BN32" s="322">
        <f>'P NP MINAPADI IKAN'!BC39</f>
        <v>0</v>
      </c>
      <c r="BO32" s="322">
        <f>'P NP MINAPADI IKAN'!BD39</f>
        <v>0</v>
      </c>
      <c r="BP32" s="322">
        <f>'P NP MINAPADI IKAN'!BC40</f>
        <v>0</v>
      </c>
      <c r="BQ32" s="322">
        <f>'P NP MINAPADI IKAN'!BD40</f>
        <v>0</v>
      </c>
      <c r="BR32" s="322">
        <f>'P NP MINAPADI IKAN'!BC41</f>
        <v>0</v>
      </c>
      <c r="BS32" s="322">
        <f>'P NP MINAPADI IKAN'!BD41</f>
        <v>0</v>
      </c>
      <c r="BT32" s="322">
        <f>'P NP MINAPADI IKAN'!BC42</f>
        <v>0</v>
      </c>
      <c r="BU32" s="322">
        <f>'P NP MINAPADI IKAN'!BD42</f>
        <v>0</v>
      </c>
      <c r="BV32" s="322">
        <f>'P NP MINAPADI IKAN'!BC43</f>
        <v>0</v>
      </c>
      <c r="BW32" s="322">
        <f>'P NP MINAPADI IKAN'!BD43</f>
        <v>0</v>
      </c>
      <c r="BX32" s="322">
        <f>'P NP MINAPADI IKAN'!BC44</f>
        <v>0</v>
      </c>
      <c r="BY32" s="322">
        <f>'P NP MINAPADI IKAN'!BD44</f>
        <v>0</v>
      </c>
    </row>
    <row r="33" spans="1:77">
      <c r="A33" s="260" t="s">
        <v>134</v>
      </c>
      <c r="B33" s="320">
        <f t="shared" si="2"/>
        <v>15223090</v>
      </c>
      <c r="C33" s="320">
        <f t="shared" si="3"/>
        <v>422091360</v>
      </c>
      <c r="D33" s="322">
        <f>'P NP MINAPADI IKAN'!BE8</f>
        <v>5012570</v>
      </c>
      <c r="E33" s="322">
        <f>'P NP MINAPADI IKAN'!BF8</f>
        <v>99016440</v>
      </c>
      <c r="F33" s="322">
        <f>'P NP MINAPADI IKAN'!BE9</f>
        <v>0</v>
      </c>
      <c r="G33" s="322">
        <f>'P NP MINAPADI IKAN'!BF9</f>
        <v>0</v>
      </c>
      <c r="H33" s="322">
        <f>'P NP MINAPADI IKAN'!BE10</f>
        <v>0</v>
      </c>
      <c r="I33" s="322">
        <f>'P NP MINAPADI IKAN'!BF10</f>
        <v>0</v>
      </c>
      <c r="J33" s="322">
        <f>'P NP MINAPADI IKAN'!BE11</f>
        <v>0</v>
      </c>
      <c r="K33" s="322">
        <f>'P NP MINAPADI IKAN'!BF11</f>
        <v>0</v>
      </c>
      <c r="L33" s="322">
        <f>'P NP MINAPADI IKAN'!BE12</f>
        <v>0</v>
      </c>
      <c r="M33" s="322">
        <f>'P NP MINAPADI IKAN'!BF12</f>
        <v>0</v>
      </c>
      <c r="N33" s="322">
        <f>'P NP MINAPADI IKAN'!BE13</f>
        <v>0</v>
      </c>
      <c r="O33" s="322">
        <f>'P NP MINAPADI IKAN'!BF13</f>
        <v>0</v>
      </c>
      <c r="P33" s="322">
        <f>'P NP MINAPADI IKAN'!BE14</f>
        <v>0</v>
      </c>
      <c r="Q33" s="322">
        <f>'P NP MINAPADI IKAN'!BF14</f>
        <v>0</v>
      </c>
      <c r="R33" s="322">
        <f>'P NP MINAPADI IKAN'!BE15</f>
        <v>0</v>
      </c>
      <c r="S33" s="322">
        <f>'P NP MINAPADI IKAN'!BF15</f>
        <v>0</v>
      </c>
      <c r="T33" s="322">
        <f>'P NP MINAPADI IKAN'!BE16</f>
        <v>0</v>
      </c>
      <c r="U33" s="322">
        <f>'P NP MINAPADI IKAN'!BF16</f>
        <v>0</v>
      </c>
      <c r="V33" s="322">
        <f>'P NP MINAPADI IKAN'!BE17</f>
        <v>0</v>
      </c>
      <c r="W33" s="322">
        <f>'P NP MINAPADI IKAN'!BF17</f>
        <v>0</v>
      </c>
      <c r="X33" s="322">
        <f>'P NP MINAPADI IKAN'!BE18</f>
        <v>0</v>
      </c>
      <c r="Y33" s="322">
        <f>'P NP MINAPADI IKAN'!BF18</f>
        <v>0</v>
      </c>
      <c r="Z33" s="322">
        <f>'P NP MINAPADI IKAN'!BE19</f>
        <v>0</v>
      </c>
      <c r="AA33" s="322">
        <f>'P NP MINAPADI IKAN'!BF19</f>
        <v>0</v>
      </c>
      <c r="AB33" s="322">
        <f>'P NP MINAPADI IKAN'!BE20</f>
        <v>0</v>
      </c>
      <c r="AC33" s="322">
        <f>'P NP MINAPADI IKAN'!BF20</f>
        <v>0</v>
      </c>
      <c r="AD33" s="322">
        <f>'P NP MINAPADI IKAN'!BE21</f>
        <v>0</v>
      </c>
      <c r="AE33" s="322">
        <f>'P NP MINAPADI IKAN'!BF21</f>
        <v>0</v>
      </c>
      <c r="AF33" s="322">
        <f>'P NP MINAPADI IKAN'!BE22</f>
        <v>0</v>
      </c>
      <c r="AG33" s="322">
        <f>'P NP MINAPADI IKAN'!BF22</f>
        <v>0</v>
      </c>
      <c r="AH33" s="322">
        <f>'P NP MINAPADI IKAN'!BE23</f>
        <v>0</v>
      </c>
      <c r="AI33" s="322">
        <f>'P NP MINAPADI IKAN'!BF23</f>
        <v>0</v>
      </c>
      <c r="AJ33" s="322">
        <f>'P NP MINAPADI IKAN'!BE24</f>
        <v>1671920</v>
      </c>
      <c r="AK33" s="322">
        <f>'P NP MINAPADI IKAN'!BF24</f>
        <v>30094560</v>
      </c>
      <c r="AL33" s="322">
        <f>'P NP MINAPADI IKAN'!BE25</f>
        <v>35120</v>
      </c>
      <c r="AM33" s="322">
        <f>'P NP MINAPADI IKAN'!BF25</f>
        <v>421440</v>
      </c>
      <c r="AN33" s="322">
        <f>'P NP MINAPADI IKAN'!BE26</f>
        <v>1800760</v>
      </c>
      <c r="AO33" s="322">
        <f>'P NP MINAPADI IKAN'!BF26</f>
        <v>32129700</v>
      </c>
      <c r="AP33" s="322">
        <f>'P NP MINAPADI IKAN'!BE27</f>
        <v>12990</v>
      </c>
      <c r="AQ33" s="322">
        <f>'P NP MINAPADI IKAN'!BF27</f>
        <v>194850</v>
      </c>
      <c r="AR33" s="322">
        <f>'P NP MINAPADI IKAN'!BE28</f>
        <v>0</v>
      </c>
      <c r="AS33" s="322">
        <f>'P NP MINAPADI IKAN'!BF28</f>
        <v>0</v>
      </c>
      <c r="AT33" s="322">
        <f>'P NP MINAPADI IKAN'!BE29</f>
        <v>1534880</v>
      </c>
      <c r="AU33" s="322">
        <f>'P NP MINAPADI IKAN'!BF29</f>
        <v>22176870</v>
      </c>
      <c r="AV33" s="322">
        <f>'P NP MINAPADI IKAN'!BE30</f>
        <v>0</v>
      </c>
      <c r="AW33" s="322">
        <f>'P NP MINAPADI IKAN'!BF30</f>
        <v>0</v>
      </c>
      <c r="AX33" s="322">
        <f>'P NP MINAPADI IKAN'!BE31</f>
        <v>0</v>
      </c>
      <c r="AY33" s="322">
        <f>'P NP MINAPADI IKAN'!BF31</f>
        <v>0</v>
      </c>
      <c r="AZ33" s="322">
        <f>'P NP MINAPADI IKAN'!BE32</f>
        <v>0</v>
      </c>
      <c r="BA33" s="322">
        <f>'P NP MINAPADI IKAN'!BF32</f>
        <v>0</v>
      </c>
      <c r="BB33" s="322">
        <f>'P NP MINAPADI IKAN'!BE33</f>
        <v>4549820</v>
      </c>
      <c r="BC33" s="322">
        <f>'P NP MINAPADI IKAN'!BF33</f>
        <v>225956900</v>
      </c>
      <c r="BD33" s="322">
        <f>'P NP MINAPADI IKAN'!BE34</f>
        <v>0</v>
      </c>
      <c r="BE33" s="322">
        <f>'P NP MINAPADI IKAN'!BF34</f>
        <v>0</v>
      </c>
      <c r="BF33" s="322">
        <f>'P NP MINAPADI IKAN'!BE35</f>
        <v>0</v>
      </c>
      <c r="BG33" s="322">
        <f>'P NP MINAPADI IKAN'!BF35</f>
        <v>0</v>
      </c>
      <c r="BH33" s="322">
        <f>'P NP MINAPADI IKAN'!BE36</f>
        <v>0</v>
      </c>
      <c r="BI33" s="322">
        <f>'P NP MINAPADI IKAN'!BF36</f>
        <v>0</v>
      </c>
      <c r="BJ33" s="322">
        <f>'P NP MINAPADI IKAN'!BE37</f>
        <v>0</v>
      </c>
      <c r="BK33" s="322">
        <f>'P NP MINAPADI IKAN'!BF37</f>
        <v>0</v>
      </c>
      <c r="BL33" s="322">
        <f>'P NP MINAPADI IKAN'!BE38</f>
        <v>0</v>
      </c>
      <c r="BM33" s="322">
        <f>'P NP MINAPADI IKAN'!BF38</f>
        <v>0</v>
      </c>
      <c r="BN33" s="322">
        <f>'P NP MINAPADI IKAN'!BE39</f>
        <v>0</v>
      </c>
      <c r="BO33" s="322">
        <f>'P NP MINAPADI IKAN'!BF39</f>
        <v>0</v>
      </c>
      <c r="BP33" s="322">
        <f>'P NP MINAPADI IKAN'!BE40</f>
        <v>0</v>
      </c>
      <c r="BQ33" s="322">
        <f>'P NP MINAPADI IKAN'!BF40</f>
        <v>0</v>
      </c>
      <c r="BR33" s="322">
        <f>'P NP MINAPADI IKAN'!BE41</f>
        <v>0</v>
      </c>
      <c r="BS33" s="322">
        <f>'P NP MINAPADI IKAN'!BF41</f>
        <v>0</v>
      </c>
      <c r="BT33" s="322">
        <f>'P NP MINAPADI IKAN'!BE42</f>
        <v>0</v>
      </c>
      <c r="BU33" s="322">
        <f>'P NP MINAPADI IKAN'!BF42</f>
        <v>0</v>
      </c>
      <c r="BV33" s="322">
        <f>'P NP MINAPADI IKAN'!BE43</f>
        <v>0</v>
      </c>
      <c r="BW33" s="322">
        <f>'P NP MINAPADI IKAN'!BF43</f>
        <v>0</v>
      </c>
      <c r="BX33" s="322">
        <f>'P NP MINAPADI IKAN'!BE44</f>
        <v>605030</v>
      </c>
      <c r="BY33" s="322">
        <f>'P NP MINAPADI IKAN'!BF44</f>
        <v>12100600</v>
      </c>
    </row>
    <row r="34" spans="1:77">
      <c r="A34" s="260" t="s">
        <v>115</v>
      </c>
      <c r="B34" s="320">
        <f t="shared" si="2"/>
        <v>0</v>
      </c>
      <c r="C34" s="320">
        <f t="shared" si="3"/>
        <v>0</v>
      </c>
      <c r="D34" s="322">
        <f>'P NP MINAPADI IKAN'!BG8</f>
        <v>0</v>
      </c>
      <c r="E34" s="322">
        <f>'P NP MINAPADI IKAN'!BH8</f>
        <v>0</v>
      </c>
      <c r="F34" s="322">
        <f>'P NP MINAPADI IKAN'!BG9</f>
        <v>0</v>
      </c>
      <c r="G34" s="322">
        <f>'P NP MINAPADI IKAN'!BH9</f>
        <v>0</v>
      </c>
      <c r="H34" s="322">
        <f>'P NP MINAPADI IKAN'!BG10</f>
        <v>0</v>
      </c>
      <c r="I34" s="322">
        <f>'P NP MINAPADI IKAN'!BH10</f>
        <v>0</v>
      </c>
      <c r="J34" s="322">
        <f>'P NP MINAPADI IKAN'!BG11</f>
        <v>0</v>
      </c>
      <c r="K34" s="322">
        <f>'P NP MINAPADI IKAN'!BH11</f>
        <v>0</v>
      </c>
      <c r="L34" s="322">
        <f>'P NP MINAPADI IKAN'!BG12</f>
        <v>0</v>
      </c>
      <c r="M34" s="322">
        <f>'P NP MINAPADI IKAN'!BH12</f>
        <v>0</v>
      </c>
      <c r="N34" s="322">
        <f>'P NP MINAPADI IKAN'!BG13</f>
        <v>0</v>
      </c>
      <c r="O34" s="322">
        <f>'P NP MINAPADI IKAN'!BH13</f>
        <v>0</v>
      </c>
      <c r="P34" s="322">
        <f>'P NP MINAPADI IKAN'!BG14</f>
        <v>0</v>
      </c>
      <c r="Q34" s="322">
        <f>'P NP MINAPADI IKAN'!BH14</f>
        <v>0</v>
      </c>
      <c r="R34" s="322">
        <f>'P NP MINAPADI IKAN'!BG15</f>
        <v>0</v>
      </c>
      <c r="S34" s="322">
        <f>'P NP MINAPADI IKAN'!BH15</f>
        <v>0</v>
      </c>
      <c r="T34" s="322">
        <f>'P NP MINAPADI IKAN'!BG16</f>
        <v>0</v>
      </c>
      <c r="U34" s="322">
        <f>'P NP MINAPADI IKAN'!BH16</f>
        <v>0</v>
      </c>
      <c r="V34" s="322">
        <f>'P NP MINAPADI IKAN'!BG17</f>
        <v>0</v>
      </c>
      <c r="W34" s="322">
        <f>'P NP MINAPADI IKAN'!BH17</f>
        <v>0</v>
      </c>
      <c r="X34" s="322">
        <f>'P NP MINAPADI IKAN'!BG18</f>
        <v>0</v>
      </c>
      <c r="Y34" s="322">
        <f>'P NP MINAPADI IKAN'!BH18</f>
        <v>0</v>
      </c>
      <c r="Z34" s="322">
        <f>'P NP MINAPADI IKAN'!BG19</f>
        <v>0</v>
      </c>
      <c r="AA34" s="322">
        <f>'P NP MINAPADI IKAN'!BH19</f>
        <v>0</v>
      </c>
      <c r="AB34" s="322">
        <f>'P NP MINAPADI IKAN'!BG20</f>
        <v>0</v>
      </c>
      <c r="AC34" s="322">
        <f>'P NP MINAPADI IKAN'!BH20</f>
        <v>0</v>
      </c>
      <c r="AD34" s="322">
        <f>'P NP MINAPADI IKAN'!BG21</f>
        <v>0</v>
      </c>
      <c r="AE34" s="322">
        <f>'P NP MINAPADI IKAN'!BH21</f>
        <v>0</v>
      </c>
      <c r="AF34" s="322">
        <f>'P NP MINAPADI IKAN'!BG22</f>
        <v>0</v>
      </c>
      <c r="AG34" s="322">
        <f>'P NP MINAPADI IKAN'!BH22</f>
        <v>0</v>
      </c>
      <c r="AH34" s="322">
        <f>'P NP MINAPADI IKAN'!BG23</f>
        <v>0</v>
      </c>
      <c r="AI34" s="322">
        <f>'P NP MINAPADI IKAN'!BH23</f>
        <v>0</v>
      </c>
      <c r="AJ34" s="322">
        <f>'P NP MINAPADI IKAN'!BG24</f>
        <v>0</v>
      </c>
      <c r="AK34" s="322">
        <f>'P NP MINAPADI IKAN'!BH24</f>
        <v>0</v>
      </c>
      <c r="AL34" s="322">
        <f>'P NP MINAPADI IKAN'!BG25</f>
        <v>0</v>
      </c>
      <c r="AM34" s="322">
        <f>'P NP MINAPADI IKAN'!BH25</f>
        <v>0</v>
      </c>
      <c r="AN34" s="322">
        <f>'P NP MINAPADI IKAN'!BG26</f>
        <v>0</v>
      </c>
      <c r="AO34" s="322">
        <f>'P NP MINAPADI IKAN'!BH26</f>
        <v>0</v>
      </c>
      <c r="AP34" s="322">
        <f>'P NP MINAPADI IKAN'!BG27</f>
        <v>0</v>
      </c>
      <c r="AQ34" s="322">
        <f>'P NP MINAPADI IKAN'!BH27</f>
        <v>0</v>
      </c>
      <c r="AR34" s="322">
        <f>'P NP MINAPADI IKAN'!BG28</f>
        <v>0</v>
      </c>
      <c r="AS34" s="322">
        <f>'P NP MINAPADI IKAN'!BH28</f>
        <v>0</v>
      </c>
      <c r="AT34" s="322">
        <f>'P NP MINAPADI IKAN'!BG29</f>
        <v>0</v>
      </c>
      <c r="AU34" s="322">
        <f>'P NP MINAPADI IKAN'!BH29</f>
        <v>0</v>
      </c>
      <c r="AV34" s="322">
        <f>'P NP MINAPADI IKAN'!BG30</f>
        <v>0</v>
      </c>
      <c r="AW34" s="322">
        <f>'P NP MINAPADI IKAN'!BH30</f>
        <v>0</v>
      </c>
      <c r="AX34" s="322">
        <f>'P NP MINAPADI IKAN'!BG31</f>
        <v>0</v>
      </c>
      <c r="AY34" s="322">
        <f>'P NP MINAPADI IKAN'!BH31</f>
        <v>0</v>
      </c>
      <c r="AZ34" s="322">
        <f>'P NP MINAPADI IKAN'!BG32</f>
        <v>0</v>
      </c>
      <c r="BA34" s="322">
        <f>'P NP MINAPADI IKAN'!BH32</f>
        <v>0</v>
      </c>
      <c r="BB34" s="322">
        <f>'P NP MINAPADI IKAN'!BG33</f>
        <v>0</v>
      </c>
      <c r="BC34" s="322">
        <f>'P NP MINAPADI IKAN'!BH33</f>
        <v>0</v>
      </c>
      <c r="BD34" s="322">
        <f>'P NP MINAPADI IKAN'!BG34</f>
        <v>0</v>
      </c>
      <c r="BE34" s="322">
        <f>'P NP MINAPADI IKAN'!BH34</f>
        <v>0</v>
      </c>
      <c r="BF34" s="322">
        <f>'P NP MINAPADI IKAN'!BG35</f>
        <v>0</v>
      </c>
      <c r="BG34" s="322">
        <f>'P NP MINAPADI IKAN'!BH35</f>
        <v>0</v>
      </c>
      <c r="BH34" s="322">
        <f>'P NP MINAPADI IKAN'!BG36</f>
        <v>0</v>
      </c>
      <c r="BI34" s="322">
        <f>'P NP MINAPADI IKAN'!BH36</f>
        <v>0</v>
      </c>
      <c r="BJ34" s="322">
        <f>'P NP MINAPADI IKAN'!BG37</f>
        <v>0</v>
      </c>
      <c r="BK34" s="322">
        <f>'P NP MINAPADI IKAN'!BH37</f>
        <v>0</v>
      </c>
      <c r="BL34" s="322">
        <f>'P NP MINAPADI IKAN'!BG38</f>
        <v>0</v>
      </c>
      <c r="BM34" s="322">
        <f>'P NP MINAPADI IKAN'!BH38</f>
        <v>0</v>
      </c>
      <c r="BN34" s="322">
        <f>'P NP MINAPADI IKAN'!BG39</f>
        <v>0</v>
      </c>
      <c r="BO34" s="322">
        <f>'P NP MINAPADI IKAN'!BH39</f>
        <v>0</v>
      </c>
      <c r="BP34" s="322">
        <f>'P NP MINAPADI IKAN'!BG40</f>
        <v>0</v>
      </c>
      <c r="BQ34" s="322">
        <f>'P NP MINAPADI IKAN'!BH40</f>
        <v>0</v>
      </c>
      <c r="BR34" s="322">
        <f>'P NP MINAPADI IKAN'!BG41</f>
        <v>0</v>
      </c>
      <c r="BS34" s="322">
        <f>'P NP MINAPADI IKAN'!BH41</f>
        <v>0</v>
      </c>
      <c r="BT34" s="322">
        <f>'P NP MINAPADI IKAN'!BG42</f>
        <v>0</v>
      </c>
      <c r="BU34" s="322">
        <f>'P NP MINAPADI IKAN'!BH42</f>
        <v>0</v>
      </c>
      <c r="BV34" s="322">
        <f>'P NP MINAPADI IKAN'!BG43</f>
        <v>0</v>
      </c>
      <c r="BW34" s="322">
        <f>'P NP MINAPADI IKAN'!BH43</f>
        <v>0</v>
      </c>
      <c r="BX34" s="322">
        <f>'P NP MINAPADI IKAN'!BG44</f>
        <v>0</v>
      </c>
      <c r="BY34" s="322">
        <f>'P NP MINAPADI IKAN'!BH44</f>
        <v>0</v>
      </c>
    </row>
    <row r="35" spans="1:77">
      <c r="A35" s="260" t="s">
        <v>149</v>
      </c>
      <c r="B35" s="320">
        <f t="shared" si="2"/>
        <v>0</v>
      </c>
      <c r="C35" s="320">
        <f t="shared" si="3"/>
        <v>0</v>
      </c>
      <c r="D35" s="322">
        <f>'P NP MINAPADI IKAN'!BI8</f>
        <v>0</v>
      </c>
      <c r="E35" s="322">
        <f>'P NP MINAPADI IKAN'!BJ8</f>
        <v>0</v>
      </c>
      <c r="F35" s="322">
        <f>'P NP MINAPADI IKAN'!BI9</f>
        <v>0</v>
      </c>
      <c r="G35" s="322">
        <f>'P NP MINAPADI IKAN'!BJ9</f>
        <v>0</v>
      </c>
      <c r="H35" s="322">
        <f>'P NP MINAPADI IKAN'!BI10</f>
        <v>0</v>
      </c>
      <c r="I35" s="322">
        <f>'P NP MINAPADI IKAN'!BJ10</f>
        <v>0</v>
      </c>
      <c r="J35" s="322">
        <f>'P NP MINAPADI IKAN'!BI11</f>
        <v>0</v>
      </c>
      <c r="K35" s="322">
        <f>'P NP MINAPADI IKAN'!BJ11</f>
        <v>0</v>
      </c>
      <c r="L35" s="322">
        <f>'P NP MINAPADI IKAN'!BI12</f>
        <v>0</v>
      </c>
      <c r="M35" s="322">
        <f>'P NP MINAPADI IKAN'!BJ12</f>
        <v>0</v>
      </c>
      <c r="N35" s="322">
        <f>'P NP MINAPADI IKAN'!BI13</f>
        <v>0</v>
      </c>
      <c r="O35" s="322">
        <f>'P NP MINAPADI IKAN'!BJ13</f>
        <v>0</v>
      </c>
      <c r="P35" s="322">
        <f>'P NP MINAPADI IKAN'!BI14</f>
        <v>0</v>
      </c>
      <c r="Q35" s="322">
        <f>'P NP MINAPADI IKAN'!BJ14</f>
        <v>0</v>
      </c>
      <c r="R35" s="322">
        <f>'P NP MINAPADI IKAN'!BI15</f>
        <v>0</v>
      </c>
      <c r="S35" s="322">
        <f>'P NP MINAPADI IKAN'!BJ15</f>
        <v>0</v>
      </c>
      <c r="T35" s="322">
        <f>'P NP MINAPADI IKAN'!BI16</f>
        <v>0</v>
      </c>
      <c r="U35" s="322">
        <f>'P NP MINAPADI IKAN'!BJ16</f>
        <v>0</v>
      </c>
      <c r="V35" s="322">
        <f>'P NP MINAPADI IKAN'!BI17</f>
        <v>0</v>
      </c>
      <c r="W35" s="322">
        <f>'P NP MINAPADI IKAN'!BJ17</f>
        <v>0</v>
      </c>
      <c r="X35" s="322">
        <f>'P NP MINAPADI IKAN'!BI18</f>
        <v>0</v>
      </c>
      <c r="Y35" s="322">
        <f>'P NP MINAPADI IKAN'!BJ18</f>
        <v>0</v>
      </c>
      <c r="Z35" s="322">
        <f>'P NP MINAPADI IKAN'!BI19</f>
        <v>0</v>
      </c>
      <c r="AA35" s="322">
        <f>'P NP MINAPADI IKAN'!BJ19</f>
        <v>0</v>
      </c>
      <c r="AB35" s="322">
        <f>'P NP MINAPADI IKAN'!BI20</f>
        <v>0</v>
      </c>
      <c r="AC35" s="322">
        <f>'P NP MINAPADI IKAN'!BJ20</f>
        <v>0</v>
      </c>
      <c r="AD35" s="322">
        <f>'P NP MINAPADI IKAN'!BI21</f>
        <v>0</v>
      </c>
      <c r="AE35" s="322">
        <f>'P NP MINAPADI IKAN'!BJ21</f>
        <v>0</v>
      </c>
      <c r="AF35" s="322">
        <f>'P NP MINAPADI IKAN'!BI22</f>
        <v>0</v>
      </c>
      <c r="AG35" s="322">
        <f>'P NP MINAPADI IKAN'!BJ22</f>
        <v>0</v>
      </c>
      <c r="AH35" s="322">
        <f>'P NP MINAPADI IKAN'!BI23</f>
        <v>0</v>
      </c>
      <c r="AI35" s="322">
        <f>'P NP MINAPADI IKAN'!BJ23</f>
        <v>0</v>
      </c>
      <c r="AJ35" s="322">
        <f>'P NP MINAPADI IKAN'!BI24</f>
        <v>0</v>
      </c>
      <c r="AK35" s="322">
        <f>'P NP MINAPADI IKAN'!BJ24</f>
        <v>0</v>
      </c>
      <c r="AL35" s="322">
        <f>'P NP MINAPADI IKAN'!BI25</f>
        <v>0</v>
      </c>
      <c r="AM35" s="322">
        <f>'P NP MINAPADI IKAN'!BJ25</f>
        <v>0</v>
      </c>
      <c r="AN35" s="322">
        <f>'P NP MINAPADI IKAN'!BI26</f>
        <v>0</v>
      </c>
      <c r="AO35" s="322">
        <f>'P NP MINAPADI IKAN'!BJ26</f>
        <v>0</v>
      </c>
      <c r="AP35" s="322">
        <f>'P NP MINAPADI IKAN'!BI27</f>
        <v>0</v>
      </c>
      <c r="AQ35" s="322">
        <f>'P NP MINAPADI IKAN'!BJ27</f>
        <v>0</v>
      </c>
      <c r="AR35" s="322">
        <f>'P NP MINAPADI IKAN'!BI28</f>
        <v>0</v>
      </c>
      <c r="AS35" s="322">
        <f>'P NP MINAPADI IKAN'!BJ28</f>
        <v>0</v>
      </c>
      <c r="AT35" s="322">
        <f>'P NP MINAPADI IKAN'!BI29</f>
        <v>0</v>
      </c>
      <c r="AU35" s="322">
        <f>'P NP MINAPADI IKAN'!BJ29</f>
        <v>0</v>
      </c>
      <c r="AV35" s="322">
        <f>'P NP MINAPADI IKAN'!BI30</f>
        <v>0</v>
      </c>
      <c r="AW35" s="322">
        <f>'P NP MINAPADI IKAN'!BJ30</f>
        <v>0</v>
      </c>
      <c r="AX35" s="322">
        <f>'P NP MINAPADI IKAN'!BI31</f>
        <v>0</v>
      </c>
      <c r="AY35" s="322">
        <f>'P NP MINAPADI IKAN'!BJ31</f>
        <v>0</v>
      </c>
      <c r="AZ35" s="322">
        <f>'P NP MINAPADI IKAN'!BI32</f>
        <v>0</v>
      </c>
      <c r="BA35" s="322">
        <f>'P NP MINAPADI IKAN'!BJ32</f>
        <v>0</v>
      </c>
      <c r="BB35" s="322">
        <f>'P NP MINAPADI IKAN'!BI33</f>
        <v>0</v>
      </c>
      <c r="BC35" s="322">
        <f>'P NP MINAPADI IKAN'!BJ33</f>
        <v>0</v>
      </c>
      <c r="BD35" s="322">
        <f>'P NP MINAPADI IKAN'!BI34</f>
        <v>0</v>
      </c>
      <c r="BE35" s="322">
        <f>'P NP MINAPADI IKAN'!BJ34</f>
        <v>0</v>
      </c>
      <c r="BF35" s="322">
        <f>'P NP MINAPADI IKAN'!BI35</f>
        <v>0</v>
      </c>
      <c r="BG35" s="322">
        <f>'P NP MINAPADI IKAN'!BJ35</f>
        <v>0</v>
      </c>
      <c r="BH35" s="322">
        <f>'P NP MINAPADI IKAN'!BI36</f>
        <v>0</v>
      </c>
      <c r="BI35" s="322">
        <f>'P NP MINAPADI IKAN'!BJ36</f>
        <v>0</v>
      </c>
      <c r="BJ35" s="322">
        <f>'P NP MINAPADI IKAN'!BI37</f>
        <v>0</v>
      </c>
      <c r="BK35" s="322">
        <f>'P NP MINAPADI IKAN'!BJ37</f>
        <v>0</v>
      </c>
      <c r="BL35" s="322">
        <f>'P NP MINAPADI IKAN'!BI38</f>
        <v>0</v>
      </c>
      <c r="BM35" s="322">
        <f>'P NP MINAPADI IKAN'!BJ38</f>
        <v>0</v>
      </c>
      <c r="BN35" s="322">
        <f>'P NP MINAPADI IKAN'!BI39</f>
        <v>0</v>
      </c>
      <c r="BO35" s="322">
        <f>'P NP MINAPADI IKAN'!BJ39</f>
        <v>0</v>
      </c>
      <c r="BP35" s="322">
        <f>'P NP MINAPADI IKAN'!BI40</f>
        <v>0</v>
      </c>
      <c r="BQ35" s="322">
        <f>'P NP MINAPADI IKAN'!BJ40</f>
        <v>0</v>
      </c>
      <c r="BR35" s="322">
        <f>'P NP MINAPADI IKAN'!BI41</f>
        <v>0</v>
      </c>
      <c r="BS35" s="322">
        <f>'P NP MINAPADI IKAN'!BJ41</f>
        <v>0</v>
      </c>
      <c r="BT35" s="322">
        <f>'P NP MINAPADI IKAN'!BI42</f>
        <v>0</v>
      </c>
      <c r="BU35" s="322">
        <f>'P NP MINAPADI IKAN'!BJ42</f>
        <v>0</v>
      </c>
      <c r="BV35" s="322">
        <f>'P NP MINAPADI IKAN'!BI43</f>
        <v>0</v>
      </c>
      <c r="BW35" s="322">
        <f>'P NP MINAPADI IKAN'!BJ43</f>
        <v>0</v>
      </c>
      <c r="BX35" s="322">
        <f>'P NP MINAPADI IKAN'!BI44</f>
        <v>0</v>
      </c>
      <c r="BY35" s="322">
        <f>'P NP MINAPADI IKAN'!BJ44</f>
        <v>0</v>
      </c>
    </row>
    <row r="36" spans="1:77">
      <c r="A36" s="260" t="s">
        <v>142</v>
      </c>
      <c r="B36" s="320">
        <f t="shared" si="2"/>
        <v>0</v>
      </c>
      <c r="C36" s="320">
        <f t="shared" si="3"/>
        <v>0</v>
      </c>
      <c r="D36" s="322">
        <f>'P NP MINAPADI IKAN'!BK8</f>
        <v>0</v>
      </c>
      <c r="E36" s="322">
        <f>'P NP MINAPADI IKAN'!BL8</f>
        <v>0</v>
      </c>
      <c r="F36" s="322">
        <f>'P NP MINAPADI IKAN'!BK9</f>
        <v>0</v>
      </c>
      <c r="G36" s="322">
        <f>'P NP MINAPADI IKAN'!BL9</f>
        <v>0</v>
      </c>
      <c r="H36" s="322">
        <f>'P NP MINAPADI IKAN'!BK10</f>
        <v>0</v>
      </c>
      <c r="I36" s="322">
        <f>'P NP MINAPADI IKAN'!BL10</f>
        <v>0</v>
      </c>
      <c r="J36" s="322">
        <f>'P NP MINAPADI IKAN'!BK11</f>
        <v>0</v>
      </c>
      <c r="K36" s="322">
        <f>'P NP MINAPADI IKAN'!BL11</f>
        <v>0</v>
      </c>
      <c r="L36" s="322">
        <f>'P NP MINAPADI IKAN'!BK12</f>
        <v>0</v>
      </c>
      <c r="M36" s="322">
        <f>'P NP MINAPADI IKAN'!BL12</f>
        <v>0</v>
      </c>
      <c r="N36" s="322">
        <f>'P NP MINAPADI IKAN'!BK13</f>
        <v>0</v>
      </c>
      <c r="O36" s="322">
        <f>'P NP MINAPADI IKAN'!BL13</f>
        <v>0</v>
      </c>
      <c r="P36" s="322">
        <f>'P NP MINAPADI IKAN'!BK14</f>
        <v>0</v>
      </c>
      <c r="Q36" s="322">
        <f>'P NP MINAPADI IKAN'!BL14</f>
        <v>0</v>
      </c>
      <c r="R36" s="322">
        <f>'P NP MINAPADI IKAN'!BK15</f>
        <v>0</v>
      </c>
      <c r="S36" s="322">
        <f>'P NP MINAPADI IKAN'!BL15</f>
        <v>0</v>
      </c>
      <c r="T36" s="322">
        <f>'P NP MINAPADI IKAN'!BK16</f>
        <v>0</v>
      </c>
      <c r="U36" s="322">
        <f>'P NP MINAPADI IKAN'!BL16</f>
        <v>0</v>
      </c>
      <c r="V36" s="322">
        <f>'P NP MINAPADI IKAN'!BK17</f>
        <v>0</v>
      </c>
      <c r="W36" s="322">
        <f>'P NP MINAPADI IKAN'!BL17</f>
        <v>0</v>
      </c>
      <c r="X36" s="322">
        <f>'P NP MINAPADI IKAN'!BK18</f>
        <v>0</v>
      </c>
      <c r="Y36" s="322">
        <f>'P NP MINAPADI IKAN'!BL18</f>
        <v>0</v>
      </c>
      <c r="Z36" s="322">
        <f>'P NP MINAPADI IKAN'!BK19</f>
        <v>0</v>
      </c>
      <c r="AA36" s="322">
        <f>'P NP MINAPADI IKAN'!BL19</f>
        <v>0</v>
      </c>
      <c r="AB36" s="322">
        <f>'P NP MINAPADI IKAN'!BK20</f>
        <v>0</v>
      </c>
      <c r="AC36" s="322">
        <f>'P NP MINAPADI IKAN'!BL20</f>
        <v>0</v>
      </c>
      <c r="AD36" s="322">
        <f>'P NP MINAPADI IKAN'!BK21</f>
        <v>0</v>
      </c>
      <c r="AE36" s="322">
        <f>'P NP MINAPADI IKAN'!BL21</f>
        <v>0</v>
      </c>
      <c r="AF36" s="322">
        <f>'P NP MINAPADI IKAN'!BK22</f>
        <v>0</v>
      </c>
      <c r="AG36" s="322">
        <f>'P NP MINAPADI IKAN'!BL22</f>
        <v>0</v>
      </c>
      <c r="AH36" s="322">
        <f>'P NP MINAPADI IKAN'!BK23</f>
        <v>0</v>
      </c>
      <c r="AI36" s="322">
        <f>'P NP MINAPADI IKAN'!BL23</f>
        <v>0</v>
      </c>
      <c r="AJ36" s="322">
        <f>'P NP MINAPADI IKAN'!BK24</f>
        <v>0</v>
      </c>
      <c r="AK36" s="322">
        <f>'P NP MINAPADI IKAN'!BL24</f>
        <v>0</v>
      </c>
      <c r="AL36" s="322">
        <f>'P NP MINAPADI IKAN'!BK25</f>
        <v>0</v>
      </c>
      <c r="AM36" s="322">
        <f>'P NP MINAPADI IKAN'!BL25</f>
        <v>0</v>
      </c>
      <c r="AN36" s="322">
        <f>'P NP MINAPADI IKAN'!BK26</f>
        <v>0</v>
      </c>
      <c r="AO36" s="322">
        <f>'P NP MINAPADI IKAN'!BL26</f>
        <v>0</v>
      </c>
      <c r="AP36" s="322">
        <f>'P NP MINAPADI IKAN'!BK27</f>
        <v>0</v>
      </c>
      <c r="AQ36" s="322">
        <f>'P NP MINAPADI IKAN'!BL27</f>
        <v>0</v>
      </c>
      <c r="AR36" s="322">
        <f>'P NP MINAPADI IKAN'!BK28</f>
        <v>0</v>
      </c>
      <c r="AS36" s="322">
        <f>'P NP MINAPADI IKAN'!BL28</f>
        <v>0</v>
      </c>
      <c r="AT36" s="322">
        <f>'P NP MINAPADI IKAN'!BK29</f>
        <v>0</v>
      </c>
      <c r="AU36" s="322">
        <f>'P NP MINAPADI IKAN'!BL29</f>
        <v>0</v>
      </c>
      <c r="AV36" s="322">
        <f>'P NP MINAPADI IKAN'!BK30</f>
        <v>0</v>
      </c>
      <c r="AW36" s="322">
        <f>'P NP MINAPADI IKAN'!BL30</f>
        <v>0</v>
      </c>
      <c r="AX36" s="322">
        <f>'P NP MINAPADI IKAN'!BK31</f>
        <v>0</v>
      </c>
      <c r="AY36" s="322">
        <f>'P NP MINAPADI IKAN'!BL31</f>
        <v>0</v>
      </c>
      <c r="AZ36" s="322">
        <f>'P NP MINAPADI IKAN'!BK32</f>
        <v>0</v>
      </c>
      <c r="BA36" s="322">
        <f>'P NP MINAPADI IKAN'!BL32</f>
        <v>0</v>
      </c>
      <c r="BB36" s="322">
        <f>'P NP MINAPADI IKAN'!BK33</f>
        <v>0</v>
      </c>
      <c r="BC36" s="322">
        <f>'P NP MINAPADI IKAN'!BL33</f>
        <v>0</v>
      </c>
      <c r="BD36" s="322">
        <f>'P NP MINAPADI IKAN'!BK34</f>
        <v>0</v>
      </c>
      <c r="BE36" s="322">
        <f>'P NP MINAPADI IKAN'!BL34</f>
        <v>0</v>
      </c>
      <c r="BF36" s="322">
        <f>'P NP MINAPADI IKAN'!BK35</f>
        <v>0</v>
      </c>
      <c r="BG36" s="322">
        <f>'P NP MINAPADI IKAN'!BL35</f>
        <v>0</v>
      </c>
      <c r="BH36" s="322">
        <f>'P NP MINAPADI IKAN'!BK36</f>
        <v>0</v>
      </c>
      <c r="BI36" s="322">
        <f>'P NP MINAPADI IKAN'!BL36</f>
        <v>0</v>
      </c>
      <c r="BJ36" s="322">
        <f>'P NP MINAPADI IKAN'!BK37</f>
        <v>0</v>
      </c>
      <c r="BK36" s="322">
        <f>'P NP MINAPADI IKAN'!BL37</f>
        <v>0</v>
      </c>
      <c r="BL36" s="322">
        <f>'P NP MINAPADI IKAN'!BK38</f>
        <v>0</v>
      </c>
      <c r="BM36" s="322">
        <f>'P NP MINAPADI IKAN'!BL38</f>
        <v>0</v>
      </c>
      <c r="BN36" s="322">
        <f>'P NP MINAPADI IKAN'!BK39</f>
        <v>0</v>
      </c>
      <c r="BO36" s="322">
        <f>'P NP MINAPADI IKAN'!BL39</f>
        <v>0</v>
      </c>
      <c r="BP36" s="322">
        <f>'P NP MINAPADI IKAN'!BK40</f>
        <v>0</v>
      </c>
      <c r="BQ36" s="322">
        <f>'P NP MINAPADI IKAN'!BL40</f>
        <v>0</v>
      </c>
      <c r="BR36" s="322">
        <f>'P NP MINAPADI IKAN'!BK41</f>
        <v>0</v>
      </c>
      <c r="BS36" s="322">
        <f>'P NP MINAPADI IKAN'!BL41</f>
        <v>0</v>
      </c>
      <c r="BT36" s="322">
        <f>'P NP MINAPADI IKAN'!BK42</f>
        <v>0</v>
      </c>
      <c r="BU36" s="322">
        <f>'P NP MINAPADI IKAN'!BL42</f>
        <v>0</v>
      </c>
      <c r="BV36" s="322">
        <f>'P NP MINAPADI IKAN'!BK43</f>
        <v>0</v>
      </c>
      <c r="BW36" s="322">
        <f>'P NP MINAPADI IKAN'!BL43</f>
        <v>0</v>
      </c>
      <c r="BX36" s="322">
        <f>'P NP MINAPADI IKAN'!BK44</f>
        <v>0</v>
      </c>
      <c r="BY36" s="322">
        <f>'P NP MINAPADI IKAN'!BL44</f>
        <v>0</v>
      </c>
    </row>
    <row r="37" spans="1:77">
      <c r="A37" s="260" t="s">
        <v>141</v>
      </c>
      <c r="B37" s="320">
        <f t="shared" si="2"/>
        <v>0</v>
      </c>
      <c r="C37" s="320">
        <f t="shared" si="3"/>
        <v>0</v>
      </c>
      <c r="D37" s="322">
        <f>'P NP MINAPADI IKAN'!BM8</f>
        <v>0</v>
      </c>
      <c r="E37" s="322">
        <f>'P NP MINAPADI IKAN'!BN8</f>
        <v>0</v>
      </c>
      <c r="F37" s="322">
        <f>'P NP MINAPADI IKAN'!BM9</f>
        <v>0</v>
      </c>
      <c r="G37" s="322">
        <f>'P NP MINAPADI IKAN'!BN9</f>
        <v>0</v>
      </c>
      <c r="H37" s="322">
        <f>'P NP MINAPADI IKAN'!BM10</f>
        <v>0</v>
      </c>
      <c r="I37" s="322">
        <f>'P NP MINAPADI IKAN'!BN10</f>
        <v>0</v>
      </c>
      <c r="J37" s="322">
        <f>'P NP MINAPADI IKAN'!BM11</f>
        <v>0</v>
      </c>
      <c r="K37" s="322">
        <f>'P NP MINAPADI IKAN'!BN11</f>
        <v>0</v>
      </c>
      <c r="L37" s="322">
        <f>'P NP MINAPADI IKAN'!BM12</f>
        <v>0</v>
      </c>
      <c r="M37" s="322">
        <f>'P NP MINAPADI IKAN'!BN12</f>
        <v>0</v>
      </c>
      <c r="N37" s="322">
        <f>'P NP MINAPADI IKAN'!BM13</f>
        <v>0</v>
      </c>
      <c r="O37" s="322">
        <f>'P NP MINAPADI IKAN'!BN13</f>
        <v>0</v>
      </c>
      <c r="P37" s="322">
        <f>'P NP MINAPADI IKAN'!BM14</f>
        <v>0</v>
      </c>
      <c r="Q37" s="322">
        <f>'P NP MINAPADI IKAN'!BN14</f>
        <v>0</v>
      </c>
      <c r="R37" s="322">
        <f>'P NP MINAPADI IKAN'!BM15</f>
        <v>0</v>
      </c>
      <c r="S37" s="322">
        <f>'P NP MINAPADI IKAN'!BN15</f>
        <v>0</v>
      </c>
      <c r="T37" s="322">
        <f>'P NP MINAPADI IKAN'!BM16</f>
        <v>0</v>
      </c>
      <c r="U37" s="322">
        <f>'P NP MINAPADI IKAN'!BN16</f>
        <v>0</v>
      </c>
      <c r="V37" s="322">
        <f>'P NP MINAPADI IKAN'!BM17</f>
        <v>0</v>
      </c>
      <c r="W37" s="322">
        <f>'P NP MINAPADI IKAN'!BN17</f>
        <v>0</v>
      </c>
      <c r="X37" s="322">
        <f>'P NP MINAPADI IKAN'!BM18</f>
        <v>0</v>
      </c>
      <c r="Y37" s="322">
        <f>'P NP MINAPADI IKAN'!BN18</f>
        <v>0</v>
      </c>
      <c r="Z37" s="322">
        <f>'P NP MINAPADI IKAN'!BM19</f>
        <v>0</v>
      </c>
      <c r="AA37" s="322">
        <f>'P NP MINAPADI IKAN'!BN19</f>
        <v>0</v>
      </c>
      <c r="AB37" s="322">
        <f>'P NP MINAPADI IKAN'!BM20</f>
        <v>0</v>
      </c>
      <c r="AC37" s="322">
        <f>'P NP MINAPADI IKAN'!BN20</f>
        <v>0</v>
      </c>
      <c r="AD37" s="322">
        <f>'P NP MINAPADI IKAN'!BM21</f>
        <v>0</v>
      </c>
      <c r="AE37" s="322">
        <f>'P NP MINAPADI IKAN'!BN21</f>
        <v>0</v>
      </c>
      <c r="AF37" s="322">
        <f>'P NP MINAPADI IKAN'!BM22</f>
        <v>0</v>
      </c>
      <c r="AG37" s="322">
        <f>'P NP MINAPADI IKAN'!BN22</f>
        <v>0</v>
      </c>
      <c r="AH37" s="322">
        <f>'P NP MINAPADI IKAN'!BM23</f>
        <v>0</v>
      </c>
      <c r="AI37" s="322">
        <f>'P NP MINAPADI IKAN'!BN23</f>
        <v>0</v>
      </c>
      <c r="AJ37" s="322">
        <f>'P NP MINAPADI IKAN'!BM24</f>
        <v>0</v>
      </c>
      <c r="AK37" s="322">
        <f>'P NP MINAPADI IKAN'!BN24</f>
        <v>0</v>
      </c>
      <c r="AL37" s="322">
        <f>'P NP MINAPADI IKAN'!BM25</f>
        <v>0</v>
      </c>
      <c r="AM37" s="322">
        <f>'P NP MINAPADI IKAN'!BN25</f>
        <v>0</v>
      </c>
      <c r="AN37" s="322">
        <f>'P NP MINAPADI IKAN'!BM26</f>
        <v>0</v>
      </c>
      <c r="AO37" s="322">
        <f>'P NP MINAPADI IKAN'!BN26</f>
        <v>0</v>
      </c>
      <c r="AP37" s="322">
        <f>'P NP MINAPADI IKAN'!BM27</f>
        <v>0</v>
      </c>
      <c r="AQ37" s="322">
        <f>'P NP MINAPADI IKAN'!BN27</f>
        <v>0</v>
      </c>
      <c r="AR37" s="322">
        <f>'P NP MINAPADI IKAN'!BM28</f>
        <v>0</v>
      </c>
      <c r="AS37" s="322">
        <f>'P NP MINAPADI IKAN'!BN28</f>
        <v>0</v>
      </c>
      <c r="AT37" s="322">
        <f>'P NP MINAPADI IKAN'!BM29</f>
        <v>0</v>
      </c>
      <c r="AU37" s="322">
        <f>'P NP MINAPADI IKAN'!BN29</f>
        <v>0</v>
      </c>
      <c r="AV37" s="322">
        <f>'P NP MINAPADI IKAN'!BM30</f>
        <v>0</v>
      </c>
      <c r="AW37" s="322">
        <f>'P NP MINAPADI IKAN'!BN30</f>
        <v>0</v>
      </c>
      <c r="AX37" s="322">
        <f>'P NP MINAPADI IKAN'!BM31</f>
        <v>0</v>
      </c>
      <c r="AY37" s="322">
        <f>'P NP MINAPADI IKAN'!BN31</f>
        <v>0</v>
      </c>
      <c r="AZ37" s="322">
        <f>'P NP MINAPADI IKAN'!BM32</f>
        <v>0</v>
      </c>
      <c r="BA37" s="322">
        <f>'P NP MINAPADI IKAN'!BN32</f>
        <v>0</v>
      </c>
      <c r="BB37" s="322">
        <f>'P NP MINAPADI IKAN'!BM33</f>
        <v>0</v>
      </c>
      <c r="BC37" s="322">
        <f>'P NP MINAPADI IKAN'!BN33</f>
        <v>0</v>
      </c>
      <c r="BD37" s="322">
        <f>'P NP MINAPADI IKAN'!BM34</f>
        <v>0</v>
      </c>
      <c r="BE37" s="322">
        <f>'P NP MINAPADI IKAN'!BN34</f>
        <v>0</v>
      </c>
      <c r="BF37" s="322">
        <f>'P NP MINAPADI IKAN'!BM35</f>
        <v>0</v>
      </c>
      <c r="BG37" s="322">
        <f>'P NP MINAPADI IKAN'!BN35</f>
        <v>0</v>
      </c>
      <c r="BH37" s="322">
        <f>'P NP MINAPADI IKAN'!BM36</f>
        <v>0</v>
      </c>
      <c r="BI37" s="322">
        <f>'P NP MINAPADI IKAN'!BN36</f>
        <v>0</v>
      </c>
      <c r="BJ37" s="322">
        <f>'P NP MINAPADI IKAN'!BM37</f>
        <v>0</v>
      </c>
      <c r="BK37" s="322">
        <f>'P NP MINAPADI IKAN'!BN37</f>
        <v>0</v>
      </c>
      <c r="BL37" s="322">
        <f>'P NP MINAPADI IKAN'!BM38</f>
        <v>0</v>
      </c>
      <c r="BM37" s="322">
        <f>'P NP MINAPADI IKAN'!BN38</f>
        <v>0</v>
      </c>
      <c r="BN37" s="322">
        <f>'P NP MINAPADI IKAN'!BM39</f>
        <v>0</v>
      </c>
      <c r="BO37" s="322">
        <f>'P NP MINAPADI IKAN'!BN39</f>
        <v>0</v>
      </c>
      <c r="BP37" s="322">
        <f>'P NP MINAPADI IKAN'!BM40</f>
        <v>0</v>
      </c>
      <c r="BQ37" s="322">
        <f>'P NP MINAPADI IKAN'!BN40</f>
        <v>0</v>
      </c>
      <c r="BR37" s="322">
        <f>'P NP MINAPADI IKAN'!BM41</f>
        <v>0</v>
      </c>
      <c r="BS37" s="322">
        <f>'P NP MINAPADI IKAN'!BN41</f>
        <v>0</v>
      </c>
      <c r="BT37" s="322">
        <f>'P NP MINAPADI IKAN'!BM42</f>
        <v>0</v>
      </c>
      <c r="BU37" s="322">
        <f>'P NP MINAPADI IKAN'!BN42</f>
        <v>0</v>
      </c>
      <c r="BV37" s="322">
        <f>'P NP MINAPADI IKAN'!BM43</f>
        <v>0</v>
      </c>
      <c r="BW37" s="322">
        <f>'P NP MINAPADI IKAN'!BN43</f>
        <v>0</v>
      </c>
      <c r="BX37" s="322">
        <f>'P NP MINAPADI IKAN'!BM44</f>
        <v>0</v>
      </c>
      <c r="BY37" s="322">
        <f>'P NP MINAPADI IKAN'!BN44</f>
        <v>0</v>
      </c>
    </row>
    <row r="38" spans="1:77">
      <c r="A38" s="260" t="s">
        <v>147</v>
      </c>
      <c r="B38" s="320">
        <f t="shared" si="2"/>
        <v>0</v>
      </c>
      <c r="C38" s="320">
        <f t="shared" si="3"/>
        <v>0</v>
      </c>
      <c r="D38" s="322">
        <f>'P NP MINAPADI IKAN'!BO8</f>
        <v>0</v>
      </c>
      <c r="E38" s="322">
        <f>'P NP MINAPADI IKAN'!BP8</f>
        <v>0</v>
      </c>
      <c r="F38" s="322">
        <f>'P NP MINAPADI IKAN'!BO9</f>
        <v>0</v>
      </c>
      <c r="G38" s="322">
        <f>'P NP MINAPADI IKAN'!BP9</f>
        <v>0</v>
      </c>
      <c r="H38" s="322">
        <f>'P NP MINAPADI IKAN'!BO10</f>
        <v>0</v>
      </c>
      <c r="I38" s="322">
        <f>'P NP MINAPADI IKAN'!BP10</f>
        <v>0</v>
      </c>
      <c r="J38" s="322">
        <f>'P NP MINAPADI IKAN'!BO11</f>
        <v>0</v>
      </c>
      <c r="K38" s="322">
        <f>'P NP MINAPADI IKAN'!BP11</f>
        <v>0</v>
      </c>
      <c r="L38" s="322">
        <f>'P NP MINAPADI IKAN'!BO12</f>
        <v>0</v>
      </c>
      <c r="M38" s="322">
        <f>'P NP MINAPADI IKAN'!BP12</f>
        <v>0</v>
      </c>
      <c r="N38" s="322">
        <f>'P NP MINAPADI IKAN'!BO13</f>
        <v>0</v>
      </c>
      <c r="O38" s="322">
        <f>'P NP MINAPADI IKAN'!BP13</f>
        <v>0</v>
      </c>
      <c r="P38" s="322">
        <f>'P NP MINAPADI IKAN'!BO14</f>
        <v>0</v>
      </c>
      <c r="Q38" s="322">
        <f>'P NP MINAPADI IKAN'!BP14</f>
        <v>0</v>
      </c>
      <c r="R38" s="322">
        <f>'P NP MINAPADI IKAN'!BO15</f>
        <v>0</v>
      </c>
      <c r="S38" s="322">
        <f>'P NP MINAPADI IKAN'!BP15</f>
        <v>0</v>
      </c>
      <c r="T38" s="322">
        <f>'P NP MINAPADI IKAN'!BO16</f>
        <v>0</v>
      </c>
      <c r="U38" s="322">
        <f>'P NP MINAPADI IKAN'!BP16</f>
        <v>0</v>
      </c>
      <c r="V38" s="322">
        <f>'P NP MINAPADI IKAN'!BO17</f>
        <v>0</v>
      </c>
      <c r="W38" s="322">
        <f>'P NP MINAPADI IKAN'!BP17</f>
        <v>0</v>
      </c>
      <c r="X38" s="322">
        <f>'P NP MINAPADI IKAN'!BO18</f>
        <v>0</v>
      </c>
      <c r="Y38" s="322">
        <f>'P NP MINAPADI IKAN'!BP18</f>
        <v>0</v>
      </c>
      <c r="Z38" s="322">
        <f>'P NP MINAPADI IKAN'!BO19</f>
        <v>0</v>
      </c>
      <c r="AA38" s="322">
        <f>'P NP MINAPADI IKAN'!BP19</f>
        <v>0</v>
      </c>
      <c r="AB38" s="322">
        <f>'P NP MINAPADI IKAN'!BO20</f>
        <v>0</v>
      </c>
      <c r="AC38" s="322">
        <f>'P NP MINAPADI IKAN'!BP20</f>
        <v>0</v>
      </c>
      <c r="AD38" s="322">
        <f>'P NP MINAPADI IKAN'!BO21</f>
        <v>0</v>
      </c>
      <c r="AE38" s="322">
        <f>'P NP MINAPADI IKAN'!BP21</f>
        <v>0</v>
      </c>
      <c r="AF38" s="322">
        <f>'P NP MINAPADI IKAN'!BO22</f>
        <v>0</v>
      </c>
      <c r="AG38" s="322">
        <f>'P NP MINAPADI IKAN'!BP22</f>
        <v>0</v>
      </c>
      <c r="AH38" s="322">
        <f>'P NP MINAPADI IKAN'!BO23</f>
        <v>0</v>
      </c>
      <c r="AI38" s="322">
        <f>'P NP MINAPADI IKAN'!BP23</f>
        <v>0</v>
      </c>
      <c r="AJ38" s="322">
        <f>'P NP MINAPADI IKAN'!BO24</f>
        <v>0</v>
      </c>
      <c r="AK38" s="322">
        <f>'P NP MINAPADI IKAN'!BP24</f>
        <v>0</v>
      </c>
      <c r="AL38" s="322">
        <f>'P NP MINAPADI IKAN'!BO25</f>
        <v>0</v>
      </c>
      <c r="AM38" s="322">
        <f>'P NP MINAPADI IKAN'!BP25</f>
        <v>0</v>
      </c>
      <c r="AN38" s="322">
        <f>'P NP MINAPADI IKAN'!BO26</f>
        <v>0</v>
      </c>
      <c r="AO38" s="322">
        <f>'P NP MINAPADI IKAN'!BP26</f>
        <v>0</v>
      </c>
      <c r="AP38" s="322">
        <f>'P NP MINAPADI IKAN'!BO27</f>
        <v>0</v>
      </c>
      <c r="AQ38" s="322">
        <f>'P NP MINAPADI IKAN'!BP27</f>
        <v>0</v>
      </c>
      <c r="AR38" s="322">
        <f>'P NP MINAPADI IKAN'!BO28</f>
        <v>0</v>
      </c>
      <c r="AS38" s="322">
        <f>'P NP MINAPADI IKAN'!BP28</f>
        <v>0</v>
      </c>
      <c r="AT38" s="322">
        <f>'P NP MINAPADI IKAN'!BO29</f>
        <v>0</v>
      </c>
      <c r="AU38" s="322">
        <f>'P NP MINAPADI IKAN'!BP29</f>
        <v>0</v>
      </c>
      <c r="AV38" s="322">
        <f>'P NP MINAPADI IKAN'!BO30</f>
        <v>0</v>
      </c>
      <c r="AW38" s="322">
        <f>'P NP MINAPADI IKAN'!BP30</f>
        <v>0</v>
      </c>
      <c r="AX38" s="322">
        <f>'P NP MINAPADI IKAN'!BO31</f>
        <v>0</v>
      </c>
      <c r="AY38" s="322">
        <f>'P NP MINAPADI IKAN'!BP31</f>
        <v>0</v>
      </c>
      <c r="AZ38" s="322">
        <f>'P NP MINAPADI IKAN'!BO32</f>
        <v>0</v>
      </c>
      <c r="BA38" s="322">
        <f>'P NP MINAPADI IKAN'!BP32</f>
        <v>0</v>
      </c>
      <c r="BB38" s="322">
        <f>'P NP MINAPADI IKAN'!BO33</f>
        <v>0</v>
      </c>
      <c r="BC38" s="322">
        <f>'P NP MINAPADI IKAN'!BP33</f>
        <v>0</v>
      </c>
      <c r="BD38" s="322">
        <f>'P NP MINAPADI IKAN'!BO34</f>
        <v>0</v>
      </c>
      <c r="BE38" s="322">
        <f>'P NP MINAPADI IKAN'!BP34</f>
        <v>0</v>
      </c>
      <c r="BF38" s="322">
        <f>'P NP MINAPADI IKAN'!BO35</f>
        <v>0</v>
      </c>
      <c r="BG38" s="322">
        <f>'P NP MINAPADI IKAN'!BP35</f>
        <v>0</v>
      </c>
      <c r="BH38" s="322">
        <f>'P NP MINAPADI IKAN'!BO36</f>
        <v>0</v>
      </c>
      <c r="BI38" s="322">
        <f>'P NP MINAPADI IKAN'!BP36</f>
        <v>0</v>
      </c>
      <c r="BJ38" s="322">
        <f>'P NP MINAPADI IKAN'!BO37</f>
        <v>0</v>
      </c>
      <c r="BK38" s="322">
        <f>'P NP MINAPADI IKAN'!BP37</f>
        <v>0</v>
      </c>
      <c r="BL38" s="322">
        <f>'P NP MINAPADI IKAN'!BO38</f>
        <v>0</v>
      </c>
      <c r="BM38" s="322">
        <f>'P NP MINAPADI IKAN'!BP38</f>
        <v>0</v>
      </c>
      <c r="BN38" s="322">
        <f>'P NP MINAPADI IKAN'!BO39</f>
        <v>0</v>
      </c>
      <c r="BO38" s="322">
        <f>'P NP MINAPADI IKAN'!BP39</f>
        <v>0</v>
      </c>
      <c r="BP38" s="322">
        <f>'P NP MINAPADI IKAN'!BO40</f>
        <v>0</v>
      </c>
      <c r="BQ38" s="322">
        <f>'P NP MINAPADI IKAN'!BP40</f>
        <v>0</v>
      </c>
      <c r="BR38" s="322">
        <f>'P NP MINAPADI IKAN'!BO41</f>
        <v>0</v>
      </c>
      <c r="BS38" s="322">
        <f>'P NP MINAPADI IKAN'!BP41</f>
        <v>0</v>
      </c>
      <c r="BT38" s="322">
        <f>'P NP MINAPADI IKAN'!BO42</f>
        <v>0</v>
      </c>
      <c r="BU38" s="322">
        <f>'P NP MINAPADI IKAN'!BP42</f>
        <v>0</v>
      </c>
      <c r="BV38" s="322">
        <f>'P NP MINAPADI IKAN'!BO43</f>
        <v>0</v>
      </c>
      <c r="BW38" s="322">
        <f>'P NP MINAPADI IKAN'!BP43</f>
        <v>0</v>
      </c>
      <c r="BX38" s="322">
        <f>'P NP MINAPADI IKAN'!BO44</f>
        <v>0</v>
      </c>
      <c r="BY38" s="322">
        <f>'P NP MINAPADI IKAN'!BP44</f>
        <v>0</v>
      </c>
    </row>
    <row r="39" spans="1:77">
      <c r="A39" s="260" t="s">
        <v>143</v>
      </c>
      <c r="B39" s="320">
        <f t="shared" si="2"/>
        <v>0</v>
      </c>
      <c r="C39" s="320">
        <f t="shared" si="3"/>
        <v>0</v>
      </c>
      <c r="D39" s="322">
        <f>'P NP MINAPADI IKAN'!BQ8</f>
        <v>0</v>
      </c>
      <c r="E39" s="322">
        <f>'P NP MINAPADI IKAN'!BR8</f>
        <v>0</v>
      </c>
      <c r="F39" s="322">
        <f>'P NP MINAPADI IKAN'!BQ9</f>
        <v>0</v>
      </c>
      <c r="G39" s="322">
        <f>'P NP MINAPADI IKAN'!BR9</f>
        <v>0</v>
      </c>
      <c r="H39" s="322">
        <f>'P NP MINAPADI IKAN'!BQ10</f>
        <v>0</v>
      </c>
      <c r="I39" s="322">
        <f>'P NP MINAPADI IKAN'!BR10</f>
        <v>0</v>
      </c>
      <c r="J39" s="322">
        <f>'P NP MINAPADI IKAN'!BQ11</f>
        <v>0</v>
      </c>
      <c r="K39" s="322">
        <f>'P NP MINAPADI IKAN'!BR11</f>
        <v>0</v>
      </c>
      <c r="L39" s="322">
        <f>'P NP MINAPADI IKAN'!BQ12</f>
        <v>0</v>
      </c>
      <c r="M39" s="322">
        <f>'P NP MINAPADI IKAN'!BR12</f>
        <v>0</v>
      </c>
      <c r="N39" s="322">
        <f>'P NP MINAPADI IKAN'!BQ13</f>
        <v>0</v>
      </c>
      <c r="O39" s="322">
        <f>'P NP MINAPADI IKAN'!BR13</f>
        <v>0</v>
      </c>
      <c r="P39" s="322">
        <f>'P NP MINAPADI IKAN'!BQ14</f>
        <v>0</v>
      </c>
      <c r="Q39" s="322">
        <f>'P NP MINAPADI IKAN'!BR14</f>
        <v>0</v>
      </c>
      <c r="R39" s="322">
        <f>'P NP MINAPADI IKAN'!BQ15</f>
        <v>0</v>
      </c>
      <c r="S39" s="322">
        <f>'P NP MINAPADI IKAN'!BR15</f>
        <v>0</v>
      </c>
      <c r="T39" s="322">
        <f>'P NP MINAPADI IKAN'!BQ16</f>
        <v>0</v>
      </c>
      <c r="U39" s="322">
        <f>'P NP MINAPADI IKAN'!BR16</f>
        <v>0</v>
      </c>
      <c r="V39" s="322">
        <f>'P NP MINAPADI IKAN'!BQ17</f>
        <v>0</v>
      </c>
      <c r="W39" s="322">
        <f>'P NP MINAPADI IKAN'!BR17</f>
        <v>0</v>
      </c>
      <c r="X39" s="322">
        <f>'P NP MINAPADI IKAN'!BQ18</f>
        <v>0</v>
      </c>
      <c r="Y39" s="322">
        <f>'P NP MINAPADI IKAN'!BR18</f>
        <v>0</v>
      </c>
      <c r="Z39" s="322">
        <f>'P NP MINAPADI IKAN'!BQ19</f>
        <v>0</v>
      </c>
      <c r="AA39" s="322">
        <f>'P NP MINAPADI IKAN'!BR19</f>
        <v>0</v>
      </c>
      <c r="AB39" s="322">
        <f>'P NP MINAPADI IKAN'!BQ20</f>
        <v>0</v>
      </c>
      <c r="AC39" s="322">
        <f>'P NP MINAPADI IKAN'!BR20</f>
        <v>0</v>
      </c>
      <c r="AD39" s="322">
        <f>'P NP MINAPADI IKAN'!BQ21</f>
        <v>0</v>
      </c>
      <c r="AE39" s="322">
        <f>'P NP MINAPADI IKAN'!BR21</f>
        <v>0</v>
      </c>
      <c r="AF39" s="322">
        <f>'P NP MINAPADI IKAN'!BQ22</f>
        <v>0</v>
      </c>
      <c r="AG39" s="322">
        <f>'P NP MINAPADI IKAN'!BR22</f>
        <v>0</v>
      </c>
      <c r="AH39" s="322">
        <f>'P NP MINAPADI IKAN'!BQ23</f>
        <v>0</v>
      </c>
      <c r="AI39" s="322">
        <f>'P NP MINAPADI IKAN'!BR23</f>
        <v>0</v>
      </c>
      <c r="AJ39" s="322">
        <f>'P NP MINAPADI IKAN'!BQ24</f>
        <v>0</v>
      </c>
      <c r="AK39" s="322">
        <f>'P NP MINAPADI IKAN'!BR24</f>
        <v>0</v>
      </c>
      <c r="AL39" s="322">
        <f>'P NP MINAPADI IKAN'!BQ25</f>
        <v>0</v>
      </c>
      <c r="AM39" s="322">
        <f>'P NP MINAPADI IKAN'!BR25</f>
        <v>0</v>
      </c>
      <c r="AN39" s="322">
        <f>'P NP MINAPADI IKAN'!BQ26</f>
        <v>0</v>
      </c>
      <c r="AO39" s="322">
        <f>'P NP MINAPADI IKAN'!BR26</f>
        <v>0</v>
      </c>
      <c r="AP39" s="322">
        <f>'P NP MINAPADI IKAN'!BQ27</f>
        <v>0</v>
      </c>
      <c r="AQ39" s="322">
        <f>'P NP MINAPADI IKAN'!BR27</f>
        <v>0</v>
      </c>
      <c r="AR39" s="322">
        <f>'P NP MINAPADI IKAN'!BQ28</f>
        <v>0</v>
      </c>
      <c r="AS39" s="322">
        <f>'P NP MINAPADI IKAN'!BR28</f>
        <v>0</v>
      </c>
      <c r="AT39" s="322">
        <f>'P NP MINAPADI IKAN'!BQ29</f>
        <v>0</v>
      </c>
      <c r="AU39" s="322">
        <f>'P NP MINAPADI IKAN'!BR29</f>
        <v>0</v>
      </c>
      <c r="AV39" s="322">
        <f>'P NP MINAPADI IKAN'!BQ30</f>
        <v>0</v>
      </c>
      <c r="AW39" s="322">
        <f>'P NP MINAPADI IKAN'!BR30</f>
        <v>0</v>
      </c>
      <c r="AX39" s="322">
        <f>'P NP MINAPADI IKAN'!BQ31</f>
        <v>0</v>
      </c>
      <c r="AY39" s="322">
        <f>'P NP MINAPADI IKAN'!BR31</f>
        <v>0</v>
      </c>
      <c r="AZ39" s="322">
        <f>'P NP MINAPADI IKAN'!BQ32</f>
        <v>0</v>
      </c>
      <c r="BA39" s="322">
        <f>'P NP MINAPADI IKAN'!BR32</f>
        <v>0</v>
      </c>
      <c r="BB39" s="322">
        <f>'P NP MINAPADI IKAN'!BQ33</f>
        <v>0</v>
      </c>
      <c r="BC39" s="322">
        <f>'P NP MINAPADI IKAN'!BR33</f>
        <v>0</v>
      </c>
      <c r="BD39" s="322">
        <f>'P NP MINAPADI IKAN'!BQ34</f>
        <v>0</v>
      </c>
      <c r="BE39" s="322">
        <f>'P NP MINAPADI IKAN'!BR34</f>
        <v>0</v>
      </c>
      <c r="BF39" s="322">
        <f>'P NP MINAPADI IKAN'!BQ35</f>
        <v>0</v>
      </c>
      <c r="BG39" s="322">
        <f>'P NP MINAPADI IKAN'!BR35</f>
        <v>0</v>
      </c>
      <c r="BH39" s="322">
        <f>'P NP MINAPADI IKAN'!BQ36</f>
        <v>0</v>
      </c>
      <c r="BI39" s="322">
        <f>'P NP MINAPADI IKAN'!BR36</f>
        <v>0</v>
      </c>
      <c r="BJ39" s="322">
        <f>'P NP MINAPADI IKAN'!BQ37</f>
        <v>0</v>
      </c>
      <c r="BK39" s="322">
        <f>'P NP MINAPADI IKAN'!BR37</f>
        <v>0</v>
      </c>
      <c r="BL39" s="322">
        <f>'P NP MINAPADI IKAN'!BQ38</f>
        <v>0</v>
      </c>
      <c r="BM39" s="322">
        <f>'P NP MINAPADI IKAN'!BR38</f>
        <v>0</v>
      </c>
      <c r="BN39" s="322">
        <f>'P NP MINAPADI IKAN'!BQ39</f>
        <v>0</v>
      </c>
      <c r="BO39" s="322">
        <f>'P NP MINAPADI IKAN'!BR39</f>
        <v>0</v>
      </c>
      <c r="BP39" s="322">
        <f>'P NP MINAPADI IKAN'!BQ40</f>
        <v>0</v>
      </c>
      <c r="BQ39" s="322">
        <f>'P NP MINAPADI IKAN'!BR40</f>
        <v>0</v>
      </c>
      <c r="BR39" s="322">
        <f>'P NP MINAPADI IKAN'!BQ41</f>
        <v>0</v>
      </c>
      <c r="BS39" s="322">
        <f>'P NP MINAPADI IKAN'!BR41</f>
        <v>0</v>
      </c>
      <c r="BT39" s="322">
        <f>'P NP MINAPADI IKAN'!BQ42</f>
        <v>0</v>
      </c>
      <c r="BU39" s="322">
        <f>'P NP MINAPADI IKAN'!BR42</f>
        <v>0</v>
      </c>
      <c r="BV39" s="322">
        <f>'P NP MINAPADI IKAN'!BQ43</f>
        <v>0</v>
      </c>
      <c r="BW39" s="322">
        <f>'P NP MINAPADI IKAN'!BR43</f>
        <v>0</v>
      </c>
      <c r="BX39" s="322">
        <f>'P NP MINAPADI IKAN'!BQ44</f>
        <v>0</v>
      </c>
      <c r="BY39" s="322">
        <f>'P NP MINAPADI IKAN'!BR44</f>
        <v>0</v>
      </c>
    </row>
    <row r="40" spans="1:77">
      <c r="A40" s="260" t="s">
        <v>146</v>
      </c>
      <c r="B40" s="320">
        <f t="shared" si="2"/>
        <v>0</v>
      </c>
      <c r="C40" s="320">
        <f t="shared" si="3"/>
        <v>0</v>
      </c>
      <c r="D40" s="322">
        <f>'P NP MINAPADI IKAN'!BS8</f>
        <v>0</v>
      </c>
      <c r="E40" s="322">
        <f>'P NP MINAPADI IKAN'!BT8</f>
        <v>0</v>
      </c>
      <c r="F40" s="322">
        <f>'P NP MINAPADI IKAN'!BS9</f>
        <v>0</v>
      </c>
      <c r="G40" s="322">
        <f>'P NP MINAPADI IKAN'!BT9</f>
        <v>0</v>
      </c>
      <c r="H40" s="322">
        <f>'P NP MINAPADI IKAN'!BS10</f>
        <v>0</v>
      </c>
      <c r="I40" s="322">
        <f>'P NP MINAPADI IKAN'!BT10</f>
        <v>0</v>
      </c>
      <c r="J40" s="322">
        <f>'P NP MINAPADI IKAN'!BS11</f>
        <v>0</v>
      </c>
      <c r="K40" s="322">
        <f>'P NP MINAPADI IKAN'!BT11</f>
        <v>0</v>
      </c>
      <c r="L40" s="322">
        <f>'P NP MINAPADI IKAN'!BS12</f>
        <v>0</v>
      </c>
      <c r="M40" s="322">
        <f>'P NP MINAPADI IKAN'!BT12</f>
        <v>0</v>
      </c>
      <c r="N40" s="322">
        <f>'P NP MINAPADI IKAN'!BS13</f>
        <v>0</v>
      </c>
      <c r="O40" s="322">
        <f>'P NP MINAPADI IKAN'!BT13</f>
        <v>0</v>
      </c>
      <c r="P40" s="322">
        <f>'P NP MINAPADI IKAN'!BS14</f>
        <v>0</v>
      </c>
      <c r="Q40" s="322">
        <f>'P NP MINAPADI IKAN'!BT14</f>
        <v>0</v>
      </c>
      <c r="R40" s="322">
        <f>'P NP MINAPADI IKAN'!BS15</f>
        <v>0</v>
      </c>
      <c r="S40" s="322">
        <f>'P NP MINAPADI IKAN'!BT15</f>
        <v>0</v>
      </c>
      <c r="T40" s="322">
        <f>'P NP MINAPADI IKAN'!BS16</f>
        <v>0</v>
      </c>
      <c r="U40" s="322">
        <f>'P NP MINAPADI IKAN'!BT16</f>
        <v>0</v>
      </c>
      <c r="V40" s="322">
        <f>'P NP MINAPADI IKAN'!BS17</f>
        <v>0</v>
      </c>
      <c r="W40" s="322">
        <f>'P NP MINAPADI IKAN'!BT17</f>
        <v>0</v>
      </c>
      <c r="X40" s="322">
        <f>'P NP MINAPADI IKAN'!BS18</f>
        <v>0</v>
      </c>
      <c r="Y40" s="322">
        <f>'P NP MINAPADI IKAN'!BT18</f>
        <v>0</v>
      </c>
      <c r="Z40" s="322">
        <f>'P NP MINAPADI IKAN'!BS19</f>
        <v>0</v>
      </c>
      <c r="AA40" s="322">
        <f>'P NP MINAPADI IKAN'!BT19</f>
        <v>0</v>
      </c>
      <c r="AB40" s="322">
        <f>'P NP MINAPADI IKAN'!BS20</f>
        <v>0</v>
      </c>
      <c r="AC40" s="322">
        <f>'P NP MINAPADI IKAN'!BT20</f>
        <v>0</v>
      </c>
      <c r="AD40" s="322">
        <f>'P NP MINAPADI IKAN'!BS21</f>
        <v>0</v>
      </c>
      <c r="AE40" s="322">
        <f>'P NP MINAPADI IKAN'!BT21</f>
        <v>0</v>
      </c>
      <c r="AF40" s="322">
        <f>'P NP MINAPADI IKAN'!BS22</f>
        <v>0</v>
      </c>
      <c r="AG40" s="322">
        <f>'P NP MINAPADI IKAN'!BT22</f>
        <v>0</v>
      </c>
      <c r="AH40" s="322">
        <f>'P NP MINAPADI IKAN'!BS23</f>
        <v>0</v>
      </c>
      <c r="AI40" s="322">
        <f>'P NP MINAPADI IKAN'!BT23</f>
        <v>0</v>
      </c>
      <c r="AJ40" s="322">
        <f>'P NP MINAPADI IKAN'!BS24</f>
        <v>0</v>
      </c>
      <c r="AK40" s="322">
        <f>'P NP MINAPADI IKAN'!BT24</f>
        <v>0</v>
      </c>
      <c r="AL40" s="322">
        <f>'P NP MINAPADI IKAN'!BS25</f>
        <v>0</v>
      </c>
      <c r="AM40" s="322">
        <f>'P NP MINAPADI IKAN'!BT25</f>
        <v>0</v>
      </c>
      <c r="AN40" s="322">
        <f>'P NP MINAPADI IKAN'!BS26</f>
        <v>0</v>
      </c>
      <c r="AO40" s="322">
        <f>'P NP MINAPADI IKAN'!BT26</f>
        <v>0</v>
      </c>
      <c r="AP40" s="322">
        <f>'P NP MINAPADI IKAN'!BS27</f>
        <v>0</v>
      </c>
      <c r="AQ40" s="322">
        <f>'P NP MINAPADI IKAN'!BT27</f>
        <v>0</v>
      </c>
      <c r="AR40" s="322">
        <f>'P NP MINAPADI IKAN'!BS28</f>
        <v>0</v>
      </c>
      <c r="AS40" s="322">
        <f>'P NP MINAPADI IKAN'!BT28</f>
        <v>0</v>
      </c>
      <c r="AT40" s="322">
        <f>'P NP MINAPADI IKAN'!BS29</f>
        <v>0</v>
      </c>
      <c r="AU40" s="322">
        <f>'P NP MINAPADI IKAN'!BT29</f>
        <v>0</v>
      </c>
      <c r="AV40" s="322">
        <f>'P NP MINAPADI IKAN'!BS30</f>
        <v>0</v>
      </c>
      <c r="AW40" s="322">
        <f>'P NP MINAPADI IKAN'!BT30</f>
        <v>0</v>
      </c>
      <c r="AX40" s="322">
        <f>'P NP MINAPADI IKAN'!BS31</f>
        <v>0</v>
      </c>
      <c r="AY40" s="322">
        <f>'P NP MINAPADI IKAN'!BT31</f>
        <v>0</v>
      </c>
      <c r="AZ40" s="322">
        <f>'P NP MINAPADI IKAN'!BS32</f>
        <v>0</v>
      </c>
      <c r="BA40" s="322">
        <f>'P NP MINAPADI IKAN'!BT32</f>
        <v>0</v>
      </c>
      <c r="BB40" s="322">
        <f>'P NP MINAPADI IKAN'!BS33</f>
        <v>0</v>
      </c>
      <c r="BC40" s="322">
        <f>'P NP MINAPADI IKAN'!BT33</f>
        <v>0</v>
      </c>
      <c r="BD40" s="322">
        <f>'P NP MINAPADI IKAN'!BS34</f>
        <v>0</v>
      </c>
      <c r="BE40" s="322">
        <f>'P NP MINAPADI IKAN'!BT34</f>
        <v>0</v>
      </c>
      <c r="BF40" s="322">
        <f>'P NP MINAPADI IKAN'!BS35</f>
        <v>0</v>
      </c>
      <c r="BG40" s="322">
        <f>'P NP MINAPADI IKAN'!BT35</f>
        <v>0</v>
      </c>
      <c r="BH40" s="322">
        <f>'P NP MINAPADI IKAN'!BS36</f>
        <v>0</v>
      </c>
      <c r="BI40" s="322">
        <f>'P NP MINAPADI IKAN'!BT36</f>
        <v>0</v>
      </c>
      <c r="BJ40" s="322">
        <f>'P NP MINAPADI IKAN'!BS37</f>
        <v>0</v>
      </c>
      <c r="BK40" s="322">
        <f>'P NP MINAPADI IKAN'!BT37</f>
        <v>0</v>
      </c>
      <c r="BL40" s="322">
        <f>'P NP MINAPADI IKAN'!BS38</f>
        <v>0</v>
      </c>
      <c r="BM40" s="322">
        <f>'P NP MINAPADI IKAN'!BT38</f>
        <v>0</v>
      </c>
      <c r="BN40" s="322">
        <f>'P NP MINAPADI IKAN'!BS39</f>
        <v>0</v>
      </c>
      <c r="BO40" s="322">
        <f>'P NP MINAPADI IKAN'!BT39</f>
        <v>0</v>
      </c>
      <c r="BP40" s="322">
        <f>'P NP MINAPADI IKAN'!BS40</f>
        <v>0</v>
      </c>
      <c r="BQ40" s="322">
        <f>'P NP MINAPADI IKAN'!BT40</f>
        <v>0</v>
      </c>
      <c r="BR40" s="322">
        <f>'P NP MINAPADI IKAN'!BS41</f>
        <v>0</v>
      </c>
      <c r="BS40" s="322">
        <f>'P NP MINAPADI IKAN'!BT41</f>
        <v>0</v>
      </c>
      <c r="BT40" s="322">
        <f>'P NP MINAPADI IKAN'!BS42</f>
        <v>0</v>
      </c>
      <c r="BU40" s="322">
        <f>'P NP MINAPADI IKAN'!BT42</f>
        <v>0</v>
      </c>
      <c r="BV40" s="322">
        <f>'P NP MINAPADI IKAN'!BS43</f>
        <v>0</v>
      </c>
      <c r="BW40" s="322">
        <f>'P NP MINAPADI IKAN'!BT43</f>
        <v>0</v>
      </c>
      <c r="BX40" s="322">
        <f>'P NP MINAPADI IKAN'!BS44</f>
        <v>0</v>
      </c>
      <c r="BY40" s="322">
        <f>'P NP MINAPADI IKAN'!BT44</f>
        <v>0</v>
      </c>
    </row>
    <row r="41" spans="1:77">
      <c r="A41" s="260" t="s">
        <v>145</v>
      </c>
      <c r="B41" s="320">
        <f t="shared" si="2"/>
        <v>0</v>
      </c>
      <c r="C41" s="320">
        <f t="shared" si="3"/>
        <v>0</v>
      </c>
      <c r="D41" s="322">
        <f>'P NP MINAPADI IKAN'!BU8</f>
        <v>0</v>
      </c>
      <c r="E41" s="322">
        <f>'P NP MINAPADI IKAN'!BV8</f>
        <v>0</v>
      </c>
      <c r="F41" s="322">
        <f>'P NP MINAPADI IKAN'!BU9</f>
        <v>0</v>
      </c>
      <c r="G41" s="322">
        <f>'P NP MINAPADI IKAN'!BV9</f>
        <v>0</v>
      </c>
      <c r="H41" s="322">
        <f>'P NP MINAPADI IKAN'!BU10</f>
        <v>0</v>
      </c>
      <c r="I41" s="322">
        <f>'P NP MINAPADI IKAN'!BV10</f>
        <v>0</v>
      </c>
      <c r="J41" s="322">
        <f>'P NP MINAPADI IKAN'!BU11</f>
        <v>0</v>
      </c>
      <c r="K41" s="322">
        <f>'P NP MINAPADI IKAN'!BV11</f>
        <v>0</v>
      </c>
      <c r="L41" s="322">
        <f>'P NP MINAPADI IKAN'!BU12</f>
        <v>0</v>
      </c>
      <c r="M41" s="322">
        <f>'P NP MINAPADI IKAN'!BV12</f>
        <v>0</v>
      </c>
      <c r="N41" s="322">
        <f>'P NP MINAPADI IKAN'!BU13</f>
        <v>0</v>
      </c>
      <c r="O41" s="322">
        <f>'P NP MINAPADI IKAN'!BV13</f>
        <v>0</v>
      </c>
      <c r="P41" s="322">
        <f>'P NP MINAPADI IKAN'!BU14</f>
        <v>0</v>
      </c>
      <c r="Q41" s="322">
        <f>'P NP MINAPADI IKAN'!BV14</f>
        <v>0</v>
      </c>
      <c r="R41" s="322">
        <f>'P NP MINAPADI IKAN'!BU15</f>
        <v>0</v>
      </c>
      <c r="S41" s="322">
        <f>'P NP MINAPADI IKAN'!BV15</f>
        <v>0</v>
      </c>
      <c r="T41" s="322">
        <f>'P NP MINAPADI IKAN'!BU16</f>
        <v>0</v>
      </c>
      <c r="U41" s="322">
        <f>'P NP MINAPADI IKAN'!BV16</f>
        <v>0</v>
      </c>
      <c r="V41" s="322">
        <f>'P NP MINAPADI IKAN'!BU17</f>
        <v>0</v>
      </c>
      <c r="W41" s="322">
        <f>'P NP MINAPADI IKAN'!BV17</f>
        <v>0</v>
      </c>
      <c r="X41" s="322">
        <f>'P NP MINAPADI IKAN'!BU18</f>
        <v>0</v>
      </c>
      <c r="Y41" s="322">
        <f>'P NP MINAPADI IKAN'!BV18</f>
        <v>0</v>
      </c>
      <c r="Z41" s="322">
        <f>'P NP MINAPADI IKAN'!BU19</f>
        <v>0</v>
      </c>
      <c r="AA41" s="322">
        <f>'P NP MINAPADI IKAN'!BV19</f>
        <v>0</v>
      </c>
      <c r="AB41" s="322">
        <f>'P NP MINAPADI IKAN'!BU20</f>
        <v>0</v>
      </c>
      <c r="AC41" s="322">
        <f>'P NP MINAPADI IKAN'!BV20</f>
        <v>0</v>
      </c>
      <c r="AD41" s="322">
        <f>'P NP MINAPADI IKAN'!BU21</f>
        <v>0</v>
      </c>
      <c r="AE41" s="322">
        <f>'P NP MINAPADI IKAN'!BV21</f>
        <v>0</v>
      </c>
      <c r="AF41" s="322">
        <f>'P NP MINAPADI IKAN'!BU22</f>
        <v>0</v>
      </c>
      <c r="AG41" s="322">
        <f>'P NP MINAPADI IKAN'!BV22</f>
        <v>0</v>
      </c>
      <c r="AH41" s="322">
        <f>'P NP MINAPADI IKAN'!BU23</f>
        <v>0</v>
      </c>
      <c r="AI41" s="322">
        <f>'P NP MINAPADI IKAN'!BV23</f>
        <v>0</v>
      </c>
      <c r="AJ41" s="322">
        <f>'P NP MINAPADI IKAN'!BU24</f>
        <v>0</v>
      </c>
      <c r="AK41" s="322">
        <f>'P NP MINAPADI IKAN'!BV24</f>
        <v>0</v>
      </c>
      <c r="AL41" s="322">
        <f>'P NP MINAPADI IKAN'!BU25</f>
        <v>0</v>
      </c>
      <c r="AM41" s="322">
        <f>'P NP MINAPADI IKAN'!BV25</f>
        <v>0</v>
      </c>
      <c r="AN41" s="322">
        <f>'P NP MINAPADI IKAN'!BU26</f>
        <v>0</v>
      </c>
      <c r="AO41" s="322">
        <f>'P NP MINAPADI IKAN'!BV26</f>
        <v>0</v>
      </c>
      <c r="AP41" s="322">
        <f>'P NP MINAPADI IKAN'!BU27</f>
        <v>0</v>
      </c>
      <c r="AQ41" s="322">
        <f>'P NP MINAPADI IKAN'!BV27</f>
        <v>0</v>
      </c>
      <c r="AR41" s="322">
        <f>'P NP MINAPADI IKAN'!BU28</f>
        <v>0</v>
      </c>
      <c r="AS41" s="322">
        <f>'P NP MINAPADI IKAN'!BV28</f>
        <v>0</v>
      </c>
      <c r="AT41" s="322">
        <f>'P NP MINAPADI IKAN'!BU29</f>
        <v>0</v>
      </c>
      <c r="AU41" s="322">
        <f>'P NP MINAPADI IKAN'!BV29</f>
        <v>0</v>
      </c>
      <c r="AV41" s="322">
        <f>'P NP MINAPADI IKAN'!BU30</f>
        <v>0</v>
      </c>
      <c r="AW41" s="322">
        <f>'P NP MINAPADI IKAN'!BV30</f>
        <v>0</v>
      </c>
      <c r="AX41" s="322">
        <f>'P NP MINAPADI IKAN'!BU31</f>
        <v>0</v>
      </c>
      <c r="AY41" s="322">
        <f>'P NP MINAPADI IKAN'!BV31</f>
        <v>0</v>
      </c>
      <c r="AZ41" s="322">
        <f>'P NP MINAPADI IKAN'!BU32</f>
        <v>0</v>
      </c>
      <c r="BA41" s="322">
        <f>'P NP MINAPADI IKAN'!BV32</f>
        <v>0</v>
      </c>
      <c r="BB41" s="322">
        <f>'P NP MINAPADI IKAN'!BU33</f>
        <v>0</v>
      </c>
      <c r="BC41" s="322">
        <f>'P NP MINAPADI IKAN'!BV33</f>
        <v>0</v>
      </c>
      <c r="BD41" s="322">
        <f>'P NP MINAPADI IKAN'!BU34</f>
        <v>0</v>
      </c>
      <c r="BE41" s="322">
        <f>'P NP MINAPADI IKAN'!BV34</f>
        <v>0</v>
      </c>
      <c r="BF41" s="322">
        <f>'P NP MINAPADI IKAN'!BU35</f>
        <v>0</v>
      </c>
      <c r="BG41" s="322">
        <f>'P NP MINAPADI IKAN'!BV35</f>
        <v>0</v>
      </c>
      <c r="BH41" s="322">
        <f>'P NP MINAPADI IKAN'!BU36</f>
        <v>0</v>
      </c>
      <c r="BI41" s="322">
        <f>'P NP MINAPADI IKAN'!BV36</f>
        <v>0</v>
      </c>
      <c r="BJ41" s="322">
        <f>'P NP MINAPADI IKAN'!BU37</f>
        <v>0</v>
      </c>
      <c r="BK41" s="322">
        <f>'P NP MINAPADI IKAN'!BV37</f>
        <v>0</v>
      </c>
      <c r="BL41" s="322">
        <f>'P NP MINAPADI IKAN'!BU38</f>
        <v>0</v>
      </c>
      <c r="BM41" s="322">
        <f>'P NP MINAPADI IKAN'!BV38</f>
        <v>0</v>
      </c>
      <c r="BN41" s="322">
        <f>'P NP MINAPADI IKAN'!BU39</f>
        <v>0</v>
      </c>
      <c r="BO41" s="322">
        <f>'P NP MINAPADI IKAN'!BV39</f>
        <v>0</v>
      </c>
      <c r="BP41" s="322">
        <f>'P NP MINAPADI IKAN'!BU40</f>
        <v>0</v>
      </c>
      <c r="BQ41" s="322">
        <f>'P NP MINAPADI IKAN'!BV40</f>
        <v>0</v>
      </c>
      <c r="BR41" s="322">
        <f>'P NP MINAPADI IKAN'!BU41</f>
        <v>0</v>
      </c>
      <c r="BS41" s="322">
        <f>'P NP MINAPADI IKAN'!BV41</f>
        <v>0</v>
      </c>
      <c r="BT41" s="322">
        <f>'P NP MINAPADI IKAN'!BU42</f>
        <v>0</v>
      </c>
      <c r="BU41" s="322">
        <f>'P NP MINAPADI IKAN'!BV42</f>
        <v>0</v>
      </c>
      <c r="BV41" s="322">
        <f>'P NP MINAPADI IKAN'!BU43</f>
        <v>0</v>
      </c>
      <c r="BW41" s="322">
        <f>'P NP MINAPADI IKAN'!BV43</f>
        <v>0</v>
      </c>
      <c r="BX41" s="322">
        <f>'P NP MINAPADI IKAN'!BU44</f>
        <v>0</v>
      </c>
      <c r="BY41" s="322">
        <f>'P NP MINAPADI IKAN'!BV44</f>
        <v>0</v>
      </c>
    </row>
    <row r="42" spans="1:77">
      <c r="A42" s="260" t="s">
        <v>144</v>
      </c>
      <c r="B42" s="320">
        <f t="shared" si="2"/>
        <v>0</v>
      </c>
      <c r="C42" s="320">
        <f t="shared" si="3"/>
        <v>0</v>
      </c>
      <c r="D42" s="322">
        <f>'P NP MINAPADI IKAN'!BW8</f>
        <v>0</v>
      </c>
      <c r="E42" s="322">
        <f>'P NP MINAPADI IKAN'!BX8</f>
        <v>0</v>
      </c>
      <c r="F42" s="322">
        <f>'P NP MINAPADI IKAN'!BW9</f>
        <v>0</v>
      </c>
      <c r="G42" s="322">
        <f>'P NP MINAPADI IKAN'!BX9</f>
        <v>0</v>
      </c>
      <c r="H42" s="322">
        <f>'P NP MINAPADI IKAN'!BW10</f>
        <v>0</v>
      </c>
      <c r="I42" s="322">
        <f>'P NP MINAPADI IKAN'!BX10</f>
        <v>0</v>
      </c>
      <c r="J42" s="322">
        <f>'P NP MINAPADI IKAN'!BW11</f>
        <v>0</v>
      </c>
      <c r="K42" s="322">
        <f>'P NP MINAPADI IKAN'!BX11</f>
        <v>0</v>
      </c>
      <c r="L42" s="322">
        <f>'P NP MINAPADI IKAN'!BW12</f>
        <v>0</v>
      </c>
      <c r="M42" s="322">
        <f>'P NP MINAPADI IKAN'!BX12</f>
        <v>0</v>
      </c>
      <c r="N42" s="322">
        <f>'P NP MINAPADI IKAN'!BW13</f>
        <v>0</v>
      </c>
      <c r="O42" s="322">
        <f>'P NP MINAPADI IKAN'!BX13</f>
        <v>0</v>
      </c>
      <c r="P42" s="322">
        <f>'P NP MINAPADI IKAN'!BW14</f>
        <v>0</v>
      </c>
      <c r="Q42" s="322">
        <f>'P NP MINAPADI IKAN'!BX14</f>
        <v>0</v>
      </c>
      <c r="R42" s="322">
        <f>'P NP MINAPADI IKAN'!BW15</f>
        <v>0</v>
      </c>
      <c r="S42" s="322">
        <f>'P NP MINAPADI IKAN'!BX15</f>
        <v>0</v>
      </c>
      <c r="T42" s="322">
        <f>'P NP MINAPADI IKAN'!BW16</f>
        <v>0</v>
      </c>
      <c r="U42" s="322">
        <f>'P NP MINAPADI IKAN'!BX16</f>
        <v>0</v>
      </c>
      <c r="V42" s="322">
        <f>'P NP MINAPADI IKAN'!BW17</f>
        <v>0</v>
      </c>
      <c r="W42" s="322">
        <f>'P NP MINAPADI IKAN'!BX17</f>
        <v>0</v>
      </c>
      <c r="X42" s="322">
        <f>'P NP MINAPADI IKAN'!BW18</f>
        <v>0</v>
      </c>
      <c r="Y42" s="322">
        <f>'P NP MINAPADI IKAN'!BX18</f>
        <v>0</v>
      </c>
      <c r="Z42" s="322">
        <f>'P NP MINAPADI IKAN'!BW19</f>
        <v>0</v>
      </c>
      <c r="AA42" s="322">
        <f>'P NP MINAPADI IKAN'!BX19</f>
        <v>0</v>
      </c>
      <c r="AB42" s="322">
        <f>'P NP MINAPADI IKAN'!BW20</f>
        <v>0</v>
      </c>
      <c r="AC42" s="322">
        <f>'P NP MINAPADI IKAN'!BX20</f>
        <v>0</v>
      </c>
      <c r="AD42" s="322">
        <f>'P NP MINAPADI IKAN'!BW21</f>
        <v>0</v>
      </c>
      <c r="AE42" s="322">
        <f>'P NP MINAPADI IKAN'!BX21</f>
        <v>0</v>
      </c>
      <c r="AF42" s="322">
        <f>'P NP MINAPADI IKAN'!BW22</f>
        <v>0</v>
      </c>
      <c r="AG42" s="322">
        <f>'P NP MINAPADI IKAN'!BX22</f>
        <v>0</v>
      </c>
      <c r="AH42" s="322">
        <f>'P NP MINAPADI IKAN'!BW23</f>
        <v>0</v>
      </c>
      <c r="AI42" s="322">
        <f>'P NP MINAPADI IKAN'!BX23</f>
        <v>0</v>
      </c>
      <c r="AJ42" s="322">
        <f>'P NP MINAPADI IKAN'!BW24</f>
        <v>0</v>
      </c>
      <c r="AK42" s="322">
        <f>'P NP MINAPADI IKAN'!BX24</f>
        <v>0</v>
      </c>
      <c r="AL42" s="322">
        <f>'P NP MINAPADI IKAN'!BW25</f>
        <v>0</v>
      </c>
      <c r="AM42" s="322">
        <f>'P NP MINAPADI IKAN'!BX25</f>
        <v>0</v>
      </c>
      <c r="AN42" s="322">
        <f>'P NP MINAPADI IKAN'!BW26</f>
        <v>0</v>
      </c>
      <c r="AO42" s="322">
        <f>'P NP MINAPADI IKAN'!BX26</f>
        <v>0</v>
      </c>
      <c r="AP42" s="322">
        <f>'P NP MINAPADI IKAN'!BW27</f>
        <v>0</v>
      </c>
      <c r="AQ42" s="322">
        <f>'P NP MINAPADI IKAN'!BX27</f>
        <v>0</v>
      </c>
      <c r="AR42" s="322">
        <f>'P NP MINAPADI IKAN'!BW28</f>
        <v>0</v>
      </c>
      <c r="AS42" s="322">
        <f>'P NP MINAPADI IKAN'!BX28</f>
        <v>0</v>
      </c>
      <c r="AT42" s="322">
        <f>'P NP MINAPADI IKAN'!BW29</f>
        <v>0</v>
      </c>
      <c r="AU42" s="322">
        <f>'P NP MINAPADI IKAN'!BX29</f>
        <v>0</v>
      </c>
      <c r="AV42" s="322">
        <f>'P NP MINAPADI IKAN'!BW30</f>
        <v>0</v>
      </c>
      <c r="AW42" s="322">
        <f>'P NP MINAPADI IKAN'!BX30</f>
        <v>0</v>
      </c>
      <c r="AX42" s="322">
        <f>'P NP MINAPADI IKAN'!BW31</f>
        <v>0</v>
      </c>
      <c r="AY42" s="322">
        <f>'P NP MINAPADI IKAN'!BX31</f>
        <v>0</v>
      </c>
      <c r="AZ42" s="322">
        <f>'P NP MINAPADI IKAN'!BW32</f>
        <v>0</v>
      </c>
      <c r="BA42" s="322">
        <f>'P NP MINAPADI IKAN'!BX32</f>
        <v>0</v>
      </c>
      <c r="BB42" s="322">
        <f>'P NP MINAPADI IKAN'!BW33</f>
        <v>0</v>
      </c>
      <c r="BC42" s="322">
        <f>'P NP MINAPADI IKAN'!BX33</f>
        <v>0</v>
      </c>
      <c r="BD42" s="322">
        <f>'P NP MINAPADI IKAN'!BW34</f>
        <v>0</v>
      </c>
      <c r="BE42" s="322">
        <f>'P NP MINAPADI IKAN'!BX34</f>
        <v>0</v>
      </c>
      <c r="BF42" s="322">
        <f>'P NP MINAPADI IKAN'!BW35</f>
        <v>0</v>
      </c>
      <c r="BG42" s="322">
        <f>'P NP MINAPADI IKAN'!BX35</f>
        <v>0</v>
      </c>
      <c r="BH42" s="322">
        <f>'P NP MINAPADI IKAN'!BW36</f>
        <v>0</v>
      </c>
      <c r="BI42" s="322">
        <f>'P NP MINAPADI IKAN'!BX36</f>
        <v>0</v>
      </c>
      <c r="BJ42" s="322">
        <f>'P NP MINAPADI IKAN'!BW37</f>
        <v>0</v>
      </c>
      <c r="BK42" s="322">
        <f>'P NP MINAPADI IKAN'!BX37</f>
        <v>0</v>
      </c>
      <c r="BL42" s="322">
        <f>'P NP MINAPADI IKAN'!BW38</f>
        <v>0</v>
      </c>
      <c r="BM42" s="322">
        <f>'P NP MINAPADI IKAN'!BX38</f>
        <v>0</v>
      </c>
      <c r="BN42" s="322">
        <f>'P NP MINAPADI IKAN'!BW39</f>
        <v>0</v>
      </c>
      <c r="BO42" s="322">
        <f>'P NP MINAPADI IKAN'!BX39</f>
        <v>0</v>
      </c>
      <c r="BP42" s="322">
        <f>'P NP MINAPADI IKAN'!BW40</f>
        <v>0</v>
      </c>
      <c r="BQ42" s="322">
        <f>'P NP MINAPADI IKAN'!BX40</f>
        <v>0</v>
      </c>
      <c r="BR42" s="322">
        <f>'P NP MINAPADI IKAN'!BW41</f>
        <v>0</v>
      </c>
      <c r="BS42" s="322">
        <f>'P NP MINAPADI IKAN'!BX41</f>
        <v>0</v>
      </c>
      <c r="BT42" s="322">
        <f>'P NP MINAPADI IKAN'!BW42</f>
        <v>0</v>
      </c>
      <c r="BU42" s="322">
        <f>'P NP MINAPADI IKAN'!BX42</f>
        <v>0</v>
      </c>
      <c r="BV42" s="322">
        <f>'P NP MINAPADI IKAN'!BW43</f>
        <v>0</v>
      </c>
      <c r="BW42" s="322">
        <f>'P NP MINAPADI IKAN'!BX43</f>
        <v>0</v>
      </c>
      <c r="BX42" s="322">
        <f>'P NP MINAPADI IKAN'!BW44</f>
        <v>0</v>
      </c>
      <c r="BY42" s="322">
        <f>'P NP MINAPADI IKAN'!BX44</f>
        <v>0</v>
      </c>
    </row>
    <row r="43" spans="1:77" ht="15" thickBot="1">
      <c r="A43" s="272" t="s">
        <v>148</v>
      </c>
      <c r="B43" s="320">
        <f t="shared" si="2"/>
        <v>0</v>
      </c>
      <c r="C43" s="320">
        <f t="shared" si="3"/>
        <v>0</v>
      </c>
      <c r="D43" s="322">
        <f>'P NP MINAPADI IKAN'!BY8</f>
        <v>0</v>
      </c>
      <c r="E43" s="322">
        <f>'P NP MINAPADI IKAN'!BZ8</f>
        <v>0</v>
      </c>
      <c r="F43" s="322">
        <f>'P NP MINAPADI IKAN'!BY9</f>
        <v>0</v>
      </c>
      <c r="G43" s="322">
        <f>'P NP MINAPADI IKAN'!BZ9</f>
        <v>0</v>
      </c>
      <c r="H43" s="322">
        <f>'P NP MINAPADI IKAN'!BY10</f>
        <v>0</v>
      </c>
      <c r="I43" s="322">
        <f>'P NP MINAPADI IKAN'!BZ10</f>
        <v>0</v>
      </c>
      <c r="J43" s="322">
        <f>'P NP MINAPADI IKAN'!BY11</f>
        <v>0</v>
      </c>
      <c r="K43" s="322">
        <f>'P NP MINAPADI IKAN'!BZ11</f>
        <v>0</v>
      </c>
      <c r="L43" s="322">
        <f>'P NP MINAPADI IKAN'!BY12</f>
        <v>0</v>
      </c>
      <c r="M43" s="322">
        <f>'P NP MINAPADI IKAN'!BZ12</f>
        <v>0</v>
      </c>
      <c r="N43" s="322">
        <f>'P NP MINAPADI IKAN'!BY13</f>
        <v>0</v>
      </c>
      <c r="O43" s="322">
        <f>'P NP MINAPADI IKAN'!BZ13</f>
        <v>0</v>
      </c>
      <c r="P43" s="322">
        <f>'P NP MINAPADI IKAN'!BY14</f>
        <v>0</v>
      </c>
      <c r="Q43" s="322">
        <f>'P NP MINAPADI IKAN'!BZ14</f>
        <v>0</v>
      </c>
      <c r="R43" s="322">
        <f>'P NP MINAPADI IKAN'!BY15</f>
        <v>0</v>
      </c>
      <c r="S43" s="322">
        <f>'P NP MINAPADI IKAN'!BZ15</f>
        <v>0</v>
      </c>
      <c r="T43" s="322">
        <f>'P NP MINAPADI IKAN'!BY16</f>
        <v>0</v>
      </c>
      <c r="U43" s="322">
        <f>'P NP MINAPADI IKAN'!BZ16</f>
        <v>0</v>
      </c>
      <c r="V43" s="322">
        <f>'P NP MINAPADI IKAN'!BY17</f>
        <v>0</v>
      </c>
      <c r="W43" s="322">
        <f>'P NP MINAPADI IKAN'!BZ17</f>
        <v>0</v>
      </c>
      <c r="X43" s="322">
        <f>'P NP MINAPADI IKAN'!BY18</f>
        <v>0</v>
      </c>
      <c r="Y43" s="322">
        <f>'P NP MINAPADI IKAN'!BZ18</f>
        <v>0</v>
      </c>
      <c r="Z43" s="322">
        <f>'P NP MINAPADI IKAN'!BY19</f>
        <v>0</v>
      </c>
      <c r="AA43" s="322">
        <f>'P NP MINAPADI IKAN'!BZ19</f>
        <v>0</v>
      </c>
      <c r="AB43" s="322">
        <f>'P NP MINAPADI IKAN'!BY20</f>
        <v>0</v>
      </c>
      <c r="AC43" s="322">
        <f>'P NP MINAPADI IKAN'!BZ20</f>
        <v>0</v>
      </c>
      <c r="AD43" s="322">
        <f>'P NP MINAPADI IKAN'!BY21</f>
        <v>0</v>
      </c>
      <c r="AE43" s="322">
        <f>'P NP MINAPADI IKAN'!BZ21</f>
        <v>0</v>
      </c>
      <c r="AF43" s="322">
        <f>'P NP MINAPADI IKAN'!BY22</f>
        <v>0</v>
      </c>
      <c r="AG43" s="322">
        <f>'P NP MINAPADI IKAN'!BZ22</f>
        <v>0</v>
      </c>
      <c r="AH43" s="322">
        <f>'P NP MINAPADI IKAN'!BY23</f>
        <v>0</v>
      </c>
      <c r="AI43" s="322">
        <f>'P NP MINAPADI IKAN'!BZ23</f>
        <v>0</v>
      </c>
      <c r="AJ43" s="322">
        <f>'P NP MINAPADI IKAN'!BY24</f>
        <v>0</v>
      </c>
      <c r="AK43" s="322">
        <f>'P NP MINAPADI IKAN'!BZ24</f>
        <v>0</v>
      </c>
      <c r="AL43" s="322">
        <f>'P NP MINAPADI IKAN'!BY25</f>
        <v>0</v>
      </c>
      <c r="AM43" s="322">
        <f>'P NP MINAPADI IKAN'!BZ25</f>
        <v>0</v>
      </c>
      <c r="AN43" s="322">
        <f>'P NP MINAPADI IKAN'!BY26</f>
        <v>0</v>
      </c>
      <c r="AO43" s="322">
        <f>'P NP MINAPADI IKAN'!BZ26</f>
        <v>0</v>
      </c>
      <c r="AP43" s="322">
        <f>'P NP MINAPADI IKAN'!BY27</f>
        <v>0</v>
      </c>
      <c r="AQ43" s="322">
        <f>'P NP MINAPADI IKAN'!BZ27</f>
        <v>0</v>
      </c>
      <c r="AR43" s="322">
        <f>'P NP MINAPADI IKAN'!BY28</f>
        <v>0</v>
      </c>
      <c r="AS43" s="322">
        <f>'P NP MINAPADI IKAN'!BZ28</f>
        <v>0</v>
      </c>
      <c r="AT43" s="322">
        <f>'P NP MINAPADI IKAN'!BY29</f>
        <v>0</v>
      </c>
      <c r="AU43" s="322">
        <f>'P NP MINAPADI IKAN'!BZ29</f>
        <v>0</v>
      </c>
      <c r="AV43" s="322">
        <f>'P NP MINAPADI IKAN'!BY30</f>
        <v>0</v>
      </c>
      <c r="AW43" s="322">
        <f>'P NP MINAPADI IKAN'!BZ30</f>
        <v>0</v>
      </c>
      <c r="AX43" s="322">
        <f>'P NP MINAPADI IKAN'!BY31</f>
        <v>0</v>
      </c>
      <c r="AY43" s="322">
        <f>'P NP MINAPADI IKAN'!BZ31</f>
        <v>0</v>
      </c>
      <c r="AZ43" s="322">
        <f>'P NP MINAPADI IKAN'!BY32</f>
        <v>0</v>
      </c>
      <c r="BA43" s="322">
        <f>'P NP MINAPADI IKAN'!BZ32</f>
        <v>0</v>
      </c>
      <c r="BB43" s="322">
        <f>'P NP MINAPADI IKAN'!BY33</f>
        <v>0</v>
      </c>
      <c r="BC43" s="322">
        <f>'P NP MINAPADI IKAN'!BZ33</f>
        <v>0</v>
      </c>
      <c r="BD43" s="322">
        <f>'P NP MINAPADI IKAN'!BY34</f>
        <v>0</v>
      </c>
      <c r="BE43" s="322">
        <f>'P NP MINAPADI IKAN'!BZ34</f>
        <v>0</v>
      </c>
      <c r="BF43" s="322">
        <f>'P NP MINAPADI IKAN'!BY35</f>
        <v>0</v>
      </c>
      <c r="BG43" s="322">
        <f>'P NP MINAPADI IKAN'!BZ35</f>
        <v>0</v>
      </c>
      <c r="BH43" s="322">
        <f>'P NP MINAPADI IKAN'!BY36</f>
        <v>0</v>
      </c>
      <c r="BI43" s="322">
        <f>'P NP MINAPADI IKAN'!BZ36</f>
        <v>0</v>
      </c>
      <c r="BJ43" s="322">
        <f>'P NP MINAPADI IKAN'!BY37</f>
        <v>0</v>
      </c>
      <c r="BK43" s="322">
        <f>'P NP MINAPADI IKAN'!BZ37</f>
        <v>0</v>
      </c>
      <c r="BL43" s="322">
        <f>'P NP MINAPADI IKAN'!BY38</f>
        <v>0</v>
      </c>
      <c r="BM43" s="322">
        <f>'P NP MINAPADI IKAN'!BZ38</f>
        <v>0</v>
      </c>
      <c r="BN43" s="322">
        <f>'P NP MINAPADI IKAN'!BY39</f>
        <v>0</v>
      </c>
      <c r="BO43" s="322">
        <f>'P NP MINAPADI IKAN'!BZ39</f>
        <v>0</v>
      </c>
      <c r="BP43" s="322">
        <f>'P NP MINAPADI IKAN'!BY40</f>
        <v>0</v>
      </c>
      <c r="BQ43" s="322">
        <f>'P NP MINAPADI IKAN'!BZ40</f>
        <v>0</v>
      </c>
      <c r="BR43" s="322">
        <f>'P NP MINAPADI IKAN'!BY41</f>
        <v>0</v>
      </c>
      <c r="BS43" s="322">
        <f>'P NP MINAPADI IKAN'!BZ41</f>
        <v>0</v>
      </c>
      <c r="BT43" s="322">
        <f>'P NP MINAPADI IKAN'!BY42</f>
        <v>0</v>
      </c>
      <c r="BU43" s="322">
        <f>'P NP MINAPADI IKAN'!BZ42</f>
        <v>0</v>
      </c>
      <c r="BV43" s="322">
        <f>'P NP MINAPADI IKAN'!BY43</f>
        <v>0</v>
      </c>
      <c r="BW43" s="322">
        <f>'P NP MINAPADI IKAN'!BZ43</f>
        <v>0</v>
      </c>
      <c r="BX43" s="322">
        <f>'P NP MINAPADI IKAN'!BY44</f>
        <v>0</v>
      </c>
      <c r="BY43" s="322">
        <f>'P NP MINAPADI IKAN'!BZ44</f>
        <v>0</v>
      </c>
    </row>
    <row r="44" spans="1:77" s="168" customFormat="1">
      <c r="D44" s="323"/>
      <c r="E44" s="323"/>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324"/>
      <c r="AI44" s="324"/>
      <c r="AJ44" s="324"/>
      <c r="AK44" s="324"/>
      <c r="AL44" s="324"/>
      <c r="AM44" s="324"/>
      <c r="AN44" s="324"/>
      <c r="AO44" s="324"/>
      <c r="AP44" s="324"/>
      <c r="AQ44" s="324"/>
      <c r="AR44" s="324"/>
      <c r="AS44" s="324"/>
      <c r="AT44" s="324"/>
      <c r="AU44" s="324"/>
      <c r="AV44" s="324"/>
      <c r="AW44" s="324"/>
      <c r="AX44" s="324"/>
      <c r="AY44" s="324"/>
      <c r="AZ44" s="324"/>
      <c r="BA44" s="324"/>
      <c r="BB44" s="324"/>
      <c r="BC44" s="324"/>
      <c r="BD44" s="324"/>
      <c r="BE44" s="324"/>
      <c r="BF44" s="324"/>
      <c r="BG44" s="324"/>
      <c r="BH44" s="324"/>
      <c r="BI44" s="324"/>
      <c r="BJ44" s="324"/>
      <c r="BK44" s="324"/>
      <c r="BL44" s="324"/>
      <c r="BM44" s="324"/>
      <c r="BN44" s="324"/>
      <c r="BO44" s="324"/>
      <c r="BP44" s="324"/>
      <c r="BQ44" s="324"/>
      <c r="BR44" s="324"/>
      <c r="BS44" s="324"/>
      <c r="BT44" s="324"/>
      <c r="BU44" s="324"/>
      <c r="BV44" s="324"/>
      <c r="BW44" s="324"/>
      <c r="BX44" s="324"/>
      <c r="BY44" s="324"/>
    </row>
    <row r="45" spans="1:77">
      <c r="D45" t="s">
        <v>753</v>
      </c>
      <c r="E45" t="s">
        <v>738</v>
      </c>
      <c r="F45" t="s">
        <v>739</v>
      </c>
      <c r="G45" t="s">
        <v>740</v>
      </c>
      <c r="H45" t="s">
        <v>741</v>
      </c>
      <c r="I45" t="s">
        <v>742</v>
      </c>
      <c r="J45" t="s">
        <v>743</v>
      </c>
      <c r="K45" t="s">
        <v>744</v>
      </c>
      <c r="L45" t="s">
        <v>745</v>
      </c>
      <c r="M45" t="s">
        <v>746</v>
      </c>
      <c r="N45" t="s">
        <v>747</v>
      </c>
      <c r="O45" t="s">
        <v>748</v>
      </c>
      <c r="P45" t="s">
        <v>749</v>
      </c>
      <c r="Q45" t="s">
        <v>750</v>
      </c>
      <c r="R45" t="s">
        <v>751</v>
      </c>
      <c r="S45" t="s">
        <v>752</v>
      </c>
      <c r="T45" t="s">
        <v>681</v>
      </c>
      <c r="U45" t="s">
        <v>682</v>
      </c>
      <c r="V45" t="s">
        <v>683</v>
      </c>
      <c r="W45" t="s">
        <v>684</v>
      </c>
      <c r="X45" t="s">
        <v>685</v>
      </c>
      <c r="Y45" t="s">
        <v>686</v>
      </c>
      <c r="Z45" t="s">
        <v>687</v>
      </c>
      <c r="AA45" t="s">
        <v>688</v>
      </c>
      <c r="AB45" t="s">
        <v>689</v>
      </c>
      <c r="AC45" t="s">
        <v>690</v>
      </c>
      <c r="AD45" t="s">
        <v>691</v>
      </c>
      <c r="AE45" t="s">
        <v>692</v>
      </c>
      <c r="AF45" t="s">
        <v>693</v>
      </c>
      <c r="AG45" t="s">
        <v>694</v>
      </c>
      <c r="AH45" t="s">
        <v>695</v>
      </c>
      <c r="AI45" t="s">
        <v>696</v>
      </c>
      <c r="AJ45" t="s">
        <v>697</v>
      </c>
      <c r="AK45" t="s">
        <v>698</v>
      </c>
      <c r="AL45" t="s">
        <v>699</v>
      </c>
      <c r="AM45" t="s">
        <v>699</v>
      </c>
      <c r="AN45" t="s">
        <v>700</v>
      </c>
      <c r="AO45" t="s">
        <v>701</v>
      </c>
      <c r="AP45" t="s">
        <v>702</v>
      </c>
      <c r="AQ45" t="s">
        <v>703</v>
      </c>
      <c r="AR45" t="s">
        <v>704</v>
      </c>
      <c r="AS45" t="s">
        <v>705</v>
      </c>
      <c r="AT45" t="s">
        <v>706</v>
      </c>
      <c r="AU45" t="s">
        <v>707</v>
      </c>
      <c r="AV45" t="s">
        <v>708</v>
      </c>
      <c r="AW45" t="s">
        <v>709</v>
      </c>
      <c r="AX45" t="s">
        <v>710</v>
      </c>
      <c r="AY45" t="s">
        <v>711</v>
      </c>
      <c r="AZ45" t="s">
        <v>712</v>
      </c>
      <c r="BA45" t="s">
        <v>713</v>
      </c>
      <c r="BB45" t="s">
        <v>714</v>
      </c>
      <c r="BC45" t="s">
        <v>715</v>
      </c>
      <c r="BD45" t="s">
        <v>716</v>
      </c>
      <c r="BE45" t="s">
        <v>717</v>
      </c>
      <c r="BF45" t="s">
        <v>718</v>
      </c>
      <c r="BG45" t="s">
        <v>727</v>
      </c>
      <c r="BH45" t="s">
        <v>719</v>
      </c>
      <c r="BI45" t="s">
        <v>720</v>
      </c>
      <c r="BJ45" t="s">
        <v>722</v>
      </c>
      <c r="BK45" t="s">
        <v>721</v>
      </c>
      <c r="BL45" t="s">
        <v>724</v>
      </c>
      <c r="BM45" t="s">
        <v>723</v>
      </c>
      <c r="BN45" t="s">
        <v>726</v>
      </c>
      <c r="BO45" t="s">
        <v>725</v>
      </c>
      <c r="BP45" t="s">
        <v>728</v>
      </c>
      <c r="BQ45" t="s">
        <v>730</v>
      </c>
      <c r="BR45" t="s">
        <v>729</v>
      </c>
      <c r="BS45" t="s">
        <v>731</v>
      </c>
      <c r="BT45" t="s">
        <v>732</v>
      </c>
      <c r="BU45" t="s">
        <v>733</v>
      </c>
      <c r="BV45" t="s">
        <v>734</v>
      </c>
      <c r="BW45" t="s">
        <v>735</v>
      </c>
      <c r="BX45" t="s">
        <v>736</v>
      </c>
      <c r="BY45" t="s">
        <v>737</v>
      </c>
    </row>
    <row r="46" spans="1:77">
      <c r="A46" s="260" t="s">
        <v>133</v>
      </c>
      <c r="D46" s="315" t="e">
        <f>VLOOKUP(A46,A1:BY43,MATCH(D1,A1:BY1,0),FALSE)</f>
        <v>#N/A</v>
      </c>
      <c r="AJ46" s="315" t="e">
        <f>VLOOKUP(A46,A1:BY43,MATCH(AJ1,D1:BY1,0),FALSE)</f>
        <v>#N/A</v>
      </c>
    </row>
    <row r="47" spans="1:77">
      <c r="A47" s="260" t="s">
        <v>134</v>
      </c>
      <c r="D47" s="315">
        <f>VLOOKUP(A47,A2:BY44,MATCH(D2,A2:BY2,0),FALSE)</f>
        <v>5012570</v>
      </c>
    </row>
  </sheetData>
  <sortState xmlns:xlrd2="http://schemas.microsoft.com/office/spreadsheetml/2017/richdata2" ref="A6:A43">
    <sortCondition ref="A6:A43"/>
  </sortState>
  <phoneticPr fontId="96" type="noConversion"/>
  <pageMargins left="0.7" right="0.7" top="0.75" bottom="0.75" header="0.3" footer="0.3"/>
  <pageSetup paperSize="9" orientation="portrait" horizontalDpi="4294967293"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sheetPr>
  <dimension ref="A1:CC45"/>
  <sheetViews>
    <sheetView workbookViewId="0">
      <pane xSplit="2" ySplit="7" topLeftCell="BX8" activePane="bottomRight" state="frozen"/>
      <selection pane="topRight" activeCell="B1" sqref="B1"/>
      <selection pane="bottomLeft" activeCell="A8" sqref="A8"/>
      <selection pane="bottomRight" activeCell="U12" sqref="U12"/>
    </sheetView>
  </sheetViews>
  <sheetFormatPr defaultRowHeight="11.5"/>
  <cols>
    <col min="1" max="1" width="9.1796875" style="205"/>
    <col min="2" max="2" width="25.54296875" style="205" customWidth="1"/>
    <col min="3" max="78" width="13.81640625" style="205" customWidth="1"/>
    <col min="79" max="79" width="9.1796875" style="205"/>
    <col min="80" max="81" width="12.54296875" style="205" customWidth="1"/>
    <col min="82" max="257" width="9.1796875" style="205"/>
    <col min="258" max="258" width="25.54296875" style="205" customWidth="1"/>
    <col min="259" max="296" width="13.81640625" style="205" customWidth="1"/>
    <col min="297" max="513" width="9.1796875" style="205"/>
    <col min="514" max="514" width="25.54296875" style="205" customWidth="1"/>
    <col min="515" max="552" width="13.81640625" style="205" customWidth="1"/>
    <col min="553" max="769" width="9.1796875" style="205"/>
    <col min="770" max="770" width="25.54296875" style="205" customWidth="1"/>
    <col min="771" max="808" width="13.81640625" style="205" customWidth="1"/>
    <col min="809" max="1025" width="9.1796875" style="205"/>
    <col min="1026" max="1026" width="25.54296875" style="205" customWidth="1"/>
    <col min="1027" max="1064" width="13.81640625" style="205" customWidth="1"/>
    <col min="1065" max="1281" width="9.1796875" style="205"/>
    <col min="1282" max="1282" width="25.54296875" style="205" customWidth="1"/>
    <col min="1283" max="1320" width="13.81640625" style="205" customWidth="1"/>
    <col min="1321" max="1537" width="9.1796875" style="205"/>
    <col min="1538" max="1538" width="25.54296875" style="205" customWidth="1"/>
    <col min="1539" max="1576" width="13.81640625" style="205" customWidth="1"/>
    <col min="1577" max="1793" width="9.1796875" style="205"/>
    <col min="1794" max="1794" width="25.54296875" style="205" customWidth="1"/>
    <col min="1795" max="1832" width="13.81640625" style="205" customWidth="1"/>
    <col min="1833" max="2049" width="9.1796875" style="205"/>
    <col min="2050" max="2050" width="25.54296875" style="205" customWidth="1"/>
    <col min="2051" max="2088" width="13.81640625" style="205" customWidth="1"/>
    <col min="2089" max="2305" width="9.1796875" style="205"/>
    <col min="2306" max="2306" width="25.54296875" style="205" customWidth="1"/>
    <col min="2307" max="2344" width="13.81640625" style="205" customWidth="1"/>
    <col min="2345" max="2561" width="9.1796875" style="205"/>
    <col min="2562" max="2562" width="25.54296875" style="205" customWidth="1"/>
    <col min="2563" max="2600" width="13.81640625" style="205" customWidth="1"/>
    <col min="2601" max="2817" width="9.1796875" style="205"/>
    <col min="2818" max="2818" width="25.54296875" style="205" customWidth="1"/>
    <col min="2819" max="2856" width="13.81640625" style="205" customWidth="1"/>
    <col min="2857" max="3073" width="9.1796875" style="205"/>
    <col min="3074" max="3074" width="25.54296875" style="205" customWidth="1"/>
    <col min="3075" max="3112" width="13.81640625" style="205" customWidth="1"/>
    <col min="3113" max="3329" width="9.1796875" style="205"/>
    <col min="3330" max="3330" width="25.54296875" style="205" customWidth="1"/>
    <col min="3331" max="3368" width="13.81640625" style="205" customWidth="1"/>
    <col min="3369" max="3585" width="9.1796875" style="205"/>
    <col min="3586" max="3586" width="25.54296875" style="205" customWidth="1"/>
    <col min="3587" max="3624" width="13.81640625" style="205" customWidth="1"/>
    <col min="3625" max="3841" width="9.1796875" style="205"/>
    <col min="3842" max="3842" width="25.54296875" style="205" customWidth="1"/>
    <col min="3843" max="3880" width="13.81640625" style="205" customWidth="1"/>
    <col min="3881" max="4097" width="9.1796875" style="205"/>
    <col min="4098" max="4098" width="25.54296875" style="205" customWidth="1"/>
    <col min="4099" max="4136" width="13.81640625" style="205" customWidth="1"/>
    <col min="4137" max="4353" width="9.1796875" style="205"/>
    <col min="4354" max="4354" width="25.54296875" style="205" customWidth="1"/>
    <col min="4355" max="4392" width="13.81640625" style="205" customWidth="1"/>
    <col min="4393" max="4609" width="9.1796875" style="205"/>
    <col min="4610" max="4610" width="25.54296875" style="205" customWidth="1"/>
    <col min="4611" max="4648" width="13.81640625" style="205" customWidth="1"/>
    <col min="4649" max="4865" width="9.1796875" style="205"/>
    <col min="4866" max="4866" width="25.54296875" style="205" customWidth="1"/>
    <col min="4867" max="4904" width="13.81640625" style="205" customWidth="1"/>
    <col min="4905" max="5121" width="9.1796875" style="205"/>
    <col min="5122" max="5122" width="25.54296875" style="205" customWidth="1"/>
    <col min="5123" max="5160" width="13.81640625" style="205" customWidth="1"/>
    <col min="5161" max="5377" width="9.1796875" style="205"/>
    <col min="5378" max="5378" width="25.54296875" style="205" customWidth="1"/>
    <col min="5379" max="5416" width="13.81640625" style="205" customWidth="1"/>
    <col min="5417" max="5633" width="9.1796875" style="205"/>
    <col min="5634" max="5634" width="25.54296875" style="205" customWidth="1"/>
    <col min="5635" max="5672" width="13.81640625" style="205" customWidth="1"/>
    <col min="5673" max="5889" width="9.1796875" style="205"/>
    <col min="5890" max="5890" width="25.54296875" style="205" customWidth="1"/>
    <col min="5891" max="5928" width="13.81640625" style="205" customWidth="1"/>
    <col min="5929" max="6145" width="9.1796875" style="205"/>
    <col min="6146" max="6146" width="25.54296875" style="205" customWidth="1"/>
    <col min="6147" max="6184" width="13.81640625" style="205" customWidth="1"/>
    <col min="6185" max="6401" width="9.1796875" style="205"/>
    <col min="6402" max="6402" width="25.54296875" style="205" customWidth="1"/>
    <col min="6403" max="6440" width="13.81640625" style="205" customWidth="1"/>
    <col min="6441" max="6657" width="9.1796875" style="205"/>
    <col min="6658" max="6658" width="25.54296875" style="205" customWidth="1"/>
    <col min="6659" max="6696" width="13.81640625" style="205" customWidth="1"/>
    <col min="6697" max="6913" width="9.1796875" style="205"/>
    <col min="6914" max="6914" width="25.54296875" style="205" customWidth="1"/>
    <col min="6915" max="6952" width="13.81640625" style="205" customWidth="1"/>
    <col min="6953" max="7169" width="9.1796875" style="205"/>
    <col min="7170" max="7170" width="25.54296875" style="205" customWidth="1"/>
    <col min="7171" max="7208" width="13.81640625" style="205" customWidth="1"/>
    <col min="7209" max="7425" width="9.1796875" style="205"/>
    <col min="7426" max="7426" width="25.54296875" style="205" customWidth="1"/>
    <col min="7427" max="7464" width="13.81640625" style="205" customWidth="1"/>
    <col min="7465" max="7681" width="9.1796875" style="205"/>
    <col min="7682" max="7682" width="25.54296875" style="205" customWidth="1"/>
    <col min="7683" max="7720" width="13.81640625" style="205" customWidth="1"/>
    <col min="7721" max="7937" width="9.1796875" style="205"/>
    <col min="7938" max="7938" width="25.54296875" style="205" customWidth="1"/>
    <col min="7939" max="7976" width="13.81640625" style="205" customWidth="1"/>
    <col min="7977" max="8193" width="9.1796875" style="205"/>
    <col min="8194" max="8194" width="25.54296875" style="205" customWidth="1"/>
    <col min="8195" max="8232" width="13.81640625" style="205" customWidth="1"/>
    <col min="8233" max="8449" width="9.1796875" style="205"/>
    <col min="8450" max="8450" width="25.54296875" style="205" customWidth="1"/>
    <col min="8451" max="8488" width="13.81640625" style="205" customWidth="1"/>
    <col min="8489" max="8705" width="9.1796875" style="205"/>
    <col min="8706" max="8706" width="25.54296875" style="205" customWidth="1"/>
    <col min="8707" max="8744" width="13.81640625" style="205" customWidth="1"/>
    <col min="8745" max="8961" width="9.1796875" style="205"/>
    <col min="8962" max="8962" width="25.54296875" style="205" customWidth="1"/>
    <col min="8963" max="9000" width="13.81640625" style="205" customWidth="1"/>
    <col min="9001" max="9217" width="9.1796875" style="205"/>
    <col min="9218" max="9218" width="25.54296875" style="205" customWidth="1"/>
    <col min="9219" max="9256" width="13.81640625" style="205" customWidth="1"/>
    <col min="9257" max="9473" width="9.1796875" style="205"/>
    <col min="9474" max="9474" width="25.54296875" style="205" customWidth="1"/>
    <col min="9475" max="9512" width="13.81640625" style="205" customWidth="1"/>
    <col min="9513" max="9729" width="9.1796875" style="205"/>
    <col min="9730" max="9730" width="25.54296875" style="205" customWidth="1"/>
    <col min="9731" max="9768" width="13.81640625" style="205" customWidth="1"/>
    <col min="9769" max="9985" width="9.1796875" style="205"/>
    <col min="9986" max="9986" width="25.54296875" style="205" customWidth="1"/>
    <col min="9987" max="10024" width="13.81640625" style="205" customWidth="1"/>
    <col min="10025" max="10241" width="9.1796875" style="205"/>
    <col min="10242" max="10242" width="25.54296875" style="205" customWidth="1"/>
    <col min="10243" max="10280" width="13.81640625" style="205" customWidth="1"/>
    <col min="10281" max="10497" width="9.1796875" style="205"/>
    <col min="10498" max="10498" width="25.54296875" style="205" customWidth="1"/>
    <col min="10499" max="10536" width="13.81640625" style="205" customWidth="1"/>
    <col min="10537" max="10753" width="9.1796875" style="205"/>
    <col min="10754" max="10754" width="25.54296875" style="205" customWidth="1"/>
    <col min="10755" max="10792" width="13.81640625" style="205" customWidth="1"/>
    <col min="10793" max="11009" width="9.1796875" style="205"/>
    <col min="11010" max="11010" width="25.54296875" style="205" customWidth="1"/>
    <col min="11011" max="11048" width="13.81640625" style="205" customWidth="1"/>
    <col min="11049" max="11265" width="9.1796875" style="205"/>
    <col min="11266" max="11266" width="25.54296875" style="205" customWidth="1"/>
    <col min="11267" max="11304" width="13.81640625" style="205" customWidth="1"/>
    <col min="11305" max="11521" width="9.1796875" style="205"/>
    <col min="11522" max="11522" width="25.54296875" style="205" customWidth="1"/>
    <col min="11523" max="11560" width="13.81640625" style="205" customWidth="1"/>
    <col min="11561" max="11777" width="9.1796875" style="205"/>
    <col min="11778" max="11778" width="25.54296875" style="205" customWidth="1"/>
    <col min="11779" max="11816" width="13.81640625" style="205" customWidth="1"/>
    <col min="11817" max="12033" width="9.1796875" style="205"/>
    <col min="12034" max="12034" width="25.54296875" style="205" customWidth="1"/>
    <col min="12035" max="12072" width="13.81640625" style="205" customWidth="1"/>
    <col min="12073" max="12289" width="9.1796875" style="205"/>
    <col min="12290" max="12290" width="25.54296875" style="205" customWidth="1"/>
    <col min="12291" max="12328" width="13.81640625" style="205" customWidth="1"/>
    <col min="12329" max="12545" width="9.1796875" style="205"/>
    <col min="12546" max="12546" width="25.54296875" style="205" customWidth="1"/>
    <col min="12547" max="12584" width="13.81640625" style="205" customWidth="1"/>
    <col min="12585" max="12801" width="9.1796875" style="205"/>
    <col min="12802" max="12802" width="25.54296875" style="205" customWidth="1"/>
    <col min="12803" max="12840" width="13.81640625" style="205" customWidth="1"/>
    <col min="12841" max="13057" width="9.1796875" style="205"/>
    <col min="13058" max="13058" width="25.54296875" style="205" customWidth="1"/>
    <col min="13059" max="13096" width="13.81640625" style="205" customWidth="1"/>
    <col min="13097" max="13313" width="9.1796875" style="205"/>
    <col min="13314" max="13314" width="25.54296875" style="205" customWidth="1"/>
    <col min="13315" max="13352" width="13.81640625" style="205" customWidth="1"/>
    <col min="13353" max="13569" width="9.1796875" style="205"/>
    <col min="13570" max="13570" width="25.54296875" style="205" customWidth="1"/>
    <col min="13571" max="13608" width="13.81640625" style="205" customWidth="1"/>
    <col min="13609" max="13825" width="9.1796875" style="205"/>
    <col min="13826" max="13826" width="25.54296875" style="205" customWidth="1"/>
    <col min="13827" max="13864" width="13.81640625" style="205" customWidth="1"/>
    <col min="13865" max="14081" width="9.1796875" style="205"/>
    <col min="14082" max="14082" width="25.54296875" style="205" customWidth="1"/>
    <col min="14083" max="14120" width="13.81640625" style="205" customWidth="1"/>
    <col min="14121" max="14337" width="9.1796875" style="205"/>
    <col min="14338" max="14338" width="25.54296875" style="205" customWidth="1"/>
    <col min="14339" max="14376" width="13.81640625" style="205" customWidth="1"/>
    <col min="14377" max="14593" width="9.1796875" style="205"/>
    <col min="14594" max="14594" width="25.54296875" style="205" customWidth="1"/>
    <col min="14595" max="14632" width="13.81640625" style="205" customWidth="1"/>
    <col min="14633" max="14849" width="9.1796875" style="205"/>
    <col min="14850" max="14850" width="25.54296875" style="205" customWidth="1"/>
    <col min="14851" max="14888" width="13.81640625" style="205" customWidth="1"/>
    <col min="14889" max="15105" width="9.1796875" style="205"/>
    <col min="15106" max="15106" width="25.54296875" style="205" customWidth="1"/>
    <col min="15107" max="15144" width="13.81640625" style="205" customWidth="1"/>
    <col min="15145" max="15361" width="9.1796875" style="205"/>
    <col min="15362" max="15362" width="25.54296875" style="205" customWidth="1"/>
    <col min="15363" max="15400" width="13.81640625" style="205" customWidth="1"/>
    <col min="15401" max="15617" width="9.1796875" style="205"/>
    <col min="15618" max="15618" width="25.54296875" style="205" customWidth="1"/>
    <col min="15619" max="15656" width="13.81640625" style="205" customWidth="1"/>
    <col min="15657" max="15873" width="9.1796875" style="205"/>
    <col min="15874" max="15874" width="25.54296875" style="205" customWidth="1"/>
    <col min="15875" max="15912" width="13.81640625" style="205" customWidth="1"/>
    <col min="15913" max="16129" width="9.1796875" style="205"/>
    <col min="16130" max="16130" width="25.54296875" style="205" customWidth="1"/>
    <col min="16131" max="16168" width="13.81640625" style="205" customWidth="1"/>
    <col min="16169" max="16384" width="9.1796875" style="205"/>
  </cols>
  <sheetData>
    <row r="1" spans="1:81" ht="17.25" customHeight="1">
      <c r="A1" s="311" t="s">
        <v>27</v>
      </c>
      <c r="B1" s="312">
        <f>SUMIF($C$4:$BZ$4,A1,C7:BZ7)</f>
        <v>5609405.8600000003</v>
      </c>
      <c r="C1" s="974">
        <v>1</v>
      </c>
      <c r="D1" s="974"/>
      <c r="E1" s="974">
        <v>2</v>
      </c>
      <c r="F1" s="974"/>
      <c r="G1" s="974">
        <v>3</v>
      </c>
      <c r="H1" s="974"/>
      <c r="I1" s="974">
        <v>4</v>
      </c>
      <c r="J1" s="974"/>
      <c r="K1" s="974">
        <v>5</v>
      </c>
      <c r="L1" s="974"/>
      <c r="M1" s="974">
        <v>6</v>
      </c>
      <c r="N1" s="974"/>
      <c r="O1" s="974">
        <v>7</v>
      </c>
      <c r="P1" s="974"/>
      <c r="Q1" s="974">
        <v>8</v>
      </c>
      <c r="R1" s="974"/>
      <c r="S1" s="974">
        <v>9</v>
      </c>
      <c r="T1" s="974"/>
      <c r="U1" s="974">
        <v>10</v>
      </c>
      <c r="V1" s="974"/>
      <c r="W1" s="974">
        <v>11</v>
      </c>
      <c r="X1" s="974"/>
      <c r="Y1" s="974">
        <v>12</v>
      </c>
      <c r="Z1" s="974"/>
      <c r="AA1" s="974">
        <v>13</v>
      </c>
      <c r="AB1" s="974"/>
      <c r="AC1" s="974">
        <v>14</v>
      </c>
      <c r="AD1" s="974"/>
      <c r="AE1" s="974">
        <v>15</v>
      </c>
      <c r="AF1" s="974"/>
      <c r="AG1" s="974">
        <v>16</v>
      </c>
      <c r="AH1" s="974"/>
      <c r="AI1" s="974">
        <v>17</v>
      </c>
      <c r="AJ1" s="974"/>
      <c r="AK1" s="974">
        <v>18</v>
      </c>
      <c r="AL1" s="974"/>
      <c r="AM1" s="974">
        <v>19</v>
      </c>
      <c r="AN1" s="974"/>
      <c r="AO1" s="974">
        <v>20</v>
      </c>
      <c r="AP1" s="974"/>
      <c r="AQ1" s="974">
        <v>21</v>
      </c>
      <c r="AR1" s="974"/>
      <c r="AS1" s="974">
        <v>22</v>
      </c>
      <c r="AT1" s="974"/>
      <c r="AU1" s="974">
        <v>23</v>
      </c>
      <c r="AV1" s="974"/>
      <c r="AW1" s="974">
        <v>24</v>
      </c>
      <c r="AX1" s="974"/>
      <c r="AY1" s="974">
        <v>25</v>
      </c>
      <c r="AZ1" s="974"/>
      <c r="BA1" s="974">
        <v>26</v>
      </c>
      <c r="BB1" s="974"/>
      <c r="BC1" s="974">
        <v>27</v>
      </c>
      <c r="BD1" s="974"/>
      <c r="BE1" s="974">
        <v>28</v>
      </c>
      <c r="BF1" s="974"/>
      <c r="BG1" s="974">
        <v>29</v>
      </c>
      <c r="BH1" s="974"/>
      <c r="BI1" s="974">
        <v>30</v>
      </c>
      <c r="BJ1" s="974"/>
      <c r="BK1" s="974">
        <v>31</v>
      </c>
      <c r="BL1" s="974"/>
      <c r="BM1" s="974">
        <v>32</v>
      </c>
      <c r="BN1" s="974"/>
      <c r="BO1" s="974">
        <v>33</v>
      </c>
      <c r="BP1" s="974"/>
      <c r="BQ1" s="974">
        <v>34</v>
      </c>
      <c r="BR1" s="974"/>
      <c r="BS1" s="974">
        <v>35</v>
      </c>
      <c r="BT1" s="974"/>
      <c r="BU1" s="974">
        <v>36</v>
      </c>
      <c r="BV1" s="974"/>
      <c r="BW1" s="974">
        <v>37</v>
      </c>
      <c r="BX1" s="974"/>
      <c r="BY1" s="974">
        <v>38</v>
      </c>
      <c r="BZ1" s="974"/>
    </row>
    <row r="2" spans="1:81" ht="14.5">
      <c r="A2" s="311"/>
      <c r="B2" s="313">
        <f>'P &amp; NP'!WZ11</f>
        <v>5609405.8600000003</v>
      </c>
      <c r="C2" s="975" t="s">
        <v>89</v>
      </c>
      <c r="D2" s="975"/>
      <c r="E2" s="975" t="s">
        <v>73</v>
      </c>
      <c r="F2" s="975"/>
      <c r="G2" s="975" t="s">
        <v>68</v>
      </c>
      <c r="H2" s="975"/>
      <c r="I2" s="975" t="s">
        <v>85</v>
      </c>
      <c r="J2" s="975"/>
      <c r="K2" s="975" t="s">
        <v>74</v>
      </c>
      <c r="L2" s="975"/>
      <c r="M2" s="975" t="s">
        <v>88</v>
      </c>
      <c r="N2" s="975"/>
      <c r="O2" s="975" t="s">
        <v>72</v>
      </c>
      <c r="P2" s="975"/>
      <c r="Q2" s="975" t="s">
        <v>80</v>
      </c>
      <c r="R2" s="975"/>
      <c r="S2" s="975" t="s">
        <v>69</v>
      </c>
      <c r="T2" s="975"/>
      <c r="U2" s="975" t="s">
        <v>87</v>
      </c>
      <c r="V2" s="975"/>
      <c r="W2" s="975" t="s">
        <v>71</v>
      </c>
      <c r="X2" s="975"/>
      <c r="Y2" s="975" t="s">
        <v>82</v>
      </c>
      <c r="Z2" s="975"/>
      <c r="AA2" s="975" t="s">
        <v>83</v>
      </c>
      <c r="AB2" s="975"/>
      <c r="AC2" s="975" t="s">
        <v>70</v>
      </c>
      <c r="AD2" s="975"/>
      <c r="AE2" s="975" t="s">
        <v>79</v>
      </c>
      <c r="AF2" s="975"/>
      <c r="AG2" s="975" t="s">
        <v>81</v>
      </c>
      <c r="AH2" s="975"/>
      <c r="AI2" s="975" t="s">
        <v>84</v>
      </c>
      <c r="AJ2" s="975"/>
      <c r="AK2" s="975" t="s">
        <v>36</v>
      </c>
      <c r="AL2" s="975"/>
      <c r="AM2" s="975" t="s">
        <v>91</v>
      </c>
      <c r="AN2" s="975"/>
      <c r="AO2" s="862" t="s">
        <v>77</v>
      </c>
      <c r="AP2" s="862"/>
      <c r="AQ2" s="862" t="s">
        <v>38</v>
      </c>
      <c r="AR2" s="862"/>
      <c r="AS2" s="862" t="s">
        <v>76</v>
      </c>
      <c r="AT2" s="862"/>
      <c r="AU2" s="862" t="s">
        <v>90</v>
      </c>
      <c r="AV2" s="862"/>
      <c r="AW2" s="862" t="s">
        <v>78</v>
      </c>
      <c r="AX2" s="862"/>
      <c r="AY2" s="862" t="s">
        <v>75</v>
      </c>
      <c r="AZ2" s="862"/>
      <c r="BA2" s="862" t="s">
        <v>92</v>
      </c>
      <c r="BB2" s="862"/>
      <c r="BC2" s="862" t="s">
        <v>39</v>
      </c>
      <c r="BD2" s="862"/>
      <c r="BE2" s="862" t="s">
        <v>86</v>
      </c>
      <c r="BF2" s="862"/>
      <c r="BG2" s="862" t="s">
        <v>40</v>
      </c>
      <c r="BH2" s="862"/>
      <c r="BI2" s="862" t="s">
        <v>101</v>
      </c>
      <c r="BJ2" s="862"/>
      <c r="BK2" s="862" t="s">
        <v>94</v>
      </c>
      <c r="BL2" s="862"/>
      <c r="BM2" s="862" t="s">
        <v>93</v>
      </c>
      <c r="BN2" s="862"/>
      <c r="BO2" s="862" t="s">
        <v>99</v>
      </c>
      <c r="BP2" s="862"/>
      <c r="BQ2" s="862" t="s">
        <v>95</v>
      </c>
      <c r="BR2" s="862"/>
      <c r="BS2" s="862" t="s">
        <v>98</v>
      </c>
      <c r="BT2" s="862"/>
      <c r="BU2" s="862" t="s">
        <v>97</v>
      </c>
      <c r="BV2" s="862"/>
      <c r="BW2" s="862" t="s">
        <v>96</v>
      </c>
      <c r="BX2" s="862"/>
      <c r="BY2" s="862" t="s">
        <v>100</v>
      </c>
      <c r="BZ2" s="862"/>
      <c r="CB2" s="206">
        <f>B1-CB7</f>
        <v>0</v>
      </c>
      <c r="CC2" s="206">
        <f>B4-CC7</f>
        <v>0</v>
      </c>
    </row>
    <row r="3" spans="1:81" ht="14.5">
      <c r="A3" s="311"/>
      <c r="B3" s="311"/>
      <c r="C3" s="975" t="s">
        <v>35</v>
      </c>
      <c r="D3" s="975"/>
      <c r="E3" s="975" t="s">
        <v>35</v>
      </c>
      <c r="F3" s="975"/>
      <c r="G3" s="975" t="s">
        <v>35</v>
      </c>
      <c r="H3" s="975"/>
      <c r="I3" s="975" t="s">
        <v>35</v>
      </c>
      <c r="J3" s="975"/>
      <c r="K3" s="975" t="s">
        <v>35</v>
      </c>
      <c r="L3" s="975"/>
      <c r="M3" s="975" t="s">
        <v>35</v>
      </c>
      <c r="N3" s="975"/>
      <c r="O3" s="975" t="s">
        <v>35</v>
      </c>
      <c r="P3" s="975"/>
      <c r="Q3" s="975" t="s">
        <v>35</v>
      </c>
      <c r="R3" s="975"/>
      <c r="S3" s="975" t="s">
        <v>35</v>
      </c>
      <c r="T3" s="975"/>
      <c r="U3" s="975" t="s">
        <v>35</v>
      </c>
      <c r="V3" s="975"/>
      <c r="W3" s="975" t="s">
        <v>35</v>
      </c>
      <c r="X3" s="975"/>
      <c r="Y3" s="975" t="s">
        <v>35</v>
      </c>
      <c r="Z3" s="975"/>
      <c r="AA3" s="975" t="s">
        <v>35</v>
      </c>
      <c r="AB3" s="975"/>
      <c r="AC3" s="975" t="s">
        <v>35</v>
      </c>
      <c r="AD3" s="975"/>
      <c r="AE3" s="975" t="s">
        <v>35</v>
      </c>
      <c r="AF3" s="975"/>
      <c r="AG3" s="975" t="s">
        <v>35</v>
      </c>
      <c r="AH3" s="975"/>
      <c r="AI3" s="975" t="s">
        <v>35</v>
      </c>
      <c r="AJ3" s="975"/>
      <c r="AK3" s="975" t="s">
        <v>35</v>
      </c>
      <c r="AL3" s="975"/>
      <c r="AM3" s="975" t="s">
        <v>35</v>
      </c>
      <c r="AN3" s="975"/>
      <c r="AO3" s="862" t="s">
        <v>35</v>
      </c>
      <c r="AP3" s="862"/>
      <c r="AQ3" s="862" t="s">
        <v>35</v>
      </c>
      <c r="AR3" s="862"/>
      <c r="AS3" s="862" t="s">
        <v>35</v>
      </c>
      <c r="AT3" s="862"/>
      <c r="AU3" s="862" t="s">
        <v>35</v>
      </c>
      <c r="AV3" s="862"/>
      <c r="AW3" s="862" t="s">
        <v>35</v>
      </c>
      <c r="AX3" s="862"/>
      <c r="AY3" s="862" t="s">
        <v>35</v>
      </c>
      <c r="AZ3" s="862"/>
      <c r="BA3" s="862" t="s">
        <v>35</v>
      </c>
      <c r="BB3" s="862"/>
      <c r="BC3" s="862" t="s">
        <v>35</v>
      </c>
      <c r="BD3" s="862"/>
      <c r="BE3" s="862" t="s">
        <v>35</v>
      </c>
      <c r="BF3" s="862"/>
      <c r="BG3" s="862" t="s">
        <v>35</v>
      </c>
      <c r="BH3" s="862"/>
      <c r="BI3" s="862" t="s">
        <v>35</v>
      </c>
      <c r="BJ3" s="862"/>
      <c r="BK3" s="862" t="s">
        <v>35</v>
      </c>
      <c r="BL3" s="862"/>
      <c r="BM3" s="862" t="s">
        <v>35</v>
      </c>
      <c r="BN3" s="862"/>
      <c r="BO3" s="862" t="s">
        <v>35</v>
      </c>
      <c r="BP3" s="862"/>
      <c r="BQ3" s="862" t="s">
        <v>35</v>
      </c>
      <c r="BR3" s="862"/>
      <c r="BS3" s="862" t="s">
        <v>35</v>
      </c>
      <c r="BT3" s="862"/>
      <c r="BU3" s="862" t="s">
        <v>35</v>
      </c>
      <c r="BV3" s="862"/>
      <c r="BW3" s="862" t="s">
        <v>35</v>
      </c>
      <c r="BX3" s="862"/>
      <c r="BY3" s="862" t="s">
        <v>35</v>
      </c>
      <c r="BZ3" s="862"/>
    </row>
    <row r="4" spans="1:81" ht="14.5">
      <c r="A4" s="311" t="s">
        <v>28</v>
      </c>
      <c r="B4" s="312">
        <f>SUMIF($C$4:$BZ$4,A4,C7:BZ7)</f>
        <v>132679570</v>
      </c>
      <c r="C4" s="204" t="s">
        <v>27</v>
      </c>
      <c r="D4" s="204" t="s">
        <v>28</v>
      </c>
      <c r="E4" s="204" t="s">
        <v>27</v>
      </c>
      <c r="F4" s="204" t="s">
        <v>28</v>
      </c>
      <c r="G4" s="204" t="s">
        <v>27</v>
      </c>
      <c r="H4" s="204" t="s">
        <v>28</v>
      </c>
      <c r="I4" s="204" t="s">
        <v>27</v>
      </c>
      <c r="J4" s="204" t="s">
        <v>28</v>
      </c>
      <c r="K4" s="204" t="s">
        <v>27</v>
      </c>
      <c r="L4" s="204" t="s">
        <v>28</v>
      </c>
      <c r="M4" s="204" t="s">
        <v>27</v>
      </c>
      <c r="N4" s="204" t="s">
        <v>28</v>
      </c>
      <c r="O4" s="204" t="s">
        <v>27</v>
      </c>
      <c r="P4" s="204" t="s">
        <v>28</v>
      </c>
      <c r="Q4" s="204" t="s">
        <v>27</v>
      </c>
      <c r="R4" s="204" t="s">
        <v>28</v>
      </c>
      <c r="S4" s="204" t="s">
        <v>27</v>
      </c>
      <c r="T4" s="204" t="s">
        <v>28</v>
      </c>
      <c r="U4" s="204" t="s">
        <v>27</v>
      </c>
      <c r="V4" s="204" t="s">
        <v>28</v>
      </c>
      <c r="W4" s="204" t="s">
        <v>27</v>
      </c>
      <c r="X4" s="204" t="s">
        <v>28</v>
      </c>
      <c r="Y4" s="204" t="s">
        <v>27</v>
      </c>
      <c r="Z4" s="204" t="s">
        <v>28</v>
      </c>
      <c r="AA4" s="204" t="s">
        <v>27</v>
      </c>
      <c r="AB4" s="204" t="s">
        <v>28</v>
      </c>
      <c r="AC4" s="204" t="s">
        <v>27</v>
      </c>
      <c r="AD4" s="204" t="s">
        <v>28</v>
      </c>
      <c r="AE4" s="204" t="s">
        <v>27</v>
      </c>
      <c r="AF4" s="204" t="s">
        <v>28</v>
      </c>
      <c r="AG4" s="204" t="s">
        <v>27</v>
      </c>
      <c r="AH4" s="204" t="s">
        <v>28</v>
      </c>
      <c r="AI4" s="204" t="s">
        <v>27</v>
      </c>
      <c r="AJ4" s="204" t="s">
        <v>28</v>
      </c>
      <c r="AK4" s="204" t="s">
        <v>27</v>
      </c>
      <c r="AL4" s="204" t="s">
        <v>28</v>
      </c>
      <c r="AM4" s="204" t="s">
        <v>27</v>
      </c>
      <c r="AN4" s="204" t="s">
        <v>28</v>
      </c>
      <c r="AO4" s="87" t="s">
        <v>27</v>
      </c>
      <c r="AP4" s="87" t="s">
        <v>28</v>
      </c>
      <c r="AQ4" s="87" t="s">
        <v>27</v>
      </c>
      <c r="AR4" s="87" t="s">
        <v>28</v>
      </c>
      <c r="AS4" s="87" t="s">
        <v>27</v>
      </c>
      <c r="AT4" s="87" t="s">
        <v>28</v>
      </c>
      <c r="AU4" s="87" t="s">
        <v>27</v>
      </c>
      <c r="AV4" s="87" t="s">
        <v>28</v>
      </c>
      <c r="AW4" s="87" t="s">
        <v>27</v>
      </c>
      <c r="AX4" s="87" t="s">
        <v>28</v>
      </c>
      <c r="AY4" s="87" t="s">
        <v>27</v>
      </c>
      <c r="AZ4" s="87" t="s">
        <v>28</v>
      </c>
      <c r="BA4" s="87" t="s">
        <v>27</v>
      </c>
      <c r="BB4" s="87" t="s">
        <v>28</v>
      </c>
      <c r="BC4" s="87" t="s">
        <v>27</v>
      </c>
      <c r="BD4" s="87" t="s">
        <v>28</v>
      </c>
      <c r="BE4" s="87" t="s">
        <v>27</v>
      </c>
      <c r="BF4" s="87" t="s">
        <v>28</v>
      </c>
      <c r="BG4" s="87" t="s">
        <v>27</v>
      </c>
      <c r="BH4" s="87" t="s">
        <v>28</v>
      </c>
      <c r="BI4" s="87" t="s">
        <v>27</v>
      </c>
      <c r="BJ4" s="87" t="s">
        <v>28</v>
      </c>
      <c r="BK4" s="87" t="s">
        <v>27</v>
      </c>
      <c r="BL4" s="87" t="s">
        <v>28</v>
      </c>
      <c r="BM4" s="87" t="s">
        <v>27</v>
      </c>
      <c r="BN4" s="87" t="s">
        <v>28</v>
      </c>
      <c r="BO4" s="87" t="s">
        <v>27</v>
      </c>
      <c r="BP4" s="87" t="s">
        <v>28</v>
      </c>
      <c r="BQ4" s="87" t="s">
        <v>27</v>
      </c>
      <c r="BR4" s="87" t="s">
        <v>28</v>
      </c>
      <c r="BS4" s="87" t="s">
        <v>27</v>
      </c>
      <c r="BT4" s="87" t="s">
        <v>28</v>
      </c>
      <c r="BU4" s="87" t="s">
        <v>27</v>
      </c>
      <c r="BV4" s="87" t="s">
        <v>28</v>
      </c>
      <c r="BW4" s="87" t="s">
        <v>27</v>
      </c>
      <c r="BX4" s="87" t="s">
        <v>28</v>
      </c>
      <c r="BY4" s="87" t="s">
        <v>27</v>
      </c>
      <c r="BZ4" s="87" t="s">
        <v>28</v>
      </c>
      <c r="CB4" s="370" t="s">
        <v>27</v>
      </c>
      <c r="CC4" s="370" t="s">
        <v>28</v>
      </c>
    </row>
    <row r="5" spans="1:81" ht="14.5">
      <c r="B5" s="314">
        <f>'P &amp; NP'!XA11</f>
        <v>132679570</v>
      </c>
      <c r="C5" s="204" t="s">
        <v>29</v>
      </c>
      <c r="D5" s="204" t="s">
        <v>30</v>
      </c>
      <c r="E5" s="204" t="s">
        <v>29</v>
      </c>
      <c r="F5" s="204" t="s">
        <v>30</v>
      </c>
      <c r="G5" s="204" t="s">
        <v>29</v>
      </c>
      <c r="H5" s="204" t="s">
        <v>30</v>
      </c>
      <c r="I5" s="204" t="s">
        <v>29</v>
      </c>
      <c r="J5" s="204" t="s">
        <v>30</v>
      </c>
      <c r="K5" s="204" t="s">
        <v>29</v>
      </c>
      <c r="L5" s="204" t="s">
        <v>30</v>
      </c>
      <c r="M5" s="204" t="s">
        <v>29</v>
      </c>
      <c r="N5" s="204" t="s">
        <v>30</v>
      </c>
      <c r="O5" s="204" t="s">
        <v>29</v>
      </c>
      <c r="P5" s="204" t="s">
        <v>30</v>
      </c>
      <c r="Q5" s="204" t="s">
        <v>29</v>
      </c>
      <c r="R5" s="204" t="s">
        <v>30</v>
      </c>
      <c r="S5" s="204" t="s">
        <v>29</v>
      </c>
      <c r="T5" s="204" t="s">
        <v>30</v>
      </c>
      <c r="U5" s="204" t="s">
        <v>29</v>
      </c>
      <c r="V5" s="204" t="s">
        <v>30</v>
      </c>
      <c r="W5" s="204" t="s">
        <v>29</v>
      </c>
      <c r="X5" s="204" t="s">
        <v>30</v>
      </c>
      <c r="Y5" s="204" t="s">
        <v>29</v>
      </c>
      <c r="Z5" s="204" t="s">
        <v>30</v>
      </c>
      <c r="AA5" s="204" t="s">
        <v>29</v>
      </c>
      <c r="AB5" s="204" t="s">
        <v>30</v>
      </c>
      <c r="AC5" s="204" t="s">
        <v>29</v>
      </c>
      <c r="AD5" s="204" t="s">
        <v>30</v>
      </c>
      <c r="AE5" s="204" t="s">
        <v>29</v>
      </c>
      <c r="AF5" s="204" t="s">
        <v>30</v>
      </c>
      <c r="AG5" s="204" t="s">
        <v>29</v>
      </c>
      <c r="AH5" s="204" t="s">
        <v>30</v>
      </c>
      <c r="AI5" s="204" t="s">
        <v>29</v>
      </c>
      <c r="AJ5" s="204" t="s">
        <v>30</v>
      </c>
      <c r="AK5" s="204" t="s">
        <v>29</v>
      </c>
      <c r="AL5" s="204" t="s">
        <v>30</v>
      </c>
      <c r="AM5" s="204" t="s">
        <v>29</v>
      </c>
      <c r="AN5" s="204" t="s">
        <v>30</v>
      </c>
      <c r="AO5" s="87" t="s">
        <v>29</v>
      </c>
      <c r="AP5" s="87" t="s">
        <v>30</v>
      </c>
      <c r="AQ5" s="87" t="s">
        <v>29</v>
      </c>
      <c r="AR5" s="87" t="s">
        <v>30</v>
      </c>
      <c r="AS5" s="87" t="s">
        <v>29</v>
      </c>
      <c r="AT5" s="87" t="s">
        <v>30</v>
      </c>
      <c r="AU5" s="87" t="s">
        <v>29</v>
      </c>
      <c r="AV5" s="87" t="s">
        <v>30</v>
      </c>
      <c r="AW5" s="87" t="s">
        <v>29</v>
      </c>
      <c r="AX5" s="87" t="s">
        <v>30</v>
      </c>
      <c r="AY5" s="87" t="s">
        <v>29</v>
      </c>
      <c r="AZ5" s="87" t="s">
        <v>30</v>
      </c>
      <c r="BA5" s="87" t="s">
        <v>29</v>
      </c>
      <c r="BB5" s="87" t="s">
        <v>30</v>
      </c>
      <c r="BC5" s="87" t="s">
        <v>29</v>
      </c>
      <c r="BD5" s="87" t="s">
        <v>30</v>
      </c>
      <c r="BE5" s="87" t="s">
        <v>29</v>
      </c>
      <c r="BF5" s="87" t="s">
        <v>30</v>
      </c>
      <c r="BG5" s="87" t="s">
        <v>29</v>
      </c>
      <c r="BH5" s="87" t="s">
        <v>30</v>
      </c>
      <c r="BI5" s="87" t="s">
        <v>29</v>
      </c>
      <c r="BJ5" s="87" t="s">
        <v>30</v>
      </c>
      <c r="BK5" s="87" t="s">
        <v>29</v>
      </c>
      <c r="BL5" s="87" t="s">
        <v>30</v>
      </c>
      <c r="BM5" s="87" t="s">
        <v>29</v>
      </c>
      <c r="BN5" s="87" t="s">
        <v>30</v>
      </c>
      <c r="BO5" s="87" t="s">
        <v>29</v>
      </c>
      <c r="BP5" s="87" t="s">
        <v>30</v>
      </c>
      <c r="BQ5" s="87" t="s">
        <v>29</v>
      </c>
      <c r="BR5" s="87" t="s">
        <v>30</v>
      </c>
      <c r="BS5" s="87" t="s">
        <v>29</v>
      </c>
      <c r="BT5" s="87" t="s">
        <v>30</v>
      </c>
      <c r="BU5" s="87" t="s">
        <v>29</v>
      </c>
      <c r="BV5" s="87" t="s">
        <v>30</v>
      </c>
      <c r="BW5" s="87" t="s">
        <v>29</v>
      </c>
      <c r="BX5" s="87" t="s">
        <v>30</v>
      </c>
      <c r="BY5" s="87" t="s">
        <v>29</v>
      </c>
      <c r="BZ5" s="87" t="s">
        <v>30</v>
      </c>
    </row>
    <row r="6" spans="1:81">
      <c r="B6" s="206">
        <f>B5-B4</f>
        <v>0</v>
      </c>
      <c r="C6" s="206">
        <f>'P &amp; NP'!O484</f>
        <v>0</v>
      </c>
      <c r="D6" s="206">
        <f>'P &amp; NP'!P484</f>
        <v>0</v>
      </c>
      <c r="E6" s="206">
        <f>'P &amp; NP'!AE484</f>
        <v>24030</v>
      </c>
      <c r="F6" s="206">
        <f>'P &amp; NP'!AF484</f>
        <v>547725</v>
      </c>
      <c r="G6" s="206">
        <f>'P &amp; NP'!AU484</f>
        <v>28205</v>
      </c>
      <c r="H6" s="206">
        <f>'P &amp; NP'!AV484</f>
        <v>681420</v>
      </c>
      <c r="I6" s="206">
        <f>'P &amp; NP'!BK484</f>
        <v>31501</v>
      </c>
      <c r="J6" s="206">
        <f>'P &amp; NP'!BL484</f>
        <v>524223</v>
      </c>
      <c r="K6" s="206">
        <f>'P &amp; NP'!CA484</f>
        <v>0</v>
      </c>
      <c r="L6" s="206">
        <f>'P &amp; NP'!CB484</f>
        <v>0</v>
      </c>
      <c r="M6" s="206">
        <f>'P &amp; NP'!CQ484</f>
        <v>0</v>
      </c>
      <c r="N6" s="206">
        <f>'P &amp; NP'!CR484</f>
        <v>0</v>
      </c>
      <c r="O6" s="206">
        <f>'P &amp; NP'!DG484</f>
        <v>0</v>
      </c>
      <c r="P6" s="206">
        <f>'P &amp; NP'!DH484</f>
        <v>0</v>
      </c>
      <c r="Q6" s="206">
        <f>'P &amp; NP'!DW484</f>
        <v>0</v>
      </c>
      <c r="R6" s="206">
        <f>'P &amp; NP'!DX484</f>
        <v>0</v>
      </c>
      <c r="S6" s="206">
        <f>'P &amp; NP'!EM484</f>
        <v>0</v>
      </c>
      <c r="T6" s="206">
        <f>'P &amp; NP'!EN484</f>
        <v>0</v>
      </c>
      <c r="U6" s="206">
        <f>'P &amp; NP'!FC484</f>
        <v>5216</v>
      </c>
      <c r="V6" s="206">
        <f>'P &amp; NP'!FD484</f>
        <v>96712</v>
      </c>
      <c r="W6" s="206">
        <f>'P &amp; NP'!FS484</f>
        <v>885096</v>
      </c>
      <c r="X6" s="206">
        <f>'P &amp; NP'!FT484</f>
        <v>25850858</v>
      </c>
      <c r="Y6" s="206">
        <f>'P &amp; NP'!GI484</f>
        <v>0</v>
      </c>
      <c r="Z6" s="206">
        <f>'P &amp; NP'!GJ484</f>
        <v>0</v>
      </c>
      <c r="AA6" s="206">
        <f>'P &amp; NP'!GY484</f>
        <v>1730</v>
      </c>
      <c r="AB6" s="206">
        <f>'P &amp; NP'!GZ484</f>
        <v>47980</v>
      </c>
      <c r="AC6" s="206">
        <f>'P &amp; NP'!HO484</f>
        <v>4260000</v>
      </c>
      <c r="AD6" s="206">
        <f>'P &amp; NP'!HP484</f>
        <v>96700000</v>
      </c>
      <c r="AE6" s="206">
        <f>'P &amp; NP'!IE484</f>
        <v>1700</v>
      </c>
      <c r="AF6" s="206">
        <f>'P &amp; NP'!IF484</f>
        <v>36500</v>
      </c>
      <c r="AG6" s="206">
        <f>'P &amp; NP'!IU484</f>
        <v>0</v>
      </c>
      <c r="AH6" s="206">
        <f>'P &amp; NP'!IV484</f>
        <v>0</v>
      </c>
      <c r="AI6" s="206">
        <f>'P &amp; NP'!JK484</f>
        <v>106933</v>
      </c>
      <c r="AJ6" s="206">
        <f>'P &amp; NP'!JL484</f>
        <v>2042282</v>
      </c>
      <c r="AK6" s="206">
        <f>'P &amp; NP'!KA484</f>
        <v>0</v>
      </c>
      <c r="AL6" s="206">
        <f>'P &amp; NP'!KB484</f>
        <v>0</v>
      </c>
      <c r="AM6" s="209">
        <f>'P &amp; NP'!KQ484</f>
        <v>0</v>
      </c>
      <c r="AN6" s="209">
        <f>'P &amp; NP'!KR484</f>
        <v>0</v>
      </c>
      <c r="AO6" s="209">
        <f>'P &amp; NP'!LG484</f>
        <v>142052.85999999999</v>
      </c>
      <c r="AP6" s="209">
        <f>'P &amp; NP'!LH484</f>
        <v>3441218</v>
      </c>
      <c r="AQ6" s="209">
        <f>'P &amp; NP'!LW484</f>
        <v>17603</v>
      </c>
      <c r="AR6" s="209">
        <f>'P &amp; NP'!LX484</f>
        <v>569904</v>
      </c>
      <c r="AS6" s="209">
        <f>'P &amp; NP'!MM484</f>
        <v>28930</v>
      </c>
      <c r="AT6" s="209">
        <f>'P &amp; NP'!MN484</f>
        <v>536740</v>
      </c>
      <c r="AU6" s="209">
        <f>'P &amp; NP'!NC484</f>
        <v>0</v>
      </c>
      <c r="AV6" s="209">
        <f>'P &amp; NP'!ND484</f>
        <v>0</v>
      </c>
      <c r="AW6" s="209">
        <f>'P &amp; NP'!NS484</f>
        <v>0</v>
      </c>
      <c r="AX6" s="209">
        <f>'P &amp; NP'!NT484</f>
        <v>0</v>
      </c>
      <c r="AY6" s="209">
        <f>'P &amp; NP'!OI484</f>
        <v>0</v>
      </c>
      <c r="AZ6" s="209">
        <f>'P &amp; NP'!OJ484</f>
        <v>0</v>
      </c>
      <c r="BA6" s="209">
        <f>'P &amp; NP'!OY484</f>
        <v>0</v>
      </c>
      <c r="BB6" s="209">
        <f>'P &amp; NP'!OZ484</f>
        <v>0</v>
      </c>
      <c r="BC6" s="209">
        <f>'P &amp; NP'!PO484</f>
        <v>0</v>
      </c>
      <c r="BD6" s="209">
        <f>'P &amp; NP'!PP484</f>
        <v>0</v>
      </c>
      <c r="BE6" s="209">
        <f>'P &amp; NP'!QE484</f>
        <v>0</v>
      </c>
      <c r="BF6" s="209">
        <f>'P &amp; NP'!QF484</f>
        <v>0</v>
      </c>
      <c r="BG6" s="209">
        <f>'P &amp; NP'!QU484</f>
        <v>0</v>
      </c>
      <c r="BH6" s="209">
        <f>'P &amp; NP'!QV484</f>
        <v>0</v>
      </c>
      <c r="BI6" s="209">
        <f>'P &amp; NP'!RK484</f>
        <v>0</v>
      </c>
      <c r="BJ6" s="209">
        <f>'P &amp; NP'!RL484</f>
        <v>0</v>
      </c>
      <c r="BK6" s="209">
        <f>'P &amp; NP'!SA484</f>
        <v>0</v>
      </c>
      <c r="BL6" s="209">
        <f>'P &amp; NP'!SB484</f>
        <v>0</v>
      </c>
      <c r="BM6" s="209">
        <f>'P &amp; NP'!SQ484</f>
        <v>0</v>
      </c>
      <c r="BN6" s="209">
        <f>'P &amp; NP'!SR484</f>
        <v>0</v>
      </c>
      <c r="BO6" s="209">
        <f>'P &amp; NP'!TG484</f>
        <v>0</v>
      </c>
      <c r="BP6" s="209">
        <f>'P &amp; NP'!TH484</f>
        <v>0</v>
      </c>
      <c r="BQ6" s="209">
        <f>'P &amp; NP'!TW484</f>
        <v>0</v>
      </c>
      <c r="BR6" s="209">
        <f>'P &amp; NP'!TX484</f>
        <v>0</v>
      </c>
      <c r="BS6" s="209">
        <f>'P &amp; NP'!UM484</f>
        <v>0</v>
      </c>
      <c r="BT6" s="209">
        <f>'P &amp; NP'!UN484</f>
        <v>0</v>
      </c>
      <c r="BU6" s="209">
        <f>'P &amp; NP'!VC484</f>
        <v>0</v>
      </c>
      <c r="BV6" s="209">
        <f>'P &amp; NP'!VD484</f>
        <v>0</v>
      </c>
      <c r="BW6" s="209">
        <f>'P &amp; NP'!VS484</f>
        <v>0</v>
      </c>
      <c r="BX6" s="209">
        <f>'P &amp; NP'!VT484</f>
        <v>0</v>
      </c>
      <c r="BY6" s="209">
        <f>'P &amp; NP'!WI484</f>
        <v>76409</v>
      </c>
      <c r="BZ6" s="209">
        <f>'P &amp; NP'!WJ484</f>
        <v>1604008</v>
      </c>
    </row>
    <row r="7" spans="1:81" s="208" customFormat="1">
      <c r="C7" s="209">
        <f t="shared" ref="C7:AH7" si="0">SUM(C8:C44)</f>
        <v>0</v>
      </c>
      <c r="D7" s="209">
        <f t="shared" si="0"/>
        <v>0</v>
      </c>
      <c r="E7" s="209">
        <f t="shared" si="0"/>
        <v>24030</v>
      </c>
      <c r="F7" s="209">
        <f t="shared" si="0"/>
        <v>547725</v>
      </c>
      <c r="G7" s="209">
        <f t="shared" si="0"/>
        <v>28205</v>
      </c>
      <c r="H7" s="209">
        <f t="shared" si="0"/>
        <v>681420</v>
      </c>
      <c r="I7" s="209">
        <f t="shared" si="0"/>
        <v>31501</v>
      </c>
      <c r="J7" s="209">
        <f t="shared" si="0"/>
        <v>524223</v>
      </c>
      <c r="K7" s="209">
        <f t="shared" si="0"/>
        <v>0</v>
      </c>
      <c r="L7" s="209">
        <f t="shared" si="0"/>
        <v>0</v>
      </c>
      <c r="M7" s="209">
        <f t="shared" si="0"/>
        <v>0</v>
      </c>
      <c r="N7" s="209">
        <f t="shared" si="0"/>
        <v>0</v>
      </c>
      <c r="O7" s="209">
        <f t="shared" si="0"/>
        <v>0</v>
      </c>
      <c r="P7" s="209">
        <f t="shared" si="0"/>
        <v>0</v>
      </c>
      <c r="Q7" s="209">
        <f t="shared" si="0"/>
        <v>0</v>
      </c>
      <c r="R7" s="209">
        <f t="shared" si="0"/>
        <v>0</v>
      </c>
      <c r="S7" s="209">
        <f t="shared" si="0"/>
        <v>0</v>
      </c>
      <c r="T7" s="209">
        <f t="shared" si="0"/>
        <v>0</v>
      </c>
      <c r="U7" s="209">
        <f t="shared" si="0"/>
        <v>5216</v>
      </c>
      <c r="V7" s="209">
        <f t="shared" si="0"/>
        <v>96712</v>
      </c>
      <c r="W7" s="209">
        <f t="shared" si="0"/>
        <v>885096</v>
      </c>
      <c r="X7" s="209">
        <f t="shared" si="0"/>
        <v>25850858</v>
      </c>
      <c r="Y7" s="209">
        <f t="shared" si="0"/>
        <v>0</v>
      </c>
      <c r="Z7" s="209">
        <f t="shared" si="0"/>
        <v>0</v>
      </c>
      <c r="AA7" s="209">
        <f t="shared" si="0"/>
        <v>1730</v>
      </c>
      <c r="AB7" s="209">
        <f t="shared" si="0"/>
        <v>47980</v>
      </c>
      <c r="AC7" s="209">
        <f t="shared" si="0"/>
        <v>4260000</v>
      </c>
      <c r="AD7" s="209">
        <f t="shared" si="0"/>
        <v>96700000</v>
      </c>
      <c r="AE7" s="209">
        <f t="shared" si="0"/>
        <v>1700</v>
      </c>
      <c r="AF7" s="209">
        <f t="shared" si="0"/>
        <v>36500</v>
      </c>
      <c r="AG7" s="209">
        <f t="shared" si="0"/>
        <v>0</v>
      </c>
      <c r="AH7" s="209">
        <f t="shared" si="0"/>
        <v>0</v>
      </c>
      <c r="AI7" s="209">
        <f t="shared" ref="AI7:BN7" si="1">SUM(AI8:AI44)</f>
        <v>106933</v>
      </c>
      <c r="AJ7" s="209">
        <f t="shared" si="1"/>
        <v>2042282</v>
      </c>
      <c r="AK7" s="209">
        <f t="shared" si="1"/>
        <v>0</v>
      </c>
      <c r="AL7" s="209">
        <f t="shared" si="1"/>
        <v>0</v>
      </c>
      <c r="AM7" s="209">
        <f t="shared" si="1"/>
        <v>0</v>
      </c>
      <c r="AN7" s="209">
        <f t="shared" si="1"/>
        <v>0</v>
      </c>
      <c r="AO7" s="209">
        <f t="shared" si="1"/>
        <v>142052.85999999999</v>
      </c>
      <c r="AP7" s="209">
        <f t="shared" si="1"/>
        <v>3441218</v>
      </c>
      <c r="AQ7" s="209">
        <f t="shared" si="1"/>
        <v>17603</v>
      </c>
      <c r="AR7" s="209">
        <f t="shared" si="1"/>
        <v>569904</v>
      </c>
      <c r="AS7" s="209">
        <f t="shared" si="1"/>
        <v>28930</v>
      </c>
      <c r="AT7" s="209">
        <f t="shared" si="1"/>
        <v>536740</v>
      </c>
      <c r="AU7" s="209">
        <f t="shared" si="1"/>
        <v>0</v>
      </c>
      <c r="AV7" s="209">
        <f t="shared" si="1"/>
        <v>0</v>
      </c>
      <c r="AW7" s="209">
        <f t="shared" si="1"/>
        <v>0</v>
      </c>
      <c r="AX7" s="209">
        <f t="shared" si="1"/>
        <v>0</v>
      </c>
      <c r="AY7" s="209">
        <f t="shared" si="1"/>
        <v>0</v>
      </c>
      <c r="AZ7" s="209">
        <f t="shared" si="1"/>
        <v>0</v>
      </c>
      <c r="BA7" s="209">
        <f t="shared" si="1"/>
        <v>0</v>
      </c>
      <c r="BB7" s="209">
        <f t="shared" si="1"/>
        <v>0</v>
      </c>
      <c r="BC7" s="209">
        <f t="shared" si="1"/>
        <v>0</v>
      </c>
      <c r="BD7" s="209">
        <f t="shared" si="1"/>
        <v>0</v>
      </c>
      <c r="BE7" s="209">
        <f t="shared" si="1"/>
        <v>0</v>
      </c>
      <c r="BF7" s="209">
        <f t="shared" si="1"/>
        <v>0</v>
      </c>
      <c r="BG7" s="209">
        <f t="shared" si="1"/>
        <v>0</v>
      </c>
      <c r="BH7" s="209">
        <f t="shared" si="1"/>
        <v>0</v>
      </c>
      <c r="BI7" s="209">
        <f t="shared" si="1"/>
        <v>0</v>
      </c>
      <c r="BJ7" s="209">
        <f t="shared" si="1"/>
        <v>0</v>
      </c>
      <c r="BK7" s="209">
        <f t="shared" si="1"/>
        <v>0</v>
      </c>
      <c r="BL7" s="209">
        <f t="shared" si="1"/>
        <v>0</v>
      </c>
      <c r="BM7" s="209">
        <f t="shared" si="1"/>
        <v>0</v>
      </c>
      <c r="BN7" s="209">
        <f t="shared" si="1"/>
        <v>0</v>
      </c>
      <c r="BO7" s="209">
        <f t="shared" ref="BO7:BZ7" si="2">SUM(BO8:BO44)</f>
        <v>0</v>
      </c>
      <c r="BP7" s="209">
        <f t="shared" si="2"/>
        <v>0</v>
      </c>
      <c r="BQ7" s="209">
        <f t="shared" si="2"/>
        <v>0</v>
      </c>
      <c r="BR7" s="209">
        <f t="shared" si="2"/>
        <v>0</v>
      </c>
      <c r="BS7" s="209">
        <f t="shared" si="2"/>
        <v>0</v>
      </c>
      <c r="BT7" s="209">
        <f t="shared" si="2"/>
        <v>0</v>
      </c>
      <c r="BU7" s="209">
        <f t="shared" si="2"/>
        <v>0</v>
      </c>
      <c r="BV7" s="209">
        <f t="shared" si="2"/>
        <v>0</v>
      </c>
      <c r="BW7" s="209">
        <f t="shared" si="2"/>
        <v>0</v>
      </c>
      <c r="BX7" s="209">
        <f t="shared" si="2"/>
        <v>0</v>
      </c>
      <c r="BY7" s="209">
        <f t="shared" si="2"/>
        <v>76409</v>
      </c>
      <c r="BZ7" s="209">
        <f t="shared" si="2"/>
        <v>1604008</v>
      </c>
      <c r="CB7" s="209">
        <f>SUM(CB8:CB44)</f>
        <v>5609405.8600000003</v>
      </c>
      <c r="CC7" s="209">
        <f>SUM(CC8:CC44)</f>
        <v>132679570</v>
      </c>
    </row>
    <row r="8" spans="1:81">
      <c r="B8" s="207" t="str">
        <f>'P &amp; NP'!B14</f>
        <v xml:space="preserve">Bandeng </v>
      </c>
      <c r="C8" s="206">
        <f>'P &amp; NP'!O485</f>
        <v>0</v>
      </c>
      <c r="D8" s="206">
        <f>'P &amp; NP'!P485</f>
        <v>0</v>
      </c>
      <c r="E8" s="206">
        <f>'P &amp; NP'!AE485</f>
        <v>0</v>
      </c>
      <c r="F8" s="206">
        <f>'P &amp; NP'!AF485</f>
        <v>0</v>
      </c>
      <c r="G8" s="206">
        <f>'P &amp; NP'!AU485</f>
        <v>0</v>
      </c>
      <c r="H8" s="206">
        <f>'P &amp; NP'!AV485</f>
        <v>0</v>
      </c>
      <c r="I8" s="206">
        <f>'P &amp; NP'!BK485</f>
        <v>0</v>
      </c>
      <c r="J8" s="206">
        <f>'P &amp; NP'!BL485</f>
        <v>0</v>
      </c>
      <c r="K8" s="206">
        <f>'P &amp; NP'!CA485</f>
        <v>0</v>
      </c>
      <c r="L8" s="206">
        <f>'P &amp; NP'!CB485</f>
        <v>0</v>
      </c>
      <c r="M8" s="206">
        <f>'P &amp; NP'!CQ485</f>
        <v>0</v>
      </c>
      <c r="N8" s="206">
        <f>'P &amp; NP'!CR485</f>
        <v>0</v>
      </c>
      <c r="O8" s="206">
        <f>'P &amp; NP'!DG485</f>
        <v>0</v>
      </c>
      <c r="P8" s="206">
        <f>'P &amp; NP'!DH485</f>
        <v>0</v>
      </c>
      <c r="Q8" s="206">
        <f>'P &amp; NP'!DW485</f>
        <v>0</v>
      </c>
      <c r="R8" s="206">
        <f>'P &amp; NP'!DX485</f>
        <v>0</v>
      </c>
      <c r="S8" s="206">
        <f>'P &amp; NP'!EM485</f>
        <v>0</v>
      </c>
      <c r="T8" s="206">
        <f>'P &amp; NP'!EN485</f>
        <v>0</v>
      </c>
      <c r="U8" s="206">
        <f>'P &amp; NP'!FC485</f>
        <v>0</v>
      </c>
      <c r="V8" s="206">
        <f>'P &amp; NP'!FD485</f>
        <v>0</v>
      </c>
      <c r="W8" s="206">
        <f>'P &amp; NP'!FS485</f>
        <v>0</v>
      </c>
      <c r="X8" s="206">
        <f>'P &amp; NP'!FT485</f>
        <v>0</v>
      </c>
      <c r="Y8" s="206">
        <f>'P &amp; NP'!GI485</f>
        <v>0</v>
      </c>
      <c r="Z8" s="206">
        <f>'P &amp; NP'!GJ485</f>
        <v>0</v>
      </c>
      <c r="AA8" s="206">
        <f>'P &amp; NP'!GY485</f>
        <v>0</v>
      </c>
      <c r="AB8" s="206">
        <f>'P &amp; NP'!GZ485</f>
        <v>0</v>
      </c>
      <c r="AC8" s="206">
        <f>'P &amp; NP'!HO485</f>
        <v>0</v>
      </c>
      <c r="AD8" s="206">
        <f>'P &amp; NP'!HP485</f>
        <v>0</v>
      </c>
      <c r="AE8" s="206">
        <f>'P &amp; NP'!IE485</f>
        <v>0</v>
      </c>
      <c r="AF8" s="206">
        <f>'P &amp; NP'!IF485</f>
        <v>0</v>
      </c>
      <c r="AG8" s="206">
        <f>'P &amp; NP'!IU485</f>
        <v>0</v>
      </c>
      <c r="AH8" s="206">
        <f>'P &amp; NP'!IV485</f>
        <v>0</v>
      </c>
      <c r="AI8" s="206">
        <f>'P &amp; NP'!JK485</f>
        <v>0</v>
      </c>
      <c r="AJ8" s="206">
        <f>'P &amp; NP'!JL485</f>
        <v>0</v>
      </c>
      <c r="AK8" s="206">
        <f>'P &amp; NP'!KA485</f>
        <v>0</v>
      </c>
      <c r="AL8" s="206">
        <f>'P &amp; NP'!KB485</f>
        <v>0</v>
      </c>
      <c r="AM8" s="209">
        <f>'P &amp; NP'!KQ485</f>
        <v>0</v>
      </c>
      <c r="AN8" s="209">
        <f>'P &amp; NP'!KR485</f>
        <v>0</v>
      </c>
      <c r="AO8" s="209">
        <f>'P &amp; NP'!LG485</f>
        <v>0</v>
      </c>
      <c r="AP8" s="209">
        <f>'P &amp; NP'!LH485</f>
        <v>0</v>
      </c>
      <c r="AQ8" s="209">
        <f>'P &amp; NP'!LW485</f>
        <v>0</v>
      </c>
      <c r="AR8" s="209">
        <f>'P &amp; NP'!LX485</f>
        <v>0</v>
      </c>
      <c r="AS8" s="209">
        <f>'P &amp; NP'!MM485</f>
        <v>0</v>
      </c>
      <c r="AT8" s="209">
        <f>'P &amp; NP'!MN485</f>
        <v>0</v>
      </c>
      <c r="AU8" s="209">
        <f>'P &amp; NP'!NC485</f>
        <v>0</v>
      </c>
      <c r="AV8" s="209">
        <f>'P &amp; NP'!ND485</f>
        <v>0</v>
      </c>
      <c r="AW8" s="209">
        <f>'P &amp; NP'!NS485</f>
        <v>0</v>
      </c>
      <c r="AX8" s="209">
        <f>'P &amp; NP'!NT485</f>
        <v>0</v>
      </c>
      <c r="AY8" s="209">
        <f>'P &amp; NP'!OI485</f>
        <v>0</v>
      </c>
      <c r="AZ8" s="209">
        <f>'P &amp; NP'!OJ485</f>
        <v>0</v>
      </c>
      <c r="BA8" s="209">
        <f>'P &amp; NP'!OY485</f>
        <v>0</v>
      </c>
      <c r="BB8" s="209">
        <f>'P &amp; NP'!OZ485</f>
        <v>0</v>
      </c>
      <c r="BC8" s="209">
        <f>'P &amp; NP'!PO485</f>
        <v>0</v>
      </c>
      <c r="BD8" s="209">
        <f>'P &amp; NP'!PP485</f>
        <v>0</v>
      </c>
      <c r="BE8" s="209">
        <f>'P &amp; NP'!QE485</f>
        <v>0</v>
      </c>
      <c r="BF8" s="209">
        <f>'P &amp; NP'!QF485</f>
        <v>0</v>
      </c>
      <c r="BG8" s="209">
        <f>'P &amp; NP'!QU485</f>
        <v>0</v>
      </c>
      <c r="BH8" s="209">
        <f>'P &amp; NP'!QV485</f>
        <v>0</v>
      </c>
      <c r="BI8" s="209">
        <f>'P &amp; NP'!RK485</f>
        <v>0</v>
      </c>
      <c r="BJ8" s="209">
        <f>'P &amp; NP'!RL485</f>
        <v>0</v>
      </c>
      <c r="BK8" s="209">
        <f>'P &amp; NP'!SA485</f>
        <v>0</v>
      </c>
      <c r="BL8" s="209">
        <f>'P &amp; NP'!SB485</f>
        <v>0</v>
      </c>
      <c r="BM8" s="209">
        <f>'P &amp; NP'!SQ485</f>
        <v>0</v>
      </c>
      <c r="BN8" s="209">
        <f>'P &amp; NP'!SR485</f>
        <v>0</v>
      </c>
      <c r="BO8" s="209">
        <f>'P &amp; NP'!TG485</f>
        <v>0</v>
      </c>
      <c r="BP8" s="209">
        <f>'P &amp; NP'!TH485</f>
        <v>0</v>
      </c>
      <c r="BQ8" s="209">
        <f>'P &amp; NP'!TW485</f>
        <v>0</v>
      </c>
      <c r="BR8" s="209">
        <f>'P &amp; NP'!TX485</f>
        <v>0</v>
      </c>
      <c r="BS8" s="209">
        <f>'P &amp; NP'!UM485</f>
        <v>0</v>
      </c>
      <c r="BT8" s="209">
        <f>'P &amp; NP'!UN485</f>
        <v>0</v>
      </c>
      <c r="BU8" s="209">
        <f>'P &amp; NP'!VC485</f>
        <v>0</v>
      </c>
      <c r="BV8" s="209">
        <f>'P &amp; NP'!VD485</f>
        <v>0</v>
      </c>
      <c r="BW8" s="209">
        <f>'P &amp; NP'!VS485</f>
        <v>0</v>
      </c>
      <c r="BX8" s="209">
        <f>'P &amp; NP'!VT485</f>
        <v>0</v>
      </c>
      <c r="BY8" s="209">
        <f>'P &amp; NP'!WI485</f>
        <v>0</v>
      </c>
      <c r="BZ8" s="209">
        <f>'P &amp; NP'!WJ485</f>
        <v>0</v>
      </c>
      <c r="CB8" s="206">
        <f>SUM(C8,E8,G8,I8,K8,M8,O8,Q8,S8,U8,W8,Y8,AA8,AC8,AE8,AG8,AI8,AK8,AM8,AO8,AQ8,AS8,AU8,AW8,AY8,BA8,BC8,BE8,BG8,BI8,BK8,BM8,BO8,BQ8,BS8,BU8,BW8,BY8)</f>
        <v>0</v>
      </c>
      <c r="CC8" s="206">
        <f>SUM(D8,F8,H8,J8,L8,N8,P8,R8,T8,V8,X8,Z8,AB8,AD8,AF8,AH8,AJ8,AL8,AN8,AP8,AR8,AT8,AV8,AX8,AZ8,BB8,BD8,BF8,BH8,BJ8,BL8,BN8,BP8,BR8,BT8,BV8,BX8,BZ8)</f>
        <v>0</v>
      </c>
    </row>
    <row r="9" spans="1:81">
      <c r="B9" s="207" t="str">
        <f>'P &amp; NP'!B15</f>
        <v xml:space="preserve">Bawal </v>
      </c>
      <c r="C9" s="206">
        <f>'P &amp; NP'!O486</f>
        <v>0</v>
      </c>
      <c r="D9" s="206">
        <f>'P &amp; NP'!P486</f>
        <v>0</v>
      </c>
      <c r="E9" s="206">
        <f>'P &amp; NP'!AE486</f>
        <v>0</v>
      </c>
      <c r="F9" s="206">
        <f>'P &amp; NP'!AF486</f>
        <v>0</v>
      </c>
      <c r="G9" s="206">
        <f>'P &amp; NP'!AU486</f>
        <v>0</v>
      </c>
      <c r="H9" s="206">
        <f>'P &amp; NP'!AV486</f>
        <v>0</v>
      </c>
      <c r="I9" s="206">
        <f>'P &amp; NP'!BK486</f>
        <v>0</v>
      </c>
      <c r="J9" s="206">
        <f>'P &amp; NP'!BL486</f>
        <v>0</v>
      </c>
      <c r="K9" s="206">
        <f>'P &amp; NP'!CA486</f>
        <v>0</v>
      </c>
      <c r="L9" s="206">
        <f>'P &amp; NP'!CB486</f>
        <v>0</v>
      </c>
      <c r="M9" s="206">
        <f>'P &amp; NP'!CQ486</f>
        <v>0</v>
      </c>
      <c r="N9" s="206">
        <f>'P &amp; NP'!CR486</f>
        <v>0</v>
      </c>
      <c r="O9" s="206">
        <f>'P &amp; NP'!DG486</f>
        <v>0</v>
      </c>
      <c r="P9" s="206">
        <f>'P &amp; NP'!DH486</f>
        <v>0</v>
      </c>
      <c r="Q9" s="206">
        <f>'P &amp; NP'!DW486</f>
        <v>0</v>
      </c>
      <c r="R9" s="206">
        <f>'P &amp; NP'!DX486</f>
        <v>0</v>
      </c>
      <c r="S9" s="206">
        <f>'P &amp; NP'!EM486</f>
        <v>0</v>
      </c>
      <c r="T9" s="206">
        <f>'P &amp; NP'!EN486</f>
        <v>0</v>
      </c>
      <c r="U9" s="206">
        <f>'P &amp; NP'!FC486</f>
        <v>0</v>
      </c>
      <c r="V9" s="206">
        <f>'P &amp; NP'!FD486</f>
        <v>0</v>
      </c>
      <c r="W9" s="206">
        <f>'P &amp; NP'!FS486</f>
        <v>0</v>
      </c>
      <c r="X9" s="206">
        <f>'P &amp; NP'!FT486</f>
        <v>0</v>
      </c>
      <c r="Y9" s="206">
        <f>'P &amp; NP'!GI486</f>
        <v>0</v>
      </c>
      <c r="Z9" s="206">
        <f>'P &amp; NP'!GJ486</f>
        <v>0</v>
      </c>
      <c r="AA9" s="206">
        <f>'P &amp; NP'!GY486</f>
        <v>0</v>
      </c>
      <c r="AB9" s="206">
        <f>'P &amp; NP'!GZ486</f>
        <v>0</v>
      </c>
      <c r="AC9" s="206">
        <f>'P &amp; NP'!HO486</f>
        <v>0</v>
      </c>
      <c r="AD9" s="206">
        <f>'P &amp; NP'!HP486</f>
        <v>0</v>
      </c>
      <c r="AE9" s="206">
        <f>'P &amp; NP'!IE486</f>
        <v>0</v>
      </c>
      <c r="AF9" s="206">
        <f>'P &amp; NP'!IF486</f>
        <v>0</v>
      </c>
      <c r="AG9" s="206">
        <f>'P &amp; NP'!IU486</f>
        <v>0</v>
      </c>
      <c r="AH9" s="206">
        <f>'P &amp; NP'!IV486</f>
        <v>0</v>
      </c>
      <c r="AI9" s="206">
        <f>'P &amp; NP'!JK486</f>
        <v>0</v>
      </c>
      <c r="AJ9" s="206">
        <f>'P &amp; NP'!JL486</f>
        <v>0</v>
      </c>
      <c r="AK9" s="206">
        <f>'P &amp; NP'!KA486</f>
        <v>0</v>
      </c>
      <c r="AL9" s="206">
        <f>'P &amp; NP'!KB486</f>
        <v>0</v>
      </c>
      <c r="AM9" s="209">
        <f>'P &amp; NP'!KQ486</f>
        <v>0</v>
      </c>
      <c r="AN9" s="209">
        <f>'P &amp; NP'!KR486</f>
        <v>0</v>
      </c>
      <c r="AO9" s="209">
        <f>'P &amp; NP'!LG486</f>
        <v>0</v>
      </c>
      <c r="AP9" s="209">
        <f>'P &amp; NP'!LH486</f>
        <v>0</v>
      </c>
      <c r="AQ9" s="209">
        <f>'P &amp; NP'!LW486</f>
        <v>0</v>
      </c>
      <c r="AR9" s="209">
        <f>'P &amp; NP'!LX486</f>
        <v>0</v>
      </c>
      <c r="AS9" s="209">
        <f>'P &amp; NP'!MM486</f>
        <v>0</v>
      </c>
      <c r="AT9" s="209">
        <f>'P &amp; NP'!MN486</f>
        <v>0</v>
      </c>
      <c r="AU9" s="209">
        <f>'P &amp; NP'!NC486</f>
        <v>0</v>
      </c>
      <c r="AV9" s="209">
        <f>'P &amp; NP'!ND486</f>
        <v>0</v>
      </c>
      <c r="AW9" s="209">
        <f>'P &amp; NP'!NS486</f>
        <v>0</v>
      </c>
      <c r="AX9" s="209">
        <f>'P &amp; NP'!NT486</f>
        <v>0</v>
      </c>
      <c r="AY9" s="209">
        <f>'P &amp; NP'!OI486</f>
        <v>0</v>
      </c>
      <c r="AZ9" s="209">
        <f>'P &amp; NP'!OJ486</f>
        <v>0</v>
      </c>
      <c r="BA9" s="209">
        <f>'P &amp; NP'!OY486</f>
        <v>0</v>
      </c>
      <c r="BB9" s="209">
        <f>'P &amp; NP'!OZ486</f>
        <v>0</v>
      </c>
      <c r="BC9" s="209">
        <f>'P &amp; NP'!PO486</f>
        <v>0</v>
      </c>
      <c r="BD9" s="209">
        <f>'P &amp; NP'!PP486</f>
        <v>0</v>
      </c>
      <c r="BE9" s="209">
        <f>'P &amp; NP'!QE486</f>
        <v>0</v>
      </c>
      <c r="BF9" s="209">
        <f>'P &amp; NP'!QF486</f>
        <v>0</v>
      </c>
      <c r="BG9" s="209">
        <f>'P &amp; NP'!QU486</f>
        <v>0</v>
      </c>
      <c r="BH9" s="209">
        <f>'P &amp; NP'!QV486</f>
        <v>0</v>
      </c>
      <c r="BI9" s="209">
        <f>'P &amp; NP'!RK486</f>
        <v>0</v>
      </c>
      <c r="BJ9" s="209">
        <f>'P &amp; NP'!RL486</f>
        <v>0</v>
      </c>
      <c r="BK9" s="209">
        <f>'P &amp; NP'!SA486</f>
        <v>0</v>
      </c>
      <c r="BL9" s="209">
        <f>'P &amp; NP'!SB486</f>
        <v>0</v>
      </c>
      <c r="BM9" s="209">
        <f>'P &amp; NP'!SQ486</f>
        <v>0</v>
      </c>
      <c r="BN9" s="209">
        <f>'P &amp; NP'!SR486</f>
        <v>0</v>
      </c>
      <c r="BO9" s="209">
        <f>'P &amp; NP'!TG486</f>
        <v>0</v>
      </c>
      <c r="BP9" s="209">
        <f>'P &amp; NP'!TH486</f>
        <v>0</v>
      </c>
      <c r="BQ9" s="209">
        <f>'P &amp; NP'!TW486</f>
        <v>0</v>
      </c>
      <c r="BR9" s="209">
        <f>'P &amp; NP'!TX486</f>
        <v>0</v>
      </c>
      <c r="BS9" s="209">
        <f>'P &amp; NP'!UM486</f>
        <v>0</v>
      </c>
      <c r="BT9" s="209">
        <f>'P &amp; NP'!UN486</f>
        <v>0</v>
      </c>
      <c r="BU9" s="209">
        <f>'P &amp; NP'!VC486</f>
        <v>0</v>
      </c>
      <c r="BV9" s="209">
        <f>'P &amp; NP'!VD486</f>
        <v>0</v>
      </c>
      <c r="BW9" s="209">
        <f>'P &amp; NP'!VS486</f>
        <v>0</v>
      </c>
      <c r="BX9" s="209">
        <f>'P &amp; NP'!VT486</f>
        <v>0</v>
      </c>
      <c r="BY9" s="209">
        <f>'P &amp; NP'!WI486</f>
        <v>0</v>
      </c>
      <c r="BZ9" s="209">
        <f>'P &amp; NP'!WJ486</f>
        <v>0</v>
      </c>
      <c r="CB9" s="206">
        <f t="shared" ref="CB9:CC34" si="3">SUM(C9,E9,G9,I9,K9,M9,O9,Q9,S9,U9,W9,Y9,AA9,AC9,AE9,AG9,AI9,AK9,AM9,AO9,AQ9,AS9,AU9,AW9,AY9,BA9,BC9,BE9,BG9,BI9,BK9,BM9,BO9,BQ9,BS9,BU9,BW9,BY9)</f>
        <v>0</v>
      </c>
      <c r="CC9" s="206">
        <f t="shared" si="3"/>
        <v>0</v>
      </c>
    </row>
    <row r="10" spans="1:81">
      <c r="B10" s="207" t="str">
        <f>'P &amp; NP'!B16</f>
        <v xml:space="preserve">Belanak </v>
      </c>
      <c r="C10" s="206">
        <f>'P &amp; NP'!O487</f>
        <v>0</v>
      </c>
      <c r="D10" s="206">
        <f>'P &amp; NP'!P487</f>
        <v>0</v>
      </c>
      <c r="E10" s="206">
        <f>'P &amp; NP'!AE487</f>
        <v>0</v>
      </c>
      <c r="F10" s="206">
        <f>'P &amp; NP'!AF487</f>
        <v>0</v>
      </c>
      <c r="G10" s="206">
        <f>'P &amp; NP'!AU487</f>
        <v>0</v>
      </c>
      <c r="H10" s="206">
        <f>'P &amp; NP'!AV487</f>
        <v>0</v>
      </c>
      <c r="I10" s="206">
        <f>'P &amp; NP'!BK487</f>
        <v>0</v>
      </c>
      <c r="J10" s="206">
        <f>'P &amp; NP'!BL487</f>
        <v>0</v>
      </c>
      <c r="K10" s="206">
        <f>'P &amp; NP'!CA487</f>
        <v>0</v>
      </c>
      <c r="L10" s="206">
        <f>'P &amp; NP'!CB487</f>
        <v>0</v>
      </c>
      <c r="M10" s="206">
        <f>'P &amp; NP'!CQ487</f>
        <v>0</v>
      </c>
      <c r="N10" s="206">
        <f>'P &amp; NP'!CR487</f>
        <v>0</v>
      </c>
      <c r="O10" s="206">
        <f>'P &amp; NP'!DG487</f>
        <v>0</v>
      </c>
      <c r="P10" s="206">
        <f>'P &amp; NP'!DH487</f>
        <v>0</v>
      </c>
      <c r="Q10" s="206">
        <f>'P &amp; NP'!DW487</f>
        <v>0</v>
      </c>
      <c r="R10" s="206">
        <f>'P &amp; NP'!DX487</f>
        <v>0</v>
      </c>
      <c r="S10" s="206">
        <f>'P &amp; NP'!EM487</f>
        <v>0</v>
      </c>
      <c r="T10" s="206">
        <f>'P &amp; NP'!EN487</f>
        <v>0</v>
      </c>
      <c r="U10" s="206">
        <f>'P &amp; NP'!FC487</f>
        <v>0</v>
      </c>
      <c r="V10" s="206">
        <f>'P &amp; NP'!FD487</f>
        <v>0</v>
      </c>
      <c r="W10" s="206">
        <f>'P &amp; NP'!FS487</f>
        <v>0</v>
      </c>
      <c r="X10" s="206">
        <f>'P &amp; NP'!FT487</f>
        <v>0</v>
      </c>
      <c r="Y10" s="206">
        <f>'P &amp; NP'!GI487</f>
        <v>0</v>
      </c>
      <c r="Z10" s="206">
        <f>'P &amp; NP'!GJ487</f>
        <v>0</v>
      </c>
      <c r="AA10" s="206">
        <f>'P &amp; NP'!GY487</f>
        <v>0</v>
      </c>
      <c r="AB10" s="206">
        <f>'P &amp; NP'!GZ487</f>
        <v>0</v>
      </c>
      <c r="AC10" s="206">
        <f>'P &amp; NP'!HO487</f>
        <v>0</v>
      </c>
      <c r="AD10" s="206">
        <f>'P &amp; NP'!HP487</f>
        <v>0</v>
      </c>
      <c r="AE10" s="206">
        <f>'P &amp; NP'!IE487</f>
        <v>0</v>
      </c>
      <c r="AF10" s="206">
        <f>'P &amp; NP'!IF487</f>
        <v>0</v>
      </c>
      <c r="AG10" s="206">
        <f>'P &amp; NP'!IU487</f>
        <v>0</v>
      </c>
      <c r="AH10" s="206">
        <f>'P &amp; NP'!IV487</f>
        <v>0</v>
      </c>
      <c r="AI10" s="206">
        <f>'P &amp; NP'!JK487</f>
        <v>0</v>
      </c>
      <c r="AJ10" s="206">
        <f>'P &amp; NP'!JL487</f>
        <v>0</v>
      </c>
      <c r="AK10" s="206">
        <f>'P &amp; NP'!KA487</f>
        <v>0</v>
      </c>
      <c r="AL10" s="206">
        <f>'P &amp; NP'!KB487</f>
        <v>0</v>
      </c>
      <c r="AM10" s="209">
        <f>'P &amp; NP'!KQ487</f>
        <v>0</v>
      </c>
      <c r="AN10" s="209">
        <f>'P &amp; NP'!KR487</f>
        <v>0</v>
      </c>
      <c r="AO10" s="209">
        <f>'P &amp; NP'!LG487</f>
        <v>0</v>
      </c>
      <c r="AP10" s="209">
        <f>'P &amp; NP'!LH487</f>
        <v>0</v>
      </c>
      <c r="AQ10" s="209">
        <f>'P &amp; NP'!LW487</f>
        <v>0</v>
      </c>
      <c r="AR10" s="209">
        <f>'P &amp; NP'!LX487</f>
        <v>0</v>
      </c>
      <c r="AS10" s="209">
        <f>'P &amp; NP'!MM487</f>
        <v>0</v>
      </c>
      <c r="AT10" s="209">
        <f>'P &amp; NP'!MN487</f>
        <v>0</v>
      </c>
      <c r="AU10" s="209">
        <f>'P &amp; NP'!NC487</f>
        <v>0</v>
      </c>
      <c r="AV10" s="209">
        <f>'P &amp; NP'!ND487</f>
        <v>0</v>
      </c>
      <c r="AW10" s="209">
        <f>'P &amp; NP'!NS487</f>
        <v>0</v>
      </c>
      <c r="AX10" s="209">
        <f>'P &amp; NP'!NT487</f>
        <v>0</v>
      </c>
      <c r="AY10" s="209">
        <f>'P &amp; NP'!OI487</f>
        <v>0</v>
      </c>
      <c r="AZ10" s="209">
        <f>'P &amp; NP'!OJ487</f>
        <v>0</v>
      </c>
      <c r="BA10" s="209">
        <f>'P &amp; NP'!OY487</f>
        <v>0</v>
      </c>
      <c r="BB10" s="209">
        <f>'P &amp; NP'!OZ487</f>
        <v>0</v>
      </c>
      <c r="BC10" s="209">
        <f>'P &amp; NP'!PO487</f>
        <v>0</v>
      </c>
      <c r="BD10" s="209">
        <f>'P &amp; NP'!PP487</f>
        <v>0</v>
      </c>
      <c r="BE10" s="209">
        <f>'P &amp; NP'!QE487</f>
        <v>0</v>
      </c>
      <c r="BF10" s="209">
        <f>'P &amp; NP'!QF487</f>
        <v>0</v>
      </c>
      <c r="BG10" s="209">
        <f>'P &amp; NP'!QU487</f>
        <v>0</v>
      </c>
      <c r="BH10" s="209">
        <f>'P &amp; NP'!QV487</f>
        <v>0</v>
      </c>
      <c r="BI10" s="209">
        <f>'P &amp; NP'!RK487</f>
        <v>0</v>
      </c>
      <c r="BJ10" s="209">
        <f>'P &amp; NP'!RL487</f>
        <v>0</v>
      </c>
      <c r="BK10" s="209">
        <f>'P &amp; NP'!SA487</f>
        <v>0</v>
      </c>
      <c r="BL10" s="209">
        <f>'P &amp; NP'!SB487</f>
        <v>0</v>
      </c>
      <c r="BM10" s="209">
        <f>'P &amp; NP'!SQ487</f>
        <v>0</v>
      </c>
      <c r="BN10" s="209">
        <f>'P &amp; NP'!SR487</f>
        <v>0</v>
      </c>
      <c r="BO10" s="209">
        <f>'P &amp; NP'!TG487</f>
        <v>0</v>
      </c>
      <c r="BP10" s="209">
        <f>'P &amp; NP'!TH487</f>
        <v>0</v>
      </c>
      <c r="BQ10" s="209">
        <f>'P &amp; NP'!TW487</f>
        <v>0</v>
      </c>
      <c r="BR10" s="209">
        <f>'P &amp; NP'!TX487</f>
        <v>0</v>
      </c>
      <c r="BS10" s="209">
        <f>'P &amp; NP'!UM487</f>
        <v>0</v>
      </c>
      <c r="BT10" s="209">
        <f>'P &amp; NP'!UN487</f>
        <v>0</v>
      </c>
      <c r="BU10" s="209">
        <f>'P &amp; NP'!VC487</f>
        <v>0</v>
      </c>
      <c r="BV10" s="209">
        <f>'P &amp; NP'!VD487</f>
        <v>0</v>
      </c>
      <c r="BW10" s="209">
        <f>'P &amp; NP'!VS487</f>
        <v>0</v>
      </c>
      <c r="BX10" s="209">
        <f>'P &amp; NP'!VT487</f>
        <v>0</v>
      </c>
      <c r="BY10" s="209">
        <f>'P &amp; NP'!WI487</f>
        <v>0</v>
      </c>
      <c r="BZ10" s="209">
        <f>'P &amp; NP'!WJ487</f>
        <v>0</v>
      </c>
      <c r="CB10" s="206">
        <f t="shared" si="3"/>
        <v>0</v>
      </c>
      <c r="CC10" s="206">
        <f t="shared" si="3"/>
        <v>0</v>
      </c>
    </row>
    <row r="11" spans="1:81">
      <c r="B11" s="207" t="str">
        <f>'P &amp; NP'!B17</f>
        <v xml:space="preserve">Eucheuma cottonii </v>
      </c>
      <c r="C11" s="206">
        <f>'P &amp; NP'!O488</f>
        <v>0</v>
      </c>
      <c r="D11" s="206">
        <f>'P &amp; NP'!P488</f>
        <v>0</v>
      </c>
      <c r="E11" s="206">
        <f>'P &amp; NP'!AE488</f>
        <v>0</v>
      </c>
      <c r="F11" s="206">
        <f>'P &amp; NP'!AF488</f>
        <v>0</v>
      </c>
      <c r="G11" s="206">
        <f>'P &amp; NP'!AU488</f>
        <v>0</v>
      </c>
      <c r="H11" s="206">
        <f>'P &amp; NP'!AV488</f>
        <v>0</v>
      </c>
      <c r="I11" s="206">
        <f>'P &amp; NP'!BK488</f>
        <v>0</v>
      </c>
      <c r="J11" s="206">
        <f>'P &amp; NP'!BL488</f>
        <v>0</v>
      </c>
      <c r="K11" s="206">
        <f>'P &amp; NP'!CA488</f>
        <v>0</v>
      </c>
      <c r="L11" s="206">
        <f>'P &amp; NP'!CB488</f>
        <v>0</v>
      </c>
      <c r="M11" s="206">
        <f>'P &amp; NP'!CQ488</f>
        <v>0</v>
      </c>
      <c r="N11" s="206">
        <f>'P &amp; NP'!CR488</f>
        <v>0</v>
      </c>
      <c r="O11" s="206">
        <f>'P &amp; NP'!DG488</f>
        <v>0</v>
      </c>
      <c r="P11" s="206">
        <f>'P &amp; NP'!DH488</f>
        <v>0</v>
      </c>
      <c r="Q11" s="206">
        <f>'P &amp; NP'!DW488</f>
        <v>0</v>
      </c>
      <c r="R11" s="206">
        <f>'P &amp; NP'!DX488</f>
        <v>0</v>
      </c>
      <c r="S11" s="206">
        <f>'P &amp; NP'!EM488</f>
        <v>0</v>
      </c>
      <c r="T11" s="206">
        <f>'P &amp; NP'!EN488</f>
        <v>0</v>
      </c>
      <c r="U11" s="206">
        <f>'P &amp; NP'!FC488</f>
        <v>0</v>
      </c>
      <c r="V11" s="206">
        <f>'P &amp; NP'!FD488</f>
        <v>0</v>
      </c>
      <c r="W11" s="206">
        <f>'P &amp; NP'!FS488</f>
        <v>0</v>
      </c>
      <c r="X11" s="206">
        <f>'P &amp; NP'!FT488</f>
        <v>0</v>
      </c>
      <c r="Y11" s="206">
        <f>'P &amp; NP'!GI488</f>
        <v>0</v>
      </c>
      <c r="Z11" s="206">
        <f>'P &amp; NP'!GJ488</f>
        <v>0</v>
      </c>
      <c r="AA11" s="206">
        <f>'P &amp; NP'!GY488</f>
        <v>0</v>
      </c>
      <c r="AB11" s="206">
        <f>'P &amp; NP'!GZ488</f>
        <v>0</v>
      </c>
      <c r="AC11" s="206">
        <f>'P &amp; NP'!HO488</f>
        <v>0</v>
      </c>
      <c r="AD11" s="206">
        <f>'P &amp; NP'!HP488</f>
        <v>0</v>
      </c>
      <c r="AE11" s="206">
        <f>'P &amp; NP'!IE488</f>
        <v>0</v>
      </c>
      <c r="AF11" s="206">
        <f>'P &amp; NP'!IF488</f>
        <v>0</v>
      </c>
      <c r="AG11" s="206">
        <f>'P &amp; NP'!IU488</f>
        <v>0</v>
      </c>
      <c r="AH11" s="206">
        <f>'P &amp; NP'!IV488</f>
        <v>0</v>
      </c>
      <c r="AI11" s="206">
        <f>'P &amp; NP'!JK488</f>
        <v>0</v>
      </c>
      <c r="AJ11" s="206">
        <f>'P &amp; NP'!JL488</f>
        <v>0</v>
      </c>
      <c r="AK11" s="206">
        <f>'P &amp; NP'!KA488</f>
        <v>0</v>
      </c>
      <c r="AL11" s="206">
        <f>'P &amp; NP'!KB488</f>
        <v>0</v>
      </c>
      <c r="AM11" s="209">
        <f>'P &amp; NP'!KQ488</f>
        <v>0</v>
      </c>
      <c r="AN11" s="209">
        <f>'P &amp; NP'!KR488</f>
        <v>0</v>
      </c>
      <c r="AO11" s="209">
        <f>'P &amp; NP'!LG488</f>
        <v>0</v>
      </c>
      <c r="AP11" s="209">
        <f>'P &amp; NP'!LH488</f>
        <v>0</v>
      </c>
      <c r="AQ11" s="209">
        <f>'P &amp; NP'!LW488</f>
        <v>0</v>
      </c>
      <c r="AR11" s="209">
        <f>'P &amp; NP'!LX488</f>
        <v>0</v>
      </c>
      <c r="AS11" s="209">
        <f>'P &amp; NP'!MM488</f>
        <v>0</v>
      </c>
      <c r="AT11" s="209">
        <f>'P &amp; NP'!MN488</f>
        <v>0</v>
      </c>
      <c r="AU11" s="209">
        <f>'P &amp; NP'!NC488</f>
        <v>0</v>
      </c>
      <c r="AV11" s="209">
        <f>'P &amp; NP'!ND488</f>
        <v>0</v>
      </c>
      <c r="AW11" s="209">
        <f>'P &amp; NP'!NS488</f>
        <v>0</v>
      </c>
      <c r="AX11" s="209">
        <f>'P &amp; NP'!NT488</f>
        <v>0</v>
      </c>
      <c r="AY11" s="209">
        <f>'P &amp; NP'!OI488</f>
        <v>0</v>
      </c>
      <c r="AZ11" s="209">
        <f>'P &amp; NP'!OJ488</f>
        <v>0</v>
      </c>
      <c r="BA11" s="209">
        <f>'P &amp; NP'!OY488</f>
        <v>0</v>
      </c>
      <c r="BB11" s="209">
        <f>'P &amp; NP'!OZ488</f>
        <v>0</v>
      </c>
      <c r="BC11" s="209">
        <f>'P &amp; NP'!PO488</f>
        <v>0</v>
      </c>
      <c r="BD11" s="209">
        <f>'P &amp; NP'!PP488</f>
        <v>0</v>
      </c>
      <c r="BE11" s="209">
        <f>'P &amp; NP'!QE488</f>
        <v>0</v>
      </c>
      <c r="BF11" s="209">
        <f>'P &amp; NP'!QF488</f>
        <v>0</v>
      </c>
      <c r="BG11" s="209">
        <f>'P &amp; NP'!QU488</f>
        <v>0</v>
      </c>
      <c r="BH11" s="209">
        <f>'P &amp; NP'!QV488</f>
        <v>0</v>
      </c>
      <c r="BI11" s="209">
        <f>'P &amp; NP'!RK488</f>
        <v>0</v>
      </c>
      <c r="BJ11" s="209">
        <f>'P &amp; NP'!RL488</f>
        <v>0</v>
      </c>
      <c r="BK11" s="209">
        <f>'P &amp; NP'!SA488</f>
        <v>0</v>
      </c>
      <c r="BL11" s="209">
        <f>'P &amp; NP'!SB488</f>
        <v>0</v>
      </c>
      <c r="BM11" s="209">
        <f>'P &amp; NP'!SQ488</f>
        <v>0</v>
      </c>
      <c r="BN11" s="209">
        <f>'P &amp; NP'!SR488</f>
        <v>0</v>
      </c>
      <c r="BO11" s="209">
        <f>'P &amp; NP'!TG488</f>
        <v>0</v>
      </c>
      <c r="BP11" s="209">
        <f>'P &amp; NP'!TH488</f>
        <v>0</v>
      </c>
      <c r="BQ11" s="209">
        <f>'P &amp; NP'!TW488</f>
        <v>0</v>
      </c>
      <c r="BR11" s="209">
        <f>'P &amp; NP'!TX488</f>
        <v>0</v>
      </c>
      <c r="BS11" s="209">
        <f>'P &amp; NP'!UM488</f>
        <v>0</v>
      </c>
      <c r="BT11" s="209">
        <f>'P &amp; NP'!UN488</f>
        <v>0</v>
      </c>
      <c r="BU11" s="209">
        <f>'P &amp; NP'!VC488</f>
        <v>0</v>
      </c>
      <c r="BV11" s="209">
        <f>'P &amp; NP'!VD488</f>
        <v>0</v>
      </c>
      <c r="BW11" s="209">
        <f>'P &amp; NP'!VS488</f>
        <v>0</v>
      </c>
      <c r="BX11" s="209">
        <f>'P &amp; NP'!VT488</f>
        <v>0</v>
      </c>
      <c r="BY11" s="209">
        <f>'P &amp; NP'!WI488</f>
        <v>0</v>
      </c>
      <c r="BZ11" s="209">
        <f>'P &amp; NP'!WJ488</f>
        <v>0</v>
      </c>
      <c r="CB11" s="206">
        <f t="shared" si="3"/>
        <v>0</v>
      </c>
      <c r="CC11" s="206">
        <f t="shared" si="3"/>
        <v>0</v>
      </c>
    </row>
    <row r="12" spans="1:81">
      <c r="B12" s="207" t="str">
        <f>'P &amp; NP'!B18</f>
        <v xml:space="preserve">Gabus </v>
      </c>
      <c r="C12" s="206">
        <f>'P &amp; NP'!O489</f>
        <v>0</v>
      </c>
      <c r="D12" s="206">
        <f>'P &amp; NP'!P489</f>
        <v>0</v>
      </c>
      <c r="E12" s="206">
        <f>'P &amp; NP'!AE489</f>
        <v>0</v>
      </c>
      <c r="F12" s="206">
        <f>'P &amp; NP'!AF489</f>
        <v>0</v>
      </c>
      <c r="G12" s="206">
        <f>'P &amp; NP'!AU489</f>
        <v>0</v>
      </c>
      <c r="H12" s="206">
        <f>'P &amp; NP'!AV489</f>
        <v>0</v>
      </c>
      <c r="I12" s="206">
        <f>'P &amp; NP'!BK489</f>
        <v>0</v>
      </c>
      <c r="J12" s="206">
        <f>'P &amp; NP'!BL489</f>
        <v>0</v>
      </c>
      <c r="K12" s="206">
        <f>'P &amp; NP'!CA489</f>
        <v>0</v>
      </c>
      <c r="L12" s="206">
        <f>'P &amp; NP'!CB489</f>
        <v>0</v>
      </c>
      <c r="M12" s="206">
        <f>'P &amp; NP'!CQ489</f>
        <v>0</v>
      </c>
      <c r="N12" s="206">
        <f>'P &amp; NP'!CR489</f>
        <v>0</v>
      </c>
      <c r="O12" s="206">
        <f>'P &amp; NP'!DG489</f>
        <v>0</v>
      </c>
      <c r="P12" s="206">
        <f>'P &amp; NP'!DH489</f>
        <v>0</v>
      </c>
      <c r="Q12" s="206">
        <f>'P &amp; NP'!DW489</f>
        <v>0</v>
      </c>
      <c r="R12" s="206">
        <f>'P &amp; NP'!DX489</f>
        <v>0</v>
      </c>
      <c r="S12" s="206">
        <f>'P &amp; NP'!EM489</f>
        <v>0</v>
      </c>
      <c r="T12" s="206">
        <f>'P &amp; NP'!EN489</f>
        <v>0</v>
      </c>
      <c r="U12" s="206">
        <f>'P &amp; NP'!FC489</f>
        <v>0</v>
      </c>
      <c r="V12" s="206">
        <f>'P &amp; NP'!FD489</f>
        <v>0</v>
      </c>
      <c r="W12" s="206">
        <f>'P &amp; NP'!FS489</f>
        <v>0</v>
      </c>
      <c r="X12" s="206">
        <f>'P &amp; NP'!FT489</f>
        <v>0</v>
      </c>
      <c r="Y12" s="206">
        <f>'P &amp; NP'!GI489</f>
        <v>0</v>
      </c>
      <c r="Z12" s="206">
        <f>'P &amp; NP'!GJ489</f>
        <v>0</v>
      </c>
      <c r="AA12" s="206">
        <f>'P &amp; NP'!GY489</f>
        <v>0</v>
      </c>
      <c r="AB12" s="206">
        <f>'P &amp; NP'!GZ489</f>
        <v>0</v>
      </c>
      <c r="AC12" s="206">
        <f>'P &amp; NP'!HO489</f>
        <v>0</v>
      </c>
      <c r="AD12" s="206">
        <f>'P &amp; NP'!HP489</f>
        <v>0</v>
      </c>
      <c r="AE12" s="206">
        <f>'P &amp; NP'!IE489</f>
        <v>0</v>
      </c>
      <c r="AF12" s="206">
        <f>'P &amp; NP'!IF489</f>
        <v>0</v>
      </c>
      <c r="AG12" s="206">
        <f>'P &amp; NP'!IU489</f>
        <v>0</v>
      </c>
      <c r="AH12" s="206">
        <f>'P &amp; NP'!IV489</f>
        <v>0</v>
      </c>
      <c r="AI12" s="206">
        <f>'P &amp; NP'!JK489</f>
        <v>0</v>
      </c>
      <c r="AJ12" s="206">
        <f>'P &amp; NP'!JL489</f>
        <v>0</v>
      </c>
      <c r="AK12" s="206">
        <f>'P &amp; NP'!KA489</f>
        <v>0</v>
      </c>
      <c r="AL12" s="206">
        <f>'P &amp; NP'!KB489</f>
        <v>0</v>
      </c>
      <c r="AM12" s="209">
        <f>'P &amp; NP'!KQ489</f>
        <v>0</v>
      </c>
      <c r="AN12" s="209">
        <f>'P &amp; NP'!KR489</f>
        <v>0</v>
      </c>
      <c r="AO12" s="209">
        <f>'P &amp; NP'!LG489</f>
        <v>0</v>
      </c>
      <c r="AP12" s="209">
        <f>'P &amp; NP'!LH489</f>
        <v>0</v>
      </c>
      <c r="AQ12" s="209">
        <f>'P &amp; NP'!LW489</f>
        <v>0</v>
      </c>
      <c r="AR12" s="209">
        <f>'P &amp; NP'!LX489</f>
        <v>0</v>
      </c>
      <c r="AS12" s="209">
        <f>'P &amp; NP'!MM489</f>
        <v>0</v>
      </c>
      <c r="AT12" s="209">
        <f>'P &amp; NP'!MN489</f>
        <v>0</v>
      </c>
      <c r="AU12" s="209">
        <f>'P &amp; NP'!NC489</f>
        <v>0</v>
      </c>
      <c r="AV12" s="209">
        <f>'P &amp; NP'!ND489</f>
        <v>0</v>
      </c>
      <c r="AW12" s="209">
        <f>'P &amp; NP'!NS489</f>
        <v>0</v>
      </c>
      <c r="AX12" s="209">
        <f>'P &amp; NP'!NT489</f>
        <v>0</v>
      </c>
      <c r="AY12" s="209">
        <f>'P &amp; NP'!OI489</f>
        <v>0</v>
      </c>
      <c r="AZ12" s="209">
        <f>'P &amp; NP'!OJ489</f>
        <v>0</v>
      </c>
      <c r="BA12" s="209">
        <f>'P &amp; NP'!OY489</f>
        <v>0</v>
      </c>
      <c r="BB12" s="209">
        <f>'P &amp; NP'!OZ489</f>
        <v>0</v>
      </c>
      <c r="BC12" s="209">
        <f>'P &amp; NP'!PO489</f>
        <v>0</v>
      </c>
      <c r="BD12" s="209">
        <f>'P &amp; NP'!PP489</f>
        <v>0</v>
      </c>
      <c r="BE12" s="209">
        <f>'P &amp; NP'!QE489</f>
        <v>0</v>
      </c>
      <c r="BF12" s="209">
        <f>'P &amp; NP'!QF489</f>
        <v>0</v>
      </c>
      <c r="BG12" s="209">
        <f>'P &amp; NP'!QU489</f>
        <v>0</v>
      </c>
      <c r="BH12" s="209">
        <f>'P &amp; NP'!QV489</f>
        <v>0</v>
      </c>
      <c r="BI12" s="209">
        <f>'P &amp; NP'!RK489</f>
        <v>0</v>
      </c>
      <c r="BJ12" s="209">
        <f>'P &amp; NP'!RL489</f>
        <v>0</v>
      </c>
      <c r="BK12" s="209">
        <f>'P &amp; NP'!SA489</f>
        <v>0</v>
      </c>
      <c r="BL12" s="209">
        <f>'P &amp; NP'!SB489</f>
        <v>0</v>
      </c>
      <c r="BM12" s="209">
        <f>'P &amp; NP'!SQ489</f>
        <v>0</v>
      </c>
      <c r="BN12" s="209">
        <f>'P &amp; NP'!SR489</f>
        <v>0</v>
      </c>
      <c r="BO12" s="209">
        <f>'P &amp; NP'!TG489</f>
        <v>0</v>
      </c>
      <c r="BP12" s="209">
        <f>'P &amp; NP'!TH489</f>
        <v>0</v>
      </c>
      <c r="BQ12" s="209">
        <f>'P &amp; NP'!TW489</f>
        <v>0</v>
      </c>
      <c r="BR12" s="209">
        <f>'P &amp; NP'!TX489</f>
        <v>0</v>
      </c>
      <c r="BS12" s="209">
        <f>'P &amp; NP'!UM489</f>
        <v>0</v>
      </c>
      <c r="BT12" s="209">
        <f>'P &amp; NP'!UN489</f>
        <v>0</v>
      </c>
      <c r="BU12" s="209">
        <f>'P &amp; NP'!VC489</f>
        <v>0</v>
      </c>
      <c r="BV12" s="209">
        <f>'P &amp; NP'!VD489</f>
        <v>0</v>
      </c>
      <c r="BW12" s="209">
        <f>'P &amp; NP'!VS489</f>
        <v>0</v>
      </c>
      <c r="BX12" s="209">
        <f>'P &amp; NP'!VT489</f>
        <v>0</v>
      </c>
      <c r="BY12" s="209">
        <f>'P &amp; NP'!WI489</f>
        <v>0</v>
      </c>
      <c r="BZ12" s="209">
        <f>'P &amp; NP'!WJ489</f>
        <v>0</v>
      </c>
      <c r="CB12" s="206">
        <f t="shared" si="3"/>
        <v>0</v>
      </c>
      <c r="CC12" s="206">
        <f t="shared" si="3"/>
        <v>0</v>
      </c>
    </row>
    <row r="13" spans="1:81">
      <c r="B13" s="207" t="str">
        <f>'P &amp; NP'!B19</f>
        <v xml:space="preserve">Gracilaria verrucosa </v>
      </c>
      <c r="C13" s="206">
        <f>'P &amp; NP'!O490</f>
        <v>0</v>
      </c>
      <c r="D13" s="206">
        <f>'P &amp; NP'!P490</f>
        <v>0</v>
      </c>
      <c r="E13" s="206">
        <f>'P &amp; NP'!AE490</f>
        <v>0</v>
      </c>
      <c r="F13" s="206">
        <f>'P &amp; NP'!AF490</f>
        <v>0</v>
      </c>
      <c r="G13" s="206">
        <f>'P &amp; NP'!AU490</f>
        <v>0</v>
      </c>
      <c r="H13" s="206">
        <f>'P &amp; NP'!AV490</f>
        <v>0</v>
      </c>
      <c r="I13" s="206">
        <f>'P &amp; NP'!BK490</f>
        <v>0</v>
      </c>
      <c r="J13" s="206">
        <f>'P &amp; NP'!BL490</f>
        <v>0</v>
      </c>
      <c r="K13" s="206">
        <f>'P &amp; NP'!CA490</f>
        <v>0</v>
      </c>
      <c r="L13" s="206">
        <f>'P &amp; NP'!CB490</f>
        <v>0</v>
      </c>
      <c r="M13" s="206">
        <f>'P &amp; NP'!CQ490</f>
        <v>0</v>
      </c>
      <c r="N13" s="206">
        <f>'P &amp; NP'!CR490</f>
        <v>0</v>
      </c>
      <c r="O13" s="206">
        <f>'P &amp; NP'!DG490</f>
        <v>0</v>
      </c>
      <c r="P13" s="206">
        <f>'P &amp; NP'!DH490</f>
        <v>0</v>
      </c>
      <c r="Q13" s="206">
        <f>'P &amp; NP'!DW490</f>
        <v>0</v>
      </c>
      <c r="R13" s="206">
        <f>'P &amp; NP'!DX490</f>
        <v>0</v>
      </c>
      <c r="S13" s="206">
        <f>'P &amp; NP'!EM490</f>
        <v>0</v>
      </c>
      <c r="T13" s="206">
        <f>'P &amp; NP'!EN490</f>
        <v>0</v>
      </c>
      <c r="U13" s="206">
        <f>'P &amp; NP'!FC490</f>
        <v>0</v>
      </c>
      <c r="V13" s="206">
        <f>'P &amp; NP'!FD490</f>
        <v>0</v>
      </c>
      <c r="W13" s="206">
        <f>'P &amp; NP'!FS490</f>
        <v>0</v>
      </c>
      <c r="X13" s="206">
        <f>'P &amp; NP'!FT490</f>
        <v>0</v>
      </c>
      <c r="Y13" s="206">
        <f>'P &amp; NP'!GI490</f>
        <v>0</v>
      </c>
      <c r="Z13" s="206">
        <f>'P &amp; NP'!GJ490</f>
        <v>0</v>
      </c>
      <c r="AA13" s="206">
        <f>'P &amp; NP'!GY490</f>
        <v>0</v>
      </c>
      <c r="AB13" s="206">
        <f>'P &amp; NP'!GZ490</f>
        <v>0</v>
      </c>
      <c r="AC13" s="206">
        <f>'P &amp; NP'!HO490</f>
        <v>0</v>
      </c>
      <c r="AD13" s="206">
        <f>'P &amp; NP'!HP490</f>
        <v>0</v>
      </c>
      <c r="AE13" s="206">
        <f>'P &amp; NP'!IE490</f>
        <v>0</v>
      </c>
      <c r="AF13" s="206">
        <f>'P &amp; NP'!IF490</f>
        <v>0</v>
      </c>
      <c r="AG13" s="206">
        <f>'P &amp; NP'!IU490</f>
        <v>0</v>
      </c>
      <c r="AH13" s="206">
        <f>'P &amp; NP'!IV490</f>
        <v>0</v>
      </c>
      <c r="AI13" s="206">
        <f>'P &amp; NP'!JK490</f>
        <v>0</v>
      </c>
      <c r="AJ13" s="206">
        <f>'P &amp; NP'!JL490</f>
        <v>0</v>
      </c>
      <c r="AK13" s="206">
        <f>'P &amp; NP'!KA490</f>
        <v>0</v>
      </c>
      <c r="AL13" s="206">
        <f>'P &amp; NP'!KB490</f>
        <v>0</v>
      </c>
      <c r="AM13" s="209">
        <f>'P &amp; NP'!KQ490</f>
        <v>0</v>
      </c>
      <c r="AN13" s="209">
        <f>'P &amp; NP'!KR490</f>
        <v>0</v>
      </c>
      <c r="AO13" s="209">
        <f>'P &amp; NP'!LG490</f>
        <v>0</v>
      </c>
      <c r="AP13" s="209">
        <f>'P &amp; NP'!LH490</f>
        <v>0</v>
      </c>
      <c r="AQ13" s="209">
        <f>'P &amp; NP'!LW490</f>
        <v>0</v>
      </c>
      <c r="AR13" s="209">
        <f>'P &amp; NP'!LX490</f>
        <v>0</v>
      </c>
      <c r="AS13" s="209">
        <f>'P &amp; NP'!MM490</f>
        <v>0</v>
      </c>
      <c r="AT13" s="209">
        <f>'P &amp; NP'!MN490</f>
        <v>0</v>
      </c>
      <c r="AU13" s="209">
        <f>'P &amp; NP'!NC490</f>
        <v>0</v>
      </c>
      <c r="AV13" s="209">
        <f>'P &amp; NP'!ND490</f>
        <v>0</v>
      </c>
      <c r="AW13" s="209">
        <f>'P &amp; NP'!NS490</f>
        <v>0</v>
      </c>
      <c r="AX13" s="209">
        <f>'P &amp; NP'!NT490</f>
        <v>0</v>
      </c>
      <c r="AY13" s="209">
        <f>'P &amp; NP'!OI490</f>
        <v>0</v>
      </c>
      <c r="AZ13" s="209">
        <f>'P &amp; NP'!OJ490</f>
        <v>0</v>
      </c>
      <c r="BA13" s="209">
        <f>'P &amp; NP'!OY490</f>
        <v>0</v>
      </c>
      <c r="BB13" s="209">
        <f>'P &amp; NP'!OZ490</f>
        <v>0</v>
      </c>
      <c r="BC13" s="209">
        <f>'P &amp; NP'!PO490</f>
        <v>0</v>
      </c>
      <c r="BD13" s="209">
        <f>'P &amp; NP'!PP490</f>
        <v>0</v>
      </c>
      <c r="BE13" s="209">
        <f>'P &amp; NP'!QE490</f>
        <v>0</v>
      </c>
      <c r="BF13" s="209">
        <f>'P &amp; NP'!QF490</f>
        <v>0</v>
      </c>
      <c r="BG13" s="209">
        <f>'P &amp; NP'!QU490</f>
        <v>0</v>
      </c>
      <c r="BH13" s="209">
        <f>'P &amp; NP'!QV490</f>
        <v>0</v>
      </c>
      <c r="BI13" s="209">
        <f>'P &amp; NP'!RK490</f>
        <v>0</v>
      </c>
      <c r="BJ13" s="209">
        <f>'P &amp; NP'!RL490</f>
        <v>0</v>
      </c>
      <c r="BK13" s="209">
        <f>'P &amp; NP'!SA490</f>
        <v>0</v>
      </c>
      <c r="BL13" s="209">
        <f>'P &amp; NP'!SB490</f>
        <v>0</v>
      </c>
      <c r="BM13" s="209">
        <f>'P &amp; NP'!SQ490</f>
        <v>0</v>
      </c>
      <c r="BN13" s="209">
        <f>'P &amp; NP'!SR490</f>
        <v>0</v>
      </c>
      <c r="BO13" s="209">
        <f>'P &amp; NP'!TG490</f>
        <v>0</v>
      </c>
      <c r="BP13" s="209">
        <f>'P &amp; NP'!TH490</f>
        <v>0</v>
      </c>
      <c r="BQ13" s="209">
        <f>'P &amp; NP'!TW490</f>
        <v>0</v>
      </c>
      <c r="BR13" s="209">
        <f>'P &amp; NP'!TX490</f>
        <v>0</v>
      </c>
      <c r="BS13" s="209">
        <f>'P &amp; NP'!UM490</f>
        <v>0</v>
      </c>
      <c r="BT13" s="209">
        <f>'P &amp; NP'!UN490</f>
        <v>0</v>
      </c>
      <c r="BU13" s="209">
        <f>'P &amp; NP'!VC490</f>
        <v>0</v>
      </c>
      <c r="BV13" s="209">
        <f>'P &amp; NP'!VD490</f>
        <v>0</v>
      </c>
      <c r="BW13" s="209">
        <f>'P &amp; NP'!VS490</f>
        <v>0</v>
      </c>
      <c r="BX13" s="209">
        <f>'P &amp; NP'!VT490</f>
        <v>0</v>
      </c>
      <c r="BY13" s="209">
        <f>'P &amp; NP'!WI490</f>
        <v>0</v>
      </c>
      <c r="BZ13" s="209">
        <f>'P &amp; NP'!WJ490</f>
        <v>0</v>
      </c>
      <c r="CB13" s="206">
        <f t="shared" si="3"/>
        <v>0</v>
      </c>
      <c r="CC13" s="206">
        <f t="shared" si="3"/>
        <v>0</v>
      </c>
    </row>
    <row r="14" spans="1:81">
      <c r="B14" s="207" t="str">
        <f>'P &amp; NP'!B20</f>
        <v xml:space="preserve">Gurame, Gurami </v>
      </c>
      <c r="C14" s="206">
        <f>'P &amp; NP'!O491</f>
        <v>0</v>
      </c>
      <c r="D14" s="206">
        <f>'P &amp; NP'!P491</f>
        <v>0</v>
      </c>
      <c r="E14" s="206">
        <f>'P &amp; NP'!AE491</f>
        <v>0</v>
      </c>
      <c r="F14" s="206">
        <f>'P &amp; NP'!AF491</f>
        <v>0</v>
      </c>
      <c r="G14" s="206">
        <f>'P &amp; NP'!AU491</f>
        <v>0</v>
      </c>
      <c r="H14" s="206">
        <f>'P &amp; NP'!AV491</f>
        <v>0</v>
      </c>
      <c r="I14" s="206">
        <f>'P &amp; NP'!BK491</f>
        <v>0</v>
      </c>
      <c r="J14" s="206">
        <f>'P &amp; NP'!BL491</f>
        <v>0</v>
      </c>
      <c r="K14" s="206">
        <f>'P &amp; NP'!CA491</f>
        <v>0</v>
      </c>
      <c r="L14" s="206">
        <f>'P &amp; NP'!CB491</f>
        <v>0</v>
      </c>
      <c r="M14" s="206">
        <f>'P &amp; NP'!CQ491</f>
        <v>0</v>
      </c>
      <c r="N14" s="206">
        <f>'P &amp; NP'!CR491</f>
        <v>0</v>
      </c>
      <c r="O14" s="206">
        <f>'P &amp; NP'!DG491</f>
        <v>0</v>
      </c>
      <c r="P14" s="206">
        <f>'P &amp; NP'!DH491</f>
        <v>0</v>
      </c>
      <c r="Q14" s="206">
        <f>'P &amp; NP'!DW491</f>
        <v>0</v>
      </c>
      <c r="R14" s="206">
        <f>'P &amp; NP'!DX491</f>
        <v>0</v>
      </c>
      <c r="S14" s="206">
        <f>'P &amp; NP'!EM491</f>
        <v>0</v>
      </c>
      <c r="T14" s="206">
        <f>'P &amp; NP'!EN491</f>
        <v>0</v>
      </c>
      <c r="U14" s="206">
        <f>'P &amp; NP'!FC491</f>
        <v>0</v>
      </c>
      <c r="V14" s="206">
        <f>'P &amp; NP'!FD491</f>
        <v>0</v>
      </c>
      <c r="W14" s="206">
        <f>'P &amp; NP'!FS491</f>
        <v>0</v>
      </c>
      <c r="X14" s="206">
        <f>'P &amp; NP'!FT491</f>
        <v>0</v>
      </c>
      <c r="Y14" s="206">
        <f>'P &amp; NP'!GI491</f>
        <v>0</v>
      </c>
      <c r="Z14" s="206">
        <f>'P &amp; NP'!GJ491</f>
        <v>0</v>
      </c>
      <c r="AA14" s="206">
        <f>'P &amp; NP'!GY491</f>
        <v>0</v>
      </c>
      <c r="AB14" s="206">
        <f>'P &amp; NP'!GZ491</f>
        <v>0</v>
      </c>
      <c r="AC14" s="206">
        <f>'P &amp; NP'!HO491</f>
        <v>0</v>
      </c>
      <c r="AD14" s="206">
        <f>'P &amp; NP'!HP491</f>
        <v>0</v>
      </c>
      <c r="AE14" s="206">
        <f>'P &amp; NP'!IE491</f>
        <v>0</v>
      </c>
      <c r="AF14" s="206">
        <f>'P &amp; NP'!IF491</f>
        <v>0</v>
      </c>
      <c r="AG14" s="206">
        <f>'P &amp; NP'!IU491</f>
        <v>0</v>
      </c>
      <c r="AH14" s="206">
        <f>'P &amp; NP'!IV491</f>
        <v>0</v>
      </c>
      <c r="AI14" s="206">
        <f>'P &amp; NP'!JK491</f>
        <v>0</v>
      </c>
      <c r="AJ14" s="206">
        <f>'P &amp; NP'!JL491</f>
        <v>0</v>
      </c>
      <c r="AK14" s="206">
        <f>'P &amp; NP'!KA491</f>
        <v>0</v>
      </c>
      <c r="AL14" s="206">
        <f>'P &amp; NP'!KB491</f>
        <v>0</v>
      </c>
      <c r="AM14" s="209">
        <f>'P &amp; NP'!KQ491</f>
        <v>0</v>
      </c>
      <c r="AN14" s="209">
        <f>'P &amp; NP'!KR491</f>
        <v>0</v>
      </c>
      <c r="AO14" s="209">
        <f>'P &amp; NP'!LG491</f>
        <v>0</v>
      </c>
      <c r="AP14" s="209">
        <f>'P &amp; NP'!LH491</f>
        <v>0</v>
      </c>
      <c r="AQ14" s="209">
        <f>'P &amp; NP'!LW491</f>
        <v>0</v>
      </c>
      <c r="AR14" s="209">
        <f>'P &amp; NP'!LX491</f>
        <v>0</v>
      </c>
      <c r="AS14" s="209">
        <f>'P &amp; NP'!MM491</f>
        <v>0</v>
      </c>
      <c r="AT14" s="209">
        <f>'P &amp; NP'!MN491</f>
        <v>0</v>
      </c>
      <c r="AU14" s="209">
        <f>'P &amp; NP'!NC491</f>
        <v>0</v>
      </c>
      <c r="AV14" s="209">
        <f>'P &amp; NP'!ND491</f>
        <v>0</v>
      </c>
      <c r="AW14" s="209">
        <f>'P &amp; NP'!NS491</f>
        <v>0</v>
      </c>
      <c r="AX14" s="209">
        <f>'P &amp; NP'!NT491</f>
        <v>0</v>
      </c>
      <c r="AY14" s="209">
        <f>'P &amp; NP'!OI491</f>
        <v>0</v>
      </c>
      <c r="AZ14" s="209">
        <f>'P &amp; NP'!OJ491</f>
        <v>0</v>
      </c>
      <c r="BA14" s="209">
        <f>'P &amp; NP'!OY491</f>
        <v>0</v>
      </c>
      <c r="BB14" s="209">
        <f>'P &amp; NP'!OZ491</f>
        <v>0</v>
      </c>
      <c r="BC14" s="209">
        <f>'P &amp; NP'!PO491</f>
        <v>0</v>
      </c>
      <c r="BD14" s="209">
        <f>'P &amp; NP'!PP491</f>
        <v>0</v>
      </c>
      <c r="BE14" s="209">
        <f>'P &amp; NP'!QE491</f>
        <v>0</v>
      </c>
      <c r="BF14" s="209">
        <f>'P &amp; NP'!QF491</f>
        <v>0</v>
      </c>
      <c r="BG14" s="209">
        <f>'P &amp; NP'!QU491</f>
        <v>0</v>
      </c>
      <c r="BH14" s="209">
        <f>'P &amp; NP'!QV491</f>
        <v>0</v>
      </c>
      <c r="BI14" s="209">
        <f>'P &amp; NP'!RK491</f>
        <v>0</v>
      </c>
      <c r="BJ14" s="209">
        <f>'P &amp; NP'!RL491</f>
        <v>0</v>
      </c>
      <c r="BK14" s="209">
        <f>'P &amp; NP'!SA491</f>
        <v>0</v>
      </c>
      <c r="BL14" s="209">
        <f>'P &amp; NP'!SB491</f>
        <v>0</v>
      </c>
      <c r="BM14" s="209">
        <f>'P &amp; NP'!SQ491</f>
        <v>0</v>
      </c>
      <c r="BN14" s="209">
        <f>'P &amp; NP'!SR491</f>
        <v>0</v>
      </c>
      <c r="BO14" s="209">
        <f>'P &amp; NP'!TG491</f>
        <v>0</v>
      </c>
      <c r="BP14" s="209">
        <f>'P &amp; NP'!TH491</f>
        <v>0</v>
      </c>
      <c r="BQ14" s="209">
        <f>'P &amp; NP'!TW491</f>
        <v>0</v>
      </c>
      <c r="BR14" s="209">
        <f>'P &amp; NP'!TX491</f>
        <v>0</v>
      </c>
      <c r="BS14" s="209">
        <f>'P &amp; NP'!UM491</f>
        <v>0</v>
      </c>
      <c r="BT14" s="209">
        <f>'P &amp; NP'!UN491</f>
        <v>0</v>
      </c>
      <c r="BU14" s="209">
        <f>'P &amp; NP'!VC491</f>
        <v>0</v>
      </c>
      <c r="BV14" s="209">
        <f>'P &amp; NP'!VD491</f>
        <v>0</v>
      </c>
      <c r="BW14" s="209">
        <f>'P &amp; NP'!VS491</f>
        <v>0</v>
      </c>
      <c r="BX14" s="209">
        <f>'P &amp; NP'!VT491</f>
        <v>0</v>
      </c>
      <c r="BY14" s="209">
        <f>'P &amp; NP'!WI491</f>
        <v>0</v>
      </c>
      <c r="BZ14" s="209">
        <f>'P &amp; NP'!WJ491</f>
        <v>0</v>
      </c>
      <c r="CB14" s="206">
        <f t="shared" si="3"/>
        <v>0</v>
      </c>
      <c r="CC14" s="206">
        <f t="shared" si="3"/>
        <v>0</v>
      </c>
    </row>
    <row r="15" spans="1:81">
      <c r="B15" s="207" t="str">
        <f>'P &amp; NP'!B21</f>
        <v>Kakap Putih</v>
      </c>
      <c r="C15" s="206">
        <f>'P &amp; NP'!O492</f>
        <v>0</v>
      </c>
      <c r="D15" s="206">
        <f>'P &amp; NP'!P492</f>
        <v>0</v>
      </c>
      <c r="E15" s="206">
        <f>'P &amp; NP'!AE492</f>
        <v>0</v>
      </c>
      <c r="F15" s="206">
        <f>'P &amp; NP'!AF492</f>
        <v>0</v>
      </c>
      <c r="G15" s="206">
        <f>'P &amp; NP'!AU492</f>
        <v>0</v>
      </c>
      <c r="H15" s="206">
        <f>'P &amp; NP'!AV492</f>
        <v>0</v>
      </c>
      <c r="I15" s="206">
        <f>'P &amp; NP'!BK492</f>
        <v>0</v>
      </c>
      <c r="J15" s="206">
        <f>'P &amp; NP'!BL492</f>
        <v>0</v>
      </c>
      <c r="K15" s="206">
        <f>'P &amp; NP'!CA492</f>
        <v>0</v>
      </c>
      <c r="L15" s="206">
        <f>'P &amp; NP'!CB492</f>
        <v>0</v>
      </c>
      <c r="M15" s="206">
        <f>'P &amp; NP'!CQ492</f>
        <v>0</v>
      </c>
      <c r="N15" s="206">
        <f>'P &amp; NP'!CR492</f>
        <v>0</v>
      </c>
      <c r="O15" s="206">
        <f>'P &amp; NP'!DG492</f>
        <v>0</v>
      </c>
      <c r="P15" s="206">
        <f>'P &amp; NP'!DH492</f>
        <v>0</v>
      </c>
      <c r="Q15" s="206">
        <f>'P &amp; NP'!DW492</f>
        <v>0</v>
      </c>
      <c r="R15" s="206">
        <f>'P &amp; NP'!DX492</f>
        <v>0</v>
      </c>
      <c r="S15" s="206">
        <f>'P &amp; NP'!EM492</f>
        <v>0</v>
      </c>
      <c r="T15" s="206">
        <f>'P &amp; NP'!EN492</f>
        <v>0</v>
      </c>
      <c r="U15" s="206">
        <f>'P &amp; NP'!FC492</f>
        <v>0</v>
      </c>
      <c r="V15" s="206">
        <f>'P &amp; NP'!FD492</f>
        <v>0</v>
      </c>
      <c r="W15" s="206">
        <f>'P &amp; NP'!FS492</f>
        <v>0</v>
      </c>
      <c r="X15" s="206">
        <f>'P &amp; NP'!FT492</f>
        <v>0</v>
      </c>
      <c r="Y15" s="206">
        <f>'P &amp; NP'!GI492</f>
        <v>0</v>
      </c>
      <c r="Z15" s="206">
        <f>'P &amp; NP'!GJ492</f>
        <v>0</v>
      </c>
      <c r="AA15" s="206">
        <f>'P &amp; NP'!GY492</f>
        <v>0</v>
      </c>
      <c r="AB15" s="206">
        <f>'P &amp; NP'!GZ492</f>
        <v>0</v>
      </c>
      <c r="AC15" s="206">
        <f>'P &amp; NP'!HO492</f>
        <v>0</v>
      </c>
      <c r="AD15" s="206">
        <f>'P &amp; NP'!HP492</f>
        <v>0</v>
      </c>
      <c r="AE15" s="206">
        <f>'P &amp; NP'!IE492</f>
        <v>0</v>
      </c>
      <c r="AF15" s="206">
        <f>'P &amp; NP'!IF492</f>
        <v>0</v>
      </c>
      <c r="AG15" s="206">
        <f>'P &amp; NP'!IU492</f>
        <v>0</v>
      </c>
      <c r="AH15" s="206">
        <f>'P &amp; NP'!IV492</f>
        <v>0</v>
      </c>
      <c r="AI15" s="206">
        <f>'P &amp; NP'!JK492</f>
        <v>0</v>
      </c>
      <c r="AJ15" s="206">
        <f>'P &amp; NP'!JL492</f>
        <v>0</v>
      </c>
      <c r="AK15" s="206">
        <f>'P &amp; NP'!KA492</f>
        <v>0</v>
      </c>
      <c r="AL15" s="206">
        <f>'P &amp; NP'!KB492</f>
        <v>0</v>
      </c>
      <c r="AM15" s="209">
        <f>'P &amp; NP'!KQ492</f>
        <v>0</v>
      </c>
      <c r="AN15" s="209">
        <f>'P &amp; NP'!KR492</f>
        <v>0</v>
      </c>
      <c r="AO15" s="209">
        <f>'P &amp; NP'!LG492</f>
        <v>0</v>
      </c>
      <c r="AP15" s="209">
        <f>'P &amp; NP'!LH492</f>
        <v>0</v>
      </c>
      <c r="AQ15" s="209">
        <f>'P &amp; NP'!LW492</f>
        <v>0</v>
      </c>
      <c r="AR15" s="209">
        <f>'P &amp; NP'!LX492</f>
        <v>0</v>
      </c>
      <c r="AS15" s="209">
        <f>'P &amp; NP'!MM492</f>
        <v>0</v>
      </c>
      <c r="AT15" s="209">
        <f>'P &amp; NP'!MN492</f>
        <v>0</v>
      </c>
      <c r="AU15" s="209">
        <f>'P &amp; NP'!NC492</f>
        <v>0</v>
      </c>
      <c r="AV15" s="209">
        <f>'P &amp; NP'!ND492</f>
        <v>0</v>
      </c>
      <c r="AW15" s="209">
        <f>'P &amp; NP'!NS492</f>
        <v>0</v>
      </c>
      <c r="AX15" s="209">
        <f>'P &amp; NP'!NT492</f>
        <v>0</v>
      </c>
      <c r="AY15" s="209">
        <f>'P &amp; NP'!OI492</f>
        <v>0</v>
      </c>
      <c r="AZ15" s="209">
        <f>'P &amp; NP'!OJ492</f>
        <v>0</v>
      </c>
      <c r="BA15" s="209">
        <f>'P &amp; NP'!OY492</f>
        <v>0</v>
      </c>
      <c r="BB15" s="209">
        <f>'P &amp; NP'!OZ492</f>
        <v>0</v>
      </c>
      <c r="BC15" s="209">
        <f>'P &amp; NP'!PO492</f>
        <v>0</v>
      </c>
      <c r="BD15" s="209">
        <f>'P &amp; NP'!PP492</f>
        <v>0</v>
      </c>
      <c r="BE15" s="209">
        <f>'P &amp; NP'!QE492</f>
        <v>0</v>
      </c>
      <c r="BF15" s="209">
        <f>'P &amp; NP'!QF492</f>
        <v>0</v>
      </c>
      <c r="BG15" s="209">
        <f>'P &amp; NP'!QU492</f>
        <v>0</v>
      </c>
      <c r="BH15" s="209">
        <f>'P &amp; NP'!QV492</f>
        <v>0</v>
      </c>
      <c r="BI15" s="209">
        <f>'P &amp; NP'!RK492</f>
        <v>0</v>
      </c>
      <c r="BJ15" s="209">
        <f>'P &amp; NP'!RL492</f>
        <v>0</v>
      </c>
      <c r="BK15" s="209">
        <f>'P &amp; NP'!SA492</f>
        <v>0</v>
      </c>
      <c r="BL15" s="209">
        <f>'P &amp; NP'!SB492</f>
        <v>0</v>
      </c>
      <c r="BM15" s="209">
        <f>'P &amp; NP'!SQ492</f>
        <v>0</v>
      </c>
      <c r="BN15" s="209">
        <f>'P &amp; NP'!SR492</f>
        <v>0</v>
      </c>
      <c r="BO15" s="209">
        <f>'P &amp; NP'!TG492</f>
        <v>0</v>
      </c>
      <c r="BP15" s="209">
        <f>'P &amp; NP'!TH492</f>
        <v>0</v>
      </c>
      <c r="BQ15" s="209">
        <f>'P &amp; NP'!TW492</f>
        <v>0</v>
      </c>
      <c r="BR15" s="209">
        <f>'P &amp; NP'!TX492</f>
        <v>0</v>
      </c>
      <c r="BS15" s="209">
        <f>'P &amp; NP'!UM492</f>
        <v>0</v>
      </c>
      <c r="BT15" s="209">
        <f>'P &amp; NP'!UN492</f>
        <v>0</v>
      </c>
      <c r="BU15" s="209">
        <f>'P &amp; NP'!VC492</f>
        <v>0</v>
      </c>
      <c r="BV15" s="209">
        <f>'P &amp; NP'!VD492</f>
        <v>0</v>
      </c>
      <c r="BW15" s="209">
        <f>'P &amp; NP'!VS492</f>
        <v>0</v>
      </c>
      <c r="BX15" s="209">
        <f>'P &amp; NP'!VT492</f>
        <v>0</v>
      </c>
      <c r="BY15" s="209">
        <f>'P &amp; NP'!WI492</f>
        <v>0</v>
      </c>
      <c r="BZ15" s="209">
        <f>'P &amp; NP'!WJ492</f>
        <v>0</v>
      </c>
      <c r="CB15" s="206">
        <f t="shared" si="3"/>
        <v>0</v>
      </c>
      <c r="CC15" s="206">
        <f t="shared" si="3"/>
        <v>0</v>
      </c>
    </row>
    <row r="16" spans="1:81">
      <c r="B16" s="207" t="str">
        <f>'P &amp; NP'!B22</f>
        <v>Kepiting  Bakau</v>
      </c>
      <c r="C16" s="206">
        <f>'P &amp; NP'!O493</f>
        <v>0</v>
      </c>
      <c r="D16" s="206">
        <f>'P &amp; NP'!P493</f>
        <v>0</v>
      </c>
      <c r="E16" s="206">
        <f>'P &amp; NP'!AE493</f>
        <v>0</v>
      </c>
      <c r="F16" s="206">
        <f>'P &amp; NP'!AF493</f>
        <v>0</v>
      </c>
      <c r="G16" s="206">
        <f>'P &amp; NP'!AU493</f>
        <v>0</v>
      </c>
      <c r="H16" s="206">
        <f>'P &amp; NP'!AV493</f>
        <v>0</v>
      </c>
      <c r="I16" s="206">
        <f>'P &amp; NP'!BK493</f>
        <v>0</v>
      </c>
      <c r="J16" s="206">
        <f>'P &amp; NP'!BL493</f>
        <v>0</v>
      </c>
      <c r="K16" s="206">
        <f>'P &amp; NP'!CA493</f>
        <v>0</v>
      </c>
      <c r="L16" s="206">
        <f>'P &amp; NP'!CB493</f>
        <v>0</v>
      </c>
      <c r="M16" s="206">
        <f>'P &amp; NP'!CQ493</f>
        <v>0</v>
      </c>
      <c r="N16" s="206">
        <f>'P &amp; NP'!CR493</f>
        <v>0</v>
      </c>
      <c r="O16" s="206">
        <f>'P &amp; NP'!DG493</f>
        <v>0</v>
      </c>
      <c r="P16" s="206">
        <f>'P &amp; NP'!DH493</f>
        <v>0</v>
      </c>
      <c r="Q16" s="206">
        <f>'P &amp; NP'!DW493</f>
        <v>0</v>
      </c>
      <c r="R16" s="206">
        <f>'P &amp; NP'!DX493</f>
        <v>0</v>
      </c>
      <c r="S16" s="206">
        <f>'P &amp; NP'!EM493</f>
        <v>0</v>
      </c>
      <c r="T16" s="206">
        <f>'P &amp; NP'!EN493</f>
        <v>0</v>
      </c>
      <c r="U16" s="206">
        <f>'P &amp; NP'!FC493</f>
        <v>0</v>
      </c>
      <c r="V16" s="206">
        <f>'P &amp; NP'!FD493</f>
        <v>0</v>
      </c>
      <c r="W16" s="206">
        <f>'P &amp; NP'!FS493</f>
        <v>0</v>
      </c>
      <c r="X16" s="206">
        <f>'P &amp; NP'!FT493</f>
        <v>0</v>
      </c>
      <c r="Y16" s="206">
        <f>'P &amp; NP'!GI493</f>
        <v>0</v>
      </c>
      <c r="Z16" s="206">
        <f>'P &amp; NP'!GJ493</f>
        <v>0</v>
      </c>
      <c r="AA16" s="206">
        <f>'P &amp; NP'!GY493</f>
        <v>0</v>
      </c>
      <c r="AB16" s="206">
        <f>'P &amp; NP'!GZ493</f>
        <v>0</v>
      </c>
      <c r="AC16" s="206">
        <f>'P &amp; NP'!HO493</f>
        <v>0</v>
      </c>
      <c r="AD16" s="206">
        <f>'P &amp; NP'!HP493</f>
        <v>0</v>
      </c>
      <c r="AE16" s="206">
        <f>'P &amp; NP'!IE493</f>
        <v>0</v>
      </c>
      <c r="AF16" s="206">
        <f>'P &amp; NP'!IF493</f>
        <v>0</v>
      </c>
      <c r="AG16" s="206">
        <f>'P &amp; NP'!IU493</f>
        <v>0</v>
      </c>
      <c r="AH16" s="206">
        <f>'P &amp; NP'!IV493</f>
        <v>0</v>
      </c>
      <c r="AI16" s="206">
        <f>'P &amp; NP'!JK493</f>
        <v>0</v>
      </c>
      <c r="AJ16" s="206">
        <f>'P &amp; NP'!JL493</f>
        <v>0</v>
      </c>
      <c r="AK16" s="206">
        <f>'P &amp; NP'!KA493</f>
        <v>0</v>
      </c>
      <c r="AL16" s="206">
        <f>'P &amp; NP'!KB493</f>
        <v>0</v>
      </c>
      <c r="AM16" s="209">
        <f>'P &amp; NP'!KQ493</f>
        <v>0</v>
      </c>
      <c r="AN16" s="209">
        <f>'P &amp; NP'!KR493</f>
        <v>0</v>
      </c>
      <c r="AO16" s="209">
        <f>'P &amp; NP'!LG493</f>
        <v>0</v>
      </c>
      <c r="AP16" s="209">
        <f>'P &amp; NP'!LH493</f>
        <v>0</v>
      </c>
      <c r="AQ16" s="209">
        <f>'P &amp; NP'!LW493</f>
        <v>0</v>
      </c>
      <c r="AR16" s="209">
        <f>'P &amp; NP'!LX493</f>
        <v>0</v>
      </c>
      <c r="AS16" s="209">
        <f>'P &amp; NP'!MM493</f>
        <v>0</v>
      </c>
      <c r="AT16" s="209">
        <f>'P &amp; NP'!MN493</f>
        <v>0</v>
      </c>
      <c r="AU16" s="209">
        <f>'P &amp; NP'!NC493</f>
        <v>0</v>
      </c>
      <c r="AV16" s="209">
        <f>'P &amp; NP'!ND493</f>
        <v>0</v>
      </c>
      <c r="AW16" s="209">
        <f>'P &amp; NP'!NS493</f>
        <v>0</v>
      </c>
      <c r="AX16" s="209">
        <f>'P &amp; NP'!NT493</f>
        <v>0</v>
      </c>
      <c r="AY16" s="209">
        <f>'P &amp; NP'!OI493</f>
        <v>0</v>
      </c>
      <c r="AZ16" s="209">
        <f>'P &amp; NP'!OJ493</f>
        <v>0</v>
      </c>
      <c r="BA16" s="209">
        <f>'P &amp; NP'!OY493</f>
        <v>0</v>
      </c>
      <c r="BB16" s="209">
        <f>'P &amp; NP'!OZ493</f>
        <v>0</v>
      </c>
      <c r="BC16" s="209">
        <f>'P &amp; NP'!PO493</f>
        <v>0</v>
      </c>
      <c r="BD16" s="209">
        <f>'P &amp; NP'!PP493</f>
        <v>0</v>
      </c>
      <c r="BE16" s="209">
        <f>'P &amp; NP'!QE493</f>
        <v>0</v>
      </c>
      <c r="BF16" s="209">
        <f>'P &amp; NP'!QF493</f>
        <v>0</v>
      </c>
      <c r="BG16" s="209">
        <f>'P &amp; NP'!QU493</f>
        <v>0</v>
      </c>
      <c r="BH16" s="209">
        <f>'P &amp; NP'!QV493</f>
        <v>0</v>
      </c>
      <c r="BI16" s="209">
        <f>'P &amp; NP'!RK493</f>
        <v>0</v>
      </c>
      <c r="BJ16" s="209">
        <f>'P &amp; NP'!RL493</f>
        <v>0</v>
      </c>
      <c r="BK16" s="209">
        <f>'P &amp; NP'!SA493</f>
        <v>0</v>
      </c>
      <c r="BL16" s="209">
        <f>'P &amp; NP'!SB493</f>
        <v>0</v>
      </c>
      <c r="BM16" s="209">
        <f>'P &amp; NP'!SQ493</f>
        <v>0</v>
      </c>
      <c r="BN16" s="209">
        <f>'P &amp; NP'!SR493</f>
        <v>0</v>
      </c>
      <c r="BO16" s="209">
        <f>'P &amp; NP'!TG493</f>
        <v>0</v>
      </c>
      <c r="BP16" s="209">
        <f>'P &amp; NP'!TH493</f>
        <v>0</v>
      </c>
      <c r="BQ16" s="209">
        <f>'P &amp; NP'!TW493</f>
        <v>0</v>
      </c>
      <c r="BR16" s="209">
        <f>'P &amp; NP'!TX493</f>
        <v>0</v>
      </c>
      <c r="BS16" s="209">
        <f>'P &amp; NP'!UM493</f>
        <v>0</v>
      </c>
      <c r="BT16" s="209">
        <f>'P &amp; NP'!UN493</f>
        <v>0</v>
      </c>
      <c r="BU16" s="209">
        <f>'P &amp; NP'!VC493</f>
        <v>0</v>
      </c>
      <c r="BV16" s="209">
        <f>'P &amp; NP'!VD493</f>
        <v>0</v>
      </c>
      <c r="BW16" s="209">
        <f>'P &amp; NP'!VS493</f>
        <v>0</v>
      </c>
      <c r="BX16" s="209">
        <f>'P &amp; NP'!VT493</f>
        <v>0</v>
      </c>
      <c r="BY16" s="209">
        <f>'P &amp; NP'!WI493</f>
        <v>0</v>
      </c>
      <c r="BZ16" s="209">
        <f>'P &amp; NP'!WJ493</f>
        <v>0</v>
      </c>
      <c r="CB16" s="206">
        <f t="shared" si="3"/>
        <v>0</v>
      </c>
      <c r="CC16" s="206">
        <f t="shared" si="3"/>
        <v>0</v>
      </c>
    </row>
    <row r="17" spans="2:81">
      <c r="B17" s="207" t="str">
        <f>'P &amp; NP'!B23</f>
        <v xml:space="preserve">Kerang Hijau </v>
      </c>
      <c r="C17" s="206">
        <f>'P &amp; NP'!O494</f>
        <v>0</v>
      </c>
      <c r="D17" s="206">
        <f>'P &amp; NP'!P494</f>
        <v>0</v>
      </c>
      <c r="E17" s="206">
        <f>'P &amp; NP'!AE494</f>
        <v>0</v>
      </c>
      <c r="F17" s="206">
        <f>'P &amp; NP'!AF494</f>
        <v>0</v>
      </c>
      <c r="G17" s="206">
        <f>'P &amp; NP'!AU494</f>
        <v>0</v>
      </c>
      <c r="H17" s="206">
        <f>'P &amp; NP'!AV494</f>
        <v>0</v>
      </c>
      <c r="I17" s="206">
        <f>'P &amp; NP'!BK494</f>
        <v>0</v>
      </c>
      <c r="J17" s="206">
        <f>'P &amp; NP'!BL494</f>
        <v>0</v>
      </c>
      <c r="K17" s="206">
        <f>'P &amp; NP'!CA494</f>
        <v>0</v>
      </c>
      <c r="L17" s="206">
        <f>'P &amp; NP'!CB494</f>
        <v>0</v>
      </c>
      <c r="M17" s="206">
        <f>'P &amp; NP'!CQ494</f>
        <v>0</v>
      </c>
      <c r="N17" s="206">
        <f>'P &amp; NP'!CR494</f>
        <v>0</v>
      </c>
      <c r="O17" s="206">
        <f>'P &amp; NP'!DG494</f>
        <v>0</v>
      </c>
      <c r="P17" s="206">
        <f>'P &amp; NP'!DH494</f>
        <v>0</v>
      </c>
      <c r="Q17" s="206">
        <f>'P &amp; NP'!DW494</f>
        <v>0</v>
      </c>
      <c r="R17" s="206">
        <f>'P &amp; NP'!DX494</f>
        <v>0</v>
      </c>
      <c r="S17" s="206">
        <f>'P &amp; NP'!EM494</f>
        <v>0</v>
      </c>
      <c r="T17" s="206">
        <f>'P &amp; NP'!EN494</f>
        <v>0</v>
      </c>
      <c r="U17" s="206">
        <f>'P &amp; NP'!FC494</f>
        <v>0</v>
      </c>
      <c r="V17" s="206">
        <f>'P &amp; NP'!FD494</f>
        <v>0</v>
      </c>
      <c r="W17" s="206">
        <f>'P &amp; NP'!FS494</f>
        <v>0</v>
      </c>
      <c r="X17" s="206">
        <f>'P &amp; NP'!FT494</f>
        <v>0</v>
      </c>
      <c r="Y17" s="206">
        <f>'P &amp; NP'!GI494</f>
        <v>0</v>
      </c>
      <c r="Z17" s="206">
        <f>'P &amp; NP'!GJ494</f>
        <v>0</v>
      </c>
      <c r="AA17" s="206">
        <f>'P &amp; NP'!GY494</f>
        <v>0</v>
      </c>
      <c r="AB17" s="206">
        <f>'P &amp; NP'!GZ494</f>
        <v>0</v>
      </c>
      <c r="AC17" s="206">
        <f>'P &amp; NP'!HO494</f>
        <v>0</v>
      </c>
      <c r="AD17" s="206">
        <f>'P &amp; NP'!HP494</f>
        <v>0</v>
      </c>
      <c r="AE17" s="206">
        <f>'P &amp; NP'!IE494</f>
        <v>0</v>
      </c>
      <c r="AF17" s="206">
        <f>'P &amp; NP'!IF494</f>
        <v>0</v>
      </c>
      <c r="AG17" s="206">
        <f>'P &amp; NP'!IU494</f>
        <v>0</v>
      </c>
      <c r="AH17" s="206">
        <f>'P &amp; NP'!IV494</f>
        <v>0</v>
      </c>
      <c r="AI17" s="206">
        <f>'P &amp; NP'!JK494</f>
        <v>0</v>
      </c>
      <c r="AJ17" s="206">
        <f>'P &amp; NP'!JL494</f>
        <v>0</v>
      </c>
      <c r="AK17" s="206">
        <f>'P &amp; NP'!KA494</f>
        <v>0</v>
      </c>
      <c r="AL17" s="206">
        <f>'P &amp; NP'!KB494</f>
        <v>0</v>
      </c>
      <c r="AM17" s="209">
        <f>'P &amp; NP'!KQ494</f>
        <v>0</v>
      </c>
      <c r="AN17" s="209">
        <f>'P &amp; NP'!KR494</f>
        <v>0</v>
      </c>
      <c r="AO17" s="209">
        <f>'P &amp; NP'!LG494</f>
        <v>0</v>
      </c>
      <c r="AP17" s="209">
        <f>'P &amp; NP'!LH494</f>
        <v>0</v>
      </c>
      <c r="AQ17" s="209">
        <f>'P &amp; NP'!LW494</f>
        <v>0</v>
      </c>
      <c r="AR17" s="209">
        <f>'P &amp; NP'!LX494</f>
        <v>0</v>
      </c>
      <c r="AS17" s="209">
        <f>'P &amp; NP'!MM494</f>
        <v>0</v>
      </c>
      <c r="AT17" s="209">
        <f>'P &amp; NP'!MN494</f>
        <v>0</v>
      </c>
      <c r="AU17" s="209">
        <f>'P &amp; NP'!NC494</f>
        <v>0</v>
      </c>
      <c r="AV17" s="209">
        <f>'P &amp; NP'!ND494</f>
        <v>0</v>
      </c>
      <c r="AW17" s="209">
        <f>'P &amp; NP'!NS494</f>
        <v>0</v>
      </c>
      <c r="AX17" s="209">
        <f>'P &amp; NP'!NT494</f>
        <v>0</v>
      </c>
      <c r="AY17" s="209">
        <f>'P &amp; NP'!OI494</f>
        <v>0</v>
      </c>
      <c r="AZ17" s="209">
        <f>'P &amp; NP'!OJ494</f>
        <v>0</v>
      </c>
      <c r="BA17" s="209">
        <f>'P &amp; NP'!OY494</f>
        <v>0</v>
      </c>
      <c r="BB17" s="209">
        <f>'P &amp; NP'!OZ494</f>
        <v>0</v>
      </c>
      <c r="BC17" s="209">
        <f>'P &amp; NP'!PO494</f>
        <v>0</v>
      </c>
      <c r="BD17" s="209">
        <f>'P &amp; NP'!PP494</f>
        <v>0</v>
      </c>
      <c r="BE17" s="209">
        <f>'P &amp; NP'!QE494</f>
        <v>0</v>
      </c>
      <c r="BF17" s="209">
        <f>'P &amp; NP'!QF494</f>
        <v>0</v>
      </c>
      <c r="BG17" s="209">
        <f>'P &amp; NP'!QU494</f>
        <v>0</v>
      </c>
      <c r="BH17" s="209">
        <f>'P &amp; NP'!QV494</f>
        <v>0</v>
      </c>
      <c r="BI17" s="209">
        <f>'P &amp; NP'!RK494</f>
        <v>0</v>
      </c>
      <c r="BJ17" s="209">
        <f>'P &amp; NP'!RL494</f>
        <v>0</v>
      </c>
      <c r="BK17" s="209">
        <f>'P &amp; NP'!SA494</f>
        <v>0</v>
      </c>
      <c r="BL17" s="209">
        <f>'P &amp; NP'!SB494</f>
        <v>0</v>
      </c>
      <c r="BM17" s="209">
        <f>'P &amp; NP'!SQ494</f>
        <v>0</v>
      </c>
      <c r="BN17" s="209">
        <f>'P &amp; NP'!SR494</f>
        <v>0</v>
      </c>
      <c r="BO17" s="209">
        <f>'P &amp; NP'!TG494</f>
        <v>0</v>
      </c>
      <c r="BP17" s="209">
        <f>'P &amp; NP'!TH494</f>
        <v>0</v>
      </c>
      <c r="BQ17" s="209">
        <f>'P &amp; NP'!TW494</f>
        <v>0</v>
      </c>
      <c r="BR17" s="209">
        <f>'P &amp; NP'!TX494</f>
        <v>0</v>
      </c>
      <c r="BS17" s="209">
        <f>'P &amp; NP'!UM494</f>
        <v>0</v>
      </c>
      <c r="BT17" s="209">
        <f>'P &amp; NP'!UN494</f>
        <v>0</v>
      </c>
      <c r="BU17" s="209">
        <f>'P &amp; NP'!VC494</f>
        <v>0</v>
      </c>
      <c r="BV17" s="209">
        <f>'P &amp; NP'!VD494</f>
        <v>0</v>
      </c>
      <c r="BW17" s="209">
        <f>'P &amp; NP'!VS494</f>
        <v>0</v>
      </c>
      <c r="BX17" s="209">
        <f>'P &amp; NP'!VT494</f>
        <v>0</v>
      </c>
      <c r="BY17" s="209">
        <f>'P &amp; NP'!WI494</f>
        <v>0</v>
      </c>
      <c r="BZ17" s="209">
        <f>'P &amp; NP'!WJ494</f>
        <v>0</v>
      </c>
      <c r="CB17" s="206">
        <f t="shared" si="3"/>
        <v>0</v>
      </c>
      <c r="CC17" s="206">
        <f t="shared" si="3"/>
        <v>0</v>
      </c>
    </row>
    <row r="18" spans="2:81">
      <c r="B18" s="207" t="str">
        <f>'P &amp; NP'!B24</f>
        <v>Kerapu Cantang</v>
      </c>
      <c r="C18" s="206">
        <f>'P &amp; NP'!O495</f>
        <v>0</v>
      </c>
      <c r="D18" s="206">
        <f>'P &amp; NP'!P495</f>
        <v>0</v>
      </c>
      <c r="E18" s="206">
        <f>'P &amp; NP'!AE495</f>
        <v>0</v>
      </c>
      <c r="F18" s="206">
        <f>'P &amp; NP'!AF495</f>
        <v>0</v>
      </c>
      <c r="G18" s="206">
        <f>'P &amp; NP'!AU495</f>
        <v>0</v>
      </c>
      <c r="H18" s="206">
        <f>'P &amp; NP'!AV495</f>
        <v>0</v>
      </c>
      <c r="I18" s="206">
        <f>'P &amp; NP'!BK495</f>
        <v>0</v>
      </c>
      <c r="J18" s="206">
        <f>'P &amp; NP'!BL495</f>
        <v>0</v>
      </c>
      <c r="K18" s="206">
        <f>'P &amp; NP'!CA495</f>
        <v>0</v>
      </c>
      <c r="L18" s="206">
        <f>'P &amp; NP'!CB495</f>
        <v>0</v>
      </c>
      <c r="M18" s="206">
        <f>'P &amp; NP'!CQ495</f>
        <v>0</v>
      </c>
      <c r="N18" s="206">
        <f>'P &amp; NP'!CR495</f>
        <v>0</v>
      </c>
      <c r="O18" s="206">
        <f>'P &amp; NP'!DG495</f>
        <v>0</v>
      </c>
      <c r="P18" s="206">
        <f>'P &amp; NP'!DH495</f>
        <v>0</v>
      </c>
      <c r="Q18" s="206">
        <f>'P &amp; NP'!DW495</f>
        <v>0</v>
      </c>
      <c r="R18" s="206">
        <f>'P &amp; NP'!DX495</f>
        <v>0</v>
      </c>
      <c r="S18" s="206">
        <f>'P &amp; NP'!EM495</f>
        <v>0</v>
      </c>
      <c r="T18" s="206">
        <f>'P &amp; NP'!EN495</f>
        <v>0</v>
      </c>
      <c r="U18" s="206">
        <f>'P &amp; NP'!FC495</f>
        <v>0</v>
      </c>
      <c r="V18" s="206">
        <f>'P &amp; NP'!FD495</f>
        <v>0</v>
      </c>
      <c r="W18" s="206">
        <f>'P &amp; NP'!FS495</f>
        <v>0</v>
      </c>
      <c r="X18" s="206">
        <f>'P &amp; NP'!FT495</f>
        <v>0</v>
      </c>
      <c r="Y18" s="206">
        <f>'P &amp; NP'!GI495</f>
        <v>0</v>
      </c>
      <c r="Z18" s="206">
        <f>'P &amp; NP'!GJ495</f>
        <v>0</v>
      </c>
      <c r="AA18" s="206">
        <f>'P &amp; NP'!GY495</f>
        <v>0</v>
      </c>
      <c r="AB18" s="206">
        <f>'P &amp; NP'!GZ495</f>
        <v>0</v>
      </c>
      <c r="AC18" s="206">
        <f>'P &amp; NP'!HO495</f>
        <v>0</v>
      </c>
      <c r="AD18" s="206">
        <f>'P &amp; NP'!HP495</f>
        <v>0</v>
      </c>
      <c r="AE18" s="206">
        <f>'P &amp; NP'!IE495</f>
        <v>0</v>
      </c>
      <c r="AF18" s="206">
        <f>'P &amp; NP'!IF495</f>
        <v>0</v>
      </c>
      <c r="AG18" s="206">
        <f>'P &amp; NP'!IU495</f>
        <v>0</v>
      </c>
      <c r="AH18" s="206">
        <f>'P &amp; NP'!IV495</f>
        <v>0</v>
      </c>
      <c r="AI18" s="206">
        <f>'P &amp; NP'!JK495</f>
        <v>0</v>
      </c>
      <c r="AJ18" s="206">
        <f>'P &amp; NP'!JL495</f>
        <v>0</v>
      </c>
      <c r="AK18" s="206">
        <f>'P &amp; NP'!KA495</f>
        <v>0</v>
      </c>
      <c r="AL18" s="206">
        <f>'P &amp; NP'!KB495</f>
        <v>0</v>
      </c>
      <c r="AM18" s="209">
        <f>'P &amp; NP'!KQ495</f>
        <v>0</v>
      </c>
      <c r="AN18" s="209">
        <f>'P &amp; NP'!KR495</f>
        <v>0</v>
      </c>
      <c r="AO18" s="209">
        <f>'P &amp; NP'!LG495</f>
        <v>0</v>
      </c>
      <c r="AP18" s="209">
        <f>'P &amp; NP'!LH495</f>
        <v>0</v>
      </c>
      <c r="AQ18" s="209">
        <f>'P &amp; NP'!LW495</f>
        <v>0</v>
      </c>
      <c r="AR18" s="209">
        <f>'P &amp; NP'!LX495</f>
        <v>0</v>
      </c>
      <c r="AS18" s="209">
        <f>'P &amp; NP'!MM495</f>
        <v>0</v>
      </c>
      <c r="AT18" s="209">
        <f>'P &amp; NP'!MN495</f>
        <v>0</v>
      </c>
      <c r="AU18" s="209">
        <f>'P &amp; NP'!NC495</f>
        <v>0</v>
      </c>
      <c r="AV18" s="209">
        <f>'P &amp; NP'!ND495</f>
        <v>0</v>
      </c>
      <c r="AW18" s="209">
        <f>'P &amp; NP'!NS495</f>
        <v>0</v>
      </c>
      <c r="AX18" s="209">
        <f>'P &amp; NP'!NT495</f>
        <v>0</v>
      </c>
      <c r="AY18" s="209">
        <f>'P &amp; NP'!OI495</f>
        <v>0</v>
      </c>
      <c r="AZ18" s="209">
        <f>'P &amp; NP'!OJ495</f>
        <v>0</v>
      </c>
      <c r="BA18" s="209">
        <f>'P &amp; NP'!OY495</f>
        <v>0</v>
      </c>
      <c r="BB18" s="209">
        <f>'P &amp; NP'!OZ495</f>
        <v>0</v>
      </c>
      <c r="BC18" s="209">
        <f>'P &amp; NP'!PO495</f>
        <v>0</v>
      </c>
      <c r="BD18" s="209">
        <f>'P &amp; NP'!PP495</f>
        <v>0</v>
      </c>
      <c r="BE18" s="209">
        <f>'P &amp; NP'!QE495</f>
        <v>0</v>
      </c>
      <c r="BF18" s="209">
        <f>'P &amp; NP'!QF495</f>
        <v>0</v>
      </c>
      <c r="BG18" s="209">
        <f>'P &amp; NP'!QU495</f>
        <v>0</v>
      </c>
      <c r="BH18" s="209">
        <f>'P &amp; NP'!QV495</f>
        <v>0</v>
      </c>
      <c r="BI18" s="209">
        <f>'P &amp; NP'!RK495</f>
        <v>0</v>
      </c>
      <c r="BJ18" s="209">
        <f>'P &amp; NP'!RL495</f>
        <v>0</v>
      </c>
      <c r="BK18" s="209">
        <f>'P &amp; NP'!SA495</f>
        <v>0</v>
      </c>
      <c r="BL18" s="209">
        <f>'P &amp; NP'!SB495</f>
        <v>0</v>
      </c>
      <c r="BM18" s="209">
        <f>'P &amp; NP'!SQ495</f>
        <v>0</v>
      </c>
      <c r="BN18" s="209">
        <f>'P &amp; NP'!SR495</f>
        <v>0</v>
      </c>
      <c r="BO18" s="209">
        <f>'P &amp; NP'!TG495</f>
        <v>0</v>
      </c>
      <c r="BP18" s="209">
        <f>'P &amp; NP'!TH495</f>
        <v>0</v>
      </c>
      <c r="BQ18" s="209">
        <f>'P &amp; NP'!TW495</f>
        <v>0</v>
      </c>
      <c r="BR18" s="209">
        <f>'P &amp; NP'!TX495</f>
        <v>0</v>
      </c>
      <c r="BS18" s="209">
        <f>'P &amp; NP'!UM495</f>
        <v>0</v>
      </c>
      <c r="BT18" s="209">
        <f>'P &amp; NP'!UN495</f>
        <v>0</v>
      </c>
      <c r="BU18" s="209">
        <f>'P &amp; NP'!VC495</f>
        <v>0</v>
      </c>
      <c r="BV18" s="209">
        <f>'P &amp; NP'!VD495</f>
        <v>0</v>
      </c>
      <c r="BW18" s="209">
        <f>'P &amp; NP'!VS495</f>
        <v>0</v>
      </c>
      <c r="BX18" s="209">
        <f>'P &amp; NP'!VT495</f>
        <v>0</v>
      </c>
      <c r="BY18" s="209">
        <f>'P &amp; NP'!WI495</f>
        <v>0</v>
      </c>
      <c r="BZ18" s="209">
        <f>'P &amp; NP'!WJ495</f>
        <v>0</v>
      </c>
      <c r="CB18" s="206">
        <f t="shared" si="3"/>
        <v>0</v>
      </c>
      <c r="CC18" s="206">
        <f t="shared" si="3"/>
        <v>0</v>
      </c>
    </row>
    <row r="19" spans="2:81">
      <c r="B19" s="207" t="str">
        <f>'P &amp; NP'!B25</f>
        <v>Kerapu Macan</v>
      </c>
      <c r="C19" s="206">
        <f>'P &amp; NP'!O496</f>
        <v>0</v>
      </c>
      <c r="D19" s="206">
        <f>'P &amp; NP'!P496</f>
        <v>0</v>
      </c>
      <c r="E19" s="206">
        <f>'P &amp; NP'!AE496</f>
        <v>0</v>
      </c>
      <c r="F19" s="206">
        <f>'P &amp; NP'!AF496</f>
        <v>0</v>
      </c>
      <c r="G19" s="206">
        <f>'P &amp; NP'!AU496</f>
        <v>0</v>
      </c>
      <c r="H19" s="206">
        <f>'P &amp; NP'!AV496</f>
        <v>0</v>
      </c>
      <c r="I19" s="206">
        <f>'P &amp; NP'!BK496</f>
        <v>0</v>
      </c>
      <c r="J19" s="206">
        <f>'P &amp; NP'!BL496</f>
        <v>0</v>
      </c>
      <c r="K19" s="206">
        <f>'P &amp; NP'!CA496</f>
        <v>0</v>
      </c>
      <c r="L19" s="206">
        <f>'P &amp; NP'!CB496</f>
        <v>0</v>
      </c>
      <c r="M19" s="206">
        <f>'P &amp; NP'!CQ496</f>
        <v>0</v>
      </c>
      <c r="N19" s="206">
        <f>'P &amp; NP'!CR496</f>
        <v>0</v>
      </c>
      <c r="O19" s="206">
        <f>'P &amp; NP'!DG496</f>
        <v>0</v>
      </c>
      <c r="P19" s="206">
        <f>'P &amp; NP'!DH496</f>
        <v>0</v>
      </c>
      <c r="Q19" s="206">
        <f>'P &amp; NP'!DW496</f>
        <v>0</v>
      </c>
      <c r="R19" s="206">
        <f>'P &amp; NP'!DX496</f>
        <v>0</v>
      </c>
      <c r="S19" s="206">
        <f>'P &amp; NP'!EM496</f>
        <v>0</v>
      </c>
      <c r="T19" s="206">
        <f>'P &amp; NP'!EN496</f>
        <v>0</v>
      </c>
      <c r="U19" s="206">
        <f>'P &amp; NP'!FC496</f>
        <v>0</v>
      </c>
      <c r="V19" s="206">
        <f>'P &amp; NP'!FD496</f>
        <v>0</v>
      </c>
      <c r="W19" s="206">
        <f>'P &amp; NP'!FS496</f>
        <v>0</v>
      </c>
      <c r="X19" s="206">
        <f>'P &amp; NP'!FT496</f>
        <v>0</v>
      </c>
      <c r="Y19" s="206">
        <f>'P &amp; NP'!GI496</f>
        <v>0</v>
      </c>
      <c r="Z19" s="206">
        <f>'P &amp; NP'!GJ496</f>
        <v>0</v>
      </c>
      <c r="AA19" s="206">
        <f>'P &amp; NP'!GY496</f>
        <v>0</v>
      </c>
      <c r="AB19" s="206">
        <f>'P &amp; NP'!GZ496</f>
        <v>0</v>
      </c>
      <c r="AC19" s="206">
        <f>'P &amp; NP'!HO496</f>
        <v>0</v>
      </c>
      <c r="AD19" s="206">
        <f>'P &amp; NP'!HP496</f>
        <v>0</v>
      </c>
      <c r="AE19" s="206">
        <f>'P &amp; NP'!IE496</f>
        <v>0</v>
      </c>
      <c r="AF19" s="206">
        <f>'P &amp; NP'!IF496</f>
        <v>0</v>
      </c>
      <c r="AG19" s="206">
        <f>'P &amp; NP'!IU496</f>
        <v>0</v>
      </c>
      <c r="AH19" s="206">
        <f>'P &amp; NP'!IV496</f>
        <v>0</v>
      </c>
      <c r="AI19" s="206">
        <f>'P &amp; NP'!JK496</f>
        <v>0</v>
      </c>
      <c r="AJ19" s="206">
        <f>'P &amp; NP'!JL496</f>
        <v>0</v>
      </c>
      <c r="AK19" s="206">
        <f>'P &amp; NP'!KA496</f>
        <v>0</v>
      </c>
      <c r="AL19" s="206">
        <f>'P &amp; NP'!KB496</f>
        <v>0</v>
      </c>
      <c r="AM19" s="209">
        <f>'P &amp; NP'!KQ496</f>
        <v>0</v>
      </c>
      <c r="AN19" s="209">
        <f>'P &amp; NP'!KR496</f>
        <v>0</v>
      </c>
      <c r="AO19" s="209">
        <f>'P &amp; NP'!LG496</f>
        <v>0</v>
      </c>
      <c r="AP19" s="209">
        <f>'P &amp; NP'!LH496</f>
        <v>0</v>
      </c>
      <c r="AQ19" s="209">
        <f>'P &amp; NP'!LW496</f>
        <v>0</v>
      </c>
      <c r="AR19" s="209">
        <f>'P &amp; NP'!LX496</f>
        <v>0</v>
      </c>
      <c r="AS19" s="209">
        <f>'P &amp; NP'!MM496</f>
        <v>0</v>
      </c>
      <c r="AT19" s="209">
        <f>'P &amp; NP'!MN496</f>
        <v>0</v>
      </c>
      <c r="AU19" s="209">
        <f>'P &amp; NP'!NC496</f>
        <v>0</v>
      </c>
      <c r="AV19" s="209">
        <f>'P &amp; NP'!ND496</f>
        <v>0</v>
      </c>
      <c r="AW19" s="209">
        <f>'P &amp; NP'!NS496</f>
        <v>0</v>
      </c>
      <c r="AX19" s="209">
        <f>'P &amp; NP'!NT496</f>
        <v>0</v>
      </c>
      <c r="AY19" s="209">
        <f>'P &amp; NP'!OI496</f>
        <v>0</v>
      </c>
      <c r="AZ19" s="209">
        <f>'P &amp; NP'!OJ496</f>
        <v>0</v>
      </c>
      <c r="BA19" s="209">
        <f>'P &amp; NP'!OY496</f>
        <v>0</v>
      </c>
      <c r="BB19" s="209">
        <f>'P &amp; NP'!OZ496</f>
        <v>0</v>
      </c>
      <c r="BC19" s="209">
        <f>'P &amp; NP'!PO496</f>
        <v>0</v>
      </c>
      <c r="BD19" s="209">
        <f>'P &amp; NP'!PP496</f>
        <v>0</v>
      </c>
      <c r="BE19" s="209">
        <f>'P &amp; NP'!QE496</f>
        <v>0</v>
      </c>
      <c r="BF19" s="209">
        <f>'P &amp; NP'!QF496</f>
        <v>0</v>
      </c>
      <c r="BG19" s="209">
        <f>'P &amp; NP'!QU496</f>
        <v>0</v>
      </c>
      <c r="BH19" s="209">
        <f>'P &amp; NP'!QV496</f>
        <v>0</v>
      </c>
      <c r="BI19" s="209">
        <f>'P &amp; NP'!RK496</f>
        <v>0</v>
      </c>
      <c r="BJ19" s="209">
        <f>'P &amp; NP'!RL496</f>
        <v>0</v>
      </c>
      <c r="BK19" s="209">
        <f>'P &amp; NP'!SA496</f>
        <v>0</v>
      </c>
      <c r="BL19" s="209">
        <f>'P &amp; NP'!SB496</f>
        <v>0</v>
      </c>
      <c r="BM19" s="209">
        <f>'P &amp; NP'!SQ496</f>
        <v>0</v>
      </c>
      <c r="BN19" s="209">
        <f>'P &amp; NP'!SR496</f>
        <v>0</v>
      </c>
      <c r="BO19" s="209">
        <f>'P &amp; NP'!TG496</f>
        <v>0</v>
      </c>
      <c r="BP19" s="209">
        <f>'P &amp; NP'!TH496</f>
        <v>0</v>
      </c>
      <c r="BQ19" s="209">
        <f>'P &amp; NP'!TW496</f>
        <v>0</v>
      </c>
      <c r="BR19" s="209">
        <f>'P &amp; NP'!TX496</f>
        <v>0</v>
      </c>
      <c r="BS19" s="209">
        <f>'P &amp; NP'!UM496</f>
        <v>0</v>
      </c>
      <c r="BT19" s="209">
        <f>'P &amp; NP'!UN496</f>
        <v>0</v>
      </c>
      <c r="BU19" s="209">
        <f>'P &amp; NP'!VC496</f>
        <v>0</v>
      </c>
      <c r="BV19" s="209">
        <f>'P &amp; NP'!VD496</f>
        <v>0</v>
      </c>
      <c r="BW19" s="209">
        <f>'P &amp; NP'!VS496</f>
        <v>0</v>
      </c>
      <c r="BX19" s="209">
        <f>'P &amp; NP'!VT496</f>
        <v>0</v>
      </c>
      <c r="BY19" s="209">
        <f>'P &amp; NP'!WI496</f>
        <v>0</v>
      </c>
      <c r="BZ19" s="209">
        <f>'P &amp; NP'!WJ496</f>
        <v>0</v>
      </c>
      <c r="CB19" s="206">
        <f t="shared" si="3"/>
        <v>0</v>
      </c>
      <c r="CC19" s="206">
        <f t="shared" si="3"/>
        <v>0</v>
      </c>
    </row>
    <row r="20" spans="2:81">
      <c r="B20" s="207" t="str">
        <f>'P &amp; NP'!B26</f>
        <v>Kerong Kerong</v>
      </c>
      <c r="C20" s="206">
        <f>'P &amp; NP'!O497</f>
        <v>0</v>
      </c>
      <c r="D20" s="206">
        <f>'P &amp; NP'!P497</f>
        <v>0</v>
      </c>
      <c r="E20" s="206">
        <f>'P &amp; NP'!AE497</f>
        <v>0</v>
      </c>
      <c r="F20" s="206">
        <f>'P &amp; NP'!AF497</f>
        <v>0</v>
      </c>
      <c r="G20" s="206">
        <f>'P &amp; NP'!AU497</f>
        <v>0</v>
      </c>
      <c r="H20" s="206">
        <f>'P &amp; NP'!AV497</f>
        <v>0</v>
      </c>
      <c r="I20" s="206">
        <f>'P &amp; NP'!BK497</f>
        <v>0</v>
      </c>
      <c r="J20" s="206">
        <f>'P &amp; NP'!BL497</f>
        <v>0</v>
      </c>
      <c r="K20" s="206">
        <f>'P &amp; NP'!CA497</f>
        <v>0</v>
      </c>
      <c r="L20" s="206">
        <f>'P &amp; NP'!CB497</f>
        <v>0</v>
      </c>
      <c r="M20" s="206">
        <f>'P &amp; NP'!CQ497</f>
        <v>0</v>
      </c>
      <c r="N20" s="206">
        <f>'P &amp; NP'!CR497</f>
        <v>0</v>
      </c>
      <c r="O20" s="206">
        <f>'P &amp; NP'!DG497</f>
        <v>0</v>
      </c>
      <c r="P20" s="206">
        <f>'P &amp; NP'!DH497</f>
        <v>0</v>
      </c>
      <c r="Q20" s="206">
        <f>'P &amp; NP'!DW497</f>
        <v>0</v>
      </c>
      <c r="R20" s="206">
        <f>'P &amp; NP'!DX497</f>
        <v>0</v>
      </c>
      <c r="S20" s="206">
        <f>'P &amp; NP'!EM497</f>
        <v>0</v>
      </c>
      <c r="T20" s="206">
        <f>'P &amp; NP'!EN497</f>
        <v>0</v>
      </c>
      <c r="U20" s="206">
        <f>'P &amp; NP'!FC497</f>
        <v>0</v>
      </c>
      <c r="V20" s="206">
        <f>'P &amp; NP'!FD497</f>
        <v>0</v>
      </c>
      <c r="W20" s="206">
        <f>'P &amp; NP'!FS497</f>
        <v>0</v>
      </c>
      <c r="X20" s="206">
        <f>'P &amp; NP'!FT497</f>
        <v>0</v>
      </c>
      <c r="Y20" s="206">
        <f>'P &amp; NP'!GI497</f>
        <v>0</v>
      </c>
      <c r="Z20" s="206">
        <f>'P &amp; NP'!GJ497</f>
        <v>0</v>
      </c>
      <c r="AA20" s="206">
        <f>'P &amp; NP'!GY497</f>
        <v>0</v>
      </c>
      <c r="AB20" s="206">
        <f>'P &amp; NP'!GZ497</f>
        <v>0</v>
      </c>
      <c r="AC20" s="206">
        <f>'P &amp; NP'!HO497</f>
        <v>0</v>
      </c>
      <c r="AD20" s="206">
        <f>'P &amp; NP'!HP497</f>
        <v>0</v>
      </c>
      <c r="AE20" s="206">
        <f>'P &amp; NP'!IE497</f>
        <v>0</v>
      </c>
      <c r="AF20" s="206">
        <f>'P &amp; NP'!IF497</f>
        <v>0</v>
      </c>
      <c r="AG20" s="206">
        <f>'P &amp; NP'!IU497</f>
        <v>0</v>
      </c>
      <c r="AH20" s="206">
        <f>'P &amp; NP'!IV497</f>
        <v>0</v>
      </c>
      <c r="AI20" s="206">
        <f>'P &amp; NP'!JK497</f>
        <v>0</v>
      </c>
      <c r="AJ20" s="206">
        <f>'P &amp; NP'!JL497</f>
        <v>0</v>
      </c>
      <c r="AK20" s="206">
        <f>'P &amp; NP'!KA497</f>
        <v>0</v>
      </c>
      <c r="AL20" s="206">
        <f>'P &amp; NP'!KB497</f>
        <v>0</v>
      </c>
      <c r="AM20" s="209">
        <f>'P &amp; NP'!KQ497</f>
        <v>0</v>
      </c>
      <c r="AN20" s="209">
        <f>'P &amp; NP'!KR497</f>
        <v>0</v>
      </c>
      <c r="AO20" s="209">
        <f>'P &amp; NP'!LG497</f>
        <v>0</v>
      </c>
      <c r="AP20" s="209">
        <f>'P &amp; NP'!LH497</f>
        <v>0</v>
      </c>
      <c r="AQ20" s="209">
        <f>'P &amp; NP'!LW497</f>
        <v>0</v>
      </c>
      <c r="AR20" s="209">
        <f>'P &amp; NP'!LX497</f>
        <v>0</v>
      </c>
      <c r="AS20" s="209">
        <f>'P &amp; NP'!MM497</f>
        <v>0</v>
      </c>
      <c r="AT20" s="209">
        <f>'P &amp; NP'!MN497</f>
        <v>0</v>
      </c>
      <c r="AU20" s="209">
        <f>'P &amp; NP'!NC497</f>
        <v>0</v>
      </c>
      <c r="AV20" s="209">
        <f>'P &amp; NP'!ND497</f>
        <v>0</v>
      </c>
      <c r="AW20" s="209">
        <f>'P &amp; NP'!NS497</f>
        <v>0</v>
      </c>
      <c r="AX20" s="209">
        <f>'P &amp; NP'!NT497</f>
        <v>0</v>
      </c>
      <c r="AY20" s="209">
        <f>'P &amp; NP'!OI497</f>
        <v>0</v>
      </c>
      <c r="AZ20" s="209">
        <f>'P &amp; NP'!OJ497</f>
        <v>0</v>
      </c>
      <c r="BA20" s="209">
        <f>'P &amp; NP'!OY497</f>
        <v>0</v>
      </c>
      <c r="BB20" s="209">
        <f>'P &amp; NP'!OZ497</f>
        <v>0</v>
      </c>
      <c r="BC20" s="209">
        <f>'P &amp; NP'!PO497</f>
        <v>0</v>
      </c>
      <c r="BD20" s="209">
        <f>'P &amp; NP'!PP497</f>
        <v>0</v>
      </c>
      <c r="BE20" s="209">
        <f>'P &amp; NP'!QE497</f>
        <v>0</v>
      </c>
      <c r="BF20" s="209">
        <f>'P &amp; NP'!QF497</f>
        <v>0</v>
      </c>
      <c r="BG20" s="209">
        <f>'P &amp; NP'!QU497</f>
        <v>0</v>
      </c>
      <c r="BH20" s="209">
        <f>'P &amp; NP'!QV497</f>
        <v>0</v>
      </c>
      <c r="BI20" s="209">
        <f>'P &amp; NP'!RK497</f>
        <v>0</v>
      </c>
      <c r="BJ20" s="209">
        <f>'P &amp; NP'!RL497</f>
        <v>0</v>
      </c>
      <c r="BK20" s="209">
        <f>'P &amp; NP'!SA497</f>
        <v>0</v>
      </c>
      <c r="BL20" s="209">
        <f>'P &amp; NP'!SB497</f>
        <v>0</v>
      </c>
      <c r="BM20" s="209">
        <f>'P &amp; NP'!SQ497</f>
        <v>0</v>
      </c>
      <c r="BN20" s="209">
        <f>'P &amp; NP'!SR497</f>
        <v>0</v>
      </c>
      <c r="BO20" s="209">
        <f>'P &amp; NP'!TG497</f>
        <v>0</v>
      </c>
      <c r="BP20" s="209">
        <f>'P &amp; NP'!TH497</f>
        <v>0</v>
      </c>
      <c r="BQ20" s="209">
        <f>'P &amp; NP'!TW497</f>
        <v>0</v>
      </c>
      <c r="BR20" s="209">
        <f>'P &amp; NP'!TX497</f>
        <v>0</v>
      </c>
      <c r="BS20" s="209">
        <f>'P &amp; NP'!UM497</f>
        <v>0</v>
      </c>
      <c r="BT20" s="209">
        <f>'P &amp; NP'!UN497</f>
        <v>0</v>
      </c>
      <c r="BU20" s="209">
        <f>'P &amp; NP'!VC497</f>
        <v>0</v>
      </c>
      <c r="BV20" s="209">
        <f>'P &amp; NP'!VD497</f>
        <v>0</v>
      </c>
      <c r="BW20" s="209">
        <f>'P &amp; NP'!VS497</f>
        <v>0</v>
      </c>
      <c r="BX20" s="209">
        <f>'P &amp; NP'!VT497</f>
        <v>0</v>
      </c>
      <c r="BY20" s="209">
        <f>'P &amp; NP'!WI497</f>
        <v>0</v>
      </c>
      <c r="BZ20" s="209">
        <f>'P &amp; NP'!WJ497</f>
        <v>0</v>
      </c>
      <c r="CB20" s="206">
        <f t="shared" si="3"/>
        <v>0</v>
      </c>
      <c r="CC20" s="206">
        <f t="shared" si="3"/>
        <v>0</v>
      </c>
    </row>
    <row r="21" spans="2:81">
      <c r="B21" s="207" t="str">
        <f>'P &amp; NP'!B27</f>
        <v xml:space="preserve">Lele </v>
      </c>
      <c r="C21" s="206">
        <f>'P &amp; NP'!O498</f>
        <v>0</v>
      </c>
      <c r="D21" s="206">
        <f>'P &amp; NP'!P498</f>
        <v>0</v>
      </c>
      <c r="E21" s="206">
        <f>'P &amp; NP'!AE498</f>
        <v>5825</v>
      </c>
      <c r="F21" s="206">
        <f>'P &amp; NP'!AF498</f>
        <v>116500</v>
      </c>
      <c r="G21" s="206">
        <f>'P &amp; NP'!AU498</f>
        <v>0</v>
      </c>
      <c r="H21" s="206">
        <f>'P &amp; NP'!AV498</f>
        <v>0</v>
      </c>
      <c r="I21" s="206">
        <f>'P &amp; NP'!BK498</f>
        <v>0</v>
      </c>
      <c r="J21" s="206">
        <f>'P &amp; NP'!BL498</f>
        <v>0</v>
      </c>
      <c r="K21" s="206">
        <f>'P &amp; NP'!CA498</f>
        <v>0</v>
      </c>
      <c r="L21" s="206">
        <f>'P &amp; NP'!CB498</f>
        <v>0</v>
      </c>
      <c r="M21" s="206">
        <f>'P &amp; NP'!CQ498</f>
        <v>0</v>
      </c>
      <c r="N21" s="206">
        <f>'P &amp; NP'!CR498</f>
        <v>0</v>
      </c>
      <c r="O21" s="206">
        <f>'P &amp; NP'!DG498</f>
        <v>0</v>
      </c>
      <c r="P21" s="206">
        <f>'P &amp; NP'!DH498</f>
        <v>0</v>
      </c>
      <c r="Q21" s="206">
        <f>'P &amp; NP'!DW498</f>
        <v>0</v>
      </c>
      <c r="R21" s="206">
        <f>'P &amp; NP'!DX498</f>
        <v>0</v>
      </c>
      <c r="S21" s="206">
        <f>'P &amp; NP'!EM498</f>
        <v>0</v>
      </c>
      <c r="T21" s="206">
        <f>'P &amp; NP'!EN498</f>
        <v>0</v>
      </c>
      <c r="U21" s="206">
        <f>'P &amp; NP'!FC498</f>
        <v>0</v>
      </c>
      <c r="V21" s="206">
        <f>'P &amp; NP'!FD498</f>
        <v>0</v>
      </c>
      <c r="W21" s="206">
        <f>'P &amp; NP'!FS498</f>
        <v>0</v>
      </c>
      <c r="X21" s="206">
        <f>'P &amp; NP'!FT498</f>
        <v>0</v>
      </c>
      <c r="Y21" s="206">
        <f>'P &amp; NP'!GI498</f>
        <v>0</v>
      </c>
      <c r="Z21" s="206">
        <f>'P &amp; NP'!GJ498</f>
        <v>0</v>
      </c>
      <c r="AA21" s="206">
        <f>'P &amp; NP'!GY498</f>
        <v>0</v>
      </c>
      <c r="AB21" s="206">
        <f>'P &amp; NP'!GZ498</f>
        <v>0</v>
      </c>
      <c r="AC21" s="206">
        <f>'P &amp; NP'!HO498</f>
        <v>0</v>
      </c>
      <c r="AD21" s="206">
        <f>'P &amp; NP'!HP498</f>
        <v>0</v>
      </c>
      <c r="AE21" s="206">
        <f>'P &amp; NP'!IE498</f>
        <v>0</v>
      </c>
      <c r="AF21" s="206">
        <f>'P &amp; NP'!IF498</f>
        <v>0</v>
      </c>
      <c r="AG21" s="206">
        <f>'P &amp; NP'!IU498</f>
        <v>0</v>
      </c>
      <c r="AH21" s="206">
        <f>'P &amp; NP'!IV498</f>
        <v>0</v>
      </c>
      <c r="AI21" s="206">
        <f>'P &amp; NP'!JK498</f>
        <v>0</v>
      </c>
      <c r="AJ21" s="206">
        <f>'P &amp; NP'!JL498</f>
        <v>0</v>
      </c>
      <c r="AK21" s="206">
        <f>'P &amp; NP'!KA498</f>
        <v>0</v>
      </c>
      <c r="AL21" s="206">
        <f>'P &amp; NP'!KB498</f>
        <v>0</v>
      </c>
      <c r="AM21" s="209">
        <f>'P &amp; NP'!KQ498</f>
        <v>0</v>
      </c>
      <c r="AN21" s="209">
        <f>'P &amp; NP'!KR498</f>
        <v>0</v>
      </c>
      <c r="AO21" s="209">
        <f>'P &amp; NP'!LG498</f>
        <v>0</v>
      </c>
      <c r="AP21" s="209">
        <f>'P &amp; NP'!LH498</f>
        <v>0</v>
      </c>
      <c r="AQ21" s="209">
        <f>'P &amp; NP'!LW498</f>
        <v>978</v>
      </c>
      <c r="AR21" s="209">
        <f>'P &amp; NP'!LX498</f>
        <v>31296</v>
      </c>
      <c r="AS21" s="209">
        <f>'P &amp; NP'!MM498</f>
        <v>0</v>
      </c>
      <c r="AT21" s="209">
        <f>'P &amp; NP'!MN498</f>
        <v>0</v>
      </c>
      <c r="AU21" s="209">
        <f>'P &amp; NP'!NC498</f>
        <v>0</v>
      </c>
      <c r="AV21" s="209">
        <f>'P &amp; NP'!ND498</f>
        <v>0</v>
      </c>
      <c r="AW21" s="209">
        <f>'P &amp; NP'!NS498</f>
        <v>0</v>
      </c>
      <c r="AX21" s="209">
        <f>'P &amp; NP'!NT498</f>
        <v>0</v>
      </c>
      <c r="AY21" s="209">
        <f>'P &amp; NP'!OI498</f>
        <v>0</v>
      </c>
      <c r="AZ21" s="209">
        <f>'P &amp; NP'!OJ498</f>
        <v>0</v>
      </c>
      <c r="BA21" s="209">
        <f>'P &amp; NP'!OY498</f>
        <v>0</v>
      </c>
      <c r="BB21" s="209">
        <f>'P &amp; NP'!OZ498</f>
        <v>0</v>
      </c>
      <c r="BC21" s="209">
        <f>'P &amp; NP'!PO498</f>
        <v>0</v>
      </c>
      <c r="BD21" s="209">
        <f>'P &amp; NP'!PP498</f>
        <v>0</v>
      </c>
      <c r="BE21" s="209">
        <f>'P &amp; NP'!QE498</f>
        <v>0</v>
      </c>
      <c r="BF21" s="209">
        <f>'P &amp; NP'!QF498</f>
        <v>0</v>
      </c>
      <c r="BG21" s="209">
        <f>'P &amp; NP'!QU498</f>
        <v>0</v>
      </c>
      <c r="BH21" s="209">
        <f>'P &amp; NP'!QV498</f>
        <v>0</v>
      </c>
      <c r="BI21" s="209">
        <f>'P &amp; NP'!RK498</f>
        <v>0</v>
      </c>
      <c r="BJ21" s="209">
        <f>'P &amp; NP'!RL498</f>
        <v>0</v>
      </c>
      <c r="BK21" s="209">
        <f>'P &amp; NP'!SA498</f>
        <v>0</v>
      </c>
      <c r="BL21" s="209">
        <f>'P &amp; NP'!SB498</f>
        <v>0</v>
      </c>
      <c r="BM21" s="209">
        <f>'P &amp; NP'!SQ498</f>
        <v>0</v>
      </c>
      <c r="BN21" s="209">
        <f>'P &amp; NP'!SR498</f>
        <v>0</v>
      </c>
      <c r="BO21" s="209">
        <f>'P &amp; NP'!TG498</f>
        <v>0</v>
      </c>
      <c r="BP21" s="209">
        <f>'P &amp; NP'!TH498</f>
        <v>0</v>
      </c>
      <c r="BQ21" s="209">
        <f>'P &amp; NP'!TW498</f>
        <v>0</v>
      </c>
      <c r="BR21" s="209">
        <f>'P &amp; NP'!TX498</f>
        <v>0</v>
      </c>
      <c r="BS21" s="209">
        <f>'P &amp; NP'!UM498</f>
        <v>0</v>
      </c>
      <c r="BT21" s="209">
        <f>'P &amp; NP'!UN498</f>
        <v>0</v>
      </c>
      <c r="BU21" s="209">
        <f>'P &amp; NP'!VC498</f>
        <v>0</v>
      </c>
      <c r="BV21" s="209">
        <f>'P &amp; NP'!VD498</f>
        <v>0</v>
      </c>
      <c r="BW21" s="209">
        <f>'P &amp; NP'!VS498</f>
        <v>0</v>
      </c>
      <c r="BX21" s="209">
        <f>'P &amp; NP'!VT498</f>
        <v>0</v>
      </c>
      <c r="BY21" s="209">
        <f>'P &amp; NP'!WI498</f>
        <v>76409</v>
      </c>
      <c r="BZ21" s="209">
        <f>'P &amp; NP'!WJ498</f>
        <v>1604008</v>
      </c>
      <c r="CB21" s="206">
        <f t="shared" si="3"/>
        <v>83212</v>
      </c>
      <c r="CC21" s="206">
        <f t="shared" si="3"/>
        <v>1751804</v>
      </c>
    </row>
    <row r="22" spans="2:81">
      <c r="B22" s="207" t="str">
        <f>'P &amp; NP'!B28</f>
        <v xml:space="preserve">Lobster Air Laut </v>
      </c>
      <c r="C22" s="206">
        <f>'P &amp; NP'!O499</f>
        <v>0</v>
      </c>
      <c r="D22" s="206">
        <f>'P &amp; NP'!P499</f>
        <v>0</v>
      </c>
      <c r="E22" s="206">
        <f>'P &amp; NP'!AE499</f>
        <v>0</v>
      </c>
      <c r="F22" s="206">
        <f>'P &amp; NP'!AF499</f>
        <v>0</v>
      </c>
      <c r="G22" s="206">
        <f>'P &amp; NP'!AU499</f>
        <v>0</v>
      </c>
      <c r="H22" s="206">
        <f>'P &amp; NP'!AV499</f>
        <v>0</v>
      </c>
      <c r="I22" s="206">
        <f>'P &amp; NP'!BK499</f>
        <v>0</v>
      </c>
      <c r="J22" s="206">
        <f>'P &amp; NP'!BL499</f>
        <v>0</v>
      </c>
      <c r="K22" s="206">
        <f>'P &amp; NP'!CA499</f>
        <v>0</v>
      </c>
      <c r="L22" s="206">
        <f>'P &amp; NP'!CB499</f>
        <v>0</v>
      </c>
      <c r="M22" s="206">
        <f>'P &amp; NP'!CQ499</f>
        <v>0</v>
      </c>
      <c r="N22" s="206">
        <f>'P &amp; NP'!CR499</f>
        <v>0</v>
      </c>
      <c r="O22" s="206">
        <f>'P &amp; NP'!DG499</f>
        <v>0</v>
      </c>
      <c r="P22" s="206">
        <f>'P &amp; NP'!DH499</f>
        <v>0</v>
      </c>
      <c r="Q22" s="206">
        <f>'P &amp; NP'!DW499</f>
        <v>0</v>
      </c>
      <c r="R22" s="206">
        <f>'P &amp; NP'!DX499</f>
        <v>0</v>
      </c>
      <c r="S22" s="206">
        <f>'P &amp; NP'!EM499</f>
        <v>0</v>
      </c>
      <c r="T22" s="206">
        <f>'P &amp; NP'!EN499</f>
        <v>0</v>
      </c>
      <c r="U22" s="206">
        <f>'P &amp; NP'!FC499</f>
        <v>0</v>
      </c>
      <c r="V22" s="206">
        <f>'P &amp; NP'!FD499</f>
        <v>0</v>
      </c>
      <c r="W22" s="206">
        <f>'P &amp; NP'!FS499</f>
        <v>0</v>
      </c>
      <c r="X22" s="206">
        <f>'P &amp; NP'!FT499</f>
        <v>0</v>
      </c>
      <c r="Y22" s="206">
        <f>'P &amp; NP'!GI499</f>
        <v>0</v>
      </c>
      <c r="Z22" s="206">
        <f>'P &amp; NP'!GJ499</f>
        <v>0</v>
      </c>
      <c r="AA22" s="206">
        <f>'P &amp; NP'!GY499</f>
        <v>0</v>
      </c>
      <c r="AB22" s="206">
        <f>'P &amp; NP'!GZ499</f>
        <v>0</v>
      </c>
      <c r="AC22" s="206">
        <f>'P &amp; NP'!HO499</f>
        <v>0</v>
      </c>
      <c r="AD22" s="206">
        <f>'P &amp; NP'!HP499</f>
        <v>0</v>
      </c>
      <c r="AE22" s="206">
        <f>'P &amp; NP'!IE499</f>
        <v>0</v>
      </c>
      <c r="AF22" s="206">
        <f>'P &amp; NP'!IF499</f>
        <v>0</v>
      </c>
      <c r="AG22" s="206">
        <f>'P &amp; NP'!IU499</f>
        <v>0</v>
      </c>
      <c r="AH22" s="206">
        <f>'P &amp; NP'!IV499</f>
        <v>0</v>
      </c>
      <c r="AI22" s="206">
        <f>'P &amp; NP'!JK499</f>
        <v>0</v>
      </c>
      <c r="AJ22" s="206">
        <f>'P &amp; NP'!JL499</f>
        <v>0</v>
      </c>
      <c r="AK22" s="206">
        <f>'P &amp; NP'!KA499</f>
        <v>0</v>
      </c>
      <c r="AL22" s="206">
        <f>'P &amp; NP'!KB499</f>
        <v>0</v>
      </c>
      <c r="AM22" s="209">
        <f>'P &amp; NP'!KQ499</f>
        <v>0</v>
      </c>
      <c r="AN22" s="209">
        <f>'P &amp; NP'!KR499</f>
        <v>0</v>
      </c>
      <c r="AO22" s="209">
        <f>'P &amp; NP'!LG499</f>
        <v>0</v>
      </c>
      <c r="AP22" s="209">
        <f>'P &amp; NP'!LH499</f>
        <v>0</v>
      </c>
      <c r="AQ22" s="209">
        <f>'P &amp; NP'!LW499</f>
        <v>0</v>
      </c>
      <c r="AR22" s="209">
        <f>'P &amp; NP'!LX499</f>
        <v>0</v>
      </c>
      <c r="AS22" s="209">
        <f>'P &amp; NP'!MM499</f>
        <v>0</v>
      </c>
      <c r="AT22" s="209">
        <f>'P &amp; NP'!MN499</f>
        <v>0</v>
      </c>
      <c r="AU22" s="209">
        <f>'P &amp; NP'!NC499</f>
        <v>0</v>
      </c>
      <c r="AV22" s="209">
        <f>'P &amp; NP'!ND499</f>
        <v>0</v>
      </c>
      <c r="AW22" s="209">
        <f>'P &amp; NP'!NS499</f>
        <v>0</v>
      </c>
      <c r="AX22" s="209">
        <f>'P &amp; NP'!NT499</f>
        <v>0</v>
      </c>
      <c r="AY22" s="209">
        <f>'P &amp; NP'!OI499</f>
        <v>0</v>
      </c>
      <c r="AZ22" s="209">
        <f>'P &amp; NP'!OJ499</f>
        <v>0</v>
      </c>
      <c r="BA22" s="209">
        <f>'P &amp; NP'!OY499</f>
        <v>0</v>
      </c>
      <c r="BB22" s="209">
        <f>'P &amp; NP'!OZ499</f>
        <v>0</v>
      </c>
      <c r="BC22" s="209">
        <f>'P &amp; NP'!PO499</f>
        <v>0</v>
      </c>
      <c r="BD22" s="209">
        <f>'P &amp; NP'!PP499</f>
        <v>0</v>
      </c>
      <c r="BE22" s="209">
        <f>'P &amp; NP'!QE499</f>
        <v>0</v>
      </c>
      <c r="BF22" s="209">
        <f>'P &amp; NP'!QF499</f>
        <v>0</v>
      </c>
      <c r="BG22" s="209">
        <f>'P &amp; NP'!QU499</f>
        <v>0</v>
      </c>
      <c r="BH22" s="209">
        <f>'P &amp; NP'!QV499</f>
        <v>0</v>
      </c>
      <c r="BI22" s="209">
        <f>'P &amp; NP'!RK499</f>
        <v>0</v>
      </c>
      <c r="BJ22" s="209">
        <f>'P &amp; NP'!RL499</f>
        <v>0</v>
      </c>
      <c r="BK22" s="209">
        <f>'P &amp; NP'!SA499</f>
        <v>0</v>
      </c>
      <c r="BL22" s="209">
        <f>'P &amp; NP'!SB499</f>
        <v>0</v>
      </c>
      <c r="BM22" s="209">
        <f>'P &amp; NP'!SQ499</f>
        <v>0</v>
      </c>
      <c r="BN22" s="209">
        <f>'P &amp; NP'!SR499</f>
        <v>0</v>
      </c>
      <c r="BO22" s="209">
        <f>'P &amp; NP'!TG499</f>
        <v>0</v>
      </c>
      <c r="BP22" s="209">
        <f>'P &amp; NP'!TH499</f>
        <v>0</v>
      </c>
      <c r="BQ22" s="209">
        <f>'P &amp; NP'!TW499</f>
        <v>0</v>
      </c>
      <c r="BR22" s="209">
        <f>'P &amp; NP'!TX499</f>
        <v>0</v>
      </c>
      <c r="BS22" s="209">
        <f>'P &amp; NP'!UM499</f>
        <v>0</v>
      </c>
      <c r="BT22" s="209">
        <f>'P &amp; NP'!UN499</f>
        <v>0</v>
      </c>
      <c r="BU22" s="209">
        <f>'P &amp; NP'!VC499</f>
        <v>0</v>
      </c>
      <c r="BV22" s="209">
        <f>'P &amp; NP'!VD499</f>
        <v>0</v>
      </c>
      <c r="BW22" s="209">
        <f>'P &amp; NP'!VS499</f>
        <v>0</v>
      </c>
      <c r="BX22" s="209">
        <f>'P &amp; NP'!VT499</f>
        <v>0</v>
      </c>
      <c r="BY22" s="209">
        <f>'P &amp; NP'!WI499</f>
        <v>0</v>
      </c>
      <c r="BZ22" s="209">
        <f>'P &amp; NP'!WJ499</f>
        <v>0</v>
      </c>
      <c r="CB22" s="206">
        <f t="shared" si="3"/>
        <v>0</v>
      </c>
      <c r="CC22" s="206">
        <f t="shared" si="3"/>
        <v>0</v>
      </c>
    </row>
    <row r="23" spans="2:81">
      <c r="B23" s="207" t="str">
        <f>'P &amp; NP'!B29</f>
        <v xml:space="preserve">Lobster Air Tawar, Cherax </v>
      </c>
      <c r="C23" s="206">
        <f>'P &amp; NP'!O500</f>
        <v>0</v>
      </c>
      <c r="D23" s="206">
        <f>'P &amp; NP'!P500</f>
        <v>0</v>
      </c>
      <c r="E23" s="206">
        <f>'P &amp; NP'!AE500</f>
        <v>0</v>
      </c>
      <c r="F23" s="206">
        <f>'P &amp; NP'!AF500</f>
        <v>0</v>
      </c>
      <c r="G23" s="206">
        <f>'P &amp; NP'!AU500</f>
        <v>0</v>
      </c>
      <c r="H23" s="206">
        <f>'P &amp; NP'!AV500</f>
        <v>0</v>
      </c>
      <c r="I23" s="206">
        <f>'P &amp; NP'!BK500</f>
        <v>0</v>
      </c>
      <c r="J23" s="206">
        <f>'P &amp; NP'!BL500</f>
        <v>0</v>
      </c>
      <c r="K23" s="206">
        <f>'P &amp; NP'!CA500</f>
        <v>0</v>
      </c>
      <c r="L23" s="206">
        <f>'P &amp; NP'!CB500</f>
        <v>0</v>
      </c>
      <c r="M23" s="206">
        <f>'P &amp; NP'!CQ500</f>
        <v>0</v>
      </c>
      <c r="N23" s="206">
        <f>'P &amp; NP'!CR500</f>
        <v>0</v>
      </c>
      <c r="O23" s="206">
        <f>'P &amp; NP'!DG500</f>
        <v>0</v>
      </c>
      <c r="P23" s="206">
        <f>'P &amp; NP'!DH500</f>
        <v>0</v>
      </c>
      <c r="Q23" s="206">
        <f>'P &amp; NP'!DW500</f>
        <v>0</v>
      </c>
      <c r="R23" s="206">
        <f>'P &amp; NP'!DX500</f>
        <v>0</v>
      </c>
      <c r="S23" s="206">
        <f>'P &amp; NP'!EM500</f>
        <v>0</v>
      </c>
      <c r="T23" s="206">
        <f>'P &amp; NP'!EN500</f>
        <v>0</v>
      </c>
      <c r="U23" s="206">
        <f>'P &amp; NP'!FC500</f>
        <v>0</v>
      </c>
      <c r="V23" s="206">
        <f>'P &amp; NP'!FD500</f>
        <v>0</v>
      </c>
      <c r="W23" s="206">
        <f>'P &amp; NP'!FS500</f>
        <v>0</v>
      </c>
      <c r="X23" s="206">
        <f>'P &amp; NP'!FT500</f>
        <v>0</v>
      </c>
      <c r="Y23" s="206">
        <f>'P &amp; NP'!GI500</f>
        <v>0</v>
      </c>
      <c r="Z23" s="206">
        <f>'P &amp; NP'!GJ500</f>
        <v>0</v>
      </c>
      <c r="AA23" s="206">
        <f>'P &amp; NP'!GY500</f>
        <v>0</v>
      </c>
      <c r="AB23" s="206">
        <f>'P &amp; NP'!GZ500</f>
        <v>0</v>
      </c>
      <c r="AC23" s="206">
        <f>'P &amp; NP'!HO500</f>
        <v>0</v>
      </c>
      <c r="AD23" s="206">
        <f>'P &amp; NP'!HP500</f>
        <v>0</v>
      </c>
      <c r="AE23" s="206">
        <f>'P &amp; NP'!IE500</f>
        <v>0</v>
      </c>
      <c r="AF23" s="206">
        <f>'P &amp; NP'!IF500</f>
        <v>0</v>
      </c>
      <c r="AG23" s="206">
        <f>'P &amp; NP'!IU500</f>
        <v>0</v>
      </c>
      <c r="AH23" s="206">
        <f>'P &amp; NP'!IV500</f>
        <v>0</v>
      </c>
      <c r="AI23" s="206">
        <f>'P &amp; NP'!JK500</f>
        <v>0</v>
      </c>
      <c r="AJ23" s="206">
        <f>'P &amp; NP'!JL500</f>
        <v>0</v>
      </c>
      <c r="AK23" s="206">
        <f>'P &amp; NP'!KA500</f>
        <v>0</v>
      </c>
      <c r="AL23" s="206">
        <f>'P &amp; NP'!KB500</f>
        <v>0</v>
      </c>
      <c r="AM23" s="209">
        <f>'P &amp; NP'!KQ500</f>
        <v>0</v>
      </c>
      <c r="AN23" s="209">
        <f>'P &amp; NP'!KR500</f>
        <v>0</v>
      </c>
      <c r="AO23" s="209">
        <f>'P &amp; NP'!LG500</f>
        <v>0</v>
      </c>
      <c r="AP23" s="209">
        <f>'P &amp; NP'!LH500</f>
        <v>0</v>
      </c>
      <c r="AQ23" s="209">
        <f>'P &amp; NP'!LW500</f>
        <v>0</v>
      </c>
      <c r="AR23" s="209">
        <f>'P &amp; NP'!LX500</f>
        <v>0</v>
      </c>
      <c r="AS23" s="209">
        <f>'P &amp; NP'!MM500</f>
        <v>0</v>
      </c>
      <c r="AT23" s="209">
        <f>'P &amp; NP'!MN500</f>
        <v>0</v>
      </c>
      <c r="AU23" s="209">
        <f>'P &amp; NP'!NC500</f>
        <v>0</v>
      </c>
      <c r="AV23" s="209">
        <f>'P &amp; NP'!ND500</f>
        <v>0</v>
      </c>
      <c r="AW23" s="209">
        <f>'P &amp; NP'!NS500</f>
        <v>0</v>
      </c>
      <c r="AX23" s="209">
        <f>'P &amp; NP'!NT500</f>
        <v>0</v>
      </c>
      <c r="AY23" s="209">
        <f>'P &amp; NP'!OI500</f>
        <v>0</v>
      </c>
      <c r="AZ23" s="209">
        <f>'P &amp; NP'!OJ500</f>
        <v>0</v>
      </c>
      <c r="BA23" s="209">
        <f>'P &amp; NP'!OY500</f>
        <v>0</v>
      </c>
      <c r="BB23" s="209">
        <f>'P &amp; NP'!OZ500</f>
        <v>0</v>
      </c>
      <c r="BC23" s="209">
        <f>'P &amp; NP'!PO500</f>
        <v>0</v>
      </c>
      <c r="BD23" s="209">
        <f>'P &amp; NP'!PP500</f>
        <v>0</v>
      </c>
      <c r="BE23" s="209">
        <f>'P &amp; NP'!QE500</f>
        <v>0</v>
      </c>
      <c r="BF23" s="209">
        <f>'P &amp; NP'!QF500</f>
        <v>0</v>
      </c>
      <c r="BG23" s="209">
        <f>'P &amp; NP'!QU500</f>
        <v>0</v>
      </c>
      <c r="BH23" s="209">
        <f>'P &amp; NP'!QV500</f>
        <v>0</v>
      </c>
      <c r="BI23" s="209">
        <f>'P &amp; NP'!RK500</f>
        <v>0</v>
      </c>
      <c r="BJ23" s="209">
        <f>'P &amp; NP'!RL500</f>
        <v>0</v>
      </c>
      <c r="BK23" s="209">
        <f>'P &amp; NP'!SA500</f>
        <v>0</v>
      </c>
      <c r="BL23" s="209">
        <f>'P &amp; NP'!SB500</f>
        <v>0</v>
      </c>
      <c r="BM23" s="209">
        <f>'P &amp; NP'!SQ500</f>
        <v>0</v>
      </c>
      <c r="BN23" s="209">
        <f>'P &amp; NP'!SR500</f>
        <v>0</v>
      </c>
      <c r="BO23" s="209">
        <f>'P &amp; NP'!TG500</f>
        <v>0</v>
      </c>
      <c r="BP23" s="209">
        <f>'P &amp; NP'!TH500</f>
        <v>0</v>
      </c>
      <c r="BQ23" s="209">
        <f>'P &amp; NP'!TW500</f>
        <v>0</v>
      </c>
      <c r="BR23" s="209">
        <f>'P &amp; NP'!TX500</f>
        <v>0</v>
      </c>
      <c r="BS23" s="209">
        <f>'P &amp; NP'!UM500</f>
        <v>0</v>
      </c>
      <c r="BT23" s="209">
        <f>'P &amp; NP'!UN500</f>
        <v>0</v>
      </c>
      <c r="BU23" s="209">
        <f>'P &amp; NP'!VC500</f>
        <v>0</v>
      </c>
      <c r="BV23" s="209">
        <f>'P &amp; NP'!VD500</f>
        <v>0</v>
      </c>
      <c r="BW23" s="209">
        <f>'P &amp; NP'!VS500</f>
        <v>0</v>
      </c>
      <c r="BX23" s="209">
        <f>'P &amp; NP'!VT500</f>
        <v>0</v>
      </c>
      <c r="BY23" s="209">
        <f>'P &amp; NP'!WI500</f>
        <v>0</v>
      </c>
      <c r="BZ23" s="209">
        <f>'P &amp; NP'!WJ500</f>
        <v>0</v>
      </c>
      <c r="CB23" s="206">
        <f t="shared" si="3"/>
        <v>0</v>
      </c>
      <c r="CC23" s="206">
        <f t="shared" si="3"/>
        <v>0</v>
      </c>
    </row>
    <row r="24" spans="2:81">
      <c r="B24" s="207" t="str">
        <f>'P &amp; NP'!B30</f>
        <v xml:space="preserve">Mas, Ikan Mas, Karper </v>
      </c>
      <c r="C24" s="206">
        <f>'P &amp; NP'!O501</f>
        <v>0</v>
      </c>
      <c r="D24" s="206">
        <f>'P &amp; NP'!P501</f>
        <v>0</v>
      </c>
      <c r="E24" s="206">
        <f>'P &amp; NP'!AE501</f>
        <v>4475</v>
      </c>
      <c r="F24" s="206">
        <f>'P &amp; NP'!AF501</f>
        <v>156625</v>
      </c>
      <c r="G24" s="206">
        <f>'P &amp; NP'!AU501</f>
        <v>0</v>
      </c>
      <c r="H24" s="206">
        <f>'P &amp; NP'!AV501</f>
        <v>0</v>
      </c>
      <c r="I24" s="206">
        <f>'P &amp; NP'!BK501</f>
        <v>0</v>
      </c>
      <c r="J24" s="206">
        <f>'P &amp; NP'!BL501</f>
        <v>0</v>
      </c>
      <c r="K24" s="206">
        <f>'P &amp; NP'!CA501</f>
        <v>0</v>
      </c>
      <c r="L24" s="206">
        <f>'P &amp; NP'!CB501</f>
        <v>0</v>
      </c>
      <c r="M24" s="206">
        <f>'P &amp; NP'!CQ501</f>
        <v>0</v>
      </c>
      <c r="N24" s="206">
        <f>'P &amp; NP'!CR501</f>
        <v>0</v>
      </c>
      <c r="O24" s="206">
        <f>'P &amp; NP'!DG501</f>
        <v>0</v>
      </c>
      <c r="P24" s="206">
        <f>'P &amp; NP'!DH501</f>
        <v>0</v>
      </c>
      <c r="Q24" s="206">
        <f>'P &amp; NP'!DW501</f>
        <v>0</v>
      </c>
      <c r="R24" s="206">
        <f>'P &amp; NP'!DX501</f>
        <v>0</v>
      </c>
      <c r="S24" s="206">
        <f>'P &amp; NP'!EM501</f>
        <v>0</v>
      </c>
      <c r="T24" s="206">
        <f>'P &amp; NP'!EN501</f>
        <v>0</v>
      </c>
      <c r="U24" s="206">
        <f>'P &amp; NP'!FC501</f>
        <v>0</v>
      </c>
      <c r="V24" s="206">
        <f>'P &amp; NP'!FD501</f>
        <v>0</v>
      </c>
      <c r="W24" s="206">
        <f>'P &amp; NP'!FS501</f>
        <v>0</v>
      </c>
      <c r="X24" s="206">
        <f>'P &amp; NP'!FT501</f>
        <v>0</v>
      </c>
      <c r="Y24" s="206">
        <f>'P &amp; NP'!GI501</f>
        <v>0</v>
      </c>
      <c r="Z24" s="206">
        <f>'P &amp; NP'!GJ501</f>
        <v>0</v>
      </c>
      <c r="AA24" s="206">
        <f>'P &amp; NP'!GY501</f>
        <v>530</v>
      </c>
      <c r="AB24" s="206">
        <f>'P &amp; NP'!GZ501</f>
        <v>14710</v>
      </c>
      <c r="AC24" s="206">
        <f>'P &amp; NP'!HO501</f>
        <v>0</v>
      </c>
      <c r="AD24" s="206">
        <f>'P &amp; NP'!HP501</f>
        <v>0</v>
      </c>
      <c r="AE24" s="206">
        <f>'P &amp; NP'!IE501</f>
        <v>0</v>
      </c>
      <c r="AF24" s="206">
        <f>'P &amp; NP'!IF501</f>
        <v>0</v>
      </c>
      <c r="AG24" s="206">
        <f>'P &amp; NP'!IU501</f>
        <v>0</v>
      </c>
      <c r="AH24" s="206">
        <f>'P &amp; NP'!IV501</f>
        <v>0</v>
      </c>
      <c r="AI24" s="206">
        <f>'P &amp; NP'!JK501</f>
        <v>0</v>
      </c>
      <c r="AJ24" s="206">
        <f>'P &amp; NP'!JL501</f>
        <v>0</v>
      </c>
      <c r="AK24" s="206">
        <f>'P &amp; NP'!KA501</f>
        <v>0</v>
      </c>
      <c r="AL24" s="206">
        <f>'P &amp; NP'!KB501</f>
        <v>0</v>
      </c>
      <c r="AM24" s="209">
        <f>'P &amp; NP'!KQ501</f>
        <v>0</v>
      </c>
      <c r="AN24" s="209">
        <f>'P &amp; NP'!KR501</f>
        <v>0</v>
      </c>
      <c r="AO24" s="209">
        <f>'P &amp; NP'!LG501</f>
        <v>0</v>
      </c>
      <c r="AP24" s="209">
        <f>'P &amp; NP'!LH501</f>
        <v>0</v>
      </c>
      <c r="AQ24" s="209">
        <f>'P &amp; NP'!LW501</f>
        <v>0</v>
      </c>
      <c r="AR24" s="209">
        <f>'P &amp; NP'!LX501</f>
        <v>0</v>
      </c>
      <c r="AS24" s="209">
        <f>'P &amp; NP'!MM501</f>
        <v>0</v>
      </c>
      <c r="AT24" s="209">
        <f>'P &amp; NP'!MN501</f>
        <v>0</v>
      </c>
      <c r="AU24" s="209">
        <f>'P &amp; NP'!NC501</f>
        <v>0</v>
      </c>
      <c r="AV24" s="209">
        <f>'P &amp; NP'!ND501</f>
        <v>0</v>
      </c>
      <c r="AW24" s="209">
        <f>'P &amp; NP'!NS501</f>
        <v>0</v>
      </c>
      <c r="AX24" s="209">
        <f>'P &amp; NP'!NT501</f>
        <v>0</v>
      </c>
      <c r="AY24" s="209">
        <f>'P &amp; NP'!OI501</f>
        <v>0</v>
      </c>
      <c r="AZ24" s="209">
        <f>'P &amp; NP'!OJ501</f>
        <v>0</v>
      </c>
      <c r="BA24" s="209">
        <f>'P &amp; NP'!OY501</f>
        <v>0</v>
      </c>
      <c r="BB24" s="209">
        <f>'P &amp; NP'!OZ501</f>
        <v>0</v>
      </c>
      <c r="BC24" s="209">
        <f>'P &amp; NP'!PO501</f>
        <v>0</v>
      </c>
      <c r="BD24" s="209">
        <f>'P &amp; NP'!PP501</f>
        <v>0</v>
      </c>
      <c r="BE24" s="209">
        <f>'P &amp; NP'!QE501</f>
        <v>0</v>
      </c>
      <c r="BF24" s="209">
        <f>'P &amp; NP'!QF501</f>
        <v>0</v>
      </c>
      <c r="BG24" s="209">
        <f>'P &amp; NP'!QU501</f>
        <v>0</v>
      </c>
      <c r="BH24" s="209">
        <f>'P &amp; NP'!QV501</f>
        <v>0</v>
      </c>
      <c r="BI24" s="209">
        <f>'P &amp; NP'!RK501</f>
        <v>0</v>
      </c>
      <c r="BJ24" s="209">
        <f>'P &amp; NP'!RL501</f>
        <v>0</v>
      </c>
      <c r="BK24" s="209">
        <f>'P &amp; NP'!SA501</f>
        <v>0</v>
      </c>
      <c r="BL24" s="209">
        <f>'P &amp; NP'!SB501</f>
        <v>0</v>
      </c>
      <c r="BM24" s="209">
        <f>'P &amp; NP'!SQ501</f>
        <v>0</v>
      </c>
      <c r="BN24" s="209">
        <f>'P &amp; NP'!SR501</f>
        <v>0</v>
      </c>
      <c r="BO24" s="209">
        <f>'P &amp; NP'!TG501</f>
        <v>0</v>
      </c>
      <c r="BP24" s="209">
        <f>'P &amp; NP'!TH501</f>
        <v>0</v>
      </c>
      <c r="BQ24" s="209">
        <f>'P &amp; NP'!TW501</f>
        <v>0</v>
      </c>
      <c r="BR24" s="209">
        <f>'P &amp; NP'!TX501</f>
        <v>0</v>
      </c>
      <c r="BS24" s="209">
        <f>'P &amp; NP'!UM501</f>
        <v>0</v>
      </c>
      <c r="BT24" s="209">
        <f>'P &amp; NP'!UN501</f>
        <v>0</v>
      </c>
      <c r="BU24" s="209">
        <f>'P &amp; NP'!VC501</f>
        <v>0</v>
      </c>
      <c r="BV24" s="209">
        <f>'P &amp; NP'!VD501</f>
        <v>0</v>
      </c>
      <c r="BW24" s="209">
        <f>'P &amp; NP'!VS501</f>
        <v>0</v>
      </c>
      <c r="BX24" s="209">
        <f>'P &amp; NP'!VT501</f>
        <v>0</v>
      </c>
      <c r="BY24" s="209">
        <f>'P &amp; NP'!WI501</f>
        <v>0</v>
      </c>
      <c r="BZ24" s="209">
        <f>'P &amp; NP'!WJ501</f>
        <v>0</v>
      </c>
      <c r="CB24" s="206">
        <f t="shared" si="3"/>
        <v>5005</v>
      </c>
      <c r="CC24" s="206">
        <f t="shared" si="3"/>
        <v>171335</v>
      </c>
    </row>
    <row r="25" spans="2:81">
      <c r="B25" s="207" t="str">
        <f>'P &amp; NP'!B31</f>
        <v xml:space="preserve">Mujair </v>
      </c>
      <c r="C25" s="206">
        <f>'P &amp; NP'!O502</f>
        <v>0</v>
      </c>
      <c r="D25" s="206">
        <f>'P &amp; NP'!P502</f>
        <v>0</v>
      </c>
      <c r="E25" s="206">
        <f>'P &amp; NP'!AE502</f>
        <v>0</v>
      </c>
      <c r="F25" s="206">
        <f>'P &amp; NP'!AF502</f>
        <v>0</v>
      </c>
      <c r="G25" s="206">
        <f>'P &amp; NP'!AU502</f>
        <v>0</v>
      </c>
      <c r="H25" s="206">
        <f>'P &amp; NP'!AV502</f>
        <v>0</v>
      </c>
      <c r="I25" s="206">
        <f>'P &amp; NP'!BK502</f>
        <v>0</v>
      </c>
      <c r="J25" s="206">
        <f>'P &amp; NP'!BL502</f>
        <v>0</v>
      </c>
      <c r="K25" s="206">
        <f>'P &amp; NP'!CA502</f>
        <v>0</v>
      </c>
      <c r="L25" s="206">
        <f>'P &amp; NP'!CB502</f>
        <v>0</v>
      </c>
      <c r="M25" s="206">
        <f>'P &amp; NP'!CQ502</f>
        <v>0</v>
      </c>
      <c r="N25" s="206">
        <f>'P &amp; NP'!CR502</f>
        <v>0</v>
      </c>
      <c r="O25" s="206">
        <f>'P &amp; NP'!DG502</f>
        <v>0</v>
      </c>
      <c r="P25" s="206">
        <f>'P &amp; NP'!DH502</f>
        <v>0</v>
      </c>
      <c r="Q25" s="206">
        <f>'P &amp; NP'!DW502</f>
        <v>0</v>
      </c>
      <c r="R25" s="206">
        <f>'P &amp; NP'!DX502</f>
        <v>0</v>
      </c>
      <c r="S25" s="206">
        <f>'P &amp; NP'!EM502</f>
        <v>0</v>
      </c>
      <c r="T25" s="206">
        <f>'P &amp; NP'!EN502</f>
        <v>0</v>
      </c>
      <c r="U25" s="206">
        <f>'P &amp; NP'!FC502</f>
        <v>0</v>
      </c>
      <c r="V25" s="206">
        <f>'P &amp; NP'!FD502</f>
        <v>0</v>
      </c>
      <c r="W25" s="206">
        <f>'P &amp; NP'!FS502</f>
        <v>0</v>
      </c>
      <c r="X25" s="206">
        <f>'P &amp; NP'!FT502</f>
        <v>0</v>
      </c>
      <c r="Y25" s="206">
        <f>'P &amp; NP'!GI502</f>
        <v>0</v>
      </c>
      <c r="Z25" s="206">
        <f>'P &amp; NP'!GJ502</f>
        <v>0</v>
      </c>
      <c r="AA25" s="206">
        <f>'P &amp; NP'!GY502</f>
        <v>0</v>
      </c>
      <c r="AB25" s="206">
        <f>'P &amp; NP'!GZ502</f>
        <v>0</v>
      </c>
      <c r="AC25" s="206">
        <f>'P &amp; NP'!HO502</f>
        <v>0</v>
      </c>
      <c r="AD25" s="206">
        <f>'P &amp; NP'!HP502</f>
        <v>0</v>
      </c>
      <c r="AE25" s="206">
        <f>'P &amp; NP'!IE502</f>
        <v>0</v>
      </c>
      <c r="AF25" s="206">
        <f>'P &amp; NP'!IF502</f>
        <v>0</v>
      </c>
      <c r="AG25" s="206">
        <f>'P &amp; NP'!IU502</f>
        <v>0</v>
      </c>
      <c r="AH25" s="206">
        <f>'P &amp; NP'!IV502</f>
        <v>0</v>
      </c>
      <c r="AI25" s="206">
        <f>'P &amp; NP'!JK502</f>
        <v>0</v>
      </c>
      <c r="AJ25" s="206">
        <f>'P &amp; NP'!JL502</f>
        <v>0</v>
      </c>
      <c r="AK25" s="206">
        <f>'P &amp; NP'!KA502</f>
        <v>0</v>
      </c>
      <c r="AL25" s="206">
        <f>'P &amp; NP'!KB502</f>
        <v>0</v>
      </c>
      <c r="AM25" s="209">
        <f>'P &amp; NP'!KQ502</f>
        <v>0</v>
      </c>
      <c r="AN25" s="209">
        <f>'P &amp; NP'!KR502</f>
        <v>0</v>
      </c>
      <c r="AO25" s="209">
        <f>'P &amp; NP'!LG502</f>
        <v>0</v>
      </c>
      <c r="AP25" s="209">
        <f>'P &amp; NP'!LH502</f>
        <v>0</v>
      </c>
      <c r="AQ25" s="209">
        <f>'P &amp; NP'!LW502</f>
        <v>0</v>
      </c>
      <c r="AR25" s="209">
        <f>'P &amp; NP'!LX502</f>
        <v>0</v>
      </c>
      <c r="AS25" s="209">
        <f>'P &amp; NP'!MM502</f>
        <v>0</v>
      </c>
      <c r="AT25" s="209">
        <f>'P &amp; NP'!MN502</f>
        <v>0</v>
      </c>
      <c r="AU25" s="209">
        <f>'P &amp; NP'!NC502</f>
        <v>0</v>
      </c>
      <c r="AV25" s="209">
        <f>'P &amp; NP'!ND502</f>
        <v>0</v>
      </c>
      <c r="AW25" s="209">
        <f>'P &amp; NP'!NS502</f>
        <v>0</v>
      </c>
      <c r="AX25" s="209">
        <f>'P &amp; NP'!NT502</f>
        <v>0</v>
      </c>
      <c r="AY25" s="209">
        <f>'P &amp; NP'!OI502</f>
        <v>0</v>
      </c>
      <c r="AZ25" s="209">
        <f>'P &amp; NP'!OJ502</f>
        <v>0</v>
      </c>
      <c r="BA25" s="209">
        <f>'P &amp; NP'!OY502</f>
        <v>0</v>
      </c>
      <c r="BB25" s="209">
        <f>'P &amp; NP'!OZ502</f>
        <v>0</v>
      </c>
      <c r="BC25" s="209">
        <f>'P &amp; NP'!PO502</f>
        <v>0</v>
      </c>
      <c r="BD25" s="209">
        <f>'P &amp; NP'!PP502</f>
        <v>0</v>
      </c>
      <c r="BE25" s="209">
        <f>'P &amp; NP'!QE502</f>
        <v>0</v>
      </c>
      <c r="BF25" s="209">
        <f>'P &amp; NP'!QF502</f>
        <v>0</v>
      </c>
      <c r="BG25" s="209">
        <f>'P &amp; NP'!QU502</f>
        <v>0</v>
      </c>
      <c r="BH25" s="209">
        <f>'P &amp; NP'!QV502</f>
        <v>0</v>
      </c>
      <c r="BI25" s="209">
        <f>'P &amp; NP'!RK502</f>
        <v>0</v>
      </c>
      <c r="BJ25" s="209">
        <f>'P &amp; NP'!RL502</f>
        <v>0</v>
      </c>
      <c r="BK25" s="209">
        <f>'P &amp; NP'!SA502</f>
        <v>0</v>
      </c>
      <c r="BL25" s="209">
        <f>'P &amp; NP'!SB502</f>
        <v>0</v>
      </c>
      <c r="BM25" s="209">
        <f>'P &amp; NP'!SQ502</f>
        <v>0</v>
      </c>
      <c r="BN25" s="209">
        <f>'P &amp; NP'!SR502</f>
        <v>0</v>
      </c>
      <c r="BO25" s="209">
        <f>'P &amp; NP'!TG502</f>
        <v>0</v>
      </c>
      <c r="BP25" s="209">
        <f>'P &amp; NP'!TH502</f>
        <v>0</v>
      </c>
      <c r="BQ25" s="209">
        <f>'P &amp; NP'!TW502</f>
        <v>0</v>
      </c>
      <c r="BR25" s="209">
        <f>'P &amp; NP'!TX502</f>
        <v>0</v>
      </c>
      <c r="BS25" s="209">
        <f>'P &amp; NP'!UM502</f>
        <v>0</v>
      </c>
      <c r="BT25" s="209">
        <f>'P &amp; NP'!UN502</f>
        <v>0</v>
      </c>
      <c r="BU25" s="209">
        <f>'P &amp; NP'!VC502</f>
        <v>0</v>
      </c>
      <c r="BV25" s="209">
        <f>'P &amp; NP'!VD502</f>
        <v>0</v>
      </c>
      <c r="BW25" s="209">
        <f>'P &amp; NP'!VS502</f>
        <v>0</v>
      </c>
      <c r="BX25" s="209">
        <f>'P &amp; NP'!VT502</f>
        <v>0</v>
      </c>
      <c r="BY25" s="209">
        <f>'P &amp; NP'!WI502</f>
        <v>0</v>
      </c>
      <c r="BZ25" s="209">
        <f>'P &amp; NP'!WJ502</f>
        <v>0</v>
      </c>
      <c r="CB25" s="206">
        <f t="shared" si="3"/>
        <v>0</v>
      </c>
      <c r="CC25" s="206">
        <f t="shared" si="3"/>
        <v>0</v>
      </c>
    </row>
    <row r="26" spans="2:81">
      <c r="B26" s="207" t="str">
        <f>'P &amp; NP'!B32</f>
        <v xml:space="preserve">Nila </v>
      </c>
      <c r="C26" s="206">
        <f>'P &amp; NP'!O503</f>
        <v>0</v>
      </c>
      <c r="D26" s="206">
        <f>'P &amp; NP'!P503</f>
        <v>0</v>
      </c>
      <c r="E26" s="206">
        <f>'P &amp; NP'!AE503</f>
        <v>13730</v>
      </c>
      <c r="F26" s="206">
        <f>'P &amp; NP'!AF503</f>
        <v>274600</v>
      </c>
      <c r="G26" s="206">
        <f>'P &amp; NP'!AU503</f>
        <v>28205</v>
      </c>
      <c r="H26" s="206">
        <f>'P &amp; NP'!AV503</f>
        <v>681420</v>
      </c>
      <c r="I26" s="206">
        <f>'P &amp; NP'!BK503</f>
        <v>9883</v>
      </c>
      <c r="J26" s="206">
        <f>'P &amp; NP'!BL503</f>
        <v>247075</v>
      </c>
      <c r="K26" s="206">
        <f>'P &amp; NP'!CA503</f>
        <v>0</v>
      </c>
      <c r="L26" s="206">
        <f>'P &amp; NP'!CB503</f>
        <v>0</v>
      </c>
      <c r="M26" s="206">
        <f>'P &amp; NP'!CQ503</f>
        <v>0</v>
      </c>
      <c r="N26" s="206">
        <f>'P &amp; NP'!CR503</f>
        <v>0</v>
      </c>
      <c r="O26" s="206">
        <f>'P &amp; NP'!DG503</f>
        <v>0</v>
      </c>
      <c r="P26" s="206">
        <f>'P &amp; NP'!DH503</f>
        <v>0</v>
      </c>
      <c r="Q26" s="206">
        <f>'P &amp; NP'!DW503</f>
        <v>0</v>
      </c>
      <c r="R26" s="206">
        <f>'P &amp; NP'!DX503</f>
        <v>0</v>
      </c>
      <c r="S26" s="206">
        <f>'P &amp; NP'!EM503</f>
        <v>0</v>
      </c>
      <c r="T26" s="206">
        <f>'P &amp; NP'!EN503</f>
        <v>0</v>
      </c>
      <c r="U26" s="206">
        <f>'P &amp; NP'!FC503</f>
        <v>5216</v>
      </c>
      <c r="V26" s="206">
        <f>'P &amp; NP'!FD503</f>
        <v>96712</v>
      </c>
      <c r="W26" s="206">
        <f>'P &amp; NP'!FS503</f>
        <v>885096</v>
      </c>
      <c r="X26" s="206">
        <f>'P &amp; NP'!FT503</f>
        <v>25850858</v>
      </c>
      <c r="Y26" s="206">
        <f>'P &amp; NP'!GI503</f>
        <v>0</v>
      </c>
      <c r="Z26" s="206">
        <f>'P &amp; NP'!GJ503</f>
        <v>0</v>
      </c>
      <c r="AA26" s="206">
        <f>'P &amp; NP'!GY503</f>
        <v>1200</v>
      </c>
      <c r="AB26" s="206">
        <f>'P &amp; NP'!GZ503</f>
        <v>33270</v>
      </c>
      <c r="AC26" s="206">
        <f>'P &amp; NP'!HO503</f>
        <v>4260000</v>
      </c>
      <c r="AD26" s="206">
        <f>'P &amp; NP'!HP503</f>
        <v>96700000</v>
      </c>
      <c r="AE26" s="206">
        <f>'P &amp; NP'!IE503</f>
        <v>1700</v>
      </c>
      <c r="AF26" s="206">
        <f>'P &amp; NP'!IF503</f>
        <v>36500</v>
      </c>
      <c r="AG26" s="206">
        <f>'P &amp; NP'!IU503</f>
        <v>0</v>
      </c>
      <c r="AH26" s="206">
        <f>'P &amp; NP'!IV503</f>
        <v>0</v>
      </c>
      <c r="AI26" s="206">
        <f>'P &amp; NP'!JK503</f>
        <v>41947</v>
      </c>
      <c r="AJ26" s="206">
        <f>'P &amp; NP'!JL503</f>
        <v>922834</v>
      </c>
      <c r="AK26" s="206">
        <f>'P &amp; NP'!KA503</f>
        <v>0</v>
      </c>
      <c r="AL26" s="206">
        <f>'P &amp; NP'!KB503</f>
        <v>0</v>
      </c>
      <c r="AM26" s="209">
        <f>'P &amp; NP'!KQ503</f>
        <v>0</v>
      </c>
      <c r="AN26" s="209">
        <f>'P &amp; NP'!KR503</f>
        <v>0</v>
      </c>
      <c r="AO26" s="209">
        <f>'P &amp; NP'!LG503</f>
        <v>131677.93999999997</v>
      </c>
      <c r="AP26" s="209">
        <f>'P &amp; NP'!LH503</f>
        <v>3231814</v>
      </c>
      <c r="AQ26" s="209">
        <f>'P &amp; NP'!LW503</f>
        <v>16625</v>
      </c>
      <c r="AR26" s="209">
        <f>'P &amp; NP'!LX503</f>
        <v>538608</v>
      </c>
      <c r="AS26" s="209">
        <f>'P &amp; NP'!MM503</f>
        <v>28930</v>
      </c>
      <c r="AT26" s="209">
        <f>'P &amp; NP'!MN503</f>
        <v>536740</v>
      </c>
      <c r="AU26" s="209">
        <f>'P &amp; NP'!NC503</f>
        <v>0</v>
      </c>
      <c r="AV26" s="209">
        <f>'P &amp; NP'!ND503</f>
        <v>0</v>
      </c>
      <c r="AW26" s="209">
        <f>'P &amp; NP'!NS503</f>
        <v>0</v>
      </c>
      <c r="AX26" s="209">
        <f>'P &amp; NP'!NT503</f>
        <v>0</v>
      </c>
      <c r="AY26" s="209">
        <f>'P &amp; NP'!OI503</f>
        <v>0</v>
      </c>
      <c r="AZ26" s="209">
        <f>'P &amp; NP'!OJ503</f>
        <v>0</v>
      </c>
      <c r="BA26" s="209">
        <f>'P &amp; NP'!OY503</f>
        <v>0</v>
      </c>
      <c r="BB26" s="209">
        <f>'P &amp; NP'!OZ503</f>
        <v>0</v>
      </c>
      <c r="BC26" s="209">
        <f>'P &amp; NP'!PO503</f>
        <v>0</v>
      </c>
      <c r="BD26" s="209">
        <f>'P &amp; NP'!PP503</f>
        <v>0</v>
      </c>
      <c r="BE26" s="209">
        <f>'P &amp; NP'!QE503</f>
        <v>0</v>
      </c>
      <c r="BF26" s="209">
        <f>'P &amp; NP'!QF503</f>
        <v>0</v>
      </c>
      <c r="BG26" s="209">
        <f>'P &amp; NP'!QU503</f>
        <v>0</v>
      </c>
      <c r="BH26" s="209">
        <f>'P &amp; NP'!QV503</f>
        <v>0</v>
      </c>
      <c r="BI26" s="209">
        <f>'P &amp; NP'!RK503</f>
        <v>0</v>
      </c>
      <c r="BJ26" s="209">
        <f>'P &amp; NP'!RL503</f>
        <v>0</v>
      </c>
      <c r="BK26" s="209">
        <f>'P &amp; NP'!SA503</f>
        <v>0</v>
      </c>
      <c r="BL26" s="209">
        <f>'P &amp; NP'!SB503</f>
        <v>0</v>
      </c>
      <c r="BM26" s="209">
        <f>'P &amp; NP'!SQ503</f>
        <v>0</v>
      </c>
      <c r="BN26" s="209">
        <f>'P &amp; NP'!SR503</f>
        <v>0</v>
      </c>
      <c r="BO26" s="209">
        <f>'P &amp; NP'!TG503</f>
        <v>0</v>
      </c>
      <c r="BP26" s="209">
        <f>'P &amp; NP'!TH503</f>
        <v>0</v>
      </c>
      <c r="BQ26" s="209">
        <f>'P &amp; NP'!TW503</f>
        <v>0</v>
      </c>
      <c r="BR26" s="209">
        <f>'P &amp; NP'!TX503</f>
        <v>0</v>
      </c>
      <c r="BS26" s="209">
        <f>'P &amp; NP'!UM503</f>
        <v>0</v>
      </c>
      <c r="BT26" s="209">
        <f>'P &amp; NP'!UN503</f>
        <v>0</v>
      </c>
      <c r="BU26" s="209">
        <f>'P &amp; NP'!VC503</f>
        <v>0</v>
      </c>
      <c r="BV26" s="209">
        <f>'P &amp; NP'!VD503</f>
        <v>0</v>
      </c>
      <c r="BW26" s="209">
        <f>'P &amp; NP'!VS503</f>
        <v>0</v>
      </c>
      <c r="BX26" s="209">
        <f>'P &amp; NP'!VT503</f>
        <v>0</v>
      </c>
      <c r="BY26" s="209">
        <f>'P &amp; NP'!WI503</f>
        <v>0</v>
      </c>
      <c r="BZ26" s="209">
        <f>'P &amp; NP'!WJ503</f>
        <v>0</v>
      </c>
      <c r="CB26" s="206">
        <f t="shared" si="3"/>
        <v>5424209.9400000004</v>
      </c>
      <c r="CC26" s="206">
        <f t="shared" si="3"/>
        <v>129150431</v>
      </c>
    </row>
    <row r="27" spans="2:81">
      <c r="B27" s="207" t="str">
        <f>'P &amp; NP'!B33</f>
        <v xml:space="preserve">Patin </v>
      </c>
      <c r="C27" s="206">
        <f>'P &amp; NP'!O504</f>
        <v>0</v>
      </c>
      <c r="D27" s="206">
        <f>'P &amp; NP'!P504</f>
        <v>0</v>
      </c>
      <c r="E27" s="206">
        <f>'P &amp; NP'!AE504</f>
        <v>0</v>
      </c>
      <c r="F27" s="206">
        <f>'P &amp; NP'!AF504</f>
        <v>0</v>
      </c>
      <c r="G27" s="206">
        <f>'P &amp; NP'!AU504</f>
        <v>0</v>
      </c>
      <c r="H27" s="206">
        <f>'P &amp; NP'!AV504</f>
        <v>0</v>
      </c>
      <c r="I27" s="206">
        <f>'P &amp; NP'!BK504</f>
        <v>7621</v>
      </c>
      <c r="J27" s="206">
        <f>'P &amp; NP'!BL504</f>
        <v>137178</v>
      </c>
      <c r="K27" s="206">
        <f>'P &amp; NP'!CA504</f>
        <v>0</v>
      </c>
      <c r="L27" s="206">
        <f>'P &amp; NP'!CB504</f>
        <v>0</v>
      </c>
      <c r="M27" s="206">
        <f>'P &amp; NP'!CQ504</f>
        <v>0</v>
      </c>
      <c r="N27" s="206">
        <f>'P &amp; NP'!CR504</f>
        <v>0</v>
      </c>
      <c r="O27" s="206">
        <f>'P &amp; NP'!DG504</f>
        <v>0</v>
      </c>
      <c r="P27" s="206">
        <f>'P &amp; NP'!DH504</f>
        <v>0</v>
      </c>
      <c r="Q27" s="206">
        <f>'P &amp; NP'!DW504</f>
        <v>0</v>
      </c>
      <c r="R27" s="206">
        <f>'P &amp; NP'!DX504</f>
        <v>0</v>
      </c>
      <c r="S27" s="206">
        <f>'P &amp; NP'!EM504</f>
        <v>0</v>
      </c>
      <c r="T27" s="206">
        <f>'P &amp; NP'!EN504</f>
        <v>0</v>
      </c>
      <c r="U27" s="206">
        <f>'P &amp; NP'!FC504</f>
        <v>0</v>
      </c>
      <c r="V27" s="206">
        <f>'P &amp; NP'!FD504</f>
        <v>0</v>
      </c>
      <c r="W27" s="206">
        <f>'P &amp; NP'!FS504</f>
        <v>0</v>
      </c>
      <c r="X27" s="206">
        <f>'P &amp; NP'!FT504</f>
        <v>0</v>
      </c>
      <c r="Y27" s="206">
        <f>'P &amp; NP'!GI504</f>
        <v>0</v>
      </c>
      <c r="Z27" s="206">
        <f>'P &amp; NP'!GJ504</f>
        <v>0</v>
      </c>
      <c r="AA27" s="206">
        <f>'P &amp; NP'!GY504</f>
        <v>0</v>
      </c>
      <c r="AB27" s="206">
        <f>'P &amp; NP'!GZ504</f>
        <v>0</v>
      </c>
      <c r="AC27" s="206">
        <f>'P &amp; NP'!HO504</f>
        <v>0</v>
      </c>
      <c r="AD27" s="206">
        <f>'P &amp; NP'!HP504</f>
        <v>0</v>
      </c>
      <c r="AE27" s="206">
        <f>'P &amp; NP'!IE504</f>
        <v>0</v>
      </c>
      <c r="AF27" s="206">
        <f>'P &amp; NP'!IF504</f>
        <v>0</v>
      </c>
      <c r="AG27" s="206">
        <f>'P &amp; NP'!IU504</f>
        <v>0</v>
      </c>
      <c r="AH27" s="206">
        <f>'P &amp; NP'!IV504</f>
        <v>0</v>
      </c>
      <c r="AI27" s="206">
        <f>'P &amp; NP'!JK504</f>
        <v>64986</v>
      </c>
      <c r="AJ27" s="206">
        <f>'P &amp; NP'!JL504</f>
        <v>1119448</v>
      </c>
      <c r="AK27" s="206">
        <f>'P &amp; NP'!KA504</f>
        <v>0</v>
      </c>
      <c r="AL27" s="206">
        <f>'P &amp; NP'!KB504</f>
        <v>0</v>
      </c>
      <c r="AM27" s="209">
        <f>'P &amp; NP'!KQ504</f>
        <v>0</v>
      </c>
      <c r="AN27" s="209">
        <f>'P &amp; NP'!KR504</f>
        <v>0</v>
      </c>
      <c r="AO27" s="209">
        <f>'P &amp; NP'!LG504</f>
        <v>10374.92</v>
      </c>
      <c r="AP27" s="209">
        <f>'P &amp; NP'!LH504</f>
        <v>209404</v>
      </c>
      <c r="AQ27" s="209">
        <f>'P &amp; NP'!LW504</f>
        <v>0</v>
      </c>
      <c r="AR27" s="209">
        <f>'P &amp; NP'!LX504</f>
        <v>0</v>
      </c>
      <c r="AS27" s="209">
        <f>'P &amp; NP'!MM504</f>
        <v>0</v>
      </c>
      <c r="AT27" s="209">
        <f>'P &amp; NP'!MN504</f>
        <v>0</v>
      </c>
      <c r="AU27" s="209">
        <f>'P &amp; NP'!NC504</f>
        <v>0</v>
      </c>
      <c r="AV27" s="209">
        <f>'P &amp; NP'!ND504</f>
        <v>0</v>
      </c>
      <c r="AW27" s="209">
        <f>'P &amp; NP'!NS504</f>
        <v>0</v>
      </c>
      <c r="AX27" s="209">
        <f>'P &amp; NP'!NT504</f>
        <v>0</v>
      </c>
      <c r="AY27" s="209">
        <f>'P &amp; NP'!OI504</f>
        <v>0</v>
      </c>
      <c r="AZ27" s="209">
        <f>'P &amp; NP'!OJ504</f>
        <v>0</v>
      </c>
      <c r="BA27" s="209">
        <f>'P &amp; NP'!OY504</f>
        <v>0</v>
      </c>
      <c r="BB27" s="209">
        <f>'P &amp; NP'!OZ504</f>
        <v>0</v>
      </c>
      <c r="BC27" s="209">
        <f>'P &amp; NP'!PO504</f>
        <v>0</v>
      </c>
      <c r="BD27" s="209">
        <f>'P &amp; NP'!PP504</f>
        <v>0</v>
      </c>
      <c r="BE27" s="209">
        <f>'P &amp; NP'!QE504</f>
        <v>0</v>
      </c>
      <c r="BF27" s="209">
        <f>'P &amp; NP'!QF504</f>
        <v>0</v>
      </c>
      <c r="BG27" s="209">
        <f>'P &amp; NP'!QU504</f>
        <v>0</v>
      </c>
      <c r="BH27" s="209">
        <f>'P &amp; NP'!QV504</f>
        <v>0</v>
      </c>
      <c r="BI27" s="209">
        <f>'P &amp; NP'!RK504</f>
        <v>0</v>
      </c>
      <c r="BJ27" s="209">
        <f>'P &amp; NP'!RL504</f>
        <v>0</v>
      </c>
      <c r="BK27" s="209">
        <f>'P &amp; NP'!SA504</f>
        <v>0</v>
      </c>
      <c r="BL27" s="209">
        <f>'P &amp; NP'!SB504</f>
        <v>0</v>
      </c>
      <c r="BM27" s="209">
        <f>'P &amp; NP'!SQ504</f>
        <v>0</v>
      </c>
      <c r="BN27" s="209">
        <f>'P &amp; NP'!SR504</f>
        <v>0</v>
      </c>
      <c r="BO27" s="209">
        <f>'P &amp; NP'!TG504</f>
        <v>0</v>
      </c>
      <c r="BP27" s="209">
        <f>'P &amp; NP'!TH504</f>
        <v>0</v>
      </c>
      <c r="BQ27" s="209">
        <f>'P &amp; NP'!TW504</f>
        <v>0</v>
      </c>
      <c r="BR27" s="209">
        <f>'P &amp; NP'!TX504</f>
        <v>0</v>
      </c>
      <c r="BS27" s="209">
        <f>'P &amp; NP'!UM504</f>
        <v>0</v>
      </c>
      <c r="BT27" s="209">
        <f>'P &amp; NP'!UN504</f>
        <v>0</v>
      </c>
      <c r="BU27" s="209">
        <f>'P &amp; NP'!VC504</f>
        <v>0</v>
      </c>
      <c r="BV27" s="209">
        <f>'P &amp; NP'!VD504</f>
        <v>0</v>
      </c>
      <c r="BW27" s="209">
        <f>'P &amp; NP'!VS504</f>
        <v>0</v>
      </c>
      <c r="BX27" s="209">
        <f>'P &amp; NP'!VT504</f>
        <v>0</v>
      </c>
      <c r="BY27" s="209">
        <f>'P &amp; NP'!WI504</f>
        <v>0</v>
      </c>
      <c r="BZ27" s="209">
        <f>'P &amp; NP'!WJ504</f>
        <v>0</v>
      </c>
      <c r="CB27" s="206">
        <f t="shared" si="3"/>
        <v>82981.919999999998</v>
      </c>
      <c r="CC27" s="206">
        <f t="shared" si="3"/>
        <v>1466030</v>
      </c>
    </row>
    <row r="28" spans="2:81">
      <c r="B28" s="207" t="str">
        <f>'P &amp; NP'!B34</f>
        <v xml:space="preserve">Rajungan </v>
      </c>
      <c r="C28" s="206">
        <f>'P &amp; NP'!O505</f>
        <v>0</v>
      </c>
      <c r="D28" s="206">
        <f>'P &amp; NP'!P505</f>
        <v>0</v>
      </c>
      <c r="E28" s="206">
        <f>'P &amp; NP'!AE505</f>
        <v>0</v>
      </c>
      <c r="F28" s="206">
        <f>'P &amp; NP'!AF505</f>
        <v>0</v>
      </c>
      <c r="G28" s="206">
        <f>'P &amp; NP'!AU505</f>
        <v>0</v>
      </c>
      <c r="H28" s="206">
        <f>'P &amp; NP'!AV505</f>
        <v>0</v>
      </c>
      <c r="I28" s="206">
        <f>'P &amp; NP'!BK505</f>
        <v>0</v>
      </c>
      <c r="J28" s="206">
        <f>'P &amp; NP'!BL505</f>
        <v>0</v>
      </c>
      <c r="K28" s="206">
        <f>'P &amp; NP'!CA505</f>
        <v>0</v>
      </c>
      <c r="L28" s="206">
        <f>'P &amp; NP'!CB505</f>
        <v>0</v>
      </c>
      <c r="M28" s="206">
        <f>'P &amp; NP'!CQ505</f>
        <v>0</v>
      </c>
      <c r="N28" s="206">
        <f>'P &amp; NP'!CR505</f>
        <v>0</v>
      </c>
      <c r="O28" s="206">
        <f>'P &amp; NP'!DG505</f>
        <v>0</v>
      </c>
      <c r="P28" s="206">
        <f>'P &amp; NP'!DH505</f>
        <v>0</v>
      </c>
      <c r="Q28" s="206">
        <f>'P &amp; NP'!DW505</f>
        <v>0</v>
      </c>
      <c r="R28" s="206">
        <f>'P &amp; NP'!DX505</f>
        <v>0</v>
      </c>
      <c r="S28" s="206">
        <f>'P &amp; NP'!EM505</f>
        <v>0</v>
      </c>
      <c r="T28" s="206">
        <f>'P &amp; NP'!EN505</f>
        <v>0</v>
      </c>
      <c r="U28" s="206">
        <f>'P &amp; NP'!FC505</f>
        <v>0</v>
      </c>
      <c r="V28" s="206">
        <f>'P &amp; NP'!FD505</f>
        <v>0</v>
      </c>
      <c r="W28" s="206">
        <f>'P &amp; NP'!FS505</f>
        <v>0</v>
      </c>
      <c r="X28" s="206">
        <f>'P &amp; NP'!FT505</f>
        <v>0</v>
      </c>
      <c r="Y28" s="206">
        <f>'P &amp; NP'!GI505</f>
        <v>0</v>
      </c>
      <c r="Z28" s="206">
        <f>'P &amp; NP'!GJ505</f>
        <v>0</v>
      </c>
      <c r="AA28" s="206">
        <f>'P &amp; NP'!GY505</f>
        <v>0</v>
      </c>
      <c r="AB28" s="206">
        <f>'P &amp; NP'!GZ505</f>
        <v>0</v>
      </c>
      <c r="AC28" s="206">
        <f>'P &amp; NP'!HO505</f>
        <v>0</v>
      </c>
      <c r="AD28" s="206">
        <f>'P &amp; NP'!HP505</f>
        <v>0</v>
      </c>
      <c r="AE28" s="206">
        <f>'P &amp; NP'!IE505</f>
        <v>0</v>
      </c>
      <c r="AF28" s="206">
        <f>'P &amp; NP'!IF505</f>
        <v>0</v>
      </c>
      <c r="AG28" s="206">
        <f>'P &amp; NP'!IU505</f>
        <v>0</v>
      </c>
      <c r="AH28" s="206">
        <f>'P &amp; NP'!IV505</f>
        <v>0</v>
      </c>
      <c r="AI28" s="206">
        <f>'P &amp; NP'!JK505</f>
        <v>0</v>
      </c>
      <c r="AJ28" s="206">
        <f>'P &amp; NP'!JL505</f>
        <v>0</v>
      </c>
      <c r="AK28" s="206">
        <f>'P &amp; NP'!KA505</f>
        <v>0</v>
      </c>
      <c r="AL28" s="206">
        <f>'P &amp; NP'!KB505</f>
        <v>0</v>
      </c>
      <c r="AM28" s="209">
        <f>'P &amp; NP'!KQ505</f>
        <v>0</v>
      </c>
      <c r="AN28" s="209">
        <f>'P &amp; NP'!KR505</f>
        <v>0</v>
      </c>
      <c r="AO28" s="209">
        <f>'P &amp; NP'!LG505</f>
        <v>0</v>
      </c>
      <c r="AP28" s="209">
        <f>'P &amp; NP'!LH505</f>
        <v>0</v>
      </c>
      <c r="AQ28" s="209">
        <f>'P &amp; NP'!LW505</f>
        <v>0</v>
      </c>
      <c r="AR28" s="209">
        <f>'P &amp; NP'!LX505</f>
        <v>0</v>
      </c>
      <c r="AS28" s="209">
        <f>'P &amp; NP'!MM505</f>
        <v>0</v>
      </c>
      <c r="AT28" s="209">
        <f>'P &amp; NP'!MN505</f>
        <v>0</v>
      </c>
      <c r="AU28" s="209">
        <f>'P &amp; NP'!NC505</f>
        <v>0</v>
      </c>
      <c r="AV28" s="209">
        <f>'P &amp; NP'!ND505</f>
        <v>0</v>
      </c>
      <c r="AW28" s="209">
        <f>'P &amp; NP'!NS505</f>
        <v>0</v>
      </c>
      <c r="AX28" s="209">
        <f>'P &amp; NP'!NT505</f>
        <v>0</v>
      </c>
      <c r="AY28" s="209">
        <f>'P &amp; NP'!OI505</f>
        <v>0</v>
      </c>
      <c r="AZ28" s="209">
        <f>'P &amp; NP'!OJ505</f>
        <v>0</v>
      </c>
      <c r="BA28" s="209">
        <f>'P &amp; NP'!OY505</f>
        <v>0</v>
      </c>
      <c r="BB28" s="209">
        <f>'P &amp; NP'!OZ505</f>
        <v>0</v>
      </c>
      <c r="BC28" s="209">
        <f>'P &amp; NP'!PO505</f>
        <v>0</v>
      </c>
      <c r="BD28" s="209">
        <f>'P &amp; NP'!PP505</f>
        <v>0</v>
      </c>
      <c r="BE28" s="209">
        <f>'P &amp; NP'!QE505</f>
        <v>0</v>
      </c>
      <c r="BF28" s="209">
        <f>'P &amp; NP'!QF505</f>
        <v>0</v>
      </c>
      <c r="BG28" s="209">
        <f>'P &amp; NP'!QU505</f>
        <v>0</v>
      </c>
      <c r="BH28" s="209">
        <f>'P &amp; NP'!QV505</f>
        <v>0</v>
      </c>
      <c r="BI28" s="209">
        <f>'P &amp; NP'!RK505</f>
        <v>0</v>
      </c>
      <c r="BJ28" s="209">
        <f>'P &amp; NP'!RL505</f>
        <v>0</v>
      </c>
      <c r="BK28" s="209">
        <f>'P &amp; NP'!SA505</f>
        <v>0</v>
      </c>
      <c r="BL28" s="209">
        <f>'P &amp; NP'!SB505</f>
        <v>0</v>
      </c>
      <c r="BM28" s="209">
        <f>'P &amp; NP'!SQ505</f>
        <v>0</v>
      </c>
      <c r="BN28" s="209">
        <f>'P &amp; NP'!SR505</f>
        <v>0</v>
      </c>
      <c r="BO28" s="209">
        <f>'P &amp; NP'!TG505</f>
        <v>0</v>
      </c>
      <c r="BP28" s="209">
        <f>'P &amp; NP'!TH505</f>
        <v>0</v>
      </c>
      <c r="BQ28" s="209">
        <f>'P &amp; NP'!TW505</f>
        <v>0</v>
      </c>
      <c r="BR28" s="209">
        <f>'P &amp; NP'!TX505</f>
        <v>0</v>
      </c>
      <c r="BS28" s="209">
        <f>'P &amp; NP'!UM505</f>
        <v>0</v>
      </c>
      <c r="BT28" s="209">
        <f>'P &amp; NP'!UN505</f>
        <v>0</v>
      </c>
      <c r="BU28" s="209">
        <f>'P &amp; NP'!VC505</f>
        <v>0</v>
      </c>
      <c r="BV28" s="209">
        <f>'P &amp; NP'!VD505</f>
        <v>0</v>
      </c>
      <c r="BW28" s="209">
        <f>'P &amp; NP'!VS505</f>
        <v>0</v>
      </c>
      <c r="BX28" s="209">
        <f>'P &amp; NP'!VT505</f>
        <v>0</v>
      </c>
      <c r="BY28" s="209">
        <f>'P &amp; NP'!WI505</f>
        <v>0</v>
      </c>
      <c r="BZ28" s="209">
        <f>'P &amp; NP'!WJ505</f>
        <v>0</v>
      </c>
      <c r="CB28" s="206">
        <f t="shared" si="3"/>
        <v>0</v>
      </c>
      <c r="CC28" s="206">
        <f t="shared" si="3"/>
        <v>0</v>
      </c>
    </row>
    <row r="29" spans="2:81">
      <c r="B29" s="207" t="str">
        <f>'P &amp; NP'!B35</f>
        <v>Tawes</v>
      </c>
      <c r="C29" s="206">
        <f>'P &amp; NP'!O506</f>
        <v>0</v>
      </c>
      <c r="D29" s="206">
        <f>'P &amp; NP'!P506</f>
        <v>0</v>
      </c>
      <c r="E29" s="206">
        <f>'P &amp; NP'!AE506</f>
        <v>0</v>
      </c>
      <c r="F29" s="206">
        <f>'P &amp; NP'!AF506</f>
        <v>0</v>
      </c>
      <c r="G29" s="206">
        <f>'P &amp; NP'!AU506</f>
        <v>0</v>
      </c>
      <c r="H29" s="206">
        <f>'P &amp; NP'!AV506</f>
        <v>0</v>
      </c>
      <c r="I29" s="206">
        <f>'P &amp; NP'!BK506</f>
        <v>13997</v>
      </c>
      <c r="J29" s="206">
        <f>'P &amp; NP'!BL506</f>
        <v>139970</v>
      </c>
      <c r="K29" s="206">
        <f>'P &amp; NP'!CA506</f>
        <v>0</v>
      </c>
      <c r="L29" s="206">
        <f>'P &amp; NP'!CB506</f>
        <v>0</v>
      </c>
      <c r="M29" s="206">
        <f>'P &amp; NP'!CQ506</f>
        <v>0</v>
      </c>
      <c r="N29" s="206">
        <f>'P &amp; NP'!CR506</f>
        <v>0</v>
      </c>
      <c r="O29" s="206">
        <f>'P &amp; NP'!DG506</f>
        <v>0</v>
      </c>
      <c r="P29" s="206">
        <f>'P &amp; NP'!DH506</f>
        <v>0</v>
      </c>
      <c r="Q29" s="206">
        <f>'P &amp; NP'!DW506</f>
        <v>0</v>
      </c>
      <c r="R29" s="206">
        <f>'P &amp; NP'!DX506</f>
        <v>0</v>
      </c>
      <c r="S29" s="206">
        <f>'P &amp; NP'!EM506</f>
        <v>0</v>
      </c>
      <c r="T29" s="206">
        <f>'P &amp; NP'!EN506</f>
        <v>0</v>
      </c>
      <c r="U29" s="206">
        <f>'P &amp; NP'!FC506</f>
        <v>0</v>
      </c>
      <c r="V29" s="206">
        <f>'P &amp; NP'!FD506</f>
        <v>0</v>
      </c>
      <c r="W29" s="206">
        <f>'P &amp; NP'!FS506</f>
        <v>0</v>
      </c>
      <c r="X29" s="206">
        <f>'P &amp; NP'!FT506</f>
        <v>0</v>
      </c>
      <c r="Y29" s="206">
        <f>'P &amp; NP'!GI506</f>
        <v>0</v>
      </c>
      <c r="Z29" s="206">
        <f>'P &amp; NP'!GJ506</f>
        <v>0</v>
      </c>
      <c r="AA29" s="206">
        <f>'P &amp; NP'!GY506</f>
        <v>0</v>
      </c>
      <c r="AB29" s="206">
        <f>'P &amp; NP'!GZ506</f>
        <v>0</v>
      </c>
      <c r="AC29" s="206">
        <f>'P &amp; NP'!HO506</f>
        <v>0</v>
      </c>
      <c r="AD29" s="206">
        <f>'P &amp; NP'!HP506</f>
        <v>0</v>
      </c>
      <c r="AE29" s="206">
        <f>'P &amp; NP'!IE506</f>
        <v>0</v>
      </c>
      <c r="AF29" s="206">
        <f>'P &amp; NP'!IF506</f>
        <v>0</v>
      </c>
      <c r="AG29" s="206">
        <f>'P &amp; NP'!IU506</f>
        <v>0</v>
      </c>
      <c r="AH29" s="206">
        <f>'P &amp; NP'!IV506</f>
        <v>0</v>
      </c>
      <c r="AI29" s="206">
        <f>'P &amp; NP'!JK506</f>
        <v>0</v>
      </c>
      <c r="AJ29" s="206">
        <f>'P &amp; NP'!JL506</f>
        <v>0</v>
      </c>
      <c r="AK29" s="206">
        <f>'P &amp; NP'!KA506</f>
        <v>0</v>
      </c>
      <c r="AL29" s="206">
        <f>'P &amp; NP'!KB506</f>
        <v>0</v>
      </c>
      <c r="AM29" s="209">
        <f>'P &amp; NP'!KQ506</f>
        <v>0</v>
      </c>
      <c r="AN29" s="209">
        <f>'P &amp; NP'!KR506</f>
        <v>0</v>
      </c>
      <c r="AO29" s="209">
        <f>'P &amp; NP'!LG506</f>
        <v>0</v>
      </c>
      <c r="AP29" s="209">
        <f>'P &amp; NP'!LH506</f>
        <v>0</v>
      </c>
      <c r="AQ29" s="209">
        <f>'P &amp; NP'!LW506</f>
        <v>0</v>
      </c>
      <c r="AR29" s="209">
        <f>'P &amp; NP'!LX506</f>
        <v>0</v>
      </c>
      <c r="AS29" s="209">
        <f>'P &amp; NP'!MM506</f>
        <v>0</v>
      </c>
      <c r="AT29" s="209">
        <f>'P &amp; NP'!MN506</f>
        <v>0</v>
      </c>
      <c r="AU29" s="209">
        <f>'P &amp; NP'!NC506</f>
        <v>0</v>
      </c>
      <c r="AV29" s="209">
        <f>'P &amp; NP'!ND506</f>
        <v>0</v>
      </c>
      <c r="AW29" s="209">
        <f>'P &amp; NP'!NS506</f>
        <v>0</v>
      </c>
      <c r="AX29" s="209">
        <f>'P &amp; NP'!NT506</f>
        <v>0</v>
      </c>
      <c r="AY29" s="209">
        <f>'P &amp; NP'!OI506</f>
        <v>0</v>
      </c>
      <c r="AZ29" s="209">
        <f>'P &amp; NP'!OJ506</f>
        <v>0</v>
      </c>
      <c r="BA29" s="209">
        <f>'P &amp; NP'!OY506</f>
        <v>0</v>
      </c>
      <c r="BB29" s="209">
        <f>'P &amp; NP'!OZ506</f>
        <v>0</v>
      </c>
      <c r="BC29" s="209">
        <f>'P &amp; NP'!PO506</f>
        <v>0</v>
      </c>
      <c r="BD29" s="209">
        <f>'P &amp; NP'!PP506</f>
        <v>0</v>
      </c>
      <c r="BE29" s="209">
        <f>'P &amp; NP'!QE506</f>
        <v>0</v>
      </c>
      <c r="BF29" s="209">
        <f>'P &amp; NP'!QF506</f>
        <v>0</v>
      </c>
      <c r="BG29" s="209">
        <f>'P &amp; NP'!QU506</f>
        <v>0</v>
      </c>
      <c r="BH29" s="209">
        <f>'P &amp; NP'!QV506</f>
        <v>0</v>
      </c>
      <c r="BI29" s="209">
        <f>'P &amp; NP'!RK506</f>
        <v>0</v>
      </c>
      <c r="BJ29" s="209">
        <f>'P &amp; NP'!RL506</f>
        <v>0</v>
      </c>
      <c r="BK29" s="209">
        <f>'P &amp; NP'!SA506</f>
        <v>0</v>
      </c>
      <c r="BL29" s="209">
        <f>'P &amp; NP'!SB506</f>
        <v>0</v>
      </c>
      <c r="BM29" s="209">
        <f>'P &amp; NP'!SQ506</f>
        <v>0</v>
      </c>
      <c r="BN29" s="209">
        <f>'P &amp; NP'!SR506</f>
        <v>0</v>
      </c>
      <c r="BO29" s="209">
        <f>'P &amp; NP'!TG506</f>
        <v>0</v>
      </c>
      <c r="BP29" s="209">
        <f>'P &amp; NP'!TH506</f>
        <v>0</v>
      </c>
      <c r="BQ29" s="209">
        <f>'P &amp; NP'!TW506</f>
        <v>0</v>
      </c>
      <c r="BR29" s="209">
        <f>'P &amp; NP'!TX506</f>
        <v>0</v>
      </c>
      <c r="BS29" s="209">
        <f>'P &amp; NP'!UM506</f>
        <v>0</v>
      </c>
      <c r="BT29" s="209">
        <f>'P &amp; NP'!UN506</f>
        <v>0</v>
      </c>
      <c r="BU29" s="209">
        <f>'P &amp; NP'!VC506</f>
        <v>0</v>
      </c>
      <c r="BV29" s="209">
        <f>'P &amp; NP'!VD506</f>
        <v>0</v>
      </c>
      <c r="BW29" s="209">
        <f>'P &amp; NP'!VS506</f>
        <v>0</v>
      </c>
      <c r="BX29" s="209">
        <f>'P &amp; NP'!VT506</f>
        <v>0</v>
      </c>
      <c r="BY29" s="209">
        <f>'P &amp; NP'!WI506</f>
        <v>0</v>
      </c>
      <c r="BZ29" s="209">
        <f>'P &amp; NP'!WJ506</f>
        <v>0</v>
      </c>
      <c r="CB29" s="206">
        <f t="shared" si="3"/>
        <v>13997</v>
      </c>
      <c r="CC29" s="206">
        <f t="shared" si="3"/>
        <v>139970</v>
      </c>
    </row>
    <row r="30" spans="2:81">
      <c r="B30" s="207" t="str">
        <f>'P &amp; NP'!B36</f>
        <v>Teri</v>
      </c>
      <c r="C30" s="206">
        <f>'P &amp; NP'!O507</f>
        <v>0</v>
      </c>
      <c r="D30" s="206">
        <f>'P &amp; NP'!P507</f>
        <v>0</v>
      </c>
      <c r="E30" s="206">
        <f>'P &amp; NP'!AE507</f>
        <v>0</v>
      </c>
      <c r="F30" s="206">
        <f>'P &amp; NP'!AF507</f>
        <v>0</v>
      </c>
      <c r="G30" s="206">
        <f>'P &amp; NP'!AU507</f>
        <v>0</v>
      </c>
      <c r="H30" s="206">
        <f>'P &amp; NP'!AV507</f>
        <v>0</v>
      </c>
      <c r="I30" s="206">
        <f>'P &amp; NP'!BK507</f>
        <v>0</v>
      </c>
      <c r="J30" s="206">
        <f>'P &amp; NP'!BL507</f>
        <v>0</v>
      </c>
      <c r="K30" s="206">
        <f>'P &amp; NP'!CA507</f>
        <v>0</v>
      </c>
      <c r="L30" s="206">
        <f>'P &amp; NP'!CB507</f>
        <v>0</v>
      </c>
      <c r="M30" s="206">
        <f>'P &amp; NP'!CQ507</f>
        <v>0</v>
      </c>
      <c r="N30" s="206">
        <f>'P &amp; NP'!CR507</f>
        <v>0</v>
      </c>
      <c r="O30" s="206">
        <f>'P &amp; NP'!DG507</f>
        <v>0</v>
      </c>
      <c r="P30" s="206">
        <f>'P &amp; NP'!DH507</f>
        <v>0</v>
      </c>
      <c r="Q30" s="206">
        <f>'P &amp; NP'!DW507</f>
        <v>0</v>
      </c>
      <c r="R30" s="206">
        <f>'P &amp; NP'!DX507</f>
        <v>0</v>
      </c>
      <c r="S30" s="206">
        <f>'P &amp; NP'!EM507</f>
        <v>0</v>
      </c>
      <c r="T30" s="206">
        <f>'P &amp; NP'!EN507</f>
        <v>0</v>
      </c>
      <c r="U30" s="206">
        <f>'P &amp; NP'!FC507</f>
        <v>0</v>
      </c>
      <c r="V30" s="206">
        <f>'P &amp; NP'!FD507</f>
        <v>0</v>
      </c>
      <c r="W30" s="206">
        <f>'P &amp; NP'!FS507</f>
        <v>0</v>
      </c>
      <c r="X30" s="206">
        <f>'P &amp; NP'!FT507</f>
        <v>0</v>
      </c>
      <c r="Y30" s="206">
        <f>'P &amp; NP'!GI507</f>
        <v>0</v>
      </c>
      <c r="Z30" s="206">
        <f>'P &amp; NP'!GJ507</f>
        <v>0</v>
      </c>
      <c r="AA30" s="206">
        <f>'P &amp; NP'!GY507</f>
        <v>0</v>
      </c>
      <c r="AB30" s="206">
        <f>'P &amp; NP'!GZ507</f>
        <v>0</v>
      </c>
      <c r="AC30" s="206">
        <f>'P &amp; NP'!HO507</f>
        <v>0</v>
      </c>
      <c r="AD30" s="206">
        <f>'P &amp; NP'!HP507</f>
        <v>0</v>
      </c>
      <c r="AE30" s="206">
        <f>'P &amp; NP'!IE507</f>
        <v>0</v>
      </c>
      <c r="AF30" s="206">
        <f>'P &amp; NP'!IF507</f>
        <v>0</v>
      </c>
      <c r="AG30" s="206">
        <f>'P &amp; NP'!IU507</f>
        <v>0</v>
      </c>
      <c r="AH30" s="206">
        <f>'P &amp; NP'!IV507</f>
        <v>0</v>
      </c>
      <c r="AI30" s="206">
        <f>'P &amp; NP'!JK507</f>
        <v>0</v>
      </c>
      <c r="AJ30" s="206">
        <f>'P &amp; NP'!JL507</f>
        <v>0</v>
      </c>
      <c r="AK30" s="206">
        <f>'P &amp; NP'!KA507</f>
        <v>0</v>
      </c>
      <c r="AL30" s="206">
        <f>'P &amp; NP'!KB507</f>
        <v>0</v>
      </c>
      <c r="AM30" s="209">
        <f>'P &amp; NP'!KQ507</f>
        <v>0</v>
      </c>
      <c r="AN30" s="209">
        <f>'P &amp; NP'!KR507</f>
        <v>0</v>
      </c>
      <c r="AO30" s="209">
        <f>'P &amp; NP'!LG507</f>
        <v>0</v>
      </c>
      <c r="AP30" s="209">
        <f>'P &amp; NP'!LH507</f>
        <v>0</v>
      </c>
      <c r="AQ30" s="209">
        <f>'P &amp; NP'!LW507</f>
        <v>0</v>
      </c>
      <c r="AR30" s="209">
        <f>'P &amp; NP'!LX507</f>
        <v>0</v>
      </c>
      <c r="AS30" s="209">
        <f>'P &amp; NP'!MM507</f>
        <v>0</v>
      </c>
      <c r="AT30" s="209">
        <f>'P &amp; NP'!MN507</f>
        <v>0</v>
      </c>
      <c r="AU30" s="209">
        <f>'P &amp; NP'!NC507</f>
        <v>0</v>
      </c>
      <c r="AV30" s="209">
        <f>'P &amp; NP'!ND507</f>
        <v>0</v>
      </c>
      <c r="AW30" s="209">
        <f>'P &amp; NP'!NS507</f>
        <v>0</v>
      </c>
      <c r="AX30" s="209">
        <f>'P &amp; NP'!NT507</f>
        <v>0</v>
      </c>
      <c r="AY30" s="209">
        <f>'P &amp; NP'!OI507</f>
        <v>0</v>
      </c>
      <c r="AZ30" s="209">
        <f>'P &amp; NP'!OJ507</f>
        <v>0</v>
      </c>
      <c r="BA30" s="209">
        <f>'P &amp; NP'!OY507</f>
        <v>0</v>
      </c>
      <c r="BB30" s="209">
        <f>'P &amp; NP'!OZ507</f>
        <v>0</v>
      </c>
      <c r="BC30" s="209">
        <f>'P &amp; NP'!PO507</f>
        <v>0</v>
      </c>
      <c r="BD30" s="209">
        <f>'P &amp; NP'!PP507</f>
        <v>0</v>
      </c>
      <c r="BE30" s="209">
        <f>'P &amp; NP'!QE507</f>
        <v>0</v>
      </c>
      <c r="BF30" s="209">
        <f>'P &amp; NP'!QF507</f>
        <v>0</v>
      </c>
      <c r="BG30" s="209">
        <f>'P &amp; NP'!QU507</f>
        <v>0</v>
      </c>
      <c r="BH30" s="209">
        <f>'P &amp; NP'!QV507</f>
        <v>0</v>
      </c>
      <c r="BI30" s="209">
        <f>'P &amp; NP'!RK507</f>
        <v>0</v>
      </c>
      <c r="BJ30" s="209">
        <f>'P &amp; NP'!RL507</f>
        <v>0</v>
      </c>
      <c r="BK30" s="209">
        <f>'P &amp; NP'!SA507</f>
        <v>0</v>
      </c>
      <c r="BL30" s="209">
        <f>'P &amp; NP'!SB507</f>
        <v>0</v>
      </c>
      <c r="BM30" s="209">
        <f>'P &amp; NP'!SQ507</f>
        <v>0</v>
      </c>
      <c r="BN30" s="209">
        <f>'P &amp; NP'!SR507</f>
        <v>0</v>
      </c>
      <c r="BO30" s="209">
        <f>'P &amp; NP'!TG507</f>
        <v>0</v>
      </c>
      <c r="BP30" s="209">
        <f>'P &amp; NP'!TH507</f>
        <v>0</v>
      </c>
      <c r="BQ30" s="209">
        <f>'P &amp; NP'!TW507</f>
        <v>0</v>
      </c>
      <c r="BR30" s="209">
        <f>'P &amp; NP'!TX507</f>
        <v>0</v>
      </c>
      <c r="BS30" s="209">
        <f>'P &amp; NP'!UM507</f>
        <v>0</v>
      </c>
      <c r="BT30" s="209">
        <f>'P &amp; NP'!UN507</f>
        <v>0</v>
      </c>
      <c r="BU30" s="209">
        <f>'P &amp; NP'!VC507</f>
        <v>0</v>
      </c>
      <c r="BV30" s="209">
        <f>'P &amp; NP'!VD507</f>
        <v>0</v>
      </c>
      <c r="BW30" s="209">
        <f>'P &amp; NP'!VS507</f>
        <v>0</v>
      </c>
      <c r="BX30" s="209">
        <f>'P &amp; NP'!VT507</f>
        <v>0</v>
      </c>
      <c r="BY30" s="209">
        <f>'P &amp; NP'!WI507</f>
        <v>0</v>
      </c>
      <c r="BZ30" s="209">
        <f>'P &amp; NP'!WJ507</f>
        <v>0</v>
      </c>
      <c r="CB30" s="206">
        <f t="shared" si="3"/>
        <v>0</v>
      </c>
      <c r="CC30" s="206">
        <f t="shared" si="3"/>
        <v>0</v>
      </c>
    </row>
    <row r="31" spans="2:81">
      <c r="B31" s="207" t="str">
        <f>'P &amp; NP'!B37</f>
        <v xml:space="preserve">Udang Galah </v>
      </c>
      <c r="C31" s="206">
        <f>'P &amp; NP'!O508</f>
        <v>0</v>
      </c>
      <c r="D31" s="206">
        <f>'P &amp; NP'!P508</f>
        <v>0</v>
      </c>
      <c r="E31" s="206">
        <f>'P &amp; NP'!AE508</f>
        <v>0</v>
      </c>
      <c r="F31" s="206">
        <f>'P &amp; NP'!AF508</f>
        <v>0</v>
      </c>
      <c r="G31" s="206">
        <f>'P &amp; NP'!AU508</f>
        <v>0</v>
      </c>
      <c r="H31" s="206">
        <f>'P &amp; NP'!AV508</f>
        <v>0</v>
      </c>
      <c r="I31" s="206">
        <f>'P &amp; NP'!BK508</f>
        <v>0</v>
      </c>
      <c r="J31" s="206">
        <f>'P &amp; NP'!BL508</f>
        <v>0</v>
      </c>
      <c r="K31" s="206">
        <f>'P &amp; NP'!CA508</f>
        <v>0</v>
      </c>
      <c r="L31" s="206">
        <f>'P &amp; NP'!CB508</f>
        <v>0</v>
      </c>
      <c r="M31" s="206">
        <f>'P &amp; NP'!CQ508</f>
        <v>0</v>
      </c>
      <c r="N31" s="206">
        <f>'P &amp; NP'!CR508</f>
        <v>0</v>
      </c>
      <c r="O31" s="206">
        <f>'P &amp; NP'!DG508</f>
        <v>0</v>
      </c>
      <c r="P31" s="206">
        <f>'P &amp; NP'!DH508</f>
        <v>0</v>
      </c>
      <c r="Q31" s="206">
        <f>'P &amp; NP'!DW508</f>
        <v>0</v>
      </c>
      <c r="R31" s="206">
        <f>'P &amp; NP'!DX508</f>
        <v>0</v>
      </c>
      <c r="S31" s="206">
        <f>'P &amp; NP'!EM508</f>
        <v>0</v>
      </c>
      <c r="T31" s="206">
        <f>'P &amp; NP'!EN508</f>
        <v>0</v>
      </c>
      <c r="U31" s="206">
        <f>'P &amp; NP'!FC508</f>
        <v>0</v>
      </c>
      <c r="V31" s="206">
        <f>'P &amp; NP'!FD508</f>
        <v>0</v>
      </c>
      <c r="W31" s="206">
        <f>'P &amp; NP'!FS508</f>
        <v>0</v>
      </c>
      <c r="X31" s="206">
        <f>'P &amp; NP'!FT508</f>
        <v>0</v>
      </c>
      <c r="Y31" s="206">
        <f>'P &amp; NP'!GI508</f>
        <v>0</v>
      </c>
      <c r="Z31" s="206">
        <f>'P &amp; NP'!GJ508</f>
        <v>0</v>
      </c>
      <c r="AA31" s="206">
        <f>'P &amp; NP'!GY508</f>
        <v>0</v>
      </c>
      <c r="AB31" s="206">
        <f>'P &amp; NP'!GZ508</f>
        <v>0</v>
      </c>
      <c r="AC31" s="206">
        <f>'P &amp; NP'!HO508</f>
        <v>0</v>
      </c>
      <c r="AD31" s="206">
        <f>'P &amp; NP'!HP508</f>
        <v>0</v>
      </c>
      <c r="AE31" s="206">
        <f>'P &amp; NP'!IE508</f>
        <v>0</v>
      </c>
      <c r="AF31" s="206">
        <f>'P &amp; NP'!IF508</f>
        <v>0</v>
      </c>
      <c r="AG31" s="206">
        <f>'P &amp; NP'!IU508</f>
        <v>0</v>
      </c>
      <c r="AH31" s="206">
        <f>'P &amp; NP'!IV508</f>
        <v>0</v>
      </c>
      <c r="AI31" s="206">
        <f>'P &amp; NP'!JK508</f>
        <v>0</v>
      </c>
      <c r="AJ31" s="206">
        <f>'P &amp; NP'!JL508</f>
        <v>0</v>
      </c>
      <c r="AK31" s="206">
        <f>'P &amp; NP'!KA508</f>
        <v>0</v>
      </c>
      <c r="AL31" s="206">
        <f>'P &amp; NP'!KB508</f>
        <v>0</v>
      </c>
      <c r="AM31" s="209">
        <f>'P &amp; NP'!KQ508</f>
        <v>0</v>
      </c>
      <c r="AN31" s="209">
        <f>'P &amp; NP'!KR508</f>
        <v>0</v>
      </c>
      <c r="AO31" s="209">
        <f>'P &amp; NP'!LG508</f>
        <v>0</v>
      </c>
      <c r="AP31" s="209">
        <f>'P &amp; NP'!LH508</f>
        <v>0</v>
      </c>
      <c r="AQ31" s="209">
        <f>'P &amp; NP'!LW508</f>
        <v>0</v>
      </c>
      <c r="AR31" s="209">
        <f>'P &amp; NP'!LX508</f>
        <v>0</v>
      </c>
      <c r="AS31" s="209">
        <f>'P &amp; NP'!MM508</f>
        <v>0</v>
      </c>
      <c r="AT31" s="209">
        <f>'P &amp; NP'!MN508</f>
        <v>0</v>
      </c>
      <c r="AU31" s="209">
        <f>'P &amp; NP'!NC508</f>
        <v>0</v>
      </c>
      <c r="AV31" s="209">
        <f>'P &amp; NP'!ND508</f>
        <v>0</v>
      </c>
      <c r="AW31" s="209">
        <f>'P &amp; NP'!NS508</f>
        <v>0</v>
      </c>
      <c r="AX31" s="209">
        <f>'P &amp; NP'!NT508</f>
        <v>0</v>
      </c>
      <c r="AY31" s="209">
        <f>'P &amp; NP'!OI508</f>
        <v>0</v>
      </c>
      <c r="AZ31" s="209">
        <f>'P &amp; NP'!OJ508</f>
        <v>0</v>
      </c>
      <c r="BA31" s="209">
        <f>'P &amp; NP'!OY508</f>
        <v>0</v>
      </c>
      <c r="BB31" s="209">
        <f>'P &amp; NP'!OZ508</f>
        <v>0</v>
      </c>
      <c r="BC31" s="209">
        <f>'P &amp; NP'!PO508</f>
        <v>0</v>
      </c>
      <c r="BD31" s="209">
        <f>'P &amp; NP'!PP508</f>
        <v>0</v>
      </c>
      <c r="BE31" s="209">
        <f>'P &amp; NP'!QE508</f>
        <v>0</v>
      </c>
      <c r="BF31" s="209">
        <f>'P &amp; NP'!QF508</f>
        <v>0</v>
      </c>
      <c r="BG31" s="209">
        <f>'P &amp; NP'!QU508</f>
        <v>0</v>
      </c>
      <c r="BH31" s="209">
        <f>'P &amp; NP'!QV508</f>
        <v>0</v>
      </c>
      <c r="BI31" s="209">
        <f>'P &amp; NP'!RK508</f>
        <v>0</v>
      </c>
      <c r="BJ31" s="209">
        <f>'P &amp; NP'!RL508</f>
        <v>0</v>
      </c>
      <c r="BK31" s="209">
        <f>'P &amp; NP'!SA508</f>
        <v>0</v>
      </c>
      <c r="BL31" s="209">
        <f>'P &amp; NP'!SB508</f>
        <v>0</v>
      </c>
      <c r="BM31" s="209">
        <f>'P &amp; NP'!SQ508</f>
        <v>0</v>
      </c>
      <c r="BN31" s="209">
        <f>'P &amp; NP'!SR508</f>
        <v>0</v>
      </c>
      <c r="BO31" s="209">
        <f>'P &amp; NP'!TG508</f>
        <v>0</v>
      </c>
      <c r="BP31" s="209">
        <f>'P &amp; NP'!TH508</f>
        <v>0</v>
      </c>
      <c r="BQ31" s="209">
        <f>'P &amp; NP'!TW508</f>
        <v>0</v>
      </c>
      <c r="BR31" s="209">
        <f>'P &amp; NP'!TX508</f>
        <v>0</v>
      </c>
      <c r="BS31" s="209">
        <f>'P &amp; NP'!UM508</f>
        <v>0</v>
      </c>
      <c r="BT31" s="209">
        <f>'P &amp; NP'!UN508</f>
        <v>0</v>
      </c>
      <c r="BU31" s="209">
        <f>'P &amp; NP'!VC508</f>
        <v>0</v>
      </c>
      <c r="BV31" s="209">
        <f>'P &amp; NP'!VD508</f>
        <v>0</v>
      </c>
      <c r="BW31" s="209">
        <f>'P &amp; NP'!VS508</f>
        <v>0</v>
      </c>
      <c r="BX31" s="209">
        <f>'P &amp; NP'!VT508</f>
        <v>0</v>
      </c>
      <c r="BY31" s="209">
        <f>'P &amp; NP'!WI508</f>
        <v>0</v>
      </c>
      <c r="BZ31" s="209">
        <f>'P &amp; NP'!WJ508</f>
        <v>0</v>
      </c>
      <c r="CB31" s="206">
        <f t="shared" si="3"/>
        <v>0</v>
      </c>
      <c r="CC31" s="206">
        <f t="shared" si="3"/>
        <v>0</v>
      </c>
    </row>
    <row r="32" spans="2:81">
      <c r="B32" s="207" t="str">
        <f>'P &amp; NP'!B38</f>
        <v>Udang Putih</v>
      </c>
      <c r="C32" s="206">
        <f>'P &amp; NP'!O509</f>
        <v>0</v>
      </c>
      <c r="D32" s="206">
        <f>'P &amp; NP'!P509</f>
        <v>0</v>
      </c>
      <c r="E32" s="206">
        <f>'P &amp; NP'!AE509</f>
        <v>0</v>
      </c>
      <c r="F32" s="206">
        <f>'P &amp; NP'!AF509</f>
        <v>0</v>
      </c>
      <c r="G32" s="206">
        <f>'P &amp; NP'!AU509</f>
        <v>0</v>
      </c>
      <c r="H32" s="206">
        <f>'P &amp; NP'!AV509</f>
        <v>0</v>
      </c>
      <c r="I32" s="206">
        <f>'P &amp; NP'!BK509</f>
        <v>0</v>
      </c>
      <c r="J32" s="206">
        <f>'P &amp; NP'!BL509</f>
        <v>0</v>
      </c>
      <c r="K32" s="206">
        <f>'P &amp; NP'!CA509</f>
        <v>0</v>
      </c>
      <c r="L32" s="206">
        <f>'P &amp; NP'!CB509</f>
        <v>0</v>
      </c>
      <c r="M32" s="206">
        <f>'P &amp; NP'!CQ509</f>
        <v>0</v>
      </c>
      <c r="N32" s="206">
        <f>'P &amp; NP'!CR509</f>
        <v>0</v>
      </c>
      <c r="O32" s="206">
        <f>'P &amp; NP'!DG509</f>
        <v>0</v>
      </c>
      <c r="P32" s="206">
        <f>'P &amp; NP'!DH509</f>
        <v>0</v>
      </c>
      <c r="Q32" s="206">
        <f>'P &amp; NP'!DW509</f>
        <v>0</v>
      </c>
      <c r="R32" s="206">
        <f>'P &amp; NP'!DX509</f>
        <v>0</v>
      </c>
      <c r="S32" s="206">
        <f>'P &amp; NP'!EM509</f>
        <v>0</v>
      </c>
      <c r="T32" s="206">
        <f>'P &amp; NP'!EN509</f>
        <v>0</v>
      </c>
      <c r="U32" s="206">
        <f>'P &amp; NP'!FC509</f>
        <v>0</v>
      </c>
      <c r="V32" s="206">
        <f>'P &amp; NP'!FD509</f>
        <v>0</v>
      </c>
      <c r="W32" s="206">
        <f>'P &amp; NP'!FS509</f>
        <v>0</v>
      </c>
      <c r="X32" s="206">
        <f>'P &amp; NP'!FT509</f>
        <v>0</v>
      </c>
      <c r="Y32" s="206">
        <f>'P &amp; NP'!GI509</f>
        <v>0</v>
      </c>
      <c r="Z32" s="206">
        <f>'P &amp; NP'!GJ509</f>
        <v>0</v>
      </c>
      <c r="AA32" s="206">
        <f>'P &amp; NP'!GY509</f>
        <v>0</v>
      </c>
      <c r="AB32" s="206">
        <f>'P &amp; NP'!GZ509</f>
        <v>0</v>
      </c>
      <c r="AC32" s="206">
        <f>'P &amp; NP'!HO509</f>
        <v>0</v>
      </c>
      <c r="AD32" s="206">
        <f>'P &amp; NP'!HP509</f>
        <v>0</v>
      </c>
      <c r="AE32" s="206">
        <f>'P &amp; NP'!IE509</f>
        <v>0</v>
      </c>
      <c r="AF32" s="206">
        <f>'P &amp; NP'!IF509</f>
        <v>0</v>
      </c>
      <c r="AG32" s="206">
        <f>'P &amp; NP'!IU509</f>
        <v>0</v>
      </c>
      <c r="AH32" s="206">
        <f>'P &amp; NP'!IV509</f>
        <v>0</v>
      </c>
      <c r="AI32" s="206">
        <f>'P &amp; NP'!JK509</f>
        <v>0</v>
      </c>
      <c r="AJ32" s="206">
        <f>'P &amp; NP'!JL509</f>
        <v>0</v>
      </c>
      <c r="AK32" s="206">
        <f>'P &amp; NP'!KA509</f>
        <v>0</v>
      </c>
      <c r="AL32" s="206">
        <f>'P &amp; NP'!KB509</f>
        <v>0</v>
      </c>
      <c r="AM32" s="209">
        <f>'P &amp; NP'!KQ509</f>
        <v>0</v>
      </c>
      <c r="AN32" s="209">
        <f>'P &amp; NP'!KR509</f>
        <v>0</v>
      </c>
      <c r="AO32" s="209">
        <f>'P &amp; NP'!LG509</f>
        <v>0</v>
      </c>
      <c r="AP32" s="209">
        <f>'P &amp; NP'!LH509</f>
        <v>0</v>
      </c>
      <c r="AQ32" s="209">
        <f>'P &amp; NP'!LW509</f>
        <v>0</v>
      </c>
      <c r="AR32" s="209">
        <f>'P &amp; NP'!LX509</f>
        <v>0</v>
      </c>
      <c r="AS32" s="209">
        <f>'P &amp; NP'!MM509</f>
        <v>0</v>
      </c>
      <c r="AT32" s="209">
        <f>'P &amp; NP'!MN509</f>
        <v>0</v>
      </c>
      <c r="AU32" s="209">
        <f>'P &amp; NP'!NC509</f>
        <v>0</v>
      </c>
      <c r="AV32" s="209">
        <f>'P &amp; NP'!ND509</f>
        <v>0</v>
      </c>
      <c r="AW32" s="209">
        <f>'P &amp; NP'!NS509</f>
        <v>0</v>
      </c>
      <c r="AX32" s="209">
        <f>'P &amp; NP'!NT509</f>
        <v>0</v>
      </c>
      <c r="AY32" s="209">
        <f>'P &amp; NP'!OI509</f>
        <v>0</v>
      </c>
      <c r="AZ32" s="209">
        <f>'P &amp; NP'!OJ509</f>
        <v>0</v>
      </c>
      <c r="BA32" s="209">
        <f>'P &amp; NP'!OY509</f>
        <v>0</v>
      </c>
      <c r="BB32" s="209">
        <f>'P &amp; NP'!OZ509</f>
        <v>0</v>
      </c>
      <c r="BC32" s="209">
        <f>'P &amp; NP'!PO509</f>
        <v>0</v>
      </c>
      <c r="BD32" s="209">
        <f>'P &amp; NP'!PP509</f>
        <v>0</v>
      </c>
      <c r="BE32" s="209">
        <f>'P &amp; NP'!QE509</f>
        <v>0</v>
      </c>
      <c r="BF32" s="209">
        <f>'P &amp; NP'!QF509</f>
        <v>0</v>
      </c>
      <c r="BG32" s="209">
        <f>'P &amp; NP'!QU509</f>
        <v>0</v>
      </c>
      <c r="BH32" s="209">
        <f>'P &amp; NP'!QV509</f>
        <v>0</v>
      </c>
      <c r="BI32" s="209">
        <f>'P &amp; NP'!RK509</f>
        <v>0</v>
      </c>
      <c r="BJ32" s="209">
        <f>'P &amp; NP'!RL509</f>
        <v>0</v>
      </c>
      <c r="BK32" s="209">
        <f>'P &amp; NP'!SA509</f>
        <v>0</v>
      </c>
      <c r="BL32" s="209">
        <f>'P &amp; NP'!SB509</f>
        <v>0</v>
      </c>
      <c r="BM32" s="209">
        <f>'P &amp; NP'!SQ509</f>
        <v>0</v>
      </c>
      <c r="BN32" s="209">
        <f>'P &amp; NP'!SR509</f>
        <v>0</v>
      </c>
      <c r="BO32" s="209">
        <f>'P &amp; NP'!TG509</f>
        <v>0</v>
      </c>
      <c r="BP32" s="209">
        <f>'P &amp; NP'!TH509</f>
        <v>0</v>
      </c>
      <c r="BQ32" s="209">
        <f>'P &amp; NP'!TW509</f>
        <v>0</v>
      </c>
      <c r="BR32" s="209">
        <f>'P &amp; NP'!TX509</f>
        <v>0</v>
      </c>
      <c r="BS32" s="209">
        <f>'P &amp; NP'!UM509</f>
        <v>0</v>
      </c>
      <c r="BT32" s="209">
        <f>'P &amp; NP'!UN509</f>
        <v>0</v>
      </c>
      <c r="BU32" s="209">
        <f>'P &amp; NP'!VC509</f>
        <v>0</v>
      </c>
      <c r="BV32" s="209">
        <f>'P &amp; NP'!VD509</f>
        <v>0</v>
      </c>
      <c r="BW32" s="209">
        <f>'P &amp; NP'!VS509</f>
        <v>0</v>
      </c>
      <c r="BX32" s="209">
        <f>'P &amp; NP'!VT509</f>
        <v>0</v>
      </c>
      <c r="BY32" s="209">
        <f>'P &amp; NP'!WI509</f>
        <v>0</v>
      </c>
      <c r="BZ32" s="209">
        <f>'P &amp; NP'!WJ509</f>
        <v>0</v>
      </c>
      <c r="CB32" s="206">
        <f t="shared" si="3"/>
        <v>0</v>
      </c>
      <c r="CC32" s="206">
        <f t="shared" si="3"/>
        <v>0</v>
      </c>
    </row>
    <row r="33" spans="1:81">
      <c r="B33" s="207" t="str">
        <f>'P &amp; NP'!B39</f>
        <v xml:space="preserve">Udang Vaname </v>
      </c>
      <c r="C33" s="206">
        <f>'P &amp; NP'!O510</f>
        <v>0</v>
      </c>
      <c r="D33" s="206">
        <f>'P &amp; NP'!P510</f>
        <v>0</v>
      </c>
      <c r="E33" s="206">
        <f>'P &amp; NP'!AE510</f>
        <v>0</v>
      </c>
      <c r="F33" s="206">
        <f>'P &amp; NP'!AF510</f>
        <v>0</v>
      </c>
      <c r="G33" s="206">
        <f>'P &amp; NP'!AU510</f>
        <v>0</v>
      </c>
      <c r="H33" s="206">
        <f>'P &amp; NP'!AV510</f>
        <v>0</v>
      </c>
      <c r="I33" s="206">
        <f>'P &amp; NP'!BK510</f>
        <v>0</v>
      </c>
      <c r="J33" s="206">
        <f>'P &amp; NP'!BL510</f>
        <v>0</v>
      </c>
      <c r="K33" s="206">
        <f>'P &amp; NP'!CA510</f>
        <v>0</v>
      </c>
      <c r="L33" s="206">
        <f>'P &amp; NP'!CB510</f>
        <v>0</v>
      </c>
      <c r="M33" s="206">
        <f>'P &amp; NP'!CQ510</f>
        <v>0</v>
      </c>
      <c r="N33" s="206">
        <f>'P &amp; NP'!CR510</f>
        <v>0</v>
      </c>
      <c r="O33" s="206">
        <f>'P &amp; NP'!DG510</f>
        <v>0</v>
      </c>
      <c r="P33" s="206">
        <f>'P &amp; NP'!DH510</f>
        <v>0</v>
      </c>
      <c r="Q33" s="206">
        <f>'P &amp; NP'!DW510</f>
        <v>0</v>
      </c>
      <c r="R33" s="206">
        <f>'P &amp; NP'!DX510</f>
        <v>0</v>
      </c>
      <c r="S33" s="206">
        <f>'P &amp; NP'!EM510</f>
        <v>0</v>
      </c>
      <c r="T33" s="206">
        <f>'P &amp; NP'!EN510</f>
        <v>0</v>
      </c>
      <c r="U33" s="206">
        <f>'P &amp; NP'!FC510</f>
        <v>0</v>
      </c>
      <c r="V33" s="206">
        <f>'P &amp; NP'!FD510</f>
        <v>0</v>
      </c>
      <c r="W33" s="206">
        <f>'P &amp; NP'!FS510</f>
        <v>0</v>
      </c>
      <c r="X33" s="206">
        <f>'P &amp; NP'!FT510</f>
        <v>0</v>
      </c>
      <c r="Y33" s="206">
        <f>'P &amp; NP'!GI510</f>
        <v>0</v>
      </c>
      <c r="Z33" s="206">
        <f>'P &amp; NP'!GJ510</f>
        <v>0</v>
      </c>
      <c r="AA33" s="206">
        <f>'P &amp; NP'!GY510</f>
        <v>0</v>
      </c>
      <c r="AB33" s="206">
        <f>'P &amp; NP'!GZ510</f>
        <v>0</v>
      </c>
      <c r="AC33" s="206">
        <f>'P &amp; NP'!HO510</f>
        <v>0</v>
      </c>
      <c r="AD33" s="206">
        <f>'P &amp; NP'!HP510</f>
        <v>0</v>
      </c>
      <c r="AE33" s="206">
        <f>'P &amp; NP'!IE510</f>
        <v>0</v>
      </c>
      <c r="AF33" s="206">
        <f>'P &amp; NP'!IF510</f>
        <v>0</v>
      </c>
      <c r="AG33" s="206">
        <f>'P &amp; NP'!IU510</f>
        <v>0</v>
      </c>
      <c r="AH33" s="206">
        <f>'P &amp; NP'!IV510</f>
        <v>0</v>
      </c>
      <c r="AI33" s="206">
        <f>'P &amp; NP'!JK510</f>
        <v>0</v>
      </c>
      <c r="AJ33" s="206">
        <f>'P &amp; NP'!JL510</f>
        <v>0</v>
      </c>
      <c r="AK33" s="206">
        <f>'P &amp; NP'!KA510</f>
        <v>0</v>
      </c>
      <c r="AL33" s="206">
        <f>'P &amp; NP'!KB510</f>
        <v>0</v>
      </c>
      <c r="AM33" s="209">
        <f>'P &amp; NP'!KQ510</f>
        <v>0</v>
      </c>
      <c r="AN33" s="209">
        <f>'P &amp; NP'!KR510</f>
        <v>0</v>
      </c>
      <c r="AO33" s="209">
        <f>'P &amp; NP'!LG510</f>
        <v>0</v>
      </c>
      <c r="AP33" s="209">
        <f>'P &amp; NP'!LH510</f>
        <v>0</v>
      </c>
      <c r="AQ33" s="209">
        <f>'P &amp; NP'!LW510</f>
        <v>0</v>
      </c>
      <c r="AR33" s="209">
        <f>'P &amp; NP'!LX510</f>
        <v>0</v>
      </c>
      <c r="AS33" s="209">
        <f>'P &amp; NP'!MM510</f>
        <v>0</v>
      </c>
      <c r="AT33" s="209">
        <f>'P &amp; NP'!MN510</f>
        <v>0</v>
      </c>
      <c r="AU33" s="209">
        <f>'P &amp; NP'!NC510</f>
        <v>0</v>
      </c>
      <c r="AV33" s="209">
        <f>'P &amp; NP'!ND510</f>
        <v>0</v>
      </c>
      <c r="AW33" s="209">
        <f>'P &amp; NP'!NS510</f>
        <v>0</v>
      </c>
      <c r="AX33" s="209">
        <f>'P &amp; NP'!NT510</f>
        <v>0</v>
      </c>
      <c r="AY33" s="209">
        <f>'P &amp; NP'!OI510</f>
        <v>0</v>
      </c>
      <c r="AZ33" s="209">
        <f>'P &amp; NP'!OJ510</f>
        <v>0</v>
      </c>
      <c r="BA33" s="209">
        <f>'P &amp; NP'!OY510</f>
        <v>0</v>
      </c>
      <c r="BB33" s="209">
        <f>'P &amp; NP'!OZ510</f>
        <v>0</v>
      </c>
      <c r="BC33" s="209">
        <f>'P &amp; NP'!PO510</f>
        <v>0</v>
      </c>
      <c r="BD33" s="209">
        <f>'P &amp; NP'!PP510</f>
        <v>0</v>
      </c>
      <c r="BE33" s="209">
        <f>'P &amp; NP'!QE510</f>
        <v>0</v>
      </c>
      <c r="BF33" s="209">
        <f>'P &amp; NP'!QF510</f>
        <v>0</v>
      </c>
      <c r="BG33" s="209">
        <f>'P &amp; NP'!QU510</f>
        <v>0</v>
      </c>
      <c r="BH33" s="209">
        <f>'P &amp; NP'!QV510</f>
        <v>0</v>
      </c>
      <c r="BI33" s="209">
        <f>'P &amp; NP'!RK510</f>
        <v>0</v>
      </c>
      <c r="BJ33" s="209">
        <f>'P &amp; NP'!RL510</f>
        <v>0</v>
      </c>
      <c r="BK33" s="209">
        <f>'P &amp; NP'!SA510</f>
        <v>0</v>
      </c>
      <c r="BL33" s="209">
        <f>'P &amp; NP'!SB510</f>
        <v>0</v>
      </c>
      <c r="BM33" s="209">
        <f>'P &amp; NP'!SQ510</f>
        <v>0</v>
      </c>
      <c r="BN33" s="209">
        <f>'P &amp; NP'!SR510</f>
        <v>0</v>
      </c>
      <c r="BO33" s="209">
        <f>'P &amp; NP'!TG510</f>
        <v>0</v>
      </c>
      <c r="BP33" s="209">
        <f>'P &amp; NP'!TH510</f>
        <v>0</v>
      </c>
      <c r="BQ33" s="209">
        <f>'P &amp; NP'!TW510</f>
        <v>0</v>
      </c>
      <c r="BR33" s="209">
        <f>'P &amp; NP'!TX510</f>
        <v>0</v>
      </c>
      <c r="BS33" s="209">
        <f>'P &amp; NP'!UM510</f>
        <v>0</v>
      </c>
      <c r="BT33" s="209">
        <f>'P &amp; NP'!UN510</f>
        <v>0</v>
      </c>
      <c r="BU33" s="209">
        <f>'P &amp; NP'!VC510</f>
        <v>0</v>
      </c>
      <c r="BV33" s="209">
        <f>'P &amp; NP'!VD510</f>
        <v>0</v>
      </c>
      <c r="BW33" s="209">
        <f>'P &amp; NP'!VS510</f>
        <v>0</v>
      </c>
      <c r="BX33" s="209">
        <f>'P &amp; NP'!VT510</f>
        <v>0</v>
      </c>
      <c r="BY33" s="209">
        <f>'P &amp; NP'!WI510</f>
        <v>0</v>
      </c>
      <c r="BZ33" s="209">
        <f>'P &amp; NP'!WJ510</f>
        <v>0</v>
      </c>
      <c r="CB33" s="206">
        <f t="shared" si="3"/>
        <v>0</v>
      </c>
      <c r="CC33" s="206">
        <f t="shared" si="3"/>
        <v>0</v>
      </c>
    </row>
    <row r="34" spans="1:81">
      <c r="B34" s="207" t="str">
        <f>'P &amp; NP'!B40</f>
        <v xml:space="preserve">Udang Windu </v>
      </c>
      <c r="C34" s="206">
        <f>'P &amp; NP'!O511</f>
        <v>0</v>
      </c>
      <c r="D34" s="206">
        <f>'P &amp; NP'!P511</f>
        <v>0</v>
      </c>
      <c r="E34" s="206">
        <f>'P &amp; NP'!AE511</f>
        <v>0</v>
      </c>
      <c r="F34" s="206">
        <f>'P &amp; NP'!AF511</f>
        <v>0</v>
      </c>
      <c r="G34" s="206">
        <f>'P &amp; NP'!AU511</f>
        <v>0</v>
      </c>
      <c r="H34" s="206">
        <f>'P &amp; NP'!AV511</f>
        <v>0</v>
      </c>
      <c r="I34" s="206">
        <f>'P &amp; NP'!BK511</f>
        <v>0</v>
      </c>
      <c r="J34" s="206">
        <f>'P &amp; NP'!BL511</f>
        <v>0</v>
      </c>
      <c r="K34" s="206">
        <f>'P &amp; NP'!CA511</f>
        <v>0</v>
      </c>
      <c r="L34" s="206">
        <f>'P &amp; NP'!CB511</f>
        <v>0</v>
      </c>
      <c r="M34" s="206">
        <f>'P &amp; NP'!CQ511</f>
        <v>0</v>
      </c>
      <c r="N34" s="206">
        <f>'P &amp; NP'!CR511</f>
        <v>0</v>
      </c>
      <c r="O34" s="206">
        <f>'P &amp; NP'!DG511</f>
        <v>0</v>
      </c>
      <c r="P34" s="206">
        <f>'P &amp; NP'!DH511</f>
        <v>0</v>
      </c>
      <c r="Q34" s="206">
        <f>'P &amp; NP'!DW511</f>
        <v>0</v>
      </c>
      <c r="R34" s="206">
        <f>'P &amp; NP'!DX511</f>
        <v>0</v>
      </c>
      <c r="S34" s="206">
        <f>'P &amp; NP'!EM511</f>
        <v>0</v>
      </c>
      <c r="T34" s="206">
        <f>'P &amp; NP'!EN511</f>
        <v>0</v>
      </c>
      <c r="U34" s="206">
        <f>'P &amp; NP'!FC511</f>
        <v>0</v>
      </c>
      <c r="V34" s="206">
        <f>'P &amp; NP'!FD511</f>
        <v>0</v>
      </c>
      <c r="W34" s="206">
        <f>'P &amp; NP'!FS511</f>
        <v>0</v>
      </c>
      <c r="X34" s="206">
        <f>'P &amp; NP'!FT511</f>
        <v>0</v>
      </c>
      <c r="Y34" s="206">
        <f>'P &amp; NP'!GI511</f>
        <v>0</v>
      </c>
      <c r="Z34" s="206">
        <f>'P &amp; NP'!GJ511</f>
        <v>0</v>
      </c>
      <c r="AA34" s="206">
        <f>'P &amp; NP'!GY511</f>
        <v>0</v>
      </c>
      <c r="AB34" s="206">
        <f>'P &amp; NP'!GZ511</f>
        <v>0</v>
      </c>
      <c r="AC34" s="206">
        <f>'P &amp; NP'!HO511</f>
        <v>0</v>
      </c>
      <c r="AD34" s="206">
        <f>'P &amp; NP'!HP511</f>
        <v>0</v>
      </c>
      <c r="AE34" s="206">
        <f>'P &amp; NP'!IE511</f>
        <v>0</v>
      </c>
      <c r="AF34" s="206">
        <f>'P &amp; NP'!IF511</f>
        <v>0</v>
      </c>
      <c r="AG34" s="206">
        <f>'P &amp; NP'!IU511</f>
        <v>0</v>
      </c>
      <c r="AH34" s="206">
        <f>'P &amp; NP'!IV511</f>
        <v>0</v>
      </c>
      <c r="AI34" s="206">
        <f>'P &amp; NP'!JK511</f>
        <v>0</v>
      </c>
      <c r="AJ34" s="206">
        <f>'P &amp; NP'!JL511</f>
        <v>0</v>
      </c>
      <c r="AK34" s="206">
        <f>'P &amp; NP'!KA511</f>
        <v>0</v>
      </c>
      <c r="AL34" s="206">
        <f>'P &amp; NP'!KB511</f>
        <v>0</v>
      </c>
      <c r="AM34" s="209">
        <f>'P &amp; NP'!KQ511</f>
        <v>0</v>
      </c>
      <c r="AN34" s="209">
        <f>'P &amp; NP'!KR511</f>
        <v>0</v>
      </c>
      <c r="AO34" s="209">
        <f>'P &amp; NP'!LG511</f>
        <v>0</v>
      </c>
      <c r="AP34" s="209">
        <f>'P &amp; NP'!LH511</f>
        <v>0</v>
      </c>
      <c r="AQ34" s="209">
        <f>'P &amp; NP'!LW511</f>
        <v>0</v>
      </c>
      <c r="AR34" s="209">
        <f>'P &amp; NP'!LX511</f>
        <v>0</v>
      </c>
      <c r="AS34" s="209">
        <f>'P &amp; NP'!MM511</f>
        <v>0</v>
      </c>
      <c r="AT34" s="209">
        <f>'P &amp; NP'!MN511</f>
        <v>0</v>
      </c>
      <c r="AU34" s="209">
        <f>'P &amp; NP'!NC511</f>
        <v>0</v>
      </c>
      <c r="AV34" s="209">
        <f>'P &amp; NP'!ND511</f>
        <v>0</v>
      </c>
      <c r="AW34" s="209">
        <f>'P &amp; NP'!NS511</f>
        <v>0</v>
      </c>
      <c r="AX34" s="209">
        <f>'P &amp; NP'!NT511</f>
        <v>0</v>
      </c>
      <c r="AY34" s="209">
        <f>'P &amp; NP'!OI511</f>
        <v>0</v>
      </c>
      <c r="AZ34" s="209">
        <f>'P &amp; NP'!OJ511</f>
        <v>0</v>
      </c>
      <c r="BA34" s="209">
        <f>'P &amp; NP'!OY511</f>
        <v>0</v>
      </c>
      <c r="BB34" s="209">
        <f>'P &amp; NP'!OZ511</f>
        <v>0</v>
      </c>
      <c r="BC34" s="209">
        <f>'P &amp; NP'!PO511</f>
        <v>0</v>
      </c>
      <c r="BD34" s="209">
        <f>'P &amp; NP'!PP511</f>
        <v>0</v>
      </c>
      <c r="BE34" s="209">
        <f>'P &amp; NP'!QE511</f>
        <v>0</v>
      </c>
      <c r="BF34" s="209">
        <f>'P &amp; NP'!QF511</f>
        <v>0</v>
      </c>
      <c r="BG34" s="209">
        <f>'P &amp; NP'!QU511</f>
        <v>0</v>
      </c>
      <c r="BH34" s="209">
        <f>'P &amp; NP'!QV511</f>
        <v>0</v>
      </c>
      <c r="BI34" s="209">
        <f>'P &amp; NP'!RK511</f>
        <v>0</v>
      </c>
      <c r="BJ34" s="209">
        <f>'P &amp; NP'!RL511</f>
        <v>0</v>
      </c>
      <c r="BK34" s="209">
        <f>'P &amp; NP'!SA511</f>
        <v>0</v>
      </c>
      <c r="BL34" s="209">
        <f>'P &amp; NP'!SB511</f>
        <v>0</v>
      </c>
      <c r="BM34" s="209">
        <f>'P &amp; NP'!SQ511</f>
        <v>0</v>
      </c>
      <c r="BN34" s="209">
        <f>'P &amp; NP'!SR511</f>
        <v>0</v>
      </c>
      <c r="BO34" s="209">
        <f>'P &amp; NP'!TG511</f>
        <v>0</v>
      </c>
      <c r="BP34" s="209">
        <f>'P &amp; NP'!TH511</f>
        <v>0</v>
      </c>
      <c r="BQ34" s="209">
        <f>'P &amp; NP'!TW511</f>
        <v>0</v>
      </c>
      <c r="BR34" s="209">
        <f>'P &amp; NP'!TX511</f>
        <v>0</v>
      </c>
      <c r="BS34" s="209">
        <f>'P &amp; NP'!UM511</f>
        <v>0</v>
      </c>
      <c r="BT34" s="209">
        <f>'P &amp; NP'!UN511</f>
        <v>0</v>
      </c>
      <c r="BU34" s="209">
        <f>'P &amp; NP'!VC511</f>
        <v>0</v>
      </c>
      <c r="BV34" s="209">
        <f>'P &amp; NP'!VD511</f>
        <v>0</v>
      </c>
      <c r="BW34" s="209">
        <f>'P &amp; NP'!VS511</f>
        <v>0</v>
      </c>
      <c r="BX34" s="209">
        <f>'P &amp; NP'!VT511</f>
        <v>0</v>
      </c>
      <c r="BY34" s="209">
        <f>'P &amp; NP'!WI511</f>
        <v>0</v>
      </c>
      <c r="BZ34" s="209">
        <f>'P &amp; NP'!WJ511</f>
        <v>0</v>
      </c>
      <c r="CB34" s="206">
        <f t="shared" si="3"/>
        <v>0</v>
      </c>
      <c r="CC34" s="206">
        <f t="shared" si="3"/>
        <v>0</v>
      </c>
    </row>
    <row r="35" spans="1:81">
      <c r="B35" s="207" t="str">
        <f>'P &amp; NP'!B41</f>
        <v xml:space="preserve">Udang_01 (Udang Api-Api) </v>
      </c>
      <c r="C35" s="206">
        <f>'P &amp; NP'!O512</f>
        <v>0</v>
      </c>
      <c r="D35" s="206">
        <f>'P &amp; NP'!P512</f>
        <v>0</v>
      </c>
      <c r="E35" s="206">
        <f>'P &amp; NP'!AE512</f>
        <v>0</v>
      </c>
      <c r="F35" s="206">
        <f>'P &amp; NP'!AF512</f>
        <v>0</v>
      </c>
      <c r="G35" s="206">
        <f>'P &amp; NP'!AU512</f>
        <v>0</v>
      </c>
      <c r="H35" s="206">
        <f>'P &amp; NP'!AV512</f>
        <v>0</v>
      </c>
      <c r="I35" s="206">
        <f>'P &amp; NP'!BK512</f>
        <v>0</v>
      </c>
      <c r="J35" s="206">
        <f>'P &amp; NP'!BL512</f>
        <v>0</v>
      </c>
      <c r="K35" s="206">
        <f>'P &amp; NP'!CA512</f>
        <v>0</v>
      </c>
      <c r="L35" s="206">
        <f>'P &amp; NP'!CB512</f>
        <v>0</v>
      </c>
      <c r="M35" s="206">
        <f>'P &amp; NP'!CQ512</f>
        <v>0</v>
      </c>
      <c r="N35" s="206">
        <f>'P &amp; NP'!CR512</f>
        <v>0</v>
      </c>
      <c r="O35" s="206">
        <f>'P &amp; NP'!DG512</f>
        <v>0</v>
      </c>
      <c r="P35" s="206">
        <f>'P &amp; NP'!DH512</f>
        <v>0</v>
      </c>
      <c r="Q35" s="206">
        <f>'P &amp; NP'!DW512</f>
        <v>0</v>
      </c>
      <c r="R35" s="206">
        <f>'P &amp; NP'!DX512</f>
        <v>0</v>
      </c>
      <c r="S35" s="206">
        <f>'P &amp; NP'!EM512</f>
        <v>0</v>
      </c>
      <c r="T35" s="206">
        <f>'P &amp; NP'!EN512</f>
        <v>0</v>
      </c>
      <c r="U35" s="206">
        <f>'P &amp; NP'!FC512</f>
        <v>0</v>
      </c>
      <c r="V35" s="206">
        <f>'P &amp; NP'!FD512</f>
        <v>0</v>
      </c>
      <c r="W35" s="206">
        <f>'P &amp; NP'!FS512</f>
        <v>0</v>
      </c>
      <c r="X35" s="206">
        <f>'P &amp; NP'!FT512</f>
        <v>0</v>
      </c>
      <c r="Y35" s="206">
        <f>'P &amp; NP'!GI512</f>
        <v>0</v>
      </c>
      <c r="Z35" s="206">
        <f>'P &amp; NP'!GJ512</f>
        <v>0</v>
      </c>
      <c r="AA35" s="206">
        <f>'P &amp; NP'!GY512</f>
        <v>0</v>
      </c>
      <c r="AB35" s="206">
        <f>'P &amp; NP'!GZ512</f>
        <v>0</v>
      </c>
      <c r="AC35" s="206">
        <f>'P &amp; NP'!HO512</f>
        <v>0</v>
      </c>
      <c r="AD35" s="206">
        <f>'P &amp; NP'!HP512</f>
        <v>0</v>
      </c>
      <c r="AE35" s="206">
        <f>'P &amp; NP'!IE512</f>
        <v>0</v>
      </c>
      <c r="AF35" s="206">
        <f>'P &amp; NP'!IF512</f>
        <v>0</v>
      </c>
      <c r="AG35" s="206">
        <f>'P &amp; NP'!IU512</f>
        <v>0</v>
      </c>
      <c r="AH35" s="206">
        <f>'P &amp; NP'!IV512</f>
        <v>0</v>
      </c>
      <c r="AI35" s="206">
        <f>'P &amp; NP'!JK512</f>
        <v>0</v>
      </c>
      <c r="AJ35" s="206">
        <f>'P &amp; NP'!JL512</f>
        <v>0</v>
      </c>
      <c r="AK35" s="206">
        <f>'P &amp; NP'!KA512</f>
        <v>0</v>
      </c>
      <c r="AL35" s="206">
        <f>'P &amp; NP'!KB512</f>
        <v>0</v>
      </c>
      <c r="AM35" s="209">
        <f>'P &amp; NP'!KQ512</f>
        <v>0</v>
      </c>
      <c r="AN35" s="209">
        <f>'P &amp; NP'!KR512</f>
        <v>0</v>
      </c>
      <c r="AO35" s="209">
        <f>'P &amp; NP'!LG512</f>
        <v>0</v>
      </c>
      <c r="AP35" s="209">
        <f>'P &amp; NP'!LH512</f>
        <v>0</v>
      </c>
      <c r="AQ35" s="209">
        <f>'P &amp; NP'!LW512</f>
        <v>0</v>
      </c>
      <c r="AR35" s="209">
        <f>'P &amp; NP'!LX512</f>
        <v>0</v>
      </c>
      <c r="AS35" s="209">
        <f>'P &amp; NP'!MM512</f>
        <v>0</v>
      </c>
      <c r="AT35" s="209">
        <f>'P &amp; NP'!MN512</f>
        <v>0</v>
      </c>
      <c r="AU35" s="209">
        <f>'P &amp; NP'!NC512</f>
        <v>0</v>
      </c>
      <c r="AV35" s="209">
        <f>'P &amp; NP'!ND512</f>
        <v>0</v>
      </c>
      <c r="AW35" s="209">
        <f>'P &amp; NP'!NS512</f>
        <v>0</v>
      </c>
      <c r="AX35" s="209">
        <f>'P &amp; NP'!NT512</f>
        <v>0</v>
      </c>
      <c r="AY35" s="209">
        <f>'P &amp; NP'!OI512</f>
        <v>0</v>
      </c>
      <c r="AZ35" s="209">
        <f>'P &amp; NP'!OJ512</f>
        <v>0</v>
      </c>
      <c r="BA35" s="209">
        <f>'P &amp; NP'!OY512</f>
        <v>0</v>
      </c>
      <c r="BB35" s="209">
        <f>'P &amp; NP'!OZ512</f>
        <v>0</v>
      </c>
      <c r="BC35" s="209">
        <f>'P &amp; NP'!PO512</f>
        <v>0</v>
      </c>
      <c r="BD35" s="209">
        <f>'P &amp; NP'!PP512</f>
        <v>0</v>
      </c>
      <c r="BE35" s="209">
        <f>'P &amp; NP'!QE512</f>
        <v>0</v>
      </c>
      <c r="BF35" s="209">
        <f>'P &amp; NP'!QF512</f>
        <v>0</v>
      </c>
      <c r="BG35" s="209">
        <f>'P &amp; NP'!QU512</f>
        <v>0</v>
      </c>
      <c r="BH35" s="209">
        <f>'P &amp; NP'!QV512</f>
        <v>0</v>
      </c>
      <c r="BI35" s="209">
        <f>'P &amp; NP'!RK512</f>
        <v>0</v>
      </c>
      <c r="BJ35" s="209">
        <f>'P &amp; NP'!RL512</f>
        <v>0</v>
      </c>
      <c r="BK35" s="209">
        <f>'P &amp; NP'!SA512</f>
        <v>0</v>
      </c>
      <c r="BL35" s="209">
        <f>'P &amp; NP'!SB512</f>
        <v>0</v>
      </c>
      <c r="BM35" s="209">
        <f>'P &amp; NP'!SQ512</f>
        <v>0</v>
      </c>
      <c r="BN35" s="209">
        <f>'P &amp; NP'!SR512</f>
        <v>0</v>
      </c>
      <c r="BO35" s="209">
        <f>'P &amp; NP'!TG512</f>
        <v>0</v>
      </c>
      <c r="BP35" s="209">
        <f>'P &amp; NP'!TH512</f>
        <v>0</v>
      </c>
      <c r="BQ35" s="209">
        <f>'P &amp; NP'!TW512</f>
        <v>0</v>
      </c>
      <c r="BR35" s="209">
        <f>'P &amp; NP'!TX512</f>
        <v>0</v>
      </c>
      <c r="BS35" s="209">
        <f>'P &amp; NP'!UM512</f>
        <v>0</v>
      </c>
      <c r="BT35" s="209">
        <f>'P &amp; NP'!UN512</f>
        <v>0</v>
      </c>
      <c r="BU35" s="209">
        <f>'P &amp; NP'!VC512</f>
        <v>0</v>
      </c>
      <c r="BV35" s="209">
        <f>'P &amp; NP'!VD512</f>
        <v>0</v>
      </c>
      <c r="BW35" s="209">
        <f>'P &amp; NP'!VS512</f>
        <v>0</v>
      </c>
      <c r="BX35" s="209">
        <f>'P &amp; NP'!VT512</f>
        <v>0</v>
      </c>
      <c r="BY35" s="209">
        <f>'P &amp; NP'!WI512</f>
        <v>0</v>
      </c>
      <c r="BZ35" s="209">
        <f>'P &amp; NP'!WJ512</f>
        <v>0</v>
      </c>
      <c r="CB35" s="206"/>
      <c r="CC35" s="206"/>
    </row>
    <row r="36" spans="1:81">
      <c r="B36" s="207" t="str">
        <f>'P &amp; NP'!B42</f>
        <v xml:space="preserve">Udang_02 (Udang Rebon) </v>
      </c>
      <c r="C36" s="206">
        <f>'P &amp; NP'!O513</f>
        <v>0</v>
      </c>
      <c r="D36" s="206">
        <f>'P &amp; NP'!P513</f>
        <v>0</v>
      </c>
      <c r="E36" s="206">
        <f>'P &amp; NP'!AE513</f>
        <v>0</v>
      </c>
      <c r="F36" s="206">
        <f>'P &amp; NP'!AF513</f>
        <v>0</v>
      </c>
      <c r="G36" s="206">
        <f>'P &amp; NP'!AU513</f>
        <v>0</v>
      </c>
      <c r="H36" s="206">
        <f>'P &amp; NP'!AV513</f>
        <v>0</v>
      </c>
      <c r="I36" s="206">
        <f>'P &amp; NP'!BK513</f>
        <v>0</v>
      </c>
      <c r="J36" s="206">
        <f>'P &amp; NP'!BL513</f>
        <v>0</v>
      </c>
      <c r="K36" s="206">
        <f>'P &amp; NP'!CA513</f>
        <v>0</v>
      </c>
      <c r="L36" s="206">
        <f>'P &amp; NP'!CB513</f>
        <v>0</v>
      </c>
      <c r="M36" s="206">
        <f>'P &amp; NP'!CQ513</f>
        <v>0</v>
      </c>
      <c r="N36" s="206">
        <f>'P &amp; NP'!CR513</f>
        <v>0</v>
      </c>
      <c r="O36" s="206">
        <f>'P &amp; NP'!DG513</f>
        <v>0</v>
      </c>
      <c r="P36" s="206">
        <f>'P &amp; NP'!DH513</f>
        <v>0</v>
      </c>
      <c r="Q36" s="206">
        <f>'P &amp; NP'!DW513</f>
        <v>0</v>
      </c>
      <c r="R36" s="206">
        <f>'P &amp; NP'!DX513</f>
        <v>0</v>
      </c>
      <c r="S36" s="206">
        <f>'P &amp; NP'!EM513</f>
        <v>0</v>
      </c>
      <c r="T36" s="206">
        <f>'P &amp; NP'!EN513</f>
        <v>0</v>
      </c>
      <c r="U36" s="206">
        <f>'P &amp; NP'!FC513</f>
        <v>0</v>
      </c>
      <c r="V36" s="206">
        <f>'P &amp; NP'!FD513</f>
        <v>0</v>
      </c>
      <c r="W36" s="206">
        <f>'P &amp; NP'!FS513</f>
        <v>0</v>
      </c>
      <c r="X36" s="206">
        <f>'P &amp; NP'!FT513</f>
        <v>0</v>
      </c>
      <c r="Y36" s="206">
        <f>'P &amp; NP'!GI513</f>
        <v>0</v>
      </c>
      <c r="Z36" s="206">
        <f>'P &amp; NP'!GJ513</f>
        <v>0</v>
      </c>
      <c r="AA36" s="206">
        <f>'P &amp; NP'!GY513</f>
        <v>0</v>
      </c>
      <c r="AB36" s="206">
        <f>'P &amp; NP'!GZ513</f>
        <v>0</v>
      </c>
      <c r="AC36" s="206">
        <f>'P &amp; NP'!HO513</f>
        <v>0</v>
      </c>
      <c r="AD36" s="206">
        <f>'P &amp; NP'!HP513</f>
        <v>0</v>
      </c>
      <c r="AE36" s="206">
        <f>'P &amp; NP'!IE513</f>
        <v>0</v>
      </c>
      <c r="AF36" s="206">
        <f>'P &amp; NP'!IF513</f>
        <v>0</v>
      </c>
      <c r="AG36" s="206">
        <f>'P &amp; NP'!IU513</f>
        <v>0</v>
      </c>
      <c r="AH36" s="206">
        <f>'P &amp; NP'!IV513</f>
        <v>0</v>
      </c>
      <c r="AI36" s="206">
        <f>'P &amp; NP'!JK513</f>
        <v>0</v>
      </c>
      <c r="AJ36" s="206">
        <f>'P &amp; NP'!JL513</f>
        <v>0</v>
      </c>
      <c r="AK36" s="206">
        <f>'P &amp; NP'!KA513</f>
        <v>0</v>
      </c>
      <c r="AL36" s="206">
        <f>'P &amp; NP'!KB513</f>
        <v>0</v>
      </c>
      <c r="AM36" s="209">
        <f>'P &amp; NP'!KQ513</f>
        <v>0</v>
      </c>
      <c r="AN36" s="209">
        <f>'P &amp; NP'!KR513</f>
        <v>0</v>
      </c>
      <c r="AO36" s="209">
        <f>'P &amp; NP'!LG513</f>
        <v>0</v>
      </c>
      <c r="AP36" s="209">
        <f>'P &amp; NP'!LH513</f>
        <v>0</v>
      </c>
      <c r="AQ36" s="209">
        <f>'P &amp; NP'!LW513</f>
        <v>0</v>
      </c>
      <c r="AR36" s="209">
        <f>'P &amp; NP'!LX513</f>
        <v>0</v>
      </c>
      <c r="AS36" s="209">
        <f>'P &amp; NP'!MM513</f>
        <v>0</v>
      </c>
      <c r="AT36" s="209">
        <f>'P &amp; NP'!MN513</f>
        <v>0</v>
      </c>
      <c r="AU36" s="209">
        <f>'P &amp; NP'!NC513</f>
        <v>0</v>
      </c>
      <c r="AV36" s="209">
        <f>'P &amp; NP'!ND513</f>
        <v>0</v>
      </c>
      <c r="AW36" s="209">
        <f>'P &amp; NP'!NS513</f>
        <v>0</v>
      </c>
      <c r="AX36" s="209">
        <f>'P &amp; NP'!NT513</f>
        <v>0</v>
      </c>
      <c r="AY36" s="209">
        <f>'P &amp; NP'!OI513</f>
        <v>0</v>
      </c>
      <c r="AZ36" s="209">
        <f>'P &amp; NP'!OJ513</f>
        <v>0</v>
      </c>
      <c r="BA36" s="209">
        <f>'P &amp; NP'!OY513</f>
        <v>0</v>
      </c>
      <c r="BB36" s="209">
        <f>'P &amp; NP'!OZ513</f>
        <v>0</v>
      </c>
      <c r="BC36" s="209">
        <f>'P &amp; NP'!PO513</f>
        <v>0</v>
      </c>
      <c r="BD36" s="209">
        <f>'P &amp; NP'!PP513</f>
        <v>0</v>
      </c>
      <c r="BE36" s="209">
        <f>'P &amp; NP'!QE513</f>
        <v>0</v>
      </c>
      <c r="BF36" s="209">
        <f>'P &amp; NP'!QF513</f>
        <v>0</v>
      </c>
      <c r="BG36" s="209">
        <f>'P &amp; NP'!QU513</f>
        <v>0</v>
      </c>
      <c r="BH36" s="209">
        <f>'P &amp; NP'!QV513</f>
        <v>0</v>
      </c>
      <c r="BI36" s="209">
        <f>'P &amp; NP'!RK513</f>
        <v>0</v>
      </c>
      <c r="BJ36" s="209">
        <f>'P &amp; NP'!RL513</f>
        <v>0</v>
      </c>
      <c r="BK36" s="209">
        <f>'P &amp; NP'!SA513</f>
        <v>0</v>
      </c>
      <c r="BL36" s="209">
        <f>'P &amp; NP'!SB513</f>
        <v>0</v>
      </c>
      <c r="BM36" s="209">
        <f>'P &amp; NP'!SQ513</f>
        <v>0</v>
      </c>
      <c r="BN36" s="209">
        <f>'P &amp; NP'!SR513</f>
        <v>0</v>
      </c>
      <c r="BO36" s="209">
        <f>'P &amp; NP'!TG513</f>
        <v>0</v>
      </c>
      <c r="BP36" s="209">
        <f>'P &amp; NP'!TH513</f>
        <v>0</v>
      </c>
      <c r="BQ36" s="209">
        <f>'P &amp; NP'!TW513</f>
        <v>0</v>
      </c>
      <c r="BR36" s="209">
        <f>'P &amp; NP'!TX513</f>
        <v>0</v>
      </c>
      <c r="BS36" s="209">
        <f>'P &amp; NP'!UM513</f>
        <v>0</v>
      </c>
      <c r="BT36" s="209">
        <f>'P &amp; NP'!UN513</f>
        <v>0</v>
      </c>
      <c r="BU36" s="209">
        <f>'P &amp; NP'!VC513</f>
        <v>0</v>
      </c>
      <c r="BV36" s="209">
        <f>'P &amp; NP'!VD513</f>
        <v>0</v>
      </c>
      <c r="BW36" s="209">
        <f>'P &amp; NP'!VS513</f>
        <v>0</v>
      </c>
      <c r="BX36" s="209">
        <f>'P &amp; NP'!VT513</f>
        <v>0</v>
      </c>
      <c r="BY36" s="209">
        <f>'P &amp; NP'!WI513</f>
        <v>0</v>
      </c>
      <c r="BZ36" s="209">
        <f>'P &amp; NP'!WJ513</f>
        <v>0</v>
      </c>
      <c r="CB36" s="206"/>
      <c r="CC36" s="206"/>
    </row>
    <row r="37" spans="1:81">
      <c r="B37" s="207" t="str">
        <f>'P &amp; NP'!B43</f>
        <v xml:space="preserve">Belut Sawah </v>
      </c>
      <c r="C37" s="206">
        <f>'P &amp; NP'!O514</f>
        <v>0</v>
      </c>
      <c r="D37" s="206">
        <f>'P &amp; NP'!P514</f>
        <v>0</v>
      </c>
      <c r="E37" s="206">
        <f>'P &amp; NP'!AE514</f>
        <v>0</v>
      </c>
      <c r="F37" s="206">
        <f>'P &amp; NP'!AF514</f>
        <v>0</v>
      </c>
      <c r="G37" s="206">
        <f>'P &amp; NP'!AU514</f>
        <v>0</v>
      </c>
      <c r="H37" s="206">
        <f>'P &amp; NP'!AV514</f>
        <v>0</v>
      </c>
      <c r="I37" s="206">
        <f>'P &amp; NP'!BK514</f>
        <v>0</v>
      </c>
      <c r="J37" s="206">
        <f>'P &amp; NP'!BL514</f>
        <v>0</v>
      </c>
      <c r="K37" s="206">
        <f>'P &amp; NP'!CA514</f>
        <v>0</v>
      </c>
      <c r="L37" s="206">
        <f>'P &amp; NP'!CB514</f>
        <v>0</v>
      </c>
      <c r="M37" s="206">
        <f>'P &amp; NP'!CQ514</f>
        <v>0</v>
      </c>
      <c r="N37" s="206">
        <f>'P &amp; NP'!CR514</f>
        <v>0</v>
      </c>
      <c r="O37" s="206">
        <f>'P &amp; NP'!DG514</f>
        <v>0</v>
      </c>
      <c r="P37" s="206">
        <f>'P &amp; NP'!DH514</f>
        <v>0</v>
      </c>
      <c r="Q37" s="206">
        <f>'P &amp; NP'!DW514</f>
        <v>0</v>
      </c>
      <c r="R37" s="206">
        <f>'P &amp; NP'!DX514</f>
        <v>0</v>
      </c>
      <c r="S37" s="206">
        <f>'P &amp; NP'!EM514</f>
        <v>0</v>
      </c>
      <c r="T37" s="206">
        <f>'P &amp; NP'!EN514</f>
        <v>0</v>
      </c>
      <c r="U37" s="206">
        <f>'P &amp; NP'!FC514</f>
        <v>0</v>
      </c>
      <c r="V37" s="206">
        <f>'P &amp; NP'!FD514</f>
        <v>0</v>
      </c>
      <c r="W37" s="206">
        <f>'P &amp; NP'!FS514</f>
        <v>0</v>
      </c>
      <c r="X37" s="206">
        <f>'P &amp; NP'!FT514</f>
        <v>0</v>
      </c>
      <c r="Y37" s="206">
        <f>'P &amp; NP'!GI514</f>
        <v>0</v>
      </c>
      <c r="Z37" s="206">
        <f>'P &amp; NP'!GJ514</f>
        <v>0</v>
      </c>
      <c r="AA37" s="206">
        <f>'P &amp; NP'!GY514</f>
        <v>0</v>
      </c>
      <c r="AB37" s="206">
        <f>'P &amp; NP'!GZ514</f>
        <v>0</v>
      </c>
      <c r="AC37" s="206">
        <f>'P &amp; NP'!HO514</f>
        <v>0</v>
      </c>
      <c r="AD37" s="206">
        <f>'P &amp; NP'!HP514</f>
        <v>0</v>
      </c>
      <c r="AE37" s="206">
        <f>'P &amp; NP'!IE514</f>
        <v>0</v>
      </c>
      <c r="AF37" s="206">
        <f>'P &amp; NP'!IF514</f>
        <v>0</v>
      </c>
      <c r="AG37" s="206">
        <f>'P &amp; NP'!IU514</f>
        <v>0</v>
      </c>
      <c r="AH37" s="206">
        <f>'P &amp; NP'!IV514</f>
        <v>0</v>
      </c>
      <c r="AI37" s="206">
        <f>'P &amp; NP'!JK514</f>
        <v>0</v>
      </c>
      <c r="AJ37" s="206">
        <f>'P &amp; NP'!JL514</f>
        <v>0</v>
      </c>
      <c r="AK37" s="206">
        <f>'P &amp; NP'!KA514</f>
        <v>0</v>
      </c>
      <c r="AL37" s="206">
        <f>'P &amp; NP'!KB514</f>
        <v>0</v>
      </c>
      <c r="AM37" s="209">
        <f>'P &amp; NP'!KQ514</f>
        <v>0</v>
      </c>
      <c r="AN37" s="209">
        <f>'P &amp; NP'!KR514</f>
        <v>0</v>
      </c>
      <c r="AO37" s="209">
        <f>'P &amp; NP'!LG514</f>
        <v>0</v>
      </c>
      <c r="AP37" s="209">
        <f>'P &amp; NP'!LH514</f>
        <v>0</v>
      </c>
      <c r="AQ37" s="209">
        <f>'P &amp; NP'!LW514</f>
        <v>0</v>
      </c>
      <c r="AR37" s="209">
        <f>'P &amp; NP'!LX514</f>
        <v>0</v>
      </c>
      <c r="AS37" s="209">
        <f>'P &amp; NP'!MM514</f>
        <v>0</v>
      </c>
      <c r="AT37" s="209">
        <f>'P &amp; NP'!MN514</f>
        <v>0</v>
      </c>
      <c r="AU37" s="209">
        <f>'P &amp; NP'!NC514</f>
        <v>0</v>
      </c>
      <c r="AV37" s="209">
        <f>'P &amp; NP'!ND514</f>
        <v>0</v>
      </c>
      <c r="AW37" s="209">
        <f>'P &amp; NP'!NS514</f>
        <v>0</v>
      </c>
      <c r="AX37" s="209">
        <f>'P &amp; NP'!NT514</f>
        <v>0</v>
      </c>
      <c r="AY37" s="209">
        <f>'P &amp; NP'!OI514</f>
        <v>0</v>
      </c>
      <c r="AZ37" s="209">
        <f>'P &amp; NP'!OJ514</f>
        <v>0</v>
      </c>
      <c r="BA37" s="209">
        <f>'P &amp; NP'!OY514</f>
        <v>0</v>
      </c>
      <c r="BB37" s="209">
        <f>'P &amp; NP'!OZ514</f>
        <v>0</v>
      </c>
      <c r="BC37" s="209">
        <f>'P &amp; NP'!PO514</f>
        <v>0</v>
      </c>
      <c r="BD37" s="209">
        <f>'P &amp; NP'!PP514</f>
        <v>0</v>
      </c>
      <c r="BE37" s="209">
        <f>'P &amp; NP'!QE514</f>
        <v>0</v>
      </c>
      <c r="BF37" s="209">
        <f>'P &amp; NP'!QF514</f>
        <v>0</v>
      </c>
      <c r="BG37" s="209">
        <f>'P &amp; NP'!QU514</f>
        <v>0</v>
      </c>
      <c r="BH37" s="209">
        <f>'P &amp; NP'!QV514</f>
        <v>0</v>
      </c>
      <c r="BI37" s="209">
        <f>'P &amp; NP'!RK514</f>
        <v>0</v>
      </c>
      <c r="BJ37" s="209">
        <f>'P &amp; NP'!RL514</f>
        <v>0</v>
      </c>
      <c r="BK37" s="209">
        <f>'P &amp; NP'!SA514</f>
        <v>0</v>
      </c>
      <c r="BL37" s="209">
        <f>'P &amp; NP'!SB514</f>
        <v>0</v>
      </c>
      <c r="BM37" s="209">
        <f>'P &amp; NP'!SQ514</f>
        <v>0</v>
      </c>
      <c r="BN37" s="209">
        <f>'P &amp; NP'!SR514</f>
        <v>0</v>
      </c>
      <c r="BO37" s="209">
        <f>'P &amp; NP'!TG514</f>
        <v>0</v>
      </c>
      <c r="BP37" s="209">
        <f>'P &amp; NP'!TH514</f>
        <v>0</v>
      </c>
      <c r="BQ37" s="209">
        <f>'P &amp; NP'!TW514</f>
        <v>0</v>
      </c>
      <c r="BR37" s="209">
        <f>'P &amp; NP'!TX514</f>
        <v>0</v>
      </c>
      <c r="BS37" s="209">
        <f>'P &amp; NP'!UM514</f>
        <v>0</v>
      </c>
      <c r="BT37" s="209">
        <f>'P &amp; NP'!UN514</f>
        <v>0</v>
      </c>
      <c r="BU37" s="209">
        <f>'P &amp; NP'!VC514</f>
        <v>0</v>
      </c>
      <c r="BV37" s="209">
        <f>'P &amp; NP'!VD514</f>
        <v>0</v>
      </c>
      <c r="BW37" s="209">
        <f>'P &amp; NP'!VS514</f>
        <v>0</v>
      </c>
      <c r="BX37" s="209">
        <f>'P &amp; NP'!VT514</f>
        <v>0</v>
      </c>
      <c r="BY37" s="209">
        <f>'P &amp; NP'!WI514</f>
        <v>0</v>
      </c>
      <c r="BZ37" s="209">
        <f>'P &amp; NP'!WJ514</f>
        <v>0</v>
      </c>
      <c r="CB37" s="206"/>
      <c r="CC37" s="206"/>
    </row>
    <row r="38" spans="1:81">
      <c r="B38" s="207" t="str">
        <f>'P &amp; NP'!B44</f>
        <v xml:space="preserve">Udang_04 (Udang Lainnya) </v>
      </c>
      <c r="C38" s="206">
        <f>'P &amp; NP'!O515</f>
        <v>0</v>
      </c>
      <c r="D38" s="206">
        <f>'P &amp; NP'!P515</f>
        <v>0</v>
      </c>
      <c r="E38" s="206">
        <f>'P &amp; NP'!AE515</f>
        <v>0</v>
      </c>
      <c r="F38" s="206">
        <f>'P &amp; NP'!AF515</f>
        <v>0</v>
      </c>
      <c r="G38" s="206">
        <f>'P &amp; NP'!AU515</f>
        <v>0</v>
      </c>
      <c r="H38" s="206">
        <f>'P &amp; NP'!AV515</f>
        <v>0</v>
      </c>
      <c r="I38" s="206">
        <f>'P &amp; NP'!BK515</f>
        <v>0</v>
      </c>
      <c r="J38" s="206">
        <f>'P &amp; NP'!BL515</f>
        <v>0</v>
      </c>
      <c r="K38" s="206">
        <f>'P &amp; NP'!CA515</f>
        <v>0</v>
      </c>
      <c r="L38" s="206">
        <f>'P &amp; NP'!CB515</f>
        <v>0</v>
      </c>
      <c r="M38" s="206">
        <f>'P &amp; NP'!CQ515</f>
        <v>0</v>
      </c>
      <c r="N38" s="206">
        <f>'P &amp; NP'!CR515</f>
        <v>0</v>
      </c>
      <c r="O38" s="206">
        <f>'P &amp; NP'!DG515</f>
        <v>0</v>
      </c>
      <c r="P38" s="206">
        <f>'P &amp; NP'!DH515</f>
        <v>0</v>
      </c>
      <c r="Q38" s="206">
        <f>'P &amp; NP'!DW515</f>
        <v>0</v>
      </c>
      <c r="R38" s="206">
        <f>'P &amp; NP'!DX515</f>
        <v>0</v>
      </c>
      <c r="S38" s="206">
        <f>'P &amp; NP'!EM515</f>
        <v>0</v>
      </c>
      <c r="T38" s="206">
        <f>'P &amp; NP'!EN515</f>
        <v>0</v>
      </c>
      <c r="U38" s="206">
        <f>'P &amp; NP'!FC515</f>
        <v>0</v>
      </c>
      <c r="V38" s="206">
        <f>'P &amp; NP'!FD515</f>
        <v>0</v>
      </c>
      <c r="W38" s="206">
        <f>'P &amp; NP'!FS515</f>
        <v>0</v>
      </c>
      <c r="X38" s="206">
        <f>'P &amp; NP'!FT515</f>
        <v>0</v>
      </c>
      <c r="Y38" s="206">
        <f>'P &amp; NP'!GI515</f>
        <v>0</v>
      </c>
      <c r="Z38" s="206">
        <f>'P &amp; NP'!GJ515</f>
        <v>0</v>
      </c>
      <c r="AA38" s="206">
        <f>'P &amp; NP'!GY515</f>
        <v>0</v>
      </c>
      <c r="AB38" s="206">
        <f>'P &amp; NP'!GZ515</f>
        <v>0</v>
      </c>
      <c r="AC38" s="206">
        <f>'P &amp; NP'!HO515</f>
        <v>0</v>
      </c>
      <c r="AD38" s="206">
        <f>'P &amp; NP'!HP515</f>
        <v>0</v>
      </c>
      <c r="AE38" s="206">
        <f>'P &amp; NP'!IE515</f>
        <v>0</v>
      </c>
      <c r="AF38" s="206">
        <f>'P &amp; NP'!IF515</f>
        <v>0</v>
      </c>
      <c r="AG38" s="206">
        <f>'P &amp; NP'!IU515</f>
        <v>0</v>
      </c>
      <c r="AH38" s="206">
        <f>'P &amp; NP'!IV515</f>
        <v>0</v>
      </c>
      <c r="AI38" s="206">
        <f>'P &amp; NP'!JK515</f>
        <v>0</v>
      </c>
      <c r="AJ38" s="206">
        <f>'P &amp; NP'!JL515</f>
        <v>0</v>
      </c>
      <c r="AK38" s="206">
        <f>'P &amp; NP'!KA515</f>
        <v>0</v>
      </c>
      <c r="AL38" s="206">
        <f>'P &amp; NP'!KB515</f>
        <v>0</v>
      </c>
      <c r="AM38" s="209">
        <f>'P &amp; NP'!KQ515</f>
        <v>0</v>
      </c>
      <c r="AN38" s="209">
        <f>'P &amp; NP'!KR515</f>
        <v>0</v>
      </c>
      <c r="AO38" s="209">
        <f>'P &amp; NP'!LG515</f>
        <v>0</v>
      </c>
      <c r="AP38" s="209">
        <f>'P &amp; NP'!LH515</f>
        <v>0</v>
      </c>
      <c r="AQ38" s="209">
        <f>'P &amp; NP'!LW515</f>
        <v>0</v>
      </c>
      <c r="AR38" s="209">
        <f>'P &amp; NP'!LX515</f>
        <v>0</v>
      </c>
      <c r="AS38" s="209">
        <f>'P &amp; NP'!MM515</f>
        <v>0</v>
      </c>
      <c r="AT38" s="209">
        <f>'P &amp; NP'!MN515</f>
        <v>0</v>
      </c>
      <c r="AU38" s="209">
        <f>'P &amp; NP'!NC515</f>
        <v>0</v>
      </c>
      <c r="AV38" s="209">
        <f>'P &amp; NP'!ND515</f>
        <v>0</v>
      </c>
      <c r="AW38" s="209">
        <f>'P &amp; NP'!NS515</f>
        <v>0</v>
      </c>
      <c r="AX38" s="209">
        <f>'P &amp; NP'!NT515</f>
        <v>0</v>
      </c>
      <c r="AY38" s="209">
        <f>'P &amp; NP'!OI515</f>
        <v>0</v>
      </c>
      <c r="AZ38" s="209">
        <f>'P &amp; NP'!OJ515</f>
        <v>0</v>
      </c>
      <c r="BA38" s="209">
        <f>'P &amp; NP'!OY515</f>
        <v>0</v>
      </c>
      <c r="BB38" s="209">
        <f>'P &amp; NP'!OZ515</f>
        <v>0</v>
      </c>
      <c r="BC38" s="209">
        <f>'P &amp; NP'!PO515</f>
        <v>0</v>
      </c>
      <c r="BD38" s="209">
        <f>'P &amp; NP'!PP515</f>
        <v>0</v>
      </c>
      <c r="BE38" s="209">
        <f>'P &amp; NP'!QE515</f>
        <v>0</v>
      </c>
      <c r="BF38" s="209">
        <f>'P &amp; NP'!QF515</f>
        <v>0</v>
      </c>
      <c r="BG38" s="209">
        <f>'P &amp; NP'!QU515</f>
        <v>0</v>
      </c>
      <c r="BH38" s="209">
        <f>'P &amp; NP'!QV515</f>
        <v>0</v>
      </c>
      <c r="BI38" s="209">
        <f>'P &amp; NP'!RK515</f>
        <v>0</v>
      </c>
      <c r="BJ38" s="209">
        <f>'P &amp; NP'!RL515</f>
        <v>0</v>
      </c>
      <c r="BK38" s="209">
        <f>'P &amp; NP'!SA515</f>
        <v>0</v>
      </c>
      <c r="BL38" s="209">
        <f>'P &amp; NP'!SB515</f>
        <v>0</v>
      </c>
      <c r="BM38" s="209">
        <f>'P &amp; NP'!SQ515</f>
        <v>0</v>
      </c>
      <c r="BN38" s="209">
        <f>'P &amp; NP'!SR515</f>
        <v>0</v>
      </c>
      <c r="BO38" s="209">
        <f>'P &amp; NP'!TG515</f>
        <v>0</v>
      </c>
      <c r="BP38" s="209">
        <f>'P &amp; NP'!TH515</f>
        <v>0</v>
      </c>
      <c r="BQ38" s="209">
        <f>'P &amp; NP'!TW515</f>
        <v>0</v>
      </c>
      <c r="BR38" s="209">
        <f>'P &amp; NP'!TX515</f>
        <v>0</v>
      </c>
      <c r="BS38" s="209">
        <f>'P &amp; NP'!UM515</f>
        <v>0</v>
      </c>
      <c r="BT38" s="209">
        <f>'P &amp; NP'!UN515</f>
        <v>0</v>
      </c>
      <c r="BU38" s="209">
        <f>'P &amp; NP'!VC515</f>
        <v>0</v>
      </c>
      <c r="BV38" s="209">
        <f>'P &amp; NP'!VD515</f>
        <v>0</v>
      </c>
      <c r="BW38" s="209">
        <f>'P &amp; NP'!VS515</f>
        <v>0</v>
      </c>
      <c r="BX38" s="209">
        <f>'P &amp; NP'!VT515</f>
        <v>0</v>
      </c>
      <c r="BY38" s="209">
        <f>'P &amp; NP'!WI515</f>
        <v>0</v>
      </c>
      <c r="BZ38" s="209">
        <f>'P &amp; NP'!WJ515</f>
        <v>0</v>
      </c>
      <c r="CB38" s="206"/>
      <c r="CC38" s="206"/>
    </row>
    <row r="39" spans="1:81">
      <c r="B39" s="207" t="str">
        <f>'P &amp; NP'!B45</f>
        <v xml:space="preserve">Udang_05 (Udang Lainnya) </v>
      </c>
      <c r="C39" s="206">
        <f>'P &amp; NP'!O516</f>
        <v>0</v>
      </c>
      <c r="D39" s="206">
        <f>'P &amp; NP'!P516</f>
        <v>0</v>
      </c>
      <c r="E39" s="206">
        <f>'P &amp; NP'!AE516</f>
        <v>0</v>
      </c>
      <c r="F39" s="206">
        <f>'P &amp; NP'!AF516</f>
        <v>0</v>
      </c>
      <c r="G39" s="206">
        <f>'P &amp; NP'!AU516</f>
        <v>0</v>
      </c>
      <c r="H39" s="206">
        <f>'P &amp; NP'!AV516</f>
        <v>0</v>
      </c>
      <c r="I39" s="206">
        <f>'P &amp; NP'!BK516</f>
        <v>0</v>
      </c>
      <c r="J39" s="206">
        <f>'P &amp; NP'!BL516</f>
        <v>0</v>
      </c>
      <c r="K39" s="206">
        <f>'P &amp; NP'!CA516</f>
        <v>0</v>
      </c>
      <c r="L39" s="206">
        <f>'P &amp; NP'!CB516</f>
        <v>0</v>
      </c>
      <c r="M39" s="206">
        <f>'P &amp; NP'!CQ516</f>
        <v>0</v>
      </c>
      <c r="N39" s="206">
        <f>'P &amp; NP'!CR516</f>
        <v>0</v>
      </c>
      <c r="O39" s="206">
        <f>'P &amp; NP'!DG516</f>
        <v>0</v>
      </c>
      <c r="P39" s="206">
        <f>'P &amp; NP'!DH516</f>
        <v>0</v>
      </c>
      <c r="Q39" s="206">
        <f>'P &amp; NP'!DW516</f>
        <v>0</v>
      </c>
      <c r="R39" s="206">
        <f>'P &amp; NP'!DX516</f>
        <v>0</v>
      </c>
      <c r="S39" s="206">
        <f>'P &amp; NP'!EM516</f>
        <v>0</v>
      </c>
      <c r="T39" s="206">
        <f>'P &amp; NP'!EN516</f>
        <v>0</v>
      </c>
      <c r="U39" s="206">
        <f>'P &amp; NP'!FC516</f>
        <v>0</v>
      </c>
      <c r="V39" s="206">
        <f>'P &amp; NP'!FD516</f>
        <v>0</v>
      </c>
      <c r="W39" s="206">
        <f>'P &amp; NP'!FS516</f>
        <v>0</v>
      </c>
      <c r="X39" s="206">
        <f>'P &amp; NP'!FT516</f>
        <v>0</v>
      </c>
      <c r="Y39" s="206">
        <f>'P &amp; NP'!GI516</f>
        <v>0</v>
      </c>
      <c r="Z39" s="206">
        <f>'P &amp; NP'!GJ516</f>
        <v>0</v>
      </c>
      <c r="AA39" s="206">
        <f>'P &amp; NP'!GY516</f>
        <v>0</v>
      </c>
      <c r="AB39" s="206">
        <f>'P &amp; NP'!GZ516</f>
        <v>0</v>
      </c>
      <c r="AC39" s="206">
        <f>'P &amp; NP'!HO516</f>
        <v>0</v>
      </c>
      <c r="AD39" s="206">
        <f>'P &amp; NP'!HP516</f>
        <v>0</v>
      </c>
      <c r="AE39" s="206">
        <f>'P &amp; NP'!IE516</f>
        <v>0</v>
      </c>
      <c r="AF39" s="206">
        <f>'P &amp; NP'!IF516</f>
        <v>0</v>
      </c>
      <c r="AG39" s="206">
        <f>'P &amp; NP'!IU516</f>
        <v>0</v>
      </c>
      <c r="AH39" s="206">
        <f>'P &amp; NP'!IV516</f>
        <v>0</v>
      </c>
      <c r="AI39" s="206">
        <f>'P &amp; NP'!JK516</f>
        <v>0</v>
      </c>
      <c r="AJ39" s="206">
        <f>'P &amp; NP'!JL516</f>
        <v>0</v>
      </c>
      <c r="AK39" s="206">
        <f>'P &amp; NP'!KA516</f>
        <v>0</v>
      </c>
      <c r="AL39" s="206">
        <f>'P &amp; NP'!KB516</f>
        <v>0</v>
      </c>
      <c r="AM39" s="209">
        <f>'P &amp; NP'!KQ516</f>
        <v>0</v>
      </c>
      <c r="AN39" s="209">
        <f>'P &amp; NP'!KR516</f>
        <v>0</v>
      </c>
      <c r="AO39" s="209">
        <f>'P &amp; NP'!LG516</f>
        <v>0</v>
      </c>
      <c r="AP39" s="209">
        <f>'P &amp; NP'!LH516</f>
        <v>0</v>
      </c>
      <c r="AQ39" s="209">
        <f>'P &amp; NP'!LW516</f>
        <v>0</v>
      </c>
      <c r="AR39" s="209">
        <f>'P &amp; NP'!LX516</f>
        <v>0</v>
      </c>
      <c r="AS39" s="209">
        <f>'P &amp; NP'!MM516</f>
        <v>0</v>
      </c>
      <c r="AT39" s="209">
        <f>'P &amp; NP'!MN516</f>
        <v>0</v>
      </c>
      <c r="AU39" s="209">
        <f>'P &amp; NP'!NC516</f>
        <v>0</v>
      </c>
      <c r="AV39" s="209">
        <f>'P &amp; NP'!ND516</f>
        <v>0</v>
      </c>
      <c r="AW39" s="209">
        <f>'P &amp; NP'!NS516</f>
        <v>0</v>
      </c>
      <c r="AX39" s="209">
        <f>'P &amp; NP'!NT516</f>
        <v>0</v>
      </c>
      <c r="AY39" s="209">
        <f>'P &amp; NP'!OI516</f>
        <v>0</v>
      </c>
      <c r="AZ39" s="209">
        <f>'P &amp; NP'!OJ516</f>
        <v>0</v>
      </c>
      <c r="BA39" s="209">
        <f>'P &amp; NP'!OY516</f>
        <v>0</v>
      </c>
      <c r="BB39" s="209">
        <f>'P &amp; NP'!OZ516</f>
        <v>0</v>
      </c>
      <c r="BC39" s="209">
        <f>'P &amp; NP'!PO516</f>
        <v>0</v>
      </c>
      <c r="BD39" s="209">
        <f>'P &amp; NP'!PP516</f>
        <v>0</v>
      </c>
      <c r="BE39" s="209">
        <f>'P &amp; NP'!QE516</f>
        <v>0</v>
      </c>
      <c r="BF39" s="209">
        <f>'P &amp; NP'!QF516</f>
        <v>0</v>
      </c>
      <c r="BG39" s="209">
        <f>'P &amp; NP'!QU516</f>
        <v>0</v>
      </c>
      <c r="BH39" s="209">
        <f>'P &amp; NP'!QV516</f>
        <v>0</v>
      </c>
      <c r="BI39" s="209">
        <f>'P &amp; NP'!RK516</f>
        <v>0</v>
      </c>
      <c r="BJ39" s="209">
        <f>'P &amp; NP'!RL516</f>
        <v>0</v>
      </c>
      <c r="BK39" s="209">
        <f>'P &amp; NP'!SA516</f>
        <v>0</v>
      </c>
      <c r="BL39" s="209">
        <f>'P &amp; NP'!SB516</f>
        <v>0</v>
      </c>
      <c r="BM39" s="209">
        <f>'P &amp; NP'!SQ516</f>
        <v>0</v>
      </c>
      <c r="BN39" s="209">
        <f>'P &amp; NP'!SR516</f>
        <v>0</v>
      </c>
      <c r="BO39" s="209">
        <f>'P &amp; NP'!TG516</f>
        <v>0</v>
      </c>
      <c r="BP39" s="209">
        <f>'P &amp; NP'!TH516</f>
        <v>0</v>
      </c>
      <c r="BQ39" s="209">
        <f>'P &amp; NP'!TW516</f>
        <v>0</v>
      </c>
      <c r="BR39" s="209">
        <f>'P &amp; NP'!TX516</f>
        <v>0</v>
      </c>
      <c r="BS39" s="209">
        <f>'P &amp; NP'!UM516</f>
        <v>0</v>
      </c>
      <c r="BT39" s="209">
        <f>'P &amp; NP'!UN516</f>
        <v>0</v>
      </c>
      <c r="BU39" s="209">
        <f>'P &amp; NP'!VC516</f>
        <v>0</v>
      </c>
      <c r="BV39" s="209">
        <f>'P &amp; NP'!VD516</f>
        <v>0</v>
      </c>
      <c r="BW39" s="209">
        <f>'P &amp; NP'!VS516</f>
        <v>0</v>
      </c>
      <c r="BX39" s="209">
        <f>'P &amp; NP'!VT516</f>
        <v>0</v>
      </c>
      <c r="BY39" s="209">
        <f>'P &amp; NP'!WI516</f>
        <v>0</v>
      </c>
      <c r="BZ39" s="209">
        <f>'P &amp; NP'!WJ516</f>
        <v>0</v>
      </c>
      <c r="CB39" s="206"/>
      <c r="CC39" s="206"/>
    </row>
    <row r="40" spans="1:81">
      <c r="B40" s="207" t="str">
        <f>'P &amp; NP'!B46</f>
        <v>Ikan_01 (Ikan Lainnya)</v>
      </c>
      <c r="C40" s="206">
        <f>'P &amp; NP'!O517</f>
        <v>0</v>
      </c>
      <c r="D40" s="206">
        <f>'P &amp; NP'!P517</f>
        <v>0</v>
      </c>
      <c r="E40" s="206">
        <f>'P &amp; NP'!AE517</f>
        <v>0</v>
      </c>
      <c r="F40" s="206">
        <f>'P &amp; NP'!AF517</f>
        <v>0</v>
      </c>
      <c r="G40" s="206">
        <f>'P &amp; NP'!AU517</f>
        <v>0</v>
      </c>
      <c r="H40" s="206">
        <f>'P &amp; NP'!AV517</f>
        <v>0</v>
      </c>
      <c r="I40" s="206">
        <f>'P &amp; NP'!BK517</f>
        <v>0</v>
      </c>
      <c r="J40" s="206">
        <f>'P &amp; NP'!BL517</f>
        <v>0</v>
      </c>
      <c r="K40" s="206">
        <f>'P &amp; NP'!CA517</f>
        <v>0</v>
      </c>
      <c r="L40" s="206">
        <f>'P &amp; NP'!CB517</f>
        <v>0</v>
      </c>
      <c r="M40" s="206">
        <f>'P &amp; NP'!CQ517</f>
        <v>0</v>
      </c>
      <c r="N40" s="206">
        <f>'P &amp; NP'!CR517</f>
        <v>0</v>
      </c>
      <c r="O40" s="206">
        <f>'P &amp; NP'!DG517</f>
        <v>0</v>
      </c>
      <c r="P40" s="206">
        <f>'P &amp; NP'!DH517</f>
        <v>0</v>
      </c>
      <c r="Q40" s="206">
        <f>'P &amp; NP'!DW517</f>
        <v>0</v>
      </c>
      <c r="R40" s="206">
        <f>'P &amp; NP'!DX517</f>
        <v>0</v>
      </c>
      <c r="S40" s="206">
        <f>'P &amp; NP'!EM517</f>
        <v>0</v>
      </c>
      <c r="T40" s="206">
        <f>'P &amp; NP'!EN517</f>
        <v>0</v>
      </c>
      <c r="U40" s="206">
        <f>'P &amp; NP'!FC517</f>
        <v>0</v>
      </c>
      <c r="V40" s="206">
        <f>'P &amp; NP'!FD517</f>
        <v>0</v>
      </c>
      <c r="W40" s="206">
        <f>'P &amp; NP'!FS517</f>
        <v>0</v>
      </c>
      <c r="X40" s="206">
        <f>'P &amp; NP'!FT517</f>
        <v>0</v>
      </c>
      <c r="Y40" s="206">
        <f>'P &amp; NP'!GI517</f>
        <v>0</v>
      </c>
      <c r="Z40" s="206">
        <f>'P &amp; NP'!GJ517</f>
        <v>0</v>
      </c>
      <c r="AA40" s="206">
        <f>'P &amp; NP'!GY517</f>
        <v>0</v>
      </c>
      <c r="AB40" s="206">
        <f>'P &amp; NP'!GZ517</f>
        <v>0</v>
      </c>
      <c r="AC40" s="206">
        <f>'P &amp; NP'!HO517</f>
        <v>0</v>
      </c>
      <c r="AD40" s="206">
        <f>'P &amp; NP'!HP517</f>
        <v>0</v>
      </c>
      <c r="AE40" s="206">
        <f>'P &amp; NP'!IE517</f>
        <v>0</v>
      </c>
      <c r="AF40" s="206">
        <f>'P &amp; NP'!IF517</f>
        <v>0</v>
      </c>
      <c r="AG40" s="206">
        <f>'P &amp; NP'!IU517</f>
        <v>0</v>
      </c>
      <c r="AH40" s="206">
        <f>'P &amp; NP'!IV517</f>
        <v>0</v>
      </c>
      <c r="AI40" s="206">
        <f>'P &amp; NP'!JK517</f>
        <v>0</v>
      </c>
      <c r="AJ40" s="206">
        <f>'P &amp; NP'!JL517</f>
        <v>0</v>
      </c>
      <c r="AK40" s="206">
        <f>'P &amp; NP'!KA517</f>
        <v>0</v>
      </c>
      <c r="AL40" s="206">
        <f>'P &amp; NP'!KB517</f>
        <v>0</v>
      </c>
      <c r="AM40" s="209">
        <f>'P &amp; NP'!KQ517</f>
        <v>0</v>
      </c>
      <c r="AN40" s="209">
        <f>'P &amp; NP'!KR517</f>
        <v>0</v>
      </c>
      <c r="AO40" s="209">
        <f>'P &amp; NP'!LG517</f>
        <v>0</v>
      </c>
      <c r="AP40" s="209">
        <f>'P &amp; NP'!LH517</f>
        <v>0</v>
      </c>
      <c r="AQ40" s="209">
        <f>'P &amp; NP'!LW517</f>
        <v>0</v>
      </c>
      <c r="AR40" s="209">
        <f>'P &amp; NP'!LX517</f>
        <v>0</v>
      </c>
      <c r="AS40" s="209">
        <f>'P &amp; NP'!MM517</f>
        <v>0</v>
      </c>
      <c r="AT40" s="209">
        <f>'P &amp; NP'!MN517</f>
        <v>0</v>
      </c>
      <c r="AU40" s="209">
        <f>'P &amp; NP'!NC517</f>
        <v>0</v>
      </c>
      <c r="AV40" s="209">
        <f>'P &amp; NP'!ND517</f>
        <v>0</v>
      </c>
      <c r="AW40" s="209">
        <f>'P &amp; NP'!NS517</f>
        <v>0</v>
      </c>
      <c r="AX40" s="209">
        <f>'P &amp; NP'!NT517</f>
        <v>0</v>
      </c>
      <c r="AY40" s="209">
        <f>'P &amp; NP'!OI517</f>
        <v>0</v>
      </c>
      <c r="AZ40" s="209">
        <f>'P &amp; NP'!OJ517</f>
        <v>0</v>
      </c>
      <c r="BA40" s="209">
        <f>'P &amp; NP'!OY517</f>
        <v>0</v>
      </c>
      <c r="BB40" s="209">
        <f>'P &amp; NP'!OZ517</f>
        <v>0</v>
      </c>
      <c r="BC40" s="209">
        <f>'P &amp; NP'!PO517</f>
        <v>0</v>
      </c>
      <c r="BD40" s="209">
        <f>'P &amp; NP'!PP517</f>
        <v>0</v>
      </c>
      <c r="BE40" s="209">
        <f>'P &amp; NP'!QE517</f>
        <v>0</v>
      </c>
      <c r="BF40" s="209">
        <f>'P &amp; NP'!QF517</f>
        <v>0</v>
      </c>
      <c r="BG40" s="209">
        <f>'P &amp; NP'!QU517</f>
        <v>0</v>
      </c>
      <c r="BH40" s="209">
        <f>'P &amp; NP'!QV517</f>
        <v>0</v>
      </c>
      <c r="BI40" s="209">
        <f>'P &amp; NP'!RK517</f>
        <v>0</v>
      </c>
      <c r="BJ40" s="209">
        <f>'P &amp; NP'!RL517</f>
        <v>0</v>
      </c>
      <c r="BK40" s="209">
        <f>'P &amp; NP'!SA517</f>
        <v>0</v>
      </c>
      <c r="BL40" s="209">
        <f>'P &amp; NP'!SB517</f>
        <v>0</v>
      </c>
      <c r="BM40" s="209">
        <f>'P &amp; NP'!SQ517</f>
        <v>0</v>
      </c>
      <c r="BN40" s="209">
        <f>'P &amp; NP'!SR517</f>
        <v>0</v>
      </c>
      <c r="BO40" s="209">
        <f>'P &amp; NP'!TG517</f>
        <v>0</v>
      </c>
      <c r="BP40" s="209">
        <f>'P &amp; NP'!TH517</f>
        <v>0</v>
      </c>
      <c r="BQ40" s="209">
        <f>'P &amp; NP'!TW517</f>
        <v>0</v>
      </c>
      <c r="BR40" s="209">
        <f>'P &amp; NP'!TX517</f>
        <v>0</v>
      </c>
      <c r="BS40" s="209">
        <f>'P &amp; NP'!UM517</f>
        <v>0</v>
      </c>
      <c r="BT40" s="209">
        <f>'P &amp; NP'!UN517</f>
        <v>0</v>
      </c>
      <c r="BU40" s="209">
        <f>'P &amp; NP'!VC517</f>
        <v>0</v>
      </c>
      <c r="BV40" s="209">
        <f>'P &amp; NP'!VD517</f>
        <v>0</v>
      </c>
      <c r="BW40" s="209">
        <f>'P &amp; NP'!VS517</f>
        <v>0</v>
      </c>
      <c r="BX40" s="209">
        <f>'P &amp; NP'!VT517</f>
        <v>0</v>
      </c>
      <c r="BY40" s="209">
        <f>'P &amp; NP'!WI517</f>
        <v>0</v>
      </c>
      <c r="BZ40" s="209">
        <f>'P &amp; NP'!WJ517</f>
        <v>0</v>
      </c>
      <c r="CB40" s="206"/>
      <c r="CC40" s="206"/>
    </row>
    <row r="41" spans="1:81">
      <c r="B41" s="207" t="str">
        <f>'P &amp; NP'!B47</f>
        <v>Ikan_02 (Tiram)</v>
      </c>
      <c r="C41" s="206">
        <f>'P &amp; NP'!O518</f>
        <v>0</v>
      </c>
      <c r="D41" s="206">
        <f>'P &amp; NP'!P518</f>
        <v>0</v>
      </c>
      <c r="E41" s="206">
        <f>'P &amp; NP'!AE518</f>
        <v>0</v>
      </c>
      <c r="F41" s="206">
        <f>'P &amp; NP'!AF518</f>
        <v>0</v>
      </c>
      <c r="G41" s="206">
        <f>'P &amp; NP'!AU518</f>
        <v>0</v>
      </c>
      <c r="H41" s="206">
        <f>'P &amp; NP'!AV518</f>
        <v>0</v>
      </c>
      <c r="I41" s="206">
        <f>'P &amp; NP'!BK518</f>
        <v>0</v>
      </c>
      <c r="J41" s="206">
        <f>'P &amp; NP'!BL518</f>
        <v>0</v>
      </c>
      <c r="K41" s="206">
        <f>'P &amp; NP'!CA518</f>
        <v>0</v>
      </c>
      <c r="L41" s="206">
        <f>'P &amp; NP'!CB518</f>
        <v>0</v>
      </c>
      <c r="M41" s="206">
        <f>'P &amp; NP'!CQ518</f>
        <v>0</v>
      </c>
      <c r="N41" s="206">
        <f>'P &amp; NP'!CR518</f>
        <v>0</v>
      </c>
      <c r="O41" s="206">
        <f>'P &amp; NP'!DG518</f>
        <v>0</v>
      </c>
      <c r="P41" s="206">
        <f>'P &amp; NP'!DH518</f>
        <v>0</v>
      </c>
      <c r="Q41" s="206">
        <f>'P &amp; NP'!DW518</f>
        <v>0</v>
      </c>
      <c r="R41" s="206">
        <f>'P &amp; NP'!DX518</f>
        <v>0</v>
      </c>
      <c r="S41" s="206">
        <f>'P &amp; NP'!EM518</f>
        <v>0</v>
      </c>
      <c r="T41" s="206">
        <f>'P &amp; NP'!EN518</f>
        <v>0</v>
      </c>
      <c r="U41" s="206">
        <f>'P &amp; NP'!FC518</f>
        <v>0</v>
      </c>
      <c r="V41" s="206">
        <f>'P &amp; NP'!FD518</f>
        <v>0</v>
      </c>
      <c r="W41" s="206">
        <f>'P &amp; NP'!FS518</f>
        <v>0</v>
      </c>
      <c r="X41" s="206">
        <f>'P &amp; NP'!FT518</f>
        <v>0</v>
      </c>
      <c r="Y41" s="206">
        <f>'P &amp; NP'!GI518</f>
        <v>0</v>
      </c>
      <c r="Z41" s="206">
        <f>'P &amp; NP'!GJ518</f>
        <v>0</v>
      </c>
      <c r="AA41" s="206">
        <f>'P &amp; NP'!GY518</f>
        <v>0</v>
      </c>
      <c r="AB41" s="206">
        <f>'P &amp; NP'!GZ518</f>
        <v>0</v>
      </c>
      <c r="AC41" s="206">
        <f>'P &amp; NP'!HO518</f>
        <v>0</v>
      </c>
      <c r="AD41" s="206">
        <f>'P &amp; NP'!HP518</f>
        <v>0</v>
      </c>
      <c r="AE41" s="206">
        <f>'P &amp; NP'!IE518</f>
        <v>0</v>
      </c>
      <c r="AF41" s="206">
        <f>'P &amp; NP'!IF518</f>
        <v>0</v>
      </c>
      <c r="AG41" s="206">
        <f>'P &amp; NP'!IU518</f>
        <v>0</v>
      </c>
      <c r="AH41" s="206">
        <f>'P &amp; NP'!IV518</f>
        <v>0</v>
      </c>
      <c r="AI41" s="206">
        <f>'P &amp; NP'!JK518</f>
        <v>0</v>
      </c>
      <c r="AJ41" s="206">
        <f>'P &amp; NP'!JL518</f>
        <v>0</v>
      </c>
      <c r="AK41" s="206">
        <f>'P &amp; NP'!KA518</f>
        <v>0</v>
      </c>
      <c r="AL41" s="206">
        <f>'P &amp; NP'!KB518</f>
        <v>0</v>
      </c>
      <c r="AM41" s="209">
        <f>'P &amp; NP'!KQ518</f>
        <v>0</v>
      </c>
      <c r="AN41" s="209">
        <f>'P &amp; NP'!KR518</f>
        <v>0</v>
      </c>
      <c r="AO41" s="209">
        <f>'P &amp; NP'!LG518</f>
        <v>0</v>
      </c>
      <c r="AP41" s="209">
        <f>'P &amp; NP'!LH518</f>
        <v>0</v>
      </c>
      <c r="AQ41" s="209">
        <f>'P &amp; NP'!LW518</f>
        <v>0</v>
      </c>
      <c r="AR41" s="209">
        <f>'P &amp; NP'!LX518</f>
        <v>0</v>
      </c>
      <c r="AS41" s="209">
        <f>'P &amp; NP'!MM518</f>
        <v>0</v>
      </c>
      <c r="AT41" s="209">
        <f>'P &amp; NP'!MN518</f>
        <v>0</v>
      </c>
      <c r="AU41" s="209">
        <f>'P &amp; NP'!NC518</f>
        <v>0</v>
      </c>
      <c r="AV41" s="209">
        <f>'P &amp; NP'!ND518</f>
        <v>0</v>
      </c>
      <c r="AW41" s="209">
        <f>'P &amp; NP'!NS518</f>
        <v>0</v>
      </c>
      <c r="AX41" s="209">
        <f>'P &amp; NP'!NT518</f>
        <v>0</v>
      </c>
      <c r="AY41" s="209">
        <f>'P &amp; NP'!OI518</f>
        <v>0</v>
      </c>
      <c r="AZ41" s="209">
        <f>'P &amp; NP'!OJ518</f>
        <v>0</v>
      </c>
      <c r="BA41" s="209">
        <f>'P &amp; NP'!OY518</f>
        <v>0</v>
      </c>
      <c r="BB41" s="209">
        <f>'P &amp; NP'!OZ518</f>
        <v>0</v>
      </c>
      <c r="BC41" s="209">
        <f>'P &amp; NP'!PO518</f>
        <v>0</v>
      </c>
      <c r="BD41" s="209">
        <f>'P &amp; NP'!PP518</f>
        <v>0</v>
      </c>
      <c r="BE41" s="209">
        <f>'P &amp; NP'!QE518</f>
        <v>0</v>
      </c>
      <c r="BF41" s="209">
        <f>'P &amp; NP'!QF518</f>
        <v>0</v>
      </c>
      <c r="BG41" s="209">
        <f>'P &amp; NP'!QU518</f>
        <v>0</v>
      </c>
      <c r="BH41" s="209">
        <f>'P &amp; NP'!QV518</f>
        <v>0</v>
      </c>
      <c r="BI41" s="209">
        <f>'P &amp; NP'!RK518</f>
        <v>0</v>
      </c>
      <c r="BJ41" s="209">
        <f>'P &amp; NP'!RL518</f>
        <v>0</v>
      </c>
      <c r="BK41" s="209">
        <f>'P &amp; NP'!SA518</f>
        <v>0</v>
      </c>
      <c r="BL41" s="209">
        <f>'P &amp; NP'!SB518</f>
        <v>0</v>
      </c>
      <c r="BM41" s="209">
        <f>'P &amp; NP'!SQ518</f>
        <v>0</v>
      </c>
      <c r="BN41" s="209">
        <f>'P &amp; NP'!SR518</f>
        <v>0</v>
      </c>
      <c r="BO41" s="209">
        <f>'P &amp; NP'!TG518</f>
        <v>0</v>
      </c>
      <c r="BP41" s="209">
        <f>'P &amp; NP'!TH518</f>
        <v>0</v>
      </c>
      <c r="BQ41" s="209">
        <f>'P &amp; NP'!TW518</f>
        <v>0</v>
      </c>
      <c r="BR41" s="209">
        <f>'P &amp; NP'!TX518</f>
        <v>0</v>
      </c>
      <c r="BS41" s="209">
        <f>'P &amp; NP'!UM518</f>
        <v>0</v>
      </c>
      <c r="BT41" s="209">
        <f>'P &amp; NP'!UN518</f>
        <v>0</v>
      </c>
      <c r="BU41" s="209">
        <f>'P &amp; NP'!VC518</f>
        <v>0</v>
      </c>
      <c r="BV41" s="209">
        <f>'P &amp; NP'!VD518</f>
        <v>0</v>
      </c>
      <c r="BW41" s="209">
        <f>'P &amp; NP'!VS518</f>
        <v>0</v>
      </c>
      <c r="BX41" s="209">
        <f>'P &amp; NP'!VT518</f>
        <v>0</v>
      </c>
      <c r="BY41" s="209">
        <f>'P &amp; NP'!WI518</f>
        <v>0</v>
      </c>
      <c r="BZ41" s="209">
        <f>'P &amp; NP'!WJ518</f>
        <v>0</v>
      </c>
      <c r="CB41" s="206"/>
      <c r="CC41" s="206"/>
    </row>
    <row r="42" spans="1:81">
      <c r="B42" s="207" t="str">
        <f>'P &amp; NP'!B48</f>
        <v>Ikan_03 (Kerang Darah)</v>
      </c>
      <c r="C42" s="206">
        <f>'P &amp; NP'!O519</f>
        <v>0</v>
      </c>
      <c r="D42" s="206">
        <f>'P &amp; NP'!P519</f>
        <v>0</v>
      </c>
      <c r="E42" s="206">
        <f>'P &amp; NP'!AE519</f>
        <v>0</v>
      </c>
      <c r="F42" s="206">
        <f>'P &amp; NP'!AF519</f>
        <v>0</v>
      </c>
      <c r="G42" s="206">
        <f>'P &amp; NP'!AU519</f>
        <v>0</v>
      </c>
      <c r="H42" s="206">
        <f>'P &amp; NP'!AV519</f>
        <v>0</v>
      </c>
      <c r="I42" s="206">
        <f>'P &amp; NP'!BK519</f>
        <v>0</v>
      </c>
      <c r="J42" s="206">
        <f>'P &amp; NP'!BL519</f>
        <v>0</v>
      </c>
      <c r="K42" s="206">
        <f>'P &amp; NP'!CA519</f>
        <v>0</v>
      </c>
      <c r="L42" s="206">
        <f>'P &amp; NP'!CB519</f>
        <v>0</v>
      </c>
      <c r="M42" s="206">
        <f>'P &amp; NP'!CQ519</f>
        <v>0</v>
      </c>
      <c r="N42" s="206">
        <f>'P &amp; NP'!CR519</f>
        <v>0</v>
      </c>
      <c r="O42" s="206">
        <f>'P &amp; NP'!DG519</f>
        <v>0</v>
      </c>
      <c r="P42" s="206">
        <f>'P &amp; NP'!DH519</f>
        <v>0</v>
      </c>
      <c r="Q42" s="206">
        <f>'P &amp; NP'!DW519</f>
        <v>0</v>
      </c>
      <c r="R42" s="206">
        <f>'P &amp; NP'!DX519</f>
        <v>0</v>
      </c>
      <c r="S42" s="206">
        <f>'P &amp; NP'!EM519</f>
        <v>0</v>
      </c>
      <c r="T42" s="206">
        <f>'P &amp; NP'!EN519</f>
        <v>0</v>
      </c>
      <c r="U42" s="206">
        <f>'P &amp; NP'!FC519</f>
        <v>0</v>
      </c>
      <c r="V42" s="206">
        <f>'P &amp; NP'!FD519</f>
        <v>0</v>
      </c>
      <c r="W42" s="206">
        <f>'P &amp; NP'!FS519</f>
        <v>0</v>
      </c>
      <c r="X42" s="206">
        <f>'P &amp; NP'!FT519</f>
        <v>0</v>
      </c>
      <c r="Y42" s="206">
        <f>'P &amp; NP'!GI519</f>
        <v>0</v>
      </c>
      <c r="Z42" s="206">
        <f>'P &amp; NP'!GJ519</f>
        <v>0</v>
      </c>
      <c r="AA42" s="206">
        <f>'P &amp; NP'!GY519</f>
        <v>0</v>
      </c>
      <c r="AB42" s="206">
        <f>'P &amp; NP'!GZ519</f>
        <v>0</v>
      </c>
      <c r="AC42" s="206">
        <f>'P &amp; NP'!HO519</f>
        <v>0</v>
      </c>
      <c r="AD42" s="206">
        <f>'P &amp; NP'!HP519</f>
        <v>0</v>
      </c>
      <c r="AE42" s="206">
        <f>'P &amp; NP'!IE519</f>
        <v>0</v>
      </c>
      <c r="AF42" s="206">
        <f>'P &amp; NP'!IF519</f>
        <v>0</v>
      </c>
      <c r="AG42" s="206">
        <f>'P &amp; NP'!IU519</f>
        <v>0</v>
      </c>
      <c r="AH42" s="206">
        <f>'P &amp; NP'!IV519</f>
        <v>0</v>
      </c>
      <c r="AI42" s="206">
        <f>'P &amp; NP'!JK519</f>
        <v>0</v>
      </c>
      <c r="AJ42" s="206">
        <f>'P &amp; NP'!JL519</f>
        <v>0</v>
      </c>
      <c r="AK42" s="206">
        <f>'P &amp; NP'!KA519</f>
        <v>0</v>
      </c>
      <c r="AL42" s="206">
        <f>'P &amp; NP'!KB519</f>
        <v>0</v>
      </c>
      <c r="AM42" s="209">
        <f>'P &amp; NP'!KQ519</f>
        <v>0</v>
      </c>
      <c r="AN42" s="209">
        <f>'P &amp; NP'!KR519</f>
        <v>0</v>
      </c>
      <c r="AO42" s="209">
        <f>'P &amp; NP'!LG519</f>
        <v>0</v>
      </c>
      <c r="AP42" s="209">
        <f>'P &amp; NP'!LH519</f>
        <v>0</v>
      </c>
      <c r="AQ42" s="209">
        <f>'P &amp; NP'!LW519</f>
        <v>0</v>
      </c>
      <c r="AR42" s="209">
        <f>'P &amp; NP'!LX519</f>
        <v>0</v>
      </c>
      <c r="AS42" s="209">
        <f>'P &amp; NP'!MM519</f>
        <v>0</v>
      </c>
      <c r="AT42" s="209">
        <f>'P &amp; NP'!MN519</f>
        <v>0</v>
      </c>
      <c r="AU42" s="209">
        <f>'P &amp; NP'!NC519</f>
        <v>0</v>
      </c>
      <c r="AV42" s="209">
        <f>'P &amp; NP'!ND519</f>
        <v>0</v>
      </c>
      <c r="AW42" s="209">
        <f>'P &amp; NP'!NS519</f>
        <v>0</v>
      </c>
      <c r="AX42" s="209">
        <f>'P &amp; NP'!NT519</f>
        <v>0</v>
      </c>
      <c r="AY42" s="209">
        <f>'P &amp; NP'!OI519</f>
        <v>0</v>
      </c>
      <c r="AZ42" s="209">
        <f>'P &amp; NP'!OJ519</f>
        <v>0</v>
      </c>
      <c r="BA42" s="209">
        <f>'P &amp; NP'!OY519</f>
        <v>0</v>
      </c>
      <c r="BB42" s="209">
        <f>'P &amp; NP'!OZ519</f>
        <v>0</v>
      </c>
      <c r="BC42" s="209">
        <f>'P &amp; NP'!PO519</f>
        <v>0</v>
      </c>
      <c r="BD42" s="209">
        <f>'P &amp; NP'!PP519</f>
        <v>0</v>
      </c>
      <c r="BE42" s="209">
        <f>'P &amp; NP'!QE519</f>
        <v>0</v>
      </c>
      <c r="BF42" s="209">
        <f>'P &amp; NP'!QF519</f>
        <v>0</v>
      </c>
      <c r="BG42" s="209">
        <f>'P &amp; NP'!QU519</f>
        <v>0</v>
      </c>
      <c r="BH42" s="209">
        <f>'P &amp; NP'!QV519</f>
        <v>0</v>
      </c>
      <c r="BI42" s="209">
        <f>'P &amp; NP'!RK519</f>
        <v>0</v>
      </c>
      <c r="BJ42" s="209">
        <f>'P &amp; NP'!RL519</f>
        <v>0</v>
      </c>
      <c r="BK42" s="209">
        <f>'P &amp; NP'!SA519</f>
        <v>0</v>
      </c>
      <c r="BL42" s="209">
        <f>'P &amp; NP'!SB519</f>
        <v>0</v>
      </c>
      <c r="BM42" s="209">
        <f>'P &amp; NP'!SQ519</f>
        <v>0</v>
      </c>
      <c r="BN42" s="209">
        <f>'P &amp; NP'!SR519</f>
        <v>0</v>
      </c>
      <c r="BO42" s="209">
        <f>'P &amp; NP'!TG519</f>
        <v>0</v>
      </c>
      <c r="BP42" s="209">
        <f>'P &amp; NP'!TH519</f>
        <v>0</v>
      </c>
      <c r="BQ42" s="209">
        <f>'P &amp; NP'!TW519</f>
        <v>0</v>
      </c>
      <c r="BR42" s="209">
        <f>'P &amp; NP'!TX519</f>
        <v>0</v>
      </c>
      <c r="BS42" s="209">
        <f>'P &amp; NP'!UM519</f>
        <v>0</v>
      </c>
      <c r="BT42" s="209">
        <f>'P &amp; NP'!UN519</f>
        <v>0</v>
      </c>
      <c r="BU42" s="209">
        <f>'P &amp; NP'!VC519</f>
        <v>0</v>
      </c>
      <c r="BV42" s="209">
        <f>'P &amp; NP'!VD519</f>
        <v>0</v>
      </c>
      <c r="BW42" s="209">
        <f>'P &amp; NP'!VS519</f>
        <v>0</v>
      </c>
      <c r="BX42" s="209">
        <f>'P &amp; NP'!VT519</f>
        <v>0</v>
      </c>
      <c r="BY42" s="209">
        <f>'P &amp; NP'!WI519</f>
        <v>0</v>
      </c>
      <c r="BZ42" s="209">
        <f>'P &amp; NP'!WJ519</f>
        <v>0</v>
      </c>
      <c r="CB42" s="206"/>
      <c r="CC42" s="206"/>
    </row>
    <row r="43" spans="1:81">
      <c r="B43" s="207" t="str">
        <f>'P &amp; NP'!B49</f>
        <v>Ikan_04 (Ikan Keting)</v>
      </c>
      <c r="C43" s="206">
        <f>'P &amp; NP'!O520</f>
        <v>0</v>
      </c>
      <c r="D43" s="206">
        <f>'P &amp; NP'!P520</f>
        <v>0</v>
      </c>
      <c r="E43" s="206">
        <f>'P &amp; NP'!AE520</f>
        <v>0</v>
      </c>
      <c r="F43" s="206">
        <f>'P &amp; NP'!AF520</f>
        <v>0</v>
      </c>
      <c r="G43" s="206">
        <f>'P &amp; NP'!AU520</f>
        <v>0</v>
      </c>
      <c r="H43" s="206">
        <f>'P &amp; NP'!AV520</f>
        <v>0</v>
      </c>
      <c r="I43" s="206">
        <f>'P &amp; NP'!BK520</f>
        <v>0</v>
      </c>
      <c r="J43" s="206">
        <f>'P &amp; NP'!BL520</f>
        <v>0</v>
      </c>
      <c r="K43" s="206">
        <f>'P &amp; NP'!CA520</f>
        <v>0</v>
      </c>
      <c r="L43" s="206">
        <f>'P &amp; NP'!CB520</f>
        <v>0</v>
      </c>
      <c r="M43" s="206">
        <f>'P &amp; NP'!CQ520</f>
        <v>0</v>
      </c>
      <c r="N43" s="206">
        <f>'P &amp; NP'!CR520</f>
        <v>0</v>
      </c>
      <c r="O43" s="206">
        <f>'P &amp; NP'!DG520</f>
        <v>0</v>
      </c>
      <c r="P43" s="206">
        <f>'P &amp; NP'!DH520</f>
        <v>0</v>
      </c>
      <c r="Q43" s="206">
        <f>'P &amp; NP'!DW520</f>
        <v>0</v>
      </c>
      <c r="R43" s="206">
        <f>'P &amp; NP'!DX520</f>
        <v>0</v>
      </c>
      <c r="S43" s="206">
        <f>'P &amp; NP'!EM520</f>
        <v>0</v>
      </c>
      <c r="T43" s="206">
        <f>'P &amp; NP'!EN520</f>
        <v>0</v>
      </c>
      <c r="U43" s="206">
        <f>'P &amp; NP'!FC520</f>
        <v>0</v>
      </c>
      <c r="V43" s="206">
        <f>'P &amp; NP'!FD520</f>
        <v>0</v>
      </c>
      <c r="W43" s="206">
        <f>'P &amp; NP'!FS520</f>
        <v>0</v>
      </c>
      <c r="X43" s="206">
        <f>'P &amp; NP'!FT520</f>
        <v>0</v>
      </c>
      <c r="Y43" s="206">
        <f>'P &amp; NP'!GI520</f>
        <v>0</v>
      </c>
      <c r="Z43" s="206">
        <f>'P &amp; NP'!GJ520</f>
        <v>0</v>
      </c>
      <c r="AA43" s="206">
        <f>'P &amp; NP'!GY520</f>
        <v>0</v>
      </c>
      <c r="AB43" s="206">
        <f>'P &amp; NP'!GZ520</f>
        <v>0</v>
      </c>
      <c r="AC43" s="206">
        <f>'P &amp; NP'!HO520</f>
        <v>0</v>
      </c>
      <c r="AD43" s="206">
        <f>'P &amp; NP'!HP520</f>
        <v>0</v>
      </c>
      <c r="AE43" s="206">
        <f>'P &amp; NP'!IE520</f>
        <v>0</v>
      </c>
      <c r="AF43" s="206">
        <f>'P &amp; NP'!IF520</f>
        <v>0</v>
      </c>
      <c r="AG43" s="206">
        <f>'P &amp; NP'!IU520</f>
        <v>0</v>
      </c>
      <c r="AH43" s="206">
        <f>'P &amp; NP'!IV520</f>
        <v>0</v>
      </c>
      <c r="AI43" s="206">
        <f>'P &amp; NP'!JK520</f>
        <v>0</v>
      </c>
      <c r="AJ43" s="206">
        <f>'P &amp; NP'!JL520</f>
        <v>0</v>
      </c>
      <c r="AK43" s="206">
        <f>'P &amp; NP'!KA520</f>
        <v>0</v>
      </c>
      <c r="AL43" s="206">
        <f>'P &amp; NP'!KB520</f>
        <v>0</v>
      </c>
      <c r="AM43" s="209">
        <f>'P &amp; NP'!KQ520</f>
        <v>0</v>
      </c>
      <c r="AN43" s="209">
        <f>'P &amp; NP'!KR520</f>
        <v>0</v>
      </c>
      <c r="AO43" s="209">
        <f>'P &amp; NP'!LG520</f>
        <v>0</v>
      </c>
      <c r="AP43" s="209">
        <f>'P &amp; NP'!LH520</f>
        <v>0</v>
      </c>
      <c r="AQ43" s="209">
        <f>'P &amp; NP'!LW520</f>
        <v>0</v>
      </c>
      <c r="AR43" s="209">
        <f>'P &amp; NP'!LX520</f>
        <v>0</v>
      </c>
      <c r="AS43" s="209">
        <f>'P &amp; NP'!MM520</f>
        <v>0</v>
      </c>
      <c r="AT43" s="209">
        <f>'P &amp; NP'!MN520</f>
        <v>0</v>
      </c>
      <c r="AU43" s="209">
        <f>'P &amp; NP'!NC520</f>
        <v>0</v>
      </c>
      <c r="AV43" s="209">
        <f>'P &amp; NP'!ND520</f>
        <v>0</v>
      </c>
      <c r="AW43" s="209">
        <f>'P &amp; NP'!NS520</f>
        <v>0</v>
      </c>
      <c r="AX43" s="209">
        <f>'P &amp; NP'!NT520</f>
        <v>0</v>
      </c>
      <c r="AY43" s="209">
        <f>'P &amp; NP'!OI520</f>
        <v>0</v>
      </c>
      <c r="AZ43" s="209">
        <f>'P &amp; NP'!OJ520</f>
        <v>0</v>
      </c>
      <c r="BA43" s="209">
        <f>'P &amp; NP'!OY520</f>
        <v>0</v>
      </c>
      <c r="BB43" s="209">
        <f>'P &amp; NP'!OZ520</f>
        <v>0</v>
      </c>
      <c r="BC43" s="209">
        <f>'P &amp; NP'!PO520</f>
        <v>0</v>
      </c>
      <c r="BD43" s="209">
        <f>'P &amp; NP'!PP520</f>
        <v>0</v>
      </c>
      <c r="BE43" s="209">
        <f>'P &amp; NP'!QE520</f>
        <v>0</v>
      </c>
      <c r="BF43" s="209">
        <f>'P &amp; NP'!QF520</f>
        <v>0</v>
      </c>
      <c r="BG43" s="209">
        <f>'P &amp; NP'!QU520</f>
        <v>0</v>
      </c>
      <c r="BH43" s="209">
        <f>'P &amp; NP'!QV520</f>
        <v>0</v>
      </c>
      <c r="BI43" s="209">
        <f>'P &amp; NP'!RK520</f>
        <v>0</v>
      </c>
      <c r="BJ43" s="209">
        <f>'P &amp; NP'!RL520</f>
        <v>0</v>
      </c>
      <c r="BK43" s="209">
        <f>'P &amp; NP'!SA520</f>
        <v>0</v>
      </c>
      <c r="BL43" s="209">
        <f>'P &amp; NP'!SB520</f>
        <v>0</v>
      </c>
      <c r="BM43" s="209">
        <f>'P &amp; NP'!SQ520</f>
        <v>0</v>
      </c>
      <c r="BN43" s="209">
        <f>'P &amp; NP'!SR520</f>
        <v>0</v>
      </c>
      <c r="BO43" s="209">
        <f>'P &amp; NP'!TG520</f>
        <v>0</v>
      </c>
      <c r="BP43" s="209">
        <f>'P &amp; NP'!TH520</f>
        <v>0</v>
      </c>
      <c r="BQ43" s="209">
        <f>'P &amp; NP'!TW520</f>
        <v>0</v>
      </c>
      <c r="BR43" s="209">
        <f>'P &amp; NP'!TX520</f>
        <v>0</v>
      </c>
      <c r="BS43" s="209">
        <f>'P &amp; NP'!UM520</f>
        <v>0</v>
      </c>
      <c r="BT43" s="209">
        <f>'P &amp; NP'!UN520</f>
        <v>0</v>
      </c>
      <c r="BU43" s="209">
        <f>'P &amp; NP'!VC520</f>
        <v>0</v>
      </c>
      <c r="BV43" s="209">
        <f>'P &amp; NP'!VD520</f>
        <v>0</v>
      </c>
      <c r="BW43" s="209">
        <f>'P &amp; NP'!VS520</f>
        <v>0</v>
      </c>
      <c r="BX43" s="209">
        <f>'P &amp; NP'!VT520</f>
        <v>0</v>
      </c>
      <c r="BY43" s="209">
        <f>'P &amp; NP'!WI520</f>
        <v>0</v>
      </c>
      <c r="BZ43" s="209">
        <f>'P &amp; NP'!WJ520</f>
        <v>0</v>
      </c>
      <c r="CB43" s="206"/>
      <c r="CC43" s="206"/>
    </row>
    <row r="44" spans="1:81">
      <c r="B44" s="207" t="str">
        <f>'P &amp; NP'!B50</f>
        <v>Ikan_05 (Ikan betutu)</v>
      </c>
      <c r="C44" s="206">
        <f>'P &amp; NP'!O521</f>
        <v>0</v>
      </c>
      <c r="D44" s="206">
        <f>'P &amp; NP'!P521</f>
        <v>0</v>
      </c>
      <c r="E44" s="206">
        <f>'P &amp; NP'!AE521</f>
        <v>0</v>
      </c>
      <c r="F44" s="206">
        <f>'P &amp; NP'!AF521</f>
        <v>0</v>
      </c>
      <c r="G44" s="206">
        <f>'P &amp; NP'!AU521</f>
        <v>0</v>
      </c>
      <c r="H44" s="206">
        <f>'P &amp; NP'!AV521</f>
        <v>0</v>
      </c>
      <c r="I44" s="206">
        <f>'P &amp; NP'!BK521</f>
        <v>0</v>
      </c>
      <c r="J44" s="206">
        <f>'P &amp; NP'!BL521</f>
        <v>0</v>
      </c>
      <c r="K44" s="206">
        <f>'P &amp; NP'!CA521</f>
        <v>0</v>
      </c>
      <c r="L44" s="206">
        <f>'P &amp; NP'!CB521</f>
        <v>0</v>
      </c>
      <c r="M44" s="206">
        <f>'P &amp; NP'!CQ521</f>
        <v>0</v>
      </c>
      <c r="N44" s="206">
        <f>'P &amp; NP'!CR521</f>
        <v>0</v>
      </c>
      <c r="O44" s="206">
        <f>'P &amp; NP'!DG521</f>
        <v>0</v>
      </c>
      <c r="P44" s="206">
        <f>'P &amp; NP'!DH521</f>
        <v>0</v>
      </c>
      <c r="Q44" s="206">
        <f>'P &amp; NP'!DW521</f>
        <v>0</v>
      </c>
      <c r="R44" s="206">
        <f>'P &amp; NP'!DX521</f>
        <v>0</v>
      </c>
      <c r="S44" s="206">
        <f>'P &amp; NP'!EM521</f>
        <v>0</v>
      </c>
      <c r="T44" s="206">
        <f>'P &amp; NP'!EN521</f>
        <v>0</v>
      </c>
      <c r="U44" s="206">
        <f>'P &amp; NP'!FC521</f>
        <v>0</v>
      </c>
      <c r="V44" s="206">
        <f>'P &amp; NP'!FD521</f>
        <v>0</v>
      </c>
      <c r="W44" s="206">
        <f>'P &amp; NP'!FS521</f>
        <v>0</v>
      </c>
      <c r="X44" s="206">
        <f>'P &amp; NP'!FT521</f>
        <v>0</v>
      </c>
      <c r="Y44" s="206">
        <f>'P &amp; NP'!GI521</f>
        <v>0</v>
      </c>
      <c r="Z44" s="206">
        <f>'P &amp; NP'!GJ521</f>
        <v>0</v>
      </c>
      <c r="AA44" s="206">
        <f>'P &amp; NP'!GY521</f>
        <v>0</v>
      </c>
      <c r="AB44" s="206">
        <f>'P &amp; NP'!GZ521</f>
        <v>0</v>
      </c>
      <c r="AC44" s="206">
        <f>'P &amp; NP'!HO521</f>
        <v>0</v>
      </c>
      <c r="AD44" s="206">
        <f>'P &amp; NP'!HP521</f>
        <v>0</v>
      </c>
      <c r="AE44" s="206">
        <f>'P &amp; NP'!IE521</f>
        <v>0</v>
      </c>
      <c r="AF44" s="206">
        <f>'P &amp; NP'!IF521</f>
        <v>0</v>
      </c>
      <c r="AG44" s="206">
        <f>'P &amp; NP'!IU521</f>
        <v>0</v>
      </c>
      <c r="AH44" s="206">
        <f>'P &amp; NP'!IV521</f>
        <v>0</v>
      </c>
      <c r="AI44" s="206">
        <f>'P &amp; NP'!JK521</f>
        <v>0</v>
      </c>
      <c r="AJ44" s="206">
        <f>'P &amp; NP'!JL521</f>
        <v>0</v>
      </c>
      <c r="AK44" s="206">
        <f>'P &amp; NP'!KA521</f>
        <v>0</v>
      </c>
      <c r="AL44" s="206">
        <f>'P &amp; NP'!KB521</f>
        <v>0</v>
      </c>
      <c r="AM44" s="209">
        <f>'P &amp; NP'!KQ521</f>
        <v>0</v>
      </c>
      <c r="AN44" s="209">
        <f>'P &amp; NP'!KR521</f>
        <v>0</v>
      </c>
      <c r="AO44" s="209">
        <f>'P &amp; NP'!LG521</f>
        <v>0</v>
      </c>
      <c r="AP44" s="209">
        <f>'P &amp; NP'!LH521</f>
        <v>0</v>
      </c>
      <c r="AQ44" s="209">
        <f>'P &amp; NP'!LW521</f>
        <v>0</v>
      </c>
      <c r="AR44" s="209">
        <f>'P &amp; NP'!LX521</f>
        <v>0</v>
      </c>
      <c r="AS44" s="209">
        <f>'P &amp; NP'!MM521</f>
        <v>0</v>
      </c>
      <c r="AT44" s="209">
        <f>'P &amp; NP'!MN521</f>
        <v>0</v>
      </c>
      <c r="AU44" s="209">
        <f>'P &amp; NP'!NC521</f>
        <v>0</v>
      </c>
      <c r="AV44" s="209">
        <f>'P &amp; NP'!ND521</f>
        <v>0</v>
      </c>
      <c r="AW44" s="209">
        <f>'P &amp; NP'!NS521</f>
        <v>0</v>
      </c>
      <c r="AX44" s="209">
        <f>'P &amp; NP'!NT521</f>
        <v>0</v>
      </c>
      <c r="AY44" s="209">
        <f>'P &amp; NP'!OI521</f>
        <v>0</v>
      </c>
      <c r="AZ44" s="209">
        <f>'P &amp; NP'!OJ521</f>
        <v>0</v>
      </c>
      <c r="BA44" s="209">
        <f>'P &amp; NP'!OY521</f>
        <v>0</v>
      </c>
      <c r="BB44" s="209">
        <f>'P &amp; NP'!OZ521</f>
        <v>0</v>
      </c>
      <c r="BC44" s="209">
        <f>'P &amp; NP'!PO521</f>
        <v>0</v>
      </c>
      <c r="BD44" s="209">
        <f>'P &amp; NP'!PP521</f>
        <v>0</v>
      </c>
      <c r="BE44" s="209">
        <f>'P &amp; NP'!QE521</f>
        <v>0</v>
      </c>
      <c r="BF44" s="209">
        <f>'P &amp; NP'!QF521</f>
        <v>0</v>
      </c>
      <c r="BG44" s="209">
        <f>'P &amp; NP'!QU521</f>
        <v>0</v>
      </c>
      <c r="BH44" s="209">
        <f>'P &amp; NP'!QV521</f>
        <v>0</v>
      </c>
      <c r="BI44" s="209">
        <f>'P &amp; NP'!RK521</f>
        <v>0</v>
      </c>
      <c r="BJ44" s="209">
        <f>'P &amp; NP'!RL521</f>
        <v>0</v>
      </c>
      <c r="BK44" s="209">
        <f>'P &amp; NP'!SA521</f>
        <v>0</v>
      </c>
      <c r="BL44" s="209">
        <f>'P &amp; NP'!SB521</f>
        <v>0</v>
      </c>
      <c r="BM44" s="209">
        <f>'P &amp; NP'!SQ521</f>
        <v>0</v>
      </c>
      <c r="BN44" s="209">
        <f>'P &amp; NP'!SR521</f>
        <v>0</v>
      </c>
      <c r="BO44" s="209">
        <f>'P &amp; NP'!TG521</f>
        <v>0</v>
      </c>
      <c r="BP44" s="209">
        <f>'P &amp; NP'!TH521</f>
        <v>0</v>
      </c>
      <c r="BQ44" s="209">
        <f>'P &amp; NP'!TW521</f>
        <v>0</v>
      </c>
      <c r="BR44" s="209">
        <f>'P &amp; NP'!TX521</f>
        <v>0</v>
      </c>
      <c r="BS44" s="209">
        <f>'P &amp; NP'!UM521</f>
        <v>0</v>
      </c>
      <c r="BT44" s="209">
        <f>'P &amp; NP'!UN521</f>
        <v>0</v>
      </c>
      <c r="BU44" s="209">
        <f>'P &amp; NP'!VC521</f>
        <v>0</v>
      </c>
      <c r="BV44" s="209">
        <f>'P &amp; NP'!VD521</f>
        <v>0</v>
      </c>
      <c r="BW44" s="209">
        <f>'P &amp; NP'!VS521</f>
        <v>0</v>
      </c>
      <c r="BX44" s="209">
        <f>'P &amp; NP'!VT521</f>
        <v>0</v>
      </c>
      <c r="BY44" s="209">
        <f>'P &amp; NP'!WI521</f>
        <v>0</v>
      </c>
      <c r="BZ44" s="209">
        <f>'P &amp; NP'!WJ521</f>
        <v>0</v>
      </c>
      <c r="CB44" s="206"/>
      <c r="CC44" s="206"/>
    </row>
    <row r="45" spans="1:81">
      <c r="A45" s="359"/>
      <c r="B45" s="359"/>
      <c r="C45" s="359"/>
      <c r="D45" s="359"/>
      <c r="E45" s="359"/>
      <c r="F45" s="359"/>
      <c r="G45" s="359"/>
      <c r="H45" s="359"/>
      <c r="I45" s="359"/>
      <c r="J45" s="359"/>
      <c r="K45" s="359"/>
      <c r="L45" s="359"/>
      <c r="M45" s="359"/>
      <c r="N45" s="359"/>
      <c r="O45" s="359"/>
      <c r="P45" s="359"/>
      <c r="Q45" s="359"/>
      <c r="R45" s="359"/>
      <c r="S45" s="359"/>
      <c r="T45" s="359"/>
      <c r="U45" s="359"/>
      <c r="V45" s="359"/>
      <c r="W45" s="359"/>
      <c r="X45" s="359"/>
      <c r="Y45" s="359"/>
      <c r="Z45" s="359"/>
      <c r="AA45" s="359"/>
      <c r="AB45" s="359"/>
      <c r="AC45" s="359"/>
      <c r="AD45" s="359"/>
      <c r="AE45" s="359"/>
      <c r="AF45" s="359"/>
      <c r="AG45" s="359"/>
      <c r="AH45" s="359"/>
      <c r="AI45" s="359"/>
      <c r="AJ45" s="359"/>
      <c r="AK45" s="359"/>
      <c r="AL45" s="359"/>
      <c r="AM45" s="359"/>
      <c r="AN45" s="359"/>
      <c r="AO45" s="359"/>
      <c r="AP45" s="359"/>
      <c r="AQ45" s="359"/>
      <c r="AR45" s="359"/>
      <c r="AS45" s="359"/>
      <c r="AT45" s="359"/>
      <c r="AU45" s="359"/>
      <c r="AV45" s="359"/>
      <c r="AW45" s="359"/>
      <c r="AX45" s="359"/>
      <c r="AY45" s="359"/>
      <c r="AZ45" s="359"/>
      <c r="BA45" s="359"/>
      <c r="BB45" s="359"/>
      <c r="BC45" s="359"/>
      <c r="BD45" s="359"/>
      <c r="BE45" s="359"/>
      <c r="BF45" s="359"/>
      <c r="BG45" s="359"/>
      <c r="BH45" s="359"/>
      <c r="BI45" s="359"/>
      <c r="BJ45" s="359"/>
      <c r="BK45" s="359"/>
      <c r="BL45" s="359"/>
      <c r="BM45" s="359"/>
      <c r="BN45" s="359"/>
      <c r="BO45" s="359"/>
      <c r="BP45" s="359"/>
      <c r="BQ45" s="359"/>
      <c r="BR45" s="359"/>
      <c r="BS45" s="359"/>
      <c r="BT45" s="359"/>
      <c r="BU45" s="359"/>
      <c r="BV45" s="359"/>
      <c r="BW45" s="359"/>
      <c r="BX45" s="359"/>
      <c r="BY45" s="359"/>
      <c r="BZ45" s="359"/>
      <c r="CB45" s="359"/>
      <c r="CC45" s="359"/>
    </row>
  </sheetData>
  <mergeCells count="114">
    <mergeCell ref="I2:J2"/>
    <mergeCell ref="K2:L2"/>
    <mergeCell ref="M2:N2"/>
    <mergeCell ref="AM3:AN3"/>
    <mergeCell ref="AO2:AP2"/>
    <mergeCell ref="AO3:AP3"/>
    <mergeCell ref="U3:V3"/>
    <mergeCell ref="W3:X3"/>
    <mergeCell ref="Y3:Z3"/>
    <mergeCell ref="AA3:AB3"/>
    <mergeCell ref="AC3:AD3"/>
    <mergeCell ref="AE3:AF3"/>
    <mergeCell ref="AM2:AN2"/>
    <mergeCell ref="AA2:AB2"/>
    <mergeCell ref="AC2:AD2"/>
    <mergeCell ref="AE2:AF2"/>
    <mergeCell ref="AG2:AH2"/>
    <mergeCell ref="AI2:AJ2"/>
    <mergeCell ref="AK2:AL2"/>
    <mergeCell ref="U2:V2"/>
    <mergeCell ref="W2:X2"/>
    <mergeCell ref="Y2:Z2"/>
    <mergeCell ref="C1:D1"/>
    <mergeCell ref="E1:F1"/>
    <mergeCell ref="G1:H1"/>
    <mergeCell ref="I1:J1"/>
    <mergeCell ref="K1:L1"/>
    <mergeCell ref="M1:N1"/>
    <mergeCell ref="AG3:AH3"/>
    <mergeCell ref="AI3:AJ3"/>
    <mergeCell ref="AK3:AL3"/>
    <mergeCell ref="C3:D3"/>
    <mergeCell ref="E3:F3"/>
    <mergeCell ref="G3:H3"/>
    <mergeCell ref="I3:J3"/>
    <mergeCell ref="K3:L3"/>
    <mergeCell ref="M3:N3"/>
    <mergeCell ref="O3:P3"/>
    <mergeCell ref="Q3:R3"/>
    <mergeCell ref="S3:T3"/>
    <mergeCell ref="O2:P2"/>
    <mergeCell ref="Q2:R2"/>
    <mergeCell ref="S2:T2"/>
    <mergeCell ref="C2:D2"/>
    <mergeCell ref="E2:F2"/>
    <mergeCell ref="G2:H2"/>
    <mergeCell ref="AA1:AB1"/>
    <mergeCell ref="AC1:AD1"/>
    <mergeCell ref="AE1:AF1"/>
    <mergeCell ref="AG1:AH1"/>
    <mergeCell ref="AI1:AJ1"/>
    <mergeCell ref="AK1:AL1"/>
    <mergeCell ref="O1:P1"/>
    <mergeCell ref="Q1:R1"/>
    <mergeCell ref="S1:T1"/>
    <mergeCell ref="U1:V1"/>
    <mergeCell ref="W1:X1"/>
    <mergeCell ref="Y1:Z1"/>
    <mergeCell ref="BC1:BD1"/>
    <mergeCell ref="BE1:BF1"/>
    <mergeCell ref="BG1:BH1"/>
    <mergeCell ref="BI1:BJ1"/>
    <mergeCell ref="AM1:AN1"/>
    <mergeCell ref="AO1:AP1"/>
    <mergeCell ref="AQ1:AR1"/>
    <mergeCell ref="AS1:AT1"/>
    <mergeCell ref="AU1:AV1"/>
    <mergeCell ref="AW1:AX1"/>
    <mergeCell ref="AY2:AZ2"/>
    <mergeCell ref="AY3:AZ3"/>
    <mergeCell ref="BA2:BB2"/>
    <mergeCell ref="BA3:BB3"/>
    <mergeCell ref="BC2:BD2"/>
    <mergeCell ref="BC3:BD3"/>
    <mergeCell ref="BW1:BX1"/>
    <mergeCell ref="BY1:BZ1"/>
    <mergeCell ref="AQ2:AR2"/>
    <mergeCell ref="AQ3:AR3"/>
    <mergeCell ref="AS2:AT2"/>
    <mergeCell ref="AS3:AT3"/>
    <mergeCell ref="AU2:AV2"/>
    <mergeCell ref="AU3:AV3"/>
    <mergeCell ref="AW2:AX2"/>
    <mergeCell ref="AW3:AX3"/>
    <mergeCell ref="BK1:BL1"/>
    <mergeCell ref="BM1:BN1"/>
    <mergeCell ref="BO1:BP1"/>
    <mergeCell ref="BQ1:BR1"/>
    <mergeCell ref="BS1:BT1"/>
    <mergeCell ref="BU1:BV1"/>
    <mergeCell ref="AY1:AZ1"/>
    <mergeCell ref="BA1:BB1"/>
    <mergeCell ref="BK2:BL2"/>
    <mergeCell ref="BK3:BL3"/>
    <mergeCell ref="BM2:BN2"/>
    <mergeCell ref="BM3:BN3"/>
    <mergeCell ref="BO2:BP2"/>
    <mergeCell ref="BO3:BP3"/>
    <mergeCell ref="BE2:BF2"/>
    <mergeCell ref="BE3:BF3"/>
    <mergeCell ref="BG2:BH2"/>
    <mergeCell ref="BG3:BH3"/>
    <mergeCell ref="BI2:BJ2"/>
    <mergeCell ref="BI3:BJ3"/>
    <mergeCell ref="BW2:BX2"/>
    <mergeCell ref="BW3:BX3"/>
    <mergeCell ref="BY2:BZ2"/>
    <mergeCell ref="BY3:BZ3"/>
    <mergeCell ref="BQ2:BR2"/>
    <mergeCell ref="BQ3:BR3"/>
    <mergeCell ref="BS2:BT2"/>
    <mergeCell ref="BS3:BT3"/>
    <mergeCell ref="BU2:BV2"/>
    <mergeCell ref="BU3:BV3"/>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BZ44"/>
  <sheetViews>
    <sheetView workbookViewId="0">
      <pane xSplit="3" ySplit="5" topLeftCell="D30" activePane="bottomRight" state="frozen"/>
      <selection pane="topRight" activeCell="D1" sqref="D1"/>
      <selection pane="bottomLeft" activeCell="A6" sqref="A6"/>
      <selection pane="bottomRight" activeCell="B6" sqref="B6:B43"/>
    </sheetView>
  </sheetViews>
  <sheetFormatPr defaultRowHeight="14.5"/>
  <cols>
    <col min="1" max="1" width="36.81640625" customWidth="1"/>
    <col min="2" max="3" width="16.1796875" customWidth="1"/>
    <col min="4" max="77" width="12.54296875" style="315" customWidth="1"/>
  </cols>
  <sheetData>
    <row r="1" spans="1:78">
      <c r="A1" s="325" t="s">
        <v>313</v>
      </c>
      <c r="B1" s="213"/>
      <c r="C1" s="213"/>
    </row>
    <row r="2" spans="1:78">
      <c r="A2" s="230" t="s">
        <v>103</v>
      </c>
      <c r="B2" s="316"/>
      <c r="C2" s="316"/>
      <c r="D2" s="976">
        <v>1</v>
      </c>
      <c r="E2" s="976"/>
      <c r="F2" s="976">
        <v>2</v>
      </c>
      <c r="G2" s="976"/>
      <c r="H2" s="976">
        <v>3</v>
      </c>
      <c r="I2" s="976"/>
      <c r="J2" s="976">
        <v>4</v>
      </c>
      <c r="K2" s="976"/>
      <c r="L2" s="976">
        <v>5</v>
      </c>
      <c r="M2" s="976"/>
      <c r="N2" s="976">
        <v>6</v>
      </c>
      <c r="O2" s="976"/>
      <c r="P2" s="976">
        <v>7</v>
      </c>
      <c r="Q2" s="976"/>
      <c r="R2" s="976">
        <v>8</v>
      </c>
      <c r="S2" s="976"/>
      <c r="T2" s="976">
        <v>9</v>
      </c>
      <c r="U2" s="976"/>
      <c r="V2" s="976">
        <v>10</v>
      </c>
      <c r="W2" s="976"/>
      <c r="X2" s="976">
        <v>11</v>
      </c>
      <c r="Y2" s="976"/>
      <c r="Z2" s="976">
        <v>12</v>
      </c>
      <c r="AA2" s="976"/>
      <c r="AB2" s="976">
        <v>13</v>
      </c>
      <c r="AC2" s="976"/>
      <c r="AD2" s="976">
        <v>14</v>
      </c>
      <c r="AE2" s="976"/>
      <c r="AF2" s="976">
        <v>15</v>
      </c>
      <c r="AG2" s="976"/>
      <c r="AH2" s="976">
        <v>16</v>
      </c>
      <c r="AI2" s="976"/>
      <c r="AJ2" s="976">
        <v>17</v>
      </c>
      <c r="AK2" s="976"/>
      <c r="AL2" s="976">
        <v>18</v>
      </c>
      <c r="AM2" s="976"/>
      <c r="AN2" s="976">
        <v>19</v>
      </c>
      <c r="AO2" s="976"/>
      <c r="AP2" s="976">
        <v>20</v>
      </c>
      <c r="AQ2" s="976"/>
      <c r="AR2" s="976">
        <v>21</v>
      </c>
      <c r="AS2" s="976"/>
      <c r="AT2" s="976">
        <v>22</v>
      </c>
      <c r="AU2" s="976"/>
      <c r="AV2" s="976">
        <v>23</v>
      </c>
      <c r="AW2" s="976"/>
      <c r="AX2" s="976">
        <v>24</v>
      </c>
      <c r="AY2" s="976"/>
      <c r="AZ2" s="976">
        <v>25</v>
      </c>
      <c r="BA2" s="976"/>
      <c r="BB2" s="976">
        <v>26</v>
      </c>
      <c r="BC2" s="976"/>
      <c r="BD2" s="976">
        <v>27</v>
      </c>
      <c r="BE2" s="976"/>
      <c r="BF2" s="976">
        <v>28</v>
      </c>
      <c r="BG2" s="976"/>
      <c r="BH2" s="976">
        <v>29</v>
      </c>
      <c r="BI2" s="976"/>
      <c r="BJ2" s="976">
        <v>30</v>
      </c>
      <c r="BK2" s="976"/>
      <c r="BL2" s="976">
        <v>31</v>
      </c>
      <c r="BM2" s="976"/>
      <c r="BN2" s="976">
        <v>32</v>
      </c>
      <c r="BO2" s="976"/>
      <c r="BP2" s="976">
        <v>33</v>
      </c>
      <c r="BQ2" s="976"/>
      <c r="BR2" s="976">
        <v>34</v>
      </c>
      <c r="BS2" s="976"/>
      <c r="BT2" s="976">
        <v>35</v>
      </c>
      <c r="BU2" s="976"/>
      <c r="BV2" s="976">
        <v>36</v>
      </c>
      <c r="BW2" s="976"/>
      <c r="BX2" s="976">
        <v>37</v>
      </c>
      <c r="BY2" s="976"/>
    </row>
    <row r="3" spans="1:78" s="79" customFormat="1">
      <c r="A3" s="317" t="s">
        <v>105</v>
      </c>
      <c r="B3" s="318">
        <f>'P &amp; NP'!WZ484</f>
        <v>5609405.8600000003</v>
      </c>
      <c r="C3" s="318">
        <f>'P &amp; NP'!XA484</f>
        <v>132679570</v>
      </c>
      <c r="D3" s="732" t="s">
        <v>537</v>
      </c>
      <c r="E3" s="732"/>
      <c r="F3" s="732" t="s">
        <v>538</v>
      </c>
      <c r="G3" s="732"/>
      <c r="H3" s="732" t="s">
        <v>539</v>
      </c>
      <c r="I3" s="732"/>
      <c r="J3" s="732" t="s">
        <v>540</v>
      </c>
      <c r="K3" s="732"/>
      <c r="L3" s="732" t="s">
        <v>392</v>
      </c>
      <c r="M3" s="732"/>
      <c r="N3" s="732" t="s">
        <v>541</v>
      </c>
      <c r="O3" s="732"/>
      <c r="P3" s="732" t="s">
        <v>542</v>
      </c>
      <c r="Q3" s="732"/>
      <c r="R3" s="732" t="s">
        <v>10</v>
      </c>
      <c r="S3" s="732"/>
      <c r="T3" s="732" t="s">
        <v>231</v>
      </c>
      <c r="U3" s="732"/>
      <c r="V3" s="732" t="s">
        <v>543</v>
      </c>
      <c r="W3" s="732"/>
      <c r="X3" s="732" t="s">
        <v>544</v>
      </c>
      <c r="Y3" s="732"/>
      <c r="Z3" s="732" t="s">
        <v>545</v>
      </c>
      <c r="AA3" s="732"/>
      <c r="AB3" s="732" t="s">
        <v>546</v>
      </c>
      <c r="AC3" s="732"/>
      <c r="AD3" s="732" t="s">
        <v>547</v>
      </c>
      <c r="AE3" s="732"/>
      <c r="AF3" s="732" t="s">
        <v>548</v>
      </c>
      <c r="AG3" s="732"/>
      <c r="AH3" s="732" t="s">
        <v>549</v>
      </c>
      <c r="AI3" s="732"/>
      <c r="AJ3" s="732" t="s">
        <v>754</v>
      </c>
      <c r="AK3" s="732"/>
      <c r="AL3" s="732" t="s">
        <v>551</v>
      </c>
      <c r="AM3" s="732"/>
      <c r="AN3" s="732" t="s">
        <v>552</v>
      </c>
      <c r="AO3" s="732"/>
      <c r="AP3" s="732" t="s">
        <v>553</v>
      </c>
      <c r="AQ3" s="732"/>
      <c r="AR3" s="732" t="s">
        <v>554</v>
      </c>
      <c r="AS3" s="732"/>
      <c r="AT3" s="732" t="s">
        <v>20</v>
      </c>
      <c r="AU3" s="732"/>
      <c r="AV3" s="732" t="s">
        <v>555</v>
      </c>
      <c r="AW3" s="732"/>
      <c r="AX3" s="732" t="s">
        <v>556</v>
      </c>
      <c r="AY3" s="732"/>
      <c r="AZ3" s="732" t="s">
        <v>24</v>
      </c>
      <c r="BA3" s="732"/>
      <c r="BB3" s="732" t="s">
        <v>557</v>
      </c>
      <c r="BC3" s="732"/>
      <c r="BD3" s="732" t="s">
        <v>359</v>
      </c>
      <c r="BE3" s="732"/>
      <c r="BF3" s="732" t="s">
        <v>668</v>
      </c>
      <c r="BG3" s="732"/>
      <c r="BH3" s="732" t="s">
        <v>671</v>
      </c>
      <c r="BI3" s="732"/>
      <c r="BJ3" s="732" t="s">
        <v>674</v>
      </c>
      <c r="BK3" s="732"/>
      <c r="BL3" s="732" t="s">
        <v>605</v>
      </c>
      <c r="BM3" s="732"/>
      <c r="BN3" s="732" t="s">
        <v>606</v>
      </c>
      <c r="BO3" s="732"/>
      <c r="BP3" s="732" t="s">
        <v>607</v>
      </c>
      <c r="BQ3" s="732"/>
      <c r="BR3" s="732" t="s">
        <v>669</v>
      </c>
      <c r="BS3" s="732"/>
      <c r="BT3" s="732" t="s">
        <v>670</v>
      </c>
      <c r="BU3" s="732"/>
      <c r="BV3" s="732" t="s">
        <v>672</v>
      </c>
      <c r="BW3" s="732"/>
      <c r="BX3" s="732" t="s">
        <v>673</v>
      </c>
      <c r="BY3" s="732"/>
      <c r="BZ3" s="319"/>
    </row>
    <row r="4" spans="1:78">
      <c r="A4" s="246"/>
      <c r="B4" s="327" t="s">
        <v>27</v>
      </c>
      <c r="C4" s="327" t="s">
        <v>28</v>
      </c>
      <c r="D4" s="326" t="s">
        <v>27</v>
      </c>
      <c r="E4" s="326" t="s">
        <v>28</v>
      </c>
      <c r="F4" s="326" t="s">
        <v>27</v>
      </c>
      <c r="G4" s="326" t="s">
        <v>28</v>
      </c>
      <c r="H4" s="326" t="s">
        <v>27</v>
      </c>
      <c r="I4" s="326" t="s">
        <v>28</v>
      </c>
      <c r="J4" s="326" t="s">
        <v>27</v>
      </c>
      <c r="K4" s="326" t="s">
        <v>28</v>
      </c>
      <c r="L4" s="326" t="s">
        <v>27</v>
      </c>
      <c r="M4" s="326" t="s">
        <v>28</v>
      </c>
      <c r="N4" s="326" t="s">
        <v>27</v>
      </c>
      <c r="O4" s="326" t="s">
        <v>28</v>
      </c>
      <c r="P4" s="326" t="s">
        <v>27</v>
      </c>
      <c r="Q4" s="326" t="s">
        <v>28</v>
      </c>
      <c r="R4" s="326" t="s">
        <v>27</v>
      </c>
      <c r="S4" s="326" t="s">
        <v>28</v>
      </c>
      <c r="T4" s="326" t="s">
        <v>27</v>
      </c>
      <c r="U4" s="326" t="s">
        <v>28</v>
      </c>
      <c r="V4" s="326" t="s">
        <v>27</v>
      </c>
      <c r="W4" s="326" t="s">
        <v>28</v>
      </c>
      <c r="X4" s="326" t="s">
        <v>27</v>
      </c>
      <c r="Y4" s="326" t="s">
        <v>28</v>
      </c>
      <c r="Z4" s="326" t="s">
        <v>27</v>
      </c>
      <c r="AA4" s="326" t="s">
        <v>28</v>
      </c>
      <c r="AB4" s="326" t="s">
        <v>27</v>
      </c>
      <c r="AC4" s="326" t="s">
        <v>28</v>
      </c>
      <c r="AD4" s="326" t="s">
        <v>27</v>
      </c>
      <c r="AE4" s="326" t="s">
        <v>28</v>
      </c>
      <c r="AF4" s="326" t="s">
        <v>27</v>
      </c>
      <c r="AG4" s="326" t="s">
        <v>28</v>
      </c>
      <c r="AH4" s="326" t="s">
        <v>27</v>
      </c>
      <c r="AI4" s="326" t="s">
        <v>28</v>
      </c>
      <c r="AJ4" s="326" t="s">
        <v>27</v>
      </c>
      <c r="AK4" s="326" t="s">
        <v>28</v>
      </c>
      <c r="AL4" s="326" t="s">
        <v>27</v>
      </c>
      <c r="AM4" s="326" t="s">
        <v>28</v>
      </c>
      <c r="AN4" s="326" t="s">
        <v>27</v>
      </c>
      <c r="AO4" s="326" t="s">
        <v>28</v>
      </c>
      <c r="AP4" s="326" t="s">
        <v>27</v>
      </c>
      <c r="AQ4" s="326" t="s">
        <v>28</v>
      </c>
      <c r="AR4" s="326" t="s">
        <v>27</v>
      </c>
      <c r="AS4" s="326" t="s">
        <v>28</v>
      </c>
      <c r="AT4" s="326" t="s">
        <v>27</v>
      </c>
      <c r="AU4" s="326" t="s">
        <v>28</v>
      </c>
      <c r="AV4" s="326" t="s">
        <v>27</v>
      </c>
      <c r="AW4" s="326" t="s">
        <v>28</v>
      </c>
      <c r="AX4" s="326" t="s">
        <v>27</v>
      </c>
      <c r="AY4" s="326" t="s">
        <v>28</v>
      </c>
      <c r="AZ4" s="326" t="s">
        <v>27</v>
      </c>
      <c r="BA4" s="326" t="s">
        <v>28</v>
      </c>
      <c r="BB4" s="326" t="s">
        <v>27</v>
      </c>
      <c r="BC4" s="326" t="s">
        <v>28</v>
      </c>
      <c r="BD4" s="326" t="s">
        <v>27</v>
      </c>
      <c r="BE4" s="326" t="s">
        <v>28</v>
      </c>
      <c r="BF4" s="326" t="s">
        <v>27</v>
      </c>
      <c r="BG4" s="326" t="s">
        <v>28</v>
      </c>
      <c r="BH4" s="326" t="s">
        <v>27</v>
      </c>
      <c r="BI4" s="326" t="s">
        <v>28</v>
      </c>
      <c r="BJ4" s="326" t="s">
        <v>27</v>
      </c>
      <c r="BK4" s="326" t="s">
        <v>28</v>
      </c>
      <c r="BL4" s="326" t="s">
        <v>27</v>
      </c>
      <c r="BM4" s="326" t="s">
        <v>28</v>
      </c>
      <c r="BN4" s="326" t="s">
        <v>27</v>
      </c>
      <c r="BO4" s="326" t="s">
        <v>28</v>
      </c>
      <c r="BP4" s="326" t="s">
        <v>27</v>
      </c>
      <c r="BQ4" s="326" t="s">
        <v>28</v>
      </c>
      <c r="BR4" s="326" t="s">
        <v>27</v>
      </c>
      <c r="BS4" s="326" t="s">
        <v>28</v>
      </c>
      <c r="BT4" s="326" t="s">
        <v>27</v>
      </c>
      <c r="BU4" s="326" t="s">
        <v>28</v>
      </c>
      <c r="BV4" s="326" t="s">
        <v>27</v>
      </c>
      <c r="BW4" s="326" t="s">
        <v>28</v>
      </c>
      <c r="BX4" s="326" t="s">
        <v>27</v>
      </c>
      <c r="BY4" s="326" t="s">
        <v>28</v>
      </c>
    </row>
    <row r="5" spans="1:78">
      <c r="A5" s="255" t="s">
        <v>111</v>
      </c>
      <c r="B5" s="321">
        <f>SUM(B6:B43)</f>
        <v>5609405.8600000003</v>
      </c>
      <c r="C5" s="321">
        <f>SUM(C6:C43)</f>
        <v>132679570</v>
      </c>
      <c r="D5" s="322">
        <f>SUM(D6:D43)</f>
        <v>0</v>
      </c>
      <c r="E5" s="322">
        <f t="shared" ref="E5:BP5" si="0">SUM(E6:E43)</f>
        <v>0</v>
      </c>
      <c r="F5" s="322">
        <f t="shared" si="0"/>
        <v>0</v>
      </c>
      <c r="G5" s="322">
        <f t="shared" si="0"/>
        <v>0</v>
      </c>
      <c r="H5" s="322">
        <f t="shared" si="0"/>
        <v>0</v>
      </c>
      <c r="I5" s="322">
        <f t="shared" si="0"/>
        <v>0</v>
      </c>
      <c r="J5" s="322">
        <f t="shared" si="0"/>
        <v>0</v>
      </c>
      <c r="K5" s="322">
        <f t="shared" si="0"/>
        <v>0</v>
      </c>
      <c r="L5" s="322">
        <f t="shared" si="0"/>
        <v>0</v>
      </c>
      <c r="M5" s="322">
        <f t="shared" si="0"/>
        <v>0</v>
      </c>
      <c r="N5" s="322">
        <f t="shared" si="0"/>
        <v>0</v>
      </c>
      <c r="O5" s="322">
        <f t="shared" si="0"/>
        <v>0</v>
      </c>
      <c r="P5" s="322">
        <f t="shared" si="0"/>
        <v>0</v>
      </c>
      <c r="Q5" s="322">
        <f t="shared" si="0"/>
        <v>0</v>
      </c>
      <c r="R5" s="322">
        <f t="shared" si="0"/>
        <v>0</v>
      </c>
      <c r="S5" s="322">
        <f t="shared" si="0"/>
        <v>0</v>
      </c>
      <c r="T5" s="322">
        <f t="shared" si="0"/>
        <v>0</v>
      </c>
      <c r="U5" s="322">
        <f t="shared" si="0"/>
        <v>0</v>
      </c>
      <c r="V5" s="322">
        <f t="shared" si="0"/>
        <v>0</v>
      </c>
      <c r="W5" s="322">
        <f t="shared" si="0"/>
        <v>0</v>
      </c>
      <c r="X5" s="322">
        <f t="shared" si="0"/>
        <v>0</v>
      </c>
      <c r="Y5" s="322">
        <f t="shared" si="0"/>
        <v>0</v>
      </c>
      <c r="Z5" s="322">
        <f t="shared" si="0"/>
        <v>0</v>
      </c>
      <c r="AA5" s="322">
        <f t="shared" si="0"/>
        <v>0</v>
      </c>
      <c r="AB5" s="322">
        <f t="shared" si="0"/>
        <v>0</v>
      </c>
      <c r="AC5" s="322">
        <f t="shared" si="0"/>
        <v>0</v>
      </c>
      <c r="AD5" s="322">
        <f t="shared" si="0"/>
        <v>83212</v>
      </c>
      <c r="AE5" s="322">
        <f t="shared" si="0"/>
        <v>1751804</v>
      </c>
      <c r="AF5" s="322">
        <f t="shared" si="0"/>
        <v>0</v>
      </c>
      <c r="AG5" s="322">
        <f t="shared" si="0"/>
        <v>0</v>
      </c>
      <c r="AH5" s="322">
        <f t="shared" si="0"/>
        <v>0</v>
      </c>
      <c r="AI5" s="322">
        <f t="shared" si="0"/>
        <v>0</v>
      </c>
      <c r="AJ5" s="322">
        <f t="shared" si="0"/>
        <v>5005</v>
      </c>
      <c r="AK5" s="322">
        <f t="shared" si="0"/>
        <v>171335</v>
      </c>
      <c r="AL5" s="322">
        <f t="shared" si="0"/>
        <v>0</v>
      </c>
      <c r="AM5" s="322">
        <f t="shared" si="0"/>
        <v>0</v>
      </c>
      <c r="AN5" s="322">
        <f t="shared" si="0"/>
        <v>5424209.9400000004</v>
      </c>
      <c r="AO5" s="322">
        <f t="shared" si="0"/>
        <v>129150431</v>
      </c>
      <c r="AP5" s="322">
        <f t="shared" si="0"/>
        <v>82981.919999999998</v>
      </c>
      <c r="AQ5" s="322">
        <f t="shared" si="0"/>
        <v>1466030</v>
      </c>
      <c r="AR5" s="322">
        <f t="shared" si="0"/>
        <v>0</v>
      </c>
      <c r="AS5" s="322">
        <f t="shared" si="0"/>
        <v>0</v>
      </c>
      <c r="AT5" s="322">
        <f t="shared" si="0"/>
        <v>13997</v>
      </c>
      <c r="AU5" s="322">
        <f t="shared" si="0"/>
        <v>139970</v>
      </c>
      <c r="AV5" s="322">
        <f t="shared" si="0"/>
        <v>0</v>
      </c>
      <c r="AW5" s="322">
        <f t="shared" si="0"/>
        <v>0</v>
      </c>
      <c r="AX5" s="322">
        <f t="shared" si="0"/>
        <v>0</v>
      </c>
      <c r="AY5" s="322">
        <f t="shared" si="0"/>
        <v>0</v>
      </c>
      <c r="AZ5" s="322">
        <f t="shared" si="0"/>
        <v>0</v>
      </c>
      <c r="BA5" s="322">
        <f t="shared" si="0"/>
        <v>0</v>
      </c>
      <c r="BB5" s="322">
        <f t="shared" si="0"/>
        <v>0</v>
      </c>
      <c r="BC5" s="322">
        <f t="shared" si="0"/>
        <v>0</v>
      </c>
      <c r="BD5" s="322">
        <f t="shared" si="0"/>
        <v>0</v>
      </c>
      <c r="BE5" s="322">
        <f t="shared" si="0"/>
        <v>0</v>
      </c>
      <c r="BF5" s="322">
        <f t="shared" si="0"/>
        <v>0</v>
      </c>
      <c r="BG5" s="322">
        <f t="shared" si="0"/>
        <v>0</v>
      </c>
      <c r="BH5" s="322">
        <f t="shared" si="0"/>
        <v>0</v>
      </c>
      <c r="BI5" s="322">
        <f t="shared" si="0"/>
        <v>0</v>
      </c>
      <c r="BJ5" s="322">
        <f t="shared" si="0"/>
        <v>0</v>
      </c>
      <c r="BK5" s="322">
        <f t="shared" si="0"/>
        <v>0</v>
      </c>
      <c r="BL5" s="322">
        <f t="shared" si="0"/>
        <v>0</v>
      </c>
      <c r="BM5" s="322">
        <f t="shared" si="0"/>
        <v>0</v>
      </c>
      <c r="BN5" s="322">
        <f t="shared" si="0"/>
        <v>0</v>
      </c>
      <c r="BO5" s="322">
        <f t="shared" si="0"/>
        <v>0</v>
      </c>
      <c r="BP5" s="322">
        <f t="shared" si="0"/>
        <v>0</v>
      </c>
      <c r="BQ5" s="322">
        <f t="shared" ref="BQ5:BY5" si="1">SUM(BQ6:BQ43)</f>
        <v>0</v>
      </c>
      <c r="BR5" s="322">
        <f t="shared" si="1"/>
        <v>0</v>
      </c>
      <c r="BS5" s="322">
        <f t="shared" si="1"/>
        <v>0</v>
      </c>
      <c r="BT5" s="322">
        <f t="shared" si="1"/>
        <v>0</v>
      </c>
      <c r="BU5" s="322">
        <f t="shared" si="1"/>
        <v>0</v>
      </c>
      <c r="BV5" s="322">
        <f t="shared" si="1"/>
        <v>0</v>
      </c>
      <c r="BW5" s="322">
        <f t="shared" si="1"/>
        <v>0</v>
      </c>
      <c r="BX5" s="322">
        <f t="shared" si="1"/>
        <v>0</v>
      </c>
      <c r="BY5" s="322">
        <f t="shared" si="1"/>
        <v>0</v>
      </c>
    </row>
    <row r="6" spans="1:78">
      <c r="A6" s="260" t="s">
        <v>137</v>
      </c>
      <c r="B6" s="320">
        <f>SUMIF($D$4:$BY$4,$B$4,D6:BY6)</f>
        <v>0</v>
      </c>
      <c r="C6" s="320">
        <f>SUMIF($D$4:$BY$4,$C$4,D6:BY6)</f>
        <v>0</v>
      </c>
      <c r="D6" s="322">
        <f>'P NP JAPUNG IKAN'!$C8</f>
        <v>0</v>
      </c>
      <c r="E6" s="322">
        <f>'P NP JAPUNG IKAN'!$D8</f>
        <v>0</v>
      </c>
      <c r="F6" s="322">
        <f>'P NP JAPUNG IKAN'!C9</f>
        <v>0</v>
      </c>
      <c r="G6" s="322">
        <f>'P NP JAPUNG IKAN'!D9</f>
        <v>0</v>
      </c>
      <c r="H6" s="322">
        <f>'P NP JAPUNG IKAN'!C10</f>
        <v>0</v>
      </c>
      <c r="I6" s="322">
        <f>'P NP JAPUNG IKAN'!D10</f>
        <v>0</v>
      </c>
      <c r="J6" s="322">
        <f>'P NP JAPUNG IKAN'!C11</f>
        <v>0</v>
      </c>
      <c r="K6" s="322">
        <f>'P NP JAPUNG IKAN'!D11</f>
        <v>0</v>
      </c>
      <c r="L6" s="322">
        <f>'P NP JAPUNG IKAN'!C12</f>
        <v>0</v>
      </c>
      <c r="M6" s="322">
        <f>'P NP JAPUNG IKAN'!D12</f>
        <v>0</v>
      </c>
      <c r="N6" s="322">
        <f>'P NP JAPUNG IKAN'!C13</f>
        <v>0</v>
      </c>
      <c r="O6" s="322">
        <f>'P NP JAPUNG IKAN'!D13</f>
        <v>0</v>
      </c>
      <c r="P6" s="322">
        <f>'P NP JAPUNG IKAN'!C14</f>
        <v>0</v>
      </c>
      <c r="Q6" s="322">
        <f>'P NP JAPUNG IKAN'!D14</f>
        <v>0</v>
      </c>
      <c r="R6" s="322">
        <f>'P NP JAPUNG IKAN'!C15</f>
        <v>0</v>
      </c>
      <c r="S6" s="322">
        <f>'P NP JAPUNG IKAN'!D15</f>
        <v>0</v>
      </c>
      <c r="T6" s="322">
        <f>'P NP JAPUNG IKAN'!C16</f>
        <v>0</v>
      </c>
      <c r="U6" s="322">
        <f>'P NP JAPUNG IKAN'!D16</f>
        <v>0</v>
      </c>
      <c r="V6" s="322">
        <f>'P NP JAPUNG IKAN'!C17</f>
        <v>0</v>
      </c>
      <c r="W6" s="322">
        <f>'P NP JAPUNG IKAN'!D17</f>
        <v>0</v>
      </c>
      <c r="X6" s="322">
        <f>'P NP JAPUNG IKAN'!C18</f>
        <v>0</v>
      </c>
      <c r="Y6" s="322">
        <f>'P NP JAPUNG IKAN'!D18</f>
        <v>0</v>
      </c>
      <c r="Z6" s="322">
        <f>'P NP JAPUNG IKAN'!C19</f>
        <v>0</v>
      </c>
      <c r="AA6" s="322">
        <f>'P NP JAPUNG IKAN'!D19</f>
        <v>0</v>
      </c>
      <c r="AB6" s="322">
        <f>'P NP JAPUNG IKAN'!C20</f>
        <v>0</v>
      </c>
      <c r="AC6" s="322">
        <f>'P NP JAPUNG IKAN'!D20</f>
        <v>0</v>
      </c>
      <c r="AD6" s="322">
        <f>'P NP JAPUNG IKAN'!C21</f>
        <v>0</v>
      </c>
      <c r="AE6" s="322">
        <f>'P NP JAPUNG IKAN'!D21</f>
        <v>0</v>
      </c>
      <c r="AF6" s="322">
        <f>'P NP JAPUNG IKAN'!C22</f>
        <v>0</v>
      </c>
      <c r="AG6" s="322">
        <f>'P NP JAPUNG IKAN'!D22</f>
        <v>0</v>
      </c>
      <c r="AH6" s="322">
        <f>'P NP JAPUNG IKAN'!C23</f>
        <v>0</v>
      </c>
      <c r="AI6" s="322">
        <f>'P NP JAPUNG IKAN'!D23</f>
        <v>0</v>
      </c>
      <c r="AJ6" s="322">
        <f>'P NP JAPUNG IKAN'!C24</f>
        <v>0</v>
      </c>
      <c r="AK6" s="322">
        <f>'P NP JAPUNG IKAN'!D24</f>
        <v>0</v>
      </c>
      <c r="AL6" s="322">
        <f>'P NP JAPUNG IKAN'!C25</f>
        <v>0</v>
      </c>
      <c r="AM6" s="322">
        <f>'P NP JAPUNG IKAN'!D25</f>
        <v>0</v>
      </c>
      <c r="AN6" s="322">
        <f>'P NP JAPUNG IKAN'!C26</f>
        <v>0</v>
      </c>
      <c r="AO6" s="322">
        <f>'P NP JAPUNG IKAN'!D26</f>
        <v>0</v>
      </c>
      <c r="AP6" s="322">
        <f>'P NP JAPUNG IKAN'!C27</f>
        <v>0</v>
      </c>
      <c r="AQ6" s="322">
        <f>'P NP JAPUNG IKAN'!D27</f>
        <v>0</v>
      </c>
      <c r="AR6" s="322">
        <f>'P NP JAPUNG IKAN'!C28</f>
        <v>0</v>
      </c>
      <c r="AS6" s="322">
        <f>'P NP JAPUNG IKAN'!D28</f>
        <v>0</v>
      </c>
      <c r="AT6" s="322">
        <f>'P NP JAPUNG IKAN'!C29</f>
        <v>0</v>
      </c>
      <c r="AU6" s="322">
        <f>'P NP JAPUNG IKAN'!D29</f>
        <v>0</v>
      </c>
      <c r="AV6" s="322">
        <f>'P NP JAPUNG IKAN'!C30</f>
        <v>0</v>
      </c>
      <c r="AW6" s="322">
        <f>'P NP JAPUNG IKAN'!D30</f>
        <v>0</v>
      </c>
      <c r="AX6" s="322">
        <f>'P NP JAPUNG IKAN'!C31</f>
        <v>0</v>
      </c>
      <c r="AY6" s="322">
        <f>'P NP JAPUNG IKAN'!D31</f>
        <v>0</v>
      </c>
      <c r="AZ6" s="322">
        <f>'P NP JAPUNG IKAN'!C32</f>
        <v>0</v>
      </c>
      <c r="BA6" s="322">
        <f>'P NP JAPUNG IKAN'!D32</f>
        <v>0</v>
      </c>
      <c r="BB6" s="322">
        <f>'P NP JAPUNG IKAN'!C33</f>
        <v>0</v>
      </c>
      <c r="BC6" s="322">
        <f>'P NP JAPUNG IKAN'!D33</f>
        <v>0</v>
      </c>
      <c r="BD6" s="322">
        <f>'P NP JAPUNG IKAN'!C34</f>
        <v>0</v>
      </c>
      <c r="BE6" s="322">
        <f>'P NP JAPUNG IKAN'!D34</f>
        <v>0</v>
      </c>
      <c r="BF6" s="322">
        <f>'P NP JAPUNG IKAN'!C35</f>
        <v>0</v>
      </c>
      <c r="BG6" s="322">
        <f>'P NP JAPUNG IKAN'!D35</f>
        <v>0</v>
      </c>
      <c r="BH6" s="322">
        <f>'P NP JAPUNG IKAN'!C36</f>
        <v>0</v>
      </c>
      <c r="BI6" s="322">
        <f>'P NP JAPUNG IKAN'!D36</f>
        <v>0</v>
      </c>
      <c r="BJ6" s="322">
        <f>'P NP JAPUNG IKAN'!C37</f>
        <v>0</v>
      </c>
      <c r="BK6" s="322">
        <f>'P NP JAPUNG IKAN'!D37</f>
        <v>0</v>
      </c>
      <c r="BL6" s="322">
        <f>'P NP JAPUNG IKAN'!C38</f>
        <v>0</v>
      </c>
      <c r="BM6" s="322">
        <f>'P NP JAPUNG IKAN'!D38</f>
        <v>0</v>
      </c>
      <c r="BN6" s="322">
        <f>'P NP JAPUNG IKAN'!C39</f>
        <v>0</v>
      </c>
      <c r="BO6" s="322">
        <f>'P NP JAPUNG IKAN'!D39</f>
        <v>0</v>
      </c>
      <c r="BP6" s="322">
        <f>'P NP JAPUNG IKAN'!C40</f>
        <v>0</v>
      </c>
      <c r="BQ6" s="322">
        <f>'P NP JAPUNG IKAN'!D40</f>
        <v>0</v>
      </c>
      <c r="BR6" s="322">
        <f>'P NP JAPUNG IKAN'!C41</f>
        <v>0</v>
      </c>
      <c r="BS6" s="322">
        <f>'P NP JAPUNG IKAN'!D41</f>
        <v>0</v>
      </c>
      <c r="BT6" s="322">
        <f>'P NP JAPUNG IKAN'!C42</f>
        <v>0</v>
      </c>
      <c r="BU6" s="322">
        <f>'P NP JAPUNG IKAN'!D42</f>
        <v>0</v>
      </c>
      <c r="BV6" s="322">
        <f>'P NP JAPUNG IKAN'!C43</f>
        <v>0</v>
      </c>
      <c r="BW6" s="322">
        <f>'P NP JAPUNG IKAN'!D43</f>
        <v>0</v>
      </c>
      <c r="BX6" s="322">
        <f>'P NP JAPUNG IKAN'!C44</f>
        <v>0</v>
      </c>
      <c r="BY6" s="322">
        <f>'P NP JAPUNG IKAN'!D44</f>
        <v>0</v>
      </c>
    </row>
    <row r="7" spans="1:78">
      <c r="A7" s="260" t="s">
        <v>121</v>
      </c>
      <c r="B7" s="320">
        <f t="shared" ref="B7:B43" si="2">SUMIF($D$4:$BY$4,$B$4,D7:BY7)</f>
        <v>24030</v>
      </c>
      <c r="C7" s="320">
        <f t="shared" ref="C7:C43" si="3">SUMIF($D$4:$BY$4,$C$4,D7:BY7)</f>
        <v>547725</v>
      </c>
      <c r="D7" s="322">
        <f>'P NP JAPUNG IKAN'!E8</f>
        <v>0</v>
      </c>
      <c r="E7" s="322">
        <f>'P NP JAPUNG IKAN'!F8</f>
        <v>0</v>
      </c>
      <c r="F7" s="322">
        <f>'P NP JAPUNG IKAN'!E9</f>
        <v>0</v>
      </c>
      <c r="G7" s="322">
        <f>'P NP JAPUNG IKAN'!F9</f>
        <v>0</v>
      </c>
      <c r="H7" s="322">
        <f>'P NP JAPUNG IKAN'!E10</f>
        <v>0</v>
      </c>
      <c r="I7" s="322">
        <f>'P NP JAPUNG IKAN'!F10</f>
        <v>0</v>
      </c>
      <c r="J7" s="322">
        <f>'P NP JAPUNG IKAN'!E11</f>
        <v>0</v>
      </c>
      <c r="K7" s="322">
        <f>'P NP JAPUNG IKAN'!F11</f>
        <v>0</v>
      </c>
      <c r="L7" s="322">
        <f>'P NP JAPUNG IKAN'!E12</f>
        <v>0</v>
      </c>
      <c r="M7" s="322">
        <f>'P NP JAPUNG IKAN'!F12</f>
        <v>0</v>
      </c>
      <c r="N7" s="322">
        <f>'P NP JAPUNG IKAN'!E13</f>
        <v>0</v>
      </c>
      <c r="O7" s="322">
        <f>'P NP JAPUNG IKAN'!F13</f>
        <v>0</v>
      </c>
      <c r="P7" s="322">
        <f>'P NP JAPUNG IKAN'!E14</f>
        <v>0</v>
      </c>
      <c r="Q7" s="322">
        <f>'P NP JAPUNG IKAN'!F14</f>
        <v>0</v>
      </c>
      <c r="R7" s="322">
        <f>'P NP JAPUNG IKAN'!E15</f>
        <v>0</v>
      </c>
      <c r="S7" s="322">
        <f>'P NP JAPUNG IKAN'!F15</f>
        <v>0</v>
      </c>
      <c r="T7" s="322">
        <f>'P NP JAPUNG IKAN'!E16</f>
        <v>0</v>
      </c>
      <c r="U7" s="322">
        <f>'P NP JAPUNG IKAN'!F16</f>
        <v>0</v>
      </c>
      <c r="V7" s="322">
        <f>'P NP JAPUNG IKAN'!E17</f>
        <v>0</v>
      </c>
      <c r="W7" s="322">
        <f>'P NP JAPUNG IKAN'!F17</f>
        <v>0</v>
      </c>
      <c r="X7" s="322">
        <f>'P NP JAPUNG IKAN'!E18</f>
        <v>0</v>
      </c>
      <c r="Y7" s="322">
        <f>'P NP JAPUNG IKAN'!F18</f>
        <v>0</v>
      </c>
      <c r="Z7" s="322">
        <f>'P NP JAPUNG IKAN'!E19</f>
        <v>0</v>
      </c>
      <c r="AA7" s="322">
        <f>'P NP JAPUNG IKAN'!F19</f>
        <v>0</v>
      </c>
      <c r="AB7" s="322">
        <f>'P NP JAPUNG IKAN'!E20</f>
        <v>0</v>
      </c>
      <c r="AC7" s="322">
        <f>'P NP JAPUNG IKAN'!F20</f>
        <v>0</v>
      </c>
      <c r="AD7" s="322">
        <f>'P NP JAPUNG IKAN'!E21</f>
        <v>5825</v>
      </c>
      <c r="AE7" s="322">
        <f>'P NP JAPUNG IKAN'!F21</f>
        <v>116500</v>
      </c>
      <c r="AF7" s="322">
        <f>'P NP JAPUNG IKAN'!E22</f>
        <v>0</v>
      </c>
      <c r="AG7" s="322">
        <f>'P NP JAPUNG IKAN'!F22</f>
        <v>0</v>
      </c>
      <c r="AH7" s="322">
        <f>'P NP JAPUNG IKAN'!E23</f>
        <v>0</v>
      </c>
      <c r="AI7" s="322">
        <f>'P NP JAPUNG IKAN'!F23</f>
        <v>0</v>
      </c>
      <c r="AJ7" s="322">
        <f>'P NP JAPUNG IKAN'!E24</f>
        <v>4475</v>
      </c>
      <c r="AK7" s="322">
        <f>'P NP JAPUNG IKAN'!F24</f>
        <v>156625</v>
      </c>
      <c r="AL7" s="322">
        <f>'P NP JAPUNG IKAN'!E25</f>
        <v>0</v>
      </c>
      <c r="AM7" s="322">
        <f>'P NP JAPUNG IKAN'!F25</f>
        <v>0</v>
      </c>
      <c r="AN7" s="322">
        <f>'P NP JAPUNG IKAN'!E26</f>
        <v>13730</v>
      </c>
      <c r="AO7" s="322">
        <f>'P NP JAPUNG IKAN'!F26</f>
        <v>274600</v>
      </c>
      <c r="AP7" s="322">
        <f>'P NP JAPUNG IKAN'!E27</f>
        <v>0</v>
      </c>
      <c r="AQ7" s="322">
        <f>'P NP JAPUNG IKAN'!F27</f>
        <v>0</v>
      </c>
      <c r="AR7" s="322">
        <f>'P NP JAPUNG IKAN'!E28</f>
        <v>0</v>
      </c>
      <c r="AS7" s="322">
        <f>'P NP JAPUNG IKAN'!F28</f>
        <v>0</v>
      </c>
      <c r="AT7" s="322">
        <f>'P NP JAPUNG IKAN'!E29</f>
        <v>0</v>
      </c>
      <c r="AU7" s="322">
        <f>'P NP JAPUNG IKAN'!F29</f>
        <v>0</v>
      </c>
      <c r="AV7" s="322">
        <f>'P NP JAPUNG IKAN'!E30</f>
        <v>0</v>
      </c>
      <c r="AW7" s="322">
        <f>'P NP JAPUNG IKAN'!F30</f>
        <v>0</v>
      </c>
      <c r="AX7" s="322">
        <f>'P NP JAPUNG IKAN'!E31</f>
        <v>0</v>
      </c>
      <c r="AY7" s="322">
        <f>'P NP JAPUNG IKAN'!F31</f>
        <v>0</v>
      </c>
      <c r="AZ7" s="322">
        <f>'P NP JAPUNG IKAN'!E32</f>
        <v>0</v>
      </c>
      <c r="BA7" s="322">
        <f>'P NP JAPUNG IKAN'!F32</f>
        <v>0</v>
      </c>
      <c r="BB7" s="322">
        <f>'P NP JAPUNG IKAN'!E33</f>
        <v>0</v>
      </c>
      <c r="BC7" s="322">
        <f>'P NP JAPUNG IKAN'!F33</f>
        <v>0</v>
      </c>
      <c r="BD7" s="322">
        <f>'P NP JAPUNG IKAN'!E34</f>
        <v>0</v>
      </c>
      <c r="BE7" s="322">
        <f>'P NP JAPUNG IKAN'!F34</f>
        <v>0</v>
      </c>
      <c r="BF7" s="322">
        <f>'P NP JAPUNG IKAN'!E35</f>
        <v>0</v>
      </c>
      <c r="BG7" s="322">
        <f>'P NP JAPUNG IKAN'!F35</f>
        <v>0</v>
      </c>
      <c r="BH7" s="322">
        <f>'P NP JAPUNG IKAN'!E36</f>
        <v>0</v>
      </c>
      <c r="BI7" s="322">
        <f>'P NP JAPUNG IKAN'!F36</f>
        <v>0</v>
      </c>
      <c r="BJ7" s="322">
        <f>'P NP JAPUNG IKAN'!E37</f>
        <v>0</v>
      </c>
      <c r="BK7" s="322">
        <f>'P NP JAPUNG IKAN'!F37</f>
        <v>0</v>
      </c>
      <c r="BL7" s="322">
        <f>'P NP JAPUNG IKAN'!E38</f>
        <v>0</v>
      </c>
      <c r="BM7" s="322">
        <f>'P NP JAPUNG IKAN'!F38</f>
        <v>0</v>
      </c>
      <c r="BN7" s="322">
        <f>'P NP JAPUNG IKAN'!E39</f>
        <v>0</v>
      </c>
      <c r="BO7" s="322">
        <f>'P NP JAPUNG IKAN'!F39</f>
        <v>0</v>
      </c>
      <c r="BP7" s="322">
        <f>'P NP JAPUNG IKAN'!E40</f>
        <v>0</v>
      </c>
      <c r="BQ7" s="322">
        <f>'P NP JAPUNG IKAN'!F40</f>
        <v>0</v>
      </c>
      <c r="BR7" s="322">
        <f>'P NP JAPUNG IKAN'!E41</f>
        <v>0</v>
      </c>
      <c r="BS7" s="322">
        <f>'P NP JAPUNG IKAN'!F41</f>
        <v>0</v>
      </c>
      <c r="BT7" s="322">
        <f>'P NP JAPUNG IKAN'!E42</f>
        <v>0</v>
      </c>
      <c r="BU7" s="322">
        <f>'P NP JAPUNG IKAN'!F42</f>
        <v>0</v>
      </c>
      <c r="BV7" s="322">
        <f>'P NP JAPUNG IKAN'!E43</f>
        <v>0</v>
      </c>
      <c r="BW7" s="322">
        <f>'P NP JAPUNG IKAN'!F43</f>
        <v>0</v>
      </c>
      <c r="BX7" s="322">
        <f>'P NP JAPUNG IKAN'!E44</f>
        <v>0</v>
      </c>
      <c r="BY7" s="322">
        <f>'P NP JAPUNG IKAN'!F44</f>
        <v>0</v>
      </c>
    </row>
    <row r="8" spans="1:78">
      <c r="A8" s="260" t="s">
        <v>116</v>
      </c>
      <c r="B8" s="320">
        <f t="shared" si="2"/>
        <v>28205</v>
      </c>
      <c r="C8" s="320">
        <f t="shared" si="3"/>
        <v>681420</v>
      </c>
      <c r="D8" s="322">
        <f>'P NP JAPUNG IKAN'!G8</f>
        <v>0</v>
      </c>
      <c r="E8" s="322">
        <f>'P NP JAPUNG IKAN'!H8</f>
        <v>0</v>
      </c>
      <c r="F8" s="322">
        <f>'P NP JAPUNG IKAN'!G9</f>
        <v>0</v>
      </c>
      <c r="G8" s="322">
        <f>'P NP JAPUNG IKAN'!H9</f>
        <v>0</v>
      </c>
      <c r="H8" s="322">
        <f>'P NP JAPUNG IKAN'!G10</f>
        <v>0</v>
      </c>
      <c r="I8" s="322">
        <f>'P NP JAPUNG IKAN'!H10</f>
        <v>0</v>
      </c>
      <c r="J8" s="322">
        <f>'P NP JAPUNG IKAN'!G11</f>
        <v>0</v>
      </c>
      <c r="K8" s="322">
        <f>'P NP JAPUNG IKAN'!H11</f>
        <v>0</v>
      </c>
      <c r="L8" s="322">
        <f>'P NP JAPUNG IKAN'!G12</f>
        <v>0</v>
      </c>
      <c r="M8" s="322">
        <f>'P NP JAPUNG IKAN'!H12</f>
        <v>0</v>
      </c>
      <c r="N8" s="322">
        <f>'P NP JAPUNG IKAN'!G13</f>
        <v>0</v>
      </c>
      <c r="O8" s="322">
        <f>'P NP JAPUNG IKAN'!H13</f>
        <v>0</v>
      </c>
      <c r="P8" s="322">
        <f>'P NP JAPUNG IKAN'!G14</f>
        <v>0</v>
      </c>
      <c r="Q8" s="322">
        <f>'P NP JAPUNG IKAN'!H14</f>
        <v>0</v>
      </c>
      <c r="R8" s="322">
        <f>'P NP JAPUNG IKAN'!G15</f>
        <v>0</v>
      </c>
      <c r="S8" s="322">
        <f>'P NP JAPUNG IKAN'!H15</f>
        <v>0</v>
      </c>
      <c r="T8" s="322">
        <f>'P NP JAPUNG IKAN'!G16</f>
        <v>0</v>
      </c>
      <c r="U8" s="322">
        <f>'P NP JAPUNG IKAN'!H16</f>
        <v>0</v>
      </c>
      <c r="V8" s="322">
        <f>'P NP JAPUNG IKAN'!G17</f>
        <v>0</v>
      </c>
      <c r="W8" s="322">
        <f>'P NP JAPUNG IKAN'!H17</f>
        <v>0</v>
      </c>
      <c r="X8" s="322">
        <f>'P NP JAPUNG IKAN'!G18</f>
        <v>0</v>
      </c>
      <c r="Y8" s="322">
        <f>'P NP JAPUNG IKAN'!H18</f>
        <v>0</v>
      </c>
      <c r="Z8" s="322">
        <f>'P NP JAPUNG IKAN'!G19</f>
        <v>0</v>
      </c>
      <c r="AA8" s="322">
        <f>'P NP JAPUNG IKAN'!H19</f>
        <v>0</v>
      </c>
      <c r="AB8" s="322">
        <f>'P NP JAPUNG IKAN'!G20</f>
        <v>0</v>
      </c>
      <c r="AC8" s="322">
        <f>'P NP JAPUNG IKAN'!H20</f>
        <v>0</v>
      </c>
      <c r="AD8" s="322">
        <f>'P NP JAPUNG IKAN'!G21</f>
        <v>0</v>
      </c>
      <c r="AE8" s="322">
        <f>'P NP JAPUNG IKAN'!H21</f>
        <v>0</v>
      </c>
      <c r="AF8" s="322">
        <f>'P NP JAPUNG IKAN'!G22</f>
        <v>0</v>
      </c>
      <c r="AG8" s="322">
        <f>'P NP JAPUNG IKAN'!H22</f>
        <v>0</v>
      </c>
      <c r="AH8" s="322">
        <f>'P NP JAPUNG IKAN'!G23</f>
        <v>0</v>
      </c>
      <c r="AI8" s="322">
        <f>'P NP JAPUNG IKAN'!H23</f>
        <v>0</v>
      </c>
      <c r="AJ8" s="322">
        <f>'P NP JAPUNG IKAN'!G24</f>
        <v>0</v>
      </c>
      <c r="AK8" s="322">
        <f>'P NP JAPUNG IKAN'!H24</f>
        <v>0</v>
      </c>
      <c r="AL8" s="322">
        <f>'P NP JAPUNG IKAN'!G25</f>
        <v>0</v>
      </c>
      <c r="AM8" s="322">
        <f>'P NP JAPUNG IKAN'!H25</f>
        <v>0</v>
      </c>
      <c r="AN8" s="322">
        <f>'P NP JAPUNG IKAN'!G26</f>
        <v>28205</v>
      </c>
      <c r="AO8" s="322">
        <f>'P NP JAPUNG IKAN'!H26</f>
        <v>681420</v>
      </c>
      <c r="AP8" s="322">
        <f>'P NP JAPUNG IKAN'!G27</f>
        <v>0</v>
      </c>
      <c r="AQ8" s="322">
        <f>'P NP JAPUNG IKAN'!H27</f>
        <v>0</v>
      </c>
      <c r="AR8" s="322">
        <f>'P NP JAPUNG IKAN'!G28</f>
        <v>0</v>
      </c>
      <c r="AS8" s="322">
        <f>'P NP JAPUNG IKAN'!H28</f>
        <v>0</v>
      </c>
      <c r="AT8" s="322">
        <f>'P NP JAPUNG IKAN'!G29</f>
        <v>0</v>
      </c>
      <c r="AU8" s="322">
        <f>'P NP JAPUNG IKAN'!H29</f>
        <v>0</v>
      </c>
      <c r="AV8" s="322">
        <f>'P NP JAPUNG IKAN'!G30</f>
        <v>0</v>
      </c>
      <c r="AW8" s="322">
        <f>'P NP JAPUNG IKAN'!H30</f>
        <v>0</v>
      </c>
      <c r="AX8" s="322">
        <f>'P NP JAPUNG IKAN'!G31</f>
        <v>0</v>
      </c>
      <c r="AY8" s="322">
        <f>'P NP JAPUNG IKAN'!H31</f>
        <v>0</v>
      </c>
      <c r="AZ8" s="322">
        <f>'P NP JAPUNG IKAN'!G32</f>
        <v>0</v>
      </c>
      <c r="BA8" s="322">
        <f>'P NP JAPUNG IKAN'!H32</f>
        <v>0</v>
      </c>
      <c r="BB8" s="322">
        <f>'P NP JAPUNG IKAN'!G33</f>
        <v>0</v>
      </c>
      <c r="BC8" s="322">
        <f>'P NP JAPUNG IKAN'!H33</f>
        <v>0</v>
      </c>
      <c r="BD8" s="322">
        <f>'P NP JAPUNG IKAN'!G34</f>
        <v>0</v>
      </c>
      <c r="BE8" s="322">
        <f>'P NP JAPUNG IKAN'!H34</f>
        <v>0</v>
      </c>
      <c r="BF8" s="322">
        <f>'P NP JAPUNG IKAN'!G35</f>
        <v>0</v>
      </c>
      <c r="BG8" s="322">
        <f>'P NP JAPUNG IKAN'!H35</f>
        <v>0</v>
      </c>
      <c r="BH8" s="322">
        <f>'P NP JAPUNG IKAN'!G36</f>
        <v>0</v>
      </c>
      <c r="BI8" s="322">
        <f>'P NP JAPUNG IKAN'!H36</f>
        <v>0</v>
      </c>
      <c r="BJ8" s="322">
        <f>'P NP JAPUNG IKAN'!G37</f>
        <v>0</v>
      </c>
      <c r="BK8" s="322">
        <f>'P NP JAPUNG IKAN'!H37</f>
        <v>0</v>
      </c>
      <c r="BL8" s="322">
        <f>'P NP JAPUNG IKAN'!G38</f>
        <v>0</v>
      </c>
      <c r="BM8" s="322">
        <f>'P NP JAPUNG IKAN'!H38</f>
        <v>0</v>
      </c>
      <c r="BN8" s="322">
        <f>'P NP JAPUNG IKAN'!G39</f>
        <v>0</v>
      </c>
      <c r="BO8" s="322">
        <f>'P NP JAPUNG IKAN'!H39</f>
        <v>0</v>
      </c>
      <c r="BP8" s="322">
        <f>'P NP JAPUNG IKAN'!G40</f>
        <v>0</v>
      </c>
      <c r="BQ8" s="322">
        <f>'P NP JAPUNG IKAN'!H40</f>
        <v>0</v>
      </c>
      <c r="BR8" s="322">
        <f>'P NP JAPUNG IKAN'!G41</f>
        <v>0</v>
      </c>
      <c r="BS8" s="322">
        <f>'P NP JAPUNG IKAN'!H41</f>
        <v>0</v>
      </c>
      <c r="BT8" s="322">
        <f>'P NP JAPUNG IKAN'!G42</f>
        <v>0</v>
      </c>
      <c r="BU8" s="322">
        <f>'P NP JAPUNG IKAN'!H42</f>
        <v>0</v>
      </c>
      <c r="BV8" s="322">
        <f>'P NP JAPUNG IKAN'!G43</f>
        <v>0</v>
      </c>
      <c r="BW8" s="322">
        <f>'P NP JAPUNG IKAN'!H43</f>
        <v>0</v>
      </c>
      <c r="BX8" s="322">
        <f>'P NP JAPUNG IKAN'!G44</f>
        <v>0</v>
      </c>
      <c r="BY8" s="322">
        <f>'P NP JAPUNG IKAN'!H44</f>
        <v>0</v>
      </c>
    </row>
    <row r="9" spans="1:78">
      <c r="A9" s="260" t="s">
        <v>133</v>
      </c>
      <c r="B9" s="320">
        <f t="shared" si="2"/>
        <v>31501</v>
      </c>
      <c r="C9" s="320">
        <f t="shared" si="3"/>
        <v>524223</v>
      </c>
      <c r="D9" s="322">
        <f>'P NP JAPUNG IKAN'!I8</f>
        <v>0</v>
      </c>
      <c r="E9" s="322">
        <f>'P NP JAPUNG IKAN'!J8</f>
        <v>0</v>
      </c>
      <c r="F9" s="322">
        <f>'P NP JAPUNG IKAN'!I9</f>
        <v>0</v>
      </c>
      <c r="G9" s="322">
        <f>'P NP JAPUNG IKAN'!J9</f>
        <v>0</v>
      </c>
      <c r="H9" s="322">
        <f>'P NP JAPUNG IKAN'!I10</f>
        <v>0</v>
      </c>
      <c r="I9" s="322">
        <f>'P NP JAPUNG IKAN'!J10</f>
        <v>0</v>
      </c>
      <c r="J9" s="322">
        <f>'P NP JAPUNG IKAN'!I11</f>
        <v>0</v>
      </c>
      <c r="K9" s="322">
        <f>'P NP JAPUNG IKAN'!J11</f>
        <v>0</v>
      </c>
      <c r="L9" s="322">
        <f>'P NP JAPUNG IKAN'!I12</f>
        <v>0</v>
      </c>
      <c r="M9" s="322">
        <f>'P NP JAPUNG IKAN'!J12</f>
        <v>0</v>
      </c>
      <c r="N9" s="322">
        <f>'P NP JAPUNG IKAN'!I13</f>
        <v>0</v>
      </c>
      <c r="O9" s="322">
        <f>'P NP JAPUNG IKAN'!J13</f>
        <v>0</v>
      </c>
      <c r="P9" s="322">
        <f>'P NP JAPUNG IKAN'!I14</f>
        <v>0</v>
      </c>
      <c r="Q9" s="322">
        <f>'P NP JAPUNG IKAN'!J14</f>
        <v>0</v>
      </c>
      <c r="R9" s="322">
        <f>'P NP JAPUNG IKAN'!I15</f>
        <v>0</v>
      </c>
      <c r="S9" s="322">
        <f>'P NP JAPUNG IKAN'!J15</f>
        <v>0</v>
      </c>
      <c r="T9" s="322">
        <f>'P NP JAPUNG IKAN'!I16</f>
        <v>0</v>
      </c>
      <c r="U9" s="322">
        <f>'P NP JAPUNG IKAN'!J16</f>
        <v>0</v>
      </c>
      <c r="V9" s="322">
        <f>'P NP JAPUNG IKAN'!I17</f>
        <v>0</v>
      </c>
      <c r="W9" s="322">
        <f>'P NP JAPUNG IKAN'!J17</f>
        <v>0</v>
      </c>
      <c r="X9" s="322">
        <f>'P NP JAPUNG IKAN'!I18</f>
        <v>0</v>
      </c>
      <c r="Y9" s="322">
        <f>'P NP JAPUNG IKAN'!J18</f>
        <v>0</v>
      </c>
      <c r="Z9" s="322">
        <f>'P NP JAPUNG IKAN'!I19</f>
        <v>0</v>
      </c>
      <c r="AA9" s="322">
        <f>'P NP JAPUNG IKAN'!J19</f>
        <v>0</v>
      </c>
      <c r="AB9" s="322">
        <f>'P NP JAPUNG IKAN'!I20</f>
        <v>0</v>
      </c>
      <c r="AC9" s="322">
        <f>'P NP JAPUNG IKAN'!J20</f>
        <v>0</v>
      </c>
      <c r="AD9" s="322">
        <f>'P NP JAPUNG IKAN'!I21</f>
        <v>0</v>
      </c>
      <c r="AE9" s="322">
        <f>'P NP JAPUNG IKAN'!J21</f>
        <v>0</v>
      </c>
      <c r="AF9" s="322">
        <f>'P NP JAPUNG IKAN'!I22</f>
        <v>0</v>
      </c>
      <c r="AG9" s="322">
        <f>'P NP JAPUNG IKAN'!J22</f>
        <v>0</v>
      </c>
      <c r="AH9" s="322">
        <f>'P NP JAPUNG IKAN'!I23</f>
        <v>0</v>
      </c>
      <c r="AI9" s="322">
        <f>'P NP JAPUNG IKAN'!J23</f>
        <v>0</v>
      </c>
      <c r="AJ9" s="322">
        <f>'P NP JAPUNG IKAN'!I24</f>
        <v>0</v>
      </c>
      <c r="AK9" s="322">
        <f>'P NP JAPUNG IKAN'!J24</f>
        <v>0</v>
      </c>
      <c r="AL9" s="322">
        <f>'P NP JAPUNG IKAN'!I25</f>
        <v>0</v>
      </c>
      <c r="AM9" s="322">
        <f>'P NP JAPUNG IKAN'!J25</f>
        <v>0</v>
      </c>
      <c r="AN9" s="322">
        <f>'P NP JAPUNG IKAN'!I26</f>
        <v>9883</v>
      </c>
      <c r="AO9" s="322">
        <f>'P NP JAPUNG IKAN'!J26</f>
        <v>247075</v>
      </c>
      <c r="AP9" s="322">
        <f>'P NP JAPUNG IKAN'!I27</f>
        <v>7621</v>
      </c>
      <c r="AQ9" s="322">
        <f>'P NP JAPUNG IKAN'!J27</f>
        <v>137178</v>
      </c>
      <c r="AR9" s="322">
        <f>'P NP JAPUNG IKAN'!I28</f>
        <v>0</v>
      </c>
      <c r="AS9" s="322">
        <f>'P NP JAPUNG IKAN'!J28</f>
        <v>0</v>
      </c>
      <c r="AT9" s="322">
        <f>'P NP JAPUNG IKAN'!I29</f>
        <v>13997</v>
      </c>
      <c r="AU9" s="322">
        <f>'P NP JAPUNG IKAN'!J29</f>
        <v>139970</v>
      </c>
      <c r="AV9" s="322">
        <f>'P NP JAPUNG IKAN'!I30</f>
        <v>0</v>
      </c>
      <c r="AW9" s="322">
        <f>'P NP JAPUNG IKAN'!J30</f>
        <v>0</v>
      </c>
      <c r="AX9" s="322">
        <f>'P NP JAPUNG IKAN'!I31</f>
        <v>0</v>
      </c>
      <c r="AY9" s="322">
        <f>'P NP JAPUNG IKAN'!J31</f>
        <v>0</v>
      </c>
      <c r="AZ9" s="322">
        <f>'P NP JAPUNG IKAN'!I32</f>
        <v>0</v>
      </c>
      <c r="BA9" s="322">
        <f>'P NP JAPUNG IKAN'!J32</f>
        <v>0</v>
      </c>
      <c r="BB9" s="322">
        <f>'P NP JAPUNG IKAN'!I33</f>
        <v>0</v>
      </c>
      <c r="BC9" s="322">
        <f>'P NP JAPUNG IKAN'!J33</f>
        <v>0</v>
      </c>
      <c r="BD9" s="322">
        <f>'P NP JAPUNG IKAN'!I34</f>
        <v>0</v>
      </c>
      <c r="BE9" s="322">
        <f>'P NP JAPUNG IKAN'!J34</f>
        <v>0</v>
      </c>
      <c r="BF9" s="322">
        <f>'P NP JAPUNG IKAN'!I35</f>
        <v>0</v>
      </c>
      <c r="BG9" s="322">
        <f>'P NP JAPUNG IKAN'!J35</f>
        <v>0</v>
      </c>
      <c r="BH9" s="322">
        <f>'P NP JAPUNG IKAN'!I36</f>
        <v>0</v>
      </c>
      <c r="BI9" s="322">
        <f>'P NP JAPUNG IKAN'!J36</f>
        <v>0</v>
      </c>
      <c r="BJ9" s="322">
        <f>'P NP JAPUNG IKAN'!I37</f>
        <v>0</v>
      </c>
      <c r="BK9" s="322">
        <f>'P NP JAPUNG IKAN'!J37</f>
        <v>0</v>
      </c>
      <c r="BL9" s="322">
        <f>'P NP JAPUNG IKAN'!I38</f>
        <v>0</v>
      </c>
      <c r="BM9" s="322">
        <f>'P NP JAPUNG IKAN'!J38</f>
        <v>0</v>
      </c>
      <c r="BN9" s="322">
        <f>'P NP JAPUNG IKAN'!I39</f>
        <v>0</v>
      </c>
      <c r="BO9" s="322">
        <f>'P NP JAPUNG IKAN'!J39</f>
        <v>0</v>
      </c>
      <c r="BP9" s="322">
        <f>'P NP JAPUNG IKAN'!I40</f>
        <v>0</v>
      </c>
      <c r="BQ9" s="322">
        <f>'P NP JAPUNG IKAN'!J40</f>
        <v>0</v>
      </c>
      <c r="BR9" s="322">
        <f>'P NP JAPUNG IKAN'!I41</f>
        <v>0</v>
      </c>
      <c r="BS9" s="322">
        <f>'P NP JAPUNG IKAN'!J41</f>
        <v>0</v>
      </c>
      <c r="BT9" s="322">
        <f>'P NP JAPUNG IKAN'!I42</f>
        <v>0</v>
      </c>
      <c r="BU9" s="322">
        <f>'P NP JAPUNG IKAN'!J42</f>
        <v>0</v>
      </c>
      <c r="BV9" s="322">
        <f>'P NP JAPUNG IKAN'!I43</f>
        <v>0</v>
      </c>
      <c r="BW9" s="322">
        <f>'P NP JAPUNG IKAN'!J43</f>
        <v>0</v>
      </c>
      <c r="BX9" s="322">
        <f>'P NP JAPUNG IKAN'!I44</f>
        <v>0</v>
      </c>
      <c r="BY9" s="322">
        <f>'P NP JAPUNG IKAN'!J44</f>
        <v>0</v>
      </c>
    </row>
    <row r="10" spans="1:78">
      <c r="A10" s="260" t="s">
        <v>122</v>
      </c>
      <c r="B10" s="320">
        <f t="shared" si="2"/>
        <v>0</v>
      </c>
      <c r="C10" s="320">
        <f t="shared" si="3"/>
        <v>0</v>
      </c>
      <c r="D10" s="322">
        <f>'P NP JAPUNG IKAN'!K8</f>
        <v>0</v>
      </c>
      <c r="E10" s="322">
        <f>'P NP JAPUNG IKAN'!L8</f>
        <v>0</v>
      </c>
      <c r="F10" s="322">
        <f>'P NP JAPUNG IKAN'!K9</f>
        <v>0</v>
      </c>
      <c r="G10" s="322">
        <f>'P NP JAPUNG IKAN'!L9</f>
        <v>0</v>
      </c>
      <c r="H10" s="322">
        <f>'P NP JAPUNG IKAN'!K10</f>
        <v>0</v>
      </c>
      <c r="I10" s="322">
        <f>'P NP JAPUNG IKAN'!L10</f>
        <v>0</v>
      </c>
      <c r="J10" s="322">
        <f>'P NP JAPUNG IKAN'!K11</f>
        <v>0</v>
      </c>
      <c r="K10" s="322">
        <f>'P NP JAPUNG IKAN'!L11</f>
        <v>0</v>
      </c>
      <c r="L10" s="322">
        <f>'P NP JAPUNG IKAN'!K12</f>
        <v>0</v>
      </c>
      <c r="M10" s="322">
        <f>'P NP JAPUNG IKAN'!L12</f>
        <v>0</v>
      </c>
      <c r="N10" s="322">
        <f>'P NP JAPUNG IKAN'!K13</f>
        <v>0</v>
      </c>
      <c r="O10" s="322">
        <f>'P NP JAPUNG IKAN'!L13</f>
        <v>0</v>
      </c>
      <c r="P10" s="322">
        <f>'P NP JAPUNG IKAN'!K14</f>
        <v>0</v>
      </c>
      <c r="Q10" s="322">
        <f>'P NP JAPUNG IKAN'!L14</f>
        <v>0</v>
      </c>
      <c r="R10" s="322">
        <f>'P NP JAPUNG IKAN'!K15</f>
        <v>0</v>
      </c>
      <c r="S10" s="322">
        <f>'P NP JAPUNG IKAN'!L15</f>
        <v>0</v>
      </c>
      <c r="T10" s="322">
        <f>'P NP JAPUNG IKAN'!K16</f>
        <v>0</v>
      </c>
      <c r="U10" s="322">
        <f>'P NP JAPUNG IKAN'!L16</f>
        <v>0</v>
      </c>
      <c r="V10" s="322">
        <f>'P NP JAPUNG IKAN'!K17</f>
        <v>0</v>
      </c>
      <c r="W10" s="322">
        <f>'P NP JAPUNG IKAN'!L17</f>
        <v>0</v>
      </c>
      <c r="X10" s="322">
        <f>'P NP JAPUNG IKAN'!K18</f>
        <v>0</v>
      </c>
      <c r="Y10" s="322">
        <f>'P NP JAPUNG IKAN'!L18</f>
        <v>0</v>
      </c>
      <c r="Z10" s="322">
        <f>'P NP JAPUNG IKAN'!K19</f>
        <v>0</v>
      </c>
      <c r="AA10" s="322">
        <f>'P NP JAPUNG IKAN'!L19</f>
        <v>0</v>
      </c>
      <c r="AB10" s="322">
        <f>'P NP JAPUNG IKAN'!K20</f>
        <v>0</v>
      </c>
      <c r="AC10" s="322">
        <f>'P NP JAPUNG IKAN'!L20</f>
        <v>0</v>
      </c>
      <c r="AD10" s="322">
        <f>'P NP JAPUNG IKAN'!K21</f>
        <v>0</v>
      </c>
      <c r="AE10" s="322">
        <f>'P NP JAPUNG IKAN'!L21</f>
        <v>0</v>
      </c>
      <c r="AF10" s="322">
        <f>'P NP JAPUNG IKAN'!K22</f>
        <v>0</v>
      </c>
      <c r="AG10" s="322">
        <f>'P NP JAPUNG IKAN'!L22</f>
        <v>0</v>
      </c>
      <c r="AH10" s="322">
        <f>'P NP JAPUNG IKAN'!K23</f>
        <v>0</v>
      </c>
      <c r="AI10" s="322">
        <f>'P NP JAPUNG IKAN'!L23</f>
        <v>0</v>
      </c>
      <c r="AJ10" s="322">
        <f>'P NP JAPUNG IKAN'!K24</f>
        <v>0</v>
      </c>
      <c r="AK10" s="322">
        <f>'P NP JAPUNG IKAN'!L24</f>
        <v>0</v>
      </c>
      <c r="AL10" s="322">
        <f>'P NP JAPUNG IKAN'!K25</f>
        <v>0</v>
      </c>
      <c r="AM10" s="322">
        <f>'P NP JAPUNG IKAN'!L25</f>
        <v>0</v>
      </c>
      <c r="AN10" s="322">
        <f>'P NP JAPUNG IKAN'!K26</f>
        <v>0</v>
      </c>
      <c r="AO10" s="322">
        <f>'P NP JAPUNG IKAN'!L26</f>
        <v>0</v>
      </c>
      <c r="AP10" s="322">
        <f>'P NP JAPUNG IKAN'!K27</f>
        <v>0</v>
      </c>
      <c r="AQ10" s="322">
        <f>'P NP JAPUNG IKAN'!L27</f>
        <v>0</v>
      </c>
      <c r="AR10" s="322">
        <f>'P NP JAPUNG IKAN'!K28</f>
        <v>0</v>
      </c>
      <c r="AS10" s="322">
        <f>'P NP JAPUNG IKAN'!L28</f>
        <v>0</v>
      </c>
      <c r="AT10" s="322">
        <f>'P NP JAPUNG IKAN'!K29</f>
        <v>0</v>
      </c>
      <c r="AU10" s="322">
        <f>'P NP JAPUNG IKAN'!L29</f>
        <v>0</v>
      </c>
      <c r="AV10" s="322">
        <f>'P NP JAPUNG IKAN'!K30</f>
        <v>0</v>
      </c>
      <c r="AW10" s="322">
        <f>'P NP JAPUNG IKAN'!L30</f>
        <v>0</v>
      </c>
      <c r="AX10" s="322">
        <f>'P NP JAPUNG IKAN'!K31</f>
        <v>0</v>
      </c>
      <c r="AY10" s="322">
        <f>'P NP JAPUNG IKAN'!L31</f>
        <v>0</v>
      </c>
      <c r="AZ10" s="322">
        <f>'P NP JAPUNG IKAN'!K32</f>
        <v>0</v>
      </c>
      <c r="BA10" s="322">
        <f>'P NP JAPUNG IKAN'!L32</f>
        <v>0</v>
      </c>
      <c r="BB10" s="322">
        <f>'P NP JAPUNG IKAN'!K33</f>
        <v>0</v>
      </c>
      <c r="BC10" s="322">
        <f>'P NP JAPUNG IKAN'!L33</f>
        <v>0</v>
      </c>
      <c r="BD10" s="322">
        <f>'P NP JAPUNG IKAN'!K34</f>
        <v>0</v>
      </c>
      <c r="BE10" s="322">
        <f>'P NP JAPUNG IKAN'!L34</f>
        <v>0</v>
      </c>
      <c r="BF10" s="322">
        <f>'P NP JAPUNG IKAN'!K35</f>
        <v>0</v>
      </c>
      <c r="BG10" s="322">
        <f>'P NP JAPUNG IKAN'!L35</f>
        <v>0</v>
      </c>
      <c r="BH10" s="322">
        <f>'P NP JAPUNG IKAN'!K36</f>
        <v>0</v>
      </c>
      <c r="BI10" s="322">
        <f>'P NP JAPUNG IKAN'!L36</f>
        <v>0</v>
      </c>
      <c r="BJ10" s="322">
        <f>'P NP JAPUNG IKAN'!K37</f>
        <v>0</v>
      </c>
      <c r="BK10" s="322">
        <f>'P NP JAPUNG IKAN'!L37</f>
        <v>0</v>
      </c>
      <c r="BL10" s="322">
        <f>'P NP JAPUNG IKAN'!K38</f>
        <v>0</v>
      </c>
      <c r="BM10" s="322">
        <f>'P NP JAPUNG IKAN'!L38</f>
        <v>0</v>
      </c>
      <c r="BN10" s="322">
        <f>'P NP JAPUNG IKAN'!K39</f>
        <v>0</v>
      </c>
      <c r="BO10" s="322">
        <f>'P NP JAPUNG IKAN'!L39</f>
        <v>0</v>
      </c>
      <c r="BP10" s="322">
        <f>'P NP JAPUNG IKAN'!K40</f>
        <v>0</v>
      </c>
      <c r="BQ10" s="322">
        <f>'P NP JAPUNG IKAN'!L40</f>
        <v>0</v>
      </c>
      <c r="BR10" s="322">
        <f>'P NP JAPUNG IKAN'!K41</f>
        <v>0</v>
      </c>
      <c r="BS10" s="322">
        <f>'P NP JAPUNG IKAN'!L41</f>
        <v>0</v>
      </c>
      <c r="BT10" s="322">
        <f>'P NP JAPUNG IKAN'!K42</f>
        <v>0</v>
      </c>
      <c r="BU10" s="322">
        <f>'P NP JAPUNG IKAN'!L42</f>
        <v>0</v>
      </c>
      <c r="BV10" s="322">
        <f>'P NP JAPUNG IKAN'!K43</f>
        <v>0</v>
      </c>
      <c r="BW10" s="322">
        <f>'P NP JAPUNG IKAN'!L43</f>
        <v>0</v>
      </c>
      <c r="BX10" s="322">
        <f>'P NP JAPUNG IKAN'!K44</f>
        <v>0</v>
      </c>
      <c r="BY10" s="322">
        <f>'P NP JAPUNG IKAN'!L44</f>
        <v>0</v>
      </c>
    </row>
    <row r="11" spans="1:78">
      <c r="A11" s="260" t="s">
        <v>136</v>
      </c>
      <c r="B11" s="320">
        <f t="shared" si="2"/>
        <v>0</v>
      </c>
      <c r="C11" s="320">
        <f t="shared" si="3"/>
        <v>0</v>
      </c>
      <c r="D11" s="322">
        <f>'P NP JAPUNG IKAN'!M8</f>
        <v>0</v>
      </c>
      <c r="E11" s="322">
        <f>'P NP JAPUNG IKAN'!N8</f>
        <v>0</v>
      </c>
      <c r="F11" s="322">
        <f>'P NP JAPUNG IKAN'!M9</f>
        <v>0</v>
      </c>
      <c r="G11" s="322">
        <f>'P NP JAPUNG IKAN'!N9</f>
        <v>0</v>
      </c>
      <c r="H11" s="322">
        <f>'P NP JAPUNG IKAN'!M10</f>
        <v>0</v>
      </c>
      <c r="I11" s="322">
        <f>'P NP JAPUNG IKAN'!N10</f>
        <v>0</v>
      </c>
      <c r="J11" s="322">
        <f>'P NP JAPUNG IKAN'!M11</f>
        <v>0</v>
      </c>
      <c r="K11" s="322">
        <f>'P NP JAPUNG IKAN'!N11</f>
        <v>0</v>
      </c>
      <c r="L11" s="322">
        <f>'P NP JAPUNG IKAN'!M12</f>
        <v>0</v>
      </c>
      <c r="M11" s="322">
        <f>'P NP JAPUNG IKAN'!N12</f>
        <v>0</v>
      </c>
      <c r="N11" s="322">
        <f>'P NP JAPUNG IKAN'!M13</f>
        <v>0</v>
      </c>
      <c r="O11" s="322">
        <f>'P NP JAPUNG IKAN'!N13</f>
        <v>0</v>
      </c>
      <c r="P11" s="322">
        <f>'P NP JAPUNG IKAN'!M14</f>
        <v>0</v>
      </c>
      <c r="Q11" s="322">
        <f>'P NP JAPUNG IKAN'!N14</f>
        <v>0</v>
      </c>
      <c r="R11" s="322">
        <f>'P NP JAPUNG IKAN'!M15</f>
        <v>0</v>
      </c>
      <c r="S11" s="322">
        <f>'P NP JAPUNG IKAN'!N15</f>
        <v>0</v>
      </c>
      <c r="T11" s="322">
        <f>'P NP JAPUNG IKAN'!M16</f>
        <v>0</v>
      </c>
      <c r="U11" s="322">
        <f>'P NP JAPUNG IKAN'!N16</f>
        <v>0</v>
      </c>
      <c r="V11" s="322">
        <f>'P NP JAPUNG IKAN'!M17</f>
        <v>0</v>
      </c>
      <c r="W11" s="322">
        <f>'P NP JAPUNG IKAN'!N17</f>
        <v>0</v>
      </c>
      <c r="X11" s="322">
        <f>'P NP JAPUNG IKAN'!M18</f>
        <v>0</v>
      </c>
      <c r="Y11" s="322">
        <f>'P NP JAPUNG IKAN'!N18</f>
        <v>0</v>
      </c>
      <c r="Z11" s="322">
        <f>'P NP JAPUNG IKAN'!M19</f>
        <v>0</v>
      </c>
      <c r="AA11" s="322">
        <f>'P NP JAPUNG IKAN'!N19</f>
        <v>0</v>
      </c>
      <c r="AB11" s="322">
        <f>'P NP JAPUNG IKAN'!M20</f>
        <v>0</v>
      </c>
      <c r="AC11" s="322">
        <f>'P NP JAPUNG IKAN'!N20</f>
        <v>0</v>
      </c>
      <c r="AD11" s="322">
        <f>'P NP JAPUNG IKAN'!M21</f>
        <v>0</v>
      </c>
      <c r="AE11" s="322">
        <f>'P NP JAPUNG IKAN'!N21</f>
        <v>0</v>
      </c>
      <c r="AF11" s="322">
        <f>'P NP JAPUNG IKAN'!M22</f>
        <v>0</v>
      </c>
      <c r="AG11" s="322">
        <f>'P NP JAPUNG IKAN'!N22</f>
        <v>0</v>
      </c>
      <c r="AH11" s="322">
        <f>'P NP JAPUNG IKAN'!M23</f>
        <v>0</v>
      </c>
      <c r="AI11" s="322">
        <f>'P NP JAPUNG IKAN'!N23</f>
        <v>0</v>
      </c>
      <c r="AJ11" s="322">
        <f>'P NP JAPUNG IKAN'!M24</f>
        <v>0</v>
      </c>
      <c r="AK11" s="322">
        <f>'P NP JAPUNG IKAN'!N24</f>
        <v>0</v>
      </c>
      <c r="AL11" s="322">
        <f>'P NP JAPUNG IKAN'!M25</f>
        <v>0</v>
      </c>
      <c r="AM11" s="322">
        <f>'P NP JAPUNG IKAN'!N25</f>
        <v>0</v>
      </c>
      <c r="AN11" s="322">
        <f>'P NP JAPUNG IKAN'!M26</f>
        <v>0</v>
      </c>
      <c r="AO11" s="322">
        <f>'P NP JAPUNG IKAN'!N26</f>
        <v>0</v>
      </c>
      <c r="AP11" s="322">
        <f>'P NP JAPUNG IKAN'!M27</f>
        <v>0</v>
      </c>
      <c r="AQ11" s="322">
        <f>'P NP JAPUNG IKAN'!N27</f>
        <v>0</v>
      </c>
      <c r="AR11" s="322">
        <f>'P NP JAPUNG IKAN'!M28</f>
        <v>0</v>
      </c>
      <c r="AS11" s="322">
        <f>'P NP JAPUNG IKAN'!N28</f>
        <v>0</v>
      </c>
      <c r="AT11" s="322">
        <f>'P NP JAPUNG IKAN'!M29</f>
        <v>0</v>
      </c>
      <c r="AU11" s="322">
        <f>'P NP JAPUNG IKAN'!N29</f>
        <v>0</v>
      </c>
      <c r="AV11" s="322">
        <f>'P NP JAPUNG IKAN'!M30</f>
        <v>0</v>
      </c>
      <c r="AW11" s="322">
        <f>'P NP JAPUNG IKAN'!N30</f>
        <v>0</v>
      </c>
      <c r="AX11" s="322">
        <f>'P NP JAPUNG IKAN'!M31</f>
        <v>0</v>
      </c>
      <c r="AY11" s="322">
        <f>'P NP JAPUNG IKAN'!N31</f>
        <v>0</v>
      </c>
      <c r="AZ11" s="322">
        <f>'P NP JAPUNG IKAN'!M32</f>
        <v>0</v>
      </c>
      <c r="BA11" s="322">
        <f>'P NP JAPUNG IKAN'!N32</f>
        <v>0</v>
      </c>
      <c r="BB11" s="322">
        <f>'P NP JAPUNG IKAN'!M33</f>
        <v>0</v>
      </c>
      <c r="BC11" s="322">
        <f>'P NP JAPUNG IKAN'!N33</f>
        <v>0</v>
      </c>
      <c r="BD11" s="322">
        <f>'P NP JAPUNG IKAN'!M34</f>
        <v>0</v>
      </c>
      <c r="BE11" s="322">
        <f>'P NP JAPUNG IKAN'!N34</f>
        <v>0</v>
      </c>
      <c r="BF11" s="322">
        <f>'P NP JAPUNG IKAN'!M35</f>
        <v>0</v>
      </c>
      <c r="BG11" s="322">
        <f>'P NP JAPUNG IKAN'!N35</f>
        <v>0</v>
      </c>
      <c r="BH11" s="322">
        <f>'P NP JAPUNG IKAN'!M36</f>
        <v>0</v>
      </c>
      <c r="BI11" s="322">
        <f>'P NP JAPUNG IKAN'!N36</f>
        <v>0</v>
      </c>
      <c r="BJ11" s="322">
        <f>'P NP JAPUNG IKAN'!M37</f>
        <v>0</v>
      </c>
      <c r="BK11" s="322">
        <f>'P NP JAPUNG IKAN'!N37</f>
        <v>0</v>
      </c>
      <c r="BL11" s="322">
        <f>'P NP JAPUNG IKAN'!M38</f>
        <v>0</v>
      </c>
      <c r="BM11" s="322">
        <f>'P NP JAPUNG IKAN'!N38</f>
        <v>0</v>
      </c>
      <c r="BN11" s="322">
        <f>'P NP JAPUNG IKAN'!M39</f>
        <v>0</v>
      </c>
      <c r="BO11" s="322">
        <f>'P NP JAPUNG IKAN'!N39</f>
        <v>0</v>
      </c>
      <c r="BP11" s="322">
        <f>'P NP JAPUNG IKAN'!M40</f>
        <v>0</v>
      </c>
      <c r="BQ11" s="322">
        <f>'P NP JAPUNG IKAN'!N40</f>
        <v>0</v>
      </c>
      <c r="BR11" s="322">
        <f>'P NP JAPUNG IKAN'!M41</f>
        <v>0</v>
      </c>
      <c r="BS11" s="322">
        <f>'P NP JAPUNG IKAN'!N41</f>
        <v>0</v>
      </c>
      <c r="BT11" s="322">
        <f>'P NP JAPUNG IKAN'!M42</f>
        <v>0</v>
      </c>
      <c r="BU11" s="322">
        <f>'P NP JAPUNG IKAN'!N42</f>
        <v>0</v>
      </c>
      <c r="BV11" s="322">
        <f>'P NP JAPUNG IKAN'!M43</f>
        <v>0</v>
      </c>
      <c r="BW11" s="322">
        <f>'P NP JAPUNG IKAN'!N43</f>
        <v>0</v>
      </c>
      <c r="BX11" s="322">
        <f>'P NP JAPUNG IKAN'!M44</f>
        <v>0</v>
      </c>
      <c r="BY11" s="322">
        <f>'P NP JAPUNG IKAN'!N44</f>
        <v>0</v>
      </c>
    </row>
    <row r="12" spans="1:78">
      <c r="A12" s="260" t="s">
        <v>120</v>
      </c>
      <c r="B12" s="320">
        <f t="shared" si="2"/>
        <v>0</v>
      </c>
      <c r="C12" s="320">
        <f t="shared" si="3"/>
        <v>0</v>
      </c>
      <c r="D12" s="322">
        <f>'P NP JAPUNG IKAN'!O8</f>
        <v>0</v>
      </c>
      <c r="E12" s="322">
        <f>'P NP JAPUNG IKAN'!P8</f>
        <v>0</v>
      </c>
      <c r="F12" s="322">
        <f>'P NP JAPUNG IKAN'!O9</f>
        <v>0</v>
      </c>
      <c r="G12" s="322">
        <f>'P NP JAPUNG IKAN'!P9</f>
        <v>0</v>
      </c>
      <c r="H12" s="322">
        <f>'P NP JAPUNG IKAN'!O10</f>
        <v>0</v>
      </c>
      <c r="I12" s="322">
        <f>'P NP JAPUNG IKAN'!P10</f>
        <v>0</v>
      </c>
      <c r="J12" s="322">
        <f>'P NP JAPUNG IKAN'!O11</f>
        <v>0</v>
      </c>
      <c r="K12" s="322">
        <f>'P NP JAPUNG IKAN'!P11</f>
        <v>0</v>
      </c>
      <c r="L12" s="322">
        <f>'P NP JAPUNG IKAN'!O12</f>
        <v>0</v>
      </c>
      <c r="M12" s="322">
        <f>'P NP JAPUNG IKAN'!P12</f>
        <v>0</v>
      </c>
      <c r="N12" s="322">
        <f>'P NP JAPUNG IKAN'!O13</f>
        <v>0</v>
      </c>
      <c r="O12" s="322">
        <f>'P NP JAPUNG IKAN'!P13</f>
        <v>0</v>
      </c>
      <c r="P12" s="322">
        <f>'P NP JAPUNG IKAN'!O14</f>
        <v>0</v>
      </c>
      <c r="Q12" s="322">
        <f>'P NP JAPUNG IKAN'!P14</f>
        <v>0</v>
      </c>
      <c r="R12" s="322">
        <f>'P NP JAPUNG IKAN'!O15</f>
        <v>0</v>
      </c>
      <c r="S12" s="322">
        <f>'P NP JAPUNG IKAN'!P15</f>
        <v>0</v>
      </c>
      <c r="T12" s="322">
        <f>'P NP JAPUNG IKAN'!O16</f>
        <v>0</v>
      </c>
      <c r="U12" s="322">
        <f>'P NP JAPUNG IKAN'!P16</f>
        <v>0</v>
      </c>
      <c r="V12" s="322">
        <f>'P NP JAPUNG IKAN'!O17</f>
        <v>0</v>
      </c>
      <c r="W12" s="322">
        <f>'P NP JAPUNG IKAN'!P17</f>
        <v>0</v>
      </c>
      <c r="X12" s="322">
        <f>'P NP JAPUNG IKAN'!O18</f>
        <v>0</v>
      </c>
      <c r="Y12" s="322">
        <f>'P NP JAPUNG IKAN'!P18</f>
        <v>0</v>
      </c>
      <c r="Z12" s="322">
        <f>'P NP JAPUNG IKAN'!O19</f>
        <v>0</v>
      </c>
      <c r="AA12" s="322">
        <f>'P NP JAPUNG IKAN'!P19</f>
        <v>0</v>
      </c>
      <c r="AB12" s="322">
        <f>'P NP JAPUNG IKAN'!O20</f>
        <v>0</v>
      </c>
      <c r="AC12" s="322">
        <f>'P NP JAPUNG IKAN'!P20</f>
        <v>0</v>
      </c>
      <c r="AD12" s="322">
        <f>'P NP JAPUNG IKAN'!O21</f>
        <v>0</v>
      </c>
      <c r="AE12" s="322">
        <f>'P NP JAPUNG IKAN'!P21</f>
        <v>0</v>
      </c>
      <c r="AF12" s="322">
        <f>'P NP JAPUNG IKAN'!O22</f>
        <v>0</v>
      </c>
      <c r="AG12" s="322">
        <f>'P NP JAPUNG IKAN'!P22</f>
        <v>0</v>
      </c>
      <c r="AH12" s="322">
        <f>'P NP JAPUNG IKAN'!O23</f>
        <v>0</v>
      </c>
      <c r="AI12" s="322">
        <f>'P NP JAPUNG IKAN'!P23</f>
        <v>0</v>
      </c>
      <c r="AJ12" s="322">
        <f>'P NP JAPUNG IKAN'!O24</f>
        <v>0</v>
      </c>
      <c r="AK12" s="322">
        <f>'P NP JAPUNG IKAN'!P24</f>
        <v>0</v>
      </c>
      <c r="AL12" s="322">
        <f>'P NP JAPUNG IKAN'!O25</f>
        <v>0</v>
      </c>
      <c r="AM12" s="322">
        <f>'P NP JAPUNG IKAN'!P25</f>
        <v>0</v>
      </c>
      <c r="AN12" s="322">
        <f>'P NP JAPUNG IKAN'!O26</f>
        <v>0</v>
      </c>
      <c r="AO12" s="322">
        <f>'P NP JAPUNG IKAN'!P26</f>
        <v>0</v>
      </c>
      <c r="AP12" s="322">
        <f>'P NP JAPUNG IKAN'!O27</f>
        <v>0</v>
      </c>
      <c r="AQ12" s="322">
        <f>'P NP JAPUNG IKAN'!P27</f>
        <v>0</v>
      </c>
      <c r="AR12" s="322">
        <f>'P NP JAPUNG IKAN'!O28</f>
        <v>0</v>
      </c>
      <c r="AS12" s="322">
        <f>'P NP JAPUNG IKAN'!P28</f>
        <v>0</v>
      </c>
      <c r="AT12" s="322">
        <f>'P NP JAPUNG IKAN'!O29</f>
        <v>0</v>
      </c>
      <c r="AU12" s="322">
        <f>'P NP JAPUNG IKAN'!P29</f>
        <v>0</v>
      </c>
      <c r="AV12" s="322">
        <f>'P NP JAPUNG IKAN'!O30</f>
        <v>0</v>
      </c>
      <c r="AW12" s="322">
        <f>'P NP JAPUNG IKAN'!P30</f>
        <v>0</v>
      </c>
      <c r="AX12" s="322">
        <f>'P NP JAPUNG IKAN'!O31</f>
        <v>0</v>
      </c>
      <c r="AY12" s="322">
        <f>'P NP JAPUNG IKAN'!P31</f>
        <v>0</v>
      </c>
      <c r="AZ12" s="322">
        <f>'P NP JAPUNG IKAN'!O32</f>
        <v>0</v>
      </c>
      <c r="BA12" s="322">
        <f>'P NP JAPUNG IKAN'!P32</f>
        <v>0</v>
      </c>
      <c r="BB12" s="322">
        <f>'P NP JAPUNG IKAN'!O33</f>
        <v>0</v>
      </c>
      <c r="BC12" s="322">
        <f>'P NP JAPUNG IKAN'!P33</f>
        <v>0</v>
      </c>
      <c r="BD12" s="322">
        <f>'P NP JAPUNG IKAN'!O34</f>
        <v>0</v>
      </c>
      <c r="BE12" s="322">
        <f>'P NP JAPUNG IKAN'!P34</f>
        <v>0</v>
      </c>
      <c r="BF12" s="322">
        <f>'P NP JAPUNG IKAN'!O35</f>
        <v>0</v>
      </c>
      <c r="BG12" s="322">
        <f>'P NP JAPUNG IKAN'!P35</f>
        <v>0</v>
      </c>
      <c r="BH12" s="322">
        <f>'P NP JAPUNG IKAN'!O36</f>
        <v>0</v>
      </c>
      <c r="BI12" s="322">
        <f>'P NP JAPUNG IKAN'!P36</f>
        <v>0</v>
      </c>
      <c r="BJ12" s="322">
        <f>'P NP JAPUNG IKAN'!O37</f>
        <v>0</v>
      </c>
      <c r="BK12" s="322">
        <f>'P NP JAPUNG IKAN'!P37</f>
        <v>0</v>
      </c>
      <c r="BL12" s="322">
        <f>'P NP JAPUNG IKAN'!O38</f>
        <v>0</v>
      </c>
      <c r="BM12" s="322">
        <f>'P NP JAPUNG IKAN'!P38</f>
        <v>0</v>
      </c>
      <c r="BN12" s="322">
        <f>'P NP JAPUNG IKAN'!O39</f>
        <v>0</v>
      </c>
      <c r="BO12" s="322">
        <f>'P NP JAPUNG IKAN'!P39</f>
        <v>0</v>
      </c>
      <c r="BP12" s="322">
        <f>'P NP JAPUNG IKAN'!O40</f>
        <v>0</v>
      </c>
      <c r="BQ12" s="322">
        <f>'P NP JAPUNG IKAN'!P40</f>
        <v>0</v>
      </c>
      <c r="BR12" s="322">
        <f>'P NP JAPUNG IKAN'!O41</f>
        <v>0</v>
      </c>
      <c r="BS12" s="322">
        <f>'P NP JAPUNG IKAN'!P41</f>
        <v>0</v>
      </c>
      <c r="BT12" s="322">
        <f>'P NP JAPUNG IKAN'!O42</f>
        <v>0</v>
      </c>
      <c r="BU12" s="322">
        <f>'P NP JAPUNG IKAN'!P42</f>
        <v>0</v>
      </c>
      <c r="BV12" s="322">
        <f>'P NP JAPUNG IKAN'!O43</f>
        <v>0</v>
      </c>
      <c r="BW12" s="322">
        <f>'P NP JAPUNG IKAN'!P43</f>
        <v>0</v>
      </c>
      <c r="BX12" s="322">
        <f>'P NP JAPUNG IKAN'!O44</f>
        <v>0</v>
      </c>
      <c r="BY12" s="322">
        <f>'P NP JAPUNG IKAN'!P44</f>
        <v>0</v>
      </c>
    </row>
    <row r="13" spans="1:78">
      <c r="A13" s="260" t="s">
        <v>128</v>
      </c>
      <c r="B13" s="320">
        <f t="shared" si="2"/>
        <v>0</v>
      </c>
      <c r="C13" s="320">
        <f t="shared" si="3"/>
        <v>0</v>
      </c>
      <c r="D13" s="322">
        <f>'P NP JAPUNG IKAN'!Q8</f>
        <v>0</v>
      </c>
      <c r="E13" s="322">
        <f>'P NP JAPUNG IKAN'!R8</f>
        <v>0</v>
      </c>
      <c r="F13" s="322">
        <f>'P NP JAPUNG IKAN'!Q9</f>
        <v>0</v>
      </c>
      <c r="G13" s="322">
        <f>'P NP JAPUNG IKAN'!R9</f>
        <v>0</v>
      </c>
      <c r="H13" s="322">
        <f>'P NP JAPUNG IKAN'!Q10</f>
        <v>0</v>
      </c>
      <c r="I13" s="322">
        <f>'P NP JAPUNG IKAN'!R10</f>
        <v>0</v>
      </c>
      <c r="J13" s="322">
        <f>'P NP JAPUNG IKAN'!Q11</f>
        <v>0</v>
      </c>
      <c r="K13" s="322">
        <f>'P NP JAPUNG IKAN'!R11</f>
        <v>0</v>
      </c>
      <c r="L13" s="322">
        <f>'P NP JAPUNG IKAN'!Q12</f>
        <v>0</v>
      </c>
      <c r="M13" s="322">
        <f>'P NP JAPUNG IKAN'!R12</f>
        <v>0</v>
      </c>
      <c r="N13" s="322">
        <f>'P NP JAPUNG IKAN'!Q13</f>
        <v>0</v>
      </c>
      <c r="O13" s="322">
        <f>'P NP JAPUNG IKAN'!R13</f>
        <v>0</v>
      </c>
      <c r="P13" s="322">
        <f>'P NP JAPUNG IKAN'!Q14</f>
        <v>0</v>
      </c>
      <c r="Q13" s="322">
        <f>'P NP JAPUNG IKAN'!R14</f>
        <v>0</v>
      </c>
      <c r="R13" s="322">
        <f>'P NP JAPUNG IKAN'!Q15</f>
        <v>0</v>
      </c>
      <c r="S13" s="322">
        <f>'P NP JAPUNG IKAN'!R15</f>
        <v>0</v>
      </c>
      <c r="T13" s="322">
        <f>'P NP JAPUNG IKAN'!Q16</f>
        <v>0</v>
      </c>
      <c r="U13" s="322">
        <f>'P NP JAPUNG IKAN'!R16</f>
        <v>0</v>
      </c>
      <c r="V13" s="322">
        <f>'P NP JAPUNG IKAN'!Q17</f>
        <v>0</v>
      </c>
      <c r="W13" s="322">
        <f>'P NP JAPUNG IKAN'!R17</f>
        <v>0</v>
      </c>
      <c r="X13" s="322">
        <f>'P NP JAPUNG IKAN'!Q18</f>
        <v>0</v>
      </c>
      <c r="Y13" s="322">
        <f>'P NP JAPUNG IKAN'!R18</f>
        <v>0</v>
      </c>
      <c r="Z13" s="322">
        <f>'P NP JAPUNG IKAN'!Q19</f>
        <v>0</v>
      </c>
      <c r="AA13" s="322">
        <f>'P NP JAPUNG IKAN'!R19</f>
        <v>0</v>
      </c>
      <c r="AB13" s="322">
        <f>'P NP JAPUNG IKAN'!Q20</f>
        <v>0</v>
      </c>
      <c r="AC13" s="322">
        <f>'P NP JAPUNG IKAN'!R20</f>
        <v>0</v>
      </c>
      <c r="AD13" s="322">
        <f>'P NP JAPUNG IKAN'!Q21</f>
        <v>0</v>
      </c>
      <c r="AE13" s="322">
        <f>'P NP JAPUNG IKAN'!R21</f>
        <v>0</v>
      </c>
      <c r="AF13" s="322">
        <f>'P NP JAPUNG IKAN'!Q22</f>
        <v>0</v>
      </c>
      <c r="AG13" s="322">
        <f>'P NP JAPUNG IKAN'!R22</f>
        <v>0</v>
      </c>
      <c r="AH13" s="322">
        <f>'P NP JAPUNG IKAN'!Q23</f>
        <v>0</v>
      </c>
      <c r="AI13" s="322">
        <f>'P NP JAPUNG IKAN'!R23</f>
        <v>0</v>
      </c>
      <c r="AJ13" s="322">
        <f>'P NP JAPUNG IKAN'!Q24</f>
        <v>0</v>
      </c>
      <c r="AK13" s="322">
        <f>'P NP JAPUNG IKAN'!R24</f>
        <v>0</v>
      </c>
      <c r="AL13" s="322">
        <f>'P NP JAPUNG IKAN'!Q25</f>
        <v>0</v>
      </c>
      <c r="AM13" s="322">
        <f>'P NP JAPUNG IKAN'!R25</f>
        <v>0</v>
      </c>
      <c r="AN13" s="322">
        <f>'P NP JAPUNG IKAN'!Q26</f>
        <v>0</v>
      </c>
      <c r="AO13" s="322">
        <f>'P NP JAPUNG IKAN'!R26</f>
        <v>0</v>
      </c>
      <c r="AP13" s="322">
        <f>'P NP JAPUNG IKAN'!Q27</f>
        <v>0</v>
      </c>
      <c r="AQ13" s="322">
        <f>'P NP JAPUNG IKAN'!R27</f>
        <v>0</v>
      </c>
      <c r="AR13" s="322">
        <f>'P NP JAPUNG IKAN'!Q28</f>
        <v>0</v>
      </c>
      <c r="AS13" s="322">
        <f>'P NP JAPUNG IKAN'!R28</f>
        <v>0</v>
      </c>
      <c r="AT13" s="322">
        <f>'P NP JAPUNG IKAN'!Q29</f>
        <v>0</v>
      </c>
      <c r="AU13" s="322">
        <f>'P NP JAPUNG IKAN'!R29</f>
        <v>0</v>
      </c>
      <c r="AV13" s="322">
        <f>'P NP JAPUNG IKAN'!Q30</f>
        <v>0</v>
      </c>
      <c r="AW13" s="322">
        <f>'P NP JAPUNG IKAN'!R30</f>
        <v>0</v>
      </c>
      <c r="AX13" s="322">
        <f>'P NP JAPUNG IKAN'!Q31</f>
        <v>0</v>
      </c>
      <c r="AY13" s="322">
        <f>'P NP JAPUNG IKAN'!R31</f>
        <v>0</v>
      </c>
      <c r="AZ13" s="322">
        <f>'P NP JAPUNG IKAN'!Q32</f>
        <v>0</v>
      </c>
      <c r="BA13" s="322">
        <f>'P NP JAPUNG IKAN'!R32</f>
        <v>0</v>
      </c>
      <c r="BB13" s="322">
        <f>'P NP JAPUNG IKAN'!Q33</f>
        <v>0</v>
      </c>
      <c r="BC13" s="322">
        <f>'P NP JAPUNG IKAN'!R33</f>
        <v>0</v>
      </c>
      <c r="BD13" s="322">
        <f>'P NP JAPUNG IKAN'!Q34</f>
        <v>0</v>
      </c>
      <c r="BE13" s="322">
        <f>'P NP JAPUNG IKAN'!R34</f>
        <v>0</v>
      </c>
      <c r="BF13" s="322">
        <f>'P NP JAPUNG IKAN'!Q35</f>
        <v>0</v>
      </c>
      <c r="BG13" s="322">
        <f>'P NP JAPUNG IKAN'!R35</f>
        <v>0</v>
      </c>
      <c r="BH13" s="322">
        <f>'P NP JAPUNG IKAN'!Q36</f>
        <v>0</v>
      </c>
      <c r="BI13" s="322">
        <f>'P NP JAPUNG IKAN'!R36</f>
        <v>0</v>
      </c>
      <c r="BJ13" s="322">
        <f>'P NP JAPUNG IKAN'!Q37</f>
        <v>0</v>
      </c>
      <c r="BK13" s="322">
        <f>'P NP JAPUNG IKAN'!R37</f>
        <v>0</v>
      </c>
      <c r="BL13" s="322">
        <f>'P NP JAPUNG IKAN'!Q38</f>
        <v>0</v>
      </c>
      <c r="BM13" s="322">
        <f>'P NP JAPUNG IKAN'!R38</f>
        <v>0</v>
      </c>
      <c r="BN13" s="322">
        <f>'P NP JAPUNG IKAN'!Q39</f>
        <v>0</v>
      </c>
      <c r="BO13" s="322">
        <f>'P NP JAPUNG IKAN'!R39</f>
        <v>0</v>
      </c>
      <c r="BP13" s="322">
        <f>'P NP JAPUNG IKAN'!Q40</f>
        <v>0</v>
      </c>
      <c r="BQ13" s="322">
        <f>'P NP JAPUNG IKAN'!R40</f>
        <v>0</v>
      </c>
      <c r="BR13" s="322">
        <f>'P NP JAPUNG IKAN'!Q41</f>
        <v>0</v>
      </c>
      <c r="BS13" s="322">
        <f>'P NP JAPUNG IKAN'!R41</f>
        <v>0</v>
      </c>
      <c r="BT13" s="322">
        <f>'P NP JAPUNG IKAN'!Q42</f>
        <v>0</v>
      </c>
      <c r="BU13" s="322">
        <f>'P NP JAPUNG IKAN'!R42</f>
        <v>0</v>
      </c>
      <c r="BV13" s="322">
        <f>'P NP JAPUNG IKAN'!Q43</f>
        <v>0</v>
      </c>
      <c r="BW13" s="322">
        <f>'P NP JAPUNG IKAN'!R43</f>
        <v>0</v>
      </c>
      <c r="BX13" s="322">
        <f>'P NP JAPUNG IKAN'!Q44</f>
        <v>0</v>
      </c>
      <c r="BY13" s="322">
        <f>'P NP JAPUNG IKAN'!R44</f>
        <v>0</v>
      </c>
    </row>
    <row r="14" spans="1:78">
      <c r="A14" s="260" t="s">
        <v>117</v>
      </c>
      <c r="B14" s="320">
        <f t="shared" si="2"/>
        <v>0</v>
      </c>
      <c r="C14" s="320">
        <f t="shared" si="3"/>
        <v>0</v>
      </c>
      <c r="D14" s="322">
        <f>'P NP JAPUNG IKAN'!S8</f>
        <v>0</v>
      </c>
      <c r="E14" s="322">
        <f>'P NP JAPUNG IKAN'!T8</f>
        <v>0</v>
      </c>
      <c r="F14" s="322">
        <f>'P NP JAPUNG IKAN'!S9</f>
        <v>0</v>
      </c>
      <c r="G14" s="322">
        <f>'P NP JAPUNG IKAN'!T9</f>
        <v>0</v>
      </c>
      <c r="H14" s="322">
        <f>'P NP JAPUNG IKAN'!S10</f>
        <v>0</v>
      </c>
      <c r="I14" s="322">
        <f>'P NP JAPUNG IKAN'!T10</f>
        <v>0</v>
      </c>
      <c r="J14" s="322">
        <f>'P NP JAPUNG IKAN'!S11</f>
        <v>0</v>
      </c>
      <c r="K14" s="322">
        <f>'P NP JAPUNG IKAN'!T11</f>
        <v>0</v>
      </c>
      <c r="L14" s="322">
        <f>'P NP JAPUNG IKAN'!S12</f>
        <v>0</v>
      </c>
      <c r="M14" s="322">
        <f>'P NP JAPUNG IKAN'!T12</f>
        <v>0</v>
      </c>
      <c r="N14" s="322">
        <f>'P NP JAPUNG IKAN'!S13</f>
        <v>0</v>
      </c>
      <c r="O14" s="322">
        <f>'P NP JAPUNG IKAN'!T13</f>
        <v>0</v>
      </c>
      <c r="P14" s="322">
        <f>'P NP JAPUNG IKAN'!S14</f>
        <v>0</v>
      </c>
      <c r="Q14" s="322">
        <f>'P NP JAPUNG IKAN'!T14</f>
        <v>0</v>
      </c>
      <c r="R14" s="322">
        <f>'P NP JAPUNG IKAN'!S15</f>
        <v>0</v>
      </c>
      <c r="S14" s="322">
        <f>'P NP JAPUNG IKAN'!T15</f>
        <v>0</v>
      </c>
      <c r="T14" s="322">
        <f>'P NP JAPUNG IKAN'!S16</f>
        <v>0</v>
      </c>
      <c r="U14" s="322">
        <f>'P NP JAPUNG IKAN'!T16</f>
        <v>0</v>
      </c>
      <c r="V14" s="322">
        <f>'P NP JAPUNG IKAN'!S17</f>
        <v>0</v>
      </c>
      <c r="W14" s="322">
        <f>'P NP JAPUNG IKAN'!T17</f>
        <v>0</v>
      </c>
      <c r="X14" s="322">
        <f>'P NP JAPUNG IKAN'!S18</f>
        <v>0</v>
      </c>
      <c r="Y14" s="322">
        <f>'P NP JAPUNG IKAN'!T18</f>
        <v>0</v>
      </c>
      <c r="Z14" s="322">
        <f>'P NP JAPUNG IKAN'!S19</f>
        <v>0</v>
      </c>
      <c r="AA14" s="322">
        <f>'P NP JAPUNG IKAN'!T19</f>
        <v>0</v>
      </c>
      <c r="AB14" s="322">
        <f>'P NP JAPUNG IKAN'!S20</f>
        <v>0</v>
      </c>
      <c r="AC14" s="322">
        <f>'P NP JAPUNG IKAN'!T20</f>
        <v>0</v>
      </c>
      <c r="AD14" s="322">
        <f>'P NP JAPUNG IKAN'!S21</f>
        <v>0</v>
      </c>
      <c r="AE14" s="322">
        <f>'P NP JAPUNG IKAN'!T21</f>
        <v>0</v>
      </c>
      <c r="AF14" s="322">
        <f>'P NP JAPUNG IKAN'!S22</f>
        <v>0</v>
      </c>
      <c r="AG14" s="322">
        <f>'P NP JAPUNG IKAN'!T22</f>
        <v>0</v>
      </c>
      <c r="AH14" s="322">
        <f>'P NP JAPUNG IKAN'!S23</f>
        <v>0</v>
      </c>
      <c r="AI14" s="322">
        <f>'P NP JAPUNG IKAN'!T23</f>
        <v>0</v>
      </c>
      <c r="AJ14" s="322">
        <f>'P NP JAPUNG IKAN'!S24</f>
        <v>0</v>
      </c>
      <c r="AK14" s="322">
        <f>'P NP JAPUNG IKAN'!T24</f>
        <v>0</v>
      </c>
      <c r="AL14" s="322">
        <f>'P NP JAPUNG IKAN'!S25</f>
        <v>0</v>
      </c>
      <c r="AM14" s="322">
        <f>'P NP JAPUNG IKAN'!T25</f>
        <v>0</v>
      </c>
      <c r="AN14" s="322">
        <f>'P NP JAPUNG IKAN'!S26</f>
        <v>0</v>
      </c>
      <c r="AO14" s="322">
        <f>'P NP JAPUNG IKAN'!T26</f>
        <v>0</v>
      </c>
      <c r="AP14" s="322">
        <f>'P NP JAPUNG IKAN'!S27</f>
        <v>0</v>
      </c>
      <c r="AQ14" s="322">
        <f>'P NP JAPUNG IKAN'!T27</f>
        <v>0</v>
      </c>
      <c r="AR14" s="322">
        <f>'P NP JAPUNG IKAN'!S28</f>
        <v>0</v>
      </c>
      <c r="AS14" s="322">
        <f>'P NP JAPUNG IKAN'!T28</f>
        <v>0</v>
      </c>
      <c r="AT14" s="322">
        <f>'P NP JAPUNG IKAN'!S29</f>
        <v>0</v>
      </c>
      <c r="AU14" s="322">
        <f>'P NP JAPUNG IKAN'!T29</f>
        <v>0</v>
      </c>
      <c r="AV14" s="322">
        <f>'P NP JAPUNG IKAN'!S30</f>
        <v>0</v>
      </c>
      <c r="AW14" s="322">
        <f>'P NP JAPUNG IKAN'!T30</f>
        <v>0</v>
      </c>
      <c r="AX14" s="322">
        <f>'P NP JAPUNG IKAN'!S31</f>
        <v>0</v>
      </c>
      <c r="AY14" s="322">
        <f>'P NP JAPUNG IKAN'!T31</f>
        <v>0</v>
      </c>
      <c r="AZ14" s="322">
        <f>'P NP JAPUNG IKAN'!S32</f>
        <v>0</v>
      </c>
      <c r="BA14" s="322">
        <f>'P NP JAPUNG IKAN'!T32</f>
        <v>0</v>
      </c>
      <c r="BB14" s="322">
        <f>'P NP JAPUNG IKAN'!S33</f>
        <v>0</v>
      </c>
      <c r="BC14" s="322">
        <f>'P NP JAPUNG IKAN'!T33</f>
        <v>0</v>
      </c>
      <c r="BD14" s="322">
        <f>'P NP JAPUNG IKAN'!S34</f>
        <v>0</v>
      </c>
      <c r="BE14" s="322">
        <f>'P NP JAPUNG IKAN'!T34</f>
        <v>0</v>
      </c>
      <c r="BF14" s="322">
        <f>'P NP JAPUNG IKAN'!S35</f>
        <v>0</v>
      </c>
      <c r="BG14" s="322">
        <f>'P NP JAPUNG IKAN'!T35</f>
        <v>0</v>
      </c>
      <c r="BH14" s="322">
        <f>'P NP JAPUNG IKAN'!S36</f>
        <v>0</v>
      </c>
      <c r="BI14" s="322">
        <f>'P NP JAPUNG IKAN'!T36</f>
        <v>0</v>
      </c>
      <c r="BJ14" s="322">
        <f>'P NP JAPUNG IKAN'!S37</f>
        <v>0</v>
      </c>
      <c r="BK14" s="322">
        <f>'P NP JAPUNG IKAN'!T37</f>
        <v>0</v>
      </c>
      <c r="BL14" s="322">
        <f>'P NP JAPUNG IKAN'!S38</f>
        <v>0</v>
      </c>
      <c r="BM14" s="322">
        <f>'P NP JAPUNG IKAN'!T38</f>
        <v>0</v>
      </c>
      <c r="BN14" s="322">
        <f>'P NP JAPUNG IKAN'!S39</f>
        <v>0</v>
      </c>
      <c r="BO14" s="322">
        <f>'P NP JAPUNG IKAN'!T39</f>
        <v>0</v>
      </c>
      <c r="BP14" s="322">
        <f>'P NP JAPUNG IKAN'!S40</f>
        <v>0</v>
      </c>
      <c r="BQ14" s="322">
        <f>'P NP JAPUNG IKAN'!T40</f>
        <v>0</v>
      </c>
      <c r="BR14" s="322">
        <f>'P NP JAPUNG IKAN'!S41</f>
        <v>0</v>
      </c>
      <c r="BS14" s="322">
        <f>'P NP JAPUNG IKAN'!T41</f>
        <v>0</v>
      </c>
      <c r="BT14" s="322">
        <f>'P NP JAPUNG IKAN'!S42</f>
        <v>0</v>
      </c>
      <c r="BU14" s="322">
        <f>'P NP JAPUNG IKAN'!T42</f>
        <v>0</v>
      </c>
      <c r="BV14" s="322">
        <f>'P NP JAPUNG IKAN'!S43</f>
        <v>0</v>
      </c>
      <c r="BW14" s="322">
        <f>'P NP JAPUNG IKAN'!T43</f>
        <v>0</v>
      </c>
      <c r="BX14" s="322">
        <f>'P NP JAPUNG IKAN'!S44</f>
        <v>0</v>
      </c>
      <c r="BY14" s="322">
        <f>'P NP JAPUNG IKAN'!T44</f>
        <v>0</v>
      </c>
    </row>
    <row r="15" spans="1:78">
      <c r="A15" s="260" t="s">
        <v>135</v>
      </c>
      <c r="B15" s="320">
        <f t="shared" si="2"/>
        <v>5216</v>
      </c>
      <c r="C15" s="320">
        <f t="shared" si="3"/>
        <v>96712</v>
      </c>
      <c r="D15" s="322">
        <f>'P NP JAPUNG IKAN'!U8</f>
        <v>0</v>
      </c>
      <c r="E15" s="322">
        <f>'P NP JAPUNG IKAN'!V8</f>
        <v>0</v>
      </c>
      <c r="F15" s="322">
        <f>'P NP JAPUNG IKAN'!U9</f>
        <v>0</v>
      </c>
      <c r="G15" s="322">
        <f>'P NP JAPUNG IKAN'!V9</f>
        <v>0</v>
      </c>
      <c r="H15" s="322">
        <f>'P NP JAPUNG IKAN'!U10</f>
        <v>0</v>
      </c>
      <c r="I15" s="322">
        <f>'P NP JAPUNG IKAN'!V10</f>
        <v>0</v>
      </c>
      <c r="J15" s="322">
        <f>'P NP JAPUNG IKAN'!U11</f>
        <v>0</v>
      </c>
      <c r="K15" s="322">
        <f>'P NP JAPUNG IKAN'!V11</f>
        <v>0</v>
      </c>
      <c r="L15" s="322">
        <f>'P NP JAPUNG IKAN'!U12</f>
        <v>0</v>
      </c>
      <c r="M15" s="322">
        <f>'P NP JAPUNG IKAN'!V12</f>
        <v>0</v>
      </c>
      <c r="N15" s="322">
        <f>'P NP JAPUNG IKAN'!U13</f>
        <v>0</v>
      </c>
      <c r="O15" s="322">
        <f>'P NP JAPUNG IKAN'!V13</f>
        <v>0</v>
      </c>
      <c r="P15" s="322">
        <f>'P NP JAPUNG IKAN'!U14</f>
        <v>0</v>
      </c>
      <c r="Q15" s="322">
        <f>'P NP JAPUNG IKAN'!V14</f>
        <v>0</v>
      </c>
      <c r="R15" s="322">
        <f>'P NP JAPUNG IKAN'!U15</f>
        <v>0</v>
      </c>
      <c r="S15" s="322">
        <f>'P NP JAPUNG IKAN'!V15</f>
        <v>0</v>
      </c>
      <c r="T15" s="322">
        <f>'P NP JAPUNG IKAN'!U16</f>
        <v>0</v>
      </c>
      <c r="U15" s="322">
        <f>'P NP JAPUNG IKAN'!V16</f>
        <v>0</v>
      </c>
      <c r="V15" s="322">
        <f>'P NP JAPUNG IKAN'!U17</f>
        <v>0</v>
      </c>
      <c r="W15" s="322">
        <f>'P NP JAPUNG IKAN'!V17</f>
        <v>0</v>
      </c>
      <c r="X15" s="322">
        <f>'P NP JAPUNG IKAN'!U18</f>
        <v>0</v>
      </c>
      <c r="Y15" s="322">
        <f>'P NP JAPUNG IKAN'!V18</f>
        <v>0</v>
      </c>
      <c r="Z15" s="322">
        <f>'P NP JAPUNG IKAN'!U19</f>
        <v>0</v>
      </c>
      <c r="AA15" s="322">
        <f>'P NP JAPUNG IKAN'!V19</f>
        <v>0</v>
      </c>
      <c r="AB15" s="322">
        <f>'P NP JAPUNG IKAN'!U20</f>
        <v>0</v>
      </c>
      <c r="AC15" s="322">
        <f>'P NP JAPUNG IKAN'!V20</f>
        <v>0</v>
      </c>
      <c r="AD15" s="322">
        <f>'P NP JAPUNG IKAN'!U21</f>
        <v>0</v>
      </c>
      <c r="AE15" s="322">
        <f>'P NP JAPUNG IKAN'!V21</f>
        <v>0</v>
      </c>
      <c r="AF15" s="322">
        <f>'P NP JAPUNG IKAN'!U22</f>
        <v>0</v>
      </c>
      <c r="AG15" s="322">
        <f>'P NP JAPUNG IKAN'!V22</f>
        <v>0</v>
      </c>
      <c r="AH15" s="322">
        <f>'P NP JAPUNG IKAN'!U23</f>
        <v>0</v>
      </c>
      <c r="AI15" s="322">
        <f>'P NP JAPUNG IKAN'!V23</f>
        <v>0</v>
      </c>
      <c r="AJ15" s="322">
        <f>'P NP JAPUNG IKAN'!U24</f>
        <v>0</v>
      </c>
      <c r="AK15" s="322">
        <f>'P NP JAPUNG IKAN'!V24</f>
        <v>0</v>
      </c>
      <c r="AL15" s="322">
        <f>'P NP JAPUNG IKAN'!U25</f>
        <v>0</v>
      </c>
      <c r="AM15" s="322">
        <f>'P NP JAPUNG IKAN'!V25</f>
        <v>0</v>
      </c>
      <c r="AN15" s="322">
        <f>'P NP JAPUNG IKAN'!U26</f>
        <v>5216</v>
      </c>
      <c r="AO15" s="322">
        <f>'P NP JAPUNG IKAN'!V26</f>
        <v>96712</v>
      </c>
      <c r="AP15" s="322">
        <f>'P NP JAPUNG IKAN'!U27</f>
        <v>0</v>
      </c>
      <c r="AQ15" s="322">
        <f>'P NP JAPUNG IKAN'!V27</f>
        <v>0</v>
      </c>
      <c r="AR15" s="322">
        <f>'P NP JAPUNG IKAN'!U28</f>
        <v>0</v>
      </c>
      <c r="AS15" s="322">
        <f>'P NP JAPUNG IKAN'!V28</f>
        <v>0</v>
      </c>
      <c r="AT15" s="322">
        <f>'P NP JAPUNG IKAN'!U29</f>
        <v>0</v>
      </c>
      <c r="AU15" s="322">
        <f>'P NP JAPUNG IKAN'!V29</f>
        <v>0</v>
      </c>
      <c r="AV15" s="322">
        <f>'P NP JAPUNG IKAN'!U30</f>
        <v>0</v>
      </c>
      <c r="AW15" s="322">
        <f>'P NP JAPUNG IKAN'!V30</f>
        <v>0</v>
      </c>
      <c r="AX15" s="322">
        <f>'P NP JAPUNG IKAN'!U31</f>
        <v>0</v>
      </c>
      <c r="AY15" s="322">
        <f>'P NP JAPUNG IKAN'!V31</f>
        <v>0</v>
      </c>
      <c r="AZ15" s="322">
        <f>'P NP JAPUNG IKAN'!U32</f>
        <v>0</v>
      </c>
      <c r="BA15" s="322">
        <f>'P NP JAPUNG IKAN'!V32</f>
        <v>0</v>
      </c>
      <c r="BB15" s="322">
        <f>'P NP JAPUNG IKAN'!U33</f>
        <v>0</v>
      </c>
      <c r="BC15" s="322">
        <f>'P NP JAPUNG IKAN'!V33</f>
        <v>0</v>
      </c>
      <c r="BD15" s="322">
        <f>'P NP JAPUNG IKAN'!U34</f>
        <v>0</v>
      </c>
      <c r="BE15" s="322">
        <f>'P NP JAPUNG IKAN'!V34</f>
        <v>0</v>
      </c>
      <c r="BF15" s="322">
        <f>'P NP JAPUNG IKAN'!U35</f>
        <v>0</v>
      </c>
      <c r="BG15" s="322">
        <f>'P NP JAPUNG IKAN'!V35</f>
        <v>0</v>
      </c>
      <c r="BH15" s="322">
        <f>'P NP JAPUNG IKAN'!U36</f>
        <v>0</v>
      </c>
      <c r="BI15" s="322">
        <f>'P NP JAPUNG IKAN'!V36</f>
        <v>0</v>
      </c>
      <c r="BJ15" s="322">
        <f>'P NP JAPUNG IKAN'!U37</f>
        <v>0</v>
      </c>
      <c r="BK15" s="322">
        <f>'P NP JAPUNG IKAN'!V37</f>
        <v>0</v>
      </c>
      <c r="BL15" s="322">
        <f>'P NP JAPUNG IKAN'!U38</f>
        <v>0</v>
      </c>
      <c r="BM15" s="322">
        <f>'P NP JAPUNG IKAN'!V38</f>
        <v>0</v>
      </c>
      <c r="BN15" s="322">
        <f>'P NP JAPUNG IKAN'!U39</f>
        <v>0</v>
      </c>
      <c r="BO15" s="322">
        <f>'P NP JAPUNG IKAN'!V39</f>
        <v>0</v>
      </c>
      <c r="BP15" s="322">
        <f>'P NP JAPUNG IKAN'!U40</f>
        <v>0</v>
      </c>
      <c r="BQ15" s="322">
        <f>'P NP JAPUNG IKAN'!V40</f>
        <v>0</v>
      </c>
      <c r="BR15" s="322">
        <f>'P NP JAPUNG IKAN'!U41</f>
        <v>0</v>
      </c>
      <c r="BS15" s="322">
        <f>'P NP JAPUNG IKAN'!V41</f>
        <v>0</v>
      </c>
      <c r="BT15" s="322">
        <f>'P NP JAPUNG IKAN'!U42</f>
        <v>0</v>
      </c>
      <c r="BU15" s="322">
        <f>'P NP JAPUNG IKAN'!V42</f>
        <v>0</v>
      </c>
      <c r="BV15" s="322">
        <f>'P NP JAPUNG IKAN'!U43</f>
        <v>0</v>
      </c>
      <c r="BW15" s="322">
        <f>'P NP JAPUNG IKAN'!V43</f>
        <v>0</v>
      </c>
      <c r="BX15" s="322">
        <f>'P NP JAPUNG IKAN'!U44</f>
        <v>0</v>
      </c>
      <c r="BY15" s="322">
        <f>'P NP JAPUNG IKAN'!V44</f>
        <v>0</v>
      </c>
    </row>
    <row r="16" spans="1:78">
      <c r="A16" s="260" t="s">
        <v>119</v>
      </c>
      <c r="B16" s="320">
        <f t="shared" si="2"/>
        <v>885096</v>
      </c>
      <c r="C16" s="320">
        <f t="shared" si="3"/>
        <v>25850858</v>
      </c>
      <c r="D16" s="322">
        <f>'P NP JAPUNG IKAN'!W8</f>
        <v>0</v>
      </c>
      <c r="E16" s="322">
        <f>'P NP JAPUNG IKAN'!X8</f>
        <v>0</v>
      </c>
      <c r="F16" s="322">
        <f>'P NP JAPUNG IKAN'!W9</f>
        <v>0</v>
      </c>
      <c r="G16" s="322">
        <f>'P NP JAPUNG IKAN'!X9</f>
        <v>0</v>
      </c>
      <c r="H16" s="322">
        <f>'P NP JAPUNG IKAN'!W10</f>
        <v>0</v>
      </c>
      <c r="I16" s="322">
        <f>'P NP JAPUNG IKAN'!X10</f>
        <v>0</v>
      </c>
      <c r="J16" s="322">
        <f>'P NP JAPUNG IKAN'!W11</f>
        <v>0</v>
      </c>
      <c r="K16" s="322">
        <f>'P NP JAPUNG IKAN'!X11</f>
        <v>0</v>
      </c>
      <c r="L16" s="322">
        <f>'P NP JAPUNG IKAN'!W12</f>
        <v>0</v>
      </c>
      <c r="M16" s="322">
        <f>'P NP JAPUNG IKAN'!X12</f>
        <v>0</v>
      </c>
      <c r="N16" s="322">
        <f>'P NP JAPUNG IKAN'!W13</f>
        <v>0</v>
      </c>
      <c r="O16" s="322">
        <f>'P NP JAPUNG IKAN'!X13</f>
        <v>0</v>
      </c>
      <c r="P16" s="322">
        <f>'P NP JAPUNG IKAN'!W14</f>
        <v>0</v>
      </c>
      <c r="Q16" s="322">
        <f>'P NP JAPUNG IKAN'!X14</f>
        <v>0</v>
      </c>
      <c r="R16" s="322">
        <f>'P NP JAPUNG IKAN'!W15</f>
        <v>0</v>
      </c>
      <c r="S16" s="322">
        <f>'P NP JAPUNG IKAN'!X15</f>
        <v>0</v>
      </c>
      <c r="T16" s="322">
        <f>'P NP JAPUNG IKAN'!W16</f>
        <v>0</v>
      </c>
      <c r="U16" s="322">
        <f>'P NP JAPUNG IKAN'!X16</f>
        <v>0</v>
      </c>
      <c r="V16" s="322">
        <f>'P NP JAPUNG IKAN'!W17</f>
        <v>0</v>
      </c>
      <c r="W16" s="322">
        <f>'P NP JAPUNG IKAN'!X17</f>
        <v>0</v>
      </c>
      <c r="X16" s="322">
        <f>'P NP JAPUNG IKAN'!W18</f>
        <v>0</v>
      </c>
      <c r="Y16" s="322">
        <f>'P NP JAPUNG IKAN'!X18</f>
        <v>0</v>
      </c>
      <c r="Z16" s="322">
        <f>'P NP JAPUNG IKAN'!W19</f>
        <v>0</v>
      </c>
      <c r="AA16" s="322">
        <f>'P NP JAPUNG IKAN'!X19</f>
        <v>0</v>
      </c>
      <c r="AB16" s="322">
        <f>'P NP JAPUNG IKAN'!W20</f>
        <v>0</v>
      </c>
      <c r="AC16" s="322">
        <f>'P NP JAPUNG IKAN'!X20</f>
        <v>0</v>
      </c>
      <c r="AD16" s="322">
        <f>'P NP JAPUNG IKAN'!W21</f>
        <v>0</v>
      </c>
      <c r="AE16" s="322">
        <f>'P NP JAPUNG IKAN'!X21</f>
        <v>0</v>
      </c>
      <c r="AF16" s="322">
        <f>'P NP JAPUNG IKAN'!W22</f>
        <v>0</v>
      </c>
      <c r="AG16" s="322">
        <f>'P NP JAPUNG IKAN'!X22</f>
        <v>0</v>
      </c>
      <c r="AH16" s="322">
        <f>'P NP JAPUNG IKAN'!W23</f>
        <v>0</v>
      </c>
      <c r="AI16" s="322">
        <f>'P NP JAPUNG IKAN'!X23</f>
        <v>0</v>
      </c>
      <c r="AJ16" s="322">
        <f>'P NP JAPUNG IKAN'!W24</f>
        <v>0</v>
      </c>
      <c r="AK16" s="322">
        <f>'P NP JAPUNG IKAN'!X24</f>
        <v>0</v>
      </c>
      <c r="AL16" s="322">
        <f>'P NP JAPUNG IKAN'!W25</f>
        <v>0</v>
      </c>
      <c r="AM16" s="322">
        <f>'P NP JAPUNG IKAN'!X25</f>
        <v>0</v>
      </c>
      <c r="AN16" s="322">
        <f>'P NP JAPUNG IKAN'!W26</f>
        <v>885096</v>
      </c>
      <c r="AO16" s="322">
        <f>'P NP JAPUNG IKAN'!X26</f>
        <v>25850858</v>
      </c>
      <c r="AP16" s="322">
        <f>'P NP JAPUNG IKAN'!W27</f>
        <v>0</v>
      </c>
      <c r="AQ16" s="322">
        <f>'P NP JAPUNG IKAN'!X27</f>
        <v>0</v>
      </c>
      <c r="AR16" s="322">
        <f>'P NP JAPUNG IKAN'!W28</f>
        <v>0</v>
      </c>
      <c r="AS16" s="322">
        <f>'P NP JAPUNG IKAN'!X28</f>
        <v>0</v>
      </c>
      <c r="AT16" s="322">
        <f>'P NP JAPUNG IKAN'!W29</f>
        <v>0</v>
      </c>
      <c r="AU16" s="322">
        <f>'P NP JAPUNG IKAN'!X29</f>
        <v>0</v>
      </c>
      <c r="AV16" s="322">
        <f>'P NP JAPUNG IKAN'!W30</f>
        <v>0</v>
      </c>
      <c r="AW16" s="322">
        <f>'P NP JAPUNG IKAN'!X30</f>
        <v>0</v>
      </c>
      <c r="AX16" s="322">
        <f>'P NP JAPUNG IKAN'!W31</f>
        <v>0</v>
      </c>
      <c r="AY16" s="322">
        <f>'P NP JAPUNG IKAN'!X31</f>
        <v>0</v>
      </c>
      <c r="AZ16" s="322">
        <f>'P NP JAPUNG IKAN'!W32</f>
        <v>0</v>
      </c>
      <c r="BA16" s="322">
        <f>'P NP JAPUNG IKAN'!X32</f>
        <v>0</v>
      </c>
      <c r="BB16" s="322">
        <f>'P NP JAPUNG IKAN'!W33</f>
        <v>0</v>
      </c>
      <c r="BC16" s="322">
        <f>'P NP JAPUNG IKAN'!X33</f>
        <v>0</v>
      </c>
      <c r="BD16" s="322">
        <f>'P NP JAPUNG IKAN'!W34</f>
        <v>0</v>
      </c>
      <c r="BE16" s="322">
        <f>'P NP JAPUNG IKAN'!X34</f>
        <v>0</v>
      </c>
      <c r="BF16" s="322">
        <f>'P NP JAPUNG IKAN'!W35</f>
        <v>0</v>
      </c>
      <c r="BG16" s="322">
        <f>'P NP JAPUNG IKAN'!X35</f>
        <v>0</v>
      </c>
      <c r="BH16" s="322">
        <f>'P NP JAPUNG IKAN'!W36</f>
        <v>0</v>
      </c>
      <c r="BI16" s="322">
        <f>'P NP JAPUNG IKAN'!X36</f>
        <v>0</v>
      </c>
      <c r="BJ16" s="322">
        <f>'P NP JAPUNG IKAN'!W37</f>
        <v>0</v>
      </c>
      <c r="BK16" s="322">
        <f>'P NP JAPUNG IKAN'!X37</f>
        <v>0</v>
      </c>
      <c r="BL16" s="322">
        <f>'P NP JAPUNG IKAN'!W38</f>
        <v>0</v>
      </c>
      <c r="BM16" s="322">
        <f>'P NP JAPUNG IKAN'!X38</f>
        <v>0</v>
      </c>
      <c r="BN16" s="322">
        <f>'P NP JAPUNG IKAN'!W39</f>
        <v>0</v>
      </c>
      <c r="BO16" s="322">
        <f>'P NP JAPUNG IKAN'!X39</f>
        <v>0</v>
      </c>
      <c r="BP16" s="322">
        <f>'P NP JAPUNG IKAN'!W40</f>
        <v>0</v>
      </c>
      <c r="BQ16" s="322">
        <f>'P NP JAPUNG IKAN'!X40</f>
        <v>0</v>
      </c>
      <c r="BR16" s="322">
        <f>'P NP JAPUNG IKAN'!W41</f>
        <v>0</v>
      </c>
      <c r="BS16" s="322">
        <f>'P NP JAPUNG IKAN'!X41</f>
        <v>0</v>
      </c>
      <c r="BT16" s="322">
        <f>'P NP JAPUNG IKAN'!W42</f>
        <v>0</v>
      </c>
      <c r="BU16" s="322">
        <f>'P NP JAPUNG IKAN'!X42</f>
        <v>0</v>
      </c>
      <c r="BV16" s="322">
        <f>'P NP JAPUNG IKAN'!W43</f>
        <v>0</v>
      </c>
      <c r="BW16" s="322">
        <f>'P NP JAPUNG IKAN'!X43</f>
        <v>0</v>
      </c>
      <c r="BX16" s="322">
        <f>'P NP JAPUNG IKAN'!W44</f>
        <v>0</v>
      </c>
      <c r="BY16" s="322">
        <f>'P NP JAPUNG IKAN'!X44</f>
        <v>0</v>
      </c>
    </row>
    <row r="17" spans="1:77">
      <c r="A17" s="260" t="s">
        <v>130</v>
      </c>
      <c r="B17" s="320">
        <f t="shared" si="2"/>
        <v>0</v>
      </c>
      <c r="C17" s="320">
        <f t="shared" si="3"/>
        <v>0</v>
      </c>
      <c r="D17" s="322">
        <f>'P NP JAPUNG IKAN'!Y8</f>
        <v>0</v>
      </c>
      <c r="E17" s="322">
        <f>'P NP JAPUNG IKAN'!Z8</f>
        <v>0</v>
      </c>
      <c r="F17" s="322">
        <f>'P NP JAPUNG IKAN'!Y9</f>
        <v>0</v>
      </c>
      <c r="G17" s="322">
        <f>'P NP JAPUNG IKAN'!Z9</f>
        <v>0</v>
      </c>
      <c r="H17" s="322">
        <f>'P NP JAPUNG IKAN'!Y10</f>
        <v>0</v>
      </c>
      <c r="I17" s="322">
        <f>'P NP JAPUNG IKAN'!Z10</f>
        <v>0</v>
      </c>
      <c r="J17" s="322">
        <f>'P NP JAPUNG IKAN'!Y11</f>
        <v>0</v>
      </c>
      <c r="K17" s="322">
        <f>'P NP JAPUNG IKAN'!Z11</f>
        <v>0</v>
      </c>
      <c r="L17" s="322">
        <f>'P NP JAPUNG IKAN'!Y12</f>
        <v>0</v>
      </c>
      <c r="M17" s="322">
        <f>'P NP JAPUNG IKAN'!Z12</f>
        <v>0</v>
      </c>
      <c r="N17" s="322">
        <f>'P NP JAPUNG IKAN'!Y13</f>
        <v>0</v>
      </c>
      <c r="O17" s="322">
        <f>'P NP JAPUNG IKAN'!Z13</f>
        <v>0</v>
      </c>
      <c r="P17" s="322">
        <f>'P NP JAPUNG IKAN'!Y14</f>
        <v>0</v>
      </c>
      <c r="Q17" s="322">
        <f>'P NP JAPUNG IKAN'!Z14</f>
        <v>0</v>
      </c>
      <c r="R17" s="322">
        <f>'P NP JAPUNG IKAN'!Y15</f>
        <v>0</v>
      </c>
      <c r="S17" s="322">
        <f>'P NP JAPUNG IKAN'!Z15</f>
        <v>0</v>
      </c>
      <c r="T17" s="322">
        <f>'P NP JAPUNG IKAN'!Y16</f>
        <v>0</v>
      </c>
      <c r="U17" s="322">
        <f>'P NP JAPUNG IKAN'!Z16</f>
        <v>0</v>
      </c>
      <c r="V17" s="322">
        <f>'P NP JAPUNG IKAN'!Y17</f>
        <v>0</v>
      </c>
      <c r="W17" s="322">
        <f>'P NP JAPUNG IKAN'!Z17</f>
        <v>0</v>
      </c>
      <c r="X17" s="322">
        <f>'P NP JAPUNG IKAN'!Y18</f>
        <v>0</v>
      </c>
      <c r="Y17" s="322">
        <f>'P NP JAPUNG IKAN'!Z18</f>
        <v>0</v>
      </c>
      <c r="Z17" s="322">
        <f>'P NP JAPUNG IKAN'!Y19</f>
        <v>0</v>
      </c>
      <c r="AA17" s="322">
        <f>'P NP JAPUNG IKAN'!Z19</f>
        <v>0</v>
      </c>
      <c r="AB17" s="322">
        <f>'P NP JAPUNG IKAN'!Y20</f>
        <v>0</v>
      </c>
      <c r="AC17" s="322">
        <f>'P NP JAPUNG IKAN'!Z20</f>
        <v>0</v>
      </c>
      <c r="AD17" s="322">
        <f>'P NP JAPUNG IKAN'!Y21</f>
        <v>0</v>
      </c>
      <c r="AE17" s="322">
        <f>'P NP JAPUNG IKAN'!Z21</f>
        <v>0</v>
      </c>
      <c r="AF17" s="322">
        <f>'P NP JAPUNG IKAN'!Y22</f>
        <v>0</v>
      </c>
      <c r="AG17" s="322">
        <f>'P NP JAPUNG IKAN'!Z22</f>
        <v>0</v>
      </c>
      <c r="AH17" s="322">
        <f>'P NP JAPUNG IKAN'!Y23</f>
        <v>0</v>
      </c>
      <c r="AI17" s="322">
        <f>'P NP JAPUNG IKAN'!Z23</f>
        <v>0</v>
      </c>
      <c r="AJ17" s="322">
        <f>'P NP JAPUNG IKAN'!Y24</f>
        <v>0</v>
      </c>
      <c r="AK17" s="322">
        <f>'P NP JAPUNG IKAN'!Z24</f>
        <v>0</v>
      </c>
      <c r="AL17" s="322">
        <f>'P NP JAPUNG IKAN'!Y25</f>
        <v>0</v>
      </c>
      <c r="AM17" s="322">
        <f>'P NP JAPUNG IKAN'!Z25</f>
        <v>0</v>
      </c>
      <c r="AN17" s="322">
        <f>'P NP JAPUNG IKAN'!Y26</f>
        <v>0</v>
      </c>
      <c r="AO17" s="322">
        <f>'P NP JAPUNG IKAN'!Z26</f>
        <v>0</v>
      </c>
      <c r="AP17" s="322">
        <f>'P NP JAPUNG IKAN'!Y27</f>
        <v>0</v>
      </c>
      <c r="AQ17" s="322">
        <f>'P NP JAPUNG IKAN'!Z27</f>
        <v>0</v>
      </c>
      <c r="AR17" s="322">
        <f>'P NP JAPUNG IKAN'!Y28</f>
        <v>0</v>
      </c>
      <c r="AS17" s="322">
        <f>'P NP JAPUNG IKAN'!Z28</f>
        <v>0</v>
      </c>
      <c r="AT17" s="322">
        <f>'P NP JAPUNG IKAN'!Y29</f>
        <v>0</v>
      </c>
      <c r="AU17" s="322">
        <f>'P NP JAPUNG IKAN'!Z29</f>
        <v>0</v>
      </c>
      <c r="AV17" s="322">
        <f>'P NP JAPUNG IKAN'!Y30</f>
        <v>0</v>
      </c>
      <c r="AW17" s="322">
        <f>'P NP JAPUNG IKAN'!Z30</f>
        <v>0</v>
      </c>
      <c r="AX17" s="322">
        <f>'P NP JAPUNG IKAN'!Y31</f>
        <v>0</v>
      </c>
      <c r="AY17" s="322">
        <f>'P NP JAPUNG IKAN'!Z31</f>
        <v>0</v>
      </c>
      <c r="AZ17" s="322">
        <f>'P NP JAPUNG IKAN'!Y32</f>
        <v>0</v>
      </c>
      <c r="BA17" s="322">
        <f>'P NP JAPUNG IKAN'!Z32</f>
        <v>0</v>
      </c>
      <c r="BB17" s="322">
        <f>'P NP JAPUNG IKAN'!Y33</f>
        <v>0</v>
      </c>
      <c r="BC17" s="322">
        <f>'P NP JAPUNG IKAN'!Z33</f>
        <v>0</v>
      </c>
      <c r="BD17" s="322">
        <f>'P NP JAPUNG IKAN'!Y34</f>
        <v>0</v>
      </c>
      <c r="BE17" s="322">
        <f>'P NP JAPUNG IKAN'!Z34</f>
        <v>0</v>
      </c>
      <c r="BF17" s="322">
        <f>'P NP JAPUNG IKAN'!Y35</f>
        <v>0</v>
      </c>
      <c r="BG17" s="322">
        <f>'P NP JAPUNG IKAN'!Z35</f>
        <v>0</v>
      </c>
      <c r="BH17" s="322">
        <f>'P NP JAPUNG IKAN'!Y36</f>
        <v>0</v>
      </c>
      <c r="BI17" s="322">
        <f>'P NP JAPUNG IKAN'!Z36</f>
        <v>0</v>
      </c>
      <c r="BJ17" s="322">
        <f>'P NP JAPUNG IKAN'!Y37</f>
        <v>0</v>
      </c>
      <c r="BK17" s="322">
        <f>'P NP JAPUNG IKAN'!Z37</f>
        <v>0</v>
      </c>
      <c r="BL17" s="322">
        <f>'P NP JAPUNG IKAN'!Y38</f>
        <v>0</v>
      </c>
      <c r="BM17" s="322">
        <f>'P NP JAPUNG IKAN'!Z38</f>
        <v>0</v>
      </c>
      <c r="BN17" s="322">
        <f>'P NP JAPUNG IKAN'!Y39</f>
        <v>0</v>
      </c>
      <c r="BO17" s="322">
        <f>'P NP JAPUNG IKAN'!Z39</f>
        <v>0</v>
      </c>
      <c r="BP17" s="322">
        <f>'P NP JAPUNG IKAN'!Y40</f>
        <v>0</v>
      </c>
      <c r="BQ17" s="322">
        <f>'P NP JAPUNG IKAN'!Z40</f>
        <v>0</v>
      </c>
      <c r="BR17" s="322">
        <f>'P NP JAPUNG IKAN'!Y41</f>
        <v>0</v>
      </c>
      <c r="BS17" s="322">
        <f>'P NP JAPUNG IKAN'!Z41</f>
        <v>0</v>
      </c>
      <c r="BT17" s="322">
        <f>'P NP JAPUNG IKAN'!Y42</f>
        <v>0</v>
      </c>
      <c r="BU17" s="322">
        <f>'P NP JAPUNG IKAN'!Z42</f>
        <v>0</v>
      </c>
      <c r="BV17" s="322">
        <f>'P NP JAPUNG IKAN'!Y43</f>
        <v>0</v>
      </c>
      <c r="BW17" s="322">
        <f>'P NP JAPUNG IKAN'!Z43</f>
        <v>0</v>
      </c>
      <c r="BX17" s="322">
        <f>'P NP JAPUNG IKAN'!Y44</f>
        <v>0</v>
      </c>
      <c r="BY17" s="322">
        <f>'P NP JAPUNG IKAN'!Z44</f>
        <v>0</v>
      </c>
    </row>
    <row r="18" spans="1:77">
      <c r="A18" s="260" t="s">
        <v>131</v>
      </c>
      <c r="B18" s="320">
        <f t="shared" si="2"/>
        <v>1730</v>
      </c>
      <c r="C18" s="320">
        <f t="shared" si="3"/>
        <v>47980</v>
      </c>
      <c r="D18" s="322">
        <f>'P NP JAPUNG IKAN'!AA8</f>
        <v>0</v>
      </c>
      <c r="E18" s="322">
        <f>'P NP JAPUNG IKAN'!AB8</f>
        <v>0</v>
      </c>
      <c r="F18" s="322">
        <f>'P NP JAPUNG IKAN'!AA9</f>
        <v>0</v>
      </c>
      <c r="G18" s="322">
        <f>'P NP JAPUNG IKAN'!AB9</f>
        <v>0</v>
      </c>
      <c r="H18" s="322">
        <f>'P NP JAPUNG IKAN'!AA10</f>
        <v>0</v>
      </c>
      <c r="I18" s="322">
        <f>'P NP JAPUNG IKAN'!AB10</f>
        <v>0</v>
      </c>
      <c r="J18" s="322">
        <f>'P NP JAPUNG IKAN'!AA11</f>
        <v>0</v>
      </c>
      <c r="K18" s="322">
        <f>'P NP JAPUNG IKAN'!AB11</f>
        <v>0</v>
      </c>
      <c r="L18" s="322">
        <f>'P NP JAPUNG IKAN'!AA12</f>
        <v>0</v>
      </c>
      <c r="M18" s="322">
        <f>'P NP JAPUNG IKAN'!AB12</f>
        <v>0</v>
      </c>
      <c r="N18" s="322">
        <f>'P NP JAPUNG IKAN'!AA13</f>
        <v>0</v>
      </c>
      <c r="O18" s="322">
        <f>'P NP JAPUNG IKAN'!AB13</f>
        <v>0</v>
      </c>
      <c r="P18" s="322">
        <f>'P NP JAPUNG IKAN'!AA14</f>
        <v>0</v>
      </c>
      <c r="Q18" s="322">
        <f>'P NP JAPUNG IKAN'!AB14</f>
        <v>0</v>
      </c>
      <c r="R18" s="322">
        <f>'P NP JAPUNG IKAN'!AA15</f>
        <v>0</v>
      </c>
      <c r="S18" s="322">
        <f>'P NP JAPUNG IKAN'!AB15</f>
        <v>0</v>
      </c>
      <c r="T18" s="322">
        <f>'P NP JAPUNG IKAN'!AA16</f>
        <v>0</v>
      </c>
      <c r="U18" s="322">
        <f>'P NP JAPUNG IKAN'!AB16</f>
        <v>0</v>
      </c>
      <c r="V18" s="322">
        <f>'P NP JAPUNG IKAN'!AA17</f>
        <v>0</v>
      </c>
      <c r="W18" s="322">
        <f>'P NP JAPUNG IKAN'!AB17</f>
        <v>0</v>
      </c>
      <c r="X18" s="322">
        <f>'P NP JAPUNG IKAN'!AA18</f>
        <v>0</v>
      </c>
      <c r="Y18" s="322">
        <f>'P NP JAPUNG IKAN'!AB18</f>
        <v>0</v>
      </c>
      <c r="Z18" s="322">
        <f>'P NP JAPUNG IKAN'!AA19</f>
        <v>0</v>
      </c>
      <c r="AA18" s="322">
        <f>'P NP JAPUNG IKAN'!AB19</f>
        <v>0</v>
      </c>
      <c r="AB18" s="322">
        <f>'P NP JAPUNG IKAN'!AA20</f>
        <v>0</v>
      </c>
      <c r="AC18" s="322">
        <f>'P NP JAPUNG IKAN'!AB20</f>
        <v>0</v>
      </c>
      <c r="AD18" s="322">
        <f>'P NP JAPUNG IKAN'!AA21</f>
        <v>0</v>
      </c>
      <c r="AE18" s="322">
        <f>'P NP JAPUNG IKAN'!AB21</f>
        <v>0</v>
      </c>
      <c r="AF18" s="322">
        <f>'P NP JAPUNG IKAN'!AA22</f>
        <v>0</v>
      </c>
      <c r="AG18" s="322">
        <f>'P NP JAPUNG IKAN'!AB22</f>
        <v>0</v>
      </c>
      <c r="AH18" s="322">
        <f>'P NP JAPUNG IKAN'!AA23</f>
        <v>0</v>
      </c>
      <c r="AI18" s="322">
        <f>'P NP JAPUNG IKAN'!AB23</f>
        <v>0</v>
      </c>
      <c r="AJ18" s="322">
        <f>'P NP JAPUNG IKAN'!AA24</f>
        <v>530</v>
      </c>
      <c r="AK18" s="322">
        <f>'P NP JAPUNG IKAN'!AB24</f>
        <v>14710</v>
      </c>
      <c r="AL18" s="322">
        <f>'P NP JAPUNG IKAN'!AA25</f>
        <v>0</v>
      </c>
      <c r="AM18" s="322">
        <f>'P NP JAPUNG IKAN'!AB25</f>
        <v>0</v>
      </c>
      <c r="AN18" s="322">
        <f>'P NP JAPUNG IKAN'!AA26</f>
        <v>1200</v>
      </c>
      <c r="AO18" s="322">
        <f>'P NP JAPUNG IKAN'!AB26</f>
        <v>33270</v>
      </c>
      <c r="AP18" s="322">
        <f>'P NP JAPUNG IKAN'!AA27</f>
        <v>0</v>
      </c>
      <c r="AQ18" s="322">
        <f>'P NP JAPUNG IKAN'!AB27</f>
        <v>0</v>
      </c>
      <c r="AR18" s="322">
        <f>'P NP JAPUNG IKAN'!AA28</f>
        <v>0</v>
      </c>
      <c r="AS18" s="322">
        <f>'P NP JAPUNG IKAN'!AB28</f>
        <v>0</v>
      </c>
      <c r="AT18" s="322">
        <f>'P NP JAPUNG IKAN'!AA29</f>
        <v>0</v>
      </c>
      <c r="AU18" s="322">
        <f>'P NP JAPUNG IKAN'!AB29</f>
        <v>0</v>
      </c>
      <c r="AV18" s="322">
        <f>'P NP JAPUNG IKAN'!AA30</f>
        <v>0</v>
      </c>
      <c r="AW18" s="322">
        <f>'P NP JAPUNG IKAN'!AB30</f>
        <v>0</v>
      </c>
      <c r="AX18" s="322">
        <f>'P NP JAPUNG IKAN'!AA31</f>
        <v>0</v>
      </c>
      <c r="AY18" s="322">
        <f>'P NP JAPUNG IKAN'!AB31</f>
        <v>0</v>
      </c>
      <c r="AZ18" s="322">
        <f>'P NP JAPUNG IKAN'!AA32</f>
        <v>0</v>
      </c>
      <c r="BA18" s="322">
        <f>'P NP JAPUNG IKAN'!AB32</f>
        <v>0</v>
      </c>
      <c r="BB18" s="322">
        <f>'P NP JAPUNG IKAN'!AA33</f>
        <v>0</v>
      </c>
      <c r="BC18" s="322">
        <f>'P NP JAPUNG IKAN'!AB33</f>
        <v>0</v>
      </c>
      <c r="BD18" s="322">
        <f>'P NP JAPUNG IKAN'!AA34</f>
        <v>0</v>
      </c>
      <c r="BE18" s="322">
        <f>'P NP JAPUNG IKAN'!AB34</f>
        <v>0</v>
      </c>
      <c r="BF18" s="322">
        <f>'P NP JAPUNG IKAN'!AA35</f>
        <v>0</v>
      </c>
      <c r="BG18" s="322">
        <f>'P NP JAPUNG IKAN'!AB35</f>
        <v>0</v>
      </c>
      <c r="BH18" s="322">
        <f>'P NP JAPUNG IKAN'!AA36</f>
        <v>0</v>
      </c>
      <c r="BI18" s="322">
        <f>'P NP JAPUNG IKAN'!AB36</f>
        <v>0</v>
      </c>
      <c r="BJ18" s="322">
        <f>'P NP JAPUNG IKAN'!AA37</f>
        <v>0</v>
      </c>
      <c r="BK18" s="322">
        <f>'P NP JAPUNG IKAN'!AB37</f>
        <v>0</v>
      </c>
      <c r="BL18" s="322">
        <f>'P NP JAPUNG IKAN'!AA38</f>
        <v>0</v>
      </c>
      <c r="BM18" s="322">
        <f>'P NP JAPUNG IKAN'!AB38</f>
        <v>0</v>
      </c>
      <c r="BN18" s="322">
        <f>'P NP JAPUNG IKAN'!AA39</f>
        <v>0</v>
      </c>
      <c r="BO18" s="322">
        <f>'P NP JAPUNG IKAN'!AB39</f>
        <v>0</v>
      </c>
      <c r="BP18" s="322">
        <f>'P NP JAPUNG IKAN'!AA40</f>
        <v>0</v>
      </c>
      <c r="BQ18" s="322">
        <f>'P NP JAPUNG IKAN'!AB40</f>
        <v>0</v>
      </c>
      <c r="BR18" s="322">
        <f>'P NP JAPUNG IKAN'!AA41</f>
        <v>0</v>
      </c>
      <c r="BS18" s="322">
        <f>'P NP JAPUNG IKAN'!AB41</f>
        <v>0</v>
      </c>
      <c r="BT18" s="322">
        <f>'P NP JAPUNG IKAN'!AA42</f>
        <v>0</v>
      </c>
      <c r="BU18" s="322">
        <f>'P NP JAPUNG IKAN'!AB42</f>
        <v>0</v>
      </c>
      <c r="BV18" s="322">
        <f>'P NP JAPUNG IKAN'!AA43</f>
        <v>0</v>
      </c>
      <c r="BW18" s="322">
        <f>'P NP JAPUNG IKAN'!AB43</f>
        <v>0</v>
      </c>
      <c r="BX18" s="322">
        <f>'P NP JAPUNG IKAN'!AA44</f>
        <v>0</v>
      </c>
      <c r="BY18" s="322">
        <f>'P NP JAPUNG IKAN'!AB44</f>
        <v>0</v>
      </c>
    </row>
    <row r="19" spans="1:77">
      <c r="A19" s="260" t="s">
        <v>118</v>
      </c>
      <c r="B19" s="320">
        <f t="shared" si="2"/>
        <v>4260000</v>
      </c>
      <c r="C19" s="320">
        <f t="shared" si="3"/>
        <v>96700000</v>
      </c>
      <c r="D19" s="322">
        <f>'P NP JAPUNG IKAN'!AC8</f>
        <v>0</v>
      </c>
      <c r="E19" s="322">
        <f>'P NP JAPUNG IKAN'!AD8</f>
        <v>0</v>
      </c>
      <c r="F19" s="322">
        <f>'P NP JAPUNG IKAN'!AC9</f>
        <v>0</v>
      </c>
      <c r="G19" s="322">
        <f>'P NP JAPUNG IKAN'!AD9</f>
        <v>0</v>
      </c>
      <c r="H19" s="322">
        <f>'P NP JAPUNG IKAN'!AC10</f>
        <v>0</v>
      </c>
      <c r="I19" s="322">
        <f>'P NP JAPUNG IKAN'!AD10</f>
        <v>0</v>
      </c>
      <c r="J19" s="322">
        <f>'P NP JAPUNG IKAN'!AC11</f>
        <v>0</v>
      </c>
      <c r="K19" s="322">
        <f>'P NP JAPUNG IKAN'!AD11</f>
        <v>0</v>
      </c>
      <c r="L19" s="322">
        <f>'P NP JAPUNG IKAN'!AC12</f>
        <v>0</v>
      </c>
      <c r="M19" s="322">
        <f>'P NP JAPUNG IKAN'!AD12</f>
        <v>0</v>
      </c>
      <c r="N19" s="322">
        <f>'P NP JAPUNG IKAN'!AC13</f>
        <v>0</v>
      </c>
      <c r="O19" s="322">
        <f>'P NP JAPUNG IKAN'!AD13</f>
        <v>0</v>
      </c>
      <c r="P19" s="322">
        <f>'P NP JAPUNG IKAN'!AC14</f>
        <v>0</v>
      </c>
      <c r="Q19" s="322">
        <f>'P NP JAPUNG IKAN'!AD14</f>
        <v>0</v>
      </c>
      <c r="R19" s="322">
        <f>'P NP JAPUNG IKAN'!AC15</f>
        <v>0</v>
      </c>
      <c r="S19" s="322">
        <f>'P NP JAPUNG IKAN'!AD15</f>
        <v>0</v>
      </c>
      <c r="T19" s="322">
        <f>'P NP JAPUNG IKAN'!AC16</f>
        <v>0</v>
      </c>
      <c r="U19" s="322">
        <f>'P NP JAPUNG IKAN'!AD16</f>
        <v>0</v>
      </c>
      <c r="V19" s="322">
        <f>'P NP JAPUNG IKAN'!AC17</f>
        <v>0</v>
      </c>
      <c r="W19" s="322">
        <f>'P NP JAPUNG IKAN'!AD17</f>
        <v>0</v>
      </c>
      <c r="X19" s="322">
        <f>'P NP JAPUNG IKAN'!AC18</f>
        <v>0</v>
      </c>
      <c r="Y19" s="322">
        <f>'P NP JAPUNG IKAN'!AD18</f>
        <v>0</v>
      </c>
      <c r="Z19" s="322">
        <f>'P NP JAPUNG IKAN'!AC19</f>
        <v>0</v>
      </c>
      <c r="AA19" s="322">
        <f>'P NP JAPUNG IKAN'!AD19</f>
        <v>0</v>
      </c>
      <c r="AB19" s="322">
        <f>'P NP JAPUNG IKAN'!AC20</f>
        <v>0</v>
      </c>
      <c r="AC19" s="322">
        <f>'P NP JAPUNG IKAN'!AD20</f>
        <v>0</v>
      </c>
      <c r="AD19" s="322">
        <f>'P NP JAPUNG IKAN'!AC21</f>
        <v>0</v>
      </c>
      <c r="AE19" s="322">
        <f>'P NP JAPUNG IKAN'!AD21</f>
        <v>0</v>
      </c>
      <c r="AF19" s="322">
        <f>'P NP JAPUNG IKAN'!AC22</f>
        <v>0</v>
      </c>
      <c r="AG19" s="322">
        <f>'P NP JAPUNG IKAN'!AD22</f>
        <v>0</v>
      </c>
      <c r="AH19" s="322">
        <f>'P NP JAPUNG IKAN'!AC23</f>
        <v>0</v>
      </c>
      <c r="AI19" s="322">
        <f>'P NP JAPUNG IKAN'!AD23</f>
        <v>0</v>
      </c>
      <c r="AJ19" s="322">
        <f>'P NP JAPUNG IKAN'!AC24</f>
        <v>0</v>
      </c>
      <c r="AK19" s="322">
        <f>'P NP JAPUNG IKAN'!AD24</f>
        <v>0</v>
      </c>
      <c r="AL19" s="322">
        <f>'P NP JAPUNG IKAN'!AC25</f>
        <v>0</v>
      </c>
      <c r="AM19" s="322">
        <f>'P NP JAPUNG IKAN'!AD25</f>
        <v>0</v>
      </c>
      <c r="AN19" s="322">
        <f>'P NP JAPUNG IKAN'!AC26</f>
        <v>4260000</v>
      </c>
      <c r="AO19" s="322">
        <f>'P NP JAPUNG IKAN'!AD26</f>
        <v>96700000</v>
      </c>
      <c r="AP19" s="322">
        <f>'P NP JAPUNG IKAN'!AC27</f>
        <v>0</v>
      </c>
      <c r="AQ19" s="322">
        <f>'P NP JAPUNG IKAN'!AD27</f>
        <v>0</v>
      </c>
      <c r="AR19" s="322">
        <f>'P NP JAPUNG IKAN'!AC28</f>
        <v>0</v>
      </c>
      <c r="AS19" s="322">
        <f>'P NP JAPUNG IKAN'!AD28</f>
        <v>0</v>
      </c>
      <c r="AT19" s="322">
        <f>'P NP JAPUNG IKAN'!AC29</f>
        <v>0</v>
      </c>
      <c r="AU19" s="322">
        <f>'P NP JAPUNG IKAN'!AD29</f>
        <v>0</v>
      </c>
      <c r="AV19" s="322">
        <f>'P NP JAPUNG IKAN'!AC30</f>
        <v>0</v>
      </c>
      <c r="AW19" s="322">
        <f>'P NP JAPUNG IKAN'!AD30</f>
        <v>0</v>
      </c>
      <c r="AX19" s="322">
        <f>'P NP JAPUNG IKAN'!AC31</f>
        <v>0</v>
      </c>
      <c r="AY19" s="322">
        <f>'P NP JAPUNG IKAN'!AD31</f>
        <v>0</v>
      </c>
      <c r="AZ19" s="322">
        <f>'P NP JAPUNG IKAN'!AC32</f>
        <v>0</v>
      </c>
      <c r="BA19" s="322">
        <f>'P NP JAPUNG IKAN'!AD32</f>
        <v>0</v>
      </c>
      <c r="BB19" s="322">
        <f>'P NP JAPUNG IKAN'!AC33</f>
        <v>0</v>
      </c>
      <c r="BC19" s="322">
        <f>'P NP JAPUNG IKAN'!AD33</f>
        <v>0</v>
      </c>
      <c r="BD19" s="322">
        <f>'P NP JAPUNG IKAN'!AC34</f>
        <v>0</v>
      </c>
      <c r="BE19" s="322">
        <f>'P NP JAPUNG IKAN'!AD34</f>
        <v>0</v>
      </c>
      <c r="BF19" s="322">
        <f>'P NP JAPUNG IKAN'!AC35</f>
        <v>0</v>
      </c>
      <c r="BG19" s="322">
        <f>'P NP JAPUNG IKAN'!AD35</f>
        <v>0</v>
      </c>
      <c r="BH19" s="322">
        <f>'P NP JAPUNG IKAN'!AC36</f>
        <v>0</v>
      </c>
      <c r="BI19" s="322">
        <f>'P NP JAPUNG IKAN'!AD36</f>
        <v>0</v>
      </c>
      <c r="BJ19" s="322">
        <f>'P NP JAPUNG IKAN'!AC37</f>
        <v>0</v>
      </c>
      <c r="BK19" s="322">
        <f>'P NP JAPUNG IKAN'!AD37</f>
        <v>0</v>
      </c>
      <c r="BL19" s="322">
        <f>'P NP JAPUNG IKAN'!AC38</f>
        <v>0</v>
      </c>
      <c r="BM19" s="322">
        <f>'P NP JAPUNG IKAN'!AD38</f>
        <v>0</v>
      </c>
      <c r="BN19" s="322">
        <f>'P NP JAPUNG IKAN'!AC39</f>
        <v>0</v>
      </c>
      <c r="BO19" s="322">
        <f>'P NP JAPUNG IKAN'!AD39</f>
        <v>0</v>
      </c>
      <c r="BP19" s="322">
        <f>'P NP JAPUNG IKAN'!AC40</f>
        <v>0</v>
      </c>
      <c r="BQ19" s="322">
        <f>'P NP JAPUNG IKAN'!AD40</f>
        <v>0</v>
      </c>
      <c r="BR19" s="322">
        <f>'P NP JAPUNG IKAN'!AC41</f>
        <v>0</v>
      </c>
      <c r="BS19" s="322">
        <f>'P NP JAPUNG IKAN'!AD41</f>
        <v>0</v>
      </c>
      <c r="BT19" s="322">
        <f>'P NP JAPUNG IKAN'!AC42</f>
        <v>0</v>
      </c>
      <c r="BU19" s="322">
        <f>'P NP JAPUNG IKAN'!AD42</f>
        <v>0</v>
      </c>
      <c r="BV19" s="322">
        <f>'P NP JAPUNG IKAN'!AC43</f>
        <v>0</v>
      </c>
      <c r="BW19" s="322">
        <f>'P NP JAPUNG IKAN'!AD43</f>
        <v>0</v>
      </c>
      <c r="BX19" s="322">
        <f>'P NP JAPUNG IKAN'!AC44</f>
        <v>0</v>
      </c>
      <c r="BY19" s="322">
        <f>'P NP JAPUNG IKAN'!AD44</f>
        <v>0</v>
      </c>
    </row>
    <row r="20" spans="1:77">
      <c r="A20" s="260" t="s">
        <v>127</v>
      </c>
      <c r="B20" s="320">
        <f t="shared" si="2"/>
        <v>1700</v>
      </c>
      <c r="C20" s="320">
        <f t="shared" si="3"/>
        <v>36500</v>
      </c>
      <c r="D20" s="322">
        <f>'P NP JAPUNG IKAN'!AE8</f>
        <v>0</v>
      </c>
      <c r="E20" s="322">
        <f>'P NP JAPUNG IKAN'!AF8</f>
        <v>0</v>
      </c>
      <c r="F20" s="322">
        <f>'P NP JAPUNG IKAN'!AE9</f>
        <v>0</v>
      </c>
      <c r="G20" s="322">
        <f>'P NP JAPUNG IKAN'!AF9</f>
        <v>0</v>
      </c>
      <c r="H20" s="322">
        <f>'P NP JAPUNG IKAN'!AE10</f>
        <v>0</v>
      </c>
      <c r="I20" s="322">
        <f>'P NP JAPUNG IKAN'!AF10</f>
        <v>0</v>
      </c>
      <c r="J20" s="322">
        <f>'P NP JAPUNG IKAN'!AE11</f>
        <v>0</v>
      </c>
      <c r="K20" s="322">
        <f>'P NP JAPUNG IKAN'!AF11</f>
        <v>0</v>
      </c>
      <c r="L20" s="322">
        <f>'P NP JAPUNG IKAN'!AE12</f>
        <v>0</v>
      </c>
      <c r="M20" s="322">
        <f>'P NP JAPUNG IKAN'!AF12</f>
        <v>0</v>
      </c>
      <c r="N20" s="322">
        <f>'P NP JAPUNG IKAN'!AE13</f>
        <v>0</v>
      </c>
      <c r="O20" s="322">
        <f>'P NP JAPUNG IKAN'!AF13</f>
        <v>0</v>
      </c>
      <c r="P20" s="322">
        <f>'P NP JAPUNG IKAN'!AE14</f>
        <v>0</v>
      </c>
      <c r="Q20" s="322">
        <f>'P NP JAPUNG IKAN'!AF14</f>
        <v>0</v>
      </c>
      <c r="R20" s="322">
        <f>'P NP JAPUNG IKAN'!AE15</f>
        <v>0</v>
      </c>
      <c r="S20" s="322">
        <f>'P NP JAPUNG IKAN'!AF15</f>
        <v>0</v>
      </c>
      <c r="T20" s="322">
        <f>'P NP JAPUNG IKAN'!AE16</f>
        <v>0</v>
      </c>
      <c r="U20" s="322">
        <f>'P NP JAPUNG IKAN'!AF16</f>
        <v>0</v>
      </c>
      <c r="V20" s="322">
        <f>'P NP JAPUNG IKAN'!AE17</f>
        <v>0</v>
      </c>
      <c r="W20" s="322">
        <f>'P NP JAPUNG IKAN'!AF17</f>
        <v>0</v>
      </c>
      <c r="X20" s="322">
        <f>'P NP JAPUNG IKAN'!AE18</f>
        <v>0</v>
      </c>
      <c r="Y20" s="322">
        <f>'P NP JAPUNG IKAN'!AF18</f>
        <v>0</v>
      </c>
      <c r="Z20" s="322">
        <f>'P NP JAPUNG IKAN'!AE19</f>
        <v>0</v>
      </c>
      <c r="AA20" s="322">
        <f>'P NP JAPUNG IKAN'!AF19</f>
        <v>0</v>
      </c>
      <c r="AB20" s="322">
        <f>'P NP JAPUNG IKAN'!AE20</f>
        <v>0</v>
      </c>
      <c r="AC20" s="322">
        <f>'P NP JAPUNG IKAN'!AF20</f>
        <v>0</v>
      </c>
      <c r="AD20" s="322">
        <f>'P NP JAPUNG IKAN'!AE21</f>
        <v>0</v>
      </c>
      <c r="AE20" s="322">
        <f>'P NP JAPUNG IKAN'!AF21</f>
        <v>0</v>
      </c>
      <c r="AF20" s="322">
        <f>'P NP JAPUNG IKAN'!AE22</f>
        <v>0</v>
      </c>
      <c r="AG20" s="322">
        <f>'P NP JAPUNG IKAN'!AF22</f>
        <v>0</v>
      </c>
      <c r="AH20" s="322">
        <f>'P NP JAPUNG IKAN'!AE23</f>
        <v>0</v>
      </c>
      <c r="AI20" s="322">
        <f>'P NP JAPUNG IKAN'!AF23</f>
        <v>0</v>
      </c>
      <c r="AJ20" s="322">
        <f>'P NP JAPUNG IKAN'!AE24</f>
        <v>0</v>
      </c>
      <c r="AK20" s="322">
        <f>'P NP JAPUNG IKAN'!AF24</f>
        <v>0</v>
      </c>
      <c r="AL20" s="322">
        <f>'P NP JAPUNG IKAN'!AE25</f>
        <v>0</v>
      </c>
      <c r="AM20" s="322">
        <f>'P NP JAPUNG IKAN'!AF25</f>
        <v>0</v>
      </c>
      <c r="AN20" s="322">
        <f>'P NP JAPUNG IKAN'!AE26</f>
        <v>1700</v>
      </c>
      <c r="AO20" s="322">
        <f>'P NP JAPUNG IKAN'!AF26</f>
        <v>36500</v>
      </c>
      <c r="AP20" s="322">
        <f>'P NP JAPUNG IKAN'!AE27</f>
        <v>0</v>
      </c>
      <c r="AQ20" s="322">
        <f>'P NP JAPUNG IKAN'!AF27</f>
        <v>0</v>
      </c>
      <c r="AR20" s="322">
        <f>'P NP JAPUNG IKAN'!AE28</f>
        <v>0</v>
      </c>
      <c r="AS20" s="322">
        <f>'P NP JAPUNG IKAN'!AF28</f>
        <v>0</v>
      </c>
      <c r="AT20" s="322">
        <f>'P NP JAPUNG IKAN'!AE29</f>
        <v>0</v>
      </c>
      <c r="AU20" s="322">
        <f>'P NP JAPUNG IKAN'!AF29</f>
        <v>0</v>
      </c>
      <c r="AV20" s="322">
        <f>'P NP JAPUNG IKAN'!AE30</f>
        <v>0</v>
      </c>
      <c r="AW20" s="322">
        <f>'P NP JAPUNG IKAN'!AF30</f>
        <v>0</v>
      </c>
      <c r="AX20" s="322">
        <f>'P NP JAPUNG IKAN'!AE31</f>
        <v>0</v>
      </c>
      <c r="AY20" s="322">
        <f>'P NP JAPUNG IKAN'!AF31</f>
        <v>0</v>
      </c>
      <c r="AZ20" s="322">
        <f>'P NP JAPUNG IKAN'!AE32</f>
        <v>0</v>
      </c>
      <c r="BA20" s="322">
        <f>'P NP JAPUNG IKAN'!AF32</f>
        <v>0</v>
      </c>
      <c r="BB20" s="322">
        <f>'P NP JAPUNG IKAN'!AE33</f>
        <v>0</v>
      </c>
      <c r="BC20" s="322">
        <f>'P NP JAPUNG IKAN'!AF33</f>
        <v>0</v>
      </c>
      <c r="BD20" s="322">
        <f>'P NP JAPUNG IKAN'!AE34</f>
        <v>0</v>
      </c>
      <c r="BE20" s="322">
        <f>'P NP JAPUNG IKAN'!AF34</f>
        <v>0</v>
      </c>
      <c r="BF20" s="322">
        <f>'P NP JAPUNG IKAN'!AE35</f>
        <v>0</v>
      </c>
      <c r="BG20" s="322">
        <f>'P NP JAPUNG IKAN'!AF35</f>
        <v>0</v>
      </c>
      <c r="BH20" s="322">
        <f>'P NP JAPUNG IKAN'!AE36</f>
        <v>0</v>
      </c>
      <c r="BI20" s="322">
        <f>'P NP JAPUNG IKAN'!AF36</f>
        <v>0</v>
      </c>
      <c r="BJ20" s="322">
        <f>'P NP JAPUNG IKAN'!AE37</f>
        <v>0</v>
      </c>
      <c r="BK20" s="322">
        <f>'P NP JAPUNG IKAN'!AF37</f>
        <v>0</v>
      </c>
      <c r="BL20" s="322">
        <f>'P NP JAPUNG IKAN'!AE38</f>
        <v>0</v>
      </c>
      <c r="BM20" s="322">
        <f>'P NP JAPUNG IKAN'!AF38</f>
        <v>0</v>
      </c>
      <c r="BN20" s="322">
        <f>'P NP JAPUNG IKAN'!AE39</f>
        <v>0</v>
      </c>
      <c r="BO20" s="322">
        <f>'P NP JAPUNG IKAN'!AF39</f>
        <v>0</v>
      </c>
      <c r="BP20" s="322">
        <f>'P NP JAPUNG IKAN'!AE40</f>
        <v>0</v>
      </c>
      <c r="BQ20" s="322">
        <f>'P NP JAPUNG IKAN'!AF40</f>
        <v>0</v>
      </c>
      <c r="BR20" s="322">
        <f>'P NP JAPUNG IKAN'!AE41</f>
        <v>0</v>
      </c>
      <c r="BS20" s="322">
        <f>'P NP JAPUNG IKAN'!AF41</f>
        <v>0</v>
      </c>
      <c r="BT20" s="322">
        <f>'P NP JAPUNG IKAN'!AE42</f>
        <v>0</v>
      </c>
      <c r="BU20" s="322">
        <f>'P NP JAPUNG IKAN'!AF42</f>
        <v>0</v>
      </c>
      <c r="BV20" s="322">
        <f>'P NP JAPUNG IKAN'!AE43</f>
        <v>0</v>
      </c>
      <c r="BW20" s="322">
        <f>'P NP JAPUNG IKAN'!AF43</f>
        <v>0</v>
      </c>
      <c r="BX20" s="322">
        <f>'P NP JAPUNG IKAN'!AE44</f>
        <v>0</v>
      </c>
      <c r="BY20" s="322">
        <f>'P NP JAPUNG IKAN'!AF44</f>
        <v>0</v>
      </c>
    </row>
    <row r="21" spans="1:77">
      <c r="A21" s="260" t="s">
        <v>129</v>
      </c>
      <c r="B21" s="320">
        <f t="shared" si="2"/>
        <v>0</v>
      </c>
      <c r="C21" s="320">
        <f t="shared" si="3"/>
        <v>0</v>
      </c>
      <c r="D21" s="322">
        <f>'P NP JAPUNG IKAN'!AG8</f>
        <v>0</v>
      </c>
      <c r="E21" s="322">
        <f>'P NP JAPUNG IKAN'!AH8</f>
        <v>0</v>
      </c>
      <c r="F21" s="322">
        <f>'P NP JAPUNG IKAN'!AG9</f>
        <v>0</v>
      </c>
      <c r="G21" s="322">
        <f>'P NP JAPUNG IKAN'!AH9</f>
        <v>0</v>
      </c>
      <c r="H21" s="322">
        <f>'P NP JAPUNG IKAN'!AG10</f>
        <v>0</v>
      </c>
      <c r="I21" s="322">
        <f>'P NP JAPUNG IKAN'!AH10</f>
        <v>0</v>
      </c>
      <c r="J21" s="322">
        <f>'P NP JAPUNG IKAN'!AG11</f>
        <v>0</v>
      </c>
      <c r="K21" s="322">
        <f>'P NP JAPUNG IKAN'!AH11</f>
        <v>0</v>
      </c>
      <c r="L21" s="322">
        <f>'P NP JAPUNG IKAN'!AG12</f>
        <v>0</v>
      </c>
      <c r="M21" s="322">
        <f>'P NP JAPUNG IKAN'!AH12</f>
        <v>0</v>
      </c>
      <c r="N21" s="322">
        <f>'P NP JAPUNG IKAN'!AG13</f>
        <v>0</v>
      </c>
      <c r="O21" s="322">
        <f>'P NP JAPUNG IKAN'!AH13</f>
        <v>0</v>
      </c>
      <c r="P21" s="322">
        <f>'P NP JAPUNG IKAN'!AG14</f>
        <v>0</v>
      </c>
      <c r="Q21" s="322">
        <f>'P NP JAPUNG IKAN'!AH14</f>
        <v>0</v>
      </c>
      <c r="R21" s="322">
        <f>'P NP JAPUNG IKAN'!AG15</f>
        <v>0</v>
      </c>
      <c r="S21" s="322">
        <f>'P NP JAPUNG IKAN'!AH15</f>
        <v>0</v>
      </c>
      <c r="T21" s="322">
        <f>'P NP JAPUNG IKAN'!AG16</f>
        <v>0</v>
      </c>
      <c r="U21" s="322">
        <f>'P NP JAPUNG IKAN'!AH16</f>
        <v>0</v>
      </c>
      <c r="V21" s="322">
        <f>'P NP JAPUNG IKAN'!AG17</f>
        <v>0</v>
      </c>
      <c r="W21" s="322">
        <f>'P NP JAPUNG IKAN'!AH17</f>
        <v>0</v>
      </c>
      <c r="X21" s="322">
        <f>'P NP JAPUNG IKAN'!AG18</f>
        <v>0</v>
      </c>
      <c r="Y21" s="322">
        <f>'P NP JAPUNG IKAN'!AH18</f>
        <v>0</v>
      </c>
      <c r="Z21" s="322">
        <f>'P NP JAPUNG IKAN'!AG19</f>
        <v>0</v>
      </c>
      <c r="AA21" s="322">
        <f>'P NP JAPUNG IKAN'!AH19</f>
        <v>0</v>
      </c>
      <c r="AB21" s="322">
        <f>'P NP JAPUNG IKAN'!AG20</f>
        <v>0</v>
      </c>
      <c r="AC21" s="322">
        <f>'P NP JAPUNG IKAN'!AH20</f>
        <v>0</v>
      </c>
      <c r="AD21" s="322">
        <f>'P NP JAPUNG IKAN'!AG21</f>
        <v>0</v>
      </c>
      <c r="AE21" s="322">
        <f>'P NP JAPUNG IKAN'!AH21</f>
        <v>0</v>
      </c>
      <c r="AF21" s="322">
        <f>'P NP JAPUNG IKAN'!AG22</f>
        <v>0</v>
      </c>
      <c r="AG21" s="322">
        <f>'P NP JAPUNG IKAN'!AH22</f>
        <v>0</v>
      </c>
      <c r="AH21" s="322">
        <f>'P NP JAPUNG IKAN'!AG23</f>
        <v>0</v>
      </c>
      <c r="AI21" s="322">
        <f>'P NP JAPUNG IKAN'!AH23</f>
        <v>0</v>
      </c>
      <c r="AJ21" s="322">
        <f>'P NP JAPUNG IKAN'!AG24</f>
        <v>0</v>
      </c>
      <c r="AK21" s="322">
        <f>'P NP JAPUNG IKAN'!AH24</f>
        <v>0</v>
      </c>
      <c r="AL21" s="322">
        <f>'P NP JAPUNG IKAN'!AG25</f>
        <v>0</v>
      </c>
      <c r="AM21" s="322">
        <f>'P NP JAPUNG IKAN'!AH25</f>
        <v>0</v>
      </c>
      <c r="AN21" s="322">
        <f>'P NP JAPUNG IKAN'!AG26</f>
        <v>0</v>
      </c>
      <c r="AO21" s="322">
        <f>'P NP JAPUNG IKAN'!AH26</f>
        <v>0</v>
      </c>
      <c r="AP21" s="322">
        <f>'P NP JAPUNG IKAN'!AG27</f>
        <v>0</v>
      </c>
      <c r="AQ21" s="322">
        <f>'P NP JAPUNG IKAN'!AH27</f>
        <v>0</v>
      </c>
      <c r="AR21" s="322">
        <f>'P NP JAPUNG IKAN'!AG28</f>
        <v>0</v>
      </c>
      <c r="AS21" s="322">
        <f>'P NP JAPUNG IKAN'!AH28</f>
        <v>0</v>
      </c>
      <c r="AT21" s="322">
        <f>'P NP JAPUNG IKAN'!AG29</f>
        <v>0</v>
      </c>
      <c r="AU21" s="322">
        <f>'P NP JAPUNG IKAN'!AH29</f>
        <v>0</v>
      </c>
      <c r="AV21" s="322">
        <f>'P NP JAPUNG IKAN'!AG30</f>
        <v>0</v>
      </c>
      <c r="AW21" s="322">
        <f>'P NP JAPUNG IKAN'!AH30</f>
        <v>0</v>
      </c>
      <c r="AX21" s="322">
        <f>'P NP JAPUNG IKAN'!AG31</f>
        <v>0</v>
      </c>
      <c r="AY21" s="322">
        <f>'P NP JAPUNG IKAN'!AH31</f>
        <v>0</v>
      </c>
      <c r="AZ21" s="322">
        <f>'P NP JAPUNG IKAN'!AG32</f>
        <v>0</v>
      </c>
      <c r="BA21" s="322">
        <f>'P NP JAPUNG IKAN'!AH32</f>
        <v>0</v>
      </c>
      <c r="BB21" s="322">
        <f>'P NP JAPUNG IKAN'!AG33</f>
        <v>0</v>
      </c>
      <c r="BC21" s="322">
        <f>'P NP JAPUNG IKAN'!AH33</f>
        <v>0</v>
      </c>
      <c r="BD21" s="322">
        <f>'P NP JAPUNG IKAN'!AG34</f>
        <v>0</v>
      </c>
      <c r="BE21" s="322">
        <f>'P NP JAPUNG IKAN'!AH34</f>
        <v>0</v>
      </c>
      <c r="BF21" s="322">
        <f>'P NP JAPUNG IKAN'!AG35</f>
        <v>0</v>
      </c>
      <c r="BG21" s="322">
        <f>'P NP JAPUNG IKAN'!AH35</f>
        <v>0</v>
      </c>
      <c r="BH21" s="322">
        <f>'P NP JAPUNG IKAN'!AG36</f>
        <v>0</v>
      </c>
      <c r="BI21" s="322">
        <f>'P NP JAPUNG IKAN'!AH36</f>
        <v>0</v>
      </c>
      <c r="BJ21" s="322">
        <f>'P NP JAPUNG IKAN'!AG37</f>
        <v>0</v>
      </c>
      <c r="BK21" s="322">
        <f>'P NP JAPUNG IKAN'!AH37</f>
        <v>0</v>
      </c>
      <c r="BL21" s="322">
        <f>'P NP JAPUNG IKAN'!AG38</f>
        <v>0</v>
      </c>
      <c r="BM21" s="322">
        <f>'P NP JAPUNG IKAN'!AH38</f>
        <v>0</v>
      </c>
      <c r="BN21" s="322">
        <f>'P NP JAPUNG IKAN'!AG39</f>
        <v>0</v>
      </c>
      <c r="BO21" s="322">
        <f>'P NP JAPUNG IKAN'!AH39</f>
        <v>0</v>
      </c>
      <c r="BP21" s="322">
        <f>'P NP JAPUNG IKAN'!AG40</f>
        <v>0</v>
      </c>
      <c r="BQ21" s="322">
        <f>'P NP JAPUNG IKAN'!AH40</f>
        <v>0</v>
      </c>
      <c r="BR21" s="322">
        <f>'P NP JAPUNG IKAN'!AG41</f>
        <v>0</v>
      </c>
      <c r="BS21" s="322">
        <f>'P NP JAPUNG IKAN'!AH41</f>
        <v>0</v>
      </c>
      <c r="BT21" s="322">
        <f>'P NP JAPUNG IKAN'!AG42</f>
        <v>0</v>
      </c>
      <c r="BU21" s="322">
        <f>'P NP JAPUNG IKAN'!AH42</f>
        <v>0</v>
      </c>
      <c r="BV21" s="322">
        <f>'P NP JAPUNG IKAN'!AG43</f>
        <v>0</v>
      </c>
      <c r="BW21" s="322">
        <f>'P NP JAPUNG IKAN'!AH43</f>
        <v>0</v>
      </c>
      <c r="BX21" s="322">
        <f>'P NP JAPUNG IKAN'!AG44</f>
        <v>0</v>
      </c>
      <c r="BY21" s="322">
        <f>'P NP JAPUNG IKAN'!AH44</f>
        <v>0</v>
      </c>
    </row>
    <row r="22" spans="1:77">
      <c r="A22" s="260" t="s">
        <v>132</v>
      </c>
      <c r="B22" s="320">
        <f t="shared" si="2"/>
        <v>106933</v>
      </c>
      <c r="C22" s="320">
        <f t="shared" si="3"/>
        <v>2042282</v>
      </c>
      <c r="D22" s="322">
        <f>'P NP JAPUNG IKAN'!AI8</f>
        <v>0</v>
      </c>
      <c r="E22" s="322">
        <f>'P NP JAPUNG IKAN'!AJ8</f>
        <v>0</v>
      </c>
      <c r="F22" s="322">
        <f>'P NP JAPUNG IKAN'!AI9</f>
        <v>0</v>
      </c>
      <c r="G22" s="322">
        <f>'P NP JAPUNG IKAN'!AJ9</f>
        <v>0</v>
      </c>
      <c r="H22" s="322">
        <f>'P NP JAPUNG IKAN'!AI10</f>
        <v>0</v>
      </c>
      <c r="I22" s="322">
        <f>'P NP JAPUNG IKAN'!AJ10</f>
        <v>0</v>
      </c>
      <c r="J22" s="322">
        <f>'P NP JAPUNG IKAN'!AI11</f>
        <v>0</v>
      </c>
      <c r="K22" s="322">
        <f>'P NP JAPUNG IKAN'!AJ11</f>
        <v>0</v>
      </c>
      <c r="L22" s="322">
        <f>'P NP JAPUNG IKAN'!AI12</f>
        <v>0</v>
      </c>
      <c r="M22" s="322">
        <f>'P NP JAPUNG IKAN'!AJ12</f>
        <v>0</v>
      </c>
      <c r="N22" s="322">
        <f>'P NP JAPUNG IKAN'!AI13</f>
        <v>0</v>
      </c>
      <c r="O22" s="322">
        <f>'P NP JAPUNG IKAN'!AJ13</f>
        <v>0</v>
      </c>
      <c r="P22" s="322">
        <f>'P NP JAPUNG IKAN'!AI14</f>
        <v>0</v>
      </c>
      <c r="Q22" s="322">
        <f>'P NP JAPUNG IKAN'!AJ14</f>
        <v>0</v>
      </c>
      <c r="R22" s="322">
        <f>'P NP JAPUNG IKAN'!AI15</f>
        <v>0</v>
      </c>
      <c r="S22" s="322">
        <f>'P NP JAPUNG IKAN'!AJ15</f>
        <v>0</v>
      </c>
      <c r="T22" s="322">
        <f>'P NP JAPUNG IKAN'!AI16</f>
        <v>0</v>
      </c>
      <c r="U22" s="322">
        <f>'P NP JAPUNG IKAN'!AJ16</f>
        <v>0</v>
      </c>
      <c r="V22" s="322">
        <f>'P NP JAPUNG IKAN'!AI17</f>
        <v>0</v>
      </c>
      <c r="W22" s="322">
        <f>'P NP JAPUNG IKAN'!AJ17</f>
        <v>0</v>
      </c>
      <c r="X22" s="322">
        <f>'P NP JAPUNG IKAN'!AI18</f>
        <v>0</v>
      </c>
      <c r="Y22" s="322">
        <f>'P NP JAPUNG IKAN'!AJ18</f>
        <v>0</v>
      </c>
      <c r="Z22" s="322">
        <f>'P NP JAPUNG IKAN'!AI19</f>
        <v>0</v>
      </c>
      <c r="AA22" s="322">
        <f>'P NP JAPUNG IKAN'!AJ19</f>
        <v>0</v>
      </c>
      <c r="AB22" s="322">
        <f>'P NP JAPUNG IKAN'!AI20</f>
        <v>0</v>
      </c>
      <c r="AC22" s="322">
        <f>'P NP JAPUNG IKAN'!AJ20</f>
        <v>0</v>
      </c>
      <c r="AD22" s="322">
        <f>'P NP JAPUNG IKAN'!AI21</f>
        <v>0</v>
      </c>
      <c r="AE22" s="322">
        <f>'P NP JAPUNG IKAN'!AJ21</f>
        <v>0</v>
      </c>
      <c r="AF22" s="322">
        <f>'P NP JAPUNG IKAN'!AI22</f>
        <v>0</v>
      </c>
      <c r="AG22" s="322">
        <f>'P NP JAPUNG IKAN'!AJ22</f>
        <v>0</v>
      </c>
      <c r="AH22" s="322">
        <f>'P NP JAPUNG IKAN'!AI23</f>
        <v>0</v>
      </c>
      <c r="AI22" s="322">
        <f>'P NP JAPUNG IKAN'!AJ23</f>
        <v>0</v>
      </c>
      <c r="AJ22" s="322">
        <f>'P NP JAPUNG IKAN'!AI24</f>
        <v>0</v>
      </c>
      <c r="AK22" s="322">
        <f>'P NP JAPUNG IKAN'!AJ24</f>
        <v>0</v>
      </c>
      <c r="AL22" s="322">
        <f>'P NP JAPUNG IKAN'!AI25</f>
        <v>0</v>
      </c>
      <c r="AM22" s="322">
        <f>'P NP JAPUNG IKAN'!AJ25</f>
        <v>0</v>
      </c>
      <c r="AN22" s="322">
        <f>'P NP JAPUNG IKAN'!AI26</f>
        <v>41947</v>
      </c>
      <c r="AO22" s="322">
        <f>'P NP JAPUNG IKAN'!AJ26</f>
        <v>922834</v>
      </c>
      <c r="AP22" s="322">
        <f>'P NP JAPUNG IKAN'!AI27</f>
        <v>64986</v>
      </c>
      <c r="AQ22" s="322">
        <f>'P NP JAPUNG IKAN'!AJ27</f>
        <v>1119448</v>
      </c>
      <c r="AR22" s="322">
        <f>'P NP JAPUNG IKAN'!AI28</f>
        <v>0</v>
      </c>
      <c r="AS22" s="322">
        <f>'P NP JAPUNG IKAN'!AJ28</f>
        <v>0</v>
      </c>
      <c r="AT22" s="322">
        <f>'P NP JAPUNG IKAN'!AI29</f>
        <v>0</v>
      </c>
      <c r="AU22" s="322">
        <f>'P NP JAPUNG IKAN'!AJ29</f>
        <v>0</v>
      </c>
      <c r="AV22" s="322">
        <f>'P NP JAPUNG IKAN'!AI30</f>
        <v>0</v>
      </c>
      <c r="AW22" s="322">
        <f>'P NP JAPUNG IKAN'!AJ30</f>
        <v>0</v>
      </c>
      <c r="AX22" s="322">
        <f>'P NP JAPUNG IKAN'!AI31</f>
        <v>0</v>
      </c>
      <c r="AY22" s="322">
        <f>'P NP JAPUNG IKAN'!AJ31</f>
        <v>0</v>
      </c>
      <c r="AZ22" s="322">
        <f>'P NP JAPUNG IKAN'!AI32</f>
        <v>0</v>
      </c>
      <c r="BA22" s="322">
        <f>'P NP JAPUNG IKAN'!AJ32</f>
        <v>0</v>
      </c>
      <c r="BB22" s="322">
        <f>'P NP JAPUNG IKAN'!AI33</f>
        <v>0</v>
      </c>
      <c r="BC22" s="322">
        <f>'P NP JAPUNG IKAN'!AJ33</f>
        <v>0</v>
      </c>
      <c r="BD22" s="322">
        <f>'P NP JAPUNG IKAN'!AI34</f>
        <v>0</v>
      </c>
      <c r="BE22" s="322">
        <f>'P NP JAPUNG IKAN'!AJ34</f>
        <v>0</v>
      </c>
      <c r="BF22" s="322">
        <f>'P NP JAPUNG IKAN'!AI35</f>
        <v>0</v>
      </c>
      <c r="BG22" s="322">
        <f>'P NP JAPUNG IKAN'!AJ35</f>
        <v>0</v>
      </c>
      <c r="BH22" s="322">
        <f>'P NP JAPUNG IKAN'!AI36</f>
        <v>0</v>
      </c>
      <c r="BI22" s="322">
        <f>'P NP JAPUNG IKAN'!AJ36</f>
        <v>0</v>
      </c>
      <c r="BJ22" s="322">
        <f>'P NP JAPUNG IKAN'!AI37</f>
        <v>0</v>
      </c>
      <c r="BK22" s="322">
        <f>'P NP JAPUNG IKAN'!AJ37</f>
        <v>0</v>
      </c>
      <c r="BL22" s="322">
        <f>'P NP JAPUNG IKAN'!AI38</f>
        <v>0</v>
      </c>
      <c r="BM22" s="322">
        <f>'P NP JAPUNG IKAN'!AJ38</f>
        <v>0</v>
      </c>
      <c r="BN22" s="322">
        <f>'P NP JAPUNG IKAN'!AI39</f>
        <v>0</v>
      </c>
      <c r="BO22" s="322">
        <f>'P NP JAPUNG IKAN'!AJ39</f>
        <v>0</v>
      </c>
      <c r="BP22" s="322">
        <f>'P NP JAPUNG IKAN'!AI40</f>
        <v>0</v>
      </c>
      <c r="BQ22" s="322">
        <f>'P NP JAPUNG IKAN'!AJ40</f>
        <v>0</v>
      </c>
      <c r="BR22" s="322">
        <f>'P NP JAPUNG IKAN'!AI41</f>
        <v>0</v>
      </c>
      <c r="BS22" s="322">
        <f>'P NP JAPUNG IKAN'!AJ41</f>
        <v>0</v>
      </c>
      <c r="BT22" s="322">
        <f>'P NP JAPUNG IKAN'!AI42</f>
        <v>0</v>
      </c>
      <c r="BU22" s="322">
        <f>'P NP JAPUNG IKAN'!AJ42</f>
        <v>0</v>
      </c>
      <c r="BV22" s="322">
        <f>'P NP JAPUNG IKAN'!AI43</f>
        <v>0</v>
      </c>
      <c r="BW22" s="322">
        <f>'P NP JAPUNG IKAN'!AJ43</f>
        <v>0</v>
      </c>
      <c r="BX22" s="322">
        <f>'P NP JAPUNG IKAN'!AI44</f>
        <v>0</v>
      </c>
      <c r="BY22" s="322">
        <f>'P NP JAPUNG IKAN'!AJ44</f>
        <v>0</v>
      </c>
    </row>
    <row r="23" spans="1:77">
      <c r="A23" s="260" t="s">
        <v>112</v>
      </c>
      <c r="B23" s="320">
        <f t="shared" si="2"/>
        <v>0</v>
      </c>
      <c r="C23" s="320">
        <f t="shared" si="3"/>
        <v>0</v>
      </c>
      <c r="D23" s="322">
        <f>'P NP JAPUNG IKAN'!AK8</f>
        <v>0</v>
      </c>
      <c r="E23" s="322">
        <f>'P NP JAPUNG IKAN'!AL8</f>
        <v>0</v>
      </c>
      <c r="F23" s="322">
        <f>'P NP JAPUNG IKAN'!AK9</f>
        <v>0</v>
      </c>
      <c r="G23" s="322">
        <f>'P NP JAPUNG IKAN'!AL9</f>
        <v>0</v>
      </c>
      <c r="H23" s="322">
        <f>'P NP JAPUNG IKAN'!AK10</f>
        <v>0</v>
      </c>
      <c r="I23" s="322">
        <f>'P NP JAPUNG IKAN'!AL10</f>
        <v>0</v>
      </c>
      <c r="J23" s="322">
        <f>'P NP JAPUNG IKAN'!AK11</f>
        <v>0</v>
      </c>
      <c r="K23" s="322">
        <f>'P NP JAPUNG IKAN'!AL11</f>
        <v>0</v>
      </c>
      <c r="L23" s="322">
        <f>'P NP JAPUNG IKAN'!AK12</f>
        <v>0</v>
      </c>
      <c r="M23" s="322">
        <f>'P NP JAPUNG IKAN'!AL12</f>
        <v>0</v>
      </c>
      <c r="N23" s="322">
        <f>'P NP JAPUNG IKAN'!AK13</f>
        <v>0</v>
      </c>
      <c r="O23" s="322">
        <f>'P NP JAPUNG IKAN'!AL13</f>
        <v>0</v>
      </c>
      <c r="P23" s="322">
        <f>'P NP JAPUNG IKAN'!AK14</f>
        <v>0</v>
      </c>
      <c r="Q23" s="322">
        <f>'P NP JAPUNG IKAN'!AL14</f>
        <v>0</v>
      </c>
      <c r="R23" s="322">
        <f>'P NP JAPUNG IKAN'!AK15</f>
        <v>0</v>
      </c>
      <c r="S23" s="322">
        <f>'P NP JAPUNG IKAN'!AL15</f>
        <v>0</v>
      </c>
      <c r="T23" s="322">
        <f>'P NP JAPUNG IKAN'!AK16</f>
        <v>0</v>
      </c>
      <c r="U23" s="322">
        <f>'P NP JAPUNG IKAN'!AL16</f>
        <v>0</v>
      </c>
      <c r="V23" s="322">
        <f>'P NP JAPUNG IKAN'!AK17</f>
        <v>0</v>
      </c>
      <c r="W23" s="322">
        <f>'P NP JAPUNG IKAN'!AL17</f>
        <v>0</v>
      </c>
      <c r="X23" s="322">
        <f>'P NP JAPUNG IKAN'!AK18</f>
        <v>0</v>
      </c>
      <c r="Y23" s="322">
        <f>'P NP JAPUNG IKAN'!AL18</f>
        <v>0</v>
      </c>
      <c r="Z23" s="322">
        <f>'P NP JAPUNG IKAN'!AK19</f>
        <v>0</v>
      </c>
      <c r="AA23" s="322">
        <f>'P NP JAPUNG IKAN'!AL19</f>
        <v>0</v>
      </c>
      <c r="AB23" s="322">
        <f>'P NP JAPUNG IKAN'!AK20</f>
        <v>0</v>
      </c>
      <c r="AC23" s="322">
        <f>'P NP JAPUNG IKAN'!AL20</f>
        <v>0</v>
      </c>
      <c r="AD23" s="322">
        <f>'P NP JAPUNG IKAN'!AK21</f>
        <v>0</v>
      </c>
      <c r="AE23" s="322">
        <f>'P NP JAPUNG IKAN'!AL21</f>
        <v>0</v>
      </c>
      <c r="AF23" s="322">
        <f>'P NP JAPUNG IKAN'!AK22</f>
        <v>0</v>
      </c>
      <c r="AG23" s="322">
        <f>'P NP JAPUNG IKAN'!AL22</f>
        <v>0</v>
      </c>
      <c r="AH23" s="322">
        <f>'P NP JAPUNG IKAN'!AK23</f>
        <v>0</v>
      </c>
      <c r="AI23" s="322">
        <f>'P NP JAPUNG IKAN'!AL23</f>
        <v>0</v>
      </c>
      <c r="AJ23" s="322">
        <f>'P NP JAPUNG IKAN'!AK24</f>
        <v>0</v>
      </c>
      <c r="AK23" s="322">
        <f>'P NP JAPUNG IKAN'!AL24</f>
        <v>0</v>
      </c>
      <c r="AL23" s="322">
        <f>'P NP JAPUNG IKAN'!AK25</f>
        <v>0</v>
      </c>
      <c r="AM23" s="322">
        <f>'P NP JAPUNG IKAN'!AL25</f>
        <v>0</v>
      </c>
      <c r="AN23" s="322">
        <f>'P NP JAPUNG IKAN'!AK26</f>
        <v>0</v>
      </c>
      <c r="AO23" s="322">
        <f>'P NP JAPUNG IKAN'!AL26</f>
        <v>0</v>
      </c>
      <c r="AP23" s="322">
        <f>'P NP JAPUNG IKAN'!AK27</f>
        <v>0</v>
      </c>
      <c r="AQ23" s="322">
        <f>'P NP JAPUNG IKAN'!AL27</f>
        <v>0</v>
      </c>
      <c r="AR23" s="322">
        <f>'P NP JAPUNG IKAN'!AK28</f>
        <v>0</v>
      </c>
      <c r="AS23" s="322">
        <f>'P NP JAPUNG IKAN'!AL28</f>
        <v>0</v>
      </c>
      <c r="AT23" s="322">
        <f>'P NP JAPUNG IKAN'!AK29</f>
        <v>0</v>
      </c>
      <c r="AU23" s="322">
        <f>'P NP JAPUNG IKAN'!AL29</f>
        <v>0</v>
      </c>
      <c r="AV23" s="322">
        <f>'P NP JAPUNG IKAN'!AK30</f>
        <v>0</v>
      </c>
      <c r="AW23" s="322">
        <f>'P NP JAPUNG IKAN'!AL30</f>
        <v>0</v>
      </c>
      <c r="AX23" s="322">
        <f>'P NP JAPUNG IKAN'!AK31</f>
        <v>0</v>
      </c>
      <c r="AY23" s="322">
        <f>'P NP JAPUNG IKAN'!AL31</f>
        <v>0</v>
      </c>
      <c r="AZ23" s="322">
        <f>'P NP JAPUNG IKAN'!AK32</f>
        <v>0</v>
      </c>
      <c r="BA23" s="322">
        <f>'P NP JAPUNG IKAN'!AL32</f>
        <v>0</v>
      </c>
      <c r="BB23" s="322">
        <f>'P NP JAPUNG IKAN'!AK33</f>
        <v>0</v>
      </c>
      <c r="BC23" s="322">
        <f>'P NP JAPUNG IKAN'!AL33</f>
        <v>0</v>
      </c>
      <c r="BD23" s="322">
        <f>'P NP JAPUNG IKAN'!AK34</f>
        <v>0</v>
      </c>
      <c r="BE23" s="322">
        <f>'P NP JAPUNG IKAN'!AL34</f>
        <v>0</v>
      </c>
      <c r="BF23" s="322">
        <f>'P NP JAPUNG IKAN'!AK35</f>
        <v>0</v>
      </c>
      <c r="BG23" s="322">
        <f>'P NP JAPUNG IKAN'!AL35</f>
        <v>0</v>
      </c>
      <c r="BH23" s="322">
        <f>'P NP JAPUNG IKAN'!AK36</f>
        <v>0</v>
      </c>
      <c r="BI23" s="322">
        <f>'P NP JAPUNG IKAN'!AL36</f>
        <v>0</v>
      </c>
      <c r="BJ23" s="322">
        <f>'P NP JAPUNG IKAN'!AK37</f>
        <v>0</v>
      </c>
      <c r="BK23" s="322">
        <f>'P NP JAPUNG IKAN'!AL37</f>
        <v>0</v>
      </c>
      <c r="BL23" s="322">
        <f>'P NP JAPUNG IKAN'!AK38</f>
        <v>0</v>
      </c>
      <c r="BM23" s="322">
        <f>'P NP JAPUNG IKAN'!AL38</f>
        <v>0</v>
      </c>
      <c r="BN23" s="322">
        <f>'P NP JAPUNG IKAN'!AK39</f>
        <v>0</v>
      </c>
      <c r="BO23" s="322">
        <f>'P NP JAPUNG IKAN'!AL39</f>
        <v>0</v>
      </c>
      <c r="BP23" s="322">
        <f>'P NP JAPUNG IKAN'!AK40</f>
        <v>0</v>
      </c>
      <c r="BQ23" s="322">
        <f>'P NP JAPUNG IKAN'!AL40</f>
        <v>0</v>
      </c>
      <c r="BR23" s="322">
        <f>'P NP JAPUNG IKAN'!AK41</f>
        <v>0</v>
      </c>
      <c r="BS23" s="322">
        <f>'P NP JAPUNG IKAN'!AL41</f>
        <v>0</v>
      </c>
      <c r="BT23" s="322">
        <f>'P NP JAPUNG IKAN'!AK42</f>
        <v>0</v>
      </c>
      <c r="BU23" s="322">
        <f>'P NP JAPUNG IKAN'!AL42</f>
        <v>0</v>
      </c>
      <c r="BV23" s="322">
        <f>'P NP JAPUNG IKAN'!AK43</f>
        <v>0</v>
      </c>
      <c r="BW23" s="322">
        <f>'P NP JAPUNG IKAN'!AL43</f>
        <v>0</v>
      </c>
      <c r="BX23" s="322">
        <f>'P NP JAPUNG IKAN'!AK44</f>
        <v>0</v>
      </c>
      <c r="BY23" s="322">
        <f>'P NP JAPUNG IKAN'!AL44</f>
        <v>0</v>
      </c>
    </row>
    <row r="24" spans="1:77">
      <c r="A24" s="260" t="s">
        <v>139</v>
      </c>
      <c r="B24" s="320">
        <f t="shared" si="2"/>
        <v>0</v>
      </c>
      <c r="C24" s="320">
        <f t="shared" si="3"/>
        <v>0</v>
      </c>
      <c r="D24" s="322">
        <f>'P NP JAPUNG IKAN'!AM8</f>
        <v>0</v>
      </c>
      <c r="E24" s="322">
        <f>'P NP JAPUNG IKAN'!AN8</f>
        <v>0</v>
      </c>
      <c r="F24" s="322">
        <f>'P NP JAPUNG IKAN'!AM9</f>
        <v>0</v>
      </c>
      <c r="G24" s="322">
        <f>'P NP JAPUNG IKAN'!AN9</f>
        <v>0</v>
      </c>
      <c r="H24" s="322">
        <f>'P NP JAPUNG IKAN'!AM10</f>
        <v>0</v>
      </c>
      <c r="I24" s="322">
        <f>'P NP JAPUNG IKAN'!AN10</f>
        <v>0</v>
      </c>
      <c r="J24" s="322">
        <f>'P NP JAPUNG IKAN'!AM11</f>
        <v>0</v>
      </c>
      <c r="K24" s="322">
        <f>'P NP JAPUNG IKAN'!AN11</f>
        <v>0</v>
      </c>
      <c r="L24" s="322">
        <f>'P NP JAPUNG IKAN'!AM12</f>
        <v>0</v>
      </c>
      <c r="M24" s="322">
        <f>'P NP JAPUNG IKAN'!AN12</f>
        <v>0</v>
      </c>
      <c r="N24" s="322">
        <f>'P NP JAPUNG IKAN'!AM13</f>
        <v>0</v>
      </c>
      <c r="O24" s="322">
        <f>'P NP JAPUNG IKAN'!AN13</f>
        <v>0</v>
      </c>
      <c r="P24" s="322">
        <f>'P NP JAPUNG IKAN'!AM14</f>
        <v>0</v>
      </c>
      <c r="Q24" s="322">
        <f>'P NP JAPUNG IKAN'!AN14</f>
        <v>0</v>
      </c>
      <c r="R24" s="322">
        <f>'P NP JAPUNG IKAN'!AM15</f>
        <v>0</v>
      </c>
      <c r="S24" s="322">
        <f>'P NP JAPUNG IKAN'!AN15</f>
        <v>0</v>
      </c>
      <c r="T24" s="322">
        <f>'P NP JAPUNG IKAN'!AM16</f>
        <v>0</v>
      </c>
      <c r="U24" s="322">
        <f>'P NP JAPUNG IKAN'!AN16</f>
        <v>0</v>
      </c>
      <c r="V24" s="322">
        <f>'P NP JAPUNG IKAN'!AM17</f>
        <v>0</v>
      </c>
      <c r="W24" s="322">
        <f>'P NP JAPUNG IKAN'!AN17</f>
        <v>0</v>
      </c>
      <c r="X24" s="322">
        <f>'P NP JAPUNG IKAN'!AM18</f>
        <v>0</v>
      </c>
      <c r="Y24" s="322">
        <f>'P NP JAPUNG IKAN'!AN18</f>
        <v>0</v>
      </c>
      <c r="Z24" s="322">
        <f>'P NP JAPUNG IKAN'!AM19</f>
        <v>0</v>
      </c>
      <c r="AA24" s="322">
        <f>'P NP JAPUNG IKAN'!AN19</f>
        <v>0</v>
      </c>
      <c r="AB24" s="322">
        <f>'P NP JAPUNG IKAN'!AM20</f>
        <v>0</v>
      </c>
      <c r="AC24" s="322">
        <f>'P NP JAPUNG IKAN'!AN20</f>
        <v>0</v>
      </c>
      <c r="AD24" s="322">
        <f>'P NP JAPUNG IKAN'!AM21</f>
        <v>0</v>
      </c>
      <c r="AE24" s="322">
        <f>'P NP JAPUNG IKAN'!AN21</f>
        <v>0</v>
      </c>
      <c r="AF24" s="322">
        <f>'P NP JAPUNG IKAN'!AM22</f>
        <v>0</v>
      </c>
      <c r="AG24" s="322">
        <f>'P NP JAPUNG IKAN'!AN22</f>
        <v>0</v>
      </c>
      <c r="AH24" s="322">
        <f>'P NP JAPUNG IKAN'!AM23</f>
        <v>0</v>
      </c>
      <c r="AI24" s="322">
        <f>'P NP JAPUNG IKAN'!AN23</f>
        <v>0</v>
      </c>
      <c r="AJ24" s="322">
        <f>'P NP JAPUNG IKAN'!AM24</f>
        <v>0</v>
      </c>
      <c r="AK24" s="322">
        <f>'P NP JAPUNG IKAN'!AN24</f>
        <v>0</v>
      </c>
      <c r="AL24" s="322">
        <f>'P NP JAPUNG IKAN'!AM25</f>
        <v>0</v>
      </c>
      <c r="AM24" s="322">
        <f>'P NP JAPUNG IKAN'!AN25</f>
        <v>0</v>
      </c>
      <c r="AN24" s="322">
        <f>'P NP JAPUNG IKAN'!AM26</f>
        <v>0</v>
      </c>
      <c r="AO24" s="322">
        <f>'P NP JAPUNG IKAN'!AN26</f>
        <v>0</v>
      </c>
      <c r="AP24" s="322">
        <f>'P NP JAPUNG IKAN'!AM27</f>
        <v>0</v>
      </c>
      <c r="AQ24" s="322">
        <f>'P NP JAPUNG IKAN'!AN27</f>
        <v>0</v>
      </c>
      <c r="AR24" s="322">
        <f>'P NP JAPUNG IKAN'!AM28</f>
        <v>0</v>
      </c>
      <c r="AS24" s="322">
        <f>'P NP JAPUNG IKAN'!AN28</f>
        <v>0</v>
      </c>
      <c r="AT24" s="322">
        <f>'P NP JAPUNG IKAN'!AM29</f>
        <v>0</v>
      </c>
      <c r="AU24" s="322">
        <f>'P NP JAPUNG IKAN'!AN29</f>
        <v>0</v>
      </c>
      <c r="AV24" s="322">
        <f>'P NP JAPUNG IKAN'!AM30</f>
        <v>0</v>
      </c>
      <c r="AW24" s="322">
        <f>'P NP JAPUNG IKAN'!AN30</f>
        <v>0</v>
      </c>
      <c r="AX24" s="322">
        <f>'P NP JAPUNG IKAN'!AM31</f>
        <v>0</v>
      </c>
      <c r="AY24" s="322">
        <f>'P NP JAPUNG IKAN'!AN31</f>
        <v>0</v>
      </c>
      <c r="AZ24" s="322">
        <f>'P NP JAPUNG IKAN'!AM32</f>
        <v>0</v>
      </c>
      <c r="BA24" s="322">
        <f>'P NP JAPUNG IKAN'!AN32</f>
        <v>0</v>
      </c>
      <c r="BB24" s="322">
        <f>'P NP JAPUNG IKAN'!AM33</f>
        <v>0</v>
      </c>
      <c r="BC24" s="322">
        <f>'P NP JAPUNG IKAN'!AN33</f>
        <v>0</v>
      </c>
      <c r="BD24" s="322">
        <f>'P NP JAPUNG IKAN'!AM34</f>
        <v>0</v>
      </c>
      <c r="BE24" s="322">
        <f>'P NP JAPUNG IKAN'!AN34</f>
        <v>0</v>
      </c>
      <c r="BF24" s="322">
        <f>'P NP JAPUNG IKAN'!AM35</f>
        <v>0</v>
      </c>
      <c r="BG24" s="322">
        <f>'P NP JAPUNG IKAN'!AN35</f>
        <v>0</v>
      </c>
      <c r="BH24" s="322">
        <f>'P NP JAPUNG IKAN'!AM36</f>
        <v>0</v>
      </c>
      <c r="BI24" s="322">
        <f>'P NP JAPUNG IKAN'!AN36</f>
        <v>0</v>
      </c>
      <c r="BJ24" s="322">
        <f>'P NP JAPUNG IKAN'!AM37</f>
        <v>0</v>
      </c>
      <c r="BK24" s="322">
        <f>'P NP JAPUNG IKAN'!AN37</f>
        <v>0</v>
      </c>
      <c r="BL24" s="322">
        <f>'P NP JAPUNG IKAN'!AM38</f>
        <v>0</v>
      </c>
      <c r="BM24" s="322">
        <f>'P NP JAPUNG IKAN'!AN38</f>
        <v>0</v>
      </c>
      <c r="BN24" s="322">
        <f>'P NP JAPUNG IKAN'!AM39</f>
        <v>0</v>
      </c>
      <c r="BO24" s="322">
        <f>'P NP JAPUNG IKAN'!AN39</f>
        <v>0</v>
      </c>
      <c r="BP24" s="322">
        <f>'P NP JAPUNG IKAN'!AM40</f>
        <v>0</v>
      </c>
      <c r="BQ24" s="322">
        <f>'P NP JAPUNG IKAN'!AN40</f>
        <v>0</v>
      </c>
      <c r="BR24" s="322">
        <f>'P NP JAPUNG IKAN'!AM41</f>
        <v>0</v>
      </c>
      <c r="BS24" s="322">
        <f>'P NP JAPUNG IKAN'!AN41</f>
        <v>0</v>
      </c>
      <c r="BT24" s="322">
        <f>'P NP JAPUNG IKAN'!AM42</f>
        <v>0</v>
      </c>
      <c r="BU24" s="322">
        <f>'P NP JAPUNG IKAN'!AN42</f>
        <v>0</v>
      </c>
      <c r="BV24" s="322">
        <f>'P NP JAPUNG IKAN'!AM43</f>
        <v>0</v>
      </c>
      <c r="BW24" s="322">
        <f>'P NP JAPUNG IKAN'!AN43</f>
        <v>0</v>
      </c>
      <c r="BX24" s="322">
        <f>'P NP JAPUNG IKAN'!AM44</f>
        <v>0</v>
      </c>
      <c r="BY24" s="322">
        <f>'P NP JAPUNG IKAN'!AN44</f>
        <v>0</v>
      </c>
    </row>
    <row r="25" spans="1:77">
      <c r="A25" s="260" t="s">
        <v>125</v>
      </c>
      <c r="B25" s="320">
        <f t="shared" si="2"/>
        <v>142052.85999999999</v>
      </c>
      <c r="C25" s="320">
        <f t="shared" si="3"/>
        <v>3441218</v>
      </c>
      <c r="D25" s="322">
        <f>'P NP JAPUNG IKAN'!AO8</f>
        <v>0</v>
      </c>
      <c r="E25" s="322">
        <f>'P NP JAPUNG IKAN'!AP8</f>
        <v>0</v>
      </c>
      <c r="F25" s="322">
        <f>'P NP JAPUNG IKAN'!AO9</f>
        <v>0</v>
      </c>
      <c r="G25" s="322">
        <f>'P NP JAPUNG IKAN'!AP9</f>
        <v>0</v>
      </c>
      <c r="H25" s="322">
        <f>'P NP JAPUNG IKAN'!AO10</f>
        <v>0</v>
      </c>
      <c r="I25" s="322">
        <f>'P NP JAPUNG IKAN'!AP10</f>
        <v>0</v>
      </c>
      <c r="J25" s="322">
        <f>'P NP JAPUNG IKAN'!AO11</f>
        <v>0</v>
      </c>
      <c r="K25" s="322">
        <f>'P NP JAPUNG IKAN'!AP11</f>
        <v>0</v>
      </c>
      <c r="L25" s="322">
        <f>'P NP JAPUNG IKAN'!AO12</f>
        <v>0</v>
      </c>
      <c r="M25" s="322">
        <f>'P NP JAPUNG IKAN'!AP12</f>
        <v>0</v>
      </c>
      <c r="N25" s="322">
        <f>'P NP JAPUNG IKAN'!AO13</f>
        <v>0</v>
      </c>
      <c r="O25" s="322">
        <f>'P NP JAPUNG IKAN'!AP13</f>
        <v>0</v>
      </c>
      <c r="P25" s="322">
        <f>'P NP JAPUNG IKAN'!AO14</f>
        <v>0</v>
      </c>
      <c r="Q25" s="322">
        <f>'P NP JAPUNG IKAN'!AP14</f>
        <v>0</v>
      </c>
      <c r="R25" s="322">
        <f>'P NP JAPUNG IKAN'!AO15</f>
        <v>0</v>
      </c>
      <c r="S25" s="322">
        <f>'P NP JAPUNG IKAN'!AP15</f>
        <v>0</v>
      </c>
      <c r="T25" s="322">
        <f>'P NP JAPUNG IKAN'!AO16</f>
        <v>0</v>
      </c>
      <c r="U25" s="322">
        <f>'P NP JAPUNG IKAN'!AP16</f>
        <v>0</v>
      </c>
      <c r="V25" s="322">
        <f>'P NP JAPUNG IKAN'!AO17</f>
        <v>0</v>
      </c>
      <c r="W25" s="322">
        <f>'P NP JAPUNG IKAN'!AP17</f>
        <v>0</v>
      </c>
      <c r="X25" s="322">
        <f>'P NP JAPUNG IKAN'!AO18</f>
        <v>0</v>
      </c>
      <c r="Y25" s="322">
        <f>'P NP JAPUNG IKAN'!AP18</f>
        <v>0</v>
      </c>
      <c r="Z25" s="322">
        <f>'P NP JAPUNG IKAN'!AO19</f>
        <v>0</v>
      </c>
      <c r="AA25" s="322">
        <f>'P NP JAPUNG IKAN'!AP19</f>
        <v>0</v>
      </c>
      <c r="AB25" s="322">
        <f>'P NP JAPUNG IKAN'!AO20</f>
        <v>0</v>
      </c>
      <c r="AC25" s="322">
        <f>'P NP JAPUNG IKAN'!AP20</f>
        <v>0</v>
      </c>
      <c r="AD25" s="322">
        <f>'P NP JAPUNG IKAN'!AO21</f>
        <v>0</v>
      </c>
      <c r="AE25" s="322">
        <f>'P NP JAPUNG IKAN'!AP21</f>
        <v>0</v>
      </c>
      <c r="AF25" s="322">
        <f>'P NP JAPUNG IKAN'!AO22</f>
        <v>0</v>
      </c>
      <c r="AG25" s="322">
        <f>'P NP JAPUNG IKAN'!AP22</f>
        <v>0</v>
      </c>
      <c r="AH25" s="322">
        <f>'P NP JAPUNG IKAN'!AO23</f>
        <v>0</v>
      </c>
      <c r="AI25" s="322">
        <f>'P NP JAPUNG IKAN'!AP23</f>
        <v>0</v>
      </c>
      <c r="AJ25" s="322">
        <f>'P NP JAPUNG IKAN'!AO24</f>
        <v>0</v>
      </c>
      <c r="AK25" s="322">
        <f>'P NP JAPUNG IKAN'!AP24</f>
        <v>0</v>
      </c>
      <c r="AL25" s="322">
        <f>'P NP JAPUNG IKAN'!AO25</f>
        <v>0</v>
      </c>
      <c r="AM25" s="322">
        <f>'P NP JAPUNG IKAN'!AP25</f>
        <v>0</v>
      </c>
      <c r="AN25" s="322">
        <f>'P NP JAPUNG IKAN'!AO26</f>
        <v>131677.93999999997</v>
      </c>
      <c r="AO25" s="322">
        <f>'P NP JAPUNG IKAN'!AP26</f>
        <v>3231814</v>
      </c>
      <c r="AP25" s="322">
        <f>'P NP JAPUNG IKAN'!AO27</f>
        <v>10374.92</v>
      </c>
      <c r="AQ25" s="322">
        <f>'P NP JAPUNG IKAN'!AP27</f>
        <v>209404</v>
      </c>
      <c r="AR25" s="322">
        <f>'P NP JAPUNG IKAN'!AO28</f>
        <v>0</v>
      </c>
      <c r="AS25" s="322">
        <f>'P NP JAPUNG IKAN'!AP28</f>
        <v>0</v>
      </c>
      <c r="AT25" s="322">
        <f>'P NP JAPUNG IKAN'!AO29</f>
        <v>0</v>
      </c>
      <c r="AU25" s="322">
        <f>'P NP JAPUNG IKAN'!AP29</f>
        <v>0</v>
      </c>
      <c r="AV25" s="322">
        <f>'P NP JAPUNG IKAN'!AO30</f>
        <v>0</v>
      </c>
      <c r="AW25" s="322">
        <f>'P NP JAPUNG IKAN'!AP30</f>
        <v>0</v>
      </c>
      <c r="AX25" s="322">
        <f>'P NP JAPUNG IKAN'!AO31</f>
        <v>0</v>
      </c>
      <c r="AY25" s="322">
        <f>'P NP JAPUNG IKAN'!AP31</f>
        <v>0</v>
      </c>
      <c r="AZ25" s="322">
        <f>'P NP JAPUNG IKAN'!AO32</f>
        <v>0</v>
      </c>
      <c r="BA25" s="322">
        <f>'P NP JAPUNG IKAN'!AP32</f>
        <v>0</v>
      </c>
      <c r="BB25" s="322">
        <f>'P NP JAPUNG IKAN'!AO33</f>
        <v>0</v>
      </c>
      <c r="BC25" s="322">
        <f>'P NP JAPUNG IKAN'!AP33</f>
        <v>0</v>
      </c>
      <c r="BD25" s="322">
        <f>'P NP JAPUNG IKAN'!AO34</f>
        <v>0</v>
      </c>
      <c r="BE25" s="322">
        <f>'P NP JAPUNG IKAN'!AP34</f>
        <v>0</v>
      </c>
      <c r="BF25" s="322">
        <f>'P NP JAPUNG IKAN'!AO35</f>
        <v>0</v>
      </c>
      <c r="BG25" s="322">
        <f>'P NP JAPUNG IKAN'!AP35</f>
        <v>0</v>
      </c>
      <c r="BH25" s="322">
        <f>'P NP JAPUNG IKAN'!AO36</f>
        <v>0</v>
      </c>
      <c r="BI25" s="322">
        <f>'P NP JAPUNG IKAN'!AP36</f>
        <v>0</v>
      </c>
      <c r="BJ25" s="322">
        <f>'P NP JAPUNG IKAN'!AO37</f>
        <v>0</v>
      </c>
      <c r="BK25" s="322">
        <f>'P NP JAPUNG IKAN'!AP37</f>
        <v>0</v>
      </c>
      <c r="BL25" s="322">
        <f>'P NP JAPUNG IKAN'!AO38</f>
        <v>0</v>
      </c>
      <c r="BM25" s="322">
        <f>'P NP JAPUNG IKAN'!AP38</f>
        <v>0</v>
      </c>
      <c r="BN25" s="322">
        <f>'P NP JAPUNG IKAN'!AO39</f>
        <v>0</v>
      </c>
      <c r="BO25" s="322">
        <f>'P NP JAPUNG IKAN'!AP39</f>
        <v>0</v>
      </c>
      <c r="BP25" s="322">
        <f>'P NP JAPUNG IKAN'!AO40</f>
        <v>0</v>
      </c>
      <c r="BQ25" s="322">
        <f>'P NP JAPUNG IKAN'!AP40</f>
        <v>0</v>
      </c>
      <c r="BR25" s="322">
        <f>'P NP JAPUNG IKAN'!AO41</f>
        <v>0</v>
      </c>
      <c r="BS25" s="322">
        <f>'P NP JAPUNG IKAN'!AP41</f>
        <v>0</v>
      </c>
      <c r="BT25" s="322">
        <f>'P NP JAPUNG IKAN'!AO42</f>
        <v>0</v>
      </c>
      <c r="BU25" s="322">
        <f>'P NP JAPUNG IKAN'!AP42</f>
        <v>0</v>
      </c>
      <c r="BV25" s="322">
        <f>'P NP JAPUNG IKAN'!AO43</f>
        <v>0</v>
      </c>
      <c r="BW25" s="322">
        <f>'P NP JAPUNG IKAN'!AP43</f>
        <v>0</v>
      </c>
      <c r="BX25" s="322">
        <f>'P NP JAPUNG IKAN'!AO44</f>
        <v>0</v>
      </c>
      <c r="BY25" s="322">
        <f>'P NP JAPUNG IKAN'!AP44</f>
        <v>0</v>
      </c>
    </row>
    <row r="26" spans="1:77">
      <c r="A26" s="260" t="s">
        <v>113</v>
      </c>
      <c r="B26" s="320">
        <f t="shared" si="2"/>
        <v>17603</v>
      </c>
      <c r="C26" s="320">
        <f t="shared" si="3"/>
        <v>569904</v>
      </c>
      <c r="D26" s="322">
        <f>'P NP JAPUNG IKAN'!AQ8</f>
        <v>0</v>
      </c>
      <c r="E26" s="322">
        <f>'P NP JAPUNG IKAN'!AR8</f>
        <v>0</v>
      </c>
      <c r="F26" s="322">
        <f>'P NP JAPUNG IKAN'!AQ9</f>
        <v>0</v>
      </c>
      <c r="G26" s="322">
        <f>'P NP JAPUNG IKAN'!AR9</f>
        <v>0</v>
      </c>
      <c r="H26" s="322">
        <f>'P NP JAPUNG IKAN'!AQ10</f>
        <v>0</v>
      </c>
      <c r="I26" s="322">
        <f>'P NP JAPUNG IKAN'!AR10</f>
        <v>0</v>
      </c>
      <c r="J26" s="322">
        <f>'P NP JAPUNG IKAN'!AQ11</f>
        <v>0</v>
      </c>
      <c r="K26" s="322">
        <f>'P NP JAPUNG IKAN'!AR11</f>
        <v>0</v>
      </c>
      <c r="L26" s="322">
        <f>'P NP JAPUNG IKAN'!AQ12</f>
        <v>0</v>
      </c>
      <c r="M26" s="322">
        <f>'P NP JAPUNG IKAN'!AR12</f>
        <v>0</v>
      </c>
      <c r="N26" s="322">
        <f>'P NP JAPUNG IKAN'!AQ13</f>
        <v>0</v>
      </c>
      <c r="O26" s="322">
        <f>'P NP JAPUNG IKAN'!AR13</f>
        <v>0</v>
      </c>
      <c r="P26" s="322">
        <f>'P NP JAPUNG IKAN'!AQ14</f>
        <v>0</v>
      </c>
      <c r="Q26" s="322">
        <f>'P NP JAPUNG IKAN'!AR14</f>
        <v>0</v>
      </c>
      <c r="R26" s="322">
        <f>'P NP JAPUNG IKAN'!AQ15</f>
        <v>0</v>
      </c>
      <c r="S26" s="322">
        <f>'P NP JAPUNG IKAN'!AR15</f>
        <v>0</v>
      </c>
      <c r="T26" s="322">
        <f>'P NP JAPUNG IKAN'!AQ16</f>
        <v>0</v>
      </c>
      <c r="U26" s="322">
        <f>'P NP JAPUNG IKAN'!AR16</f>
        <v>0</v>
      </c>
      <c r="V26" s="322">
        <f>'P NP JAPUNG IKAN'!AQ17</f>
        <v>0</v>
      </c>
      <c r="W26" s="322">
        <f>'P NP JAPUNG IKAN'!AR17</f>
        <v>0</v>
      </c>
      <c r="X26" s="322">
        <f>'P NP JAPUNG IKAN'!AQ18</f>
        <v>0</v>
      </c>
      <c r="Y26" s="322">
        <f>'P NP JAPUNG IKAN'!AR18</f>
        <v>0</v>
      </c>
      <c r="Z26" s="322">
        <f>'P NP JAPUNG IKAN'!AQ19</f>
        <v>0</v>
      </c>
      <c r="AA26" s="322">
        <f>'P NP JAPUNG IKAN'!AR19</f>
        <v>0</v>
      </c>
      <c r="AB26" s="322">
        <f>'P NP JAPUNG IKAN'!AQ20</f>
        <v>0</v>
      </c>
      <c r="AC26" s="322">
        <f>'P NP JAPUNG IKAN'!AR20</f>
        <v>0</v>
      </c>
      <c r="AD26" s="322">
        <f>'P NP JAPUNG IKAN'!AQ21</f>
        <v>978</v>
      </c>
      <c r="AE26" s="322">
        <f>'P NP JAPUNG IKAN'!AR21</f>
        <v>31296</v>
      </c>
      <c r="AF26" s="322">
        <f>'P NP JAPUNG IKAN'!AQ22</f>
        <v>0</v>
      </c>
      <c r="AG26" s="322">
        <f>'P NP JAPUNG IKAN'!AR22</f>
        <v>0</v>
      </c>
      <c r="AH26" s="322">
        <f>'P NP JAPUNG IKAN'!AQ23</f>
        <v>0</v>
      </c>
      <c r="AI26" s="322">
        <f>'P NP JAPUNG IKAN'!AR23</f>
        <v>0</v>
      </c>
      <c r="AJ26" s="322">
        <f>'P NP JAPUNG IKAN'!AQ24</f>
        <v>0</v>
      </c>
      <c r="AK26" s="322">
        <f>'P NP JAPUNG IKAN'!AR24</f>
        <v>0</v>
      </c>
      <c r="AL26" s="322">
        <f>'P NP JAPUNG IKAN'!AQ25</f>
        <v>0</v>
      </c>
      <c r="AM26" s="322">
        <f>'P NP JAPUNG IKAN'!AR25</f>
        <v>0</v>
      </c>
      <c r="AN26" s="322">
        <f>'P NP JAPUNG IKAN'!AQ26</f>
        <v>16625</v>
      </c>
      <c r="AO26" s="322">
        <f>'P NP JAPUNG IKAN'!AR26</f>
        <v>538608</v>
      </c>
      <c r="AP26" s="322">
        <f>'P NP JAPUNG IKAN'!AQ27</f>
        <v>0</v>
      </c>
      <c r="AQ26" s="322">
        <f>'P NP JAPUNG IKAN'!AR27</f>
        <v>0</v>
      </c>
      <c r="AR26" s="322">
        <f>'P NP JAPUNG IKAN'!AQ28</f>
        <v>0</v>
      </c>
      <c r="AS26" s="322">
        <f>'P NP JAPUNG IKAN'!AR28</f>
        <v>0</v>
      </c>
      <c r="AT26" s="322">
        <f>'P NP JAPUNG IKAN'!AQ29</f>
        <v>0</v>
      </c>
      <c r="AU26" s="322">
        <f>'P NP JAPUNG IKAN'!AR29</f>
        <v>0</v>
      </c>
      <c r="AV26" s="322">
        <f>'P NP JAPUNG IKAN'!AQ30</f>
        <v>0</v>
      </c>
      <c r="AW26" s="322">
        <f>'P NP JAPUNG IKAN'!AR30</f>
        <v>0</v>
      </c>
      <c r="AX26" s="322">
        <f>'P NP JAPUNG IKAN'!AQ31</f>
        <v>0</v>
      </c>
      <c r="AY26" s="322">
        <f>'P NP JAPUNG IKAN'!AR31</f>
        <v>0</v>
      </c>
      <c r="AZ26" s="322">
        <f>'P NP JAPUNG IKAN'!AQ32</f>
        <v>0</v>
      </c>
      <c r="BA26" s="322">
        <f>'P NP JAPUNG IKAN'!AR32</f>
        <v>0</v>
      </c>
      <c r="BB26" s="322">
        <f>'P NP JAPUNG IKAN'!AQ33</f>
        <v>0</v>
      </c>
      <c r="BC26" s="322">
        <f>'P NP JAPUNG IKAN'!AR33</f>
        <v>0</v>
      </c>
      <c r="BD26" s="322">
        <f>'P NP JAPUNG IKAN'!AQ34</f>
        <v>0</v>
      </c>
      <c r="BE26" s="322">
        <f>'P NP JAPUNG IKAN'!AR34</f>
        <v>0</v>
      </c>
      <c r="BF26" s="322">
        <f>'P NP JAPUNG IKAN'!AQ35</f>
        <v>0</v>
      </c>
      <c r="BG26" s="322">
        <f>'P NP JAPUNG IKAN'!AR35</f>
        <v>0</v>
      </c>
      <c r="BH26" s="322">
        <f>'P NP JAPUNG IKAN'!AQ36</f>
        <v>0</v>
      </c>
      <c r="BI26" s="322">
        <f>'P NP JAPUNG IKAN'!AR36</f>
        <v>0</v>
      </c>
      <c r="BJ26" s="322">
        <f>'P NP JAPUNG IKAN'!AQ37</f>
        <v>0</v>
      </c>
      <c r="BK26" s="322">
        <f>'P NP JAPUNG IKAN'!AR37</f>
        <v>0</v>
      </c>
      <c r="BL26" s="322">
        <f>'P NP JAPUNG IKAN'!AQ38</f>
        <v>0</v>
      </c>
      <c r="BM26" s="322">
        <f>'P NP JAPUNG IKAN'!AR38</f>
        <v>0</v>
      </c>
      <c r="BN26" s="322">
        <f>'P NP JAPUNG IKAN'!AQ39</f>
        <v>0</v>
      </c>
      <c r="BO26" s="322">
        <f>'P NP JAPUNG IKAN'!AR39</f>
        <v>0</v>
      </c>
      <c r="BP26" s="322">
        <f>'P NP JAPUNG IKAN'!AQ40</f>
        <v>0</v>
      </c>
      <c r="BQ26" s="322">
        <f>'P NP JAPUNG IKAN'!AR40</f>
        <v>0</v>
      </c>
      <c r="BR26" s="322">
        <f>'P NP JAPUNG IKAN'!AQ41</f>
        <v>0</v>
      </c>
      <c r="BS26" s="322">
        <f>'P NP JAPUNG IKAN'!AR41</f>
        <v>0</v>
      </c>
      <c r="BT26" s="322">
        <f>'P NP JAPUNG IKAN'!AQ42</f>
        <v>0</v>
      </c>
      <c r="BU26" s="322">
        <f>'P NP JAPUNG IKAN'!AR42</f>
        <v>0</v>
      </c>
      <c r="BV26" s="322">
        <f>'P NP JAPUNG IKAN'!AQ43</f>
        <v>0</v>
      </c>
      <c r="BW26" s="322">
        <f>'P NP JAPUNG IKAN'!AR43</f>
        <v>0</v>
      </c>
      <c r="BX26" s="322">
        <f>'P NP JAPUNG IKAN'!AQ44</f>
        <v>0</v>
      </c>
      <c r="BY26" s="322">
        <f>'P NP JAPUNG IKAN'!AR44</f>
        <v>0</v>
      </c>
    </row>
    <row r="27" spans="1:77">
      <c r="A27" s="260" t="s">
        <v>124</v>
      </c>
      <c r="B27" s="320">
        <f t="shared" si="2"/>
        <v>28930</v>
      </c>
      <c r="C27" s="320">
        <f t="shared" si="3"/>
        <v>536740</v>
      </c>
      <c r="D27" s="322">
        <f>'P NP JAPUNG IKAN'!AS8</f>
        <v>0</v>
      </c>
      <c r="E27" s="322">
        <f>'P NP JAPUNG IKAN'!AT8</f>
        <v>0</v>
      </c>
      <c r="F27" s="322">
        <f>'P NP JAPUNG IKAN'!AS9</f>
        <v>0</v>
      </c>
      <c r="G27" s="322">
        <f>'P NP JAPUNG IKAN'!AT9</f>
        <v>0</v>
      </c>
      <c r="H27" s="322">
        <f>'P NP JAPUNG IKAN'!AS10</f>
        <v>0</v>
      </c>
      <c r="I27" s="322">
        <f>'P NP JAPUNG IKAN'!AT10</f>
        <v>0</v>
      </c>
      <c r="J27" s="322">
        <f>'P NP JAPUNG IKAN'!AS11</f>
        <v>0</v>
      </c>
      <c r="K27" s="322">
        <f>'P NP JAPUNG IKAN'!AT11</f>
        <v>0</v>
      </c>
      <c r="L27" s="322">
        <f>'P NP JAPUNG IKAN'!AS12</f>
        <v>0</v>
      </c>
      <c r="M27" s="322">
        <f>'P NP JAPUNG IKAN'!AT12</f>
        <v>0</v>
      </c>
      <c r="N27" s="322">
        <f>'P NP JAPUNG IKAN'!AS13</f>
        <v>0</v>
      </c>
      <c r="O27" s="322">
        <f>'P NP JAPUNG IKAN'!AT13</f>
        <v>0</v>
      </c>
      <c r="P27" s="322">
        <f>'P NP JAPUNG IKAN'!AS14</f>
        <v>0</v>
      </c>
      <c r="Q27" s="322">
        <f>'P NP JAPUNG IKAN'!AT14</f>
        <v>0</v>
      </c>
      <c r="R27" s="322">
        <f>'P NP JAPUNG IKAN'!AS15</f>
        <v>0</v>
      </c>
      <c r="S27" s="322">
        <f>'P NP JAPUNG IKAN'!AT15</f>
        <v>0</v>
      </c>
      <c r="T27" s="322">
        <f>'P NP JAPUNG IKAN'!AS16</f>
        <v>0</v>
      </c>
      <c r="U27" s="322">
        <f>'P NP JAPUNG IKAN'!AT16</f>
        <v>0</v>
      </c>
      <c r="V27" s="322">
        <f>'P NP JAPUNG IKAN'!AS17</f>
        <v>0</v>
      </c>
      <c r="W27" s="322">
        <f>'P NP JAPUNG IKAN'!AT17</f>
        <v>0</v>
      </c>
      <c r="X27" s="322">
        <f>'P NP JAPUNG IKAN'!AS18</f>
        <v>0</v>
      </c>
      <c r="Y27" s="322">
        <f>'P NP JAPUNG IKAN'!AT18</f>
        <v>0</v>
      </c>
      <c r="Z27" s="322">
        <f>'P NP JAPUNG IKAN'!AS19</f>
        <v>0</v>
      </c>
      <c r="AA27" s="322">
        <f>'P NP JAPUNG IKAN'!AT19</f>
        <v>0</v>
      </c>
      <c r="AB27" s="322">
        <f>'P NP JAPUNG IKAN'!AS20</f>
        <v>0</v>
      </c>
      <c r="AC27" s="322">
        <f>'P NP JAPUNG IKAN'!AT20</f>
        <v>0</v>
      </c>
      <c r="AD27" s="322">
        <f>'P NP JAPUNG IKAN'!AS21</f>
        <v>0</v>
      </c>
      <c r="AE27" s="322">
        <f>'P NP JAPUNG IKAN'!AT21</f>
        <v>0</v>
      </c>
      <c r="AF27" s="322">
        <f>'P NP JAPUNG IKAN'!AS22</f>
        <v>0</v>
      </c>
      <c r="AG27" s="322">
        <f>'P NP JAPUNG IKAN'!AT22</f>
        <v>0</v>
      </c>
      <c r="AH27" s="322">
        <f>'P NP JAPUNG IKAN'!AS23</f>
        <v>0</v>
      </c>
      <c r="AI27" s="322">
        <f>'P NP JAPUNG IKAN'!AT23</f>
        <v>0</v>
      </c>
      <c r="AJ27" s="322">
        <f>'P NP JAPUNG IKAN'!AS24</f>
        <v>0</v>
      </c>
      <c r="AK27" s="322">
        <f>'P NP JAPUNG IKAN'!AT24</f>
        <v>0</v>
      </c>
      <c r="AL27" s="322">
        <f>'P NP JAPUNG IKAN'!AS25</f>
        <v>0</v>
      </c>
      <c r="AM27" s="322">
        <f>'P NP JAPUNG IKAN'!AT25</f>
        <v>0</v>
      </c>
      <c r="AN27" s="322">
        <f>'P NP JAPUNG IKAN'!AS26</f>
        <v>28930</v>
      </c>
      <c r="AO27" s="322">
        <f>'P NP JAPUNG IKAN'!AT26</f>
        <v>536740</v>
      </c>
      <c r="AP27" s="322">
        <f>'P NP JAPUNG IKAN'!AS27</f>
        <v>0</v>
      </c>
      <c r="AQ27" s="322">
        <f>'P NP JAPUNG IKAN'!AT27</f>
        <v>0</v>
      </c>
      <c r="AR27" s="322">
        <f>'P NP JAPUNG IKAN'!AS28</f>
        <v>0</v>
      </c>
      <c r="AS27" s="322">
        <f>'P NP JAPUNG IKAN'!AT28</f>
        <v>0</v>
      </c>
      <c r="AT27" s="322">
        <f>'P NP JAPUNG IKAN'!AS29</f>
        <v>0</v>
      </c>
      <c r="AU27" s="322">
        <f>'P NP JAPUNG IKAN'!AT29</f>
        <v>0</v>
      </c>
      <c r="AV27" s="322">
        <f>'P NP JAPUNG IKAN'!AS30</f>
        <v>0</v>
      </c>
      <c r="AW27" s="322">
        <f>'P NP JAPUNG IKAN'!AT30</f>
        <v>0</v>
      </c>
      <c r="AX27" s="322">
        <f>'P NP JAPUNG IKAN'!AS31</f>
        <v>0</v>
      </c>
      <c r="AY27" s="322">
        <f>'P NP JAPUNG IKAN'!AT31</f>
        <v>0</v>
      </c>
      <c r="AZ27" s="322">
        <f>'P NP JAPUNG IKAN'!AS32</f>
        <v>0</v>
      </c>
      <c r="BA27" s="322">
        <f>'P NP JAPUNG IKAN'!AT32</f>
        <v>0</v>
      </c>
      <c r="BB27" s="322">
        <f>'P NP JAPUNG IKAN'!AS33</f>
        <v>0</v>
      </c>
      <c r="BC27" s="322">
        <f>'P NP JAPUNG IKAN'!AT33</f>
        <v>0</v>
      </c>
      <c r="BD27" s="322">
        <f>'P NP JAPUNG IKAN'!AS34</f>
        <v>0</v>
      </c>
      <c r="BE27" s="322">
        <f>'P NP JAPUNG IKAN'!AT34</f>
        <v>0</v>
      </c>
      <c r="BF27" s="322">
        <f>'P NP JAPUNG IKAN'!AS35</f>
        <v>0</v>
      </c>
      <c r="BG27" s="322">
        <f>'P NP JAPUNG IKAN'!AT35</f>
        <v>0</v>
      </c>
      <c r="BH27" s="322">
        <f>'P NP JAPUNG IKAN'!AS36</f>
        <v>0</v>
      </c>
      <c r="BI27" s="322">
        <f>'P NP JAPUNG IKAN'!AT36</f>
        <v>0</v>
      </c>
      <c r="BJ27" s="322">
        <f>'P NP JAPUNG IKAN'!AS37</f>
        <v>0</v>
      </c>
      <c r="BK27" s="322">
        <f>'P NP JAPUNG IKAN'!AT37</f>
        <v>0</v>
      </c>
      <c r="BL27" s="322">
        <f>'P NP JAPUNG IKAN'!AS38</f>
        <v>0</v>
      </c>
      <c r="BM27" s="322">
        <f>'P NP JAPUNG IKAN'!AT38</f>
        <v>0</v>
      </c>
      <c r="BN27" s="322">
        <f>'P NP JAPUNG IKAN'!AS39</f>
        <v>0</v>
      </c>
      <c r="BO27" s="322">
        <f>'P NP JAPUNG IKAN'!AT39</f>
        <v>0</v>
      </c>
      <c r="BP27" s="322">
        <f>'P NP JAPUNG IKAN'!AS40</f>
        <v>0</v>
      </c>
      <c r="BQ27" s="322">
        <f>'P NP JAPUNG IKAN'!AT40</f>
        <v>0</v>
      </c>
      <c r="BR27" s="322">
        <f>'P NP JAPUNG IKAN'!AS41</f>
        <v>0</v>
      </c>
      <c r="BS27" s="322">
        <f>'P NP JAPUNG IKAN'!AT41</f>
        <v>0</v>
      </c>
      <c r="BT27" s="322">
        <f>'P NP JAPUNG IKAN'!AS42</f>
        <v>0</v>
      </c>
      <c r="BU27" s="322">
        <f>'P NP JAPUNG IKAN'!AT42</f>
        <v>0</v>
      </c>
      <c r="BV27" s="322">
        <f>'P NP JAPUNG IKAN'!AS43</f>
        <v>0</v>
      </c>
      <c r="BW27" s="322">
        <f>'P NP JAPUNG IKAN'!AT43</f>
        <v>0</v>
      </c>
      <c r="BX27" s="322">
        <f>'P NP JAPUNG IKAN'!AS44</f>
        <v>0</v>
      </c>
      <c r="BY27" s="322">
        <f>'P NP JAPUNG IKAN'!AT44</f>
        <v>0</v>
      </c>
    </row>
    <row r="28" spans="1:77">
      <c r="A28" s="260" t="s">
        <v>138</v>
      </c>
      <c r="B28" s="320">
        <f t="shared" si="2"/>
        <v>0</v>
      </c>
      <c r="C28" s="320">
        <f t="shared" si="3"/>
        <v>0</v>
      </c>
      <c r="D28" s="322">
        <f>'P NP JAPUNG IKAN'!AU8</f>
        <v>0</v>
      </c>
      <c r="E28" s="322">
        <f>'P NP JAPUNG IKAN'!AV8</f>
        <v>0</v>
      </c>
      <c r="F28" s="322">
        <f>'P NP JAPUNG IKAN'!AU9</f>
        <v>0</v>
      </c>
      <c r="G28" s="322">
        <f>'P NP JAPUNG IKAN'!AV9</f>
        <v>0</v>
      </c>
      <c r="H28" s="322">
        <f>'P NP JAPUNG IKAN'!AU10</f>
        <v>0</v>
      </c>
      <c r="I28" s="322">
        <f>'P NP JAPUNG IKAN'!AV10</f>
        <v>0</v>
      </c>
      <c r="J28" s="322">
        <f>'P NP JAPUNG IKAN'!AU11</f>
        <v>0</v>
      </c>
      <c r="K28" s="322">
        <f>'P NP JAPUNG IKAN'!AV11</f>
        <v>0</v>
      </c>
      <c r="L28" s="322">
        <f>'P NP JAPUNG IKAN'!AU12</f>
        <v>0</v>
      </c>
      <c r="M28" s="322">
        <f>'P NP JAPUNG IKAN'!AV12</f>
        <v>0</v>
      </c>
      <c r="N28" s="322">
        <f>'P NP JAPUNG IKAN'!AU13</f>
        <v>0</v>
      </c>
      <c r="O28" s="322">
        <f>'P NP JAPUNG IKAN'!AV13</f>
        <v>0</v>
      </c>
      <c r="P28" s="322">
        <f>'P NP JAPUNG IKAN'!AU14</f>
        <v>0</v>
      </c>
      <c r="Q28" s="322">
        <f>'P NP JAPUNG IKAN'!AV14</f>
        <v>0</v>
      </c>
      <c r="R28" s="322">
        <f>'P NP JAPUNG IKAN'!AU15</f>
        <v>0</v>
      </c>
      <c r="S28" s="322">
        <f>'P NP JAPUNG IKAN'!AV15</f>
        <v>0</v>
      </c>
      <c r="T28" s="322">
        <f>'P NP JAPUNG IKAN'!AU16</f>
        <v>0</v>
      </c>
      <c r="U28" s="322">
        <f>'P NP JAPUNG IKAN'!AV16</f>
        <v>0</v>
      </c>
      <c r="V28" s="322">
        <f>'P NP JAPUNG IKAN'!AU17</f>
        <v>0</v>
      </c>
      <c r="W28" s="322">
        <f>'P NP JAPUNG IKAN'!AV17</f>
        <v>0</v>
      </c>
      <c r="X28" s="322">
        <f>'P NP JAPUNG IKAN'!AU18</f>
        <v>0</v>
      </c>
      <c r="Y28" s="322">
        <f>'P NP JAPUNG IKAN'!AV18</f>
        <v>0</v>
      </c>
      <c r="Z28" s="322">
        <f>'P NP JAPUNG IKAN'!AU19</f>
        <v>0</v>
      </c>
      <c r="AA28" s="322">
        <f>'P NP JAPUNG IKAN'!AV19</f>
        <v>0</v>
      </c>
      <c r="AB28" s="322">
        <f>'P NP JAPUNG IKAN'!AU20</f>
        <v>0</v>
      </c>
      <c r="AC28" s="322">
        <f>'P NP JAPUNG IKAN'!AV20</f>
        <v>0</v>
      </c>
      <c r="AD28" s="322">
        <f>'P NP JAPUNG IKAN'!AU21</f>
        <v>0</v>
      </c>
      <c r="AE28" s="322">
        <f>'P NP JAPUNG IKAN'!AV21</f>
        <v>0</v>
      </c>
      <c r="AF28" s="322">
        <f>'P NP JAPUNG IKAN'!AU22</f>
        <v>0</v>
      </c>
      <c r="AG28" s="322">
        <f>'P NP JAPUNG IKAN'!AV22</f>
        <v>0</v>
      </c>
      <c r="AH28" s="322">
        <f>'P NP JAPUNG IKAN'!AU23</f>
        <v>0</v>
      </c>
      <c r="AI28" s="322">
        <f>'P NP JAPUNG IKAN'!AV23</f>
        <v>0</v>
      </c>
      <c r="AJ28" s="322">
        <f>'P NP JAPUNG IKAN'!AU24</f>
        <v>0</v>
      </c>
      <c r="AK28" s="322">
        <f>'P NP JAPUNG IKAN'!AV24</f>
        <v>0</v>
      </c>
      <c r="AL28" s="322">
        <f>'P NP JAPUNG IKAN'!AU25</f>
        <v>0</v>
      </c>
      <c r="AM28" s="322">
        <f>'P NP JAPUNG IKAN'!AV25</f>
        <v>0</v>
      </c>
      <c r="AN28" s="322">
        <f>'P NP JAPUNG IKAN'!AU26</f>
        <v>0</v>
      </c>
      <c r="AO28" s="322">
        <f>'P NP JAPUNG IKAN'!AV26</f>
        <v>0</v>
      </c>
      <c r="AP28" s="322">
        <f>'P NP JAPUNG IKAN'!AU27</f>
        <v>0</v>
      </c>
      <c r="AQ28" s="322">
        <f>'P NP JAPUNG IKAN'!AV27</f>
        <v>0</v>
      </c>
      <c r="AR28" s="322">
        <f>'P NP JAPUNG IKAN'!AU28</f>
        <v>0</v>
      </c>
      <c r="AS28" s="322">
        <f>'P NP JAPUNG IKAN'!AV28</f>
        <v>0</v>
      </c>
      <c r="AT28" s="322">
        <f>'P NP JAPUNG IKAN'!AU29</f>
        <v>0</v>
      </c>
      <c r="AU28" s="322">
        <f>'P NP JAPUNG IKAN'!AV29</f>
        <v>0</v>
      </c>
      <c r="AV28" s="322">
        <f>'P NP JAPUNG IKAN'!AU30</f>
        <v>0</v>
      </c>
      <c r="AW28" s="322">
        <f>'P NP JAPUNG IKAN'!AV30</f>
        <v>0</v>
      </c>
      <c r="AX28" s="322">
        <f>'P NP JAPUNG IKAN'!AU31</f>
        <v>0</v>
      </c>
      <c r="AY28" s="322">
        <f>'P NP JAPUNG IKAN'!AV31</f>
        <v>0</v>
      </c>
      <c r="AZ28" s="322">
        <f>'P NP JAPUNG IKAN'!AU32</f>
        <v>0</v>
      </c>
      <c r="BA28" s="322">
        <f>'P NP JAPUNG IKAN'!AV32</f>
        <v>0</v>
      </c>
      <c r="BB28" s="322">
        <f>'P NP JAPUNG IKAN'!AU33</f>
        <v>0</v>
      </c>
      <c r="BC28" s="322">
        <f>'P NP JAPUNG IKAN'!AV33</f>
        <v>0</v>
      </c>
      <c r="BD28" s="322">
        <f>'P NP JAPUNG IKAN'!AU34</f>
        <v>0</v>
      </c>
      <c r="BE28" s="322">
        <f>'P NP JAPUNG IKAN'!AV34</f>
        <v>0</v>
      </c>
      <c r="BF28" s="322">
        <f>'P NP JAPUNG IKAN'!AU35</f>
        <v>0</v>
      </c>
      <c r="BG28" s="322">
        <f>'P NP JAPUNG IKAN'!AV35</f>
        <v>0</v>
      </c>
      <c r="BH28" s="322">
        <f>'P NP JAPUNG IKAN'!AU36</f>
        <v>0</v>
      </c>
      <c r="BI28" s="322">
        <f>'P NP JAPUNG IKAN'!AV36</f>
        <v>0</v>
      </c>
      <c r="BJ28" s="322">
        <f>'P NP JAPUNG IKAN'!AU37</f>
        <v>0</v>
      </c>
      <c r="BK28" s="322">
        <f>'P NP JAPUNG IKAN'!AV37</f>
        <v>0</v>
      </c>
      <c r="BL28" s="322">
        <f>'P NP JAPUNG IKAN'!AU38</f>
        <v>0</v>
      </c>
      <c r="BM28" s="322">
        <f>'P NP JAPUNG IKAN'!AV38</f>
        <v>0</v>
      </c>
      <c r="BN28" s="322">
        <f>'P NP JAPUNG IKAN'!AU39</f>
        <v>0</v>
      </c>
      <c r="BO28" s="322">
        <f>'P NP JAPUNG IKAN'!AV39</f>
        <v>0</v>
      </c>
      <c r="BP28" s="322">
        <f>'P NP JAPUNG IKAN'!AU40</f>
        <v>0</v>
      </c>
      <c r="BQ28" s="322">
        <f>'P NP JAPUNG IKAN'!AV40</f>
        <v>0</v>
      </c>
      <c r="BR28" s="322">
        <f>'P NP JAPUNG IKAN'!AU41</f>
        <v>0</v>
      </c>
      <c r="BS28" s="322">
        <f>'P NP JAPUNG IKAN'!AV41</f>
        <v>0</v>
      </c>
      <c r="BT28" s="322">
        <f>'P NP JAPUNG IKAN'!AU42</f>
        <v>0</v>
      </c>
      <c r="BU28" s="322">
        <f>'P NP JAPUNG IKAN'!AV42</f>
        <v>0</v>
      </c>
      <c r="BV28" s="322">
        <f>'P NP JAPUNG IKAN'!AU43</f>
        <v>0</v>
      </c>
      <c r="BW28" s="322">
        <f>'P NP JAPUNG IKAN'!AV43</f>
        <v>0</v>
      </c>
      <c r="BX28" s="322">
        <f>'P NP JAPUNG IKAN'!AU44</f>
        <v>0</v>
      </c>
      <c r="BY28" s="322">
        <f>'P NP JAPUNG IKAN'!AV44</f>
        <v>0</v>
      </c>
    </row>
    <row r="29" spans="1:77">
      <c r="A29" s="260" t="s">
        <v>126</v>
      </c>
      <c r="B29" s="320">
        <f t="shared" si="2"/>
        <v>0</v>
      </c>
      <c r="C29" s="320">
        <f t="shared" si="3"/>
        <v>0</v>
      </c>
      <c r="D29" s="322">
        <f>'P NP JAPUNG IKAN'!AW8</f>
        <v>0</v>
      </c>
      <c r="E29" s="322">
        <f>'P NP JAPUNG IKAN'!AX8</f>
        <v>0</v>
      </c>
      <c r="F29" s="322">
        <f>'P NP JAPUNG IKAN'!AW9</f>
        <v>0</v>
      </c>
      <c r="G29" s="322">
        <f>'P NP JAPUNG IKAN'!AX9</f>
        <v>0</v>
      </c>
      <c r="H29" s="322">
        <f>'P NP JAPUNG IKAN'!AW10</f>
        <v>0</v>
      </c>
      <c r="I29" s="322">
        <f>'P NP JAPUNG IKAN'!AX10</f>
        <v>0</v>
      </c>
      <c r="J29" s="322">
        <f>'P NP JAPUNG IKAN'!AW11</f>
        <v>0</v>
      </c>
      <c r="K29" s="322">
        <f>'P NP JAPUNG IKAN'!AX11</f>
        <v>0</v>
      </c>
      <c r="L29" s="322">
        <f>'P NP JAPUNG IKAN'!AW12</f>
        <v>0</v>
      </c>
      <c r="M29" s="322">
        <f>'P NP JAPUNG IKAN'!AX12</f>
        <v>0</v>
      </c>
      <c r="N29" s="322">
        <f>'P NP JAPUNG IKAN'!AW13</f>
        <v>0</v>
      </c>
      <c r="O29" s="322">
        <f>'P NP JAPUNG IKAN'!AX13</f>
        <v>0</v>
      </c>
      <c r="P29" s="322">
        <f>'P NP JAPUNG IKAN'!AW14</f>
        <v>0</v>
      </c>
      <c r="Q29" s="322">
        <f>'P NP JAPUNG IKAN'!AX14</f>
        <v>0</v>
      </c>
      <c r="R29" s="322">
        <f>'P NP JAPUNG IKAN'!AW15</f>
        <v>0</v>
      </c>
      <c r="S29" s="322">
        <f>'P NP JAPUNG IKAN'!AX15</f>
        <v>0</v>
      </c>
      <c r="T29" s="322">
        <f>'P NP JAPUNG IKAN'!AW16</f>
        <v>0</v>
      </c>
      <c r="U29" s="322">
        <f>'P NP JAPUNG IKAN'!AX16</f>
        <v>0</v>
      </c>
      <c r="V29" s="322">
        <f>'P NP JAPUNG IKAN'!AW17</f>
        <v>0</v>
      </c>
      <c r="W29" s="322">
        <f>'P NP JAPUNG IKAN'!AX17</f>
        <v>0</v>
      </c>
      <c r="X29" s="322">
        <f>'P NP JAPUNG IKAN'!AW18</f>
        <v>0</v>
      </c>
      <c r="Y29" s="322">
        <f>'P NP JAPUNG IKAN'!AX18</f>
        <v>0</v>
      </c>
      <c r="Z29" s="322">
        <f>'P NP JAPUNG IKAN'!AW19</f>
        <v>0</v>
      </c>
      <c r="AA29" s="322">
        <f>'P NP JAPUNG IKAN'!AX19</f>
        <v>0</v>
      </c>
      <c r="AB29" s="322">
        <f>'P NP JAPUNG IKAN'!AW20</f>
        <v>0</v>
      </c>
      <c r="AC29" s="322">
        <f>'P NP JAPUNG IKAN'!AX20</f>
        <v>0</v>
      </c>
      <c r="AD29" s="322">
        <f>'P NP JAPUNG IKAN'!AW21</f>
        <v>0</v>
      </c>
      <c r="AE29" s="322">
        <f>'P NP JAPUNG IKAN'!AX21</f>
        <v>0</v>
      </c>
      <c r="AF29" s="322">
        <f>'P NP JAPUNG IKAN'!AW22</f>
        <v>0</v>
      </c>
      <c r="AG29" s="322">
        <f>'P NP JAPUNG IKAN'!AX22</f>
        <v>0</v>
      </c>
      <c r="AH29" s="322">
        <f>'P NP JAPUNG IKAN'!AW23</f>
        <v>0</v>
      </c>
      <c r="AI29" s="322">
        <f>'P NP JAPUNG IKAN'!AX23</f>
        <v>0</v>
      </c>
      <c r="AJ29" s="322">
        <f>'P NP JAPUNG IKAN'!AW24</f>
        <v>0</v>
      </c>
      <c r="AK29" s="322">
        <f>'P NP JAPUNG IKAN'!AX24</f>
        <v>0</v>
      </c>
      <c r="AL29" s="322">
        <f>'P NP JAPUNG IKAN'!AW25</f>
        <v>0</v>
      </c>
      <c r="AM29" s="322">
        <f>'P NP JAPUNG IKAN'!AX25</f>
        <v>0</v>
      </c>
      <c r="AN29" s="322">
        <f>'P NP JAPUNG IKAN'!AW26</f>
        <v>0</v>
      </c>
      <c r="AO29" s="322">
        <f>'P NP JAPUNG IKAN'!AX26</f>
        <v>0</v>
      </c>
      <c r="AP29" s="322">
        <f>'P NP JAPUNG IKAN'!AW27</f>
        <v>0</v>
      </c>
      <c r="AQ29" s="322">
        <f>'P NP JAPUNG IKAN'!AX27</f>
        <v>0</v>
      </c>
      <c r="AR29" s="322">
        <f>'P NP JAPUNG IKAN'!AW28</f>
        <v>0</v>
      </c>
      <c r="AS29" s="322">
        <f>'P NP JAPUNG IKAN'!AX28</f>
        <v>0</v>
      </c>
      <c r="AT29" s="322">
        <f>'P NP JAPUNG IKAN'!AW29</f>
        <v>0</v>
      </c>
      <c r="AU29" s="322">
        <f>'P NP JAPUNG IKAN'!AX29</f>
        <v>0</v>
      </c>
      <c r="AV29" s="322">
        <f>'P NP JAPUNG IKAN'!AW30</f>
        <v>0</v>
      </c>
      <c r="AW29" s="322">
        <f>'P NP JAPUNG IKAN'!AX30</f>
        <v>0</v>
      </c>
      <c r="AX29" s="322">
        <f>'P NP JAPUNG IKAN'!AW31</f>
        <v>0</v>
      </c>
      <c r="AY29" s="322">
        <f>'P NP JAPUNG IKAN'!AX31</f>
        <v>0</v>
      </c>
      <c r="AZ29" s="322">
        <f>'P NP JAPUNG IKAN'!AW32</f>
        <v>0</v>
      </c>
      <c r="BA29" s="322">
        <f>'P NP JAPUNG IKAN'!AX32</f>
        <v>0</v>
      </c>
      <c r="BB29" s="322">
        <f>'P NP JAPUNG IKAN'!AW33</f>
        <v>0</v>
      </c>
      <c r="BC29" s="322">
        <f>'P NP JAPUNG IKAN'!AX33</f>
        <v>0</v>
      </c>
      <c r="BD29" s="322">
        <f>'P NP JAPUNG IKAN'!AW34</f>
        <v>0</v>
      </c>
      <c r="BE29" s="322">
        <f>'P NP JAPUNG IKAN'!AX34</f>
        <v>0</v>
      </c>
      <c r="BF29" s="322">
        <f>'P NP JAPUNG IKAN'!AW35</f>
        <v>0</v>
      </c>
      <c r="BG29" s="322">
        <f>'P NP JAPUNG IKAN'!AX35</f>
        <v>0</v>
      </c>
      <c r="BH29" s="322">
        <f>'P NP JAPUNG IKAN'!AW36</f>
        <v>0</v>
      </c>
      <c r="BI29" s="322">
        <f>'P NP JAPUNG IKAN'!AX36</f>
        <v>0</v>
      </c>
      <c r="BJ29" s="322">
        <f>'P NP JAPUNG IKAN'!AW37</f>
        <v>0</v>
      </c>
      <c r="BK29" s="322">
        <f>'P NP JAPUNG IKAN'!AX37</f>
        <v>0</v>
      </c>
      <c r="BL29" s="322">
        <f>'P NP JAPUNG IKAN'!AW38</f>
        <v>0</v>
      </c>
      <c r="BM29" s="322">
        <f>'P NP JAPUNG IKAN'!AX38</f>
        <v>0</v>
      </c>
      <c r="BN29" s="322">
        <f>'P NP JAPUNG IKAN'!AW39</f>
        <v>0</v>
      </c>
      <c r="BO29" s="322">
        <f>'P NP JAPUNG IKAN'!AX39</f>
        <v>0</v>
      </c>
      <c r="BP29" s="322">
        <f>'P NP JAPUNG IKAN'!AW40</f>
        <v>0</v>
      </c>
      <c r="BQ29" s="322">
        <f>'P NP JAPUNG IKAN'!AX40</f>
        <v>0</v>
      </c>
      <c r="BR29" s="322">
        <f>'P NP JAPUNG IKAN'!AW41</f>
        <v>0</v>
      </c>
      <c r="BS29" s="322">
        <f>'P NP JAPUNG IKAN'!AX41</f>
        <v>0</v>
      </c>
      <c r="BT29" s="322">
        <f>'P NP JAPUNG IKAN'!AW42</f>
        <v>0</v>
      </c>
      <c r="BU29" s="322">
        <f>'P NP JAPUNG IKAN'!AX42</f>
        <v>0</v>
      </c>
      <c r="BV29" s="322">
        <f>'P NP JAPUNG IKAN'!AW43</f>
        <v>0</v>
      </c>
      <c r="BW29" s="322">
        <f>'P NP JAPUNG IKAN'!AX43</f>
        <v>0</v>
      </c>
      <c r="BX29" s="322">
        <f>'P NP JAPUNG IKAN'!AW44</f>
        <v>0</v>
      </c>
      <c r="BY29" s="322">
        <f>'P NP JAPUNG IKAN'!AX44</f>
        <v>0</v>
      </c>
    </row>
    <row r="30" spans="1:77">
      <c r="A30" s="260" t="s">
        <v>123</v>
      </c>
      <c r="B30" s="320">
        <f t="shared" si="2"/>
        <v>0</v>
      </c>
      <c r="C30" s="320">
        <f t="shared" si="3"/>
        <v>0</v>
      </c>
      <c r="D30" s="322">
        <f>'P NP JAPUNG IKAN'!AY8</f>
        <v>0</v>
      </c>
      <c r="E30" s="322">
        <f>'P NP JAPUNG IKAN'!AZ8</f>
        <v>0</v>
      </c>
      <c r="F30" s="322">
        <f>'P NP JAPUNG IKAN'!AY9</f>
        <v>0</v>
      </c>
      <c r="G30" s="322">
        <f>'P NP JAPUNG IKAN'!AZ9</f>
        <v>0</v>
      </c>
      <c r="H30" s="322">
        <f>'P NP JAPUNG IKAN'!AY10</f>
        <v>0</v>
      </c>
      <c r="I30" s="322">
        <f>'P NP JAPUNG IKAN'!AZ10</f>
        <v>0</v>
      </c>
      <c r="J30" s="322">
        <f>'P NP JAPUNG IKAN'!AY11</f>
        <v>0</v>
      </c>
      <c r="K30" s="322">
        <f>'P NP JAPUNG IKAN'!AZ11</f>
        <v>0</v>
      </c>
      <c r="L30" s="322">
        <f>'P NP JAPUNG IKAN'!AY12</f>
        <v>0</v>
      </c>
      <c r="M30" s="322">
        <f>'P NP JAPUNG IKAN'!AZ12</f>
        <v>0</v>
      </c>
      <c r="N30" s="322">
        <f>'P NP JAPUNG IKAN'!AY13</f>
        <v>0</v>
      </c>
      <c r="O30" s="322">
        <f>'P NP JAPUNG IKAN'!AZ13</f>
        <v>0</v>
      </c>
      <c r="P30" s="322">
        <f>'P NP JAPUNG IKAN'!AY14</f>
        <v>0</v>
      </c>
      <c r="Q30" s="322">
        <f>'P NP JAPUNG IKAN'!AZ14</f>
        <v>0</v>
      </c>
      <c r="R30" s="322">
        <f>'P NP JAPUNG IKAN'!AY15</f>
        <v>0</v>
      </c>
      <c r="S30" s="322">
        <f>'P NP JAPUNG IKAN'!AZ15</f>
        <v>0</v>
      </c>
      <c r="T30" s="322">
        <f>'P NP JAPUNG IKAN'!AY16</f>
        <v>0</v>
      </c>
      <c r="U30" s="322">
        <f>'P NP JAPUNG IKAN'!AZ16</f>
        <v>0</v>
      </c>
      <c r="V30" s="322">
        <f>'P NP JAPUNG IKAN'!AY17</f>
        <v>0</v>
      </c>
      <c r="W30" s="322">
        <f>'P NP JAPUNG IKAN'!AZ17</f>
        <v>0</v>
      </c>
      <c r="X30" s="322">
        <f>'P NP JAPUNG IKAN'!AY18</f>
        <v>0</v>
      </c>
      <c r="Y30" s="322">
        <f>'P NP JAPUNG IKAN'!AZ18</f>
        <v>0</v>
      </c>
      <c r="Z30" s="322">
        <f>'P NP JAPUNG IKAN'!AY19</f>
        <v>0</v>
      </c>
      <c r="AA30" s="322">
        <f>'P NP JAPUNG IKAN'!AZ19</f>
        <v>0</v>
      </c>
      <c r="AB30" s="322">
        <f>'P NP JAPUNG IKAN'!AY20</f>
        <v>0</v>
      </c>
      <c r="AC30" s="322">
        <f>'P NP JAPUNG IKAN'!AZ20</f>
        <v>0</v>
      </c>
      <c r="AD30" s="322">
        <f>'P NP JAPUNG IKAN'!AY21</f>
        <v>0</v>
      </c>
      <c r="AE30" s="322">
        <f>'P NP JAPUNG IKAN'!AZ21</f>
        <v>0</v>
      </c>
      <c r="AF30" s="322">
        <f>'P NP JAPUNG IKAN'!AY22</f>
        <v>0</v>
      </c>
      <c r="AG30" s="322">
        <f>'P NP JAPUNG IKAN'!AZ22</f>
        <v>0</v>
      </c>
      <c r="AH30" s="322">
        <f>'P NP JAPUNG IKAN'!AY23</f>
        <v>0</v>
      </c>
      <c r="AI30" s="322">
        <f>'P NP JAPUNG IKAN'!AZ23</f>
        <v>0</v>
      </c>
      <c r="AJ30" s="322">
        <f>'P NP JAPUNG IKAN'!AY24</f>
        <v>0</v>
      </c>
      <c r="AK30" s="322">
        <f>'P NP JAPUNG IKAN'!AZ24</f>
        <v>0</v>
      </c>
      <c r="AL30" s="322">
        <f>'P NP JAPUNG IKAN'!AY25</f>
        <v>0</v>
      </c>
      <c r="AM30" s="322">
        <f>'P NP JAPUNG IKAN'!AZ25</f>
        <v>0</v>
      </c>
      <c r="AN30" s="322">
        <f>'P NP JAPUNG IKAN'!AY26</f>
        <v>0</v>
      </c>
      <c r="AO30" s="322">
        <f>'P NP JAPUNG IKAN'!AZ26</f>
        <v>0</v>
      </c>
      <c r="AP30" s="322">
        <f>'P NP JAPUNG IKAN'!AY27</f>
        <v>0</v>
      </c>
      <c r="AQ30" s="322">
        <f>'P NP JAPUNG IKAN'!AZ27</f>
        <v>0</v>
      </c>
      <c r="AR30" s="322">
        <f>'P NP JAPUNG IKAN'!AY28</f>
        <v>0</v>
      </c>
      <c r="AS30" s="322">
        <f>'P NP JAPUNG IKAN'!AZ28</f>
        <v>0</v>
      </c>
      <c r="AT30" s="322">
        <f>'P NP JAPUNG IKAN'!AY29</f>
        <v>0</v>
      </c>
      <c r="AU30" s="322">
        <f>'P NP JAPUNG IKAN'!AZ29</f>
        <v>0</v>
      </c>
      <c r="AV30" s="322">
        <f>'P NP JAPUNG IKAN'!AY30</f>
        <v>0</v>
      </c>
      <c r="AW30" s="322">
        <f>'P NP JAPUNG IKAN'!AZ30</f>
        <v>0</v>
      </c>
      <c r="AX30" s="322">
        <f>'P NP JAPUNG IKAN'!AY31</f>
        <v>0</v>
      </c>
      <c r="AY30" s="322">
        <f>'P NP JAPUNG IKAN'!AZ31</f>
        <v>0</v>
      </c>
      <c r="AZ30" s="322">
        <f>'P NP JAPUNG IKAN'!AY32</f>
        <v>0</v>
      </c>
      <c r="BA30" s="322">
        <f>'P NP JAPUNG IKAN'!AZ32</f>
        <v>0</v>
      </c>
      <c r="BB30" s="322">
        <f>'P NP JAPUNG IKAN'!AY33</f>
        <v>0</v>
      </c>
      <c r="BC30" s="322">
        <f>'P NP JAPUNG IKAN'!AZ33</f>
        <v>0</v>
      </c>
      <c r="BD30" s="322">
        <f>'P NP JAPUNG IKAN'!AY34</f>
        <v>0</v>
      </c>
      <c r="BE30" s="322">
        <f>'P NP JAPUNG IKAN'!AZ34</f>
        <v>0</v>
      </c>
      <c r="BF30" s="322">
        <f>'P NP JAPUNG IKAN'!AY35</f>
        <v>0</v>
      </c>
      <c r="BG30" s="322">
        <f>'P NP JAPUNG IKAN'!AZ35</f>
        <v>0</v>
      </c>
      <c r="BH30" s="322">
        <f>'P NP JAPUNG IKAN'!AY36</f>
        <v>0</v>
      </c>
      <c r="BI30" s="322">
        <f>'P NP JAPUNG IKAN'!AZ36</f>
        <v>0</v>
      </c>
      <c r="BJ30" s="322">
        <f>'P NP JAPUNG IKAN'!AY37</f>
        <v>0</v>
      </c>
      <c r="BK30" s="322">
        <f>'P NP JAPUNG IKAN'!AZ37</f>
        <v>0</v>
      </c>
      <c r="BL30" s="322">
        <f>'P NP JAPUNG IKAN'!AY38</f>
        <v>0</v>
      </c>
      <c r="BM30" s="322">
        <f>'P NP JAPUNG IKAN'!AZ38</f>
        <v>0</v>
      </c>
      <c r="BN30" s="322">
        <f>'P NP JAPUNG IKAN'!AY39</f>
        <v>0</v>
      </c>
      <c r="BO30" s="322">
        <f>'P NP JAPUNG IKAN'!AZ39</f>
        <v>0</v>
      </c>
      <c r="BP30" s="322">
        <f>'P NP JAPUNG IKAN'!AY40</f>
        <v>0</v>
      </c>
      <c r="BQ30" s="322">
        <f>'P NP JAPUNG IKAN'!AZ40</f>
        <v>0</v>
      </c>
      <c r="BR30" s="322">
        <f>'P NP JAPUNG IKAN'!AY41</f>
        <v>0</v>
      </c>
      <c r="BS30" s="322">
        <f>'P NP JAPUNG IKAN'!AZ41</f>
        <v>0</v>
      </c>
      <c r="BT30" s="322">
        <f>'P NP JAPUNG IKAN'!AY42</f>
        <v>0</v>
      </c>
      <c r="BU30" s="322">
        <f>'P NP JAPUNG IKAN'!AZ42</f>
        <v>0</v>
      </c>
      <c r="BV30" s="322">
        <f>'P NP JAPUNG IKAN'!AY43</f>
        <v>0</v>
      </c>
      <c r="BW30" s="322">
        <f>'P NP JAPUNG IKAN'!AZ43</f>
        <v>0</v>
      </c>
      <c r="BX30" s="322">
        <f>'P NP JAPUNG IKAN'!AY44</f>
        <v>0</v>
      </c>
      <c r="BY30" s="322">
        <f>'P NP JAPUNG IKAN'!AZ44</f>
        <v>0</v>
      </c>
    </row>
    <row r="31" spans="1:77">
      <c r="A31" s="260" t="s">
        <v>140</v>
      </c>
      <c r="B31" s="320">
        <f t="shared" si="2"/>
        <v>0</v>
      </c>
      <c r="C31" s="320">
        <f t="shared" si="3"/>
        <v>0</v>
      </c>
      <c r="D31" s="322">
        <f>'P NP JAPUNG IKAN'!BA8</f>
        <v>0</v>
      </c>
      <c r="E31" s="322">
        <f>'P NP JAPUNG IKAN'!BB8</f>
        <v>0</v>
      </c>
      <c r="F31" s="322">
        <f>'P NP JAPUNG IKAN'!BA9</f>
        <v>0</v>
      </c>
      <c r="G31" s="322">
        <f>'P NP JAPUNG IKAN'!BB9</f>
        <v>0</v>
      </c>
      <c r="H31" s="322">
        <f>'P NP JAPUNG IKAN'!BA10</f>
        <v>0</v>
      </c>
      <c r="I31" s="322">
        <f>'P NP JAPUNG IKAN'!BB10</f>
        <v>0</v>
      </c>
      <c r="J31" s="322">
        <f>'P NP JAPUNG IKAN'!BA11</f>
        <v>0</v>
      </c>
      <c r="K31" s="322">
        <f>'P NP JAPUNG IKAN'!BB11</f>
        <v>0</v>
      </c>
      <c r="L31" s="322">
        <f>'P NP JAPUNG IKAN'!BA12</f>
        <v>0</v>
      </c>
      <c r="M31" s="322">
        <f>'P NP JAPUNG IKAN'!BB12</f>
        <v>0</v>
      </c>
      <c r="N31" s="322">
        <f>'P NP JAPUNG IKAN'!BA13</f>
        <v>0</v>
      </c>
      <c r="O31" s="322">
        <f>'P NP JAPUNG IKAN'!BB13</f>
        <v>0</v>
      </c>
      <c r="P31" s="322">
        <f>'P NP JAPUNG IKAN'!BA14</f>
        <v>0</v>
      </c>
      <c r="Q31" s="322">
        <f>'P NP JAPUNG IKAN'!BB14</f>
        <v>0</v>
      </c>
      <c r="R31" s="322">
        <f>'P NP JAPUNG IKAN'!BA15</f>
        <v>0</v>
      </c>
      <c r="S31" s="322">
        <f>'P NP JAPUNG IKAN'!BB15</f>
        <v>0</v>
      </c>
      <c r="T31" s="322">
        <f>'P NP JAPUNG IKAN'!BA16</f>
        <v>0</v>
      </c>
      <c r="U31" s="322">
        <f>'P NP JAPUNG IKAN'!BB16</f>
        <v>0</v>
      </c>
      <c r="V31" s="322">
        <f>'P NP JAPUNG IKAN'!BA17</f>
        <v>0</v>
      </c>
      <c r="W31" s="322">
        <f>'P NP JAPUNG IKAN'!BB17</f>
        <v>0</v>
      </c>
      <c r="X31" s="322">
        <f>'P NP JAPUNG IKAN'!BA18</f>
        <v>0</v>
      </c>
      <c r="Y31" s="322">
        <f>'P NP JAPUNG IKAN'!BB18</f>
        <v>0</v>
      </c>
      <c r="Z31" s="322">
        <f>'P NP JAPUNG IKAN'!BA19</f>
        <v>0</v>
      </c>
      <c r="AA31" s="322">
        <f>'P NP JAPUNG IKAN'!BB19</f>
        <v>0</v>
      </c>
      <c r="AB31" s="322">
        <f>'P NP JAPUNG IKAN'!BA20</f>
        <v>0</v>
      </c>
      <c r="AC31" s="322">
        <f>'P NP JAPUNG IKAN'!BB20</f>
        <v>0</v>
      </c>
      <c r="AD31" s="322">
        <f>'P NP JAPUNG IKAN'!BA21</f>
        <v>0</v>
      </c>
      <c r="AE31" s="322">
        <f>'P NP JAPUNG IKAN'!BB21</f>
        <v>0</v>
      </c>
      <c r="AF31" s="322">
        <f>'P NP JAPUNG IKAN'!BA22</f>
        <v>0</v>
      </c>
      <c r="AG31" s="322">
        <f>'P NP JAPUNG IKAN'!BB22</f>
        <v>0</v>
      </c>
      <c r="AH31" s="322">
        <f>'P NP JAPUNG IKAN'!BA23</f>
        <v>0</v>
      </c>
      <c r="AI31" s="322">
        <f>'P NP JAPUNG IKAN'!BB23</f>
        <v>0</v>
      </c>
      <c r="AJ31" s="322">
        <f>'P NP JAPUNG IKAN'!BA24</f>
        <v>0</v>
      </c>
      <c r="AK31" s="322">
        <f>'P NP JAPUNG IKAN'!BB24</f>
        <v>0</v>
      </c>
      <c r="AL31" s="322">
        <f>'P NP JAPUNG IKAN'!BA25</f>
        <v>0</v>
      </c>
      <c r="AM31" s="322">
        <f>'P NP JAPUNG IKAN'!BB25</f>
        <v>0</v>
      </c>
      <c r="AN31" s="322">
        <f>'P NP JAPUNG IKAN'!BA26</f>
        <v>0</v>
      </c>
      <c r="AO31" s="322">
        <f>'P NP JAPUNG IKAN'!BB26</f>
        <v>0</v>
      </c>
      <c r="AP31" s="322">
        <f>'P NP JAPUNG IKAN'!BA27</f>
        <v>0</v>
      </c>
      <c r="AQ31" s="322">
        <f>'P NP JAPUNG IKAN'!BB27</f>
        <v>0</v>
      </c>
      <c r="AR31" s="322">
        <f>'P NP JAPUNG IKAN'!BA28</f>
        <v>0</v>
      </c>
      <c r="AS31" s="322">
        <f>'P NP JAPUNG IKAN'!BB28</f>
        <v>0</v>
      </c>
      <c r="AT31" s="322">
        <f>'P NP JAPUNG IKAN'!BA29</f>
        <v>0</v>
      </c>
      <c r="AU31" s="322">
        <f>'P NP JAPUNG IKAN'!BB29</f>
        <v>0</v>
      </c>
      <c r="AV31" s="322">
        <f>'P NP JAPUNG IKAN'!BA30</f>
        <v>0</v>
      </c>
      <c r="AW31" s="322">
        <f>'P NP JAPUNG IKAN'!BB30</f>
        <v>0</v>
      </c>
      <c r="AX31" s="322">
        <f>'P NP JAPUNG IKAN'!BA31</f>
        <v>0</v>
      </c>
      <c r="AY31" s="322">
        <f>'P NP JAPUNG IKAN'!BB31</f>
        <v>0</v>
      </c>
      <c r="AZ31" s="322">
        <f>'P NP JAPUNG IKAN'!BA32</f>
        <v>0</v>
      </c>
      <c r="BA31" s="322">
        <f>'P NP JAPUNG IKAN'!BB32</f>
        <v>0</v>
      </c>
      <c r="BB31" s="322">
        <f>'P NP JAPUNG IKAN'!BA33</f>
        <v>0</v>
      </c>
      <c r="BC31" s="322">
        <f>'P NP JAPUNG IKAN'!BB33</f>
        <v>0</v>
      </c>
      <c r="BD31" s="322">
        <f>'P NP JAPUNG IKAN'!BA34</f>
        <v>0</v>
      </c>
      <c r="BE31" s="322">
        <f>'P NP JAPUNG IKAN'!BB34</f>
        <v>0</v>
      </c>
      <c r="BF31" s="322">
        <f>'P NP JAPUNG IKAN'!BA35</f>
        <v>0</v>
      </c>
      <c r="BG31" s="322">
        <f>'P NP JAPUNG IKAN'!BB35</f>
        <v>0</v>
      </c>
      <c r="BH31" s="322">
        <f>'P NP JAPUNG IKAN'!BA36</f>
        <v>0</v>
      </c>
      <c r="BI31" s="322">
        <f>'P NP JAPUNG IKAN'!BB36</f>
        <v>0</v>
      </c>
      <c r="BJ31" s="322">
        <f>'P NP JAPUNG IKAN'!BA37</f>
        <v>0</v>
      </c>
      <c r="BK31" s="322">
        <f>'P NP JAPUNG IKAN'!BB37</f>
        <v>0</v>
      </c>
      <c r="BL31" s="322">
        <f>'P NP JAPUNG IKAN'!BA38</f>
        <v>0</v>
      </c>
      <c r="BM31" s="322">
        <f>'P NP JAPUNG IKAN'!BB38</f>
        <v>0</v>
      </c>
      <c r="BN31" s="322">
        <f>'P NP JAPUNG IKAN'!BA39</f>
        <v>0</v>
      </c>
      <c r="BO31" s="322">
        <f>'P NP JAPUNG IKAN'!BB39</f>
        <v>0</v>
      </c>
      <c r="BP31" s="322">
        <f>'P NP JAPUNG IKAN'!BA40</f>
        <v>0</v>
      </c>
      <c r="BQ31" s="322">
        <f>'P NP JAPUNG IKAN'!BB40</f>
        <v>0</v>
      </c>
      <c r="BR31" s="322">
        <f>'P NP JAPUNG IKAN'!BA41</f>
        <v>0</v>
      </c>
      <c r="BS31" s="322">
        <f>'P NP JAPUNG IKAN'!BB41</f>
        <v>0</v>
      </c>
      <c r="BT31" s="322">
        <f>'P NP JAPUNG IKAN'!BA42</f>
        <v>0</v>
      </c>
      <c r="BU31" s="322">
        <f>'P NP JAPUNG IKAN'!BB42</f>
        <v>0</v>
      </c>
      <c r="BV31" s="322">
        <f>'P NP JAPUNG IKAN'!BA43</f>
        <v>0</v>
      </c>
      <c r="BW31" s="322">
        <f>'P NP JAPUNG IKAN'!BB43</f>
        <v>0</v>
      </c>
      <c r="BX31" s="322">
        <f>'P NP JAPUNG IKAN'!BA44</f>
        <v>0</v>
      </c>
      <c r="BY31" s="322">
        <f>'P NP JAPUNG IKAN'!BB44</f>
        <v>0</v>
      </c>
    </row>
    <row r="32" spans="1:77">
      <c r="A32" s="260" t="s">
        <v>114</v>
      </c>
      <c r="B32" s="320">
        <f t="shared" si="2"/>
        <v>0</v>
      </c>
      <c r="C32" s="320">
        <f t="shared" si="3"/>
        <v>0</v>
      </c>
      <c r="D32" s="322">
        <f>'P NP JAPUNG IKAN'!BC8</f>
        <v>0</v>
      </c>
      <c r="E32" s="322">
        <f>'P NP JAPUNG IKAN'!BD8</f>
        <v>0</v>
      </c>
      <c r="F32" s="322">
        <f>'P NP JAPUNG IKAN'!BC9</f>
        <v>0</v>
      </c>
      <c r="G32" s="322">
        <f>'P NP JAPUNG IKAN'!BD9</f>
        <v>0</v>
      </c>
      <c r="H32" s="322">
        <f>'P NP JAPUNG IKAN'!BC10</f>
        <v>0</v>
      </c>
      <c r="I32" s="322">
        <f>'P NP JAPUNG IKAN'!BD10</f>
        <v>0</v>
      </c>
      <c r="J32" s="322">
        <f>'P NP JAPUNG IKAN'!BC11</f>
        <v>0</v>
      </c>
      <c r="K32" s="322">
        <f>'P NP JAPUNG IKAN'!BD11</f>
        <v>0</v>
      </c>
      <c r="L32" s="322">
        <f>'P NP JAPUNG IKAN'!BC12</f>
        <v>0</v>
      </c>
      <c r="M32" s="322">
        <f>'P NP JAPUNG IKAN'!BD12</f>
        <v>0</v>
      </c>
      <c r="N32" s="322">
        <f>'P NP JAPUNG IKAN'!BC13</f>
        <v>0</v>
      </c>
      <c r="O32" s="322">
        <f>'P NP JAPUNG IKAN'!BD13</f>
        <v>0</v>
      </c>
      <c r="P32" s="322">
        <f>'P NP JAPUNG IKAN'!BC14</f>
        <v>0</v>
      </c>
      <c r="Q32" s="322">
        <f>'P NP JAPUNG IKAN'!BD14</f>
        <v>0</v>
      </c>
      <c r="R32" s="322">
        <f>'P NP JAPUNG IKAN'!BC15</f>
        <v>0</v>
      </c>
      <c r="S32" s="322">
        <f>'P NP JAPUNG IKAN'!BD15</f>
        <v>0</v>
      </c>
      <c r="T32" s="322">
        <f>'P NP JAPUNG IKAN'!BC16</f>
        <v>0</v>
      </c>
      <c r="U32" s="322">
        <f>'P NP JAPUNG IKAN'!BD16</f>
        <v>0</v>
      </c>
      <c r="V32" s="322">
        <f>'P NP JAPUNG IKAN'!BC17</f>
        <v>0</v>
      </c>
      <c r="W32" s="322">
        <f>'P NP JAPUNG IKAN'!BD17</f>
        <v>0</v>
      </c>
      <c r="X32" s="322">
        <f>'P NP JAPUNG IKAN'!BC18</f>
        <v>0</v>
      </c>
      <c r="Y32" s="322">
        <f>'P NP JAPUNG IKAN'!BD18</f>
        <v>0</v>
      </c>
      <c r="Z32" s="322">
        <f>'P NP JAPUNG IKAN'!BC19</f>
        <v>0</v>
      </c>
      <c r="AA32" s="322">
        <f>'P NP JAPUNG IKAN'!BD19</f>
        <v>0</v>
      </c>
      <c r="AB32" s="322">
        <f>'P NP JAPUNG IKAN'!BC20</f>
        <v>0</v>
      </c>
      <c r="AC32" s="322">
        <f>'P NP JAPUNG IKAN'!BD20</f>
        <v>0</v>
      </c>
      <c r="AD32" s="322">
        <f>'P NP JAPUNG IKAN'!BC21</f>
        <v>0</v>
      </c>
      <c r="AE32" s="322">
        <f>'P NP JAPUNG IKAN'!BD21</f>
        <v>0</v>
      </c>
      <c r="AF32" s="322">
        <f>'P NP JAPUNG IKAN'!BC22</f>
        <v>0</v>
      </c>
      <c r="AG32" s="322">
        <f>'P NP JAPUNG IKAN'!BD22</f>
        <v>0</v>
      </c>
      <c r="AH32" s="322">
        <f>'P NP JAPUNG IKAN'!BC23</f>
        <v>0</v>
      </c>
      <c r="AI32" s="322">
        <f>'P NP JAPUNG IKAN'!BD23</f>
        <v>0</v>
      </c>
      <c r="AJ32" s="322">
        <f>'P NP JAPUNG IKAN'!BC24</f>
        <v>0</v>
      </c>
      <c r="AK32" s="322">
        <f>'P NP JAPUNG IKAN'!BD24</f>
        <v>0</v>
      </c>
      <c r="AL32" s="322">
        <f>'P NP JAPUNG IKAN'!BC25</f>
        <v>0</v>
      </c>
      <c r="AM32" s="322">
        <f>'P NP JAPUNG IKAN'!BD25</f>
        <v>0</v>
      </c>
      <c r="AN32" s="322">
        <f>'P NP JAPUNG IKAN'!BC26</f>
        <v>0</v>
      </c>
      <c r="AO32" s="322">
        <f>'P NP JAPUNG IKAN'!BD26</f>
        <v>0</v>
      </c>
      <c r="AP32" s="322">
        <f>'P NP JAPUNG IKAN'!BC27</f>
        <v>0</v>
      </c>
      <c r="AQ32" s="322">
        <f>'P NP JAPUNG IKAN'!BD27</f>
        <v>0</v>
      </c>
      <c r="AR32" s="322">
        <f>'P NP JAPUNG IKAN'!BC28</f>
        <v>0</v>
      </c>
      <c r="AS32" s="322">
        <f>'P NP JAPUNG IKAN'!BD28</f>
        <v>0</v>
      </c>
      <c r="AT32" s="322">
        <f>'P NP JAPUNG IKAN'!BC29</f>
        <v>0</v>
      </c>
      <c r="AU32" s="322">
        <f>'P NP JAPUNG IKAN'!BD29</f>
        <v>0</v>
      </c>
      <c r="AV32" s="322">
        <f>'P NP JAPUNG IKAN'!BC30</f>
        <v>0</v>
      </c>
      <c r="AW32" s="322">
        <f>'P NP JAPUNG IKAN'!BD30</f>
        <v>0</v>
      </c>
      <c r="AX32" s="322">
        <f>'P NP JAPUNG IKAN'!BC31</f>
        <v>0</v>
      </c>
      <c r="AY32" s="322">
        <f>'P NP JAPUNG IKAN'!BD31</f>
        <v>0</v>
      </c>
      <c r="AZ32" s="322">
        <f>'P NP JAPUNG IKAN'!BC32</f>
        <v>0</v>
      </c>
      <c r="BA32" s="322">
        <f>'P NP JAPUNG IKAN'!BD32</f>
        <v>0</v>
      </c>
      <c r="BB32" s="322">
        <f>'P NP JAPUNG IKAN'!BC33</f>
        <v>0</v>
      </c>
      <c r="BC32" s="322">
        <f>'P NP JAPUNG IKAN'!BD33</f>
        <v>0</v>
      </c>
      <c r="BD32" s="322">
        <f>'P NP JAPUNG IKAN'!BC34</f>
        <v>0</v>
      </c>
      <c r="BE32" s="322">
        <f>'P NP JAPUNG IKAN'!BD34</f>
        <v>0</v>
      </c>
      <c r="BF32" s="322">
        <f>'P NP JAPUNG IKAN'!BC35</f>
        <v>0</v>
      </c>
      <c r="BG32" s="322">
        <f>'P NP JAPUNG IKAN'!BD35</f>
        <v>0</v>
      </c>
      <c r="BH32" s="322">
        <f>'P NP JAPUNG IKAN'!BC36</f>
        <v>0</v>
      </c>
      <c r="BI32" s="322">
        <f>'P NP JAPUNG IKAN'!BD36</f>
        <v>0</v>
      </c>
      <c r="BJ32" s="322">
        <f>'P NP JAPUNG IKAN'!BC37</f>
        <v>0</v>
      </c>
      <c r="BK32" s="322">
        <f>'P NP JAPUNG IKAN'!BD37</f>
        <v>0</v>
      </c>
      <c r="BL32" s="322">
        <f>'P NP JAPUNG IKAN'!BC38</f>
        <v>0</v>
      </c>
      <c r="BM32" s="322">
        <f>'P NP JAPUNG IKAN'!BD38</f>
        <v>0</v>
      </c>
      <c r="BN32" s="322">
        <f>'P NP JAPUNG IKAN'!BC39</f>
        <v>0</v>
      </c>
      <c r="BO32" s="322">
        <f>'P NP JAPUNG IKAN'!BD39</f>
        <v>0</v>
      </c>
      <c r="BP32" s="322">
        <f>'P NP JAPUNG IKAN'!BC40</f>
        <v>0</v>
      </c>
      <c r="BQ32" s="322">
        <f>'P NP JAPUNG IKAN'!BD40</f>
        <v>0</v>
      </c>
      <c r="BR32" s="322">
        <f>'P NP JAPUNG IKAN'!BC41</f>
        <v>0</v>
      </c>
      <c r="BS32" s="322">
        <f>'P NP JAPUNG IKAN'!BD41</f>
        <v>0</v>
      </c>
      <c r="BT32" s="322">
        <f>'P NP JAPUNG IKAN'!BC42</f>
        <v>0</v>
      </c>
      <c r="BU32" s="322">
        <f>'P NP JAPUNG IKAN'!BD42</f>
        <v>0</v>
      </c>
      <c r="BV32" s="322">
        <f>'P NP JAPUNG IKAN'!BC43</f>
        <v>0</v>
      </c>
      <c r="BW32" s="322">
        <f>'P NP JAPUNG IKAN'!BD43</f>
        <v>0</v>
      </c>
      <c r="BX32" s="322">
        <f>'P NP JAPUNG IKAN'!BC44</f>
        <v>0</v>
      </c>
      <c r="BY32" s="322">
        <f>'P NP JAPUNG IKAN'!BD44</f>
        <v>0</v>
      </c>
    </row>
    <row r="33" spans="1:77">
      <c r="A33" s="260" t="s">
        <v>134</v>
      </c>
      <c r="B33" s="320">
        <f t="shared" si="2"/>
        <v>0</v>
      </c>
      <c r="C33" s="320">
        <f t="shared" si="3"/>
        <v>0</v>
      </c>
      <c r="D33" s="322">
        <f>'P NP JAPUNG IKAN'!BE8</f>
        <v>0</v>
      </c>
      <c r="E33" s="322">
        <f>'P NP JAPUNG IKAN'!BF8</f>
        <v>0</v>
      </c>
      <c r="F33" s="322">
        <f>'P NP JAPUNG IKAN'!BE9</f>
        <v>0</v>
      </c>
      <c r="G33" s="322">
        <f>'P NP JAPUNG IKAN'!BF9</f>
        <v>0</v>
      </c>
      <c r="H33" s="322">
        <f>'P NP JAPUNG IKAN'!BE10</f>
        <v>0</v>
      </c>
      <c r="I33" s="322">
        <f>'P NP JAPUNG IKAN'!BF10</f>
        <v>0</v>
      </c>
      <c r="J33" s="322">
        <f>'P NP JAPUNG IKAN'!BE11</f>
        <v>0</v>
      </c>
      <c r="K33" s="322">
        <f>'P NP JAPUNG IKAN'!BF11</f>
        <v>0</v>
      </c>
      <c r="L33" s="322">
        <f>'P NP JAPUNG IKAN'!BE12</f>
        <v>0</v>
      </c>
      <c r="M33" s="322">
        <f>'P NP JAPUNG IKAN'!BF12</f>
        <v>0</v>
      </c>
      <c r="N33" s="322">
        <f>'P NP JAPUNG IKAN'!BE13</f>
        <v>0</v>
      </c>
      <c r="O33" s="322">
        <f>'P NP JAPUNG IKAN'!BF13</f>
        <v>0</v>
      </c>
      <c r="P33" s="322">
        <f>'P NP JAPUNG IKAN'!BE14</f>
        <v>0</v>
      </c>
      <c r="Q33" s="322">
        <f>'P NP JAPUNG IKAN'!BF14</f>
        <v>0</v>
      </c>
      <c r="R33" s="322">
        <f>'P NP JAPUNG IKAN'!BE15</f>
        <v>0</v>
      </c>
      <c r="S33" s="322">
        <f>'P NP JAPUNG IKAN'!BF15</f>
        <v>0</v>
      </c>
      <c r="T33" s="322">
        <f>'P NP JAPUNG IKAN'!BE16</f>
        <v>0</v>
      </c>
      <c r="U33" s="322">
        <f>'P NP JAPUNG IKAN'!BF16</f>
        <v>0</v>
      </c>
      <c r="V33" s="322">
        <f>'P NP JAPUNG IKAN'!BE17</f>
        <v>0</v>
      </c>
      <c r="W33" s="322">
        <f>'P NP JAPUNG IKAN'!BF17</f>
        <v>0</v>
      </c>
      <c r="X33" s="322">
        <f>'P NP JAPUNG IKAN'!BE18</f>
        <v>0</v>
      </c>
      <c r="Y33" s="322">
        <f>'P NP JAPUNG IKAN'!BF18</f>
        <v>0</v>
      </c>
      <c r="Z33" s="322">
        <f>'P NP JAPUNG IKAN'!BE19</f>
        <v>0</v>
      </c>
      <c r="AA33" s="322">
        <f>'P NP JAPUNG IKAN'!BF19</f>
        <v>0</v>
      </c>
      <c r="AB33" s="322">
        <f>'P NP JAPUNG IKAN'!BE20</f>
        <v>0</v>
      </c>
      <c r="AC33" s="322">
        <f>'P NP JAPUNG IKAN'!BF20</f>
        <v>0</v>
      </c>
      <c r="AD33" s="322">
        <f>'P NP JAPUNG IKAN'!BE21</f>
        <v>0</v>
      </c>
      <c r="AE33" s="322">
        <f>'P NP JAPUNG IKAN'!BF21</f>
        <v>0</v>
      </c>
      <c r="AF33" s="322">
        <f>'P NP JAPUNG IKAN'!BE22</f>
        <v>0</v>
      </c>
      <c r="AG33" s="322">
        <f>'P NP JAPUNG IKAN'!BF22</f>
        <v>0</v>
      </c>
      <c r="AH33" s="322">
        <f>'P NP JAPUNG IKAN'!BE23</f>
        <v>0</v>
      </c>
      <c r="AI33" s="322">
        <f>'P NP JAPUNG IKAN'!BF23</f>
        <v>0</v>
      </c>
      <c r="AJ33" s="322">
        <f>'P NP JAPUNG IKAN'!BE24</f>
        <v>0</v>
      </c>
      <c r="AK33" s="322">
        <f>'P NP JAPUNG IKAN'!BF24</f>
        <v>0</v>
      </c>
      <c r="AL33" s="322">
        <f>'P NP JAPUNG IKAN'!BE25</f>
        <v>0</v>
      </c>
      <c r="AM33" s="322">
        <f>'P NP JAPUNG IKAN'!BF25</f>
        <v>0</v>
      </c>
      <c r="AN33" s="322">
        <f>'P NP JAPUNG IKAN'!BE26</f>
        <v>0</v>
      </c>
      <c r="AO33" s="322">
        <f>'P NP JAPUNG IKAN'!BF26</f>
        <v>0</v>
      </c>
      <c r="AP33" s="322">
        <f>'P NP JAPUNG IKAN'!BE27</f>
        <v>0</v>
      </c>
      <c r="AQ33" s="322">
        <f>'P NP JAPUNG IKAN'!BF27</f>
        <v>0</v>
      </c>
      <c r="AR33" s="322">
        <f>'P NP JAPUNG IKAN'!BE28</f>
        <v>0</v>
      </c>
      <c r="AS33" s="322">
        <f>'P NP JAPUNG IKAN'!BF28</f>
        <v>0</v>
      </c>
      <c r="AT33" s="322">
        <f>'P NP JAPUNG IKAN'!BE29</f>
        <v>0</v>
      </c>
      <c r="AU33" s="322">
        <f>'P NP JAPUNG IKAN'!BF29</f>
        <v>0</v>
      </c>
      <c r="AV33" s="322">
        <f>'P NP JAPUNG IKAN'!BE30</f>
        <v>0</v>
      </c>
      <c r="AW33" s="322">
        <f>'P NP JAPUNG IKAN'!BF30</f>
        <v>0</v>
      </c>
      <c r="AX33" s="322">
        <f>'P NP JAPUNG IKAN'!BE31</f>
        <v>0</v>
      </c>
      <c r="AY33" s="322">
        <f>'P NP JAPUNG IKAN'!BF31</f>
        <v>0</v>
      </c>
      <c r="AZ33" s="322">
        <f>'P NP JAPUNG IKAN'!BE32</f>
        <v>0</v>
      </c>
      <c r="BA33" s="322">
        <f>'P NP JAPUNG IKAN'!BF32</f>
        <v>0</v>
      </c>
      <c r="BB33" s="322">
        <f>'P NP JAPUNG IKAN'!BE33</f>
        <v>0</v>
      </c>
      <c r="BC33" s="322">
        <f>'P NP JAPUNG IKAN'!BF33</f>
        <v>0</v>
      </c>
      <c r="BD33" s="322">
        <f>'P NP JAPUNG IKAN'!BE34</f>
        <v>0</v>
      </c>
      <c r="BE33" s="322">
        <f>'P NP JAPUNG IKAN'!BF34</f>
        <v>0</v>
      </c>
      <c r="BF33" s="322">
        <f>'P NP JAPUNG IKAN'!BE35</f>
        <v>0</v>
      </c>
      <c r="BG33" s="322">
        <f>'P NP JAPUNG IKAN'!BF35</f>
        <v>0</v>
      </c>
      <c r="BH33" s="322">
        <f>'P NP JAPUNG IKAN'!BE36</f>
        <v>0</v>
      </c>
      <c r="BI33" s="322">
        <f>'P NP JAPUNG IKAN'!BF36</f>
        <v>0</v>
      </c>
      <c r="BJ33" s="322">
        <f>'P NP JAPUNG IKAN'!BE37</f>
        <v>0</v>
      </c>
      <c r="BK33" s="322">
        <f>'P NP JAPUNG IKAN'!BF37</f>
        <v>0</v>
      </c>
      <c r="BL33" s="322">
        <f>'P NP JAPUNG IKAN'!BE38</f>
        <v>0</v>
      </c>
      <c r="BM33" s="322">
        <f>'P NP JAPUNG IKAN'!BF38</f>
        <v>0</v>
      </c>
      <c r="BN33" s="322">
        <f>'P NP JAPUNG IKAN'!BE39</f>
        <v>0</v>
      </c>
      <c r="BO33" s="322">
        <f>'P NP JAPUNG IKAN'!BF39</f>
        <v>0</v>
      </c>
      <c r="BP33" s="322">
        <f>'P NP JAPUNG IKAN'!BE40</f>
        <v>0</v>
      </c>
      <c r="BQ33" s="322">
        <f>'P NP JAPUNG IKAN'!BF40</f>
        <v>0</v>
      </c>
      <c r="BR33" s="322">
        <f>'P NP JAPUNG IKAN'!BE41</f>
        <v>0</v>
      </c>
      <c r="BS33" s="322">
        <f>'P NP JAPUNG IKAN'!BF41</f>
        <v>0</v>
      </c>
      <c r="BT33" s="322">
        <f>'P NP JAPUNG IKAN'!BE42</f>
        <v>0</v>
      </c>
      <c r="BU33" s="322">
        <f>'P NP JAPUNG IKAN'!BF42</f>
        <v>0</v>
      </c>
      <c r="BV33" s="322">
        <f>'P NP JAPUNG IKAN'!BE43</f>
        <v>0</v>
      </c>
      <c r="BW33" s="322">
        <f>'P NP JAPUNG IKAN'!BF43</f>
        <v>0</v>
      </c>
      <c r="BX33" s="322">
        <f>'P NP JAPUNG IKAN'!BE44</f>
        <v>0</v>
      </c>
      <c r="BY33" s="322">
        <f>'P NP JAPUNG IKAN'!BF44</f>
        <v>0</v>
      </c>
    </row>
    <row r="34" spans="1:77">
      <c r="A34" s="260" t="s">
        <v>115</v>
      </c>
      <c r="B34" s="320">
        <f t="shared" si="2"/>
        <v>0</v>
      </c>
      <c r="C34" s="320">
        <f t="shared" si="3"/>
        <v>0</v>
      </c>
      <c r="D34" s="322">
        <f>'P NP JAPUNG IKAN'!BG8</f>
        <v>0</v>
      </c>
      <c r="E34" s="322">
        <f>'P NP JAPUNG IKAN'!BH8</f>
        <v>0</v>
      </c>
      <c r="F34" s="322">
        <f>'P NP JAPUNG IKAN'!BG9</f>
        <v>0</v>
      </c>
      <c r="G34" s="322">
        <f>'P NP JAPUNG IKAN'!BH9</f>
        <v>0</v>
      </c>
      <c r="H34" s="322">
        <f>'P NP JAPUNG IKAN'!BG10</f>
        <v>0</v>
      </c>
      <c r="I34" s="322">
        <f>'P NP JAPUNG IKAN'!BH10</f>
        <v>0</v>
      </c>
      <c r="J34" s="322">
        <f>'P NP JAPUNG IKAN'!BG11</f>
        <v>0</v>
      </c>
      <c r="K34" s="322">
        <f>'P NP JAPUNG IKAN'!BH11</f>
        <v>0</v>
      </c>
      <c r="L34" s="322">
        <f>'P NP JAPUNG IKAN'!BG12</f>
        <v>0</v>
      </c>
      <c r="M34" s="322">
        <f>'P NP JAPUNG IKAN'!BH12</f>
        <v>0</v>
      </c>
      <c r="N34" s="322">
        <f>'P NP JAPUNG IKAN'!BG13</f>
        <v>0</v>
      </c>
      <c r="O34" s="322">
        <f>'P NP JAPUNG IKAN'!BH13</f>
        <v>0</v>
      </c>
      <c r="P34" s="322">
        <f>'P NP JAPUNG IKAN'!BG14</f>
        <v>0</v>
      </c>
      <c r="Q34" s="322">
        <f>'P NP JAPUNG IKAN'!BH14</f>
        <v>0</v>
      </c>
      <c r="R34" s="322">
        <f>'P NP JAPUNG IKAN'!BG15</f>
        <v>0</v>
      </c>
      <c r="S34" s="322">
        <f>'P NP JAPUNG IKAN'!BH15</f>
        <v>0</v>
      </c>
      <c r="T34" s="322">
        <f>'P NP JAPUNG IKAN'!BG16</f>
        <v>0</v>
      </c>
      <c r="U34" s="322">
        <f>'P NP JAPUNG IKAN'!BH16</f>
        <v>0</v>
      </c>
      <c r="V34" s="322">
        <f>'P NP JAPUNG IKAN'!BG17</f>
        <v>0</v>
      </c>
      <c r="W34" s="322">
        <f>'P NP JAPUNG IKAN'!BH17</f>
        <v>0</v>
      </c>
      <c r="X34" s="322">
        <f>'P NP JAPUNG IKAN'!BG18</f>
        <v>0</v>
      </c>
      <c r="Y34" s="322">
        <f>'P NP JAPUNG IKAN'!BH18</f>
        <v>0</v>
      </c>
      <c r="Z34" s="322">
        <f>'P NP JAPUNG IKAN'!BG19</f>
        <v>0</v>
      </c>
      <c r="AA34" s="322">
        <f>'P NP JAPUNG IKAN'!BH19</f>
        <v>0</v>
      </c>
      <c r="AB34" s="322">
        <f>'P NP JAPUNG IKAN'!BG20</f>
        <v>0</v>
      </c>
      <c r="AC34" s="322">
        <f>'P NP JAPUNG IKAN'!BH20</f>
        <v>0</v>
      </c>
      <c r="AD34" s="322">
        <f>'P NP JAPUNG IKAN'!BG21</f>
        <v>0</v>
      </c>
      <c r="AE34" s="322">
        <f>'P NP JAPUNG IKAN'!BH21</f>
        <v>0</v>
      </c>
      <c r="AF34" s="322">
        <f>'P NP JAPUNG IKAN'!BG22</f>
        <v>0</v>
      </c>
      <c r="AG34" s="322">
        <f>'P NP JAPUNG IKAN'!BH22</f>
        <v>0</v>
      </c>
      <c r="AH34" s="322">
        <f>'P NP JAPUNG IKAN'!BG23</f>
        <v>0</v>
      </c>
      <c r="AI34" s="322">
        <f>'P NP JAPUNG IKAN'!BH23</f>
        <v>0</v>
      </c>
      <c r="AJ34" s="322">
        <f>'P NP JAPUNG IKAN'!BG24</f>
        <v>0</v>
      </c>
      <c r="AK34" s="322">
        <f>'P NP JAPUNG IKAN'!BH24</f>
        <v>0</v>
      </c>
      <c r="AL34" s="322">
        <f>'P NP JAPUNG IKAN'!BG25</f>
        <v>0</v>
      </c>
      <c r="AM34" s="322">
        <f>'P NP JAPUNG IKAN'!BH25</f>
        <v>0</v>
      </c>
      <c r="AN34" s="322">
        <f>'P NP JAPUNG IKAN'!BG26</f>
        <v>0</v>
      </c>
      <c r="AO34" s="322">
        <f>'P NP JAPUNG IKAN'!BH26</f>
        <v>0</v>
      </c>
      <c r="AP34" s="322">
        <f>'P NP JAPUNG IKAN'!BG27</f>
        <v>0</v>
      </c>
      <c r="AQ34" s="322">
        <f>'P NP JAPUNG IKAN'!BH27</f>
        <v>0</v>
      </c>
      <c r="AR34" s="322">
        <f>'P NP JAPUNG IKAN'!BG28</f>
        <v>0</v>
      </c>
      <c r="AS34" s="322">
        <f>'P NP JAPUNG IKAN'!BH28</f>
        <v>0</v>
      </c>
      <c r="AT34" s="322">
        <f>'P NP JAPUNG IKAN'!BG29</f>
        <v>0</v>
      </c>
      <c r="AU34" s="322">
        <f>'P NP JAPUNG IKAN'!BH29</f>
        <v>0</v>
      </c>
      <c r="AV34" s="322">
        <f>'P NP JAPUNG IKAN'!BG30</f>
        <v>0</v>
      </c>
      <c r="AW34" s="322">
        <f>'P NP JAPUNG IKAN'!BH30</f>
        <v>0</v>
      </c>
      <c r="AX34" s="322">
        <f>'P NP JAPUNG IKAN'!BG31</f>
        <v>0</v>
      </c>
      <c r="AY34" s="322">
        <f>'P NP JAPUNG IKAN'!BH31</f>
        <v>0</v>
      </c>
      <c r="AZ34" s="322">
        <f>'P NP JAPUNG IKAN'!BG32</f>
        <v>0</v>
      </c>
      <c r="BA34" s="322">
        <f>'P NP JAPUNG IKAN'!BH32</f>
        <v>0</v>
      </c>
      <c r="BB34" s="322">
        <f>'P NP JAPUNG IKAN'!BG33</f>
        <v>0</v>
      </c>
      <c r="BC34" s="322">
        <f>'P NP JAPUNG IKAN'!BH33</f>
        <v>0</v>
      </c>
      <c r="BD34" s="322">
        <f>'P NP JAPUNG IKAN'!BG34</f>
        <v>0</v>
      </c>
      <c r="BE34" s="322">
        <f>'P NP JAPUNG IKAN'!BH34</f>
        <v>0</v>
      </c>
      <c r="BF34" s="322">
        <f>'P NP JAPUNG IKAN'!BG35</f>
        <v>0</v>
      </c>
      <c r="BG34" s="322">
        <f>'P NP JAPUNG IKAN'!BH35</f>
        <v>0</v>
      </c>
      <c r="BH34" s="322">
        <f>'P NP JAPUNG IKAN'!BG36</f>
        <v>0</v>
      </c>
      <c r="BI34" s="322">
        <f>'P NP JAPUNG IKAN'!BH36</f>
        <v>0</v>
      </c>
      <c r="BJ34" s="322">
        <f>'P NP JAPUNG IKAN'!BG37</f>
        <v>0</v>
      </c>
      <c r="BK34" s="322">
        <f>'P NP JAPUNG IKAN'!BH37</f>
        <v>0</v>
      </c>
      <c r="BL34" s="322">
        <f>'P NP JAPUNG IKAN'!BG38</f>
        <v>0</v>
      </c>
      <c r="BM34" s="322">
        <f>'P NP JAPUNG IKAN'!BH38</f>
        <v>0</v>
      </c>
      <c r="BN34" s="322">
        <f>'P NP JAPUNG IKAN'!BG39</f>
        <v>0</v>
      </c>
      <c r="BO34" s="322">
        <f>'P NP JAPUNG IKAN'!BH39</f>
        <v>0</v>
      </c>
      <c r="BP34" s="322">
        <f>'P NP JAPUNG IKAN'!BG40</f>
        <v>0</v>
      </c>
      <c r="BQ34" s="322">
        <f>'P NP JAPUNG IKAN'!BH40</f>
        <v>0</v>
      </c>
      <c r="BR34" s="322">
        <f>'P NP JAPUNG IKAN'!BG41</f>
        <v>0</v>
      </c>
      <c r="BS34" s="322">
        <f>'P NP JAPUNG IKAN'!BH41</f>
        <v>0</v>
      </c>
      <c r="BT34" s="322">
        <f>'P NP JAPUNG IKAN'!BG42</f>
        <v>0</v>
      </c>
      <c r="BU34" s="322">
        <f>'P NP JAPUNG IKAN'!BH42</f>
        <v>0</v>
      </c>
      <c r="BV34" s="322">
        <f>'P NP JAPUNG IKAN'!BG43</f>
        <v>0</v>
      </c>
      <c r="BW34" s="322">
        <f>'P NP JAPUNG IKAN'!BH43</f>
        <v>0</v>
      </c>
      <c r="BX34" s="322">
        <f>'P NP JAPUNG IKAN'!BG44</f>
        <v>0</v>
      </c>
      <c r="BY34" s="322">
        <f>'P NP JAPUNG IKAN'!BH44</f>
        <v>0</v>
      </c>
    </row>
    <row r="35" spans="1:77">
      <c r="A35" s="260" t="s">
        <v>149</v>
      </c>
      <c r="B35" s="320">
        <f t="shared" si="2"/>
        <v>0</v>
      </c>
      <c r="C35" s="320">
        <f t="shared" si="3"/>
        <v>0</v>
      </c>
      <c r="D35" s="322">
        <f>'P NP JAPUNG IKAN'!BI8</f>
        <v>0</v>
      </c>
      <c r="E35" s="322">
        <f>'P NP JAPUNG IKAN'!BJ8</f>
        <v>0</v>
      </c>
      <c r="F35" s="322">
        <f>'P NP JAPUNG IKAN'!BI9</f>
        <v>0</v>
      </c>
      <c r="G35" s="322">
        <f>'P NP JAPUNG IKAN'!BJ9</f>
        <v>0</v>
      </c>
      <c r="H35" s="322">
        <f>'P NP JAPUNG IKAN'!BI10</f>
        <v>0</v>
      </c>
      <c r="I35" s="322">
        <f>'P NP JAPUNG IKAN'!BJ10</f>
        <v>0</v>
      </c>
      <c r="J35" s="322">
        <f>'P NP JAPUNG IKAN'!BI11</f>
        <v>0</v>
      </c>
      <c r="K35" s="322">
        <f>'P NP JAPUNG IKAN'!BJ11</f>
        <v>0</v>
      </c>
      <c r="L35" s="322">
        <f>'P NP JAPUNG IKAN'!BI12</f>
        <v>0</v>
      </c>
      <c r="M35" s="322">
        <f>'P NP JAPUNG IKAN'!BJ12</f>
        <v>0</v>
      </c>
      <c r="N35" s="322">
        <f>'P NP JAPUNG IKAN'!BI13</f>
        <v>0</v>
      </c>
      <c r="O35" s="322">
        <f>'P NP JAPUNG IKAN'!BJ13</f>
        <v>0</v>
      </c>
      <c r="P35" s="322">
        <f>'P NP JAPUNG IKAN'!BI14</f>
        <v>0</v>
      </c>
      <c r="Q35" s="322">
        <f>'P NP JAPUNG IKAN'!BJ14</f>
        <v>0</v>
      </c>
      <c r="R35" s="322">
        <f>'P NP JAPUNG IKAN'!BI15</f>
        <v>0</v>
      </c>
      <c r="S35" s="322">
        <f>'P NP JAPUNG IKAN'!BJ15</f>
        <v>0</v>
      </c>
      <c r="T35" s="322">
        <f>'P NP JAPUNG IKAN'!BI16</f>
        <v>0</v>
      </c>
      <c r="U35" s="322">
        <f>'P NP JAPUNG IKAN'!BJ16</f>
        <v>0</v>
      </c>
      <c r="V35" s="322">
        <f>'P NP JAPUNG IKAN'!BI17</f>
        <v>0</v>
      </c>
      <c r="W35" s="322">
        <f>'P NP JAPUNG IKAN'!BJ17</f>
        <v>0</v>
      </c>
      <c r="X35" s="322">
        <f>'P NP JAPUNG IKAN'!BI18</f>
        <v>0</v>
      </c>
      <c r="Y35" s="322">
        <f>'P NP JAPUNG IKAN'!BJ18</f>
        <v>0</v>
      </c>
      <c r="Z35" s="322">
        <f>'P NP JAPUNG IKAN'!BI19</f>
        <v>0</v>
      </c>
      <c r="AA35" s="322">
        <f>'P NP JAPUNG IKAN'!BJ19</f>
        <v>0</v>
      </c>
      <c r="AB35" s="322">
        <f>'P NP JAPUNG IKAN'!BI20</f>
        <v>0</v>
      </c>
      <c r="AC35" s="322">
        <f>'P NP JAPUNG IKAN'!BJ20</f>
        <v>0</v>
      </c>
      <c r="AD35" s="322">
        <f>'P NP JAPUNG IKAN'!BI21</f>
        <v>0</v>
      </c>
      <c r="AE35" s="322">
        <f>'P NP JAPUNG IKAN'!BJ21</f>
        <v>0</v>
      </c>
      <c r="AF35" s="322">
        <f>'P NP JAPUNG IKAN'!BI22</f>
        <v>0</v>
      </c>
      <c r="AG35" s="322">
        <f>'P NP JAPUNG IKAN'!BJ22</f>
        <v>0</v>
      </c>
      <c r="AH35" s="322">
        <f>'P NP JAPUNG IKAN'!BI23</f>
        <v>0</v>
      </c>
      <c r="AI35" s="322">
        <f>'P NP JAPUNG IKAN'!BJ23</f>
        <v>0</v>
      </c>
      <c r="AJ35" s="322">
        <f>'P NP JAPUNG IKAN'!BI24</f>
        <v>0</v>
      </c>
      <c r="AK35" s="322">
        <f>'P NP JAPUNG IKAN'!BJ24</f>
        <v>0</v>
      </c>
      <c r="AL35" s="322">
        <f>'P NP JAPUNG IKAN'!BI25</f>
        <v>0</v>
      </c>
      <c r="AM35" s="322">
        <f>'P NP JAPUNG IKAN'!BJ25</f>
        <v>0</v>
      </c>
      <c r="AN35" s="322">
        <f>'P NP JAPUNG IKAN'!BI26</f>
        <v>0</v>
      </c>
      <c r="AO35" s="322">
        <f>'P NP JAPUNG IKAN'!BJ26</f>
        <v>0</v>
      </c>
      <c r="AP35" s="322">
        <f>'P NP JAPUNG IKAN'!BI27</f>
        <v>0</v>
      </c>
      <c r="AQ35" s="322">
        <f>'P NP JAPUNG IKAN'!BJ27</f>
        <v>0</v>
      </c>
      <c r="AR35" s="322">
        <f>'P NP JAPUNG IKAN'!BI28</f>
        <v>0</v>
      </c>
      <c r="AS35" s="322">
        <f>'P NP JAPUNG IKAN'!BJ28</f>
        <v>0</v>
      </c>
      <c r="AT35" s="322">
        <f>'P NP JAPUNG IKAN'!BI29</f>
        <v>0</v>
      </c>
      <c r="AU35" s="322">
        <f>'P NP JAPUNG IKAN'!BJ29</f>
        <v>0</v>
      </c>
      <c r="AV35" s="322">
        <f>'P NP JAPUNG IKAN'!BI30</f>
        <v>0</v>
      </c>
      <c r="AW35" s="322">
        <f>'P NP JAPUNG IKAN'!BJ30</f>
        <v>0</v>
      </c>
      <c r="AX35" s="322">
        <f>'P NP JAPUNG IKAN'!BI31</f>
        <v>0</v>
      </c>
      <c r="AY35" s="322">
        <f>'P NP JAPUNG IKAN'!BJ31</f>
        <v>0</v>
      </c>
      <c r="AZ35" s="322">
        <f>'P NP JAPUNG IKAN'!BI32</f>
        <v>0</v>
      </c>
      <c r="BA35" s="322">
        <f>'P NP JAPUNG IKAN'!BJ32</f>
        <v>0</v>
      </c>
      <c r="BB35" s="322">
        <f>'P NP JAPUNG IKAN'!BI33</f>
        <v>0</v>
      </c>
      <c r="BC35" s="322">
        <f>'P NP JAPUNG IKAN'!BJ33</f>
        <v>0</v>
      </c>
      <c r="BD35" s="322">
        <f>'P NP JAPUNG IKAN'!BI34</f>
        <v>0</v>
      </c>
      <c r="BE35" s="322">
        <f>'P NP JAPUNG IKAN'!BJ34</f>
        <v>0</v>
      </c>
      <c r="BF35" s="322">
        <f>'P NP JAPUNG IKAN'!BI35</f>
        <v>0</v>
      </c>
      <c r="BG35" s="322">
        <f>'P NP JAPUNG IKAN'!BJ35</f>
        <v>0</v>
      </c>
      <c r="BH35" s="322">
        <f>'P NP JAPUNG IKAN'!BI36</f>
        <v>0</v>
      </c>
      <c r="BI35" s="322">
        <f>'P NP JAPUNG IKAN'!BJ36</f>
        <v>0</v>
      </c>
      <c r="BJ35" s="322">
        <f>'P NP JAPUNG IKAN'!BI37</f>
        <v>0</v>
      </c>
      <c r="BK35" s="322">
        <f>'P NP JAPUNG IKAN'!BJ37</f>
        <v>0</v>
      </c>
      <c r="BL35" s="322">
        <f>'P NP JAPUNG IKAN'!BI38</f>
        <v>0</v>
      </c>
      <c r="BM35" s="322">
        <f>'P NP JAPUNG IKAN'!BJ38</f>
        <v>0</v>
      </c>
      <c r="BN35" s="322">
        <f>'P NP JAPUNG IKAN'!BI39</f>
        <v>0</v>
      </c>
      <c r="BO35" s="322">
        <f>'P NP JAPUNG IKAN'!BJ39</f>
        <v>0</v>
      </c>
      <c r="BP35" s="322">
        <f>'P NP JAPUNG IKAN'!BI40</f>
        <v>0</v>
      </c>
      <c r="BQ35" s="322">
        <f>'P NP JAPUNG IKAN'!BJ40</f>
        <v>0</v>
      </c>
      <c r="BR35" s="322">
        <f>'P NP JAPUNG IKAN'!BI41</f>
        <v>0</v>
      </c>
      <c r="BS35" s="322">
        <f>'P NP JAPUNG IKAN'!BJ41</f>
        <v>0</v>
      </c>
      <c r="BT35" s="322">
        <f>'P NP JAPUNG IKAN'!BI42</f>
        <v>0</v>
      </c>
      <c r="BU35" s="322">
        <f>'P NP JAPUNG IKAN'!BJ42</f>
        <v>0</v>
      </c>
      <c r="BV35" s="322">
        <f>'P NP JAPUNG IKAN'!BI43</f>
        <v>0</v>
      </c>
      <c r="BW35" s="322">
        <f>'P NP JAPUNG IKAN'!BJ43</f>
        <v>0</v>
      </c>
      <c r="BX35" s="322">
        <f>'P NP JAPUNG IKAN'!BI44</f>
        <v>0</v>
      </c>
      <c r="BY35" s="322">
        <f>'P NP JAPUNG IKAN'!BJ44</f>
        <v>0</v>
      </c>
    </row>
    <row r="36" spans="1:77">
      <c r="A36" s="260" t="s">
        <v>142</v>
      </c>
      <c r="B36" s="320">
        <f t="shared" si="2"/>
        <v>0</v>
      </c>
      <c r="C36" s="320">
        <f t="shared" si="3"/>
        <v>0</v>
      </c>
      <c r="D36" s="322">
        <f>'P NP JAPUNG IKAN'!BK8</f>
        <v>0</v>
      </c>
      <c r="E36" s="322">
        <f>'P NP JAPUNG IKAN'!BL8</f>
        <v>0</v>
      </c>
      <c r="F36" s="322">
        <f>'P NP JAPUNG IKAN'!BK9</f>
        <v>0</v>
      </c>
      <c r="G36" s="322">
        <f>'P NP JAPUNG IKAN'!BL9</f>
        <v>0</v>
      </c>
      <c r="H36" s="322">
        <f>'P NP JAPUNG IKAN'!BK10</f>
        <v>0</v>
      </c>
      <c r="I36" s="322">
        <f>'P NP JAPUNG IKAN'!BL10</f>
        <v>0</v>
      </c>
      <c r="J36" s="322">
        <f>'P NP JAPUNG IKAN'!BK11</f>
        <v>0</v>
      </c>
      <c r="K36" s="322">
        <f>'P NP JAPUNG IKAN'!BL11</f>
        <v>0</v>
      </c>
      <c r="L36" s="322">
        <f>'P NP JAPUNG IKAN'!BK12</f>
        <v>0</v>
      </c>
      <c r="M36" s="322">
        <f>'P NP JAPUNG IKAN'!BL12</f>
        <v>0</v>
      </c>
      <c r="N36" s="322">
        <f>'P NP JAPUNG IKAN'!BK13</f>
        <v>0</v>
      </c>
      <c r="O36" s="322">
        <f>'P NP JAPUNG IKAN'!BL13</f>
        <v>0</v>
      </c>
      <c r="P36" s="322">
        <f>'P NP JAPUNG IKAN'!BK14</f>
        <v>0</v>
      </c>
      <c r="Q36" s="322">
        <f>'P NP JAPUNG IKAN'!BL14</f>
        <v>0</v>
      </c>
      <c r="R36" s="322">
        <f>'P NP JAPUNG IKAN'!BK15</f>
        <v>0</v>
      </c>
      <c r="S36" s="322">
        <f>'P NP JAPUNG IKAN'!BL15</f>
        <v>0</v>
      </c>
      <c r="T36" s="322">
        <f>'P NP JAPUNG IKAN'!BK16</f>
        <v>0</v>
      </c>
      <c r="U36" s="322">
        <f>'P NP JAPUNG IKAN'!BL16</f>
        <v>0</v>
      </c>
      <c r="V36" s="322">
        <f>'P NP JAPUNG IKAN'!BK17</f>
        <v>0</v>
      </c>
      <c r="W36" s="322">
        <f>'P NP JAPUNG IKAN'!BL17</f>
        <v>0</v>
      </c>
      <c r="X36" s="322">
        <f>'P NP JAPUNG IKAN'!BK18</f>
        <v>0</v>
      </c>
      <c r="Y36" s="322">
        <f>'P NP JAPUNG IKAN'!BL18</f>
        <v>0</v>
      </c>
      <c r="Z36" s="322">
        <f>'P NP JAPUNG IKAN'!BK19</f>
        <v>0</v>
      </c>
      <c r="AA36" s="322">
        <f>'P NP JAPUNG IKAN'!BL19</f>
        <v>0</v>
      </c>
      <c r="AB36" s="322">
        <f>'P NP JAPUNG IKAN'!BK20</f>
        <v>0</v>
      </c>
      <c r="AC36" s="322">
        <f>'P NP JAPUNG IKAN'!BL20</f>
        <v>0</v>
      </c>
      <c r="AD36" s="322">
        <f>'P NP JAPUNG IKAN'!BK21</f>
        <v>0</v>
      </c>
      <c r="AE36" s="322">
        <f>'P NP JAPUNG IKAN'!BL21</f>
        <v>0</v>
      </c>
      <c r="AF36" s="322">
        <f>'P NP JAPUNG IKAN'!BK22</f>
        <v>0</v>
      </c>
      <c r="AG36" s="322">
        <f>'P NP JAPUNG IKAN'!BL22</f>
        <v>0</v>
      </c>
      <c r="AH36" s="322">
        <f>'P NP JAPUNG IKAN'!BK23</f>
        <v>0</v>
      </c>
      <c r="AI36" s="322">
        <f>'P NP JAPUNG IKAN'!BL23</f>
        <v>0</v>
      </c>
      <c r="AJ36" s="322">
        <f>'P NP JAPUNG IKAN'!BK24</f>
        <v>0</v>
      </c>
      <c r="AK36" s="322">
        <f>'P NP JAPUNG IKAN'!BL24</f>
        <v>0</v>
      </c>
      <c r="AL36" s="322">
        <f>'P NP JAPUNG IKAN'!BK25</f>
        <v>0</v>
      </c>
      <c r="AM36" s="322">
        <f>'P NP JAPUNG IKAN'!BL25</f>
        <v>0</v>
      </c>
      <c r="AN36" s="322">
        <f>'P NP JAPUNG IKAN'!BK26</f>
        <v>0</v>
      </c>
      <c r="AO36" s="322">
        <f>'P NP JAPUNG IKAN'!BL26</f>
        <v>0</v>
      </c>
      <c r="AP36" s="322">
        <f>'P NP JAPUNG IKAN'!BK27</f>
        <v>0</v>
      </c>
      <c r="AQ36" s="322">
        <f>'P NP JAPUNG IKAN'!BL27</f>
        <v>0</v>
      </c>
      <c r="AR36" s="322">
        <f>'P NP JAPUNG IKAN'!BK28</f>
        <v>0</v>
      </c>
      <c r="AS36" s="322">
        <f>'P NP JAPUNG IKAN'!BL28</f>
        <v>0</v>
      </c>
      <c r="AT36" s="322">
        <f>'P NP JAPUNG IKAN'!BK29</f>
        <v>0</v>
      </c>
      <c r="AU36" s="322">
        <f>'P NP JAPUNG IKAN'!BL29</f>
        <v>0</v>
      </c>
      <c r="AV36" s="322">
        <f>'P NP JAPUNG IKAN'!BK30</f>
        <v>0</v>
      </c>
      <c r="AW36" s="322">
        <f>'P NP JAPUNG IKAN'!BL30</f>
        <v>0</v>
      </c>
      <c r="AX36" s="322">
        <f>'P NP JAPUNG IKAN'!BK31</f>
        <v>0</v>
      </c>
      <c r="AY36" s="322">
        <f>'P NP JAPUNG IKAN'!BL31</f>
        <v>0</v>
      </c>
      <c r="AZ36" s="322">
        <f>'P NP JAPUNG IKAN'!BK32</f>
        <v>0</v>
      </c>
      <c r="BA36" s="322">
        <f>'P NP JAPUNG IKAN'!BL32</f>
        <v>0</v>
      </c>
      <c r="BB36" s="322">
        <f>'P NP JAPUNG IKAN'!BK33</f>
        <v>0</v>
      </c>
      <c r="BC36" s="322">
        <f>'P NP JAPUNG IKAN'!BL33</f>
        <v>0</v>
      </c>
      <c r="BD36" s="322">
        <f>'P NP JAPUNG IKAN'!BK34</f>
        <v>0</v>
      </c>
      <c r="BE36" s="322">
        <f>'P NP JAPUNG IKAN'!BL34</f>
        <v>0</v>
      </c>
      <c r="BF36" s="322">
        <f>'P NP JAPUNG IKAN'!BK35</f>
        <v>0</v>
      </c>
      <c r="BG36" s="322">
        <f>'P NP JAPUNG IKAN'!BL35</f>
        <v>0</v>
      </c>
      <c r="BH36" s="322">
        <f>'P NP JAPUNG IKAN'!BK36</f>
        <v>0</v>
      </c>
      <c r="BI36" s="322">
        <f>'P NP JAPUNG IKAN'!BL36</f>
        <v>0</v>
      </c>
      <c r="BJ36" s="322">
        <f>'P NP JAPUNG IKAN'!BK37</f>
        <v>0</v>
      </c>
      <c r="BK36" s="322">
        <f>'P NP JAPUNG IKAN'!BL37</f>
        <v>0</v>
      </c>
      <c r="BL36" s="322">
        <f>'P NP JAPUNG IKAN'!BK38</f>
        <v>0</v>
      </c>
      <c r="BM36" s="322">
        <f>'P NP JAPUNG IKAN'!BL38</f>
        <v>0</v>
      </c>
      <c r="BN36" s="322">
        <f>'P NP JAPUNG IKAN'!BK39</f>
        <v>0</v>
      </c>
      <c r="BO36" s="322">
        <f>'P NP JAPUNG IKAN'!BL39</f>
        <v>0</v>
      </c>
      <c r="BP36" s="322">
        <f>'P NP JAPUNG IKAN'!BK40</f>
        <v>0</v>
      </c>
      <c r="BQ36" s="322">
        <f>'P NP JAPUNG IKAN'!BL40</f>
        <v>0</v>
      </c>
      <c r="BR36" s="322">
        <f>'P NP JAPUNG IKAN'!BK41</f>
        <v>0</v>
      </c>
      <c r="BS36" s="322">
        <f>'P NP JAPUNG IKAN'!BL41</f>
        <v>0</v>
      </c>
      <c r="BT36" s="322">
        <f>'P NP JAPUNG IKAN'!BK42</f>
        <v>0</v>
      </c>
      <c r="BU36" s="322">
        <f>'P NP JAPUNG IKAN'!BL42</f>
        <v>0</v>
      </c>
      <c r="BV36" s="322">
        <f>'P NP JAPUNG IKAN'!BK43</f>
        <v>0</v>
      </c>
      <c r="BW36" s="322">
        <f>'P NP JAPUNG IKAN'!BL43</f>
        <v>0</v>
      </c>
      <c r="BX36" s="322">
        <f>'P NP JAPUNG IKAN'!BK44</f>
        <v>0</v>
      </c>
      <c r="BY36" s="322">
        <f>'P NP JAPUNG IKAN'!BL44</f>
        <v>0</v>
      </c>
    </row>
    <row r="37" spans="1:77">
      <c r="A37" s="260" t="s">
        <v>141</v>
      </c>
      <c r="B37" s="320">
        <f t="shared" si="2"/>
        <v>0</v>
      </c>
      <c r="C37" s="320">
        <f t="shared" si="3"/>
        <v>0</v>
      </c>
      <c r="D37" s="322">
        <f>'P NP JAPUNG IKAN'!BM8</f>
        <v>0</v>
      </c>
      <c r="E37" s="322">
        <f>'P NP JAPUNG IKAN'!BN8</f>
        <v>0</v>
      </c>
      <c r="F37" s="322">
        <f>'P NP JAPUNG IKAN'!BM9</f>
        <v>0</v>
      </c>
      <c r="G37" s="322">
        <f>'P NP JAPUNG IKAN'!BN9</f>
        <v>0</v>
      </c>
      <c r="H37" s="322">
        <f>'P NP JAPUNG IKAN'!BM10</f>
        <v>0</v>
      </c>
      <c r="I37" s="322">
        <f>'P NP JAPUNG IKAN'!BN10</f>
        <v>0</v>
      </c>
      <c r="J37" s="322">
        <f>'P NP JAPUNG IKAN'!BM11</f>
        <v>0</v>
      </c>
      <c r="K37" s="322">
        <f>'P NP JAPUNG IKAN'!BN11</f>
        <v>0</v>
      </c>
      <c r="L37" s="322">
        <f>'P NP JAPUNG IKAN'!BM12</f>
        <v>0</v>
      </c>
      <c r="M37" s="322">
        <f>'P NP JAPUNG IKAN'!BN12</f>
        <v>0</v>
      </c>
      <c r="N37" s="322">
        <f>'P NP JAPUNG IKAN'!BM13</f>
        <v>0</v>
      </c>
      <c r="O37" s="322">
        <f>'P NP JAPUNG IKAN'!BN13</f>
        <v>0</v>
      </c>
      <c r="P37" s="322">
        <f>'P NP JAPUNG IKAN'!BM14</f>
        <v>0</v>
      </c>
      <c r="Q37" s="322">
        <f>'P NP JAPUNG IKAN'!BN14</f>
        <v>0</v>
      </c>
      <c r="R37" s="322">
        <f>'P NP JAPUNG IKAN'!BM15</f>
        <v>0</v>
      </c>
      <c r="S37" s="322">
        <f>'P NP JAPUNG IKAN'!BN15</f>
        <v>0</v>
      </c>
      <c r="T37" s="322">
        <f>'P NP JAPUNG IKAN'!BM16</f>
        <v>0</v>
      </c>
      <c r="U37" s="322">
        <f>'P NP JAPUNG IKAN'!BN16</f>
        <v>0</v>
      </c>
      <c r="V37" s="322">
        <f>'P NP JAPUNG IKAN'!BM17</f>
        <v>0</v>
      </c>
      <c r="W37" s="322">
        <f>'P NP JAPUNG IKAN'!BN17</f>
        <v>0</v>
      </c>
      <c r="X37" s="322">
        <f>'P NP JAPUNG IKAN'!BM18</f>
        <v>0</v>
      </c>
      <c r="Y37" s="322">
        <f>'P NP JAPUNG IKAN'!BN18</f>
        <v>0</v>
      </c>
      <c r="Z37" s="322">
        <f>'P NP JAPUNG IKAN'!BM19</f>
        <v>0</v>
      </c>
      <c r="AA37" s="322">
        <f>'P NP JAPUNG IKAN'!BN19</f>
        <v>0</v>
      </c>
      <c r="AB37" s="322">
        <f>'P NP JAPUNG IKAN'!BM20</f>
        <v>0</v>
      </c>
      <c r="AC37" s="322">
        <f>'P NP JAPUNG IKAN'!BN20</f>
        <v>0</v>
      </c>
      <c r="AD37" s="322">
        <f>'P NP JAPUNG IKAN'!BM21</f>
        <v>0</v>
      </c>
      <c r="AE37" s="322">
        <f>'P NP JAPUNG IKAN'!BN21</f>
        <v>0</v>
      </c>
      <c r="AF37" s="322">
        <f>'P NP JAPUNG IKAN'!BM22</f>
        <v>0</v>
      </c>
      <c r="AG37" s="322">
        <f>'P NP JAPUNG IKAN'!BN22</f>
        <v>0</v>
      </c>
      <c r="AH37" s="322">
        <f>'P NP JAPUNG IKAN'!BM23</f>
        <v>0</v>
      </c>
      <c r="AI37" s="322">
        <f>'P NP JAPUNG IKAN'!BN23</f>
        <v>0</v>
      </c>
      <c r="AJ37" s="322">
        <f>'P NP JAPUNG IKAN'!BM24</f>
        <v>0</v>
      </c>
      <c r="AK37" s="322">
        <f>'P NP JAPUNG IKAN'!BN24</f>
        <v>0</v>
      </c>
      <c r="AL37" s="322">
        <f>'P NP JAPUNG IKAN'!BM25</f>
        <v>0</v>
      </c>
      <c r="AM37" s="322">
        <f>'P NP JAPUNG IKAN'!BN25</f>
        <v>0</v>
      </c>
      <c r="AN37" s="322">
        <f>'P NP JAPUNG IKAN'!BM26</f>
        <v>0</v>
      </c>
      <c r="AO37" s="322">
        <f>'P NP JAPUNG IKAN'!BN26</f>
        <v>0</v>
      </c>
      <c r="AP37" s="322">
        <f>'P NP JAPUNG IKAN'!BM27</f>
        <v>0</v>
      </c>
      <c r="AQ37" s="322">
        <f>'P NP JAPUNG IKAN'!BN27</f>
        <v>0</v>
      </c>
      <c r="AR37" s="322">
        <f>'P NP JAPUNG IKAN'!BM28</f>
        <v>0</v>
      </c>
      <c r="AS37" s="322">
        <f>'P NP JAPUNG IKAN'!BN28</f>
        <v>0</v>
      </c>
      <c r="AT37" s="322">
        <f>'P NP JAPUNG IKAN'!BM29</f>
        <v>0</v>
      </c>
      <c r="AU37" s="322">
        <f>'P NP JAPUNG IKAN'!BN29</f>
        <v>0</v>
      </c>
      <c r="AV37" s="322">
        <f>'P NP JAPUNG IKAN'!BM30</f>
        <v>0</v>
      </c>
      <c r="AW37" s="322">
        <f>'P NP JAPUNG IKAN'!BN30</f>
        <v>0</v>
      </c>
      <c r="AX37" s="322">
        <f>'P NP JAPUNG IKAN'!BM31</f>
        <v>0</v>
      </c>
      <c r="AY37" s="322">
        <f>'P NP JAPUNG IKAN'!BN31</f>
        <v>0</v>
      </c>
      <c r="AZ37" s="322">
        <f>'P NP JAPUNG IKAN'!BM32</f>
        <v>0</v>
      </c>
      <c r="BA37" s="322">
        <f>'P NP JAPUNG IKAN'!BN32</f>
        <v>0</v>
      </c>
      <c r="BB37" s="322">
        <f>'P NP JAPUNG IKAN'!BM33</f>
        <v>0</v>
      </c>
      <c r="BC37" s="322">
        <f>'P NP JAPUNG IKAN'!BN33</f>
        <v>0</v>
      </c>
      <c r="BD37" s="322">
        <f>'P NP JAPUNG IKAN'!BM34</f>
        <v>0</v>
      </c>
      <c r="BE37" s="322">
        <f>'P NP JAPUNG IKAN'!BN34</f>
        <v>0</v>
      </c>
      <c r="BF37" s="322">
        <f>'P NP JAPUNG IKAN'!BM35</f>
        <v>0</v>
      </c>
      <c r="BG37" s="322">
        <f>'P NP JAPUNG IKAN'!BN35</f>
        <v>0</v>
      </c>
      <c r="BH37" s="322">
        <f>'P NP JAPUNG IKAN'!BM36</f>
        <v>0</v>
      </c>
      <c r="BI37" s="322">
        <f>'P NP JAPUNG IKAN'!BN36</f>
        <v>0</v>
      </c>
      <c r="BJ37" s="322">
        <f>'P NP JAPUNG IKAN'!BM37</f>
        <v>0</v>
      </c>
      <c r="BK37" s="322">
        <f>'P NP JAPUNG IKAN'!BN37</f>
        <v>0</v>
      </c>
      <c r="BL37" s="322">
        <f>'P NP JAPUNG IKAN'!BM38</f>
        <v>0</v>
      </c>
      <c r="BM37" s="322">
        <f>'P NP JAPUNG IKAN'!BN38</f>
        <v>0</v>
      </c>
      <c r="BN37" s="322">
        <f>'P NP JAPUNG IKAN'!BM39</f>
        <v>0</v>
      </c>
      <c r="BO37" s="322">
        <f>'P NP JAPUNG IKAN'!BN39</f>
        <v>0</v>
      </c>
      <c r="BP37" s="322">
        <f>'P NP JAPUNG IKAN'!BM40</f>
        <v>0</v>
      </c>
      <c r="BQ37" s="322">
        <f>'P NP JAPUNG IKAN'!BN40</f>
        <v>0</v>
      </c>
      <c r="BR37" s="322">
        <f>'P NP JAPUNG IKAN'!BM41</f>
        <v>0</v>
      </c>
      <c r="BS37" s="322">
        <f>'P NP JAPUNG IKAN'!BN41</f>
        <v>0</v>
      </c>
      <c r="BT37" s="322">
        <f>'P NP JAPUNG IKAN'!BM42</f>
        <v>0</v>
      </c>
      <c r="BU37" s="322">
        <f>'P NP JAPUNG IKAN'!BN42</f>
        <v>0</v>
      </c>
      <c r="BV37" s="322">
        <f>'P NP JAPUNG IKAN'!BM43</f>
        <v>0</v>
      </c>
      <c r="BW37" s="322">
        <f>'P NP JAPUNG IKAN'!BN43</f>
        <v>0</v>
      </c>
      <c r="BX37" s="322">
        <f>'P NP JAPUNG IKAN'!BM44</f>
        <v>0</v>
      </c>
      <c r="BY37" s="322">
        <f>'P NP JAPUNG IKAN'!BN44</f>
        <v>0</v>
      </c>
    </row>
    <row r="38" spans="1:77">
      <c r="A38" s="260" t="s">
        <v>147</v>
      </c>
      <c r="B38" s="320">
        <f t="shared" si="2"/>
        <v>0</v>
      </c>
      <c r="C38" s="320">
        <f t="shared" si="3"/>
        <v>0</v>
      </c>
      <c r="D38" s="322">
        <f>'P NP JAPUNG IKAN'!BO8</f>
        <v>0</v>
      </c>
      <c r="E38" s="322">
        <f>'P NP JAPUNG IKAN'!BP8</f>
        <v>0</v>
      </c>
      <c r="F38" s="322">
        <f>'P NP JAPUNG IKAN'!BO9</f>
        <v>0</v>
      </c>
      <c r="G38" s="322">
        <f>'P NP JAPUNG IKAN'!BP9</f>
        <v>0</v>
      </c>
      <c r="H38" s="322">
        <f>'P NP JAPUNG IKAN'!BO10</f>
        <v>0</v>
      </c>
      <c r="I38" s="322">
        <f>'P NP JAPUNG IKAN'!BP10</f>
        <v>0</v>
      </c>
      <c r="J38" s="322">
        <f>'P NP JAPUNG IKAN'!BO11</f>
        <v>0</v>
      </c>
      <c r="K38" s="322">
        <f>'P NP JAPUNG IKAN'!BP11</f>
        <v>0</v>
      </c>
      <c r="L38" s="322">
        <f>'P NP JAPUNG IKAN'!BO12</f>
        <v>0</v>
      </c>
      <c r="M38" s="322">
        <f>'P NP JAPUNG IKAN'!BP12</f>
        <v>0</v>
      </c>
      <c r="N38" s="322">
        <f>'P NP JAPUNG IKAN'!BO13</f>
        <v>0</v>
      </c>
      <c r="O38" s="322">
        <f>'P NP JAPUNG IKAN'!BP13</f>
        <v>0</v>
      </c>
      <c r="P38" s="322">
        <f>'P NP JAPUNG IKAN'!BO14</f>
        <v>0</v>
      </c>
      <c r="Q38" s="322">
        <f>'P NP JAPUNG IKAN'!BP14</f>
        <v>0</v>
      </c>
      <c r="R38" s="322">
        <f>'P NP JAPUNG IKAN'!BO15</f>
        <v>0</v>
      </c>
      <c r="S38" s="322">
        <f>'P NP JAPUNG IKAN'!BP15</f>
        <v>0</v>
      </c>
      <c r="T38" s="322">
        <f>'P NP JAPUNG IKAN'!BO16</f>
        <v>0</v>
      </c>
      <c r="U38" s="322">
        <f>'P NP JAPUNG IKAN'!BP16</f>
        <v>0</v>
      </c>
      <c r="V38" s="322">
        <f>'P NP JAPUNG IKAN'!BO17</f>
        <v>0</v>
      </c>
      <c r="W38" s="322">
        <f>'P NP JAPUNG IKAN'!BP17</f>
        <v>0</v>
      </c>
      <c r="X38" s="322">
        <f>'P NP JAPUNG IKAN'!BO18</f>
        <v>0</v>
      </c>
      <c r="Y38" s="322">
        <f>'P NP JAPUNG IKAN'!BP18</f>
        <v>0</v>
      </c>
      <c r="Z38" s="322">
        <f>'P NP JAPUNG IKAN'!BO19</f>
        <v>0</v>
      </c>
      <c r="AA38" s="322">
        <f>'P NP JAPUNG IKAN'!BP19</f>
        <v>0</v>
      </c>
      <c r="AB38" s="322">
        <f>'P NP JAPUNG IKAN'!BO20</f>
        <v>0</v>
      </c>
      <c r="AC38" s="322">
        <f>'P NP JAPUNG IKAN'!BP20</f>
        <v>0</v>
      </c>
      <c r="AD38" s="322">
        <f>'P NP JAPUNG IKAN'!BO21</f>
        <v>0</v>
      </c>
      <c r="AE38" s="322">
        <f>'P NP JAPUNG IKAN'!BP21</f>
        <v>0</v>
      </c>
      <c r="AF38" s="322">
        <f>'P NP JAPUNG IKAN'!BO22</f>
        <v>0</v>
      </c>
      <c r="AG38" s="322">
        <f>'P NP JAPUNG IKAN'!BP22</f>
        <v>0</v>
      </c>
      <c r="AH38" s="322">
        <f>'P NP JAPUNG IKAN'!BO23</f>
        <v>0</v>
      </c>
      <c r="AI38" s="322">
        <f>'P NP JAPUNG IKAN'!BP23</f>
        <v>0</v>
      </c>
      <c r="AJ38" s="322">
        <f>'P NP JAPUNG IKAN'!BO24</f>
        <v>0</v>
      </c>
      <c r="AK38" s="322">
        <f>'P NP JAPUNG IKAN'!BP24</f>
        <v>0</v>
      </c>
      <c r="AL38" s="322">
        <f>'P NP JAPUNG IKAN'!BO25</f>
        <v>0</v>
      </c>
      <c r="AM38" s="322">
        <f>'P NP JAPUNG IKAN'!BP25</f>
        <v>0</v>
      </c>
      <c r="AN38" s="322">
        <f>'P NP JAPUNG IKAN'!BO26</f>
        <v>0</v>
      </c>
      <c r="AO38" s="322">
        <f>'P NP JAPUNG IKAN'!BP26</f>
        <v>0</v>
      </c>
      <c r="AP38" s="322">
        <f>'P NP JAPUNG IKAN'!BO27</f>
        <v>0</v>
      </c>
      <c r="AQ38" s="322">
        <f>'P NP JAPUNG IKAN'!BP27</f>
        <v>0</v>
      </c>
      <c r="AR38" s="322">
        <f>'P NP JAPUNG IKAN'!BO28</f>
        <v>0</v>
      </c>
      <c r="AS38" s="322">
        <f>'P NP JAPUNG IKAN'!BP28</f>
        <v>0</v>
      </c>
      <c r="AT38" s="322">
        <f>'P NP JAPUNG IKAN'!BO29</f>
        <v>0</v>
      </c>
      <c r="AU38" s="322">
        <f>'P NP JAPUNG IKAN'!BP29</f>
        <v>0</v>
      </c>
      <c r="AV38" s="322">
        <f>'P NP JAPUNG IKAN'!BO30</f>
        <v>0</v>
      </c>
      <c r="AW38" s="322">
        <f>'P NP JAPUNG IKAN'!BP30</f>
        <v>0</v>
      </c>
      <c r="AX38" s="322">
        <f>'P NP JAPUNG IKAN'!BO31</f>
        <v>0</v>
      </c>
      <c r="AY38" s="322">
        <f>'P NP JAPUNG IKAN'!BP31</f>
        <v>0</v>
      </c>
      <c r="AZ38" s="322">
        <f>'P NP JAPUNG IKAN'!BO32</f>
        <v>0</v>
      </c>
      <c r="BA38" s="322">
        <f>'P NP JAPUNG IKAN'!BP32</f>
        <v>0</v>
      </c>
      <c r="BB38" s="322">
        <f>'P NP JAPUNG IKAN'!BO33</f>
        <v>0</v>
      </c>
      <c r="BC38" s="322">
        <f>'P NP JAPUNG IKAN'!BP33</f>
        <v>0</v>
      </c>
      <c r="BD38" s="322">
        <f>'P NP JAPUNG IKAN'!BO34</f>
        <v>0</v>
      </c>
      <c r="BE38" s="322">
        <f>'P NP JAPUNG IKAN'!BP34</f>
        <v>0</v>
      </c>
      <c r="BF38" s="322">
        <f>'P NP JAPUNG IKAN'!BO35</f>
        <v>0</v>
      </c>
      <c r="BG38" s="322">
        <f>'P NP JAPUNG IKAN'!BP35</f>
        <v>0</v>
      </c>
      <c r="BH38" s="322">
        <f>'P NP JAPUNG IKAN'!BO36</f>
        <v>0</v>
      </c>
      <c r="BI38" s="322">
        <f>'P NP JAPUNG IKAN'!BP36</f>
        <v>0</v>
      </c>
      <c r="BJ38" s="322">
        <f>'P NP JAPUNG IKAN'!BO37</f>
        <v>0</v>
      </c>
      <c r="BK38" s="322">
        <f>'P NP JAPUNG IKAN'!BP37</f>
        <v>0</v>
      </c>
      <c r="BL38" s="322">
        <f>'P NP JAPUNG IKAN'!BO38</f>
        <v>0</v>
      </c>
      <c r="BM38" s="322">
        <f>'P NP JAPUNG IKAN'!BP38</f>
        <v>0</v>
      </c>
      <c r="BN38" s="322">
        <f>'P NP JAPUNG IKAN'!BO39</f>
        <v>0</v>
      </c>
      <c r="BO38" s="322">
        <f>'P NP JAPUNG IKAN'!BP39</f>
        <v>0</v>
      </c>
      <c r="BP38" s="322">
        <f>'P NP JAPUNG IKAN'!BO40</f>
        <v>0</v>
      </c>
      <c r="BQ38" s="322">
        <f>'P NP JAPUNG IKAN'!BP40</f>
        <v>0</v>
      </c>
      <c r="BR38" s="322">
        <f>'P NP JAPUNG IKAN'!BO41</f>
        <v>0</v>
      </c>
      <c r="BS38" s="322">
        <f>'P NP JAPUNG IKAN'!BP41</f>
        <v>0</v>
      </c>
      <c r="BT38" s="322">
        <f>'P NP JAPUNG IKAN'!BO42</f>
        <v>0</v>
      </c>
      <c r="BU38" s="322">
        <f>'P NP JAPUNG IKAN'!BP42</f>
        <v>0</v>
      </c>
      <c r="BV38" s="322">
        <f>'P NP JAPUNG IKAN'!BO43</f>
        <v>0</v>
      </c>
      <c r="BW38" s="322">
        <f>'P NP JAPUNG IKAN'!BP43</f>
        <v>0</v>
      </c>
      <c r="BX38" s="322">
        <f>'P NP JAPUNG IKAN'!BO44</f>
        <v>0</v>
      </c>
      <c r="BY38" s="322">
        <f>'P NP JAPUNG IKAN'!BP44</f>
        <v>0</v>
      </c>
    </row>
    <row r="39" spans="1:77">
      <c r="A39" s="260" t="s">
        <v>143</v>
      </c>
      <c r="B39" s="320">
        <f t="shared" si="2"/>
        <v>0</v>
      </c>
      <c r="C39" s="320">
        <f t="shared" si="3"/>
        <v>0</v>
      </c>
      <c r="D39" s="322">
        <f>'P NP JAPUNG IKAN'!BQ8</f>
        <v>0</v>
      </c>
      <c r="E39" s="322">
        <f>'P NP JAPUNG IKAN'!BR8</f>
        <v>0</v>
      </c>
      <c r="F39" s="322">
        <f>'P NP JAPUNG IKAN'!BQ9</f>
        <v>0</v>
      </c>
      <c r="G39" s="322">
        <f>'P NP JAPUNG IKAN'!BR9</f>
        <v>0</v>
      </c>
      <c r="H39" s="322">
        <f>'P NP JAPUNG IKAN'!BQ10</f>
        <v>0</v>
      </c>
      <c r="I39" s="322">
        <f>'P NP JAPUNG IKAN'!BR10</f>
        <v>0</v>
      </c>
      <c r="J39" s="322">
        <f>'P NP JAPUNG IKAN'!BQ11</f>
        <v>0</v>
      </c>
      <c r="K39" s="322">
        <f>'P NP JAPUNG IKAN'!BR11</f>
        <v>0</v>
      </c>
      <c r="L39" s="322">
        <f>'P NP JAPUNG IKAN'!BQ12</f>
        <v>0</v>
      </c>
      <c r="M39" s="322">
        <f>'P NP JAPUNG IKAN'!BR12</f>
        <v>0</v>
      </c>
      <c r="N39" s="322">
        <f>'P NP JAPUNG IKAN'!BQ13</f>
        <v>0</v>
      </c>
      <c r="O39" s="322">
        <f>'P NP JAPUNG IKAN'!BR13</f>
        <v>0</v>
      </c>
      <c r="P39" s="322">
        <f>'P NP JAPUNG IKAN'!BQ14</f>
        <v>0</v>
      </c>
      <c r="Q39" s="322">
        <f>'P NP JAPUNG IKAN'!BR14</f>
        <v>0</v>
      </c>
      <c r="R39" s="322">
        <f>'P NP JAPUNG IKAN'!BQ15</f>
        <v>0</v>
      </c>
      <c r="S39" s="322">
        <f>'P NP JAPUNG IKAN'!BR15</f>
        <v>0</v>
      </c>
      <c r="T39" s="322">
        <f>'P NP JAPUNG IKAN'!BQ16</f>
        <v>0</v>
      </c>
      <c r="U39" s="322">
        <f>'P NP JAPUNG IKAN'!BR16</f>
        <v>0</v>
      </c>
      <c r="V39" s="322">
        <f>'P NP JAPUNG IKAN'!BQ17</f>
        <v>0</v>
      </c>
      <c r="W39" s="322">
        <f>'P NP JAPUNG IKAN'!BR17</f>
        <v>0</v>
      </c>
      <c r="X39" s="322">
        <f>'P NP JAPUNG IKAN'!BQ18</f>
        <v>0</v>
      </c>
      <c r="Y39" s="322">
        <f>'P NP JAPUNG IKAN'!BR18</f>
        <v>0</v>
      </c>
      <c r="Z39" s="322">
        <f>'P NP JAPUNG IKAN'!BQ19</f>
        <v>0</v>
      </c>
      <c r="AA39" s="322">
        <f>'P NP JAPUNG IKAN'!BR19</f>
        <v>0</v>
      </c>
      <c r="AB39" s="322">
        <f>'P NP JAPUNG IKAN'!BQ20</f>
        <v>0</v>
      </c>
      <c r="AC39" s="322">
        <f>'P NP JAPUNG IKAN'!BR20</f>
        <v>0</v>
      </c>
      <c r="AD39" s="322">
        <f>'P NP JAPUNG IKAN'!BQ21</f>
        <v>0</v>
      </c>
      <c r="AE39" s="322">
        <f>'P NP JAPUNG IKAN'!BR21</f>
        <v>0</v>
      </c>
      <c r="AF39" s="322">
        <f>'P NP JAPUNG IKAN'!BQ22</f>
        <v>0</v>
      </c>
      <c r="AG39" s="322">
        <f>'P NP JAPUNG IKAN'!BR22</f>
        <v>0</v>
      </c>
      <c r="AH39" s="322">
        <f>'P NP JAPUNG IKAN'!BQ23</f>
        <v>0</v>
      </c>
      <c r="AI39" s="322">
        <f>'P NP JAPUNG IKAN'!BR23</f>
        <v>0</v>
      </c>
      <c r="AJ39" s="322">
        <f>'P NP JAPUNG IKAN'!BQ24</f>
        <v>0</v>
      </c>
      <c r="AK39" s="322">
        <f>'P NP JAPUNG IKAN'!BR24</f>
        <v>0</v>
      </c>
      <c r="AL39" s="322">
        <f>'P NP JAPUNG IKAN'!BQ25</f>
        <v>0</v>
      </c>
      <c r="AM39" s="322">
        <f>'P NP JAPUNG IKAN'!BR25</f>
        <v>0</v>
      </c>
      <c r="AN39" s="322">
        <f>'P NP JAPUNG IKAN'!BQ26</f>
        <v>0</v>
      </c>
      <c r="AO39" s="322">
        <f>'P NP JAPUNG IKAN'!BR26</f>
        <v>0</v>
      </c>
      <c r="AP39" s="322">
        <f>'P NP JAPUNG IKAN'!BQ27</f>
        <v>0</v>
      </c>
      <c r="AQ39" s="322">
        <f>'P NP JAPUNG IKAN'!BR27</f>
        <v>0</v>
      </c>
      <c r="AR39" s="322">
        <f>'P NP JAPUNG IKAN'!BQ28</f>
        <v>0</v>
      </c>
      <c r="AS39" s="322">
        <f>'P NP JAPUNG IKAN'!BR28</f>
        <v>0</v>
      </c>
      <c r="AT39" s="322">
        <f>'P NP JAPUNG IKAN'!BQ29</f>
        <v>0</v>
      </c>
      <c r="AU39" s="322">
        <f>'P NP JAPUNG IKAN'!BR29</f>
        <v>0</v>
      </c>
      <c r="AV39" s="322">
        <f>'P NP JAPUNG IKAN'!BQ30</f>
        <v>0</v>
      </c>
      <c r="AW39" s="322">
        <f>'P NP JAPUNG IKAN'!BR30</f>
        <v>0</v>
      </c>
      <c r="AX39" s="322">
        <f>'P NP JAPUNG IKAN'!BQ31</f>
        <v>0</v>
      </c>
      <c r="AY39" s="322">
        <f>'P NP JAPUNG IKAN'!BR31</f>
        <v>0</v>
      </c>
      <c r="AZ39" s="322">
        <f>'P NP JAPUNG IKAN'!BQ32</f>
        <v>0</v>
      </c>
      <c r="BA39" s="322">
        <f>'P NP JAPUNG IKAN'!BR32</f>
        <v>0</v>
      </c>
      <c r="BB39" s="322">
        <f>'P NP JAPUNG IKAN'!BQ33</f>
        <v>0</v>
      </c>
      <c r="BC39" s="322">
        <f>'P NP JAPUNG IKAN'!BR33</f>
        <v>0</v>
      </c>
      <c r="BD39" s="322">
        <f>'P NP JAPUNG IKAN'!BQ34</f>
        <v>0</v>
      </c>
      <c r="BE39" s="322">
        <f>'P NP JAPUNG IKAN'!BR34</f>
        <v>0</v>
      </c>
      <c r="BF39" s="322">
        <f>'P NP JAPUNG IKAN'!BQ35</f>
        <v>0</v>
      </c>
      <c r="BG39" s="322">
        <f>'P NP JAPUNG IKAN'!BR35</f>
        <v>0</v>
      </c>
      <c r="BH39" s="322">
        <f>'P NP JAPUNG IKAN'!BQ36</f>
        <v>0</v>
      </c>
      <c r="BI39" s="322">
        <f>'P NP JAPUNG IKAN'!BR36</f>
        <v>0</v>
      </c>
      <c r="BJ39" s="322">
        <f>'P NP JAPUNG IKAN'!BQ37</f>
        <v>0</v>
      </c>
      <c r="BK39" s="322">
        <f>'P NP JAPUNG IKAN'!BR37</f>
        <v>0</v>
      </c>
      <c r="BL39" s="322">
        <f>'P NP JAPUNG IKAN'!BQ38</f>
        <v>0</v>
      </c>
      <c r="BM39" s="322">
        <f>'P NP JAPUNG IKAN'!BR38</f>
        <v>0</v>
      </c>
      <c r="BN39" s="322">
        <f>'P NP JAPUNG IKAN'!BQ39</f>
        <v>0</v>
      </c>
      <c r="BO39" s="322">
        <f>'P NP JAPUNG IKAN'!BR39</f>
        <v>0</v>
      </c>
      <c r="BP39" s="322">
        <f>'P NP JAPUNG IKAN'!BQ40</f>
        <v>0</v>
      </c>
      <c r="BQ39" s="322">
        <f>'P NP JAPUNG IKAN'!BR40</f>
        <v>0</v>
      </c>
      <c r="BR39" s="322">
        <f>'P NP JAPUNG IKAN'!BQ41</f>
        <v>0</v>
      </c>
      <c r="BS39" s="322">
        <f>'P NP JAPUNG IKAN'!BR41</f>
        <v>0</v>
      </c>
      <c r="BT39" s="322">
        <f>'P NP JAPUNG IKAN'!BQ42</f>
        <v>0</v>
      </c>
      <c r="BU39" s="322">
        <f>'P NP JAPUNG IKAN'!BR42</f>
        <v>0</v>
      </c>
      <c r="BV39" s="322">
        <f>'P NP JAPUNG IKAN'!BQ43</f>
        <v>0</v>
      </c>
      <c r="BW39" s="322">
        <f>'P NP JAPUNG IKAN'!BR43</f>
        <v>0</v>
      </c>
      <c r="BX39" s="322">
        <f>'P NP JAPUNG IKAN'!BQ44</f>
        <v>0</v>
      </c>
      <c r="BY39" s="322">
        <f>'P NP JAPUNG IKAN'!BR44</f>
        <v>0</v>
      </c>
    </row>
    <row r="40" spans="1:77">
      <c r="A40" s="260" t="s">
        <v>146</v>
      </c>
      <c r="B40" s="320">
        <f t="shared" si="2"/>
        <v>0</v>
      </c>
      <c r="C40" s="320">
        <f t="shared" si="3"/>
        <v>0</v>
      </c>
      <c r="D40" s="322">
        <f>'P NP JAPUNG IKAN'!BS8</f>
        <v>0</v>
      </c>
      <c r="E40" s="322">
        <f>'P NP JAPUNG IKAN'!BT8</f>
        <v>0</v>
      </c>
      <c r="F40" s="322">
        <f>'P NP JAPUNG IKAN'!BS9</f>
        <v>0</v>
      </c>
      <c r="G40" s="322">
        <f>'P NP JAPUNG IKAN'!BT9</f>
        <v>0</v>
      </c>
      <c r="H40" s="322">
        <f>'P NP JAPUNG IKAN'!BS10</f>
        <v>0</v>
      </c>
      <c r="I40" s="322">
        <f>'P NP JAPUNG IKAN'!BT10</f>
        <v>0</v>
      </c>
      <c r="J40" s="322">
        <f>'P NP JAPUNG IKAN'!BS11</f>
        <v>0</v>
      </c>
      <c r="K40" s="322">
        <f>'P NP JAPUNG IKAN'!BT11</f>
        <v>0</v>
      </c>
      <c r="L40" s="322">
        <f>'P NP JAPUNG IKAN'!BS12</f>
        <v>0</v>
      </c>
      <c r="M40" s="322">
        <f>'P NP JAPUNG IKAN'!BT12</f>
        <v>0</v>
      </c>
      <c r="N40" s="322">
        <f>'P NP JAPUNG IKAN'!BS13</f>
        <v>0</v>
      </c>
      <c r="O40" s="322">
        <f>'P NP JAPUNG IKAN'!BT13</f>
        <v>0</v>
      </c>
      <c r="P40" s="322">
        <f>'P NP JAPUNG IKAN'!BS14</f>
        <v>0</v>
      </c>
      <c r="Q40" s="322">
        <f>'P NP JAPUNG IKAN'!BT14</f>
        <v>0</v>
      </c>
      <c r="R40" s="322">
        <f>'P NP JAPUNG IKAN'!BS15</f>
        <v>0</v>
      </c>
      <c r="S40" s="322">
        <f>'P NP JAPUNG IKAN'!BT15</f>
        <v>0</v>
      </c>
      <c r="T40" s="322">
        <f>'P NP JAPUNG IKAN'!BS16</f>
        <v>0</v>
      </c>
      <c r="U40" s="322">
        <f>'P NP JAPUNG IKAN'!BT16</f>
        <v>0</v>
      </c>
      <c r="V40" s="322">
        <f>'P NP JAPUNG IKAN'!BS17</f>
        <v>0</v>
      </c>
      <c r="W40" s="322">
        <f>'P NP JAPUNG IKAN'!BT17</f>
        <v>0</v>
      </c>
      <c r="X40" s="322">
        <f>'P NP JAPUNG IKAN'!BS18</f>
        <v>0</v>
      </c>
      <c r="Y40" s="322">
        <f>'P NP JAPUNG IKAN'!BT18</f>
        <v>0</v>
      </c>
      <c r="Z40" s="322">
        <f>'P NP JAPUNG IKAN'!BS19</f>
        <v>0</v>
      </c>
      <c r="AA40" s="322">
        <f>'P NP JAPUNG IKAN'!BT19</f>
        <v>0</v>
      </c>
      <c r="AB40" s="322">
        <f>'P NP JAPUNG IKAN'!BS20</f>
        <v>0</v>
      </c>
      <c r="AC40" s="322">
        <f>'P NP JAPUNG IKAN'!BT20</f>
        <v>0</v>
      </c>
      <c r="AD40" s="322">
        <f>'P NP JAPUNG IKAN'!BS21</f>
        <v>0</v>
      </c>
      <c r="AE40" s="322">
        <f>'P NP JAPUNG IKAN'!BT21</f>
        <v>0</v>
      </c>
      <c r="AF40" s="322">
        <f>'P NP JAPUNG IKAN'!BS22</f>
        <v>0</v>
      </c>
      <c r="AG40" s="322">
        <f>'P NP JAPUNG IKAN'!BT22</f>
        <v>0</v>
      </c>
      <c r="AH40" s="322">
        <f>'P NP JAPUNG IKAN'!BS23</f>
        <v>0</v>
      </c>
      <c r="AI40" s="322">
        <f>'P NP JAPUNG IKAN'!BT23</f>
        <v>0</v>
      </c>
      <c r="AJ40" s="322">
        <f>'P NP JAPUNG IKAN'!BS24</f>
        <v>0</v>
      </c>
      <c r="AK40" s="322">
        <f>'P NP JAPUNG IKAN'!BT24</f>
        <v>0</v>
      </c>
      <c r="AL40" s="322">
        <f>'P NP JAPUNG IKAN'!BS25</f>
        <v>0</v>
      </c>
      <c r="AM40" s="322">
        <f>'P NP JAPUNG IKAN'!BT25</f>
        <v>0</v>
      </c>
      <c r="AN40" s="322">
        <f>'P NP JAPUNG IKAN'!BS26</f>
        <v>0</v>
      </c>
      <c r="AO40" s="322">
        <f>'P NP JAPUNG IKAN'!BT26</f>
        <v>0</v>
      </c>
      <c r="AP40" s="322">
        <f>'P NP JAPUNG IKAN'!BS27</f>
        <v>0</v>
      </c>
      <c r="AQ40" s="322">
        <f>'P NP JAPUNG IKAN'!BT27</f>
        <v>0</v>
      </c>
      <c r="AR40" s="322">
        <f>'P NP JAPUNG IKAN'!BS28</f>
        <v>0</v>
      </c>
      <c r="AS40" s="322">
        <f>'P NP JAPUNG IKAN'!BT28</f>
        <v>0</v>
      </c>
      <c r="AT40" s="322">
        <f>'P NP JAPUNG IKAN'!BS29</f>
        <v>0</v>
      </c>
      <c r="AU40" s="322">
        <f>'P NP JAPUNG IKAN'!BT29</f>
        <v>0</v>
      </c>
      <c r="AV40" s="322">
        <f>'P NP JAPUNG IKAN'!BS30</f>
        <v>0</v>
      </c>
      <c r="AW40" s="322">
        <f>'P NP JAPUNG IKAN'!BT30</f>
        <v>0</v>
      </c>
      <c r="AX40" s="322">
        <f>'P NP JAPUNG IKAN'!BS31</f>
        <v>0</v>
      </c>
      <c r="AY40" s="322">
        <f>'P NP JAPUNG IKAN'!BT31</f>
        <v>0</v>
      </c>
      <c r="AZ40" s="322">
        <f>'P NP JAPUNG IKAN'!BS32</f>
        <v>0</v>
      </c>
      <c r="BA40" s="322">
        <f>'P NP JAPUNG IKAN'!BT32</f>
        <v>0</v>
      </c>
      <c r="BB40" s="322">
        <f>'P NP JAPUNG IKAN'!BS33</f>
        <v>0</v>
      </c>
      <c r="BC40" s="322">
        <f>'P NP JAPUNG IKAN'!BT33</f>
        <v>0</v>
      </c>
      <c r="BD40" s="322">
        <f>'P NP JAPUNG IKAN'!BS34</f>
        <v>0</v>
      </c>
      <c r="BE40" s="322">
        <f>'P NP JAPUNG IKAN'!BT34</f>
        <v>0</v>
      </c>
      <c r="BF40" s="322">
        <f>'P NP JAPUNG IKAN'!BS35</f>
        <v>0</v>
      </c>
      <c r="BG40" s="322">
        <f>'P NP JAPUNG IKAN'!BT35</f>
        <v>0</v>
      </c>
      <c r="BH40" s="322">
        <f>'P NP JAPUNG IKAN'!BS36</f>
        <v>0</v>
      </c>
      <c r="BI40" s="322">
        <f>'P NP JAPUNG IKAN'!BT36</f>
        <v>0</v>
      </c>
      <c r="BJ40" s="322">
        <f>'P NP JAPUNG IKAN'!BS37</f>
        <v>0</v>
      </c>
      <c r="BK40" s="322">
        <f>'P NP JAPUNG IKAN'!BT37</f>
        <v>0</v>
      </c>
      <c r="BL40" s="322">
        <f>'P NP JAPUNG IKAN'!BS38</f>
        <v>0</v>
      </c>
      <c r="BM40" s="322">
        <f>'P NP JAPUNG IKAN'!BT38</f>
        <v>0</v>
      </c>
      <c r="BN40" s="322">
        <f>'P NP JAPUNG IKAN'!BS39</f>
        <v>0</v>
      </c>
      <c r="BO40" s="322">
        <f>'P NP JAPUNG IKAN'!BT39</f>
        <v>0</v>
      </c>
      <c r="BP40" s="322">
        <f>'P NP JAPUNG IKAN'!BS40</f>
        <v>0</v>
      </c>
      <c r="BQ40" s="322">
        <f>'P NP JAPUNG IKAN'!BT40</f>
        <v>0</v>
      </c>
      <c r="BR40" s="322">
        <f>'P NP JAPUNG IKAN'!BS41</f>
        <v>0</v>
      </c>
      <c r="BS40" s="322">
        <f>'P NP JAPUNG IKAN'!BT41</f>
        <v>0</v>
      </c>
      <c r="BT40" s="322">
        <f>'P NP JAPUNG IKAN'!BS42</f>
        <v>0</v>
      </c>
      <c r="BU40" s="322">
        <f>'P NP JAPUNG IKAN'!BT42</f>
        <v>0</v>
      </c>
      <c r="BV40" s="322">
        <f>'P NP JAPUNG IKAN'!BS43</f>
        <v>0</v>
      </c>
      <c r="BW40" s="322">
        <f>'P NP JAPUNG IKAN'!BT43</f>
        <v>0</v>
      </c>
      <c r="BX40" s="322">
        <f>'P NP JAPUNG IKAN'!BS44</f>
        <v>0</v>
      </c>
      <c r="BY40" s="322">
        <f>'P NP JAPUNG IKAN'!BT44</f>
        <v>0</v>
      </c>
    </row>
    <row r="41" spans="1:77">
      <c r="A41" s="260" t="s">
        <v>145</v>
      </c>
      <c r="B41" s="320">
        <f t="shared" si="2"/>
        <v>0</v>
      </c>
      <c r="C41" s="320">
        <f t="shared" si="3"/>
        <v>0</v>
      </c>
      <c r="D41" s="322">
        <f>'P NP JAPUNG IKAN'!BU8</f>
        <v>0</v>
      </c>
      <c r="E41" s="322">
        <f>'P NP JAPUNG IKAN'!BV8</f>
        <v>0</v>
      </c>
      <c r="F41" s="322">
        <f>'P NP JAPUNG IKAN'!BU9</f>
        <v>0</v>
      </c>
      <c r="G41" s="322">
        <f>'P NP JAPUNG IKAN'!BV9</f>
        <v>0</v>
      </c>
      <c r="H41" s="322">
        <f>'P NP JAPUNG IKAN'!BU10</f>
        <v>0</v>
      </c>
      <c r="I41" s="322">
        <f>'P NP JAPUNG IKAN'!BV10</f>
        <v>0</v>
      </c>
      <c r="J41" s="322">
        <f>'P NP JAPUNG IKAN'!BU11</f>
        <v>0</v>
      </c>
      <c r="K41" s="322">
        <f>'P NP JAPUNG IKAN'!BV11</f>
        <v>0</v>
      </c>
      <c r="L41" s="322">
        <f>'P NP JAPUNG IKAN'!BU12</f>
        <v>0</v>
      </c>
      <c r="M41" s="322">
        <f>'P NP JAPUNG IKAN'!BV12</f>
        <v>0</v>
      </c>
      <c r="N41" s="322">
        <f>'P NP JAPUNG IKAN'!BU13</f>
        <v>0</v>
      </c>
      <c r="O41" s="322">
        <f>'P NP JAPUNG IKAN'!BV13</f>
        <v>0</v>
      </c>
      <c r="P41" s="322">
        <f>'P NP JAPUNG IKAN'!BU14</f>
        <v>0</v>
      </c>
      <c r="Q41" s="322">
        <f>'P NP JAPUNG IKAN'!BV14</f>
        <v>0</v>
      </c>
      <c r="R41" s="322">
        <f>'P NP JAPUNG IKAN'!BU15</f>
        <v>0</v>
      </c>
      <c r="S41" s="322">
        <f>'P NP JAPUNG IKAN'!BV15</f>
        <v>0</v>
      </c>
      <c r="T41" s="322">
        <f>'P NP JAPUNG IKAN'!BU16</f>
        <v>0</v>
      </c>
      <c r="U41" s="322">
        <f>'P NP JAPUNG IKAN'!BV16</f>
        <v>0</v>
      </c>
      <c r="V41" s="322">
        <f>'P NP JAPUNG IKAN'!BU17</f>
        <v>0</v>
      </c>
      <c r="W41" s="322">
        <f>'P NP JAPUNG IKAN'!BV17</f>
        <v>0</v>
      </c>
      <c r="X41" s="322">
        <f>'P NP JAPUNG IKAN'!BU18</f>
        <v>0</v>
      </c>
      <c r="Y41" s="322">
        <f>'P NP JAPUNG IKAN'!BV18</f>
        <v>0</v>
      </c>
      <c r="Z41" s="322">
        <f>'P NP JAPUNG IKAN'!BU19</f>
        <v>0</v>
      </c>
      <c r="AA41" s="322">
        <f>'P NP JAPUNG IKAN'!BV19</f>
        <v>0</v>
      </c>
      <c r="AB41" s="322">
        <f>'P NP JAPUNG IKAN'!BU20</f>
        <v>0</v>
      </c>
      <c r="AC41" s="322">
        <f>'P NP JAPUNG IKAN'!BV20</f>
        <v>0</v>
      </c>
      <c r="AD41" s="322">
        <f>'P NP JAPUNG IKAN'!BU21</f>
        <v>0</v>
      </c>
      <c r="AE41" s="322">
        <f>'P NP JAPUNG IKAN'!BV21</f>
        <v>0</v>
      </c>
      <c r="AF41" s="322">
        <f>'P NP JAPUNG IKAN'!BU22</f>
        <v>0</v>
      </c>
      <c r="AG41" s="322">
        <f>'P NP JAPUNG IKAN'!BV22</f>
        <v>0</v>
      </c>
      <c r="AH41" s="322">
        <f>'P NP JAPUNG IKAN'!BU23</f>
        <v>0</v>
      </c>
      <c r="AI41" s="322">
        <f>'P NP JAPUNG IKAN'!BV23</f>
        <v>0</v>
      </c>
      <c r="AJ41" s="322">
        <f>'P NP JAPUNG IKAN'!BU24</f>
        <v>0</v>
      </c>
      <c r="AK41" s="322">
        <f>'P NP JAPUNG IKAN'!BV24</f>
        <v>0</v>
      </c>
      <c r="AL41" s="322">
        <f>'P NP JAPUNG IKAN'!BU25</f>
        <v>0</v>
      </c>
      <c r="AM41" s="322">
        <f>'P NP JAPUNG IKAN'!BV25</f>
        <v>0</v>
      </c>
      <c r="AN41" s="322">
        <f>'P NP JAPUNG IKAN'!BU26</f>
        <v>0</v>
      </c>
      <c r="AO41" s="322">
        <f>'P NP JAPUNG IKAN'!BV26</f>
        <v>0</v>
      </c>
      <c r="AP41" s="322">
        <f>'P NP JAPUNG IKAN'!BU27</f>
        <v>0</v>
      </c>
      <c r="AQ41" s="322">
        <f>'P NP JAPUNG IKAN'!BV27</f>
        <v>0</v>
      </c>
      <c r="AR41" s="322">
        <f>'P NP JAPUNG IKAN'!BU28</f>
        <v>0</v>
      </c>
      <c r="AS41" s="322">
        <f>'P NP JAPUNG IKAN'!BV28</f>
        <v>0</v>
      </c>
      <c r="AT41" s="322">
        <f>'P NP JAPUNG IKAN'!BU29</f>
        <v>0</v>
      </c>
      <c r="AU41" s="322">
        <f>'P NP JAPUNG IKAN'!BV29</f>
        <v>0</v>
      </c>
      <c r="AV41" s="322">
        <f>'P NP JAPUNG IKAN'!BU30</f>
        <v>0</v>
      </c>
      <c r="AW41" s="322">
        <f>'P NP JAPUNG IKAN'!BV30</f>
        <v>0</v>
      </c>
      <c r="AX41" s="322">
        <f>'P NP JAPUNG IKAN'!BU31</f>
        <v>0</v>
      </c>
      <c r="AY41" s="322">
        <f>'P NP JAPUNG IKAN'!BV31</f>
        <v>0</v>
      </c>
      <c r="AZ41" s="322">
        <f>'P NP JAPUNG IKAN'!BU32</f>
        <v>0</v>
      </c>
      <c r="BA41" s="322">
        <f>'P NP JAPUNG IKAN'!BV32</f>
        <v>0</v>
      </c>
      <c r="BB41" s="322">
        <f>'P NP JAPUNG IKAN'!BU33</f>
        <v>0</v>
      </c>
      <c r="BC41" s="322">
        <f>'P NP JAPUNG IKAN'!BV33</f>
        <v>0</v>
      </c>
      <c r="BD41" s="322">
        <f>'P NP JAPUNG IKAN'!BU34</f>
        <v>0</v>
      </c>
      <c r="BE41" s="322">
        <f>'P NP JAPUNG IKAN'!BV34</f>
        <v>0</v>
      </c>
      <c r="BF41" s="322">
        <f>'P NP JAPUNG IKAN'!BU35</f>
        <v>0</v>
      </c>
      <c r="BG41" s="322">
        <f>'P NP JAPUNG IKAN'!BV35</f>
        <v>0</v>
      </c>
      <c r="BH41" s="322">
        <f>'P NP JAPUNG IKAN'!BU36</f>
        <v>0</v>
      </c>
      <c r="BI41" s="322">
        <f>'P NP JAPUNG IKAN'!BV36</f>
        <v>0</v>
      </c>
      <c r="BJ41" s="322">
        <f>'P NP JAPUNG IKAN'!BU37</f>
        <v>0</v>
      </c>
      <c r="BK41" s="322">
        <f>'P NP JAPUNG IKAN'!BV37</f>
        <v>0</v>
      </c>
      <c r="BL41" s="322">
        <f>'P NP JAPUNG IKAN'!BU38</f>
        <v>0</v>
      </c>
      <c r="BM41" s="322">
        <f>'P NP JAPUNG IKAN'!BV38</f>
        <v>0</v>
      </c>
      <c r="BN41" s="322">
        <f>'P NP JAPUNG IKAN'!BU39</f>
        <v>0</v>
      </c>
      <c r="BO41" s="322">
        <f>'P NP JAPUNG IKAN'!BV39</f>
        <v>0</v>
      </c>
      <c r="BP41" s="322">
        <f>'P NP JAPUNG IKAN'!BU40</f>
        <v>0</v>
      </c>
      <c r="BQ41" s="322">
        <f>'P NP JAPUNG IKAN'!BV40</f>
        <v>0</v>
      </c>
      <c r="BR41" s="322">
        <f>'P NP JAPUNG IKAN'!BU41</f>
        <v>0</v>
      </c>
      <c r="BS41" s="322">
        <f>'P NP JAPUNG IKAN'!BV41</f>
        <v>0</v>
      </c>
      <c r="BT41" s="322">
        <f>'P NP JAPUNG IKAN'!BU42</f>
        <v>0</v>
      </c>
      <c r="BU41" s="322">
        <f>'P NP JAPUNG IKAN'!BV42</f>
        <v>0</v>
      </c>
      <c r="BV41" s="322">
        <f>'P NP JAPUNG IKAN'!BU43</f>
        <v>0</v>
      </c>
      <c r="BW41" s="322">
        <f>'P NP JAPUNG IKAN'!BV43</f>
        <v>0</v>
      </c>
      <c r="BX41" s="322">
        <f>'P NP JAPUNG IKAN'!BU44</f>
        <v>0</v>
      </c>
      <c r="BY41" s="322">
        <f>'P NP JAPUNG IKAN'!BV44</f>
        <v>0</v>
      </c>
    </row>
    <row r="42" spans="1:77">
      <c r="A42" s="260" t="s">
        <v>144</v>
      </c>
      <c r="B42" s="320">
        <f t="shared" si="2"/>
        <v>0</v>
      </c>
      <c r="C42" s="320">
        <f t="shared" si="3"/>
        <v>0</v>
      </c>
      <c r="D42" s="322">
        <f>'P NP JAPUNG IKAN'!BW8</f>
        <v>0</v>
      </c>
      <c r="E42" s="322">
        <f>'P NP JAPUNG IKAN'!BX8</f>
        <v>0</v>
      </c>
      <c r="F42" s="322">
        <f>'P NP JAPUNG IKAN'!BW9</f>
        <v>0</v>
      </c>
      <c r="G42" s="322">
        <f>'P NP JAPUNG IKAN'!BX9</f>
        <v>0</v>
      </c>
      <c r="H42" s="322">
        <f>'P NP JAPUNG IKAN'!BW10</f>
        <v>0</v>
      </c>
      <c r="I42" s="322">
        <f>'P NP JAPUNG IKAN'!BX10</f>
        <v>0</v>
      </c>
      <c r="J42" s="322">
        <f>'P NP JAPUNG IKAN'!BW11</f>
        <v>0</v>
      </c>
      <c r="K42" s="322">
        <f>'P NP JAPUNG IKAN'!BX11</f>
        <v>0</v>
      </c>
      <c r="L42" s="322">
        <f>'P NP JAPUNG IKAN'!BW12</f>
        <v>0</v>
      </c>
      <c r="M42" s="322">
        <f>'P NP JAPUNG IKAN'!BX12</f>
        <v>0</v>
      </c>
      <c r="N42" s="322">
        <f>'P NP JAPUNG IKAN'!BW13</f>
        <v>0</v>
      </c>
      <c r="O42" s="322">
        <f>'P NP JAPUNG IKAN'!BX13</f>
        <v>0</v>
      </c>
      <c r="P42" s="322">
        <f>'P NP JAPUNG IKAN'!BW14</f>
        <v>0</v>
      </c>
      <c r="Q42" s="322">
        <f>'P NP JAPUNG IKAN'!BX14</f>
        <v>0</v>
      </c>
      <c r="R42" s="322">
        <f>'P NP JAPUNG IKAN'!BW15</f>
        <v>0</v>
      </c>
      <c r="S42" s="322">
        <f>'P NP JAPUNG IKAN'!BX15</f>
        <v>0</v>
      </c>
      <c r="T42" s="322">
        <f>'P NP JAPUNG IKAN'!BW16</f>
        <v>0</v>
      </c>
      <c r="U42" s="322">
        <f>'P NP JAPUNG IKAN'!BX16</f>
        <v>0</v>
      </c>
      <c r="V42" s="322">
        <f>'P NP JAPUNG IKAN'!BW17</f>
        <v>0</v>
      </c>
      <c r="W42" s="322">
        <f>'P NP JAPUNG IKAN'!BX17</f>
        <v>0</v>
      </c>
      <c r="X42" s="322">
        <f>'P NP JAPUNG IKAN'!BW18</f>
        <v>0</v>
      </c>
      <c r="Y42" s="322">
        <f>'P NP JAPUNG IKAN'!BX18</f>
        <v>0</v>
      </c>
      <c r="Z42" s="322">
        <f>'P NP JAPUNG IKAN'!BW19</f>
        <v>0</v>
      </c>
      <c r="AA42" s="322">
        <f>'P NP JAPUNG IKAN'!BX19</f>
        <v>0</v>
      </c>
      <c r="AB42" s="322">
        <f>'P NP JAPUNG IKAN'!BW20</f>
        <v>0</v>
      </c>
      <c r="AC42" s="322">
        <f>'P NP JAPUNG IKAN'!BX20</f>
        <v>0</v>
      </c>
      <c r="AD42" s="322">
        <f>'P NP JAPUNG IKAN'!BW21</f>
        <v>0</v>
      </c>
      <c r="AE42" s="322">
        <f>'P NP JAPUNG IKAN'!BX21</f>
        <v>0</v>
      </c>
      <c r="AF42" s="322">
        <f>'P NP JAPUNG IKAN'!BW22</f>
        <v>0</v>
      </c>
      <c r="AG42" s="322">
        <f>'P NP JAPUNG IKAN'!BX22</f>
        <v>0</v>
      </c>
      <c r="AH42" s="322">
        <f>'P NP JAPUNG IKAN'!BW23</f>
        <v>0</v>
      </c>
      <c r="AI42" s="322">
        <f>'P NP JAPUNG IKAN'!BX23</f>
        <v>0</v>
      </c>
      <c r="AJ42" s="322">
        <f>'P NP JAPUNG IKAN'!BW24</f>
        <v>0</v>
      </c>
      <c r="AK42" s="322">
        <f>'P NP JAPUNG IKAN'!BX24</f>
        <v>0</v>
      </c>
      <c r="AL42" s="322">
        <f>'P NP JAPUNG IKAN'!BW25</f>
        <v>0</v>
      </c>
      <c r="AM42" s="322">
        <f>'P NP JAPUNG IKAN'!BX25</f>
        <v>0</v>
      </c>
      <c r="AN42" s="322">
        <f>'P NP JAPUNG IKAN'!BW26</f>
        <v>0</v>
      </c>
      <c r="AO42" s="322">
        <f>'P NP JAPUNG IKAN'!BX26</f>
        <v>0</v>
      </c>
      <c r="AP42" s="322">
        <f>'P NP JAPUNG IKAN'!BW27</f>
        <v>0</v>
      </c>
      <c r="AQ42" s="322">
        <f>'P NP JAPUNG IKAN'!BX27</f>
        <v>0</v>
      </c>
      <c r="AR42" s="322">
        <f>'P NP JAPUNG IKAN'!BW28</f>
        <v>0</v>
      </c>
      <c r="AS42" s="322">
        <f>'P NP JAPUNG IKAN'!BX28</f>
        <v>0</v>
      </c>
      <c r="AT42" s="322">
        <f>'P NP JAPUNG IKAN'!BW29</f>
        <v>0</v>
      </c>
      <c r="AU42" s="322">
        <f>'P NP JAPUNG IKAN'!BX29</f>
        <v>0</v>
      </c>
      <c r="AV42" s="322">
        <f>'P NP JAPUNG IKAN'!BW30</f>
        <v>0</v>
      </c>
      <c r="AW42" s="322">
        <f>'P NP JAPUNG IKAN'!BX30</f>
        <v>0</v>
      </c>
      <c r="AX42" s="322">
        <f>'P NP JAPUNG IKAN'!BW31</f>
        <v>0</v>
      </c>
      <c r="AY42" s="322">
        <f>'P NP JAPUNG IKAN'!BX31</f>
        <v>0</v>
      </c>
      <c r="AZ42" s="322">
        <f>'P NP JAPUNG IKAN'!BW32</f>
        <v>0</v>
      </c>
      <c r="BA42" s="322">
        <f>'P NP JAPUNG IKAN'!BX32</f>
        <v>0</v>
      </c>
      <c r="BB42" s="322">
        <f>'P NP JAPUNG IKAN'!BW33</f>
        <v>0</v>
      </c>
      <c r="BC42" s="322">
        <f>'P NP JAPUNG IKAN'!BX33</f>
        <v>0</v>
      </c>
      <c r="BD42" s="322">
        <f>'P NP JAPUNG IKAN'!BW34</f>
        <v>0</v>
      </c>
      <c r="BE42" s="322">
        <f>'P NP JAPUNG IKAN'!BX34</f>
        <v>0</v>
      </c>
      <c r="BF42" s="322">
        <f>'P NP JAPUNG IKAN'!BW35</f>
        <v>0</v>
      </c>
      <c r="BG42" s="322">
        <f>'P NP JAPUNG IKAN'!BX35</f>
        <v>0</v>
      </c>
      <c r="BH42" s="322">
        <f>'P NP JAPUNG IKAN'!BW36</f>
        <v>0</v>
      </c>
      <c r="BI42" s="322">
        <f>'P NP JAPUNG IKAN'!BX36</f>
        <v>0</v>
      </c>
      <c r="BJ42" s="322">
        <f>'P NP JAPUNG IKAN'!BW37</f>
        <v>0</v>
      </c>
      <c r="BK42" s="322">
        <f>'P NP JAPUNG IKAN'!BX37</f>
        <v>0</v>
      </c>
      <c r="BL42" s="322">
        <f>'P NP JAPUNG IKAN'!BW38</f>
        <v>0</v>
      </c>
      <c r="BM42" s="322">
        <f>'P NP JAPUNG IKAN'!BX38</f>
        <v>0</v>
      </c>
      <c r="BN42" s="322">
        <f>'P NP JAPUNG IKAN'!BW39</f>
        <v>0</v>
      </c>
      <c r="BO42" s="322">
        <f>'P NP JAPUNG IKAN'!BX39</f>
        <v>0</v>
      </c>
      <c r="BP42" s="322">
        <f>'P NP JAPUNG IKAN'!BW40</f>
        <v>0</v>
      </c>
      <c r="BQ42" s="322">
        <f>'P NP JAPUNG IKAN'!BX40</f>
        <v>0</v>
      </c>
      <c r="BR42" s="322">
        <f>'P NP JAPUNG IKAN'!BW41</f>
        <v>0</v>
      </c>
      <c r="BS42" s="322">
        <f>'P NP JAPUNG IKAN'!BX41</f>
        <v>0</v>
      </c>
      <c r="BT42" s="322">
        <f>'P NP JAPUNG IKAN'!BW42</f>
        <v>0</v>
      </c>
      <c r="BU42" s="322">
        <f>'P NP JAPUNG IKAN'!BX42</f>
        <v>0</v>
      </c>
      <c r="BV42" s="322">
        <f>'P NP JAPUNG IKAN'!BW43</f>
        <v>0</v>
      </c>
      <c r="BW42" s="322">
        <f>'P NP JAPUNG IKAN'!BX43</f>
        <v>0</v>
      </c>
      <c r="BX42" s="322">
        <f>'P NP JAPUNG IKAN'!BW44</f>
        <v>0</v>
      </c>
      <c r="BY42" s="322">
        <f>'P NP JAPUNG IKAN'!BX44</f>
        <v>0</v>
      </c>
    </row>
    <row r="43" spans="1:77" ht="15" thickBot="1">
      <c r="A43" s="272" t="s">
        <v>148</v>
      </c>
      <c r="B43" s="320">
        <f t="shared" si="2"/>
        <v>76409</v>
      </c>
      <c r="C43" s="320">
        <f t="shared" si="3"/>
        <v>1604008</v>
      </c>
      <c r="D43" s="322">
        <f>'P NP JAPUNG IKAN'!BY8</f>
        <v>0</v>
      </c>
      <c r="E43" s="322">
        <f>'P NP JAPUNG IKAN'!BZ8</f>
        <v>0</v>
      </c>
      <c r="F43" s="322">
        <f>'P NP JAPUNG IKAN'!BY9</f>
        <v>0</v>
      </c>
      <c r="G43" s="322">
        <f>'P NP JAPUNG IKAN'!BZ9</f>
        <v>0</v>
      </c>
      <c r="H43" s="322">
        <f>'P NP JAPUNG IKAN'!BY10</f>
        <v>0</v>
      </c>
      <c r="I43" s="322">
        <f>'P NP JAPUNG IKAN'!BZ10</f>
        <v>0</v>
      </c>
      <c r="J43" s="322">
        <f>'P NP JAPUNG IKAN'!BY11</f>
        <v>0</v>
      </c>
      <c r="K43" s="322">
        <f>'P NP JAPUNG IKAN'!BZ11</f>
        <v>0</v>
      </c>
      <c r="L43" s="322">
        <f>'P NP JAPUNG IKAN'!BY12</f>
        <v>0</v>
      </c>
      <c r="M43" s="322">
        <f>'P NP JAPUNG IKAN'!BZ12</f>
        <v>0</v>
      </c>
      <c r="N43" s="322">
        <f>'P NP JAPUNG IKAN'!BY13</f>
        <v>0</v>
      </c>
      <c r="O43" s="322">
        <f>'P NP JAPUNG IKAN'!BZ13</f>
        <v>0</v>
      </c>
      <c r="P43" s="322">
        <f>'P NP JAPUNG IKAN'!BY14</f>
        <v>0</v>
      </c>
      <c r="Q43" s="322">
        <f>'P NP JAPUNG IKAN'!BZ14</f>
        <v>0</v>
      </c>
      <c r="R43" s="322">
        <f>'P NP JAPUNG IKAN'!BY15</f>
        <v>0</v>
      </c>
      <c r="S43" s="322">
        <f>'P NP JAPUNG IKAN'!BZ15</f>
        <v>0</v>
      </c>
      <c r="T43" s="322">
        <f>'P NP JAPUNG IKAN'!BY16</f>
        <v>0</v>
      </c>
      <c r="U43" s="322">
        <f>'P NP JAPUNG IKAN'!BZ16</f>
        <v>0</v>
      </c>
      <c r="V43" s="322">
        <f>'P NP JAPUNG IKAN'!BY17</f>
        <v>0</v>
      </c>
      <c r="W43" s="322">
        <f>'P NP JAPUNG IKAN'!BZ17</f>
        <v>0</v>
      </c>
      <c r="X43" s="322">
        <f>'P NP JAPUNG IKAN'!BY18</f>
        <v>0</v>
      </c>
      <c r="Y43" s="322">
        <f>'P NP JAPUNG IKAN'!BZ18</f>
        <v>0</v>
      </c>
      <c r="Z43" s="322">
        <f>'P NP JAPUNG IKAN'!BY19</f>
        <v>0</v>
      </c>
      <c r="AA43" s="322">
        <f>'P NP JAPUNG IKAN'!BZ19</f>
        <v>0</v>
      </c>
      <c r="AB43" s="322">
        <f>'P NP JAPUNG IKAN'!BY20</f>
        <v>0</v>
      </c>
      <c r="AC43" s="322">
        <f>'P NP JAPUNG IKAN'!BZ20</f>
        <v>0</v>
      </c>
      <c r="AD43" s="322">
        <f>'P NP JAPUNG IKAN'!BY21</f>
        <v>76409</v>
      </c>
      <c r="AE43" s="322">
        <f>'P NP JAPUNG IKAN'!BZ21</f>
        <v>1604008</v>
      </c>
      <c r="AF43" s="322">
        <f>'P NP JAPUNG IKAN'!BY22</f>
        <v>0</v>
      </c>
      <c r="AG43" s="322">
        <f>'P NP JAPUNG IKAN'!BZ22</f>
        <v>0</v>
      </c>
      <c r="AH43" s="322">
        <f>'P NP JAPUNG IKAN'!BY23</f>
        <v>0</v>
      </c>
      <c r="AI43" s="322">
        <f>'P NP JAPUNG IKAN'!BZ23</f>
        <v>0</v>
      </c>
      <c r="AJ43" s="322">
        <f>'P NP JAPUNG IKAN'!BY24</f>
        <v>0</v>
      </c>
      <c r="AK43" s="322">
        <f>'P NP JAPUNG IKAN'!BZ24</f>
        <v>0</v>
      </c>
      <c r="AL43" s="322">
        <f>'P NP JAPUNG IKAN'!BY25</f>
        <v>0</v>
      </c>
      <c r="AM43" s="322">
        <f>'P NP JAPUNG IKAN'!BZ25</f>
        <v>0</v>
      </c>
      <c r="AN43" s="322">
        <f>'P NP JAPUNG IKAN'!BY26</f>
        <v>0</v>
      </c>
      <c r="AO43" s="322">
        <f>'P NP JAPUNG IKAN'!BZ26</f>
        <v>0</v>
      </c>
      <c r="AP43" s="322">
        <f>'P NP JAPUNG IKAN'!BY27</f>
        <v>0</v>
      </c>
      <c r="AQ43" s="322">
        <f>'P NP JAPUNG IKAN'!BZ27</f>
        <v>0</v>
      </c>
      <c r="AR43" s="322">
        <f>'P NP JAPUNG IKAN'!BY28</f>
        <v>0</v>
      </c>
      <c r="AS43" s="322">
        <f>'P NP JAPUNG IKAN'!BZ28</f>
        <v>0</v>
      </c>
      <c r="AT43" s="322">
        <f>'P NP JAPUNG IKAN'!BY29</f>
        <v>0</v>
      </c>
      <c r="AU43" s="322">
        <f>'P NP JAPUNG IKAN'!BZ29</f>
        <v>0</v>
      </c>
      <c r="AV43" s="322">
        <f>'P NP JAPUNG IKAN'!BY30</f>
        <v>0</v>
      </c>
      <c r="AW43" s="322">
        <f>'P NP JAPUNG IKAN'!BZ30</f>
        <v>0</v>
      </c>
      <c r="AX43" s="322">
        <f>'P NP JAPUNG IKAN'!BY31</f>
        <v>0</v>
      </c>
      <c r="AY43" s="322">
        <f>'P NP JAPUNG IKAN'!BZ31</f>
        <v>0</v>
      </c>
      <c r="AZ43" s="322">
        <f>'P NP JAPUNG IKAN'!BY32</f>
        <v>0</v>
      </c>
      <c r="BA43" s="322">
        <f>'P NP JAPUNG IKAN'!BZ32</f>
        <v>0</v>
      </c>
      <c r="BB43" s="322">
        <f>'P NP JAPUNG IKAN'!BY33</f>
        <v>0</v>
      </c>
      <c r="BC43" s="322">
        <f>'P NP JAPUNG IKAN'!BZ33</f>
        <v>0</v>
      </c>
      <c r="BD43" s="322">
        <f>'P NP JAPUNG IKAN'!BY34</f>
        <v>0</v>
      </c>
      <c r="BE43" s="322">
        <f>'P NP JAPUNG IKAN'!BZ34</f>
        <v>0</v>
      </c>
      <c r="BF43" s="322">
        <f>'P NP JAPUNG IKAN'!BY35</f>
        <v>0</v>
      </c>
      <c r="BG43" s="322">
        <f>'P NP JAPUNG IKAN'!BZ35</f>
        <v>0</v>
      </c>
      <c r="BH43" s="322">
        <f>'P NP JAPUNG IKAN'!BY36</f>
        <v>0</v>
      </c>
      <c r="BI43" s="322">
        <f>'P NP JAPUNG IKAN'!BZ36</f>
        <v>0</v>
      </c>
      <c r="BJ43" s="322">
        <f>'P NP JAPUNG IKAN'!BY37</f>
        <v>0</v>
      </c>
      <c r="BK43" s="322">
        <f>'P NP JAPUNG IKAN'!BZ37</f>
        <v>0</v>
      </c>
      <c r="BL43" s="322">
        <f>'P NP JAPUNG IKAN'!BY38</f>
        <v>0</v>
      </c>
      <c r="BM43" s="322">
        <f>'P NP JAPUNG IKAN'!BZ38</f>
        <v>0</v>
      </c>
      <c r="BN43" s="322">
        <f>'P NP JAPUNG IKAN'!BY39</f>
        <v>0</v>
      </c>
      <c r="BO43" s="322">
        <f>'P NP JAPUNG IKAN'!BZ39</f>
        <v>0</v>
      </c>
      <c r="BP43" s="322">
        <f>'P NP JAPUNG IKAN'!BY40</f>
        <v>0</v>
      </c>
      <c r="BQ43" s="322">
        <f>'P NP JAPUNG IKAN'!BZ40</f>
        <v>0</v>
      </c>
      <c r="BR43" s="322">
        <f>'P NP JAPUNG IKAN'!BY41</f>
        <v>0</v>
      </c>
      <c r="BS43" s="322">
        <f>'P NP JAPUNG IKAN'!BZ41</f>
        <v>0</v>
      </c>
      <c r="BT43" s="322">
        <f>'P NP JAPUNG IKAN'!BY42</f>
        <v>0</v>
      </c>
      <c r="BU43" s="322">
        <f>'P NP JAPUNG IKAN'!BZ42</f>
        <v>0</v>
      </c>
      <c r="BV43" s="322">
        <f>'P NP JAPUNG IKAN'!BY43</f>
        <v>0</v>
      </c>
      <c r="BW43" s="322">
        <f>'P NP JAPUNG IKAN'!BZ43</f>
        <v>0</v>
      </c>
      <c r="BX43" s="322">
        <f>'P NP JAPUNG IKAN'!BY44</f>
        <v>0</v>
      </c>
      <c r="BY43" s="322">
        <f>'P NP JAPUNG IKAN'!BZ44</f>
        <v>0</v>
      </c>
    </row>
    <row r="44" spans="1:77" s="168" customFormat="1">
      <c r="D44" s="323"/>
      <c r="E44" s="323"/>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324"/>
      <c r="AI44" s="324"/>
      <c r="AJ44" s="324"/>
      <c r="AK44" s="324"/>
      <c r="AL44" s="324"/>
      <c r="AM44" s="324"/>
      <c r="AN44" s="324"/>
      <c r="AO44" s="324"/>
      <c r="AP44" s="324"/>
      <c r="AQ44" s="324"/>
      <c r="AR44" s="324"/>
      <c r="AS44" s="324"/>
      <c r="AT44" s="324"/>
      <c r="AU44" s="324"/>
      <c r="AV44" s="324"/>
      <c r="AW44" s="324"/>
      <c r="AX44" s="324"/>
      <c r="AY44" s="324"/>
      <c r="AZ44" s="324"/>
      <c r="BA44" s="324"/>
      <c r="BB44" s="324"/>
      <c r="BC44" s="324"/>
      <c r="BD44" s="324"/>
      <c r="BE44" s="324"/>
      <c r="BF44" s="322">
        <f>'P NP JAPUNG IKAN'!CA35</f>
        <v>0</v>
      </c>
      <c r="BG44" s="322">
        <f>'P NP JAPUNG IKAN'!CB35</f>
        <v>0</v>
      </c>
      <c r="BH44" s="322">
        <f>'P NP JAPUNG IKAN'!CA36</f>
        <v>0</v>
      </c>
      <c r="BI44" s="322">
        <f>'P NP JAPUNG IKAN'!CB36</f>
        <v>0</v>
      </c>
      <c r="BJ44" s="322">
        <f>'P NP JAPUNG IKAN'!CA37</f>
        <v>0</v>
      </c>
      <c r="BK44" s="322">
        <f>'P NP JAPUNG IKAN'!CB37</f>
        <v>0</v>
      </c>
      <c r="BL44" s="322">
        <f>'P NP JAPUNG IKAN'!CA38</f>
        <v>0</v>
      </c>
      <c r="BM44" s="322">
        <f>'P NP JAPUNG IKAN'!CB38</f>
        <v>0</v>
      </c>
      <c r="BN44" s="322">
        <f>'P NP JAPUNG IKAN'!CA39</f>
        <v>0</v>
      </c>
      <c r="BO44" s="322">
        <f>'P NP JAPUNG IKAN'!CB39</f>
        <v>0</v>
      </c>
      <c r="BP44" s="322">
        <f>'P NP JAPUNG IKAN'!CA40</f>
        <v>0</v>
      </c>
      <c r="BQ44" s="322">
        <f>'P NP JAPUNG IKAN'!CB40</f>
        <v>0</v>
      </c>
      <c r="BR44" s="322">
        <f>'P NP JAPUNG IKAN'!CA41</f>
        <v>0</v>
      </c>
      <c r="BS44" s="322">
        <f>'P NP JAPUNG IKAN'!CB41</f>
        <v>0</v>
      </c>
      <c r="BT44" s="322">
        <f>'P NP JAPUNG IKAN'!CA42</f>
        <v>0</v>
      </c>
      <c r="BU44" s="322">
        <f>'P NP JAPUNG IKAN'!CB42</f>
        <v>0</v>
      </c>
      <c r="BV44" s="322">
        <f>'P NP JAPUNG IKAN'!CA43</f>
        <v>0</v>
      </c>
      <c r="BW44" s="322">
        <f>'P NP JAPUNG IKAN'!CB43</f>
        <v>0</v>
      </c>
      <c r="BX44" s="322">
        <f>'P NP JAPUNG IKAN'!CA44</f>
        <v>0</v>
      </c>
      <c r="BY44" s="322">
        <f>'P NP JAPUNG IKAN'!CB44</f>
        <v>0</v>
      </c>
    </row>
  </sheetData>
  <sortState xmlns:xlrd2="http://schemas.microsoft.com/office/spreadsheetml/2017/richdata2" ref="A6:A43">
    <sortCondition ref="A6:A43"/>
  </sortState>
  <mergeCells count="37">
    <mergeCell ref="N2:O2"/>
    <mergeCell ref="D2:E2"/>
    <mergeCell ref="F2:G2"/>
    <mergeCell ref="H2:I2"/>
    <mergeCell ref="J2:K2"/>
    <mergeCell ref="L2:M2"/>
    <mergeCell ref="AL2:AM2"/>
    <mergeCell ref="P2:Q2"/>
    <mergeCell ref="R2:S2"/>
    <mergeCell ref="T2:U2"/>
    <mergeCell ref="V2:W2"/>
    <mergeCell ref="X2:Y2"/>
    <mergeCell ref="Z2:AA2"/>
    <mergeCell ref="AB2:AC2"/>
    <mergeCell ref="AD2:AE2"/>
    <mergeCell ref="AF2:AG2"/>
    <mergeCell ref="AH2:AI2"/>
    <mergeCell ref="AJ2:AK2"/>
    <mergeCell ref="BJ2:BK2"/>
    <mergeCell ref="AN2:AO2"/>
    <mergeCell ref="AP2:AQ2"/>
    <mergeCell ref="AR2:AS2"/>
    <mergeCell ref="AT2:AU2"/>
    <mergeCell ref="AV2:AW2"/>
    <mergeCell ref="AX2:AY2"/>
    <mergeCell ref="AZ2:BA2"/>
    <mergeCell ref="BB2:BC2"/>
    <mergeCell ref="BD2:BE2"/>
    <mergeCell ref="BF2:BG2"/>
    <mergeCell ref="BH2:BI2"/>
    <mergeCell ref="BX2:BY2"/>
    <mergeCell ref="BL2:BM2"/>
    <mergeCell ref="BN2:BO2"/>
    <mergeCell ref="BP2:BQ2"/>
    <mergeCell ref="BR2:BS2"/>
    <mergeCell ref="BT2:BU2"/>
    <mergeCell ref="BV2:BW2"/>
  </mergeCells>
  <pageMargins left="0.7" right="0.7" top="0.75" bottom="0.75" header="0.3" footer="0.3"/>
  <pageSetup paperSize="9" orientation="portrait" horizontalDpi="4294967293"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00"/>
  </sheetPr>
  <dimension ref="A1:CA29"/>
  <sheetViews>
    <sheetView zoomScale="80" zoomScaleNormal="80" workbookViewId="0">
      <pane xSplit="3" ySplit="11" topLeftCell="R12" activePane="bottomRight" state="frozen"/>
      <selection pane="topRight" activeCell="D1" sqref="D1"/>
      <selection pane="bottomLeft" activeCell="A10" sqref="A10"/>
      <selection pane="bottomRight" activeCell="BW25" sqref="BW25"/>
    </sheetView>
  </sheetViews>
  <sheetFormatPr defaultRowHeight="14.5"/>
  <cols>
    <col min="1" max="1" width="14.1796875" bestFit="1" customWidth="1"/>
    <col min="2" max="2" width="16.81640625" customWidth="1"/>
    <col min="3" max="3" width="18.81640625" customWidth="1"/>
    <col min="4" max="79" width="17.81640625" customWidth="1"/>
  </cols>
  <sheetData>
    <row r="1" spans="1:79">
      <c r="A1" s="115" t="s">
        <v>245</v>
      </c>
    </row>
    <row r="2" spans="1:79" ht="15.5">
      <c r="B2" s="742">
        <f>'P &amp; NP'!B1</f>
        <v>1442332993.2170775</v>
      </c>
      <c r="C2" s="742">
        <f>'P &amp; NP'!B3</f>
        <v>21538229550.790455</v>
      </c>
    </row>
    <row r="3" spans="1:79" ht="15.5">
      <c r="B3" s="980" t="s">
        <v>104</v>
      </c>
      <c r="C3" s="980"/>
      <c r="D3" s="975" t="s">
        <v>89</v>
      </c>
      <c r="E3" s="975"/>
      <c r="F3" s="975" t="s">
        <v>73</v>
      </c>
      <c r="G3" s="975"/>
      <c r="H3" s="975" t="s">
        <v>68</v>
      </c>
      <c r="I3" s="975"/>
      <c r="J3" s="975" t="s">
        <v>85</v>
      </c>
      <c r="K3" s="975"/>
      <c r="L3" s="975" t="s">
        <v>74</v>
      </c>
      <c r="M3" s="975"/>
      <c r="N3" s="975" t="s">
        <v>88</v>
      </c>
      <c r="O3" s="975"/>
      <c r="P3" s="975" t="s">
        <v>72</v>
      </c>
      <c r="Q3" s="975"/>
      <c r="R3" s="975" t="s">
        <v>80</v>
      </c>
      <c r="S3" s="975"/>
      <c r="T3" s="975" t="s">
        <v>69</v>
      </c>
      <c r="U3" s="975"/>
      <c r="V3" s="975" t="s">
        <v>87</v>
      </c>
      <c r="W3" s="975"/>
      <c r="X3" s="975" t="s">
        <v>71</v>
      </c>
      <c r="Y3" s="975"/>
      <c r="Z3" s="975" t="s">
        <v>82</v>
      </c>
      <c r="AA3" s="975"/>
      <c r="AB3" s="975" t="s">
        <v>83</v>
      </c>
      <c r="AC3" s="975"/>
      <c r="AD3" s="975" t="s">
        <v>70</v>
      </c>
      <c r="AE3" s="975"/>
      <c r="AF3" s="975" t="s">
        <v>79</v>
      </c>
      <c r="AG3" s="975"/>
      <c r="AH3" s="975" t="s">
        <v>81</v>
      </c>
      <c r="AI3" s="975"/>
      <c r="AJ3" s="975" t="s">
        <v>84</v>
      </c>
      <c r="AK3" s="975"/>
      <c r="AL3" s="975" t="s">
        <v>36</v>
      </c>
      <c r="AM3" s="975"/>
      <c r="AN3" s="975" t="s">
        <v>91</v>
      </c>
      <c r="AO3" s="975"/>
      <c r="AP3" s="862" t="s">
        <v>77</v>
      </c>
      <c r="AQ3" s="862"/>
      <c r="AR3" s="862" t="s">
        <v>38</v>
      </c>
      <c r="AS3" s="862"/>
      <c r="AT3" s="862" t="s">
        <v>76</v>
      </c>
      <c r="AU3" s="862"/>
      <c r="AV3" s="862" t="s">
        <v>90</v>
      </c>
      <c r="AW3" s="862"/>
      <c r="AX3" s="862" t="s">
        <v>78</v>
      </c>
      <c r="AY3" s="862"/>
      <c r="AZ3" s="862" t="s">
        <v>75</v>
      </c>
      <c r="BA3" s="862"/>
      <c r="BB3" s="862" t="s">
        <v>92</v>
      </c>
      <c r="BC3" s="862"/>
      <c r="BD3" s="862" t="s">
        <v>39</v>
      </c>
      <c r="BE3" s="862"/>
      <c r="BF3" s="862" t="s">
        <v>86</v>
      </c>
      <c r="BG3" s="862"/>
      <c r="BH3" s="862" t="s">
        <v>40</v>
      </c>
      <c r="BI3" s="862"/>
      <c r="BJ3" s="862" t="s">
        <v>101</v>
      </c>
      <c r="BK3" s="862"/>
      <c r="BL3" s="862" t="s">
        <v>94</v>
      </c>
      <c r="BM3" s="862"/>
      <c r="BN3" s="862" t="s">
        <v>93</v>
      </c>
      <c r="BO3" s="862"/>
      <c r="BP3" s="862" t="s">
        <v>99</v>
      </c>
      <c r="BQ3" s="862"/>
      <c r="BR3" s="862" t="s">
        <v>95</v>
      </c>
      <c r="BS3" s="862"/>
      <c r="BT3" s="862" t="s">
        <v>98</v>
      </c>
      <c r="BU3" s="862"/>
      <c r="BV3" s="862" t="s">
        <v>97</v>
      </c>
      <c r="BW3" s="862"/>
      <c r="BX3" s="862" t="s">
        <v>96</v>
      </c>
      <c r="BY3" s="862"/>
      <c r="BZ3" s="862" t="s">
        <v>100</v>
      </c>
      <c r="CA3" s="862"/>
    </row>
    <row r="4" spans="1:79" ht="15.5">
      <c r="B4" s="187" t="s">
        <v>27</v>
      </c>
      <c r="C4" s="187" t="s">
        <v>28</v>
      </c>
      <c r="D4" s="184" t="s">
        <v>27</v>
      </c>
      <c r="E4" s="184" t="s">
        <v>28</v>
      </c>
      <c r="F4" s="184" t="s">
        <v>27</v>
      </c>
      <c r="G4" s="184" t="s">
        <v>28</v>
      </c>
      <c r="H4" s="184" t="s">
        <v>27</v>
      </c>
      <c r="I4" s="184" t="s">
        <v>28</v>
      </c>
      <c r="J4" s="184" t="s">
        <v>27</v>
      </c>
      <c r="K4" s="184" t="s">
        <v>28</v>
      </c>
      <c r="L4" s="184" t="s">
        <v>27</v>
      </c>
      <c r="M4" s="184" t="s">
        <v>28</v>
      </c>
      <c r="N4" s="184" t="s">
        <v>27</v>
      </c>
      <c r="O4" s="184" t="s">
        <v>28</v>
      </c>
      <c r="P4" s="184" t="s">
        <v>27</v>
      </c>
      <c r="Q4" s="184" t="s">
        <v>28</v>
      </c>
      <c r="R4" s="184" t="s">
        <v>27</v>
      </c>
      <c r="S4" s="184" t="s">
        <v>28</v>
      </c>
      <c r="T4" s="184" t="s">
        <v>27</v>
      </c>
      <c r="U4" s="184" t="s">
        <v>28</v>
      </c>
      <c r="V4" s="184" t="s">
        <v>27</v>
      </c>
      <c r="W4" s="184" t="s">
        <v>28</v>
      </c>
      <c r="X4" s="184" t="s">
        <v>27</v>
      </c>
      <c r="Y4" s="184" t="s">
        <v>28</v>
      </c>
      <c r="Z4" s="184" t="s">
        <v>27</v>
      </c>
      <c r="AA4" s="184" t="s">
        <v>28</v>
      </c>
      <c r="AB4" s="184" t="s">
        <v>27</v>
      </c>
      <c r="AC4" s="184" t="s">
        <v>28</v>
      </c>
      <c r="AD4" s="184" t="s">
        <v>27</v>
      </c>
      <c r="AE4" s="184" t="s">
        <v>28</v>
      </c>
      <c r="AF4" s="184" t="s">
        <v>27</v>
      </c>
      <c r="AG4" s="184" t="s">
        <v>28</v>
      </c>
      <c r="AH4" s="184" t="s">
        <v>27</v>
      </c>
      <c r="AI4" s="184" t="s">
        <v>28</v>
      </c>
      <c r="AJ4" s="184" t="s">
        <v>27</v>
      </c>
      <c r="AK4" s="184" t="s">
        <v>28</v>
      </c>
      <c r="AL4" s="184" t="s">
        <v>27</v>
      </c>
      <c r="AM4" s="184" t="s">
        <v>28</v>
      </c>
      <c r="AN4" s="184" t="s">
        <v>27</v>
      </c>
      <c r="AO4" s="184" t="s">
        <v>28</v>
      </c>
      <c r="AP4" s="184" t="s">
        <v>27</v>
      </c>
      <c r="AQ4" s="184" t="s">
        <v>28</v>
      </c>
      <c r="AR4" s="184" t="s">
        <v>27</v>
      </c>
      <c r="AS4" s="184" t="s">
        <v>28</v>
      </c>
      <c r="AT4" s="184" t="s">
        <v>27</v>
      </c>
      <c r="AU4" s="184" t="s">
        <v>28</v>
      </c>
      <c r="AV4" s="184" t="s">
        <v>27</v>
      </c>
      <c r="AW4" s="184" t="s">
        <v>28</v>
      </c>
      <c r="AX4" s="184" t="s">
        <v>27</v>
      </c>
      <c r="AY4" s="184" t="s">
        <v>28</v>
      </c>
      <c r="AZ4" s="184" t="s">
        <v>27</v>
      </c>
      <c r="BA4" s="184" t="s">
        <v>28</v>
      </c>
      <c r="BB4" s="184" t="s">
        <v>27</v>
      </c>
      <c r="BC4" s="184" t="s">
        <v>28</v>
      </c>
      <c r="BD4" s="184" t="s">
        <v>27</v>
      </c>
      <c r="BE4" s="184" t="s">
        <v>28</v>
      </c>
      <c r="BF4" s="184" t="s">
        <v>27</v>
      </c>
      <c r="BG4" s="184" t="s">
        <v>28</v>
      </c>
      <c r="BH4" s="184" t="s">
        <v>27</v>
      </c>
      <c r="BI4" s="184" t="s">
        <v>28</v>
      </c>
      <c r="BJ4" s="184" t="s">
        <v>27</v>
      </c>
      <c r="BK4" s="184" t="s">
        <v>28</v>
      </c>
      <c r="BL4" s="184" t="s">
        <v>27</v>
      </c>
      <c r="BM4" s="184" t="s">
        <v>28</v>
      </c>
      <c r="BN4" s="184" t="s">
        <v>27</v>
      </c>
      <c r="BO4" s="184" t="s">
        <v>28</v>
      </c>
      <c r="BP4" s="184" t="s">
        <v>27</v>
      </c>
      <c r="BQ4" s="184" t="s">
        <v>28</v>
      </c>
      <c r="BR4" s="184" t="s">
        <v>27</v>
      </c>
      <c r="BS4" s="184" t="s">
        <v>28</v>
      </c>
      <c r="BT4" s="184" t="s">
        <v>27</v>
      </c>
      <c r="BU4" s="184" t="s">
        <v>28</v>
      </c>
      <c r="BV4" s="184" t="s">
        <v>27</v>
      </c>
      <c r="BW4" s="184" t="s">
        <v>28</v>
      </c>
      <c r="BX4" s="184" t="s">
        <v>27</v>
      </c>
      <c r="BY4" s="184" t="s">
        <v>28</v>
      </c>
      <c r="BZ4" s="184" t="s">
        <v>27</v>
      </c>
      <c r="CA4" s="184" t="s">
        <v>28</v>
      </c>
    </row>
    <row r="5" spans="1:79" ht="15.5">
      <c r="B5" s="187" t="s">
        <v>29</v>
      </c>
      <c r="C5" s="187" t="s">
        <v>30</v>
      </c>
      <c r="D5" s="184" t="s">
        <v>29</v>
      </c>
      <c r="E5" s="184" t="s">
        <v>30</v>
      </c>
      <c r="F5" s="184" t="s">
        <v>29</v>
      </c>
      <c r="G5" s="184" t="s">
        <v>30</v>
      </c>
      <c r="H5" s="184" t="s">
        <v>29</v>
      </c>
      <c r="I5" s="184" t="s">
        <v>30</v>
      </c>
      <c r="J5" s="184" t="s">
        <v>29</v>
      </c>
      <c r="K5" s="184" t="s">
        <v>30</v>
      </c>
      <c r="L5" s="184" t="s">
        <v>29</v>
      </c>
      <c r="M5" s="184" t="s">
        <v>30</v>
      </c>
      <c r="N5" s="184" t="s">
        <v>29</v>
      </c>
      <c r="O5" s="184" t="s">
        <v>30</v>
      </c>
      <c r="P5" s="184" t="s">
        <v>29</v>
      </c>
      <c r="Q5" s="184" t="s">
        <v>30</v>
      </c>
      <c r="R5" s="184" t="s">
        <v>29</v>
      </c>
      <c r="S5" s="184" t="s">
        <v>30</v>
      </c>
      <c r="T5" s="184" t="s">
        <v>29</v>
      </c>
      <c r="U5" s="184" t="s">
        <v>30</v>
      </c>
      <c r="V5" s="184" t="s">
        <v>29</v>
      </c>
      <c r="W5" s="184" t="s">
        <v>30</v>
      </c>
      <c r="X5" s="184" t="s">
        <v>29</v>
      </c>
      <c r="Y5" s="184" t="s">
        <v>30</v>
      </c>
      <c r="Z5" s="184" t="s">
        <v>29</v>
      </c>
      <c r="AA5" s="184" t="s">
        <v>30</v>
      </c>
      <c r="AB5" s="184" t="s">
        <v>29</v>
      </c>
      <c r="AC5" s="184" t="s">
        <v>30</v>
      </c>
      <c r="AD5" s="184" t="s">
        <v>29</v>
      </c>
      <c r="AE5" s="184" t="s">
        <v>30</v>
      </c>
      <c r="AF5" s="184" t="s">
        <v>29</v>
      </c>
      <c r="AG5" s="184" t="s">
        <v>30</v>
      </c>
      <c r="AH5" s="184" t="s">
        <v>29</v>
      </c>
      <c r="AI5" s="184" t="s">
        <v>30</v>
      </c>
      <c r="AJ5" s="184" t="s">
        <v>29</v>
      </c>
      <c r="AK5" s="184" t="s">
        <v>30</v>
      </c>
      <c r="AL5" s="184" t="s">
        <v>29</v>
      </c>
      <c r="AM5" s="184" t="s">
        <v>30</v>
      </c>
      <c r="AN5" s="184" t="s">
        <v>29</v>
      </c>
      <c r="AO5" s="184" t="s">
        <v>30</v>
      </c>
      <c r="AP5" s="184" t="s">
        <v>29</v>
      </c>
      <c r="AQ5" s="184" t="s">
        <v>30</v>
      </c>
      <c r="AR5" s="184" t="s">
        <v>29</v>
      </c>
      <c r="AS5" s="184" t="s">
        <v>30</v>
      </c>
      <c r="AT5" s="184" t="s">
        <v>29</v>
      </c>
      <c r="AU5" s="184" t="s">
        <v>30</v>
      </c>
      <c r="AV5" s="184" t="s">
        <v>29</v>
      </c>
      <c r="AW5" s="184" t="s">
        <v>30</v>
      </c>
      <c r="AX5" s="184" t="s">
        <v>29</v>
      </c>
      <c r="AY5" s="184" t="s">
        <v>30</v>
      </c>
      <c r="AZ5" s="184" t="s">
        <v>29</v>
      </c>
      <c r="BA5" s="184" t="s">
        <v>30</v>
      </c>
      <c r="BB5" s="184" t="s">
        <v>29</v>
      </c>
      <c r="BC5" s="184" t="s">
        <v>30</v>
      </c>
      <c r="BD5" s="184" t="s">
        <v>29</v>
      </c>
      <c r="BE5" s="184" t="s">
        <v>30</v>
      </c>
      <c r="BF5" s="184" t="s">
        <v>29</v>
      </c>
      <c r="BG5" s="184" t="s">
        <v>30</v>
      </c>
      <c r="BH5" s="184" t="s">
        <v>29</v>
      </c>
      <c r="BI5" s="184" t="s">
        <v>30</v>
      </c>
      <c r="BJ5" s="184" t="s">
        <v>29</v>
      </c>
      <c r="BK5" s="184" t="s">
        <v>30</v>
      </c>
      <c r="BL5" s="184" t="s">
        <v>29</v>
      </c>
      <c r="BM5" s="184" t="s">
        <v>30</v>
      </c>
      <c r="BN5" s="184" t="s">
        <v>29</v>
      </c>
      <c r="BO5" s="184" t="s">
        <v>30</v>
      </c>
      <c r="BP5" s="184" t="s">
        <v>29</v>
      </c>
      <c r="BQ5" s="184" t="s">
        <v>30</v>
      </c>
      <c r="BR5" s="184" t="s">
        <v>29</v>
      </c>
      <c r="BS5" s="184" t="s">
        <v>30</v>
      </c>
      <c r="BT5" s="184" t="s">
        <v>29</v>
      </c>
      <c r="BU5" s="184" t="s">
        <v>30</v>
      </c>
      <c r="BV5" s="184" t="s">
        <v>29</v>
      </c>
      <c r="BW5" s="184" t="s">
        <v>30</v>
      </c>
      <c r="BX5" s="184" t="s">
        <v>29</v>
      </c>
      <c r="BY5" s="184" t="s">
        <v>30</v>
      </c>
      <c r="BZ5" s="184" t="s">
        <v>29</v>
      </c>
      <c r="CA5" s="184" t="s">
        <v>30</v>
      </c>
    </row>
    <row r="6" spans="1:79" ht="15.5">
      <c r="A6" s="1" t="s">
        <v>170</v>
      </c>
      <c r="B6" s="189">
        <f>SUM(B12,B13,B14)</f>
        <v>330112456.68722296</v>
      </c>
      <c r="C6" s="189">
        <f>SUM(C12,C13,C14)</f>
        <v>5603264024.4083338</v>
      </c>
      <c r="D6" s="184">
        <f>SUM(D12:D14)</f>
        <v>4955552</v>
      </c>
      <c r="E6" s="184">
        <f>SUM(E12:E14)</f>
        <v>161184283.579</v>
      </c>
      <c r="F6" s="184">
        <f>SUM(F12:F14)</f>
        <v>7302170</v>
      </c>
      <c r="G6" s="184">
        <f t="shared" ref="G6:BR6" si="0">SUM(G12:G14)</f>
        <v>290494390</v>
      </c>
      <c r="H6" s="184">
        <f t="shared" si="0"/>
        <v>4138180</v>
      </c>
      <c r="I6" s="184">
        <f t="shared" si="0"/>
        <v>95031940</v>
      </c>
      <c r="J6" s="184">
        <f t="shared" si="0"/>
        <v>1611035</v>
      </c>
      <c r="K6" s="184">
        <f t="shared" si="0"/>
        <v>32154919</v>
      </c>
      <c r="L6" s="184">
        <f t="shared" si="0"/>
        <v>226594</v>
      </c>
      <c r="M6" s="184">
        <f t="shared" si="0"/>
        <v>4871029</v>
      </c>
      <c r="N6" s="184">
        <f t="shared" si="0"/>
        <v>40844408.346231222</v>
      </c>
      <c r="O6" s="184">
        <f t="shared" si="0"/>
        <v>937843455.59233367</v>
      </c>
      <c r="P6" s="184">
        <f t="shared" si="0"/>
        <v>4228988.0009917049</v>
      </c>
      <c r="Q6" s="184">
        <f t="shared" si="0"/>
        <v>110725999.02400002</v>
      </c>
      <c r="R6" s="184">
        <f t="shared" si="0"/>
        <v>3845700</v>
      </c>
      <c r="S6" s="184">
        <f t="shared" si="0"/>
        <v>68454750</v>
      </c>
      <c r="T6" s="184">
        <f t="shared" si="0"/>
        <v>6417120</v>
      </c>
      <c r="U6" s="184">
        <f t="shared" si="0"/>
        <v>120453120</v>
      </c>
      <c r="V6" s="184">
        <f t="shared" si="0"/>
        <v>13960780</v>
      </c>
      <c r="W6" s="184">
        <f t="shared" si="0"/>
        <v>470042912</v>
      </c>
      <c r="X6" s="184">
        <f t="shared" si="0"/>
        <v>1312000.3999999999</v>
      </c>
      <c r="Y6" s="184">
        <f t="shared" si="0"/>
        <v>48116047</v>
      </c>
      <c r="Z6" s="184">
        <f t="shared" si="0"/>
        <v>983300</v>
      </c>
      <c r="AA6" s="184">
        <f t="shared" si="0"/>
        <v>20204450</v>
      </c>
      <c r="AB6" s="184">
        <f t="shared" si="0"/>
        <v>483580</v>
      </c>
      <c r="AC6" s="184">
        <f t="shared" si="0"/>
        <v>9456525</v>
      </c>
      <c r="AD6" s="184">
        <f t="shared" si="0"/>
        <v>3821300</v>
      </c>
      <c r="AE6" s="184">
        <f t="shared" si="0"/>
        <v>87392500</v>
      </c>
      <c r="AF6" s="184">
        <f t="shared" si="0"/>
        <v>460500</v>
      </c>
      <c r="AG6" s="184">
        <f t="shared" si="0"/>
        <v>9563430</v>
      </c>
      <c r="AH6" s="184">
        <f t="shared" si="0"/>
        <v>3007000</v>
      </c>
      <c r="AI6" s="184">
        <f t="shared" si="0"/>
        <v>58594480</v>
      </c>
      <c r="AJ6" s="184">
        <f t="shared" si="0"/>
        <v>1129257</v>
      </c>
      <c r="AK6" s="184">
        <f t="shared" si="0"/>
        <v>21502929</v>
      </c>
      <c r="AL6" s="184">
        <f t="shared" si="0"/>
        <v>547268</v>
      </c>
      <c r="AM6" s="184">
        <f t="shared" si="0"/>
        <v>33854290</v>
      </c>
      <c r="AN6" s="184">
        <f t="shared" si="0"/>
        <v>315064</v>
      </c>
      <c r="AO6" s="184">
        <f t="shared" si="0"/>
        <v>13404519</v>
      </c>
      <c r="AP6" s="184">
        <f t="shared" si="0"/>
        <v>6438657.5599999996</v>
      </c>
      <c r="AQ6" s="184">
        <f t="shared" si="0"/>
        <v>122301542</v>
      </c>
      <c r="AR6" s="184">
        <f t="shared" si="0"/>
        <v>572473</v>
      </c>
      <c r="AS6" s="184">
        <f t="shared" si="0"/>
        <v>11676163.5</v>
      </c>
      <c r="AT6" s="184">
        <f t="shared" si="0"/>
        <v>4712900</v>
      </c>
      <c r="AU6" s="184">
        <f t="shared" si="0"/>
        <v>257554250</v>
      </c>
      <c r="AV6" s="184">
        <f t="shared" si="0"/>
        <v>314645</v>
      </c>
      <c r="AW6" s="184">
        <f t="shared" si="0"/>
        <v>13943373</v>
      </c>
      <c r="AX6" s="184">
        <f t="shared" si="0"/>
        <v>26443381</v>
      </c>
      <c r="AY6" s="184">
        <f t="shared" si="0"/>
        <v>648249665</v>
      </c>
      <c r="AZ6" s="184">
        <f t="shared" si="0"/>
        <v>2983727</v>
      </c>
      <c r="BA6" s="184">
        <f t="shared" si="0"/>
        <v>141709092</v>
      </c>
      <c r="BB6" s="184">
        <f t="shared" si="0"/>
        <v>156973535.19999999</v>
      </c>
      <c r="BC6" s="184">
        <f t="shared" si="0"/>
        <v>1044183439.2</v>
      </c>
      <c r="BD6" s="184">
        <f t="shared" si="0"/>
        <v>1330814</v>
      </c>
      <c r="BE6" s="184">
        <f t="shared" si="0"/>
        <v>26764559</v>
      </c>
      <c r="BF6" s="184">
        <f t="shared" si="0"/>
        <v>14404740</v>
      </c>
      <c r="BG6" s="184">
        <f t="shared" si="0"/>
        <v>395438355.41100001</v>
      </c>
      <c r="BH6" s="184">
        <f t="shared" si="0"/>
        <v>12372000</v>
      </c>
      <c r="BI6" s="184">
        <f t="shared" si="0"/>
        <v>238251000</v>
      </c>
      <c r="BJ6" s="184">
        <f t="shared" si="0"/>
        <v>15201</v>
      </c>
      <c r="BK6" s="184">
        <f t="shared" si="0"/>
        <v>373093</v>
      </c>
      <c r="BL6" s="184">
        <f t="shared" si="0"/>
        <v>68430</v>
      </c>
      <c r="BM6" s="184">
        <f t="shared" si="0"/>
        <v>1410230</v>
      </c>
      <c r="BN6" s="184">
        <f t="shared" si="0"/>
        <v>50900</v>
      </c>
      <c r="BO6" s="184">
        <f t="shared" si="0"/>
        <v>974300</v>
      </c>
      <c r="BP6" s="184">
        <f t="shared" si="0"/>
        <v>91944.98</v>
      </c>
      <c r="BQ6" s="184">
        <f t="shared" si="0"/>
        <v>2034943.4</v>
      </c>
      <c r="BR6" s="184">
        <f t="shared" si="0"/>
        <v>47000</v>
      </c>
      <c r="BS6" s="184">
        <f t="shared" ref="BS6:CA6" si="1">SUM(BS12:BS14)</f>
        <v>1013250</v>
      </c>
      <c r="BT6" s="184">
        <f t="shared" si="1"/>
        <v>57330</v>
      </c>
      <c r="BU6" s="184">
        <f t="shared" si="1"/>
        <v>1049882.0019999999</v>
      </c>
      <c r="BV6" s="184">
        <f t="shared" si="1"/>
        <v>656266</v>
      </c>
      <c r="BW6" s="184">
        <f t="shared" si="1"/>
        <v>5852995</v>
      </c>
      <c r="BX6" s="184">
        <f t="shared" si="1"/>
        <v>94015.2</v>
      </c>
      <c r="BY6" s="184">
        <f t="shared" si="1"/>
        <v>2807869.7</v>
      </c>
      <c r="BZ6" s="184">
        <f t="shared" si="1"/>
        <v>2894700</v>
      </c>
      <c r="CA6" s="184">
        <f t="shared" si="1"/>
        <v>94330054</v>
      </c>
    </row>
    <row r="7" spans="1:79" ht="15.5">
      <c r="A7" s="1" t="s">
        <v>171</v>
      </c>
      <c r="B7" s="189">
        <f>SUM(B15,B16,B17)</f>
        <v>350946945.5762316</v>
      </c>
      <c r="C7" s="189">
        <f>SUM(C15,C16,C17)</f>
        <v>5440004666.3943243</v>
      </c>
      <c r="D7" s="184">
        <f>SUM(D15,D16,D17)</f>
        <v>2036285</v>
      </c>
      <c r="E7" s="184">
        <f>SUM(E15,E16,E17)</f>
        <v>65676304.509000003</v>
      </c>
      <c r="F7" s="184">
        <f>SUM(F15,F16,F17)</f>
        <v>7548854</v>
      </c>
      <c r="G7" s="184">
        <f t="shared" ref="G7:BR7" si="2">SUM(G15,G16,G17)</f>
        <v>318937010</v>
      </c>
      <c r="H7" s="184">
        <f t="shared" si="2"/>
        <v>4447740</v>
      </c>
      <c r="I7" s="184">
        <f t="shared" si="2"/>
        <v>102433760</v>
      </c>
      <c r="J7" s="184">
        <f t="shared" si="2"/>
        <v>1266706</v>
      </c>
      <c r="K7" s="184">
        <f t="shared" si="2"/>
        <v>25744508</v>
      </c>
      <c r="L7" s="184">
        <f t="shared" si="2"/>
        <v>206553</v>
      </c>
      <c r="M7" s="184">
        <f t="shared" si="2"/>
        <v>4431970</v>
      </c>
      <c r="N7" s="184">
        <f t="shared" si="2"/>
        <v>40844019.987881131</v>
      </c>
      <c r="O7" s="184">
        <f t="shared" si="2"/>
        <v>961394320.91232419</v>
      </c>
      <c r="P7" s="184">
        <f t="shared" si="2"/>
        <v>3332124.9983504312</v>
      </c>
      <c r="Q7" s="184">
        <f t="shared" si="2"/>
        <v>108795590.04899999</v>
      </c>
      <c r="R7" s="184">
        <f t="shared" si="2"/>
        <v>3727800</v>
      </c>
      <c r="S7" s="184">
        <f t="shared" si="2"/>
        <v>66539750</v>
      </c>
      <c r="T7" s="184">
        <f t="shared" si="2"/>
        <v>6917120</v>
      </c>
      <c r="U7" s="184">
        <f t="shared" si="2"/>
        <v>129541360</v>
      </c>
      <c r="V7" s="184">
        <f t="shared" si="2"/>
        <v>28179906</v>
      </c>
      <c r="W7" s="184">
        <f t="shared" si="2"/>
        <v>771527012</v>
      </c>
      <c r="X7" s="184">
        <f t="shared" si="2"/>
        <v>1263317</v>
      </c>
      <c r="Y7" s="184">
        <f t="shared" si="2"/>
        <v>45701162</v>
      </c>
      <c r="Z7" s="184">
        <f t="shared" si="2"/>
        <v>990800</v>
      </c>
      <c r="AA7" s="184">
        <f t="shared" si="2"/>
        <v>20675625</v>
      </c>
      <c r="AB7" s="184">
        <f t="shared" si="2"/>
        <v>483700</v>
      </c>
      <c r="AC7" s="184">
        <f t="shared" si="2"/>
        <v>9442450</v>
      </c>
      <c r="AD7" s="184">
        <f t="shared" si="2"/>
        <v>3421500</v>
      </c>
      <c r="AE7" s="184">
        <f t="shared" si="2"/>
        <v>85961500</v>
      </c>
      <c r="AF7" s="184">
        <f t="shared" si="2"/>
        <v>445760</v>
      </c>
      <c r="AG7" s="184">
        <f t="shared" si="2"/>
        <v>8324256</v>
      </c>
      <c r="AH7" s="184">
        <f t="shared" si="2"/>
        <v>2898000</v>
      </c>
      <c r="AI7" s="184">
        <f t="shared" si="2"/>
        <v>58688025</v>
      </c>
      <c r="AJ7" s="184">
        <f t="shared" si="2"/>
        <v>1146447</v>
      </c>
      <c r="AK7" s="184">
        <f t="shared" si="2"/>
        <v>21768235</v>
      </c>
      <c r="AL7" s="184">
        <f t="shared" si="2"/>
        <v>588584</v>
      </c>
      <c r="AM7" s="184">
        <f t="shared" si="2"/>
        <v>34410482</v>
      </c>
      <c r="AN7" s="184">
        <f t="shared" si="2"/>
        <v>276481</v>
      </c>
      <c r="AO7" s="184">
        <f t="shared" si="2"/>
        <v>9535800</v>
      </c>
      <c r="AP7" s="184">
        <f t="shared" si="2"/>
        <v>5936675.1199999992</v>
      </c>
      <c r="AQ7" s="184">
        <f t="shared" si="2"/>
        <v>108131919</v>
      </c>
      <c r="AR7" s="184">
        <f t="shared" si="2"/>
        <v>577915</v>
      </c>
      <c r="AS7" s="184">
        <f t="shared" si="2"/>
        <v>11951786.699999999</v>
      </c>
      <c r="AT7" s="184">
        <f t="shared" si="2"/>
        <v>3886590</v>
      </c>
      <c r="AU7" s="184">
        <f t="shared" si="2"/>
        <v>203329430</v>
      </c>
      <c r="AV7" s="184">
        <f t="shared" si="2"/>
        <v>357367</v>
      </c>
      <c r="AW7" s="184">
        <f t="shared" si="2"/>
        <v>17040246</v>
      </c>
      <c r="AX7" s="184">
        <f t="shared" si="2"/>
        <v>26639452</v>
      </c>
      <c r="AY7" s="184">
        <f t="shared" si="2"/>
        <v>552800006</v>
      </c>
      <c r="AZ7" s="184">
        <f t="shared" si="2"/>
        <v>3120155</v>
      </c>
      <c r="BA7" s="184">
        <f t="shared" si="2"/>
        <v>149861722</v>
      </c>
      <c r="BB7" s="184">
        <f t="shared" si="2"/>
        <v>169529053.5</v>
      </c>
      <c r="BC7" s="184">
        <f t="shared" si="2"/>
        <v>794892011.5</v>
      </c>
      <c r="BD7" s="184">
        <f t="shared" si="2"/>
        <v>1396536</v>
      </c>
      <c r="BE7" s="184">
        <f t="shared" si="2"/>
        <v>29972976.5</v>
      </c>
      <c r="BF7" s="184">
        <f t="shared" si="2"/>
        <v>12346920</v>
      </c>
      <c r="BG7" s="184">
        <f t="shared" si="2"/>
        <v>336947190</v>
      </c>
      <c r="BH7" s="184">
        <f t="shared" si="2"/>
        <v>13819500</v>
      </c>
      <c r="BI7" s="184">
        <f t="shared" si="2"/>
        <v>300013000</v>
      </c>
      <c r="BJ7" s="184">
        <f t="shared" si="2"/>
        <v>15830</v>
      </c>
      <c r="BK7" s="184">
        <f t="shared" si="2"/>
        <v>378610</v>
      </c>
      <c r="BL7" s="184">
        <f t="shared" si="2"/>
        <v>62700</v>
      </c>
      <c r="BM7" s="184">
        <f t="shared" si="2"/>
        <v>1294500</v>
      </c>
      <c r="BN7" s="184">
        <f t="shared" si="2"/>
        <v>47600</v>
      </c>
      <c r="BO7" s="184">
        <f t="shared" si="2"/>
        <v>915600</v>
      </c>
      <c r="BP7" s="184">
        <f t="shared" si="2"/>
        <v>82789.97</v>
      </c>
      <c r="BQ7" s="184">
        <f t="shared" si="2"/>
        <v>1872530.2220000001</v>
      </c>
      <c r="BR7" s="184">
        <f t="shared" si="2"/>
        <v>35000</v>
      </c>
      <c r="BS7" s="184">
        <f t="shared" ref="BS7:CA7" si="3">SUM(BS15,BS16,BS17)</f>
        <v>774800</v>
      </c>
      <c r="BT7" s="184">
        <f t="shared" si="3"/>
        <v>56644</v>
      </c>
      <c r="BU7" s="184">
        <f t="shared" si="3"/>
        <v>1036437.002</v>
      </c>
      <c r="BV7" s="184">
        <f t="shared" si="3"/>
        <v>658742</v>
      </c>
      <c r="BW7" s="184">
        <f t="shared" si="3"/>
        <v>6031344</v>
      </c>
      <c r="BX7" s="184">
        <f t="shared" si="3"/>
        <v>83148</v>
      </c>
      <c r="BY7" s="184">
        <f t="shared" si="3"/>
        <v>2630897</v>
      </c>
      <c r="BZ7" s="184">
        <f t="shared" si="3"/>
        <v>2272630</v>
      </c>
      <c r="CA7" s="184">
        <f t="shared" si="3"/>
        <v>70600540</v>
      </c>
    </row>
    <row r="8" spans="1:79" ht="15.5">
      <c r="A8" s="1" t="s">
        <v>172</v>
      </c>
      <c r="B8" s="189">
        <f>SUM(B18,B19,B20)</f>
        <v>384636551.36981368</v>
      </c>
      <c r="C8" s="189">
        <f>SUM(C18,C19,C20)</f>
        <v>5241823556.004549</v>
      </c>
      <c r="D8" s="184">
        <f>SUM(D18:D20)</f>
        <v>1756770</v>
      </c>
      <c r="E8" s="184">
        <f>SUM(E18:E20)</f>
        <v>59816935.511999995</v>
      </c>
      <c r="F8" s="184">
        <f>SUM(F18:F20)</f>
        <v>7722350</v>
      </c>
      <c r="G8" s="184">
        <f t="shared" ref="G8:BR8" si="4">SUM(G18:G20)</f>
        <v>331260465</v>
      </c>
      <c r="H8" s="184">
        <f t="shared" si="4"/>
        <v>4279860</v>
      </c>
      <c r="I8" s="184">
        <f t="shared" si="4"/>
        <v>101003140</v>
      </c>
      <c r="J8" s="184">
        <f t="shared" si="4"/>
        <v>1063822</v>
      </c>
      <c r="K8" s="184">
        <f t="shared" si="4"/>
        <v>21509096.5</v>
      </c>
      <c r="L8" s="184">
        <f t="shared" si="4"/>
        <v>202717</v>
      </c>
      <c r="M8" s="184">
        <f t="shared" si="4"/>
        <v>4353094</v>
      </c>
      <c r="N8" s="184">
        <f t="shared" si="4"/>
        <v>40001284.342798188</v>
      </c>
      <c r="O8" s="184">
        <f t="shared" si="4"/>
        <v>856434999.97154927</v>
      </c>
      <c r="P8" s="184">
        <f t="shared" si="4"/>
        <v>4388839.9370154971</v>
      </c>
      <c r="Q8" s="184">
        <f t="shared" si="4"/>
        <v>145576493.82099998</v>
      </c>
      <c r="R8" s="184">
        <f t="shared" si="4"/>
        <v>3551900</v>
      </c>
      <c r="S8" s="184">
        <f t="shared" si="4"/>
        <v>63831100</v>
      </c>
      <c r="T8" s="184">
        <f t="shared" si="4"/>
        <v>6098785</v>
      </c>
      <c r="U8" s="184">
        <f t="shared" si="4"/>
        <v>114743815</v>
      </c>
      <c r="V8" s="184">
        <f t="shared" si="4"/>
        <v>3015313</v>
      </c>
      <c r="W8" s="184">
        <f t="shared" si="4"/>
        <v>106659122</v>
      </c>
      <c r="X8" s="184">
        <f t="shared" si="4"/>
        <v>1250893</v>
      </c>
      <c r="Y8" s="184">
        <f t="shared" si="4"/>
        <v>44573395</v>
      </c>
      <c r="Z8" s="184">
        <f t="shared" si="4"/>
        <v>881450</v>
      </c>
      <c r="AA8" s="184">
        <f t="shared" si="4"/>
        <v>17667500</v>
      </c>
      <c r="AB8" s="184">
        <f t="shared" si="4"/>
        <v>430990</v>
      </c>
      <c r="AC8" s="184">
        <f t="shared" si="4"/>
        <v>8348585</v>
      </c>
      <c r="AD8" s="184">
        <f t="shared" si="4"/>
        <v>2417000</v>
      </c>
      <c r="AE8" s="184">
        <f t="shared" si="4"/>
        <v>66720000</v>
      </c>
      <c r="AF8" s="184">
        <f t="shared" si="4"/>
        <v>447498</v>
      </c>
      <c r="AG8" s="184">
        <f t="shared" si="4"/>
        <v>8484014</v>
      </c>
      <c r="AH8" s="184">
        <f t="shared" si="4"/>
        <v>2520000</v>
      </c>
      <c r="AI8" s="184">
        <f t="shared" si="4"/>
        <v>48442539</v>
      </c>
      <c r="AJ8" s="184">
        <f t="shared" si="4"/>
        <v>1141012</v>
      </c>
      <c r="AK8" s="184">
        <f t="shared" si="4"/>
        <v>21673714</v>
      </c>
      <c r="AL8" s="184">
        <f t="shared" si="4"/>
        <v>741911</v>
      </c>
      <c r="AM8" s="184">
        <f t="shared" si="4"/>
        <v>46123334</v>
      </c>
      <c r="AN8" s="184">
        <f t="shared" si="4"/>
        <v>290010</v>
      </c>
      <c r="AO8" s="184">
        <f t="shared" si="4"/>
        <v>10751639</v>
      </c>
      <c r="AP8" s="184">
        <f t="shared" si="4"/>
        <v>6880319.3899999997</v>
      </c>
      <c r="AQ8" s="184">
        <f t="shared" si="4"/>
        <v>109980895</v>
      </c>
      <c r="AR8" s="184">
        <f t="shared" si="4"/>
        <v>516576</v>
      </c>
      <c r="AS8" s="184">
        <f t="shared" si="4"/>
        <v>10495218</v>
      </c>
      <c r="AT8" s="184">
        <f t="shared" si="4"/>
        <v>4027208</v>
      </c>
      <c r="AU8" s="184">
        <f t="shared" si="4"/>
        <v>187458905</v>
      </c>
      <c r="AV8" s="184">
        <f t="shared" si="4"/>
        <v>147370</v>
      </c>
      <c r="AW8" s="184">
        <f t="shared" si="4"/>
        <v>5240600</v>
      </c>
      <c r="AX8" s="184">
        <f t="shared" si="4"/>
        <v>31984704</v>
      </c>
      <c r="AY8" s="184">
        <f t="shared" si="4"/>
        <v>691360002</v>
      </c>
      <c r="AZ8" s="184">
        <f t="shared" si="4"/>
        <v>3096410</v>
      </c>
      <c r="BA8" s="184">
        <f t="shared" si="4"/>
        <v>150377634</v>
      </c>
      <c r="BB8" s="184">
        <f t="shared" si="4"/>
        <v>228142364.69999999</v>
      </c>
      <c r="BC8" s="184">
        <f t="shared" si="4"/>
        <v>1347858741.1999998</v>
      </c>
      <c r="BD8" s="184">
        <f t="shared" si="4"/>
        <v>1236445</v>
      </c>
      <c r="BE8" s="184">
        <f t="shared" si="4"/>
        <v>24695150</v>
      </c>
      <c r="BF8" s="184">
        <f t="shared" si="4"/>
        <v>9774670</v>
      </c>
      <c r="BG8" s="184">
        <f t="shared" si="4"/>
        <v>289385795</v>
      </c>
      <c r="BH8" s="184">
        <f t="shared" si="4"/>
        <v>13208500</v>
      </c>
      <c r="BI8" s="184">
        <f t="shared" si="4"/>
        <v>265912500</v>
      </c>
      <c r="BJ8" s="184">
        <f t="shared" si="4"/>
        <v>16883</v>
      </c>
      <c r="BK8" s="184">
        <f t="shared" si="4"/>
        <v>405511</v>
      </c>
      <c r="BL8" s="184">
        <f t="shared" si="4"/>
        <v>61140</v>
      </c>
      <c r="BM8" s="184">
        <f t="shared" si="4"/>
        <v>1339425</v>
      </c>
      <c r="BN8" s="184">
        <f t="shared" si="4"/>
        <v>46300</v>
      </c>
      <c r="BO8" s="184">
        <f t="shared" si="4"/>
        <v>896950</v>
      </c>
      <c r="BP8" s="184">
        <f t="shared" si="4"/>
        <v>55365</v>
      </c>
      <c r="BQ8" s="184">
        <f t="shared" si="4"/>
        <v>1204346</v>
      </c>
      <c r="BR8" s="184">
        <f t="shared" si="4"/>
        <v>25000</v>
      </c>
      <c r="BS8" s="184">
        <f t="shared" ref="BS8:CA8" si="5">SUM(BS18:BS20)</f>
        <v>534500</v>
      </c>
      <c r="BT8" s="184">
        <f t="shared" si="5"/>
        <v>56868</v>
      </c>
      <c r="BU8" s="184">
        <f t="shared" si="5"/>
        <v>1040735</v>
      </c>
      <c r="BV8" s="184">
        <f t="shared" si="5"/>
        <v>736177</v>
      </c>
      <c r="BW8" s="184">
        <f t="shared" si="5"/>
        <v>5435097</v>
      </c>
      <c r="BX8" s="184">
        <f t="shared" si="5"/>
        <v>59606</v>
      </c>
      <c r="BY8" s="184">
        <f t="shared" si="5"/>
        <v>1684960</v>
      </c>
      <c r="BZ8" s="184">
        <f t="shared" si="5"/>
        <v>2362240</v>
      </c>
      <c r="CA8" s="184">
        <f t="shared" si="5"/>
        <v>68543610</v>
      </c>
    </row>
    <row r="9" spans="1:79" ht="15.5">
      <c r="A9" s="1" t="s">
        <v>173</v>
      </c>
      <c r="B9" s="189">
        <f>SUM(B21,B22,B23)</f>
        <v>376637039.58380955</v>
      </c>
      <c r="C9" s="189">
        <f>SUM(C21,C22,C23)</f>
        <v>5253137303.9832497</v>
      </c>
      <c r="D9" s="184">
        <f>SUM(D21:D23)</f>
        <v>6333000</v>
      </c>
      <c r="E9" s="184">
        <f>SUM(E21:E23)</f>
        <v>263069900</v>
      </c>
      <c r="F9" s="184">
        <f>SUM(F21:F23)</f>
        <v>8073061</v>
      </c>
      <c r="G9" s="184">
        <f t="shared" ref="G9:BR9" si="6">SUM(G21:G23)</f>
        <v>317041190</v>
      </c>
      <c r="H9" s="184">
        <f t="shared" si="6"/>
        <v>4870645</v>
      </c>
      <c r="I9" s="184">
        <f t="shared" si="6"/>
        <v>115715080</v>
      </c>
      <c r="J9" s="184">
        <f t="shared" si="6"/>
        <v>1442565</v>
      </c>
      <c r="K9" s="184">
        <f t="shared" si="6"/>
        <v>28452704</v>
      </c>
      <c r="L9" s="184">
        <f t="shared" si="6"/>
        <v>213452</v>
      </c>
      <c r="M9" s="184">
        <f t="shared" si="6"/>
        <v>4595376</v>
      </c>
      <c r="N9" s="184">
        <f t="shared" si="6"/>
        <v>38749361.850006089</v>
      </c>
      <c r="O9" s="184">
        <f t="shared" si="6"/>
        <v>789282944.83024931</v>
      </c>
      <c r="P9" s="184">
        <f t="shared" si="6"/>
        <v>4460762.5338034537</v>
      </c>
      <c r="Q9" s="184">
        <f t="shared" si="6"/>
        <v>143982533.123</v>
      </c>
      <c r="R9" s="184">
        <f t="shared" si="6"/>
        <v>3666600</v>
      </c>
      <c r="S9" s="184">
        <f t="shared" si="6"/>
        <v>70797100</v>
      </c>
      <c r="T9" s="184">
        <f t="shared" si="6"/>
        <v>6081250</v>
      </c>
      <c r="U9" s="184">
        <f t="shared" si="6"/>
        <v>117905070</v>
      </c>
      <c r="V9" s="184">
        <f t="shared" si="6"/>
        <v>1785848</v>
      </c>
      <c r="W9" s="184">
        <f t="shared" si="6"/>
        <v>81624479</v>
      </c>
      <c r="X9" s="184">
        <f t="shared" si="6"/>
        <v>1285386</v>
      </c>
      <c r="Y9" s="184">
        <f t="shared" si="6"/>
        <v>46281330.5</v>
      </c>
      <c r="Z9" s="184">
        <f t="shared" si="6"/>
        <v>994550</v>
      </c>
      <c r="AA9" s="184">
        <f t="shared" si="6"/>
        <v>20816050</v>
      </c>
      <c r="AB9" s="184">
        <f t="shared" si="6"/>
        <v>462010</v>
      </c>
      <c r="AC9" s="184">
        <f t="shared" si="6"/>
        <v>8891595</v>
      </c>
      <c r="AD9" s="184">
        <f t="shared" si="6"/>
        <v>3604500</v>
      </c>
      <c r="AE9" s="184">
        <f t="shared" si="6"/>
        <v>95569000</v>
      </c>
      <c r="AF9" s="184">
        <f t="shared" si="6"/>
        <v>462860</v>
      </c>
      <c r="AG9" s="184">
        <f t="shared" si="6"/>
        <v>8615600</v>
      </c>
      <c r="AH9" s="184">
        <f t="shared" si="6"/>
        <v>2605000</v>
      </c>
      <c r="AI9" s="184">
        <f t="shared" si="6"/>
        <v>52072960</v>
      </c>
      <c r="AJ9" s="184">
        <f t="shared" si="6"/>
        <v>1096742</v>
      </c>
      <c r="AK9" s="184">
        <f t="shared" si="6"/>
        <v>20841606</v>
      </c>
      <c r="AL9" s="184">
        <f t="shared" si="6"/>
        <v>785699</v>
      </c>
      <c r="AM9" s="184">
        <f t="shared" si="6"/>
        <v>47353284</v>
      </c>
      <c r="AN9" s="184">
        <f t="shared" si="6"/>
        <v>434138</v>
      </c>
      <c r="AO9" s="184">
        <f t="shared" si="6"/>
        <v>15614062</v>
      </c>
      <c r="AP9" s="184">
        <f t="shared" si="6"/>
        <v>6039522.2000000002</v>
      </c>
      <c r="AQ9" s="184">
        <f t="shared" si="6"/>
        <v>106704250</v>
      </c>
      <c r="AR9" s="184">
        <f t="shared" si="6"/>
        <v>530352</v>
      </c>
      <c r="AS9" s="184">
        <f t="shared" si="6"/>
        <v>10924666.530000001</v>
      </c>
      <c r="AT9" s="184">
        <f t="shared" si="6"/>
        <v>2806870</v>
      </c>
      <c r="AU9" s="184">
        <f t="shared" si="6"/>
        <v>135908590</v>
      </c>
      <c r="AV9" s="184">
        <f t="shared" si="6"/>
        <v>263646</v>
      </c>
      <c r="AW9" s="184">
        <f t="shared" si="6"/>
        <v>6925212</v>
      </c>
      <c r="AX9" s="184">
        <f t="shared" si="6"/>
        <v>25672150</v>
      </c>
      <c r="AY9" s="184">
        <f t="shared" si="6"/>
        <v>586457156</v>
      </c>
      <c r="AZ9" s="184">
        <f t="shared" si="6"/>
        <v>2475036</v>
      </c>
      <c r="BA9" s="184">
        <f t="shared" si="6"/>
        <v>93827843</v>
      </c>
      <c r="BB9" s="184">
        <f t="shared" si="6"/>
        <v>215627143</v>
      </c>
      <c r="BC9" s="184">
        <f t="shared" si="6"/>
        <v>1185547297</v>
      </c>
      <c r="BD9" s="184">
        <f t="shared" si="6"/>
        <v>1124668</v>
      </c>
      <c r="BE9" s="184">
        <f t="shared" si="6"/>
        <v>22580497</v>
      </c>
      <c r="BF9" s="184">
        <f t="shared" si="6"/>
        <v>16793100</v>
      </c>
      <c r="BG9" s="184">
        <f t="shared" si="6"/>
        <v>427405290</v>
      </c>
      <c r="BH9" s="184">
        <f t="shared" si="6"/>
        <v>14351500</v>
      </c>
      <c r="BI9" s="184">
        <f t="shared" si="6"/>
        <v>341446000</v>
      </c>
      <c r="BJ9" s="184">
        <f t="shared" si="6"/>
        <v>17425</v>
      </c>
      <c r="BK9" s="184">
        <f t="shared" si="6"/>
        <v>418645</v>
      </c>
      <c r="BL9" s="184">
        <f t="shared" si="6"/>
        <v>52510</v>
      </c>
      <c r="BM9" s="184">
        <f t="shared" si="6"/>
        <v>1113680</v>
      </c>
      <c r="BN9" s="184">
        <f t="shared" si="6"/>
        <v>48300</v>
      </c>
      <c r="BO9" s="184">
        <f t="shared" si="6"/>
        <v>898750</v>
      </c>
      <c r="BP9" s="184">
        <f t="shared" si="6"/>
        <v>60525</v>
      </c>
      <c r="BQ9" s="184">
        <f t="shared" si="6"/>
        <v>1295895</v>
      </c>
      <c r="BR9" s="184">
        <f t="shared" si="6"/>
        <v>55000</v>
      </c>
      <c r="BS9" s="184">
        <f t="shared" ref="BS9:CA9" si="7">SUM(BS21:BS23)</f>
        <v>1229000</v>
      </c>
      <c r="BT9" s="184">
        <f t="shared" si="7"/>
        <v>57869</v>
      </c>
      <c r="BU9" s="184">
        <f t="shared" si="7"/>
        <v>1061338</v>
      </c>
      <c r="BV9" s="184">
        <f t="shared" si="7"/>
        <v>611730</v>
      </c>
      <c r="BW9" s="184">
        <f t="shared" si="7"/>
        <v>6199920</v>
      </c>
      <c r="BX9" s="184">
        <f t="shared" si="7"/>
        <v>192313</v>
      </c>
      <c r="BY9" s="184">
        <f t="shared" si="7"/>
        <v>6912540</v>
      </c>
      <c r="BZ9" s="184">
        <f t="shared" si="7"/>
        <v>2449950</v>
      </c>
      <c r="CA9" s="184">
        <f t="shared" si="7"/>
        <v>67758870</v>
      </c>
    </row>
    <row r="10" spans="1:79" ht="15.5">
      <c r="A10" s="1" t="s">
        <v>232</v>
      </c>
      <c r="B10" s="189">
        <f t="shared" ref="B10:AG10" si="8">SUM(B6:B9)</f>
        <v>1442332993.2170777</v>
      </c>
      <c r="C10" s="189">
        <f t="shared" si="8"/>
        <v>21538229550.790459</v>
      </c>
      <c r="D10" s="184">
        <f t="shared" si="8"/>
        <v>15081607</v>
      </c>
      <c r="E10" s="184">
        <f t="shared" si="8"/>
        <v>549747423.60000002</v>
      </c>
      <c r="F10" s="184">
        <f t="shared" si="8"/>
        <v>30646435</v>
      </c>
      <c r="G10" s="184">
        <f t="shared" si="8"/>
        <v>1257733055</v>
      </c>
      <c r="H10" s="184">
        <f t="shared" si="8"/>
        <v>17736425</v>
      </c>
      <c r="I10" s="184">
        <f t="shared" si="8"/>
        <v>414183920</v>
      </c>
      <c r="J10" s="184">
        <f t="shared" si="8"/>
        <v>5384128</v>
      </c>
      <c r="K10" s="184">
        <f t="shared" si="8"/>
        <v>107861227.5</v>
      </c>
      <c r="L10" s="184">
        <f t="shared" si="8"/>
        <v>849316</v>
      </c>
      <c r="M10" s="184">
        <f t="shared" si="8"/>
        <v>18251469</v>
      </c>
      <c r="N10" s="184">
        <f t="shared" si="8"/>
        <v>160439074.52691662</v>
      </c>
      <c r="O10" s="184">
        <f t="shared" si="8"/>
        <v>3544955721.3064561</v>
      </c>
      <c r="P10" s="184">
        <f t="shared" si="8"/>
        <v>16410715.470161086</v>
      </c>
      <c r="Q10" s="184">
        <f t="shared" si="8"/>
        <v>509080616.01699996</v>
      </c>
      <c r="R10" s="184">
        <f t="shared" si="8"/>
        <v>14792000</v>
      </c>
      <c r="S10" s="184">
        <f t="shared" si="8"/>
        <v>269622700</v>
      </c>
      <c r="T10" s="184">
        <f t="shared" si="8"/>
        <v>25514275</v>
      </c>
      <c r="U10" s="184">
        <f t="shared" si="8"/>
        <v>482643365</v>
      </c>
      <c r="V10" s="184">
        <f t="shared" si="8"/>
        <v>46941847</v>
      </c>
      <c r="W10" s="184">
        <f t="shared" si="8"/>
        <v>1429853525</v>
      </c>
      <c r="X10" s="184">
        <f t="shared" si="8"/>
        <v>5111596.4000000004</v>
      </c>
      <c r="Y10" s="184">
        <f t="shared" si="8"/>
        <v>184671934.5</v>
      </c>
      <c r="Z10" s="184">
        <f t="shared" si="8"/>
        <v>3850100</v>
      </c>
      <c r="AA10" s="184">
        <f t="shared" si="8"/>
        <v>79363625</v>
      </c>
      <c r="AB10" s="184">
        <f t="shared" si="8"/>
        <v>1860280</v>
      </c>
      <c r="AC10" s="184">
        <f t="shared" si="8"/>
        <v>36139155</v>
      </c>
      <c r="AD10" s="184">
        <f t="shared" si="8"/>
        <v>13264300</v>
      </c>
      <c r="AE10" s="184">
        <f t="shared" si="8"/>
        <v>335643000</v>
      </c>
      <c r="AF10" s="184">
        <f t="shared" si="8"/>
        <v>1816618</v>
      </c>
      <c r="AG10" s="184">
        <f t="shared" si="8"/>
        <v>34987300</v>
      </c>
      <c r="AH10" s="184">
        <f t="shared" ref="AH10:BM10" si="9">SUM(AH6:AH9)</f>
        <v>11030000</v>
      </c>
      <c r="AI10" s="184">
        <f t="shared" si="9"/>
        <v>217798004</v>
      </c>
      <c r="AJ10" s="184">
        <f t="shared" si="9"/>
        <v>4513458</v>
      </c>
      <c r="AK10" s="184">
        <f t="shared" si="9"/>
        <v>85786484</v>
      </c>
      <c r="AL10" s="184">
        <f t="shared" si="9"/>
        <v>2663462</v>
      </c>
      <c r="AM10" s="184">
        <f t="shared" si="9"/>
        <v>161741390</v>
      </c>
      <c r="AN10" s="184">
        <f t="shared" si="9"/>
        <v>1315693</v>
      </c>
      <c r="AO10" s="184">
        <f t="shared" si="9"/>
        <v>49306020</v>
      </c>
      <c r="AP10" s="184">
        <f t="shared" si="9"/>
        <v>25295174.27</v>
      </c>
      <c r="AQ10" s="184">
        <f t="shared" si="9"/>
        <v>447118606</v>
      </c>
      <c r="AR10" s="184">
        <f t="shared" si="9"/>
        <v>2197316</v>
      </c>
      <c r="AS10" s="184">
        <f t="shared" si="9"/>
        <v>45047834.730000004</v>
      </c>
      <c r="AT10" s="184">
        <f t="shared" si="9"/>
        <v>15433568</v>
      </c>
      <c r="AU10" s="184">
        <f t="shared" si="9"/>
        <v>784251175</v>
      </c>
      <c r="AV10" s="184">
        <f t="shared" si="9"/>
        <v>1083028</v>
      </c>
      <c r="AW10" s="184">
        <f t="shared" si="9"/>
        <v>43149431</v>
      </c>
      <c r="AX10" s="184">
        <f t="shared" si="9"/>
        <v>110739687</v>
      </c>
      <c r="AY10" s="184">
        <f t="shared" si="9"/>
        <v>2478866829</v>
      </c>
      <c r="AZ10" s="184">
        <f t="shared" si="9"/>
        <v>11675328</v>
      </c>
      <c r="BA10" s="184">
        <f t="shared" si="9"/>
        <v>535776291</v>
      </c>
      <c r="BB10" s="184">
        <f t="shared" si="9"/>
        <v>770272096.39999998</v>
      </c>
      <c r="BC10" s="184">
        <f t="shared" si="9"/>
        <v>4372481488.8999996</v>
      </c>
      <c r="BD10" s="184">
        <f t="shared" si="9"/>
        <v>5088463</v>
      </c>
      <c r="BE10" s="184">
        <f t="shared" si="9"/>
        <v>104013182.5</v>
      </c>
      <c r="BF10" s="184">
        <f t="shared" si="9"/>
        <v>53319430</v>
      </c>
      <c r="BG10" s="184">
        <f t="shared" si="9"/>
        <v>1449176630.411</v>
      </c>
      <c r="BH10" s="184">
        <f t="shared" si="9"/>
        <v>53751500</v>
      </c>
      <c r="BI10" s="184">
        <f t="shared" si="9"/>
        <v>1145622500</v>
      </c>
      <c r="BJ10" s="184">
        <f t="shared" si="9"/>
        <v>65339</v>
      </c>
      <c r="BK10" s="184">
        <f t="shared" si="9"/>
        <v>1575859</v>
      </c>
      <c r="BL10" s="184">
        <f t="shared" si="9"/>
        <v>244780</v>
      </c>
      <c r="BM10" s="184">
        <f t="shared" si="9"/>
        <v>5157835</v>
      </c>
      <c r="BN10" s="184">
        <f t="shared" ref="BN10:CA10" si="10">SUM(BN6:BN9)</f>
        <v>193100</v>
      </c>
      <c r="BO10" s="184">
        <f t="shared" si="10"/>
        <v>3685600</v>
      </c>
      <c r="BP10" s="184">
        <f t="shared" si="10"/>
        <v>290624.95</v>
      </c>
      <c r="BQ10" s="184">
        <f t="shared" si="10"/>
        <v>6407714.6219999995</v>
      </c>
      <c r="BR10" s="184">
        <f t="shared" si="10"/>
        <v>162000</v>
      </c>
      <c r="BS10" s="184">
        <f t="shared" si="10"/>
        <v>3551550</v>
      </c>
      <c r="BT10" s="184">
        <f t="shared" si="10"/>
        <v>228711</v>
      </c>
      <c r="BU10" s="184">
        <f t="shared" si="10"/>
        <v>4188392.0039999997</v>
      </c>
      <c r="BV10" s="184">
        <f t="shared" si="10"/>
        <v>2662915</v>
      </c>
      <c r="BW10" s="184">
        <f t="shared" si="10"/>
        <v>23519356</v>
      </c>
      <c r="BX10" s="184">
        <f t="shared" si="10"/>
        <v>429082.2</v>
      </c>
      <c r="BY10" s="184">
        <f t="shared" si="10"/>
        <v>14036266.699999999</v>
      </c>
      <c r="BZ10" s="184">
        <f t="shared" si="10"/>
        <v>9979520</v>
      </c>
      <c r="CA10" s="184">
        <f t="shared" si="10"/>
        <v>301233074</v>
      </c>
    </row>
    <row r="11" spans="1:79" ht="15.5">
      <c r="A11" s="168"/>
      <c r="B11" s="743">
        <f>SUM(B12:B23)</f>
        <v>1442332993.2170777</v>
      </c>
      <c r="C11" s="743">
        <f>SUM(C12:C23)</f>
        <v>21538229550.790455</v>
      </c>
      <c r="D11" s="743">
        <f t="shared" ref="D11:BO11" si="11">SUM(D12:D23)</f>
        <v>15081607</v>
      </c>
      <c r="E11" s="743">
        <f t="shared" si="11"/>
        <v>549747423.60000002</v>
      </c>
      <c r="F11" s="743">
        <f t="shared" si="11"/>
        <v>30646435</v>
      </c>
      <c r="G11" s="743">
        <f t="shared" si="11"/>
        <v>1257733055</v>
      </c>
      <c r="H11" s="743">
        <f t="shared" si="11"/>
        <v>17736425</v>
      </c>
      <c r="I11" s="743">
        <f t="shared" si="11"/>
        <v>414183920</v>
      </c>
      <c r="J11" s="743">
        <f t="shared" si="11"/>
        <v>5384128</v>
      </c>
      <c r="K11" s="743">
        <f t="shared" si="11"/>
        <v>107861227.5</v>
      </c>
      <c r="L11" s="743">
        <f t="shared" si="11"/>
        <v>849316</v>
      </c>
      <c r="M11" s="743">
        <f t="shared" si="11"/>
        <v>18251469</v>
      </c>
      <c r="N11" s="743">
        <f t="shared" si="11"/>
        <v>160439074.52691662</v>
      </c>
      <c r="O11" s="743">
        <f t="shared" si="11"/>
        <v>3544955721.3064561</v>
      </c>
      <c r="P11" s="743">
        <f t="shared" si="11"/>
        <v>16410715.470161088</v>
      </c>
      <c r="Q11" s="743">
        <f t="shared" si="11"/>
        <v>509080616.01700002</v>
      </c>
      <c r="R11" s="743">
        <f t="shared" si="11"/>
        <v>14792000</v>
      </c>
      <c r="S11" s="743">
        <f t="shared" si="11"/>
        <v>269622700</v>
      </c>
      <c r="T11" s="743">
        <f t="shared" si="11"/>
        <v>25514275</v>
      </c>
      <c r="U11" s="743">
        <f t="shared" si="11"/>
        <v>482643365</v>
      </c>
      <c r="V11" s="743">
        <f t="shared" si="11"/>
        <v>46941847</v>
      </c>
      <c r="W11" s="743">
        <f t="shared" si="11"/>
        <v>1429853525</v>
      </c>
      <c r="X11" s="743">
        <f t="shared" si="11"/>
        <v>5111596.4000000004</v>
      </c>
      <c r="Y11" s="743">
        <f t="shared" si="11"/>
        <v>184671934.5</v>
      </c>
      <c r="Z11" s="743">
        <f t="shared" si="11"/>
        <v>3850100</v>
      </c>
      <c r="AA11" s="743">
        <f t="shared" si="11"/>
        <v>79363625</v>
      </c>
      <c r="AB11" s="743">
        <f t="shared" si="11"/>
        <v>1860280</v>
      </c>
      <c r="AC11" s="743">
        <f t="shared" si="11"/>
        <v>36139155</v>
      </c>
      <c r="AD11" s="743">
        <f t="shared" si="11"/>
        <v>13264300</v>
      </c>
      <c r="AE11" s="743">
        <f t="shared" si="11"/>
        <v>335643000</v>
      </c>
      <c r="AF11" s="743">
        <f t="shared" si="11"/>
        <v>1816618</v>
      </c>
      <c r="AG11" s="743">
        <f t="shared" si="11"/>
        <v>34987300</v>
      </c>
      <c r="AH11" s="743">
        <f t="shared" si="11"/>
        <v>11030000</v>
      </c>
      <c r="AI11" s="743">
        <f t="shared" si="11"/>
        <v>217798004</v>
      </c>
      <c r="AJ11" s="743">
        <f t="shared" si="11"/>
        <v>4513458</v>
      </c>
      <c r="AK11" s="743">
        <f t="shared" si="11"/>
        <v>85786484</v>
      </c>
      <c r="AL11" s="743">
        <f t="shared" si="11"/>
        <v>2663462</v>
      </c>
      <c r="AM11" s="743">
        <f t="shared" si="11"/>
        <v>161741390</v>
      </c>
      <c r="AN11" s="743">
        <f t="shared" si="11"/>
        <v>1315693</v>
      </c>
      <c r="AO11" s="743">
        <f t="shared" si="11"/>
        <v>49306020</v>
      </c>
      <c r="AP11" s="743">
        <f t="shared" si="11"/>
        <v>25295174.27</v>
      </c>
      <c r="AQ11" s="743">
        <f t="shared" si="11"/>
        <v>447118606</v>
      </c>
      <c r="AR11" s="743">
        <f t="shared" si="11"/>
        <v>2197316</v>
      </c>
      <c r="AS11" s="743">
        <f t="shared" si="11"/>
        <v>45047834.730000004</v>
      </c>
      <c r="AT11" s="743">
        <f t="shared" si="11"/>
        <v>15433568</v>
      </c>
      <c r="AU11" s="743">
        <f t="shared" si="11"/>
        <v>784251175</v>
      </c>
      <c r="AV11" s="743">
        <f t="shared" si="11"/>
        <v>1083028</v>
      </c>
      <c r="AW11" s="743">
        <f t="shared" si="11"/>
        <v>43149431</v>
      </c>
      <c r="AX11" s="743">
        <f t="shared" si="11"/>
        <v>110739687</v>
      </c>
      <c r="AY11" s="743">
        <f t="shared" si="11"/>
        <v>2478866829</v>
      </c>
      <c r="AZ11" s="743">
        <f t="shared" si="11"/>
        <v>11675328</v>
      </c>
      <c r="BA11" s="743">
        <f t="shared" si="11"/>
        <v>535776291</v>
      </c>
      <c r="BB11" s="743">
        <f t="shared" si="11"/>
        <v>770272096.39999998</v>
      </c>
      <c r="BC11" s="743">
        <f t="shared" si="11"/>
        <v>4372481488.8999996</v>
      </c>
      <c r="BD11" s="743">
        <f t="shared" si="11"/>
        <v>5088463</v>
      </c>
      <c r="BE11" s="743">
        <f t="shared" si="11"/>
        <v>104013182.5</v>
      </c>
      <c r="BF11" s="743">
        <f t="shared" si="11"/>
        <v>53319430</v>
      </c>
      <c r="BG11" s="743">
        <f t="shared" si="11"/>
        <v>1449176630.411</v>
      </c>
      <c r="BH11" s="743">
        <f t="shared" si="11"/>
        <v>53751500</v>
      </c>
      <c r="BI11" s="743">
        <f t="shared" si="11"/>
        <v>1145622500</v>
      </c>
      <c r="BJ11" s="743">
        <f t="shared" si="11"/>
        <v>65339</v>
      </c>
      <c r="BK11" s="743">
        <f t="shared" si="11"/>
        <v>1575859</v>
      </c>
      <c r="BL11" s="743">
        <f t="shared" si="11"/>
        <v>244780</v>
      </c>
      <c r="BM11" s="743">
        <f t="shared" si="11"/>
        <v>5157835</v>
      </c>
      <c r="BN11" s="743">
        <f t="shared" si="11"/>
        <v>193100</v>
      </c>
      <c r="BO11" s="743">
        <f t="shared" si="11"/>
        <v>3685600</v>
      </c>
      <c r="BP11" s="743">
        <f t="shared" ref="BP11:CA11" si="12">SUM(BP12:BP23)</f>
        <v>290624.95</v>
      </c>
      <c r="BQ11" s="743">
        <f t="shared" si="12"/>
        <v>6407714.6219999995</v>
      </c>
      <c r="BR11" s="743">
        <f t="shared" si="12"/>
        <v>162000</v>
      </c>
      <c r="BS11" s="743">
        <f t="shared" si="12"/>
        <v>3551550</v>
      </c>
      <c r="BT11" s="743">
        <f t="shared" si="12"/>
        <v>228711</v>
      </c>
      <c r="BU11" s="743">
        <f t="shared" si="12"/>
        <v>4188392.0039999997</v>
      </c>
      <c r="BV11" s="743">
        <f t="shared" si="12"/>
        <v>2662915</v>
      </c>
      <c r="BW11" s="743">
        <f t="shared" si="12"/>
        <v>23519356</v>
      </c>
      <c r="BX11" s="743">
        <f t="shared" si="12"/>
        <v>429082.2</v>
      </c>
      <c r="BY11" s="743">
        <f t="shared" si="12"/>
        <v>14036266.699999999</v>
      </c>
      <c r="BZ11" s="743">
        <f t="shared" si="12"/>
        <v>9979520</v>
      </c>
      <c r="CA11" s="743">
        <f t="shared" si="12"/>
        <v>301233074</v>
      </c>
    </row>
    <row r="12" spans="1:79" ht="15.5">
      <c r="A12" s="108" t="s">
        <v>251</v>
      </c>
      <c r="B12" s="190">
        <f>SUMIF($D$4:$CA$4,$B$4,D12:CA12)</f>
        <v>100101994.44623123</v>
      </c>
      <c r="C12" s="190">
        <f>SUMIF($D$4:$CA$4,$C$4,D12:CA12)</f>
        <v>1708824660.6726375</v>
      </c>
      <c r="D12" s="116">
        <f>'P &amp; NP'!Q13</f>
        <v>1605705</v>
      </c>
      <c r="E12" s="116">
        <f>'P &amp; NP'!R13</f>
        <v>54099032.052000001</v>
      </c>
      <c r="F12" s="116">
        <f>'P &amp; NP'!AG13</f>
        <v>2406035</v>
      </c>
      <c r="G12" s="116">
        <f>'P &amp; NP'!AH13</f>
        <v>95010830</v>
      </c>
      <c r="H12" s="116">
        <f>'P &amp; NP'!AW13</f>
        <v>1348300</v>
      </c>
      <c r="I12" s="116">
        <f>'P &amp; NP'!AX13</f>
        <v>30964700</v>
      </c>
      <c r="J12" s="116">
        <f>'P &amp; NP'!BM13</f>
        <v>566063</v>
      </c>
      <c r="K12" s="116">
        <f>'P &amp; NP'!BN13</f>
        <v>11217179</v>
      </c>
      <c r="L12" s="116">
        <f>'P &amp; NP'!CC13</f>
        <v>75492</v>
      </c>
      <c r="M12" s="116">
        <f>'P &amp; NP'!CD13</f>
        <v>1625994</v>
      </c>
      <c r="N12" s="116">
        <f>'P &amp; NP'!CS13</f>
        <v>12043716.756231226</v>
      </c>
      <c r="O12" s="116">
        <f>'P &amp; NP'!CT13</f>
        <v>286011938.01463753</v>
      </c>
      <c r="P12" s="116">
        <f>'P &amp; NP'!DI13</f>
        <v>1209760</v>
      </c>
      <c r="Q12" s="116">
        <f>'P &amp; NP'!DJ13</f>
        <v>31791469.995000001</v>
      </c>
      <c r="R12" s="116">
        <f>'P &amp; NP'!DY13</f>
        <v>1333200</v>
      </c>
      <c r="S12" s="116">
        <f>'P &amp; NP'!DZ13</f>
        <v>23789000</v>
      </c>
      <c r="T12" s="116">
        <f>'P &amp; NP'!EO13</f>
        <v>2088550</v>
      </c>
      <c r="U12" s="116">
        <f>'P &amp; NP'!EP13</f>
        <v>39429650</v>
      </c>
      <c r="V12" s="116">
        <f>'P &amp; NP'!FE13</f>
        <v>2935830</v>
      </c>
      <c r="W12" s="116">
        <f>'P &amp; NP'!FF13</f>
        <v>112792076</v>
      </c>
      <c r="X12" s="116">
        <f>'P &amp; NP'!FU13</f>
        <v>432000</v>
      </c>
      <c r="Y12" s="116">
        <f>'P &amp; NP'!FV13</f>
        <v>15791635</v>
      </c>
      <c r="Z12" s="116">
        <f>'P &amp; NP'!GK13</f>
        <v>322950</v>
      </c>
      <c r="AA12" s="116">
        <f>'P &amp; NP'!GL13</f>
        <v>6605450</v>
      </c>
      <c r="AB12" s="116">
        <f>'P &amp; NP'!HA13</f>
        <v>153100</v>
      </c>
      <c r="AC12" s="116">
        <f>'P &amp; NP'!HB13</f>
        <v>2970975</v>
      </c>
      <c r="AD12" s="116">
        <f>'P &amp; NP'!HQ13</f>
        <v>1333000</v>
      </c>
      <c r="AE12" s="116">
        <f>'P &amp; NP'!HR13</f>
        <v>30572500</v>
      </c>
      <c r="AF12" s="116">
        <f>'P &amp; NP'!IG13</f>
        <v>146300</v>
      </c>
      <c r="AG12" s="116">
        <f>'P &amp; NP'!IH13</f>
        <v>3203500</v>
      </c>
      <c r="AH12" s="116">
        <f>'P &amp; NP'!IW13</f>
        <v>993000</v>
      </c>
      <c r="AI12" s="116">
        <f>'P &amp; NP'!IX13</f>
        <v>19347080</v>
      </c>
      <c r="AJ12" s="116">
        <f>'P &amp; NP'!JM13</f>
        <v>376321</v>
      </c>
      <c r="AK12" s="116">
        <f>'P &amp; NP'!JN13</f>
        <v>7165594</v>
      </c>
      <c r="AL12" s="116">
        <f>'P &amp; NP'!KC13</f>
        <v>136832</v>
      </c>
      <c r="AM12" s="116">
        <f>'P &amp; NP'!KD13</f>
        <v>8610589</v>
      </c>
      <c r="AN12" s="116">
        <f>'P &amp; NP'!KS13</f>
        <v>115686</v>
      </c>
      <c r="AO12" s="116">
        <f>'P &amp; NP'!KT13</f>
        <v>5343320</v>
      </c>
      <c r="AP12" s="116">
        <f>'P &amp; NP'!LI13</f>
        <v>2366597.9900000002</v>
      </c>
      <c r="AQ12" s="116">
        <f>'P &amp; NP'!LJ13</f>
        <v>43863478</v>
      </c>
      <c r="AR12" s="116">
        <f>'P &amp; NP'!LY13</f>
        <v>187661</v>
      </c>
      <c r="AS12" s="116">
        <f>'P &amp; NP'!LZ13</f>
        <v>3821849</v>
      </c>
      <c r="AT12" s="116">
        <f>'P &amp; NP'!MO13</f>
        <v>1847400</v>
      </c>
      <c r="AU12" s="116">
        <f>'P &amp; NP'!MP13</f>
        <v>96910550</v>
      </c>
      <c r="AV12" s="116">
        <f>'P &amp; NP'!NE13</f>
        <v>86751</v>
      </c>
      <c r="AW12" s="116">
        <f>'P &amp; NP'!NF13</f>
        <v>4003073</v>
      </c>
      <c r="AX12" s="116">
        <f>'P &amp; NP'!NU13</f>
        <v>6842340</v>
      </c>
      <c r="AY12" s="116">
        <f>'P &amp; NP'!NV13</f>
        <v>158030880</v>
      </c>
      <c r="AZ12" s="116">
        <f>'P &amp; NP'!OK13</f>
        <v>1003856</v>
      </c>
      <c r="BA12" s="116">
        <f>'P &amp; NP'!OL13</f>
        <v>47761308</v>
      </c>
      <c r="BB12" s="116">
        <f>'P &amp; NP'!PA13</f>
        <v>47499914.5</v>
      </c>
      <c r="BC12" s="116">
        <f>'P &amp; NP'!PB13</f>
        <v>318915050.5</v>
      </c>
      <c r="BD12" s="116">
        <f>'P &amp; NP'!PQ13</f>
        <v>429654</v>
      </c>
      <c r="BE12" s="116">
        <f>'P &amp; NP'!PR13</f>
        <v>8636225</v>
      </c>
      <c r="BF12" s="116">
        <f>'P &amp; NP'!QG13</f>
        <v>4897610</v>
      </c>
      <c r="BG12" s="116">
        <f>'P &amp; NP'!QH13</f>
        <v>127417225.411</v>
      </c>
      <c r="BH12" s="116">
        <f>'P &amp; NP'!QW13</f>
        <v>4094000</v>
      </c>
      <c r="BI12" s="116">
        <f>'P &amp; NP'!QX13</f>
        <v>79522000</v>
      </c>
      <c r="BJ12" s="116">
        <f>'P &amp; NP'!RM13</f>
        <v>4635</v>
      </c>
      <c r="BK12" s="116">
        <f>'P &amp; NP'!RN13</f>
        <v>116095</v>
      </c>
      <c r="BL12" s="116">
        <f>'P &amp; NP'!SC13</f>
        <v>22810</v>
      </c>
      <c r="BM12" s="116">
        <f>'P &amp; NP'!SD13</f>
        <v>478000</v>
      </c>
      <c r="BN12" s="116">
        <f>'P &amp; NP'!SS13</f>
        <v>16200</v>
      </c>
      <c r="BO12" s="116">
        <f>'P &amp; NP'!ST13</f>
        <v>307800</v>
      </c>
      <c r="BP12" s="116">
        <f>'P &amp; NP'!TI13</f>
        <v>30025</v>
      </c>
      <c r="BQ12" s="116">
        <f>'P &amp; NP'!TJ13</f>
        <v>657468</v>
      </c>
      <c r="BR12" s="116">
        <f>'P &amp; NP'!TY13</f>
        <v>4850</v>
      </c>
      <c r="BS12" s="116">
        <f>'P &amp; NP'!TZ13</f>
        <v>110400</v>
      </c>
      <c r="BT12" s="116">
        <f>'P &amp; NP'!UO13</f>
        <v>19100</v>
      </c>
      <c r="BU12" s="116">
        <f>'P &amp; NP'!UP13</f>
        <v>349760</v>
      </c>
      <c r="BV12" s="116">
        <f>'P &amp; NP'!VE13</f>
        <v>221838</v>
      </c>
      <c r="BW12" s="116">
        <f>'P &amp; NP'!VF13</f>
        <v>2466093</v>
      </c>
      <c r="BX12" s="116">
        <f>'P &amp; NP'!VU13</f>
        <v>31924.2</v>
      </c>
      <c r="BY12" s="116">
        <f>'P &amp; NP'!VV13</f>
        <v>908629.7</v>
      </c>
      <c r="BZ12" s="116">
        <f>'P &amp; NP'!WK13</f>
        <v>872987</v>
      </c>
      <c r="CA12" s="116">
        <f>'P &amp; NP'!WL13</f>
        <v>28206264</v>
      </c>
    </row>
    <row r="13" spans="1:79" ht="15.5">
      <c r="A13" s="108" t="s">
        <v>252</v>
      </c>
      <c r="B13" s="190">
        <f t="shared" ref="B13:B23" si="13">SUMIF($D$4:$CA$4,$B$4,D13:CA13)</f>
        <v>109536390.19049582</v>
      </c>
      <c r="C13" s="190">
        <f t="shared" ref="C13:C23" si="14">SUMIF($D$4:$CA$4,$C$4,D13:CA13)</f>
        <v>1876742205.043</v>
      </c>
      <c r="D13" s="116">
        <f>'P &amp; NP'!Q51</f>
        <v>1634597</v>
      </c>
      <c r="E13" s="116">
        <f>'P &amp; NP'!R51</f>
        <v>52306211.527000003</v>
      </c>
      <c r="F13" s="116">
        <f>'P &amp; NP'!AG51</f>
        <v>2451255</v>
      </c>
      <c r="G13" s="116">
        <f>'P &amp; NP'!AH51</f>
        <v>97853915</v>
      </c>
      <c r="H13" s="116">
        <f>'P &amp; NP'!AW51</f>
        <v>1369320</v>
      </c>
      <c r="I13" s="116">
        <f>'P &amp; NP'!AX51</f>
        <v>31481100</v>
      </c>
      <c r="J13" s="116">
        <f>'P &amp; NP'!BM51</f>
        <v>540145</v>
      </c>
      <c r="K13" s="116">
        <f>'P &amp; NP'!BN51</f>
        <v>10774344</v>
      </c>
      <c r="L13" s="116">
        <f>'P &amp; NP'!CC51</f>
        <v>72229</v>
      </c>
      <c r="M13" s="116">
        <f>'P &amp; NP'!CD51</f>
        <v>1545611</v>
      </c>
      <c r="N13" s="116">
        <f>'P &amp; NP'!CS51</f>
        <v>14138771.59</v>
      </c>
      <c r="O13" s="116">
        <f>'P &amp; NP'!CT51</f>
        <v>310873896</v>
      </c>
      <c r="P13" s="116">
        <f>'P &amp; NP'!DI51</f>
        <v>1588360.000495817</v>
      </c>
      <c r="Q13" s="116">
        <f>'P &amp; NP'!DJ51</f>
        <v>41762360.016000003</v>
      </c>
      <c r="R13" s="116">
        <f>'P &amp; NP'!DY51</f>
        <v>1244800</v>
      </c>
      <c r="S13" s="116">
        <f>'P &amp; NP'!DZ51</f>
        <v>22208700</v>
      </c>
      <c r="T13" s="116">
        <f>'P &amp; NP'!EO51</f>
        <v>2135320</v>
      </c>
      <c r="U13" s="116">
        <f>'P &amp; NP'!EP51</f>
        <v>40174720</v>
      </c>
      <c r="V13" s="116">
        <f>'P &amp; NP'!FE51</f>
        <v>4251231</v>
      </c>
      <c r="W13" s="116">
        <f>'P &amp; NP'!FF51</f>
        <v>148630235</v>
      </c>
      <c r="X13" s="116">
        <f>'P &amp; NP'!FU51</f>
        <v>415000</v>
      </c>
      <c r="Y13" s="116">
        <f>'P &amp; NP'!FV51</f>
        <v>15146214</v>
      </c>
      <c r="Z13" s="116">
        <f>'P &amp; NP'!GK51</f>
        <v>319050</v>
      </c>
      <c r="AA13" s="116">
        <f>'P &amp; NP'!GL51</f>
        <v>6477500</v>
      </c>
      <c r="AB13" s="116">
        <f>'P &amp; NP'!HA51</f>
        <v>159770</v>
      </c>
      <c r="AC13" s="116">
        <f>'P &amp; NP'!HB51</f>
        <v>3120550</v>
      </c>
      <c r="AD13" s="116">
        <f>'P &amp; NP'!HQ51</f>
        <v>1210300</v>
      </c>
      <c r="AE13" s="116">
        <f>'P &amp; NP'!HR51</f>
        <v>27620000</v>
      </c>
      <c r="AF13" s="116">
        <f>'P &amp; NP'!IG51</f>
        <v>148850</v>
      </c>
      <c r="AG13" s="116">
        <f>'P &amp; NP'!IH51</f>
        <v>3015550</v>
      </c>
      <c r="AH13" s="116">
        <f>'P &amp; NP'!IW51</f>
        <v>1009000</v>
      </c>
      <c r="AI13" s="116">
        <f>'P &amp; NP'!IX51</f>
        <v>19663200</v>
      </c>
      <c r="AJ13" s="116">
        <f>'P &amp; NP'!JM51</f>
        <v>374768</v>
      </c>
      <c r="AK13" s="116">
        <f>'P &amp; NP'!JN51</f>
        <v>7134178</v>
      </c>
      <c r="AL13" s="116">
        <f>'P &amp; NP'!KC51</f>
        <v>202697</v>
      </c>
      <c r="AM13" s="116">
        <f>'P &amp; NP'!KD51</f>
        <v>12798720</v>
      </c>
      <c r="AN13" s="116">
        <f>'P &amp; NP'!KS51</f>
        <v>97693</v>
      </c>
      <c r="AO13" s="116">
        <f>'P &amp; NP'!KT51</f>
        <v>4621204</v>
      </c>
      <c r="AP13" s="116">
        <f>'P &amp; NP'!LI51</f>
        <v>1955718.6</v>
      </c>
      <c r="AQ13" s="116">
        <f>'P &amp; NP'!LJ51</f>
        <v>38961325</v>
      </c>
      <c r="AR13" s="116">
        <f>'P &amp; NP'!LY51</f>
        <v>181870</v>
      </c>
      <c r="AS13" s="116">
        <f>'P &amp; NP'!LZ51</f>
        <v>3698876.5</v>
      </c>
      <c r="AT13" s="116">
        <f>'P &amp; NP'!MO51</f>
        <v>1693500</v>
      </c>
      <c r="AU13" s="116">
        <f>'P &amp; NP'!MP51</f>
        <v>94116600</v>
      </c>
      <c r="AV13" s="116">
        <f>'P &amp; NP'!NE51</f>
        <v>166838</v>
      </c>
      <c r="AW13" s="116">
        <f>'P &amp; NP'!NF51</f>
        <v>7682429</v>
      </c>
      <c r="AX13" s="116">
        <f>'P &amp; NP'!NU51</f>
        <v>8927811</v>
      </c>
      <c r="AY13" s="116">
        <f>'P &amp; NP'!NV51</f>
        <v>224662315</v>
      </c>
      <c r="AZ13" s="116">
        <f>'P &amp; NP'!OK51</f>
        <v>977065</v>
      </c>
      <c r="BA13" s="116">
        <f>'P &amp; NP'!OL51</f>
        <v>46278876</v>
      </c>
      <c r="BB13" s="116">
        <f>'P &amp; NP'!PA51</f>
        <v>51273365</v>
      </c>
      <c r="BC13" s="116">
        <f>'P &amp; NP'!PB51</f>
        <v>340719298</v>
      </c>
      <c r="BD13" s="116">
        <f>'P &amp; NP'!PQ51</f>
        <v>443616</v>
      </c>
      <c r="BE13" s="116">
        <f>'P &amp; NP'!PR51</f>
        <v>8922723</v>
      </c>
      <c r="BF13" s="116">
        <f>'P &amp; NP'!QG51</f>
        <v>5185710</v>
      </c>
      <c r="BG13" s="116">
        <f>'P &amp; NP'!QH51</f>
        <v>140802720</v>
      </c>
      <c r="BH13" s="116">
        <f>'P &amp; NP'!QW51</f>
        <v>4034000</v>
      </c>
      <c r="BI13" s="116">
        <f>'P &amp; NP'!QX51</f>
        <v>77017000</v>
      </c>
      <c r="BJ13" s="116">
        <f>'P &amp; NP'!RM51</f>
        <v>5993</v>
      </c>
      <c r="BK13" s="116">
        <f>'P &amp; NP'!RN51</f>
        <v>145011</v>
      </c>
      <c r="BL13" s="116">
        <f>'P &amp; NP'!SC51</f>
        <v>22630</v>
      </c>
      <c r="BM13" s="116">
        <f>'P &amp; NP'!SD51</f>
        <v>466540</v>
      </c>
      <c r="BN13" s="116">
        <f>'P &amp; NP'!SS51</f>
        <v>16700</v>
      </c>
      <c r="BO13" s="116">
        <f>'P &amp; NP'!ST51</f>
        <v>324500</v>
      </c>
      <c r="BP13" s="116">
        <f>'P &amp; NP'!TI51</f>
        <v>31595</v>
      </c>
      <c r="BQ13" s="116">
        <f>'P &amp; NP'!TJ51</f>
        <v>699163</v>
      </c>
      <c r="BR13" s="116">
        <f>'P &amp; NP'!TY51</f>
        <v>14050</v>
      </c>
      <c r="BS13" s="116">
        <f>'P &amp; NP'!TZ51</f>
        <v>300950</v>
      </c>
      <c r="BT13" s="116">
        <f>'P &amp; NP'!UO51</f>
        <v>19119</v>
      </c>
      <c r="BU13" s="116">
        <f>'P &amp; NP'!UP51</f>
        <v>350264</v>
      </c>
      <c r="BV13" s="116">
        <f>'P &amp; NP'!VE51</f>
        <v>229570</v>
      </c>
      <c r="BW13" s="116">
        <f>'P &amp; NP'!VF51</f>
        <v>1741783</v>
      </c>
      <c r="BX13" s="116">
        <f>'P &amp; NP'!VU51</f>
        <v>30966</v>
      </c>
      <c r="BY13" s="116">
        <f>'P &amp; NP'!VV51</f>
        <v>906741</v>
      </c>
      <c r="BZ13" s="116">
        <f>'P &amp; NP'!WK51</f>
        <v>963117</v>
      </c>
      <c r="CA13" s="116">
        <f>'P &amp; NP'!WL51</f>
        <v>31736882</v>
      </c>
    </row>
    <row r="14" spans="1:79" ht="15.5">
      <c r="A14" s="108" t="s">
        <v>47</v>
      </c>
      <c r="B14" s="190">
        <f t="shared" si="13"/>
        <v>120474072.05049589</v>
      </c>
      <c r="C14" s="190">
        <f t="shared" si="14"/>
        <v>2017697158.6926966</v>
      </c>
      <c r="D14" s="116">
        <f>'P &amp; NP'!Q89</f>
        <v>1715250</v>
      </c>
      <c r="E14" s="116">
        <f>'P &amp; NP'!R89</f>
        <v>54779040</v>
      </c>
      <c r="F14" s="116">
        <f>'P &amp; NP'!AG89</f>
        <v>2444880</v>
      </c>
      <c r="G14" s="116">
        <f>'P &amp; NP'!AH89</f>
        <v>97629645</v>
      </c>
      <c r="H14" s="116">
        <f>'P &amp; NP'!AW89</f>
        <v>1420560</v>
      </c>
      <c r="I14" s="116">
        <f>'P &amp; NP'!AX89</f>
        <v>32586140</v>
      </c>
      <c r="J14" s="116">
        <f>'P &amp; NP'!BM89</f>
        <v>504827</v>
      </c>
      <c r="K14" s="116">
        <f>'P &amp; NP'!BN89</f>
        <v>10163396</v>
      </c>
      <c r="L14" s="116">
        <f>'P &amp; NP'!CC89</f>
        <v>78873</v>
      </c>
      <c r="M14" s="116">
        <f>'P &amp; NP'!CD89</f>
        <v>1699424</v>
      </c>
      <c r="N14" s="116">
        <f>'P &amp; NP'!CS89</f>
        <v>14661920</v>
      </c>
      <c r="O14" s="116">
        <f>'P &amp; NP'!CT89</f>
        <v>340957621.5776962</v>
      </c>
      <c r="P14" s="116">
        <f>'P &amp; NP'!DI89</f>
        <v>1430868.0004958881</v>
      </c>
      <c r="Q14" s="116">
        <f>'P &amp; NP'!DJ89</f>
        <v>37172169.013000004</v>
      </c>
      <c r="R14" s="116">
        <f>'P &amp; NP'!DY89</f>
        <v>1267700</v>
      </c>
      <c r="S14" s="116">
        <f>'P &amp; NP'!DZ89</f>
        <v>22457050</v>
      </c>
      <c r="T14" s="116">
        <f>'P &amp; NP'!EO89</f>
        <v>2193250</v>
      </c>
      <c r="U14" s="116">
        <f>'P &amp; NP'!EP89</f>
        <v>40848750</v>
      </c>
      <c r="V14" s="116">
        <f>'P &amp; NP'!FE89</f>
        <v>6773719</v>
      </c>
      <c r="W14" s="116">
        <f>'P &amp; NP'!FF89</f>
        <v>208620601</v>
      </c>
      <c r="X14" s="116">
        <f>'P &amp; NP'!FU89</f>
        <v>465000.4</v>
      </c>
      <c r="Y14" s="116">
        <f>'P &amp; NP'!FV89</f>
        <v>17178198</v>
      </c>
      <c r="Z14" s="116">
        <f>'P &amp; NP'!GK89</f>
        <v>341300</v>
      </c>
      <c r="AA14" s="116">
        <f>'P &amp; NP'!GL89</f>
        <v>7121500</v>
      </c>
      <c r="AB14" s="116">
        <f>'P &amp; NP'!HA89</f>
        <v>170710</v>
      </c>
      <c r="AC14" s="116">
        <f>'P &amp; NP'!HB89</f>
        <v>3365000</v>
      </c>
      <c r="AD14" s="116">
        <f>'P &amp; NP'!HQ89</f>
        <v>1278000</v>
      </c>
      <c r="AE14" s="116">
        <f>'P &amp; NP'!HR89</f>
        <v>29200000</v>
      </c>
      <c r="AF14" s="116">
        <f>'P &amp; NP'!IG89</f>
        <v>165350</v>
      </c>
      <c r="AG14" s="116">
        <f>'P &amp; NP'!IH89</f>
        <v>3344380</v>
      </c>
      <c r="AH14" s="116">
        <f>'P &amp; NP'!IW89</f>
        <v>1005000</v>
      </c>
      <c r="AI14" s="116">
        <f>'P &amp; NP'!IX89</f>
        <v>19584200</v>
      </c>
      <c r="AJ14" s="116">
        <f>'P &amp; NP'!JM89</f>
        <v>378168</v>
      </c>
      <c r="AK14" s="116">
        <f>'P &amp; NP'!JN89</f>
        <v>7203157</v>
      </c>
      <c r="AL14" s="116">
        <f>'P &amp; NP'!KC89</f>
        <v>207739</v>
      </c>
      <c r="AM14" s="116">
        <f>'P &amp; NP'!KD89</f>
        <v>12444981</v>
      </c>
      <c r="AN14" s="116">
        <f>'P &amp; NP'!KS89</f>
        <v>101685</v>
      </c>
      <c r="AO14" s="116">
        <f>'P &amp; NP'!KT89</f>
        <v>3439995</v>
      </c>
      <c r="AP14" s="116">
        <f>'P &amp; NP'!LI89</f>
        <v>2116340.9699999997</v>
      </c>
      <c r="AQ14" s="116">
        <f>'P &amp; NP'!LJ89</f>
        <v>39476739</v>
      </c>
      <c r="AR14" s="116">
        <f>'P &amp; NP'!LY89</f>
        <v>202942</v>
      </c>
      <c r="AS14" s="116">
        <f>'P &amp; NP'!LZ89</f>
        <v>4155438</v>
      </c>
      <c r="AT14" s="116">
        <f>'P &amp; NP'!MO89</f>
        <v>1172000</v>
      </c>
      <c r="AU14" s="116">
        <f>'P &amp; NP'!MP89</f>
        <v>66527100</v>
      </c>
      <c r="AV14" s="116">
        <f>'P &amp; NP'!NE89</f>
        <v>61056</v>
      </c>
      <c r="AW14" s="116">
        <f>'P &amp; NP'!NF89</f>
        <v>2257871</v>
      </c>
      <c r="AX14" s="116">
        <f>'P &amp; NP'!NU89</f>
        <v>10673230</v>
      </c>
      <c r="AY14" s="116">
        <f>'P &amp; NP'!NV89</f>
        <v>265556470</v>
      </c>
      <c r="AZ14" s="116">
        <f>'P &amp; NP'!OK89</f>
        <v>1002806</v>
      </c>
      <c r="BA14" s="116">
        <f>'P &amp; NP'!OL89</f>
        <v>47668908</v>
      </c>
      <c r="BB14" s="116">
        <f>'P &amp; NP'!PA89</f>
        <v>58200255.700000003</v>
      </c>
      <c r="BC14" s="116">
        <f>'P &amp; NP'!PB89</f>
        <v>384549090.69999999</v>
      </c>
      <c r="BD14" s="116">
        <f>'P &amp; NP'!PQ89</f>
        <v>457544</v>
      </c>
      <c r="BE14" s="116">
        <f>'P &amp; NP'!PR89</f>
        <v>9205611</v>
      </c>
      <c r="BF14" s="116">
        <f>'P &amp; NP'!QG89</f>
        <v>4321420</v>
      </c>
      <c r="BG14" s="116">
        <f>'P &amp; NP'!QH89</f>
        <v>127218410</v>
      </c>
      <c r="BH14" s="116">
        <f>'P &amp; NP'!QW89</f>
        <v>4244000</v>
      </c>
      <c r="BI14" s="116">
        <f>'P &amp; NP'!QX89</f>
        <v>81712000</v>
      </c>
      <c r="BJ14" s="116">
        <f>'P &amp; NP'!RM89</f>
        <v>4573</v>
      </c>
      <c r="BK14" s="116">
        <f>'P &amp; NP'!RN89</f>
        <v>111987</v>
      </c>
      <c r="BL14" s="116">
        <f>'P &amp; NP'!SC89</f>
        <v>22990</v>
      </c>
      <c r="BM14" s="116">
        <f>'P &amp; NP'!SD89</f>
        <v>465690</v>
      </c>
      <c r="BN14" s="116">
        <f>'P &amp; NP'!SS89</f>
        <v>18000</v>
      </c>
      <c r="BO14" s="116">
        <f>'P &amp; NP'!ST89</f>
        <v>342000</v>
      </c>
      <c r="BP14" s="116">
        <f>'P &amp; NP'!TI89</f>
        <v>30324.979999999996</v>
      </c>
      <c r="BQ14" s="116">
        <f>'P &amp; NP'!TJ89</f>
        <v>678312.39999999991</v>
      </c>
      <c r="BR14" s="116">
        <f>'P &amp; NP'!TY89</f>
        <v>28100</v>
      </c>
      <c r="BS14" s="116">
        <f>'P &amp; NP'!TZ89</f>
        <v>601900</v>
      </c>
      <c r="BT14" s="116">
        <f>'P &amp; NP'!UO89</f>
        <v>19111</v>
      </c>
      <c r="BU14" s="116">
        <f>'P &amp; NP'!UP89</f>
        <v>349858.00199999998</v>
      </c>
      <c r="BV14" s="116">
        <f>'P &amp; NP'!VE89</f>
        <v>204858</v>
      </c>
      <c r="BW14" s="116">
        <f>'P &amp; NP'!VF89</f>
        <v>1645119</v>
      </c>
      <c r="BX14" s="116">
        <f>'P &amp; NP'!VU89</f>
        <v>31125</v>
      </c>
      <c r="BY14" s="116">
        <f>'P &amp; NP'!VV89</f>
        <v>992499</v>
      </c>
      <c r="BZ14" s="116">
        <f>'P &amp; NP'!WK89</f>
        <v>1058596</v>
      </c>
      <c r="CA14" s="116">
        <f>'P &amp; NP'!WL89</f>
        <v>34386908</v>
      </c>
    </row>
    <row r="15" spans="1:79" ht="15.5">
      <c r="A15" s="108" t="s">
        <v>48</v>
      </c>
      <c r="B15" s="190">
        <f t="shared" si="13"/>
        <v>117859121.10047057</v>
      </c>
      <c r="C15" s="190">
        <f t="shared" si="14"/>
        <v>1927245268.5372603</v>
      </c>
      <c r="D15" s="116">
        <f>'P &amp; NP'!Q127</f>
        <v>736500</v>
      </c>
      <c r="E15" s="116">
        <f>'P &amp; NP'!R127</f>
        <v>23555550</v>
      </c>
      <c r="F15" s="116">
        <f>'P &amp; NP'!AG127</f>
        <v>2485895</v>
      </c>
      <c r="G15" s="116">
        <f>'P &amp; NP'!AH127</f>
        <v>104838295</v>
      </c>
      <c r="H15" s="116">
        <f>'P &amp; NP'!AW127</f>
        <v>1492150</v>
      </c>
      <c r="I15" s="116">
        <f>'P &amp; NP'!AX127</f>
        <v>34027400</v>
      </c>
      <c r="J15" s="116">
        <f>'P &amp; NP'!BM127</f>
        <v>460570</v>
      </c>
      <c r="K15" s="116">
        <f>'P &amp; NP'!BN127</f>
        <v>9336227</v>
      </c>
      <c r="L15" s="116">
        <f>'P &amp; NP'!CC127</f>
        <v>70170</v>
      </c>
      <c r="M15" s="116">
        <f>'P &amp; NP'!CD127</f>
        <v>1504428</v>
      </c>
      <c r="N15" s="116">
        <f>'P &amp; NP'!CS127</f>
        <v>13614639.67</v>
      </c>
      <c r="O15" s="116">
        <f>'P &amp; NP'!CT127</f>
        <v>338164891.10226035</v>
      </c>
      <c r="P15" s="116">
        <f>'P &amp; NP'!DI127</f>
        <v>1133003.0004705619</v>
      </c>
      <c r="Q15" s="116">
        <f>'P &amp; NP'!DJ127</f>
        <v>34132614.012999997</v>
      </c>
      <c r="R15" s="116">
        <f>'P &amp; NP'!DY127</f>
        <v>1349700</v>
      </c>
      <c r="S15" s="116">
        <f>'P &amp; NP'!DZ127</f>
        <v>24186750</v>
      </c>
      <c r="T15" s="116">
        <f>'P &amp; NP'!EO127</f>
        <v>2124380</v>
      </c>
      <c r="U15" s="116">
        <f>'P &amp; NP'!EP127</f>
        <v>39836580</v>
      </c>
      <c r="V15" s="116">
        <f>'P &amp; NP'!FE127</f>
        <v>8545468</v>
      </c>
      <c r="W15" s="116">
        <f>'P &amp; NP'!FF127</f>
        <v>247370821</v>
      </c>
      <c r="X15" s="116">
        <f>'P &amp; NP'!FU127</f>
        <v>425134</v>
      </c>
      <c r="Y15" s="116">
        <f>'P &amp; NP'!FV127</f>
        <v>15272215</v>
      </c>
      <c r="Z15" s="116">
        <f>'P &amp; NP'!GK127</f>
        <v>349100</v>
      </c>
      <c r="AA15" s="116">
        <f>'P &amp; NP'!GL127</f>
        <v>7145750</v>
      </c>
      <c r="AB15" s="116">
        <f>'P &amp; NP'!HA127</f>
        <v>160700</v>
      </c>
      <c r="AC15" s="116">
        <f>'P &amp; NP'!HB127</f>
        <v>3145300</v>
      </c>
      <c r="AD15" s="116">
        <f>'P &amp; NP'!HQ127</f>
        <v>1349500</v>
      </c>
      <c r="AE15" s="116">
        <f>'P &amp; NP'!HR127</f>
        <v>36352500</v>
      </c>
      <c r="AF15" s="116">
        <f>'P &amp; NP'!IG127</f>
        <v>152850</v>
      </c>
      <c r="AG15" s="116">
        <f>'P &amp; NP'!IH127</f>
        <v>2923950</v>
      </c>
      <c r="AH15" s="116">
        <f>'P &amp; NP'!IW127</f>
        <v>985000</v>
      </c>
      <c r="AI15" s="116">
        <f>'P &amp; NP'!IX127</f>
        <v>19580350</v>
      </c>
      <c r="AJ15" s="116">
        <f>'P &amp; NP'!JM127</f>
        <v>386912</v>
      </c>
      <c r="AK15" s="116">
        <f>'P &amp; NP'!JN127</f>
        <v>7347090</v>
      </c>
      <c r="AL15" s="116">
        <f>'P &amp; NP'!KC127</f>
        <v>209725</v>
      </c>
      <c r="AM15" s="116">
        <f>'P &amp; NP'!KD127</f>
        <v>12476830</v>
      </c>
      <c r="AN15" s="116">
        <f>'P &amp; NP'!KS127</f>
        <v>76644</v>
      </c>
      <c r="AO15" s="116">
        <f>'P &amp; NP'!KT127</f>
        <v>1991825</v>
      </c>
      <c r="AP15" s="116">
        <f>'P &amp; NP'!LI127</f>
        <v>2365897.96</v>
      </c>
      <c r="AQ15" s="116">
        <f>'P &amp; NP'!LJ127</f>
        <v>42584156</v>
      </c>
      <c r="AR15" s="116">
        <f>'P &amp; NP'!LY127</f>
        <v>207724</v>
      </c>
      <c r="AS15" s="116">
        <f>'P &amp; NP'!LZ127</f>
        <v>4348042.7</v>
      </c>
      <c r="AT15" s="116">
        <f>'P &amp; NP'!MO127</f>
        <v>1939100</v>
      </c>
      <c r="AU15" s="116">
        <f>'P &amp; NP'!MP127</f>
        <v>100245450</v>
      </c>
      <c r="AV15" s="116">
        <f>'P &amp; NP'!NE127</f>
        <v>91713</v>
      </c>
      <c r="AW15" s="116">
        <f>'P &amp; NP'!NF127</f>
        <v>4011326</v>
      </c>
      <c r="AX15" s="116">
        <f>'P &amp; NP'!NU127</f>
        <v>8999800</v>
      </c>
      <c r="AY15" s="116">
        <f>'P &amp; NP'!NV127</f>
        <v>189483650</v>
      </c>
      <c r="AZ15" s="116">
        <f>'P &amp; NP'!OK127</f>
        <v>1006122</v>
      </c>
      <c r="BA15" s="116">
        <f>'P &amp; NP'!OL127</f>
        <v>48277769</v>
      </c>
      <c r="BB15" s="116">
        <f>'P &amp; NP'!PA127</f>
        <v>56248260.5</v>
      </c>
      <c r="BC15" s="116">
        <f>'P &amp; NP'!PB127</f>
        <v>315994339.5</v>
      </c>
      <c r="BD15" s="116">
        <f>'P &amp; NP'!PQ127</f>
        <v>485558</v>
      </c>
      <c r="BE15" s="116">
        <f>'P &amp; NP'!PR127</f>
        <v>10633704</v>
      </c>
      <c r="BF15" s="116">
        <f>'P &amp; NP'!QG127</f>
        <v>4938770</v>
      </c>
      <c r="BG15" s="116">
        <f>'P &amp; NP'!QH127</f>
        <v>132475710</v>
      </c>
      <c r="BH15" s="116">
        <f>'P &amp; NP'!QW127</f>
        <v>4436000</v>
      </c>
      <c r="BI15" s="116">
        <f>'P &amp; NP'!QX127</f>
        <v>89533000</v>
      </c>
      <c r="BJ15" s="116">
        <f>'P &amp; NP'!RM127</f>
        <v>5630</v>
      </c>
      <c r="BK15" s="116">
        <f>'P &amp; NP'!RN127</f>
        <v>134950</v>
      </c>
      <c r="BL15" s="116">
        <f>'P &amp; NP'!SC127</f>
        <v>22570</v>
      </c>
      <c r="BM15" s="116">
        <f>'P &amp; NP'!SD127</f>
        <v>457270</v>
      </c>
      <c r="BN15" s="116">
        <f>'P &amp; NP'!SS127</f>
        <v>16100</v>
      </c>
      <c r="BO15" s="116">
        <f>'P &amp; NP'!ST127</f>
        <v>305900</v>
      </c>
      <c r="BP15" s="116">
        <f>'P &amp; NP'!TI127</f>
        <v>29899.97</v>
      </c>
      <c r="BQ15" s="116">
        <f>'P &amp; NP'!TJ127</f>
        <v>664302.22199999995</v>
      </c>
      <c r="BR15" s="116">
        <f>'P &amp; NP'!TY127</f>
        <v>6950</v>
      </c>
      <c r="BS15" s="116">
        <f>'P &amp; NP'!TZ127</f>
        <v>154600</v>
      </c>
      <c r="BT15" s="116">
        <f>'P &amp; NP'!UO127</f>
        <v>18964</v>
      </c>
      <c r="BU15" s="116">
        <f>'P &amp; NP'!UP127</f>
        <v>347325</v>
      </c>
      <c r="BV15" s="116">
        <f>'P &amp; NP'!VE127</f>
        <v>217368</v>
      </c>
      <c r="BW15" s="116">
        <f>'P &amp; NP'!VF127</f>
        <v>1742380</v>
      </c>
      <c r="BX15" s="116">
        <f>'P &amp; NP'!VU127</f>
        <v>24123</v>
      </c>
      <c r="BY15" s="116">
        <f>'P &amp; NP'!VV127</f>
        <v>737155</v>
      </c>
      <c r="BZ15" s="116">
        <f>'P &amp; NP'!WK127</f>
        <v>690530</v>
      </c>
      <c r="CA15" s="116">
        <f>'P &amp; NP'!WL127</f>
        <v>21924873</v>
      </c>
    </row>
    <row r="16" spans="1:79" ht="15.5">
      <c r="A16" s="108" t="s">
        <v>49</v>
      </c>
      <c r="B16" s="190">
        <f t="shared" si="13"/>
        <v>120777115.62826431</v>
      </c>
      <c r="C16" s="190">
        <f t="shared" si="14"/>
        <v>1916579844.536</v>
      </c>
      <c r="D16" s="116">
        <f>'P &amp; NP'!Q165</f>
        <v>666785</v>
      </c>
      <c r="E16" s="116">
        <f>'P &amp; NP'!R165</f>
        <v>21099410</v>
      </c>
      <c r="F16" s="116">
        <f>'P &amp; NP'!AG165</f>
        <v>2543509</v>
      </c>
      <c r="G16" s="116">
        <f>'P &amp; NP'!AH165</f>
        <v>107000905</v>
      </c>
      <c r="H16" s="116">
        <f>'P &amp; NP'!AW165</f>
        <v>1481800</v>
      </c>
      <c r="I16" s="116">
        <f>'P &amp; NP'!AX165</f>
        <v>34003300</v>
      </c>
      <c r="J16" s="116">
        <f>'P &amp; NP'!BM165</f>
        <v>422380</v>
      </c>
      <c r="K16" s="116">
        <f>'P &amp; NP'!BN165</f>
        <v>8592767</v>
      </c>
      <c r="L16" s="116">
        <f>'P &amp; NP'!CC165</f>
        <v>66314</v>
      </c>
      <c r="M16" s="116">
        <f>'P &amp; NP'!CD165</f>
        <v>1423961</v>
      </c>
      <c r="N16" s="116">
        <f>'P &amp; NP'!CS165</f>
        <v>13091100.24</v>
      </c>
      <c r="O16" s="116">
        <f>'P &amp; NP'!CT165</f>
        <v>309663783</v>
      </c>
      <c r="P16" s="116">
        <f>'P &amp; NP'!DI165</f>
        <v>1093577.9982642999</v>
      </c>
      <c r="Q16" s="116">
        <f>'P &amp; NP'!DJ165</f>
        <v>37836780.034000002</v>
      </c>
      <c r="R16" s="116">
        <f>'P &amp; NP'!DY165</f>
        <v>1228600</v>
      </c>
      <c r="S16" s="116">
        <f>'P &amp; NP'!DZ165</f>
        <v>21882900</v>
      </c>
      <c r="T16" s="116">
        <f>'P &amp; NP'!EO165</f>
        <v>2363345</v>
      </c>
      <c r="U16" s="116">
        <f>'P &amp; NP'!EP165</f>
        <v>44285395</v>
      </c>
      <c r="V16" s="116">
        <f>'P &amp; NP'!FE165</f>
        <v>13676414</v>
      </c>
      <c r="W16" s="116">
        <f>'P &amp; NP'!FF165</f>
        <v>358992121</v>
      </c>
      <c r="X16" s="116">
        <f>'P &amp; NP'!FU165</f>
        <v>422873</v>
      </c>
      <c r="Y16" s="116">
        <f>'P &amp; NP'!FV165</f>
        <v>15391321</v>
      </c>
      <c r="Z16" s="116">
        <f>'P &amp; NP'!GK165</f>
        <v>314600</v>
      </c>
      <c r="AA16" s="116">
        <f>'P &amp; NP'!GL165</f>
        <v>6625500</v>
      </c>
      <c r="AB16" s="116">
        <f>'P &amp; NP'!HA165</f>
        <v>162290</v>
      </c>
      <c r="AC16" s="116">
        <f>'P &amp; NP'!HB165</f>
        <v>3160880</v>
      </c>
      <c r="AD16" s="116">
        <f>'P &amp; NP'!HQ165</f>
        <v>1005000</v>
      </c>
      <c r="AE16" s="116">
        <f>'P &amp; NP'!HR165</f>
        <v>23275000</v>
      </c>
      <c r="AF16" s="116">
        <f>'P &amp; NP'!IG165</f>
        <v>145230</v>
      </c>
      <c r="AG16" s="116">
        <f>'P &amp; NP'!IH165</f>
        <v>2704660</v>
      </c>
      <c r="AH16" s="116">
        <f>'P &amp; NP'!IW165</f>
        <v>966000</v>
      </c>
      <c r="AI16" s="116">
        <f>'P &amp; NP'!IX165</f>
        <v>19745375</v>
      </c>
      <c r="AJ16" s="116">
        <f>'P &amp; NP'!JM165</f>
        <v>384165</v>
      </c>
      <c r="AK16" s="116">
        <f>'P &amp; NP'!JN165</f>
        <v>7291105</v>
      </c>
      <c r="AL16" s="116">
        <f>'P &amp; NP'!KC165</f>
        <v>184787</v>
      </c>
      <c r="AM16" s="116">
        <f>'P &amp; NP'!KD165</f>
        <v>10777532</v>
      </c>
      <c r="AN16" s="116">
        <f>'P &amp; NP'!KS165</f>
        <v>91194</v>
      </c>
      <c r="AO16" s="116">
        <f>'P &amp; NP'!KT165</f>
        <v>2951505</v>
      </c>
      <c r="AP16" s="116">
        <f>'P &amp; NP'!LI165</f>
        <v>1705369.39</v>
      </c>
      <c r="AQ16" s="116">
        <f>'P &amp; NP'!LJ165</f>
        <v>31888270</v>
      </c>
      <c r="AR16" s="116">
        <f>'P &amp; NP'!LY165</f>
        <v>189778</v>
      </c>
      <c r="AS16" s="116">
        <f>'P &amp; NP'!LZ165</f>
        <v>3945441</v>
      </c>
      <c r="AT16" s="116">
        <f>'P &amp; NP'!MO165</f>
        <v>607840</v>
      </c>
      <c r="AU16" s="116">
        <f>'P &amp; NP'!MP165</f>
        <v>34334630</v>
      </c>
      <c r="AV16" s="116">
        <f>'P &amp; NP'!NE165</f>
        <v>136991</v>
      </c>
      <c r="AW16" s="116">
        <f>'P &amp; NP'!NF165</f>
        <v>5917888</v>
      </c>
      <c r="AX16" s="116">
        <f>'P &amp; NP'!NU165</f>
        <v>9316890</v>
      </c>
      <c r="AY16" s="116">
        <f>'P &amp; NP'!NV165</f>
        <v>185086260</v>
      </c>
      <c r="AZ16" s="116">
        <f>'P &amp; NP'!OK165</f>
        <v>1104638</v>
      </c>
      <c r="BA16" s="116">
        <f>'P &amp; NP'!OL165</f>
        <v>53224881</v>
      </c>
      <c r="BB16" s="116">
        <f>'P &amp; NP'!PA165</f>
        <v>56940771</v>
      </c>
      <c r="BC16" s="116">
        <f>'P &amp; NP'!PB165</f>
        <v>309346369</v>
      </c>
      <c r="BD16" s="116">
        <f>'P &amp; NP'!PQ165</f>
        <v>462370</v>
      </c>
      <c r="BE16" s="116">
        <f>'P &amp; NP'!PR165</f>
        <v>10145317.5</v>
      </c>
      <c r="BF16" s="116">
        <f>'P &amp; NP'!QG165</f>
        <v>4321420</v>
      </c>
      <c r="BG16" s="116">
        <f>'P &amp; NP'!QH165</f>
        <v>117276600</v>
      </c>
      <c r="BH16" s="116">
        <f>'P &amp; NP'!QW165</f>
        <v>4544000</v>
      </c>
      <c r="BI16" s="116">
        <f>'P &amp; NP'!QX165</f>
        <v>98815000</v>
      </c>
      <c r="BJ16" s="116">
        <f>'P &amp; NP'!RM165</f>
        <v>5245</v>
      </c>
      <c r="BK16" s="116">
        <f>'P &amp; NP'!RN165</f>
        <v>125405</v>
      </c>
      <c r="BL16" s="116">
        <f>'P &amp; NP'!SC165</f>
        <v>21560</v>
      </c>
      <c r="BM16" s="116">
        <f>'P &amp; NP'!SD165</f>
        <v>444260</v>
      </c>
      <c r="BN16" s="116">
        <f>'P &amp; NP'!SS165</f>
        <v>16000</v>
      </c>
      <c r="BO16" s="116">
        <f>'P &amp; NP'!ST165</f>
        <v>308000</v>
      </c>
      <c r="BP16" s="116">
        <f>'P &amp; NP'!TI165</f>
        <v>27220</v>
      </c>
      <c r="BQ16" s="116">
        <f>'P &amp; NP'!TJ165</f>
        <v>623220</v>
      </c>
      <c r="BR16" s="116">
        <f>'P &amp; NP'!TY165</f>
        <v>12800</v>
      </c>
      <c r="BS16" s="116">
        <f>'P &amp; NP'!TZ165</f>
        <v>281800</v>
      </c>
      <c r="BT16" s="116">
        <f>'P &amp; NP'!UO165</f>
        <v>18900</v>
      </c>
      <c r="BU16" s="116">
        <f>'P &amp; NP'!UP165</f>
        <v>345460.00199999998</v>
      </c>
      <c r="BV16" s="116">
        <f>'P &amp; NP'!VE165</f>
        <v>219289</v>
      </c>
      <c r="BW16" s="116">
        <f>'P &amp; NP'!VF165</f>
        <v>1812551</v>
      </c>
      <c r="BX16" s="116">
        <f>'P &amp; NP'!VU165</f>
        <v>33238</v>
      </c>
      <c r="BY16" s="116">
        <f>'P &amp; NP'!VV165</f>
        <v>1134425</v>
      </c>
      <c r="BZ16" s="116">
        <f>'P &amp; NP'!WK165</f>
        <v>782832</v>
      </c>
      <c r="CA16" s="116">
        <f>'P &amp; NP'!WL165</f>
        <v>24819867</v>
      </c>
    </row>
    <row r="17" spans="1:79" ht="15.5">
      <c r="A17" s="108" t="s">
        <v>50</v>
      </c>
      <c r="B17" s="190">
        <f t="shared" si="13"/>
        <v>112310708.84749669</v>
      </c>
      <c r="C17" s="190">
        <f t="shared" si="14"/>
        <v>1596179553.321064</v>
      </c>
      <c r="D17" s="116">
        <f>'P &amp; NP'!Q203</f>
        <v>633000</v>
      </c>
      <c r="E17" s="116">
        <f>'P &amp; NP'!R203</f>
        <v>21021344.509</v>
      </c>
      <c r="F17" s="116">
        <f>'P &amp; NP'!AG203</f>
        <v>2519450</v>
      </c>
      <c r="G17" s="116">
        <f>'P &amp; NP'!AH203</f>
        <v>107097810</v>
      </c>
      <c r="H17" s="116">
        <f>'P &amp; NP'!AW203</f>
        <v>1473790</v>
      </c>
      <c r="I17" s="116">
        <f>'P &amp; NP'!AX203</f>
        <v>34403060</v>
      </c>
      <c r="J17" s="116">
        <f>'P &amp; NP'!BM203</f>
        <v>383756</v>
      </c>
      <c r="K17" s="116">
        <f>'P &amp; NP'!BN203</f>
        <v>7815514</v>
      </c>
      <c r="L17" s="116">
        <f>'P &amp; NP'!CC203</f>
        <v>70069</v>
      </c>
      <c r="M17" s="116">
        <f>'P &amp; NP'!CD203</f>
        <v>1503581</v>
      </c>
      <c r="N17" s="116">
        <f>'P &amp; NP'!CS203</f>
        <v>14138280.077881129</v>
      </c>
      <c r="O17" s="116">
        <f>'P &amp; NP'!CT203</f>
        <v>313565646.8100639</v>
      </c>
      <c r="P17" s="116">
        <f>'P &amp; NP'!DI203</f>
        <v>1105543.9996155696</v>
      </c>
      <c r="Q17" s="116">
        <f>'P &amp; NP'!DJ203</f>
        <v>36826196.002000004</v>
      </c>
      <c r="R17" s="116">
        <f>'P &amp; NP'!DY203</f>
        <v>1149500</v>
      </c>
      <c r="S17" s="116">
        <f>'P &amp; NP'!DZ203</f>
        <v>20470100</v>
      </c>
      <c r="T17" s="116">
        <f>'P &amp; NP'!EO203</f>
        <v>2429395</v>
      </c>
      <c r="U17" s="116">
        <f>'P &amp; NP'!EP203</f>
        <v>45419385</v>
      </c>
      <c r="V17" s="116">
        <f>'P &amp; NP'!FE203</f>
        <v>5958024</v>
      </c>
      <c r="W17" s="116">
        <f>'P &amp; NP'!FF203</f>
        <v>165164070</v>
      </c>
      <c r="X17" s="116">
        <f>'P &amp; NP'!FU203</f>
        <v>415310</v>
      </c>
      <c r="Y17" s="116">
        <f>'P &amp; NP'!FV203</f>
        <v>15037626</v>
      </c>
      <c r="Z17" s="116">
        <f>'P &amp; NP'!GK203</f>
        <v>327100</v>
      </c>
      <c r="AA17" s="116">
        <f>'P &amp; NP'!GL203</f>
        <v>6904375</v>
      </c>
      <c r="AB17" s="116">
        <f>'P &amp; NP'!HA203</f>
        <v>160710</v>
      </c>
      <c r="AC17" s="116">
        <f>'P &amp; NP'!HB203</f>
        <v>3136270</v>
      </c>
      <c r="AD17" s="116">
        <f>'P &amp; NP'!HQ203</f>
        <v>1067000</v>
      </c>
      <c r="AE17" s="116">
        <f>'P &amp; NP'!HR203</f>
        <v>26334000</v>
      </c>
      <c r="AF17" s="116">
        <f>'P &amp; NP'!IG203</f>
        <v>147680</v>
      </c>
      <c r="AG17" s="116">
        <f>'P &amp; NP'!IH203</f>
        <v>2695646</v>
      </c>
      <c r="AH17" s="116">
        <f>'P &amp; NP'!IW203</f>
        <v>947000</v>
      </c>
      <c r="AI17" s="116">
        <f>'P &amp; NP'!IX203</f>
        <v>19362300</v>
      </c>
      <c r="AJ17" s="116">
        <f>'P &amp; NP'!JM203</f>
        <v>375370</v>
      </c>
      <c r="AK17" s="116">
        <f>'P &amp; NP'!JN203</f>
        <v>7130040</v>
      </c>
      <c r="AL17" s="116">
        <f>'P &amp; NP'!KC203</f>
        <v>194072</v>
      </c>
      <c r="AM17" s="116">
        <f>'P &amp; NP'!KD203</f>
        <v>11156120</v>
      </c>
      <c r="AN17" s="116">
        <f>'P &amp; NP'!KS203</f>
        <v>108643</v>
      </c>
      <c r="AO17" s="116">
        <f>'P &amp; NP'!KT203</f>
        <v>4592470</v>
      </c>
      <c r="AP17" s="116">
        <f>'P &amp; NP'!LI203</f>
        <v>1865407.77</v>
      </c>
      <c r="AQ17" s="116">
        <f>'P &amp; NP'!LJ203</f>
        <v>33659493</v>
      </c>
      <c r="AR17" s="116">
        <f>'P &amp; NP'!LY203</f>
        <v>180413</v>
      </c>
      <c r="AS17" s="116">
        <f>'P &amp; NP'!LZ203</f>
        <v>3658303</v>
      </c>
      <c r="AT17" s="116">
        <f>'P &amp; NP'!MO203</f>
        <v>1339650</v>
      </c>
      <c r="AU17" s="116">
        <f>'P &amp; NP'!MP203</f>
        <v>68749350</v>
      </c>
      <c r="AV17" s="116">
        <f>'P &amp; NP'!NE203</f>
        <v>128663</v>
      </c>
      <c r="AW17" s="116">
        <f>'P &amp; NP'!NF203</f>
        <v>7111032</v>
      </c>
      <c r="AX17" s="116">
        <f>'P &amp; NP'!NU203</f>
        <v>8322762</v>
      </c>
      <c r="AY17" s="116">
        <f>'P &amp; NP'!NV203</f>
        <v>178230096</v>
      </c>
      <c r="AZ17" s="116">
        <f>'P &amp; NP'!OK203</f>
        <v>1009395</v>
      </c>
      <c r="BA17" s="116">
        <f>'P &amp; NP'!OL203</f>
        <v>48359072</v>
      </c>
      <c r="BB17" s="116">
        <f>'P &amp; NP'!PA203</f>
        <v>56340022</v>
      </c>
      <c r="BC17" s="116">
        <f>'P &amp; NP'!PB203</f>
        <v>169551303</v>
      </c>
      <c r="BD17" s="116">
        <f>'P &amp; NP'!PQ203</f>
        <v>448608</v>
      </c>
      <c r="BE17" s="116">
        <f>'P &amp; NP'!PR203</f>
        <v>9193955</v>
      </c>
      <c r="BF17" s="116">
        <f>'P &amp; NP'!QG203</f>
        <v>3086730</v>
      </c>
      <c r="BG17" s="116">
        <f>'P &amp; NP'!QH203</f>
        <v>87194880</v>
      </c>
      <c r="BH17" s="116">
        <f>'P &amp; NP'!QW203</f>
        <v>4839500</v>
      </c>
      <c r="BI17" s="116">
        <f>'P &amp; NP'!QX203</f>
        <v>111665000</v>
      </c>
      <c r="BJ17" s="116">
        <f>'P &amp; NP'!RM203</f>
        <v>4955</v>
      </c>
      <c r="BK17" s="116">
        <f>'P &amp; NP'!RN203</f>
        <v>118255</v>
      </c>
      <c r="BL17" s="116">
        <f>'P &amp; NP'!SC203</f>
        <v>18570</v>
      </c>
      <c r="BM17" s="116">
        <f>'P &amp; NP'!SD203</f>
        <v>392970</v>
      </c>
      <c r="BN17" s="116">
        <f>'P &amp; NP'!SS203</f>
        <v>15500</v>
      </c>
      <c r="BO17" s="116">
        <f>'P &amp; NP'!ST203</f>
        <v>301700</v>
      </c>
      <c r="BP17" s="116">
        <f>'P &amp; NP'!TI203</f>
        <v>25670</v>
      </c>
      <c r="BQ17" s="116">
        <f>'P &amp; NP'!TJ203</f>
        <v>585008</v>
      </c>
      <c r="BR17" s="116">
        <f>'P &amp; NP'!TY203</f>
        <v>15250</v>
      </c>
      <c r="BS17" s="116">
        <f>'P &amp; NP'!TZ203</f>
        <v>338400</v>
      </c>
      <c r="BT17" s="116">
        <f>'P &amp; NP'!UO203</f>
        <v>18780</v>
      </c>
      <c r="BU17" s="116">
        <f>'P &amp; NP'!UP203</f>
        <v>343652</v>
      </c>
      <c r="BV17" s="116">
        <f>'P &amp; NP'!VE203</f>
        <v>222085</v>
      </c>
      <c r="BW17" s="116">
        <f>'P &amp; NP'!VF203</f>
        <v>2476413</v>
      </c>
      <c r="BX17" s="116">
        <f>'P &amp; NP'!VU203</f>
        <v>25787</v>
      </c>
      <c r="BY17" s="116">
        <f>'P &amp; NP'!VV203</f>
        <v>759317</v>
      </c>
      <c r="BZ17" s="116">
        <f>'P &amp; NP'!WK203</f>
        <v>799268</v>
      </c>
      <c r="CA17" s="116">
        <f>'P &amp; NP'!WL203</f>
        <v>23855800</v>
      </c>
    </row>
    <row r="18" spans="1:79" ht="15.5">
      <c r="A18" s="108" t="s">
        <v>51</v>
      </c>
      <c r="B18" s="190">
        <f t="shared" si="13"/>
        <v>125106377.45281789</v>
      </c>
      <c r="C18" s="190">
        <f t="shared" si="14"/>
        <v>1694141357.1885493</v>
      </c>
      <c r="D18" s="116">
        <f>'P &amp; NP'!Q241</f>
        <v>612820</v>
      </c>
      <c r="E18" s="116">
        <f>'P &amp; NP'!R241</f>
        <v>20050145.511999998</v>
      </c>
      <c r="F18" s="116">
        <f>'P &amp; NP'!AG241</f>
        <v>2582146</v>
      </c>
      <c r="G18" s="116">
        <f>'P &amp; NP'!AH241</f>
        <v>110191260</v>
      </c>
      <c r="H18" s="116">
        <f>'P &amp; NP'!AW241</f>
        <v>1488460</v>
      </c>
      <c r="I18" s="116">
        <f>'P &amp; NP'!AX241</f>
        <v>34780640</v>
      </c>
      <c r="J18" s="116">
        <f>'P &amp; NP'!BM241</f>
        <v>331584</v>
      </c>
      <c r="K18" s="116">
        <f>'P &amp; NP'!BN241</f>
        <v>6783896</v>
      </c>
      <c r="L18" s="116">
        <f>'P &amp; NP'!CC241</f>
        <v>67283</v>
      </c>
      <c r="M18" s="116">
        <f>'P &amp; NP'!CD241</f>
        <v>1442655</v>
      </c>
      <c r="N18" s="116">
        <f>'P &amp; NP'!CS241</f>
        <v>12567360.34279819</v>
      </c>
      <c r="O18" s="116">
        <f>'P &amp; NP'!CT241</f>
        <v>275028389.97154921</v>
      </c>
      <c r="P18" s="116">
        <f>'P &amp; NP'!DI241</f>
        <v>1407470.0000197026</v>
      </c>
      <c r="Q18" s="116">
        <f>'P &amp; NP'!DJ241</f>
        <v>50187861.004999995</v>
      </c>
      <c r="R18" s="116">
        <f>'P &amp; NP'!DY241</f>
        <v>1242300</v>
      </c>
      <c r="S18" s="116">
        <f>'P &amp; NP'!DZ241</f>
        <v>22275000</v>
      </c>
      <c r="T18" s="116">
        <f>'P &amp; NP'!EO241</f>
        <v>2040430</v>
      </c>
      <c r="U18" s="116">
        <f>'P &amp; NP'!EP241</f>
        <v>38336050</v>
      </c>
      <c r="V18" s="116">
        <f>'P &amp; NP'!FE241</f>
        <v>1631901</v>
      </c>
      <c r="W18" s="116">
        <f>'P &amp; NP'!FF241</f>
        <v>53186989</v>
      </c>
      <c r="X18" s="116">
        <f>'P &amp; NP'!FU241</f>
        <v>405431</v>
      </c>
      <c r="Y18" s="116">
        <f>'P &amp; NP'!FV241</f>
        <v>14406461</v>
      </c>
      <c r="Z18" s="116">
        <f>'P &amp; NP'!GK241</f>
        <v>287550</v>
      </c>
      <c r="AA18" s="116">
        <f>'P &amp; NP'!GL241</f>
        <v>5767625</v>
      </c>
      <c r="AB18" s="116">
        <f>'P &amp; NP'!HA241</f>
        <v>148210</v>
      </c>
      <c r="AC18" s="116">
        <f>'P &amp; NP'!HB241</f>
        <v>2877050</v>
      </c>
      <c r="AD18" s="116">
        <f>'P &amp; NP'!HQ241</f>
        <v>694500</v>
      </c>
      <c r="AE18" s="116">
        <f>'P &amp; NP'!HR241</f>
        <v>17260000</v>
      </c>
      <c r="AF18" s="116">
        <f>'P &amp; NP'!IG241</f>
        <v>149073</v>
      </c>
      <c r="AG18" s="116">
        <f>'P &amp; NP'!IH241</f>
        <v>2833614</v>
      </c>
      <c r="AH18" s="116">
        <f>'P &amp; NP'!IW241</f>
        <v>876000</v>
      </c>
      <c r="AI18" s="116">
        <f>'P &amp; NP'!IX241</f>
        <v>17018225</v>
      </c>
      <c r="AJ18" s="116">
        <f>'P &amp; NP'!JM241</f>
        <v>382155</v>
      </c>
      <c r="AK18" s="116">
        <f>'P &amp; NP'!JN241</f>
        <v>7260140</v>
      </c>
      <c r="AL18" s="116">
        <f>'P &amp; NP'!KC241</f>
        <v>217881</v>
      </c>
      <c r="AM18" s="116">
        <f>'P &amp; NP'!KD241</f>
        <v>13264932</v>
      </c>
      <c r="AN18" s="116">
        <f>'P &amp; NP'!KS241</f>
        <v>116707</v>
      </c>
      <c r="AO18" s="116">
        <f>'P &amp; NP'!KT241</f>
        <v>5510610</v>
      </c>
      <c r="AP18" s="116">
        <f>'P &amp; NP'!LI241</f>
        <v>2138934.4099999997</v>
      </c>
      <c r="AQ18" s="116">
        <f>'P &amp; NP'!LJ241</f>
        <v>32579169</v>
      </c>
      <c r="AR18" s="116">
        <f>'P &amp; NP'!LY241</f>
        <v>178127</v>
      </c>
      <c r="AS18" s="116">
        <f>'P &amp; NP'!LZ241</f>
        <v>3709766</v>
      </c>
      <c r="AT18" s="116">
        <f>'P &amp; NP'!MO241</f>
        <v>1524938</v>
      </c>
      <c r="AU18" s="116">
        <f>'P &amp; NP'!MP241</f>
        <v>74745855</v>
      </c>
      <c r="AV18" s="116">
        <f>'P &amp; NP'!NE241</f>
        <v>54100</v>
      </c>
      <c r="AW18" s="116">
        <f>'P &amp; NP'!NF241</f>
        <v>1835300</v>
      </c>
      <c r="AX18" s="116">
        <f>'P &amp; NP'!NU241</f>
        <v>8597500</v>
      </c>
      <c r="AY18" s="116">
        <f>'P &amp; NP'!NV241</f>
        <v>180143310</v>
      </c>
      <c r="AZ18" s="116">
        <f>'P &amp; NP'!OK241</f>
        <v>972561</v>
      </c>
      <c r="BA18" s="116">
        <f>'P &amp; NP'!OL241</f>
        <v>47123862</v>
      </c>
      <c r="BB18" s="116">
        <f>'P &amp; NP'!PA241</f>
        <v>75576903.700000003</v>
      </c>
      <c r="BC18" s="116">
        <f>'P &amp; NP'!PB241</f>
        <v>446474292.69999999</v>
      </c>
      <c r="BD18" s="116">
        <f>'P &amp; NP'!PQ241</f>
        <v>430775</v>
      </c>
      <c r="BE18" s="116">
        <f>'P &amp; NP'!PR241</f>
        <v>8535142</v>
      </c>
      <c r="BF18" s="116">
        <f>'P &amp; NP'!QG241</f>
        <v>2639170</v>
      </c>
      <c r="BG18" s="116">
        <f>'P &amp; NP'!QH241</f>
        <v>76734740</v>
      </c>
      <c r="BH18" s="116">
        <f>'P &amp; NP'!QW241</f>
        <v>4569500</v>
      </c>
      <c r="BI18" s="116">
        <f>'P &amp; NP'!QX241</f>
        <v>96257500</v>
      </c>
      <c r="BJ18" s="116">
        <f>'P &amp; NP'!RM241</f>
        <v>5240</v>
      </c>
      <c r="BK18" s="116">
        <f>'P &amp; NP'!RN241</f>
        <v>125180</v>
      </c>
      <c r="BL18" s="116">
        <f>'P &amp; NP'!SC241</f>
        <v>20300</v>
      </c>
      <c r="BM18" s="116">
        <f>'P &amp; NP'!SD241</f>
        <v>441160</v>
      </c>
      <c r="BN18" s="116">
        <f>'P &amp; NP'!SS241</f>
        <v>16000</v>
      </c>
      <c r="BO18" s="116">
        <f>'P &amp; NP'!ST241</f>
        <v>309000</v>
      </c>
      <c r="BP18" s="116">
        <f>'P &amp; NP'!TI241</f>
        <v>18875</v>
      </c>
      <c r="BQ18" s="116">
        <f>'P &amp; NP'!TJ241</f>
        <v>412163</v>
      </c>
      <c r="BR18" s="116">
        <f>'P &amp; NP'!TY241</f>
        <v>10100</v>
      </c>
      <c r="BS18" s="116">
        <f>'P &amp; NP'!TZ241</f>
        <v>217300</v>
      </c>
      <c r="BT18" s="116">
        <f>'P &amp; NP'!UO241</f>
        <v>18850</v>
      </c>
      <c r="BU18" s="116">
        <f>'P &amp; NP'!UP241</f>
        <v>344584</v>
      </c>
      <c r="BV18" s="116">
        <f>'P &amp; NP'!VE241</f>
        <v>259785</v>
      </c>
      <c r="BW18" s="116">
        <f>'P &amp; NP'!VF241</f>
        <v>1506580</v>
      </c>
      <c r="BX18" s="116">
        <f>'P &amp; NP'!VU241</f>
        <v>20827</v>
      </c>
      <c r="BY18" s="116">
        <f>'P &amp; NP'!VV241</f>
        <v>552380</v>
      </c>
      <c r="BZ18" s="116">
        <f>'P &amp; NP'!WK241</f>
        <v>804630</v>
      </c>
      <c r="CA18" s="116">
        <f>'P &amp; NP'!WL241</f>
        <v>23632530</v>
      </c>
    </row>
    <row r="19" spans="1:79" ht="15.5">
      <c r="A19" s="108" t="s">
        <v>52</v>
      </c>
      <c r="B19" s="190">
        <f t="shared" si="13"/>
        <v>125340126.48561126</v>
      </c>
      <c r="C19" s="190">
        <f t="shared" si="14"/>
        <v>1738860914.2839999</v>
      </c>
      <c r="D19" s="116">
        <f>'P &amp; NP'!Q279</f>
        <v>594000</v>
      </c>
      <c r="E19" s="116">
        <f>'P &amp; NP'!R279</f>
        <v>20508100</v>
      </c>
      <c r="F19" s="116">
        <f>'P &amp; NP'!AG279</f>
        <v>2542555</v>
      </c>
      <c r="G19" s="116">
        <f>'P &amp; NP'!AH279</f>
        <v>109679320</v>
      </c>
      <c r="H19" s="116">
        <f>'P &amp; NP'!AW279</f>
        <v>1480900</v>
      </c>
      <c r="I19" s="116">
        <f>'P &amp; NP'!AX279</f>
        <v>34562000</v>
      </c>
      <c r="J19" s="116">
        <f>'P &amp; NP'!BM279</f>
        <v>345653</v>
      </c>
      <c r="K19" s="116">
        <f>'P &amp; NP'!BN279</f>
        <v>7026697</v>
      </c>
      <c r="L19" s="116">
        <f>'P &amp; NP'!CC279</f>
        <v>69232</v>
      </c>
      <c r="M19" s="116">
        <f>'P &amp; NP'!CD279</f>
        <v>1488475</v>
      </c>
      <c r="N19" s="116">
        <f>'P &amp; NP'!CS279</f>
        <v>13091003</v>
      </c>
      <c r="O19" s="116">
        <f>'P &amp; NP'!CT279</f>
        <v>283707548</v>
      </c>
      <c r="P19" s="116">
        <f>'P &amp; NP'!DI279</f>
        <v>1512049.9656112655</v>
      </c>
      <c r="Q19" s="116">
        <f>'P &amp; NP'!DJ279</f>
        <v>48204373.384000003</v>
      </c>
      <c r="R19" s="116">
        <f>'P &amp; NP'!DY279</f>
        <v>1101200</v>
      </c>
      <c r="S19" s="116">
        <f>'P &amp; NP'!DZ279</f>
        <v>19798100</v>
      </c>
      <c r="T19" s="116">
        <f>'P &amp; NP'!EO279</f>
        <v>2054940</v>
      </c>
      <c r="U19" s="116">
        <f>'P &amp; NP'!EP279</f>
        <v>38622540</v>
      </c>
      <c r="V19" s="116">
        <f>'P &amp; NP'!FE279</f>
        <v>809437</v>
      </c>
      <c r="W19" s="116">
        <f>'P &amp; NP'!FF279</f>
        <v>29512536</v>
      </c>
      <c r="X19" s="116">
        <f>'P &amp; NP'!FU279</f>
        <v>434854</v>
      </c>
      <c r="Y19" s="116">
        <f>'P &amp; NP'!FV279</f>
        <v>15508843</v>
      </c>
      <c r="Z19" s="116">
        <f>'P &amp; NP'!GK279</f>
        <v>296450</v>
      </c>
      <c r="AA19" s="116">
        <f>'P &amp; NP'!GL279</f>
        <v>5942125</v>
      </c>
      <c r="AB19" s="116">
        <f>'P &amp; NP'!HA279</f>
        <v>143650</v>
      </c>
      <c r="AC19" s="116">
        <f>'P &amp; NP'!HB279</f>
        <v>2802325</v>
      </c>
      <c r="AD19" s="116">
        <f>'P &amp; NP'!HQ279</f>
        <v>881000</v>
      </c>
      <c r="AE19" s="116">
        <f>'P &amp; NP'!HR279</f>
        <v>28422500</v>
      </c>
      <c r="AF19" s="116">
        <f>'P &amp; NP'!IG279</f>
        <v>148875</v>
      </c>
      <c r="AG19" s="116">
        <f>'P &amp; NP'!IH279</f>
        <v>2819500</v>
      </c>
      <c r="AH19" s="116">
        <f>'P &amp; NP'!IW279</f>
        <v>834000</v>
      </c>
      <c r="AI19" s="116">
        <f>'P &amp; NP'!IX279</f>
        <v>15646920</v>
      </c>
      <c r="AJ19" s="116">
        <f>'P &amp; NP'!JM279</f>
        <v>381437</v>
      </c>
      <c r="AK19" s="116">
        <f>'P &amp; NP'!JN279</f>
        <v>7252809</v>
      </c>
      <c r="AL19" s="116">
        <f>'P &amp; NP'!KC279</f>
        <v>205945</v>
      </c>
      <c r="AM19" s="116">
        <f>'P &amp; NP'!KD279</f>
        <v>11894641</v>
      </c>
      <c r="AN19" s="116">
        <f>'P &amp; NP'!KS279</f>
        <v>76864</v>
      </c>
      <c r="AO19" s="116">
        <f>'P &amp; NP'!KT279</f>
        <v>2061004</v>
      </c>
      <c r="AP19" s="116">
        <f>'P &amp; NP'!LI279</f>
        <v>2572355.52</v>
      </c>
      <c r="AQ19" s="116">
        <f>'P &amp; NP'!LJ279</f>
        <v>44604097</v>
      </c>
      <c r="AR19" s="116">
        <f>'P &amp; NP'!LY279</f>
        <v>174388</v>
      </c>
      <c r="AS19" s="116">
        <f>'P &amp; NP'!LZ279</f>
        <v>3487523</v>
      </c>
      <c r="AT19" s="116">
        <f>'P &amp; NP'!MO279</f>
        <v>1334750</v>
      </c>
      <c r="AU19" s="116">
        <f>'P &amp; NP'!MP279</f>
        <v>63631265</v>
      </c>
      <c r="AV19" s="116">
        <f>'P &amp; NP'!NE279</f>
        <v>52420</v>
      </c>
      <c r="AW19" s="116">
        <f>'P &amp; NP'!NF279</f>
        <v>2144200</v>
      </c>
      <c r="AX19" s="116">
        <f>'P &amp; NP'!NU279</f>
        <v>11627927</v>
      </c>
      <c r="AY19" s="116">
        <f>'P &amp; NP'!NV279</f>
        <v>237661936</v>
      </c>
      <c r="AZ19" s="116">
        <f>'P &amp; NP'!OK279</f>
        <v>1055002</v>
      </c>
      <c r="BA19" s="116">
        <f>'P &amp; NP'!OL279</f>
        <v>51366500</v>
      </c>
      <c r="BB19" s="116">
        <f>'P &amp; NP'!PA279</f>
        <v>72111453</v>
      </c>
      <c r="BC19" s="116">
        <f>'P &amp; NP'!PB279</f>
        <v>430142131.89999998</v>
      </c>
      <c r="BD19" s="116">
        <f>'P &amp; NP'!PQ279</f>
        <v>407875</v>
      </c>
      <c r="BE19" s="116">
        <f>'P &amp; NP'!PR279</f>
        <v>8098596</v>
      </c>
      <c r="BF19" s="116">
        <f>'P &amp; NP'!QG279</f>
        <v>3518880</v>
      </c>
      <c r="BG19" s="116">
        <f>'P &amp; NP'!QH279</f>
        <v>102223285</v>
      </c>
      <c r="BH19" s="116">
        <f>'P &amp; NP'!QW279</f>
        <v>4334500</v>
      </c>
      <c r="BI19" s="116">
        <f>'P &amp; NP'!QX279</f>
        <v>83417500</v>
      </c>
      <c r="BJ19" s="116">
        <f>'P &amp; NP'!RM279</f>
        <v>5739</v>
      </c>
      <c r="BK19" s="116">
        <f>'P &amp; NP'!RN279</f>
        <v>138373</v>
      </c>
      <c r="BL19" s="116">
        <f>'P &amp; NP'!SC279</f>
        <v>20410</v>
      </c>
      <c r="BM19" s="116">
        <f>'P &amp; NP'!SD279</f>
        <v>430920</v>
      </c>
      <c r="BN19" s="116">
        <f>'P &amp; NP'!SS279</f>
        <v>11700</v>
      </c>
      <c r="BO19" s="116">
        <f>'P &amp; NP'!ST279</f>
        <v>221000</v>
      </c>
      <c r="BP19" s="116">
        <f>'P &amp; NP'!TI279</f>
        <v>18565</v>
      </c>
      <c r="BQ19" s="116">
        <f>'P &amp; NP'!TJ279</f>
        <v>407488</v>
      </c>
      <c r="BR19" s="116">
        <f>'P &amp; NP'!TY279</f>
        <v>8700</v>
      </c>
      <c r="BS19" s="116">
        <f>'P &amp; NP'!TZ279</f>
        <v>185200</v>
      </c>
      <c r="BT19" s="116">
        <f>'P &amp; NP'!UO279</f>
        <v>18900</v>
      </c>
      <c r="BU19" s="116">
        <f>'P &amp; NP'!UP279</f>
        <v>345815</v>
      </c>
      <c r="BV19" s="116">
        <f>'P &amp; NP'!VE279</f>
        <v>255689</v>
      </c>
      <c r="BW19" s="116">
        <f>'P &amp; NP'!VF279</f>
        <v>1979420</v>
      </c>
      <c r="BX19" s="116">
        <f>'P &amp; NP'!VU279</f>
        <v>24398</v>
      </c>
      <c r="BY19" s="116">
        <f>'P &amp; NP'!VV279</f>
        <v>817048</v>
      </c>
      <c r="BZ19" s="116">
        <f>'P &amp; NP'!WK279</f>
        <v>782430</v>
      </c>
      <c r="CA19" s="116">
        <f>'P &amp; NP'!WL279</f>
        <v>22098260</v>
      </c>
    </row>
    <row r="20" spans="1:79" ht="15.5">
      <c r="A20" s="108" t="s">
        <v>53</v>
      </c>
      <c r="B20" s="190">
        <f t="shared" si="13"/>
        <v>134190047.43138453</v>
      </c>
      <c r="C20" s="190">
        <f t="shared" si="14"/>
        <v>1808821284.5320001</v>
      </c>
      <c r="D20" s="116">
        <f>'P &amp; NP'!Q317</f>
        <v>549950</v>
      </c>
      <c r="E20" s="116">
        <f>'P &amp; NP'!R317</f>
        <v>19258690</v>
      </c>
      <c r="F20" s="116">
        <f>'P &amp; NP'!AG317</f>
        <v>2597649</v>
      </c>
      <c r="G20" s="116">
        <f>'P &amp; NP'!AH317</f>
        <v>111389885</v>
      </c>
      <c r="H20" s="116">
        <f>'P &amp; NP'!AW317</f>
        <v>1310500</v>
      </c>
      <c r="I20" s="116">
        <f>'P &amp; NP'!AX317</f>
        <v>31660500</v>
      </c>
      <c r="J20" s="116">
        <f>'P &amp; NP'!BM317</f>
        <v>386585</v>
      </c>
      <c r="K20" s="116">
        <f>'P &amp; NP'!BN317</f>
        <v>7698503.5</v>
      </c>
      <c r="L20" s="116">
        <f>'P &amp; NP'!CC317</f>
        <v>66202</v>
      </c>
      <c r="M20" s="116">
        <f>'P &amp; NP'!CD317</f>
        <v>1421964</v>
      </c>
      <c r="N20" s="116">
        <f>'P &amp; NP'!CS317</f>
        <v>14342921</v>
      </c>
      <c r="O20" s="116">
        <f>'P &amp; NP'!CT317</f>
        <v>297699062</v>
      </c>
      <c r="P20" s="116">
        <f>'P &amp; NP'!DI317</f>
        <v>1469319.9713845293</v>
      </c>
      <c r="Q20" s="116">
        <f>'P &amp; NP'!DJ317</f>
        <v>47184259.431999996</v>
      </c>
      <c r="R20" s="116">
        <f>'P &amp; NP'!DY317</f>
        <v>1208400</v>
      </c>
      <c r="S20" s="116">
        <f>'P &amp; NP'!DZ317</f>
        <v>21758000</v>
      </c>
      <c r="T20" s="116">
        <f>'P &amp; NP'!EO317</f>
        <v>2003415</v>
      </c>
      <c r="U20" s="116">
        <f>'P &amp; NP'!EP317</f>
        <v>37785225</v>
      </c>
      <c r="V20" s="116">
        <f>'P &amp; NP'!FE317</f>
        <v>573975</v>
      </c>
      <c r="W20" s="116">
        <f>'P &amp; NP'!FF317</f>
        <v>23959597</v>
      </c>
      <c r="X20" s="116">
        <f>'P &amp; NP'!FU317</f>
        <v>410608</v>
      </c>
      <c r="Y20" s="116">
        <f>'P &amp; NP'!FV317</f>
        <v>14658091</v>
      </c>
      <c r="Z20" s="116">
        <f>'P &amp; NP'!GK317</f>
        <v>297450</v>
      </c>
      <c r="AA20" s="116">
        <f>'P &amp; NP'!GL317</f>
        <v>5957750</v>
      </c>
      <c r="AB20" s="116">
        <f>'P &amp; NP'!HA317</f>
        <v>139130</v>
      </c>
      <c r="AC20" s="116">
        <f>'P &amp; NP'!HB317</f>
        <v>2669210</v>
      </c>
      <c r="AD20" s="116">
        <f>'P &amp; NP'!HQ317</f>
        <v>841500</v>
      </c>
      <c r="AE20" s="116">
        <f>'P &amp; NP'!HR317</f>
        <v>21037500</v>
      </c>
      <c r="AF20" s="116">
        <f>'P &amp; NP'!IG317</f>
        <v>149550</v>
      </c>
      <c r="AG20" s="116">
        <f>'P &amp; NP'!IH317</f>
        <v>2830900</v>
      </c>
      <c r="AH20" s="116">
        <f>'P &amp; NP'!IW317</f>
        <v>810000</v>
      </c>
      <c r="AI20" s="116">
        <f>'P &amp; NP'!IX317</f>
        <v>15777394</v>
      </c>
      <c r="AJ20" s="116">
        <f>'P &amp; NP'!JM317</f>
        <v>377420</v>
      </c>
      <c r="AK20" s="116">
        <f>'P &amp; NP'!JN317</f>
        <v>7160765</v>
      </c>
      <c r="AL20" s="116">
        <f>'P &amp; NP'!KC317</f>
        <v>318085</v>
      </c>
      <c r="AM20" s="116">
        <f>'P &amp; NP'!KD317</f>
        <v>20963761</v>
      </c>
      <c r="AN20" s="116">
        <f>'P &amp; NP'!KS317</f>
        <v>96439</v>
      </c>
      <c r="AO20" s="116">
        <f>'P &amp; NP'!KT317</f>
        <v>3180025</v>
      </c>
      <c r="AP20" s="116">
        <f>'P &amp; NP'!LI317</f>
        <v>2169029.46</v>
      </c>
      <c r="AQ20" s="116">
        <f>'P &amp; NP'!LJ317</f>
        <v>32797629</v>
      </c>
      <c r="AR20" s="116">
        <f>'P &amp; NP'!LY317</f>
        <v>164061</v>
      </c>
      <c r="AS20" s="116">
        <f>'P &amp; NP'!LZ317</f>
        <v>3297929</v>
      </c>
      <c r="AT20" s="116">
        <f>'P &amp; NP'!MO317</f>
        <v>1167520</v>
      </c>
      <c r="AU20" s="116">
        <f>'P &amp; NP'!MP317</f>
        <v>49081785</v>
      </c>
      <c r="AV20" s="116">
        <f>'P &amp; NP'!NE317</f>
        <v>40850</v>
      </c>
      <c r="AW20" s="116">
        <f>'P &amp; NP'!NF317</f>
        <v>1261100</v>
      </c>
      <c r="AX20" s="116">
        <f>'P &amp; NP'!NU317</f>
        <v>11759277</v>
      </c>
      <c r="AY20" s="116">
        <f>'P &amp; NP'!NV317</f>
        <v>273554756</v>
      </c>
      <c r="AZ20" s="116">
        <f>'P &amp; NP'!OK317</f>
        <v>1068847</v>
      </c>
      <c r="BA20" s="116">
        <f>'P &amp; NP'!OL317</f>
        <v>51887272</v>
      </c>
      <c r="BB20" s="116">
        <f>'P &amp; NP'!PA317</f>
        <v>80454008</v>
      </c>
      <c r="BC20" s="116">
        <f>'P &amp; NP'!PB317</f>
        <v>471242316.60000002</v>
      </c>
      <c r="BD20" s="116">
        <f>'P &amp; NP'!PQ317</f>
        <v>397795</v>
      </c>
      <c r="BE20" s="116">
        <f>'P &amp; NP'!PR317</f>
        <v>8061412</v>
      </c>
      <c r="BF20" s="116">
        <f>'P &amp; NP'!QG317</f>
        <v>3616620</v>
      </c>
      <c r="BG20" s="116">
        <f>'P &amp; NP'!QH317</f>
        <v>110427770</v>
      </c>
      <c r="BH20" s="116">
        <f>'P &amp; NP'!QW317</f>
        <v>4304500</v>
      </c>
      <c r="BI20" s="116">
        <f>'P &amp; NP'!QX317</f>
        <v>86237500</v>
      </c>
      <c r="BJ20" s="116">
        <f>'P &amp; NP'!RM317</f>
        <v>5904</v>
      </c>
      <c r="BK20" s="116">
        <f>'P &amp; NP'!RN317</f>
        <v>141958</v>
      </c>
      <c r="BL20" s="116">
        <f>'P &amp; NP'!SC317</f>
        <v>20430</v>
      </c>
      <c r="BM20" s="116">
        <f>'P &amp; NP'!SD317</f>
        <v>467345</v>
      </c>
      <c r="BN20" s="116">
        <f>'P &amp; NP'!SS317</f>
        <v>18600</v>
      </c>
      <c r="BO20" s="116">
        <f>'P &amp; NP'!ST317</f>
        <v>366950</v>
      </c>
      <c r="BP20" s="116">
        <f>'P &amp; NP'!TI317</f>
        <v>17925</v>
      </c>
      <c r="BQ20" s="116">
        <f>'P &amp; NP'!TJ317</f>
        <v>384695</v>
      </c>
      <c r="BR20" s="116">
        <f>'P &amp; NP'!TY317</f>
        <v>6200</v>
      </c>
      <c r="BS20" s="116">
        <f>'P &amp; NP'!TZ317</f>
        <v>132000</v>
      </c>
      <c r="BT20" s="116">
        <f>'P &amp; NP'!UO317</f>
        <v>19118</v>
      </c>
      <c r="BU20" s="116">
        <f>'P &amp; NP'!UP317</f>
        <v>350336</v>
      </c>
      <c r="BV20" s="116">
        <f>'P &amp; NP'!VE317</f>
        <v>220703</v>
      </c>
      <c r="BW20" s="116">
        <f>'P &amp; NP'!VF317</f>
        <v>1949097</v>
      </c>
      <c r="BX20" s="116">
        <f>'P &amp; NP'!VU317</f>
        <v>14381</v>
      </c>
      <c r="BY20" s="116">
        <f>'P &amp; NP'!VV317</f>
        <v>315532</v>
      </c>
      <c r="BZ20" s="116">
        <f>'P &amp; NP'!WK317</f>
        <v>775180</v>
      </c>
      <c r="CA20" s="116">
        <f>'P &amp; NP'!WL317</f>
        <v>22812820</v>
      </c>
    </row>
    <row r="21" spans="1:79" ht="15.5">
      <c r="A21" s="108" t="s">
        <v>54</v>
      </c>
      <c r="B21" s="190">
        <f t="shared" si="13"/>
        <v>119766409.81799746</v>
      </c>
      <c r="C21" s="190">
        <f t="shared" si="14"/>
        <v>1621127214.3555932</v>
      </c>
      <c r="D21" s="116">
        <f>'P &amp; NP'!Q355</f>
        <v>1414400</v>
      </c>
      <c r="E21" s="116">
        <f>'P &amp; NP'!R355</f>
        <v>46802860</v>
      </c>
      <c r="F21" s="116">
        <f>'P &amp; NP'!AG355</f>
        <v>2669630</v>
      </c>
      <c r="G21" s="116">
        <f>'P &amp; NP'!AH355</f>
        <v>103679770</v>
      </c>
      <c r="H21" s="116">
        <f>'P &amp; NP'!AW355</f>
        <v>1568915</v>
      </c>
      <c r="I21" s="116">
        <f>'P &amp; NP'!AX355</f>
        <v>37237660</v>
      </c>
      <c r="J21" s="116">
        <f>'P &amp; NP'!BM355</f>
        <v>422596</v>
      </c>
      <c r="K21" s="116">
        <f>'P &amp; NP'!BN355</f>
        <v>8395162</v>
      </c>
      <c r="L21" s="116">
        <f>'P &amp; NP'!CC355</f>
        <v>67037</v>
      </c>
      <c r="M21" s="116">
        <f>'P &amp; NP'!CD355</f>
        <v>1437315</v>
      </c>
      <c r="N21" s="116">
        <f>'P &amp; NP'!CS355</f>
        <v>14661922.013579328</v>
      </c>
      <c r="O21" s="116">
        <f>'P &amp; NP'!CT355</f>
        <v>264711337.82059336</v>
      </c>
      <c r="P21" s="116">
        <f>'P &amp; NP'!DI355</f>
        <v>1362124.5344181212</v>
      </c>
      <c r="Q21" s="116">
        <f>'P &amp; NP'!DJ355</f>
        <v>45470271.004999995</v>
      </c>
      <c r="R21" s="116">
        <f>'P &amp; NP'!DY355</f>
        <v>1188800</v>
      </c>
      <c r="S21" s="116">
        <f>'P &amp; NP'!DZ355</f>
        <v>22684700</v>
      </c>
      <c r="T21" s="116">
        <f>'P &amp; NP'!EO355</f>
        <v>1917725</v>
      </c>
      <c r="U21" s="116">
        <f>'P &amp; NP'!EP355</f>
        <v>36995615</v>
      </c>
      <c r="V21" s="116">
        <f>'P &amp; NP'!FE355</f>
        <v>540527</v>
      </c>
      <c r="W21" s="116">
        <f>'P &amp; NP'!FF355</f>
        <v>25665522</v>
      </c>
      <c r="X21" s="116">
        <f>'P &amp; NP'!FU355</f>
        <v>416413</v>
      </c>
      <c r="Y21" s="116">
        <f>'P &amp; NP'!FV355</f>
        <v>14843285</v>
      </c>
      <c r="Z21" s="116">
        <f>'P &amp; NP'!GK355</f>
        <v>326550</v>
      </c>
      <c r="AA21" s="116">
        <f>'P &amp; NP'!GL355</f>
        <v>6770050</v>
      </c>
      <c r="AB21" s="116">
        <f>'P &amp; NP'!HA355</f>
        <v>149310</v>
      </c>
      <c r="AC21" s="116">
        <f>'P &amp; NP'!HB355</f>
        <v>2865495</v>
      </c>
      <c r="AD21" s="116">
        <f>'P &amp; NP'!HQ355</f>
        <v>912000</v>
      </c>
      <c r="AE21" s="116">
        <f>'P &amp; NP'!HR355</f>
        <v>22658000</v>
      </c>
      <c r="AF21" s="116">
        <f>'P &amp; NP'!IG355</f>
        <v>149660</v>
      </c>
      <c r="AG21" s="116">
        <f>'P &amp; NP'!IH355</f>
        <v>2745800</v>
      </c>
      <c r="AH21" s="116">
        <f>'P &amp; NP'!IW355</f>
        <v>855800</v>
      </c>
      <c r="AI21" s="116">
        <f>'P &amp; NP'!IX355</f>
        <v>16308950</v>
      </c>
      <c r="AJ21" s="116">
        <f>'P &amp; NP'!JM355</f>
        <v>363398</v>
      </c>
      <c r="AK21" s="116">
        <f>'P &amp; NP'!JN355</f>
        <v>6901390</v>
      </c>
      <c r="AL21" s="116">
        <f>'P &amp; NP'!KC355</f>
        <v>246467</v>
      </c>
      <c r="AM21" s="116">
        <f>'P &amp; NP'!KD355</f>
        <v>15506629</v>
      </c>
      <c r="AN21" s="116">
        <f>'P &amp; NP'!KS355</f>
        <v>139556</v>
      </c>
      <c r="AO21" s="116">
        <f>'P &amp; NP'!KT355</f>
        <v>4653472</v>
      </c>
      <c r="AP21" s="116">
        <f>'P &amp; NP'!LI355</f>
        <v>1960911.27</v>
      </c>
      <c r="AQ21" s="116">
        <f>'P &amp; NP'!LJ355</f>
        <v>37579335</v>
      </c>
      <c r="AR21" s="116">
        <f>'P &amp; NP'!LY355</f>
        <v>172306</v>
      </c>
      <c r="AS21" s="116">
        <f>'P &amp; NP'!LZ355</f>
        <v>3471079.5300000003</v>
      </c>
      <c r="AT21" s="116">
        <f>'P &amp; NP'!MO355</f>
        <v>1014970</v>
      </c>
      <c r="AU21" s="116">
        <f>'P &amp; NP'!MP355</f>
        <v>51417505</v>
      </c>
      <c r="AV21" s="116">
        <f>'P &amp; NP'!NE355</f>
        <v>63393</v>
      </c>
      <c r="AW21" s="116">
        <f>'P &amp; NP'!NF355</f>
        <v>1810106</v>
      </c>
      <c r="AX21" s="116">
        <f>'P &amp; NP'!NU355</f>
        <v>8748209</v>
      </c>
      <c r="AY21" s="116">
        <f>'P &amp; NP'!NV355</f>
        <v>191000912</v>
      </c>
      <c r="AZ21" s="116">
        <f>'P &amp; NP'!OK355</f>
        <v>785050</v>
      </c>
      <c r="BA21" s="116">
        <f>'P &amp; NP'!OL355</f>
        <v>29689393</v>
      </c>
      <c r="BB21" s="116">
        <f>'P &amp; NP'!PA355</f>
        <v>67305944</v>
      </c>
      <c r="BC21" s="116">
        <f>'P &amp; NP'!PB355</f>
        <v>371559422</v>
      </c>
      <c r="BD21" s="116">
        <f>'P &amp; NP'!PQ355</f>
        <v>386856</v>
      </c>
      <c r="BE21" s="116">
        <f>'P &amp; NP'!PR355</f>
        <v>7670187</v>
      </c>
      <c r="BF21" s="116">
        <f>'P &amp; NP'!QG355</f>
        <v>4475760</v>
      </c>
      <c r="BG21" s="116">
        <f>'P &amp; NP'!QH355</f>
        <v>119232020</v>
      </c>
      <c r="BH21" s="116">
        <f>'P &amp; NP'!QW355</f>
        <v>4334500</v>
      </c>
      <c r="BI21" s="116">
        <f>'P &amp; NP'!QX355</f>
        <v>93316000</v>
      </c>
      <c r="BJ21" s="116">
        <f>'P &amp; NP'!RM355</f>
        <v>5805</v>
      </c>
      <c r="BK21" s="116">
        <f>'P &amp; NP'!RN355</f>
        <v>139525</v>
      </c>
      <c r="BL21" s="116">
        <f>'P &amp; NP'!SC355</f>
        <v>17320</v>
      </c>
      <c r="BM21" s="116">
        <f>'P &amp; NP'!SD355</f>
        <v>351230</v>
      </c>
      <c r="BN21" s="116">
        <f>'P &amp; NP'!SS355</f>
        <v>16100</v>
      </c>
      <c r="BO21" s="116">
        <f>'P &amp; NP'!ST355</f>
        <v>297850</v>
      </c>
      <c r="BP21" s="116">
        <f>'P &amp; NP'!TI355</f>
        <v>18805</v>
      </c>
      <c r="BQ21" s="116">
        <f>'P &amp; NP'!TJ355</f>
        <v>394932</v>
      </c>
      <c r="BR21" s="116">
        <f>'P &amp; NP'!TY355</f>
        <v>8300</v>
      </c>
      <c r="BS21" s="116">
        <f>'P &amp; NP'!TZ355</f>
        <v>187500</v>
      </c>
      <c r="BT21" s="116">
        <f>'P &amp; NP'!UO355</f>
        <v>19150</v>
      </c>
      <c r="BU21" s="116">
        <f>'P &amp; NP'!UP355</f>
        <v>350820</v>
      </c>
      <c r="BV21" s="116">
        <f>'P &amp; NP'!VE355</f>
        <v>245268</v>
      </c>
      <c r="BW21" s="116">
        <f>'P &amp; NP'!VF355</f>
        <v>2280122</v>
      </c>
      <c r="BX21" s="116">
        <f>'P &amp; NP'!VU355</f>
        <v>14152</v>
      </c>
      <c r="BY21" s="116">
        <f>'P &amp; NP'!VV355</f>
        <v>334242</v>
      </c>
      <c r="BZ21" s="116">
        <f>'P &amp; NP'!WK355</f>
        <v>800780</v>
      </c>
      <c r="CA21" s="116">
        <f>'P &amp; NP'!WL355</f>
        <v>23711750</v>
      </c>
    </row>
    <row r="22" spans="1:79" ht="15.5">
      <c r="A22" s="108" t="s">
        <v>253</v>
      </c>
      <c r="B22" s="190">
        <f t="shared" si="13"/>
        <v>122691285.56010836</v>
      </c>
      <c r="C22" s="190">
        <f t="shared" si="14"/>
        <v>1718596983.9850097</v>
      </c>
      <c r="D22" s="116">
        <f>'P &amp; NP'!Q393</f>
        <v>1938700</v>
      </c>
      <c r="E22" s="116">
        <f>'P &amp; NP'!R393</f>
        <v>79099500</v>
      </c>
      <c r="F22" s="116">
        <f>'P &amp; NP'!AG393</f>
        <v>2730051</v>
      </c>
      <c r="G22" s="116">
        <f>'P &amp; NP'!AH393</f>
        <v>107658300</v>
      </c>
      <c r="H22" s="116">
        <f>'P &amp; NP'!AW393</f>
        <v>1641460</v>
      </c>
      <c r="I22" s="116">
        <f>'P &amp; NP'!AX393</f>
        <v>38974140</v>
      </c>
      <c r="J22" s="116">
        <f>'P &amp; NP'!BM393</f>
        <v>505617</v>
      </c>
      <c r="K22" s="116">
        <f>'P &amp; NP'!BN393</f>
        <v>9947642</v>
      </c>
      <c r="L22" s="116">
        <f>'P &amp; NP'!CC393</f>
        <v>67907</v>
      </c>
      <c r="M22" s="116">
        <f>'P &amp; NP'!CD393</f>
        <v>1458717</v>
      </c>
      <c r="N22" s="116">
        <f>'P &amp; NP'!CS393</f>
        <v>12043720.060283979</v>
      </c>
      <c r="O22" s="116">
        <f>'P &amp; NP'!CT393</f>
        <v>259082163.50400975</v>
      </c>
      <c r="P22" s="116">
        <f>'P &amp; NP'!DI393</f>
        <v>1335434.9998243744</v>
      </c>
      <c r="Q22" s="116">
        <f>'P &amp; NP'!DJ393</f>
        <v>45280989.480999999</v>
      </c>
      <c r="R22" s="116">
        <f>'P &amp; NP'!DY393</f>
        <v>1185100</v>
      </c>
      <c r="S22" s="116">
        <f>'P &amp; NP'!DZ393</f>
        <v>23052450</v>
      </c>
      <c r="T22" s="116">
        <f>'P &amp; NP'!EO393</f>
        <v>2044945</v>
      </c>
      <c r="U22" s="116">
        <f>'P &amp; NP'!EP393</f>
        <v>39656375</v>
      </c>
      <c r="V22" s="116">
        <f>'P &amp; NP'!FE393</f>
        <v>545437</v>
      </c>
      <c r="W22" s="116">
        <f>'P &amp; NP'!FF393</f>
        <v>25246691</v>
      </c>
      <c r="X22" s="116">
        <f>'P &amp; NP'!FU393</f>
        <v>389453</v>
      </c>
      <c r="Y22" s="116">
        <f>'P &amp; NP'!FV393</f>
        <v>13958083</v>
      </c>
      <c r="Z22" s="116">
        <f>'P &amp; NP'!GK393</f>
        <v>328750</v>
      </c>
      <c r="AA22" s="116">
        <f>'P &amp; NP'!GL393</f>
        <v>6860000</v>
      </c>
      <c r="AB22" s="116">
        <f>'P &amp; NP'!HA393</f>
        <v>155650</v>
      </c>
      <c r="AC22" s="116">
        <f>'P &amp; NP'!HB393</f>
        <v>2995150</v>
      </c>
      <c r="AD22" s="116">
        <f>'P &amp; NP'!HQ393</f>
        <v>1144000</v>
      </c>
      <c r="AE22" s="116">
        <f>'P &amp; NP'!HR393</f>
        <v>32691000</v>
      </c>
      <c r="AF22" s="116">
        <f>'P &amp; NP'!IG393</f>
        <v>156700</v>
      </c>
      <c r="AG22" s="116">
        <f>'P &amp; NP'!IH393</f>
        <v>2889800</v>
      </c>
      <c r="AH22" s="116">
        <f>'P &amp; NP'!IW393</f>
        <v>867600</v>
      </c>
      <c r="AI22" s="116">
        <f>'P &amp; NP'!IX393</f>
        <v>17536910</v>
      </c>
      <c r="AJ22" s="116">
        <f>'P &amp; NP'!JM393</f>
        <v>365471</v>
      </c>
      <c r="AK22" s="116">
        <f>'P &amp; NP'!JN393</f>
        <v>6940686</v>
      </c>
      <c r="AL22" s="116">
        <f>'P &amp; NP'!KC393</f>
        <v>251449</v>
      </c>
      <c r="AM22" s="116">
        <f>'P &amp; NP'!KD393</f>
        <v>15883521</v>
      </c>
      <c r="AN22" s="116">
        <f>'P &amp; NP'!KS393</f>
        <v>144080</v>
      </c>
      <c r="AO22" s="116">
        <f>'P &amp; NP'!KT393</f>
        <v>5097100</v>
      </c>
      <c r="AP22" s="116">
        <f>'P &amp; NP'!LI393</f>
        <v>1727988.5</v>
      </c>
      <c r="AQ22" s="116">
        <f>'P &amp; NP'!LJ393</f>
        <v>29545524</v>
      </c>
      <c r="AR22" s="116">
        <f>'P &amp; NP'!LY393</f>
        <v>175794</v>
      </c>
      <c r="AS22" s="116">
        <f>'P &amp; NP'!LZ393</f>
        <v>3596321</v>
      </c>
      <c r="AT22" s="116">
        <f>'P &amp; NP'!MO393</f>
        <v>736390</v>
      </c>
      <c r="AU22" s="116">
        <f>'P &amp; NP'!MP393</f>
        <v>34351125</v>
      </c>
      <c r="AV22" s="116">
        <f>'P &amp; NP'!NE393</f>
        <v>76613</v>
      </c>
      <c r="AW22" s="116">
        <f>'P &amp; NP'!NF393</f>
        <v>2132106</v>
      </c>
      <c r="AX22" s="116">
        <f>'P &amp; NP'!NU393</f>
        <v>8025257</v>
      </c>
      <c r="AY22" s="116">
        <f>'P &amp; NP'!NV393</f>
        <v>185694944</v>
      </c>
      <c r="AZ22" s="116">
        <f>'P &amp; NP'!OK393</f>
        <v>919504</v>
      </c>
      <c r="BA22" s="116">
        <f>'P &amp; NP'!OL393</f>
        <v>35017436</v>
      </c>
      <c r="BB22" s="116">
        <f>'P &amp; NP'!PA393</f>
        <v>71040350</v>
      </c>
      <c r="BC22" s="116">
        <f>'P &amp; NP'!PB393</f>
        <v>390622758</v>
      </c>
      <c r="BD22" s="116">
        <f>'P &amp; NP'!PQ393</f>
        <v>376443</v>
      </c>
      <c r="BE22" s="116">
        <f>'P &amp; NP'!PR393</f>
        <v>7553576</v>
      </c>
      <c r="BF22" s="116">
        <f>'P &amp; NP'!QG393</f>
        <v>5623340</v>
      </c>
      <c r="BG22" s="116">
        <f>'P &amp; NP'!QH393</f>
        <v>145999580</v>
      </c>
      <c r="BH22" s="116">
        <f>'P &amp; NP'!QW393</f>
        <v>4935000</v>
      </c>
      <c r="BI22" s="116">
        <f>'P &amp; NP'!QX393</f>
        <v>118825000</v>
      </c>
      <c r="BJ22" s="116">
        <f>'P &amp; NP'!RM393</f>
        <v>5863</v>
      </c>
      <c r="BK22" s="116">
        <f>'P &amp; NP'!RN393</f>
        <v>141931</v>
      </c>
      <c r="BL22" s="116">
        <f>'P &amp; NP'!SC393</f>
        <v>17500</v>
      </c>
      <c r="BM22" s="116">
        <f>'P &amp; NP'!SD393</f>
        <v>361490</v>
      </c>
      <c r="BN22" s="116">
        <f>'P &amp; NP'!SS393</f>
        <v>17100</v>
      </c>
      <c r="BO22" s="116">
        <f>'P &amp; NP'!ST393</f>
        <v>321550</v>
      </c>
      <c r="BP22" s="116">
        <f>'P &amp; NP'!TI393</f>
        <v>19865</v>
      </c>
      <c r="BQ22" s="116">
        <f>'P &amp; NP'!TJ393</f>
        <v>421980</v>
      </c>
      <c r="BR22" s="116">
        <f>'P &amp; NP'!TY393</f>
        <v>18500</v>
      </c>
      <c r="BS22" s="116">
        <f>'P &amp; NP'!TZ393</f>
        <v>409300</v>
      </c>
      <c r="BT22" s="116">
        <f>'P &amp; NP'!UO393</f>
        <v>19200</v>
      </c>
      <c r="BU22" s="116">
        <f>'P &amp; NP'!UP393</f>
        <v>351750</v>
      </c>
      <c r="BV22" s="116">
        <f>'P &amp; NP'!VE393</f>
        <v>181212</v>
      </c>
      <c r="BW22" s="116">
        <f>'P &amp; NP'!VF393</f>
        <v>1453498</v>
      </c>
      <c r="BX22" s="116">
        <f>'P &amp; NP'!VU393</f>
        <v>71101</v>
      </c>
      <c r="BY22" s="116">
        <f>'P &amp; NP'!VV393</f>
        <v>2879807</v>
      </c>
      <c r="BZ22" s="116">
        <f>'P &amp; NP'!WK393</f>
        <v>862740</v>
      </c>
      <c r="CA22" s="116">
        <f>'P &amp; NP'!WL393</f>
        <v>24608090</v>
      </c>
    </row>
    <row r="23" spans="1:79" ht="15.5">
      <c r="A23" s="108" t="s">
        <v>56</v>
      </c>
      <c r="B23" s="190">
        <f t="shared" si="13"/>
        <v>134179344.20570374</v>
      </c>
      <c r="C23" s="190">
        <f t="shared" si="14"/>
        <v>1913413105.6426463</v>
      </c>
      <c r="D23" s="116">
        <f>'P &amp; NP'!Q431</f>
        <v>2979900</v>
      </c>
      <c r="E23" s="116">
        <f>'P &amp; NP'!R431</f>
        <v>137167540</v>
      </c>
      <c r="F23" s="116">
        <f>'P &amp; NP'!AG431</f>
        <v>2673380</v>
      </c>
      <c r="G23" s="116">
        <f>'P &amp; NP'!AH431</f>
        <v>105703120</v>
      </c>
      <c r="H23" s="116">
        <f>'P &amp; NP'!AW431</f>
        <v>1660270</v>
      </c>
      <c r="I23" s="116">
        <f>'P &amp; NP'!AX431</f>
        <v>39503280</v>
      </c>
      <c r="J23" s="116">
        <f>'P &amp; NP'!BM431</f>
        <v>514352</v>
      </c>
      <c r="K23" s="116">
        <f>'P &amp; NP'!BN431</f>
        <v>10109900</v>
      </c>
      <c r="L23" s="116">
        <f>'P &amp; NP'!CC431</f>
        <v>78508</v>
      </c>
      <c r="M23" s="116">
        <f>'P &amp; NP'!CD431</f>
        <v>1699344</v>
      </c>
      <c r="N23" s="116">
        <f>'P &amp; NP'!CS431</f>
        <v>12043719.77614278</v>
      </c>
      <c r="O23" s="116">
        <f>'P &amp; NP'!CT431</f>
        <v>265489443.50564623</v>
      </c>
      <c r="P23" s="116">
        <f>'P &amp; NP'!DI431</f>
        <v>1763202.9995609578</v>
      </c>
      <c r="Q23" s="116">
        <f>'P &amp; NP'!DJ431</f>
        <v>53231272.637000002</v>
      </c>
      <c r="R23" s="116">
        <f>'P &amp; NP'!DY431</f>
        <v>1292700</v>
      </c>
      <c r="S23" s="116">
        <f>'P &amp; NP'!DZ431</f>
        <v>25059950</v>
      </c>
      <c r="T23" s="116">
        <f>'P &amp; NP'!EO431</f>
        <v>2118580</v>
      </c>
      <c r="U23" s="116">
        <f>'P &amp; NP'!EP431</f>
        <v>41253080</v>
      </c>
      <c r="V23" s="116">
        <f>'P &amp; NP'!FE431</f>
        <v>699884</v>
      </c>
      <c r="W23" s="116">
        <f>'P &amp; NP'!FF431</f>
        <v>30712266</v>
      </c>
      <c r="X23" s="116">
        <f>'P &amp; NP'!FU431</f>
        <v>479520</v>
      </c>
      <c r="Y23" s="116">
        <f>'P &amp; NP'!FV431</f>
        <v>17479962.5</v>
      </c>
      <c r="Z23" s="116">
        <f>'P &amp; NP'!GK431</f>
        <v>339250</v>
      </c>
      <c r="AA23" s="116">
        <f>'P &amp; NP'!GL431</f>
        <v>7186000</v>
      </c>
      <c r="AB23" s="116">
        <f>'P &amp; NP'!HA431</f>
        <v>157050</v>
      </c>
      <c r="AC23" s="116">
        <f>'P &amp; NP'!HB431</f>
        <v>3030950</v>
      </c>
      <c r="AD23" s="116">
        <f>'P &amp; NP'!HQ431</f>
        <v>1548500</v>
      </c>
      <c r="AE23" s="116">
        <f>'P &amp; NP'!HR431</f>
        <v>40220000</v>
      </c>
      <c r="AF23" s="116">
        <f>'P &amp; NP'!IG431</f>
        <v>156500</v>
      </c>
      <c r="AG23" s="116">
        <f>'P &amp; NP'!IH431</f>
        <v>2980000</v>
      </c>
      <c r="AH23" s="116">
        <f>'P &amp; NP'!IW431</f>
        <v>881600</v>
      </c>
      <c r="AI23" s="116">
        <f>'P &amp; NP'!IX431</f>
        <v>18227100</v>
      </c>
      <c r="AJ23" s="116">
        <f>'P &amp; NP'!JM431</f>
        <v>367873</v>
      </c>
      <c r="AK23" s="116">
        <f>'P &amp; NP'!JN431</f>
        <v>6999530</v>
      </c>
      <c r="AL23" s="116">
        <f>'P &amp; NP'!KC431</f>
        <v>287783</v>
      </c>
      <c r="AM23" s="116">
        <f>'P &amp; NP'!KD431</f>
        <v>15963134</v>
      </c>
      <c r="AN23" s="116">
        <f>'P &amp; NP'!KS431</f>
        <v>150502</v>
      </c>
      <c r="AO23" s="116">
        <f>'P &amp; NP'!KT431</f>
        <v>5863490</v>
      </c>
      <c r="AP23" s="116">
        <f>'P &amp; NP'!LI431</f>
        <v>2350622.4300000002</v>
      </c>
      <c r="AQ23" s="116">
        <f>'P &amp; NP'!LJ431</f>
        <v>39579391</v>
      </c>
      <c r="AR23" s="116">
        <f>'P &amp; NP'!LY431</f>
        <v>182252</v>
      </c>
      <c r="AS23" s="116">
        <f>'P &amp; NP'!LZ431</f>
        <v>3857266</v>
      </c>
      <c r="AT23" s="116">
        <f>'P &amp; NP'!MO431</f>
        <v>1055510</v>
      </c>
      <c r="AU23" s="116">
        <f>'P &amp; NP'!MP431</f>
        <v>50139960</v>
      </c>
      <c r="AV23" s="116">
        <f>'P &amp; NP'!NE431</f>
        <v>123640</v>
      </c>
      <c r="AW23" s="116">
        <f>'P &amp; NP'!NF431</f>
        <v>2983000</v>
      </c>
      <c r="AX23" s="116">
        <f>'P &amp; NP'!NU431</f>
        <v>8898684</v>
      </c>
      <c r="AY23" s="116">
        <f>'P &amp; NP'!NV431</f>
        <v>209761300</v>
      </c>
      <c r="AZ23" s="116">
        <f>'P &amp; NP'!OK431</f>
        <v>770482</v>
      </c>
      <c r="BA23" s="116">
        <f>'P &amp; NP'!OL431</f>
        <v>29121014</v>
      </c>
      <c r="BB23" s="116">
        <f>'P &amp; NP'!PA431</f>
        <v>77280849</v>
      </c>
      <c r="BC23" s="116">
        <f>'P &amp; NP'!PB431</f>
        <v>423365117</v>
      </c>
      <c r="BD23" s="116">
        <f>'P &amp; NP'!PQ431</f>
        <v>361369</v>
      </c>
      <c r="BE23" s="116">
        <f>'P &amp; NP'!PR431</f>
        <v>7356734</v>
      </c>
      <c r="BF23" s="116">
        <f>'P &amp; NP'!QG431</f>
        <v>6694000</v>
      </c>
      <c r="BG23" s="116">
        <f>'P &amp; NP'!QH431</f>
        <v>162173690</v>
      </c>
      <c r="BH23" s="116">
        <f>'P &amp; NP'!QW431</f>
        <v>5082000</v>
      </c>
      <c r="BI23" s="116">
        <f>'P &amp; NP'!QX431</f>
        <v>129305000</v>
      </c>
      <c r="BJ23" s="116">
        <f>'P &amp; NP'!RM431</f>
        <v>5757</v>
      </c>
      <c r="BK23" s="116">
        <f>'P &amp; NP'!RN431</f>
        <v>137189</v>
      </c>
      <c r="BL23" s="116">
        <f>'P &amp; NP'!SC431</f>
        <v>17690</v>
      </c>
      <c r="BM23" s="116">
        <f>'P &amp; NP'!SD431</f>
        <v>400960</v>
      </c>
      <c r="BN23" s="116">
        <f>'P &amp; NP'!SS431</f>
        <v>15100</v>
      </c>
      <c r="BO23" s="116">
        <f>'P &amp; NP'!ST431</f>
        <v>279350</v>
      </c>
      <c r="BP23" s="116">
        <f>'P &amp; NP'!TI431</f>
        <v>21855</v>
      </c>
      <c r="BQ23" s="116">
        <f>'P &amp; NP'!TJ431</f>
        <v>478983</v>
      </c>
      <c r="BR23" s="116">
        <f>'P &amp; NP'!TY431</f>
        <v>28200</v>
      </c>
      <c r="BS23" s="116">
        <f>'P &amp; NP'!TZ431</f>
        <v>632200</v>
      </c>
      <c r="BT23" s="116">
        <f>'P &amp; NP'!UO431</f>
        <v>19519</v>
      </c>
      <c r="BU23" s="116">
        <f>'P &amp; NP'!UP431</f>
        <v>358768</v>
      </c>
      <c r="BV23" s="116">
        <f>'P &amp; NP'!VE431</f>
        <v>185250</v>
      </c>
      <c r="BW23" s="116">
        <f>'P &amp; NP'!VF431</f>
        <v>2466300</v>
      </c>
      <c r="BX23" s="116">
        <f>'P &amp; NP'!VU431</f>
        <v>107060</v>
      </c>
      <c r="BY23" s="116">
        <f>'P &amp; NP'!VV431</f>
        <v>3698491</v>
      </c>
      <c r="BZ23" s="116">
        <f>'P &amp; NP'!WK431</f>
        <v>786430</v>
      </c>
      <c r="CA23" s="116">
        <f>'P &amp; NP'!WL431</f>
        <v>19439030</v>
      </c>
    </row>
    <row r="24" spans="1:79" ht="15.5">
      <c r="A24" s="577"/>
      <c r="B24" s="744"/>
      <c r="C24" s="744"/>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c r="AG24" s="165"/>
      <c r="AH24" s="165"/>
      <c r="AI24" s="165"/>
      <c r="AJ24" s="165"/>
      <c r="AK24" s="165"/>
      <c r="AL24" s="165"/>
      <c r="AM24" s="165"/>
      <c r="AN24" s="165"/>
      <c r="AO24" s="165"/>
      <c r="AP24" s="165"/>
      <c r="AQ24" s="165"/>
      <c r="AR24" s="165"/>
      <c r="AS24" s="165"/>
      <c r="AT24" s="165"/>
      <c r="AU24" s="165"/>
      <c r="AV24" s="165"/>
      <c r="AW24" s="165"/>
      <c r="AX24" s="165"/>
      <c r="AY24" s="165"/>
      <c r="AZ24" s="165"/>
      <c r="BA24" s="165"/>
      <c r="BB24" s="165"/>
      <c r="BC24" s="165"/>
      <c r="BD24" s="165"/>
      <c r="BE24" s="165"/>
      <c r="BF24" s="165"/>
      <c r="BG24" s="165"/>
      <c r="BH24" s="165"/>
      <c r="BI24" s="165"/>
      <c r="BJ24" s="165"/>
      <c r="BK24" s="165"/>
      <c r="BL24" s="165"/>
      <c r="BM24" s="165"/>
      <c r="BN24" s="165"/>
      <c r="BO24" s="165"/>
      <c r="BP24" s="165"/>
      <c r="BQ24" s="165"/>
      <c r="BR24" s="165"/>
      <c r="BS24" s="165"/>
      <c r="BT24" s="165"/>
      <c r="BU24" s="165"/>
      <c r="BV24" s="165"/>
      <c r="BW24" s="165"/>
      <c r="BX24" s="165"/>
      <c r="BY24" s="165"/>
      <c r="BZ24" s="165"/>
      <c r="CA24" s="165"/>
    </row>
    <row r="25" spans="1:79" s="741" customFormat="1">
      <c r="A25" s="745" t="s">
        <v>170</v>
      </c>
      <c r="B25" s="741">
        <f>SUMIF($D$4:$CA$4,$B$4,D25:CA25)</f>
        <v>330112456.6872229</v>
      </c>
      <c r="C25" s="741">
        <f>SUMIF($D$4:$CA$4,$C$4,D25:CA25)</f>
        <v>5603264024.4083328</v>
      </c>
      <c r="D25" s="741">
        <f>'P &amp; NP'!Q7</f>
        <v>4955552</v>
      </c>
      <c r="E25" s="741">
        <f>'P &amp; NP'!R7</f>
        <v>161184283.579</v>
      </c>
      <c r="F25" s="741">
        <f>'P &amp; NP'!AG7</f>
        <v>7302170</v>
      </c>
      <c r="G25" s="741">
        <f>'P &amp; NP'!AH7</f>
        <v>290494390</v>
      </c>
      <c r="H25" s="741">
        <f>'P &amp; NP'!AW7</f>
        <v>4138180</v>
      </c>
      <c r="I25" s="741">
        <f>'P &amp; NP'!AX7</f>
        <v>95031940</v>
      </c>
      <c r="J25" s="741">
        <f>'P &amp; NP'!BM7</f>
        <v>1611035</v>
      </c>
      <c r="K25" s="741">
        <f>'P &amp; NP'!BN7</f>
        <v>32154919</v>
      </c>
      <c r="L25" s="741">
        <f>'P &amp; NP'!CC7</f>
        <v>226594</v>
      </c>
      <c r="M25" s="741">
        <f>'P &amp; NP'!CD7</f>
        <v>4871029</v>
      </c>
      <c r="N25" s="741">
        <f>'P &amp; NP'!CS7</f>
        <v>40844408.346231222</v>
      </c>
      <c r="O25" s="741">
        <f>'P &amp; NP'!CT7</f>
        <v>937843455.59233379</v>
      </c>
      <c r="P25" s="741">
        <f>'P &amp; NP'!DI7</f>
        <v>4228988.0009917049</v>
      </c>
      <c r="Q25" s="741">
        <f>'P &amp; NP'!DJ7</f>
        <v>110725999.02399999</v>
      </c>
      <c r="R25" s="741">
        <f>'P &amp; NP'!DY7</f>
        <v>3845700</v>
      </c>
      <c r="S25" s="741">
        <f>'P &amp; NP'!DZ7</f>
        <v>68454750</v>
      </c>
      <c r="T25" s="741">
        <f>'P &amp; NP'!EO7</f>
        <v>6417120</v>
      </c>
      <c r="U25" s="741">
        <f>'P &amp; NP'!EP7</f>
        <v>120453120</v>
      </c>
      <c r="V25" s="741">
        <f>'P &amp; NP'!FE7</f>
        <v>13960780</v>
      </c>
      <c r="W25" s="741">
        <f>'P &amp; NP'!FF7</f>
        <v>470042912</v>
      </c>
      <c r="X25" s="741">
        <f>'P &amp; NP'!FU7</f>
        <v>1312000.3999999999</v>
      </c>
      <c r="Y25" s="741">
        <f>'P &amp; NP'!FV7</f>
        <v>48116047</v>
      </c>
      <c r="Z25" s="741">
        <f>'P &amp; NP'!GK7</f>
        <v>983300</v>
      </c>
      <c r="AA25" s="741">
        <f>'P &amp; NP'!GL7</f>
        <v>20204450</v>
      </c>
      <c r="AB25" s="741">
        <f>'P &amp; NP'!HA7</f>
        <v>483580</v>
      </c>
      <c r="AC25" s="741">
        <f>'P &amp; NP'!HB7</f>
        <v>9456525</v>
      </c>
      <c r="AD25" s="741">
        <f>'P &amp; NP'!HQ7</f>
        <v>3821300</v>
      </c>
      <c r="AE25" s="741">
        <f>'P &amp; NP'!HR7</f>
        <v>87392500</v>
      </c>
      <c r="AF25" s="741">
        <f>'P &amp; NP'!IG7</f>
        <v>460500</v>
      </c>
      <c r="AG25" s="741">
        <f>'P &amp; NP'!IH7</f>
        <v>9563430</v>
      </c>
      <c r="AH25" s="741">
        <f>'P &amp; NP'!IW7</f>
        <v>3007000</v>
      </c>
      <c r="AI25" s="741">
        <f>'P &amp; NP'!IX7</f>
        <v>58594480</v>
      </c>
      <c r="AJ25" s="741">
        <f>'P &amp; NP'!JM7</f>
        <v>1129257</v>
      </c>
      <c r="AK25" s="741">
        <f>'P &amp; NP'!JN7</f>
        <v>21502929</v>
      </c>
      <c r="AL25" s="741">
        <f>'P &amp; NP'!KC7</f>
        <v>547268</v>
      </c>
      <c r="AM25" s="741">
        <f>'P &amp; NP'!KD7</f>
        <v>33854290</v>
      </c>
      <c r="AN25" s="741">
        <f>'P &amp; NP'!KS7</f>
        <v>315064</v>
      </c>
      <c r="AO25" s="741">
        <f>'P &amp; NP'!KT7</f>
        <v>13404519</v>
      </c>
      <c r="AP25" s="741">
        <f>'P &amp; NP'!LI7</f>
        <v>6438657.5600000005</v>
      </c>
      <c r="AQ25" s="741">
        <f>'P &amp; NP'!LJ7</f>
        <v>122301542</v>
      </c>
      <c r="AR25" s="741">
        <f>'P &amp; NP'!LY7</f>
        <v>572473</v>
      </c>
      <c r="AS25" s="741">
        <f>'P &amp; NP'!LZ7</f>
        <v>11676163.5</v>
      </c>
      <c r="AT25" s="741">
        <f>'P &amp; NP'!MO7</f>
        <v>4712900</v>
      </c>
      <c r="AU25" s="741">
        <f>'P &amp; NP'!MP7</f>
        <v>257554250</v>
      </c>
      <c r="AV25" s="741">
        <f>'P &amp; NP'!NE7</f>
        <v>314645</v>
      </c>
      <c r="AW25" s="741">
        <f>'P &amp; NP'!NF7</f>
        <v>13943373</v>
      </c>
      <c r="AX25" s="741">
        <f>'P &amp; NP'!NU7</f>
        <v>26443381</v>
      </c>
      <c r="AY25" s="741">
        <f>'P &amp; NP'!NV7</f>
        <v>648249665</v>
      </c>
      <c r="AZ25" s="741">
        <f>'P &amp; NP'!OK7</f>
        <v>2983727</v>
      </c>
      <c r="BA25" s="741">
        <f>'P &amp; NP'!OL7</f>
        <v>141709092</v>
      </c>
      <c r="BB25" s="741">
        <f>'P &amp; NP'!PA7</f>
        <v>156973535.19999999</v>
      </c>
      <c r="BC25" s="741">
        <f>'P &amp; NP'!PB7</f>
        <v>1044183439.2</v>
      </c>
      <c r="BD25" s="741">
        <f>'P &amp; NP'!PQ7</f>
        <v>1330814</v>
      </c>
      <c r="BE25" s="741">
        <f>'P &amp; NP'!PR7</f>
        <v>26764559</v>
      </c>
      <c r="BF25" s="741">
        <f>'P &amp; NP'!QG7</f>
        <v>14404740</v>
      </c>
      <c r="BG25" s="741">
        <f>'P &amp; NP'!QH7</f>
        <v>395438355.41100001</v>
      </c>
      <c r="BH25" s="741">
        <f>'P &amp; NP'!QW7</f>
        <v>12372000</v>
      </c>
      <c r="BI25" s="741">
        <f>'P &amp; NP'!QX7</f>
        <v>238251000</v>
      </c>
      <c r="BJ25" s="741">
        <f>'P &amp; NP'!RM7</f>
        <v>15201</v>
      </c>
      <c r="BK25" s="741">
        <f>'P &amp; NP'!RN7</f>
        <v>373093</v>
      </c>
      <c r="BL25" s="741">
        <f>'P &amp; NP'!SC7</f>
        <v>68430</v>
      </c>
      <c r="BM25" s="741">
        <f>'P &amp; NP'!SD7</f>
        <v>1410230</v>
      </c>
      <c r="BN25" s="741">
        <f>'P &amp; NP'!SS7</f>
        <v>50900</v>
      </c>
      <c r="BO25" s="741">
        <f>'P &amp; NP'!ST7</f>
        <v>974300</v>
      </c>
      <c r="BP25" s="741">
        <f>'P &amp; NP'!TI7</f>
        <v>91944.98</v>
      </c>
      <c r="BQ25" s="741">
        <f>'P &amp; NP'!TJ7</f>
        <v>2034943.4</v>
      </c>
      <c r="BR25" s="741">
        <f>'P &amp; NP'!TY7</f>
        <v>47000</v>
      </c>
      <c r="BS25" s="741">
        <f>'P &amp; NP'!TZ7</f>
        <v>1013250</v>
      </c>
      <c r="BT25" s="741">
        <f>'P &amp; NP'!UO7</f>
        <v>57330</v>
      </c>
      <c r="BU25" s="741">
        <f>'P &amp; NP'!UP7</f>
        <v>1049882.0019999999</v>
      </c>
      <c r="BV25" s="741">
        <f>'P &amp; NP'!VE7</f>
        <v>656266</v>
      </c>
      <c r="BW25" s="741">
        <f>'P &amp; NP'!VF7</f>
        <v>5852995</v>
      </c>
      <c r="BX25" s="741">
        <f>'P &amp; NP'!VU7</f>
        <v>94015.2</v>
      </c>
      <c r="BY25" s="741">
        <f>'P &amp; NP'!VV7</f>
        <v>2807869.7</v>
      </c>
      <c r="BZ25" s="741">
        <f>'P &amp; NP'!WK7</f>
        <v>2894700</v>
      </c>
      <c r="CA25" s="741">
        <f>'P &amp; NP'!WL7</f>
        <v>94330054</v>
      </c>
    </row>
    <row r="26" spans="1:79" s="741" customFormat="1">
      <c r="A26" s="745" t="s">
        <v>171</v>
      </c>
      <c r="B26" s="741">
        <f t="shared" ref="B26:B28" si="15">SUMIF($D$4:$CA$4,$B$4,D26:CA26)</f>
        <v>350946945.5762316</v>
      </c>
      <c r="C26" s="741">
        <f t="shared" ref="C26:C28" si="16">SUMIF($D$4:$CA$4,$C$4,D26:CA26)</f>
        <v>5440004666.3943243</v>
      </c>
      <c r="D26" s="741">
        <f>'P &amp; NP'!Q8</f>
        <v>2036285</v>
      </c>
      <c r="E26" s="741">
        <f>'P &amp; NP'!R8</f>
        <v>65676304.509000003</v>
      </c>
      <c r="F26" s="741">
        <f>'P &amp; NP'!AG8</f>
        <v>7548854</v>
      </c>
      <c r="G26" s="741">
        <f>'P &amp; NP'!AH8</f>
        <v>318937010</v>
      </c>
      <c r="H26" s="741">
        <f>'P &amp; NP'!AW8</f>
        <v>4447740</v>
      </c>
      <c r="I26" s="741">
        <f>'P &amp; NP'!AX8</f>
        <v>102433760</v>
      </c>
      <c r="J26" s="741">
        <f>'P &amp; NP'!BM8</f>
        <v>1266706</v>
      </c>
      <c r="K26" s="741">
        <f>'P &amp; NP'!BN8</f>
        <v>25744508</v>
      </c>
      <c r="L26" s="741">
        <f>'P &amp; NP'!CC8</f>
        <v>206553</v>
      </c>
      <c r="M26" s="741">
        <f>'P &amp; NP'!CD8</f>
        <v>4431970</v>
      </c>
      <c r="N26" s="741">
        <f>'P &amp; NP'!CS8</f>
        <v>40844019.987881131</v>
      </c>
      <c r="O26" s="741">
        <f>'P &amp; NP'!CT8</f>
        <v>961394320.91232419</v>
      </c>
      <c r="P26" s="741">
        <f>'P &amp; NP'!DI8</f>
        <v>3332124.9983504312</v>
      </c>
      <c r="Q26" s="741">
        <f>'P &amp; NP'!DJ8</f>
        <v>108795590.04899999</v>
      </c>
      <c r="R26" s="741">
        <f>'P &amp; NP'!DY8</f>
        <v>3727800</v>
      </c>
      <c r="S26" s="741">
        <f>'P &amp; NP'!DZ8</f>
        <v>66539750</v>
      </c>
      <c r="T26" s="741">
        <f>'P &amp; NP'!EO8</f>
        <v>6917120</v>
      </c>
      <c r="U26" s="741">
        <f>'P &amp; NP'!EP8</f>
        <v>129541360</v>
      </c>
      <c r="V26" s="741">
        <f>'P &amp; NP'!FE8</f>
        <v>28179906</v>
      </c>
      <c r="W26" s="741">
        <f>'P &amp; NP'!FF8</f>
        <v>771527012</v>
      </c>
      <c r="X26" s="741">
        <f>'P &amp; NP'!FU8</f>
        <v>1263317</v>
      </c>
      <c r="Y26" s="741">
        <f>'P &amp; NP'!FV8</f>
        <v>45701162</v>
      </c>
      <c r="Z26" s="741">
        <f>'P &amp; NP'!GK8</f>
        <v>990800</v>
      </c>
      <c r="AA26" s="741">
        <f>'P &amp; NP'!GL8</f>
        <v>20675625</v>
      </c>
      <c r="AB26" s="741">
        <f>'P &amp; NP'!HA8</f>
        <v>483700</v>
      </c>
      <c r="AC26" s="741">
        <f>'P &amp; NP'!HB8</f>
        <v>9442450</v>
      </c>
      <c r="AD26" s="741">
        <f>'P &amp; NP'!HQ8</f>
        <v>3421500</v>
      </c>
      <c r="AE26" s="741">
        <f>'P &amp; NP'!HR8</f>
        <v>85961500</v>
      </c>
      <c r="AF26" s="741">
        <f>'P &amp; NP'!IG8</f>
        <v>445760</v>
      </c>
      <c r="AG26" s="741">
        <f>'P &amp; NP'!IH8</f>
        <v>8324256</v>
      </c>
      <c r="AH26" s="741">
        <f>'P &amp; NP'!IW8</f>
        <v>2898000</v>
      </c>
      <c r="AI26" s="741">
        <f>'P &amp; NP'!IX8</f>
        <v>58688025</v>
      </c>
      <c r="AJ26" s="741">
        <f>'P &amp; NP'!JM8</f>
        <v>1146447</v>
      </c>
      <c r="AK26" s="741">
        <f>'P &amp; NP'!JN8</f>
        <v>21768235</v>
      </c>
      <c r="AL26" s="741">
        <f>'P &amp; NP'!KC8</f>
        <v>588584</v>
      </c>
      <c r="AM26" s="741">
        <f>'P &amp; NP'!KD8</f>
        <v>34410482</v>
      </c>
      <c r="AN26" s="741">
        <f>'P &amp; NP'!KS8</f>
        <v>276481</v>
      </c>
      <c r="AO26" s="741">
        <f>'P &amp; NP'!KT8</f>
        <v>9535800</v>
      </c>
      <c r="AP26" s="741">
        <f>'P &amp; NP'!LI8</f>
        <v>5936675.120000001</v>
      </c>
      <c r="AQ26" s="741">
        <f>'P &amp; NP'!LJ8</f>
        <v>108131919</v>
      </c>
      <c r="AR26" s="741">
        <f>'P &amp; NP'!LY8</f>
        <v>577915</v>
      </c>
      <c r="AS26" s="741">
        <f>'P &amp; NP'!LZ8</f>
        <v>11951786.699999999</v>
      </c>
      <c r="AT26" s="741">
        <f>'P &amp; NP'!MO8</f>
        <v>3886590</v>
      </c>
      <c r="AU26" s="741">
        <f>'P &amp; NP'!MP8</f>
        <v>203329430</v>
      </c>
      <c r="AV26" s="741">
        <f>'P &amp; NP'!NE8</f>
        <v>357367</v>
      </c>
      <c r="AW26" s="741">
        <f>'P &amp; NP'!NF8</f>
        <v>17040246</v>
      </c>
      <c r="AX26" s="741">
        <f>'P &amp; NP'!NU8</f>
        <v>26639452</v>
      </c>
      <c r="AY26" s="741">
        <f>'P &amp; NP'!NV8</f>
        <v>552800006</v>
      </c>
      <c r="AZ26" s="741">
        <f>'P &amp; NP'!OK8</f>
        <v>3120155</v>
      </c>
      <c r="BA26" s="741">
        <f>'P &amp; NP'!OL8</f>
        <v>149861722</v>
      </c>
      <c r="BB26" s="741">
        <f>'P &amp; NP'!PA8</f>
        <v>169529053.5</v>
      </c>
      <c r="BC26" s="741">
        <f>'P &amp; NP'!PB8</f>
        <v>794892011.5</v>
      </c>
      <c r="BD26" s="741">
        <f>'P &amp; NP'!PQ8</f>
        <v>1396536</v>
      </c>
      <c r="BE26" s="741">
        <f>'P &amp; NP'!PR8</f>
        <v>29972976.5</v>
      </c>
      <c r="BF26" s="741">
        <f>'P &amp; NP'!QG8</f>
        <v>12346920</v>
      </c>
      <c r="BG26" s="741">
        <f>'P &amp; NP'!QH8</f>
        <v>336947190</v>
      </c>
      <c r="BH26" s="741">
        <f>'P &amp; NP'!QW8</f>
        <v>13819500</v>
      </c>
      <c r="BI26" s="741">
        <f>'P &amp; NP'!QX8</f>
        <v>300013000</v>
      </c>
      <c r="BJ26" s="741">
        <f>'P &amp; NP'!RM8</f>
        <v>15830</v>
      </c>
      <c r="BK26" s="741">
        <f>'P &amp; NP'!RN8</f>
        <v>378610</v>
      </c>
      <c r="BL26" s="741">
        <f>'P &amp; NP'!SC8</f>
        <v>62700</v>
      </c>
      <c r="BM26" s="741">
        <f>'P &amp; NP'!SD8</f>
        <v>1294500</v>
      </c>
      <c r="BN26" s="741">
        <f>'P &amp; NP'!SS8</f>
        <v>47600</v>
      </c>
      <c r="BO26" s="741">
        <f>'P &amp; NP'!ST8</f>
        <v>915600</v>
      </c>
      <c r="BP26" s="741">
        <f>'P &amp; NP'!TI8</f>
        <v>82789.97</v>
      </c>
      <c r="BQ26" s="741">
        <f>'P &amp; NP'!TJ8</f>
        <v>1872530.2220000001</v>
      </c>
      <c r="BR26" s="741">
        <f>'P &amp; NP'!TY8</f>
        <v>35000</v>
      </c>
      <c r="BS26" s="741">
        <f>'P &amp; NP'!TZ8</f>
        <v>774800</v>
      </c>
      <c r="BT26" s="741">
        <f>'P &amp; NP'!UO8</f>
        <v>56644</v>
      </c>
      <c r="BU26" s="741">
        <f>'P &amp; NP'!UP8</f>
        <v>1036437.002</v>
      </c>
      <c r="BV26" s="741">
        <f>'P &amp; NP'!VE8</f>
        <v>658742</v>
      </c>
      <c r="BW26" s="741">
        <f>'P &amp; NP'!VF8</f>
        <v>6031344</v>
      </c>
      <c r="BX26" s="741">
        <f>'P &amp; NP'!VU8</f>
        <v>83148</v>
      </c>
      <c r="BY26" s="741">
        <f>'P &amp; NP'!VV8</f>
        <v>2630897</v>
      </c>
      <c r="BZ26" s="741">
        <f>'P &amp; NP'!WK8</f>
        <v>2272630</v>
      </c>
      <c r="CA26" s="741">
        <f>'P &amp; NP'!WL8</f>
        <v>70600540</v>
      </c>
    </row>
    <row r="27" spans="1:79" s="741" customFormat="1">
      <c r="A27" s="745" t="s">
        <v>172</v>
      </c>
      <c r="B27" s="741">
        <f t="shared" si="15"/>
        <v>384636551.36981368</v>
      </c>
      <c r="C27" s="741">
        <f t="shared" si="16"/>
        <v>5241823556.004549</v>
      </c>
      <c r="D27" s="741">
        <f>'P &amp; NP'!Q9</f>
        <v>1756770</v>
      </c>
      <c r="E27" s="741">
        <f>'P &amp; NP'!R9</f>
        <v>59816935.511999995</v>
      </c>
      <c r="F27" s="741">
        <f>'P &amp; NP'!AG9</f>
        <v>7722350</v>
      </c>
      <c r="G27" s="741">
        <f>'P &amp; NP'!AH9</f>
        <v>331260465</v>
      </c>
      <c r="H27" s="741">
        <f>'P &amp; NP'!AW9</f>
        <v>4279860</v>
      </c>
      <c r="I27" s="741">
        <f>'P &amp; NP'!AX9</f>
        <v>101003140</v>
      </c>
      <c r="J27" s="741">
        <f>'P &amp; NP'!BM9</f>
        <v>1063822</v>
      </c>
      <c r="K27" s="741">
        <f>'P &amp; NP'!BN9</f>
        <v>21509096.5</v>
      </c>
      <c r="L27" s="741">
        <f>'P &amp; NP'!CC9</f>
        <v>202717</v>
      </c>
      <c r="M27" s="741">
        <f>'P &amp; NP'!CD9</f>
        <v>4353094</v>
      </c>
      <c r="N27" s="741">
        <f>'P &amp; NP'!CS9</f>
        <v>40001284.342798188</v>
      </c>
      <c r="O27" s="741">
        <f>'P &amp; NP'!CT9</f>
        <v>856434999.97154915</v>
      </c>
      <c r="P27" s="741">
        <f>'P &amp; NP'!DI9</f>
        <v>4388839.9370154981</v>
      </c>
      <c r="Q27" s="741">
        <f>'P &amp; NP'!DJ9</f>
        <v>145576493.82100001</v>
      </c>
      <c r="R27" s="741">
        <f>'P &amp; NP'!DY9</f>
        <v>3551900</v>
      </c>
      <c r="S27" s="741">
        <f>'P &amp; NP'!DZ9</f>
        <v>63831100</v>
      </c>
      <c r="T27" s="741">
        <f>'P &amp; NP'!EO9</f>
        <v>6098785</v>
      </c>
      <c r="U27" s="741">
        <f>'P &amp; NP'!EP9</f>
        <v>114743815</v>
      </c>
      <c r="V27" s="741">
        <f>'P &amp; NP'!FE9</f>
        <v>3015313</v>
      </c>
      <c r="W27" s="741">
        <f>'P &amp; NP'!FF9</f>
        <v>106659122</v>
      </c>
      <c r="X27" s="741">
        <f>'P &amp; NP'!FU9</f>
        <v>1250893</v>
      </c>
      <c r="Y27" s="741">
        <f>'P &amp; NP'!FV9</f>
        <v>44573395</v>
      </c>
      <c r="Z27" s="741">
        <f>'P &amp; NP'!GK9</f>
        <v>881450</v>
      </c>
      <c r="AA27" s="741">
        <f>'P &amp; NP'!GL9</f>
        <v>17667500</v>
      </c>
      <c r="AB27" s="741">
        <f>'P &amp; NP'!HA9</f>
        <v>430990</v>
      </c>
      <c r="AC27" s="741">
        <f>'P &amp; NP'!HB9</f>
        <v>8348585</v>
      </c>
      <c r="AD27" s="741">
        <f>'P &amp; NP'!HQ9</f>
        <v>2417000</v>
      </c>
      <c r="AE27" s="741">
        <f>'P &amp; NP'!HR9</f>
        <v>66720000</v>
      </c>
      <c r="AF27" s="741">
        <f>'P &amp; NP'!IG9</f>
        <v>447498</v>
      </c>
      <c r="AG27" s="741">
        <f>'P &amp; NP'!IH9</f>
        <v>8484014</v>
      </c>
      <c r="AH27" s="741">
        <f>'P &amp; NP'!IW9</f>
        <v>2520000</v>
      </c>
      <c r="AI27" s="741">
        <f>'P &amp; NP'!IX9</f>
        <v>48442539</v>
      </c>
      <c r="AJ27" s="741">
        <f>'P &amp; NP'!JM9</f>
        <v>1141012</v>
      </c>
      <c r="AK27" s="741">
        <f>'P &amp; NP'!JN9</f>
        <v>21673714</v>
      </c>
      <c r="AL27" s="741">
        <f>'P &amp; NP'!KC9</f>
        <v>741911</v>
      </c>
      <c r="AM27" s="741">
        <f>'P &amp; NP'!KD9</f>
        <v>46123334</v>
      </c>
      <c r="AN27" s="741">
        <f>'P &amp; NP'!KS9</f>
        <v>290010</v>
      </c>
      <c r="AO27" s="741">
        <f>'P &amp; NP'!KT9</f>
        <v>10751639</v>
      </c>
      <c r="AP27" s="741">
        <f>'P &amp; NP'!LI9</f>
        <v>6880319.3900000006</v>
      </c>
      <c r="AQ27" s="741">
        <f>'P &amp; NP'!LJ9</f>
        <v>109980895</v>
      </c>
      <c r="AR27" s="741">
        <f>'P &amp; NP'!LY9</f>
        <v>516576</v>
      </c>
      <c r="AS27" s="741">
        <f>'P &amp; NP'!LZ9</f>
        <v>10495218</v>
      </c>
      <c r="AT27" s="741">
        <f>'P &amp; NP'!MO9</f>
        <v>4027208</v>
      </c>
      <c r="AU27" s="741">
        <f>'P &amp; NP'!MP9</f>
        <v>187458905</v>
      </c>
      <c r="AV27" s="741">
        <f>'P &amp; NP'!NE9</f>
        <v>147370</v>
      </c>
      <c r="AW27" s="741">
        <f>'P &amp; NP'!NF9</f>
        <v>5240600</v>
      </c>
      <c r="AX27" s="741">
        <f>'P &amp; NP'!NU9</f>
        <v>31984704</v>
      </c>
      <c r="AY27" s="741">
        <f>'P &amp; NP'!NV9</f>
        <v>691360002</v>
      </c>
      <c r="AZ27" s="741">
        <f>'P &amp; NP'!OK9</f>
        <v>3096410</v>
      </c>
      <c r="BA27" s="741">
        <f>'P &amp; NP'!OL9</f>
        <v>150377634</v>
      </c>
      <c r="BB27" s="741">
        <f>'P &amp; NP'!PA9</f>
        <v>228142364.69999999</v>
      </c>
      <c r="BC27" s="741">
        <f>'P &amp; NP'!PB9</f>
        <v>1347858741.2</v>
      </c>
      <c r="BD27" s="741">
        <f>'P &amp; NP'!PQ9</f>
        <v>1236445</v>
      </c>
      <c r="BE27" s="741">
        <f>'P &amp; NP'!PR9</f>
        <v>24695150</v>
      </c>
      <c r="BF27" s="741">
        <f>'P &amp; NP'!QG9</f>
        <v>9774670</v>
      </c>
      <c r="BG27" s="741">
        <f>'P &amp; NP'!QH9</f>
        <v>289385795</v>
      </c>
      <c r="BH27" s="741">
        <f>'P &amp; NP'!QW9</f>
        <v>13208500</v>
      </c>
      <c r="BI27" s="741">
        <f>'P &amp; NP'!QX9</f>
        <v>265912500</v>
      </c>
      <c r="BJ27" s="741">
        <f>'P &amp; NP'!RM9</f>
        <v>16883</v>
      </c>
      <c r="BK27" s="741">
        <f>'P &amp; NP'!RN9</f>
        <v>405511</v>
      </c>
      <c r="BL27" s="741">
        <f>'P &amp; NP'!SC9</f>
        <v>61140</v>
      </c>
      <c r="BM27" s="741">
        <f>'P &amp; NP'!SD9</f>
        <v>1339425</v>
      </c>
      <c r="BN27" s="741">
        <f>'P &amp; NP'!SS9</f>
        <v>46300</v>
      </c>
      <c r="BO27" s="741">
        <f>'P &amp; NP'!ST9</f>
        <v>896950</v>
      </c>
      <c r="BP27" s="741">
        <f>'P &amp; NP'!TI9</f>
        <v>55365</v>
      </c>
      <c r="BQ27" s="741">
        <f>'P &amp; NP'!TJ9</f>
        <v>1204346</v>
      </c>
      <c r="BR27" s="741">
        <f>'P &amp; NP'!TY9</f>
        <v>25000</v>
      </c>
      <c r="BS27" s="741">
        <f>'P &amp; NP'!TZ9</f>
        <v>534500</v>
      </c>
      <c r="BT27" s="741">
        <f>'P &amp; NP'!UO9</f>
        <v>56868</v>
      </c>
      <c r="BU27" s="741">
        <f>'P &amp; NP'!UP9</f>
        <v>1040735</v>
      </c>
      <c r="BV27" s="741">
        <f>'P &amp; NP'!VE9</f>
        <v>736177</v>
      </c>
      <c r="BW27" s="741">
        <f>'P &amp; NP'!VF9</f>
        <v>5435097</v>
      </c>
      <c r="BX27" s="741">
        <f>'P &amp; NP'!VU9</f>
        <v>59606</v>
      </c>
      <c r="BY27" s="741">
        <f>'P &amp; NP'!VV9</f>
        <v>1684960</v>
      </c>
      <c r="BZ27" s="741">
        <f>'P &amp; NP'!WK9</f>
        <v>2362240</v>
      </c>
      <c r="CA27" s="741">
        <f>'P &amp; NP'!WL9</f>
        <v>68543610</v>
      </c>
    </row>
    <row r="28" spans="1:79" s="741" customFormat="1">
      <c r="A28" s="745" t="s">
        <v>173</v>
      </c>
      <c r="B28" s="741">
        <f t="shared" si="15"/>
        <v>376637039.58380955</v>
      </c>
      <c r="C28" s="741">
        <f t="shared" si="16"/>
        <v>5253137303.9832497</v>
      </c>
      <c r="D28" s="741">
        <f>'P &amp; NP'!Q10</f>
        <v>6333000</v>
      </c>
      <c r="E28" s="741">
        <f>'P &amp; NP'!R10</f>
        <v>263069900</v>
      </c>
      <c r="F28" s="741">
        <f>'P &amp; NP'!AG10</f>
        <v>8073061</v>
      </c>
      <c r="G28" s="741">
        <f>'P &amp; NP'!AH10</f>
        <v>317041190</v>
      </c>
      <c r="H28" s="741">
        <f>'P &amp; NP'!AW10</f>
        <v>4870645</v>
      </c>
      <c r="I28" s="741">
        <f>'P &amp; NP'!AX10</f>
        <v>115715080</v>
      </c>
      <c r="J28" s="741">
        <f>'P &amp; NP'!BM10</f>
        <v>1442565</v>
      </c>
      <c r="K28" s="741">
        <f>'P &amp; NP'!BN10</f>
        <v>28452704</v>
      </c>
      <c r="L28" s="741">
        <f>'P &amp; NP'!CC10</f>
        <v>213452</v>
      </c>
      <c r="M28" s="741">
        <f>'P &amp; NP'!CD10</f>
        <v>4595376</v>
      </c>
      <c r="N28" s="741">
        <f>'P &amp; NP'!CS10</f>
        <v>38749361.850006089</v>
      </c>
      <c r="O28" s="741">
        <f>'P &amp; NP'!CT10</f>
        <v>789282944.83024943</v>
      </c>
      <c r="P28" s="741">
        <f>'P &amp; NP'!DI10</f>
        <v>4460762.5338034537</v>
      </c>
      <c r="Q28" s="741">
        <f>'P &amp; NP'!DJ10</f>
        <v>143982533.123</v>
      </c>
      <c r="R28" s="741">
        <f>'P &amp; NP'!DY10</f>
        <v>3666600</v>
      </c>
      <c r="S28" s="741">
        <f>'P &amp; NP'!DZ10</f>
        <v>70797100</v>
      </c>
      <c r="T28" s="741">
        <f>'P &amp; NP'!EO10</f>
        <v>6081250</v>
      </c>
      <c r="U28" s="741">
        <f>'P &amp; NP'!EP10</f>
        <v>117905070</v>
      </c>
      <c r="V28" s="741">
        <f>'P &amp; NP'!FE10</f>
        <v>1785848</v>
      </c>
      <c r="W28" s="741">
        <f>'P &amp; NP'!FF10</f>
        <v>81624479</v>
      </c>
      <c r="X28" s="741">
        <f>'P &amp; NP'!FU10</f>
        <v>1285386</v>
      </c>
      <c r="Y28" s="741">
        <f>'P &amp; NP'!FV10</f>
        <v>46281330.5</v>
      </c>
      <c r="Z28" s="741">
        <f>'P &amp; NP'!GK10</f>
        <v>994550</v>
      </c>
      <c r="AA28" s="741">
        <f>'P &amp; NP'!GL10</f>
        <v>20816050</v>
      </c>
      <c r="AB28" s="741">
        <f>'P &amp; NP'!HA10</f>
        <v>462010</v>
      </c>
      <c r="AC28" s="741">
        <f>'P &amp; NP'!HB10</f>
        <v>8891595</v>
      </c>
      <c r="AD28" s="741">
        <f>'P &amp; NP'!HQ10</f>
        <v>3604500</v>
      </c>
      <c r="AE28" s="741">
        <f>'P &amp; NP'!HR10</f>
        <v>95569000</v>
      </c>
      <c r="AF28" s="741">
        <f>'P &amp; NP'!IG10</f>
        <v>462860</v>
      </c>
      <c r="AG28" s="741">
        <f>'P &amp; NP'!IH10</f>
        <v>8615600</v>
      </c>
      <c r="AH28" s="741">
        <f>'P &amp; NP'!IW10</f>
        <v>2605000</v>
      </c>
      <c r="AI28" s="741">
        <f>'P &amp; NP'!IX10</f>
        <v>52072960</v>
      </c>
      <c r="AJ28" s="741">
        <f>'P &amp; NP'!JM10</f>
        <v>1096742</v>
      </c>
      <c r="AK28" s="741">
        <f>'P &amp; NP'!JN10</f>
        <v>20841606</v>
      </c>
      <c r="AL28" s="741">
        <f>'P &amp; NP'!KC10</f>
        <v>785699</v>
      </c>
      <c r="AM28" s="741">
        <f>'P &amp; NP'!KD10</f>
        <v>47353284</v>
      </c>
      <c r="AN28" s="741">
        <f>'P &amp; NP'!KS10</f>
        <v>434138</v>
      </c>
      <c r="AO28" s="741">
        <f>'P &amp; NP'!KT10</f>
        <v>15614062</v>
      </c>
      <c r="AP28" s="741">
        <f>'P &amp; NP'!LI10</f>
        <v>6039522.2000000002</v>
      </c>
      <c r="AQ28" s="741">
        <f>'P &amp; NP'!LJ10</f>
        <v>106704250</v>
      </c>
      <c r="AR28" s="741">
        <f>'P &amp; NP'!LY10</f>
        <v>530352</v>
      </c>
      <c r="AS28" s="741">
        <f>'P &amp; NP'!LZ10</f>
        <v>10924666.530000001</v>
      </c>
      <c r="AT28" s="741">
        <f>'P &amp; NP'!MO10</f>
        <v>2806870</v>
      </c>
      <c r="AU28" s="741">
        <f>'P &amp; NP'!MP10</f>
        <v>135908590</v>
      </c>
      <c r="AV28" s="741">
        <f>'P &amp; NP'!NE10</f>
        <v>263646</v>
      </c>
      <c r="AW28" s="741">
        <f>'P &amp; NP'!NF10</f>
        <v>6925212</v>
      </c>
      <c r="AX28" s="741">
        <f>'P &amp; NP'!NU10</f>
        <v>25672150</v>
      </c>
      <c r="AY28" s="741">
        <f>'P &amp; NP'!NV10</f>
        <v>586457156</v>
      </c>
      <c r="AZ28" s="741">
        <f>'P &amp; NP'!OK10</f>
        <v>2475036</v>
      </c>
      <c r="BA28" s="741">
        <f>'P &amp; NP'!OL10</f>
        <v>93827843</v>
      </c>
      <c r="BB28" s="741">
        <f>'P &amp; NP'!PA10</f>
        <v>215627143</v>
      </c>
      <c r="BC28" s="741">
        <f>'P &amp; NP'!PB10</f>
        <v>1185547297</v>
      </c>
      <c r="BD28" s="741">
        <f>'P &amp; NP'!PQ10</f>
        <v>1124668</v>
      </c>
      <c r="BE28" s="741">
        <f>'P &amp; NP'!PR10</f>
        <v>22580497</v>
      </c>
      <c r="BF28" s="741">
        <f>'P &amp; NP'!QG10</f>
        <v>16793100</v>
      </c>
      <c r="BG28" s="741">
        <f>'P &amp; NP'!QH10</f>
        <v>427405290</v>
      </c>
      <c r="BH28" s="741">
        <f>'P &amp; NP'!QW10</f>
        <v>14351500</v>
      </c>
      <c r="BI28" s="741">
        <f>'P &amp; NP'!QX10</f>
        <v>341446000</v>
      </c>
      <c r="BJ28" s="741">
        <f>'P &amp; NP'!RM10</f>
        <v>17425</v>
      </c>
      <c r="BK28" s="741">
        <f>'P &amp; NP'!RN10</f>
        <v>418645</v>
      </c>
      <c r="BL28" s="741">
        <f>'P &amp; NP'!SC10</f>
        <v>52510</v>
      </c>
      <c r="BM28" s="741">
        <f>'P &amp; NP'!SD10</f>
        <v>1113680</v>
      </c>
      <c r="BN28" s="741">
        <f>'P &amp; NP'!SS10</f>
        <v>48300</v>
      </c>
      <c r="BO28" s="741">
        <f>'P &amp; NP'!ST10</f>
        <v>898750</v>
      </c>
      <c r="BP28" s="741">
        <f>'P &amp; NP'!TI10</f>
        <v>60525</v>
      </c>
      <c r="BQ28" s="741">
        <f>'P &amp; NP'!TJ10</f>
        <v>1295895</v>
      </c>
      <c r="BR28" s="741">
        <f>'P &amp; NP'!TY10</f>
        <v>55000</v>
      </c>
      <c r="BS28" s="741">
        <f>'P &amp; NP'!TZ10</f>
        <v>1229000</v>
      </c>
      <c r="BT28" s="741">
        <f>'P &amp; NP'!UO10</f>
        <v>57869</v>
      </c>
      <c r="BU28" s="741">
        <f>'P &amp; NP'!UP10</f>
        <v>1061338</v>
      </c>
      <c r="BV28" s="741">
        <f>'P &amp; NP'!VE10</f>
        <v>611730</v>
      </c>
      <c r="BW28" s="741">
        <f>'P &amp; NP'!VF10</f>
        <v>6199920</v>
      </c>
      <c r="BX28" s="741">
        <f>'P &amp; NP'!VU10</f>
        <v>192313</v>
      </c>
      <c r="BY28" s="741">
        <f>'P &amp; NP'!VV10</f>
        <v>6912540</v>
      </c>
      <c r="BZ28" s="741">
        <f>'P &amp; NP'!WK10</f>
        <v>2449950</v>
      </c>
      <c r="CA28" s="741">
        <f>'P &amp; NP'!WL10</f>
        <v>67758870</v>
      </c>
    </row>
    <row r="29" spans="1:79" s="747" customFormat="1" ht="15.5">
      <c r="A29" s="746" t="s">
        <v>232</v>
      </c>
      <c r="B29" s="747">
        <f>SUM(B25:B28)</f>
        <v>1442332993.2170777</v>
      </c>
      <c r="C29" s="747">
        <f>SUM(C25:C28)</f>
        <v>21538229550.790459</v>
      </c>
      <c r="D29" s="747">
        <f>'P &amp; NP'!Q11</f>
        <v>15081607</v>
      </c>
      <c r="E29" s="747">
        <f>'P &amp; NP'!R11</f>
        <v>549747423.60000002</v>
      </c>
      <c r="F29" s="747">
        <f>'P &amp; NP'!AG11</f>
        <v>30646435</v>
      </c>
      <c r="G29" s="747">
        <f>'P &amp; NP'!AH11</f>
        <v>1257733055</v>
      </c>
      <c r="H29" s="747">
        <f>'P &amp; NP'!AW11</f>
        <v>17736425</v>
      </c>
      <c r="I29" s="747">
        <f>'P &amp; NP'!AX11</f>
        <v>414183920</v>
      </c>
      <c r="J29" s="747">
        <f>'P &amp; NP'!BM11</f>
        <v>5384128</v>
      </c>
      <c r="K29" s="747">
        <f>'P &amp; NP'!BN11</f>
        <v>107861227.5</v>
      </c>
      <c r="L29" s="747">
        <f>'P &amp; NP'!CC11</f>
        <v>849316</v>
      </c>
      <c r="M29" s="747">
        <f>'P &amp; NP'!CD11</f>
        <v>18251469</v>
      </c>
      <c r="N29" s="747">
        <f>'P &amp; NP'!CS11</f>
        <v>160439074.52691662</v>
      </c>
      <c r="O29" s="747">
        <f>'P &amp; NP'!CT11</f>
        <v>3544955721.306457</v>
      </c>
      <c r="P29" s="747">
        <f>'P &amp; NP'!DI11</f>
        <v>16410715.470161086</v>
      </c>
      <c r="Q29" s="747">
        <f>'P &amp; NP'!DJ11</f>
        <v>509080616.01700002</v>
      </c>
      <c r="R29" s="747">
        <f>'P &amp; NP'!DY11</f>
        <v>14792000</v>
      </c>
      <c r="S29" s="747">
        <f>'P &amp; NP'!DZ11</f>
        <v>269622700</v>
      </c>
      <c r="T29" s="747">
        <f>'P &amp; NP'!EO11</f>
        <v>25514275</v>
      </c>
      <c r="U29" s="747">
        <f>'P &amp; NP'!EP11</f>
        <v>482643365</v>
      </c>
      <c r="V29" s="747">
        <f>'P &amp; NP'!FE11</f>
        <v>46941847</v>
      </c>
      <c r="W29" s="747">
        <f>'P &amp; NP'!FF11</f>
        <v>1429853525</v>
      </c>
      <c r="X29" s="747">
        <f>'P &amp; NP'!FU11</f>
        <v>5111596.4000000004</v>
      </c>
      <c r="Y29" s="747">
        <f>'P &amp; NP'!FV11</f>
        <v>184671934.5</v>
      </c>
      <c r="Z29" s="747">
        <f>'P &amp; NP'!GK11</f>
        <v>3850100</v>
      </c>
      <c r="AA29" s="747">
        <f>'P &amp; NP'!GL11</f>
        <v>79363625</v>
      </c>
      <c r="AB29" s="747">
        <f>'P &amp; NP'!HA11</f>
        <v>1860280</v>
      </c>
      <c r="AC29" s="747">
        <f>'P &amp; NP'!HB11</f>
        <v>36139155</v>
      </c>
      <c r="AD29" s="747">
        <f>'P &amp; NP'!HQ11</f>
        <v>13264300</v>
      </c>
      <c r="AE29" s="747">
        <f>'P &amp; NP'!HR11</f>
        <v>335643000</v>
      </c>
      <c r="AF29" s="747">
        <f>'P &amp; NP'!IG11</f>
        <v>1816618</v>
      </c>
      <c r="AG29" s="747">
        <f>'P &amp; NP'!IH11</f>
        <v>34987300</v>
      </c>
      <c r="AH29" s="747">
        <f>'P &amp; NP'!IW11</f>
        <v>11030000</v>
      </c>
      <c r="AI29" s="747">
        <f>'P &amp; NP'!IX11</f>
        <v>217798004</v>
      </c>
      <c r="AJ29" s="747">
        <f>'P &amp; NP'!JM11</f>
        <v>4513458</v>
      </c>
      <c r="AK29" s="747">
        <f>'P &amp; NP'!JN11</f>
        <v>85786484</v>
      </c>
      <c r="AL29" s="747">
        <f>'P &amp; NP'!KC11</f>
        <v>2663462</v>
      </c>
      <c r="AM29" s="747">
        <f>'P &amp; NP'!KD11</f>
        <v>161741390</v>
      </c>
      <c r="AN29" s="747">
        <f>'P &amp; NP'!KS11</f>
        <v>1315693</v>
      </c>
      <c r="AO29" s="747">
        <f>'P &amp; NP'!KT11</f>
        <v>49306020</v>
      </c>
      <c r="AP29" s="747">
        <f>'P &amp; NP'!LI11</f>
        <v>25295174.270000003</v>
      </c>
      <c r="AQ29" s="747">
        <f>'P &amp; NP'!LJ11</f>
        <v>447118606</v>
      </c>
      <c r="AR29" s="747">
        <f>'P &amp; NP'!LY11</f>
        <v>2197316</v>
      </c>
      <c r="AS29" s="747">
        <f>'P &amp; NP'!LZ11</f>
        <v>45047834.730000004</v>
      </c>
      <c r="AT29" s="747">
        <f>'P &amp; NP'!MO11</f>
        <v>15433568</v>
      </c>
      <c r="AU29" s="747">
        <f>'P &amp; NP'!MP11</f>
        <v>784251175</v>
      </c>
      <c r="AV29" s="747">
        <f>'P &amp; NP'!NE11</f>
        <v>1083028</v>
      </c>
      <c r="AW29" s="747">
        <f>'P &amp; NP'!NF11</f>
        <v>43149431</v>
      </c>
      <c r="AX29" s="747">
        <f>'P &amp; NP'!NU11</f>
        <v>110739687</v>
      </c>
      <c r="AY29" s="747">
        <f>'P &amp; NP'!NV11</f>
        <v>2478866829</v>
      </c>
      <c r="AZ29" s="747">
        <f>'P &amp; NP'!OK11</f>
        <v>11675328</v>
      </c>
      <c r="BA29" s="747">
        <f>'P &amp; NP'!OL11</f>
        <v>535776291</v>
      </c>
      <c r="BB29" s="747">
        <f>'P &amp; NP'!PA11</f>
        <v>770272096.39999998</v>
      </c>
      <c r="BC29" s="747">
        <f>'P &amp; NP'!PB11</f>
        <v>4372481488.8999996</v>
      </c>
      <c r="BD29" s="747">
        <f>'P &amp; NP'!PQ11</f>
        <v>5088463</v>
      </c>
      <c r="BE29" s="747">
        <f>'P &amp; NP'!PR11</f>
        <v>104013182.5</v>
      </c>
      <c r="BF29" s="747">
        <f>'P &amp; NP'!QG11</f>
        <v>53319430</v>
      </c>
      <c r="BG29" s="747">
        <f>'P &amp; NP'!QH11</f>
        <v>1449176630.411</v>
      </c>
      <c r="BH29" s="747">
        <f>'P &amp; NP'!QW11</f>
        <v>53751500</v>
      </c>
      <c r="BI29" s="747">
        <f>'P &amp; NP'!QX11</f>
        <v>1145622500</v>
      </c>
      <c r="BJ29" s="747">
        <f>'P &amp; NP'!RM11</f>
        <v>65339</v>
      </c>
      <c r="BK29" s="747">
        <f>'P &amp; NP'!RN11</f>
        <v>1575859</v>
      </c>
      <c r="BL29" s="747">
        <f>'P &amp; NP'!SC11</f>
        <v>244780</v>
      </c>
      <c r="BM29" s="747">
        <f>'P &amp; NP'!SD11</f>
        <v>5157835</v>
      </c>
      <c r="BN29" s="747">
        <f>'P &amp; NP'!SS11</f>
        <v>193100</v>
      </c>
      <c r="BO29" s="747">
        <f>'P &amp; NP'!ST11</f>
        <v>3685600</v>
      </c>
      <c r="BP29" s="747">
        <f>'P &amp; NP'!TI11</f>
        <v>290624.95</v>
      </c>
      <c r="BQ29" s="747">
        <f>'P &amp; NP'!TJ11</f>
        <v>6407714.6219999995</v>
      </c>
      <c r="BR29" s="747">
        <f>'P &amp; NP'!TY11</f>
        <v>162000</v>
      </c>
      <c r="BS29" s="747">
        <f>'P &amp; NP'!TZ11</f>
        <v>3551550</v>
      </c>
      <c r="BT29" s="747">
        <f>'P &amp; NP'!UO11</f>
        <v>228711</v>
      </c>
      <c r="BU29" s="747">
        <f>'P &amp; NP'!UP11</f>
        <v>4188392.0039999997</v>
      </c>
      <c r="BV29" s="747">
        <f>'P &amp; NP'!VE11</f>
        <v>2662915</v>
      </c>
      <c r="BW29" s="747">
        <f>'P &amp; NP'!VF11</f>
        <v>23519356</v>
      </c>
      <c r="BX29" s="747">
        <f>'P &amp; NP'!VU11</f>
        <v>429082.2</v>
      </c>
      <c r="BY29" s="747">
        <f>'P &amp; NP'!VV11</f>
        <v>14036266.699999999</v>
      </c>
      <c r="BZ29" s="747">
        <f>'P &amp; NP'!WK11</f>
        <v>9979520</v>
      </c>
      <c r="CA29" s="747">
        <f>'P &amp; NP'!WL11</f>
        <v>301233074</v>
      </c>
    </row>
  </sheetData>
  <mergeCells count="39">
    <mergeCell ref="D3:E3"/>
    <mergeCell ref="F3:G3"/>
    <mergeCell ref="H3:I3"/>
    <mergeCell ref="J3:K3"/>
    <mergeCell ref="L3:M3"/>
    <mergeCell ref="N3:O3"/>
    <mergeCell ref="Z3:AA3"/>
    <mergeCell ref="AB3:AC3"/>
    <mergeCell ref="AD3:AE3"/>
    <mergeCell ref="AF3:AG3"/>
    <mergeCell ref="P3:Q3"/>
    <mergeCell ref="R3:S3"/>
    <mergeCell ref="T3:U3"/>
    <mergeCell ref="V3:W3"/>
    <mergeCell ref="X3:Y3"/>
    <mergeCell ref="AV3:AW3"/>
    <mergeCell ref="AX3:AY3"/>
    <mergeCell ref="AZ3:BA3"/>
    <mergeCell ref="AH3:AI3"/>
    <mergeCell ref="AJ3:AK3"/>
    <mergeCell ref="AL3:AM3"/>
    <mergeCell ref="AN3:AO3"/>
    <mergeCell ref="AP3:AQ3"/>
    <mergeCell ref="B3:C3"/>
    <mergeCell ref="BV3:BW3"/>
    <mergeCell ref="BX3:BY3"/>
    <mergeCell ref="BZ3:CA3"/>
    <mergeCell ref="BL3:BM3"/>
    <mergeCell ref="BN3:BO3"/>
    <mergeCell ref="BP3:BQ3"/>
    <mergeCell ref="BR3:BS3"/>
    <mergeCell ref="BT3:BU3"/>
    <mergeCell ref="BB3:BC3"/>
    <mergeCell ref="BD3:BE3"/>
    <mergeCell ref="BF3:BG3"/>
    <mergeCell ref="BH3:BI3"/>
    <mergeCell ref="BJ3:BK3"/>
    <mergeCell ref="AR3:AS3"/>
    <mergeCell ref="AT3:AU3"/>
  </mergeCells>
  <hyperlinks>
    <hyperlink ref="A1" location="'DAFTAR ISI'!A1" display="BACK" xr:uid="{00000000-0004-0000-1E00-000000000000}"/>
  </hyperlinks>
  <pageMargins left="0.7" right="0.7" top="0.75" bottom="0.75" header="0.3" footer="0.3"/>
  <pageSetup paperSize="9" orientation="portrait" horizontalDpi="4294967293"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0000"/>
  </sheetPr>
  <dimension ref="A1:X168"/>
  <sheetViews>
    <sheetView zoomScale="80" zoomScaleNormal="80" workbookViewId="0">
      <pane xSplit="4" ySplit="8" topLeftCell="R9" activePane="bottomRight" state="frozen"/>
      <selection pane="topRight" activeCell="E1" sqref="E1"/>
      <selection pane="bottomLeft" activeCell="A9" sqref="A9"/>
      <selection pane="bottomRight" activeCell="R12" sqref="R12"/>
    </sheetView>
  </sheetViews>
  <sheetFormatPr defaultColWidth="9.1796875" defaultRowHeight="15.5"/>
  <cols>
    <col min="1" max="1" width="38.1796875" style="119" customWidth="1"/>
    <col min="2" max="2" width="15.81640625" style="119" customWidth="1"/>
    <col min="3" max="18" width="20.54296875" style="119" customWidth="1"/>
    <col min="19" max="19" width="15.54296875" style="183" bestFit="1" customWidth="1"/>
    <col min="20" max="20" width="16.7265625" style="183" bestFit="1" customWidth="1"/>
    <col min="21" max="21" width="15.54296875" style="855" bestFit="1" customWidth="1"/>
    <col min="22" max="22" width="16.7265625" style="856" bestFit="1" customWidth="1"/>
    <col min="23" max="24" width="13.81640625" style="119" bestFit="1" customWidth="1"/>
    <col min="25" max="16384" width="9.1796875" style="119"/>
  </cols>
  <sheetData>
    <row r="1" spans="1:22">
      <c r="A1" s="115" t="s">
        <v>245</v>
      </c>
      <c r="B1" s="119" t="s">
        <v>525</v>
      </c>
      <c r="C1" s="127"/>
      <c r="D1" s="628">
        <f>'P &amp; NP'!B1</f>
        <v>1442332993.2170775</v>
      </c>
    </row>
    <row r="2" spans="1:22" ht="16" thickBot="1">
      <c r="D2" s="628">
        <f>'P &amp; NP'!B2</f>
        <v>0</v>
      </c>
      <c r="E2" s="127">
        <f>SUM(G2,I2,K2,M2,O2,Q2)</f>
        <v>1442332993.2170775</v>
      </c>
      <c r="F2" s="127">
        <f>SUM(H2,J2,L2,N2,P2,R2)</f>
        <v>21538229550.790455</v>
      </c>
      <c r="G2" s="127">
        <f>'P &amp; NP'!WN11</f>
        <v>774415158.92607832</v>
      </c>
      <c r="H2" s="127">
        <f>'P &amp; NP'!WO11</f>
        <v>3994041159.9863362</v>
      </c>
      <c r="I2" s="127">
        <f>'P &amp; NP'!WP11</f>
        <v>282359631.46421683</v>
      </c>
      <c r="J2" s="127">
        <f>'P &amp; NP'!WQ11</f>
        <v>9677403259.5202065</v>
      </c>
      <c r="K2" s="127">
        <f>'P &amp; NP'!WT11</f>
        <v>356728672.96641648</v>
      </c>
      <c r="L2" s="127">
        <f>'P &amp; NP'!WU11</f>
        <v>7160588868.2689142</v>
      </c>
      <c r="M2" s="127">
        <f>'P &amp; NP'!WV11</f>
        <v>16250959.000366</v>
      </c>
      <c r="N2" s="127">
        <f>'P &amp; NP'!WW11</f>
        <v>444438214.01499999</v>
      </c>
      <c r="O2" s="127">
        <f>'P &amp; NP'!WX11</f>
        <v>6969165</v>
      </c>
      <c r="P2" s="127">
        <f>'P &amp; NP'!WY11</f>
        <v>129078479</v>
      </c>
      <c r="Q2" s="127">
        <f>'P &amp; NP'!WZ11</f>
        <v>5609405.8600000003</v>
      </c>
      <c r="R2" s="127">
        <f>'P &amp; NP'!XA11</f>
        <v>132679570</v>
      </c>
    </row>
    <row r="3" spans="1:22" ht="15.75" customHeight="1">
      <c r="A3" s="128"/>
      <c r="B3" s="999" t="s">
        <v>102</v>
      </c>
      <c r="C3" s="985" t="s">
        <v>234</v>
      </c>
      <c r="D3" s="986"/>
      <c r="E3" s="993" t="s">
        <v>165</v>
      </c>
      <c r="F3" s="994"/>
      <c r="G3" s="989" t="s">
        <v>34</v>
      </c>
      <c r="H3" s="981"/>
      <c r="I3" s="981" t="s">
        <v>31</v>
      </c>
      <c r="J3" s="981"/>
      <c r="K3" s="981" t="s">
        <v>32</v>
      </c>
      <c r="L3" s="981"/>
      <c r="M3" s="981" t="s">
        <v>37</v>
      </c>
      <c r="N3" s="981"/>
      <c r="O3" s="981" t="s">
        <v>33</v>
      </c>
      <c r="P3" s="981"/>
      <c r="Q3" s="981" t="s">
        <v>35</v>
      </c>
      <c r="R3" s="982"/>
    </row>
    <row r="4" spans="1:22">
      <c r="A4" s="129" t="s">
        <v>103</v>
      </c>
      <c r="B4" s="1000"/>
      <c r="C4" s="987"/>
      <c r="D4" s="988"/>
      <c r="E4" s="995"/>
      <c r="F4" s="996"/>
      <c r="G4" s="990"/>
      <c r="H4" s="983"/>
      <c r="I4" s="983"/>
      <c r="J4" s="983"/>
      <c r="K4" s="983"/>
      <c r="L4" s="983"/>
      <c r="M4" s="983"/>
      <c r="N4" s="983"/>
      <c r="O4" s="983"/>
      <c r="P4" s="983"/>
      <c r="Q4" s="983"/>
      <c r="R4" s="984"/>
    </row>
    <row r="5" spans="1:22">
      <c r="A5" s="130" t="s">
        <v>105</v>
      </c>
      <c r="B5" s="1000"/>
      <c r="C5" s="133" t="s">
        <v>27</v>
      </c>
      <c r="D5" s="117" t="s">
        <v>28</v>
      </c>
      <c r="E5" s="133" t="s">
        <v>27</v>
      </c>
      <c r="F5" s="117" t="s">
        <v>28</v>
      </c>
      <c r="G5" s="133" t="s">
        <v>27</v>
      </c>
      <c r="H5" s="120" t="s">
        <v>28</v>
      </c>
      <c r="I5" s="120" t="s">
        <v>27</v>
      </c>
      <c r="J5" s="120" t="s">
        <v>28</v>
      </c>
      <c r="K5" s="120" t="s">
        <v>27</v>
      </c>
      <c r="L5" s="120" t="s">
        <v>28</v>
      </c>
      <c r="M5" s="120" t="s">
        <v>27</v>
      </c>
      <c r="N5" s="120" t="s">
        <v>28</v>
      </c>
      <c r="O5" s="120" t="s">
        <v>27</v>
      </c>
      <c r="P5" s="120" t="s">
        <v>28</v>
      </c>
      <c r="Q5" s="120" t="s">
        <v>27</v>
      </c>
      <c r="R5" s="121" t="s">
        <v>28</v>
      </c>
    </row>
    <row r="6" spans="1:22" ht="16" thickBot="1">
      <c r="A6" s="131"/>
      <c r="B6" s="1000"/>
      <c r="C6" s="134" t="s">
        <v>29</v>
      </c>
      <c r="D6" s="118" t="s">
        <v>30</v>
      </c>
      <c r="E6" s="134" t="s">
        <v>29</v>
      </c>
      <c r="F6" s="118" t="s">
        <v>30</v>
      </c>
      <c r="G6" s="134" t="s">
        <v>29</v>
      </c>
      <c r="H6" s="122" t="s">
        <v>30</v>
      </c>
      <c r="I6" s="122" t="s">
        <v>29</v>
      </c>
      <c r="J6" s="122" t="s">
        <v>30</v>
      </c>
      <c r="K6" s="122" t="s">
        <v>29</v>
      </c>
      <c r="L6" s="122" t="s">
        <v>30</v>
      </c>
      <c r="M6" s="122" t="s">
        <v>29</v>
      </c>
      <c r="N6" s="122" t="s">
        <v>30</v>
      </c>
      <c r="O6" s="122" t="s">
        <v>29</v>
      </c>
      <c r="P6" s="122" t="s">
        <v>30</v>
      </c>
      <c r="Q6" s="122" t="s">
        <v>29</v>
      </c>
      <c r="R6" s="123" t="s">
        <v>30</v>
      </c>
    </row>
    <row r="7" spans="1:22" s="149" customFormat="1" ht="27" customHeight="1" thickTop="1" thickBot="1">
      <c r="A7" s="145" t="s">
        <v>111</v>
      </c>
      <c r="B7" s="146"/>
      <c r="C7" s="147">
        <f>SUM(G7,I7,K7,M7,O7,Q7)</f>
        <v>1442332993.2170777</v>
      </c>
      <c r="D7" s="147">
        <f>SUM(H7,J7,L7,N7,P7,R7)</f>
        <v>21538229550.790455</v>
      </c>
      <c r="E7" s="147">
        <f>SUM(E9:E160)</f>
        <v>1442332993.2170777</v>
      </c>
      <c r="F7" s="148">
        <f>SUM(F9:F160)</f>
        <v>21538229550.790459</v>
      </c>
      <c r="G7" s="147">
        <f>SUM(G9:G160)</f>
        <v>774415158.92607832</v>
      </c>
      <c r="H7" s="147">
        <f t="shared" ref="H7:R7" si="0">SUM(H9:H160)</f>
        <v>3994041159.9863362</v>
      </c>
      <c r="I7" s="147">
        <f t="shared" si="0"/>
        <v>282359631.46421689</v>
      </c>
      <c r="J7" s="147">
        <f t="shared" si="0"/>
        <v>9677403259.5202045</v>
      </c>
      <c r="K7" s="147">
        <f t="shared" si="0"/>
        <v>356663333.96641654</v>
      </c>
      <c r="L7" s="147">
        <f t="shared" si="0"/>
        <v>7159013009.2689142</v>
      </c>
      <c r="M7" s="147">
        <f t="shared" si="0"/>
        <v>16316298.000366</v>
      </c>
      <c r="N7" s="147">
        <f t="shared" si="0"/>
        <v>446014073.01499999</v>
      </c>
      <c r="O7" s="147">
        <f t="shared" si="0"/>
        <v>6969165</v>
      </c>
      <c r="P7" s="147">
        <f t="shared" si="0"/>
        <v>129078479</v>
      </c>
      <c r="Q7" s="147">
        <f t="shared" si="0"/>
        <v>5609405.8600000003</v>
      </c>
      <c r="R7" s="147">
        <f t="shared" si="0"/>
        <v>132679570</v>
      </c>
      <c r="S7" s="854">
        <f>SUM(S9:S160)</f>
        <v>1442332993.2170777</v>
      </c>
      <c r="T7" s="854">
        <f t="shared" ref="T7:V7" si="1">SUM(T9:T160)</f>
        <v>21538229550.790459</v>
      </c>
      <c r="U7" s="857">
        <f t="shared" si="1"/>
        <v>1442332993.2170777</v>
      </c>
      <c r="V7" s="857">
        <f t="shared" si="1"/>
        <v>21538229550.790462</v>
      </c>
    </row>
    <row r="8" spans="1:22" s="149" customFormat="1" ht="12.75" customHeight="1" thickTop="1">
      <c r="A8" s="156"/>
      <c r="B8" s="157"/>
      <c r="C8" s="158"/>
      <c r="D8" s="159"/>
      <c r="E8" s="160"/>
      <c r="F8" s="161"/>
      <c r="G8" s="162"/>
      <c r="H8" s="163"/>
      <c r="I8" s="163"/>
      <c r="J8" s="163"/>
      <c r="K8" s="163"/>
      <c r="L8" s="163"/>
      <c r="M8" s="163"/>
      <c r="N8" s="163"/>
      <c r="O8" s="163"/>
      <c r="P8" s="163"/>
      <c r="Q8" s="163"/>
      <c r="R8" s="164"/>
      <c r="S8" s="854"/>
      <c r="T8" s="854"/>
      <c r="U8" s="857"/>
      <c r="V8" s="858"/>
    </row>
    <row r="9" spans="1:22">
      <c r="A9" s="132" t="s">
        <v>137</v>
      </c>
      <c r="B9" s="136" t="s">
        <v>170</v>
      </c>
      <c r="C9" s="135">
        <f t="shared" ref="C9:C40" si="2">SUM(G9,I9,K9,M9,O9,Q9)</f>
        <v>4955552</v>
      </c>
      <c r="D9" s="124">
        <f t="shared" ref="D9:D40" si="3">SUM(H9,J9,L9,N9,P9,R9)</f>
        <v>161184283.579</v>
      </c>
      <c r="E9" s="997">
        <f>SUM(C9:C12)</f>
        <v>15081607</v>
      </c>
      <c r="F9" s="991">
        <f>SUM(D9:D12)</f>
        <v>549747423.60000002</v>
      </c>
      <c r="G9" s="137">
        <f>'P &amp; NP'!C7</f>
        <v>0</v>
      </c>
      <c r="H9" s="125">
        <f>'P &amp; NP'!D7</f>
        <v>0</v>
      </c>
      <c r="I9" s="125">
        <f>'P &amp; NP'!E7</f>
        <v>4615502</v>
      </c>
      <c r="J9" s="125">
        <f>'P &amp; NP'!F7</f>
        <v>153546333.579</v>
      </c>
      <c r="K9" s="125">
        <f>'P &amp; NP'!I7</f>
        <v>338750</v>
      </c>
      <c r="L9" s="125">
        <f>'P &amp; NP'!J7</f>
        <v>7611950</v>
      </c>
      <c r="M9" s="125">
        <f>'P &amp; NP'!K7</f>
        <v>0</v>
      </c>
      <c r="N9" s="125">
        <f>'P &amp; NP'!L7</f>
        <v>0</v>
      </c>
      <c r="O9" s="125">
        <f>'P &amp; NP'!M7</f>
        <v>1300</v>
      </c>
      <c r="P9" s="125">
        <f>'P &amp; NP'!N7</f>
        <v>26000</v>
      </c>
      <c r="Q9" s="125">
        <f>'P &amp; NP'!O7</f>
        <v>0</v>
      </c>
      <c r="R9" s="126">
        <f>'P &amp; NP'!P7</f>
        <v>0</v>
      </c>
      <c r="S9" s="183">
        <f>SUM(C9:C12)</f>
        <v>15081607</v>
      </c>
      <c r="T9" s="183">
        <f>SUM(D9:D12)</f>
        <v>549747423.60000002</v>
      </c>
      <c r="U9" s="855">
        <f>'P &amp; NP'!Q11</f>
        <v>15081607</v>
      </c>
      <c r="V9" s="855">
        <f>'P &amp; NP'!R11</f>
        <v>549747423.60000002</v>
      </c>
    </row>
    <row r="10" spans="1:22">
      <c r="A10" s="132"/>
      <c r="B10" s="136" t="s">
        <v>171</v>
      </c>
      <c r="C10" s="135">
        <f t="shared" si="2"/>
        <v>2036285</v>
      </c>
      <c r="D10" s="124">
        <f t="shared" si="3"/>
        <v>65676304.509000003</v>
      </c>
      <c r="E10" s="997"/>
      <c r="F10" s="991"/>
      <c r="G10" s="137">
        <f>'P &amp; NP'!C8</f>
        <v>0</v>
      </c>
      <c r="H10" s="125">
        <f>'P &amp; NP'!D8</f>
        <v>0</v>
      </c>
      <c r="I10" s="125">
        <f>'P &amp; NP'!E8</f>
        <v>1895935</v>
      </c>
      <c r="J10" s="125">
        <f>'P &amp; NP'!F8</f>
        <v>62525054.509000003</v>
      </c>
      <c r="K10" s="125">
        <f>'P &amp; NP'!I8</f>
        <v>139550</v>
      </c>
      <c r="L10" s="125">
        <f>'P &amp; NP'!J8</f>
        <v>3135250</v>
      </c>
      <c r="M10" s="125">
        <f>'P &amp; NP'!K8</f>
        <v>0</v>
      </c>
      <c r="N10" s="125">
        <f>'P &amp; NP'!L8</f>
        <v>0</v>
      </c>
      <c r="O10" s="125">
        <f>'P &amp; NP'!M8</f>
        <v>800</v>
      </c>
      <c r="P10" s="125">
        <f>'P &amp; NP'!N8</f>
        <v>16000</v>
      </c>
      <c r="Q10" s="125">
        <f>'P &amp; NP'!O8</f>
        <v>0</v>
      </c>
      <c r="R10" s="126">
        <f>'P &amp; NP'!P8</f>
        <v>0</v>
      </c>
      <c r="V10" s="855"/>
    </row>
    <row r="11" spans="1:22">
      <c r="A11" s="132"/>
      <c r="B11" s="136" t="s">
        <v>172</v>
      </c>
      <c r="C11" s="135">
        <f t="shared" si="2"/>
        <v>1756770</v>
      </c>
      <c r="D11" s="124">
        <f t="shared" si="3"/>
        <v>59816935.511999995</v>
      </c>
      <c r="E11" s="997"/>
      <c r="F11" s="991"/>
      <c r="G11" s="137">
        <f>'P &amp; NP'!C9</f>
        <v>0</v>
      </c>
      <c r="H11" s="125">
        <f>'P &amp; NP'!D9</f>
        <v>0</v>
      </c>
      <c r="I11" s="125">
        <f>'P &amp; NP'!E9</f>
        <v>1617720</v>
      </c>
      <c r="J11" s="125">
        <f>'P &amp; NP'!F9</f>
        <v>56674285.511999995</v>
      </c>
      <c r="K11" s="125">
        <f>'P &amp; NP'!I9</f>
        <v>138350</v>
      </c>
      <c r="L11" s="125">
        <f>'P &amp; NP'!J9</f>
        <v>3128650</v>
      </c>
      <c r="M11" s="125">
        <f>'P &amp; NP'!K9</f>
        <v>0</v>
      </c>
      <c r="N11" s="125">
        <f>'P &amp; NP'!L9</f>
        <v>0</v>
      </c>
      <c r="O11" s="125">
        <f>'P &amp; NP'!M9</f>
        <v>700</v>
      </c>
      <c r="P11" s="125">
        <f>'P &amp; NP'!N9</f>
        <v>14000</v>
      </c>
      <c r="Q11" s="125">
        <f>'P &amp; NP'!O9</f>
        <v>0</v>
      </c>
      <c r="R11" s="126">
        <f>'P &amp; NP'!P9</f>
        <v>0</v>
      </c>
      <c r="V11" s="855"/>
    </row>
    <row r="12" spans="1:22">
      <c r="A12" s="138"/>
      <c r="B12" s="139" t="s">
        <v>173</v>
      </c>
      <c r="C12" s="140">
        <f t="shared" si="2"/>
        <v>6333000</v>
      </c>
      <c r="D12" s="141">
        <f t="shared" si="3"/>
        <v>263069900</v>
      </c>
      <c r="E12" s="998"/>
      <c r="F12" s="992"/>
      <c r="G12" s="142">
        <f>'P &amp; NP'!C10</f>
        <v>0</v>
      </c>
      <c r="H12" s="143">
        <f>'P &amp; NP'!D10</f>
        <v>0</v>
      </c>
      <c r="I12" s="143">
        <f>'P &amp; NP'!E10</f>
        <v>6094100</v>
      </c>
      <c r="J12" s="143">
        <f>'P &amp; NP'!F10</f>
        <v>257705000</v>
      </c>
      <c r="K12" s="143">
        <f>'P &amp; NP'!I10</f>
        <v>237100</v>
      </c>
      <c r="L12" s="143">
        <f>'P &amp; NP'!J10</f>
        <v>5328900</v>
      </c>
      <c r="M12" s="143">
        <f>'P &amp; NP'!K10</f>
        <v>0</v>
      </c>
      <c r="N12" s="143">
        <f>'P &amp; NP'!L10</f>
        <v>0</v>
      </c>
      <c r="O12" s="143">
        <f>'P &amp; NP'!M10</f>
        <v>1800</v>
      </c>
      <c r="P12" s="143">
        <f>'P &amp; NP'!N10</f>
        <v>36000</v>
      </c>
      <c r="Q12" s="143">
        <f>'P &amp; NP'!O10</f>
        <v>0</v>
      </c>
      <c r="R12" s="144">
        <f>'P &amp; NP'!P10</f>
        <v>0</v>
      </c>
      <c r="V12" s="855"/>
    </row>
    <row r="13" spans="1:22">
      <c r="A13" s="132" t="s">
        <v>121</v>
      </c>
      <c r="B13" s="136" t="s">
        <v>170</v>
      </c>
      <c r="C13" s="135">
        <f t="shared" si="2"/>
        <v>7302170</v>
      </c>
      <c r="D13" s="124">
        <f t="shared" si="3"/>
        <v>290494390</v>
      </c>
      <c r="E13" s="997">
        <f>SUM(C13:C16)</f>
        <v>30646435</v>
      </c>
      <c r="F13" s="991">
        <f>SUM(D13:D16)</f>
        <v>1257733055</v>
      </c>
      <c r="G13" s="137">
        <f>'P &amp; NP'!S7</f>
        <v>13430</v>
      </c>
      <c r="H13" s="125">
        <f>'P &amp; NP'!T7</f>
        <v>1763450</v>
      </c>
      <c r="I13" s="125">
        <f>'P &amp; NP'!U7</f>
        <v>4745625</v>
      </c>
      <c r="J13" s="125">
        <f>'P &amp; NP'!V7</f>
        <v>236836650</v>
      </c>
      <c r="K13" s="125">
        <f>'P &amp; NP'!Y7</f>
        <v>2508160</v>
      </c>
      <c r="L13" s="125">
        <f>'P &amp; NP'!Z7</f>
        <v>50955415</v>
      </c>
      <c r="M13" s="125">
        <f>'P &amp; NP'!AA7</f>
        <v>18740</v>
      </c>
      <c r="N13" s="125">
        <f>'P &amp; NP'!AB7</f>
        <v>510625</v>
      </c>
      <c r="O13" s="125">
        <f>'P &amp; NP'!AC7</f>
        <v>10610</v>
      </c>
      <c r="P13" s="125">
        <f>'P &amp; NP'!AD7</f>
        <v>292075</v>
      </c>
      <c r="Q13" s="125">
        <f>'P &amp; NP'!AE7</f>
        <v>5605</v>
      </c>
      <c r="R13" s="126">
        <f>'P &amp; NP'!AF7</f>
        <v>136175</v>
      </c>
      <c r="S13" s="183">
        <f t="shared" ref="S13:T13" si="4">SUM(C13:C16)</f>
        <v>30646435</v>
      </c>
      <c r="T13" s="183">
        <f t="shared" si="4"/>
        <v>1257733055</v>
      </c>
      <c r="U13" s="855">
        <f>'P &amp; NP'!AG11</f>
        <v>30646435</v>
      </c>
      <c r="V13" s="855">
        <f>'P &amp; NP'!AH11</f>
        <v>1257733055</v>
      </c>
    </row>
    <row r="14" spans="1:22">
      <c r="A14" s="132"/>
      <c r="B14" s="136" t="s">
        <v>171</v>
      </c>
      <c r="C14" s="135">
        <f t="shared" si="2"/>
        <v>7548854</v>
      </c>
      <c r="D14" s="124">
        <f t="shared" si="3"/>
        <v>318937010</v>
      </c>
      <c r="E14" s="997"/>
      <c r="F14" s="991"/>
      <c r="G14" s="137">
        <f>'P &amp; NP'!S8</f>
        <v>18470</v>
      </c>
      <c r="H14" s="125">
        <f>'P &amp; NP'!T8</f>
        <v>1961025</v>
      </c>
      <c r="I14" s="125">
        <f>'P &amp; NP'!U8</f>
        <v>5146690</v>
      </c>
      <c r="J14" s="125">
        <f>'P &amp; NP'!V8</f>
        <v>268176460</v>
      </c>
      <c r="K14" s="125">
        <f>'P &amp; NP'!Y8</f>
        <v>2350479</v>
      </c>
      <c r="L14" s="125">
        <f>'P &amp; NP'!Z8</f>
        <v>47920575</v>
      </c>
      <c r="M14" s="125">
        <f>'P &amp; NP'!AA8</f>
        <v>15950</v>
      </c>
      <c r="N14" s="125">
        <f>'P &amp; NP'!AB8</f>
        <v>436300</v>
      </c>
      <c r="O14" s="125">
        <f>'P &amp; NP'!AC8</f>
        <v>9645</v>
      </c>
      <c r="P14" s="125">
        <f>'P &amp; NP'!AD8</f>
        <v>266925</v>
      </c>
      <c r="Q14" s="125">
        <f>'P &amp; NP'!AE8</f>
        <v>7620</v>
      </c>
      <c r="R14" s="126">
        <f>'P &amp; NP'!AF8</f>
        <v>175725</v>
      </c>
      <c r="V14" s="855"/>
    </row>
    <row r="15" spans="1:22">
      <c r="A15" s="132"/>
      <c r="B15" s="136" t="s">
        <v>172</v>
      </c>
      <c r="C15" s="135">
        <f t="shared" si="2"/>
        <v>7722350</v>
      </c>
      <c r="D15" s="124">
        <f t="shared" si="3"/>
        <v>331260465</v>
      </c>
      <c r="E15" s="997"/>
      <c r="F15" s="991"/>
      <c r="G15" s="137">
        <f>'P &amp; NP'!S9</f>
        <v>7080</v>
      </c>
      <c r="H15" s="125">
        <f>'P &amp; NP'!T9</f>
        <v>868300</v>
      </c>
      <c r="I15" s="125">
        <f>'P &amp; NP'!U9</f>
        <v>5040640</v>
      </c>
      <c r="J15" s="125">
        <f>'P &amp; NP'!V9</f>
        <v>275695725</v>
      </c>
      <c r="K15" s="125">
        <f>'P &amp; NP'!Y9</f>
        <v>2639395</v>
      </c>
      <c r="L15" s="125">
        <f>'P &amp; NP'!Z9</f>
        <v>53757590</v>
      </c>
      <c r="M15" s="125">
        <f>'P &amp; NP'!AA9</f>
        <v>17280</v>
      </c>
      <c r="N15" s="125">
        <f>'P &amp; NP'!AB9</f>
        <v>472200</v>
      </c>
      <c r="O15" s="125">
        <f>'P &amp; NP'!AC9</f>
        <v>13305</v>
      </c>
      <c r="P15" s="125">
        <f>'P &amp; NP'!AD9</f>
        <v>363750</v>
      </c>
      <c r="Q15" s="125">
        <f>'P &amp; NP'!AE9</f>
        <v>4650</v>
      </c>
      <c r="R15" s="126">
        <f>'P &amp; NP'!AF9</f>
        <v>102900</v>
      </c>
      <c r="V15" s="855"/>
    </row>
    <row r="16" spans="1:22">
      <c r="A16" s="138"/>
      <c r="B16" s="139" t="s">
        <v>173</v>
      </c>
      <c r="C16" s="140">
        <f t="shared" si="2"/>
        <v>8073061</v>
      </c>
      <c r="D16" s="141">
        <f t="shared" si="3"/>
        <v>317041190</v>
      </c>
      <c r="E16" s="998"/>
      <c r="F16" s="992"/>
      <c r="G16" s="142">
        <f>'P &amp; NP'!S10</f>
        <v>9280</v>
      </c>
      <c r="H16" s="143">
        <f>'P &amp; NP'!T10</f>
        <v>1128875</v>
      </c>
      <c r="I16" s="143">
        <f>'P &amp; NP'!U10</f>
        <v>5139435</v>
      </c>
      <c r="J16" s="143">
        <f>'P &amp; NP'!V10</f>
        <v>255989775</v>
      </c>
      <c r="K16" s="143">
        <f>'P &amp; NP'!Y10</f>
        <v>2887701</v>
      </c>
      <c r="L16" s="143">
        <f>'P &amp; NP'!Z10</f>
        <v>58946640</v>
      </c>
      <c r="M16" s="143">
        <f>'P &amp; NP'!AA10</f>
        <v>16235</v>
      </c>
      <c r="N16" s="143">
        <f>'P &amp; NP'!AB10</f>
        <v>448150</v>
      </c>
      <c r="O16" s="143">
        <f>'P &amp; NP'!AC10</f>
        <v>14255</v>
      </c>
      <c r="P16" s="143">
        <f>'P &amp; NP'!AD10</f>
        <v>394825</v>
      </c>
      <c r="Q16" s="143">
        <f>'P &amp; NP'!AE10</f>
        <v>6155</v>
      </c>
      <c r="R16" s="144">
        <f>'P &amp; NP'!AF10</f>
        <v>132925</v>
      </c>
      <c r="V16" s="855"/>
    </row>
    <row r="17" spans="1:22">
      <c r="A17" s="132" t="s">
        <v>619</v>
      </c>
      <c r="B17" s="136" t="s">
        <v>170</v>
      </c>
      <c r="C17" s="135">
        <f t="shared" si="2"/>
        <v>4138180</v>
      </c>
      <c r="D17" s="124">
        <f t="shared" si="3"/>
        <v>95031940</v>
      </c>
      <c r="E17" s="997">
        <f>SUM(C17:C20)</f>
        <v>17736425</v>
      </c>
      <c r="F17" s="991">
        <f>SUM(D17:D20)</f>
        <v>414183920</v>
      </c>
      <c r="G17" s="137">
        <f>'P &amp; NP'!AI7</f>
        <v>0</v>
      </c>
      <c r="H17" s="125">
        <f>'P &amp; NP'!AJ7</f>
        <v>0</v>
      </c>
      <c r="I17" s="125">
        <f>'P &amp; NP'!AK7</f>
        <v>105000</v>
      </c>
      <c r="J17" s="125">
        <f>'P &amp; NP'!AL7</f>
        <v>6825000</v>
      </c>
      <c r="K17" s="125">
        <f>'P &amp; NP'!AO7</f>
        <v>4025700</v>
      </c>
      <c r="L17" s="125">
        <f>'P &amp; NP'!AP7</f>
        <v>88022700</v>
      </c>
      <c r="M17" s="125">
        <f>'P &amp; NP'!AQ7</f>
        <v>420</v>
      </c>
      <c r="N17" s="125">
        <f>'P &amp; NP'!AR7</f>
        <v>10300</v>
      </c>
      <c r="O17" s="125">
        <f>'P &amp; NP'!AS7</f>
        <v>0</v>
      </c>
      <c r="P17" s="125">
        <f>'P &amp; NP'!AT7</f>
        <v>0</v>
      </c>
      <c r="Q17" s="125">
        <f>'P &amp; NP'!AU7</f>
        <v>7060</v>
      </c>
      <c r="R17" s="126">
        <f>'P &amp; NP'!AV7</f>
        <v>173940</v>
      </c>
      <c r="S17" s="183">
        <f t="shared" ref="S17:T17" si="5">SUM(C17:C20)</f>
        <v>17736425</v>
      </c>
      <c r="T17" s="183">
        <f t="shared" si="5"/>
        <v>414183920</v>
      </c>
      <c r="U17" s="855">
        <f>'P &amp; NP'!AW11</f>
        <v>17736425</v>
      </c>
      <c r="V17" s="855">
        <f>'P &amp; NP'!AX11</f>
        <v>414183920</v>
      </c>
    </row>
    <row r="18" spans="1:22">
      <c r="A18" s="132"/>
      <c r="B18" s="136" t="s">
        <v>171</v>
      </c>
      <c r="C18" s="135">
        <f t="shared" si="2"/>
        <v>4447740</v>
      </c>
      <c r="D18" s="124">
        <f t="shared" si="3"/>
        <v>102433760</v>
      </c>
      <c r="E18" s="997"/>
      <c r="F18" s="991"/>
      <c r="G18" s="137">
        <f>'P &amp; NP'!AI8</f>
        <v>0</v>
      </c>
      <c r="H18" s="125">
        <f>'P &amp; NP'!AJ8</f>
        <v>0</v>
      </c>
      <c r="I18" s="125">
        <f>'P &amp; NP'!AK8</f>
        <v>109000</v>
      </c>
      <c r="J18" s="125">
        <f>'P &amp; NP'!AL8</f>
        <v>7085000</v>
      </c>
      <c r="K18" s="125">
        <f>'P &amp; NP'!AO8</f>
        <v>4329200</v>
      </c>
      <c r="L18" s="125">
        <f>'P &amp; NP'!AP8</f>
        <v>95119800</v>
      </c>
      <c r="M18" s="125">
        <f>'P &amp; NP'!AQ8</f>
        <v>550</v>
      </c>
      <c r="N18" s="125">
        <f>'P &amp; NP'!AR8</f>
        <v>13200</v>
      </c>
      <c r="O18" s="125">
        <f>'P &amp; NP'!AS8</f>
        <v>0</v>
      </c>
      <c r="P18" s="125">
        <f>'P &amp; NP'!AT8</f>
        <v>0</v>
      </c>
      <c r="Q18" s="125">
        <f>'P &amp; NP'!AU8</f>
        <v>8990</v>
      </c>
      <c r="R18" s="126">
        <f>'P &amp; NP'!AV8</f>
        <v>215760</v>
      </c>
      <c r="V18" s="855"/>
    </row>
    <row r="19" spans="1:22">
      <c r="A19" s="132"/>
      <c r="B19" s="136" t="s">
        <v>172</v>
      </c>
      <c r="C19" s="135">
        <f t="shared" si="2"/>
        <v>4279860</v>
      </c>
      <c r="D19" s="124">
        <f t="shared" si="3"/>
        <v>101003140</v>
      </c>
      <c r="E19" s="997"/>
      <c r="F19" s="991"/>
      <c r="G19" s="137">
        <f>'P &amp; NP'!AI9</f>
        <v>0</v>
      </c>
      <c r="H19" s="125">
        <f>'P &amp; NP'!AJ9</f>
        <v>0</v>
      </c>
      <c r="I19" s="125">
        <f>'P &amp; NP'!AK9</f>
        <v>112800</v>
      </c>
      <c r="J19" s="125">
        <f>'P &amp; NP'!AL9</f>
        <v>7332000</v>
      </c>
      <c r="K19" s="125">
        <f>'P &amp; NP'!AO9</f>
        <v>4160200</v>
      </c>
      <c r="L19" s="125">
        <f>'P &amp; NP'!AP9</f>
        <v>93506500</v>
      </c>
      <c r="M19" s="125">
        <f>'P &amp; NP'!AQ9</f>
        <v>470</v>
      </c>
      <c r="N19" s="125">
        <f>'P &amp; NP'!AR9</f>
        <v>11280</v>
      </c>
      <c r="O19" s="125">
        <f>'P &amp; NP'!AS9</f>
        <v>0</v>
      </c>
      <c r="P19" s="125">
        <f>'P &amp; NP'!AT9</f>
        <v>0</v>
      </c>
      <c r="Q19" s="125">
        <f>'P &amp; NP'!AU9</f>
        <v>6390</v>
      </c>
      <c r="R19" s="126">
        <f>'P &amp; NP'!AV9</f>
        <v>153360</v>
      </c>
      <c r="V19" s="855"/>
    </row>
    <row r="20" spans="1:22">
      <c r="A20" s="138"/>
      <c r="B20" s="139" t="s">
        <v>173</v>
      </c>
      <c r="C20" s="140">
        <f t="shared" si="2"/>
        <v>4870645</v>
      </c>
      <c r="D20" s="141">
        <f t="shared" si="3"/>
        <v>115715080</v>
      </c>
      <c r="E20" s="998"/>
      <c r="F20" s="992"/>
      <c r="G20" s="142">
        <f>'P &amp; NP'!AI10</f>
        <v>0</v>
      </c>
      <c r="H20" s="143">
        <f>'P &amp; NP'!AJ10</f>
        <v>0</v>
      </c>
      <c r="I20" s="143">
        <f>'P &amp; NP'!AK10</f>
        <v>109300</v>
      </c>
      <c r="J20" s="143">
        <f>'P &amp; NP'!AL10</f>
        <v>7104500</v>
      </c>
      <c r="K20" s="143">
        <f>'P &amp; NP'!AO10</f>
        <v>4755200</v>
      </c>
      <c r="L20" s="143">
        <f>'P &amp; NP'!AP10</f>
        <v>108463100</v>
      </c>
      <c r="M20" s="143">
        <f>'P &amp; NP'!AQ10</f>
        <v>380</v>
      </c>
      <c r="N20" s="143">
        <f>'P &amp; NP'!AR10</f>
        <v>9120</v>
      </c>
      <c r="O20" s="143">
        <f>'P &amp; NP'!AS10</f>
        <v>0</v>
      </c>
      <c r="P20" s="143">
        <f>'P &amp; NP'!AT10</f>
        <v>0</v>
      </c>
      <c r="Q20" s="143">
        <f>'P &amp; NP'!AU10</f>
        <v>5765</v>
      </c>
      <c r="R20" s="144">
        <f>'P &amp; NP'!AV10</f>
        <v>138360</v>
      </c>
      <c r="V20" s="855"/>
    </row>
    <row r="21" spans="1:22">
      <c r="A21" s="132" t="s">
        <v>620</v>
      </c>
      <c r="B21" s="136" t="s">
        <v>170</v>
      </c>
      <c r="C21" s="135">
        <f t="shared" si="2"/>
        <v>1611035</v>
      </c>
      <c r="D21" s="124">
        <f t="shared" si="3"/>
        <v>32154919</v>
      </c>
      <c r="E21" s="997">
        <f>SUM(C21:C24)</f>
        <v>5384128</v>
      </c>
      <c r="F21" s="991">
        <f>SUM(D21:D24)</f>
        <v>107861227.5</v>
      </c>
      <c r="G21" s="137">
        <f>'P &amp; NP'!AY7</f>
        <v>0</v>
      </c>
      <c r="H21" s="125">
        <f>'P &amp; NP'!AZ7</f>
        <v>0</v>
      </c>
      <c r="I21" s="125">
        <f>'P &amp; NP'!BA7</f>
        <v>0</v>
      </c>
      <c r="J21" s="125">
        <f>'P &amp; NP'!BB7</f>
        <v>0</v>
      </c>
      <c r="K21" s="125">
        <f>'P &amp; NP'!BE7</f>
        <v>1542739</v>
      </c>
      <c r="L21" s="125">
        <f>'P &amp; NP'!BF7</f>
        <v>30910241</v>
      </c>
      <c r="M21" s="125">
        <f>'P &amp; NP'!BG7</f>
        <v>56772</v>
      </c>
      <c r="N21" s="125">
        <f>'P &amp; NP'!BH7</f>
        <v>1050747</v>
      </c>
      <c r="O21" s="125">
        <f>'P &amp; NP'!BI7</f>
        <v>0</v>
      </c>
      <c r="P21" s="125">
        <f>'P &amp; NP'!BJ7</f>
        <v>0</v>
      </c>
      <c r="Q21" s="125">
        <f>'P &amp; NP'!BK7</f>
        <v>11524</v>
      </c>
      <c r="R21" s="126">
        <f>'P &amp; NP'!BL7</f>
        <v>193931</v>
      </c>
      <c r="S21" s="183">
        <f t="shared" ref="S21:T21" si="6">SUM(C21:C24)</f>
        <v>5384128</v>
      </c>
      <c r="T21" s="183">
        <f t="shared" si="6"/>
        <v>107861227.5</v>
      </c>
      <c r="U21" s="855">
        <f>'P &amp; NP'!BM11</f>
        <v>5384128</v>
      </c>
      <c r="V21" s="855">
        <f>'P &amp; NP'!BN11</f>
        <v>107861227.5</v>
      </c>
    </row>
    <row r="22" spans="1:22">
      <c r="A22" s="132"/>
      <c r="B22" s="136" t="s">
        <v>171</v>
      </c>
      <c r="C22" s="135">
        <f t="shared" si="2"/>
        <v>1266706</v>
      </c>
      <c r="D22" s="124">
        <f t="shared" si="3"/>
        <v>25744508</v>
      </c>
      <c r="E22" s="997"/>
      <c r="F22" s="991"/>
      <c r="G22" s="137">
        <f>'P &amp; NP'!AY8</f>
        <v>0</v>
      </c>
      <c r="H22" s="125">
        <f>'P &amp; NP'!AZ8</f>
        <v>0</v>
      </c>
      <c r="I22" s="125">
        <f>'P &amp; NP'!BA8</f>
        <v>0</v>
      </c>
      <c r="J22" s="125">
        <f>'P &amp; NP'!BB8</f>
        <v>0</v>
      </c>
      <c r="K22" s="125">
        <f>'P &amp; NP'!BE8</f>
        <v>1238113</v>
      </c>
      <c r="L22" s="125">
        <f>'P &amp; NP'!BF8</f>
        <v>25122915</v>
      </c>
      <c r="M22" s="125">
        <f>'P &amp; NP'!BG8</f>
        <v>23055</v>
      </c>
      <c r="N22" s="125">
        <f>'P &amp; NP'!BH8</f>
        <v>526427</v>
      </c>
      <c r="O22" s="125">
        <f>'P &amp; NP'!BI8</f>
        <v>0</v>
      </c>
      <c r="P22" s="125">
        <f>'P &amp; NP'!BJ8</f>
        <v>0</v>
      </c>
      <c r="Q22" s="125">
        <f>'P &amp; NP'!BK8</f>
        <v>5538</v>
      </c>
      <c r="R22" s="126">
        <f>'P &amp; NP'!BL8</f>
        <v>95166</v>
      </c>
      <c r="V22" s="855"/>
    </row>
    <row r="23" spans="1:22">
      <c r="A23" s="132"/>
      <c r="B23" s="136" t="s">
        <v>172</v>
      </c>
      <c r="C23" s="135">
        <f t="shared" si="2"/>
        <v>1063822</v>
      </c>
      <c r="D23" s="124">
        <f t="shared" si="3"/>
        <v>21509096.5</v>
      </c>
      <c r="E23" s="997"/>
      <c r="F23" s="991"/>
      <c r="G23" s="137">
        <f>'P &amp; NP'!AY9</f>
        <v>0</v>
      </c>
      <c r="H23" s="125">
        <f>'P &amp; NP'!AZ9</f>
        <v>0</v>
      </c>
      <c r="I23" s="125">
        <f>'P &amp; NP'!BA9</f>
        <v>0</v>
      </c>
      <c r="J23" s="125">
        <f>'P &amp; NP'!BB9</f>
        <v>0</v>
      </c>
      <c r="K23" s="125">
        <f>'P &amp; NP'!BE9</f>
        <v>1059256</v>
      </c>
      <c r="L23" s="125">
        <f>'P &amp; NP'!BF9</f>
        <v>21421481.5</v>
      </c>
      <c r="M23" s="125">
        <f>'P &amp; NP'!BG9</f>
        <v>1303</v>
      </c>
      <c r="N23" s="125">
        <f>'P &amp; NP'!BH9</f>
        <v>32575</v>
      </c>
      <c r="O23" s="125">
        <f>'P &amp; NP'!BI9</f>
        <v>0</v>
      </c>
      <c r="P23" s="125">
        <f>'P &amp; NP'!BJ9</f>
        <v>0</v>
      </c>
      <c r="Q23" s="125">
        <f>'P &amp; NP'!BK9</f>
        <v>3263</v>
      </c>
      <c r="R23" s="126">
        <f>'P &amp; NP'!BL9</f>
        <v>55040</v>
      </c>
      <c r="V23" s="855"/>
    </row>
    <row r="24" spans="1:22">
      <c r="A24" s="138"/>
      <c r="B24" s="139" t="s">
        <v>173</v>
      </c>
      <c r="C24" s="140">
        <f t="shared" si="2"/>
        <v>1442565</v>
      </c>
      <c r="D24" s="141">
        <f t="shared" si="3"/>
        <v>28452704</v>
      </c>
      <c r="E24" s="998"/>
      <c r="F24" s="992"/>
      <c r="G24" s="142">
        <f>'P &amp; NP'!AY10</f>
        <v>0</v>
      </c>
      <c r="H24" s="143">
        <f>'P &amp; NP'!AZ10</f>
        <v>0</v>
      </c>
      <c r="I24" s="143">
        <f>'P &amp; NP'!BA10</f>
        <v>0</v>
      </c>
      <c r="J24" s="143">
        <f>'P &amp; NP'!BB10</f>
        <v>0</v>
      </c>
      <c r="K24" s="143">
        <f>'P &amp; NP'!BE10</f>
        <v>1428297</v>
      </c>
      <c r="L24" s="143">
        <f>'P &amp; NP'!BF10</f>
        <v>28201768</v>
      </c>
      <c r="M24" s="143">
        <f>'P &amp; NP'!BG10</f>
        <v>3092</v>
      </c>
      <c r="N24" s="143">
        <f>'P &amp; NP'!BH10</f>
        <v>70850</v>
      </c>
      <c r="O24" s="143">
        <f>'P &amp; NP'!BI10</f>
        <v>0</v>
      </c>
      <c r="P24" s="143">
        <f>'P &amp; NP'!BJ10</f>
        <v>0</v>
      </c>
      <c r="Q24" s="143">
        <f>'P &amp; NP'!BK10</f>
        <v>11176</v>
      </c>
      <c r="R24" s="144">
        <f>'P &amp; NP'!BL10</f>
        <v>180086</v>
      </c>
      <c r="V24" s="855"/>
    </row>
    <row r="25" spans="1:22">
      <c r="A25" s="132" t="s">
        <v>621</v>
      </c>
      <c r="B25" s="136" t="s">
        <v>170</v>
      </c>
      <c r="C25" s="135">
        <f t="shared" si="2"/>
        <v>226594</v>
      </c>
      <c r="D25" s="124">
        <f t="shared" si="3"/>
        <v>4871029</v>
      </c>
      <c r="E25" s="997">
        <f>SUM(C25:C28)</f>
        <v>849316</v>
      </c>
      <c r="F25" s="991">
        <f>SUM(D25:D28)</f>
        <v>18251469</v>
      </c>
      <c r="G25" s="137">
        <f>'P &amp; NP'!BO7</f>
        <v>0</v>
      </c>
      <c r="H25" s="125">
        <f>'P &amp; NP'!BP7</f>
        <v>0</v>
      </c>
      <c r="I25" s="125">
        <f>'P &amp; NP'!BQ7</f>
        <v>0</v>
      </c>
      <c r="J25" s="125">
        <f>'P &amp; NP'!BR7</f>
        <v>0</v>
      </c>
      <c r="K25" s="125">
        <f>'P &amp; NP'!BU7</f>
        <v>226594</v>
      </c>
      <c r="L25" s="125">
        <f>'P &amp; NP'!BV7</f>
        <v>4871029</v>
      </c>
      <c r="M25" s="125">
        <f>'P &amp; NP'!BW7</f>
        <v>0</v>
      </c>
      <c r="N25" s="125">
        <f>'P &amp; NP'!BX7</f>
        <v>0</v>
      </c>
      <c r="O25" s="125">
        <f>'P &amp; NP'!BY7</f>
        <v>0</v>
      </c>
      <c r="P25" s="125">
        <f>'P &amp; NP'!BZ7</f>
        <v>0</v>
      </c>
      <c r="Q25" s="125">
        <f>'P &amp; NP'!CA7</f>
        <v>0</v>
      </c>
      <c r="R25" s="126">
        <f>'P &amp; NP'!CB7</f>
        <v>0</v>
      </c>
      <c r="S25" s="183">
        <f t="shared" ref="S25:T25" si="7">SUM(C25:C28)</f>
        <v>849316</v>
      </c>
      <c r="T25" s="183">
        <f t="shared" si="7"/>
        <v>18251469</v>
      </c>
      <c r="U25" s="855">
        <f>'P &amp; NP'!CC11</f>
        <v>849316</v>
      </c>
      <c r="V25" s="855">
        <f>'P &amp; NP'!CD11</f>
        <v>18251469</v>
      </c>
    </row>
    <row r="26" spans="1:22">
      <c r="A26" s="132"/>
      <c r="B26" s="136" t="s">
        <v>171</v>
      </c>
      <c r="C26" s="135">
        <f t="shared" si="2"/>
        <v>206553</v>
      </c>
      <c r="D26" s="124">
        <f t="shared" si="3"/>
        <v>4431970</v>
      </c>
      <c r="E26" s="997"/>
      <c r="F26" s="991"/>
      <c r="G26" s="137">
        <f>'P &amp; NP'!BO8</f>
        <v>0</v>
      </c>
      <c r="H26" s="125">
        <f>'P &amp; NP'!BP8</f>
        <v>0</v>
      </c>
      <c r="I26" s="125">
        <f>'P &amp; NP'!BQ8</f>
        <v>0</v>
      </c>
      <c r="J26" s="125">
        <f>'P &amp; NP'!BR8</f>
        <v>0</v>
      </c>
      <c r="K26" s="125">
        <f>'P &amp; NP'!BU8</f>
        <v>206553</v>
      </c>
      <c r="L26" s="125">
        <f>'P &amp; NP'!BV8</f>
        <v>4431970</v>
      </c>
      <c r="M26" s="125">
        <f>'P &amp; NP'!BW8</f>
        <v>0</v>
      </c>
      <c r="N26" s="125">
        <f>'P &amp; NP'!BX8</f>
        <v>0</v>
      </c>
      <c r="O26" s="125">
        <f>'P &amp; NP'!BY8</f>
        <v>0</v>
      </c>
      <c r="P26" s="125">
        <f>'P &amp; NP'!BZ8</f>
        <v>0</v>
      </c>
      <c r="Q26" s="125">
        <f>'P &amp; NP'!CA8</f>
        <v>0</v>
      </c>
      <c r="R26" s="126">
        <f>'P &amp; NP'!CB8</f>
        <v>0</v>
      </c>
      <c r="V26" s="855"/>
    </row>
    <row r="27" spans="1:22">
      <c r="A27" s="132"/>
      <c r="B27" s="136" t="s">
        <v>172</v>
      </c>
      <c r="C27" s="135">
        <f t="shared" si="2"/>
        <v>202717</v>
      </c>
      <c r="D27" s="124">
        <f t="shared" si="3"/>
        <v>4353094</v>
      </c>
      <c r="E27" s="997"/>
      <c r="F27" s="991"/>
      <c r="G27" s="137">
        <f>'P &amp; NP'!BO9</f>
        <v>0</v>
      </c>
      <c r="H27" s="125">
        <f>'P &amp; NP'!BP9</f>
        <v>0</v>
      </c>
      <c r="I27" s="125">
        <f>'P &amp; NP'!BQ9</f>
        <v>0</v>
      </c>
      <c r="J27" s="125">
        <f>'P &amp; NP'!BR9</f>
        <v>0</v>
      </c>
      <c r="K27" s="125">
        <f>'P &amp; NP'!BU9</f>
        <v>202717</v>
      </c>
      <c r="L27" s="125">
        <f>'P &amp; NP'!BV9</f>
        <v>4353094</v>
      </c>
      <c r="M27" s="125">
        <f>'P &amp; NP'!BW9</f>
        <v>0</v>
      </c>
      <c r="N27" s="125">
        <f>'P &amp; NP'!BX9</f>
        <v>0</v>
      </c>
      <c r="O27" s="125">
        <f>'P &amp; NP'!BY9</f>
        <v>0</v>
      </c>
      <c r="P27" s="125">
        <f>'P &amp; NP'!BZ9</f>
        <v>0</v>
      </c>
      <c r="Q27" s="125">
        <f>'P &amp; NP'!CA9</f>
        <v>0</v>
      </c>
      <c r="R27" s="126">
        <f>'P &amp; NP'!CB9</f>
        <v>0</v>
      </c>
      <c r="V27" s="855"/>
    </row>
    <row r="28" spans="1:22">
      <c r="A28" s="138"/>
      <c r="B28" s="139" t="s">
        <v>173</v>
      </c>
      <c r="C28" s="140">
        <f t="shared" si="2"/>
        <v>213452</v>
      </c>
      <c r="D28" s="141">
        <f t="shared" si="3"/>
        <v>4595376</v>
      </c>
      <c r="E28" s="998"/>
      <c r="F28" s="992"/>
      <c r="G28" s="142">
        <f>'P &amp; NP'!BO10</f>
        <v>0</v>
      </c>
      <c r="H28" s="143">
        <f>'P &amp; NP'!BP10</f>
        <v>0</v>
      </c>
      <c r="I28" s="143">
        <f>'P &amp; NP'!BQ10</f>
        <v>0</v>
      </c>
      <c r="J28" s="143">
        <f>'P &amp; NP'!BR10</f>
        <v>0</v>
      </c>
      <c r="K28" s="143">
        <f>'P &amp; NP'!BU10</f>
        <v>213452</v>
      </c>
      <c r="L28" s="143">
        <f>'P &amp; NP'!BV10</f>
        <v>4595376</v>
      </c>
      <c r="M28" s="143">
        <f>'P &amp; NP'!BW10</f>
        <v>0</v>
      </c>
      <c r="N28" s="143">
        <f>'P &amp; NP'!BX10</f>
        <v>0</v>
      </c>
      <c r="O28" s="143">
        <f>'P &amp; NP'!BY10</f>
        <v>0</v>
      </c>
      <c r="P28" s="143">
        <f>'P &amp; NP'!BZ10</f>
        <v>0</v>
      </c>
      <c r="Q28" s="143">
        <f>'P &amp; NP'!CA10</f>
        <v>0</v>
      </c>
      <c r="R28" s="144">
        <f>'P &amp; NP'!CB10</f>
        <v>0</v>
      </c>
      <c r="V28" s="855"/>
    </row>
    <row r="29" spans="1:22">
      <c r="A29" s="132" t="s">
        <v>622</v>
      </c>
      <c r="B29" s="136" t="s">
        <v>170</v>
      </c>
      <c r="C29" s="135">
        <f t="shared" si="2"/>
        <v>40844408.346231222</v>
      </c>
      <c r="D29" s="124">
        <f t="shared" si="3"/>
        <v>937843455.59233379</v>
      </c>
      <c r="E29" s="997">
        <f>SUM(C29:C32)</f>
        <v>160439074.52691662</v>
      </c>
      <c r="F29" s="991">
        <f>SUM(D29:D32)</f>
        <v>3544955721.3064566</v>
      </c>
      <c r="G29" s="137">
        <f>'P &amp; NP'!CE7</f>
        <v>1178368</v>
      </c>
      <c r="H29" s="125">
        <f>'P &amp; NP'!CF7</f>
        <v>4868226</v>
      </c>
      <c r="I29" s="125">
        <f>'P &amp; NP'!CG7</f>
        <v>22615979.346231226</v>
      </c>
      <c r="J29" s="125">
        <f>'P &amp; NP'!CH7</f>
        <v>649282857.08653629</v>
      </c>
      <c r="K29" s="125">
        <f>'P &amp; NP'!CK7</f>
        <v>17050061</v>
      </c>
      <c r="L29" s="125">
        <f>'P &amp; NP'!CL7</f>
        <v>283692372.50579751</v>
      </c>
      <c r="M29" s="125">
        <f>'P &amp; NP'!CM7</f>
        <v>0</v>
      </c>
      <c r="N29" s="125">
        <f>'P &amp; NP'!CN7</f>
        <v>0</v>
      </c>
      <c r="O29" s="125">
        <f>'P &amp; NP'!CO7</f>
        <v>0</v>
      </c>
      <c r="P29" s="125">
        <f>'P &amp; NP'!CP7</f>
        <v>0</v>
      </c>
      <c r="Q29" s="125">
        <f>'P &amp; NP'!CQ7</f>
        <v>0</v>
      </c>
      <c r="R29" s="126">
        <f>'P &amp; NP'!CR7</f>
        <v>0</v>
      </c>
      <c r="S29" s="183">
        <f t="shared" ref="S29:T29" si="8">SUM(C29:C32)</f>
        <v>160439074.52691662</v>
      </c>
      <c r="T29" s="183">
        <f t="shared" si="8"/>
        <v>3544955721.3064566</v>
      </c>
      <c r="U29" s="855">
        <f>'P &amp; NP'!CS11</f>
        <v>160439074.52691662</v>
      </c>
      <c r="V29" s="855">
        <f>'P &amp; NP'!CT11</f>
        <v>3544955721.306457</v>
      </c>
    </row>
    <row r="30" spans="1:22">
      <c r="A30" s="132"/>
      <c r="B30" s="136" t="s">
        <v>171</v>
      </c>
      <c r="C30" s="135">
        <f t="shared" si="2"/>
        <v>40844019.987881131</v>
      </c>
      <c r="D30" s="124">
        <f t="shared" si="3"/>
        <v>961394320.91232419</v>
      </c>
      <c r="E30" s="997"/>
      <c r="F30" s="991"/>
      <c r="G30" s="137">
        <f>'P &amp; NP'!CE8</f>
        <v>1407506.6906785597</v>
      </c>
      <c r="H30" s="125">
        <f>'P &amp; NP'!CF8</f>
        <v>7037534.453392799</v>
      </c>
      <c r="I30" s="125">
        <f>'P &amp; NP'!CG8</f>
        <v>20887418.777108952</v>
      </c>
      <c r="J30" s="125">
        <f>'P &amp; NP'!CH8</f>
        <v>636253211.06608498</v>
      </c>
      <c r="K30" s="125">
        <f>'P &amp; NP'!CK8</f>
        <v>18549094.52009362</v>
      </c>
      <c r="L30" s="125">
        <f>'P &amp; NP'!CL8</f>
        <v>318103575.39284652</v>
      </c>
      <c r="M30" s="125">
        <f>'P &amp; NP'!CM8</f>
        <v>0</v>
      </c>
      <c r="N30" s="125">
        <f>'P &amp; NP'!CN8</f>
        <v>0</v>
      </c>
      <c r="O30" s="125">
        <f>'P &amp; NP'!CO8</f>
        <v>0</v>
      </c>
      <c r="P30" s="125">
        <f>'P &amp; NP'!CP8</f>
        <v>0</v>
      </c>
      <c r="Q30" s="125">
        <f>'P &amp; NP'!CQ8</f>
        <v>0</v>
      </c>
      <c r="R30" s="126">
        <f>'P &amp; NP'!CR8</f>
        <v>0</v>
      </c>
      <c r="V30" s="855"/>
    </row>
    <row r="31" spans="1:22">
      <c r="A31" s="132"/>
      <c r="B31" s="136" t="s">
        <v>172</v>
      </c>
      <c r="C31" s="135">
        <f t="shared" si="2"/>
        <v>40001284.342798188</v>
      </c>
      <c r="D31" s="124">
        <f t="shared" si="3"/>
        <v>856434999.97154915</v>
      </c>
      <c r="E31" s="997"/>
      <c r="F31" s="991"/>
      <c r="G31" s="137">
        <f>'P &amp; NP'!CE9</f>
        <v>4684302</v>
      </c>
      <c r="H31" s="125">
        <f>'P &amp; NP'!CF9</f>
        <v>18737206.061000001</v>
      </c>
      <c r="I31" s="125">
        <f>'P &amp; NP'!CG9</f>
        <v>20040735.342798188</v>
      </c>
      <c r="J31" s="125">
        <f>'P &amp; NP'!CH9</f>
        <v>588780871.63413942</v>
      </c>
      <c r="K31" s="125">
        <f>'P &amp; NP'!CK9</f>
        <v>15276247</v>
      </c>
      <c r="L31" s="125">
        <f>'P &amp; NP'!CL9</f>
        <v>248916922.27640975</v>
      </c>
      <c r="M31" s="125">
        <f>'P &amp; NP'!CM9</f>
        <v>0</v>
      </c>
      <c r="N31" s="125">
        <f>'P &amp; NP'!CN9</f>
        <v>0</v>
      </c>
      <c r="O31" s="125">
        <f>'P &amp; NP'!CO9</f>
        <v>0</v>
      </c>
      <c r="P31" s="125">
        <f>'P &amp; NP'!CP9</f>
        <v>0</v>
      </c>
      <c r="Q31" s="125">
        <f>'P &amp; NP'!CQ9</f>
        <v>0</v>
      </c>
      <c r="R31" s="126">
        <f>'P &amp; NP'!CR9</f>
        <v>0</v>
      </c>
      <c r="V31" s="855"/>
    </row>
    <row r="32" spans="1:22">
      <c r="A32" s="138"/>
      <c r="B32" s="139" t="s">
        <v>173</v>
      </c>
      <c r="C32" s="140">
        <f t="shared" si="2"/>
        <v>38749361.850006089</v>
      </c>
      <c r="D32" s="141">
        <f t="shared" si="3"/>
        <v>789282944.83024943</v>
      </c>
      <c r="E32" s="998"/>
      <c r="F32" s="992"/>
      <c r="G32" s="142">
        <f>'P &amp; NP'!CE10</f>
        <v>6470502.2353997882</v>
      </c>
      <c r="H32" s="143">
        <f>'P &amp; NP'!CF10</f>
        <v>22770499.971943468</v>
      </c>
      <c r="I32" s="143">
        <f>'P &amp; NP'!CG10</f>
        <v>18901827.285221849</v>
      </c>
      <c r="J32" s="143">
        <f>'P &amp; NP'!CH10</f>
        <v>510944919.98044419</v>
      </c>
      <c r="K32" s="143">
        <f>'P &amp; NP'!CK10</f>
        <v>13377032.32938445</v>
      </c>
      <c r="L32" s="143">
        <f>'P &amp; NP'!CL10</f>
        <v>255567524.87786174</v>
      </c>
      <c r="M32" s="143">
        <f>'P &amp; NP'!CM10</f>
        <v>0</v>
      </c>
      <c r="N32" s="143">
        <f>'P &amp; NP'!CN10</f>
        <v>0</v>
      </c>
      <c r="O32" s="143">
        <f>'P &amp; NP'!CO10</f>
        <v>0</v>
      </c>
      <c r="P32" s="143">
        <f>'P &amp; NP'!CP10</f>
        <v>0</v>
      </c>
      <c r="Q32" s="143">
        <f>'P &amp; NP'!CQ10</f>
        <v>0</v>
      </c>
      <c r="R32" s="144">
        <f>'P &amp; NP'!CR10</f>
        <v>0</v>
      </c>
      <c r="V32" s="855"/>
    </row>
    <row r="33" spans="1:24">
      <c r="A33" s="132" t="s">
        <v>623</v>
      </c>
      <c r="B33" s="136" t="s">
        <v>170</v>
      </c>
      <c r="C33" s="135">
        <f t="shared" si="2"/>
        <v>4228988.0009917049</v>
      </c>
      <c r="D33" s="124">
        <f t="shared" si="3"/>
        <v>110725999.02399999</v>
      </c>
      <c r="E33" s="997">
        <f>SUM(C33:C36)</f>
        <v>16410715.470161088</v>
      </c>
      <c r="F33" s="991">
        <f>SUM(D33:D36)</f>
        <v>509080616.01699996</v>
      </c>
      <c r="G33" s="137">
        <f>'P &amp; NP'!CU7</f>
        <v>0</v>
      </c>
      <c r="H33" s="125">
        <f>'P &amp; NP'!CV7</f>
        <v>0</v>
      </c>
      <c r="I33" s="125">
        <f>'P &amp; NP'!CW7</f>
        <v>368555.00099170511</v>
      </c>
      <c r="J33" s="125">
        <f>'P &amp; NP'!CX7</f>
        <v>25496371.024999999</v>
      </c>
      <c r="K33" s="125">
        <f>'P &amp; NP'!DA7</f>
        <v>3844033</v>
      </c>
      <c r="L33" s="125">
        <f>'P &amp; NP'!DB7</f>
        <v>84800377.998999998</v>
      </c>
      <c r="M33" s="125">
        <f>'P &amp; NP'!DC7</f>
        <v>16400</v>
      </c>
      <c r="N33" s="125">
        <f>'P &amp; NP'!DD7</f>
        <v>429250</v>
      </c>
      <c r="O33" s="125">
        <f>'P &amp; NP'!DE7</f>
        <v>0</v>
      </c>
      <c r="P33" s="125">
        <f>'P &amp; NP'!DF7</f>
        <v>0</v>
      </c>
      <c r="Q33" s="125">
        <f>'P &amp; NP'!DG7</f>
        <v>0</v>
      </c>
      <c r="R33" s="126">
        <f>'P &amp; NP'!DH7</f>
        <v>0</v>
      </c>
      <c r="S33" s="183">
        <f t="shared" ref="S33:T33" si="9">SUM(C33:C36)</f>
        <v>16410715.470161088</v>
      </c>
      <c r="T33" s="183">
        <f t="shared" si="9"/>
        <v>509080616.01699996</v>
      </c>
      <c r="U33" s="855">
        <f>'P &amp; NP'!DI11</f>
        <v>16410715.470161086</v>
      </c>
      <c r="V33" s="855">
        <f>'P &amp; NP'!DJ11</f>
        <v>509080616.01700002</v>
      </c>
    </row>
    <row r="34" spans="1:24">
      <c r="A34" s="132"/>
      <c r="B34" s="136" t="s">
        <v>171</v>
      </c>
      <c r="C34" s="135">
        <f t="shared" si="2"/>
        <v>3332124.9983504312</v>
      </c>
      <c r="D34" s="124">
        <f t="shared" si="3"/>
        <v>108795590.04899999</v>
      </c>
      <c r="E34" s="997"/>
      <c r="F34" s="991"/>
      <c r="G34" s="137">
        <f>'P &amp; NP'!CU8</f>
        <v>0</v>
      </c>
      <c r="H34" s="125">
        <f>'P &amp; NP'!CV8</f>
        <v>0</v>
      </c>
      <c r="I34" s="125">
        <f>'P &amp; NP'!CW8</f>
        <v>899842.99584063143</v>
      </c>
      <c r="J34" s="125">
        <f>'P &amp; NP'!CX8</f>
        <v>55274378.995999999</v>
      </c>
      <c r="K34" s="125">
        <f>'P &amp; NP'!DA8</f>
        <v>2424928.0025097998</v>
      </c>
      <c r="L34" s="125">
        <f>'P &amp; NP'!DB8</f>
        <v>53354066.046999998</v>
      </c>
      <c r="M34" s="125">
        <f>'P &amp; NP'!DC8</f>
        <v>7354</v>
      </c>
      <c r="N34" s="125">
        <f>'P &amp; NP'!DD8</f>
        <v>167145.00599999999</v>
      </c>
      <c r="O34" s="125">
        <f>'P &amp; NP'!DE8</f>
        <v>0</v>
      </c>
      <c r="P34" s="125">
        <f>'P &amp; NP'!DF8</f>
        <v>0</v>
      </c>
      <c r="Q34" s="125">
        <f>'P &amp; NP'!DG8</f>
        <v>0</v>
      </c>
      <c r="R34" s="126">
        <f>'P &amp; NP'!DH8</f>
        <v>0</v>
      </c>
      <c r="V34" s="855"/>
    </row>
    <row r="35" spans="1:24">
      <c r="A35" s="132"/>
      <c r="B35" s="136" t="s">
        <v>172</v>
      </c>
      <c r="C35" s="135">
        <f t="shared" si="2"/>
        <v>4388839.9370154981</v>
      </c>
      <c r="D35" s="124">
        <f t="shared" si="3"/>
        <v>145576493.82100001</v>
      </c>
      <c r="E35" s="997"/>
      <c r="F35" s="991"/>
      <c r="G35" s="137">
        <f>'P &amp; NP'!CU9</f>
        <v>0</v>
      </c>
      <c r="H35" s="125">
        <f>'P &amp; NP'!CV9</f>
        <v>0</v>
      </c>
      <c r="I35" s="125">
        <f>'P &amp; NP'!CW9</f>
        <v>1361309.9366494976</v>
      </c>
      <c r="J35" s="125">
        <f>'P &amp; NP'!CX9</f>
        <v>78790058.811000004</v>
      </c>
      <c r="K35" s="125">
        <f>'P &amp; NP'!DA9</f>
        <v>3021985</v>
      </c>
      <c r="L35" s="125">
        <f>'P &amp; NP'!DB9</f>
        <v>66662525.001000002</v>
      </c>
      <c r="M35" s="125">
        <f>'P &amp; NP'!DC9</f>
        <v>5545.0003660000002</v>
      </c>
      <c r="N35" s="125">
        <f>'P &amp; NP'!DD9</f>
        <v>123910.00899999999</v>
      </c>
      <c r="O35" s="125">
        <f>'P &amp; NP'!DE9</f>
        <v>0</v>
      </c>
      <c r="P35" s="125">
        <f>'P &amp; NP'!DF9</f>
        <v>0</v>
      </c>
      <c r="Q35" s="125">
        <f>'P &amp; NP'!DG9</f>
        <v>0</v>
      </c>
      <c r="R35" s="126">
        <f>'P &amp; NP'!DH9</f>
        <v>0</v>
      </c>
      <c r="V35" s="855"/>
    </row>
    <row r="36" spans="1:24">
      <c r="A36" s="138"/>
      <c r="B36" s="139" t="s">
        <v>173</v>
      </c>
      <c r="C36" s="140">
        <f t="shared" si="2"/>
        <v>4460762.5338034537</v>
      </c>
      <c r="D36" s="141">
        <f t="shared" si="3"/>
        <v>143982533.123</v>
      </c>
      <c r="E36" s="998"/>
      <c r="F36" s="992"/>
      <c r="G36" s="142">
        <f>'P &amp; NP'!CU10</f>
        <v>0</v>
      </c>
      <c r="H36" s="143">
        <f>'P &amp; NP'!CV10</f>
        <v>0</v>
      </c>
      <c r="I36" s="143">
        <f>'P &amp; NP'!CW10</f>
        <v>1308359.9993748225</v>
      </c>
      <c r="J36" s="143">
        <f>'P &amp; NP'!CX10</f>
        <v>75645055.620999992</v>
      </c>
      <c r="K36" s="143">
        <f>'P &amp; NP'!DA10</f>
        <v>3145979.534428631</v>
      </c>
      <c r="L36" s="143">
        <f>'P &amp; NP'!DB10</f>
        <v>68177902.502000004</v>
      </c>
      <c r="M36" s="143">
        <f>'P &amp; NP'!DC10</f>
        <v>6423</v>
      </c>
      <c r="N36" s="143">
        <f>'P &amp; NP'!DD10</f>
        <v>159575</v>
      </c>
      <c r="O36" s="143">
        <f>'P &amp; NP'!DE10</f>
        <v>0</v>
      </c>
      <c r="P36" s="143">
        <f>'P &amp; NP'!DF10</f>
        <v>0</v>
      </c>
      <c r="Q36" s="143">
        <f>'P &amp; NP'!DG10</f>
        <v>0</v>
      </c>
      <c r="R36" s="144">
        <f>'P &amp; NP'!DH10</f>
        <v>0</v>
      </c>
      <c r="V36" s="855"/>
    </row>
    <row r="37" spans="1:24">
      <c r="A37" s="132" t="s">
        <v>624</v>
      </c>
      <c r="B37" s="136" t="s">
        <v>170</v>
      </c>
      <c r="C37" s="135">
        <f t="shared" si="2"/>
        <v>3845700</v>
      </c>
      <c r="D37" s="124">
        <f t="shared" si="3"/>
        <v>68454750</v>
      </c>
      <c r="E37" s="997">
        <f>SUM(C37:C40)</f>
        <v>14792000</v>
      </c>
      <c r="F37" s="991">
        <f>SUM(D37:D40)</f>
        <v>269622700</v>
      </c>
      <c r="G37" s="137">
        <f>'P &amp; NP'!DK7</f>
        <v>0</v>
      </c>
      <c r="H37" s="125">
        <f>'P &amp; NP'!DL7</f>
        <v>0</v>
      </c>
      <c r="I37" s="125">
        <f>'P &amp; NP'!DM7</f>
        <v>0</v>
      </c>
      <c r="J37" s="125">
        <f>'P &amp; NP'!DN7</f>
        <v>0</v>
      </c>
      <c r="K37" s="125">
        <f>'P &amp; NP'!DQ7</f>
        <v>3845700</v>
      </c>
      <c r="L37" s="125">
        <f>'P &amp; NP'!DR7</f>
        <v>68454750</v>
      </c>
      <c r="M37" s="125">
        <f>'P &amp; NP'!DS7</f>
        <v>0</v>
      </c>
      <c r="N37" s="125">
        <f>'P &amp; NP'!DT7</f>
        <v>0</v>
      </c>
      <c r="O37" s="125">
        <f>'P &amp; NP'!DU7</f>
        <v>0</v>
      </c>
      <c r="P37" s="125">
        <f>'P &amp; NP'!DV7</f>
        <v>0</v>
      </c>
      <c r="Q37" s="125">
        <f>'P &amp; NP'!DW7</f>
        <v>0</v>
      </c>
      <c r="R37" s="126">
        <f>'P &amp; NP'!DX7</f>
        <v>0</v>
      </c>
      <c r="S37" s="183">
        <f t="shared" ref="S37:T37" si="10">SUM(C37:C40)</f>
        <v>14792000</v>
      </c>
      <c r="T37" s="183">
        <f t="shared" si="10"/>
        <v>269622700</v>
      </c>
      <c r="U37" s="855">
        <f>'P &amp; NP'!DY11</f>
        <v>14792000</v>
      </c>
      <c r="V37" s="855">
        <f>'P &amp; NP'!DZ11</f>
        <v>269622700</v>
      </c>
    </row>
    <row r="38" spans="1:24">
      <c r="A38" s="132"/>
      <c r="B38" s="136" t="s">
        <v>171</v>
      </c>
      <c r="C38" s="135">
        <f t="shared" si="2"/>
        <v>3727800</v>
      </c>
      <c r="D38" s="124">
        <f t="shared" si="3"/>
        <v>66539750</v>
      </c>
      <c r="E38" s="997"/>
      <c r="F38" s="991"/>
      <c r="G38" s="137">
        <f>'P &amp; NP'!DK8</f>
        <v>0</v>
      </c>
      <c r="H38" s="125">
        <f>'P &amp; NP'!DL8</f>
        <v>0</v>
      </c>
      <c r="I38" s="125">
        <f>'P &amp; NP'!DM8</f>
        <v>0</v>
      </c>
      <c r="J38" s="125">
        <f>'P &amp; NP'!DN8</f>
        <v>0</v>
      </c>
      <c r="K38" s="125">
        <f>'P &amp; NP'!DQ8</f>
        <v>3727800</v>
      </c>
      <c r="L38" s="125">
        <f>'P &amp; NP'!DR8</f>
        <v>66539750</v>
      </c>
      <c r="M38" s="125">
        <f>'P &amp; NP'!DS8</f>
        <v>0</v>
      </c>
      <c r="N38" s="125">
        <f>'P &amp; NP'!DT8</f>
        <v>0</v>
      </c>
      <c r="O38" s="125">
        <f>'P &amp; NP'!DU8</f>
        <v>0</v>
      </c>
      <c r="P38" s="125">
        <f>'P &amp; NP'!DV8</f>
        <v>0</v>
      </c>
      <c r="Q38" s="125">
        <f>'P &amp; NP'!DW8</f>
        <v>0</v>
      </c>
      <c r="R38" s="126">
        <f>'P &amp; NP'!DX8</f>
        <v>0</v>
      </c>
      <c r="V38" s="855"/>
    </row>
    <row r="39" spans="1:24">
      <c r="A39" s="132"/>
      <c r="B39" s="136" t="s">
        <v>172</v>
      </c>
      <c r="C39" s="135">
        <f t="shared" si="2"/>
        <v>3551900</v>
      </c>
      <c r="D39" s="124">
        <f t="shared" si="3"/>
        <v>63831100</v>
      </c>
      <c r="E39" s="997"/>
      <c r="F39" s="991"/>
      <c r="G39" s="137">
        <f>'P &amp; NP'!DK9</f>
        <v>0</v>
      </c>
      <c r="H39" s="125">
        <f>'P &amp; NP'!DL9</f>
        <v>0</v>
      </c>
      <c r="I39" s="125">
        <f>'P &amp; NP'!DM9</f>
        <v>0</v>
      </c>
      <c r="J39" s="125">
        <f>'P &amp; NP'!DN9</f>
        <v>0</v>
      </c>
      <c r="K39" s="125">
        <f>'P &amp; NP'!DQ9</f>
        <v>3551900</v>
      </c>
      <c r="L39" s="125">
        <f>'P &amp; NP'!DR9</f>
        <v>63831100</v>
      </c>
      <c r="M39" s="125">
        <f>'P &amp; NP'!DS9</f>
        <v>0</v>
      </c>
      <c r="N39" s="125">
        <f>'P &amp; NP'!DT9</f>
        <v>0</v>
      </c>
      <c r="O39" s="125">
        <f>'P &amp; NP'!DU9</f>
        <v>0</v>
      </c>
      <c r="P39" s="125">
        <f>'P &amp; NP'!DV9</f>
        <v>0</v>
      </c>
      <c r="Q39" s="125">
        <f>'P &amp; NP'!DW9</f>
        <v>0</v>
      </c>
      <c r="R39" s="126">
        <f>'P &amp; NP'!DX9</f>
        <v>0</v>
      </c>
      <c r="V39" s="855"/>
    </row>
    <row r="40" spans="1:24">
      <c r="A40" s="138"/>
      <c r="B40" s="139" t="s">
        <v>173</v>
      </c>
      <c r="C40" s="140">
        <f t="shared" si="2"/>
        <v>3666600</v>
      </c>
      <c r="D40" s="141">
        <f t="shared" si="3"/>
        <v>70797100</v>
      </c>
      <c r="E40" s="998"/>
      <c r="F40" s="992"/>
      <c r="G40" s="142">
        <f>'P &amp; NP'!DK10</f>
        <v>0</v>
      </c>
      <c r="H40" s="143">
        <f>'P &amp; NP'!DL10</f>
        <v>0</v>
      </c>
      <c r="I40" s="143">
        <f>'P &amp; NP'!DM10</f>
        <v>0</v>
      </c>
      <c r="J40" s="143">
        <f>'P &amp; NP'!DN10</f>
        <v>0</v>
      </c>
      <c r="K40" s="143">
        <f>'P &amp; NP'!DQ10</f>
        <v>3666600</v>
      </c>
      <c r="L40" s="143">
        <f>'P &amp; NP'!DR10</f>
        <v>70797100</v>
      </c>
      <c r="M40" s="143">
        <f>'P &amp; NP'!DS10</f>
        <v>0</v>
      </c>
      <c r="N40" s="143">
        <f>'P &amp; NP'!DT10</f>
        <v>0</v>
      </c>
      <c r="O40" s="143">
        <f>'P &amp; NP'!DU10</f>
        <v>0</v>
      </c>
      <c r="P40" s="143">
        <f>'P &amp; NP'!DV10</f>
        <v>0</v>
      </c>
      <c r="Q40" s="143">
        <f>'P &amp; NP'!DW10</f>
        <v>0</v>
      </c>
      <c r="R40" s="144">
        <f>'P &amp; NP'!DX10</f>
        <v>0</v>
      </c>
      <c r="V40" s="855"/>
    </row>
    <row r="41" spans="1:24">
      <c r="A41" s="132" t="s">
        <v>625</v>
      </c>
      <c r="B41" s="136" t="s">
        <v>170</v>
      </c>
      <c r="C41" s="135">
        <f t="shared" ref="C41:C72" si="11">SUM(G41,I41,K41,M41,O41,Q41)</f>
        <v>6417120</v>
      </c>
      <c r="D41" s="124">
        <f t="shared" ref="D41:D72" si="12">SUM(H41,J41,L41,N41,P41,R41)</f>
        <v>120453120</v>
      </c>
      <c r="E41" s="997">
        <f>SUM(C41:C44)</f>
        <v>25514275</v>
      </c>
      <c r="F41" s="991">
        <f>SUM(D41:D44)</f>
        <v>482643365</v>
      </c>
      <c r="G41" s="137">
        <f>'P &amp; NP'!EA7</f>
        <v>0</v>
      </c>
      <c r="H41" s="125">
        <f>'P &amp; NP'!EB7</f>
        <v>0</v>
      </c>
      <c r="I41" s="125">
        <f>'P &amp; NP'!EC7</f>
        <v>0</v>
      </c>
      <c r="J41" s="125">
        <f>'P &amp; NP'!ED7</f>
        <v>0</v>
      </c>
      <c r="K41" s="125">
        <f>'P &amp; NP'!EG7</f>
        <v>6417120</v>
      </c>
      <c r="L41" s="125">
        <f>'P &amp; NP'!EH7</f>
        <v>120453120</v>
      </c>
      <c r="M41" s="125">
        <f>'P &amp; NP'!EI7</f>
        <v>0</v>
      </c>
      <c r="N41" s="125">
        <f>'P &amp; NP'!EJ7</f>
        <v>0</v>
      </c>
      <c r="O41" s="125">
        <f>'P &amp; NP'!EK7</f>
        <v>0</v>
      </c>
      <c r="P41" s="125">
        <f>'P &amp; NP'!EL7</f>
        <v>0</v>
      </c>
      <c r="Q41" s="125">
        <f>'P &amp; NP'!EM7</f>
        <v>0</v>
      </c>
      <c r="R41" s="126">
        <f>'P &amp; NP'!EN7</f>
        <v>0</v>
      </c>
      <c r="S41" s="183">
        <f t="shared" ref="S41:T41" si="13">SUM(C41:C44)</f>
        <v>25514275</v>
      </c>
      <c r="T41" s="183">
        <f t="shared" si="13"/>
        <v>482643365</v>
      </c>
      <c r="U41" s="855">
        <f>'P &amp; NP'!EO11</f>
        <v>25514275</v>
      </c>
      <c r="V41" s="855">
        <f>'P &amp; NP'!EP11</f>
        <v>482643365</v>
      </c>
    </row>
    <row r="42" spans="1:24">
      <c r="A42" s="132"/>
      <c r="B42" s="136" t="s">
        <v>171</v>
      </c>
      <c r="C42" s="135">
        <f t="shared" si="11"/>
        <v>6917120</v>
      </c>
      <c r="D42" s="124">
        <f t="shared" si="12"/>
        <v>129541360</v>
      </c>
      <c r="E42" s="997"/>
      <c r="F42" s="991"/>
      <c r="G42" s="137">
        <f>'P &amp; NP'!EA8</f>
        <v>0</v>
      </c>
      <c r="H42" s="125">
        <f>'P &amp; NP'!EB8</f>
        <v>0</v>
      </c>
      <c r="I42" s="125">
        <f>'P &amp; NP'!EC8</f>
        <v>0</v>
      </c>
      <c r="J42" s="125">
        <f>'P &amp; NP'!ED8</f>
        <v>0</v>
      </c>
      <c r="K42" s="125">
        <f>'P &amp; NP'!EG8</f>
        <v>6917120</v>
      </c>
      <c r="L42" s="125">
        <f>'P &amp; NP'!EH8</f>
        <v>129541360</v>
      </c>
      <c r="M42" s="125">
        <f>'P &amp; NP'!EI8</f>
        <v>0</v>
      </c>
      <c r="N42" s="125">
        <f>'P &amp; NP'!EJ8</f>
        <v>0</v>
      </c>
      <c r="O42" s="125">
        <f>'P &amp; NP'!EK8</f>
        <v>0</v>
      </c>
      <c r="P42" s="125">
        <f>'P &amp; NP'!EL8</f>
        <v>0</v>
      </c>
      <c r="Q42" s="125">
        <f>'P &amp; NP'!EM8</f>
        <v>0</v>
      </c>
      <c r="R42" s="126">
        <f>'P &amp; NP'!EN8</f>
        <v>0</v>
      </c>
      <c r="V42" s="855"/>
    </row>
    <row r="43" spans="1:24">
      <c r="A43" s="132"/>
      <c r="B43" s="136" t="s">
        <v>172</v>
      </c>
      <c r="C43" s="135">
        <f>SUM(G43,I43,K43,M43,O43,Q43)</f>
        <v>6098785</v>
      </c>
      <c r="D43" s="124">
        <f t="shared" si="12"/>
        <v>114743815</v>
      </c>
      <c r="E43" s="997"/>
      <c r="F43" s="991"/>
      <c r="G43" s="137">
        <f>'P &amp; NP'!EA9</f>
        <v>0</v>
      </c>
      <c r="H43" s="125">
        <f>'P &amp; NP'!EB9</f>
        <v>0</v>
      </c>
      <c r="I43" s="125">
        <f>'P &amp; NP'!EC9</f>
        <v>0</v>
      </c>
      <c r="J43" s="125">
        <f>'P &amp; NP'!ED9</f>
        <v>0</v>
      </c>
      <c r="K43" s="125">
        <f>'P &amp; NP'!EG9</f>
        <v>6098785</v>
      </c>
      <c r="L43" s="125">
        <f>'P &amp; NP'!EH9</f>
        <v>114743815</v>
      </c>
      <c r="M43" s="125">
        <f>'P &amp; NP'!EI9</f>
        <v>0</v>
      </c>
      <c r="N43" s="125">
        <f>'P &amp; NP'!EJ9</f>
        <v>0</v>
      </c>
      <c r="O43" s="125">
        <f>'P &amp; NP'!EK9</f>
        <v>0</v>
      </c>
      <c r="P43" s="125">
        <f>'P &amp; NP'!EL9</f>
        <v>0</v>
      </c>
      <c r="Q43" s="125">
        <f>'P &amp; NP'!EM9</f>
        <v>0</v>
      </c>
      <c r="R43" s="126">
        <f>'P &amp; NP'!EN9</f>
        <v>0</v>
      </c>
      <c r="V43" s="855"/>
    </row>
    <row r="44" spans="1:24">
      <c r="A44" s="138"/>
      <c r="B44" s="139" t="s">
        <v>173</v>
      </c>
      <c r="C44" s="140">
        <f t="shared" si="11"/>
        <v>6081250</v>
      </c>
      <c r="D44" s="141">
        <f t="shared" si="12"/>
        <v>117905070</v>
      </c>
      <c r="E44" s="998"/>
      <c r="F44" s="992"/>
      <c r="G44" s="142">
        <f>'P &amp; NP'!EA10</f>
        <v>0</v>
      </c>
      <c r="H44" s="143">
        <f>'P &amp; NP'!EB10</f>
        <v>0</v>
      </c>
      <c r="I44" s="143">
        <f>'P &amp; NP'!EC10</f>
        <v>0</v>
      </c>
      <c r="J44" s="125">
        <f>'P &amp; NP'!ED10</f>
        <v>0</v>
      </c>
      <c r="K44" s="143">
        <f>'P &amp; NP'!EG10</f>
        <v>6081250</v>
      </c>
      <c r="L44" s="143">
        <f>'P &amp; NP'!EH10</f>
        <v>117905070</v>
      </c>
      <c r="M44" s="143">
        <f>'P &amp; NP'!EI10</f>
        <v>0</v>
      </c>
      <c r="N44" s="143">
        <f>'P &amp; NP'!EJ10</f>
        <v>0</v>
      </c>
      <c r="O44" s="143">
        <f>'P &amp; NP'!EK10</f>
        <v>0</v>
      </c>
      <c r="P44" s="143">
        <f>'P &amp; NP'!EL10</f>
        <v>0</v>
      </c>
      <c r="Q44" s="143">
        <f>'P &amp; NP'!EM10</f>
        <v>0</v>
      </c>
      <c r="R44" s="144">
        <f>'P &amp; NP'!EN10</f>
        <v>0</v>
      </c>
      <c r="V44" s="855"/>
    </row>
    <row r="45" spans="1:24">
      <c r="A45" s="132" t="s">
        <v>626</v>
      </c>
      <c r="B45" s="136" t="s">
        <v>170</v>
      </c>
      <c r="C45" s="135">
        <f t="shared" si="11"/>
        <v>13960780</v>
      </c>
      <c r="D45" s="124">
        <f t="shared" si="12"/>
        <v>470042912</v>
      </c>
      <c r="E45" s="997">
        <f>SUM(C45:C48)</f>
        <v>46941847</v>
      </c>
      <c r="F45" s="991">
        <f>SUM(D45:D48)</f>
        <v>1429853525</v>
      </c>
      <c r="G45" s="137">
        <f>'P &amp; NP'!EQ7</f>
        <v>0</v>
      </c>
      <c r="H45" s="125">
        <f>'P &amp; NP'!ER7</f>
        <v>0</v>
      </c>
      <c r="I45" s="125">
        <f>'P &amp; NP'!ES7</f>
        <v>1248695</v>
      </c>
      <c r="J45" s="125">
        <f>'P &amp; NP'!ET7</f>
        <v>77754145</v>
      </c>
      <c r="K45" s="125">
        <f>'P &amp; NP'!EW7</f>
        <v>12692278</v>
      </c>
      <c r="L45" s="125">
        <f>'P &amp; NP'!EX7</f>
        <v>391849110</v>
      </c>
      <c r="M45" s="125">
        <f>'P &amp; NP'!EY7</f>
        <v>0</v>
      </c>
      <c r="N45" s="125">
        <f>'P &amp; NP'!EZ7</f>
        <v>0</v>
      </c>
      <c r="O45" s="125">
        <f>'P &amp; NP'!FA7</f>
        <v>18506</v>
      </c>
      <c r="P45" s="125">
        <f>'P &amp; NP'!FB7</f>
        <v>407132</v>
      </c>
      <c r="Q45" s="125">
        <f>'P &amp; NP'!FC7</f>
        <v>1301</v>
      </c>
      <c r="R45" s="126">
        <f>'P &amp; NP'!FD7</f>
        <v>32525</v>
      </c>
      <c r="S45" s="183">
        <f t="shared" ref="S45:T45" si="14">SUM(C45:C48)</f>
        <v>46941847</v>
      </c>
      <c r="T45" s="183">
        <f t="shared" si="14"/>
        <v>1429853525</v>
      </c>
      <c r="U45" s="855">
        <f>'P &amp; NP'!FE11</f>
        <v>46941847</v>
      </c>
      <c r="V45" s="855">
        <f>'P &amp; NP'!FF11</f>
        <v>1429853525</v>
      </c>
      <c r="W45" s="183"/>
      <c r="X45" s="183"/>
    </row>
    <row r="46" spans="1:24">
      <c r="A46" s="132"/>
      <c r="B46" s="136" t="s">
        <v>171</v>
      </c>
      <c r="C46" s="135">
        <f t="shared" si="11"/>
        <v>28179906</v>
      </c>
      <c r="D46" s="124">
        <f t="shared" si="12"/>
        <v>771527012</v>
      </c>
      <c r="E46" s="997"/>
      <c r="F46" s="991"/>
      <c r="G46" s="137">
        <f>'P &amp; NP'!EQ8</f>
        <v>0</v>
      </c>
      <c r="H46" s="125">
        <f>'P &amp; NP'!ER8</f>
        <v>0</v>
      </c>
      <c r="I46" s="125">
        <f>'P &amp; NP'!ES8</f>
        <v>1598331</v>
      </c>
      <c r="J46" s="125">
        <f>'P &amp; NP'!ET8</f>
        <v>101722343</v>
      </c>
      <c r="K46" s="125">
        <f>'P &amp; NP'!EW8</f>
        <v>26542376</v>
      </c>
      <c r="L46" s="125">
        <f>'P &amp; NP'!EX8</f>
        <v>669147034</v>
      </c>
      <c r="M46" s="125">
        <f>'P &amp; NP'!EY8</f>
        <v>0</v>
      </c>
      <c r="N46" s="125">
        <f>'P &amp; NP'!EZ8</f>
        <v>0</v>
      </c>
      <c r="O46" s="125">
        <f>'P &amp; NP'!FA8</f>
        <v>37012</v>
      </c>
      <c r="P46" s="125">
        <f>'P &amp; NP'!FB8</f>
        <v>629204</v>
      </c>
      <c r="Q46" s="125">
        <f>'P &amp; NP'!FC8</f>
        <v>2187</v>
      </c>
      <c r="R46" s="126">
        <f>'P &amp; NP'!FD8</f>
        <v>28431</v>
      </c>
      <c r="V46" s="855"/>
    </row>
    <row r="47" spans="1:24">
      <c r="A47" s="132"/>
      <c r="B47" s="136" t="s">
        <v>172</v>
      </c>
      <c r="C47" s="135">
        <f t="shared" si="11"/>
        <v>3015313</v>
      </c>
      <c r="D47" s="124">
        <f t="shared" si="12"/>
        <v>106659122</v>
      </c>
      <c r="E47" s="997"/>
      <c r="F47" s="991"/>
      <c r="G47" s="137">
        <f>'P &amp; NP'!EQ9</f>
        <v>0</v>
      </c>
      <c r="H47" s="125">
        <f>'P &amp; NP'!ER9</f>
        <v>0</v>
      </c>
      <c r="I47" s="125">
        <f>'P &amp; NP'!ES9</f>
        <v>963980</v>
      </c>
      <c r="J47" s="125">
        <f>'P &amp; NP'!ET9</f>
        <v>53607654</v>
      </c>
      <c r="K47" s="125">
        <f>'P &amp; NP'!EW9</f>
        <v>2039032</v>
      </c>
      <c r="L47" s="125">
        <f>'P &amp; NP'!EX9</f>
        <v>52820908</v>
      </c>
      <c r="M47" s="125">
        <f>'P &amp; NP'!EY9</f>
        <v>0</v>
      </c>
      <c r="N47" s="125">
        <f>'P &amp; NP'!EZ9</f>
        <v>0</v>
      </c>
      <c r="O47" s="125">
        <f>'P &amp; NP'!FA9</f>
        <v>11104</v>
      </c>
      <c r="P47" s="125">
        <f>'P &amp; NP'!FB9</f>
        <v>205424</v>
      </c>
      <c r="Q47" s="125">
        <f>'P &amp; NP'!FC9</f>
        <v>1197</v>
      </c>
      <c r="R47" s="126">
        <f>'P &amp; NP'!FD9</f>
        <v>25136</v>
      </c>
      <c r="V47" s="855"/>
    </row>
    <row r="48" spans="1:24">
      <c r="A48" s="138"/>
      <c r="B48" s="139" t="s">
        <v>173</v>
      </c>
      <c r="C48" s="140">
        <f t="shared" si="11"/>
        <v>1785848</v>
      </c>
      <c r="D48" s="141">
        <f t="shared" si="12"/>
        <v>81624479</v>
      </c>
      <c r="E48" s="998"/>
      <c r="F48" s="992"/>
      <c r="G48" s="142">
        <f>'P &amp; NP'!EQ10</f>
        <v>0</v>
      </c>
      <c r="H48" s="143">
        <f>'P &amp; NP'!ER10</f>
        <v>0</v>
      </c>
      <c r="I48" s="143">
        <f>'P &amp; NP'!ES10</f>
        <v>1070271</v>
      </c>
      <c r="J48" s="143">
        <f>'P &amp; NP'!ET10</f>
        <v>63435530</v>
      </c>
      <c r="K48" s="143">
        <f>'P &amp; NP'!EW10</f>
        <v>707638</v>
      </c>
      <c r="L48" s="143">
        <f>'P &amp; NP'!EX10</f>
        <v>18044985</v>
      </c>
      <c r="M48" s="143">
        <f>'P &amp; NP'!EY10</f>
        <v>0</v>
      </c>
      <c r="N48" s="143">
        <f>'P &amp; NP'!EZ10</f>
        <v>0</v>
      </c>
      <c r="O48" s="143">
        <f>'P &amp; NP'!FA10</f>
        <v>7408</v>
      </c>
      <c r="P48" s="143">
        <f>'P &amp; NP'!FB10</f>
        <v>133344</v>
      </c>
      <c r="Q48" s="143">
        <f>'P &amp; NP'!FC10</f>
        <v>531</v>
      </c>
      <c r="R48" s="144">
        <f>'P &amp; NP'!FD10</f>
        <v>10620</v>
      </c>
      <c r="V48" s="855"/>
    </row>
    <row r="49" spans="1:22">
      <c r="A49" s="132" t="s">
        <v>627</v>
      </c>
      <c r="B49" s="136" t="s">
        <v>170</v>
      </c>
      <c r="C49" s="135">
        <f t="shared" si="11"/>
        <v>1312000.3999999999</v>
      </c>
      <c r="D49" s="124">
        <f t="shared" si="12"/>
        <v>48116047</v>
      </c>
      <c r="E49" s="997">
        <f>SUM(C49:C52)</f>
        <v>5111596.4000000004</v>
      </c>
      <c r="F49" s="991">
        <f>SUM(D49:D52)</f>
        <v>184671934.5</v>
      </c>
      <c r="G49" s="137">
        <f>'P &amp; NP'!FG7</f>
        <v>0</v>
      </c>
      <c r="H49" s="125">
        <f>'P &amp; NP'!FH7</f>
        <v>0</v>
      </c>
      <c r="I49" s="125">
        <f>'P &amp; NP'!FI7</f>
        <v>385000</v>
      </c>
      <c r="J49" s="125">
        <f>'P &amp; NP'!FJ7</f>
        <v>23100000</v>
      </c>
      <c r="K49" s="125">
        <f>'P &amp; NP'!FM7</f>
        <v>692000.4</v>
      </c>
      <c r="L49" s="125">
        <f>'P &amp; NP'!FN7</f>
        <v>17966047</v>
      </c>
      <c r="M49" s="125">
        <f>'P &amp; NP'!FO7</f>
        <v>0</v>
      </c>
      <c r="N49" s="125">
        <f>'P &amp; NP'!FP7</f>
        <v>0</v>
      </c>
      <c r="O49" s="125">
        <f>'P &amp; NP'!FQ7</f>
        <v>0</v>
      </c>
      <c r="P49" s="125">
        <f>'P &amp; NP'!FR7</f>
        <v>0</v>
      </c>
      <c r="Q49" s="125">
        <f>'P &amp; NP'!FS7</f>
        <v>235000</v>
      </c>
      <c r="R49" s="126">
        <f>'P &amp; NP'!FT7</f>
        <v>7050000</v>
      </c>
      <c r="S49" s="183">
        <f t="shared" ref="S49:T49" si="15">SUM(C49:C52)</f>
        <v>5111596.4000000004</v>
      </c>
      <c r="T49" s="183">
        <f t="shared" si="15"/>
        <v>184671934.5</v>
      </c>
      <c r="U49" s="855">
        <f>'P &amp; NP'!FU11</f>
        <v>5111596.4000000004</v>
      </c>
      <c r="V49" s="855">
        <f>'P &amp; NP'!FV11</f>
        <v>184671934.5</v>
      </c>
    </row>
    <row r="50" spans="1:22">
      <c r="A50" s="132"/>
      <c r="B50" s="136" t="s">
        <v>171</v>
      </c>
      <c r="C50" s="135">
        <f t="shared" si="11"/>
        <v>1263317</v>
      </c>
      <c r="D50" s="124">
        <f t="shared" si="12"/>
        <v>45701162</v>
      </c>
      <c r="E50" s="997"/>
      <c r="F50" s="991"/>
      <c r="G50" s="137">
        <f>'P &amp; NP'!FG8</f>
        <v>0</v>
      </c>
      <c r="H50" s="125">
        <f>'P &amp; NP'!FH8</f>
        <v>0</v>
      </c>
      <c r="I50" s="125">
        <f>'P &amp; NP'!FI8</f>
        <v>370000</v>
      </c>
      <c r="J50" s="125">
        <f>'P &amp; NP'!FJ8</f>
        <v>22200000</v>
      </c>
      <c r="K50" s="125">
        <f>'P &amp; NP'!FM8</f>
        <v>679232</v>
      </c>
      <c r="L50" s="125">
        <f>'P &amp; NP'!FN8</f>
        <v>17078612</v>
      </c>
      <c r="M50" s="125">
        <f>'P &amp; NP'!FO8</f>
        <v>0</v>
      </c>
      <c r="N50" s="125">
        <f>'P &amp; NP'!FP8</f>
        <v>0</v>
      </c>
      <c r="O50" s="125">
        <f>'P &amp; NP'!FQ8</f>
        <v>0</v>
      </c>
      <c r="P50" s="125">
        <f>'P &amp; NP'!FR8</f>
        <v>0</v>
      </c>
      <c r="Q50" s="125">
        <f>'P &amp; NP'!FS8</f>
        <v>214085</v>
      </c>
      <c r="R50" s="126">
        <f>'P &amp; NP'!FT8</f>
        <v>6422550</v>
      </c>
      <c r="V50" s="855"/>
    </row>
    <row r="51" spans="1:22">
      <c r="A51" s="132"/>
      <c r="B51" s="136" t="s">
        <v>172</v>
      </c>
      <c r="C51" s="135">
        <f t="shared" si="11"/>
        <v>1250893</v>
      </c>
      <c r="D51" s="124">
        <f t="shared" si="12"/>
        <v>44573395</v>
      </c>
      <c r="E51" s="997"/>
      <c r="F51" s="991"/>
      <c r="G51" s="137">
        <f>'P &amp; NP'!FG9</f>
        <v>0</v>
      </c>
      <c r="H51" s="125">
        <f>'P &amp; NP'!FH9</f>
        <v>0</v>
      </c>
      <c r="I51" s="125">
        <f>'P &amp; NP'!FI9</f>
        <v>360000</v>
      </c>
      <c r="J51" s="125">
        <f>'P &amp; NP'!FJ9</f>
        <v>21600000</v>
      </c>
      <c r="K51" s="125">
        <f>'P &amp; NP'!FM9</f>
        <v>680268</v>
      </c>
      <c r="L51" s="125">
        <f>'P &amp; NP'!FN9</f>
        <v>17075895</v>
      </c>
      <c r="M51" s="125">
        <f>'P &amp; NP'!FO9</f>
        <v>0</v>
      </c>
      <c r="N51" s="125">
        <f>'P &amp; NP'!FP9</f>
        <v>0</v>
      </c>
      <c r="O51" s="125">
        <f>'P &amp; NP'!FQ9</f>
        <v>0</v>
      </c>
      <c r="P51" s="125">
        <f>'P &amp; NP'!FR9</f>
        <v>0</v>
      </c>
      <c r="Q51" s="125">
        <f>'P &amp; NP'!FS9</f>
        <v>210625</v>
      </c>
      <c r="R51" s="126">
        <f>'P &amp; NP'!FT9</f>
        <v>5897500</v>
      </c>
      <c r="V51" s="855"/>
    </row>
    <row r="52" spans="1:22">
      <c r="A52" s="138"/>
      <c r="B52" s="139" t="s">
        <v>173</v>
      </c>
      <c r="C52" s="140">
        <f t="shared" si="11"/>
        <v>1285386</v>
      </c>
      <c r="D52" s="141">
        <f t="shared" si="12"/>
        <v>46281330.5</v>
      </c>
      <c r="E52" s="998"/>
      <c r="F52" s="992"/>
      <c r="G52" s="142">
        <f>'P &amp; NP'!FG10</f>
        <v>0</v>
      </c>
      <c r="H52" s="143">
        <f>'P &amp; NP'!FH10</f>
        <v>0</v>
      </c>
      <c r="I52" s="143">
        <f>'P &amp; NP'!FI10</f>
        <v>375000</v>
      </c>
      <c r="J52" s="143">
        <f>'P &amp; NP'!FJ10</f>
        <v>22500000</v>
      </c>
      <c r="K52" s="143">
        <f>'P &amp; NP'!FM10</f>
        <v>685000</v>
      </c>
      <c r="L52" s="143">
        <f>'P &amp; NP'!FN10</f>
        <v>17300522.5</v>
      </c>
      <c r="M52" s="143">
        <f>'P &amp; NP'!FO10</f>
        <v>0</v>
      </c>
      <c r="N52" s="143">
        <f>'P &amp; NP'!FP10</f>
        <v>0</v>
      </c>
      <c r="O52" s="143">
        <f>'P &amp; NP'!FQ10</f>
        <v>0</v>
      </c>
      <c r="P52" s="143">
        <f>'P &amp; NP'!FR10</f>
        <v>0</v>
      </c>
      <c r="Q52" s="143">
        <f>'P &amp; NP'!FS10</f>
        <v>225386</v>
      </c>
      <c r="R52" s="144">
        <f>'P &amp; NP'!FT10</f>
        <v>6480808</v>
      </c>
      <c r="V52" s="855"/>
    </row>
    <row r="53" spans="1:22">
      <c r="A53" s="132" t="s">
        <v>628</v>
      </c>
      <c r="B53" s="136" t="s">
        <v>170</v>
      </c>
      <c r="C53" s="135">
        <f t="shared" si="11"/>
        <v>983300</v>
      </c>
      <c r="D53" s="124">
        <f t="shared" si="12"/>
        <v>20204450</v>
      </c>
      <c r="E53" s="997">
        <f>SUM(C53:C56)</f>
        <v>3850100</v>
      </c>
      <c r="F53" s="991">
        <f>SUM(D53:D56)</f>
        <v>79363625</v>
      </c>
      <c r="G53" s="137">
        <f>'P &amp; NP'!FW7</f>
        <v>0</v>
      </c>
      <c r="H53" s="125">
        <f>'P &amp; NP'!FX7</f>
        <v>0</v>
      </c>
      <c r="I53" s="125">
        <f>'P &amp; NP'!FY7</f>
        <v>0</v>
      </c>
      <c r="J53" s="125">
        <f>'P &amp; NP'!FZ7</f>
        <v>0</v>
      </c>
      <c r="K53" s="125">
        <f>'P &amp; NP'!GC7</f>
        <v>983300</v>
      </c>
      <c r="L53" s="125">
        <f>'P &amp; NP'!GD7</f>
        <v>20204450</v>
      </c>
      <c r="M53" s="125">
        <f>'P &amp; NP'!GE7</f>
        <v>0</v>
      </c>
      <c r="N53" s="125">
        <f>'P &amp; NP'!GF7</f>
        <v>0</v>
      </c>
      <c r="O53" s="125">
        <f>'P &amp; NP'!GG7</f>
        <v>0</v>
      </c>
      <c r="P53" s="125">
        <f>'P &amp; NP'!GH7</f>
        <v>0</v>
      </c>
      <c r="Q53" s="125">
        <f>'P &amp; NP'!GI7</f>
        <v>0</v>
      </c>
      <c r="R53" s="126">
        <f>'P &amp; NP'!GJ7</f>
        <v>0</v>
      </c>
      <c r="S53" s="183">
        <f t="shared" ref="S53:T53" si="16">SUM(C53:C56)</f>
        <v>3850100</v>
      </c>
      <c r="T53" s="183">
        <f t="shared" si="16"/>
        <v>79363625</v>
      </c>
      <c r="U53" s="855">
        <f>'P &amp; NP'!GK11</f>
        <v>3850100</v>
      </c>
      <c r="V53" s="855">
        <f>'P &amp; NP'!GL11</f>
        <v>79363625</v>
      </c>
    </row>
    <row r="54" spans="1:22">
      <c r="A54" s="132"/>
      <c r="B54" s="136" t="s">
        <v>171</v>
      </c>
      <c r="C54" s="135">
        <f t="shared" si="11"/>
        <v>990800</v>
      </c>
      <c r="D54" s="124">
        <f t="shared" si="12"/>
        <v>20675625</v>
      </c>
      <c r="E54" s="997"/>
      <c r="F54" s="991"/>
      <c r="G54" s="137">
        <f>'P &amp; NP'!FW8</f>
        <v>0</v>
      </c>
      <c r="H54" s="125">
        <f>'P &amp; NP'!FX8</f>
        <v>0</v>
      </c>
      <c r="I54" s="125">
        <f>'P &amp; NP'!FY8</f>
        <v>0</v>
      </c>
      <c r="J54" s="125">
        <f>'P &amp; NP'!FZ8</f>
        <v>0</v>
      </c>
      <c r="K54" s="125">
        <f>'P &amp; NP'!GC8</f>
        <v>990800</v>
      </c>
      <c r="L54" s="125">
        <f>'P &amp; NP'!GD8</f>
        <v>20675625</v>
      </c>
      <c r="M54" s="125">
        <f>'P &amp; NP'!GE8</f>
        <v>0</v>
      </c>
      <c r="N54" s="125">
        <f>'P &amp; NP'!GF8</f>
        <v>0</v>
      </c>
      <c r="O54" s="125">
        <f>'P &amp; NP'!GG8</f>
        <v>0</v>
      </c>
      <c r="P54" s="125">
        <f>'P &amp; NP'!GH8</f>
        <v>0</v>
      </c>
      <c r="Q54" s="125">
        <f>'P &amp; NP'!GI8</f>
        <v>0</v>
      </c>
      <c r="R54" s="126">
        <f>'P &amp; NP'!GJ8</f>
        <v>0</v>
      </c>
      <c r="V54" s="855"/>
    </row>
    <row r="55" spans="1:22">
      <c r="A55" s="132"/>
      <c r="B55" s="136" t="s">
        <v>172</v>
      </c>
      <c r="C55" s="135">
        <f t="shared" si="11"/>
        <v>881450</v>
      </c>
      <c r="D55" s="124">
        <f t="shared" si="12"/>
        <v>17667500</v>
      </c>
      <c r="E55" s="997"/>
      <c r="F55" s="991"/>
      <c r="G55" s="137">
        <f>'P &amp; NP'!FW9</f>
        <v>0</v>
      </c>
      <c r="H55" s="125">
        <f>'P &amp; NP'!FX9</f>
        <v>0</v>
      </c>
      <c r="I55" s="125">
        <f>'P &amp; NP'!FY9</f>
        <v>0</v>
      </c>
      <c r="J55" s="125">
        <f>'P &amp; NP'!FZ9</f>
        <v>0</v>
      </c>
      <c r="K55" s="125">
        <f>'P &amp; NP'!GC9</f>
        <v>881450</v>
      </c>
      <c r="L55" s="125">
        <f>'P &amp; NP'!GD9</f>
        <v>17667500</v>
      </c>
      <c r="M55" s="125">
        <f>'P &amp; NP'!GE9</f>
        <v>0</v>
      </c>
      <c r="N55" s="125">
        <f>'P &amp; NP'!GF9</f>
        <v>0</v>
      </c>
      <c r="O55" s="125">
        <f>'P &amp; NP'!GG9</f>
        <v>0</v>
      </c>
      <c r="P55" s="125">
        <f>'P &amp; NP'!GH9</f>
        <v>0</v>
      </c>
      <c r="Q55" s="125">
        <f>'P &amp; NP'!GI9</f>
        <v>0</v>
      </c>
      <c r="R55" s="126">
        <f>'P &amp; NP'!GJ9</f>
        <v>0</v>
      </c>
      <c r="V55" s="855"/>
    </row>
    <row r="56" spans="1:22">
      <c r="A56" s="138"/>
      <c r="B56" s="139" t="s">
        <v>173</v>
      </c>
      <c r="C56" s="140">
        <f t="shared" si="11"/>
        <v>994550</v>
      </c>
      <c r="D56" s="141">
        <f t="shared" si="12"/>
        <v>20816050</v>
      </c>
      <c r="E56" s="998"/>
      <c r="F56" s="992"/>
      <c r="G56" s="142">
        <f>'P &amp; NP'!FW10</f>
        <v>0</v>
      </c>
      <c r="H56" s="143">
        <f>'P &amp; NP'!FX10</f>
        <v>0</v>
      </c>
      <c r="I56" s="143">
        <f>'P &amp; NP'!FY10</f>
        <v>0</v>
      </c>
      <c r="J56" s="143">
        <f>'P &amp; NP'!FZ10</f>
        <v>0</v>
      </c>
      <c r="K56" s="143">
        <f>'P &amp; NP'!GC10</f>
        <v>994550</v>
      </c>
      <c r="L56" s="143">
        <f>'P &amp; NP'!GD10</f>
        <v>20816050</v>
      </c>
      <c r="M56" s="143">
        <f>'P &amp; NP'!GE10</f>
        <v>0</v>
      </c>
      <c r="N56" s="143">
        <f>'P &amp; NP'!GF10</f>
        <v>0</v>
      </c>
      <c r="O56" s="143">
        <f>'P &amp; NP'!GG10</f>
        <v>0</v>
      </c>
      <c r="P56" s="143">
        <f>'P &amp; NP'!GH10</f>
        <v>0</v>
      </c>
      <c r="Q56" s="143">
        <f>'P &amp; NP'!GI10</f>
        <v>0</v>
      </c>
      <c r="R56" s="144">
        <f>'P &amp; NP'!GJ10</f>
        <v>0</v>
      </c>
      <c r="V56" s="855"/>
    </row>
    <row r="57" spans="1:22">
      <c r="A57" s="132" t="s">
        <v>629</v>
      </c>
      <c r="B57" s="136" t="s">
        <v>170</v>
      </c>
      <c r="C57" s="135">
        <f t="shared" si="11"/>
        <v>483580</v>
      </c>
      <c r="D57" s="124">
        <f t="shared" si="12"/>
        <v>9456525</v>
      </c>
      <c r="E57" s="997">
        <f>SUM(C57:C60)</f>
        <v>1860280</v>
      </c>
      <c r="F57" s="991">
        <f>SUM(D57:D60)</f>
        <v>36139155</v>
      </c>
      <c r="G57" s="137">
        <f>'P &amp; NP'!GM7</f>
        <v>0</v>
      </c>
      <c r="H57" s="125">
        <f>'P &amp; NP'!GN7</f>
        <v>0</v>
      </c>
      <c r="I57" s="125">
        <f>'P &amp; NP'!GO7</f>
        <v>0</v>
      </c>
      <c r="J57" s="125">
        <f>'P &amp; NP'!GP7</f>
        <v>0</v>
      </c>
      <c r="K57" s="125">
        <f>'P &amp; NP'!GS7</f>
        <v>483050</v>
      </c>
      <c r="L57" s="125">
        <f>'P &amp; NP'!GT7</f>
        <v>9441975</v>
      </c>
      <c r="M57" s="125">
        <f>'P &amp; NP'!GU7</f>
        <v>0</v>
      </c>
      <c r="N57" s="125">
        <f>'P &amp; NP'!GV7</f>
        <v>0</v>
      </c>
      <c r="O57" s="125">
        <f>'P &amp; NP'!GW7</f>
        <v>0</v>
      </c>
      <c r="P57" s="125">
        <f>'P &amp; NP'!GX7</f>
        <v>0</v>
      </c>
      <c r="Q57" s="125">
        <f>'P &amp; NP'!GY7</f>
        <v>530</v>
      </c>
      <c r="R57" s="126">
        <f>'P &amp; NP'!GZ7</f>
        <v>14550</v>
      </c>
      <c r="S57" s="183">
        <f t="shared" ref="S57:T57" si="17">SUM(C57:C60)</f>
        <v>1860280</v>
      </c>
      <c r="T57" s="183">
        <f t="shared" si="17"/>
        <v>36139155</v>
      </c>
      <c r="U57" s="855">
        <f>'P &amp; NP'!HA11</f>
        <v>1860280</v>
      </c>
      <c r="V57" s="855">
        <f>'P &amp; NP'!HB11</f>
        <v>36139155</v>
      </c>
    </row>
    <row r="58" spans="1:22">
      <c r="A58" s="132"/>
      <c r="B58" s="136" t="s">
        <v>171</v>
      </c>
      <c r="C58" s="135">
        <f>SUM(G58,I58,K58,M58,O58,Q58)</f>
        <v>483700</v>
      </c>
      <c r="D58" s="124">
        <f t="shared" si="12"/>
        <v>9442450</v>
      </c>
      <c r="E58" s="997"/>
      <c r="F58" s="991"/>
      <c r="G58" s="137">
        <f>'P &amp; NP'!GM8</f>
        <v>0</v>
      </c>
      <c r="H58" s="125">
        <f>'P &amp; NP'!GN8</f>
        <v>0</v>
      </c>
      <c r="I58" s="125">
        <f>'P &amp; NP'!GO8</f>
        <v>0</v>
      </c>
      <c r="J58" s="125">
        <f>'P &amp; NP'!GP8</f>
        <v>0</v>
      </c>
      <c r="K58" s="125">
        <f>'P &amp; NP'!GS8</f>
        <v>483300</v>
      </c>
      <c r="L58" s="125">
        <f>'P &amp; NP'!GT8</f>
        <v>9431600</v>
      </c>
      <c r="M58" s="125">
        <f>'P &amp; NP'!GU8</f>
        <v>0</v>
      </c>
      <c r="N58" s="125">
        <f>'P &amp; NP'!GV8</f>
        <v>0</v>
      </c>
      <c r="O58" s="125">
        <f>'P &amp; NP'!GW8</f>
        <v>0</v>
      </c>
      <c r="P58" s="125">
        <f>'P &amp; NP'!GX8</f>
        <v>0</v>
      </c>
      <c r="Q58" s="125">
        <f>'P &amp; NP'!GY8</f>
        <v>400</v>
      </c>
      <c r="R58" s="126">
        <f>'P &amp; NP'!GZ8</f>
        <v>10850</v>
      </c>
      <c r="V58" s="855"/>
    </row>
    <row r="59" spans="1:22">
      <c r="A59" s="132"/>
      <c r="B59" s="136" t="s">
        <v>172</v>
      </c>
      <c r="C59" s="135">
        <f t="shared" si="11"/>
        <v>430990</v>
      </c>
      <c r="D59" s="124">
        <f t="shared" si="12"/>
        <v>8348585</v>
      </c>
      <c r="E59" s="997"/>
      <c r="F59" s="991"/>
      <c r="G59" s="137">
        <f>'P &amp; NP'!GM9</f>
        <v>0</v>
      </c>
      <c r="H59" s="125">
        <f>'P &amp; NP'!GN9</f>
        <v>0</v>
      </c>
      <c r="I59" s="125">
        <f>'P &amp; NP'!GO9</f>
        <v>0</v>
      </c>
      <c r="J59" s="125">
        <f>'P &amp; NP'!GP9</f>
        <v>0</v>
      </c>
      <c r="K59" s="125">
        <f>'P &amp; NP'!GS9</f>
        <v>430600</v>
      </c>
      <c r="L59" s="125">
        <f>'P &amp; NP'!GT9</f>
        <v>8337450</v>
      </c>
      <c r="M59" s="125">
        <f>'P &amp; NP'!GU9</f>
        <v>0</v>
      </c>
      <c r="N59" s="125">
        <f>'P &amp; NP'!GV9</f>
        <v>0</v>
      </c>
      <c r="O59" s="125">
        <f>'P &amp; NP'!GW9</f>
        <v>0</v>
      </c>
      <c r="P59" s="125">
        <f>'P &amp; NP'!GX9</f>
        <v>0</v>
      </c>
      <c r="Q59" s="125">
        <f>'P &amp; NP'!GY9</f>
        <v>390</v>
      </c>
      <c r="R59" s="126">
        <f>'P &amp; NP'!GZ9</f>
        <v>11135</v>
      </c>
      <c r="V59" s="855"/>
    </row>
    <row r="60" spans="1:22">
      <c r="A60" s="138"/>
      <c r="B60" s="139" t="s">
        <v>173</v>
      </c>
      <c r="C60" s="140">
        <f t="shared" si="11"/>
        <v>462010</v>
      </c>
      <c r="D60" s="141">
        <f t="shared" si="12"/>
        <v>8891595</v>
      </c>
      <c r="E60" s="998"/>
      <c r="F60" s="992"/>
      <c r="G60" s="142">
        <f>'P &amp; NP'!GM10</f>
        <v>0</v>
      </c>
      <c r="H60" s="143">
        <f>'P &amp; NP'!GN10</f>
        <v>0</v>
      </c>
      <c r="I60" s="143">
        <f>'P &amp; NP'!GO10</f>
        <v>0</v>
      </c>
      <c r="J60" s="143">
        <f>'P &amp; NP'!GP10</f>
        <v>0</v>
      </c>
      <c r="K60" s="143">
        <f>'P &amp; NP'!GS10</f>
        <v>461600</v>
      </c>
      <c r="L60" s="143">
        <f>'P &amp; NP'!GT10</f>
        <v>8880150</v>
      </c>
      <c r="M60" s="143">
        <f>'P &amp; NP'!GU10</f>
        <v>0</v>
      </c>
      <c r="N60" s="143">
        <f>'P &amp; NP'!GV10</f>
        <v>0</v>
      </c>
      <c r="O60" s="143">
        <f>'P &amp; NP'!GW10</f>
        <v>0</v>
      </c>
      <c r="P60" s="143">
        <f>'P &amp; NP'!GX10</f>
        <v>0</v>
      </c>
      <c r="Q60" s="143">
        <f>'P &amp; NP'!GY10</f>
        <v>410</v>
      </c>
      <c r="R60" s="144">
        <f>'P &amp; NP'!GZ10</f>
        <v>11445</v>
      </c>
      <c r="V60" s="855"/>
    </row>
    <row r="61" spans="1:22">
      <c r="A61" s="132" t="s">
        <v>630</v>
      </c>
      <c r="B61" s="136" t="s">
        <v>170</v>
      </c>
      <c r="C61" s="135">
        <f t="shared" si="11"/>
        <v>3821300</v>
      </c>
      <c r="D61" s="124">
        <f t="shared" si="12"/>
        <v>87392500</v>
      </c>
      <c r="E61" s="997">
        <f>SUM(C61:C64)</f>
        <v>13264300</v>
      </c>
      <c r="F61" s="991">
        <f>SUM(D61:D64)</f>
        <v>335643000</v>
      </c>
      <c r="G61" s="137">
        <f>'P &amp; NP'!HC7</f>
        <v>0</v>
      </c>
      <c r="H61" s="125">
        <f>'P &amp; NP'!HD7</f>
        <v>0</v>
      </c>
      <c r="I61" s="125">
        <f>'P &amp; NP'!HE7</f>
        <v>310000</v>
      </c>
      <c r="J61" s="125">
        <f>'P &amp; NP'!HF7</f>
        <v>16825000</v>
      </c>
      <c r="K61" s="125">
        <f>'P &amp; NP'!HI7</f>
        <v>1861300</v>
      </c>
      <c r="L61" s="125">
        <f>'P &amp; NP'!HJ7</f>
        <v>32617500</v>
      </c>
      <c r="M61" s="125">
        <f>'P &amp; NP'!HK7</f>
        <v>0</v>
      </c>
      <c r="N61" s="125">
        <f>'P &amp; NP'!HL7</f>
        <v>0</v>
      </c>
      <c r="O61" s="125">
        <f>'P &amp; NP'!HM7</f>
        <v>0</v>
      </c>
      <c r="P61" s="125">
        <f>'P &amp; NP'!HN7</f>
        <v>0</v>
      </c>
      <c r="Q61" s="125">
        <f>'P &amp; NP'!HO7</f>
        <v>1650000</v>
      </c>
      <c r="R61" s="126">
        <f>'P &amp; NP'!HP7</f>
        <v>37950000</v>
      </c>
      <c r="S61" s="183">
        <f t="shared" ref="S61:T61" si="18">SUM(C61:C64)</f>
        <v>13264300</v>
      </c>
      <c r="T61" s="183">
        <f t="shared" si="18"/>
        <v>335643000</v>
      </c>
      <c r="U61" s="855">
        <f>'P &amp; NP'!HQ11</f>
        <v>13264300</v>
      </c>
      <c r="V61" s="855">
        <f>'P &amp; NP'!HR11</f>
        <v>335643000</v>
      </c>
    </row>
    <row r="62" spans="1:22">
      <c r="A62" s="132"/>
      <c r="B62" s="136" t="s">
        <v>171</v>
      </c>
      <c r="C62" s="135">
        <f t="shared" si="11"/>
        <v>3421500</v>
      </c>
      <c r="D62" s="124">
        <f t="shared" si="12"/>
        <v>85961500</v>
      </c>
      <c r="E62" s="997"/>
      <c r="F62" s="991"/>
      <c r="G62" s="137">
        <f>'P &amp; NP'!HC8</f>
        <v>0</v>
      </c>
      <c r="H62" s="125">
        <f>'P &amp; NP'!HD8</f>
        <v>0</v>
      </c>
      <c r="I62" s="125">
        <f>'P &amp; NP'!HE8</f>
        <v>435000</v>
      </c>
      <c r="J62" s="125">
        <f>'P &amp; NP'!HF8</f>
        <v>25580000</v>
      </c>
      <c r="K62" s="125">
        <f>'P &amp; NP'!HI8</f>
        <v>1786500</v>
      </c>
      <c r="L62" s="125">
        <f>'P &amp; NP'!HJ8</f>
        <v>33131500</v>
      </c>
      <c r="M62" s="125">
        <f>'P &amp; NP'!HK8</f>
        <v>0</v>
      </c>
      <c r="N62" s="125">
        <f>'P &amp; NP'!HL8</f>
        <v>0</v>
      </c>
      <c r="O62" s="125">
        <f>'P &amp; NP'!HM8</f>
        <v>0</v>
      </c>
      <c r="P62" s="125">
        <f>'P &amp; NP'!HN8</f>
        <v>0</v>
      </c>
      <c r="Q62" s="125">
        <f>'P &amp; NP'!HO8</f>
        <v>1200000</v>
      </c>
      <c r="R62" s="126">
        <f>'P &amp; NP'!HP8</f>
        <v>27250000</v>
      </c>
      <c r="V62" s="855"/>
    </row>
    <row r="63" spans="1:22">
      <c r="A63" s="132"/>
      <c r="B63" s="136" t="s">
        <v>172</v>
      </c>
      <c r="C63" s="135">
        <f t="shared" si="11"/>
        <v>2417000</v>
      </c>
      <c r="D63" s="124">
        <f t="shared" si="12"/>
        <v>66720000</v>
      </c>
      <c r="E63" s="997"/>
      <c r="F63" s="991"/>
      <c r="G63" s="137">
        <f>'P &amp; NP'!HC9</f>
        <v>0</v>
      </c>
      <c r="H63" s="125">
        <f>'P &amp; NP'!HD9</f>
        <v>0</v>
      </c>
      <c r="I63" s="125">
        <f>'P &amp; NP'!HE9</f>
        <v>425000</v>
      </c>
      <c r="J63" s="125">
        <f>'P &amp; NP'!HF9</f>
        <v>29750000</v>
      </c>
      <c r="K63" s="125">
        <f>'P &amp; NP'!HI9</f>
        <v>1682000</v>
      </c>
      <c r="L63" s="125">
        <f>'P &amp; NP'!HJ9</f>
        <v>30770000</v>
      </c>
      <c r="M63" s="125">
        <f>'P &amp; NP'!HK9</f>
        <v>0</v>
      </c>
      <c r="N63" s="125">
        <f>'P &amp; NP'!HL9</f>
        <v>0</v>
      </c>
      <c r="O63" s="125">
        <f>'P &amp; NP'!HM9</f>
        <v>0</v>
      </c>
      <c r="P63" s="125">
        <f>'P &amp; NP'!HN9</f>
        <v>0</v>
      </c>
      <c r="Q63" s="125">
        <f>'P &amp; NP'!HO9</f>
        <v>310000</v>
      </c>
      <c r="R63" s="126">
        <f>'P &amp; NP'!HP9</f>
        <v>6200000</v>
      </c>
      <c r="V63" s="855"/>
    </row>
    <row r="64" spans="1:22">
      <c r="A64" s="138"/>
      <c r="B64" s="139" t="s">
        <v>173</v>
      </c>
      <c r="C64" s="140">
        <f t="shared" si="11"/>
        <v>3604500</v>
      </c>
      <c r="D64" s="141">
        <f t="shared" si="12"/>
        <v>95569000</v>
      </c>
      <c r="E64" s="998"/>
      <c r="F64" s="992"/>
      <c r="G64" s="142">
        <f>'P &amp; NP'!HC10</f>
        <v>0</v>
      </c>
      <c r="H64" s="143">
        <f>'P &amp; NP'!HD10</f>
        <v>0</v>
      </c>
      <c r="I64" s="143">
        <f>'P &amp; NP'!HE10</f>
        <v>470000</v>
      </c>
      <c r="J64" s="143">
        <f>'P &amp; NP'!HF10</f>
        <v>31980000</v>
      </c>
      <c r="K64" s="143">
        <f>'P &amp; NP'!HI10</f>
        <v>2034500</v>
      </c>
      <c r="L64" s="143">
        <f>'P &amp; NP'!HJ10</f>
        <v>38289000</v>
      </c>
      <c r="M64" s="143">
        <f>'P &amp; NP'!HK10</f>
        <v>0</v>
      </c>
      <c r="N64" s="143">
        <f>'P &amp; NP'!HL10</f>
        <v>0</v>
      </c>
      <c r="O64" s="143">
        <f>'P &amp; NP'!HM10</f>
        <v>0</v>
      </c>
      <c r="P64" s="143">
        <f>'P &amp; NP'!HN10</f>
        <v>0</v>
      </c>
      <c r="Q64" s="143">
        <f>'P &amp; NP'!HO10</f>
        <v>1100000</v>
      </c>
      <c r="R64" s="144">
        <f>'P &amp; NP'!HP10</f>
        <v>25300000</v>
      </c>
      <c r="V64" s="855"/>
    </row>
    <row r="65" spans="1:22">
      <c r="A65" s="132" t="s">
        <v>632</v>
      </c>
      <c r="B65" s="136" t="s">
        <v>170</v>
      </c>
      <c r="C65" s="135">
        <f t="shared" si="11"/>
        <v>460500</v>
      </c>
      <c r="D65" s="124">
        <f t="shared" si="12"/>
        <v>9563430</v>
      </c>
      <c r="E65" s="997">
        <f>SUM(C65:C68)</f>
        <v>1816618</v>
      </c>
      <c r="F65" s="991">
        <f>SUM(D65:D68)</f>
        <v>34987300</v>
      </c>
      <c r="G65" s="137">
        <f>'P &amp; NP'!HS7</f>
        <v>0</v>
      </c>
      <c r="H65" s="125">
        <f>'P &amp; NP'!HT7</f>
        <v>0</v>
      </c>
      <c r="I65" s="125">
        <f>'P &amp; NP'!HU7</f>
        <v>0</v>
      </c>
      <c r="J65" s="125">
        <f>'P &amp; NP'!HV7</f>
        <v>0</v>
      </c>
      <c r="K65" s="125">
        <f>'P &amp; NP'!HY7</f>
        <v>459900</v>
      </c>
      <c r="L65" s="125">
        <f>'P &amp; NP'!HZ7</f>
        <v>9548430</v>
      </c>
      <c r="M65" s="125">
        <f>'P &amp; NP'!IA7</f>
        <v>0</v>
      </c>
      <c r="N65" s="125">
        <f>'P &amp; NP'!IB7</f>
        <v>0</v>
      </c>
      <c r="O65" s="125">
        <f>'P &amp; NP'!IC7</f>
        <v>600</v>
      </c>
      <c r="P65" s="125">
        <f>'P &amp; NP'!ID7</f>
        <v>15000</v>
      </c>
      <c r="Q65" s="125">
        <f>'P &amp; NP'!IE7</f>
        <v>0</v>
      </c>
      <c r="R65" s="126">
        <f>'P &amp; NP'!IF7</f>
        <v>0</v>
      </c>
      <c r="S65" s="183">
        <f t="shared" ref="S65:T65" si="19">SUM(C65:C68)</f>
        <v>1816618</v>
      </c>
      <c r="T65" s="183">
        <f t="shared" si="19"/>
        <v>34987300</v>
      </c>
      <c r="U65" s="855">
        <f>'P &amp; NP'!IG11</f>
        <v>1816618</v>
      </c>
      <c r="V65" s="855">
        <f>'P &amp; NP'!IH11</f>
        <v>34987300</v>
      </c>
    </row>
    <row r="66" spans="1:22">
      <c r="A66" s="132"/>
      <c r="B66" s="136" t="s">
        <v>171</v>
      </c>
      <c r="C66" s="135">
        <f t="shared" si="11"/>
        <v>445760</v>
      </c>
      <c r="D66" s="124">
        <f t="shared" si="12"/>
        <v>8324256</v>
      </c>
      <c r="E66" s="997"/>
      <c r="F66" s="991"/>
      <c r="G66" s="137">
        <f>'P &amp; NP'!HS8</f>
        <v>0</v>
      </c>
      <c r="H66" s="125">
        <f>'P &amp; NP'!HT8</f>
        <v>0</v>
      </c>
      <c r="I66" s="125">
        <f>'P &amp; NP'!HU8</f>
        <v>0</v>
      </c>
      <c r="J66" s="125">
        <f>'P &amp; NP'!HV8</f>
        <v>0</v>
      </c>
      <c r="K66" s="125">
        <f>'P &amp; NP'!HY8</f>
        <v>444160</v>
      </c>
      <c r="L66" s="125">
        <f>'P &amp; NP'!HZ8</f>
        <v>8292256</v>
      </c>
      <c r="M66" s="125">
        <f>'P &amp; NP'!IA8</f>
        <v>0</v>
      </c>
      <c r="N66" s="125">
        <f>'P &amp; NP'!IB8</f>
        <v>0</v>
      </c>
      <c r="O66" s="125">
        <f>'P &amp; NP'!IC8</f>
        <v>400</v>
      </c>
      <c r="P66" s="125">
        <f>'P &amp; NP'!ID8</f>
        <v>8000</v>
      </c>
      <c r="Q66" s="125">
        <f>'P &amp; NP'!IE8</f>
        <v>1200</v>
      </c>
      <c r="R66" s="126">
        <f>'P &amp; NP'!IF8</f>
        <v>24000</v>
      </c>
      <c r="V66" s="855"/>
    </row>
    <row r="67" spans="1:22">
      <c r="A67" s="132"/>
      <c r="B67" s="136" t="s">
        <v>172</v>
      </c>
      <c r="C67" s="135">
        <f t="shared" si="11"/>
        <v>447498</v>
      </c>
      <c r="D67" s="124">
        <f t="shared" si="12"/>
        <v>8484014</v>
      </c>
      <c r="E67" s="997"/>
      <c r="F67" s="991"/>
      <c r="G67" s="137">
        <f>'P &amp; NP'!HS9</f>
        <v>0</v>
      </c>
      <c r="H67" s="125">
        <f>'P &amp; NP'!HT9</f>
        <v>0</v>
      </c>
      <c r="I67" s="125">
        <f>'P &amp; NP'!HU9</f>
        <v>0</v>
      </c>
      <c r="J67" s="125">
        <f>'P &amp; NP'!HV9</f>
        <v>0</v>
      </c>
      <c r="K67" s="125">
        <f>'P &amp; NP'!HY9</f>
        <v>446698</v>
      </c>
      <c r="L67" s="125">
        <f>'P &amp; NP'!HZ9</f>
        <v>8461614</v>
      </c>
      <c r="M67" s="125">
        <f>'P &amp; NP'!IA9</f>
        <v>0</v>
      </c>
      <c r="N67" s="125">
        <f>'P &amp; NP'!IB9</f>
        <v>0</v>
      </c>
      <c r="O67" s="125">
        <f>'P &amp; NP'!IC9</f>
        <v>800</v>
      </c>
      <c r="P67" s="125">
        <f>'P &amp; NP'!ID9</f>
        <v>22400</v>
      </c>
      <c r="Q67" s="125">
        <f>'P &amp; NP'!IE9</f>
        <v>0</v>
      </c>
      <c r="R67" s="126">
        <f>'P &amp; NP'!IF9</f>
        <v>0</v>
      </c>
      <c r="V67" s="855"/>
    </row>
    <row r="68" spans="1:22">
      <c r="A68" s="138"/>
      <c r="B68" s="139" t="s">
        <v>173</v>
      </c>
      <c r="C68" s="140">
        <f t="shared" si="11"/>
        <v>462860</v>
      </c>
      <c r="D68" s="141">
        <f t="shared" si="12"/>
        <v>8615600</v>
      </c>
      <c r="E68" s="998"/>
      <c r="F68" s="992"/>
      <c r="G68" s="142">
        <f>'P &amp; NP'!HS10</f>
        <v>0</v>
      </c>
      <c r="H68" s="143">
        <f>'P &amp; NP'!HT10</f>
        <v>0</v>
      </c>
      <c r="I68" s="143">
        <f>'P &amp; NP'!HU10</f>
        <v>0</v>
      </c>
      <c r="J68" s="143">
        <f>'P &amp; NP'!HV10</f>
        <v>0</v>
      </c>
      <c r="K68" s="143">
        <f>'P &amp; NP'!HY10</f>
        <v>462360</v>
      </c>
      <c r="L68" s="143">
        <f>'P &amp; NP'!HZ10</f>
        <v>8603100</v>
      </c>
      <c r="M68" s="143">
        <f>'P &amp; NP'!IA10</f>
        <v>0</v>
      </c>
      <c r="N68" s="143">
        <f>'P &amp; NP'!IB10</f>
        <v>0</v>
      </c>
      <c r="O68" s="143">
        <f>'P &amp; NP'!IC10</f>
        <v>0</v>
      </c>
      <c r="P68" s="143">
        <f>'P &amp; NP'!ID10</f>
        <v>0</v>
      </c>
      <c r="Q68" s="143">
        <f>'P &amp; NP'!IE10</f>
        <v>500</v>
      </c>
      <c r="R68" s="144">
        <f>'P &amp; NP'!IF10</f>
        <v>12500</v>
      </c>
      <c r="V68" s="855"/>
    </row>
    <row r="69" spans="1:22">
      <c r="A69" s="132" t="s">
        <v>631</v>
      </c>
      <c r="B69" s="136" t="s">
        <v>170</v>
      </c>
      <c r="C69" s="135">
        <f t="shared" si="11"/>
        <v>3007000</v>
      </c>
      <c r="D69" s="124">
        <f t="shared" si="12"/>
        <v>58594480</v>
      </c>
      <c r="E69" s="997">
        <f>SUM(C69:C72)</f>
        <v>11030000</v>
      </c>
      <c r="F69" s="991">
        <f>SUM(D69:D72)</f>
        <v>217798004</v>
      </c>
      <c r="G69" s="137">
        <f>'P &amp; NP'!II7</f>
        <v>0</v>
      </c>
      <c r="H69" s="125">
        <f>'P &amp; NP'!IJ7</f>
        <v>0</v>
      </c>
      <c r="I69" s="125">
        <f>'P &amp; NP'!IK7</f>
        <v>0</v>
      </c>
      <c r="J69" s="125">
        <f>'P &amp; NP'!IL7</f>
        <v>0</v>
      </c>
      <c r="K69" s="125">
        <f>'P &amp; NP'!IO7</f>
        <v>3007000</v>
      </c>
      <c r="L69" s="125">
        <f>'P &amp; NP'!IP7</f>
        <v>58594480</v>
      </c>
      <c r="M69" s="125">
        <f>'P &amp; NP'!IQ7</f>
        <v>0</v>
      </c>
      <c r="N69" s="125">
        <f>'P &amp; NP'!IR7</f>
        <v>0</v>
      </c>
      <c r="O69" s="125">
        <f>'P &amp; NP'!IS7</f>
        <v>0</v>
      </c>
      <c r="P69" s="125">
        <f>'P &amp; NP'!IT7</f>
        <v>0</v>
      </c>
      <c r="Q69" s="125">
        <f>'P &amp; NP'!IU7</f>
        <v>0</v>
      </c>
      <c r="R69" s="126">
        <f>'P &amp; NP'!IV7</f>
        <v>0</v>
      </c>
      <c r="S69" s="183">
        <f t="shared" ref="S69:T69" si="20">SUM(C69:C72)</f>
        <v>11030000</v>
      </c>
      <c r="T69" s="183">
        <f t="shared" si="20"/>
        <v>217798004</v>
      </c>
      <c r="U69" s="855">
        <f>'P &amp; NP'!IW11</f>
        <v>11030000</v>
      </c>
      <c r="V69" s="855">
        <f>'P &amp; NP'!IX11</f>
        <v>217798004</v>
      </c>
    </row>
    <row r="70" spans="1:22">
      <c r="A70" s="132"/>
      <c r="B70" s="136" t="s">
        <v>171</v>
      </c>
      <c r="C70" s="135">
        <f t="shared" si="11"/>
        <v>2898000</v>
      </c>
      <c r="D70" s="124">
        <f t="shared" si="12"/>
        <v>58688025</v>
      </c>
      <c r="E70" s="997"/>
      <c r="F70" s="991"/>
      <c r="G70" s="137">
        <f>'P &amp; NP'!II8</f>
        <v>0</v>
      </c>
      <c r="H70" s="125">
        <f>'P &amp; NP'!IJ8</f>
        <v>0</v>
      </c>
      <c r="I70" s="125">
        <f>'P &amp; NP'!IK8</f>
        <v>0</v>
      </c>
      <c r="J70" s="125">
        <f>'P &amp; NP'!IL8</f>
        <v>0</v>
      </c>
      <c r="K70" s="125">
        <f>'P &amp; NP'!IO8</f>
        <v>2898000</v>
      </c>
      <c r="L70" s="125">
        <f>'P &amp; NP'!IP8</f>
        <v>58688025</v>
      </c>
      <c r="M70" s="125">
        <f>'P &amp; NP'!IQ8</f>
        <v>0</v>
      </c>
      <c r="N70" s="125">
        <f>'P &amp; NP'!IR8</f>
        <v>0</v>
      </c>
      <c r="O70" s="125">
        <f>'P &amp; NP'!IS8</f>
        <v>0</v>
      </c>
      <c r="P70" s="125">
        <f>'P &amp; NP'!IT8</f>
        <v>0</v>
      </c>
      <c r="Q70" s="125">
        <f>'P &amp; NP'!IU8</f>
        <v>0</v>
      </c>
      <c r="R70" s="126">
        <f>'P &amp; NP'!IV8</f>
        <v>0</v>
      </c>
      <c r="V70" s="855"/>
    </row>
    <row r="71" spans="1:22">
      <c r="A71" s="132"/>
      <c r="B71" s="136" t="s">
        <v>172</v>
      </c>
      <c r="C71" s="135">
        <f t="shared" si="11"/>
        <v>2520000</v>
      </c>
      <c r="D71" s="124">
        <f t="shared" si="12"/>
        <v>48442539</v>
      </c>
      <c r="E71" s="997"/>
      <c r="F71" s="991"/>
      <c r="G71" s="137">
        <f>'P &amp; NP'!II9</f>
        <v>0</v>
      </c>
      <c r="H71" s="125">
        <f>'P &amp; NP'!IJ9</f>
        <v>0</v>
      </c>
      <c r="I71" s="125">
        <f>'P &amp; NP'!IK9</f>
        <v>0</v>
      </c>
      <c r="J71" s="125">
        <f>'P &amp; NP'!IL9</f>
        <v>0</v>
      </c>
      <c r="K71" s="125">
        <f>'P &amp; NP'!IO9</f>
        <v>2520000</v>
      </c>
      <c r="L71" s="125">
        <f>'P &amp; NP'!IP9</f>
        <v>48442539</v>
      </c>
      <c r="M71" s="125">
        <f>'P &amp; NP'!IQ9</f>
        <v>0</v>
      </c>
      <c r="N71" s="125">
        <f>'P &amp; NP'!IR9</f>
        <v>0</v>
      </c>
      <c r="O71" s="125">
        <f>'P &amp; NP'!IS9</f>
        <v>0</v>
      </c>
      <c r="P71" s="125">
        <f>'P &amp; NP'!IT9</f>
        <v>0</v>
      </c>
      <c r="Q71" s="125">
        <f>'P &amp; NP'!IU9</f>
        <v>0</v>
      </c>
      <c r="R71" s="126">
        <f>'P &amp; NP'!IV9</f>
        <v>0</v>
      </c>
      <c r="V71" s="855"/>
    </row>
    <row r="72" spans="1:22">
      <c r="A72" s="138"/>
      <c r="B72" s="139" t="s">
        <v>173</v>
      </c>
      <c r="C72" s="140">
        <f t="shared" si="11"/>
        <v>2605000</v>
      </c>
      <c r="D72" s="141">
        <f t="shared" si="12"/>
        <v>52072960</v>
      </c>
      <c r="E72" s="998"/>
      <c r="F72" s="992"/>
      <c r="G72" s="142">
        <f>'P &amp; NP'!II10</f>
        <v>0</v>
      </c>
      <c r="H72" s="143">
        <f>'P &amp; NP'!IJ10</f>
        <v>0</v>
      </c>
      <c r="I72" s="143">
        <f>'P &amp; NP'!IK10</f>
        <v>0</v>
      </c>
      <c r="J72" s="143">
        <f>'P &amp; NP'!IL10</f>
        <v>0</v>
      </c>
      <c r="K72" s="143">
        <f>'P &amp; NP'!IO10</f>
        <v>2605000</v>
      </c>
      <c r="L72" s="143">
        <f>'P &amp; NP'!IP10</f>
        <v>52072960</v>
      </c>
      <c r="M72" s="143">
        <f>'P &amp; NP'!IQ10</f>
        <v>0</v>
      </c>
      <c r="N72" s="143">
        <f>'P &amp; NP'!IR10</f>
        <v>0</v>
      </c>
      <c r="O72" s="143">
        <f>'P &amp; NP'!IS10</f>
        <v>0</v>
      </c>
      <c r="P72" s="143">
        <f>'P &amp; NP'!IT10</f>
        <v>0</v>
      </c>
      <c r="Q72" s="143">
        <f>'P &amp; NP'!IU10</f>
        <v>0</v>
      </c>
      <c r="R72" s="144">
        <f>'P &amp; NP'!IV10</f>
        <v>0</v>
      </c>
      <c r="V72" s="855"/>
    </row>
    <row r="73" spans="1:22">
      <c r="A73" s="132" t="s">
        <v>633</v>
      </c>
      <c r="B73" s="136" t="s">
        <v>170</v>
      </c>
      <c r="C73" s="135">
        <f t="shared" ref="C73:C104" si="21">SUM(G73,I73,K73,M73,O73,Q73)</f>
        <v>1129257</v>
      </c>
      <c r="D73" s="124">
        <f t="shared" ref="D73:D104" si="22">SUM(H73,J73,L73,N73,P73,R73)</f>
        <v>21502929</v>
      </c>
      <c r="E73" s="997">
        <f>SUM(C73:C76)</f>
        <v>4513458</v>
      </c>
      <c r="F73" s="991">
        <f>SUM(D73:D76)</f>
        <v>85786484</v>
      </c>
      <c r="G73" s="137">
        <f>'P &amp; NP'!IY7</f>
        <v>0</v>
      </c>
      <c r="H73" s="125">
        <f>'P &amp; NP'!IZ7</f>
        <v>0</v>
      </c>
      <c r="I73" s="125">
        <f>'P &amp; NP'!JA7</f>
        <v>0</v>
      </c>
      <c r="J73" s="125">
        <f>'P &amp; NP'!JB7</f>
        <v>0</v>
      </c>
      <c r="K73" s="125">
        <f>'P &amp; NP'!JE7</f>
        <v>1097544</v>
      </c>
      <c r="L73" s="125">
        <f>'P &amp; NP'!JF7</f>
        <v>20878467</v>
      </c>
      <c r="M73" s="125">
        <f>'P &amp; NP'!JG7</f>
        <v>0</v>
      </c>
      <c r="N73" s="125">
        <f>'P &amp; NP'!JH7</f>
        <v>0</v>
      </c>
      <c r="O73" s="125">
        <f>'P &amp; NP'!JI7</f>
        <v>0</v>
      </c>
      <c r="P73" s="125">
        <f>'P &amp; NP'!JJ7</f>
        <v>0</v>
      </c>
      <c r="Q73" s="125">
        <f>'P &amp; NP'!JK7</f>
        <v>31713</v>
      </c>
      <c r="R73" s="126">
        <f>'P &amp; NP'!JL7</f>
        <v>624462</v>
      </c>
      <c r="S73" s="183">
        <f t="shared" ref="S73:T73" si="23">SUM(C73:C76)</f>
        <v>4513458</v>
      </c>
      <c r="T73" s="183">
        <f t="shared" si="23"/>
        <v>85786484</v>
      </c>
      <c r="U73" s="855">
        <f>'P &amp; NP'!JM11</f>
        <v>4513458</v>
      </c>
      <c r="V73" s="855">
        <f>'P &amp; NP'!JN11</f>
        <v>85786484</v>
      </c>
    </row>
    <row r="74" spans="1:22">
      <c r="A74" s="132"/>
      <c r="B74" s="136" t="s">
        <v>171</v>
      </c>
      <c r="C74" s="135">
        <f t="shared" si="21"/>
        <v>1146447</v>
      </c>
      <c r="D74" s="124">
        <f t="shared" si="22"/>
        <v>21768235</v>
      </c>
      <c r="E74" s="997"/>
      <c r="F74" s="991"/>
      <c r="G74" s="137">
        <f>'P &amp; NP'!IY8</f>
        <v>0</v>
      </c>
      <c r="H74" s="125">
        <f>'P &amp; NP'!IZ8</f>
        <v>0</v>
      </c>
      <c r="I74" s="125">
        <f>'P &amp; NP'!JA8</f>
        <v>0</v>
      </c>
      <c r="J74" s="125">
        <f>'P &amp; NP'!JB8</f>
        <v>0</v>
      </c>
      <c r="K74" s="125">
        <f>'P &amp; NP'!JE8</f>
        <v>1117767</v>
      </c>
      <c r="L74" s="125">
        <f>'P &amp; NP'!JF8</f>
        <v>21222625</v>
      </c>
      <c r="M74" s="125">
        <f>'P &amp; NP'!JG8</f>
        <v>0</v>
      </c>
      <c r="N74" s="125">
        <f>'P &amp; NP'!JH8</f>
        <v>0</v>
      </c>
      <c r="O74" s="125">
        <f>'P &amp; NP'!JI8</f>
        <v>0</v>
      </c>
      <c r="P74" s="125">
        <f>'P &amp; NP'!JJ8</f>
        <v>0</v>
      </c>
      <c r="Q74" s="125">
        <f>'P &amp; NP'!JK8</f>
        <v>28680</v>
      </c>
      <c r="R74" s="126">
        <f>'P &amp; NP'!JL8</f>
        <v>545610</v>
      </c>
      <c r="V74" s="855"/>
    </row>
    <row r="75" spans="1:22">
      <c r="A75" s="132"/>
      <c r="B75" s="136" t="s">
        <v>172</v>
      </c>
      <c r="C75" s="135">
        <f t="shared" si="21"/>
        <v>1141012</v>
      </c>
      <c r="D75" s="124">
        <f t="shared" si="22"/>
        <v>21673714</v>
      </c>
      <c r="E75" s="997"/>
      <c r="F75" s="991"/>
      <c r="G75" s="137">
        <f>'P &amp; NP'!IY9</f>
        <v>0</v>
      </c>
      <c r="H75" s="125">
        <f>'P &amp; NP'!IZ9</f>
        <v>0</v>
      </c>
      <c r="I75" s="125">
        <f>'P &amp; NP'!JA9</f>
        <v>0</v>
      </c>
      <c r="J75" s="125">
        <f>'P &amp; NP'!JB9</f>
        <v>0</v>
      </c>
      <c r="K75" s="125">
        <f>'P &amp; NP'!JE9</f>
        <v>1113152</v>
      </c>
      <c r="L75" s="125">
        <f>'P &amp; NP'!JF9</f>
        <v>21152144</v>
      </c>
      <c r="M75" s="125">
        <f>'P &amp; NP'!JG9</f>
        <v>0</v>
      </c>
      <c r="N75" s="125">
        <f>'P &amp; NP'!JH9</f>
        <v>0</v>
      </c>
      <c r="O75" s="125">
        <f>'P &amp; NP'!JI9</f>
        <v>0</v>
      </c>
      <c r="P75" s="125">
        <f>'P &amp; NP'!JJ9</f>
        <v>0</v>
      </c>
      <c r="Q75" s="125">
        <f>'P &amp; NP'!JK9</f>
        <v>27860</v>
      </c>
      <c r="R75" s="126">
        <f>'P &amp; NP'!JL9</f>
        <v>521570</v>
      </c>
      <c r="V75" s="855"/>
    </row>
    <row r="76" spans="1:22">
      <c r="A76" s="138"/>
      <c r="B76" s="139" t="s">
        <v>173</v>
      </c>
      <c r="C76" s="140">
        <f t="shared" si="21"/>
        <v>1096742</v>
      </c>
      <c r="D76" s="141">
        <f t="shared" si="22"/>
        <v>20841606</v>
      </c>
      <c r="E76" s="998"/>
      <c r="F76" s="992"/>
      <c r="G76" s="142">
        <f>'P &amp; NP'!IY10</f>
        <v>0</v>
      </c>
      <c r="H76" s="143">
        <f>'P &amp; NP'!IZ10</f>
        <v>0</v>
      </c>
      <c r="I76" s="143">
        <f>'P &amp; NP'!JA10</f>
        <v>0</v>
      </c>
      <c r="J76" s="143">
        <f>'P &amp; NP'!JB10</f>
        <v>0</v>
      </c>
      <c r="K76" s="143">
        <f>'P &amp; NP'!JE10</f>
        <v>1078062</v>
      </c>
      <c r="L76" s="143">
        <f>'P &amp; NP'!JF10</f>
        <v>20490966</v>
      </c>
      <c r="M76" s="143">
        <f>'P &amp; NP'!JG10</f>
        <v>0</v>
      </c>
      <c r="N76" s="143">
        <f>'P &amp; NP'!JH10</f>
        <v>0</v>
      </c>
      <c r="O76" s="143">
        <f>'P &amp; NP'!JI10</f>
        <v>0</v>
      </c>
      <c r="P76" s="143">
        <f>'P &amp; NP'!JJ10</f>
        <v>0</v>
      </c>
      <c r="Q76" s="143">
        <f>'P &amp; NP'!JK10</f>
        <v>18680</v>
      </c>
      <c r="R76" s="144">
        <f>'P &amp; NP'!JL10</f>
        <v>350640</v>
      </c>
      <c r="V76" s="855"/>
    </row>
    <row r="77" spans="1:22">
      <c r="A77" s="132" t="s">
        <v>634</v>
      </c>
      <c r="B77" s="136" t="s">
        <v>170</v>
      </c>
      <c r="C77" s="135">
        <f t="shared" si="21"/>
        <v>547268</v>
      </c>
      <c r="D77" s="124">
        <f t="shared" si="22"/>
        <v>33854290</v>
      </c>
      <c r="E77" s="997">
        <f>SUM(C77:C80)</f>
        <v>2663462</v>
      </c>
      <c r="F77" s="991">
        <f>SUM(D77:D80)</f>
        <v>161741390</v>
      </c>
      <c r="G77" s="137">
        <f>'P &amp; NP'!JO7</f>
        <v>0</v>
      </c>
      <c r="H77" s="125">
        <f>'P &amp; NP'!JP7</f>
        <v>0</v>
      </c>
      <c r="I77" s="125">
        <f>'P &amp; NP'!JQ7</f>
        <v>385521</v>
      </c>
      <c r="J77" s="125">
        <f>'P &amp; NP'!JR7</f>
        <v>29688188</v>
      </c>
      <c r="K77" s="125">
        <f>'P &amp; NP'!JU7</f>
        <v>161747</v>
      </c>
      <c r="L77" s="125">
        <f>'P &amp; NP'!JV7</f>
        <v>4166102</v>
      </c>
      <c r="M77" s="125">
        <f>'P &amp; NP'!JW7</f>
        <v>0</v>
      </c>
      <c r="N77" s="125">
        <f>'P &amp; NP'!JX7</f>
        <v>0</v>
      </c>
      <c r="O77" s="125">
        <f>'P &amp; NP'!JY7</f>
        <v>0</v>
      </c>
      <c r="P77" s="125">
        <f>'P &amp; NP'!JZ7</f>
        <v>0</v>
      </c>
      <c r="Q77" s="125">
        <f>'P &amp; NP'!KA7</f>
        <v>0</v>
      </c>
      <c r="R77" s="126">
        <f>'P &amp; NP'!KB7</f>
        <v>0</v>
      </c>
      <c r="S77" s="183">
        <f t="shared" ref="S77:T77" si="24">SUM(C77:C80)</f>
        <v>2663462</v>
      </c>
      <c r="T77" s="183">
        <f t="shared" si="24"/>
        <v>161741390</v>
      </c>
      <c r="U77" s="855">
        <f>'P &amp; NP'!KC11</f>
        <v>2663462</v>
      </c>
      <c r="V77" s="855">
        <f>'P &amp; NP'!KD11</f>
        <v>161741390</v>
      </c>
    </row>
    <row r="78" spans="1:22">
      <c r="A78" s="132"/>
      <c r="B78" s="136" t="s">
        <v>171</v>
      </c>
      <c r="C78" s="135">
        <f t="shared" si="21"/>
        <v>588584</v>
      </c>
      <c r="D78" s="124">
        <f t="shared" si="22"/>
        <v>34410482</v>
      </c>
      <c r="E78" s="997"/>
      <c r="F78" s="991"/>
      <c r="G78" s="137">
        <f>'P &amp; NP'!JO8</f>
        <v>0</v>
      </c>
      <c r="H78" s="125">
        <f>'P &amp; NP'!JP8</f>
        <v>0</v>
      </c>
      <c r="I78" s="125">
        <f>'P &amp; NP'!JQ8</f>
        <v>354589</v>
      </c>
      <c r="J78" s="125">
        <f>'P &amp; NP'!JR8</f>
        <v>28378120</v>
      </c>
      <c r="K78" s="125">
        <f>'P &amp; NP'!JU8</f>
        <v>233995</v>
      </c>
      <c r="L78" s="125">
        <f>'P &amp; NP'!JV8</f>
        <v>6032362</v>
      </c>
      <c r="M78" s="125">
        <f>'P &amp; NP'!JW8</f>
        <v>0</v>
      </c>
      <c r="N78" s="125">
        <f>'P &amp; NP'!JX8</f>
        <v>0</v>
      </c>
      <c r="O78" s="125">
        <f>'P &amp; NP'!JY8</f>
        <v>0</v>
      </c>
      <c r="P78" s="125">
        <f>'P &amp; NP'!JZ8</f>
        <v>0</v>
      </c>
      <c r="Q78" s="125">
        <f>'P &amp; NP'!KA8</f>
        <v>0</v>
      </c>
      <c r="R78" s="126">
        <f>'P &amp; NP'!KB8</f>
        <v>0</v>
      </c>
      <c r="V78" s="855"/>
    </row>
    <row r="79" spans="1:22">
      <c r="A79" s="132"/>
      <c r="B79" s="136" t="s">
        <v>172</v>
      </c>
      <c r="C79" s="135">
        <f t="shared" si="21"/>
        <v>741911</v>
      </c>
      <c r="D79" s="124">
        <f t="shared" si="22"/>
        <v>46123334</v>
      </c>
      <c r="E79" s="997"/>
      <c r="F79" s="991"/>
      <c r="G79" s="137">
        <f>'P &amp; NP'!JO9</f>
        <v>0</v>
      </c>
      <c r="H79" s="125">
        <f>'P &amp; NP'!JP9</f>
        <v>0</v>
      </c>
      <c r="I79" s="125">
        <f>'P &amp; NP'!JQ9</f>
        <v>496821</v>
      </c>
      <c r="J79" s="125">
        <f>'P &amp; NP'!JR9</f>
        <v>39770680</v>
      </c>
      <c r="K79" s="125">
        <f>'P &amp; NP'!JU9</f>
        <v>245090</v>
      </c>
      <c r="L79" s="125">
        <f>'P &amp; NP'!JV9</f>
        <v>6352654</v>
      </c>
      <c r="M79" s="125">
        <f>'P &amp; NP'!JW9</f>
        <v>0</v>
      </c>
      <c r="N79" s="125">
        <f>'P &amp; NP'!JX9</f>
        <v>0</v>
      </c>
      <c r="O79" s="125">
        <f>'P &amp; NP'!JY9</f>
        <v>0</v>
      </c>
      <c r="P79" s="125">
        <f>'P &amp; NP'!JZ9</f>
        <v>0</v>
      </c>
      <c r="Q79" s="125">
        <f>'P &amp; NP'!KA9</f>
        <v>0</v>
      </c>
      <c r="R79" s="126">
        <f>'P &amp; NP'!KB9</f>
        <v>0</v>
      </c>
      <c r="V79" s="855"/>
    </row>
    <row r="80" spans="1:22">
      <c r="A80" s="138"/>
      <c r="B80" s="139" t="s">
        <v>173</v>
      </c>
      <c r="C80" s="140">
        <f t="shared" si="21"/>
        <v>785699</v>
      </c>
      <c r="D80" s="141">
        <f t="shared" si="22"/>
        <v>47353284</v>
      </c>
      <c r="E80" s="998"/>
      <c r="F80" s="992"/>
      <c r="G80" s="142">
        <f>'P &amp; NP'!JO10</f>
        <v>0</v>
      </c>
      <c r="H80" s="143">
        <f>'P &amp; NP'!JP10</f>
        <v>0</v>
      </c>
      <c r="I80" s="143">
        <f>'P &amp; NP'!JQ10</f>
        <v>495644</v>
      </c>
      <c r="J80" s="143">
        <f>'P &amp; NP'!JR10</f>
        <v>39665620</v>
      </c>
      <c r="K80" s="143">
        <f>'P &amp; NP'!JU10</f>
        <v>290055</v>
      </c>
      <c r="L80" s="143">
        <f>'P &amp; NP'!JV10</f>
        <v>7687664</v>
      </c>
      <c r="M80" s="143">
        <f>'P &amp; NP'!JW10</f>
        <v>0</v>
      </c>
      <c r="N80" s="143">
        <f>'P &amp; NP'!JX10</f>
        <v>0</v>
      </c>
      <c r="O80" s="143">
        <f>'P &amp; NP'!JY10</f>
        <v>0</v>
      </c>
      <c r="P80" s="143">
        <f>'P &amp; NP'!JZ10</f>
        <v>0</v>
      </c>
      <c r="Q80" s="143">
        <f>'P &amp; NP'!KA10</f>
        <v>0</v>
      </c>
      <c r="R80" s="144">
        <f>'P &amp; NP'!KB10</f>
        <v>0</v>
      </c>
      <c r="V80" s="855"/>
    </row>
    <row r="81" spans="1:22">
      <c r="A81" s="132" t="s">
        <v>635</v>
      </c>
      <c r="B81" s="136" t="s">
        <v>170</v>
      </c>
      <c r="C81" s="135">
        <f t="shared" si="21"/>
        <v>315064</v>
      </c>
      <c r="D81" s="124">
        <f t="shared" si="22"/>
        <v>13404519</v>
      </c>
      <c r="E81" s="997">
        <f>SUM(C81:C84)</f>
        <v>1315693</v>
      </c>
      <c r="F81" s="991">
        <f>SUM(D81:D84)</f>
        <v>49306020</v>
      </c>
      <c r="G81" s="137">
        <f>'P &amp; NP'!KE7</f>
        <v>0</v>
      </c>
      <c r="H81" s="125">
        <f>'P &amp; NP'!KF7</f>
        <v>0</v>
      </c>
      <c r="I81" s="125">
        <f>'P &amp; NP'!KG7</f>
        <v>142429</v>
      </c>
      <c r="J81" s="125">
        <f>'P &amp; NP'!KH7</f>
        <v>9935474</v>
      </c>
      <c r="K81" s="125">
        <f>'P &amp; NP'!KK7</f>
        <v>172635</v>
      </c>
      <c r="L81" s="125">
        <f>'P &amp; NP'!KL7</f>
        <v>3469045</v>
      </c>
      <c r="M81" s="125">
        <f>'P &amp; NP'!KM7</f>
        <v>0</v>
      </c>
      <c r="N81" s="125">
        <f>'P &amp; NP'!KN7</f>
        <v>0</v>
      </c>
      <c r="O81" s="125">
        <f>'P &amp; NP'!KO7</f>
        <v>0</v>
      </c>
      <c r="P81" s="125">
        <f>'P &amp; NP'!KP7</f>
        <v>0</v>
      </c>
      <c r="Q81" s="125">
        <f>'P &amp; NP'!KQ7</f>
        <v>0</v>
      </c>
      <c r="R81" s="126">
        <f>'P &amp; NP'!KR7</f>
        <v>0</v>
      </c>
      <c r="S81" s="183">
        <f t="shared" ref="S81:T81" si="25">SUM(C81:C84)</f>
        <v>1315693</v>
      </c>
      <c r="T81" s="183">
        <f t="shared" si="25"/>
        <v>49306020</v>
      </c>
      <c r="U81" s="855">
        <f>'P &amp; NP'!KS11</f>
        <v>1315693</v>
      </c>
      <c r="V81" s="855">
        <f>'P &amp; NP'!KT11</f>
        <v>49306020</v>
      </c>
    </row>
    <row r="82" spans="1:22">
      <c r="A82" s="132"/>
      <c r="B82" s="136" t="s">
        <v>171</v>
      </c>
      <c r="C82" s="135">
        <f t="shared" si="21"/>
        <v>276481</v>
      </c>
      <c r="D82" s="124">
        <f t="shared" si="22"/>
        <v>9535800</v>
      </c>
      <c r="E82" s="997"/>
      <c r="F82" s="991"/>
      <c r="G82" s="137">
        <f>'P &amp; NP'!KE8</f>
        <v>0</v>
      </c>
      <c r="H82" s="125">
        <f>'P &amp; NP'!KF8</f>
        <v>0</v>
      </c>
      <c r="I82" s="125">
        <f>'P &amp; NP'!KG8</f>
        <v>96109</v>
      </c>
      <c r="J82" s="125">
        <f>'P &amp; NP'!KH8</f>
        <v>5913065</v>
      </c>
      <c r="K82" s="125">
        <f>'P &amp; NP'!KK8</f>
        <v>180372</v>
      </c>
      <c r="L82" s="125">
        <f>'P &amp; NP'!KL8</f>
        <v>3622735</v>
      </c>
      <c r="M82" s="125">
        <f>'P &amp; NP'!KM8</f>
        <v>0</v>
      </c>
      <c r="N82" s="125">
        <f>'P &amp; NP'!KN8</f>
        <v>0</v>
      </c>
      <c r="O82" s="125">
        <f>'P &amp; NP'!KO8</f>
        <v>0</v>
      </c>
      <c r="P82" s="125">
        <f>'P &amp; NP'!KP8</f>
        <v>0</v>
      </c>
      <c r="Q82" s="125">
        <f>'P &amp; NP'!KQ8</f>
        <v>0</v>
      </c>
      <c r="R82" s="126">
        <f>'P &amp; NP'!KR8</f>
        <v>0</v>
      </c>
      <c r="V82" s="855"/>
    </row>
    <row r="83" spans="1:22">
      <c r="A83" s="132"/>
      <c r="B83" s="136" t="s">
        <v>172</v>
      </c>
      <c r="C83" s="135">
        <f t="shared" si="21"/>
        <v>290010</v>
      </c>
      <c r="D83" s="124">
        <f t="shared" si="22"/>
        <v>10751639</v>
      </c>
      <c r="E83" s="997"/>
      <c r="F83" s="991"/>
      <c r="G83" s="137">
        <f>'P &amp; NP'!KE9</f>
        <v>0</v>
      </c>
      <c r="H83" s="125">
        <f>'P &amp; NP'!KF9</f>
        <v>0</v>
      </c>
      <c r="I83" s="125">
        <f>'P &amp; NP'!KG9</f>
        <v>111994</v>
      </c>
      <c r="J83" s="125">
        <f>'P &amp; NP'!KH9</f>
        <v>7175374</v>
      </c>
      <c r="K83" s="125">
        <f>'P &amp; NP'!KK9</f>
        <v>178016</v>
      </c>
      <c r="L83" s="125">
        <f>'P &amp; NP'!KL9</f>
        <v>3576265</v>
      </c>
      <c r="M83" s="125">
        <f>'P &amp; NP'!KM9</f>
        <v>0</v>
      </c>
      <c r="N83" s="125">
        <f>'P &amp; NP'!KN9</f>
        <v>0</v>
      </c>
      <c r="O83" s="125">
        <f>'P &amp; NP'!KO9</f>
        <v>0</v>
      </c>
      <c r="P83" s="125">
        <f>'P &amp; NP'!KP9</f>
        <v>0</v>
      </c>
      <c r="Q83" s="125">
        <f>'P &amp; NP'!KQ9</f>
        <v>0</v>
      </c>
      <c r="R83" s="126">
        <f>'P &amp; NP'!KR9</f>
        <v>0</v>
      </c>
      <c r="V83" s="855"/>
    </row>
    <row r="84" spans="1:22">
      <c r="A84" s="138"/>
      <c r="B84" s="139" t="s">
        <v>173</v>
      </c>
      <c r="C84" s="140">
        <f t="shared" si="21"/>
        <v>434138</v>
      </c>
      <c r="D84" s="141">
        <f t="shared" si="22"/>
        <v>15614062</v>
      </c>
      <c r="E84" s="998"/>
      <c r="F84" s="992"/>
      <c r="G84" s="142">
        <f>'P &amp; NP'!KE10</f>
        <v>0</v>
      </c>
      <c r="H84" s="143">
        <f>'P &amp; NP'!KF10</f>
        <v>0</v>
      </c>
      <c r="I84" s="143">
        <f>'P &amp; NP'!KG10</f>
        <v>165111</v>
      </c>
      <c r="J84" s="143">
        <f>'P &amp; NP'!KH10</f>
        <v>10207097</v>
      </c>
      <c r="K84" s="143">
        <f>'P &amp; NP'!KK10</f>
        <v>269027</v>
      </c>
      <c r="L84" s="143">
        <f>'P &amp; NP'!KL10</f>
        <v>5406965</v>
      </c>
      <c r="M84" s="143">
        <f>'P &amp; NP'!KM10</f>
        <v>0</v>
      </c>
      <c r="N84" s="143">
        <f>'P &amp; NP'!KN10</f>
        <v>0</v>
      </c>
      <c r="O84" s="143">
        <f>'P &amp; NP'!KO10</f>
        <v>0</v>
      </c>
      <c r="P84" s="143">
        <f>'P &amp; NP'!KP10</f>
        <v>0</v>
      </c>
      <c r="Q84" s="143">
        <f>'P &amp; NP'!KQ10</f>
        <v>0</v>
      </c>
      <c r="R84" s="144">
        <f>'P &amp; NP'!KR10</f>
        <v>0</v>
      </c>
      <c r="V84" s="855"/>
    </row>
    <row r="85" spans="1:22">
      <c r="A85" s="132" t="s">
        <v>636</v>
      </c>
      <c r="B85" s="136" t="s">
        <v>170</v>
      </c>
      <c r="C85" s="135">
        <f t="shared" si="21"/>
        <v>6438657.5600000005</v>
      </c>
      <c r="D85" s="124">
        <f t="shared" si="22"/>
        <v>122301542</v>
      </c>
      <c r="E85" s="997">
        <f>SUM(C85:C88)</f>
        <v>25295174.27</v>
      </c>
      <c r="F85" s="991">
        <f>SUM(D85:D88)</f>
        <v>447118606</v>
      </c>
      <c r="G85" s="137">
        <f>'P &amp; NP'!KU7</f>
        <v>0</v>
      </c>
      <c r="H85" s="125">
        <f>'P &amp; NP'!KV7</f>
        <v>0</v>
      </c>
      <c r="I85" s="125">
        <f>'P &amp; NP'!KW7</f>
        <v>1847043.1599999997</v>
      </c>
      <c r="J85" s="125">
        <f>'P &amp; NP'!KX7</f>
        <v>36040176</v>
      </c>
      <c r="K85" s="125">
        <f>'P &amp; NP'!LA7</f>
        <v>4556757.07</v>
      </c>
      <c r="L85" s="125">
        <f>'P &amp; NP'!LB7</f>
        <v>85424793</v>
      </c>
      <c r="M85" s="125">
        <f>'P &amp; NP'!LC7</f>
        <v>0</v>
      </c>
      <c r="N85" s="125">
        <f>'P &amp; NP'!LD7</f>
        <v>0</v>
      </c>
      <c r="O85" s="125">
        <f>'P &amp; NP'!LE7</f>
        <v>0</v>
      </c>
      <c r="P85" s="125">
        <f>'P &amp; NP'!LF7</f>
        <v>0</v>
      </c>
      <c r="Q85" s="125">
        <f>'P &amp; NP'!LG7</f>
        <v>34857.33</v>
      </c>
      <c r="R85" s="126">
        <f>'P &amp; NP'!LH7</f>
        <v>836573</v>
      </c>
      <c r="S85" s="183">
        <f t="shared" ref="S85:T85" si="26">SUM(C85:C88)</f>
        <v>25295174.27</v>
      </c>
      <c r="T85" s="183">
        <f t="shared" si="26"/>
        <v>447118606</v>
      </c>
      <c r="U85" s="855">
        <f>'P &amp; NP'!LI11</f>
        <v>25295174.270000003</v>
      </c>
      <c r="V85" s="855">
        <f>'P &amp; NP'!LJ11</f>
        <v>447118606</v>
      </c>
    </row>
    <row r="86" spans="1:22">
      <c r="A86" s="132"/>
      <c r="B86" s="136" t="s">
        <v>171</v>
      </c>
      <c r="C86" s="135">
        <f t="shared" si="21"/>
        <v>5936675.120000001</v>
      </c>
      <c r="D86" s="124">
        <f t="shared" si="22"/>
        <v>108131919</v>
      </c>
      <c r="E86" s="997"/>
      <c r="F86" s="991"/>
      <c r="G86" s="137">
        <f>'P &amp; NP'!KU8</f>
        <v>0</v>
      </c>
      <c r="H86" s="125">
        <f>'P &amp; NP'!KV8</f>
        <v>0</v>
      </c>
      <c r="I86" s="125">
        <f>'P &amp; NP'!KW8</f>
        <v>1811606.2500000002</v>
      </c>
      <c r="J86" s="125">
        <f>'P &amp; NP'!KX8</f>
        <v>33031470</v>
      </c>
      <c r="K86" s="125">
        <f>'P &amp; NP'!LA8</f>
        <v>4087087.1400000006</v>
      </c>
      <c r="L86" s="125">
        <f>'P &amp; NP'!LB8</f>
        <v>74211786</v>
      </c>
      <c r="M86" s="125">
        <f>'P &amp; NP'!LC8</f>
        <v>0</v>
      </c>
      <c r="N86" s="125">
        <f>'P &amp; NP'!LD8</f>
        <v>0</v>
      </c>
      <c r="O86" s="125">
        <f>'P &amp; NP'!LE8</f>
        <v>0</v>
      </c>
      <c r="P86" s="125">
        <f>'P &amp; NP'!LF8</f>
        <v>0</v>
      </c>
      <c r="Q86" s="125">
        <f>'P &amp; NP'!LG8</f>
        <v>37981.729999999996</v>
      </c>
      <c r="R86" s="126">
        <f>'P &amp; NP'!LH8</f>
        <v>888663</v>
      </c>
      <c r="V86" s="855"/>
    </row>
    <row r="87" spans="1:22">
      <c r="A87" s="132"/>
      <c r="B87" s="136" t="s">
        <v>172</v>
      </c>
      <c r="C87" s="135">
        <f t="shared" si="21"/>
        <v>6880319.3900000006</v>
      </c>
      <c r="D87" s="124">
        <f t="shared" si="22"/>
        <v>109980895</v>
      </c>
      <c r="E87" s="997"/>
      <c r="F87" s="991"/>
      <c r="G87" s="137">
        <f>'P &amp; NP'!KU9</f>
        <v>0</v>
      </c>
      <c r="H87" s="125">
        <f>'P &amp; NP'!KV9</f>
        <v>0</v>
      </c>
      <c r="I87" s="125">
        <f>'P &amp; NP'!KW9</f>
        <v>2969482.66</v>
      </c>
      <c r="J87" s="125">
        <f>'P &amp; NP'!KX9</f>
        <v>39055107</v>
      </c>
      <c r="K87" s="125">
        <f>'P &amp; NP'!LA9</f>
        <v>3877398.49</v>
      </c>
      <c r="L87" s="125">
        <f>'P &amp; NP'!LB9</f>
        <v>70139968</v>
      </c>
      <c r="M87" s="125">
        <f>'P &amp; NP'!LC9</f>
        <v>0</v>
      </c>
      <c r="N87" s="125">
        <f>'P &amp; NP'!LD9</f>
        <v>0</v>
      </c>
      <c r="O87" s="125">
        <f>'P &amp; NP'!LE9</f>
        <v>0</v>
      </c>
      <c r="P87" s="125">
        <f>'P &amp; NP'!LF9</f>
        <v>0</v>
      </c>
      <c r="Q87" s="125">
        <f>'P &amp; NP'!LG9</f>
        <v>33438.239999999998</v>
      </c>
      <c r="R87" s="126">
        <f>'P &amp; NP'!LH9</f>
        <v>785820</v>
      </c>
      <c r="V87" s="855"/>
    </row>
    <row r="88" spans="1:22">
      <c r="A88" s="138"/>
      <c r="B88" s="139" t="s">
        <v>173</v>
      </c>
      <c r="C88" s="140">
        <f t="shared" si="21"/>
        <v>6039522.2000000002</v>
      </c>
      <c r="D88" s="141">
        <f t="shared" si="22"/>
        <v>106704250</v>
      </c>
      <c r="E88" s="998"/>
      <c r="F88" s="992"/>
      <c r="G88" s="142">
        <f>'P &amp; NP'!KU10</f>
        <v>0</v>
      </c>
      <c r="H88" s="143">
        <f>'P &amp; NP'!KV10</f>
        <v>0</v>
      </c>
      <c r="I88" s="143">
        <f>'P &amp; NP'!KW10</f>
        <v>2582870.71</v>
      </c>
      <c r="J88" s="143">
        <f>'P &amp; NP'!KX10</f>
        <v>43600731</v>
      </c>
      <c r="K88" s="143">
        <f>'P &amp; NP'!LA10</f>
        <v>3420875.93</v>
      </c>
      <c r="L88" s="143">
        <f>'P &amp; NP'!LB10</f>
        <v>62173357</v>
      </c>
      <c r="M88" s="143">
        <f>'P &amp; NP'!LC10</f>
        <v>0</v>
      </c>
      <c r="N88" s="143">
        <f>'P &amp; NP'!LD10</f>
        <v>0</v>
      </c>
      <c r="O88" s="143">
        <f>'P &amp; NP'!LE10</f>
        <v>0</v>
      </c>
      <c r="P88" s="143">
        <f>'P &amp; NP'!LF10</f>
        <v>0</v>
      </c>
      <c r="Q88" s="143">
        <f>'P &amp; NP'!LG10</f>
        <v>35775.56</v>
      </c>
      <c r="R88" s="144">
        <f>'P &amp; NP'!LH10</f>
        <v>930162</v>
      </c>
      <c r="V88" s="855"/>
    </row>
    <row r="89" spans="1:22">
      <c r="A89" s="132" t="s">
        <v>637</v>
      </c>
      <c r="B89" s="136" t="s">
        <v>170</v>
      </c>
      <c r="C89" s="135">
        <f t="shared" si="21"/>
        <v>572473</v>
      </c>
      <c r="D89" s="124">
        <f t="shared" si="22"/>
        <v>11676163.5</v>
      </c>
      <c r="E89" s="997">
        <f>SUM(C89:C92)</f>
        <v>2197316</v>
      </c>
      <c r="F89" s="991">
        <f>SUM(D89:D92)</f>
        <v>45047834.730000004</v>
      </c>
      <c r="G89" s="137">
        <f>'P &amp; NP'!LK7</f>
        <v>0</v>
      </c>
      <c r="H89" s="125">
        <f>'P &amp; NP'!LL7</f>
        <v>0</v>
      </c>
      <c r="I89" s="125">
        <f>'P &amp; NP'!LM7</f>
        <v>0</v>
      </c>
      <c r="J89" s="125">
        <f>'P &amp; NP'!LN7</f>
        <v>0</v>
      </c>
      <c r="K89" s="125">
        <f>'P &amp; NP'!LQ7</f>
        <v>567744</v>
      </c>
      <c r="L89" s="125">
        <f>'P &amp; NP'!LR7</f>
        <v>11515377.5</v>
      </c>
      <c r="M89" s="125">
        <f>'P &amp; NP'!LS7</f>
        <v>0</v>
      </c>
      <c r="N89" s="125">
        <f>'P &amp; NP'!LT7</f>
        <v>0</v>
      </c>
      <c r="O89" s="125">
        <f>'P &amp; NP'!LU7</f>
        <v>0</v>
      </c>
      <c r="P89" s="125">
        <f>'P &amp; NP'!LV7</f>
        <v>0</v>
      </c>
      <c r="Q89" s="125">
        <f>'P &amp; NP'!LW7</f>
        <v>4729</v>
      </c>
      <c r="R89" s="126">
        <f>'P &amp; NP'!LX7</f>
        <v>160786</v>
      </c>
      <c r="S89" s="183">
        <f t="shared" ref="S89:T89" si="27">SUM(C89:C92)</f>
        <v>2197316</v>
      </c>
      <c r="T89" s="183">
        <f t="shared" si="27"/>
        <v>45047834.730000004</v>
      </c>
      <c r="U89" s="855">
        <f>'P &amp; NP'!LY11</f>
        <v>2197316</v>
      </c>
      <c r="V89" s="855">
        <f>'P &amp; NP'!LZ11</f>
        <v>45047834.730000004</v>
      </c>
    </row>
    <row r="90" spans="1:22">
      <c r="A90" s="132"/>
      <c r="B90" s="136" t="s">
        <v>171</v>
      </c>
      <c r="C90" s="135">
        <f t="shared" si="21"/>
        <v>577915</v>
      </c>
      <c r="D90" s="124">
        <f t="shared" si="22"/>
        <v>11951786.699999999</v>
      </c>
      <c r="E90" s="997"/>
      <c r="F90" s="991"/>
      <c r="G90" s="137">
        <f>'P &amp; NP'!LK8</f>
        <v>0</v>
      </c>
      <c r="H90" s="125">
        <f>'P &amp; NP'!LL8</f>
        <v>0</v>
      </c>
      <c r="I90" s="125">
        <f>'P &amp; NP'!LM8</f>
        <v>0</v>
      </c>
      <c r="J90" s="125">
        <f>'P &amp; NP'!LN8</f>
        <v>0</v>
      </c>
      <c r="K90" s="125">
        <f>'P &amp; NP'!LQ8</f>
        <v>571537</v>
      </c>
      <c r="L90" s="125">
        <f>'P &amp; NP'!LR8</f>
        <v>11743820.699999999</v>
      </c>
      <c r="M90" s="125">
        <f>'P &amp; NP'!LS8</f>
        <v>0</v>
      </c>
      <c r="N90" s="125">
        <f>'P &amp; NP'!LT8</f>
        <v>0</v>
      </c>
      <c r="O90" s="125">
        <f>'P &amp; NP'!LU8</f>
        <v>0</v>
      </c>
      <c r="P90" s="125">
        <f>'P &amp; NP'!LV8</f>
        <v>0</v>
      </c>
      <c r="Q90" s="125">
        <f>'P &amp; NP'!LW8</f>
        <v>6378</v>
      </c>
      <c r="R90" s="126">
        <f>'P &amp; NP'!LX8</f>
        <v>207966</v>
      </c>
      <c r="V90" s="855"/>
    </row>
    <row r="91" spans="1:22">
      <c r="A91" s="132"/>
      <c r="B91" s="136" t="s">
        <v>172</v>
      </c>
      <c r="C91" s="135">
        <f t="shared" si="21"/>
        <v>516576</v>
      </c>
      <c r="D91" s="124">
        <f t="shared" si="22"/>
        <v>10495218</v>
      </c>
      <c r="E91" s="997"/>
      <c r="F91" s="991"/>
      <c r="G91" s="137">
        <f>'P &amp; NP'!LK9</f>
        <v>0</v>
      </c>
      <c r="H91" s="125">
        <f>'P &amp; NP'!LL9</f>
        <v>0</v>
      </c>
      <c r="I91" s="125">
        <f>'P &amp; NP'!LM9</f>
        <v>0</v>
      </c>
      <c r="J91" s="125">
        <f>'P &amp; NP'!LN9</f>
        <v>0</v>
      </c>
      <c r="K91" s="125">
        <f>'P &amp; NP'!LQ9</f>
        <v>513845</v>
      </c>
      <c r="L91" s="125">
        <f>'P &amp; NP'!LR9</f>
        <v>10407826</v>
      </c>
      <c r="M91" s="125">
        <f>'P &amp; NP'!LS9</f>
        <v>0</v>
      </c>
      <c r="N91" s="125">
        <f>'P &amp; NP'!LT9</f>
        <v>0</v>
      </c>
      <c r="O91" s="125">
        <f>'P &amp; NP'!LU9</f>
        <v>0</v>
      </c>
      <c r="P91" s="125">
        <f>'P &amp; NP'!LV9</f>
        <v>0</v>
      </c>
      <c r="Q91" s="125">
        <f>'P &amp; NP'!LW9</f>
        <v>2731</v>
      </c>
      <c r="R91" s="126">
        <f>'P &amp; NP'!LX9</f>
        <v>87392</v>
      </c>
      <c r="V91" s="855"/>
    </row>
    <row r="92" spans="1:22">
      <c r="A92" s="138"/>
      <c r="B92" s="139" t="s">
        <v>173</v>
      </c>
      <c r="C92" s="140">
        <f t="shared" si="21"/>
        <v>530352</v>
      </c>
      <c r="D92" s="141">
        <f t="shared" si="22"/>
        <v>10924666.530000001</v>
      </c>
      <c r="E92" s="998"/>
      <c r="F92" s="992"/>
      <c r="G92" s="142">
        <f>'P &amp; NP'!LK10</f>
        <v>0</v>
      </c>
      <c r="H92" s="143">
        <f>'P &amp; NP'!LL10</f>
        <v>0</v>
      </c>
      <c r="I92" s="143">
        <f>'P &amp; NP'!LM10</f>
        <v>0</v>
      </c>
      <c r="J92" s="143">
        <f>'P &amp; NP'!LN10</f>
        <v>0</v>
      </c>
      <c r="K92" s="143">
        <f>'P &amp; NP'!LQ10</f>
        <v>526587</v>
      </c>
      <c r="L92" s="143">
        <f>'P &amp; NP'!LR10</f>
        <v>10810906.530000001</v>
      </c>
      <c r="M92" s="143">
        <f>'P &amp; NP'!LS10</f>
        <v>0</v>
      </c>
      <c r="N92" s="143">
        <f>'P &amp; NP'!LT10</f>
        <v>0</v>
      </c>
      <c r="O92" s="143">
        <f>'P &amp; NP'!LU10</f>
        <v>0</v>
      </c>
      <c r="P92" s="143">
        <f>'P &amp; NP'!LV10</f>
        <v>0</v>
      </c>
      <c r="Q92" s="143">
        <f>'P &amp; NP'!LW10</f>
        <v>3765</v>
      </c>
      <c r="R92" s="144">
        <f>'P &amp; NP'!LX10</f>
        <v>113760</v>
      </c>
      <c r="V92" s="855"/>
    </row>
    <row r="93" spans="1:22">
      <c r="A93" s="132" t="s">
        <v>638</v>
      </c>
      <c r="B93" s="136" t="s">
        <v>170</v>
      </c>
      <c r="C93" s="135">
        <f t="shared" si="21"/>
        <v>4712900</v>
      </c>
      <c r="D93" s="124">
        <f t="shared" si="22"/>
        <v>257554250</v>
      </c>
      <c r="E93" s="997">
        <f>SUM(C93:C96)</f>
        <v>15433568</v>
      </c>
      <c r="F93" s="991">
        <f>SUM(D93:D96)</f>
        <v>784251175</v>
      </c>
      <c r="G93" s="137">
        <f>'P &amp; NP'!MA7</f>
        <v>97800</v>
      </c>
      <c r="H93" s="125">
        <f>'P &amp; NP'!MB7</f>
        <v>8313000</v>
      </c>
      <c r="I93" s="125">
        <f>'P &amp; NP'!MC7</f>
        <v>4384100</v>
      </c>
      <c r="J93" s="125">
        <f>'P &amp; NP'!MD7</f>
        <v>244950200</v>
      </c>
      <c r="K93" s="125">
        <f>'P &amp; NP'!MG7</f>
        <v>223000</v>
      </c>
      <c r="L93" s="125">
        <f>'P &amp; NP'!MH7</f>
        <v>4131050</v>
      </c>
      <c r="M93" s="125">
        <f>'P &amp; NP'!MI7</f>
        <v>0</v>
      </c>
      <c r="N93" s="125">
        <f>'P &amp; NP'!MJ7</f>
        <v>0</v>
      </c>
      <c r="O93" s="125">
        <f>'P &amp; NP'!MK7</f>
        <v>0</v>
      </c>
      <c r="P93" s="125">
        <f>'P &amp; NP'!ML7</f>
        <v>0</v>
      </c>
      <c r="Q93" s="125">
        <f>'P &amp; NP'!MM7</f>
        <v>8000</v>
      </c>
      <c r="R93" s="126">
        <f>'P &amp; NP'!MN7</f>
        <v>160000</v>
      </c>
      <c r="S93" s="183">
        <f t="shared" ref="S93:T93" si="28">SUM(C93:C96)</f>
        <v>15433568</v>
      </c>
      <c r="T93" s="183">
        <f t="shared" si="28"/>
        <v>784251175</v>
      </c>
      <c r="U93" s="855">
        <f>'P &amp; NP'!MO11</f>
        <v>15433568</v>
      </c>
      <c r="V93" s="855">
        <f>'P &amp; NP'!MP11</f>
        <v>784251175</v>
      </c>
    </row>
    <row r="94" spans="1:22">
      <c r="A94" s="132"/>
      <c r="B94" s="136" t="s">
        <v>171</v>
      </c>
      <c r="C94" s="135">
        <f t="shared" si="21"/>
        <v>3886590</v>
      </c>
      <c r="D94" s="124">
        <f t="shared" si="22"/>
        <v>203329430</v>
      </c>
      <c r="E94" s="997"/>
      <c r="F94" s="991"/>
      <c r="G94" s="137">
        <f>'P &amp; NP'!MA8</f>
        <v>89600</v>
      </c>
      <c r="H94" s="125">
        <f>'P &amp; NP'!MB8</f>
        <v>7616000</v>
      </c>
      <c r="I94" s="125">
        <f>'P &amp; NP'!MC8</f>
        <v>3588300</v>
      </c>
      <c r="J94" s="125">
        <f>'P &amp; NP'!MD8</f>
        <v>191850100</v>
      </c>
      <c r="K94" s="125">
        <f>'P &amp; NP'!MG8</f>
        <v>204290</v>
      </c>
      <c r="L94" s="125">
        <f>'P &amp; NP'!MH8</f>
        <v>3784130</v>
      </c>
      <c r="M94" s="125">
        <f>'P &amp; NP'!MI8</f>
        <v>0</v>
      </c>
      <c r="N94" s="125">
        <f>'P &amp; NP'!MJ8</f>
        <v>0</v>
      </c>
      <c r="O94" s="125">
        <f>'P &amp; NP'!MK8</f>
        <v>0</v>
      </c>
      <c r="P94" s="125">
        <f>'P &amp; NP'!ML8</f>
        <v>0</v>
      </c>
      <c r="Q94" s="125">
        <f>'P &amp; NP'!MM8</f>
        <v>4400</v>
      </c>
      <c r="R94" s="126">
        <f>'P &amp; NP'!MN8</f>
        <v>79200</v>
      </c>
      <c r="V94" s="855"/>
    </row>
    <row r="95" spans="1:22">
      <c r="A95" s="132"/>
      <c r="B95" s="136" t="s">
        <v>172</v>
      </c>
      <c r="C95" s="135">
        <f t="shared" si="21"/>
        <v>4027208</v>
      </c>
      <c r="D95" s="124">
        <f t="shared" si="22"/>
        <v>187458905</v>
      </c>
      <c r="E95" s="997"/>
      <c r="F95" s="991"/>
      <c r="G95" s="137">
        <f>'P &amp; NP'!MA9</f>
        <v>88650</v>
      </c>
      <c r="H95" s="125">
        <f>'P &amp; NP'!MB9</f>
        <v>7535250</v>
      </c>
      <c r="I95" s="125">
        <f>'P &amp; NP'!MC9</f>
        <v>3716888</v>
      </c>
      <c r="J95" s="125">
        <f>'P &amp; NP'!MD9</f>
        <v>175824930</v>
      </c>
      <c r="K95" s="125">
        <f>'P &amp; NP'!MG9</f>
        <v>216960</v>
      </c>
      <c r="L95" s="125">
        <f>'P &amp; NP'!MH9</f>
        <v>4013945</v>
      </c>
      <c r="M95" s="125">
        <f>'P &amp; NP'!MI9</f>
        <v>0</v>
      </c>
      <c r="N95" s="125">
        <f>'P &amp; NP'!MJ9</f>
        <v>0</v>
      </c>
      <c r="O95" s="125">
        <f>'P &amp; NP'!MK9</f>
        <v>0</v>
      </c>
      <c r="P95" s="125">
        <f>'P &amp; NP'!ML9</f>
        <v>0</v>
      </c>
      <c r="Q95" s="125">
        <f>'P &amp; NP'!MM9</f>
        <v>4710</v>
      </c>
      <c r="R95" s="126">
        <f>'P &amp; NP'!MN9</f>
        <v>84780</v>
      </c>
      <c r="V95" s="855"/>
    </row>
    <row r="96" spans="1:22">
      <c r="A96" s="138"/>
      <c r="B96" s="139" t="s">
        <v>173</v>
      </c>
      <c r="C96" s="140">
        <f t="shared" si="21"/>
        <v>2806870</v>
      </c>
      <c r="D96" s="141">
        <f t="shared" si="22"/>
        <v>135908590</v>
      </c>
      <c r="E96" s="998"/>
      <c r="F96" s="992"/>
      <c r="G96" s="142">
        <f>'P &amp; NP'!MA10</f>
        <v>159100</v>
      </c>
      <c r="H96" s="143">
        <f>'P &amp; NP'!MB10</f>
        <v>13523500</v>
      </c>
      <c r="I96" s="143">
        <f>'P &amp; NP'!MC10</f>
        <v>2423860</v>
      </c>
      <c r="J96" s="143">
        <f>'P &amp; NP'!MD10</f>
        <v>118247490</v>
      </c>
      <c r="K96" s="143">
        <f>'P &amp; NP'!MG10</f>
        <v>212090</v>
      </c>
      <c r="L96" s="143">
        <f>'P &amp; NP'!MH10</f>
        <v>3924840</v>
      </c>
      <c r="M96" s="143">
        <f>'P &amp; NP'!MI10</f>
        <v>0</v>
      </c>
      <c r="N96" s="143">
        <f>'P &amp; NP'!MJ10</f>
        <v>0</v>
      </c>
      <c r="O96" s="143">
        <f>'P &amp; NP'!MK10</f>
        <v>0</v>
      </c>
      <c r="P96" s="143">
        <f>'P &amp; NP'!ML10</f>
        <v>0</v>
      </c>
      <c r="Q96" s="143">
        <f>'P &amp; NP'!MM10</f>
        <v>11820</v>
      </c>
      <c r="R96" s="144">
        <f>'P &amp; NP'!MN10</f>
        <v>212760</v>
      </c>
      <c r="V96" s="855"/>
    </row>
    <row r="97" spans="1:22">
      <c r="A97" s="132" t="s">
        <v>639</v>
      </c>
      <c r="B97" s="136" t="s">
        <v>170</v>
      </c>
      <c r="C97" s="135">
        <f t="shared" si="21"/>
        <v>314645</v>
      </c>
      <c r="D97" s="124">
        <f t="shared" si="22"/>
        <v>13943373</v>
      </c>
      <c r="E97" s="997">
        <f>SUM(C97:C100)</f>
        <v>1083028</v>
      </c>
      <c r="F97" s="991">
        <f>SUM(D97:D100)</f>
        <v>43149431</v>
      </c>
      <c r="G97" s="137">
        <f>'P &amp; NP'!MQ7</f>
        <v>0</v>
      </c>
      <c r="H97" s="125">
        <f>'P &amp; NP'!MR7</f>
        <v>0</v>
      </c>
      <c r="I97" s="125">
        <f>'P &amp; NP'!MS7</f>
        <v>257642</v>
      </c>
      <c r="J97" s="125">
        <f>'P &amp; NP'!MT7</f>
        <v>12625689</v>
      </c>
      <c r="K97" s="125">
        <f>'P &amp; NP'!MW7</f>
        <v>57003</v>
      </c>
      <c r="L97" s="125">
        <f>'P &amp; NP'!MX7</f>
        <v>1317684</v>
      </c>
      <c r="M97" s="125">
        <f>'P &amp; NP'!MY7</f>
        <v>0</v>
      </c>
      <c r="N97" s="125">
        <f>'P &amp; NP'!MZ7</f>
        <v>0</v>
      </c>
      <c r="O97" s="125">
        <f>'P &amp; NP'!NA7</f>
        <v>0</v>
      </c>
      <c r="P97" s="125">
        <f>'P &amp; NP'!NB7</f>
        <v>0</v>
      </c>
      <c r="Q97" s="125">
        <f>'P &amp; NP'!NC7</f>
        <v>0</v>
      </c>
      <c r="R97" s="126">
        <f>'P &amp; NP'!ND7</f>
        <v>0</v>
      </c>
      <c r="S97" s="183">
        <f t="shared" ref="S97:T97" si="29">SUM(C97:C100)</f>
        <v>1083028</v>
      </c>
      <c r="T97" s="183">
        <f t="shared" si="29"/>
        <v>43149431</v>
      </c>
      <c r="U97" s="855">
        <f>'P &amp; NP'!NE11</f>
        <v>1083028</v>
      </c>
      <c r="V97" s="855">
        <f>'P &amp; NP'!NF11</f>
        <v>43149431</v>
      </c>
    </row>
    <row r="98" spans="1:22">
      <c r="A98" s="132"/>
      <c r="B98" s="136" t="s">
        <v>171</v>
      </c>
      <c r="C98" s="135">
        <f t="shared" si="21"/>
        <v>357367</v>
      </c>
      <c r="D98" s="124">
        <f t="shared" si="22"/>
        <v>17040246</v>
      </c>
      <c r="E98" s="997"/>
      <c r="F98" s="991"/>
      <c r="G98" s="137">
        <f>'P &amp; NP'!MQ8</f>
        <v>0</v>
      </c>
      <c r="H98" s="125">
        <f>'P &amp; NP'!MR8</f>
        <v>0</v>
      </c>
      <c r="I98" s="125">
        <f>'P &amp; NP'!MS8</f>
        <v>302971</v>
      </c>
      <c r="J98" s="125">
        <f>'P &amp; NP'!MT8</f>
        <v>15788788</v>
      </c>
      <c r="K98" s="125">
        <f>'P &amp; NP'!MW8</f>
        <v>54396</v>
      </c>
      <c r="L98" s="125">
        <f>'P &amp; NP'!MX8</f>
        <v>1251458</v>
      </c>
      <c r="M98" s="125">
        <f>'P &amp; NP'!MY8</f>
        <v>0</v>
      </c>
      <c r="N98" s="125">
        <f>'P &amp; NP'!MZ8</f>
        <v>0</v>
      </c>
      <c r="O98" s="125">
        <f>'P &amp; NP'!NA8</f>
        <v>0</v>
      </c>
      <c r="P98" s="125">
        <f>'P &amp; NP'!NB8</f>
        <v>0</v>
      </c>
      <c r="Q98" s="125">
        <f>'P &amp; NP'!NC8</f>
        <v>0</v>
      </c>
      <c r="R98" s="126">
        <f>'P &amp; NP'!ND8</f>
        <v>0</v>
      </c>
      <c r="V98" s="855"/>
    </row>
    <row r="99" spans="1:22">
      <c r="A99" s="132"/>
      <c r="B99" s="136" t="s">
        <v>172</v>
      </c>
      <c r="C99" s="135">
        <f t="shared" si="21"/>
        <v>147370</v>
      </c>
      <c r="D99" s="124">
        <f t="shared" si="22"/>
        <v>5240600</v>
      </c>
      <c r="E99" s="997"/>
      <c r="F99" s="991"/>
      <c r="G99" s="137">
        <f>'P &amp; NP'!MQ9</f>
        <v>0</v>
      </c>
      <c r="H99" s="125">
        <f>'P &amp; NP'!MR9</f>
        <v>0</v>
      </c>
      <c r="I99" s="125">
        <f>'P &amp; NP'!MS9</f>
        <v>96370</v>
      </c>
      <c r="J99" s="125">
        <f>'P &amp; NP'!MT9</f>
        <v>4067600</v>
      </c>
      <c r="K99" s="125">
        <f>'P &amp; NP'!MW9</f>
        <v>51000</v>
      </c>
      <c r="L99" s="125">
        <f>'P &amp; NP'!MX9</f>
        <v>1173000</v>
      </c>
      <c r="M99" s="125">
        <f>'P &amp; NP'!MY9</f>
        <v>0</v>
      </c>
      <c r="N99" s="125">
        <f>'P &amp; NP'!MZ9</f>
        <v>0</v>
      </c>
      <c r="O99" s="125">
        <f>'P &amp; NP'!NA9</f>
        <v>0</v>
      </c>
      <c r="P99" s="125">
        <f>'P &amp; NP'!NB9</f>
        <v>0</v>
      </c>
      <c r="Q99" s="125">
        <f>'P &amp; NP'!NC9</f>
        <v>0</v>
      </c>
      <c r="R99" s="126">
        <f>'P &amp; NP'!ND9</f>
        <v>0</v>
      </c>
      <c r="V99" s="855"/>
    </row>
    <row r="100" spans="1:22">
      <c r="A100" s="138"/>
      <c r="B100" s="139" t="s">
        <v>173</v>
      </c>
      <c r="C100" s="140">
        <f t="shared" si="21"/>
        <v>263646</v>
      </c>
      <c r="D100" s="141">
        <f t="shared" si="22"/>
        <v>6925212</v>
      </c>
      <c r="E100" s="998"/>
      <c r="F100" s="992"/>
      <c r="G100" s="142">
        <f>'P &amp; NP'!MQ10</f>
        <v>0</v>
      </c>
      <c r="H100" s="143">
        <f>'P &amp; NP'!MR10</f>
        <v>0</v>
      </c>
      <c r="I100" s="143">
        <f>'P &amp; NP'!MS10</f>
        <v>197096</v>
      </c>
      <c r="J100" s="143">
        <f>'P &amp; NP'!MT10</f>
        <v>5393932</v>
      </c>
      <c r="K100" s="143">
        <f>'P &amp; NP'!MW10</f>
        <v>66550</v>
      </c>
      <c r="L100" s="143">
        <f>'P &amp; NP'!MX10</f>
        <v>1531280</v>
      </c>
      <c r="M100" s="143">
        <f>'P &amp; NP'!MY10</f>
        <v>0</v>
      </c>
      <c r="N100" s="143">
        <f>'P &amp; NP'!MZ10</f>
        <v>0</v>
      </c>
      <c r="O100" s="143">
        <f>'P &amp; NP'!NA10</f>
        <v>0</v>
      </c>
      <c r="P100" s="143">
        <f>'P &amp; NP'!NB10</f>
        <v>0</v>
      </c>
      <c r="Q100" s="143">
        <f>'P &amp; NP'!NC10</f>
        <v>0</v>
      </c>
      <c r="R100" s="144">
        <f>'P &amp; NP'!ND10</f>
        <v>0</v>
      </c>
      <c r="V100" s="855"/>
    </row>
    <row r="101" spans="1:22">
      <c r="A101" s="132" t="s">
        <v>640</v>
      </c>
      <c r="B101" s="136" t="s">
        <v>170</v>
      </c>
      <c r="C101" s="135">
        <f t="shared" si="21"/>
        <v>26443381</v>
      </c>
      <c r="D101" s="124">
        <f t="shared" si="22"/>
        <v>648249665</v>
      </c>
      <c r="E101" s="997">
        <f>SUM(C101:C104)</f>
        <v>110739687</v>
      </c>
      <c r="F101" s="991">
        <f>SUM(D101:D104)</f>
        <v>2478866829</v>
      </c>
      <c r="G101" s="137">
        <f>'P &amp; NP'!NG7</f>
        <v>0</v>
      </c>
      <c r="H101" s="125">
        <f>'P &amp; NP'!NH7</f>
        <v>0</v>
      </c>
      <c r="I101" s="125">
        <f>'P &amp; NP'!NI7</f>
        <v>19097191</v>
      </c>
      <c r="J101" s="125">
        <f>'P &amp; NP'!NJ7</f>
        <v>529073575</v>
      </c>
      <c r="K101" s="125">
        <f>'P &amp; NP'!NM7</f>
        <v>7253945</v>
      </c>
      <c r="L101" s="125">
        <f>'P &amp; NP'!NN7</f>
        <v>117497520</v>
      </c>
      <c r="M101" s="125">
        <f>'P &amp; NP'!NO7</f>
        <v>0</v>
      </c>
      <c r="N101" s="125">
        <f>'P &amp; NP'!NP7</f>
        <v>0</v>
      </c>
      <c r="O101" s="125">
        <f>'P &amp; NP'!NQ7</f>
        <v>92245</v>
      </c>
      <c r="P101" s="125">
        <f>'P &amp; NP'!NR7</f>
        <v>1678570</v>
      </c>
      <c r="Q101" s="125">
        <f>'P &amp; NP'!NS7</f>
        <v>0</v>
      </c>
      <c r="R101" s="126">
        <f>'P &amp; NP'!NT7</f>
        <v>0</v>
      </c>
      <c r="S101" s="183">
        <f t="shared" ref="S101:T101" si="30">SUM(C101:C104)</f>
        <v>110739687</v>
      </c>
      <c r="T101" s="183">
        <f t="shared" si="30"/>
        <v>2478866829</v>
      </c>
      <c r="U101" s="855">
        <f>'P &amp; NP'!NU11</f>
        <v>110739687</v>
      </c>
      <c r="V101" s="855">
        <f>'P &amp; NP'!NV11</f>
        <v>2478866829</v>
      </c>
    </row>
    <row r="102" spans="1:22">
      <c r="A102" s="132"/>
      <c r="B102" s="136" t="s">
        <v>171</v>
      </c>
      <c r="C102" s="135">
        <f t="shared" si="21"/>
        <v>26639452</v>
      </c>
      <c r="D102" s="124">
        <f t="shared" si="22"/>
        <v>552800006</v>
      </c>
      <c r="E102" s="997"/>
      <c r="F102" s="991"/>
      <c r="G102" s="137">
        <f>'P &amp; NP'!NG8</f>
        <v>0</v>
      </c>
      <c r="H102" s="125">
        <f>'P &amp; NP'!NH8</f>
        <v>0</v>
      </c>
      <c r="I102" s="125">
        <f>'P &amp; NP'!NI8</f>
        <v>20184200</v>
      </c>
      <c r="J102" s="125">
        <f>'P &amp; NP'!NJ8</f>
        <v>446802210</v>
      </c>
      <c r="K102" s="125">
        <f>'P &amp; NP'!NM8</f>
        <v>6053500</v>
      </c>
      <c r="L102" s="125">
        <f>'P &amp; NP'!NN8</f>
        <v>97639200</v>
      </c>
      <c r="M102" s="125">
        <f>'P &amp; NP'!NO8</f>
        <v>335200</v>
      </c>
      <c r="N102" s="125">
        <f>'P &amp; NP'!NP8</f>
        <v>7150800</v>
      </c>
      <c r="O102" s="125">
        <f>'P &amp; NP'!NQ8</f>
        <v>66552</v>
      </c>
      <c r="P102" s="125">
        <f>'P &amp; NP'!NR8</f>
        <v>1207796</v>
      </c>
      <c r="Q102" s="125">
        <f>'P &amp; NP'!NS8</f>
        <v>0</v>
      </c>
      <c r="R102" s="126">
        <f>'P &amp; NP'!NT8</f>
        <v>0</v>
      </c>
      <c r="V102" s="855"/>
    </row>
    <row r="103" spans="1:22">
      <c r="A103" s="132"/>
      <c r="B103" s="136" t="s">
        <v>172</v>
      </c>
      <c r="C103" s="135">
        <f t="shared" si="21"/>
        <v>31984704</v>
      </c>
      <c r="D103" s="124">
        <f t="shared" si="22"/>
        <v>691360002</v>
      </c>
      <c r="E103" s="997"/>
      <c r="F103" s="991"/>
      <c r="G103" s="137">
        <f>'P &amp; NP'!NG9</f>
        <v>0</v>
      </c>
      <c r="H103" s="125">
        <f>'P &amp; NP'!NH9</f>
        <v>0</v>
      </c>
      <c r="I103" s="125">
        <f>'P &amp; NP'!NI9</f>
        <v>25853300</v>
      </c>
      <c r="J103" s="125">
        <f>'P &amp; NP'!NJ9</f>
        <v>592322410</v>
      </c>
      <c r="K103" s="125">
        <f>'P &amp; NP'!NM9</f>
        <v>6058800</v>
      </c>
      <c r="L103" s="125">
        <f>'P &amp; NP'!NN9</f>
        <v>97720600</v>
      </c>
      <c r="M103" s="125">
        <f>'P &amp; NP'!NO9</f>
        <v>0</v>
      </c>
      <c r="N103" s="125">
        <f>'P &amp; NP'!NP9</f>
        <v>0</v>
      </c>
      <c r="O103" s="125">
        <f>'P &amp; NP'!NQ9</f>
        <v>72604</v>
      </c>
      <c r="P103" s="125">
        <f>'P &amp; NP'!NR9</f>
        <v>1316992</v>
      </c>
      <c r="Q103" s="125">
        <f>'P &amp; NP'!NS9</f>
        <v>0</v>
      </c>
      <c r="R103" s="126">
        <f>'P &amp; NP'!NT9</f>
        <v>0</v>
      </c>
      <c r="V103" s="855"/>
    </row>
    <row r="104" spans="1:22">
      <c r="A104" s="138"/>
      <c r="B104" s="139" t="s">
        <v>173</v>
      </c>
      <c r="C104" s="140">
        <f t="shared" si="21"/>
        <v>25672150</v>
      </c>
      <c r="D104" s="141">
        <f t="shared" si="22"/>
        <v>586457156</v>
      </c>
      <c r="E104" s="998"/>
      <c r="F104" s="992"/>
      <c r="G104" s="142">
        <f>'P &amp; NP'!NG10</f>
        <v>0</v>
      </c>
      <c r="H104" s="143">
        <f>'P &amp; NP'!NH10</f>
        <v>0</v>
      </c>
      <c r="I104" s="143">
        <f>'P &amp; NP'!NI10</f>
        <v>17909831</v>
      </c>
      <c r="J104" s="143">
        <f>'P &amp; NP'!NJ10</f>
        <v>458002518</v>
      </c>
      <c r="K104" s="143">
        <f>'P &amp; NP'!NM10</f>
        <v>7178400</v>
      </c>
      <c r="L104" s="143">
        <f>'P &amp; NP'!NN10</f>
        <v>116243400</v>
      </c>
      <c r="M104" s="143">
        <f>'P &amp; NP'!NO10</f>
        <v>502700</v>
      </c>
      <c r="N104" s="143">
        <f>'P &amp; NP'!NP10</f>
        <v>10724400</v>
      </c>
      <c r="O104" s="143">
        <f>'P &amp; NP'!NQ10</f>
        <v>81219</v>
      </c>
      <c r="P104" s="143">
        <f>'P &amp; NP'!NR10</f>
        <v>1486838</v>
      </c>
      <c r="Q104" s="143">
        <f>'P &amp; NP'!NS10</f>
        <v>0</v>
      </c>
      <c r="R104" s="144">
        <f>'P &amp; NP'!NT10</f>
        <v>0</v>
      </c>
      <c r="V104" s="855"/>
    </row>
    <row r="105" spans="1:22">
      <c r="A105" s="132" t="s">
        <v>641</v>
      </c>
      <c r="B105" s="136" t="s">
        <v>170</v>
      </c>
      <c r="C105" s="135">
        <f t="shared" ref="C105:C136" si="31">SUM(G105,I105,K105,M105,O105,Q105)</f>
        <v>2983727</v>
      </c>
      <c r="D105" s="124">
        <f t="shared" ref="D105:D136" si="32">SUM(H105,J105,L105,N105,P105,R105)</f>
        <v>141709092</v>
      </c>
      <c r="E105" s="997">
        <f>SUM(C105:C108)</f>
        <v>11675328</v>
      </c>
      <c r="F105" s="991">
        <f>SUM(D105:D108)</f>
        <v>535776291</v>
      </c>
      <c r="G105" s="137">
        <f>'P &amp; NP'!NW7</f>
        <v>11275</v>
      </c>
      <c r="H105" s="125">
        <f>'P &amp; NP'!NX7</f>
        <v>372250</v>
      </c>
      <c r="I105" s="125">
        <f>'P &amp; NP'!NY7</f>
        <v>2802637</v>
      </c>
      <c r="J105" s="125">
        <f>'P &amp; NP'!NZ7</f>
        <v>138104299</v>
      </c>
      <c r="K105" s="125">
        <f>'P &amp; NP'!OC7</f>
        <v>169815</v>
      </c>
      <c r="L105" s="125">
        <f>'P &amp; NP'!OD7</f>
        <v>3232543</v>
      </c>
      <c r="M105" s="125">
        <f>'P &amp; NP'!OE7</f>
        <v>0</v>
      </c>
      <c r="N105" s="125">
        <f>'P &amp; NP'!OF7</f>
        <v>0</v>
      </c>
      <c r="O105" s="125">
        <f>'P &amp; NP'!OG7</f>
        <v>0</v>
      </c>
      <c r="P105" s="125">
        <f>'P &amp; NP'!OH7</f>
        <v>0</v>
      </c>
      <c r="Q105" s="125">
        <f>'P &amp; NP'!OI7</f>
        <v>0</v>
      </c>
      <c r="R105" s="126">
        <f>'P &amp; NP'!OJ7</f>
        <v>0</v>
      </c>
      <c r="S105" s="183">
        <f t="shared" ref="S105:T105" si="33">SUM(C105:C108)</f>
        <v>11675328</v>
      </c>
      <c r="T105" s="183">
        <f t="shared" si="33"/>
        <v>535776291</v>
      </c>
      <c r="U105" s="855">
        <f>'P &amp; NP'!OK11</f>
        <v>11675328</v>
      </c>
      <c r="V105" s="855">
        <f>'P &amp; NP'!OL11</f>
        <v>535776291</v>
      </c>
    </row>
    <row r="106" spans="1:22">
      <c r="A106" s="132"/>
      <c r="B106" s="136" t="s">
        <v>171</v>
      </c>
      <c r="C106" s="135">
        <f t="shared" si="31"/>
        <v>3120155</v>
      </c>
      <c r="D106" s="124">
        <f t="shared" si="32"/>
        <v>149861722</v>
      </c>
      <c r="E106" s="997"/>
      <c r="F106" s="991"/>
      <c r="G106" s="137">
        <f>'P &amp; NP'!NW8</f>
        <v>10470</v>
      </c>
      <c r="H106" s="125">
        <f>'P &amp; NP'!NX8</f>
        <v>481000</v>
      </c>
      <c r="I106" s="125">
        <f>'P &amp; NP'!NY8</f>
        <v>2958002</v>
      </c>
      <c r="J106" s="125">
        <f>'P &amp; NP'!NZ8</f>
        <v>146488070</v>
      </c>
      <c r="K106" s="125">
        <f>'P &amp; NP'!OC8</f>
        <v>151683</v>
      </c>
      <c r="L106" s="125">
        <f>'P &amp; NP'!OD8</f>
        <v>2892652</v>
      </c>
      <c r="M106" s="125">
        <f>'P &amp; NP'!OE8</f>
        <v>0</v>
      </c>
      <c r="N106" s="125">
        <f>'P &amp; NP'!OF8</f>
        <v>0</v>
      </c>
      <c r="O106" s="125">
        <f>'P &amp; NP'!OG8</f>
        <v>0</v>
      </c>
      <c r="P106" s="125">
        <f>'P &amp; NP'!OH8</f>
        <v>0</v>
      </c>
      <c r="Q106" s="125">
        <f>'P &amp; NP'!OI8</f>
        <v>0</v>
      </c>
      <c r="R106" s="126">
        <f>'P &amp; NP'!OJ8</f>
        <v>0</v>
      </c>
      <c r="V106" s="855"/>
    </row>
    <row r="107" spans="1:22">
      <c r="A107" s="132"/>
      <c r="B107" s="136" t="s">
        <v>172</v>
      </c>
      <c r="C107" s="135">
        <f t="shared" si="31"/>
        <v>3096410</v>
      </c>
      <c r="D107" s="124">
        <f t="shared" si="32"/>
        <v>150377634</v>
      </c>
      <c r="E107" s="997"/>
      <c r="F107" s="991"/>
      <c r="G107" s="137">
        <f>'P &amp; NP'!NW9</f>
        <v>14580</v>
      </c>
      <c r="H107" s="125">
        <f>'P &amp; NP'!NX9</f>
        <v>591500</v>
      </c>
      <c r="I107" s="125">
        <f>'P &amp; NP'!NY9</f>
        <v>2947935</v>
      </c>
      <c r="J107" s="125">
        <f>'P &amp; NP'!NZ9</f>
        <v>147230579</v>
      </c>
      <c r="K107" s="125">
        <f>'P &amp; NP'!OC9</f>
        <v>133895</v>
      </c>
      <c r="L107" s="125">
        <f>'P &amp; NP'!OD9</f>
        <v>2555555</v>
      </c>
      <c r="M107" s="125">
        <f>'P &amp; NP'!OE9</f>
        <v>0</v>
      </c>
      <c r="N107" s="125">
        <f>'P &amp; NP'!OF9</f>
        <v>0</v>
      </c>
      <c r="O107" s="125">
        <f>'P &amp; NP'!OG9</f>
        <v>0</v>
      </c>
      <c r="P107" s="125">
        <f>'P &amp; NP'!OH9</f>
        <v>0</v>
      </c>
      <c r="Q107" s="125">
        <f>'P &amp; NP'!OI9</f>
        <v>0</v>
      </c>
      <c r="R107" s="126">
        <f>'P &amp; NP'!OJ9</f>
        <v>0</v>
      </c>
      <c r="V107" s="855"/>
    </row>
    <row r="108" spans="1:22">
      <c r="A108" s="138"/>
      <c r="B108" s="139" t="s">
        <v>173</v>
      </c>
      <c r="C108" s="140">
        <f t="shared" si="31"/>
        <v>2475036</v>
      </c>
      <c r="D108" s="141">
        <f t="shared" si="32"/>
        <v>93827843</v>
      </c>
      <c r="E108" s="998"/>
      <c r="F108" s="992"/>
      <c r="G108" s="142">
        <f>'P &amp; NP'!NW10</f>
        <v>22950</v>
      </c>
      <c r="H108" s="143">
        <f>'P &amp; NP'!NX10</f>
        <v>533200</v>
      </c>
      <c r="I108" s="143">
        <f>'P &amp; NP'!NY10</f>
        <v>2269650</v>
      </c>
      <c r="J108" s="143">
        <f>'P &amp; NP'!NZ10</f>
        <v>89799988</v>
      </c>
      <c r="K108" s="143">
        <f>'P &amp; NP'!OC10</f>
        <v>182436</v>
      </c>
      <c r="L108" s="143">
        <f>'P &amp; NP'!OD10</f>
        <v>3494655</v>
      </c>
      <c r="M108" s="143">
        <f>'P &amp; NP'!OE10</f>
        <v>0</v>
      </c>
      <c r="N108" s="143">
        <f>'P &amp; NP'!OF10</f>
        <v>0</v>
      </c>
      <c r="O108" s="143">
        <f>'P &amp; NP'!OG10</f>
        <v>0</v>
      </c>
      <c r="P108" s="143">
        <f>'P &amp; NP'!OH10</f>
        <v>0</v>
      </c>
      <c r="Q108" s="143">
        <f>'P &amp; NP'!OI10</f>
        <v>0</v>
      </c>
      <c r="R108" s="144">
        <f>'P &amp; NP'!OJ10</f>
        <v>0</v>
      </c>
      <c r="V108" s="855"/>
    </row>
    <row r="109" spans="1:22">
      <c r="A109" s="132" t="s">
        <v>642</v>
      </c>
      <c r="B109" s="136" t="s">
        <v>170</v>
      </c>
      <c r="C109" s="135">
        <f t="shared" si="31"/>
        <v>156973535.19999999</v>
      </c>
      <c r="D109" s="124">
        <f t="shared" si="32"/>
        <v>1044183439.2</v>
      </c>
      <c r="E109" s="997">
        <f>SUM(C109:C112)</f>
        <v>770272096.39999998</v>
      </c>
      <c r="F109" s="991">
        <f>SUM(D109:D112)</f>
        <v>4372481488.8999996</v>
      </c>
      <c r="G109" s="137">
        <f>'P &amp; NP'!OM7</f>
        <v>155167300</v>
      </c>
      <c r="H109" s="125">
        <f>'P &amp; NP'!ON7</f>
        <v>942970302</v>
      </c>
      <c r="I109" s="125">
        <f>'P &amp; NP'!OO7</f>
        <v>1712277</v>
      </c>
      <c r="J109" s="125">
        <f>'P &amp; NP'!OP7</f>
        <v>99081975</v>
      </c>
      <c r="K109" s="125">
        <f>'P &amp; NP'!OS7</f>
        <v>93958.2</v>
      </c>
      <c r="L109" s="125">
        <f>'P &amp; NP'!OT7</f>
        <v>2131162.2000000002</v>
      </c>
      <c r="M109" s="125">
        <f>'P &amp; NP'!OU7</f>
        <v>0</v>
      </c>
      <c r="N109" s="125">
        <f>'P &amp; NP'!OV7</f>
        <v>0</v>
      </c>
      <c r="O109" s="125">
        <f>'P &amp; NP'!OW7</f>
        <v>0</v>
      </c>
      <c r="P109" s="125">
        <f>'P &amp; NP'!OX7</f>
        <v>0</v>
      </c>
      <c r="Q109" s="125">
        <f>'P &amp; NP'!OY7</f>
        <v>0</v>
      </c>
      <c r="R109" s="126">
        <f>'P &amp; NP'!OZ7</f>
        <v>0</v>
      </c>
      <c r="S109" s="183">
        <f t="shared" ref="S109:T109" si="34">SUM(C109:C112)</f>
        <v>770272096.39999998</v>
      </c>
      <c r="T109" s="183">
        <f t="shared" si="34"/>
        <v>4372481488.8999996</v>
      </c>
      <c r="U109" s="855">
        <f>'P &amp; NP'!PA11</f>
        <v>770272096.39999998</v>
      </c>
      <c r="V109" s="855">
        <f>'P &amp; NP'!PB11</f>
        <v>4372481488.8999996</v>
      </c>
    </row>
    <row r="110" spans="1:22">
      <c r="A110" s="132"/>
      <c r="B110" s="136" t="s">
        <v>171</v>
      </c>
      <c r="C110" s="135">
        <f t="shared" si="31"/>
        <v>169529053.5</v>
      </c>
      <c r="D110" s="124">
        <f t="shared" si="32"/>
        <v>794892011.5</v>
      </c>
      <c r="E110" s="997"/>
      <c r="F110" s="991"/>
      <c r="G110" s="137">
        <f>'P &amp; NP'!OM8</f>
        <v>168023284</v>
      </c>
      <c r="H110" s="125">
        <f>'P &amp; NP'!ON8</f>
        <v>712478770</v>
      </c>
      <c r="I110" s="125">
        <f>'P &amp; NP'!OO8</f>
        <v>1400130</v>
      </c>
      <c r="J110" s="125">
        <f>'P &amp; NP'!OP8</f>
        <v>80106971</v>
      </c>
      <c r="K110" s="125">
        <f>'P &amp; NP'!OS8</f>
        <v>105639.5</v>
      </c>
      <c r="L110" s="125">
        <f>'P &amp; NP'!OT8</f>
        <v>2306270.5</v>
      </c>
      <c r="M110" s="125">
        <f>'P &amp; NP'!OU8</f>
        <v>0</v>
      </c>
      <c r="N110" s="125">
        <f>'P &amp; NP'!OV8</f>
        <v>0</v>
      </c>
      <c r="O110" s="125">
        <f>'P &amp; NP'!OW8</f>
        <v>0</v>
      </c>
      <c r="P110" s="125">
        <f>'P &amp; NP'!OX8</f>
        <v>0</v>
      </c>
      <c r="Q110" s="125">
        <f>'P &amp; NP'!OY8</f>
        <v>0</v>
      </c>
      <c r="R110" s="126">
        <f>'P &amp; NP'!OZ8</f>
        <v>0</v>
      </c>
      <c r="V110" s="855"/>
    </row>
    <row r="111" spans="1:22">
      <c r="A111" s="132"/>
      <c r="B111" s="136" t="s">
        <v>172</v>
      </c>
      <c r="C111" s="135">
        <f t="shared" si="31"/>
        <v>228142364.69999999</v>
      </c>
      <c r="D111" s="124">
        <f t="shared" si="32"/>
        <v>1347858741.2</v>
      </c>
      <c r="E111" s="997"/>
      <c r="F111" s="991"/>
      <c r="G111" s="137">
        <f>'P &amp; NP'!OM9</f>
        <v>222997002</v>
      </c>
      <c r="H111" s="125">
        <f>'P &amp; NP'!ON9</f>
        <v>1154648400</v>
      </c>
      <c r="I111" s="125">
        <f>'P &amp; NP'!OO9</f>
        <v>2915240</v>
      </c>
      <c r="J111" s="125">
        <f>'P &amp; NP'!OP9</f>
        <v>176128314.99999997</v>
      </c>
      <c r="K111" s="125">
        <f>'P &amp; NP'!OS9</f>
        <v>2230122.7000000002</v>
      </c>
      <c r="L111" s="125">
        <f>'P &amp; NP'!OT9</f>
        <v>17082026.200000003</v>
      </c>
      <c r="M111" s="125">
        <f>'P &amp; NP'!OU9</f>
        <v>0</v>
      </c>
      <c r="N111" s="125">
        <f>'P &amp; NP'!OV9</f>
        <v>0</v>
      </c>
      <c r="O111" s="125">
        <f>'P &amp; NP'!OW9</f>
        <v>0</v>
      </c>
      <c r="P111" s="125">
        <f>'P &amp; NP'!OX9</f>
        <v>0</v>
      </c>
      <c r="Q111" s="125">
        <f>'P &amp; NP'!OY9</f>
        <v>0</v>
      </c>
      <c r="R111" s="126">
        <f>'P &amp; NP'!OZ9</f>
        <v>0</v>
      </c>
      <c r="V111" s="855"/>
    </row>
    <row r="112" spans="1:22">
      <c r="A112" s="138"/>
      <c r="B112" s="139" t="s">
        <v>173</v>
      </c>
      <c r="C112" s="140">
        <f t="shared" si="31"/>
        <v>215627143</v>
      </c>
      <c r="D112" s="141">
        <f t="shared" si="32"/>
        <v>1185547297</v>
      </c>
      <c r="E112" s="998"/>
      <c r="F112" s="992"/>
      <c r="G112" s="142">
        <f>'P &amp; NP'!OM10</f>
        <v>213939600</v>
      </c>
      <c r="H112" s="143">
        <f>'P &amp; NP'!ON10</f>
        <v>1085415000</v>
      </c>
      <c r="I112" s="143">
        <f>'P &amp; NP'!OO10</f>
        <v>1568387</v>
      </c>
      <c r="J112" s="143">
        <f>'P &amp; NP'!OP10</f>
        <v>97511821</v>
      </c>
      <c r="K112" s="143">
        <f>'P &amp; NP'!OS10</f>
        <v>119156</v>
      </c>
      <c r="L112" s="143">
        <f>'P &amp; NP'!OT10</f>
        <v>2620476</v>
      </c>
      <c r="M112" s="143">
        <f>'P &amp; NP'!OU10</f>
        <v>0</v>
      </c>
      <c r="N112" s="143">
        <f>'P &amp; NP'!OV10</f>
        <v>0</v>
      </c>
      <c r="O112" s="143">
        <f>'P &amp; NP'!OW10</f>
        <v>0</v>
      </c>
      <c r="P112" s="143">
        <f>'P &amp; NP'!OX10</f>
        <v>0</v>
      </c>
      <c r="Q112" s="143">
        <f>'P &amp; NP'!OY10</f>
        <v>0</v>
      </c>
      <c r="R112" s="144">
        <f>'P &amp; NP'!OZ10</f>
        <v>0</v>
      </c>
      <c r="V112" s="855"/>
    </row>
    <row r="113" spans="1:22">
      <c r="A113" s="132" t="s">
        <v>643</v>
      </c>
      <c r="B113" s="136" t="s">
        <v>170</v>
      </c>
      <c r="C113" s="135">
        <f t="shared" si="31"/>
        <v>1330814</v>
      </c>
      <c r="D113" s="124">
        <f t="shared" si="32"/>
        <v>26764559</v>
      </c>
      <c r="E113" s="997">
        <f>SUM(C113:C116)</f>
        <v>5088463</v>
      </c>
      <c r="F113" s="991">
        <f>SUM(D113:D116)</f>
        <v>104013182.5</v>
      </c>
      <c r="G113" s="137">
        <f>'P &amp; NP'!PC7</f>
        <v>678</v>
      </c>
      <c r="H113" s="125">
        <f>'P &amp; NP'!PD7</f>
        <v>40680</v>
      </c>
      <c r="I113" s="125">
        <f>'P &amp; NP'!PE7</f>
        <v>104712</v>
      </c>
      <c r="J113" s="125">
        <f>'P &amp; NP'!PF7</f>
        <v>5272102</v>
      </c>
      <c r="K113" s="125">
        <f>'P &amp; NP'!PI7</f>
        <v>1225424</v>
      </c>
      <c r="L113" s="125">
        <f>'P &amp; NP'!PJ7</f>
        <v>21451777</v>
      </c>
      <c r="M113" s="125">
        <f>'P &amp; NP'!PK7</f>
        <v>0</v>
      </c>
      <c r="N113" s="125">
        <f>'P &amp; NP'!PL7</f>
        <v>0</v>
      </c>
      <c r="O113" s="125">
        <f>'P &amp; NP'!PM7</f>
        <v>0</v>
      </c>
      <c r="P113" s="125">
        <f>'P &amp; NP'!PN7</f>
        <v>0</v>
      </c>
      <c r="Q113" s="125">
        <f>'P &amp; NP'!PO7</f>
        <v>0</v>
      </c>
      <c r="R113" s="126">
        <f>'P &amp; NP'!PP7</f>
        <v>0</v>
      </c>
      <c r="S113" s="183">
        <f t="shared" ref="S113:T113" si="35">SUM(C113:C116)</f>
        <v>5088463</v>
      </c>
      <c r="T113" s="183">
        <f t="shared" si="35"/>
        <v>104013182.5</v>
      </c>
      <c r="U113" s="855">
        <f>'P &amp; NP'!PQ11</f>
        <v>5088463</v>
      </c>
      <c r="V113" s="855">
        <f>'P &amp; NP'!PR11</f>
        <v>104013182.5</v>
      </c>
    </row>
    <row r="114" spans="1:22">
      <c r="A114" s="132"/>
      <c r="B114" s="136" t="s">
        <v>171</v>
      </c>
      <c r="C114" s="135">
        <f t="shared" si="31"/>
        <v>1396536</v>
      </c>
      <c r="D114" s="124">
        <f t="shared" si="32"/>
        <v>29972976.5</v>
      </c>
      <c r="E114" s="997"/>
      <c r="F114" s="991"/>
      <c r="G114" s="137">
        <f>'P &amp; NP'!PC8</f>
        <v>441</v>
      </c>
      <c r="H114" s="125">
        <f>'P &amp; NP'!PD8</f>
        <v>27721.5</v>
      </c>
      <c r="I114" s="125">
        <f>'P &amp; NP'!PE8</f>
        <v>76281</v>
      </c>
      <c r="J114" s="125">
        <f>'P &amp; NP'!PF8</f>
        <v>5624345</v>
      </c>
      <c r="K114" s="125">
        <f>'P &amp; NP'!PI8</f>
        <v>1319814</v>
      </c>
      <c r="L114" s="125">
        <f>'P &amp; NP'!PJ8</f>
        <v>24320910</v>
      </c>
      <c r="M114" s="125">
        <f>'P &amp; NP'!PK8</f>
        <v>0</v>
      </c>
      <c r="N114" s="125">
        <f>'P &amp; NP'!PL8</f>
        <v>0</v>
      </c>
      <c r="O114" s="125">
        <f>'P &amp; NP'!PM8</f>
        <v>0</v>
      </c>
      <c r="P114" s="125">
        <f>'P &amp; NP'!PN8</f>
        <v>0</v>
      </c>
      <c r="Q114" s="125">
        <f>'P &amp; NP'!PO8</f>
        <v>0</v>
      </c>
      <c r="R114" s="126">
        <f>'P &amp; NP'!PP8</f>
        <v>0</v>
      </c>
      <c r="V114" s="855"/>
    </row>
    <row r="115" spans="1:22">
      <c r="A115" s="132"/>
      <c r="B115" s="136" t="s">
        <v>172</v>
      </c>
      <c r="C115" s="135">
        <f t="shared" si="31"/>
        <v>1236445</v>
      </c>
      <c r="D115" s="124">
        <f t="shared" si="32"/>
        <v>24695150</v>
      </c>
      <c r="E115" s="997"/>
      <c r="F115" s="991"/>
      <c r="G115" s="137">
        <f>'P &amp; NP'!PC9</f>
        <v>705</v>
      </c>
      <c r="H115" s="125">
        <f>'P &amp; NP'!PD9</f>
        <v>72345</v>
      </c>
      <c r="I115" s="125">
        <f>'P &amp; NP'!PE9</f>
        <v>49997</v>
      </c>
      <c r="J115" s="125">
        <f>'P &amp; NP'!PF9</f>
        <v>3249805</v>
      </c>
      <c r="K115" s="125">
        <f>'P &amp; NP'!PI9</f>
        <v>1185743</v>
      </c>
      <c r="L115" s="125">
        <f>'P &amp; NP'!PJ9</f>
        <v>21373000</v>
      </c>
      <c r="M115" s="125">
        <f>'P &amp; NP'!PK9</f>
        <v>0</v>
      </c>
      <c r="N115" s="125">
        <f>'P &amp; NP'!PL9</f>
        <v>0</v>
      </c>
      <c r="O115" s="125">
        <f>'P &amp; NP'!PM9</f>
        <v>0</v>
      </c>
      <c r="P115" s="125">
        <f>'P &amp; NP'!PN9</f>
        <v>0</v>
      </c>
      <c r="Q115" s="125">
        <f>'P &amp; NP'!PO9</f>
        <v>0</v>
      </c>
      <c r="R115" s="126">
        <f>'P &amp; NP'!PP9</f>
        <v>0</v>
      </c>
      <c r="V115" s="855"/>
    </row>
    <row r="116" spans="1:22">
      <c r="A116" s="138"/>
      <c r="B116" s="139" t="s">
        <v>173</v>
      </c>
      <c r="C116" s="140">
        <f t="shared" si="31"/>
        <v>1124668</v>
      </c>
      <c r="D116" s="141">
        <f t="shared" si="32"/>
        <v>22580497</v>
      </c>
      <c r="E116" s="998"/>
      <c r="F116" s="992"/>
      <c r="G116" s="142">
        <f>'P &amp; NP'!PC10</f>
        <v>185</v>
      </c>
      <c r="H116" s="143">
        <f>'P &amp; NP'!PD10</f>
        <v>10175</v>
      </c>
      <c r="I116" s="143">
        <f>'P &amp; NP'!PE10</f>
        <v>42446</v>
      </c>
      <c r="J116" s="143">
        <f>'P &amp; NP'!PF10</f>
        <v>2758990</v>
      </c>
      <c r="K116" s="143">
        <f>'P &amp; NP'!PI10</f>
        <v>1082037</v>
      </c>
      <c r="L116" s="143">
        <f>'P &amp; NP'!PJ10</f>
        <v>19811332</v>
      </c>
      <c r="M116" s="143">
        <f>'P &amp; NP'!PK10</f>
        <v>0</v>
      </c>
      <c r="N116" s="143">
        <f>'P &amp; NP'!PL10</f>
        <v>0</v>
      </c>
      <c r="O116" s="143">
        <f>'P &amp; NP'!PM10</f>
        <v>0</v>
      </c>
      <c r="P116" s="143">
        <f>'P &amp; NP'!PN10</f>
        <v>0</v>
      </c>
      <c r="Q116" s="143">
        <f>'P &amp; NP'!PO10</f>
        <v>0</v>
      </c>
      <c r="R116" s="144">
        <f>'P &amp; NP'!PP10</f>
        <v>0</v>
      </c>
      <c r="V116" s="855"/>
    </row>
    <row r="117" spans="1:22">
      <c r="A117" s="132" t="s">
        <v>644</v>
      </c>
      <c r="B117" s="136" t="s">
        <v>170</v>
      </c>
      <c r="C117" s="135">
        <f t="shared" si="31"/>
        <v>14404740</v>
      </c>
      <c r="D117" s="124">
        <f t="shared" si="32"/>
        <v>395438355.41100001</v>
      </c>
      <c r="E117" s="997">
        <f>SUM(C117:C120)</f>
        <v>53319430</v>
      </c>
      <c r="F117" s="991">
        <f>SUM(D117:D120)</f>
        <v>1449176630.411</v>
      </c>
      <c r="G117" s="137">
        <f>'P &amp; NP'!PS7</f>
        <v>280</v>
      </c>
      <c r="H117" s="125">
        <f>'P &amp; NP'!PT7</f>
        <v>28000</v>
      </c>
      <c r="I117" s="125">
        <f>'P &amp; NP'!PU7</f>
        <v>3851740</v>
      </c>
      <c r="J117" s="125">
        <f>'P &amp; NP'!PV7</f>
        <v>157151810</v>
      </c>
      <c r="K117" s="125">
        <f>'P &amp; NP'!PY7</f>
        <v>3589460</v>
      </c>
      <c r="L117" s="125">
        <f>'P &amp; NP'!PZ7</f>
        <v>66951041.410999998</v>
      </c>
      <c r="M117" s="125">
        <f>'P &amp; NP'!QA7</f>
        <v>5136730</v>
      </c>
      <c r="N117" s="125">
        <f>'P &amp; NP'!QB7</f>
        <v>137177370</v>
      </c>
      <c r="O117" s="125">
        <f>'P &amp; NP'!QC7</f>
        <v>1826530</v>
      </c>
      <c r="P117" s="125">
        <f>'P &amp; NP'!QD7</f>
        <v>34130134</v>
      </c>
      <c r="Q117" s="125">
        <f>'P &amp; NP'!QE7</f>
        <v>0</v>
      </c>
      <c r="R117" s="126">
        <f>'P &amp; NP'!QF7</f>
        <v>0</v>
      </c>
      <c r="S117" s="183">
        <f t="shared" ref="S117:T117" si="36">SUM(C117:C120)</f>
        <v>53319430</v>
      </c>
      <c r="T117" s="183">
        <f t="shared" si="36"/>
        <v>1449176630.411</v>
      </c>
      <c r="U117" s="855">
        <f>'P &amp; NP'!QG11</f>
        <v>53319430</v>
      </c>
      <c r="V117" s="855">
        <f>'P &amp; NP'!QH11</f>
        <v>1449176630.411</v>
      </c>
    </row>
    <row r="118" spans="1:22">
      <c r="A118" s="132"/>
      <c r="B118" s="136" t="s">
        <v>171</v>
      </c>
      <c r="C118" s="135">
        <f t="shared" si="31"/>
        <v>12346920</v>
      </c>
      <c r="D118" s="124">
        <f t="shared" si="32"/>
        <v>336947190</v>
      </c>
      <c r="E118" s="997"/>
      <c r="F118" s="991"/>
      <c r="G118" s="137">
        <f>'P &amp; NP'!PS8</f>
        <v>500</v>
      </c>
      <c r="H118" s="125">
        <f>'P &amp; NP'!PT8</f>
        <v>55000</v>
      </c>
      <c r="I118" s="125">
        <f>'P &amp; NP'!PU8</f>
        <v>3179330</v>
      </c>
      <c r="J118" s="125">
        <f>'P &amp; NP'!PV8</f>
        <v>125314760</v>
      </c>
      <c r="K118" s="125">
        <f>'P &amp; NP'!PY8</f>
        <v>3333670</v>
      </c>
      <c r="L118" s="125">
        <f>'P &amp; NP'!PZ8</f>
        <v>67631660</v>
      </c>
      <c r="M118" s="125">
        <f>'P &amp; NP'!QA8</f>
        <v>4494270</v>
      </c>
      <c r="N118" s="125">
        <f>'P &amp; NP'!QB8</f>
        <v>118306240</v>
      </c>
      <c r="O118" s="125">
        <f>'P &amp; NP'!QC8</f>
        <v>1339150</v>
      </c>
      <c r="P118" s="125">
        <f>'P &amp; NP'!QD8</f>
        <v>25639530</v>
      </c>
      <c r="Q118" s="125">
        <f>'P &amp; NP'!QE8</f>
        <v>0</v>
      </c>
      <c r="R118" s="126">
        <f>'P &amp; NP'!QF8</f>
        <v>0</v>
      </c>
      <c r="V118" s="855"/>
    </row>
    <row r="119" spans="1:22">
      <c r="A119" s="132"/>
      <c r="B119" s="136" t="s">
        <v>172</v>
      </c>
      <c r="C119" s="135">
        <f t="shared" si="31"/>
        <v>9774670</v>
      </c>
      <c r="D119" s="124">
        <f t="shared" si="32"/>
        <v>289385795</v>
      </c>
      <c r="E119" s="997"/>
      <c r="F119" s="991"/>
      <c r="G119" s="137">
        <f>'P &amp; NP'!PS9</f>
        <v>570</v>
      </c>
      <c r="H119" s="125">
        <f>'P &amp; NP'!PT9</f>
        <v>62700</v>
      </c>
      <c r="I119" s="125">
        <f>'P &amp; NP'!PU9</f>
        <v>3481160</v>
      </c>
      <c r="J119" s="125">
        <f>'P &amp; NP'!PV9</f>
        <v>150191590</v>
      </c>
      <c r="K119" s="125">
        <f>'P &amp; NP'!PY9</f>
        <v>3144510</v>
      </c>
      <c r="L119" s="125">
        <f>'P &amp; NP'!PZ9</f>
        <v>56775615</v>
      </c>
      <c r="M119" s="125">
        <f>'P &amp; NP'!QA9</f>
        <v>2099590</v>
      </c>
      <c r="N119" s="125">
        <f>'P &amp; NP'!QB9</f>
        <v>63263760</v>
      </c>
      <c r="O119" s="125">
        <f>'P &amp; NP'!QC9</f>
        <v>1048840</v>
      </c>
      <c r="P119" s="125">
        <f>'P &amp; NP'!QD9</f>
        <v>19092130</v>
      </c>
      <c r="Q119" s="125">
        <f>'P &amp; NP'!QE9</f>
        <v>0</v>
      </c>
      <c r="R119" s="126">
        <f>'P &amp; NP'!QF9</f>
        <v>0</v>
      </c>
      <c r="V119" s="855"/>
    </row>
    <row r="120" spans="1:22">
      <c r="A120" s="138"/>
      <c r="B120" s="139" t="s">
        <v>173</v>
      </c>
      <c r="C120" s="140">
        <f t="shared" si="31"/>
        <v>16793100</v>
      </c>
      <c r="D120" s="141">
        <f t="shared" si="32"/>
        <v>427405290</v>
      </c>
      <c r="E120" s="998"/>
      <c r="F120" s="992"/>
      <c r="G120" s="142">
        <f>'P &amp; NP'!PS10</f>
        <v>1250</v>
      </c>
      <c r="H120" s="143">
        <f>'P &amp; NP'!PT10</f>
        <v>131250</v>
      </c>
      <c r="I120" s="143">
        <f>'P &amp; NP'!PU10</f>
        <v>5966230</v>
      </c>
      <c r="J120" s="143">
        <f>'P &amp; NP'!PV10</f>
        <v>190553350</v>
      </c>
      <c r="K120" s="143">
        <f>'P &amp; NP'!PY10</f>
        <v>5037940</v>
      </c>
      <c r="L120" s="143">
        <f>'P &amp; NP'!PZ10</f>
        <v>92276540</v>
      </c>
      <c r="M120" s="143">
        <f>'P &amp; NP'!QA10</f>
        <v>3492500</v>
      </c>
      <c r="N120" s="143">
        <f>'P &amp; NP'!QB10</f>
        <v>103343990</v>
      </c>
      <c r="O120" s="143">
        <f>'P &amp; NP'!QC10</f>
        <v>2295180</v>
      </c>
      <c r="P120" s="143">
        <f>'P &amp; NP'!QD10</f>
        <v>41100160</v>
      </c>
      <c r="Q120" s="143">
        <f>'P &amp; NP'!QE10</f>
        <v>0</v>
      </c>
      <c r="R120" s="144">
        <f>'P &amp; NP'!QF10</f>
        <v>0</v>
      </c>
      <c r="V120" s="855"/>
    </row>
    <row r="121" spans="1:22">
      <c r="A121" s="132" t="s">
        <v>645</v>
      </c>
      <c r="B121" s="136" t="s">
        <v>170</v>
      </c>
      <c r="C121" s="135">
        <f t="shared" si="31"/>
        <v>12372000</v>
      </c>
      <c r="D121" s="124">
        <f t="shared" si="32"/>
        <v>238251000</v>
      </c>
      <c r="E121" s="997">
        <f>SUM(C121:C124)</f>
        <v>53751500</v>
      </c>
      <c r="F121" s="991">
        <f>SUM(D121:D124)</f>
        <v>1145622500</v>
      </c>
      <c r="G121" s="137">
        <f>'P &amp; NP'!QI7</f>
        <v>0</v>
      </c>
      <c r="H121" s="125">
        <f>'P &amp; NP'!QJ7</f>
        <v>0</v>
      </c>
      <c r="I121" s="125">
        <f>'P &amp; NP'!QK7</f>
        <v>0</v>
      </c>
      <c r="J121" s="125">
        <f>'P &amp; NP'!QL7</f>
        <v>0</v>
      </c>
      <c r="K121" s="125">
        <f>'P &amp; NP'!QO7</f>
        <v>12372000</v>
      </c>
      <c r="L121" s="125">
        <f>'P &amp; NP'!QP7</f>
        <v>238251000</v>
      </c>
      <c r="M121" s="125">
        <f>'P &amp; NP'!QQ7</f>
        <v>0</v>
      </c>
      <c r="N121" s="125">
        <f>'P &amp; NP'!QR7</f>
        <v>0</v>
      </c>
      <c r="O121" s="125">
        <f>'P &amp; NP'!QS7</f>
        <v>0</v>
      </c>
      <c r="P121" s="125">
        <f>'P &amp; NP'!QT7</f>
        <v>0</v>
      </c>
      <c r="Q121" s="125">
        <f>'P &amp; NP'!QU7</f>
        <v>0</v>
      </c>
      <c r="R121" s="126">
        <f>'P &amp; NP'!QV7</f>
        <v>0</v>
      </c>
      <c r="S121" s="183">
        <f t="shared" ref="S121:T121" si="37">SUM(C121:C124)</f>
        <v>53751500</v>
      </c>
      <c r="T121" s="183">
        <f t="shared" si="37"/>
        <v>1145622500</v>
      </c>
      <c r="U121" s="855">
        <f>'P &amp; NP'!QW11</f>
        <v>53751500</v>
      </c>
      <c r="V121" s="855">
        <f>'P &amp; NP'!QX11</f>
        <v>1145622500</v>
      </c>
    </row>
    <row r="122" spans="1:22">
      <c r="A122" s="132"/>
      <c r="B122" s="136" t="s">
        <v>171</v>
      </c>
      <c r="C122" s="135">
        <f t="shared" si="31"/>
        <v>13819500</v>
      </c>
      <c r="D122" s="124">
        <f t="shared" si="32"/>
        <v>300013000</v>
      </c>
      <c r="E122" s="997"/>
      <c r="F122" s="991"/>
      <c r="G122" s="137">
        <f>'P &amp; NP'!QI8</f>
        <v>0</v>
      </c>
      <c r="H122" s="125">
        <f>'P &amp; NP'!QJ8</f>
        <v>0</v>
      </c>
      <c r="I122" s="125">
        <f>'P &amp; NP'!QK8</f>
        <v>175000</v>
      </c>
      <c r="J122" s="125">
        <f>'P &amp; NP'!QL8</f>
        <v>10500000</v>
      </c>
      <c r="K122" s="125">
        <f>'P &amp; NP'!QO8</f>
        <v>13644500</v>
      </c>
      <c r="L122" s="125">
        <f>'P &amp; NP'!QP8</f>
        <v>289513000</v>
      </c>
      <c r="M122" s="125">
        <f>'P &amp; NP'!QQ8</f>
        <v>0</v>
      </c>
      <c r="N122" s="125">
        <f>'P &amp; NP'!QR8</f>
        <v>0</v>
      </c>
      <c r="O122" s="125">
        <f>'P &amp; NP'!QS8</f>
        <v>0</v>
      </c>
      <c r="P122" s="125">
        <f>'P &amp; NP'!QT8</f>
        <v>0</v>
      </c>
      <c r="Q122" s="125">
        <f>'P &amp; NP'!QU8</f>
        <v>0</v>
      </c>
      <c r="R122" s="126">
        <f>'P &amp; NP'!QV8</f>
        <v>0</v>
      </c>
      <c r="V122" s="855"/>
    </row>
    <row r="123" spans="1:22">
      <c r="A123" s="132"/>
      <c r="B123" s="136" t="s">
        <v>172</v>
      </c>
      <c r="C123" s="135">
        <f t="shared" si="31"/>
        <v>13208500</v>
      </c>
      <c r="D123" s="124">
        <f t="shared" si="32"/>
        <v>265912500</v>
      </c>
      <c r="E123" s="997"/>
      <c r="F123" s="991"/>
      <c r="G123" s="137">
        <f>'P &amp; NP'!QI9</f>
        <v>0</v>
      </c>
      <c r="H123" s="125">
        <f>'P &amp; NP'!QJ9</f>
        <v>0</v>
      </c>
      <c r="I123" s="125">
        <f>'P &amp; NP'!QK9</f>
        <v>0</v>
      </c>
      <c r="J123" s="125">
        <f>'P &amp; NP'!QL9</f>
        <v>0</v>
      </c>
      <c r="K123" s="125">
        <f>'P &amp; NP'!QO9</f>
        <v>13208500</v>
      </c>
      <c r="L123" s="125">
        <f>'P &amp; NP'!QP9</f>
        <v>265912500</v>
      </c>
      <c r="M123" s="125">
        <f>'P &amp; NP'!QQ9</f>
        <v>0</v>
      </c>
      <c r="N123" s="125">
        <f>'P &amp; NP'!QR9</f>
        <v>0</v>
      </c>
      <c r="O123" s="125">
        <f>'P &amp; NP'!QS9</f>
        <v>0</v>
      </c>
      <c r="P123" s="125">
        <f>'P &amp; NP'!QT9</f>
        <v>0</v>
      </c>
      <c r="Q123" s="125">
        <f>'P &amp; NP'!QU9</f>
        <v>0</v>
      </c>
      <c r="R123" s="126">
        <f>'P &amp; NP'!QV9</f>
        <v>0</v>
      </c>
      <c r="V123" s="855"/>
    </row>
    <row r="124" spans="1:22">
      <c r="A124" s="138"/>
      <c r="B124" s="139" t="s">
        <v>173</v>
      </c>
      <c r="C124" s="140">
        <f t="shared" si="31"/>
        <v>14351500</v>
      </c>
      <c r="D124" s="141">
        <f t="shared" si="32"/>
        <v>341446000</v>
      </c>
      <c r="E124" s="998"/>
      <c r="F124" s="992"/>
      <c r="G124" s="142">
        <f>'P &amp; NP'!QI10</f>
        <v>0</v>
      </c>
      <c r="H124" s="143">
        <f>'P &amp; NP'!QJ10</f>
        <v>0</v>
      </c>
      <c r="I124" s="143">
        <f>'P &amp; NP'!QK10</f>
        <v>175000</v>
      </c>
      <c r="J124" s="143">
        <f>'P &amp; NP'!QL10</f>
        <v>10500000</v>
      </c>
      <c r="K124" s="143">
        <f>'P &amp; NP'!QO10</f>
        <v>14176500</v>
      </c>
      <c r="L124" s="143">
        <f>'P &amp; NP'!QP10</f>
        <v>330946000</v>
      </c>
      <c r="M124" s="143">
        <f>'P &amp; NP'!QQ10</f>
        <v>0</v>
      </c>
      <c r="N124" s="143">
        <f>'P &amp; NP'!QR10</f>
        <v>0</v>
      </c>
      <c r="O124" s="143">
        <f>'P &amp; NP'!QS10</f>
        <v>0</v>
      </c>
      <c r="P124" s="143">
        <f>'P &amp; NP'!QT10</f>
        <v>0</v>
      </c>
      <c r="Q124" s="143">
        <f>'P &amp; NP'!QU10</f>
        <v>0</v>
      </c>
      <c r="R124" s="144">
        <f>'P &amp; NP'!QV10</f>
        <v>0</v>
      </c>
      <c r="V124" s="855"/>
    </row>
    <row r="125" spans="1:22">
      <c r="A125" s="132" t="s">
        <v>646</v>
      </c>
      <c r="B125" s="136" t="s">
        <v>170</v>
      </c>
      <c r="C125" s="135">
        <f t="shared" si="31"/>
        <v>15201</v>
      </c>
      <c r="D125" s="124">
        <f t="shared" si="32"/>
        <v>373093</v>
      </c>
      <c r="E125" s="997">
        <f>SUM(C125:C128)</f>
        <v>65339</v>
      </c>
      <c r="F125" s="991">
        <f>SUM(D125:D128)</f>
        <v>1575859</v>
      </c>
      <c r="G125" s="137">
        <f>'P &amp; NP'!QY7</f>
        <v>0</v>
      </c>
      <c r="H125" s="125">
        <f>'P &amp; NP'!QZ7</f>
        <v>0</v>
      </c>
      <c r="I125" s="125">
        <f>'P &amp; NP'!RA7</f>
        <v>0</v>
      </c>
      <c r="J125" s="125">
        <f>'P &amp; NP'!RB7</f>
        <v>0</v>
      </c>
      <c r="K125" s="125">
        <f>'P &amp; NP'!RC7</f>
        <v>0</v>
      </c>
      <c r="L125" s="125">
        <f>'P &amp; NP'!RD7</f>
        <v>0</v>
      </c>
      <c r="M125" s="125">
        <f>'P &amp; NP'!RE7</f>
        <v>15201</v>
      </c>
      <c r="N125" s="125">
        <f>'P &amp; NP'!RF7</f>
        <v>373093</v>
      </c>
      <c r="O125" s="125">
        <f>'P &amp; NP'!RG7</f>
        <v>0</v>
      </c>
      <c r="P125" s="125">
        <f>'P &amp; NP'!RH7</f>
        <v>0</v>
      </c>
      <c r="Q125" s="125">
        <f>'P &amp; NP'!RI7</f>
        <v>0</v>
      </c>
      <c r="R125" s="126">
        <f>'P &amp; NP'!RJ7</f>
        <v>0</v>
      </c>
      <c r="S125" s="183">
        <f t="shared" ref="S125:T125" si="38">SUM(C125:C128)</f>
        <v>65339</v>
      </c>
      <c r="T125" s="183">
        <f t="shared" si="38"/>
        <v>1575859</v>
      </c>
      <c r="U125" s="855">
        <f>'P &amp; NP'!RM11</f>
        <v>65339</v>
      </c>
      <c r="V125" s="855">
        <f>'P &amp; NP'!RN11</f>
        <v>1575859</v>
      </c>
    </row>
    <row r="126" spans="1:22">
      <c r="A126" s="132"/>
      <c r="B126" s="136" t="s">
        <v>171</v>
      </c>
      <c r="C126" s="135">
        <f t="shared" si="31"/>
        <v>15830</v>
      </c>
      <c r="D126" s="124">
        <f t="shared" si="32"/>
        <v>378610</v>
      </c>
      <c r="E126" s="997"/>
      <c r="F126" s="991"/>
      <c r="G126" s="137">
        <f>'P &amp; NP'!QY8</f>
        <v>0</v>
      </c>
      <c r="H126" s="125">
        <f>'P &amp; NP'!QZ8</f>
        <v>0</v>
      </c>
      <c r="I126" s="125">
        <f>'P &amp; NP'!RA8</f>
        <v>0</v>
      </c>
      <c r="J126" s="125">
        <f>'P &amp; NP'!RB8</f>
        <v>0</v>
      </c>
      <c r="K126" s="125">
        <f>'P &amp; NP'!RC8</f>
        <v>0</v>
      </c>
      <c r="L126" s="125">
        <f>'P &amp; NP'!RD8</f>
        <v>0</v>
      </c>
      <c r="M126" s="125">
        <f>'P &amp; NP'!RE8</f>
        <v>15830</v>
      </c>
      <c r="N126" s="125">
        <f>'P &amp; NP'!RF8</f>
        <v>378610</v>
      </c>
      <c r="O126" s="125">
        <f>'P &amp; NP'!RG8</f>
        <v>0</v>
      </c>
      <c r="P126" s="125">
        <f>'P &amp; NP'!RH8</f>
        <v>0</v>
      </c>
      <c r="Q126" s="125">
        <f>'P &amp; NP'!RI8</f>
        <v>0</v>
      </c>
      <c r="R126" s="126">
        <f>'P &amp; NP'!RJ8</f>
        <v>0</v>
      </c>
      <c r="V126" s="855"/>
    </row>
    <row r="127" spans="1:22">
      <c r="A127" s="132"/>
      <c r="B127" s="136" t="s">
        <v>172</v>
      </c>
      <c r="C127" s="135">
        <f t="shared" si="31"/>
        <v>16883</v>
      </c>
      <c r="D127" s="124">
        <f t="shared" si="32"/>
        <v>405511</v>
      </c>
      <c r="E127" s="997"/>
      <c r="F127" s="991"/>
      <c r="G127" s="137">
        <f>'P &amp; NP'!QY9</f>
        <v>0</v>
      </c>
      <c r="H127" s="125">
        <f>'P &amp; NP'!QZ9</f>
        <v>0</v>
      </c>
      <c r="I127" s="125">
        <f>'P &amp; NP'!RA9</f>
        <v>0</v>
      </c>
      <c r="J127" s="125">
        <f>'P &amp; NP'!RB9</f>
        <v>0</v>
      </c>
      <c r="K127" s="125">
        <f>'P &amp; NP'!RC9</f>
        <v>0</v>
      </c>
      <c r="L127" s="125">
        <f>'P &amp; NP'!RD9</f>
        <v>0</v>
      </c>
      <c r="M127" s="125">
        <f>'P &amp; NP'!RE9</f>
        <v>16883</v>
      </c>
      <c r="N127" s="125">
        <f>'P &amp; NP'!RF9</f>
        <v>405511</v>
      </c>
      <c r="O127" s="125">
        <f>'P &amp; NP'!RG9</f>
        <v>0</v>
      </c>
      <c r="P127" s="125">
        <f>'P &amp; NP'!RH9</f>
        <v>0</v>
      </c>
      <c r="Q127" s="125">
        <f>'P &amp; NP'!RI9</f>
        <v>0</v>
      </c>
      <c r="R127" s="126">
        <f>'P &amp; NP'!RJ9</f>
        <v>0</v>
      </c>
      <c r="V127" s="855"/>
    </row>
    <row r="128" spans="1:22">
      <c r="A128" s="138"/>
      <c r="B128" s="139" t="s">
        <v>173</v>
      </c>
      <c r="C128" s="140">
        <f t="shared" si="31"/>
        <v>17425</v>
      </c>
      <c r="D128" s="141">
        <f t="shared" si="32"/>
        <v>418645</v>
      </c>
      <c r="E128" s="998"/>
      <c r="F128" s="992"/>
      <c r="G128" s="142">
        <f>'P &amp; NP'!QY10</f>
        <v>0</v>
      </c>
      <c r="H128" s="143">
        <f>'P &amp; NP'!QZ10</f>
        <v>0</v>
      </c>
      <c r="I128" s="143">
        <f>'P &amp; NP'!RA10</f>
        <v>0</v>
      </c>
      <c r="J128" s="143">
        <f>'P &amp; NP'!RB10</f>
        <v>0</v>
      </c>
      <c r="K128" s="143">
        <f>'P &amp; NP'!RC10</f>
        <v>0</v>
      </c>
      <c r="L128" s="143">
        <f>'P &amp; NP'!RD10</f>
        <v>0</v>
      </c>
      <c r="M128" s="143">
        <f>'P &amp; NP'!RE10</f>
        <v>17425</v>
      </c>
      <c r="N128" s="143">
        <f>'P &amp; NP'!RF10</f>
        <v>418645</v>
      </c>
      <c r="O128" s="143">
        <f>'P &amp; NP'!RG10</f>
        <v>0</v>
      </c>
      <c r="P128" s="143">
        <f>'P &amp; NP'!RH10</f>
        <v>0</v>
      </c>
      <c r="Q128" s="143">
        <f>'P &amp; NP'!RI10</f>
        <v>0</v>
      </c>
      <c r="R128" s="144">
        <f>'P &amp; NP'!RJ10</f>
        <v>0</v>
      </c>
      <c r="V128" s="855"/>
    </row>
    <row r="129" spans="1:22">
      <c r="A129" s="132" t="s">
        <v>142</v>
      </c>
      <c r="B129" s="136" t="s">
        <v>170</v>
      </c>
      <c r="C129" s="135">
        <f t="shared" si="31"/>
        <v>68430</v>
      </c>
      <c r="D129" s="124">
        <f t="shared" si="32"/>
        <v>1410230</v>
      </c>
      <c r="E129" s="997">
        <f>SUM(C129:C132)</f>
        <v>244780</v>
      </c>
      <c r="F129" s="991">
        <f>SUM(D129:D132)</f>
        <v>5157835</v>
      </c>
      <c r="G129" s="137">
        <f>'P &amp; NP'!RO7</f>
        <v>0</v>
      </c>
      <c r="H129" s="125">
        <f>'P &amp; NP'!RP7</f>
        <v>0</v>
      </c>
      <c r="I129" s="125">
        <f>'P &amp; NP'!RQ7</f>
        <v>0</v>
      </c>
      <c r="J129" s="125">
        <f>'P &amp; NP'!RR7</f>
        <v>0</v>
      </c>
      <c r="K129" s="125">
        <f>'P &amp; NP'!RU7</f>
        <v>68430</v>
      </c>
      <c r="L129" s="125">
        <f>'P &amp; NP'!RV7</f>
        <v>1410230</v>
      </c>
      <c r="M129" s="125">
        <f>'P &amp; NP'!RW7</f>
        <v>0</v>
      </c>
      <c r="N129" s="125">
        <f>'P &amp; NP'!RX7</f>
        <v>0</v>
      </c>
      <c r="O129" s="125">
        <f>'P &amp; NP'!RY7</f>
        <v>0</v>
      </c>
      <c r="P129" s="125">
        <f>'P &amp; NP'!RZ7</f>
        <v>0</v>
      </c>
      <c r="Q129" s="125">
        <f>'P &amp; NP'!SA7</f>
        <v>0</v>
      </c>
      <c r="R129" s="126">
        <f>'P &amp; NP'!SB7</f>
        <v>0</v>
      </c>
      <c r="S129" s="183">
        <f t="shared" ref="S129:T129" si="39">SUM(C129:C132)</f>
        <v>244780</v>
      </c>
      <c r="T129" s="183">
        <f t="shared" si="39"/>
        <v>5157835</v>
      </c>
      <c r="U129" s="855">
        <f>'P &amp; NP'!SC11</f>
        <v>244780</v>
      </c>
      <c r="V129" s="855">
        <f>'P &amp; NP'!SD11</f>
        <v>5157835</v>
      </c>
    </row>
    <row r="130" spans="1:22">
      <c r="A130" s="132"/>
      <c r="B130" s="136" t="s">
        <v>171</v>
      </c>
      <c r="C130" s="135">
        <f t="shared" si="31"/>
        <v>62700</v>
      </c>
      <c r="D130" s="124">
        <f t="shared" si="32"/>
        <v>1294500</v>
      </c>
      <c r="E130" s="997"/>
      <c r="F130" s="991"/>
      <c r="G130" s="137">
        <f>'P &amp; NP'!RO8</f>
        <v>0</v>
      </c>
      <c r="H130" s="125">
        <f>'P &amp; NP'!RP8</f>
        <v>0</v>
      </c>
      <c r="I130" s="125">
        <f>'P &amp; NP'!RQ8</f>
        <v>0</v>
      </c>
      <c r="J130" s="125">
        <f>'P &amp; NP'!RR8</f>
        <v>0</v>
      </c>
      <c r="K130" s="125">
        <f>'P &amp; NP'!RU8</f>
        <v>62700</v>
      </c>
      <c r="L130" s="125">
        <f>'P &amp; NP'!RV8</f>
        <v>1294500</v>
      </c>
      <c r="M130" s="125">
        <f>'P &amp; NP'!RW8</f>
        <v>0</v>
      </c>
      <c r="N130" s="125">
        <f>'P &amp; NP'!RX8</f>
        <v>0</v>
      </c>
      <c r="O130" s="125">
        <f>'P &amp; NP'!RY8</f>
        <v>0</v>
      </c>
      <c r="P130" s="125">
        <f>'P &amp; NP'!RZ8</f>
        <v>0</v>
      </c>
      <c r="Q130" s="125">
        <f>'P &amp; NP'!SA8</f>
        <v>0</v>
      </c>
      <c r="R130" s="126">
        <f>'P &amp; NP'!SB8</f>
        <v>0</v>
      </c>
      <c r="V130" s="855"/>
    </row>
    <row r="131" spans="1:22">
      <c r="A131" s="132"/>
      <c r="B131" s="136" t="s">
        <v>172</v>
      </c>
      <c r="C131" s="135">
        <f t="shared" si="31"/>
        <v>61140</v>
      </c>
      <c r="D131" s="124">
        <f t="shared" si="32"/>
        <v>1339425</v>
      </c>
      <c r="E131" s="997"/>
      <c r="F131" s="991"/>
      <c r="G131" s="137">
        <f>'P &amp; NP'!RO9</f>
        <v>0</v>
      </c>
      <c r="H131" s="125">
        <f>'P &amp; NP'!RP9</f>
        <v>0</v>
      </c>
      <c r="I131" s="125">
        <f>'P &amp; NP'!RQ9</f>
        <v>0</v>
      </c>
      <c r="J131" s="125">
        <f>'P &amp; NP'!RR9</f>
        <v>0</v>
      </c>
      <c r="K131" s="125">
        <f>'P &amp; NP'!RU9</f>
        <v>61140</v>
      </c>
      <c r="L131" s="125">
        <f>'P &amp; NP'!RV9</f>
        <v>1339425</v>
      </c>
      <c r="M131" s="125">
        <f>'P &amp; NP'!RW9</f>
        <v>0</v>
      </c>
      <c r="N131" s="125">
        <f>'P &amp; NP'!RX9</f>
        <v>0</v>
      </c>
      <c r="O131" s="125">
        <f>'P &amp; NP'!RY9</f>
        <v>0</v>
      </c>
      <c r="P131" s="125">
        <f>'P &amp; NP'!RZ9</f>
        <v>0</v>
      </c>
      <c r="Q131" s="125">
        <f>'P &amp; NP'!SA9</f>
        <v>0</v>
      </c>
      <c r="R131" s="126">
        <f>'P &amp; NP'!SB9</f>
        <v>0</v>
      </c>
      <c r="V131" s="855"/>
    </row>
    <row r="132" spans="1:22">
      <c r="A132" s="138"/>
      <c r="B132" s="139" t="s">
        <v>173</v>
      </c>
      <c r="C132" s="140">
        <f t="shared" si="31"/>
        <v>52510</v>
      </c>
      <c r="D132" s="141">
        <f t="shared" si="32"/>
        <v>1113680</v>
      </c>
      <c r="E132" s="998"/>
      <c r="F132" s="992"/>
      <c r="G132" s="142">
        <f>'P &amp; NP'!RO10</f>
        <v>0</v>
      </c>
      <c r="H132" s="143">
        <f>'P &amp; NP'!RP10</f>
        <v>0</v>
      </c>
      <c r="I132" s="143">
        <f>'P &amp; NP'!RQ10</f>
        <v>0</v>
      </c>
      <c r="J132" s="143">
        <f>'P &amp; NP'!RR10</f>
        <v>0</v>
      </c>
      <c r="K132" s="143">
        <f>'P &amp; NP'!RU10</f>
        <v>52510</v>
      </c>
      <c r="L132" s="143">
        <f>'P &amp; NP'!RV10</f>
        <v>1113680</v>
      </c>
      <c r="M132" s="143">
        <f>'P &amp; NP'!RW10</f>
        <v>0</v>
      </c>
      <c r="N132" s="143">
        <f>'P &amp; NP'!RX10</f>
        <v>0</v>
      </c>
      <c r="O132" s="143">
        <f>'P &amp; NP'!RY10</f>
        <v>0</v>
      </c>
      <c r="P132" s="143">
        <f>'P &amp; NP'!RZ10</f>
        <v>0</v>
      </c>
      <c r="Q132" s="143">
        <f>'P &amp; NP'!SA10</f>
        <v>0</v>
      </c>
      <c r="R132" s="144">
        <f>'P &amp; NP'!SB10</f>
        <v>0</v>
      </c>
      <c r="V132" s="855"/>
    </row>
    <row r="133" spans="1:22">
      <c r="A133" s="132" t="s">
        <v>647</v>
      </c>
      <c r="B133" s="136" t="s">
        <v>170</v>
      </c>
      <c r="C133" s="135">
        <f t="shared" si="31"/>
        <v>50900</v>
      </c>
      <c r="D133" s="124">
        <f t="shared" si="32"/>
        <v>974300</v>
      </c>
      <c r="E133" s="997">
        <f>SUM(C133:C136)</f>
        <v>193100</v>
      </c>
      <c r="F133" s="991">
        <f>SUM(D133:D136)</f>
        <v>3685600</v>
      </c>
      <c r="G133" s="137">
        <f>'P &amp; NP'!SE7</f>
        <v>0</v>
      </c>
      <c r="H133" s="125">
        <f>'P &amp; NP'!SF7</f>
        <v>0</v>
      </c>
      <c r="I133" s="125">
        <f>'P &amp; NP'!SG7</f>
        <v>0</v>
      </c>
      <c r="J133" s="125">
        <f>'P &amp; NP'!SH7</f>
        <v>0</v>
      </c>
      <c r="K133" s="125">
        <f>'P &amp; NP'!SK7</f>
        <v>50900</v>
      </c>
      <c r="L133" s="125">
        <f>'P &amp; NP'!SL7</f>
        <v>974300</v>
      </c>
      <c r="M133" s="125">
        <f>'P &amp; NP'!SM7</f>
        <v>0</v>
      </c>
      <c r="N133" s="125">
        <f>'P &amp; NP'!SN7</f>
        <v>0</v>
      </c>
      <c r="O133" s="125">
        <f>'P &amp; NP'!SO7</f>
        <v>0</v>
      </c>
      <c r="P133" s="125">
        <f>'P &amp; NP'!SP7</f>
        <v>0</v>
      </c>
      <c r="Q133" s="125">
        <f>'P &amp; NP'!SQ7</f>
        <v>0</v>
      </c>
      <c r="R133" s="126">
        <f>'P &amp; NP'!SR7</f>
        <v>0</v>
      </c>
      <c r="S133" s="183">
        <f t="shared" ref="S133:T133" si="40">SUM(C133:C136)</f>
        <v>193100</v>
      </c>
      <c r="T133" s="183">
        <f t="shared" si="40"/>
        <v>3685600</v>
      </c>
      <c r="U133" s="855">
        <f>'P &amp; NP'!SS11</f>
        <v>193100</v>
      </c>
      <c r="V133" s="855">
        <f>'P &amp; NP'!ST11</f>
        <v>3685600</v>
      </c>
    </row>
    <row r="134" spans="1:22">
      <c r="A134" s="132"/>
      <c r="B134" s="136" t="s">
        <v>171</v>
      </c>
      <c r="C134" s="135">
        <f t="shared" si="31"/>
        <v>47600</v>
      </c>
      <c r="D134" s="124">
        <f t="shared" si="32"/>
        <v>915600</v>
      </c>
      <c r="E134" s="997"/>
      <c r="F134" s="991"/>
      <c r="G134" s="137">
        <f>'P &amp; NP'!SE8</f>
        <v>0</v>
      </c>
      <c r="H134" s="125">
        <f>'P &amp; NP'!SF8</f>
        <v>0</v>
      </c>
      <c r="I134" s="125">
        <f>'P &amp; NP'!SG8</f>
        <v>0</v>
      </c>
      <c r="J134" s="125">
        <f>'P &amp; NP'!SH8</f>
        <v>0</v>
      </c>
      <c r="K134" s="125">
        <f>'P &amp; NP'!SK8</f>
        <v>47600</v>
      </c>
      <c r="L134" s="125">
        <f>'P &amp; NP'!SL8</f>
        <v>915600</v>
      </c>
      <c r="M134" s="125">
        <f>'P &amp; NP'!SM8</f>
        <v>0</v>
      </c>
      <c r="N134" s="125">
        <f>'P &amp; NP'!SN8</f>
        <v>0</v>
      </c>
      <c r="O134" s="125">
        <f>'P &amp; NP'!SO8</f>
        <v>0</v>
      </c>
      <c r="P134" s="125">
        <f>'P &amp; NP'!SP8</f>
        <v>0</v>
      </c>
      <c r="Q134" s="125">
        <f>'P &amp; NP'!SQ8</f>
        <v>0</v>
      </c>
      <c r="R134" s="126">
        <f>'P &amp; NP'!SR8</f>
        <v>0</v>
      </c>
      <c r="V134" s="855"/>
    </row>
    <row r="135" spans="1:22">
      <c r="A135" s="132"/>
      <c r="B135" s="136" t="s">
        <v>172</v>
      </c>
      <c r="C135" s="135">
        <f t="shared" si="31"/>
        <v>46300</v>
      </c>
      <c r="D135" s="124">
        <f t="shared" si="32"/>
        <v>896950</v>
      </c>
      <c r="E135" s="997"/>
      <c r="F135" s="991"/>
      <c r="G135" s="137">
        <f>'P &amp; NP'!SE9</f>
        <v>0</v>
      </c>
      <c r="H135" s="125">
        <f>'P &amp; NP'!SF9</f>
        <v>0</v>
      </c>
      <c r="I135" s="125">
        <f>'P &amp; NP'!SG9</f>
        <v>0</v>
      </c>
      <c r="J135" s="125">
        <f>'P &amp; NP'!SH9</f>
        <v>0</v>
      </c>
      <c r="K135" s="125">
        <f>'P &amp; NP'!SK9</f>
        <v>46300</v>
      </c>
      <c r="L135" s="125">
        <f>'P &amp; NP'!SL9</f>
        <v>896950</v>
      </c>
      <c r="M135" s="125">
        <f>'P &amp; NP'!SM9</f>
        <v>0</v>
      </c>
      <c r="N135" s="125">
        <f>'P &amp; NP'!SN9</f>
        <v>0</v>
      </c>
      <c r="O135" s="125">
        <f>'P &amp; NP'!SO9</f>
        <v>0</v>
      </c>
      <c r="P135" s="125">
        <f>'P &amp; NP'!SP9</f>
        <v>0</v>
      </c>
      <c r="Q135" s="125">
        <f>'P &amp; NP'!SQ9</f>
        <v>0</v>
      </c>
      <c r="R135" s="126">
        <f>'P &amp; NP'!SR9</f>
        <v>0</v>
      </c>
      <c r="V135" s="855"/>
    </row>
    <row r="136" spans="1:22">
      <c r="A136" s="138"/>
      <c r="B136" s="139" t="s">
        <v>173</v>
      </c>
      <c r="C136" s="140">
        <f t="shared" si="31"/>
        <v>48300</v>
      </c>
      <c r="D136" s="141">
        <f t="shared" si="32"/>
        <v>898750</v>
      </c>
      <c r="E136" s="998"/>
      <c r="F136" s="992"/>
      <c r="G136" s="142">
        <f>'P &amp; NP'!SE10</f>
        <v>0</v>
      </c>
      <c r="H136" s="143">
        <f>'P &amp; NP'!SF10</f>
        <v>0</v>
      </c>
      <c r="I136" s="143">
        <f>'P &amp; NP'!SG10</f>
        <v>0</v>
      </c>
      <c r="J136" s="143">
        <f>'P &amp; NP'!SH10</f>
        <v>0</v>
      </c>
      <c r="K136" s="143">
        <f>'P &amp; NP'!SK10</f>
        <v>48300</v>
      </c>
      <c r="L136" s="143">
        <f>'P &amp; NP'!SL10</f>
        <v>898750</v>
      </c>
      <c r="M136" s="143">
        <f>'P &amp; NP'!SM10</f>
        <v>0</v>
      </c>
      <c r="N136" s="143">
        <f>'P &amp; NP'!SN10</f>
        <v>0</v>
      </c>
      <c r="O136" s="143">
        <f>'P &amp; NP'!SO10</f>
        <v>0</v>
      </c>
      <c r="P136" s="143">
        <f>'P &amp; NP'!SP10</f>
        <v>0</v>
      </c>
      <c r="Q136" s="143">
        <f>'P &amp; NP'!SQ10</f>
        <v>0</v>
      </c>
      <c r="R136" s="144">
        <f>'P &amp; NP'!SR10</f>
        <v>0</v>
      </c>
      <c r="V136" s="855"/>
    </row>
    <row r="137" spans="1:22">
      <c r="A137" s="132" t="s">
        <v>648</v>
      </c>
      <c r="B137" s="136" t="s">
        <v>170</v>
      </c>
      <c r="C137" s="135">
        <f t="shared" ref="C137:C160" si="41">SUM(G137,I137,K137,M137,O137,Q137)</f>
        <v>91944.98</v>
      </c>
      <c r="D137" s="124">
        <f t="shared" ref="D137:D160" si="42">SUM(H137,J137,L137,N137,P137,R137)</f>
        <v>2034943.4</v>
      </c>
      <c r="E137" s="997">
        <f>SUM(C137:C140)</f>
        <v>290624.95</v>
      </c>
      <c r="F137" s="991">
        <f>SUM(D137:D140)</f>
        <v>6407714.6219999995</v>
      </c>
      <c r="G137" s="137">
        <f>'P &amp; NP'!SU7</f>
        <v>0</v>
      </c>
      <c r="H137" s="125">
        <f>'P &amp; NP'!SV7</f>
        <v>0</v>
      </c>
      <c r="I137" s="125">
        <f>'P &amp; NP'!SW7</f>
        <v>0</v>
      </c>
      <c r="J137" s="125">
        <f>'P &amp; NP'!SX7</f>
        <v>0</v>
      </c>
      <c r="K137" s="125">
        <f>'P &amp; NP'!TA7</f>
        <v>91944.98</v>
      </c>
      <c r="L137" s="125">
        <f>'P &amp; NP'!TB7</f>
        <v>2034943.4</v>
      </c>
      <c r="M137" s="125">
        <f>'P &amp; NP'!TC7</f>
        <v>0</v>
      </c>
      <c r="N137" s="125">
        <f>'P &amp; NP'!TD7</f>
        <v>0</v>
      </c>
      <c r="O137" s="125">
        <f>'P &amp; NP'!TE7</f>
        <v>0</v>
      </c>
      <c r="P137" s="125">
        <f>'P &amp; NP'!TF7</f>
        <v>0</v>
      </c>
      <c r="Q137" s="125">
        <f>'P &amp; NP'!TG7</f>
        <v>0</v>
      </c>
      <c r="R137" s="126">
        <f>'P &amp; NP'!TH7</f>
        <v>0</v>
      </c>
      <c r="S137" s="183">
        <f t="shared" ref="S137:T137" si="43">SUM(C137:C140)</f>
        <v>290624.95</v>
      </c>
      <c r="T137" s="183">
        <f t="shared" si="43"/>
        <v>6407714.6219999995</v>
      </c>
      <c r="U137" s="855">
        <f>'P &amp; NP'!TI11</f>
        <v>290624.95</v>
      </c>
      <c r="V137" s="855">
        <f>'P &amp; NP'!TJ11</f>
        <v>6407714.6219999995</v>
      </c>
    </row>
    <row r="138" spans="1:22">
      <c r="A138" s="132"/>
      <c r="B138" s="136" t="s">
        <v>171</v>
      </c>
      <c r="C138" s="135">
        <f t="shared" si="41"/>
        <v>82789.97</v>
      </c>
      <c r="D138" s="124">
        <f t="shared" si="42"/>
        <v>1872530.2220000001</v>
      </c>
      <c r="E138" s="997"/>
      <c r="F138" s="991"/>
      <c r="G138" s="137">
        <f>'P &amp; NP'!SU8</f>
        <v>0</v>
      </c>
      <c r="H138" s="125">
        <f>'P &amp; NP'!SV8</f>
        <v>0</v>
      </c>
      <c r="I138" s="125">
        <f>'P &amp; NP'!SW8</f>
        <v>0</v>
      </c>
      <c r="J138" s="125">
        <f>'P &amp; NP'!SX8</f>
        <v>0</v>
      </c>
      <c r="K138" s="125">
        <f>'P &amp; NP'!TA8</f>
        <v>82789.97</v>
      </c>
      <c r="L138" s="125">
        <f>'P &amp; NP'!TB8</f>
        <v>1872530.2220000001</v>
      </c>
      <c r="M138" s="125">
        <f>'P &amp; NP'!TC8</f>
        <v>0</v>
      </c>
      <c r="N138" s="125">
        <f>'P &amp; NP'!TD8</f>
        <v>0</v>
      </c>
      <c r="O138" s="125">
        <f>'P &amp; NP'!TE8</f>
        <v>0</v>
      </c>
      <c r="P138" s="125">
        <f>'P &amp; NP'!TF8</f>
        <v>0</v>
      </c>
      <c r="Q138" s="125">
        <f>'P &amp; NP'!TG8</f>
        <v>0</v>
      </c>
      <c r="R138" s="126">
        <f>'P &amp; NP'!TH8</f>
        <v>0</v>
      </c>
      <c r="V138" s="855"/>
    </row>
    <row r="139" spans="1:22">
      <c r="A139" s="132"/>
      <c r="B139" s="136" t="s">
        <v>172</v>
      </c>
      <c r="C139" s="135">
        <f t="shared" si="41"/>
        <v>55365</v>
      </c>
      <c r="D139" s="124">
        <f t="shared" si="42"/>
        <v>1204346</v>
      </c>
      <c r="E139" s="997"/>
      <c r="F139" s="991"/>
      <c r="G139" s="137">
        <f>'P &amp; NP'!SU9</f>
        <v>0</v>
      </c>
      <c r="H139" s="125">
        <f>'P &amp; NP'!SV9</f>
        <v>0</v>
      </c>
      <c r="I139" s="125">
        <f>'P &amp; NP'!SW9</f>
        <v>0</v>
      </c>
      <c r="J139" s="125">
        <f>'P &amp; NP'!SX9</f>
        <v>0</v>
      </c>
      <c r="K139" s="125">
        <f>'P &amp; NP'!TA9</f>
        <v>55365</v>
      </c>
      <c r="L139" s="125">
        <f>'P &amp; NP'!TB9</f>
        <v>1204346</v>
      </c>
      <c r="M139" s="125">
        <f>'P &amp; NP'!TC9</f>
        <v>0</v>
      </c>
      <c r="N139" s="125">
        <f>'P &amp; NP'!TD9</f>
        <v>0</v>
      </c>
      <c r="O139" s="125">
        <f>'P &amp; NP'!TE9</f>
        <v>0</v>
      </c>
      <c r="P139" s="125">
        <f>'P &amp; NP'!TF9</f>
        <v>0</v>
      </c>
      <c r="Q139" s="125">
        <f>'P &amp; NP'!TG9</f>
        <v>0</v>
      </c>
      <c r="R139" s="126">
        <f>'P &amp; NP'!TH9</f>
        <v>0</v>
      </c>
      <c r="V139" s="855"/>
    </row>
    <row r="140" spans="1:22">
      <c r="A140" s="138"/>
      <c r="B140" s="139" t="s">
        <v>173</v>
      </c>
      <c r="C140" s="140">
        <f t="shared" si="41"/>
        <v>60525</v>
      </c>
      <c r="D140" s="141">
        <f t="shared" si="42"/>
        <v>1295895</v>
      </c>
      <c r="E140" s="998"/>
      <c r="F140" s="992"/>
      <c r="G140" s="142">
        <f>'P &amp; NP'!SU10</f>
        <v>0</v>
      </c>
      <c r="H140" s="143">
        <f>'P &amp; NP'!SV10</f>
        <v>0</v>
      </c>
      <c r="I140" s="143">
        <f>'P &amp; NP'!SW10</f>
        <v>0</v>
      </c>
      <c r="J140" s="143">
        <f>'P &amp; NP'!SX10</f>
        <v>0</v>
      </c>
      <c r="K140" s="143">
        <f>'P &amp; NP'!TA10</f>
        <v>60525</v>
      </c>
      <c r="L140" s="143">
        <f>'P &amp; NP'!TB10</f>
        <v>1295895</v>
      </c>
      <c r="M140" s="143">
        <f>'P &amp; NP'!TC10</f>
        <v>0</v>
      </c>
      <c r="N140" s="143">
        <f>'P &amp; NP'!TD10</f>
        <v>0</v>
      </c>
      <c r="O140" s="143">
        <f>'P &amp; NP'!TE10</f>
        <v>0</v>
      </c>
      <c r="P140" s="143">
        <f>'P &amp; NP'!TF10</f>
        <v>0</v>
      </c>
      <c r="Q140" s="143">
        <f>'P &amp; NP'!TG10</f>
        <v>0</v>
      </c>
      <c r="R140" s="144">
        <f>'P &amp; NP'!TH10</f>
        <v>0</v>
      </c>
      <c r="V140" s="855"/>
    </row>
    <row r="141" spans="1:22">
      <c r="A141" s="132" t="s">
        <v>649</v>
      </c>
      <c r="B141" s="136" t="s">
        <v>170</v>
      </c>
      <c r="C141" s="135">
        <f t="shared" si="41"/>
        <v>47000</v>
      </c>
      <c r="D141" s="124">
        <f t="shared" si="42"/>
        <v>1013250</v>
      </c>
      <c r="E141" s="997">
        <f>SUM(C141:C144)</f>
        <v>162000</v>
      </c>
      <c r="F141" s="991">
        <f>SUM(D141:D144)</f>
        <v>3551550</v>
      </c>
      <c r="G141" s="137">
        <f>'P &amp; NP'!TK7</f>
        <v>0</v>
      </c>
      <c r="H141" s="125">
        <f>'P &amp; NP'!TL7</f>
        <v>0</v>
      </c>
      <c r="I141" s="125">
        <f>'P &amp; NP'!TM7</f>
        <v>0</v>
      </c>
      <c r="J141" s="125">
        <f>'P &amp; NP'!TN7</f>
        <v>0</v>
      </c>
      <c r="K141" s="125">
        <f>'P &amp; NP'!TQ7</f>
        <v>44500</v>
      </c>
      <c r="L141" s="125">
        <f>'P &amp; NP'!TR7</f>
        <v>932500</v>
      </c>
      <c r="M141" s="125">
        <f>'P &amp; NP'!TS7</f>
        <v>0</v>
      </c>
      <c r="N141" s="125">
        <f>'P &amp; NP'!TT7</f>
        <v>0</v>
      </c>
      <c r="O141" s="125">
        <f>'P &amp; NP'!TU7</f>
        <v>2500</v>
      </c>
      <c r="P141" s="125">
        <f>'P &amp; NP'!TV7</f>
        <v>80750</v>
      </c>
      <c r="Q141" s="125">
        <f>'P &amp; NP'!TW7</f>
        <v>0</v>
      </c>
      <c r="R141" s="126">
        <f>'P &amp; NP'!TX7</f>
        <v>0</v>
      </c>
      <c r="S141" s="183">
        <f t="shared" ref="S141:T141" si="44">SUM(C141:C144)</f>
        <v>162000</v>
      </c>
      <c r="T141" s="183">
        <f t="shared" si="44"/>
        <v>3551550</v>
      </c>
      <c r="U141" s="855">
        <f>'P &amp; NP'!TY11</f>
        <v>162000</v>
      </c>
      <c r="V141" s="855">
        <f>'P &amp; NP'!TZ11</f>
        <v>3551550</v>
      </c>
    </row>
    <row r="142" spans="1:22">
      <c r="A142" s="132"/>
      <c r="B142" s="136" t="s">
        <v>171</v>
      </c>
      <c r="C142" s="135">
        <f t="shared" si="41"/>
        <v>35000</v>
      </c>
      <c r="D142" s="124">
        <f t="shared" si="42"/>
        <v>774800</v>
      </c>
      <c r="E142" s="997"/>
      <c r="F142" s="991"/>
      <c r="G142" s="137">
        <f>'P &amp; NP'!TK8</f>
        <v>0</v>
      </c>
      <c r="H142" s="125">
        <f>'P &amp; NP'!TL8</f>
        <v>0</v>
      </c>
      <c r="I142" s="125">
        <f>'P &amp; NP'!TM8</f>
        <v>0</v>
      </c>
      <c r="J142" s="125">
        <f>'P &amp; NP'!TN8</f>
        <v>0</v>
      </c>
      <c r="K142" s="125">
        <f>'P &amp; NP'!TQ8</f>
        <v>30600</v>
      </c>
      <c r="L142" s="125">
        <f>'P &amp; NP'!TR8</f>
        <v>631800</v>
      </c>
      <c r="M142" s="125">
        <f>'P &amp; NP'!TS8</f>
        <v>0</v>
      </c>
      <c r="N142" s="125">
        <f>'P &amp; NP'!TT8</f>
        <v>0</v>
      </c>
      <c r="O142" s="125">
        <f>'P &amp; NP'!TU8</f>
        <v>4400</v>
      </c>
      <c r="P142" s="125">
        <f>'P &amp; NP'!TV8</f>
        <v>143000</v>
      </c>
      <c r="Q142" s="125">
        <f>'P &amp; NP'!TW8</f>
        <v>0</v>
      </c>
      <c r="R142" s="126">
        <f>'P &amp; NP'!TX8</f>
        <v>0</v>
      </c>
      <c r="V142" s="855"/>
    </row>
    <row r="143" spans="1:22">
      <c r="A143" s="132"/>
      <c r="B143" s="136" t="s">
        <v>172</v>
      </c>
      <c r="C143" s="135">
        <f t="shared" si="41"/>
        <v>25000</v>
      </c>
      <c r="D143" s="124">
        <f t="shared" si="42"/>
        <v>534500</v>
      </c>
      <c r="E143" s="997"/>
      <c r="F143" s="991"/>
      <c r="G143" s="137">
        <f>'P &amp; NP'!TK9</f>
        <v>0</v>
      </c>
      <c r="H143" s="125">
        <f>'P &amp; NP'!TL9</f>
        <v>0</v>
      </c>
      <c r="I143" s="125">
        <f>'P &amp; NP'!TM9</f>
        <v>0</v>
      </c>
      <c r="J143" s="125">
        <f>'P &amp; NP'!TN9</f>
        <v>0</v>
      </c>
      <c r="K143" s="125">
        <f>'P &amp; NP'!TQ9</f>
        <v>22800</v>
      </c>
      <c r="L143" s="125">
        <f>'P &amp; NP'!TR9</f>
        <v>462000</v>
      </c>
      <c r="M143" s="125">
        <f>'P &amp; NP'!TS9</f>
        <v>0</v>
      </c>
      <c r="N143" s="125">
        <f>'P &amp; NP'!TT9</f>
        <v>0</v>
      </c>
      <c r="O143" s="125">
        <f>'P &amp; NP'!TU9</f>
        <v>2200</v>
      </c>
      <c r="P143" s="125">
        <f>'P &amp; NP'!TV9</f>
        <v>72500</v>
      </c>
      <c r="Q143" s="125">
        <f>'P &amp; NP'!TW9</f>
        <v>0</v>
      </c>
      <c r="R143" s="126">
        <f>'P &amp; NP'!TX9</f>
        <v>0</v>
      </c>
      <c r="V143" s="855"/>
    </row>
    <row r="144" spans="1:22">
      <c r="A144" s="138"/>
      <c r="B144" s="139" t="s">
        <v>173</v>
      </c>
      <c r="C144" s="140">
        <f t="shared" si="41"/>
        <v>55000</v>
      </c>
      <c r="D144" s="141">
        <f t="shared" si="42"/>
        <v>1229000</v>
      </c>
      <c r="E144" s="998"/>
      <c r="F144" s="992"/>
      <c r="G144" s="142">
        <f>'P &amp; NP'!TK10</f>
        <v>0</v>
      </c>
      <c r="H144" s="143">
        <f>'P &amp; NP'!TL10</f>
        <v>0</v>
      </c>
      <c r="I144" s="143">
        <f>'P &amp; NP'!TM10</f>
        <v>0</v>
      </c>
      <c r="J144" s="143">
        <f>'P &amp; NP'!TN10</f>
        <v>0</v>
      </c>
      <c r="K144" s="143">
        <f>'P &amp; NP'!TQ10</f>
        <v>45500</v>
      </c>
      <c r="L144" s="143">
        <f>'P &amp; NP'!TR10</f>
        <v>929000</v>
      </c>
      <c r="M144" s="143">
        <f>'P &amp; NP'!TS10</f>
        <v>0</v>
      </c>
      <c r="N144" s="143">
        <f>'P &amp; NP'!TT10</f>
        <v>0</v>
      </c>
      <c r="O144" s="143">
        <f>'P &amp; NP'!TU10</f>
        <v>9500</v>
      </c>
      <c r="P144" s="143">
        <f>'P &amp; NP'!TV10</f>
        <v>300000</v>
      </c>
      <c r="Q144" s="143">
        <f>'P &amp; NP'!TW10</f>
        <v>0</v>
      </c>
      <c r="R144" s="144">
        <f>'P &amp; NP'!TX10</f>
        <v>0</v>
      </c>
      <c r="V144" s="855"/>
    </row>
    <row r="145" spans="1:22">
      <c r="A145" s="132" t="s">
        <v>650</v>
      </c>
      <c r="B145" s="136" t="s">
        <v>170</v>
      </c>
      <c r="C145" s="135">
        <f t="shared" si="41"/>
        <v>57330</v>
      </c>
      <c r="D145" s="124">
        <f t="shared" si="42"/>
        <v>1049882.0019999999</v>
      </c>
      <c r="E145" s="997">
        <f>SUM(C145:C148)</f>
        <v>228711</v>
      </c>
      <c r="F145" s="991">
        <f>SUM(D145:D148)</f>
        <v>4188392.0039999997</v>
      </c>
      <c r="G145" s="137">
        <f>'P &amp; NP'!UA7</f>
        <v>0</v>
      </c>
      <c r="H145" s="125">
        <f>'P &amp; NP'!UB7</f>
        <v>0</v>
      </c>
      <c r="I145" s="125">
        <f>'P &amp; NP'!UC7</f>
        <v>0</v>
      </c>
      <c r="J145" s="125">
        <f>'P &amp; NP'!UD7</f>
        <v>0</v>
      </c>
      <c r="K145" s="125">
        <f>'P &amp; NP'!UG7</f>
        <v>57330</v>
      </c>
      <c r="L145" s="125">
        <f>'P &amp; NP'!UH7</f>
        <v>1049882.0019999999</v>
      </c>
      <c r="M145" s="125">
        <f>'P &amp; NP'!UI7</f>
        <v>0</v>
      </c>
      <c r="N145" s="125">
        <f>'P &amp; NP'!UJ7</f>
        <v>0</v>
      </c>
      <c r="O145" s="125">
        <f>'P &amp; NP'!UK7</f>
        <v>0</v>
      </c>
      <c r="P145" s="125">
        <f>'P &amp; NP'!UL7</f>
        <v>0</v>
      </c>
      <c r="Q145" s="125">
        <f>'P &amp; NP'!UM7</f>
        <v>0</v>
      </c>
      <c r="R145" s="126">
        <f>'P &amp; NP'!UN7</f>
        <v>0</v>
      </c>
      <c r="S145" s="183">
        <f t="shared" ref="S145:T145" si="45">SUM(C145:C148)</f>
        <v>228711</v>
      </c>
      <c r="T145" s="183">
        <f t="shared" si="45"/>
        <v>4188392.0039999997</v>
      </c>
      <c r="U145" s="855">
        <f>'P &amp; NP'!UO11</f>
        <v>228711</v>
      </c>
      <c r="V145" s="855">
        <f>'P &amp; NP'!UP11</f>
        <v>4188392.0039999997</v>
      </c>
    </row>
    <row r="146" spans="1:22">
      <c r="A146" s="132"/>
      <c r="B146" s="136" t="s">
        <v>171</v>
      </c>
      <c r="C146" s="135">
        <f t="shared" si="41"/>
        <v>56644</v>
      </c>
      <c r="D146" s="124">
        <f t="shared" si="42"/>
        <v>1036437.002</v>
      </c>
      <c r="E146" s="997"/>
      <c r="F146" s="991"/>
      <c r="G146" s="137">
        <f>'P &amp; NP'!UA8</f>
        <v>0</v>
      </c>
      <c r="H146" s="125">
        <f>'P &amp; NP'!UB8</f>
        <v>0</v>
      </c>
      <c r="I146" s="125">
        <f>'P &amp; NP'!UC8</f>
        <v>0</v>
      </c>
      <c r="J146" s="125">
        <f>'P &amp; NP'!UD8</f>
        <v>0</v>
      </c>
      <c r="K146" s="125">
        <f>'P &amp; NP'!UG8</f>
        <v>56644</v>
      </c>
      <c r="L146" s="125">
        <f>'P &amp; NP'!UH8</f>
        <v>1036437.002</v>
      </c>
      <c r="M146" s="125">
        <f>'P &amp; NP'!UI8</f>
        <v>0</v>
      </c>
      <c r="N146" s="125">
        <f>'P &amp; NP'!UJ8</f>
        <v>0</v>
      </c>
      <c r="O146" s="125">
        <f>'P &amp; NP'!UK8</f>
        <v>0</v>
      </c>
      <c r="P146" s="125">
        <f>'P &amp; NP'!UL8</f>
        <v>0</v>
      </c>
      <c r="Q146" s="125">
        <f>'P &amp; NP'!UM8</f>
        <v>0</v>
      </c>
      <c r="R146" s="126">
        <f>'P &amp; NP'!UN8</f>
        <v>0</v>
      </c>
      <c r="V146" s="855"/>
    </row>
    <row r="147" spans="1:22">
      <c r="A147" s="132"/>
      <c r="B147" s="136" t="s">
        <v>172</v>
      </c>
      <c r="C147" s="135">
        <f t="shared" si="41"/>
        <v>56868</v>
      </c>
      <c r="D147" s="124">
        <f t="shared" si="42"/>
        <v>1040735</v>
      </c>
      <c r="E147" s="997"/>
      <c r="F147" s="991"/>
      <c r="G147" s="137">
        <f>'P &amp; NP'!UA9</f>
        <v>0</v>
      </c>
      <c r="H147" s="125">
        <f>'P &amp; NP'!UB9</f>
        <v>0</v>
      </c>
      <c r="I147" s="125">
        <f>'P &amp; NP'!UC9</f>
        <v>0</v>
      </c>
      <c r="J147" s="125">
        <f>'P &amp; NP'!UD9</f>
        <v>0</v>
      </c>
      <c r="K147" s="125">
        <f>'P &amp; NP'!UG9</f>
        <v>56868</v>
      </c>
      <c r="L147" s="125">
        <f>'P &amp; NP'!UH9</f>
        <v>1040735</v>
      </c>
      <c r="M147" s="125">
        <f>'P &amp; NP'!UI9</f>
        <v>0</v>
      </c>
      <c r="N147" s="125">
        <f>'P &amp; NP'!UJ9</f>
        <v>0</v>
      </c>
      <c r="O147" s="125">
        <f>'P &amp; NP'!UK9</f>
        <v>0</v>
      </c>
      <c r="P147" s="125">
        <f>'P &amp; NP'!UL9</f>
        <v>0</v>
      </c>
      <c r="Q147" s="125">
        <f>'P &amp; NP'!UM9</f>
        <v>0</v>
      </c>
      <c r="R147" s="126">
        <f>'P &amp; NP'!UN9</f>
        <v>0</v>
      </c>
      <c r="V147" s="855"/>
    </row>
    <row r="148" spans="1:22">
      <c r="A148" s="138"/>
      <c r="B148" s="139" t="s">
        <v>173</v>
      </c>
      <c r="C148" s="140">
        <f t="shared" si="41"/>
        <v>57869</v>
      </c>
      <c r="D148" s="141">
        <f t="shared" si="42"/>
        <v>1061338</v>
      </c>
      <c r="E148" s="998"/>
      <c r="F148" s="992"/>
      <c r="G148" s="142">
        <f>'P &amp; NP'!UA10</f>
        <v>0</v>
      </c>
      <c r="H148" s="143">
        <f>'P &amp; NP'!UB10</f>
        <v>0</v>
      </c>
      <c r="I148" s="143">
        <f>'P &amp; NP'!UC10</f>
        <v>0</v>
      </c>
      <c r="J148" s="143">
        <f>'P &amp; NP'!UD10</f>
        <v>0</v>
      </c>
      <c r="K148" s="143">
        <f>'P &amp; NP'!UG10</f>
        <v>57869</v>
      </c>
      <c r="L148" s="143">
        <f>'P &amp; NP'!UH10</f>
        <v>1061338</v>
      </c>
      <c r="M148" s="143">
        <f>'P &amp; NP'!UI10</f>
        <v>0</v>
      </c>
      <c r="N148" s="143">
        <f>'P &amp; NP'!UJ10</f>
        <v>0</v>
      </c>
      <c r="O148" s="143">
        <f>'P &amp; NP'!UK10</f>
        <v>0</v>
      </c>
      <c r="P148" s="143">
        <f>'P &amp; NP'!UL10</f>
        <v>0</v>
      </c>
      <c r="Q148" s="143">
        <f>'P &amp; NP'!UM10</f>
        <v>0</v>
      </c>
      <c r="R148" s="144">
        <f>'P &amp; NP'!UN10</f>
        <v>0</v>
      </c>
      <c r="V148" s="855"/>
    </row>
    <row r="149" spans="1:22">
      <c r="A149" s="132" t="s">
        <v>651</v>
      </c>
      <c r="B149" s="136" t="s">
        <v>170</v>
      </c>
      <c r="C149" s="135">
        <f t="shared" si="41"/>
        <v>656266</v>
      </c>
      <c r="D149" s="124">
        <f t="shared" si="42"/>
        <v>5852995</v>
      </c>
      <c r="E149" s="997">
        <f>SUM(C149:C152)</f>
        <v>2662915</v>
      </c>
      <c r="F149" s="991">
        <f>SUM(D149:D152)</f>
        <v>23519356</v>
      </c>
      <c r="G149" s="137">
        <f>'P &amp; NP'!UQ7</f>
        <v>0</v>
      </c>
      <c r="H149" s="125">
        <f>'P &amp; NP'!UR7</f>
        <v>0</v>
      </c>
      <c r="I149" s="125">
        <f>'P &amp; NP'!US7</f>
        <v>643783</v>
      </c>
      <c r="J149" s="125">
        <f>'P &amp; NP'!UT7</f>
        <v>5615728</v>
      </c>
      <c r="K149" s="125">
        <f>'P &amp; NP'!UW7</f>
        <v>12483</v>
      </c>
      <c r="L149" s="125">
        <f>'P &amp; NP'!UX7</f>
        <v>237267</v>
      </c>
      <c r="M149" s="125">
        <f>'P &amp; NP'!UY7</f>
        <v>0</v>
      </c>
      <c r="N149" s="125">
        <f>'P &amp; NP'!UZ7</f>
        <v>0</v>
      </c>
      <c r="O149" s="125">
        <f>'P &amp; NP'!VA7</f>
        <v>0</v>
      </c>
      <c r="P149" s="125">
        <f>'P &amp; NP'!VB7</f>
        <v>0</v>
      </c>
      <c r="Q149" s="125">
        <f>'P &amp; NP'!VC7</f>
        <v>0</v>
      </c>
      <c r="R149" s="126">
        <f>'P &amp; NP'!VD7</f>
        <v>0</v>
      </c>
      <c r="S149" s="183">
        <f t="shared" ref="S149:T149" si="46">SUM(C149:C152)</f>
        <v>2662915</v>
      </c>
      <c r="T149" s="183">
        <f t="shared" si="46"/>
        <v>23519356</v>
      </c>
      <c r="U149" s="855">
        <f>'P &amp; NP'!VE11</f>
        <v>2662915</v>
      </c>
      <c r="V149" s="855">
        <f>'P &amp; NP'!VF11</f>
        <v>23519356</v>
      </c>
    </row>
    <row r="150" spans="1:22">
      <c r="A150" s="132"/>
      <c r="B150" s="136" t="s">
        <v>171</v>
      </c>
      <c r="C150" s="135">
        <f t="shared" si="41"/>
        <v>658742</v>
      </c>
      <c r="D150" s="124">
        <f t="shared" si="42"/>
        <v>6031344</v>
      </c>
      <c r="E150" s="997"/>
      <c r="F150" s="991"/>
      <c r="G150" s="137">
        <f>'P &amp; NP'!UQ8</f>
        <v>0</v>
      </c>
      <c r="H150" s="125">
        <f>'P &amp; NP'!UR8</f>
        <v>0</v>
      </c>
      <c r="I150" s="125">
        <f>'P &amp; NP'!US8</f>
        <v>648319</v>
      </c>
      <c r="J150" s="125">
        <f>'P &amp; NP'!UT8</f>
        <v>5826384</v>
      </c>
      <c r="K150" s="125">
        <f>'P &amp; NP'!UW8</f>
        <v>10423</v>
      </c>
      <c r="L150" s="125">
        <f>'P &amp; NP'!UX8</f>
        <v>204960</v>
      </c>
      <c r="M150" s="125">
        <f>'P &amp; NP'!UY8</f>
        <v>0</v>
      </c>
      <c r="N150" s="125">
        <f>'P &amp; NP'!UZ8</f>
        <v>0</v>
      </c>
      <c r="O150" s="125">
        <f>'P &amp; NP'!VA8</f>
        <v>0</v>
      </c>
      <c r="P150" s="125">
        <f>'P &amp; NP'!VB8</f>
        <v>0</v>
      </c>
      <c r="Q150" s="125">
        <f>'P &amp; NP'!VC8</f>
        <v>0</v>
      </c>
      <c r="R150" s="126">
        <f>'P &amp; NP'!VD8</f>
        <v>0</v>
      </c>
      <c r="V150" s="855"/>
    </row>
    <row r="151" spans="1:22">
      <c r="A151" s="132"/>
      <c r="B151" s="136" t="s">
        <v>172</v>
      </c>
      <c r="C151" s="135">
        <f t="shared" si="41"/>
        <v>736177</v>
      </c>
      <c r="D151" s="124">
        <f t="shared" si="42"/>
        <v>5435097</v>
      </c>
      <c r="E151" s="997"/>
      <c r="F151" s="991"/>
      <c r="G151" s="137">
        <f>'P &amp; NP'!UQ9</f>
        <v>0</v>
      </c>
      <c r="H151" s="125">
        <f>'P &amp; NP'!UR9</f>
        <v>0</v>
      </c>
      <c r="I151" s="125">
        <f>'P &amp; NP'!US9</f>
        <v>730900</v>
      </c>
      <c r="J151" s="125">
        <f>'P &amp; NP'!UT9</f>
        <v>5333417</v>
      </c>
      <c r="K151" s="125">
        <f>'P &amp; NP'!UW9</f>
        <v>5277</v>
      </c>
      <c r="L151" s="125">
        <f>'P &amp; NP'!UX9</f>
        <v>101680</v>
      </c>
      <c r="M151" s="125">
        <f>'P &amp; NP'!UY9</f>
        <v>0</v>
      </c>
      <c r="N151" s="125">
        <f>'P &amp; NP'!UZ9</f>
        <v>0</v>
      </c>
      <c r="O151" s="125">
        <f>'P &amp; NP'!VA9</f>
        <v>0</v>
      </c>
      <c r="P151" s="125">
        <f>'P &amp; NP'!VB9</f>
        <v>0</v>
      </c>
      <c r="Q151" s="125">
        <f>'P &amp; NP'!VC9</f>
        <v>0</v>
      </c>
      <c r="R151" s="126">
        <f>'P &amp; NP'!VD9</f>
        <v>0</v>
      </c>
      <c r="V151" s="855"/>
    </row>
    <row r="152" spans="1:22">
      <c r="A152" s="138"/>
      <c r="B152" s="139" t="s">
        <v>173</v>
      </c>
      <c r="C152" s="140">
        <f t="shared" si="41"/>
        <v>611730</v>
      </c>
      <c r="D152" s="141">
        <f t="shared" si="42"/>
        <v>6199920</v>
      </c>
      <c r="E152" s="998"/>
      <c r="F152" s="992"/>
      <c r="G152" s="142">
        <f>'P &amp; NP'!UQ10</f>
        <v>0</v>
      </c>
      <c r="H152" s="143">
        <f>'P &amp; NP'!UR10</f>
        <v>0</v>
      </c>
      <c r="I152" s="143">
        <f>'P &amp; NP'!US10</f>
        <v>604050</v>
      </c>
      <c r="J152" s="143">
        <f>'P &amp; NP'!UT10</f>
        <v>6054000</v>
      </c>
      <c r="K152" s="143">
        <f>'P &amp; NP'!UW10</f>
        <v>7680</v>
      </c>
      <c r="L152" s="143">
        <f>'P &amp; NP'!UX10</f>
        <v>145920</v>
      </c>
      <c r="M152" s="143">
        <f>'P &amp; NP'!UY10</f>
        <v>0</v>
      </c>
      <c r="N152" s="143">
        <f>'P &amp; NP'!UZ10</f>
        <v>0</v>
      </c>
      <c r="O152" s="143">
        <f>'P &amp; NP'!VA10</f>
        <v>0</v>
      </c>
      <c r="P152" s="143">
        <f>'P &amp; NP'!VB10</f>
        <v>0</v>
      </c>
      <c r="Q152" s="143">
        <f>'P &amp; NP'!VC10</f>
        <v>0</v>
      </c>
      <c r="R152" s="144">
        <f>'P &amp; NP'!VD10</f>
        <v>0</v>
      </c>
      <c r="V152" s="855"/>
    </row>
    <row r="153" spans="1:22">
      <c r="A153" s="132" t="s">
        <v>652</v>
      </c>
      <c r="B153" s="136" t="s">
        <v>170</v>
      </c>
      <c r="C153" s="135">
        <f t="shared" si="41"/>
        <v>94015.2</v>
      </c>
      <c r="D153" s="124">
        <f t="shared" si="42"/>
        <v>2807869.7</v>
      </c>
      <c r="E153" s="997">
        <f>SUM(C153:C156)</f>
        <v>429082.2</v>
      </c>
      <c r="F153" s="991">
        <f>SUM(D153:D156)</f>
        <v>14036266.699999999</v>
      </c>
      <c r="G153" s="137">
        <f>'P &amp; NP'!VG7</f>
        <v>0</v>
      </c>
      <c r="H153" s="125">
        <f>'P &amp; NP'!VH7</f>
        <v>0</v>
      </c>
      <c r="I153" s="125">
        <f>'P &amp; NP'!VI7</f>
        <v>39428</v>
      </c>
      <c r="J153" s="125">
        <f>'P &amp; NP'!VJ7</f>
        <v>1711452.7</v>
      </c>
      <c r="K153" s="125">
        <f>'P &amp; NP'!VM7</f>
        <v>54587.199999999997</v>
      </c>
      <c r="L153" s="125">
        <f>'P &amp; NP'!VN7</f>
        <v>1096417</v>
      </c>
      <c r="M153" s="125">
        <f>'P &amp; NP'!VO7</f>
        <v>0</v>
      </c>
      <c r="N153" s="125">
        <f>'P &amp; NP'!VP7</f>
        <v>0</v>
      </c>
      <c r="O153" s="125">
        <f>'P &amp; NP'!VQ7</f>
        <v>0</v>
      </c>
      <c r="P153" s="125">
        <f>'P &amp; NP'!VR7</f>
        <v>0</v>
      </c>
      <c r="Q153" s="125">
        <f>'P &amp; NP'!VS7</f>
        <v>0</v>
      </c>
      <c r="R153" s="126">
        <f>'P &amp; NP'!VT7</f>
        <v>0</v>
      </c>
      <c r="S153" s="183">
        <f t="shared" ref="S153:T153" si="47">SUM(C153:C156)</f>
        <v>429082.2</v>
      </c>
      <c r="T153" s="183">
        <f t="shared" si="47"/>
        <v>14036266.699999999</v>
      </c>
      <c r="U153" s="855">
        <f>'P &amp; NP'!VU11</f>
        <v>429082.2</v>
      </c>
      <c r="V153" s="855">
        <f>'P &amp; NP'!VV11</f>
        <v>14036266.699999999</v>
      </c>
    </row>
    <row r="154" spans="1:22">
      <c r="A154" s="132"/>
      <c r="B154" s="136" t="s">
        <v>171</v>
      </c>
      <c r="C154" s="135">
        <f t="shared" si="41"/>
        <v>83148</v>
      </c>
      <c r="D154" s="124">
        <f t="shared" si="42"/>
        <v>2630897</v>
      </c>
      <c r="E154" s="997"/>
      <c r="F154" s="991"/>
      <c r="G154" s="137">
        <f>'P &amp; NP'!VG8</f>
        <v>0</v>
      </c>
      <c r="H154" s="125">
        <f>'P &amp; NP'!VH8</f>
        <v>0</v>
      </c>
      <c r="I154" s="125">
        <f>'P &amp; NP'!VI8</f>
        <v>38153</v>
      </c>
      <c r="J154" s="125">
        <f>'P &amp; NP'!VJ8</f>
        <v>1727530</v>
      </c>
      <c r="K154" s="125">
        <f>'P &amp; NP'!VM8</f>
        <v>44995</v>
      </c>
      <c r="L154" s="125">
        <f>'P &amp; NP'!VN8</f>
        <v>903367</v>
      </c>
      <c r="M154" s="125">
        <f>'P &amp; NP'!VO8</f>
        <v>0</v>
      </c>
      <c r="N154" s="125">
        <f>'P &amp; NP'!VP8</f>
        <v>0</v>
      </c>
      <c r="O154" s="125">
        <f>'P &amp; NP'!VQ8</f>
        <v>0</v>
      </c>
      <c r="P154" s="125">
        <f>'P &amp; NP'!VR8</f>
        <v>0</v>
      </c>
      <c r="Q154" s="125">
        <f>'P &amp; NP'!VS8</f>
        <v>0</v>
      </c>
      <c r="R154" s="126">
        <f>'P &amp; NP'!VT8</f>
        <v>0</v>
      </c>
      <c r="V154" s="855"/>
    </row>
    <row r="155" spans="1:22">
      <c r="A155" s="132"/>
      <c r="B155" s="136" t="s">
        <v>172</v>
      </c>
      <c r="C155" s="135">
        <f t="shared" si="41"/>
        <v>59606</v>
      </c>
      <c r="D155" s="124">
        <f t="shared" si="42"/>
        <v>1684960</v>
      </c>
      <c r="E155" s="997"/>
      <c r="F155" s="991"/>
      <c r="G155" s="137">
        <f>'P &amp; NP'!VG9</f>
        <v>0</v>
      </c>
      <c r="H155" s="125">
        <f>'P &amp; NP'!VH9</f>
        <v>0</v>
      </c>
      <c r="I155" s="125">
        <f>'P &amp; NP'!VI9</f>
        <v>18305</v>
      </c>
      <c r="J155" s="125">
        <f>'P &amp; NP'!VJ9</f>
        <v>849679</v>
      </c>
      <c r="K155" s="125">
        <f>'P &amp; NP'!VM9</f>
        <v>41301</v>
      </c>
      <c r="L155" s="125">
        <f>'P &amp; NP'!VN9</f>
        <v>835281</v>
      </c>
      <c r="M155" s="125">
        <f>'P &amp; NP'!VO9</f>
        <v>0</v>
      </c>
      <c r="N155" s="125">
        <f>'P &amp; NP'!VP9</f>
        <v>0</v>
      </c>
      <c r="O155" s="125">
        <f>'P &amp; NP'!VQ9</f>
        <v>0</v>
      </c>
      <c r="P155" s="125">
        <f>'P &amp; NP'!VR9</f>
        <v>0</v>
      </c>
      <c r="Q155" s="125">
        <f>'P &amp; NP'!VS9</f>
        <v>0</v>
      </c>
      <c r="R155" s="126">
        <f>'P &amp; NP'!VT9</f>
        <v>0</v>
      </c>
      <c r="V155" s="855"/>
    </row>
    <row r="156" spans="1:22">
      <c r="A156" s="138"/>
      <c r="B156" s="139" t="s">
        <v>173</v>
      </c>
      <c r="C156" s="140">
        <f t="shared" si="41"/>
        <v>192313</v>
      </c>
      <c r="D156" s="141">
        <f t="shared" si="42"/>
        <v>6912540</v>
      </c>
      <c r="E156" s="998"/>
      <c r="F156" s="992"/>
      <c r="G156" s="142">
        <f>'P &amp; NP'!VG10</f>
        <v>0</v>
      </c>
      <c r="H156" s="143">
        <f>'P &amp; NP'!VH10</f>
        <v>0</v>
      </c>
      <c r="I156" s="143">
        <f>'P &amp; NP'!VI10</f>
        <v>134084</v>
      </c>
      <c r="J156" s="143">
        <f>'P &amp; NP'!VJ10</f>
        <v>5691075</v>
      </c>
      <c r="K156" s="143">
        <f>'P &amp; NP'!VM10</f>
        <v>58229</v>
      </c>
      <c r="L156" s="143">
        <f>'P &amp; NP'!VN10</f>
        <v>1221465</v>
      </c>
      <c r="M156" s="143">
        <f>'P &amp; NP'!VO10</f>
        <v>0</v>
      </c>
      <c r="N156" s="143">
        <f>'P &amp; NP'!VP10</f>
        <v>0</v>
      </c>
      <c r="O156" s="143">
        <f>'P &amp; NP'!VQ10</f>
        <v>0</v>
      </c>
      <c r="P156" s="143">
        <f>'P &amp; NP'!VR10</f>
        <v>0</v>
      </c>
      <c r="Q156" s="143">
        <f>'P &amp; NP'!VS10</f>
        <v>0</v>
      </c>
      <c r="R156" s="144">
        <f>'P &amp; NP'!VT10</f>
        <v>0</v>
      </c>
      <c r="V156" s="855"/>
    </row>
    <row r="157" spans="1:22">
      <c r="A157" s="132" t="s">
        <v>653</v>
      </c>
      <c r="B157" s="136" t="s">
        <v>170</v>
      </c>
      <c r="C157" s="135">
        <f t="shared" si="41"/>
        <v>2894700</v>
      </c>
      <c r="D157" s="124">
        <f t="shared" si="42"/>
        <v>94330054</v>
      </c>
      <c r="E157" s="997">
        <f>SUM(C157:C160)</f>
        <v>9979520</v>
      </c>
      <c r="F157" s="991">
        <f>SUM(D157:D160)</f>
        <v>301233074</v>
      </c>
      <c r="G157" s="137">
        <f>'P &amp; NP'!VW7</f>
        <v>0</v>
      </c>
      <c r="H157" s="125">
        <f>'P &amp; NP'!VX7</f>
        <v>0</v>
      </c>
      <c r="I157" s="125">
        <f>'P &amp; NP'!VY7</f>
        <v>1610523</v>
      </c>
      <c r="J157" s="125">
        <f>'P &amp; NP'!VZ7</f>
        <v>61228988</v>
      </c>
      <c r="K157" s="125">
        <f>'P &amp; NP'!WC7</f>
        <v>1258714</v>
      </c>
      <c r="L157" s="125">
        <f>'P &amp; NP'!WD7</f>
        <v>32574830</v>
      </c>
      <c r="M157" s="125">
        <f>'P &amp; NP'!WE7</f>
        <v>0</v>
      </c>
      <c r="N157" s="125">
        <f>'P &amp; NP'!WF7</f>
        <v>0</v>
      </c>
      <c r="O157" s="125">
        <f>'P &amp; NP'!WG7</f>
        <v>0</v>
      </c>
      <c r="P157" s="125">
        <f>'P &amp; NP'!WH7</f>
        <v>0</v>
      </c>
      <c r="Q157" s="125">
        <f>'P &amp; NP'!WI7</f>
        <v>25463</v>
      </c>
      <c r="R157" s="126">
        <f>'P &amp; NP'!WJ7</f>
        <v>526236</v>
      </c>
      <c r="S157" s="183">
        <f t="shared" ref="S157:T157" si="48">SUM(C157:C160)</f>
        <v>9979520</v>
      </c>
      <c r="T157" s="183">
        <f t="shared" si="48"/>
        <v>301233074</v>
      </c>
      <c r="U157" s="855">
        <f>'P &amp; NP'!WK11</f>
        <v>9979520</v>
      </c>
      <c r="V157" s="855">
        <f>'P &amp; NP'!WL11</f>
        <v>301233074</v>
      </c>
    </row>
    <row r="158" spans="1:22">
      <c r="A158" s="132"/>
      <c r="B158" s="136" t="s">
        <v>171</v>
      </c>
      <c r="C158" s="135">
        <f t="shared" si="41"/>
        <v>2272630</v>
      </c>
      <c r="D158" s="124">
        <f t="shared" si="42"/>
        <v>70600540</v>
      </c>
      <c r="E158" s="997"/>
      <c r="F158" s="991"/>
      <c r="G158" s="137">
        <f>'P &amp; NP'!VW8</f>
        <v>0</v>
      </c>
      <c r="H158" s="125">
        <f>'P &amp; NP'!VX8</f>
        <v>0</v>
      </c>
      <c r="I158" s="125">
        <f>'P &amp; NP'!VY8</f>
        <v>1208000</v>
      </c>
      <c r="J158" s="125">
        <f>'P &amp; NP'!VZ8</f>
        <v>43446012</v>
      </c>
      <c r="K158" s="125">
        <f>'P &amp; NP'!WC8</f>
        <v>1045094</v>
      </c>
      <c r="L158" s="125">
        <f>'P &amp; NP'!WD8</f>
        <v>26724736</v>
      </c>
      <c r="M158" s="125">
        <f>'P &amp; NP'!WE8</f>
        <v>0</v>
      </c>
      <c r="N158" s="125">
        <f>'P &amp; NP'!WF8</f>
        <v>0</v>
      </c>
      <c r="O158" s="125">
        <f>'P &amp; NP'!WG8</f>
        <v>0</v>
      </c>
      <c r="P158" s="125">
        <f>'P &amp; NP'!WH8</f>
        <v>0</v>
      </c>
      <c r="Q158" s="125">
        <f>'P &amp; NP'!WI8</f>
        <v>19536</v>
      </c>
      <c r="R158" s="126">
        <f>'P &amp; NP'!WJ8</f>
        <v>429792</v>
      </c>
      <c r="V158" s="855"/>
    </row>
    <row r="159" spans="1:22">
      <c r="A159" s="132"/>
      <c r="B159" s="136" t="s">
        <v>172</v>
      </c>
      <c r="C159" s="135">
        <f t="shared" si="41"/>
        <v>2362240</v>
      </c>
      <c r="D159" s="124">
        <f t="shared" si="42"/>
        <v>68543610</v>
      </c>
      <c r="E159" s="997"/>
      <c r="F159" s="991"/>
      <c r="G159" s="137">
        <f>'P &amp; NP'!VW9</f>
        <v>0</v>
      </c>
      <c r="H159" s="125">
        <f>'P &amp; NP'!VX9</f>
        <v>0</v>
      </c>
      <c r="I159" s="125">
        <f>'P &amp; NP'!VY9</f>
        <v>1181320</v>
      </c>
      <c r="J159" s="125">
        <f>'P &amp; NP'!VZ9</f>
        <v>40065480</v>
      </c>
      <c r="K159" s="125">
        <f>'P &amp; NP'!WC9</f>
        <v>1163310</v>
      </c>
      <c r="L159" s="125">
        <f>'P &amp; NP'!WD9</f>
        <v>28112850</v>
      </c>
      <c r="M159" s="125">
        <f>'P &amp; NP'!WE9</f>
        <v>0</v>
      </c>
      <c r="N159" s="125">
        <f>'P &amp; NP'!WF9</f>
        <v>0</v>
      </c>
      <c r="O159" s="125">
        <f>'P &amp; NP'!WG9</f>
        <v>0</v>
      </c>
      <c r="P159" s="125">
        <f>'P &amp; NP'!WH9</f>
        <v>0</v>
      </c>
      <c r="Q159" s="125">
        <f>'P &amp; NP'!WI9</f>
        <v>17610</v>
      </c>
      <c r="R159" s="126">
        <f>'P &amp; NP'!WJ9</f>
        <v>365280</v>
      </c>
      <c r="V159" s="855"/>
    </row>
    <row r="160" spans="1:22">
      <c r="A160" s="138"/>
      <c r="B160" s="139" t="s">
        <v>173</v>
      </c>
      <c r="C160" s="140">
        <f t="shared" si="41"/>
        <v>2449950</v>
      </c>
      <c r="D160" s="141">
        <f t="shared" si="42"/>
        <v>67758870</v>
      </c>
      <c r="E160" s="998"/>
      <c r="F160" s="992"/>
      <c r="G160" s="142">
        <f>'P &amp; NP'!VW10</f>
        <v>0</v>
      </c>
      <c r="H160" s="143">
        <f>'P &amp; NP'!VX10</f>
        <v>0</v>
      </c>
      <c r="I160" s="143">
        <f>'P &amp; NP'!VY10</f>
        <v>1228590</v>
      </c>
      <c r="J160" s="143">
        <f>'P &amp; NP'!VZ10</f>
        <v>40856020</v>
      </c>
      <c r="K160" s="143">
        <f>'P &amp; NP'!WC10</f>
        <v>1207560</v>
      </c>
      <c r="L160" s="143">
        <f>'P &amp; NP'!WD10</f>
        <v>26620150</v>
      </c>
      <c r="M160" s="143">
        <f>'P &amp; NP'!WE10</f>
        <v>0</v>
      </c>
      <c r="N160" s="143">
        <f>'P &amp; NP'!WF10</f>
        <v>0</v>
      </c>
      <c r="O160" s="143">
        <f>'P &amp; NP'!WG10</f>
        <v>0</v>
      </c>
      <c r="P160" s="143">
        <f>'P &amp; NP'!WH10</f>
        <v>0</v>
      </c>
      <c r="Q160" s="143">
        <f>'P &amp; NP'!WI10</f>
        <v>13800</v>
      </c>
      <c r="R160" s="144">
        <f>'P &amp; NP'!WJ10</f>
        <v>282700</v>
      </c>
      <c r="V160" s="855"/>
    </row>
    <row r="163" spans="1:6">
      <c r="A163" s="194" t="s">
        <v>106</v>
      </c>
      <c r="B163" s="136" t="s">
        <v>170</v>
      </c>
      <c r="C163" s="127">
        <f t="shared" ref="C163:D166" si="49">SUM(C9,C13,C17,C21,C25,C29,C33,C37,C41,C45,C49,C53,C57,C61,C65,C69,C73,C77,C81,C85,C89,C93,C97,C101,C105,C109,C113,C117,C121,C125,C129,C133,C137,C141,C145,C149,C153,C157)</f>
        <v>330112456.6872229</v>
      </c>
      <c r="D163" s="127">
        <f t="shared" si="49"/>
        <v>5603264024.4083328</v>
      </c>
      <c r="E163" s="183">
        <v>291234704.12775004</v>
      </c>
      <c r="F163" s="183">
        <v>4402522751.4864998</v>
      </c>
    </row>
    <row r="164" spans="1:6">
      <c r="B164" s="136" t="s">
        <v>171</v>
      </c>
      <c r="C164" s="127">
        <f t="shared" si="49"/>
        <v>350946945.5762316</v>
      </c>
      <c r="D164" s="127">
        <f t="shared" si="49"/>
        <v>5440004666.3943243</v>
      </c>
      <c r="E164" s="183">
        <v>313430880.56804657</v>
      </c>
      <c r="F164" s="183">
        <v>4991327989.9176464</v>
      </c>
    </row>
    <row r="165" spans="1:6">
      <c r="B165" s="136" t="s">
        <v>172</v>
      </c>
      <c r="C165" s="127">
        <f t="shared" si="49"/>
        <v>384636551.36981368</v>
      </c>
      <c r="D165" s="127">
        <f t="shared" si="49"/>
        <v>5241823556.004549</v>
      </c>
      <c r="E165" s="183">
        <v>315393937.00508118</v>
      </c>
      <c r="F165" s="183">
        <v>4293780996.3894849</v>
      </c>
    </row>
    <row r="166" spans="1:6">
      <c r="B166" s="139" t="s">
        <v>173</v>
      </c>
      <c r="C166" s="127">
        <f t="shared" si="49"/>
        <v>376637039.58380955</v>
      </c>
      <c r="D166" s="127">
        <f t="shared" si="49"/>
        <v>5253137303.9832497</v>
      </c>
      <c r="E166" s="183">
        <v>297032928.83007431</v>
      </c>
      <c r="F166" s="183">
        <v>4446624445.828948</v>
      </c>
    </row>
    <row r="168" spans="1:6">
      <c r="C168" s="127">
        <f>SUM(C163:C166)</f>
        <v>1442332993.2170777</v>
      </c>
      <c r="D168" s="127">
        <f>SUM(D163:D166)</f>
        <v>21538229550.790459</v>
      </c>
    </row>
  </sheetData>
  <autoFilter ref="A8:R160" xr:uid="{00000000-0009-0000-0000-00001F000000}"/>
  <mergeCells count="85">
    <mergeCell ref="E149:E152"/>
    <mergeCell ref="F149:F152"/>
    <mergeCell ref="E153:E156"/>
    <mergeCell ref="F153:F156"/>
    <mergeCell ref="E157:E160"/>
    <mergeCell ref="F157:F160"/>
    <mergeCell ref="E137:E140"/>
    <mergeCell ref="F137:F140"/>
    <mergeCell ref="E141:E144"/>
    <mergeCell ref="F141:F144"/>
    <mergeCell ref="E145:E148"/>
    <mergeCell ref="F145:F148"/>
    <mergeCell ref="E125:E128"/>
    <mergeCell ref="F125:F128"/>
    <mergeCell ref="E129:E132"/>
    <mergeCell ref="F129:F132"/>
    <mergeCell ref="E133:E136"/>
    <mergeCell ref="F133:F136"/>
    <mergeCell ref="E113:E116"/>
    <mergeCell ref="F113:F116"/>
    <mergeCell ref="E117:E120"/>
    <mergeCell ref="F117:F120"/>
    <mergeCell ref="E121:E124"/>
    <mergeCell ref="F121:F124"/>
    <mergeCell ref="E101:E104"/>
    <mergeCell ref="F101:F104"/>
    <mergeCell ref="E105:E108"/>
    <mergeCell ref="F105:F108"/>
    <mergeCell ref="E109:E112"/>
    <mergeCell ref="F109:F112"/>
    <mergeCell ref="E89:E92"/>
    <mergeCell ref="F89:F92"/>
    <mergeCell ref="E93:E96"/>
    <mergeCell ref="F93:F96"/>
    <mergeCell ref="E97:E100"/>
    <mergeCell ref="F97:F100"/>
    <mergeCell ref="E77:E80"/>
    <mergeCell ref="F77:F80"/>
    <mergeCell ref="E81:E84"/>
    <mergeCell ref="F81:F84"/>
    <mergeCell ref="E85:E88"/>
    <mergeCell ref="F85:F88"/>
    <mergeCell ref="E65:E68"/>
    <mergeCell ref="F65:F68"/>
    <mergeCell ref="E69:E72"/>
    <mergeCell ref="F69:F72"/>
    <mergeCell ref="E73:E76"/>
    <mergeCell ref="F73:F76"/>
    <mergeCell ref="E53:E56"/>
    <mergeCell ref="F53:F56"/>
    <mergeCell ref="E57:E60"/>
    <mergeCell ref="F57:F60"/>
    <mergeCell ref="E61:E64"/>
    <mergeCell ref="F61:F64"/>
    <mergeCell ref="E41:E44"/>
    <mergeCell ref="F41:F44"/>
    <mergeCell ref="E45:E48"/>
    <mergeCell ref="F45:F48"/>
    <mergeCell ref="E49:E52"/>
    <mergeCell ref="F49:F52"/>
    <mergeCell ref="E29:E32"/>
    <mergeCell ref="F29:F32"/>
    <mergeCell ref="E33:E36"/>
    <mergeCell ref="F33:F36"/>
    <mergeCell ref="E37:E40"/>
    <mergeCell ref="F37:F40"/>
    <mergeCell ref="E17:E20"/>
    <mergeCell ref="F17:F20"/>
    <mergeCell ref="E21:E24"/>
    <mergeCell ref="F21:F24"/>
    <mergeCell ref="E25:E28"/>
    <mergeCell ref="F25:F28"/>
    <mergeCell ref="F9:F12"/>
    <mergeCell ref="E3:F4"/>
    <mergeCell ref="E9:E12"/>
    <mergeCell ref="B3:B6"/>
    <mergeCell ref="E13:E16"/>
    <mergeCell ref="F13:F16"/>
    <mergeCell ref="Q3:R4"/>
    <mergeCell ref="C3:D4"/>
    <mergeCell ref="G3:H4"/>
    <mergeCell ref="I3:J4"/>
    <mergeCell ref="K3:L4"/>
    <mergeCell ref="M3:N4"/>
    <mergeCell ref="O3:P4"/>
  </mergeCells>
  <hyperlinks>
    <hyperlink ref="A1" location="'DAFTAR ISI'!A1" display="BACK" xr:uid="{00000000-0004-0000-1F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V24"/>
  <sheetViews>
    <sheetView workbookViewId="0">
      <pane xSplit="2" ySplit="6" topLeftCell="C10" activePane="bottomRight" state="frozen"/>
      <selection pane="topRight" activeCell="C1" sqref="C1"/>
      <selection pane="bottomLeft" activeCell="A7" sqref="A7"/>
      <selection pane="bottomRight" activeCell="D10" sqref="D10"/>
    </sheetView>
  </sheetViews>
  <sheetFormatPr defaultRowHeight="14.5"/>
  <cols>
    <col min="1" max="1" width="6" customWidth="1"/>
    <col min="2" max="2" width="27.453125" customWidth="1"/>
    <col min="3" max="4" width="14.81640625" customWidth="1"/>
    <col min="5" max="6" width="15" customWidth="1"/>
    <col min="7" max="8" width="10.81640625" customWidth="1"/>
    <col min="12" max="12" width="11.1796875" customWidth="1"/>
    <col min="25" max="27" width="11.453125" customWidth="1"/>
    <col min="30" max="32" width="11.81640625" customWidth="1"/>
    <col min="34" max="37" width="13.81640625" customWidth="1"/>
    <col min="38" max="39" width="16.1796875" customWidth="1"/>
    <col min="40" max="41" width="14" customWidth="1"/>
    <col min="42" max="45" width="14.1796875" customWidth="1"/>
    <col min="47" max="48" width="13.1796875" customWidth="1"/>
  </cols>
  <sheetData>
    <row r="1" spans="1:48">
      <c r="A1" s="108" t="s">
        <v>174</v>
      </c>
    </row>
    <row r="2" spans="1:48">
      <c r="A2" s="108"/>
    </row>
    <row r="3" spans="1:48">
      <c r="A3" s="108" t="s">
        <v>175</v>
      </c>
    </row>
    <row r="4" spans="1:48" s="79" customFormat="1">
      <c r="A4" s="1001" t="s">
        <v>0</v>
      </c>
      <c r="B4" s="1001" t="s">
        <v>176</v>
      </c>
      <c r="C4" s="1001" t="s">
        <v>177</v>
      </c>
      <c r="D4" s="1001"/>
      <c r="E4" s="1001" t="s">
        <v>178</v>
      </c>
      <c r="F4" s="1001"/>
      <c r="G4" s="1001" t="s">
        <v>179</v>
      </c>
      <c r="H4" s="1001"/>
      <c r="I4" s="1002" t="s">
        <v>180</v>
      </c>
      <c r="J4" s="1002"/>
      <c r="K4" s="1002"/>
      <c r="L4" s="1002"/>
      <c r="M4" s="1002"/>
      <c r="N4" s="1002"/>
      <c r="O4" s="1002"/>
      <c r="P4" s="1002"/>
      <c r="Q4" s="1002"/>
      <c r="R4" s="1002"/>
      <c r="S4" s="1002"/>
      <c r="T4" s="1002"/>
      <c r="U4" s="1002"/>
      <c r="V4" s="1002"/>
      <c r="W4" s="1002"/>
      <c r="X4" s="1002"/>
      <c r="Y4" s="1002"/>
      <c r="Z4" s="1002"/>
      <c r="AA4" s="1002"/>
      <c r="AB4" s="1002"/>
      <c r="AC4" s="1002"/>
      <c r="AD4" s="1002"/>
      <c r="AE4" s="1002"/>
      <c r="AF4" s="1002"/>
      <c r="AG4" s="1002"/>
      <c r="AH4" s="1001" t="s">
        <v>181</v>
      </c>
      <c r="AI4" s="1001"/>
      <c r="AJ4" s="1001"/>
      <c r="AK4" s="1001"/>
      <c r="AL4" s="1001"/>
      <c r="AM4" s="1001"/>
      <c r="AN4" s="1001"/>
      <c r="AO4" s="1001"/>
      <c r="AP4" s="1001"/>
      <c r="AQ4" s="1001"/>
      <c r="AR4" s="1001"/>
      <c r="AS4" s="1001"/>
      <c r="AT4" s="1001"/>
      <c r="AU4" s="1001"/>
      <c r="AV4" s="1001"/>
    </row>
    <row r="5" spans="1:48" s="79" customFormat="1">
      <c r="A5" s="1001"/>
      <c r="B5" s="1001"/>
      <c r="C5" s="109" t="s">
        <v>182</v>
      </c>
      <c r="D5" s="109" t="s">
        <v>183</v>
      </c>
      <c r="E5" s="109" t="s">
        <v>184</v>
      </c>
      <c r="F5" s="109" t="s">
        <v>185</v>
      </c>
      <c r="G5" s="110" t="s">
        <v>186</v>
      </c>
      <c r="H5" s="110" t="s">
        <v>187</v>
      </c>
      <c r="I5" s="1001" t="s">
        <v>188</v>
      </c>
      <c r="J5" s="1001"/>
      <c r="K5" s="1001" t="s">
        <v>32</v>
      </c>
      <c r="L5" s="1001"/>
      <c r="M5" s="1001"/>
      <c r="N5" s="1001"/>
      <c r="O5" s="1001" t="s">
        <v>31</v>
      </c>
      <c r="P5" s="1001"/>
      <c r="Q5" s="1001"/>
      <c r="R5" s="1001"/>
      <c r="S5" s="1001" t="s">
        <v>37</v>
      </c>
      <c r="T5" s="1001"/>
      <c r="U5" s="1001"/>
      <c r="V5" s="1001"/>
      <c r="W5" s="1001"/>
      <c r="X5" s="1001" t="s">
        <v>33</v>
      </c>
      <c r="Y5" s="1001"/>
      <c r="Z5" s="1001"/>
      <c r="AA5" s="1001"/>
      <c r="AB5" s="1001"/>
      <c r="AC5" s="1001" t="s">
        <v>35</v>
      </c>
      <c r="AD5" s="1001"/>
      <c r="AE5" s="1001"/>
      <c r="AF5" s="1001"/>
      <c r="AG5" s="1001"/>
      <c r="AH5" s="1001" t="s">
        <v>189</v>
      </c>
      <c r="AI5" s="1001"/>
      <c r="AJ5" s="1001"/>
      <c r="AK5" s="1001"/>
      <c r="AL5" s="1001" t="s">
        <v>190</v>
      </c>
      <c r="AM5" s="1001"/>
      <c r="AN5" s="110" t="s">
        <v>191</v>
      </c>
      <c r="AO5" s="110" t="s">
        <v>192</v>
      </c>
      <c r="AP5" s="110" t="s">
        <v>193</v>
      </c>
      <c r="AQ5" s="110" t="s">
        <v>194</v>
      </c>
      <c r="AR5" s="110" t="s">
        <v>195</v>
      </c>
      <c r="AS5" s="110" t="s">
        <v>196</v>
      </c>
      <c r="AT5" s="110" t="s">
        <v>197</v>
      </c>
      <c r="AU5" s="110" t="s">
        <v>198</v>
      </c>
      <c r="AV5" s="110" t="s">
        <v>199</v>
      </c>
    </row>
    <row r="6" spans="1:48" s="79" customFormat="1">
      <c r="A6" s="1001"/>
      <c r="B6" s="1001"/>
      <c r="C6" s="111" t="s">
        <v>200</v>
      </c>
      <c r="D6" s="111" t="s">
        <v>29</v>
      </c>
      <c r="E6" s="111" t="s">
        <v>200</v>
      </c>
      <c r="F6" s="111" t="s">
        <v>200</v>
      </c>
      <c r="G6" s="110" t="s">
        <v>201</v>
      </c>
      <c r="H6" s="110" t="s">
        <v>201</v>
      </c>
      <c r="I6" s="110" t="s">
        <v>202</v>
      </c>
      <c r="J6" s="110" t="s">
        <v>203</v>
      </c>
      <c r="K6" s="110" t="s">
        <v>204</v>
      </c>
      <c r="L6" s="110" t="s">
        <v>205</v>
      </c>
      <c r="M6" s="110" t="s">
        <v>206</v>
      </c>
      <c r="N6" s="110" t="s">
        <v>207</v>
      </c>
      <c r="O6" s="110" t="s">
        <v>203</v>
      </c>
      <c r="P6" s="110" t="s">
        <v>208</v>
      </c>
      <c r="Q6" s="110" t="s">
        <v>209</v>
      </c>
      <c r="R6" s="110" t="s">
        <v>210</v>
      </c>
      <c r="S6" s="110" t="s">
        <v>211</v>
      </c>
      <c r="T6" s="110" t="s">
        <v>212</v>
      </c>
      <c r="U6" s="110" t="s">
        <v>213</v>
      </c>
      <c r="V6" s="110" t="s">
        <v>214</v>
      </c>
      <c r="W6" s="110" t="s">
        <v>215</v>
      </c>
      <c r="X6" s="110" t="s">
        <v>216</v>
      </c>
      <c r="Y6" s="110" t="s">
        <v>217</v>
      </c>
      <c r="Z6" s="110" t="s">
        <v>218</v>
      </c>
      <c r="AA6" s="110" t="s">
        <v>219</v>
      </c>
      <c r="AB6" s="110" t="s">
        <v>220</v>
      </c>
      <c r="AC6" s="110" t="s">
        <v>216</v>
      </c>
      <c r="AD6" s="110" t="s">
        <v>217</v>
      </c>
      <c r="AE6" s="110" t="s">
        <v>218</v>
      </c>
      <c r="AF6" s="110" t="s">
        <v>219</v>
      </c>
      <c r="AG6" s="110" t="s">
        <v>220</v>
      </c>
      <c r="AH6" s="110" t="s">
        <v>221</v>
      </c>
      <c r="AI6" s="110" t="s">
        <v>222</v>
      </c>
      <c r="AJ6" s="110" t="s">
        <v>223</v>
      </c>
      <c r="AK6" s="110" t="s">
        <v>197</v>
      </c>
      <c r="AL6" s="110" t="s">
        <v>224</v>
      </c>
      <c r="AM6" s="110" t="s">
        <v>225</v>
      </c>
      <c r="AN6" s="110" t="s">
        <v>226</v>
      </c>
      <c r="AO6" s="110" t="s">
        <v>29</v>
      </c>
      <c r="AP6" s="110" t="s">
        <v>227</v>
      </c>
      <c r="AQ6" s="110" t="s">
        <v>227</v>
      </c>
      <c r="AR6" s="110" t="s">
        <v>227</v>
      </c>
      <c r="AS6" s="110" t="s">
        <v>227</v>
      </c>
      <c r="AT6" s="110" t="s">
        <v>227</v>
      </c>
      <c r="AU6" s="110" t="s">
        <v>228</v>
      </c>
      <c r="AV6" s="110" t="s">
        <v>229</v>
      </c>
    </row>
    <row r="7" spans="1:48">
      <c r="A7" s="112">
        <v>1</v>
      </c>
      <c r="B7" s="113" t="s">
        <v>34</v>
      </c>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c r="AO7" s="113"/>
      <c r="AP7" s="113"/>
      <c r="AQ7" s="113"/>
      <c r="AR7" s="113"/>
      <c r="AS7" s="113"/>
      <c r="AT7" s="113"/>
      <c r="AU7" s="113"/>
      <c r="AV7" s="113"/>
    </row>
    <row r="8" spans="1:48">
      <c r="A8" s="112">
        <v>2</v>
      </c>
      <c r="B8" s="113" t="s">
        <v>31</v>
      </c>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row>
    <row r="9" spans="1:48">
      <c r="A9" s="112">
        <v>3</v>
      </c>
      <c r="B9" s="113" t="s">
        <v>32</v>
      </c>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row>
    <row r="10" spans="1:48">
      <c r="A10" s="112">
        <v>4</v>
      </c>
      <c r="B10" s="113" t="s">
        <v>37</v>
      </c>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row>
    <row r="11" spans="1:48">
      <c r="A11" s="112">
        <v>5</v>
      </c>
      <c r="B11" s="113" t="s">
        <v>33</v>
      </c>
      <c r="C11" s="113"/>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3"/>
      <c r="AT11" s="113"/>
      <c r="AU11" s="113"/>
      <c r="AV11" s="113"/>
    </row>
    <row r="12" spans="1:48">
      <c r="A12" s="112">
        <v>6</v>
      </c>
      <c r="B12" s="113" t="s">
        <v>35</v>
      </c>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row>
    <row r="15" spans="1:48">
      <c r="A15" s="108" t="s">
        <v>230</v>
      </c>
    </row>
    <row r="16" spans="1:48" s="79" customFormat="1">
      <c r="A16" s="1001" t="s">
        <v>0</v>
      </c>
      <c r="B16" s="1001" t="s">
        <v>176</v>
      </c>
      <c r="C16" s="1001" t="s">
        <v>177</v>
      </c>
      <c r="D16" s="1001"/>
      <c r="E16" s="1001" t="s">
        <v>178</v>
      </c>
      <c r="F16" s="1001"/>
      <c r="G16" s="1001" t="s">
        <v>179</v>
      </c>
      <c r="H16" s="1001"/>
      <c r="I16" s="1002" t="s">
        <v>180</v>
      </c>
      <c r="J16" s="1002"/>
      <c r="K16" s="1002"/>
      <c r="L16" s="1002"/>
      <c r="M16" s="1002"/>
      <c r="N16" s="1002"/>
      <c r="O16" s="1002"/>
      <c r="P16" s="1002"/>
      <c r="Q16" s="1002"/>
      <c r="R16" s="1002"/>
      <c r="S16" s="1002"/>
      <c r="T16" s="1002"/>
      <c r="U16" s="1002"/>
      <c r="V16" s="1002"/>
      <c r="W16" s="1002"/>
      <c r="X16" s="1002"/>
      <c r="Y16" s="1002"/>
      <c r="Z16" s="1002"/>
      <c r="AA16" s="1002"/>
      <c r="AB16" s="1002"/>
      <c r="AC16" s="1002"/>
      <c r="AD16" s="1002"/>
      <c r="AE16" s="1002"/>
      <c r="AF16" s="1002"/>
      <c r="AG16" s="1002"/>
      <c r="AH16" s="1001" t="s">
        <v>181</v>
      </c>
      <c r="AI16" s="1001"/>
      <c r="AJ16" s="1001"/>
      <c r="AK16" s="1001"/>
      <c r="AL16" s="1001"/>
      <c r="AM16" s="1001"/>
      <c r="AN16" s="1001"/>
      <c r="AO16" s="1001"/>
      <c r="AP16" s="1001"/>
      <c r="AQ16" s="1001"/>
      <c r="AR16" s="1001"/>
      <c r="AS16" s="1001"/>
      <c r="AT16" s="1001"/>
      <c r="AU16" s="1001"/>
      <c r="AV16" s="1001"/>
    </row>
    <row r="17" spans="1:48" s="79" customFormat="1">
      <c r="A17" s="1001"/>
      <c r="B17" s="1001"/>
      <c r="C17" s="109" t="s">
        <v>182</v>
      </c>
      <c r="D17" s="109" t="s">
        <v>183</v>
      </c>
      <c r="E17" s="109" t="s">
        <v>184</v>
      </c>
      <c r="F17" s="109" t="s">
        <v>185</v>
      </c>
      <c r="G17" s="110" t="s">
        <v>186</v>
      </c>
      <c r="H17" s="110" t="s">
        <v>187</v>
      </c>
      <c r="I17" s="1001" t="s">
        <v>188</v>
      </c>
      <c r="J17" s="1001"/>
      <c r="K17" s="1001" t="s">
        <v>32</v>
      </c>
      <c r="L17" s="1001"/>
      <c r="M17" s="1001"/>
      <c r="N17" s="1001"/>
      <c r="O17" s="1001" t="s">
        <v>31</v>
      </c>
      <c r="P17" s="1001"/>
      <c r="Q17" s="1001"/>
      <c r="R17" s="1001"/>
      <c r="S17" s="1001" t="s">
        <v>37</v>
      </c>
      <c r="T17" s="1001"/>
      <c r="U17" s="1001"/>
      <c r="V17" s="1001"/>
      <c r="W17" s="1001"/>
      <c r="X17" s="1001" t="s">
        <v>33</v>
      </c>
      <c r="Y17" s="1001"/>
      <c r="Z17" s="1001"/>
      <c r="AA17" s="1001"/>
      <c r="AB17" s="1001"/>
      <c r="AC17" s="1001" t="s">
        <v>35</v>
      </c>
      <c r="AD17" s="1001"/>
      <c r="AE17" s="1001"/>
      <c r="AF17" s="1001"/>
      <c r="AG17" s="1001"/>
      <c r="AH17" s="1001" t="s">
        <v>189</v>
      </c>
      <c r="AI17" s="1001"/>
      <c r="AJ17" s="1001"/>
      <c r="AK17" s="1001"/>
      <c r="AL17" s="1001" t="s">
        <v>190</v>
      </c>
      <c r="AM17" s="1001"/>
      <c r="AN17" s="110" t="s">
        <v>191</v>
      </c>
      <c r="AO17" s="110" t="s">
        <v>192</v>
      </c>
      <c r="AP17" s="110" t="s">
        <v>193</v>
      </c>
      <c r="AQ17" s="110" t="s">
        <v>194</v>
      </c>
      <c r="AR17" s="110" t="s">
        <v>195</v>
      </c>
      <c r="AS17" s="110" t="s">
        <v>196</v>
      </c>
      <c r="AT17" s="110" t="s">
        <v>197</v>
      </c>
      <c r="AU17" s="110" t="s">
        <v>198</v>
      </c>
      <c r="AV17" s="110" t="s">
        <v>199</v>
      </c>
    </row>
    <row r="18" spans="1:48" s="79" customFormat="1">
      <c r="A18" s="1001"/>
      <c r="B18" s="1001"/>
      <c r="C18" s="111" t="s">
        <v>200</v>
      </c>
      <c r="D18" s="111" t="s">
        <v>29</v>
      </c>
      <c r="E18" s="111" t="s">
        <v>200</v>
      </c>
      <c r="F18" s="111" t="s">
        <v>200</v>
      </c>
      <c r="G18" s="110" t="s">
        <v>201</v>
      </c>
      <c r="H18" s="110" t="s">
        <v>201</v>
      </c>
      <c r="I18" s="110" t="s">
        <v>202</v>
      </c>
      <c r="J18" s="110" t="s">
        <v>203</v>
      </c>
      <c r="K18" s="110" t="s">
        <v>204</v>
      </c>
      <c r="L18" s="110" t="s">
        <v>205</v>
      </c>
      <c r="M18" s="110" t="s">
        <v>206</v>
      </c>
      <c r="N18" s="110" t="s">
        <v>207</v>
      </c>
      <c r="O18" s="110" t="s">
        <v>203</v>
      </c>
      <c r="P18" s="110" t="s">
        <v>208</v>
      </c>
      <c r="Q18" s="110" t="s">
        <v>209</v>
      </c>
      <c r="R18" s="110" t="s">
        <v>210</v>
      </c>
      <c r="S18" s="110" t="s">
        <v>211</v>
      </c>
      <c r="T18" s="110" t="s">
        <v>212</v>
      </c>
      <c r="U18" s="110" t="s">
        <v>213</v>
      </c>
      <c r="V18" s="110" t="s">
        <v>214</v>
      </c>
      <c r="W18" s="110" t="s">
        <v>215</v>
      </c>
      <c r="X18" s="110" t="s">
        <v>216</v>
      </c>
      <c r="Y18" s="110" t="s">
        <v>217</v>
      </c>
      <c r="Z18" s="110" t="s">
        <v>218</v>
      </c>
      <c r="AA18" s="110" t="s">
        <v>219</v>
      </c>
      <c r="AB18" s="110" t="s">
        <v>220</v>
      </c>
      <c r="AC18" s="110" t="s">
        <v>216</v>
      </c>
      <c r="AD18" s="110" t="s">
        <v>217</v>
      </c>
      <c r="AE18" s="110" t="s">
        <v>218</v>
      </c>
      <c r="AF18" s="110" t="s">
        <v>219</v>
      </c>
      <c r="AG18" s="110" t="s">
        <v>220</v>
      </c>
      <c r="AH18" s="110" t="s">
        <v>221</v>
      </c>
      <c r="AI18" s="110" t="s">
        <v>222</v>
      </c>
      <c r="AJ18" s="110" t="s">
        <v>223</v>
      </c>
      <c r="AK18" s="110" t="s">
        <v>197</v>
      </c>
      <c r="AL18" s="110" t="s">
        <v>224</v>
      </c>
      <c r="AM18" s="110" t="s">
        <v>225</v>
      </c>
      <c r="AN18" s="110" t="s">
        <v>226</v>
      </c>
      <c r="AO18" s="110" t="s">
        <v>29</v>
      </c>
      <c r="AP18" s="110" t="s">
        <v>227</v>
      </c>
      <c r="AQ18" s="110" t="s">
        <v>227</v>
      </c>
      <c r="AR18" s="110" t="s">
        <v>227</v>
      </c>
      <c r="AS18" s="110" t="s">
        <v>227</v>
      </c>
      <c r="AT18" s="110" t="s">
        <v>227</v>
      </c>
      <c r="AU18" s="110" t="s">
        <v>228</v>
      </c>
      <c r="AV18" s="110" t="s">
        <v>229</v>
      </c>
    </row>
    <row r="19" spans="1:48">
      <c r="A19" s="112">
        <v>1</v>
      </c>
      <c r="B19" s="113" t="s">
        <v>34</v>
      </c>
      <c r="C19" s="113"/>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row>
    <row r="20" spans="1:48">
      <c r="A20" s="112">
        <v>2</v>
      </c>
      <c r="B20" s="113" t="s">
        <v>31</v>
      </c>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row>
    <row r="21" spans="1:48">
      <c r="A21" s="112">
        <v>3</v>
      </c>
      <c r="B21" s="113" t="s">
        <v>32</v>
      </c>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c r="AO21" s="113"/>
      <c r="AP21" s="113"/>
      <c r="AQ21" s="113"/>
      <c r="AR21" s="113"/>
      <c r="AS21" s="113"/>
      <c r="AT21" s="113"/>
      <c r="AU21" s="113"/>
      <c r="AV21" s="113"/>
    </row>
    <row r="22" spans="1:48">
      <c r="A22" s="112">
        <v>4</v>
      </c>
      <c r="B22" s="113" t="s">
        <v>37</v>
      </c>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row>
    <row r="23" spans="1:48">
      <c r="A23" s="112">
        <v>5</v>
      </c>
      <c r="B23" s="113" t="s">
        <v>33</v>
      </c>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c r="AO23" s="113"/>
      <c r="AP23" s="113"/>
      <c r="AQ23" s="113"/>
      <c r="AR23" s="113"/>
      <c r="AS23" s="113"/>
      <c r="AT23" s="113"/>
      <c r="AU23" s="113"/>
      <c r="AV23" s="113"/>
    </row>
    <row r="24" spans="1:48">
      <c r="A24" s="112">
        <v>6</v>
      </c>
      <c r="B24" s="113" t="s">
        <v>35</v>
      </c>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c r="AO24" s="113"/>
      <c r="AP24" s="113"/>
      <c r="AQ24" s="113"/>
      <c r="AR24" s="113"/>
      <c r="AS24" s="113"/>
      <c r="AT24" s="113"/>
      <c r="AU24" s="113"/>
      <c r="AV24" s="113"/>
    </row>
  </sheetData>
  <mergeCells count="30">
    <mergeCell ref="AH16:AV16"/>
    <mergeCell ref="I17:J17"/>
    <mergeCell ref="K17:N17"/>
    <mergeCell ref="O17:R17"/>
    <mergeCell ref="S17:W17"/>
    <mergeCell ref="X17:AB17"/>
    <mergeCell ref="AC17:AG17"/>
    <mergeCell ref="AH17:AK17"/>
    <mergeCell ref="AL17:AM17"/>
    <mergeCell ref="I16:AG16"/>
    <mergeCell ref="A16:A18"/>
    <mergeCell ref="B16:B18"/>
    <mergeCell ref="C16:D16"/>
    <mergeCell ref="E16:F16"/>
    <mergeCell ref="G16:H16"/>
    <mergeCell ref="AH4:AV4"/>
    <mergeCell ref="I5:J5"/>
    <mergeCell ref="K5:N5"/>
    <mergeCell ref="O5:R5"/>
    <mergeCell ref="S5:W5"/>
    <mergeCell ref="X5:AB5"/>
    <mergeCell ref="AC5:AG5"/>
    <mergeCell ref="AH5:AK5"/>
    <mergeCell ref="AL5:AM5"/>
    <mergeCell ref="I4:AG4"/>
    <mergeCell ref="A4:A6"/>
    <mergeCell ref="B4:B6"/>
    <mergeCell ref="C4:D4"/>
    <mergeCell ref="E4:F4"/>
    <mergeCell ref="G4: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32</vt:i4>
      </vt:variant>
    </vt:vector>
  </HeadingPairs>
  <TitlesOfParts>
    <vt:vector size="67" baseType="lpstr">
      <vt:lpstr>DAFTAR ISI</vt:lpstr>
      <vt:lpstr>PROGRAM</vt:lpstr>
      <vt:lpstr>P &amp; NP</vt:lpstr>
      <vt:lpstr>P NP TW</vt:lpstr>
      <vt:lpstr>P NP BLN</vt:lpstr>
      <vt:lpstr>PER KOMODITAS PER TW</vt:lpstr>
      <vt:lpstr>1.1 RINGKASAN</vt:lpstr>
      <vt:lpstr>1.2 PROD SUBSEK</vt:lpstr>
      <vt:lpstr>USAHA per TW</vt:lpstr>
      <vt:lpstr>MENURUT TRIWULAN</vt:lpstr>
      <vt:lpstr>per IKAN per WADAH per THN</vt:lpstr>
      <vt:lpstr>TBK SEDERHANA</vt:lpstr>
      <vt:lpstr>LAUT</vt:lpstr>
      <vt:lpstr>TAMBAK</vt:lpstr>
      <vt:lpstr>KOLAM</vt:lpstr>
      <vt:lpstr>MINAPADI</vt:lpstr>
      <vt:lpstr>KARAMBA</vt:lpstr>
      <vt:lpstr>JAPUNG</vt:lpstr>
      <vt:lpstr>P NP LAUT IKAN</vt:lpstr>
      <vt:lpstr>P NP LAUT KAB</vt:lpstr>
      <vt:lpstr>P NP TAMBAK IKAN</vt:lpstr>
      <vt:lpstr>P NP TAMBAK KAB</vt:lpstr>
      <vt:lpstr>P NP TBK SEDERHANA IKAN</vt:lpstr>
      <vt:lpstr>P NP TBK SEDERHANA KAB</vt:lpstr>
      <vt:lpstr>P NP KOLAM IKAN</vt:lpstr>
      <vt:lpstr>P NP KOLAM KAB</vt:lpstr>
      <vt:lpstr>P NP KARAMBA IKAN</vt:lpstr>
      <vt:lpstr>P NP KARAMBA KAB</vt:lpstr>
      <vt:lpstr>P NP MINAPADI IKAN</vt:lpstr>
      <vt:lpstr>P NP MINAPADI KAB</vt:lpstr>
      <vt:lpstr>P NP JAPUNG IKAN</vt:lpstr>
      <vt:lpstr>P NP JAPUNG KAB</vt:lpstr>
      <vt:lpstr>P&amp;NP per BLN per KAB</vt:lpstr>
      <vt:lpstr>per KAB per WADAH per TW</vt:lpstr>
      <vt:lpstr>RTP</vt:lpstr>
      <vt:lpstr>IKAN</vt:lpstr>
      <vt:lpstr>KAB</vt:lpstr>
      <vt:lpstr>KABUPATEN</vt:lpstr>
      <vt:lpstr>JAPUNG!Print_Area</vt:lpstr>
      <vt:lpstr>KARAMBA!Print_Area</vt:lpstr>
      <vt:lpstr>KOLAM!Print_Area</vt:lpstr>
      <vt:lpstr>LAUT!Print_Area</vt:lpstr>
      <vt:lpstr>'MENURUT TRIWULAN'!Print_Area</vt:lpstr>
      <vt:lpstr>MINAPADI!Print_Area</vt:lpstr>
      <vt:lpstr>'per IKAN per WADAH per THN'!Print_Area</vt:lpstr>
      <vt:lpstr>TAMBAK!Print_Area</vt:lpstr>
      <vt:lpstr>'TBK SEDERHANA'!Print_Area</vt:lpstr>
      <vt:lpstr>'USAHA per TW'!Print_Area</vt:lpstr>
      <vt:lpstr>KARAMBA!Print_Area_MI</vt:lpstr>
      <vt:lpstr>KOLAM!Print_Area_MI</vt:lpstr>
      <vt:lpstr>LAUT!Print_Area_MI</vt:lpstr>
      <vt:lpstr>MINAPADI!Print_Area_MI</vt:lpstr>
      <vt:lpstr>TAMBAK!Print_Area_MI</vt:lpstr>
      <vt:lpstr>'TBK SEDERHANA'!Print_Area_MI</vt:lpstr>
      <vt:lpstr>Print_Area_MI</vt:lpstr>
      <vt:lpstr>JAPUNG!Print_Titles</vt:lpstr>
      <vt:lpstr>KARAMBA!Print_Titles</vt:lpstr>
      <vt:lpstr>KOLAM!Print_Titles</vt:lpstr>
      <vt:lpstr>LAUT!Print_Titles</vt:lpstr>
      <vt:lpstr>TAMBAK!Print_Titles</vt:lpstr>
      <vt:lpstr>'TBK SEDERHANA'!Print_Titles</vt:lpstr>
      <vt:lpstr>JAPUNG!Print_Titles_MI</vt:lpstr>
      <vt:lpstr>KARAMBA!Print_Titles_MI</vt:lpstr>
      <vt:lpstr>KOLAM!Print_Titles_MI</vt:lpstr>
      <vt:lpstr>LAUT!Print_Titles_MI</vt:lpstr>
      <vt:lpstr>TAMBAK!Print_Titles_MI</vt:lpstr>
      <vt:lpstr>'TBK SEDERHANA'!Print_Titles_MI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aspire</dc:creator>
  <cp:lastModifiedBy>Rizky Widyantoro</cp:lastModifiedBy>
  <cp:lastPrinted>2025-01-16T06:12:21Z</cp:lastPrinted>
  <dcterms:created xsi:type="dcterms:W3CDTF">2019-04-22T14:50:37Z</dcterms:created>
  <dcterms:modified xsi:type="dcterms:W3CDTF">2026-05-25T03:47:24Z</dcterms:modified>
</cp:coreProperties>
</file>